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760" windowWidth="27940" windowHeight="17760" tabRatio="600" firstSheet="0" activeTab="2" autoFilterDateGrouping="1"/>
  </bookViews>
  <sheets>
    <sheet name="Summary" sheetId="1" state="visible" r:id="rId1"/>
    <sheet name="By Product Type" sheetId="2" state="visible" r:id="rId2"/>
    <sheet name="By Item IDs" sheetId="3" state="visible" r:id="rId3"/>
    <sheet name="By Category" sheetId="4" state="visible" r:id="rId4"/>
    <sheet name="By Brands" sheetId="5" state="visible" r:id="rId5"/>
    <sheet name="By Keywords" sheetId="6" state="visible" r:id="rId6"/>
    <sheet name="By Variants" sheetId="7" state="visible" r:id="rId7"/>
    <sheet name="By Tags" sheetId="8" state="visible" r:id="rId8"/>
    <sheet name="Trend - Period" sheetId="9" state="visible" r:id="rId9"/>
    <sheet name="Trend - Metrics" sheetId="10" state="visible" r:id="rId10"/>
  </sheets>
  <definedNames/>
  <calcPr calcId="191029" fullCalcOnLoad="1"/>
</workbook>
</file>

<file path=xl/styles.xml><?xml version="1.0" encoding="utf-8"?>
<styleSheet xmlns="http://schemas.openxmlformats.org/spreadsheetml/2006/main">
  <numFmts count="1">
    <numFmt numFmtId="164" formatCode="\$#,##0.00"/>
  </numFmts>
  <fonts count="5">
    <font>
      <name val="Calibri"/>
      <family val="2"/>
      <color theme="1"/>
      <sz val="11"/>
      <scheme val="minor"/>
    </font>
    <font>
      <name val="Calibri"/>
      <family val="2"/>
      <b val="1"/>
      <color theme="1"/>
      <sz val="11"/>
      <scheme val="minor"/>
    </font>
    <font>
      <name val="Calibri"/>
      <family val="2"/>
      <color theme="10"/>
      <sz val="11"/>
      <u val="single"/>
    </font>
    <font>
      <name val="Calibri"/>
      <family val="2"/>
      <b val="1"/>
      <sz val="11"/>
    </font>
    <font>
      <name val="Calibri"/>
      <family val="2"/>
      <i val="1"/>
      <sz val="8"/>
    </font>
  </fonts>
  <fills count="8">
    <fill>
      <patternFill/>
    </fill>
    <fill>
      <patternFill patternType="gray125"/>
    </fill>
    <fill>
      <patternFill patternType="solid">
        <fgColor rgb="FFCFE2F3"/>
        <bgColor indexed="64"/>
      </patternFill>
    </fill>
    <fill>
      <patternFill patternType="solid">
        <fgColor rgb="FFFFF2CC"/>
        <bgColor indexed="64"/>
      </patternFill>
    </fill>
    <fill>
      <patternFill patternType="solid">
        <fgColor rgb="FFD9EAD3"/>
        <bgColor indexed="64"/>
      </patternFill>
    </fill>
    <fill>
      <patternFill patternType="solid">
        <fgColor rgb="FFCFE2F3"/>
        <bgColor rgb="FFCFE2F3"/>
      </patternFill>
    </fill>
    <fill>
      <patternFill patternType="solid">
        <fgColor rgb="FFFFF2CC"/>
        <bgColor rgb="FFFFF2CC"/>
      </patternFill>
    </fill>
    <fill>
      <patternFill patternType="solid">
        <fgColor rgb="FFD9EAD3"/>
        <bgColor rgb="FFD9EAD3"/>
      </patternFill>
    </fill>
  </fills>
  <borders count="7">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right/>
      <top style="thin">
        <color auto="1"/>
      </top>
      <bottom/>
      <diagonal/>
    </border>
    <border>
      <left/>
      <right style="thin">
        <color auto="1"/>
      </right>
      <top style="thin">
        <color auto="1"/>
      </top>
      <bottom/>
      <diagonal/>
    </border>
  </borders>
  <cellStyleXfs count="2">
    <xf numFmtId="0" fontId="0" fillId="0" borderId="0"/>
    <xf numFmtId="0" fontId="2" fillId="0" borderId="0" applyAlignment="1" applyProtection="1">
      <alignment vertical="top"/>
      <protection locked="0" hidden="0"/>
    </xf>
  </cellStyleXfs>
  <cellXfs count="57">
    <xf numFmtId="0" fontId="0" fillId="0" borderId="0" pivotButton="0" quotePrefix="0" xfId="0"/>
    <xf numFmtId="0" fontId="1" fillId="0" borderId="1" applyAlignment="1" pivotButton="0" quotePrefix="0" xfId="0">
      <alignment horizontal="center" vertical="top"/>
    </xf>
    <xf numFmtId="0" fontId="0" fillId="2" borderId="0" pivotButton="0" quotePrefix="0" xfId="0"/>
    <xf numFmtId="0" fontId="0" fillId="3" borderId="0" pivotButton="0" quotePrefix="0" xfId="0"/>
    <xf numFmtId="0" fontId="0" fillId="4" borderId="0" pivotButton="0" quotePrefix="0" xfId="0"/>
    <xf numFmtId="0" fontId="2" fillId="0" borderId="0" pivotButton="0" quotePrefix="0" xfId="1"/>
    <xf numFmtId="0" fontId="1" fillId="0" borderId="1" applyAlignment="1" pivotButton="0" quotePrefix="0" xfId="0">
      <alignment wrapText="1"/>
    </xf>
    <xf numFmtId="10" fontId="0" fillId="0" borderId="0" pivotButton="0" quotePrefix="0" xfId="0"/>
    <xf numFmtId="164" fontId="0" fillId="0" borderId="0" pivotButton="0" quotePrefix="0" xfId="0"/>
    <xf numFmtId="0" fontId="3" fillId="0" borderId="0" pivotButton="0" quotePrefix="0" xfId="0"/>
    <xf numFmtId="10" fontId="4" fillId="0" borderId="0" pivotButton="0" quotePrefix="0" xfId="0"/>
    <xf numFmtId="0" fontId="4" fillId="0" borderId="0" pivotButton="0" quotePrefix="0" xfId="0"/>
    <xf numFmtId="164" fontId="4" fillId="0" borderId="0" pivotButton="0" quotePrefix="0" xfId="0"/>
    <xf numFmtId="164" fontId="0" fillId="5" borderId="4" pivotButton="0" quotePrefix="0" xfId="0"/>
    <xf numFmtId="0" fontId="0" fillId="5" borderId="4" pivotButton="0" quotePrefix="0" xfId="0"/>
    <xf numFmtId="164" fontId="0" fillId="6" borderId="4" pivotButton="0" quotePrefix="0" xfId="0"/>
    <xf numFmtId="10" fontId="0" fillId="6" borderId="4" pivotButton="0" quotePrefix="0" xfId="0"/>
    <xf numFmtId="0" fontId="0" fillId="6" borderId="4" pivotButton="0" quotePrefix="0" xfId="0"/>
    <xf numFmtId="0" fontId="0" fillId="7" borderId="4" pivotButton="0" quotePrefix="0" xfId="0"/>
    <xf numFmtId="164" fontId="0" fillId="7" borderId="4" pivotButton="0" quotePrefix="0" xfId="0"/>
    <xf numFmtId="164" fontId="1" fillId="5" borderId="1" applyAlignment="1" pivotButton="0" quotePrefix="0" xfId="0">
      <alignment wrapText="1"/>
    </xf>
    <xf numFmtId="10" fontId="1" fillId="5" borderId="1" applyAlignment="1" pivotButton="0" quotePrefix="0" xfId="0">
      <alignment wrapText="1"/>
    </xf>
    <xf numFmtId="0" fontId="1" fillId="5" borderId="1" applyAlignment="1" pivotButton="0" quotePrefix="0" xfId="0">
      <alignment wrapText="1"/>
    </xf>
    <xf numFmtId="164" fontId="1" fillId="6" borderId="1" applyAlignment="1" pivotButton="0" quotePrefix="0" xfId="0">
      <alignment wrapText="1"/>
    </xf>
    <xf numFmtId="10" fontId="1" fillId="6" borderId="1" applyAlignment="1" pivotButton="0" quotePrefix="0" xfId="0">
      <alignment wrapText="1"/>
    </xf>
    <xf numFmtId="0" fontId="1" fillId="6" borderId="1" applyAlignment="1" pivotButton="0" quotePrefix="0" xfId="0">
      <alignment wrapText="1"/>
    </xf>
    <xf numFmtId="0" fontId="1" fillId="7" borderId="1" applyAlignment="1" pivotButton="0" quotePrefix="0" xfId="0">
      <alignment wrapText="1"/>
    </xf>
    <xf numFmtId="164" fontId="1" fillId="7" borderId="1" applyAlignment="1" pivotButton="0" quotePrefix="0" xfId="0">
      <alignment wrapText="1"/>
    </xf>
    <xf numFmtId="10" fontId="1" fillId="7" borderId="1" applyAlignment="1" pivotButton="0" quotePrefix="0" xfId="0">
      <alignment wrapText="1"/>
    </xf>
    <xf numFmtId="164" fontId="0" fillId="2" borderId="0" pivotButton="0" quotePrefix="0" xfId="0"/>
    <xf numFmtId="10" fontId="0" fillId="2" borderId="0" pivotButton="0" quotePrefix="0" xfId="0"/>
    <xf numFmtId="164" fontId="0" fillId="3" borderId="0" pivotButton="0" quotePrefix="0" xfId="0"/>
    <xf numFmtId="10" fontId="0" fillId="3" borderId="0" pivotButton="0" quotePrefix="0" xfId="0"/>
    <xf numFmtId="164" fontId="0" fillId="4" borderId="0" pivotButton="0" quotePrefix="0" xfId="0"/>
    <xf numFmtId="10" fontId="0" fillId="4" borderId="0" pivotButton="0" quotePrefix="0" xfId="0"/>
    <xf numFmtId="3" fontId="0" fillId="0" borderId="0" pivotButton="0" quotePrefix="0" xfId="0"/>
    <xf numFmtId="164" fontId="0" fillId="2" borderId="4" pivotButton="0" quotePrefix="0" xfId="0"/>
    <xf numFmtId="0" fontId="0" fillId="2" borderId="4" pivotButton="0" quotePrefix="0" xfId="0"/>
    <xf numFmtId="164" fontId="0" fillId="3" borderId="4" pivotButton="0" quotePrefix="0" xfId="0"/>
    <xf numFmtId="10" fontId="0" fillId="3" borderId="4" pivotButton="0" quotePrefix="0" xfId="0"/>
    <xf numFmtId="3" fontId="0" fillId="3" borderId="4" pivotButton="0" quotePrefix="0" xfId="0"/>
    <xf numFmtId="164" fontId="1" fillId="0" borderId="1" applyAlignment="1" pivotButton="0" quotePrefix="0" xfId="0">
      <alignment wrapText="1"/>
    </xf>
    <xf numFmtId="10" fontId="1" fillId="0" borderId="1" applyAlignment="1" pivotButton="0" quotePrefix="0" xfId="0">
      <alignment wrapText="1"/>
    </xf>
    <xf numFmtId="3" fontId="1" fillId="0" borderId="1" applyAlignment="1" pivotButton="0" quotePrefix="0" xfId="0">
      <alignment wrapText="1"/>
    </xf>
    <xf numFmtId="3" fontId="0" fillId="3" borderId="0" pivotButton="0" quotePrefix="0" xfId="0"/>
    <xf numFmtId="3" fontId="0" fillId="5" borderId="4" pivotButton="0" quotePrefix="0" xfId="0"/>
    <xf numFmtId="10" fontId="0" fillId="5" borderId="4" pivotButton="0" quotePrefix="0" xfId="0"/>
    <xf numFmtId="3" fontId="0" fillId="6" borderId="4" pivotButton="0" quotePrefix="0" xfId="0"/>
    <xf numFmtId="164" fontId="0" fillId="5" borderId="0" pivotButton="0" quotePrefix="0" xfId="0"/>
    <xf numFmtId="3" fontId="0" fillId="5" borderId="0" pivotButton="0" quotePrefix="0" xfId="0"/>
    <xf numFmtId="10" fontId="0" fillId="5" borderId="0" pivotButton="0" quotePrefix="0" xfId="0"/>
    <xf numFmtId="3" fontId="0" fillId="6" borderId="0" pivotButton="0" quotePrefix="0" xfId="0"/>
    <xf numFmtId="164" fontId="0" fillId="6" borderId="0" pivotButton="0" quotePrefix="0" xfId="0"/>
    <xf numFmtId="10" fontId="0" fillId="6" borderId="0" pivotButton="0" quotePrefix="0" xfId="0"/>
    <xf numFmtId="0" fontId="1" fillId="0" borderId="1" applyAlignment="1" pivotButton="0" quotePrefix="0" xfId="0">
      <alignment horizontal="center" vertical="top"/>
    </xf>
    <xf numFmtId="0" fontId="0" fillId="0" borderId="2" pivotButton="0" quotePrefix="0" xfId="0"/>
    <xf numFmtId="0" fontId="0" fillId="0" borderId="3" pivotButton="0" quotePrefix="0" xfId="0"/>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9.xml.rels><Relationships xmlns="http://schemas.openxmlformats.org/package/2006/relationships"><Relationship Type="http://schemas.openxmlformats.org/officeDocument/2006/relationships/hyperlink" Target="https://www.walmart.com/ip/Women-s-Open-Cup-Crotchless-Babydoll-Lingerie-Strappy-Bra-G-string-by-Jenniwears/685340221" TargetMode="External" Id="rId1" /><Relationship Type="http://schemas.openxmlformats.org/officeDocument/2006/relationships/hyperlink" Target="https://www.walmart.com/ip/Long-Kinky-Curly-Wig-Lace-Front-Synthetic-Fiber-Deep-Wave-Afro-Hair-Replacement-Wig-19-Inch/259966807" TargetMode="External" Id="rId2" /><Relationship Type="http://schemas.openxmlformats.org/officeDocument/2006/relationships/hyperlink" Target="https://www.walmart.com/ip/JenniWears-Sexy-Sheer-Black-Fishnet-Crotchless-Pantyhose-with-Control-Top-2-Packs/219032474" TargetMode="External" Id="rId3" /><Relationship Type="http://schemas.openxmlformats.org/officeDocument/2006/relationships/hyperlink" Target="https://www.walmart.com/ip/JenniWears-Women-Sexy-Fishnet-Suspender-Crotchless-Pantyhose-Stocking-2-Packs/196942750" TargetMode="External" Id="rId4" /></Relationships>
</file>

<file path=xl/worksheets/_rels/sheet10.xml.rels><Relationships xmlns="http://schemas.openxmlformats.org/package/2006/relationships"><Relationship Type="http://schemas.openxmlformats.org/officeDocument/2006/relationships/hyperlink" Target="https://www.walmart.com/ip/Women-s-Open-Cup-Crotchless-Babydoll-Lingerie-Strappy-Bra-G-string-by-Jenniwears/685340221" TargetMode="External" Id="rId1" /><Relationship Type="http://schemas.openxmlformats.org/officeDocument/2006/relationships/hyperlink" Target="https://www.walmart.com/ip/Long-Kinky-Curly-Wig-Lace-Front-Synthetic-Fiber-Deep-Wave-Afro-Hair-Replacement-Wig-19-Inch/259966807" TargetMode="External" Id="rId2" /><Relationship Type="http://schemas.openxmlformats.org/officeDocument/2006/relationships/hyperlink" Target="https://www.walmart.com/ip/JenniWears-Sexy-Sheer-Black-Fishnet-Crotchless-Pantyhose-with-Control-Top-2-Packs/219032474" TargetMode="External" Id="rId3" /><Relationship Type="http://schemas.openxmlformats.org/officeDocument/2006/relationships/hyperlink" Target="https://www.walmart.com/ip/JenniWears-Women-Sexy-Fishnet-Suspender-Crotchless-Pantyhose-Stocking-2-Packs/196942750" TargetMode="External" Id="rId4" /></Relationships>
</file>

<file path=xl/worksheets/sheet1.xml><?xml version="1.0" encoding="utf-8"?>
<worksheet xmlns="http://schemas.openxmlformats.org/spreadsheetml/2006/main">
  <sheetPr>
    <outlinePr summaryBelow="1" summaryRight="1"/>
    <pageSetUpPr/>
  </sheetPr>
  <dimension ref="A1:D13"/>
  <sheetViews>
    <sheetView workbookViewId="0">
      <selection activeCell="A1" sqref="A1"/>
    </sheetView>
  </sheetViews>
  <sheetFormatPr baseColWidth="10" defaultColWidth="8.83203125" defaultRowHeight="15"/>
  <cols>
    <col width="20" customWidth="1" min="1" max="1"/>
    <col width="37" customWidth="1" min="2" max="2"/>
    <col width="38" customWidth="1" min="3" max="3"/>
    <col width="39" customWidth="1" min="4" max="4"/>
  </cols>
  <sheetData>
    <row r="1" ht="16" customHeight="1">
      <c r="A1" s="54" t="inlineStr">
        <is>
          <t>Duration (135 days)</t>
        </is>
      </c>
      <c r="B1" s="6" t="inlineStr">
        <is>
          <t>01/01/2025 - 05/15/2025(Current Data)</t>
        </is>
      </c>
      <c r="C1" s="54" t="inlineStr">
        <is>
          <t>08/19/2024 - 12/31/2024(Previous Data)</t>
        </is>
      </c>
      <c r="D1" s="54" t="inlineStr">
        <is>
          <t>01/01/2024 - 05/15/2024(Last Year Data)</t>
        </is>
      </c>
    </row>
    <row r="2">
      <c r="A2" t="inlineStr">
        <is>
          <t>TACOS</t>
        </is>
      </c>
      <c r="B2" s="7" t="n">
        <v>0.07190000000000001</v>
      </c>
      <c r="C2" s="7" t="n">
        <v>0.09080000000000001</v>
      </c>
      <c r="D2" s="7" t="n">
        <v>0.0583</v>
      </c>
    </row>
    <row r="3">
      <c r="A3" t="inlineStr">
        <is>
          <t>ROAS</t>
        </is>
      </c>
      <c r="B3" t="n">
        <v>3.28</v>
      </c>
      <c r="C3" t="n">
        <v>3.71</v>
      </c>
      <c r="D3" t="n">
        <v>4.41</v>
      </c>
    </row>
    <row r="4">
      <c r="A4" t="inlineStr">
        <is>
          <t>ACOS</t>
        </is>
      </c>
      <c r="B4" t="n">
        <v>0.31</v>
      </c>
      <c r="C4" t="n">
        <v>0.27</v>
      </c>
      <c r="D4" t="n">
        <v>0.23</v>
      </c>
    </row>
    <row r="5">
      <c r="A5" t="inlineStr">
        <is>
          <t>Ad Spend</t>
        </is>
      </c>
      <c r="B5" s="8" t="n">
        <v>8339.639999999999</v>
      </c>
      <c r="C5" s="8" t="n">
        <v>18141.26</v>
      </c>
      <c r="D5" s="8" t="n">
        <v>8227.110000000001</v>
      </c>
    </row>
    <row r="6">
      <c r="A6" t="inlineStr">
        <is>
          <t>Ad Sales</t>
        </is>
      </c>
      <c r="B6" s="8" t="n">
        <v>27342.35</v>
      </c>
      <c r="C6" s="8" t="n">
        <v>67366.10000000001</v>
      </c>
      <c r="D6" s="8" t="n">
        <v>36261.04</v>
      </c>
    </row>
    <row r="7">
      <c r="A7" t="inlineStr">
        <is>
          <t>Ad SKU Sales</t>
        </is>
      </c>
      <c r="B7" s="8" t="n">
        <v>24940.36</v>
      </c>
      <c r="C7" s="8" t="n">
        <v>60828.1</v>
      </c>
      <c r="D7" s="8" t="n">
        <v>15393.04</v>
      </c>
    </row>
    <row r="8">
      <c r="A8" t="inlineStr">
        <is>
          <t>Organic Sales</t>
        </is>
      </c>
      <c r="B8" s="8" t="n">
        <v>88589.03</v>
      </c>
      <c r="C8" s="8" t="n">
        <v>132381.5</v>
      </c>
      <c r="D8" s="8" t="n">
        <v>104797.67</v>
      </c>
    </row>
    <row r="9">
      <c r="A9" t="inlineStr">
        <is>
          <t>Total Net Sales</t>
        </is>
      </c>
      <c r="B9" s="8" t="n">
        <v>115931.38</v>
      </c>
      <c r="C9" s="8" t="n">
        <v>199747.6</v>
      </c>
      <c r="D9" s="8" t="n">
        <v>141058.71</v>
      </c>
    </row>
    <row r="10">
      <c r="A10" t="inlineStr">
        <is>
          <t>Total Net Unit Sold</t>
        </is>
      </c>
      <c r="B10" t="n">
        <v>6345</v>
      </c>
      <c r="C10" t="n">
        <v>9796</v>
      </c>
      <c r="D10" t="n">
        <v>7291</v>
      </c>
    </row>
    <row r="11">
      <c r="A11" t="inlineStr">
        <is>
          <t>Total Published SKU</t>
        </is>
      </c>
      <c r="B11" t="n">
        <v>2379</v>
      </c>
      <c r="C11" t="inlineStr">
        <is>
          <t>NA</t>
        </is>
      </c>
      <c r="D11" t="inlineStr">
        <is>
          <t>NA</t>
        </is>
      </c>
    </row>
    <row r="12">
      <c r="A12" t="inlineStr">
        <is>
          <t>Total Unpublished SKU</t>
        </is>
      </c>
      <c r="B12" t="n">
        <v>139</v>
      </c>
      <c r="C12" t="inlineStr">
        <is>
          <t>NA</t>
        </is>
      </c>
      <c r="D12" t="inlineStr">
        <is>
          <t>NA</t>
        </is>
      </c>
    </row>
    <row r="13">
      <c r="A13" t="inlineStr">
        <is>
          <t>Total Active SKU</t>
        </is>
      </c>
      <c r="B13" t="n">
        <v>2518</v>
      </c>
      <c r="C13" t="inlineStr">
        <is>
          <t>NA</t>
        </is>
      </c>
      <c r="D13" t="inlineStr">
        <is>
          <t>NA</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B97"/>
  <sheetViews>
    <sheetView workbookViewId="0">
      <pane xSplit="1" ySplit="3" topLeftCell="B4" activePane="bottomRight" state="frozen"/>
      <selection pane="topRight" activeCell="A1" sqref="A1"/>
      <selection pane="bottomLeft" activeCell="A1" sqref="A1"/>
      <selection pane="bottomRight" activeCell="D30" sqref="D30"/>
    </sheetView>
  </sheetViews>
  <sheetFormatPr baseColWidth="10" defaultColWidth="8.83203125" defaultRowHeight="15"/>
  <cols>
    <col width="29.33203125" customWidth="1" min="1" max="1"/>
    <col width="20.5" customWidth="1" min="2" max="2"/>
  </cols>
  <sheetData>
    <row r="1">
      <c r="A1" s="9" t="inlineStr">
        <is>
          <t>01/01/2025 - 05/15/2025 (135 days)</t>
        </is>
      </c>
      <c r="B1" s="8" t="n"/>
      <c r="C1" s="10" t="inlineStr">
        <is>
          <t>(Sales of each Type / Total Sales)</t>
        </is>
      </c>
      <c r="D1" s="8" t="n"/>
      <c r="E1" s="8" t="n"/>
      <c r="G1" s="8" t="n"/>
      <c r="H1" s="10" t="inlineStr">
        <is>
          <t>(Adspend on each Type / Total Adspend)</t>
        </is>
      </c>
      <c r="I1" s="7" t="n"/>
      <c r="J1" s="7" t="n"/>
      <c r="K1" s="8" t="n"/>
      <c r="L1" s="7" t="n"/>
      <c r="M1" s="8" t="n"/>
      <c r="N1" s="8" t="n"/>
      <c r="Q1" s="7" t="n"/>
      <c r="S1" s="7" t="n"/>
      <c r="U1" s="11" t="inlineStr">
        <is>
          <t>Total pageviews of the Enhanced brand content</t>
        </is>
      </c>
      <c r="V1" s="11" t="inlineStr">
        <is>
          <t>Estimated number of organic pageviews, calculated based on the (Max (page views - ebc views, ebc views) - ad clicks)</t>
        </is>
      </c>
      <c r="W1" s="12" t="inlineStr">
        <is>
          <t>(Total sales - Ad sales)</t>
        </is>
      </c>
      <c r="X1" s="11" t="inlineStr">
        <is>
          <t>(Total units sold - Ad units sold)</t>
        </is>
      </c>
      <c r="Y1" s="10" t="inlineStr">
        <is>
          <t>(Organic units sold / Organic views)</t>
        </is>
      </c>
      <c r="Z1" s="10" t="inlineStr">
        <is>
          <t>(Organic sales / Total sales)</t>
        </is>
      </c>
      <c r="AA1" s="11" t="inlineStr">
        <is>
          <t>(Available Inventory / Avg Daily Units Sold in Last 135 days)</t>
        </is>
      </c>
      <c r="AB1" s="11" t="n"/>
    </row>
    <row r="2">
      <c r="B2" s="13">
        <f>SUBTOTAL(9, B3:B97)</f>
        <v/>
      </c>
      <c r="D2" s="13">
        <f>SUBTOTAL(9, D3:D97)</f>
        <v/>
      </c>
      <c r="E2" s="13">
        <f>SUBTOTAL(9, E3:E97)</f>
        <v/>
      </c>
      <c r="F2" s="14">
        <f>SUBTOTAL(9, F3:F97)</f>
        <v/>
      </c>
      <c r="G2" s="15">
        <f>SUBTOTAL(9, G3:G97)</f>
        <v/>
      </c>
      <c r="I2" s="16">
        <f>G2/B2</f>
        <v/>
      </c>
      <c r="K2" s="15">
        <f>M2/G2</f>
        <v/>
      </c>
      <c r="L2" s="16">
        <f>G2/M2</f>
        <v/>
      </c>
      <c r="M2" s="15">
        <f>SUBTOTAL(9, M3:M97)</f>
        <v/>
      </c>
      <c r="N2" s="15">
        <f>SUBTOTAL(9, N3:N97)</f>
        <v/>
      </c>
      <c r="O2" s="17">
        <f>SUBTOTAL(9, O3:O97)</f>
        <v/>
      </c>
      <c r="P2" s="17">
        <f>SUBTOTAL(9, P3:P97)</f>
        <v/>
      </c>
      <c r="Q2" s="16">
        <f>P2/O2</f>
        <v/>
      </c>
      <c r="R2" s="17">
        <f>SUBTOTAL(9, R3:R97)</f>
        <v/>
      </c>
      <c r="S2" s="16">
        <f>R2/P2</f>
        <v/>
      </c>
      <c r="T2" s="14">
        <f>SUBTOTAL(9, T3:T97)</f>
        <v/>
      </c>
      <c r="U2" s="14">
        <f>SUBTOTAL(9, U3:U97)</f>
        <v/>
      </c>
      <c r="V2" s="18">
        <f>SUBTOTAL(9, V3:V97)</f>
        <v/>
      </c>
      <c r="W2" s="19">
        <f>SUBTOTAL(9, W3:W97)</f>
        <v/>
      </c>
      <c r="X2" s="18">
        <f>SUBTOTAL(9, X3:X97)</f>
        <v/>
      </c>
      <c r="AA2" s="14">
        <f>SUBTOTAL(9, AA3:AA97)</f>
        <v/>
      </c>
    </row>
    <row r="3" ht="48" customHeight="1">
      <c r="A3" s="6" t="inlineStr">
        <is>
          <t>Product Type</t>
        </is>
      </c>
      <c r="B3" s="20" t="inlineStr">
        <is>
          <t>Total Net Sales</t>
        </is>
      </c>
      <c r="C3" s="21" t="inlineStr">
        <is>
          <t>Share of Sales</t>
        </is>
      </c>
      <c r="D3" s="20" t="inlineStr">
        <is>
          <t>Return Sales</t>
        </is>
      </c>
      <c r="E3" s="20" t="inlineStr">
        <is>
          <t>Cancelled Sales</t>
        </is>
      </c>
      <c r="F3" s="22" t="inlineStr">
        <is>
          <t>Total Net Unit Sold</t>
        </is>
      </c>
      <c r="G3" s="23" t="inlineStr">
        <is>
          <t>Ad Spend</t>
        </is>
      </c>
      <c r="H3" s="24" t="inlineStr">
        <is>
          <t>Share of Ad Spend</t>
        </is>
      </c>
      <c r="I3" s="24" t="inlineStr">
        <is>
          <t>TACOS</t>
        </is>
      </c>
      <c r="J3" s="24" t="inlineStr">
        <is>
          <t>Previous TACOS</t>
        </is>
      </c>
      <c r="K3" s="23" t="inlineStr">
        <is>
          <t>ROAS</t>
        </is>
      </c>
      <c r="L3" s="24" t="inlineStr">
        <is>
          <t>ACOS</t>
        </is>
      </c>
      <c r="M3" s="23" t="inlineStr">
        <is>
          <t>Ad Sales</t>
        </is>
      </c>
      <c r="N3" s="23" t="inlineStr">
        <is>
          <t>Ad SKU Sales</t>
        </is>
      </c>
      <c r="O3" s="25" t="inlineStr">
        <is>
          <t>Ad Impressions</t>
        </is>
      </c>
      <c r="P3" s="25" t="inlineStr">
        <is>
          <t>Ad Clicks</t>
        </is>
      </c>
      <c r="Q3" s="24" t="inlineStr">
        <is>
          <t>CTR</t>
        </is>
      </c>
      <c r="R3" s="25" t="inlineStr">
        <is>
          <t>Ad Units Sold</t>
        </is>
      </c>
      <c r="S3" s="24" t="inlineStr">
        <is>
          <t>Ad Conversion</t>
        </is>
      </c>
      <c r="T3" s="22" t="inlineStr">
        <is>
          <t>Walmart Item Page Views</t>
        </is>
      </c>
      <c r="U3" s="22" t="inlineStr">
        <is>
          <t>EBC Page Views</t>
        </is>
      </c>
      <c r="V3" s="26" t="inlineStr">
        <is>
          <t>Organic Views</t>
        </is>
      </c>
      <c r="W3" s="27" t="inlineStr">
        <is>
          <t>Organic Sales</t>
        </is>
      </c>
      <c r="X3" s="26" t="inlineStr">
        <is>
          <t>Organic Units Sold</t>
        </is>
      </c>
      <c r="Y3" s="28" t="inlineStr">
        <is>
          <t>Organic Conversion</t>
        </is>
      </c>
      <c r="Z3" s="28" t="inlineStr">
        <is>
          <t>Share of Organic</t>
        </is>
      </c>
      <c r="AA3" s="22" t="inlineStr">
        <is>
          <t>Days of Inventory</t>
        </is>
      </c>
      <c r="AB3" s="22" t="inlineStr">
        <is>
          <t>Count of Item IDs</t>
        </is>
      </c>
    </row>
    <row r="4">
      <c r="A4" t="inlineStr">
        <is>
          <t>Reusable Lunch Bags &amp; Boxes</t>
        </is>
      </c>
      <c r="B4" s="29" t="n">
        <v>35648.60999999998</v>
      </c>
      <c r="C4" s="30" t="n">
        <v>0.3075</v>
      </c>
      <c r="D4" s="29" t="n">
        <v>3569.449945688248</v>
      </c>
      <c r="E4" s="29" t="n">
        <v>387.4899940490723</v>
      </c>
      <c r="F4" s="2" t="n">
        <v>2788</v>
      </c>
      <c r="G4" s="31" t="n">
        <v>0</v>
      </c>
      <c r="H4" s="32" t="n"/>
      <c r="I4" s="32" t="n">
        <v>0</v>
      </c>
      <c r="J4" s="32" t="n">
        <v>0.1035</v>
      </c>
      <c r="K4" s="31" t="n">
        <v>0</v>
      </c>
      <c r="L4" s="32" t="n">
        <v>0</v>
      </c>
      <c r="M4" s="31" t="n">
        <v>0</v>
      </c>
      <c r="N4" s="31" t="n">
        <v>0</v>
      </c>
      <c r="O4" s="3" t="n">
        <v>0</v>
      </c>
      <c r="P4" s="3" t="n">
        <v>0</v>
      </c>
      <c r="Q4" s="32" t="n">
        <v>0</v>
      </c>
      <c r="R4" s="3" t="n">
        <v>0</v>
      </c>
      <c r="S4" s="32" t="n">
        <v>0</v>
      </c>
      <c r="T4" s="2" t="n">
        <v>86775</v>
      </c>
      <c r="U4" s="2" t="n">
        <v>29444</v>
      </c>
      <c r="V4" s="4" t="n">
        <v>57331</v>
      </c>
      <c r="W4" s="33" t="n">
        <v>35648.60999999998</v>
      </c>
      <c r="X4" s="4" t="n">
        <v>2788</v>
      </c>
      <c r="Y4" s="34" t="n">
        <v>0.0486</v>
      </c>
      <c r="Z4" s="34" t="n">
        <v>1</v>
      </c>
      <c r="AA4" s="2" t="n">
        <v>801</v>
      </c>
      <c r="AB4" s="2" t="n">
        <v>187</v>
      </c>
    </row>
    <row r="5">
      <c r="A5" t="inlineStr">
        <is>
          <t>Throws</t>
        </is>
      </c>
      <c r="B5" s="29" t="n">
        <v>29356.42</v>
      </c>
      <c r="C5" s="30" t="n">
        <v>0.2532</v>
      </c>
      <c r="D5" s="29" t="n">
        <v>2701.890008926392</v>
      </c>
      <c r="E5" s="29" t="n">
        <v>240.9100017547607</v>
      </c>
      <c r="F5" s="2" t="n">
        <v>1102</v>
      </c>
      <c r="G5" s="31" t="n">
        <v>3300.049999999999</v>
      </c>
      <c r="H5" s="32" t="n">
        <v>0.3957</v>
      </c>
      <c r="I5" s="32" t="n">
        <v>0.1124</v>
      </c>
      <c r="J5" s="32" t="n">
        <v>0.07439999999999999</v>
      </c>
      <c r="K5" s="31" t="n">
        <v>2.9</v>
      </c>
      <c r="L5" s="32" t="n">
        <v>0.35</v>
      </c>
      <c r="M5" s="31" t="n">
        <v>9564.249999999991</v>
      </c>
      <c r="N5" s="31" t="n">
        <v>8483.649999999994</v>
      </c>
      <c r="O5" s="3" t="n">
        <v>4405099</v>
      </c>
      <c r="P5" s="3" t="n">
        <v>8668</v>
      </c>
      <c r="Q5" s="32" t="n">
        <v>0.002</v>
      </c>
      <c r="R5" s="3" t="n">
        <v>375</v>
      </c>
      <c r="S5" s="32" t="n">
        <v>0.0433</v>
      </c>
      <c r="T5" s="2" t="n">
        <v>23732</v>
      </c>
      <c r="U5" s="2" t="n">
        <v>27489</v>
      </c>
      <c r="V5" s="4" t="n">
        <v>18821</v>
      </c>
      <c r="W5" s="33" t="n">
        <v>19792.17000000001</v>
      </c>
      <c r="X5" s="4" t="n">
        <v>727</v>
      </c>
      <c r="Y5" s="34" t="n">
        <v>0.0386</v>
      </c>
      <c r="Z5" s="34" t="n">
        <v>0.6742</v>
      </c>
      <c r="AA5" s="2" t="n">
        <v>5067</v>
      </c>
      <c r="AB5" s="2" t="n">
        <v>661</v>
      </c>
    </row>
    <row r="6">
      <c r="A6" t="inlineStr">
        <is>
          <t>Pet Blankets</t>
        </is>
      </c>
      <c r="B6" s="29" t="n">
        <v>10433.17</v>
      </c>
      <c r="C6" s="30" t="n">
        <v>0.09</v>
      </c>
      <c r="D6" s="29" t="n">
        <v>598.7099933624268</v>
      </c>
      <c r="E6" s="29" t="n">
        <v>52.97999954223633</v>
      </c>
      <c r="F6" s="2" t="n">
        <v>464</v>
      </c>
      <c r="G6" s="31" t="n">
        <v>1287.85</v>
      </c>
      <c r="H6" s="32" t="n">
        <v>0.1544</v>
      </c>
      <c r="I6" s="32" t="n">
        <v>0.1234</v>
      </c>
      <c r="J6" s="32" t="n">
        <v>0.1458</v>
      </c>
      <c r="K6" s="31" t="n">
        <v>4.67</v>
      </c>
      <c r="L6" s="32" t="n">
        <v>0.21</v>
      </c>
      <c r="M6" s="31" t="n">
        <v>6009.93</v>
      </c>
      <c r="N6" s="31" t="n">
        <v>5495.129999999999</v>
      </c>
      <c r="O6" s="3" t="n">
        <v>1045504</v>
      </c>
      <c r="P6" s="3" t="n">
        <v>3302</v>
      </c>
      <c r="Q6" s="32" t="n">
        <v>0.0032</v>
      </c>
      <c r="R6" s="3" t="n">
        <v>272</v>
      </c>
      <c r="S6" s="32" t="n">
        <v>0.0824</v>
      </c>
      <c r="T6" s="2" t="n">
        <v>4794</v>
      </c>
      <c r="U6" s="2" t="n">
        <v>3907</v>
      </c>
      <c r="V6" s="4" t="n">
        <v>605</v>
      </c>
      <c r="W6" s="33" t="n">
        <v>4423.239999999996</v>
      </c>
      <c r="X6" s="4" t="n">
        <v>192</v>
      </c>
      <c r="Y6" s="34" t="n">
        <v>0.3174</v>
      </c>
      <c r="Z6" s="34" t="n">
        <v>0.424</v>
      </c>
      <c r="AA6" s="2" t="n">
        <v>999</v>
      </c>
      <c r="AB6" s="2" t="n">
        <v>53</v>
      </c>
    </row>
    <row r="7">
      <c r="A7" t="inlineStr">
        <is>
          <t>Hats</t>
        </is>
      </c>
      <c r="B7" s="29" t="n">
        <v>7507.449999999988</v>
      </c>
      <c r="C7" s="30" t="n">
        <v>0.0648</v>
      </c>
      <c r="D7" s="29" t="n">
        <v>1220.579979896545</v>
      </c>
      <c r="E7" s="29" t="n">
        <v>80.93999862670898</v>
      </c>
      <c r="F7" s="2" t="n">
        <v>503</v>
      </c>
      <c r="G7" s="31" t="n">
        <v>643.3000000000002</v>
      </c>
      <c r="H7" s="32" t="n">
        <v>0.0771</v>
      </c>
      <c r="I7" s="32" t="n">
        <v>0.0857</v>
      </c>
      <c r="J7" s="32" t="n">
        <v>0.1136</v>
      </c>
      <c r="K7" s="31" t="n">
        <v>3.17</v>
      </c>
      <c r="L7" s="32" t="n">
        <v>0.32</v>
      </c>
      <c r="M7" s="31" t="n">
        <v>2039.63</v>
      </c>
      <c r="N7" s="31" t="n">
        <v>1907.71</v>
      </c>
      <c r="O7" s="3" t="n">
        <v>1206066</v>
      </c>
      <c r="P7" s="3" t="n">
        <v>2308</v>
      </c>
      <c r="Q7" s="32" t="n">
        <v>0.0019</v>
      </c>
      <c r="R7" s="3" t="n">
        <v>124</v>
      </c>
      <c r="S7" s="32" t="n">
        <v>0.0537</v>
      </c>
      <c r="T7" s="2" t="n">
        <v>3041</v>
      </c>
      <c r="U7" s="2" t="n">
        <v>8396</v>
      </c>
      <c r="V7" s="4" t="n">
        <v>6088</v>
      </c>
      <c r="W7" s="33" t="n">
        <v>5467.819999999988</v>
      </c>
      <c r="X7" s="4" t="n">
        <v>379</v>
      </c>
      <c r="Y7" s="34" t="n">
        <v>0.0623</v>
      </c>
      <c r="Z7" s="34" t="n">
        <v>0.7282999999999999</v>
      </c>
      <c r="AA7" s="2" t="n">
        <v>7827</v>
      </c>
      <c r="AB7" s="2" t="n">
        <v>413</v>
      </c>
    </row>
    <row r="8">
      <c r="A8" t="inlineStr">
        <is>
          <t>Belts</t>
        </is>
      </c>
      <c r="B8" s="29" t="n">
        <v>7124.7</v>
      </c>
      <c r="C8" s="30" t="n">
        <v>0.0615</v>
      </c>
      <c r="D8" s="29" t="n">
        <v>1642.129985809326</v>
      </c>
      <c r="E8" s="29" t="n">
        <v>19.98999977111816</v>
      </c>
      <c r="F8" s="2" t="n">
        <v>354</v>
      </c>
      <c r="G8" s="31" t="n">
        <v>542.86</v>
      </c>
      <c r="H8" s="32" t="n">
        <v>0.06510000000000001</v>
      </c>
      <c r="I8" s="32" t="n">
        <v>0.0762</v>
      </c>
      <c r="J8" s="32" t="n">
        <v>0.1168</v>
      </c>
      <c r="K8" s="31" t="n">
        <v>5.14</v>
      </c>
      <c r="L8" s="32" t="n">
        <v>0.19</v>
      </c>
      <c r="M8" s="31" t="n">
        <v>2788.6</v>
      </c>
      <c r="N8" s="31" t="n">
        <v>2668.66</v>
      </c>
      <c r="O8" s="3" t="n">
        <v>112147</v>
      </c>
      <c r="P8" s="3" t="n">
        <v>1226</v>
      </c>
      <c r="Q8" s="32" t="n">
        <v>0.0109</v>
      </c>
      <c r="R8" s="3" t="n">
        <v>140</v>
      </c>
      <c r="S8" s="32" t="n">
        <v>0.1142</v>
      </c>
      <c r="T8" s="2" t="n">
        <v>1043</v>
      </c>
      <c r="U8" s="2" t="n">
        <v>3116</v>
      </c>
      <c r="V8" s="4" t="n">
        <v>1890</v>
      </c>
      <c r="W8" s="33" t="n">
        <v>4336.1</v>
      </c>
      <c r="X8" s="4" t="n">
        <v>214</v>
      </c>
      <c r="Y8" s="34" t="n">
        <v>0.1132</v>
      </c>
      <c r="Z8" s="34" t="n">
        <v>0.6086</v>
      </c>
      <c r="AA8" s="2" t="n">
        <v>1137</v>
      </c>
      <c r="AB8" s="2" t="n">
        <v>48</v>
      </c>
    </row>
    <row r="9">
      <c r="A9" t="inlineStr">
        <is>
          <t>Picnic Blankets &amp; Mats</t>
        </is>
      </c>
      <c r="B9" s="29" t="n">
        <v>6133.98</v>
      </c>
      <c r="C9" s="30" t="n">
        <v>0.0529</v>
      </c>
      <c r="D9" s="29" t="n">
        <v>629.7800025939941</v>
      </c>
      <c r="E9" s="29" t="n">
        <v>124.9500007629395</v>
      </c>
      <c r="F9" s="2" t="n">
        <v>188</v>
      </c>
      <c r="G9" s="31" t="n">
        <v>698.1799999999997</v>
      </c>
      <c r="H9" s="32" t="n">
        <v>0.0837</v>
      </c>
      <c r="I9" s="32" t="n">
        <v>0.1138</v>
      </c>
      <c r="J9" s="32" t="n">
        <v>0.0742</v>
      </c>
      <c r="K9" s="31" t="n">
        <v>3.26</v>
      </c>
      <c r="L9" s="32" t="n">
        <v>0.31</v>
      </c>
      <c r="M9" s="31" t="n">
        <v>2277.28</v>
      </c>
      <c r="N9" s="31" t="n">
        <v>2277.28</v>
      </c>
      <c r="O9" s="3" t="n">
        <v>849442</v>
      </c>
      <c r="P9" s="3" t="n">
        <v>1811</v>
      </c>
      <c r="Q9" s="32" t="n">
        <v>0.0021</v>
      </c>
      <c r="R9" s="3" t="n">
        <v>72</v>
      </c>
      <c r="S9" s="32" t="n">
        <v>0.0398</v>
      </c>
      <c r="T9" s="2" t="n">
        <v>1570</v>
      </c>
      <c r="U9" s="2" t="n">
        <v>3295</v>
      </c>
      <c r="V9" s="4" t="n">
        <v>1484</v>
      </c>
      <c r="W9" s="33" t="n">
        <v>3856.699999999999</v>
      </c>
      <c r="X9" s="4" t="n">
        <v>116</v>
      </c>
      <c r="Y9" s="34" t="n">
        <v>0.07820000000000001</v>
      </c>
      <c r="Z9" s="34" t="n">
        <v>0.6287</v>
      </c>
      <c r="AA9" s="2" t="n">
        <v>2079</v>
      </c>
      <c r="AB9" s="2" t="n">
        <v>35</v>
      </c>
    </row>
    <row r="10">
      <c r="A10" t="inlineStr">
        <is>
          <t>Wine Totes, Bags &amp; Backpacks</t>
        </is>
      </c>
      <c r="B10" s="29" t="n">
        <v>4661.449999999997</v>
      </c>
      <c r="C10" s="30" t="n">
        <v>0.0402</v>
      </c>
      <c r="D10" s="29" t="n">
        <v>481.7399940490723</v>
      </c>
      <c r="E10" s="29" t="n">
        <v>64.95999908447266</v>
      </c>
      <c r="F10" s="2" t="n">
        <v>258</v>
      </c>
      <c r="G10" s="31" t="n">
        <v>842.66</v>
      </c>
      <c r="H10" s="32" t="n">
        <v>0.101</v>
      </c>
      <c r="I10" s="32" t="n">
        <v>0.1808</v>
      </c>
      <c r="J10" s="32" t="n">
        <v>0.0848</v>
      </c>
      <c r="K10" s="31" t="n">
        <v>2.68</v>
      </c>
      <c r="L10" s="32" t="n">
        <v>0.37</v>
      </c>
      <c r="M10" s="31" t="n">
        <v>2256.76</v>
      </c>
      <c r="N10" s="31" t="n">
        <v>1817.98</v>
      </c>
      <c r="O10" s="3" t="n">
        <v>980420</v>
      </c>
      <c r="P10" s="3" t="n">
        <v>1907</v>
      </c>
      <c r="Q10" s="32" t="n">
        <v>0.0019</v>
      </c>
      <c r="R10" s="3" t="n">
        <v>124</v>
      </c>
      <c r="S10" s="32" t="n">
        <v>0.065</v>
      </c>
      <c r="T10" s="2" t="n">
        <v>1287</v>
      </c>
      <c r="U10" s="2" t="n">
        <v>4741</v>
      </c>
      <c r="V10" s="4" t="n">
        <v>2834</v>
      </c>
      <c r="W10" s="33" t="n">
        <v>2404.689999999997</v>
      </c>
      <c r="X10" s="4" t="n">
        <v>134</v>
      </c>
      <c r="Y10" s="34" t="n">
        <v>0.0473</v>
      </c>
      <c r="Z10" s="34" t="n">
        <v>0.5159</v>
      </c>
      <c r="AA10" s="2" t="n">
        <v>4763</v>
      </c>
      <c r="AB10" s="2" t="n">
        <v>134</v>
      </c>
    </row>
    <row r="11">
      <c r="A11" t="inlineStr">
        <is>
          <t>Bedding Sets</t>
        </is>
      </c>
      <c r="B11" s="29" t="n">
        <v>2772.06</v>
      </c>
      <c r="C11" s="30" t="n">
        <v>0.0239</v>
      </c>
      <c r="D11" s="29" t="n">
        <v>135.9600028991699</v>
      </c>
      <c r="E11" s="29" t="n">
        <v>0</v>
      </c>
      <c r="F11" s="2" t="n">
        <v>80</v>
      </c>
      <c r="G11" s="31" t="n">
        <v>321.07</v>
      </c>
      <c r="H11" s="32" t="n">
        <v>0.0385</v>
      </c>
      <c r="I11" s="32" t="n">
        <v>0.1158</v>
      </c>
      <c r="J11" s="32" t="n">
        <v>0.0574</v>
      </c>
      <c r="K11" s="31" t="n">
        <v>1.68</v>
      </c>
      <c r="L11" s="32" t="n">
        <v>0.59</v>
      </c>
      <c r="M11" s="31" t="n">
        <v>540.84</v>
      </c>
      <c r="N11" s="31" t="n">
        <v>540.84</v>
      </c>
      <c r="O11" s="3" t="n">
        <v>140358</v>
      </c>
      <c r="P11" s="3" t="n">
        <v>787</v>
      </c>
      <c r="Q11" s="32" t="n">
        <v>0.0056</v>
      </c>
      <c r="R11" s="3" t="n">
        <v>16</v>
      </c>
      <c r="S11" s="32" t="n">
        <v>0.0203</v>
      </c>
      <c r="T11" s="2" t="n">
        <v>2767</v>
      </c>
      <c r="U11" s="2" t="n">
        <v>1479</v>
      </c>
      <c r="V11" s="4" t="n">
        <v>692</v>
      </c>
      <c r="W11" s="33" t="n">
        <v>2231.22</v>
      </c>
      <c r="X11" s="4" t="n">
        <v>64</v>
      </c>
      <c r="Y11" s="34" t="n">
        <v>0.0925</v>
      </c>
      <c r="Z11" s="34" t="n">
        <v>0.8048999999999999</v>
      </c>
      <c r="AA11" s="2" t="n">
        <v>1199</v>
      </c>
      <c r="AB11" s="2" t="n">
        <v>16</v>
      </c>
    </row>
    <row r="12">
      <c r="A12" t="inlineStr">
        <is>
          <t>Towels &amp; Washcloths</t>
        </is>
      </c>
      <c r="B12" s="29" t="n">
        <v>2074.36</v>
      </c>
      <c r="C12" s="30" t="n">
        <v>0.0179</v>
      </c>
      <c r="D12" s="29" t="n">
        <v>176.9199981689453</v>
      </c>
      <c r="E12" s="29" t="n">
        <v>45.97999954223633</v>
      </c>
      <c r="F12" s="2" t="n">
        <v>118</v>
      </c>
      <c r="G12" s="31" t="n">
        <v>103.6</v>
      </c>
      <c r="H12" s="32" t="n">
        <v>0.0124</v>
      </c>
      <c r="I12" s="32" t="n">
        <v>0.0499</v>
      </c>
      <c r="J12" s="32" t="n">
        <v>0.0125</v>
      </c>
      <c r="K12" s="31" t="n">
        <v>6.37</v>
      </c>
      <c r="L12" s="32" t="n">
        <v>0.16</v>
      </c>
      <c r="M12" s="31" t="n">
        <v>659.53</v>
      </c>
      <c r="N12" s="31" t="n">
        <v>659.53</v>
      </c>
      <c r="O12" s="3" t="n">
        <v>32022</v>
      </c>
      <c r="P12" s="3" t="n">
        <v>246</v>
      </c>
      <c r="Q12" s="32" t="n">
        <v>0.0077</v>
      </c>
      <c r="R12" s="3" t="n">
        <v>28</v>
      </c>
      <c r="S12" s="32" t="n">
        <v>0.1138</v>
      </c>
      <c r="T12" s="2" t="n">
        <v>162</v>
      </c>
      <c r="U12" s="2" t="n">
        <v>1952</v>
      </c>
      <c r="V12" s="4" t="n">
        <v>1706</v>
      </c>
      <c r="W12" s="33" t="n">
        <v>1414.83</v>
      </c>
      <c r="X12" s="4" t="n">
        <v>90</v>
      </c>
      <c r="Y12" s="34" t="n">
        <v>0.0528</v>
      </c>
      <c r="Z12" s="34" t="n">
        <v>0.6821</v>
      </c>
      <c r="AA12" s="2" t="n">
        <v>2959</v>
      </c>
      <c r="AB12" s="2" t="n">
        <v>37</v>
      </c>
    </row>
    <row r="13">
      <c r="A13" t="inlineStr">
        <is>
          <t>Swim Parkas</t>
        </is>
      </c>
      <c r="B13" s="29" t="n">
        <v>869.3600000000001</v>
      </c>
      <c r="C13" s="30" t="n">
        <v>0.0075</v>
      </c>
      <c r="D13" s="29" t="n">
        <v>272.4100074768066</v>
      </c>
      <c r="E13" s="29" t="n">
        <v>0</v>
      </c>
      <c r="F13" s="2" t="n">
        <v>17</v>
      </c>
      <c r="G13" s="31" t="n">
        <v>0</v>
      </c>
      <c r="H13" s="32" t="n"/>
      <c r="I13" s="32" t="n">
        <v>0</v>
      </c>
      <c r="J13" s="32" t="n">
        <v>0</v>
      </c>
      <c r="K13" s="31" t="n">
        <v>0</v>
      </c>
      <c r="L13" s="32" t="n">
        <v>0</v>
      </c>
      <c r="M13" s="31" t="n">
        <v>0</v>
      </c>
      <c r="N13" s="31" t="n">
        <v>0</v>
      </c>
      <c r="O13" s="3" t="n">
        <v>0</v>
      </c>
      <c r="P13" s="3" t="n">
        <v>0</v>
      </c>
      <c r="Q13" s="32" t="n">
        <v>0</v>
      </c>
      <c r="R13" s="3" t="n">
        <v>0</v>
      </c>
      <c r="S13" s="32" t="n">
        <v>0</v>
      </c>
      <c r="T13" s="2" t="n">
        <v>2</v>
      </c>
      <c r="U13" s="2" t="n">
        <v>0</v>
      </c>
      <c r="V13" s="4" t="n">
        <v>2</v>
      </c>
      <c r="W13" s="33" t="n">
        <v>869.3600000000001</v>
      </c>
      <c r="X13" s="4" t="n">
        <v>17</v>
      </c>
      <c r="Y13" s="34" t="n">
        <v>8.5</v>
      </c>
      <c r="Z13" s="34" t="n">
        <v>1</v>
      </c>
      <c r="AA13" s="2" t="n">
        <v>1802</v>
      </c>
      <c r="AB13" s="2" t="n">
        <v>8</v>
      </c>
    </row>
    <row r="14">
      <c r="A14" t="inlineStr">
        <is>
          <t>Soft-Sided Coolers</t>
        </is>
      </c>
      <c r="B14" s="29" t="n">
        <v>813.8900000000001</v>
      </c>
      <c r="C14" s="30" t="n">
        <v>0.007</v>
      </c>
      <c r="D14" s="29" t="n">
        <v>104.9599990844727</v>
      </c>
      <c r="E14" s="29" t="n">
        <v>0</v>
      </c>
      <c r="F14" s="2" t="n">
        <v>32</v>
      </c>
      <c r="G14" s="31" t="n">
        <v>0</v>
      </c>
      <c r="H14" s="32" t="n"/>
      <c r="I14" s="32" t="n">
        <v>0</v>
      </c>
      <c r="J14" s="32" t="n">
        <v>0.073</v>
      </c>
      <c r="K14" s="31" t="n">
        <v>0</v>
      </c>
      <c r="L14" s="32" t="n">
        <v>0</v>
      </c>
      <c r="M14" s="31" t="n">
        <v>0</v>
      </c>
      <c r="N14" s="31" t="n">
        <v>0</v>
      </c>
      <c r="O14" s="3" t="n">
        <v>0</v>
      </c>
      <c r="P14" s="3" t="n">
        <v>0</v>
      </c>
      <c r="Q14" s="32" t="n">
        <v>0</v>
      </c>
      <c r="R14" s="3" t="n">
        <v>0</v>
      </c>
      <c r="S14" s="32" t="n">
        <v>0</v>
      </c>
      <c r="T14" s="2" t="n">
        <v>148</v>
      </c>
      <c r="U14" s="2" t="n">
        <v>1016</v>
      </c>
      <c r="V14" s="4" t="n">
        <v>1016</v>
      </c>
      <c r="W14" s="33" t="n">
        <v>813.8900000000001</v>
      </c>
      <c r="X14" s="4" t="n">
        <v>32</v>
      </c>
      <c r="Y14" s="34" t="n">
        <v>0.0315</v>
      </c>
      <c r="Z14" s="34" t="n">
        <v>1</v>
      </c>
      <c r="AA14" s="2" t="n">
        <v>8441</v>
      </c>
      <c r="AB14" s="2" t="n">
        <v>20</v>
      </c>
    </row>
    <row r="15">
      <c r="A15" t="inlineStr">
        <is>
          <t>Bed Blankets</t>
        </is>
      </c>
      <c r="B15" s="29" t="n">
        <v>774.8100000000001</v>
      </c>
      <c r="C15" s="30" t="n">
        <v>0.0067</v>
      </c>
      <c r="D15" s="29" t="n">
        <v>109.9400024414062</v>
      </c>
      <c r="E15" s="29" t="n">
        <v>0</v>
      </c>
      <c r="F15" s="2" t="n">
        <v>17</v>
      </c>
      <c r="G15" s="31" t="n">
        <v>72.49000000000002</v>
      </c>
      <c r="H15" s="32" t="n">
        <v>0.008699999999999999</v>
      </c>
      <c r="I15" s="32" t="n">
        <v>0.0936</v>
      </c>
      <c r="J15" s="32" t="n">
        <v>0.0552</v>
      </c>
      <c r="K15" s="31" t="n">
        <v>4.8</v>
      </c>
      <c r="L15" s="32" t="n">
        <v>0.21</v>
      </c>
      <c r="M15" s="31" t="n">
        <v>347.91</v>
      </c>
      <c r="N15" s="31" t="n">
        <v>257.94</v>
      </c>
      <c r="O15" s="3" t="n">
        <v>96476</v>
      </c>
      <c r="P15" s="3" t="n">
        <v>175</v>
      </c>
      <c r="Q15" s="32" t="n">
        <v>0.0018</v>
      </c>
      <c r="R15" s="3" t="n">
        <v>9</v>
      </c>
      <c r="S15" s="32" t="n">
        <v>0.0514</v>
      </c>
      <c r="T15" s="2" t="n">
        <v>65</v>
      </c>
      <c r="U15" s="2" t="n">
        <v>870</v>
      </c>
      <c r="V15" s="4" t="n">
        <v>695</v>
      </c>
      <c r="W15" s="33" t="n">
        <v>426.9</v>
      </c>
      <c r="X15" s="4" t="n">
        <v>8</v>
      </c>
      <c r="Y15" s="34" t="n">
        <v>0.0115</v>
      </c>
      <c r="Z15" s="34" t="n">
        <v>0.551</v>
      </c>
      <c r="AA15" s="2" t="n">
        <v>6742</v>
      </c>
      <c r="AB15" s="2" t="n">
        <v>16</v>
      </c>
    </row>
    <row r="16">
      <c r="A16" t="inlineStr">
        <is>
          <t>Capes &amp; Cloaks</t>
        </is>
      </c>
      <c r="B16" s="29" t="n">
        <v>763.79</v>
      </c>
      <c r="C16" s="30" t="n">
        <v>0.0066</v>
      </c>
      <c r="D16" s="29" t="n">
        <v>71.98000335693359</v>
      </c>
      <c r="E16" s="29" t="n">
        <v>35.9900016784668</v>
      </c>
      <c r="F16" s="2" t="n">
        <v>21</v>
      </c>
      <c r="G16" s="31" t="n">
        <v>61.79</v>
      </c>
      <c r="H16" s="32" t="n">
        <v>0.0074</v>
      </c>
      <c r="I16" s="32" t="n">
        <v>0.0809</v>
      </c>
      <c r="J16" s="32" t="n">
        <v>0.0929</v>
      </c>
      <c r="K16" s="31" t="n">
        <v>4.27</v>
      </c>
      <c r="L16" s="32" t="n">
        <v>0.23</v>
      </c>
      <c r="M16" s="31" t="n">
        <v>263.92</v>
      </c>
      <c r="N16" s="31" t="n">
        <v>263.92</v>
      </c>
      <c r="O16" s="3" t="n">
        <v>34050</v>
      </c>
      <c r="P16" s="3" t="n">
        <v>224</v>
      </c>
      <c r="Q16" s="32" t="n">
        <v>0.0066</v>
      </c>
      <c r="R16" s="3" t="n">
        <v>8</v>
      </c>
      <c r="S16" s="32" t="n">
        <v>0.0357</v>
      </c>
      <c r="T16" s="2" t="n">
        <v>1533</v>
      </c>
      <c r="U16" s="2" t="n">
        <v>660</v>
      </c>
      <c r="V16" s="4" t="n">
        <v>649</v>
      </c>
      <c r="W16" s="33" t="n">
        <v>499.8699999999999</v>
      </c>
      <c r="X16" s="4" t="n">
        <v>13</v>
      </c>
      <c r="Y16" s="34" t="n">
        <v>0.02</v>
      </c>
      <c r="Z16" s="34" t="n">
        <v>0.6545</v>
      </c>
      <c r="AA16" s="2" t="n">
        <v>912</v>
      </c>
      <c r="AB16" s="2" t="n">
        <v>2</v>
      </c>
    </row>
    <row r="17">
      <c r="A17" t="inlineStr">
        <is>
          <t>Sweatshirts &amp; Hoodies</t>
        </is>
      </c>
      <c r="B17" s="29" t="n">
        <v>626.7900000000001</v>
      </c>
      <c r="C17" s="30" t="n">
        <v>0.0054</v>
      </c>
      <c r="D17" s="29" t="n">
        <v>152.9300022125244</v>
      </c>
      <c r="E17" s="29" t="n">
        <v>44.9900016784668</v>
      </c>
      <c r="F17" s="2" t="n">
        <v>20</v>
      </c>
      <c r="G17" s="31" t="n">
        <v>145.16</v>
      </c>
      <c r="H17" s="32" t="n">
        <v>0.0174</v>
      </c>
      <c r="I17" s="32" t="n">
        <v>0.2316</v>
      </c>
      <c r="J17" s="32" t="n">
        <v>0.172</v>
      </c>
      <c r="K17" s="31" t="n">
        <v>0.39</v>
      </c>
      <c r="L17" s="32" t="n">
        <v>2.59</v>
      </c>
      <c r="M17" s="31" t="n">
        <v>55.96</v>
      </c>
      <c r="N17" s="31" t="n">
        <v>41.97</v>
      </c>
      <c r="O17" s="3" t="n">
        <v>268398</v>
      </c>
      <c r="P17" s="3" t="n">
        <v>405</v>
      </c>
      <c r="Q17" s="32" t="n">
        <v>0.0015</v>
      </c>
      <c r="R17" s="3" t="n">
        <v>4</v>
      </c>
      <c r="S17" s="32" t="n">
        <v>0.009900000000000001</v>
      </c>
      <c r="T17" s="2" t="n">
        <v>160</v>
      </c>
      <c r="U17" s="2" t="n">
        <v>1424</v>
      </c>
      <c r="V17" s="4" t="n">
        <v>1019</v>
      </c>
      <c r="W17" s="33" t="n">
        <v>570.83</v>
      </c>
      <c r="X17" s="4" t="n">
        <v>16</v>
      </c>
      <c r="Y17" s="34" t="n">
        <v>0.0157</v>
      </c>
      <c r="Z17" s="34" t="n">
        <v>0.9107</v>
      </c>
      <c r="AA17" s="2" t="n">
        <v>36497</v>
      </c>
      <c r="AB17" s="2" t="n">
        <v>129</v>
      </c>
    </row>
    <row r="18">
      <c r="A18" t="inlineStr">
        <is>
          <t>Sleepwear Robes &amp; Bathrobes</t>
        </is>
      </c>
      <c r="B18" s="29" t="n">
        <v>601.7300000000001</v>
      </c>
      <c r="C18" s="30" t="n">
        <v>0.0052</v>
      </c>
      <c r="D18" s="29" t="n">
        <v>144.939998626709</v>
      </c>
      <c r="E18" s="29" t="n">
        <v>0</v>
      </c>
      <c r="F18" s="2" t="n">
        <v>25</v>
      </c>
      <c r="G18" s="31" t="n">
        <v>0</v>
      </c>
      <c r="H18" s="32" t="n"/>
      <c r="I18" s="32" t="n">
        <v>0</v>
      </c>
      <c r="J18" s="32" t="n">
        <v>0.008200000000000001</v>
      </c>
      <c r="K18" s="31" t="n">
        <v>0</v>
      </c>
      <c r="L18" s="32" t="n">
        <v>0</v>
      </c>
      <c r="M18" s="31" t="n">
        <v>0</v>
      </c>
      <c r="N18" s="31" t="n">
        <v>0</v>
      </c>
      <c r="O18" s="3" t="n">
        <v>0</v>
      </c>
      <c r="P18" s="3" t="n">
        <v>0</v>
      </c>
      <c r="Q18" s="32" t="n">
        <v>0</v>
      </c>
      <c r="R18" s="3" t="n">
        <v>0</v>
      </c>
      <c r="S18" s="32" t="n">
        <v>0</v>
      </c>
      <c r="T18" s="2" t="n">
        <v>207</v>
      </c>
      <c r="U18" s="2" t="n">
        <v>1329</v>
      </c>
      <c r="V18" s="4" t="n">
        <v>1329</v>
      </c>
      <c r="W18" s="33" t="n">
        <v>601.7300000000001</v>
      </c>
      <c r="X18" s="4" t="n">
        <v>25</v>
      </c>
      <c r="Y18" s="34" t="n">
        <v>0.0188</v>
      </c>
      <c r="Z18" s="34" t="n">
        <v>1</v>
      </c>
      <c r="AA18" s="2" t="n">
        <v>21583</v>
      </c>
      <c r="AB18" s="2" t="n">
        <v>60</v>
      </c>
    </row>
    <row r="19">
      <c r="A19" t="inlineStr">
        <is>
          <t>Backpacks</t>
        </is>
      </c>
      <c r="B19" s="29" t="n">
        <v>539.8100000000001</v>
      </c>
      <c r="C19" s="30" t="n">
        <v>0.0047</v>
      </c>
      <c r="D19" s="29" t="n">
        <v>34.9900016784668</v>
      </c>
      <c r="E19" s="29" t="n">
        <v>0</v>
      </c>
      <c r="F19" s="2" t="n">
        <v>16</v>
      </c>
      <c r="G19" s="31" t="n">
        <v>0</v>
      </c>
      <c r="H19" s="32" t="n"/>
      <c r="I19" s="32" t="n">
        <v>0</v>
      </c>
      <c r="J19" s="32" t="n">
        <v>0.3349</v>
      </c>
      <c r="K19" s="31" t="n">
        <v>0</v>
      </c>
      <c r="L19" s="32" t="n">
        <v>0</v>
      </c>
      <c r="M19" s="31" t="n">
        <v>0</v>
      </c>
      <c r="N19" s="31" t="n">
        <v>0</v>
      </c>
      <c r="O19" s="3" t="n">
        <v>0</v>
      </c>
      <c r="P19" s="3" t="n">
        <v>0</v>
      </c>
      <c r="Q19" s="32" t="n">
        <v>0</v>
      </c>
      <c r="R19" s="3" t="n">
        <v>0</v>
      </c>
      <c r="S19" s="32" t="n">
        <v>0</v>
      </c>
      <c r="T19" s="2" t="n">
        <v>30</v>
      </c>
      <c r="U19" s="2" t="n">
        <v>1062</v>
      </c>
      <c r="V19" s="4" t="n">
        <v>1062</v>
      </c>
      <c r="W19" s="33" t="n">
        <v>539.8100000000001</v>
      </c>
      <c r="X19" s="4" t="n">
        <v>16</v>
      </c>
      <c r="Y19" s="34" t="n">
        <v>0.0151</v>
      </c>
      <c r="Z19" s="34" t="n">
        <v>1</v>
      </c>
      <c r="AA19" s="2" t="n">
        <v>37411</v>
      </c>
      <c r="AB19" s="2" t="n">
        <v>60</v>
      </c>
    </row>
    <row r="20">
      <c r="A20" t="inlineStr">
        <is>
          <t>Wallets</t>
        </is>
      </c>
      <c r="B20" s="29" t="n">
        <v>479.77</v>
      </c>
      <c r="C20" s="30" t="n">
        <v>0.0041</v>
      </c>
      <c r="D20" s="29" t="n">
        <v>84.95999908447266</v>
      </c>
      <c r="E20" s="29" t="n">
        <v>0</v>
      </c>
      <c r="F20" s="2" t="n">
        <v>17</v>
      </c>
      <c r="G20" s="31" t="n">
        <v>1.32</v>
      </c>
      <c r="H20" s="32" t="n">
        <v>0.0002</v>
      </c>
      <c r="I20" s="32" t="n">
        <v>0.0028</v>
      </c>
      <c r="J20" s="32" t="n">
        <v>0.3573</v>
      </c>
      <c r="K20" s="31" t="n">
        <v>0</v>
      </c>
      <c r="L20" s="32" t="n">
        <v>0</v>
      </c>
      <c r="M20" s="31" t="n">
        <v>0</v>
      </c>
      <c r="N20" s="31" t="n">
        <v>0</v>
      </c>
      <c r="O20" s="3" t="n">
        <v>1441</v>
      </c>
      <c r="P20" s="3" t="n">
        <v>3</v>
      </c>
      <c r="Q20" s="32" t="n">
        <v>0.0021</v>
      </c>
      <c r="R20" s="3" t="n">
        <v>0</v>
      </c>
      <c r="S20" s="32" t="n">
        <v>0</v>
      </c>
      <c r="T20" s="2" t="n">
        <v>103</v>
      </c>
      <c r="U20" s="2" t="n">
        <v>279</v>
      </c>
      <c r="V20" s="4" t="n">
        <v>276</v>
      </c>
      <c r="W20" s="33" t="n">
        <v>479.77</v>
      </c>
      <c r="X20" s="4" t="n">
        <v>17</v>
      </c>
      <c r="Y20" s="34" t="n">
        <v>0.0616</v>
      </c>
      <c r="Z20" s="34" t="n">
        <v>1</v>
      </c>
      <c r="AA20" s="2" t="n">
        <v>5558</v>
      </c>
      <c r="AB20" s="2" t="n">
        <v>10</v>
      </c>
    </row>
    <row r="21">
      <c r="A21" t="inlineStr">
        <is>
          <t>Thermocoolers</t>
        </is>
      </c>
      <c r="B21" s="29" t="n">
        <v>386.19</v>
      </c>
      <c r="C21" s="30" t="n">
        <v>0.0033</v>
      </c>
      <c r="D21" s="29" t="n">
        <v>63.89000129699707</v>
      </c>
      <c r="E21" s="29" t="n">
        <v>0</v>
      </c>
      <c r="F21" s="2" t="n">
        <v>15</v>
      </c>
      <c r="G21" s="31" t="n">
        <v>0</v>
      </c>
      <c r="H21" s="32" t="n"/>
      <c r="I21" s="32" t="n">
        <v>0</v>
      </c>
      <c r="J21" s="32" t="n">
        <v>0.225</v>
      </c>
      <c r="K21" s="31" t="n">
        <v>0</v>
      </c>
      <c r="L21" s="32" t="n">
        <v>0</v>
      </c>
      <c r="M21" s="31" t="n">
        <v>0</v>
      </c>
      <c r="N21" s="31" t="n">
        <v>0</v>
      </c>
      <c r="O21" s="3" t="n">
        <v>0</v>
      </c>
      <c r="P21" s="3" t="n">
        <v>0</v>
      </c>
      <c r="Q21" s="32" t="n">
        <v>0</v>
      </c>
      <c r="R21" s="3" t="n">
        <v>0</v>
      </c>
      <c r="S21" s="32" t="n">
        <v>0</v>
      </c>
      <c r="T21" s="2" t="n">
        <v>115</v>
      </c>
      <c r="U21" s="2" t="n">
        <v>619</v>
      </c>
      <c r="V21" s="4" t="n">
        <v>619</v>
      </c>
      <c r="W21" s="33" t="n">
        <v>386.19</v>
      </c>
      <c r="X21" s="4" t="n">
        <v>15</v>
      </c>
      <c r="Y21" s="34" t="n">
        <v>0.0242</v>
      </c>
      <c r="Z21" s="34" t="n">
        <v>1</v>
      </c>
      <c r="AA21" s="2" t="n">
        <v>5400</v>
      </c>
      <c r="AB21" s="2" t="n">
        <v>6</v>
      </c>
    </row>
    <row r="22">
      <c r="A22" t="inlineStr">
        <is>
          <t>Baby Blankets</t>
        </is>
      </c>
      <c r="B22" s="29" t="n">
        <v>360.22</v>
      </c>
      <c r="C22" s="30" t="n">
        <v>0.0031</v>
      </c>
      <c r="D22" s="29" t="n">
        <v>0</v>
      </c>
      <c r="E22" s="29" t="n">
        <v>0</v>
      </c>
      <c r="F22" s="2" t="n">
        <v>18</v>
      </c>
      <c r="G22" s="31" t="n">
        <v>85.63999999999997</v>
      </c>
      <c r="H22" s="32" t="n">
        <v>0.0103</v>
      </c>
      <c r="I22" s="32" t="n">
        <v>0.2377</v>
      </c>
      <c r="J22" s="32" t="n">
        <v>0.004</v>
      </c>
      <c r="K22" s="31" t="n">
        <v>4.21</v>
      </c>
      <c r="L22" s="32" t="n">
        <v>0.24</v>
      </c>
      <c r="M22" s="31" t="n">
        <v>360.8100000000001</v>
      </c>
      <c r="N22" s="31" t="n">
        <v>360.8100000000001</v>
      </c>
      <c r="O22" s="3" t="n">
        <v>49751</v>
      </c>
      <c r="P22" s="3" t="n">
        <v>205</v>
      </c>
      <c r="Q22" s="32" t="n">
        <v>0.0041</v>
      </c>
      <c r="R22" s="3" t="n">
        <v>19</v>
      </c>
      <c r="S22" s="32" t="n">
        <v>0.0927</v>
      </c>
      <c r="T22" s="2" t="n">
        <v>303</v>
      </c>
      <c r="U22" s="2" t="n">
        <v>201</v>
      </c>
      <c r="V22" s="4" t="inlineStr">
        <is>
          <t>NA</t>
        </is>
      </c>
      <c r="W22" s="33" t="n">
        <v>-0.5900000000000318</v>
      </c>
      <c r="X22" s="4" t="n">
        <v>-1</v>
      </c>
      <c r="Y22" s="34" t="inlineStr">
        <is>
          <t>NA</t>
        </is>
      </c>
      <c r="Z22" s="34" t="n">
        <v>-0.0016</v>
      </c>
      <c r="AA22" s="2" t="n">
        <v>802</v>
      </c>
      <c r="AB22" s="2" t="n">
        <v>2</v>
      </c>
    </row>
    <row r="23">
      <c r="A23" t="inlineStr">
        <is>
          <t>Gloves &amp; Mittens</t>
        </is>
      </c>
      <c r="B23" s="29" t="n">
        <v>347.83</v>
      </c>
      <c r="C23" s="30" t="n">
        <v>0.003</v>
      </c>
      <c r="D23" s="29" t="n">
        <v>61.96999931335449</v>
      </c>
      <c r="E23" s="29" t="n">
        <v>0</v>
      </c>
      <c r="F23" s="2" t="n">
        <v>17</v>
      </c>
      <c r="G23" s="31" t="n">
        <v>0</v>
      </c>
      <c r="H23" s="32" t="n"/>
      <c r="I23" s="32" t="n">
        <v>0</v>
      </c>
      <c r="J23" s="32" t="n">
        <v>0</v>
      </c>
      <c r="K23" s="31" t="n">
        <v>0</v>
      </c>
      <c r="L23" s="32" t="n">
        <v>0</v>
      </c>
      <c r="M23" s="31" t="n">
        <v>0</v>
      </c>
      <c r="N23" s="31" t="n">
        <v>0</v>
      </c>
      <c r="O23" s="3" t="n">
        <v>0</v>
      </c>
      <c r="P23" s="3" t="n">
        <v>0</v>
      </c>
      <c r="Q23" s="32" t="n">
        <v>0</v>
      </c>
      <c r="R23" s="3" t="n">
        <v>0</v>
      </c>
      <c r="S23" s="32" t="n">
        <v>0</v>
      </c>
      <c r="T23" s="2" t="n">
        <v>153</v>
      </c>
      <c r="U23" s="2" t="n">
        <v>554</v>
      </c>
      <c r="V23" s="4" t="n">
        <v>554</v>
      </c>
      <c r="W23" s="33" t="n">
        <v>347.83</v>
      </c>
      <c r="X23" s="4" t="n">
        <v>17</v>
      </c>
      <c r="Y23" s="34" t="n">
        <v>0.0307</v>
      </c>
      <c r="Z23" s="34" t="n">
        <v>1</v>
      </c>
      <c r="AA23" s="2" t="n">
        <v>13944</v>
      </c>
      <c r="AB23" s="2" t="n">
        <v>26</v>
      </c>
    </row>
    <row r="24">
      <c r="A24" t="inlineStr">
        <is>
          <t>Nightstands</t>
        </is>
      </c>
      <c r="B24" s="29" t="n">
        <v>343.88</v>
      </c>
      <c r="C24" s="30" t="n">
        <v>0.003</v>
      </c>
      <c r="D24" s="29" t="n">
        <v>65.98000335693359</v>
      </c>
      <c r="E24" s="29" t="n">
        <v>567.8200302124023</v>
      </c>
      <c r="F24" s="2" t="n">
        <v>10</v>
      </c>
      <c r="G24" s="31" t="n">
        <v>44.67999999999999</v>
      </c>
      <c r="H24" s="32" t="n">
        <v>0.0054</v>
      </c>
      <c r="I24" s="32" t="n">
        <v>0.1299</v>
      </c>
      <c r="J24" s="32" t="n">
        <v>-8.849299999999999</v>
      </c>
      <c r="K24" s="31" t="n">
        <v>0.74</v>
      </c>
      <c r="L24" s="32" t="n">
        <v>1.35</v>
      </c>
      <c r="M24" s="31" t="n">
        <v>32.99</v>
      </c>
      <c r="N24" s="31" t="n">
        <v>32.99</v>
      </c>
      <c r="O24" s="3" t="n">
        <v>39696</v>
      </c>
      <c r="P24" s="3" t="n">
        <v>105</v>
      </c>
      <c r="Q24" s="32" t="n">
        <v>0.0026</v>
      </c>
      <c r="R24" s="3" t="n">
        <v>1</v>
      </c>
      <c r="S24" s="32" t="n">
        <v>0.0095</v>
      </c>
      <c r="T24" s="2" t="n">
        <v>253</v>
      </c>
      <c r="U24" s="2" t="n">
        <v>216</v>
      </c>
      <c r="V24" s="4" t="n">
        <v>111</v>
      </c>
      <c r="W24" s="33" t="n">
        <v>310.89</v>
      </c>
      <c r="X24" s="4" t="n">
        <v>9</v>
      </c>
      <c r="Y24" s="34" t="n">
        <v>0.08110000000000001</v>
      </c>
      <c r="Z24" s="34" t="n">
        <v>0.9041</v>
      </c>
      <c r="AA24" s="2" t="n">
        <v>1417</v>
      </c>
      <c r="AB24" s="2" t="n">
        <v>1</v>
      </c>
    </row>
    <row r="25">
      <c r="A25" t="inlineStr">
        <is>
          <t>Lingerie Sets</t>
        </is>
      </c>
      <c r="B25" s="29" t="n">
        <v>335.41</v>
      </c>
      <c r="C25" s="30" t="n">
        <v>0.0029</v>
      </c>
      <c r="D25" s="29" t="n">
        <v>49.93999862670898</v>
      </c>
      <c r="E25" s="29" t="n">
        <v>23.96999931335449</v>
      </c>
      <c r="F25" s="2" t="n">
        <v>42</v>
      </c>
      <c r="G25" s="31" t="n">
        <v>0</v>
      </c>
      <c r="H25" s="32" t="n"/>
      <c r="I25" s="32" t="n">
        <v>0</v>
      </c>
      <c r="J25" s="32" t="n">
        <v>0</v>
      </c>
      <c r="K25" s="31" t="n">
        <v>0</v>
      </c>
      <c r="L25" s="32" t="n">
        <v>0</v>
      </c>
      <c r="M25" s="31" t="n">
        <v>0</v>
      </c>
      <c r="N25" s="31" t="n">
        <v>0</v>
      </c>
      <c r="O25" s="3" t="n">
        <v>0</v>
      </c>
      <c r="P25" s="3" t="n">
        <v>0</v>
      </c>
      <c r="Q25" s="32" t="n">
        <v>0</v>
      </c>
      <c r="R25" s="3" t="n">
        <v>0</v>
      </c>
      <c r="S25" s="32" t="n">
        <v>0</v>
      </c>
      <c r="T25" s="2" t="n">
        <v>112</v>
      </c>
      <c r="U25" s="2" t="n">
        <v>1416</v>
      </c>
      <c r="V25" s="4" t="n">
        <v>1416</v>
      </c>
      <c r="W25" s="33" t="n">
        <v>335.41</v>
      </c>
      <c r="X25" s="4" t="n">
        <v>42</v>
      </c>
      <c r="Y25" s="34" t="n">
        <v>0.0297</v>
      </c>
      <c r="Z25" s="34" t="n">
        <v>1</v>
      </c>
      <c r="AA25" s="2" t="n">
        <v>9909</v>
      </c>
      <c r="AB25" s="2" t="n">
        <v>54</v>
      </c>
    </row>
    <row r="26">
      <c r="A26" t="inlineStr">
        <is>
          <t>Socks</t>
        </is>
      </c>
      <c r="B26" s="29" t="n">
        <v>229.63</v>
      </c>
      <c r="C26" s="30" t="n">
        <v>0.002</v>
      </c>
      <c r="D26" s="29" t="n">
        <v>0</v>
      </c>
      <c r="E26" s="29" t="n">
        <v>0</v>
      </c>
      <c r="F26" s="2" t="n">
        <v>20</v>
      </c>
      <c r="G26" s="31" t="n">
        <v>0</v>
      </c>
      <c r="H26" s="32" t="n"/>
      <c r="I26" s="32" t="n">
        <v>0</v>
      </c>
      <c r="J26" s="32" t="n">
        <v>0</v>
      </c>
      <c r="K26" s="31" t="n">
        <v>0</v>
      </c>
      <c r="L26" s="32" t="n">
        <v>0</v>
      </c>
      <c r="M26" s="31" t="n">
        <v>0</v>
      </c>
      <c r="N26" s="31" t="n">
        <v>0</v>
      </c>
      <c r="O26" s="3" t="n">
        <v>0</v>
      </c>
      <c r="P26" s="3" t="n">
        <v>0</v>
      </c>
      <c r="Q26" s="32" t="n">
        <v>0</v>
      </c>
      <c r="R26" s="3" t="n">
        <v>0</v>
      </c>
      <c r="S26" s="32" t="n">
        <v>0</v>
      </c>
      <c r="T26" s="2" t="n">
        <v>0</v>
      </c>
      <c r="U26" s="2" t="n">
        <v>181</v>
      </c>
      <c r="V26" s="4" t="n">
        <v>181</v>
      </c>
      <c r="W26" s="33" t="n">
        <v>229.63</v>
      </c>
      <c r="X26" s="4" t="n">
        <v>20</v>
      </c>
      <c r="Y26" s="34" t="n">
        <v>0.1105</v>
      </c>
      <c r="Z26" s="34" t="n">
        <v>1</v>
      </c>
      <c r="AA26" s="2" t="n">
        <v>13905</v>
      </c>
      <c r="AB26" s="2" t="n">
        <v>21</v>
      </c>
    </row>
    <row r="27">
      <c r="A27" t="inlineStr">
        <is>
          <t>Quilts</t>
        </is>
      </c>
      <c r="B27" s="29" t="n">
        <v>224.89</v>
      </c>
      <c r="C27" s="30" t="n">
        <v>0.0019</v>
      </c>
      <c r="D27" s="29" t="n">
        <v>19.98999977111816</v>
      </c>
      <c r="E27" s="29" t="n">
        <v>0</v>
      </c>
      <c r="F27" s="2" t="n">
        <v>11</v>
      </c>
      <c r="G27" s="31" t="n">
        <v>35.91999999999999</v>
      </c>
      <c r="H27" s="32" t="n">
        <v>0.0043</v>
      </c>
      <c r="I27" s="32" t="n">
        <v>0.1597</v>
      </c>
      <c r="J27" s="32" t="n">
        <v>0</v>
      </c>
      <c r="K27" s="31" t="n">
        <v>1.11</v>
      </c>
      <c r="L27" s="32" t="n">
        <v>0.9</v>
      </c>
      <c r="M27" s="31" t="n">
        <v>39.98</v>
      </c>
      <c r="N27" s="31" t="n">
        <v>39.98</v>
      </c>
      <c r="O27" s="3" t="n">
        <v>15220</v>
      </c>
      <c r="P27" s="3" t="n">
        <v>98</v>
      </c>
      <c r="Q27" s="32" t="n">
        <v>0.0064</v>
      </c>
      <c r="R27" s="3" t="n">
        <v>2</v>
      </c>
      <c r="S27" s="32" t="n">
        <v>0.0204</v>
      </c>
      <c r="T27" s="2" t="n">
        <v>137</v>
      </c>
      <c r="U27" s="2" t="n">
        <v>227</v>
      </c>
      <c r="V27" s="4" t="n">
        <v>129</v>
      </c>
      <c r="W27" s="33" t="n">
        <v>184.91</v>
      </c>
      <c r="X27" s="4" t="n">
        <v>9</v>
      </c>
      <c r="Y27" s="34" t="n">
        <v>0.0698</v>
      </c>
      <c r="Z27" s="34" t="n">
        <v>0.8222</v>
      </c>
      <c r="AA27" s="2" t="n">
        <v>257</v>
      </c>
      <c r="AB27" s="2" t="n">
        <v>2</v>
      </c>
    </row>
    <row r="28">
      <c r="A28" t="inlineStr">
        <is>
          <t>Pantyhose &amp; Tights</t>
        </is>
      </c>
      <c r="B28" s="29" t="n">
        <v>213.8</v>
      </c>
      <c r="C28" s="30" t="n">
        <v>0.0018</v>
      </c>
      <c r="D28" s="29" t="n">
        <v>26.06999969482422</v>
      </c>
      <c r="E28" s="29" t="n">
        <v>0</v>
      </c>
      <c r="F28" s="2" t="n">
        <v>21</v>
      </c>
      <c r="G28" s="31" t="n">
        <v>0</v>
      </c>
      <c r="H28" s="32" t="n"/>
      <c r="I28" s="32" t="n">
        <v>0</v>
      </c>
      <c r="J28" s="32" t="n">
        <v>0</v>
      </c>
      <c r="K28" s="31" t="n">
        <v>0</v>
      </c>
      <c r="L28" s="32" t="n">
        <v>0</v>
      </c>
      <c r="M28" s="31" t="n">
        <v>0</v>
      </c>
      <c r="N28" s="31" t="n">
        <v>0</v>
      </c>
      <c r="O28" s="3" t="n">
        <v>0</v>
      </c>
      <c r="P28" s="3" t="n">
        <v>0</v>
      </c>
      <c r="Q28" s="32" t="n">
        <v>0</v>
      </c>
      <c r="R28" s="3" t="n">
        <v>0</v>
      </c>
      <c r="S28" s="32" t="n">
        <v>0</v>
      </c>
      <c r="T28" s="2" t="n">
        <v>160</v>
      </c>
      <c r="U28" s="2" t="n">
        <v>728</v>
      </c>
      <c r="V28" s="4" t="n">
        <v>728</v>
      </c>
      <c r="W28" s="33" t="n">
        <v>213.8</v>
      </c>
      <c r="X28" s="4" t="n">
        <v>21</v>
      </c>
      <c r="Y28" s="34" t="n">
        <v>0.0288</v>
      </c>
      <c r="Z28" s="34" t="n">
        <v>1</v>
      </c>
      <c r="AA28" s="2" t="n">
        <v>14136</v>
      </c>
      <c r="AB28" s="2" t="n">
        <v>36</v>
      </c>
    </row>
    <row r="29">
      <c r="A29" t="inlineStr">
        <is>
          <t>Teddies &amp; Bodystockings</t>
        </is>
      </c>
      <c r="B29" s="29" t="n">
        <v>191.68</v>
      </c>
      <c r="C29" s="30" t="n">
        <v>0.0017</v>
      </c>
      <c r="D29" s="29" t="n">
        <v>0</v>
      </c>
      <c r="E29" s="29" t="n">
        <v>0</v>
      </c>
      <c r="F29" s="2" t="n">
        <v>24</v>
      </c>
      <c r="G29" s="31" t="n">
        <v>0</v>
      </c>
      <c r="H29" s="32" t="n"/>
      <c r="I29" s="32" t="n">
        <v>0</v>
      </c>
      <c r="J29" s="32" t="n">
        <v>0</v>
      </c>
      <c r="K29" s="31" t="n">
        <v>0</v>
      </c>
      <c r="L29" s="32" t="n">
        <v>0</v>
      </c>
      <c r="M29" s="31" t="n">
        <v>0</v>
      </c>
      <c r="N29" s="31" t="n">
        <v>0</v>
      </c>
      <c r="O29" s="3" t="n">
        <v>0</v>
      </c>
      <c r="P29" s="3" t="n">
        <v>0</v>
      </c>
      <c r="Q29" s="32" t="n">
        <v>0</v>
      </c>
      <c r="R29" s="3" t="n">
        <v>0</v>
      </c>
      <c r="S29" s="32" t="n">
        <v>0</v>
      </c>
      <c r="T29" s="2" t="n">
        <v>162</v>
      </c>
      <c r="U29" s="2" t="n">
        <v>578</v>
      </c>
      <c r="V29" s="4" t="n">
        <v>578</v>
      </c>
      <c r="W29" s="33" t="n">
        <v>191.68</v>
      </c>
      <c r="X29" s="4" t="n">
        <v>24</v>
      </c>
      <c r="Y29" s="34" t="n">
        <v>0.0415</v>
      </c>
      <c r="Z29" s="34" t="n">
        <v>1</v>
      </c>
      <c r="AA29" s="2" t="n">
        <v>7914</v>
      </c>
      <c r="AB29" s="2" t="n">
        <v>16</v>
      </c>
    </row>
    <row r="30">
      <c r="A30" t="inlineStr">
        <is>
          <t>Corkscrews &amp; Wine Bottle Openers</t>
        </is>
      </c>
      <c r="B30" s="29" t="n">
        <v>182.88</v>
      </c>
      <c r="C30" s="30" t="n">
        <v>0.0016</v>
      </c>
      <c r="D30" s="29" t="n">
        <v>0</v>
      </c>
      <c r="E30" s="29" t="n">
        <v>0</v>
      </c>
      <c r="F30" s="2" t="n">
        <v>11</v>
      </c>
      <c r="G30" s="31" t="n">
        <v>85.99000000000001</v>
      </c>
      <c r="H30" s="32" t="n">
        <v>0.0103</v>
      </c>
      <c r="I30" s="32" t="n">
        <v>0.4702</v>
      </c>
      <c r="J30" s="32" t="n">
        <v>0.1862</v>
      </c>
      <c r="K30" s="31" t="n">
        <v>0.33</v>
      </c>
      <c r="L30" s="32" t="n">
        <v>3.07</v>
      </c>
      <c r="M30" s="31" t="n">
        <v>27.98</v>
      </c>
      <c r="N30" s="31" t="n">
        <v>15.99</v>
      </c>
      <c r="O30" s="3" t="n">
        <v>74177</v>
      </c>
      <c r="P30" s="3" t="n">
        <v>166</v>
      </c>
      <c r="Q30" s="32" t="n">
        <v>0.0022</v>
      </c>
      <c r="R30" s="3" t="n">
        <v>2</v>
      </c>
      <c r="S30" s="32" t="n">
        <v>0.012</v>
      </c>
      <c r="T30" s="2" t="n">
        <v>164</v>
      </c>
      <c r="U30" s="2" t="n">
        <v>125</v>
      </c>
      <c r="V30" s="4" t="inlineStr">
        <is>
          <t>NA</t>
        </is>
      </c>
      <c r="W30" s="33" t="n">
        <v>154.9</v>
      </c>
      <c r="X30" s="4" t="n">
        <v>9</v>
      </c>
      <c r="Y30" s="34" t="inlineStr">
        <is>
          <t>NA</t>
        </is>
      </c>
      <c r="Z30" s="34" t="n">
        <v>0.847</v>
      </c>
      <c r="AA30" s="2" t="n">
        <v>9548</v>
      </c>
      <c r="AB30" s="2" t="n">
        <v>10</v>
      </c>
    </row>
    <row r="31">
      <c r="A31" t="inlineStr">
        <is>
          <t>Mattress Toppers</t>
        </is>
      </c>
      <c r="B31" s="29" t="n">
        <v>179.97</v>
      </c>
      <c r="C31" s="30" t="n">
        <v>0.0016</v>
      </c>
      <c r="D31" s="29" t="n">
        <v>0</v>
      </c>
      <c r="E31" s="29" t="n">
        <v>0</v>
      </c>
      <c r="F31" s="2" t="n">
        <v>3</v>
      </c>
      <c r="G31" s="31" t="n">
        <v>4.78</v>
      </c>
      <c r="H31" s="32" t="n">
        <v>0.0005999999999999999</v>
      </c>
      <c r="I31" s="32" t="n">
        <v>0.0266</v>
      </c>
      <c r="J31" s="32" t="n">
        <v>0.07049999999999999</v>
      </c>
      <c r="K31" s="31" t="n">
        <v>0</v>
      </c>
      <c r="L31" s="32" t="n">
        <v>0</v>
      </c>
      <c r="M31" s="31" t="n">
        <v>0</v>
      </c>
      <c r="N31" s="31" t="n">
        <v>0</v>
      </c>
      <c r="O31" s="3" t="n">
        <v>8057</v>
      </c>
      <c r="P31" s="3" t="n">
        <v>12</v>
      </c>
      <c r="Q31" s="32" t="n">
        <v>0.0015</v>
      </c>
      <c r="R31" s="3" t="n">
        <v>0</v>
      </c>
      <c r="S31" s="32" t="n">
        <v>0</v>
      </c>
      <c r="T31" s="2" t="n">
        <v>0</v>
      </c>
      <c r="U31" s="2" t="n">
        <v>131</v>
      </c>
      <c r="V31" s="4" t="n">
        <v>119</v>
      </c>
      <c r="W31" s="33" t="n">
        <v>179.97</v>
      </c>
      <c r="X31" s="4" t="n">
        <v>3</v>
      </c>
      <c r="Y31" s="34" t="n">
        <v>0.0252</v>
      </c>
      <c r="Z31" s="34" t="n">
        <v>1</v>
      </c>
      <c r="AA31" s="2" t="n">
        <v>4500</v>
      </c>
      <c r="AB31" s="2" t="n">
        <v>1</v>
      </c>
    </row>
    <row r="32">
      <c r="A32" t="inlineStr">
        <is>
          <t>Pet Carriers</t>
        </is>
      </c>
      <c r="B32" s="29" t="n">
        <v>149.95</v>
      </c>
      <c r="C32" s="30" t="n">
        <v>0.0013</v>
      </c>
      <c r="D32" s="29" t="n">
        <v>0</v>
      </c>
      <c r="E32" s="29" t="n">
        <v>0</v>
      </c>
      <c r="F32" s="2" t="n">
        <v>5</v>
      </c>
      <c r="G32" s="31" t="n">
        <v>0</v>
      </c>
      <c r="H32" s="32" t="n"/>
      <c r="I32" s="32" t="n">
        <v>0</v>
      </c>
      <c r="J32" s="32" t="n">
        <v>0</v>
      </c>
      <c r="K32" s="31" t="n">
        <v>0</v>
      </c>
      <c r="L32" s="32" t="n">
        <v>0</v>
      </c>
      <c r="M32" s="31" t="n">
        <v>0</v>
      </c>
      <c r="N32" s="31" t="n">
        <v>0</v>
      </c>
      <c r="O32" s="3" t="n">
        <v>0</v>
      </c>
      <c r="P32" s="3" t="n">
        <v>0</v>
      </c>
      <c r="Q32" s="32" t="n">
        <v>0</v>
      </c>
      <c r="R32" s="3" t="n">
        <v>0</v>
      </c>
      <c r="S32" s="32" t="n">
        <v>0</v>
      </c>
      <c r="T32" s="2" t="n">
        <v>0</v>
      </c>
      <c r="U32" s="2" t="n">
        <v>367</v>
      </c>
      <c r="V32" s="4" t="n">
        <v>367</v>
      </c>
      <c r="W32" s="33" t="n">
        <v>149.95</v>
      </c>
      <c r="X32" s="4" t="n">
        <v>5</v>
      </c>
      <c r="Y32" s="34" t="n">
        <v>0.0136</v>
      </c>
      <c r="Z32" s="34" t="n">
        <v>1</v>
      </c>
      <c r="AA32" s="2" t="n">
        <v>39096</v>
      </c>
      <c r="AB32" s="2" t="n">
        <v>17</v>
      </c>
    </row>
    <row r="33">
      <c r="A33" t="inlineStr">
        <is>
          <t>Tumblers</t>
        </is>
      </c>
      <c r="B33" s="29" t="n">
        <v>143.64</v>
      </c>
      <c r="C33" s="30" t="n">
        <v>0.0012</v>
      </c>
      <c r="D33" s="29" t="n">
        <v>0</v>
      </c>
      <c r="E33" s="29" t="n">
        <v>0</v>
      </c>
      <c r="F33" s="2" t="n">
        <v>18</v>
      </c>
      <c r="G33" s="31" t="n">
        <v>0.96</v>
      </c>
      <c r="H33" s="32" t="n">
        <v>0.0001</v>
      </c>
      <c r="I33" s="32" t="n">
        <v>0.0067</v>
      </c>
      <c r="J33" s="32" t="n">
        <v>0</v>
      </c>
      <c r="K33" s="31" t="n">
        <v>0</v>
      </c>
      <c r="L33" s="32" t="n">
        <v>0</v>
      </c>
      <c r="M33" s="31" t="n">
        <v>0</v>
      </c>
      <c r="N33" s="31" t="n">
        <v>0</v>
      </c>
      <c r="O33" s="3" t="n">
        <v>13</v>
      </c>
      <c r="P33" s="3" t="n">
        <v>2</v>
      </c>
      <c r="Q33" s="32" t="n">
        <v>0.1538</v>
      </c>
      <c r="R33" s="3" t="n">
        <v>0</v>
      </c>
      <c r="S33" s="32" t="n">
        <v>0</v>
      </c>
      <c r="T33" s="2" t="n">
        <v>101</v>
      </c>
      <c r="U33" s="2" t="n">
        <v>352</v>
      </c>
      <c r="V33" s="4" t="n">
        <v>350</v>
      </c>
      <c r="W33" s="33" t="n">
        <v>143.64</v>
      </c>
      <c r="X33" s="4" t="n">
        <v>18</v>
      </c>
      <c r="Y33" s="34" t="n">
        <v>0.0514</v>
      </c>
      <c r="Z33" s="34" t="n">
        <v>1</v>
      </c>
      <c r="AA33" s="2" t="n">
        <v>3000</v>
      </c>
      <c r="AB33" s="2" t="n">
        <v>8</v>
      </c>
    </row>
    <row r="34">
      <c r="A34" t="inlineStr">
        <is>
          <t>Underpants</t>
        </is>
      </c>
      <c r="B34" s="29" t="n">
        <v>124.89</v>
      </c>
      <c r="C34" s="30" t="n">
        <v>0.0011</v>
      </c>
      <c r="D34" s="29" t="n">
        <v>21.97999954223633</v>
      </c>
      <c r="E34" s="29" t="n">
        <v>0</v>
      </c>
      <c r="F34" s="2" t="n">
        <v>11</v>
      </c>
      <c r="G34" s="31" t="n">
        <v>0</v>
      </c>
      <c r="H34" s="32" t="n"/>
      <c r="I34" s="32" t="n">
        <v>0</v>
      </c>
      <c r="J34" s="32" t="n">
        <v>0</v>
      </c>
      <c r="K34" s="31" t="n">
        <v>0</v>
      </c>
      <c r="L34" s="32" t="n">
        <v>0</v>
      </c>
      <c r="M34" s="31" t="n">
        <v>0</v>
      </c>
      <c r="N34" s="31" t="n">
        <v>0</v>
      </c>
      <c r="O34" s="3" t="n">
        <v>0</v>
      </c>
      <c r="P34" s="3" t="n">
        <v>0</v>
      </c>
      <c r="Q34" s="32" t="n">
        <v>0</v>
      </c>
      <c r="R34" s="3" t="n">
        <v>0</v>
      </c>
      <c r="S34" s="32" t="n">
        <v>0</v>
      </c>
      <c r="T34" s="2" t="n">
        <v>0</v>
      </c>
      <c r="U34" s="2" t="n">
        <v>391</v>
      </c>
      <c r="V34" s="4" t="n">
        <v>391</v>
      </c>
      <c r="W34" s="33" t="n">
        <v>124.89</v>
      </c>
      <c r="X34" s="4" t="n">
        <v>11</v>
      </c>
      <c r="Y34" s="34" t="n">
        <v>0.0281</v>
      </c>
      <c r="Z34" s="34" t="n">
        <v>1</v>
      </c>
      <c r="AA34" s="2" t="n">
        <v>17194</v>
      </c>
      <c r="AB34" s="2" t="n">
        <v>23</v>
      </c>
    </row>
    <row r="35">
      <c r="A35" t="inlineStr">
        <is>
          <t>Fanny Packs</t>
        </is>
      </c>
      <c r="B35" s="29" t="n">
        <v>121.51</v>
      </c>
      <c r="C35" s="30" t="n">
        <v>0.001</v>
      </c>
      <c r="D35" s="29" t="n">
        <v>19.97999954223633</v>
      </c>
      <c r="E35" s="29" t="n">
        <v>0</v>
      </c>
      <c r="F35" s="2" t="n">
        <v>14</v>
      </c>
      <c r="G35" s="31" t="n">
        <v>0</v>
      </c>
      <c r="H35" s="32" t="n"/>
      <c r="I35" s="32" t="n">
        <v>0</v>
      </c>
      <c r="J35" s="32" t="n">
        <v>0</v>
      </c>
      <c r="K35" s="31" t="n">
        <v>0</v>
      </c>
      <c r="L35" s="32" t="n">
        <v>0</v>
      </c>
      <c r="M35" s="31" t="n">
        <v>0</v>
      </c>
      <c r="N35" s="31" t="n">
        <v>0</v>
      </c>
      <c r="O35" s="3" t="n">
        <v>0</v>
      </c>
      <c r="P35" s="3" t="n">
        <v>0</v>
      </c>
      <c r="Q35" s="32" t="n">
        <v>0</v>
      </c>
      <c r="R35" s="3" t="n">
        <v>0</v>
      </c>
      <c r="S35" s="32" t="n">
        <v>0</v>
      </c>
      <c r="T35" s="2" t="n">
        <v>53</v>
      </c>
      <c r="U35" s="2" t="n">
        <v>213</v>
      </c>
      <c r="V35" s="4" t="n">
        <v>213</v>
      </c>
      <c r="W35" s="33" t="n">
        <v>121.51</v>
      </c>
      <c r="X35" s="4" t="n">
        <v>14</v>
      </c>
      <c r="Y35" s="34" t="n">
        <v>0.06569999999999999</v>
      </c>
      <c r="Z35" s="34" t="n">
        <v>1</v>
      </c>
      <c r="AA35" s="2" t="n">
        <v>3789</v>
      </c>
      <c r="AB35" s="2" t="n">
        <v>7</v>
      </c>
    </row>
    <row r="36">
      <c r="A36" t="inlineStr">
        <is>
          <t>Picnic Baskets &amp; Bags</t>
        </is>
      </c>
      <c r="B36" s="29" t="n">
        <v>106.91</v>
      </c>
      <c r="C36" s="30" t="n">
        <v>0.0009</v>
      </c>
      <c r="D36" s="29" t="n">
        <v>27.98999977111816</v>
      </c>
      <c r="E36" s="29" t="n">
        <v>0</v>
      </c>
      <c r="F36" s="2" t="n">
        <v>5</v>
      </c>
      <c r="G36" s="31" t="n">
        <v>0</v>
      </c>
      <c r="H36" s="32" t="n"/>
      <c r="I36" s="32" t="n">
        <v>0</v>
      </c>
      <c r="J36" s="32" t="n">
        <v>0.0599</v>
      </c>
      <c r="K36" s="31" t="n">
        <v>0</v>
      </c>
      <c r="L36" s="32" t="n">
        <v>0</v>
      </c>
      <c r="M36" s="31" t="n">
        <v>0</v>
      </c>
      <c r="N36" s="31" t="n">
        <v>0</v>
      </c>
      <c r="O36" s="3" t="n">
        <v>165</v>
      </c>
      <c r="P36" s="3" t="n">
        <v>0</v>
      </c>
      <c r="Q36" s="32" t="n">
        <v>0</v>
      </c>
      <c r="R36" s="3" t="n">
        <v>0</v>
      </c>
      <c r="S36" s="32" t="n">
        <v>0</v>
      </c>
      <c r="T36" s="2" t="n">
        <v>30</v>
      </c>
      <c r="U36" s="2" t="n">
        <v>155</v>
      </c>
      <c r="V36" s="4" t="n">
        <v>155</v>
      </c>
      <c r="W36" s="33" t="n">
        <v>106.91</v>
      </c>
      <c r="X36" s="4" t="n">
        <v>5</v>
      </c>
      <c r="Y36" s="34" t="n">
        <v>0.0323</v>
      </c>
      <c r="Z36" s="34" t="n">
        <v>1</v>
      </c>
      <c r="AA36" s="2" t="n">
        <v>2781</v>
      </c>
      <c r="AB36" s="2" t="n">
        <v>7</v>
      </c>
    </row>
    <row r="37">
      <c r="A37" t="inlineStr">
        <is>
          <t>Handbags</t>
        </is>
      </c>
      <c r="B37" s="29" t="n">
        <v>95.97</v>
      </c>
      <c r="C37" s="30" t="n">
        <v>0.0008</v>
      </c>
      <c r="D37" s="29" t="n">
        <v>0</v>
      </c>
      <c r="E37" s="29" t="n">
        <v>0</v>
      </c>
      <c r="F37" s="2" t="n">
        <v>3</v>
      </c>
      <c r="G37" s="31" t="n">
        <v>0</v>
      </c>
      <c r="H37" s="32" t="n"/>
      <c r="I37" s="32" t="n">
        <v>0</v>
      </c>
      <c r="J37" s="32" t="n">
        <v>0</v>
      </c>
      <c r="K37" s="31" t="n">
        <v>0</v>
      </c>
      <c r="L37" s="32" t="n">
        <v>0</v>
      </c>
      <c r="M37" s="31" t="n">
        <v>0</v>
      </c>
      <c r="N37" s="31" t="n">
        <v>0</v>
      </c>
      <c r="O37" s="3" t="n">
        <v>0</v>
      </c>
      <c r="P37" s="3" t="n">
        <v>0</v>
      </c>
      <c r="Q37" s="32" t="n">
        <v>0</v>
      </c>
      <c r="R37" s="3" t="n">
        <v>0</v>
      </c>
      <c r="S37" s="32" t="n">
        <v>0</v>
      </c>
      <c r="T37" s="2" t="n">
        <v>0</v>
      </c>
      <c r="U37" s="2" t="n">
        <v>61</v>
      </c>
      <c r="V37" s="4" t="n">
        <v>61</v>
      </c>
      <c r="W37" s="33" t="n">
        <v>95.97</v>
      </c>
      <c r="X37" s="4" t="n">
        <v>3</v>
      </c>
      <c r="Y37" s="34" t="n">
        <v>0.0492</v>
      </c>
      <c r="Z37" s="34" t="n">
        <v>1</v>
      </c>
      <c r="AA37" s="2" t="n">
        <v>9000</v>
      </c>
      <c r="AB37" s="2" t="n">
        <v>2</v>
      </c>
    </row>
    <row r="38">
      <c r="A38" t="inlineStr">
        <is>
          <t>Diaper Bags</t>
        </is>
      </c>
      <c r="B38" s="29" t="n">
        <v>83.95</v>
      </c>
      <c r="C38" s="30" t="n">
        <v>0.0007</v>
      </c>
      <c r="D38" s="29" t="n">
        <v>119.5599975585938</v>
      </c>
      <c r="E38" s="29" t="n">
        <v>0</v>
      </c>
      <c r="F38" s="2" t="n">
        <v>3</v>
      </c>
      <c r="G38" s="31" t="n">
        <v>0</v>
      </c>
      <c r="H38" s="32" t="n"/>
      <c r="I38" s="32" t="n">
        <v>0</v>
      </c>
      <c r="J38" s="32" t="n">
        <v>0</v>
      </c>
      <c r="K38" s="31" t="n">
        <v>0</v>
      </c>
      <c r="L38" s="32" t="n">
        <v>0</v>
      </c>
      <c r="M38" s="31" t="n">
        <v>0</v>
      </c>
      <c r="N38" s="31" t="n">
        <v>0</v>
      </c>
      <c r="O38" s="3" t="n">
        <v>0</v>
      </c>
      <c r="P38" s="3" t="n">
        <v>0</v>
      </c>
      <c r="Q38" s="32" t="n">
        <v>0</v>
      </c>
      <c r="R38" s="3" t="n">
        <v>0</v>
      </c>
      <c r="S38" s="32" t="n">
        <v>0</v>
      </c>
      <c r="T38" s="2" t="n">
        <v>5</v>
      </c>
      <c r="U38" s="2" t="n">
        <v>262</v>
      </c>
      <c r="V38" s="4" t="n">
        <v>262</v>
      </c>
      <c r="W38" s="33" t="n">
        <v>83.95</v>
      </c>
      <c r="X38" s="4" t="n">
        <v>3</v>
      </c>
      <c r="Y38" s="34" t="n">
        <v>0.0115</v>
      </c>
      <c r="Z38" s="34" t="n">
        <v>1</v>
      </c>
      <c r="AA38" s="2" t="n">
        <v>720</v>
      </c>
      <c r="AB38" s="2" t="n">
        <v>4</v>
      </c>
    </row>
    <row r="39">
      <c r="A39" t="inlineStr">
        <is>
          <t>Pet Sofa &amp; Chair Protectors</t>
        </is>
      </c>
      <c r="B39" s="29" t="n">
        <v>79.98</v>
      </c>
      <c r="C39" s="30" t="n">
        <v>0.0007</v>
      </c>
      <c r="D39" s="29" t="n">
        <v>0</v>
      </c>
      <c r="E39" s="29" t="n">
        <v>0</v>
      </c>
      <c r="F39" s="2" t="n">
        <v>2</v>
      </c>
      <c r="G39" s="31" t="n">
        <v>14.35</v>
      </c>
      <c r="H39" s="32" t="n">
        <v>0.0017</v>
      </c>
      <c r="I39" s="32" t="n">
        <v>0.1794</v>
      </c>
      <c r="J39" s="32" t="n">
        <v>0.1347</v>
      </c>
      <c r="K39" s="31" t="n">
        <v>0</v>
      </c>
      <c r="L39" s="32" t="n">
        <v>0</v>
      </c>
      <c r="M39" s="31" t="n">
        <v>0</v>
      </c>
      <c r="N39" s="31" t="n">
        <v>0</v>
      </c>
      <c r="O39" s="3" t="n">
        <v>38053</v>
      </c>
      <c r="P39" s="3" t="n">
        <v>31</v>
      </c>
      <c r="Q39" s="32" t="n">
        <v>0.0008</v>
      </c>
      <c r="R39" s="3" t="n">
        <v>0</v>
      </c>
      <c r="S39" s="32" t="n">
        <v>0</v>
      </c>
      <c r="T39" s="2" t="n">
        <v>0</v>
      </c>
      <c r="U39" s="2" t="n">
        <v>107</v>
      </c>
      <c r="V39" s="4" t="n">
        <v>76</v>
      </c>
      <c r="W39" s="33" t="n">
        <v>79.98</v>
      </c>
      <c r="X39" s="4" t="n">
        <v>2</v>
      </c>
      <c r="Y39" s="34" t="n">
        <v>0.0263</v>
      </c>
      <c r="Z39" s="34" t="n">
        <v>1</v>
      </c>
      <c r="AA39" s="2" t="n">
        <v>6750</v>
      </c>
      <c r="AB39" s="2" t="n">
        <v>1</v>
      </c>
    </row>
    <row r="40">
      <c r="A40" t="inlineStr">
        <is>
          <t>Pet Bed Covers</t>
        </is>
      </c>
      <c r="B40" s="29" t="n">
        <v>79.98</v>
      </c>
      <c r="C40" s="30" t="n">
        <v>0.0007</v>
      </c>
      <c r="D40" s="29" t="n">
        <v>0</v>
      </c>
      <c r="E40" s="29" t="n">
        <v>0</v>
      </c>
      <c r="F40" s="2" t="n">
        <v>2</v>
      </c>
      <c r="G40" s="31" t="n">
        <v>3.23</v>
      </c>
      <c r="H40" s="32" t="n">
        <v>0.0004</v>
      </c>
      <c r="I40" s="32" t="n">
        <v>0.0404</v>
      </c>
      <c r="J40" s="32" t="n">
        <v>0</v>
      </c>
      <c r="K40" s="31" t="n">
        <v>20.43</v>
      </c>
      <c r="L40" s="32" t="n">
        <v>0.05</v>
      </c>
      <c r="M40" s="31" t="n">
        <v>65.98999999999999</v>
      </c>
      <c r="N40" s="31" t="n">
        <v>65.98999999999999</v>
      </c>
      <c r="O40" s="3" t="n">
        <v>4398</v>
      </c>
      <c r="P40" s="3" t="n">
        <v>8</v>
      </c>
      <c r="Q40" s="32" t="n">
        <v>0.0018</v>
      </c>
      <c r="R40" s="3" t="n">
        <v>1</v>
      </c>
      <c r="S40" s="32" t="n">
        <v>0.125</v>
      </c>
      <c r="T40" s="2" t="n">
        <v>0</v>
      </c>
      <c r="U40" s="2" t="n">
        <v>55</v>
      </c>
      <c r="V40" s="4" t="n">
        <v>47</v>
      </c>
      <c r="W40" s="33" t="n">
        <v>13.99000000000001</v>
      </c>
      <c r="X40" s="4" t="n">
        <v>1</v>
      </c>
      <c r="Y40" s="34" t="n">
        <v>0.0213</v>
      </c>
      <c r="Z40" s="34" t="n">
        <v>0.1749</v>
      </c>
      <c r="AA40" s="2" t="n">
        <v>3105</v>
      </c>
      <c r="AB40" s="2" t="n">
        <v>1</v>
      </c>
    </row>
    <row r="41">
      <c r="A41" t="inlineStr">
        <is>
          <t>Barware Sets</t>
        </is>
      </c>
      <c r="B41" s="29" t="n">
        <v>76.01000000000001</v>
      </c>
      <c r="C41" s="30" t="n">
        <v>0.0007</v>
      </c>
      <c r="D41" s="29" t="n">
        <v>11.98999977111816</v>
      </c>
      <c r="E41" s="29" t="n">
        <v>0</v>
      </c>
      <c r="F41" s="2" t="n">
        <v>5</v>
      </c>
      <c r="G41" s="31" t="n">
        <v>0</v>
      </c>
      <c r="H41" s="32" t="n"/>
      <c r="I41" s="32" t="n">
        <v>0</v>
      </c>
      <c r="J41" s="32" t="n">
        <v>0</v>
      </c>
      <c r="K41" s="31" t="n">
        <v>0</v>
      </c>
      <c r="L41" s="32" t="n">
        <v>0</v>
      </c>
      <c r="M41" s="31" t="n">
        <v>0</v>
      </c>
      <c r="N41" s="31" t="n">
        <v>0</v>
      </c>
      <c r="O41" s="3" t="n">
        <v>0</v>
      </c>
      <c r="P41" s="3" t="n">
        <v>0</v>
      </c>
      <c r="Q41" s="32" t="n">
        <v>0</v>
      </c>
      <c r="R41" s="3" t="n">
        <v>0</v>
      </c>
      <c r="S41" s="32" t="n">
        <v>0</v>
      </c>
      <c r="T41" s="2" t="n">
        <v>61</v>
      </c>
      <c r="U41" s="2" t="n">
        <v>97</v>
      </c>
      <c r="V41" s="4" t="n">
        <v>97</v>
      </c>
      <c r="W41" s="33" t="n">
        <v>76.01000000000001</v>
      </c>
      <c r="X41" s="4" t="n">
        <v>5</v>
      </c>
      <c r="Y41" s="34" t="n">
        <v>0.0515</v>
      </c>
      <c r="Z41" s="34" t="n">
        <v>1</v>
      </c>
      <c r="AA41" s="2" t="n">
        <v>10962</v>
      </c>
      <c r="AB41" s="2" t="n">
        <v>7</v>
      </c>
    </row>
    <row r="42">
      <c r="A42" t="inlineStr">
        <is>
          <t>Costume Masks</t>
        </is>
      </c>
      <c r="B42" s="29" t="n">
        <v>69.80000000000001</v>
      </c>
      <c r="C42" s="30" t="n">
        <v>0.0005999999999999999</v>
      </c>
      <c r="D42" s="29" t="n">
        <v>0</v>
      </c>
      <c r="E42" s="29" t="n">
        <v>0</v>
      </c>
      <c r="F42" s="2" t="n">
        <v>10</v>
      </c>
      <c r="G42" s="31" t="n">
        <v>0</v>
      </c>
      <c r="H42" s="32" t="n"/>
      <c r="I42" s="32" t="n">
        <v>0</v>
      </c>
      <c r="J42" s="32" t="n">
        <v>0</v>
      </c>
      <c r="K42" s="31" t="n">
        <v>0</v>
      </c>
      <c r="L42" s="32" t="n">
        <v>0</v>
      </c>
      <c r="M42" s="31" t="n">
        <v>0</v>
      </c>
      <c r="N42" s="31" t="n">
        <v>0</v>
      </c>
      <c r="O42" s="3" t="n">
        <v>0</v>
      </c>
      <c r="P42" s="3" t="n">
        <v>0</v>
      </c>
      <c r="Q42" s="32" t="n">
        <v>0</v>
      </c>
      <c r="R42" s="3" t="n">
        <v>0</v>
      </c>
      <c r="S42" s="32" t="n">
        <v>0</v>
      </c>
      <c r="T42" s="2" t="n">
        <v>0</v>
      </c>
      <c r="U42" s="2" t="n">
        <v>113</v>
      </c>
      <c r="V42" s="4" t="n">
        <v>113</v>
      </c>
      <c r="W42" s="33" t="n">
        <v>69.80000000000001</v>
      </c>
      <c r="X42" s="4" t="n">
        <v>10</v>
      </c>
      <c r="Y42" s="34" t="n">
        <v>0.0885</v>
      </c>
      <c r="Z42" s="34" t="n">
        <v>1</v>
      </c>
      <c r="AA42" s="2" t="n">
        <v>5400</v>
      </c>
      <c r="AB42" s="2" t="n">
        <v>4</v>
      </c>
    </row>
    <row r="43">
      <c r="A43" t="inlineStr">
        <is>
          <t>Drain Catches</t>
        </is>
      </c>
      <c r="B43" s="29" t="n">
        <v>66.93000000000001</v>
      </c>
      <c r="C43" s="30" t="n">
        <v>0.0005999999999999999</v>
      </c>
      <c r="D43" s="29" t="n">
        <v>0</v>
      </c>
      <c r="E43" s="29" t="n">
        <v>0</v>
      </c>
      <c r="F43" s="2" t="n">
        <v>6</v>
      </c>
      <c r="G43" s="31" t="n">
        <v>41.40000000000001</v>
      </c>
      <c r="H43" s="32" t="n">
        <v>0.005</v>
      </c>
      <c r="I43" s="32" t="n">
        <v>0.6186</v>
      </c>
      <c r="J43" s="32" t="n">
        <v>0.0526</v>
      </c>
      <c r="K43" s="31" t="n">
        <v>0.24</v>
      </c>
      <c r="L43" s="32" t="n">
        <v>4.14</v>
      </c>
      <c r="M43" s="31" t="n">
        <v>9.99</v>
      </c>
      <c r="N43" s="31" t="n">
        <v>9.99</v>
      </c>
      <c r="O43" s="3" t="n">
        <v>44437</v>
      </c>
      <c r="P43" s="3" t="n">
        <v>61</v>
      </c>
      <c r="Q43" s="32" t="n">
        <v>0.0014</v>
      </c>
      <c r="R43" s="3" t="n">
        <v>1</v>
      </c>
      <c r="S43" s="32" t="n">
        <v>0.0164</v>
      </c>
      <c r="T43" s="2" t="n">
        <v>0</v>
      </c>
      <c r="U43" s="2" t="n">
        <v>44</v>
      </c>
      <c r="V43" s="4" t="inlineStr">
        <is>
          <t>NA</t>
        </is>
      </c>
      <c r="W43" s="33" t="n">
        <v>56.94</v>
      </c>
      <c r="X43" s="4" t="n">
        <v>5</v>
      </c>
      <c r="Y43" s="34" t="inlineStr">
        <is>
          <t>NA</t>
        </is>
      </c>
      <c r="Z43" s="34" t="n">
        <v>0.8507</v>
      </c>
      <c r="AA43" s="2" t="n">
        <v>2385</v>
      </c>
      <c r="AB43" s="2" t="n">
        <v>1</v>
      </c>
    </row>
    <row r="44">
      <c r="A44" t="inlineStr">
        <is>
          <t>Swimsuit Sets</t>
        </is>
      </c>
      <c r="B44" s="29" t="n">
        <v>64.94</v>
      </c>
      <c r="C44" s="30" t="n">
        <v>0.0005999999999999999</v>
      </c>
      <c r="D44" s="29" t="n">
        <v>51.93999862670898</v>
      </c>
      <c r="E44" s="29" t="n">
        <v>0</v>
      </c>
      <c r="F44" s="2" t="n">
        <v>5</v>
      </c>
      <c r="G44" s="31" t="n">
        <v>0</v>
      </c>
      <c r="H44" s="32" t="n"/>
      <c r="I44" s="32" t="n">
        <v>0</v>
      </c>
      <c r="J44" s="32" t="n">
        <v>0</v>
      </c>
      <c r="K44" s="31" t="n">
        <v>0</v>
      </c>
      <c r="L44" s="32" t="n">
        <v>0</v>
      </c>
      <c r="M44" s="31" t="n">
        <v>0</v>
      </c>
      <c r="N44" s="31" t="n">
        <v>0</v>
      </c>
      <c r="O44" s="3" t="n">
        <v>0</v>
      </c>
      <c r="P44" s="3" t="n">
        <v>0</v>
      </c>
      <c r="Q44" s="32" t="n">
        <v>0</v>
      </c>
      <c r="R44" s="3" t="n">
        <v>0</v>
      </c>
      <c r="S44" s="32" t="n">
        <v>0</v>
      </c>
      <c r="T44" s="2" t="n">
        <v>0</v>
      </c>
      <c r="U44" s="2" t="n">
        <v>221</v>
      </c>
      <c r="V44" s="4" t="n">
        <v>221</v>
      </c>
      <c r="W44" s="33" t="n">
        <v>64.94</v>
      </c>
      <c r="X44" s="4" t="n">
        <v>5</v>
      </c>
      <c r="Y44" s="34" t="n">
        <v>0.0226</v>
      </c>
      <c r="Z44" s="34" t="n">
        <v>1</v>
      </c>
      <c r="AA44" s="2" t="n">
        <v>35316</v>
      </c>
      <c r="AB44" s="2" t="n">
        <v>25</v>
      </c>
    </row>
    <row r="45">
      <c r="A45" t="inlineStr">
        <is>
          <t>default</t>
        </is>
      </c>
      <c r="B45" s="29" t="n">
        <v>60.95999999999999</v>
      </c>
      <c r="C45" s="30" t="n">
        <v>0.0005</v>
      </c>
      <c r="D45" s="29" t="n">
        <v>22.98999977111816</v>
      </c>
      <c r="E45" s="29" t="n">
        <v>0</v>
      </c>
      <c r="F45" s="2" t="n">
        <v>3</v>
      </c>
      <c r="G45" s="31" t="n">
        <v>0</v>
      </c>
      <c r="H45" s="32" t="n"/>
      <c r="I45" s="32" t="n">
        <v>0</v>
      </c>
      <c r="J45" s="32" t="n">
        <v>0.0019</v>
      </c>
      <c r="K45" s="31" t="n">
        <v>0</v>
      </c>
      <c r="L45" s="32" t="n">
        <v>0</v>
      </c>
      <c r="M45" s="31" t="n">
        <v>0</v>
      </c>
      <c r="N45" s="31" t="n">
        <v>0</v>
      </c>
      <c r="O45" s="3" t="n">
        <v>33</v>
      </c>
      <c r="P45" s="3" t="n">
        <v>0</v>
      </c>
      <c r="Q45" s="32" t="n">
        <v>0</v>
      </c>
      <c r="R45" s="3" t="n">
        <v>0</v>
      </c>
      <c r="S45" s="32" t="n">
        <v>0</v>
      </c>
      <c r="T45" s="2" t="n">
        <v>2</v>
      </c>
      <c r="U45" s="2" t="n">
        <v>165</v>
      </c>
      <c r="V45" s="4" t="n">
        <v>165</v>
      </c>
      <c r="W45" s="33" t="n">
        <v>60.95999999999999</v>
      </c>
      <c r="X45" s="4" t="n">
        <v>3</v>
      </c>
      <c r="Y45" s="34" t="n">
        <v>0.0182</v>
      </c>
      <c r="Z45" s="34" t="n">
        <v>1</v>
      </c>
      <c r="AA45" s="2" t="n">
        <v>27315</v>
      </c>
      <c r="AB45" s="2" t="n">
        <v>9</v>
      </c>
    </row>
    <row r="46">
      <c r="A46" t="inlineStr">
        <is>
          <t>Laptop Bags</t>
        </is>
      </c>
      <c r="B46" s="29" t="n">
        <v>59.98</v>
      </c>
      <c r="C46" s="30" t="n">
        <v>0.0005</v>
      </c>
      <c r="D46" s="29" t="n">
        <v>34.9900016784668</v>
      </c>
      <c r="E46" s="29" t="n">
        <v>0</v>
      </c>
      <c r="F46" s="2" t="n">
        <v>2</v>
      </c>
      <c r="G46" s="31" t="n">
        <v>0</v>
      </c>
      <c r="H46" s="32" t="n"/>
      <c r="I46" s="32" t="n">
        <v>0</v>
      </c>
      <c r="J46" s="32" t="n">
        <v>0</v>
      </c>
      <c r="K46" s="31" t="n">
        <v>0</v>
      </c>
      <c r="L46" s="32" t="n">
        <v>0</v>
      </c>
      <c r="M46" s="31" t="n">
        <v>0</v>
      </c>
      <c r="N46" s="31" t="n">
        <v>0</v>
      </c>
      <c r="O46" s="3" t="n">
        <v>0</v>
      </c>
      <c r="P46" s="3" t="n">
        <v>0</v>
      </c>
      <c r="Q46" s="32" t="n">
        <v>0</v>
      </c>
      <c r="R46" s="3" t="n">
        <v>0</v>
      </c>
      <c r="S46" s="32" t="n">
        <v>0</v>
      </c>
      <c r="T46" s="2" t="n">
        <v>0</v>
      </c>
      <c r="U46" s="2" t="n">
        <v>194</v>
      </c>
      <c r="V46" s="4" t="n">
        <v>194</v>
      </c>
      <c r="W46" s="33" t="n">
        <v>59.98</v>
      </c>
      <c r="X46" s="4" t="n">
        <v>2</v>
      </c>
      <c r="Y46" s="34" t="n">
        <v>0.0103</v>
      </c>
      <c r="Z46" s="34" t="n">
        <v>1</v>
      </c>
      <c r="AA46" s="2" t="n">
        <v>25447</v>
      </c>
      <c r="AB46" s="2" t="n">
        <v>4</v>
      </c>
    </row>
    <row r="47">
      <c r="A47" t="inlineStr">
        <is>
          <t>Garters</t>
        </is>
      </c>
      <c r="B47" s="29" t="n">
        <v>55.90000000000001</v>
      </c>
      <c r="C47" s="30" t="n">
        <v>0.0005</v>
      </c>
      <c r="D47" s="29" t="n">
        <v>0</v>
      </c>
      <c r="E47" s="29" t="n">
        <v>0</v>
      </c>
      <c r="F47" s="2" t="n">
        <v>7</v>
      </c>
      <c r="G47" s="31" t="n">
        <v>0</v>
      </c>
      <c r="H47" s="32" t="n"/>
      <c r="I47" s="32" t="n">
        <v>0</v>
      </c>
      <c r="J47" s="32" t="n">
        <v>0</v>
      </c>
      <c r="K47" s="31" t="n">
        <v>0</v>
      </c>
      <c r="L47" s="32" t="n">
        <v>0</v>
      </c>
      <c r="M47" s="31" t="n">
        <v>0</v>
      </c>
      <c r="N47" s="31" t="n">
        <v>0</v>
      </c>
      <c r="O47" s="3" t="n">
        <v>0</v>
      </c>
      <c r="P47" s="3" t="n">
        <v>0</v>
      </c>
      <c r="Q47" s="32" t="n">
        <v>0</v>
      </c>
      <c r="R47" s="3" t="n">
        <v>0</v>
      </c>
      <c r="S47" s="32" t="n">
        <v>0</v>
      </c>
      <c r="T47" s="2" t="n">
        <v>31</v>
      </c>
      <c r="U47" s="2" t="n">
        <v>249</v>
      </c>
      <c r="V47" s="4" t="n">
        <v>249</v>
      </c>
      <c r="W47" s="33" t="n">
        <v>55.90000000000001</v>
      </c>
      <c r="X47" s="4" t="n">
        <v>7</v>
      </c>
      <c r="Y47" s="34" t="n">
        <v>0.0281</v>
      </c>
      <c r="Z47" s="34" t="n">
        <v>1</v>
      </c>
      <c r="AA47" s="2" t="n">
        <v>4975</v>
      </c>
      <c r="AB47" s="2" t="n">
        <v>3</v>
      </c>
    </row>
    <row r="48">
      <c r="A48" t="inlineStr">
        <is>
          <t>Dresses</t>
        </is>
      </c>
      <c r="B48" s="29" t="n">
        <v>55.86000000000001</v>
      </c>
      <c r="C48" s="30" t="n">
        <v>0.0005</v>
      </c>
      <c r="D48" s="29" t="n">
        <v>0</v>
      </c>
      <c r="E48" s="29" t="n">
        <v>0</v>
      </c>
      <c r="F48" s="2" t="n">
        <v>7</v>
      </c>
      <c r="G48" s="31" t="n">
        <v>0</v>
      </c>
      <c r="H48" s="32" t="n"/>
      <c r="I48" s="32" t="n">
        <v>0</v>
      </c>
      <c r="J48" s="32" t="n">
        <v>0</v>
      </c>
      <c r="K48" s="31" t="n">
        <v>0</v>
      </c>
      <c r="L48" s="32" t="n">
        <v>0</v>
      </c>
      <c r="M48" s="31" t="n">
        <v>0</v>
      </c>
      <c r="N48" s="31" t="n">
        <v>0</v>
      </c>
      <c r="O48" s="3" t="n">
        <v>0</v>
      </c>
      <c r="P48" s="3" t="n">
        <v>0</v>
      </c>
      <c r="Q48" s="32" t="n">
        <v>0</v>
      </c>
      <c r="R48" s="3" t="n">
        <v>0</v>
      </c>
      <c r="S48" s="32" t="n">
        <v>0</v>
      </c>
      <c r="T48" s="2" t="n">
        <v>20</v>
      </c>
      <c r="U48" s="2" t="n">
        <v>271</v>
      </c>
      <c r="V48" s="4" t="n">
        <v>271</v>
      </c>
      <c r="W48" s="33" t="n">
        <v>55.86000000000001</v>
      </c>
      <c r="X48" s="4" t="n">
        <v>7</v>
      </c>
      <c r="Y48" s="34" t="n">
        <v>0.0258</v>
      </c>
      <c r="Z48" s="34" t="n">
        <v>1</v>
      </c>
      <c r="AA48" s="2" t="n">
        <v>15660</v>
      </c>
      <c r="AB48" s="2" t="n">
        <v>11</v>
      </c>
    </row>
    <row r="49">
      <c r="A49" t="inlineStr">
        <is>
          <t>Wine Racks</t>
        </is>
      </c>
      <c r="B49" s="29" t="n">
        <v>49.98</v>
      </c>
      <c r="C49" s="30" t="n">
        <v>0.0004</v>
      </c>
      <c r="D49" s="29" t="n">
        <v>24.98999977111816</v>
      </c>
      <c r="E49" s="29" t="n">
        <v>0</v>
      </c>
      <c r="F49" s="2" t="n">
        <v>2</v>
      </c>
      <c r="G49" s="31" t="n">
        <v>0</v>
      </c>
      <c r="H49" s="32" t="n"/>
      <c r="I49" s="32" t="n">
        <v>0</v>
      </c>
      <c r="J49" s="32" t="n">
        <v>0.0133</v>
      </c>
      <c r="K49" s="31" t="n">
        <v>0</v>
      </c>
      <c r="L49" s="32" t="n">
        <v>0</v>
      </c>
      <c r="M49" s="31" t="n">
        <v>0</v>
      </c>
      <c r="N49" s="31" t="n">
        <v>0</v>
      </c>
      <c r="O49" s="3" t="n">
        <v>0</v>
      </c>
      <c r="P49" s="3" t="n">
        <v>0</v>
      </c>
      <c r="Q49" s="32" t="n">
        <v>0</v>
      </c>
      <c r="R49" s="3" t="n">
        <v>0</v>
      </c>
      <c r="S49" s="32" t="n">
        <v>0</v>
      </c>
      <c r="T49" s="2" t="n">
        <v>84</v>
      </c>
      <c r="U49" s="2" t="n">
        <v>187</v>
      </c>
      <c r="V49" s="4" t="n">
        <v>187</v>
      </c>
      <c r="W49" s="33" t="n">
        <v>49.98</v>
      </c>
      <c r="X49" s="4" t="n">
        <v>2</v>
      </c>
      <c r="Y49" s="34" t="n">
        <v>0.0107</v>
      </c>
      <c r="Z49" s="34" t="n">
        <v>1</v>
      </c>
      <c r="AA49" s="2" t="n">
        <v>13567</v>
      </c>
      <c r="AB49" s="2" t="n">
        <v>4</v>
      </c>
    </row>
    <row r="50">
      <c r="A50" t="inlineStr">
        <is>
          <t>Panties</t>
        </is>
      </c>
      <c r="B50" s="29" t="n">
        <v>47.93000000000001</v>
      </c>
      <c r="C50" s="30" t="n">
        <v>0.0004</v>
      </c>
      <c r="D50" s="29" t="n">
        <v>16.96999931335449</v>
      </c>
      <c r="E50" s="29" t="n">
        <v>0</v>
      </c>
      <c r="F50" s="2" t="n">
        <v>6</v>
      </c>
      <c r="G50" s="31" t="n">
        <v>0</v>
      </c>
      <c r="H50" s="32" t="n"/>
      <c r="I50" s="32" t="n">
        <v>0</v>
      </c>
      <c r="J50" s="32" t="n">
        <v>0</v>
      </c>
      <c r="K50" s="31" t="n">
        <v>0</v>
      </c>
      <c r="L50" s="32" t="n">
        <v>0</v>
      </c>
      <c r="M50" s="31" t="n">
        <v>0</v>
      </c>
      <c r="N50" s="31" t="n">
        <v>0</v>
      </c>
      <c r="O50" s="3" t="n">
        <v>0</v>
      </c>
      <c r="P50" s="3" t="n">
        <v>0</v>
      </c>
      <c r="Q50" s="32" t="n">
        <v>0</v>
      </c>
      <c r="R50" s="3" t="n">
        <v>0</v>
      </c>
      <c r="S50" s="32" t="n">
        <v>0</v>
      </c>
      <c r="T50" s="2" t="n">
        <v>0</v>
      </c>
      <c r="U50" s="2" t="n">
        <v>147</v>
      </c>
      <c r="V50" s="4" t="n">
        <v>147</v>
      </c>
      <c r="W50" s="33" t="n">
        <v>47.93000000000001</v>
      </c>
      <c r="X50" s="4" t="n">
        <v>6</v>
      </c>
      <c r="Y50" s="34" t="n">
        <v>0.0408</v>
      </c>
      <c r="Z50" s="34" t="n">
        <v>1</v>
      </c>
      <c r="AA50" s="2" t="n">
        <v>17617</v>
      </c>
      <c r="AB50" s="2" t="n">
        <v>19</v>
      </c>
    </row>
    <row r="51">
      <c r="A51" t="inlineStr">
        <is>
          <t>Running Belts</t>
        </is>
      </c>
      <c r="B51" s="29" t="n">
        <v>46.89</v>
      </c>
      <c r="C51" s="30" t="n">
        <v>0.0004</v>
      </c>
      <c r="D51" s="29" t="n">
        <v>7.980000019073486</v>
      </c>
      <c r="E51" s="29" t="n">
        <v>0</v>
      </c>
      <c r="F51" s="2" t="n">
        <v>6</v>
      </c>
      <c r="G51" s="31" t="n">
        <v>0</v>
      </c>
      <c r="H51" s="32" t="n"/>
      <c r="I51" s="32" t="n">
        <v>0</v>
      </c>
      <c r="J51" s="32" t="n">
        <v>0</v>
      </c>
      <c r="K51" s="31" t="n">
        <v>0</v>
      </c>
      <c r="L51" s="32" t="n">
        <v>0</v>
      </c>
      <c r="M51" s="31" t="n">
        <v>0</v>
      </c>
      <c r="N51" s="31" t="n">
        <v>0</v>
      </c>
      <c r="O51" s="3" t="n">
        <v>0</v>
      </c>
      <c r="P51" s="3" t="n">
        <v>0</v>
      </c>
      <c r="Q51" s="32" t="n">
        <v>0</v>
      </c>
      <c r="R51" s="3" t="n">
        <v>0</v>
      </c>
      <c r="S51" s="32" t="n">
        <v>0</v>
      </c>
      <c r="T51" s="2" t="n">
        <v>0</v>
      </c>
      <c r="U51" s="2" t="n">
        <v>163</v>
      </c>
      <c r="V51" s="4" t="n">
        <v>163</v>
      </c>
      <c r="W51" s="33" t="n">
        <v>46.89</v>
      </c>
      <c r="X51" s="4" t="n">
        <v>6</v>
      </c>
      <c r="Y51" s="34" t="n">
        <v>0.0368</v>
      </c>
      <c r="Z51" s="34" t="n">
        <v>1</v>
      </c>
      <c r="AA51" s="2" t="n">
        <v>13567</v>
      </c>
      <c r="AB51" s="2" t="n">
        <v>15</v>
      </c>
    </row>
    <row r="52">
      <c r="A52" t="inlineStr">
        <is>
          <t>Skirts</t>
        </is>
      </c>
      <c r="B52" s="29" t="n">
        <v>33.98</v>
      </c>
      <c r="C52" s="30" t="n">
        <v>0.0003</v>
      </c>
      <c r="D52" s="29" t="n">
        <v>0</v>
      </c>
      <c r="E52" s="29" t="n">
        <v>0</v>
      </c>
      <c r="F52" s="2" t="n">
        <v>2</v>
      </c>
      <c r="G52" s="31" t="n">
        <v>0</v>
      </c>
      <c r="H52" s="32" t="n"/>
      <c r="I52" s="32" t="n">
        <v>0</v>
      </c>
      <c r="J52" s="32" t="n">
        <v>0</v>
      </c>
      <c r="K52" s="31" t="n">
        <v>0</v>
      </c>
      <c r="L52" s="32" t="n">
        <v>0</v>
      </c>
      <c r="M52" s="31" t="n">
        <v>0</v>
      </c>
      <c r="N52" s="31" t="n">
        <v>0</v>
      </c>
      <c r="O52" s="3" t="n">
        <v>0</v>
      </c>
      <c r="P52" s="3" t="n">
        <v>0</v>
      </c>
      <c r="Q52" s="32" t="n">
        <v>0</v>
      </c>
      <c r="R52" s="3" t="n">
        <v>0</v>
      </c>
      <c r="S52" s="32" t="n">
        <v>0</v>
      </c>
      <c r="T52" s="2" t="n">
        <v>0</v>
      </c>
      <c r="U52" s="2" t="n">
        <v>44</v>
      </c>
      <c r="V52" s="4" t="n">
        <v>44</v>
      </c>
      <c r="W52" s="33" t="n">
        <v>33.98</v>
      </c>
      <c r="X52" s="4" t="n">
        <v>2</v>
      </c>
      <c r="Y52" s="34" t="n">
        <v>0.0455</v>
      </c>
      <c r="Z52" s="34" t="n">
        <v>1</v>
      </c>
      <c r="AA52" s="2" t="n">
        <v>2092</v>
      </c>
      <c r="AB52" s="2" t="n">
        <v>4</v>
      </c>
    </row>
    <row r="53">
      <c r="A53" t="inlineStr">
        <is>
          <t>Patio Furniture Covers</t>
        </is>
      </c>
      <c r="B53" s="29" t="n">
        <v>27.99</v>
      </c>
      <c r="C53" s="30" t="n">
        <v>0.0002</v>
      </c>
      <c r="D53" s="29" t="n">
        <v>0</v>
      </c>
      <c r="E53" s="29" t="n">
        <v>0</v>
      </c>
      <c r="F53" s="2" t="n">
        <v>1</v>
      </c>
      <c r="G53" s="31" t="n">
        <v>0</v>
      </c>
      <c r="H53" s="32" t="n"/>
      <c r="I53" s="32" t="n">
        <v>0</v>
      </c>
      <c r="J53" s="32" t="n">
        <v>0</v>
      </c>
      <c r="K53" s="31" t="n">
        <v>0</v>
      </c>
      <c r="L53" s="32" t="n">
        <v>0</v>
      </c>
      <c r="M53" s="31" t="n">
        <v>0</v>
      </c>
      <c r="N53" s="31" t="n">
        <v>0</v>
      </c>
      <c r="O53" s="3" t="n">
        <v>0</v>
      </c>
      <c r="P53" s="3" t="n">
        <v>0</v>
      </c>
      <c r="Q53" s="32" t="n">
        <v>0</v>
      </c>
      <c r="R53" s="3" t="n">
        <v>0</v>
      </c>
      <c r="S53" s="32" t="n">
        <v>0</v>
      </c>
      <c r="T53" s="2" t="n">
        <v>0</v>
      </c>
      <c r="U53" s="2" t="n">
        <v>115</v>
      </c>
      <c r="V53" s="4" t="n">
        <v>115</v>
      </c>
      <c r="W53" s="33" t="n">
        <v>27.99</v>
      </c>
      <c r="X53" s="4" t="n">
        <v>1</v>
      </c>
      <c r="Y53" s="34" t="n">
        <v>0.008699999999999999</v>
      </c>
      <c r="Z53" s="34" t="n">
        <v>1</v>
      </c>
      <c r="AA53" s="2" t="n">
        <v>25380</v>
      </c>
      <c r="AB53" s="2" t="n">
        <v>2</v>
      </c>
    </row>
    <row r="54">
      <c r="A54" t="inlineStr">
        <is>
          <t>Toiletry Kits &amp; Bags</t>
        </is>
      </c>
      <c r="B54" s="29" t="n">
        <v>18</v>
      </c>
      <c r="C54" s="30" t="n">
        <v>0.0002</v>
      </c>
      <c r="D54" s="29" t="n">
        <v>0</v>
      </c>
      <c r="E54" s="29" t="n">
        <v>0</v>
      </c>
      <c r="F54" s="2" t="n">
        <v>1</v>
      </c>
      <c r="G54" s="31" t="n">
        <v>0</v>
      </c>
      <c r="H54" s="32" t="n"/>
      <c r="I54" s="32" t="n">
        <v>0</v>
      </c>
      <c r="J54" s="32" t="n">
        <v>0</v>
      </c>
      <c r="K54" s="31" t="n">
        <v>0</v>
      </c>
      <c r="L54" s="32" t="n">
        <v>0</v>
      </c>
      <c r="M54" s="31" t="n">
        <v>0</v>
      </c>
      <c r="N54" s="31" t="n">
        <v>0</v>
      </c>
      <c r="O54" s="3" t="n">
        <v>0</v>
      </c>
      <c r="P54" s="3" t="n">
        <v>0</v>
      </c>
      <c r="Q54" s="32" t="n">
        <v>0</v>
      </c>
      <c r="R54" s="3" t="n">
        <v>0</v>
      </c>
      <c r="S54" s="32" t="n">
        <v>0</v>
      </c>
      <c r="T54" s="2" t="n">
        <v>0</v>
      </c>
      <c r="U54" s="2" t="n">
        <v>27</v>
      </c>
      <c r="V54" s="4" t="n">
        <v>27</v>
      </c>
      <c r="W54" s="33" t="n">
        <v>18</v>
      </c>
      <c r="X54" s="4" t="n">
        <v>1</v>
      </c>
      <c r="Y54" s="34" t="n">
        <v>0.037</v>
      </c>
      <c r="Z54" s="34" t="n">
        <v>1</v>
      </c>
      <c r="AA54" s="2" t="n">
        <v>54000</v>
      </c>
      <c r="AB54" s="2" t="n">
        <v>4</v>
      </c>
    </row>
    <row r="55">
      <c r="A55" t="inlineStr">
        <is>
          <t>Ornaments</t>
        </is>
      </c>
      <c r="B55" s="29" t="n">
        <v>16.99</v>
      </c>
      <c r="C55" s="30" t="n">
        <v>0.0001</v>
      </c>
      <c r="D55" s="29" t="n">
        <v>101.9400024414062</v>
      </c>
      <c r="E55" s="29" t="n">
        <v>0</v>
      </c>
      <c r="F55" s="2" t="n">
        <v>1</v>
      </c>
      <c r="G55" s="31" t="n">
        <v>0</v>
      </c>
      <c r="H55" s="32" t="n"/>
      <c r="I55" s="32" t="n">
        <v>0</v>
      </c>
      <c r="J55" s="32" t="n">
        <v>0.3493</v>
      </c>
      <c r="K55" s="31" t="n">
        <v>0</v>
      </c>
      <c r="L55" s="32" t="n">
        <v>0</v>
      </c>
      <c r="M55" s="31" t="n">
        <v>0</v>
      </c>
      <c r="N55" s="31" t="n">
        <v>0</v>
      </c>
      <c r="O55" s="3" t="n">
        <v>0</v>
      </c>
      <c r="P55" s="3" t="n">
        <v>0</v>
      </c>
      <c r="Q55" s="32" t="n">
        <v>0</v>
      </c>
      <c r="R55" s="3" t="n">
        <v>0</v>
      </c>
      <c r="S55" s="32" t="n">
        <v>0</v>
      </c>
      <c r="T55" s="2" t="n">
        <v>0</v>
      </c>
      <c r="U55" s="2" t="n">
        <v>1847</v>
      </c>
      <c r="V55" s="4" t="n">
        <v>1847</v>
      </c>
      <c r="W55" s="33" t="n">
        <v>16.99</v>
      </c>
      <c r="X55" s="4" t="n">
        <v>1</v>
      </c>
      <c r="Y55" s="34" t="n">
        <v>0.0005</v>
      </c>
      <c r="Z55" s="34" t="n">
        <v>1</v>
      </c>
      <c r="AA55" s="2" t="n">
        <v>834840</v>
      </c>
      <c r="AB55" s="2" t="n">
        <v>79</v>
      </c>
    </row>
    <row r="56">
      <c r="A56" t="inlineStr">
        <is>
          <t>Golf Hats</t>
        </is>
      </c>
      <c r="B56" s="29" t="n">
        <v>16.98</v>
      </c>
      <c r="C56" s="30" t="n">
        <v>0.0001</v>
      </c>
      <c r="D56" s="29" t="n">
        <v>0</v>
      </c>
      <c r="E56" s="29" t="n">
        <v>0</v>
      </c>
      <c r="F56" s="2" t="n">
        <v>2</v>
      </c>
      <c r="G56" s="31" t="n">
        <v>0</v>
      </c>
      <c r="H56" s="32" t="n"/>
      <c r="I56" s="32" t="n">
        <v>0</v>
      </c>
      <c r="J56" s="32" t="n">
        <v>0</v>
      </c>
      <c r="K56" s="31" t="n">
        <v>0</v>
      </c>
      <c r="L56" s="32" t="n">
        <v>0</v>
      </c>
      <c r="M56" s="31" t="n">
        <v>0</v>
      </c>
      <c r="N56" s="31" t="n">
        <v>0</v>
      </c>
      <c r="O56" s="3" t="n">
        <v>0</v>
      </c>
      <c r="P56" s="3" t="n">
        <v>0</v>
      </c>
      <c r="Q56" s="32" t="n">
        <v>0</v>
      </c>
      <c r="R56" s="3" t="n">
        <v>0</v>
      </c>
      <c r="S56" s="32" t="n">
        <v>0</v>
      </c>
      <c r="T56" s="2" t="n">
        <v>0</v>
      </c>
      <c r="U56" s="2" t="n">
        <v>139</v>
      </c>
      <c r="V56" s="4" t="n">
        <v>139</v>
      </c>
      <c r="W56" s="33" t="n">
        <v>16.98</v>
      </c>
      <c r="X56" s="4" t="n">
        <v>2</v>
      </c>
      <c r="Y56" s="34" t="n">
        <v>0.0144</v>
      </c>
      <c r="Z56" s="34" t="n">
        <v>1</v>
      </c>
      <c r="AA56" s="2" t="n">
        <v>35977</v>
      </c>
      <c r="AB56" s="2" t="n">
        <v>8</v>
      </c>
    </row>
    <row r="57">
      <c r="A57" t="inlineStr">
        <is>
          <t>Nightgowns &amp; Sleepshirts</t>
        </is>
      </c>
      <c r="B57" s="29" t="n">
        <v>15.98</v>
      </c>
      <c r="C57" s="30" t="n">
        <v>0.0001</v>
      </c>
      <c r="D57" s="29" t="n">
        <v>0</v>
      </c>
      <c r="E57" s="29" t="n">
        <v>0</v>
      </c>
      <c r="F57" s="2" t="n">
        <v>2</v>
      </c>
      <c r="G57" s="31" t="n">
        <v>0</v>
      </c>
      <c r="H57" s="32" t="n"/>
      <c r="I57" s="32" t="n">
        <v>0</v>
      </c>
      <c r="J57" s="32" t="n">
        <v>0</v>
      </c>
      <c r="K57" s="31" t="n">
        <v>0</v>
      </c>
      <c r="L57" s="32" t="n">
        <v>0</v>
      </c>
      <c r="M57" s="31" t="n">
        <v>0</v>
      </c>
      <c r="N57" s="31" t="n">
        <v>0</v>
      </c>
      <c r="O57" s="3" t="n">
        <v>0</v>
      </c>
      <c r="P57" s="3" t="n">
        <v>0</v>
      </c>
      <c r="Q57" s="32" t="n">
        <v>0</v>
      </c>
      <c r="R57" s="3" t="n">
        <v>0</v>
      </c>
      <c r="S57" s="32" t="n">
        <v>0</v>
      </c>
      <c r="T57" s="2" t="n">
        <v>0</v>
      </c>
      <c r="U57" s="2" t="n">
        <v>67</v>
      </c>
      <c r="V57" s="4" t="n">
        <v>67</v>
      </c>
      <c r="W57" s="33" t="n">
        <v>15.98</v>
      </c>
      <c r="X57" s="4" t="n">
        <v>2</v>
      </c>
      <c r="Y57" s="34" t="n">
        <v>0.0299</v>
      </c>
      <c r="Z57" s="34" t="n">
        <v>1</v>
      </c>
      <c r="AA57" s="2" t="n">
        <v>10530</v>
      </c>
      <c r="AB57" s="2" t="n">
        <v>8</v>
      </c>
    </row>
    <row r="58">
      <c r="A58" t="inlineStr">
        <is>
          <t>Salt &amp; Pepper Mills</t>
        </is>
      </c>
      <c r="B58" s="29" t="n">
        <v>14.98</v>
      </c>
      <c r="C58" s="30" t="n">
        <v>0.0001</v>
      </c>
      <c r="D58" s="29" t="n">
        <v>0</v>
      </c>
      <c r="E58" s="29" t="n">
        <v>0</v>
      </c>
      <c r="F58" s="2" t="n">
        <v>1</v>
      </c>
      <c r="G58" s="31" t="n">
        <v>0</v>
      </c>
      <c r="H58" s="32" t="n"/>
      <c r="I58" s="32" t="n">
        <v>0</v>
      </c>
      <c r="J58" s="32" t="n">
        <v>0</v>
      </c>
      <c r="K58" s="31" t="n">
        <v>0</v>
      </c>
      <c r="L58" s="32" t="n">
        <v>0</v>
      </c>
      <c r="M58" s="31" t="n">
        <v>0</v>
      </c>
      <c r="N58" s="31" t="n">
        <v>0</v>
      </c>
      <c r="O58" s="3" t="n">
        <v>0</v>
      </c>
      <c r="P58" s="3" t="n">
        <v>0</v>
      </c>
      <c r="Q58" s="32" t="n">
        <v>0</v>
      </c>
      <c r="R58" s="3" t="n">
        <v>0</v>
      </c>
      <c r="S58" s="32" t="n">
        <v>0</v>
      </c>
      <c r="T58" s="2" t="n">
        <v>1</v>
      </c>
      <c r="U58" s="2" t="n">
        <v>24</v>
      </c>
      <c r="V58" s="4" t="n">
        <v>24</v>
      </c>
      <c r="W58" s="33" t="n">
        <v>14.98</v>
      </c>
      <c r="X58" s="4" t="n">
        <v>1</v>
      </c>
      <c r="Y58" s="34" t="n">
        <v>0.0417</v>
      </c>
      <c r="Z58" s="34" t="n">
        <v>1</v>
      </c>
      <c r="AA58" s="2" t="n">
        <v>0</v>
      </c>
      <c r="AB58" s="2" t="n">
        <v>3</v>
      </c>
    </row>
    <row r="59">
      <c r="A59" t="inlineStr">
        <is>
          <t>Leggings</t>
        </is>
      </c>
      <c r="B59" s="29" t="n">
        <v>7.99</v>
      </c>
      <c r="C59" s="30" t="n">
        <v>0.0001</v>
      </c>
      <c r="D59" s="29" t="n">
        <v>7.980000019073486</v>
      </c>
      <c r="E59" s="29" t="n">
        <v>0</v>
      </c>
      <c r="F59" s="2" t="n">
        <v>1</v>
      </c>
      <c r="G59" s="31" t="n">
        <v>0</v>
      </c>
      <c r="H59" s="32" t="n"/>
      <c r="I59" s="32" t="n">
        <v>0</v>
      </c>
      <c r="J59" s="32" t="n">
        <v>0</v>
      </c>
      <c r="K59" s="31" t="n">
        <v>0</v>
      </c>
      <c r="L59" s="32" t="n">
        <v>0</v>
      </c>
      <c r="M59" s="31" t="n">
        <v>0</v>
      </c>
      <c r="N59" s="31" t="n">
        <v>0</v>
      </c>
      <c r="O59" s="3" t="n">
        <v>0</v>
      </c>
      <c r="P59" s="3" t="n">
        <v>0</v>
      </c>
      <c r="Q59" s="32" t="n">
        <v>0</v>
      </c>
      <c r="R59" s="3" t="n">
        <v>0</v>
      </c>
      <c r="S59" s="32" t="n">
        <v>0</v>
      </c>
      <c r="T59" s="2" t="n">
        <v>7</v>
      </c>
      <c r="U59" s="2" t="n">
        <v>150</v>
      </c>
      <c r="V59" s="4" t="n">
        <v>150</v>
      </c>
      <c r="W59" s="33" t="n">
        <v>7.99</v>
      </c>
      <c r="X59" s="4" t="n">
        <v>1</v>
      </c>
      <c r="Y59" s="34" t="n">
        <v>0.0067</v>
      </c>
      <c r="Z59" s="34" t="n">
        <v>1</v>
      </c>
      <c r="AA59" s="2" t="n">
        <v>40500</v>
      </c>
      <c r="AB59" s="2" t="n">
        <v>9</v>
      </c>
    </row>
    <row r="60">
      <c r="A60" t="inlineStr">
        <is>
          <t>Party Hats</t>
        </is>
      </c>
      <c r="B60" s="29" t="n">
        <v>7.99</v>
      </c>
      <c r="C60" s="30" t="n">
        <v>0.0001</v>
      </c>
      <c r="D60" s="29" t="n">
        <v>0</v>
      </c>
      <c r="E60" s="29" t="n">
        <v>0</v>
      </c>
      <c r="F60" s="2" t="n">
        <v>1</v>
      </c>
      <c r="G60" s="31" t="n">
        <v>0</v>
      </c>
      <c r="H60" s="32" t="n"/>
      <c r="I60" s="32" t="n">
        <v>0</v>
      </c>
      <c r="J60" s="32" t="n">
        <v>0</v>
      </c>
      <c r="K60" s="31" t="n">
        <v>0</v>
      </c>
      <c r="L60" s="32" t="n">
        <v>0</v>
      </c>
      <c r="M60" s="31" t="n">
        <v>0</v>
      </c>
      <c r="N60" s="31" t="n">
        <v>0</v>
      </c>
      <c r="O60" s="3" t="n">
        <v>0</v>
      </c>
      <c r="P60" s="3" t="n">
        <v>0</v>
      </c>
      <c r="Q60" s="32" t="n">
        <v>0</v>
      </c>
      <c r="R60" s="3" t="n">
        <v>0</v>
      </c>
      <c r="S60" s="32" t="n">
        <v>0</v>
      </c>
      <c r="T60" s="2" t="n">
        <v>0</v>
      </c>
      <c r="U60" s="2" t="n">
        <v>62</v>
      </c>
      <c r="V60" s="4" t="n">
        <v>62</v>
      </c>
      <c r="W60" s="33" t="n">
        <v>7.99</v>
      </c>
      <c r="X60" s="4" t="n">
        <v>1</v>
      </c>
      <c r="Y60" s="34" t="n">
        <v>0.0161</v>
      </c>
      <c r="Z60" s="34" t="n">
        <v>1</v>
      </c>
      <c r="AA60" s="2" t="n">
        <v>27270</v>
      </c>
      <c r="AB60" s="2" t="n">
        <v>6</v>
      </c>
    </row>
    <row r="61">
      <c r="A61" t="inlineStr">
        <is>
          <t>Swimwear Cover-Ups</t>
        </is>
      </c>
      <c r="B61" s="29" t="n">
        <v>0</v>
      </c>
      <c r="C61" s="30" t="n"/>
      <c r="D61" s="29" t="n">
        <v>0</v>
      </c>
      <c r="E61" s="29" t="n">
        <v>0</v>
      </c>
      <c r="F61" s="2" t="n">
        <v>0</v>
      </c>
      <c r="G61" s="31" t="n">
        <v>0</v>
      </c>
      <c r="H61" s="32" t="n"/>
      <c r="I61" s="32" t="n">
        <v>0</v>
      </c>
      <c r="J61" s="32" t="n">
        <v>0</v>
      </c>
      <c r="K61" s="31" t="n">
        <v>0</v>
      </c>
      <c r="L61" s="32" t="n">
        <v>0</v>
      </c>
      <c r="M61" s="31" t="n">
        <v>0</v>
      </c>
      <c r="N61" s="31" t="n">
        <v>0</v>
      </c>
      <c r="O61" s="3" t="n">
        <v>0</v>
      </c>
      <c r="P61" s="3" t="n">
        <v>0</v>
      </c>
      <c r="Q61" s="32" t="n">
        <v>0</v>
      </c>
      <c r="R61" s="3" t="n">
        <v>0</v>
      </c>
      <c r="S61" s="32" t="n">
        <v>0</v>
      </c>
      <c r="T61" s="2" t="n">
        <v>0</v>
      </c>
      <c r="U61" s="2" t="n">
        <v>1</v>
      </c>
      <c r="V61" s="4" t="n">
        <v>1</v>
      </c>
      <c r="W61" s="33" t="n">
        <v>0</v>
      </c>
      <c r="X61" s="4" t="n">
        <v>0</v>
      </c>
      <c r="Y61" s="34" t="n"/>
      <c r="Z61" s="34" t="n">
        <v>0</v>
      </c>
      <c r="AA61" s="2" t="n">
        <v>0</v>
      </c>
      <c r="AB61" s="2" t="n">
        <v>1</v>
      </c>
    </row>
    <row r="62">
      <c r="A62" t="inlineStr">
        <is>
          <t>USB Hubs</t>
        </is>
      </c>
      <c r="B62" s="29" t="n">
        <v>0</v>
      </c>
      <c r="C62" s="30" t="n"/>
      <c r="D62" s="29" t="n">
        <v>0</v>
      </c>
      <c r="E62" s="29" t="n">
        <v>0</v>
      </c>
      <c r="F62" s="2" t="n">
        <v>0</v>
      </c>
      <c r="G62" s="31" t="n">
        <v>0</v>
      </c>
      <c r="H62" s="32" t="n"/>
      <c r="I62" s="32" t="n">
        <v>0</v>
      </c>
      <c r="J62" s="32" t="n">
        <v>0</v>
      </c>
      <c r="K62" s="31" t="n">
        <v>0</v>
      </c>
      <c r="L62" s="32" t="n">
        <v>0</v>
      </c>
      <c r="M62" s="31" t="n">
        <v>0</v>
      </c>
      <c r="N62" s="31" t="n">
        <v>0</v>
      </c>
      <c r="O62" s="3" t="n">
        <v>0</v>
      </c>
      <c r="P62" s="3" t="n">
        <v>0</v>
      </c>
      <c r="Q62" s="32" t="n">
        <v>0</v>
      </c>
      <c r="R62" s="3" t="n">
        <v>0</v>
      </c>
      <c r="S62" s="32" t="n">
        <v>0</v>
      </c>
      <c r="T62" s="2" t="n">
        <v>0</v>
      </c>
      <c r="U62" s="2" t="n">
        <v>0</v>
      </c>
      <c r="V62" s="4" t="n">
        <v>0</v>
      </c>
      <c r="W62" s="33" t="n">
        <v>0</v>
      </c>
      <c r="X62" s="4" t="n">
        <v>0</v>
      </c>
      <c r="Y62" s="34" t="n"/>
      <c r="Z62" s="34" t="n">
        <v>0</v>
      </c>
      <c r="AA62" s="2" t="n">
        <v>0</v>
      </c>
      <c r="AB62" s="2" t="n">
        <v>1</v>
      </c>
    </row>
    <row r="63">
      <c r="A63" t="inlineStr">
        <is>
          <t>Serving Trays</t>
        </is>
      </c>
      <c r="B63" s="29" t="n">
        <v>0</v>
      </c>
      <c r="C63" s="30" t="n"/>
      <c r="D63" s="29" t="n">
        <v>0</v>
      </c>
      <c r="E63" s="29" t="n">
        <v>0</v>
      </c>
      <c r="F63" s="2" t="n">
        <v>0</v>
      </c>
      <c r="G63" s="31" t="n">
        <v>0</v>
      </c>
      <c r="H63" s="32" t="n"/>
      <c r="I63" s="32" t="n">
        <v>0</v>
      </c>
      <c r="J63" s="32" t="n">
        <v>0</v>
      </c>
      <c r="K63" s="31" t="n">
        <v>0</v>
      </c>
      <c r="L63" s="32" t="n">
        <v>0</v>
      </c>
      <c r="M63" s="31" t="n">
        <v>0</v>
      </c>
      <c r="N63" s="31" t="n">
        <v>0</v>
      </c>
      <c r="O63" s="3" t="n">
        <v>0</v>
      </c>
      <c r="P63" s="3" t="n">
        <v>0</v>
      </c>
      <c r="Q63" s="32" t="n">
        <v>0</v>
      </c>
      <c r="R63" s="3" t="n">
        <v>0</v>
      </c>
      <c r="S63" s="32" t="n">
        <v>0</v>
      </c>
      <c r="T63" s="2" t="n">
        <v>0</v>
      </c>
      <c r="U63" s="2" t="n">
        <v>9</v>
      </c>
      <c r="V63" s="4" t="n">
        <v>9</v>
      </c>
      <c r="W63" s="33" t="n">
        <v>0</v>
      </c>
      <c r="X63" s="4" t="n">
        <v>0</v>
      </c>
      <c r="Y63" s="34" t="n"/>
      <c r="Z63" s="34" t="n">
        <v>0</v>
      </c>
      <c r="AA63" s="2" t="n">
        <v>0</v>
      </c>
      <c r="AB63" s="2" t="n">
        <v>1</v>
      </c>
    </row>
    <row r="64">
      <c r="A64" t="inlineStr">
        <is>
          <t>Tennis Visors</t>
        </is>
      </c>
      <c r="B64" s="29" t="n">
        <v>0</v>
      </c>
      <c r="C64" s="30" t="n"/>
      <c r="D64" s="29" t="n">
        <v>0</v>
      </c>
      <c r="E64" s="29" t="n">
        <v>0</v>
      </c>
      <c r="F64" s="2" t="n">
        <v>0</v>
      </c>
      <c r="G64" s="31" t="n">
        <v>0</v>
      </c>
      <c r="H64" s="32" t="n"/>
      <c r="I64" s="32" t="n">
        <v>0</v>
      </c>
      <c r="J64" s="32" t="n">
        <v>0</v>
      </c>
      <c r="K64" s="31" t="n">
        <v>0</v>
      </c>
      <c r="L64" s="32" t="n">
        <v>0</v>
      </c>
      <c r="M64" s="31" t="n">
        <v>0</v>
      </c>
      <c r="N64" s="31" t="n">
        <v>0</v>
      </c>
      <c r="O64" s="3" t="n">
        <v>0</v>
      </c>
      <c r="P64" s="3" t="n">
        <v>0</v>
      </c>
      <c r="Q64" s="32" t="n">
        <v>0</v>
      </c>
      <c r="R64" s="3" t="n">
        <v>0</v>
      </c>
      <c r="S64" s="32" t="n">
        <v>0</v>
      </c>
      <c r="T64" s="2" t="n">
        <v>0</v>
      </c>
      <c r="U64" s="2" t="n">
        <v>15</v>
      </c>
      <c r="V64" s="4" t="n">
        <v>15</v>
      </c>
      <c r="W64" s="33" t="n">
        <v>0</v>
      </c>
      <c r="X64" s="4" t="n">
        <v>0</v>
      </c>
      <c r="Y64" s="34" t="n"/>
      <c r="Z64" s="34" t="n">
        <v>0</v>
      </c>
      <c r="AA64" s="2" t="n">
        <v>0</v>
      </c>
      <c r="AB64" s="2" t="n">
        <v>7</v>
      </c>
    </row>
    <row r="65">
      <c r="A65" t="inlineStr">
        <is>
          <t>Scarves</t>
        </is>
      </c>
      <c r="B65" s="29" t="n">
        <v>0</v>
      </c>
      <c r="C65" s="30" t="n"/>
      <c r="D65" s="29" t="n">
        <v>104.7000045776367</v>
      </c>
      <c r="E65" s="29" t="n">
        <v>0</v>
      </c>
      <c r="F65" s="2" t="n">
        <v>0</v>
      </c>
      <c r="G65" s="31" t="n">
        <v>0</v>
      </c>
      <c r="H65" s="32" t="n"/>
      <c r="I65" s="32" t="n">
        <v>0</v>
      </c>
      <c r="J65" s="32" t="n">
        <v>0</v>
      </c>
      <c r="K65" s="31" t="n">
        <v>0</v>
      </c>
      <c r="L65" s="32" t="n">
        <v>0</v>
      </c>
      <c r="M65" s="31" t="n">
        <v>0</v>
      </c>
      <c r="N65" s="31" t="n">
        <v>0</v>
      </c>
      <c r="O65" s="3" t="n">
        <v>0</v>
      </c>
      <c r="P65" s="3" t="n">
        <v>0</v>
      </c>
      <c r="Q65" s="32" t="n">
        <v>0</v>
      </c>
      <c r="R65" s="3" t="n">
        <v>0</v>
      </c>
      <c r="S65" s="32" t="n">
        <v>0</v>
      </c>
      <c r="T65" s="2" t="n">
        <v>9</v>
      </c>
      <c r="U65" s="2" t="n">
        <v>108</v>
      </c>
      <c r="V65" s="4" t="n">
        <v>108</v>
      </c>
      <c r="W65" s="33" t="n">
        <v>0</v>
      </c>
      <c r="X65" s="4" t="n">
        <v>0</v>
      </c>
      <c r="Y65" s="34" t="n"/>
      <c r="Z65" s="34" t="n">
        <v>0</v>
      </c>
      <c r="AA65" s="2" t="n">
        <v>0</v>
      </c>
      <c r="AB65" s="2" t="n">
        <v>6</v>
      </c>
    </row>
    <row r="66">
      <c r="A66" t="inlineStr">
        <is>
          <t>Wigs &amp; Toupees</t>
        </is>
      </c>
      <c r="B66" s="29" t="n">
        <v>0</v>
      </c>
      <c r="C66" s="30" t="n"/>
      <c r="D66" s="29" t="n">
        <v>0</v>
      </c>
      <c r="E66" s="29" t="n">
        <v>0</v>
      </c>
      <c r="F66" s="2" t="n">
        <v>0</v>
      </c>
      <c r="G66" s="31" t="n">
        <v>0</v>
      </c>
      <c r="H66" s="32" t="n"/>
      <c r="I66" s="32" t="n">
        <v>0</v>
      </c>
      <c r="J66" s="32" t="n">
        <v>0</v>
      </c>
      <c r="K66" s="31" t="n">
        <v>0</v>
      </c>
      <c r="L66" s="32" t="n">
        <v>0</v>
      </c>
      <c r="M66" s="31" t="n">
        <v>0</v>
      </c>
      <c r="N66" s="31" t="n">
        <v>0</v>
      </c>
      <c r="O66" s="3" t="n">
        <v>0</v>
      </c>
      <c r="P66" s="3" t="n">
        <v>0</v>
      </c>
      <c r="Q66" s="32" t="n">
        <v>0</v>
      </c>
      <c r="R66" s="3" t="n">
        <v>0</v>
      </c>
      <c r="S66" s="32" t="n">
        <v>0</v>
      </c>
      <c r="T66" s="2" t="n">
        <v>0</v>
      </c>
      <c r="U66" s="2" t="n">
        <v>33</v>
      </c>
      <c r="V66" s="4" t="n">
        <v>33</v>
      </c>
      <c r="W66" s="33" t="n">
        <v>0</v>
      </c>
      <c r="X66" s="4" t="n">
        <v>0</v>
      </c>
      <c r="Y66" s="34" t="n"/>
      <c r="Z66" s="34" t="n">
        <v>0</v>
      </c>
      <c r="AA66" s="2" t="n">
        <v>0</v>
      </c>
      <c r="AB66" s="2" t="n">
        <v>8</v>
      </c>
    </row>
    <row r="67">
      <c r="A67" t="inlineStr">
        <is>
          <t>Stockings</t>
        </is>
      </c>
      <c r="B67" s="29" t="n">
        <v>0</v>
      </c>
      <c r="C67" s="30" t="n"/>
      <c r="D67" s="29" t="n">
        <v>0</v>
      </c>
      <c r="E67" s="29" t="n">
        <v>0</v>
      </c>
      <c r="F67" s="2" t="n">
        <v>0</v>
      </c>
      <c r="G67" s="31" t="n">
        <v>0</v>
      </c>
      <c r="H67" s="32" t="n"/>
      <c r="I67" s="32" t="n">
        <v>0</v>
      </c>
      <c r="J67" s="32" t="n">
        <v>0</v>
      </c>
      <c r="K67" s="31" t="n">
        <v>0</v>
      </c>
      <c r="L67" s="32" t="n">
        <v>0</v>
      </c>
      <c r="M67" s="31" t="n">
        <v>0</v>
      </c>
      <c r="N67" s="31" t="n">
        <v>0</v>
      </c>
      <c r="O67" s="3" t="n">
        <v>0</v>
      </c>
      <c r="P67" s="3" t="n">
        <v>0</v>
      </c>
      <c r="Q67" s="32" t="n">
        <v>0</v>
      </c>
      <c r="R67" s="3" t="n">
        <v>0</v>
      </c>
      <c r="S67" s="32" t="n">
        <v>0</v>
      </c>
      <c r="T67" s="2" t="n">
        <v>0</v>
      </c>
      <c r="U67" s="2" t="n">
        <v>5</v>
      </c>
      <c r="V67" s="4" t="n">
        <v>5</v>
      </c>
      <c r="W67" s="33" t="n">
        <v>0</v>
      </c>
      <c r="X67" s="4" t="n">
        <v>0</v>
      </c>
      <c r="Y67" s="34" t="n"/>
      <c r="Z67" s="34" t="n">
        <v>0</v>
      </c>
      <c r="AA67" s="2" t="n">
        <v>0</v>
      </c>
      <c r="AB67" s="2" t="n">
        <v>2</v>
      </c>
    </row>
    <row r="68">
      <c r="A68" t="inlineStr">
        <is>
          <t>Wine Glasses</t>
        </is>
      </c>
      <c r="B68" s="29" t="n">
        <v>0</v>
      </c>
      <c r="C68" s="30" t="n"/>
      <c r="D68" s="29" t="n">
        <v>0</v>
      </c>
      <c r="E68" s="29" t="n">
        <v>0</v>
      </c>
      <c r="F68" s="2" t="n">
        <v>0</v>
      </c>
      <c r="G68" s="31" t="n">
        <v>0</v>
      </c>
      <c r="H68" s="32" t="n"/>
      <c r="I68" s="32" t="n">
        <v>0</v>
      </c>
      <c r="J68" s="32" t="n">
        <v>0</v>
      </c>
      <c r="K68" s="31" t="n">
        <v>0</v>
      </c>
      <c r="L68" s="32" t="n">
        <v>0</v>
      </c>
      <c r="M68" s="31" t="n">
        <v>0</v>
      </c>
      <c r="N68" s="31" t="n">
        <v>0</v>
      </c>
      <c r="O68" s="3" t="n">
        <v>0</v>
      </c>
      <c r="P68" s="3" t="n">
        <v>0</v>
      </c>
      <c r="Q68" s="32" t="n">
        <v>0</v>
      </c>
      <c r="R68" s="3" t="n">
        <v>0</v>
      </c>
      <c r="S68" s="32" t="n">
        <v>0</v>
      </c>
      <c r="T68" s="2" t="n">
        <v>0</v>
      </c>
      <c r="U68" s="2" t="n">
        <v>55</v>
      </c>
      <c r="V68" s="4" t="n">
        <v>55</v>
      </c>
      <c r="W68" s="33" t="n">
        <v>0</v>
      </c>
      <c r="X68" s="4" t="n">
        <v>0</v>
      </c>
      <c r="Y68" s="34" t="n"/>
      <c r="Z68" s="34" t="n">
        <v>0</v>
      </c>
      <c r="AA68" s="2" t="n">
        <v>0</v>
      </c>
      <c r="AB68" s="2" t="n">
        <v>1</v>
      </c>
    </row>
    <row r="69">
      <c r="A69" t="inlineStr">
        <is>
          <t>No Product Type</t>
        </is>
      </c>
      <c r="B69" s="29" t="n">
        <v>0</v>
      </c>
      <c r="C69" s="30" t="n"/>
      <c r="D69" s="29" t="n">
        <v>0</v>
      </c>
      <c r="E69" s="29" t="n">
        <v>0</v>
      </c>
      <c r="F69" s="2" t="n">
        <v>0</v>
      </c>
      <c r="G69" s="31" t="n">
        <v>0</v>
      </c>
      <c r="H69" s="32" t="n"/>
      <c r="I69" s="32" t="n">
        <v>0</v>
      </c>
      <c r="J69" s="32" t="n">
        <v>0</v>
      </c>
      <c r="K69" s="31" t="n">
        <v>0</v>
      </c>
      <c r="L69" s="32" t="n">
        <v>0</v>
      </c>
      <c r="M69" s="31" t="n">
        <v>0</v>
      </c>
      <c r="N69" s="31" t="n">
        <v>0</v>
      </c>
      <c r="O69" s="3" t="n">
        <v>0</v>
      </c>
      <c r="P69" s="3" t="n">
        <v>0</v>
      </c>
      <c r="Q69" s="32" t="n">
        <v>0</v>
      </c>
      <c r="R69" s="3" t="n">
        <v>0</v>
      </c>
      <c r="S69" s="32" t="n">
        <v>0</v>
      </c>
      <c r="T69" s="2" t="n">
        <v>0</v>
      </c>
      <c r="U69" s="2" t="n">
        <v>2</v>
      </c>
      <c r="V69" s="4" t="n">
        <v>2</v>
      </c>
      <c r="W69" s="33" t="n">
        <v>0</v>
      </c>
      <c r="X69" s="4" t="n">
        <v>0</v>
      </c>
      <c r="Y69" s="34" t="n"/>
      <c r="Z69" s="34" t="n">
        <v>0</v>
      </c>
      <c r="AA69" s="2" t="n">
        <v>0</v>
      </c>
      <c r="AB69" s="2" t="n">
        <v>16</v>
      </c>
    </row>
    <row r="70">
      <c r="A70" t="inlineStr">
        <is>
          <t>Picnic Tables</t>
        </is>
      </c>
      <c r="B70" s="29" t="n">
        <v>0</v>
      </c>
      <c r="C70" s="30" t="n"/>
      <c r="D70" s="29" t="n">
        <v>0</v>
      </c>
      <c r="E70" s="29" t="n">
        <v>0</v>
      </c>
      <c r="F70" s="2" t="n">
        <v>0</v>
      </c>
      <c r="G70" s="31" t="n">
        <v>2.36</v>
      </c>
      <c r="H70" s="32" t="n">
        <v>0.0003</v>
      </c>
      <c r="I70" s="32" t="n">
        <v>0</v>
      </c>
      <c r="J70" s="32" t="n">
        <v>0.1039</v>
      </c>
      <c r="K70" s="31" t="n">
        <v>0</v>
      </c>
      <c r="L70" s="32" t="n">
        <v>0</v>
      </c>
      <c r="M70" s="31" t="n">
        <v>0</v>
      </c>
      <c r="N70" s="31" t="n">
        <v>0</v>
      </c>
      <c r="O70" s="3" t="n">
        <v>1707</v>
      </c>
      <c r="P70" s="3" t="n">
        <v>6</v>
      </c>
      <c r="Q70" s="32" t="n">
        <v>0.0035</v>
      </c>
      <c r="R70" s="3" t="n">
        <v>0</v>
      </c>
      <c r="S70" s="32" t="n">
        <v>0</v>
      </c>
      <c r="T70" s="2" t="n">
        <v>0</v>
      </c>
      <c r="U70" s="2" t="n">
        <v>209</v>
      </c>
      <c r="V70" s="4" t="n">
        <v>203</v>
      </c>
      <c r="W70" s="33" t="n">
        <v>0</v>
      </c>
      <c r="X70" s="4" t="n">
        <v>0</v>
      </c>
      <c r="Y70" s="34" t="n"/>
      <c r="Z70" s="34" t="n">
        <v>0</v>
      </c>
      <c r="AA70" s="2" t="n">
        <v>0</v>
      </c>
      <c r="AB70" s="2" t="n">
        <v>4</v>
      </c>
    </row>
    <row r="71">
      <c r="A71" t="inlineStr">
        <is>
          <t>Pet Car Seat Covers</t>
        </is>
      </c>
      <c r="B71" s="29" t="n">
        <v>0</v>
      </c>
      <c r="C71" s="30" t="n"/>
      <c r="D71" s="29" t="n">
        <v>0</v>
      </c>
      <c r="E71" s="29" t="n">
        <v>0</v>
      </c>
      <c r="F71" s="2" t="n">
        <v>0</v>
      </c>
      <c r="G71" s="31" t="n">
        <v>0</v>
      </c>
      <c r="H71" s="32" t="n"/>
      <c r="I71" s="32" t="n">
        <v>0</v>
      </c>
      <c r="J71" s="32" t="n">
        <v>0</v>
      </c>
      <c r="K71" s="31" t="n">
        <v>0</v>
      </c>
      <c r="L71" s="32" t="n">
        <v>0</v>
      </c>
      <c r="M71" s="31" t="n">
        <v>0</v>
      </c>
      <c r="N71" s="31" t="n">
        <v>0</v>
      </c>
      <c r="O71" s="3" t="n">
        <v>0</v>
      </c>
      <c r="P71" s="3" t="n">
        <v>0</v>
      </c>
      <c r="Q71" s="32" t="n">
        <v>0</v>
      </c>
      <c r="R71" s="3" t="n">
        <v>0</v>
      </c>
      <c r="S71" s="32" t="n">
        <v>0</v>
      </c>
      <c r="T71" s="2" t="n">
        <v>0</v>
      </c>
      <c r="U71" s="2" t="n">
        <v>24</v>
      </c>
      <c r="V71" s="4" t="n">
        <v>24</v>
      </c>
      <c r="W71" s="33" t="n">
        <v>0</v>
      </c>
      <c r="X71" s="4" t="n">
        <v>0</v>
      </c>
      <c r="Y71" s="34" t="n"/>
      <c r="Z71" s="34" t="n">
        <v>0</v>
      </c>
      <c r="AA71" s="2" t="n">
        <v>0</v>
      </c>
      <c r="AB71" s="2" t="n">
        <v>1</v>
      </c>
    </row>
    <row r="72">
      <c r="A72" t="inlineStr">
        <is>
          <t>Baby Sleepsacks</t>
        </is>
      </c>
      <c r="B72" s="29" t="n">
        <v>0</v>
      </c>
      <c r="C72" s="30" t="n"/>
      <c r="D72" s="29" t="n">
        <v>0</v>
      </c>
      <c r="E72" s="29" t="n">
        <v>0</v>
      </c>
      <c r="F72" s="2" t="n">
        <v>0</v>
      </c>
      <c r="G72" s="31" t="n">
        <v>0</v>
      </c>
      <c r="H72" s="32" t="n"/>
      <c r="I72" s="32" t="n">
        <v>0</v>
      </c>
      <c r="J72" s="32" t="n">
        <v>0</v>
      </c>
      <c r="K72" s="31" t="n">
        <v>0</v>
      </c>
      <c r="L72" s="32" t="n">
        <v>0</v>
      </c>
      <c r="M72" s="31" t="n">
        <v>0</v>
      </c>
      <c r="N72" s="31" t="n">
        <v>0</v>
      </c>
      <c r="O72" s="3" t="n">
        <v>0</v>
      </c>
      <c r="P72" s="3" t="n">
        <v>0</v>
      </c>
      <c r="Q72" s="32" t="n">
        <v>0</v>
      </c>
      <c r="R72" s="3" t="n">
        <v>0</v>
      </c>
      <c r="S72" s="32" t="n">
        <v>0</v>
      </c>
      <c r="T72" s="2" t="n">
        <v>0</v>
      </c>
      <c r="U72" s="2" t="n">
        <v>34</v>
      </c>
      <c r="V72" s="4" t="n">
        <v>34</v>
      </c>
      <c r="W72" s="33" t="n">
        <v>0</v>
      </c>
      <c r="X72" s="4" t="n">
        <v>0</v>
      </c>
      <c r="Y72" s="34" t="n"/>
      <c r="Z72" s="34" t="n">
        <v>0</v>
      </c>
      <c r="AA72" s="2" t="n">
        <v>0</v>
      </c>
      <c r="AB72" s="2" t="n">
        <v>2</v>
      </c>
    </row>
    <row r="73">
      <c r="A73" t="inlineStr">
        <is>
          <t>Backpacking Backpacks</t>
        </is>
      </c>
      <c r="B73" s="29" t="n">
        <v>0</v>
      </c>
      <c r="C73" s="30" t="n"/>
      <c r="D73" s="29" t="n">
        <v>0</v>
      </c>
      <c r="E73" s="29" t="n">
        <v>0</v>
      </c>
      <c r="F73" s="2" t="n">
        <v>0</v>
      </c>
      <c r="G73" s="31" t="n">
        <v>0</v>
      </c>
      <c r="H73" s="32" t="n"/>
      <c r="I73" s="32" t="n">
        <v>0</v>
      </c>
      <c r="J73" s="32" t="n">
        <v>0</v>
      </c>
      <c r="K73" s="31" t="n">
        <v>0</v>
      </c>
      <c r="L73" s="32" t="n">
        <v>0</v>
      </c>
      <c r="M73" s="31" t="n">
        <v>0</v>
      </c>
      <c r="N73" s="31" t="n">
        <v>0</v>
      </c>
      <c r="O73" s="3" t="n">
        <v>0</v>
      </c>
      <c r="P73" s="3" t="n">
        <v>0</v>
      </c>
      <c r="Q73" s="32" t="n">
        <v>0</v>
      </c>
      <c r="R73" s="3" t="n">
        <v>0</v>
      </c>
      <c r="S73" s="32" t="n">
        <v>0</v>
      </c>
      <c r="T73" s="2" t="n">
        <v>0</v>
      </c>
      <c r="U73" s="2" t="n">
        <v>3</v>
      </c>
      <c r="V73" s="4" t="n">
        <v>3</v>
      </c>
      <c r="W73" s="33" t="n">
        <v>0</v>
      </c>
      <c r="X73" s="4" t="n">
        <v>0</v>
      </c>
      <c r="Y73" s="34" t="n"/>
      <c r="Z73" s="34" t="n">
        <v>0</v>
      </c>
      <c r="AA73" s="2" t="n">
        <v>0</v>
      </c>
      <c r="AB73" s="2" t="n">
        <v>1</v>
      </c>
    </row>
    <row r="74">
      <c r="A74" t="inlineStr">
        <is>
          <t>Balaclavas</t>
        </is>
      </c>
      <c r="B74" s="29" t="n">
        <v>0</v>
      </c>
      <c r="C74" s="30" t="n"/>
      <c r="D74" s="29" t="n">
        <v>0</v>
      </c>
      <c r="E74" s="29" t="n">
        <v>0</v>
      </c>
      <c r="F74" s="2" t="n">
        <v>0</v>
      </c>
      <c r="G74" s="31" t="n">
        <v>0</v>
      </c>
      <c r="H74" s="32" t="n"/>
      <c r="I74" s="32" t="n">
        <v>0</v>
      </c>
      <c r="J74" s="32" t="n">
        <v>0</v>
      </c>
      <c r="K74" s="31" t="n">
        <v>0</v>
      </c>
      <c r="L74" s="32" t="n">
        <v>0</v>
      </c>
      <c r="M74" s="31" t="n">
        <v>0</v>
      </c>
      <c r="N74" s="31" t="n">
        <v>0</v>
      </c>
      <c r="O74" s="3" t="n">
        <v>0</v>
      </c>
      <c r="P74" s="3" t="n">
        <v>0</v>
      </c>
      <c r="Q74" s="32" t="n">
        <v>0</v>
      </c>
      <c r="R74" s="3" t="n">
        <v>0</v>
      </c>
      <c r="S74" s="32" t="n">
        <v>0</v>
      </c>
      <c r="T74" s="2" t="n">
        <v>0</v>
      </c>
      <c r="U74" s="2" t="n">
        <v>5</v>
      </c>
      <c r="V74" s="4" t="n">
        <v>5</v>
      </c>
      <c r="W74" s="33" t="n">
        <v>0</v>
      </c>
      <c r="X74" s="4" t="n">
        <v>0</v>
      </c>
      <c r="Y74" s="34" t="n"/>
      <c r="Z74" s="34" t="n">
        <v>0</v>
      </c>
      <c r="AA74" s="2" t="n">
        <v>0</v>
      </c>
      <c r="AB74" s="2" t="n">
        <v>1</v>
      </c>
    </row>
    <row r="75">
      <c r="A75" t="inlineStr">
        <is>
          <t>Bikini &amp; Tankini Tops</t>
        </is>
      </c>
      <c r="B75" s="29" t="n">
        <v>0</v>
      </c>
      <c r="C75" s="30" t="n"/>
      <c r="D75" s="29" t="n">
        <v>0</v>
      </c>
      <c r="E75" s="29" t="n">
        <v>0</v>
      </c>
      <c r="F75" s="2" t="n">
        <v>0</v>
      </c>
      <c r="G75" s="31" t="n">
        <v>0</v>
      </c>
      <c r="H75" s="32" t="n"/>
      <c r="I75" s="32" t="n">
        <v>0</v>
      </c>
      <c r="J75" s="32" t="n">
        <v>0</v>
      </c>
      <c r="K75" s="31" t="n">
        <v>0</v>
      </c>
      <c r="L75" s="32" t="n">
        <v>0</v>
      </c>
      <c r="M75" s="31" t="n">
        <v>0</v>
      </c>
      <c r="N75" s="31" t="n">
        <v>0</v>
      </c>
      <c r="O75" s="3" t="n">
        <v>0</v>
      </c>
      <c r="P75" s="3" t="n">
        <v>0</v>
      </c>
      <c r="Q75" s="32" t="n">
        <v>0</v>
      </c>
      <c r="R75" s="3" t="n">
        <v>0</v>
      </c>
      <c r="S75" s="32" t="n">
        <v>0</v>
      </c>
      <c r="T75" s="2" t="n">
        <v>0</v>
      </c>
      <c r="U75" s="2" t="n">
        <v>31</v>
      </c>
      <c r="V75" s="4" t="n">
        <v>31</v>
      </c>
      <c r="W75" s="33" t="n">
        <v>0</v>
      </c>
      <c r="X75" s="4" t="n">
        <v>0</v>
      </c>
      <c r="Y75" s="34" t="n"/>
      <c r="Z75" s="34" t="n">
        <v>0</v>
      </c>
      <c r="AA75" s="2" t="n">
        <v>0</v>
      </c>
      <c r="AB75" s="2" t="n">
        <v>3</v>
      </c>
    </row>
    <row r="76">
      <c r="A76" t="inlineStr">
        <is>
          <t>Blouses &amp; Tops</t>
        </is>
      </c>
      <c r="B76" s="29" t="n">
        <v>0</v>
      </c>
      <c r="C76" s="30" t="n"/>
      <c r="D76" s="29" t="n">
        <v>0</v>
      </c>
      <c r="E76" s="29" t="n">
        <v>0</v>
      </c>
      <c r="F76" s="2" t="n">
        <v>0</v>
      </c>
      <c r="G76" s="31" t="n">
        <v>0</v>
      </c>
      <c r="H76" s="32" t="n"/>
      <c r="I76" s="32" t="n">
        <v>0</v>
      </c>
      <c r="J76" s="32" t="n">
        <v>0</v>
      </c>
      <c r="K76" s="31" t="n">
        <v>0</v>
      </c>
      <c r="L76" s="32" t="n">
        <v>0</v>
      </c>
      <c r="M76" s="31" t="n">
        <v>0</v>
      </c>
      <c r="N76" s="31" t="n">
        <v>0</v>
      </c>
      <c r="O76" s="3" t="n">
        <v>0</v>
      </c>
      <c r="P76" s="3" t="n">
        <v>0</v>
      </c>
      <c r="Q76" s="32" t="n">
        <v>0</v>
      </c>
      <c r="R76" s="3" t="n">
        <v>0</v>
      </c>
      <c r="S76" s="32" t="n">
        <v>0</v>
      </c>
      <c r="T76" s="2" t="n">
        <v>0</v>
      </c>
      <c r="U76" s="2" t="n">
        <v>0</v>
      </c>
      <c r="V76" s="4" t="n">
        <v>0</v>
      </c>
      <c r="W76" s="33" t="n">
        <v>0</v>
      </c>
      <c r="X76" s="4" t="n">
        <v>0</v>
      </c>
      <c r="Y76" s="34" t="n"/>
      <c r="Z76" s="34" t="n">
        <v>0</v>
      </c>
      <c r="AA76" s="2" t="n">
        <v>0</v>
      </c>
      <c r="AB76" s="2" t="n">
        <v>1</v>
      </c>
    </row>
    <row r="77">
      <c r="A77" t="inlineStr">
        <is>
          <t>Camping Tables</t>
        </is>
      </c>
      <c r="B77" s="29" t="n">
        <v>0</v>
      </c>
      <c r="C77" s="30" t="n"/>
      <c r="D77" s="29" t="n">
        <v>0</v>
      </c>
      <c r="E77" s="29" t="n">
        <v>0</v>
      </c>
      <c r="F77" s="2" t="n">
        <v>0</v>
      </c>
      <c r="G77" s="31" t="n">
        <v>0</v>
      </c>
      <c r="H77" s="32" t="n"/>
      <c r="I77" s="32" t="n">
        <v>0</v>
      </c>
      <c r="J77" s="32" t="n">
        <v>0</v>
      </c>
      <c r="K77" s="31" t="n">
        <v>0</v>
      </c>
      <c r="L77" s="32" t="n">
        <v>0</v>
      </c>
      <c r="M77" s="31" t="n">
        <v>0</v>
      </c>
      <c r="N77" s="31" t="n">
        <v>0</v>
      </c>
      <c r="O77" s="3" t="n">
        <v>0</v>
      </c>
      <c r="P77" s="3" t="n">
        <v>0</v>
      </c>
      <c r="Q77" s="32" t="n">
        <v>0</v>
      </c>
      <c r="R77" s="3" t="n">
        <v>0</v>
      </c>
      <c r="S77" s="32" t="n">
        <v>0</v>
      </c>
      <c r="T77" s="2" t="n">
        <v>0</v>
      </c>
      <c r="U77" s="2" t="n">
        <v>48</v>
      </c>
      <c r="V77" s="4" t="n">
        <v>48</v>
      </c>
      <c r="W77" s="33" t="n">
        <v>0</v>
      </c>
      <c r="X77" s="4" t="n">
        <v>0</v>
      </c>
      <c r="Y77" s="34" t="n"/>
      <c r="Z77" s="34" t="n">
        <v>0</v>
      </c>
      <c r="AA77" s="2" t="n">
        <v>0</v>
      </c>
      <c r="AB77" s="2" t="n">
        <v>1</v>
      </c>
    </row>
    <row r="78">
      <c r="A78" t="inlineStr">
        <is>
          <t>Cheese Board Sets</t>
        </is>
      </c>
      <c r="B78" s="29" t="n">
        <v>0</v>
      </c>
      <c r="C78" s="30" t="n"/>
      <c r="D78" s="29" t="n">
        <v>0</v>
      </c>
      <c r="E78" s="29" t="n">
        <v>0</v>
      </c>
      <c r="F78" s="2" t="n">
        <v>0</v>
      </c>
      <c r="G78" s="31" t="n">
        <v>0</v>
      </c>
      <c r="H78" s="32" t="n"/>
      <c r="I78" s="32" t="n">
        <v>0</v>
      </c>
      <c r="J78" s="32" t="n">
        <v>0</v>
      </c>
      <c r="K78" s="31" t="n">
        <v>0</v>
      </c>
      <c r="L78" s="32" t="n">
        <v>0</v>
      </c>
      <c r="M78" s="31" t="n">
        <v>0</v>
      </c>
      <c r="N78" s="31" t="n">
        <v>0</v>
      </c>
      <c r="O78" s="3" t="n">
        <v>0</v>
      </c>
      <c r="P78" s="3" t="n">
        <v>0</v>
      </c>
      <c r="Q78" s="32" t="n">
        <v>0</v>
      </c>
      <c r="R78" s="3" t="n">
        <v>0</v>
      </c>
      <c r="S78" s="32" t="n">
        <v>0</v>
      </c>
      <c r="T78" s="2" t="n">
        <v>0</v>
      </c>
      <c r="U78" s="2" t="n">
        <v>0</v>
      </c>
      <c r="V78" s="4" t="n">
        <v>0</v>
      </c>
      <c r="W78" s="33" t="n">
        <v>0</v>
      </c>
      <c r="X78" s="4" t="n">
        <v>0</v>
      </c>
      <c r="Y78" s="34" t="n"/>
      <c r="Z78" s="34" t="n">
        <v>0</v>
      </c>
      <c r="AA78" s="2" t="n">
        <v>0</v>
      </c>
      <c r="AB78" s="2" t="n">
        <v>1</v>
      </c>
    </row>
    <row r="79">
      <c r="A79" t="inlineStr">
        <is>
          <t>Comforters &amp; Duvets</t>
        </is>
      </c>
      <c r="B79" s="29" t="n">
        <v>0</v>
      </c>
      <c r="C79" s="30" t="n"/>
      <c r="D79" s="29" t="n">
        <v>0</v>
      </c>
      <c r="E79" s="29" t="n">
        <v>0</v>
      </c>
      <c r="F79" s="2" t="n">
        <v>0</v>
      </c>
      <c r="G79" s="31" t="n">
        <v>0</v>
      </c>
      <c r="H79" s="32" t="n"/>
      <c r="I79" s="32" t="n">
        <v>0</v>
      </c>
      <c r="J79" s="32" t="n">
        <v>0.0033</v>
      </c>
      <c r="K79" s="31" t="n">
        <v>0</v>
      </c>
      <c r="L79" s="32" t="n">
        <v>0</v>
      </c>
      <c r="M79" s="31" t="n">
        <v>0</v>
      </c>
      <c r="N79" s="31" t="n">
        <v>0</v>
      </c>
      <c r="O79" s="3" t="n">
        <v>0</v>
      </c>
      <c r="P79" s="3" t="n">
        <v>0</v>
      </c>
      <c r="Q79" s="32" t="n">
        <v>0</v>
      </c>
      <c r="R79" s="3" t="n">
        <v>0</v>
      </c>
      <c r="S79" s="32" t="n">
        <v>0</v>
      </c>
      <c r="T79" s="2" t="n">
        <v>0</v>
      </c>
      <c r="U79" s="2" t="n">
        <v>41</v>
      </c>
      <c r="V79" s="4" t="n">
        <v>41</v>
      </c>
      <c r="W79" s="33" t="n">
        <v>0</v>
      </c>
      <c r="X79" s="4" t="n">
        <v>0</v>
      </c>
      <c r="Y79" s="34" t="n"/>
      <c r="Z79" s="34" t="n">
        <v>0</v>
      </c>
      <c r="AA79" s="2" t="n">
        <v>0</v>
      </c>
      <c r="AB79" s="2" t="n">
        <v>2</v>
      </c>
    </row>
    <row r="80">
      <c r="A80" t="inlineStr">
        <is>
          <t>Computer Cables</t>
        </is>
      </c>
      <c r="B80" s="29" t="n">
        <v>0</v>
      </c>
      <c r="C80" s="30" t="n"/>
      <c r="D80" s="29" t="n">
        <v>0</v>
      </c>
      <c r="E80" s="29" t="n">
        <v>0</v>
      </c>
      <c r="F80" s="2" t="n">
        <v>0</v>
      </c>
      <c r="G80" s="31" t="n">
        <v>0</v>
      </c>
      <c r="H80" s="32" t="n"/>
      <c r="I80" s="32" t="n">
        <v>0</v>
      </c>
      <c r="J80" s="32" t="n">
        <v>0</v>
      </c>
      <c r="K80" s="31" t="n">
        <v>0</v>
      </c>
      <c r="L80" s="32" t="n">
        <v>0</v>
      </c>
      <c r="M80" s="31" t="n">
        <v>0</v>
      </c>
      <c r="N80" s="31" t="n">
        <v>0</v>
      </c>
      <c r="O80" s="3" t="n">
        <v>0</v>
      </c>
      <c r="P80" s="3" t="n">
        <v>0</v>
      </c>
      <c r="Q80" s="32" t="n">
        <v>0</v>
      </c>
      <c r="R80" s="3" t="n">
        <v>0</v>
      </c>
      <c r="S80" s="32" t="n">
        <v>0</v>
      </c>
      <c r="T80" s="2" t="n">
        <v>0</v>
      </c>
      <c r="U80" s="2" t="n">
        <v>1</v>
      </c>
      <c r="V80" s="4" t="n">
        <v>1</v>
      </c>
      <c r="W80" s="33" t="n">
        <v>0</v>
      </c>
      <c r="X80" s="4" t="n">
        <v>0</v>
      </c>
      <c r="Y80" s="34" t="n"/>
      <c r="Z80" s="34" t="n">
        <v>0</v>
      </c>
      <c r="AA80" s="2" t="n">
        <v>0</v>
      </c>
      <c r="AB80" s="2" t="n">
        <v>1</v>
      </c>
    </row>
    <row r="81">
      <c r="A81" t="inlineStr">
        <is>
          <t>Cooking Aprons</t>
        </is>
      </c>
      <c r="B81" s="29" t="n">
        <v>0</v>
      </c>
      <c r="C81" s="30" t="n"/>
      <c r="D81" s="29" t="n">
        <v>0</v>
      </c>
      <c r="E81" s="29" t="n">
        <v>0</v>
      </c>
      <c r="F81" s="2" t="n">
        <v>0</v>
      </c>
      <c r="G81" s="31" t="n">
        <v>0</v>
      </c>
      <c r="H81" s="32" t="n"/>
      <c r="I81" s="32" t="n">
        <v>0</v>
      </c>
      <c r="J81" s="32" t="n">
        <v>0</v>
      </c>
      <c r="K81" s="31" t="n">
        <v>0</v>
      </c>
      <c r="L81" s="32" t="n">
        <v>0</v>
      </c>
      <c r="M81" s="31" t="n">
        <v>0</v>
      </c>
      <c r="N81" s="31" t="n">
        <v>0</v>
      </c>
      <c r="O81" s="3" t="n">
        <v>0</v>
      </c>
      <c r="P81" s="3" t="n">
        <v>0</v>
      </c>
      <c r="Q81" s="32" t="n">
        <v>0</v>
      </c>
      <c r="R81" s="3" t="n">
        <v>0</v>
      </c>
      <c r="S81" s="32" t="n">
        <v>0</v>
      </c>
      <c r="T81" s="2" t="n">
        <v>0</v>
      </c>
      <c r="U81" s="2" t="n">
        <v>10</v>
      </c>
      <c r="V81" s="4" t="n">
        <v>10</v>
      </c>
      <c r="W81" s="33" t="n">
        <v>0</v>
      </c>
      <c r="X81" s="4" t="n">
        <v>0</v>
      </c>
      <c r="Y81" s="34" t="n"/>
      <c r="Z81" s="34" t="n">
        <v>0</v>
      </c>
      <c r="AA81" s="2" t="n">
        <v>0</v>
      </c>
      <c r="AB81" s="2" t="n">
        <v>2</v>
      </c>
    </row>
    <row r="82">
      <c r="A82" t="inlineStr">
        <is>
          <t>Costume Wigs</t>
        </is>
      </c>
      <c r="B82" s="29" t="n">
        <v>0</v>
      </c>
      <c r="C82" s="30" t="n"/>
      <c r="D82" s="29" t="n">
        <v>0</v>
      </c>
      <c r="E82" s="29" t="n">
        <v>0</v>
      </c>
      <c r="F82" s="2" t="n">
        <v>0</v>
      </c>
      <c r="G82" s="31" t="n">
        <v>0</v>
      </c>
      <c r="H82" s="32" t="n"/>
      <c r="I82" s="32" t="n">
        <v>0</v>
      </c>
      <c r="J82" s="32" t="n">
        <v>0</v>
      </c>
      <c r="K82" s="31" t="n">
        <v>0</v>
      </c>
      <c r="L82" s="32" t="n">
        <v>0</v>
      </c>
      <c r="M82" s="31" t="n">
        <v>0</v>
      </c>
      <c r="N82" s="31" t="n">
        <v>0</v>
      </c>
      <c r="O82" s="3" t="n">
        <v>0</v>
      </c>
      <c r="P82" s="3" t="n">
        <v>0</v>
      </c>
      <c r="Q82" s="32" t="n">
        <v>0</v>
      </c>
      <c r="R82" s="3" t="n">
        <v>0</v>
      </c>
      <c r="S82" s="32" t="n">
        <v>0</v>
      </c>
      <c r="T82" s="2" t="n">
        <v>0</v>
      </c>
      <c r="U82" s="2" t="n">
        <v>6</v>
      </c>
      <c r="V82" s="4" t="n">
        <v>6</v>
      </c>
      <c r="W82" s="33" t="n">
        <v>0</v>
      </c>
      <c r="X82" s="4" t="n">
        <v>0</v>
      </c>
      <c r="Y82" s="34" t="n"/>
      <c r="Z82" s="34" t="n">
        <v>0</v>
      </c>
      <c r="AA82" s="2" t="n">
        <v>0</v>
      </c>
      <c r="AB82" s="2" t="n">
        <v>2</v>
      </c>
    </row>
    <row r="83">
      <c r="A83" t="inlineStr">
        <is>
          <t>Cutting Boards &amp; Butcher Blocks</t>
        </is>
      </c>
      <c r="B83" s="29" t="n">
        <v>0</v>
      </c>
      <c r="C83" s="30" t="n"/>
      <c r="D83" s="29" t="n">
        <v>0</v>
      </c>
      <c r="E83" s="29" t="n">
        <v>0</v>
      </c>
      <c r="F83" s="2" t="n">
        <v>0</v>
      </c>
      <c r="G83" s="31" t="n">
        <v>0</v>
      </c>
      <c r="H83" s="32" t="n"/>
      <c r="I83" s="32" t="n">
        <v>0</v>
      </c>
      <c r="J83" s="32" t="n">
        <v>0</v>
      </c>
      <c r="K83" s="31" t="n">
        <v>0</v>
      </c>
      <c r="L83" s="32" t="n">
        <v>0</v>
      </c>
      <c r="M83" s="31" t="n">
        <v>0</v>
      </c>
      <c r="N83" s="31" t="n">
        <v>0</v>
      </c>
      <c r="O83" s="3" t="n">
        <v>0</v>
      </c>
      <c r="P83" s="3" t="n">
        <v>0</v>
      </c>
      <c r="Q83" s="32" t="n">
        <v>0</v>
      </c>
      <c r="R83" s="3" t="n">
        <v>0</v>
      </c>
      <c r="S83" s="32" t="n">
        <v>0</v>
      </c>
      <c r="T83" s="2" t="n">
        <v>0</v>
      </c>
      <c r="U83" s="2" t="n">
        <v>2</v>
      </c>
      <c r="V83" s="4" t="n">
        <v>2</v>
      </c>
      <c r="W83" s="33" t="n">
        <v>0</v>
      </c>
      <c r="X83" s="4" t="n">
        <v>0</v>
      </c>
      <c r="Y83" s="34" t="n"/>
      <c r="Z83" s="34" t="n">
        <v>0</v>
      </c>
      <c r="AA83" s="2" t="n">
        <v>0</v>
      </c>
      <c r="AB83" s="2" t="n">
        <v>3</v>
      </c>
    </row>
    <row r="84">
      <c r="A84" t="inlineStr">
        <is>
          <t>Garter Belts</t>
        </is>
      </c>
      <c r="B84" s="29" t="n">
        <v>0</v>
      </c>
      <c r="C84" s="30" t="n"/>
      <c r="D84" s="29" t="n">
        <v>0</v>
      </c>
      <c r="E84" s="29" t="n">
        <v>0</v>
      </c>
      <c r="F84" s="2" t="n">
        <v>0</v>
      </c>
      <c r="G84" s="31" t="n">
        <v>0</v>
      </c>
      <c r="H84" s="32" t="n"/>
      <c r="I84" s="32" t="n">
        <v>0</v>
      </c>
      <c r="J84" s="32" t="n">
        <v>0</v>
      </c>
      <c r="K84" s="31" t="n">
        <v>0</v>
      </c>
      <c r="L84" s="32" t="n">
        <v>0</v>
      </c>
      <c r="M84" s="31" t="n">
        <v>0</v>
      </c>
      <c r="N84" s="31" t="n">
        <v>0</v>
      </c>
      <c r="O84" s="3" t="n">
        <v>0</v>
      </c>
      <c r="P84" s="3" t="n">
        <v>0</v>
      </c>
      <c r="Q84" s="32" t="n">
        <v>0</v>
      </c>
      <c r="R84" s="3" t="n">
        <v>0</v>
      </c>
      <c r="S84" s="32" t="n">
        <v>0</v>
      </c>
      <c r="T84" s="2" t="n">
        <v>0</v>
      </c>
      <c r="U84" s="2" t="n">
        <v>46</v>
      </c>
      <c r="V84" s="4" t="n">
        <v>46</v>
      </c>
      <c r="W84" s="33" t="n">
        <v>0</v>
      </c>
      <c r="X84" s="4" t="n">
        <v>0</v>
      </c>
      <c r="Y84" s="34" t="n"/>
      <c r="Z84" s="34" t="n">
        <v>0</v>
      </c>
      <c r="AA84" s="2" t="n">
        <v>0</v>
      </c>
      <c r="AB84" s="2" t="n">
        <v>9</v>
      </c>
    </row>
    <row r="85">
      <c r="A85" t="inlineStr">
        <is>
          <t>Gun Cases</t>
        </is>
      </c>
      <c r="B85" s="29" t="n">
        <v>0</v>
      </c>
      <c r="C85" s="30" t="n"/>
      <c r="D85" s="29" t="n">
        <v>0</v>
      </c>
      <c r="E85" s="29" t="n">
        <v>0</v>
      </c>
      <c r="F85" s="2" t="n">
        <v>0</v>
      </c>
      <c r="G85" s="31" t="n">
        <v>0</v>
      </c>
      <c r="H85" s="32" t="n"/>
      <c r="I85" s="32" t="n">
        <v>0</v>
      </c>
      <c r="J85" s="32" t="n">
        <v>0</v>
      </c>
      <c r="K85" s="31" t="n">
        <v>0</v>
      </c>
      <c r="L85" s="32" t="n">
        <v>0</v>
      </c>
      <c r="M85" s="31" t="n">
        <v>0</v>
      </c>
      <c r="N85" s="31" t="n">
        <v>0</v>
      </c>
      <c r="O85" s="3" t="n">
        <v>0</v>
      </c>
      <c r="P85" s="3" t="n">
        <v>0</v>
      </c>
      <c r="Q85" s="32" t="n">
        <v>0</v>
      </c>
      <c r="R85" s="3" t="n">
        <v>0</v>
      </c>
      <c r="S85" s="32" t="n">
        <v>0</v>
      </c>
      <c r="T85" s="2" t="n">
        <v>0</v>
      </c>
      <c r="U85" s="2" t="n">
        <v>0</v>
      </c>
      <c r="V85" s="4" t="n">
        <v>0</v>
      </c>
      <c r="W85" s="33" t="n">
        <v>0</v>
      </c>
      <c r="X85" s="4" t="n">
        <v>0</v>
      </c>
      <c r="Y85" s="34" t="n"/>
      <c r="Z85" s="34" t="n">
        <v>0</v>
      </c>
      <c r="AA85" s="2" t="n">
        <v>0</v>
      </c>
      <c r="AB85" s="2" t="n">
        <v>1</v>
      </c>
    </row>
    <row r="86">
      <c r="A86" t="inlineStr">
        <is>
          <t>Hat, Scarf &amp; Glove Sets</t>
        </is>
      </c>
      <c r="B86" s="29" t="n">
        <v>0</v>
      </c>
      <c r="C86" s="30" t="n"/>
      <c r="D86" s="29" t="n">
        <v>0</v>
      </c>
      <c r="E86" s="29" t="n">
        <v>0</v>
      </c>
      <c r="F86" s="2" t="n">
        <v>0</v>
      </c>
      <c r="G86" s="31" t="n">
        <v>0</v>
      </c>
      <c r="H86" s="32" t="n"/>
      <c r="I86" s="32" t="n">
        <v>0</v>
      </c>
      <c r="J86" s="32" t="n">
        <v>0</v>
      </c>
      <c r="K86" s="31" t="n">
        <v>0</v>
      </c>
      <c r="L86" s="32" t="n">
        <v>0</v>
      </c>
      <c r="M86" s="31" t="n">
        <v>0</v>
      </c>
      <c r="N86" s="31" t="n">
        <v>0</v>
      </c>
      <c r="O86" s="3" t="n">
        <v>0</v>
      </c>
      <c r="P86" s="3" t="n">
        <v>0</v>
      </c>
      <c r="Q86" s="32" t="n">
        <v>0</v>
      </c>
      <c r="R86" s="3" t="n">
        <v>0</v>
      </c>
      <c r="S86" s="32" t="n">
        <v>0</v>
      </c>
      <c r="T86" s="2" t="n">
        <v>0</v>
      </c>
      <c r="U86" s="2" t="n">
        <v>14</v>
      </c>
      <c r="V86" s="4" t="n">
        <v>14</v>
      </c>
      <c r="W86" s="33" t="n">
        <v>0</v>
      </c>
      <c r="X86" s="4" t="n">
        <v>0</v>
      </c>
      <c r="Y86" s="34" t="n"/>
      <c r="Z86" s="34" t="n">
        <v>0</v>
      </c>
      <c r="AA86" s="2" t="n">
        <v>0</v>
      </c>
      <c r="AB86" s="2" t="n">
        <v>1</v>
      </c>
    </row>
    <row r="87">
      <c r="A87" t="inlineStr">
        <is>
          <t>Hydration Packs</t>
        </is>
      </c>
      <c r="B87" s="29" t="n">
        <v>0</v>
      </c>
      <c r="C87" s="30" t="n"/>
      <c r="D87" s="29" t="n">
        <v>0</v>
      </c>
      <c r="E87" s="29" t="n">
        <v>0</v>
      </c>
      <c r="F87" s="2" t="n">
        <v>0</v>
      </c>
      <c r="G87" s="31" t="n">
        <v>0</v>
      </c>
      <c r="H87" s="32" t="n"/>
      <c r="I87" s="32" t="n">
        <v>0</v>
      </c>
      <c r="J87" s="32" t="n">
        <v>0</v>
      </c>
      <c r="K87" s="31" t="n">
        <v>0</v>
      </c>
      <c r="L87" s="32" t="n">
        <v>0</v>
      </c>
      <c r="M87" s="31" t="n">
        <v>0</v>
      </c>
      <c r="N87" s="31" t="n">
        <v>0</v>
      </c>
      <c r="O87" s="3" t="n">
        <v>0</v>
      </c>
      <c r="P87" s="3" t="n">
        <v>0</v>
      </c>
      <c r="Q87" s="32" t="n">
        <v>0</v>
      </c>
      <c r="R87" s="3" t="n">
        <v>0</v>
      </c>
      <c r="S87" s="32" t="n">
        <v>0</v>
      </c>
      <c r="T87" s="2" t="n">
        <v>0</v>
      </c>
      <c r="U87" s="2" t="n">
        <v>22</v>
      </c>
      <c r="V87" s="4" t="n">
        <v>22</v>
      </c>
      <c r="W87" s="33" t="n">
        <v>0</v>
      </c>
      <c r="X87" s="4" t="n">
        <v>0</v>
      </c>
      <c r="Y87" s="34" t="n"/>
      <c r="Z87" s="34" t="n">
        <v>0</v>
      </c>
      <c r="AA87" s="2" t="n">
        <v>0</v>
      </c>
      <c r="AB87" s="2" t="n">
        <v>1</v>
      </c>
    </row>
    <row r="88">
      <c r="A88" t="inlineStr">
        <is>
          <t>Light Bulbs</t>
        </is>
      </c>
      <c r="B88" s="29" t="n">
        <v>0</v>
      </c>
      <c r="C88" s="30" t="n"/>
      <c r="D88" s="29" t="n">
        <v>0</v>
      </c>
      <c r="E88" s="29" t="n">
        <v>0</v>
      </c>
      <c r="F88" s="2" t="n">
        <v>0</v>
      </c>
      <c r="G88" s="31" t="n">
        <v>0</v>
      </c>
      <c r="H88" s="32" t="n"/>
      <c r="I88" s="32" t="n">
        <v>0</v>
      </c>
      <c r="J88" s="32" t="n">
        <v>0</v>
      </c>
      <c r="K88" s="31" t="n">
        <v>0</v>
      </c>
      <c r="L88" s="32" t="n">
        <v>0</v>
      </c>
      <c r="M88" s="31" t="n">
        <v>0</v>
      </c>
      <c r="N88" s="31" t="n">
        <v>0</v>
      </c>
      <c r="O88" s="3" t="n">
        <v>0</v>
      </c>
      <c r="P88" s="3" t="n">
        <v>0</v>
      </c>
      <c r="Q88" s="32" t="n">
        <v>0</v>
      </c>
      <c r="R88" s="3" t="n">
        <v>0</v>
      </c>
      <c r="S88" s="32" t="n">
        <v>0</v>
      </c>
      <c r="T88" s="2" t="n">
        <v>0</v>
      </c>
      <c r="U88" s="2" t="n">
        <v>1</v>
      </c>
      <c r="V88" s="4" t="n">
        <v>1</v>
      </c>
      <c r="W88" s="33" t="n">
        <v>0</v>
      </c>
      <c r="X88" s="4" t="n">
        <v>0</v>
      </c>
      <c r="Y88" s="34" t="n"/>
      <c r="Z88" s="34" t="n">
        <v>0</v>
      </c>
      <c r="AA88" s="2" t="n">
        <v>0</v>
      </c>
      <c r="AB88" s="2" t="n">
        <v>1</v>
      </c>
    </row>
    <row r="89">
      <c r="A89" t="inlineStr">
        <is>
          <t>Lingerie Camisoles</t>
        </is>
      </c>
      <c r="B89" s="29" t="n">
        <v>0</v>
      </c>
      <c r="C89" s="30" t="n"/>
      <c r="D89" s="29" t="n">
        <v>0</v>
      </c>
      <c r="E89" s="29" t="n">
        <v>0</v>
      </c>
      <c r="F89" s="2" t="n">
        <v>0</v>
      </c>
      <c r="G89" s="31" t="n">
        <v>0</v>
      </c>
      <c r="H89" s="32" t="n"/>
      <c r="I89" s="32" t="n">
        <v>0</v>
      </c>
      <c r="J89" s="32" t="n">
        <v>0</v>
      </c>
      <c r="K89" s="31" t="n">
        <v>0</v>
      </c>
      <c r="L89" s="32" t="n">
        <v>0</v>
      </c>
      <c r="M89" s="31" t="n">
        <v>0</v>
      </c>
      <c r="N89" s="31" t="n">
        <v>0</v>
      </c>
      <c r="O89" s="3" t="n">
        <v>0</v>
      </c>
      <c r="P89" s="3" t="n">
        <v>0</v>
      </c>
      <c r="Q89" s="32" t="n">
        <v>0</v>
      </c>
      <c r="R89" s="3" t="n">
        <v>0</v>
      </c>
      <c r="S89" s="32" t="n">
        <v>0</v>
      </c>
      <c r="T89" s="2" t="n">
        <v>0</v>
      </c>
      <c r="U89" s="2" t="n">
        <v>4</v>
      </c>
      <c r="V89" s="4" t="n">
        <v>4</v>
      </c>
      <c r="W89" s="33" t="n">
        <v>0</v>
      </c>
      <c r="X89" s="4" t="n">
        <v>0</v>
      </c>
      <c r="Y89" s="34" t="n"/>
      <c r="Z89" s="34" t="n">
        <v>0</v>
      </c>
      <c r="AA89" s="2" t="n">
        <v>0</v>
      </c>
      <c r="AB89" s="2" t="n">
        <v>1</v>
      </c>
    </row>
    <row r="90">
      <c r="A90" t="inlineStr">
        <is>
          <t>Mermaid Tails</t>
        </is>
      </c>
      <c r="B90" s="29" t="n">
        <v>0</v>
      </c>
      <c r="C90" s="30" t="n"/>
      <c r="D90" s="29" t="n">
        <v>0</v>
      </c>
      <c r="E90" s="29" t="n">
        <v>0</v>
      </c>
      <c r="F90" s="2" t="n">
        <v>0</v>
      </c>
      <c r="G90" s="31" t="n">
        <v>0</v>
      </c>
      <c r="H90" s="32" t="n"/>
      <c r="I90" s="32" t="n">
        <v>0</v>
      </c>
      <c r="J90" s="32" t="n">
        <v>0</v>
      </c>
      <c r="K90" s="31" t="n">
        <v>0</v>
      </c>
      <c r="L90" s="32" t="n">
        <v>0</v>
      </c>
      <c r="M90" s="31" t="n">
        <v>0</v>
      </c>
      <c r="N90" s="31" t="n">
        <v>0</v>
      </c>
      <c r="O90" s="3" t="n">
        <v>0</v>
      </c>
      <c r="P90" s="3" t="n">
        <v>0</v>
      </c>
      <c r="Q90" s="32" t="n">
        <v>0</v>
      </c>
      <c r="R90" s="3" t="n">
        <v>0</v>
      </c>
      <c r="S90" s="32" t="n">
        <v>0</v>
      </c>
      <c r="T90" s="2" t="n">
        <v>0</v>
      </c>
      <c r="U90" s="2" t="n">
        <v>53</v>
      </c>
      <c r="V90" s="4" t="n">
        <v>53</v>
      </c>
      <c r="W90" s="33" t="n">
        <v>0</v>
      </c>
      <c r="X90" s="4" t="n">
        <v>0</v>
      </c>
      <c r="Y90" s="34" t="n"/>
      <c r="Z90" s="34" t="n">
        <v>0</v>
      </c>
      <c r="AA90" s="2" t="n">
        <v>0</v>
      </c>
      <c r="AB90" s="2" t="n">
        <v>1</v>
      </c>
    </row>
    <row r="91">
      <c r="A91" t="inlineStr">
        <is>
          <t>Neckties</t>
        </is>
      </c>
      <c r="B91" s="29" t="n">
        <v>0</v>
      </c>
      <c r="C91" s="30" t="n"/>
      <c r="D91" s="29" t="n">
        <v>0</v>
      </c>
      <c r="E91" s="29" t="n">
        <v>0</v>
      </c>
      <c r="F91" s="2" t="n">
        <v>0</v>
      </c>
      <c r="G91" s="31" t="n">
        <v>0</v>
      </c>
      <c r="H91" s="32" t="n"/>
      <c r="I91" s="32" t="n">
        <v>0</v>
      </c>
      <c r="J91" s="32" t="n">
        <v>0</v>
      </c>
      <c r="K91" s="31" t="n">
        <v>0</v>
      </c>
      <c r="L91" s="32" t="n">
        <v>0</v>
      </c>
      <c r="M91" s="31" t="n">
        <v>0</v>
      </c>
      <c r="N91" s="31" t="n">
        <v>0</v>
      </c>
      <c r="O91" s="3" t="n">
        <v>0</v>
      </c>
      <c r="P91" s="3" t="n">
        <v>0</v>
      </c>
      <c r="Q91" s="32" t="n">
        <v>0</v>
      </c>
      <c r="R91" s="3" t="n">
        <v>0</v>
      </c>
      <c r="S91" s="32" t="n">
        <v>0</v>
      </c>
      <c r="T91" s="2" t="n">
        <v>0</v>
      </c>
      <c r="U91" s="2" t="n">
        <v>5</v>
      </c>
      <c r="V91" s="4" t="n">
        <v>5</v>
      </c>
      <c r="W91" s="33" t="n">
        <v>0</v>
      </c>
      <c r="X91" s="4" t="n">
        <v>0</v>
      </c>
      <c r="Y91" s="34" t="n"/>
      <c r="Z91" s="34" t="n">
        <v>0</v>
      </c>
      <c r="AA91" s="2" t="n">
        <v>0</v>
      </c>
      <c r="AB91" s="2" t="n">
        <v>3</v>
      </c>
    </row>
    <row r="92">
      <c r="A92" t="inlineStr">
        <is>
          <t>Other Underwear &amp; Lingerie Accessories</t>
        </is>
      </c>
      <c r="B92" s="29" t="n">
        <v>0</v>
      </c>
      <c r="C92" s="30" t="n"/>
      <c r="D92" s="29" t="n">
        <v>0</v>
      </c>
      <c r="E92" s="29" t="n">
        <v>0</v>
      </c>
      <c r="F92" s="2" t="n">
        <v>0</v>
      </c>
      <c r="G92" s="31" t="n">
        <v>0</v>
      </c>
      <c r="H92" s="32" t="n"/>
      <c r="I92" s="32" t="n">
        <v>0</v>
      </c>
      <c r="J92" s="32" t="n">
        <v>0</v>
      </c>
      <c r="K92" s="31" t="n">
        <v>0</v>
      </c>
      <c r="L92" s="32" t="n">
        <v>0</v>
      </c>
      <c r="M92" s="31" t="n">
        <v>0</v>
      </c>
      <c r="N92" s="31" t="n">
        <v>0</v>
      </c>
      <c r="O92" s="3" t="n">
        <v>0</v>
      </c>
      <c r="P92" s="3" t="n">
        <v>0</v>
      </c>
      <c r="Q92" s="32" t="n">
        <v>0</v>
      </c>
      <c r="R92" s="3" t="n">
        <v>0</v>
      </c>
      <c r="S92" s="32" t="n">
        <v>0</v>
      </c>
      <c r="T92" s="2" t="n">
        <v>0</v>
      </c>
      <c r="U92" s="2" t="n">
        <v>31</v>
      </c>
      <c r="V92" s="4" t="n">
        <v>31</v>
      </c>
      <c r="W92" s="33" t="n">
        <v>0</v>
      </c>
      <c r="X92" s="4" t="n">
        <v>0</v>
      </c>
      <c r="Y92" s="34" t="n"/>
      <c r="Z92" s="34" t="n">
        <v>0</v>
      </c>
      <c r="AA92" s="2" t="n">
        <v>0</v>
      </c>
      <c r="AB92" s="2" t="n">
        <v>1</v>
      </c>
    </row>
    <row r="93">
      <c r="A93" t="inlineStr">
        <is>
          <t>Pajamas</t>
        </is>
      </c>
      <c r="B93" s="29" t="n">
        <v>0</v>
      </c>
      <c r="C93" s="30" t="n"/>
      <c r="D93" s="29" t="n">
        <v>0</v>
      </c>
      <c r="E93" s="29" t="n">
        <v>0</v>
      </c>
      <c r="F93" s="2" t="n">
        <v>0</v>
      </c>
      <c r="G93" s="31" t="n">
        <v>0</v>
      </c>
      <c r="H93" s="32" t="n"/>
      <c r="I93" s="32" t="n">
        <v>0</v>
      </c>
      <c r="J93" s="32" t="n">
        <v>0</v>
      </c>
      <c r="K93" s="31" t="n">
        <v>0</v>
      </c>
      <c r="L93" s="32" t="n">
        <v>0</v>
      </c>
      <c r="M93" s="31" t="n">
        <v>0</v>
      </c>
      <c r="N93" s="31" t="n">
        <v>0</v>
      </c>
      <c r="O93" s="3" t="n">
        <v>0</v>
      </c>
      <c r="P93" s="3" t="n">
        <v>0</v>
      </c>
      <c r="Q93" s="32" t="n">
        <v>0</v>
      </c>
      <c r="R93" s="3" t="n">
        <v>0</v>
      </c>
      <c r="S93" s="32" t="n">
        <v>0</v>
      </c>
      <c r="T93" s="2" t="n">
        <v>0</v>
      </c>
      <c r="U93" s="2" t="n">
        <v>0</v>
      </c>
      <c r="V93" s="4" t="n">
        <v>0</v>
      </c>
      <c r="W93" s="33" t="n">
        <v>0</v>
      </c>
      <c r="X93" s="4" t="n">
        <v>0</v>
      </c>
      <c r="Y93" s="34" t="n"/>
      <c r="Z93" s="34" t="n">
        <v>0</v>
      </c>
      <c r="AA93" s="2" t="n">
        <v>0</v>
      </c>
      <c r="AB93" s="2" t="n">
        <v>67</v>
      </c>
    </row>
    <row r="94">
      <c r="A94" t="inlineStr">
        <is>
          <t>Party Favors</t>
        </is>
      </c>
      <c r="B94" s="29" t="n">
        <v>0</v>
      </c>
      <c r="C94" s="30" t="n"/>
      <c r="D94" s="29" t="n">
        <v>0</v>
      </c>
      <c r="E94" s="29" t="n">
        <v>0</v>
      </c>
      <c r="F94" s="2" t="n">
        <v>0</v>
      </c>
      <c r="G94" s="31" t="n">
        <v>0</v>
      </c>
      <c r="H94" s="32" t="n"/>
      <c r="I94" s="32" t="n">
        <v>0</v>
      </c>
      <c r="J94" s="32" t="n">
        <v>0</v>
      </c>
      <c r="K94" s="31" t="n">
        <v>0</v>
      </c>
      <c r="L94" s="32" t="n">
        <v>0</v>
      </c>
      <c r="M94" s="31" t="n">
        <v>0</v>
      </c>
      <c r="N94" s="31" t="n">
        <v>0</v>
      </c>
      <c r="O94" s="3" t="n">
        <v>0</v>
      </c>
      <c r="P94" s="3" t="n">
        <v>0</v>
      </c>
      <c r="Q94" s="32" t="n">
        <v>0</v>
      </c>
      <c r="R94" s="3" t="n">
        <v>0</v>
      </c>
      <c r="S94" s="32" t="n">
        <v>0</v>
      </c>
      <c r="T94" s="2" t="n">
        <v>0</v>
      </c>
      <c r="U94" s="2" t="n">
        <v>6</v>
      </c>
      <c r="V94" s="4" t="n">
        <v>6</v>
      </c>
      <c r="W94" s="33" t="n">
        <v>0</v>
      </c>
      <c r="X94" s="4" t="n">
        <v>0</v>
      </c>
      <c r="Y94" s="34" t="n"/>
      <c r="Z94" s="34" t="n">
        <v>0</v>
      </c>
      <c r="AA94" s="2" t="n">
        <v>0</v>
      </c>
      <c r="AB94" s="2" t="n">
        <v>2</v>
      </c>
    </row>
    <row r="95">
      <c r="A95" t="inlineStr">
        <is>
          <t>Pet Beds</t>
        </is>
      </c>
      <c r="B95" s="29" t="n">
        <v>0</v>
      </c>
      <c r="C95" s="30" t="n"/>
      <c r="D95" s="29" t="n">
        <v>0</v>
      </c>
      <c r="E95" s="29" t="n">
        <v>0</v>
      </c>
      <c r="F95" s="2" t="n">
        <v>0</v>
      </c>
      <c r="G95" s="31" t="n">
        <v>0</v>
      </c>
      <c r="H95" s="32" t="n"/>
      <c r="I95" s="32" t="n">
        <v>0</v>
      </c>
      <c r="J95" s="32" t="n">
        <v>0</v>
      </c>
      <c r="K95" s="31" t="n">
        <v>0</v>
      </c>
      <c r="L95" s="32" t="n">
        <v>0</v>
      </c>
      <c r="M95" s="31" t="n">
        <v>0</v>
      </c>
      <c r="N95" s="31" t="n">
        <v>0</v>
      </c>
      <c r="O95" s="3" t="n">
        <v>0</v>
      </c>
      <c r="P95" s="3" t="n">
        <v>0</v>
      </c>
      <c r="Q95" s="32" t="n">
        <v>0</v>
      </c>
      <c r="R95" s="3" t="n">
        <v>0</v>
      </c>
      <c r="S95" s="32" t="n">
        <v>0</v>
      </c>
      <c r="T95" s="2" t="n">
        <v>0</v>
      </c>
      <c r="U95" s="2" t="n">
        <v>2</v>
      </c>
      <c r="V95" s="4" t="n">
        <v>2</v>
      </c>
      <c r="W95" s="33" t="n">
        <v>0</v>
      </c>
      <c r="X95" s="4" t="n">
        <v>0</v>
      </c>
      <c r="Y95" s="34" t="n"/>
      <c r="Z95" s="34" t="n">
        <v>0</v>
      </c>
      <c r="AA95" s="2" t="n">
        <v>0</v>
      </c>
      <c r="AB95" s="2" t="n">
        <v>1</v>
      </c>
    </row>
    <row r="96">
      <c r="A96" t="inlineStr">
        <is>
          <t>Other Travel Accessories</t>
        </is>
      </c>
      <c r="B96" s="29" t="n">
        <v>0</v>
      </c>
      <c r="C96" s="30" t="n"/>
      <c r="D96" s="29" t="n">
        <v>0</v>
      </c>
      <c r="E96" s="29" t="n">
        <v>0</v>
      </c>
      <c r="F96" s="2" t="n">
        <v>0</v>
      </c>
      <c r="G96" s="31" t="n">
        <v>0</v>
      </c>
      <c r="H96" s="32" t="n"/>
      <c r="I96" s="32" t="n">
        <v>0</v>
      </c>
      <c r="J96" s="32" t="n">
        <v>0</v>
      </c>
      <c r="K96" s="31" t="n">
        <v>0</v>
      </c>
      <c r="L96" s="32" t="n">
        <v>0</v>
      </c>
      <c r="M96" s="31" t="n">
        <v>0</v>
      </c>
      <c r="N96" s="31" t="n">
        <v>0</v>
      </c>
      <c r="O96" s="3" t="n">
        <v>0</v>
      </c>
      <c r="P96" s="3" t="n">
        <v>0</v>
      </c>
      <c r="Q96" s="32" t="n">
        <v>0</v>
      </c>
      <c r="R96" s="3" t="n">
        <v>0</v>
      </c>
      <c r="S96" s="32" t="n">
        <v>0</v>
      </c>
      <c r="T96" s="2" t="n">
        <v>0</v>
      </c>
      <c r="U96" s="2" t="n">
        <v>12</v>
      </c>
      <c r="V96" s="4" t="n">
        <v>12</v>
      </c>
      <c r="W96" s="33" t="n">
        <v>0</v>
      </c>
      <c r="X96" s="4" t="n">
        <v>0</v>
      </c>
      <c r="Y96" s="34" t="n"/>
      <c r="Z96" s="34" t="n">
        <v>0</v>
      </c>
      <c r="AA96" s="2" t="n">
        <v>0</v>
      </c>
      <c r="AB96" s="2" t="n">
        <v>1</v>
      </c>
    </row>
    <row r="97">
      <c r="A97" t="inlineStr">
        <is>
          <t>Golf Rangefinders</t>
        </is>
      </c>
      <c r="B97" s="29" t="n">
        <v>-49.99</v>
      </c>
      <c r="C97" s="30" t="n">
        <v>-0.0004</v>
      </c>
      <c r="D97" s="29" t="n">
        <v>49.9900016784668</v>
      </c>
      <c r="E97" s="29" t="n">
        <v>0</v>
      </c>
      <c r="F97" s="2" t="n">
        <v>-1</v>
      </c>
      <c r="G97" s="31" t="n">
        <v>0</v>
      </c>
      <c r="H97" s="32" t="n"/>
      <c r="I97" s="32" t="n">
        <v>0</v>
      </c>
      <c r="J97" s="32" t="n">
        <v>0</v>
      </c>
      <c r="K97" s="31" t="n">
        <v>0</v>
      </c>
      <c r="L97" s="32" t="n">
        <v>0</v>
      </c>
      <c r="M97" s="31" t="n">
        <v>0</v>
      </c>
      <c r="N97" s="31" t="n">
        <v>0</v>
      </c>
      <c r="O97" s="3" t="n">
        <v>0</v>
      </c>
      <c r="P97" s="3" t="n">
        <v>0</v>
      </c>
      <c r="Q97" s="32" t="n">
        <v>0</v>
      </c>
      <c r="R97" s="3" t="n">
        <v>0</v>
      </c>
      <c r="S97" s="32" t="n">
        <v>0</v>
      </c>
      <c r="T97" s="2" t="n">
        <v>0</v>
      </c>
      <c r="U97" s="2" t="n">
        <v>0</v>
      </c>
      <c r="V97" s="4" t="n">
        <v>0</v>
      </c>
      <c r="W97" s="33" t="n">
        <v>-49.99</v>
      </c>
      <c r="X97" s="4" t="n">
        <v>-1</v>
      </c>
      <c r="Y97" s="34" t="n"/>
      <c r="Z97" s="34" t="n">
        <v>1</v>
      </c>
      <c r="AA97" s="2" t="n">
        <v>0</v>
      </c>
      <c r="AB97" s="2" t="n">
        <v>1</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L2382"/>
  <sheetViews>
    <sheetView tabSelected="1" workbookViewId="0">
      <pane xSplit="1" ySplit="3" topLeftCell="B4" activePane="bottomRight" state="frozen"/>
      <selection pane="topRight" activeCell="A1" sqref="A1"/>
      <selection pane="bottomLeft" activeCell="A1" sqref="A1"/>
      <selection pane="bottomRight" activeCell="G25" sqref="G25"/>
    </sheetView>
  </sheetViews>
  <sheetFormatPr baseColWidth="10" defaultColWidth="8.83203125" defaultRowHeight="15"/>
  <cols>
    <col width="13.33203125" customWidth="1" min="1" max="1"/>
  </cols>
  <sheetData>
    <row r="1">
      <c r="A1" s="9" t="inlineStr">
        <is>
          <t>01/01/2025 - 05/15/2025 (135 days)</t>
        </is>
      </c>
      <c r="J1" s="8" t="n"/>
      <c r="K1" s="10" t="inlineStr">
        <is>
          <t>(Sales of each Type / Total Sales)</t>
        </is>
      </c>
      <c r="L1" s="8" t="n"/>
      <c r="M1" s="8" t="n"/>
      <c r="O1" s="8" t="n"/>
      <c r="P1" s="10" t="inlineStr">
        <is>
          <t>(Adspend on each SKU / Total Adspend)</t>
        </is>
      </c>
      <c r="Q1" s="7" t="n"/>
      <c r="R1" s="7" t="n"/>
      <c r="S1" s="8" t="n"/>
      <c r="T1" s="7" t="n"/>
      <c r="U1" s="8" t="n"/>
      <c r="V1" s="8" t="n"/>
      <c r="Y1" s="7" t="n"/>
      <c r="AA1" s="7" t="n"/>
      <c r="AC1" s="8" t="n"/>
      <c r="AD1" s="11" t="inlineStr">
        <is>
          <t>Total pageviews of the Enhanced brand content</t>
        </is>
      </c>
      <c r="AF1" s="11" t="inlineStr">
        <is>
          <t>Estimated number of organic pageviews, calculated based on the (Max (page views - ebc views, ebc views) - ad clicks)</t>
        </is>
      </c>
      <c r="AG1" s="12" t="inlineStr">
        <is>
          <t>(Total sales - Ad sales)</t>
        </is>
      </c>
      <c r="AH1" s="11" t="inlineStr">
        <is>
          <t>(Total units sold - Ad units sold)</t>
        </is>
      </c>
      <c r="AI1" s="10" t="inlineStr">
        <is>
          <t>(Organic units sold / Organic views)</t>
        </is>
      </c>
      <c r="AJ1" s="10" t="inlineStr">
        <is>
          <t>(Organic sales / Total sales)</t>
        </is>
      </c>
      <c r="AK1" s="11" t="inlineStr">
        <is>
          <t>(Available Inventory / Avg Daily Units Sold in Last 135 days)</t>
        </is>
      </c>
    </row>
    <row r="2">
      <c r="J2" s="13">
        <f>SUBTOTAL(9, J3:J2382)</f>
        <v/>
      </c>
      <c r="L2" s="13">
        <f>SUBTOTAL(9, L3:L2382)</f>
        <v/>
      </c>
      <c r="M2" s="13">
        <f>SUBTOTAL(9, M3:M2382)</f>
        <v/>
      </c>
      <c r="N2" s="14">
        <f>SUBTOTAL(9, N3:N2382)</f>
        <v/>
      </c>
      <c r="O2" s="15">
        <f>SUBTOTAL(9, O3:O2382)</f>
        <v/>
      </c>
      <c r="Q2" s="16">
        <f>O2/J2</f>
        <v/>
      </c>
      <c r="S2" s="15">
        <f>U2/O2</f>
        <v/>
      </c>
      <c r="T2" s="16">
        <f>O2/U2</f>
        <v/>
      </c>
      <c r="U2" s="15">
        <f>SUBTOTAL(9, U3:U2382)</f>
        <v/>
      </c>
      <c r="V2" s="15">
        <f>SUBTOTAL(9, V3:V2382)</f>
        <v/>
      </c>
      <c r="W2" s="17">
        <f>SUBTOTAL(9, W3:W2382)</f>
        <v/>
      </c>
      <c r="X2" s="17">
        <f>SUBTOTAL(9, X3:X2382)</f>
        <v/>
      </c>
      <c r="Y2" s="16">
        <f>X2/W2</f>
        <v/>
      </c>
      <c r="Z2" s="17">
        <f>SUBTOTAL(9, Z3:Z2382)</f>
        <v/>
      </c>
      <c r="AA2" s="16">
        <f>Z2/X2</f>
        <v/>
      </c>
      <c r="AC2" s="15">
        <f>O2/X2</f>
        <v/>
      </c>
      <c r="AD2" s="14">
        <f>SUBTOTAL(9, AD3:AD2382)</f>
        <v/>
      </c>
      <c r="AE2" s="14">
        <f>SUBTOTAL(9, AE3:AE2382)</f>
        <v/>
      </c>
      <c r="AF2" s="18">
        <f>SUBTOTAL(9, AF3:AF2382)</f>
        <v/>
      </c>
      <c r="AG2" s="19">
        <f>SUBTOTAL(9, AG3:AG2382)</f>
        <v/>
      </c>
      <c r="AH2" s="18">
        <f>SUBTOTAL(9, AH3:AH2382)</f>
        <v/>
      </c>
      <c r="AK2" s="14">
        <f>SUBTOTAL(9, AK3:AK2382)</f>
        <v/>
      </c>
    </row>
    <row r="3" ht="48" customHeight="1">
      <c r="A3" s="6" t="inlineStr">
        <is>
          <t>Item ID</t>
        </is>
      </c>
      <c r="B3" s="6" t="inlineStr">
        <is>
          <t>Product Name</t>
        </is>
      </c>
      <c r="C3" s="6" t="inlineStr">
        <is>
          <t>SKU</t>
        </is>
      </c>
      <c r="D3" s="6" t="inlineStr">
        <is>
          <t>Category</t>
        </is>
      </c>
      <c r="E3" s="6" t="inlineStr">
        <is>
          <t>Product Type</t>
        </is>
      </c>
      <c r="F3" s="6" t="inlineStr">
        <is>
          <t>Brand</t>
        </is>
      </c>
      <c r="G3" s="6" t="inlineStr">
        <is>
          <t>Average Rating</t>
        </is>
      </c>
      <c r="H3" s="6" t="inlineStr">
        <is>
          <t>Review Count</t>
        </is>
      </c>
      <c r="I3" s="6" t="inlineStr">
        <is>
          <t>Tags</t>
        </is>
      </c>
      <c r="J3" s="20" t="inlineStr">
        <is>
          <t>Total Net Sales</t>
        </is>
      </c>
      <c r="K3" s="21" t="inlineStr">
        <is>
          <t>Share of Sales</t>
        </is>
      </c>
      <c r="L3" s="20" t="inlineStr">
        <is>
          <t>Return Sales</t>
        </is>
      </c>
      <c r="M3" s="20" t="inlineStr">
        <is>
          <t>Cancelled Sales</t>
        </is>
      </c>
      <c r="N3" s="22" t="inlineStr">
        <is>
          <t>Total Net Unit Sold</t>
        </is>
      </c>
      <c r="O3" s="23" t="inlineStr">
        <is>
          <t>Ad Spend</t>
        </is>
      </c>
      <c r="P3" s="24" t="inlineStr">
        <is>
          <t>Share of Ad Spend</t>
        </is>
      </c>
      <c r="Q3" s="24" t="inlineStr">
        <is>
          <t>TACOS</t>
        </is>
      </c>
      <c r="R3" s="24" t="inlineStr">
        <is>
          <t>Previous TACOS</t>
        </is>
      </c>
      <c r="S3" s="23" t="inlineStr">
        <is>
          <t>ROAS</t>
        </is>
      </c>
      <c r="T3" s="24" t="inlineStr">
        <is>
          <t>ACOS</t>
        </is>
      </c>
      <c r="U3" s="23" t="inlineStr">
        <is>
          <t>Ad Sales</t>
        </is>
      </c>
      <c r="V3" s="23" t="inlineStr">
        <is>
          <t>Ad SKU Sales</t>
        </is>
      </c>
      <c r="W3" s="25" t="inlineStr">
        <is>
          <t>Ad Impressions</t>
        </is>
      </c>
      <c r="X3" s="25" t="inlineStr">
        <is>
          <t>Ad Clicks</t>
        </is>
      </c>
      <c r="Y3" s="24" t="inlineStr">
        <is>
          <t>CTR</t>
        </is>
      </c>
      <c r="Z3" s="25" t="inlineStr">
        <is>
          <t>Ad Units Sold</t>
        </is>
      </c>
      <c r="AA3" s="24" t="inlineStr">
        <is>
          <t>Ad Conversion</t>
        </is>
      </c>
      <c r="AB3" s="25" t="inlineStr">
        <is>
          <t>Campaigns</t>
        </is>
      </c>
      <c r="AC3" s="23" t="inlineStr">
        <is>
          <t>CPC</t>
        </is>
      </c>
      <c r="AD3" s="22" t="inlineStr">
        <is>
          <t>Walmart Item Page Views</t>
        </is>
      </c>
      <c r="AE3" s="22" t="inlineStr">
        <is>
          <t>EBC Page Views</t>
        </is>
      </c>
      <c r="AF3" s="26" t="inlineStr">
        <is>
          <t>Organic Views</t>
        </is>
      </c>
      <c r="AG3" s="27" t="inlineStr">
        <is>
          <t>Organic Sales</t>
        </is>
      </c>
      <c r="AH3" s="26" t="inlineStr">
        <is>
          <t>Organic Units Sold</t>
        </is>
      </c>
      <c r="AI3" s="28" t="inlineStr">
        <is>
          <t>Organic Conversion</t>
        </is>
      </c>
      <c r="AJ3" s="28" t="inlineStr">
        <is>
          <t>Share of Organic</t>
        </is>
      </c>
      <c r="AK3" s="22" t="inlineStr">
        <is>
          <t>Days of Inventory</t>
        </is>
      </c>
      <c r="AL3" s="6" t="inlineStr">
        <is>
          <t>Status</t>
        </is>
      </c>
    </row>
    <row r="4">
      <c r="A4">
        <f>HYPERLINK("https://www.walmart.com/ip/775282043", "775282043")</f>
        <v/>
      </c>
      <c r="B4">
        <f>HYPERLINK("https://app.optiwise.ai/catalog/itemdetails/361336", "Tirrinia Insulated Lunch Bag for Women, Men, and Kids, Leakproof Thermal Reusable Insulated Cooler Bag for Office, Work, Back to School, Medium, Charcoal, 8L, 10 X 7 X 7.7")</f>
        <v/>
      </c>
      <c r="C4" t="inlineStr">
        <is>
          <t>1TRLB701CH-N</t>
        </is>
      </c>
      <c r="D4" t="inlineStr">
        <is>
          <t>Home Decor, Kitchen, &amp; Other</t>
        </is>
      </c>
      <c r="E4" t="inlineStr">
        <is>
          <t>Reusable Lunch Bags &amp; Boxes</t>
        </is>
      </c>
      <c r="F4" t="inlineStr">
        <is>
          <t>Tirrinia</t>
        </is>
      </c>
      <c r="G4" t="n">
        <v>4.6</v>
      </c>
      <c r="H4" t="n">
        <v>256</v>
      </c>
      <c r="I4" t="inlineStr">
        <is>
          <t>Q2-Target,Brand Camp VD,Lunch Bag,WFS,Lunch Bags,SEM,Wal-Exl-Price,WFS Item,AMZ Bestsellers</t>
        </is>
      </c>
      <c r="J4" s="29" t="n">
        <v>9081.34</v>
      </c>
      <c r="K4" s="30" t="n">
        <v>0.07829999999999999</v>
      </c>
      <c r="L4" s="29" t="n">
        <v>785.0399837493896</v>
      </c>
      <c r="M4" s="29" t="n">
        <v>82.58999824523926</v>
      </c>
      <c r="N4" s="2" t="n">
        <v>785</v>
      </c>
      <c r="O4" s="31" t="n">
        <v>0</v>
      </c>
      <c r="P4" s="32" t="n"/>
      <c r="Q4" s="32" t="n">
        <v>0</v>
      </c>
      <c r="R4" s="32" t="n">
        <v>0.14</v>
      </c>
      <c r="S4" s="31" t="n">
        <v>0</v>
      </c>
      <c r="T4" s="32" t="n">
        <v>0</v>
      </c>
      <c r="U4" s="31" t="n">
        <v>0</v>
      </c>
      <c r="V4" s="31" t="n">
        <v>0</v>
      </c>
      <c r="W4" s="3" t="n">
        <v>0</v>
      </c>
      <c r="X4" s="3" t="n">
        <v>0</v>
      </c>
      <c r="Y4" s="32" t="n">
        <v>0</v>
      </c>
      <c r="Z4" s="3" t="n">
        <v>0</v>
      </c>
      <c r="AA4" s="32" t="n">
        <v>0</v>
      </c>
      <c r="AB4" s="3" t="n"/>
      <c r="AC4" s="31" t="n">
        <v>0</v>
      </c>
      <c r="AD4" s="2" t="n">
        <v>23727</v>
      </c>
      <c r="AE4" s="2" t="n">
        <v>3392</v>
      </c>
      <c r="AF4" s="4" t="n">
        <v>20335</v>
      </c>
      <c r="AG4" s="33" t="n">
        <v>9081.34</v>
      </c>
      <c r="AH4" s="4" t="n">
        <v>785</v>
      </c>
      <c r="AI4" s="34" t="n">
        <v>0.0386</v>
      </c>
      <c r="AJ4" s="34" t="n">
        <v>1</v>
      </c>
      <c r="AK4" s="2" t="n">
        <v>34</v>
      </c>
      <c r="AL4" t="inlineStr">
        <is>
          <t>Published</t>
        </is>
      </c>
    </row>
    <row r="5">
      <c r="A5">
        <f>HYPERLINK("https://www.walmart.com/ip/809495686", "809495686")</f>
        <v/>
      </c>
      <c r="B5">
        <f>HYPERLINK("https://app.optiwise.ai/catalog/itemdetails/418780", "Kritter Planet Waterproof Dog Blanket for Couch, Washable Pet Couch Cover, Non-slip Bed Sofa Furniture Protector Mat, Navy, 80''x60''.")</f>
        <v/>
      </c>
      <c r="C5" t="inlineStr">
        <is>
          <t>1KPBW686NY</t>
        </is>
      </c>
      <c r="D5" t="inlineStr">
        <is>
          <t>Animal Accessories</t>
        </is>
      </c>
      <c r="E5" t="inlineStr">
        <is>
          <t>Pet Blankets</t>
        </is>
      </c>
      <c r="F5" t="inlineStr">
        <is>
          <t>Kritter Planet</t>
        </is>
      </c>
      <c r="G5" t="n">
        <v>0</v>
      </c>
      <c r="H5" t="n">
        <v>0</v>
      </c>
      <c r="I5" t="inlineStr">
        <is>
          <t>Batch 1 - TR</t>
        </is>
      </c>
      <c r="J5" s="29" t="n">
        <v>1778.93</v>
      </c>
      <c r="K5" s="30" t="n">
        <v>0.0153</v>
      </c>
      <c r="L5" s="29" t="n">
        <v>59.96999931335449</v>
      </c>
      <c r="M5" s="29" t="n">
        <v>0</v>
      </c>
      <c r="N5" s="2" t="n">
        <v>86</v>
      </c>
      <c r="O5" s="31" t="n">
        <v>111.6700000000001</v>
      </c>
      <c r="P5" s="32" t="n">
        <v>0.0134</v>
      </c>
      <c r="Q5" s="32" t="n">
        <v>0.06279999999999999</v>
      </c>
      <c r="R5" s="32" t="n">
        <v>0.0364</v>
      </c>
      <c r="S5" s="31" t="n">
        <v>5.31</v>
      </c>
      <c r="T5" s="32" t="n">
        <v>0.19</v>
      </c>
      <c r="U5" s="31" t="n">
        <v>592.72</v>
      </c>
      <c r="V5" s="31" t="n">
        <v>592.72</v>
      </c>
      <c r="W5" s="3" t="n">
        <v>41662</v>
      </c>
      <c r="X5" s="3" t="n">
        <v>294</v>
      </c>
      <c r="Y5" s="32" t="n">
        <v>0.0071</v>
      </c>
      <c r="Z5" s="3" t="n">
        <v>28</v>
      </c>
      <c r="AA5" s="32" t="n">
        <v>0.09520000000000001</v>
      </c>
      <c r="AB5" s="3" t="inlineStr">
        <is>
          <t>Auto for BW PET 2 ---Rachel,Pet Blankets_Auto_Optiwise_24</t>
        </is>
      </c>
      <c r="AC5" s="31" t="n">
        <v>0.38</v>
      </c>
      <c r="AD5" s="2" t="n">
        <v>703</v>
      </c>
      <c r="AE5" s="2" t="n">
        <v>190</v>
      </c>
      <c r="AF5" s="4" t="n">
        <v>219</v>
      </c>
      <c r="AG5" s="33" t="n">
        <v>1186.21</v>
      </c>
      <c r="AH5" s="4" t="n">
        <v>58</v>
      </c>
      <c r="AI5" s="34" t="n">
        <v>0.2648</v>
      </c>
      <c r="AJ5" s="34" t="n">
        <v>0.6667999999999999</v>
      </c>
      <c r="AK5" s="2" t="n">
        <v>163</v>
      </c>
      <c r="AL5" t="inlineStr">
        <is>
          <t>Published</t>
        </is>
      </c>
    </row>
    <row r="6">
      <c r="A6">
        <f>HYPERLINK("https://www.walmart.com/ip/849129071", "849129071")</f>
        <v/>
      </c>
      <c r="B6">
        <f>HYPERLINK("https://app.optiwise.ai/catalog/itemdetails/418772", "Kritter Planet Waterproof Dog Blanket for Couch, Washable Pet Couch Cover, Non-slip Bed Sofa Furniture Protector Mat, Gray, 60''x80''.")</f>
        <v/>
      </c>
      <c r="C6" t="inlineStr">
        <is>
          <t>1KPBW686GY</t>
        </is>
      </c>
      <c r="D6" t="inlineStr">
        <is>
          <t>Animal Accessories</t>
        </is>
      </c>
      <c r="E6" t="inlineStr">
        <is>
          <t>Pet Blankets</t>
        </is>
      </c>
      <c r="F6" t="inlineStr">
        <is>
          <t>Kritter Planet</t>
        </is>
      </c>
      <c r="G6" t="n">
        <v>4.1</v>
      </c>
      <c r="H6" t="n">
        <v>25</v>
      </c>
      <c r="I6" t="inlineStr">
        <is>
          <t>Q2-Target,Optimized</t>
        </is>
      </c>
      <c r="J6" s="29" t="n">
        <v>1718.25</v>
      </c>
      <c r="K6" s="30" t="n">
        <v>0.0148</v>
      </c>
      <c r="L6" s="29" t="n">
        <v>166.9299983978271</v>
      </c>
      <c r="M6" s="29" t="n">
        <v>0</v>
      </c>
      <c r="N6" s="2" t="n">
        <v>71</v>
      </c>
      <c r="O6" s="31" t="n">
        <v>182.3499999999999</v>
      </c>
      <c r="P6" s="32" t="n">
        <v>0.0219</v>
      </c>
      <c r="Q6" s="32" t="n">
        <v>0.1061</v>
      </c>
      <c r="R6" s="32" t="n">
        <v>0.1405</v>
      </c>
      <c r="S6" s="31" t="n">
        <v>6.91</v>
      </c>
      <c r="T6" s="32" t="n">
        <v>0.14</v>
      </c>
      <c r="U6" s="31" t="n">
        <v>1259.43</v>
      </c>
      <c r="V6" s="31" t="n">
        <v>1219.45</v>
      </c>
      <c r="W6" s="3" t="n">
        <v>83108</v>
      </c>
      <c r="X6" s="3" t="n">
        <v>578</v>
      </c>
      <c r="Y6" s="32" t="n">
        <v>0.007</v>
      </c>
      <c r="Z6" s="3" t="n">
        <v>57</v>
      </c>
      <c r="AA6" s="32" t="n">
        <v>0.09859999999999999</v>
      </c>
      <c r="AB6" s="3" t="inlineStr">
        <is>
          <t>Pet Blankets_Auto_Optiwise_24</t>
        </is>
      </c>
      <c r="AC6" s="31" t="n">
        <v>0.32</v>
      </c>
      <c r="AD6" s="2" t="n">
        <v>1230</v>
      </c>
      <c r="AE6" s="2" t="n">
        <v>298</v>
      </c>
      <c r="AF6" s="4" t="n">
        <v>354</v>
      </c>
      <c r="AG6" s="33" t="n">
        <v>458.8199999999997</v>
      </c>
      <c r="AH6" s="4" t="n">
        <v>14</v>
      </c>
      <c r="AI6" s="34" t="n">
        <v>0.0395</v>
      </c>
      <c r="AJ6" s="34" t="n">
        <v>0.267</v>
      </c>
      <c r="AK6" s="2" t="n">
        <v>211</v>
      </c>
      <c r="AL6" t="inlineStr">
        <is>
          <t>Published</t>
        </is>
      </c>
    </row>
    <row r="7">
      <c r="A7">
        <f>HYPERLINK("https://www.walmart.com/ip/621903168", "621903168")</f>
        <v/>
      </c>
      <c r="B7">
        <f>HYPERLINK("https://app.optiwise.ai/catalog/itemdetails/361264", "Catalonia Fleece Wearable Blanket Poncho for Adult Women Men, Wrap Blanket Cape with Pocket | Warm, Soft, Cozy, Snuggly, Comfort Gift, No Sleeves | All-Season, Gift Idea")</f>
        <v/>
      </c>
      <c r="C7" t="inlineStr">
        <is>
          <t>1CTBP200PP</t>
        </is>
      </c>
      <c r="D7" t="inlineStr">
        <is>
          <t>Bedding</t>
        </is>
      </c>
      <c r="E7" t="inlineStr">
        <is>
          <t>Throws</t>
        </is>
      </c>
      <c r="F7" t="inlineStr">
        <is>
          <t>Catalonia</t>
        </is>
      </c>
      <c r="G7" t="n">
        <v>0</v>
      </c>
      <c r="H7" t="n">
        <v>0</v>
      </c>
      <c r="I7" t="inlineStr">
        <is>
          <t>Hero 5 Holidays,WFS,WFS Item</t>
        </is>
      </c>
      <c r="J7" s="29" t="n">
        <v>1326.39</v>
      </c>
      <c r="K7" s="30" t="n">
        <v>0.0114</v>
      </c>
      <c r="L7" s="29" t="n">
        <v>43.97999954223633</v>
      </c>
      <c r="M7" s="29" t="n">
        <v>0</v>
      </c>
      <c r="N7" s="2" t="n">
        <v>60</v>
      </c>
      <c r="O7" s="31" t="n">
        <v>61.28000000000001</v>
      </c>
      <c r="P7" s="32" t="n">
        <v>0.0073</v>
      </c>
      <c r="Q7" s="32" t="n">
        <v>0.0462</v>
      </c>
      <c r="R7" s="32" t="n">
        <v>0.0653</v>
      </c>
      <c r="S7" s="31" t="n">
        <v>4.42</v>
      </c>
      <c r="T7" s="32" t="n">
        <v>0.23</v>
      </c>
      <c r="U7" s="31" t="n">
        <v>270.9</v>
      </c>
      <c r="V7" s="31" t="n">
        <v>153.93</v>
      </c>
      <c r="W7" s="3" t="n">
        <v>21170</v>
      </c>
      <c r="X7" s="3" t="n">
        <v>178</v>
      </c>
      <c r="Y7" s="32" t="n">
        <v>0.008399999999999999</v>
      </c>
      <c r="Z7" s="3" t="n">
        <v>10</v>
      </c>
      <c r="AA7" s="32" t="n">
        <v>0.0562</v>
      </c>
      <c r="AB7" s="3" t="inlineStr">
        <is>
          <t>Snuggly_Auto,Throws_Auto_Optiwise_24,Top Selling Last Year 2023</t>
        </is>
      </c>
      <c r="AC7" s="31" t="n">
        <v>0.34</v>
      </c>
      <c r="AD7" s="2" t="n">
        <v>2926</v>
      </c>
      <c r="AE7" s="2" t="n">
        <v>365</v>
      </c>
      <c r="AF7" s="4" t="n">
        <v>2383</v>
      </c>
      <c r="AG7" s="33" t="n">
        <v>1055.49</v>
      </c>
      <c r="AH7" s="4" t="n">
        <v>50</v>
      </c>
      <c r="AI7" s="34" t="n">
        <v>0.021</v>
      </c>
      <c r="AJ7" s="34" t="n">
        <v>0.7958</v>
      </c>
      <c r="AK7" s="2" t="n">
        <v>0</v>
      </c>
      <c r="AL7" t="inlineStr">
        <is>
          <t>Published</t>
        </is>
      </c>
    </row>
    <row r="8">
      <c r="A8">
        <f>HYPERLINK("https://www.walmart.com/ip/208255234", "208255234")</f>
        <v/>
      </c>
      <c r="B8">
        <f>HYPERLINK("https://app.optiwise.ai/catalog/itemdetails/358732", "Tirrinia Insulated Leakproof Lunch Bag, Adjustable Strap, Medium, 10 L x 7 W x 7.7 H")</f>
        <v/>
      </c>
      <c r="C8" t="inlineStr">
        <is>
          <t>1TRLB701DGY-N</t>
        </is>
      </c>
      <c r="D8" t="inlineStr">
        <is>
          <t>Home Decor, Kitchen, &amp; Other</t>
        </is>
      </c>
      <c r="E8" t="inlineStr">
        <is>
          <t>Reusable Lunch Bags &amp; Boxes</t>
        </is>
      </c>
      <c r="F8" t="inlineStr">
        <is>
          <t>Tirrinia</t>
        </is>
      </c>
      <c r="G8" t="n">
        <v>4.6</v>
      </c>
      <c r="H8" t="n">
        <v>169</v>
      </c>
      <c r="I8" t="inlineStr">
        <is>
          <t>Q2-Target,Brand Camp VD,Lunch Bag,Optimized,WFS,Lunch Bags,SEM,Wal-Exl-Price,WFS Item</t>
        </is>
      </c>
      <c r="J8" s="29" t="n">
        <v>1224.2</v>
      </c>
      <c r="K8" s="30" t="n">
        <v>0.0106</v>
      </c>
      <c r="L8" s="29" t="n">
        <v>238.2399959564209</v>
      </c>
      <c r="M8" s="29" t="n">
        <v>0</v>
      </c>
      <c r="N8" s="2" t="n">
        <v>101</v>
      </c>
      <c r="O8" s="31" t="n">
        <v>0</v>
      </c>
      <c r="P8" s="32" t="n"/>
      <c r="Q8" s="32" t="n">
        <v>0</v>
      </c>
      <c r="R8" s="32" t="n">
        <v>0.059</v>
      </c>
      <c r="S8" s="31" t="n">
        <v>0</v>
      </c>
      <c r="T8" s="32" t="n">
        <v>0</v>
      </c>
      <c r="U8" s="31" t="n">
        <v>0</v>
      </c>
      <c r="V8" s="31" t="n">
        <v>0</v>
      </c>
      <c r="W8" s="3" t="n">
        <v>0</v>
      </c>
      <c r="X8" s="3" t="n">
        <v>0</v>
      </c>
      <c r="Y8" s="32" t="n">
        <v>0</v>
      </c>
      <c r="Z8" s="3" t="n">
        <v>0</v>
      </c>
      <c r="AA8" s="32" t="n">
        <v>0</v>
      </c>
      <c r="AB8" s="3" t="n"/>
      <c r="AC8" s="31" t="n">
        <v>0</v>
      </c>
      <c r="AD8" s="2" t="n">
        <v>3037</v>
      </c>
      <c r="AE8" s="2" t="n">
        <v>406</v>
      </c>
      <c r="AF8" s="4" t="n">
        <v>2631</v>
      </c>
      <c r="AG8" s="33" t="n">
        <v>1224.2</v>
      </c>
      <c r="AH8" s="4" t="n">
        <v>101</v>
      </c>
      <c r="AI8" s="34" t="n">
        <v>0.0384</v>
      </c>
      <c r="AJ8" s="34" t="n">
        <v>1</v>
      </c>
      <c r="AK8" s="2" t="n">
        <v>247</v>
      </c>
      <c r="AL8" t="inlineStr">
        <is>
          <t>Published</t>
        </is>
      </c>
    </row>
    <row r="9">
      <c r="A9">
        <f>HYPERLINK("https://www.walmart.com/ip/927000910", "927000910")</f>
        <v/>
      </c>
      <c r="B9">
        <f>HYPERLINK("https://app.optiwise.ai/catalog/itemdetails/361142", "Pawsse Waterproof Pet Blanket, Pee Urine Proof Dog Blanket Cover for Couch Bed Furniture Protector, Liquid Proof Blanket for Small Medium Dogs, Buffale Red/Tuape, 50” x 30”.")</f>
        <v/>
      </c>
      <c r="C9" t="inlineStr">
        <is>
          <t>1PSBW561TPTP</t>
        </is>
      </c>
      <c r="D9" t="inlineStr">
        <is>
          <t>Animal Accessories</t>
        </is>
      </c>
      <c r="E9" t="inlineStr">
        <is>
          <t>Pet Blankets</t>
        </is>
      </c>
      <c r="F9" t="inlineStr">
        <is>
          <t>Pawsse</t>
        </is>
      </c>
      <c r="G9" t="n">
        <v>4.5</v>
      </c>
      <c r="H9" t="n">
        <v>19</v>
      </c>
      <c r="I9" t="inlineStr">
        <is>
          <t>Fleece Blankets,Batch 1 - TR</t>
        </is>
      </c>
      <c r="J9" s="29" t="n">
        <v>1194.55</v>
      </c>
      <c r="K9" s="30" t="n">
        <v>0.0103</v>
      </c>
      <c r="L9" s="29" t="n">
        <v>26.98999977111816</v>
      </c>
      <c r="M9" s="29" t="n">
        <v>26.98999977111816</v>
      </c>
      <c r="N9" s="2" t="n">
        <v>44</v>
      </c>
      <c r="O9" s="31" t="n">
        <v>122.92</v>
      </c>
      <c r="P9" s="32" t="n">
        <v>0.0147</v>
      </c>
      <c r="Q9" s="32" t="n">
        <v>0.1029</v>
      </c>
      <c r="R9" s="32" t="n">
        <v>0.0597</v>
      </c>
      <c r="S9" s="31" t="n">
        <v>2.89</v>
      </c>
      <c r="T9" s="32" t="n">
        <v>0.35</v>
      </c>
      <c r="U9" s="31" t="n">
        <v>354.87</v>
      </c>
      <c r="V9" s="31" t="n">
        <v>354.87</v>
      </c>
      <c r="W9" s="3" t="n">
        <v>23167</v>
      </c>
      <c r="X9" s="3" t="n">
        <v>246</v>
      </c>
      <c r="Y9" s="32" t="n">
        <v>0.0106</v>
      </c>
      <c r="Z9" s="3" t="n">
        <v>13</v>
      </c>
      <c r="AA9" s="32" t="n">
        <v>0.0528</v>
      </c>
      <c r="AB9" s="3" t="inlineStr">
        <is>
          <t>Auto for BW PET 2 ---Rachel,Need to sell these SKUs by 15th Feb</t>
        </is>
      </c>
      <c r="AC9" s="31" t="n">
        <v>0.5</v>
      </c>
      <c r="AD9" s="2" t="n">
        <v>561</v>
      </c>
      <c r="AE9" s="2" t="n">
        <v>252</v>
      </c>
      <c r="AF9" s="4" t="n">
        <v>63</v>
      </c>
      <c r="AG9" s="33" t="n">
        <v>839.6799999999999</v>
      </c>
      <c r="AH9" s="4" t="n">
        <v>31</v>
      </c>
      <c r="AI9" s="34" t="n">
        <v>0.4921</v>
      </c>
      <c r="AJ9" s="34" t="n">
        <v>0.7029</v>
      </c>
      <c r="AK9" s="2" t="n">
        <v>337</v>
      </c>
      <c r="AL9" t="inlineStr">
        <is>
          <t>Published</t>
        </is>
      </c>
    </row>
    <row r="10">
      <c r="A10">
        <f>HYPERLINK("https://www.walmart.com/ip/102593448", "102593448")</f>
        <v/>
      </c>
      <c r="B10">
        <f>HYPERLINK("https://app.optiwise.ai/catalog/itemdetails/360889", "Tirrinia Insulated Lunch Bags for Women and Men, Leakproof Reusable Meal Prep Bento Box Insulated Cooler Bag with Dual Compartment, Black, 13L/ 22 Can")</f>
        <v/>
      </c>
      <c r="C10" t="inlineStr">
        <is>
          <t>1KTLB410BK</t>
        </is>
      </c>
      <c r="D10" t="inlineStr">
        <is>
          <t>Home Decor, Kitchen, &amp; Other</t>
        </is>
      </c>
      <c r="E10" t="inlineStr">
        <is>
          <t>Reusable Lunch Bags &amp; Boxes</t>
        </is>
      </c>
      <c r="F10" t="inlineStr">
        <is>
          <t>Tirrinia</t>
        </is>
      </c>
      <c r="G10" t="n">
        <v>4.5</v>
      </c>
      <c r="H10" t="n">
        <v>200</v>
      </c>
      <c r="I10" t="inlineStr">
        <is>
          <t>Q2-Target,Brand Camp VD,Lunch Bag,WFS,Lunch Bags,Wal-Exl-Price,WFS Item</t>
        </is>
      </c>
      <c r="J10" s="29" t="n">
        <v>1193.03</v>
      </c>
      <c r="K10" s="30" t="n">
        <v>0.0103</v>
      </c>
      <c r="L10" s="29" t="n">
        <v>99.94999885559082</v>
      </c>
      <c r="M10" s="29" t="n">
        <v>39.97999954223633</v>
      </c>
      <c r="N10" s="2" t="n">
        <v>57</v>
      </c>
      <c r="O10" s="31" t="n">
        <v>0</v>
      </c>
      <c r="P10" s="32" t="n"/>
      <c r="Q10" s="32" t="n">
        <v>0</v>
      </c>
      <c r="R10" s="32" t="n">
        <v>0.132</v>
      </c>
      <c r="S10" s="31" t="n">
        <v>0</v>
      </c>
      <c r="T10" s="32" t="n">
        <v>0</v>
      </c>
      <c r="U10" s="31" t="n">
        <v>0</v>
      </c>
      <c r="V10" s="31" t="n">
        <v>0</v>
      </c>
      <c r="W10" s="3" t="n">
        <v>0</v>
      </c>
      <c r="X10" s="3" t="n">
        <v>0</v>
      </c>
      <c r="Y10" s="32" t="n">
        <v>0</v>
      </c>
      <c r="Z10" s="3" t="n">
        <v>0</v>
      </c>
      <c r="AA10" s="32" t="n">
        <v>0</v>
      </c>
      <c r="AB10" s="3" t="n"/>
      <c r="AC10" s="31" t="n">
        <v>0</v>
      </c>
      <c r="AD10" s="2" t="n">
        <v>1060</v>
      </c>
      <c r="AE10" s="2" t="n">
        <v>267</v>
      </c>
      <c r="AF10" s="4" t="n">
        <v>793</v>
      </c>
      <c r="AG10" s="33" t="n">
        <v>1193.03</v>
      </c>
      <c r="AH10" s="4" t="n">
        <v>57</v>
      </c>
      <c r="AI10" s="34" t="n">
        <v>0.07190000000000001</v>
      </c>
      <c r="AJ10" s="34" t="n">
        <v>1</v>
      </c>
      <c r="AK10" s="2" t="n">
        <v>139</v>
      </c>
      <c r="AL10" t="inlineStr">
        <is>
          <t>Published</t>
        </is>
      </c>
    </row>
    <row r="11">
      <c r="A11">
        <f>HYPERLINK("https://www.walmart.com/ip/819492779", "819492779")</f>
        <v/>
      </c>
      <c r="B11">
        <f>HYPERLINK("https://app.optiwise.ai/catalog/itemdetails/380720", "Catalonia Reversible Sherpa Throw Blanket, Super Soft Fluffy Blanket for Couch,  Fuzzy Comfy Warm Throws, Comfort Caring Gift, 50x60 inches, Aqua")</f>
        <v/>
      </c>
      <c r="C11" t="inlineStr">
        <is>
          <t>1CTBF578AQ</t>
        </is>
      </c>
      <c r="D11" t="inlineStr">
        <is>
          <t>Bedding</t>
        </is>
      </c>
      <c r="E11" t="inlineStr">
        <is>
          <t>Throws</t>
        </is>
      </c>
      <c r="F11" t="inlineStr">
        <is>
          <t>Catalonia</t>
        </is>
      </c>
      <c r="G11" t="n">
        <v>4.7</v>
      </c>
      <c r="H11" t="n">
        <v>20</v>
      </c>
      <c r="I11" t="inlineStr">
        <is>
          <t>Q2-Target,WFS,Coupon_Discount,SeePriceInCart,WFS Item</t>
        </is>
      </c>
      <c r="J11" s="29" t="n">
        <v>1176.33</v>
      </c>
      <c r="K11" s="30" t="n">
        <v>0.0101</v>
      </c>
      <c r="L11" s="29" t="n">
        <v>182.8899974822998</v>
      </c>
      <c r="M11" s="29" t="n">
        <v>33.97999954223633</v>
      </c>
      <c r="N11" s="2" t="n">
        <v>65</v>
      </c>
      <c r="O11" s="31" t="n">
        <v>145.89</v>
      </c>
      <c r="P11" s="32" t="n">
        <v>0.0175</v>
      </c>
      <c r="Q11" s="32" t="n">
        <v>0.124</v>
      </c>
      <c r="R11" s="32" t="n">
        <v>0.1448</v>
      </c>
      <c r="S11" s="31" t="n">
        <v>2.23</v>
      </c>
      <c r="T11" s="32" t="n">
        <v>0.45</v>
      </c>
      <c r="U11" s="31" t="n">
        <v>325.8200000000001</v>
      </c>
      <c r="V11" s="31" t="n">
        <v>325.8200000000001</v>
      </c>
      <c r="W11" s="3" t="n">
        <v>257180</v>
      </c>
      <c r="X11" s="3" t="n">
        <v>506</v>
      </c>
      <c r="Y11" s="32" t="n">
        <v>0.002</v>
      </c>
      <c r="Z11" s="3" t="n">
        <v>18</v>
      </c>
      <c r="AA11" s="32" t="n">
        <v>0.0356</v>
      </c>
      <c r="AB11" s="3" t="inlineStr">
        <is>
          <t>Throws_Auto_Optiwise_24,WFS Inventory</t>
        </is>
      </c>
      <c r="AC11" s="31" t="n">
        <v>0.29</v>
      </c>
      <c r="AD11" s="2" t="n">
        <v>3891</v>
      </c>
      <c r="AE11" s="2" t="n">
        <v>662</v>
      </c>
      <c r="AF11" s="4" t="n">
        <v>2723</v>
      </c>
      <c r="AG11" s="33" t="n">
        <v>850.5099999999999</v>
      </c>
      <c r="AH11" s="4" t="n">
        <v>47</v>
      </c>
      <c r="AI11" s="34" t="n">
        <v>0.0173</v>
      </c>
      <c r="AJ11" s="34" t="n">
        <v>0.723</v>
      </c>
      <c r="AK11" s="2" t="n">
        <v>195</v>
      </c>
      <c r="AL11" t="inlineStr">
        <is>
          <t>Published</t>
        </is>
      </c>
    </row>
    <row r="12">
      <c r="A12">
        <f>HYPERLINK("https://www.walmart.com/ip/509023872", "509023872")</f>
        <v/>
      </c>
      <c r="B12">
        <f>HYPERLINK("https://app.optiwise.ai/catalog/itemdetails/412502", "Tirrinia Small Portable Reusable Thermal Insulated Lunch Bag To Keep Your Snacks,Drinks And Meals At A Consistent Temperature For Adult Kids,Charcoal")</f>
        <v/>
      </c>
      <c r="C12" t="inlineStr">
        <is>
          <t>1TRLB100CH</t>
        </is>
      </c>
      <c r="D12" t="inlineStr">
        <is>
          <t>Home Decor, Kitchen, &amp; Other</t>
        </is>
      </c>
      <c r="E12" t="inlineStr">
        <is>
          <t>Reusable Lunch Bags &amp; Boxes</t>
        </is>
      </c>
      <c r="F12" t="inlineStr">
        <is>
          <t>Tirrinia</t>
        </is>
      </c>
      <c r="G12" t="n">
        <v>4.7</v>
      </c>
      <c r="H12" t="n">
        <v>56</v>
      </c>
      <c r="I12" t="inlineStr">
        <is>
          <t>Q2-Target,Brand Camp VD,Lunch Bag,Optimized,Lunch Bags,SEM</t>
        </is>
      </c>
      <c r="J12" s="29" t="n">
        <v>1174.12</v>
      </c>
      <c r="K12" s="30" t="n">
        <v>0.0101</v>
      </c>
      <c r="L12" s="29" t="n">
        <v>135.8899974822998</v>
      </c>
      <c r="M12" s="29" t="n">
        <v>11.98999977111816</v>
      </c>
      <c r="N12" s="2" t="n">
        <v>95</v>
      </c>
      <c r="O12" s="31" t="n">
        <v>0</v>
      </c>
      <c r="P12" s="32" t="n"/>
      <c r="Q12" s="32" t="n">
        <v>0</v>
      </c>
      <c r="R12" s="32" t="n">
        <v>0.145</v>
      </c>
      <c r="S12" s="31" t="n">
        <v>0</v>
      </c>
      <c r="T12" s="32" t="n">
        <v>0</v>
      </c>
      <c r="U12" s="31" t="n">
        <v>0</v>
      </c>
      <c r="V12" s="31" t="n">
        <v>0</v>
      </c>
      <c r="W12" s="3" t="n">
        <v>0</v>
      </c>
      <c r="X12" s="3" t="n">
        <v>0</v>
      </c>
      <c r="Y12" s="32" t="n">
        <v>0</v>
      </c>
      <c r="Z12" s="3" t="n">
        <v>0</v>
      </c>
      <c r="AA12" s="32" t="n">
        <v>0</v>
      </c>
      <c r="AB12" s="3" t="n"/>
      <c r="AC12" s="31" t="n">
        <v>0</v>
      </c>
      <c r="AD12" s="2" t="n">
        <v>2370</v>
      </c>
      <c r="AE12" s="2" t="n">
        <v>792</v>
      </c>
      <c r="AF12" s="4" t="n">
        <v>1578</v>
      </c>
      <c r="AG12" s="33" t="n">
        <v>1174.12</v>
      </c>
      <c r="AH12" s="4" t="n">
        <v>95</v>
      </c>
      <c r="AI12" s="34" t="n">
        <v>0.0602</v>
      </c>
      <c r="AJ12" s="34" t="n">
        <v>1</v>
      </c>
      <c r="AK12" s="2" t="n">
        <v>160</v>
      </c>
      <c r="AL12" t="inlineStr">
        <is>
          <t>Published</t>
        </is>
      </c>
    </row>
    <row r="13">
      <c r="A13">
        <f>HYPERLINK("https://www.walmart.com/ip/803186607", "803186607")</f>
        <v/>
      </c>
      <c r="B13">
        <f>HYPERLINK("https://app.optiwise.ai/catalog/itemdetails/416861", "Catalonia King Size Sherpa Comforter Set, Ultra-soft Reversible Fluffy Micromink Bedding Set-3 Pieces, 1 Comforter and 2 Pillow Shams, 90x103 inches")</f>
        <v/>
      </c>
      <c r="C13" t="inlineStr">
        <is>
          <t>1CTBQ300KI-GY</t>
        </is>
      </c>
      <c r="D13" t="inlineStr">
        <is>
          <t>Bedding</t>
        </is>
      </c>
      <c r="E13" t="inlineStr">
        <is>
          <t>Bedding Sets</t>
        </is>
      </c>
      <c r="F13" t="inlineStr">
        <is>
          <t>Catalonia</t>
        </is>
      </c>
      <c r="G13" t="n">
        <v>0</v>
      </c>
      <c r="H13" t="n">
        <v>0</v>
      </c>
      <c r="I13" t="inlineStr">
        <is>
          <t>WFS,High AUR Items,Coupon_Discount,WFS Item</t>
        </is>
      </c>
      <c r="J13" s="29" t="n">
        <v>1134.72</v>
      </c>
      <c r="K13" s="30" t="n">
        <v>0.0098</v>
      </c>
      <c r="L13" s="29" t="n">
        <v>0</v>
      </c>
      <c r="M13" s="29" t="n">
        <v>0</v>
      </c>
      <c r="N13" s="2" t="n">
        <v>28</v>
      </c>
      <c r="O13" s="31" t="n">
        <v>218.14</v>
      </c>
      <c r="P13" s="32" t="n">
        <v>0.0262</v>
      </c>
      <c r="Q13" s="32" t="n">
        <v>0.1922</v>
      </c>
      <c r="R13" s="32" t="n">
        <v>0.08119999999999999</v>
      </c>
      <c r="S13" s="31" t="n">
        <v>1.92</v>
      </c>
      <c r="T13" s="32" t="n">
        <v>0.52</v>
      </c>
      <c r="U13" s="31" t="n">
        <v>419.9</v>
      </c>
      <c r="V13" s="31" t="n">
        <v>419.9</v>
      </c>
      <c r="W13" s="3" t="n">
        <v>83469</v>
      </c>
      <c r="X13" s="3" t="n">
        <v>467</v>
      </c>
      <c r="Y13" s="32" t="n">
        <v>0.0056</v>
      </c>
      <c r="Z13" s="3" t="n">
        <v>10</v>
      </c>
      <c r="AA13" s="32" t="n">
        <v>0.0214</v>
      </c>
      <c r="AB13" s="3" t="inlineStr">
        <is>
          <t>All Items_Auto_Optiwise_24,Top Selling Last Year 2023</t>
        </is>
      </c>
      <c r="AC13" s="31" t="n">
        <v>0.47</v>
      </c>
      <c r="AD13" s="2" t="n">
        <v>1698</v>
      </c>
      <c r="AE13" s="2" t="n">
        <v>286</v>
      </c>
      <c r="AF13" s="4" t="n">
        <v>945</v>
      </c>
      <c r="AG13" s="33" t="n">
        <v>714.8199999999999</v>
      </c>
      <c r="AH13" s="4" t="n">
        <v>18</v>
      </c>
      <c r="AI13" s="34" t="n">
        <v>0.019</v>
      </c>
      <c r="AJ13" s="34" t="n">
        <v>0.63</v>
      </c>
      <c r="AK13" s="2" t="n">
        <v>400</v>
      </c>
      <c r="AL13" t="inlineStr">
        <is>
          <t>Published</t>
        </is>
      </c>
    </row>
    <row r="14">
      <c r="A14">
        <f>HYPERLINK("https://www.walmart.com/ip/856027355", "856027355")</f>
        <v/>
      </c>
      <c r="B14">
        <f>HYPERLINK("https://app.optiwise.ai/catalog/itemdetails/360830", "Catalonia Kids Mermaid Tail Blanket,Super Soft Plush Flannel Sleeping Snuggle Blanket for Girls,Rainbow Ombre,Fish Scale Pattern,Gift Idea")</f>
        <v/>
      </c>
      <c r="C14" t="inlineStr">
        <is>
          <t>1CTMM500PK</t>
        </is>
      </c>
      <c r="D14" t="inlineStr">
        <is>
          <t>Bedding</t>
        </is>
      </c>
      <c r="E14" t="inlineStr">
        <is>
          <t>Throws</t>
        </is>
      </c>
      <c r="F14" t="inlineStr">
        <is>
          <t>Catalonia</t>
        </is>
      </c>
      <c r="G14" t="n">
        <v>3.5</v>
      </c>
      <c r="H14" t="n">
        <v>4</v>
      </c>
      <c r="I14" t="inlineStr">
        <is>
          <t>Q2-Target,Baby days,Optimized,WFS,WFS Item</t>
        </is>
      </c>
      <c r="J14" s="29" t="n">
        <v>1116.38</v>
      </c>
      <c r="K14" s="30" t="n">
        <v>0.009599999999999999</v>
      </c>
      <c r="L14" s="29" t="n">
        <v>60.95999908447266</v>
      </c>
      <c r="M14" s="29" t="n">
        <v>0</v>
      </c>
      <c r="N14" s="2" t="n">
        <v>61</v>
      </c>
      <c r="O14" s="31" t="n">
        <v>118.22</v>
      </c>
      <c r="P14" s="32" t="n">
        <v>0.0142</v>
      </c>
      <c r="Q14" s="32" t="n">
        <v>0.1059</v>
      </c>
      <c r="R14" s="32" t="n">
        <v>0.09669999999999999</v>
      </c>
      <c r="S14" s="31" t="n">
        <v>4.01</v>
      </c>
      <c r="T14" s="32" t="n">
        <v>0.25</v>
      </c>
      <c r="U14" s="31" t="n">
        <v>473.7400000000001</v>
      </c>
      <c r="V14" s="31" t="n">
        <v>473.7400000000001</v>
      </c>
      <c r="W14" s="3" t="n">
        <v>127643</v>
      </c>
      <c r="X14" s="3" t="n">
        <v>371</v>
      </c>
      <c r="Y14" s="32" t="n">
        <v>0.0029</v>
      </c>
      <c r="Z14" s="3" t="n">
        <v>26</v>
      </c>
      <c r="AA14" s="32" t="n">
        <v>0.0701</v>
      </c>
      <c r="AB14" s="3" t="inlineStr">
        <is>
          <t>1CTMM500PK_Manual,1CTMM500PK_Manual_Optiwise,Throws_Auto_Optiwise_24,Throws_Manual_Optiwise_24</t>
        </is>
      </c>
      <c r="AC14" s="31" t="n">
        <v>0.32</v>
      </c>
      <c r="AD14" s="2" t="n">
        <v>743</v>
      </c>
      <c r="AE14" s="2" t="n">
        <v>218</v>
      </c>
      <c r="AF14" s="4" t="n">
        <v>154</v>
      </c>
      <c r="AG14" s="33" t="n">
        <v>642.64</v>
      </c>
      <c r="AH14" s="4" t="n">
        <v>35</v>
      </c>
      <c r="AI14" s="34" t="n">
        <v>0.2273</v>
      </c>
      <c r="AJ14" s="34" t="n">
        <v>0.5756</v>
      </c>
      <c r="AK14" s="2" t="n">
        <v>261</v>
      </c>
      <c r="AL14" t="inlineStr">
        <is>
          <t>Published</t>
        </is>
      </c>
    </row>
    <row r="15">
      <c r="A15">
        <f>HYPERLINK("https://www.walmart.com/ip/260397586", "260397586")</f>
        <v/>
      </c>
      <c r="B15">
        <f>HYPERLINK("https://app.optiwise.ai/catalog/itemdetails/360280", "Premium Plush Fleece Snuggie Blanket Reversible Soft Sherpa Waterproof Throws")</f>
        <v/>
      </c>
      <c r="C15" t="inlineStr">
        <is>
          <t>1CTBW561LGDG</t>
        </is>
      </c>
      <c r="D15" t="inlineStr">
        <is>
          <t>Bedding</t>
        </is>
      </c>
      <c r="E15" t="inlineStr">
        <is>
          <t>Throws</t>
        </is>
      </c>
      <c r="F15" t="inlineStr">
        <is>
          <t>Catalonia</t>
        </is>
      </c>
      <c r="G15" t="n">
        <v>4.4</v>
      </c>
      <c r="H15" t="n">
        <v>21</v>
      </c>
      <c r="I15" t="inlineStr">
        <is>
          <t>Optimized,Wproof Blanket</t>
        </is>
      </c>
      <c r="J15" s="29" t="n">
        <v>1112.56</v>
      </c>
      <c r="K15" s="30" t="n">
        <v>0.009599999999999999</v>
      </c>
      <c r="L15" s="29" t="n">
        <v>0</v>
      </c>
      <c r="M15" s="29" t="n">
        <v>0</v>
      </c>
      <c r="N15" s="2" t="n">
        <v>35</v>
      </c>
      <c r="O15" s="31" t="n">
        <v>39.7</v>
      </c>
      <c r="P15" s="32" t="n">
        <v>0.0048</v>
      </c>
      <c r="Q15" s="32" t="n">
        <v>0.0357</v>
      </c>
      <c r="R15" s="32" t="n">
        <v>0.0692</v>
      </c>
      <c r="S15" s="31" t="n">
        <v>2.19</v>
      </c>
      <c r="T15" s="32" t="n">
        <v>0.46</v>
      </c>
      <c r="U15" s="31" t="n">
        <v>86.97</v>
      </c>
      <c r="V15" s="31" t="n">
        <v>86.97</v>
      </c>
      <c r="W15" s="3" t="n">
        <v>179410</v>
      </c>
      <c r="X15" s="3" t="n">
        <v>96</v>
      </c>
      <c r="Y15" s="32" t="n">
        <v>0.0005</v>
      </c>
      <c r="Z15" s="3" t="n">
        <v>3</v>
      </c>
      <c r="AA15" s="32" t="n">
        <v>0.0312</v>
      </c>
      <c r="AB15" s="3" t="inlineStr">
        <is>
          <t>Auto for Top sale---Rachel,Throws_Auto_Optiwise_24,Throws_Manual_Optiwise_24</t>
        </is>
      </c>
      <c r="AC15" s="31" t="n">
        <v>0.41</v>
      </c>
      <c r="AD15" s="2" t="n">
        <v>370</v>
      </c>
      <c r="AE15" s="2" t="n">
        <v>208</v>
      </c>
      <c r="AF15" s="4" t="n">
        <v>112</v>
      </c>
      <c r="AG15" s="33" t="n">
        <v>1025.59</v>
      </c>
      <c r="AH15" s="4" t="n">
        <v>32</v>
      </c>
      <c r="AI15" s="34" t="n">
        <v>0.2857</v>
      </c>
      <c r="AJ15" s="34" t="n">
        <v>0.9218</v>
      </c>
      <c r="AK15" s="2" t="n">
        <v>416</v>
      </c>
      <c r="AL15" t="inlineStr">
        <is>
          <t>Published</t>
        </is>
      </c>
    </row>
    <row r="16">
      <c r="A16">
        <f>HYPERLINK("https://www.walmart.com/ip/563387065", "563387065")</f>
        <v/>
      </c>
      <c r="B16">
        <f>HYPERLINK("https://app.optiwise.ai/catalog/itemdetails/360489", "Pawsse Waterproof Pet Blanket, Pee Urine Proof Dog Blanket Cover for Couch Bed Furniture Protector, Liquid Proof Blanket for Small Medium Dogs, 50” x 30”, Gray/Tuape")</f>
        <v/>
      </c>
      <c r="C16" t="inlineStr">
        <is>
          <t>1PSBW351GYTP</t>
        </is>
      </c>
      <c r="D16" t="inlineStr">
        <is>
          <t>Animal Accessories</t>
        </is>
      </c>
      <c r="E16" t="inlineStr">
        <is>
          <t>Pet Blankets</t>
        </is>
      </c>
      <c r="F16" t="inlineStr">
        <is>
          <t>Pawsse</t>
        </is>
      </c>
      <c r="G16" t="n">
        <v>0</v>
      </c>
      <c r="H16" t="n">
        <v>0</v>
      </c>
      <c r="I16" t="inlineStr">
        <is>
          <t>Q2-Target,Batch 1 - TR</t>
        </is>
      </c>
      <c r="J16" s="29" t="n">
        <v>1000.6</v>
      </c>
      <c r="K16" s="30" t="n">
        <v>0.0086</v>
      </c>
      <c r="L16" s="29" t="n">
        <v>59.95999908447266</v>
      </c>
      <c r="M16" s="29" t="n">
        <v>0</v>
      </c>
      <c r="N16" s="2" t="n">
        <v>63</v>
      </c>
      <c r="O16" s="31" t="n">
        <v>273.8099999999999</v>
      </c>
      <c r="P16" s="32" t="n">
        <v>0.0328</v>
      </c>
      <c r="Q16" s="32" t="n">
        <v>0.2736</v>
      </c>
      <c r="R16" s="32" t="n">
        <v>0.4029</v>
      </c>
      <c r="S16" s="31" t="n">
        <v>3.66</v>
      </c>
      <c r="T16" s="32" t="n">
        <v>0.27</v>
      </c>
      <c r="U16" s="31" t="n">
        <v>1001.4</v>
      </c>
      <c r="V16" s="31" t="n">
        <v>960.4200000000003</v>
      </c>
      <c r="W16" s="3" t="n">
        <v>96678</v>
      </c>
      <c r="X16" s="3" t="n">
        <v>692</v>
      </c>
      <c r="Y16" s="32" t="n">
        <v>0.0072</v>
      </c>
      <c r="Z16" s="3" t="n">
        <v>60</v>
      </c>
      <c r="AA16" s="32" t="n">
        <v>0.0867</v>
      </c>
      <c r="AB16" s="3" t="inlineStr">
        <is>
          <t>Auto for BW PET 2 ---Rachel</t>
        </is>
      </c>
      <c r="AC16" s="31" t="n">
        <v>0.4</v>
      </c>
      <c r="AD16" s="2" t="n">
        <v>846</v>
      </c>
      <c r="AE16" s="2" t="n">
        <v>263</v>
      </c>
      <c r="AF16" s="4" t="inlineStr">
        <is>
          <t>NA</t>
        </is>
      </c>
      <c r="AG16" s="33" t="n">
        <v>-0.8000000000002956</v>
      </c>
      <c r="AH16" s="4" t="n">
        <v>3</v>
      </c>
      <c r="AI16" s="34" t="inlineStr">
        <is>
          <t>NA</t>
        </is>
      </c>
      <c r="AJ16" s="34" t="n">
        <v>-0.0008</v>
      </c>
      <c r="AK16" s="2" t="n">
        <v>227</v>
      </c>
      <c r="AL16" t="inlineStr">
        <is>
          <t>Published</t>
        </is>
      </c>
    </row>
    <row r="17">
      <c r="A17">
        <f>HYPERLINK("https://www.walmart.com/ip/948118824", "948118824")</f>
        <v/>
      </c>
      <c r="B17">
        <f>HYPERLINK("https://app.optiwise.ai/catalog/itemdetails/362086", "Catalonia Waterproof Blanket for Baby, Pee Proof Pet Cover for Couch and Bed, Reversible Sherpa Fleece Throw Blanket for Relaxing, Traveling and Camping, Camel/Taupe, 60 x 50")</f>
        <v/>
      </c>
      <c r="C17" t="inlineStr">
        <is>
          <t>1CTBW561TPTP</t>
        </is>
      </c>
      <c r="D17" t="inlineStr">
        <is>
          <t>Bedding</t>
        </is>
      </c>
      <c r="E17" t="inlineStr">
        <is>
          <t>Throws</t>
        </is>
      </c>
      <c r="F17" t="inlineStr">
        <is>
          <t>Catalonia</t>
        </is>
      </c>
      <c r="G17" t="n">
        <v>3.8</v>
      </c>
      <c r="H17" t="n">
        <v>13</v>
      </c>
      <c r="I17" t="inlineStr">
        <is>
          <t>Q2-Target,WFS,Wproof Blanket,WFS Item</t>
        </is>
      </c>
      <c r="J17" s="29" t="n">
        <v>983.61</v>
      </c>
      <c r="K17" s="30" t="n">
        <v>0.008500000000000001</v>
      </c>
      <c r="L17" s="29" t="n">
        <v>0</v>
      </c>
      <c r="M17" s="29" t="n">
        <v>0</v>
      </c>
      <c r="N17" s="2" t="n">
        <v>32</v>
      </c>
      <c r="O17" s="31" t="n">
        <v>37.41</v>
      </c>
      <c r="P17" s="32" t="n">
        <v>0.0045</v>
      </c>
      <c r="Q17" s="32" t="n">
        <v>0.038</v>
      </c>
      <c r="R17" s="32" t="n">
        <v>0.0852</v>
      </c>
      <c r="S17" s="31" t="n">
        <v>6.09</v>
      </c>
      <c r="T17" s="32" t="n">
        <v>0.16</v>
      </c>
      <c r="U17" s="31" t="n">
        <v>227.92</v>
      </c>
      <c r="V17" s="31" t="n">
        <v>227.92</v>
      </c>
      <c r="W17" s="3" t="n">
        <v>27811</v>
      </c>
      <c r="X17" s="3" t="n">
        <v>89</v>
      </c>
      <c r="Y17" s="32" t="n">
        <v>0.0032</v>
      </c>
      <c r="Z17" s="3" t="n">
        <v>8</v>
      </c>
      <c r="AA17" s="32" t="n">
        <v>0.08989999999999999</v>
      </c>
      <c r="AB17" s="3" t="inlineStr">
        <is>
          <t>Auto for BW Indoor,Throws_Auto_Optiwise_24,Throws_Manual_Optiwise_24,Top Selling Last Year 2023</t>
        </is>
      </c>
      <c r="AC17" s="31" t="n">
        <v>0.42</v>
      </c>
      <c r="AD17" s="2" t="n">
        <v>527</v>
      </c>
      <c r="AE17" s="2" t="n">
        <v>545</v>
      </c>
      <c r="AF17" s="4" t="n">
        <v>456</v>
      </c>
      <c r="AG17" s="33" t="n">
        <v>755.6900000000001</v>
      </c>
      <c r="AH17" s="4" t="n">
        <v>24</v>
      </c>
      <c r="AI17" s="34" t="n">
        <v>0.0526</v>
      </c>
      <c r="AJ17" s="34" t="n">
        <v>0.7683</v>
      </c>
      <c r="AK17" s="2" t="n">
        <v>502</v>
      </c>
      <c r="AL17" t="inlineStr">
        <is>
          <t>Published</t>
        </is>
      </c>
    </row>
    <row r="18">
      <c r="A18">
        <f>HYPERLINK("https://www.walmart.com/ip/1887689590", "1887689590")</f>
        <v/>
      </c>
      <c r="B18">
        <f>HYPERLINK("https://app.optiwise.ai/catalog/itemdetails/920317", "Catalonia Waterproof Blanket for Couch, Reversible Washable Sofa Bed Coverlet Protector | Leak Proof, Comfortable | for People and Pets, 60 x 80, Grey/Taupe")</f>
        <v/>
      </c>
      <c r="C18" t="inlineStr">
        <is>
          <t>1CTBW685GYTP</t>
        </is>
      </c>
      <c r="D18" t="inlineStr">
        <is>
          <t>Home Decor, Kitchen, &amp; Other</t>
        </is>
      </c>
      <c r="E18" t="inlineStr">
        <is>
          <t>Throws</t>
        </is>
      </c>
      <c r="F18" t="inlineStr">
        <is>
          <t>Catalonia</t>
        </is>
      </c>
      <c r="G18" t="n">
        <v>0</v>
      </c>
      <c r="H18" t="n">
        <v>0</v>
      </c>
      <c r="I18" t="inlineStr">
        <is>
          <t>Wproof Blanket,Batch 1 - TR</t>
        </is>
      </c>
      <c r="J18" s="29" t="n">
        <v>919.77</v>
      </c>
      <c r="K18" s="30" t="n">
        <v>0.007900000000000001</v>
      </c>
      <c r="L18" s="29" t="n">
        <v>39.9900016784668</v>
      </c>
      <c r="M18" s="29" t="n">
        <v>0</v>
      </c>
      <c r="N18" s="2" t="n">
        <v>23</v>
      </c>
      <c r="O18" s="31" t="n">
        <v>23.29000000000001</v>
      </c>
      <c r="P18" s="32" t="n">
        <v>0.0028</v>
      </c>
      <c r="Q18" s="32" t="n">
        <v>0.0253</v>
      </c>
      <c r="R18" s="32" t="n">
        <v>0.0199</v>
      </c>
      <c r="S18" s="31" t="n">
        <v>3.86</v>
      </c>
      <c r="T18" s="32" t="n">
        <v>0.26</v>
      </c>
      <c r="U18" s="31" t="n">
        <v>89.98</v>
      </c>
      <c r="V18" s="31" t="n">
        <v>89.98</v>
      </c>
      <c r="W18" s="3" t="n">
        <v>15164</v>
      </c>
      <c r="X18" s="3" t="n">
        <v>56</v>
      </c>
      <c r="Y18" s="32" t="n">
        <v>0.0037</v>
      </c>
      <c r="Z18" s="3" t="n">
        <v>2</v>
      </c>
      <c r="AA18" s="32" t="n">
        <v>0.0357</v>
      </c>
      <c r="AB18" s="3" t="inlineStr">
        <is>
          <t>Auto for BW Indoor,Throws_Auto_Optiwise_24</t>
        </is>
      </c>
      <c r="AC18" s="31" t="n">
        <v>0.42</v>
      </c>
      <c r="AD18" s="2" t="n">
        <v>385</v>
      </c>
      <c r="AE18" s="2" t="n">
        <v>435</v>
      </c>
      <c r="AF18" s="4" t="n">
        <v>379</v>
      </c>
      <c r="AG18" s="33" t="n">
        <v>829.79</v>
      </c>
      <c r="AH18" s="4" t="n">
        <v>21</v>
      </c>
      <c r="AI18" s="34" t="n">
        <v>0.0554</v>
      </c>
      <c r="AJ18" s="34" t="n">
        <v>0.9022</v>
      </c>
      <c r="AK18" s="2" t="n">
        <v>586</v>
      </c>
      <c r="AL18" t="inlineStr">
        <is>
          <t>Published</t>
        </is>
      </c>
    </row>
    <row r="19">
      <c r="A19">
        <f>HYPERLINK("https://www.walmart.com/ip/584823468", "584823468")</f>
        <v/>
      </c>
      <c r="B19">
        <f>HYPERLINK("https://app.optiwise.ai/catalog/itemdetails/360270", "Tirrinia Insulated Lunch Bag for Women w/ Leather Handle, Reusable Tote Bag for Men, Fashionable Cooler Lunch Box for Working/Picnic, Black")</f>
        <v/>
      </c>
      <c r="C19" t="inlineStr">
        <is>
          <t>1WMLB704BK</t>
        </is>
      </c>
      <c r="D19" t="inlineStr">
        <is>
          <t>Home Decor, Kitchen, &amp; Other</t>
        </is>
      </c>
      <c r="E19" t="inlineStr">
        <is>
          <t>Reusable Lunch Bags &amp; Boxes</t>
        </is>
      </c>
      <c r="F19" t="inlineStr">
        <is>
          <t>Flyingstar</t>
        </is>
      </c>
      <c r="G19" t="n">
        <v>4.7</v>
      </c>
      <c r="H19" t="n">
        <v>9</v>
      </c>
      <c r="I19" t="inlineStr">
        <is>
          <t>Q2-Target,Lunch Bag,WFS,WFS Item</t>
        </is>
      </c>
      <c r="J19" s="29" t="n">
        <v>837.62</v>
      </c>
      <c r="K19" s="30" t="n">
        <v>0.0072</v>
      </c>
      <c r="L19" s="29" t="n">
        <v>93.51000022888184</v>
      </c>
      <c r="M19" s="29" t="n">
        <v>10.09000015258789</v>
      </c>
      <c r="N19" s="2" t="n">
        <v>79</v>
      </c>
      <c r="O19" s="31" t="n">
        <v>0</v>
      </c>
      <c r="P19" s="32" t="n"/>
      <c r="Q19" s="32" t="n">
        <v>0</v>
      </c>
      <c r="R19" s="32" t="n">
        <v>0</v>
      </c>
      <c r="S19" s="31" t="n">
        <v>0</v>
      </c>
      <c r="T19" s="32" t="n">
        <v>0</v>
      </c>
      <c r="U19" s="31" t="n">
        <v>0</v>
      </c>
      <c r="V19" s="31" t="n">
        <v>0</v>
      </c>
      <c r="W19" s="3" t="n">
        <v>0</v>
      </c>
      <c r="X19" s="3" t="n">
        <v>0</v>
      </c>
      <c r="Y19" s="32" t="n">
        <v>0</v>
      </c>
      <c r="Z19" s="3" t="n">
        <v>0</v>
      </c>
      <c r="AA19" s="32" t="n">
        <v>0</v>
      </c>
      <c r="AB19" s="3" t="n"/>
      <c r="AC19" s="31" t="n">
        <v>0</v>
      </c>
      <c r="AD19" s="2" t="n">
        <v>4675</v>
      </c>
      <c r="AE19" s="2" t="n">
        <v>773</v>
      </c>
      <c r="AF19" s="4" t="n">
        <v>3902</v>
      </c>
      <c r="AG19" s="33" t="n">
        <v>837.62</v>
      </c>
      <c r="AH19" s="4" t="n">
        <v>79</v>
      </c>
      <c r="AI19" s="34" t="n">
        <v>0.0202</v>
      </c>
      <c r="AJ19" s="34" t="n">
        <v>1</v>
      </c>
      <c r="AK19" s="2" t="n">
        <v>281</v>
      </c>
      <c r="AL19" t="inlineStr">
        <is>
          <t>Published</t>
        </is>
      </c>
    </row>
    <row r="20">
      <c r="A20">
        <f>HYPERLINK("https://www.walmart.com/ip/736926147", "736926147")</f>
        <v/>
      </c>
      <c r="B20">
        <f>HYPERLINK("https://app.optiwise.ai/catalog/itemdetails/418777", "Kritter Planet Waterproof Dog Blanket for Couch, Washable Pet Couch Cover, Non-slip Bed Sofa Furniture Protector Mat, Latte, 80''x60''.")</f>
        <v/>
      </c>
      <c r="C20" t="inlineStr">
        <is>
          <t>1KPBW686LT</t>
        </is>
      </c>
      <c r="D20" t="inlineStr">
        <is>
          <t>Animal Accessories</t>
        </is>
      </c>
      <c r="E20" t="inlineStr">
        <is>
          <t>Pet Blankets</t>
        </is>
      </c>
      <c r="F20" t="inlineStr">
        <is>
          <t>Kritter Planet</t>
        </is>
      </c>
      <c r="G20" t="n">
        <v>0</v>
      </c>
      <c r="H20" t="n">
        <v>0</v>
      </c>
      <c r="I20" t="inlineStr">
        <is>
          <t>Q2-Target,SEM,Batch 1 - TR</t>
        </is>
      </c>
      <c r="J20" s="29" t="n">
        <v>819.67</v>
      </c>
      <c r="K20" s="30" t="n">
        <v>0.0071</v>
      </c>
      <c r="L20" s="29" t="n">
        <v>103.9599990844727</v>
      </c>
      <c r="M20" s="29" t="n">
        <v>25.98999977111816</v>
      </c>
      <c r="N20" s="2" t="n">
        <v>31</v>
      </c>
      <c r="O20" s="31" t="n">
        <v>104.54</v>
      </c>
      <c r="P20" s="32" t="n">
        <v>0.0125</v>
      </c>
      <c r="Q20" s="32" t="n">
        <v>0.1275</v>
      </c>
      <c r="R20" s="32" t="n">
        <v>0.0229</v>
      </c>
      <c r="S20" s="31" t="n">
        <v>5.52</v>
      </c>
      <c r="T20" s="32" t="n">
        <v>0.18</v>
      </c>
      <c r="U20" s="31" t="n">
        <v>577.4100000000001</v>
      </c>
      <c r="V20" s="31" t="n">
        <v>577.4100000000001</v>
      </c>
      <c r="W20" s="3" t="n">
        <v>65430</v>
      </c>
      <c r="X20" s="3" t="n">
        <v>278</v>
      </c>
      <c r="Y20" s="32" t="n">
        <v>0.0042</v>
      </c>
      <c r="Z20" s="3" t="n">
        <v>25</v>
      </c>
      <c r="AA20" s="32" t="n">
        <v>0.08989999999999999</v>
      </c>
      <c r="AB20" s="3" t="inlineStr">
        <is>
          <t>Auto for BW PET 2 ---Rachel,Pet Blankets_Auto_Optiwise_24</t>
        </is>
      </c>
      <c r="AC20" s="31" t="n">
        <v>0.38</v>
      </c>
      <c r="AD20" s="2" t="n">
        <v>322</v>
      </c>
      <c r="AE20" s="2" t="n">
        <v>211</v>
      </c>
      <c r="AF20" s="4" t="inlineStr">
        <is>
          <t>NA</t>
        </is>
      </c>
      <c r="AG20" s="33" t="n">
        <v>242.2599999999999</v>
      </c>
      <c r="AH20" s="4" t="n">
        <v>6</v>
      </c>
      <c r="AI20" s="34" t="inlineStr">
        <is>
          <t>NA</t>
        </is>
      </c>
      <c r="AJ20" s="34" t="n">
        <v>0.2956</v>
      </c>
      <c r="AK20" s="2" t="n">
        <v>505</v>
      </c>
      <c r="AL20" t="inlineStr">
        <is>
          <t>Published</t>
        </is>
      </c>
    </row>
    <row r="21">
      <c r="A21">
        <f>HYPERLINK("https://www.walmart.com/ip/604345466", "604345466")</f>
        <v/>
      </c>
      <c r="B21">
        <f>HYPERLINK("https://app.optiwise.ai/catalog/itemdetails/360485", "Tirrinia Small Insulated Lunch Bag for Adult &amp; Kids, Splash Proof Portable Reusable Thermal Lunch Box Cooler Tote for Student Back to School, Black")</f>
        <v/>
      </c>
      <c r="C21" t="inlineStr">
        <is>
          <t>1TRLB100BK</t>
        </is>
      </c>
      <c r="D21" t="inlineStr">
        <is>
          <t>Home Decor, Kitchen, &amp; Other</t>
        </is>
      </c>
      <c r="E21" t="inlineStr">
        <is>
          <t>Reusable Lunch Bags &amp; Boxes</t>
        </is>
      </c>
      <c r="F21" t="inlineStr">
        <is>
          <t>Tirrinia</t>
        </is>
      </c>
      <c r="G21" t="n">
        <v>0</v>
      </c>
      <c r="H21" t="n">
        <v>0</v>
      </c>
      <c r="I21" t="inlineStr">
        <is>
          <t>Q2-Target,Lunch Bag,Optimized,Lunch Bags,SEM,Wal-Exl-Price</t>
        </is>
      </c>
      <c r="J21" s="29" t="n">
        <v>795.45</v>
      </c>
      <c r="K21" s="30" t="n">
        <v>0.0069</v>
      </c>
      <c r="L21" s="29" t="n">
        <v>14.98999977111816</v>
      </c>
      <c r="M21" s="29" t="n">
        <v>0</v>
      </c>
      <c r="N21" s="2" t="n">
        <v>51</v>
      </c>
      <c r="O21" s="31" t="n">
        <v>0</v>
      </c>
      <c r="P21" s="32" t="n"/>
      <c r="Q21" s="32" t="n">
        <v>0</v>
      </c>
      <c r="R21" s="32" t="n">
        <v>0.0173</v>
      </c>
      <c r="S21" s="31" t="n">
        <v>0</v>
      </c>
      <c r="T21" s="32" t="n">
        <v>0</v>
      </c>
      <c r="U21" s="31" t="n">
        <v>0</v>
      </c>
      <c r="V21" s="31" t="n">
        <v>0</v>
      </c>
      <c r="W21" s="3" t="n">
        <v>0</v>
      </c>
      <c r="X21" s="3" t="n">
        <v>0</v>
      </c>
      <c r="Y21" s="32" t="n">
        <v>0</v>
      </c>
      <c r="Z21" s="3" t="n">
        <v>0</v>
      </c>
      <c r="AA21" s="32" t="n">
        <v>0</v>
      </c>
      <c r="AB21" s="3" t="n"/>
      <c r="AC21" s="31" t="n">
        <v>0</v>
      </c>
      <c r="AD21" s="2" t="n">
        <v>539</v>
      </c>
      <c r="AE21" s="2" t="n">
        <v>227</v>
      </c>
      <c r="AF21" s="4" t="n">
        <v>312</v>
      </c>
      <c r="AG21" s="33" t="n">
        <v>795.45</v>
      </c>
      <c r="AH21" s="4" t="n">
        <v>51</v>
      </c>
      <c r="AI21" s="34" t="n">
        <v>0.1635</v>
      </c>
      <c r="AJ21" s="34" t="n">
        <v>1</v>
      </c>
      <c r="AK21" s="2" t="n">
        <v>299</v>
      </c>
      <c r="AL21" t="inlineStr">
        <is>
          <t>Published</t>
        </is>
      </c>
    </row>
    <row r="22">
      <c r="A22">
        <f>HYPERLINK("https://www.walmart.com/ip/641453139", "641453139")</f>
        <v/>
      </c>
      <c r="B22">
        <f>HYPERLINK("https://app.optiwise.ai/catalog/itemdetails/361408", "Kato Insulated Lunch Bags for Students, Women, and Men, Mini Thermal Portable Cooler Box Tote with Dual Zipper Closure, Blue, 9 Cans Capacity, 8.5 x 9.5 x 3.8")</f>
        <v/>
      </c>
      <c r="C22" t="inlineStr">
        <is>
          <t>1KTLB100BL</t>
        </is>
      </c>
      <c r="D22" t="inlineStr">
        <is>
          <t>Home Decor, Kitchen, &amp; Other</t>
        </is>
      </c>
      <c r="E22" t="inlineStr">
        <is>
          <t>Reusable Lunch Bags &amp; Boxes</t>
        </is>
      </c>
      <c r="F22" t="inlineStr">
        <is>
          <t>Kato</t>
        </is>
      </c>
      <c r="G22" t="n">
        <v>0</v>
      </c>
      <c r="H22" t="n">
        <v>0</v>
      </c>
      <c r="I22" t="inlineStr">
        <is>
          <t>Q2-Target,Lunch Bag,Optimized,Lunch Bags,SEM</t>
        </is>
      </c>
      <c r="J22" s="29" t="n">
        <v>791.3</v>
      </c>
      <c r="K22" s="30" t="n">
        <v>0.0068</v>
      </c>
      <c r="L22" s="29" t="n">
        <v>115.8999977111816</v>
      </c>
      <c r="M22" s="29" t="n">
        <v>21.97999954223633</v>
      </c>
      <c r="N22" s="2" t="n">
        <v>69</v>
      </c>
      <c r="O22" s="31" t="n">
        <v>0</v>
      </c>
      <c r="P22" s="32" t="n"/>
      <c r="Q22" s="32" t="n">
        <v>0</v>
      </c>
      <c r="R22" s="32" t="n">
        <v>0.376</v>
      </c>
      <c r="S22" s="31" t="n">
        <v>0</v>
      </c>
      <c r="T22" s="32" t="n">
        <v>0</v>
      </c>
      <c r="U22" s="31" t="n">
        <v>0</v>
      </c>
      <c r="V22" s="31" t="n">
        <v>0</v>
      </c>
      <c r="W22" s="3" t="n">
        <v>0</v>
      </c>
      <c r="X22" s="3" t="n">
        <v>0</v>
      </c>
      <c r="Y22" s="32" t="n">
        <v>0</v>
      </c>
      <c r="Z22" s="3" t="n">
        <v>0</v>
      </c>
      <c r="AA22" s="32" t="n">
        <v>0</v>
      </c>
      <c r="AB22" s="3" t="n"/>
      <c r="AC22" s="31" t="n">
        <v>0</v>
      </c>
      <c r="AD22" s="2" t="n">
        <v>3385</v>
      </c>
      <c r="AE22" s="2" t="n">
        <v>646</v>
      </c>
      <c r="AF22" s="4" t="n">
        <v>2739</v>
      </c>
      <c r="AG22" s="33" t="n">
        <v>791.3</v>
      </c>
      <c r="AH22" s="4" t="n">
        <v>69</v>
      </c>
      <c r="AI22" s="34" t="n">
        <v>0.0252</v>
      </c>
      <c r="AJ22" s="34" t="n">
        <v>1</v>
      </c>
      <c r="AK22" s="2" t="n">
        <v>256</v>
      </c>
      <c r="AL22" t="inlineStr">
        <is>
          <t>Published</t>
        </is>
      </c>
    </row>
    <row r="23">
      <c r="A23">
        <f>HYPERLINK("https://www.walmart.com/ip/343754278", "343754278")</f>
        <v/>
      </c>
      <c r="B23">
        <f>HYPERLINK("https://app.optiwise.ai/catalog/itemdetails/362202", "Tirrinia Insulated Lunch Bag for Women and Men, Leakproof Reusable Meal Prep Bento Box Insulated Cooler Bag, Dual Compartment with Shoulder Strap, Black And Grey, 10.2 x 7.5 x 9")</f>
        <v/>
      </c>
      <c r="C23" t="inlineStr">
        <is>
          <t>1KTLB600BKGY</t>
        </is>
      </c>
      <c r="D23" t="inlineStr">
        <is>
          <t>Home Decor, Kitchen, &amp; Other</t>
        </is>
      </c>
      <c r="E23" t="inlineStr">
        <is>
          <t>Reusable Lunch Bags &amp; Boxes</t>
        </is>
      </c>
      <c r="F23" t="inlineStr">
        <is>
          <t>Tirrinia</t>
        </is>
      </c>
      <c r="G23" t="n">
        <v>4</v>
      </c>
      <c r="H23" t="n">
        <v>24</v>
      </c>
      <c r="I23" t="inlineStr">
        <is>
          <t>Q2-Target,Brand Camp VD,Lunch Bag,WFS,Lunch Bags,SEM,WFS Item</t>
        </is>
      </c>
      <c r="J23" s="29" t="n">
        <v>776.38</v>
      </c>
      <c r="K23" s="30" t="n">
        <v>0.0067</v>
      </c>
      <c r="L23" s="29" t="n">
        <v>77.93999862670898</v>
      </c>
      <c r="M23" s="29" t="n">
        <v>0</v>
      </c>
      <c r="N23" s="2" t="n">
        <v>59</v>
      </c>
      <c r="O23" s="31" t="n">
        <v>0</v>
      </c>
      <c r="P23" s="32" t="n"/>
      <c r="Q23" s="32" t="n">
        <v>0</v>
      </c>
      <c r="R23" s="32" t="n">
        <v>0.0182</v>
      </c>
      <c r="S23" s="31" t="n">
        <v>0</v>
      </c>
      <c r="T23" s="32" t="n">
        <v>0</v>
      </c>
      <c r="U23" s="31" t="n">
        <v>0</v>
      </c>
      <c r="V23" s="31" t="n">
        <v>0</v>
      </c>
      <c r="W23" s="3" t="n">
        <v>0</v>
      </c>
      <c r="X23" s="3" t="n">
        <v>0</v>
      </c>
      <c r="Y23" s="32" t="n">
        <v>0</v>
      </c>
      <c r="Z23" s="3" t="n">
        <v>0</v>
      </c>
      <c r="AA23" s="32" t="n">
        <v>0</v>
      </c>
      <c r="AB23" s="3" t="n"/>
      <c r="AC23" s="31" t="n">
        <v>0</v>
      </c>
      <c r="AD23" s="2" t="n">
        <v>1625</v>
      </c>
      <c r="AE23" s="2" t="n">
        <v>486</v>
      </c>
      <c r="AF23" s="4" t="n">
        <v>1139</v>
      </c>
      <c r="AG23" s="33" t="n">
        <v>776.38</v>
      </c>
      <c r="AH23" s="4" t="n">
        <v>59</v>
      </c>
      <c r="AI23" s="34" t="n">
        <v>0.0518</v>
      </c>
      <c r="AJ23" s="34" t="n">
        <v>1</v>
      </c>
      <c r="AK23" s="2" t="n">
        <v>258</v>
      </c>
      <c r="AL23" t="inlineStr">
        <is>
          <t>Published</t>
        </is>
      </c>
    </row>
    <row r="24">
      <c r="A24">
        <f>HYPERLINK("https://www.walmart.com/ip/812625607", "812625607")</f>
        <v/>
      </c>
      <c r="B24">
        <f>HYPERLINK("https://app.optiwise.ai/catalog/itemdetails/361402", "Catalonia Mermaid Tail Fleece Blanket, Soft Flannel All Seasons Bed Blanket for Kids, Adults, Rainbow Ombre Fish Scale Design Snuggle Blanket, Ideal Gift for Holidays, 61 x 20")</f>
        <v/>
      </c>
      <c r="C24" t="inlineStr">
        <is>
          <t>1CTMM500MUL</t>
        </is>
      </c>
      <c r="D24" t="inlineStr">
        <is>
          <t>Bedding</t>
        </is>
      </c>
      <c r="E24" t="inlineStr">
        <is>
          <t>Throws</t>
        </is>
      </c>
      <c r="F24" t="inlineStr">
        <is>
          <t>Catalonia</t>
        </is>
      </c>
      <c r="G24" t="n">
        <v>4.4</v>
      </c>
      <c r="H24" t="n">
        <v>32</v>
      </c>
      <c r="I24" t="inlineStr">
        <is>
          <t>Q2-Target,Baby days,Optimized,WFS,WFS Item</t>
        </is>
      </c>
      <c r="J24" s="29" t="n">
        <v>711.61</v>
      </c>
      <c r="K24" s="30" t="n">
        <v>0.0061</v>
      </c>
      <c r="L24" s="29" t="n">
        <v>35.97999954223633</v>
      </c>
      <c r="M24" s="29" t="n">
        <v>0</v>
      </c>
      <c r="N24" s="2" t="n">
        <v>39</v>
      </c>
      <c r="O24" s="31" t="n">
        <v>181.59</v>
      </c>
      <c r="P24" s="32" t="n">
        <v>0.0218</v>
      </c>
      <c r="Q24" s="32" t="n">
        <v>0.2552</v>
      </c>
      <c r="R24" s="32" t="n">
        <v>0.0501</v>
      </c>
      <c r="S24" s="31" t="n">
        <v>4.87</v>
      </c>
      <c r="T24" s="32" t="n">
        <v>0.21</v>
      </c>
      <c r="U24" s="31" t="n">
        <v>884.5000000000003</v>
      </c>
      <c r="V24" s="31" t="n">
        <v>864.5100000000003</v>
      </c>
      <c r="W24" s="3" t="n">
        <v>118511</v>
      </c>
      <c r="X24" s="3" t="n">
        <v>460</v>
      </c>
      <c r="Y24" s="32" t="n">
        <v>0.0039</v>
      </c>
      <c r="Z24" s="3" t="n">
        <v>50</v>
      </c>
      <c r="AA24" s="32" t="n">
        <v>0.1087</v>
      </c>
      <c r="AB24" s="3" t="inlineStr">
        <is>
          <t>Auto for Top sale---Rachel,Throws_Auto_Optiwise_24,Throws_Manual_Optiwise_24,Top Selling Last Year 2023</t>
        </is>
      </c>
      <c r="AC24" s="31" t="n">
        <v>0.39</v>
      </c>
      <c r="AD24" s="2" t="n">
        <v>669</v>
      </c>
      <c r="AE24" s="2" t="n">
        <v>330</v>
      </c>
      <c r="AF24" s="4" t="inlineStr">
        <is>
          <t>NA</t>
        </is>
      </c>
      <c r="AG24" s="33" t="n">
        <v>-172.8900000000003</v>
      </c>
      <c r="AH24" s="4" t="n">
        <v>-11</v>
      </c>
      <c r="AI24" s="34" t="inlineStr">
        <is>
          <t>NA</t>
        </is>
      </c>
      <c r="AJ24" s="34" t="n">
        <v>-0.243</v>
      </c>
      <c r="AK24" s="2" t="n">
        <v>394</v>
      </c>
      <c r="AL24" t="inlineStr">
        <is>
          <t>Published</t>
        </is>
      </c>
    </row>
    <row r="25">
      <c r="A25">
        <f>HYPERLINK("https://www.walmart.com/ip/6061252889", "6061252889")</f>
        <v/>
      </c>
      <c r="B25">
        <f>HYPERLINK("https://app.optiwise.ai/catalog/itemdetails/9583862", "Tirrinia Waterproof Outdoor Blanket with Sherpa Lining, Insulated Waterproof Oxford &amp; Plush Sherpa, Foldable for Stadium Camping, Sports, Picnic, Grass, Concerts, Pet,60” x 80”")</f>
        <v/>
      </c>
      <c r="C25" t="inlineStr">
        <is>
          <t>1TRBW70168NYGY</t>
        </is>
      </c>
      <c r="D25" t="inlineStr">
        <is>
          <t>Sport &amp; Recreation Other</t>
        </is>
      </c>
      <c r="E25" t="inlineStr">
        <is>
          <t>Picnic Blankets &amp; Mats</t>
        </is>
      </c>
      <c r="F25" t="inlineStr">
        <is>
          <t>Tirrinia</t>
        </is>
      </c>
      <c r="G25" t="n">
        <v>0</v>
      </c>
      <c r="H25" t="n">
        <v>0</v>
      </c>
      <c r="J25" s="29" t="n">
        <v>703.78</v>
      </c>
      <c r="K25" s="30" t="n">
        <v>0.0061</v>
      </c>
      <c r="L25" s="29" t="n">
        <v>0</v>
      </c>
      <c r="M25" s="29" t="n">
        <v>0</v>
      </c>
      <c r="N25" s="2" t="n">
        <v>22</v>
      </c>
      <c r="O25" s="31" t="n">
        <v>0.65</v>
      </c>
      <c r="P25" s="32" t="n">
        <v>0.0001</v>
      </c>
      <c r="Q25" s="32" t="n">
        <v>0.0009</v>
      </c>
      <c r="R25" s="32" t="n">
        <v>0</v>
      </c>
      <c r="S25" s="31" t="n">
        <v>0</v>
      </c>
      <c r="T25" s="32" t="n">
        <v>0</v>
      </c>
      <c r="U25" s="31" t="n">
        <v>0</v>
      </c>
      <c r="V25" s="31" t="n">
        <v>0</v>
      </c>
      <c r="W25" s="3" t="n">
        <v>1680</v>
      </c>
      <c r="X25" s="3" t="n">
        <v>2</v>
      </c>
      <c r="Y25" s="32" t="n">
        <v>0.0012</v>
      </c>
      <c r="Z25" s="3" t="n">
        <v>0</v>
      </c>
      <c r="AA25" s="32" t="n">
        <v>0</v>
      </c>
      <c r="AB25" s="3" t="inlineStr">
        <is>
          <t>WFS Inventory</t>
        </is>
      </c>
      <c r="AC25" s="31" t="n">
        <v>0.33</v>
      </c>
      <c r="AD25" s="2" t="n">
        <v>0</v>
      </c>
      <c r="AE25" s="2" t="n">
        <v>106</v>
      </c>
      <c r="AF25" s="4" t="n">
        <v>104</v>
      </c>
      <c r="AG25" s="33" t="n">
        <v>703.78</v>
      </c>
      <c r="AH25" s="4" t="n">
        <v>22</v>
      </c>
      <c r="AI25" s="34" t="n">
        <v>0.2115</v>
      </c>
      <c r="AJ25" s="34" t="n">
        <v>1</v>
      </c>
      <c r="AK25" s="2" t="n">
        <v>760</v>
      </c>
      <c r="AL25" t="inlineStr">
        <is>
          <t>Published</t>
        </is>
      </c>
    </row>
    <row r="26">
      <c r="A26">
        <f>HYPERLINK("https://www.walmart.com/ip/10298168407", "10298168407")</f>
        <v/>
      </c>
      <c r="B26">
        <f>HYPERLINK("https://app.optiwise.ai/catalog/itemdetails/10031998", "Wrangler Men’s Leather Country Casual Every Day Dress Belt for Jeans, Khakis Brown 40")</f>
        <v/>
      </c>
      <c r="C26" t="inlineStr">
        <is>
          <t>WR-BELT-MENS-COUNTRY-BROWN-40</t>
        </is>
      </c>
      <c r="D26" t="inlineStr">
        <is>
          <t>Clothing</t>
        </is>
      </c>
      <c r="E26" t="inlineStr">
        <is>
          <t>Belts</t>
        </is>
      </c>
      <c r="F26" t="inlineStr">
        <is>
          <t>Wrangler</t>
        </is>
      </c>
      <c r="G26" t="n">
        <v>0</v>
      </c>
      <c r="H26" t="n">
        <v>0</v>
      </c>
      <c r="I26" t="inlineStr">
        <is>
          <t>Belts</t>
        </is>
      </c>
      <c r="J26" s="29" t="n">
        <v>684.84</v>
      </c>
      <c r="K26" s="30" t="n">
        <v>0.0059</v>
      </c>
      <c r="L26" s="29" t="n">
        <v>19.98999977111816</v>
      </c>
      <c r="M26" s="29" t="n">
        <v>0</v>
      </c>
      <c r="N26" s="2" t="n">
        <v>34</v>
      </c>
      <c r="O26" s="31" t="n">
        <v>141.18</v>
      </c>
      <c r="P26" s="32" t="n">
        <v>0.0169</v>
      </c>
      <c r="Q26" s="32" t="n">
        <v>0.2062</v>
      </c>
      <c r="R26" s="32" t="n">
        <v>0.4195</v>
      </c>
      <c r="S26" s="31" t="n">
        <v>5.66</v>
      </c>
      <c r="T26" s="32" t="n">
        <v>0.18</v>
      </c>
      <c r="U26" s="31" t="n">
        <v>799.6000000000001</v>
      </c>
      <c r="V26" s="31" t="n">
        <v>779.6100000000001</v>
      </c>
      <c r="W26" s="3" t="n">
        <v>27082</v>
      </c>
      <c r="X26" s="3" t="n">
        <v>277</v>
      </c>
      <c r="Y26" s="32" t="n">
        <v>0.0102</v>
      </c>
      <c r="Z26" s="3" t="n">
        <v>40</v>
      </c>
      <c r="AA26" s="32" t="n">
        <v>0.1444</v>
      </c>
      <c r="AB26" s="3" t="inlineStr">
        <is>
          <t>Belts Manual_Optiwise,Need to sell these SKUs by 15th Feb</t>
        </is>
      </c>
      <c r="AC26" s="31" t="n">
        <v>0.51</v>
      </c>
      <c r="AD26" s="2" t="n">
        <v>212</v>
      </c>
      <c r="AE26" s="2" t="n">
        <v>201</v>
      </c>
      <c r="AF26" s="4" t="inlineStr">
        <is>
          <t>NA</t>
        </is>
      </c>
      <c r="AG26" s="33" t="n">
        <v>-114.7600000000001</v>
      </c>
      <c r="AH26" s="4" t="n">
        <v>-6</v>
      </c>
      <c r="AI26" s="34" t="inlineStr">
        <is>
          <t>NA</t>
        </is>
      </c>
      <c r="AJ26" s="34" t="n">
        <v>-0.1676</v>
      </c>
      <c r="AK26" s="2" t="n">
        <v>214</v>
      </c>
      <c r="AL26" t="inlineStr">
        <is>
          <t>Published</t>
        </is>
      </c>
    </row>
    <row r="27">
      <c r="A27">
        <f>HYPERLINK("https://www.walmart.com/ip/707159676", "707159676")</f>
        <v/>
      </c>
      <c r="B27">
        <f>HYPERLINK("https://app.optiwise.ai/catalog/itemdetails/380733", "Women's Poncho Cape, Sherpa Fleece Cloak Coat, Snuggly Hooded Wearable Blanket, Gift Idea for Adults and Teen Girls")</f>
        <v/>
      </c>
      <c r="C27" t="inlineStr">
        <is>
          <t>1CTBC300BK</t>
        </is>
      </c>
      <c r="D27" t="inlineStr">
        <is>
          <t>Bedding</t>
        </is>
      </c>
      <c r="E27" t="inlineStr">
        <is>
          <t>Capes &amp; Cloaks</t>
        </is>
      </c>
      <c r="F27" t="inlineStr">
        <is>
          <t>Catalonia</t>
        </is>
      </c>
      <c r="G27" t="n">
        <v>0</v>
      </c>
      <c r="H27" t="n">
        <v>0</v>
      </c>
      <c r="I27" t="inlineStr">
        <is>
          <t>Q2-Target,WFS,WFS Item</t>
        </is>
      </c>
      <c r="J27" s="29" t="n">
        <v>683.8099999999999</v>
      </c>
      <c r="K27" s="30" t="n">
        <v>0.0059</v>
      </c>
      <c r="L27" s="29" t="n">
        <v>71.98000335693359</v>
      </c>
      <c r="M27" s="29" t="n">
        <v>35.9900016784668</v>
      </c>
      <c r="N27" s="2" t="n">
        <v>19</v>
      </c>
      <c r="O27" s="31" t="n">
        <v>61.78999999999999</v>
      </c>
      <c r="P27" s="32" t="n">
        <v>0.0074</v>
      </c>
      <c r="Q27" s="32" t="n">
        <v>0.09039999999999999</v>
      </c>
      <c r="R27" s="32" t="n">
        <v>0.1059</v>
      </c>
      <c r="S27" s="31" t="n">
        <v>4.27</v>
      </c>
      <c r="T27" s="32" t="n">
        <v>0.23</v>
      </c>
      <c r="U27" s="31" t="n">
        <v>263.92</v>
      </c>
      <c r="V27" s="31" t="n">
        <v>263.92</v>
      </c>
      <c r="W27" s="3" t="n">
        <v>34050</v>
      </c>
      <c r="X27" s="3" t="n">
        <v>224</v>
      </c>
      <c r="Y27" s="32" t="n">
        <v>0.0066</v>
      </c>
      <c r="Z27" s="3" t="n">
        <v>8</v>
      </c>
      <c r="AA27" s="32" t="n">
        <v>0.0357</v>
      </c>
      <c r="AB27" s="3" t="inlineStr">
        <is>
          <t>Throws_Auto_Optiwise_24</t>
        </is>
      </c>
      <c r="AC27" s="31" t="n">
        <v>0.28</v>
      </c>
      <c r="AD27" s="2" t="n">
        <v>1343</v>
      </c>
      <c r="AE27" s="2" t="n">
        <v>522</v>
      </c>
      <c r="AF27" s="4" t="n">
        <v>597</v>
      </c>
      <c r="AG27" s="33" t="n">
        <v>419.8899999999999</v>
      </c>
      <c r="AH27" s="4" t="n">
        <v>11</v>
      </c>
      <c r="AI27" s="34" t="n">
        <v>0.0184</v>
      </c>
      <c r="AJ27" s="34" t="n">
        <v>0.614</v>
      </c>
      <c r="AK27" s="2" t="n">
        <v>710</v>
      </c>
      <c r="AL27" t="inlineStr">
        <is>
          <t>Published</t>
        </is>
      </c>
    </row>
    <row r="28">
      <c r="A28">
        <f>HYPERLINK("https://www.walmart.com/ip/807759063", "807759063")</f>
        <v/>
      </c>
      <c r="B28">
        <f>HYPERLINK("https://app.optiwise.ai/catalog/itemdetails/362342", "Flyingstar Wind and Waterproof Blanket, Sherpa Lining Fleece Blanket, Triple Layers Warm Comfy Foldable Blanket for Camping, Stadium, Picnics, Sports, Grass, Concerts, and Pets, Navy Blue/Grey, 59 X 80")</f>
        <v/>
      </c>
      <c r="C28" t="inlineStr">
        <is>
          <t>1WMBW608NYGY-TBCB</t>
        </is>
      </c>
      <c r="D28" t="inlineStr">
        <is>
          <t>Sport &amp; Recreation Other</t>
        </is>
      </c>
      <c r="E28" t="inlineStr">
        <is>
          <t>Picnic Blankets &amp; Mats</t>
        </is>
      </c>
      <c r="F28" t="inlineStr">
        <is>
          <t>Flyingstar</t>
        </is>
      </c>
      <c r="G28" t="n">
        <v>0</v>
      </c>
      <c r="H28" t="n">
        <v>0</v>
      </c>
      <c r="I28" t="inlineStr">
        <is>
          <t>Q2-Target,Optimized,WFS,WFS Item</t>
        </is>
      </c>
      <c r="J28" s="29" t="n">
        <v>674.8200000000001</v>
      </c>
      <c r="K28" s="30" t="n">
        <v>0.0058</v>
      </c>
      <c r="L28" s="29" t="n">
        <v>0</v>
      </c>
      <c r="M28" s="29" t="n">
        <v>36.9900016784668</v>
      </c>
      <c r="N28" s="2" t="n">
        <v>18</v>
      </c>
      <c r="O28" s="31" t="n">
        <v>103.7</v>
      </c>
      <c r="P28" s="32" t="n">
        <v>0.0124</v>
      </c>
      <c r="Q28" s="32" t="n">
        <v>0.1537</v>
      </c>
      <c r="R28" s="32" t="n">
        <v>0.0063</v>
      </c>
      <c r="S28" s="31" t="n">
        <v>4.05</v>
      </c>
      <c r="T28" s="32" t="n">
        <v>0.25</v>
      </c>
      <c r="U28" s="31" t="n">
        <v>419.8700000000001</v>
      </c>
      <c r="V28" s="31" t="n">
        <v>419.8700000000001</v>
      </c>
      <c r="W28" s="3" t="n">
        <v>123327</v>
      </c>
      <c r="X28" s="3" t="n">
        <v>279</v>
      </c>
      <c r="Y28" s="32" t="n">
        <v>0.0023</v>
      </c>
      <c r="Z28" s="3" t="n">
        <v>13</v>
      </c>
      <c r="AA28" s="32" t="n">
        <v>0.0466</v>
      </c>
      <c r="AB28" s="3" t="inlineStr">
        <is>
          <t>WFS Inventory</t>
        </is>
      </c>
      <c r="AC28" s="31" t="n">
        <v>0.37</v>
      </c>
      <c r="AD28" s="2" t="n">
        <v>265</v>
      </c>
      <c r="AE28" s="2" t="n">
        <v>171</v>
      </c>
      <c r="AF28" s="4" t="inlineStr">
        <is>
          <t>NA</t>
        </is>
      </c>
      <c r="AG28" s="33" t="n">
        <v>254.95</v>
      </c>
      <c r="AH28" s="4" t="n">
        <v>5</v>
      </c>
      <c r="AI28" s="34" t="inlineStr">
        <is>
          <t>NA</t>
        </is>
      </c>
      <c r="AJ28" s="34" t="n">
        <v>0.3778</v>
      </c>
      <c r="AK28" s="2" t="n">
        <v>825</v>
      </c>
      <c r="AL28" t="inlineStr">
        <is>
          <t>Published</t>
        </is>
      </c>
    </row>
    <row r="29">
      <c r="A29">
        <f>HYPERLINK("https://www.walmart.com/ip/888252893", "888252893")</f>
        <v/>
      </c>
      <c r="B29">
        <f>HYPERLINK("https://app.optiwise.ai/catalog/itemdetails/359295", "FlyingStar Waterproof Outdoor Blanket with Sherpa Lining, Windproof Triple Layers Warm Comfy Foldable for Camping Stadium, Sports, Picnic, Grass, Concerts and Pet, Black/Grey,  51''X 59''")</f>
        <v/>
      </c>
      <c r="C29" t="inlineStr">
        <is>
          <t>1WMBW506BKGY</t>
        </is>
      </c>
      <c r="D29" t="inlineStr">
        <is>
          <t>Sport &amp; Recreation Other</t>
        </is>
      </c>
      <c r="E29" t="inlineStr">
        <is>
          <t>Picnic Blankets &amp; Mats</t>
        </is>
      </c>
      <c r="F29" t="inlineStr">
        <is>
          <t>Flyingstar</t>
        </is>
      </c>
      <c r="G29" t="n">
        <v>4.6</v>
      </c>
      <c r="H29" t="n">
        <v>24</v>
      </c>
      <c r="I29" t="inlineStr">
        <is>
          <t>Q2-Target,Optimized,SEM</t>
        </is>
      </c>
      <c r="J29" s="29" t="n">
        <v>639.73</v>
      </c>
      <c r="K29" s="30" t="n">
        <v>0.0055</v>
      </c>
      <c r="L29" s="29" t="n">
        <v>0</v>
      </c>
      <c r="M29" s="29" t="n">
        <v>0</v>
      </c>
      <c r="N29" s="2" t="n">
        <v>22</v>
      </c>
      <c r="O29" s="31" t="n">
        <v>75.59000000000002</v>
      </c>
      <c r="P29" s="32" t="n">
        <v>0.0091</v>
      </c>
      <c r="Q29" s="32" t="n">
        <v>0.1182</v>
      </c>
      <c r="R29" s="32" t="n">
        <v>0.1401</v>
      </c>
      <c r="S29" s="31" t="n">
        <v>3.84</v>
      </c>
      <c r="T29" s="32" t="n">
        <v>0.26</v>
      </c>
      <c r="U29" s="31" t="n">
        <v>289.92</v>
      </c>
      <c r="V29" s="31" t="n">
        <v>289.92</v>
      </c>
      <c r="W29" s="3" t="n">
        <v>103658</v>
      </c>
      <c r="X29" s="3" t="n">
        <v>250</v>
      </c>
      <c r="Y29" s="32" t="n">
        <v>0.0024</v>
      </c>
      <c r="Z29" s="3" t="n">
        <v>8</v>
      </c>
      <c r="AA29" s="32" t="n">
        <v>0.032</v>
      </c>
      <c r="AB29" s="3" t="inlineStr">
        <is>
          <t>Picnic Blankets &amp; Mats_Manual_Optiwise_24,WFS Inventory</t>
        </is>
      </c>
      <c r="AC29" s="31" t="n">
        <v>0.3</v>
      </c>
      <c r="AD29" s="2" t="n">
        <v>494</v>
      </c>
      <c r="AE29" s="2" t="n">
        <v>400</v>
      </c>
      <c r="AF29" s="4" t="n">
        <v>150</v>
      </c>
      <c r="AG29" s="33" t="n">
        <v>349.81</v>
      </c>
      <c r="AH29" s="4" t="n">
        <v>14</v>
      </c>
      <c r="AI29" s="34" t="n">
        <v>0.09329999999999999</v>
      </c>
      <c r="AJ29" s="34" t="n">
        <v>0.5468</v>
      </c>
      <c r="AK29" s="2" t="n">
        <v>693</v>
      </c>
      <c r="AL29" t="inlineStr">
        <is>
          <t>Published</t>
        </is>
      </c>
    </row>
    <row r="30">
      <c r="A30">
        <f>HYPERLINK("https://www.walmart.com/ip/449823068", "449823068")</f>
        <v/>
      </c>
      <c r="B30">
        <f>HYPERLINK("https://app.optiwise.ai/catalog/itemdetails/361689", "Flyingstar Waterproof Outdoor Blanket with Sherpa Lining 59''X 80'', Triple Layers Warm Comfy Foldable for Camping Stadium, Sports, Picnic, Grass, Concerts, Pet")</f>
        <v/>
      </c>
      <c r="C30" t="inlineStr">
        <is>
          <t>1WMBW608BKGY-TBCB</t>
        </is>
      </c>
      <c r="D30" t="inlineStr">
        <is>
          <t>Sport &amp; Recreation Other</t>
        </is>
      </c>
      <c r="E30" t="inlineStr">
        <is>
          <t>Picnic Blankets &amp; Mats</t>
        </is>
      </c>
      <c r="F30" t="inlineStr">
        <is>
          <t>Flyingstar</t>
        </is>
      </c>
      <c r="G30" t="n">
        <v>0</v>
      </c>
      <c r="H30" t="n">
        <v>0</v>
      </c>
      <c r="I30" t="inlineStr">
        <is>
          <t>Q2-Target,Optimized,WFS,WFS Item</t>
        </is>
      </c>
      <c r="J30" s="29" t="n">
        <v>623.83</v>
      </c>
      <c r="K30" s="30" t="n">
        <v>0.0054</v>
      </c>
      <c r="L30" s="29" t="n">
        <v>0</v>
      </c>
      <c r="M30" s="29" t="n">
        <v>0</v>
      </c>
      <c r="N30" s="2" t="n">
        <v>17</v>
      </c>
      <c r="O30" s="31" t="n">
        <v>37.38000000000001</v>
      </c>
      <c r="P30" s="32" t="n">
        <v>0.0045</v>
      </c>
      <c r="Q30" s="32" t="n">
        <v>0.0599</v>
      </c>
      <c r="R30" s="32" t="n">
        <v>0.0137</v>
      </c>
      <c r="S30" s="31" t="n">
        <v>3.72</v>
      </c>
      <c r="T30" s="32" t="n">
        <v>0.27</v>
      </c>
      <c r="U30" s="31" t="n">
        <v>138.96</v>
      </c>
      <c r="V30" s="31" t="n">
        <v>138.96</v>
      </c>
      <c r="W30" s="3" t="n">
        <v>26594</v>
      </c>
      <c r="X30" s="3" t="n">
        <v>91</v>
      </c>
      <c r="Y30" s="32" t="n">
        <v>0.0034</v>
      </c>
      <c r="Z30" s="3" t="n">
        <v>4</v>
      </c>
      <c r="AA30" s="32" t="n">
        <v>0.044</v>
      </c>
      <c r="AB30" s="3" t="inlineStr">
        <is>
          <t>Auto Campaign_Vinay,Picnic Blankets &amp; Mats_Manual_Optiwise_24</t>
        </is>
      </c>
      <c r="AC30" s="31" t="n">
        <v>0.41</v>
      </c>
      <c r="AD30" s="2" t="n">
        <v>140</v>
      </c>
      <c r="AE30" s="2" t="n">
        <v>144</v>
      </c>
      <c r="AF30" s="4" t="n">
        <v>53</v>
      </c>
      <c r="AG30" s="33" t="n">
        <v>484.87</v>
      </c>
      <c r="AH30" s="4" t="n">
        <v>13</v>
      </c>
      <c r="AI30" s="34" t="n">
        <v>0.2453</v>
      </c>
      <c r="AJ30" s="34" t="n">
        <v>0.7772</v>
      </c>
      <c r="AK30" s="2" t="n">
        <v>794</v>
      </c>
      <c r="AL30" t="inlineStr">
        <is>
          <t>Published</t>
        </is>
      </c>
    </row>
    <row r="31">
      <c r="A31">
        <f>HYPERLINK("https://www.walmart.com/ip/787385705", "787385705")</f>
        <v/>
      </c>
      <c r="B31">
        <f>HYPERLINK("https://app.optiwise.ai/catalog/itemdetails/361237", "Tirrinia Insulated Lunch Bag for Women Men, 10L Leakproof Thermal Reusable Lunch Box for Adult Kids, Tall Meal Prep Lunch Cooler Tote for Office Work, Back to School, Large, Dark Grey")</f>
        <v/>
      </c>
      <c r="C31" t="inlineStr">
        <is>
          <t>1TRLB701DGY-T</t>
        </is>
      </c>
      <c r="D31" t="inlineStr">
        <is>
          <t>Home Decor, Kitchen, &amp; Other</t>
        </is>
      </c>
      <c r="E31" t="inlineStr">
        <is>
          <t>Reusable Lunch Bags &amp; Boxes</t>
        </is>
      </c>
      <c r="F31" t="inlineStr">
        <is>
          <t>Tirrinia</t>
        </is>
      </c>
      <c r="G31" t="n">
        <v>0</v>
      </c>
      <c r="H31" t="n">
        <v>0</v>
      </c>
      <c r="I31" t="inlineStr">
        <is>
          <t>Q2-Target,Brand Camp VD,Lunch Bag,WFS,Lunch Bags,SEM,WFS Item</t>
        </is>
      </c>
      <c r="J31" s="29" t="n">
        <v>619.15</v>
      </c>
      <c r="K31" s="30" t="n">
        <v>0.0053</v>
      </c>
      <c r="L31" s="29" t="n">
        <v>26.4399995803833</v>
      </c>
      <c r="M31" s="29" t="n">
        <v>0</v>
      </c>
      <c r="N31" s="2" t="n">
        <v>47</v>
      </c>
      <c r="O31" s="31" t="n">
        <v>0</v>
      </c>
      <c r="P31" s="32" t="n"/>
      <c r="Q31" s="32" t="n">
        <v>0</v>
      </c>
      <c r="R31" s="32" t="n">
        <v>0.061</v>
      </c>
      <c r="S31" s="31" t="n">
        <v>0</v>
      </c>
      <c r="T31" s="32" t="n">
        <v>0</v>
      </c>
      <c r="U31" s="31" t="n">
        <v>0</v>
      </c>
      <c r="V31" s="31" t="n">
        <v>0</v>
      </c>
      <c r="W31" s="3" t="n">
        <v>0</v>
      </c>
      <c r="X31" s="3" t="n">
        <v>0</v>
      </c>
      <c r="Y31" s="32" t="n">
        <v>0</v>
      </c>
      <c r="Z31" s="3" t="n">
        <v>0</v>
      </c>
      <c r="AA31" s="32" t="n">
        <v>0</v>
      </c>
      <c r="AB31" s="3" t="n"/>
      <c r="AC31" s="31" t="n">
        <v>0</v>
      </c>
      <c r="AD31" s="2" t="n">
        <v>1889</v>
      </c>
      <c r="AE31" s="2" t="n">
        <v>467</v>
      </c>
      <c r="AF31" s="4" t="n">
        <v>1422</v>
      </c>
      <c r="AG31" s="33" t="n">
        <v>619.15</v>
      </c>
      <c r="AH31" s="4" t="n">
        <v>47</v>
      </c>
      <c r="AI31" s="34" t="n">
        <v>0.0331</v>
      </c>
      <c r="AJ31" s="34" t="n">
        <v>1</v>
      </c>
      <c r="AK31" s="2" t="n">
        <v>321</v>
      </c>
      <c r="AL31" t="inlineStr">
        <is>
          <t>Published</t>
        </is>
      </c>
    </row>
    <row r="32">
      <c r="A32">
        <f>HYPERLINK("https://www.walmart.com/ip/131869749", "131869749")</f>
        <v/>
      </c>
      <c r="B32">
        <f>HYPERLINK("https://app.optiwise.ai/catalog/itemdetails/360915", "Tirrinia Small Insulated Lunch Bag for Adult&amp;Kids,Splash Proof Mini Portable Reusable Thermal Lunch Box Cooler Tote for Student Back to School,Black &amp; Dark Blue")</f>
        <v/>
      </c>
      <c r="C32" t="inlineStr">
        <is>
          <t>1TRLB100BKDB</t>
        </is>
      </c>
      <c r="D32" t="inlineStr">
        <is>
          <t>Home Decor, Kitchen, &amp; Other</t>
        </is>
      </c>
      <c r="E32" t="inlineStr">
        <is>
          <t>Reusable Lunch Bags &amp; Boxes</t>
        </is>
      </c>
      <c r="F32" t="inlineStr">
        <is>
          <t>Tirrinia</t>
        </is>
      </c>
      <c r="G32" t="n">
        <v>0</v>
      </c>
      <c r="H32" t="n">
        <v>0</v>
      </c>
      <c r="I32" t="inlineStr">
        <is>
          <t>Lunch Bag,Lunch Bags</t>
        </is>
      </c>
      <c r="J32" s="29" t="n">
        <v>615.26</v>
      </c>
      <c r="K32" s="30" t="n">
        <v>0.0053</v>
      </c>
      <c r="L32" s="29" t="n">
        <v>49.08999919891357</v>
      </c>
      <c r="M32" s="29" t="n">
        <v>0</v>
      </c>
      <c r="N32" s="2" t="n">
        <v>48</v>
      </c>
      <c r="O32" s="31" t="n">
        <v>0</v>
      </c>
      <c r="P32" s="32" t="n"/>
      <c r="Q32" s="32" t="n">
        <v>0</v>
      </c>
      <c r="R32" s="32" t="n">
        <v>0</v>
      </c>
      <c r="S32" s="31" t="n">
        <v>0</v>
      </c>
      <c r="T32" s="32" t="n">
        <v>0</v>
      </c>
      <c r="U32" s="31" t="n">
        <v>0</v>
      </c>
      <c r="V32" s="31" t="n">
        <v>0</v>
      </c>
      <c r="W32" s="3" t="n">
        <v>0</v>
      </c>
      <c r="X32" s="3" t="n">
        <v>0</v>
      </c>
      <c r="Y32" s="32" t="n">
        <v>0</v>
      </c>
      <c r="Z32" s="3" t="n">
        <v>0</v>
      </c>
      <c r="AA32" s="32" t="n">
        <v>0</v>
      </c>
      <c r="AB32" s="3" t="n"/>
      <c r="AC32" s="31" t="n">
        <v>0</v>
      </c>
      <c r="AD32" s="2" t="n">
        <v>366</v>
      </c>
      <c r="AE32" s="2" t="n">
        <v>134</v>
      </c>
      <c r="AF32" s="4" t="n">
        <v>232</v>
      </c>
      <c r="AG32" s="33" t="n">
        <v>615.26</v>
      </c>
      <c r="AH32" s="4" t="n">
        <v>48</v>
      </c>
      <c r="AI32" s="34" t="n">
        <v>0.2069</v>
      </c>
      <c r="AJ32" s="34" t="n">
        <v>1</v>
      </c>
      <c r="AK32" s="2" t="n">
        <v>343</v>
      </c>
      <c r="AL32" t="inlineStr">
        <is>
          <t>Published</t>
        </is>
      </c>
    </row>
    <row r="33">
      <c r="A33">
        <f>HYPERLINK("https://www.walmart.com/ip/1587778886", "1587778886")</f>
        <v/>
      </c>
      <c r="B33">
        <f>HYPERLINK("https://app.optiwise.ai/catalog/itemdetails/920316", "Catalonia Waterproof Dog Blanket for Couch, Reversible Sofa and Bed Coverlet Protector, Leak Proof, Comfortable Blanket for People and Pets, Grey/Taupe, 80 x 90")</f>
        <v/>
      </c>
      <c r="C33" t="inlineStr">
        <is>
          <t>1CTBW985GYTP</t>
        </is>
      </c>
      <c r="D33" t="inlineStr">
        <is>
          <t>Bedding</t>
        </is>
      </c>
      <c r="E33" t="inlineStr">
        <is>
          <t>Throws</t>
        </is>
      </c>
      <c r="F33" t="inlineStr">
        <is>
          <t>Catalonia</t>
        </is>
      </c>
      <c r="G33" t="n">
        <v>4</v>
      </c>
      <c r="H33" t="n">
        <v>1</v>
      </c>
      <c r="I33" t="inlineStr">
        <is>
          <t>High AUR Items,Wproof Blanket,Batch 1 - TR</t>
        </is>
      </c>
      <c r="J33" s="29" t="n">
        <v>611.89</v>
      </c>
      <c r="K33" s="30" t="n">
        <v>0.0053</v>
      </c>
      <c r="L33" s="29" t="n">
        <v>0</v>
      </c>
      <c r="M33" s="29" t="n">
        <v>0</v>
      </c>
      <c r="N33" s="2" t="n">
        <v>11</v>
      </c>
      <c r="O33" s="31" t="n">
        <v>3.150000000000001</v>
      </c>
      <c r="P33" s="32" t="n">
        <v>0.0004</v>
      </c>
      <c r="Q33" s="32" t="n">
        <v>0.0051</v>
      </c>
      <c r="R33" s="32" t="n">
        <v>0.125</v>
      </c>
      <c r="S33" s="31" t="n">
        <v>0</v>
      </c>
      <c r="T33" s="32" t="n">
        <v>0</v>
      </c>
      <c r="U33" s="31" t="n">
        <v>0</v>
      </c>
      <c r="V33" s="31" t="n">
        <v>0</v>
      </c>
      <c r="W33" s="3" t="n">
        <v>2888</v>
      </c>
      <c r="X33" s="3" t="n">
        <v>11</v>
      </c>
      <c r="Y33" s="32" t="n">
        <v>0.0038</v>
      </c>
      <c r="Z33" s="3" t="n">
        <v>0</v>
      </c>
      <c r="AA33" s="32" t="n">
        <v>0</v>
      </c>
      <c r="AB33" s="3" t="inlineStr">
        <is>
          <t>All Items_Auto_Optiwise_24</t>
        </is>
      </c>
      <c r="AC33" s="31" t="n">
        <v>0.29</v>
      </c>
      <c r="AD33" s="2" t="n">
        <v>63</v>
      </c>
      <c r="AE33" s="2" t="n">
        <v>171</v>
      </c>
      <c r="AF33" s="4" t="n">
        <v>160</v>
      </c>
      <c r="AG33" s="33" t="n">
        <v>611.89</v>
      </c>
      <c r="AH33" s="4" t="n">
        <v>11</v>
      </c>
      <c r="AI33" s="34" t="n">
        <v>0.0688</v>
      </c>
      <c r="AJ33" s="34" t="n">
        <v>1</v>
      </c>
      <c r="AK33" s="2" t="n">
        <v>1227</v>
      </c>
      <c r="AL33" t="inlineStr">
        <is>
          <t>Published</t>
        </is>
      </c>
    </row>
    <row r="34">
      <c r="A34">
        <f>HYPERLINK("https://www.walmart.com/ip/536768084", "536768084")</f>
        <v/>
      </c>
      <c r="B34">
        <f>HYPERLINK("https://app.optiwise.ai/catalog/itemdetails/362037", "Solaris Men's Sun Hat with Neck Flap, Wide Brim Fishing Safari Hiking Hat, UPF 50+ Protection, Adjustable Chin Strap, Gray")</f>
        <v/>
      </c>
      <c r="C34" t="inlineStr">
        <is>
          <t>1SLSH923GY</t>
        </is>
      </c>
      <c r="D34" t="inlineStr">
        <is>
          <t>Clothing</t>
        </is>
      </c>
      <c r="E34" t="inlineStr">
        <is>
          <t>Hats</t>
        </is>
      </c>
      <c r="F34" t="inlineStr">
        <is>
          <t>Solaris</t>
        </is>
      </c>
      <c r="G34" t="n">
        <v>4.5</v>
      </c>
      <c r="H34" t="n">
        <v>123</v>
      </c>
      <c r="I34" t="inlineStr">
        <is>
          <t>Q2-Target,WFS,Hats,WFS Item</t>
        </is>
      </c>
      <c r="J34" s="29" t="n">
        <v>603.23</v>
      </c>
      <c r="K34" s="30" t="n">
        <v>0.0052</v>
      </c>
      <c r="L34" s="29" t="n">
        <v>53.96999931335449</v>
      </c>
      <c r="M34" s="29" t="n">
        <v>0</v>
      </c>
      <c r="N34" s="2" t="n">
        <v>31</v>
      </c>
      <c r="O34" s="31" t="n">
        <v>39.79999999999999</v>
      </c>
      <c r="P34" s="32" t="n">
        <v>0.0048</v>
      </c>
      <c r="Q34" s="32" t="n">
        <v>0.066</v>
      </c>
      <c r="R34" s="32" t="n">
        <v>0.08260000000000001</v>
      </c>
      <c r="S34" s="31" t="n">
        <v>5.27</v>
      </c>
      <c r="T34" s="32" t="n">
        <v>0.19</v>
      </c>
      <c r="U34" s="31" t="n">
        <v>209.87</v>
      </c>
      <c r="V34" s="31" t="n">
        <v>193.88</v>
      </c>
      <c r="W34" s="3" t="n">
        <v>270474</v>
      </c>
      <c r="X34" s="3" t="n">
        <v>199</v>
      </c>
      <c r="Y34" s="32" t="n">
        <v>0.0007</v>
      </c>
      <c r="Z34" s="3" t="n">
        <v>13</v>
      </c>
      <c r="AA34" s="32" t="n">
        <v>0.0653</v>
      </c>
      <c r="AB34" s="3" t="inlineStr">
        <is>
          <t>Auto for Top sale---Rachel</t>
        </is>
      </c>
      <c r="AC34" s="31" t="n">
        <v>0.2</v>
      </c>
      <c r="AD34" s="2" t="n">
        <v>433</v>
      </c>
      <c r="AE34" s="2" t="n">
        <v>310</v>
      </c>
      <c r="AF34" s="4" t="n">
        <v>111</v>
      </c>
      <c r="AG34" s="33" t="n">
        <v>393.36</v>
      </c>
      <c r="AH34" s="4" t="n">
        <v>18</v>
      </c>
      <c r="AI34" s="34" t="n">
        <v>0.1622</v>
      </c>
      <c r="AJ34" s="34" t="n">
        <v>0.6521</v>
      </c>
      <c r="AK34" s="2" t="n">
        <v>461</v>
      </c>
      <c r="AL34" t="inlineStr">
        <is>
          <t>Published</t>
        </is>
      </c>
    </row>
    <row r="35">
      <c r="A35">
        <f>HYPERLINK("https://www.walmart.com/ip/5276644453", "5276644453")</f>
        <v/>
      </c>
      <c r="B35">
        <f>HYPERLINK("https://app.optiwise.ai/catalog/itemdetails/7863015", "Catalonia Waterproof Blanket for Bed, Reversible Baby Pet Pee Proof Dog Blanket, Large Couch Sofa Cover Furniture Boat Mattress Protector, Grey, King Size 96 x 102.")</f>
        <v/>
      </c>
      <c r="C35" t="inlineStr">
        <is>
          <t>1CTBW20119LGDG</t>
        </is>
      </c>
      <c r="D35" t="inlineStr">
        <is>
          <t>Home - Home Decor, Kitchen, &amp; Other</t>
        </is>
      </c>
      <c r="E35" t="inlineStr">
        <is>
          <t>Throws</t>
        </is>
      </c>
      <c r="F35" t="inlineStr">
        <is>
          <t>Catalonia</t>
        </is>
      </c>
      <c r="G35" t="n">
        <v>4.3</v>
      </c>
      <c r="H35" t="n">
        <v>19</v>
      </c>
      <c r="I35" t="inlineStr">
        <is>
          <t>Q2-Target,High AUR Items</t>
        </is>
      </c>
      <c r="J35" s="29" t="n">
        <v>593.91</v>
      </c>
      <c r="K35" s="30" t="n">
        <v>0.0051</v>
      </c>
      <c r="L35" s="29" t="n">
        <v>0</v>
      </c>
      <c r="M35" s="29" t="n">
        <v>0</v>
      </c>
      <c r="N35" s="2" t="n">
        <v>9</v>
      </c>
      <c r="O35" s="31" t="n">
        <v>9.609999999999999</v>
      </c>
      <c r="P35" s="32" t="n">
        <v>0.0012</v>
      </c>
      <c r="Q35" s="32" t="n">
        <v>0.0162</v>
      </c>
      <c r="R35" s="32" t="n">
        <v>0.0405</v>
      </c>
      <c r="S35" s="31" t="n">
        <v>6.87</v>
      </c>
      <c r="T35" s="32" t="n">
        <v>0.15</v>
      </c>
      <c r="U35" s="31" t="n">
        <v>65.98999999999999</v>
      </c>
      <c r="V35" s="31" t="n">
        <v>65.98999999999999</v>
      </c>
      <c r="W35" s="3" t="n">
        <v>45605</v>
      </c>
      <c r="X35" s="3" t="n">
        <v>27</v>
      </c>
      <c r="Y35" s="32" t="n">
        <v>0.0005999999999999999</v>
      </c>
      <c r="Z35" s="3" t="n">
        <v>1</v>
      </c>
      <c r="AA35" s="32" t="n">
        <v>0.037</v>
      </c>
      <c r="AB35" s="3" t="inlineStr">
        <is>
          <t>Auto for BW Indoor,Need to sell these SKUs by 15th Feb,Throws_Auto_Optiwise_24,Throws_Manual_Optiwise_24</t>
        </is>
      </c>
      <c r="AC35" s="31" t="n">
        <v>0.36</v>
      </c>
      <c r="AD35" s="2" t="n">
        <v>64</v>
      </c>
      <c r="AE35" s="2" t="n">
        <v>75</v>
      </c>
      <c r="AF35" s="4" t="n">
        <v>48</v>
      </c>
      <c r="AG35" s="33" t="n">
        <v>527.92</v>
      </c>
      <c r="AH35" s="4" t="n">
        <v>8</v>
      </c>
      <c r="AI35" s="34" t="n">
        <v>0.1667</v>
      </c>
      <c r="AJ35" s="34" t="n">
        <v>0.8889</v>
      </c>
      <c r="AK35" s="2" t="n">
        <v>1500</v>
      </c>
      <c r="AL35" t="inlineStr">
        <is>
          <t>Published</t>
        </is>
      </c>
    </row>
    <row r="36">
      <c r="A36">
        <f>HYPERLINK("https://www.walmart.com/ip/626311869", "626311869")</f>
        <v/>
      </c>
      <c r="B36">
        <f>HYPERLINK("https://app.optiwise.ai/catalog/itemdetails/412491", "Kato 9 Cans Small Insulated Lunch Bag, Mini Thermal Portable Cooler Lunch Box Tote with Dual Zipper Closure for Student Men and Women, Back to School, Black")</f>
        <v/>
      </c>
      <c r="C36" t="inlineStr">
        <is>
          <t>1KTLB100BK-CB</t>
        </is>
      </c>
      <c r="D36" t="inlineStr">
        <is>
          <t>Home Decor, Kitchen, &amp; Other</t>
        </is>
      </c>
      <c r="E36" t="inlineStr">
        <is>
          <t>Reusable Lunch Bags &amp; Boxes</t>
        </is>
      </c>
      <c r="F36" t="inlineStr">
        <is>
          <t>Kato</t>
        </is>
      </c>
      <c r="G36" t="n">
        <v>0</v>
      </c>
      <c r="H36" t="n">
        <v>0</v>
      </c>
      <c r="I36" t="inlineStr">
        <is>
          <t>Q2-Target,Lunch Bag,Lunch Bags</t>
        </is>
      </c>
      <c r="J36" s="29" t="n">
        <v>589.58</v>
      </c>
      <c r="K36" s="30" t="n">
        <v>0.0051</v>
      </c>
      <c r="L36" s="29" t="n">
        <v>55.95999908447266</v>
      </c>
      <c r="M36" s="29" t="n">
        <v>0</v>
      </c>
      <c r="N36" s="2" t="n">
        <v>42</v>
      </c>
      <c r="O36" s="31" t="n">
        <v>0</v>
      </c>
      <c r="P36" s="32" t="n"/>
      <c r="Q36" s="32" t="n">
        <v>0</v>
      </c>
      <c r="R36" s="32" t="n">
        <v>0.0263</v>
      </c>
      <c r="S36" s="31" t="n">
        <v>0</v>
      </c>
      <c r="T36" s="32" t="n">
        <v>0</v>
      </c>
      <c r="U36" s="31" t="n">
        <v>0</v>
      </c>
      <c r="V36" s="31" t="n">
        <v>0</v>
      </c>
      <c r="W36" s="3" t="n">
        <v>0</v>
      </c>
      <c r="X36" s="3" t="n">
        <v>0</v>
      </c>
      <c r="Y36" s="32" t="n">
        <v>0</v>
      </c>
      <c r="Z36" s="3" t="n">
        <v>0</v>
      </c>
      <c r="AA36" s="32" t="n">
        <v>0</v>
      </c>
      <c r="AB36" s="3" t="n"/>
      <c r="AC36" s="31" t="n">
        <v>0</v>
      </c>
      <c r="AD36" s="2" t="n">
        <v>1196</v>
      </c>
      <c r="AE36" s="2" t="n">
        <v>219</v>
      </c>
      <c r="AF36" s="4" t="n">
        <v>977</v>
      </c>
      <c r="AG36" s="33" t="n">
        <v>589.58</v>
      </c>
      <c r="AH36" s="4" t="n">
        <v>42</v>
      </c>
      <c r="AI36" s="34" t="n">
        <v>0.043</v>
      </c>
      <c r="AJ36" s="34" t="n">
        <v>1</v>
      </c>
      <c r="AK36" s="2" t="n">
        <v>363</v>
      </c>
      <c r="AL36" t="inlineStr">
        <is>
          <t>Published</t>
        </is>
      </c>
    </row>
    <row r="37">
      <c r="A37">
        <f>HYPERLINK("https://www.walmart.com/ip/129119638", "129119638")</f>
        <v/>
      </c>
      <c r="B37">
        <f>HYPERLINK("https://app.optiwise.ai/catalog/itemdetails/359048", "Tirrinia Insulated Lunch Bag for Women, Men, and Kids, Leakproof Thermal Reusable Insulated Cooler Bag for Office, Work, Back to School, Medium, Dark Blue, 8L, 10 X 7 X 7.7")</f>
        <v/>
      </c>
      <c r="C37" t="inlineStr">
        <is>
          <t>1TRLB701DBL-N</t>
        </is>
      </c>
      <c r="D37" t="inlineStr">
        <is>
          <t>Home Decor, Kitchen, &amp; Other</t>
        </is>
      </c>
      <c r="E37" t="inlineStr">
        <is>
          <t>Reusable Lunch Bags &amp; Boxes</t>
        </is>
      </c>
      <c r="F37" t="inlineStr">
        <is>
          <t>Tirrinia</t>
        </is>
      </c>
      <c r="G37" t="n">
        <v>4.5</v>
      </c>
      <c r="H37" t="n">
        <v>126</v>
      </c>
      <c r="I37" t="inlineStr">
        <is>
          <t>Q2-Target,Brand Camp VD,Lunch Bag,WFS,Lunch Bags,SEM,WFS Item</t>
        </is>
      </c>
      <c r="J37" s="29" t="n">
        <v>569.8200000000001</v>
      </c>
      <c r="K37" s="30" t="n">
        <v>0.0049</v>
      </c>
      <c r="L37" s="29" t="n">
        <v>70.94999885559082</v>
      </c>
      <c r="M37" s="29" t="n">
        <v>0</v>
      </c>
      <c r="N37" s="2" t="n">
        <v>38</v>
      </c>
      <c r="O37" s="31" t="n">
        <v>0</v>
      </c>
      <c r="P37" s="32" t="n"/>
      <c r="Q37" s="32" t="n">
        <v>0</v>
      </c>
      <c r="R37" s="32" t="n">
        <v>0.0336</v>
      </c>
      <c r="S37" s="31" t="n">
        <v>0</v>
      </c>
      <c r="T37" s="32" t="n">
        <v>0</v>
      </c>
      <c r="U37" s="31" t="n">
        <v>0</v>
      </c>
      <c r="V37" s="31" t="n">
        <v>0</v>
      </c>
      <c r="W37" s="3" t="n">
        <v>0</v>
      </c>
      <c r="X37" s="3" t="n">
        <v>0</v>
      </c>
      <c r="Y37" s="32" t="n">
        <v>0</v>
      </c>
      <c r="Z37" s="3" t="n">
        <v>0</v>
      </c>
      <c r="AA37" s="32" t="n">
        <v>0</v>
      </c>
      <c r="AB37" s="3" t="n"/>
      <c r="AC37" s="31" t="n">
        <v>0</v>
      </c>
      <c r="AD37" s="2" t="n">
        <v>1916</v>
      </c>
      <c r="AE37" s="2" t="n">
        <v>839</v>
      </c>
      <c r="AF37" s="4" t="n">
        <v>1077</v>
      </c>
      <c r="AG37" s="33" t="n">
        <v>569.8200000000001</v>
      </c>
      <c r="AH37" s="4" t="n">
        <v>38</v>
      </c>
      <c r="AI37" s="34" t="n">
        <v>0.0353</v>
      </c>
      <c r="AJ37" s="34" t="n">
        <v>1</v>
      </c>
      <c r="AK37" s="2" t="n">
        <v>362</v>
      </c>
      <c r="AL37" t="inlineStr">
        <is>
          <t>Published</t>
        </is>
      </c>
    </row>
    <row r="38">
      <c r="A38">
        <f>HYPERLINK("https://www.walmart.com/ip/634503661", "634503661")</f>
        <v/>
      </c>
      <c r="B38">
        <f>HYPERLINK("https://app.optiwise.ai/catalog/itemdetails/361699", "Kato 9 Cans Small Insulated Lunch Bag, Mini Thermal Portable Cooler Lunch Box Tote with Dual Zipper Closure for Student Men and Women, Back to School")</f>
        <v/>
      </c>
      <c r="C38" t="inlineStr">
        <is>
          <t>1KTLB100GN</t>
        </is>
      </c>
      <c r="D38" t="inlineStr">
        <is>
          <t>Home Decor, Kitchen, &amp; Other</t>
        </is>
      </c>
      <c r="E38" t="inlineStr">
        <is>
          <t>Reusable Lunch Bags &amp; Boxes</t>
        </is>
      </c>
      <c r="F38" t="inlineStr">
        <is>
          <t>Kato</t>
        </is>
      </c>
      <c r="G38" t="n">
        <v>4.6</v>
      </c>
      <c r="H38" t="n">
        <v>24</v>
      </c>
      <c r="I38" t="inlineStr">
        <is>
          <t>Q2-Target,Lunch Bag,Optimized,Lunch Bags,SEM</t>
        </is>
      </c>
      <c r="J38" s="29" t="n">
        <v>539.48</v>
      </c>
      <c r="K38" s="30" t="n">
        <v>0.0047</v>
      </c>
      <c r="L38" s="29" t="n">
        <v>63.93999862670898</v>
      </c>
      <c r="M38" s="29" t="n">
        <v>0</v>
      </c>
      <c r="N38" s="2" t="n">
        <v>52</v>
      </c>
      <c r="O38" s="31" t="n">
        <v>0</v>
      </c>
      <c r="P38" s="32" t="n"/>
      <c r="Q38" s="32" t="n">
        <v>0</v>
      </c>
      <c r="R38" s="32" t="n">
        <v>0.277</v>
      </c>
      <c r="S38" s="31" t="n">
        <v>0</v>
      </c>
      <c r="T38" s="32" t="n">
        <v>0</v>
      </c>
      <c r="U38" s="31" t="n">
        <v>0</v>
      </c>
      <c r="V38" s="31" t="n">
        <v>0</v>
      </c>
      <c r="W38" s="3" t="n">
        <v>0</v>
      </c>
      <c r="X38" s="3" t="n">
        <v>0</v>
      </c>
      <c r="Y38" s="32" t="n">
        <v>0</v>
      </c>
      <c r="Z38" s="3" t="n">
        <v>0</v>
      </c>
      <c r="AA38" s="32" t="n">
        <v>0</v>
      </c>
      <c r="AB38" s="3" t="n"/>
      <c r="AC38" s="31" t="n">
        <v>0</v>
      </c>
      <c r="AD38" s="2" t="n">
        <v>1661</v>
      </c>
      <c r="AE38" s="2" t="n">
        <v>342</v>
      </c>
      <c r="AF38" s="4" t="n">
        <v>1319</v>
      </c>
      <c r="AG38" s="33" t="n">
        <v>539.48</v>
      </c>
      <c r="AH38" s="4" t="n">
        <v>52</v>
      </c>
      <c r="AI38" s="34" t="n">
        <v>0.0394</v>
      </c>
      <c r="AJ38" s="34" t="n">
        <v>1</v>
      </c>
      <c r="AK38" s="2" t="n">
        <v>295</v>
      </c>
      <c r="AL38" t="inlineStr">
        <is>
          <t>Published</t>
        </is>
      </c>
    </row>
    <row r="39">
      <c r="A39">
        <f>HYPERLINK("https://www.walmart.com/ip/378639354", "378639354")</f>
        <v/>
      </c>
      <c r="B39">
        <f>HYPERLINK("https://app.optiwise.ai/catalog/itemdetails/362079", "Catalonia Waterproof Blanket, Pee Proof Couch Sofa Bed Protector Cover for Baby, Super Cozy Plush Fleece Warm Sherpa Lining Throws and Blankets for Boating and Camping, Light Gray/Dark Gray, 80 x 90")</f>
        <v/>
      </c>
      <c r="C39" t="inlineStr">
        <is>
          <t>1CTBW982LGDG</t>
        </is>
      </c>
      <c r="D39" t="inlineStr">
        <is>
          <t>Animal Accessories</t>
        </is>
      </c>
      <c r="E39" t="inlineStr">
        <is>
          <t>Throws</t>
        </is>
      </c>
      <c r="F39" t="inlineStr">
        <is>
          <t>Catalonia</t>
        </is>
      </c>
      <c r="G39" t="n">
        <v>4.5</v>
      </c>
      <c r="H39" t="n">
        <v>8</v>
      </c>
      <c r="I39" t="inlineStr">
        <is>
          <t>High AUR Items,Wproof Blanket,Fleece Blankets,Batch 1 - TR</t>
        </is>
      </c>
      <c r="J39" s="29" t="n">
        <v>537.91</v>
      </c>
      <c r="K39" s="30" t="n">
        <v>0.0046</v>
      </c>
      <c r="L39" s="29" t="n">
        <v>59.9900016784668</v>
      </c>
      <c r="M39" s="29" t="n">
        <v>0</v>
      </c>
      <c r="N39" s="2" t="n">
        <v>9</v>
      </c>
      <c r="O39" s="31" t="n">
        <v>25.56</v>
      </c>
      <c r="P39" s="32" t="n">
        <v>0.0031</v>
      </c>
      <c r="Q39" s="32" t="n">
        <v>0.0475</v>
      </c>
      <c r="R39" s="32" t="n">
        <v>0.1508</v>
      </c>
      <c r="S39" s="31" t="n">
        <v>0</v>
      </c>
      <c r="T39" s="32" t="n">
        <v>0</v>
      </c>
      <c r="U39" s="31" t="n">
        <v>0</v>
      </c>
      <c r="V39" s="31" t="n">
        <v>0</v>
      </c>
      <c r="W39" s="3" t="n">
        <v>8459</v>
      </c>
      <c r="X39" s="3" t="n">
        <v>59</v>
      </c>
      <c r="Y39" s="32" t="n">
        <v>0.007</v>
      </c>
      <c r="Z39" s="3" t="n">
        <v>0</v>
      </c>
      <c r="AA39" s="32" t="n">
        <v>0</v>
      </c>
      <c r="AB39" s="3" t="inlineStr">
        <is>
          <t>Auto for BW Indoor,Pet Blankets_Auto_Optiwise_24,Throws_Auto_Optiwise_24</t>
        </is>
      </c>
      <c r="AC39" s="31" t="n">
        <v>0.43</v>
      </c>
      <c r="AD39" s="2" t="n">
        <v>121</v>
      </c>
      <c r="AE39" s="2" t="n">
        <v>205</v>
      </c>
      <c r="AF39" s="4" t="n">
        <v>146</v>
      </c>
      <c r="AG39" s="33" t="n">
        <v>537.91</v>
      </c>
      <c r="AH39" s="4" t="n">
        <v>9</v>
      </c>
      <c r="AI39" s="34" t="n">
        <v>0.0616</v>
      </c>
      <c r="AJ39" s="34" t="n">
        <v>1</v>
      </c>
      <c r="AK39" s="2" t="n">
        <v>1500</v>
      </c>
      <c r="AL39" t="inlineStr">
        <is>
          <t>Published</t>
        </is>
      </c>
    </row>
    <row r="40">
      <c r="A40">
        <f>HYPERLINK("https://www.walmart.com/ip/10298068829", "10298068829")</f>
        <v/>
      </c>
      <c r="B40">
        <f>HYPERLINK("https://app.optiwise.ai/catalog/itemdetails/10032010", "Wrangler Men’s Leather Country Casual Every Day Belt for Jeans, Khakis Black 44")</f>
        <v/>
      </c>
      <c r="C40" t="inlineStr">
        <is>
          <t>WR-BELT-MENS-COUNTRY-BLACK-44</t>
        </is>
      </c>
      <c r="D40" t="inlineStr">
        <is>
          <t>Clothing</t>
        </is>
      </c>
      <c r="E40" t="inlineStr">
        <is>
          <t>Belts</t>
        </is>
      </c>
      <c r="F40" t="inlineStr">
        <is>
          <t>Wrangler</t>
        </is>
      </c>
      <c r="G40" t="n">
        <v>0</v>
      </c>
      <c r="H40" t="n">
        <v>0</v>
      </c>
      <c r="I40" t="inlineStr">
        <is>
          <t>Belts</t>
        </is>
      </c>
      <c r="J40" s="29" t="n">
        <v>526.73</v>
      </c>
      <c r="K40" s="30" t="n">
        <v>0.0045</v>
      </c>
      <c r="L40" s="29" t="n">
        <v>19.98999977111816</v>
      </c>
      <c r="M40" s="29" t="n">
        <v>0</v>
      </c>
      <c r="N40" s="2" t="n">
        <v>25</v>
      </c>
      <c r="O40" s="31" t="n">
        <v>38.70999999999999</v>
      </c>
      <c r="P40" s="32" t="n">
        <v>0.0046</v>
      </c>
      <c r="Q40" s="32" t="n">
        <v>0.0735</v>
      </c>
      <c r="R40" s="32" t="n">
        <v>0.5618</v>
      </c>
      <c r="S40" s="31" t="n">
        <v>6.71</v>
      </c>
      <c r="T40" s="32" t="n">
        <v>0.15</v>
      </c>
      <c r="U40" s="31" t="n">
        <v>259.87</v>
      </c>
      <c r="V40" s="31" t="n">
        <v>259.87</v>
      </c>
      <c r="W40" s="3" t="n">
        <v>5195</v>
      </c>
      <c r="X40" s="3" t="n">
        <v>84</v>
      </c>
      <c r="Y40" s="32" t="n">
        <v>0.0162</v>
      </c>
      <c r="Z40" s="3" t="n">
        <v>13</v>
      </c>
      <c r="AA40" s="32" t="n">
        <v>0.1548</v>
      </c>
      <c r="AB40" s="3" t="inlineStr">
        <is>
          <t>Belts Manual_Optiwise,Belts_Auto_Optiwise,Need to sell these SKUs by 15th Feb</t>
        </is>
      </c>
      <c r="AC40" s="31" t="n">
        <v>0.46</v>
      </c>
      <c r="AD40" s="2" t="n">
        <v>50</v>
      </c>
      <c r="AE40" s="2" t="n">
        <v>77</v>
      </c>
      <c r="AF40" s="4" t="inlineStr">
        <is>
          <t>NA</t>
        </is>
      </c>
      <c r="AG40" s="33" t="n">
        <v>266.86</v>
      </c>
      <c r="AH40" s="4" t="n">
        <v>12</v>
      </c>
      <c r="AI40" s="34" t="inlineStr">
        <is>
          <t>NA</t>
        </is>
      </c>
      <c r="AJ40" s="34" t="n">
        <v>0.5066000000000001</v>
      </c>
      <c r="AK40" s="2" t="n">
        <v>540</v>
      </c>
      <c r="AL40" t="inlineStr">
        <is>
          <t>Published</t>
        </is>
      </c>
    </row>
    <row r="41">
      <c r="A41">
        <f>HYPERLINK("https://www.walmart.com/ip/443053567", "443053567")</f>
        <v/>
      </c>
      <c r="B41">
        <f>HYPERLINK("https://app.optiwise.ai/catalog/itemdetails/360330", "Catalonia Waterproof Blanket, Pee Proof Couch Sofa Bed Protector Cover for Baby, Super Cozy Plush Fleece Warm Sherpa Lining Throws and Blankets for Boating Camping, Grey, 60 x 80")</f>
        <v/>
      </c>
      <c r="C41" t="inlineStr">
        <is>
          <t>1CTBW682LGDG</t>
        </is>
      </c>
      <c r="D41" t="inlineStr">
        <is>
          <t>Bedding</t>
        </is>
      </c>
      <c r="E41" t="inlineStr">
        <is>
          <t>Throws</t>
        </is>
      </c>
      <c r="F41" t="inlineStr">
        <is>
          <t>Catalonia</t>
        </is>
      </c>
      <c r="G41" t="n">
        <v>4.1</v>
      </c>
      <c r="H41" t="n">
        <v>29</v>
      </c>
      <c r="I41" t="inlineStr">
        <is>
          <t>Q2-Target,High AUR Items,Wproof Blanket,Batch 1 - TR</t>
        </is>
      </c>
      <c r="J41" s="29" t="n">
        <v>519.87</v>
      </c>
      <c r="K41" s="30" t="n">
        <v>0.0045</v>
      </c>
      <c r="L41" s="29" t="n">
        <v>39.9900016784668</v>
      </c>
      <c r="M41" s="29" t="n">
        <v>0</v>
      </c>
      <c r="N41" s="2" t="n">
        <v>13</v>
      </c>
      <c r="O41" s="31" t="n">
        <v>82.35000000000002</v>
      </c>
      <c r="P41" s="32" t="n">
        <v>0.009900000000000001</v>
      </c>
      <c r="Q41" s="32" t="n">
        <v>0.1584</v>
      </c>
      <c r="R41" s="32" t="n">
        <v>0.199</v>
      </c>
      <c r="S41" s="31" t="n">
        <v>4.81</v>
      </c>
      <c r="T41" s="32" t="n">
        <v>0.21</v>
      </c>
      <c r="U41" s="31" t="n">
        <v>395.91</v>
      </c>
      <c r="V41" s="31" t="n">
        <v>225.95</v>
      </c>
      <c r="W41" s="3" t="n">
        <v>99262</v>
      </c>
      <c r="X41" s="3" t="n">
        <v>204</v>
      </c>
      <c r="Y41" s="32" t="n">
        <v>0.0021</v>
      </c>
      <c r="Z41" s="3" t="n">
        <v>9</v>
      </c>
      <c r="AA41" s="32" t="n">
        <v>0.0441</v>
      </c>
      <c r="AB41" s="3" t="inlineStr">
        <is>
          <t>Auto for BW Indoor,Throws_Auto_Optiwise_24,Throws_Manual_Optiwise_24</t>
        </is>
      </c>
      <c r="AC41" s="31" t="n">
        <v>0.4</v>
      </c>
      <c r="AD41" s="2" t="n">
        <v>182</v>
      </c>
      <c r="AE41" s="2" t="n">
        <v>164</v>
      </c>
      <c r="AF41" s="4" t="inlineStr">
        <is>
          <t>NA</t>
        </is>
      </c>
      <c r="AG41" s="33" t="n">
        <v>123.96</v>
      </c>
      <c r="AH41" s="4" t="n">
        <v>4</v>
      </c>
      <c r="AI41" s="34" t="inlineStr">
        <is>
          <t>NA</t>
        </is>
      </c>
      <c r="AJ41" s="34" t="n">
        <v>0.2384</v>
      </c>
      <c r="AK41" s="2" t="n">
        <v>1100</v>
      </c>
      <c r="AL41" t="inlineStr">
        <is>
          <t>Published</t>
        </is>
      </c>
    </row>
    <row r="42">
      <c r="A42">
        <f>HYPERLINK("https://www.walmart.com/ip/511031817", "511031817")</f>
        <v/>
      </c>
      <c r="B42">
        <f>HYPERLINK("https://app.optiwise.ai/catalog/itemdetails/361212", "Catalonia Wearable Blanket for Adults, Women, Men, Poncho Fleece Blanket, Wrap Blanket Cape with Pocket, Warm, Soft, Cozy, Snuggly, Comfort Gift, No Sleeves, All Season, Grey")</f>
        <v/>
      </c>
      <c r="C42" t="inlineStr">
        <is>
          <t>1CTBP200GY</t>
        </is>
      </c>
      <c r="D42" t="inlineStr">
        <is>
          <t>Bedding</t>
        </is>
      </c>
      <c r="E42" t="inlineStr">
        <is>
          <t>Throws</t>
        </is>
      </c>
      <c r="F42" t="inlineStr">
        <is>
          <t>Catalonia</t>
        </is>
      </c>
      <c r="G42" t="n">
        <v>4.9</v>
      </c>
      <c r="H42" t="n">
        <v>19</v>
      </c>
      <c r="I42" t="inlineStr">
        <is>
          <t>Hero 5 Holidays,WFS,WFS Item</t>
        </is>
      </c>
      <c r="J42" s="29" t="n">
        <v>498.83</v>
      </c>
      <c r="K42" s="30" t="n">
        <v>0.0043</v>
      </c>
      <c r="L42" s="29" t="n">
        <v>13.93000030517578</v>
      </c>
      <c r="M42" s="29" t="n">
        <v>0</v>
      </c>
      <c r="N42" s="2" t="n">
        <v>22</v>
      </c>
      <c r="O42" s="31" t="n">
        <v>44.89</v>
      </c>
      <c r="P42" s="32" t="n">
        <v>0.0054</v>
      </c>
      <c r="Q42" s="32" t="n">
        <v>0.09</v>
      </c>
      <c r="R42" s="32" t="n">
        <v>0.2726</v>
      </c>
      <c r="S42" s="31" t="n">
        <v>2.94</v>
      </c>
      <c r="T42" s="32" t="n">
        <v>0.34</v>
      </c>
      <c r="U42" s="31" t="n">
        <v>131.94</v>
      </c>
      <c r="V42" s="31" t="n">
        <v>131.94</v>
      </c>
      <c r="W42" s="3" t="n">
        <v>14699</v>
      </c>
      <c r="X42" s="3" t="n">
        <v>111</v>
      </c>
      <c r="Y42" s="32" t="n">
        <v>0.0076</v>
      </c>
      <c r="Z42" s="3" t="n">
        <v>6</v>
      </c>
      <c r="AA42" s="32" t="n">
        <v>0.0541</v>
      </c>
      <c r="AB42" s="3" t="inlineStr">
        <is>
          <t>Need to sell these SKUs by 15th Feb,Snuggly_Auto</t>
        </is>
      </c>
      <c r="AC42" s="31" t="n">
        <v>0.4</v>
      </c>
      <c r="AD42" s="2" t="n">
        <v>920</v>
      </c>
      <c r="AE42" s="2" t="n">
        <v>101</v>
      </c>
      <c r="AF42" s="4" t="n">
        <v>708</v>
      </c>
      <c r="AG42" s="33" t="n">
        <v>366.89</v>
      </c>
      <c r="AH42" s="4" t="n">
        <v>16</v>
      </c>
      <c r="AI42" s="34" t="n">
        <v>0.0226</v>
      </c>
      <c r="AJ42" s="34" t="n">
        <v>0.7355</v>
      </c>
      <c r="AK42" s="2" t="n">
        <v>30</v>
      </c>
      <c r="AL42" t="inlineStr">
        <is>
          <t>Published</t>
        </is>
      </c>
    </row>
    <row r="43">
      <c r="A43">
        <f>HYPERLINK("https://www.walmart.com/ip/594250068", "594250068")</f>
        <v/>
      </c>
      <c r="B43">
        <f>HYPERLINK("https://app.optiwise.ai/catalog/itemdetails/358711", "Pawsse Waterproof Pet Snuggle Blanket, Dog Puppy Cat Fleece Sherpa Throws Cushion Mat for Car Seat Furniture Protector Cover Medium 50x60")</f>
        <v/>
      </c>
      <c r="C43" t="inlineStr">
        <is>
          <t>1PSBW561LGDG</t>
        </is>
      </c>
      <c r="D43" t="inlineStr">
        <is>
          <t>Animal Accessories</t>
        </is>
      </c>
      <c r="E43" t="inlineStr">
        <is>
          <t>Pet Blankets</t>
        </is>
      </c>
      <c r="F43" t="inlineStr">
        <is>
          <t>Pawsse</t>
        </is>
      </c>
      <c r="G43" t="n">
        <v>0</v>
      </c>
      <c r="H43" t="n">
        <v>0</v>
      </c>
      <c r="I43" t="inlineStr">
        <is>
          <t>Optimized</t>
        </is>
      </c>
      <c r="J43" s="29" t="n">
        <v>464.85</v>
      </c>
      <c r="K43" s="30" t="n">
        <v>0.004</v>
      </c>
      <c r="L43" s="29" t="n">
        <v>0</v>
      </c>
      <c r="M43" s="29" t="n">
        <v>0</v>
      </c>
      <c r="N43" s="2" t="n">
        <v>15</v>
      </c>
      <c r="O43" s="31" t="n">
        <v>133.38</v>
      </c>
      <c r="P43" s="32" t="n">
        <v>0.016</v>
      </c>
      <c r="Q43" s="32" t="n">
        <v>0.2869</v>
      </c>
      <c r="R43" s="32" t="n">
        <v>0.018</v>
      </c>
      <c r="S43" s="31" t="n">
        <v>5.22</v>
      </c>
      <c r="T43" s="32" t="n">
        <v>0.19</v>
      </c>
      <c r="U43" s="31" t="n">
        <v>696.7500000000001</v>
      </c>
      <c r="V43" s="31" t="n">
        <v>570.7900000000001</v>
      </c>
      <c r="W43" s="3" t="n">
        <v>67776</v>
      </c>
      <c r="X43" s="3" t="n">
        <v>288</v>
      </c>
      <c r="Y43" s="32" t="n">
        <v>0.0042</v>
      </c>
      <c r="Z43" s="3" t="n">
        <v>25</v>
      </c>
      <c r="AA43" s="32" t="n">
        <v>0.0868</v>
      </c>
      <c r="AB43" s="3" t="inlineStr">
        <is>
          <t>Pet Blankets_Auto_Optiwise_24</t>
        </is>
      </c>
      <c r="AC43" s="31" t="n">
        <v>0.46</v>
      </c>
      <c r="AD43" s="2" t="n">
        <v>183</v>
      </c>
      <c r="AE43" s="2" t="n">
        <v>218</v>
      </c>
      <c r="AF43" s="4" t="inlineStr">
        <is>
          <t>NA</t>
        </is>
      </c>
      <c r="AG43" s="33" t="n">
        <v>-231.9000000000001</v>
      </c>
      <c r="AH43" s="4" t="n">
        <v>-10</v>
      </c>
      <c r="AI43" s="34" t="inlineStr">
        <is>
          <t>NA</t>
        </is>
      </c>
      <c r="AJ43" s="34" t="n">
        <v>-0.4989</v>
      </c>
      <c r="AK43" s="2" t="n">
        <v>900</v>
      </c>
      <c r="AL43" t="inlineStr">
        <is>
          <t>Published</t>
        </is>
      </c>
    </row>
    <row r="44">
      <c r="A44">
        <f>HYPERLINK("https://www.walmart.com/ip/351924019", "351924019")</f>
        <v/>
      </c>
      <c r="B44">
        <f>HYPERLINK("https://app.optiwise.ai/catalog/itemdetails/361510", "Flyingstar Lunch Bag for Women Men, Insulated Lunch Tote for Working/School/Picnic Fashionable Cooler Bag")</f>
        <v/>
      </c>
      <c r="C44" t="inlineStr">
        <is>
          <t>1WMLB704WN</t>
        </is>
      </c>
      <c r="D44" t="inlineStr">
        <is>
          <t>Home Decor, Kitchen, &amp; Other</t>
        </is>
      </c>
      <c r="E44" t="inlineStr">
        <is>
          <t>Reusable Lunch Bags &amp; Boxes</t>
        </is>
      </c>
      <c r="F44" t="inlineStr">
        <is>
          <t>Flyingstar</t>
        </is>
      </c>
      <c r="G44" t="n">
        <v>4.4</v>
      </c>
      <c r="H44" t="n">
        <v>102</v>
      </c>
      <c r="I44" t="inlineStr">
        <is>
          <t>Q2-Target,Lunch Bag</t>
        </is>
      </c>
      <c r="J44" s="29" t="n">
        <v>462.51</v>
      </c>
      <c r="K44" s="30" t="n">
        <v>0.004</v>
      </c>
      <c r="L44" s="29" t="n">
        <v>60.84000015258789</v>
      </c>
      <c r="M44" s="29" t="n">
        <v>27.92000007629395</v>
      </c>
      <c r="N44" s="2" t="n">
        <v>64</v>
      </c>
      <c r="O44" s="31" t="n">
        <v>0</v>
      </c>
      <c r="P44" s="32" t="n"/>
      <c r="Q44" s="32" t="n">
        <v>0</v>
      </c>
      <c r="R44" s="32" t="n">
        <v>0.08890000000000001</v>
      </c>
      <c r="S44" s="31" t="n">
        <v>0</v>
      </c>
      <c r="T44" s="32" t="n">
        <v>0</v>
      </c>
      <c r="U44" s="31" t="n">
        <v>0</v>
      </c>
      <c r="V44" s="31" t="n">
        <v>0</v>
      </c>
      <c r="W44" s="3" t="n">
        <v>0</v>
      </c>
      <c r="X44" s="3" t="n">
        <v>0</v>
      </c>
      <c r="Y44" s="32" t="n">
        <v>0</v>
      </c>
      <c r="Z44" s="3" t="n">
        <v>0</v>
      </c>
      <c r="AA44" s="32" t="n">
        <v>0</v>
      </c>
      <c r="AB44" s="3" t="n"/>
      <c r="AC44" s="31" t="n">
        <v>0</v>
      </c>
      <c r="AD44" s="2" t="n">
        <v>2015</v>
      </c>
      <c r="AE44" s="2" t="n">
        <v>393</v>
      </c>
      <c r="AF44" s="4" t="n">
        <v>1622</v>
      </c>
      <c r="AG44" s="33" t="n">
        <v>462.51</v>
      </c>
      <c r="AH44" s="4" t="n">
        <v>64</v>
      </c>
      <c r="AI44" s="34" t="n">
        <v>0.0395</v>
      </c>
      <c r="AJ44" s="34" t="n">
        <v>1</v>
      </c>
      <c r="AK44" s="2" t="n">
        <v>299</v>
      </c>
      <c r="AL44" t="inlineStr">
        <is>
          <t>Published</t>
        </is>
      </c>
    </row>
    <row r="45">
      <c r="A45">
        <f>HYPERLINK("https://www.walmart.com/ip/864607409", "864607409")</f>
        <v/>
      </c>
      <c r="B45">
        <f>HYPERLINK("https://app.optiwise.ai/catalog/itemdetails/380737", "Catalonia Women's Poncho Cape, Sherpa Fleece Cloak Coat, Snuggly Hooded Wearable Blanket, Gift Idea for Adults and Teen Girls, Grey")</f>
        <v/>
      </c>
      <c r="C45" t="inlineStr">
        <is>
          <t>1CTBC300GY</t>
        </is>
      </c>
      <c r="D45" t="inlineStr">
        <is>
          <t>Home - Home Decor, Kitchen, &amp; Other</t>
        </is>
      </c>
      <c r="E45" t="inlineStr">
        <is>
          <t>Throws</t>
        </is>
      </c>
      <c r="F45" t="inlineStr">
        <is>
          <t>Catalonia</t>
        </is>
      </c>
      <c r="G45" t="n">
        <v>0</v>
      </c>
      <c r="H45" t="n">
        <v>0</v>
      </c>
      <c r="I45" t="inlineStr">
        <is>
          <t>Q2-Target,WFS,Coupon_Discount,WFS Item</t>
        </is>
      </c>
      <c r="J45" s="29" t="n">
        <v>461.82</v>
      </c>
      <c r="K45" s="30" t="n">
        <v>0.004</v>
      </c>
      <c r="L45" s="29" t="n">
        <v>83.96999931335449</v>
      </c>
      <c r="M45" s="29" t="n">
        <v>0</v>
      </c>
      <c r="N45" s="2" t="n">
        <v>16</v>
      </c>
      <c r="O45" s="31" t="n">
        <v>38.63</v>
      </c>
      <c r="P45" s="32" t="n">
        <v>0.0046</v>
      </c>
      <c r="Q45" s="32" t="n">
        <v>0.08359999999999999</v>
      </c>
      <c r="R45" s="32" t="n">
        <v>0</v>
      </c>
      <c r="S45" s="31" t="n">
        <v>2.9</v>
      </c>
      <c r="T45" s="32" t="n">
        <v>0.35</v>
      </c>
      <c r="U45" s="31" t="n">
        <v>111.96</v>
      </c>
      <c r="V45" s="31" t="n">
        <v>111.96</v>
      </c>
      <c r="W45" s="3" t="n">
        <v>22386</v>
      </c>
      <c r="X45" s="3" t="n">
        <v>107</v>
      </c>
      <c r="Y45" s="32" t="n">
        <v>0.0048</v>
      </c>
      <c r="Z45" s="3" t="n">
        <v>4</v>
      </c>
      <c r="AA45" s="32" t="n">
        <v>0.0374</v>
      </c>
      <c r="AB45" s="3" t="inlineStr">
        <is>
          <t>Need to sell these SKUs by 15th Feb,Throws_Auto_Optiwise_24</t>
        </is>
      </c>
      <c r="AC45" s="31" t="n">
        <v>0.36</v>
      </c>
      <c r="AD45" s="2" t="n">
        <v>453</v>
      </c>
      <c r="AE45" s="2" t="n">
        <v>197</v>
      </c>
      <c r="AF45" s="4" t="n">
        <v>149</v>
      </c>
      <c r="AG45" s="33" t="n">
        <v>349.86</v>
      </c>
      <c r="AH45" s="4" t="n">
        <v>12</v>
      </c>
      <c r="AI45" s="34" t="n">
        <v>0.0805</v>
      </c>
      <c r="AJ45" s="34" t="n">
        <v>0.7576000000000001</v>
      </c>
      <c r="AK45" s="2" t="n">
        <v>894</v>
      </c>
      <c r="AL45" t="inlineStr">
        <is>
          <t>Published</t>
        </is>
      </c>
    </row>
    <row r="46">
      <c r="A46">
        <f>HYPERLINK("https://www.walmart.com/ip/768244496", "768244496")</f>
        <v/>
      </c>
      <c r="B46">
        <f>HYPERLINK("https://app.optiwise.ai/catalog/itemdetails/360514", "Catalonia Hooded Wearable Blanket Poncho for Adult Women Men, Fleece Wrap Blanket Cape with Hood | Warm, Soft, Cozy, Snuggly | Comfort Gift, No Sleeves, Gray")</f>
        <v/>
      </c>
      <c r="C46" t="inlineStr">
        <is>
          <t>1CTBP120GY</t>
        </is>
      </c>
      <c r="D46" t="inlineStr">
        <is>
          <t>Bedding</t>
        </is>
      </c>
      <c r="E46" t="inlineStr">
        <is>
          <t>Throws</t>
        </is>
      </c>
      <c r="F46" t="inlineStr">
        <is>
          <t>Catalonia</t>
        </is>
      </c>
      <c r="G46" t="n">
        <v>0</v>
      </c>
      <c r="H46" t="n">
        <v>0</v>
      </c>
      <c r="I46" t="inlineStr">
        <is>
          <t>Hero 5 Holidays,WFS,Wal-Exl-Price,cost-added,WFS Item</t>
        </is>
      </c>
      <c r="J46" s="29" t="n">
        <v>458.83</v>
      </c>
      <c r="K46" s="30" t="n">
        <v>0.004</v>
      </c>
      <c r="L46" s="29" t="n">
        <v>0</v>
      </c>
      <c r="M46" s="29" t="n">
        <v>0</v>
      </c>
      <c r="N46" s="2" t="n">
        <v>14</v>
      </c>
      <c r="O46" s="31" t="n">
        <v>191.19</v>
      </c>
      <c r="P46" s="32" t="n">
        <v>0.0229</v>
      </c>
      <c r="Q46" s="32" t="n">
        <v>0.4167</v>
      </c>
      <c r="R46" s="32" t="n">
        <v>0.0122</v>
      </c>
      <c r="S46" s="31" t="n">
        <v>2.86</v>
      </c>
      <c r="T46" s="32" t="n">
        <v>0.35</v>
      </c>
      <c r="U46" s="31" t="n">
        <v>546.8000000000001</v>
      </c>
      <c r="V46" s="31" t="n">
        <v>474.8300000000001</v>
      </c>
      <c r="W46" s="3" t="n">
        <v>247414</v>
      </c>
      <c r="X46" s="3" t="n">
        <v>441</v>
      </c>
      <c r="Y46" s="32" t="n">
        <v>0.0018</v>
      </c>
      <c r="Z46" s="3" t="n">
        <v>20</v>
      </c>
      <c r="AA46" s="32" t="n">
        <v>0.0454</v>
      </c>
      <c r="AB46" s="3" t="inlineStr">
        <is>
          <t>1CTBP120GY_Manual_Optiwise,Throws_Auto_Optiwise_24</t>
        </is>
      </c>
      <c r="AC46" s="31" t="n">
        <v>0.43</v>
      </c>
      <c r="AD46" s="2" t="n">
        <v>504</v>
      </c>
      <c r="AE46" s="2" t="n">
        <v>196</v>
      </c>
      <c r="AF46" s="4" t="inlineStr">
        <is>
          <t>NA</t>
        </is>
      </c>
      <c r="AG46" s="33" t="n">
        <v>-87.97000000000008</v>
      </c>
      <c r="AH46" s="4" t="n">
        <v>-6</v>
      </c>
      <c r="AI46" s="34" t="inlineStr">
        <is>
          <t>NA</t>
        </is>
      </c>
      <c r="AJ46" s="34" t="n">
        <v>-0.1917</v>
      </c>
      <c r="AK46" s="2" t="n">
        <v>270</v>
      </c>
      <c r="AL46" t="inlineStr">
        <is>
          <t>Published</t>
        </is>
      </c>
    </row>
    <row r="47">
      <c r="A47">
        <f>HYPERLINK("https://www.walmart.com/ip/394849317", "394849317")</f>
        <v/>
      </c>
      <c r="B47">
        <f>HYPERLINK("https://app.optiwise.ai/catalog/itemdetails/360753", "Tirrinia Hooded Bath Towel for 2 to 6 Years Boy,100% Cotton Water Absorption Beach Poncho Swim Changing Robe Surf Boy Pattern")</f>
        <v/>
      </c>
      <c r="C47" t="inlineStr">
        <is>
          <t>1TRBR200-SF</t>
        </is>
      </c>
      <c r="D47" t="inlineStr">
        <is>
          <t>Home Decor, Kitchen, &amp; Other</t>
        </is>
      </c>
      <c r="E47" t="inlineStr">
        <is>
          <t>Towels &amp; Washcloths</t>
        </is>
      </c>
      <c r="F47" t="inlineStr">
        <is>
          <t>Tirrinia</t>
        </is>
      </c>
      <c r="G47" t="n">
        <v>3.5</v>
      </c>
      <c r="H47" t="n">
        <v>2</v>
      </c>
      <c r="I47" t="inlineStr">
        <is>
          <t>Beach Robe Camp</t>
        </is>
      </c>
      <c r="J47" s="29" t="n">
        <v>449.55</v>
      </c>
      <c r="K47" s="30" t="n">
        <v>0.0039</v>
      </c>
      <c r="L47" s="29" t="n">
        <v>0</v>
      </c>
      <c r="M47" s="29" t="n">
        <v>0</v>
      </c>
      <c r="N47" s="2" t="n">
        <v>45</v>
      </c>
      <c r="O47" s="31" t="n">
        <v>0</v>
      </c>
      <c r="P47" s="32" t="n"/>
      <c r="Q47" s="32" t="n">
        <v>0</v>
      </c>
      <c r="R47" s="32" t="n">
        <v>0</v>
      </c>
      <c r="S47" s="31" t="n">
        <v>0</v>
      </c>
      <c r="T47" s="32" t="n">
        <v>0</v>
      </c>
      <c r="U47" s="31" t="n">
        <v>0</v>
      </c>
      <c r="V47" s="31" t="n">
        <v>0</v>
      </c>
      <c r="W47" s="3" t="n">
        <v>0</v>
      </c>
      <c r="X47" s="3" t="n">
        <v>0</v>
      </c>
      <c r="Y47" s="32" t="n">
        <v>0</v>
      </c>
      <c r="Z47" s="3" t="n">
        <v>0</v>
      </c>
      <c r="AA47" s="32" t="n">
        <v>0</v>
      </c>
      <c r="AB47" s="3" t="n"/>
      <c r="AC47" s="31" t="n">
        <v>0</v>
      </c>
      <c r="AD47" s="2" t="n">
        <v>36</v>
      </c>
      <c r="AE47" s="2" t="n">
        <v>212</v>
      </c>
      <c r="AF47" s="4" t="n">
        <v>212</v>
      </c>
      <c r="AG47" s="33" t="n">
        <v>449.55</v>
      </c>
      <c r="AH47" s="4" t="n">
        <v>45</v>
      </c>
      <c r="AI47" s="34" t="n">
        <v>0.2123</v>
      </c>
      <c r="AJ47" s="34" t="n">
        <v>1</v>
      </c>
      <c r="AK47" s="2" t="n">
        <v>219</v>
      </c>
      <c r="AL47" t="inlineStr">
        <is>
          <t>Published</t>
        </is>
      </c>
    </row>
    <row r="48">
      <c r="A48">
        <f>HYPERLINK("https://www.walmart.com/ip/2752031157", "2752031157")</f>
        <v/>
      </c>
      <c r="B48">
        <f>HYPERLINK("https://app.optiwise.ai/catalog/itemdetails/6051368", "Tirrinia Outdoors Waterproof Throw Blanket, Sherpa Fleece Stadium Windproof Mat for Traveling, Camping, Hiking, Football, Machine Washable, Camo, 60” x 80”.")</f>
        <v/>
      </c>
      <c r="C48" t="inlineStr">
        <is>
          <t>1TRBW608CAMOBK</t>
        </is>
      </c>
      <c r="D48" t="inlineStr">
        <is>
          <t>Sport &amp; Recreation Other</t>
        </is>
      </c>
      <c r="E48" t="inlineStr">
        <is>
          <t>Throws</t>
        </is>
      </c>
      <c r="F48" t="inlineStr">
        <is>
          <t>Tirrinia</t>
        </is>
      </c>
      <c r="G48" t="n">
        <v>0</v>
      </c>
      <c r="H48" t="n">
        <v>0</v>
      </c>
      <c r="I48" t="inlineStr">
        <is>
          <t>Q2-Target</t>
        </is>
      </c>
      <c r="J48" s="29" t="n">
        <v>430.82</v>
      </c>
      <c r="K48" s="30" t="n">
        <v>0.0037</v>
      </c>
      <c r="L48" s="29" t="n">
        <v>0</v>
      </c>
      <c r="M48" s="29" t="n">
        <v>0</v>
      </c>
      <c r="N48" s="2" t="n">
        <v>17</v>
      </c>
      <c r="O48" s="31" t="n">
        <v>38.83</v>
      </c>
      <c r="P48" s="32" t="n">
        <v>0.0047</v>
      </c>
      <c r="Q48" s="32" t="n">
        <v>0.0901</v>
      </c>
      <c r="R48" s="32" t="n">
        <v>0.008200000000000001</v>
      </c>
      <c r="S48" s="31" t="n">
        <v>1.39</v>
      </c>
      <c r="T48" s="32" t="n">
        <v>0.72</v>
      </c>
      <c r="U48" s="31" t="n">
        <v>53.98</v>
      </c>
      <c r="V48" s="31" t="n">
        <v>53.98</v>
      </c>
      <c r="W48" s="3" t="n">
        <v>87530</v>
      </c>
      <c r="X48" s="3" t="n">
        <v>81</v>
      </c>
      <c r="Y48" s="32" t="n">
        <v>0.0009</v>
      </c>
      <c r="Z48" s="3" t="n">
        <v>2</v>
      </c>
      <c r="AA48" s="32" t="n">
        <v>0.0247</v>
      </c>
      <c r="AB48" s="3" t="inlineStr">
        <is>
          <t>Throws_Auto_Optiwise_24</t>
        </is>
      </c>
      <c r="AC48" s="31" t="n">
        <v>0.48</v>
      </c>
      <c r="AD48" s="2" t="n">
        <v>69</v>
      </c>
      <c r="AE48" s="2" t="n">
        <v>121</v>
      </c>
      <c r="AF48" s="4" t="n">
        <v>40</v>
      </c>
      <c r="AG48" s="33" t="n">
        <v>376.84</v>
      </c>
      <c r="AH48" s="4" t="n">
        <v>15</v>
      </c>
      <c r="AI48" s="34" t="n">
        <v>0.375</v>
      </c>
      <c r="AJ48" s="34" t="n">
        <v>0.8747</v>
      </c>
      <c r="AK48" s="2" t="n">
        <v>881</v>
      </c>
      <c r="AL48" t="inlineStr">
        <is>
          <t>Published</t>
        </is>
      </c>
    </row>
    <row r="49">
      <c r="A49">
        <f>HYPERLINK("https://www.walmart.com/ip/653031662", "653031662")</f>
        <v/>
      </c>
      <c r="B49">
        <f>HYPERLINK("https://app.optiwise.ai/catalog/itemdetails/362648", "Catalonia Hooded Wearable Blanket Poncho for Adult Women Men, Fleece Wrap Blanket Cape with Hood | Warm, Soft, Cozy, Snuggly | Comfort Gift, No Sleeves, Navy")</f>
        <v/>
      </c>
      <c r="C49" t="inlineStr">
        <is>
          <t>1CTBP120NY</t>
        </is>
      </c>
      <c r="D49" t="inlineStr">
        <is>
          <t>Bedding</t>
        </is>
      </c>
      <c r="E49" t="inlineStr">
        <is>
          <t>Throws</t>
        </is>
      </c>
      <c r="F49" t="inlineStr">
        <is>
          <t>Catalonia</t>
        </is>
      </c>
      <c r="G49" t="n">
        <v>4.3</v>
      </c>
      <c r="H49" t="n">
        <v>10</v>
      </c>
      <c r="I49" t="inlineStr">
        <is>
          <t>Q2-Target,Hero 5 Holidays,WFS,WFS Item</t>
        </is>
      </c>
      <c r="J49" s="29" t="n">
        <v>429.42</v>
      </c>
      <c r="K49" s="30" t="n">
        <v>0.0037</v>
      </c>
      <c r="L49" s="29" t="n">
        <v>0</v>
      </c>
      <c r="M49" s="29" t="n">
        <v>0</v>
      </c>
      <c r="N49" s="2" t="n">
        <v>19</v>
      </c>
      <c r="O49" s="31" t="n">
        <v>91.49000000000005</v>
      </c>
      <c r="P49" s="32" t="n">
        <v>0.011</v>
      </c>
      <c r="Q49" s="32" t="n">
        <v>0.2131</v>
      </c>
      <c r="R49" s="32" t="n">
        <v>0.1964</v>
      </c>
      <c r="S49" s="31" t="n">
        <v>1.65</v>
      </c>
      <c r="T49" s="32" t="n">
        <v>0.61</v>
      </c>
      <c r="U49" s="31" t="n">
        <v>150.94</v>
      </c>
      <c r="V49" s="31" t="n">
        <v>76.97</v>
      </c>
      <c r="W49" s="3" t="n">
        <v>183379</v>
      </c>
      <c r="X49" s="3" t="n">
        <v>229</v>
      </c>
      <c r="Y49" s="32" t="n">
        <v>0.0012</v>
      </c>
      <c r="Z49" s="3" t="n">
        <v>6</v>
      </c>
      <c r="AA49" s="32" t="n">
        <v>0.0262</v>
      </c>
      <c r="AB49" s="3" t="inlineStr">
        <is>
          <t>Auto for Top sale---Rachel,Throws_Manual_Optiwise_24</t>
        </is>
      </c>
      <c r="AC49" s="31" t="n">
        <v>0.4</v>
      </c>
      <c r="AD49" s="2" t="n">
        <v>940</v>
      </c>
      <c r="AE49" s="2" t="n">
        <v>168</v>
      </c>
      <c r="AF49" s="4" t="n">
        <v>543</v>
      </c>
      <c r="AG49" s="33" t="n">
        <v>278.48</v>
      </c>
      <c r="AH49" s="4" t="n">
        <v>13</v>
      </c>
      <c r="AI49" s="34" t="n">
        <v>0.0239</v>
      </c>
      <c r="AJ49" s="34" t="n">
        <v>0.6485</v>
      </c>
      <c r="AK49" s="2" t="n">
        <v>746</v>
      </c>
      <c r="AL49" t="inlineStr">
        <is>
          <t>Published</t>
        </is>
      </c>
    </row>
    <row r="50">
      <c r="A50">
        <f>HYPERLINK("https://www.walmart.com/ip/1171855060", "1171855060")</f>
        <v/>
      </c>
      <c r="B50">
        <f>HYPERLINK("https://app.optiwise.ai/catalog/itemdetails/10031992", "Wrangler Men’s Leather Country Casual Every Day Dress Belt for Jeans, Khakis Black 38")</f>
        <v/>
      </c>
      <c r="C50" t="inlineStr">
        <is>
          <t>WR-BELT-MENS-COUNTRY-BLACK-38</t>
        </is>
      </c>
      <c r="D50" t="inlineStr">
        <is>
          <t>Clothing</t>
        </is>
      </c>
      <c r="E50" t="inlineStr">
        <is>
          <t>Belts</t>
        </is>
      </c>
      <c r="F50" t="inlineStr">
        <is>
          <t>Wrangler</t>
        </is>
      </c>
      <c r="G50" t="n">
        <v>0</v>
      </c>
      <c r="H50" t="n">
        <v>0</v>
      </c>
      <c r="I50" t="inlineStr">
        <is>
          <t>Belts</t>
        </is>
      </c>
      <c r="J50" s="29" t="n">
        <v>426.81</v>
      </c>
      <c r="K50" s="30" t="n">
        <v>0.0037</v>
      </c>
      <c r="L50" s="29" t="n">
        <v>125.9199981689453</v>
      </c>
      <c r="M50" s="29" t="n">
        <v>0</v>
      </c>
      <c r="N50" s="2" t="n">
        <v>21</v>
      </c>
      <c r="O50" s="31" t="n">
        <v>1.72</v>
      </c>
      <c r="P50" s="32" t="n">
        <v>0.0002</v>
      </c>
      <c r="Q50" s="32" t="n">
        <v>0.004</v>
      </c>
      <c r="R50" s="32" t="n">
        <v>0.0218</v>
      </c>
      <c r="S50" s="31" t="n">
        <v>0</v>
      </c>
      <c r="T50" s="32" t="n">
        <v>0</v>
      </c>
      <c r="U50" s="31" t="n">
        <v>0</v>
      </c>
      <c r="V50" s="31" t="n">
        <v>0</v>
      </c>
      <c r="W50" s="3" t="n">
        <v>1419</v>
      </c>
      <c r="X50" s="3" t="n">
        <v>3</v>
      </c>
      <c r="Y50" s="32" t="n">
        <v>0.0021</v>
      </c>
      <c r="Z50" s="3" t="n">
        <v>0</v>
      </c>
      <c r="AA50" s="32" t="n">
        <v>0</v>
      </c>
      <c r="AB50" s="3" t="inlineStr">
        <is>
          <t>Belts Manual_Optiwise,Belts_Auto_Optiwise</t>
        </is>
      </c>
      <c r="AC50" s="31" t="n">
        <v>0.57</v>
      </c>
      <c r="AD50" s="2" t="n">
        <v>113</v>
      </c>
      <c r="AE50" s="2" t="n">
        <v>192</v>
      </c>
      <c r="AF50" s="4" t="n">
        <v>189</v>
      </c>
      <c r="AG50" s="33" t="n">
        <v>426.81</v>
      </c>
      <c r="AH50" s="4" t="n">
        <v>21</v>
      </c>
      <c r="AI50" s="34" t="n">
        <v>0.1111</v>
      </c>
      <c r="AJ50" s="34" t="n">
        <v>1</v>
      </c>
      <c r="AK50" s="2" t="n">
        <v>642</v>
      </c>
      <c r="AL50" t="inlineStr">
        <is>
          <t>Published</t>
        </is>
      </c>
    </row>
    <row r="51">
      <c r="A51">
        <f>HYPERLINK("https://www.walmart.com/ip/206900049", "206900049")</f>
        <v/>
      </c>
      <c r="B51">
        <f>HYPERLINK("https://app.optiwise.ai/catalog/itemdetails/359245", "Tirrinia 2 Bottle Wine Tote Carrier - Leakproof &amp; Insulated &amp; Padded Versatile Cooler Bag for Travel, BYOB Restaurant, Wine Tasting, Party, Great Christmas Gift for Wine Lover, Stripe")</f>
        <v/>
      </c>
      <c r="C51" t="inlineStr">
        <is>
          <t>1KTWB220STR</t>
        </is>
      </c>
      <c r="D51" t="inlineStr">
        <is>
          <t>Home Decor, Kitchen, &amp; Other</t>
        </is>
      </c>
      <c r="E51" t="inlineStr">
        <is>
          <t>Wine Totes, Bags &amp; Backpacks</t>
        </is>
      </c>
      <c r="F51" t="inlineStr">
        <is>
          <t>Tirrinia</t>
        </is>
      </c>
      <c r="G51" t="n">
        <v>4.8</v>
      </c>
      <c r="H51" t="n">
        <v>16</v>
      </c>
      <c r="I51" t="inlineStr">
        <is>
          <t>Wine,Wine Bag Camp,Christmas,Wine WFS,Valentine,WFS Item,AMZ Bestsellers</t>
        </is>
      </c>
      <c r="J51" s="29" t="n">
        <v>423.72</v>
      </c>
      <c r="K51" s="30" t="n">
        <v>0.0037</v>
      </c>
      <c r="L51" s="29" t="n">
        <v>0</v>
      </c>
      <c r="M51" s="29" t="n">
        <v>0</v>
      </c>
      <c r="N51" s="2" t="n">
        <v>19</v>
      </c>
      <c r="O51" s="31" t="n">
        <v>14.83</v>
      </c>
      <c r="P51" s="32" t="n">
        <v>0.0018</v>
      </c>
      <c r="Q51" s="32" t="n">
        <v>0.035</v>
      </c>
      <c r="R51" s="32" t="n">
        <v>0.0137</v>
      </c>
      <c r="S51" s="31" t="n">
        <v>12.74</v>
      </c>
      <c r="T51" s="32" t="n">
        <v>0.08</v>
      </c>
      <c r="U51" s="31" t="n">
        <v>188.91</v>
      </c>
      <c r="V51" s="31" t="n">
        <v>188.91</v>
      </c>
      <c r="W51" s="3" t="n">
        <v>7611</v>
      </c>
      <c r="X51" s="3" t="n">
        <v>38</v>
      </c>
      <c r="Y51" s="32" t="n">
        <v>0.005</v>
      </c>
      <c r="Z51" s="3" t="n">
        <v>9</v>
      </c>
      <c r="AA51" s="32" t="n">
        <v>0.2368</v>
      </c>
      <c r="AB51" s="3" t="inlineStr">
        <is>
          <t>Need to sell these SKUs by 15th Feb</t>
        </is>
      </c>
      <c r="AC51" s="31" t="n">
        <v>0.39</v>
      </c>
      <c r="AD51" s="2" t="n">
        <v>109</v>
      </c>
      <c r="AE51" s="2" t="n">
        <v>117</v>
      </c>
      <c r="AF51" s="4" t="n">
        <v>79</v>
      </c>
      <c r="AG51" s="33" t="n">
        <v>234.81</v>
      </c>
      <c r="AH51" s="4" t="n">
        <v>10</v>
      </c>
      <c r="AI51" s="34" t="n">
        <v>0.1266</v>
      </c>
      <c r="AJ51" s="34" t="n">
        <v>0.5542</v>
      </c>
      <c r="AK51" s="2" t="n">
        <v>746</v>
      </c>
      <c r="AL51" t="inlineStr">
        <is>
          <t>Published</t>
        </is>
      </c>
    </row>
    <row r="52">
      <c r="A52">
        <f>HYPERLINK("https://www.walmart.com/ip/238219006", "238219006")</f>
        <v/>
      </c>
      <c r="B52">
        <f>HYPERLINK("https://app.optiwise.ai/catalog/itemdetails/361141", "Flyingstar Lunch Bag for Women, Men and Kids, Insulated Lunch Tote for Work, School and Picnic, Fashionable Cooler Bag, Black Dot, Medium Size")</f>
        <v/>
      </c>
      <c r="C52" t="inlineStr">
        <is>
          <t>1WMLB704BKDOT</t>
        </is>
      </c>
      <c r="D52" t="inlineStr">
        <is>
          <t>Home Decor, Kitchen, &amp; Other</t>
        </is>
      </c>
      <c r="E52" t="inlineStr">
        <is>
          <t>Reusable Lunch Bags &amp; Boxes</t>
        </is>
      </c>
      <c r="F52" t="inlineStr">
        <is>
          <t>Flyingstar</t>
        </is>
      </c>
      <c r="G52" t="n">
        <v>4.5</v>
      </c>
      <c r="H52" t="n">
        <v>51</v>
      </c>
      <c r="I52" t="inlineStr">
        <is>
          <t>Q2-Target,Lunch Bag,WFS,Lunch Bags,WFS Item</t>
        </is>
      </c>
      <c r="J52" s="29" t="n">
        <v>420.6</v>
      </c>
      <c r="K52" s="30" t="n">
        <v>0.0036</v>
      </c>
      <c r="L52" s="29" t="n">
        <v>42.95999908447266</v>
      </c>
      <c r="M52" s="29" t="n">
        <v>0</v>
      </c>
      <c r="N52" s="2" t="n">
        <v>40</v>
      </c>
      <c r="O52" s="31" t="n">
        <v>0</v>
      </c>
      <c r="P52" s="32" t="n"/>
      <c r="Q52" s="32" t="n">
        <v>0</v>
      </c>
      <c r="R52" s="32" t="n">
        <v>0.0389</v>
      </c>
      <c r="S52" s="31" t="n">
        <v>0</v>
      </c>
      <c r="T52" s="32" t="n">
        <v>0</v>
      </c>
      <c r="U52" s="31" t="n">
        <v>0</v>
      </c>
      <c r="V52" s="31" t="n">
        <v>0</v>
      </c>
      <c r="W52" s="3" t="n">
        <v>0</v>
      </c>
      <c r="X52" s="3" t="n">
        <v>0</v>
      </c>
      <c r="Y52" s="32" t="n">
        <v>0</v>
      </c>
      <c r="Z52" s="3" t="n">
        <v>0</v>
      </c>
      <c r="AA52" s="32" t="n">
        <v>0</v>
      </c>
      <c r="AB52" s="3" t="n"/>
      <c r="AC52" s="31" t="n">
        <v>0</v>
      </c>
      <c r="AD52" s="2" t="n">
        <v>1251</v>
      </c>
      <c r="AE52" s="2" t="n">
        <v>350</v>
      </c>
      <c r="AF52" s="4" t="n">
        <v>901</v>
      </c>
      <c r="AG52" s="33" t="n">
        <v>420.6</v>
      </c>
      <c r="AH52" s="4" t="n">
        <v>40</v>
      </c>
      <c r="AI52" s="34" t="n">
        <v>0.0444</v>
      </c>
      <c r="AJ52" s="34" t="n">
        <v>1</v>
      </c>
      <c r="AK52" s="2" t="n">
        <v>357</v>
      </c>
      <c r="AL52" t="inlineStr">
        <is>
          <t>Published</t>
        </is>
      </c>
    </row>
    <row r="53">
      <c r="A53">
        <f>HYPERLINK("https://www.walmart.com/ip/302775996", "302775996")</f>
        <v/>
      </c>
      <c r="B53">
        <f>HYPERLINK("https://app.optiwise.ai/catalog/itemdetails/416867", "Catalonia King Size Sherpa Comforter Set, Ultra-soft Reversible Fluffy Micromink Bedding Set-3 Pieces, 1 Comforter and 2 Pillow Shams, 90x103 inches")</f>
        <v/>
      </c>
      <c r="C53" t="inlineStr">
        <is>
          <t>1CTBQ300KI-BL</t>
        </is>
      </c>
      <c r="D53" t="inlineStr">
        <is>
          <t>Bedding</t>
        </is>
      </c>
      <c r="E53" t="inlineStr">
        <is>
          <t>Bedding Sets</t>
        </is>
      </c>
      <c r="F53" t="inlineStr">
        <is>
          <t>Catalonia</t>
        </is>
      </c>
      <c r="G53" t="n">
        <v>4.5</v>
      </c>
      <c r="H53" t="n">
        <v>63</v>
      </c>
      <c r="I53" t="inlineStr">
        <is>
          <t>WFS,WFS Item</t>
        </is>
      </c>
      <c r="J53" s="29" t="n">
        <v>410.91</v>
      </c>
      <c r="K53" s="30" t="n">
        <v>0.0035</v>
      </c>
      <c r="L53" s="29" t="n">
        <v>45.9900016784668</v>
      </c>
      <c r="M53" s="29" t="n">
        <v>0</v>
      </c>
      <c r="N53" s="2" t="n">
        <v>9</v>
      </c>
      <c r="O53" s="31" t="n">
        <v>0</v>
      </c>
      <c r="P53" s="32" t="n"/>
      <c r="Q53" s="32" t="n">
        <v>0</v>
      </c>
      <c r="R53" s="32" t="n">
        <v>0.0309</v>
      </c>
      <c r="S53" s="31" t="n">
        <v>0</v>
      </c>
      <c r="T53" s="32" t="n">
        <v>0</v>
      </c>
      <c r="U53" s="31" t="n">
        <v>0</v>
      </c>
      <c r="V53" s="31" t="n">
        <v>0</v>
      </c>
      <c r="W53" s="3" t="n">
        <v>168</v>
      </c>
      <c r="X53" s="3" t="n">
        <v>0</v>
      </c>
      <c r="Y53" s="32" t="n">
        <v>0</v>
      </c>
      <c r="Z53" s="3" t="n">
        <v>0</v>
      </c>
      <c r="AA53" s="32" t="n">
        <v>0</v>
      </c>
      <c r="AB53" s="3" t="inlineStr">
        <is>
          <t>Top Selling Last Year 2023</t>
        </is>
      </c>
      <c r="AC53" s="31" t="n">
        <v>0</v>
      </c>
      <c r="AD53" s="2" t="n">
        <v>275</v>
      </c>
      <c r="AE53" s="2" t="n">
        <v>206</v>
      </c>
      <c r="AF53" s="4" t="n">
        <v>206</v>
      </c>
      <c r="AG53" s="33" t="n">
        <v>410.91</v>
      </c>
      <c r="AH53" s="4" t="n">
        <v>9</v>
      </c>
      <c r="AI53" s="34" t="n">
        <v>0.0437</v>
      </c>
      <c r="AJ53" s="34" t="n">
        <v>1</v>
      </c>
      <c r="AK53" s="2" t="n">
        <v>1500</v>
      </c>
      <c r="AL53" t="inlineStr">
        <is>
          <t>Published</t>
        </is>
      </c>
    </row>
    <row r="54">
      <c r="A54">
        <f>HYPERLINK("https://www.walmart.com/ip/386484169", "386484169")</f>
        <v/>
      </c>
      <c r="B54">
        <f>HYPERLINK("https://app.optiwise.ai/catalog/itemdetails/360937", "Pawsse Waterproof Dog Blanket for Bed, Pee Proof Pet Blankets for Couch Sofa Cover, Reversible Furniture Protector Sherpa Cushion Mat for Small to Medium Large Dog, Large, Camel/Tuape, 60 x 80")</f>
        <v/>
      </c>
      <c r="C54" t="inlineStr">
        <is>
          <t>1PSBW681TPTP</t>
        </is>
      </c>
      <c r="D54" t="inlineStr">
        <is>
          <t>Animal Accessories</t>
        </is>
      </c>
      <c r="E54" t="inlineStr">
        <is>
          <t>Pet Blankets</t>
        </is>
      </c>
      <c r="F54" t="inlineStr">
        <is>
          <t>Pawsse</t>
        </is>
      </c>
      <c r="G54" t="n">
        <v>5</v>
      </c>
      <c r="H54" t="n">
        <v>9</v>
      </c>
      <c r="I54" t="inlineStr">
        <is>
          <t>WFS,High AUR Items,Wproof Blanket,WFS Item</t>
        </is>
      </c>
      <c r="J54" s="29" t="n">
        <v>406.89</v>
      </c>
      <c r="K54" s="30" t="n">
        <v>0.0035</v>
      </c>
      <c r="L54" s="29" t="n">
        <v>0</v>
      </c>
      <c r="M54" s="29" t="n">
        <v>0</v>
      </c>
      <c r="N54" s="2" t="n">
        <v>11</v>
      </c>
      <c r="O54" s="31" t="n">
        <v>35.12000000000003</v>
      </c>
      <c r="P54" s="32" t="n">
        <v>0.0042</v>
      </c>
      <c r="Q54" s="32" t="n">
        <v>0.0863</v>
      </c>
      <c r="R54" s="32" t="n">
        <v>0.0546</v>
      </c>
      <c r="S54" s="31" t="n">
        <v>6.43</v>
      </c>
      <c r="T54" s="32" t="n">
        <v>0.16</v>
      </c>
      <c r="U54" s="31" t="n">
        <v>225.94</v>
      </c>
      <c r="V54" s="31" t="n">
        <v>130.97</v>
      </c>
      <c r="W54" s="3" t="n">
        <v>57076</v>
      </c>
      <c r="X54" s="3" t="n">
        <v>87</v>
      </c>
      <c r="Y54" s="32" t="n">
        <v>0.0015</v>
      </c>
      <c r="Z54" s="3" t="n">
        <v>6</v>
      </c>
      <c r="AA54" s="32" t="n">
        <v>0.06900000000000001</v>
      </c>
      <c r="AB54" s="3" t="inlineStr">
        <is>
          <t>Auto for BW PET 2 ---Rachel,High AUR SKUs_Optiwise_2024</t>
        </is>
      </c>
      <c r="AC54" s="31" t="n">
        <v>0.4</v>
      </c>
      <c r="AD54" s="2" t="n">
        <v>84</v>
      </c>
      <c r="AE54" s="2" t="n">
        <v>166</v>
      </c>
      <c r="AF54" s="4" t="n">
        <v>79</v>
      </c>
      <c r="AG54" s="33" t="n">
        <v>180.95</v>
      </c>
      <c r="AH54" s="4" t="n">
        <v>5</v>
      </c>
      <c r="AI54" s="34" t="n">
        <v>0.0633</v>
      </c>
      <c r="AJ54" s="34" t="n">
        <v>0.4447</v>
      </c>
      <c r="AK54" s="2" t="n">
        <v>1227</v>
      </c>
      <c r="AL54" t="inlineStr">
        <is>
          <t>Published</t>
        </is>
      </c>
    </row>
    <row r="55">
      <c r="A55">
        <f>HYPERLINK("https://www.walmart.com/ip/10286421989", "10286421989")</f>
        <v/>
      </c>
      <c r="B55">
        <f>HYPERLINK("https://app.optiwise.ai/catalog/itemdetails/10031974", "Wrangler Men’s Leather Country Casual Every Day Dress Belt for Jeans, Khakis Black 40")</f>
        <v/>
      </c>
      <c r="C55" t="inlineStr">
        <is>
          <t>WR-BELT-MENS-COUNTRY-BLACK-40</t>
        </is>
      </c>
      <c r="D55" t="inlineStr">
        <is>
          <t>Clothing</t>
        </is>
      </c>
      <c r="E55" t="inlineStr">
        <is>
          <t>Belts</t>
        </is>
      </c>
      <c r="F55" t="inlineStr">
        <is>
          <t>Wrangler</t>
        </is>
      </c>
      <c r="G55" t="n">
        <v>4.5</v>
      </c>
      <c r="H55" t="n">
        <v>4</v>
      </c>
      <c r="I55" t="inlineStr">
        <is>
          <t>Belts</t>
        </is>
      </c>
      <c r="J55" s="29" t="n">
        <v>406.79</v>
      </c>
      <c r="K55" s="30" t="n">
        <v>0.0035</v>
      </c>
      <c r="L55" s="29" t="n">
        <v>119.939998626709</v>
      </c>
      <c r="M55" s="29" t="n">
        <v>0</v>
      </c>
      <c r="N55" s="2" t="n">
        <v>20</v>
      </c>
      <c r="O55" s="31" t="n">
        <v>0</v>
      </c>
      <c r="P55" s="32" t="n"/>
      <c r="Q55" s="32" t="n">
        <v>0</v>
      </c>
      <c r="R55" s="32" t="n">
        <v>0.0329</v>
      </c>
      <c r="S55" s="31" t="n">
        <v>0</v>
      </c>
      <c r="T55" s="32" t="n">
        <v>0</v>
      </c>
      <c r="U55" s="31" t="n">
        <v>0</v>
      </c>
      <c r="V55" s="31" t="n">
        <v>0</v>
      </c>
      <c r="W55" s="3" t="n">
        <v>449</v>
      </c>
      <c r="X55" s="3" t="n">
        <v>0</v>
      </c>
      <c r="Y55" s="32" t="n">
        <v>0</v>
      </c>
      <c r="Z55" s="3" t="n">
        <v>0</v>
      </c>
      <c r="AA55" s="32" t="n">
        <v>0</v>
      </c>
      <c r="AB55" s="3" t="inlineStr">
        <is>
          <t>Belts Manual_Optiwise,Need to sell these SKUs by 15th Feb</t>
        </is>
      </c>
      <c r="AC55" s="31" t="n">
        <v>0</v>
      </c>
      <c r="AD55" s="2" t="n">
        <v>29</v>
      </c>
      <c r="AE55" s="2" t="n">
        <v>46</v>
      </c>
      <c r="AF55" s="4" t="n">
        <v>46</v>
      </c>
      <c r="AG55" s="33" t="n">
        <v>406.79</v>
      </c>
      <c r="AH55" s="4" t="n">
        <v>20</v>
      </c>
      <c r="AI55" s="34" t="n">
        <v>0.4348</v>
      </c>
      <c r="AJ55" s="34" t="n">
        <v>1</v>
      </c>
      <c r="AK55" s="2" t="n">
        <v>675</v>
      </c>
      <c r="AL55" t="inlineStr">
        <is>
          <t>Published</t>
        </is>
      </c>
    </row>
    <row r="56">
      <c r="A56">
        <f>HYPERLINK("https://www.walmart.com/ip/107158532", "107158532")</f>
        <v/>
      </c>
      <c r="B56">
        <f>HYPERLINK("https://app.optiwise.ai/catalog/itemdetails/361871", "Catalonia Wearable Blanket with Sleeves and Pocket, Cozy Soft Fleece Micro Plush Wrap Adult Snuggie Blanket Robe for Women Men, Cheetah Pattern Makes a Great Gift for Holidays.")</f>
        <v/>
      </c>
      <c r="C56" t="inlineStr">
        <is>
          <t>1CTSN100CHEETAH</t>
        </is>
      </c>
      <c r="D56" t="inlineStr">
        <is>
          <t>Bedding</t>
        </is>
      </c>
      <c r="E56" t="inlineStr">
        <is>
          <t>Throws</t>
        </is>
      </c>
      <c r="F56" t="inlineStr">
        <is>
          <t>Catalonia</t>
        </is>
      </c>
      <c r="G56" t="n">
        <v>4.6</v>
      </c>
      <c r="H56" t="n">
        <v>38</v>
      </c>
      <c r="I56" t="inlineStr">
        <is>
          <t>WFS,WFS Item</t>
        </is>
      </c>
      <c r="J56" s="29" t="n">
        <v>406.79</v>
      </c>
      <c r="K56" s="30" t="n">
        <v>0.0035</v>
      </c>
      <c r="L56" s="29" t="n">
        <v>0</v>
      </c>
      <c r="M56" s="29" t="n">
        <v>0</v>
      </c>
      <c r="N56" s="2" t="n">
        <v>20</v>
      </c>
      <c r="O56" s="31" t="n">
        <v>92.53</v>
      </c>
      <c r="P56" s="32" t="n">
        <v>0.0111</v>
      </c>
      <c r="Q56" s="32" t="n">
        <v>0.2275</v>
      </c>
      <c r="R56" s="32" t="n">
        <v>0</v>
      </c>
      <c r="S56" s="31" t="n">
        <v>3.9</v>
      </c>
      <c r="T56" s="32" t="n">
        <v>0.26</v>
      </c>
      <c r="U56" s="31" t="n">
        <v>360.83</v>
      </c>
      <c r="V56" s="31" t="n">
        <v>334.84</v>
      </c>
      <c r="W56" s="3" t="n">
        <v>90819</v>
      </c>
      <c r="X56" s="3" t="n">
        <v>280</v>
      </c>
      <c r="Y56" s="32" t="n">
        <v>0.0031</v>
      </c>
      <c r="Z56" s="3" t="n">
        <v>17</v>
      </c>
      <c r="AA56" s="32" t="n">
        <v>0.0607</v>
      </c>
      <c r="AB56" s="3" t="inlineStr">
        <is>
          <t>Throws_Auto_Optiwise_24</t>
        </is>
      </c>
      <c r="AC56" s="31" t="n">
        <v>0.33</v>
      </c>
      <c r="AD56" s="2" t="n">
        <v>259</v>
      </c>
      <c r="AE56" s="2" t="n">
        <v>178</v>
      </c>
      <c r="AF56" s="4" t="inlineStr">
        <is>
          <t>NA</t>
        </is>
      </c>
      <c r="AG56" s="33" t="n">
        <v>45.95999999999998</v>
      </c>
      <c r="AH56" s="4" t="n">
        <v>3</v>
      </c>
      <c r="AI56" s="34" t="inlineStr">
        <is>
          <t>NA</t>
        </is>
      </c>
      <c r="AJ56" s="34" t="n">
        <v>0.113</v>
      </c>
      <c r="AK56" s="2" t="n">
        <v>675</v>
      </c>
      <c r="AL56" t="inlineStr">
        <is>
          <t>Published</t>
        </is>
      </c>
    </row>
    <row r="57">
      <c r="A57">
        <f>HYPERLINK("https://www.walmart.com/ip/127000472", "127000472")</f>
        <v/>
      </c>
      <c r="B57">
        <f>HYPERLINK("https://app.optiwise.ai/catalog/itemdetails/362536", "Men's Sun Hat with Neck Flap, Wide Brim Fishing Safari Hiking Hat, UPF 50+ Protection, Adjustable Chin Strap")</f>
        <v/>
      </c>
      <c r="C57" t="inlineStr">
        <is>
          <t>1SlSH923TN</t>
        </is>
      </c>
      <c r="D57" t="inlineStr">
        <is>
          <t>Clothing</t>
        </is>
      </c>
      <c r="E57" t="inlineStr">
        <is>
          <t>Hats</t>
        </is>
      </c>
      <c r="F57" t="inlineStr">
        <is>
          <t>Solaris</t>
        </is>
      </c>
      <c r="G57" t="n">
        <v>4.6</v>
      </c>
      <c r="H57" t="n">
        <v>23</v>
      </c>
      <c r="I57" t="inlineStr">
        <is>
          <t>Q2-Target,WFS</t>
        </is>
      </c>
      <c r="J57" s="29" t="n">
        <v>404.73</v>
      </c>
      <c r="K57" s="30" t="n">
        <v>0.0035</v>
      </c>
      <c r="L57" s="29" t="n">
        <v>17.98999977111816</v>
      </c>
      <c r="M57" s="29" t="n">
        <v>0</v>
      </c>
      <c r="N57" s="2" t="n">
        <v>24</v>
      </c>
      <c r="O57" s="31" t="n">
        <v>118.65</v>
      </c>
      <c r="P57" s="32" t="n">
        <v>0.0142</v>
      </c>
      <c r="Q57" s="32" t="n">
        <v>0.2932</v>
      </c>
      <c r="R57" s="32" t="n">
        <v>0.066</v>
      </c>
      <c r="S57" s="31" t="n">
        <v>4.21</v>
      </c>
      <c r="T57" s="32" t="n">
        <v>0.24</v>
      </c>
      <c r="U57" s="31" t="n">
        <v>499.6800000000001</v>
      </c>
      <c r="V57" s="31" t="n">
        <v>499.6800000000001</v>
      </c>
      <c r="W57" s="3" t="n">
        <v>139100</v>
      </c>
      <c r="X57" s="3" t="n">
        <v>381</v>
      </c>
      <c r="Y57" s="32" t="n">
        <v>0.0027</v>
      </c>
      <c r="Z57" s="3" t="n">
        <v>32</v>
      </c>
      <c r="AA57" s="32" t="n">
        <v>0.08400000000000001</v>
      </c>
      <c r="AB57" s="3" t="inlineStr">
        <is>
          <t>Auto Campaign_Vinay</t>
        </is>
      </c>
      <c r="AC57" s="31" t="n">
        <v>0.31</v>
      </c>
      <c r="AD57" s="2" t="n">
        <v>229</v>
      </c>
      <c r="AE57" s="2" t="n">
        <v>287</v>
      </c>
      <c r="AF57" s="4" t="inlineStr">
        <is>
          <t>NA</t>
        </is>
      </c>
      <c r="AG57" s="33" t="n">
        <v>-94.95000000000005</v>
      </c>
      <c r="AH57" s="4" t="n">
        <v>-8</v>
      </c>
      <c r="AI57" s="34" t="inlineStr">
        <is>
          <t>NA</t>
        </is>
      </c>
      <c r="AJ57" s="34" t="n">
        <v>-0.2346</v>
      </c>
      <c r="AK57" s="2" t="n">
        <v>585</v>
      </c>
      <c r="AL57" t="inlineStr">
        <is>
          <t>Published</t>
        </is>
      </c>
    </row>
    <row r="58">
      <c r="A58">
        <f>HYPERLINK("https://www.walmart.com/ip/537572511", "537572511")</f>
        <v/>
      </c>
      <c r="B58">
        <f>HYPERLINK("https://app.optiwise.ai/catalog/itemdetails/5423733", "Catalonia Surf Beach Changing Towel With Hood, Super Absorbent Microfiber Swim Robe Poncho for Men Women Bath Shower Pool,Gray")</f>
        <v/>
      </c>
      <c r="C58" t="inlineStr">
        <is>
          <t>1CTBR102-GY</t>
        </is>
      </c>
      <c r="D58" t="inlineStr">
        <is>
          <t>Home Decor, Kitchen, &amp; Other</t>
        </is>
      </c>
      <c r="E58" t="inlineStr">
        <is>
          <t>Towels &amp; Washcloths</t>
        </is>
      </c>
      <c r="F58" t="inlineStr">
        <is>
          <t>Catalonia</t>
        </is>
      </c>
      <c r="G58" t="n">
        <v>0</v>
      </c>
      <c r="H58" t="n">
        <v>0</v>
      </c>
      <c r="J58" s="29" t="n">
        <v>396.38</v>
      </c>
      <c r="K58" s="30" t="n">
        <v>0.0034</v>
      </c>
      <c r="L58" s="29" t="n">
        <v>0</v>
      </c>
      <c r="M58" s="29" t="n">
        <v>22.98999977111816</v>
      </c>
      <c r="N58" s="2" t="n">
        <v>17</v>
      </c>
      <c r="O58" s="31" t="n">
        <v>85.72</v>
      </c>
      <c r="P58" s="32" t="n">
        <v>0.0103</v>
      </c>
      <c r="Q58" s="32" t="n">
        <v>0.2163</v>
      </c>
      <c r="R58" s="32" t="n">
        <v>0</v>
      </c>
      <c r="S58" s="31" t="n">
        <v>6.08</v>
      </c>
      <c r="T58" s="32" t="n">
        <v>0.16</v>
      </c>
      <c r="U58" s="31" t="n">
        <v>521.59</v>
      </c>
      <c r="V58" s="31" t="n">
        <v>521.59</v>
      </c>
      <c r="W58" s="3" t="n">
        <v>19172</v>
      </c>
      <c r="X58" s="3" t="n">
        <v>181</v>
      </c>
      <c r="Y58" s="32" t="n">
        <v>0.0094</v>
      </c>
      <c r="Z58" s="3" t="n">
        <v>22</v>
      </c>
      <c r="AA58" s="32" t="n">
        <v>0.1215</v>
      </c>
      <c r="AB58" s="3" t="inlineStr">
        <is>
          <t>Need to sell these SKUs by 15th Feb</t>
        </is>
      </c>
      <c r="AC58" s="31" t="n">
        <v>0.47</v>
      </c>
      <c r="AD58" s="2" t="n">
        <v>27</v>
      </c>
      <c r="AE58" s="2" t="n">
        <v>122</v>
      </c>
      <c r="AF58" s="4" t="inlineStr">
        <is>
          <t>NA</t>
        </is>
      </c>
      <c r="AG58" s="33" t="n">
        <v>-125.21</v>
      </c>
      <c r="AH58" s="4" t="n">
        <v>-5</v>
      </c>
      <c r="AI58" s="34" t="inlineStr">
        <is>
          <t>NA</t>
        </is>
      </c>
      <c r="AJ58" s="34" t="n">
        <v>-0.3159</v>
      </c>
      <c r="AK58" s="2" t="n">
        <v>794</v>
      </c>
      <c r="AL58" t="inlineStr">
        <is>
          <t>Published</t>
        </is>
      </c>
    </row>
    <row r="59">
      <c r="A59">
        <f>HYPERLINK("https://www.walmart.com/ip/6044655190", "6044655190")</f>
        <v/>
      </c>
      <c r="B59">
        <f>HYPERLINK("https://app.optiwise.ai/catalog/itemdetails/9583861", "Tirrinia Waterproof Outdoor Blanket with Sherpa Lining, Insulated Waterproof Oxford &amp; Plush Sherpa, Foldable for Stadium Camping, Sports, Picnic, Grass, Concerts, Pet,60” x 80”")</f>
        <v/>
      </c>
      <c r="C59" t="inlineStr">
        <is>
          <t>1TRBW70168BKGY</t>
        </is>
      </c>
      <c r="D59" t="inlineStr">
        <is>
          <t>Sport &amp; Recreation Other</t>
        </is>
      </c>
      <c r="E59" t="inlineStr">
        <is>
          <t>Picnic Blankets &amp; Mats</t>
        </is>
      </c>
      <c r="F59" t="inlineStr">
        <is>
          <t>Tirrinia</t>
        </is>
      </c>
      <c r="G59" t="n">
        <v>0</v>
      </c>
      <c r="H59" t="n">
        <v>0</v>
      </c>
      <c r="J59" s="29" t="n">
        <v>389.88</v>
      </c>
      <c r="K59" s="30" t="n">
        <v>0.0034</v>
      </c>
      <c r="L59" s="29" t="n">
        <v>0</v>
      </c>
      <c r="M59" s="29" t="n">
        <v>0</v>
      </c>
      <c r="N59" s="2" t="n">
        <v>12</v>
      </c>
      <c r="O59" s="31" t="n">
        <v>3.26</v>
      </c>
      <c r="P59" s="32" t="n">
        <v>0.0004</v>
      </c>
      <c r="Q59" s="32" t="n">
        <v>0.008399999999999999</v>
      </c>
      <c r="R59" s="32" t="n">
        <v>0</v>
      </c>
      <c r="S59" s="31" t="n">
        <v>0</v>
      </c>
      <c r="T59" s="32" t="n">
        <v>0</v>
      </c>
      <c r="U59" s="31" t="n">
        <v>0</v>
      </c>
      <c r="V59" s="31" t="n">
        <v>0</v>
      </c>
      <c r="W59" s="3" t="n">
        <v>7920</v>
      </c>
      <c r="X59" s="3" t="n">
        <v>8</v>
      </c>
      <c r="Y59" s="32" t="n">
        <v>0.001</v>
      </c>
      <c r="Z59" s="3" t="n">
        <v>0</v>
      </c>
      <c r="AA59" s="32" t="n">
        <v>0</v>
      </c>
      <c r="AB59" s="3" t="inlineStr">
        <is>
          <t>WFS Inventory</t>
        </is>
      </c>
      <c r="AC59" s="31" t="n">
        <v>0.41</v>
      </c>
      <c r="AD59" s="2" t="n">
        <v>0</v>
      </c>
      <c r="AE59" s="2" t="n">
        <v>24</v>
      </c>
      <c r="AF59" s="4" t="n">
        <v>16</v>
      </c>
      <c r="AG59" s="33" t="n">
        <v>389.88</v>
      </c>
      <c r="AH59" s="4" t="n">
        <v>12</v>
      </c>
      <c r="AI59" s="34" t="n">
        <v>0.75</v>
      </c>
      <c r="AJ59" s="34" t="n">
        <v>1</v>
      </c>
      <c r="AK59" s="2" t="n">
        <v>1248</v>
      </c>
      <c r="AL59" t="inlineStr">
        <is>
          <t>Published</t>
        </is>
      </c>
    </row>
    <row r="60">
      <c r="A60">
        <f>HYPERLINK("https://www.walmart.com/ip/923196431", "923196431")</f>
        <v/>
      </c>
      <c r="B60">
        <f>HYPERLINK("https://app.optiwise.ai/catalog/itemdetails/360793", "Tirrinia Insulated Lunch Bag for Women and Men, Leakproof Thermal Reusable Lunch Box, Tall Meal Prep Lunch Cooler Tote, Large, 10L, Dark Blue, 10” x 8.5” x 9.3”.")</f>
        <v/>
      </c>
      <c r="C60" t="inlineStr">
        <is>
          <t>1TRLB701DBL-T</t>
        </is>
      </c>
      <c r="D60" t="inlineStr">
        <is>
          <t>Home Decor, Kitchen, &amp; Other</t>
        </is>
      </c>
      <c r="E60" t="inlineStr">
        <is>
          <t>Reusable Lunch Bags &amp; Boxes</t>
        </is>
      </c>
      <c r="F60" t="inlineStr">
        <is>
          <t>Tirrinia</t>
        </is>
      </c>
      <c r="G60" t="n">
        <v>0</v>
      </c>
      <c r="H60" t="n">
        <v>0</v>
      </c>
      <c r="I60" t="inlineStr">
        <is>
          <t>Q2-Target,Brand Camp VD,Lunch Bag,WFS,Lunch Bags,SEM,WFS Item</t>
        </is>
      </c>
      <c r="J60" s="29" t="n">
        <v>382.72</v>
      </c>
      <c r="K60" s="30" t="n">
        <v>0.0033</v>
      </c>
      <c r="L60" s="29" t="n">
        <v>0</v>
      </c>
      <c r="M60" s="29" t="n">
        <v>0</v>
      </c>
      <c r="N60" s="2" t="n">
        <v>28</v>
      </c>
      <c r="O60" s="31" t="n">
        <v>0</v>
      </c>
      <c r="P60" s="32" t="n"/>
      <c r="Q60" s="32" t="n">
        <v>0</v>
      </c>
      <c r="R60" s="32" t="n">
        <v>0.3748</v>
      </c>
      <c r="S60" s="31" t="n">
        <v>0</v>
      </c>
      <c r="T60" s="32" t="n">
        <v>0</v>
      </c>
      <c r="U60" s="31" t="n">
        <v>0</v>
      </c>
      <c r="V60" s="31" t="n">
        <v>0</v>
      </c>
      <c r="W60" s="3" t="n">
        <v>0</v>
      </c>
      <c r="X60" s="3" t="n">
        <v>0</v>
      </c>
      <c r="Y60" s="32" t="n">
        <v>0</v>
      </c>
      <c r="Z60" s="3" t="n">
        <v>0</v>
      </c>
      <c r="AA60" s="32" t="n">
        <v>0</v>
      </c>
      <c r="AB60" s="3" t="n"/>
      <c r="AC60" s="31" t="n">
        <v>0</v>
      </c>
      <c r="AD60" s="2" t="n">
        <v>100</v>
      </c>
      <c r="AE60" s="2" t="n">
        <v>94</v>
      </c>
      <c r="AF60" s="4" t="n">
        <v>94</v>
      </c>
      <c r="AG60" s="33" t="n">
        <v>382.72</v>
      </c>
      <c r="AH60" s="4" t="n">
        <v>28</v>
      </c>
      <c r="AI60" s="34" t="n">
        <v>0.2979</v>
      </c>
      <c r="AJ60" s="34" t="n">
        <v>1</v>
      </c>
      <c r="AK60" s="2" t="n">
        <v>482</v>
      </c>
      <c r="AL60" t="inlineStr">
        <is>
          <t>Published</t>
        </is>
      </c>
    </row>
    <row r="61">
      <c r="A61">
        <f>HYPERLINK("https://www.walmart.com/ip/10303765497", "10303765497")</f>
        <v/>
      </c>
      <c r="B61">
        <f>HYPERLINK("https://app.optiwise.ai/catalog/itemdetails/10032000", "Wrangler Men’s Full Grain Genuine Leather 35mm Thick Casual Belt for Jeans, Pants - Light Brown, 34")</f>
        <v/>
      </c>
      <c r="C61" t="inlineStr">
        <is>
          <t>WR-BELT-MENS-35MM-LTBROWN-34</t>
        </is>
      </c>
      <c r="D61" t="inlineStr">
        <is>
          <t>Clothing</t>
        </is>
      </c>
      <c r="E61" t="inlineStr">
        <is>
          <t>Belts</t>
        </is>
      </c>
      <c r="F61" t="inlineStr">
        <is>
          <t>Wrangler</t>
        </is>
      </c>
      <c r="G61" t="n">
        <v>0</v>
      </c>
      <c r="H61" t="n">
        <v>0</v>
      </c>
      <c r="I61" t="inlineStr">
        <is>
          <t>Belts</t>
        </is>
      </c>
      <c r="J61" s="29" t="n">
        <v>379.81</v>
      </c>
      <c r="K61" s="30" t="n">
        <v>0.0033</v>
      </c>
      <c r="L61" s="29" t="n">
        <v>112.9500007629395</v>
      </c>
      <c r="M61" s="29" t="n">
        <v>0</v>
      </c>
      <c r="N61" s="2" t="n">
        <v>19</v>
      </c>
      <c r="O61" s="31" t="n">
        <v>82.84999999999998</v>
      </c>
      <c r="P61" s="32" t="n">
        <v>0.009900000000000001</v>
      </c>
      <c r="Q61" s="32" t="n">
        <v>0.2181</v>
      </c>
      <c r="R61" s="32" t="n">
        <v>0</v>
      </c>
      <c r="S61" s="31" t="n">
        <v>6.15</v>
      </c>
      <c r="T61" s="32" t="n">
        <v>0.16</v>
      </c>
      <c r="U61" s="31" t="n">
        <v>509.7400000000001</v>
      </c>
      <c r="V61" s="31" t="n">
        <v>489.7500000000001</v>
      </c>
      <c r="W61" s="3" t="n">
        <v>14310</v>
      </c>
      <c r="X61" s="3" t="n">
        <v>216</v>
      </c>
      <c r="Y61" s="32" t="n">
        <v>0.0151</v>
      </c>
      <c r="Z61" s="3" t="n">
        <v>26</v>
      </c>
      <c r="AA61" s="32" t="n">
        <v>0.1204</v>
      </c>
      <c r="AB61" s="3" t="inlineStr">
        <is>
          <t>Need to sell these SKUs by 15th Feb</t>
        </is>
      </c>
      <c r="AC61" s="31" t="n">
        <v>0.38</v>
      </c>
      <c r="AD61" s="2" t="n">
        <v>131</v>
      </c>
      <c r="AE61" s="2" t="n">
        <v>176</v>
      </c>
      <c r="AF61" s="4" t="inlineStr">
        <is>
          <t>NA</t>
        </is>
      </c>
      <c r="AG61" s="33" t="n">
        <v>-129.9300000000001</v>
      </c>
      <c r="AH61" s="4" t="n">
        <v>-7</v>
      </c>
      <c r="AI61" s="34" t="inlineStr">
        <is>
          <t>NA</t>
        </is>
      </c>
      <c r="AJ61" s="34" t="n">
        <v>-0.3421</v>
      </c>
      <c r="AK61" s="2" t="n">
        <v>753</v>
      </c>
      <c r="AL61" t="inlineStr">
        <is>
          <t>Published</t>
        </is>
      </c>
    </row>
    <row r="62">
      <c r="A62">
        <f>HYPERLINK("https://www.walmart.com/ip/703963438", "703963438")</f>
        <v/>
      </c>
      <c r="B62">
        <f>HYPERLINK("https://app.optiwise.ai/catalog/itemdetails/361458", "Tirrinia Outdoors Waterproof Throw Blanket, Stadium Windproof Sherpa Fleece Blanket for Traveling, Camping, Hiking, and Football, Machine Washable, Navy Blue, 60'' x 80''")</f>
        <v/>
      </c>
      <c r="C62" t="inlineStr">
        <is>
          <t>1TRBW608NYGY</t>
        </is>
      </c>
      <c r="D62" t="inlineStr">
        <is>
          <t>Sport &amp; Recreation Other</t>
        </is>
      </c>
      <c r="E62" t="inlineStr">
        <is>
          <t>Throws</t>
        </is>
      </c>
      <c r="F62" t="inlineStr">
        <is>
          <t>Tirrinia</t>
        </is>
      </c>
      <c r="G62" t="n">
        <v>4.6</v>
      </c>
      <c r="H62" t="n">
        <v>25</v>
      </c>
      <c r="I62" t="inlineStr">
        <is>
          <t>Optimized,AMZ Bestsellers</t>
        </is>
      </c>
      <c r="J62" s="29" t="n">
        <v>375.9</v>
      </c>
      <c r="K62" s="30" t="n">
        <v>0.0032</v>
      </c>
      <c r="L62" s="29" t="n">
        <v>0</v>
      </c>
      <c r="M62" s="29" t="n">
        <v>0</v>
      </c>
      <c r="N62" s="2" t="n">
        <v>10</v>
      </c>
      <c r="O62" s="31" t="n">
        <v>27.17000000000001</v>
      </c>
      <c r="P62" s="32" t="n">
        <v>0.0033</v>
      </c>
      <c r="Q62" s="32" t="n">
        <v>0.0723</v>
      </c>
      <c r="R62" s="32" t="n">
        <v>0.0225</v>
      </c>
      <c r="S62" s="31" t="n">
        <v>6.14</v>
      </c>
      <c r="T62" s="32" t="n">
        <v>0.16</v>
      </c>
      <c r="U62" s="31" t="n">
        <v>166.95</v>
      </c>
      <c r="V62" s="31" t="n">
        <v>166.95</v>
      </c>
      <c r="W62" s="3" t="n">
        <v>41921</v>
      </c>
      <c r="X62" s="3" t="n">
        <v>65</v>
      </c>
      <c r="Y62" s="32" t="n">
        <v>0.0016</v>
      </c>
      <c r="Z62" s="3" t="n">
        <v>5</v>
      </c>
      <c r="AA62" s="32" t="n">
        <v>0.0769</v>
      </c>
      <c r="AB62" s="3" t="inlineStr">
        <is>
          <t>Throws_Auto_Optiwise_24</t>
        </is>
      </c>
      <c r="AC62" s="31" t="n">
        <v>0.42</v>
      </c>
      <c r="AD62" s="2" t="n">
        <v>88</v>
      </c>
      <c r="AE62" s="2" t="n">
        <v>272</v>
      </c>
      <c r="AF62" s="4" t="n">
        <v>207</v>
      </c>
      <c r="AG62" s="33" t="n">
        <v>208.95</v>
      </c>
      <c r="AH62" s="4" t="n">
        <v>5</v>
      </c>
      <c r="AI62" s="34" t="n">
        <v>0.0242</v>
      </c>
      <c r="AJ62" s="34" t="n">
        <v>0.5558999999999999</v>
      </c>
      <c r="AK62" s="2" t="n">
        <v>1350</v>
      </c>
      <c r="AL62" t="inlineStr">
        <is>
          <t>Published</t>
        </is>
      </c>
    </row>
    <row r="63">
      <c r="A63">
        <f>HYPERLINK("https://www.walmart.com/ip/549091363", "549091363")</f>
        <v/>
      </c>
      <c r="B63">
        <f>HYPERLINK("https://app.optiwise.ai/catalog/itemdetails/360553", "Tirrinia Insulated Lunch Bag for Women Men, Leakproof Thermal Reusable Lunch Box for Adult, Kids, Student, Lunch Cooler Tote for Office Work, Back to School, Medium, Red")</f>
        <v/>
      </c>
      <c r="C63" t="inlineStr">
        <is>
          <t>1TRLB701RD-N</t>
        </is>
      </c>
      <c r="D63" t="inlineStr">
        <is>
          <t>Home Decor, Kitchen, &amp; Other</t>
        </is>
      </c>
      <c r="E63" t="inlineStr">
        <is>
          <t>Reusable Lunch Bags &amp; Boxes</t>
        </is>
      </c>
      <c r="F63" t="inlineStr">
        <is>
          <t>Tirrinia</t>
        </is>
      </c>
      <c r="G63" t="n">
        <v>0</v>
      </c>
      <c r="H63" t="n">
        <v>0</v>
      </c>
      <c r="I63" t="inlineStr">
        <is>
          <t>Q2-Target,Brand Camp VD,Lunch Bag,WFS,Lunch Bags,SEM,WFS Item</t>
        </is>
      </c>
      <c r="J63" s="29" t="n">
        <v>373.89</v>
      </c>
      <c r="K63" s="30" t="n">
        <v>0.0032</v>
      </c>
      <c r="L63" s="29" t="n">
        <v>41.96999931335449</v>
      </c>
      <c r="M63" s="29" t="n">
        <v>13.98999977111816</v>
      </c>
      <c r="N63" s="2" t="n">
        <v>26</v>
      </c>
      <c r="O63" s="31" t="n">
        <v>0</v>
      </c>
      <c r="P63" s="32" t="n"/>
      <c r="Q63" s="32" t="n">
        <v>0</v>
      </c>
      <c r="R63" s="32" t="n">
        <v>0.0579</v>
      </c>
      <c r="S63" s="31" t="n">
        <v>0</v>
      </c>
      <c r="T63" s="32" t="n">
        <v>0</v>
      </c>
      <c r="U63" s="31" t="n">
        <v>0</v>
      </c>
      <c r="V63" s="31" t="n">
        <v>0</v>
      </c>
      <c r="W63" s="3" t="n">
        <v>0</v>
      </c>
      <c r="X63" s="3" t="n">
        <v>0</v>
      </c>
      <c r="Y63" s="32" t="n">
        <v>0</v>
      </c>
      <c r="Z63" s="3" t="n">
        <v>0</v>
      </c>
      <c r="AA63" s="32" t="n">
        <v>0</v>
      </c>
      <c r="AB63" s="3" t="n"/>
      <c r="AC63" s="31" t="n">
        <v>0</v>
      </c>
      <c r="AD63" s="2" t="n">
        <v>1161</v>
      </c>
      <c r="AE63" s="2" t="n">
        <v>284</v>
      </c>
      <c r="AF63" s="4" t="n">
        <v>877</v>
      </c>
      <c r="AG63" s="33" t="n">
        <v>373.89</v>
      </c>
      <c r="AH63" s="4" t="n">
        <v>26</v>
      </c>
      <c r="AI63" s="34" t="n">
        <v>0.0296</v>
      </c>
      <c r="AJ63" s="34" t="n">
        <v>1</v>
      </c>
      <c r="AK63" s="2" t="n">
        <v>0</v>
      </c>
      <c r="AL63" t="inlineStr">
        <is>
          <t>Published</t>
        </is>
      </c>
    </row>
    <row r="64">
      <c r="A64">
        <f>HYPERLINK("https://www.walmart.com/ip/1880841758", "1880841758")</f>
        <v/>
      </c>
      <c r="B64">
        <f>HYPERLINK("https://app.optiwise.ai/catalog/itemdetails/4854715", "Tirrinia Insulated Lunch Bag, Leakproof Thermal Bento Cooler Tote for Women and Men, Dual Compartment with Shoulder Strap, 10.2 x 7.5 x 9, Camo")</f>
        <v/>
      </c>
      <c r="C64" t="inlineStr">
        <is>
          <t>1TRLB601CAMO</t>
        </is>
      </c>
      <c r="D64" t="inlineStr">
        <is>
          <t>Home Decor, Kitchen, &amp; Other</t>
        </is>
      </c>
      <c r="E64" t="inlineStr">
        <is>
          <t>Reusable Lunch Bags &amp; Boxes</t>
        </is>
      </c>
      <c r="F64" t="inlineStr">
        <is>
          <t>Tirrinia</t>
        </is>
      </c>
      <c r="G64" t="n">
        <v>0</v>
      </c>
      <c r="H64" t="n">
        <v>0</v>
      </c>
      <c r="I64" t="inlineStr">
        <is>
          <t>Q2-Target,Brand Camp VD,Lunch Bags,SEM,Batch 1 - TR</t>
        </is>
      </c>
      <c r="J64" s="29" t="n">
        <v>369.78</v>
      </c>
      <c r="K64" s="30" t="n">
        <v>0.0032</v>
      </c>
      <c r="L64" s="29" t="n">
        <v>0</v>
      </c>
      <c r="M64" s="29" t="n">
        <v>25.97999954223633</v>
      </c>
      <c r="N64" s="2" t="n">
        <v>19</v>
      </c>
      <c r="O64" s="31" t="n">
        <v>0</v>
      </c>
      <c r="P64" s="32" t="n"/>
      <c r="Q64" s="32" t="n">
        <v>0</v>
      </c>
      <c r="R64" s="32" t="n">
        <v>0.1753</v>
      </c>
      <c r="S64" s="31" t="n">
        <v>0</v>
      </c>
      <c r="T64" s="32" t="n">
        <v>0</v>
      </c>
      <c r="U64" s="31" t="n">
        <v>0</v>
      </c>
      <c r="V64" s="31" t="n">
        <v>0</v>
      </c>
      <c r="W64" s="3" t="n">
        <v>0</v>
      </c>
      <c r="X64" s="3" t="n">
        <v>0</v>
      </c>
      <c r="Y64" s="32" t="n">
        <v>0</v>
      </c>
      <c r="Z64" s="3" t="n">
        <v>0</v>
      </c>
      <c r="AA64" s="32" t="n">
        <v>0</v>
      </c>
      <c r="AB64" s="3" t="n"/>
      <c r="AC64" s="31" t="n">
        <v>0</v>
      </c>
      <c r="AD64" s="2" t="n">
        <v>143</v>
      </c>
      <c r="AE64" s="2" t="n">
        <v>110</v>
      </c>
      <c r="AF64" s="4" t="n">
        <v>110</v>
      </c>
      <c r="AG64" s="33" t="n">
        <v>369.78</v>
      </c>
      <c r="AH64" s="4" t="n">
        <v>19</v>
      </c>
      <c r="AI64" s="34" t="n">
        <v>0.1727</v>
      </c>
      <c r="AJ64" s="34" t="n">
        <v>1</v>
      </c>
      <c r="AK64" s="2" t="n">
        <v>710</v>
      </c>
      <c r="AL64" t="inlineStr">
        <is>
          <t>Published</t>
        </is>
      </c>
    </row>
    <row r="65">
      <c r="A65">
        <f>HYPERLINK("https://www.walmart.com/ip/838748281", "838748281")</f>
        <v/>
      </c>
      <c r="B65">
        <f>HYPERLINK("https://app.optiwise.ai/catalog/itemdetails/362056", "Tirrinia Small Insulated Lunch Bag for Adult&amp;Kids,Splash Proof Mini Portable Reusable Thermal Lunch Box Cooler Tote for Student Back to School,Black &amp; Grey")</f>
        <v/>
      </c>
      <c r="C65" t="inlineStr">
        <is>
          <t>1TRLB100BKGY</t>
        </is>
      </c>
      <c r="D65" t="inlineStr">
        <is>
          <t>Home Decor, Kitchen, &amp; Other</t>
        </is>
      </c>
      <c r="E65" t="inlineStr">
        <is>
          <t>Reusable Lunch Bags &amp; Boxes</t>
        </is>
      </c>
      <c r="F65" t="inlineStr">
        <is>
          <t>Tirrinia</t>
        </is>
      </c>
      <c r="G65" t="n">
        <v>0</v>
      </c>
      <c r="H65" t="n">
        <v>0</v>
      </c>
      <c r="I65" t="inlineStr">
        <is>
          <t>Lunch Bag,Lunch Bags</t>
        </is>
      </c>
      <c r="J65" s="29" t="n">
        <v>367.67</v>
      </c>
      <c r="K65" s="30" t="n">
        <v>0.0032</v>
      </c>
      <c r="L65" s="29" t="n">
        <v>10.98999977111816</v>
      </c>
      <c r="M65" s="29" t="n">
        <v>10.98999977111816</v>
      </c>
      <c r="N65" s="2" t="n">
        <v>33</v>
      </c>
      <c r="O65" s="31" t="n">
        <v>0</v>
      </c>
      <c r="P65" s="32" t="n"/>
      <c r="Q65" s="32" t="n">
        <v>0</v>
      </c>
      <c r="R65" s="32" t="n">
        <v>0</v>
      </c>
      <c r="S65" s="31" t="n">
        <v>0</v>
      </c>
      <c r="T65" s="32" t="n">
        <v>0</v>
      </c>
      <c r="U65" s="31" t="n">
        <v>0</v>
      </c>
      <c r="V65" s="31" t="n">
        <v>0</v>
      </c>
      <c r="W65" s="3" t="n">
        <v>0</v>
      </c>
      <c r="X65" s="3" t="n">
        <v>0</v>
      </c>
      <c r="Y65" s="32" t="n">
        <v>0</v>
      </c>
      <c r="Z65" s="3" t="n">
        <v>0</v>
      </c>
      <c r="AA65" s="32" t="n">
        <v>0</v>
      </c>
      <c r="AB65" s="3" t="n"/>
      <c r="AC65" s="31" t="n">
        <v>0</v>
      </c>
      <c r="AD65" s="2" t="n">
        <v>151</v>
      </c>
      <c r="AE65" s="2" t="n">
        <v>96</v>
      </c>
      <c r="AF65" s="4" t="n">
        <v>96</v>
      </c>
      <c r="AG65" s="33" t="n">
        <v>367.67</v>
      </c>
      <c r="AH65" s="4" t="n">
        <v>33</v>
      </c>
      <c r="AI65" s="34" t="n">
        <v>0.3438</v>
      </c>
      <c r="AJ65" s="34" t="n">
        <v>1</v>
      </c>
      <c r="AK65" s="2" t="n">
        <v>445</v>
      </c>
      <c r="AL65" t="inlineStr">
        <is>
          <t>Published</t>
        </is>
      </c>
    </row>
    <row r="66">
      <c r="A66">
        <f>HYPERLINK("https://www.walmart.com/ip/691452920", "691452920")</f>
        <v/>
      </c>
      <c r="B66">
        <f>HYPERLINK("https://app.optiwise.ai/catalog/itemdetails/360815", "Solaris Sun Hat for Women Neck Flap Wide Brim UV Protection UPF 50+ Foldable Fishing Cap with 2 Replaceable Ribbon For Outdoor Camping,Travelling,Hiking,Silver Gray")</f>
        <v/>
      </c>
      <c r="C66" t="inlineStr">
        <is>
          <t>1SLSH922SL</t>
        </is>
      </c>
      <c r="D66" t="inlineStr">
        <is>
          <t>Clothing</t>
        </is>
      </c>
      <c r="E66" t="inlineStr">
        <is>
          <t>Hats</t>
        </is>
      </c>
      <c r="F66" t="inlineStr">
        <is>
          <t>Solaris</t>
        </is>
      </c>
      <c r="G66" t="n">
        <v>4.4</v>
      </c>
      <c r="H66" t="n">
        <v>60</v>
      </c>
      <c r="I66" t="inlineStr">
        <is>
          <t>Q2-Target,WFS,Hats,WFS Item</t>
        </is>
      </c>
      <c r="J66" s="29" t="n">
        <v>366.77</v>
      </c>
      <c r="K66" s="30" t="n">
        <v>0.0032</v>
      </c>
      <c r="L66" s="29" t="n">
        <v>67.95999908447266</v>
      </c>
      <c r="M66" s="29" t="n">
        <v>0</v>
      </c>
      <c r="N66" s="2" t="n">
        <v>22</v>
      </c>
      <c r="O66" s="31" t="n">
        <v>205.93</v>
      </c>
      <c r="P66" s="32" t="n">
        <v>0.0247</v>
      </c>
      <c r="Q66" s="32" t="n">
        <v>0.5615</v>
      </c>
      <c r="R66" s="32" t="n">
        <v>0.1188</v>
      </c>
      <c r="S66" s="31" t="n">
        <v>2.69</v>
      </c>
      <c r="T66" s="32" t="n">
        <v>0.37</v>
      </c>
      <c r="U66" s="31" t="n">
        <v>553.1700000000001</v>
      </c>
      <c r="V66" s="31" t="n">
        <v>508.2000000000001</v>
      </c>
      <c r="W66" s="3" t="n">
        <v>255500</v>
      </c>
      <c r="X66" s="3" t="n">
        <v>667</v>
      </c>
      <c r="Y66" s="32" t="n">
        <v>0.0026</v>
      </c>
      <c r="Z66" s="3" t="n">
        <v>33</v>
      </c>
      <c r="AA66" s="32" t="n">
        <v>0.0495</v>
      </c>
      <c r="AB66" s="3" t="inlineStr">
        <is>
          <t>Auto Campaign_Vinay</t>
        </is>
      </c>
      <c r="AC66" s="31" t="n">
        <v>0.31</v>
      </c>
      <c r="AD66" s="2" t="n">
        <v>444</v>
      </c>
      <c r="AE66" s="2" t="n">
        <v>248</v>
      </c>
      <c r="AF66" s="4" t="inlineStr">
        <is>
          <t>NA</t>
        </is>
      </c>
      <c r="AG66" s="33" t="n">
        <v>-186.4000000000001</v>
      </c>
      <c r="AH66" s="4" t="n">
        <v>-11</v>
      </c>
      <c r="AI66" s="34" t="inlineStr">
        <is>
          <t>NA</t>
        </is>
      </c>
      <c r="AJ66" s="34" t="n">
        <v>-0.5082</v>
      </c>
      <c r="AK66" s="2" t="n">
        <v>662</v>
      </c>
      <c r="AL66" t="inlineStr">
        <is>
          <t>Published</t>
        </is>
      </c>
    </row>
    <row r="67">
      <c r="A67">
        <f>HYPERLINK("https://www.walmart.com/ip/942219918", "942219918")</f>
        <v/>
      </c>
      <c r="B67">
        <f>HYPERLINK("https://app.optiwise.ai/catalog/itemdetails/362692", "Catalonia Flyingstar Mermaid Tail Blanket, Soft Flannel Fleece Blanket, All Seasons Sleeping Blanket for Kids, Rainbow Ombre Fish Scale Design Snuggle Blanket, 61 x 19")</f>
        <v/>
      </c>
      <c r="C67" t="inlineStr">
        <is>
          <t>1WMMM500MUL</t>
        </is>
      </c>
      <c r="D67" t="inlineStr">
        <is>
          <t>Home Decor, Kitchen, &amp; Other</t>
        </is>
      </c>
      <c r="E67" t="inlineStr">
        <is>
          <t>Baby Blankets</t>
        </is>
      </c>
      <c r="F67" t="inlineStr">
        <is>
          <t>Flyingstar</t>
        </is>
      </c>
      <c r="G67" t="n">
        <v>0</v>
      </c>
      <c r="H67" t="n">
        <v>0</v>
      </c>
      <c r="I67" t="inlineStr">
        <is>
          <t>Baby days,Hero 5 Holidays,WFS,SEM,WFS Item</t>
        </is>
      </c>
      <c r="J67" s="29" t="n">
        <v>360.22</v>
      </c>
      <c r="K67" s="30" t="n">
        <v>0.0031</v>
      </c>
      <c r="L67" s="29" t="n">
        <v>0</v>
      </c>
      <c r="M67" s="29" t="n">
        <v>0</v>
      </c>
      <c r="N67" s="2" t="n">
        <v>18</v>
      </c>
      <c r="O67" s="31" t="n">
        <v>85.63999999999997</v>
      </c>
      <c r="P67" s="32" t="n">
        <v>0.0103</v>
      </c>
      <c r="Q67" s="32" t="n">
        <v>0.2377</v>
      </c>
      <c r="R67" s="32" t="n">
        <v>0.0045</v>
      </c>
      <c r="S67" s="31" t="n">
        <v>4.21</v>
      </c>
      <c r="T67" s="32" t="n">
        <v>0.24</v>
      </c>
      <c r="U67" s="31" t="n">
        <v>360.8100000000001</v>
      </c>
      <c r="V67" s="31" t="n">
        <v>360.8100000000001</v>
      </c>
      <c r="W67" s="3" t="n">
        <v>49751</v>
      </c>
      <c r="X67" s="3" t="n">
        <v>205</v>
      </c>
      <c r="Y67" s="32" t="n">
        <v>0.0041</v>
      </c>
      <c r="Z67" s="3" t="n">
        <v>19</v>
      </c>
      <c r="AA67" s="32" t="n">
        <v>0.0927</v>
      </c>
      <c r="AB67" s="3" t="inlineStr">
        <is>
          <t>1WMMM500MUL_Manual,WFS Inventory</t>
        </is>
      </c>
      <c r="AC67" s="31" t="n">
        <v>0.42</v>
      </c>
      <c r="AD67" s="2" t="n">
        <v>303</v>
      </c>
      <c r="AE67" s="2" t="n">
        <v>200</v>
      </c>
      <c r="AF67" s="4" t="inlineStr">
        <is>
          <t>NA</t>
        </is>
      </c>
      <c r="AG67" s="33" t="n">
        <v>-0.5900000000000318</v>
      </c>
      <c r="AH67" s="4" t="n">
        <v>-1</v>
      </c>
      <c r="AI67" s="34" t="inlineStr">
        <is>
          <t>NA</t>
        </is>
      </c>
      <c r="AJ67" s="34" t="n">
        <v>-0.0016</v>
      </c>
      <c r="AK67" s="2" t="n">
        <v>802</v>
      </c>
      <c r="AL67" t="inlineStr">
        <is>
          <t>Published</t>
        </is>
      </c>
    </row>
    <row r="68">
      <c r="A68">
        <f>HYPERLINK("https://www.walmart.com/ip/348278440", "348278440")</f>
        <v/>
      </c>
      <c r="B68">
        <f>HYPERLINK("https://app.optiwise.ai/catalog/itemdetails/796311", "Catalonia Waterproof Blanket for Bed, Reversible Baby Pet Doggy Pee Proof Fleece Blankets, Large Couch Sofa Cover Furniture Boat Mattress Protector, King Size 80x90 inches, Navy")</f>
        <v/>
      </c>
      <c r="C68" t="inlineStr">
        <is>
          <t>1CTBW982NYTP</t>
        </is>
      </c>
      <c r="D68" t="inlineStr">
        <is>
          <t>Bedding</t>
        </is>
      </c>
      <c r="E68" t="inlineStr">
        <is>
          <t>Throws</t>
        </is>
      </c>
      <c r="F68" t="inlineStr">
        <is>
          <t>Catalonia</t>
        </is>
      </c>
      <c r="G68" t="n">
        <v>4.2</v>
      </c>
      <c r="H68" t="n">
        <v>21</v>
      </c>
      <c r="I68" t="inlineStr">
        <is>
          <t>Wproof Blanket,Fleece Blankets,Batch 1 - TR</t>
        </is>
      </c>
      <c r="J68" s="29" t="n">
        <v>359.94</v>
      </c>
      <c r="K68" s="30" t="n">
        <v>0.0031</v>
      </c>
      <c r="L68" s="29" t="n">
        <v>0</v>
      </c>
      <c r="M68" s="29" t="n">
        <v>0</v>
      </c>
      <c r="N68" s="2" t="n">
        <v>6</v>
      </c>
      <c r="O68" s="31" t="n">
        <v>9.039999999999999</v>
      </c>
      <c r="P68" s="32" t="n">
        <v>0.0011</v>
      </c>
      <c r="Q68" s="32" t="n">
        <v>0.0251</v>
      </c>
      <c r="R68" s="32" t="n">
        <v>0.0538</v>
      </c>
      <c r="S68" s="31" t="n">
        <v>6.64</v>
      </c>
      <c r="T68" s="32" t="n">
        <v>0.15</v>
      </c>
      <c r="U68" s="31" t="n">
        <v>59.99</v>
      </c>
      <c r="V68" s="31" t="n">
        <v>59.99</v>
      </c>
      <c r="W68" s="3" t="n">
        <v>38981</v>
      </c>
      <c r="X68" s="3" t="n">
        <v>22</v>
      </c>
      <c r="Y68" s="32" t="n">
        <v>0.0005999999999999999</v>
      </c>
      <c r="Z68" s="3" t="n">
        <v>1</v>
      </c>
      <c r="AA68" s="32" t="n">
        <v>0.0455</v>
      </c>
      <c r="AB68" s="3" t="inlineStr">
        <is>
          <t>Auto for BW Indoor,Throws_Auto_Optiwise_24,Throws_Manual_Optiwise_24</t>
        </is>
      </c>
      <c r="AC68" s="31" t="n">
        <v>0.41</v>
      </c>
      <c r="AD68" s="2" t="n">
        <v>34</v>
      </c>
      <c r="AE68" s="2" t="n">
        <v>58</v>
      </c>
      <c r="AF68" s="4" t="n">
        <v>36</v>
      </c>
      <c r="AG68" s="33" t="n">
        <v>299.95</v>
      </c>
      <c r="AH68" s="4" t="n">
        <v>5</v>
      </c>
      <c r="AI68" s="34" t="n">
        <v>0.1389</v>
      </c>
      <c r="AJ68" s="34" t="n">
        <v>0.8333</v>
      </c>
      <c r="AK68" s="2" t="n">
        <v>2295</v>
      </c>
      <c r="AL68" t="inlineStr">
        <is>
          <t>Published</t>
        </is>
      </c>
    </row>
    <row r="69">
      <c r="A69">
        <f>HYPERLINK("https://www.walmart.com/ip/2204516610", "2204516610")</f>
        <v/>
      </c>
      <c r="B69">
        <f>HYPERLINK("https://app.optiwise.ai/catalog/itemdetails/10031983", "Wrangler Men’s Leather Country Casual Every Day Belt for Jeans, Khakis Black 34")</f>
        <v/>
      </c>
      <c r="C69" t="inlineStr">
        <is>
          <t>WR-BELT-MENS-COUNTRY-BLACK-34</t>
        </is>
      </c>
      <c r="D69" t="inlineStr">
        <is>
          <t>Clothing</t>
        </is>
      </c>
      <c r="E69" t="inlineStr">
        <is>
          <t>Belts</t>
        </is>
      </c>
      <c r="F69" t="inlineStr">
        <is>
          <t>Wrangler</t>
        </is>
      </c>
      <c r="G69" t="n">
        <v>0</v>
      </c>
      <c r="H69" t="n">
        <v>0</v>
      </c>
      <c r="I69" t="inlineStr">
        <is>
          <t>Belts</t>
        </is>
      </c>
      <c r="J69" s="29" t="n">
        <v>359.82</v>
      </c>
      <c r="K69" s="30" t="n">
        <v>0.0031</v>
      </c>
      <c r="L69" s="29" t="n">
        <v>19.98999977111816</v>
      </c>
      <c r="M69" s="29" t="n">
        <v>0</v>
      </c>
      <c r="N69" s="2" t="n">
        <v>18</v>
      </c>
      <c r="O69" s="31" t="n">
        <v>1.31</v>
      </c>
      <c r="P69" s="32" t="n">
        <v>0.0002</v>
      </c>
      <c r="Q69" s="32" t="n">
        <v>0.0036</v>
      </c>
      <c r="R69" s="32" t="n">
        <v>0.1942</v>
      </c>
      <c r="S69" s="31" t="n">
        <v>0</v>
      </c>
      <c r="T69" s="32" t="n">
        <v>0</v>
      </c>
      <c r="U69" s="31" t="n">
        <v>0</v>
      </c>
      <c r="V69" s="31" t="n">
        <v>0</v>
      </c>
      <c r="W69" s="3" t="n">
        <v>758</v>
      </c>
      <c r="X69" s="3" t="n">
        <v>2</v>
      </c>
      <c r="Y69" s="32" t="n">
        <v>0.0026</v>
      </c>
      <c r="Z69" s="3" t="n">
        <v>0</v>
      </c>
      <c r="AA69" s="32" t="n">
        <v>0</v>
      </c>
      <c r="AB69" s="3" t="inlineStr">
        <is>
          <t>Belts Manual_Optiwise,Belts_Auto_Optiwise</t>
        </is>
      </c>
      <c r="AC69" s="31" t="n">
        <v>0.66</v>
      </c>
      <c r="AD69" s="2" t="n">
        <v>27</v>
      </c>
      <c r="AE69" s="2" t="n">
        <v>63</v>
      </c>
      <c r="AF69" s="4" t="n">
        <v>61</v>
      </c>
      <c r="AG69" s="33" t="n">
        <v>359.82</v>
      </c>
      <c r="AH69" s="4" t="n">
        <v>18</v>
      </c>
      <c r="AI69" s="34" t="n">
        <v>0.2951</v>
      </c>
      <c r="AJ69" s="34" t="n">
        <v>1</v>
      </c>
      <c r="AK69" s="2" t="n">
        <v>750</v>
      </c>
      <c r="AL69" t="inlineStr">
        <is>
          <t>Published</t>
        </is>
      </c>
    </row>
    <row r="70">
      <c r="A70">
        <f>HYPERLINK("https://www.walmart.com/ip/1161160219", "1161160219")</f>
        <v/>
      </c>
      <c r="B70">
        <f>HYPERLINK("https://app.optiwise.ai/catalog/itemdetails/4346341", "TirriniaInsulated Lunch Bag for Women Men, Leakproof Thermal Reusable Lunch Box for Adult &amp; Kids, Lunch Cooler Tote for Office Work Back to School, Camo")</f>
        <v/>
      </c>
      <c r="C70" t="inlineStr">
        <is>
          <t>1TRLB701CAMO-N</t>
        </is>
      </c>
      <c r="D70" t="inlineStr">
        <is>
          <t>Home Decor, Kitchen, &amp; Other</t>
        </is>
      </c>
      <c r="E70" t="inlineStr">
        <is>
          <t>Reusable Lunch Bags &amp; Boxes</t>
        </is>
      </c>
      <c r="F70" t="inlineStr">
        <is>
          <t>Tirrinia</t>
        </is>
      </c>
      <c r="G70" t="n">
        <v>4.4</v>
      </c>
      <c r="H70" t="n">
        <v>57</v>
      </c>
      <c r="I70" t="inlineStr">
        <is>
          <t>Q2-Target,Brand Camp VD,Lunch Bags,Batch 1 - TR</t>
        </is>
      </c>
      <c r="J70" s="29" t="n">
        <v>356.76</v>
      </c>
      <c r="K70" s="30" t="n">
        <v>0.0031</v>
      </c>
      <c r="L70" s="29" t="n">
        <v>0</v>
      </c>
      <c r="M70" s="29" t="n">
        <v>0</v>
      </c>
      <c r="N70" s="2" t="n">
        <v>22</v>
      </c>
      <c r="O70" s="31" t="n">
        <v>0</v>
      </c>
      <c r="P70" s="32" t="n"/>
      <c r="Q70" s="32" t="n">
        <v>0</v>
      </c>
      <c r="R70" s="32" t="n">
        <v>0.0053</v>
      </c>
      <c r="S70" s="31" t="n">
        <v>0</v>
      </c>
      <c r="T70" s="32" t="n">
        <v>0</v>
      </c>
      <c r="U70" s="31" t="n">
        <v>0</v>
      </c>
      <c r="V70" s="31" t="n">
        <v>0</v>
      </c>
      <c r="W70" s="3" t="n">
        <v>0</v>
      </c>
      <c r="X70" s="3" t="n">
        <v>0</v>
      </c>
      <c r="Y70" s="32" t="n">
        <v>0</v>
      </c>
      <c r="Z70" s="3" t="n">
        <v>0</v>
      </c>
      <c r="AA70" s="32" t="n">
        <v>0</v>
      </c>
      <c r="AB70" s="3" t="n"/>
      <c r="AC70" s="31" t="n">
        <v>0</v>
      </c>
      <c r="AD70" s="2" t="n">
        <v>1009</v>
      </c>
      <c r="AE70" s="2" t="n">
        <v>258</v>
      </c>
      <c r="AF70" s="4" t="n">
        <v>751</v>
      </c>
      <c r="AG70" s="33" t="n">
        <v>356.76</v>
      </c>
      <c r="AH70" s="4" t="n">
        <v>22</v>
      </c>
      <c r="AI70" s="34" t="n">
        <v>0.0293</v>
      </c>
      <c r="AJ70" s="34" t="n">
        <v>1</v>
      </c>
      <c r="AK70" s="2" t="n">
        <v>589</v>
      </c>
      <c r="AL70" t="inlineStr">
        <is>
          <t>Published</t>
        </is>
      </c>
    </row>
    <row r="71">
      <c r="A71">
        <f>HYPERLINK("https://www.walmart.com/ip/724471437", "724471437")</f>
        <v/>
      </c>
      <c r="B71">
        <f>HYPERLINK("https://app.optiwise.ai/catalog/itemdetails/360521", "Tirrinia Adult Insulated Lunch Bag Totes Best Thermos Cooler Container, Leakproof Expandable Reusable Lunch Box")</f>
        <v/>
      </c>
      <c r="C71" t="inlineStr">
        <is>
          <t>1TRCB106RD</t>
        </is>
      </c>
      <c r="D71" t="inlineStr">
        <is>
          <t>Home Decor, Kitchen, &amp; Other</t>
        </is>
      </c>
      <c r="E71" t="inlineStr">
        <is>
          <t>Reusable Lunch Bags &amp; Boxes</t>
        </is>
      </c>
      <c r="F71" t="inlineStr">
        <is>
          <t>Tirrinia</t>
        </is>
      </c>
      <c r="G71" t="n">
        <v>4</v>
      </c>
      <c r="H71" t="n">
        <v>112</v>
      </c>
      <c r="I71" t="inlineStr">
        <is>
          <t>Q2-Target,Brand Camp VD,Lunch Bag,WFS,Lunch Bags,WFS Item</t>
        </is>
      </c>
      <c r="J71" s="29" t="n">
        <v>346.21</v>
      </c>
      <c r="K71" s="30" t="n">
        <v>0.003</v>
      </c>
      <c r="L71" s="29" t="n">
        <v>83.92999839782715</v>
      </c>
      <c r="M71" s="29" t="n">
        <v>23.97999954223633</v>
      </c>
      <c r="N71" s="2" t="n">
        <v>25</v>
      </c>
      <c r="O71" s="31" t="n">
        <v>0</v>
      </c>
      <c r="P71" s="32" t="n"/>
      <c r="Q71" s="32" t="n">
        <v>0</v>
      </c>
      <c r="R71" s="32" t="n">
        <v>0.1277</v>
      </c>
      <c r="S71" s="31" t="n">
        <v>0</v>
      </c>
      <c r="T71" s="32" t="n">
        <v>0</v>
      </c>
      <c r="U71" s="31" t="n">
        <v>0</v>
      </c>
      <c r="V71" s="31" t="n">
        <v>0</v>
      </c>
      <c r="W71" s="3" t="n">
        <v>0</v>
      </c>
      <c r="X71" s="3" t="n">
        <v>0</v>
      </c>
      <c r="Y71" s="32" t="n">
        <v>0</v>
      </c>
      <c r="Z71" s="3" t="n">
        <v>0</v>
      </c>
      <c r="AA71" s="32" t="n">
        <v>0</v>
      </c>
      <c r="AB71" s="3" t="n"/>
      <c r="AC71" s="31" t="n">
        <v>0</v>
      </c>
      <c r="AD71" s="2" t="n">
        <v>957</v>
      </c>
      <c r="AE71" s="2" t="n">
        <v>470</v>
      </c>
      <c r="AF71" s="4" t="n">
        <v>487</v>
      </c>
      <c r="AG71" s="33" t="n">
        <v>346.21</v>
      </c>
      <c r="AH71" s="4" t="n">
        <v>25</v>
      </c>
      <c r="AI71" s="34" t="n">
        <v>0.0513</v>
      </c>
      <c r="AJ71" s="34" t="n">
        <v>1</v>
      </c>
      <c r="AK71" s="2" t="n">
        <v>372</v>
      </c>
      <c r="AL71" t="inlineStr">
        <is>
          <t>Published</t>
        </is>
      </c>
    </row>
    <row r="72">
      <c r="A72">
        <f>HYPERLINK("https://www.walmart.com/ip/610849196", "610849196")</f>
        <v/>
      </c>
      <c r="B72">
        <f>HYPERLINK("https://app.optiwise.ai/catalog/itemdetails/360933", "Catalonia Hooded Wearable Blanket Poncho for Adult Women Men, Fleece Wrap Blanket Cape with Hood | Warm, Soft, Cozy, Snuggly | Comfort Gift, No Sleeves, Red Checker")</f>
        <v/>
      </c>
      <c r="C72" t="inlineStr">
        <is>
          <t>1CTBP120P2RD</t>
        </is>
      </c>
      <c r="D72" t="inlineStr">
        <is>
          <t>Bedding</t>
        </is>
      </c>
      <c r="E72" t="inlineStr">
        <is>
          <t>Throws</t>
        </is>
      </c>
      <c r="F72" t="inlineStr">
        <is>
          <t>Catalonia</t>
        </is>
      </c>
      <c r="G72" t="n">
        <v>0</v>
      </c>
      <c r="H72" t="n">
        <v>0</v>
      </c>
      <c r="I72" t="inlineStr">
        <is>
          <t>Optimized,Hero 5 Holidays,WFS Item</t>
        </is>
      </c>
      <c r="J72" s="29" t="n">
        <v>344.86</v>
      </c>
      <c r="K72" s="30" t="n">
        <v>0.003</v>
      </c>
      <c r="L72" s="29" t="n">
        <v>51.97999954223633</v>
      </c>
      <c r="M72" s="29" t="n">
        <v>0</v>
      </c>
      <c r="N72" s="2" t="n">
        <v>13</v>
      </c>
      <c r="O72" s="31" t="n">
        <v>0</v>
      </c>
      <c r="P72" s="32" t="n"/>
      <c r="Q72" s="32" t="n">
        <v>0</v>
      </c>
      <c r="R72" s="32" t="n">
        <v>0.0439</v>
      </c>
      <c r="S72" s="31" t="n">
        <v>0</v>
      </c>
      <c r="T72" s="32" t="n">
        <v>0</v>
      </c>
      <c r="U72" s="31" t="n">
        <v>0</v>
      </c>
      <c r="V72" s="31" t="n">
        <v>0</v>
      </c>
      <c r="W72" s="3" t="n">
        <v>0</v>
      </c>
      <c r="X72" s="3" t="n">
        <v>0</v>
      </c>
      <c r="Y72" s="32" t="n">
        <v>0</v>
      </c>
      <c r="Z72" s="3" t="n">
        <v>0</v>
      </c>
      <c r="AA72" s="32" t="n">
        <v>0</v>
      </c>
      <c r="AB72" s="3" t="n"/>
      <c r="AC72" s="31" t="n">
        <v>0</v>
      </c>
      <c r="AD72" s="2" t="n">
        <v>169</v>
      </c>
      <c r="AE72" s="2" t="n">
        <v>70</v>
      </c>
      <c r="AF72" s="4" t="n">
        <v>99</v>
      </c>
      <c r="AG72" s="33" t="n">
        <v>344.86</v>
      </c>
      <c r="AH72" s="4" t="n">
        <v>13</v>
      </c>
      <c r="AI72" s="34" t="n">
        <v>0.1313</v>
      </c>
      <c r="AJ72" s="34" t="n">
        <v>1</v>
      </c>
      <c r="AK72" s="2" t="n">
        <v>0</v>
      </c>
      <c r="AL72" t="inlineStr">
        <is>
          <t>Published</t>
        </is>
      </c>
    </row>
    <row r="73">
      <c r="A73">
        <f>HYPERLINK("https://www.walmart.com/ip/474593867", "474593867")</f>
        <v/>
      </c>
      <c r="B73">
        <f>HYPERLINK("https://app.optiwise.ai/catalog/itemdetails/358728", "Tirrinia Bedside Organizer Tray, Bamboo Floating Bedside Shelf Table for Bedrooms, Student Dorm, Bunk Beds")</f>
        <v/>
      </c>
      <c r="C73" t="inlineStr">
        <is>
          <t>1TRSB120</t>
        </is>
      </c>
      <c r="D73" t="inlineStr">
        <is>
          <t>Furniture</t>
        </is>
      </c>
      <c r="E73" t="inlineStr">
        <is>
          <t>Nightstands</t>
        </is>
      </c>
      <c r="F73" t="inlineStr">
        <is>
          <t>Tirrinia</t>
        </is>
      </c>
      <c r="G73" t="n">
        <v>4.9</v>
      </c>
      <c r="H73" t="n">
        <v>9</v>
      </c>
      <c r="I73" t="inlineStr">
        <is>
          <t>Optimized,WFS,SEM,Wal-Exl-Price,WFS Item</t>
        </is>
      </c>
      <c r="J73" s="29" t="n">
        <v>343.88</v>
      </c>
      <c r="K73" s="30" t="n">
        <v>0.003</v>
      </c>
      <c r="L73" s="29" t="n">
        <v>65.98000335693359</v>
      </c>
      <c r="M73" s="29" t="n">
        <v>567.8200302124023</v>
      </c>
      <c r="N73" s="2" t="n">
        <v>10</v>
      </c>
      <c r="O73" s="31" t="n">
        <v>44.68</v>
      </c>
      <c r="P73" s="32" t="n">
        <v>0.0054</v>
      </c>
      <c r="Q73" s="32" t="n">
        <v>0.1299</v>
      </c>
      <c r="R73" s="32" t="n">
        <v>-8.849299999999999</v>
      </c>
      <c r="S73" s="31" t="n">
        <v>0.74</v>
      </c>
      <c r="T73" s="32" t="n">
        <v>1.35</v>
      </c>
      <c r="U73" s="31" t="n">
        <v>32.99</v>
      </c>
      <c r="V73" s="31" t="n">
        <v>32.99</v>
      </c>
      <c r="W73" s="3" t="n">
        <v>39696</v>
      </c>
      <c r="X73" s="3" t="n">
        <v>105</v>
      </c>
      <c r="Y73" s="32" t="n">
        <v>0.0026</v>
      </c>
      <c r="Z73" s="3" t="n">
        <v>1</v>
      </c>
      <c r="AA73" s="32" t="n">
        <v>0.0095</v>
      </c>
      <c r="AB73" s="3" t="inlineStr">
        <is>
          <t>Need to sell these SKUs by 15th Feb</t>
        </is>
      </c>
      <c r="AC73" s="31" t="n">
        <v>0.43</v>
      </c>
      <c r="AD73" s="2" t="n">
        <v>253</v>
      </c>
      <c r="AE73" s="2" t="n">
        <v>216</v>
      </c>
      <c r="AF73" s="4" t="n">
        <v>111</v>
      </c>
      <c r="AG73" s="33" t="n">
        <v>310.89</v>
      </c>
      <c r="AH73" s="4" t="n">
        <v>9</v>
      </c>
      <c r="AI73" s="34" t="n">
        <v>0.08110000000000001</v>
      </c>
      <c r="AJ73" s="34" t="n">
        <v>0.9041</v>
      </c>
      <c r="AK73" s="2" t="n">
        <v>1417</v>
      </c>
      <c r="AL73" t="inlineStr">
        <is>
          <t>Published</t>
        </is>
      </c>
    </row>
    <row r="74">
      <c r="A74">
        <f>HYPERLINK("https://www.walmart.com/ip/3287854820", "3287854820")</f>
        <v/>
      </c>
      <c r="B74">
        <f>HYPERLINK("https://app.optiwise.ai/catalog/itemdetails/7388661", "Tirrinia Large Insulated Lunch Bag for Men and Women, Double-Layer Leak-Proof Reusable Lunch Box for Office, Travel, and Work, Lunch Cooler Tote, Carbonarius")</f>
        <v/>
      </c>
      <c r="C74" t="inlineStr">
        <is>
          <t>1TRLB701CH-D</t>
        </is>
      </c>
      <c r="D74" t="inlineStr">
        <is>
          <t>Home Decor, Kitchen, &amp; Other</t>
        </is>
      </c>
      <c r="E74" t="inlineStr">
        <is>
          <t>Reusable Lunch Bags &amp; Boxes</t>
        </is>
      </c>
      <c r="F74" t="inlineStr">
        <is>
          <t>Tirrinia</t>
        </is>
      </c>
      <c r="G74" t="n">
        <v>0</v>
      </c>
      <c r="H74" t="n">
        <v>0</v>
      </c>
      <c r="I74" t="inlineStr">
        <is>
          <t>Q2-Target</t>
        </is>
      </c>
      <c r="J74" s="29" t="n">
        <v>330.81</v>
      </c>
      <c r="K74" s="30" t="n">
        <v>0.0029</v>
      </c>
      <c r="L74" s="29" t="n">
        <v>17.98999977111816</v>
      </c>
      <c r="M74" s="29" t="n">
        <v>0</v>
      </c>
      <c r="N74" s="2" t="n">
        <v>18</v>
      </c>
      <c r="O74" s="31" t="n">
        <v>0</v>
      </c>
      <c r="P74" s="32" t="n"/>
      <c r="Q74" s="32" t="n">
        <v>0</v>
      </c>
      <c r="R74" s="32" t="n">
        <v>0.0077</v>
      </c>
      <c r="S74" s="31" t="n">
        <v>0</v>
      </c>
      <c r="T74" s="32" t="n">
        <v>0</v>
      </c>
      <c r="U74" s="31" t="n">
        <v>0</v>
      </c>
      <c r="V74" s="31" t="n">
        <v>0</v>
      </c>
      <c r="W74" s="3" t="n">
        <v>0</v>
      </c>
      <c r="X74" s="3" t="n">
        <v>0</v>
      </c>
      <c r="Y74" s="32" t="n">
        <v>0</v>
      </c>
      <c r="Z74" s="3" t="n">
        <v>0</v>
      </c>
      <c r="AA74" s="32" t="n">
        <v>0</v>
      </c>
      <c r="AB74" s="3" t="n"/>
      <c r="AC74" s="31" t="n">
        <v>0</v>
      </c>
      <c r="AD74" s="2" t="n">
        <v>681</v>
      </c>
      <c r="AE74" s="2" t="n">
        <v>347</v>
      </c>
      <c r="AF74" s="4" t="n">
        <v>347</v>
      </c>
      <c r="AG74" s="33" t="n">
        <v>330.81</v>
      </c>
      <c r="AH74" s="4" t="n">
        <v>18</v>
      </c>
      <c r="AI74" s="34" t="n">
        <v>0.0519</v>
      </c>
      <c r="AJ74" s="34" t="n">
        <v>1</v>
      </c>
      <c r="AK74" s="2" t="n">
        <v>982</v>
      </c>
      <c r="AL74" t="inlineStr">
        <is>
          <t>Published</t>
        </is>
      </c>
    </row>
    <row r="75">
      <c r="A75">
        <f>HYPERLINK("https://www.walmart.com/ip/5532545199", "5532545199")</f>
        <v/>
      </c>
      <c r="B75">
        <f>HYPERLINK("https://app.optiwise.ai/catalog/itemdetails/9035205", "Tirrinia  Camping Cooler Bag Insulated w/ Shoulder Strap and Bottle Opener 20 Cans Portable Ice Chest for Camping Hiking Picnic Beach")</f>
        <v/>
      </c>
      <c r="C75" t="inlineStr">
        <is>
          <t>1TRCB00120GYBK</t>
        </is>
      </c>
      <c r="D75" t="inlineStr">
        <is>
          <t>Sport &amp; Recreation Other</t>
        </is>
      </c>
      <c r="E75" t="inlineStr">
        <is>
          <t>Thermocoolers</t>
        </is>
      </c>
      <c r="F75" t="inlineStr">
        <is>
          <t>Tirrinia</t>
        </is>
      </c>
      <c r="G75" t="n">
        <v>4.9</v>
      </c>
      <c r="H75" t="n">
        <v>8</v>
      </c>
      <c r="J75" s="29" t="n">
        <v>327.84</v>
      </c>
      <c r="K75" s="30" t="n">
        <v>0.0028</v>
      </c>
      <c r="L75" s="29" t="n">
        <v>24.98999977111816</v>
      </c>
      <c r="M75" s="29" t="n">
        <v>0</v>
      </c>
      <c r="N75" s="2" t="n">
        <v>12</v>
      </c>
      <c r="O75" s="31" t="n">
        <v>0</v>
      </c>
      <c r="P75" s="32" t="n"/>
      <c r="Q75" s="32" t="n">
        <v>0</v>
      </c>
      <c r="R75" s="32" t="n">
        <v>0.238</v>
      </c>
      <c r="S75" s="31" t="n">
        <v>0</v>
      </c>
      <c r="T75" s="32" t="n">
        <v>0</v>
      </c>
      <c r="U75" s="31" t="n">
        <v>0</v>
      </c>
      <c r="V75" s="31" t="n">
        <v>0</v>
      </c>
      <c r="W75" s="3" t="n">
        <v>0</v>
      </c>
      <c r="X75" s="3" t="n">
        <v>0</v>
      </c>
      <c r="Y75" s="32" t="n">
        <v>0</v>
      </c>
      <c r="Z75" s="3" t="n">
        <v>0</v>
      </c>
      <c r="AA75" s="32" t="n">
        <v>0</v>
      </c>
      <c r="AB75" s="3" t="n"/>
      <c r="AC75" s="31" t="n">
        <v>0</v>
      </c>
      <c r="AD75" s="2" t="n">
        <v>115</v>
      </c>
      <c r="AE75" s="2" t="n">
        <v>425</v>
      </c>
      <c r="AF75" s="4" t="n">
        <v>425</v>
      </c>
      <c r="AG75" s="33" t="n">
        <v>327.84</v>
      </c>
      <c r="AH75" s="4" t="n">
        <v>12</v>
      </c>
      <c r="AI75" s="34" t="n">
        <v>0.0282</v>
      </c>
      <c r="AJ75" s="34" t="n">
        <v>1</v>
      </c>
      <c r="AK75" s="2" t="n">
        <v>1125</v>
      </c>
      <c r="AL75" t="inlineStr">
        <is>
          <t>Published</t>
        </is>
      </c>
    </row>
    <row r="76">
      <c r="A76">
        <f>HYPERLINK("https://www.walmart.com/ip/568894069", "568894069")</f>
        <v/>
      </c>
      <c r="B76">
        <f>HYPERLINK("https://app.optiwise.ai/catalog/itemdetails/362517", "Tirrinia Waterproof Outdoor Blanket with Sherpa Lining,Windproof Triple Layers Warm Comfy Foldable for Camping Stadium,Sports,Picnic,Grass,Concerts,Pet,51''X 59'',Navy Blue")</f>
        <v/>
      </c>
      <c r="C76" t="inlineStr">
        <is>
          <t>1TRBW506NYGY-CD</t>
        </is>
      </c>
      <c r="D76" t="inlineStr">
        <is>
          <t>Sport &amp; Recreation Other</t>
        </is>
      </c>
      <c r="E76" t="inlineStr">
        <is>
          <t>Throws</t>
        </is>
      </c>
      <c r="F76" t="inlineStr">
        <is>
          <t>Tirrinia</t>
        </is>
      </c>
      <c r="G76" t="n">
        <v>4</v>
      </c>
      <c r="H76" t="n">
        <v>2</v>
      </c>
      <c r="I76" t="inlineStr">
        <is>
          <t>Q2-Target,Batch 1 - TR</t>
        </is>
      </c>
      <c r="J76" s="29" t="n">
        <v>326.88</v>
      </c>
      <c r="K76" s="30" t="n">
        <v>0.0028</v>
      </c>
      <c r="L76" s="29" t="n">
        <v>0</v>
      </c>
      <c r="M76" s="29" t="n">
        <v>0</v>
      </c>
      <c r="N76" s="2" t="n">
        <v>11</v>
      </c>
      <c r="O76" s="31" t="n">
        <v>33.59999999999999</v>
      </c>
      <c r="P76" s="32" t="n">
        <v>0.004</v>
      </c>
      <c r="Q76" s="32" t="n">
        <v>0.1028</v>
      </c>
      <c r="R76" s="32" t="n">
        <v>0.0113</v>
      </c>
      <c r="S76" s="31" t="n">
        <v>4.55</v>
      </c>
      <c r="T76" s="32" t="n">
        <v>0.22</v>
      </c>
      <c r="U76" s="31" t="n">
        <v>152.95</v>
      </c>
      <c r="V76" s="31" t="n">
        <v>152.95</v>
      </c>
      <c r="W76" s="3" t="n">
        <v>21812</v>
      </c>
      <c r="X76" s="3" t="n">
        <v>74</v>
      </c>
      <c r="Y76" s="32" t="n">
        <v>0.0034</v>
      </c>
      <c r="Z76" s="3" t="n">
        <v>5</v>
      </c>
      <c r="AA76" s="32" t="n">
        <v>0.06759999999999999</v>
      </c>
      <c r="AB76" s="3" t="inlineStr">
        <is>
          <t>Throws_Auto_Optiwise_24</t>
        </is>
      </c>
      <c r="AC76" s="31" t="n">
        <v>0.45</v>
      </c>
      <c r="AD76" s="2" t="n">
        <v>31</v>
      </c>
      <c r="AE76" s="2" t="n">
        <v>127</v>
      </c>
      <c r="AF76" s="4" t="n">
        <v>53</v>
      </c>
      <c r="AG76" s="33" t="n">
        <v>173.93</v>
      </c>
      <c r="AH76" s="4" t="n">
        <v>6</v>
      </c>
      <c r="AI76" s="34" t="n">
        <v>0.1132</v>
      </c>
      <c r="AJ76" s="34" t="n">
        <v>0.5321</v>
      </c>
      <c r="AK76" s="2" t="n">
        <v>1300</v>
      </c>
      <c r="AL76" t="inlineStr">
        <is>
          <t>Published</t>
        </is>
      </c>
    </row>
    <row r="77">
      <c r="A77">
        <f>HYPERLINK("https://www.walmart.com/ip/966954985", "966954985")</f>
        <v/>
      </c>
      <c r="B77">
        <f>HYPERLINK("https://app.optiwise.ai/catalog/itemdetails/361650", "Extra Large Lunch Bag - 13L/ 22 Can, Insulated &amp; Leakproof Adult Reusable Meal Prep Bento Box Cooler Tote for Men &amp; Women with Dual Compartment By Tirrinia, Dark Blue")</f>
        <v/>
      </c>
      <c r="C77" t="inlineStr">
        <is>
          <t>1KTLB410DBL</t>
        </is>
      </c>
      <c r="D77" t="inlineStr">
        <is>
          <t>Home Decor, Kitchen, &amp; Other</t>
        </is>
      </c>
      <c r="E77" t="inlineStr">
        <is>
          <t>Reusable Lunch Bags &amp; Boxes</t>
        </is>
      </c>
      <c r="F77" t="inlineStr">
        <is>
          <t>Tirrinia</t>
        </is>
      </c>
      <c r="G77" t="n">
        <v>0</v>
      </c>
      <c r="H77" t="n">
        <v>0</v>
      </c>
      <c r="I77" t="inlineStr">
        <is>
          <t>Q2-Target,Brand Camp VD,Lunch Bag,WFS,Lunch Bags,SEM,WFS Item</t>
        </is>
      </c>
      <c r="J77" s="29" t="n">
        <v>326.77</v>
      </c>
      <c r="K77" s="30" t="n">
        <v>0.0028</v>
      </c>
      <c r="L77" s="29" t="n">
        <v>99.94999885559082</v>
      </c>
      <c r="M77" s="29" t="n">
        <v>0</v>
      </c>
      <c r="N77" s="2" t="n">
        <v>15</v>
      </c>
      <c r="O77" s="31" t="n">
        <v>0</v>
      </c>
      <c r="P77" s="32" t="n"/>
      <c r="Q77" s="32" t="n">
        <v>0</v>
      </c>
      <c r="R77" s="32" t="n">
        <v>0.0366</v>
      </c>
      <c r="S77" s="31" t="n">
        <v>0</v>
      </c>
      <c r="T77" s="32" t="n">
        <v>0</v>
      </c>
      <c r="U77" s="31" t="n">
        <v>0</v>
      </c>
      <c r="V77" s="31" t="n">
        <v>0</v>
      </c>
      <c r="W77" s="3" t="n">
        <v>0</v>
      </c>
      <c r="X77" s="3" t="n">
        <v>0</v>
      </c>
      <c r="Y77" s="32" t="n">
        <v>0</v>
      </c>
      <c r="Z77" s="3" t="n">
        <v>0</v>
      </c>
      <c r="AA77" s="32" t="n">
        <v>0</v>
      </c>
      <c r="AB77" s="3" t="n"/>
      <c r="AC77" s="31" t="n">
        <v>0</v>
      </c>
      <c r="AD77" s="2" t="n">
        <v>145</v>
      </c>
      <c r="AE77" s="2" t="n">
        <v>88</v>
      </c>
      <c r="AF77" s="4" t="n">
        <v>88</v>
      </c>
      <c r="AG77" s="33" t="n">
        <v>326.77</v>
      </c>
      <c r="AH77" s="4" t="n">
        <v>15</v>
      </c>
      <c r="AI77" s="34" t="n">
        <v>0.1705</v>
      </c>
      <c r="AJ77" s="34" t="n">
        <v>1</v>
      </c>
      <c r="AK77" s="2" t="n">
        <v>1008</v>
      </c>
      <c r="AL77" t="inlineStr">
        <is>
          <t>Published</t>
        </is>
      </c>
    </row>
    <row r="78">
      <c r="A78">
        <f>HYPERLINK("https://www.walmart.com/ip/134725741", "134725741")</f>
        <v/>
      </c>
      <c r="B78">
        <f>HYPERLINK("https://app.optiwise.ai/catalog/itemdetails/362779", "Extra Large Lunch Bag - 13L/ 22 Can, Insulated &amp; Leakproof Adult Reusable Meal Prep Bento Box Cooler Tote for Men &amp; Women with Dual Compartment, Purple")</f>
        <v/>
      </c>
      <c r="C78" t="inlineStr">
        <is>
          <t>1KTLB410PP</t>
        </is>
      </c>
      <c r="D78" t="inlineStr">
        <is>
          <t>Home Decor, Kitchen, &amp; Other</t>
        </is>
      </c>
      <c r="E78" t="inlineStr">
        <is>
          <t>Reusable Lunch Bags &amp; Boxes</t>
        </is>
      </c>
      <c r="F78" t="inlineStr">
        <is>
          <t>Tirrinia</t>
        </is>
      </c>
      <c r="G78" t="n">
        <v>4.6</v>
      </c>
      <c r="H78" t="n">
        <v>85</v>
      </c>
      <c r="I78" t="inlineStr">
        <is>
          <t>Q2-Target,Brand Camp VD,Lunch Bag,WFS,Lunch Bags,SEM,WFS Item</t>
        </is>
      </c>
      <c r="J78" s="29" t="n">
        <v>319.84</v>
      </c>
      <c r="K78" s="30" t="n">
        <v>0.0028</v>
      </c>
      <c r="L78" s="29" t="n">
        <v>19.98999977111816</v>
      </c>
      <c r="M78" s="29" t="n">
        <v>0</v>
      </c>
      <c r="N78" s="2" t="n">
        <v>16</v>
      </c>
      <c r="O78" s="31" t="n">
        <v>0</v>
      </c>
      <c r="P78" s="32" t="n"/>
      <c r="Q78" s="32" t="n">
        <v>0</v>
      </c>
      <c r="R78" s="32" t="n">
        <v>0.177</v>
      </c>
      <c r="S78" s="31" t="n">
        <v>0</v>
      </c>
      <c r="T78" s="32" t="n">
        <v>0</v>
      </c>
      <c r="U78" s="31" t="n">
        <v>0</v>
      </c>
      <c r="V78" s="31" t="n">
        <v>0</v>
      </c>
      <c r="W78" s="3" t="n">
        <v>0</v>
      </c>
      <c r="X78" s="3" t="n">
        <v>0</v>
      </c>
      <c r="Y78" s="32" t="n">
        <v>0</v>
      </c>
      <c r="Z78" s="3" t="n">
        <v>0</v>
      </c>
      <c r="AA78" s="32" t="n">
        <v>0</v>
      </c>
      <c r="AB78" s="3" t="n"/>
      <c r="AC78" s="31" t="n">
        <v>0</v>
      </c>
      <c r="AD78" s="2" t="n">
        <v>162</v>
      </c>
      <c r="AE78" s="2" t="n">
        <v>104</v>
      </c>
      <c r="AF78" s="4" t="n">
        <v>104</v>
      </c>
      <c r="AG78" s="33" t="n">
        <v>319.84</v>
      </c>
      <c r="AH78" s="4" t="n">
        <v>16</v>
      </c>
      <c r="AI78" s="34" t="n">
        <v>0.1538</v>
      </c>
      <c r="AJ78" s="34" t="n">
        <v>1</v>
      </c>
      <c r="AK78" s="2" t="n">
        <v>50</v>
      </c>
      <c r="AL78" t="inlineStr">
        <is>
          <t>Published</t>
        </is>
      </c>
    </row>
    <row r="79">
      <c r="A79">
        <f>HYPERLINK("https://www.walmart.com/ip/10291700385", "10291700385")</f>
        <v/>
      </c>
      <c r="B79">
        <f>HYPERLINK("https://app.optiwise.ai/catalog/itemdetails/10031988", "Wrangler Men’s Full Grain Genuine Leather 35mm Thick Casual Belt for Jeans, Pants - Black, 36")</f>
        <v/>
      </c>
      <c r="C79" t="inlineStr">
        <is>
          <t>WR-BELT-MENS-35MM-BLACK-36</t>
        </is>
      </c>
      <c r="D79" t="inlineStr">
        <is>
          <t>Clothing</t>
        </is>
      </c>
      <c r="E79" t="inlineStr">
        <is>
          <t>Belts</t>
        </is>
      </c>
      <c r="F79" t="inlineStr">
        <is>
          <t>Wrangler</t>
        </is>
      </c>
      <c r="G79" t="n">
        <v>0</v>
      </c>
      <c r="H79" t="n">
        <v>0</v>
      </c>
      <c r="I79" t="inlineStr">
        <is>
          <t>Belts</t>
        </is>
      </c>
      <c r="J79" s="29" t="n">
        <v>319.84</v>
      </c>
      <c r="K79" s="30" t="n">
        <v>0.0028</v>
      </c>
      <c r="L79" s="29" t="n">
        <v>79.95999908447266</v>
      </c>
      <c r="M79" s="29" t="n">
        <v>0</v>
      </c>
      <c r="N79" s="2" t="n">
        <v>16</v>
      </c>
      <c r="O79" s="31" t="n">
        <v>0</v>
      </c>
      <c r="P79" s="32" t="n"/>
      <c r="Q79" s="32" t="n">
        <v>0</v>
      </c>
      <c r="R79" s="32" t="n">
        <v>0</v>
      </c>
      <c r="S79" s="31" t="n">
        <v>0</v>
      </c>
      <c r="T79" s="32" t="n">
        <v>0</v>
      </c>
      <c r="U79" s="31" t="n">
        <v>0</v>
      </c>
      <c r="V79" s="31" t="n">
        <v>0</v>
      </c>
      <c r="W79" s="3" t="n">
        <v>0</v>
      </c>
      <c r="X79" s="3" t="n">
        <v>0</v>
      </c>
      <c r="Y79" s="32" t="n">
        <v>0</v>
      </c>
      <c r="Z79" s="3" t="n">
        <v>0</v>
      </c>
      <c r="AA79" s="32" t="n">
        <v>0</v>
      </c>
      <c r="AB79" s="3" t="n"/>
      <c r="AC79" s="31" t="n">
        <v>0</v>
      </c>
      <c r="AD79" s="2" t="n">
        <v>79</v>
      </c>
      <c r="AE79" s="2" t="n">
        <v>178</v>
      </c>
      <c r="AF79" s="4" t="n">
        <v>178</v>
      </c>
      <c r="AG79" s="33" t="n">
        <v>319.84</v>
      </c>
      <c r="AH79" s="4" t="n">
        <v>16</v>
      </c>
      <c r="AI79" s="34" t="n">
        <v>0.08989999999999999</v>
      </c>
      <c r="AJ79" s="34" t="n">
        <v>1</v>
      </c>
      <c r="AK79" s="2" t="n">
        <v>118</v>
      </c>
      <c r="AL79" t="inlineStr">
        <is>
          <t>Published</t>
        </is>
      </c>
    </row>
    <row r="80">
      <c r="A80">
        <f>HYPERLINK("https://www.walmart.com/ip/789931376", "789931376")</f>
        <v/>
      </c>
      <c r="B80">
        <f>HYPERLINK("https://app.optiwise.ai/catalog/itemdetails/417470", "Tirrinia Warm Comfy Foldable Waterproof Outdoor Blanket for Camping Stadium, 51'' X 59''")</f>
        <v/>
      </c>
      <c r="C80" t="inlineStr">
        <is>
          <t>1TRBW506BKGY</t>
        </is>
      </c>
      <c r="D80" t="inlineStr">
        <is>
          <t>Sport &amp; Recreation Other</t>
        </is>
      </c>
      <c r="E80" t="inlineStr">
        <is>
          <t>Throws</t>
        </is>
      </c>
      <c r="F80" t="inlineStr">
        <is>
          <t>Tirrinia</t>
        </is>
      </c>
      <c r="G80" t="n">
        <v>5</v>
      </c>
      <c r="H80" t="n">
        <v>1</v>
      </c>
      <c r="I80" t="inlineStr">
        <is>
          <t>Q2-Target,Optimized</t>
        </is>
      </c>
      <c r="J80" s="29" t="n">
        <v>318.88</v>
      </c>
      <c r="K80" s="30" t="n">
        <v>0.0027</v>
      </c>
      <c r="L80" s="29" t="n">
        <v>27.98999977111816</v>
      </c>
      <c r="M80" s="29" t="n">
        <v>0</v>
      </c>
      <c r="N80" s="2" t="n">
        <v>11</v>
      </c>
      <c r="O80" s="31" t="n">
        <v>16.16</v>
      </c>
      <c r="P80" s="32" t="n">
        <v>0.0019</v>
      </c>
      <c r="Q80" s="32" t="n">
        <v>0.0507</v>
      </c>
      <c r="R80" s="32" t="n">
        <v>0.1731</v>
      </c>
      <c r="S80" s="31" t="n">
        <v>1.86</v>
      </c>
      <c r="T80" s="32" t="n">
        <v>0.54</v>
      </c>
      <c r="U80" s="31" t="n">
        <v>29.99</v>
      </c>
      <c r="V80" s="31" t="n">
        <v>29.99</v>
      </c>
      <c r="W80" s="3" t="n">
        <v>6128</v>
      </c>
      <c r="X80" s="3" t="n">
        <v>37</v>
      </c>
      <c r="Y80" s="32" t="n">
        <v>0.006</v>
      </c>
      <c r="Z80" s="3" t="n">
        <v>1</v>
      </c>
      <c r="AA80" s="32" t="n">
        <v>0.027</v>
      </c>
      <c r="AB80" s="3" t="inlineStr">
        <is>
          <t>Throws_Auto_Optiwise_24,Throws_Manual_Optiwise_24</t>
        </is>
      </c>
      <c r="AC80" s="31" t="n">
        <v>0.44</v>
      </c>
      <c r="AD80" s="2" t="n">
        <v>94</v>
      </c>
      <c r="AE80" s="2" t="n">
        <v>186</v>
      </c>
      <c r="AF80" s="4" t="n">
        <v>149</v>
      </c>
      <c r="AG80" s="33" t="n">
        <v>288.89</v>
      </c>
      <c r="AH80" s="4" t="n">
        <v>10</v>
      </c>
      <c r="AI80" s="34" t="n">
        <v>0.06710000000000001</v>
      </c>
      <c r="AJ80" s="34" t="n">
        <v>0.906</v>
      </c>
      <c r="AK80" s="2" t="n">
        <v>1227</v>
      </c>
      <c r="AL80" t="inlineStr">
        <is>
          <t>Published</t>
        </is>
      </c>
    </row>
    <row r="81">
      <c r="A81">
        <f>HYPERLINK("https://www.walmart.com/ip/431339580", "431339580")</f>
        <v/>
      </c>
      <c r="B81">
        <f>HYPERLINK("https://app.optiwise.ai/catalog/itemdetails/361261", "Catalonia Hooded Wearable Cape with Hood Blanket Poncho for Adult Women Men, Fleece Wrap | Warm, Soft, Cozy, Snuggly | Comfort Gift, No Sleeves")</f>
        <v/>
      </c>
      <c r="C81" t="inlineStr">
        <is>
          <t>1CTBP120PP</t>
        </is>
      </c>
      <c r="D81" t="inlineStr">
        <is>
          <t>Bedding</t>
        </is>
      </c>
      <c r="E81" t="inlineStr">
        <is>
          <t>Throws</t>
        </is>
      </c>
      <c r="F81" t="inlineStr">
        <is>
          <t>Catalonia</t>
        </is>
      </c>
      <c r="G81" t="n">
        <v>0</v>
      </c>
      <c r="H81" t="n">
        <v>0</v>
      </c>
      <c r="I81" t="inlineStr">
        <is>
          <t>Optimized,Hero 5 Holidays,WFS,WFS Item</t>
        </is>
      </c>
      <c r="J81" s="29" t="n">
        <v>311.88</v>
      </c>
      <c r="K81" s="30" t="n">
        <v>0.0027</v>
      </c>
      <c r="L81" s="29" t="n">
        <v>51.97999954223633</v>
      </c>
      <c r="M81" s="29" t="n">
        <v>0</v>
      </c>
      <c r="N81" s="2" t="n">
        <v>12</v>
      </c>
      <c r="O81" s="31" t="n">
        <v>12.2</v>
      </c>
      <c r="P81" s="32" t="n">
        <v>0.0015</v>
      </c>
      <c r="Q81" s="32" t="n">
        <v>0.0391</v>
      </c>
      <c r="R81" s="32" t="n">
        <v>0.0427</v>
      </c>
      <c r="S81" s="31" t="n">
        <v>4.26</v>
      </c>
      <c r="T81" s="32" t="n">
        <v>0.23</v>
      </c>
      <c r="U81" s="31" t="n">
        <v>51.98</v>
      </c>
      <c r="V81" s="31" t="n">
        <v>51.98</v>
      </c>
      <c r="W81" s="3" t="n">
        <v>10123</v>
      </c>
      <c r="X81" s="3" t="n">
        <v>51</v>
      </c>
      <c r="Y81" s="32" t="n">
        <v>0.005</v>
      </c>
      <c r="Z81" s="3" t="n">
        <v>2</v>
      </c>
      <c r="AA81" s="32" t="n">
        <v>0.0392</v>
      </c>
      <c r="AB81" s="3" t="inlineStr">
        <is>
          <t>Snuggly_Auto</t>
        </is>
      </c>
      <c r="AC81" s="31" t="n">
        <v>0.24</v>
      </c>
      <c r="AD81" s="2" t="n">
        <v>337</v>
      </c>
      <c r="AE81" s="2" t="n">
        <v>129</v>
      </c>
      <c r="AF81" s="4" t="n">
        <v>157</v>
      </c>
      <c r="AG81" s="33" t="n">
        <v>259.9</v>
      </c>
      <c r="AH81" s="4" t="n">
        <v>10</v>
      </c>
      <c r="AI81" s="34" t="n">
        <v>0.06370000000000001</v>
      </c>
      <c r="AJ81" s="34" t="n">
        <v>0.8333</v>
      </c>
      <c r="AK81" s="2" t="n">
        <v>1125</v>
      </c>
      <c r="AL81" t="inlineStr">
        <is>
          <t>Published</t>
        </is>
      </c>
    </row>
    <row r="82">
      <c r="A82">
        <f>HYPERLINK("https://www.walmart.com/ip/960128628", "960128628")</f>
        <v/>
      </c>
      <c r="B82">
        <f>HYPERLINK("https://app.optiwise.ai/catalog/itemdetails/362147", "Tirrinia Insulated Lunch Bag for Women Men, 10L Leakproof Thermal Reusable Lunch Box for Adult, Kids, Tall Meal Prep Lunch Cooler Tote for Office Work, Back to School, Large, Light Blue")</f>
        <v/>
      </c>
      <c r="C82" t="inlineStr">
        <is>
          <t>1TRLB701LBL-T</t>
        </is>
      </c>
      <c r="D82" t="inlineStr">
        <is>
          <t>Home Decor, Kitchen, &amp; Other</t>
        </is>
      </c>
      <c r="E82" t="inlineStr">
        <is>
          <t>Reusable Lunch Bags &amp; Boxes</t>
        </is>
      </c>
      <c r="F82" t="inlineStr">
        <is>
          <t>Tirrinia</t>
        </is>
      </c>
      <c r="G82" t="n">
        <v>0</v>
      </c>
      <c r="H82" t="n">
        <v>0</v>
      </c>
      <c r="I82" t="inlineStr">
        <is>
          <t>Brand Camp VD,Lunch Bag,WFS,Lunch Bags,SEM</t>
        </is>
      </c>
      <c r="J82" s="29" t="n">
        <v>311.25</v>
      </c>
      <c r="K82" s="30" t="n">
        <v>0.0027</v>
      </c>
      <c r="L82" s="29" t="n">
        <v>24.89999961853027</v>
      </c>
      <c r="M82" s="29" t="n">
        <v>0</v>
      </c>
      <c r="N82" s="2" t="n">
        <v>25</v>
      </c>
      <c r="O82" s="31" t="n">
        <v>0</v>
      </c>
      <c r="P82" s="32" t="n"/>
      <c r="Q82" s="32" t="n">
        <v>0</v>
      </c>
      <c r="R82" s="32" t="n">
        <v>0</v>
      </c>
      <c r="S82" s="31" t="n">
        <v>0</v>
      </c>
      <c r="T82" s="32" t="n">
        <v>0</v>
      </c>
      <c r="U82" s="31" t="n">
        <v>0</v>
      </c>
      <c r="V82" s="31" t="n">
        <v>0</v>
      </c>
      <c r="W82" s="3" t="n">
        <v>0</v>
      </c>
      <c r="X82" s="3" t="n">
        <v>0</v>
      </c>
      <c r="Y82" s="32" t="n">
        <v>0</v>
      </c>
      <c r="Z82" s="3" t="n">
        <v>0</v>
      </c>
      <c r="AA82" s="32" t="n">
        <v>0</v>
      </c>
      <c r="AB82" s="3" t="n"/>
      <c r="AC82" s="31" t="n">
        <v>0</v>
      </c>
      <c r="AD82" s="2" t="n">
        <v>81</v>
      </c>
      <c r="AE82" s="2" t="n">
        <v>160</v>
      </c>
      <c r="AF82" s="4" t="n">
        <v>160</v>
      </c>
      <c r="AG82" s="33" t="n">
        <v>311.25</v>
      </c>
      <c r="AH82" s="4" t="n">
        <v>25</v>
      </c>
      <c r="AI82" s="34" t="n">
        <v>0.1562</v>
      </c>
      <c r="AJ82" s="34" t="n">
        <v>1</v>
      </c>
      <c r="AK82" s="2" t="n">
        <v>540</v>
      </c>
      <c r="AL82" t="inlineStr">
        <is>
          <t>Published</t>
        </is>
      </c>
    </row>
    <row r="83">
      <c r="A83">
        <f>HYPERLINK("https://www.walmart.com/ip/479148074", "479148074")</f>
        <v/>
      </c>
      <c r="B83">
        <f>HYPERLINK("https://app.optiwise.ai/catalog/itemdetails/361348", "FlyingStar Waterproof Outdoor Blanket with Sherpa Lining,Windproof Triple Layers Warm Comfy Foldable for Camping  Stadium,Sports,Picnic,Grass,Concerts,Pet 51''X 59'',Navy/Grey")</f>
        <v/>
      </c>
      <c r="C83" t="inlineStr">
        <is>
          <t>1WMBW506NYGY-TBCB</t>
        </is>
      </c>
      <c r="D83" t="inlineStr">
        <is>
          <t>Sport &amp; Recreation Other</t>
        </is>
      </c>
      <c r="E83" t="inlineStr">
        <is>
          <t>Picnic Blankets &amp; Mats</t>
        </is>
      </c>
      <c r="F83" t="inlineStr">
        <is>
          <t>Flyingstar</t>
        </is>
      </c>
      <c r="G83" t="n">
        <v>4.7</v>
      </c>
      <c r="H83" t="n">
        <v>23</v>
      </c>
      <c r="I83" t="inlineStr">
        <is>
          <t>Q2-Target,Optimized,WFS,WFS Item</t>
        </is>
      </c>
      <c r="J83" s="29" t="n">
        <v>309.89</v>
      </c>
      <c r="K83" s="30" t="n">
        <v>0.0027</v>
      </c>
      <c r="L83" s="29" t="n">
        <v>0</v>
      </c>
      <c r="M83" s="29" t="n">
        <v>27.98999977111816</v>
      </c>
      <c r="N83" s="2" t="n">
        <v>11</v>
      </c>
      <c r="O83" s="31" t="n">
        <v>52.27999999999997</v>
      </c>
      <c r="P83" s="32" t="n">
        <v>0.0063</v>
      </c>
      <c r="Q83" s="32" t="n">
        <v>0.1687</v>
      </c>
      <c r="R83" s="32" t="n">
        <v>0.0098</v>
      </c>
      <c r="S83" s="31" t="n">
        <v>5.51</v>
      </c>
      <c r="T83" s="32" t="n">
        <v>0.18</v>
      </c>
      <c r="U83" s="31" t="n">
        <v>287.91</v>
      </c>
      <c r="V83" s="31" t="n">
        <v>287.91</v>
      </c>
      <c r="W83" s="3" t="n">
        <v>9772</v>
      </c>
      <c r="X83" s="3" t="n">
        <v>139</v>
      </c>
      <c r="Y83" s="32" t="n">
        <v>0.0142</v>
      </c>
      <c r="Z83" s="3" t="n">
        <v>9</v>
      </c>
      <c r="AA83" s="32" t="n">
        <v>0.06469999999999999</v>
      </c>
      <c r="AB83" s="3" t="inlineStr">
        <is>
          <t>1WMBW506NYGY-TBCB_Manual,1WMBW506NYGY-TBCB_Manual_Optiwise,Picnic Blankets &amp; Mats_Manual_Optiwise_24</t>
        </is>
      </c>
      <c r="AC83" s="31" t="n">
        <v>0.38</v>
      </c>
      <c r="AD83" s="2" t="n">
        <v>122</v>
      </c>
      <c r="AE83" s="2" t="n">
        <v>110</v>
      </c>
      <c r="AF83" s="4" t="inlineStr">
        <is>
          <t>NA</t>
        </is>
      </c>
      <c r="AG83" s="33" t="n">
        <v>21.97999999999996</v>
      </c>
      <c r="AH83" s="4" t="n">
        <v>2</v>
      </c>
      <c r="AI83" s="34" t="inlineStr">
        <is>
          <t>NA</t>
        </is>
      </c>
      <c r="AJ83" s="34" t="n">
        <v>0.0709</v>
      </c>
      <c r="AK83" s="2" t="n">
        <v>1362</v>
      </c>
      <c r="AL83" t="inlineStr">
        <is>
          <t>Published</t>
        </is>
      </c>
    </row>
    <row r="84">
      <c r="A84">
        <f>HYPERLINK("https://www.walmart.com/ip/121165611", "121165611")</f>
        <v/>
      </c>
      <c r="B84">
        <f>HYPERLINK("https://app.optiwise.ai/catalog/itemdetails/361946", "Tirrinia Insulated Lunch Bag, Leakproof Thermal Bento Lunch Bag For Women, Men And Kids, 8 Cans, Black, 10L x 6.5W x 2.3H")</f>
        <v/>
      </c>
      <c r="C84" t="inlineStr">
        <is>
          <t>1KTLB600BK</t>
        </is>
      </c>
      <c r="D84" t="inlineStr">
        <is>
          <t>Home Decor, Kitchen, &amp; Other</t>
        </is>
      </c>
      <c r="E84" t="inlineStr">
        <is>
          <t>Reusable Lunch Bags &amp; Boxes</t>
        </is>
      </c>
      <c r="F84" t="inlineStr">
        <is>
          <t>Tirrinia</t>
        </is>
      </c>
      <c r="G84" t="n">
        <v>4.5</v>
      </c>
      <c r="H84" t="n">
        <v>14</v>
      </c>
      <c r="I84" t="inlineStr">
        <is>
          <t>Q2-Target,Lunch Bag,WFS,Lunch Bags,SEM,WFS Item,AMZ Bestsellers</t>
        </is>
      </c>
      <c r="J84" s="29" t="n">
        <v>305.82</v>
      </c>
      <c r="K84" s="30" t="n">
        <v>0.0026</v>
      </c>
      <c r="L84" s="29" t="n">
        <v>100.439998626709</v>
      </c>
      <c r="M84" s="29" t="n">
        <v>0</v>
      </c>
      <c r="N84" s="2" t="n">
        <v>18</v>
      </c>
      <c r="O84" s="31" t="n">
        <v>0</v>
      </c>
      <c r="P84" s="32" t="n"/>
      <c r="Q84" s="32" t="n">
        <v>0</v>
      </c>
      <c r="R84" s="32" t="n">
        <v>0.0055</v>
      </c>
      <c r="S84" s="31" t="n">
        <v>0</v>
      </c>
      <c r="T84" s="32" t="n">
        <v>0</v>
      </c>
      <c r="U84" s="31" t="n">
        <v>0</v>
      </c>
      <c r="V84" s="31" t="n">
        <v>0</v>
      </c>
      <c r="W84" s="3" t="n">
        <v>0</v>
      </c>
      <c r="X84" s="3" t="n">
        <v>0</v>
      </c>
      <c r="Y84" s="32" t="n">
        <v>0</v>
      </c>
      <c r="Z84" s="3" t="n">
        <v>0</v>
      </c>
      <c r="AA84" s="32" t="n">
        <v>0</v>
      </c>
      <c r="AB84" s="3" t="n"/>
      <c r="AC84" s="31" t="n">
        <v>0</v>
      </c>
      <c r="AD84" s="2" t="n">
        <v>552</v>
      </c>
      <c r="AE84" s="2" t="n">
        <v>357</v>
      </c>
      <c r="AF84" s="4" t="n">
        <v>357</v>
      </c>
      <c r="AG84" s="33" t="n">
        <v>305.82</v>
      </c>
      <c r="AH84" s="4" t="n">
        <v>18</v>
      </c>
      <c r="AI84" s="34" t="n">
        <v>0.0504</v>
      </c>
      <c r="AJ84" s="34" t="n">
        <v>1</v>
      </c>
      <c r="AK84" s="2" t="n">
        <v>750</v>
      </c>
      <c r="AL84" t="inlineStr">
        <is>
          <t>Published</t>
        </is>
      </c>
    </row>
    <row r="85">
      <c r="A85">
        <f>HYPERLINK("https://www.walmart.com/ip/335803818", "335803818")</f>
        <v/>
      </c>
      <c r="B85">
        <f>HYPERLINK("https://app.optiwise.ai/catalog/itemdetails/358772", "Tirrinia Insulated Cooler Toto Lunch Bag, Thermos Organizer Container, Gray, 8.5 x 4 x 9.5")</f>
        <v/>
      </c>
      <c r="C85" t="inlineStr">
        <is>
          <t>1TRLB100GY</t>
        </is>
      </c>
      <c r="D85" t="inlineStr">
        <is>
          <t>Home Decor, Kitchen, &amp; Other</t>
        </is>
      </c>
      <c r="E85" t="inlineStr">
        <is>
          <t>Reusable Lunch Bags &amp; Boxes</t>
        </is>
      </c>
      <c r="F85" t="inlineStr">
        <is>
          <t>Tirrinia</t>
        </is>
      </c>
      <c r="G85" t="n">
        <v>4.7</v>
      </c>
      <c r="H85" t="n">
        <v>11</v>
      </c>
      <c r="I85" t="inlineStr">
        <is>
          <t>Q2-Target,Lunch Bags,SEM,Batch 1 - TR</t>
        </is>
      </c>
      <c r="J85" s="29" t="n">
        <v>303.74</v>
      </c>
      <c r="K85" s="30" t="n">
        <v>0.0026</v>
      </c>
      <c r="L85" s="29" t="n">
        <v>23.97999954223633</v>
      </c>
      <c r="M85" s="29" t="n">
        <v>21.97999954223633</v>
      </c>
      <c r="N85" s="2" t="n">
        <v>25</v>
      </c>
      <c r="O85" s="31" t="n">
        <v>0</v>
      </c>
      <c r="P85" s="32" t="n"/>
      <c r="Q85" s="32" t="n">
        <v>0</v>
      </c>
      <c r="R85" s="32" t="n">
        <v>0.06370000000000001</v>
      </c>
      <c r="S85" s="31" t="n">
        <v>0</v>
      </c>
      <c r="T85" s="32" t="n">
        <v>0</v>
      </c>
      <c r="U85" s="31" t="n">
        <v>0</v>
      </c>
      <c r="V85" s="31" t="n">
        <v>0</v>
      </c>
      <c r="W85" s="3" t="n">
        <v>0</v>
      </c>
      <c r="X85" s="3" t="n">
        <v>0</v>
      </c>
      <c r="Y85" s="32" t="n">
        <v>0</v>
      </c>
      <c r="Z85" s="3" t="n">
        <v>0</v>
      </c>
      <c r="AA85" s="32" t="n">
        <v>0</v>
      </c>
      <c r="AB85" s="3" t="n"/>
      <c r="AC85" s="31" t="n">
        <v>0</v>
      </c>
      <c r="AD85" s="2" t="n">
        <v>238</v>
      </c>
      <c r="AE85" s="2" t="n">
        <v>124</v>
      </c>
      <c r="AF85" s="4" t="n">
        <v>124</v>
      </c>
      <c r="AG85" s="33" t="n">
        <v>303.74</v>
      </c>
      <c r="AH85" s="4" t="n">
        <v>25</v>
      </c>
      <c r="AI85" s="34" t="n">
        <v>0.2016</v>
      </c>
      <c r="AJ85" s="34" t="n">
        <v>1</v>
      </c>
      <c r="AK85" s="2" t="n">
        <v>626</v>
      </c>
      <c r="AL85" t="inlineStr">
        <is>
          <t>Published</t>
        </is>
      </c>
    </row>
    <row r="86">
      <c r="A86">
        <f>HYPERLINK("https://www.walmart.com/ip/537141265", "537141265")</f>
        <v/>
      </c>
      <c r="B86">
        <f>HYPERLINK("https://app.optiwise.ai/catalog/itemdetails/360855", "Single Wine Cooler Bags - Insulated &amp; Padded Portable Wine Tote Carrier for Travel, BYOB Restaurant, Wine Tasting, Party, Great Gift for Wine Lover, Wine Stripe")</f>
        <v/>
      </c>
      <c r="C86" t="inlineStr">
        <is>
          <t>1WMWB101WNSTR</t>
        </is>
      </c>
      <c r="D86" t="inlineStr">
        <is>
          <t>Home Decor, Kitchen, &amp; Other</t>
        </is>
      </c>
      <c r="E86" t="inlineStr">
        <is>
          <t>Wine Totes, Bags &amp; Backpacks</t>
        </is>
      </c>
      <c r="F86" t="inlineStr">
        <is>
          <t>Flyingstar</t>
        </is>
      </c>
      <c r="G86" t="n">
        <v>0</v>
      </c>
      <c r="H86" t="n">
        <v>0</v>
      </c>
      <c r="I86" t="inlineStr">
        <is>
          <t>Wine,Christmas,Optimized,Valentine</t>
        </is>
      </c>
      <c r="J86" s="29" t="n">
        <v>301.74</v>
      </c>
      <c r="K86" s="30" t="n">
        <v>0.0026</v>
      </c>
      <c r="L86" s="29" t="n">
        <v>0</v>
      </c>
      <c r="M86" s="29" t="n">
        <v>0</v>
      </c>
      <c r="N86" s="2" t="n">
        <v>24</v>
      </c>
      <c r="O86" s="31" t="n">
        <v>65.05999999999999</v>
      </c>
      <c r="P86" s="32" t="n">
        <v>0.0078</v>
      </c>
      <c r="Q86" s="32" t="n">
        <v>0.2156</v>
      </c>
      <c r="R86" s="32" t="n">
        <v>0.0016</v>
      </c>
      <c r="S86" s="31" t="n">
        <v>2.43</v>
      </c>
      <c r="T86" s="32" t="n">
        <v>0.41</v>
      </c>
      <c r="U86" s="31" t="n">
        <v>157.87</v>
      </c>
      <c r="V86" s="31" t="n">
        <v>157.87</v>
      </c>
      <c r="W86" s="3" t="n">
        <v>42278</v>
      </c>
      <c r="X86" s="3" t="n">
        <v>162</v>
      </c>
      <c r="Y86" s="32" t="n">
        <v>0.0038</v>
      </c>
      <c r="Z86" s="3" t="n">
        <v>13</v>
      </c>
      <c r="AA86" s="32" t="n">
        <v>0.08019999999999999</v>
      </c>
      <c r="AB86" s="3" t="inlineStr">
        <is>
          <t>WFS Inventory</t>
        </is>
      </c>
      <c r="AC86" s="31" t="n">
        <v>0.4</v>
      </c>
      <c r="AD86" s="2" t="n">
        <v>72</v>
      </c>
      <c r="AE86" s="2" t="n">
        <v>82</v>
      </c>
      <c r="AF86" s="4" t="inlineStr">
        <is>
          <t>NA</t>
        </is>
      </c>
      <c r="AG86" s="33" t="n">
        <v>143.87</v>
      </c>
      <c r="AH86" s="4" t="n">
        <v>11</v>
      </c>
      <c r="AI86" s="34" t="inlineStr">
        <is>
          <t>NA</t>
        </is>
      </c>
      <c r="AJ86" s="34" t="n">
        <v>0.4768</v>
      </c>
      <c r="AK86" s="2" t="n">
        <v>11</v>
      </c>
      <c r="AL86" t="inlineStr">
        <is>
          <t>Published</t>
        </is>
      </c>
    </row>
    <row r="87">
      <c r="A87">
        <f>HYPERLINK("https://www.walmart.com/ip/5231363049", "5231363049")</f>
        <v/>
      </c>
      <c r="B87">
        <f>HYPERLINK("https://app.optiwise.ai/catalog/itemdetails/7725543", "Catalonia Waterproof Blanket for Couch, Reversible Sofa Bed Coverlet Protector, Leak Proof, Comfortable Blanket for People and Pets, Grey/Grey, 50 x 60")</f>
        <v/>
      </c>
      <c r="C87" t="inlineStr">
        <is>
          <t>1CTBW565LGDG</t>
        </is>
      </c>
      <c r="D87" t="inlineStr">
        <is>
          <t>Home Decor, Kitchen, &amp; Other</t>
        </is>
      </c>
      <c r="E87" t="inlineStr">
        <is>
          <t>Throws</t>
        </is>
      </c>
      <c r="F87" t="inlineStr">
        <is>
          <t>Catalonia</t>
        </is>
      </c>
      <c r="G87" t="n">
        <v>0</v>
      </c>
      <c r="H87" t="n">
        <v>0</v>
      </c>
      <c r="J87" s="29" t="n">
        <v>299.9</v>
      </c>
      <c r="K87" s="30" t="n">
        <v>0.0026</v>
      </c>
      <c r="L87" s="29" t="n">
        <v>29.98999977111816</v>
      </c>
      <c r="M87" s="29" t="n">
        <v>0</v>
      </c>
      <c r="N87" s="2" t="n">
        <v>10</v>
      </c>
      <c r="O87" s="31" t="n">
        <v>0</v>
      </c>
      <c r="P87" s="32" t="n"/>
      <c r="Q87" s="32" t="n">
        <v>0</v>
      </c>
      <c r="R87" s="32" t="n">
        <v>0.3212</v>
      </c>
      <c r="S87" s="31" t="n">
        <v>0</v>
      </c>
      <c r="T87" s="32" t="n">
        <v>0</v>
      </c>
      <c r="U87" s="31" t="n">
        <v>0</v>
      </c>
      <c r="V87" s="31" t="n">
        <v>0</v>
      </c>
      <c r="W87" s="3" t="n">
        <v>0</v>
      </c>
      <c r="X87" s="3" t="n">
        <v>0</v>
      </c>
      <c r="Y87" s="32" t="n">
        <v>0</v>
      </c>
      <c r="Z87" s="3" t="n">
        <v>0</v>
      </c>
      <c r="AA87" s="32" t="n">
        <v>0</v>
      </c>
      <c r="AB87" s="3" t="n"/>
      <c r="AC87" s="31" t="n">
        <v>0</v>
      </c>
      <c r="AD87" s="2" t="n">
        <v>83</v>
      </c>
      <c r="AE87" s="2" t="n">
        <v>73</v>
      </c>
      <c r="AF87" s="4" t="n">
        <v>73</v>
      </c>
      <c r="AG87" s="33" t="n">
        <v>299.9</v>
      </c>
      <c r="AH87" s="4" t="n">
        <v>10</v>
      </c>
      <c r="AI87" s="34" t="n">
        <v>0.137</v>
      </c>
      <c r="AJ87" s="34" t="n">
        <v>1</v>
      </c>
      <c r="AK87" s="2" t="n">
        <v>1350</v>
      </c>
      <c r="AL87" t="inlineStr">
        <is>
          <t>Published</t>
        </is>
      </c>
    </row>
    <row r="88">
      <c r="A88">
        <f>HYPERLINK("https://www.walmart.com/ip/450511260", "450511260")</f>
        <v/>
      </c>
      <c r="B88">
        <f>HYPERLINK("https://app.optiwise.ai/catalog/itemdetails/360261", "Tirrinia Large Adult Insulated Lunch Bag Tote Cooler Container, Charcoal")</f>
        <v/>
      </c>
      <c r="C88" t="inlineStr">
        <is>
          <t>1KTLB410CH</t>
        </is>
      </c>
      <c r="D88" t="inlineStr">
        <is>
          <t>Home Decor, Kitchen, &amp; Other</t>
        </is>
      </c>
      <c r="E88" t="inlineStr">
        <is>
          <t>Reusable Lunch Bags &amp; Boxes</t>
        </is>
      </c>
      <c r="F88" t="inlineStr">
        <is>
          <t>Tirrinia</t>
        </is>
      </c>
      <c r="G88" t="n">
        <v>4.4</v>
      </c>
      <c r="H88" t="n">
        <v>263</v>
      </c>
      <c r="I88" t="inlineStr">
        <is>
          <t>Q2-Target,Lunch Bag,WFS,Lunch Bags,SEM,WFS Item</t>
        </is>
      </c>
      <c r="J88" s="29" t="n">
        <v>298.07</v>
      </c>
      <c r="K88" s="30" t="n">
        <v>0.0026</v>
      </c>
      <c r="L88" s="29" t="n">
        <v>0</v>
      </c>
      <c r="M88" s="29" t="n">
        <v>0</v>
      </c>
      <c r="N88" s="2" t="n">
        <v>14</v>
      </c>
      <c r="O88" s="31" t="n">
        <v>0</v>
      </c>
      <c r="P88" s="32" t="n"/>
      <c r="Q88" s="32" t="n">
        <v>0</v>
      </c>
      <c r="R88" s="32" t="n">
        <v>0.3762</v>
      </c>
      <c r="S88" s="31" t="n">
        <v>0</v>
      </c>
      <c r="T88" s="32" t="n">
        <v>0</v>
      </c>
      <c r="U88" s="31" t="n">
        <v>0</v>
      </c>
      <c r="V88" s="31" t="n">
        <v>0</v>
      </c>
      <c r="W88" s="3" t="n">
        <v>0</v>
      </c>
      <c r="X88" s="3" t="n">
        <v>0</v>
      </c>
      <c r="Y88" s="32" t="n">
        <v>0</v>
      </c>
      <c r="Z88" s="3" t="n">
        <v>0</v>
      </c>
      <c r="AA88" s="32" t="n">
        <v>0</v>
      </c>
      <c r="AB88" s="3" t="n"/>
      <c r="AC88" s="31" t="n">
        <v>0</v>
      </c>
      <c r="AD88" s="2" t="n">
        <v>322</v>
      </c>
      <c r="AE88" s="2" t="n">
        <v>0</v>
      </c>
      <c r="AF88" s="4" t="n">
        <v>322</v>
      </c>
      <c r="AG88" s="33" t="n">
        <v>298.07</v>
      </c>
      <c r="AH88" s="4" t="n">
        <v>14</v>
      </c>
      <c r="AI88" s="34" t="n">
        <v>0.0435</v>
      </c>
      <c r="AJ88" s="34" t="n">
        <v>1</v>
      </c>
      <c r="AK88" s="2" t="n">
        <v>964</v>
      </c>
      <c r="AL88" t="inlineStr">
        <is>
          <t>Published</t>
        </is>
      </c>
    </row>
    <row r="89">
      <c r="A89">
        <f>HYPERLINK("https://www.walmart.com/ip/773018457", "773018457")</f>
        <v/>
      </c>
      <c r="B89">
        <f>HYPERLINK("https://app.optiwise.ai/catalog/itemdetails/412492", "Tirrinia Waterproof Outdoor Blanket with Sherpa Lining, Windproof Triple Layers Warm Comfy Foldable for Camping Stadium, Sports, Picnic, Concerts and Pets, Machine Washable, Light Grey, 60'' X 80''.")</f>
        <v/>
      </c>
      <c r="C89" t="inlineStr">
        <is>
          <t>1TRBW608LGDG-CDCB</t>
        </is>
      </c>
      <c r="D89" t="inlineStr">
        <is>
          <t>Sport &amp; Recreation Other</t>
        </is>
      </c>
      <c r="E89" t="inlineStr">
        <is>
          <t>Throws</t>
        </is>
      </c>
      <c r="F89" t="inlineStr">
        <is>
          <t>Tirrinia</t>
        </is>
      </c>
      <c r="G89" t="n">
        <v>4</v>
      </c>
      <c r="H89" t="n">
        <v>2</v>
      </c>
      <c r="I89" t="inlineStr">
        <is>
          <t>Q2-Target,Optimized</t>
        </is>
      </c>
      <c r="J89" s="29" t="n">
        <v>293.9</v>
      </c>
      <c r="K89" s="30" t="n">
        <v>0.0025</v>
      </c>
      <c r="L89" s="29" t="n">
        <v>0</v>
      </c>
      <c r="M89" s="29" t="n">
        <v>0</v>
      </c>
      <c r="N89" s="2" t="n">
        <v>8</v>
      </c>
      <c r="O89" s="31" t="n">
        <v>14.61</v>
      </c>
      <c r="P89" s="32" t="n">
        <v>0.0018</v>
      </c>
      <c r="Q89" s="32" t="n">
        <v>0.0497</v>
      </c>
      <c r="R89" s="32" t="n">
        <v>0.0024</v>
      </c>
      <c r="S89" s="31" t="n">
        <v>3.42</v>
      </c>
      <c r="T89" s="32" t="n">
        <v>0.29</v>
      </c>
      <c r="U89" s="31" t="n">
        <v>49.98</v>
      </c>
      <c r="V89" s="31" t="n">
        <v>49.98</v>
      </c>
      <c r="W89" s="3" t="n">
        <v>29335</v>
      </c>
      <c r="X89" s="3" t="n">
        <v>36</v>
      </c>
      <c r="Y89" s="32" t="n">
        <v>0.0012</v>
      </c>
      <c r="Z89" s="3" t="n">
        <v>2</v>
      </c>
      <c r="AA89" s="32" t="n">
        <v>0.0556</v>
      </c>
      <c r="AB89" s="3" t="inlineStr">
        <is>
          <t>Throws_Auto_Optiwise_24</t>
        </is>
      </c>
      <c r="AC89" s="31" t="n">
        <v>0.41</v>
      </c>
      <c r="AD89" s="2" t="n">
        <v>63</v>
      </c>
      <c r="AE89" s="2" t="n">
        <v>171</v>
      </c>
      <c r="AF89" s="4" t="n">
        <v>135</v>
      </c>
      <c r="AG89" s="33" t="n">
        <v>243.92</v>
      </c>
      <c r="AH89" s="4" t="n">
        <v>6</v>
      </c>
      <c r="AI89" s="34" t="n">
        <v>0.0444</v>
      </c>
      <c r="AJ89" s="34" t="n">
        <v>0.8299</v>
      </c>
      <c r="AK89" s="2" t="n">
        <v>1687</v>
      </c>
      <c r="AL89" t="inlineStr">
        <is>
          <t>Published</t>
        </is>
      </c>
    </row>
    <row r="90">
      <c r="A90">
        <f>HYPERLINK("https://www.walmart.com/ip/111712195", "111712195")</f>
        <v/>
      </c>
      <c r="B90">
        <f>HYPERLINK("https://app.optiwise.ai/catalog/itemdetails/361745", "Solaris Unisex Large Bill Flap Sun Hat Camping Hiking Hunting Fishing Cap")</f>
        <v/>
      </c>
      <c r="C90" t="inlineStr">
        <is>
          <t>1SLSH911TN</t>
        </is>
      </c>
      <c r="D90" t="inlineStr">
        <is>
          <t>Clothing</t>
        </is>
      </c>
      <c r="E90" t="inlineStr">
        <is>
          <t>Hats</t>
        </is>
      </c>
      <c r="F90" t="inlineStr">
        <is>
          <t>Solaris</t>
        </is>
      </c>
      <c r="G90" t="n">
        <v>4.1</v>
      </c>
      <c r="H90" t="n">
        <v>20</v>
      </c>
      <c r="I90" t="inlineStr">
        <is>
          <t>Q2-Target,Optimized,WFS,Hats,WFS Item</t>
        </is>
      </c>
      <c r="J90" s="29" t="n">
        <v>293.84</v>
      </c>
      <c r="K90" s="30" t="n">
        <v>0.0025</v>
      </c>
      <c r="L90" s="29" t="n">
        <v>119.939998626709</v>
      </c>
      <c r="M90" s="29" t="n">
        <v>26.97999954223633</v>
      </c>
      <c r="N90" s="2" t="n">
        <v>14</v>
      </c>
      <c r="O90" s="31" t="n">
        <v>0</v>
      </c>
      <c r="P90" s="32" t="n"/>
      <c r="Q90" s="32" t="n">
        <v>0</v>
      </c>
      <c r="R90" s="32" t="n">
        <v>0.3178</v>
      </c>
      <c r="S90" s="31" t="n">
        <v>0</v>
      </c>
      <c r="T90" s="32" t="n">
        <v>0</v>
      </c>
      <c r="U90" s="31" t="n">
        <v>0</v>
      </c>
      <c r="V90" s="31" t="n">
        <v>0</v>
      </c>
      <c r="W90" s="3" t="n">
        <v>0</v>
      </c>
      <c r="X90" s="3" t="n">
        <v>0</v>
      </c>
      <c r="Y90" s="32" t="n">
        <v>0</v>
      </c>
      <c r="Z90" s="3" t="n">
        <v>0</v>
      </c>
      <c r="AA90" s="32" t="n">
        <v>0</v>
      </c>
      <c r="AB90" s="3" t="n"/>
      <c r="AC90" s="31" t="n">
        <v>0</v>
      </c>
      <c r="AD90" s="2" t="n">
        <v>110</v>
      </c>
      <c r="AE90" s="2" t="n">
        <v>91</v>
      </c>
      <c r="AF90" s="4" t="n">
        <v>91</v>
      </c>
      <c r="AG90" s="33" t="n">
        <v>293.84</v>
      </c>
      <c r="AH90" s="4" t="n">
        <v>14</v>
      </c>
      <c r="AI90" s="34" t="n">
        <v>0.1538</v>
      </c>
      <c r="AJ90" s="34" t="n">
        <v>1</v>
      </c>
      <c r="AK90" s="2" t="n">
        <v>964</v>
      </c>
      <c r="AL90" t="inlineStr">
        <is>
          <t>Published</t>
        </is>
      </c>
    </row>
    <row r="91">
      <c r="A91">
        <f>HYPERLINK("https://www.walmart.com/ip/1960805917", "1960805917")</f>
        <v/>
      </c>
      <c r="B91">
        <f>HYPERLINK("https://app.optiwise.ai/catalog/itemdetails/4979875", "Tirrinia Insulated Lunch Box for Women | Lunch Bags for Women, Girls, Teens | Cute Pink Reusable Thermal Lunch Tote Purse Cooler for Kids, School, Work, Office, Adult | Fits 10 Cans (Pink Watermelon)")</f>
        <v/>
      </c>
      <c r="C91" t="inlineStr">
        <is>
          <t>1WMLB706PKMEL</t>
        </is>
      </c>
      <c r="D91" t="inlineStr">
        <is>
          <t>Home Decor, Kitchen, &amp; Other</t>
        </is>
      </c>
      <c r="E91" t="inlineStr">
        <is>
          <t>Reusable Lunch Bags &amp; Boxes</t>
        </is>
      </c>
      <c r="F91" t="inlineStr">
        <is>
          <t>Tirrinia</t>
        </is>
      </c>
      <c r="G91" t="n">
        <v>4.9</v>
      </c>
      <c r="H91" t="n">
        <v>25</v>
      </c>
      <c r="I91" t="inlineStr">
        <is>
          <t>Q2-Target,Brand Camp VD</t>
        </is>
      </c>
      <c r="J91" s="29" t="n">
        <v>292.72</v>
      </c>
      <c r="K91" s="30" t="n">
        <v>0.0025</v>
      </c>
      <c r="L91" s="29" t="n">
        <v>0</v>
      </c>
      <c r="M91" s="29" t="n">
        <v>0</v>
      </c>
      <c r="N91" s="2" t="n">
        <v>28</v>
      </c>
      <c r="O91" s="31" t="n">
        <v>0</v>
      </c>
      <c r="P91" s="32" t="n"/>
      <c r="Q91" s="32" t="n">
        <v>0</v>
      </c>
      <c r="R91" s="32" t="n">
        <v>0.3971</v>
      </c>
      <c r="S91" s="31" t="n">
        <v>0</v>
      </c>
      <c r="T91" s="32" t="n">
        <v>0</v>
      </c>
      <c r="U91" s="31" t="n">
        <v>0</v>
      </c>
      <c r="V91" s="31" t="n">
        <v>0</v>
      </c>
      <c r="W91" s="3" t="n">
        <v>0</v>
      </c>
      <c r="X91" s="3" t="n">
        <v>0</v>
      </c>
      <c r="Y91" s="32" t="n">
        <v>0</v>
      </c>
      <c r="Z91" s="3" t="n">
        <v>0</v>
      </c>
      <c r="AA91" s="32" t="n">
        <v>0</v>
      </c>
      <c r="AB91" s="3" t="n"/>
      <c r="AC91" s="31" t="n">
        <v>0</v>
      </c>
      <c r="AD91" s="2" t="n">
        <v>1095</v>
      </c>
      <c r="AE91" s="2" t="n">
        <v>337</v>
      </c>
      <c r="AF91" s="4" t="n">
        <v>758</v>
      </c>
      <c r="AG91" s="33" t="n">
        <v>292.72</v>
      </c>
      <c r="AH91" s="4" t="n">
        <v>28</v>
      </c>
      <c r="AI91" s="34" t="n">
        <v>0.0369</v>
      </c>
      <c r="AJ91" s="34" t="n">
        <v>1</v>
      </c>
      <c r="AK91" s="2" t="n">
        <v>511</v>
      </c>
      <c r="AL91" t="inlineStr">
        <is>
          <t>Published</t>
        </is>
      </c>
    </row>
    <row r="92">
      <c r="A92">
        <f>HYPERLINK("https://www.walmart.com/ip/355236119", "355236119")</f>
        <v/>
      </c>
      <c r="B92">
        <f>HYPERLINK("https://app.optiwise.ai/catalog/itemdetails/361455", "Flyingstar Lunch Bag for Women Men, Insulated Lunch Tote for Working/School/Picnic Fashionable Cooler Bag")</f>
        <v/>
      </c>
      <c r="C92" t="inlineStr">
        <is>
          <t>1WMLB704BRFL</t>
        </is>
      </c>
      <c r="D92" t="inlineStr">
        <is>
          <t>Home Decor, Kitchen, &amp; Other</t>
        </is>
      </c>
      <c r="E92" t="inlineStr">
        <is>
          <t>Reusable Lunch Bags &amp; Boxes</t>
        </is>
      </c>
      <c r="F92" t="inlineStr">
        <is>
          <t>Flyingstar</t>
        </is>
      </c>
      <c r="G92" t="n">
        <v>4.6</v>
      </c>
      <c r="H92" t="n">
        <v>7</v>
      </c>
      <c r="I92" t="inlineStr">
        <is>
          <t>Q2-Target,Lunch Bag,WFS,WFS Item</t>
        </is>
      </c>
      <c r="J92" s="29" t="n">
        <v>291.44</v>
      </c>
      <c r="K92" s="30" t="n">
        <v>0.0025</v>
      </c>
      <c r="L92" s="29" t="n">
        <v>67.66000008583069</v>
      </c>
      <c r="M92" s="29" t="n">
        <v>0</v>
      </c>
      <c r="N92" s="2" t="n">
        <v>36</v>
      </c>
      <c r="O92" s="31" t="n">
        <v>0</v>
      </c>
      <c r="P92" s="32" t="n"/>
      <c r="Q92" s="32" t="n">
        <v>0</v>
      </c>
      <c r="R92" s="32" t="n">
        <v>0.0507</v>
      </c>
      <c r="S92" s="31" t="n">
        <v>0</v>
      </c>
      <c r="T92" s="32" t="n">
        <v>0</v>
      </c>
      <c r="U92" s="31" t="n">
        <v>0</v>
      </c>
      <c r="V92" s="31" t="n">
        <v>0</v>
      </c>
      <c r="W92" s="3" t="n">
        <v>0</v>
      </c>
      <c r="X92" s="3" t="n">
        <v>0</v>
      </c>
      <c r="Y92" s="32" t="n">
        <v>0</v>
      </c>
      <c r="Z92" s="3" t="n">
        <v>0</v>
      </c>
      <c r="AA92" s="32" t="n">
        <v>0</v>
      </c>
      <c r="AB92" s="3" t="n"/>
      <c r="AC92" s="31" t="n">
        <v>0</v>
      </c>
      <c r="AD92" s="2" t="n">
        <v>2814</v>
      </c>
      <c r="AE92" s="2" t="n">
        <v>454</v>
      </c>
      <c r="AF92" s="4" t="n">
        <v>2360</v>
      </c>
      <c r="AG92" s="33" t="n">
        <v>291.44</v>
      </c>
      <c r="AH92" s="4" t="n">
        <v>36</v>
      </c>
      <c r="AI92" s="34" t="n">
        <v>0.0153</v>
      </c>
      <c r="AJ92" s="34" t="n">
        <v>1</v>
      </c>
      <c r="AK92" s="2" t="n">
        <v>547</v>
      </c>
      <c r="AL92" t="inlineStr">
        <is>
          <t>Published</t>
        </is>
      </c>
    </row>
    <row r="93">
      <c r="A93">
        <f>HYPERLINK("https://www.walmart.com/ip/607791061", "607791061")</f>
        <v/>
      </c>
      <c r="B93">
        <f>HYPERLINK("https://app.optiwise.ai/catalog/itemdetails/360409", "Solaris Sun Hat for Women, Wide Brim Summer Beach Hat with Neck Flap, UPF 50+ Fishing Hat for Hiking, Gray")</f>
        <v/>
      </c>
      <c r="C93" t="inlineStr">
        <is>
          <t>KC-S9201-GY</t>
        </is>
      </c>
      <c r="D93" t="inlineStr">
        <is>
          <t>Clothing</t>
        </is>
      </c>
      <c r="E93" t="inlineStr">
        <is>
          <t>Hats</t>
        </is>
      </c>
      <c r="F93" t="inlineStr">
        <is>
          <t>Sun Blocker</t>
        </is>
      </c>
      <c r="G93" t="n">
        <v>4.6</v>
      </c>
      <c r="H93" t="n">
        <v>8</v>
      </c>
      <c r="I93" t="inlineStr">
        <is>
          <t>Q2-Target,Hats,Batch 1 - TR</t>
        </is>
      </c>
      <c r="J93" s="29" t="n">
        <v>289.82</v>
      </c>
      <c r="K93" s="30" t="n">
        <v>0.0025</v>
      </c>
      <c r="L93" s="29" t="n">
        <v>49.96999931335449</v>
      </c>
      <c r="M93" s="29" t="n">
        <v>0</v>
      </c>
      <c r="N93" s="2" t="n">
        <v>18</v>
      </c>
      <c r="O93" s="31" t="n">
        <v>17.42</v>
      </c>
      <c r="P93" s="32" t="n">
        <v>0.0021</v>
      </c>
      <c r="Q93" s="32" t="n">
        <v>0.0601</v>
      </c>
      <c r="R93" s="32" t="n">
        <v>0.2147</v>
      </c>
      <c r="S93" s="31" t="n">
        <v>3.1</v>
      </c>
      <c r="T93" s="32" t="n">
        <v>0.32</v>
      </c>
      <c r="U93" s="31" t="n">
        <v>53.97</v>
      </c>
      <c r="V93" s="31" t="n">
        <v>53.97</v>
      </c>
      <c r="W93" s="3" t="n">
        <v>19744</v>
      </c>
      <c r="X93" s="3" t="n">
        <v>83</v>
      </c>
      <c r="Y93" s="32" t="n">
        <v>0.0042</v>
      </c>
      <c r="Z93" s="3" t="n">
        <v>3</v>
      </c>
      <c r="AA93" s="32" t="n">
        <v>0.0361</v>
      </c>
      <c r="AB93" s="3" t="inlineStr">
        <is>
          <t>Auto for Top sale---Rachel</t>
        </is>
      </c>
      <c r="AC93" s="31" t="n">
        <v>0.21</v>
      </c>
      <c r="AD93" s="2" t="n">
        <v>681</v>
      </c>
      <c r="AE93" s="2" t="n">
        <v>322</v>
      </c>
      <c r="AF93" s="4" t="n">
        <v>276</v>
      </c>
      <c r="AG93" s="33" t="n">
        <v>235.85</v>
      </c>
      <c r="AH93" s="4" t="n">
        <v>15</v>
      </c>
      <c r="AI93" s="34" t="n">
        <v>0.0543</v>
      </c>
      <c r="AJ93" s="34" t="n">
        <v>0.8138</v>
      </c>
      <c r="AK93" s="2" t="n">
        <v>750</v>
      </c>
      <c r="AL93" t="inlineStr">
        <is>
          <t>Published</t>
        </is>
      </c>
    </row>
    <row r="94">
      <c r="A94">
        <f>HYPERLINK("https://www.walmart.com/ip/346915715", "346915715")</f>
        <v/>
      </c>
      <c r="B94">
        <f>HYPERLINK("https://app.optiwise.ai/catalog/itemdetails/412494", "Kato Outdoors Waterproof Throw Blanket, Stadium Windproof Sherpa Fleece Blanket For Traveling, Camping, Hiking, and Football, Machine Washable, Red Plaid, 51'' x 59''")</f>
        <v/>
      </c>
      <c r="C94" t="inlineStr">
        <is>
          <t>1KTBW506PRD</t>
        </is>
      </c>
      <c r="D94" t="inlineStr">
        <is>
          <t>Bedding</t>
        </is>
      </c>
      <c r="E94" t="inlineStr">
        <is>
          <t>Throws</t>
        </is>
      </c>
      <c r="F94" t="inlineStr">
        <is>
          <t>Kato</t>
        </is>
      </c>
      <c r="G94" t="n">
        <v>5</v>
      </c>
      <c r="H94" t="n">
        <v>7</v>
      </c>
      <c r="I94" t="inlineStr">
        <is>
          <t>Optimized</t>
        </is>
      </c>
      <c r="J94" s="29" t="n">
        <v>286.88</v>
      </c>
      <c r="K94" s="30" t="n">
        <v>0.0025</v>
      </c>
      <c r="L94" s="29" t="n">
        <v>0</v>
      </c>
      <c r="M94" s="29" t="n">
        <v>0</v>
      </c>
      <c r="N94" s="2" t="n">
        <v>10</v>
      </c>
      <c r="O94" s="31" t="n">
        <v>40.26000000000003</v>
      </c>
      <c r="P94" s="32" t="n">
        <v>0.0048</v>
      </c>
      <c r="Q94" s="32" t="n">
        <v>0.1403</v>
      </c>
      <c r="R94" s="32" t="n">
        <v>0.0339</v>
      </c>
      <c r="S94" s="31" t="n">
        <v>3.58</v>
      </c>
      <c r="T94" s="32" t="n">
        <v>0.28</v>
      </c>
      <c r="U94" s="31" t="n">
        <v>143.95</v>
      </c>
      <c r="V94" s="31" t="n">
        <v>143.95</v>
      </c>
      <c r="W94" s="3" t="n">
        <v>29812</v>
      </c>
      <c r="X94" s="3" t="n">
        <v>143</v>
      </c>
      <c r="Y94" s="32" t="n">
        <v>0.0048</v>
      </c>
      <c r="Z94" s="3" t="n">
        <v>5</v>
      </c>
      <c r="AA94" s="32" t="n">
        <v>0.035</v>
      </c>
      <c r="AB94" s="3" t="inlineStr">
        <is>
          <t>WFS Inventory</t>
        </is>
      </c>
      <c r="AC94" s="31" t="n">
        <v>0.28</v>
      </c>
      <c r="AD94" s="2" t="n">
        <v>108</v>
      </c>
      <c r="AE94" s="2" t="n">
        <v>167</v>
      </c>
      <c r="AF94" s="4" t="n">
        <v>24</v>
      </c>
      <c r="AG94" s="33" t="n">
        <v>142.93</v>
      </c>
      <c r="AH94" s="4" t="n">
        <v>5</v>
      </c>
      <c r="AI94" s="34" t="n">
        <v>0.2083</v>
      </c>
      <c r="AJ94" s="34" t="n">
        <v>0.4982</v>
      </c>
      <c r="AK94" s="2" t="n">
        <v>1471</v>
      </c>
      <c r="AL94" t="inlineStr">
        <is>
          <t>Published</t>
        </is>
      </c>
    </row>
    <row r="95">
      <c r="A95">
        <f>HYPERLINK("https://www.walmart.com/ip/244456244", "244456244")</f>
        <v/>
      </c>
      <c r="B95">
        <f>HYPERLINK("https://app.optiwise.ai/catalog/itemdetails/360967", "Pawsse Waterproof Pet Snuggle Blanket, Dog Puppy Cat Fleece Sherpa Throws Cushion Mat for Car Seat Furniture Protector Cover Medium 50x60")</f>
        <v/>
      </c>
      <c r="C95" t="inlineStr">
        <is>
          <t>1PSBW561GYTP</t>
        </is>
      </c>
      <c r="D95" t="inlineStr">
        <is>
          <t>Animal Accessories</t>
        </is>
      </c>
      <c r="E95" t="inlineStr">
        <is>
          <t>Pet Blankets</t>
        </is>
      </c>
      <c r="F95" t="inlineStr">
        <is>
          <t>Pawsse</t>
        </is>
      </c>
      <c r="G95" t="n">
        <v>0</v>
      </c>
      <c r="H95" t="n">
        <v>0</v>
      </c>
      <c r="I95" t="inlineStr">
        <is>
          <t>Batch 1 - TR</t>
        </is>
      </c>
      <c r="J95" s="29" t="n">
        <v>285.89</v>
      </c>
      <c r="K95" s="30" t="n">
        <v>0.0025</v>
      </c>
      <c r="L95" s="29" t="n">
        <v>25.98999977111816</v>
      </c>
      <c r="M95" s="29" t="n">
        <v>0</v>
      </c>
      <c r="N95" s="2" t="n">
        <v>11</v>
      </c>
      <c r="O95" s="31" t="n">
        <v>19.17</v>
      </c>
      <c r="P95" s="32" t="n">
        <v>0.0023</v>
      </c>
      <c r="Q95" s="32" t="n">
        <v>0.06710000000000001</v>
      </c>
      <c r="R95" s="32" t="n">
        <v>0.0492</v>
      </c>
      <c r="S95" s="31" t="n">
        <v>3.02</v>
      </c>
      <c r="T95" s="32" t="n">
        <v>0.33</v>
      </c>
      <c r="U95" s="31" t="n">
        <v>57.97</v>
      </c>
      <c r="V95" s="31" t="n">
        <v>57.97</v>
      </c>
      <c r="W95" s="3" t="n">
        <v>15759</v>
      </c>
      <c r="X95" s="3" t="n">
        <v>32</v>
      </c>
      <c r="Y95" s="32" t="n">
        <v>0.002</v>
      </c>
      <c r="Z95" s="3" t="n">
        <v>3</v>
      </c>
      <c r="AA95" s="32" t="n">
        <v>0.09379999999999999</v>
      </c>
      <c r="AB95" s="3" t="inlineStr">
        <is>
          <t>Auto for BW PET 2 ---Rachel,Pet Blankets_Auto_Optiwise_24</t>
        </is>
      </c>
      <c r="AC95" s="31" t="n">
        <v>0.6</v>
      </c>
      <c r="AD95" s="2" t="n">
        <v>108</v>
      </c>
      <c r="AE95" s="2" t="n">
        <v>212</v>
      </c>
      <c r="AF95" s="4" t="n">
        <v>180</v>
      </c>
      <c r="AG95" s="33" t="n">
        <v>227.92</v>
      </c>
      <c r="AH95" s="4" t="n">
        <v>8</v>
      </c>
      <c r="AI95" s="34" t="n">
        <v>0.0444</v>
      </c>
      <c r="AJ95" s="34" t="n">
        <v>0.7972</v>
      </c>
      <c r="AK95" s="2" t="n">
        <v>1227</v>
      </c>
      <c r="AL95" t="inlineStr">
        <is>
          <t>Published</t>
        </is>
      </c>
    </row>
    <row r="96">
      <c r="A96">
        <f>HYPERLINK("https://www.walmart.com/ip/1324704566", "1324704566")</f>
        <v/>
      </c>
      <c r="B96">
        <f>HYPERLINK("https://app.optiwise.ai/catalog/itemdetails/6057900", "Tirrinia Wearable Blanket with Feet Pockets for Women and Men, Fleece Blanket with Zippered Front Pocket, Super Soft Lightweight Car Pillow, One Size Fits All, Dark blue")</f>
        <v/>
      </c>
      <c r="C96" t="inlineStr">
        <is>
          <t>1TRTB102DBL</t>
        </is>
      </c>
      <c r="D96" t="inlineStr">
        <is>
          <t>Bedding</t>
        </is>
      </c>
      <c r="E96" t="inlineStr">
        <is>
          <t>Throws</t>
        </is>
      </c>
      <c r="F96" t="inlineStr">
        <is>
          <t>Tirrinia</t>
        </is>
      </c>
      <c r="G96" t="n">
        <v>3.8</v>
      </c>
      <c r="H96" t="n">
        <v>4</v>
      </c>
      <c r="J96" s="29" t="n">
        <v>285.84</v>
      </c>
      <c r="K96" s="30" t="n">
        <v>0.0025</v>
      </c>
      <c r="L96" s="29" t="n">
        <v>90.94999885559082</v>
      </c>
      <c r="M96" s="29" t="n">
        <v>0</v>
      </c>
      <c r="N96" s="2" t="n">
        <v>16</v>
      </c>
      <c r="O96" s="31" t="n">
        <v>0</v>
      </c>
      <c r="P96" s="32" t="n"/>
      <c r="Q96" s="32" t="n">
        <v>0</v>
      </c>
      <c r="R96" s="32" t="n">
        <v>0</v>
      </c>
      <c r="S96" s="31" t="n">
        <v>0</v>
      </c>
      <c r="T96" s="32" t="n">
        <v>0</v>
      </c>
      <c r="U96" s="31" t="n">
        <v>0</v>
      </c>
      <c r="V96" s="31" t="n">
        <v>0</v>
      </c>
      <c r="W96" s="3" t="n">
        <v>0</v>
      </c>
      <c r="X96" s="3" t="n">
        <v>0</v>
      </c>
      <c r="Y96" s="32" t="n">
        <v>0</v>
      </c>
      <c r="Z96" s="3" t="n">
        <v>0</v>
      </c>
      <c r="AA96" s="32" t="n">
        <v>0</v>
      </c>
      <c r="AB96" s="3" t="n"/>
      <c r="AC96" s="31" t="n">
        <v>0</v>
      </c>
      <c r="AD96" s="2" t="n">
        <v>84</v>
      </c>
      <c r="AE96" s="2" t="n">
        <v>112</v>
      </c>
      <c r="AF96" s="4" t="n">
        <v>112</v>
      </c>
      <c r="AG96" s="33" t="n">
        <v>285.84</v>
      </c>
      <c r="AH96" s="4" t="n">
        <v>16</v>
      </c>
      <c r="AI96" s="34" t="n">
        <v>0.1429</v>
      </c>
      <c r="AJ96" s="34" t="n">
        <v>1</v>
      </c>
      <c r="AK96" s="2" t="n">
        <v>750</v>
      </c>
      <c r="AL96" t="inlineStr">
        <is>
          <t>Published</t>
        </is>
      </c>
    </row>
    <row r="97">
      <c r="A97">
        <f>HYPERLINK("https://www.walmart.com/ip/775704271", "775704271")</f>
        <v/>
      </c>
      <c r="B97">
        <f>HYPERLINK("https://app.optiwise.ai/catalog/itemdetails/360482", "Catalonia Buffalo Plaid Sherpa Throw TV Blanket 50 x 60 Super Soft Reversible Fleece Blanket for Cabin Bed or Couch | Cabin Plaid Check, Blue Plaid")</f>
        <v/>
      </c>
      <c r="C97" t="inlineStr">
        <is>
          <t>1CTBF300PBL</t>
        </is>
      </c>
      <c r="D97" t="inlineStr">
        <is>
          <t>Bedding</t>
        </is>
      </c>
      <c r="E97" t="inlineStr">
        <is>
          <t>Throws</t>
        </is>
      </c>
      <c r="F97" t="inlineStr">
        <is>
          <t>Catalonia</t>
        </is>
      </c>
      <c r="G97" t="n">
        <v>4.8</v>
      </c>
      <c r="H97" t="n">
        <v>20</v>
      </c>
      <c r="I97" t="inlineStr">
        <is>
          <t>Q2-Target,WFS,Coupon_Discount,WFS Item,Fleece Blankets</t>
        </is>
      </c>
      <c r="J97" s="29" t="n">
        <v>285.75</v>
      </c>
      <c r="K97" s="30" t="n">
        <v>0.0025</v>
      </c>
      <c r="L97" s="29" t="n">
        <v>0</v>
      </c>
      <c r="M97" s="29" t="n">
        <v>0</v>
      </c>
      <c r="N97" s="2" t="n">
        <v>25</v>
      </c>
      <c r="O97" s="31" t="n">
        <v>0</v>
      </c>
      <c r="P97" s="32" t="n"/>
      <c r="Q97" s="32" t="n">
        <v>0</v>
      </c>
      <c r="R97" s="32" t="n">
        <v>0</v>
      </c>
      <c r="S97" s="31" t="n">
        <v>0</v>
      </c>
      <c r="T97" s="32" t="n">
        <v>0</v>
      </c>
      <c r="U97" s="31" t="n">
        <v>0</v>
      </c>
      <c r="V97" s="31" t="n">
        <v>0</v>
      </c>
      <c r="W97" s="3" t="n">
        <v>0</v>
      </c>
      <c r="X97" s="3" t="n">
        <v>0</v>
      </c>
      <c r="Y97" s="32" t="n">
        <v>0</v>
      </c>
      <c r="Z97" s="3" t="n">
        <v>0</v>
      </c>
      <c r="AA97" s="32" t="n">
        <v>0</v>
      </c>
      <c r="AB97" s="3" t="n"/>
      <c r="AC97" s="31" t="n">
        <v>0</v>
      </c>
      <c r="AD97" s="2" t="n">
        <v>122</v>
      </c>
      <c r="AE97" s="2" t="n">
        <v>101</v>
      </c>
      <c r="AF97" s="4" t="n">
        <v>101</v>
      </c>
      <c r="AG97" s="33" t="n">
        <v>285.75</v>
      </c>
      <c r="AH97" s="4" t="n">
        <v>25</v>
      </c>
      <c r="AI97" s="34" t="n">
        <v>0.2475</v>
      </c>
      <c r="AJ97" s="34" t="n">
        <v>1</v>
      </c>
      <c r="AK97" s="2" t="n">
        <v>448</v>
      </c>
      <c r="AL97" t="inlineStr">
        <is>
          <t>Published</t>
        </is>
      </c>
    </row>
    <row r="98">
      <c r="A98">
        <f>HYPERLINK("https://www.walmart.com/ip/1228349737", "1228349737")</f>
        <v/>
      </c>
      <c r="B98">
        <f>HYPERLINK("https://app.optiwise.ai/catalog/itemdetails/920305", "Catalonia Waterproof Blanket for Couch, Reversible Washable Sofa Bed Coverlet Protecto,| Leak Proof, Comfortable, for People and Pets, Camel/Taupe, 60 x 80")</f>
        <v/>
      </c>
      <c r="C98" t="inlineStr">
        <is>
          <t>1CTBW685TPTP</t>
        </is>
      </c>
      <c r="D98" t="inlineStr">
        <is>
          <t>Bedding</t>
        </is>
      </c>
      <c r="E98" t="inlineStr">
        <is>
          <t>Throws</t>
        </is>
      </c>
      <c r="F98" t="inlineStr">
        <is>
          <t>Catalonia</t>
        </is>
      </c>
      <c r="G98" t="n">
        <v>4.4</v>
      </c>
      <c r="H98" t="n">
        <v>13</v>
      </c>
      <c r="I98" t="inlineStr">
        <is>
          <t>Wproof Blanket,Batch 1 - TR</t>
        </is>
      </c>
      <c r="J98" s="29" t="n">
        <v>279.93</v>
      </c>
      <c r="K98" s="30" t="n">
        <v>0.0024</v>
      </c>
      <c r="L98" s="29" t="n">
        <v>0</v>
      </c>
      <c r="M98" s="29" t="n">
        <v>0</v>
      </c>
      <c r="N98" s="2" t="n">
        <v>7</v>
      </c>
      <c r="O98" s="31" t="n">
        <v>32.82000000000001</v>
      </c>
      <c r="P98" s="32" t="n">
        <v>0.0039</v>
      </c>
      <c r="Q98" s="32" t="n">
        <v>0.1172</v>
      </c>
      <c r="R98" s="32" t="n">
        <v>0.0294</v>
      </c>
      <c r="S98" s="31" t="n">
        <v>6.4</v>
      </c>
      <c r="T98" s="32" t="n">
        <v>0.16</v>
      </c>
      <c r="U98" s="31" t="n">
        <v>209.95</v>
      </c>
      <c r="V98" s="31" t="n">
        <v>179.96</v>
      </c>
      <c r="W98" s="3" t="n">
        <v>113156</v>
      </c>
      <c r="X98" s="3" t="n">
        <v>78</v>
      </c>
      <c r="Y98" s="32" t="n">
        <v>0.0007</v>
      </c>
      <c r="Z98" s="3" t="n">
        <v>5</v>
      </c>
      <c r="AA98" s="32" t="n">
        <v>0.0641</v>
      </c>
      <c r="AB98" s="3" t="inlineStr">
        <is>
          <t>All Items_Auto_Optiwise_24</t>
        </is>
      </c>
      <c r="AC98" s="31" t="n">
        <v>0.42</v>
      </c>
      <c r="AD98" s="2" t="n">
        <v>81</v>
      </c>
      <c r="AE98" s="2" t="n">
        <v>375</v>
      </c>
      <c r="AF98" s="4" t="n">
        <v>297</v>
      </c>
      <c r="AG98" s="33" t="n">
        <v>69.97999999999999</v>
      </c>
      <c r="AH98" s="4" t="n">
        <v>2</v>
      </c>
      <c r="AI98" s="34" t="n">
        <v>0.0067</v>
      </c>
      <c r="AJ98" s="34" t="n">
        <v>0.25</v>
      </c>
      <c r="AK98" s="2" t="n">
        <v>1465</v>
      </c>
      <c r="AL98" t="inlineStr">
        <is>
          <t>Published</t>
        </is>
      </c>
    </row>
    <row r="99">
      <c r="A99">
        <f>HYPERLINK("https://www.walmart.com/ip/10286419607", "10286419607")</f>
        <v/>
      </c>
      <c r="B99">
        <f>HYPERLINK("https://app.optiwise.ai/catalog/itemdetails/10032006", "Wrangler Men’s Full Grain Genuine Leather 35mm Thick Casual Belt for Jeans, Pants - Black, 42")</f>
        <v/>
      </c>
      <c r="C99" t="inlineStr">
        <is>
          <t>WR-BELT-MENS-35MM-BLACK-42</t>
        </is>
      </c>
      <c r="D99" t="inlineStr">
        <is>
          <t>Clothing</t>
        </is>
      </c>
      <c r="E99" t="inlineStr">
        <is>
          <t>Belts</t>
        </is>
      </c>
      <c r="F99" t="inlineStr">
        <is>
          <t>Wrangler</t>
        </is>
      </c>
      <c r="G99" t="n">
        <v>0</v>
      </c>
      <c r="H99" t="n">
        <v>0</v>
      </c>
      <c r="I99" t="inlineStr">
        <is>
          <t>Belts</t>
        </is>
      </c>
      <c r="J99" s="29" t="n">
        <v>279.86</v>
      </c>
      <c r="K99" s="30" t="n">
        <v>0.0024</v>
      </c>
      <c r="L99" s="29" t="n">
        <v>19.98999977111816</v>
      </c>
      <c r="M99" s="29" t="n">
        <v>0</v>
      </c>
      <c r="N99" s="2" t="n">
        <v>14</v>
      </c>
      <c r="O99" s="31" t="n">
        <v>0</v>
      </c>
      <c r="P99" s="32" t="n"/>
      <c r="Q99" s="32" t="n">
        <v>0</v>
      </c>
      <c r="R99" s="32" t="n">
        <v>0</v>
      </c>
      <c r="S99" s="31" t="n">
        <v>0</v>
      </c>
      <c r="T99" s="32" t="n">
        <v>0</v>
      </c>
      <c r="U99" s="31" t="n">
        <v>0</v>
      </c>
      <c r="V99" s="31" t="n">
        <v>0</v>
      </c>
      <c r="W99" s="3" t="n">
        <v>0</v>
      </c>
      <c r="X99" s="3" t="n">
        <v>0</v>
      </c>
      <c r="Y99" s="32" t="n">
        <v>0</v>
      </c>
      <c r="Z99" s="3" t="n">
        <v>0</v>
      </c>
      <c r="AA99" s="32" t="n">
        <v>0</v>
      </c>
      <c r="AB99" s="3" t="n"/>
      <c r="AC99" s="31" t="n">
        <v>0</v>
      </c>
      <c r="AD99" s="2" t="n">
        <v>26</v>
      </c>
      <c r="AE99" s="2" t="n">
        <v>43</v>
      </c>
      <c r="AF99" s="4" t="n">
        <v>43</v>
      </c>
      <c r="AG99" s="33" t="n">
        <v>279.86</v>
      </c>
      <c r="AH99" s="4" t="n">
        <v>14</v>
      </c>
      <c r="AI99" s="34" t="n">
        <v>0.3256</v>
      </c>
      <c r="AJ99" s="34" t="n">
        <v>1</v>
      </c>
      <c r="AK99" s="2" t="n">
        <v>356</v>
      </c>
      <c r="AL99" t="inlineStr">
        <is>
          <t>Published</t>
        </is>
      </c>
    </row>
    <row r="100">
      <c r="A100">
        <f>HYPERLINK("https://www.walmart.com/ip/15393804349", "15393804349")</f>
        <v/>
      </c>
      <c r="B100">
        <f>HYPERLINK("https://app.optiwise.ai/catalog/itemdetails/20119646", "Catalonia Swim Parka Kids with Hood, Lightweight Youth Surf Swim Jacket, Waterproof &amp; Warm Sherpa Lined Swim Coat for Boys Girls, Changing Poncho Robe for Pool Beach Stadium, Blue, 9-13 Years")</f>
        <v/>
      </c>
      <c r="C100" t="inlineStr">
        <is>
          <t>1CTPKR202BL-1</t>
        </is>
      </c>
      <c r="D100" t="inlineStr">
        <is>
          <t>Clothing</t>
        </is>
      </c>
      <c r="E100" t="inlineStr">
        <is>
          <t>Swim Parkas</t>
        </is>
      </c>
      <c r="F100" t="inlineStr">
        <is>
          <t>Catalonia</t>
        </is>
      </c>
      <c r="G100" t="n">
        <v>0</v>
      </c>
      <c r="H100" t="n">
        <v>0</v>
      </c>
      <c r="J100" s="29" t="n">
        <v>275.94</v>
      </c>
      <c r="K100" s="30" t="n">
        <v>0.0024</v>
      </c>
      <c r="L100" s="29" t="n">
        <v>45.9900016784668</v>
      </c>
      <c r="M100" s="29" t="n">
        <v>0</v>
      </c>
      <c r="N100" s="2" t="n">
        <v>6</v>
      </c>
      <c r="O100" s="31" t="n">
        <v>0</v>
      </c>
      <c r="P100" s="32" t="n"/>
      <c r="Q100" s="32" t="n">
        <v>0</v>
      </c>
      <c r="R100" s="32" t="n">
        <v>0</v>
      </c>
      <c r="S100" s="31" t="n">
        <v>0</v>
      </c>
      <c r="T100" s="32" t="n">
        <v>0</v>
      </c>
      <c r="U100" s="31" t="n">
        <v>0</v>
      </c>
      <c r="V100" s="31" t="n">
        <v>0</v>
      </c>
      <c r="W100" s="3" t="n">
        <v>0</v>
      </c>
      <c r="X100" s="3" t="n">
        <v>0</v>
      </c>
      <c r="Y100" s="32" t="n">
        <v>0</v>
      </c>
      <c r="Z100" s="3" t="n">
        <v>0</v>
      </c>
      <c r="AA100" s="32" t="n">
        <v>0</v>
      </c>
      <c r="AB100" s="3" t="n"/>
      <c r="AC100" s="31" t="n">
        <v>0</v>
      </c>
      <c r="AD100" s="2" t="n">
        <v>2</v>
      </c>
      <c r="AE100" s="2" t="n">
        <v>0</v>
      </c>
      <c r="AF100" s="4" t="n">
        <v>2</v>
      </c>
      <c r="AG100" s="33" t="n">
        <v>275.94</v>
      </c>
      <c r="AH100" s="4" t="n">
        <v>6</v>
      </c>
      <c r="AI100" s="34" t="n">
        <v>3</v>
      </c>
      <c r="AJ100" s="34" t="n">
        <v>1</v>
      </c>
      <c r="AK100" s="2" t="n">
        <v>157</v>
      </c>
      <c r="AL100" t="inlineStr">
        <is>
          <t>Published</t>
        </is>
      </c>
    </row>
    <row r="101">
      <c r="A101">
        <f>HYPERLINK("https://www.walmart.com/ip/795333184", "795333184")</f>
        <v/>
      </c>
      <c r="B101">
        <f>HYPERLINK("https://app.optiwise.ai/catalog/itemdetails/360672", "Kato 9 Cans Small Insulated Lunch Bag, Mini Thermal Portable Cooler Lunch Box Tote with Dual Zipper Closure for Students, Men and Women, Gray")</f>
        <v/>
      </c>
      <c r="C101" t="inlineStr">
        <is>
          <t>1KTLB100BK</t>
        </is>
      </c>
      <c r="D101" t="inlineStr">
        <is>
          <t>Home Decor, Kitchen, &amp; Other</t>
        </is>
      </c>
      <c r="E101" t="inlineStr">
        <is>
          <t>Reusable Lunch Bags &amp; Boxes</t>
        </is>
      </c>
      <c r="F101" t="inlineStr">
        <is>
          <t>Kato</t>
        </is>
      </c>
      <c r="G101" t="n">
        <v>4.6</v>
      </c>
      <c r="H101" t="n">
        <v>38</v>
      </c>
      <c r="I101" t="inlineStr">
        <is>
          <t>Q2-Target,Lunch Bag,Lunch Bags,SEM,Wal-Exl-Price</t>
        </is>
      </c>
      <c r="J101" s="29" t="n">
        <v>275.8</v>
      </c>
      <c r="K101" s="30" t="n">
        <v>0.0024</v>
      </c>
      <c r="L101" s="29" t="n">
        <v>15.98999977111816</v>
      </c>
      <c r="M101" s="29" t="n">
        <v>0</v>
      </c>
      <c r="N101" s="2" t="n">
        <v>19</v>
      </c>
      <c r="O101" s="31" t="n">
        <v>0</v>
      </c>
      <c r="P101" s="32" t="n"/>
      <c r="Q101" s="32" t="n">
        <v>0</v>
      </c>
      <c r="R101" s="32" t="n">
        <v>0.2555</v>
      </c>
      <c r="S101" s="31" t="n">
        <v>0</v>
      </c>
      <c r="T101" s="32" t="n">
        <v>0</v>
      </c>
      <c r="U101" s="31" t="n">
        <v>0</v>
      </c>
      <c r="V101" s="31" t="n">
        <v>0</v>
      </c>
      <c r="W101" s="3" t="n">
        <v>0</v>
      </c>
      <c r="X101" s="3" t="n">
        <v>0</v>
      </c>
      <c r="Y101" s="32" t="n">
        <v>0</v>
      </c>
      <c r="Z101" s="3" t="n">
        <v>0</v>
      </c>
      <c r="AA101" s="32" t="n">
        <v>0</v>
      </c>
      <c r="AB101" s="3" t="n"/>
      <c r="AC101" s="31" t="n">
        <v>0</v>
      </c>
      <c r="AD101" s="2" t="n">
        <v>910</v>
      </c>
      <c r="AE101" s="2" t="n">
        <v>602</v>
      </c>
      <c r="AF101" s="4" t="n">
        <v>602</v>
      </c>
      <c r="AG101" s="33" t="n">
        <v>275.8</v>
      </c>
      <c r="AH101" s="4" t="n">
        <v>19</v>
      </c>
      <c r="AI101" s="34" t="n">
        <v>0.0316</v>
      </c>
      <c r="AJ101" s="34" t="n">
        <v>1</v>
      </c>
      <c r="AK101" s="2" t="n">
        <v>710</v>
      </c>
      <c r="AL101" t="inlineStr">
        <is>
          <t>Published</t>
        </is>
      </c>
    </row>
    <row r="102">
      <c r="A102">
        <f>HYPERLINK("https://www.walmart.com/ip/3805601721", "3805601721")</f>
        <v/>
      </c>
      <c r="B102">
        <f>HYPERLINK("https://app.optiwise.ai/catalog/itemdetails/6059375", "Tirrinia Waterproof Outdoor Blanket with Sherpa Lining, Windproof, Triple-Layered, Warm, Comfy, and Foldable Fleece Blanket for Camping, Stadiums, and Pets, Black/Grey, Extra Large Size: 66'' x 90''")</f>
        <v/>
      </c>
      <c r="C102" t="inlineStr">
        <is>
          <t>1TRBW669BKGY</t>
        </is>
      </c>
      <c r="D102" t="inlineStr">
        <is>
          <t>Sport &amp; Recreation Other</t>
        </is>
      </c>
      <c r="E102" t="inlineStr">
        <is>
          <t>Picnic Blankets &amp; Mats</t>
        </is>
      </c>
      <c r="F102" t="inlineStr">
        <is>
          <t>Tirrinia</t>
        </is>
      </c>
      <c r="G102" t="n">
        <v>0</v>
      </c>
      <c r="H102" t="n">
        <v>0</v>
      </c>
      <c r="I102" t="inlineStr">
        <is>
          <t>Q2-Target</t>
        </is>
      </c>
      <c r="J102" s="29" t="n">
        <v>274.94</v>
      </c>
      <c r="K102" s="30" t="n">
        <v>0.0024</v>
      </c>
      <c r="L102" s="29" t="n">
        <v>0</v>
      </c>
      <c r="M102" s="29" t="n">
        <v>0</v>
      </c>
      <c r="N102" s="2" t="n">
        <v>6</v>
      </c>
      <c r="O102" s="31" t="n">
        <v>0</v>
      </c>
      <c r="P102" s="32" t="n"/>
      <c r="Q102" s="32" t="n">
        <v>0</v>
      </c>
      <c r="R102" s="32" t="n">
        <v>0</v>
      </c>
      <c r="S102" s="31" t="n">
        <v>0</v>
      </c>
      <c r="T102" s="32" t="n">
        <v>0</v>
      </c>
      <c r="U102" s="31" t="n">
        <v>0</v>
      </c>
      <c r="V102" s="31" t="n">
        <v>0</v>
      </c>
      <c r="W102" s="3" t="n">
        <v>0</v>
      </c>
      <c r="X102" s="3" t="n">
        <v>0</v>
      </c>
      <c r="Y102" s="32" t="n">
        <v>0</v>
      </c>
      <c r="Z102" s="3" t="n">
        <v>0</v>
      </c>
      <c r="AA102" s="32" t="n">
        <v>0</v>
      </c>
      <c r="AB102" s="3" t="n"/>
      <c r="AC102" s="31" t="n">
        <v>0</v>
      </c>
      <c r="AD102" s="2" t="n">
        <v>30</v>
      </c>
      <c r="AE102" s="2" t="n">
        <v>76</v>
      </c>
      <c r="AF102" s="4" t="n">
        <v>76</v>
      </c>
      <c r="AG102" s="33" t="n">
        <v>274.94</v>
      </c>
      <c r="AH102" s="4" t="n">
        <v>6</v>
      </c>
      <c r="AI102" s="34" t="n">
        <v>0.0789</v>
      </c>
      <c r="AJ102" s="34" t="n">
        <v>1</v>
      </c>
      <c r="AK102" s="2" t="n">
        <v>2250</v>
      </c>
      <c r="AL102" t="inlineStr">
        <is>
          <t>Published</t>
        </is>
      </c>
    </row>
    <row r="103">
      <c r="A103">
        <f>HYPERLINK("https://www.walmart.com/ip/904345997", "904345997")</f>
        <v/>
      </c>
      <c r="B103">
        <f>HYPERLINK("https://app.optiwise.ai/catalog/itemdetails/361441", "Catalonia Mermaid Tail Fleece Blanket, Soft Flannel All Seasons Bed Blanket for Kids, Adults, Rainbow Ombre Fish Scale Design Snuggle Blanket, Ideal Gift for Holidays, 61 x 19")</f>
        <v/>
      </c>
      <c r="C103" t="inlineStr">
        <is>
          <t>1WMMM500PK</t>
        </is>
      </c>
      <c r="D103" t="inlineStr">
        <is>
          <t>Bedding</t>
        </is>
      </c>
      <c r="E103" t="inlineStr">
        <is>
          <t>Throws</t>
        </is>
      </c>
      <c r="F103" t="inlineStr">
        <is>
          <t>Flyingstar</t>
        </is>
      </c>
      <c r="G103" t="n">
        <v>4.7</v>
      </c>
      <c r="H103" t="n">
        <v>44</v>
      </c>
      <c r="I103" t="inlineStr">
        <is>
          <t>Q2-Target,Baby days,Optimized,Hero 5 Holidays,WFS,WFS Item</t>
        </is>
      </c>
      <c r="J103" s="29" t="n">
        <v>269.77</v>
      </c>
      <c r="K103" s="30" t="n">
        <v>0.0023</v>
      </c>
      <c r="L103" s="29" t="n">
        <v>18.98999977111816</v>
      </c>
      <c r="M103" s="29" t="n">
        <v>0</v>
      </c>
      <c r="N103" s="2" t="n">
        <v>14</v>
      </c>
      <c r="O103" s="31" t="n">
        <v>19.88</v>
      </c>
      <c r="P103" s="32" t="n">
        <v>0.0024</v>
      </c>
      <c r="Q103" s="32" t="n">
        <v>0.0737</v>
      </c>
      <c r="R103" s="32" t="n">
        <v>0.1713</v>
      </c>
      <c r="S103" s="31" t="n">
        <v>2.87</v>
      </c>
      <c r="T103" s="32" t="n">
        <v>0.35</v>
      </c>
      <c r="U103" s="31" t="n">
        <v>56.97</v>
      </c>
      <c r="V103" s="31" t="n">
        <v>56.97</v>
      </c>
      <c r="W103" s="3" t="n">
        <v>33657</v>
      </c>
      <c r="X103" s="3" t="n">
        <v>61</v>
      </c>
      <c r="Y103" s="32" t="n">
        <v>0.0018</v>
      </c>
      <c r="Z103" s="3" t="n">
        <v>3</v>
      </c>
      <c r="AA103" s="32" t="n">
        <v>0.0492</v>
      </c>
      <c r="AB103" s="3" t="inlineStr">
        <is>
          <t>Throws_Auto_Optiwise_24</t>
        </is>
      </c>
      <c r="AC103" s="31" t="n">
        <v>0.33</v>
      </c>
      <c r="AD103" s="2" t="n">
        <v>467</v>
      </c>
      <c r="AE103" s="2" t="n">
        <v>246</v>
      </c>
      <c r="AF103" s="4" t="n">
        <v>185</v>
      </c>
      <c r="AG103" s="33" t="n">
        <v>212.8</v>
      </c>
      <c r="AH103" s="4" t="n">
        <v>11</v>
      </c>
      <c r="AI103" s="34" t="n">
        <v>0.0595</v>
      </c>
      <c r="AJ103" s="34" t="n">
        <v>0.7887999999999999</v>
      </c>
      <c r="AK103" s="2" t="n">
        <v>964</v>
      </c>
      <c r="AL103" t="inlineStr">
        <is>
          <t>Published</t>
        </is>
      </c>
    </row>
    <row r="104">
      <c r="A104">
        <f>HYPERLINK("https://www.walmart.com/ip/224394275", "224394275")</f>
        <v/>
      </c>
      <c r="B104">
        <f>HYPERLINK("https://app.optiwise.ai/catalog/itemdetails/360524", "Tirrinia Extra Large Insulated Lunch Bag - 13L/ 12 Can, &amp; Leakproof Adult Reusable Meal Prep Bento Box Cooler Tote for Men &amp; Women with Dual Compartment,Light Gray")</f>
        <v/>
      </c>
      <c r="C104" t="inlineStr">
        <is>
          <t>1KTLB410LG-6D</t>
        </is>
      </c>
      <c r="D104" t="inlineStr">
        <is>
          <t>Home Decor, Kitchen, &amp; Other</t>
        </is>
      </c>
      <c r="E104" t="inlineStr">
        <is>
          <t>Reusable Lunch Bags &amp; Boxes</t>
        </is>
      </c>
      <c r="F104" t="inlineStr">
        <is>
          <t>Tirrinia</t>
        </is>
      </c>
      <c r="G104" t="n">
        <v>4.3</v>
      </c>
      <c r="H104" t="n">
        <v>101</v>
      </c>
      <c r="I104" t="inlineStr">
        <is>
          <t>Q2-Target,Brand Camp VD,Lunch Bag,WFS,Lunch Bags,SEM,WFS Item</t>
        </is>
      </c>
      <c r="J104" s="29" t="n">
        <v>268.77</v>
      </c>
      <c r="K104" s="30" t="n">
        <v>0.0023</v>
      </c>
      <c r="L104" s="29" t="n">
        <v>16.97999954223633</v>
      </c>
      <c r="M104" s="29" t="n">
        <v>0</v>
      </c>
      <c r="N104" s="2" t="n">
        <v>15</v>
      </c>
      <c r="O104" s="31" t="n">
        <v>0</v>
      </c>
      <c r="P104" s="32" t="n"/>
      <c r="Q104" s="32" t="n">
        <v>0</v>
      </c>
      <c r="R104" s="32" t="n">
        <v>0.3811</v>
      </c>
      <c r="S104" s="31" t="n">
        <v>0</v>
      </c>
      <c r="T104" s="32" t="n">
        <v>0</v>
      </c>
      <c r="U104" s="31" t="n">
        <v>0</v>
      </c>
      <c r="V104" s="31" t="n">
        <v>0</v>
      </c>
      <c r="W104" s="3" t="n">
        <v>0</v>
      </c>
      <c r="X104" s="3" t="n">
        <v>0</v>
      </c>
      <c r="Y104" s="32" t="n">
        <v>0</v>
      </c>
      <c r="Z104" s="3" t="n">
        <v>0</v>
      </c>
      <c r="AA104" s="32" t="n">
        <v>0</v>
      </c>
      <c r="AB104" s="3" t="n"/>
      <c r="AC104" s="31" t="n">
        <v>0</v>
      </c>
      <c r="AD104" s="2" t="n">
        <v>254</v>
      </c>
      <c r="AE104" s="2" t="n">
        <v>162</v>
      </c>
      <c r="AF104" s="4" t="n">
        <v>162</v>
      </c>
      <c r="AG104" s="33" t="n">
        <v>268.77</v>
      </c>
      <c r="AH104" s="4" t="n">
        <v>15</v>
      </c>
      <c r="AI104" s="34" t="n">
        <v>0.0926</v>
      </c>
      <c r="AJ104" s="34" t="n">
        <v>1</v>
      </c>
      <c r="AK104" s="2" t="n">
        <v>900</v>
      </c>
      <c r="AL104" t="inlineStr">
        <is>
          <t>Published</t>
        </is>
      </c>
    </row>
    <row r="105">
      <c r="A105">
        <f>HYPERLINK("https://www.walmart.com/ip/527909020", "527909020")</f>
        <v/>
      </c>
      <c r="B105">
        <f>HYPERLINK("https://app.optiwise.ai/catalog/itemdetails/361320", "Tirrinia Small Insulated Lunch Bag for Adult&amp;Kids, Splash Proof Mini Portable Reusable Thermal Lunch Box Cooler Tote for Student Back to School,Black &amp; Purple")</f>
        <v/>
      </c>
      <c r="C105" t="inlineStr">
        <is>
          <t>1TRLB100BKPP</t>
        </is>
      </c>
      <c r="D105" t="inlineStr">
        <is>
          <t>Home Decor, Kitchen, &amp; Other</t>
        </is>
      </c>
      <c r="E105" t="inlineStr">
        <is>
          <t>Reusable Lunch Bags &amp; Boxes</t>
        </is>
      </c>
      <c r="F105" t="inlineStr">
        <is>
          <t>Tirrinia</t>
        </is>
      </c>
      <c r="G105" t="n">
        <v>4.6</v>
      </c>
      <c r="H105" t="n">
        <v>7</v>
      </c>
      <c r="I105" t="inlineStr">
        <is>
          <t>Lunch Bag,Lunch Bags</t>
        </is>
      </c>
      <c r="J105" s="29" t="n">
        <v>267.34</v>
      </c>
      <c r="K105" s="30" t="n">
        <v>0.0023</v>
      </c>
      <c r="L105" s="29" t="n">
        <v>21.97999954223633</v>
      </c>
      <c r="M105" s="29" t="n">
        <v>32.96999931335449</v>
      </c>
      <c r="N105" s="2" t="n">
        <v>23</v>
      </c>
      <c r="O105" s="31" t="n">
        <v>0</v>
      </c>
      <c r="P105" s="32" t="n"/>
      <c r="Q105" s="32" t="n">
        <v>0</v>
      </c>
      <c r="R105" s="32" t="n">
        <v>0.006</v>
      </c>
      <c r="S105" s="31" t="n">
        <v>0</v>
      </c>
      <c r="T105" s="32" t="n">
        <v>0</v>
      </c>
      <c r="U105" s="31" t="n">
        <v>0</v>
      </c>
      <c r="V105" s="31" t="n">
        <v>0</v>
      </c>
      <c r="W105" s="3" t="n">
        <v>0</v>
      </c>
      <c r="X105" s="3" t="n">
        <v>0</v>
      </c>
      <c r="Y105" s="32" t="n">
        <v>0</v>
      </c>
      <c r="Z105" s="3" t="n">
        <v>0</v>
      </c>
      <c r="AA105" s="32" t="n">
        <v>0</v>
      </c>
      <c r="AB105" s="3" t="n"/>
      <c r="AC105" s="31" t="n">
        <v>0</v>
      </c>
      <c r="AD105" s="2" t="n">
        <v>160</v>
      </c>
      <c r="AE105" s="2" t="n">
        <v>101</v>
      </c>
      <c r="AF105" s="4" t="n">
        <v>101</v>
      </c>
      <c r="AG105" s="33" t="n">
        <v>267.34</v>
      </c>
      <c r="AH105" s="4" t="n">
        <v>23</v>
      </c>
      <c r="AI105" s="34" t="n">
        <v>0.2277</v>
      </c>
      <c r="AJ105" s="34" t="n">
        <v>1</v>
      </c>
      <c r="AK105" s="2" t="n">
        <v>586</v>
      </c>
      <c r="AL105" t="inlineStr">
        <is>
          <t>Published</t>
        </is>
      </c>
    </row>
    <row r="106">
      <c r="A106">
        <f>HYPERLINK("https://www.walmart.com/ip/441329120", "441329120")</f>
        <v/>
      </c>
      <c r="B106">
        <f>HYPERLINK("https://app.optiwise.ai/catalog/itemdetails/417465", "Tirrinia Warm Comfy Foldable Waterproof Outdoor Blanket For Camping, 59'' X 80'', Black/Grey")</f>
        <v/>
      </c>
      <c r="C106" t="inlineStr">
        <is>
          <t>1TRBW608BKGY-TBCB</t>
        </is>
      </c>
      <c r="D106" t="inlineStr">
        <is>
          <t>Sport &amp; Recreation Other</t>
        </is>
      </c>
      <c r="E106" t="inlineStr">
        <is>
          <t>Bed Blankets</t>
        </is>
      </c>
      <c r="F106" t="inlineStr">
        <is>
          <t>Tirrinia</t>
        </is>
      </c>
      <c r="G106" t="n">
        <v>4.3</v>
      </c>
      <c r="H106" t="n">
        <v>3</v>
      </c>
      <c r="I106" t="inlineStr">
        <is>
          <t>Q2-Target,Optimized</t>
        </is>
      </c>
      <c r="J106" s="29" t="n">
        <v>264.93</v>
      </c>
      <c r="K106" s="30" t="n">
        <v>0.0023</v>
      </c>
      <c r="L106" s="29" t="n">
        <v>0</v>
      </c>
      <c r="M106" s="29" t="n">
        <v>0</v>
      </c>
      <c r="N106" s="2" t="n">
        <v>7</v>
      </c>
      <c r="O106" s="31" t="n">
        <v>0.41</v>
      </c>
      <c r="P106" s="32" t="n"/>
      <c r="Q106" s="32" t="n">
        <v>0.0015</v>
      </c>
      <c r="R106" s="32" t="n">
        <v>0.0044</v>
      </c>
      <c r="S106" s="31" t="n">
        <v>0</v>
      </c>
      <c r="T106" s="32" t="n">
        <v>0</v>
      </c>
      <c r="U106" s="31" t="n">
        <v>0</v>
      </c>
      <c r="V106" s="31" t="n">
        <v>0</v>
      </c>
      <c r="W106" s="3" t="n">
        <v>331</v>
      </c>
      <c r="X106" s="3" t="n">
        <v>1</v>
      </c>
      <c r="Y106" s="32" t="n">
        <v>0.003</v>
      </c>
      <c r="Z106" s="3" t="n">
        <v>0</v>
      </c>
      <c r="AA106" s="32" t="n">
        <v>0</v>
      </c>
      <c r="AB106" s="3" t="inlineStr">
        <is>
          <t>Picnic Blankets &amp; Mats_Manual_Optiwise_24</t>
        </is>
      </c>
      <c r="AC106" s="31" t="n">
        <v>0.41</v>
      </c>
      <c r="AD106" s="2" t="n">
        <v>27</v>
      </c>
      <c r="AE106" s="2" t="n">
        <v>250</v>
      </c>
      <c r="AF106" s="4" t="n">
        <v>249</v>
      </c>
      <c r="AG106" s="33" t="n">
        <v>264.93</v>
      </c>
      <c r="AH106" s="4" t="n">
        <v>7</v>
      </c>
      <c r="AI106" s="34" t="n">
        <v>0.0281</v>
      </c>
      <c r="AJ106" s="34" t="n">
        <v>1</v>
      </c>
      <c r="AK106" s="2" t="n">
        <v>1928</v>
      </c>
      <c r="AL106" t="inlineStr">
        <is>
          <t>Published</t>
        </is>
      </c>
    </row>
    <row r="107">
      <c r="A107">
        <f>HYPERLINK("https://www.walmart.com/ip/384645923", "384645923")</f>
        <v/>
      </c>
      <c r="B107">
        <f>HYPERLINK("https://app.optiwise.ai/catalog/itemdetails/360990", "Catalonia Waterproof Blanket, Pee-Proof Couch, Sofa, and Bed Protector Cover for Baby and Pets, Super Cozy Plush Fleece Warm Sherpa Lining Throws and Blankets for Boating and Camping, Wine/Taupe, Extra Large 80'' x 90''")</f>
        <v/>
      </c>
      <c r="C107" t="inlineStr">
        <is>
          <t>1CTBW981WNTP</t>
        </is>
      </c>
      <c r="D107" t="inlineStr">
        <is>
          <t>Bedding</t>
        </is>
      </c>
      <c r="E107" t="inlineStr">
        <is>
          <t>Throws</t>
        </is>
      </c>
      <c r="F107" t="inlineStr">
        <is>
          <t>Catalonia</t>
        </is>
      </c>
      <c r="G107" t="n">
        <v>0</v>
      </c>
      <c r="H107" t="n">
        <v>0</v>
      </c>
      <c r="I107" t="inlineStr">
        <is>
          <t>High AUR Items,Wproof Blanket,Batch 1 - TR</t>
        </is>
      </c>
      <c r="J107" s="29" t="n">
        <v>263.96</v>
      </c>
      <c r="K107" s="30" t="n">
        <v>0.0023</v>
      </c>
      <c r="L107" s="29" t="n">
        <v>0</v>
      </c>
      <c r="M107" s="29" t="n">
        <v>0</v>
      </c>
      <c r="N107" s="2" t="n">
        <v>4</v>
      </c>
      <c r="O107" s="31" t="n">
        <v>0.41</v>
      </c>
      <c r="P107" s="32" t="n"/>
      <c r="Q107" s="32" t="n">
        <v>0.0016</v>
      </c>
      <c r="R107" s="32" t="n">
        <v>0.1655</v>
      </c>
      <c r="S107" s="31" t="n">
        <v>643.8</v>
      </c>
      <c r="T107" s="32" t="n">
        <v>0</v>
      </c>
      <c r="U107" s="31" t="n">
        <v>263.96</v>
      </c>
      <c r="V107" s="31" t="n">
        <v>263.96</v>
      </c>
      <c r="W107" s="3" t="n">
        <v>1408</v>
      </c>
      <c r="X107" s="3" t="n">
        <v>1</v>
      </c>
      <c r="Y107" s="32" t="n">
        <v>0.0007</v>
      </c>
      <c r="Z107" s="3" t="n">
        <v>4</v>
      </c>
      <c r="AA107" s="32" t="n">
        <v>4</v>
      </c>
      <c r="AB107" s="3" t="inlineStr">
        <is>
          <t>Auto for BW Indoor</t>
        </is>
      </c>
      <c r="AC107" s="31" t="n">
        <v>0.41</v>
      </c>
      <c r="AD107" s="2" t="n">
        <v>0</v>
      </c>
      <c r="AE107" s="2" t="n">
        <v>33</v>
      </c>
      <c r="AF107" s="4" t="n">
        <v>32</v>
      </c>
      <c r="AG107" s="33" t="n">
        <v>0</v>
      </c>
      <c r="AH107" s="4" t="n">
        <v>0</v>
      </c>
      <c r="AI107" s="34" t="n"/>
      <c r="AJ107" s="34" t="n">
        <v>0</v>
      </c>
      <c r="AK107" s="2" t="n">
        <v>3375</v>
      </c>
      <c r="AL107" t="inlineStr">
        <is>
          <t>Published</t>
        </is>
      </c>
    </row>
    <row r="108">
      <c r="A108">
        <f>HYPERLINK("https://www.walmart.com/ip/853690468", "853690468")</f>
        <v/>
      </c>
      <c r="B108">
        <f>HYPERLINK("https://app.optiwise.ai/catalog/itemdetails/360449", "Tirrinia Outdoors Waterproof Throw Blanket, 60”x 80” Sherpa Fleece Stadium Windproof Mat for Traveling, Camping, Hiking, Football - Machine Washable, Black")</f>
        <v/>
      </c>
      <c r="C108" t="inlineStr">
        <is>
          <t>1TRBW608BKGY</t>
        </is>
      </c>
      <c r="D108" t="inlineStr">
        <is>
          <t>Sport &amp; Recreation Other</t>
        </is>
      </c>
      <c r="E108" t="inlineStr">
        <is>
          <t>Picnic Blankets &amp; Mats</t>
        </is>
      </c>
      <c r="F108" t="inlineStr">
        <is>
          <t>Tirrinia</t>
        </is>
      </c>
      <c r="G108" t="n">
        <v>0</v>
      </c>
      <c r="H108" t="n">
        <v>0</v>
      </c>
      <c r="I108" t="inlineStr">
        <is>
          <t>Q2-Target,SEM,Batch 1 - TR,AMZ Bestsellers</t>
        </is>
      </c>
      <c r="J108" s="29" t="n">
        <v>261.93</v>
      </c>
      <c r="K108" s="30" t="n">
        <v>0.0023</v>
      </c>
      <c r="L108" s="29" t="n">
        <v>0</v>
      </c>
      <c r="M108" s="29" t="n">
        <v>0</v>
      </c>
      <c r="N108" s="2" t="n">
        <v>7</v>
      </c>
      <c r="O108" s="31" t="n">
        <v>7.750000000000002</v>
      </c>
      <c r="P108" s="32" t="n">
        <v>0.0009</v>
      </c>
      <c r="Q108" s="32" t="n">
        <v>0.0296</v>
      </c>
      <c r="R108" s="32" t="n">
        <v>0.0122</v>
      </c>
      <c r="S108" s="31" t="n">
        <v>10.96</v>
      </c>
      <c r="T108" s="32" t="n">
        <v>0.09</v>
      </c>
      <c r="U108" s="31" t="n">
        <v>84.97</v>
      </c>
      <c r="V108" s="31" t="n">
        <v>84.97</v>
      </c>
      <c r="W108" s="3" t="n">
        <v>19291</v>
      </c>
      <c r="X108" s="3" t="n">
        <v>18</v>
      </c>
      <c r="Y108" s="32" t="n">
        <v>0.0009</v>
      </c>
      <c r="Z108" s="3" t="n">
        <v>3</v>
      </c>
      <c r="AA108" s="32" t="n">
        <v>0.1667</v>
      </c>
      <c r="AB108" s="3" t="inlineStr">
        <is>
          <t>Throws_Auto_Optiwise_24</t>
        </is>
      </c>
      <c r="AC108" s="31" t="n">
        <v>0.43</v>
      </c>
      <c r="AD108" s="2" t="n">
        <v>55</v>
      </c>
      <c r="AE108" s="2" t="n">
        <v>108</v>
      </c>
      <c r="AF108" s="4" t="n">
        <v>90</v>
      </c>
      <c r="AG108" s="33" t="n">
        <v>176.96</v>
      </c>
      <c r="AH108" s="4" t="n">
        <v>4</v>
      </c>
      <c r="AI108" s="34" t="n">
        <v>0.0444</v>
      </c>
      <c r="AJ108" s="34" t="n">
        <v>0.6756</v>
      </c>
      <c r="AK108" s="2" t="n">
        <v>1928</v>
      </c>
      <c r="AL108" t="inlineStr">
        <is>
          <t>Published</t>
        </is>
      </c>
    </row>
    <row r="109">
      <c r="A109">
        <f>HYPERLINK("https://www.walmart.com/ip/3532120861", "3532120861")</f>
        <v/>
      </c>
      <c r="B109">
        <f>HYPERLINK("https://app.optiwise.ai/catalog/itemdetails/10031994", "Wrangler Men’s Leather Country Casual Every Day Dress Belt for Jeans, Khakis Brown 36")</f>
        <v/>
      </c>
      <c r="C109" t="inlineStr">
        <is>
          <t>WR-BELT-MENS-COUNTRY-BROWN-36</t>
        </is>
      </c>
      <c r="D109" t="inlineStr">
        <is>
          <t>Clothing</t>
        </is>
      </c>
      <c r="E109" t="inlineStr">
        <is>
          <t>Belts</t>
        </is>
      </c>
      <c r="F109" t="inlineStr">
        <is>
          <t>Wrangler</t>
        </is>
      </c>
      <c r="G109" t="n">
        <v>0</v>
      </c>
      <c r="H109" t="n">
        <v>0</v>
      </c>
      <c r="I109" t="inlineStr">
        <is>
          <t>Belts</t>
        </is>
      </c>
      <c r="J109" s="29" t="n">
        <v>256.88</v>
      </c>
      <c r="K109" s="30" t="n">
        <v>0.0022</v>
      </c>
      <c r="L109" s="29" t="n">
        <v>102.939998626709</v>
      </c>
      <c r="M109" s="29" t="n">
        <v>0</v>
      </c>
      <c r="N109" s="2" t="n">
        <v>13</v>
      </c>
      <c r="O109" s="31" t="n">
        <v>1.58</v>
      </c>
      <c r="P109" s="32" t="n">
        <v>0.0002</v>
      </c>
      <c r="Q109" s="32" t="n">
        <v>0.0062</v>
      </c>
      <c r="R109" s="32" t="n">
        <v>0.0357</v>
      </c>
      <c r="S109" s="31" t="n">
        <v>12.65</v>
      </c>
      <c r="T109" s="32" t="n">
        <v>0.08</v>
      </c>
      <c r="U109" s="31" t="n">
        <v>19.99</v>
      </c>
      <c r="V109" s="31" t="n">
        <v>19.99</v>
      </c>
      <c r="W109" s="3" t="n">
        <v>383</v>
      </c>
      <c r="X109" s="3" t="n">
        <v>3</v>
      </c>
      <c r="Y109" s="32" t="n">
        <v>0.0078</v>
      </c>
      <c r="Z109" s="3" t="n">
        <v>1</v>
      </c>
      <c r="AA109" s="32" t="n">
        <v>0.3333</v>
      </c>
      <c r="AB109" s="3" t="inlineStr">
        <is>
          <t>Belts Manual_Optiwise,Belts_Auto_Optiwise</t>
        </is>
      </c>
      <c r="AC109" s="31" t="n">
        <v>0.53</v>
      </c>
      <c r="AD109" s="2" t="n">
        <v>19</v>
      </c>
      <c r="AE109" s="2" t="n">
        <v>58</v>
      </c>
      <c r="AF109" s="4" t="n">
        <v>55</v>
      </c>
      <c r="AG109" s="33" t="n">
        <v>236.89</v>
      </c>
      <c r="AH109" s="4" t="n">
        <v>12</v>
      </c>
      <c r="AI109" s="34" t="n">
        <v>0.2182</v>
      </c>
      <c r="AJ109" s="34" t="n">
        <v>0.9222</v>
      </c>
      <c r="AK109" s="2" t="n">
        <v>1038</v>
      </c>
      <c r="AL109" t="inlineStr">
        <is>
          <t>Published</t>
        </is>
      </c>
    </row>
    <row r="110">
      <c r="A110">
        <f>HYPERLINK("https://www.walmart.com/ip/199120982", "199120982")</f>
        <v/>
      </c>
      <c r="B110">
        <f>HYPERLINK("https://app.optiwise.ai/catalog/itemdetails/361407", "Tirrinia Insulated Lunch Bag for Women and Men, Leakproof Reusable Meal Prep Bento Box Insulated Cooler Bag, Dual Compartment with Shoulder Strap, Charcoal, 10.2 x 7.5 x 9")</f>
        <v/>
      </c>
      <c r="C110" t="inlineStr">
        <is>
          <t>1TRLB601CH</t>
        </is>
      </c>
      <c r="D110" t="inlineStr">
        <is>
          <t>Home Decor, Kitchen, &amp; Other</t>
        </is>
      </c>
      <c r="E110" t="inlineStr">
        <is>
          <t>Reusable Lunch Bags &amp; Boxes</t>
        </is>
      </c>
      <c r="F110" t="inlineStr">
        <is>
          <t>Tirrinia</t>
        </is>
      </c>
      <c r="G110" t="n">
        <v>4.3</v>
      </c>
      <c r="H110" t="n">
        <v>216</v>
      </c>
      <c r="I110" t="inlineStr">
        <is>
          <t>Q2-Target,Brand Camp VD,Lunch Bag,WFS,Lunch Bags,SEM,WFS Item,AMZ Bestsellers</t>
        </is>
      </c>
      <c r="J110" s="29" t="n">
        <v>253.88</v>
      </c>
      <c r="K110" s="30" t="n">
        <v>0.0022</v>
      </c>
      <c r="L110" s="29" t="n">
        <v>110.9199981689453</v>
      </c>
      <c r="M110" s="29" t="n">
        <v>0</v>
      </c>
      <c r="N110" s="2" t="n">
        <v>13</v>
      </c>
      <c r="O110" s="31" t="n">
        <v>0</v>
      </c>
      <c r="P110" s="32" t="n"/>
      <c r="Q110" s="32" t="n">
        <v>0</v>
      </c>
      <c r="R110" s="32" t="n">
        <v>0.0535</v>
      </c>
      <c r="S110" s="31" t="n">
        <v>0</v>
      </c>
      <c r="T110" s="32" t="n">
        <v>0</v>
      </c>
      <c r="U110" s="31" t="n">
        <v>0</v>
      </c>
      <c r="V110" s="31" t="n">
        <v>0</v>
      </c>
      <c r="W110" s="3" t="n">
        <v>0</v>
      </c>
      <c r="X110" s="3" t="n">
        <v>0</v>
      </c>
      <c r="Y110" s="32" t="n">
        <v>0</v>
      </c>
      <c r="Z110" s="3" t="n">
        <v>0</v>
      </c>
      <c r="AA110" s="32" t="n">
        <v>0</v>
      </c>
      <c r="AB110" s="3" t="n"/>
      <c r="AC110" s="31" t="n">
        <v>0</v>
      </c>
      <c r="AD110" s="2" t="n">
        <v>1350</v>
      </c>
      <c r="AE110" s="2" t="n">
        <v>865</v>
      </c>
      <c r="AF110" s="4" t="n">
        <v>865</v>
      </c>
      <c r="AG110" s="33" t="n">
        <v>253.88</v>
      </c>
      <c r="AH110" s="4" t="n">
        <v>13</v>
      </c>
      <c r="AI110" s="34" t="n">
        <v>0.015</v>
      </c>
      <c r="AJ110" s="34" t="n">
        <v>1</v>
      </c>
      <c r="AK110" s="2" t="n">
        <v>1038</v>
      </c>
      <c r="AL110" t="inlineStr">
        <is>
          <t>Published</t>
        </is>
      </c>
    </row>
    <row r="111">
      <c r="A111">
        <f>HYPERLINK("https://www.walmart.com/ip/390764991", "390764991")</f>
        <v/>
      </c>
      <c r="B111">
        <f>HYPERLINK("https://app.optiwise.ai/catalog/itemdetails/360340", "Tirrinia Sand-Free Beach Blanket for 7 Adults, Portable Blanket for Camping, Hiking and Picnic, Set Includes 7 Sand Pockets, 8 Stakes, &amp; 1 Inflatable Pillow")</f>
        <v/>
      </c>
      <c r="C111" t="inlineStr">
        <is>
          <t>1WMBM109-BLGY</t>
        </is>
      </c>
      <c r="D111" t="inlineStr">
        <is>
          <t>Sport &amp; Recreation Other</t>
        </is>
      </c>
      <c r="E111" t="inlineStr">
        <is>
          <t>Picnic Blankets &amp; Mats</t>
        </is>
      </c>
      <c r="F111" t="inlineStr">
        <is>
          <t>Tirrinia</t>
        </is>
      </c>
      <c r="G111" t="n">
        <v>4.7</v>
      </c>
      <c r="H111" t="n">
        <v>7</v>
      </c>
      <c r="I111" t="inlineStr">
        <is>
          <t>Q2-Target,Optimized,WFS,SEM,WFS Item</t>
        </is>
      </c>
      <c r="J111" s="29" t="n">
        <v>251.91</v>
      </c>
      <c r="K111" s="30" t="n">
        <v>0.0022</v>
      </c>
      <c r="L111" s="29" t="n">
        <v>195.9299983978271</v>
      </c>
      <c r="M111" s="29" t="n">
        <v>0</v>
      </c>
      <c r="N111" s="2" t="n">
        <v>9</v>
      </c>
      <c r="O111" s="31" t="n">
        <v>106.02</v>
      </c>
      <c r="P111" s="32" t="n">
        <v>0.0127</v>
      </c>
      <c r="Q111" s="32" t="n">
        <v>0.4209</v>
      </c>
      <c r="R111" s="32" t="n">
        <v>0</v>
      </c>
      <c r="S111" s="31" t="n">
        <v>1.85</v>
      </c>
      <c r="T111" s="32" t="n">
        <v>0.54</v>
      </c>
      <c r="U111" s="31" t="n">
        <v>195.93</v>
      </c>
      <c r="V111" s="31" t="n">
        <v>195.93</v>
      </c>
      <c r="W111" s="3" t="n">
        <v>73246</v>
      </c>
      <c r="X111" s="3" t="n">
        <v>252</v>
      </c>
      <c r="Y111" s="32" t="n">
        <v>0.0034</v>
      </c>
      <c r="Z111" s="3" t="n">
        <v>7</v>
      </c>
      <c r="AA111" s="32" t="n">
        <v>0.0278</v>
      </c>
      <c r="AB111" s="3" t="inlineStr">
        <is>
          <t>1WMBM109-BLGY,Auto for Top sale---Rachel</t>
        </is>
      </c>
      <c r="AC111" s="31" t="n">
        <v>0.42</v>
      </c>
      <c r="AD111" s="2" t="n">
        <v>119</v>
      </c>
      <c r="AE111" s="2" t="n">
        <v>127</v>
      </c>
      <c r="AF111" s="4" t="inlineStr">
        <is>
          <t>NA</t>
        </is>
      </c>
      <c r="AG111" s="33" t="n">
        <v>55.97999999999999</v>
      </c>
      <c r="AH111" s="4" t="n">
        <v>2</v>
      </c>
      <c r="AI111" s="34" t="inlineStr">
        <is>
          <t>NA</t>
        </is>
      </c>
      <c r="AJ111" s="34" t="n">
        <v>0.2222</v>
      </c>
      <c r="AK111" s="2" t="n">
        <v>1740</v>
      </c>
      <c r="AL111" t="inlineStr">
        <is>
          <t>Published</t>
        </is>
      </c>
    </row>
    <row r="112">
      <c r="A112">
        <f>HYPERLINK("https://www.walmart.com/ip/448077121", "448077121")</f>
        <v/>
      </c>
      <c r="B112">
        <f>HYPERLINK("https://app.optiwise.ai/catalog/itemdetails/359253", "Flyingstar Waterproof Fleece Blanket, Wearable Windproof Hooded Blanket Poncho for Sports, Stadium, Camping, Beach, Picnic, Car or Pet Friendly Use, Black/Black")</f>
        <v/>
      </c>
      <c r="C112" t="inlineStr">
        <is>
          <t>1WMBC200BKBK</t>
        </is>
      </c>
      <c r="D112" t="inlineStr">
        <is>
          <t>Sport &amp; Recreation Other</t>
        </is>
      </c>
      <c r="E112" t="inlineStr">
        <is>
          <t>Picnic Blankets &amp; Mats</t>
        </is>
      </c>
      <c r="F112" t="inlineStr">
        <is>
          <t>Flyingstar</t>
        </is>
      </c>
      <c r="G112" t="n">
        <v>4.6</v>
      </c>
      <c r="H112" t="n">
        <v>7</v>
      </c>
      <c r="I112" t="inlineStr">
        <is>
          <t>Q2-Target,Optimized,WFS,Beach Robe Camp,WFS Item</t>
        </is>
      </c>
      <c r="J112" s="29" t="n">
        <v>249.9</v>
      </c>
      <c r="K112" s="30" t="n">
        <v>0.0022</v>
      </c>
      <c r="L112" s="29" t="n">
        <v>134.9499988555908</v>
      </c>
      <c r="M112" s="29" t="n">
        <v>0</v>
      </c>
      <c r="N112" s="2" t="n">
        <v>5</v>
      </c>
      <c r="O112" s="31" t="n">
        <v>34.35000000000001</v>
      </c>
      <c r="P112" s="32" t="n">
        <v>0.0041</v>
      </c>
      <c r="Q112" s="32" t="n">
        <v>0.1375</v>
      </c>
      <c r="R112" s="32" t="n">
        <v>0.0117</v>
      </c>
      <c r="S112" s="31" t="n">
        <v>2.36</v>
      </c>
      <c r="T112" s="32" t="n">
        <v>0.42</v>
      </c>
      <c r="U112" s="31" t="n">
        <v>80.97</v>
      </c>
      <c r="V112" s="31" t="n">
        <v>80.97</v>
      </c>
      <c r="W112" s="3" t="n">
        <v>139052</v>
      </c>
      <c r="X112" s="3" t="n">
        <v>102</v>
      </c>
      <c r="Y112" s="32" t="n">
        <v>0.0007</v>
      </c>
      <c r="Z112" s="3" t="n">
        <v>3</v>
      </c>
      <c r="AA112" s="32" t="n">
        <v>0.0294</v>
      </c>
      <c r="AB112" s="3" t="inlineStr">
        <is>
          <t>Picnic Blankets &amp; Mats_Manual_Optiwise_24,WFS Inventory</t>
        </is>
      </c>
      <c r="AC112" s="31" t="n">
        <v>0.34</v>
      </c>
      <c r="AD112" s="2" t="n">
        <v>30</v>
      </c>
      <c r="AE112" s="2" t="n">
        <v>119</v>
      </c>
      <c r="AF112" s="4" t="n">
        <v>17</v>
      </c>
      <c r="AG112" s="33" t="n">
        <v>168.93</v>
      </c>
      <c r="AH112" s="4" t="n">
        <v>2</v>
      </c>
      <c r="AI112" s="34" t="n">
        <v>0.1176</v>
      </c>
      <c r="AJ112" s="34" t="n">
        <v>0.676</v>
      </c>
      <c r="AK112" s="2" t="n">
        <v>2862</v>
      </c>
      <c r="AL112" t="inlineStr">
        <is>
          <t>Published</t>
        </is>
      </c>
    </row>
    <row r="113">
      <c r="A113">
        <f>HYPERLINK("https://www.walmart.com/ip/736393350", "736393350")</f>
        <v/>
      </c>
      <c r="B113">
        <f>HYPERLINK("https://app.optiwise.ai/catalog/itemdetails/362320", "Tirrinia Insulated Lunch Bag for Women Men, 10L Leakproof Thermal Reusable Lunch Box for Adult Kids, Tall Meal Prep Lunch Cooler Tote for Office Work, Back to School, Large, Red")</f>
        <v/>
      </c>
      <c r="C113" t="inlineStr">
        <is>
          <t>1TRLB701RD-T</t>
        </is>
      </c>
      <c r="D113" t="inlineStr">
        <is>
          <t>Home Decor, Kitchen, &amp; Other</t>
        </is>
      </c>
      <c r="E113" t="inlineStr">
        <is>
          <t>Reusable Lunch Bags &amp; Boxes</t>
        </is>
      </c>
      <c r="F113" t="inlineStr">
        <is>
          <t>Tirrinia</t>
        </is>
      </c>
      <c r="G113" t="n">
        <v>0</v>
      </c>
      <c r="H113" t="n">
        <v>0</v>
      </c>
      <c r="I113" t="inlineStr">
        <is>
          <t>Brand Camp VD,Lunch Bag,WFS,Lunch Bags,SEM,WFS Item</t>
        </is>
      </c>
      <c r="J113" s="29" t="n">
        <v>246.83</v>
      </c>
      <c r="K113" s="30" t="n">
        <v>0.0021</v>
      </c>
      <c r="L113" s="29" t="n">
        <v>57.95999908447266</v>
      </c>
      <c r="M113" s="29" t="n">
        <v>0</v>
      </c>
      <c r="N113" s="2" t="n">
        <v>17</v>
      </c>
      <c r="O113" s="31" t="n">
        <v>0</v>
      </c>
      <c r="P113" s="32" t="n"/>
      <c r="Q113" s="32" t="n">
        <v>0</v>
      </c>
      <c r="R113" s="32" t="n">
        <v>0.004</v>
      </c>
      <c r="S113" s="31" t="n">
        <v>0</v>
      </c>
      <c r="T113" s="32" t="n">
        <v>0</v>
      </c>
      <c r="U113" s="31" t="n">
        <v>0</v>
      </c>
      <c r="V113" s="31" t="n">
        <v>0</v>
      </c>
      <c r="W113" s="3" t="n">
        <v>0</v>
      </c>
      <c r="X113" s="3" t="n">
        <v>0</v>
      </c>
      <c r="Y113" s="32" t="n">
        <v>0</v>
      </c>
      <c r="Z113" s="3" t="n">
        <v>0</v>
      </c>
      <c r="AA113" s="32" t="n">
        <v>0</v>
      </c>
      <c r="AB113" s="3" t="n"/>
      <c r="AC113" s="31" t="n">
        <v>0</v>
      </c>
      <c r="AD113" s="2" t="n">
        <v>540</v>
      </c>
      <c r="AE113" s="2" t="n">
        <v>219</v>
      </c>
      <c r="AF113" s="4" t="n">
        <v>321</v>
      </c>
      <c r="AG113" s="33" t="n">
        <v>246.83</v>
      </c>
      <c r="AH113" s="4" t="n">
        <v>17</v>
      </c>
      <c r="AI113" s="34" t="n">
        <v>0.053</v>
      </c>
      <c r="AJ113" s="34" t="n">
        <v>1</v>
      </c>
      <c r="AK113" s="2" t="n">
        <v>270</v>
      </c>
      <c r="AL113" t="inlineStr">
        <is>
          <t>Published</t>
        </is>
      </c>
    </row>
    <row r="114">
      <c r="A114">
        <f>HYPERLINK("https://www.walmart.com/ip/10282357784", "10282357784")</f>
        <v/>
      </c>
      <c r="B114">
        <f>HYPERLINK("https://app.optiwise.ai/catalog/itemdetails/10032004", "Wrangler Men’s Full Grain Genuine Leather 35mm Thick Casual Belt for Jeans, Pants - Light Brown, 36")</f>
        <v/>
      </c>
      <c r="C114" t="inlineStr">
        <is>
          <t>WR-BELT-MENS-35MM-LTBROWN-36</t>
        </is>
      </c>
      <c r="D114" t="inlineStr">
        <is>
          <t>Clothing</t>
        </is>
      </c>
      <c r="E114" t="inlineStr">
        <is>
          <t>Belts</t>
        </is>
      </c>
      <c r="F114" t="inlineStr">
        <is>
          <t>Wrangler</t>
        </is>
      </c>
      <c r="G114" t="n">
        <v>0</v>
      </c>
      <c r="H114" t="n">
        <v>0</v>
      </c>
      <c r="I114" t="inlineStr">
        <is>
          <t>Belts</t>
        </is>
      </c>
      <c r="J114" s="29" t="n">
        <v>244.71</v>
      </c>
      <c r="K114" s="30" t="n">
        <v>0.0021</v>
      </c>
      <c r="L114" s="29" t="n">
        <v>0</v>
      </c>
      <c r="M114" s="29" t="n">
        <v>0</v>
      </c>
      <c r="N114" s="2" t="n">
        <v>12</v>
      </c>
      <c r="O114" s="31" t="n">
        <v>132.13</v>
      </c>
      <c r="P114" s="32" t="n">
        <v>0.0158</v>
      </c>
      <c r="Q114" s="32" t="n">
        <v>0.5399</v>
      </c>
      <c r="R114" s="32" t="n">
        <v>0</v>
      </c>
      <c r="S114" s="31" t="n">
        <v>4.84</v>
      </c>
      <c r="T114" s="32" t="n">
        <v>0.21</v>
      </c>
      <c r="U114" s="31" t="n">
        <v>639.6800000000001</v>
      </c>
      <c r="V114" s="31" t="n">
        <v>619.6900000000002</v>
      </c>
      <c r="W114" s="3" t="n">
        <v>24414</v>
      </c>
      <c r="X114" s="3" t="n">
        <v>352</v>
      </c>
      <c r="Y114" s="32" t="n">
        <v>0.0144</v>
      </c>
      <c r="Z114" s="3" t="n">
        <v>32</v>
      </c>
      <c r="AA114" s="32" t="n">
        <v>0.09089999999999999</v>
      </c>
      <c r="AB114" s="3" t="inlineStr">
        <is>
          <t>WFS Inventory</t>
        </is>
      </c>
      <c r="AC114" s="31" t="n">
        <v>0.38</v>
      </c>
      <c r="AD114" s="2" t="n">
        <v>203</v>
      </c>
      <c r="AE114" s="2" t="n">
        <v>201</v>
      </c>
      <c r="AF114" s="4" t="inlineStr">
        <is>
          <t>NA</t>
        </is>
      </c>
      <c r="AG114" s="33" t="n">
        <v>-394.97</v>
      </c>
      <c r="AH114" s="4" t="n">
        <v>-20</v>
      </c>
      <c r="AI114" s="34" t="inlineStr">
        <is>
          <t>NA</t>
        </is>
      </c>
      <c r="AJ114" s="34" t="n">
        <v>-1.614</v>
      </c>
      <c r="AK114" s="2" t="n">
        <v>0</v>
      </c>
      <c r="AL114" t="inlineStr">
        <is>
          <t>Published</t>
        </is>
      </c>
    </row>
    <row r="115">
      <c r="A115">
        <f>HYPERLINK("https://www.walmart.com/ip/630170738", "630170738")</f>
        <v/>
      </c>
      <c r="B115">
        <f>HYPERLINK("https://app.optiwise.ai/catalog/itemdetails/5423734", "Catalonia Surf Beach Changing Towel With Hood, Super Absorbent Microfiber Swim Robe Poncho for Men Women Bath Shower Pool, Navy")</f>
        <v/>
      </c>
      <c r="C115" t="inlineStr">
        <is>
          <t>1CTBR102-NY</t>
        </is>
      </c>
      <c r="D115" t="inlineStr">
        <is>
          <t>Home Decor, Kitchen, &amp; Other</t>
        </is>
      </c>
      <c r="E115" t="inlineStr">
        <is>
          <t>Towels &amp; Washcloths</t>
        </is>
      </c>
      <c r="F115" t="inlineStr">
        <is>
          <t>Catalonia</t>
        </is>
      </c>
      <c r="G115" t="n">
        <v>0</v>
      </c>
      <c r="H115" t="n">
        <v>0</v>
      </c>
      <c r="J115" s="29" t="n">
        <v>240.9</v>
      </c>
      <c r="K115" s="30" t="n">
        <v>0.0021</v>
      </c>
      <c r="L115" s="29" t="n">
        <v>0</v>
      </c>
      <c r="M115" s="29" t="n">
        <v>0</v>
      </c>
      <c r="N115" s="2" t="n">
        <v>10</v>
      </c>
      <c r="O115" s="31" t="n">
        <v>0</v>
      </c>
      <c r="P115" s="32" t="n"/>
      <c r="Q115" s="32" t="n">
        <v>0</v>
      </c>
      <c r="R115" s="32" t="n">
        <v>0</v>
      </c>
      <c r="S115" s="31" t="n">
        <v>0</v>
      </c>
      <c r="T115" s="32" t="n">
        <v>0</v>
      </c>
      <c r="U115" s="31" t="n">
        <v>0</v>
      </c>
      <c r="V115" s="31" t="n">
        <v>0</v>
      </c>
      <c r="W115" s="3" t="n">
        <v>0</v>
      </c>
      <c r="X115" s="3" t="n">
        <v>0</v>
      </c>
      <c r="Y115" s="32" t="n">
        <v>0</v>
      </c>
      <c r="Z115" s="3" t="n">
        <v>0</v>
      </c>
      <c r="AA115" s="32" t="n">
        <v>0</v>
      </c>
      <c r="AB115" s="3" t="n"/>
      <c r="AC115" s="31" t="n">
        <v>0</v>
      </c>
      <c r="AD115" s="2" t="n">
        <v>12</v>
      </c>
      <c r="AE115" s="2" t="n">
        <v>61</v>
      </c>
      <c r="AF115" s="4" t="n">
        <v>61</v>
      </c>
      <c r="AG115" s="33" t="n">
        <v>240.9</v>
      </c>
      <c r="AH115" s="4" t="n">
        <v>10</v>
      </c>
      <c r="AI115" s="34" t="n">
        <v>0.1639</v>
      </c>
      <c r="AJ115" s="34" t="n">
        <v>1</v>
      </c>
      <c r="AK115" s="2" t="n">
        <v>1350</v>
      </c>
      <c r="AL115" t="inlineStr">
        <is>
          <t>Published</t>
        </is>
      </c>
    </row>
    <row r="116">
      <c r="A116">
        <f>HYPERLINK("https://www.walmart.com/ip/1399629963", "1399629963")</f>
        <v/>
      </c>
      <c r="B116">
        <f>HYPERLINK("https://app.optiwise.ai/catalog/itemdetails/920312", "Catalonia Waterproof Dog Blanket for Couch, Reversible Sofa and Bed Coverlet Protector, Leak Proof, Comfortable Blanket for People and Pets, Camel/Taupe, 80 x 90")</f>
        <v/>
      </c>
      <c r="C116" t="inlineStr">
        <is>
          <t>1CTBW985TPTP</t>
        </is>
      </c>
      <c r="D116" t="inlineStr">
        <is>
          <t>Home Decor, Kitchen, &amp; Other</t>
        </is>
      </c>
      <c r="E116" t="inlineStr">
        <is>
          <t>Bed Blankets</t>
        </is>
      </c>
      <c r="F116" t="inlineStr">
        <is>
          <t>Catalonia</t>
        </is>
      </c>
      <c r="G116" t="n">
        <v>0</v>
      </c>
      <c r="H116" t="n">
        <v>0</v>
      </c>
      <c r="I116" t="inlineStr">
        <is>
          <t>Wproof Blanket,Batch 1 - TR</t>
        </is>
      </c>
      <c r="J116" s="29" t="n">
        <v>239.96</v>
      </c>
      <c r="K116" s="30" t="n">
        <v>0.0021</v>
      </c>
      <c r="L116" s="29" t="n">
        <v>0</v>
      </c>
      <c r="M116" s="29" t="n">
        <v>0</v>
      </c>
      <c r="N116" s="2" t="n">
        <v>4</v>
      </c>
      <c r="O116" s="31" t="n">
        <v>8.140000000000002</v>
      </c>
      <c r="P116" s="32" t="n">
        <v>0.001</v>
      </c>
      <c r="Q116" s="32" t="n">
        <v>0.0339</v>
      </c>
      <c r="R116" s="32" t="n">
        <v>0.008399999999999999</v>
      </c>
      <c r="S116" s="31" t="n">
        <v>16.95</v>
      </c>
      <c r="T116" s="32" t="n">
        <v>0.06</v>
      </c>
      <c r="U116" s="31" t="n">
        <v>137.97</v>
      </c>
      <c r="V116" s="31" t="n">
        <v>137.97</v>
      </c>
      <c r="W116" s="3" t="n">
        <v>13697</v>
      </c>
      <c r="X116" s="3" t="n">
        <v>21</v>
      </c>
      <c r="Y116" s="32" t="n">
        <v>0.0015</v>
      </c>
      <c r="Z116" s="3" t="n">
        <v>3</v>
      </c>
      <c r="AA116" s="32" t="n">
        <v>0.1429</v>
      </c>
      <c r="AB116" s="3" t="inlineStr">
        <is>
          <t>All Items_Auto_Optiwise_24,Auto for BW Indoor</t>
        </is>
      </c>
      <c r="AC116" s="31" t="n">
        <v>0.39</v>
      </c>
      <c r="AD116" s="2" t="n">
        <v>15</v>
      </c>
      <c r="AE116" s="2" t="n">
        <v>159</v>
      </c>
      <c r="AF116" s="4" t="n">
        <v>138</v>
      </c>
      <c r="AG116" s="33" t="n">
        <v>101.99</v>
      </c>
      <c r="AH116" s="4" t="n">
        <v>1</v>
      </c>
      <c r="AI116" s="34" t="n">
        <v>0.0072</v>
      </c>
      <c r="AJ116" s="34" t="n">
        <v>0.425</v>
      </c>
      <c r="AK116" s="2" t="n">
        <v>1012</v>
      </c>
      <c r="AL116" t="inlineStr">
        <is>
          <t>Published</t>
        </is>
      </c>
    </row>
    <row r="117">
      <c r="A117">
        <f>HYPERLINK("https://www.walmart.com/ip/776025923", "776025923")</f>
        <v/>
      </c>
      <c r="B117">
        <f>HYPERLINK("https://app.optiwise.ai/catalog/itemdetails/380728", "Women's Poncho Cape, Sherpa Fleece Cloak Coat, Snuggly Hooded Wearable Blanket, Gift Idea for Adults and Teen Girls")</f>
        <v/>
      </c>
      <c r="C117" t="inlineStr">
        <is>
          <t>1CTBC300PP</t>
        </is>
      </c>
      <c r="D117" t="inlineStr">
        <is>
          <t>Bedding</t>
        </is>
      </c>
      <c r="E117" t="inlineStr">
        <is>
          <t>Throws</t>
        </is>
      </c>
      <c r="F117" t="inlineStr">
        <is>
          <t>Catalonia</t>
        </is>
      </c>
      <c r="G117" t="n">
        <v>0</v>
      </c>
      <c r="H117" t="n">
        <v>0</v>
      </c>
      <c r="I117" t="inlineStr">
        <is>
          <t>WFS,WFS Item</t>
        </is>
      </c>
      <c r="J117" s="29" t="n">
        <v>239.94</v>
      </c>
      <c r="K117" s="30" t="n">
        <v>0.0021</v>
      </c>
      <c r="L117" s="29" t="n">
        <v>0</v>
      </c>
      <c r="M117" s="29" t="n">
        <v>0</v>
      </c>
      <c r="N117" s="2" t="n">
        <v>6</v>
      </c>
      <c r="O117" s="31" t="n">
        <v>0</v>
      </c>
      <c r="P117" s="32" t="n"/>
      <c r="Q117" s="32" t="n">
        <v>0</v>
      </c>
      <c r="R117" s="32" t="n">
        <v>0</v>
      </c>
      <c r="S117" s="31" t="n">
        <v>0</v>
      </c>
      <c r="T117" s="32" t="n">
        <v>0</v>
      </c>
      <c r="U117" s="31" t="n">
        <v>0</v>
      </c>
      <c r="V117" s="31" t="n">
        <v>0</v>
      </c>
      <c r="W117" s="3" t="n">
        <v>0</v>
      </c>
      <c r="X117" s="3" t="n">
        <v>0</v>
      </c>
      <c r="Y117" s="32" t="n">
        <v>0</v>
      </c>
      <c r="Z117" s="3" t="n">
        <v>0</v>
      </c>
      <c r="AA117" s="32" t="n">
        <v>0</v>
      </c>
      <c r="AB117" s="3" t="n"/>
      <c r="AC117" s="31" t="n">
        <v>0</v>
      </c>
      <c r="AD117" s="2" t="n">
        <v>639</v>
      </c>
      <c r="AE117" s="2" t="n">
        <v>433</v>
      </c>
      <c r="AF117" s="4" t="n">
        <v>433</v>
      </c>
      <c r="AG117" s="33" t="n">
        <v>239.94</v>
      </c>
      <c r="AH117" s="4" t="n">
        <v>6</v>
      </c>
      <c r="AI117" s="34" t="n">
        <v>0.0139</v>
      </c>
      <c r="AJ117" s="34" t="n">
        <v>1</v>
      </c>
      <c r="AK117" s="2" t="n">
        <v>2250</v>
      </c>
      <c r="AL117" t="inlineStr">
        <is>
          <t>Published</t>
        </is>
      </c>
    </row>
    <row r="118">
      <c r="A118">
        <f>HYPERLINK("https://www.walmart.com/ip/15438174665", "15438174665")</f>
        <v/>
      </c>
      <c r="B118">
        <f>HYPERLINK("https://app.optiwise.ai/catalog/itemdetails/20125648", "Wrangler Men’s Bifold Wallet Genuine Leather, RFID Blocking, Casual Everyday 10-20 Cards Purse with AirTag Holder, Gift for Him")</f>
        <v/>
      </c>
      <c r="C118" t="inlineStr">
        <is>
          <t>WR-WALLET-59007-BROWN</t>
        </is>
      </c>
      <c r="D118" t="inlineStr">
        <is>
          <t>Cases &amp; Bags</t>
        </is>
      </c>
      <c r="E118" t="inlineStr">
        <is>
          <t>Wallets</t>
        </is>
      </c>
      <c r="F118" t="inlineStr">
        <is>
          <t>Wrangler</t>
        </is>
      </c>
      <c r="G118" t="n">
        <v>0</v>
      </c>
      <c r="H118" t="n">
        <v>0</v>
      </c>
      <c r="J118" s="29" t="n">
        <v>239.92</v>
      </c>
      <c r="K118" s="30" t="n">
        <v>0.0021</v>
      </c>
      <c r="L118" s="29" t="n">
        <v>59.97999954223633</v>
      </c>
      <c r="M118" s="29" t="n">
        <v>0</v>
      </c>
      <c r="N118" s="2" t="n">
        <v>8</v>
      </c>
      <c r="O118" s="31" t="n">
        <v>0</v>
      </c>
      <c r="P118" s="32" t="n"/>
      <c r="Q118" s="32" t="n">
        <v>0</v>
      </c>
      <c r="R118" s="32" t="n">
        <v>0</v>
      </c>
      <c r="S118" s="31" t="n">
        <v>0</v>
      </c>
      <c r="T118" s="32" t="n">
        <v>0</v>
      </c>
      <c r="U118" s="31" t="n">
        <v>0</v>
      </c>
      <c r="V118" s="31" t="n">
        <v>0</v>
      </c>
      <c r="W118" s="3" t="n">
        <v>0</v>
      </c>
      <c r="X118" s="3" t="n">
        <v>0</v>
      </c>
      <c r="Y118" s="32" t="n">
        <v>0</v>
      </c>
      <c r="Z118" s="3" t="n">
        <v>0</v>
      </c>
      <c r="AA118" s="32" t="n">
        <v>0</v>
      </c>
      <c r="AB118" s="3" t="n"/>
      <c r="AC118" s="31" t="n">
        <v>0</v>
      </c>
      <c r="AD118" s="2" t="n">
        <v>12</v>
      </c>
      <c r="AE118" s="2" t="n">
        <v>0</v>
      </c>
      <c r="AF118" s="4" t="n">
        <v>12</v>
      </c>
      <c r="AG118" s="33" t="n">
        <v>239.92</v>
      </c>
      <c r="AH118" s="4" t="n">
        <v>8</v>
      </c>
      <c r="AI118" s="34" t="n">
        <v>0.6667</v>
      </c>
      <c r="AJ118" s="34" t="n">
        <v>1</v>
      </c>
      <c r="AK118" s="2" t="n">
        <v>1687</v>
      </c>
      <c r="AL118" t="inlineStr">
        <is>
          <t>Published</t>
        </is>
      </c>
    </row>
    <row r="119">
      <c r="A119">
        <f>HYPERLINK("https://www.walmart.com/ip/914697087", "914697087")</f>
        <v/>
      </c>
      <c r="B119">
        <f>HYPERLINK("https://app.optiwise.ai/catalog/itemdetails/360936", "Catalonia Wearable Blanket with Sleeves and Pocket, Cozy Soft Fleece Micro Plush Wrap Adult Blanket Robe for Women and Men, Makes a Great Gift for Holidays, Grey, 73 x 51")</f>
        <v/>
      </c>
      <c r="C119" t="inlineStr">
        <is>
          <t>1CTSN100GY</t>
        </is>
      </c>
      <c r="D119" t="inlineStr">
        <is>
          <t>Bedding</t>
        </is>
      </c>
      <c r="E119" t="inlineStr">
        <is>
          <t>Throws</t>
        </is>
      </c>
      <c r="F119" t="inlineStr">
        <is>
          <t>Catalonia</t>
        </is>
      </c>
      <c r="G119" t="n">
        <v>4</v>
      </c>
      <c r="H119" t="n">
        <v>31</v>
      </c>
      <c r="I119" t="inlineStr">
        <is>
          <t>WFS,WFS Item</t>
        </is>
      </c>
      <c r="J119" s="29" t="n">
        <v>239.9</v>
      </c>
      <c r="K119" s="30" t="n">
        <v>0.0021</v>
      </c>
      <c r="L119" s="29" t="n">
        <v>47.97999954223633</v>
      </c>
      <c r="M119" s="29" t="n">
        <v>0</v>
      </c>
      <c r="N119" s="2" t="n">
        <v>10</v>
      </c>
      <c r="O119" s="31" t="n">
        <v>98.04000000000001</v>
      </c>
      <c r="P119" s="32" t="n">
        <v>0.0118</v>
      </c>
      <c r="Q119" s="32" t="n">
        <v>0.4087</v>
      </c>
      <c r="R119" s="32" t="n">
        <v>0.283</v>
      </c>
      <c r="S119" s="31" t="n">
        <v>2.91</v>
      </c>
      <c r="T119" s="32" t="n">
        <v>0.34</v>
      </c>
      <c r="U119" s="31" t="n">
        <v>284.8800000000001</v>
      </c>
      <c r="V119" s="31" t="n">
        <v>284.8800000000001</v>
      </c>
      <c r="W119" s="3" t="n">
        <v>36354</v>
      </c>
      <c r="X119" s="3" t="n">
        <v>217</v>
      </c>
      <c r="Y119" s="32" t="n">
        <v>0.006</v>
      </c>
      <c r="Z119" s="3" t="n">
        <v>12</v>
      </c>
      <c r="AA119" s="32" t="n">
        <v>0.0553</v>
      </c>
      <c r="AB119" s="3" t="inlineStr">
        <is>
          <t>Auto for Top sale---Rachel</t>
        </is>
      </c>
      <c r="AC119" s="31" t="n">
        <v>0.45</v>
      </c>
      <c r="AD119" s="2" t="n">
        <v>1112</v>
      </c>
      <c r="AE119" s="2" t="n">
        <v>181</v>
      </c>
      <c r="AF119" s="4" t="n">
        <v>714</v>
      </c>
      <c r="AG119" s="33" t="n">
        <v>-44.98000000000005</v>
      </c>
      <c r="AH119" s="4" t="n">
        <v>-2</v>
      </c>
      <c r="AI119" s="34" t="n">
        <v>-0.0028</v>
      </c>
      <c r="AJ119" s="34" t="n">
        <v>-0.1875</v>
      </c>
      <c r="AK119" s="2" t="n">
        <v>1363</v>
      </c>
      <c r="AL119" t="inlineStr">
        <is>
          <t>Published</t>
        </is>
      </c>
    </row>
    <row r="120">
      <c r="A120">
        <f>HYPERLINK("https://www.walmart.com/ip/10298018191", "10298018191")</f>
        <v/>
      </c>
      <c r="B120">
        <f>HYPERLINK("https://app.optiwise.ai/catalog/itemdetails/10031980", "Wrangler Men’s Leather Country Casual Every Day Dress Belt for Jeans, Khakis Black 36")</f>
        <v/>
      </c>
      <c r="C120" t="inlineStr">
        <is>
          <t>WR-BELT-MENS-COUNTRY-BLACK-36</t>
        </is>
      </c>
      <c r="D120" t="inlineStr">
        <is>
          <t>Clothing</t>
        </is>
      </c>
      <c r="E120" t="inlineStr">
        <is>
          <t>Belts</t>
        </is>
      </c>
      <c r="F120" t="inlineStr">
        <is>
          <t>Wrangler</t>
        </is>
      </c>
      <c r="G120" t="n">
        <v>0</v>
      </c>
      <c r="H120" t="n">
        <v>0</v>
      </c>
      <c r="I120" t="inlineStr">
        <is>
          <t>Belts</t>
        </is>
      </c>
      <c r="J120" s="29" t="n">
        <v>239.88</v>
      </c>
      <c r="K120" s="30" t="n">
        <v>0.0021</v>
      </c>
      <c r="L120" s="29" t="n">
        <v>39.97999954223633</v>
      </c>
      <c r="M120" s="29" t="n">
        <v>0</v>
      </c>
      <c r="N120" s="2" t="n">
        <v>12</v>
      </c>
      <c r="O120" s="31" t="n">
        <v>0.25</v>
      </c>
      <c r="P120" s="32" t="n"/>
      <c r="Q120" s="32" t="n">
        <v>0.001</v>
      </c>
      <c r="R120" s="32" t="n">
        <v>0.0373</v>
      </c>
      <c r="S120" s="31" t="n">
        <v>239.88</v>
      </c>
      <c r="T120" s="32" t="n">
        <v>0</v>
      </c>
      <c r="U120" s="31" t="n">
        <v>59.97</v>
      </c>
      <c r="V120" s="31" t="n">
        <v>39.98</v>
      </c>
      <c r="W120" s="3" t="n">
        <v>473</v>
      </c>
      <c r="X120" s="3" t="n">
        <v>1</v>
      </c>
      <c r="Y120" s="32" t="n">
        <v>0.0021</v>
      </c>
      <c r="Z120" s="3" t="n">
        <v>3</v>
      </c>
      <c r="AA120" s="32" t="n">
        <v>3</v>
      </c>
      <c r="AB120" s="3" t="inlineStr">
        <is>
          <t>Belts Manual_Optiwise,Belts_Auto_Optiwise</t>
        </is>
      </c>
      <c r="AC120" s="31" t="n">
        <v>0.25</v>
      </c>
      <c r="AD120" s="2" t="n">
        <v>3</v>
      </c>
      <c r="AE120" s="2" t="n">
        <v>63</v>
      </c>
      <c r="AF120" s="4" t="n">
        <v>62</v>
      </c>
      <c r="AG120" s="33" t="n">
        <v>179.91</v>
      </c>
      <c r="AH120" s="4" t="n">
        <v>9</v>
      </c>
      <c r="AI120" s="34" t="n">
        <v>0.1452</v>
      </c>
      <c r="AJ120" s="34" t="n">
        <v>0.75</v>
      </c>
      <c r="AK120" s="2" t="n">
        <v>1125</v>
      </c>
      <c r="AL120" t="inlineStr">
        <is>
          <t>Published</t>
        </is>
      </c>
    </row>
    <row r="121">
      <c r="A121">
        <f>HYPERLINK("https://www.walmart.com/ip/1913460330", "1913460330")</f>
        <v/>
      </c>
      <c r="B121">
        <f>HYPERLINK("https://app.optiwise.ai/catalog/itemdetails/912023", "Tirrinia Large Insulated Lunch Tote Bag for Women, Waterproof Oxford Cloth Leakproof Cooler Bag, Shopping Food Grocery Bag for Work or Beach, Gray")</f>
        <v/>
      </c>
      <c r="C121" t="inlineStr">
        <is>
          <t>1TRCB800GY</t>
        </is>
      </c>
      <c r="D121" t="inlineStr">
        <is>
          <t>Home Decor, Kitchen, &amp; Other</t>
        </is>
      </c>
      <c r="E121" t="inlineStr">
        <is>
          <t>Reusable Lunch Bags &amp; Boxes</t>
        </is>
      </c>
      <c r="F121" t="inlineStr">
        <is>
          <t>Tirrinia</t>
        </is>
      </c>
      <c r="G121" t="n">
        <v>4.9</v>
      </c>
      <c r="H121" t="n">
        <v>14</v>
      </c>
      <c r="I121" t="inlineStr">
        <is>
          <t>Q2-Target,Batch 1 - TR</t>
        </is>
      </c>
      <c r="J121" s="29" t="n">
        <v>239.85</v>
      </c>
      <c r="K121" s="30" t="n">
        <v>0.0021</v>
      </c>
      <c r="L121" s="29" t="n">
        <v>15.98999977111816</v>
      </c>
      <c r="M121" s="29" t="n">
        <v>0</v>
      </c>
      <c r="N121" s="2" t="n">
        <v>15</v>
      </c>
      <c r="O121" s="31" t="n">
        <v>0</v>
      </c>
      <c r="P121" s="32" t="n"/>
      <c r="Q121" s="32" t="n">
        <v>0</v>
      </c>
      <c r="R121" s="32" t="n">
        <v>0</v>
      </c>
      <c r="S121" s="31" t="n">
        <v>0</v>
      </c>
      <c r="T121" s="32" t="n">
        <v>0</v>
      </c>
      <c r="U121" s="31" t="n">
        <v>0</v>
      </c>
      <c r="V121" s="31" t="n">
        <v>0</v>
      </c>
      <c r="W121" s="3" t="n">
        <v>0</v>
      </c>
      <c r="X121" s="3" t="n">
        <v>0</v>
      </c>
      <c r="Y121" s="32" t="n">
        <v>0</v>
      </c>
      <c r="Z121" s="3" t="n">
        <v>0</v>
      </c>
      <c r="AA121" s="32" t="n">
        <v>0</v>
      </c>
      <c r="AB121" s="3" t="n"/>
      <c r="AC121" s="31" t="n">
        <v>0</v>
      </c>
      <c r="AD121" s="2" t="n">
        <v>421</v>
      </c>
      <c r="AE121" s="2" t="n">
        <v>218</v>
      </c>
      <c r="AF121" s="4" t="n">
        <v>218</v>
      </c>
      <c r="AG121" s="33" t="n">
        <v>239.85</v>
      </c>
      <c r="AH121" s="4" t="n">
        <v>15</v>
      </c>
      <c r="AI121" s="34" t="n">
        <v>0.0688</v>
      </c>
      <c r="AJ121" s="34" t="n">
        <v>1</v>
      </c>
      <c r="AK121" s="2" t="n">
        <v>405</v>
      </c>
      <c r="AL121" t="inlineStr">
        <is>
          <t>Published</t>
        </is>
      </c>
    </row>
    <row r="122">
      <c r="A122">
        <f>HYPERLINK("https://www.walmart.com/ip/997566327", "997566327")</f>
        <v/>
      </c>
      <c r="B122">
        <f>HYPERLINK("https://app.optiwise.ai/catalog/itemdetails/418776", "Kritter Planet Waterproof Dog Blanket for Couch, Washable Pet Couch Cover, Non-slip Bed Sofa Furniture Protector Mat, Latte, 30''x50''.")</f>
        <v/>
      </c>
      <c r="C122" t="inlineStr">
        <is>
          <t>1KPBW356LT</t>
        </is>
      </c>
      <c r="D122" t="inlineStr">
        <is>
          <t>Animal Accessories</t>
        </is>
      </c>
      <c r="E122" t="inlineStr">
        <is>
          <t>Pet Blankets</t>
        </is>
      </c>
      <c r="F122" t="inlineStr">
        <is>
          <t>Kritter Planet</t>
        </is>
      </c>
      <c r="G122" t="n">
        <v>4.1</v>
      </c>
      <c r="H122" t="n">
        <v>32</v>
      </c>
      <c r="I122" t="inlineStr">
        <is>
          <t>Q2-Target,Optimized,SEM</t>
        </is>
      </c>
      <c r="J122" s="29" t="n">
        <v>233.84</v>
      </c>
      <c r="K122" s="30" t="n">
        <v>0.002</v>
      </c>
      <c r="L122" s="29" t="n">
        <v>44.96999931335449</v>
      </c>
      <c r="M122" s="29" t="n">
        <v>0</v>
      </c>
      <c r="N122" s="2" t="n">
        <v>15</v>
      </c>
      <c r="O122" s="31" t="n">
        <v>19.08</v>
      </c>
      <c r="P122" s="32" t="n">
        <v>0.0023</v>
      </c>
      <c r="Q122" s="32" t="n">
        <v>0.08160000000000001</v>
      </c>
      <c r="R122" s="32" t="n">
        <v>0.0582</v>
      </c>
      <c r="S122" s="31" t="n">
        <v>5.29</v>
      </c>
      <c r="T122" s="32" t="n">
        <v>0.19</v>
      </c>
      <c r="U122" s="31" t="n">
        <v>100.94</v>
      </c>
      <c r="V122" s="31" t="n">
        <v>100.94</v>
      </c>
      <c r="W122" s="3" t="n">
        <v>22348</v>
      </c>
      <c r="X122" s="3" t="n">
        <v>52</v>
      </c>
      <c r="Y122" s="32" t="n">
        <v>0.0023</v>
      </c>
      <c r="Z122" s="3" t="n">
        <v>6</v>
      </c>
      <c r="AA122" s="32" t="n">
        <v>0.1154</v>
      </c>
      <c r="AB122" s="3" t="inlineStr">
        <is>
          <t>Auto for BW PET 2 ---Rachel</t>
        </is>
      </c>
      <c r="AC122" s="31" t="n">
        <v>0.37</v>
      </c>
      <c r="AD122" s="2" t="n">
        <v>97</v>
      </c>
      <c r="AE122" s="2" t="n">
        <v>112</v>
      </c>
      <c r="AF122" s="4" t="n">
        <v>60</v>
      </c>
      <c r="AG122" s="33" t="n">
        <v>132.9</v>
      </c>
      <c r="AH122" s="4" t="n">
        <v>9</v>
      </c>
      <c r="AI122" s="34" t="n">
        <v>0.15</v>
      </c>
      <c r="AJ122" s="34" t="n">
        <v>0.5683</v>
      </c>
      <c r="AK122" s="2" t="n">
        <v>900</v>
      </c>
      <c r="AL122" t="inlineStr">
        <is>
          <t>Published</t>
        </is>
      </c>
    </row>
    <row r="123">
      <c r="A123">
        <f>HYPERLINK("https://www.walmart.com/ip/786403253", "786403253")</f>
        <v/>
      </c>
      <c r="B123">
        <f>HYPERLINK("https://app.optiwise.ai/catalog/itemdetails/362006", "Tirrinia Small Insulated Lunch Bag for Adult&amp;Kids,Splash Proof Mini Portable Reusable Thermal Lunch Box Cooler Tote for Student Back to School,Dark Blue")</f>
        <v/>
      </c>
      <c r="C123" t="inlineStr">
        <is>
          <t>1TRLB100DB</t>
        </is>
      </c>
      <c r="D123" t="inlineStr">
        <is>
          <t>Home Decor, Kitchen, &amp; Other</t>
        </is>
      </c>
      <c r="E123" t="inlineStr">
        <is>
          <t>Reusable Lunch Bags &amp; Boxes</t>
        </is>
      </c>
      <c r="F123" t="inlineStr">
        <is>
          <t>Tirrinia</t>
        </is>
      </c>
      <c r="G123" t="n">
        <v>0</v>
      </c>
      <c r="H123" t="n">
        <v>0</v>
      </c>
      <c r="I123" t="inlineStr">
        <is>
          <t>Q2-Target,Lunch Bag,SEM</t>
        </is>
      </c>
      <c r="J123" s="29" t="n">
        <v>230.79</v>
      </c>
      <c r="K123" s="30" t="n">
        <v>0.002</v>
      </c>
      <c r="L123" s="29" t="n">
        <v>25.97999954223633</v>
      </c>
      <c r="M123" s="29" t="n">
        <v>10.98999977111816</v>
      </c>
      <c r="N123" s="2" t="n">
        <v>21</v>
      </c>
      <c r="O123" s="31" t="n">
        <v>0</v>
      </c>
      <c r="P123" s="32" t="n"/>
      <c r="Q123" s="32" t="n">
        <v>0</v>
      </c>
      <c r="R123" s="32" t="n">
        <v>0.0149</v>
      </c>
      <c r="S123" s="31" t="n">
        <v>0</v>
      </c>
      <c r="T123" s="32" t="n">
        <v>0</v>
      </c>
      <c r="U123" s="31" t="n">
        <v>0</v>
      </c>
      <c r="V123" s="31" t="n">
        <v>0</v>
      </c>
      <c r="W123" s="3" t="n">
        <v>0</v>
      </c>
      <c r="X123" s="3" t="n">
        <v>0</v>
      </c>
      <c r="Y123" s="32" t="n">
        <v>0</v>
      </c>
      <c r="Z123" s="3" t="n">
        <v>0</v>
      </c>
      <c r="AA123" s="32" t="n">
        <v>0</v>
      </c>
      <c r="AB123" s="3" t="n"/>
      <c r="AC123" s="31" t="n">
        <v>0</v>
      </c>
      <c r="AD123" s="2" t="n">
        <v>73</v>
      </c>
      <c r="AE123" s="2" t="n">
        <v>89</v>
      </c>
      <c r="AF123" s="4" t="n">
        <v>89</v>
      </c>
      <c r="AG123" s="33" t="n">
        <v>230.79</v>
      </c>
      <c r="AH123" s="4" t="n">
        <v>21</v>
      </c>
      <c r="AI123" s="34" t="n">
        <v>0.236</v>
      </c>
      <c r="AJ123" s="34" t="n">
        <v>1</v>
      </c>
      <c r="AK123" s="2" t="n">
        <v>668</v>
      </c>
      <c r="AL123" t="inlineStr">
        <is>
          <t>Published</t>
        </is>
      </c>
    </row>
    <row r="124">
      <c r="A124">
        <f>HYPERLINK("https://www.walmart.com/ip/772519607", "772519607")</f>
        <v/>
      </c>
      <c r="B124">
        <f>HYPERLINK("https://app.optiwise.ai/catalog/itemdetails/361670", "Waterproof Dog Blanket for Bed,Pee Proof Pet Blankets for Couch Sofa Cover, Reversible Furniture Protector Sherpa Cushion Mat for Small to Medium Large Dogs, Puppies and Cats, King Size, 80 x 90")</f>
        <v/>
      </c>
      <c r="C124" t="inlineStr">
        <is>
          <t>1PSBW981WNTP</t>
        </is>
      </c>
      <c r="D124" t="inlineStr">
        <is>
          <t>Animal Accessories</t>
        </is>
      </c>
      <c r="E124" t="inlineStr">
        <is>
          <t>Pet Blankets</t>
        </is>
      </c>
      <c r="F124" t="inlineStr">
        <is>
          <t>Pawsse</t>
        </is>
      </c>
      <c r="G124" t="n">
        <v>0</v>
      </c>
      <c r="H124" t="n">
        <v>0</v>
      </c>
      <c r="I124" t="inlineStr">
        <is>
          <t>Q2-Target,Batch 1 - TR</t>
        </is>
      </c>
      <c r="J124" s="29" t="n">
        <v>227.96</v>
      </c>
      <c r="K124" s="30" t="n">
        <v>0.002</v>
      </c>
      <c r="L124" s="29" t="n">
        <v>0</v>
      </c>
      <c r="M124" s="29" t="n">
        <v>0</v>
      </c>
      <c r="N124" s="2" t="n">
        <v>4</v>
      </c>
      <c r="O124" s="31" t="n">
        <v>16.55</v>
      </c>
      <c r="P124" s="32" t="n">
        <v>0.002</v>
      </c>
      <c r="Q124" s="32" t="n">
        <v>0.0726</v>
      </c>
      <c r="R124" s="32" t="n">
        <v>0.0113</v>
      </c>
      <c r="S124" s="31" t="n">
        <v>9.119999999999999</v>
      </c>
      <c r="T124" s="32" t="n">
        <v>0.11</v>
      </c>
      <c r="U124" s="31" t="n">
        <v>150.97</v>
      </c>
      <c r="V124" s="31" t="n">
        <v>113.98</v>
      </c>
      <c r="W124" s="3" t="n">
        <v>17993</v>
      </c>
      <c r="X124" s="3" t="n">
        <v>34</v>
      </c>
      <c r="Y124" s="32" t="n">
        <v>0.0019</v>
      </c>
      <c r="Z124" s="3" t="n">
        <v>3</v>
      </c>
      <c r="AA124" s="32" t="n">
        <v>0.0882</v>
      </c>
      <c r="AB124" s="3" t="inlineStr">
        <is>
          <t>Auto for BW PET 2 ---Rachel,Pet Blankets_Auto_Optiwise_24</t>
        </is>
      </c>
      <c r="AC124" s="31" t="n">
        <v>0.49</v>
      </c>
      <c r="AD124" s="2" t="n">
        <v>0</v>
      </c>
      <c r="AE124" s="2" t="n">
        <v>40</v>
      </c>
      <c r="AF124" s="4" t="n">
        <v>6</v>
      </c>
      <c r="AG124" s="33" t="n">
        <v>76.99000000000001</v>
      </c>
      <c r="AH124" s="4" t="n">
        <v>1</v>
      </c>
      <c r="AI124" s="34" t="n">
        <v>0.1667</v>
      </c>
      <c r="AJ124" s="34" t="n">
        <v>0.3377</v>
      </c>
      <c r="AK124" s="2" t="n">
        <v>3375</v>
      </c>
      <c r="AL124" t="inlineStr">
        <is>
          <t>Published</t>
        </is>
      </c>
    </row>
    <row r="125">
      <c r="A125">
        <f>HYPERLINK("https://www.walmart.com/ip/340135878", "340135878")</f>
        <v/>
      </c>
      <c r="B125">
        <f>HYPERLINK("https://app.optiwise.ai/catalog/itemdetails/362296", "Beige Buffalo Plaid Decorative Throw TV Sherpa Blanket, Soft, Warm, Comfy, Plush Fleece for Bedding, Couch and Cabin, Gray Throw Blanket, 50 x 60.")</f>
        <v/>
      </c>
      <c r="C125" t="inlineStr">
        <is>
          <t>1CTBF569PBG</t>
        </is>
      </c>
      <c r="D125" t="inlineStr">
        <is>
          <t>Bedding</t>
        </is>
      </c>
      <c r="E125" t="inlineStr">
        <is>
          <t>Throws</t>
        </is>
      </c>
      <c r="F125" t="inlineStr">
        <is>
          <t>Catalonia</t>
        </is>
      </c>
      <c r="G125" t="n">
        <v>4.8</v>
      </c>
      <c r="H125" t="n">
        <v>6</v>
      </c>
      <c r="I125" t="inlineStr">
        <is>
          <t>Q2-Target,WFS,Coupon_Discount,WFS Item</t>
        </is>
      </c>
      <c r="J125" s="29" t="n">
        <v>226.85</v>
      </c>
      <c r="K125" s="30" t="n">
        <v>0.002</v>
      </c>
      <c r="L125" s="29" t="n">
        <v>14.98999977111816</v>
      </c>
      <c r="M125" s="29" t="n">
        <v>0</v>
      </c>
      <c r="N125" s="2" t="n">
        <v>14</v>
      </c>
      <c r="O125" s="31" t="n">
        <v>77.48999999999998</v>
      </c>
      <c r="P125" s="32" t="n">
        <v>0.009299999999999999</v>
      </c>
      <c r="Q125" s="32" t="n">
        <v>0.3416</v>
      </c>
      <c r="R125" s="32" t="n">
        <v>0</v>
      </c>
      <c r="S125" s="31" t="n">
        <v>1.26</v>
      </c>
      <c r="T125" s="32" t="n">
        <v>0.79</v>
      </c>
      <c r="U125" s="31" t="n">
        <v>97.93999999999998</v>
      </c>
      <c r="V125" s="31" t="n">
        <v>97.93999999999998</v>
      </c>
      <c r="W125" s="3" t="n">
        <v>185134</v>
      </c>
      <c r="X125" s="3" t="n">
        <v>212</v>
      </c>
      <c r="Y125" s="32" t="n">
        <v>0.0011</v>
      </c>
      <c r="Z125" s="3" t="n">
        <v>6</v>
      </c>
      <c r="AA125" s="32" t="n">
        <v>0.0283</v>
      </c>
      <c r="AB125" s="3" t="inlineStr">
        <is>
          <t>Need to sell these SKUs by 15th Feb</t>
        </is>
      </c>
      <c r="AC125" s="31" t="n">
        <v>0.37</v>
      </c>
      <c r="AD125" s="2" t="n">
        <v>142</v>
      </c>
      <c r="AE125" s="2" t="n">
        <v>179</v>
      </c>
      <c r="AF125" s="4" t="inlineStr">
        <is>
          <t>NA</t>
        </is>
      </c>
      <c r="AG125" s="33" t="n">
        <v>128.91</v>
      </c>
      <c r="AH125" s="4" t="n">
        <v>8</v>
      </c>
      <c r="AI125" s="34" t="inlineStr">
        <is>
          <t>NA</t>
        </is>
      </c>
      <c r="AJ125" s="34" t="n">
        <v>0.5683</v>
      </c>
      <c r="AK125" s="2" t="n">
        <v>0</v>
      </c>
      <c r="AL125" t="inlineStr">
        <is>
          <t>Published</t>
        </is>
      </c>
    </row>
    <row r="126">
      <c r="A126">
        <f>HYPERLINK("https://www.walmart.com/ip/815187851", "815187851")</f>
        <v/>
      </c>
      <c r="B126">
        <f>HYPERLINK("https://app.optiwise.ai/catalog/itemdetails/362669", "Catalonia Twin Size Quilt Set, Lightweight Bedspread for Summer and Spring, 2 Pieces Bedding Coverlet, 1 Quilt and 1 Pillow Sham, Blue Wave Pattern, 68'' x 90''")</f>
        <v/>
      </c>
      <c r="C126" t="inlineStr">
        <is>
          <t>1CTBQ201TW-BLWT</t>
        </is>
      </c>
      <c r="D126" t="inlineStr">
        <is>
          <t>Bedding</t>
        </is>
      </c>
      <c r="E126" t="inlineStr">
        <is>
          <t>Quilts</t>
        </is>
      </c>
      <c r="F126" t="inlineStr">
        <is>
          <t>Catalonia</t>
        </is>
      </c>
      <c r="G126" t="n">
        <v>4.1</v>
      </c>
      <c r="H126" t="n">
        <v>28</v>
      </c>
      <c r="I126" t="inlineStr">
        <is>
          <t>Optimized,WFS,WFS Item</t>
        </is>
      </c>
      <c r="J126" s="29" t="n">
        <v>224.89</v>
      </c>
      <c r="K126" s="30" t="n">
        <v>0.0019</v>
      </c>
      <c r="L126" s="29" t="n">
        <v>19.98999977111816</v>
      </c>
      <c r="M126" s="29" t="n">
        <v>0</v>
      </c>
      <c r="N126" s="2" t="n">
        <v>11</v>
      </c>
      <c r="O126" s="31" t="n">
        <v>35.91999999999999</v>
      </c>
      <c r="P126" s="32" t="n">
        <v>0.0043</v>
      </c>
      <c r="Q126" s="32" t="n">
        <v>0.1597</v>
      </c>
      <c r="R126" s="32" t="n">
        <v>0</v>
      </c>
      <c r="S126" s="31" t="n">
        <v>1.11</v>
      </c>
      <c r="T126" s="32" t="n">
        <v>0.9</v>
      </c>
      <c r="U126" s="31" t="n">
        <v>39.98</v>
      </c>
      <c r="V126" s="31" t="n">
        <v>39.98</v>
      </c>
      <c r="W126" s="3" t="n">
        <v>15220</v>
      </c>
      <c r="X126" s="3" t="n">
        <v>98</v>
      </c>
      <c r="Y126" s="32" t="n">
        <v>0.0064</v>
      </c>
      <c r="Z126" s="3" t="n">
        <v>2</v>
      </c>
      <c r="AA126" s="32" t="n">
        <v>0.0204</v>
      </c>
      <c r="AB126" s="3" t="inlineStr">
        <is>
          <t>Need to sell these SKUs by 15th Feb</t>
        </is>
      </c>
      <c r="AC126" s="31" t="n">
        <v>0.37</v>
      </c>
      <c r="AD126" s="2" t="n">
        <v>137</v>
      </c>
      <c r="AE126" s="2" t="n">
        <v>212</v>
      </c>
      <c r="AF126" s="4" t="n">
        <v>114</v>
      </c>
      <c r="AG126" s="33" t="n">
        <v>184.91</v>
      </c>
      <c r="AH126" s="4" t="n">
        <v>9</v>
      </c>
      <c r="AI126" s="34" t="n">
        <v>0.0789</v>
      </c>
      <c r="AJ126" s="34" t="n">
        <v>0.8222</v>
      </c>
      <c r="AK126" s="2" t="n">
        <v>257</v>
      </c>
      <c r="AL126" t="inlineStr">
        <is>
          <t>Published</t>
        </is>
      </c>
    </row>
    <row r="127">
      <c r="A127">
        <f>HYPERLINK("https://www.walmart.com/ip/5232716740", "5232716740")</f>
        <v/>
      </c>
      <c r="B127">
        <f>HYPERLINK("https://app.optiwise.ai/catalog/itemdetails/7725542", "Catalonia Waterproof Blanket for Couch, Reversible Washable Sofa Bed Coverlet Protector | Leak Proof, Comfortable | for People and Pets, 50 x 60, Grey/Taupe")</f>
        <v/>
      </c>
      <c r="C127" t="inlineStr">
        <is>
          <t>1CTBW565GYTP</t>
        </is>
      </c>
      <c r="D127" t="inlineStr">
        <is>
          <t>Home Decor, Kitchen, &amp; Other</t>
        </is>
      </c>
      <c r="E127" t="inlineStr">
        <is>
          <t>Throws</t>
        </is>
      </c>
      <c r="F127" t="inlineStr">
        <is>
          <t>Catalonia</t>
        </is>
      </c>
      <c r="G127" t="n">
        <v>0</v>
      </c>
      <c r="H127" t="n">
        <v>0</v>
      </c>
      <c r="J127" s="29" t="n">
        <v>223.91</v>
      </c>
      <c r="K127" s="30" t="n">
        <v>0.0019</v>
      </c>
      <c r="L127" s="29" t="n">
        <v>29.98999977111816</v>
      </c>
      <c r="M127" s="29" t="n">
        <v>0</v>
      </c>
      <c r="N127" s="2" t="n">
        <v>7</v>
      </c>
      <c r="O127" s="31" t="n">
        <v>36.66</v>
      </c>
      <c r="P127" s="32" t="n">
        <v>0.0044</v>
      </c>
      <c r="Q127" s="32" t="n">
        <v>0.1637</v>
      </c>
      <c r="R127" s="32" t="n">
        <v>0.015</v>
      </c>
      <c r="S127" s="31" t="n">
        <v>3.93</v>
      </c>
      <c r="T127" s="32" t="n">
        <v>0.25</v>
      </c>
      <c r="U127" s="31" t="n">
        <v>143.96</v>
      </c>
      <c r="V127" s="31" t="n">
        <v>83.98</v>
      </c>
      <c r="W127" s="3" t="n">
        <v>13019</v>
      </c>
      <c r="X127" s="3" t="n">
        <v>86</v>
      </c>
      <c r="Y127" s="32" t="n">
        <v>0.0066</v>
      </c>
      <c r="Z127" s="3" t="n">
        <v>4</v>
      </c>
      <c r="AA127" s="32" t="n">
        <v>0.0465</v>
      </c>
      <c r="AB127" s="3" t="inlineStr">
        <is>
          <t>Auto for BW Indoor</t>
        </is>
      </c>
      <c r="AC127" s="31" t="n">
        <v>0.43</v>
      </c>
      <c r="AD127" s="2" t="n">
        <v>81</v>
      </c>
      <c r="AE127" s="2" t="n">
        <v>116</v>
      </c>
      <c r="AF127" s="4" t="n">
        <v>30</v>
      </c>
      <c r="AG127" s="33" t="n">
        <v>79.94999999999999</v>
      </c>
      <c r="AH127" s="4" t="n">
        <v>3</v>
      </c>
      <c r="AI127" s="34" t="n">
        <v>0.1</v>
      </c>
      <c r="AJ127" s="34" t="n">
        <v>0.3571</v>
      </c>
      <c r="AK127" s="2" t="n">
        <v>1928</v>
      </c>
      <c r="AL127" t="inlineStr">
        <is>
          <t>Published</t>
        </is>
      </c>
    </row>
    <row r="128">
      <c r="A128">
        <f>HYPERLINK("https://www.walmart.com/ip/752711430", "752711430")</f>
        <v/>
      </c>
      <c r="B128">
        <f>HYPERLINK("https://app.optiwise.ai/catalog/itemdetails/362458", "Catalonia Fluffy Sherpa Throw Blanket, Super Soft Mink Plush Couch Blanket, TV Bed Fuzzy Blanket, Comfy Warm Heavy Throws, Comfort Caring Gift,50x60 inches, Teal")</f>
        <v/>
      </c>
      <c r="C128" t="inlineStr">
        <is>
          <t>1CTBF300GN</t>
        </is>
      </c>
      <c r="D128" t="inlineStr">
        <is>
          <t>Bedding</t>
        </is>
      </c>
      <c r="E128" t="inlineStr">
        <is>
          <t>Throws</t>
        </is>
      </c>
      <c r="F128" t="inlineStr">
        <is>
          <t>Catalonia</t>
        </is>
      </c>
      <c r="G128" t="n">
        <v>0</v>
      </c>
      <c r="H128" t="n">
        <v>0</v>
      </c>
      <c r="I128" t="inlineStr">
        <is>
          <t>Q2-Target,WFS,Coupon_Discount,WFS Item</t>
        </is>
      </c>
      <c r="J128" s="29" t="n">
        <v>222.76</v>
      </c>
      <c r="K128" s="30" t="n">
        <v>0.0019</v>
      </c>
      <c r="L128" s="29" t="n">
        <v>67.95999908447266</v>
      </c>
      <c r="M128" s="29" t="n">
        <v>0</v>
      </c>
      <c r="N128" s="2" t="n">
        <v>12</v>
      </c>
      <c r="O128" s="31" t="n">
        <v>47.33000000000001</v>
      </c>
      <c r="P128" s="32" t="n">
        <v>0.0057</v>
      </c>
      <c r="Q128" s="32" t="n">
        <v>0.2125</v>
      </c>
      <c r="R128" s="32" t="n">
        <v>0.0958</v>
      </c>
      <c r="S128" s="31" t="n">
        <v>2.49</v>
      </c>
      <c r="T128" s="32" t="n">
        <v>0.4</v>
      </c>
      <c r="U128" s="31" t="n">
        <v>117.93</v>
      </c>
      <c r="V128" s="31" t="n">
        <v>100.94</v>
      </c>
      <c r="W128" s="3" t="n">
        <v>88470</v>
      </c>
      <c r="X128" s="3" t="n">
        <v>163</v>
      </c>
      <c r="Y128" s="32" t="n">
        <v>0.0018</v>
      </c>
      <c r="Z128" s="3" t="n">
        <v>7</v>
      </c>
      <c r="AA128" s="32" t="n">
        <v>0.0429</v>
      </c>
      <c r="AB128" s="3" t="inlineStr">
        <is>
          <t>WFS Inventory</t>
        </is>
      </c>
      <c r="AC128" s="31" t="n">
        <v>0.29</v>
      </c>
      <c r="AD128" s="2" t="n">
        <v>68</v>
      </c>
      <c r="AE128" s="2" t="n">
        <v>117</v>
      </c>
      <c r="AF128" s="4" t="inlineStr">
        <is>
          <t>NA</t>
        </is>
      </c>
      <c r="AG128" s="33" t="n">
        <v>104.83</v>
      </c>
      <c r="AH128" s="4" t="n">
        <v>5</v>
      </c>
      <c r="AI128" s="34" t="inlineStr">
        <is>
          <t>NA</t>
        </is>
      </c>
      <c r="AJ128" s="34" t="n">
        <v>0.4706</v>
      </c>
      <c r="AK128" s="2" t="n">
        <v>922</v>
      </c>
      <c r="AL128" t="inlineStr">
        <is>
          <t>Published</t>
        </is>
      </c>
    </row>
    <row r="129">
      <c r="A129">
        <f>HYPERLINK("https://www.walmart.com/ip/623777316", "623777316")</f>
        <v/>
      </c>
      <c r="B129">
        <f>HYPERLINK("https://app.optiwise.ai/catalog/itemdetails/362505", "Pawsse Water Resistant Dog Blanket, Premium Pet Puppy Cat Sherpa Throws Cushion Mat for Car Seat Furniture Protector Cover Large 80” x 60” Brown")</f>
        <v/>
      </c>
      <c r="C129" t="inlineStr">
        <is>
          <t>1PSBW681BNTP</t>
        </is>
      </c>
      <c r="D129" t="inlineStr">
        <is>
          <t>Animal Accessories</t>
        </is>
      </c>
      <c r="E129" t="inlineStr">
        <is>
          <t>Pet Blankets</t>
        </is>
      </c>
      <c r="F129" t="inlineStr">
        <is>
          <t>Pawsse</t>
        </is>
      </c>
      <c r="G129" t="n">
        <v>0</v>
      </c>
      <c r="H129" t="n">
        <v>0</v>
      </c>
      <c r="I129" t="inlineStr">
        <is>
          <t>Q2-Target,Batch 1 - TR</t>
        </is>
      </c>
      <c r="J129" s="29" t="n">
        <v>221.94</v>
      </c>
      <c r="K129" s="30" t="n">
        <v>0.0019</v>
      </c>
      <c r="L129" s="29" t="n">
        <v>0</v>
      </c>
      <c r="M129" s="29" t="n">
        <v>0</v>
      </c>
      <c r="N129" s="2" t="n">
        <v>6</v>
      </c>
      <c r="O129" s="31" t="n">
        <v>6.01</v>
      </c>
      <c r="P129" s="32" t="n">
        <v>0.0007</v>
      </c>
      <c r="Q129" s="32" t="n">
        <v>0.0271</v>
      </c>
      <c r="R129" s="32" t="n">
        <v>0.0015</v>
      </c>
      <c r="S129" s="31" t="n">
        <v>0</v>
      </c>
      <c r="T129" s="32" t="n">
        <v>0</v>
      </c>
      <c r="U129" s="31" t="n">
        <v>0</v>
      </c>
      <c r="V129" s="31" t="n">
        <v>0</v>
      </c>
      <c r="W129" s="3" t="n">
        <v>12992</v>
      </c>
      <c r="X129" s="3" t="n">
        <v>15</v>
      </c>
      <c r="Y129" s="32" t="n">
        <v>0.0012</v>
      </c>
      <c r="Z129" s="3" t="n">
        <v>0</v>
      </c>
      <c r="AA129" s="32" t="n">
        <v>0</v>
      </c>
      <c r="AB129" s="3" t="inlineStr">
        <is>
          <t>Auto for BW PET 2 ---Rachel</t>
        </is>
      </c>
      <c r="AC129" s="31" t="n">
        <v>0.4</v>
      </c>
      <c r="AD129" s="2" t="n">
        <v>29</v>
      </c>
      <c r="AE129" s="2" t="n">
        <v>146</v>
      </c>
      <c r="AF129" s="4" t="n">
        <v>131</v>
      </c>
      <c r="AG129" s="33" t="n">
        <v>221.94</v>
      </c>
      <c r="AH129" s="4" t="n">
        <v>6</v>
      </c>
      <c r="AI129" s="34" t="n">
        <v>0.0458</v>
      </c>
      <c r="AJ129" s="34" t="n">
        <v>1</v>
      </c>
      <c r="AK129" s="2" t="n">
        <v>2250</v>
      </c>
      <c r="AL129" t="inlineStr">
        <is>
          <t>Published</t>
        </is>
      </c>
    </row>
    <row r="130">
      <c r="A130">
        <f>HYPERLINK("https://www.walmart.com/ip/279182817", "279182817")</f>
        <v/>
      </c>
      <c r="B130">
        <f>HYPERLINK("https://app.optiwise.ai/catalog/itemdetails/361793", "Catalonia Kids Mermaid Tail Blanket,Super Soft Plush Flannel Sleeping Snuggle Blanket for Teen Girls,Rainbow Ombre,Fish Scale Pattern,Gift Idea")</f>
        <v/>
      </c>
      <c r="C130" t="inlineStr">
        <is>
          <t>1CTMM502PK</t>
        </is>
      </c>
      <c r="D130" t="inlineStr">
        <is>
          <t>Bedding</t>
        </is>
      </c>
      <c r="E130" t="inlineStr">
        <is>
          <t>Throws</t>
        </is>
      </c>
      <c r="F130" t="inlineStr">
        <is>
          <t>Catalonia</t>
        </is>
      </c>
      <c r="G130" t="n">
        <v>4</v>
      </c>
      <c r="H130" t="n">
        <v>2</v>
      </c>
      <c r="I130" t="inlineStr">
        <is>
          <t>Q2-Target,Baby days,Optimized,WFS,WFS Item</t>
        </is>
      </c>
      <c r="J130" s="29" t="n">
        <v>221.85</v>
      </c>
      <c r="K130" s="30" t="n">
        <v>0.0019</v>
      </c>
      <c r="L130" s="29" t="n">
        <v>0</v>
      </c>
      <c r="M130" s="29" t="n">
        <v>14.98999977111816</v>
      </c>
      <c r="N130" s="2" t="n">
        <v>14</v>
      </c>
      <c r="O130" s="31" t="n">
        <v>17.34</v>
      </c>
      <c r="P130" s="32" t="n">
        <v>0.0021</v>
      </c>
      <c r="Q130" s="32" t="n">
        <v>0.07820000000000001</v>
      </c>
      <c r="R130" s="32" t="n">
        <v>0.4123</v>
      </c>
      <c r="S130" s="31" t="n">
        <v>1.15</v>
      </c>
      <c r="T130" s="32" t="n">
        <v>0.87</v>
      </c>
      <c r="U130" s="31" t="n">
        <v>19.99</v>
      </c>
      <c r="V130" s="31" t="n">
        <v>19.99</v>
      </c>
      <c r="W130" s="3" t="n">
        <v>36663</v>
      </c>
      <c r="X130" s="3" t="n">
        <v>44</v>
      </c>
      <c r="Y130" s="32" t="n">
        <v>0.0012</v>
      </c>
      <c r="Z130" s="3" t="n">
        <v>1</v>
      </c>
      <c r="AA130" s="32" t="n">
        <v>0.0227</v>
      </c>
      <c r="AB130" s="3" t="inlineStr">
        <is>
          <t>Throws_Auto_Optiwise_24,Throws_Manual_Optiwise_24</t>
        </is>
      </c>
      <c r="AC130" s="31" t="n">
        <v>0.39</v>
      </c>
      <c r="AD130" s="2" t="n">
        <v>52</v>
      </c>
      <c r="AE130" s="2" t="n">
        <v>132</v>
      </c>
      <c r="AF130" s="4" t="n">
        <v>88</v>
      </c>
      <c r="AG130" s="33" t="n">
        <v>201.86</v>
      </c>
      <c r="AH130" s="4" t="n">
        <v>13</v>
      </c>
      <c r="AI130" s="34" t="n">
        <v>0.1477</v>
      </c>
      <c r="AJ130" s="34" t="n">
        <v>0.9099</v>
      </c>
      <c r="AK130" s="2" t="n">
        <v>96</v>
      </c>
      <c r="AL130" t="inlineStr">
        <is>
          <t>Published</t>
        </is>
      </c>
    </row>
    <row r="131">
      <c r="A131">
        <f>HYPERLINK("https://www.walmart.com/ip/10283609251", "10283609251")</f>
        <v/>
      </c>
      <c r="B131">
        <f>HYPERLINK("https://app.optiwise.ai/catalog/itemdetails/10031986", "Wrangler Men’s Full Grain Genuine Leather 35mm Thick Casual Belt for Jeans, Pants - Brown, 34")</f>
        <v/>
      </c>
      <c r="C131" t="inlineStr">
        <is>
          <t>WR-BELT-MENS-35MM-BROWN-34</t>
        </is>
      </c>
      <c r="D131" t="inlineStr">
        <is>
          <t>Clothing</t>
        </is>
      </c>
      <c r="E131" t="inlineStr">
        <is>
          <t>Belts</t>
        </is>
      </c>
      <c r="F131" t="inlineStr">
        <is>
          <t>Wrangler</t>
        </is>
      </c>
      <c r="G131" t="n">
        <v>0</v>
      </c>
      <c r="H131" t="n">
        <v>0</v>
      </c>
      <c r="I131" t="inlineStr">
        <is>
          <t>Belts</t>
        </is>
      </c>
      <c r="J131" s="29" t="n">
        <v>219.89</v>
      </c>
      <c r="K131" s="30" t="n">
        <v>0.0019</v>
      </c>
      <c r="L131" s="29" t="n">
        <v>0</v>
      </c>
      <c r="M131" s="29" t="n">
        <v>0</v>
      </c>
      <c r="N131" s="2" t="n">
        <v>11</v>
      </c>
      <c r="O131" s="31" t="n">
        <v>0</v>
      </c>
      <c r="P131" s="32" t="n"/>
      <c r="Q131" s="32" t="n">
        <v>0</v>
      </c>
      <c r="R131" s="32" t="n">
        <v>0</v>
      </c>
      <c r="S131" s="31" t="n">
        <v>0</v>
      </c>
      <c r="T131" s="32" t="n">
        <v>0</v>
      </c>
      <c r="U131" s="31" t="n">
        <v>0</v>
      </c>
      <c r="V131" s="31" t="n">
        <v>0</v>
      </c>
      <c r="W131" s="3" t="n">
        <v>0</v>
      </c>
      <c r="X131" s="3" t="n">
        <v>0</v>
      </c>
      <c r="Y131" s="32" t="n">
        <v>0</v>
      </c>
      <c r="Z131" s="3" t="n">
        <v>0</v>
      </c>
      <c r="AA131" s="32" t="n">
        <v>0</v>
      </c>
      <c r="AB131" s="3" t="n"/>
      <c r="AC131" s="31" t="n">
        <v>0</v>
      </c>
      <c r="AD131" s="2" t="n">
        <v>0</v>
      </c>
      <c r="AE131" s="2" t="n">
        <v>88</v>
      </c>
      <c r="AF131" s="4" t="n">
        <v>88</v>
      </c>
      <c r="AG131" s="33" t="n">
        <v>219.89</v>
      </c>
      <c r="AH131" s="4" t="n">
        <v>11</v>
      </c>
      <c r="AI131" s="34" t="n">
        <v>0.125</v>
      </c>
      <c r="AJ131" s="34" t="n">
        <v>1</v>
      </c>
      <c r="AK131" s="2" t="n">
        <v>1227</v>
      </c>
      <c r="AL131" t="inlineStr">
        <is>
          <t>Published</t>
        </is>
      </c>
    </row>
    <row r="132">
      <c r="A132">
        <f>HYPERLINK("https://www.walmart.com/ip/10298970245", "10298970245")</f>
        <v/>
      </c>
      <c r="B132">
        <f>HYPERLINK("https://app.optiwise.ai/catalog/itemdetails/10031990", "Wrangler Men’s Full Grain Genuine Leather 35mm Thick Casual Belt for Jeans, Pants - Black, 38")</f>
        <v/>
      </c>
      <c r="C132" t="inlineStr">
        <is>
          <t>WR-BELT-MENS-35MM-BLACK-38</t>
        </is>
      </c>
      <c r="D132" t="inlineStr">
        <is>
          <t>Clothing</t>
        </is>
      </c>
      <c r="E132" t="inlineStr">
        <is>
          <t>Belts</t>
        </is>
      </c>
      <c r="F132" t="inlineStr">
        <is>
          <t>Wrangler</t>
        </is>
      </c>
      <c r="G132" t="n">
        <v>0</v>
      </c>
      <c r="H132" t="n">
        <v>0</v>
      </c>
      <c r="I132" t="inlineStr">
        <is>
          <t>Belts</t>
        </is>
      </c>
      <c r="J132" s="29" t="n">
        <v>219.89</v>
      </c>
      <c r="K132" s="30" t="n">
        <v>0.0019</v>
      </c>
      <c r="L132" s="29" t="n">
        <v>39.97999954223633</v>
      </c>
      <c r="M132" s="29" t="n">
        <v>0</v>
      </c>
      <c r="N132" s="2" t="n">
        <v>11</v>
      </c>
      <c r="O132" s="31" t="n">
        <v>0</v>
      </c>
      <c r="P132" s="32" t="n"/>
      <c r="Q132" s="32" t="n">
        <v>0</v>
      </c>
      <c r="R132" s="32" t="n">
        <v>0</v>
      </c>
      <c r="S132" s="31" t="n">
        <v>0</v>
      </c>
      <c r="T132" s="32" t="n">
        <v>0</v>
      </c>
      <c r="U132" s="31" t="n">
        <v>0</v>
      </c>
      <c r="V132" s="31" t="n">
        <v>0</v>
      </c>
      <c r="W132" s="3" t="n">
        <v>0</v>
      </c>
      <c r="X132" s="3" t="n">
        <v>0</v>
      </c>
      <c r="Y132" s="32" t="n">
        <v>0</v>
      </c>
      <c r="Z132" s="3" t="n">
        <v>0</v>
      </c>
      <c r="AA132" s="32" t="n">
        <v>0</v>
      </c>
      <c r="AB132" s="3" t="n"/>
      <c r="AC132" s="31" t="n">
        <v>0</v>
      </c>
      <c r="AD132" s="2" t="n">
        <v>0</v>
      </c>
      <c r="AE132" s="2" t="n">
        <v>52</v>
      </c>
      <c r="AF132" s="4" t="n">
        <v>52</v>
      </c>
      <c r="AG132" s="33" t="n">
        <v>219.89</v>
      </c>
      <c r="AH132" s="4" t="n">
        <v>11</v>
      </c>
      <c r="AI132" s="34" t="n">
        <v>0.2115</v>
      </c>
      <c r="AJ132" s="34" t="n">
        <v>1</v>
      </c>
      <c r="AK132" s="2" t="n">
        <v>1227</v>
      </c>
      <c r="AL132" t="inlineStr">
        <is>
          <t>Published</t>
        </is>
      </c>
    </row>
    <row r="133">
      <c r="A133">
        <f>HYPERLINK("https://www.walmart.com/ip/548162405", "548162405")</f>
        <v/>
      </c>
      <c r="B133">
        <f>HYPERLINK("https://app.optiwise.ai/catalog/itemdetails/359307", "Pawsse Waterproof Pet Snuggle Blanket, Dog Puppy Cat Fleece Sherpa Throws Cushion Mat for Car Seat Furniture Protector Cover Medium 50x60")</f>
        <v/>
      </c>
      <c r="C133" t="inlineStr">
        <is>
          <t>1PSBW561BRTP</t>
        </is>
      </c>
      <c r="D133" t="inlineStr">
        <is>
          <t>Animal Accessories</t>
        </is>
      </c>
      <c r="E133" t="inlineStr">
        <is>
          <t>Pet Blankets</t>
        </is>
      </c>
      <c r="F133" t="inlineStr">
        <is>
          <t>Pawsse</t>
        </is>
      </c>
      <c r="G133" t="n">
        <v>0</v>
      </c>
      <c r="H133" t="n">
        <v>0</v>
      </c>
      <c r="I133" t="inlineStr">
        <is>
          <t>Q2-Target,Optimized</t>
        </is>
      </c>
      <c r="J133" s="29" t="n">
        <v>214.91</v>
      </c>
      <c r="K133" s="30" t="n">
        <v>0.0019</v>
      </c>
      <c r="L133" s="29" t="n">
        <v>0</v>
      </c>
      <c r="M133" s="29" t="n">
        <v>0</v>
      </c>
      <c r="N133" s="2" t="n">
        <v>8</v>
      </c>
      <c r="O133" s="31" t="n">
        <v>3.13</v>
      </c>
      <c r="P133" s="32" t="n">
        <v>0.0004</v>
      </c>
      <c r="Q133" s="32" t="n">
        <v>0.0146</v>
      </c>
      <c r="R133" s="32" t="n">
        <v>0.0038</v>
      </c>
      <c r="S133" s="31" t="n">
        <v>8.300000000000001</v>
      </c>
      <c r="T133" s="32" t="n">
        <v>0.12</v>
      </c>
      <c r="U133" s="31" t="n">
        <v>25.99</v>
      </c>
      <c r="V133" s="31" t="n">
        <v>25.99</v>
      </c>
      <c r="W133" s="3" t="n">
        <v>18557</v>
      </c>
      <c r="X133" s="3" t="n">
        <v>10</v>
      </c>
      <c r="Y133" s="32" t="n">
        <v>0.0005</v>
      </c>
      <c r="Z133" s="3" t="n">
        <v>1</v>
      </c>
      <c r="AA133" s="32" t="n">
        <v>0.1</v>
      </c>
      <c r="AB133" s="3" t="inlineStr">
        <is>
          <t>Auto for BW PET 2 ---Rachel,Pet Blankets_Auto_Optiwise_24</t>
        </is>
      </c>
      <c r="AC133" s="31" t="n">
        <v>0.31</v>
      </c>
      <c r="AD133" s="2" t="n">
        <v>10</v>
      </c>
      <c r="AE133" s="2" t="n">
        <v>151</v>
      </c>
      <c r="AF133" s="4" t="n">
        <v>141</v>
      </c>
      <c r="AG133" s="33" t="n">
        <v>188.92</v>
      </c>
      <c r="AH133" s="4" t="n">
        <v>7</v>
      </c>
      <c r="AI133" s="34" t="n">
        <v>0.0496</v>
      </c>
      <c r="AJ133" s="34" t="n">
        <v>0.8791</v>
      </c>
      <c r="AK133" s="2" t="n">
        <v>303</v>
      </c>
      <c r="AL133" t="inlineStr">
        <is>
          <t>Published</t>
        </is>
      </c>
    </row>
    <row r="134">
      <c r="A134">
        <f>HYPERLINK("https://www.walmart.com/ip/5215431714", "5215431714")</f>
        <v/>
      </c>
      <c r="B134">
        <f>HYPERLINK("https://app.optiwise.ai/catalog/itemdetails/7776009", "Catalonia Waterproof Dog Blanket for Couch, Reversible Washable Sofa Bed Coverlet Protector, Leakproof, Comfortable Blanket for People and Pets, Camel/Taupe, 50 x 60")</f>
        <v/>
      </c>
      <c r="C134" t="inlineStr">
        <is>
          <t>1CTBW565TPTP</t>
        </is>
      </c>
      <c r="D134" t="inlineStr">
        <is>
          <t>Home Decor, Kitchen, &amp; Other</t>
        </is>
      </c>
      <c r="E134" t="inlineStr">
        <is>
          <t>Throws</t>
        </is>
      </c>
      <c r="F134" t="inlineStr">
        <is>
          <t>Catalonia</t>
        </is>
      </c>
      <c r="G134" t="n">
        <v>0</v>
      </c>
      <c r="H134" t="n">
        <v>0</v>
      </c>
      <c r="I134" t="inlineStr">
        <is>
          <t>Q2-Target</t>
        </is>
      </c>
      <c r="J134" s="29" t="n">
        <v>209.93</v>
      </c>
      <c r="K134" s="30" t="n">
        <v>0.0018</v>
      </c>
      <c r="L134" s="29" t="n">
        <v>0</v>
      </c>
      <c r="M134" s="29" t="n">
        <v>0</v>
      </c>
      <c r="N134" s="2" t="n">
        <v>7</v>
      </c>
      <c r="O134" s="31" t="n">
        <v>2.89</v>
      </c>
      <c r="P134" s="32" t="n">
        <v>0.0003</v>
      </c>
      <c r="Q134" s="32" t="n">
        <v>0.0138</v>
      </c>
      <c r="R134" s="32" t="n">
        <v>0.0458</v>
      </c>
      <c r="S134" s="31" t="n">
        <v>0</v>
      </c>
      <c r="T134" s="32" t="n">
        <v>0</v>
      </c>
      <c r="U134" s="31" t="n">
        <v>0</v>
      </c>
      <c r="V134" s="31" t="n">
        <v>0</v>
      </c>
      <c r="W134" s="3" t="n">
        <v>6349</v>
      </c>
      <c r="X134" s="3" t="n">
        <v>10</v>
      </c>
      <c r="Y134" s="32" t="n">
        <v>0.0016</v>
      </c>
      <c r="Z134" s="3" t="n">
        <v>0</v>
      </c>
      <c r="AA134" s="32" t="n">
        <v>0</v>
      </c>
      <c r="AB134" s="3" t="inlineStr">
        <is>
          <t>Auto for BW Indoor</t>
        </is>
      </c>
      <c r="AC134" s="31" t="n">
        <v>0.29</v>
      </c>
      <c r="AD134" s="2" t="n">
        <v>69</v>
      </c>
      <c r="AE134" s="2" t="n">
        <v>92</v>
      </c>
      <c r="AF134" s="4" t="n">
        <v>82</v>
      </c>
      <c r="AG134" s="33" t="n">
        <v>209.93</v>
      </c>
      <c r="AH134" s="4" t="n">
        <v>7</v>
      </c>
      <c r="AI134" s="34" t="n">
        <v>0.0854</v>
      </c>
      <c r="AJ134" s="34" t="n">
        <v>1</v>
      </c>
      <c r="AK134" s="2" t="n">
        <v>0</v>
      </c>
      <c r="AL134" t="inlineStr">
        <is>
          <t>Published</t>
        </is>
      </c>
    </row>
    <row r="135">
      <c r="A135">
        <f>HYPERLINK("https://www.walmart.com/ip/2523481543", "2523481543")</f>
        <v/>
      </c>
      <c r="B135">
        <f>HYPERLINK("https://app.optiwise.ai/catalog/itemdetails/6059371", "Tirrinia Outdoor/Indoor Waterproof Fleece Blanket, Convenient and Easy-to-Fold Picnic Blanket, Beach Mat for Sand and Grass Picnics, Gray Wavy Streak, 50 x 60''")</f>
        <v/>
      </c>
      <c r="C135" t="inlineStr">
        <is>
          <t>1TRBW00156GYWV</t>
        </is>
      </c>
      <c r="D135" t="inlineStr">
        <is>
          <t>Sport &amp; Recreation Other</t>
        </is>
      </c>
      <c r="E135" t="inlineStr">
        <is>
          <t>Picnic Blankets &amp; Mats</t>
        </is>
      </c>
      <c r="F135" t="inlineStr">
        <is>
          <t>Tirrinia</t>
        </is>
      </c>
      <c r="G135" t="n">
        <v>0</v>
      </c>
      <c r="H135" t="n">
        <v>0</v>
      </c>
      <c r="I135" t="inlineStr">
        <is>
          <t>Wproof Blanket</t>
        </is>
      </c>
      <c r="J135" s="29" t="n">
        <v>206.91</v>
      </c>
      <c r="K135" s="30" t="n">
        <v>0.0018</v>
      </c>
      <c r="L135" s="29" t="n">
        <v>24.98999977111816</v>
      </c>
      <c r="M135" s="29" t="n">
        <v>0</v>
      </c>
      <c r="N135" s="2" t="n">
        <v>8</v>
      </c>
      <c r="O135" s="31" t="n">
        <v>0</v>
      </c>
      <c r="P135" s="32" t="n"/>
      <c r="Q135" s="32" t="n">
        <v>0</v>
      </c>
      <c r="R135" s="32" t="n">
        <v>0</v>
      </c>
      <c r="S135" s="31" t="n">
        <v>0</v>
      </c>
      <c r="T135" s="32" t="n">
        <v>0</v>
      </c>
      <c r="U135" s="31" t="n">
        <v>0</v>
      </c>
      <c r="V135" s="31" t="n">
        <v>0</v>
      </c>
      <c r="W135" s="3" t="n">
        <v>0</v>
      </c>
      <c r="X135" s="3" t="n">
        <v>0</v>
      </c>
      <c r="Y135" s="32" t="n">
        <v>0</v>
      </c>
      <c r="Z135" s="3" t="n">
        <v>0</v>
      </c>
      <c r="AA135" s="32" t="n">
        <v>0</v>
      </c>
      <c r="AB135" s="3" t="n"/>
      <c r="AC135" s="31" t="n">
        <v>0</v>
      </c>
      <c r="AD135" s="2" t="n">
        <v>16</v>
      </c>
      <c r="AE135" s="2" t="n">
        <v>71</v>
      </c>
      <c r="AF135" s="4" t="n">
        <v>71</v>
      </c>
      <c r="AG135" s="33" t="n">
        <v>206.91</v>
      </c>
      <c r="AH135" s="4" t="n">
        <v>8</v>
      </c>
      <c r="AI135" s="34" t="n">
        <v>0.1127</v>
      </c>
      <c r="AJ135" s="34" t="n">
        <v>1</v>
      </c>
      <c r="AK135" s="2" t="n">
        <v>1687</v>
      </c>
      <c r="AL135" t="inlineStr">
        <is>
          <t>Published</t>
        </is>
      </c>
    </row>
    <row r="136">
      <c r="A136">
        <f>HYPERLINK("https://www.walmart.com/ip/2424108002", "2424108002")</f>
        <v/>
      </c>
      <c r="B136">
        <f>HYPERLINK("https://app.optiwise.ai/catalog/itemdetails/7406781", "Catalonia Wearable TV Blanket with Sleeves Arms Micro Plush Fleece Wrap Throw Robe 73 x 51”")</f>
        <v/>
      </c>
      <c r="C136" t="inlineStr">
        <is>
          <t>1CTSN100P2GN</t>
        </is>
      </c>
      <c r="D136" t="inlineStr">
        <is>
          <t>Bedding</t>
        </is>
      </c>
      <c r="E136" t="inlineStr">
        <is>
          <t>Throws</t>
        </is>
      </c>
      <c r="F136" t="inlineStr">
        <is>
          <t>Catalonia</t>
        </is>
      </c>
      <c r="G136" t="n">
        <v>0</v>
      </c>
      <c r="H136" t="n">
        <v>0</v>
      </c>
      <c r="J136" s="29" t="n">
        <v>206.39</v>
      </c>
      <c r="K136" s="30" t="n">
        <v>0.0018</v>
      </c>
      <c r="L136" s="29" t="n">
        <v>0</v>
      </c>
      <c r="M136" s="29" t="n">
        <v>0</v>
      </c>
      <c r="N136" s="2" t="n">
        <v>9</v>
      </c>
      <c r="O136" s="31" t="n">
        <v>116.27</v>
      </c>
      <c r="P136" s="32" t="n">
        <v>0.0139</v>
      </c>
      <c r="Q136" s="32" t="n">
        <v>0.5634</v>
      </c>
      <c r="R136" s="32" t="n">
        <v>0</v>
      </c>
      <c r="S136" s="31" t="n">
        <v>2.06</v>
      </c>
      <c r="T136" s="32" t="n">
        <v>0.48</v>
      </c>
      <c r="U136" s="31" t="n">
        <v>239.89</v>
      </c>
      <c r="V136" s="31" t="n">
        <v>186.91</v>
      </c>
      <c r="W136" s="3" t="n">
        <v>125473</v>
      </c>
      <c r="X136" s="3" t="n">
        <v>302</v>
      </c>
      <c r="Y136" s="32" t="n">
        <v>0.0024</v>
      </c>
      <c r="Z136" s="3" t="n">
        <v>11</v>
      </c>
      <c r="AA136" s="32" t="n">
        <v>0.0364</v>
      </c>
      <c r="AB136" s="3" t="inlineStr">
        <is>
          <t>Throws_Auto_Optiwise_24</t>
        </is>
      </c>
      <c r="AC136" s="31" t="n">
        <v>0.39</v>
      </c>
      <c r="AD136" s="2" t="n">
        <v>59</v>
      </c>
      <c r="AE136" s="2" t="n">
        <v>139</v>
      </c>
      <c r="AF136" s="4" t="inlineStr">
        <is>
          <t>NA</t>
        </is>
      </c>
      <c r="AG136" s="33" t="n">
        <v>-33.50000000000003</v>
      </c>
      <c r="AH136" s="4" t="n">
        <v>-2</v>
      </c>
      <c r="AI136" s="34" t="inlineStr">
        <is>
          <t>NA</t>
        </is>
      </c>
      <c r="AJ136" s="34" t="n">
        <v>-0.1623</v>
      </c>
      <c r="AK136" s="2" t="n">
        <v>525</v>
      </c>
      <c r="AL136" t="inlineStr">
        <is>
          <t>Published</t>
        </is>
      </c>
    </row>
    <row r="137">
      <c r="A137">
        <f>HYPERLINK("https://www.walmart.com/ip/1722087404", "1722087404")</f>
        <v/>
      </c>
      <c r="B137">
        <f>HYPERLINK("https://app.optiwise.ai/catalog/itemdetails/4346339", "Tirrinia Insulated Lunch Bag for Women Men, Leakproof Thermal Reusable Lunch Box for Adult &amp; Kids, Lunch Cooler Tote for Office Work Back to School,Large size, Camo")</f>
        <v/>
      </c>
      <c r="C137" t="inlineStr">
        <is>
          <t>1TRLB701CAMO-T</t>
        </is>
      </c>
      <c r="D137" t="inlineStr">
        <is>
          <t>Home Decor, Kitchen, &amp; Other</t>
        </is>
      </c>
      <c r="E137" t="inlineStr">
        <is>
          <t>Reusable Lunch Bags &amp; Boxes</t>
        </is>
      </c>
      <c r="F137" t="inlineStr">
        <is>
          <t>Tirrinia</t>
        </is>
      </c>
      <c r="G137" t="n">
        <v>0</v>
      </c>
      <c r="H137" t="n">
        <v>0</v>
      </c>
      <c r="I137" t="inlineStr">
        <is>
          <t>Q2-Target,Brand Camp VD,Lunch Bags,Batch 1 - TR</t>
        </is>
      </c>
      <c r="J137" s="29" t="n">
        <v>204.87</v>
      </c>
      <c r="K137" s="30" t="n">
        <v>0.0018</v>
      </c>
      <c r="L137" s="29" t="n">
        <v>0</v>
      </c>
      <c r="M137" s="29" t="n">
        <v>0</v>
      </c>
      <c r="N137" s="2" t="n">
        <v>12</v>
      </c>
      <c r="O137" s="31" t="n">
        <v>0</v>
      </c>
      <c r="P137" s="32" t="n"/>
      <c r="Q137" s="32" t="n">
        <v>0</v>
      </c>
      <c r="R137" s="32" t="n">
        <v>0.0027</v>
      </c>
      <c r="S137" s="31" t="n">
        <v>0</v>
      </c>
      <c r="T137" s="32" t="n">
        <v>0</v>
      </c>
      <c r="U137" s="31" t="n">
        <v>0</v>
      </c>
      <c r="V137" s="31" t="n">
        <v>0</v>
      </c>
      <c r="W137" s="3" t="n">
        <v>0</v>
      </c>
      <c r="X137" s="3" t="n">
        <v>0</v>
      </c>
      <c r="Y137" s="32" t="n">
        <v>0</v>
      </c>
      <c r="Z137" s="3" t="n">
        <v>0</v>
      </c>
      <c r="AA137" s="32" t="n">
        <v>0</v>
      </c>
      <c r="AB137" s="3" t="n"/>
      <c r="AC137" s="31" t="n">
        <v>0</v>
      </c>
      <c r="AD137" s="2" t="n">
        <v>255</v>
      </c>
      <c r="AE137" s="2" t="n">
        <v>156</v>
      </c>
      <c r="AF137" s="4" t="n">
        <v>156</v>
      </c>
      <c r="AG137" s="33" t="n">
        <v>204.87</v>
      </c>
      <c r="AH137" s="4" t="n">
        <v>12</v>
      </c>
      <c r="AI137" s="34" t="n">
        <v>0.0769</v>
      </c>
      <c r="AJ137" s="34" t="n">
        <v>1</v>
      </c>
      <c r="AK137" s="2" t="n">
        <v>1125</v>
      </c>
      <c r="AL137" t="inlineStr">
        <is>
          <t>Published</t>
        </is>
      </c>
    </row>
    <row r="138">
      <c r="A138">
        <f>HYPERLINK("https://www.walmart.com/ip/606072192", "606072192")</f>
        <v/>
      </c>
      <c r="B138">
        <f>HYPERLINK("https://app.optiwise.ai/catalog/itemdetails/361065", "Single Wine Cooler Bags - Insulated &amp; Padded Portable Wine Tote Carrier for Travel, BYOB Restaurant, Wine Tasting, Party, Great Gift for Wine Lover, Beige")</f>
        <v/>
      </c>
      <c r="C138" t="inlineStr">
        <is>
          <t>1WMWB101BG</t>
        </is>
      </c>
      <c r="D138" t="inlineStr">
        <is>
          <t>Home Decor, Kitchen, &amp; Other</t>
        </is>
      </c>
      <c r="E138" t="inlineStr">
        <is>
          <t>Wine Totes, Bags &amp; Backpacks</t>
        </is>
      </c>
      <c r="F138" t="inlineStr">
        <is>
          <t>Flyingstar</t>
        </is>
      </c>
      <c r="G138" t="n">
        <v>4</v>
      </c>
      <c r="H138" t="n">
        <v>3</v>
      </c>
      <c r="I138" t="inlineStr">
        <is>
          <t>Wine,Christmas,Optimized,Wine WFS,Valentine,SEM</t>
        </is>
      </c>
      <c r="J138" s="29" t="n">
        <v>203.83</v>
      </c>
      <c r="K138" s="30" t="n">
        <v>0.0018</v>
      </c>
      <c r="L138" s="29" t="n">
        <v>0</v>
      </c>
      <c r="M138" s="29" t="n">
        <v>0</v>
      </c>
      <c r="N138" s="2" t="n">
        <v>17</v>
      </c>
      <c r="O138" s="31" t="n">
        <v>10.22</v>
      </c>
      <c r="P138" s="32" t="n">
        <v>0.0012</v>
      </c>
      <c r="Q138" s="32" t="n">
        <v>0.0501</v>
      </c>
      <c r="R138" s="32" t="n">
        <v>0.29</v>
      </c>
      <c r="S138" s="31" t="n">
        <v>4.01</v>
      </c>
      <c r="T138" s="32" t="n">
        <v>0.25</v>
      </c>
      <c r="U138" s="31" t="n">
        <v>40.97</v>
      </c>
      <c r="V138" s="31" t="n">
        <v>40.97</v>
      </c>
      <c r="W138" s="3" t="n">
        <v>20650</v>
      </c>
      <c r="X138" s="3" t="n">
        <v>31</v>
      </c>
      <c r="Y138" s="32" t="n">
        <v>0.0015</v>
      </c>
      <c r="Z138" s="3" t="n">
        <v>3</v>
      </c>
      <c r="AA138" s="32" t="n">
        <v>0.0968</v>
      </c>
      <c r="AB138" s="3" t="inlineStr">
        <is>
          <t>Auto Campaign_Vinay</t>
        </is>
      </c>
      <c r="AC138" s="31" t="n">
        <v>0.33</v>
      </c>
      <c r="AD138" s="2" t="n">
        <v>32</v>
      </c>
      <c r="AE138" s="2" t="n">
        <v>70</v>
      </c>
      <c r="AF138" s="4" t="n">
        <v>39</v>
      </c>
      <c r="AG138" s="33" t="n">
        <v>162.86</v>
      </c>
      <c r="AH138" s="4" t="n">
        <v>14</v>
      </c>
      <c r="AI138" s="34" t="n">
        <v>0.359</v>
      </c>
      <c r="AJ138" s="34" t="n">
        <v>0.799</v>
      </c>
      <c r="AK138" s="2" t="n">
        <v>794</v>
      </c>
      <c r="AL138" t="inlineStr">
        <is>
          <t>Published</t>
        </is>
      </c>
    </row>
    <row r="139">
      <c r="A139">
        <f>HYPERLINK("https://www.walmart.com/ip/726845682", "726845682")</f>
        <v/>
      </c>
      <c r="B139">
        <f>HYPERLINK("https://app.optiwise.ai/catalog/itemdetails/362112", "Flyingstar Lunch Bag for Women Men, Insulated Lunch Tote for Working/School/Picnic Fashionable Cooler Bag")</f>
        <v/>
      </c>
      <c r="C139" t="inlineStr">
        <is>
          <t>1WMLB704GY</t>
        </is>
      </c>
      <c r="D139" t="inlineStr">
        <is>
          <t>Home Decor, Kitchen, &amp; Other</t>
        </is>
      </c>
      <c r="E139" t="inlineStr">
        <is>
          <t>Reusable Lunch Bags &amp; Boxes</t>
        </is>
      </c>
      <c r="F139" t="inlineStr">
        <is>
          <t>Flyingstar</t>
        </is>
      </c>
      <c r="G139" t="n">
        <v>0</v>
      </c>
      <c r="H139" t="n">
        <v>0</v>
      </c>
      <c r="I139" t="inlineStr">
        <is>
          <t>Q2-Target,Lunch Bag</t>
        </is>
      </c>
      <c r="J139" s="29" t="n">
        <v>203.09</v>
      </c>
      <c r="K139" s="30" t="n">
        <v>0.0018</v>
      </c>
      <c r="L139" s="29" t="n">
        <v>20.07999992370605</v>
      </c>
      <c r="M139" s="29" t="n">
        <v>0</v>
      </c>
      <c r="N139" s="2" t="n">
        <v>20</v>
      </c>
      <c r="O139" s="31" t="n">
        <v>0</v>
      </c>
      <c r="P139" s="32" t="n"/>
      <c r="Q139" s="32" t="n">
        <v>0</v>
      </c>
      <c r="R139" s="32" t="n">
        <v>0.1412</v>
      </c>
      <c r="S139" s="31" t="n">
        <v>0</v>
      </c>
      <c r="T139" s="32" t="n">
        <v>0</v>
      </c>
      <c r="U139" s="31" t="n">
        <v>0</v>
      </c>
      <c r="V139" s="31" t="n">
        <v>0</v>
      </c>
      <c r="W139" s="3" t="n">
        <v>0</v>
      </c>
      <c r="X139" s="3" t="n">
        <v>0</v>
      </c>
      <c r="Y139" s="32" t="n">
        <v>0</v>
      </c>
      <c r="Z139" s="3" t="n">
        <v>0</v>
      </c>
      <c r="AA139" s="32" t="n">
        <v>0</v>
      </c>
      <c r="AB139" s="3" t="n"/>
      <c r="AC139" s="31" t="n">
        <v>0</v>
      </c>
      <c r="AD139" s="2" t="n">
        <v>3304</v>
      </c>
      <c r="AE139" s="2" t="n">
        <v>671</v>
      </c>
      <c r="AF139" s="4" t="n">
        <v>2633</v>
      </c>
      <c r="AG139" s="33" t="n">
        <v>203.09</v>
      </c>
      <c r="AH139" s="4" t="n">
        <v>20</v>
      </c>
      <c r="AI139" s="34" t="n">
        <v>0.0076</v>
      </c>
      <c r="AJ139" s="34" t="n">
        <v>1</v>
      </c>
      <c r="AK139" s="2" t="n">
        <v>695</v>
      </c>
      <c r="AL139" t="inlineStr">
        <is>
          <t>Published</t>
        </is>
      </c>
    </row>
    <row r="140">
      <c r="A140">
        <f>HYPERLINK("https://www.walmart.com/ip/782090688", "782090688")</f>
        <v/>
      </c>
      <c r="B140">
        <f>HYPERLINK("https://app.optiwise.ai/catalog/itemdetails/361854", "Tirrinia Insulated Lunch Bag, Leakproof Thermal Bento Cooler Tote for Women and Men, Dual Compartment with Shoulder Strap, 10.2 x 7.5 x 9,Red")</f>
        <v/>
      </c>
      <c r="C140" t="inlineStr">
        <is>
          <t>1TRLB601RD</t>
        </is>
      </c>
      <c r="D140" t="inlineStr">
        <is>
          <t>Home Decor, Kitchen, &amp; Other</t>
        </is>
      </c>
      <c r="E140" t="inlineStr">
        <is>
          <t>Reusable Lunch Bags &amp; Boxes</t>
        </is>
      </c>
      <c r="F140" t="inlineStr">
        <is>
          <t>Tirrinia</t>
        </is>
      </c>
      <c r="G140" t="n">
        <v>4.4</v>
      </c>
      <c r="H140" t="n">
        <v>36</v>
      </c>
      <c r="I140" t="inlineStr">
        <is>
          <t>Q2-Target,Brand Camp VD,Lunch Bag,WFS,Lunch Bags,WFS Item</t>
        </is>
      </c>
      <c r="J140" s="29" t="n">
        <v>202.89</v>
      </c>
      <c r="K140" s="30" t="n">
        <v>0.0017</v>
      </c>
      <c r="L140" s="29" t="n">
        <v>54.96999931335449</v>
      </c>
      <c r="M140" s="29" t="n">
        <v>0</v>
      </c>
      <c r="N140" s="2" t="n">
        <v>11</v>
      </c>
      <c r="O140" s="31" t="n">
        <v>0</v>
      </c>
      <c r="P140" s="32" t="n"/>
      <c r="Q140" s="32" t="n">
        <v>0</v>
      </c>
      <c r="R140" s="32" t="n">
        <v>0.0031</v>
      </c>
      <c r="S140" s="31" t="n">
        <v>0</v>
      </c>
      <c r="T140" s="32" t="n">
        <v>0</v>
      </c>
      <c r="U140" s="31" t="n">
        <v>0</v>
      </c>
      <c r="V140" s="31" t="n">
        <v>0</v>
      </c>
      <c r="W140" s="3" t="n">
        <v>0</v>
      </c>
      <c r="X140" s="3" t="n">
        <v>0</v>
      </c>
      <c r="Y140" s="32" t="n">
        <v>0</v>
      </c>
      <c r="Z140" s="3" t="n">
        <v>0</v>
      </c>
      <c r="AA140" s="32" t="n">
        <v>0</v>
      </c>
      <c r="AB140" s="3" t="n"/>
      <c r="AC140" s="31" t="n">
        <v>0</v>
      </c>
      <c r="AD140" s="2" t="n">
        <v>45</v>
      </c>
      <c r="AE140" s="2" t="n">
        <v>167</v>
      </c>
      <c r="AF140" s="4" t="n">
        <v>167</v>
      </c>
      <c r="AG140" s="33" t="n">
        <v>202.89</v>
      </c>
      <c r="AH140" s="4" t="n">
        <v>11</v>
      </c>
      <c r="AI140" s="34" t="n">
        <v>0.0659</v>
      </c>
      <c r="AJ140" s="34" t="n">
        <v>1</v>
      </c>
      <c r="AK140" s="2" t="n">
        <v>1227</v>
      </c>
      <c r="AL140" t="inlineStr">
        <is>
          <t>Published</t>
        </is>
      </c>
    </row>
    <row r="141">
      <c r="A141">
        <f>HYPERLINK("https://www.walmart.com/ip/3062581289", "3062581289")</f>
        <v/>
      </c>
      <c r="B141">
        <f>HYPERLINK("https://app.optiwise.ai/catalog/itemdetails/4979878", "Tirrinia Insulated Lunch Box for Women | Lunch Bags for Women, Girls, Teens | Cute Grey Reusable Thermal Lunch Tote Purse Cooler for Kids, School, Work, Office, Adult | Fits 10 Cans (Gray Stripe)")</f>
        <v/>
      </c>
      <c r="C141" t="inlineStr">
        <is>
          <t>1WMLB706GYSTR</t>
        </is>
      </c>
      <c r="D141" t="inlineStr">
        <is>
          <t>Home Decor, Kitchen, &amp; Other</t>
        </is>
      </c>
      <c r="E141" t="inlineStr">
        <is>
          <t>Reusable Lunch Bags &amp; Boxes</t>
        </is>
      </c>
      <c r="F141" t="inlineStr">
        <is>
          <t>Tirrinia</t>
        </is>
      </c>
      <c r="G141" t="n">
        <v>0</v>
      </c>
      <c r="H141" t="n">
        <v>0</v>
      </c>
      <c r="I141" t="inlineStr">
        <is>
          <t>Q2-Target,Brand Camp VD</t>
        </is>
      </c>
      <c r="J141" s="29" t="n">
        <v>200.8</v>
      </c>
      <c r="K141" s="30" t="n">
        <v>0.0017</v>
      </c>
      <c r="L141" s="29" t="n">
        <v>21.97999954223633</v>
      </c>
      <c r="M141" s="29" t="n">
        <v>0</v>
      </c>
      <c r="N141" s="2" t="n">
        <v>20</v>
      </c>
      <c r="O141" s="31" t="n">
        <v>0</v>
      </c>
      <c r="P141" s="32" t="n"/>
      <c r="Q141" s="32" t="n">
        <v>0</v>
      </c>
      <c r="R141" s="32" t="n">
        <v>0.1522</v>
      </c>
      <c r="S141" s="31" t="n">
        <v>0</v>
      </c>
      <c r="T141" s="32" t="n">
        <v>0</v>
      </c>
      <c r="U141" s="31" t="n">
        <v>0</v>
      </c>
      <c r="V141" s="31" t="n">
        <v>0</v>
      </c>
      <c r="W141" s="3" t="n">
        <v>0</v>
      </c>
      <c r="X141" s="3" t="n">
        <v>0</v>
      </c>
      <c r="Y141" s="32" t="n">
        <v>0</v>
      </c>
      <c r="Z141" s="3" t="n">
        <v>0</v>
      </c>
      <c r="AA141" s="32" t="n">
        <v>0</v>
      </c>
      <c r="AB141" s="3" t="n"/>
      <c r="AC141" s="31" t="n">
        <v>0</v>
      </c>
      <c r="AD141" s="2" t="n">
        <v>195</v>
      </c>
      <c r="AE141" s="2" t="n">
        <v>131</v>
      </c>
      <c r="AF141" s="4" t="n">
        <v>131</v>
      </c>
      <c r="AG141" s="33" t="n">
        <v>200.8</v>
      </c>
      <c r="AH141" s="4" t="n">
        <v>20</v>
      </c>
      <c r="AI141" s="34" t="n">
        <v>0.1527</v>
      </c>
      <c r="AJ141" s="34" t="n">
        <v>1</v>
      </c>
      <c r="AK141" s="2" t="n">
        <v>675</v>
      </c>
      <c r="AL141" t="inlineStr">
        <is>
          <t>Published</t>
        </is>
      </c>
    </row>
    <row r="142">
      <c r="A142">
        <f>HYPERLINK("https://www.walmart.com/ip/286137678", "286137678")</f>
        <v/>
      </c>
      <c r="B142">
        <f>HYPERLINK("https://app.optiwise.ai/catalog/itemdetails/416864", "Catalonia King Size Sherpa Comforter Set, Ultra-soft Reversible Fluffy Micromink Bedding Set-3 Pieces, 1 Comforter and 2 Pillow Shams, 90x103 inches")</f>
        <v/>
      </c>
      <c r="C142" t="inlineStr">
        <is>
          <t>1CTBQ300KI-PGY</t>
        </is>
      </c>
      <c r="D142" t="inlineStr">
        <is>
          <t>Bedding</t>
        </is>
      </c>
      <c r="E142" t="inlineStr">
        <is>
          <t>Bedding Sets</t>
        </is>
      </c>
      <c r="F142" t="inlineStr">
        <is>
          <t>Catalonia</t>
        </is>
      </c>
      <c r="G142" t="n">
        <v>0</v>
      </c>
      <c r="H142" t="n">
        <v>0</v>
      </c>
      <c r="I142" t="inlineStr">
        <is>
          <t>WFS,Coupon_Discount,WFS Item</t>
        </is>
      </c>
      <c r="J142" s="29" t="n">
        <v>199.96</v>
      </c>
      <c r="K142" s="30" t="n">
        <v>0.0017</v>
      </c>
      <c r="L142" s="29" t="n">
        <v>49.9900016784668</v>
      </c>
      <c r="M142" s="29" t="n">
        <v>0</v>
      </c>
      <c r="N142" s="2" t="n">
        <v>4</v>
      </c>
      <c r="O142" s="31" t="n">
        <v>0</v>
      </c>
      <c r="P142" s="32" t="n"/>
      <c r="Q142" s="32" t="n">
        <v>0</v>
      </c>
      <c r="R142" s="32" t="n">
        <v>0.0456</v>
      </c>
      <c r="S142" s="31" t="n">
        <v>0</v>
      </c>
      <c r="T142" s="32" t="n">
        <v>0</v>
      </c>
      <c r="U142" s="31" t="n">
        <v>0</v>
      </c>
      <c r="V142" s="31" t="n">
        <v>0</v>
      </c>
      <c r="W142" s="3" t="n">
        <v>230</v>
      </c>
      <c r="X142" s="3" t="n">
        <v>0</v>
      </c>
      <c r="Y142" s="32" t="n">
        <v>0</v>
      </c>
      <c r="Z142" s="3" t="n">
        <v>0</v>
      </c>
      <c r="AA142" s="32" t="n">
        <v>0</v>
      </c>
      <c r="AB142" s="3" t="inlineStr">
        <is>
          <t>Top Selling Last Year 2023</t>
        </is>
      </c>
      <c r="AC142" s="31" t="n">
        <v>0</v>
      </c>
      <c r="AD142" s="2" t="n">
        <v>192</v>
      </c>
      <c r="AE142" s="2" t="n">
        <v>119</v>
      </c>
      <c r="AF142" s="4" t="n">
        <v>119</v>
      </c>
      <c r="AG142" s="33" t="n">
        <v>199.96</v>
      </c>
      <c r="AH142" s="4" t="n">
        <v>4</v>
      </c>
      <c r="AI142" s="34" t="n">
        <v>0.0336</v>
      </c>
      <c r="AJ142" s="34" t="n">
        <v>1</v>
      </c>
      <c r="AK142" s="2" t="n">
        <v>540</v>
      </c>
      <c r="AL142" t="inlineStr">
        <is>
          <t>Published</t>
        </is>
      </c>
    </row>
    <row r="143">
      <c r="A143">
        <f>HYPERLINK("https://www.walmart.com/ip/689433950", "689433950")</f>
        <v/>
      </c>
      <c r="B143">
        <f>HYPERLINK("https://app.optiwise.ai/catalog/itemdetails/361982", "Catalonia Twin Size Quilt Set, Lightweight Bedspread for Summer and Spring, 2 Pieces Bedding Coverlet, 1 Quilt and 1 Pillow Sham, Grey Froest Pattern, 68'' x 90''")</f>
        <v/>
      </c>
      <c r="C143" t="inlineStr">
        <is>
          <t>1CTBQ202TW-GYWT</t>
        </is>
      </c>
      <c r="D143" t="inlineStr">
        <is>
          <t>Bedding</t>
        </is>
      </c>
      <c r="E143" t="inlineStr">
        <is>
          <t>Bedding Sets</t>
        </is>
      </c>
      <c r="F143" t="inlineStr">
        <is>
          <t>Catalonia</t>
        </is>
      </c>
      <c r="G143" t="n">
        <v>0</v>
      </c>
      <c r="H143" t="n">
        <v>0</v>
      </c>
      <c r="I143" t="inlineStr">
        <is>
          <t>Optimized</t>
        </is>
      </c>
      <c r="J143" s="29" t="n">
        <v>199.9</v>
      </c>
      <c r="K143" s="30" t="n">
        <v>0.0017</v>
      </c>
      <c r="L143" s="29" t="n">
        <v>39.97999954223633</v>
      </c>
      <c r="M143" s="29" t="n">
        <v>0</v>
      </c>
      <c r="N143" s="2" t="n">
        <v>10</v>
      </c>
      <c r="O143" s="31" t="n">
        <v>37.88</v>
      </c>
      <c r="P143" s="32" t="n">
        <v>0.0045</v>
      </c>
      <c r="Q143" s="32" t="n">
        <v>0.1895</v>
      </c>
      <c r="R143" s="32" t="n">
        <v>0</v>
      </c>
      <c r="S143" s="31" t="n">
        <v>1.58</v>
      </c>
      <c r="T143" s="32" t="n">
        <v>0.63</v>
      </c>
      <c r="U143" s="31" t="n">
        <v>59.97</v>
      </c>
      <c r="V143" s="31" t="n">
        <v>59.97</v>
      </c>
      <c r="W143" s="3" t="n">
        <v>15050</v>
      </c>
      <c r="X143" s="3" t="n">
        <v>147</v>
      </c>
      <c r="Y143" s="32" t="n">
        <v>0.0098</v>
      </c>
      <c r="Z143" s="3" t="n">
        <v>3</v>
      </c>
      <c r="AA143" s="32" t="n">
        <v>0.0204</v>
      </c>
      <c r="AB143" s="3" t="inlineStr">
        <is>
          <t>Need to sell these SKUs by 15th Feb</t>
        </is>
      </c>
      <c r="AC143" s="31" t="n">
        <v>0.26</v>
      </c>
      <c r="AD143" s="2" t="n">
        <v>245</v>
      </c>
      <c r="AE143" s="2" t="n">
        <v>220</v>
      </c>
      <c r="AF143" s="4" t="n">
        <v>73</v>
      </c>
      <c r="AG143" s="33" t="n">
        <v>139.93</v>
      </c>
      <c r="AH143" s="4" t="n">
        <v>7</v>
      </c>
      <c r="AI143" s="34" t="n">
        <v>0.0959</v>
      </c>
      <c r="AJ143" s="34" t="n">
        <v>0.7</v>
      </c>
      <c r="AK143" s="2" t="n">
        <v>1350</v>
      </c>
      <c r="AL143" t="inlineStr">
        <is>
          <t>Published</t>
        </is>
      </c>
    </row>
    <row r="144">
      <c r="A144">
        <f>HYPERLINK("https://www.walmart.com/ip/316798001", "316798001")</f>
        <v/>
      </c>
      <c r="B144">
        <f>HYPERLINK("https://app.optiwise.ai/catalog/itemdetails/362120", "Kato 6 Bottle Wine Carrier - Insulated Portable Wine Carry Cooler Tote Bag for Travel or Picnic, Perfect Wine Lover Gift, Black")</f>
        <v/>
      </c>
      <c r="C144" t="inlineStr">
        <is>
          <t>1KTWB600BK</t>
        </is>
      </c>
      <c r="D144" t="inlineStr">
        <is>
          <t>Home Decor, Kitchen, &amp; Other</t>
        </is>
      </c>
      <c r="E144" t="inlineStr">
        <is>
          <t>Wine Totes, Bags &amp; Backpacks</t>
        </is>
      </c>
      <c r="F144" t="inlineStr">
        <is>
          <t>Kato</t>
        </is>
      </c>
      <c r="G144" t="n">
        <v>3.8</v>
      </c>
      <c r="H144" t="n">
        <v>6</v>
      </c>
      <c r="I144" t="inlineStr">
        <is>
          <t>Wine,Wine Bag Camp,Christmas,WFS,Wine WFS,Valentine,SEM,WFS Item</t>
        </is>
      </c>
      <c r="J144" s="29" t="n">
        <v>199.9</v>
      </c>
      <c r="K144" s="30" t="n">
        <v>0.0017</v>
      </c>
      <c r="L144" s="29" t="n">
        <v>19.98999977111816</v>
      </c>
      <c r="M144" s="29" t="n">
        <v>0</v>
      </c>
      <c r="N144" s="2" t="n">
        <v>10</v>
      </c>
      <c r="O144" s="31" t="n">
        <v>30.28</v>
      </c>
      <c r="P144" s="32" t="n">
        <v>0.0036</v>
      </c>
      <c r="Q144" s="32" t="n">
        <v>0.1515</v>
      </c>
      <c r="R144" s="32" t="n">
        <v>0.037</v>
      </c>
      <c r="S144" s="31" t="n">
        <v>1.91</v>
      </c>
      <c r="T144" s="32" t="n">
        <v>0.52</v>
      </c>
      <c r="U144" s="31" t="n">
        <v>57.97</v>
      </c>
      <c r="V144" s="31" t="n">
        <v>57.97</v>
      </c>
      <c r="W144" s="3" t="n">
        <v>20687</v>
      </c>
      <c r="X144" s="3" t="n">
        <v>49</v>
      </c>
      <c r="Y144" s="32" t="n">
        <v>0.0024</v>
      </c>
      <c r="Z144" s="3" t="n">
        <v>3</v>
      </c>
      <c r="AA144" s="32" t="n">
        <v>0.0612</v>
      </c>
      <c r="AB144" s="3" t="inlineStr">
        <is>
          <t>All Items_Auto_Optiwise_24,Auto Campaign_Vinay</t>
        </is>
      </c>
      <c r="AC144" s="31" t="n">
        <v>0.62</v>
      </c>
      <c r="AD144" s="2" t="n">
        <v>18</v>
      </c>
      <c r="AE144" s="2" t="n">
        <v>106</v>
      </c>
      <c r="AF144" s="4" t="n">
        <v>57</v>
      </c>
      <c r="AG144" s="33" t="n">
        <v>141.93</v>
      </c>
      <c r="AH144" s="4" t="n">
        <v>7</v>
      </c>
      <c r="AI144" s="34" t="n">
        <v>0.1228</v>
      </c>
      <c r="AJ144" s="34" t="n">
        <v>0.71</v>
      </c>
      <c r="AK144" s="2" t="n">
        <v>1350</v>
      </c>
      <c r="AL144" t="inlineStr">
        <is>
          <t>Published</t>
        </is>
      </c>
    </row>
    <row r="145">
      <c r="A145">
        <f>HYPERLINK("https://www.walmart.com/ip/10294163517", "10294163517")</f>
        <v/>
      </c>
      <c r="B145">
        <f>HYPERLINK("https://app.optiwise.ai/catalog/itemdetails/10031978", "Wrangler Men’s Leather Country Casual Every Day Dress Belt for Jeans, Khakis Black 32")</f>
        <v/>
      </c>
      <c r="C145" t="inlineStr">
        <is>
          <t>WR-BELT-MENS-COUNTRY-BLACK-32</t>
        </is>
      </c>
      <c r="D145" t="inlineStr">
        <is>
          <t>Clothing</t>
        </is>
      </c>
      <c r="E145" t="inlineStr">
        <is>
          <t>Belts</t>
        </is>
      </c>
      <c r="F145" t="inlineStr">
        <is>
          <t>Wrangler</t>
        </is>
      </c>
      <c r="G145" t="n">
        <v>4.4</v>
      </c>
      <c r="H145" t="n">
        <v>11</v>
      </c>
      <c r="I145" t="inlineStr">
        <is>
          <t>Belts</t>
        </is>
      </c>
      <c r="J145" s="29" t="n">
        <v>196.91</v>
      </c>
      <c r="K145" s="30" t="n">
        <v>0.0017</v>
      </c>
      <c r="L145" s="29" t="n">
        <v>102.939998626709</v>
      </c>
      <c r="M145" s="29" t="n">
        <v>0</v>
      </c>
      <c r="N145" s="2" t="n">
        <v>10</v>
      </c>
      <c r="O145" s="31" t="n">
        <v>10.57</v>
      </c>
      <c r="P145" s="32" t="n">
        <v>0.0013</v>
      </c>
      <c r="Q145" s="32" t="n">
        <v>0.0537</v>
      </c>
      <c r="R145" s="32" t="n">
        <v>0.1839</v>
      </c>
      <c r="S145" s="31" t="n">
        <v>1.89</v>
      </c>
      <c r="T145" s="32" t="n">
        <v>0.53</v>
      </c>
      <c r="U145" s="31" t="n">
        <v>19.99</v>
      </c>
      <c r="V145" s="31" t="n">
        <v>19.99</v>
      </c>
      <c r="W145" s="3" t="n">
        <v>2409</v>
      </c>
      <c r="X145" s="3" t="n">
        <v>20</v>
      </c>
      <c r="Y145" s="32" t="n">
        <v>0.0083</v>
      </c>
      <c r="Z145" s="3" t="n">
        <v>1</v>
      </c>
      <c r="AA145" s="32" t="n">
        <v>0.05</v>
      </c>
      <c r="AB145" s="3" t="inlineStr">
        <is>
          <t>Belts Manual_Optiwise,Belts_Auto_Optiwise</t>
        </is>
      </c>
      <c r="AC145" s="31" t="n">
        <v>0.53</v>
      </c>
      <c r="AD145" s="2" t="n">
        <v>23</v>
      </c>
      <c r="AE145" s="2" t="n">
        <v>119</v>
      </c>
      <c r="AF145" s="4" t="n">
        <v>99</v>
      </c>
      <c r="AG145" s="33" t="n">
        <v>176.92</v>
      </c>
      <c r="AH145" s="4" t="n">
        <v>9</v>
      </c>
      <c r="AI145" s="34" t="n">
        <v>0.09089999999999999</v>
      </c>
      <c r="AJ145" s="34" t="n">
        <v>0.8985</v>
      </c>
      <c r="AK145" s="2" t="n">
        <v>1350</v>
      </c>
      <c r="AL145" t="inlineStr">
        <is>
          <t>Published</t>
        </is>
      </c>
    </row>
    <row r="146">
      <c r="A146">
        <f>HYPERLINK("https://www.walmart.com/ip/1815222738", "1815222738")</f>
        <v/>
      </c>
      <c r="B146">
        <f>HYPERLINK("https://app.optiwise.ai/catalog/itemdetails/958602", "Tirrinia Insulated Cooler Toto Lunch Bag, Thermos Organizer Container, Camo, 8.5 x 4 x 9.5")</f>
        <v/>
      </c>
      <c r="C146" t="inlineStr">
        <is>
          <t>1TRLB100CAMO</t>
        </is>
      </c>
      <c r="D146" t="inlineStr">
        <is>
          <t>Home Decor, Kitchen, &amp; Other</t>
        </is>
      </c>
      <c r="E146" t="inlineStr">
        <is>
          <t>Reusable Lunch Bags &amp; Boxes</t>
        </is>
      </c>
      <c r="F146" t="inlineStr">
        <is>
          <t>Tirrinia</t>
        </is>
      </c>
      <c r="G146" t="n">
        <v>4.7</v>
      </c>
      <c r="H146" t="n">
        <v>10</v>
      </c>
      <c r="I146" t="inlineStr">
        <is>
          <t>Q2-Target,Brand Camp VD,SEM,Batch 1 - TR</t>
        </is>
      </c>
      <c r="J146" s="29" t="n">
        <v>195.84</v>
      </c>
      <c r="K146" s="30" t="n">
        <v>0.0017</v>
      </c>
      <c r="L146" s="29" t="n">
        <v>10.98999977111816</v>
      </c>
      <c r="M146" s="29" t="n">
        <v>10.98999977111816</v>
      </c>
      <c r="N146" s="2" t="n">
        <v>16</v>
      </c>
      <c r="O146" s="31" t="n">
        <v>0</v>
      </c>
      <c r="P146" s="32" t="n"/>
      <c r="Q146" s="32" t="n">
        <v>0</v>
      </c>
      <c r="R146" s="32" t="n">
        <v>0.0463</v>
      </c>
      <c r="S146" s="31" t="n">
        <v>0</v>
      </c>
      <c r="T146" s="32" t="n">
        <v>0</v>
      </c>
      <c r="U146" s="31" t="n">
        <v>0</v>
      </c>
      <c r="V146" s="31" t="n">
        <v>0</v>
      </c>
      <c r="W146" s="3" t="n">
        <v>0</v>
      </c>
      <c r="X146" s="3" t="n">
        <v>0</v>
      </c>
      <c r="Y146" s="32" t="n">
        <v>0</v>
      </c>
      <c r="Z146" s="3" t="n">
        <v>0</v>
      </c>
      <c r="AA146" s="32" t="n">
        <v>0</v>
      </c>
      <c r="AB146" s="3" t="n"/>
      <c r="AC146" s="31" t="n">
        <v>0</v>
      </c>
      <c r="AD146" s="2" t="n">
        <v>135</v>
      </c>
      <c r="AE146" s="2" t="n">
        <v>125</v>
      </c>
      <c r="AF146" s="4" t="n">
        <v>125</v>
      </c>
      <c r="AG146" s="33" t="n">
        <v>195.84</v>
      </c>
      <c r="AH146" s="4" t="n">
        <v>16</v>
      </c>
      <c r="AI146" s="34" t="n">
        <v>0.128</v>
      </c>
      <c r="AJ146" s="34" t="n">
        <v>1</v>
      </c>
      <c r="AK146" s="2" t="n">
        <v>843</v>
      </c>
      <c r="AL146" t="inlineStr">
        <is>
          <t>Published</t>
        </is>
      </c>
    </row>
    <row r="147">
      <c r="A147">
        <f>HYPERLINK("https://www.walmart.com/ip/362803412", "362803412")</f>
        <v/>
      </c>
      <c r="B147">
        <f>HYPERLINK("https://app.optiwise.ai/catalog/itemdetails/416866", "Catalonia King Size Sherpa Comforter Set, Ultra-soft Reversible Fluffy Micromink Bedding Set-3 Pieces, 1 Comforter and 2 Pillow Shams, 90x103 inches")</f>
        <v/>
      </c>
      <c r="C147" t="inlineStr">
        <is>
          <t>1CTBQ300KI-PRD</t>
        </is>
      </c>
      <c r="D147" t="inlineStr">
        <is>
          <t>Bedding</t>
        </is>
      </c>
      <c r="E147" t="inlineStr">
        <is>
          <t>Bedding Sets</t>
        </is>
      </c>
      <c r="F147" t="inlineStr">
        <is>
          <t>Catalonia</t>
        </is>
      </c>
      <c r="G147" t="n">
        <v>0</v>
      </c>
      <c r="H147" t="n">
        <v>0</v>
      </c>
      <c r="I147" t="inlineStr">
        <is>
          <t>WFS,WFS Item</t>
        </is>
      </c>
      <c r="J147" s="29" t="n">
        <v>194.96</v>
      </c>
      <c r="K147" s="30" t="n">
        <v>0.0017</v>
      </c>
      <c r="L147" s="29" t="n">
        <v>0</v>
      </c>
      <c r="M147" s="29" t="n">
        <v>0</v>
      </c>
      <c r="N147" s="2" t="n">
        <v>4</v>
      </c>
      <c r="O147" s="31" t="n">
        <v>0.87</v>
      </c>
      <c r="P147" s="32" t="n">
        <v>0.0001</v>
      </c>
      <c r="Q147" s="32" t="n">
        <v>0.0045</v>
      </c>
      <c r="R147" s="32" t="n">
        <v>0.0502</v>
      </c>
      <c r="S147" s="31" t="n">
        <v>0</v>
      </c>
      <c r="T147" s="32" t="n">
        <v>0</v>
      </c>
      <c r="U147" s="31" t="n">
        <v>0</v>
      </c>
      <c r="V147" s="31" t="n">
        <v>0</v>
      </c>
      <c r="W147" s="3" t="n">
        <v>845</v>
      </c>
      <c r="X147" s="3" t="n">
        <v>4</v>
      </c>
      <c r="Y147" s="32" t="n">
        <v>0.0047</v>
      </c>
      <c r="Z147" s="3" t="n">
        <v>0</v>
      </c>
      <c r="AA147" s="32" t="n">
        <v>0</v>
      </c>
      <c r="AB147" s="3" t="inlineStr">
        <is>
          <t>Top Selling Last Year 2023</t>
        </is>
      </c>
      <c r="AC147" s="31" t="n">
        <v>0.22</v>
      </c>
      <c r="AD147" s="2" t="n">
        <v>181</v>
      </c>
      <c r="AE147" s="2" t="n">
        <v>101</v>
      </c>
      <c r="AF147" s="4" t="n">
        <v>97</v>
      </c>
      <c r="AG147" s="33" t="n">
        <v>194.96</v>
      </c>
      <c r="AH147" s="4" t="n">
        <v>4</v>
      </c>
      <c r="AI147" s="34" t="n">
        <v>0.0412</v>
      </c>
      <c r="AJ147" s="34" t="n">
        <v>1</v>
      </c>
      <c r="AK147" s="2" t="n">
        <v>472</v>
      </c>
      <c r="AL147" t="inlineStr">
        <is>
          <t>Published</t>
        </is>
      </c>
    </row>
    <row r="148">
      <c r="A148">
        <f>HYPERLINK("https://www.walmart.com/ip/299857615", "299857615")</f>
        <v/>
      </c>
      <c r="B148">
        <f>HYPERLINK("https://app.optiwise.ai/catalog/itemdetails/418774", "Kritter Planet Waterproof Dog Blanket for Couch, Washable Pet Couch Cover, Non-slip Bed Sofa Furniture Protector Mat, Gray, 30''x50''.")</f>
        <v/>
      </c>
      <c r="C148" t="inlineStr">
        <is>
          <t>1KPBW356GY</t>
        </is>
      </c>
      <c r="D148" t="inlineStr">
        <is>
          <t>Animal Accessories</t>
        </is>
      </c>
      <c r="E148" t="inlineStr">
        <is>
          <t>Pet Blankets</t>
        </is>
      </c>
      <c r="F148" t="inlineStr">
        <is>
          <t>Kritter Planet</t>
        </is>
      </c>
      <c r="G148" t="n">
        <v>3.4</v>
      </c>
      <c r="H148" t="n">
        <v>5</v>
      </c>
      <c r="I148" t="inlineStr">
        <is>
          <t>Q2-Target,Optimized</t>
        </is>
      </c>
      <c r="J148" s="29" t="n">
        <v>194.87</v>
      </c>
      <c r="K148" s="30" t="n">
        <v>0.0017</v>
      </c>
      <c r="L148" s="29" t="n">
        <v>0</v>
      </c>
      <c r="M148" s="29" t="n">
        <v>0</v>
      </c>
      <c r="N148" s="2" t="n">
        <v>13</v>
      </c>
      <c r="O148" s="31" t="n">
        <v>2.23</v>
      </c>
      <c r="P148" s="32" t="n">
        <v>0.0003</v>
      </c>
      <c r="Q148" s="32" t="n">
        <v>0.0114</v>
      </c>
      <c r="R148" s="32" t="n">
        <v>0.1419</v>
      </c>
      <c r="S148" s="31" t="n">
        <v>0</v>
      </c>
      <c r="T148" s="32" t="n">
        <v>0</v>
      </c>
      <c r="U148" s="31" t="n">
        <v>0</v>
      </c>
      <c r="V148" s="31" t="n">
        <v>0</v>
      </c>
      <c r="W148" s="3" t="n">
        <v>10330</v>
      </c>
      <c r="X148" s="3" t="n">
        <v>11</v>
      </c>
      <c r="Y148" s="32" t="n">
        <v>0.0011</v>
      </c>
      <c r="Z148" s="3" t="n">
        <v>0</v>
      </c>
      <c r="AA148" s="32" t="n">
        <v>0</v>
      </c>
      <c r="AB148" s="3" t="inlineStr">
        <is>
          <t>Auto for BW PET 2 ---Rachel</t>
        </is>
      </c>
      <c r="AC148" s="31" t="n">
        <v>0.2</v>
      </c>
      <c r="AD148" s="2" t="n">
        <v>25</v>
      </c>
      <c r="AE148" s="2" t="n">
        <v>66</v>
      </c>
      <c r="AF148" s="4" t="n">
        <v>55</v>
      </c>
      <c r="AG148" s="33" t="n">
        <v>194.87</v>
      </c>
      <c r="AH148" s="4" t="n">
        <v>13</v>
      </c>
      <c r="AI148" s="34" t="n">
        <v>0.2364</v>
      </c>
      <c r="AJ148" s="34" t="n">
        <v>1</v>
      </c>
      <c r="AK148" s="2" t="n">
        <v>1038</v>
      </c>
      <c r="AL148" t="inlineStr">
        <is>
          <t>Published</t>
        </is>
      </c>
    </row>
    <row r="149">
      <c r="A149">
        <f>HYPERLINK("https://www.walmart.com/ip/908265210", "908265210")</f>
        <v/>
      </c>
      <c r="B149">
        <f>HYPERLINK("https://app.optiwise.ai/catalog/itemdetails/412493", "Tirrinia Waterproof Outdoor Blanket with Sherpa Lining, Windproof Triple Layers Warm Comfy Foldable for Camping  Stadium, Sports, Picnic, Grass, Concerts, Pet, 51''X 59'',Light Grey")</f>
        <v/>
      </c>
      <c r="C149" t="inlineStr">
        <is>
          <t>1TRBW506LGDG-CDCB</t>
        </is>
      </c>
      <c r="D149" t="inlineStr">
        <is>
          <t>Sport &amp; Recreation Other</t>
        </is>
      </c>
      <c r="E149" t="inlineStr">
        <is>
          <t>Picnic Blankets &amp; Mats</t>
        </is>
      </c>
      <c r="F149" t="inlineStr">
        <is>
          <t>Tirrinia</t>
        </is>
      </c>
      <c r="G149" t="n">
        <v>0</v>
      </c>
      <c r="H149" t="n">
        <v>0</v>
      </c>
      <c r="I149" t="inlineStr">
        <is>
          <t>Optimized,SEM</t>
        </is>
      </c>
      <c r="J149" s="29" t="n">
        <v>193.92</v>
      </c>
      <c r="K149" s="30" t="n">
        <v>0.0017</v>
      </c>
      <c r="L149" s="29" t="n">
        <v>141.9499988555908</v>
      </c>
      <c r="M149" s="29" t="n">
        <v>36.97999954223633</v>
      </c>
      <c r="N149" s="2" t="n">
        <v>6</v>
      </c>
      <c r="O149" s="31" t="n">
        <v>71.03999999999999</v>
      </c>
      <c r="P149" s="32" t="n">
        <v>0.008500000000000001</v>
      </c>
      <c r="Q149" s="32" t="n">
        <v>0.3663</v>
      </c>
      <c r="R149" s="32" t="n">
        <v>0.012</v>
      </c>
      <c r="S149" s="31" t="n">
        <v>2.53</v>
      </c>
      <c r="T149" s="32" t="n">
        <v>0.39</v>
      </c>
      <c r="U149" s="31" t="n">
        <v>179.94</v>
      </c>
      <c r="V149" s="31" t="n">
        <v>179.94</v>
      </c>
      <c r="W149" s="3" t="n">
        <v>52783</v>
      </c>
      <c r="X149" s="3" t="n">
        <v>164</v>
      </c>
      <c r="Y149" s="32" t="n">
        <v>0.0031</v>
      </c>
      <c r="Z149" s="3" t="n">
        <v>6</v>
      </c>
      <c r="AA149" s="32" t="n">
        <v>0.0366</v>
      </c>
      <c r="AB149" s="3" t="inlineStr">
        <is>
          <t>1TRBW506LGDG-CDCB_Manual,Throws_Auto_Optiwise_24</t>
        </is>
      </c>
      <c r="AC149" s="31" t="n">
        <v>0.43</v>
      </c>
      <c r="AD149" s="2" t="n">
        <v>153</v>
      </c>
      <c r="AE149" s="2" t="n">
        <v>441</v>
      </c>
      <c r="AF149" s="4" t="n">
        <v>277</v>
      </c>
      <c r="AG149" s="33" t="n">
        <v>13.97999999999996</v>
      </c>
      <c r="AH149" s="4" t="n">
        <v>0</v>
      </c>
      <c r="AI149" s="34" t="n"/>
      <c r="AJ149" s="34" t="n">
        <v>0.0721</v>
      </c>
      <c r="AK149" s="2" t="n">
        <v>2565</v>
      </c>
      <c r="AL149" t="inlineStr">
        <is>
          <t>Published</t>
        </is>
      </c>
    </row>
    <row r="150">
      <c r="A150">
        <f>HYPERLINK("https://www.walmart.com/ip/2293955752", "2293955752")</f>
        <v/>
      </c>
      <c r="B150">
        <f>HYPERLINK("https://app.optiwise.ai/catalog/itemdetails/7388656", "Tirrinia Insulated Lunch Bag for Women and Men, Double-Layer Leak-Proof Reusable Lunch Box with 4 Pockets, Large Double Layer, 17L, Black, 9.85 x 8.72 x 10.63")</f>
        <v/>
      </c>
      <c r="C150" t="inlineStr">
        <is>
          <t>1TRLB701BK-D</t>
        </is>
      </c>
      <c r="D150" t="inlineStr">
        <is>
          <t>Home Decor, Kitchen, &amp; Other</t>
        </is>
      </c>
      <c r="E150" t="inlineStr">
        <is>
          <t>Reusable Lunch Bags &amp; Boxes</t>
        </is>
      </c>
      <c r="F150" t="inlineStr">
        <is>
          <t>Tirrinia</t>
        </is>
      </c>
      <c r="G150" t="n">
        <v>0</v>
      </c>
      <c r="H150" t="n">
        <v>0</v>
      </c>
      <c r="I150" t="inlineStr">
        <is>
          <t>Q2-Target</t>
        </is>
      </c>
      <c r="J150" s="29" t="n">
        <v>193.88</v>
      </c>
      <c r="K150" s="30" t="n">
        <v>0.0017</v>
      </c>
      <c r="L150" s="29" t="n">
        <v>0</v>
      </c>
      <c r="M150" s="29" t="n">
        <v>0</v>
      </c>
      <c r="N150" s="2" t="n">
        <v>10</v>
      </c>
      <c r="O150" s="31" t="n">
        <v>0</v>
      </c>
      <c r="P150" s="32" t="n"/>
      <c r="Q150" s="32" t="n">
        <v>0</v>
      </c>
      <c r="R150" s="32" t="n">
        <v>0.1708</v>
      </c>
      <c r="S150" s="31" t="n">
        <v>0</v>
      </c>
      <c r="T150" s="32" t="n">
        <v>0</v>
      </c>
      <c r="U150" s="31" t="n">
        <v>0</v>
      </c>
      <c r="V150" s="31" t="n">
        <v>0</v>
      </c>
      <c r="W150" s="3" t="n">
        <v>0</v>
      </c>
      <c r="X150" s="3" t="n">
        <v>0</v>
      </c>
      <c r="Y150" s="32" t="n">
        <v>0</v>
      </c>
      <c r="Z150" s="3" t="n">
        <v>0</v>
      </c>
      <c r="AA150" s="32" t="n">
        <v>0</v>
      </c>
      <c r="AB150" s="3" t="n"/>
      <c r="AC150" s="31" t="n">
        <v>0</v>
      </c>
      <c r="AD150" s="2" t="n">
        <v>67</v>
      </c>
      <c r="AE150" s="2" t="n">
        <v>102</v>
      </c>
      <c r="AF150" s="4" t="n">
        <v>102</v>
      </c>
      <c r="AG150" s="33" t="n">
        <v>193.88</v>
      </c>
      <c r="AH150" s="4" t="n">
        <v>10</v>
      </c>
      <c r="AI150" s="34" t="n">
        <v>0.098</v>
      </c>
      <c r="AJ150" s="34" t="n">
        <v>1</v>
      </c>
      <c r="AK150" s="2" t="n">
        <v>1350</v>
      </c>
      <c r="AL150" t="inlineStr">
        <is>
          <t>Published</t>
        </is>
      </c>
    </row>
    <row r="151">
      <c r="A151">
        <f>HYPERLINK("https://www.walmart.com/ip/683624021", "683624021")</f>
        <v/>
      </c>
      <c r="B151">
        <f>HYPERLINK("https://app.optiwise.ai/catalog/itemdetails/362131", "Solaris Sun Hat for Women with Neck Flap, Wide Brim, UV Protection UPF 50+, Foldable Fishing Cap with 2 Replaceable Ribbons for Outdoor Camping, Traveling, and Hiking, White")</f>
        <v/>
      </c>
      <c r="C151" t="inlineStr">
        <is>
          <t>1SLSH922WH</t>
        </is>
      </c>
      <c r="D151" t="inlineStr">
        <is>
          <t>Clothing</t>
        </is>
      </c>
      <c r="E151" t="inlineStr">
        <is>
          <t>Hats</t>
        </is>
      </c>
      <c r="F151" t="inlineStr">
        <is>
          <t>Solaris</t>
        </is>
      </c>
      <c r="G151" t="n">
        <v>4.5</v>
      </c>
      <c r="H151" t="n">
        <v>62</v>
      </c>
      <c r="I151" t="inlineStr">
        <is>
          <t>Q2-Target,WFS,Hats,WFS Item</t>
        </is>
      </c>
      <c r="J151" s="29" t="n">
        <v>193.88</v>
      </c>
      <c r="K151" s="30" t="n">
        <v>0.0017</v>
      </c>
      <c r="L151" s="29" t="n">
        <v>35.97999954223633</v>
      </c>
      <c r="M151" s="29" t="n">
        <v>0</v>
      </c>
      <c r="N151" s="2" t="n">
        <v>10</v>
      </c>
      <c r="O151" s="31" t="n">
        <v>13.42</v>
      </c>
      <c r="P151" s="32" t="n">
        <v>0.0016</v>
      </c>
      <c r="Q151" s="32" t="n">
        <v>0.0692</v>
      </c>
      <c r="R151" s="32" t="n">
        <v>0</v>
      </c>
      <c r="S151" s="31" t="n">
        <v>2.53</v>
      </c>
      <c r="T151" s="32" t="n">
        <v>0.39</v>
      </c>
      <c r="U151" s="31" t="n">
        <v>33.98</v>
      </c>
      <c r="V151" s="31" t="n">
        <v>33.98</v>
      </c>
      <c r="W151" s="3" t="n">
        <v>18004</v>
      </c>
      <c r="X151" s="3" t="n">
        <v>33</v>
      </c>
      <c r="Y151" s="32" t="n">
        <v>0.0018</v>
      </c>
      <c r="Z151" s="3" t="n">
        <v>2</v>
      </c>
      <c r="AA151" s="32" t="n">
        <v>0.0606</v>
      </c>
      <c r="AB151" s="3" t="inlineStr">
        <is>
          <t>Need to sell these SKUs by 15th Feb</t>
        </is>
      </c>
      <c r="AC151" s="31" t="n">
        <v>0.41</v>
      </c>
      <c r="AD151" s="2" t="n">
        <v>114</v>
      </c>
      <c r="AE151" s="2" t="n">
        <v>105</v>
      </c>
      <c r="AF151" s="4" t="n">
        <v>72</v>
      </c>
      <c r="AG151" s="33" t="n">
        <v>159.9</v>
      </c>
      <c r="AH151" s="4" t="n">
        <v>8</v>
      </c>
      <c r="AI151" s="34" t="n">
        <v>0.1111</v>
      </c>
      <c r="AJ151" s="34" t="n">
        <v>0.8247</v>
      </c>
      <c r="AK151" s="2" t="n">
        <v>1579</v>
      </c>
      <c r="AL151" t="inlineStr">
        <is>
          <t>Published</t>
        </is>
      </c>
    </row>
    <row r="152">
      <c r="A152">
        <f>HYPERLINK("https://www.walmart.com/ip/991591501", "991591501")</f>
        <v/>
      </c>
      <c r="B152">
        <f>HYPERLINK("https://app.optiwise.ai/catalog/itemdetails/361412", "Sun Blocker Sun Hats for Women Summer Beach Flap Hat Large Brim Packable Blue")</f>
        <v/>
      </c>
      <c r="C152" t="inlineStr">
        <is>
          <t>KC-S9201-BL</t>
        </is>
      </c>
      <c r="D152" t="inlineStr">
        <is>
          <t>Clothing</t>
        </is>
      </c>
      <c r="E152" t="inlineStr">
        <is>
          <t>Hats</t>
        </is>
      </c>
      <c r="F152" t="inlineStr">
        <is>
          <t>Sun Blocker</t>
        </is>
      </c>
      <c r="G152" t="n">
        <v>4.7</v>
      </c>
      <c r="H152" t="n">
        <v>11</v>
      </c>
      <c r="I152" t="inlineStr">
        <is>
          <t>Q2-Target,Hats,Batch 1 - TR</t>
        </is>
      </c>
      <c r="J152" s="29" t="n">
        <v>193.88</v>
      </c>
      <c r="K152" s="30" t="n">
        <v>0.0017</v>
      </c>
      <c r="L152" s="29" t="n">
        <v>31.97999954223633</v>
      </c>
      <c r="M152" s="29" t="n">
        <v>0</v>
      </c>
      <c r="N152" s="2" t="n">
        <v>12</v>
      </c>
      <c r="O152" s="31" t="n">
        <v>0</v>
      </c>
      <c r="P152" s="32" t="n"/>
      <c r="Q152" s="32" t="n">
        <v>0</v>
      </c>
      <c r="R152" s="32" t="n">
        <v>0.0727</v>
      </c>
      <c r="S152" s="31" t="n">
        <v>0</v>
      </c>
      <c r="T152" s="32" t="n">
        <v>0</v>
      </c>
      <c r="U152" s="31" t="n">
        <v>0</v>
      </c>
      <c r="V152" s="31" t="n">
        <v>0</v>
      </c>
      <c r="W152" s="3" t="n">
        <v>0</v>
      </c>
      <c r="X152" s="3" t="n">
        <v>0</v>
      </c>
      <c r="Y152" s="32" t="n">
        <v>0</v>
      </c>
      <c r="Z152" s="3" t="n">
        <v>0</v>
      </c>
      <c r="AA152" s="32" t="n">
        <v>0</v>
      </c>
      <c r="AB152" s="3" t="n"/>
      <c r="AC152" s="31" t="n">
        <v>0</v>
      </c>
      <c r="AD152" s="2" t="n">
        <v>85</v>
      </c>
      <c r="AE152" s="2" t="n">
        <v>102</v>
      </c>
      <c r="AF152" s="4" t="n">
        <v>102</v>
      </c>
      <c r="AG152" s="33" t="n">
        <v>193.88</v>
      </c>
      <c r="AH152" s="4" t="n">
        <v>12</v>
      </c>
      <c r="AI152" s="34" t="n">
        <v>0.1176</v>
      </c>
      <c r="AJ152" s="34" t="n">
        <v>1</v>
      </c>
      <c r="AK152" s="2" t="n">
        <v>225</v>
      </c>
      <c r="AL152" t="inlineStr">
        <is>
          <t>Published</t>
        </is>
      </c>
    </row>
    <row r="153">
      <c r="A153">
        <f>HYPERLINK("https://www.walmart.com/ip/321449528", "321449528")</f>
        <v/>
      </c>
      <c r="B153">
        <f>HYPERLINK("https://app.optiwise.ai/catalog/itemdetails/361392", "Tirrinia Small Unisex Insulated Lunch Bag for Adults and Kids, Splash-Proof Reusable Snack Box, Purple")</f>
        <v/>
      </c>
      <c r="C153" t="inlineStr">
        <is>
          <t>1TRLB100PP</t>
        </is>
      </c>
      <c r="D153" t="inlineStr">
        <is>
          <t>Home Decor, Kitchen, &amp; Other</t>
        </is>
      </c>
      <c r="E153" t="inlineStr">
        <is>
          <t>Reusable Lunch Bags &amp; Boxes</t>
        </is>
      </c>
      <c r="F153" t="inlineStr">
        <is>
          <t>Tirrinia</t>
        </is>
      </c>
      <c r="G153" t="n">
        <v>4.8</v>
      </c>
      <c r="H153" t="n">
        <v>13</v>
      </c>
      <c r="I153" t="inlineStr">
        <is>
          <t>Q2-Target,Lunch Bag,Optimized,SEM</t>
        </is>
      </c>
      <c r="J153" s="29" t="n">
        <v>193.78</v>
      </c>
      <c r="K153" s="30" t="n">
        <v>0.0017</v>
      </c>
      <c r="L153" s="29" t="n">
        <v>0</v>
      </c>
      <c r="M153" s="29" t="n">
        <v>0</v>
      </c>
      <c r="N153" s="2" t="n">
        <v>12</v>
      </c>
      <c r="O153" s="31" t="n">
        <v>0</v>
      </c>
      <c r="P153" s="32" t="n"/>
      <c r="Q153" s="32" t="n">
        <v>0</v>
      </c>
      <c r="R153" s="32" t="n">
        <v>0.0617</v>
      </c>
      <c r="S153" s="31" t="n">
        <v>0</v>
      </c>
      <c r="T153" s="32" t="n">
        <v>0</v>
      </c>
      <c r="U153" s="31" t="n">
        <v>0</v>
      </c>
      <c r="V153" s="31" t="n">
        <v>0</v>
      </c>
      <c r="W153" s="3" t="n">
        <v>0</v>
      </c>
      <c r="X153" s="3" t="n">
        <v>0</v>
      </c>
      <c r="Y153" s="32" t="n">
        <v>0</v>
      </c>
      <c r="Z153" s="3" t="n">
        <v>0</v>
      </c>
      <c r="AA153" s="32" t="n">
        <v>0</v>
      </c>
      <c r="AB153" s="3" t="n"/>
      <c r="AC153" s="31" t="n">
        <v>0</v>
      </c>
      <c r="AD153" s="2" t="n">
        <v>57</v>
      </c>
      <c r="AE153" s="2" t="n">
        <v>69</v>
      </c>
      <c r="AF153" s="4" t="n">
        <v>69</v>
      </c>
      <c r="AG153" s="33" t="n">
        <v>193.78</v>
      </c>
      <c r="AH153" s="4" t="n">
        <v>12</v>
      </c>
      <c r="AI153" s="34" t="n">
        <v>0.1739</v>
      </c>
      <c r="AJ153" s="34" t="n">
        <v>1</v>
      </c>
      <c r="AK153" s="2" t="n">
        <v>1237</v>
      </c>
      <c r="AL153" t="inlineStr">
        <is>
          <t>Published</t>
        </is>
      </c>
    </row>
    <row r="154">
      <c r="A154">
        <f>HYPERLINK("https://www.walmart.com/ip/697661347", "697661347")</f>
        <v/>
      </c>
      <c r="B154">
        <f>HYPERLINK("https://app.optiwise.ai/catalog/itemdetails/361462", "Flyingstar Lunch Bag for Women Men, Insulated Lunch Tote for Working/School/Picnic Fashionable Cooler Bag")</f>
        <v/>
      </c>
      <c r="C154" t="inlineStr">
        <is>
          <t>1WMLB704BLFL</t>
        </is>
      </c>
      <c r="D154" t="inlineStr">
        <is>
          <t>Home Decor, Kitchen, &amp; Other</t>
        </is>
      </c>
      <c r="E154" t="inlineStr">
        <is>
          <t>Reusable Lunch Bags &amp; Boxes</t>
        </is>
      </c>
      <c r="F154" t="inlineStr">
        <is>
          <t>Flyingstar</t>
        </is>
      </c>
      <c r="G154" t="n">
        <v>0</v>
      </c>
      <c r="H154" t="n">
        <v>0</v>
      </c>
      <c r="I154" t="inlineStr">
        <is>
          <t>Lunch Bag</t>
        </is>
      </c>
      <c r="J154" s="29" t="n">
        <v>190.8</v>
      </c>
      <c r="K154" s="30" t="n">
        <v>0.0016</v>
      </c>
      <c r="L154" s="29" t="n">
        <v>0</v>
      </c>
      <c r="M154" s="29" t="n">
        <v>0</v>
      </c>
      <c r="N154" s="2" t="n">
        <v>19</v>
      </c>
      <c r="O154" s="31" t="n">
        <v>0</v>
      </c>
      <c r="P154" s="32" t="n"/>
      <c r="Q154" s="32" t="n">
        <v>0</v>
      </c>
      <c r="R154" s="32" t="n">
        <v>0</v>
      </c>
      <c r="S154" s="31" t="n">
        <v>0</v>
      </c>
      <c r="T154" s="32" t="n">
        <v>0</v>
      </c>
      <c r="U154" s="31" t="n">
        <v>0</v>
      </c>
      <c r="V154" s="31" t="n">
        <v>0</v>
      </c>
      <c r="W154" s="3" t="n">
        <v>0</v>
      </c>
      <c r="X154" s="3" t="n">
        <v>0</v>
      </c>
      <c r="Y154" s="32" t="n">
        <v>0</v>
      </c>
      <c r="Z154" s="3" t="n">
        <v>0</v>
      </c>
      <c r="AA154" s="32" t="n">
        <v>0</v>
      </c>
      <c r="AB154" s="3" t="n"/>
      <c r="AC154" s="31" t="n">
        <v>0</v>
      </c>
      <c r="AD154" s="2" t="n">
        <v>912</v>
      </c>
      <c r="AE154" s="2" t="n">
        <v>407</v>
      </c>
      <c r="AF154" s="4" t="n">
        <v>505</v>
      </c>
      <c r="AG154" s="33" t="n">
        <v>190.8</v>
      </c>
      <c r="AH154" s="4" t="n">
        <v>19</v>
      </c>
      <c r="AI154" s="34" t="n">
        <v>0.0376</v>
      </c>
      <c r="AJ154" s="34" t="n">
        <v>1</v>
      </c>
      <c r="AK154" s="2" t="n">
        <v>710</v>
      </c>
      <c r="AL154" t="inlineStr">
        <is>
          <t>Published</t>
        </is>
      </c>
    </row>
    <row r="155">
      <c r="A155">
        <f>HYPERLINK("https://www.walmart.com/ip/409075977", "409075977")</f>
        <v/>
      </c>
      <c r="B155">
        <f>HYPERLINK("https://app.optiwise.ai/catalog/itemdetails/360495", "Solaris Ski Gloves, Winter Warm 3M Insulation Waterproof Snow Gloves for Skiing, Snowboarding, Motorcycling,Cycling, Outdoor Sports, Gifts for Men, Size Run Small")</f>
        <v/>
      </c>
      <c r="C155" t="inlineStr">
        <is>
          <t>1SLWG300BKXL</t>
        </is>
      </c>
      <c r="D155" t="inlineStr">
        <is>
          <t>Clothing</t>
        </is>
      </c>
      <c r="E155" t="inlineStr">
        <is>
          <t>Gloves &amp; Mittens</t>
        </is>
      </c>
      <c r="F155" t="inlineStr">
        <is>
          <t>Solaris</t>
        </is>
      </c>
      <c r="G155" t="n">
        <v>0</v>
      </c>
      <c r="H155" t="n">
        <v>0</v>
      </c>
      <c r="I155" t="inlineStr">
        <is>
          <t>Gloves,Batch 1 - TR</t>
        </is>
      </c>
      <c r="J155" s="29" t="n">
        <v>188.91</v>
      </c>
      <c r="K155" s="30" t="n">
        <v>0.0016</v>
      </c>
      <c r="L155" s="29" t="n">
        <v>41.97999954223633</v>
      </c>
      <c r="M155" s="29" t="n">
        <v>0</v>
      </c>
      <c r="N155" s="2" t="n">
        <v>9</v>
      </c>
      <c r="O155" s="31" t="n">
        <v>0</v>
      </c>
      <c r="P155" s="32" t="n"/>
      <c r="Q155" s="32" t="n">
        <v>0</v>
      </c>
      <c r="R155" s="32" t="n">
        <v>0</v>
      </c>
      <c r="S155" s="31" t="n">
        <v>0</v>
      </c>
      <c r="T155" s="32" t="n">
        <v>0</v>
      </c>
      <c r="U155" s="31" t="n">
        <v>0</v>
      </c>
      <c r="V155" s="31" t="n">
        <v>0</v>
      </c>
      <c r="W155" s="3" t="n">
        <v>0</v>
      </c>
      <c r="X155" s="3" t="n">
        <v>0</v>
      </c>
      <c r="Y155" s="32" t="n">
        <v>0</v>
      </c>
      <c r="Z155" s="3" t="n">
        <v>0</v>
      </c>
      <c r="AA155" s="32" t="n">
        <v>0</v>
      </c>
      <c r="AB155" s="3" t="n"/>
      <c r="AC155" s="31" t="n">
        <v>0</v>
      </c>
      <c r="AD155" s="2" t="n">
        <v>9</v>
      </c>
      <c r="AE155" s="2" t="n">
        <v>31</v>
      </c>
      <c r="AF155" s="4" t="n">
        <v>31</v>
      </c>
      <c r="AG155" s="33" t="n">
        <v>188.91</v>
      </c>
      <c r="AH155" s="4" t="n">
        <v>9</v>
      </c>
      <c r="AI155" s="34" t="n">
        <v>0.2903</v>
      </c>
      <c r="AJ155" s="34" t="n">
        <v>1</v>
      </c>
      <c r="AK155" s="2" t="n">
        <v>1500</v>
      </c>
      <c r="AL155" t="inlineStr">
        <is>
          <t>Published</t>
        </is>
      </c>
    </row>
    <row r="156">
      <c r="A156">
        <f>HYPERLINK("https://www.walmart.com/ip/714861789", "714861789")</f>
        <v/>
      </c>
      <c r="B156">
        <f>HYPERLINK("https://app.optiwise.ai/catalog/itemdetails/418779", "Kritter Planet Waterproof Dog Blanket for Couch, Washable Pet Couch Cover, Non-slip Bed Sofa Furniture Protector Mat, Grey, 60''x50''.")</f>
        <v/>
      </c>
      <c r="C156" t="inlineStr">
        <is>
          <t>1KPBW566GY</t>
        </is>
      </c>
      <c r="D156" t="inlineStr">
        <is>
          <t>Animal Accessories</t>
        </is>
      </c>
      <c r="E156" t="inlineStr">
        <is>
          <t>Pet Blankets</t>
        </is>
      </c>
      <c r="F156" t="inlineStr">
        <is>
          <t>Kritter Planet</t>
        </is>
      </c>
      <c r="G156" t="n">
        <v>0</v>
      </c>
      <c r="H156" t="n">
        <v>0</v>
      </c>
      <c r="I156" t="inlineStr">
        <is>
          <t>Q2-Target,Optimized,SEM</t>
        </is>
      </c>
      <c r="J156" s="29" t="n">
        <v>186.9</v>
      </c>
      <c r="K156" s="30" t="n">
        <v>0.0016</v>
      </c>
      <c r="L156" s="29" t="n">
        <v>39.97999954223633</v>
      </c>
      <c r="M156" s="29" t="n">
        <v>0</v>
      </c>
      <c r="N156" s="2" t="n">
        <v>9</v>
      </c>
      <c r="O156" s="31" t="n">
        <v>11.68</v>
      </c>
      <c r="P156" s="32" t="n">
        <v>0.0014</v>
      </c>
      <c r="Q156" s="32" t="n">
        <v>0.0625</v>
      </c>
      <c r="R156" s="32" t="n">
        <v>0.1027</v>
      </c>
      <c r="S156" s="31" t="n">
        <v>14.21</v>
      </c>
      <c r="T156" s="32" t="n">
        <v>0.07000000000000001</v>
      </c>
      <c r="U156" s="31" t="n">
        <v>165.92</v>
      </c>
      <c r="V156" s="31" t="n">
        <v>151.93</v>
      </c>
      <c r="W156" s="3" t="n">
        <v>11107</v>
      </c>
      <c r="X156" s="3" t="n">
        <v>29</v>
      </c>
      <c r="Y156" s="32" t="n">
        <v>0.0026</v>
      </c>
      <c r="Z156" s="3" t="n">
        <v>8</v>
      </c>
      <c r="AA156" s="32" t="n">
        <v>0.2759</v>
      </c>
      <c r="AB156" s="3" t="inlineStr">
        <is>
          <t>Auto for BW PET 2 ---Rachel,Pet Blankets_Auto_Optiwise_24</t>
        </is>
      </c>
      <c r="AC156" s="31" t="n">
        <v>0.4</v>
      </c>
      <c r="AD156" s="2" t="n">
        <v>89</v>
      </c>
      <c r="AE156" s="2" t="n">
        <v>67</v>
      </c>
      <c r="AF156" s="4" t="n">
        <v>38</v>
      </c>
      <c r="AG156" s="33" t="n">
        <v>20.98000000000002</v>
      </c>
      <c r="AH156" s="4" t="n">
        <v>1</v>
      </c>
      <c r="AI156" s="34" t="n">
        <v>0.0263</v>
      </c>
      <c r="AJ156" s="34" t="n">
        <v>0.1123</v>
      </c>
      <c r="AK156" s="2" t="n">
        <v>1500</v>
      </c>
      <c r="AL156" t="inlineStr">
        <is>
          <t>Published</t>
        </is>
      </c>
    </row>
    <row r="157">
      <c r="A157">
        <f>HYPERLINK("https://www.walmart.com/ip/313649376", "313649376")</f>
        <v/>
      </c>
      <c r="B157">
        <f>HYPERLINK("https://app.optiwise.ai/catalog/itemdetails/361463", "Tirrinia Insulated Wine Carrier Tote - Travel Padded 2 Bottle Wine/ Champagne Cooler Bag with Handle and Adjustable Shoulder Strap, Great Wine Lover Gift, Brown")</f>
        <v/>
      </c>
      <c r="C157" t="inlineStr">
        <is>
          <t>1TRWB211BR</t>
        </is>
      </c>
      <c r="D157" t="inlineStr">
        <is>
          <t>Home Decor, Kitchen, &amp; Other</t>
        </is>
      </c>
      <c r="E157" t="inlineStr">
        <is>
          <t>Wine Totes, Bags &amp; Backpacks</t>
        </is>
      </c>
      <c r="F157" t="inlineStr">
        <is>
          <t>Tirrinia</t>
        </is>
      </c>
      <c r="G157" t="n">
        <v>5</v>
      </c>
      <c r="H157" t="n">
        <v>1</v>
      </c>
      <c r="I157" t="inlineStr">
        <is>
          <t>Wine,Christmas,Optimized,Valentine,Lily Brand Camp</t>
        </is>
      </c>
      <c r="J157" s="29" t="n">
        <v>186.89</v>
      </c>
      <c r="K157" s="30" t="n">
        <v>0.0016</v>
      </c>
      <c r="L157" s="29" t="n">
        <v>17.98999977111816</v>
      </c>
      <c r="M157" s="29" t="n">
        <v>24.97999954223633</v>
      </c>
      <c r="N157" s="2" t="n">
        <v>10</v>
      </c>
      <c r="O157" s="31" t="n">
        <v>12.92</v>
      </c>
      <c r="P157" s="32" t="n">
        <v>0.0015</v>
      </c>
      <c r="Q157" s="32" t="n">
        <v>0.06909999999999999</v>
      </c>
      <c r="R157" s="32" t="n">
        <v>0.0262</v>
      </c>
      <c r="S157" s="31" t="n">
        <v>1.39</v>
      </c>
      <c r="T157" s="32" t="n">
        <v>0.72</v>
      </c>
      <c r="U157" s="31" t="n">
        <v>17.99</v>
      </c>
      <c r="V157" s="31" t="n">
        <v>17.99</v>
      </c>
      <c r="W157" s="3" t="n">
        <v>22044</v>
      </c>
      <c r="X157" s="3" t="n">
        <v>33</v>
      </c>
      <c r="Y157" s="32" t="n">
        <v>0.0015</v>
      </c>
      <c r="Z157" s="3" t="n">
        <v>1</v>
      </c>
      <c r="AA157" s="32" t="n">
        <v>0.0303</v>
      </c>
      <c r="AB157" s="3" t="inlineStr">
        <is>
          <t>Auto Campaign_Vinay</t>
        </is>
      </c>
      <c r="AC157" s="31" t="n">
        <v>0.39</v>
      </c>
      <c r="AD157" s="2" t="n">
        <v>144</v>
      </c>
      <c r="AE157" s="2" t="n">
        <v>87</v>
      </c>
      <c r="AF157" s="4" t="n">
        <v>54</v>
      </c>
      <c r="AG157" s="33" t="n">
        <v>168.9</v>
      </c>
      <c r="AH157" s="4" t="n">
        <v>9</v>
      </c>
      <c r="AI157" s="34" t="n">
        <v>0.1667</v>
      </c>
      <c r="AJ157" s="34" t="n">
        <v>0.9036999999999999</v>
      </c>
      <c r="AK157" s="2" t="n">
        <v>1350</v>
      </c>
      <c r="AL157" t="inlineStr">
        <is>
          <t>Published</t>
        </is>
      </c>
    </row>
    <row r="158">
      <c r="A158">
        <f>HYPERLINK("https://www.walmart.com/ip/2798867763", "2798867763")</f>
        <v/>
      </c>
      <c r="B158">
        <f>HYPERLINK("https://app.optiwise.ai/catalog/itemdetails/6059373", "Tirrinia Waterproof Outdoor Blanket with Sherpa Lining, Windproof Triple Layers Warm Comfy Foldable for Camping  Stadium, Sports, Picnic, Grass, Concerts, Pet, Extra Large Size 66''X 90''")</f>
        <v/>
      </c>
      <c r="C158" t="inlineStr">
        <is>
          <t>1TRBW669NYGY</t>
        </is>
      </c>
      <c r="D158" t="inlineStr">
        <is>
          <t>Sport &amp; Recreation Other</t>
        </is>
      </c>
      <c r="E158" t="inlineStr">
        <is>
          <t>Picnic Blankets &amp; Mats</t>
        </is>
      </c>
      <c r="F158" t="inlineStr">
        <is>
          <t>Tirrinia</t>
        </is>
      </c>
      <c r="G158" t="n">
        <v>0</v>
      </c>
      <c r="H158" t="n">
        <v>0</v>
      </c>
      <c r="I158" t="inlineStr">
        <is>
          <t>Q2-Target</t>
        </is>
      </c>
      <c r="J158" s="29" t="n">
        <v>183.96</v>
      </c>
      <c r="K158" s="30" t="n">
        <v>0.0016</v>
      </c>
      <c r="L158" s="29" t="n">
        <v>0</v>
      </c>
      <c r="M158" s="29" t="n">
        <v>0</v>
      </c>
      <c r="N158" s="2" t="n">
        <v>4</v>
      </c>
      <c r="O158" s="31" t="n">
        <v>7.770000000000002</v>
      </c>
      <c r="P158" s="32" t="n">
        <v>0.0009</v>
      </c>
      <c r="Q158" s="32" t="n">
        <v>0.0422</v>
      </c>
      <c r="R158" s="32" t="n">
        <v>0.0337</v>
      </c>
      <c r="S158" s="31" t="n">
        <v>16.34</v>
      </c>
      <c r="T158" s="32" t="n">
        <v>0.06</v>
      </c>
      <c r="U158" s="31" t="n">
        <v>126.97</v>
      </c>
      <c r="V158" s="31" t="n">
        <v>126.97</v>
      </c>
      <c r="W158" s="3" t="n">
        <v>14370</v>
      </c>
      <c r="X158" s="3" t="n">
        <v>19</v>
      </c>
      <c r="Y158" s="32" t="n">
        <v>0.0013</v>
      </c>
      <c r="Z158" s="3" t="n">
        <v>3</v>
      </c>
      <c r="AA158" s="32" t="n">
        <v>0.1579</v>
      </c>
      <c r="AB158" s="3" t="inlineStr">
        <is>
          <t>Picnic Blankets &amp; Mats_Manual_Optiwise_24</t>
        </is>
      </c>
      <c r="AC158" s="31" t="n">
        <v>0.41</v>
      </c>
      <c r="AD158" s="2" t="n">
        <v>0</v>
      </c>
      <c r="AE158" s="2" t="n">
        <v>71</v>
      </c>
      <c r="AF158" s="4" t="n">
        <v>52</v>
      </c>
      <c r="AG158" s="33" t="n">
        <v>56.99000000000001</v>
      </c>
      <c r="AH158" s="4" t="n">
        <v>1</v>
      </c>
      <c r="AI158" s="34" t="n">
        <v>0.0192</v>
      </c>
      <c r="AJ158" s="34" t="n">
        <v>0.3098</v>
      </c>
      <c r="AK158" s="2" t="n">
        <v>3375</v>
      </c>
      <c r="AL158" t="inlineStr">
        <is>
          <t>Published</t>
        </is>
      </c>
    </row>
    <row r="159">
      <c r="A159">
        <f>HYPERLINK("https://www.walmart.com/ip/5368827247", "5368827247")</f>
        <v/>
      </c>
      <c r="B159">
        <f>HYPERLINK("https://app.optiwise.ai/catalog/itemdetails/8055318", "Solaris Surf Poncho Changing Towel Robe for Women Men, Lightweight Changing Robe with Packable Bags, Water Absorbent Wetsuit Beach Hoode Towel for Surfing Swimming")</f>
        <v/>
      </c>
      <c r="C159" t="inlineStr">
        <is>
          <t>1SLBR103-PB</t>
        </is>
      </c>
      <c r="D159" t="inlineStr">
        <is>
          <t>Home Decor, Kitchen, &amp; Other</t>
        </is>
      </c>
      <c r="E159" t="inlineStr">
        <is>
          <t>Towels &amp; Washcloths</t>
        </is>
      </c>
      <c r="F159" t="inlineStr">
        <is>
          <t>Solaris</t>
        </is>
      </c>
      <c r="G159" t="n">
        <v>0</v>
      </c>
      <c r="H159" t="n">
        <v>0</v>
      </c>
      <c r="J159" s="29" t="n">
        <v>183.92</v>
      </c>
      <c r="K159" s="30" t="n">
        <v>0.0016</v>
      </c>
      <c r="L159" s="29" t="n">
        <v>22.98999977111816</v>
      </c>
      <c r="M159" s="29" t="n">
        <v>22.98999977111816</v>
      </c>
      <c r="N159" s="2" t="n">
        <v>8</v>
      </c>
      <c r="O159" s="31" t="n">
        <v>15.48</v>
      </c>
      <c r="P159" s="32" t="n">
        <v>0.0019</v>
      </c>
      <c r="Q159" s="32" t="n">
        <v>0.0842</v>
      </c>
      <c r="R159" s="32" t="n">
        <v>0</v>
      </c>
      <c r="S159" s="31" t="n">
        <v>8.91</v>
      </c>
      <c r="T159" s="32" t="n">
        <v>0.11</v>
      </c>
      <c r="U159" s="31" t="n">
        <v>137.94</v>
      </c>
      <c r="V159" s="31" t="n">
        <v>137.94</v>
      </c>
      <c r="W159" s="3" t="n">
        <v>4912</v>
      </c>
      <c r="X159" s="3" t="n">
        <v>53</v>
      </c>
      <c r="Y159" s="32" t="n">
        <v>0.0108</v>
      </c>
      <c r="Z159" s="3" t="n">
        <v>6</v>
      </c>
      <c r="AA159" s="32" t="n">
        <v>0.1132</v>
      </c>
      <c r="AB159" s="3" t="inlineStr">
        <is>
          <t>Need to sell these SKUs by 15th Feb</t>
        </is>
      </c>
      <c r="AC159" s="31" t="n">
        <v>0.29</v>
      </c>
      <c r="AD159" s="2" t="n">
        <v>15</v>
      </c>
      <c r="AE159" s="2" t="n">
        <v>55</v>
      </c>
      <c r="AF159" s="4" t="n">
        <v>2</v>
      </c>
      <c r="AG159" s="33" t="n">
        <v>45.97999999999999</v>
      </c>
      <c r="AH159" s="4" t="n">
        <v>2</v>
      </c>
      <c r="AI159" s="34" t="n">
        <v>1</v>
      </c>
      <c r="AJ159" s="34" t="n">
        <v>0.25</v>
      </c>
      <c r="AK159" s="2" t="n">
        <v>1687</v>
      </c>
      <c r="AL159" t="inlineStr">
        <is>
          <t>Published</t>
        </is>
      </c>
    </row>
    <row r="160">
      <c r="A160">
        <f>HYPERLINK("https://www.walmart.com/ip/618925662", "618925662")</f>
        <v/>
      </c>
      <c r="B160">
        <f>HYPERLINK("https://app.optiwise.ai/catalog/itemdetails/362819", "Catalonia Sherpa Fleece Throw Blanket, Super Soft TV Throw for Bed; Plush Sofa Couch Throw, Comfy-Cozy, Fluffy, Warm Comforter, Caring Gift, Purple, 60 x 80")</f>
        <v/>
      </c>
      <c r="C160" t="inlineStr">
        <is>
          <t>1CTBF368PP</t>
        </is>
      </c>
      <c r="D160" t="inlineStr">
        <is>
          <t>Bedding</t>
        </is>
      </c>
      <c r="E160" t="inlineStr">
        <is>
          <t>Throws</t>
        </is>
      </c>
      <c r="F160" t="inlineStr">
        <is>
          <t>Catalonia</t>
        </is>
      </c>
      <c r="G160" t="n">
        <v>3.5</v>
      </c>
      <c r="H160" t="n">
        <v>2</v>
      </c>
      <c r="I160" t="inlineStr">
        <is>
          <t>Q2-Target,Optimized,WFS,Coupon_Discount,WFS Item,Fleece Blankets</t>
        </is>
      </c>
      <c r="J160" s="29" t="n">
        <v>182.91</v>
      </c>
      <c r="K160" s="30" t="n">
        <v>0.0016</v>
      </c>
      <c r="L160" s="29" t="n">
        <v>0</v>
      </c>
      <c r="M160" s="29" t="n">
        <v>0</v>
      </c>
      <c r="N160" s="2" t="n">
        <v>8</v>
      </c>
      <c r="O160" s="31" t="n">
        <v>72.59999999999999</v>
      </c>
      <c r="P160" s="32" t="n">
        <v>0.008699999999999999</v>
      </c>
      <c r="Q160" s="32" t="n">
        <v>0.3969</v>
      </c>
      <c r="R160" s="32" t="n">
        <v>0.1845</v>
      </c>
      <c r="S160" s="31" t="n">
        <v>2.84</v>
      </c>
      <c r="T160" s="32" t="n">
        <v>0.35</v>
      </c>
      <c r="U160" s="31" t="n">
        <v>205.91</v>
      </c>
      <c r="V160" s="31" t="n">
        <v>175.92</v>
      </c>
      <c r="W160" s="3" t="n">
        <v>35395</v>
      </c>
      <c r="X160" s="3" t="n">
        <v>177</v>
      </c>
      <c r="Y160" s="32" t="n">
        <v>0.005</v>
      </c>
      <c r="Z160" s="3" t="n">
        <v>9</v>
      </c>
      <c r="AA160" s="32" t="n">
        <v>0.0508</v>
      </c>
      <c r="AB160" s="3" t="inlineStr">
        <is>
          <t>WFS Inventory</t>
        </is>
      </c>
      <c r="AC160" s="31" t="n">
        <v>0.41</v>
      </c>
      <c r="AD160" s="2" t="n">
        <v>70</v>
      </c>
      <c r="AE160" s="2" t="n">
        <v>67</v>
      </c>
      <c r="AF160" s="4" t="inlineStr">
        <is>
          <t>NA</t>
        </is>
      </c>
      <c r="AG160" s="33" t="n">
        <v>-23</v>
      </c>
      <c r="AH160" s="4" t="n">
        <v>-1</v>
      </c>
      <c r="AI160" s="34" t="inlineStr">
        <is>
          <t>NA</t>
        </is>
      </c>
      <c r="AJ160" s="34" t="n">
        <v>-0.1257</v>
      </c>
      <c r="AK160" s="2" t="n">
        <v>675</v>
      </c>
      <c r="AL160" t="inlineStr">
        <is>
          <t>Published</t>
        </is>
      </c>
    </row>
    <row r="161">
      <c r="A161">
        <f>HYPERLINK("https://www.walmart.com/ip/866631119", "866631119")</f>
        <v/>
      </c>
      <c r="B161">
        <f>HYPERLINK("https://app.optiwise.ai/catalog/itemdetails/361601", "Pawsse Waterproof Pet Snuggle Blanket, Dog Puppy Cat Fleece Sherpa Throws Cushion Mat for Car Seat Furniture Protector Cover Medium 50x60")</f>
        <v/>
      </c>
      <c r="C161" t="inlineStr">
        <is>
          <t>1PSBW561BNTP</t>
        </is>
      </c>
      <c r="D161" t="inlineStr">
        <is>
          <t>Animal Accessories</t>
        </is>
      </c>
      <c r="E161" t="inlineStr">
        <is>
          <t>Pet Blankets</t>
        </is>
      </c>
      <c r="F161" t="inlineStr">
        <is>
          <t>Pawsse</t>
        </is>
      </c>
      <c r="G161" t="n">
        <v>4.4</v>
      </c>
      <c r="H161" t="n">
        <v>14</v>
      </c>
      <c r="I161" t="inlineStr">
        <is>
          <t>Q2-Target,WFS,SEM,WFS Item</t>
        </is>
      </c>
      <c r="J161" s="29" t="n">
        <v>181.93</v>
      </c>
      <c r="K161" s="30" t="n">
        <v>0.0016</v>
      </c>
      <c r="L161" s="29" t="n">
        <v>0</v>
      </c>
      <c r="M161" s="29" t="n">
        <v>0</v>
      </c>
      <c r="N161" s="2" t="n">
        <v>7</v>
      </c>
      <c r="O161" s="31" t="n">
        <v>4.21</v>
      </c>
      <c r="P161" s="32" t="n">
        <v>0.0005</v>
      </c>
      <c r="Q161" s="32" t="n">
        <v>0.0231</v>
      </c>
      <c r="R161" s="32" t="n">
        <v>0.2651</v>
      </c>
      <c r="S161" s="31" t="n">
        <v>24.69</v>
      </c>
      <c r="T161" s="32" t="n">
        <v>0.04</v>
      </c>
      <c r="U161" s="31" t="n">
        <v>103.96</v>
      </c>
      <c r="V161" s="31" t="n">
        <v>51.98</v>
      </c>
      <c r="W161" s="3" t="n">
        <v>5698</v>
      </c>
      <c r="X161" s="3" t="n">
        <v>20</v>
      </c>
      <c r="Y161" s="32" t="n">
        <v>0.0035</v>
      </c>
      <c r="Z161" s="3" t="n">
        <v>4</v>
      </c>
      <c r="AA161" s="32" t="n">
        <v>0.2</v>
      </c>
      <c r="AB161" s="3" t="inlineStr">
        <is>
          <t>Auto for BW PET 2 ---Rachel</t>
        </is>
      </c>
      <c r="AC161" s="31" t="n">
        <v>0.21</v>
      </c>
      <c r="AD161" s="2" t="n">
        <v>48</v>
      </c>
      <c r="AE161" s="2" t="n">
        <v>178</v>
      </c>
      <c r="AF161" s="4" t="n">
        <v>158</v>
      </c>
      <c r="AG161" s="33" t="n">
        <v>77.97000000000001</v>
      </c>
      <c r="AH161" s="4" t="n">
        <v>3</v>
      </c>
      <c r="AI161" s="34" t="n">
        <v>0.019</v>
      </c>
      <c r="AJ161" s="34" t="n">
        <v>0.4286</v>
      </c>
      <c r="AK161" s="2" t="n">
        <v>154</v>
      </c>
      <c r="AL161" t="inlineStr">
        <is>
          <t>Published</t>
        </is>
      </c>
    </row>
    <row r="162">
      <c r="A162">
        <f>HYPERLINK("https://www.walmart.com/ip/1361841364", "1361841364")</f>
        <v/>
      </c>
      <c r="B162">
        <f>HYPERLINK("https://app.optiwise.ai/catalog/itemdetails/7386260", "Kato Outdoors Waterproof Blanket, Sherpa Fleece Stadium Windproof Throw Mat for Boat, Traveling, Camping, Hiking, Football - Machine Washable, Camo/Black, 59”x 79”.")</f>
        <v/>
      </c>
      <c r="C162" t="inlineStr">
        <is>
          <t>1KTBW608CAMOBK</t>
        </is>
      </c>
      <c r="D162" t="inlineStr">
        <is>
          <t>Bedding</t>
        </is>
      </c>
      <c r="E162" t="inlineStr">
        <is>
          <t>Throws</t>
        </is>
      </c>
      <c r="F162" t="inlineStr">
        <is>
          <t>Kato</t>
        </is>
      </c>
      <c r="G162" t="n">
        <v>0</v>
      </c>
      <c r="H162" t="n">
        <v>0</v>
      </c>
      <c r="I162" t="inlineStr">
        <is>
          <t>Q2-Target</t>
        </is>
      </c>
      <c r="J162" s="29" t="n">
        <v>181.92</v>
      </c>
      <c r="K162" s="30" t="n">
        <v>0.0016</v>
      </c>
      <c r="L162" s="29" t="n">
        <v>0</v>
      </c>
      <c r="M162" s="29" t="n">
        <v>0</v>
      </c>
      <c r="N162" s="2" t="n">
        <v>6</v>
      </c>
      <c r="O162" s="31" t="n">
        <v>0</v>
      </c>
      <c r="P162" s="32" t="n"/>
      <c r="Q162" s="32" t="n">
        <v>0</v>
      </c>
      <c r="R162" s="32" t="n">
        <v>0</v>
      </c>
      <c r="S162" s="31" t="n">
        <v>0</v>
      </c>
      <c r="T162" s="32" t="n">
        <v>0</v>
      </c>
      <c r="U162" s="31" t="n">
        <v>0</v>
      </c>
      <c r="V162" s="31" t="n">
        <v>0</v>
      </c>
      <c r="W162" s="3" t="n">
        <v>0</v>
      </c>
      <c r="X162" s="3" t="n">
        <v>0</v>
      </c>
      <c r="Y162" s="32" t="n">
        <v>0</v>
      </c>
      <c r="Z162" s="3" t="n">
        <v>0</v>
      </c>
      <c r="AA162" s="32" t="n">
        <v>0</v>
      </c>
      <c r="AB162" s="3" t="n"/>
      <c r="AC162" s="31" t="n">
        <v>0</v>
      </c>
      <c r="AD162" s="2" t="n">
        <v>0</v>
      </c>
      <c r="AE162" s="2" t="n">
        <v>42</v>
      </c>
      <c r="AF162" s="4" t="n">
        <v>42</v>
      </c>
      <c r="AG162" s="33" t="n">
        <v>181.92</v>
      </c>
      <c r="AH162" s="4" t="n">
        <v>6</v>
      </c>
      <c r="AI162" s="34" t="n">
        <v>0.1429</v>
      </c>
      <c r="AJ162" s="34" t="n">
        <v>1</v>
      </c>
      <c r="AK162" s="2" t="n">
        <v>2272</v>
      </c>
      <c r="AL162" t="inlineStr">
        <is>
          <t>Published</t>
        </is>
      </c>
    </row>
    <row r="163">
      <c r="A163">
        <f>HYPERLINK("https://www.walmart.com/ip/1381186810", "1381186810")</f>
        <v/>
      </c>
      <c r="B163">
        <f>HYPERLINK("https://app.optiwise.ai/catalog/itemdetails/920310", "Catalonia Waterproof Dog Blanket for Couch, Reversible Sofa and Bed Coverlet Protector, Leak Proof, Comfortable Blanket for People and Pets, Light Grey/Dark Grey, 80 x 90")</f>
        <v/>
      </c>
      <c r="C163" t="inlineStr">
        <is>
          <t>1CTBW985LGDG</t>
        </is>
      </c>
      <c r="D163" t="inlineStr">
        <is>
          <t>Home Decor, Kitchen, &amp; Other</t>
        </is>
      </c>
      <c r="E163" t="inlineStr">
        <is>
          <t>Bed Blankets</t>
        </is>
      </c>
      <c r="F163" t="inlineStr">
        <is>
          <t>Catalonia</t>
        </is>
      </c>
      <c r="G163" t="n">
        <v>4</v>
      </c>
      <c r="H163" t="n">
        <v>1</v>
      </c>
      <c r="I163" t="inlineStr">
        <is>
          <t>High AUR Items,Wproof Blanket,Batch 1 - TR</t>
        </is>
      </c>
      <c r="J163" s="29" t="n">
        <v>179.97</v>
      </c>
      <c r="K163" s="30" t="n">
        <v>0.0016</v>
      </c>
      <c r="L163" s="29" t="n">
        <v>0</v>
      </c>
      <c r="M163" s="29" t="n">
        <v>0</v>
      </c>
      <c r="N163" s="2" t="n">
        <v>3</v>
      </c>
      <c r="O163" s="31" t="n">
        <v>7.609999999999999</v>
      </c>
      <c r="P163" s="32" t="n">
        <v>0.0009</v>
      </c>
      <c r="Q163" s="32" t="n">
        <v>0.0423</v>
      </c>
      <c r="R163" s="32" t="n">
        <v>0.0242</v>
      </c>
      <c r="S163" s="31" t="n">
        <v>17.08</v>
      </c>
      <c r="T163" s="32" t="n">
        <v>0.06</v>
      </c>
      <c r="U163" s="31" t="n">
        <v>129.96</v>
      </c>
      <c r="V163" s="31" t="n">
        <v>39.99</v>
      </c>
      <c r="W163" s="3" t="n">
        <v>8026</v>
      </c>
      <c r="X163" s="3" t="n">
        <v>18</v>
      </c>
      <c r="Y163" s="32" t="n">
        <v>0.0022</v>
      </c>
      <c r="Z163" s="3" t="n">
        <v>4</v>
      </c>
      <c r="AA163" s="32" t="n">
        <v>0.2222</v>
      </c>
      <c r="AB163" s="3" t="inlineStr">
        <is>
          <t>All Items_Auto_Optiwise_24,Auto for BW Indoor,High AUR SKUs_Optiwise_2024</t>
        </is>
      </c>
      <c r="AC163" s="31" t="n">
        <v>0.42</v>
      </c>
      <c r="AD163" s="2" t="n">
        <v>0</v>
      </c>
      <c r="AE163" s="2" t="n">
        <v>107</v>
      </c>
      <c r="AF163" s="4" t="n">
        <v>89</v>
      </c>
      <c r="AG163" s="33" t="n">
        <v>50.00999999999999</v>
      </c>
      <c r="AH163" s="4" t="n">
        <v>-1</v>
      </c>
      <c r="AI163" s="34" t="n">
        <v>-0.0112</v>
      </c>
      <c r="AJ163" s="34" t="n">
        <v>0.2779</v>
      </c>
      <c r="AK163" s="2" t="n">
        <v>4500</v>
      </c>
      <c r="AL163" t="inlineStr">
        <is>
          <t>Published</t>
        </is>
      </c>
    </row>
    <row r="164">
      <c r="A164">
        <f>HYPERLINK("https://www.walmart.com/ip/15416260678", "15416260678")</f>
        <v/>
      </c>
      <c r="B164">
        <f>HYPERLINK("https://app.optiwise.ai/catalog/itemdetails/20119649", "Catalonia Kids Waterproof Swim Parka with Hood, Windproof Fleece Swim Jacket, Warm Winter Swim Coat for Boys Girls Youth, Perfect for Swim Lessons, Beach, Pool")</f>
        <v/>
      </c>
      <c r="C164" t="inlineStr">
        <is>
          <t>1CTPKR200BK-1</t>
        </is>
      </c>
      <c r="D164" t="inlineStr">
        <is>
          <t>Clothing</t>
        </is>
      </c>
      <c r="E164" t="inlineStr">
        <is>
          <t>Swim Parkas</t>
        </is>
      </c>
      <c r="F164" t="inlineStr">
        <is>
          <t>Catalonia</t>
        </is>
      </c>
      <c r="G164" t="n">
        <v>0</v>
      </c>
      <c r="H164" t="n">
        <v>0</v>
      </c>
      <c r="J164" s="29" t="n">
        <v>179.97</v>
      </c>
      <c r="K164" s="30" t="n">
        <v>0.0016</v>
      </c>
      <c r="L164" s="29" t="n">
        <v>0</v>
      </c>
      <c r="M164" s="29" t="n">
        <v>0</v>
      </c>
      <c r="N164" s="2" t="n">
        <v>3</v>
      </c>
      <c r="O164" s="31" t="n">
        <v>0</v>
      </c>
      <c r="P164" s="32" t="n"/>
      <c r="Q164" s="32" t="n">
        <v>0</v>
      </c>
      <c r="R164" s="32" t="n">
        <v>0</v>
      </c>
      <c r="S164" s="31" t="n">
        <v>0</v>
      </c>
      <c r="T164" s="32" t="n">
        <v>0</v>
      </c>
      <c r="U164" s="31" t="n">
        <v>0</v>
      </c>
      <c r="V164" s="31" t="n">
        <v>0</v>
      </c>
      <c r="W164" s="3" t="n">
        <v>0</v>
      </c>
      <c r="X164" s="3" t="n">
        <v>0</v>
      </c>
      <c r="Y164" s="32" t="n">
        <v>0</v>
      </c>
      <c r="Z164" s="3" t="n">
        <v>0</v>
      </c>
      <c r="AA164" s="32" t="n">
        <v>0</v>
      </c>
      <c r="AB164" s="3" t="n"/>
      <c r="AC164" s="31" t="n">
        <v>0</v>
      </c>
      <c r="AD164" s="2" t="n">
        <v>0</v>
      </c>
      <c r="AE164" s="2" t="n">
        <v>0</v>
      </c>
      <c r="AF164" s="4" t="n">
        <v>0</v>
      </c>
      <c r="AG164" s="33" t="n">
        <v>179.97</v>
      </c>
      <c r="AH164" s="4" t="n">
        <v>3</v>
      </c>
      <c r="AI164" s="34" t="n"/>
      <c r="AJ164" s="34" t="n">
        <v>1</v>
      </c>
      <c r="AK164" s="2" t="n">
        <v>1485</v>
      </c>
      <c r="AL164" t="inlineStr">
        <is>
          <t>Published</t>
        </is>
      </c>
    </row>
    <row r="165">
      <c r="A165">
        <f>HYPERLINK("https://www.walmart.com/ip/104159179", "104159179")</f>
        <v/>
      </c>
      <c r="B165">
        <f>HYPERLINK("https://app.optiwise.ai/catalog/itemdetails/360580", "Catalonia Waterproof Blanket Super Cozy Plush Fleece Warm Sherpa Lining, Camel/Taupe, 80 x 90")</f>
        <v/>
      </c>
      <c r="C165" t="inlineStr">
        <is>
          <t>1CTBW981TPTP</t>
        </is>
      </c>
      <c r="D165" t="inlineStr">
        <is>
          <t>Bedding</t>
        </is>
      </c>
      <c r="E165" t="inlineStr">
        <is>
          <t>Mattress Toppers</t>
        </is>
      </c>
      <c r="F165" t="inlineStr">
        <is>
          <t>Catalonia</t>
        </is>
      </c>
      <c r="G165" t="n">
        <v>0</v>
      </c>
      <c r="H165" t="n">
        <v>0</v>
      </c>
      <c r="I165" t="inlineStr">
        <is>
          <t>Optimized,WFS,Wproof Blanket,WFS Item</t>
        </is>
      </c>
      <c r="J165" s="29" t="n">
        <v>179.97</v>
      </c>
      <c r="K165" s="30" t="n">
        <v>0.0016</v>
      </c>
      <c r="L165" s="29" t="n">
        <v>0</v>
      </c>
      <c r="M165" s="29" t="n">
        <v>0</v>
      </c>
      <c r="N165" s="2" t="n">
        <v>3</v>
      </c>
      <c r="O165" s="31" t="n">
        <v>4.78</v>
      </c>
      <c r="P165" s="32" t="n">
        <v>0.0005999999999999999</v>
      </c>
      <c r="Q165" s="32" t="n">
        <v>0.0266</v>
      </c>
      <c r="R165" s="32" t="n">
        <v>0.07049999999999999</v>
      </c>
      <c r="S165" s="31" t="n">
        <v>0</v>
      </c>
      <c r="T165" s="32" t="n">
        <v>0</v>
      </c>
      <c r="U165" s="31" t="n">
        <v>0</v>
      </c>
      <c r="V165" s="31" t="n">
        <v>0</v>
      </c>
      <c r="W165" s="3" t="n">
        <v>8057</v>
      </c>
      <c r="X165" s="3" t="n">
        <v>12</v>
      </c>
      <c r="Y165" s="32" t="n">
        <v>0.0015</v>
      </c>
      <c r="Z165" s="3" t="n">
        <v>0</v>
      </c>
      <c r="AA165" s="32" t="n">
        <v>0</v>
      </c>
      <c r="AB165" s="3" t="inlineStr">
        <is>
          <t>All Items_Auto_Optiwise_24,Auto for BW Indoor</t>
        </is>
      </c>
      <c r="AC165" s="31" t="n">
        <v>0.4</v>
      </c>
      <c r="AD165" s="2" t="n">
        <v>0</v>
      </c>
      <c r="AE165" s="2" t="n">
        <v>131</v>
      </c>
      <c r="AF165" s="4" t="n">
        <v>119</v>
      </c>
      <c r="AG165" s="33" t="n">
        <v>179.97</v>
      </c>
      <c r="AH165" s="4" t="n">
        <v>3</v>
      </c>
      <c r="AI165" s="34" t="n">
        <v>0.0252</v>
      </c>
      <c r="AJ165" s="34" t="n">
        <v>1</v>
      </c>
      <c r="AK165" s="2" t="n">
        <v>4500</v>
      </c>
      <c r="AL165" t="inlineStr">
        <is>
          <t>Published</t>
        </is>
      </c>
    </row>
    <row r="166">
      <c r="A166">
        <f>HYPERLINK("https://www.walmart.com/ip/828032967", "828032967")</f>
        <v/>
      </c>
      <c r="B166">
        <f>HYPERLINK("https://app.optiwise.ai/catalog/itemdetails/359159", "Catalonia Fleece Wearable Blanket Poncho for Adult Women Men, Wrap Blanket Cape with Pocket |Warm,Soft, Cozy,Snuggly, Comfort Gift, No Sleeves|All Season, Navy")</f>
        <v/>
      </c>
      <c r="C166" t="inlineStr">
        <is>
          <t>1CTBP200NY</t>
        </is>
      </c>
      <c r="D166" t="inlineStr">
        <is>
          <t>Clothing</t>
        </is>
      </c>
      <c r="E166" t="inlineStr">
        <is>
          <t>Throws</t>
        </is>
      </c>
      <c r="F166" t="inlineStr">
        <is>
          <t>Catalonia</t>
        </is>
      </c>
      <c r="G166" t="n">
        <v>0</v>
      </c>
      <c r="H166" t="n">
        <v>0</v>
      </c>
      <c r="I166" t="inlineStr">
        <is>
          <t>Hero 5 Holidays,WFS,WFS Item</t>
        </is>
      </c>
      <c r="J166" s="29" t="n">
        <v>179.94</v>
      </c>
      <c r="K166" s="30" t="n">
        <v>0.0016</v>
      </c>
      <c r="L166" s="29" t="n">
        <v>0</v>
      </c>
      <c r="M166" s="29" t="n">
        <v>0</v>
      </c>
      <c r="N166" s="2" t="n">
        <v>6</v>
      </c>
      <c r="O166" s="31" t="n">
        <v>5.31</v>
      </c>
      <c r="P166" s="32" t="n">
        <v>0.0005999999999999999</v>
      </c>
      <c r="Q166" s="32" t="n">
        <v>0.0295</v>
      </c>
      <c r="R166" s="32" t="n">
        <v>0</v>
      </c>
      <c r="S166" s="31" t="n">
        <v>0</v>
      </c>
      <c r="T166" s="32" t="n">
        <v>0</v>
      </c>
      <c r="U166" s="31" t="n">
        <v>0</v>
      </c>
      <c r="V166" s="31" t="n">
        <v>0</v>
      </c>
      <c r="W166" s="3" t="n">
        <v>4592</v>
      </c>
      <c r="X166" s="3" t="n">
        <v>18</v>
      </c>
      <c r="Y166" s="32" t="n">
        <v>0.0039</v>
      </c>
      <c r="Z166" s="3" t="n">
        <v>0</v>
      </c>
      <c r="AA166" s="32" t="n">
        <v>0</v>
      </c>
      <c r="AB166" s="3" t="inlineStr">
        <is>
          <t>Snuggly_Auto</t>
        </is>
      </c>
      <c r="AC166" s="31" t="n">
        <v>0.29</v>
      </c>
      <c r="AD166" s="2" t="n">
        <v>166</v>
      </c>
      <c r="AE166" s="2" t="n">
        <v>78</v>
      </c>
      <c r="AF166" s="4" t="n">
        <v>70</v>
      </c>
      <c r="AG166" s="33" t="n">
        <v>179.94</v>
      </c>
      <c r="AH166" s="4" t="n">
        <v>6</v>
      </c>
      <c r="AI166" s="34" t="n">
        <v>0.0857</v>
      </c>
      <c r="AJ166" s="34" t="n">
        <v>1</v>
      </c>
      <c r="AK166" s="2" t="n">
        <v>0</v>
      </c>
      <c r="AL166" t="inlineStr">
        <is>
          <t>Published</t>
        </is>
      </c>
    </row>
    <row r="167">
      <c r="A167">
        <f>HYPERLINK("https://www.walmart.com/ip/10291700387", "10291700387")</f>
        <v/>
      </c>
      <c r="B167">
        <f>HYPERLINK("https://app.optiwise.ai/catalog/itemdetails/10031977", "Wrangler Men’s Full Grain Genuine Leather 35mm Thick Casual Belt for Jeans, Pants - Black, 40")</f>
        <v/>
      </c>
      <c r="C167" t="inlineStr">
        <is>
          <t>WR-BELT-MENS-35MM-BLACK-40</t>
        </is>
      </c>
      <c r="D167" t="inlineStr">
        <is>
          <t>Clothing</t>
        </is>
      </c>
      <c r="E167" t="inlineStr">
        <is>
          <t>Belts</t>
        </is>
      </c>
      <c r="F167" t="inlineStr">
        <is>
          <t>Wrangler</t>
        </is>
      </c>
      <c r="G167" t="n">
        <v>0</v>
      </c>
      <c r="H167" t="n">
        <v>0</v>
      </c>
      <c r="I167" t="inlineStr">
        <is>
          <t>Belts</t>
        </is>
      </c>
      <c r="J167" s="29" t="n">
        <v>179.91</v>
      </c>
      <c r="K167" s="30" t="n">
        <v>0.0016</v>
      </c>
      <c r="L167" s="29" t="n">
        <v>39.97999954223633</v>
      </c>
      <c r="M167" s="29" t="n">
        <v>0</v>
      </c>
      <c r="N167" s="2" t="n">
        <v>9</v>
      </c>
      <c r="O167" s="31" t="n">
        <v>0</v>
      </c>
      <c r="P167" s="32" t="n"/>
      <c r="Q167" s="32" t="n">
        <v>0</v>
      </c>
      <c r="R167" s="32" t="n">
        <v>0</v>
      </c>
      <c r="S167" s="31" t="n">
        <v>0</v>
      </c>
      <c r="T167" s="32" t="n">
        <v>0</v>
      </c>
      <c r="U167" s="31" t="n">
        <v>0</v>
      </c>
      <c r="V167" s="31" t="n">
        <v>0</v>
      </c>
      <c r="W167" s="3" t="n">
        <v>0</v>
      </c>
      <c r="X167" s="3" t="n">
        <v>0</v>
      </c>
      <c r="Y167" s="32" t="n">
        <v>0</v>
      </c>
      <c r="Z167" s="3" t="n">
        <v>0</v>
      </c>
      <c r="AA167" s="32" t="n">
        <v>0</v>
      </c>
      <c r="AB167" s="3" t="n"/>
      <c r="AC167" s="31" t="n">
        <v>0</v>
      </c>
      <c r="AD167" s="2" t="n">
        <v>18</v>
      </c>
      <c r="AE167" s="2" t="n">
        <v>71</v>
      </c>
      <c r="AF167" s="4" t="n">
        <v>71</v>
      </c>
      <c r="AG167" s="33" t="n">
        <v>179.91</v>
      </c>
      <c r="AH167" s="4" t="n">
        <v>9</v>
      </c>
      <c r="AI167" s="34" t="n">
        <v>0.1268</v>
      </c>
      <c r="AJ167" s="34" t="n">
        <v>1</v>
      </c>
      <c r="AK167" s="2" t="n">
        <v>1500</v>
      </c>
      <c r="AL167" t="inlineStr">
        <is>
          <t>Published</t>
        </is>
      </c>
    </row>
    <row r="168">
      <c r="A168">
        <f>HYPERLINK("https://www.walmart.com/ip/10305562753", "10305562753")</f>
        <v/>
      </c>
      <c r="B168">
        <f>HYPERLINK("https://app.optiwise.ai/catalog/itemdetails/10032001", "Wrangler Men’s Full Grain Genuine Leather 35mm Thick Casual Belt for Jeans, Pants - Brown, 36")</f>
        <v/>
      </c>
      <c r="C168" t="inlineStr">
        <is>
          <t>WR-BELT-MENS-35MM-BROWN-36</t>
        </is>
      </c>
      <c r="D168" t="inlineStr">
        <is>
          <t>Clothing</t>
        </is>
      </c>
      <c r="E168" t="inlineStr">
        <is>
          <t>Belts</t>
        </is>
      </c>
      <c r="F168" t="inlineStr">
        <is>
          <t>Wrangler</t>
        </is>
      </c>
      <c r="G168" t="n">
        <v>0</v>
      </c>
      <c r="H168" t="n">
        <v>0</v>
      </c>
      <c r="I168" t="inlineStr">
        <is>
          <t>Belts</t>
        </is>
      </c>
      <c r="J168" s="29" t="n">
        <v>179.91</v>
      </c>
      <c r="K168" s="30" t="n">
        <v>0.0016</v>
      </c>
      <c r="L168" s="29" t="n">
        <v>0</v>
      </c>
      <c r="M168" s="29" t="n">
        <v>0</v>
      </c>
      <c r="N168" s="2" t="n">
        <v>9</v>
      </c>
      <c r="O168" s="31" t="n">
        <v>0</v>
      </c>
      <c r="P168" s="32" t="n"/>
      <c r="Q168" s="32" t="n">
        <v>0</v>
      </c>
      <c r="R168" s="32" t="n">
        <v>0</v>
      </c>
      <c r="S168" s="31" t="n">
        <v>0</v>
      </c>
      <c r="T168" s="32" t="n">
        <v>0</v>
      </c>
      <c r="U168" s="31" t="n">
        <v>0</v>
      </c>
      <c r="V168" s="31" t="n">
        <v>0</v>
      </c>
      <c r="W168" s="3" t="n">
        <v>0</v>
      </c>
      <c r="X168" s="3" t="n">
        <v>0</v>
      </c>
      <c r="Y168" s="32" t="n">
        <v>0</v>
      </c>
      <c r="Z168" s="3" t="n">
        <v>0</v>
      </c>
      <c r="AA168" s="32" t="n">
        <v>0</v>
      </c>
      <c r="AB168" s="3" t="n"/>
      <c r="AC168" s="31" t="n">
        <v>0</v>
      </c>
      <c r="AD168" s="2" t="n">
        <v>0</v>
      </c>
      <c r="AE168" s="2" t="n">
        <v>49</v>
      </c>
      <c r="AF168" s="4" t="n">
        <v>49</v>
      </c>
      <c r="AG168" s="33" t="n">
        <v>179.91</v>
      </c>
      <c r="AH168" s="4" t="n">
        <v>9</v>
      </c>
      <c r="AI168" s="34" t="n">
        <v>0.1837</v>
      </c>
      <c r="AJ168" s="34" t="n">
        <v>1</v>
      </c>
      <c r="AK168" s="2" t="n">
        <v>1500</v>
      </c>
      <c r="AL168" t="inlineStr">
        <is>
          <t>Published</t>
        </is>
      </c>
    </row>
    <row r="169">
      <c r="A169">
        <f>HYPERLINK("https://www.walmart.com/ip/381059827", "381059827")</f>
        <v/>
      </c>
      <c r="B169">
        <f>HYPERLINK("https://app.optiwise.ai/catalog/itemdetails/362771", "Flyingstar Insulated Lunch Bag, Reusable Tote Bag for Women &amp; Men &amp; Kids, Fashionable Large Cooler Lunch Bag for Working/School/Picnic")</f>
        <v/>
      </c>
      <c r="C169" t="inlineStr">
        <is>
          <t>1WMLB703BRFL</t>
        </is>
      </c>
      <c r="D169" t="inlineStr">
        <is>
          <t>Home Decor, Kitchen, &amp; Other</t>
        </is>
      </c>
      <c r="E169" t="inlineStr">
        <is>
          <t>Reusable Lunch Bags &amp; Boxes</t>
        </is>
      </c>
      <c r="F169" t="inlineStr">
        <is>
          <t>Flyingstar</t>
        </is>
      </c>
      <c r="G169" t="n">
        <v>4.4</v>
      </c>
      <c r="H169" t="n">
        <v>43</v>
      </c>
      <c r="I169" t="inlineStr">
        <is>
          <t>Lunch Bag,Optimized,Lunch Bags</t>
        </is>
      </c>
      <c r="J169" s="29" t="n">
        <v>179.82</v>
      </c>
      <c r="K169" s="30" t="n">
        <v>0.0016</v>
      </c>
      <c r="L169" s="29" t="n">
        <v>25.95999908447266</v>
      </c>
      <c r="M169" s="29" t="n">
        <v>0</v>
      </c>
      <c r="N169" s="2" t="n">
        <v>18</v>
      </c>
      <c r="O169" s="31" t="n">
        <v>0</v>
      </c>
      <c r="P169" s="32" t="n"/>
      <c r="Q169" s="32" t="n">
        <v>0</v>
      </c>
      <c r="R169" s="32" t="n">
        <v>0</v>
      </c>
      <c r="S169" s="31" t="n">
        <v>0</v>
      </c>
      <c r="T169" s="32" t="n">
        <v>0</v>
      </c>
      <c r="U169" s="31" t="n">
        <v>0</v>
      </c>
      <c r="V169" s="31" t="n">
        <v>0</v>
      </c>
      <c r="W169" s="3" t="n">
        <v>0</v>
      </c>
      <c r="X169" s="3" t="n">
        <v>0</v>
      </c>
      <c r="Y169" s="32" t="n">
        <v>0</v>
      </c>
      <c r="Z169" s="3" t="n">
        <v>0</v>
      </c>
      <c r="AA169" s="32" t="n">
        <v>0</v>
      </c>
      <c r="AB169" s="3" t="n"/>
      <c r="AC169" s="31" t="n">
        <v>0</v>
      </c>
      <c r="AD169" s="2" t="n">
        <v>730</v>
      </c>
      <c r="AE169" s="2" t="n">
        <v>131</v>
      </c>
      <c r="AF169" s="4" t="n">
        <v>599</v>
      </c>
      <c r="AG169" s="33" t="n">
        <v>179.82</v>
      </c>
      <c r="AH169" s="4" t="n">
        <v>18</v>
      </c>
      <c r="AI169" s="34" t="n">
        <v>0.0301</v>
      </c>
      <c r="AJ169" s="34" t="n">
        <v>1</v>
      </c>
      <c r="AK169" s="2" t="n">
        <v>75</v>
      </c>
      <c r="AL169" t="inlineStr">
        <is>
          <t>Published</t>
        </is>
      </c>
    </row>
    <row r="170">
      <c r="A170">
        <f>HYPERLINK("https://www.walmart.com/ip/323669219", "323669219")</f>
        <v/>
      </c>
      <c r="B170">
        <f>HYPERLINK("https://app.optiwise.ai/catalog/itemdetails/417456", "Tirrinia Wind and Waterproof Blanket, Sherpa Lining Fleece Blanket, Triple Layers Warm Comfy Foldable Blanket for Camping, Stadium, Picnics, Sports, Grass, Concerts and Pets, Navy Blue/Grey, 60'' x 80''")</f>
        <v/>
      </c>
      <c r="C170" t="inlineStr">
        <is>
          <t>1TRBW608NYGY-TBCB</t>
        </is>
      </c>
      <c r="D170" t="inlineStr">
        <is>
          <t>Sport &amp; Recreation Other</t>
        </is>
      </c>
      <c r="E170" t="inlineStr">
        <is>
          <t>Picnic Blankets &amp; Mats</t>
        </is>
      </c>
      <c r="F170" t="inlineStr">
        <is>
          <t>Tirrinia</t>
        </is>
      </c>
      <c r="G170" t="n">
        <v>0</v>
      </c>
      <c r="H170" t="n">
        <v>0</v>
      </c>
      <c r="I170" t="inlineStr">
        <is>
          <t>Q2-Target,Optimized,High AUR Items</t>
        </is>
      </c>
      <c r="J170" s="29" t="n">
        <v>178.95</v>
      </c>
      <c r="K170" s="30" t="n">
        <v>0.0015</v>
      </c>
      <c r="L170" s="29" t="n">
        <v>98.97000503540039</v>
      </c>
      <c r="M170" s="29" t="n">
        <v>0</v>
      </c>
      <c r="N170" s="2" t="n">
        <v>5</v>
      </c>
      <c r="O170" s="31" t="n">
        <v>36.6</v>
      </c>
      <c r="P170" s="32" t="n">
        <v>0.0044</v>
      </c>
      <c r="Q170" s="32" t="n">
        <v>0.2045</v>
      </c>
      <c r="R170" s="32" t="n">
        <v>0.3511</v>
      </c>
      <c r="S170" s="31" t="n">
        <v>1.26</v>
      </c>
      <c r="T170" s="32" t="n">
        <v>0.8</v>
      </c>
      <c r="U170" s="31" t="n">
        <v>45.99</v>
      </c>
      <c r="V170" s="31" t="n">
        <v>45.99</v>
      </c>
      <c r="W170" s="3" t="n">
        <v>8140</v>
      </c>
      <c r="X170" s="3" t="n">
        <v>53</v>
      </c>
      <c r="Y170" s="32" t="n">
        <v>0.0065</v>
      </c>
      <c r="Z170" s="3" t="n">
        <v>1</v>
      </c>
      <c r="AA170" s="32" t="n">
        <v>0.0189</v>
      </c>
      <c r="AB170" s="3" t="inlineStr">
        <is>
          <t>High AUR SKUs_Optiwise_2024</t>
        </is>
      </c>
      <c r="AC170" s="31" t="n">
        <v>0.6899999999999999</v>
      </c>
      <c r="AD170" s="2" t="n">
        <v>71</v>
      </c>
      <c r="AE170" s="2" t="n">
        <v>100</v>
      </c>
      <c r="AF170" s="4" t="n">
        <v>47</v>
      </c>
      <c r="AG170" s="33" t="n">
        <v>132.96</v>
      </c>
      <c r="AH170" s="4" t="n">
        <v>4</v>
      </c>
      <c r="AI170" s="34" t="n">
        <v>0.0851</v>
      </c>
      <c r="AJ170" s="34" t="n">
        <v>0.743</v>
      </c>
      <c r="AK170" s="2" t="n">
        <v>2700</v>
      </c>
      <c r="AL170" t="inlineStr">
        <is>
          <t>Published</t>
        </is>
      </c>
    </row>
    <row r="171">
      <c r="A171">
        <f>HYPERLINK("https://www.walmart.com/ip/323050525", "323050525")</f>
        <v/>
      </c>
      <c r="B171">
        <f>HYPERLINK("https://app.optiwise.ai/catalog/itemdetails/360586", "Tirrinia Insulated Lunch Bag for Women and Men, Leakproof Reusable Meal Prep Bento Box Insulated Cooler Bag, Dual Compartment with Shoulder Strap, Purple, 10.2 x 7.5 x 9")</f>
        <v/>
      </c>
      <c r="C171" t="inlineStr">
        <is>
          <t>1TRLB601PP</t>
        </is>
      </c>
      <c r="D171" t="inlineStr">
        <is>
          <t>Home Decor, Kitchen, &amp; Other</t>
        </is>
      </c>
      <c r="E171" t="inlineStr">
        <is>
          <t>Reusable Lunch Bags &amp; Boxes</t>
        </is>
      </c>
      <c r="F171" t="inlineStr">
        <is>
          <t>Tirrinia</t>
        </is>
      </c>
      <c r="G171" t="n">
        <v>4.2</v>
      </c>
      <c r="H171" t="n">
        <v>27</v>
      </c>
      <c r="I171" t="inlineStr">
        <is>
          <t>Q2-Target,Brand Camp VD,Lunch Bag,WFS,Lunch Bags,WFS Item</t>
        </is>
      </c>
      <c r="J171" s="29" t="n">
        <v>174.89</v>
      </c>
      <c r="K171" s="30" t="n">
        <v>0.0015</v>
      </c>
      <c r="L171" s="29" t="n">
        <v>0</v>
      </c>
      <c r="M171" s="29" t="n">
        <v>0</v>
      </c>
      <c r="N171" s="2" t="n">
        <v>9</v>
      </c>
      <c r="O171" s="31" t="n">
        <v>0</v>
      </c>
      <c r="P171" s="32" t="n"/>
      <c r="Q171" s="32" t="n">
        <v>0</v>
      </c>
      <c r="R171" s="32" t="n">
        <v>0.0101</v>
      </c>
      <c r="S171" s="31" t="n">
        <v>0</v>
      </c>
      <c r="T171" s="32" t="n">
        <v>0</v>
      </c>
      <c r="U171" s="31" t="n">
        <v>0</v>
      </c>
      <c r="V171" s="31" t="n">
        <v>0</v>
      </c>
      <c r="W171" s="3" t="n">
        <v>0</v>
      </c>
      <c r="X171" s="3" t="n">
        <v>0</v>
      </c>
      <c r="Y171" s="32" t="n">
        <v>0</v>
      </c>
      <c r="Z171" s="3" t="n">
        <v>0</v>
      </c>
      <c r="AA171" s="32" t="n">
        <v>0</v>
      </c>
      <c r="AB171" s="3" t="n"/>
      <c r="AC171" s="31" t="n">
        <v>0</v>
      </c>
      <c r="AD171" s="2" t="n">
        <v>73</v>
      </c>
      <c r="AE171" s="2" t="n">
        <v>121</v>
      </c>
      <c r="AF171" s="4" t="n">
        <v>121</v>
      </c>
      <c r="AG171" s="33" t="n">
        <v>174.89</v>
      </c>
      <c r="AH171" s="4" t="n">
        <v>9</v>
      </c>
      <c r="AI171" s="34" t="n">
        <v>0.07439999999999999</v>
      </c>
      <c r="AJ171" s="34" t="n">
        <v>1</v>
      </c>
      <c r="AK171" s="2" t="n">
        <v>1800</v>
      </c>
      <c r="AL171" t="inlineStr">
        <is>
          <t>Published</t>
        </is>
      </c>
    </row>
    <row r="172">
      <c r="A172">
        <f>HYPERLINK("https://www.walmart.com/ip/493504723", "493504723")</f>
        <v/>
      </c>
      <c r="B172">
        <f>HYPERLINK("https://app.optiwise.ai/catalog/itemdetails/373330", "Catalonia Wearable TV Blanket with Sleeves Arms Warm Micro Plush Sherpa Fleece for Adult Large Wrap Throw Robe 72 x 55”")</f>
        <v/>
      </c>
      <c r="C172" t="inlineStr">
        <is>
          <t>1CTSN110PP</t>
        </is>
      </c>
      <c r="D172" t="inlineStr">
        <is>
          <t>Bedding</t>
        </is>
      </c>
      <c r="E172" t="inlineStr">
        <is>
          <t>Throws</t>
        </is>
      </c>
      <c r="F172" t="inlineStr">
        <is>
          <t>Catalonia</t>
        </is>
      </c>
      <c r="G172" t="n">
        <v>4.7</v>
      </c>
      <c r="H172" t="n">
        <v>3</v>
      </c>
      <c r="I172" t="inlineStr">
        <is>
          <t>WFS,WFS Item</t>
        </is>
      </c>
      <c r="J172" s="29" t="n">
        <v>173.96</v>
      </c>
      <c r="K172" s="30" t="n">
        <v>0.0015</v>
      </c>
      <c r="L172" s="29" t="n">
        <v>0</v>
      </c>
      <c r="M172" s="29" t="n">
        <v>0</v>
      </c>
      <c r="N172" s="2" t="n">
        <v>4</v>
      </c>
      <c r="O172" s="31" t="n">
        <v>0</v>
      </c>
      <c r="P172" s="32" t="n"/>
      <c r="Q172" s="32" t="n">
        <v>0</v>
      </c>
      <c r="R172" s="32" t="n">
        <v>0</v>
      </c>
      <c r="S172" s="31" t="n">
        <v>0</v>
      </c>
      <c r="T172" s="32" t="n">
        <v>0</v>
      </c>
      <c r="U172" s="31" t="n">
        <v>0</v>
      </c>
      <c r="V172" s="31" t="n">
        <v>0</v>
      </c>
      <c r="W172" s="3" t="n">
        <v>0</v>
      </c>
      <c r="X172" s="3" t="n">
        <v>0</v>
      </c>
      <c r="Y172" s="32" t="n">
        <v>0</v>
      </c>
      <c r="Z172" s="3" t="n">
        <v>0</v>
      </c>
      <c r="AA172" s="32" t="n">
        <v>0</v>
      </c>
      <c r="AB172" s="3" t="n"/>
      <c r="AC172" s="31" t="n">
        <v>0</v>
      </c>
      <c r="AD172" s="2" t="n">
        <v>9</v>
      </c>
      <c r="AE172" s="2" t="n">
        <v>49</v>
      </c>
      <c r="AF172" s="4" t="n">
        <v>49</v>
      </c>
      <c r="AG172" s="33" t="n">
        <v>173.96</v>
      </c>
      <c r="AH172" s="4" t="n">
        <v>4</v>
      </c>
      <c r="AI172" s="34" t="n">
        <v>0.08160000000000001</v>
      </c>
      <c r="AJ172" s="34" t="n">
        <v>1</v>
      </c>
      <c r="AK172" s="2" t="n">
        <v>3375</v>
      </c>
      <c r="AL172" t="inlineStr">
        <is>
          <t>Published</t>
        </is>
      </c>
    </row>
    <row r="173">
      <c r="A173">
        <f>HYPERLINK("https://www.walmart.com/ip/162073245", "162073245")</f>
        <v/>
      </c>
      <c r="B173">
        <f>HYPERLINK("https://app.optiwise.ai/catalog/itemdetails/4346338", "Tirrinia Large Insulated Lunch Bag for Women Men, 10L Leakproof Thermal Reusable Lunch Box for Adult &amp; Kids, Tall Meal Prep Lunch Cooler Tote for Office Work, Back to School, Purple")</f>
        <v/>
      </c>
      <c r="C173" t="inlineStr">
        <is>
          <t>1TRLB701PP-T</t>
        </is>
      </c>
      <c r="D173" t="inlineStr">
        <is>
          <t>Home Decor, Kitchen, &amp; Other</t>
        </is>
      </c>
      <c r="E173" t="inlineStr">
        <is>
          <t>Reusable Lunch Bags &amp; Boxes</t>
        </is>
      </c>
      <c r="F173" t="inlineStr">
        <is>
          <t>Tirrinia</t>
        </is>
      </c>
      <c r="G173" t="n">
        <v>0</v>
      </c>
      <c r="H173" t="n">
        <v>0</v>
      </c>
      <c r="I173" t="inlineStr">
        <is>
          <t>Q2-Target,Brand Camp VD,Lunch Bags,SEM,Batch 1 - TR</t>
        </is>
      </c>
      <c r="J173" s="29" t="n">
        <v>170.87</v>
      </c>
      <c r="K173" s="30" t="n">
        <v>0.0015</v>
      </c>
      <c r="L173" s="29" t="n">
        <v>12.98999977111816</v>
      </c>
      <c r="M173" s="29" t="n">
        <v>0</v>
      </c>
      <c r="N173" s="2" t="n">
        <v>13</v>
      </c>
      <c r="O173" s="31" t="n">
        <v>0</v>
      </c>
      <c r="P173" s="32" t="n"/>
      <c r="Q173" s="32" t="n">
        <v>0</v>
      </c>
      <c r="R173" s="32" t="n">
        <v>0.0149</v>
      </c>
      <c r="S173" s="31" t="n">
        <v>0</v>
      </c>
      <c r="T173" s="32" t="n">
        <v>0</v>
      </c>
      <c r="U173" s="31" t="n">
        <v>0</v>
      </c>
      <c r="V173" s="31" t="n">
        <v>0</v>
      </c>
      <c r="W173" s="3" t="n">
        <v>0</v>
      </c>
      <c r="X173" s="3" t="n">
        <v>0</v>
      </c>
      <c r="Y173" s="32" t="n">
        <v>0</v>
      </c>
      <c r="Z173" s="3" t="n">
        <v>0</v>
      </c>
      <c r="AA173" s="32" t="n">
        <v>0</v>
      </c>
      <c r="AB173" s="3" t="n"/>
      <c r="AC173" s="31" t="n">
        <v>0</v>
      </c>
      <c r="AD173" s="2" t="n">
        <v>197</v>
      </c>
      <c r="AE173" s="2" t="n">
        <v>118</v>
      </c>
      <c r="AF173" s="4" t="n">
        <v>118</v>
      </c>
      <c r="AG173" s="33" t="n">
        <v>170.87</v>
      </c>
      <c r="AH173" s="4" t="n">
        <v>13</v>
      </c>
      <c r="AI173" s="34" t="n">
        <v>0.1102</v>
      </c>
      <c r="AJ173" s="34" t="n">
        <v>1</v>
      </c>
      <c r="AK173" s="2" t="n">
        <v>1038</v>
      </c>
      <c r="AL173" t="inlineStr">
        <is>
          <t>Published</t>
        </is>
      </c>
    </row>
    <row r="174">
      <c r="A174">
        <f>HYPERLINK("https://www.walmart.com/ip/1983560818", "1983560818")</f>
        <v/>
      </c>
      <c r="B174">
        <f>HYPERLINK("https://app.optiwise.ai/catalog/itemdetails/6051363", "Waterproof Blanket for Outdoors, Hooded Blanket Poncho | Windproof, Warm, Wearable, Portable | for Stadium, Picnics, Sports Events, Camping, Yoga, Beach, Outdoor Adventure, Black")</f>
        <v/>
      </c>
      <c r="C174" t="inlineStr">
        <is>
          <t>1CTBC200BKBK</t>
        </is>
      </c>
      <c r="D174" t="inlineStr">
        <is>
          <t>Bedding</t>
        </is>
      </c>
      <c r="E174" t="inlineStr">
        <is>
          <t>Throws</t>
        </is>
      </c>
      <c r="F174" t="inlineStr">
        <is>
          <t>Catalonia</t>
        </is>
      </c>
      <c r="G174" t="n">
        <v>0</v>
      </c>
      <c r="H174" t="n">
        <v>0</v>
      </c>
      <c r="I174" t="inlineStr">
        <is>
          <t>Q2-Target,Wproof Blanket</t>
        </is>
      </c>
      <c r="J174" s="29" t="n">
        <v>168.93</v>
      </c>
      <c r="K174" s="30" t="n">
        <v>0.0015</v>
      </c>
      <c r="L174" s="29" t="n">
        <v>80.96999931335449</v>
      </c>
      <c r="M174" s="29" t="n">
        <v>0</v>
      </c>
      <c r="N174" s="2" t="n">
        <v>6</v>
      </c>
      <c r="O174" s="31" t="n">
        <v>60.64000000000002</v>
      </c>
      <c r="P174" s="32" t="n">
        <v>0.0073</v>
      </c>
      <c r="Q174" s="32" t="n">
        <v>0.359</v>
      </c>
      <c r="R174" s="32" t="n">
        <v>0.0431</v>
      </c>
      <c r="S174" s="31" t="n">
        <v>3.56</v>
      </c>
      <c r="T174" s="32" t="n">
        <v>0.28</v>
      </c>
      <c r="U174" s="31" t="n">
        <v>215.92</v>
      </c>
      <c r="V174" s="31" t="n">
        <v>215.92</v>
      </c>
      <c r="W174" s="3" t="n">
        <v>27972</v>
      </c>
      <c r="X174" s="3" t="n">
        <v>143</v>
      </c>
      <c r="Y174" s="32" t="n">
        <v>0.0051</v>
      </c>
      <c r="Z174" s="3" t="n">
        <v>8</v>
      </c>
      <c r="AA174" s="32" t="n">
        <v>0.0559</v>
      </c>
      <c r="AB174" s="3" t="inlineStr">
        <is>
          <t>Auto for Top sale---Rachel</t>
        </is>
      </c>
      <c r="AC174" s="31" t="n">
        <v>0.42</v>
      </c>
      <c r="AD174" s="2" t="n">
        <v>59</v>
      </c>
      <c r="AE174" s="2" t="n">
        <v>92</v>
      </c>
      <c r="AF174" s="4" t="inlineStr">
        <is>
          <t>NA</t>
        </is>
      </c>
      <c r="AG174" s="33" t="n">
        <v>-46.98999999999998</v>
      </c>
      <c r="AH174" s="4" t="n">
        <v>-2</v>
      </c>
      <c r="AI174" s="34" t="inlineStr">
        <is>
          <t>NA</t>
        </is>
      </c>
      <c r="AJ174" s="34" t="n">
        <v>-0.2782</v>
      </c>
      <c r="AK174" s="2" t="n">
        <v>2340</v>
      </c>
      <c r="AL174" t="inlineStr">
        <is>
          <t>Published</t>
        </is>
      </c>
    </row>
    <row r="175">
      <c r="A175">
        <f>HYPERLINK("https://www.walmart.com/ip/1806715755", "1806715755")</f>
        <v/>
      </c>
      <c r="B175">
        <f>HYPERLINK("https://app.optiwise.ai/catalog/itemdetails/912024", "Tirrinia Large Insulated Lunch Tote Bag for Women,Waterproof Oxford Cloth Leakproof Cooler Bag,Shopping Food Grocery Bags for Work Beach, Navy Diamond")</f>
        <v/>
      </c>
      <c r="C175" t="inlineStr">
        <is>
          <t>1TRCB800NYDIA</t>
        </is>
      </c>
      <c r="D175" t="inlineStr">
        <is>
          <t>Home Decor, Kitchen, &amp; Other</t>
        </is>
      </c>
      <c r="E175" t="inlineStr">
        <is>
          <t>Reusable Lunch Bags &amp; Boxes</t>
        </is>
      </c>
      <c r="F175" t="inlineStr">
        <is>
          <t>Tirrinia</t>
        </is>
      </c>
      <c r="G175" t="n">
        <v>4.9</v>
      </c>
      <c r="H175" t="n">
        <v>14</v>
      </c>
      <c r="I175" t="inlineStr">
        <is>
          <t>Batch 1 - TR</t>
        </is>
      </c>
      <c r="J175" s="29" t="n">
        <v>168.87</v>
      </c>
      <c r="K175" s="30" t="n">
        <v>0.0015</v>
      </c>
      <c r="L175" s="29" t="n">
        <v>12.98999977111816</v>
      </c>
      <c r="M175" s="29" t="n">
        <v>0</v>
      </c>
      <c r="N175" s="2" t="n">
        <v>13</v>
      </c>
      <c r="O175" s="31" t="n">
        <v>0</v>
      </c>
      <c r="P175" s="32" t="n"/>
      <c r="Q175" s="32" t="n">
        <v>0</v>
      </c>
      <c r="R175" s="32" t="n">
        <v>0.01</v>
      </c>
      <c r="S175" s="31" t="n">
        <v>0</v>
      </c>
      <c r="T175" s="32" t="n">
        <v>0</v>
      </c>
      <c r="U175" s="31" t="n">
        <v>0</v>
      </c>
      <c r="V175" s="31" t="n">
        <v>0</v>
      </c>
      <c r="W175" s="3" t="n">
        <v>0</v>
      </c>
      <c r="X175" s="3" t="n">
        <v>0</v>
      </c>
      <c r="Y175" s="32" t="n">
        <v>0</v>
      </c>
      <c r="Z175" s="3" t="n">
        <v>0</v>
      </c>
      <c r="AA175" s="32" t="n">
        <v>0</v>
      </c>
      <c r="AB175" s="3" t="n"/>
      <c r="AC175" s="31" t="n">
        <v>0</v>
      </c>
      <c r="AD175" s="2" t="n">
        <v>355</v>
      </c>
      <c r="AE175" s="2" t="n">
        <v>325</v>
      </c>
      <c r="AF175" s="4" t="n">
        <v>325</v>
      </c>
      <c r="AG175" s="33" t="n">
        <v>168.87</v>
      </c>
      <c r="AH175" s="4" t="n">
        <v>13</v>
      </c>
      <c r="AI175" s="34" t="n">
        <v>0.04</v>
      </c>
      <c r="AJ175" s="34" t="n">
        <v>1</v>
      </c>
      <c r="AK175" s="2" t="n">
        <v>1038</v>
      </c>
      <c r="AL175" t="inlineStr">
        <is>
          <t>Published</t>
        </is>
      </c>
    </row>
    <row r="176">
      <c r="A176">
        <f>HYPERLINK("https://www.walmart.com/ip/1713390404", "1713390404")</f>
        <v/>
      </c>
      <c r="B176">
        <f>HYPERLINK("https://app.optiwise.ai/catalog/itemdetails/912500", "Tirrinia Large Insulated Lunch Tote Bag for Women,Waterproof Oxford Cloth Leakproof Cooler Bag,Shopping Food Grocery Bags for Work Beach, Blue Stripe")</f>
        <v/>
      </c>
      <c r="C176" t="inlineStr">
        <is>
          <t>1TRCB800BLSTR</t>
        </is>
      </c>
      <c r="D176" t="inlineStr">
        <is>
          <t>Home Decor, Kitchen, &amp; Other</t>
        </is>
      </c>
      <c r="E176" t="inlineStr">
        <is>
          <t>Reusable Lunch Bags &amp; Boxes</t>
        </is>
      </c>
      <c r="F176" t="inlineStr">
        <is>
          <t>Tirrinia</t>
        </is>
      </c>
      <c r="G176" t="n">
        <v>0</v>
      </c>
      <c r="H176" t="n">
        <v>0</v>
      </c>
      <c r="I176" t="inlineStr">
        <is>
          <t>Batch 1 - TR</t>
        </is>
      </c>
      <c r="J176" s="29" t="n">
        <v>168.87</v>
      </c>
      <c r="K176" s="30" t="n">
        <v>0.0015</v>
      </c>
      <c r="L176" s="29" t="n">
        <v>0</v>
      </c>
      <c r="M176" s="29" t="n">
        <v>0</v>
      </c>
      <c r="N176" s="2" t="n">
        <v>13</v>
      </c>
      <c r="O176" s="31" t="n">
        <v>0</v>
      </c>
      <c r="P176" s="32" t="n"/>
      <c r="Q176" s="32" t="n">
        <v>0</v>
      </c>
      <c r="R176" s="32" t="n">
        <v>0</v>
      </c>
      <c r="S176" s="31" t="n">
        <v>0</v>
      </c>
      <c r="T176" s="32" t="n">
        <v>0</v>
      </c>
      <c r="U176" s="31" t="n">
        <v>0</v>
      </c>
      <c r="V176" s="31" t="n">
        <v>0</v>
      </c>
      <c r="W176" s="3" t="n">
        <v>0</v>
      </c>
      <c r="X176" s="3" t="n">
        <v>0</v>
      </c>
      <c r="Y176" s="32" t="n">
        <v>0</v>
      </c>
      <c r="Z176" s="3" t="n">
        <v>0</v>
      </c>
      <c r="AA176" s="32" t="n">
        <v>0</v>
      </c>
      <c r="AB176" s="3" t="n"/>
      <c r="AC176" s="31" t="n">
        <v>0</v>
      </c>
      <c r="AD176" s="2" t="n">
        <v>84</v>
      </c>
      <c r="AE176" s="2" t="n">
        <v>98</v>
      </c>
      <c r="AF176" s="4" t="n">
        <v>98</v>
      </c>
      <c r="AG176" s="33" t="n">
        <v>168.87</v>
      </c>
      <c r="AH176" s="4" t="n">
        <v>13</v>
      </c>
      <c r="AI176" s="34" t="n">
        <v>0.1327</v>
      </c>
      <c r="AJ176" s="34" t="n">
        <v>1</v>
      </c>
      <c r="AK176" s="2" t="n">
        <v>1038</v>
      </c>
      <c r="AL176" t="inlineStr">
        <is>
          <t>Published</t>
        </is>
      </c>
    </row>
    <row r="177">
      <c r="A177">
        <f>HYPERLINK("https://www.walmart.com/ip/2709770044", "2709770044")</f>
        <v/>
      </c>
      <c r="B177">
        <f>HYPERLINK("https://app.optiwise.ai/catalog/itemdetails/10031984", "Wrangler Men’s Leather Country Casual Every Day Dress Belt for Jeans, Khakis Brown 38")</f>
        <v/>
      </c>
      <c r="C177" t="inlineStr">
        <is>
          <t>WR-BELT-MENS-COUNTRY-BROWN-38</t>
        </is>
      </c>
      <c r="D177" t="inlineStr">
        <is>
          <t>Clothing</t>
        </is>
      </c>
      <c r="E177" t="inlineStr">
        <is>
          <t>Belts</t>
        </is>
      </c>
      <c r="F177" t="inlineStr">
        <is>
          <t>Wrangler</t>
        </is>
      </c>
      <c r="G177" t="n">
        <v>0</v>
      </c>
      <c r="H177" t="n">
        <v>0</v>
      </c>
      <c r="I177" t="inlineStr">
        <is>
          <t>Belts</t>
        </is>
      </c>
      <c r="J177" s="29" t="n">
        <v>166.91</v>
      </c>
      <c r="K177" s="30" t="n">
        <v>0.0014</v>
      </c>
      <c r="L177" s="29" t="n">
        <v>92.96000099182129</v>
      </c>
      <c r="M177" s="29" t="n">
        <v>0</v>
      </c>
      <c r="N177" s="2" t="n">
        <v>9</v>
      </c>
      <c r="O177" s="31" t="n">
        <v>0</v>
      </c>
      <c r="P177" s="32" t="n"/>
      <c r="Q177" s="32" t="n">
        <v>0</v>
      </c>
      <c r="R177" s="32" t="n">
        <v>0.008500000000000001</v>
      </c>
      <c r="S177" s="31" t="n">
        <v>0</v>
      </c>
      <c r="T177" s="32" t="n">
        <v>0</v>
      </c>
      <c r="U177" s="31" t="n">
        <v>0</v>
      </c>
      <c r="V177" s="31" t="n">
        <v>0</v>
      </c>
      <c r="W177" s="3" t="n">
        <v>293</v>
      </c>
      <c r="X177" s="3" t="n">
        <v>0</v>
      </c>
      <c r="Y177" s="32" t="n">
        <v>0</v>
      </c>
      <c r="Z177" s="3" t="n">
        <v>0</v>
      </c>
      <c r="AA177" s="32" t="n">
        <v>0</v>
      </c>
      <c r="AB177" s="3" t="inlineStr">
        <is>
          <t>Belts Manual_Optiwise,Belts_Auto_Optiwise</t>
        </is>
      </c>
      <c r="AC177" s="31" t="n">
        <v>0</v>
      </c>
      <c r="AD177" s="2" t="n">
        <v>14</v>
      </c>
      <c r="AE177" s="2" t="n">
        <v>62</v>
      </c>
      <c r="AF177" s="4" t="n">
        <v>62</v>
      </c>
      <c r="AG177" s="33" t="n">
        <v>166.91</v>
      </c>
      <c r="AH177" s="4" t="n">
        <v>9</v>
      </c>
      <c r="AI177" s="34" t="n">
        <v>0.1452</v>
      </c>
      <c r="AJ177" s="34" t="n">
        <v>1</v>
      </c>
      <c r="AK177" s="2" t="n">
        <v>435</v>
      </c>
      <c r="AL177" t="inlineStr">
        <is>
          <t>Published</t>
        </is>
      </c>
    </row>
    <row r="178">
      <c r="A178">
        <f>HYPERLINK("https://www.walmart.com/ip/5674861245", "5674861245")</f>
        <v/>
      </c>
      <c r="B178">
        <f>HYPERLINK("https://app.optiwise.ai/catalog/itemdetails/9035206", "Tirrinia Large Cooler Bag,48 Cans Insulated Leakproof Soft Ice Chest, Portable Beach Cooler with Heavy-Duty Handles for Picnic, Beach, Camping, Road Trips")</f>
        <v/>
      </c>
      <c r="C178" t="inlineStr">
        <is>
          <t>1TRCB00148GYBK</t>
        </is>
      </c>
      <c r="D178" t="inlineStr">
        <is>
          <t>Sport &amp; Recreation Other</t>
        </is>
      </c>
      <c r="E178" t="inlineStr">
        <is>
          <t>Soft-Sided Coolers</t>
        </is>
      </c>
      <c r="F178" t="inlineStr">
        <is>
          <t>Tirrinia</t>
        </is>
      </c>
      <c r="G178" t="n">
        <v>0</v>
      </c>
      <c r="H178" t="n">
        <v>0</v>
      </c>
      <c r="J178" s="29" t="n">
        <v>164.7</v>
      </c>
      <c r="K178" s="30" t="n">
        <v>0.0014</v>
      </c>
      <c r="L178" s="29" t="n">
        <v>0</v>
      </c>
      <c r="M178" s="29" t="n">
        <v>0</v>
      </c>
      <c r="N178" s="2" t="n">
        <v>6</v>
      </c>
      <c r="O178" s="31" t="n">
        <v>0</v>
      </c>
      <c r="P178" s="32" t="n"/>
      <c r="Q178" s="32" t="n">
        <v>0</v>
      </c>
      <c r="R178" s="32" t="n">
        <v>0</v>
      </c>
      <c r="S178" s="31" t="n">
        <v>0</v>
      </c>
      <c r="T178" s="32" t="n">
        <v>0</v>
      </c>
      <c r="U178" s="31" t="n">
        <v>0</v>
      </c>
      <c r="V178" s="31" t="n">
        <v>0</v>
      </c>
      <c r="W178" s="3" t="n">
        <v>0</v>
      </c>
      <c r="X178" s="3" t="n">
        <v>0</v>
      </c>
      <c r="Y178" s="32" t="n">
        <v>0</v>
      </c>
      <c r="Z178" s="3" t="n">
        <v>0</v>
      </c>
      <c r="AA178" s="32" t="n">
        <v>0</v>
      </c>
      <c r="AB178" s="3" t="n"/>
      <c r="AC178" s="31" t="n">
        <v>0</v>
      </c>
      <c r="AD178" s="2" t="n">
        <v>40</v>
      </c>
      <c r="AE178" s="2" t="n">
        <v>243</v>
      </c>
      <c r="AF178" s="4" t="n">
        <v>243</v>
      </c>
      <c r="AG178" s="33" t="n">
        <v>164.7</v>
      </c>
      <c r="AH178" s="4" t="n">
        <v>6</v>
      </c>
      <c r="AI178" s="34" t="n">
        <v>0.0247</v>
      </c>
      <c r="AJ178" s="34" t="n">
        <v>1</v>
      </c>
      <c r="AK178" s="2" t="n">
        <v>2250</v>
      </c>
      <c r="AL178" t="inlineStr">
        <is>
          <t>Published</t>
        </is>
      </c>
    </row>
    <row r="179">
      <c r="A179">
        <f>HYPERLINK("https://www.walmart.com/ip/405691402", "405691402")</f>
        <v/>
      </c>
      <c r="B179">
        <f>HYPERLINK("https://app.optiwise.ai/catalog/itemdetails/359132", "Tirrinia Insulated Single Bottle Wine Gift Bags for Travel and Picnic, Padded Champagne Carrying Wine Bags for gifts, Blue Stripe Wine Bag")</f>
        <v/>
      </c>
      <c r="C179" t="inlineStr">
        <is>
          <t>1TRWB101STR</t>
        </is>
      </c>
      <c r="D179" t="inlineStr">
        <is>
          <t>Home Decor, Kitchen, &amp; Other</t>
        </is>
      </c>
      <c r="E179" t="inlineStr">
        <is>
          <t>Wine Totes, Bags &amp; Backpacks</t>
        </is>
      </c>
      <c r="F179" t="inlineStr">
        <is>
          <t>Tirrinia</t>
        </is>
      </c>
      <c r="G179" t="n">
        <v>5</v>
      </c>
      <c r="H179" t="n">
        <v>5</v>
      </c>
      <c r="I179" t="inlineStr">
        <is>
          <t>Wine,Wine Bag Camp,Christmas,WFS,Wine WFS,Valentine,SEM,WFS Item</t>
        </is>
      </c>
      <c r="J179" s="29" t="n">
        <v>163.95</v>
      </c>
      <c r="K179" s="30" t="n">
        <v>0.0014</v>
      </c>
      <c r="L179" s="29" t="n">
        <v>0</v>
      </c>
      <c r="M179" s="29" t="n">
        <v>0</v>
      </c>
      <c r="N179" s="2" t="n">
        <v>11</v>
      </c>
      <c r="O179" s="31" t="n">
        <v>4.2</v>
      </c>
      <c r="P179" s="32" t="n">
        <v>0.0005</v>
      </c>
      <c r="Q179" s="32" t="n">
        <v>0.0256</v>
      </c>
      <c r="R179" s="32" t="n">
        <v>0.0261</v>
      </c>
      <c r="S179" s="31" t="n">
        <v>10.47</v>
      </c>
      <c r="T179" s="32" t="n">
        <v>0.1</v>
      </c>
      <c r="U179" s="31" t="n">
        <v>43.97</v>
      </c>
      <c r="V179" s="31" t="n">
        <v>43.97</v>
      </c>
      <c r="W179" s="3" t="n">
        <v>4390</v>
      </c>
      <c r="X179" s="3" t="n">
        <v>12</v>
      </c>
      <c r="Y179" s="32" t="n">
        <v>0.0027</v>
      </c>
      <c r="Z179" s="3" t="n">
        <v>3</v>
      </c>
      <c r="AA179" s="32" t="n">
        <v>0.25</v>
      </c>
      <c r="AB179" s="3" t="inlineStr">
        <is>
          <t>Christmas Products_Optiwise,Need to sell these SKUs by 15th Feb</t>
        </is>
      </c>
      <c r="AC179" s="31" t="n">
        <v>0.35</v>
      </c>
      <c r="AD179" s="2" t="n">
        <v>20</v>
      </c>
      <c r="AE179" s="2" t="n">
        <v>40</v>
      </c>
      <c r="AF179" s="4" t="n">
        <v>28</v>
      </c>
      <c r="AG179" s="33" t="n">
        <v>119.98</v>
      </c>
      <c r="AH179" s="4" t="n">
        <v>8</v>
      </c>
      <c r="AI179" s="34" t="n">
        <v>0.2857</v>
      </c>
      <c r="AJ179" s="34" t="n">
        <v>0.7318</v>
      </c>
      <c r="AK179" s="2" t="n">
        <v>1227</v>
      </c>
      <c r="AL179" t="inlineStr">
        <is>
          <t>Published</t>
        </is>
      </c>
    </row>
    <row r="180">
      <c r="A180">
        <f>HYPERLINK("https://www.walmart.com/ip/3383613008", "3383613008")</f>
        <v/>
      </c>
      <c r="B180">
        <f>HYPERLINK("https://app.optiwise.ai/catalog/itemdetails/4985119", "Sun Blocker Unisex Travel Sun Hat UPF 50+ Female Large Brim Beach Neck Flap Hat for Camping Gardening Travel, White")</f>
        <v/>
      </c>
      <c r="C180" t="inlineStr">
        <is>
          <t>KC-S9201-WH</t>
        </is>
      </c>
      <c r="D180" t="inlineStr">
        <is>
          <t>Clothing</t>
        </is>
      </c>
      <c r="E180" t="inlineStr">
        <is>
          <t>Hats</t>
        </is>
      </c>
      <c r="F180" t="inlineStr">
        <is>
          <t>Sun Blocker</t>
        </is>
      </c>
      <c r="G180" t="n">
        <v>0</v>
      </c>
      <c r="H180" t="n">
        <v>0</v>
      </c>
      <c r="I180" t="inlineStr">
        <is>
          <t>Q2-Target,Hats</t>
        </is>
      </c>
      <c r="J180" s="29" t="n">
        <v>161.91</v>
      </c>
      <c r="K180" s="30" t="n">
        <v>0.0014</v>
      </c>
      <c r="L180" s="29" t="n">
        <v>53.96999931335449</v>
      </c>
      <c r="M180" s="29" t="n">
        <v>0</v>
      </c>
      <c r="N180" s="2" t="n">
        <v>9</v>
      </c>
      <c r="O180" s="31" t="n">
        <v>0</v>
      </c>
      <c r="P180" s="32" t="n"/>
      <c r="Q180" s="32" t="n">
        <v>0</v>
      </c>
      <c r="R180" s="32" t="n">
        <v>0.1525</v>
      </c>
      <c r="S180" s="31" t="n">
        <v>0</v>
      </c>
      <c r="T180" s="32" t="n">
        <v>0</v>
      </c>
      <c r="U180" s="31" t="n">
        <v>0</v>
      </c>
      <c r="V180" s="31" t="n">
        <v>0</v>
      </c>
      <c r="W180" s="3" t="n">
        <v>0</v>
      </c>
      <c r="X180" s="3" t="n">
        <v>0</v>
      </c>
      <c r="Y180" s="32" t="n">
        <v>0</v>
      </c>
      <c r="Z180" s="3" t="n">
        <v>0</v>
      </c>
      <c r="AA180" s="32" t="n">
        <v>0</v>
      </c>
      <c r="AB180" s="3" t="n"/>
      <c r="AC180" s="31" t="n">
        <v>0</v>
      </c>
      <c r="AD180" s="2" t="n">
        <v>75</v>
      </c>
      <c r="AE180" s="2" t="n">
        <v>92</v>
      </c>
      <c r="AF180" s="4" t="n">
        <v>92</v>
      </c>
      <c r="AG180" s="33" t="n">
        <v>161.91</v>
      </c>
      <c r="AH180" s="4" t="n">
        <v>9</v>
      </c>
      <c r="AI180" s="34" t="n">
        <v>0.0978</v>
      </c>
      <c r="AJ180" s="34" t="n">
        <v>1</v>
      </c>
      <c r="AK180" s="2" t="n">
        <v>1500</v>
      </c>
      <c r="AL180" t="inlineStr">
        <is>
          <t>Published</t>
        </is>
      </c>
    </row>
    <row r="181">
      <c r="A181">
        <f>HYPERLINK("https://www.walmart.com/ip/129746422", "129746422")</f>
        <v/>
      </c>
      <c r="B181">
        <f>HYPERLINK("https://app.optiwise.ai/catalog/itemdetails/362109", "Napa Women's Soft Warm Bathrobe, Microfiber Fleece Plush Hotel Spa Robe with Pockets, Robes for Women, Brown")</f>
        <v/>
      </c>
      <c r="C181" t="inlineStr">
        <is>
          <t>R5000BROWN-01</t>
        </is>
      </c>
      <c r="D181" t="inlineStr">
        <is>
          <t>Clothing</t>
        </is>
      </c>
      <c r="E181" t="inlineStr">
        <is>
          <t>Sleepwear Robes &amp; Bathrobes</t>
        </is>
      </c>
      <c r="F181" t="inlineStr">
        <is>
          <t>NAPA</t>
        </is>
      </c>
      <c r="G181" t="n">
        <v>4.7</v>
      </c>
      <c r="H181" t="n">
        <v>19</v>
      </c>
      <c r="I181" t="inlineStr">
        <is>
          <t>WFS,Bathrobe,Coupon_Discount,WFS Item</t>
        </is>
      </c>
      <c r="J181" s="29" t="n">
        <v>160.93</v>
      </c>
      <c r="K181" s="30" t="n">
        <v>0.0014</v>
      </c>
      <c r="L181" s="29" t="n">
        <v>45.97999954223633</v>
      </c>
      <c r="M181" s="29" t="n">
        <v>0</v>
      </c>
      <c r="N181" s="2" t="n">
        <v>7</v>
      </c>
      <c r="O181" s="31" t="n">
        <v>0</v>
      </c>
      <c r="P181" s="32" t="n"/>
      <c r="Q181" s="32" t="n">
        <v>0</v>
      </c>
      <c r="R181" s="32" t="n">
        <v>0</v>
      </c>
      <c r="S181" s="31" t="n">
        <v>0</v>
      </c>
      <c r="T181" s="32" t="n">
        <v>0</v>
      </c>
      <c r="U181" s="31" t="n">
        <v>0</v>
      </c>
      <c r="V181" s="31" t="n">
        <v>0</v>
      </c>
      <c r="W181" s="3" t="n">
        <v>0</v>
      </c>
      <c r="X181" s="3" t="n">
        <v>0</v>
      </c>
      <c r="Y181" s="32" t="n">
        <v>0</v>
      </c>
      <c r="Z181" s="3" t="n">
        <v>0</v>
      </c>
      <c r="AA181" s="32" t="n">
        <v>0</v>
      </c>
      <c r="AB181" s="3" t="n"/>
      <c r="AC181" s="31" t="n">
        <v>0</v>
      </c>
      <c r="AD181" s="2" t="n">
        <v>151</v>
      </c>
      <c r="AE181" s="2" t="n">
        <v>171</v>
      </c>
      <c r="AF181" s="4" t="n">
        <v>171</v>
      </c>
      <c r="AG181" s="33" t="n">
        <v>160.93</v>
      </c>
      <c r="AH181" s="4" t="n">
        <v>7</v>
      </c>
      <c r="AI181" s="34" t="n">
        <v>0.0409</v>
      </c>
      <c r="AJ181" s="34" t="n">
        <v>1</v>
      </c>
      <c r="AK181" s="2" t="n">
        <v>1928</v>
      </c>
      <c r="AL181" t="inlineStr">
        <is>
          <t>Published</t>
        </is>
      </c>
    </row>
    <row r="182">
      <c r="A182">
        <f>HYPERLINK("https://www.walmart.com/ip/608669736", "608669736")</f>
        <v/>
      </c>
      <c r="B182">
        <f>HYPERLINK("https://app.optiwise.ai/catalog/itemdetails/361615", "Catalonia Oversized Hoodie Blanket with Zipper, Wearable Sherpa Sweatshirt Pullover, Soft Warm Comfortable Jacket for Adults Men Women, Pink")</f>
        <v/>
      </c>
      <c r="C182" t="inlineStr">
        <is>
          <t>1CTHD220PK</t>
        </is>
      </c>
      <c r="D182" t="inlineStr">
        <is>
          <t>Clothing</t>
        </is>
      </c>
      <c r="E182" t="inlineStr">
        <is>
          <t>Throws</t>
        </is>
      </c>
      <c r="F182" t="inlineStr">
        <is>
          <t>Catalonia</t>
        </is>
      </c>
      <c r="G182" t="n">
        <v>0</v>
      </c>
      <c r="H182" t="n">
        <v>0</v>
      </c>
      <c r="I182" t="inlineStr">
        <is>
          <t>Hoodie ForAdult,Optimized,Coupon_Discount</t>
        </is>
      </c>
      <c r="J182" s="29" t="n">
        <v>159.96</v>
      </c>
      <c r="K182" s="30" t="n">
        <v>0.0014</v>
      </c>
      <c r="L182" s="29" t="n">
        <v>0</v>
      </c>
      <c r="M182" s="29" t="n">
        <v>0</v>
      </c>
      <c r="N182" s="2" t="n">
        <v>4</v>
      </c>
      <c r="O182" s="31" t="n">
        <v>18.71</v>
      </c>
      <c r="P182" s="32" t="n">
        <v>0.0022</v>
      </c>
      <c r="Q182" s="32" t="n">
        <v>0.117</v>
      </c>
      <c r="R182" s="32" t="n">
        <v>0.1906</v>
      </c>
      <c r="S182" s="31" t="n">
        <v>0</v>
      </c>
      <c r="T182" s="32" t="n">
        <v>0</v>
      </c>
      <c r="U182" s="31" t="n">
        <v>0</v>
      </c>
      <c r="V182" s="31" t="n">
        <v>0</v>
      </c>
      <c r="W182" s="3" t="n">
        <v>18382</v>
      </c>
      <c r="X182" s="3" t="n">
        <v>46</v>
      </c>
      <c r="Y182" s="32" t="n">
        <v>0.0025</v>
      </c>
      <c r="Z182" s="3" t="n">
        <v>0</v>
      </c>
      <c r="AA182" s="32" t="n">
        <v>0</v>
      </c>
      <c r="AB182" s="3" t="inlineStr">
        <is>
          <t>Hoodies_Auto</t>
        </is>
      </c>
      <c r="AC182" s="31" t="n">
        <v>0.41</v>
      </c>
      <c r="AD182" s="2" t="n">
        <v>16</v>
      </c>
      <c r="AE182" s="2" t="n">
        <v>58</v>
      </c>
      <c r="AF182" s="4" t="n">
        <v>12</v>
      </c>
      <c r="AG182" s="33" t="n">
        <v>159.96</v>
      </c>
      <c r="AH182" s="4" t="n">
        <v>4</v>
      </c>
      <c r="AI182" s="34" t="n">
        <v>0.3333</v>
      </c>
      <c r="AJ182" s="34" t="n">
        <v>1</v>
      </c>
      <c r="AK182" s="2" t="n">
        <v>3341</v>
      </c>
      <c r="AL182" t="inlineStr">
        <is>
          <t>Published</t>
        </is>
      </c>
    </row>
    <row r="183">
      <c r="A183">
        <f>HYPERLINK("https://www.walmart.com/ip/479885190", "479885190")</f>
        <v/>
      </c>
      <c r="B183">
        <f>HYPERLINK("https://app.optiwise.ai/catalog/itemdetails/360976", "Waterproof Blanket, Premium Reversible Furniture Protector Cover Blanket,Super Cozy Fleece Sherpa Throw for Outdoor Multi-Colors 80”x60” By Catalonia")</f>
        <v/>
      </c>
      <c r="C183" t="inlineStr">
        <is>
          <t>1CTBW681LGDG</t>
        </is>
      </c>
      <c r="D183" t="inlineStr">
        <is>
          <t>Home Decor, Kitchen, &amp; Other</t>
        </is>
      </c>
      <c r="E183" t="inlineStr">
        <is>
          <t>Throws</t>
        </is>
      </c>
      <c r="F183" t="inlineStr">
        <is>
          <t>Catalonia</t>
        </is>
      </c>
      <c r="G183" t="n">
        <v>4.7</v>
      </c>
      <c r="H183" t="n">
        <v>0</v>
      </c>
      <c r="I183" t="inlineStr">
        <is>
          <t>Q2-Target,Wproof Blanket,Batch 1 - TR</t>
        </is>
      </c>
      <c r="J183" s="29" t="n">
        <v>159.96</v>
      </c>
      <c r="K183" s="30" t="n">
        <v>0.0014</v>
      </c>
      <c r="L183" s="29" t="n">
        <v>0</v>
      </c>
      <c r="M183" s="29" t="n">
        <v>0</v>
      </c>
      <c r="N183" s="2" t="n">
        <v>4</v>
      </c>
      <c r="O183" s="31" t="n">
        <v>23.81</v>
      </c>
      <c r="P183" s="32" t="n">
        <v>0.0029</v>
      </c>
      <c r="Q183" s="32" t="n">
        <v>0.1488</v>
      </c>
      <c r="R183" s="32" t="n">
        <v>0.0853</v>
      </c>
      <c r="S183" s="31" t="n">
        <v>0</v>
      </c>
      <c r="T183" s="32" t="n">
        <v>0</v>
      </c>
      <c r="U183" s="31" t="n">
        <v>0</v>
      </c>
      <c r="V183" s="31" t="n">
        <v>0</v>
      </c>
      <c r="W183" s="3" t="n">
        <v>48168</v>
      </c>
      <c r="X183" s="3" t="n">
        <v>58</v>
      </c>
      <c r="Y183" s="32" t="n">
        <v>0.0012</v>
      </c>
      <c r="Z183" s="3" t="n">
        <v>0</v>
      </c>
      <c r="AA183" s="32" t="n">
        <v>0</v>
      </c>
      <c r="AB183" s="3" t="inlineStr">
        <is>
          <t>Auto for BW Indoor,Throws_Auto_Optiwise_24</t>
        </is>
      </c>
      <c r="AC183" s="31" t="n">
        <v>0.41</v>
      </c>
      <c r="AD183" s="2" t="n">
        <v>17</v>
      </c>
      <c r="AE183" s="2" t="n">
        <v>93</v>
      </c>
      <c r="AF183" s="4" t="n">
        <v>35</v>
      </c>
      <c r="AG183" s="33" t="n">
        <v>159.96</v>
      </c>
      <c r="AH183" s="4" t="n">
        <v>4</v>
      </c>
      <c r="AI183" s="34" t="n">
        <v>0.1143</v>
      </c>
      <c r="AJ183" s="34" t="n">
        <v>1</v>
      </c>
      <c r="AK183" s="2" t="n">
        <v>3442</v>
      </c>
      <c r="AL183" t="inlineStr">
        <is>
          <t>Published</t>
        </is>
      </c>
    </row>
    <row r="184">
      <c r="A184">
        <f>HYPERLINK("https://www.walmart.com/ip/10282916962", "10282916962")</f>
        <v/>
      </c>
      <c r="B184">
        <f>HYPERLINK("https://app.optiwise.ai/catalog/itemdetails/10032005", "Wrangler Men’s Leather Country Casual Every Day Dress Belt for Jeans, Khakis Brown 42")</f>
        <v/>
      </c>
      <c r="C184" t="inlineStr">
        <is>
          <t>WR-BELT-MENS-COUNTRY-BROWN-42</t>
        </is>
      </c>
      <c r="D184" t="inlineStr">
        <is>
          <t>Clothing</t>
        </is>
      </c>
      <c r="E184" t="inlineStr">
        <is>
          <t>Belts</t>
        </is>
      </c>
      <c r="F184" t="inlineStr">
        <is>
          <t>Wrangler</t>
        </is>
      </c>
      <c r="G184" t="n">
        <v>4.5</v>
      </c>
      <c r="H184" t="n">
        <v>0</v>
      </c>
      <c r="I184" t="inlineStr">
        <is>
          <t>Belts</t>
        </is>
      </c>
      <c r="J184" s="29" t="n">
        <v>159.92</v>
      </c>
      <c r="K184" s="30" t="n">
        <v>0.0014</v>
      </c>
      <c r="L184" s="29" t="n">
        <v>0</v>
      </c>
      <c r="M184" s="29" t="n">
        <v>0</v>
      </c>
      <c r="N184" s="2" t="n">
        <v>8</v>
      </c>
      <c r="O184" s="31" t="n">
        <v>7.640000000000001</v>
      </c>
      <c r="P184" s="32" t="n">
        <v>0.0009</v>
      </c>
      <c r="Q184" s="32" t="n">
        <v>0.0478</v>
      </c>
      <c r="R184" s="32" t="n">
        <v>0.2787</v>
      </c>
      <c r="S184" s="31" t="n">
        <v>0</v>
      </c>
      <c r="T184" s="32" t="n">
        <v>0</v>
      </c>
      <c r="U184" s="31" t="n">
        <v>0</v>
      </c>
      <c r="V184" s="31" t="n">
        <v>0</v>
      </c>
      <c r="W184" s="3" t="n">
        <v>853</v>
      </c>
      <c r="X184" s="3" t="n">
        <v>14</v>
      </c>
      <c r="Y184" s="32" t="n">
        <v>0.0164</v>
      </c>
      <c r="Z184" s="3" t="n">
        <v>0</v>
      </c>
      <c r="AA184" s="32" t="n">
        <v>0</v>
      </c>
      <c r="AB184" s="3" t="inlineStr">
        <is>
          <t>Belts Manual_Optiwise,Belts_Auto_Optiwise</t>
        </is>
      </c>
      <c r="AC184" s="31" t="n">
        <v>0.55</v>
      </c>
      <c r="AD184" s="2" t="n">
        <v>6</v>
      </c>
      <c r="AE184" s="2" t="n">
        <v>97</v>
      </c>
      <c r="AF184" s="4" t="n">
        <v>83</v>
      </c>
      <c r="AG184" s="33" t="n">
        <v>159.92</v>
      </c>
      <c r="AH184" s="4" t="n">
        <v>8</v>
      </c>
      <c r="AI184" s="34" t="n">
        <v>0.0964</v>
      </c>
      <c r="AJ184" s="34" t="n">
        <v>1</v>
      </c>
      <c r="AK184" s="2" t="n">
        <v>1687</v>
      </c>
      <c r="AL184" t="inlineStr">
        <is>
          <t>Published</t>
        </is>
      </c>
    </row>
    <row r="185">
      <c r="A185">
        <f>HYPERLINK("https://www.walmart.com/ip/10299774309", "10299774309")</f>
        <v/>
      </c>
      <c r="B185">
        <f>HYPERLINK("https://app.optiwise.ai/catalog/itemdetails/10032012", "Wrangler Men’s Full Grain Genuine Leather 35mm Thick Casual Belt for Jeans, Pants - Brown, 40")</f>
        <v/>
      </c>
      <c r="C185" t="inlineStr">
        <is>
          <t>WR-BELT-MENS-35MM-BROWN-40</t>
        </is>
      </c>
      <c r="D185" t="inlineStr">
        <is>
          <t>Clothing</t>
        </is>
      </c>
      <c r="E185" t="inlineStr">
        <is>
          <t>Belts</t>
        </is>
      </c>
      <c r="F185" t="inlineStr">
        <is>
          <t>Wrangler</t>
        </is>
      </c>
      <c r="G185" t="n">
        <v>0</v>
      </c>
      <c r="H185" t="n">
        <v>0</v>
      </c>
      <c r="I185" t="inlineStr">
        <is>
          <t>Belts</t>
        </is>
      </c>
      <c r="J185" s="29" t="n">
        <v>159.92</v>
      </c>
      <c r="K185" s="30" t="n">
        <v>0.0014</v>
      </c>
      <c r="L185" s="29" t="n">
        <v>19.98999977111816</v>
      </c>
      <c r="M185" s="29" t="n">
        <v>0</v>
      </c>
      <c r="N185" s="2" t="n">
        <v>8</v>
      </c>
      <c r="O185" s="31" t="n">
        <v>0</v>
      </c>
      <c r="P185" s="32" t="n"/>
      <c r="Q185" s="32" t="n">
        <v>0</v>
      </c>
      <c r="R185" s="32" t="n">
        <v>0</v>
      </c>
      <c r="S185" s="31" t="n">
        <v>0</v>
      </c>
      <c r="T185" s="32" t="n">
        <v>0</v>
      </c>
      <c r="U185" s="31" t="n">
        <v>0</v>
      </c>
      <c r="V185" s="31" t="n">
        <v>0</v>
      </c>
      <c r="W185" s="3" t="n">
        <v>0</v>
      </c>
      <c r="X185" s="3" t="n">
        <v>0</v>
      </c>
      <c r="Y185" s="32" t="n">
        <v>0</v>
      </c>
      <c r="Z185" s="3" t="n">
        <v>0</v>
      </c>
      <c r="AA185" s="32" t="n">
        <v>0</v>
      </c>
      <c r="AB185" s="3" t="n"/>
      <c r="AC185" s="31" t="n">
        <v>0</v>
      </c>
      <c r="AD185" s="2" t="n">
        <v>0</v>
      </c>
      <c r="AE185" s="2" t="n">
        <v>31</v>
      </c>
      <c r="AF185" s="4" t="n">
        <v>31</v>
      </c>
      <c r="AG185" s="33" t="n">
        <v>159.92</v>
      </c>
      <c r="AH185" s="4" t="n">
        <v>8</v>
      </c>
      <c r="AI185" s="34" t="n">
        <v>0.2581</v>
      </c>
      <c r="AJ185" s="34" t="n">
        <v>1</v>
      </c>
      <c r="AK185" s="2" t="n">
        <v>303</v>
      </c>
      <c r="AL185" t="inlineStr">
        <is>
          <t>Published</t>
        </is>
      </c>
    </row>
    <row r="186">
      <c r="A186">
        <f>HYPERLINK("https://www.walmart.com/ip/222037701", "222037701")</f>
        <v/>
      </c>
      <c r="B186">
        <f>HYPERLINK("https://app.optiwise.ai/catalog/itemdetails/361849", "Catalonia Twin Size Quilt Set, Lightweight Bedspread for Summer and Spring, 2 Pieces Bedding Coverlet-1 Quilt and 1 Pillow Sham, Latte Froest Pattern,68x90 inches")</f>
        <v/>
      </c>
      <c r="C186" t="inlineStr">
        <is>
          <t>1CTBQ202TW-LTWT</t>
        </is>
      </c>
      <c r="D186" t="inlineStr">
        <is>
          <t>Bedding</t>
        </is>
      </c>
      <c r="E186" t="inlineStr">
        <is>
          <t>Bedding Sets</t>
        </is>
      </c>
      <c r="F186" t="inlineStr">
        <is>
          <t>Catalonia</t>
        </is>
      </c>
      <c r="G186" t="n">
        <v>0</v>
      </c>
      <c r="H186" t="n">
        <v>0</v>
      </c>
      <c r="I186" t="inlineStr">
        <is>
          <t>Optimized</t>
        </is>
      </c>
      <c r="J186" s="29" t="n">
        <v>159.92</v>
      </c>
      <c r="K186" s="30" t="n">
        <v>0.0014</v>
      </c>
      <c r="L186" s="29" t="n">
        <v>0</v>
      </c>
      <c r="M186" s="29" t="n">
        <v>0</v>
      </c>
      <c r="N186" s="2" t="n">
        <v>8</v>
      </c>
      <c r="O186" s="31" t="n">
        <v>0</v>
      </c>
      <c r="P186" s="32" t="n"/>
      <c r="Q186" s="32" t="n">
        <v>0</v>
      </c>
      <c r="R186" s="32" t="n">
        <v>0</v>
      </c>
      <c r="S186" s="31" t="n">
        <v>0</v>
      </c>
      <c r="T186" s="32" t="n">
        <v>0</v>
      </c>
      <c r="U186" s="31" t="n">
        <v>0</v>
      </c>
      <c r="V186" s="31" t="n">
        <v>0</v>
      </c>
      <c r="W186" s="3" t="n">
        <v>0</v>
      </c>
      <c r="X186" s="3" t="n">
        <v>0</v>
      </c>
      <c r="Y186" s="32" t="n">
        <v>0</v>
      </c>
      <c r="Z186" s="3" t="n">
        <v>0</v>
      </c>
      <c r="AA186" s="32" t="n">
        <v>0</v>
      </c>
      <c r="AB186" s="3" t="n"/>
      <c r="AC186" s="31" t="n">
        <v>0</v>
      </c>
      <c r="AD186" s="2" t="n">
        <v>65</v>
      </c>
      <c r="AE186" s="2" t="n">
        <v>131</v>
      </c>
      <c r="AF186" s="4" t="n">
        <v>131</v>
      </c>
      <c r="AG186" s="33" t="n">
        <v>159.92</v>
      </c>
      <c r="AH186" s="4" t="n">
        <v>8</v>
      </c>
      <c r="AI186" s="34" t="n">
        <v>0.0611</v>
      </c>
      <c r="AJ186" s="34" t="n">
        <v>1</v>
      </c>
      <c r="AK186" s="2" t="n">
        <v>1687</v>
      </c>
      <c r="AL186" t="inlineStr">
        <is>
          <t>Published</t>
        </is>
      </c>
    </row>
    <row r="187">
      <c r="A187">
        <f>HYPERLINK("https://www.walmart.com/ip/364974733", "364974733")</f>
        <v/>
      </c>
      <c r="B187">
        <f>HYPERLINK("https://app.optiwise.ai/catalog/itemdetails/362064", "Pawsse Waterproof Pet Blanket, Pee Urine Proof Dog Blanket Cover for Couch Bed Furniture Protector, Liquid Proof Blanket for Small Medium Dogs, 50” x 30”,  Lt Gray/Dk Gray")</f>
        <v/>
      </c>
      <c r="C187" t="inlineStr">
        <is>
          <t>1PSBW351LGDG</t>
        </is>
      </c>
      <c r="D187" t="inlineStr">
        <is>
          <t>Animal Accessories</t>
        </is>
      </c>
      <c r="E187" t="inlineStr">
        <is>
          <t>Pet Blankets</t>
        </is>
      </c>
      <c r="F187" t="inlineStr">
        <is>
          <t>Pawsse</t>
        </is>
      </c>
      <c r="G187" t="n">
        <v>0</v>
      </c>
      <c r="H187" t="n">
        <v>0</v>
      </c>
      <c r="I187" t="inlineStr">
        <is>
          <t>Batch 1 - TR</t>
        </is>
      </c>
      <c r="J187" s="29" t="n">
        <v>159.9</v>
      </c>
      <c r="K187" s="30" t="n">
        <v>0.0014</v>
      </c>
      <c r="L187" s="29" t="n">
        <v>0</v>
      </c>
      <c r="M187" s="29" t="n">
        <v>0</v>
      </c>
      <c r="N187" s="2" t="n">
        <v>10</v>
      </c>
      <c r="O187" s="31" t="n">
        <v>49.23</v>
      </c>
      <c r="P187" s="32" t="n">
        <v>0.0059</v>
      </c>
      <c r="Q187" s="32" t="n">
        <v>0.3079</v>
      </c>
      <c r="R187" s="32" t="n">
        <v>0.1391</v>
      </c>
      <c r="S187" s="31" t="n">
        <v>1.71</v>
      </c>
      <c r="T187" s="32" t="n">
        <v>0.59</v>
      </c>
      <c r="U187" s="31" t="n">
        <v>83.95999999999999</v>
      </c>
      <c r="V187" s="31" t="n">
        <v>83.95999999999999</v>
      </c>
      <c r="W187" s="3" t="n">
        <v>15246</v>
      </c>
      <c r="X187" s="3" t="n">
        <v>115</v>
      </c>
      <c r="Y187" s="32" t="n">
        <v>0.0075</v>
      </c>
      <c r="Z187" s="3" t="n">
        <v>4</v>
      </c>
      <c r="AA187" s="32" t="n">
        <v>0.0348</v>
      </c>
      <c r="AB187" s="3" t="inlineStr">
        <is>
          <t>Auto for BW PET 2 ---Rachel,Pet Blankets_Auto_Optiwise_24</t>
        </is>
      </c>
      <c r="AC187" s="31" t="n">
        <v>0.43</v>
      </c>
      <c r="AD187" s="2" t="n">
        <v>64</v>
      </c>
      <c r="AE187" s="2" t="n">
        <v>81</v>
      </c>
      <c r="AF187" s="4" t="inlineStr">
        <is>
          <t>NA</t>
        </is>
      </c>
      <c r="AG187" s="33" t="n">
        <v>75.94000000000001</v>
      </c>
      <c r="AH187" s="4" t="n">
        <v>6</v>
      </c>
      <c r="AI187" s="34" t="inlineStr">
        <is>
          <t>NA</t>
        </is>
      </c>
      <c r="AJ187" s="34" t="n">
        <v>0.4749</v>
      </c>
      <c r="AK187" s="2" t="n">
        <v>1350</v>
      </c>
      <c r="AL187" t="inlineStr">
        <is>
          <t>Published</t>
        </is>
      </c>
    </row>
    <row r="188">
      <c r="A188">
        <f>HYPERLINK("https://www.walmart.com/ip/3686611392", "3686611392")</f>
        <v/>
      </c>
      <c r="B188">
        <f>HYPERLINK("https://app.optiwise.ai/catalog/itemdetails/4979882", "Tirrinia Lunch Bag for Women, Men and Kids, Cute Insulated Lunch Tote Bag, Reusable Large Cooler Lunch Bag for School, Work, Office, Picnic, 10 Cans, Medium, Blue Stripe")</f>
        <v/>
      </c>
      <c r="C188" t="inlineStr">
        <is>
          <t>1WMLB706BLSTR</t>
        </is>
      </c>
      <c r="D188" t="inlineStr">
        <is>
          <t>Home Decor, Kitchen, &amp; Other</t>
        </is>
      </c>
      <c r="E188" t="inlineStr">
        <is>
          <t>Reusable Lunch Bags &amp; Boxes</t>
        </is>
      </c>
      <c r="F188" t="inlineStr">
        <is>
          <t>Tirrinia</t>
        </is>
      </c>
      <c r="G188" t="n">
        <v>4.9</v>
      </c>
      <c r="H188" t="n">
        <v>51</v>
      </c>
      <c r="I188" t="inlineStr">
        <is>
          <t>Q2-Target,Brand Camp VD</t>
        </is>
      </c>
      <c r="J188" s="29" t="n">
        <v>159.84</v>
      </c>
      <c r="K188" s="30" t="n">
        <v>0.0014</v>
      </c>
      <c r="L188" s="29" t="n">
        <v>0</v>
      </c>
      <c r="M188" s="29" t="n">
        <v>0</v>
      </c>
      <c r="N188" s="2" t="n">
        <v>16</v>
      </c>
      <c r="O188" s="31" t="n">
        <v>0</v>
      </c>
      <c r="P188" s="32" t="n"/>
      <c r="Q188" s="32" t="n">
        <v>0</v>
      </c>
      <c r="R188" s="32" t="n">
        <v>0</v>
      </c>
      <c r="S188" s="31" t="n">
        <v>0</v>
      </c>
      <c r="T188" s="32" t="n">
        <v>0</v>
      </c>
      <c r="U188" s="31" t="n">
        <v>0</v>
      </c>
      <c r="V188" s="31" t="n">
        <v>0</v>
      </c>
      <c r="W188" s="3" t="n">
        <v>0</v>
      </c>
      <c r="X188" s="3" t="n">
        <v>0</v>
      </c>
      <c r="Y188" s="32" t="n">
        <v>0</v>
      </c>
      <c r="Z188" s="3" t="n">
        <v>0</v>
      </c>
      <c r="AA188" s="32" t="n">
        <v>0</v>
      </c>
      <c r="AB188" s="3" t="n"/>
      <c r="AC188" s="31" t="n">
        <v>0</v>
      </c>
      <c r="AD188" s="2" t="n">
        <v>337</v>
      </c>
      <c r="AE188" s="2" t="n">
        <v>319</v>
      </c>
      <c r="AF188" s="4" t="n">
        <v>319</v>
      </c>
      <c r="AG188" s="33" t="n">
        <v>159.84</v>
      </c>
      <c r="AH188" s="4" t="n">
        <v>16</v>
      </c>
      <c r="AI188" s="34" t="n">
        <v>0.0502</v>
      </c>
      <c r="AJ188" s="34" t="n">
        <v>1</v>
      </c>
      <c r="AK188" s="2" t="n">
        <v>843</v>
      </c>
      <c r="AL188" t="inlineStr">
        <is>
          <t>Published</t>
        </is>
      </c>
    </row>
    <row r="189">
      <c r="A189">
        <f>HYPERLINK("https://www.walmart.com/ip/680862595", "680862595")</f>
        <v/>
      </c>
      <c r="B189">
        <f>HYPERLINK("https://app.optiwise.ai/catalog/itemdetails/362726", "Solaris Sun Hats for Women with Neck Flap, Large Brim, UV Protection, Foldable, for Fishing and Hiking, Head Circumference 22.6.")</f>
        <v/>
      </c>
      <c r="C189" t="inlineStr">
        <is>
          <t>1SLSH921TN</t>
        </is>
      </c>
      <c r="D189" t="inlineStr">
        <is>
          <t>Clothing</t>
        </is>
      </c>
      <c r="E189" t="inlineStr">
        <is>
          <t>Hats</t>
        </is>
      </c>
      <c r="F189" t="inlineStr">
        <is>
          <t>Solaris</t>
        </is>
      </c>
      <c r="G189" t="n">
        <v>4.7</v>
      </c>
      <c r="H189" t="n">
        <v>3</v>
      </c>
      <c r="I189" t="inlineStr">
        <is>
          <t>Q2-Target,WFS,Hats,WFS Item</t>
        </is>
      </c>
      <c r="J189" s="29" t="n">
        <v>158.91</v>
      </c>
      <c r="K189" s="30" t="n">
        <v>0.0014</v>
      </c>
      <c r="L189" s="29" t="n">
        <v>0</v>
      </c>
      <c r="M189" s="29" t="n">
        <v>0</v>
      </c>
      <c r="N189" s="2" t="n">
        <v>8</v>
      </c>
      <c r="O189" s="31" t="n">
        <v>50.60000000000002</v>
      </c>
      <c r="P189" s="32" t="n">
        <v>0.0061</v>
      </c>
      <c r="Q189" s="32" t="n">
        <v>0.3184</v>
      </c>
      <c r="R189" s="32" t="n">
        <v>0.2716</v>
      </c>
      <c r="S189" s="31" t="n">
        <v>3.27</v>
      </c>
      <c r="T189" s="32" t="n">
        <v>0.31</v>
      </c>
      <c r="U189" s="31" t="n">
        <v>165.3</v>
      </c>
      <c r="V189" s="31" t="n">
        <v>147.31</v>
      </c>
      <c r="W189" s="3" t="n">
        <v>167123</v>
      </c>
      <c r="X189" s="3" t="n">
        <v>253</v>
      </c>
      <c r="Y189" s="32" t="n">
        <v>0.0015</v>
      </c>
      <c r="Z189" s="3" t="n">
        <v>9</v>
      </c>
      <c r="AA189" s="32" t="n">
        <v>0.0356</v>
      </c>
      <c r="AB189" s="3" t="inlineStr">
        <is>
          <t>Auto for Top sale---Rachel</t>
        </is>
      </c>
      <c r="AC189" s="31" t="n">
        <v>0.2</v>
      </c>
      <c r="AD189" s="2" t="n">
        <v>62</v>
      </c>
      <c r="AE189" s="2" t="n">
        <v>125</v>
      </c>
      <c r="AF189" s="4" t="inlineStr">
        <is>
          <t>NA</t>
        </is>
      </c>
      <c r="AG189" s="33" t="n">
        <v>-6.390000000000015</v>
      </c>
      <c r="AH189" s="4" t="n">
        <v>-1</v>
      </c>
      <c r="AI189" s="34" t="inlineStr">
        <is>
          <t>NA</t>
        </is>
      </c>
      <c r="AJ189" s="34" t="n">
        <v>-0.0402</v>
      </c>
      <c r="AK189" s="2" t="n">
        <v>1687</v>
      </c>
      <c r="AL189" t="inlineStr">
        <is>
          <t>Published</t>
        </is>
      </c>
    </row>
    <row r="190">
      <c r="A190">
        <f>HYPERLINK("https://www.walmart.com/ip/1495047112", "1495047112")</f>
        <v/>
      </c>
      <c r="B190">
        <f>HYPERLINK("https://app.optiwise.ai/catalog/itemdetails/4346617", "Tirrinia Insulated Lunch Bag for Women Men, Leakproof Thermal Reusable Lunch Box for Adult &amp; Kids by Tirrinia, Lunch Cooler Tote for Office Work, Space Pattern")</f>
        <v/>
      </c>
      <c r="C190" t="inlineStr">
        <is>
          <t>1TRLB701SPACE-N</t>
        </is>
      </c>
      <c r="D190" t="inlineStr">
        <is>
          <t>Home Decor, Kitchen, &amp; Other</t>
        </is>
      </c>
      <c r="E190" t="inlineStr">
        <is>
          <t>Reusable Lunch Bags &amp; Boxes</t>
        </is>
      </c>
      <c r="F190" t="inlineStr">
        <is>
          <t>Tirrinia</t>
        </is>
      </c>
      <c r="G190" t="n">
        <v>0</v>
      </c>
      <c r="H190" t="n">
        <v>0</v>
      </c>
      <c r="I190" t="inlineStr">
        <is>
          <t>Q2-Target,Brand Camp VD,Batch 1 - TR</t>
        </is>
      </c>
      <c r="J190" s="29" t="n">
        <v>157.15</v>
      </c>
      <c r="K190" s="30" t="n">
        <v>0.0014</v>
      </c>
      <c r="L190" s="29" t="n">
        <v>13.98999977111816</v>
      </c>
      <c r="M190" s="29" t="n">
        <v>0</v>
      </c>
      <c r="N190" s="2" t="n">
        <v>11</v>
      </c>
      <c r="O190" s="31" t="n">
        <v>0</v>
      </c>
      <c r="P190" s="32" t="n"/>
      <c r="Q190" s="32" t="n">
        <v>0</v>
      </c>
      <c r="R190" s="32" t="n">
        <v>0.0086</v>
      </c>
      <c r="S190" s="31" t="n">
        <v>0</v>
      </c>
      <c r="T190" s="32" t="n">
        <v>0</v>
      </c>
      <c r="U190" s="31" t="n">
        <v>0</v>
      </c>
      <c r="V190" s="31" t="n">
        <v>0</v>
      </c>
      <c r="W190" s="3" t="n">
        <v>0</v>
      </c>
      <c r="X190" s="3" t="n">
        <v>0</v>
      </c>
      <c r="Y190" s="32" t="n">
        <v>0</v>
      </c>
      <c r="Z190" s="3" t="n">
        <v>0</v>
      </c>
      <c r="AA190" s="32" t="n">
        <v>0</v>
      </c>
      <c r="AB190" s="3" t="n"/>
      <c r="AC190" s="31" t="n">
        <v>0</v>
      </c>
      <c r="AD190" s="2" t="n">
        <v>277</v>
      </c>
      <c r="AE190" s="2" t="n">
        <v>154</v>
      </c>
      <c r="AF190" s="4" t="n">
        <v>154</v>
      </c>
      <c r="AG190" s="33" t="n">
        <v>157.15</v>
      </c>
      <c r="AH190" s="4" t="n">
        <v>11</v>
      </c>
      <c r="AI190" s="34" t="n">
        <v>0.07140000000000001</v>
      </c>
      <c r="AJ190" s="34" t="n">
        <v>1</v>
      </c>
      <c r="AK190" s="2" t="n">
        <v>1227</v>
      </c>
      <c r="AL190" t="inlineStr">
        <is>
          <t>Published</t>
        </is>
      </c>
    </row>
    <row r="191">
      <c r="A191">
        <f>HYPERLINK("https://www.walmart.com/ip/108181843", "108181843")</f>
        <v/>
      </c>
      <c r="B191">
        <f>HYPERLINK("https://app.optiwise.ai/catalog/itemdetails/360258", "Tirrinia Insulated Lunch Bag for Women Men, Leakproof Thermal Reusable Lunch Box for Adult, Kids, Student, Lunch Cooler Tote for Office Work, Back to School, Medium, Purple")</f>
        <v/>
      </c>
      <c r="C191" t="inlineStr">
        <is>
          <t>1TRLB701PP-N</t>
        </is>
      </c>
      <c r="D191" t="inlineStr">
        <is>
          <t>Home Decor, Kitchen, &amp; Other</t>
        </is>
      </c>
      <c r="E191" t="inlineStr">
        <is>
          <t>Reusable Lunch Bags &amp; Boxes</t>
        </is>
      </c>
      <c r="F191" t="inlineStr">
        <is>
          <t>Tirrinia</t>
        </is>
      </c>
      <c r="G191" t="n">
        <v>0</v>
      </c>
      <c r="H191" t="n">
        <v>0</v>
      </c>
      <c r="I191" t="inlineStr">
        <is>
          <t>Q2-Target,Brand Camp VD,Lunch Bag,WFS,Lunch Bags,SEM,WFS Item</t>
        </is>
      </c>
      <c r="J191" s="29" t="n">
        <v>153.89</v>
      </c>
      <c r="K191" s="30" t="n">
        <v>0.0013</v>
      </c>
      <c r="L191" s="29" t="n">
        <v>13.98999977111816</v>
      </c>
      <c r="M191" s="29" t="n">
        <v>0</v>
      </c>
      <c r="N191" s="2" t="n">
        <v>11</v>
      </c>
      <c r="O191" s="31" t="n">
        <v>0</v>
      </c>
      <c r="P191" s="32" t="n"/>
      <c r="Q191" s="32" t="n">
        <v>0</v>
      </c>
      <c r="R191" s="32" t="n">
        <v>0.0803</v>
      </c>
      <c r="S191" s="31" t="n">
        <v>0</v>
      </c>
      <c r="T191" s="32" t="n">
        <v>0</v>
      </c>
      <c r="U191" s="31" t="n">
        <v>0</v>
      </c>
      <c r="V191" s="31" t="n">
        <v>0</v>
      </c>
      <c r="W191" s="3" t="n">
        <v>0</v>
      </c>
      <c r="X191" s="3" t="n">
        <v>0</v>
      </c>
      <c r="Y191" s="32" t="n">
        <v>0</v>
      </c>
      <c r="Z191" s="3" t="n">
        <v>0</v>
      </c>
      <c r="AA191" s="32" t="n">
        <v>0</v>
      </c>
      <c r="AB191" s="3" t="n"/>
      <c r="AC191" s="31" t="n">
        <v>0</v>
      </c>
      <c r="AD191" s="2" t="n">
        <v>52</v>
      </c>
      <c r="AE191" s="2" t="n">
        <v>85</v>
      </c>
      <c r="AF191" s="4" t="n">
        <v>85</v>
      </c>
      <c r="AG191" s="33" t="n">
        <v>153.89</v>
      </c>
      <c r="AH191" s="4" t="n">
        <v>11</v>
      </c>
      <c r="AI191" s="34" t="n">
        <v>0.1294</v>
      </c>
      <c r="AJ191" s="34" t="n">
        <v>1</v>
      </c>
      <c r="AK191" s="2" t="n">
        <v>1227</v>
      </c>
      <c r="AL191" t="inlineStr">
        <is>
          <t>Published</t>
        </is>
      </c>
    </row>
    <row r="192">
      <c r="A192">
        <f>HYPERLINK("https://www.walmart.com/ip/765909574", "765909574")</f>
        <v/>
      </c>
      <c r="B192">
        <f>HYPERLINK("https://app.optiwise.ai/catalog/itemdetails/362471", "Tirrinia 2 Bottle Wine Tote Carrier - Leakproof &amp; Insulated Padded Versatile Wine Cooler Bag for Travel, BYOB Restaurant, Wine Tasting, Party, Dinner, Great Christmas Day Gift for Wine Lover, Grey")</f>
        <v/>
      </c>
      <c r="C192" t="inlineStr">
        <is>
          <t>1KTWB220GY</t>
        </is>
      </c>
      <c r="D192" t="inlineStr">
        <is>
          <t>Home Decor, Kitchen, &amp; Other</t>
        </is>
      </c>
      <c r="E192" t="inlineStr">
        <is>
          <t>Wine Totes, Bags &amp; Backpacks</t>
        </is>
      </c>
      <c r="F192" t="inlineStr">
        <is>
          <t>Tirrinia</t>
        </is>
      </c>
      <c r="G192" t="n">
        <v>5</v>
      </c>
      <c r="H192" t="n">
        <v>6</v>
      </c>
      <c r="I192" t="inlineStr">
        <is>
          <t>Wine,Wine Bag Camp,Christmas,WFS,Wine WFS,Valentine,WFS Item</t>
        </is>
      </c>
      <c r="J192" s="29" t="n">
        <v>152.08</v>
      </c>
      <c r="K192" s="30" t="n">
        <v>0.0013</v>
      </c>
      <c r="L192" s="29" t="n">
        <v>20.98999977111816</v>
      </c>
      <c r="M192" s="29" t="n">
        <v>0</v>
      </c>
      <c r="N192" s="2" t="n">
        <v>7</v>
      </c>
      <c r="O192" s="31" t="n">
        <v>46.62</v>
      </c>
      <c r="P192" s="32" t="n">
        <v>0.0056</v>
      </c>
      <c r="Q192" s="32" t="n">
        <v>0.3065</v>
      </c>
      <c r="R192" s="32" t="n">
        <v>0.08550000000000001</v>
      </c>
      <c r="S192" s="31" t="n">
        <v>3.92</v>
      </c>
      <c r="T192" s="32" t="n">
        <v>0.25</v>
      </c>
      <c r="U192" s="31" t="n">
        <v>182.91</v>
      </c>
      <c r="V192" s="31" t="n">
        <v>108.95</v>
      </c>
      <c r="W192" s="3" t="n">
        <v>45006</v>
      </c>
      <c r="X192" s="3" t="n">
        <v>114</v>
      </c>
      <c r="Y192" s="32" t="n">
        <v>0.0025</v>
      </c>
      <c r="Z192" s="3" t="n">
        <v>9</v>
      </c>
      <c r="AA192" s="32" t="n">
        <v>0.0789</v>
      </c>
      <c r="AB192" s="3" t="inlineStr">
        <is>
          <t>All Items_Auto_Optiwise_24</t>
        </is>
      </c>
      <c r="AC192" s="31" t="n">
        <v>0.41</v>
      </c>
      <c r="AD192" s="2" t="n">
        <v>151</v>
      </c>
      <c r="AE192" s="2" t="n">
        <v>128</v>
      </c>
      <c r="AF192" s="4" t="n">
        <v>14</v>
      </c>
      <c r="AG192" s="33" t="n">
        <v>-30.82999999999998</v>
      </c>
      <c r="AH192" s="4" t="n">
        <v>-2</v>
      </c>
      <c r="AI192" s="34" t="n">
        <v>-0.1429</v>
      </c>
      <c r="AJ192" s="34" t="n">
        <v>-0.2027</v>
      </c>
      <c r="AK192" s="2" t="n">
        <v>1967</v>
      </c>
      <c r="AL192" t="inlineStr">
        <is>
          <t>Published</t>
        </is>
      </c>
    </row>
    <row r="193">
      <c r="A193">
        <f>HYPERLINK("https://www.walmart.com/ip/295672837", "295672837")</f>
        <v/>
      </c>
      <c r="B193">
        <f>HYPERLINK("https://app.optiwise.ai/catalog/itemdetails/361995", "Tirrinia Insulated Lunch Bag, Leakproof Thermal Bento Cooler Tote for Women and Men, Dual Compartment with Shoulder Strap, 10.2 x 7.5 x 9, Dark Blue")</f>
        <v/>
      </c>
      <c r="C193" t="inlineStr">
        <is>
          <t>1TRLB601DB</t>
        </is>
      </c>
      <c r="D193" t="inlineStr">
        <is>
          <t>Home Decor, Kitchen, &amp; Other</t>
        </is>
      </c>
      <c r="E193" t="inlineStr">
        <is>
          <t>Reusable Lunch Bags &amp; Boxes</t>
        </is>
      </c>
      <c r="F193" t="inlineStr">
        <is>
          <t>Tirrinia</t>
        </is>
      </c>
      <c r="G193" t="n">
        <v>4.3</v>
      </c>
      <c r="H193" t="n">
        <v>77</v>
      </c>
      <c r="I193" t="inlineStr">
        <is>
          <t>Q2-Target,Brand Camp VD,Lunch Bag,WFS,Lunch Bags,SEM,WFS Item</t>
        </is>
      </c>
      <c r="J193" s="29" t="n">
        <v>151.92</v>
      </c>
      <c r="K193" s="30" t="n">
        <v>0.0013</v>
      </c>
      <c r="L193" s="29" t="n">
        <v>18.98999977111816</v>
      </c>
      <c r="M193" s="29" t="n">
        <v>0</v>
      </c>
      <c r="N193" s="2" t="n">
        <v>8</v>
      </c>
      <c r="O193" s="31" t="n">
        <v>0</v>
      </c>
      <c r="P193" s="32" t="n"/>
      <c r="Q193" s="32" t="n">
        <v>0</v>
      </c>
      <c r="R193" s="32" t="n">
        <v>0.2886</v>
      </c>
      <c r="S193" s="31" t="n">
        <v>0</v>
      </c>
      <c r="T193" s="32" t="n">
        <v>0</v>
      </c>
      <c r="U193" s="31" t="n">
        <v>0</v>
      </c>
      <c r="V193" s="31" t="n">
        <v>0</v>
      </c>
      <c r="W193" s="3" t="n">
        <v>0</v>
      </c>
      <c r="X193" s="3" t="n">
        <v>0</v>
      </c>
      <c r="Y193" s="32" t="n">
        <v>0</v>
      </c>
      <c r="Z193" s="3" t="n">
        <v>0</v>
      </c>
      <c r="AA193" s="32" t="n">
        <v>0</v>
      </c>
      <c r="AB193" s="3" t="n"/>
      <c r="AC193" s="31" t="n">
        <v>0</v>
      </c>
      <c r="AD193" s="2" t="n">
        <v>116</v>
      </c>
      <c r="AE193" s="2" t="n">
        <v>102</v>
      </c>
      <c r="AF193" s="4" t="n">
        <v>102</v>
      </c>
      <c r="AG193" s="33" t="n">
        <v>151.92</v>
      </c>
      <c r="AH193" s="4" t="n">
        <v>8</v>
      </c>
      <c r="AI193" s="34" t="n">
        <v>0.0784</v>
      </c>
      <c r="AJ193" s="34" t="n">
        <v>1</v>
      </c>
      <c r="AK193" s="2" t="n">
        <v>1687</v>
      </c>
      <c r="AL193" t="inlineStr">
        <is>
          <t>Published</t>
        </is>
      </c>
    </row>
    <row r="194">
      <c r="A194">
        <f>HYPERLINK("https://www.walmart.com/ip/681069331", "681069331")</f>
        <v/>
      </c>
      <c r="B194">
        <f>HYPERLINK("https://app.optiwise.ai/catalog/itemdetails/362470", "Tirrinia Insulated Lunch Bag, Leakproof Thermal Bento Lunch Bag For Women, Men And Kids, 8 Cans, Black &amp; Purple, 10L x 6.5W x 6H")</f>
        <v/>
      </c>
      <c r="C194" t="inlineStr">
        <is>
          <t>1KTLB600BKPP</t>
        </is>
      </c>
      <c r="D194" t="inlineStr">
        <is>
          <t>Home Decor, Kitchen, &amp; Other</t>
        </is>
      </c>
      <c r="E194" t="inlineStr">
        <is>
          <t>Reusable Lunch Bags &amp; Boxes</t>
        </is>
      </c>
      <c r="F194" t="inlineStr">
        <is>
          <t>Tirrinia</t>
        </is>
      </c>
      <c r="G194" t="n">
        <v>4.5</v>
      </c>
      <c r="H194" t="n">
        <v>20</v>
      </c>
      <c r="I194" t="inlineStr">
        <is>
          <t>Q2-Target,Brand Camp VD,Lunch Bag,WFS,Lunch Bags,SEM,Wal-Exl-Price,WFS Item</t>
        </is>
      </c>
      <c r="J194" s="29" t="n">
        <v>151.78</v>
      </c>
      <c r="K194" s="30" t="n">
        <v>0.0013</v>
      </c>
      <c r="L194" s="29" t="n">
        <v>125.9199981689453</v>
      </c>
      <c r="M194" s="29" t="n">
        <v>0</v>
      </c>
      <c r="N194" s="2" t="n">
        <v>9</v>
      </c>
      <c r="O194" s="31" t="n">
        <v>0</v>
      </c>
      <c r="P194" s="32" t="n"/>
      <c r="Q194" s="32" t="n">
        <v>0</v>
      </c>
      <c r="R194" s="32" t="n">
        <v>0.0246</v>
      </c>
      <c r="S194" s="31" t="n">
        <v>0</v>
      </c>
      <c r="T194" s="32" t="n">
        <v>0</v>
      </c>
      <c r="U194" s="31" t="n">
        <v>0</v>
      </c>
      <c r="V194" s="31" t="n">
        <v>0</v>
      </c>
      <c r="W194" s="3" t="n">
        <v>0</v>
      </c>
      <c r="X194" s="3" t="n">
        <v>0</v>
      </c>
      <c r="Y194" s="32" t="n">
        <v>0</v>
      </c>
      <c r="Z194" s="3" t="n">
        <v>0</v>
      </c>
      <c r="AA194" s="32" t="n">
        <v>0</v>
      </c>
      <c r="AB194" s="3" t="n"/>
      <c r="AC194" s="31" t="n">
        <v>0</v>
      </c>
      <c r="AD194" s="2" t="n">
        <v>179</v>
      </c>
      <c r="AE194" s="2" t="n">
        <v>494</v>
      </c>
      <c r="AF194" s="4" t="n">
        <v>494</v>
      </c>
      <c r="AG194" s="33" t="n">
        <v>151.78</v>
      </c>
      <c r="AH194" s="4" t="n">
        <v>9</v>
      </c>
      <c r="AI194" s="34" t="n">
        <v>0.0182</v>
      </c>
      <c r="AJ194" s="34" t="n">
        <v>1</v>
      </c>
      <c r="AK194" s="2" t="n">
        <v>0</v>
      </c>
      <c r="AL194" t="inlineStr">
        <is>
          <t>Published</t>
        </is>
      </c>
    </row>
    <row r="195">
      <c r="A195">
        <f>HYPERLINK("https://www.walmart.com/ip/768700910", "768700910")</f>
        <v/>
      </c>
      <c r="B195">
        <f>HYPERLINK("https://app.optiwise.ai/catalog/itemdetails/380716", "Catalonia Sherpa Throw Blanket, Fuzzy Snuggle Blanket for Camping, Traveling, Couch, and Bed, Super Soft, Light Weight, Reversible Blanket for all Season Use, Green Camo, 50'' x 60''")</f>
        <v/>
      </c>
      <c r="C195" t="inlineStr">
        <is>
          <t>1CTBF579GNCAMO</t>
        </is>
      </c>
      <c r="D195" t="inlineStr">
        <is>
          <t>Bedding</t>
        </is>
      </c>
      <c r="E195" t="inlineStr">
        <is>
          <t>Throws</t>
        </is>
      </c>
      <c r="F195" t="inlineStr">
        <is>
          <t>Catalonia</t>
        </is>
      </c>
      <c r="G195" t="n">
        <v>4.5</v>
      </c>
      <c r="H195" t="n">
        <v>4</v>
      </c>
      <c r="I195" t="inlineStr">
        <is>
          <t>WFS,WFS Item</t>
        </is>
      </c>
      <c r="J195" s="29" t="n">
        <v>150.93</v>
      </c>
      <c r="K195" s="30" t="n">
        <v>0.0013</v>
      </c>
      <c r="L195" s="29" t="n">
        <v>0</v>
      </c>
      <c r="M195" s="29" t="n">
        <v>0</v>
      </c>
      <c r="N195" s="2" t="n">
        <v>7</v>
      </c>
      <c r="O195" s="31" t="n">
        <v>83.00999999999998</v>
      </c>
      <c r="P195" s="32" t="n">
        <v>0.01</v>
      </c>
      <c r="Q195" s="32" t="n">
        <v>0.55</v>
      </c>
      <c r="R195" s="32" t="n">
        <v>0.019</v>
      </c>
      <c r="S195" s="31" t="n">
        <v>2.18</v>
      </c>
      <c r="T195" s="32" t="n">
        <v>0.46</v>
      </c>
      <c r="U195" s="31" t="n">
        <v>180.91</v>
      </c>
      <c r="V195" s="31" t="n">
        <v>41.98</v>
      </c>
      <c r="W195" s="3" t="n">
        <v>86821</v>
      </c>
      <c r="X195" s="3" t="n">
        <v>208</v>
      </c>
      <c r="Y195" s="32" t="n">
        <v>0.0024</v>
      </c>
      <c r="Z195" s="3" t="n">
        <v>9</v>
      </c>
      <c r="AA195" s="32" t="n">
        <v>0.0433</v>
      </c>
      <c r="AB195" s="3" t="inlineStr">
        <is>
          <t>1CTBF579GNCAMO_Manual_Optiwise,WFS Inventory</t>
        </is>
      </c>
      <c r="AC195" s="31" t="n">
        <v>0.4</v>
      </c>
      <c r="AD195" s="2" t="n">
        <v>123</v>
      </c>
      <c r="AE195" s="2" t="n">
        <v>131</v>
      </c>
      <c r="AF195" s="4" t="inlineStr">
        <is>
          <t>NA</t>
        </is>
      </c>
      <c r="AG195" s="33" t="n">
        <v>-29.98000000000002</v>
      </c>
      <c r="AH195" s="4" t="n">
        <v>-2</v>
      </c>
      <c r="AI195" s="34" t="inlineStr">
        <is>
          <t>NA</t>
        </is>
      </c>
      <c r="AJ195" s="34" t="n">
        <v>-0.1986</v>
      </c>
      <c r="AK195" s="2" t="n">
        <v>2121</v>
      </c>
      <c r="AL195" t="inlineStr">
        <is>
          <t>Published</t>
        </is>
      </c>
    </row>
    <row r="196">
      <c r="A196">
        <f>HYPERLINK("https://www.walmart.com/ip/702705753", "702705753")</f>
        <v/>
      </c>
      <c r="B196">
        <f>HYPERLINK("https://app.optiwise.ai/catalog/itemdetails/359107", "Catalonia Wearable Fleece Blanket with Sleeves and Foot Pockets for Adult Women Men, Micro Plush Comfy Wrap Sleeved Throw Blanket Robe Large, Purple")</f>
        <v/>
      </c>
      <c r="C196" t="inlineStr">
        <is>
          <t>1CTSN101PP</t>
        </is>
      </c>
      <c r="D196" t="inlineStr">
        <is>
          <t>Bedding</t>
        </is>
      </c>
      <c r="E196" t="inlineStr">
        <is>
          <t>Throws</t>
        </is>
      </c>
      <c r="F196" t="inlineStr">
        <is>
          <t>Catalonia</t>
        </is>
      </c>
      <c r="G196" t="n">
        <v>4.4</v>
      </c>
      <c r="H196" t="n">
        <v>7</v>
      </c>
      <c r="I196" t="inlineStr">
        <is>
          <t>Q2-Target,WFS,Coupon_Discount,WFS Item,Fleece Blankets</t>
        </is>
      </c>
      <c r="J196" s="29" t="n">
        <v>150.93</v>
      </c>
      <c r="K196" s="30" t="n">
        <v>0.0013</v>
      </c>
      <c r="L196" s="29" t="n">
        <v>71.96999931335449</v>
      </c>
      <c r="M196" s="29" t="n">
        <v>0</v>
      </c>
      <c r="N196" s="2" t="n">
        <v>6</v>
      </c>
      <c r="O196" s="31" t="n">
        <v>20.02</v>
      </c>
      <c r="P196" s="32" t="n">
        <v>0.0024</v>
      </c>
      <c r="Q196" s="32" t="n">
        <v>0.1326</v>
      </c>
      <c r="R196" s="32" t="n">
        <v>0</v>
      </c>
      <c r="S196" s="31" t="n">
        <v>3.59</v>
      </c>
      <c r="T196" s="32" t="n">
        <v>0.28</v>
      </c>
      <c r="U196" s="31" t="n">
        <v>71.97</v>
      </c>
      <c r="V196" s="31" t="n">
        <v>71.97</v>
      </c>
      <c r="W196" s="3" t="n">
        <v>10446</v>
      </c>
      <c r="X196" s="3" t="n">
        <v>46</v>
      </c>
      <c r="Y196" s="32" t="n">
        <v>0.0044</v>
      </c>
      <c r="Z196" s="3" t="n">
        <v>3</v>
      </c>
      <c r="AA196" s="32" t="n">
        <v>0.06519999999999999</v>
      </c>
      <c r="AB196" s="3" t="inlineStr">
        <is>
          <t>Need to sell these SKUs by 15th Feb</t>
        </is>
      </c>
      <c r="AC196" s="31" t="n">
        <v>0.44</v>
      </c>
      <c r="AD196" s="2" t="n">
        <v>143</v>
      </c>
      <c r="AE196" s="2" t="n">
        <v>161</v>
      </c>
      <c r="AF196" s="4" t="n">
        <v>115</v>
      </c>
      <c r="AG196" s="33" t="n">
        <v>78.96000000000001</v>
      </c>
      <c r="AH196" s="4" t="n">
        <v>3</v>
      </c>
      <c r="AI196" s="34" t="n">
        <v>0.0261</v>
      </c>
      <c r="AJ196" s="34" t="n">
        <v>0.5232</v>
      </c>
      <c r="AK196" s="2" t="n">
        <v>2250</v>
      </c>
      <c r="AL196" t="inlineStr">
        <is>
          <t>Published</t>
        </is>
      </c>
    </row>
    <row r="197">
      <c r="A197">
        <f>HYPERLINK("https://www.walmart.com/ip/118796796", "118796796")</f>
        <v/>
      </c>
      <c r="B197">
        <f>HYPERLINK("https://app.optiwise.ai/catalog/itemdetails/416869", "Catalonia Queen Size Sherpa Comforter Set,  Ultra-soft Reversible Fluffy Micromink Bedding Set-3 Pieces, 1 Comforter and 2 Pillow Shams, 88x90 inches")</f>
        <v/>
      </c>
      <c r="C197" t="inlineStr">
        <is>
          <t>1CTBQ300QF-BL</t>
        </is>
      </c>
      <c r="D197" t="inlineStr">
        <is>
          <t>Bedding</t>
        </is>
      </c>
      <c r="E197" t="inlineStr">
        <is>
          <t>Bedding Sets</t>
        </is>
      </c>
      <c r="F197" t="inlineStr">
        <is>
          <t>Catalonia</t>
        </is>
      </c>
      <c r="G197" t="n">
        <v>4.6</v>
      </c>
      <c r="H197" t="n">
        <v>9</v>
      </c>
      <c r="I197" t="inlineStr">
        <is>
          <t>WFS,WFS Item</t>
        </is>
      </c>
      <c r="J197" s="29" t="n">
        <v>149.97</v>
      </c>
      <c r="K197" s="30" t="n">
        <v>0.0013</v>
      </c>
      <c r="L197" s="29" t="n">
        <v>0</v>
      </c>
      <c r="M197" s="29" t="n">
        <v>0</v>
      </c>
      <c r="N197" s="2" t="n">
        <v>3</v>
      </c>
      <c r="O197" s="31" t="n">
        <v>0</v>
      </c>
      <c r="P197" s="32" t="n"/>
      <c r="Q197" s="32" t="n">
        <v>0</v>
      </c>
      <c r="R197" s="32" t="n">
        <v>0.0356</v>
      </c>
      <c r="S197" s="31" t="n">
        <v>0</v>
      </c>
      <c r="T197" s="32" t="n">
        <v>0</v>
      </c>
      <c r="U197" s="31" t="n">
        <v>0</v>
      </c>
      <c r="V197" s="31" t="n">
        <v>0</v>
      </c>
      <c r="W197" s="3" t="n">
        <v>136</v>
      </c>
      <c r="X197" s="3" t="n">
        <v>0</v>
      </c>
      <c r="Y197" s="32" t="n">
        <v>0</v>
      </c>
      <c r="Z197" s="3" t="n">
        <v>0</v>
      </c>
      <c r="AA197" s="32" t="n">
        <v>0</v>
      </c>
      <c r="AB197" s="3" t="inlineStr">
        <is>
          <t>Top Selling Last Year 2023</t>
        </is>
      </c>
      <c r="AC197" s="31" t="n">
        <v>0</v>
      </c>
      <c r="AD197" s="2" t="n">
        <v>33</v>
      </c>
      <c r="AE197" s="2" t="n">
        <v>36</v>
      </c>
      <c r="AF197" s="4" t="n">
        <v>36</v>
      </c>
      <c r="AG197" s="33" t="n">
        <v>149.97</v>
      </c>
      <c r="AH197" s="4" t="n">
        <v>3</v>
      </c>
      <c r="AI197" s="34" t="n">
        <v>0.0833</v>
      </c>
      <c r="AJ197" s="34" t="n">
        <v>1</v>
      </c>
      <c r="AK197" s="2" t="n">
        <v>4500</v>
      </c>
      <c r="AL197" t="inlineStr">
        <is>
          <t>Published</t>
        </is>
      </c>
    </row>
    <row r="198">
      <c r="A198">
        <f>HYPERLINK("https://www.walmart.com/ip/191262377", "191262377")</f>
        <v/>
      </c>
      <c r="B198">
        <f>HYPERLINK("https://app.optiwise.ai/catalog/itemdetails/361418", "Tirrinia Insulated Lunch Bag for Women Men, Leakproof Thermal Reusable Lunch Box with 4 Pockets for Adult, Kids, Student, Lunch Bag Cooler Tote for Office Work, Back to School, Charcoal")</f>
        <v/>
      </c>
      <c r="C198" t="inlineStr">
        <is>
          <t>1TRLB702CH-N</t>
        </is>
      </c>
      <c r="D198" t="inlineStr">
        <is>
          <t>Home Decor, Kitchen, &amp; Other</t>
        </is>
      </c>
      <c r="E198" t="inlineStr">
        <is>
          <t>Reusable Lunch Bags &amp; Boxes</t>
        </is>
      </c>
      <c r="F198" t="inlineStr">
        <is>
          <t>Tirrinia</t>
        </is>
      </c>
      <c r="G198" t="n">
        <v>0</v>
      </c>
      <c r="H198" t="n">
        <v>0</v>
      </c>
      <c r="I198" t="inlineStr">
        <is>
          <t>Q2-Target,Brand Camp VD,Lunch Bag,WFS,Lunch Bags,SEM,WFS Item,AMZ Bestsellers</t>
        </is>
      </c>
      <c r="J198" s="29" t="n">
        <v>149.85</v>
      </c>
      <c r="K198" s="30" t="n">
        <v>0.0013</v>
      </c>
      <c r="L198" s="29" t="n">
        <v>9.989999771118164</v>
      </c>
      <c r="M198" s="29" t="n">
        <v>0</v>
      </c>
      <c r="N198" s="2" t="n">
        <v>15</v>
      </c>
      <c r="O198" s="31" t="n">
        <v>0</v>
      </c>
      <c r="P198" s="32" t="n"/>
      <c r="Q198" s="32" t="n">
        <v>0</v>
      </c>
      <c r="R198" s="32" t="n">
        <v>0.0382</v>
      </c>
      <c r="S198" s="31" t="n">
        <v>0</v>
      </c>
      <c r="T198" s="32" t="n">
        <v>0</v>
      </c>
      <c r="U198" s="31" t="n">
        <v>0</v>
      </c>
      <c r="V198" s="31" t="n">
        <v>0</v>
      </c>
      <c r="W198" s="3" t="n">
        <v>0</v>
      </c>
      <c r="X198" s="3" t="n">
        <v>0</v>
      </c>
      <c r="Y198" s="32" t="n">
        <v>0</v>
      </c>
      <c r="Z198" s="3" t="n">
        <v>0</v>
      </c>
      <c r="AA198" s="32" t="n">
        <v>0</v>
      </c>
      <c r="AB198" s="3" t="n"/>
      <c r="AC198" s="31" t="n">
        <v>0</v>
      </c>
      <c r="AD198" s="2" t="n">
        <v>162</v>
      </c>
      <c r="AE198" s="2" t="n">
        <v>176</v>
      </c>
      <c r="AF198" s="4" t="n">
        <v>176</v>
      </c>
      <c r="AG198" s="33" t="n">
        <v>149.85</v>
      </c>
      <c r="AH198" s="4" t="n">
        <v>15</v>
      </c>
      <c r="AI198" s="34" t="n">
        <v>0.0852</v>
      </c>
      <c r="AJ198" s="34" t="n">
        <v>1</v>
      </c>
      <c r="AK198" s="2" t="n">
        <v>900</v>
      </c>
      <c r="AL198" t="inlineStr">
        <is>
          <t>Published</t>
        </is>
      </c>
    </row>
    <row r="199">
      <c r="A199">
        <f>HYPERLINK("https://www.walmart.com/ip/1568272692", "1568272692")</f>
        <v/>
      </c>
      <c r="B199">
        <f>HYPERLINK("https://app.optiwise.ai/catalog/itemdetails/942998", "Tirrinia Outdoors Waterproof Throw Blanket, Stadium Windproof Sherpa Fleece Blanket for Traveling, Camping, Hiking, and Football, Machine Washable,Green/Black, 60'' x 80''")</f>
        <v/>
      </c>
      <c r="C199" t="inlineStr">
        <is>
          <t>1TRBW608GNBK</t>
        </is>
      </c>
      <c r="D199" t="inlineStr">
        <is>
          <t>Sport &amp; Recreation Other</t>
        </is>
      </c>
      <c r="E199" t="inlineStr">
        <is>
          <t>Throws</t>
        </is>
      </c>
      <c r="F199" t="inlineStr">
        <is>
          <t>Tirrinia</t>
        </is>
      </c>
      <c r="G199" t="n">
        <v>0</v>
      </c>
      <c r="H199" t="n">
        <v>0</v>
      </c>
      <c r="I199" t="inlineStr">
        <is>
          <t>Q2-Target,Batch 1 - TR</t>
        </is>
      </c>
      <c r="J199" s="29" t="n">
        <v>147.96</v>
      </c>
      <c r="K199" s="30" t="n">
        <v>0.0013</v>
      </c>
      <c r="L199" s="29" t="n">
        <v>0</v>
      </c>
      <c r="M199" s="29" t="n">
        <v>0</v>
      </c>
      <c r="N199" s="2" t="n">
        <v>4</v>
      </c>
      <c r="O199" s="31" t="n">
        <v>35.5</v>
      </c>
      <c r="P199" s="32" t="n">
        <v>0.0043</v>
      </c>
      <c r="Q199" s="32" t="n">
        <v>0.2399</v>
      </c>
      <c r="R199" s="32" t="n">
        <v>0.0242</v>
      </c>
      <c r="S199" s="31" t="n">
        <v>2.14</v>
      </c>
      <c r="T199" s="32" t="n">
        <v>0.47</v>
      </c>
      <c r="U199" s="31" t="n">
        <v>75.98</v>
      </c>
      <c r="V199" s="31" t="n">
        <v>75.98</v>
      </c>
      <c r="W199" s="3" t="n">
        <v>37086</v>
      </c>
      <c r="X199" s="3" t="n">
        <v>95</v>
      </c>
      <c r="Y199" s="32" t="n">
        <v>0.0026</v>
      </c>
      <c r="Z199" s="3" t="n">
        <v>2</v>
      </c>
      <c r="AA199" s="32" t="n">
        <v>0.0211</v>
      </c>
      <c r="AB199" s="3" t="inlineStr">
        <is>
          <t>Throws_Auto_Optiwise_24,Throws_Manual_Optiwise_24</t>
        </is>
      </c>
      <c r="AC199" s="31" t="n">
        <v>0.37</v>
      </c>
      <c r="AD199" s="2" t="n">
        <v>32</v>
      </c>
      <c r="AE199" s="2" t="n">
        <v>81</v>
      </c>
      <c r="AF199" s="4" t="inlineStr">
        <is>
          <t>NA</t>
        </is>
      </c>
      <c r="AG199" s="33" t="n">
        <v>71.98</v>
      </c>
      <c r="AH199" s="4" t="n">
        <v>2</v>
      </c>
      <c r="AI199" s="34" t="inlineStr">
        <is>
          <t>NA</t>
        </is>
      </c>
      <c r="AJ199" s="34" t="n">
        <v>0.4865</v>
      </c>
      <c r="AK199" s="2" t="n">
        <v>3408</v>
      </c>
      <c r="AL199" t="inlineStr">
        <is>
          <t>Published</t>
        </is>
      </c>
    </row>
    <row r="200">
      <c r="A200">
        <f>HYPERLINK("https://www.walmart.com/ip/583079518", "583079518")</f>
        <v/>
      </c>
      <c r="B200">
        <f>HYPERLINK("https://app.optiwise.ai/catalog/itemdetails/361202", "Tirrinia Insulated Lunch Bag for Women, Men, and Kids, Leakproof Thermal Reusable Insulated Cooler Bag for Office, Work, Back to School, Medium, Black, 8L, 10 X 8.5 X 9.3")</f>
        <v/>
      </c>
      <c r="C200" t="inlineStr">
        <is>
          <t>1TRLB702BK-T</t>
        </is>
      </c>
      <c r="D200" t="inlineStr">
        <is>
          <t>Home Decor, Kitchen, &amp; Other</t>
        </is>
      </c>
      <c r="E200" t="inlineStr">
        <is>
          <t>Reusable Lunch Bags &amp; Boxes</t>
        </is>
      </c>
      <c r="F200" t="inlineStr">
        <is>
          <t>Tirrinia</t>
        </is>
      </c>
      <c r="G200" t="n">
        <v>4.5</v>
      </c>
      <c r="H200" t="n">
        <v>58</v>
      </c>
      <c r="I200" t="inlineStr">
        <is>
          <t>Q2-Target,Brand Camp VD,Lunch Bag,Lunch Bags,SEM,WFS Item</t>
        </is>
      </c>
      <c r="J200" s="29" t="n">
        <v>147.37</v>
      </c>
      <c r="K200" s="30" t="n">
        <v>0.0013</v>
      </c>
      <c r="L200" s="29" t="n">
        <v>0</v>
      </c>
      <c r="M200" s="29" t="n">
        <v>0</v>
      </c>
      <c r="N200" s="2" t="n">
        <v>10</v>
      </c>
      <c r="O200" s="31" t="n">
        <v>0</v>
      </c>
      <c r="P200" s="32" t="n"/>
      <c r="Q200" s="32" t="n">
        <v>0</v>
      </c>
      <c r="R200" s="32" t="n">
        <v>0.2542</v>
      </c>
      <c r="S200" s="31" t="n">
        <v>0</v>
      </c>
      <c r="T200" s="32" t="n">
        <v>0</v>
      </c>
      <c r="U200" s="31" t="n">
        <v>0</v>
      </c>
      <c r="V200" s="31" t="n">
        <v>0</v>
      </c>
      <c r="W200" s="3" t="n">
        <v>0</v>
      </c>
      <c r="X200" s="3" t="n">
        <v>0</v>
      </c>
      <c r="Y200" s="32" t="n">
        <v>0</v>
      </c>
      <c r="Z200" s="3" t="n">
        <v>0</v>
      </c>
      <c r="AA200" s="32" t="n">
        <v>0</v>
      </c>
      <c r="AB200" s="3" t="n"/>
      <c r="AC200" s="31" t="n">
        <v>0</v>
      </c>
      <c r="AD200" s="2" t="n">
        <v>149</v>
      </c>
      <c r="AE200" s="2" t="n">
        <v>486</v>
      </c>
      <c r="AF200" s="4" t="n">
        <v>486</v>
      </c>
      <c r="AG200" s="33" t="n">
        <v>147.37</v>
      </c>
      <c r="AH200" s="4" t="n">
        <v>10</v>
      </c>
      <c r="AI200" s="34" t="n">
        <v>0.0206</v>
      </c>
      <c r="AJ200" s="34" t="n">
        <v>1</v>
      </c>
      <c r="AK200" s="2" t="n">
        <v>1350</v>
      </c>
      <c r="AL200" t="inlineStr">
        <is>
          <t>Published</t>
        </is>
      </c>
    </row>
    <row r="201">
      <c r="A201">
        <f>HYPERLINK("https://www.walmart.com/ip/821635627", "821635627")</f>
        <v/>
      </c>
      <c r="B201">
        <f>HYPERLINK("https://app.optiwise.ai/catalog/itemdetails/358749", "Catalonia Bedding Quilt Set,Lightweight Bedspread for Summer and Spring, Bedding Coverlet - Quilt and Pillow Shams, Twin, Grey/White")</f>
        <v/>
      </c>
      <c r="C201" t="inlineStr">
        <is>
          <t>1CTBQ203TW-GYWT</t>
        </is>
      </c>
      <c r="D201" t="inlineStr">
        <is>
          <t>Bedding</t>
        </is>
      </c>
      <c r="E201" t="inlineStr">
        <is>
          <t>Bedding Sets</t>
        </is>
      </c>
      <c r="F201" t="inlineStr">
        <is>
          <t>Catalonia</t>
        </is>
      </c>
      <c r="G201" t="n">
        <v>4.3</v>
      </c>
      <c r="H201" t="n">
        <v>46</v>
      </c>
      <c r="I201" t="inlineStr">
        <is>
          <t>Optimized,WFS,WFS Item</t>
        </is>
      </c>
      <c r="J201" s="29" t="n">
        <v>146.93</v>
      </c>
      <c r="K201" s="30" t="n">
        <v>0.0013</v>
      </c>
      <c r="L201" s="29" t="n">
        <v>0</v>
      </c>
      <c r="M201" s="29" t="n">
        <v>0</v>
      </c>
      <c r="N201" s="2" t="n">
        <v>7</v>
      </c>
      <c r="O201" s="31" t="n">
        <v>64.17999999999999</v>
      </c>
      <c r="P201" s="32" t="n">
        <v>0.0077</v>
      </c>
      <c r="Q201" s="32" t="n">
        <v>0.4368</v>
      </c>
      <c r="R201" s="32" t="n">
        <v>0</v>
      </c>
      <c r="S201" s="31" t="n">
        <v>0.95</v>
      </c>
      <c r="T201" s="32" t="n">
        <v>1.05</v>
      </c>
      <c r="U201" s="31" t="n">
        <v>60.97</v>
      </c>
      <c r="V201" s="31" t="n">
        <v>60.97</v>
      </c>
      <c r="W201" s="3" t="n">
        <v>40432</v>
      </c>
      <c r="X201" s="3" t="n">
        <v>169</v>
      </c>
      <c r="Y201" s="32" t="n">
        <v>0.0042</v>
      </c>
      <c r="Z201" s="3" t="n">
        <v>3</v>
      </c>
      <c r="AA201" s="32" t="n">
        <v>0.0178</v>
      </c>
      <c r="AB201" s="3" t="inlineStr">
        <is>
          <t>All Items_Auto_Optiwise_24</t>
        </is>
      </c>
      <c r="AC201" s="31" t="n">
        <v>0.38</v>
      </c>
      <c r="AD201" s="2" t="n">
        <v>6</v>
      </c>
      <c r="AE201" s="2" t="n">
        <v>0</v>
      </c>
      <c r="AF201" s="4" t="inlineStr">
        <is>
          <t>NA</t>
        </is>
      </c>
      <c r="AG201" s="33" t="n">
        <v>85.96000000000001</v>
      </c>
      <c r="AH201" s="4" t="n">
        <v>4</v>
      </c>
      <c r="AI201" s="34" t="inlineStr">
        <is>
          <t>NA</t>
        </is>
      </c>
      <c r="AJ201" s="34" t="n">
        <v>0.585</v>
      </c>
      <c r="AK201" s="2" t="n">
        <v>1832</v>
      </c>
      <c r="AL201" t="inlineStr">
        <is>
          <t>Published</t>
        </is>
      </c>
    </row>
    <row r="202">
      <c r="A202">
        <f>HYPERLINK("https://www.walmart.com/ip/554090745", "554090745")</f>
        <v/>
      </c>
      <c r="B202">
        <f>HYPERLINK("https://app.optiwise.ai/catalog/itemdetails/358777", "Tirrinia Portable Travel Blanket Airplane Office 4 in 1 Premium Fleece Poncho Blanket Folable with Pocket and Built-in Bag-Great for Airplane Car Train Travel Camping, 60x40, Gray")</f>
        <v/>
      </c>
      <c r="C202" t="inlineStr">
        <is>
          <t>1TRTB100GY</t>
        </is>
      </c>
      <c r="D202" t="inlineStr">
        <is>
          <t>Home Decor, Kitchen, &amp; Other</t>
        </is>
      </c>
      <c r="E202" t="inlineStr">
        <is>
          <t>Throws</t>
        </is>
      </c>
      <c r="F202" t="inlineStr">
        <is>
          <t>Tirrinia</t>
        </is>
      </c>
      <c r="G202" t="n">
        <v>4.2</v>
      </c>
      <c r="H202" t="n">
        <v>5</v>
      </c>
      <c r="I202" t="inlineStr">
        <is>
          <t>Optimized,WFS,Coupon_Discount,WFS Item</t>
        </is>
      </c>
      <c r="J202" s="29" t="n">
        <v>146.93</v>
      </c>
      <c r="K202" s="30" t="n">
        <v>0.0013</v>
      </c>
      <c r="L202" s="29" t="n">
        <v>20.98999977111816</v>
      </c>
      <c r="M202" s="29" t="n">
        <v>0</v>
      </c>
      <c r="N202" s="2" t="n">
        <v>7</v>
      </c>
      <c r="O202" s="31" t="n">
        <v>0</v>
      </c>
      <c r="P202" s="32" t="n"/>
      <c r="Q202" s="32" t="n">
        <v>0</v>
      </c>
      <c r="R202" s="32" t="n">
        <v>0</v>
      </c>
      <c r="S202" s="31" t="n">
        <v>0</v>
      </c>
      <c r="T202" s="32" t="n">
        <v>0</v>
      </c>
      <c r="U202" s="31" t="n">
        <v>0</v>
      </c>
      <c r="V202" s="31" t="n">
        <v>0</v>
      </c>
      <c r="W202" s="3" t="n">
        <v>0</v>
      </c>
      <c r="X202" s="3" t="n">
        <v>0</v>
      </c>
      <c r="Y202" s="32" t="n">
        <v>0</v>
      </c>
      <c r="Z202" s="3" t="n">
        <v>0</v>
      </c>
      <c r="AA202" s="32" t="n">
        <v>0</v>
      </c>
      <c r="AB202" s="3" t="n"/>
      <c r="AC202" s="31" t="n">
        <v>0</v>
      </c>
      <c r="AD202" s="2" t="n">
        <v>65</v>
      </c>
      <c r="AE202" s="2" t="n">
        <v>77</v>
      </c>
      <c r="AF202" s="4" t="n">
        <v>77</v>
      </c>
      <c r="AG202" s="33" t="n">
        <v>146.93</v>
      </c>
      <c r="AH202" s="4" t="n">
        <v>7</v>
      </c>
      <c r="AI202" s="34" t="n">
        <v>0.09089999999999999</v>
      </c>
      <c r="AJ202" s="34" t="n">
        <v>1</v>
      </c>
      <c r="AK202" s="2" t="n">
        <v>1986</v>
      </c>
      <c r="AL202" t="inlineStr">
        <is>
          <t>Published</t>
        </is>
      </c>
    </row>
    <row r="203">
      <c r="A203">
        <f>HYPERLINK("https://www.walmart.com/ip/568672180", "568672180")</f>
        <v/>
      </c>
      <c r="B203">
        <f>HYPERLINK("https://app.optiwise.ai/catalog/itemdetails/418775", "Kritter Planet Waterproof Dog Blanket for Couch, Washable Pet Couch Cover, Non-slip Bed Sofa Furniture Protector Mat, 60''x50'', Navy")</f>
        <v/>
      </c>
      <c r="C203" t="inlineStr">
        <is>
          <t>1KPBW566NY</t>
        </is>
      </c>
      <c r="D203" t="inlineStr">
        <is>
          <t>Animal Accessories</t>
        </is>
      </c>
      <c r="E203" t="inlineStr">
        <is>
          <t>Pet Blankets</t>
        </is>
      </c>
      <c r="F203" t="inlineStr">
        <is>
          <t>Kritter Planet</t>
        </is>
      </c>
      <c r="G203" t="n">
        <v>4.1</v>
      </c>
      <c r="H203" t="n">
        <v>25</v>
      </c>
      <c r="I203" t="inlineStr">
        <is>
          <t>SEM,Batch 1 - TR</t>
        </is>
      </c>
      <c r="J203" s="29" t="n">
        <v>146.92</v>
      </c>
      <c r="K203" s="30" t="n">
        <v>0.0013</v>
      </c>
      <c r="L203" s="29" t="n">
        <v>0</v>
      </c>
      <c r="M203" s="29" t="n">
        <v>0</v>
      </c>
      <c r="N203" s="2" t="n">
        <v>7</v>
      </c>
      <c r="O203" s="31" t="n">
        <v>45.70999999999999</v>
      </c>
      <c r="P203" s="32" t="n">
        <v>0.0055</v>
      </c>
      <c r="Q203" s="32" t="n">
        <v>0.3111</v>
      </c>
      <c r="R203" s="32" t="n">
        <v>0.0208</v>
      </c>
      <c r="S203" s="31" t="n">
        <v>4.59</v>
      </c>
      <c r="T203" s="32" t="n">
        <v>0.22</v>
      </c>
      <c r="U203" s="31" t="n">
        <v>209.9</v>
      </c>
      <c r="V203" s="31" t="n">
        <v>183.91</v>
      </c>
      <c r="W203" s="3" t="n">
        <v>92850</v>
      </c>
      <c r="X203" s="3" t="n">
        <v>116</v>
      </c>
      <c r="Y203" s="32" t="n">
        <v>0.0012</v>
      </c>
      <c r="Z203" s="3" t="n">
        <v>10</v>
      </c>
      <c r="AA203" s="32" t="n">
        <v>0.0862</v>
      </c>
      <c r="AB203" s="3" t="inlineStr">
        <is>
          <t>Auto for BW PET 2 ---Rachel,Pet Blankets_Auto_Optiwise_24</t>
        </is>
      </c>
      <c r="AC203" s="31" t="n">
        <v>0.39</v>
      </c>
      <c r="AD203" s="2" t="n">
        <v>30</v>
      </c>
      <c r="AE203" s="2" t="n">
        <v>80</v>
      </c>
      <c r="AF203" s="4" t="inlineStr">
        <is>
          <t>NA</t>
        </is>
      </c>
      <c r="AG203" s="33" t="n">
        <v>-62.97999999999999</v>
      </c>
      <c r="AH203" s="4" t="n">
        <v>-3</v>
      </c>
      <c r="AI203" s="34" t="inlineStr">
        <is>
          <t>NA</t>
        </is>
      </c>
      <c r="AJ203" s="34" t="n">
        <v>-0.4287</v>
      </c>
      <c r="AK203" s="2" t="n">
        <v>1967</v>
      </c>
      <c r="AL203" t="inlineStr">
        <is>
          <t>Published</t>
        </is>
      </c>
    </row>
    <row r="204">
      <c r="A204">
        <f>HYPERLINK("https://www.walmart.com/ip/439886700", "439886700")</f>
        <v/>
      </c>
      <c r="B204">
        <f>HYPERLINK("https://app.optiwise.ai/catalog/itemdetails/360765", "Tirrinia Insulated Lunch Bag, Leakproof Thermal Bento Lunch Box Tote for Women, Men and Kids, Adults Work Office Cooler Bag, Charcoal, 10.2 x 7.5 x 9.")</f>
        <v/>
      </c>
      <c r="C204" t="inlineStr">
        <is>
          <t>1KTLB600CH</t>
        </is>
      </c>
      <c r="D204" t="inlineStr">
        <is>
          <t>Home Decor, Kitchen, &amp; Other</t>
        </is>
      </c>
      <c r="E204" t="inlineStr">
        <is>
          <t>Reusable Lunch Bags &amp; Boxes</t>
        </is>
      </c>
      <c r="F204" t="inlineStr">
        <is>
          <t>Tirrinia</t>
        </is>
      </c>
      <c r="G204" t="n">
        <v>4.7</v>
      </c>
      <c r="H204" t="n">
        <v>11</v>
      </c>
      <c r="I204" t="inlineStr">
        <is>
          <t>Q2-Target,Brand Camp VD,Lunch Bag,Optimized,WFS,Lunch Bags,SEM,WFS Item</t>
        </is>
      </c>
      <c r="J204" s="29" t="n">
        <v>146.89</v>
      </c>
      <c r="K204" s="30" t="n">
        <v>0.0013</v>
      </c>
      <c r="L204" s="29" t="n">
        <v>16.98999977111816</v>
      </c>
      <c r="M204" s="29" t="n">
        <v>0</v>
      </c>
      <c r="N204" s="2" t="n">
        <v>7</v>
      </c>
      <c r="O204" s="31" t="n">
        <v>0</v>
      </c>
      <c r="P204" s="32" t="n"/>
      <c r="Q204" s="32" t="n">
        <v>0</v>
      </c>
      <c r="R204" s="32" t="n">
        <v>0.3229</v>
      </c>
      <c r="S204" s="31" t="n">
        <v>0</v>
      </c>
      <c r="T204" s="32" t="n">
        <v>0</v>
      </c>
      <c r="U204" s="31" t="n">
        <v>0</v>
      </c>
      <c r="V204" s="31" t="n">
        <v>0</v>
      </c>
      <c r="W204" s="3" t="n">
        <v>0</v>
      </c>
      <c r="X204" s="3" t="n">
        <v>0</v>
      </c>
      <c r="Y204" s="32" t="n">
        <v>0</v>
      </c>
      <c r="Z204" s="3" t="n">
        <v>0</v>
      </c>
      <c r="AA204" s="32" t="n">
        <v>0</v>
      </c>
      <c r="AB204" s="3" t="n"/>
      <c r="AC204" s="31" t="n">
        <v>0</v>
      </c>
      <c r="AD204" s="2" t="n">
        <v>223</v>
      </c>
      <c r="AE204" s="2" t="n">
        <v>150</v>
      </c>
      <c r="AF204" s="4" t="n">
        <v>150</v>
      </c>
      <c r="AG204" s="33" t="n">
        <v>146.89</v>
      </c>
      <c r="AH204" s="4" t="n">
        <v>7</v>
      </c>
      <c r="AI204" s="34" t="n">
        <v>0.0467</v>
      </c>
      <c r="AJ204" s="34" t="n">
        <v>1</v>
      </c>
      <c r="AK204" s="2" t="n">
        <v>2005</v>
      </c>
      <c r="AL204" t="inlineStr">
        <is>
          <t>Published</t>
        </is>
      </c>
    </row>
    <row r="205">
      <c r="A205">
        <f>HYPERLINK("https://www.walmart.com/ip/10261422163", "10261422163")</f>
        <v/>
      </c>
      <c r="B205">
        <f>HYPERLINK("https://app.optiwise.ai/catalog/itemdetails/10032002", "Wrangler Men’s Leather Country Casual Every Day Dress Belt for Jeans, Khakis Light Brown 34")</f>
        <v/>
      </c>
      <c r="C205" t="inlineStr">
        <is>
          <t>WR-BELT-MENS-COUNTRY-LTBROWN-34</t>
        </is>
      </c>
      <c r="D205" t="inlineStr">
        <is>
          <t>Clothing</t>
        </is>
      </c>
      <c r="E205" t="inlineStr">
        <is>
          <t>Belts</t>
        </is>
      </c>
      <c r="F205" t="inlineStr">
        <is>
          <t>Wrangler</t>
        </is>
      </c>
      <c r="G205" t="n">
        <v>0</v>
      </c>
      <c r="H205" t="n">
        <v>0</v>
      </c>
      <c r="I205" t="inlineStr">
        <is>
          <t>Belts</t>
        </is>
      </c>
      <c r="J205" s="29" t="n">
        <v>145.13</v>
      </c>
      <c r="K205" s="30" t="n">
        <v>0.0013</v>
      </c>
      <c r="L205" s="29" t="n">
        <v>119.939998626709</v>
      </c>
      <c r="M205" s="29" t="n">
        <v>0</v>
      </c>
      <c r="N205" s="2" t="n">
        <v>7</v>
      </c>
      <c r="O205" s="31" t="n">
        <v>61.09999999999999</v>
      </c>
      <c r="P205" s="32" t="n">
        <v>0.0073</v>
      </c>
      <c r="Q205" s="32" t="n">
        <v>0.421</v>
      </c>
      <c r="R205" s="32" t="n">
        <v>0.0058</v>
      </c>
      <c r="S205" s="31" t="n">
        <v>4.91</v>
      </c>
      <c r="T205" s="32" t="n">
        <v>0.2</v>
      </c>
      <c r="U205" s="31" t="n">
        <v>299.85</v>
      </c>
      <c r="V205" s="31" t="n">
        <v>279.86</v>
      </c>
      <c r="W205" s="3" t="n">
        <v>12206</v>
      </c>
      <c r="X205" s="3" t="n">
        <v>135</v>
      </c>
      <c r="Y205" s="32" t="n">
        <v>0.0111</v>
      </c>
      <c r="Z205" s="3" t="n">
        <v>15</v>
      </c>
      <c r="AA205" s="32" t="n">
        <v>0.1111</v>
      </c>
      <c r="AB205" s="3" t="inlineStr">
        <is>
          <t>Belts Manual_Optiwise,Belts_Auto_Optiwise,Need to sell these SKUs by 15th Feb</t>
        </is>
      </c>
      <c r="AC205" s="31" t="n">
        <v>0.45</v>
      </c>
      <c r="AD205" s="2" t="n">
        <v>37</v>
      </c>
      <c r="AE205" s="2" t="n">
        <v>107</v>
      </c>
      <c r="AF205" s="4" t="inlineStr">
        <is>
          <t>NA</t>
        </is>
      </c>
      <c r="AG205" s="33" t="n">
        <v>-154.72</v>
      </c>
      <c r="AH205" s="4" t="n">
        <v>-8</v>
      </c>
      <c r="AI205" s="34" t="inlineStr">
        <is>
          <t>NA</t>
        </is>
      </c>
      <c r="AJ205" s="34" t="n">
        <v>-1.0661</v>
      </c>
      <c r="AK205" s="2" t="n">
        <v>2082</v>
      </c>
      <c r="AL205" t="inlineStr">
        <is>
          <t>Published</t>
        </is>
      </c>
    </row>
    <row r="206">
      <c r="A206">
        <f>HYPERLINK("https://www.walmart.com/ip/1339831181", "1339831181")</f>
        <v/>
      </c>
      <c r="B206">
        <f>HYPERLINK("https://app.optiwise.ai/catalog/itemdetails/943226", "Tirrinia Waterproof Outdoor Blanket with Sherpa Lining, Windproof Triple Layers Warm Comfy Foldable for Camping Stadium, Sports, Picnic, Grass, Concerts, Machine Washable, Dark Green/Grey, Pet, 51''X 59''.")</f>
        <v/>
      </c>
      <c r="C206" t="inlineStr">
        <is>
          <t>1TRBW506GNBK</t>
        </is>
      </c>
      <c r="D206" t="inlineStr">
        <is>
          <t>Sport &amp; Recreation Other</t>
        </is>
      </c>
      <c r="E206" t="inlineStr">
        <is>
          <t>Picnic Blankets &amp; Mats</t>
        </is>
      </c>
      <c r="F206" t="inlineStr">
        <is>
          <t>Tirrinia</t>
        </is>
      </c>
      <c r="G206" t="n">
        <v>0</v>
      </c>
      <c r="H206" t="n">
        <v>0</v>
      </c>
      <c r="I206" t="inlineStr">
        <is>
          <t>Q2-Target,Batch 1 - TR</t>
        </is>
      </c>
      <c r="J206" s="29" t="n">
        <v>143.95</v>
      </c>
      <c r="K206" s="30" t="n">
        <v>0.0012</v>
      </c>
      <c r="L206" s="29" t="n">
        <v>0</v>
      </c>
      <c r="M206" s="29" t="n">
        <v>0</v>
      </c>
      <c r="N206" s="2" t="n">
        <v>5</v>
      </c>
      <c r="O206" s="31" t="n">
        <v>47.30999999999998</v>
      </c>
      <c r="P206" s="32" t="n">
        <v>0.0057</v>
      </c>
      <c r="Q206" s="32" t="n">
        <v>0.3287</v>
      </c>
      <c r="R206" s="32" t="n">
        <v>0.0516</v>
      </c>
      <c r="S206" s="31" t="n">
        <v>1.33</v>
      </c>
      <c r="T206" s="32" t="n">
        <v>0.75</v>
      </c>
      <c r="U206" s="31" t="n">
        <v>62.98</v>
      </c>
      <c r="V206" s="31" t="n">
        <v>62.98</v>
      </c>
      <c r="W206" s="3" t="n">
        <v>50987</v>
      </c>
      <c r="X206" s="3" t="n">
        <v>113</v>
      </c>
      <c r="Y206" s="32" t="n">
        <v>0.0022</v>
      </c>
      <c r="Z206" s="3" t="n">
        <v>2</v>
      </c>
      <c r="AA206" s="32" t="n">
        <v>0.0177</v>
      </c>
      <c r="AB206" s="3" t="inlineStr">
        <is>
          <t>Picnic Blankets &amp; Mats_Manual_Optiwise_24,Throws_Auto_Optiwise_24</t>
        </is>
      </c>
      <c r="AC206" s="31" t="n">
        <v>0.42</v>
      </c>
      <c r="AD206" s="2" t="n">
        <v>38</v>
      </c>
      <c r="AE206" s="2" t="n">
        <v>140</v>
      </c>
      <c r="AF206" s="4" t="n">
        <v>27</v>
      </c>
      <c r="AG206" s="33" t="n">
        <v>80.96999999999998</v>
      </c>
      <c r="AH206" s="4" t="n">
        <v>3</v>
      </c>
      <c r="AI206" s="34" t="n">
        <v>0.1111</v>
      </c>
      <c r="AJ206" s="34" t="n">
        <v>0.5625</v>
      </c>
      <c r="AK206" s="2" t="n">
        <v>3132</v>
      </c>
      <c r="AL206" t="inlineStr">
        <is>
          <t>Published</t>
        </is>
      </c>
    </row>
    <row r="207">
      <c r="A207">
        <f>HYPERLINK("https://www.walmart.com/ip/2582941898", "2582941898")</f>
        <v/>
      </c>
      <c r="B207">
        <f>HYPERLINK("https://app.optiwise.ai/catalog/itemdetails/4971374", "Sun Hat for Women Neck Flap Wide Brim UV Protection UPF 50+ Foldable Fishing Cap with 2 Replaceable Ribbon by Solaris")</f>
        <v/>
      </c>
      <c r="C207" t="inlineStr">
        <is>
          <t>1SLSH922PP</t>
        </is>
      </c>
      <c r="D207" t="inlineStr">
        <is>
          <t>Clothing</t>
        </is>
      </c>
      <c r="E207" t="inlineStr">
        <is>
          <t>Hats</t>
        </is>
      </c>
      <c r="F207" t="inlineStr">
        <is>
          <t>Solaris</t>
        </is>
      </c>
      <c r="G207" t="n">
        <v>0</v>
      </c>
      <c r="H207" t="n">
        <v>0</v>
      </c>
      <c r="I207" t="inlineStr">
        <is>
          <t>Hats</t>
        </is>
      </c>
      <c r="J207" s="29" t="n">
        <v>143.92</v>
      </c>
      <c r="K207" s="30" t="n">
        <v>0.0012</v>
      </c>
      <c r="L207" s="29" t="n">
        <v>0</v>
      </c>
      <c r="M207" s="29" t="n">
        <v>0</v>
      </c>
      <c r="N207" s="2" t="n">
        <v>8</v>
      </c>
      <c r="O207" s="31" t="n">
        <v>0</v>
      </c>
      <c r="P207" s="32" t="n"/>
      <c r="Q207" s="32" t="n">
        <v>0</v>
      </c>
      <c r="R207" s="32" t="n">
        <v>0</v>
      </c>
      <c r="S207" s="31" t="n">
        <v>0</v>
      </c>
      <c r="T207" s="32" t="n">
        <v>0</v>
      </c>
      <c r="U207" s="31" t="n">
        <v>0</v>
      </c>
      <c r="V207" s="31" t="n">
        <v>0</v>
      </c>
      <c r="W207" s="3" t="n">
        <v>0</v>
      </c>
      <c r="X207" s="3" t="n">
        <v>0</v>
      </c>
      <c r="Y207" s="32" t="n">
        <v>0</v>
      </c>
      <c r="Z207" s="3" t="n">
        <v>0</v>
      </c>
      <c r="AA207" s="32" t="n">
        <v>0</v>
      </c>
      <c r="AB207" s="3" t="n"/>
      <c r="AC207" s="31" t="n">
        <v>0</v>
      </c>
      <c r="AD207" s="2" t="n">
        <v>57</v>
      </c>
      <c r="AE207" s="2" t="n">
        <v>59</v>
      </c>
      <c r="AF207" s="4" t="n">
        <v>59</v>
      </c>
      <c r="AG207" s="33" t="n">
        <v>143.92</v>
      </c>
      <c r="AH207" s="4" t="n">
        <v>8</v>
      </c>
      <c r="AI207" s="34" t="n">
        <v>0.1356</v>
      </c>
      <c r="AJ207" s="34" t="n">
        <v>1</v>
      </c>
      <c r="AK207" s="2" t="n">
        <v>691</v>
      </c>
      <c r="AL207" t="inlineStr">
        <is>
          <t>Published</t>
        </is>
      </c>
    </row>
    <row r="208">
      <c r="A208">
        <f>HYPERLINK("https://www.walmart.com/ip/390487835", "390487835")</f>
        <v/>
      </c>
      <c r="B208">
        <f>HYPERLINK("https://app.optiwise.ai/catalog/itemdetails/362756", "Catalonia Queen Size Quilt Set, Lightweight Bedspread for Summer and Spring, 3 Pieces Bedding Coverlet, 1 Quilt and 2 Pillow Shams, Latte Froest Pattern, 90’’ x 96’’")</f>
        <v/>
      </c>
      <c r="C208" t="inlineStr">
        <is>
          <t>1CTBQ202QF-LTWT</t>
        </is>
      </c>
      <c r="D208" t="inlineStr">
        <is>
          <t>Bedding</t>
        </is>
      </c>
      <c r="E208" t="inlineStr">
        <is>
          <t>Bedding Sets</t>
        </is>
      </c>
      <c r="F208" t="inlineStr">
        <is>
          <t>Catalonia</t>
        </is>
      </c>
      <c r="G208" t="n">
        <v>0</v>
      </c>
      <c r="H208" t="n">
        <v>0</v>
      </c>
      <c r="I208" t="inlineStr">
        <is>
          <t>Optimized</t>
        </is>
      </c>
      <c r="J208" s="29" t="n">
        <v>142.81</v>
      </c>
      <c r="K208" s="30" t="n">
        <v>0.0012</v>
      </c>
      <c r="L208" s="29" t="n">
        <v>0</v>
      </c>
      <c r="M208" s="29" t="n">
        <v>0</v>
      </c>
      <c r="N208" s="2" t="n">
        <v>6</v>
      </c>
      <c r="O208" s="31" t="n">
        <v>0</v>
      </c>
      <c r="P208" s="32" t="n"/>
      <c r="Q208" s="32" t="n">
        <v>0</v>
      </c>
      <c r="R208" s="32" t="n">
        <v>0</v>
      </c>
      <c r="S208" s="31" t="n">
        <v>0</v>
      </c>
      <c r="T208" s="32" t="n">
        <v>0</v>
      </c>
      <c r="U208" s="31" t="n">
        <v>0</v>
      </c>
      <c r="V208" s="31" t="n">
        <v>0</v>
      </c>
      <c r="W208" s="3" t="n">
        <v>0</v>
      </c>
      <c r="X208" s="3" t="n">
        <v>0</v>
      </c>
      <c r="Y208" s="32" t="n">
        <v>0</v>
      </c>
      <c r="Z208" s="3" t="n">
        <v>0</v>
      </c>
      <c r="AA208" s="32" t="n">
        <v>0</v>
      </c>
      <c r="AB208" s="3" t="n"/>
      <c r="AC208" s="31" t="n">
        <v>0</v>
      </c>
      <c r="AD208" s="2" t="n">
        <v>26</v>
      </c>
      <c r="AE208" s="2" t="n">
        <v>118</v>
      </c>
      <c r="AF208" s="4" t="n">
        <v>118</v>
      </c>
      <c r="AG208" s="33" t="n">
        <v>142.81</v>
      </c>
      <c r="AH208" s="4" t="n">
        <v>6</v>
      </c>
      <c r="AI208" s="34" t="n">
        <v>0.0508</v>
      </c>
      <c r="AJ208" s="34" t="n">
        <v>1</v>
      </c>
      <c r="AK208" s="2" t="n">
        <v>22</v>
      </c>
      <c r="AL208" t="inlineStr">
        <is>
          <t>Published</t>
        </is>
      </c>
    </row>
    <row r="209">
      <c r="A209">
        <f>HYPERLINK("https://www.walmart.com/ip/10279411640", "10279411640")</f>
        <v/>
      </c>
      <c r="B209">
        <f>HYPERLINK("https://app.optiwise.ai/catalog/itemdetails/10031985", "Wrangler Men’s Leather Country Casual Every Day Dress Belt for Jeans, Khakis Light Brown 40")</f>
        <v/>
      </c>
      <c r="C209" t="inlineStr">
        <is>
          <t>WR-BELT-MENS-COUNTRY-LTBROWN-40</t>
        </is>
      </c>
      <c r="D209" t="inlineStr">
        <is>
          <t>Clothing</t>
        </is>
      </c>
      <c r="E209" t="inlineStr">
        <is>
          <t>Belts</t>
        </is>
      </c>
      <c r="F209" t="inlineStr">
        <is>
          <t>Wrangler</t>
        </is>
      </c>
      <c r="G209" t="n">
        <v>0</v>
      </c>
      <c r="H209" t="n">
        <v>0</v>
      </c>
      <c r="I209" t="inlineStr">
        <is>
          <t>Belts</t>
        </is>
      </c>
      <c r="J209" s="29" t="n">
        <v>139.93</v>
      </c>
      <c r="K209" s="30" t="n">
        <v>0.0012</v>
      </c>
      <c r="L209" s="29" t="n">
        <v>0</v>
      </c>
      <c r="M209" s="29" t="n">
        <v>0</v>
      </c>
      <c r="N209" s="2" t="n">
        <v>7</v>
      </c>
      <c r="O209" s="31" t="n">
        <v>0</v>
      </c>
      <c r="P209" s="32" t="n"/>
      <c r="Q209" s="32" t="n">
        <v>0</v>
      </c>
      <c r="R209" s="32" t="n">
        <v>0.0888</v>
      </c>
      <c r="S209" s="31" t="n">
        <v>0</v>
      </c>
      <c r="T209" s="32" t="n">
        <v>0</v>
      </c>
      <c r="U209" s="31" t="n">
        <v>0</v>
      </c>
      <c r="V209" s="31" t="n">
        <v>0</v>
      </c>
      <c r="W209" s="3" t="n">
        <v>663</v>
      </c>
      <c r="X209" s="3" t="n">
        <v>0</v>
      </c>
      <c r="Y209" s="32" t="n">
        <v>0</v>
      </c>
      <c r="Z209" s="3" t="n">
        <v>0</v>
      </c>
      <c r="AA209" s="32" t="n">
        <v>0</v>
      </c>
      <c r="AB209" s="3" t="inlineStr">
        <is>
          <t>Belts Manual_Optiwise,Belts_Auto_Optiwise</t>
        </is>
      </c>
      <c r="AC209" s="31" t="n">
        <v>0</v>
      </c>
      <c r="AD209" s="2" t="n">
        <v>0</v>
      </c>
      <c r="AE209" s="2" t="n">
        <v>63</v>
      </c>
      <c r="AF209" s="4" t="n">
        <v>63</v>
      </c>
      <c r="AG209" s="33" t="n">
        <v>139.93</v>
      </c>
      <c r="AH209" s="4" t="n">
        <v>7</v>
      </c>
      <c r="AI209" s="34" t="n">
        <v>0.1111</v>
      </c>
      <c r="AJ209" s="34" t="n">
        <v>1</v>
      </c>
      <c r="AK209" s="2" t="n">
        <v>1928</v>
      </c>
      <c r="AL209" t="inlineStr">
        <is>
          <t>Published</t>
        </is>
      </c>
    </row>
    <row r="210">
      <c r="A210">
        <f>HYPERLINK("https://www.walmart.com/ip/10291650549", "10291650549")</f>
        <v/>
      </c>
      <c r="B210">
        <f>HYPERLINK("https://app.optiwise.ai/catalog/itemdetails/10031976", "Wrangler Men’s Leather Country Casual Every Day Dress Belt for Jeans, Khakis Light Brown 38")</f>
        <v/>
      </c>
      <c r="C210" t="inlineStr">
        <is>
          <t>WR-BELT-MENS-COUNTRY-LTBROWN-38</t>
        </is>
      </c>
      <c r="D210" t="inlineStr">
        <is>
          <t>Clothing</t>
        </is>
      </c>
      <c r="E210" t="inlineStr">
        <is>
          <t>Belts</t>
        </is>
      </c>
      <c r="F210" t="inlineStr">
        <is>
          <t>Wrangler</t>
        </is>
      </c>
      <c r="G210" t="n">
        <v>0</v>
      </c>
      <c r="H210" t="n">
        <v>0</v>
      </c>
      <c r="I210" t="inlineStr">
        <is>
          <t>Belts</t>
        </is>
      </c>
      <c r="J210" s="29" t="n">
        <v>139.93</v>
      </c>
      <c r="K210" s="30" t="n">
        <v>0.0012</v>
      </c>
      <c r="L210" s="29" t="n">
        <v>0</v>
      </c>
      <c r="M210" s="29" t="n">
        <v>0</v>
      </c>
      <c r="N210" s="2" t="n">
        <v>7</v>
      </c>
      <c r="O210" s="31" t="n">
        <v>11.73</v>
      </c>
      <c r="P210" s="32" t="n">
        <v>0.0014</v>
      </c>
      <c r="Q210" s="32" t="n">
        <v>0.0838</v>
      </c>
      <c r="R210" s="32" t="n">
        <v>0.1669</v>
      </c>
      <c r="S210" s="31" t="n">
        <v>0</v>
      </c>
      <c r="T210" s="32" t="n">
        <v>0</v>
      </c>
      <c r="U210" s="31" t="n">
        <v>0</v>
      </c>
      <c r="V210" s="31" t="n">
        <v>0</v>
      </c>
      <c r="W210" s="3" t="n">
        <v>7185</v>
      </c>
      <c r="X210" s="3" t="n">
        <v>19</v>
      </c>
      <c r="Y210" s="32" t="n">
        <v>0.0026</v>
      </c>
      <c r="Z210" s="3" t="n">
        <v>0</v>
      </c>
      <c r="AA210" s="32" t="n">
        <v>0</v>
      </c>
      <c r="AB210" s="3" t="inlineStr">
        <is>
          <t>Belts Manual_Optiwise,Belts_Auto_Optiwise,Need to sell these SKUs by 15th Feb</t>
        </is>
      </c>
      <c r="AC210" s="31" t="n">
        <v>0.62</v>
      </c>
      <c r="AD210" s="2" t="n">
        <v>13</v>
      </c>
      <c r="AE210" s="2" t="n">
        <v>49</v>
      </c>
      <c r="AF210" s="4" t="n">
        <v>30</v>
      </c>
      <c r="AG210" s="33" t="n">
        <v>139.93</v>
      </c>
      <c r="AH210" s="4" t="n">
        <v>7</v>
      </c>
      <c r="AI210" s="34" t="n">
        <v>0.2333</v>
      </c>
      <c r="AJ210" s="34" t="n">
        <v>1</v>
      </c>
      <c r="AK210" s="2" t="n">
        <v>0</v>
      </c>
      <c r="AL210" t="inlineStr">
        <is>
          <t>Published</t>
        </is>
      </c>
    </row>
    <row r="211">
      <c r="A211">
        <f>HYPERLINK("https://www.walmart.com/ip/240056839", "240056839")</f>
        <v/>
      </c>
      <c r="B211">
        <f>HYPERLINK("https://app.optiwise.ai/catalog/itemdetails/418773", "Kritter Planet Waterproof Dog Blanket for Couch, Washable Pet Couch Cover, Non-slip Bed Sofa Furniture Protector Mat, Navy, 30''x50''.")</f>
        <v/>
      </c>
      <c r="C211" t="inlineStr">
        <is>
          <t>1KPBW356NY</t>
        </is>
      </c>
      <c r="D211" t="inlineStr">
        <is>
          <t>Animal Accessories</t>
        </is>
      </c>
      <c r="E211" t="inlineStr">
        <is>
          <t>Pet Blankets</t>
        </is>
      </c>
      <c r="F211" t="inlineStr">
        <is>
          <t>Kritter Planet</t>
        </is>
      </c>
      <c r="G211" t="n">
        <v>0</v>
      </c>
      <c r="H211" t="n">
        <v>0</v>
      </c>
      <c r="I211" t="inlineStr">
        <is>
          <t>Optimized</t>
        </is>
      </c>
      <c r="J211" s="29" t="n">
        <v>139.9</v>
      </c>
      <c r="K211" s="30" t="n">
        <v>0.0012</v>
      </c>
      <c r="L211" s="29" t="n">
        <v>0</v>
      </c>
      <c r="M211" s="29" t="n">
        <v>0</v>
      </c>
      <c r="N211" s="2" t="n">
        <v>10</v>
      </c>
      <c r="O211" s="31" t="n">
        <v>1.41</v>
      </c>
      <c r="P211" s="32" t="n">
        <v>0.0002</v>
      </c>
      <c r="Q211" s="32" t="n">
        <v>0.0101</v>
      </c>
      <c r="R211" s="32" t="n">
        <v>0.2242</v>
      </c>
      <c r="S211" s="31" t="n">
        <v>21.26</v>
      </c>
      <c r="T211" s="32" t="n">
        <v>0.05</v>
      </c>
      <c r="U211" s="31" t="n">
        <v>29.98</v>
      </c>
      <c r="V211" s="31" t="n">
        <v>29.98</v>
      </c>
      <c r="W211" s="3" t="n">
        <v>3533</v>
      </c>
      <c r="X211" s="3" t="n">
        <v>7</v>
      </c>
      <c r="Y211" s="32" t="n">
        <v>0.002</v>
      </c>
      <c r="Z211" s="3" t="n">
        <v>2</v>
      </c>
      <c r="AA211" s="32" t="n">
        <v>0.2857</v>
      </c>
      <c r="AB211" s="3" t="inlineStr">
        <is>
          <t>Auto for BW PET 2 ---Rachel</t>
        </is>
      </c>
      <c r="AC211" s="31" t="n">
        <v>0.2</v>
      </c>
      <c r="AD211" s="2" t="n">
        <v>72</v>
      </c>
      <c r="AE211" s="2" t="n">
        <v>64</v>
      </c>
      <c r="AF211" s="4" t="n">
        <v>57</v>
      </c>
      <c r="AG211" s="33" t="n">
        <v>109.92</v>
      </c>
      <c r="AH211" s="4" t="n">
        <v>8</v>
      </c>
      <c r="AI211" s="34" t="n">
        <v>0.1404</v>
      </c>
      <c r="AJ211" s="34" t="n">
        <v>0.7857</v>
      </c>
      <c r="AK211" s="2" t="n">
        <v>0</v>
      </c>
      <c r="AL211" t="inlineStr">
        <is>
          <t>Published</t>
        </is>
      </c>
    </row>
    <row r="212">
      <c r="A212">
        <f>HYPERLINK("https://www.walmart.com/ip/783067096", "783067096")</f>
        <v/>
      </c>
      <c r="B212">
        <f>HYPERLINK("https://app.optiwise.ai/catalog/itemdetails/362605", "Men's Sun Hat with Neck Flap, Wide Brim Fishing Safari Hiking Hat, UPF 50+ Protection, Adjustable Chin Strap")</f>
        <v/>
      </c>
      <c r="C212" t="inlineStr">
        <is>
          <t>1SLSH923OL</t>
        </is>
      </c>
      <c r="D212" t="inlineStr">
        <is>
          <t>Clothing</t>
        </is>
      </c>
      <c r="E212" t="inlineStr">
        <is>
          <t>Hats</t>
        </is>
      </c>
      <c r="F212" t="inlineStr">
        <is>
          <t>Solaris</t>
        </is>
      </c>
      <c r="G212" t="n">
        <v>4.5</v>
      </c>
      <c r="H212" t="n">
        <v>104</v>
      </c>
      <c r="I212" t="inlineStr">
        <is>
          <t>Q2-Target,WFS,Hats,WFS Item</t>
        </is>
      </c>
      <c r="J212" s="29" t="n">
        <v>139.9</v>
      </c>
      <c r="K212" s="30" t="n">
        <v>0.0012</v>
      </c>
      <c r="L212" s="29" t="n">
        <v>0</v>
      </c>
      <c r="M212" s="29" t="n">
        <v>13.98999977111816</v>
      </c>
      <c r="N212" s="2" t="n">
        <v>10</v>
      </c>
      <c r="O212" s="31" t="n">
        <v>0</v>
      </c>
      <c r="P212" s="32" t="n"/>
      <c r="Q212" s="32" t="n">
        <v>0</v>
      </c>
      <c r="R212" s="32" t="n">
        <v>0.1231</v>
      </c>
      <c r="S212" s="31" t="n">
        <v>0</v>
      </c>
      <c r="T212" s="32" t="n">
        <v>0</v>
      </c>
      <c r="U212" s="31" t="n">
        <v>0</v>
      </c>
      <c r="V212" s="31" t="n">
        <v>0</v>
      </c>
      <c r="W212" s="3" t="n">
        <v>0</v>
      </c>
      <c r="X212" s="3" t="n">
        <v>0</v>
      </c>
      <c r="Y212" s="32" t="n">
        <v>0</v>
      </c>
      <c r="Z212" s="3" t="n">
        <v>0</v>
      </c>
      <c r="AA212" s="32" t="n">
        <v>0</v>
      </c>
      <c r="AB212" s="3" t="n"/>
      <c r="AC212" s="31" t="n">
        <v>0</v>
      </c>
      <c r="AD212" s="2" t="n">
        <v>99</v>
      </c>
      <c r="AE212" s="2" t="n">
        <v>158</v>
      </c>
      <c r="AF212" s="4" t="n">
        <v>158</v>
      </c>
      <c r="AG212" s="33" t="n">
        <v>139.9</v>
      </c>
      <c r="AH212" s="4" t="n">
        <v>10</v>
      </c>
      <c r="AI212" s="34" t="n">
        <v>0.0633</v>
      </c>
      <c r="AJ212" s="34" t="n">
        <v>1</v>
      </c>
      <c r="AK212" s="2" t="n">
        <v>1350</v>
      </c>
      <c r="AL212" t="inlineStr">
        <is>
          <t>Published</t>
        </is>
      </c>
    </row>
    <row r="213">
      <c r="A213">
        <f>HYPERLINK("https://www.walmart.com/ip/5791519141", "5791519141")</f>
        <v/>
      </c>
      <c r="B213">
        <f>HYPERLINK("https://app.optiwise.ai/catalog/itemdetails/9053828", "Tirrinia  Camping Cooler Bag Insulated w/ Shoulder Strap and Bottle Opener 20 Cans Portable Ice Chest for Camping Hiking Picnic Beach")</f>
        <v/>
      </c>
      <c r="C213" t="inlineStr">
        <is>
          <t>1TRCB00120GNBK</t>
        </is>
      </c>
      <c r="D213" t="inlineStr">
        <is>
          <t>Sport &amp; Recreation Other</t>
        </is>
      </c>
      <c r="E213" t="inlineStr">
        <is>
          <t>Soft-Sided Coolers</t>
        </is>
      </c>
      <c r="F213" t="inlineStr">
        <is>
          <t>Tirrinia</t>
        </is>
      </c>
      <c r="G213" t="n">
        <v>0</v>
      </c>
      <c r="H213" t="n">
        <v>0</v>
      </c>
      <c r="J213" s="29" t="n">
        <v>138.93</v>
      </c>
      <c r="K213" s="30" t="n">
        <v>0.0012</v>
      </c>
      <c r="L213" s="29" t="n">
        <v>0</v>
      </c>
      <c r="M213" s="29" t="n">
        <v>0</v>
      </c>
      <c r="N213" s="2" t="n">
        <v>6</v>
      </c>
      <c r="O213" s="31" t="n">
        <v>0</v>
      </c>
      <c r="P213" s="32" t="n"/>
      <c r="Q213" s="32" t="n">
        <v>0</v>
      </c>
      <c r="R213" s="32" t="n">
        <v>0</v>
      </c>
      <c r="S213" s="31" t="n">
        <v>0</v>
      </c>
      <c r="T213" s="32" t="n">
        <v>0</v>
      </c>
      <c r="U213" s="31" t="n">
        <v>0</v>
      </c>
      <c r="V213" s="31" t="n">
        <v>0</v>
      </c>
      <c r="W213" s="3" t="n">
        <v>0</v>
      </c>
      <c r="X213" s="3" t="n">
        <v>0</v>
      </c>
      <c r="Y213" s="32" t="n">
        <v>0</v>
      </c>
      <c r="Z213" s="3" t="n">
        <v>0</v>
      </c>
      <c r="AA213" s="32" t="n">
        <v>0</v>
      </c>
      <c r="AB213" s="3" t="n"/>
      <c r="AC213" s="31" t="n">
        <v>0</v>
      </c>
      <c r="AD213" s="2" t="n">
        <v>25</v>
      </c>
      <c r="AE213" s="2" t="n">
        <v>169</v>
      </c>
      <c r="AF213" s="4" t="n">
        <v>169</v>
      </c>
      <c r="AG213" s="33" t="n">
        <v>138.93</v>
      </c>
      <c r="AH213" s="4" t="n">
        <v>6</v>
      </c>
      <c r="AI213" s="34" t="n">
        <v>0.0355</v>
      </c>
      <c r="AJ213" s="34" t="n">
        <v>1</v>
      </c>
      <c r="AK213" s="2" t="n">
        <v>2250</v>
      </c>
      <c r="AL213" t="inlineStr">
        <is>
          <t>Published</t>
        </is>
      </c>
    </row>
    <row r="214">
      <c r="A214">
        <f>HYPERLINK("https://www.walmart.com/ip/618417622", "618417622")</f>
        <v/>
      </c>
      <c r="B214">
        <f>HYPERLINK("https://app.optiwise.ai/catalog/itemdetails/6057898", "Tirrinia Single Wine Gift Tote Bag, Insulated Padded Thermal Wine Bottle Carrying Cooler Carrier for Travel, Picnic, Great Gift for Wine Lover, Dark Blue")</f>
        <v/>
      </c>
      <c r="C214" t="inlineStr">
        <is>
          <t>1TRWB102DBL</t>
        </is>
      </c>
      <c r="D214" t="inlineStr">
        <is>
          <t>Home Decor, Kitchen, &amp; Other</t>
        </is>
      </c>
      <c r="E214" t="inlineStr">
        <is>
          <t>Wine Totes, Bags &amp; Backpacks</t>
        </is>
      </c>
      <c r="F214" t="inlineStr">
        <is>
          <t>Tirrinia</t>
        </is>
      </c>
      <c r="G214" t="n">
        <v>0</v>
      </c>
      <c r="H214" t="n">
        <v>0</v>
      </c>
      <c r="J214" s="29" t="n">
        <v>138.89</v>
      </c>
      <c r="K214" s="30" t="n">
        <v>0.0012</v>
      </c>
      <c r="L214" s="29" t="n">
        <v>35.96999931335449</v>
      </c>
      <c r="M214" s="29" t="n">
        <v>0</v>
      </c>
      <c r="N214" s="2" t="n">
        <v>11</v>
      </c>
      <c r="O214" s="31" t="n">
        <v>12.94</v>
      </c>
      <c r="P214" s="32" t="n">
        <v>0.0016</v>
      </c>
      <c r="Q214" s="32" t="n">
        <v>0.09320000000000001</v>
      </c>
      <c r="R214" s="32" t="n">
        <v>0.3515</v>
      </c>
      <c r="S214" s="31" t="n">
        <v>1.85</v>
      </c>
      <c r="T214" s="32" t="n">
        <v>0.54</v>
      </c>
      <c r="U214" s="31" t="n">
        <v>23.98</v>
      </c>
      <c r="V214" s="31" t="n">
        <v>23.98</v>
      </c>
      <c r="W214" s="3" t="n">
        <v>15437</v>
      </c>
      <c r="X214" s="3" t="n">
        <v>30</v>
      </c>
      <c r="Y214" s="32" t="n">
        <v>0.0019</v>
      </c>
      <c r="Z214" s="3" t="n">
        <v>2</v>
      </c>
      <c r="AA214" s="32" t="n">
        <v>0.0667</v>
      </c>
      <c r="AB214" s="3" t="inlineStr">
        <is>
          <t>All Items_Auto_Optiwise_24,Auto Campaign_Vinay</t>
        </is>
      </c>
      <c r="AC214" s="31" t="n">
        <v>0.43</v>
      </c>
      <c r="AD214" s="2" t="n">
        <v>90</v>
      </c>
      <c r="AE214" s="2" t="n">
        <v>90</v>
      </c>
      <c r="AF214" s="4" t="n">
        <v>60</v>
      </c>
      <c r="AG214" s="33" t="n">
        <v>114.91</v>
      </c>
      <c r="AH214" s="4" t="n">
        <v>9</v>
      </c>
      <c r="AI214" s="34" t="n">
        <v>0.15</v>
      </c>
      <c r="AJ214" s="34" t="n">
        <v>0.8273</v>
      </c>
      <c r="AK214" s="2" t="n">
        <v>1227</v>
      </c>
      <c r="AL214" t="inlineStr">
        <is>
          <t>Published</t>
        </is>
      </c>
    </row>
    <row r="215">
      <c r="A215">
        <f>HYPERLINK("https://www.walmart.com/ip/15386869522", "15386869522")</f>
        <v/>
      </c>
      <c r="B215">
        <f>HYPERLINK("https://app.optiwise.ai/catalog/itemdetails/20119644", "Catalonia Swim Parka Kids with Hood, Lightweight Youth Surf Swim Jacket, Waterproof &amp; Warm Sherpa Lined Swim Coat for Boys Girls, Changing Poncho Robe for Pool Beach Stadium, Black, 9-13 Years")</f>
        <v/>
      </c>
      <c r="C215" t="inlineStr">
        <is>
          <t>1CTPKR202BK-1</t>
        </is>
      </c>
      <c r="D215" t="inlineStr">
        <is>
          <t>Clothing</t>
        </is>
      </c>
      <c r="E215" t="inlineStr">
        <is>
          <t>Swim Parkas</t>
        </is>
      </c>
      <c r="F215" t="inlineStr">
        <is>
          <t>Catalonia</t>
        </is>
      </c>
      <c r="G215" t="n">
        <v>0</v>
      </c>
      <c r="H215" t="n">
        <v>0</v>
      </c>
      <c r="J215" s="29" t="n">
        <v>137.97</v>
      </c>
      <c r="K215" s="30" t="n">
        <v>0.0012</v>
      </c>
      <c r="L215" s="29" t="n">
        <v>183.9600067138672</v>
      </c>
      <c r="M215" s="29" t="n">
        <v>0</v>
      </c>
      <c r="N215" s="2" t="n">
        <v>3</v>
      </c>
      <c r="O215" s="31" t="n">
        <v>0</v>
      </c>
      <c r="P215" s="32" t="n"/>
      <c r="Q215" s="32" t="n">
        <v>0</v>
      </c>
      <c r="R215" s="32" t="n">
        <v>0</v>
      </c>
      <c r="S215" s="31" t="n">
        <v>0</v>
      </c>
      <c r="T215" s="32" t="n">
        <v>0</v>
      </c>
      <c r="U215" s="31" t="n">
        <v>0</v>
      </c>
      <c r="V215" s="31" t="n">
        <v>0</v>
      </c>
      <c r="W215" s="3" t="n">
        <v>0</v>
      </c>
      <c r="X215" s="3" t="n">
        <v>0</v>
      </c>
      <c r="Y215" s="32" t="n">
        <v>0</v>
      </c>
      <c r="Z215" s="3" t="n">
        <v>0</v>
      </c>
      <c r="AA215" s="32" t="n">
        <v>0</v>
      </c>
      <c r="AB215" s="3" t="n"/>
      <c r="AC215" s="31" t="n">
        <v>0</v>
      </c>
      <c r="AD215" s="2" t="n">
        <v>0</v>
      </c>
      <c r="AE215" s="2" t="n">
        <v>0</v>
      </c>
      <c r="AF215" s="4" t="n">
        <v>0</v>
      </c>
      <c r="AG215" s="33" t="n">
        <v>137.97</v>
      </c>
      <c r="AH215" s="4" t="n">
        <v>3</v>
      </c>
      <c r="AI215" s="34" t="n"/>
      <c r="AJ215" s="34" t="n">
        <v>1</v>
      </c>
      <c r="AK215" s="2" t="n">
        <v>0</v>
      </c>
      <c r="AL215" t="inlineStr">
        <is>
          <t>Published</t>
        </is>
      </c>
    </row>
    <row r="216">
      <c r="A216">
        <f>HYPERLINK("https://www.walmart.com/ip/327234960", "327234960")</f>
        <v/>
      </c>
      <c r="B216">
        <f>HYPERLINK("https://app.optiwise.ai/catalog/itemdetails/360412", "Surf Poncho Changing Towel Robe for Adults Men Women, Hooded Wetsuit Change Poncho for Surfing Swimming Bathing, Water Absorbent, Oversized, Grey")</f>
        <v/>
      </c>
      <c r="C216" t="inlineStr">
        <is>
          <t>1CTBR100GY-ESCB</t>
        </is>
      </c>
      <c r="D216" t="inlineStr">
        <is>
          <t>Clothing</t>
        </is>
      </c>
      <c r="E216" t="inlineStr">
        <is>
          <t>Sleepwear Robes &amp; Bathrobes</t>
        </is>
      </c>
      <c r="F216" t="inlineStr">
        <is>
          <t>Catalonia</t>
        </is>
      </c>
      <c r="G216" t="n">
        <v>4.7</v>
      </c>
      <c r="H216" t="n">
        <v>6</v>
      </c>
      <c r="I216" t="inlineStr">
        <is>
          <t>Batch 1 - TR</t>
        </is>
      </c>
      <c r="J216" s="29" t="n">
        <v>137.94</v>
      </c>
      <c r="K216" s="30" t="n">
        <v>0.0012</v>
      </c>
      <c r="L216" s="29" t="n">
        <v>68.96999931335449</v>
      </c>
      <c r="M216" s="29" t="n">
        <v>0</v>
      </c>
      <c r="N216" s="2" t="n">
        <v>6</v>
      </c>
      <c r="O216" s="31" t="n">
        <v>0</v>
      </c>
      <c r="P216" s="32" t="n"/>
      <c r="Q216" s="32" t="n">
        <v>0</v>
      </c>
      <c r="R216" s="32" t="n">
        <v>0.07779999999999999</v>
      </c>
      <c r="S216" s="31" t="n">
        <v>0</v>
      </c>
      <c r="T216" s="32" t="n">
        <v>0</v>
      </c>
      <c r="U216" s="31" t="n">
        <v>0</v>
      </c>
      <c r="V216" s="31" t="n">
        <v>0</v>
      </c>
      <c r="W216" s="3" t="n">
        <v>0</v>
      </c>
      <c r="X216" s="3" t="n">
        <v>0</v>
      </c>
      <c r="Y216" s="32" t="n">
        <v>0</v>
      </c>
      <c r="Z216" s="3" t="n">
        <v>0</v>
      </c>
      <c r="AA216" s="32" t="n">
        <v>0</v>
      </c>
      <c r="AB216" s="3" t="n"/>
      <c r="AC216" s="31" t="n">
        <v>0</v>
      </c>
      <c r="AD216" s="2" t="n">
        <v>0</v>
      </c>
      <c r="AE216" s="2" t="n">
        <v>143</v>
      </c>
      <c r="AF216" s="4" t="n">
        <v>143</v>
      </c>
      <c r="AG216" s="33" t="n">
        <v>137.94</v>
      </c>
      <c r="AH216" s="4" t="n">
        <v>6</v>
      </c>
      <c r="AI216" s="34" t="n">
        <v>0.042</v>
      </c>
      <c r="AJ216" s="34" t="n">
        <v>1</v>
      </c>
      <c r="AK216" s="2" t="n">
        <v>2250</v>
      </c>
      <c r="AL216" t="inlineStr">
        <is>
          <t>Published</t>
        </is>
      </c>
    </row>
    <row r="217">
      <c r="A217">
        <f>HYPERLINK("https://www.walmart.com/ip/5478273129", "5478273129")</f>
        <v/>
      </c>
      <c r="B217">
        <f>HYPERLINK("https://app.optiwise.ai/catalog/itemdetails/8026927", "Tirrinia Large Insulated Lunch Bag for Men and Women, Adult Double-Layer Leakproof Reusable Grocery Bag, Office, Travel, Work Lunch Cooler Tote")</f>
        <v/>
      </c>
      <c r="C217" t="inlineStr">
        <is>
          <t>1TRLB708BK-D</t>
        </is>
      </c>
      <c r="D217" t="inlineStr">
        <is>
          <t>Home Decor, Kitchen, &amp; Other</t>
        </is>
      </c>
      <c r="E217" t="inlineStr">
        <is>
          <t>Reusable Lunch Bags &amp; Boxes</t>
        </is>
      </c>
      <c r="F217" t="inlineStr">
        <is>
          <t>Tirrinia</t>
        </is>
      </c>
      <c r="G217" t="n">
        <v>0</v>
      </c>
      <c r="H217" t="n">
        <v>0</v>
      </c>
      <c r="J217" s="29" t="n">
        <v>137.41</v>
      </c>
      <c r="K217" s="30" t="n">
        <v>0.0012</v>
      </c>
      <c r="L217" s="29" t="n">
        <v>0</v>
      </c>
      <c r="M217" s="29" t="n">
        <v>0</v>
      </c>
      <c r="N217" s="2" t="n">
        <v>7</v>
      </c>
      <c r="O217" s="31" t="n">
        <v>0</v>
      </c>
      <c r="P217" s="32" t="n"/>
      <c r="Q217" s="32" t="n">
        <v>0</v>
      </c>
      <c r="R217" s="32" t="n">
        <v>0</v>
      </c>
      <c r="S217" s="31" t="n">
        <v>0</v>
      </c>
      <c r="T217" s="32" t="n">
        <v>0</v>
      </c>
      <c r="U217" s="31" t="n">
        <v>0</v>
      </c>
      <c r="V217" s="31" t="n">
        <v>0</v>
      </c>
      <c r="W217" s="3" t="n">
        <v>0</v>
      </c>
      <c r="X217" s="3" t="n">
        <v>0</v>
      </c>
      <c r="Y217" s="32" t="n">
        <v>0</v>
      </c>
      <c r="Z217" s="3" t="n">
        <v>0</v>
      </c>
      <c r="AA217" s="32" t="n">
        <v>0</v>
      </c>
      <c r="AB217" s="3" t="n"/>
      <c r="AC217" s="31" t="n">
        <v>0</v>
      </c>
      <c r="AD217" s="2" t="n">
        <v>6</v>
      </c>
      <c r="AE217" s="2" t="n">
        <v>64</v>
      </c>
      <c r="AF217" s="4" t="n">
        <v>64</v>
      </c>
      <c r="AG217" s="33" t="n">
        <v>137.41</v>
      </c>
      <c r="AH217" s="4" t="n">
        <v>7</v>
      </c>
      <c r="AI217" s="34" t="n">
        <v>0.1094</v>
      </c>
      <c r="AJ217" s="34" t="n">
        <v>1</v>
      </c>
      <c r="AK217" s="2" t="n">
        <v>2082</v>
      </c>
      <c r="AL217" t="inlineStr">
        <is>
          <t>Published</t>
        </is>
      </c>
    </row>
    <row r="218">
      <c r="A218">
        <f>HYPERLINK("https://www.walmart.com/ip/354686212", "354686212")</f>
        <v/>
      </c>
      <c r="B218">
        <f>HYPERLINK("https://app.optiwise.ai/catalog/itemdetails/361005", "Sherpa Wearable Blanket with Sleeves &amp; Foot Pockets for Adult Women Men, Comfy Snuggle Wrap Sleeved Throw Blanket Robe, Gift Idea, Grey")</f>
        <v/>
      </c>
      <c r="C218" t="inlineStr">
        <is>
          <t>1CTSN310GY</t>
        </is>
      </c>
      <c r="D218" t="inlineStr">
        <is>
          <t>Bedding</t>
        </is>
      </c>
      <c r="E218" t="inlineStr">
        <is>
          <t>Throws</t>
        </is>
      </c>
      <c r="F218" t="inlineStr">
        <is>
          <t>Catalonia</t>
        </is>
      </c>
      <c r="G218" t="n">
        <v>2.8</v>
      </c>
      <c r="H218" t="n">
        <v>10</v>
      </c>
      <c r="I218" t="inlineStr">
        <is>
          <t>Q2-Target,Optimized,WFS,Coupon_Discount,WFS Item</t>
        </is>
      </c>
      <c r="J218" s="29" t="n">
        <v>134.97</v>
      </c>
      <c r="K218" s="30" t="n">
        <v>0.0012</v>
      </c>
      <c r="L218" s="29" t="n">
        <v>44.9900016784668</v>
      </c>
      <c r="M218" s="29" t="n">
        <v>0</v>
      </c>
      <c r="N218" s="2" t="n">
        <v>3</v>
      </c>
      <c r="O218" s="31" t="n">
        <v>0</v>
      </c>
      <c r="P218" s="32" t="n"/>
      <c r="Q218" s="32" t="n">
        <v>0</v>
      </c>
      <c r="R218" s="32" t="n">
        <v>0</v>
      </c>
      <c r="S218" s="31" t="n">
        <v>0</v>
      </c>
      <c r="T218" s="32" t="n">
        <v>0</v>
      </c>
      <c r="U218" s="31" t="n">
        <v>0</v>
      </c>
      <c r="V218" s="31" t="n">
        <v>0</v>
      </c>
      <c r="W218" s="3" t="n">
        <v>0</v>
      </c>
      <c r="X218" s="3" t="n">
        <v>0</v>
      </c>
      <c r="Y218" s="32" t="n">
        <v>0</v>
      </c>
      <c r="Z218" s="3" t="n">
        <v>0</v>
      </c>
      <c r="AA218" s="32" t="n">
        <v>0</v>
      </c>
      <c r="AB218" s="3" t="n"/>
      <c r="AC218" s="31" t="n">
        <v>0</v>
      </c>
      <c r="AD218" s="2" t="n">
        <v>50</v>
      </c>
      <c r="AE218" s="2" t="n">
        <v>69</v>
      </c>
      <c r="AF218" s="4" t="n">
        <v>69</v>
      </c>
      <c r="AG218" s="33" t="n">
        <v>134.97</v>
      </c>
      <c r="AH218" s="4" t="n">
        <v>3</v>
      </c>
      <c r="AI218" s="34" t="n">
        <v>0.0435</v>
      </c>
      <c r="AJ218" s="34" t="n">
        <v>1</v>
      </c>
      <c r="AK218" s="2" t="n">
        <v>4500</v>
      </c>
      <c r="AL218" t="inlineStr">
        <is>
          <t>Published</t>
        </is>
      </c>
    </row>
    <row r="219">
      <c r="A219">
        <f>HYPERLINK("https://www.walmart.com/ip/535137364", "535137364")</f>
        <v/>
      </c>
      <c r="B219">
        <f>HYPERLINK("https://app.optiwise.ai/catalog/itemdetails/360848", "Napa Plush  Throw Blanket Dark Blue, Twin 60x90, Striped Reversible Velvet Luxury Fleece Warm Bed Couch Blanket, Super Soft and Cozy")</f>
        <v/>
      </c>
      <c r="C219" t="inlineStr">
        <is>
          <t>K8030TW-DBL</t>
        </is>
      </c>
      <c r="D219" t="inlineStr">
        <is>
          <t>Bedding</t>
        </is>
      </c>
      <c r="E219" t="inlineStr">
        <is>
          <t>Throws</t>
        </is>
      </c>
      <c r="F219" t="inlineStr">
        <is>
          <t>NAPA</t>
        </is>
      </c>
      <c r="G219" t="n">
        <v>4.8</v>
      </c>
      <c r="H219" t="n">
        <v>17</v>
      </c>
      <c r="I219" t="inlineStr">
        <is>
          <t>Optimized,Coupon_Discount,cost-added</t>
        </is>
      </c>
      <c r="J219" s="29" t="n">
        <v>134.82</v>
      </c>
      <c r="K219" s="30" t="n">
        <v>0.0012</v>
      </c>
      <c r="L219" s="29" t="n">
        <v>0</v>
      </c>
      <c r="M219" s="29" t="n">
        <v>0</v>
      </c>
      <c r="N219" s="2" t="n">
        <v>9</v>
      </c>
      <c r="O219" s="31" t="n">
        <v>0</v>
      </c>
      <c r="P219" s="32" t="n"/>
      <c r="Q219" s="32" t="n">
        <v>0</v>
      </c>
      <c r="R219" s="32" t="n">
        <v>0</v>
      </c>
      <c r="S219" s="31" t="n">
        <v>0</v>
      </c>
      <c r="T219" s="32" t="n">
        <v>0</v>
      </c>
      <c r="U219" s="31" t="n">
        <v>0</v>
      </c>
      <c r="V219" s="31" t="n">
        <v>0</v>
      </c>
      <c r="W219" s="3" t="n">
        <v>0</v>
      </c>
      <c r="X219" s="3" t="n">
        <v>0</v>
      </c>
      <c r="Y219" s="32" t="n">
        <v>0</v>
      </c>
      <c r="Z219" s="3" t="n">
        <v>0</v>
      </c>
      <c r="AA219" s="32" t="n">
        <v>0</v>
      </c>
      <c r="AB219" s="3" t="n"/>
      <c r="AC219" s="31" t="n">
        <v>0</v>
      </c>
      <c r="AD219" s="2" t="n">
        <v>8</v>
      </c>
      <c r="AE219" s="2" t="n">
        <v>17</v>
      </c>
      <c r="AF219" s="4" t="n">
        <v>17</v>
      </c>
      <c r="AG219" s="33" t="n">
        <v>134.82</v>
      </c>
      <c r="AH219" s="4" t="n">
        <v>9</v>
      </c>
      <c r="AI219" s="34" t="n">
        <v>0.5294</v>
      </c>
      <c r="AJ219" s="34" t="n">
        <v>1</v>
      </c>
      <c r="AK219" s="2" t="n">
        <v>720</v>
      </c>
      <c r="AL219" t="inlineStr">
        <is>
          <t>Published</t>
        </is>
      </c>
    </row>
    <row r="220">
      <c r="A220">
        <f>HYPERLINK("https://www.walmart.com/ip/980018842", "980018842")</f>
        <v/>
      </c>
      <c r="B220">
        <f>HYPERLINK("https://app.optiwise.ai/catalog/itemdetails/360341", "Catalonia Sherpa Wearable Blanket Poncho for Adult Women Men, Wrap Blanket Cape with Pocket, Warm, Soft, Cozy, Snuggly, Comfort Gift, No Sleeves, Grey")</f>
        <v/>
      </c>
      <c r="C220" t="inlineStr">
        <is>
          <t>1CTBP110GY</t>
        </is>
      </c>
      <c r="D220" t="inlineStr">
        <is>
          <t>Clothing - Clothing</t>
        </is>
      </c>
      <c r="E220" t="inlineStr">
        <is>
          <t>Throws</t>
        </is>
      </c>
      <c r="F220" t="inlineStr">
        <is>
          <t>Catalonia</t>
        </is>
      </c>
      <c r="G220" t="n">
        <v>0</v>
      </c>
      <c r="H220" t="n">
        <v>0</v>
      </c>
      <c r="I220" t="inlineStr">
        <is>
          <t>Hero 5 Holidays,Batch 1 - TR</t>
        </is>
      </c>
      <c r="J220" s="29" t="n">
        <v>131.96</v>
      </c>
      <c r="K220" s="30" t="n">
        <v>0.0011</v>
      </c>
      <c r="L220" s="29" t="n">
        <v>0</v>
      </c>
      <c r="M220" s="29" t="n">
        <v>0</v>
      </c>
      <c r="N220" s="2" t="n">
        <v>4</v>
      </c>
      <c r="O220" s="31" t="n">
        <v>0</v>
      </c>
      <c r="P220" s="32" t="n"/>
      <c r="Q220" s="32" t="n">
        <v>0</v>
      </c>
      <c r="R220" s="32" t="n">
        <v>0.0849</v>
      </c>
      <c r="S220" s="31" t="n">
        <v>0</v>
      </c>
      <c r="T220" s="32" t="n">
        <v>0</v>
      </c>
      <c r="U220" s="31" t="n">
        <v>0</v>
      </c>
      <c r="V220" s="31" t="n">
        <v>0</v>
      </c>
      <c r="W220" s="3" t="n">
        <v>65</v>
      </c>
      <c r="X220" s="3" t="n">
        <v>0</v>
      </c>
      <c r="Y220" s="32" t="n">
        <v>0</v>
      </c>
      <c r="Z220" s="3" t="n">
        <v>0</v>
      </c>
      <c r="AA220" s="32" t="n">
        <v>0</v>
      </c>
      <c r="AB220" s="3" t="inlineStr">
        <is>
          <t>Snuggly_Auto</t>
        </is>
      </c>
      <c r="AC220" s="31" t="n">
        <v>0</v>
      </c>
      <c r="AD220" s="2" t="n">
        <v>0</v>
      </c>
      <c r="AE220" s="2" t="n">
        <v>43</v>
      </c>
      <c r="AF220" s="4" t="n">
        <v>43</v>
      </c>
      <c r="AG220" s="33" t="n">
        <v>131.96</v>
      </c>
      <c r="AH220" s="4" t="n">
        <v>4</v>
      </c>
      <c r="AI220" s="34" t="n">
        <v>0.093</v>
      </c>
      <c r="AJ220" s="34" t="n">
        <v>1</v>
      </c>
      <c r="AK220" s="2" t="n">
        <v>3375</v>
      </c>
      <c r="AL220" t="inlineStr">
        <is>
          <t>Published</t>
        </is>
      </c>
    </row>
    <row r="221">
      <c r="A221">
        <f>HYPERLINK("https://www.walmart.com/ip/543537506", "543537506")</f>
        <v/>
      </c>
      <c r="B221">
        <f>HYPERLINK("https://app.optiwise.ai/catalog/itemdetails/360605", "Catalonia Sherpa Wearable Blanket Poncho for Adult Women Men, Wrap Blanket Cape with Pocket, Warm, Soft, Cozy, Snuggly, Comfort Gift, No Sleeves, Plaid Buffalo Christmas")</f>
        <v/>
      </c>
      <c r="C221" t="inlineStr">
        <is>
          <t>1CTBP110P2RD</t>
        </is>
      </c>
      <c r="D221" t="inlineStr">
        <is>
          <t>Bedding</t>
        </is>
      </c>
      <c r="E221" t="inlineStr">
        <is>
          <t>Throws</t>
        </is>
      </c>
      <c r="F221" t="inlineStr">
        <is>
          <t>Catalonia</t>
        </is>
      </c>
      <c r="G221" t="n">
        <v>0</v>
      </c>
      <c r="H221" t="n">
        <v>0</v>
      </c>
      <c r="I221" t="inlineStr">
        <is>
          <t>Q2-Target,Hero 5 Holidays,Coupon_Discount,Batch 1 - TR</t>
        </is>
      </c>
      <c r="J221" s="29" t="n">
        <v>131.96</v>
      </c>
      <c r="K221" s="30" t="n">
        <v>0.0011</v>
      </c>
      <c r="L221" s="29" t="n">
        <v>98.97000503540039</v>
      </c>
      <c r="M221" s="29" t="n">
        <v>0</v>
      </c>
      <c r="N221" s="2" t="n">
        <v>4</v>
      </c>
      <c r="O221" s="31" t="n">
        <v>28.85</v>
      </c>
      <c r="P221" s="32" t="n">
        <v>0.0035</v>
      </c>
      <c r="Q221" s="32" t="n">
        <v>0.2186</v>
      </c>
      <c r="R221" s="32" t="n">
        <v>0.0305</v>
      </c>
      <c r="S221" s="31" t="n">
        <v>7.45</v>
      </c>
      <c r="T221" s="32" t="n">
        <v>0.13</v>
      </c>
      <c r="U221" s="31" t="n">
        <v>214.92</v>
      </c>
      <c r="V221" s="31" t="n">
        <v>164.94</v>
      </c>
      <c r="W221" s="3" t="n">
        <v>26374</v>
      </c>
      <c r="X221" s="3" t="n">
        <v>76</v>
      </c>
      <c r="Y221" s="32" t="n">
        <v>0.0029</v>
      </c>
      <c r="Z221" s="3" t="n">
        <v>8</v>
      </c>
      <c r="AA221" s="32" t="n">
        <v>0.1053</v>
      </c>
      <c r="AB221" s="3" t="inlineStr">
        <is>
          <t>WFS Inventory</t>
        </is>
      </c>
      <c r="AC221" s="31" t="n">
        <v>0.38</v>
      </c>
      <c r="AD221" s="2" t="n">
        <v>170</v>
      </c>
      <c r="AE221" s="2" t="n">
        <v>80</v>
      </c>
      <c r="AF221" s="4" t="n">
        <v>14</v>
      </c>
      <c r="AG221" s="33" t="n">
        <v>-82.96000000000001</v>
      </c>
      <c r="AH221" s="4" t="n">
        <v>-4</v>
      </c>
      <c r="AI221" s="34" t="n">
        <v>-0.2857</v>
      </c>
      <c r="AJ221" s="34" t="n">
        <v>-0.6287</v>
      </c>
      <c r="AK221" s="2" t="n">
        <v>3375</v>
      </c>
      <c r="AL221" t="inlineStr">
        <is>
          <t>Published</t>
        </is>
      </c>
    </row>
    <row r="222">
      <c r="A222">
        <f>HYPERLINK("https://www.walmart.com/ip/5027367827", "5027367827")</f>
        <v/>
      </c>
      <c r="B222">
        <f>HYPERLINK("https://app.optiwise.ai/catalog/itemdetails/7420413", "Tirrinia Extra Large Waterproof Picnic Blanket Lightweight Portable Camping Mat for Family Travel, Park, Grass, Hiking, Outdoor, Stadium, Concerts, Blue and White Checkered, 60' 'X 80''.")</f>
        <v/>
      </c>
      <c r="C222" t="inlineStr">
        <is>
          <t>1TRBW608S1PBL</t>
        </is>
      </c>
      <c r="D222" t="inlineStr">
        <is>
          <t>Sport &amp; Recreation Other</t>
        </is>
      </c>
      <c r="E222" t="inlineStr">
        <is>
          <t>Picnic Blankets &amp; Mats</t>
        </is>
      </c>
      <c r="F222" t="inlineStr">
        <is>
          <t>Tirrinia</t>
        </is>
      </c>
      <c r="G222" t="n">
        <v>0</v>
      </c>
      <c r="H222" t="n">
        <v>0</v>
      </c>
      <c r="I222" t="inlineStr">
        <is>
          <t>Q2-Target</t>
        </is>
      </c>
      <c r="J222" s="29" t="n">
        <v>129.95</v>
      </c>
      <c r="K222" s="30" t="n">
        <v>0.0011</v>
      </c>
      <c r="L222" s="29" t="n">
        <v>0</v>
      </c>
      <c r="M222" s="29" t="n">
        <v>0</v>
      </c>
      <c r="N222" s="2" t="n">
        <v>5</v>
      </c>
      <c r="O222" s="31" t="n">
        <v>42.11000000000001</v>
      </c>
      <c r="P222" s="32" t="n">
        <v>0.005</v>
      </c>
      <c r="Q222" s="32" t="n">
        <v>0.324</v>
      </c>
      <c r="R222" s="32" t="n">
        <v>0.0712</v>
      </c>
      <c r="S222" s="31" t="n">
        <v>1.23</v>
      </c>
      <c r="T222" s="32" t="n">
        <v>0.8100000000000001</v>
      </c>
      <c r="U222" s="31" t="n">
        <v>51.98</v>
      </c>
      <c r="V222" s="31" t="n">
        <v>51.98</v>
      </c>
      <c r="W222" s="3" t="n">
        <v>26770</v>
      </c>
      <c r="X222" s="3" t="n">
        <v>100</v>
      </c>
      <c r="Y222" s="32" t="n">
        <v>0.0037</v>
      </c>
      <c r="Z222" s="3" t="n">
        <v>2</v>
      </c>
      <c r="AA222" s="32" t="n">
        <v>0.02</v>
      </c>
      <c r="AB222" s="3" t="inlineStr">
        <is>
          <t>Throws_Auto_Optiwise_24,WFS Inventory</t>
        </is>
      </c>
      <c r="AC222" s="31" t="n">
        <v>0.42</v>
      </c>
      <c r="AD222" s="2" t="n">
        <v>12</v>
      </c>
      <c r="AE222" s="2" t="n">
        <v>131</v>
      </c>
      <c r="AF222" s="4" t="n">
        <v>31</v>
      </c>
      <c r="AG222" s="33" t="n">
        <v>77.97</v>
      </c>
      <c r="AH222" s="4" t="n">
        <v>3</v>
      </c>
      <c r="AI222" s="34" t="n">
        <v>0.0968</v>
      </c>
      <c r="AJ222" s="34" t="n">
        <v>0.6</v>
      </c>
      <c r="AK222" s="2" t="n">
        <v>2808</v>
      </c>
      <c r="AL222" t="inlineStr">
        <is>
          <t>Published</t>
        </is>
      </c>
    </row>
    <row r="223">
      <c r="A223">
        <f>HYPERLINK("https://www.walmart.com/ip/547576637", "547576637")</f>
        <v/>
      </c>
      <c r="B223">
        <f>HYPERLINK("https://app.optiwise.ai/catalog/itemdetails/359087", "Tirrinia Insulated 2 Bottle Wine Carrier Tote Cooler Bag for Travel Picnic Padded Champagne Glass")</f>
        <v/>
      </c>
      <c r="C223" t="inlineStr">
        <is>
          <t>1TRWB231BLSTR</t>
        </is>
      </c>
      <c r="D223" t="inlineStr">
        <is>
          <t>Home Decor, Kitchen, &amp; Other</t>
        </is>
      </c>
      <c r="E223" t="inlineStr">
        <is>
          <t>Wine Totes, Bags &amp; Backpacks</t>
        </is>
      </c>
      <c r="F223" t="inlineStr">
        <is>
          <t>Tirrinia</t>
        </is>
      </c>
      <c r="G223" t="n">
        <v>0</v>
      </c>
      <c r="H223" t="n">
        <v>0</v>
      </c>
      <c r="I223" t="inlineStr">
        <is>
          <t>Wine,Wine Bag Camp,Christmas,WFS,Wine WFS,Valentine,WFS Item</t>
        </is>
      </c>
      <c r="J223" s="29" t="n">
        <v>129.94</v>
      </c>
      <c r="K223" s="30" t="n">
        <v>0.0011</v>
      </c>
      <c r="L223" s="29" t="n">
        <v>0</v>
      </c>
      <c r="M223" s="29" t="n">
        <v>18.98999977111816</v>
      </c>
      <c r="N223" s="2" t="n">
        <v>6</v>
      </c>
      <c r="O223" s="31" t="n">
        <v>11.58</v>
      </c>
      <c r="P223" s="32" t="n">
        <v>0.0014</v>
      </c>
      <c r="Q223" s="32" t="n">
        <v>0.0891</v>
      </c>
      <c r="R223" s="32" t="n">
        <v>0.0248</v>
      </c>
      <c r="S223" s="31" t="n">
        <v>3.28</v>
      </c>
      <c r="T223" s="32" t="n">
        <v>0.3</v>
      </c>
      <c r="U223" s="31" t="n">
        <v>37.98</v>
      </c>
      <c r="V223" s="31" t="n">
        <v>37.98</v>
      </c>
      <c r="W223" s="3" t="n">
        <v>13620</v>
      </c>
      <c r="X223" s="3" t="n">
        <v>32</v>
      </c>
      <c r="Y223" s="32" t="n">
        <v>0.0023</v>
      </c>
      <c r="Z223" s="3" t="n">
        <v>2</v>
      </c>
      <c r="AA223" s="32" t="n">
        <v>0.0625</v>
      </c>
      <c r="AB223" s="3" t="inlineStr">
        <is>
          <t>All Items_Auto_Optiwise_24,Auto Campaign_Vinay</t>
        </is>
      </c>
      <c r="AC223" s="31" t="n">
        <v>0.36</v>
      </c>
      <c r="AD223" s="2" t="n">
        <v>45</v>
      </c>
      <c r="AE223" s="2" t="n">
        <v>55</v>
      </c>
      <c r="AF223" s="4" t="n">
        <v>23</v>
      </c>
      <c r="AG223" s="33" t="n">
        <v>91.96000000000001</v>
      </c>
      <c r="AH223" s="4" t="n">
        <v>4</v>
      </c>
      <c r="AI223" s="34" t="n">
        <v>0.1739</v>
      </c>
      <c r="AJ223" s="34" t="n">
        <v>0.7077</v>
      </c>
      <c r="AK223" s="2" t="n">
        <v>2250</v>
      </c>
      <c r="AL223" t="inlineStr">
        <is>
          <t>Published</t>
        </is>
      </c>
    </row>
    <row r="224">
      <c r="A224">
        <f>HYPERLINK("https://www.walmart.com/ip/3610065764", "3610065764")</f>
        <v/>
      </c>
      <c r="B224">
        <f>HYPERLINK("https://app.optiwise.ai/catalog/itemdetails/4979881", "Tirrinia Lunch Bags for Women Men, Cute Insulated Lunch Tote Bag for Girls, Fashionable Lunch Box for Adult Kids, Reusable Large Cooler Lunch Bag for School, Work, Office, Picnic | Pink Watermelon")</f>
        <v/>
      </c>
      <c r="C224" t="inlineStr">
        <is>
          <t>1WMLB707PKMEL</t>
        </is>
      </c>
      <c r="D224" t="inlineStr">
        <is>
          <t>Home Decor, Kitchen, &amp; Other</t>
        </is>
      </c>
      <c r="E224" t="inlineStr">
        <is>
          <t>Reusable Lunch Bags &amp; Boxes</t>
        </is>
      </c>
      <c r="F224" t="inlineStr">
        <is>
          <t>Tirrinia</t>
        </is>
      </c>
      <c r="G224" t="n">
        <v>0</v>
      </c>
      <c r="H224" t="n">
        <v>0</v>
      </c>
      <c r="I224" t="inlineStr">
        <is>
          <t>Brand Camp VD</t>
        </is>
      </c>
      <c r="J224" s="29" t="n">
        <v>129.38</v>
      </c>
      <c r="K224" s="30" t="n">
        <v>0.0011</v>
      </c>
      <c r="L224" s="29" t="n">
        <v>0</v>
      </c>
      <c r="M224" s="29" t="n">
        <v>0</v>
      </c>
      <c r="N224" s="2" t="n">
        <v>11</v>
      </c>
      <c r="O224" s="31" t="n">
        <v>0</v>
      </c>
      <c r="P224" s="32" t="n"/>
      <c r="Q224" s="32" t="n">
        <v>0</v>
      </c>
      <c r="R224" s="32" t="n">
        <v>0</v>
      </c>
      <c r="S224" s="31" t="n">
        <v>0</v>
      </c>
      <c r="T224" s="32" t="n">
        <v>0</v>
      </c>
      <c r="U224" s="31" t="n">
        <v>0</v>
      </c>
      <c r="V224" s="31" t="n">
        <v>0</v>
      </c>
      <c r="W224" s="3" t="n">
        <v>0</v>
      </c>
      <c r="X224" s="3" t="n">
        <v>0</v>
      </c>
      <c r="Y224" s="32" t="n">
        <v>0</v>
      </c>
      <c r="Z224" s="3" t="n">
        <v>0</v>
      </c>
      <c r="AA224" s="32" t="n">
        <v>0</v>
      </c>
      <c r="AB224" s="3" t="n"/>
      <c r="AC224" s="31" t="n">
        <v>0</v>
      </c>
      <c r="AD224" s="2" t="n">
        <v>156</v>
      </c>
      <c r="AE224" s="2" t="n">
        <v>111</v>
      </c>
      <c r="AF224" s="4" t="n">
        <v>111</v>
      </c>
      <c r="AG224" s="33" t="n">
        <v>129.38</v>
      </c>
      <c r="AH224" s="4" t="n">
        <v>11</v>
      </c>
      <c r="AI224" s="34" t="n">
        <v>0.09909999999999999</v>
      </c>
      <c r="AJ224" s="34" t="n">
        <v>1</v>
      </c>
      <c r="AK224" s="2" t="n">
        <v>1227</v>
      </c>
      <c r="AL224" t="inlineStr">
        <is>
          <t>Published</t>
        </is>
      </c>
    </row>
    <row r="225">
      <c r="A225">
        <f>HYPERLINK("https://www.walmart.com/ip/364182411", "364182411")</f>
        <v/>
      </c>
      <c r="B225">
        <f>HYPERLINK("https://app.optiwise.ai/catalog/itemdetails/362574", "Sherpa Wearable Blanket with Sleeves &amp; Foot Pockets for Adult Women Men, Comfy Snuggle Wrap Sleeved Throw Blanket Robe, Gift Idea, Blue")</f>
        <v/>
      </c>
      <c r="C225" t="inlineStr">
        <is>
          <t>1CTSN310BL</t>
        </is>
      </c>
      <c r="D225" t="inlineStr">
        <is>
          <t>Bedding</t>
        </is>
      </c>
      <c r="E225" t="inlineStr">
        <is>
          <t>Throws</t>
        </is>
      </c>
      <c r="F225" t="inlineStr">
        <is>
          <t>Catalonia</t>
        </is>
      </c>
      <c r="G225" t="n">
        <v>2.6</v>
      </c>
      <c r="H225" t="n">
        <v>9</v>
      </c>
      <c r="I225" t="inlineStr">
        <is>
          <t>Q2-Target,Optimized,WFS,Coupon_Discount,WFS Item</t>
        </is>
      </c>
      <c r="J225" s="29" t="n">
        <v>128.97</v>
      </c>
      <c r="K225" s="30" t="n">
        <v>0.0011</v>
      </c>
      <c r="L225" s="29" t="n">
        <v>89.98000335693359</v>
      </c>
      <c r="M225" s="29" t="n">
        <v>0</v>
      </c>
      <c r="N225" s="2" t="n">
        <v>3</v>
      </c>
      <c r="O225" s="31" t="n">
        <v>30.24</v>
      </c>
      <c r="P225" s="32" t="n">
        <v>0.0036</v>
      </c>
      <c r="Q225" s="32" t="n">
        <v>0.2345</v>
      </c>
      <c r="R225" s="32" t="n">
        <v>0.0892</v>
      </c>
      <c r="S225" s="31" t="n">
        <v>5.85</v>
      </c>
      <c r="T225" s="32" t="n">
        <v>0.17</v>
      </c>
      <c r="U225" s="31" t="n">
        <v>176.96</v>
      </c>
      <c r="V225" s="31" t="n">
        <v>130.97</v>
      </c>
      <c r="W225" s="3" t="n">
        <v>20427</v>
      </c>
      <c r="X225" s="3" t="n">
        <v>62</v>
      </c>
      <c r="Y225" s="32" t="n">
        <v>0.003</v>
      </c>
      <c r="Z225" s="3" t="n">
        <v>4</v>
      </c>
      <c r="AA225" s="32" t="n">
        <v>0.0645</v>
      </c>
      <c r="AB225" s="3" t="inlineStr">
        <is>
          <t>Throws_Auto_Optiwise_24,Top Selling Last Year 2023</t>
        </is>
      </c>
      <c r="AC225" s="31" t="n">
        <v>0.49</v>
      </c>
      <c r="AD225" s="2" t="n">
        <v>88</v>
      </c>
      <c r="AE225" s="2" t="n">
        <v>75</v>
      </c>
      <c r="AF225" s="4" t="n">
        <v>13</v>
      </c>
      <c r="AG225" s="33" t="n">
        <v>-47.99000000000001</v>
      </c>
      <c r="AH225" s="4" t="n">
        <v>-1</v>
      </c>
      <c r="AI225" s="34" t="n">
        <v>-0.0769</v>
      </c>
      <c r="AJ225" s="34" t="n">
        <v>-0.3721</v>
      </c>
      <c r="AK225" s="2" t="n">
        <v>4950</v>
      </c>
      <c r="AL225" t="inlineStr">
        <is>
          <t>Published</t>
        </is>
      </c>
    </row>
    <row r="226">
      <c r="A226">
        <f>HYPERLINK("https://www.walmart.com/ip/5518297090", "5518297090")</f>
        <v/>
      </c>
      <c r="B226">
        <f>HYPERLINK("https://app.optiwise.ai/catalog/itemdetails/9035200", "American Flag Sherpa Throw Blanket Polar Fleece, Super Cozy Warm TV Blankets for Bed or Couch Reversible 50 x 60")</f>
        <v/>
      </c>
      <c r="C226" t="inlineStr">
        <is>
          <t>1TRBF300USA5</t>
        </is>
      </c>
      <c r="D226" t="inlineStr">
        <is>
          <t>Bedding</t>
        </is>
      </c>
      <c r="E226" t="inlineStr">
        <is>
          <t>Throws</t>
        </is>
      </c>
      <c r="F226" t="inlineStr">
        <is>
          <t>Tirrinia</t>
        </is>
      </c>
      <c r="G226" t="n">
        <v>0</v>
      </c>
      <c r="H226" t="n">
        <v>0</v>
      </c>
      <c r="J226" s="29" t="n">
        <v>127.94</v>
      </c>
      <c r="K226" s="30" t="n">
        <v>0.0011</v>
      </c>
      <c r="L226" s="29" t="n">
        <v>0</v>
      </c>
      <c r="M226" s="29" t="n">
        <v>0</v>
      </c>
      <c r="N226" s="2" t="n">
        <v>6</v>
      </c>
      <c r="O226" s="31" t="n">
        <v>0</v>
      </c>
      <c r="P226" s="32" t="n"/>
      <c r="Q226" s="32" t="n">
        <v>0</v>
      </c>
      <c r="R226" s="32" t="n">
        <v>0</v>
      </c>
      <c r="S226" s="31" t="n">
        <v>0</v>
      </c>
      <c r="T226" s="32" t="n">
        <v>0</v>
      </c>
      <c r="U226" s="31" t="n">
        <v>0</v>
      </c>
      <c r="V226" s="31" t="n">
        <v>0</v>
      </c>
      <c r="W226" s="3" t="n">
        <v>0</v>
      </c>
      <c r="X226" s="3" t="n">
        <v>0</v>
      </c>
      <c r="Y226" s="32" t="n">
        <v>0</v>
      </c>
      <c r="Z226" s="3" t="n">
        <v>0</v>
      </c>
      <c r="AA226" s="32" t="n">
        <v>0</v>
      </c>
      <c r="AB226" s="3" t="n"/>
      <c r="AC226" s="31" t="n">
        <v>0</v>
      </c>
      <c r="AD226" s="2" t="n">
        <v>0</v>
      </c>
      <c r="AE226" s="2" t="n">
        <v>19</v>
      </c>
      <c r="AF226" s="4" t="n">
        <v>19</v>
      </c>
      <c r="AG226" s="33" t="n">
        <v>127.94</v>
      </c>
      <c r="AH226" s="4" t="n">
        <v>6</v>
      </c>
      <c r="AI226" s="34" t="n">
        <v>0.3158</v>
      </c>
      <c r="AJ226" s="34" t="n">
        <v>1</v>
      </c>
      <c r="AK226" s="2" t="n">
        <v>2250</v>
      </c>
      <c r="AL226" t="inlineStr">
        <is>
          <t>Published</t>
        </is>
      </c>
    </row>
    <row r="227">
      <c r="A227">
        <f>HYPERLINK("https://www.walmart.com/ip/660673214", "660673214")</f>
        <v/>
      </c>
      <c r="B227">
        <f>HYPERLINK("https://app.optiwise.ai/catalog/itemdetails/360596", "Sun Blocker Women's Travel Sun Hat UPF 50+ Large Brim Beach Neck Flap Hat Purple")</f>
        <v/>
      </c>
      <c r="C227" t="inlineStr">
        <is>
          <t>KC-S9201-PP</t>
        </is>
      </c>
      <c r="D227" t="inlineStr">
        <is>
          <t>Clothing</t>
        </is>
      </c>
      <c r="E227" t="inlineStr">
        <is>
          <t>Hats</t>
        </is>
      </c>
      <c r="F227" t="inlineStr">
        <is>
          <t>Sun Blocker</t>
        </is>
      </c>
      <c r="G227" t="n">
        <v>0</v>
      </c>
      <c r="H227" t="n">
        <v>0</v>
      </c>
      <c r="I227" t="inlineStr">
        <is>
          <t>Q2-Target,Hats,Batch 1 - TR</t>
        </is>
      </c>
      <c r="J227" s="29" t="n">
        <v>127.92</v>
      </c>
      <c r="K227" s="30" t="n">
        <v>0.0011</v>
      </c>
      <c r="L227" s="29" t="n">
        <v>0</v>
      </c>
      <c r="M227" s="29" t="n">
        <v>0</v>
      </c>
      <c r="N227" s="2" t="n">
        <v>8</v>
      </c>
      <c r="O227" s="31" t="n">
        <v>24.66</v>
      </c>
      <c r="P227" s="32" t="n">
        <v>0.003</v>
      </c>
      <c r="Q227" s="32" t="n">
        <v>0.1928</v>
      </c>
      <c r="R227" s="32" t="n">
        <v>0.1576</v>
      </c>
      <c r="S227" s="31" t="n">
        <v>4.13</v>
      </c>
      <c r="T227" s="32" t="n">
        <v>0.24</v>
      </c>
      <c r="U227" s="31" t="n">
        <v>101.94</v>
      </c>
      <c r="V227" s="31" t="n">
        <v>101.94</v>
      </c>
      <c r="W227" s="3" t="n">
        <v>44656</v>
      </c>
      <c r="X227" s="3" t="n">
        <v>118</v>
      </c>
      <c r="Y227" s="32" t="n">
        <v>0.0026</v>
      </c>
      <c r="Z227" s="3" t="n">
        <v>6</v>
      </c>
      <c r="AA227" s="32" t="n">
        <v>0.0508</v>
      </c>
      <c r="AB227" s="3" t="inlineStr">
        <is>
          <t>Auto for Top sale---Rachel</t>
        </is>
      </c>
      <c r="AC227" s="31" t="n">
        <v>0.21</v>
      </c>
      <c r="AD227" s="2" t="n">
        <v>39</v>
      </c>
      <c r="AE227" s="2" t="n">
        <v>133</v>
      </c>
      <c r="AF227" s="4" t="n">
        <v>15</v>
      </c>
      <c r="AG227" s="33" t="n">
        <v>25.98000000000002</v>
      </c>
      <c r="AH227" s="4" t="n">
        <v>2</v>
      </c>
      <c r="AI227" s="34" t="n">
        <v>0.1333</v>
      </c>
      <c r="AJ227" s="34" t="n">
        <v>0.2031</v>
      </c>
      <c r="AK227" s="2" t="n">
        <v>1687</v>
      </c>
      <c r="AL227" t="inlineStr">
        <is>
          <t>Published</t>
        </is>
      </c>
    </row>
    <row r="228">
      <c r="A228">
        <f>HYPERLINK("https://www.walmart.com/ip/504289643", "504289643")</f>
        <v/>
      </c>
      <c r="B228">
        <f>HYPERLINK("https://app.optiwise.ai/catalog/itemdetails/360458", "Wine Bottle Opener Set - 5 Pcs Wine Corkscrew Screwpull Accessories Kit with Drink Stickers by Kato, Perfect Wedding Gifts for Wine Lover u0026 Drinker, Red &amp; Black")</f>
        <v/>
      </c>
      <c r="C228" t="inlineStr">
        <is>
          <t>1KTWO501RDBK</t>
        </is>
      </c>
      <c r="D228" t="inlineStr">
        <is>
          <t>Home Decor, Kitchen, &amp; Other</t>
        </is>
      </c>
      <c r="E228" t="inlineStr">
        <is>
          <t>Corkscrews &amp; Wine Bottle Openers</t>
        </is>
      </c>
      <c r="F228" t="inlineStr">
        <is>
          <t>Kato</t>
        </is>
      </c>
      <c r="G228" t="n">
        <v>4.8</v>
      </c>
      <c r="H228" t="n">
        <v>12</v>
      </c>
      <c r="I228" t="inlineStr">
        <is>
          <t>Wine,Christmas,WFS,Wine WFS,Valentine,WFS Item</t>
        </is>
      </c>
      <c r="J228" s="29" t="n">
        <v>127.92</v>
      </c>
      <c r="K228" s="30" t="n">
        <v>0.0011</v>
      </c>
      <c r="L228" s="29" t="n">
        <v>0</v>
      </c>
      <c r="M228" s="29" t="n">
        <v>0</v>
      </c>
      <c r="N228" s="2" t="n">
        <v>8</v>
      </c>
      <c r="O228" s="31" t="n">
        <v>26.5</v>
      </c>
      <c r="P228" s="32" t="n">
        <v>0.0032</v>
      </c>
      <c r="Q228" s="32" t="n">
        <v>0.2072</v>
      </c>
      <c r="R228" s="32" t="n">
        <v>0.2264</v>
      </c>
      <c r="S228" s="31" t="n">
        <v>0</v>
      </c>
      <c r="T228" s="32" t="n">
        <v>0</v>
      </c>
      <c r="U228" s="31" t="n">
        <v>0</v>
      </c>
      <c r="V228" s="31" t="n">
        <v>0</v>
      </c>
      <c r="W228" s="3" t="n">
        <v>14710</v>
      </c>
      <c r="X228" s="3" t="n">
        <v>50</v>
      </c>
      <c r="Y228" s="32" t="n">
        <v>0.0034</v>
      </c>
      <c r="Z228" s="3" t="n">
        <v>0</v>
      </c>
      <c r="AA228" s="32" t="n">
        <v>0</v>
      </c>
      <c r="AB228" s="3" t="inlineStr">
        <is>
          <t>Need to sell these SKUs by 15th Feb</t>
        </is>
      </c>
      <c r="AC228" s="31" t="n">
        <v>0.53</v>
      </c>
      <c r="AD228" s="2" t="n">
        <v>125</v>
      </c>
      <c r="AE228" s="2" t="n">
        <v>59</v>
      </c>
      <c r="AF228" s="4" t="n">
        <v>16</v>
      </c>
      <c r="AG228" s="33" t="n">
        <v>127.92</v>
      </c>
      <c r="AH228" s="4" t="n">
        <v>8</v>
      </c>
      <c r="AI228" s="34" t="n">
        <v>0.5</v>
      </c>
      <c r="AJ228" s="34" t="n">
        <v>1</v>
      </c>
      <c r="AK228" s="2" t="n">
        <v>1687</v>
      </c>
      <c r="AL228" t="inlineStr">
        <is>
          <t>Published</t>
        </is>
      </c>
    </row>
    <row r="229">
      <c r="A229">
        <f>HYPERLINK("https://www.walmart.com/ip/1923398427", "1923398427")</f>
        <v/>
      </c>
      <c r="B229">
        <f>HYPERLINK("https://app.optiwise.ai/catalog/itemdetails/912025", "Tirrinia Large Insulated Lunch Tote Bag for Women,Waterproof Oxford Cloth Leakproof Cooler Bag,Shopping Food Grocery Bags for Work Beach, Pink Melon")</f>
        <v/>
      </c>
      <c r="C229" t="inlineStr">
        <is>
          <t>1TRCB800PKMEL</t>
        </is>
      </c>
      <c r="D229" t="inlineStr">
        <is>
          <t>Home Decor, Kitchen, &amp; Other</t>
        </is>
      </c>
      <c r="E229" t="inlineStr">
        <is>
          <t>Reusable Lunch Bags &amp; Boxes</t>
        </is>
      </c>
      <c r="F229" t="inlineStr">
        <is>
          <t>Tirrinia</t>
        </is>
      </c>
      <c r="G229" t="n">
        <v>0</v>
      </c>
      <c r="H229" t="n">
        <v>0</v>
      </c>
      <c r="I229" t="inlineStr">
        <is>
          <t>Q2-Target,Batch 1 - TR</t>
        </is>
      </c>
      <c r="J229" s="29" t="n">
        <v>127.92</v>
      </c>
      <c r="K229" s="30" t="n">
        <v>0.0011</v>
      </c>
      <c r="L229" s="29" t="n">
        <v>0</v>
      </c>
      <c r="M229" s="29" t="n">
        <v>0</v>
      </c>
      <c r="N229" s="2" t="n">
        <v>8</v>
      </c>
      <c r="O229" s="31" t="n">
        <v>0</v>
      </c>
      <c r="P229" s="32" t="n"/>
      <c r="Q229" s="32" t="n">
        <v>0</v>
      </c>
      <c r="R229" s="32" t="n">
        <v>0.1126</v>
      </c>
      <c r="S229" s="31" t="n">
        <v>0</v>
      </c>
      <c r="T229" s="32" t="n">
        <v>0</v>
      </c>
      <c r="U229" s="31" t="n">
        <v>0</v>
      </c>
      <c r="V229" s="31" t="n">
        <v>0</v>
      </c>
      <c r="W229" s="3" t="n">
        <v>0</v>
      </c>
      <c r="X229" s="3" t="n">
        <v>0</v>
      </c>
      <c r="Y229" s="32" t="n">
        <v>0</v>
      </c>
      <c r="Z229" s="3" t="n">
        <v>0</v>
      </c>
      <c r="AA229" s="32" t="n">
        <v>0</v>
      </c>
      <c r="AB229" s="3" t="n"/>
      <c r="AC229" s="31" t="n">
        <v>0</v>
      </c>
      <c r="AD229" s="2" t="n">
        <v>76</v>
      </c>
      <c r="AE229" s="2" t="n">
        <v>70</v>
      </c>
      <c r="AF229" s="4" t="n">
        <v>70</v>
      </c>
      <c r="AG229" s="33" t="n">
        <v>127.92</v>
      </c>
      <c r="AH229" s="4" t="n">
        <v>8</v>
      </c>
      <c r="AI229" s="34" t="n">
        <v>0.1143</v>
      </c>
      <c r="AJ229" s="34" t="n">
        <v>1</v>
      </c>
      <c r="AK229" s="2" t="n">
        <v>1316</v>
      </c>
      <c r="AL229" t="inlineStr">
        <is>
          <t>Published</t>
        </is>
      </c>
    </row>
    <row r="230">
      <c r="A230">
        <f>HYPERLINK("https://www.walmart.com/ip/3327694546", "3327694546")</f>
        <v/>
      </c>
      <c r="B230">
        <f>HYPERLINK("https://app.optiwise.ai/catalog/itemdetails/7388657", "Tirrinia Insulated Lunch Bag for Women Men, Double-Layer Leak-Proof Reusable Lunch Box with 4 Pockets, Large, 17L, Charcoal, 9.85” x 8.72” x 10.63”.")</f>
        <v/>
      </c>
      <c r="C230" t="inlineStr">
        <is>
          <t>1TRLB702CH-D</t>
        </is>
      </c>
      <c r="D230" t="inlineStr">
        <is>
          <t>Home Decor, Kitchen, &amp; Other</t>
        </is>
      </c>
      <c r="E230" t="inlineStr">
        <is>
          <t>Reusable Lunch Bags &amp; Boxes</t>
        </is>
      </c>
      <c r="F230" t="inlineStr">
        <is>
          <t>Tirrinia</t>
        </is>
      </c>
      <c r="G230" t="n">
        <v>0</v>
      </c>
      <c r="H230" t="n">
        <v>0</v>
      </c>
      <c r="I230" t="inlineStr">
        <is>
          <t>Q2-Target</t>
        </is>
      </c>
      <c r="J230" s="29" t="n">
        <v>127.91</v>
      </c>
      <c r="K230" s="30" t="n">
        <v>0.0011</v>
      </c>
      <c r="L230" s="29" t="n">
        <v>0</v>
      </c>
      <c r="M230" s="29" t="n">
        <v>0</v>
      </c>
      <c r="N230" s="2" t="n">
        <v>9</v>
      </c>
      <c r="O230" s="31" t="n">
        <v>0</v>
      </c>
      <c r="P230" s="32" t="n"/>
      <c r="Q230" s="32" t="n">
        <v>0</v>
      </c>
      <c r="R230" s="32" t="n">
        <v>0.1374</v>
      </c>
      <c r="S230" s="31" t="n">
        <v>0</v>
      </c>
      <c r="T230" s="32" t="n">
        <v>0</v>
      </c>
      <c r="U230" s="31" t="n">
        <v>0</v>
      </c>
      <c r="V230" s="31" t="n">
        <v>0</v>
      </c>
      <c r="W230" s="3" t="n">
        <v>0</v>
      </c>
      <c r="X230" s="3" t="n">
        <v>0</v>
      </c>
      <c r="Y230" s="32" t="n">
        <v>0</v>
      </c>
      <c r="Z230" s="3" t="n">
        <v>0</v>
      </c>
      <c r="AA230" s="32" t="n">
        <v>0</v>
      </c>
      <c r="AB230" s="3" t="n"/>
      <c r="AC230" s="31" t="n">
        <v>0</v>
      </c>
      <c r="AD230" s="2" t="n">
        <v>46</v>
      </c>
      <c r="AE230" s="2" t="n">
        <v>100</v>
      </c>
      <c r="AF230" s="4" t="n">
        <v>100</v>
      </c>
      <c r="AG230" s="33" t="n">
        <v>127.91</v>
      </c>
      <c r="AH230" s="4" t="n">
        <v>9</v>
      </c>
      <c r="AI230" s="34" t="n">
        <v>0.09</v>
      </c>
      <c r="AJ230" s="34" t="n">
        <v>1</v>
      </c>
      <c r="AK230" s="2" t="n">
        <v>1530</v>
      </c>
      <c r="AL230" t="inlineStr">
        <is>
          <t>Published</t>
        </is>
      </c>
    </row>
    <row r="231">
      <c r="A231">
        <f>HYPERLINK("https://www.walmart.com/ip/10298970243", "10298970243")</f>
        <v/>
      </c>
      <c r="B231">
        <f>HYPERLINK("https://app.optiwise.ai/catalog/itemdetails/10031982", "Wrangler Men’s Leather Country Casual Every Day Dress Belt for Jeans, Khakis Brown 32")</f>
        <v/>
      </c>
      <c r="C231" t="inlineStr">
        <is>
          <t>WR-BELT-MENS-COUNTRY-BROWN-32</t>
        </is>
      </c>
      <c r="D231" t="inlineStr">
        <is>
          <t>Clothing</t>
        </is>
      </c>
      <c r="E231" t="inlineStr">
        <is>
          <t>Belts</t>
        </is>
      </c>
      <c r="F231" t="inlineStr">
        <is>
          <t>Wrangler</t>
        </is>
      </c>
      <c r="G231" t="n">
        <v>0</v>
      </c>
      <c r="H231" t="n">
        <v>0</v>
      </c>
      <c r="I231" t="inlineStr">
        <is>
          <t>Belts</t>
        </is>
      </c>
      <c r="J231" s="29" t="n">
        <v>126.93</v>
      </c>
      <c r="K231" s="30" t="n">
        <v>0.0011</v>
      </c>
      <c r="L231" s="29" t="n">
        <v>39.97999954223633</v>
      </c>
      <c r="M231" s="29" t="n">
        <v>0</v>
      </c>
      <c r="N231" s="2" t="n">
        <v>6</v>
      </c>
      <c r="O231" s="31" t="n">
        <v>39.48999999999999</v>
      </c>
      <c r="P231" s="32" t="n">
        <v>0.0047</v>
      </c>
      <c r="Q231" s="32" t="n">
        <v>0.3111</v>
      </c>
      <c r="R231" s="32" t="n">
        <v>0.0563</v>
      </c>
      <c r="S231" s="31" t="n">
        <v>4.05</v>
      </c>
      <c r="T231" s="32" t="n">
        <v>0.25</v>
      </c>
      <c r="U231" s="31" t="n">
        <v>159.92</v>
      </c>
      <c r="V231" s="31" t="n">
        <v>139.93</v>
      </c>
      <c r="W231" s="3" t="n">
        <v>9350</v>
      </c>
      <c r="X231" s="3" t="n">
        <v>78</v>
      </c>
      <c r="Y231" s="32" t="n">
        <v>0.0083</v>
      </c>
      <c r="Z231" s="3" t="n">
        <v>8</v>
      </c>
      <c r="AA231" s="32" t="n">
        <v>0.1026</v>
      </c>
      <c r="AB231" s="3" t="inlineStr">
        <is>
          <t>Belts Manual_Optiwise,Belts_Auto_Optiwise,Need to sell these SKUs by 15th Feb</t>
        </is>
      </c>
      <c r="AC231" s="31" t="n">
        <v>0.51</v>
      </c>
      <c r="AD231" s="2" t="n">
        <v>7</v>
      </c>
      <c r="AE231" s="2" t="n">
        <v>97</v>
      </c>
      <c r="AF231" s="4" t="n">
        <v>19</v>
      </c>
      <c r="AG231" s="33" t="n">
        <v>-32.99000000000001</v>
      </c>
      <c r="AH231" s="4" t="n">
        <v>-2</v>
      </c>
      <c r="AI231" s="34" t="n">
        <v>-0.1053</v>
      </c>
      <c r="AJ231" s="34" t="n">
        <v>-0.2599</v>
      </c>
      <c r="AK231" s="2" t="n">
        <v>1080</v>
      </c>
      <c r="AL231" t="inlineStr">
        <is>
          <t>Published</t>
        </is>
      </c>
    </row>
    <row r="232">
      <c r="A232">
        <f>HYPERLINK("https://www.walmart.com/ip/546302367", "546302367")</f>
        <v/>
      </c>
      <c r="B232">
        <f>HYPERLINK("https://app.optiwise.ai/catalog/itemdetails/380740", "Catalonia Reversible Sherpa Throw Blanket, Super Soft Fluffy Blanket for Couch,  Fuzzy Comfy Warm Throws, Comfort Caring Gift, 50x60 inches, Purple")</f>
        <v/>
      </c>
      <c r="C232" t="inlineStr">
        <is>
          <t>1CTBF578PP</t>
        </is>
      </c>
      <c r="D232" t="inlineStr">
        <is>
          <t>Bedding</t>
        </is>
      </c>
      <c r="E232" t="inlineStr">
        <is>
          <t>Throws</t>
        </is>
      </c>
      <c r="F232" t="inlineStr">
        <is>
          <t>Catalonia</t>
        </is>
      </c>
      <c r="G232" t="n">
        <v>0</v>
      </c>
      <c r="H232" t="n">
        <v>0</v>
      </c>
      <c r="I232" t="inlineStr">
        <is>
          <t>Q2-Target,WFS,WFS Item</t>
        </is>
      </c>
      <c r="J232" s="29" t="n">
        <v>125.94</v>
      </c>
      <c r="K232" s="30" t="n">
        <v>0.0011</v>
      </c>
      <c r="L232" s="29" t="n">
        <v>20.98999977111816</v>
      </c>
      <c r="M232" s="29" t="n">
        <v>0</v>
      </c>
      <c r="N232" s="2" t="n">
        <v>6</v>
      </c>
      <c r="O232" s="31" t="n">
        <v>0</v>
      </c>
      <c r="P232" s="32" t="n"/>
      <c r="Q232" s="32" t="n">
        <v>0</v>
      </c>
      <c r="R232" s="32" t="n">
        <v>0</v>
      </c>
      <c r="S232" s="31" t="n">
        <v>0</v>
      </c>
      <c r="T232" s="32" t="n">
        <v>0</v>
      </c>
      <c r="U232" s="31" t="n">
        <v>0</v>
      </c>
      <c r="V232" s="31" t="n">
        <v>0</v>
      </c>
      <c r="W232" s="3" t="n">
        <v>0</v>
      </c>
      <c r="X232" s="3" t="n">
        <v>0</v>
      </c>
      <c r="Y232" s="32" t="n">
        <v>0</v>
      </c>
      <c r="Z232" s="3" t="n">
        <v>0</v>
      </c>
      <c r="AA232" s="32" t="n">
        <v>0</v>
      </c>
      <c r="AB232" s="3" t="n"/>
      <c r="AC232" s="31" t="n">
        <v>0</v>
      </c>
      <c r="AD232" s="2" t="n">
        <v>62</v>
      </c>
      <c r="AE232" s="2" t="n">
        <v>70</v>
      </c>
      <c r="AF232" s="4" t="n">
        <v>70</v>
      </c>
      <c r="AG232" s="33" t="n">
        <v>125.94</v>
      </c>
      <c r="AH232" s="4" t="n">
        <v>6</v>
      </c>
      <c r="AI232" s="34" t="n">
        <v>0.0857</v>
      </c>
      <c r="AJ232" s="34" t="n">
        <v>1</v>
      </c>
      <c r="AK232" s="2" t="n">
        <v>0</v>
      </c>
      <c r="AL232" t="inlineStr">
        <is>
          <t>Published</t>
        </is>
      </c>
    </row>
    <row r="233">
      <c r="A233">
        <f>HYPERLINK("https://www.walmart.com/ip/883303950", "883303950")</f>
        <v/>
      </c>
      <c r="B233">
        <f>HYPERLINK("https://app.optiwise.ai/catalog/itemdetails/359123", "Tirrinia 6 Bottle Wine Cooler Bag - Insulated Padded Portable Versatile Wine Carrier Tote Bag for Travel, BYOB Restaurant, Wine Tasting, Party, Pecfect Gift for Wine Lover, Grey")</f>
        <v/>
      </c>
      <c r="C233" t="inlineStr">
        <is>
          <t>1TRWB602GY</t>
        </is>
      </c>
      <c r="D233" t="inlineStr">
        <is>
          <t>Home Decor, Kitchen, &amp; Other</t>
        </is>
      </c>
      <c r="E233" t="inlineStr">
        <is>
          <t>Wine Totes, Bags &amp; Backpacks</t>
        </is>
      </c>
      <c r="F233" t="inlineStr">
        <is>
          <t>Tirrinia</t>
        </is>
      </c>
      <c r="G233" t="n">
        <v>5</v>
      </c>
      <c r="H233" t="n">
        <v>3</v>
      </c>
      <c r="I233" t="inlineStr">
        <is>
          <t>Wine,Christmas,Optimized,WFS,Wine WFS,Valentine,SEM,WFS Item,Lily Brand Camp</t>
        </is>
      </c>
      <c r="J233" s="29" t="n">
        <v>125.94</v>
      </c>
      <c r="K233" s="30" t="n">
        <v>0.0011</v>
      </c>
      <c r="L233" s="29" t="n">
        <v>41.97999954223633</v>
      </c>
      <c r="M233" s="29" t="n">
        <v>0</v>
      </c>
      <c r="N233" s="2" t="n">
        <v>6</v>
      </c>
      <c r="O233" s="31" t="n">
        <v>3.669999999999999</v>
      </c>
      <c r="P233" s="32" t="n">
        <v>0.0004</v>
      </c>
      <c r="Q233" s="32" t="n">
        <v>0.0291</v>
      </c>
      <c r="R233" s="32" t="n">
        <v>0.0114</v>
      </c>
      <c r="S233" s="31" t="n">
        <v>5.72</v>
      </c>
      <c r="T233" s="32" t="n">
        <v>0.17</v>
      </c>
      <c r="U233" s="31" t="n">
        <v>20.99</v>
      </c>
      <c r="V233" s="31" t="n">
        <v>20.99</v>
      </c>
      <c r="W233" s="3" t="n">
        <v>5109</v>
      </c>
      <c r="X233" s="3" t="n">
        <v>11</v>
      </c>
      <c r="Y233" s="32" t="n">
        <v>0.0022</v>
      </c>
      <c r="Z233" s="3" t="n">
        <v>1</v>
      </c>
      <c r="AA233" s="32" t="n">
        <v>0.09089999999999999</v>
      </c>
      <c r="AB233" s="3" t="inlineStr">
        <is>
          <t>Auto Campaign_Vinay</t>
        </is>
      </c>
      <c r="AC233" s="31" t="n">
        <v>0.33</v>
      </c>
      <c r="AD233" s="2" t="n">
        <v>33</v>
      </c>
      <c r="AE233" s="2" t="n">
        <v>48</v>
      </c>
      <c r="AF233" s="4" t="n">
        <v>37</v>
      </c>
      <c r="AG233" s="33" t="n">
        <v>104.95</v>
      </c>
      <c r="AH233" s="4" t="n">
        <v>5</v>
      </c>
      <c r="AI233" s="34" t="n">
        <v>0.1351</v>
      </c>
      <c r="AJ233" s="34" t="n">
        <v>0.8333</v>
      </c>
      <c r="AK233" s="2" t="n">
        <v>2250</v>
      </c>
      <c r="AL233" t="inlineStr">
        <is>
          <t>Published</t>
        </is>
      </c>
    </row>
    <row r="234">
      <c r="A234">
        <f>HYPERLINK("https://www.walmart.com/ip/785889519", "785889519")</f>
        <v/>
      </c>
      <c r="B234">
        <f>HYPERLINK("https://app.optiwise.ai/catalog/itemdetails/358724", "Tirrinia Extra Large Lunch Bag - 13L/ 22 Can, Insulated &amp; Leakproof Adult Reusable Meal Prep Bento Box Cooler Tote for Men &amp; Women with Dual Compartment, Grey")</f>
        <v/>
      </c>
      <c r="C234" t="inlineStr">
        <is>
          <t>1KTLB410GY</t>
        </is>
      </c>
      <c r="D234" t="inlineStr">
        <is>
          <t>Home Decor, Kitchen, &amp; Other</t>
        </is>
      </c>
      <c r="E234" t="inlineStr">
        <is>
          <t>Reusable Lunch Bags &amp; Boxes</t>
        </is>
      </c>
      <c r="F234" t="inlineStr">
        <is>
          <t>Tirrinia</t>
        </is>
      </c>
      <c r="G234" t="n">
        <v>4.2</v>
      </c>
      <c r="H234" t="n">
        <v>49</v>
      </c>
      <c r="I234" t="inlineStr">
        <is>
          <t>Q2-Target,Brand Camp VD,Lunch Bag,Optimized,WFS,Lunch Bags,SEM,Wal-Exl-Price,WFS Item</t>
        </is>
      </c>
      <c r="J234" s="29" t="n">
        <v>124.2</v>
      </c>
      <c r="K234" s="30" t="n">
        <v>0.0011</v>
      </c>
      <c r="L234" s="29" t="n">
        <v>0</v>
      </c>
      <c r="M234" s="29" t="n">
        <v>0</v>
      </c>
      <c r="N234" s="2" t="n">
        <v>6</v>
      </c>
      <c r="O234" s="31" t="n">
        <v>0</v>
      </c>
      <c r="P234" s="32" t="n"/>
      <c r="Q234" s="32" t="n">
        <v>0</v>
      </c>
      <c r="R234" s="32" t="n">
        <v>0.0567</v>
      </c>
      <c r="S234" s="31" t="n">
        <v>0</v>
      </c>
      <c r="T234" s="32" t="n">
        <v>0</v>
      </c>
      <c r="U234" s="31" t="n">
        <v>0</v>
      </c>
      <c r="V234" s="31" t="n">
        <v>0</v>
      </c>
      <c r="W234" s="3" t="n">
        <v>0</v>
      </c>
      <c r="X234" s="3" t="n">
        <v>0</v>
      </c>
      <c r="Y234" s="32" t="n">
        <v>0</v>
      </c>
      <c r="Z234" s="3" t="n">
        <v>0</v>
      </c>
      <c r="AA234" s="32" t="n">
        <v>0</v>
      </c>
      <c r="AB234" s="3" t="n"/>
      <c r="AC234" s="31" t="n">
        <v>0</v>
      </c>
      <c r="AD234" s="2" t="n">
        <v>105</v>
      </c>
      <c r="AE234" s="2" t="n">
        <v>148</v>
      </c>
      <c r="AF234" s="4" t="n">
        <v>148</v>
      </c>
      <c r="AG234" s="33" t="n">
        <v>124.2</v>
      </c>
      <c r="AH234" s="4" t="n">
        <v>6</v>
      </c>
      <c r="AI234" s="34" t="n">
        <v>0.0405</v>
      </c>
      <c r="AJ234" s="34" t="n">
        <v>1</v>
      </c>
      <c r="AK234" s="2" t="n">
        <v>2250</v>
      </c>
      <c r="AL234" t="inlineStr">
        <is>
          <t>Published</t>
        </is>
      </c>
    </row>
    <row r="235">
      <c r="A235">
        <f>HYPERLINK("https://www.walmart.com/ip/311864053", "311864053")</f>
        <v/>
      </c>
      <c r="B235">
        <f>HYPERLINK("https://app.optiwise.ai/catalog/itemdetails/362718", "Catalonia Wearable Blanket with Sleeves and Pocket, Cozy Soft Fleece Micro Plush Wrap Adult Snuggie Blanket Robe for Women Men, Makes a Great Gift for Holidays, Navy")</f>
        <v/>
      </c>
      <c r="C235" t="inlineStr">
        <is>
          <t>1CTSN100NY</t>
        </is>
      </c>
      <c r="D235" t="inlineStr">
        <is>
          <t>Bedding</t>
        </is>
      </c>
      <c r="E235" t="inlineStr">
        <is>
          <t>Throws</t>
        </is>
      </c>
      <c r="F235" t="inlineStr">
        <is>
          <t>Catalonia</t>
        </is>
      </c>
      <c r="G235" t="n">
        <v>0</v>
      </c>
      <c r="H235" t="n">
        <v>0</v>
      </c>
      <c r="I235" t="inlineStr">
        <is>
          <t>Q2-Target,WFS,Coupon_Discount,WFS Item</t>
        </is>
      </c>
      <c r="J235" s="29" t="n">
        <v>123.93</v>
      </c>
      <c r="K235" s="30" t="n">
        <v>0.0011</v>
      </c>
      <c r="L235" s="29" t="n">
        <v>0</v>
      </c>
      <c r="M235" s="29" t="n">
        <v>0</v>
      </c>
      <c r="N235" s="2" t="n">
        <v>5</v>
      </c>
      <c r="O235" s="31" t="n">
        <v>32.25</v>
      </c>
      <c r="P235" s="32" t="n">
        <v>0.0039</v>
      </c>
      <c r="Q235" s="32" t="n">
        <v>0.2602</v>
      </c>
      <c r="R235" s="32" t="n">
        <v>0.1338</v>
      </c>
      <c r="S235" s="31" t="n">
        <v>2.08</v>
      </c>
      <c r="T235" s="32" t="n">
        <v>0.48</v>
      </c>
      <c r="U235" s="31" t="n">
        <v>66.97</v>
      </c>
      <c r="V235" s="31" t="n">
        <v>66.97</v>
      </c>
      <c r="W235" s="3" t="n">
        <v>26107</v>
      </c>
      <c r="X235" s="3" t="n">
        <v>73</v>
      </c>
      <c r="Y235" s="32" t="n">
        <v>0.0028</v>
      </c>
      <c r="Z235" s="3" t="n">
        <v>3</v>
      </c>
      <c r="AA235" s="32" t="n">
        <v>0.0411</v>
      </c>
      <c r="AB235" s="3" t="inlineStr">
        <is>
          <t>Need to sell these SKUs by 15th Feb,Throws_Auto_Optiwise_24</t>
        </is>
      </c>
      <c r="AC235" s="31" t="n">
        <v>0.44</v>
      </c>
      <c r="AD235" s="2" t="n">
        <v>55</v>
      </c>
      <c r="AE235" s="2" t="n">
        <v>55</v>
      </c>
      <c r="AF235" s="4" t="inlineStr">
        <is>
          <t>NA</t>
        </is>
      </c>
      <c r="AG235" s="33" t="n">
        <v>56.96000000000001</v>
      </c>
      <c r="AH235" s="4" t="n">
        <v>2</v>
      </c>
      <c r="AI235" s="34" t="inlineStr">
        <is>
          <t>NA</t>
        </is>
      </c>
      <c r="AJ235" s="34" t="n">
        <v>0.4596</v>
      </c>
      <c r="AK235" s="2" t="n">
        <v>0</v>
      </c>
      <c r="AL235" t="inlineStr">
        <is>
          <t>Published</t>
        </is>
      </c>
    </row>
    <row r="236">
      <c r="A236">
        <f>HYPERLINK("https://www.walmart.com/ip/2062415654", "2062415654")</f>
        <v/>
      </c>
      <c r="B236">
        <f>HYPERLINK("https://app.optiwise.ai/catalog/itemdetails/4979876", "Tirrinia Insulated Lunch Box for Women | Lunch Bags for Women, Girls, Teens | Cute Yellow Reusable Thermal Lunch Tote Purse Cooler for Kids, School, Work, Office, Adult | Fits 10 Cans (Yellow Lemon)")</f>
        <v/>
      </c>
      <c r="C236" t="inlineStr">
        <is>
          <t>1WMLB706YLLEM</t>
        </is>
      </c>
      <c r="D236" t="inlineStr">
        <is>
          <t>Home Decor, Kitchen, &amp; Other</t>
        </is>
      </c>
      <c r="E236" t="inlineStr">
        <is>
          <t>Reusable Lunch Bags &amp; Boxes</t>
        </is>
      </c>
      <c r="F236" t="inlineStr">
        <is>
          <t>Tirrinia</t>
        </is>
      </c>
      <c r="G236" t="n">
        <v>5</v>
      </c>
      <c r="H236" t="n">
        <v>5</v>
      </c>
      <c r="I236" t="inlineStr">
        <is>
          <t>Q2-Target,Brand Camp VD</t>
        </is>
      </c>
      <c r="J236" s="29" t="n">
        <v>121.88</v>
      </c>
      <c r="K236" s="30" t="n">
        <v>0.0011</v>
      </c>
      <c r="L236" s="29" t="n">
        <v>0</v>
      </c>
      <c r="M236" s="29" t="n">
        <v>0</v>
      </c>
      <c r="N236" s="2" t="n">
        <v>11</v>
      </c>
      <c r="O236" s="31" t="n">
        <v>0</v>
      </c>
      <c r="P236" s="32" t="n"/>
      <c r="Q236" s="32" t="n">
        <v>0</v>
      </c>
      <c r="R236" s="32" t="n">
        <v>0.103</v>
      </c>
      <c r="S236" s="31" t="n">
        <v>0</v>
      </c>
      <c r="T236" s="32" t="n">
        <v>0</v>
      </c>
      <c r="U236" s="31" t="n">
        <v>0</v>
      </c>
      <c r="V236" s="31" t="n">
        <v>0</v>
      </c>
      <c r="W236" s="3" t="n">
        <v>0</v>
      </c>
      <c r="X236" s="3" t="n">
        <v>0</v>
      </c>
      <c r="Y236" s="32" t="n">
        <v>0</v>
      </c>
      <c r="Z236" s="3" t="n">
        <v>0</v>
      </c>
      <c r="AA236" s="32" t="n">
        <v>0</v>
      </c>
      <c r="AB236" s="3" t="n"/>
      <c r="AC236" s="31" t="n">
        <v>0</v>
      </c>
      <c r="AD236" s="2" t="n">
        <v>110</v>
      </c>
      <c r="AE236" s="2" t="n">
        <v>139</v>
      </c>
      <c r="AF236" s="4" t="n">
        <v>139</v>
      </c>
      <c r="AG236" s="33" t="n">
        <v>121.88</v>
      </c>
      <c r="AH236" s="4" t="n">
        <v>11</v>
      </c>
      <c r="AI236" s="34" t="n">
        <v>0.0791</v>
      </c>
      <c r="AJ236" s="34" t="n">
        <v>1</v>
      </c>
      <c r="AK236" s="2" t="n">
        <v>1227</v>
      </c>
      <c r="AL236" t="inlineStr">
        <is>
          <t>Published</t>
        </is>
      </c>
    </row>
    <row r="237">
      <c r="A237">
        <f>HYPERLINK("https://www.walmart.com/ip/138121626", "138121626")</f>
        <v/>
      </c>
      <c r="B237">
        <f>HYPERLINK("https://app.optiwise.ai/catalog/itemdetails/361765", "Realtree Unisex Hardwood Mesh Baseball Cap Outdoor Sports Embroidery Hunting Trucker Hat")</f>
        <v/>
      </c>
      <c r="C237" t="inlineStr">
        <is>
          <t>KC Caps HT01</t>
        </is>
      </c>
      <c r="D237" t="inlineStr">
        <is>
          <t>Clothing</t>
        </is>
      </c>
      <c r="E237" t="inlineStr">
        <is>
          <t>Hats</t>
        </is>
      </c>
      <c r="F237" t="inlineStr">
        <is>
          <t>KC Caps</t>
        </is>
      </c>
      <c r="G237" t="n">
        <v>3.6</v>
      </c>
      <c r="H237" t="n">
        <v>5</v>
      </c>
      <c r="I237" t="inlineStr">
        <is>
          <t>WFS,WFS Item</t>
        </is>
      </c>
      <c r="J237" s="29" t="n">
        <v>120</v>
      </c>
      <c r="K237" s="30" t="n">
        <v>0.001</v>
      </c>
      <c r="L237" s="29" t="n">
        <v>0</v>
      </c>
      <c r="M237" s="29" t="n">
        <v>0</v>
      </c>
      <c r="N237" s="2" t="n">
        <v>12</v>
      </c>
      <c r="O237" s="31" t="n">
        <v>0</v>
      </c>
      <c r="P237" s="32" t="n"/>
      <c r="Q237" s="32" t="n">
        <v>0</v>
      </c>
      <c r="R237" s="32" t="n">
        <v>0</v>
      </c>
      <c r="S237" s="31" t="n">
        <v>0</v>
      </c>
      <c r="T237" s="32" t="n">
        <v>0</v>
      </c>
      <c r="U237" s="31" t="n">
        <v>0</v>
      </c>
      <c r="V237" s="31" t="n">
        <v>0</v>
      </c>
      <c r="W237" s="3" t="n">
        <v>0</v>
      </c>
      <c r="X237" s="3" t="n">
        <v>0</v>
      </c>
      <c r="Y237" s="32" t="n">
        <v>0</v>
      </c>
      <c r="Z237" s="3" t="n">
        <v>0</v>
      </c>
      <c r="AA237" s="32" t="n">
        <v>0</v>
      </c>
      <c r="AB237" s="3" t="n"/>
      <c r="AC237" s="31" t="n">
        <v>0</v>
      </c>
      <c r="AD237" s="2" t="n">
        <v>2</v>
      </c>
      <c r="AE237" s="2" t="n">
        <v>47</v>
      </c>
      <c r="AF237" s="4" t="n">
        <v>47</v>
      </c>
      <c r="AG237" s="33" t="n">
        <v>120</v>
      </c>
      <c r="AH237" s="4" t="n">
        <v>12</v>
      </c>
      <c r="AI237" s="34" t="n">
        <v>0.2553</v>
      </c>
      <c r="AJ237" s="34" t="n">
        <v>1</v>
      </c>
      <c r="AK237" s="2" t="n">
        <v>405</v>
      </c>
      <c r="AL237" t="inlineStr">
        <is>
          <t>Published</t>
        </is>
      </c>
    </row>
    <row r="238">
      <c r="A238">
        <f>HYPERLINK("https://www.walmart.com/ip/15419556673", "15419556673")</f>
        <v/>
      </c>
      <c r="B238">
        <f>HYPERLINK("https://app.optiwise.ai/catalog/itemdetails/20119650", "Catalonia Kids Waterproof Swim Parka with Hood, Windproof Fleece Swim Jacket, Warm Winter Swim Coat for Boys Girls Youth, Perfect for Swim Lessons, Beach, Pool")</f>
        <v/>
      </c>
      <c r="C238" t="inlineStr">
        <is>
          <t>1CTPKR200BL-1</t>
        </is>
      </c>
      <c r="D238" t="inlineStr">
        <is>
          <t>Clothing</t>
        </is>
      </c>
      <c r="E238" t="inlineStr">
        <is>
          <t>Swim Parkas</t>
        </is>
      </c>
      <c r="F238" t="inlineStr">
        <is>
          <t>Catalonia</t>
        </is>
      </c>
      <c r="G238" t="n">
        <v>0</v>
      </c>
      <c r="H238" t="n">
        <v>0</v>
      </c>
      <c r="J238" s="29" t="n">
        <v>119.98</v>
      </c>
      <c r="K238" s="30" t="n">
        <v>0.001</v>
      </c>
      <c r="L238" s="29" t="n">
        <v>0</v>
      </c>
      <c r="M238" s="29" t="n">
        <v>0</v>
      </c>
      <c r="N238" s="2" t="n">
        <v>2</v>
      </c>
      <c r="O238" s="31" t="n">
        <v>0</v>
      </c>
      <c r="P238" s="32" t="n"/>
      <c r="Q238" s="32" t="n">
        <v>0</v>
      </c>
      <c r="R238" s="32" t="n">
        <v>0</v>
      </c>
      <c r="S238" s="31" t="n">
        <v>0</v>
      </c>
      <c r="T238" s="32" t="n">
        <v>0</v>
      </c>
      <c r="U238" s="31" t="n">
        <v>0</v>
      </c>
      <c r="V238" s="31" t="n">
        <v>0</v>
      </c>
      <c r="W238" s="3" t="n">
        <v>0</v>
      </c>
      <c r="X238" s="3" t="n">
        <v>0</v>
      </c>
      <c r="Y238" s="32" t="n">
        <v>0</v>
      </c>
      <c r="Z238" s="3" t="n">
        <v>0</v>
      </c>
      <c r="AA238" s="32" t="n">
        <v>0</v>
      </c>
      <c r="AB238" s="3" t="n"/>
      <c r="AC238" s="31" t="n">
        <v>0</v>
      </c>
      <c r="AD238" s="2" t="n">
        <v>0</v>
      </c>
      <c r="AE238" s="2" t="n">
        <v>0</v>
      </c>
      <c r="AF238" s="4" t="n">
        <v>0</v>
      </c>
      <c r="AG238" s="33" t="n">
        <v>119.98</v>
      </c>
      <c r="AH238" s="4" t="n">
        <v>2</v>
      </c>
      <c r="AI238" s="34" t="n"/>
      <c r="AJ238" s="34" t="n">
        <v>1</v>
      </c>
      <c r="AK238" s="2" t="n">
        <v>2970</v>
      </c>
      <c r="AL238" t="inlineStr">
        <is>
          <t>Published</t>
        </is>
      </c>
    </row>
    <row r="239">
      <c r="A239">
        <f>HYPERLINK("https://www.walmart.com/ip/842306008", "842306008")</f>
        <v/>
      </c>
      <c r="B239">
        <f>HYPERLINK("https://app.optiwise.ai/catalog/itemdetails/359315", "Catalonia Waterproof Fleece Blanket, Liquid Pee Proof Outdoor Blanket for Bed Couch Sofa, Protector Cover for Baby, Cozy Sherpa Lining Throws and Blankets for Camping and Boating, Camel/Taupe, 80'' x 60''")</f>
        <v/>
      </c>
      <c r="C239" t="inlineStr">
        <is>
          <t>1CTBW681TPTP</t>
        </is>
      </c>
      <c r="D239" t="inlineStr">
        <is>
          <t>Bedding</t>
        </is>
      </c>
      <c r="E239" t="inlineStr">
        <is>
          <t>Throws</t>
        </is>
      </c>
      <c r="F239" t="inlineStr">
        <is>
          <t>Catalonia</t>
        </is>
      </c>
      <c r="G239" t="n">
        <v>0</v>
      </c>
      <c r="H239" t="n">
        <v>0</v>
      </c>
      <c r="I239" t="inlineStr">
        <is>
          <t>Optimized,Wproof Blanket</t>
        </is>
      </c>
      <c r="J239" s="29" t="n">
        <v>119.97</v>
      </c>
      <c r="K239" s="30" t="n">
        <v>0.001</v>
      </c>
      <c r="L239" s="29" t="n">
        <v>0</v>
      </c>
      <c r="M239" s="29" t="n">
        <v>0</v>
      </c>
      <c r="N239" s="2" t="n">
        <v>3</v>
      </c>
      <c r="O239" s="31" t="n">
        <v>7.800000000000002</v>
      </c>
      <c r="P239" s="32" t="n">
        <v>0.0009</v>
      </c>
      <c r="Q239" s="32" t="n">
        <v>0.065</v>
      </c>
      <c r="R239" s="32" t="n">
        <v>0.0263</v>
      </c>
      <c r="S239" s="31" t="n">
        <v>10.25</v>
      </c>
      <c r="T239" s="32" t="n">
        <v>0.1</v>
      </c>
      <c r="U239" s="31" t="n">
        <v>79.98</v>
      </c>
      <c r="V239" s="31" t="n">
        <v>79.98</v>
      </c>
      <c r="W239" s="3" t="n">
        <v>21958</v>
      </c>
      <c r="X239" s="3" t="n">
        <v>19</v>
      </c>
      <c r="Y239" s="32" t="n">
        <v>0.0009</v>
      </c>
      <c r="Z239" s="3" t="n">
        <v>2</v>
      </c>
      <c r="AA239" s="32" t="n">
        <v>0.1053</v>
      </c>
      <c r="AB239" s="3" t="inlineStr">
        <is>
          <t>Auto for BW Indoor,Throws_Auto_Optiwise_24</t>
        </is>
      </c>
      <c r="AC239" s="31" t="n">
        <v>0.41</v>
      </c>
      <c r="AD239" s="2" t="n">
        <v>0</v>
      </c>
      <c r="AE239" s="2" t="n">
        <v>62</v>
      </c>
      <c r="AF239" s="4" t="n">
        <v>43</v>
      </c>
      <c r="AG239" s="33" t="n">
        <v>39.98999999999999</v>
      </c>
      <c r="AH239" s="4" t="n">
        <v>1</v>
      </c>
      <c r="AI239" s="34" t="n">
        <v>0.0233</v>
      </c>
      <c r="AJ239" s="34" t="n">
        <v>0.3333</v>
      </c>
      <c r="AK239" s="2" t="n">
        <v>4545</v>
      </c>
      <c r="AL239" t="inlineStr">
        <is>
          <t>Published</t>
        </is>
      </c>
    </row>
    <row r="240">
      <c r="A240">
        <f>HYPERLINK("https://www.walmart.com/ip/730018158", "730018158")</f>
        <v/>
      </c>
      <c r="B240">
        <f>HYPERLINK("https://app.optiwise.ai/catalog/itemdetails/380736", "Women's Poncho Cape, Sherpa Fleece Cloak Coat, Snuggly Hooded Wearable Blanket, Gift Idea for Adults and Teen Girls")</f>
        <v/>
      </c>
      <c r="C240" t="inlineStr">
        <is>
          <t>1CTBC300NY</t>
        </is>
      </c>
      <c r="D240" t="inlineStr">
        <is>
          <t>Home Decor, Kitchen, &amp; Other</t>
        </is>
      </c>
      <c r="E240" t="inlineStr">
        <is>
          <t>Throws</t>
        </is>
      </c>
      <c r="F240" t="inlineStr">
        <is>
          <t>Catalonia</t>
        </is>
      </c>
      <c r="G240" t="n">
        <v>4.1</v>
      </c>
      <c r="H240" t="n">
        <v>29</v>
      </c>
      <c r="I240" t="inlineStr">
        <is>
          <t>SEM,WFS Item</t>
        </is>
      </c>
      <c r="J240" s="29" t="n">
        <v>119.97</v>
      </c>
      <c r="K240" s="30" t="n">
        <v>0.001</v>
      </c>
      <c r="L240" s="29" t="n">
        <v>0</v>
      </c>
      <c r="M240" s="29" t="n">
        <v>0</v>
      </c>
      <c r="N240" s="2" t="n">
        <v>3</v>
      </c>
      <c r="O240" s="31" t="n">
        <v>0</v>
      </c>
      <c r="P240" s="32" t="n"/>
      <c r="Q240" s="32" t="n">
        <v>0</v>
      </c>
      <c r="R240" s="32" t="n">
        <v>0.0036</v>
      </c>
      <c r="S240" s="31" t="n">
        <v>0</v>
      </c>
      <c r="T240" s="32" t="n">
        <v>0</v>
      </c>
      <c r="U240" s="31" t="n">
        <v>0</v>
      </c>
      <c r="V240" s="31" t="n">
        <v>0</v>
      </c>
      <c r="W240" s="3" t="n">
        <v>0</v>
      </c>
      <c r="X240" s="3" t="n">
        <v>0</v>
      </c>
      <c r="Y240" s="32" t="n">
        <v>0</v>
      </c>
      <c r="Z240" s="3" t="n">
        <v>0</v>
      </c>
      <c r="AA240" s="32" t="n">
        <v>0</v>
      </c>
      <c r="AB240" s="3" t="n"/>
      <c r="AC240" s="31" t="n">
        <v>0</v>
      </c>
      <c r="AD240" s="2" t="n">
        <v>158</v>
      </c>
      <c r="AE240" s="2" t="n">
        <v>205</v>
      </c>
      <c r="AF240" s="4" t="n">
        <v>205</v>
      </c>
      <c r="AG240" s="33" t="n">
        <v>119.97</v>
      </c>
      <c r="AH240" s="4" t="n">
        <v>3</v>
      </c>
      <c r="AI240" s="34" t="n">
        <v>0.0146</v>
      </c>
      <c r="AJ240" s="34" t="n">
        <v>1</v>
      </c>
      <c r="AK240" s="2" t="n">
        <v>3105</v>
      </c>
      <c r="AL240" t="inlineStr">
        <is>
          <t>Published</t>
        </is>
      </c>
    </row>
    <row r="241">
      <c r="A241">
        <f>HYPERLINK("https://www.walmart.com/ip/5595944476", "5595944476")</f>
        <v/>
      </c>
      <c r="B241">
        <f>HYPERLINK("https://app.optiwise.ai/catalog/itemdetails/9053824", "Tirrinia Large Cooler Bag,48 Cans Insulated Leakproof Soft Ice Chest, Portable Beach Cooler with Heavy-Duty Handles for Picnic, Beach, Camping, Road Trips")</f>
        <v/>
      </c>
      <c r="C241" t="inlineStr">
        <is>
          <t>1TRCB00148GNBK</t>
        </is>
      </c>
      <c r="D241" t="inlineStr">
        <is>
          <t>Sport &amp; Recreation Other</t>
        </is>
      </c>
      <c r="E241" t="inlineStr">
        <is>
          <t>Soft-Sided Coolers</t>
        </is>
      </c>
      <c r="F241" t="inlineStr">
        <is>
          <t>Tirrinia</t>
        </is>
      </c>
      <c r="G241" t="n">
        <v>0</v>
      </c>
      <c r="H241" t="n">
        <v>0</v>
      </c>
      <c r="J241" s="29" t="n">
        <v>119.96</v>
      </c>
      <c r="K241" s="30" t="n">
        <v>0.001</v>
      </c>
      <c r="L241" s="29" t="n">
        <v>0</v>
      </c>
      <c r="M241" s="29" t="n">
        <v>0</v>
      </c>
      <c r="N241" s="2" t="n">
        <v>4</v>
      </c>
      <c r="O241" s="31" t="n">
        <v>0</v>
      </c>
      <c r="P241" s="32" t="n"/>
      <c r="Q241" s="32" t="n">
        <v>0</v>
      </c>
      <c r="R241" s="32" t="n">
        <v>0</v>
      </c>
      <c r="S241" s="31" t="n">
        <v>0</v>
      </c>
      <c r="T241" s="32" t="n">
        <v>0</v>
      </c>
      <c r="U241" s="31" t="n">
        <v>0</v>
      </c>
      <c r="V241" s="31" t="n">
        <v>0</v>
      </c>
      <c r="W241" s="3" t="n">
        <v>0</v>
      </c>
      <c r="X241" s="3" t="n">
        <v>0</v>
      </c>
      <c r="Y241" s="32" t="n">
        <v>0</v>
      </c>
      <c r="Z241" s="3" t="n">
        <v>0</v>
      </c>
      <c r="AA241" s="32" t="n">
        <v>0</v>
      </c>
      <c r="AB241" s="3" t="n"/>
      <c r="AC241" s="31" t="n">
        <v>0</v>
      </c>
      <c r="AD241" s="2" t="n">
        <v>0</v>
      </c>
      <c r="AE241" s="2" t="n">
        <v>45</v>
      </c>
      <c r="AF241" s="4" t="n">
        <v>45</v>
      </c>
      <c r="AG241" s="33" t="n">
        <v>119.96</v>
      </c>
      <c r="AH241" s="4" t="n">
        <v>4</v>
      </c>
      <c r="AI241" s="34" t="n">
        <v>0.08890000000000001</v>
      </c>
      <c r="AJ241" s="34" t="n">
        <v>1</v>
      </c>
      <c r="AK241" s="2" t="n">
        <v>3375</v>
      </c>
      <c r="AL241" t="inlineStr">
        <is>
          <t>Published</t>
        </is>
      </c>
    </row>
    <row r="242">
      <c r="A242">
        <f>HYPERLINK("https://www.walmart.com/ip/2901486666", "2901486666")</f>
        <v/>
      </c>
      <c r="B242">
        <f>HYPERLINK("https://app.optiwise.ai/catalog/itemdetails/7407375", "Catalonia Cow Print Sherpa Fleece Blanket, Super Soft Warm Cozy Flannel Reversible Throw Blanket for Couch Sofa Bed, Brown Horse Pattern, 50 x 60.")</f>
        <v/>
      </c>
      <c r="C242" t="inlineStr">
        <is>
          <t>1CTBF300TPHORSE</t>
        </is>
      </c>
      <c r="D242" t="inlineStr">
        <is>
          <t>Bedding</t>
        </is>
      </c>
      <c r="E242" t="inlineStr">
        <is>
          <t>Throws</t>
        </is>
      </c>
      <c r="F242" t="inlineStr">
        <is>
          <t>Catalonia</t>
        </is>
      </c>
      <c r="G242" t="n">
        <v>4</v>
      </c>
      <c r="H242" t="n">
        <v>13</v>
      </c>
      <c r="I242" t="inlineStr">
        <is>
          <t>Q2-Target,Coupon_Discount,Fleece Blankets</t>
        </is>
      </c>
      <c r="J242" s="29" t="n">
        <v>119.94</v>
      </c>
      <c r="K242" s="30" t="n">
        <v>0.001</v>
      </c>
      <c r="L242" s="29" t="n">
        <v>0</v>
      </c>
      <c r="M242" s="29" t="n">
        <v>0</v>
      </c>
      <c r="N242" s="2" t="n">
        <v>6</v>
      </c>
      <c r="O242" s="31" t="n">
        <v>0</v>
      </c>
      <c r="P242" s="32" t="n"/>
      <c r="Q242" s="32" t="n">
        <v>0</v>
      </c>
      <c r="R242" s="32" t="n">
        <v>0</v>
      </c>
      <c r="S242" s="31" t="n">
        <v>0</v>
      </c>
      <c r="T242" s="32" t="n">
        <v>0</v>
      </c>
      <c r="U242" s="31" t="n">
        <v>0</v>
      </c>
      <c r="V242" s="31" t="n">
        <v>0</v>
      </c>
      <c r="W242" s="3" t="n">
        <v>0</v>
      </c>
      <c r="X242" s="3" t="n">
        <v>0</v>
      </c>
      <c r="Y242" s="32" t="n">
        <v>0</v>
      </c>
      <c r="Z242" s="3" t="n">
        <v>0</v>
      </c>
      <c r="AA242" s="32" t="n">
        <v>0</v>
      </c>
      <c r="AB242" s="3" t="n"/>
      <c r="AC242" s="31" t="n">
        <v>0</v>
      </c>
      <c r="AD242" s="2" t="n">
        <v>193</v>
      </c>
      <c r="AE242" s="2" t="n">
        <v>111</v>
      </c>
      <c r="AF242" s="4" t="n">
        <v>111</v>
      </c>
      <c r="AG242" s="33" t="n">
        <v>119.94</v>
      </c>
      <c r="AH242" s="4" t="n">
        <v>6</v>
      </c>
      <c r="AI242" s="34" t="n">
        <v>0.0541</v>
      </c>
      <c r="AJ242" s="34" t="n">
        <v>1</v>
      </c>
      <c r="AK242" s="2" t="n">
        <v>0</v>
      </c>
      <c r="AL242" t="inlineStr">
        <is>
          <t>Published</t>
        </is>
      </c>
    </row>
    <row r="243">
      <c r="A243">
        <f>HYPERLINK("https://www.walmart.com/ip/10298068836", "10298068836")</f>
        <v/>
      </c>
      <c r="B243">
        <f>HYPERLINK("https://app.optiwise.ai/catalog/itemdetails/10031981", "Wrangler Men’s Full Grain Genuine Leather 35mm Thick Casual Belt for Jeans, Pants - Brown, 44")</f>
        <v/>
      </c>
      <c r="C243" t="inlineStr">
        <is>
          <t>WR-BELT-MENS-35MM-BROWN-44</t>
        </is>
      </c>
      <c r="D243" t="inlineStr">
        <is>
          <t>Clothing</t>
        </is>
      </c>
      <c r="E243" t="inlineStr">
        <is>
          <t>Belts</t>
        </is>
      </c>
      <c r="F243" t="inlineStr">
        <is>
          <t>Wrangler</t>
        </is>
      </c>
      <c r="G243" t="n">
        <v>0</v>
      </c>
      <c r="H243" t="n">
        <v>0</v>
      </c>
      <c r="I243" t="inlineStr">
        <is>
          <t>Belts</t>
        </is>
      </c>
      <c r="J243" s="29" t="n">
        <v>119.94</v>
      </c>
      <c r="K243" s="30" t="n">
        <v>0.001</v>
      </c>
      <c r="L243" s="29" t="n">
        <v>0</v>
      </c>
      <c r="M243" s="29" t="n">
        <v>0</v>
      </c>
      <c r="N243" s="2" t="n">
        <v>6</v>
      </c>
      <c r="O243" s="31" t="n">
        <v>0</v>
      </c>
      <c r="P243" s="32" t="n"/>
      <c r="Q243" s="32" t="n">
        <v>0</v>
      </c>
      <c r="R243" s="32" t="n">
        <v>0</v>
      </c>
      <c r="S243" s="31" t="n">
        <v>0</v>
      </c>
      <c r="T243" s="32" t="n">
        <v>0</v>
      </c>
      <c r="U243" s="31" t="n">
        <v>0</v>
      </c>
      <c r="V243" s="31" t="n">
        <v>0</v>
      </c>
      <c r="W243" s="3" t="n">
        <v>0</v>
      </c>
      <c r="X243" s="3" t="n">
        <v>0</v>
      </c>
      <c r="Y243" s="32" t="n">
        <v>0</v>
      </c>
      <c r="Z243" s="3" t="n">
        <v>0</v>
      </c>
      <c r="AA243" s="32" t="n">
        <v>0</v>
      </c>
      <c r="AB243" s="3" t="n"/>
      <c r="AC243" s="31" t="n">
        <v>0</v>
      </c>
      <c r="AD243" s="2" t="n">
        <v>0</v>
      </c>
      <c r="AE243" s="2" t="n">
        <v>55</v>
      </c>
      <c r="AF243" s="4" t="n">
        <v>55</v>
      </c>
      <c r="AG243" s="33" t="n">
        <v>119.94</v>
      </c>
      <c r="AH243" s="4" t="n">
        <v>6</v>
      </c>
      <c r="AI243" s="34" t="n">
        <v>0.1091</v>
      </c>
      <c r="AJ243" s="34" t="n">
        <v>1</v>
      </c>
      <c r="AK243" s="2" t="n">
        <v>2250</v>
      </c>
      <c r="AL243" t="inlineStr">
        <is>
          <t>Published</t>
        </is>
      </c>
    </row>
    <row r="244">
      <c r="A244">
        <f>HYPERLINK("https://www.walmart.com/ip/355660943", "355660943")</f>
        <v/>
      </c>
      <c r="B244">
        <f>HYPERLINK("https://app.optiwise.ai/catalog/itemdetails/361521", "sun blocker women's travel sun hat upf 50+ large brim beach neck flap hat")</f>
        <v/>
      </c>
      <c r="C244" t="inlineStr">
        <is>
          <t>KC-S9201-PK</t>
        </is>
      </c>
      <c r="D244" t="inlineStr">
        <is>
          <t>Clothing</t>
        </is>
      </c>
      <c r="E244" t="inlineStr">
        <is>
          <t>Hats</t>
        </is>
      </c>
      <c r="F244" t="inlineStr">
        <is>
          <t>Sun Blocker</t>
        </is>
      </c>
      <c r="G244" t="n">
        <v>4</v>
      </c>
      <c r="H244" t="n">
        <v>2</v>
      </c>
      <c r="J244" s="29" t="n">
        <v>119.94</v>
      </c>
      <c r="K244" s="30" t="n">
        <v>0.001</v>
      </c>
      <c r="L244" s="29" t="n">
        <v>0</v>
      </c>
      <c r="M244" s="29" t="n">
        <v>0</v>
      </c>
      <c r="N244" s="2" t="n">
        <v>6</v>
      </c>
      <c r="O244" s="31" t="n">
        <v>0</v>
      </c>
      <c r="P244" s="32" t="n"/>
      <c r="Q244" s="32" t="n">
        <v>0</v>
      </c>
      <c r="R244" s="32" t="n">
        <v>0.1476</v>
      </c>
      <c r="S244" s="31" t="n">
        <v>0</v>
      </c>
      <c r="T244" s="32" t="n">
        <v>0</v>
      </c>
      <c r="U244" s="31" t="n">
        <v>0</v>
      </c>
      <c r="V244" s="31" t="n">
        <v>0</v>
      </c>
      <c r="W244" s="3" t="n">
        <v>0</v>
      </c>
      <c r="X244" s="3" t="n">
        <v>0</v>
      </c>
      <c r="Y244" s="32" t="n">
        <v>0</v>
      </c>
      <c r="Z244" s="3" t="n">
        <v>0</v>
      </c>
      <c r="AA244" s="32" t="n">
        <v>0</v>
      </c>
      <c r="AB244" s="3" t="n"/>
      <c r="AC244" s="31" t="n">
        <v>0</v>
      </c>
      <c r="AD244" s="2" t="n">
        <v>4</v>
      </c>
      <c r="AE244" s="2" t="n">
        <v>83</v>
      </c>
      <c r="AF244" s="4" t="n">
        <v>83</v>
      </c>
      <c r="AG244" s="33" t="n">
        <v>119.94</v>
      </c>
      <c r="AH244" s="4" t="n">
        <v>6</v>
      </c>
      <c r="AI244" s="34" t="n">
        <v>0.0723</v>
      </c>
      <c r="AJ244" s="34" t="n">
        <v>1</v>
      </c>
      <c r="AK244" s="2" t="n">
        <v>2250</v>
      </c>
      <c r="AL244" t="inlineStr">
        <is>
          <t>Published</t>
        </is>
      </c>
    </row>
    <row r="245">
      <c r="A245">
        <f>HYPERLINK("https://www.walmart.com/ip/1473126477", "1473126477")</f>
        <v/>
      </c>
      <c r="B245">
        <f>HYPERLINK("https://app.optiwise.ai/catalog/itemdetails/4970329", "Catalonia Kids Mermaid Tail Blanket, Cozy Mermaid Sleeping Bag, Fish Scale Pattern, Perfect Gift for Girls Teen, Rainbow, 61 x 20")</f>
        <v/>
      </c>
      <c r="C245" t="inlineStr">
        <is>
          <t>1CTMM506MUL</t>
        </is>
      </c>
      <c r="D245" t="inlineStr">
        <is>
          <t>Bedding</t>
        </is>
      </c>
      <c r="E245" t="inlineStr">
        <is>
          <t>Throws</t>
        </is>
      </c>
      <c r="F245" t="inlineStr">
        <is>
          <t>Catalonia</t>
        </is>
      </c>
      <c r="G245" t="n">
        <v>0</v>
      </c>
      <c r="H245" t="n">
        <v>0</v>
      </c>
      <c r="I245" t="inlineStr">
        <is>
          <t>Q2-Target</t>
        </is>
      </c>
      <c r="J245" s="29" t="n">
        <v>119.94</v>
      </c>
      <c r="K245" s="30" t="n">
        <v>0.001</v>
      </c>
      <c r="L245" s="29" t="n">
        <v>19.98999977111816</v>
      </c>
      <c r="M245" s="29" t="n">
        <v>0</v>
      </c>
      <c r="N245" s="2" t="n">
        <v>6</v>
      </c>
      <c r="O245" s="31" t="n">
        <v>14.47</v>
      </c>
      <c r="P245" s="32" t="n">
        <v>0.0017</v>
      </c>
      <c r="Q245" s="32" t="n">
        <v>0.1206</v>
      </c>
      <c r="R245" s="32" t="n">
        <v>0.0488</v>
      </c>
      <c r="S245" s="31" t="n">
        <v>1.38</v>
      </c>
      <c r="T245" s="32" t="n">
        <v>0.72</v>
      </c>
      <c r="U245" s="31" t="n">
        <v>19.99</v>
      </c>
      <c r="V245" s="31" t="n">
        <v>19.99</v>
      </c>
      <c r="W245" s="3" t="n">
        <v>26332</v>
      </c>
      <c r="X245" s="3" t="n">
        <v>54</v>
      </c>
      <c r="Y245" s="32" t="n">
        <v>0.0021</v>
      </c>
      <c r="Z245" s="3" t="n">
        <v>1</v>
      </c>
      <c r="AA245" s="32" t="n">
        <v>0.0185</v>
      </c>
      <c r="AB245" s="3" t="inlineStr">
        <is>
          <t>Throws_Auto_Optiwise_24</t>
        </is>
      </c>
      <c r="AC245" s="31" t="n">
        <v>0.27</v>
      </c>
      <c r="AD245" s="2" t="n">
        <v>39</v>
      </c>
      <c r="AE245" s="2" t="n">
        <v>79</v>
      </c>
      <c r="AF245" s="4" t="n">
        <v>25</v>
      </c>
      <c r="AG245" s="33" t="n">
        <v>99.95</v>
      </c>
      <c r="AH245" s="4" t="n">
        <v>5</v>
      </c>
      <c r="AI245" s="34" t="n">
        <v>0.2</v>
      </c>
      <c r="AJ245" s="34" t="n">
        <v>0.8333</v>
      </c>
      <c r="AK245" s="2" t="n">
        <v>2250</v>
      </c>
      <c r="AL245" t="inlineStr">
        <is>
          <t>Published</t>
        </is>
      </c>
    </row>
    <row r="246">
      <c r="A246">
        <f>HYPERLINK("https://www.walmart.com/ip/10294163529", "10294163529")</f>
        <v/>
      </c>
      <c r="B246">
        <f>HYPERLINK("https://app.optiwise.ai/catalog/itemdetails/10031979", "Wrangler Men’s Full Grain Genuine Leather 35mm Thick Casual Belt for Jeans, Pants - Brown, 38")</f>
        <v/>
      </c>
      <c r="C246" t="inlineStr">
        <is>
          <t>WR-BELT-MENS-35MM-BROWN-38</t>
        </is>
      </c>
      <c r="D246" t="inlineStr">
        <is>
          <t>Clothing</t>
        </is>
      </c>
      <c r="E246" t="inlineStr">
        <is>
          <t>Belts</t>
        </is>
      </c>
      <c r="F246" t="inlineStr">
        <is>
          <t>Wrangler</t>
        </is>
      </c>
      <c r="G246" t="n">
        <v>0</v>
      </c>
      <c r="H246" t="n">
        <v>0</v>
      </c>
      <c r="I246" t="inlineStr">
        <is>
          <t>Belts</t>
        </is>
      </c>
      <c r="J246" s="29" t="n">
        <v>119.94</v>
      </c>
      <c r="K246" s="30" t="n">
        <v>0.001</v>
      </c>
      <c r="L246" s="29" t="n">
        <v>0</v>
      </c>
      <c r="M246" s="29" t="n">
        <v>0</v>
      </c>
      <c r="N246" s="2" t="n">
        <v>6</v>
      </c>
      <c r="O246" s="31" t="n">
        <v>0</v>
      </c>
      <c r="P246" s="32" t="n"/>
      <c r="Q246" s="32" t="n">
        <v>0</v>
      </c>
      <c r="R246" s="32" t="n">
        <v>0</v>
      </c>
      <c r="S246" s="31" t="n">
        <v>0</v>
      </c>
      <c r="T246" s="32" t="n">
        <v>0</v>
      </c>
      <c r="U246" s="31" t="n">
        <v>0</v>
      </c>
      <c r="V246" s="31" t="n">
        <v>0</v>
      </c>
      <c r="W246" s="3" t="n">
        <v>0</v>
      </c>
      <c r="X246" s="3" t="n">
        <v>0</v>
      </c>
      <c r="Y246" s="32" t="n">
        <v>0</v>
      </c>
      <c r="Z246" s="3" t="n">
        <v>0</v>
      </c>
      <c r="AA246" s="32" t="n">
        <v>0</v>
      </c>
      <c r="AB246" s="3" t="n"/>
      <c r="AC246" s="31" t="n">
        <v>0</v>
      </c>
      <c r="AD246" s="2" t="n">
        <v>0</v>
      </c>
      <c r="AE246" s="2" t="n">
        <v>47</v>
      </c>
      <c r="AF246" s="4" t="n">
        <v>47</v>
      </c>
      <c r="AG246" s="33" t="n">
        <v>119.94</v>
      </c>
      <c r="AH246" s="4" t="n">
        <v>6</v>
      </c>
      <c r="AI246" s="34" t="n">
        <v>0.1277</v>
      </c>
      <c r="AJ246" s="34" t="n">
        <v>1</v>
      </c>
      <c r="AK246" s="2" t="n">
        <v>2250</v>
      </c>
      <c r="AL246" t="inlineStr">
        <is>
          <t>Published</t>
        </is>
      </c>
    </row>
    <row r="247">
      <c r="A247">
        <f>HYPERLINK("https://www.walmart.com/ip/1628058296", "1628058296")</f>
        <v/>
      </c>
      <c r="B247">
        <f>HYPERLINK("https://app.optiwise.ai/catalog/itemdetails/958603", "Tirrinia Small Portable Reusable Thermal Insulated Lunch Bag To Keep Your Snacks,Drinks And Meals At A Consistent Temperature For Adult Kids,Green")</f>
        <v/>
      </c>
      <c r="C247" t="inlineStr">
        <is>
          <t>1TRLB100GN</t>
        </is>
      </c>
      <c r="D247" t="inlineStr">
        <is>
          <t>Home Decor, Kitchen, &amp; Other</t>
        </is>
      </c>
      <c r="E247" t="inlineStr">
        <is>
          <t>Reusable Lunch Bags &amp; Boxes</t>
        </is>
      </c>
      <c r="F247" t="inlineStr">
        <is>
          <t>Tirrinia</t>
        </is>
      </c>
      <c r="G247" t="n">
        <v>4.7</v>
      </c>
      <c r="H247" t="n">
        <v>10</v>
      </c>
      <c r="I247" t="inlineStr">
        <is>
          <t>Q2-Target,Brand Camp VD,Batch 1 - TR</t>
        </is>
      </c>
      <c r="J247" s="29" t="n">
        <v>119.93</v>
      </c>
      <c r="K247" s="30" t="n">
        <v>0.001</v>
      </c>
      <c r="L247" s="29" t="n">
        <v>15.98999977111816</v>
      </c>
      <c r="M247" s="29" t="n">
        <v>0</v>
      </c>
      <c r="N247" s="2" t="n">
        <v>7</v>
      </c>
      <c r="O247" s="31" t="n">
        <v>0</v>
      </c>
      <c r="P247" s="32" t="n"/>
      <c r="Q247" s="32" t="n">
        <v>0</v>
      </c>
      <c r="R247" s="32" t="n">
        <v>0.1353</v>
      </c>
      <c r="S247" s="31" t="n">
        <v>0</v>
      </c>
      <c r="T247" s="32" t="n">
        <v>0</v>
      </c>
      <c r="U247" s="31" t="n">
        <v>0</v>
      </c>
      <c r="V247" s="31" t="n">
        <v>0</v>
      </c>
      <c r="W247" s="3" t="n">
        <v>0</v>
      </c>
      <c r="X247" s="3" t="n">
        <v>0</v>
      </c>
      <c r="Y247" s="32" t="n">
        <v>0</v>
      </c>
      <c r="Z247" s="3" t="n">
        <v>0</v>
      </c>
      <c r="AA247" s="32" t="n">
        <v>0</v>
      </c>
      <c r="AB247" s="3" t="n"/>
      <c r="AC247" s="31" t="n">
        <v>0</v>
      </c>
      <c r="AD247" s="2" t="n">
        <v>62</v>
      </c>
      <c r="AE247" s="2" t="n">
        <v>143</v>
      </c>
      <c r="AF247" s="4" t="n">
        <v>143</v>
      </c>
      <c r="AG247" s="33" t="n">
        <v>119.93</v>
      </c>
      <c r="AH247" s="4" t="n">
        <v>7</v>
      </c>
      <c r="AI247" s="34" t="n">
        <v>0.049</v>
      </c>
      <c r="AJ247" s="34" t="n">
        <v>1</v>
      </c>
      <c r="AK247" s="2" t="n">
        <v>1716</v>
      </c>
      <c r="AL247" t="inlineStr">
        <is>
          <t>Published</t>
        </is>
      </c>
    </row>
    <row r="248">
      <c r="A248">
        <f>HYPERLINK("https://www.walmart.com/ip/447066728", "447066728")</f>
        <v/>
      </c>
      <c r="B248">
        <f>HYPERLINK("https://app.optiwise.ai/catalog/itemdetails/360706", "Napa Plush Cashmere Throw Blanket Dark Grey, Striped Reversible Velvet Luxury Fleece Warm Bed Couch Blanket, Super Soft and Cozy,  90 X 90 Queen/Full.")</f>
        <v/>
      </c>
      <c r="C248" t="inlineStr">
        <is>
          <t>K8030QF-DGY</t>
        </is>
      </c>
      <c r="D248" t="inlineStr">
        <is>
          <t>Bedding</t>
        </is>
      </c>
      <c r="E248" t="inlineStr">
        <is>
          <t>Throws</t>
        </is>
      </c>
      <c r="F248" t="inlineStr">
        <is>
          <t>NAPA</t>
        </is>
      </c>
      <c r="G248" t="n">
        <v>0</v>
      </c>
      <c r="H248" t="n">
        <v>0</v>
      </c>
      <c r="I248" t="inlineStr">
        <is>
          <t>Q2-Target,Optimized</t>
        </is>
      </c>
      <c r="J248" s="29" t="n">
        <v>119.84</v>
      </c>
      <c r="K248" s="30" t="n">
        <v>0.001</v>
      </c>
      <c r="L248" s="29" t="n">
        <v>0</v>
      </c>
      <c r="M248" s="29" t="n">
        <v>0</v>
      </c>
      <c r="N248" s="2" t="n">
        <v>8</v>
      </c>
      <c r="O248" s="31" t="n">
        <v>7.300000000000001</v>
      </c>
      <c r="P248" s="32" t="n">
        <v>0.0009</v>
      </c>
      <c r="Q248" s="32" t="n">
        <v>0.0609</v>
      </c>
      <c r="R248" s="32" t="n">
        <v>0.5011</v>
      </c>
      <c r="S248" s="31" t="n">
        <v>0</v>
      </c>
      <c r="T248" s="32" t="n">
        <v>0</v>
      </c>
      <c r="U248" s="31" t="n">
        <v>0</v>
      </c>
      <c r="V248" s="31" t="n">
        <v>0</v>
      </c>
      <c r="W248" s="3" t="n">
        <v>6795</v>
      </c>
      <c r="X248" s="3" t="n">
        <v>27</v>
      </c>
      <c r="Y248" s="32" t="n">
        <v>0.004</v>
      </c>
      <c r="Z248" s="3" t="n">
        <v>0</v>
      </c>
      <c r="AA248" s="32" t="n">
        <v>0</v>
      </c>
      <c r="AB248" s="3" t="inlineStr">
        <is>
          <t>Throws_Auto_Optiwise_24</t>
        </is>
      </c>
      <c r="AC248" s="31" t="n">
        <v>0.27</v>
      </c>
      <c r="AD248" s="2" t="n">
        <v>30</v>
      </c>
      <c r="AE248" s="2" t="n">
        <v>26</v>
      </c>
      <c r="AF248" s="4" t="inlineStr">
        <is>
          <t>NA</t>
        </is>
      </c>
      <c r="AG248" s="33" t="n">
        <v>119.84</v>
      </c>
      <c r="AH248" s="4" t="n">
        <v>8</v>
      </c>
      <c r="AI248" s="34" t="inlineStr">
        <is>
          <t>NA</t>
        </is>
      </c>
      <c r="AJ248" s="34" t="n">
        <v>1</v>
      </c>
      <c r="AK248" s="2" t="n">
        <v>1687</v>
      </c>
      <c r="AL248" t="inlineStr">
        <is>
          <t>Published</t>
        </is>
      </c>
    </row>
    <row r="249">
      <c r="A249">
        <f>HYPERLINK("https://www.walmart.com/ip/983813650", "983813650")</f>
        <v/>
      </c>
      <c r="B249">
        <f>HYPERLINK("https://app.optiwise.ai/catalog/itemdetails/360760", "Sun Blocker Unisex Travel Sun Hat UPF 50+ Female Large Brim Beach Neck Flap Hat for Camping Gardening Travel, Tan")</f>
        <v/>
      </c>
      <c r="C249" t="inlineStr">
        <is>
          <t>KC-S9201-TN</t>
        </is>
      </c>
      <c r="D249" t="inlineStr">
        <is>
          <t>Clothing</t>
        </is>
      </c>
      <c r="E249" t="inlineStr">
        <is>
          <t>Hats</t>
        </is>
      </c>
      <c r="F249" t="inlineStr">
        <is>
          <t>Sun Blocker</t>
        </is>
      </c>
      <c r="G249" t="n">
        <v>4.8</v>
      </c>
      <c r="H249" t="n">
        <v>21</v>
      </c>
      <c r="I249" t="inlineStr">
        <is>
          <t>Q2-Target,Batch 1 - TR</t>
        </is>
      </c>
      <c r="J249" s="29" t="n">
        <v>118.92</v>
      </c>
      <c r="K249" s="30" t="n">
        <v>0.001</v>
      </c>
      <c r="L249" s="29" t="n">
        <v>0</v>
      </c>
      <c r="M249" s="29" t="n">
        <v>0</v>
      </c>
      <c r="N249" s="2" t="n">
        <v>7</v>
      </c>
      <c r="O249" s="31" t="n">
        <v>0</v>
      </c>
      <c r="P249" s="32" t="n"/>
      <c r="Q249" s="32" t="n">
        <v>0</v>
      </c>
      <c r="R249" s="32" t="n">
        <v>0</v>
      </c>
      <c r="S249" s="31" t="n">
        <v>0</v>
      </c>
      <c r="T249" s="32" t="n">
        <v>0</v>
      </c>
      <c r="U249" s="31" t="n">
        <v>0</v>
      </c>
      <c r="V249" s="31" t="n">
        <v>0</v>
      </c>
      <c r="W249" s="3" t="n">
        <v>0</v>
      </c>
      <c r="X249" s="3" t="n">
        <v>0</v>
      </c>
      <c r="Y249" s="32" t="n">
        <v>0</v>
      </c>
      <c r="Z249" s="3" t="n">
        <v>0</v>
      </c>
      <c r="AA249" s="32" t="n">
        <v>0</v>
      </c>
      <c r="AB249" s="3" t="n"/>
      <c r="AC249" s="31" t="n">
        <v>0</v>
      </c>
      <c r="AD249" s="2" t="n">
        <v>42</v>
      </c>
      <c r="AE249" s="2" t="n">
        <v>95</v>
      </c>
      <c r="AF249" s="4" t="n">
        <v>95</v>
      </c>
      <c r="AG249" s="33" t="n">
        <v>118.92</v>
      </c>
      <c r="AH249" s="4" t="n">
        <v>7</v>
      </c>
      <c r="AI249" s="34" t="n">
        <v>0.0737</v>
      </c>
      <c r="AJ249" s="34" t="n">
        <v>1</v>
      </c>
      <c r="AK249" s="2" t="n">
        <v>1928</v>
      </c>
      <c r="AL249" t="inlineStr">
        <is>
          <t>Published</t>
        </is>
      </c>
    </row>
    <row r="250">
      <c r="A250">
        <f>HYPERLINK("https://www.walmart.com/ip/762289566", "762289566")</f>
        <v/>
      </c>
      <c r="B250">
        <f>HYPERLINK("https://app.optiwise.ai/catalog/itemdetails/362160", "Tirrinia Insulated Lunch Bag for Women, Men, and Kids, Leakproof Thermal Reusable Insulated Cooler Bag for Office, Work, Back to School, Medium, Light Grey, 8L, 10 X 8.5 X 9.3")</f>
        <v/>
      </c>
      <c r="C250" t="inlineStr">
        <is>
          <t>1TRLB701LGY-N</t>
        </is>
      </c>
      <c r="D250" t="inlineStr">
        <is>
          <t>Home Decor, Kitchen, &amp; Other</t>
        </is>
      </c>
      <c r="E250" t="inlineStr">
        <is>
          <t>Reusable Lunch Bags &amp; Boxes</t>
        </is>
      </c>
      <c r="F250" t="inlineStr">
        <is>
          <t>Tirrinia</t>
        </is>
      </c>
      <c r="G250" t="n">
        <v>4.4</v>
      </c>
      <c r="H250" t="n">
        <v>57</v>
      </c>
      <c r="I250" t="inlineStr">
        <is>
          <t>Q2-Target,Brand Camp VD,Lunch Bag,WFS,Lunch Bags,WFS Item</t>
        </is>
      </c>
      <c r="J250" s="29" t="n">
        <v>118.91</v>
      </c>
      <c r="K250" s="30" t="n">
        <v>0.001</v>
      </c>
      <c r="L250" s="29" t="n">
        <v>27.97999954223633</v>
      </c>
      <c r="M250" s="29" t="n">
        <v>0</v>
      </c>
      <c r="N250" s="2" t="n">
        <v>8</v>
      </c>
      <c r="O250" s="31" t="n">
        <v>0</v>
      </c>
      <c r="P250" s="32" t="n"/>
      <c r="Q250" s="32" t="n">
        <v>0</v>
      </c>
      <c r="R250" s="32" t="n">
        <v>0.3096</v>
      </c>
      <c r="S250" s="31" t="n">
        <v>0</v>
      </c>
      <c r="T250" s="32" t="n">
        <v>0</v>
      </c>
      <c r="U250" s="31" t="n">
        <v>0</v>
      </c>
      <c r="V250" s="31" t="n">
        <v>0</v>
      </c>
      <c r="W250" s="3" t="n">
        <v>0</v>
      </c>
      <c r="X250" s="3" t="n">
        <v>0</v>
      </c>
      <c r="Y250" s="32" t="n">
        <v>0</v>
      </c>
      <c r="Z250" s="3" t="n">
        <v>0</v>
      </c>
      <c r="AA250" s="32" t="n">
        <v>0</v>
      </c>
      <c r="AB250" s="3" t="n"/>
      <c r="AC250" s="31" t="n">
        <v>0</v>
      </c>
      <c r="AD250" s="2" t="n">
        <v>29</v>
      </c>
      <c r="AE250" s="2" t="n">
        <v>134</v>
      </c>
      <c r="AF250" s="4" t="n">
        <v>134</v>
      </c>
      <c r="AG250" s="33" t="n">
        <v>118.91</v>
      </c>
      <c r="AH250" s="4" t="n">
        <v>8</v>
      </c>
      <c r="AI250" s="34" t="n">
        <v>0.0597</v>
      </c>
      <c r="AJ250" s="34" t="n">
        <v>1</v>
      </c>
      <c r="AK250" s="2" t="n">
        <v>1771</v>
      </c>
      <c r="AL250" t="inlineStr">
        <is>
          <t>Published</t>
        </is>
      </c>
    </row>
    <row r="251">
      <c r="A251">
        <f>HYPERLINK("https://www.walmart.com/ip/130543605", "130543605")</f>
        <v/>
      </c>
      <c r="B251">
        <f>HYPERLINK("https://app.optiwise.ai/catalog/itemdetails/361036", "Catalonia Waterproof Blanket, Reversible Furniture Protector Cover Blanket, Super Cozy Fleece Sherpa Throw for Outdoor, Multi-Colors, 80”x60”")</f>
        <v/>
      </c>
      <c r="C251" t="inlineStr">
        <is>
          <t>1CTBW681GYTP</t>
        </is>
      </c>
      <c r="D251" t="inlineStr">
        <is>
          <t>Home - Home Decor, Kitchen, &amp; Other</t>
        </is>
      </c>
      <c r="E251" t="inlineStr">
        <is>
          <t>Throws</t>
        </is>
      </c>
      <c r="F251" t="inlineStr">
        <is>
          <t>Catalonia</t>
        </is>
      </c>
      <c r="G251" t="n">
        <v>0</v>
      </c>
      <c r="H251" t="n">
        <v>0</v>
      </c>
      <c r="I251" t="inlineStr">
        <is>
          <t>Q2-Target,Wproof Blanket,Batch 1 - TR</t>
        </is>
      </c>
      <c r="J251" s="29" t="n">
        <v>116.97</v>
      </c>
      <c r="K251" s="30" t="n">
        <v>0.001</v>
      </c>
      <c r="L251" s="29" t="n">
        <v>0</v>
      </c>
      <c r="M251" s="29" t="n">
        <v>0</v>
      </c>
      <c r="N251" s="2" t="n">
        <v>3</v>
      </c>
      <c r="O251" s="31" t="n">
        <v>29.80999999999999</v>
      </c>
      <c r="P251" s="32" t="n">
        <v>0.0036</v>
      </c>
      <c r="Q251" s="32" t="n">
        <v>0.2549</v>
      </c>
      <c r="R251" s="32" t="n">
        <v>0.3033</v>
      </c>
      <c r="S251" s="31" t="n">
        <v>2.62</v>
      </c>
      <c r="T251" s="32" t="n">
        <v>0.38</v>
      </c>
      <c r="U251" s="31" t="n">
        <v>77.98</v>
      </c>
      <c r="V251" s="31" t="n">
        <v>77.98</v>
      </c>
      <c r="W251" s="3" t="n">
        <v>72080</v>
      </c>
      <c r="X251" s="3" t="n">
        <v>76</v>
      </c>
      <c r="Y251" s="32" t="n">
        <v>0.0011</v>
      </c>
      <c r="Z251" s="3" t="n">
        <v>2</v>
      </c>
      <c r="AA251" s="32" t="n">
        <v>0.0263</v>
      </c>
      <c r="AB251" s="3" t="inlineStr">
        <is>
          <t>Auto for BW Indoor,Throws_Auto_Optiwise_24,Throws_Manual_Optiwise_24</t>
        </is>
      </c>
      <c r="AC251" s="31" t="n">
        <v>0.39</v>
      </c>
      <c r="AD251" s="2" t="n">
        <v>0</v>
      </c>
      <c r="AE251" s="2" t="n">
        <v>161</v>
      </c>
      <c r="AF251" s="4" t="n">
        <v>85</v>
      </c>
      <c r="AG251" s="33" t="n">
        <v>38.98999999999999</v>
      </c>
      <c r="AH251" s="4" t="n">
        <v>1</v>
      </c>
      <c r="AI251" s="34" t="n">
        <v>0.0118</v>
      </c>
      <c r="AJ251" s="34" t="n">
        <v>0.3333</v>
      </c>
      <c r="AK251" s="2" t="n">
        <v>4500</v>
      </c>
      <c r="AL251" t="inlineStr">
        <is>
          <t>Published</t>
        </is>
      </c>
    </row>
    <row r="252">
      <c r="A252">
        <f>HYPERLINK("https://www.walmart.com/ip/1245439279", "1245439279")</f>
        <v/>
      </c>
      <c r="B252">
        <f>HYPERLINK("https://app.optiwise.ai/catalog/itemdetails/10031993", "Wrangler Men’s Leather Country Casual Every Day Dress Belt for Jeans, Khakis Brown 34")</f>
        <v/>
      </c>
      <c r="C252" t="inlineStr">
        <is>
          <t>WR-BELT-MENS-COUNTRY-BROWN-34</t>
        </is>
      </c>
      <c r="D252" t="inlineStr">
        <is>
          <t>Clothing</t>
        </is>
      </c>
      <c r="E252" t="inlineStr">
        <is>
          <t>Belts</t>
        </is>
      </c>
      <c r="F252" t="inlineStr">
        <is>
          <t>Wrangler</t>
        </is>
      </c>
      <c r="G252" t="n">
        <v>0</v>
      </c>
      <c r="H252" t="n">
        <v>0</v>
      </c>
      <c r="I252" t="inlineStr">
        <is>
          <t>Belts</t>
        </is>
      </c>
      <c r="J252" s="29" t="n">
        <v>116.95</v>
      </c>
      <c r="K252" s="30" t="n">
        <v>0.001</v>
      </c>
      <c r="L252" s="29" t="n">
        <v>22.97999954223633</v>
      </c>
      <c r="M252" s="29" t="n">
        <v>0</v>
      </c>
      <c r="N252" s="2" t="n">
        <v>6</v>
      </c>
      <c r="O252" s="31" t="n">
        <v>0.5600000000000001</v>
      </c>
      <c r="P252" s="32" t="n">
        <v>0.0001</v>
      </c>
      <c r="Q252" s="32" t="n">
        <v>0.0048</v>
      </c>
      <c r="R252" s="32" t="n">
        <v>0.1012</v>
      </c>
      <c r="S252" s="31" t="n">
        <v>0</v>
      </c>
      <c r="T252" s="32" t="n">
        <v>0</v>
      </c>
      <c r="U252" s="31" t="n">
        <v>0</v>
      </c>
      <c r="V252" s="31" t="n">
        <v>0</v>
      </c>
      <c r="W252" s="3" t="n">
        <v>321</v>
      </c>
      <c r="X252" s="3" t="n">
        <v>1</v>
      </c>
      <c r="Y252" s="32" t="n">
        <v>0.0031</v>
      </c>
      <c r="Z252" s="3" t="n">
        <v>0</v>
      </c>
      <c r="AA252" s="32" t="n">
        <v>0</v>
      </c>
      <c r="AB252" s="3" t="inlineStr">
        <is>
          <t>Belts Manual_Optiwise,Belts_Auto_Optiwise</t>
        </is>
      </c>
      <c r="AC252" s="31" t="n">
        <v>0.5600000000000001</v>
      </c>
      <c r="AD252" s="2" t="n">
        <v>0</v>
      </c>
      <c r="AE252" s="2" t="n">
        <v>68</v>
      </c>
      <c r="AF252" s="4" t="n">
        <v>67</v>
      </c>
      <c r="AG252" s="33" t="n">
        <v>116.95</v>
      </c>
      <c r="AH252" s="4" t="n">
        <v>6</v>
      </c>
      <c r="AI252" s="34" t="n">
        <v>0.0896</v>
      </c>
      <c r="AJ252" s="34" t="n">
        <v>1</v>
      </c>
      <c r="AK252" s="2" t="n">
        <v>2250</v>
      </c>
      <c r="AL252" t="inlineStr">
        <is>
          <t>Published</t>
        </is>
      </c>
    </row>
    <row r="253">
      <c r="A253">
        <f>HYPERLINK("https://www.walmart.com/ip/498489728", "498489728")</f>
        <v/>
      </c>
      <c r="B253">
        <f>HYPERLINK("https://app.optiwise.ai/catalog/itemdetails/361532", "Tirrinia Surf Poncho Changing Towel with Hood, Quick Dry Microfiber Wetsuit Changing Robe, Grey")</f>
        <v/>
      </c>
      <c r="C253" t="inlineStr">
        <is>
          <t>1TRBR100-GY</t>
        </is>
      </c>
      <c r="D253" t="inlineStr">
        <is>
          <t>Clothing</t>
        </is>
      </c>
      <c r="E253" t="inlineStr">
        <is>
          <t>Towels &amp; Washcloths</t>
        </is>
      </c>
      <c r="F253" t="inlineStr">
        <is>
          <t>Tirrinia</t>
        </is>
      </c>
      <c r="G253" t="n">
        <v>5</v>
      </c>
      <c r="H253" t="n">
        <v>1</v>
      </c>
      <c r="I253" t="inlineStr">
        <is>
          <t>Beach Robe Camp,Batch 1 - TR</t>
        </is>
      </c>
      <c r="J253" s="29" t="n">
        <v>114.95</v>
      </c>
      <c r="K253" s="30" t="n">
        <v>0.001</v>
      </c>
      <c r="L253" s="29" t="n">
        <v>0</v>
      </c>
      <c r="M253" s="29" t="n">
        <v>0</v>
      </c>
      <c r="N253" s="2" t="n">
        <v>5</v>
      </c>
      <c r="O253" s="31" t="n">
        <v>0</v>
      </c>
      <c r="P253" s="32" t="n"/>
      <c r="Q253" s="32" t="n">
        <v>0</v>
      </c>
      <c r="R253" s="32" t="n">
        <v>0</v>
      </c>
      <c r="S253" s="31" t="n">
        <v>0</v>
      </c>
      <c r="T253" s="32" t="n">
        <v>0</v>
      </c>
      <c r="U253" s="31" t="n">
        <v>0</v>
      </c>
      <c r="V253" s="31" t="n">
        <v>0</v>
      </c>
      <c r="W253" s="3" t="n">
        <v>0</v>
      </c>
      <c r="X253" s="3" t="n">
        <v>0</v>
      </c>
      <c r="Y253" s="32" t="n">
        <v>0</v>
      </c>
      <c r="Z253" s="3" t="n">
        <v>0</v>
      </c>
      <c r="AA253" s="32" t="n">
        <v>0</v>
      </c>
      <c r="AB253" s="3" t="n"/>
      <c r="AC253" s="31" t="n">
        <v>0</v>
      </c>
      <c r="AD253" s="2" t="n">
        <v>3</v>
      </c>
      <c r="AE253" s="2" t="n">
        <v>0</v>
      </c>
      <c r="AF253" s="4" t="n">
        <v>3</v>
      </c>
      <c r="AG253" s="33" t="n">
        <v>114.95</v>
      </c>
      <c r="AH253" s="4" t="n">
        <v>5</v>
      </c>
      <c r="AI253" s="34" t="n">
        <v>1.6667</v>
      </c>
      <c r="AJ253" s="34" t="n">
        <v>1</v>
      </c>
      <c r="AK253" s="2" t="n">
        <v>216</v>
      </c>
      <c r="AL253" t="inlineStr">
        <is>
          <t>Published</t>
        </is>
      </c>
    </row>
    <row r="254">
      <c r="A254">
        <f>HYPERLINK("https://www.walmart.com/ip/840040807", "840040807")</f>
        <v/>
      </c>
      <c r="B254">
        <f>HYPERLINK("https://app.optiwise.ai/catalog/itemdetails/360467", "Flyingstar Wind and Waterproof Blanket, Wearable Camping Blanket, Hooded Blanket Poncho for Sports Stadium, Beach, Picnic, Car or Pets, Wine and Black, 55'' x 80''")</f>
        <v/>
      </c>
      <c r="C254" t="inlineStr">
        <is>
          <t>1WMBC200WNBK</t>
        </is>
      </c>
      <c r="D254" t="inlineStr">
        <is>
          <t>Sport &amp; Recreation Other</t>
        </is>
      </c>
      <c r="E254" t="inlineStr">
        <is>
          <t>Picnic Blankets &amp; Mats</t>
        </is>
      </c>
      <c r="F254" t="inlineStr">
        <is>
          <t>Flyingstar</t>
        </is>
      </c>
      <c r="G254" t="n">
        <v>0</v>
      </c>
      <c r="H254" t="n">
        <v>0</v>
      </c>
      <c r="I254" t="inlineStr">
        <is>
          <t>Q2-Target,Batch 1 - TR</t>
        </is>
      </c>
      <c r="J254" s="29" t="n">
        <v>114.95</v>
      </c>
      <c r="K254" s="30" t="n">
        <v>0.001</v>
      </c>
      <c r="L254" s="29" t="n">
        <v>0</v>
      </c>
      <c r="M254" s="29" t="n">
        <v>0</v>
      </c>
      <c r="N254" s="2" t="n">
        <v>4</v>
      </c>
      <c r="O254" s="31" t="n">
        <v>27.55000000000001</v>
      </c>
      <c r="P254" s="32" t="n">
        <v>0.0033</v>
      </c>
      <c r="Q254" s="32" t="n">
        <v>0.2397</v>
      </c>
      <c r="R254" s="32" t="n">
        <v>0.1362</v>
      </c>
      <c r="S254" s="31" t="n">
        <v>6.86</v>
      </c>
      <c r="T254" s="32" t="n">
        <v>0.15</v>
      </c>
      <c r="U254" s="31" t="n">
        <v>188.93</v>
      </c>
      <c r="V254" s="31" t="n">
        <v>188.93</v>
      </c>
      <c r="W254" s="3" t="n">
        <v>46547</v>
      </c>
      <c r="X254" s="3" t="n">
        <v>78</v>
      </c>
      <c r="Y254" s="32" t="n">
        <v>0.0017</v>
      </c>
      <c r="Z254" s="3" t="n">
        <v>7</v>
      </c>
      <c r="AA254" s="32" t="n">
        <v>0.0897</v>
      </c>
      <c r="AB254" s="3" t="inlineStr">
        <is>
          <t>Picnic Blankets &amp; Mats_Manual_Optiwise_24,WFS Inventory</t>
        </is>
      </c>
      <c r="AC254" s="31" t="n">
        <v>0.35</v>
      </c>
      <c r="AD254" s="2" t="n">
        <v>0</v>
      </c>
      <c r="AE254" s="2" t="n">
        <v>52</v>
      </c>
      <c r="AF254" s="4" t="inlineStr">
        <is>
          <t>NA</t>
        </is>
      </c>
      <c r="AG254" s="33" t="n">
        <v>-73.98</v>
      </c>
      <c r="AH254" s="4" t="n">
        <v>-3</v>
      </c>
      <c r="AI254" s="34" t="inlineStr">
        <is>
          <t>NA</t>
        </is>
      </c>
      <c r="AJ254" s="34" t="n">
        <v>-0.6435999999999999</v>
      </c>
      <c r="AK254" s="2" t="n">
        <v>168</v>
      </c>
      <c r="AL254" t="inlineStr">
        <is>
          <t>Published</t>
        </is>
      </c>
    </row>
    <row r="255">
      <c r="A255">
        <f>HYPERLINK("https://www.walmart.com/ip/905687411", "905687411")</f>
        <v/>
      </c>
      <c r="B255">
        <f>HYPERLINK("https://app.optiwise.ai/catalog/itemdetails/359296", "Expandable Insulated Lunch Bag, Leakproof Lunch Cooler Tote for Men and Women, Suitable for Work &amp; Office, Charcoal")</f>
        <v/>
      </c>
      <c r="C255" t="inlineStr">
        <is>
          <t>1KTLB110CH</t>
        </is>
      </c>
      <c r="D255" t="inlineStr">
        <is>
          <t>Cases &amp; Bags</t>
        </is>
      </c>
      <c r="E255" t="inlineStr">
        <is>
          <t>Reusable Lunch Bags &amp; Boxes</t>
        </is>
      </c>
      <c r="F255" t="inlineStr">
        <is>
          <t>Kato</t>
        </is>
      </c>
      <c r="G255" t="n">
        <v>4.9</v>
      </c>
      <c r="H255" t="n">
        <v>13</v>
      </c>
      <c r="I255" t="inlineStr">
        <is>
          <t>Optimized,Lunch Bags,SEM</t>
        </is>
      </c>
      <c r="J255" s="29" t="n">
        <v>113.93</v>
      </c>
      <c r="K255" s="30" t="n">
        <v>0.001</v>
      </c>
      <c r="L255" s="29" t="n">
        <v>32.97999954223633</v>
      </c>
      <c r="M255" s="29" t="n">
        <v>16.98999977111816</v>
      </c>
      <c r="N255" s="2" t="n">
        <v>7</v>
      </c>
      <c r="O255" s="31" t="n">
        <v>0</v>
      </c>
      <c r="P255" s="32" t="n"/>
      <c r="Q255" s="32" t="n">
        <v>0</v>
      </c>
      <c r="R255" s="32" t="n">
        <v>0.119</v>
      </c>
      <c r="S255" s="31" t="n">
        <v>0</v>
      </c>
      <c r="T255" s="32" t="n">
        <v>0</v>
      </c>
      <c r="U255" s="31" t="n">
        <v>0</v>
      </c>
      <c r="V255" s="31" t="n">
        <v>0</v>
      </c>
      <c r="W255" s="3" t="n">
        <v>0</v>
      </c>
      <c r="X255" s="3" t="n">
        <v>0</v>
      </c>
      <c r="Y255" s="32" t="n">
        <v>0</v>
      </c>
      <c r="Z255" s="3" t="n">
        <v>0</v>
      </c>
      <c r="AA255" s="32" t="n">
        <v>0</v>
      </c>
      <c r="AB255" s="3" t="n"/>
      <c r="AC255" s="31" t="n">
        <v>0</v>
      </c>
      <c r="AD255" s="2" t="n">
        <v>32</v>
      </c>
      <c r="AE255" s="2" t="n">
        <v>142</v>
      </c>
      <c r="AF255" s="4" t="n">
        <v>142</v>
      </c>
      <c r="AG255" s="33" t="n">
        <v>113.93</v>
      </c>
      <c r="AH255" s="4" t="n">
        <v>7</v>
      </c>
      <c r="AI255" s="34" t="n">
        <v>0.0493</v>
      </c>
      <c r="AJ255" s="34" t="n">
        <v>1</v>
      </c>
      <c r="AK255" s="2" t="n">
        <v>1928</v>
      </c>
      <c r="AL255" t="inlineStr">
        <is>
          <t>Published</t>
        </is>
      </c>
    </row>
    <row r="256">
      <c r="A256">
        <f>HYPERLINK("https://www.walmart.com/ip/1881428781", "1881428781")</f>
        <v/>
      </c>
      <c r="B256">
        <f>HYPERLINK("https://app.optiwise.ai/catalog/itemdetails/4854716", "Tirrinia Insulated Lunch Bag, Leakproof Thermal Bento Cooler Tote for Women and Men, Dual Compartment with Shoulder Strap, 10.2 x 7.5 x 9, Green")</f>
        <v/>
      </c>
      <c r="C256" t="inlineStr">
        <is>
          <t>1TRLB601GN</t>
        </is>
      </c>
      <c r="D256" t="inlineStr">
        <is>
          <t>Home Decor, Kitchen, &amp; Other</t>
        </is>
      </c>
      <c r="E256" t="inlineStr">
        <is>
          <t>Reusable Lunch Bags &amp; Boxes</t>
        </is>
      </c>
      <c r="F256" t="inlineStr">
        <is>
          <t>Tirrinia</t>
        </is>
      </c>
      <c r="G256" t="n">
        <v>0</v>
      </c>
      <c r="H256" t="n">
        <v>0</v>
      </c>
      <c r="I256" t="inlineStr">
        <is>
          <t>Q2-Target,Brand Camp VD,Lunch Bags,SEM,Batch 1 - TR</t>
        </is>
      </c>
      <c r="J256" s="29" t="n">
        <v>112.94</v>
      </c>
      <c r="K256" s="30" t="n">
        <v>0.001</v>
      </c>
      <c r="L256" s="29" t="n">
        <v>37.97999954223633</v>
      </c>
      <c r="M256" s="29" t="n">
        <v>0</v>
      </c>
      <c r="N256" s="2" t="n">
        <v>6</v>
      </c>
      <c r="O256" s="31" t="n">
        <v>0</v>
      </c>
      <c r="P256" s="32" t="n"/>
      <c r="Q256" s="32" t="n">
        <v>0</v>
      </c>
      <c r="R256" s="32" t="n">
        <v>0.0171</v>
      </c>
      <c r="S256" s="31" t="n">
        <v>0</v>
      </c>
      <c r="T256" s="32" t="n">
        <v>0</v>
      </c>
      <c r="U256" s="31" t="n">
        <v>0</v>
      </c>
      <c r="V256" s="31" t="n">
        <v>0</v>
      </c>
      <c r="W256" s="3" t="n">
        <v>0</v>
      </c>
      <c r="X256" s="3" t="n">
        <v>0</v>
      </c>
      <c r="Y256" s="32" t="n">
        <v>0</v>
      </c>
      <c r="Z256" s="3" t="n">
        <v>0</v>
      </c>
      <c r="AA256" s="32" t="n">
        <v>0</v>
      </c>
      <c r="AB256" s="3" t="n"/>
      <c r="AC256" s="31" t="n">
        <v>0</v>
      </c>
      <c r="AD256" s="2" t="n">
        <v>1</v>
      </c>
      <c r="AE256" s="2" t="n">
        <v>103</v>
      </c>
      <c r="AF256" s="4" t="n">
        <v>103</v>
      </c>
      <c r="AG256" s="33" t="n">
        <v>112.94</v>
      </c>
      <c r="AH256" s="4" t="n">
        <v>6</v>
      </c>
      <c r="AI256" s="34" t="n">
        <v>0.0583</v>
      </c>
      <c r="AJ256" s="34" t="n">
        <v>1</v>
      </c>
      <c r="AK256" s="2" t="n">
        <v>157</v>
      </c>
      <c r="AL256" t="inlineStr">
        <is>
          <t>Published</t>
        </is>
      </c>
    </row>
    <row r="257">
      <c r="A257">
        <f>HYPERLINK("https://www.walmart.com/ip/902166105", "902166105")</f>
        <v/>
      </c>
      <c r="B257">
        <f>HYPERLINK("https://app.optiwise.ai/catalog/itemdetails/361401", "Catalonia Wearable Blanket with Sleeves and Pocket, Cozy Soft Fleece Micro Plush Wrap Adult Snuggie Blanket Robe for Women Men, Makes a Great Gift for Holidays, Black")</f>
        <v/>
      </c>
      <c r="C257" t="inlineStr">
        <is>
          <t>1CTSN100BK</t>
        </is>
      </c>
      <c r="D257" t="inlineStr">
        <is>
          <t>Bedding</t>
        </is>
      </c>
      <c r="E257" t="inlineStr">
        <is>
          <t>Throws</t>
        </is>
      </c>
      <c r="F257" t="inlineStr">
        <is>
          <t>Catalonia</t>
        </is>
      </c>
      <c r="G257" t="n">
        <v>0</v>
      </c>
      <c r="H257" t="n">
        <v>0</v>
      </c>
      <c r="I257" t="inlineStr">
        <is>
          <t>Q2-Target,WFS,Coupon_Discount,WFS Item</t>
        </is>
      </c>
      <c r="J257" s="29" t="n">
        <v>111.96</v>
      </c>
      <c r="K257" s="30" t="n">
        <v>0.001</v>
      </c>
      <c r="L257" s="29" t="n">
        <v>0</v>
      </c>
      <c r="M257" s="29" t="n">
        <v>0</v>
      </c>
      <c r="N257" s="2" t="n">
        <v>4</v>
      </c>
      <c r="O257" s="31" t="n">
        <v>0.9299999999999999</v>
      </c>
      <c r="P257" s="32" t="n">
        <v>0.0001</v>
      </c>
      <c r="Q257" s="32" t="n">
        <v>0.0083</v>
      </c>
      <c r="R257" s="32" t="n">
        <v>0</v>
      </c>
      <c r="S257" s="31" t="n">
        <v>0</v>
      </c>
      <c r="T257" s="32" t="n">
        <v>0</v>
      </c>
      <c r="U257" s="31" t="n">
        <v>0</v>
      </c>
      <c r="V257" s="31" t="n">
        <v>0</v>
      </c>
      <c r="W257" s="3" t="n">
        <v>8034</v>
      </c>
      <c r="X257" s="3" t="n">
        <v>3</v>
      </c>
      <c r="Y257" s="32" t="n">
        <v>0.0004</v>
      </c>
      <c r="Z257" s="3" t="n">
        <v>0</v>
      </c>
      <c r="AA257" s="32" t="n">
        <v>0</v>
      </c>
      <c r="AB257" s="3" t="inlineStr">
        <is>
          <t>Throws_Auto_Optiwise_24</t>
        </is>
      </c>
      <c r="AC257" s="31" t="n">
        <v>0.31</v>
      </c>
      <c r="AD257" s="2" t="n">
        <v>190</v>
      </c>
      <c r="AE257" s="2" t="n">
        <v>59</v>
      </c>
      <c r="AF257" s="4" t="n">
        <v>128</v>
      </c>
      <c r="AG257" s="33" t="n">
        <v>111.96</v>
      </c>
      <c r="AH257" s="4" t="n">
        <v>4</v>
      </c>
      <c r="AI257" s="34" t="n">
        <v>0.0312</v>
      </c>
      <c r="AJ257" s="34" t="n">
        <v>1</v>
      </c>
      <c r="AK257" s="2" t="n">
        <v>3611</v>
      </c>
      <c r="AL257" t="inlineStr">
        <is>
          <t>Published</t>
        </is>
      </c>
    </row>
    <row r="258">
      <c r="A258">
        <f>HYPERLINK("https://www.walmart.com/ip/799046318", "799046318")</f>
        <v/>
      </c>
      <c r="B258">
        <f>HYPERLINK("https://app.optiwise.ai/catalog/itemdetails/360502", "Sun Blocker Women's Sun Hat  Wide Brim Flap Cap with Floral Ribbon for Beach Gardening Hiking Fishing Safari UPF 50+ White")</f>
        <v/>
      </c>
      <c r="C258" t="inlineStr">
        <is>
          <t>KC-S9202-WT</t>
        </is>
      </c>
      <c r="D258" t="inlineStr">
        <is>
          <t>Clothing</t>
        </is>
      </c>
      <c r="E258" t="inlineStr">
        <is>
          <t>Hats</t>
        </is>
      </c>
      <c r="F258" t="inlineStr">
        <is>
          <t>Sun Blocker</t>
        </is>
      </c>
      <c r="G258" t="n">
        <v>4.1</v>
      </c>
      <c r="H258" t="n">
        <v>24</v>
      </c>
      <c r="I258" t="inlineStr">
        <is>
          <t>Hats,Batch 1 - TR</t>
        </is>
      </c>
      <c r="J258" s="29" t="n">
        <v>111.93</v>
      </c>
      <c r="K258" s="30" t="n">
        <v>0.001</v>
      </c>
      <c r="L258" s="29" t="n">
        <v>31.97999954223633</v>
      </c>
      <c r="M258" s="29" t="n">
        <v>0</v>
      </c>
      <c r="N258" s="2" t="n">
        <v>7</v>
      </c>
      <c r="O258" s="31" t="n">
        <v>0</v>
      </c>
      <c r="P258" s="32" t="n"/>
      <c r="Q258" s="32" t="n">
        <v>0</v>
      </c>
      <c r="R258" s="32" t="n">
        <v>0.2268</v>
      </c>
      <c r="S258" s="31" t="n">
        <v>0</v>
      </c>
      <c r="T258" s="32" t="n">
        <v>0</v>
      </c>
      <c r="U258" s="31" t="n">
        <v>0</v>
      </c>
      <c r="V258" s="31" t="n">
        <v>0</v>
      </c>
      <c r="W258" s="3" t="n">
        <v>0</v>
      </c>
      <c r="X258" s="3" t="n">
        <v>0</v>
      </c>
      <c r="Y258" s="32" t="n">
        <v>0</v>
      </c>
      <c r="Z258" s="3" t="n">
        <v>0</v>
      </c>
      <c r="AA258" s="32" t="n">
        <v>0</v>
      </c>
      <c r="AB258" s="3" t="n"/>
      <c r="AC258" s="31" t="n">
        <v>0</v>
      </c>
      <c r="AD258" s="2" t="n">
        <v>5</v>
      </c>
      <c r="AE258" s="2" t="n">
        <v>48</v>
      </c>
      <c r="AF258" s="4" t="n">
        <v>48</v>
      </c>
      <c r="AG258" s="33" t="n">
        <v>111.93</v>
      </c>
      <c r="AH258" s="4" t="n">
        <v>7</v>
      </c>
      <c r="AI258" s="34" t="n">
        <v>0.1458</v>
      </c>
      <c r="AJ258" s="34" t="n">
        <v>1</v>
      </c>
      <c r="AK258" s="2" t="n">
        <v>1928</v>
      </c>
      <c r="AL258" t="inlineStr">
        <is>
          <t>Published</t>
        </is>
      </c>
    </row>
    <row r="259">
      <c r="A259">
        <f>HYPERLINK("https://www.walmart.com/ip/474882210", "474882210")</f>
        <v/>
      </c>
      <c r="B259">
        <f>HYPERLINK("https://app.optiwise.ai/catalog/itemdetails/360772", "Tirrinia Insulated Lunch Bag for Women Men, Leakproof Thermal Reusable Lunch Box with 4 Pockets for Adult Kids, Lunch Bag Cooler Tote for Office Work, Back to School, Black")</f>
        <v/>
      </c>
      <c r="C259" t="inlineStr">
        <is>
          <t>1TRLB702BK-N</t>
        </is>
      </c>
      <c r="D259" t="inlineStr">
        <is>
          <t>Home Decor, Kitchen, &amp; Other</t>
        </is>
      </c>
      <c r="E259" t="inlineStr">
        <is>
          <t>Reusable Lunch Bags &amp; Boxes</t>
        </is>
      </c>
      <c r="F259" t="inlineStr">
        <is>
          <t>Tirrinia</t>
        </is>
      </c>
      <c r="G259" t="n">
        <v>0</v>
      </c>
      <c r="H259" t="n">
        <v>0</v>
      </c>
      <c r="I259" t="inlineStr">
        <is>
          <t>Q2-Target,Brand Camp VD,Lunch Bag,Optimized,WFS,Lunch Bags,SEM,WFS Item,AMZ Bestsellers</t>
        </is>
      </c>
      <c r="J259" s="29" t="n">
        <v>111.93</v>
      </c>
      <c r="K259" s="30" t="n">
        <v>0.001</v>
      </c>
      <c r="L259" s="29" t="n">
        <v>31.97999954223633</v>
      </c>
      <c r="M259" s="29" t="n">
        <v>0</v>
      </c>
      <c r="N259" s="2" t="n">
        <v>7</v>
      </c>
      <c r="O259" s="31" t="n">
        <v>0</v>
      </c>
      <c r="P259" s="32" t="n"/>
      <c r="Q259" s="32" t="n">
        <v>0</v>
      </c>
      <c r="R259" s="32" t="n">
        <v>0.0102</v>
      </c>
      <c r="S259" s="31" t="n">
        <v>0</v>
      </c>
      <c r="T259" s="32" t="n">
        <v>0</v>
      </c>
      <c r="U259" s="31" t="n">
        <v>0</v>
      </c>
      <c r="V259" s="31" t="n">
        <v>0</v>
      </c>
      <c r="W259" s="3" t="n">
        <v>0</v>
      </c>
      <c r="X259" s="3" t="n">
        <v>0</v>
      </c>
      <c r="Y259" s="32" t="n">
        <v>0</v>
      </c>
      <c r="Z259" s="3" t="n">
        <v>0</v>
      </c>
      <c r="AA259" s="32" t="n">
        <v>0</v>
      </c>
      <c r="AB259" s="3" t="n"/>
      <c r="AC259" s="31" t="n">
        <v>0</v>
      </c>
      <c r="AD259" s="2" t="n">
        <v>141</v>
      </c>
      <c r="AE259" s="2" t="n">
        <v>141</v>
      </c>
      <c r="AF259" s="4" t="n">
        <v>141</v>
      </c>
      <c r="AG259" s="33" t="n">
        <v>111.93</v>
      </c>
      <c r="AH259" s="4" t="n">
        <v>7</v>
      </c>
      <c r="AI259" s="34" t="n">
        <v>0.0496</v>
      </c>
      <c r="AJ259" s="34" t="n">
        <v>1</v>
      </c>
      <c r="AK259" s="2" t="n">
        <v>2179</v>
      </c>
      <c r="AL259" t="inlineStr">
        <is>
          <t>Published</t>
        </is>
      </c>
    </row>
    <row r="260">
      <c r="A260">
        <f>HYPERLINK("https://www.walmart.com/ip/190880400", "190880400")</f>
        <v/>
      </c>
      <c r="B260">
        <f>HYPERLINK("https://app.optiwise.ai/catalog/itemdetails/360850", "Sun Blocker UV Protection Hat Unisex Wide Brim Large Bill Neck Flap Mesh Nets with Adjustable Drawstring Khaki")</f>
        <v/>
      </c>
      <c r="C260" t="inlineStr">
        <is>
          <t>KC-S9152-KK</t>
        </is>
      </c>
      <c r="D260" t="inlineStr">
        <is>
          <t>Clothing</t>
        </is>
      </c>
      <c r="E260" t="inlineStr">
        <is>
          <t>Hats</t>
        </is>
      </c>
      <c r="F260" t="inlineStr">
        <is>
          <t>Tirrinia</t>
        </is>
      </c>
      <c r="G260" t="n">
        <v>4.8</v>
      </c>
      <c r="H260" t="n">
        <v>5</v>
      </c>
      <c r="I260" t="inlineStr">
        <is>
          <t>Hats,Batch 1 - TR</t>
        </is>
      </c>
      <c r="J260" s="29" t="n">
        <v>111.92</v>
      </c>
      <c r="K260" s="30" t="n">
        <v>0.001</v>
      </c>
      <c r="L260" s="29" t="n">
        <v>14.98999977111816</v>
      </c>
      <c r="M260" s="29" t="n">
        <v>0</v>
      </c>
      <c r="N260" s="2" t="n">
        <v>7</v>
      </c>
      <c r="O260" s="31" t="n">
        <v>25.99999999999999</v>
      </c>
      <c r="P260" s="32" t="n">
        <v>0.0031</v>
      </c>
      <c r="Q260" s="32" t="n">
        <v>0.2323</v>
      </c>
      <c r="R260" s="32" t="n">
        <v>0</v>
      </c>
      <c r="S260" s="31" t="n">
        <v>3</v>
      </c>
      <c r="T260" s="32" t="n">
        <v>0.33</v>
      </c>
      <c r="U260" s="31" t="n">
        <v>77.95</v>
      </c>
      <c r="V260" s="31" t="n">
        <v>77.95</v>
      </c>
      <c r="W260" s="3" t="n">
        <v>64055</v>
      </c>
      <c r="X260" s="3" t="n">
        <v>130</v>
      </c>
      <c r="Y260" s="32" t="n">
        <v>0.002</v>
      </c>
      <c r="Z260" s="3" t="n">
        <v>5</v>
      </c>
      <c r="AA260" s="32" t="n">
        <v>0.0385</v>
      </c>
      <c r="AB260" s="3" t="inlineStr">
        <is>
          <t>Auto for Top sale---Rachel</t>
        </is>
      </c>
      <c r="AC260" s="31" t="n">
        <v>0.2</v>
      </c>
      <c r="AD260" s="2" t="n">
        <v>19</v>
      </c>
      <c r="AE260" s="2" t="n">
        <v>83</v>
      </c>
      <c r="AF260" s="4" t="inlineStr">
        <is>
          <t>NA</t>
        </is>
      </c>
      <c r="AG260" s="33" t="n">
        <v>33.97</v>
      </c>
      <c r="AH260" s="4" t="n">
        <v>2</v>
      </c>
      <c r="AI260" s="34" t="inlineStr">
        <is>
          <t>NA</t>
        </is>
      </c>
      <c r="AJ260" s="34" t="n">
        <v>0.3035</v>
      </c>
      <c r="AK260" s="2" t="n">
        <v>1947</v>
      </c>
      <c r="AL260" t="inlineStr">
        <is>
          <t>Published</t>
        </is>
      </c>
    </row>
    <row r="261">
      <c r="A261">
        <f>HYPERLINK("https://www.walmart.com/ip/174733580", "174733580")</f>
        <v/>
      </c>
      <c r="B261">
        <f>HYPERLINK("https://app.optiwise.ai/catalog/itemdetails/358751", "Pawsse Water Resistant Pet Blanket, Reversible Puppy and Cat Sherpa Throws, Cushion Mat for Car Seat, Furniture Protector Cover, Lt Gray/Dk Gray, 80'' x 60''")</f>
        <v/>
      </c>
      <c r="C261" t="inlineStr">
        <is>
          <t>1PSBW681LGDG</t>
        </is>
      </c>
      <c r="D261" t="inlineStr">
        <is>
          <t>Animal Accessories</t>
        </is>
      </c>
      <c r="E261" t="inlineStr">
        <is>
          <t>Pet Blankets</t>
        </is>
      </c>
      <c r="F261" t="inlineStr">
        <is>
          <t>Pawsse</t>
        </is>
      </c>
      <c r="G261" t="n">
        <v>0</v>
      </c>
      <c r="H261" t="n">
        <v>0</v>
      </c>
      <c r="I261" t="inlineStr">
        <is>
          <t>Q2-Target,Optimized</t>
        </is>
      </c>
      <c r="J261" s="29" t="n">
        <v>110.97</v>
      </c>
      <c r="K261" s="30" t="n">
        <v>0.001</v>
      </c>
      <c r="L261" s="29" t="n">
        <v>0</v>
      </c>
      <c r="M261" s="29" t="n">
        <v>0</v>
      </c>
      <c r="N261" s="2" t="n">
        <v>3</v>
      </c>
      <c r="O261" s="31" t="n">
        <v>1.88</v>
      </c>
      <c r="P261" s="32" t="n">
        <v>0.0002</v>
      </c>
      <c r="Q261" s="32" t="n">
        <v>0.0169</v>
      </c>
      <c r="R261" s="32" t="n">
        <v>0.0473</v>
      </c>
      <c r="S261" s="31" t="n">
        <v>0</v>
      </c>
      <c r="T261" s="32" t="n">
        <v>0</v>
      </c>
      <c r="U261" s="31" t="n">
        <v>0</v>
      </c>
      <c r="V261" s="31" t="n">
        <v>0</v>
      </c>
      <c r="W261" s="3" t="n">
        <v>9126</v>
      </c>
      <c r="X261" s="3" t="n">
        <v>6</v>
      </c>
      <c r="Y261" s="32" t="n">
        <v>0.0007</v>
      </c>
      <c r="Z261" s="3" t="n">
        <v>0</v>
      </c>
      <c r="AA261" s="32" t="n">
        <v>0</v>
      </c>
      <c r="AB261" s="3" t="inlineStr">
        <is>
          <t>Auto for BW PET 2 ---Rachel,Pet Blankets_Auto_Optiwise_24</t>
        </is>
      </c>
      <c r="AC261" s="31" t="n">
        <v>0.31</v>
      </c>
      <c r="AD261" s="2" t="n">
        <v>0</v>
      </c>
      <c r="AE261" s="2" t="n">
        <v>62</v>
      </c>
      <c r="AF261" s="4" t="n">
        <v>56</v>
      </c>
      <c r="AG261" s="33" t="n">
        <v>110.97</v>
      </c>
      <c r="AH261" s="4" t="n">
        <v>3</v>
      </c>
      <c r="AI261" s="34" t="n">
        <v>0.0536</v>
      </c>
      <c r="AJ261" s="34" t="n">
        <v>1</v>
      </c>
      <c r="AK261" s="2" t="n">
        <v>4500</v>
      </c>
      <c r="AL261" t="inlineStr">
        <is>
          <t>Published</t>
        </is>
      </c>
    </row>
    <row r="262">
      <c r="A262">
        <f>HYPERLINK("https://www.walmart.com/ip/775933127", "775933127")</f>
        <v/>
      </c>
      <c r="B262">
        <f>HYPERLINK("https://app.optiwise.ai/catalog/itemdetails/417434", "Tirrinia Comfy Plush Wearable Fleece Blanket Poncho For Adults And Children, 55'' x 80'', Navy")</f>
        <v/>
      </c>
      <c r="C262" t="inlineStr">
        <is>
          <t>1TRBP100NY-TBCB</t>
        </is>
      </c>
      <c r="D262" t="inlineStr">
        <is>
          <t>Home Decor, Kitchen, &amp; Other</t>
        </is>
      </c>
      <c r="E262" t="inlineStr">
        <is>
          <t>Throws</t>
        </is>
      </c>
      <c r="F262" t="inlineStr">
        <is>
          <t>Tirrinia</t>
        </is>
      </c>
      <c r="G262" t="n">
        <v>4.6</v>
      </c>
      <c r="H262" t="n">
        <v>7</v>
      </c>
      <c r="I262" t="inlineStr">
        <is>
          <t>Optimized,Fleece Blankets</t>
        </is>
      </c>
      <c r="J262" s="29" t="n">
        <v>109.93</v>
      </c>
      <c r="K262" s="30" t="n">
        <v>0.0009</v>
      </c>
      <c r="L262" s="29" t="n">
        <v>13.98999977111816</v>
      </c>
      <c r="M262" s="29" t="n">
        <v>0</v>
      </c>
      <c r="N262" s="2" t="n">
        <v>7</v>
      </c>
      <c r="O262" s="31" t="n">
        <v>2.46</v>
      </c>
      <c r="P262" s="32" t="n">
        <v>0.0003</v>
      </c>
      <c r="Q262" s="32" t="n">
        <v>0.0224</v>
      </c>
      <c r="R262" s="32" t="n">
        <v>0.2389</v>
      </c>
      <c r="S262" s="31" t="n">
        <v>0</v>
      </c>
      <c r="T262" s="32" t="n">
        <v>0</v>
      </c>
      <c r="U262" s="31" t="n">
        <v>0</v>
      </c>
      <c r="V262" s="31" t="n">
        <v>0</v>
      </c>
      <c r="W262" s="3" t="n">
        <v>1817</v>
      </c>
      <c r="X262" s="3" t="n">
        <v>6</v>
      </c>
      <c r="Y262" s="32" t="n">
        <v>0.0033</v>
      </c>
      <c r="Z262" s="3" t="n">
        <v>0</v>
      </c>
      <c r="AA262" s="32" t="n">
        <v>0</v>
      </c>
      <c r="AB262" s="3" t="inlineStr">
        <is>
          <t>Throws_Manual_Optiwise_24</t>
        </is>
      </c>
      <c r="AC262" s="31" t="n">
        <v>0.41</v>
      </c>
      <c r="AD262" s="2" t="n">
        <v>36</v>
      </c>
      <c r="AE262" s="2" t="n">
        <v>33</v>
      </c>
      <c r="AF262" s="4" t="n">
        <v>27</v>
      </c>
      <c r="AG262" s="33" t="n">
        <v>109.93</v>
      </c>
      <c r="AH262" s="4" t="n">
        <v>7</v>
      </c>
      <c r="AI262" s="34" t="n">
        <v>0.2593</v>
      </c>
      <c r="AJ262" s="34" t="n">
        <v>1</v>
      </c>
      <c r="AK262" s="2" t="n">
        <v>1928</v>
      </c>
      <c r="AL262" t="inlineStr">
        <is>
          <t>Published</t>
        </is>
      </c>
    </row>
    <row r="263">
      <c r="A263">
        <f>HYPERLINK("https://www.walmart.com/ip/5785662459", "5785662459")</f>
        <v/>
      </c>
      <c r="B263">
        <f>HYPERLINK("https://app.optiwise.ai/catalog/itemdetails/9053826", "Kato Expandable Insulated Lunch Bag, Leakproof Lunch Cooler Tote for All Ages, Black")</f>
        <v/>
      </c>
      <c r="C263" t="inlineStr">
        <is>
          <t>1TRLB110DB</t>
        </is>
      </c>
      <c r="D263" t="inlineStr">
        <is>
          <t>Home Decor, Kitchen, &amp; Other</t>
        </is>
      </c>
      <c r="E263" t="inlineStr">
        <is>
          <t>Reusable Lunch Bags &amp; Boxes</t>
        </is>
      </c>
      <c r="F263" t="inlineStr">
        <is>
          <t>Kato</t>
        </is>
      </c>
      <c r="G263" t="n">
        <v>0</v>
      </c>
      <c r="H263" t="n">
        <v>0</v>
      </c>
      <c r="J263" s="29" t="n">
        <v>108.93</v>
      </c>
      <c r="K263" s="30" t="n">
        <v>0.0009</v>
      </c>
      <c r="L263" s="29" t="n">
        <v>16.98999977111816</v>
      </c>
      <c r="M263" s="29" t="n">
        <v>0</v>
      </c>
      <c r="N263" s="2" t="n">
        <v>6</v>
      </c>
      <c r="O263" s="31" t="n">
        <v>0</v>
      </c>
      <c r="P263" s="32" t="n"/>
      <c r="Q263" s="32" t="n">
        <v>0</v>
      </c>
      <c r="R263" s="32" t="n">
        <v>0</v>
      </c>
      <c r="S263" s="31" t="n">
        <v>0</v>
      </c>
      <c r="T263" s="32" t="n">
        <v>0</v>
      </c>
      <c r="U263" s="31" t="n">
        <v>0</v>
      </c>
      <c r="V263" s="31" t="n">
        <v>0</v>
      </c>
      <c r="W263" s="3" t="n">
        <v>0</v>
      </c>
      <c r="X263" s="3" t="n">
        <v>0</v>
      </c>
      <c r="Y263" s="32" t="n">
        <v>0</v>
      </c>
      <c r="Z263" s="3" t="n">
        <v>0</v>
      </c>
      <c r="AA263" s="32" t="n">
        <v>0</v>
      </c>
      <c r="AB263" s="3" t="n"/>
      <c r="AC263" s="31" t="n">
        <v>0</v>
      </c>
      <c r="AD263" s="2" t="n">
        <v>0</v>
      </c>
      <c r="AE263" s="2" t="n">
        <v>50</v>
      </c>
      <c r="AF263" s="4" t="n">
        <v>50</v>
      </c>
      <c r="AG263" s="33" t="n">
        <v>108.93</v>
      </c>
      <c r="AH263" s="4" t="n">
        <v>6</v>
      </c>
      <c r="AI263" s="34" t="n">
        <v>0.12</v>
      </c>
      <c r="AJ263" s="34" t="n">
        <v>1</v>
      </c>
      <c r="AK263" s="2" t="n">
        <v>2250</v>
      </c>
      <c r="AL263" t="inlineStr">
        <is>
          <t>Published</t>
        </is>
      </c>
    </row>
    <row r="264">
      <c r="A264">
        <f>HYPERLINK("https://www.walmart.com/ip/2627879869", "2627879869")</f>
        <v/>
      </c>
      <c r="B264">
        <f>HYPERLINK("https://app.optiwise.ai/catalog/itemdetails/6051367", "Waterproof Blanket for Outdoors, Hooded Blanket Poncho | Windproof, Warm, Wearable, Portable | for Stadium, Picnics, Sports Events, Camping, Yoga, Beach, Outdoor Adventure")</f>
        <v/>
      </c>
      <c r="C264" t="inlineStr">
        <is>
          <t>1CTBC200GNBK</t>
        </is>
      </c>
      <c r="D264" t="inlineStr">
        <is>
          <t>Bedding</t>
        </is>
      </c>
      <c r="E264" t="inlineStr">
        <is>
          <t>Throws</t>
        </is>
      </c>
      <c r="F264" t="inlineStr">
        <is>
          <t>Catalonia</t>
        </is>
      </c>
      <c r="G264" t="n">
        <v>0</v>
      </c>
      <c r="H264" t="n">
        <v>0</v>
      </c>
      <c r="I264" t="inlineStr">
        <is>
          <t>Wproof Blanket</t>
        </is>
      </c>
      <c r="J264" s="29" t="n">
        <v>107.96</v>
      </c>
      <c r="K264" s="30" t="n">
        <v>0.0009</v>
      </c>
      <c r="L264" s="29" t="n">
        <v>0</v>
      </c>
      <c r="M264" s="29" t="n">
        <v>0</v>
      </c>
      <c r="N264" s="2" t="n">
        <v>4</v>
      </c>
      <c r="O264" s="31" t="n">
        <v>0</v>
      </c>
      <c r="P264" s="32" t="n"/>
      <c r="Q264" s="32" t="n">
        <v>0</v>
      </c>
      <c r="R264" s="32" t="n">
        <v>0</v>
      </c>
      <c r="S264" s="31" t="n">
        <v>0</v>
      </c>
      <c r="T264" s="32" t="n">
        <v>0</v>
      </c>
      <c r="U264" s="31" t="n">
        <v>0</v>
      </c>
      <c r="V264" s="31" t="n">
        <v>0</v>
      </c>
      <c r="W264" s="3" t="n">
        <v>0</v>
      </c>
      <c r="X264" s="3" t="n">
        <v>0</v>
      </c>
      <c r="Y264" s="32" t="n">
        <v>0</v>
      </c>
      <c r="Z264" s="3" t="n">
        <v>0</v>
      </c>
      <c r="AA264" s="32" t="n">
        <v>0</v>
      </c>
      <c r="AB264" s="3" t="n"/>
      <c r="AC264" s="31" t="n">
        <v>0</v>
      </c>
      <c r="AD264" s="2" t="n">
        <v>0</v>
      </c>
      <c r="AE264" s="2" t="n">
        <v>56</v>
      </c>
      <c r="AF264" s="4" t="n">
        <v>56</v>
      </c>
      <c r="AG264" s="33" t="n">
        <v>107.96</v>
      </c>
      <c r="AH264" s="4" t="n">
        <v>4</v>
      </c>
      <c r="AI264" s="34" t="n">
        <v>0.07140000000000001</v>
      </c>
      <c r="AJ264" s="34" t="n">
        <v>1</v>
      </c>
      <c r="AK264" s="2" t="n">
        <v>3510</v>
      </c>
      <c r="AL264" t="inlineStr">
        <is>
          <t>Published</t>
        </is>
      </c>
    </row>
    <row r="265">
      <c r="A265">
        <f>HYPERLINK("https://www.walmart.com/ip/1606747764", "1606747764")</f>
        <v/>
      </c>
      <c r="B265">
        <f>HYPERLINK("https://app.optiwise.ai/catalog/itemdetails/1173607", "Tirrinia 2 Bottle Wine Tote Carrier - Insulated &amp; Padded Versatile Cooler Bag for Travel, BYOB Restaurant, Wine Tasting, Party, Great Gift for Wine Lover, Red")</f>
        <v/>
      </c>
      <c r="C265" t="inlineStr">
        <is>
          <t>1TRWB221RD</t>
        </is>
      </c>
      <c r="D265" t="inlineStr">
        <is>
          <t>Home Decor, Kitchen, &amp; Other</t>
        </is>
      </c>
      <c r="E265" t="inlineStr">
        <is>
          <t>Wine Totes, Bags &amp; Backpacks</t>
        </is>
      </c>
      <c r="F265" t="inlineStr">
        <is>
          <t>Tirrinia</t>
        </is>
      </c>
      <c r="G265" t="n">
        <v>3.5</v>
      </c>
      <c r="H265" t="n">
        <v>4</v>
      </c>
      <c r="I265" t="inlineStr">
        <is>
          <t>Wine,SEM,Batch 1 - TR</t>
        </is>
      </c>
      <c r="J265" s="29" t="n">
        <v>107.94</v>
      </c>
      <c r="K265" s="30" t="n">
        <v>0.0009</v>
      </c>
      <c r="L265" s="29" t="n">
        <v>0</v>
      </c>
      <c r="M265" s="29" t="n">
        <v>0</v>
      </c>
      <c r="N265" s="2" t="n">
        <v>6</v>
      </c>
      <c r="O265" s="31" t="n">
        <v>5.98</v>
      </c>
      <c r="P265" s="32" t="n">
        <v>0.0007</v>
      </c>
      <c r="Q265" s="32" t="n">
        <v>0.0554</v>
      </c>
      <c r="R265" s="32" t="n">
        <v>0.2798</v>
      </c>
      <c r="S265" s="31" t="n">
        <v>3.34</v>
      </c>
      <c r="T265" s="32" t="n">
        <v>0.3</v>
      </c>
      <c r="U265" s="31" t="n">
        <v>19.99</v>
      </c>
      <c r="V265" s="31" t="n">
        <v>19.99</v>
      </c>
      <c r="W265" s="3" t="n">
        <v>7335</v>
      </c>
      <c r="X265" s="3" t="n">
        <v>13</v>
      </c>
      <c r="Y265" s="32" t="n">
        <v>0.0018</v>
      </c>
      <c r="Z265" s="3" t="n">
        <v>1</v>
      </c>
      <c r="AA265" s="32" t="n">
        <v>0.0769</v>
      </c>
      <c r="AB265" s="3" t="inlineStr">
        <is>
          <t>Auto Campaign_Vinay</t>
        </is>
      </c>
      <c r="AC265" s="31" t="n">
        <v>0.46</v>
      </c>
      <c r="AD265" s="2" t="n">
        <v>1</v>
      </c>
      <c r="AE265" s="2" t="n">
        <v>69</v>
      </c>
      <c r="AF265" s="4" t="n">
        <v>56</v>
      </c>
      <c r="AG265" s="33" t="n">
        <v>87.95</v>
      </c>
      <c r="AH265" s="4" t="n">
        <v>5</v>
      </c>
      <c r="AI265" s="34" t="n">
        <v>0.0893</v>
      </c>
      <c r="AJ265" s="34" t="n">
        <v>0.8148</v>
      </c>
      <c r="AK265" s="2" t="n">
        <v>2295</v>
      </c>
      <c r="AL265" t="inlineStr">
        <is>
          <t>Published</t>
        </is>
      </c>
    </row>
    <row r="266">
      <c r="A266">
        <f>HYPERLINK("https://www.walmart.com/ip/843451150", "843451150")</f>
        <v/>
      </c>
      <c r="B266">
        <f>HYPERLINK("https://app.optiwise.ai/catalog/itemdetails/667859", "Men's Sun Protection Hat with Neck Flap Cover,Wide Brim Outdoor Fishing Hiking Camping Hunting Boating Safari Gardening")</f>
        <v/>
      </c>
      <c r="C266" t="inlineStr">
        <is>
          <t>1SLSH923DIGIGN</t>
        </is>
      </c>
      <c r="D266" t="inlineStr">
        <is>
          <t>Clothing</t>
        </is>
      </c>
      <c r="E266" t="inlineStr">
        <is>
          <t>Hats</t>
        </is>
      </c>
      <c r="F266" t="inlineStr">
        <is>
          <t>Solaris</t>
        </is>
      </c>
      <c r="G266" t="n">
        <v>4.5</v>
      </c>
      <c r="H266" t="n">
        <v>96</v>
      </c>
      <c r="I266" t="inlineStr">
        <is>
          <t>Hats,Batch 1 - TR</t>
        </is>
      </c>
      <c r="J266" s="29" t="n">
        <v>107.94</v>
      </c>
      <c r="K266" s="30" t="n">
        <v>0.0009</v>
      </c>
      <c r="L266" s="29" t="n">
        <v>35.97999954223633</v>
      </c>
      <c r="M266" s="29" t="n">
        <v>0</v>
      </c>
      <c r="N266" s="2" t="n">
        <v>6</v>
      </c>
      <c r="O266" s="31" t="n">
        <v>0</v>
      </c>
      <c r="P266" s="32" t="n"/>
      <c r="Q266" s="32" t="n">
        <v>0</v>
      </c>
      <c r="R266" s="32" t="n">
        <v>0.0116</v>
      </c>
      <c r="S266" s="31" t="n">
        <v>0</v>
      </c>
      <c r="T266" s="32" t="n">
        <v>0</v>
      </c>
      <c r="U266" s="31" t="n">
        <v>0</v>
      </c>
      <c r="V266" s="31" t="n">
        <v>0</v>
      </c>
      <c r="W266" s="3" t="n">
        <v>0</v>
      </c>
      <c r="X266" s="3" t="n">
        <v>0</v>
      </c>
      <c r="Y266" s="32" t="n">
        <v>0</v>
      </c>
      <c r="Z266" s="3" t="n">
        <v>0</v>
      </c>
      <c r="AA266" s="32" t="n">
        <v>0</v>
      </c>
      <c r="AB266" s="3" t="n"/>
      <c r="AC266" s="31" t="n">
        <v>0</v>
      </c>
      <c r="AD266" s="2" t="n">
        <v>18</v>
      </c>
      <c r="AE266" s="2" t="n">
        <v>55</v>
      </c>
      <c r="AF266" s="4" t="n">
        <v>55</v>
      </c>
      <c r="AG266" s="33" t="n">
        <v>107.94</v>
      </c>
      <c r="AH266" s="4" t="n">
        <v>6</v>
      </c>
      <c r="AI266" s="34" t="n">
        <v>0.1091</v>
      </c>
      <c r="AJ266" s="34" t="n">
        <v>1</v>
      </c>
      <c r="AK266" s="2" t="n">
        <v>2250</v>
      </c>
      <c r="AL266" t="inlineStr">
        <is>
          <t>Published</t>
        </is>
      </c>
    </row>
    <row r="267">
      <c r="A267">
        <f>HYPERLINK("https://www.walmart.com/ip/412724953", "412724953")</f>
        <v/>
      </c>
      <c r="B267">
        <f>HYPERLINK("https://app.optiwise.ai/catalog/itemdetails/360300", "Tirrinia Brown Buffalo Plaid Fleece Blanket TV Throw 50 x 60, Super Soft Warm Comfy Flannel Fleece Bedding Couch Cabin Throw Decorative Blankets")</f>
        <v/>
      </c>
      <c r="C267" t="inlineStr">
        <is>
          <t>1TRBF576PBR</t>
        </is>
      </c>
      <c r="D267" t="inlineStr">
        <is>
          <t>Bedding</t>
        </is>
      </c>
      <c r="E267" t="inlineStr">
        <is>
          <t>Throws</t>
        </is>
      </c>
      <c r="F267" t="inlineStr">
        <is>
          <t>Tirrinia</t>
        </is>
      </c>
      <c r="G267" t="n">
        <v>4.5</v>
      </c>
      <c r="H267" t="n">
        <v>2</v>
      </c>
      <c r="I267" t="inlineStr">
        <is>
          <t>Q2-Target,WFS,Coupon_Discount,WFS Item,Fleece Blankets</t>
        </is>
      </c>
      <c r="J267" s="29" t="n">
        <v>104.95</v>
      </c>
      <c r="K267" s="30" t="n">
        <v>0.0009</v>
      </c>
      <c r="L267" s="29" t="n">
        <v>0</v>
      </c>
      <c r="M267" s="29" t="n">
        <v>0</v>
      </c>
      <c r="N267" s="2" t="n">
        <v>5</v>
      </c>
      <c r="O267" s="31" t="n">
        <v>0</v>
      </c>
      <c r="P267" s="32" t="n"/>
      <c r="Q267" s="32" t="n">
        <v>0</v>
      </c>
      <c r="R267" s="32" t="n">
        <v>0</v>
      </c>
      <c r="S267" s="31" t="n">
        <v>0</v>
      </c>
      <c r="T267" s="32" t="n">
        <v>0</v>
      </c>
      <c r="U267" s="31" t="n">
        <v>0</v>
      </c>
      <c r="V267" s="31" t="n">
        <v>0</v>
      </c>
      <c r="W267" s="3" t="n">
        <v>0</v>
      </c>
      <c r="X267" s="3" t="n">
        <v>0</v>
      </c>
      <c r="Y267" s="32" t="n">
        <v>0</v>
      </c>
      <c r="Z267" s="3" t="n">
        <v>0</v>
      </c>
      <c r="AA267" s="32" t="n">
        <v>0</v>
      </c>
      <c r="AB267" s="3" t="n"/>
      <c r="AC267" s="31" t="n">
        <v>0</v>
      </c>
      <c r="AD267" s="2" t="n">
        <v>24</v>
      </c>
      <c r="AE267" s="2" t="n">
        <v>59</v>
      </c>
      <c r="AF267" s="4" t="n">
        <v>59</v>
      </c>
      <c r="AG267" s="33" t="n">
        <v>104.95</v>
      </c>
      <c r="AH267" s="4" t="n">
        <v>5</v>
      </c>
      <c r="AI267" s="34" t="n">
        <v>0.0847</v>
      </c>
      <c r="AJ267" s="34" t="n">
        <v>1</v>
      </c>
      <c r="AK267" s="2" t="n">
        <v>2700</v>
      </c>
      <c r="AL267" t="inlineStr">
        <is>
          <t>Published</t>
        </is>
      </c>
    </row>
    <row r="268">
      <c r="A268">
        <f>HYPERLINK("https://www.walmart.com/ip/159536218", "159536218")</f>
        <v/>
      </c>
      <c r="B268">
        <f>HYPERLINK("https://app.optiwise.ai/catalog/itemdetails/409185", "Tirrinia Single Wine Gift Tote Bag, Insulated Padded Thermal Wine Bottle Carrying Cooler Carrier for Travel, Picnic, Great Gift for Wine Lover, Black")</f>
        <v/>
      </c>
      <c r="C268" t="inlineStr">
        <is>
          <t>1TRWB102BK</t>
        </is>
      </c>
      <c r="D268" t="inlineStr">
        <is>
          <t>Home Decor, Kitchen, &amp; Other</t>
        </is>
      </c>
      <c r="E268" t="inlineStr">
        <is>
          <t>Wine Totes, Bags &amp; Backpacks</t>
        </is>
      </c>
      <c r="F268" t="inlineStr">
        <is>
          <t>Tirrinia</t>
        </is>
      </c>
      <c r="G268" t="n">
        <v>4.8</v>
      </c>
      <c r="H268" t="n">
        <v>5</v>
      </c>
      <c r="I268" t="inlineStr">
        <is>
          <t>Christmas,Optimized,Valentine</t>
        </is>
      </c>
      <c r="J268" s="29" t="n">
        <v>104.92</v>
      </c>
      <c r="K268" s="30" t="n">
        <v>0.0009</v>
      </c>
      <c r="L268" s="29" t="n">
        <v>0</v>
      </c>
      <c r="M268" s="29" t="n">
        <v>0</v>
      </c>
      <c r="N268" s="2" t="n">
        <v>7</v>
      </c>
      <c r="O268" s="31" t="n">
        <v>13.14</v>
      </c>
      <c r="P268" s="32" t="n">
        <v>0.0016</v>
      </c>
      <c r="Q268" s="32" t="n">
        <v>0.1252</v>
      </c>
      <c r="R268" s="32" t="n">
        <v>0.1909</v>
      </c>
      <c r="S268" s="31" t="n">
        <v>4.26</v>
      </c>
      <c r="T268" s="32" t="n">
        <v>0.23</v>
      </c>
      <c r="U268" s="31" t="n">
        <v>55.96</v>
      </c>
      <c r="V268" s="31" t="n">
        <v>55.96</v>
      </c>
      <c r="W268" s="3" t="n">
        <v>12703</v>
      </c>
      <c r="X268" s="3" t="n">
        <v>36</v>
      </c>
      <c r="Y268" s="32" t="n">
        <v>0.0028</v>
      </c>
      <c r="Z268" s="3" t="n">
        <v>4</v>
      </c>
      <c r="AA268" s="32" t="n">
        <v>0.1111</v>
      </c>
      <c r="AB268" s="3" t="inlineStr">
        <is>
          <t>All Items_Auto_Optiwise_24,Auto Campaign_Vinay</t>
        </is>
      </c>
      <c r="AC268" s="31" t="n">
        <v>0.37</v>
      </c>
      <c r="AD268" s="2" t="n">
        <v>99</v>
      </c>
      <c r="AE268" s="2" t="n">
        <v>94</v>
      </c>
      <c r="AF268" s="4" t="n">
        <v>58</v>
      </c>
      <c r="AG268" s="33" t="n">
        <v>48.96</v>
      </c>
      <c r="AH268" s="4" t="n">
        <v>3</v>
      </c>
      <c r="AI268" s="34" t="n">
        <v>0.0517</v>
      </c>
      <c r="AJ268" s="34" t="n">
        <v>0.4666</v>
      </c>
      <c r="AK268" s="2" t="n">
        <v>0</v>
      </c>
      <c r="AL268" t="inlineStr">
        <is>
          <t>Published</t>
        </is>
      </c>
    </row>
    <row r="269">
      <c r="A269">
        <f>HYPERLINK("https://www.walmart.com/ip/126944997", "126944997")</f>
        <v/>
      </c>
      <c r="B269">
        <f>HYPERLINK("https://app.optiwise.ai/catalog/itemdetails/360680", "Napa Plush Cashmere Throw Blanket Green, 90 x 90 Queen/Full, Striped Reversible Velvet Luxury Fleece Warm Bed Couch Blanket, Super Soft and Cozy")</f>
        <v/>
      </c>
      <c r="C269" t="inlineStr">
        <is>
          <t>K8030QF-GRN</t>
        </is>
      </c>
      <c r="D269" t="inlineStr">
        <is>
          <t>Bedding</t>
        </is>
      </c>
      <c r="E269" t="inlineStr">
        <is>
          <t>Throws</t>
        </is>
      </c>
      <c r="F269" t="inlineStr">
        <is>
          <t>NAPA</t>
        </is>
      </c>
      <c r="G269" t="n">
        <v>5</v>
      </c>
      <c r="H269" t="n">
        <v>2</v>
      </c>
      <c r="I269" t="inlineStr">
        <is>
          <t>Q2-Target,Optimized,ST Patrick Day</t>
        </is>
      </c>
      <c r="J269" s="29" t="n">
        <v>104.86</v>
      </c>
      <c r="K269" s="30" t="n">
        <v>0.0009</v>
      </c>
      <c r="L269" s="29" t="n">
        <v>0</v>
      </c>
      <c r="M269" s="29" t="n">
        <v>0</v>
      </c>
      <c r="N269" s="2" t="n">
        <v>7</v>
      </c>
      <c r="O269" s="31" t="n">
        <v>0</v>
      </c>
      <c r="P269" s="32" t="n"/>
      <c r="Q269" s="32" t="n">
        <v>0</v>
      </c>
      <c r="R269" s="32" t="n">
        <v>0</v>
      </c>
      <c r="S269" s="31" t="n">
        <v>0</v>
      </c>
      <c r="T269" s="32" t="n">
        <v>0</v>
      </c>
      <c r="U269" s="31" t="n">
        <v>0</v>
      </c>
      <c r="V269" s="31" t="n">
        <v>0</v>
      </c>
      <c r="W269" s="3" t="n">
        <v>0</v>
      </c>
      <c r="X269" s="3" t="n">
        <v>0</v>
      </c>
      <c r="Y269" s="32" t="n">
        <v>0</v>
      </c>
      <c r="Z269" s="3" t="n">
        <v>0</v>
      </c>
      <c r="AA269" s="32" t="n">
        <v>0</v>
      </c>
      <c r="AB269" s="3" t="n"/>
      <c r="AC269" s="31" t="n">
        <v>0</v>
      </c>
      <c r="AD269" s="2" t="n">
        <v>0</v>
      </c>
      <c r="AE269" s="2" t="n">
        <v>39</v>
      </c>
      <c r="AF269" s="4" t="n">
        <v>39</v>
      </c>
      <c r="AG269" s="33" t="n">
        <v>104.86</v>
      </c>
      <c r="AH269" s="4" t="n">
        <v>7</v>
      </c>
      <c r="AI269" s="34" t="n">
        <v>0.1795</v>
      </c>
      <c r="AJ269" s="34" t="n">
        <v>1</v>
      </c>
      <c r="AK269" s="2" t="n">
        <v>1562</v>
      </c>
      <c r="AL269" t="inlineStr">
        <is>
          <t>Published</t>
        </is>
      </c>
    </row>
    <row r="270">
      <c r="A270">
        <f>HYPERLINK("https://www.walmart.com/ip/730581368", "730581368")</f>
        <v/>
      </c>
      <c r="B270">
        <f>HYPERLINK("https://app.optiwise.ai/catalog/itemdetails/362782", "Fleece Blanket Wearable with Sleeves &amp; Foot pockets for Men and Women, Micro Plush Wrap Sleeved Throw Blanket Robe Multi-Colors 75”x53” by Catalonia")</f>
        <v/>
      </c>
      <c r="C270" t="inlineStr">
        <is>
          <t>1CTSN101LT</t>
        </is>
      </c>
      <c r="D270" t="inlineStr">
        <is>
          <t>Bedding</t>
        </is>
      </c>
      <c r="E270" t="inlineStr">
        <is>
          <t>Throws</t>
        </is>
      </c>
      <c r="F270" t="inlineStr">
        <is>
          <t>Catalonia</t>
        </is>
      </c>
      <c r="G270" t="n">
        <v>0</v>
      </c>
      <c r="H270" t="n">
        <v>0</v>
      </c>
      <c r="I270" t="inlineStr">
        <is>
          <t>WFS,WFS Item,Fleece Blankets</t>
        </is>
      </c>
      <c r="J270" s="29" t="n">
        <v>103.96</v>
      </c>
      <c r="K270" s="30" t="n">
        <v>0.0009</v>
      </c>
      <c r="L270" s="29" t="n">
        <v>0</v>
      </c>
      <c r="M270" s="29" t="n">
        <v>0</v>
      </c>
      <c r="N270" s="2" t="n">
        <v>4</v>
      </c>
      <c r="O270" s="31" t="n">
        <v>29.42000000000001</v>
      </c>
      <c r="P270" s="32" t="n">
        <v>0.0035</v>
      </c>
      <c r="Q270" s="32" t="n">
        <v>0.283</v>
      </c>
      <c r="R270" s="32" t="n">
        <v>0</v>
      </c>
      <c r="S270" s="31" t="n">
        <v>4.28</v>
      </c>
      <c r="T270" s="32" t="n">
        <v>0.23</v>
      </c>
      <c r="U270" s="31" t="n">
        <v>125.95</v>
      </c>
      <c r="V270" s="31" t="n">
        <v>77.97</v>
      </c>
      <c r="W270" s="3" t="n">
        <v>20861</v>
      </c>
      <c r="X270" s="3" t="n">
        <v>61</v>
      </c>
      <c r="Y270" s="32" t="n">
        <v>0.0029</v>
      </c>
      <c r="Z270" s="3" t="n">
        <v>5</v>
      </c>
      <c r="AA270" s="32" t="n">
        <v>0.082</v>
      </c>
      <c r="AB270" s="3" t="inlineStr">
        <is>
          <t>Throws_Auto_Optiwise_24</t>
        </is>
      </c>
      <c r="AC270" s="31" t="n">
        <v>0.48</v>
      </c>
      <c r="AD270" s="2" t="n">
        <v>18</v>
      </c>
      <c r="AE270" s="2" t="n">
        <v>132</v>
      </c>
      <c r="AF270" s="4" t="n">
        <v>71</v>
      </c>
      <c r="AG270" s="33" t="n">
        <v>-21.98999999999999</v>
      </c>
      <c r="AH270" s="4" t="n">
        <v>-1</v>
      </c>
      <c r="AI270" s="34" t="n">
        <v>-0.0141</v>
      </c>
      <c r="AJ270" s="34" t="n">
        <v>-0.2115</v>
      </c>
      <c r="AK270" s="2" t="n">
        <v>3375</v>
      </c>
      <c r="AL270" t="inlineStr">
        <is>
          <t>Published</t>
        </is>
      </c>
    </row>
    <row r="271">
      <c r="A271">
        <f>HYPERLINK("https://www.walmart.com/ip/646900422", "646900422")</f>
        <v/>
      </c>
      <c r="B271">
        <f>HYPERLINK("https://app.optiwise.ai/catalog/itemdetails/359135", "Tirrinia Single Wine Cooler Bags, Insulated and Padded Portable Wine Tote Carrier for Travel, BYOB Restaurant, Wine Tasting, Party, Great Gift for Wine Lover, Beige")</f>
        <v/>
      </c>
      <c r="C271" t="inlineStr">
        <is>
          <t>1TRWB101BG</t>
        </is>
      </c>
      <c r="D271" t="inlineStr">
        <is>
          <t>Home Decor, Kitchen, &amp; Other</t>
        </is>
      </c>
      <c r="E271" t="inlineStr">
        <is>
          <t>Wine Totes, Bags &amp; Backpacks</t>
        </is>
      </c>
      <c r="F271" t="inlineStr">
        <is>
          <t>Tirrinia</t>
        </is>
      </c>
      <c r="G271" t="n">
        <v>0</v>
      </c>
      <c r="H271" t="n">
        <v>0</v>
      </c>
      <c r="I271" t="inlineStr">
        <is>
          <t>Wine,Christmas,WFS,Valentine,WFS Item</t>
        </is>
      </c>
      <c r="J271" s="29" t="n">
        <v>103.92</v>
      </c>
      <c r="K271" s="30" t="n">
        <v>0.0009</v>
      </c>
      <c r="L271" s="29" t="n">
        <v>0</v>
      </c>
      <c r="M271" s="29" t="n">
        <v>0</v>
      </c>
      <c r="N271" s="2" t="n">
        <v>6</v>
      </c>
      <c r="O271" s="31" t="n">
        <v>23.74</v>
      </c>
      <c r="P271" s="32" t="n">
        <v>0.0028</v>
      </c>
      <c r="Q271" s="32" t="n">
        <v>0.2284</v>
      </c>
      <c r="R271" s="32" t="n">
        <v>0.0985</v>
      </c>
      <c r="S271" s="31" t="n">
        <v>3.28</v>
      </c>
      <c r="T271" s="32" t="n">
        <v>0.3</v>
      </c>
      <c r="U271" s="31" t="n">
        <v>77.95</v>
      </c>
      <c r="V271" s="31" t="n">
        <v>56.96</v>
      </c>
      <c r="W271" s="3" t="n">
        <v>29598</v>
      </c>
      <c r="X271" s="3" t="n">
        <v>45</v>
      </c>
      <c r="Y271" s="32" t="n">
        <v>0.0015</v>
      </c>
      <c r="Z271" s="3" t="n">
        <v>5</v>
      </c>
      <c r="AA271" s="32" t="n">
        <v>0.1111</v>
      </c>
      <c r="AB271" s="3" t="inlineStr">
        <is>
          <t>All Items_Auto_Optiwise_24,Auto Campaign_Vinay</t>
        </is>
      </c>
      <c r="AC271" s="31" t="n">
        <v>0.53</v>
      </c>
      <c r="AD271" s="2" t="n">
        <v>2</v>
      </c>
      <c r="AE271" s="2" t="n">
        <v>80</v>
      </c>
      <c r="AF271" s="4" t="n">
        <v>35</v>
      </c>
      <c r="AG271" s="33" t="n">
        <v>25.97</v>
      </c>
      <c r="AH271" s="4" t="n">
        <v>1</v>
      </c>
      <c r="AI271" s="34" t="n">
        <v>0.0286</v>
      </c>
      <c r="AJ271" s="34" t="n">
        <v>0.2499</v>
      </c>
      <c r="AK271" s="2" t="n">
        <v>2250</v>
      </c>
      <c r="AL271" t="inlineStr">
        <is>
          <t>Published</t>
        </is>
      </c>
    </row>
    <row r="272">
      <c r="A272">
        <f>HYPERLINK("https://www.walmart.com/ip/886441152", "886441152")</f>
        <v/>
      </c>
      <c r="B272">
        <f>HYPERLINK("https://app.optiwise.ai/catalog/itemdetails/361634", "Sun Blocker Unisex Sun Hat with Neck Flap Wide Brim Outdoor Camping Hiking Hunting Fishing Cap for Men Women, Tan")</f>
        <v/>
      </c>
      <c r="C272" t="inlineStr">
        <is>
          <t>KC-S9152-TN</t>
        </is>
      </c>
      <c r="D272" t="inlineStr">
        <is>
          <t>Clothing</t>
        </is>
      </c>
      <c r="E272" t="inlineStr">
        <is>
          <t>Hats</t>
        </is>
      </c>
      <c r="F272" t="inlineStr">
        <is>
          <t>Tirrinia</t>
        </is>
      </c>
      <c r="G272" t="n">
        <v>4.7</v>
      </c>
      <c r="H272" t="n">
        <v>56</v>
      </c>
      <c r="I272" t="inlineStr">
        <is>
          <t>Q2-Target,WFS,Hats,WFS Item</t>
        </is>
      </c>
      <c r="J272" s="29" t="n">
        <v>102.93</v>
      </c>
      <c r="K272" s="30" t="n">
        <v>0.0009</v>
      </c>
      <c r="L272" s="29" t="n">
        <v>31.97999954223633</v>
      </c>
      <c r="M272" s="29" t="n">
        <v>0</v>
      </c>
      <c r="N272" s="2" t="n">
        <v>6</v>
      </c>
      <c r="O272" s="31" t="n">
        <v>0</v>
      </c>
      <c r="P272" s="32" t="n"/>
      <c r="Q272" s="32" t="n">
        <v>0</v>
      </c>
      <c r="R272" s="32" t="n">
        <v>0.1452</v>
      </c>
      <c r="S272" s="31" t="n">
        <v>0</v>
      </c>
      <c r="T272" s="32" t="n">
        <v>0</v>
      </c>
      <c r="U272" s="31" t="n">
        <v>0</v>
      </c>
      <c r="V272" s="31" t="n">
        <v>0</v>
      </c>
      <c r="W272" s="3" t="n">
        <v>0</v>
      </c>
      <c r="X272" s="3" t="n">
        <v>0</v>
      </c>
      <c r="Y272" s="32" t="n">
        <v>0</v>
      </c>
      <c r="Z272" s="3" t="n">
        <v>0</v>
      </c>
      <c r="AA272" s="32" t="n">
        <v>0</v>
      </c>
      <c r="AB272" s="3" t="n"/>
      <c r="AC272" s="31" t="n">
        <v>0</v>
      </c>
      <c r="AD272" s="2" t="n">
        <v>17</v>
      </c>
      <c r="AE272" s="2" t="n">
        <v>197</v>
      </c>
      <c r="AF272" s="4" t="n">
        <v>197</v>
      </c>
      <c r="AG272" s="33" t="n">
        <v>102.93</v>
      </c>
      <c r="AH272" s="4" t="n">
        <v>6</v>
      </c>
      <c r="AI272" s="34" t="n">
        <v>0.0305</v>
      </c>
      <c r="AJ272" s="34" t="n">
        <v>1</v>
      </c>
      <c r="AK272" s="2" t="n">
        <v>2250</v>
      </c>
      <c r="AL272" t="inlineStr">
        <is>
          <t>Published</t>
        </is>
      </c>
    </row>
    <row r="273">
      <c r="A273">
        <f>HYPERLINK("https://www.walmart.com/ip/1023440539", "1023440539")</f>
        <v/>
      </c>
      <c r="B273">
        <f>HYPERLINK("https://app.optiwise.ai/catalog/itemdetails/6051361", "Tirrinia Insulated Lunch Bag, Leakproof Thermal Bento Cooler Tote for Women and Men, Dual Compartment with Shoulder Strap, 10.2 x 7.5 x 9, Gray")</f>
        <v/>
      </c>
      <c r="C273" t="inlineStr">
        <is>
          <t>1TRLB601GY</t>
        </is>
      </c>
      <c r="D273" t="inlineStr">
        <is>
          <t>Home Decor, Kitchen, &amp; Other</t>
        </is>
      </c>
      <c r="E273" t="inlineStr">
        <is>
          <t>Reusable Lunch Bags &amp; Boxes</t>
        </is>
      </c>
      <c r="F273" t="inlineStr">
        <is>
          <t>Tirrinia</t>
        </is>
      </c>
      <c r="G273" t="n">
        <v>4.4</v>
      </c>
      <c r="H273" t="n">
        <v>70</v>
      </c>
      <c r="I273" t="inlineStr">
        <is>
          <t>Q2-Target</t>
        </is>
      </c>
      <c r="J273" s="29" t="n">
        <v>101.94</v>
      </c>
      <c r="K273" s="30" t="n">
        <v>0.0009</v>
      </c>
      <c r="L273" s="29" t="n">
        <v>0</v>
      </c>
      <c r="M273" s="29" t="n">
        <v>0</v>
      </c>
      <c r="N273" s="2" t="n">
        <v>5</v>
      </c>
      <c r="O273" s="31" t="n">
        <v>0</v>
      </c>
      <c r="P273" s="32" t="n"/>
      <c r="Q273" s="32" t="n">
        <v>0</v>
      </c>
      <c r="R273" s="32" t="n">
        <v>0.5918</v>
      </c>
      <c r="S273" s="31" t="n">
        <v>0</v>
      </c>
      <c r="T273" s="32" t="n">
        <v>0</v>
      </c>
      <c r="U273" s="31" t="n">
        <v>0</v>
      </c>
      <c r="V273" s="31" t="n">
        <v>0</v>
      </c>
      <c r="W273" s="3" t="n">
        <v>0</v>
      </c>
      <c r="X273" s="3" t="n">
        <v>0</v>
      </c>
      <c r="Y273" s="32" t="n">
        <v>0</v>
      </c>
      <c r="Z273" s="3" t="n">
        <v>0</v>
      </c>
      <c r="AA273" s="32" t="n">
        <v>0</v>
      </c>
      <c r="AB273" s="3" t="n"/>
      <c r="AC273" s="31" t="n">
        <v>0</v>
      </c>
      <c r="AD273" s="2" t="n">
        <v>34</v>
      </c>
      <c r="AE273" s="2" t="n">
        <v>78</v>
      </c>
      <c r="AF273" s="4" t="n">
        <v>78</v>
      </c>
      <c r="AG273" s="33" t="n">
        <v>101.94</v>
      </c>
      <c r="AH273" s="4" t="n">
        <v>5</v>
      </c>
      <c r="AI273" s="34" t="n">
        <v>0.0641</v>
      </c>
      <c r="AJ273" s="34" t="n">
        <v>1</v>
      </c>
      <c r="AK273" s="2" t="n">
        <v>2835</v>
      </c>
      <c r="AL273" t="inlineStr">
        <is>
          <t>Published</t>
        </is>
      </c>
    </row>
    <row r="274">
      <c r="A274">
        <f>HYPERLINK("https://www.walmart.com/ip/1276189469", "1276189469")</f>
        <v/>
      </c>
      <c r="B274">
        <f>HYPERLINK("https://app.optiwise.ai/catalog/itemdetails/895804", "Catalonia Waterproof Blanket for Couch, Reversible Washable Sofa Bed Coverlet Protector, Leak Proof, Comfortable Blanket for People and Pets, Grey/Grey, 60 x 80")</f>
        <v/>
      </c>
      <c r="C274" t="inlineStr">
        <is>
          <t>1CTBW685LGDG</t>
        </is>
      </c>
      <c r="D274" t="inlineStr">
        <is>
          <t>Home Decor, Kitchen, &amp; Other</t>
        </is>
      </c>
      <c r="E274" t="inlineStr">
        <is>
          <t>Throws</t>
        </is>
      </c>
      <c r="F274" t="inlineStr">
        <is>
          <t>Catalonia</t>
        </is>
      </c>
      <c r="G274" t="n">
        <v>0</v>
      </c>
      <c r="H274" t="n">
        <v>0</v>
      </c>
      <c r="I274" t="inlineStr">
        <is>
          <t>Q2-Target,Wproof Blanket,Batch 1 - TR</t>
        </is>
      </c>
      <c r="J274" s="29" t="n">
        <v>99.98</v>
      </c>
      <c r="K274" s="30" t="n">
        <v>0.0009</v>
      </c>
      <c r="L274" s="29" t="n">
        <v>0</v>
      </c>
      <c r="M274" s="29" t="n">
        <v>0</v>
      </c>
      <c r="N274" s="2" t="n">
        <v>2</v>
      </c>
      <c r="O274" s="31" t="n">
        <v>0</v>
      </c>
      <c r="P274" s="32" t="n"/>
      <c r="Q274" s="32" t="n">
        <v>0</v>
      </c>
      <c r="R274" s="32" t="n">
        <v>0.0073</v>
      </c>
      <c r="S274" s="31" t="n">
        <v>0</v>
      </c>
      <c r="T274" s="32" t="n">
        <v>0</v>
      </c>
      <c r="U274" s="31" t="n">
        <v>0</v>
      </c>
      <c r="V274" s="31" t="n">
        <v>0</v>
      </c>
      <c r="W274" s="3" t="n">
        <v>1010</v>
      </c>
      <c r="X274" s="3" t="n">
        <v>0</v>
      </c>
      <c r="Y274" s="32" t="n">
        <v>0</v>
      </c>
      <c r="Z274" s="3" t="n">
        <v>0</v>
      </c>
      <c r="AA274" s="32" t="n">
        <v>0</v>
      </c>
      <c r="AB274" s="3" t="inlineStr">
        <is>
          <t>All Items_Auto_Optiwise_24</t>
        </is>
      </c>
      <c r="AC274" s="31" t="n">
        <v>0</v>
      </c>
      <c r="AD274" s="2" t="n">
        <v>30</v>
      </c>
      <c r="AE274" s="2" t="n">
        <v>185</v>
      </c>
      <c r="AF274" s="4" t="n">
        <v>185</v>
      </c>
      <c r="AG274" s="33" t="n">
        <v>99.98</v>
      </c>
      <c r="AH274" s="4" t="n">
        <v>2</v>
      </c>
      <c r="AI274" s="34" t="n">
        <v>0.0108</v>
      </c>
      <c r="AJ274" s="34" t="n">
        <v>1</v>
      </c>
      <c r="AK274" s="2" t="n">
        <v>6750</v>
      </c>
      <c r="AL274" t="inlineStr">
        <is>
          <t>Published</t>
        </is>
      </c>
    </row>
    <row r="275">
      <c r="A275">
        <f>HYPERLINK("https://www.walmart.com/ip/3351048837", "3351048837")</f>
        <v/>
      </c>
      <c r="B275">
        <f>HYPERLINK("https://app.optiwise.ai/catalog/itemdetails/7386267", "Kato Outdoors Waterproof Throw Blanket, Sherpa Fleece Stadium Windproof Mat For Traveling, Camping, Hiking, Football - Machine Washable, Light Gray, 51x 59.")</f>
        <v/>
      </c>
      <c r="C275" t="inlineStr">
        <is>
          <t>1KTBW506LGDG</t>
        </is>
      </c>
      <c r="D275" t="inlineStr">
        <is>
          <t>Bedding</t>
        </is>
      </c>
      <c r="E275" t="inlineStr">
        <is>
          <t>Throws</t>
        </is>
      </c>
      <c r="F275" t="inlineStr">
        <is>
          <t>Kato</t>
        </is>
      </c>
      <c r="G275" t="n">
        <v>0</v>
      </c>
      <c r="H275" t="n">
        <v>0</v>
      </c>
      <c r="I275" t="inlineStr">
        <is>
          <t>Q2-Target</t>
        </is>
      </c>
      <c r="J275" s="29" t="n">
        <v>99.95999999999999</v>
      </c>
      <c r="K275" s="30" t="n">
        <v>0.0009</v>
      </c>
      <c r="L275" s="29" t="n">
        <v>49.97999954223633</v>
      </c>
      <c r="M275" s="29" t="n">
        <v>0</v>
      </c>
      <c r="N275" s="2" t="n">
        <v>4</v>
      </c>
      <c r="O275" s="31" t="n">
        <v>18.81999999999999</v>
      </c>
      <c r="P275" s="32" t="n">
        <v>0.0023</v>
      </c>
      <c r="Q275" s="32" t="n">
        <v>0.1883</v>
      </c>
      <c r="R275" s="32" t="n">
        <v>0.047</v>
      </c>
      <c r="S275" s="31" t="n">
        <v>5.31</v>
      </c>
      <c r="T275" s="32" t="n">
        <v>0.19</v>
      </c>
      <c r="U275" s="31" t="n">
        <v>99.95999999999999</v>
      </c>
      <c r="V275" s="31" t="n">
        <v>99.95999999999999</v>
      </c>
      <c r="W275" s="3" t="n">
        <v>16279</v>
      </c>
      <c r="X275" s="3" t="n">
        <v>63</v>
      </c>
      <c r="Y275" s="32" t="n">
        <v>0.0039</v>
      </c>
      <c r="Z275" s="3" t="n">
        <v>4</v>
      </c>
      <c r="AA275" s="32" t="n">
        <v>0.0635</v>
      </c>
      <c r="AB275" s="3" t="inlineStr">
        <is>
          <t>Throws_Auto_Optiwise_24</t>
        </is>
      </c>
      <c r="AC275" s="31" t="n">
        <v>0.3</v>
      </c>
      <c r="AD275" s="2" t="n">
        <v>7</v>
      </c>
      <c r="AE275" s="2" t="n">
        <v>59</v>
      </c>
      <c r="AF275" s="4" t="inlineStr">
        <is>
          <t>NA</t>
        </is>
      </c>
      <c r="AG275" s="33" t="n">
        <v>0</v>
      </c>
      <c r="AH275" s="4" t="n">
        <v>0</v>
      </c>
      <c r="AI275" s="34" t="inlineStr">
        <is>
          <t>NA</t>
        </is>
      </c>
      <c r="AJ275" s="34" t="n">
        <v>0</v>
      </c>
      <c r="AK275" s="2" t="n">
        <v>3510</v>
      </c>
      <c r="AL275" t="inlineStr">
        <is>
          <t>Published</t>
        </is>
      </c>
    </row>
    <row r="276">
      <c r="A276">
        <f>HYPERLINK("https://www.walmart.com/ip/269524016", "269524016")</f>
        <v/>
      </c>
      <c r="B276">
        <f>HYPERLINK("https://app.optiwise.ai/catalog/itemdetails/418770", "Kritter Planet Waterproof Dog Blanket for Couch, Washable Pet Couch Cover, Non-slip Bed Sofa Furniture Protector Mat, Latte, 60''x50''.")</f>
        <v/>
      </c>
      <c r="C276" t="inlineStr">
        <is>
          <t>1KPBW566LT</t>
        </is>
      </c>
      <c r="D276" t="inlineStr">
        <is>
          <t>Animal Accessories</t>
        </is>
      </c>
      <c r="E276" t="inlineStr">
        <is>
          <t>Pet Blankets</t>
        </is>
      </c>
      <c r="F276" t="inlineStr">
        <is>
          <t>Kritter Planet</t>
        </is>
      </c>
      <c r="G276" t="n">
        <v>0</v>
      </c>
      <c r="H276" t="n">
        <v>0</v>
      </c>
      <c r="I276" t="inlineStr">
        <is>
          <t>Q2-Target,Optimized</t>
        </is>
      </c>
      <c r="J276" s="29" t="n">
        <v>99.95</v>
      </c>
      <c r="K276" s="30" t="n">
        <v>0.0009</v>
      </c>
      <c r="L276" s="29" t="n">
        <v>39.97999954223633</v>
      </c>
      <c r="M276" s="29" t="n">
        <v>0</v>
      </c>
      <c r="N276" s="2" t="n">
        <v>5</v>
      </c>
      <c r="O276" s="31" t="n">
        <v>28.6</v>
      </c>
      <c r="P276" s="32" t="n">
        <v>0.0034</v>
      </c>
      <c r="Q276" s="32" t="n">
        <v>0.2861</v>
      </c>
      <c r="R276" s="32" t="n">
        <v>0</v>
      </c>
      <c r="S276" s="31" t="n">
        <v>2.94</v>
      </c>
      <c r="T276" s="32" t="n">
        <v>0.34</v>
      </c>
      <c r="U276" s="31" t="n">
        <v>83.95999999999999</v>
      </c>
      <c r="V276" s="31" t="n">
        <v>83.95999999999999</v>
      </c>
      <c r="W276" s="3" t="n">
        <v>33906</v>
      </c>
      <c r="X276" s="3" t="n">
        <v>74</v>
      </c>
      <c r="Y276" s="32" t="n">
        <v>0.0022</v>
      </c>
      <c r="Z276" s="3" t="n">
        <v>4</v>
      </c>
      <c r="AA276" s="32" t="n">
        <v>0.0541</v>
      </c>
      <c r="AB276" s="3" t="inlineStr">
        <is>
          <t>Auto for BW PET 2 ---Rachel,Pet Blankets_Auto_Optiwise_24</t>
        </is>
      </c>
      <c r="AC276" s="31" t="n">
        <v>0.39</v>
      </c>
      <c r="AD276" s="2" t="n">
        <v>44</v>
      </c>
      <c r="AE276" s="2" t="n">
        <v>84</v>
      </c>
      <c r="AF276" s="4" t="n">
        <v>10</v>
      </c>
      <c r="AG276" s="33" t="n">
        <v>15.99000000000001</v>
      </c>
      <c r="AH276" s="4" t="n">
        <v>1</v>
      </c>
      <c r="AI276" s="34" t="n">
        <v>0.1</v>
      </c>
      <c r="AJ276" s="34" t="n">
        <v>0.16</v>
      </c>
      <c r="AK276" s="2" t="n">
        <v>2700</v>
      </c>
      <c r="AL276" t="inlineStr">
        <is>
          <t>Published</t>
        </is>
      </c>
    </row>
    <row r="277">
      <c r="A277">
        <f>HYPERLINK("https://www.walmart.com/ip/685026506", "685026506")</f>
        <v/>
      </c>
      <c r="B277">
        <f>HYPERLINK("https://app.optiwise.ai/catalog/itemdetails/360606", "Outdoor Wide Brim Sun Hats Blocking UV Protection Cap UPF 50+ Foldable Mesh Net for Finishing, Hiking, Camping by Solari")</f>
        <v/>
      </c>
      <c r="C277" t="inlineStr">
        <is>
          <t>1SLSH911GY</t>
        </is>
      </c>
      <c r="D277" t="inlineStr">
        <is>
          <t>Clothing</t>
        </is>
      </c>
      <c r="E277" t="inlineStr">
        <is>
          <t>Hats</t>
        </is>
      </c>
      <c r="F277" t="inlineStr">
        <is>
          <t>Solaris</t>
        </is>
      </c>
      <c r="G277" t="n">
        <v>4.4</v>
      </c>
      <c r="H277" t="n">
        <v>38</v>
      </c>
      <c r="I277" t="inlineStr">
        <is>
          <t>Q2-Target,WFS,Hats,SEM,WFS Item</t>
        </is>
      </c>
      <c r="J277" s="29" t="n">
        <v>99.95</v>
      </c>
      <c r="K277" s="30" t="n">
        <v>0.0009</v>
      </c>
      <c r="L277" s="29" t="n">
        <v>39.97999954223633</v>
      </c>
      <c r="M277" s="29" t="n">
        <v>0</v>
      </c>
      <c r="N277" s="2" t="n">
        <v>5</v>
      </c>
      <c r="O277" s="31" t="n">
        <v>0</v>
      </c>
      <c r="P277" s="32" t="n"/>
      <c r="Q277" s="32" t="n">
        <v>0</v>
      </c>
      <c r="R277" s="32" t="n">
        <v>0.7752</v>
      </c>
      <c r="S277" s="31" t="n">
        <v>0</v>
      </c>
      <c r="T277" s="32" t="n">
        <v>0</v>
      </c>
      <c r="U277" s="31" t="n">
        <v>0</v>
      </c>
      <c r="V277" s="31" t="n">
        <v>0</v>
      </c>
      <c r="W277" s="3" t="n">
        <v>0</v>
      </c>
      <c r="X277" s="3" t="n">
        <v>0</v>
      </c>
      <c r="Y277" s="32" t="n">
        <v>0</v>
      </c>
      <c r="Z277" s="3" t="n">
        <v>0</v>
      </c>
      <c r="AA277" s="32" t="n">
        <v>0</v>
      </c>
      <c r="AB277" s="3" t="n"/>
      <c r="AC277" s="31" t="n">
        <v>0</v>
      </c>
      <c r="AD277" s="2" t="n">
        <v>103</v>
      </c>
      <c r="AE277" s="2" t="n">
        <v>176</v>
      </c>
      <c r="AF277" s="4" t="n">
        <v>176</v>
      </c>
      <c r="AG277" s="33" t="n">
        <v>99.95</v>
      </c>
      <c r="AH277" s="4" t="n">
        <v>5</v>
      </c>
      <c r="AI277" s="34" t="n">
        <v>0.0284</v>
      </c>
      <c r="AJ277" s="34" t="n">
        <v>1</v>
      </c>
      <c r="AK277" s="2" t="n">
        <v>2700</v>
      </c>
      <c r="AL277" t="inlineStr">
        <is>
          <t>Published</t>
        </is>
      </c>
    </row>
    <row r="278">
      <c r="A278">
        <f>HYPERLINK("https://www.walmart.com/ip/13221202706", "13221202706")</f>
        <v/>
      </c>
      <c r="B278">
        <f>HYPERLINK("https://app.optiwise.ai/catalog/itemdetails/12909180", "Wrangler Slim Genuine Leather AirTag Wallet for Men - Bifold RFID Blocking Design with Hidden AirTag Holder")</f>
        <v/>
      </c>
      <c r="C278" t="inlineStr">
        <is>
          <t>WR-WA49012AQCOGOS</t>
        </is>
      </c>
      <c r="D278" t="inlineStr">
        <is>
          <t>Cases &amp; Bags</t>
        </is>
      </c>
      <c r="E278" t="inlineStr">
        <is>
          <t>Wallets</t>
        </is>
      </c>
      <c r="F278" t="inlineStr">
        <is>
          <t>Wrangler</t>
        </is>
      </c>
      <c r="G278" t="n">
        <v>4.3</v>
      </c>
      <c r="H278" t="n">
        <v>3</v>
      </c>
      <c r="J278" s="29" t="n">
        <v>99.92</v>
      </c>
      <c r="K278" s="30" t="n">
        <v>0.0009</v>
      </c>
      <c r="L278" s="29" t="n">
        <v>0</v>
      </c>
      <c r="M278" s="29" t="n">
        <v>0</v>
      </c>
      <c r="N278" s="2" t="n">
        <v>4</v>
      </c>
      <c r="O278" s="31" t="n">
        <v>0</v>
      </c>
      <c r="P278" s="32" t="n"/>
      <c r="Q278" s="32" t="n">
        <v>0</v>
      </c>
      <c r="R278" s="32" t="n">
        <v>0.3105</v>
      </c>
      <c r="S278" s="31" t="n">
        <v>0</v>
      </c>
      <c r="T278" s="32" t="n">
        <v>0</v>
      </c>
      <c r="U278" s="31" t="n">
        <v>0</v>
      </c>
      <c r="V278" s="31" t="n">
        <v>0</v>
      </c>
      <c r="W278" s="3" t="n">
        <v>1</v>
      </c>
      <c r="X278" s="3" t="n">
        <v>0</v>
      </c>
      <c r="Y278" s="32" t="n">
        <v>0</v>
      </c>
      <c r="Z278" s="3" t="n">
        <v>0</v>
      </c>
      <c r="AA278" s="32" t="n">
        <v>0</v>
      </c>
      <c r="AB278" s="3" t="inlineStr">
        <is>
          <t>Wallet Campaign</t>
        </is>
      </c>
      <c r="AC278" s="31" t="n">
        <v>0</v>
      </c>
      <c r="AD278" s="2" t="n">
        <v>84</v>
      </c>
      <c r="AE278" s="2" t="n">
        <v>68</v>
      </c>
      <c r="AF278" s="4" t="n">
        <v>68</v>
      </c>
      <c r="AG278" s="33" t="n">
        <v>99.92</v>
      </c>
      <c r="AH278" s="4" t="n">
        <v>4</v>
      </c>
      <c r="AI278" s="34" t="n">
        <v>0.0588</v>
      </c>
      <c r="AJ278" s="34" t="n">
        <v>1</v>
      </c>
      <c r="AK278" s="2" t="n">
        <v>3375</v>
      </c>
      <c r="AL278" t="inlineStr">
        <is>
          <t>Published</t>
        </is>
      </c>
    </row>
    <row r="279">
      <c r="A279">
        <f>HYPERLINK("https://www.walmart.com/ip/857437937", "857437937")</f>
        <v/>
      </c>
      <c r="B279">
        <f>HYPERLINK("https://app.optiwise.ai/catalog/itemdetails/361006", "Tirrinia  Womens Wide Brim Bucket Hats UPF 50+ Outdoor Gardening Sun Caps Khaki")</f>
        <v/>
      </c>
      <c r="C279" t="inlineStr">
        <is>
          <t>1TRSH189KK-TBCB</t>
        </is>
      </c>
      <c r="D279" t="inlineStr">
        <is>
          <t>Clothing</t>
        </is>
      </c>
      <c r="E279" t="inlineStr">
        <is>
          <t>Hats</t>
        </is>
      </c>
      <c r="F279" t="inlineStr">
        <is>
          <t>Tirrinia</t>
        </is>
      </c>
      <c r="G279" t="n">
        <v>4.8</v>
      </c>
      <c r="H279" t="n">
        <v>5</v>
      </c>
      <c r="I279" t="inlineStr">
        <is>
          <t>Batch 1 - TR</t>
        </is>
      </c>
      <c r="J279" s="29" t="n">
        <v>99.90000000000001</v>
      </c>
      <c r="K279" s="30" t="n">
        <v>0.0009</v>
      </c>
      <c r="L279" s="29" t="n">
        <v>0</v>
      </c>
      <c r="M279" s="29" t="n">
        <v>0</v>
      </c>
      <c r="N279" s="2" t="n">
        <v>10</v>
      </c>
      <c r="O279" s="31" t="n">
        <v>0</v>
      </c>
      <c r="P279" s="32" t="n"/>
      <c r="Q279" s="32" t="n">
        <v>0</v>
      </c>
      <c r="R279" s="32" t="n">
        <v>0.0871</v>
      </c>
      <c r="S279" s="31" t="n">
        <v>0</v>
      </c>
      <c r="T279" s="32" t="n">
        <v>0</v>
      </c>
      <c r="U279" s="31" t="n">
        <v>0</v>
      </c>
      <c r="V279" s="31" t="n">
        <v>0</v>
      </c>
      <c r="W279" s="3" t="n">
        <v>0</v>
      </c>
      <c r="X279" s="3" t="n">
        <v>0</v>
      </c>
      <c r="Y279" s="32" t="n">
        <v>0</v>
      </c>
      <c r="Z279" s="3" t="n">
        <v>0</v>
      </c>
      <c r="AA279" s="32" t="n">
        <v>0</v>
      </c>
      <c r="AB279" s="3" t="n"/>
      <c r="AC279" s="31" t="n">
        <v>0</v>
      </c>
      <c r="AD279" s="2" t="n">
        <v>0</v>
      </c>
      <c r="AE279" s="2" t="n">
        <v>57</v>
      </c>
      <c r="AF279" s="4" t="n">
        <v>57</v>
      </c>
      <c r="AG279" s="33" t="n">
        <v>99.90000000000001</v>
      </c>
      <c r="AH279" s="4" t="n">
        <v>10</v>
      </c>
      <c r="AI279" s="34" t="n">
        <v>0.1754</v>
      </c>
      <c r="AJ279" s="34" t="n">
        <v>1</v>
      </c>
      <c r="AK279" s="2" t="n">
        <v>972</v>
      </c>
      <c r="AL279" t="inlineStr">
        <is>
          <t>Published</t>
        </is>
      </c>
    </row>
    <row r="280">
      <c r="A280">
        <f>HYPERLINK("https://www.walmart.com/ip/685992579", "685992579")</f>
        <v/>
      </c>
      <c r="B280">
        <f>HYPERLINK("https://app.optiwise.ai/catalog/itemdetails/362297", "Sun Hat for Women Wide Brim Summer Beach Hat with Neck Flap, UPF 50+ Fishing Hat for Hiking Beach, Purple")</f>
        <v/>
      </c>
      <c r="C280" t="inlineStr">
        <is>
          <t>1SLSH921PP</t>
        </is>
      </c>
      <c r="D280" t="inlineStr">
        <is>
          <t>Clothing</t>
        </is>
      </c>
      <c r="E280" t="inlineStr">
        <is>
          <t>Hats</t>
        </is>
      </c>
      <c r="F280" t="inlineStr">
        <is>
          <t>Solaris</t>
        </is>
      </c>
      <c r="G280" t="n">
        <v>4.5</v>
      </c>
      <c r="H280" t="n">
        <v>51</v>
      </c>
      <c r="I280" t="inlineStr">
        <is>
          <t>Q2-Target,Hats,Batch 1 - TR</t>
        </is>
      </c>
      <c r="J280" s="29" t="n">
        <v>99.56</v>
      </c>
      <c r="K280" s="30" t="n">
        <v>0.0009</v>
      </c>
      <c r="L280" s="29" t="n">
        <v>31.97999954223633</v>
      </c>
      <c r="M280" s="29" t="n">
        <v>0</v>
      </c>
      <c r="N280" s="2" t="n">
        <v>6</v>
      </c>
      <c r="O280" s="31" t="n">
        <v>58.37000000000001</v>
      </c>
      <c r="P280" s="32" t="n">
        <v>0.007</v>
      </c>
      <c r="Q280" s="32" t="n">
        <v>0.5863</v>
      </c>
      <c r="R280" s="32" t="n">
        <v>0.1123</v>
      </c>
      <c r="S280" s="31" t="n">
        <v>1.46</v>
      </c>
      <c r="T280" s="32" t="n">
        <v>0.6899999999999999</v>
      </c>
      <c r="U280" s="31" t="n">
        <v>84.94999999999999</v>
      </c>
      <c r="V280" s="31" t="n">
        <v>50.97</v>
      </c>
      <c r="W280" s="3" t="n">
        <v>72650</v>
      </c>
      <c r="X280" s="3" t="n">
        <v>162</v>
      </c>
      <c r="Y280" s="32" t="n">
        <v>0.0022</v>
      </c>
      <c r="Z280" s="3" t="n">
        <v>5</v>
      </c>
      <c r="AA280" s="32" t="n">
        <v>0.0309</v>
      </c>
      <c r="AB280" s="3" t="inlineStr">
        <is>
          <t>Need to sell these SKUs by 15th Feb</t>
        </is>
      </c>
      <c r="AC280" s="31" t="n">
        <v>0.36</v>
      </c>
      <c r="AD280" s="2" t="n">
        <v>58</v>
      </c>
      <c r="AE280" s="2" t="n">
        <v>97</v>
      </c>
      <c r="AF280" s="4" t="inlineStr">
        <is>
          <t>NA</t>
        </is>
      </c>
      <c r="AG280" s="33" t="n">
        <v>14.61000000000001</v>
      </c>
      <c r="AH280" s="4" t="n">
        <v>1</v>
      </c>
      <c r="AI280" s="34" t="inlineStr">
        <is>
          <t>NA</t>
        </is>
      </c>
      <c r="AJ280" s="34" t="n">
        <v>0.1467</v>
      </c>
      <c r="AK280" s="2" t="n">
        <v>2452</v>
      </c>
      <c r="AL280" t="inlineStr">
        <is>
          <t>Published</t>
        </is>
      </c>
    </row>
    <row r="281">
      <c r="A281">
        <f>HYPERLINK("https://www.walmart.com/ip/526553094", "526553094")</f>
        <v/>
      </c>
      <c r="B281">
        <f>HYPERLINK("https://app.optiwise.ai/catalog/itemdetails/361269", "Catalonia Sherpa Wearable Blanket Poncho for Adult Women Men, Wrap Blanket Cape with Pocket, Warm, Soft, Cozy, Snuggly, Comfort Gift, No Sleeves, Navy")</f>
        <v/>
      </c>
      <c r="C281" t="inlineStr">
        <is>
          <t>1CTBP110NY</t>
        </is>
      </c>
      <c r="D281" t="inlineStr">
        <is>
          <t>Bedding</t>
        </is>
      </c>
      <c r="E281" t="inlineStr">
        <is>
          <t>Throws</t>
        </is>
      </c>
      <c r="F281" t="inlineStr">
        <is>
          <t>Catalonia</t>
        </is>
      </c>
      <c r="G281" t="n">
        <v>0</v>
      </c>
      <c r="H281" t="n">
        <v>0</v>
      </c>
      <c r="I281" t="inlineStr">
        <is>
          <t>Hero 5 Holidays,WFS,WFS Item</t>
        </is>
      </c>
      <c r="J281" s="29" t="n">
        <v>98.97</v>
      </c>
      <c r="K281" s="30" t="n">
        <v>0.0009</v>
      </c>
      <c r="L281" s="29" t="n">
        <v>0</v>
      </c>
      <c r="M281" s="29" t="n">
        <v>0</v>
      </c>
      <c r="N281" s="2" t="n">
        <v>3</v>
      </c>
      <c r="O281" s="31" t="n">
        <v>143.1600000000001</v>
      </c>
      <c r="P281" s="32" t="n">
        <v>0.0172</v>
      </c>
      <c r="Q281" s="32" t="n">
        <v>1.4465</v>
      </c>
      <c r="R281" s="32" t="n">
        <v>0.2563</v>
      </c>
      <c r="S281" s="31" t="n">
        <v>1.77</v>
      </c>
      <c r="T281" s="32" t="n">
        <v>0.57</v>
      </c>
      <c r="U281" s="31" t="n">
        <v>252.92</v>
      </c>
      <c r="V281" s="31" t="n">
        <v>230.93</v>
      </c>
      <c r="W281" s="3" t="n">
        <v>183842</v>
      </c>
      <c r="X281" s="3" t="n">
        <v>364</v>
      </c>
      <c r="Y281" s="32" t="n">
        <v>0.002</v>
      </c>
      <c r="Z281" s="3" t="n">
        <v>8</v>
      </c>
      <c r="AA281" s="32" t="n">
        <v>0.022</v>
      </c>
      <c r="AB281" s="3" t="inlineStr">
        <is>
          <t>Snuggly_Auto</t>
        </is>
      </c>
      <c r="AC281" s="31" t="n">
        <v>0.39</v>
      </c>
      <c r="AD281" s="2" t="n">
        <v>101</v>
      </c>
      <c r="AE281" s="2" t="n">
        <v>114</v>
      </c>
      <c r="AF281" s="4" t="inlineStr">
        <is>
          <t>NA</t>
        </is>
      </c>
      <c r="AG281" s="33" t="n">
        <v>-153.95</v>
      </c>
      <c r="AH281" s="4" t="n">
        <v>-5</v>
      </c>
      <c r="AI281" s="34" t="inlineStr">
        <is>
          <t>NA</t>
        </is>
      </c>
      <c r="AJ281" s="34" t="n">
        <v>-1.5555</v>
      </c>
      <c r="AK281" s="2" t="n">
        <v>4590</v>
      </c>
      <c r="AL281" t="inlineStr">
        <is>
          <t>Published</t>
        </is>
      </c>
    </row>
    <row r="282">
      <c r="A282">
        <f>HYPERLINK("https://www.walmart.com/ip/797276188", "797276188")</f>
        <v/>
      </c>
      <c r="B282">
        <f>HYPERLINK("https://app.optiwise.ai/catalog/itemdetails/362104", "Catalonia Sherpa Wearable Blanket Poncho for Adult Women Men, Wrap Blanket Cape with Pocket, Warm, Soft, Cozy, Snuggly, Comfort Gift, No Sleeves, Cow Print")</f>
        <v/>
      </c>
      <c r="C282" t="inlineStr">
        <is>
          <t>1CTBP110DMT</t>
        </is>
      </c>
      <c r="D282" t="inlineStr">
        <is>
          <t>Bedding</t>
        </is>
      </c>
      <c r="E282" t="inlineStr">
        <is>
          <t>Throws</t>
        </is>
      </c>
      <c r="F282" t="inlineStr">
        <is>
          <t>Catalonia</t>
        </is>
      </c>
      <c r="G282" t="n">
        <v>0</v>
      </c>
      <c r="H282" t="n">
        <v>0</v>
      </c>
      <c r="I282" t="inlineStr">
        <is>
          <t>Hero 5 Holidays,WFS,WFS Item</t>
        </is>
      </c>
      <c r="J282" s="29" t="n">
        <v>98.97</v>
      </c>
      <c r="K282" s="30" t="n">
        <v>0.0009</v>
      </c>
      <c r="L282" s="29" t="n">
        <v>0</v>
      </c>
      <c r="M282" s="29" t="n">
        <v>0</v>
      </c>
      <c r="N282" s="2" t="n">
        <v>3</v>
      </c>
      <c r="O282" s="31" t="n">
        <v>13.09</v>
      </c>
      <c r="P282" s="32" t="n">
        <v>0.0016</v>
      </c>
      <c r="Q282" s="32" t="n">
        <v>0.1323</v>
      </c>
      <c r="R282" s="32" t="n">
        <v>0.0301</v>
      </c>
      <c r="S282" s="31" t="n">
        <v>1.83</v>
      </c>
      <c r="T282" s="32" t="n">
        <v>0.55</v>
      </c>
      <c r="U282" s="31" t="n">
        <v>23.99</v>
      </c>
      <c r="V282" s="31" t="n">
        <v>23.99</v>
      </c>
      <c r="W282" s="3" t="n">
        <v>14410</v>
      </c>
      <c r="X282" s="3" t="n">
        <v>39</v>
      </c>
      <c r="Y282" s="32" t="n">
        <v>0.0027</v>
      </c>
      <c r="Z282" s="3" t="n">
        <v>1</v>
      </c>
      <c r="AA282" s="32" t="n">
        <v>0.0256</v>
      </c>
      <c r="AB282" s="3" t="inlineStr">
        <is>
          <t>Snuggly_Auto</t>
        </is>
      </c>
      <c r="AC282" s="31" t="n">
        <v>0.34</v>
      </c>
      <c r="AD282" s="2" t="n">
        <v>41</v>
      </c>
      <c r="AE282" s="2" t="n">
        <v>55</v>
      </c>
      <c r="AF282" s="4" t="n">
        <v>16</v>
      </c>
      <c r="AG282" s="33" t="n">
        <v>74.98</v>
      </c>
      <c r="AH282" s="4" t="n">
        <v>2</v>
      </c>
      <c r="AI282" s="34" t="n">
        <v>0.125</v>
      </c>
      <c r="AJ282" s="34" t="n">
        <v>0.7576000000000001</v>
      </c>
      <c r="AK282" s="2" t="n">
        <v>4500</v>
      </c>
      <c r="AL282" t="inlineStr">
        <is>
          <t>Published</t>
        </is>
      </c>
    </row>
    <row r="283">
      <c r="A283">
        <f>HYPERLINK("https://www.walmart.com/ip/2144882124", "2144882124")</f>
        <v/>
      </c>
      <c r="B283">
        <f>HYPERLINK("https://app.optiwise.ai/catalog/itemdetails/7386261", "Kato Outdoors Waterproof Blanket, Sherpa Fleece Stadium Windproof Throw Mat for Boat, Traveling, Camping, Hiking, and Football, Machine Washable, Orange, 59”x 79”.")</f>
        <v/>
      </c>
      <c r="C283" t="inlineStr">
        <is>
          <t>1KTBW608ORGY</t>
        </is>
      </c>
      <c r="D283" t="inlineStr">
        <is>
          <t>Bedding</t>
        </is>
      </c>
      <c r="E283" t="inlineStr">
        <is>
          <t>Picnic Blankets &amp; Mats</t>
        </is>
      </c>
      <c r="F283" t="inlineStr">
        <is>
          <t>Kato</t>
        </is>
      </c>
      <c r="G283" t="n">
        <v>0</v>
      </c>
      <c r="H283" t="n">
        <v>0</v>
      </c>
      <c r="I283" t="inlineStr">
        <is>
          <t>Q2-Target</t>
        </is>
      </c>
      <c r="J283" s="29" t="n">
        <v>98.97</v>
      </c>
      <c r="K283" s="30" t="n">
        <v>0.0009</v>
      </c>
      <c r="L283" s="29" t="n">
        <v>32.9900016784668</v>
      </c>
      <c r="M283" s="29" t="n">
        <v>0</v>
      </c>
      <c r="N283" s="2" t="n">
        <v>3</v>
      </c>
      <c r="O283" s="31" t="n">
        <v>1.5</v>
      </c>
      <c r="P283" s="32" t="n">
        <v>0.0002</v>
      </c>
      <c r="Q283" s="32" t="n">
        <v>0.0152</v>
      </c>
      <c r="R283" s="32" t="n">
        <v>0.0367</v>
      </c>
      <c r="S283" s="31" t="n">
        <v>21.99</v>
      </c>
      <c r="T283" s="32" t="n">
        <v>0.05</v>
      </c>
      <c r="U283" s="31" t="n">
        <v>32.99</v>
      </c>
      <c r="V283" s="31" t="n">
        <v>32.99</v>
      </c>
      <c r="W283" s="3" t="n">
        <v>5003</v>
      </c>
      <c r="X283" s="3" t="n">
        <v>6</v>
      </c>
      <c r="Y283" s="32" t="n">
        <v>0.0012</v>
      </c>
      <c r="Z283" s="3" t="n">
        <v>1</v>
      </c>
      <c r="AA283" s="32" t="n">
        <v>0.1667</v>
      </c>
      <c r="AB283" s="3" t="inlineStr">
        <is>
          <t>Throws_Auto_Optiwise_24</t>
        </is>
      </c>
      <c r="AC283" s="31" t="n">
        <v>0.25</v>
      </c>
      <c r="AD283" s="2" t="n">
        <v>25</v>
      </c>
      <c r="AE283" s="2" t="n">
        <v>37</v>
      </c>
      <c r="AF283" s="4" t="n">
        <v>31</v>
      </c>
      <c r="AG283" s="33" t="n">
        <v>65.97999999999999</v>
      </c>
      <c r="AH283" s="4" t="n">
        <v>2</v>
      </c>
      <c r="AI283" s="34" t="n">
        <v>0.0645</v>
      </c>
      <c r="AJ283" s="34" t="n">
        <v>0.6667</v>
      </c>
      <c r="AK283" s="2" t="n">
        <v>0</v>
      </c>
      <c r="AL283" t="inlineStr">
        <is>
          <t>Published</t>
        </is>
      </c>
    </row>
    <row r="284">
      <c r="A284">
        <f>HYPERLINK("https://www.walmart.com/ip/889841456", "889841456")</f>
        <v/>
      </c>
      <c r="B284">
        <f>HYPERLINK("https://app.optiwise.ai/catalog/itemdetails/362446", "Sports Running Belt Waist Bum Bag Fitness Jogging Cycling Phone Pouch Fanny Pack")</f>
        <v/>
      </c>
      <c r="C284" t="inlineStr">
        <is>
          <t>TRWB100CB-L</t>
        </is>
      </c>
      <c r="D284" t="inlineStr">
        <is>
          <t>Cases &amp; Bags</t>
        </is>
      </c>
      <c r="E284" t="inlineStr">
        <is>
          <t>Fanny Packs</t>
        </is>
      </c>
      <c r="F284" t="inlineStr">
        <is>
          <t>Terrania</t>
        </is>
      </c>
      <c r="G284" t="n">
        <v>0</v>
      </c>
      <c r="H284" t="n">
        <v>0</v>
      </c>
      <c r="I284" t="inlineStr">
        <is>
          <t>Batch 1 - TR</t>
        </is>
      </c>
      <c r="J284" s="29" t="n">
        <v>97.56999999999999</v>
      </c>
      <c r="K284" s="30" t="n">
        <v>0.0008</v>
      </c>
      <c r="L284" s="29" t="n">
        <v>19.97999954223633</v>
      </c>
      <c r="M284" s="29" t="n">
        <v>0</v>
      </c>
      <c r="N284" s="2" t="n">
        <v>11</v>
      </c>
      <c r="O284" s="31" t="n">
        <v>0</v>
      </c>
      <c r="P284" s="32" t="n"/>
      <c r="Q284" s="32" t="n">
        <v>0</v>
      </c>
      <c r="R284" s="32" t="n">
        <v>0</v>
      </c>
      <c r="S284" s="31" t="n">
        <v>0</v>
      </c>
      <c r="T284" s="32" t="n">
        <v>0</v>
      </c>
      <c r="U284" s="31" t="n">
        <v>0</v>
      </c>
      <c r="V284" s="31" t="n">
        <v>0</v>
      </c>
      <c r="W284" s="3" t="n">
        <v>0</v>
      </c>
      <c r="X284" s="3" t="n">
        <v>0</v>
      </c>
      <c r="Y284" s="32" t="n">
        <v>0</v>
      </c>
      <c r="Z284" s="3" t="n">
        <v>0</v>
      </c>
      <c r="AA284" s="32" t="n">
        <v>0</v>
      </c>
      <c r="AB284" s="3" t="n"/>
      <c r="AC284" s="31" t="n">
        <v>0</v>
      </c>
      <c r="AD284" s="2" t="n">
        <v>53</v>
      </c>
      <c r="AE284" s="2" t="n">
        <v>123</v>
      </c>
      <c r="AF284" s="4" t="n">
        <v>123</v>
      </c>
      <c r="AG284" s="33" t="n">
        <v>97.56999999999999</v>
      </c>
      <c r="AH284" s="4" t="n">
        <v>11</v>
      </c>
      <c r="AI284" s="34" t="n">
        <v>0.08939999999999999</v>
      </c>
      <c r="AJ284" s="34" t="n">
        <v>1</v>
      </c>
      <c r="AK284" s="2" t="n">
        <v>1227</v>
      </c>
      <c r="AL284" t="inlineStr">
        <is>
          <t>Published</t>
        </is>
      </c>
    </row>
    <row r="285">
      <c r="A285">
        <f>HYPERLINK("https://www.walmart.com/ip/376761992", "376761992")</f>
        <v/>
      </c>
      <c r="B285">
        <f>HYPERLINK("https://app.optiwise.ai/catalog/itemdetails/359136", "Tirrinia 6 Bottle Wine Cooler Bag, Insulated Padded Portable Versatile Wine Carrier Tote Bag for Travel, BYOB Restaurant, Wine Tasting, Party, Pecfect Gift for Wine Lover, Black")</f>
        <v/>
      </c>
      <c r="C285" t="inlineStr">
        <is>
          <t>1TRWB602BK</t>
        </is>
      </c>
      <c r="D285" t="inlineStr">
        <is>
          <t>Home Decor, Kitchen, &amp; Other</t>
        </is>
      </c>
      <c r="E285" t="inlineStr">
        <is>
          <t>Wine Totes, Bags &amp; Backpacks</t>
        </is>
      </c>
      <c r="F285" t="inlineStr">
        <is>
          <t>Tirrinia</t>
        </is>
      </c>
      <c r="G285" t="n">
        <v>0</v>
      </c>
      <c r="H285" t="n">
        <v>0</v>
      </c>
      <c r="I285" t="inlineStr">
        <is>
          <t>Wine,Christmas,WFS,Wine WFS,Valentine,WFS Item,Lily Brand Camp</t>
        </is>
      </c>
      <c r="J285" s="29" t="n">
        <v>95.95999999999999</v>
      </c>
      <c r="K285" s="30" t="n">
        <v>0.0008</v>
      </c>
      <c r="L285" s="29" t="n">
        <v>0</v>
      </c>
      <c r="M285" s="29" t="n">
        <v>0</v>
      </c>
      <c r="N285" s="2" t="n">
        <v>4</v>
      </c>
      <c r="O285" s="31" t="n">
        <v>3.28</v>
      </c>
      <c r="P285" s="32" t="n">
        <v>0.0004</v>
      </c>
      <c r="Q285" s="32" t="n">
        <v>0.0342</v>
      </c>
      <c r="R285" s="32" t="n">
        <v>0.037</v>
      </c>
      <c r="S285" s="31" t="n">
        <v>0</v>
      </c>
      <c r="T285" s="32" t="n">
        <v>0</v>
      </c>
      <c r="U285" s="31" t="n">
        <v>0</v>
      </c>
      <c r="V285" s="31" t="n">
        <v>0</v>
      </c>
      <c r="W285" s="3" t="n">
        <v>5332</v>
      </c>
      <c r="X285" s="3" t="n">
        <v>10</v>
      </c>
      <c r="Y285" s="32" t="n">
        <v>0.0019</v>
      </c>
      <c r="Z285" s="3" t="n">
        <v>0</v>
      </c>
      <c r="AA285" s="32" t="n">
        <v>0</v>
      </c>
      <c r="AB285" s="3" t="inlineStr">
        <is>
          <t>Auto Campaign_Vinay</t>
        </is>
      </c>
      <c r="AC285" s="31" t="n">
        <v>0.33</v>
      </c>
      <c r="AD285" s="2" t="n">
        <v>0</v>
      </c>
      <c r="AE285" s="2" t="n">
        <v>53</v>
      </c>
      <c r="AF285" s="4" t="n">
        <v>43</v>
      </c>
      <c r="AG285" s="33" t="n">
        <v>95.95999999999999</v>
      </c>
      <c r="AH285" s="4" t="n">
        <v>4</v>
      </c>
      <c r="AI285" s="34" t="n">
        <v>0.093</v>
      </c>
      <c r="AJ285" s="34" t="n">
        <v>1</v>
      </c>
      <c r="AK285" s="2" t="n">
        <v>3375</v>
      </c>
      <c r="AL285" t="inlineStr">
        <is>
          <t>Published</t>
        </is>
      </c>
    </row>
    <row r="286">
      <c r="A286">
        <f>HYPERLINK("https://www.walmart.com/ip/748370321", "748370321")</f>
        <v/>
      </c>
      <c r="B286">
        <f>HYPERLINK("https://app.optiwise.ai/catalog/itemdetails/360618", "Tirrinia Insulated Wine Tumbler, Rose Gold")</f>
        <v/>
      </c>
      <c r="C286" t="inlineStr">
        <is>
          <t>1TRWT120RG</t>
        </is>
      </c>
      <c r="D286" t="inlineStr">
        <is>
          <t>Home Decor, Kitchen, &amp; Other</t>
        </is>
      </c>
      <c r="E286" t="inlineStr">
        <is>
          <t>Tumblers</t>
        </is>
      </c>
      <c r="F286" t="inlineStr">
        <is>
          <t>Tirrinia</t>
        </is>
      </c>
      <c r="G286" t="n">
        <v>0</v>
      </c>
      <c r="H286" t="n">
        <v>0</v>
      </c>
      <c r="I286" t="inlineStr">
        <is>
          <t>Wine,Christmas,Optimized,Valentine</t>
        </is>
      </c>
      <c r="J286" s="29" t="n">
        <v>95.76000000000001</v>
      </c>
      <c r="K286" s="30" t="n">
        <v>0.0008</v>
      </c>
      <c r="L286" s="29" t="n">
        <v>0</v>
      </c>
      <c r="M286" s="29" t="n">
        <v>0</v>
      </c>
      <c r="N286" s="2" t="n">
        <v>12</v>
      </c>
      <c r="O286" s="31" t="n">
        <v>0</v>
      </c>
      <c r="P286" s="32" t="n"/>
      <c r="Q286" s="32" t="n">
        <v>0</v>
      </c>
      <c r="R286" s="32" t="n">
        <v>0</v>
      </c>
      <c r="S286" s="31" t="n">
        <v>0</v>
      </c>
      <c r="T286" s="32" t="n">
        <v>0</v>
      </c>
      <c r="U286" s="31" t="n">
        <v>0</v>
      </c>
      <c r="V286" s="31" t="n">
        <v>0</v>
      </c>
      <c r="W286" s="3" t="n">
        <v>0</v>
      </c>
      <c r="X286" s="3" t="n">
        <v>0</v>
      </c>
      <c r="Y286" s="32" t="n">
        <v>0</v>
      </c>
      <c r="Z286" s="3" t="n">
        <v>0</v>
      </c>
      <c r="AA286" s="32" t="n">
        <v>0</v>
      </c>
      <c r="AB286" s="3" t="n"/>
      <c r="AC286" s="31" t="n">
        <v>0</v>
      </c>
      <c r="AD286" s="2" t="n">
        <v>77</v>
      </c>
      <c r="AE286" s="2" t="n">
        <v>135</v>
      </c>
      <c r="AF286" s="4" t="n">
        <v>135</v>
      </c>
      <c r="AG286" s="33" t="n">
        <v>95.76000000000001</v>
      </c>
      <c r="AH286" s="4" t="n">
        <v>12</v>
      </c>
      <c r="AI286" s="34" t="n">
        <v>0.08890000000000001</v>
      </c>
      <c r="AJ286" s="34" t="n">
        <v>1</v>
      </c>
      <c r="AK286" s="2" t="n">
        <v>1125</v>
      </c>
      <c r="AL286" t="inlineStr">
        <is>
          <t>Published</t>
        </is>
      </c>
    </row>
    <row r="287">
      <c r="A287">
        <f>HYPERLINK("https://www.walmart.com/ip/15386919433", "15386919433")</f>
        <v/>
      </c>
      <c r="B287">
        <f>HYPERLINK("https://app.optiwise.ai/catalog/itemdetails/20119645", "Catalonia Swim Parka Kids with Hood, Lightweight Youth Surf Swim Jacket, Waterproof &amp; Warm Sherpa Lined Swim Coat for Boys Girls, Changing Poncho Robe for Pool Beach Stadium, Black, 5-9 Years")</f>
        <v/>
      </c>
      <c r="C287" t="inlineStr">
        <is>
          <t>1CTPKR202BK-0</t>
        </is>
      </c>
      <c r="D287" t="inlineStr">
        <is>
          <t>Clothing</t>
        </is>
      </c>
      <c r="E287" t="inlineStr">
        <is>
          <t>Swim Parkas</t>
        </is>
      </c>
      <c r="F287" t="inlineStr">
        <is>
          <t>Catalonia</t>
        </is>
      </c>
      <c r="G287" t="n">
        <v>0</v>
      </c>
      <c r="H287" t="n">
        <v>0</v>
      </c>
      <c r="J287" s="29" t="n">
        <v>95.51000000000001</v>
      </c>
      <c r="K287" s="30" t="n">
        <v>0.0008</v>
      </c>
      <c r="L287" s="29" t="n">
        <v>42.45999908447266</v>
      </c>
      <c r="M287" s="29" t="n">
        <v>0</v>
      </c>
      <c r="N287" s="2" t="n">
        <v>2</v>
      </c>
      <c r="O287" s="31" t="n">
        <v>0</v>
      </c>
      <c r="P287" s="32" t="n"/>
      <c r="Q287" s="32" t="n">
        <v>0</v>
      </c>
      <c r="R287" s="32" t="n">
        <v>0</v>
      </c>
      <c r="S287" s="31" t="n">
        <v>0</v>
      </c>
      <c r="T287" s="32" t="n">
        <v>0</v>
      </c>
      <c r="U287" s="31" t="n">
        <v>0</v>
      </c>
      <c r="V287" s="31" t="n">
        <v>0</v>
      </c>
      <c r="W287" s="3" t="n">
        <v>0</v>
      </c>
      <c r="X287" s="3" t="n">
        <v>0</v>
      </c>
      <c r="Y287" s="32" t="n">
        <v>0</v>
      </c>
      <c r="Z287" s="3" t="n">
        <v>0</v>
      </c>
      <c r="AA287" s="32" t="n">
        <v>0</v>
      </c>
      <c r="AB287" s="3" t="n"/>
      <c r="AC287" s="31" t="n">
        <v>0</v>
      </c>
      <c r="AD287" s="2" t="n">
        <v>0</v>
      </c>
      <c r="AE287" s="2" t="n">
        <v>0</v>
      </c>
      <c r="AF287" s="4" t="n">
        <v>0</v>
      </c>
      <c r="AG287" s="33" t="n">
        <v>95.51000000000001</v>
      </c>
      <c r="AH287" s="4" t="n">
        <v>2</v>
      </c>
      <c r="AI287" s="34" t="n"/>
      <c r="AJ287" s="34" t="n">
        <v>1</v>
      </c>
      <c r="AK287" s="2" t="n">
        <v>3240</v>
      </c>
      <c r="AL287" t="inlineStr">
        <is>
          <t>Published</t>
        </is>
      </c>
    </row>
    <row r="288">
      <c r="A288">
        <f>HYPERLINK("https://www.walmart.com/ip/209649243", "209649243")</f>
        <v/>
      </c>
      <c r="B288">
        <f>HYPERLINK("https://app.optiwise.ai/catalog/itemdetails/361821", "Solaris Sun Hat for Women, Wide Brim Summer Beach Hat with Neck Flap, UPF 50+ Fishing Hat for Hiking, White")</f>
        <v/>
      </c>
      <c r="C288" t="inlineStr">
        <is>
          <t>1SLSH921WH</t>
        </is>
      </c>
      <c r="D288" t="inlineStr">
        <is>
          <t>Clothing</t>
        </is>
      </c>
      <c r="E288" t="inlineStr">
        <is>
          <t>Hats</t>
        </is>
      </c>
      <c r="F288" t="inlineStr">
        <is>
          <t>Solaris</t>
        </is>
      </c>
      <c r="G288" t="n">
        <v>4</v>
      </c>
      <c r="H288" t="n">
        <v>8</v>
      </c>
      <c r="I288" t="inlineStr">
        <is>
          <t>Q2-Target,Hats,SEM,Batch 1 - TR</t>
        </is>
      </c>
      <c r="J288" s="29" t="n">
        <v>94.95</v>
      </c>
      <c r="K288" s="30" t="n">
        <v>0.0008</v>
      </c>
      <c r="L288" s="29" t="n">
        <v>37.97999954223633</v>
      </c>
      <c r="M288" s="29" t="n">
        <v>0</v>
      </c>
      <c r="N288" s="2" t="n">
        <v>5</v>
      </c>
      <c r="O288" s="31" t="n">
        <v>0</v>
      </c>
      <c r="P288" s="32" t="n"/>
      <c r="Q288" s="32" t="n">
        <v>0</v>
      </c>
      <c r="R288" s="32" t="n">
        <v>0.4102</v>
      </c>
      <c r="S288" s="31" t="n">
        <v>0</v>
      </c>
      <c r="T288" s="32" t="n">
        <v>0</v>
      </c>
      <c r="U288" s="31" t="n">
        <v>0</v>
      </c>
      <c r="V288" s="31" t="n">
        <v>0</v>
      </c>
      <c r="W288" s="3" t="n">
        <v>0</v>
      </c>
      <c r="X288" s="3" t="n">
        <v>0</v>
      </c>
      <c r="Y288" s="32" t="n">
        <v>0</v>
      </c>
      <c r="Z288" s="3" t="n">
        <v>0</v>
      </c>
      <c r="AA288" s="32" t="n">
        <v>0</v>
      </c>
      <c r="AB288" s="3" t="n"/>
      <c r="AC288" s="31" t="n">
        <v>0</v>
      </c>
      <c r="AD288" s="2" t="n">
        <v>18</v>
      </c>
      <c r="AE288" s="2" t="n">
        <v>73</v>
      </c>
      <c r="AF288" s="4" t="n">
        <v>73</v>
      </c>
      <c r="AG288" s="33" t="n">
        <v>94.95</v>
      </c>
      <c r="AH288" s="4" t="n">
        <v>5</v>
      </c>
      <c r="AI288" s="34" t="n">
        <v>0.06850000000000001</v>
      </c>
      <c r="AJ288" s="34" t="n">
        <v>1</v>
      </c>
      <c r="AK288" s="2" t="n">
        <v>2700</v>
      </c>
      <c r="AL288" t="inlineStr">
        <is>
          <t>Published</t>
        </is>
      </c>
    </row>
    <row r="289">
      <c r="A289">
        <f>HYPERLINK("https://www.walmart.com/ip/945718003", "945718003")</f>
        <v/>
      </c>
      <c r="B289">
        <f>HYPERLINK("https://app.optiwise.ai/catalog/itemdetails/362087", "Solaris Sun Hat for Women, Wide Brim Summer Beach Hat with Neck Flap, UPF 50+ Fishing Hat for Hiking, Blue")</f>
        <v/>
      </c>
      <c r="C289" t="inlineStr">
        <is>
          <t>1SLSH921BL</t>
        </is>
      </c>
      <c r="D289" t="inlineStr">
        <is>
          <t>Clothing</t>
        </is>
      </c>
      <c r="E289" t="inlineStr">
        <is>
          <t>Hats</t>
        </is>
      </c>
      <c r="F289" t="inlineStr">
        <is>
          <t>Solaris</t>
        </is>
      </c>
      <c r="G289" t="n">
        <v>4.7</v>
      </c>
      <c r="H289" t="n">
        <v>37</v>
      </c>
      <c r="I289" t="inlineStr">
        <is>
          <t>Q2-Target,Hats,Batch 1 - TR</t>
        </is>
      </c>
      <c r="J289" s="29" t="n">
        <v>94.95</v>
      </c>
      <c r="K289" s="30" t="n">
        <v>0.0008</v>
      </c>
      <c r="L289" s="29" t="n">
        <v>0</v>
      </c>
      <c r="M289" s="29" t="n">
        <v>0</v>
      </c>
      <c r="N289" s="2" t="n">
        <v>5</v>
      </c>
      <c r="O289" s="31" t="n">
        <v>0</v>
      </c>
      <c r="P289" s="32" t="n"/>
      <c r="Q289" s="32" t="n">
        <v>0</v>
      </c>
      <c r="R289" s="32" t="n">
        <v>0.08260000000000001</v>
      </c>
      <c r="S289" s="31" t="n">
        <v>0</v>
      </c>
      <c r="T289" s="32" t="n">
        <v>0</v>
      </c>
      <c r="U289" s="31" t="n">
        <v>0</v>
      </c>
      <c r="V289" s="31" t="n">
        <v>0</v>
      </c>
      <c r="W289" s="3" t="n">
        <v>0</v>
      </c>
      <c r="X289" s="3" t="n">
        <v>0</v>
      </c>
      <c r="Y289" s="32" t="n">
        <v>0</v>
      </c>
      <c r="Z289" s="3" t="n">
        <v>0</v>
      </c>
      <c r="AA289" s="32" t="n">
        <v>0</v>
      </c>
      <c r="AB289" s="3" t="n"/>
      <c r="AC289" s="31" t="n">
        <v>0</v>
      </c>
      <c r="AD289" s="2" t="n">
        <v>44</v>
      </c>
      <c r="AE289" s="2" t="n">
        <v>88</v>
      </c>
      <c r="AF289" s="4" t="n">
        <v>88</v>
      </c>
      <c r="AG289" s="33" t="n">
        <v>94.95</v>
      </c>
      <c r="AH289" s="4" t="n">
        <v>5</v>
      </c>
      <c r="AI289" s="34" t="n">
        <v>0.0568</v>
      </c>
      <c r="AJ289" s="34" t="n">
        <v>1</v>
      </c>
      <c r="AK289" s="2" t="n">
        <v>540</v>
      </c>
      <c r="AL289" t="inlineStr">
        <is>
          <t>Published</t>
        </is>
      </c>
    </row>
    <row r="290">
      <c r="A290">
        <f>HYPERLINK("https://www.walmart.com/ip/1899414496", "1899414496")</f>
        <v/>
      </c>
      <c r="B290">
        <f>HYPERLINK("https://app.optiwise.ai/catalog/itemdetails/912020", "Tirrinia Large Insulated Lunch Tote Bag for Women,Waterproof Oxford Cloth Leakproof Cooler Bag,Shopping Food Grocery Bags for Work Beach, Blue Leaf")</f>
        <v/>
      </c>
      <c r="C290" t="inlineStr">
        <is>
          <t>1TRCB800AQLEA</t>
        </is>
      </c>
      <c r="D290" t="inlineStr">
        <is>
          <t>Home Decor, Kitchen, &amp; Other</t>
        </is>
      </c>
      <c r="E290" t="inlineStr">
        <is>
          <t>Reusable Lunch Bags &amp; Boxes</t>
        </is>
      </c>
      <c r="F290" t="inlineStr">
        <is>
          <t>Tirrinia</t>
        </is>
      </c>
      <c r="G290" t="n">
        <v>0</v>
      </c>
      <c r="H290" t="n">
        <v>0</v>
      </c>
      <c r="I290" t="inlineStr">
        <is>
          <t>SEM,Batch 1 - TR</t>
        </is>
      </c>
      <c r="J290" s="29" t="n">
        <v>94.94</v>
      </c>
      <c r="K290" s="30" t="n">
        <v>0.0008</v>
      </c>
      <c r="L290" s="29" t="n">
        <v>0</v>
      </c>
      <c r="M290" s="29" t="n">
        <v>0</v>
      </c>
      <c r="N290" s="2" t="n">
        <v>6</v>
      </c>
      <c r="O290" s="31" t="n">
        <v>0</v>
      </c>
      <c r="P290" s="32" t="n"/>
      <c r="Q290" s="32" t="n">
        <v>0</v>
      </c>
      <c r="R290" s="32" t="n">
        <v>0.0073</v>
      </c>
      <c r="S290" s="31" t="n">
        <v>0</v>
      </c>
      <c r="T290" s="32" t="n">
        <v>0</v>
      </c>
      <c r="U290" s="31" t="n">
        <v>0</v>
      </c>
      <c r="V290" s="31" t="n">
        <v>0</v>
      </c>
      <c r="W290" s="3" t="n">
        <v>0</v>
      </c>
      <c r="X290" s="3" t="n">
        <v>0</v>
      </c>
      <c r="Y290" s="32" t="n">
        <v>0</v>
      </c>
      <c r="Z290" s="3" t="n">
        <v>0</v>
      </c>
      <c r="AA290" s="32" t="n">
        <v>0</v>
      </c>
      <c r="AB290" s="3" t="n"/>
      <c r="AC290" s="31" t="n">
        <v>0</v>
      </c>
      <c r="AD290" s="2" t="n">
        <v>38</v>
      </c>
      <c r="AE290" s="2" t="n">
        <v>105</v>
      </c>
      <c r="AF290" s="4" t="n">
        <v>105</v>
      </c>
      <c r="AG290" s="33" t="n">
        <v>94.94</v>
      </c>
      <c r="AH290" s="4" t="n">
        <v>6</v>
      </c>
      <c r="AI290" s="34" t="n">
        <v>0.0571</v>
      </c>
      <c r="AJ290" s="34" t="n">
        <v>1</v>
      </c>
      <c r="AK290" s="2" t="n">
        <v>2250</v>
      </c>
      <c r="AL290" t="inlineStr">
        <is>
          <t>Published</t>
        </is>
      </c>
    </row>
    <row r="291">
      <c r="A291">
        <f>HYPERLINK("https://www.walmart.com/ip/1875507073", "1875507073")</f>
        <v/>
      </c>
      <c r="B291">
        <f>HYPERLINK("https://app.optiwise.ai/catalog/itemdetails/4346772", "Tirrinia Leakproof Thermal Bento Lunch Bag For Women, Heat-welded technology, Men And Kids, Heat-welded Technology, Medium, Green, 7.8/ 15 Cans")</f>
        <v/>
      </c>
      <c r="C291" t="inlineStr">
        <is>
          <t>1TRLB702GN-N</t>
        </is>
      </c>
      <c r="D291" t="inlineStr">
        <is>
          <t>Home Decor, Kitchen, &amp; Other</t>
        </is>
      </c>
      <c r="E291" t="inlineStr">
        <is>
          <t>Reusable Lunch Bags &amp; Boxes</t>
        </is>
      </c>
      <c r="F291" t="inlineStr">
        <is>
          <t>Tirrinia</t>
        </is>
      </c>
      <c r="G291" t="n">
        <v>0</v>
      </c>
      <c r="H291" t="n">
        <v>0</v>
      </c>
      <c r="I291" t="inlineStr">
        <is>
          <t>Q2-Target,Brand Camp VD,Lunch Bags,Batch 1 - TR</t>
        </is>
      </c>
      <c r="J291" s="29" t="n">
        <v>94.91</v>
      </c>
      <c r="K291" s="30" t="n">
        <v>0.0008</v>
      </c>
      <c r="L291" s="29" t="n">
        <v>0</v>
      </c>
      <c r="M291" s="29" t="n">
        <v>0</v>
      </c>
      <c r="N291" s="2" t="n">
        <v>8</v>
      </c>
      <c r="O291" s="31" t="n">
        <v>0</v>
      </c>
      <c r="P291" s="32" t="n"/>
      <c r="Q291" s="32" t="n">
        <v>0</v>
      </c>
      <c r="R291" s="32" t="n">
        <v>0.0688</v>
      </c>
      <c r="S291" s="31" t="n">
        <v>0</v>
      </c>
      <c r="T291" s="32" t="n">
        <v>0</v>
      </c>
      <c r="U291" s="31" t="n">
        <v>0</v>
      </c>
      <c r="V291" s="31" t="n">
        <v>0</v>
      </c>
      <c r="W291" s="3" t="n">
        <v>0</v>
      </c>
      <c r="X291" s="3" t="n">
        <v>0</v>
      </c>
      <c r="Y291" s="32" t="n">
        <v>0</v>
      </c>
      <c r="Z291" s="3" t="n">
        <v>0</v>
      </c>
      <c r="AA291" s="32" t="n">
        <v>0</v>
      </c>
      <c r="AB291" s="3" t="n"/>
      <c r="AC291" s="31" t="n">
        <v>0</v>
      </c>
      <c r="AD291" s="2" t="n">
        <v>7</v>
      </c>
      <c r="AE291" s="2" t="n">
        <v>74</v>
      </c>
      <c r="AF291" s="4" t="n">
        <v>74</v>
      </c>
      <c r="AG291" s="33" t="n">
        <v>94.91</v>
      </c>
      <c r="AH291" s="4" t="n">
        <v>8</v>
      </c>
      <c r="AI291" s="34" t="n">
        <v>0.1081</v>
      </c>
      <c r="AJ291" s="34" t="n">
        <v>1</v>
      </c>
      <c r="AK291" s="2" t="n">
        <v>1738</v>
      </c>
      <c r="AL291" t="inlineStr">
        <is>
          <t>Published</t>
        </is>
      </c>
    </row>
    <row r="292">
      <c r="A292">
        <f>HYPERLINK("https://www.walmart.com/ip/3167907942", "3167907942")</f>
        <v/>
      </c>
      <c r="B292">
        <f>HYPERLINK("https://app.optiwise.ai/catalog/itemdetails/7420411", "Kato Outdoors Waterproof Fleece Blanket, Sherpa Fleece Stadium Windproof Throw Mat for Boat, Traveling, Camping, Hiking, Football, Machine Washable, Light Grey, 59'' x 79''")</f>
        <v/>
      </c>
      <c r="C292" t="inlineStr">
        <is>
          <t>1KTBW608LGDG</t>
        </is>
      </c>
      <c r="D292" t="inlineStr">
        <is>
          <t>Bedding</t>
        </is>
      </c>
      <c r="E292" t="inlineStr">
        <is>
          <t>Throws</t>
        </is>
      </c>
      <c r="F292" t="inlineStr">
        <is>
          <t>Kato</t>
        </is>
      </c>
      <c r="G292" t="n">
        <v>0</v>
      </c>
      <c r="H292" t="n">
        <v>0</v>
      </c>
      <c r="J292" s="29" t="n">
        <v>92.94</v>
      </c>
      <c r="K292" s="30" t="n">
        <v>0.0008</v>
      </c>
      <c r="L292" s="29" t="n">
        <v>0</v>
      </c>
      <c r="M292" s="29" t="n">
        <v>0</v>
      </c>
      <c r="N292" s="2" t="n">
        <v>3</v>
      </c>
      <c r="O292" s="31" t="n">
        <v>0</v>
      </c>
      <c r="P292" s="32" t="n"/>
      <c r="Q292" s="32" t="n">
        <v>0</v>
      </c>
      <c r="R292" s="32" t="n">
        <v>0</v>
      </c>
      <c r="S292" s="31" t="n">
        <v>0</v>
      </c>
      <c r="T292" s="32" t="n">
        <v>0</v>
      </c>
      <c r="U292" s="31" t="n">
        <v>0</v>
      </c>
      <c r="V292" s="31" t="n">
        <v>0</v>
      </c>
      <c r="W292" s="3" t="n">
        <v>0</v>
      </c>
      <c r="X292" s="3" t="n">
        <v>0</v>
      </c>
      <c r="Y292" s="32" t="n">
        <v>0</v>
      </c>
      <c r="Z292" s="3" t="n">
        <v>0</v>
      </c>
      <c r="AA292" s="32" t="n">
        <v>0</v>
      </c>
      <c r="AB292" s="3" t="n"/>
      <c r="AC292" s="31" t="n">
        <v>0</v>
      </c>
      <c r="AD292" s="2" t="n">
        <v>0</v>
      </c>
      <c r="AE292" s="2" t="n">
        <v>33</v>
      </c>
      <c r="AF292" s="4" t="n">
        <v>33</v>
      </c>
      <c r="AG292" s="33" t="n">
        <v>92.94</v>
      </c>
      <c r="AH292" s="4" t="n">
        <v>3</v>
      </c>
      <c r="AI292" s="34" t="n">
        <v>0.09089999999999999</v>
      </c>
      <c r="AJ292" s="34" t="n">
        <v>1</v>
      </c>
      <c r="AK292" s="2" t="n">
        <v>4500</v>
      </c>
      <c r="AL292" t="inlineStr">
        <is>
          <t>Published</t>
        </is>
      </c>
    </row>
    <row r="293">
      <c r="A293">
        <f>HYPERLINK("https://www.walmart.com/ip/756075150", "756075150")</f>
        <v/>
      </c>
      <c r="B293">
        <f>HYPERLINK("https://app.optiwise.ai/catalog/itemdetails/361676", "Solaris Sun Hats UV Protection Wide Brim Hat Unisex Adult Multicolor")</f>
        <v/>
      </c>
      <c r="C293" t="inlineStr">
        <is>
          <t>1SLSH910TN</t>
        </is>
      </c>
      <c r="D293" t="inlineStr">
        <is>
          <t>Clothing</t>
        </is>
      </c>
      <c r="E293" t="inlineStr">
        <is>
          <t>Hats</t>
        </is>
      </c>
      <c r="F293" t="inlineStr">
        <is>
          <t>Solaris</t>
        </is>
      </c>
      <c r="G293" t="n">
        <v>4.7</v>
      </c>
      <c r="H293" t="n">
        <v>6</v>
      </c>
      <c r="I293" t="inlineStr">
        <is>
          <t>Hats,Batch 1 - TR</t>
        </is>
      </c>
      <c r="J293" s="29" t="n">
        <v>92.45</v>
      </c>
      <c r="K293" s="30" t="n">
        <v>0.0008</v>
      </c>
      <c r="L293" s="29" t="n">
        <v>36.97999954223633</v>
      </c>
      <c r="M293" s="29" t="n">
        <v>0</v>
      </c>
      <c r="N293" s="2" t="n">
        <v>5</v>
      </c>
      <c r="O293" s="31" t="n">
        <v>0</v>
      </c>
      <c r="P293" s="32" t="n"/>
      <c r="Q293" s="32" t="n">
        <v>0</v>
      </c>
      <c r="R293" s="32" t="n">
        <v>0</v>
      </c>
      <c r="S293" s="31" t="n">
        <v>0</v>
      </c>
      <c r="T293" s="32" t="n">
        <v>0</v>
      </c>
      <c r="U293" s="31" t="n">
        <v>0</v>
      </c>
      <c r="V293" s="31" t="n">
        <v>0</v>
      </c>
      <c r="W293" s="3" t="n">
        <v>0</v>
      </c>
      <c r="X293" s="3" t="n">
        <v>0</v>
      </c>
      <c r="Y293" s="32" t="n">
        <v>0</v>
      </c>
      <c r="Z293" s="3" t="n">
        <v>0</v>
      </c>
      <c r="AA293" s="32" t="n">
        <v>0</v>
      </c>
      <c r="AB293" s="3" t="n"/>
      <c r="AC293" s="31" t="n">
        <v>0</v>
      </c>
      <c r="AD293" s="2" t="n">
        <v>0</v>
      </c>
      <c r="AE293" s="2" t="n">
        <v>45</v>
      </c>
      <c r="AF293" s="4" t="n">
        <v>45</v>
      </c>
      <c r="AG293" s="33" t="n">
        <v>92.45</v>
      </c>
      <c r="AH293" s="4" t="n">
        <v>5</v>
      </c>
      <c r="AI293" s="34" t="n">
        <v>0.1111</v>
      </c>
      <c r="AJ293" s="34" t="n">
        <v>1</v>
      </c>
      <c r="AK293" s="2" t="n">
        <v>2700</v>
      </c>
      <c r="AL293" t="inlineStr">
        <is>
          <t>Published</t>
        </is>
      </c>
    </row>
    <row r="294">
      <c r="A294">
        <f>HYPERLINK("https://www.walmart.com/ip/3214374661", "3214374661")</f>
        <v/>
      </c>
      <c r="B294">
        <f>HYPERLINK("https://app.optiwise.ai/catalog/itemdetails/7406785", "Catalonia Wearable Blanket with Sleeves and Pocket, Cozy Soft Fleece Micro Plush Wrap Adult Blanket Robe for Women Men, Southwest Blue Pattern Makes a Great Gift for Holidays, 73 x 51.")</f>
        <v/>
      </c>
      <c r="C294" t="inlineStr">
        <is>
          <t>1CTSN100SWBL</t>
        </is>
      </c>
      <c r="D294" t="inlineStr">
        <is>
          <t>Bedding</t>
        </is>
      </c>
      <c r="E294" t="inlineStr">
        <is>
          <t>Throws</t>
        </is>
      </c>
      <c r="F294" t="inlineStr">
        <is>
          <t>Catalonia</t>
        </is>
      </c>
      <c r="G294" t="n">
        <v>0</v>
      </c>
      <c r="H294" t="n">
        <v>0</v>
      </c>
      <c r="I294" t="inlineStr">
        <is>
          <t>Q2-Target</t>
        </is>
      </c>
      <c r="J294" s="29" t="n">
        <v>91.95999999999999</v>
      </c>
      <c r="K294" s="30" t="n">
        <v>0.0008</v>
      </c>
      <c r="L294" s="29" t="n">
        <v>0</v>
      </c>
      <c r="M294" s="29" t="n">
        <v>0</v>
      </c>
      <c r="N294" s="2" t="n">
        <v>4</v>
      </c>
      <c r="O294" s="31" t="n">
        <v>4.699999999999999</v>
      </c>
      <c r="P294" s="32" t="n">
        <v>0.0005999999999999999</v>
      </c>
      <c r="Q294" s="32" t="n">
        <v>0.0511</v>
      </c>
      <c r="R294" s="32" t="n">
        <v>0</v>
      </c>
      <c r="S294" s="31" t="n">
        <v>0</v>
      </c>
      <c r="T294" s="32" t="n">
        <v>0</v>
      </c>
      <c r="U294" s="31" t="n">
        <v>0</v>
      </c>
      <c r="V294" s="31" t="n">
        <v>0</v>
      </c>
      <c r="W294" s="3" t="n">
        <v>1472</v>
      </c>
      <c r="X294" s="3" t="n">
        <v>10</v>
      </c>
      <c r="Y294" s="32" t="n">
        <v>0.0068</v>
      </c>
      <c r="Z294" s="3" t="n">
        <v>0</v>
      </c>
      <c r="AA294" s="32" t="n">
        <v>0</v>
      </c>
      <c r="AB294" s="3" t="inlineStr">
        <is>
          <t>Need to sell these SKUs by 15th Feb</t>
        </is>
      </c>
      <c r="AC294" s="31" t="n">
        <v>0.47</v>
      </c>
      <c r="AD294" s="2" t="n">
        <v>427</v>
      </c>
      <c r="AE294" s="2" t="n">
        <v>47</v>
      </c>
      <c r="AF294" s="4" t="n">
        <v>370</v>
      </c>
      <c r="AG294" s="33" t="n">
        <v>91.95999999999999</v>
      </c>
      <c r="AH294" s="4" t="n">
        <v>4</v>
      </c>
      <c r="AI294" s="34" t="n">
        <v>0.0108</v>
      </c>
      <c r="AJ294" s="34" t="n">
        <v>1</v>
      </c>
      <c r="AK294" s="2" t="n">
        <v>0</v>
      </c>
      <c r="AL294" t="inlineStr">
        <is>
          <t>Published</t>
        </is>
      </c>
    </row>
    <row r="295">
      <c r="A295">
        <f>HYPERLINK("https://www.walmart.com/ip/5594586798", "5594586798")</f>
        <v/>
      </c>
      <c r="B295">
        <f>HYPERLINK("https://app.optiwise.ai/catalog/itemdetails/9053831", "Tirrinia Insulated Cooler Bag-24 Cans Portable Collapsible Soft Sided Ice Chest, Leak-Proof with Zipper Cooler Box for Beach, Drink, Travel, Camping, Picnic")</f>
        <v/>
      </c>
      <c r="C295" t="inlineStr">
        <is>
          <t>1TRCB00324BK</t>
        </is>
      </c>
      <c r="D295" t="inlineStr">
        <is>
          <t>Sport &amp; Recreation Other</t>
        </is>
      </c>
      <c r="E295" t="inlineStr">
        <is>
          <t>Soft-Sided Coolers</t>
        </is>
      </c>
      <c r="F295" t="inlineStr">
        <is>
          <t>Tirrinia</t>
        </is>
      </c>
      <c r="G295" t="n">
        <v>0</v>
      </c>
      <c r="H295" t="n">
        <v>0</v>
      </c>
      <c r="J295" s="29" t="n">
        <v>91.95999999999999</v>
      </c>
      <c r="K295" s="30" t="n">
        <v>0.0008</v>
      </c>
      <c r="L295" s="29" t="n">
        <v>0</v>
      </c>
      <c r="M295" s="29" t="n">
        <v>0</v>
      </c>
      <c r="N295" s="2" t="n">
        <v>4</v>
      </c>
      <c r="O295" s="31" t="n">
        <v>0</v>
      </c>
      <c r="P295" s="32" t="n"/>
      <c r="Q295" s="32" t="n">
        <v>0</v>
      </c>
      <c r="R295" s="32" t="n">
        <v>0</v>
      </c>
      <c r="S295" s="31" t="n">
        <v>0</v>
      </c>
      <c r="T295" s="32" t="n">
        <v>0</v>
      </c>
      <c r="U295" s="31" t="n">
        <v>0</v>
      </c>
      <c r="V295" s="31" t="n">
        <v>0</v>
      </c>
      <c r="W295" s="3" t="n">
        <v>0</v>
      </c>
      <c r="X295" s="3" t="n">
        <v>0</v>
      </c>
      <c r="Y295" s="32" t="n">
        <v>0</v>
      </c>
      <c r="Z295" s="3" t="n">
        <v>0</v>
      </c>
      <c r="AA295" s="32" t="n">
        <v>0</v>
      </c>
      <c r="AB295" s="3" t="n"/>
      <c r="AC295" s="31" t="n">
        <v>0</v>
      </c>
      <c r="AD295" s="2" t="n">
        <v>0</v>
      </c>
      <c r="AE295" s="2" t="n">
        <v>51</v>
      </c>
      <c r="AF295" s="4" t="n">
        <v>51</v>
      </c>
      <c r="AG295" s="33" t="n">
        <v>91.95999999999999</v>
      </c>
      <c r="AH295" s="4" t="n">
        <v>4</v>
      </c>
      <c r="AI295" s="34" t="n">
        <v>0.0784</v>
      </c>
      <c r="AJ295" s="34" t="n">
        <v>1</v>
      </c>
      <c r="AK295" s="2" t="n">
        <v>3375</v>
      </c>
      <c r="AL295" t="inlineStr">
        <is>
          <t>Published</t>
        </is>
      </c>
    </row>
    <row r="296">
      <c r="A296">
        <f>HYPERLINK("https://www.walmart.com/ip/5500120560", "5500120560")</f>
        <v/>
      </c>
      <c r="B296">
        <f>HYPERLINK("https://app.optiwise.ai/catalog/itemdetails/8055321", "Solaris Surf Poncho Changing Towel Robe for Women Men, Lightweight Changing Robe with Packable Bags, Water Absorbent Wetsuit Beach Hoode Towel for Surfing Swimming")</f>
        <v/>
      </c>
      <c r="C296" t="inlineStr">
        <is>
          <t>1SLBR103-BK</t>
        </is>
      </c>
      <c r="D296" t="inlineStr">
        <is>
          <t>Home Decor, Kitchen, &amp; Other</t>
        </is>
      </c>
      <c r="E296" t="inlineStr">
        <is>
          <t>Towels &amp; Washcloths</t>
        </is>
      </c>
      <c r="F296" t="inlineStr">
        <is>
          <t>Solaris</t>
        </is>
      </c>
      <c r="G296" t="n">
        <v>0</v>
      </c>
      <c r="H296" t="n">
        <v>0</v>
      </c>
      <c r="J296" s="29" t="n">
        <v>91.95999999999999</v>
      </c>
      <c r="K296" s="30" t="n">
        <v>0.0008</v>
      </c>
      <c r="L296" s="29" t="n">
        <v>0</v>
      </c>
      <c r="M296" s="29" t="n">
        <v>0</v>
      </c>
      <c r="N296" s="2" t="n">
        <v>4</v>
      </c>
      <c r="O296" s="31" t="n">
        <v>0</v>
      </c>
      <c r="P296" s="32" t="n"/>
      <c r="Q296" s="32" t="n">
        <v>0</v>
      </c>
      <c r="R296" s="32" t="n">
        <v>0</v>
      </c>
      <c r="S296" s="31" t="n">
        <v>0</v>
      </c>
      <c r="T296" s="32" t="n">
        <v>0</v>
      </c>
      <c r="U296" s="31" t="n">
        <v>0</v>
      </c>
      <c r="V296" s="31" t="n">
        <v>0</v>
      </c>
      <c r="W296" s="3" t="n">
        <v>0</v>
      </c>
      <c r="X296" s="3" t="n">
        <v>0</v>
      </c>
      <c r="Y296" s="32" t="n">
        <v>0</v>
      </c>
      <c r="Z296" s="3" t="n">
        <v>0</v>
      </c>
      <c r="AA296" s="32" t="n">
        <v>0</v>
      </c>
      <c r="AB296" s="3" t="n"/>
      <c r="AC296" s="31" t="n">
        <v>0</v>
      </c>
      <c r="AD296" s="2" t="n">
        <v>0</v>
      </c>
      <c r="AE296" s="2" t="n">
        <v>42</v>
      </c>
      <c r="AF296" s="4" t="n">
        <v>42</v>
      </c>
      <c r="AG296" s="33" t="n">
        <v>91.95999999999999</v>
      </c>
      <c r="AH296" s="4" t="n">
        <v>4</v>
      </c>
      <c r="AI296" s="34" t="n">
        <v>0.09520000000000001</v>
      </c>
      <c r="AJ296" s="34" t="n">
        <v>1</v>
      </c>
      <c r="AK296" s="2" t="n">
        <v>3375</v>
      </c>
      <c r="AL296" t="inlineStr">
        <is>
          <t>Published</t>
        </is>
      </c>
    </row>
    <row r="297">
      <c r="A297">
        <f>HYPERLINK("https://www.walmart.com/ip/635507508", "635507508")</f>
        <v/>
      </c>
      <c r="B297">
        <f>HYPERLINK("https://app.optiwise.ai/catalog/itemdetails/417460", "Tirrinia Poncho Blanket, Super Soft, Comfy, Plush Wearable Fleece Blanket for Women, Men and Kids, Camel, 55'' x 80''")</f>
        <v/>
      </c>
      <c r="C297" t="inlineStr">
        <is>
          <t>1TRBP100CA-TBCB</t>
        </is>
      </c>
      <c r="D297" t="inlineStr">
        <is>
          <t>Bedding</t>
        </is>
      </c>
      <c r="E297" t="inlineStr">
        <is>
          <t>Throws</t>
        </is>
      </c>
      <c r="F297" t="inlineStr">
        <is>
          <t>Tirrinia</t>
        </is>
      </c>
      <c r="G297" t="n">
        <v>5</v>
      </c>
      <c r="H297" t="n">
        <v>1</v>
      </c>
      <c r="I297" t="inlineStr">
        <is>
          <t>Q2-Target,Optimized,Coupon_Discount,Fleece Blankets</t>
        </is>
      </c>
      <c r="J297" s="29" t="n">
        <v>91.94</v>
      </c>
      <c r="K297" s="30" t="n">
        <v>0.0008</v>
      </c>
      <c r="L297" s="29" t="n">
        <v>0</v>
      </c>
      <c r="M297" s="29" t="n">
        <v>0</v>
      </c>
      <c r="N297" s="2" t="n">
        <v>5</v>
      </c>
      <c r="O297" s="31" t="n">
        <v>17.93</v>
      </c>
      <c r="P297" s="32" t="n">
        <v>0.0021</v>
      </c>
      <c r="Q297" s="32" t="n">
        <v>0.195</v>
      </c>
      <c r="R297" s="32" t="n">
        <v>0</v>
      </c>
      <c r="S297" s="31" t="n">
        <v>0</v>
      </c>
      <c r="T297" s="32" t="n">
        <v>0</v>
      </c>
      <c r="U297" s="31" t="n">
        <v>0</v>
      </c>
      <c r="V297" s="31" t="n">
        <v>0</v>
      </c>
      <c r="W297" s="3" t="n">
        <v>8238</v>
      </c>
      <c r="X297" s="3" t="n">
        <v>43</v>
      </c>
      <c r="Y297" s="32" t="n">
        <v>0.0052</v>
      </c>
      <c r="Z297" s="3" t="n">
        <v>0</v>
      </c>
      <c r="AA297" s="32" t="n">
        <v>0</v>
      </c>
      <c r="AB297" s="3" t="inlineStr">
        <is>
          <t>Need to sell these SKUs by 15th Feb</t>
        </is>
      </c>
      <c r="AC297" s="31" t="n">
        <v>0.42</v>
      </c>
      <c r="AD297" s="2" t="n">
        <v>82</v>
      </c>
      <c r="AE297" s="2" t="n">
        <v>69</v>
      </c>
      <c r="AF297" s="4" t="n">
        <v>26</v>
      </c>
      <c r="AG297" s="33" t="n">
        <v>91.94</v>
      </c>
      <c r="AH297" s="4" t="n">
        <v>5</v>
      </c>
      <c r="AI297" s="34" t="n">
        <v>0.1923</v>
      </c>
      <c r="AJ297" s="34" t="n">
        <v>1</v>
      </c>
      <c r="AK297" s="2" t="n">
        <v>2754</v>
      </c>
      <c r="AL297" t="inlineStr">
        <is>
          <t>Published</t>
        </is>
      </c>
    </row>
    <row r="298">
      <c r="A298">
        <f>HYPERLINK("https://www.walmart.com/ip/5536189949", "5536189949")</f>
        <v/>
      </c>
      <c r="B298">
        <f>HYPERLINK("https://app.optiwise.ai/catalog/itemdetails/9035203", "Solaris Kids Sun Hat UPF50+ Sun Protection, Large Mesh Super Breathable Travel Beach Play Bucket Hats for Girs Boys Teenagers")</f>
        <v/>
      </c>
      <c r="C298" t="inlineStr">
        <is>
          <t>1SLSH925GY</t>
        </is>
      </c>
      <c r="D298" t="inlineStr">
        <is>
          <t>Clothing</t>
        </is>
      </c>
      <c r="E298" t="inlineStr">
        <is>
          <t>Hats</t>
        </is>
      </c>
      <c r="F298" t="inlineStr">
        <is>
          <t>Solaris</t>
        </is>
      </c>
      <c r="G298" t="n">
        <v>0</v>
      </c>
      <c r="H298" t="n">
        <v>0</v>
      </c>
      <c r="J298" s="29" t="n">
        <v>91.94</v>
      </c>
      <c r="K298" s="30" t="n">
        <v>0.0008</v>
      </c>
      <c r="L298" s="29" t="n">
        <v>0</v>
      </c>
      <c r="M298" s="29" t="n">
        <v>0</v>
      </c>
      <c r="N298" s="2" t="n">
        <v>5</v>
      </c>
      <c r="O298" s="31" t="n">
        <v>40.53999999999999</v>
      </c>
      <c r="P298" s="32" t="n">
        <v>0.0049</v>
      </c>
      <c r="Q298" s="32" t="n">
        <v>0.4409</v>
      </c>
      <c r="R298" s="32" t="n">
        <v>0</v>
      </c>
      <c r="S298" s="31" t="n">
        <v>3.4</v>
      </c>
      <c r="T298" s="32" t="n">
        <v>0.29</v>
      </c>
      <c r="U298" s="31" t="n">
        <v>137.92</v>
      </c>
      <c r="V298" s="31" t="n">
        <v>118.93</v>
      </c>
      <c r="W298" s="3" t="n">
        <v>41621</v>
      </c>
      <c r="X298" s="3" t="n">
        <v>121</v>
      </c>
      <c r="Y298" s="32" t="n">
        <v>0.0029</v>
      </c>
      <c r="Z298" s="3" t="n">
        <v>8</v>
      </c>
      <c r="AA298" s="32" t="n">
        <v>0.06610000000000001</v>
      </c>
      <c r="AB298" s="3" t="inlineStr">
        <is>
          <t>All Items_Auto_Optiwise_24</t>
        </is>
      </c>
      <c r="AC298" s="31" t="n">
        <v>0.34</v>
      </c>
      <c r="AD298" s="2" t="n">
        <v>30</v>
      </c>
      <c r="AE298" s="2" t="n">
        <v>234</v>
      </c>
      <c r="AF298" s="4" t="n">
        <v>113</v>
      </c>
      <c r="AG298" s="33" t="n">
        <v>-45.97999999999999</v>
      </c>
      <c r="AH298" s="4" t="n">
        <v>-3</v>
      </c>
      <c r="AI298" s="34" t="n">
        <v>-0.0265</v>
      </c>
      <c r="AJ298" s="34" t="n">
        <v>-0.5001</v>
      </c>
      <c r="AK298" s="2" t="n">
        <v>2700</v>
      </c>
      <c r="AL298" t="inlineStr">
        <is>
          <t>Published</t>
        </is>
      </c>
    </row>
    <row r="299">
      <c r="A299">
        <f>HYPERLINK("https://www.walmart.com/ip/648459144", "648459144")</f>
        <v/>
      </c>
      <c r="B299">
        <f>HYPERLINK("https://app.optiwise.ai/catalog/itemdetails/361331", "Wearable Fleece Blanket with Sleeves and Pocket for Women Men, Super Soft Microplush Adult Wrap Full Body Blanket Robe for Lounge Couch As Seen On TV 73 x 51 | Catalonia series by Terrania | Blue")</f>
        <v/>
      </c>
      <c r="C299" t="inlineStr">
        <is>
          <t>1TRSN100BL-TBCB</t>
        </is>
      </c>
      <c r="D299" t="inlineStr">
        <is>
          <t>Bedding</t>
        </is>
      </c>
      <c r="E299" t="inlineStr">
        <is>
          <t>Throws</t>
        </is>
      </c>
      <c r="F299" t="inlineStr">
        <is>
          <t>Tirrinia</t>
        </is>
      </c>
      <c r="G299" t="n">
        <v>0</v>
      </c>
      <c r="H299" t="n">
        <v>0</v>
      </c>
      <c r="I299" t="inlineStr">
        <is>
          <t>WFS,WFS Item,Fleece Blankets</t>
        </is>
      </c>
      <c r="J299" s="29" t="n">
        <v>91.19</v>
      </c>
      <c r="K299" s="30" t="n">
        <v>0.0008</v>
      </c>
      <c r="L299" s="29" t="n">
        <v>0</v>
      </c>
      <c r="M299" s="29" t="n">
        <v>19.98999977111816</v>
      </c>
      <c r="N299" s="2" t="n">
        <v>4</v>
      </c>
      <c r="O299" s="31" t="n">
        <v>0</v>
      </c>
      <c r="P299" s="32" t="n"/>
      <c r="Q299" s="32" t="n">
        <v>0</v>
      </c>
      <c r="R299" s="32" t="n">
        <v>0</v>
      </c>
      <c r="S299" s="31" t="n">
        <v>0</v>
      </c>
      <c r="T299" s="32" t="n">
        <v>0</v>
      </c>
      <c r="U299" s="31" t="n">
        <v>0</v>
      </c>
      <c r="V299" s="31" t="n">
        <v>0</v>
      </c>
      <c r="W299" s="3" t="n">
        <v>0</v>
      </c>
      <c r="X299" s="3" t="n">
        <v>0</v>
      </c>
      <c r="Y299" s="32" t="n">
        <v>0</v>
      </c>
      <c r="Z299" s="3" t="n">
        <v>0</v>
      </c>
      <c r="AA299" s="32" t="n">
        <v>0</v>
      </c>
      <c r="AB299" s="3" t="n"/>
      <c r="AC299" s="31" t="n">
        <v>0</v>
      </c>
      <c r="AD299" s="2" t="n">
        <v>6</v>
      </c>
      <c r="AE299" s="2" t="n">
        <v>45</v>
      </c>
      <c r="AF299" s="4" t="n">
        <v>45</v>
      </c>
      <c r="AG299" s="33" t="n">
        <v>91.19</v>
      </c>
      <c r="AH299" s="4" t="n">
        <v>4</v>
      </c>
      <c r="AI299" s="34" t="n">
        <v>0.08890000000000001</v>
      </c>
      <c r="AJ299" s="34" t="n">
        <v>1</v>
      </c>
      <c r="AK299" s="2" t="n">
        <v>3375</v>
      </c>
      <c r="AL299" t="inlineStr">
        <is>
          <t>Published</t>
        </is>
      </c>
    </row>
    <row r="300">
      <c r="A300">
        <f>HYPERLINK("https://www.walmart.com/ip/612596634", "612596634")</f>
        <v/>
      </c>
      <c r="B300">
        <f>HYPERLINK("https://app.optiwise.ai/catalog/itemdetails/373677", "Tirrinia 2 Bottle Wine Tote Carrier - Insulated &amp; Padded Versatile Cooler Bag for Travel, BYOB Restaurant, Wine Tasting, Party, Great Gift for Wine Lover, Black Stripe")</f>
        <v/>
      </c>
      <c r="C300" t="inlineStr">
        <is>
          <t>1TRWB221BKSTR</t>
        </is>
      </c>
      <c r="D300" t="inlineStr">
        <is>
          <t>Home Decor, Kitchen, &amp; Other</t>
        </is>
      </c>
      <c r="E300" t="inlineStr">
        <is>
          <t>Wine Totes, Bags &amp; Backpacks</t>
        </is>
      </c>
      <c r="F300" t="inlineStr">
        <is>
          <t>Tirrinia</t>
        </is>
      </c>
      <c r="G300" t="n">
        <v>4</v>
      </c>
      <c r="H300" t="n">
        <v>1</v>
      </c>
      <c r="I300" t="inlineStr">
        <is>
          <t>Wine,Wine Bag Camp,Christmas,WFS,Wine WFS,Valentine,SEM,WFS Item</t>
        </is>
      </c>
      <c r="J300" s="29" t="n">
        <v>90.95</v>
      </c>
      <c r="K300" s="30" t="n">
        <v>0.0008</v>
      </c>
      <c r="L300" s="29" t="n">
        <v>20.98999977111816</v>
      </c>
      <c r="M300" s="29" t="n">
        <v>0</v>
      </c>
      <c r="N300" s="2" t="n">
        <v>4</v>
      </c>
      <c r="O300" s="31" t="n">
        <v>11.81</v>
      </c>
      <c r="P300" s="32" t="n">
        <v>0.0014</v>
      </c>
      <c r="Q300" s="32" t="n">
        <v>0.1299</v>
      </c>
      <c r="R300" s="32" t="n">
        <v>0.0862</v>
      </c>
      <c r="S300" s="31" t="n">
        <v>3.55</v>
      </c>
      <c r="T300" s="32" t="n">
        <v>0.28</v>
      </c>
      <c r="U300" s="31" t="n">
        <v>41.98</v>
      </c>
      <c r="V300" s="31" t="n">
        <v>41.98</v>
      </c>
      <c r="W300" s="3" t="n">
        <v>24739</v>
      </c>
      <c r="X300" s="3" t="n">
        <v>31</v>
      </c>
      <c r="Y300" s="32" t="n">
        <v>0.0013</v>
      </c>
      <c r="Z300" s="3" t="n">
        <v>2</v>
      </c>
      <c r="AA300" s="32" t="n">
        <v>0.0645</v>
      </c>
      <c r="AB300" s="3" t="inlineStr">
        <is>
          <t>All Items_Auto_Optiwise_24,Auto Campaign_Vinay</t>
        </is>
      </c>
      <c r="AC300" s="31" t="n">
        <v>0.38</v>
      </c>
      <c r="AD300" s="2" t="n">
        <v>0</v>
      </c>
      <c r="AE300" s="2" t="n">
        <v>93</v>
      </c>
      <c r="AF300" s="4" t="n">
        <v>62</v>
      </c>
      <c r="AG300" s="33" t="n">
        <v>48.97000000000001</v>
      </c>
      <c r="AH300" s="4" t="n">
        <v>2</v>
      </c>
      <c r="AI300" s="34" t="n">
        <v>0.0323</v>
      </c>
      <c r="AJ300" s="34" t="n">
        <v>0.5384</v>
      </c>
      <c r="AK300" s="2" t="n">
        <v>3408</v>
      </c>
      <c r="AL300" t="inlineStr">
        <is>
          <t>Published</t>
        </is>
      </c>
    </row>
    <row r="301">
      <c r="A301">
        <f>HYPERLINK("https://www.walmart.com/ip/3444324327", "3444324327")</f>
        <v/>
      </c>
      <c r="B301">
        <f>HYPERLINK("https://app.optiwise.ai/catalog/itemdetails/4979879", "Tirrinia Insulated Lunch Box for Women | Lunch Bags for Women, Girls, Teens | Cute Blue Reusable Thermal Lunch Tote Purse Cooler for Kids, School, Work, Office, Adult | Fits 10 Cans (Blue Leaf)")</f>
        <v/>
      </c>
      <c r="C301" t="inlineStr">
        <is>
          <t>1WMLB706AQLEA</t>
        </is>
      </c>
      <c r="D301" t="inlineStr">
        <is>
          <t>Home Decor, Kitchen, &amp; Other</t>
        </is>
      </c>
      <c r="E301" t="inlineStr">
        <is>
          <t>Reusable Lunch Bags &amp; Boxes</t>
        </is>
      </c>
      <c r="F301" t="inlineStr">
        <is>
          <t>Tirrinia</t>
        </is>
      </c>
      <c r="G301" t="n">
        <v>4.9</v>
      </c>
      <c r="H301" t="n">
        <v>34</v>
      </c>
      <c r="I301" t="inlineStr">
        <is>
          <t>Q2-Target,Brand Camp VD</t>
        </is>
      </c>
      <c r="J301" s="29" t="n">
        <v>90.91</v>
      </c>
      <c r="K301" s="30" t="n">
        <v>0.0008</v>
      </c>
      <c r="L301" s="29" t="n">
        <v>0</v>
      </c>
      <c r="M301" s="29" t="n">
        <v>0</v>
      </c>
      <c r="N301" s="2" t="n">
        <v>9</v>
      </c>
      <c r="O301" s="31" t="n">
        <v>0</v>
      </c>
      <c r="P301" s="32" t="n"/>
      <c r="Q301" s="32" t="n">
        <v>0</v>
      </c>
      <c r="R301" s="32" t="n">
        <v>0.1872</v>
      </c>
      <c r="S301" s="31" t="n">
        <v>0</v>
      </c>
      <c r="T301" s="32" t="n">
        <v>0</v>
      </c>
      <c r="U301" s="31" t="n">
        <v>0</v>
      </c>
      <c r="V301" s="31" t="n">
        <v>0</v>
      </c>
      <c r="W301" s="3" t="n">
        <v>0</v>
      </c>
      <c r="X301" s="3" t="n">
        <v>0</v>
      </c>
      <c r="Y301" s="32" t="n">
        <v>0</v>
      </c>
      <c r="Z301" s="3" t="n">
        <v>0</v>
      </c>
      <c r="AA301" s="32" t="n">
        <v>0</v>
      </c>
      <c r="AB301" s="3" t="n"/>
      <c r="AC301" s="31" t="n">
        <v>0</v>
      </c>
      <c r="AD301" s="2" t="n">
        <v>101</v>
      </c>
      <c r="AE301" s="2" t="n">
        <v>158</v>
      </c>
      <c r="AF301" s="4" t="n">
        <v>158</v>
      </c>
      <c r="AG301" s="33" t="n">
        <v>90.91</v>
      </c>
      <c r="AH301" s="4" t="n">
        <v>9</v>
      </c>
      <c r="AI301" s="34" t="n">
        <v>0.057</v>
      </c>
      <c r="AJ301" s="34" t="n">
        <v>1</v>
      </c>
      <c r="AK301" s="2" t="n">
        <v>1500</v>
      </c>
      <c r="AL301" t="inlineStr">
        <is>
          <t>Published</t>
        </is>
      </c>
    </row>
    <row r="302">
      <c r="A302">
        <f>HYPERLINK("https://www.walmart.com/ip/219091802", "219091802")</f>
        <v/>
      </c>
      <c r="B302">
        <f>HYPERLINK("https://app.optiwise.ai/catalog/itemdetails/360273", "Flyingstar Lunch Bag for Women Men, Insulated Lunch Tote for Working/School/Picnic Fashionable Cooler Bag")</f>
        <v/>
      </c>
      <c r="C302" t="inlineStr">
        <is>
          <t>1WMLB704PKDOT</t>
        </is>
      </c>
      <c r="D302" t="inlineStr">
        <is>
          <t>Home Decor, Kitchen, &amp; Other</t>
        </is>
      </c>
      <c r="E302" t="inlineStr">
        <is>
          <t>Reusable Lunch Bags &amp; Boxes</t>
        </is>
      </c>
      <c r="F302" t="inlineStr">
        <is>
          <t>Flyingstar</t>
        </is>
      </c>
      <c r="G302" t="n">
        <v>4.4</v>
      </c>
      <c r="H302" t="n">
        <v>50</v>
      </c>
      <c r="I302" t="inlineStr">
        <is>
          <t>Q2-Target,Lunch Bag,Lunch Bags</t>
        </is>
      </c>
      <c r="J302" s="29" t="n">
        <v>90.81</v>
      </c>
      <c r="K302" s="30" t="n">
        <v>0.0008</v>
      </c>
      <c r="L302" s="29" t="n">
        <v>20.18000030517578</v>
      </c>
      <c r="M302" s="29" t="n">
        <v>0</v>
      </c>
      <c r="N302" s="2" t="n">
        <v>9</v>
      </c>
      <c r="O302" s="31" t="n">
        <v>0</v>
      </c>
      <c r="P302" s="32" t="n"/>
      <c r="Q302" s="32" t="n">
        <v>0</v>
      </c>
      <c r="R302" s="32" t="n">
        <v>0</v>
      </c>
      <c r="S302" s="31" t="n">
        <v>0</v>
      </c>
      <c r="T302" s="32" t="n">
        <v>0</v>
      </c>
      <c r="U302" s="31" t="n">
        <v>0</v>
      </c>
      <c r="V302" s="31" t="n">
        <v>0</v>
      </c>
      <c r="W302" s="3" t="n">
        <v>0</v>
      </c>
      <c r="X302" s="3" t="n">
        <v>0</v>
      </c>
      <c r="Y302" s="32" t="n">
        <v>0</v>
      </c>
      <c r="Z302" s="3" t="n">
        <v>0</v>
      </c>
      <c r="AA302" s="32" t="n">
        <v>0</v>
      </c>
      <c r="AB302" s="3" t="n"/>
      <c r="AC302" s="31" t="n">
        <v>0</v>
      </c>
      <c r="AD302" s="2" t="n">
        <v>512</v>
      </c>
      <c r="AE302" s="2" t="n">
        <v>314</v>
      </c>
      <c r="AF302" s="4" t="n">
        <v>314</v>
      </c>
      <c r="AG302" s="33" t="n">
        <v>90.81</v>
      </c>
      <c r="AH302" s="4" t="n">
        <v>9</v>
      </c>
      <c r="AI302" s="34" t="n">
        <v>0.0287</v>
      </c>
      <c r="AJ302" s="34" t="n">
        <v>1</v>
      </c>
      <c r="AK302" s="2" t="n">
        <v>1500</v>
      </c>
      <c r="AL302" t="inlineStr">
        <is>
          <t>Published</t>
        </is>
      </c>
    </row>
    <row r="303">
      <c r="A303">
        <f>HYPERLINK("https://www.walmart.com/ip/459166422", "459166422")</f>
        <v/>
      </c>
      <c r="B303">
        <f>HYPERLINK("https://app.optiwise.ai/catalog/itemdetails/359301", "Catalonia Sherpa Adult Wearable Blanket with Sleeves &amp;amp; Foot Pockets for Women &amp;amp; Men, Black Wearable Throw Blanket")</f>
        <v/>
      </c>
      <c r="C303" t="inlineStr">
        <is>
          <t>1CTSN310BK</t>
        </is>
      </c>
      <c r="D303" t="inlineStr">
        <is>
          <t>Bedding</t>
        </is>
      </c>
      <c r="E303" t="inlineStr">
        <is>
          <t>Throws</t>
        </is>
      </c>
      <c r="F303" t="inlineStr">
        <is>
          <t>Catalonia</t>
        </is>
      </c>
      <c r="G303" t="n">
        <v>4.5</v>
      </c>
      <c r="H303" t="n">
        <v>14</v>
      </c>
      <c r="I303" t="inlineStr">
        <is>
          <t>Optimized,WFS,WFS Item</t>
        </is>
      </c>
      <c r="J303" s="29" t="n">
        <v>89.98</v>
      </c>
      <c r="K303" s="30" t="n">
        <v>0.0008</v>
      </c>
      <c r="L303" s="29" t="n">
        <v>44.9900016784668</v>
      </c>
      <c r="M303" s="29" t="n">
        <v>0</v>
      </c>
      <c r="N303" s="2" t="n">
        <v>2</v>
      </c>
      <c r="O303" s="31" t="n">
        <v>0</v>
      </c>
      <c r="P303" s="32" t="n"/>
      <c r="Q303" s="32" t="n">
        <v>0</v>
      </c>
      <c r="R303" s="32" t="n">
        <v>0</v>
      </c>
      <c r="S303" s="31" t="n">
        <v>0</v>
      </c>
      <c r="T303" s="32" t="n">
        <v>0</v>
      </c>
      <c r="U303" s="31" t="n">
        <v>0</v>
      </c>
      <c r="V303" s="31" t="n">
        <v>0</v>
      </c>
      <c r="W303" s="3" t="n">
        <v>0</v>
      </c>
      <c r="X303" s="3" t="n">
        <v>0</v>
      </c>
      <c r="Y303" s="32" t="n">
        <v>0</v>
      </c>
      <c r="Z303" s="3" t="n">
        <v>0</v>
      </c>
      <c r="AA303" s="32" t="n">
        <v>0</v>
      </c>
      <c r="AB303" s="3" t="n"/>
      <c r="AC303" s="31" t="n">
        <v>0</v>
      </c>
      <c r="AD303" s="2" t="n">
        <v>25</v>
      </c>
      <c r="AE303" s="2" t="n">
        <v>82</v>
      </c>
      <c r="AF303" s="4" t="n">
        <v>82</v>
      </c>
      <c r="AG303" s="33" t="n">
        <v>89.98</v>
      </c>
      <c r="AH303" s="4" t="n">
        <v>2</v>
      </c>
      <c r="AI303" s="34" t="n">
        <v>0.0244</v>
      </c>
      <c r="AJ303" s="34" t="n">
        <v>1</v>
      </c>
      <c r="AK303" s="2" t="n">
        <v>6750</v>
      </c>
      <c r="AL303" t="inlineStr">
        <is>
          <t>Published</t>
        </is>
      </c>
    </row>
    <row r="304">
      <c r="A304">
        <f>HYPERLINK("https://www.walmart.com/ip/3240919619", "3240919619")</f>
        <v/>
      </c>
      <c r="B304">
        <f>HYPERLINK("https://app.optiwise.ai/catalog/itemdetails/6059374", "Tirrinia Wind and Waterproof Outdoor Blanket, Sherpa Lining Fleece, Triple Layers Warm Comfy Foldable Blanket for Camping, Stadium, Sports, Picnics, Grass, Concerts and Pets, Green/Black, Extra Large Size 66'' x 90''")</f>
        <v/>
      </c>
      <c r="C304" t="inlineStr">
        <is>
          <t>1TRBW669GNBK</t>
        </is>
      </c>
      <c r="D304" t="inlineStr">
        <is>
          <t>Sport &amp; Recreation Other</t>
        </is>
      </c>
      <c r="E304" t="inlineStr">
        <is>
          <t>Picnic Blankets &amp; Mats</t>
        </is>
      </c>
      <c r="F304" t="inlineStr">
        <is>
          <t>Tirrinia</t>
        </is>
      </c>
      <c r="G304" t="n">
        <v>0</v>
      </c>
      <c r="H304" t="n">
        <v>0</v>
      </c>
      <c r="J304" s="29" t="n">
        <v>89.98</v>
      </c>
      <c r="K304" s="30" t="n">
        <v>0.0008</v>
      </c>
      <c r="L304" s="29" t="n">
        <v>0</v>
      </c>
      <c r="M304" s="29" t="n">
        <v>0</v>
      </c>
      <c r="N304" s="2" t="n">
        <v>2</v>
      </c>
      <c r="O304" s="31" t="n">
        <v>0</v>
      </c>
      <c r="P304" s="32" t="n"/>
      <c r="Q304" s="32" t="n">
        <v>0</v>
      </c>
      <c r="R304" s="32" t="n">
        <v>0</v>
      </c>
      <c r="S304" s="31" t="n">
        <v>0</v>
      </c>
      <c r="T304" s="32" t="n">
        <v>0</v>
      </c>
      <c r="U304" s="31" t="n">
        <v>0</v>
      </c>
      <c r="V304" s="31" t="n">
        <v>0</v>
      </c>
      <c r="W304" s="3" t="n">
        <v>0</v>
      </c>
      <c r="X304" s="3" t="n">
        <v>0</v>
      </c>
      <c r="Y304" s="32" t="n">
        <v>0</v>
      </c>
      <c r="Z304" s="3" t="n">
        <v>0</v>
      </c>
      <c r="AA304" s="32" t="n">
        <v>0</v>
      </c>
      <c r="AB304" s="3" t="n"/>
      <c r="AC304" s="31" t="n">
        <v>0</v>
      </c>
      <c r="AD304" s="2" t="n">
        <v>0</v>
      </c>
      <c r="AE304" s="2" t="n">
        <v>50</v>
      </c>
      <c r="AF304" s="4" t="n">
        <v>50</v>
      </c>
      <c r="AG304" s="33" t="n">
        <v>89.98</v>
      </c>
      <c r="AH304" s="4" t="n">
        <v>2</v>
      </c>
      <c r="AI304" s="34" t="n">
        <v>0.04</v>
      </c>
      <c r="AJ304" s="34" t="n">
        <v>1</v>
      </c>
      <c r="AK304" s="2" t="n">
        <v>6750</v>
      </c>
      <c r="AL304" t="inlineStr">
        <is>
          <t>Published</t>
        </is>
      </c>
    </row>
    <row r="305">
      <c r="A305">
        <f>HYPERLINK("https://www.walmart.com/ip/3885741609", "3885741609")</f>
        <v/>
      </c>
      <c r="B305">
        <f>HYPERLINK("https://app.optiwise.ai/catalog/itemdetails/7386268", "Kato Outdoors Waterproof Throw Blanket, Windproof Sherpa Fleece Blanket for Boat, Traveling, Camping, Hiking, and Football, Machine Washable, Navy/Grey, 66'' x 90''")</f>
        <v/>
      </c>
      <c r="C305" t="inlineStr">
        <is>
          <t>1KTBW669NYGY</t>
        </is>
      </c>
      <c r="D305" t="inlineStr">
        <is>
          <t>Bedding</t>
        </is>
      </c>
      <c r="E305" t="inlineStr">
        <is>
          <t>Throws</t>
        </is>
      </c>
      <c r="F305" t="inlineStr">
        <is>
          <t>Kato</t>
        </is>
      </c>
      <c r="G305" t="n">
        <v>0</v>
      </c>
      <c r="H305" t="n">
        <v>0</v>
      </c>
      <c r="I305" t="inlineStr">
        <is>
          <t>Q2-Target</t>
        </is>
      </c>
      <c r="J305" s="29" t="n">
        <v>89.98</v>
      </c>
      <c r="K305" s="30" t="n">
        <v>0.0008</v>
      </c>
      <c r="L305" s="29" t="n">
        <v>0</v>
      </c>
      <c r="M305" s="29" t="n">
        <v>0</v>
      </c>
      <c r="N305" s="2" t="n">
        <v>2</v>
      </c>
      <c r="O305" s="31" t="n">
        <v>0.71</v>
      </c>
      <c r="P305" s="32" t="n">
        <v>0.0001</v>
      </c>
      <c r="Q305" s="32" t="n">
        <v>0.007900000000000001</v>
      </c>
      <c r="R305" s="32" t="n">
        <v>0</v>
      </c>
      <c r="S305" s="31" t="n">
        <v>0</v>
      </c>
      <c r="T305" s="32" t="n">
        <v>0</v>
      </c>
      <c r="U305" s="31" t="n">
        <v>0</v>
      </c>
      <c r="V305" s="31" t="n">
        <v>0</v>
      </c>
      <c r="W305" s="3" t="n">
        <v>3784</v>
      </c>
      <c r="X305" s="3" t="n">
        <v>3</v>
      </c>
      <c r="Y305" s="32" t="n">
        <v>0.0008</v>
      </c>
      <c r="Z305" s="3" t="n">
        <v>0</v>
      </c>
      <c r="AA305" s="32" t="n">
        <v>0</v>
      </c>
      <c r="AB305" s="3" t="inlineStr">
        <is>
          <t>Throws_Auto_Optiwise_24</t>
        </is>
      </c>
      <c r="AC305" s="31" t="n">
        <v>0.24</v>
      </c>
      <c r="AD305" s="2" t="n">
        <v>0</v>
      </c>
      <c r="AE305" s="2" t="n">
        <v>23</v>
      </c>
      <c r="AF305" s="4" t="n">
        <v>20</v>
      </c>
      <c r="AG305" s="33" t="n">
        <v>89.98</v>
      </c>
      <c r="AH305" s="4" t="n">
        <v>2</v>
      </c>
      <c r="AI305" s="34" t="n">
        <v>0.1</v>
      </c>
      <c r="AJ305" s="34" t="n">
        <v>1</v>
      </c>
      <c r="AK305" s="2" t="n">
        <v>6885</v>
      </c>
      <c r="AL305" t="inlineStr">
        <is>
          <t>Published</t>
        </is>
      </c>
    </row>
    <row r="306">
      <c r="A306">
        <f>HYPERLINK("https://www.walmart.com/ip/632884269", "632884269")</f>
        <v/>
      </c>
      <c r="B306">
        <f>HYPERLINK("https://app.optiwise.ai/catalog/itemdetails/361998", "Catalonia Oversized Hoodie Blanket with Zipper, Wearable Sherpa Sweatshirt Pullover, Soft Warm Comfortable Jacket for Adults Men Women, Black")</f>
        <v/>
      </c>
      <c r="C306" t="inlineStr">
        <is>
          <t>1CTHD220BK</t>
        </is>
      </c>
      <c r="D306" t="inlineStr">
        <is>
          <t>Clothing</t>
        </is>
      </c>
      <c r="E306" t="inlineStr">
        <is>
          <t>Throws</t>
        </is>
      </c>
      <c r="F306" t="inlineStr">
        <is>
          <t>Catalonia</t>
        </is>
      </c>
      <c r="G306" t="n">
        <v>0</v>
      </c>
      <c r="H306" t="n">
        <v>0</v>
      </c>
      <c r="I306" t="inlineStr">
        <is>
          <t>Hoodie ForAdult,WFS,Coupon_Discount,WFS Item</t>
        </is>
      </c>
      <c r="J306" s="29" t="n">
        <v>89.98</v>
      </c>
      <c r="K306" s="30" t="n">
        <v>0.0008</v>
      </c>
      <c r="L306" s="29" t="n">
        <v>0</v>
      </c>
      <c r="M306" s="29" t="n">
        <v>0</v>
      </c>
      <c r="N306" s="2" t="n">
        <v>2</v>
      </c>
      <c r="O306" s="31" t="n">
        <v>8.51</v>
      </c>
      <c r="P306" s="32" t="n">
        <v>0.001</v>
      </c>
      <c r="Q306" s="32" t="n">
        <v>0.0946</v>
      </c>
      <c r="R306" s="32" t="n">
        <v>0.0378</v>
      </c>
      <c r="S306" s="31" t="n">
        <v>0</v>
      </c>
      <c r="T306" s="32" t="n">
        <v>0</v>
      </c>
      <c r="U306" s="31" t="n">
        <v>0</v>
      </c>
      <c r="V306" s="31" t="n">
        <v>0</v>
      </c>
      <c r="W306" s="3" t="n">
        <v>10804</v>
      </c>
      <c r="X306" s="3" t="n">
        <v>20</v>
      </c>
      <c r="Y306" s="32" t="n">
        <v>0.0019</v>
      </c>
      <c r="Z306" s="3" t="n">
        <v>0</v>
      </c>
      <c r="AA306" s="32" t="n">
        <v>0</v>
      </c>
      <c r="AB306" s="3" t="inlineStr">
        <is>
          <t>Hoodies_Auto</t>
        </is>
      </c>
      <c r="AC306" s="31" t="n">
        <v>0.43</v>
      </c>
      <c r="AD306" s="2" t="n">
        <v>41</v>
      </c>
      <c r="AE306" s="2" t="n">
        <v>60</v>
      </c>
      <c r="AF306" s="4" t="n">
        <v>40</v>
      </c>
      <c r="AG306" s="33" t="n">
        <v>89.98</v>
      </c>
      <c r="AH306" s="4" t="n">
        <v>2</v>
      </c>
      <c r="AI306" s="34" t="n">
        <v>0.05</v>
      </c>
      <c r="AJ306" s="34" t="n">
        <v>1</v>
      </c>
      <c r="AK306" s="2" t="n">
        <v>6750</v>
      </c>
      <c r="AL306" t="inlineStr">
        <is>
          <t>Published</t>
        </is>
      </c>
    </row>
    <row r="307">
      <c r="A307">
        <f>HYPERLINK("https://www.walmart.com/ip/575577386", "575577386")</f>
        <v/>
      </c>
      <c r="B307">
        <f>HYPERLINK("https://app.optiwise.ai/catalog/itemdetails/359309", "Catalonia Unisex Sherpa Wearable Blanket with Sleeves and Foot Pockets for Adults, Pink")</f>
        <v/>
      </c>
      <c r="C307" t="inlineStr">
        <is>
          <t>1CTSN310PK</t>
        </is>
      </c>
      <c r="D307" t="inlineStr">
        <is>
          <t>Bedding</t>
        </is>
      </c>
      <c r="E307" t="inlineStr">
        <is>
          <t>Throws</t>
        </is>
      </c>
      <c r="F307" t="inlineStr">
        <is>
          <t>Catalonia</t>
        </is>
      </c>
      <c r="G307" t="n">
        <v>0</v>
      </c>
      <c r="H307" t="n">
        <v>0</v>
      </c>
      <c r="I307" t="inlineStr">
        <is>
          <t>Optimized,WFS,Coupon_Discount,WFS Item</t>
        </is>
      </c>
      <c r="J307" s="29" t="n">
        <v>89.98</v>
      </c>
      <c r="K307" s="30" t="n">
        <v>0.0008</v>
      </c>
      <c r="L307" s="29" t="n">
        <v>44.9900016784668</v>
      </c>
      <c r="M307" s="29" t="n">
        <v>0</v>
      </c>
      <c r="N307" s="2" t="n">
        <v>2</v>
      </c>
      <c r="O307" s="31" t="n">
        <v>0</v>
      </c>
      <c r="P307" s="32" t="n"/>
      <c r="Q307" s="32" t="n">
        <v>0</v>
      </c>
      <c r="R307" s="32" t="n">
        <v>0</v>
      </c>
      <c r="S307" s="31" t="n">
        <v>0</v>
      </c>
      <c r="T307" s="32" t="n">
        <v>0</v>
      </c>
      <c r="U307" s="31" t="n">
        <v>0</v>
      </c>
      <c r="V307" s="31" t="n">
        <v>0</v>
      </c>
      <c r="W307" s="3" t="n">
        <v>0</v>
      </c>
      <c r="X307" s="3" t="n">
        <v>0</v>
      </c>
      <c r="Y307" s="32" t="n">
        <v>0</v>
      </c>
      <c r="Z307" s="3" t="n">
        <v>0</v>
      </c>
      <c r="AA307" s="32" t="n">
        <v>0</v>
      </c>
      <c r="AB307" s="3" t="n"/>
      <c r="AC307" s="31" t="n">
        <v>0</v>
      </c>
      <c r="AD307" s="2" t="n">
        <v>10</v>
      </c>
      <c r="AE307" s="2" t="n">
        <v>22</v>
      </c>
      <c r="AF307" s="4" t="n">
        <v>22</v>
      </c>
      <c r="AG307" s="33" t="n">
        <v>89.98</v>
      </c>
      <c r="AH307" s="4" t="n">
        <v>2</v>
      </c>
      <c r="AI307" s="34" t="n">
        <v>0.09089999999999999</v>
      </c>
      <c r="AJ307" s="34" t="n">
        <v>1</v>
      </c>
      <c r="AK307" s="2" t="n">
        <v>6750</v>
      </c>
      <c r="AL307" t="inlineStr">
        <is>
          <t>Published</t>
        </is>
      </c>
    </row>
    <row r="308">
      <c r="A308">
        <f>HYPERLINK("https://www.walmart.com/ip/15460468762", "15460468762")</f>
        <v/>
      </c>
      <c r="B308">
        <f>HYPERLINK("https://app.optiwise.ai/catalog/itemdetails/20125651", "Wrangler Men’s Bifold Wallet Genuine Leather, RFID Blocking, Casual Everyday 10-20 Cards Purse with AirTag Holder, Gift for Him")</f>
        <v/>
      </c>
      <c r="C308" t="inlineStr">
        <is>
          <t>WR-WALLET-59007-BLACK</t>
        </is>
      </c>
      <c r="D308" t="inlineStr">
        <is>
          <t>Cases &amp; Bags</t>
        </is>
      </c>
      <c r="E308" t="inlineStr">
        <is>
          <t>Wallets</t>
        </is>
      </c>
      <c r="F308" t="inlineStr">
        <is>
          <t>Wrangler</t>
        </is>
      </c>
      <c r="G308" t="n">
        <v>0</v>
      </c>
      <c r="H308" t="n">
        <v>0</v>
      </c>
      <c r="J308" s="29" t="n">
        <v>89.97</v>
      </c>
      <c r="K308" s="30" t="n">
        <v>0.0008</v>
      </c>
      <c r="L308" s="29" t="n">
        <v>0</v>
      </c>
      <c r="M308" s="29" t="n">
        <v>0</v>
      </c>
      <c r="N308" s="2" t="n">
        <v>3</v>
      </c>
      <c r="O308" s="31" t="n">
        <v>0</v>
      </c>
      <c r="P308" s="32" t="n"/>
      <c r="Q308" s="32" t="n">
        <v>0</v>
      </c>
      <c r="R308" s="32" t="n">
        <v>0</v>
      </c>
      <c r="S308" s="31" t="n">
        <v>0</v>
      </c>
      <c r="T308" s="32" t="n">
        <v>0</v>
      </c>
      <c r="U308" s="31" t="n">
        <v>0</v>
      </c>
      <c r="V308" s="31" t="n">
        <v>0</v>
      </c>
      <c r="W308" s="3" t="n">
        <v>0</v>
      </c>
      <c r="X308" s="3" t="n">
        <v>0</v>
      </c>
      <c r="Y308" s="32" t="n">
        <v>0</v>
      </c>
      <c r="Z308" s="3" t="n">
        <v>0</v>
      </c>
      <c r="AA308" s="32" t="n">
        <v>0</v>
      </c>
      <c r="AB308" s="3" t="n"/>
      <c r="AC308" s="31" t="n">
        <v>0</v>
      </c>
      <c r="AD308" s="2" t="n">
        <v>2</v>
      </c>
      <c r="AE308" s="2" t="n">
        <v>0</v>
      </c>
      <c r="AF308" s="4" t="n">
        <v>2</v>
      </c>
      <c r="AG308" s="33" t="n">
        <v>89.97</v>
      </c>
      <c r="AH308" s="4" t="n">
        <v>3</v>
      </c>
      <c r="AI308" s="34" t="n">
        <v>1.5</v>
      </c>
      <c r="AJ308" s="34" t="n">
        <v>1</v>
      </c>
      <c r="AK308" s="2" t="n">
        <v>4500</v>
      </c>
      <c r="AL308" t="inlineStr">
        <is>
          <t>Published</t>
        </is>
      </c>
    </row>
    <row r="309">
      <c r="A309">
        <f>HYPERLINK("https://www.walmart.com/ip/519753209", "519753209")</f>
        <v/>
      </c>
      <c r="B309">
        <f>HYPERLINK("https://app.optiwise.ai/catalog/itemdetails/362616", "Sun Blocker Sun Hat for Men, Sun Cap with Neck Flap for Fishing, Safari, Cycling, Hiking, Gardening, and Backpacking, UPF50+, Khaki")</f>
        <v/>
      </c>
      <c r="C309" t="inlineStr">
        <is>
          <t>KC-S9153-KK</t>
        </is>
      </c>
      <c r="D309" t="inlineStr">
        <is>
          <t>Clothing</t>
        </is>
      </c>
      <c r="E309" t="inlineStr">
        <is>
          <t>Hats</t>
        </is>
      </c>
      <c r="F309" t="inlineStr">
        <is>
          <t>Sun Blocker</t>
        </is>
      </c>
      <c r="G309" t="n">
        <v>4.3</v>
      </c>
      <c r="H309" t="n">
        <v>19</v>
      </c>
      <c r="I309" t="inlineStr">
        <is>
          <t>Q2-Target,Optimized,Hats</t>
        </is>
      </c>
      <c r="J309" s="29" t="n">
        <v>89.95</v>
      </c>
      <c r="K309" s="30" t="n">
        <v>0.0008</v>
      </c>
      <c r="L309" s="29" t="n">
        <v>0</v>
      </c>
      <c r="M309" s="29" t="n">
        <v>0</v>
      </c>
      <c r="N309" s="2" t="n">
        <v>5</v>
      </c>
      <c r="O309" s="31" t="n">
        <v>7.389999999999999</v>
      </c>
      <c r="P309" s="32" t="n">
        <v>0.0009</v>
      </c>
      <c r="Q309" s="32" t="n">
        <v>0.0822</v>
      </c>
      <c r="R309" s="32" t="n">
        <v>0.5973000000000001</v>
      </c>
      <c r="S309" s="31" t="n">
        <v>7.17</v>
      </c>
      <c r="T309" s="32" t="n">
        <v>0.14</v>
      </c>
      <c r="U309" s="31" t="n">
        <v>52.97</v>
      </c>
      <c r="V309" s="31" t="n">
        <v>52.97</v>
      </c>
      <c r="W309" s="3" t="n">
        <v>10925</v>
      </c>
      <c r="X309" s="3" t="n">
        <v>24</v>
      </c>
      <c r="Y309" s="32" t="n">
        <v>0.0022</v>
      </c>
      <c r="Z309" s="3" t="n">
        <v>3</v>
      </c>
      <c r="AA309" s="32" t="n">
        <v>0.125</v>
      </c>
      <c r="AB309" s="3" t="inlineStr">
        <is>
          <t>Auto Campaign_Vinay</t>
        </is>
      </c>
      <c r="AC309" s="31" t="n">
        <v>0.31</v>
      </c>
      <c r="AD309" s="2" t="n">
        <v>0</v>
      </c>
      <c r="AE309" s="2" t="n">
        <v>95</v>
      </c>
      <c r="AF309" s="4" t="n">
        <v>71</v>
      </c>
      <c r="AG309" s="33" t="n">
        <v>36.98</v>
      </c>
      <c r="AH309" s="4" t="n">
        <v>2</v>
      </c>
      <c r="AI309" s="34" t="n">
        <v>0.0282</v>
      </c>
      <c r="AJ309" s="34" t="n">
        <v>0.4111</v>
      </c>
      <c r="AK309" s="2" t="n">
        <v>2700</v>
      </c>
      <c r="AL309" t="inlineStr">
        <is>
          <t>Published</t>
        </is>
      </c>
    </row>
    <row r="310">
      <c r="A310">
        <f>HYPERLINK("https://www.walmart.com/ip/6129116557", "6129116557")</f>
        <v/>
      </c>
      <c r="B310">
        <f>HYPERLINK("https://app.optiwise.ai/catalog/itemdetails/9588097", "Cute Child Cotton Hooded Poncho Towels Mermaid Cartoon Changing Robe Swimmer Outdoor Beach 23” x 52” By Tirrinia")</f>
        <v/>
      </c>
      <c r="C310" t="inlineStr">
        <is>
          <t>1TRBR203MUL</t>
        </is>
      </c>
      <c r="D310" t="inlineStr">
        <is>
          <t>Clothing</t>
        </is>
      </c>
      <c r="E310" t="inlineStr">
        <is>
          <t>Towels &amp; Washcloths</t>
        </is>
      </c>
      <c r="F310" t="inlineStr">
        <is>
          <t>Tirrinia</t>
        </is>
      </c>
      <c r="G310" t="n">
        <v>0</v>
      </c>
      <c r="H310" t="n">
        <v>0</v>
      </c>
      <c r="J310" s="29" t="n">
        <v>89.95</v>
      </c>
      <c r="K310" s="30" t="n">
        <v>0.0008</v>
      </c>
      <c r="L310" s="29" t="n">
        <v>0</v>
      </c>
      <c r="M310" s="29" t="n">
        <v>0</v>
      </c>
      <c r="N310" s="2" t="n">
        <v>5</v>
      </c>
      <c r="O310" s="31" t="n">
        <v>2.2</v>
      </c>
      <c r="P310" s="32" t="n">
        <v>0.0003</v>
      </c>
      <c r="Q310" s="32" t="n">
        <v>0.0245</v>
      </c>
      <c r="R310" s="32" t="n">
        <v>0.0956</v>
      </c>
      <c r="S310" s="31" t="n">
        <v>0</v>
      </c>
      <c r="T310" s="32" t="n">
        <v>0</v>
      </c>
      <c r="U310" s="31" t="n">
        <v>0</v>
      </c>
      <c r="V310" s="31" t="n">
        <v>0</v>
      </c>
      <c r="W310" s="3" t="n">
        <v>7363</v>
      </c>
      <c r="X310" s="3" t="n">
        <v>11</v>
      </c>
      <c r="Y310" s="32" t="n">
        <v>0.0015</v>
      </c>
      <c r="Z310" s="3" t="n">
        <v>0</v>
      </c>
      <c r="AA310" s="32" t="n">
        <v>0</v>
      </c>
      <c r="AB310" s="3" t="inlineStr">
        <is>
          <t>Auto for Top sale---Rachel</t>
        </is>
      </c>
      <c r="AC310" s="31" t="n">
        <v>0.2</v>
      </c>
      <c r="AD310" s="2" t="n">
        <v>0</v>
      </c>
      <c r="AE310" s="2" t="n">
        <v>48</v>
      </c>
      <c r="AF310" s="4" t="n">
        <v>37</v>
      </c>
      <c r="AG310" s="33" t="n">
        <v>89.95</v>
      </c>
      <c r="AH310" s="4" t="n">
        <v>5</v>
      </c>
      <c r="AI310" s="34" t="n">
        <v>0.1351</v>
      </c>
      <c r="AJ310" s="34" t="n">
        <v>1</v>
      </c>
      <c r="AK310" s="2" t="n">
        <v>0</v>
      </c>
      <c r="AL310" t="inlineStr">
        <is>
          <t>Published</t>
        </is>
      </c>
    </row>
    <row r="311">
      <c r="A311">
        <f>HYPERLINK("https://www.walmart.com/ip/824611421", "824611421")</f>
        <v/>
      </c>
      <c r="B311">
        <f>HYPERLINK("https://app.optiwise.ai/catalog/itemdetails/417463", "Pawsse Waterproof Pet Blanket, Pee Urine Proof Dog Blanket Cover for Couch Bed Furniture Protector, Liquid Proof Blanket for Small Medium Dogs, Buffale Red/Tuape, 50” x 30”.")</f>
        <v/>
      </c>
      <c r="C311" t="inlineStr">
        <is>
          <t>1PSBW351BRTP</t>
        </is>
      </c>
      <c r="D311" t="inlineStr">
        <is>
          <t>Animal Accessories</t>
        </is>
      </c>
      <c r="E311" t="inlineStr">
        <is>
          <t>Pet Blankets</t>
        </is>
      </c>
      <c r="F311" t="inlineStr">
        <is>
          <t>Pawsse</t>
        </is>
      </c>
      <c r="G311" t="n">
        <v>0</v>
      </c>
      <c r="H311" t="n">
        <v>0</v>
      </c>
      <c r="I311" t="inlineStr">
        <is>
          <t>Q2-Target,Batch 1 - TR</t>
        </is>
      </c>
      <c r="J311" s="29" t="n">
        <v>89.94</v>
      </c>
      <c r="K311" s="30" t="n">
        <v>0.0008</v>
      </c>
      <c r="L311" s="29" t="n">
        <v>29.97999954223633</v>
      </c>
      <c r="M311" s="29" t="n">
        <v>0</v>
      </c>
      <c r="N311" s="2" t="n">
        <v>6</v>
      </c>
      <c r="O311" s="31" t="n">
        <v>17.39</v>
      </c>
      <c r="P311" s="32" t="n">
        <v>0.0021</v>
      </c>
      <c r="Q311" s="32" t="n">
        <v>0.1934</v>
      </c>
      <c r="R311" s="32" t="n">
        <v>0.0242</v>
      </c>
      <c r="S311" s="31" t="n">
        <v>7.3</v>
      </c>
      <c r="T311" s="32" t="n">
        <v>0.14</v>
      </c>
      <c r="U311" s="31" t="n">
        <v>126.93</v>
      </c>
      <c r="V311" s="31" t="n">
        <v>74.95</v>
      </c>
      <c r="W311" s="3" t="n">
        <v>37780</v>
      </c>
      <c r="X311" s="3" t="n">
        <v>49</v>
      </c>
      <c r="Y311" s="32" t="n">
        <v>0.0013</v>
      </c>
      <c r="Z311" s="3" t="n">
        <v>7</v>
      </c>
      <c r="AA311" s="32" t="n">
        <v>0.1429</v>
      </c>
      <c r="AB311" s="3" t="inlineStr">
        <is>
          <t>Auto for BW PET 2 ---Rachel,Pet Blankets_Auto_Optiwise_24</t>
        </is>
      </c>
      <c r="AC311" s="31" t="n">
        <v>0.35</v>
      </c>
      <c r="AD311" s="2" t="n">
        <v>90</v>
      </c>
      <c r="AE311" s="2" t="n">
        <v>115</v>
      </c>
      <c r="AF311" s="4" t="n">
        <v>66</v>
      </c>
      <c r="AG311" s="33" t="n">
        <v>-36.98999999999998</v>
      </c>
      <c r="AH311" s="4" t="n">
        <v>-1</v>
      </c>
      <c r="AI311" s="34" t="n">
        <v>-0.0152</v>
      </c>
      <c r="AJ311" s="34" t="n">
        <v>-0.4113</v>
      </c>
      <c r="AK311" s="2" t="n">
        <v>2272</v>
      </c>
      <c r="AL311" t="inlineStr">
        <is>
          <t>Published</t>
        </is>
      </c>
    </row>
    <row r="312">
      <c r="A312">
        <f>HYPERLINK("https://www.walmart.com/ip/170996420", "170996420")</f>
        <v/>
      </c>
      <c r="B312">
        <f>HYPERLINK("https://app.optiwise.ai/catalog/itemdetails/6057894", "Tirrinia Single Wine Gift Tote Bag, Insulated Padded Thermal Wine Bottle Carrying Cooler Carrier for Travel, Picnic, Great Gift for Wine Lover, Brown Diamond")</f>
        <v/>
      </c>
      <c r="C312" t="inlineStr">
        <is>
          <t>1TRWB102BRDO</t>
        </is>
      </c>
      <c r="D312" t="inlineStr">
        <is>
          <t>Home Decor, Kitchen, &amp; Other</t>
        </is>
      </c>
      <c r="E312" t="inlineStr">
        <is>
          <t>Wine Totes, Bags &amp; Backpacks</t>
        </is>
      </c>
      <c r="F312" t="inlineStr">
        <is>
          <t>Tirrinia</t>
        </is>
      </c>
      <c r="G312" t="n">
        <v>0</v>
      </c>
      <c r="H312" t="n">
        <v>0</v>
      </c>
      <c r="J312" s="29" t="n">
        <v>88.92</v>
      </c>
      <c r="K312" s="30" t="n">
        <v>0.0008</v>
      </c>
      <c r="L312" s="29" t="n">
        <v>0</v>
      </c>
      <c r="M312" s="29" t="n">
        <v>0</v>
      </c>
      <c r="N312" s="2" t="n">
        <v>6</v>
      </c>
      <c r="O312" s="31" t="n">
        <v>14.5</v>
      </c>
      <c r="P312" s="32" t="n">
        <v>0.0017</v>
      </c>
      <c r="Q312" s="32" t="n">
        <v>0.1631</v>
      </c>
      <c r="R312" s="32" t="n">
        <v>0.0939</v>
      </c>
      <c r="S312" s="31" t="n">
        <v>1.65</v>
      </c>
      <c r="T312" s="32" t="n">
        <v>0.6</v>
      </c>
      <c r="U312" s="31" t="n">
        <v>23.98</v>
      </c>
      <c r="V312" s="31" t="n">
        <v>23.98</v>
      </c>
      <c r="W312" s="3" t="n">
        <v>25842</v>
      </c>
      <c r="X312" s="3" t="n">
        <v>38</v>
      </c>
      <c r="Y312" s="32" t="n">
        <v>0.0015</v>
      </c>
      <c r="Z312" s="3" t="n">
        <v>2</v>
      </c>
      <c r="AA312" s="32" t="n">
        <v>0.0526</v>
      </c>
      <c r="AB312" s="3" t="inlineStr">
        <is>
          <t>All Items_Auto_Optiwise_24,Auto Campaign_Vinay</t>
        </is>
      </c>
      <c r="AC312" s="31" t="n">
        <v>0.38</v>
      </c>
      <c r="AD312" s="2" t="n">
        <v>6</v>
      </c>
      <c r="AE312" s="2" t="n">
        <v>68</v>
      </c>
      <c r="AF312" s="4" t="n">
        <v>30</v>
      </c>
      <c r="AG312" s="33" t="n">
        <v>64.94</v>
      </c>
      <c r="AH312" s="4" t="n">
        <v>4</v>
      </c>
      <c r="AI312" s="34" t="n">
        <v>0.1333</v>
      </c>
      <c r="AJ312" s="34" t="n">
        <v>0.7302999999999999</v>
      </c>
      <c r="AK312" s="2" t="n">
        <v>720</v>
      </c>
      <c r="AL312" t="inlineStr">
        <is>
          <t>Published</t>
        </is>
      </c>
    </row>
    <row r="313">
      <c r="A313">
        <f>HYPERLINK("https://www.walmart.com/ip/3972988053", "3972988053")</f>
        <v/>
      </c>
      <c r="B313">
        <f>HYPERLINK("https://app.optiwise.ai/catalog/itemdetails/6051373", "Catalonia Waterproof Blanket for Outdoors, Hooded Blanket Poncho, Windproof, Warm, Wearable, Portable Fleece Blanket for Stadium, Picnics, Sports Events, Camping, Yoga, and Beach, Orange/Black")</f>
        <v/>
      </c>
      <c r="C313" t="inlineStr">
        <is>
          <t>1CTBC200ORBK</t>
        </is>
      </c>
      <c r="D313" t="inlineStr">
        <is>
          <t>Sport &amp; Recreation Other</t>
        </is>
      </c>
      <c r="E313" t="inlineStr">
        <is>
          <t>Throws</t>
        </is>
      </c>
      <c r="F313" t="inlineStr">
        <is>
          <t>Catalonia</t>
        </is>
      </c>
      <c r="G313" t="n">
        <v>0</v>
      </c>
      <c r="H313" t="n">
        <v>0</v>
      </c>
      <c r="I313" t="inlineStr">
        <is>
          <t>Wproof Blanket</t>
        </is>
      </c>
      <c r="J313" s="29" t="n">
        <v>87.95999999999999</v>
      </c>
      <c r="K313" s="30" t="n">
        <v>0.0008</v>
      </c>
      <c r="L313" s="29" t="n">
        <v>0</v>
      </c>
      <c r="M313" s="29" t="n">
        <v>0</v>
      </c>
      <c r="N313" s="2" t="n">
        <v>3</v>
      </c>
      <c r="O313" s="31" t="n">
        <v>0</v>
      </c>
      <c r="P313" s="32" t="n"/>
      <c r="Q313" s="32" t="n">
        <v>0</v>
      </c>
      <c r="R313" s="32" t="n">
        <v>0</v>
      </c>
      <c r="S313" s="31" t="n">
        <v>0</v>
      </c>
      <c r="T313" s="32" t="n">
        <v>0</v>
      </c>
      <c r="U313" s="31" t="n">
        <v>0</v>
      </c>
      <c r="V313" s="31" t="n">
        <v>0</v>
      </c>
      <c r="W313" s="3" t="n">
        <v>0</v>
      </c>
      <c r="X313" s="3" t="n">
        <v>0</v>
      </c>
      <c r="Y313" s="32" t="n">
        <v>0</v>
      </c>
      <c r="Z313" s="3" t="n">
        <v>0</v>
      </c>
      <c r="AA313" s="32" t="n">
        <v>0</v>
      </c>
      <c r="AB313" s="3" t="n"/>
      <c r="AC313" s="31" t="n">
        <v>0</v>
      </c>
      <c r="AD313" s="2" t="n">
        <v>7</v>
      </c>
      <c r="AE313" s="2" t="n">
        <v>45</v>
      </c>
      <c r="AF313" s="4" t="n">
        <v>45</v>
      </c>
      <c r="AG313" s="33" t="n">
        <v>87.95999999999999</v>
      </c>
      <c r="AH313" s="4" t="n">
        <v>3</v>
      </c>
      <c r="AI313" s="34" t="n">
        <v>0.0667</v>
      </c>
      <c r="AJ313" s="34" t="n">
        <v>1</v>
      </c>
      <c r="AK313" s="2" t="n">
        <v>4635</v>
      </c>
      <c r="AL313" t="inlineStr">
        <is>
          <t>Published</t>
        </is>
      </c>
    </row>
    <row r="314">
      <c r="A314">
        <f>HYPERLINK("https://www.walmart.com/ip/601376420", "601376420")</f>
        <v/>
      </c>
      <c r="B314">
        <f>HYPERLINK("https://app.optiwise.ai/catalog/itemdetails/361767", "Catalonia Wearable Blanket with Sleeves and Pocket, Cozy Soft Fleece Micro Plush Wrap Adult Blanket Robe for Women Men, Makes a Great Gift for Holidays, Purple, 73 x 51”")</f>
        <v/>
      </c>
      <c r="C314" t="inlineStr">
        <is>
          <t>1CTSN100PP</t>
        </is>
      </c>
      <c r="D314" t="inlineStr">
        <is>
          <t>Bedding</t>
        </is>
      </c>
      <c r="E314" t="inlineStr">
        <is>
          <t>Throws</t>
        </is>
      </c>
      <c r="F314" t="inlineStr">
        <is>
          <t>Catalonia</t>
        </is>
      </c>
      <c r="G314" t="n">
        <v>4.2</v>
      </c>
      <c r="H314" t="n">
        <v>42</v>
      </c>
      <c r="I314" t="inlineStr">
        <is>
          <t>Q2-Target,WFS,Coupon_Discount,WFS Item</t>
        </is>
      </c>
      <c r="J314" s="29" t="n">
        <v>87.95999999999999</v>
      </c>
      <c r="K314" s="30" t="n">
        <v>0.0008</v>
      </c>
      <c r="L314" s="29" t="n">
        <v>0</v>
      </c>
      <c r="M314" s="29" t="n">
        <v>0</v>
      </c>
      <c r="N314" s="2" t="n">
        <v>4</v>
      </c>
      <c r="O314" s="31" t="n">
        <v>11.32</v>
      </c>
      <c r="P314" s="32" t="n">
        <v>0.0014</v>
      </c>
      <c r="Q314" s="32" t="n">
        <v>0.1287</v>
      </c>
      <c r="R314" s="32" t="n">
        <v>0.0232</v>
      </c>
      <c r="S314" s="31" t="n">
        <v>1.94</v>
      </c>
      <c r="T314" s="32" t="n">
        <v>0.51</v>
      </c>
      <c r="U314" s="31" t="n">
        <v>21.99</v>
      </c>
      <c r="V314" s="31" t="n">
        <v>21.99</v>
      </c>
      <c r="W314" s="3" t="n">
        <v>8984</v>
      </c>
      <c r="X314" s="3" t="n">
        <v>29</v>
      </c>
      <c r="Y314" s="32" t="n">
        <v>0.0032</v>
      </c>
      <c r="Z314" s="3" t="n">
        <v>1</v>
      </c>
      <c r="AA314" s="32" t="n">
        <v>0.0345</v>
      </c>
      <c r="AB314" s="3" t="inlineStr">
        <is>
          <t>WFS Inventory</t>
        </is>
      </c>
      <c r="AC314" s="31" t="n">
        <v>0.39</v>
      </c>
      <c r="AD314" s="2" t="n">
        <v>135</v>
      </c>
      <c r="AE314" s="2" t="n">
        <v>71</v>
      </c>
      <c r="AF314" s="4" t="n">
        <v>42</v>
      </c>
      <c r="AG314" s="33" t="n">
        <v>65.97</v>
      </c>
      <c r="AH314" s="4" t="n">
        <v>3</v>
      </c>
      <c r="AI314" s="34" t="n">
        <v>0.07140000000000001</v>
      </c>
      <c r="AJ314" s="34" t="n">
        <v>0.75</v>
      </c>
      <c r="AK314" s="2" t="n">
        <v>101</v>
      </c>
      <c r="AL314" t="inlineStr">
        <is>
          <t>Published</t>
        </is>
      </c>
    </row>
    <row r="315">
      <c r="A315">
        <f>HYPERLINK("https://www.walmart.com/ip/818955209", "818955209")</f>
        <v/>
      </c>
      <c r="B315">
        <f>HYPERLINK("https://app.optiwise.ai/catalog/itemdetails/361775", "Kato Insulated Wine Carrier Bag - 4 Bottle Travel Padded Wine Carrying CoolerTote with Handle and Shoulder Strap, Great Wine Lover Gift, Black")</f>
        <v/>
      </c>
      <c r="C315" t="inlineStr">
        <is>
          <t>1KTWB420BK</t>
        </is>
      </c>
      <c r="D315" t="inlineStr">
        <is>
          <t>Home Decor, Kitchen, &amp; Other</t>
        </is>
      </c>
      <c r="E315" t="inlineStr">
        <is>
          <t>Wine Totes, Bags &amp; Backpacks</t>
        </is>
      </c>
      <c r="F315" t="inlineStr">
        <is>
          <t>Kato</t>
        </is>
      </c>
      <c r="G315" t="n">
        <v>0</v>
      </c>
      <c r="H315" t="n">
        <v>0</v>
      </c>
      <c r="I315" t="inlineStr">
        <is>
          <t>Wine,Christmas,WFS,Wine WFS,Valentine,SEM,WFS Item</t>
        </is>
      </c>
      <c r="J315" s="29" t="n">
        <v>87.95999999999999</v>
      </c>
      <c r="K315" s="30" t="n">
        <v>0.0008</v>
      </c>
      <c r="L315" s="29" t="n">
        <v>0</v>
      </c>
      <c r="M315" s="29" t="n">
        <v>0</v>
      </c>
      <c r="N315" s="2" t="n">
        <v>4</v>
      </c>
      <c r="O315" s="31" t="n">
        <v>15.89</v>
      </c>
      <c r="P315" s="32" t="n">
        <v>0.0019</v>
      </c>
      <c r="Q315" s="32" t="n">
        <v>0.1807</v>
      </c>
      <c r="R315" s="32" t="n">
        <v>0.1061</v>
      </c>
      <c r="S315" s="31" t="n">
        <v>2.83</v>
      </c>
      <c r="T315" s="32" t="n">
        <v>0.35</v>
      </c>
      <c r="U315" s="31" t="n">
        <v>44.98</v>
      </c>
      <c r="V315" s="31" t="n">
        <v>44.98</v>
      </c>
      <c r="W315" s="3" t="n">
        <v>16954</v>
      </c>
      <c r="X315" s="3" t="n">
        <v>38</v>
      </c>
      <c r="Y315" s="32" t="n">
        <v>0.0022</v>
      </c>
      <c r="Z315" s="3" t="n">
        <v>2</v>
      </c>
      <c r="AA315" s="32" t="n">
        <v>0.0526</v>
      </c>
      <c r="AB315" s="3" t="inlineStr">
        <is>
          <t>Auto Campaign_Vinay</t>
        </is>
      </c>
      <c r="AC315" s="31" t="n">
        <v>0.42</v>
      </c>
      <c r="AD315" s="2" t="n">
        <v>0</v>
      </c>
      <c r="AE315" s="2" t="n">
        <v>83</v>
      </c>
      <c r="AF315" s="4" t="n">
        <v>45</v>
      </c>
      <c r="AG315" s="33" t="n">
        <v>42.98</v>
      </c>
      <c r="AH315" s="4" t="n">
        <v>2</v>
      </c>
      <c r="AI315" s="34" t="n">
        <v>0.0444</v>
      </c>
      <c r="AJ315" s="34" t="n">
        <v>0.4886</v>
      </c>
      <c r="AK315" s="2" t="n">
        <v>3375</v>
      </c>
      <c r="AL315" t="inlineStr">
        <is>
          <t>Published</t>
        </is>
      </c>
    </row>
    <row r="316">
      <c r="A316">
        <f>HYPERLINK("https://www.walmart.com/ip/2179194995", "2179194995")</f>
        <v/>
      </c>
      <c r="B316">
        <f>HYPERLINK("https://app.optiwise.ai/catalog/itemdetails/6051366", "Catalonia Waterproof Blanket for Outdoors, Hooded Blanket Poncho, Windproof, Warm, Wearable, Portable Fleece Blanket for Stadium, Picnics, Sports Events, Camping, Yoga, and Beach, Grey/Blue")</f>
        <v/>
      </c>
      <c r="C316" t="inlineStr">
        <is>
          <t>1CTBC200BLGY</t>
        </is>
      </c>
      <c r="D316" t="inlineStr">
        <is>
          <t>Bedding</t>
        </is>
      </c>
      <c r="E316" t="inlineStr">
        <is>
          <t>Throws</t>
        </is>
      </c>
      <c r="F316" t="inlineStr">
        <is>
          <t>Catalonia</t>
        </is>
      </c>
      <c r="G316" t="n">
        <v>0</v>
      </c>
      <c r="H316" t="n">
        <v>0</v>
      </c>
      <c r="I316" t="inlineStr">
        <is>
          <t>Wproof Blanket</t>
        </is>
      </c>
      <c r="J316" s="29" t="n">
        <v>87.95999999999999</v>
      </c>
      <c r="K316" s="30" t="n">
        <v>0.0008</v>
      </c>
      <c r="L316" s="29" t="n">
        <v>0</v>
      </c>
      <c r="M316" s="29" t="n">
        <v>0</v>
      </c>
      <c r="N316" s="2" t="n">
        <v>3</v>
      </c>
      <c r="O316" s="31" t="n">
        <v>0.8</v>
      </c>
      <c r="P316" s="32" t="n">
        <v>0.0001</v>
      </c>
      <c r="Q316" s="32" t="n">
        <v>0.0091</v>
      </c>
      <c r="R316" s="32" t="n">
        <v>0.08599999999999999</v>
      </c>
      <c r="S316" s="31" t="n">
        <v>0</v>
      </c>
      <c r="T316" s="32" t="n">
        <v>0</v>
      </c>
      <c r="U316" s="31" t="n">
        <v>0</v>
      </c>
      <c r="V316" s="31" t="n">
        <v>0</v>
      </c>
      <c r="W316" s="3" t="n">
        <v>5365</v>
      </c>
      <c r="X316" s="3" t="n">
        <v>4</v>
      </c>
      <c r="Y316" s="32" t="n">
        <v>0.0007</v>
      </c>
      <c r="Z316" s="3" t="n">
        <v>0</v>
      </c>
      <c r="AA316" s="32" t="n">
        <v>0</v>
      </c>
      <c r="AB316" s="3" t="inlineStr">
        <is>
          <t>Auto for Top sale---Rachel</t>
        </is>
      </c>
      <c r="AC316" s="31" t="n">
        <v>0.2</v>
      </c>
      <c r="AD316" s="2" t="n">
        <v>0</v>
      </c>
      <c r="AE316" s="2" t="n">
        <v>45</v>
      </c>
      <c r="AF316" s="4" t="n">
        <v>41</v>
      </c>
      <c r="AG316" s="33" t="n">
        <v>87.95999999999999</v>
      </c>
      <c r="AH316" s="4" t="n">
        <v>3</v>
      </c>
      <c r="AI316" s="34" t="n">
        <v>0.0732</v>
      </c>
      <c r="AJ316" s="34" t="n">
        <v>1</v>
      </c>
      <c r="AK316" s="2" t="n">
        <v>4770</v>
      </c>
      <c r="AL316" t="inlineStr">
        <is>
          <t>Published</t>
        </is>
      </c>
    </row>
    <row r="317">
      <c r="A317">
        <f>HYPERLINK("https://www.walmart.com/ip/453616413", "453616413")</f>
        <v/>
      </c>
      <c r="B317">
        <f>HYPERLINK("https://app.optiwise.ai/catalog/itemdetails/362418", "Sherpa Wearable Blanket with Sleeves &amp; Foot Pockets for Adult Women Men, Comfy Snuggle Wrap Sleeved Throw Blanket Robe, Cow Print, Gift Idea")</f>
        <v/>
      </c>
      <c r="C317" t="inlineStr">
        <is>
          <t>1CTSN310DMT</t>
        </is>
      </c>
      <c r="D317" t="inlineStr">
        <is>
          <t>Bedding</t>
        </is>
      </c>
      <c r="E317" t="inlineStr">
        <is>
          <t>Throws</t>
        </is>
      </c>
      <c r="F317" t="inlineStr">
        <is>
          <t>Catalonia</t>
        </is>
      </c>
      <c r="G317" t="n">
        <v>0</v>
      </c>
      <c r="H317" t="n">
        <v>0</v>
      </c>
      <c r="I317" t="inlineStr">
        <is>
          <t>Optimized,Coupon_Discount</t>
        </is>
      </c>
      <c r="J317" s="29" t="n">
        <v>85.98</v>
      </c>
      <c r="K317" s="30" t="n">
        <v>0.0007</v>
      </c>
      <c r="L317" s="29" t="n">
        <v>0</v>
      </c>
      <c r="M317" s="29" t="n">
        <v>0</v>
      </c>
      <c r="N317" s="2" t="n">
        <v>2</v>
      </c>
      <c r="O317" s="31" t="n">
        <v>0</v>
      </c>
      <c r="P317" s="32" t="n"/>
      <c r="Q317" s="32" t="n">
        <v>0</v>
      </c>
      <c r="R317" s="32" t="n">
        <v>0</v>
      </c>
      <c r="S317" s="31" t="n">
        <v>0</v>
      </c>
      <c r="T317" s="32" t="n">
        <v>0</v>
      </c>
      <c r="U317" s="31" t="n">
        <v>0</v>
      </c>
      <c r="V317" s="31" t="n">
        <v>0</v>
      </c>
      <c r="W317" s="3" t="n">
        <v>0</v>
      </c>
      <c r="X317" s="3" t="n">
        <v>0</v>
      </c>
      <c r="Y317" s="32" t="n">
        <v>0</v>
      </c>
      <c r="Z317" s="3" t="n">
        <v>0</v>
      </c>
      <c r="AA317" s="32" t="n">
        <v>0</v>
      </c>
      <c r="AB317" s="3" t="n"/>
      <c r="AC317" s="31" t="n">
        <v>0</v>
      </c>
      <c r="AD317" s="2" t="n">
        <v>0</v>
      </c>
      <c r="AE317" s="2" t="n">
        <v>64</v>
      </c>
      <c r="AF317" s="4" t="n">
        <v>64</v>
      </c>
      <c r="AG317" s="33" t="n">
        <v>85.98</v>
      </c>
      <c r="AH317" s="4" t="n">
        <v>2</v>
      </c>
      <c r="AI317" s="34" t="n">
        <v>0.0312</v>
      </c>
      <c r="AJ317" s="34" t="n">
        <v>1</v>
      </c>
      <c r="AK317" s="2" t="n">
        <v>5130</v>
      </c>
      <c r="AL317" t="inlineStr">
        <is>
          <t>Published</t>
        </is>
      </c>
    </row>
    <row r="318">
      <c r="A318">
        <f>HYPERLINK("https://www.walmart.com/ip/112872395", "112872395")</f>
        <v/>
      </c>
      <c r="B318">
        <f>HYPERLINK("https://app.optiwise.ai/catalog/itemdetails/362757", "Sherpa Wearable Blanket with Sleeves &amp; Foot Pockets for Adult Women Men, Comfy Snuggle Wrap Sleeved Throw Blanket Robe, Gift Idea, Plaid, 75 x 53")</f>
        <v/>
      </c>
      <c r="C318" t="inlineStr">
        <is>
          <t>1CTSN310PRD</t>
        </is>
      </c>
      <c r="D318" t="inlineStr">
        <is>
          <t>Home - Home Decor, Kitchen, &amp; Other</t>
        </is>
      </c>
      <c r="E318" t="inlineStr">
        <is>
          <t>Throws</t>
        </is>
      </c>
      <c r="F318" t="inlineStr">
        <is>
          <t>Catalonia</t>
        </is>
      </c>
      <c r="G318" t="n">
        <v>4.6</v>
      </c>
      <c r="H318" t="n">
        <v>25</v>
      </c>
      <c r="I318" t="inlineStr">
        <is>
          <t>Q2-Target,Optimized,WFS,Coupon_Discount,WFS Item</t>
        </is>
      </c>
      <c r="J318" s="29" t="n">
        <v>85.98</v>
      </c>
      <c r="K318" s="30" t="n">
        <v>0.0007</v>
      </c>
      <c r="L318" s="29" t="n">
        <v>0</v>
      </c>
      <c r="M318" s="29" t="n">
        <v>0</v>
      </c>
      <c r="N318" s="2" t="n">
        <v>2</v>
      </c>
      <c r="O318" s="31" t="n">
        <v>0</v>
      </c>
      <c r="P318" s="32" t="n"/>
      <c r="Q318" s="32" t="n">
        <v>0</v>
      </c>
      <c r="R318" s="32" t="n">
        <v>0</v>
      </c>
      <c r="S318" s="31" t="n">
        <v>0</v>
      </c>
      <c r="T318" s="32" t="n">
        <v>0</v>
      </c>
      <c r="U318" s="31" t="n">
        <v>0</v>
      </c>
      <c r="V318" s="31" t="n">
        <v>0</v>
      </c>
      <c r="W318" s="3" t="n">
        <v>0</v>
      </c>
      <c r="X318" s="3" t="n">
        <v>0</v>
      </c>
      <c r="Y318" s="32" t="n">
        <v>0</v>
      </c>
      <c r="Z318" s="3" t="n">
        <v>0</v>
      </c>
      <c r="AA318" s="32" t="n">
        <v>0</v>
      </c>
      <c r="AB318" s="3" t="n"/>
      <c r="AC318" s="31" t="n">
        <v>0</v>
      </c>
      <c r="AD318" s="2" t="n">
        <v>90</v>
      </c>
      <c r="AE318" s="2" t="n">
        <v>171</v>
      </c>
      <c r="AF318" s="4" t="n">
        <v>171</v>
      </c>
      <c r="AG318" s="33" t="n">
        <v>85.98</v>
      </c>
      <c r="AH318" s="4" t="n">
        <v>2</v>
      </c>
      <c r="AI318" s="34" t="n">
        <v>0.0117</v>
      </c>
      <c r="AJ318" s="34" t="n">
        <v>1</v>
      </c>
      <c r="AK318" s="2" t="n">
        <v>6750</v>
      </c>
      <c r="AL318" t="inlineStr">
        <is>
          <t>Published</t>
        </is>
      </c>
    </row>
    <row r="319">
      <c r="A319">
        <f>HYPERLINK("https://www.walmart.com/ip/198069787", "198069787")</f>
        <v/>
      </c>
      <c r="B319">
        <f>HYPERLINK("https://app.optiwise.ai/catalog/itemdetails/360570", "Sherpa Wearable Blanket with Sleeves &amp; Foot Pockets for Adult Women Men, Comfy Snuggle Wrap Sleeved Throw Blanket Robe, Gift Idea, Plaid")</f>
        <v/>
      </c>
      <c r="C319" t="inlineStr">
        <is>
          <t>1CTSN310P2GN</t>
        </is>
      </c>
      <c r="D319" t="inlineStr">
        <is>
          <t>Bedding</t>
        </is>
      </c>
      <c r="E319" t="inlineStr">
        <is>
          <t>Throws</t>
        </is>
      </c>
      <c r="F319" t="inlineStr">
        <is>
          <t>Catalonia</t>
        </is>
      </c>
      <c r="G319" t="n">
        <v>4.8</v>
      </c>
      <c r="H319" t="n">
        <v>18</v>
      </c>
      <c r="I319" t="inlineStr">
        <is>
          <t>Q2-Target,Optimized,WFS,Coupon_Discount,WFS Item</t>
        </is>
      </c>
      <c r="J319" s="29" t="n">
        <v>85.98</v>
      </c>
      <c r="K319" s="30" t="n">
        <v>0.0007</v>
      </c>
      <c r="L319" s="29" t="n">
        <v>0</v>
      </c>
      <c r="M319" s="29" t="n">
        <v>0</v>
      </c>
      <c r="N319" s="2" t="n">
        <v>2</v>
      </c>
      <c r="O319" s="31" t="n">
        <v>0</v>
      </c>
      <c r="P319" s="32" t="n"/>
      <c r="Q319" s="32" t="n">
        <v>0</v>
      </c>
      <c r="R319" s="32" t="n">
        <v>0</v>
      </c>
      <c r="S319" s="31" t="n">
        <v>0</v>
      </c>
      <c r="T319" s="32" t="n">
        <v>0</v>
      </c>
      <c r="U319" s="31" t="n">
        <v>0</v>
      </c>
      <c r="V319" s="31" t="n">
        <v>0</v>
      </c>
      <c r="W319" s="3" t="n">
        <v>0</v>
      </c>
      <c r="X319" s="3" t="n">
        <v>0</v>
      </c>
      <c r="Y319" s="32" t="n">
        <v>0</v>
      </c>
      <c r="Z319" s="3" t="n">
        <v>0</v>
      </c>
      <c r="AA319" s="32" t="n">
        <v>0</v>
      </c>
      <c r="AB319" s="3" t="n"/>
      <c r="AC319" s="31" t="n">
        <v>0</v>
      </c>
      <c r="AD319" s="2" t="n">
        <v>14</v>
      </c>
      <c r="AE319" s="2" t="n">
        <v>68</v>
      </c>
      <c r="AF319" s="4" t="n">
        <v>68</v>
      </c>
      <c r="AG319" s="33" t="n">
        <v>85.98</v>
      </c>
      <c r="AH319" s="4" t="n">
        <v>2</v>
      </c>
      <c r="AI319" s="34" t="n">
        <v>0.0294</v>
      </c>
      <c r="AJ319" s="34" t="n">
        <v>1</v>
      </c>
      <c r="AK319" s="2" t="n">
        <v>1485</v>
      </c>
      <c r="AL319" t="inlineStr">
        <is>
          <t>Published</t>
        </is>
      </c>
    </row>
    <row r="320">
      <c r="A320">
        <f>HYPERLINK("https://www.walmart.com/ip/861900554", "861900554")</f>
        <v/>
      </c>
      <c r="B320">
        <f>HYPERLINK("https://app.optiwise.ai/catalog/itemdetails/362198", "Tirrinia Insulated Lunch Bag for Women Men, Leakproof Thermal Reusable Lunch Box with 4 Pockets for Adult Kids, Lunch Bag Cooler Tote for Office Work, Back to School, Dark Blue")</f>
        <v/>
      </c>
      <c r="C320" t="inlineStr">
        <is>
          <t>1TRLB702DBL-N</t>
        </is>
      </c>
      <c r="D320" t="inlineStr">
        <is>
          <t>Home Decor, Kitchen, &amp; Other</t>
        </is>
      </c>
      <c r="E320" t="inlineStr">
        <is>
          <t>Reusable Lunch Bags &amp; Boxes</t>
        </is>
      </c>
      <c r="F320" t="inlineStr">
        <is>
          <t>Tirrinia</t>
        </is>
      </c>
      <c r="G320" t="n">
        <v>0</v>
      </c>
      <c r="H320" t="n">
        <v>0</v>
      </c>
      <c r="I320" t="inlineStr">
        <is>
          <t>Q2-Target,Brand Camp VD,Lunch Bag,WFS,SEM,WFS Item</t>
        </is>
      </c>
      <c r="J320" s="29" t="n">
        <v>85.09</v>
      </c>
      <c r="K320" s="30" t="n">
        <v>0.0007</v>
      </c>
      <c r="L320" s="29" t="n">
        <v>0</v>
      </c>
      <c r="M320" s="29" t="n">
        <v>0</v>
      </c>
      <c r="N320" s="2" t="n">
        <v>7</v>
      </c>
      <c r="O320" s="31" t="n">
        <v>0</v>
      </c>
      <c r="P320" s="32" t="n"/>
      <c r="Q320" s="32" t="n">
        <v>0</v>
      </c>
      <c r="R320" s="32" t="n">
        <v>0.03</v>
      </c>
      <c r="S320" s="31" t="n">
        <v>0</v>
      </c>
      <c r="T320" s="32" t="n">
        <v>0</v>
      </c>
      <c r="U320" s="31" t="n">
        <v>0</v>
      </c>
      <c r="V320" s="31" t="n">
        <v>0</v>
      </c>
      <c r="W320" s="3" t="n">
        <v>0</v>
      </c>
      <c r="X320" s="3" t="n">
        <v>0</v>
      </c>
      <c r="Y320" s="32" t="n">
        <v>0</v>
      </c>
      <c r="Z320" s="3" t="n">
        <v>0</v>
      </c>
      <c r="AA320" s="32" t="n">
        <v>0</v>
      </c>
      <c r="AB320" s="3" t="n"/>
      <c r="AC320" s="31" t="n">
        <v>0</v>
      </c>
      <c r="AD320" s="2" t="n">
        <v>14</v>
      </c>
      <c r="AE320" s="2" t="n">
        <v>66</v>
      </c>
      <c r="AF320" s="4" t="n">
        <v>66</v>
      </c>
      <c r="AG320" s="33" t="n">
        <v>85.09</v>
      </c>
      <c r="AH320" s="4" t="n">
        <v>7</v>
      </c>
      <c r="AI320" s="34" t="n">
        <v>0.1061</v>
      </c>
      <c r="AJ320" s="34" t="n">
        <v>1</v>
      </c>
      <c r="AK320" s="2" t="n">
        <v>1928</v>
      </c>
      <c r="AL320" t="inlineStr">
        <is>
          <t>Published</t>
        </is>
      </c>
    </row>
    <row r="321">
      <c r="A321">
        <f>HYPERLINK("https://www.walmart.com/ip/357398446", "357398446")</f>
        <v/>
      </c>
      <c r="B321">
        <f>HYPERLINK("https://app.optiwise.ai/catalog/itemdetails/361214", "Catalonia Wearable Fleece Blanket with Sleeves and Foot Pockets for Adult Women and Men, Micro Plush Comfy Wrap Sleeved Throw Blanket Robe, Large, Red Plaid, 75 x 53")</f>
        <v/>
      </c>
      <c r="C321" t="inlineStr">
        <is>
          <t>1CTSN101PRD</t>
        </is>
      </c>
      <c r="D321" t="inlineStr">
        <is>
          <t>Bedding</t>
        </is>
      </c>
      <c r="E321" t="inlineStr">
        <is>
          <t>Throws</t>
        </is>
      </c>
      <c r="F321" t="inlineStr">
        <is>
          <t>Catalonia</t>
        </is>
      </c>
      <c r="G321" t="n">
        <v>4.3</v>
      </c>
      <c r="H321" t="n">
        <v>11</v>
      </c>
      <c r="I321" t="inlineStr">
        <is>
          <t>Q2-Target,WFS,WFS Item,Fleece Blankets</t>
        </is>
      </c>
      <c r="J321" s="29" t="n">
        <v>84.95999999999999</v>
      </c>
      <c r="K321" s="30" t="n">
        <v>0.0007</v>
      </c>
      <c r="L321" s="29" t="n">
        <v>0</v>
      </c>
      <c r="M321" s="29" t="n">
        <v>0</v>
      </c>
      <c r="N321" s="2" t="n">
        <v>3</v>
      </c>
      <c r="O321" s="31" t="n">
        <v>52.67999999999999</v>
      </c>
      <c r="P321" s="32" t="n">
        <v>0.0063</v>
      </c>
      <c r="Q321" s="32" t="n">
        <v>0.6201</v>
      </c>
      <c r="R321" s="32" t="n">
        <v>0</v>
      </c>
      <c r="S321" s="31" t="n">
        <v>2.01</v>
      </c>
      <c r="T321" s="32" t="n">
        <v>0.5</v>
      </c>
      <c r="U321" s="31" t="n">
        <v>105.96</v>
      </c>
      <c r="V321" s="31" t="n">
        <v>105.96</v>
      </c>
      <c r="W321" s="3" t="n">
        <v>66323</v>
      </c>
      <c r="X321" s="3" t="n">
        <v>128</v>
      </c>
      <c r="Y321" s="32" t="n">
        <v>0.0019</v>
      </c>
      <c r="Z321" s="3" t="n">
        <v>4</v>
      </c>
      <c r="AA321" s="32" t="n">
        <v>0.0312</v>
      </c>
      <c r="AB321" s="3" t="inlineStr">
        <is>
          <t>Need to sell these SKUs by 15th Feb</t>
        </is>
      </c>
      <c r="AC321" s="31" t="n">
        <v>0.41</v>
      </c>
      <c r="AD321" s="2" t="n">
        <v>64</v>
      </c>
      <c r="AE321" s="2" t="n">
        <v>74</v>
      </c>
      <c r="AF321" s="4" t="inlineStr">
        <is>
          <t>NA</t>
        </is>
      </c>
      <c r="AG321" s="33" t="n">
        <v>-21</v>
      </c>
      <c r="AH321" s="4" t="n">
        <v>-1</v>
      </c>
      <c r="AI321" s="34" t="inlineStr">
        <is>
          <t>NA</t>
        </is>
      </c>
      <c r="AJ321" s="34" t="n">
        <v>-0.2472</v>
      </c>
      <c r="AK321" s="2" t="n">
        <v>4590</v>
      </c>
      <c r="AL321" t="inlineStr">
        <is>
          <t>Published</t>
        </is>
      </c>
    </row>
    <row r="322">
      <c r="A322">
        <f>HYPERLINK("https://www.walmart.com/ip/600633477", "600633477")</f>
        <v/>
      </c>
      <c r="B322">
        <f>HYPERLINK("https://app.optiwise.ai/catalog/itemdetails/362737", "Fleece Blanket Wearable with Sleeves &amp; Foot pockets for Men and Women, Micro Plush Wrap Sleeved Throw Blanket Robe Multi-Colors 75”x53” by Catalonia")</f>
        <v/>
      </c>
      <c r="C322" t="inlineStr">
        <is>
          <t>1CTSN101GN</t>
        </is>
      </c>
      <c r="D322" t="inlineStr">
        <is>
          <t>Bedding</t>
        </is>
      </c>
      <c r="E322" t="inlineStr">
        <is>
          <t>Throws</t>
        </is>
      </c>
      <c r="F322" t="inlineStr">
        <is>
          <t>Catalonia</t>
        </is>
      </c>
      <c r="G322" t="n">
        <v>3.8</v>
      </c>
      <c r="H322" t="n">
        <v>5</v>
      </c>
      <c r="I322" t="inlineStr">
        <is>
          <t>WFS,Coupon_Discount,WFS Item,Fleece Blankets</t>
        </is>
      </c>
      <c r="J322" s="29" t="n">
        <v>84.95999999999999</v>
      </c>
      <c r="K322" s="30" t="n">
        <v>0.0007</v>
      </c>
      <c r="L322" s="29" t="n">
        <v>0</v>
      </c>
      <c r="M322" s="29" t="n">
        <v>0</v>
      </c>
      <c r="N322" s="2" t="n">
        <v>3</v>
      </c>
      <c r="O322" s="31" t="n">
        <v>0</v>
      </c>
      <c r="P322" s="32" t="n"/>
      <c r="Q322" s="32" t="n">
        <v>0</v>
      </c>
      <c r="R322" s="32" t="n">
        <v>0</v>
      </c>
      <c r="S322" s="31" t="n">
        <v>0</v>
      </c>
      <c r="T322" s="32" t="n">
        <v>0</v>
      </c>
      <c r="U322" s="31" t="n">
        <v>0</v>
      </c>
      <c r="V322" s="31" t="n">
        <v>0</v>
      </c>
      <c r="W322" s="3" t="n">
        <v>0</v>
      </c>
      <c r="X322" s="3" t="n">
        <v>0</v>
      </c>
      <c r="Y322" s="32" t="n">
        <v>0</v>
      </c>
      <c r="Z322" s="3" t="n">
        <v>0</v>
      </c>
      <c r="AA322" s="32" t="n">
        <v>0</v>
      </c>
      <c r="AB322" s="3" t="n"/>
      <c r="AC322" s="31" t="n">
        <v>0</v>
      </c>
      <c r="AD322" s="2" t="n">
        <v>34</v>
      </c>
      <c r="AE322" s="2" t="n">
        <v>63</v>
      </c>
      <c r="AF322" s="4" t="n">
        <v>63</v>
      </c>
      <c r="AG322" s="33" t="n">
        <v>84.95999999999999</v>
      </c>
      <c r="AH322" s="4" t="n">
        <v>3</v>
      </c>
      <c r="AI322" s="34" t="n">
        <v>0.0476</v>
      </c>
      <c r="AJ322" s="34" t="n">
        <v>1</v>
      </c>
      <c r="AK322" s="2" t="n">
        <v>4500</v>
      </c>
      <c r="AL322" t="inlineStr">
        <is>
          <t>Published</t>
        </is>
      </c>
    </row>
    <row r="323">
      <c r="A323">
        <f>HYPERLINK("https://www.walmart.com/ip/436991822", "436991822")</f>
        <v/>
      </c>
      <c r="B323">
        <f>HYPERLINK("https://app.optiwise.ai/catalog/itemdetails/361360", "Solaris Sun Hat For Women Wide Brim Summer Beach Hat With Neck Flap, UPF 50+ Fishing Hat For Outdoor Hiking, Camping,Travelling, One Size, Pink")</f>
        <v/>
      </c>
      <c r="C323" t="inlineStr">
        <is>
          <t>1SLSH921PK</t>
        </is>
      </c>
      <c r="D323" t="inlineStr">
        <is>
          <t>Clothing</t>
        </is>
      </c>
      <c r="E323" t="inlineStr">
        <is>
          <t>Hats</t>
        </is>
      </c>
      <c r="F323" t="inlineStr">
        <is>
          <t>Solaris</t>
        </is>
      </c>
      <c r="G323" t="n">
        <v>0</v>
      </c>
      <c r="H323" t="n">
        <v>0</v>
      </c>
      <c r="I323" t="inlineStr">
        <is>
          <t>Q2-Target,WFS,Hats,WFS Item</t>
        </is>
      </c>
      <c r="J323" s="29" t="n">
        <v>84.95</v>
      </c>
      <c r="K323" s="30" t="n">
        <v>0.0007</v>
      </c>
      <c r="L323" s="29" t="n">
        <v>0</v>
      </c>
      <c r="M323" s="29" t="n">
        <v>0</v>
      </c>
      <c r="N323" s="2" t="n">
        <v>5</v>
      </c>
      <c r="O323" s="31" t="n">
        <v>1.55</v>
      </c>
      <c r="P323" s="32" t="n">
        <v>0.0002</v>
      </c>
      <c r="Q323" s="32" t="n">
        <v>0.0182</v>
      </c>
      <c r="R323" s="32" t="n">
        <v>0</v>
      </c>
      <c r="S323" s="31" t="n">
        <v>0</v>
      </c>
      <c r="T323" s="32" t="n">
        <v>0</v>
      </c>
      <c r="U323" s="31" t="n">
        <v>0</v>
      </c>
      <c r="V323" s="31" t="n">
        <v>0</v>
      </c>
      <c r="W323" s="3" t="n">
        <v>5179</v>
      </c>
      <c r="X323" s="3" t="n">
        <v>5</v>
      </c>
      <c r="Y323" s="32" t="n">
        <v>0.001</v>
      </c>
      <c r="Z323" s="3" t="n">
        <v>0</v>
      </c>
      <c r="AA323" s="32" t="n">
        <v>0</v>
      </c>
      <c r="AB323" s="3" t="inlineStr">
        <is>
          <t>Need to sell these SKUs by 15th Feb</t>
        </is>
      </c>
      <c r="AC323" s="31" t="n">
        <v>0.31</v>
      </c>
      <c r="AD323" s="2" t="n">
        <v>20</v>
      </c>
      <c r="AE323" s="2" t="n">
        <v>66</v>
      </c>
      <c r="AF323" s="4" t="n">
        <v>61</v>
      </c>
      <c r="AG323" s="33" t="n">
        <v>84.95</v>
      </c>
      <c r="AH323" s="4" t="n">
        <v>5</v>
      </c>
      <c r="AI323" s="34" t="n">
        <v>0.082</v>
      </c>
      <c r="AJ323" s="34" t="n">
        <v>1</v>
      </c>
      <c r="AK323" s="2" t="n">
        <v>2862</v>
      </c>
      <c r="AL323" t="inlineStr">
        <is>
          <t>Published</t>
        </is>
      </c>
    </row>
    <row r="324">
      <c r="A324">
        <f>HYPERLINK("https://www.walmart.com/ip/991327507", "991327507")</f>
        <v/>
      </c>
      <c r="B324">
        <f>HYPERLINK("https://app.optiwise.ai/catalog/itemdetails/380712", "Catalonia Reversible Sherpa Throw Blanket, Super Soft Fluffy Blanket for Couch,  Fuzzy Comfy Warm Throws, Comfort Caring Gift, 50x60 inches, Pink")</f>
        <v/>
      </c>
      <c r="C324" t="inlineStr">
        <is>
          <t>1CTBF578PK</t>
        </is>
      </c>
      <c r="D324" t="inlineStr">
        <is>
          <t>Bedding</t>
        </is>
      </c>
      <c r="E324" t="inlineStr">
        <is>
          <t>Throws</t>
        </is>
      </c>
      <c r="F324" t="inlineStr">
        <is>
          <t>Catalonia</t>
        </is>
      </c>
      <c r="G324" t="n">
        <v>0</v>
      </c>
      <c r="H324" t="n">
        <v>0</v>
      </c>
      <c r="I324" t="inlineStr">
        <is>
          <t>Q2-Target,WFS,Coupon_Discount,WFS Item</t>
        </is>
      </c>
      <c r="J324" s="29" t="n">
        <v>83.95999999999999</v>
      </c>
      <c r="K324" s="30" t="n">
        <v>0.0007</v>
      </c>
      <c r="L324" s="29" t="n">
        <v>0</v>
      </c>
      <c r="M324" s="29" t="n">
        <v>0</v>
      </c>
      <c r="N324" s="2" t="n">
        <v>4</v>
      </c>
      <c r="O324" s="31" t="n">
        <v>0</v>
      </c>
      <c r="P324" s="32" t="n"/>
      <c r="Q324" s="32" t="n">
        <v>0</v>
      </c>
      <c r="R324" s="32" t="n">
        <v>0</v>
      </c>
      <c r="S324" s="31" t="n">
        <v>0</v>
      </c>
      <c r="T324" s="32" t="n">
        <v>0</v>
      </c>
      <c r="U324" s="31" t="n">
        <v>0</v>
      </c>
      <c r="V324" s="31" t="n">
        <v>0</v>
      </c>
      <c r="W324" s="3" t="n">
        <v>0</v>
      </c>
      <c r="X324" s="3" t="n">
        <v>0</v>
      </c>
      <c r="Y324" s="32" t="n">
        <v>0</v>
      </c>
      <c r="Z324" s="3" t="n">
        <v>0</v>
      </c>
      <c r="AA324" s="32" t="n">
        <v>0</v>
      </c>
      <c r="AB324" s="3" t="n"/>
      <c r="AC324" s="31" t="n">
        <v>0</v>
      </c>
      <c r="AD324" s="2" t="n">
        <v>119</v>
      </c>
      <c r="AE324" s="2" t="n">
        <v>283</v>
      </c>
      <c r="AF324" s="4" t="n">
        <v>283</v>
      </c>
      <c r="AG324" s="33" t="n">
        <v>83.95999999999999</v>
      </c>
      <c r="AH324" s="4" t="n">
        <v>4</v>
      </c>
      <c r="AI324" s="34" t="n">
        <v>0.0141</v>
      </c>
      <c r="AJ324" s="34" t="n">
        <v>1</v>
      </c>
      <c r="AK324" s="2" t="n">
        <v>3375</v>
      </c>
      <c r="AL324" t="inlineStr">
        <is>
          <t>Published</t>
        </is>
      </c>
    </row>
    <row r="325">
      <c r="A325">
        <f>HYPERLINK("https://www.walmart.com/ip/603539915", "603539915")</f>
        <v/>
      </c>
      <c r="B325">
        <f>HYPERLINK("https://app.optiwise.ai/catalog/itemdetails/361607", "Catalonia Mermaid Tail Fleece Blanket, Soft Flannel All Seasons Bed Blanket for Kids, Adults, Shiny Rainbow Ombre, Fish Scale Design Snuggle Blanket, Ideal Gift for Holidays, 61 x 20")</f>
        <v/>
      </c>
      <c r="C325" t="inlineStr">
        <is>
          <t>1CTMM501PK</t>
        </is>
      </c>
      <c r="D325" t="inlineStr">
        <is>
          <t>Bedding</t>
        </is>
      </c>
      <c r="E325" t="inlineStr">
        <is>
          <t>Throws</t>
        </is>
      </c>
      <c r="F325" t="inlineStr">
        <is>
          <t>Catalonia</t>
        </is>
      </c>
      <c r="G325" t="n">
        <v>3.6</v>
      </c>
      <c r="H325" t="n">
        <v>5</v>
      </c>
      <c r="I325" t="inlineStr">
        <is>
          <t>Q2-Target,Baby days,WFS,WFS Item</t>
        </is>
      </c>
      <c r="J325" s="29" t="n">
        <v>83.95999999999999</v>
      </c>
      <c r="K325" s="30" t="n">
        <v>0.0007</v>
      </c>
      <c r="L325" s="29" t="n">
        <v>0</v>
      </c>
      <c r="M325" s="29" t="n">
        <v>0</v>
      </c>
      <c r="N325" s="2" t="n">
        <v>4</v>
      </c>
      <c r="O325" s="31" t="n">
        <v>1.6</v>
      </c>
      <c r="P325" s="32" t="n">
        <v>0.0002</v>
      </c>
      <c r="Q325" s="32" t="n">
        <v>0.0191</v>
      </c>
      <c r="R325" s="32" t="n">
        <v>0.0235</v>
      </c>
      <c r="S325" s="31" t="n">
        <v>0</v>
      </c>
      <c r="T325" s="32" t="n">
        <v>0</v>
      </c>
      <c r="U325" s="31" t="n">
        <v>0</v>
      </c>
      <c r="V325" s="31" t="n">
        <v>0</v>
      </c>
      <c r="W325" s="3" t="n">
        <v>11596</v>
      </c>
      <c r="X325" s="3" t="n">
        <v>8</v>
      </c>
      <c r="Y325" s="32" t="n">
        <v>0.0007</v>
      </c>
      <c r="Z325" s="3" t="n">
        <v>0</v>
      </c>
      <c r="AA325" s="32" t="n">
        <v>0</v>
      </c>
      <c r="AB325" s="3" t="inlineStr">
        <is>
          <t>Auto for Top sale---Rachel</t>
        </is>
      </c>
      <c r="AC325" s="31" t="n">
        <v>0.2</v>
      </c>
      <c r="AD325" s="2" t="n">
        <v>42</v>
      </c>
      <c r="AE325" s="2" t="n">
        <v>92</v>
      </c>
      <c r="AF325" s="4" t="n">
        <v>84</v>
      </c>
      <c r="AG325" s="33" t="n">
        <v>83.95999999999999</v>
      </c>
      <c r="AH325" s="4" t="n">
        <v>4</v>
      </c>
      <c r="AI325" s="34" t="n">
        <v>0.0476</v>
      </c>
      <c r="AJ325" s="34" t="n">
        <v>1</v>
      </c>
      <c r="AK325" s="2" t="n">
        <v>3375</v>
      </c>
      <c r="AL325" t="inlineStr">
        <is>
          <t>Published</t>
        </is>
      </c>
    </row>
    <row r="326">
      <c r="A326">
        <f>HYPERLINK("https://www.walmart.com/ip/1247409190", "1247409190")</f>
        <v/>
      </c>
      <c r="B326">
        <f>HYPERLINK("https://app.optiwise.ai/catalog/itemdetails/4346337", "Tirrinia Insulated Lunch Bag for Women Men, Leakproof Thermal Reusable Lunch Box for Adult &amp; Kids, Lunch Cooler Tote for Office Work Back to School, Medium, Green")</f>
        <v/>
      </c>
      <c r="C326" t="inlineStr">
        <is>
          <t>1TRLB701GN-N</t>
        </is>
      </c>
      <c r="D326" t="inlineStr">
        <is>
          <t>Home Decor, Kitchen, &amp; Other</t>
        </is>
      </c>
      <c r="E326" t="inlineStr">
        <is>
          <t>Reusable Lunch Bags &amp; Boxes</t>
        </is>
      </c>
      <c r="F326" t="inlineStr">
        <is>
          <t>Tirrinia</t>
        </is>
      </c>
      <c r="G326" t="n">
        <v>0</v>
      </c>
      <c r="H326" t="n">
        <v>0</v>
      </c>
      <c r="I326" t="inlineStr">
        <is>
          <t>Q2-Target,Brand Camp VD,Lunch Bags,SEM,Batch 1 - TR</t>
        </is>
      </c>
      <c r="J326" s="29" t="n">
        <v>83.94</v>
      </c>
      <c r="K326" s="30" t="n">
        <v>0.0007</v>
      </c>
      <c r="L326" s="29" t="n">
        <v>0</v>
      </c>
      <c r="M326" s="29" t="n">
        <v>13.98999977111816</v>
      </c>
      <c r="N326" s="2" t="n">
        <v>6</v>
      </c>
      <c r="O326" s="31" t="n">
        <v>0</v>
      </c>
      <c r="P326" s="32" t="n"/>
      <c r="Q326" s="32" t="n">
        <v>0</v>
      </c>
      <c r="R326" s="32" t="n">
        <v>0.0141</v>
      </c>
      <c r="S326" s="31" t="n">
        <v>0</v>
      </c>
      <c r="T326" s="32" t="n">
        <v>0</v>
      </c>
      <c r="U326" s="31" t="n">
        <v>0</v>
      </c>
      <c r="V326" s="31" t="n">
        <v>0</v>
      </c>
      <c r="W326" s="3" t="n">
        <v>0</v>
      </c>
      <c r="X326" s="3" t="n">
        <v>0</v>
      </c>
      <c r="Y326" s="32" t="n">
        <v>0</v>
      </c>
      <c r="Z326" s="3" t="n">
        <v>0</v>
      </c>
      <c r="AA326" s="32" t="n">
        <v>0</v>
      </c>
      <c r="AB326" s="3" t="n"/>
      <c r="AC326" s="31" t="n">
        <v>0</v>
      </c>
      <c r="AD326" s="2" t="n">
        <v>41</v>
      </c>
      <c r="AE326" s="2" t="n">
        <v>75</v>
      </c>
      <c r="AF326" s="4" t="n">
        <v>75</v>
      </c>
      <c r="AG326" s="33" t="n">
        <v>83.94</v>
      </c>
      <c r="AH326" s="4" t="n">
        <v>6</v>
      </c>
      <c r="AI326" s="34" t="n">
        <v>0.08</v>
      </c>
      <c r="AJ326" s="34" t="n">
        <v>1</v>
      </c>
      <c r="AK326" s="2" t="n">
        <v>2250</v>
      </c>
      <c r="AL326" t="inlineStr">
        <is>
          <t>Published</t>
        </is>
      </c>
    </row>
    <row r="327">
      <c r="A327">
        <f>HYPERLINK("https://www.walmart.com/ip/419347891", "419347891")</f>
        <v/>
      </c>
      <c r="B327">
        <f>HYPERLINK("https://app.optiwise.ai/catalog/itemdetails/361270", "Flyingstar Lunch Bag for Women Men, Insulated Lunch Tote for Working/School/Picnic Fashionable Cooler Bag")</f>
        <v/>
      </c>
      <c r="C327" t="inlineStr">
        <is>
          <t>1WMLB704DBL</t>
        </is>
      </c>
      <c r="D327" t="inlineStr">
        <is>
          <t>Home Decor, Kitchen, &amp; Other</t>
        </is>
      </c>
      <c r="E327" t="inlineStr">
        <is>
          <t>Reusable Lunch Bags &amp; Boxes</t>
        </is>
      </c>
      <c r="F327" t="inlineStr">
        <is>
          <t>Flyingstar</t>
        </is>
      </c>
      <c r="G327" t="n">
        <v>3.7</v>
      </c>
      <c r="H327" t="n">
        <v>3</v>
      </c>
      <c r="I327" t="inlineStr">
        <is>
          <t>Q2-Target,Lunch Bag</t>
        </is>
      </c>
      <c r="J327" s="29" t="n">
        <v>80.72</v>
      </c>
      <c r="K327" s="30" t="n">
        <v>0.0007</v>
      </c>
      <c r="L327" s="29" t="n">
        <v>10.09000015258789</v>
      </c>
      <c r="M327" s="29" t="n">
        <v>0</v>
      </c>
      <c r="N327" s="2" t="n">
        <v>8</v>
      </c>
      <c r="O327" s="31" t="n">
        <v>0</v>
      </c>
      <c r="P327" s="32" t="n"/>
      <c r="Q327" s="32" t="n">
        <v>0</v>
      </c>
      <c r="R327" s="32" t="n">
        <v>0.1625</v>
      </c>
      <c r="S327" s="31" t="n">
        <v>0</v>
      </c>
      <c r="T327" s="32" t="n">
        <v>0</v>
      </c>
      <c r="U327" s="31" t="n">
        <v>0</v>
      </c>
      <c r="V327" s="31" t="n">
        <v>0</v>
      </c>
      <c r="W327" s="3" t="n">
        <v>0</v>
      </c>
      <c r="X327" s="3" t="n">
        <v>0</v>
      </c>
      <c r="Y327" s="32" t="n">
        <v>0</v>
      </c>
      <c r="Z327" s="3" t="n">
        <v>0</v>
      </c>
      <c r="AA327" s="32" t="n">
        <v>0</v>
      </c>
      <c r="AB327" s="3" t="n"/>
      <c r="AC327" s="31" t="n">
        <v>0</v>
      </c>
      <c r="AD327" s="2" t="n">
        <v>79</v>
      </c>
      <c r="AE327" s="2" t="n">
        <v>125</v>
      </c>
      <c r="AF327" s="4" t="n">
        <v>125</v>
      </c>
      <c r="AG327" s="33" t="n">
        <v>80.72</v>
      </c>
      <c r="AH327" s="4" t="n">
        <v>8</v>
      </c>
      <c r="AI327" s="34" t="n">
        <v>0.064</v>
      </c>
      <c r="AJ327" s="34" t="n">
        <v>1</v>
      </c>
      <c r="AK327" s="2" t="n">
        <v>1687</v>
      </c>
      <c r="AL327" t="inlineStr">
        <is>
          <t>Published</t>
        </is>
      </c>
    </row>
    <row r="328">
      <c r="A328">
        <f>HYPERLINK("https://www.walmart.com/ip/866228722", "866228722")</f>
        <v/>
      </c>
      <c r="B328">
        <f>HYPERLINK("https://app.optiwise.ai/catalog/itemdetails/361916", "Catalonia Waterproof Blanket, Pee Proof Couch Sofa Bed Protector Cover for Baby, Super Cozy Plush Fleece Warm Sherpa Lining Throws and Blankets for Boating Camping, 60x80 inches, Taupe")</f>
        <v/>
      </c>
      <c r="C328" t="inlineStr">
        <is>
          <t>1CTBW682TPTP</t>
        </is>
      </c>
      <c r="D328" t="inlineStr">
        <is>
          <t>Bedding</t>
        </is>
      </c>
      <c r="E328" t="inlineStr">
        <is>
          <t>Throws</t>
        </is>
      </c>
      <c r="F328" t="inlineStr">
        <is>
          <t>Catalonia</t>
        </is>
      </c>
      <c r="G328" t="n">
        <v>0</v>
      </c>
      <c r="H328" t="n">
        <v>0</v>
      </c>
      <c r="I328" t="inlineStr">
        <is>
          <t>Q2-Target,High AUR Items,Wproof Blanket,Batch 1 - TR</t>
        </is>
      </c>
      <c r="J328" s="29" t="n">
        <v>79.98</v>
      </c>
      <c r="K328" s="30" t="n">
        <v>0.0007</v>
      </c>
      <c r="L328" s="29" t="n">
        <v>39.9900016784668</v>
      </c>
      <c r="M328" s="29" t="n">
        <v>0</v>
      </c>
      <c r="N328" s="2" t="n">
        <v>2</v>
      </c>
      <c r="O328" s="31" t="n">
        <v>19.46999999999999</v>
      </c>
      <c r="P328" s="32" t="n">
        <v>0.0023</v>
      </c>
      <c r="Q328" s="32" t="n">
        <v>0.2434</v>
      </c>
      <c r="R328" s="32" t="n">
        <v>0.5199</v>
      </c>
      <c r="S328" s="31" t="n">
        <v>4.11</v>
      </c>
      <c r="T328" s="32" t="n">
        <v>0.24</v>
      </c>
      <c r="U328" s="31" t="n">
        <v>79.98</v>
      </c>
      <c r="V328" s="31" t="n">
        <v>79.98</v>
      </c>
      <c r="W328" s="3" t="n">
        <v>65000</v>
      </c>
      <c r="X328" s="3" t="n">
        <v>44</v>
      </c>
      <c r="Y328" s="32" t="n">
        <v>0.0007</v>
      </c>
      <c r="Z328" s="3" t="n">
        <v>2</v>
      </c>
      <c r="AA328" s="32" t="n">
        <v>0.0455</v>
      </c>
      <c r="AB328" s="3" t="inlineStr">
        <is>
          <t>High AUR SKUs_Optiwise_2024,Throws_Manual_Optiwise_24</t>
        </is>
      </c>
      <c r="AC328" s="31" t="n">
        <v>0.44</v>
      </c>
      <c r="AD328" s="2" t="n">
        <v>0</v>
      </c>
      <c r="AE328" s="2" t="n">
        <v>77</v>
      </c>
      <c r="AF328" s="4" t="n">
        <v>33</v>
      </c>
      <c r="AG328" s="33" t="n">
        <v>0</v>
      </c>
      <c r="AH328" s="4" t="n">
        <v>0</v>
      </c>
      <c r="AI328" s="34" t="n"/>
      <c r="AJ328" s="34" t="n">
        <v>0</v>
      </c>
      <c r="AK328" s="2" t="n">
        <v>7020</v>
      </c>
      <c r="AL328" t="inlineStr">
        <is>
          <t>Published</t>
        </is>
      </c>
    </row>
    <row r="329">
      <c r="A329">
        <f>HYPERLINK("https://www.walmart.com/ip/1074384682", "1074384682")</f>
        <v/>
      </c>
      <c r="B329">
        <f>HYPERLINK("https://app.optiwise.ai/catalog/itemdetails/7406917", "Catalonia Fleece Wearable Blanket with Sleeves and Pocket, Micro Plush Warm Sleeved TV Throw Blanket Robe for Women and Men, Blue Plaid, 72'' x 55''")</f>
        <v/>
      </c>
      <c r="C329" t="inlineStr">
        <is>
          <t>1CTSN110PBL</t>
        </is>
      </c>
      <c r="D329" t="inlineStr">
        <is>
          <t>Bedding</t>
        </is>
      </c>
      <c r="E329" t="inlineStr">
        <is>
          <t>Throws</t>
        </is>
      </c>
      <c r="F329" t="inlineStr">
        <is>
          <t>Catalonia</t>
        </is>
      </c>
      <c r="G329" t="n">
        <v>0</v>
      </c>
      <c r="H329" t="n">
        <v>0</v>
      </c>
      <c r="I329" t="inlineStr">
        <is>
          <t>Q2-Target,Coupon_Discount</t>
        </is>
      </c>
      <c r="J329" s="29" t="n">
        <v>79.98</v>
      </c>
      <c r="K329" s="30" t="n">
        <v>0.0007</v>
      </c>
      <c r="L329" s="29" t="n">
        <v>0</v>
      </c>
      <c r="M329" s="29" t="n">
        <v>0</v>
      </c>
      <c r="N329" s="2" t="n">
        <v>2</v>
      </c>
      <c r="O329" s="31" t="n">
        <v>0</v>
      </c>
      <c r="P329" s="32" t="n"/>
      <c r="Q329" s="32" t="n">
        <v>0</v>
      </c>
      <c r="R329" s="32" t="n">
        <v>0</v>
      </c>
      <c r="S329" s="31" t="n">
        <v>0</v>
      </c>
      <c r="T329" s="32" t="n">
        <v>0</v>
      </c>
      <c r="U329" s="31" t="n">
        <v>0</v>
      </c>
      <c r="V329" s="31" t="n">
        <v>0</v>
      </c>
      <c r="W329" s="3" t="n">
        <v>0</v>
      </c>
      <c r="X329" s="3" t="n">
        <v>0</v>
      </c>
      <c r="Y329" s="32" t="n">
        <v>0</v>
      </c>
      <c r="Z329" s="3" t="n">
        <v>0</v>
      </c>
      <c r="AA329" s="32" t="n">
        <v>0</v>
      </c>
      <c r="AB329" s="3" t="n"/>
      <c r="AC329" s="31" t="n">
        <v>0</v>
      </c>
      <c r="AD329" s="2" t="n">
        <v>10</v>
      </c>
      <c r="AE329" s="2" t="n">
        <v>26</v>
      </c>
      <c r="AF329" s="4" t="n">
        <v>26</v>
      </c>
      <c r="AG329" s="33" t="n">
        <v>79.98</v>
      </c>
      <c r="AH329" s="4" t="n">
        <v>2</v>
      </c>
      <c r="AI329" s="34" t="n">
        <v>0.0769</v>
      </c>
      <c r="AJ329" s="34" t="n">
        <v>1</v>
      </c>
      <c r="AK329" s="2" t="n">
        <v>4185</v>
      </c>
      <c r="AL329" t="inlineStr">
        <is>
          <t>Published</t>
        </is>
      </c>
    </row>
    <row r="330">
      <c r="A330">
        <f>HYPERLINK("https://www.walmart.com/ip/1203728050", "1203728050")</f>
        <v/>
      </c>
      <c r="B330">
        <f>HYPERLINK("https://app.optiwise.ai/catalog/itemdetails/958604", "Catalonia Waterproof Dog Blanket, Peeproof Couch Sofa Bed Protector Cover for Baby, Super Cozy Plush Fleece Warm Sherpa Lining Throws and Blankets for Boating and Camping, Navy, 60'' x 80''")</f>
        <v/>
      </c>
      <c r="C330" t="inlineStr">
        <is>
          <t>1CTBW682NYTP</t>
        </is>
      </c>
      <c r="D330" t="inlineStr">
        <is>
          <t>Home Decor, Kitchen, &amp; Other</t>
        </is>
      </c>
      <c r="E330" t="inlineStr">
        <is>
          <t>Pet Bed Covers</t>
        </is>
      </c>
      <c r="F330" t="inlineStr">
        <is>
          <t>Catalonia</t>
        </is>
      </c>
      <c r="G330" t="n">
        <v>0</v>
      </c>
      <c r="H330" t="n">
        <v>0</v>
      </c>
      <c r="I330" t="inlineStr">
        <is>
          <t>Wproof Blanket,Batch 1 - TR</t>
        </is>
      </c>
      <c r="J330" s="29" t="n">
        <v>79.98</v>
      </c>
      <c r="K330" s="30" t="n">
        <v>0.0007</v>
      </c>
      <c r="L330" s="29" t="n">
        <v>0</v>
      </c>
      <c r="M330" s="29" t="n">
        <v>0</v>
      </c>
      <c r="N330" s="2" t="n">
        <v>2</v>
      </c>
      <c r="O330" s="31" t="n">
        <v>3.23</v>
      </c>
      <c r="P330" s="32" t="n">
        <v>0.0004</v>
      </c>
      <c r="Q330" s="32" t="n">
        <v>0.0404</v>
      </c>
      <c r="R330" s="32" t="n">
        <v>0</v>
      </c>
      <c r="S330" s="31" t="n">
        <v>20.43</v>
      </c>
      <c r="T330" s="32" t="n">
        <v>0.05</v>
      </c>
      <c r="U330" s="31" t="n">
        <v>65.98999999999999</v>
      </c>
      <c r="V330" s="31" t="n">
        <v>65.98999999999999</v>
      </c>
      <c r="W330" s="3" t="n">
        <v>4398</v>
      </c>
      <c r="X330" s="3" t="n">
        <v>8</v>
      </c>
      <c r="Y330" s="32" t="n">
        <v>0.0018</v>
      </c>
      <c r="Z330" s="3" t="n">
        <v>1</v>
      </c>
      <c r="AA330" s="32" t="n">
        <v>0.125</v>
      </c>
      <c r="AB330" s="3" t="inlineStr">
        <is>
          <t>Auto for BW Indoor,Throws_Auto_Optiwise_24,Throws_Manual_Optiwise_24</t>
        </is>
      </c>
      <c r="AC330" s="31" t="n">
        <v>0.4</v>
      </c>
      <c r="AD330" s="2" t="n">
        <v>0</v>
      </c>
      <c r="AE330" s="2" t="n">
        <v>55</v>
      </c>
      <c r="AF330" s="4" t="n">
        <v>47</v>
      </c>
      <c r="AG330" s="33" t="n">
        <v>13.99000000000001</v>
      </c>
      <c r="AH330" s="4" t="n">
        <v>1</v>
      </c>
      <c r="AI330" s="34" t="n">
        <v>0.0213</v>
      </c>
      <c r="AJ330" s="34" t="n">
        <v>0.1749</v>
      </c>
      <c r="AK330" s="2" t="n">
        <v>3105</v>
      </c>
      <c r="AL330" t="inlineStr">
        <is>
          <t>Published</t>
        </is>
      </c>
    </row>
    <row r="331">
      <c r="A331">
        <f>HYPERLINK("https://www.walmart.com/ip/218956183", "218956183")</f>
        <v/>
      </c>
      <c r="B331">
        <f>HYPERLINK("https://app.optiwise.ai/catalog/itemdetails/380743", "Women's Poncho Cape, Sherpa Fleece Cloak Coat, Snuggly Hooded Wearable Blanket, Gift Idea for Adults and Teen Girls")</f>
        <v/>
      </c>
      <c r="C331" t="inlineStr">
        <is>
          <t>1CTBC300WN</t>
        </is>
      </c>
      <c r="D331" t="inlineStr">
        <is>
          <t>Clothing</t>
        </is>
      </c>
      <c r="E331" t="inlineStr">
        <is>
          <t>Capes &amp; Cloaks</t>
        </is>
      </c>
      <c r="F331" t="inlineStr">
        <is>
          <t>Catalonia</t>
        </is>
      </c>
      <c r="G331" t="n">
        <v>0</v>
      </c>
      <c r="H331" t="n">
        <v>0</v>
      </c>
      <c r="I331" t="inlineStr">
        <is>
          <t>WFS,WFS Item</t>
        </is>
      </c>
      <c r="J331" s="29" t="n">
        <v>79.98</v>
      </c>
      <c r="K331" s="30" t="n">
        <v>0.0007</v>
      </c>
      <c r="L331" s="29" t="n">
        <v>0</v>
      </c>
      <c r="M331" s="29" t="n">
        <v>0</v>
      </c>
      <c r="N331" s="2" t="n">
        <v>2</v>
      </c>
      <c r="O331" s="31" t="n">
        <v>0</v>
      </c>
      <c r="P331" s="32" t="n"/>
      <c r="Q331" s="32" t="n">
        <v>0</v>
      </c>
      <c r="R331" s="32" t="n">
        <v>0</v>
      </c>
      <c r="S331" s="31" t="n">
        <v>0</v>
      </c>
      <c r="T331" s="32" t="n">
        <v>0</v>
      </c>
      <c r="U331" s="31" t="n">
        <v>0</v>
      </c>
      <c r="V331" s="31" t="n">
        <v>0</v>
      </c>
      <c r="W331" s="3" t="n">
        <v>0</v>
      </c>
      <c r="X331" s="3" t="n">
        <v>0</v>
      </c>
      <c r="Y331" s="32" t="n">
        <v>0</v>
      </c>
      <c r="Z331" s="3" t="n">
        <v>0</v>
      </c>
      <c r="AA331" s="32" t="n">
        <v>0</v>
      </c>
      <c r="AB331" s="3" t="n"/>
      <c r="AC331" s="31" t="n">
        <v>0</v>
      </c>
      <c r="AD331" s="2" t="n">
        <v>190</v>
      </c>
      <c r="AE331" s="2" t="n">
        <v>138</v>
      </c>
      <c r="AF331" s="4" t="n">
        <v>138</v>
      </c>
      <c r="AG331" s="33" t="n">
        <v>79.98</v>
      </c>
      <c r="AH331" s="4" t="n">
        <v>2</v>
      </c>
      <c r="AI331" s="34" t="n">
        <v>0.0145</v>
      </c>
      <c r="AJ331" s="34" t="n">
        <v>1</v>
      </c>
      <c r="AK331" s="2" t="n">
        <v>2835</v>
      </c>
      <c r="AL331" t="inlineStr">
        <is>
          <t>Published</t>
        </is>
      </c>
    </row>
    <row r="332">
      <c r="A332">
        <f>HYPERLINK("https://www.walmart.com/ip/413902863", "413902863")</f>
        <v/>
      </c>
      <c r="B332">
        <f>HYPERLINK("https://app.optiwise.ai/catalog/itemdetails/657827", "Catalonia Waterproof Dog Blanket, Liquid Pee-Proof Blanket for Bed, Couch and Sofa, Protector Cover for Baby, Cozy Sherpa Lining Throws and Blankets for Camping and Boating, Black Plaid, 80'' x 60''")</f>
        <v/>
      </c>
      <c r="C332" t="inlineStr">
        <is>
          <t>1CTBW681BGBK</t>
        </is>
      </c>
      <c r="D332" t="inlineStr">
        <is>
          <t>Bedding</t>
        </is>
      </c>
      <c r="E332" t="inlineStr">
        <is>
          <t>Bed Blankets</t>
        </is>
      </c>
      <c r="F332" t="inlineStr">
        <is>
          <t>Catalonia</t>
        </is>
      </c>
      <c r="G332" t="n">
        <v>4.3</v>
      </c>
      <c r="H332" t="n">
        <v>26</v>
      </c>
      <c r="I332" t="inlineStr">
        <is>
          <t>High AUR Items,Batch 1 - TR</t>
        </is>
      </c>
      <c r="J332" s="29" t="n">
        <v>79.98</v>
      </c>
      <c r="K332" s="30" t="n">
        <v>0.0007</v>
      </c>
      <c r="L332" s="29" t="n">
        <v>0</v>
      </c>
      <c r="M332" s="29" t="n">
        <v>0</v>
      </c>
      <c r="N332" s="2" t="n">
        <v>2</v>
      </c>
      <c r="O332" s="31" t="n">
        <v>56.32999999999998</v>
      </c>
      <c r="P332" s="32" t="n">
        <v>0.0068</v>
      </c>
      <c r="Q332" s="32" t="n">
        <v>0.7043</v>
      </c>
      <c r="R332" s="32" t="n">
        <v>0.3273</v>
      </c>
      <c r="S332" s="31" t="n">
        <v>1.42</v>
      </c>
      <c r="T332" s="32" t="n">
        <v>0.7</v>
      </c>
      <c r="U332" s="31" t="n">
        <v>79.98</v>
      </c>
      <c r="V332" s="31" t="n">
        <v>79.98</v>
      </c>
      <c r="W332" s="3" t="n">
        <v>74422</v>
      </c>
      <c r="X332" s="3" t="n">
        <v>135</v>
      </c>
      <c r="Y332" s="32" t="n">
        <v>0.0018</v>
      </c>
      <c r="Z332" s="3" t="n">
        <v>2</v>
      </c>
      <c r="AA332" s="32" t="n">
        <v>0.0148</v>
      </c>
      <c r="AB332" s="3" t="inlineStr">
        <is>
          <t>All Items_Auto_Optiwise_24,Auto for BW Indoor</t>
        </is>
      </c>
      <c r="AC332" s="31" t="n">
        <v>0.42</v>
      </c>
      <c r="AD332" s="2" t="n">
        <v>0</v>
      </c>
      <c r="AE332" s="2" t="n">
        <v>102</v>
      </c>
      <c r="AF332" s="4" t="inlineStr">
        <is>
          <t>NA</t>
        </is>
      </c>
      <c r="AG332" s="33" t="n">
        <v>0</v>
      </c>
      <c r="AH332" s="4" t="n">
        <v>0</v>
      </c>
      <c r="AI332" s="34" t="inlineStr">
        <is>
          <t>NA</t>
        </is>
      </c>
      <c r="AJ332" s="34" t="n">
        <v>0</v>
      </c>
      <c r="AK332" s="2" t="n">
        <v>7290</v>
      </c>
      <c r="AL332" t="inlineStr">
        <is>
          <t>Published</t>
        </is>
      </c>
    </row>
    <row r="333">
      <c r="A333">
        <f>HYPERLINK("https://www.walmart.com/ip/264457997", "264457997")</f>
        <v/>
      </c>
      <c r="B333">
        <f>HYPERLINK("https://app.optiwise.ai/catalog/itemdetails/362144", "Catalonia Waterproof Dog Blanket, Pee-Proof Couch, Sofa, and Bed Protector Cover for Baby and Pets, Super Cozy Plush Fleece Warm Sherpa Lining Throws and Blankets for Boating and Camping, Red, 80'' x 60''")</f>
        <v/>
      </c>
      <c r="C333" t="inlineStr">
        <is>
          <t>1CTBW681BRWH</t>
        </is>
      </c>
      <c r="D333" t="inlineStr">
        <is>
          <t>Bedding</t>
        </is>
      </c>
      <c r="E333" t="inlineStr">
        <is>
          <t>Pet Sofa &amp; Chair Protectors</t>
        </is>
      </c>
      <c r="F333" t="inlineStr">
        <is>
          <t>Catalonia</t>
        </is>
      </c>
      <c r="G333" t="n">
        <v>4</v>
      </c>
      <c r="H333" t="n">
        <v>3</v>
      </c>
      <c r="I333" t="inlineStr">
        <is>
          <t>Wproof Blanket,Batch 1 - TR</t>
        </is>
      </c>
      <c r="J333" s="29" t="n">
        <v>79.98</v>
      </c>
      <c r="K333" s="30" t="n">
        <v>0.0007</v>
      </c>
      <c r="L333" s="29" t="n">
        <v>0</v>
      </c>
      <c r="M333" s="29" t="n">
        <v>0</v>
      </c>
      <c r="N333" s="2" t="n">
        <v>2</v>
      </c>
      <c r="O333" s="31" t="n">
        <v>14.35</v>
      </c>
      <c r="P333" s="32" t="n">
        <v>0.0017</v>
      </c>
      <c r="Q333" s="32" t="n">
        <v>0.1794</v>
      </c>
      <c r="R333" s="32" t="n">
        <v>0.1347</v>
      </c>
      <c r="S333" s="31" t="n">
        <v>0</v>
      </c>
      <c r="T333" s="32" t="n">
        <v>0</v>
      </c>
      <c r="U333" s="31" t="n">
        <v>0</v>
      </c>
      <c r="V333" s="31" t="n">
        <v>0</v>
      </c>
      <c r="W333" s="3" t="n">
        <v>38053</v>
      </c>
      <c r="X333" s="3" t="n">
        <v>31</v>
      </c>
      <c r="Y333" s="32" t="n">
        <v>0.0008</v>
      </c>
      <c r="Z333" s="3" t="n">
        <v>0</v>
      </c>
      <c r="AA333" s="32" t="n">
        <v>0</v>
      </c>
      <c r="AB333" s="3" t="inlineStr">
        <is>
          <t>All Items_Auto_Optiwise_24,Auto for BW Indoor</t>
        </is>
      </c>
      <c r="AC333" s="31" t="n">
        <v>0.46</v>
      </c>
      <c r="AD333" s="2" t="n">
        <v>0</v>
      </c>
      <c r="AE333" s="2" t="n">
        <v>107</v>
      </c>
      <c r="AF333" s="4" t="n">
        <v>76</v>
      </c>
      <c r="AG333" s="33" t="n">
        <v>79.98</v>
      </c>
      <c r="AH333" s="4" t="n">
        <v>2</v>
      </c>
      <c r="AI333" s="34" t="n">
        <v>0.0263</v>
      </c>
      <c r="AJ333" s="34" t="n">
        <v>1</v>
      </c>
      <c r="AK333" s="2" t="n">
        <v>6750</v>
      </c>
      <c r="AL333" t="inlineStr">
        <is>
          <t>Published</t>
        </is>
      </c>
    </row>
    <row r="334">
      <c r="A334">
        <f>HYPERLINK("https://www.walmart.com/ip/158344559", "158344559")</f>
        <v/>
      </c>
      <c r="B334">
        <f>HYPERLINK("https://app.optiwise.ai/catalog/itemdetails/360470", "Tirrinia Picnic Blanket, Lightweight Waterproof Blanket, Portable Camping Blanket for Travel, Park, Hiking, Outdoor, Stadium and Concerts, Machine Washable, Extra Large, Striped, 70'' x 80''")</f>
        <v/>
      </c>
      <c r="C334" t="inlineStr">
        <is>
          <t>1TRBW781STR</t>
        </is>
      </c>
      <c r="D334" t="inlineStr">
        <is>
          <t>Sport &amp; Recreation Other</t>
        </is>
      </c>
      <c r="E334" t="inlineStr">
        <is>
          <t>Picnic Blankets &amp; Mats</t>
        </is>
      </c>
      <c r="F334" t="inlineStr">
        <is>
          <t>Tirrinia</t>
        </is>
      </c>
      <c r="G334" t="n">
        <v>5</v>
      </c>
      <c r="H334" t="n">
        <v>1</v>
      </c>
      <c r="I334" t="inlineStr">
        <is>
          <t>WFS,WFS Item</t>
        </is>
      </c>
      <c r="J334" s="29" t="n">
        <v>79.95999999999999</v>
      </c>
      <c r="K334" s="30" t="n">
        <v>0.0007</v>
      </c>
      <c r="L334" s="29" t="n">
        <v>0</v>
      </c>
      <c r="M334" s="29" t="n">
        <v>0</v>
      </c>
      <c r="N334" s="2" t="n">
        <v>4</v>
      </c>
      <c r="O334" s="31" t="n">
        <v>0</v>
      </c>
      <c r="P334" s="32" t="n"/>
      <c r="Q334" s="32" t="n">
        <v>0</v>
      </c>
      <c r="R334" s="32" t="n">
        <v>0</v>
      </c>
      <c r="S334" s="31" t="n">
        <v>0</v>
      </c>
      <c r="T334" s="32" t="n">
        <v>0</v>
      </c>
      <c r="U334" s="31" t="n">
        <v>0</v>
      </c>
      <c r="V334" s="31" t="n">
        <v>0</v>
      </c>
      <c r="W334" s="3" t="n">
        <v>0</v>
      </c>
      <c r="X334" s="3" t="n">
        <v>0</v>
      </c>
      <c r="Y334" s="32" t="n">
        <v>0</v>
      </c>
      <c r="Z334" s="3" t="n">
        <v>0</v>
      </c>
      <c r="AA334" s="32" t="n">
        <v>0</v>
      </c>
      <c r="AB334" s="3" t="n"/>
      <c r="AC334" s="31" t="n">
        <v>0</v>
      </c>
      <c r="AD334" s="2" t="n">
        <v>0</v>
      </c>
      <c r="AE334" s="2" t="n">
        <v>131</v>
      </c>
      <c r="AF334" s="4" t="n">
        <v>131</v>
      </c>
      <c r="AG334" s="33" t="n">
        <v>79.95999999999999</v>
      </c>
      <c r="AH334" s="4" t="n">
        <v>4</v>
      </c>
      <c r="AI334" s="34" t="n">
        <v>0.0305</v>
      </c>
      <c r="AJ334" s="34" t="n">
        <v>1</v>
      </c>
      <c r="AK334" s="2" t="n">
        <v>3375</v>
      </c>
      <c r="AL334" t="inlineStr">
        <is>
          <t>Published</t>
        </is>
      </c>
    </row>
    <row r="335">
      <c r="A335">
        <f>HYPERLINK("https://www.walmart.com/ip/984636091", "984636091")</f>
        <v/>
      </c>
      <c r="B335">
        <f>HYPERLINK("https://app.optiwise.ai/catalog/itemdetails/358782", "Pawsse Sherpa Dog Blanket, Puppy Sunggle Blanket,Plush Micro Fleece Pet Throws for Small Animals Large Size 60x49, Black")</f>
        <v/>
      </c>
      <c r="C335" t="inlineStr">
        <is>
          <t>1PSBF560BKLT</t>
        </is>
      </c>
      <c r="D335" t="inlineStr">
        <is>
          <t>Animal Accessories</t>
        </is>
      </c>
      <c r="E335" t="inlineStr">
        <is>
          <t>Pet Blankets</t>
        </is>
      </c>
      <c r="F335" t="inlineStr">
        <is>
          <t>Pawsse</t>
        </is>
      </c>
      <c r="G335" t="n">
        <v>0</v>
      </c>
      <c r="H335" t="n">
        <v>0</v>
      </c>
      <c r="I335" t="inlineStr">
        <is>
          <t>Q2-Target,Optimized,WFS,WFS Item</t>
        </is>
      </c>
      <c r="J335" s="29" t="n">
        <v>79.95999999999999</v>
      </c>
      <c r="K335" s="30" t="n">
        <v>0.0007</v>
      </c>
      <c r="L335" s="29" t="n">
        <v>0</v>
      </c>
      <c r="M335" s="29" t="n">
        <v>0</v>
      </c>
      <c r="N335" s="2" t="n">
        <v>4</v>
      </c>
      <c r="O335" s="31" t="n">
        <v>19.59</v>
      </c>
      <c r="P335" s="32" t="n">
        <v>0.0023</v>
      </c>
      <c r="Q335" s="32" t="n">
        <v>0.245</v>
      </c>
      <c r="R335" s="32" t="n">
        <v>0</v>
      </c>
      <c r="S335" s="31" t="n">
        <v>0</v>
      </c>
      <c r="T335" s="32" t="n">
        <v>0</v>
      </c>
      <c r="U335" s="31" t="n">
        <v>0</v>
      </c>
      <c r="V335" s="31" t="n">
        <v>0</v>
      </c>
      <c r="W335" s="3" t="n">
        <v>54940</v>
      </c>
      <c r="X335" s="3" t="n">
        <v>56</v>
      </c>
      <c r="Y335" s="32" t="n">
        <v>0.001</v>
      </c>
      <c r="Z335" s="3" t="n">
        <v>0</v>
      </c>
      <c r="AA335" s="32" t="n">
        <v>0</v>
      </c>
      <c r="AB335" s="3" t="inlineStr">
        <is>
          <t>Pet Blankets_Auto_Optiwise_24</t>
        </is>
      </c>
      <c r="AC335" s="31" t="n">
        <v>0.35</v>
      </c>
      <c r="AD335" s="2" t="n">
        <v>4</v>
      </c>
      <c r="AE335" s="2" t="n">
        <v>51</v>
      </c>
      <c r="AF335" s="4" t="inlineStr">
        <is>
          <t>NA</t>
        </is>
      </c>
      <c r="AG335" s="33" t="n">
        <v>79.95999999999999</v>
      </c>
      <c r="AH335" s="4" t="n">
        <v>4</v>
      </c>
      <c r="AI335" s="34" t="inlineStr">
        <is>
          <t>NA</t>
        </is>
      </c>
      <c r="AJ335" s="34" t="n">
        <v>1</v>
      </c>
      <c r="AK335" s="2" t="n">
        <v>3678</v>
      </c>
      <c r="AL335" t="inlineStr">
        <is>
          <t>Published</t>
        </is>
      </c>
    </row>
    <row r="336">
      <c r="A336">
        <f>HYPERLINK("https://www.walmart.com/ip/704439169", "704439169")</f>
        <v/>
      </c>
      <c r="B336">
        <f>HYPERLINK("https://app.optiwise.ai/catalog/itemdetails/362467", "Flyingstar Insulated Picnic Basket with Handle, Leakproof Collapsible Portable Insulated Cooler Bag for Camping, Travel, and Shopping, with Free Foldable Grocery Bag, 26L")</f>
        <v/>
      </c>
      <c r="C336" t="inlineStr">
        <is>
          <t>1WMPB100-BL</t>
        </is>
      </c>
      <c r="D336" t="inlineStr">
        <is>
          <t>Home Decor, Kitchen, &amp; Other</t>
        </is>
      </c>
      <c r="E336" t="inlineStr">
        <is>
          <t>Picnic Baskets &amp; Bags</t>
        </is>
      </c>
      <c r="F336" t="inlineStr">
        <is>
          <t>Tirrinia</t>
        </is>
      </c>
      <c r="G336" t="n">
        <v>0</v>
      </c>
      <c r="H336" t="n">
        <v>0</v>
      </c>
      <c r="I336" t="inlineStr">
        <is>
          <t>Optimized,SEM</t>
        </is>
      </c>
      <c r="J336" s="29" t="n">
        <v>79.92</v>
      </c>
      <c r="K336" s="30" t="n">
        <v>0.0007</v>
      </c>
      <c r="L336" s="29" t="n">
        <v>0</v>
      </c>
      <c r="M336" s="29" t="n">
        <v>0</v>
      </c>
      <c r="N336" s="2" t="n">
        <v>4</v>
      </c>
      <c r="O336" s="31" t="n">
        <v>0</v>
      </c>
      <c r="P336" s="32" t="n"/>
      <c r="Q336" s="32" t="n">
        <v>0</v>
      </c>
      <c r="R336" s="32" t="n">
        <v>0</v>
      </c>
      <c r="S336" s="31" t="n">
        <v>0</v>
      </c>
      <c r="T336" s="32" t="n">
        <v>0</v>
      </c>
      <c r="U336" s="31" t="n">
        <v>0</v>
      </c>
      <c r="V336" s="31" t="n">
        <v>0</v>
      </c>
      <c r="W336" s="3" t="n">
        <v>0</v>
      </c>
      <c r="X336" s="3" t="n">
        <v>0</v>
      </c>
      <c r="Y336" s="32" t="n">
        <v>0</v>
      </c>
      <c r="Z336" s="3" t="n">
        <v>0</v>
      </c>
      <c r="AA336" s="32" t="n">
        <v>0</v>
      </c>
      <c r="AB336" s="3" t="n"/>
      <c r="AC336" s="31" t="n">
        <v>0</v>
      </c>
      <c r="AD336" s="2" t="n">
        <v>30</v>
      </c>
      <c r="AE336" s="2" t="n">
        <v>38</v>
      </c>
      <c r="AF336" s="4" t="n">
        <v>38</v>
      </c>
      <c r="AG336" s="33" t="n">
        <v>79.92</v>
      </c>
      <c r="AH336" s="4" t="n">
        <v>4</v>
      </c>
      <c r="AI336" s="34" t="n">
        <v>0.1053</v>
      </c>
      <c r="AJ336" s="34" t="n">
        <v>1</v>
      </c>
      <c r="AK336" s="2" t="n">
        <v>0</v>
      </c>
      <c r="AL336" t="inlineStr">
        <is>
          <t>Published</t>
        </is>
      </c>
    </row>
    <row r="337">
      <c r="A337">
        <f>HYPERLINK("https://www.walmart.com/ip/838734473", "838734473")</f>
        <v/>
      </c>
      <c r="B337">
        <f>HYPERLINK("https://app.optiwise.ai/catalog/itemdetails/358793", "Solaris Men's Sun Protection Hat, Wide Brim Hat with Removable Bill Neck Flap for Men Women, Beige")</f>
        <v/>
      </c>
      <c r="C337" t="inlineStr">
        <is>
          <t>1SLSH382BE</t>
        </is>
      </c>
      <c r="D337" t="inlineStr">
        <is>
          <t>Clothing</t>
        </is>
      </c>
      <c r="E337" t="inlineStr">
        <is>
          <t>Hats</t>
        </is>
      </c>
      <c r="F337" t="inlineStr">
        <is>
          <t>Solaris</t>
        </is>
      </c>
      <c r="G337" t="n">
        <v>4.5</v>
      </c>
      <c r="H337" t="n">
        <v>111</v>
      </c>
      <c r="I337" t="inlineStr">
        <is>
          <t>Q2-Target,Optimized,Hats</t>
        </is>
      </c>
      <c r="J337" s="29" t="n">
        <v>79.92</v>
      </c>
      <c r="K337" s="30" t="n">
        <v>0.0007</v>
      </c>
      <c r="L337" s="29" t="n">
        <v>19.97999954223633</v>
      </c>
      <c r="M337" s="29" t="n">
        <v>0</v>
      </c>
      <c r="N337" s="2" t="n">
        <v>8</v>
      </c>
      <c r="O337" s="31" t="n">
        <v>0</v>
      </c>
      <c r="P337" s="32" t="n"/>
      <c r="Q337" s="32" t="n">
        <v>0</v>
      </c>
      <c r="R337" s="32" t="n">
        <v>0</v>
      </c>
      <c r="S337" s="31" t="n">
        <v>0</v>
      </c>
      <c r="T337" s="32" t="n">
        <v>0</v>
      </c>
      <c r="U337" s="31" t="n">
        <v>0</v>
      </c>
      <c r="V337" s="31" t="n">
        <v>0</v>
      </c>
      <c r="W337" s="3" t="n">
        <v>0</v>
      </c>
      <c r="X337" s="3" t="n">
        <v>0</v>
      </c>
      <c r="Y337" s="32" t="n">
        <v>0</v>
      </c>
      <c r="Z337" s="3" t="n">
        <v>0</v>
      </c>
      <c r="AA337" s="32" t="n">
        <v>0</v>
      </c>
      <c r="AB337" s="3" t="n"/>
      <c r="AC337" s="31" t="n">
        <v>0</v>
      </c>
      <c r="AD337" s="2" t="n">
        <v>28</v>
      </c>
      <c r="AE337" s="2" t="n">
        <v>72</v>
      </c>
      <c r="AF337" s="4" t="n">
        <v>72</v>
      </c>
      <c r="AG337" s="33" t="n">
        <v>79.92</v>
      </c>
      <c r="AH337" s="4" t="n">
        <v>8</v>
      </c>
      <c r="AI337" s="34" t="n">
        <v>0.1111</v>
      </c>
      <c r="AJ337" s="34" t="n">
        <v>1</v>
      </c>
      <c r="AK337" s="2" t="n">
        <v>1687</v>
      </c>
      <c r="AL337" t="inlineStr">
        <is>
          <t>Published</t>
        </is>
      </c>
    </row>
    <row r="338">
      <c r="A338">
        <f>HYPERLINK("https://www.walmart.com/ip/873609379", "873609379")</f>
        <v/>
      </c>
      <c r="B338">
        <f>HYPERLINK("https://app.optiwise.ai/catalog/itemdetails/359108", "Fleece Blanket Wearable with Sleeves &amp; Foot pockets for Men and Women, Micro Plush Wrap Sleeved Throw Blanket Robe Multi-Colors 75”x53” by Catalonia")</f>
        <v/>
      </c>
      <c r="C338" t="inlineStr">
        <is>
          <t>1CTSN101BR</t>
        </is>
      </c>
      <c r="D338" t="inlineStr">
        <is>
          <t>Bedding</t>
        </is>
      </c>
      <c r="E338" t="inlineStr">
        <is>
          <t>Throws</t>
        </is>
      </c>
      <c r="F338" t="inlineStr">
        <is>
          <t>Catalonia</t>
        </is>
      </c>
      <c r="G338" t="n">
        <v>3.3</v>
      </c>
      <c r="H338" t="n">
        <v>6</v>
      </c>
      <c r="I338" t="inlineStr">
        <is>
          <t>Q2-Target,WFS,Coupon_Discount,WFS Item</t>
        </is>
      </c>
      <c r="J338" s="29" t="n">
        <v>78.95999999999999</v>
      </c>
      <c r="K338" s="30" t="n">
        <v>0.0007</v>
      </c>
      <c r="L338" s="29" t="n">
        <v>23.98999977111816</v>
      </c>
      <c r="M338" s="29" t="n">
        <v>23.98999977111816</v>
      </c>
      <c r="N338" s="2" t="n">
        <v>3</v>
      </c>
      <c r="O338" s="31" t="n">
        <v>31.92000000000002</v>
      </c>
      <c r="P338" s="32" t="n">
        <v>0.0038</v>
      </c>
      <c r="Q338" s="32" t="n">
        <v>0.4043</v>
      </c>
      <c r="R338" s="32" t="n">
        <v>0</v>
      </c>
      <c r="S338" s="31" t="n">
        <v>1.5</v>
      </c>
      <c r="T338" s="32" t="n">
        <v>0.67</v>
      </c>
      <c r="U338" s="31" t="n">
        <v>47.98</v>
      </c>
      <c r="V338" s="31" t="n">
        <v>47.98</v>
      </c>
      <c r="W338" s="3" t="n">
        <v>54646</v>
      </c>
      <c r="X338" s="3" t="n">
        <v>83</v>
      </c>
      <c r="Y338" s="32" t="n">
        <v>0.0015</v>
      </c>
      <c r="Z338" s="3" t="n">
        <v>2</v>
      </c>
      <c r="AA338" s="32" t="n">
        <v>0.0241</v>
      </c>
      <c r="AB338" s="3" t="inlineStr">
        <is>
          <t>Need to sell these SKUs by 15th Feb</t>
        </is>
      </c>
      <c r="AC338" s="31" t="n">
        <v>0.38</v>
      </c>
      <c r="AD338" s="2" t="n">
        <v>68</v>
      </c>
      <c r="AE338" s="2" t="n">
        <v>116</v>
      </c>
      <c r="AF338" s="4" t="n">
        <v>33</v>
      </c>
      <c r="AG338" s="33" t="n">
        <v>30.98</v>
      </c>
      <c r="AH338" s="4" t="n">
        <v>1</v>
      </c>
      <c r="AI338" s="34" t="n">
        <v>0.0303</v>
      </c>
      <c r="AJ338" s="34" t="n">
        <v>0.3924</v>
      </c>
      <c r="AK338" s="2" t="n">
        <v>4590</v>
      </c>
      <c r="AL338" t="inlineStr">
        <is>
          <t>Published</t>
        </is>
      </c>
    </row>
    <row r="339">
      <c r="A339">
        <f>HYPERLINK("https://www.walmart.com/ip/503072476", "503072476")</f>
        <v/>
      </c>
      <c r="B339">
        <f>HYPERLINK("https://app.optiwise.ai/catalog/itemdetails/360783", "Tirrinia Insulated Wine Carrier Tote - Travel Padded 2 Bottle Wine/ Champagne Cooler Bag with Handle and Adjustable Shoulder Strap, Great Wine Lover Gift, Blue")</f>
        <v/>
      </c>
      <c r="C339" t="inlineStr">
        <is>
          <t>1TRWB211BL</t>
        </is>
      </c>
      <c r="D339" t="inlineStr">
        <is>
          <t>Home Decor, Kitchen, &amp; Other</t>
        </is>
      </c>
      <c r="E339" t="inlineStr">
        <is>
          <t>Wine Totes, Bags &amp; Backpacks</t>
        </is>
      </c>
      <c r="F339" t="inlineStr">
        <is>
          <t>Tirrinia</t>
        </is>
      </c>
      <c r="G339" t="n">
        <v>4</v>
      </c>
      <c r="H339" t="n">
        <v>1</v>
      </c>
      <c r="I339" t="inlineStr">
        <is>
          <t>Wine,Wine Bag Camp,Christmas,WFS,Wine WFS,Valentine,SEM,WFS Item,Lily Brand Camp</t>
        </is>
      </c>
      <c r="J339" s="29" t="n">
        <v>78.95</v>
      </c>
      <c r="K339" s="30" t="n">
        <v>0.0007</v>
      </c>
      <c r="L339" s="29" t="n">
        <v>17.98999977111816</v>
      </c>
      <c r="M339" s="29" t="n">
        <v>0</v>
      </c>
      <c r="N339" s="2" t="n">
        <v>4</v>
      </c>
      <c r="O339" s="31" t="n">
        <v>17.57</v>
      </c>
      <c r="P339" s="32" t="n">
        <v>0.0021</v>
      </c>
      <c r="Q339" s="32" t="n">
        <v>0.2225</v>
      </c>
      <c r="R339" s="32" t="n">
        <v>0.07240000000000001</v>
      </c>
      <c r="S339" s="31" t="n">
        <v>4.32</v>
      </c>
      <c r="T339" s="32" t="n">
        <v>0.23</v>
      </c>
      <c r="U339" s="31" t="n">
        <v>75.95999999999999</v>
      </c>
      <c r="V339" s="31" t="n">
        <v>53.97</v>
      </c>
      <c r="W339" s="3" t="n">
        <v>26403</v>
      </c>
      <c r="X339" s="3" t="n">
        <v>43</v>
      </c>
      <c r="Y339" s="32" t="n">
        <v>0.0016</v>
      </c>
      <c r="Z339" s="3" t="n">
        <v>4</v>
      </c>
      <c r="AA339" s="32" t="n">
        <v>0.093</v>
      </c>
      <c r="AB339" s="3" t="inlineStr">
        <is>
          <t>Auto Campaign_Vinay</t>
        </is>
      </c>
      <c r="AC339" s="31" t="n">
        <v>0.41</v>
      </c>
      <c r="AD339" s="2" t="n">
        <v>28</v>
      </c>
      <c r="AE339" s="2" t="n">
        <v>94</v>
      </c>
      <c r="AF339" s="4" t="n">
        <v>51</v>
      </c>
      <c r="AG339" s="33" t="n">
        <v>2.990000000000009</v>
      </c>
      <c r="AH339" s="4" t="n">
        <v>0</v>
      </c>
      <c r="AI339" s="34" t="n"/>
      <c r="AJ339" s="34" t="n">
        <v>0.0379</v>
      </c>
      <c r="AK339" s="2" t="n">
        <v>0</v>
      </c>
      <c r="AL339" t="inlineStr">
        <is>
          <t>Published</t>
        </is>
      </c>
    </row>
    <row r="340">
      <c r="A340">
        <f>HYPERLINK("https://www.walmart.com/ip/719130562", "719130562")</f>
        <v/>
      </c>
      <c r="B340">
        <f>HYPERLINK("https://app.optiwise.ai/catalog/itemdetails/417443", "Tirrinia Wearable Fleece Blanket Plush Comfy Poncho For Adults Women Men, Purple")</f>
        <v/>
      </c>
      <c r="C340" t="inlineStr">
        <is>
          <t>1TRBP200PP-TBCB</t>
        </is>
      </c>
      <c r="D340" t="inlineStr">
        <is>
          <t>Bedding</t>
        </is>
      </c>
      <c r="E340" t="inlineStr">
        <is>
          <t>Throws</t>
        </is>
      </c>
      <c r="F340" t="inlineStr">
        <is>
          <t>Tirrinia</t>
        </is>
      </c>
      <c r="G340" t="n">
        <v>0</v>
      </c>
      <c r="H340" t="n">
        <v>0</v>
      </c>
      <c r="I340" t="inlineStr">
        <is>
          <t>Optimized</t>
        </is>
      </c>
      <c r="J340" s="29" t="n">
        <v>77.97</v>
      </c>
      <c r="K340" s="30" t="n">
        <v>0.0007</v>
      </c>
      <c r="L340" s="29" t="n">
        <v>0</v>
      </c>
      <c r="M340" s="29" t="n">
        <v>0</v>
      </c>
      <c r="N340" s="2" t="n">
        <v>3</v>
      </c>
      <c r="O340" s="31" t="n">
        <v>0</v>
      </c>
      <c r="P340" s="32" t="n"/>
      <c r="Q340" s="32" t="n">
        <v>0</v>
      </c>
      <c r="R340" s="32" t="n">
        <v>0</v>
      </c>
      <c r="S340" s="31" t="n">
        <v>0</v>
      </c>
      <c r="T340" s="32" t="n">
        <v>0</v>
      </c>
      <c r="U340" s="31" t="n">
        <v>0</v>
      </c>
      <c r="V340" s="31" t="n">
        <v>0</v>
      </c>
      <c r="W340" s="3" t="n">
        <v>0</v>
      </c>
      <c r="X340" s="3" t="n">
        <v>0</v>
      </c>
      <c r="Y340" s="32" t="n">
        <v>0</v>
      </c>
      <c r="Z340" s="3" t="n">
        <v>0</v>
      </c>
      <c r="AA340" s="32" t="n">
        <v>0</v>
      </c>
      <c r="AB340" s="3" t="n"/>
      <c r="AC340" s="31" t="n">
        <v>0</v>
      </c>
      <c r="AD340" s="2" t="n">
        <v>8</v>
      </c>
      <c r="AE340" s="2" t="n">
        <v>28</v>
      </c>
      <c r="AF340" s="4" t="n">
        <v>28</v>
      </c>
      <c r="AG340" s="33" t="n">
        <v>77.97</v>
      </c>
      <c r="AH340" s="4" t="n">
        <v>3</v>
      </c>
      <c r="AI340" s="34" t="n">
        <v>0.1071</v>
      </c>
      <c r="AJ340" s="34" t="n">
        <v>1</v>
      </c>
      <c r="AK340" s="2" t="n">
        <v>0</v>
      </c>
      <c r="AL340" t="inlineStr">
        <is>
          <t>Published</t>
        </is>
      </c>
    </row>
    <row r="341">
      <c r="A341">
        <f>HYPERLINK("https://www.walmart.com/ip/237763307", "237763307")</f>
        <v/>
      </c>
      <c r="B341">
        <f>HYPERLINK("https://app.optiwise.ai/catalog/itemdetails/362151", "Mermaid Tail Blanket for Teen Girls with Anti-slip Neck Strap Wave Pattern | Soft Sleeping Bag for All Seasons")</f>
        <v/>
      </c>
      <c r="C341" t="inlineStr">
        <is>
          <t>1CTMM100BL-TPB</t>
        </is>
      </c>
      <c r="D341" t="inlineStr">
        <is>
          <t>Bedding</t>
        </is>
      </c>
      <c r="E341" t="inlineStr">
        <is>
          <t>Throws</t>
        </is>
      </c>
      <c r="F341" t="inlineStr">
        <is>
          <t>Catalonia</t>
        </is>
      </c>
      <c r="G341" t="n">
        <v>0</v>
      </c>
      <c r="H341" t="n">
        <v>0</v>
      </c>
      <c r="I341" t="inlineStr">
        <is>
          <t>Batch 1 - TR</t>
        </is>
      </c>
      <c r="J341" s="29" t="n">
        <v>77.97</v>
      </c>
      <c r="K341" s="30" t="n">
        <v>0.0007</v>
      </c>
      <c r="L341" s="29" t="n">
        <v>0</v>
      </c>
      <c r="M341" s="29" t="n">
        <v>0</v>
      </c>
      <c r="N341" s="2" t="n">
        <v>3</v>
      </c>
      <c r="O341" s="31" t="n">
        <v>0</v>
      </c>
      <c r="P341" s="32" t="n"/>
      <c r="Q341" s="32" t="n">
        <v>0</v>
      </c>
      <c r="R341" s="32" t="n">
        <v>0</v>
      </c>
      <c r="S341" s="31" t="n">
        <v>0</v>
      </c>
      <c r="T341" s="32" t="n">
        <v>0</v>
      </c>
      <c r="U341" s="31" t="n">
        <v>0</v>
      </c>
      <c r="V341" s="31" t="n">
        <v>0</v>
      </c>
      <c r="W341" s="3" t="n">
        <v>0</v>
      </c>
      <c r="X341" s="3" t="n">
        <v>0</v>
      </c>
      <c r="Y341" s="32" t="n">
        <v>0</v>
      </c>
      <c r="Z341" s="3" t="n">
        <v>0</v>
      </c>
      <c r="AA341" s="32" t="n">
        <v>0</v>
      </c>
      <c r="AB341" s="3" t="n"/>
      <c r="AC341" s="31" t="n">
        <v>0</v>
      </c>
      <c r="AD341" s="2" t="n">
        <v>29</v>
      </c>
      <c r="AE341" s="2" t="n">
        <v>16</v>
      </c>
      <c r="AF341" s="4" t="n">
        <v>16</v>
      </c>
      <c r="AG341" s="33" t="n">
        <v>77.97</v>
      </c>
      <c r="AH341" s="4" t="n">
        <v>3</v>
      </c>
      <c r="AI341" s="34" t="n">
        <v>0.1875</v>
      </c>
      <c r="AJ341" s="34" t="n">
        <v>1</v>
      </c>
      <c r="AK341" s="2" t="n">
        <v>1125</v>
      </c>
      <c r="AL341" t="inlineStr">
        <is>
          <t>Published</t>
        </is>
      </c>
    </row>
    <row r="342">
      <c r="A342">
        <f>HYPERLINK("https://www.walmart.com/ip/2749543627", "2749543627")</f>
        <v/>
      </c>
      <c r="B342">
        <f>HYPERLINK("https://app.optiwise.ai/catalog/itemdetails/7386265", "Kato Outdoors Waterproof Blanket, Sherpa Fleece Stadium Windproof Throw Mat for Boat, Traveling, Camping, Hiking, Football - Machine Washable, Green, 59”x 79”.")</f>
        <v/>
      </c>
      <c r="C342" t="inlineStr">
        <is>
          <t>1KTBW608GNBK</t>
        </is>
      </c>
      <c r="D342" t="inlineStr">
        <is>
          <t>Bedding</t>
        </is>
      </c>
      <c r="E342" t="inlineStr">
        <is>
          <t>Throws</t>
        </is>
      </c>
      <c r="F342" t="inlineStr">
        <is>
          <t>Kato</t>
        </is>
      </c>
      <c r="G342" t="n">
        <v>0</v>
      </c>
      <c r="H342" t="n">
        <v>0</v>
      </c>
      <c r="I342" t="inlineStr">
        <is>
          <t>Q2-Target</t>
        </is>
      </c>
      <c r="J342" s="29" t="n">
        <v>76.97</v>
      </c>
      <c r="K342" s="30" t="n">
        <v>0.0007</v>
      </c>
      <c r="L342" s="29" t="n">
        <v>0</v>
      </c>
      <c r="M342" s="29" t="n">
        <v>0</v>
      </c>
      <c r="N342" s="2" t="n">
        <v>2</v>
      </c>
      <c r="O342" s="31" t="n">
        <v>39.41</v>
      </c>
      <c r="P342" s="32" t="n">
        <v>0.0047</v>
      </c>
      <c r="Q342" s="32" t="n">
        <v>0.512</v>
      </c>
      <c r="R342" s="32" t="n">
        <v>1.2099</v>
      </c>
      <c r="S342" s="31" t="n">
        <v>1.6</v>
      </c>
      <c r="T342" s="32" t="n">
        <v>0.63</v>
      </c>
      <c r="U342" s="31" t="n">
        <v>62.98</v>
      </c>
      <c r="V342" s="31" t="n">
        <v>62.98</v>
      </c>
      <c r="W342" s="3" t="n">
        <v>19417</v>
      </c>
      <c r="X342" s="3" t="n">
        <v>100</v>
      </c>
      <c r="Y342" s="32" t="n">
        <v>0.0052</v>
      </c>
      <c r="Z342" s="3" t="n">
        <v>2</v>
      </c>
      <c r="AA342" s="32" t="n">
        <v>0.02</v>
      </c>
      <c r="AB342" s="3" t="inlineStr">
        <is>
          <t>Picnic Blankets &amp; Mats_Manual_Optiwise_24</t>
        </is>
      </c>
      <c r="AC342" s="31" t="n">
        <v>0.39</v>
      </c>
      <c r="AD342" s="2" t="n">
        <v>0</v>
      </c>
      <c r="AE342" s="2" t="n">
        <v>51</v>
      </c>
      <c r="AF342" s="4" t="inlineStr">
        <is>
          <t>NA</t>
        </is>
      </c>
      <c r="AG342" s="33" t="n">
        <v>13.98999999999999</v>
      </c>
      <c r="AH342" s="4" t="n">
        <v>0</v>
      </c>
      <c r="AI342" s="34" t="inlineStr">
        <is>
          <t>NA</t>
        </is>
      </c>
      <c r="AJ342" s="34" t="n">
        <v>0.1818</v>
      </c>
      <c r="AK342" s="2" t="n">
        <v>2227</v>
      </c>
      <c r="AL342" t="inlineStr">
        <is>
          <t>Published</t>
        </is>
      </c>
    </row>
    <row r="343">
      <c r="A343">
        <f>HYPERLINK("https://www.walmart.com/ip/10305512889", "10305512889")</f>
        <v/>
      </c>
      <c r="B343">
        <f>HYPERLINK("https://app.optiwise.ai/catalog/itemdetails/10031991", "Wrangler Men’s Leather Country Casual Every Day Dress Belt for Jeans, Khakis Black 42")</f>
        <v/>
      </c>
      <c r="C343" t="inlineStr">
        <is>
          <t>WR-BELT-MENS-COUNTRY-BLACK-42</t>
        </is>
      </c>
      <c r="D343" t="inlineStr">
        <is>
          <t>Clothing</t>
        </is>
      </c>
      <c r="E343" t="inlineStr">
        <is>
          <t>Belts</t>
        </is>
      </c>
      <c r="F343" t="inlineStr">
        <is>
          <t>Wrangler</t>
        </is>
      </c>
      <c r="G343" t="n">
        <v>0</v>
      </c>
      <c r="H343" t="n">
        <v>0</v>
      </c>
      <c r="I343" t="inlineStr">
        <is>
          <t>Belts</t>
        </is>
      </c>
      <c r="J343" s="29" t="n">
        <v>76.97</v>
      </c>
      <c r="K343" s="30" t="n">
        <v>0.0007</v>
      </c>
      <c r="L343" s="29" t="n">
        <v>65.94999885559082</v>
      </c>
      <c r="M343" s="29" t="n">
        <v>19.98999977111816</v>
      </c>
      <c r="N343" s="2" t="n">
        <v>4</v>
      </c>
      <c r="O343" s="31" t="n">
        <v>0</v>
      </c>
      <c r="P343" s="32" t="n"/>
      <c r="Q343" s="32" t="n">
        <v>0</v>
      </c>
      <c r="R343" s="32" t="n">
        <v>0.3064</v>
      </c>
      <c r="S343" s="31" t="n">
        <v>0</v>
      </c>
      <c r="T343" s="32" t="n">
        <v>0</v>
      </c>
      <c r="U343" s="31" t="n">
        <v>0</v>
      </c>
      <c r="V343" s="31" t="n">
        <v>0</v>
      </c>
      <c r="W343" s="3" t="n">
        <v>535</v>
      </c>
      <c r="X343" s="3" t="n">
        <v>0</v>
      </c>
      <c r="Y343" s="32" t="n">
        <v>0</v>
      </c>
      <c r="Z343" s="3" t="n">
        <v>0</v>
      </c>
      <c r="AA343" s="32" t="n">
        <v>0</v>
      </c>
      <c r="AB343" s="3" t="inlineStr">
        <is>
          <t>Belts Manual_Optiwise,Belts_Auto_Optiwise</t>
        </is>
      </c>
      <c r="AC343" s="31" t="n">
        <v>0</v>
      </c>
      <c r="AD343" s="2" t="n">
        <v>0</v>
      </c>
      <c r="AE343" s="2" t="n">
        <v>43</v>
      </c>
      <c r="AF343" s="4" t="n">
        <v>43</v>
      </c>
      <c r="AG343" s="33" t="n">
        <v>76.97</v>
      </c>
      <c r="AH343" s="4" t="n">
        <v>4</v>
      </c>
      <c r="AI343" s="34" t="n">
        <v>0.093</v>
      </c>
      <c r="AJ343" s="34" t="n">
        <v>1</v>
      </c>
      <c r="AK343" s="2" t="n">
        <v>0</v>
      </c>
      <c r="AL343" t="inlineStr">
        <is>
          <t>Published</t>
        </is>
      </c>
    </row>
    <row r="344">
      <c r="A344">
        <f>HYPERLINK("https://www.walmart.com/ip/216400521", "216400521")</f>
        <v/>
      </c>
      <c r="B344">
        <f>HYPERLINK("https://app.optiwise.ai/catalog/itemdetails/359091", "Tirrinia Insulated 2 Bottle Wine Carrier Tote Cooler Bag for Travel Picnic Padded Champagne Glass")</f>
        <v/>
      </c>
      <c r="C344" t="inlineStr">
        <is>
          <t>1TRWB231RD</t>
        </is>
      </c>
      <c r="D344" t="inlineStr">
        <is>
          <t>Home Decor, Kitchen, &amp; Other</t>
        </is>
      </c>
      <c r="E344" t="inlineStr">
        <is>
          <t>Wine Totes, Bags &amp; Backpacks</t>
        </is>
      </c>
      <c r="F344" t="inlineStr">
        <is>
          <t>Tirrinia</t>
        </is>
      </c>
      <c r="G344" t="n">
        <v>0</v>
      </c>
      <c r="H344" t="n">
        <v>0</v>
      </c>
      <c r="I344" t="inlineStr">
        <is>
          <t>Wine,Christmas,WFS,Wine WFS,Valentine,WFS Item</t>
        </is>
      </c>
      <c r="J344" s="29" t="n">
        <v>76.95</v>
      </c>
      <c r="K344" s="30" t="n">
        <v>0.0007</v>
      </c>
      <c r="L344" s="29" t="n">
        <v>0</v>
      </c>
      <c r="M344" s="29" t="n">
        <v>0</v>
      </c>
      <c r="N344" s="2" t="n">
        <v>3</v>
      </c>
      <c r="O344" s="31" t="n">
        <v>77.13999999999999</v>
      </c>
      <c r="P344" s="32" t="n">
        <v>0.0092</v>
      </c>
      <c r="Q344" s="32" t="n">
        <v>1.0025</v>
      </c>
      <c r="R344" s="32" t="n">
        <v>0.5679999999999999</v>
      </c>
      <c r="S344" s="31" t="n">
        <v>1.88</v>
      </c>
      <c r="T344" s="32" t="n">
        <v>0.53</v>
      </c>
      <c r="U344" s="31" t="n">
        <v>144.93</v>
      </c>
      <c r="V344" s="31" t="n">
        <v>102.95</v>
      </c>
      <c r="W344" s="3" t="n">
        <v>28368</v>
      </c>
      <c r="X344" s="3" t="n">
        <v>178</v>
      </c>
      <c r="Y344" s="32" t="n">
        <v>0.0063</v>
      </c>
      <c r="Z344" s="3" t="n">
        <v>7</v>
      </c>
      <c r="AA344" s="32" t="n">
        <v>0.0393</v>
      </c>
      <c r="AB344" s="3" t="inlineStr">
        <is>
          <t>All Items_Auto_Optiwise_24,Auto Campaign_Vinay</t>
        </is>
      </c>
      <c r="AC344" s="31" t="n">
        <v>0.43</v>
      </c>
      <c r="AD344" s="2" t="n">
        <v>80</v>
      </c>
      <c r="AE344" s="2" t="n">
        <v>54</v>
      </c>
      <c r="AF344" s="4" t="inlineStr">
        <is>
          <t>NA</t>
        </is>
      </c>
      <c r="AG344" s="33" t="n">
        <v>-67.97999999999998</v>
      </c>
      <c r="AH344" s="4" t="n">
        <v>-4</v>
      </c>
      <c r="AI344" s="34" t="inlineStr">
        <is>
          <t>NA</t>
        </is>
      </c>
      <c r="AJ344" s="34" t="n">
        <v>-0.8834</v>
      </c>
      <c r="AK344" s="2" t="n">
        <v>405</v>
      </c>
      <c r="AL344" t="inlineStr">
        <is>
          <t>Published</t>
        </is>
      </c>
    </row>
    <row r="345">
      <c r="A345">
        <f>HYPERLINK("https://www.walmart.com/ip/945087727", "945087727")</f>
        <v/>
      </c>
      <c r="B345">
        <f>HYPERLINK("https://app.optiwise.ai/catalog/itemdetails/359105", "Tirrinia Blaze Orange Hunting Neon Basics Cap Low Profile Tangerine Safety Baseball Hat with Adjustable Closure")</f>
        <v/>
      </c>
      <c r="C345" t="inlineStr">
        <is>
          <t>1TRHT8120OR</t>
        </is>
      </c>
      <c r="D345" t="inlineStr">
        <is>
          <t>Clothing</t>
        </is>
      </c>
      <c r="E345" t="inlineStr">
        <is>
          <t>Hats</t>
        </is>
      </c>
      <c r="F345" t="inlineStr">
        <is>
          <t>Tirrinia</t>
        </is>
      </c>
      <c r="G345" t="n">
        <v>4.3</v>
      </c>
      <c r="H345" t="n">
        <v>6</v>
      </c>
      <c r="I345" t="inlineStr">
        <is>
          <t>Optimized,WFS,Hats,WFS Item</t>
        </is>
      </c>
      <c r="J345" s="29" t="n">
        <v>75.20999999999999</v>
      </c>
      <c r="K345" s="30" t="n">
        <v>0.0005999999999999999</v>
      </c>
      <c r="L345" s="29" t="n">
        <v>31.95999908447266</v>
      </c>
      <c r="M345" s="29" t="n">
        <v>0</v>
      </c>
      <c r="N345" s="2" t="n">
        <v>4</v>
      </c>
      <c r="O345" s="31" t="n">
        <v>10.84</v>
      </c>
      <c r="P345" s="32" t="n">
        <v>0.0013</v>
      </c>
      <c r="Q345" s="32" t="n">
        <v>0.1441</v>
      </c>
      <c r="R345" s="32" t="n">
        <v>0</v>
      </c>
      <c r="S345" s="31" t="n">
        <v>2.95</v>
      </c>
      <c r="T345" s="32" t="n">
        <v>0.34</v>
      </c>
      <c r="U345" s="31" t="n">
        <v>31.96</v>
      </c>
      <c r="V345" s="31" t="n">
        <v>31.96</v>
      </c>
      <c r="W345" s="3" t="n">
        <v>4357</v>
      </c>
      <c r="X345" s="3" t="n">
        <v>37</v>
      </c>
      <c r="Y345" s="32" t="n">
        <v>0.008500000000000001</v>
      </c>
      <c r="Z345" s="3" t="n">
        <v>2</v>
      </c>
      <c r="AA345" s="32" t="n">
        <v>0.0541</v>
      </c>
      <c r="AB345" s="3" t="inlineStr">
        <is>
          <t>Need to sell these SKUs by 15th Feb</t>
        </is>
      </c>
      <c r="AC345" s="31" t="n">
        <v>0.29</v>
      </c>
      <c r="AD345" s="2" t="n">
        <v>7</v>
      </c>
      <c r="AE345" s="2" t="n">
        <v>49</v>
      </c>
      <c r="AF345" s="4" t="n">
        <v>12</v>
      </c>
      <c r="AG345" s="33" t="n">
        <v>43.24999999999999</v>
      </c>
      <c r="AH345" s="4" t="n">
        <v>2</v>
      </c>
      <c r="AI345" s="34" t="n">
        <v>0.1667</v>
      </c>
      <c r="AJ345" s="34" t="n">
        <v>0.5750999999999999</v>
      </c>
      <c r="AK345" s="2" t="n">
        <v>3746</v>
      </c>
      <c r="AL345" t="inlineStr">
        <is>
          <t>Published</t>
        </is>
      </c>
    </row>
    <row r="346">
      <c r="A346">
        <f>HYPERLINK("https://www.walmart.com/ip/489010795", "489010795")</f>
        <v/>
      </c>
      <c r="B346">
        <f>HYPERLINK("https://app.optiwise.ai/catalog/itemdetails/5423732", "Catalonia Surf Beach Changing Towel With Hood, Super Absorbent Microfiber Swim Robe Poncho for Men and Women, Bath Shower Pool, Black")</f>
        <v/>
      </c>
      <c r="C346" t="inlineStr">
        <is>
          <t>1CTBR102-BK</t>
        </is>
      </c>
      <c r="D346" t="inlineStr">
        <is>
          <t>Home Decor, Kitchen, &amp; Other</t>
        </is>
      </c>
      <c r="E346" t="inlineStr">
        <is>
          <t>Towels &amp; Washcloths</t>
        </is>
      </c>
      <c r="F346" t="inlineStr">
        <is>
          <t>Catalonia</t>
        </is>
      </c>
      <c r="G346" t="n">
        <v>5</v>
      </c>
      <c r="H346" t="n">
        <v>1</v>
      </c>
      <c r="J346" s="29" t="n">
        <v>74.97</v>
      </c>
      <c r="K346" s="30" t="n">
        <v>0.0005999999999999999</v>
      </c>
      <c r="L346" s="29" t="n">
        <v>24.98999977111816</v>
      </c>
      <c r="M346" s="29" t="n">
        <v>0</v>
      </c>
      <c r="N346" s="2" t="n">
        <v>3</v>
      </c>
      <c r="O346" s="31" t="n">
        <v>0</v>
      </c>
      <c r="P346" s="32" t="n"/>
      <c r="Q346" s="32" t="n">
        <v>0</v>
      </c>
      <c r="R346" s="32" t="n">
        <v>0</v>
      </c>
      <c r="S346" s="31" t="n">
        <v>0</v>
      </c>
      <c r="T346" s="32" t="n">
        <v>0</v>
      </c>
      <c r="U346" s="31" t="n">
        <v>0</v>
      </c>
      <c r="V346" s="31" t="n">
        <v>0</v>
      </c>
      <c r="W346" s="3" t="n">
        <v>0</v>
      </c>
      <c r="X346" s="3" t="n">
        <v>0</v>
      </c>
      <c r="Y346" s="32" t="n">
        <v>0</v>
      </c>
      <c r="Z346" s="3" t="n">
        <v>0</v>
      </c>
      <c r="AA346" s="32" t="n">
        <v>0</v>
      </c>
      <c r="AB346" s="3" t="n"/>
      <c r="AC346" s="31" t="n">
        <v>0</v>
      </c>
      <c r="AD346" s="2" t="n">
        <v>30</v>
      </c>
      <c r="AE346" s="2" t="n">
        <v>164</v>
      </c>
      <c r="AF346" s="4" t="n">
        <v>164</v>
      </c>
      <c r="AG346" s="33" t="n">
        <v>74.97</v>
      </c>
      <c r="AH346" s="4" t="n">
        <v>3</v>
      </c>
      <c r="AI346" s="34" t="n">
        <v>0.0183</v>
      </c>
      <c r="AJ346" s="34" t="n">
        <v>1</v>
      </c>
      <c r="AK346" s="2" t="n">
        <v>4500</v>
      </c>
      <c r="AL346" t="inlineStr">
        <is>
          <t>Published</t>
        </is>
      </c>
    </row>
    <row r="347">
      <c r="A347">
        <f>HYPERLINK("https://www.walmart.com/ip/5606433843", "5606433843")</f>
        <v/>
      </c>
      <c r="B347">
        <f>HYPERLINK("https://app.optiwise.ai/catalog/itemdetails/9053825", "Tirrinia  Camping Cooler Bag Insulated w/ Shoulder Strap and Bottle Opener 20 Cans Portable Ice Chest for Camping Hiking Picnic Beach Black")</f>
        <v/>
      </c>
      <c r="C347" t="inlineStr">
        <is>
          <t>1TRCB00120BK</t>
        </is>
      </c>
      <c r="D347" t="inlineStr">
        <is>
          <t>Sport &amp; Recreation Other</t>
        </is>
      </c>
      <c r="E347" t="inlineStr">
        <is>
          <t>Soft-Sided Coolers</t>
        </is>
      </c>
      <c r="F347" t="inlineStr">
        <is>
          <t>Tirrinia</t>
        </is>
      </c>
      <c r="G347" t="n">
        <v>0</v>
      </c>
      <c r="H347" t="n">
        <v>0</v>
      </c>
      <c r="J347" s="29" t="n">
        <v>74.97</v>
      </c>
      <c r="K347" s="30" t="n">
        <v>0.0005999999999999999</v>
      </c>
      <c r="L347" s="29" t="n">
        <v>0</v>
      </c>
      <c r="M347" s="29" t="n">
        <v>0</v>
      </c>
      <c r="N347" s="2" t="n">
        <v>3</v>
      </c>
      <c r="O347" s="31" t="n">
        <v>0</v>
      </c>
      <c r="P347" s="32" t="n"/>
      <c r="Q347" s="32" t="n">
        <v>0</v>
      </c>
      <c r="R347" s="32" t="n">
        <v>0</v>
      </c>
      <c r="S347" s="31" t="n">
        <v>0</v>
      </c>
      <c r="T347" s="32" t="n">
        <v>0</v>
      </c>
      <c r="U347" s="31" t="n">
        <v>0</v>
      </c>
      <c r="V347" s="31" t="n">
        <v>0</v>
      </c>
      <c r="W347" s="3" t="n">
        <v>0</v>
      </c>
      <c r="X347" s="3" t="n">
        <v>0</v>
      </c>
      <c r="Y347" s="32" t="n">
        <v>0</v>
      </c>
      <c r="Z347" s="3" t="n">
        <v>0</v>
      </c>
      <c r="AA347" s="32" t="n">
        <v>0</v>
      </c>
      <c r="AB347" s="3" t="n"/>
      <c r="AC347" s="31" t="n">
        <v>0</v>
      </c>
      <c r="AD347" s="2" t="n">
        <v>0</v>
      </c>
      <c r="AE347" s="2" t="n">
        <v>61</v>
      </c>
      <c r="AF347" s="4" t="n">
        <v>61</v>
      </c>
      <c r="AG347" s="33" t="n">
        <v>74.97</v>
      </c>
      <c r="AH347" s="4" t="n">
        <v>3</v>
      </c>
      <c r="AI347" s="34" t="n">
        <v>0.0492</v>
      </c>
      <c r="AJ347" s="34" t="n">
        <v>1</v>
      </c>
      <c r="AK347" s="2" t="n">
        <v>4500</v>
      </c>
      <c r="AL347" t="inlineStr">
        <is>
          <t>Published</t>
        </is>
      </c>
    </row>
    <row r="348">
      <c r="A348">
        <f>HYPERLINK("https://www.walmart.com/ip/731062665", "731062665")</f>
        <v/>
      </c>
      <c r="B348">
        <f>HYPERLINK("https://app.optiwise.ai/catalog/itemdetails/360402", "Pawsse Pet Blankets, Super Soft Warm Sherpa Dog Fleece Blanket, Large Dog Blankets, and Dog Throw Blanket for Small, Medium Puppy, Doggy, Pet Cats, Gray, 60'' x 49''")</f>
        <v/>
      </c>
      <c r="C348" t="inlineStr">
        <is>
          <t>1PSBF301LG</t>
        </is>
      </c>
      <c r="D348" t="inlineStr">
        <is>
          <t>Animal Accessories</t>
        </is>
      </c>
      <c r="E348" t="inlineStr">
        <is>
          <t>Pet Blankets</t>
        </is>
      </c>
      <c r="F348" t="inlineStr">
        <is>
          <t>Pawsse</t>
        </is>
      </c>
      <c r="G348" t="n">
        <v>0</v>
      </c>
      <c r="H348" t="n">
        <v>0</v>
      </c>
      <c r="I348" t="inlineStr">
        <is>
          <t>WFS,WFS Item</t>
        </is>
      </c>
      <c r="J348" s="29" t="n">
        <v>74.97</v>
      </c>
      <c r="K348" s="30" t="n">
        <v>0.0005999999999999999</v>
      </c>
      <c r="L348" s="29" t="n">
        <v>0</v>
      </c>
      <c r="M348" s="29" t="n">
        <v>0</v>
      </c>
      <c r="N348" s="2" t="n">
        <v>3</v>
      </c>
      <c r="O348" s="31" t="n">
        <v>0</v>
      </c>
      <c r="P348" s="32" t="n"/>
      <c r="Q348" s="32" t="n">
        <v>0</v>
      </c>
      <c r="R348" s="32" t="n">
        <v>0</v>
      </c>
      <c r="S348" s="31" t="n">
        <v>0</v>
      </c>
      <c r="T348" s="32" t="n">
        <v>0</v>
      </c>
      <c r="U348" s="31" t="n">
        <v>0</v>
      </c>
      <c r="V348" s="31" t="n">
        <v>0</v>
      </c>
      <c r="W348" s="3" t="n">
        <v>0</v>
      </c>
      <c r="X348" s="3" t="n">
        <v>0</v>
      </c>
      <c r="Y348" s="32" t="n">
        <v>0</v>
      </c>
      <c r="Z348" s="3" t="n">
        <v>0</v>
      </c>
      <c r="AA348" s="32" t="n">
        <v>0</v>
      </c>
      <c r="AB348" s="3" t="n"/>
      <c r="AC348" s="31" t="n">
        <v>0</v>
      </c>
      <c r="AD348" s="2" t="n">
        <v>0</v>
      </c>
      <c r="AE348" s="2" t="n">
        <v>36</v>
      </c>
      <c r="AF348" s="4" t="n">
        <v>36</v>
      </c>
      <c r="AG348" s="33" t="n">
        <v>74.97</v>
      </c>
      <c r="AH348" s="4" t="n">
        <v>3</v>
      </c>
      <c r="AI348" s="34" t="n">
        <v>0.0833</v>
      </c>
      <c r="AJ348" s="34" t="n">
        <v>1</v>
      </c>
      <c r="AK348" s="2" t="n">
        <v>4500</v>
      </c>
      <c r="AL348" t="inlineStr">
        <is>
          <t>Published</t>
        </is>
      </c>
    </row>
    <row r="349">
      <c r="A349">
        <f>HYPERLINK("https://www.walmart.com/ip/916711212", "916711212")</f>
        <v/>
      </c>
      <c r="B349">
        <f>HYPERLINK("https://app.optiwise.ai/catalog/itemdetails/361101", "Tirrinia 2 Bottle Wine Tote Carrier - Leakproof &amp; Insulated Padded Versatile Wine Cooler Bag for Travel, BYOB Restaurant, Wine Tasting, Party, Dinner, Great Christmas Day Gift for Wine Lover, Black")</f>
        <v/>
      </c>
      <c r="C349" t="inlineStr">
        <is>
          <t>1KTWB220BK</t>
        </is>
      </c>
      <c r="D349" t="inlineStr">
        <is>
          <t>Home Decor, Kitchen, &amp; Other</t>
        </is>
      </c>
      <c r="E349" t="inlineStr">
        <is>
          <t>Wine Totes, Bags &amp; Backpacks</t>
        </is>
      </c>
      <c r="F349" t="inlineStr">
        <is>
          <t>Tirrinia</t>
        </is>
      </c>
      <c r="G349" t="n">
        <v>4.9</v>
      </c>
      <c r="H349" t="n">
        <v>14</v>
      </c>
      <c r="I349" t="inlineStr">
        <is>
          <t>Wine,Christmas,WFS,Valentine,SEM,WFS Item</t>
        </is>
      </c>
      <c r="J349" s="29" t="n">
        <v>74.97</v>
      </c>
      <c r="K349" s="30" t="n">
        <v>0.0005999999999999999</v>
      </c>
      <c r="L349" s="29" t="n">
        <v>0</v>
      </c>
      <c r="M349" s="29" t="n">
        <v>0</v>
      </c>
      <c r="N349" s="2" t="n">
        <v>3</v>
      </c>
      <c r="O349" s="31" t="n">
        <v>0</v>
      </c>
      <c r="P349" s="32" t="n"/>
      <c r="Q349" s="32" t="n">
        <v>0</v>
      </c>
      <c r="R349" s="32" t="n">
        <v>0.0522</v>
      </c>
      <c r="S349" s="31" t="n">
        <v>0</v>
      </c>
      <c r="T349" s="32" t="n">
        <v>0</v>
      </c>
      <c r="U349" s="31" t="n">
        <v>0</v>
      </c>
      <c r="V349" s="31" t="n">
        <v>0</v>
      </c>
      <c r="W349" s="3" t="n">
        <v>0</v>
      </c>
      <c r="X349" s="3" t="n">
        <v>0</v>
      </c>
      <c r="Y349" s="32" t="n">
        <v>0</v>
      </c>
      <c r="Z349" s="3" t="n">
        <v>0</v>
      </c>
      <c r="AA349" s="32" t="n">
        <v>0</v>
      </c>
      <c r="AB349" s="3" t="n"/>
      <c r="AC349" s="31" t="n">
        <v>0</v>
      </c>
      <c r="AD349" s="2" t="n">
        <v>43</v>
      </c>
      <c r="AE349" s="2" t="n">
        <v>97</v>
      </c>
      <c r="AF349" s="4" t="n">
        <v>97</v>
      </c>
      <c r="AG349" s="33" t="n">
        <v>74.97</v>
      </c>
      <c r="AH349" s="4" t="n">
        <v>3</v>
      </c>
      <c r="AI349" s="34" t="n">
        <v>0.0309</v>
      </c>
      <c r="AJ349" s="34" t="n">
        <v>1</v>
      </c>
      <c r="AK349" s="2" t="n">
        <v>405</v>
      </c>
      <c r="AL349" t="inlineStr">
        <is>
          <t>Published</t>
        </is>
      </c>
    </row>
    <row r="350">
      <c r="A350">
        <f>HYPERLINK("https://www.walmart.com/ip/497720903", "497720903")</f>
        <v/>
      </c>
      <c r="B350">
        <f>HYPERLINK("https://app.optiwise.ai/catalog/itemdetails/362791", "Catalonia Mermaid Tail Blanket, Super Soft Blanket Sherpa Lined Knit with Non-slip Neck Strap, Fleece Blanket for Adult Women or Teen Girls, Blue, 67'' x 22.5''")</f>
        <v/>
      </c>
      <c r="C350" t="inlineStr">
        <is>
          <t>1CTMM300BL</t>
        </is>
      </c>
      <c r="D350" t="inlineStr">
        <is>
          <t>Bedding</t>
        </is>
      </c>
      <c r="E350" t="inlineStr">
        <is>
          <t>Throws</t>
        </is>
      </c>
      <c r="F350" t="inlineStr">
        <is>
          <t>Catalonia</t>
        </is>
      </c>
      <c r="G350" t="n">
        <v>0</v>
      </c>
      <c r="H350" t="n">
        <v>0</v>
      </c>
      <c r="I350" t="inlineStr">
        <is>
          <t>WFS,Coupon_Discount,WFS Item</t>
        </is>
      </c>
      <c r="J350" s="29" t="n">
        <v>73.98</v>
      </c>
      <c r="K350" s="30" t="n">
        <v>0.0005999999999999999</v>
      </c>
      <c r="L350" s="29" t="n">
        <v>0</v>
      </c>
      <c r="M350" s="29" t="n">
        <v>0</v>
      </c>
      <c r="N350" s="2" t="n">
        <v>2</v>
      </c>
      <c r="O350" s="31" t="n">
        <v>0</v>
      </c>
      <c r="P350" s="32" t="n"/>
      <c r="Q350" s="32" t="n">
        <v>0</v>
      </c>
      <c r="R350" s="32" t="n">
        <v>0.0232</v>
      </c>
      <c r="S350" s="31" t="n">
        <v>0</v>
      </c>
      <c r="T350" s="32" t="n">
        <v>0</v>
      </c>
      <c r="U350" s="31" t="n">
        <v>0</v>
      </c>
      <c r="V350" s="31" t="n">
        <v>0</v>
      </c>
      <c r="W350" s="3" t="n">
        <v>452</v>
      </c>
      <c r="X350" s="3" t="n">
        <v>0</v>
      </c>
      <c r="Y350" s="32" t="n">
        <v>0</v>
      </c>
      <c r="Z350" s="3" t="n">
        <v>0</v>
      </c>
      <c r="AA350" s="32" t="n">
        <v>0</v>
      </c>
      <c r="AB350" s="3" t="inlineStr">
        <is>
          <t>Throws_Auto_Optiwise_24</t>
        </is>
      </c>
      <c r="AC350" s="31" t="n">
        <v>0</v>
      </c>
      <c r="AD350" s="2" t="n">
        <v>0</v>
      </c>
      <c r="AE350" s="2" t="n">
        <v>53</v>
      </c>
      <c r="AF350" s="4" t="n">
        <v>53</v>
      </c>
      <c r="AG350" s="33" t="n">
        <v>73.98</v>
      </c>
      <c r="AH350" s="4" t="n">
        <v>2</v>
      </c>
      <c r="AI350" s="34" t="n">
        <v>0.0377</v>
      </c>
      <c r="AJ350" s="34" t="n">
        <v>1</v>
      </c>
      <c r="AK350" s="2" t="n">
        <v>3240</v>
      </c>
      <c r="AL350" t="inlineStr">
        <is>
          <t>Published</t>
        </is>
      </c>
    </row>
    <row r="351">
      <c r="A351">
        <f>HYPERLINK("https://www.walmart.com/ip/2205069111", "2205069111")</f>
        <v/>
      </c>
      <c r="B351">
        <f>HYPERLINK("https://app.optiwise.ai/catalog/itemdetails/7407374", "Catalonia Cow Print Sherpa Fleece Blanket, Super Soft Warm Cozy Flannel Reversible Throw Blanket for Couch Sofa Bed, 50 x 60, Blue Cat Pattern")</f>
        <v/>
      </c>
      <c r="C351" t="inlineStr">
        <is>
          <t>1CTBF300BLCAT</t>
        </is>
      </c>
      <c r="D351" t="inlineStr">
        <is>
          <t>Bedding</t>
        </is>
      </c>
      <c r="E351" t="inlineStr">
        <is>
          <t>Throws</t>
        </is>
      </c>
      <c r="F351" t="inlineStr">
        <is>
          <t>Catalonia</t>
        </is>
      </c>
      <c r="G351" t="n">
        <v>0</v>
      </c>
      <c r="H351" t="n">
        <v>0</v>
      </c>
      <c r="I351" t="inlineStr">
        <is>
          <t>Coupon_Discount,Fleece Blankets</t>
        </is>
      </c>
      <c r="J351" s="29" t="n">
        <v>73.97</v>
      </c>
      <c r="K351" s="30" t="n">
        <v>0.0005999999999999999</v>
      </c>
      <c r="L351" s="29" t="n">
        <v>0</v>
      </c>
      <c r="M351" s="29" t="n">
        <v>0</v>
      </c>
      <c r="N351" s="2" t="n">
        <v>3</v>
      </c>
      <c r="O351" s="31" t="n">
        <v>0</v>
      </c>
      <c r="P351" s="32" t="n"/>
      <c r="Q351" s="32" t="n">
        <v>0</v>
      </c>
      <c r="R351" s="32" t="n">
        <v>0</v>
      </c>
      <c r="S351" s="31" t="n">
        <v>0</v>
      </c>
      <c r="T351" s="32" t="n">
        <v>0</v>
      </c>
      <c r="U351" s="31" t="n">
        <v>0</v>
      </c>
      <c r="V351" s="31" t="n">
        <v>0</v>
      </c>
      <c r="W351" s="3" t="n">
        <v>0</v>
      </c>
      <c r="X351" s="3" t="n">
        <v>0</v>
      </c>
      <c r="Y351" s="32" t="n">
        <v>0</v>
      </c>
      <c r="Z351" s="3" t="n">
        <v>0</v>
      </c>
      <c r="AA351" s="32" t="n">
        <v>0</v>
      </c>
      <c r="AB351" s="3" t="n"/>
      <c r="AC351" s="31" t="n">
        <v>0</v>
      </c>
      <c r="AD351" s="2" t="n">
        <v>49</v>
      </c>
      <c r="AE351" s="2" t="n">
        <v>59</v>
      </c>
      <c r="AF351" s="4" t="n">
        <v>59</v>
      </c>
      <c r="AG351" s="33" t="n">
        <v>73.97</v>
      </c>
      <c r="AH351" s="4" t="n">
        <v>3</v>
      </c>
      <c r="AI351" s="34" t="n">
        <v>0.0508</v>
      </c>
      <c r="AJ351" s="34" t="n">
        <v>1</v>
      </c>
      <c r="AK351" s="2" t="n">
        <v>4545</v>
      </c>
      <c r="AL351" t="inlineStr">
        <is>
          <t>Published</t>
        </is>
      </c>
    </row>
    <row r="352">
      <c r="A352">
        <f>HYPERLINK("https://www.walmart.com/ip/488675199", "488675199")</f>
        <v/>
      </c>
      <c r="B352">
        <f>HYPERLINK("https://app.optiwise.ai/catalog/itemdetails/360454", "6 Bottle Wine Carrier - Insulated &amp; Padded Wine Carrying Cooler Tote Bag with Handle and Adjustable Shoulder Strap for Travel or Picnic, IDEAL Wine Lover Gift, Brown")</f>
        <v/>
      </c>
      <c r="C352" t="inlineStr">
        <is>
          <t>1TRWB620BR</t>
        </is>
      </c>
      <c r="D352" t="inlineStr">
        <is>
          <t>Home Decor, Kitchen, &amp; Other</t>
        </is>
      </c>
      <c r="E352" t="inlineStr">
        <is>
          <t>Wine Totes, Bags &amp; Backpacks</t>
        </is>
      </c>
      <c r="F352" t="inlineStr">
        <is>
          <t>Tirrinia</t>
        </is>
      </c>
      <c r="G352" t="n">
        <v>0</v>
      </c>
      <c r="H352" t="n">
        <v>0</v>
      </c>
      <c r="I352" t="inlineStr">
        <is>
          <t>Wine,Christmas,WFS,Wine WFS,Valentine,WFS Item,Lily Brand Camp</t>
        </is>
      </c>
      <c r="J352" s="29" t="n">
        <v>72.95999999999999</v>
      </c>
      <c r="K352" s="30" t="n">
        <v>0.0005999999999999999</v>
      </c>
      <c r="L352" s="29" t="n">
        <v>0</v>
      </c>
      <c r="M352" s="29" t="n">
        <v>0</v>
      </c>
      <c r="N352" s="2" t="n">
        <v>3</v>
      </c>
      <c r="O352" s="31" t="n">
        <v>5.65</v>
      </c>
      <c r="P352" s="32" t="n">
        <v>0.0007</v>
      </c>
      <c r="Q352" s="32" t="n">
        <v>0.0774</v>
      </c>
      <c r="R352" s="32" t="n">
        <v>0.0974</v>
      </c>
      <c r="S352" s="31" t="n">
        <v>22.29</v>
      </c>
      <c r="T352" s="32" t="n">
        <v>0.04</v>
      </c>
      <c r="U352" s="31" t="n">
        <v>125.94</v>
      </c>
      <c r="V352" s="31" t="n">
        <v>43.98</v>
      </c>
      <c r="W352" s="3" t="n">
        <v>19457</v>
      </c>
      <c r="X352" s="3" t="n">
        <v>13</v>
      </c>
      <c r="Y352" s="32" t="n">
        <v>0.0007</v>
      </c>
      <c r="Z352" s="3" t="n">
        <v>6</v>
      </c>
      <c r="AA352" s="32" t="n">
        <v>0.4615</v>
      </c>
      <c r="AB352" s="3" t="inlineStr">
        <is>
          <t>Auto Campaign_Vinay</t>
        </is>
      </c>
      <c r="AC352" s="31" t="n">
        <v>0.43</v>
      </c>
      <c r="AD352" s="2" t="n">
        <v>24</v>
      </c>
      <c r="AE352" s="2" t="n">
        <v>39</v>
      </c>
      <c r="AF352" s="4" t="n">
        <v>26</v>
      </c>
      <c r="AG352" s="33" t="n">
        <v>-52.98</v>
      </c>
      <c r="AH352" s="4" t="n">
        <v>-3</v>
      </c>
      <c r="AI352" s="34" t="n">
        <v>-0.1154</v>
      </c>
      <c r="AJ352" s="34" t="n">
        <v>-0.7262</v>
      </c>
      <c r="AK352" s="2" t="n">
        <v>4500</v>
      </c>
      <c r="AL352" t="inlineStr">
        <is>
          <t>Published</t>
        </is>
      </c>
    </row>
    <row r="353">
      <c r="A353">
        <f>HYPERLINK("https://www.walmart.com/ip/5322547934", "5322547934")</f>
        <v/>
      </c>
      <c r="B353">
        <f>HYPERLINK("https://app.optiwise.ai/catalog/itemdetails/7947825", "Outdoor Wide Brim Sun Hats with Neck Flap Blocking UV Protection Cap by Solaris Unisex UPF 50+ Foldable Mesh Net for Fin")</f>
        <v/>
      </c>
      <c r="C353" t="inlineStr">
        <is>
          <t>1SLSH910CAMO-B</t>
        </is>
      </c>
      <c r="D353" t="inlineStr">
        <is>
          <t>Clothing</t>
        </is>
      </c>
      <c r="E353" t="inlineStr">
        <is>
          <t>Hats</t>
        </is>
      </c>
      <c r="F353" t="inlineStr">
        <is>
          <t>Solaris</t>
        </is>
      </c>
      <c r="G353" t="n">
        <v>0</v>
      </c>
      <c r="H353" t="n">
        <v>0</v>
      </c>
      <c r="J353" s="29" t="n">
        <v>72.06</v>
      </c>
      <c r="K353" s="30" t="n">
        <v>0.0005999999999999999</v>
      </c>
      <c r="L353" s="29" t="n">
        <v>0</v>
      </c>
      <c r="M353" s="29" t="n">
        <v>0</v>
      </c>
      <c r="N353" s="2" t="n">
        <v>4</v>
      </c>
      <c r="O353" s="31" t="n">
        <v>0</v>
      </c>
      <c r="P353" s="32" t="n"/>
      <c r="Q353" s="32" t="n">
        <v>0</v>
      </c>
      <c r="R353" s="32" t="n">
        <v>1.8382</v>
      </c>
      <c r="S353" s="31" t="n">
        <v>0</v>
      </c>
      <c r="T353" s="32" t="n">
        <v>0</v>
      </c>
      <c r="U353" s="31" t="n">
        <v>0</v>
      </c>
      <c r="V353" s="31" t="n">
        <v>0</v>
      </c>
      <c r="W353" s="3" t="n">
        <v>0</v>
      </c>
      <c r="X353" s="3" t="n">
        <v>0</v>
      </c>
      <c r="Y353" s="32" t="n">
        <v>0</v>
      </c>
      <c r="Z353" s="3" t="n">
        <v>0</v>
      </c>
      <c r="AA353" s="32" t="n">
        <v>0</v>
      </c>
      <c r="AB353" s="3" t="n"/>
      <c r="AC353" s="31" t="n">
        <v>0</v>
      </c>
      <c r="AD353" s="2" t="n">
        <v>4</v>
      </c>
      <c r="AE353" s="2" t="n">
        <v>18</v>
      </c>
      <c r="AF353" s="4" t="n">
        <v>18</v>
      </c>
      <c r="AG353" s="33" t="n">
        <v>72.06</v>
      </c>
      <c r="AH353" s="4" t="n">
        <v>4</v>
      </c>
      <c r="AI353" s="34" t="n">
        <v>0.2222</v>
      </c>
      <c r="AJ353" s="34" t="n">
        <v>1</v>
      </c>
      <c r="AK353" s="2" t="n">
        <v>3375</v>
      </c>
      <c r="AL353" t="inlineStr">
        <is>
          <t>Published</t>
        </is>
      </c>
    </row>
    <row r="354">
      <c r="A354">
        <f>HYPERLINK("https://www.walmart.com/ip/9523050651", "9523050651")</f>
        <v/>
      </c>
      <c r="B354">
        <f>HYPERLINK("https://app.optiwise.ai/catalog/itemdetails/9941250", "Ocean Pacific Og Corduroy Backpack for Travel, Sports, and Work, Waterproof College Backpack, Laptop Backpack Fits 15.6” Devices, Casual Daypack Backpacks for Adults, Olive")</f>
        <v/>
      </c>
      <c r="C354" t="inlineStr">
        <is>
          <t>OP-BACKPACK-15381-OLIVE</t>
        </is>
      </c>
      <c r="D354" t="inlineStr">
        <is>
          <t>Cases &amp; Bags</t>
        </is>
      </c>
      <c r="E354" t="inlineStr">
        <is>
          <t>Backpacks</t>
        </is>
      </c>
      <c r="F354" t="inlineStr">
        <is>
          <t>Ocean Pacific</t>
        </is>
      </c>
      <c r="G354" t="n">
        <v>0</v>
      </c>
      <c r="H354" t="n">
        <v>0</v>
      </c>
      <c r="I354" t="inlineStr">
        <is>
          <t>Backpack</t>
        </is>
      </c>
      <c r="J354" s="29" t="n">
        <v>71.98</v>
      </c>
      <c r="K354" s="30" t="n">
        <v>0.0005999999999999999</v>
      </c>
      <c r="L354" s="29" t="n">
        <v>0</v>
      </c>
      <c r="M354" s="29" t="n">
        <v>0</v>
      </c>
      <c r="N354" s="2" t="n">
        <v>2</v>
      </c>
      <c r="O354" s="31" t="n">
        <v>0</v>
      </c>
      <c r="P354" s="32" t="n"/>
      <c r="Q354" s="32" t="n">
        <v>0</v>
      </c>
      <c r="R354" s="32" t="n">
        <v>1.2064</v>
      </c>
      <c r="S354" s="31" t="n">
        <v>0</v>
      </c>
      <c r="T354" s="32" t="n">
        <v>0</v>
      </c>
      <c r="U354" s="31" t="n">
        <v>0</v>
      </c>
      <c r="V354" s="31" t="n">
        <v>0</v>
      </c>
      <c r="W354" s="3" t="n">
        <v>0</v>
      </c>
      <c r="X354" s="3" t="n">
        <v>0</v>
      </c>
      <c r="Y354" s="32" t="n">
        <v>0</v>
      </c>
      <c r="Z354" s="3" t="n">
        <v>0</v>
      </c>
      <c r="AA354" s="32" t="n">
        <v>0</v>
      </c>
      <c r="AB354" s="3" t="n"/>
      <c r="AC354" s="31" t="n">
        <v>0</v>
      </c>
      <c r="AD354" s="2" t="n">
        <v>0</v>
      </c>
      <c r="AE354" s="2" t="n">
        <v>34</v>
      </c>
      <c r="AF354" s="4" t="n">
        <v>34</v>
      </c>
      <c r="AG354" s="33" t="n">
        <v>71.98</v>
      </c>
      <c r="AH354" s="4" t="n">
        <v>2</v>
      </c>
      <c r="AI354" s="34" t="n">
        <v>0.0588</v>
      </c>
      <c r="AJ354" s="34" t="n">
        <v>1</v>
      </c>
      <c r="AK354" s="2" t="n">
        <v>6952</v>
      </c>
      <c r="AL354" t="inlineStr">
        <is>
          <t>Published</t>
        </is>
      </c>
    </row>
    <row r="355">
      <c r="A355">
        <f>HYPERLINK("https://www.walmart.com/ip/591035469", "591035469")</f>
        <v/>
      </c>
      <c r="B355">
        <f>HYPERLINK("https://app.optiwise.ai/catalog/itemdetails/361764", "Catalonia Fleece Wearable Blanket Poncho for Adult Women and Men, Wrap Blanket Cape with Pocket, Warm, Soft, Cozy, Snuggly, Comfort Gift, No Sleeves,  All-Season, Grey")</f>
        <v/>
      </c>
      <c r="C355" t="inlineStr">
        <is>
          <t>1CTBP100GY</t>
        </is>
      </c>
      <c r="D355" t="inlineStr">
        <is>
          <t>Clothing</t>
        </is>
      </c>
      <c r="E355" t="inlineStr">
        <is>
          <t>Throws</t>
        </is>
      </c>
      <c r="F355" t="inlineStr">
        <is>
          <t>Catalonia</t>
        </is>
      </c>
      <c r="G355" t="n">
        <v>0</v>
      </c>
      <c r="H355" t="n">
        <v>0</v>
      </c>
      <c r="I355" t="inlineStr">
        <is>
          <t>Hero 5 Holidays,WFS,WFS Item</t>
        </is>
      </c>
      <c r="J355" s="29" t="n">
        <v>71.97</v>
      </c>
      <c r="K355" s="30" t="n">
        <v>0.0005999999999999999</v>
      </c>
      <c r="L355" s="29" t="n">
        <v>23.98999977111816</v>
      </c>
      <c r="M355" s="29" t="n">
        <v>23.98999977111816</v>
      </c>
      <c r="N355" s="2" t="n">
        <v>3</v>
      </c>
      <c r="O355" s="31" t="n">
        <v>0</v>
      </c>
      <c r="P355" s="32" t="n"/>
      <c r="Q355" s="32" t="n">
        <v>0</v>
      </c>
      <c r="R355" s="32" t="n">
        <v>0.0969</v>
      </c>
      <c r="S355" s="31" t="n">
        <v>0</v>
      </c>
      <c r="T355" s="32" t="n">
        <v>0</v>
      </c>
      <c r="U355" s="31" t="n">
        <v>0</v>
      </c>
      <c r="V355" s="31" t="n">
        <v>0</v>
      </c>
      <c r="W355" s="3" t="n">
        <v>0</v>
      </c>
      <c r="X355" s="3" t="n">
        <v>0</v>
      </c>
      <c r="Y355" s="32" t="n">
        <v>0</v>
      </c>
      <c r="Z355" s="3" t="n">
        <v>0</v>
      </c>
      <c r="AA355" s="32" t="n">
        <v>0</v>
      </c>
      <c r="AB355" s="3" t="n"/>
      <c r="AC355" s="31" t="n">
        <v>0</v>
      </c>
      <c r="AD355" s="2" t="n">
        <v>33</v>
      </c>
      <c r="AE355" s="2" t="n">
        <v>59</v>
      </c>
      <c r="AF355" s="4" t="n">
        <v>59</v>
      </c>
      <c r="AG355" s="33" t="n">
        <v>71.97</v>
      </c>
      <c r="AH355" s="4" t="n">
        <v>3</v>
      </c>
      <c r="AI355" s="34" t="n">
        <v>0.0508</v>
      </c>
      <c r="AJ355" s="34" t="n">
        <v>1</v>
      </c>
      <c r="AK355" s="2" t="n">
        <v>4590</v>
      </c>
      <c r="AL355" t="inlineStr">
        <is>
          <t>Published</t>
        </is>
      </c>
    </row>
    <row r="356">
      <c r="A356">
        <f>HYPERLINK("https://www.walmart.com/ip/433337760", "433337760")</f>
        <v/>
      </c>
      <c r="B356">
        <f>HYPERLINK("https://app.optiwise.ai/catalog/itemdetails/6068587", "Tirrinia 2 Bottle Wine Tote Carrier - Insulated &amp; Padded Versatile Cooler Bag for Travel, BYOB Restaurant, Wine Tasting, Party, Great Gift for Wine Lover, Gray")</f>
        <v/>
      </c>
      <c r="C356" t="inlineStr">
        <is>
          <t>1TRWB221GY</t>
        </is>
      </c>
      <c r="D356" t="inlineStr">
        <is>
          <t>Home Decor, Kitchen, &amp; Other</t>
        </is>
      </c>
      <c r="E356" t="inlineStr">
        <is>
          <t>Wine Totes, Bags &amp; Backpacks</t>
        </is>
      </c>
      <c r="F356" t="inlineStr">
        <is>
          <t>Tirrinia</t>
        </is>
      </c>
      <c r="G356" t="n">
        <v>0</v>
      </c>
      <c r="H356" t="n">
        <v>0</v>
      </c>
      <c r="J356" s="29" t="n">
        <v>71.95999999999999</v>
      </c>
      <c r="K356" s="30" t="n">
        <v>0.0005999999999999999</v>
      </c>
      <c r="L356" s="29" t="n">
        <v>17.98999977111816</v>
      </c>
      <c r="M356" s="29" t="n">
        <v>0</v>
      </c>
      <c r="N356" s="2" t="n">
        <v>4</v>
      </c>
      <c r="O356" s="31" t="n">
        <v>31.92</v>
      </c>
      <c r="P356" s="32" t="n">
        <v>0.0038</v>
      </c>
      <c r="Q356" s="32" t="n">
        <v>0.4436</v>
      </c>
      <c r="R356" s="32" t="n">
        <v>0.2426</v>
      </c>
      <c r="S356" s="31" t="n">
        <v>1.91</v>
      </c>
      <c r="T356" s="32" t="n">
        <v>0.52</v>
      </c>
      <c r="U356" s="31" t="n">
        <v>60.97</v>
      </c>
      <c r="V356" s="31" t="n">
        <v>35.98</v>
      </c>
      <c r="W356" s="3" t="n">
        <v>20158</v>
      </c>
      <c r="X356" s="3" t="n">
        <v>57</v>
      </c>
      <c r="Y356" s="32" t="n">
        <v>0.0028</v>
      </c>
      <c r="Z356" s="3" t="n">
        <v>3</v>
      </c>
      <c r="AA356" s="32" t="n">
        <v>0.0526</v>
      </c>
      <c r="AB356" s="3" t="inlineStr">
        <is>
          <t>All Items_Auto_Optiwise_24,Auto Campaign_Vinay</t>
        </is>
      </c>
      <c r="AC356" s="31" t="n">
        <v>0.5600000000000001</v>
      </c>
      <c r="AD356" s="2" t="n">
        <v>3</v>
      </c>
      <c r="AE356" s="2" t="n">
        <v>101</v>
      </c>
      <c r="AF356" s="4" t="n">
        <v>44</v>
      </c>
      <c r="AG356" s="33" t="n">
        <v>10.98999999999999</v>
      </c>
      <c r="AH356" s="4" t="n">
        <v>1</v>
      </c>
      <c r="AI356" s="34" t="n">
        <v>0.0227</v>
      </c>
      <c r="AJ356" s="34" t="n">
        <v>0.1527</v>
      </c>
      <c r="AK356" s="2" t="n">
        <v>3577</v>
      </c>
      <c r="AL356" t="inlineStr">
        <is>
          <t>Published</t>
        </is>
      </c>
    </row>
    <row r="357">
      <c r="A357">
        <f>HYPERLINK("https://www.walmart.com/ip/494100643", "494100643")</f>
        <v/>
      </c>
      <c r="B357">
        <f>HYPERLINK("https://app.optiwise.ai/catalog/itemdetails/361937", "Tirrinia Insulated Lunch Bag for Women, Men and Kids, Leakproof Thermal Reusable Lunch Box Tote, Lunch Cooler for Office Work, Brown")</f>
        <v/>
      </c>
      <c r="C357" t="inlineStr">
        <is>
          <t>1WMLB701P1BR</t>
        </is>
      </c>
      <c r="D357" t="inlineStr">
        <is>
          <t>Home Decor, Kitchen, &amp; Other</t>
        </is>
      </c>
      <c r="E357" t="inlineStr">
        <is>
          <t>Reusable Lunch Bags &amp; Boxes</t>
        </is>
      </c>
      <c r="F357" t="inlineStr">
        <is>
          <t>Flyingstar</t>
        </is>
      </c>
      <c r="G357" t="n">
        <v>4.4</v>
      </c>
      <c r="H357" t="n">
        <v>14</v>
      </c>
      <c r="I357" t="inlineStr">
        <is>
          <t>Q2-Target,Lunch Bag</t>
        </is>
      </c>
      <c r="J357" s="29" t="n">
        <v>71.94</v>
      </c>
      <c r="K357" s="30" t="n">
        <v>0.0005999999999999999</v>
      </c>
      <c r="L357" s="29" t="n">
        <v>11.98999977111816</v>
      </c>
      <c r="M357" s="29" t="n">
        <v>0</v>
      </c>
      <c r="N357" s="2" t="n">
        <v>6</v>
      </c>
      <c r="O357" s="31" t="n">
        <v>0</v>
      </c>
      <c r="P357" s="32" t="n"/>
      <c r="Q357" s="32" t="n">
        <v>0</v>
      </c>
      <c r="R357" s="32" t="n">
        <v>0.1465</v>
      </c>
      <c r="S357" s="31" t="n">
        <v>0</v>
      </c>
      <c r="T357" s="32" t="n">
        <v>0</v>
      </c>
      <c r="U357" s="31" t="n">
        <v>0</v>
      </c>
      <c r="V357" s="31" t="n">
        <v>0</v>
      </c>
      <c r="W357" s="3" t="n">
        <v>0</v>
      </c>
      <c r="X357" s="3" t="n">
        <v>0</v>
      </c>
      <c r="Y357" s="32" t="n">
        <v>0</v>
      </c>
      <c r="Z357" s="3" t="n">
        <v>0</v>
      </c>
      <c r="AA357" s="32" t="n">
        <v>0</v>
      </c>
      <c r="AB357" s="3" t="n"/>
      <c r="AC357" s="31" t="n">
        <v>0</v>
      </c>
      <c r="AD357" s="2" t="n">
        <v>13</v>
      </c>
      <c r="AE357" s="2" t="n">
        <v>52</v>
      </c>
      <c r="AF357" s="4" t="n">
        <v>52</v>
      </c>
      <c r="AG357" s="33" t="n">
        <v>71.94</v>
      </c>
      <c r="AH357" s="4" t="n">
        <v>6</v>
      </c>
      <c r="AI357" s="34" t="n">
        <v>0.1154</v>
      </c>
      <c r="AJ357" s="34" t="n">
        <v>1</v>
      </c>
      <c r="AK357" s="2" t="n">
        <v>2250</v>
      </c>
      <c r="AL357" t="inlineStr">
        <is>
          <t>Published</t>
        </is>
      </c>
    </row>
    <row r="358">
      <c r="A358">
        <f>HYPERLINK("https://www.walmart.com/ip/141549630", "141549630")</f>
        <v/>
      </c>
      <c r="B358">
        <f>HYPERLINK("https://app.optiwise.ai/catalog/itemdetails/362705", "Tirrinia Leakproof Thermal Bento Lunch Bag For Women, Men And Kids, Heat-welded Technology, 20 Cans Capacity, Purple, 10L")</f>
        <v/>
      </c>
      <c r="C358" t="inlineStr">
        <is>
          <t>1TRLB702PP-T</t>
        </is>
      </c>
      <c r="D358" t="inlineStr">
        <is>
          <t>Home Decor, Kitchen, &amp; Other</t>
        </is>
      </c>
      <c r="E358" t="inlineStr">
        <is>
          <t>Reusable Lunch Bags &amp; Boxes</t>
        </is>
      </c>
      <c r="F358" t="inlineStr">
        <is>
          <t>Tirrinia</t>
        </is>
      </c>
      <c r="G358" t="n">
        <v>0</v>
      </c>
      <c r="H358" t="n">
        <v>0</v>
      </c>
      <c r="I358" t="inlineStr">
        <is>
          <t>Q2-Target,Brand Camp VD,Lunch Bag,Lunch Bags,SEM</t>
        </is>
      </c>
      <c r="J358" s="29" t="n">
        <v>71.79000000000001</v>
      </c>
      <c r="K358" s="30" t="n">
        <v>0.0005999999999999999</v>
      </c>
      <c r="L358" s="29" t="n">
        <v>0</v>
      </c>
      <c r="M358" s="29" t="n">
        <v>0</v>
      </c>
      <c r="N358" s="2" t="n">
        <v>4</v>
      </c>
      <c r="O358" s="31" t="n">
        <v>0</v>
      </c>
      <c r="P358" s="32" t="n"/>
      <c r="Q358" s="32" t="n">
        <v>0</v>
      </c>
      <c r="R358" s="32" t="n">
        <v>0.0433</v>
      </c>
      <c r="S358" s="31" t="n">
        <v>0</v>
      </c>
      <c r="T358" s="32" t="n">
        <v>0</v>
      </c>
      <c r="U358" s="31" t="n">
        <v>0</v>
      </c>
      <c r="V358" s="31" t="n">
        <v>0</v>
      </c>
      <c r="W358" s="3" t="n">
        <v>0</v>
      </c>
      <c r="X358" s="3" t="n">
        <v>0</v>
      </c>
      <c r="Y358" s="32" t="n">
        <v>0</v>
      </c>
      <c r="Z358" s="3" t="n">
        <v>0</v>
      </c>
      <c r="AA358" s="32" t="n">
        <v>0</v>
      </c>
      <c r="AB358" s="3" t="n"/>
      <c r="AC358" s="31" t="n">
        <v>0</v>
      </c>
      <c r="AD358" s="2" t="n">
        <v>11</v>
      </c>
      <c r="AE358" s="2" t="n">
        <v>78</v>
      </c>
      <c r="AF358" s="4" t="n">
        <v>78</v>
      </c>
      <c r="AG358" s="33" t="n">
        <v>71.79000000000001</v>
      </c>
      <c r="AH358" s="4" t="n">
        <v>4</v>
      </c>
      <c r="AI358" s="34" t="n">
        <v>0.0513</v>
      </c>
      <c r="AJ358" s="34" t="n">
        <v>1</v>
      </c>
      <c r="AK358" s="2" t="n">
        <v>405</v>
      </c>
      <c r="AL358" t="inlineStr">
        <is>
          <t>Published</t>
        </is>
      </c>
    </row>
    <row r="359">
      <c r="A359">
        <f>HYPERLINK("https://www.walmart.com/ip/410430005", "410430005")</f>
        <v/>
      </c>
      <c r="B359">
        <f>HYPERLINK("https://app.optiwise.ai/catalog/itemdetails/362251", "Surf Poncho Changing Towel Robe for Adults Men Women, Hooded Wetsuit Change Poncho for Surfing Swimming Bathing, Water Absorbent, Black, Oversized.")</f>
        <v/>
      </c>
      <c r="C359" t="inlineStr">
        <is>
          <t>1CTBR100BK-ESCB</t>
        </is>
      </c>
      <c r="D359" t="inlineStr">
        <is>
          <t>Clothing</t>
        </is>
      </c>
      <c r="E359" t="inlineStr">
        <is>
          <t>Sleepwear Robes &amp; Bathrobes</t>
        </is>
      </c>
      <c r="F359" t="inlineStr">
        <is>
          <t>Catalonia</t>
        </is>
      </c>
      <c r="G359" t="n">
        <v>4.7</v>
      </c>
      <c r="H359" t="n">
        <v>9</v>
      </c>
      <c r="I359" t="inlineStr">
        <is>
          <t>Beach Robe Camp,Batch 1 - TR</t>
        </is>
      </c>
      <c r="J359" s="29" t="n">
        <v>70.97</v>
      </c>
      <c r="K359" s="30" t="n">
        <v>0.0005999999999999999</v>
      </c>
      <c r="L359" s="29" t="n">
        <v>0</v>
      </c>
      <c r="M359" s="29" t="n">
        <v>0</v>
      </c>
      <c r="N359" s="2" t="n">
        <v>3</v>
      </c>
      <c r="O359" s="31" t="n">
        <v>0</v>
      </c>
      <c r="P359" s="32" t="n"/>
      <c r="Q359" s="32" t="n">
        <v>0</v>
      </c>
      <c r="R359" s="32" t="n">
        <v>0.0041</v>
      </c>
      <c r="S359" s="31" t="n">
        <v>0</v>
      </c>
      <c r="T359" s="32" t="n">
        <v>0</v>
      </c>
      <c r="U359" s="31" t="n">
        <v>0</v>
      </c>
      <c r="V359" s="31" t="n">
        <v>0</v>
      </c>
      <c r="W359" s="3" t="n">
        <v>0</v>
      </c>
      <c r="X359" s="3" t="n">
        <v>0</v>
      </c>
      <c r="Y359" s="32" t="n">
        <v>0</v>
      </c>
      <c r="Z359" s="3" t="n">
        <v>0</v>
      </c>
      <c r="AA359" s="32" t="n">
        <v>0</v>
      </c>
      <c r="AB359" s="3" t="n"/>
      <c r="AC359" s="31" t="n">
        <v>0</v>
      </c>
      <c r="AD359" s="2" t="n">
        <v>0</v>
      </c>
      <c r="AE359" s="2" t="n">
        <v>87</v>
      </c>
      <c r="AF359" s="4" t="n">
        <v>87</v>
      </c>
      <c r="AG359" s="33" t="n">
        <v>70.97</v>
      </c>
      <c r="AH359" s="4" t="n">
        <v>3</v>
      </c>
      <c r="AI359" s="34" t="n">
        <v>0.0345</v>
      </c>
      <c r="AJ359" s="34" t="n">
        <v>1</v>
      </c>
      <c r="AK359" s="2" t="n">
        <v>4500</v>
      </c>
      <c r="AL359" t="inlineStr">
        <is>
          <t>Published</t>
        </is>
      </c>
    </row>
    <row r="360">
      <c r="A360">
        <f>HYPERLINK("https://www.walmart.com/ip/192337997", "192337997")</f>
        <v/>
      </c>
      <c r="B360">
        <f>HYPERLINK("https://app.optiwise.ai/catalog/itemdetails/362192", "Solaris Sun Hats UV Protection Wide Brim Hat Unisex Adult Multicolor")</f>
        <v/>
      </c>
      <c r="C360" t="inlineStr">
        <is>
          <t>1SLSH910OL</t>
        </is>
      </c>
      <c r="D360" t="inlineStr">
        <is>
          <t>Clothing</t>
        </is>
      </c>
      <c r="E360" t="inlineStr">
        <is>
          <t>Hats</t>
        </is>
      </c>
      <c r="F360" t="inlineStr">
        <is>
          <t>Solaris</t>
        </is>
      </c>
      <c r="G360" t="n">
        <v>4.5</v>
      </c>
      <c r="H360" t="n">
        <v>15</v>
      </c>
      <c r="I360" t="inlineStr">
        <is>
          <t>Hats,SEM,Batch 1 - TR</t>
        </is>
      </c>
      <c r="J360" s="29" t="n">
        <v>70.95</v>
      </c>
      <c r="K360" s="30" t="n">
        <v>0.0005999999999999999</v>
      </c>
      <c r="L360" s="29" t="n">
        <v>0</v>
      </c>
      <c r="M360" s="29" t="n">
        <v>0</v>
      </c>
      <c r="N360" s="2" t="n">
        <v>4</v>
      </c>
      <c r="O360" s="31" t="n">
        <v>0</v>
      </c>
      <c r="P360" s="32" t="n"/>
      <c r="Q360" s="32" t="n">
        <v>0</v>
      </c>
      <c r="R360" s="32" t="n">
        <v>0</v>
      </c>
      <c r="S360" s="31" t="n">
        <v>0</v>
      </c>
      <c r="T360" s="32" t="n">
        <v>0</v>
      </c>
      <c r="U360" s="31" t="n">
        <v>0</v>
      </c>
      <c r="V360" s="31" t="n">
        <v>0</v>
      </c>
      <c r="W360" s="3" t="n">
        <v>0</v>
      </c>
      <c r="X360" s="3" t="n">
        <v>0</v>
      </c>
      <c r="Y360" s="32" t="n">
        <v>0</v>
      </c>
      <c r="Z360" s="3" t="n">
        <v>0</v>
      </c>
      <c r="AA360" s="32" t="n">
        <v>0</v>
      </c>
      <c r="AB360" s="3" t="n"/>
      <c r="AC360" s="31" t="n">
        <v>0</v>
      </c>
      <c r="AD360" s="2" t="n">
        <v>0</v>
      </c>
      <c r="AE360" s="2" t="n">
        <v>19</v>
      </c>
      <c r="AF360" s="4" t="n">
        <v>19</v>
      </c>
      <c r="AG360" s="33" t="n">
        <v>70.95</v>
      </c>
      <c r="AH360" s="4" t="n">
        <v>4</v>
      </c>
      <c r="AI360" s="34" t="n">
        <v>0.2105</v>
      </c>
      <c r="AJ360" s="34" t="n">
        <v>1</v>
      </c>
      <c r="AK360" s="2" t="n">
        <v>0</v>
      </c>
      <c r="AL360" t="inlineStr">
        <is>
          <t>Published</t>
        </is>
      </c>
    </row>
    <row r="361">
      <c r="A361">
        <f>HYPERLINK("https://www.walmart.com/ip/383358003", "383358003")</f>
        <v/>
      </c>
      <c r="B361">
        <f>HYPERLINK("https://app.optiwise.ai/catalog/itemdetails/361386", "Flyingstar Lunch Bag for Women Men, Insulated Lunch Tote for Working/School/Picnic Fashionable Cooler Bag")</f>
        <v/>
      </c>
      <c r="C361" t="inlineStr">
        <is>
          <t>1WMLB704PP</t>
        </is>
      </c>
      <c r="D361" t="inlineStr">
        <is>
          <t>Home Decor, Kitchen, &amp; Other</t>
        </is>
      </c>
      <c r="E361" t="inlineStr">
        <is>
          <t>Reusable Lunch Bags &amp; Boxes</t>
        </is>
      </c>
      <c r="F361" t="inlineStr">
        <is>
          <t>Flyingstar</t>
        </is>
      </c>
      <c r="G361" t="n">
        <v>0</v>
      </c>
      <c r="H361" t="n">
        <v>0</v>
      </c>
      <c r="I361" t="inlineStr">
        <is>
          <t>Q2-Target,Lunch Bag</t>
        </is>
      </c>
      <c r="J361" s="29" t="n">
        <v>70.23</v>
      </c>
      <c r="K361" s="30" t="n">
        <v>0.0005999999999999999</v>
      </c>
      <c r="L361" s="29" t="n">
        <v>0</v>
      </c>
      <c r="M361" s="29" t="n">
        <v>0</v>
      </c>
      <c r="N361" s="2" t="n">
        <v>7</v>
      </c>
      <c r="O361" s="31" t="n">
        <v>0</v>
      </c>
      <c r="P361" s="32" t="n"/>
      <c r="Q361" s="32" t="n">
        <v>0</v>
      </c>
      <c r="R361" s="32" t="n">
        <v>0.008500000000000001</v>
      </c>
      <c r="S361" s="31" t="n">
        <v>0</v>
      </c>
      <c r="T361" s="32" t="n">
        <v>0</v>
      </c>
      <c r="U361" s="31" t="n">
        <v>0</v>
      </c>
      <c r="V361" s="31" t="n">
        <v>0</v>
      </c>
      <c r="W361" s="3" t="n">
        <v>0</v>
      </c>
      <c r="X361" s="3" t="n">
        <v>0</v>
      </c>
      <c r="Y361" s="32" t="n">
        <v>0</v>
      </c>
      <c r="Z361" s="3" t="n">
        <v>0</v>
      </c>
      <c r="AA361" s="32" t="n">
        <v>0</v>
      </c>
      <c r="AB361" s="3" t="n"/>
      <c r="AC361" s="31" t="n">
        <v>0</v>
      </c>
      <c r="AD361" s="2" t="n">
        <v>265</v>
      </c>
      <c r="AE361" s="2" t="n">
        <v>234</v>
      </c>
      <c r="AF361" s="4" t="n">
        <v>234</v>
      </c>
      <c r="AG361" s="33" t="n">
        <v>70.23</v>
      </c>
      <c r="AH361" s="4" t="n">
        <v>7</v>
      </c>
      <c r="AI361" s="34" t="n">
        <v>0.0299</v>
      </c>
      <c r="AJ361" s="34" t="n">
        <v>1</v>
      </c>
      <c r="AK361" s="2" t="n">
        <v>1928</v>
      </c>
      <c r="AL361" t="inlineStr">
        <is>
          <t>Published</t>
        </is>
      </c>
    </row>
    <row r="362">
      <c r="A362">
        <f>HYPERLINK("https://www.walmart.com/ip/15486570695", "15486570695")</f>
        <v/>
      </c>
      <c r="B362">
        <f>HYPERLINK("https://app.optiwise.ai/catalog/itemdetails/20131085", "Dickies Journeyman Large Capacity Backpack Classic Logo Water Resistant Casual Daypack for Travel Fits 15.6 Inch Notebook")</f>
        <v/>
      </c>
      <c r="C362" t="inlineStr">
        <is>
          <t>DK-BACKPACK-15169-BLACK</t>
        </is>
      </c>
      <c r="D362" t="inlineStr">
        <is>
          <t>Cases &amp; Bags</t>
        </is>
      </c>
      <c r="E362" t="inlineStr">
        <is>
          <t>Backpacks</t>
        </is>
      </c>
      <c r="F362" t="inlineStr">
        <is>
          <t>Dickies</t>
        </is>
      </c>
      <c r="G362" t="n">
        <v>0</v>
      </c>
      <c r="H362" t="n">
        <v>0</v>
      </c>
      <c r="J362" s="29" t="n">
        <v>69.98</v>
      </c>
      <c r="K362" s="30" t="n">
        <v>0.0005999999999999999</v>
      </c>
      <c r="L362" s="29" t="n">
        <v>34.9900016784668</v>
      </c>
      <c r="M362" s="29" t="n">
        <v>0</v>
      </c>
      <c r="N362" s="2" t="n">
        <v>2</v>
      </c>
      <c r="O362" s="31" t="n">
        <v>0</v>
      </c>
      <c r="P362" s="32" t="n"/>
      <c r="Q362" s="32" t="n">
        <v>0</v>
      </c>
      <c r="R362" s="32" t="n">
        <v>0</v>
      </c>
      <c r="S362" s="31" t="n">
        <v>0</v>
      </c>
      <c r="T362" s="32" t="n">
        <v>0</v>
      </c>
      <c r="U362" s="31" t="n">
        <v>0</v>
      </c>
      <c r="V362" s="31" t="n">
        <v>0</v>
      </c>
      <c r="W362" s="3" t="n">
        <v>0</v>
      </c>
      <c r="X362" s="3" t="n">
        <v>0</v>
      </c>
      <c r="Y362" s="32" t="n">
        <v>0</v>
      </c>
      <c r="Z362" s="3" t="n">
        <v>0</v>
      </c>
      <c r="AA362" s="32" t="n">
        <v>0</v>
      </c>
      <c r="AB362" s="3" t="n"/>
      <c r="AC362" s="31" t="n">
        <v>0</v>
      </c>
      <c r="AD362" s="2" t="n">
        <v>0</v>
      </c>
      <c r="AE362" s="2" t="n">
        <v>0</v>
      </c>
      <c r="AF362" s="4" t="n">
        <v>0</v>
      </c>
      <c r="AG362" s="33" t="n">
        <v>69.98</v>
      </c>
      <c r="AH362" s="4" t="n">
        <v>2</v>
      </c>
      <c r="AI362" s="34" t="n"/>
      <c r="AJ362" s="34" t="n">
        <v>1</v>
      </c>
      <c r="AK362" s="2" t="n">
        <v>6750</v>
      </c>
      <c r="AL362" t="inlineStr">
        <is>
          <t>Published</t>
        </is>
      </c>
    </row>
    <row r="363">
      <c r="A363">
        <f>HYPERLINK("https://www.walmart.com/ip/355389190", "355389190")</f>
        <v/>
      </c>
      <c r="B363">
        <f>HYPERLINK("https://app.optiwise.ai/catalog/itemdetails/362481", "Catalonia Mermaid Tail Blanket, Super Soft Blanket Sherpa Lined Knit with Non-slip Neck Strap, Fleece Blanket for Adults and Teens, Green, 67'' x 22.5''")</f>
        <v/>
      </c>
      <c r="C363" t="inlineStr">
        <is>
          <t>1CTMM300GN</t>
        </is>
      </c>
      <c r="D363" t="inlineStr">
        <is>
          <t>Bedding</t>
        </is>
      </c>
      <c r="E363" t="inlineStr">
        <is>
          <t>Throws</t>
        </is>
      </c>
      <c r="F363" t="inlineStr">
        <is>
          <t>Catalonia</t>
        </is>
      </c>
      <c r="G363" t="n">
        <v>0</v>
      </c>
      <c r="H363" t="n">
        <v>0</v>
      </c>
      <c r="I363" t="inlineStr">
        <is>
          <t>WFS,WFS Item</t>
        </is>
      </c>
      <c r="J363" s="29" t="n">
        <v>69.98</v>
      </c>
      <c r="K363" s="30" t="n">
        <v>0.0005999999999999999</v>
      </c>
      <c r="L363" s="29" t="n">
        <v>0</v>
      </c>
      <c r="M363" s="29" t="n">
        <v>0</v>
      </c>
      <c r="N363" s="2" t="n">
        <v>2</v>
      </c>
      <c r="O363" s="31" t="n">
        <v>0.31</v>
      </c>
      <c r="P363" s="32" t="n"/>
      <c r="Q363" s="32" t="n">
        <v>0.0044</v>
      </c>
      <c r="R363" s="32" t="n">
        <v>0.022</v>
      </c>
      <c r="S363" s="31" t="n">
        <v>0</v>
      </c>
      <c r="T363" s="32" t="n">
        <v>0</v>
      </c>
      <c r="U363" s="31" t="n">
        <v>0</v>
      </c>
      <c r="V363" s="31" t="n">
        <v>0</v>
      </c>
      <c r="W363" s="3" t="n">
        <v>768</v>
      </c>
      <c r="X363" s="3" t="n">
        <v>1</v>
      </c>
      <c r="Y363" s="32" t="n">
        <v>0.0013</v>
      </c>
      <c r="Z363" s="3" t="n">
        <v>0</v>
      </c>
      <c r="AA363" s="32" t="n">
        <v>0</v>
      </c>
      <c r="AB363" s="3" t="inlineStr">
        <is>
          <t>All Items_Auto_Optiwise_24</t>
        </is>
      </c>
      <c r="AC363" s="31" t="n">
        <v>0.31</v>
      </c>
      <c r="AD363" s="2" t="n">
        <v>8</v>
      </c>
      <c r="AE363" s="2" t="n">
        <v>56</v>
      </c>
      <c r="AF363" s="4" t="n">
        <v>55</v>
      </c>
      <c r="AG363" s="33" t="n">
        <v>69.98</v>
      </c>
      <c r="AH363" s="4" t="n">
        <v>2</v>
      </c>
      <c r="AI363" s="34" t="n">
        <v>0.0364</v>
      </c>
      <c r="AJ363" s="34" t="n">
        <v>1</v>
      </c>
      <c r="AK363" s="2" t="n">
        <v>135</v>
      </c>
      <c r="AL363" t="inlineStr">
        <is>
          <t>Published</t>
        </is>
      </c>
    </row>
    <row r="364">
      <c r="A364">
        <f>HYPERLINK("https://www.walmart.com/ip/655974689", "655974689")</f>
        <v/>
      </c>
      <c r="B364">
        <f>HYPERLINK("https://app.optiwise.ai/catalog/itemdetails/359086", "Tirrinia Insulated 2 Bottle Wine Carrier Tote Cooler Bag for Travel Picnic Padded Champagne Glass")</f>
        <v/>
      </c>
      <c r="C364" t="inlineStr">
        <is>
          <t>1TRWB231CHEETAH</t>
        </is>
      </c>
      <c r="D364" t="inlineStr">
        <is>
          <t>Home Decor, Kitchen, &amp; Other</t>
        </is>
      </c>
      <c r="E364" t="inlineStr">
        <is>
          <t>Wine Totes, Bags &amp; Backpacks</t>
        </is>
      </c>
      <c r="F364" t="inlineStr">
        <is>
          <t>Tirrinia</t>
        </is>
      </c>
      <c r="G364" t="n">
        <v>5</v>
      </c>
      <c r="H364" t="n">
        <v>1</v>
      </c>
      <c r="I364" t="inlineStr">
        <is>
          <t>Wine,Christmas,WFS,Valentine,WFS Item</t>
        </is>
      </c>
      <c r="J364" s="29" t="n">
        <v>69.95999999999999</v>
      </c>
      <c r="K364" s="30" t="n">
        <v>0.0005999999999999999</v>
      </c>
      <c r="L364" s="29" t="n">
        <v>0</v>
      </c>
      <c r="M364" s="29" t="n">
        <v>0</v>
      </c>
      <c r="N364" s="2" t="n">
        <v>3</v>
      </c>
      <c r="O364" s="31" t="n">
        <v>8.519999999999998</v>
      </c>
      <c r="P364" s="32" t="n">
        <v>0.001</v>
      </c>
      <c r="Q364" s="32" t="n">
        <v>0.1218</v>
      </c>
      <c r="R364" s="32" t="n">
        <v>0.0578</v>
      </c>
      <c r="S364" s="31" t="n">
        <v>2.46</v>
      </c>
      <c r="T364" s="32" t="n">
        <v>0.41</v>
      </c>
      <c r="U364" s="31" t="n">
        <v>20.99</v>
      </c>
      <c r="V364" s="31" t="n">
        <v>20.99</v>
      </c>
      <c r="W364" s="3" t="n">
        <v>12566</v>
      </c>
      <c r="X364" s="3" t="n">
        <v>22</v>
      </c>
      <c r="Y364" s="32" t="n">
        <v>0.0018</v>
      </c>
      <c r="Z364" s="3" t="n">
        <v>1</v>
      </c>
      <c r="AA364" s="32" t="n">
        <v>0.0455</v>
      </c>
      <c r="AB364" s="3" t="inlineStr">
        <is>
          <t>Auto Campaign_Vinay</t>
        </is>
      </c>
      <c r="AC364" s="31" t="n">
        <v>0.39</v>
      </c>
      <c r="AD364" s="2" t="n">
        <v>17</v>
      </c>
      <c r="AE364" s="2" t="n">
        <v>30</v>
      </c>
      <c r="AF364" s="4" t="n">
        <v>8</v>
      </c>
      <c r="AG364" s="33" t="n">
        <v>48.97</v>
      </c>
      <c r="AH364" s="4" t="n">
        <v>2</v>
      </c>
      <c r="AI364" s="34" t="n">
        <v>0.25</v>
      </c>
      <c r="AJ364" s="34" t="n">
        <v>0.7</v>
      </c>
      <c r="AK364" s="2" t="n">
        <v>0</v>
      </c>
      <c r="AL364" t="inlineStr">
        <is>
          <t>Published</t>
        </is>
      </c>
    </row>
    <row r="365">
      <c r="A365">
        <f>HYPERLINK("https://www.walmart.com/ip/296861236", "296861236")</f>
        <v/>
      </c>
      <c r="B365">
        <f>HYPERLINK("https://app.optiwise.ai/catalog/itemdetails/358766", "Flyingstar 6-Bottle Wine Cooler Bag, Wine Gift Bag with Insulated, Padded Wine Bottle Compartments, Blue Stripe, 11'' W x 8'' D x 14'' H")</f>
        <v/>
      </c>
      <c r="C365" t="inlineStr">
        <is>
          <t>1WMWB602STR</t>
        </is>
      </c>
      <c r="D365" t="inlineStr">
        <is>
          <t>Home Decor, Kitchen, &amp; Other</t>
        </is>
      </c>
      <c r="E365" t="inlineStr">
        <is>
          <t>Wine Totes, Bags &amp; Backpacks</t>
        </is>
      </c>
      <c r="F365" t="inlineStr">
        <is>
          <t>Flyingstar</t>
        </is>
      </c>
      <c r="G365" t="n">
        <v>0</v>
      </c>
      <c r="H365" t="n">
        <v>0</v>
      </c>
      <c r="I365" t="inlineStr">
        <is>
          <t>Wine,Christmas,Optimized,Wine WFS,Valentine,SEM</t>
        </is>
      </c>
      <c r="J365" s="29" t="n">
        <v>69.95999999999999</v>
      </c>
      <c r="K365" s="30" t="n">
        <v>0.0005999999999999999</v>
      </c>
      <c r="L365" s="29" t="n">
        <v>0</v>
      </c>
      <c r="M365" s="29" t="n">
        <v>0</v>
      </c>
      <c r="N365" s="2" t="n">
        <v>3</v>
      </c>
      <c r="O365" s="31" t="n">
        <v>26.57</v>
      </c>
      <c r="P365" s="32" t="n">
        <v>0.0032</v>
      </c>
      <c r="Q365" s="32" t="n">
        <v>0.3798</v>
      </c>
      <c r="R365" s="32" t="n">
        <v>0</v>
      </c>
      <c r="S365" s="31" t="n">
        <v>1.58</v>
      </c>
      <c r="T365" s="32" t="n">
        <v>0.63</v>
      </c>
      <c r="U365" s="31" t="n">
        <v>41.98</v>
      </c>
      <c r="V365" s="31" t="n">
        <v>41.98</v>
      </c>
      <c r="W365" s="3" t="n">
        <v>26496</v>
      </c>
      <c r="X365" s="3" t="n">
        <v>37</v>
      </c>
      <c r="Y365" s="32" t="n">
        <v>0.0014</v>
      </c>
      <c r="Z365" s="3" t="n">
        <v>2</v>
      </c>
      <c r="AA365" s="32" t="n">
        <v>0.0541</v>
      </c>
      <c r="AB365" s="3" t="inlineStr">
        <is>
          <t>Auto Campaign_Vinay</t>
        </is>
      </c>
      <c r="AC365" s="31" t="n">
        <v>0.72</v>
      </c>
      <c r="AD365" s="2" t="n">
        <v>0</v>
      </c>
      <c r="AE365" s="2" t="n">
        <v>39</v>
      </c>
      <c r="AF365" s="4" t="n">
        <v>2</v>
      </c>
      <c r="AG365" s="33" t="n">
        <v>27.98</v>
      </c>
      <c r="AH365" s="4" t="n">
        <v>1</v>
      </c>
      <c r="AI365" s="34" t="n">
        <v>0.5</v>
      </c>
      <c r="AJ365" s="34" t="n">
        <v>0.3999</v>
      </c>
      <c r="AK365" s="2" t="n">
        <v>4500</v>
      </c>
      <c r="AL365" t="inlineStr">
        <is>
          <t>Published</t>
        </is>
      </c>
    </row>
    <row r="366">
      <c r="A366">
        <f>HYPERLINK("https://www.walmart.com/ip/265727425", "265727425")</f>
        <v/>
      </c>
      <c r="B366">
        <f>HYPERLINK("https://app.optiwise.ai/catalog/itemdetails/361546", "Catalonia Red Black Checkered Sherpa Blanket, Buffalo Plaid Sherpa Throw Blanket, Reversible Super Soft Warm Comfy Fuzzy Snuggle Micro Fleece Plush Christmas Throws for Bedding Couch TV 60x50")</f>
        <v/>
      </c>
      <c r="C366" t="inlineStr">
        <is>
          <t>1CTBF562PRD</t>
        </is>
      </c>
      <c r="D366" t="inlineStr">
        <is>
          <t>Bedding</t>
        </is>
      </c>
      <c r="E366" t="inlineStr">
        <is>
          <t>Throws</t>
        </is>
      </c>
      <c r="F366" t="inlineStr">
        <is>
          <t>Catalonia</t>
        </is>
      </c>
      <c r="G366" t="n">
        <v>0</v>
      </c>
      <c r="H366" t="n">
        <v>0</v>
      </c>
      <c r="I366" t="inlineStr">
        <is>
          <t>Q2-Target,WFS,WFS Item</t>
        </is>
      </c>
      <c r="J366" s="29" t="n">
        <v>69.95</v>
      </c>
      <c r="K366" s="30" t="n">
        <v>0.0005999999999999999</v>
      </c>
      <c r="L366" s="29" t="n">
        <v>0</v>
      </c>
      <c r="M366" s="29" t="n">
        <v>0</v>
      </c>
      <c r="N366" s="2" t="n">
        <v>5</v>
      </c>
      <c r="O366" s="31" t="n">
        <v>0</v>
      </c>
      <c r="P366" s="32" t="n"/>
      <c r="Q366" s="32" t="n">
        <v>0</v>
      </c>
      <c r="R366" s="32" t="n">
        <v>0.757</v>
      </c>
      <c r="S366" s="31" t="n">
        <v>0</v>
      </c>
      <c r="T366" s="32" t="n">
        <v>0</v>
      </c>
      <c r="U366" s="31" t="n">
        <v>0</v>
      </c>
      <c r="V366" s="31" t="n">
        <v>0</v>
      </c>
      <c r="W366" s="3" t="n">
        <v>0</v>
      </c>
      <c r="X366" s="3" t="n">
        <v>0</v>
      </c>
      <c r="Y366" s="32" t="n">
        <v>0</v>
      </c>
      <c r="Z366" s="3" t="n">
        <v>0</v>
      </c>
      <c r="AA366" s="32" t="n">
        <v>0</v>
      </c>
      <c r="AB366" s="3" t="n"/>
      <c r="AC366" s="31" t="n">
        <v>0</v>
      </c>
      <c r="AD366" s="2" t="n">
        <v>1</v>
      </c>
      <c r="AE366" s="2" t="n">
        <v>22</v>
      </c>
      <c r="AF366" s="4" t="n">
        <v>22</v>
      </c>
      <c r="AG366" s="33" t="n">
        <v>69.95</v>
      </c>
      <c r="AH366" s="4" t="n">
        <v>5</v>
      </c>
      <c r="AI366" s="34" t="n">
        <v>0.2273</v>
      </c>
      <c r="AJ366" s="34" t="n">
        <v>1</v>
      </c>
      <c r="AK366" s="2" t="n">
        <v>2700</v>
      </c>
      <c r="AL366" t="inlineStr">
        <is>
          <t>Published</t>
        </is>
      </c>
    </row>
    <row r="367">
      <c r="A367">
        <f>HYPERLINK("https://www.walmart.com/ip/305329935", "305329935")</f>
        <v/>
      </c>
      <c r="B367">
        <f>HYPERLINK("https://app.optiwise.ai/catalog/itemdetails/361715", "Single Wine Cooler Bags - Insulated &amp; Padded Portable Wine Tote Carrier for Travel, BYOB Restaurant, Wine Tasting, Party, Great Christmas Gift for Wine Lover, Blue Stripe")</f>
        <v/>
      </c>
      <c r="C367" t="inlineStr">
        <is>
          <t>1WMWB101STR</t>
        </is>
      </c>
      <c r="D367" t="inlineStr">
        <is>
          <t>Home Decor, Kitchen, &amp; Other</t>
        </is>
      </c>
      <c r="E367" t="inlineStr">
        <is>
          <t>Wine Totes, Bags &amp; Backpacks</t>
        </is>
      </c>
      <c r="F367" t="inlineStr">
        <is>
          <t>Flyingstar</t>
        </is>
      </c>
      <c r="G367" t="n">
        <v>0</v>
      </c>
      <c r="H367" t="n">
        <v>0</v>
      </c>
      <c r="I367" t="inlineStr">
        <is>
          <t>Wine,Christmas,Optimized,Valentine</t>
        </is>
      </c>
      <c r="J367" s="29" t="n">
        <v>69.95</v>
      </c>
      <c r="K367" s="30" t="n">
        <v>0.0005999999999999999</v>
      </c>
      <c r="L367" s="29" t="n">
        <v>0</v>
      </c>
      <c r="M367" s="29" t="n">
        <v>0</v>
      </c>
      <c r="N367" s="2" t="n">
        <v>5</v>
      </c>
      <c r="O367" s="31" t="n">
        <v>0</v>
      </c>
      <c r="P367" s="32" t="n"/>
      <c r="Q367" s="32" t="n">
        <v>0</v>
      </c>
      <c r="R367" s="32" t="n">
        <v>0.0182</v>
      </c>
      <c r="S367" s="31" t="n">
        <v>0</v>
      </c>
      <c r="T367" s="32" t="n">
        <v>0</v>
      </c>
      <c r="U367" s="31" t="n">
        <v>0</v>
      </c>
      <c r="V367" s="31" t="n">
        <v>0</v>
      </c>
      <c r="W367" s="3" t="n">
        <v>0</v>
      </c>
      <c r="X367" s="3" t="n">
        <v>0</v>
      </c>
      <c r="Y367" s="32" t="n">
        <v>0</v>
      </c>
      <c r="Z367" s="3" t="n">
        <v>0</v>
      </c>
      <c r="AA367" s="32" t="n">
        <v>0</v>
      </c>
      <c r="AB367" s="3" t="n"/>
      <c r="AC367" s="31" t="n">
        <v>0</v>
      </c>
      <c r="AD367" s="2" t="n">
        <v>0</v>
      </c>
      <c r="AE367" s="2" t="n">
        <v>42</v>
      </c>
      <c r="AF367" s="4" t="n">
        <v>42</v>
      </c>
      <c r="AG367" s="33" t="n">
        <v>69.95</v>
      </c>
      <c r="AH367" s="4" t="n">
        <v>5</v>
      </c>
      <c r="AI367" s="34" t="n">
        <v>0.119</v>
      </c>
      <c r="AJ367" s="34" t="n">
        <v>1</v>
      </c>
      <c r="AK367" s="2" t="n">
        <v>2700</v>
      </c>
      <c r="AL367" t="inlineStr">
        <is>
          <t>Published</t>
        </is>
      </c>
    </row>
    <row r="368">
      <c r="A368">
        <f>HYPERLINK("https://www.walmart.com/ip/3238174835", "3238174835")</f>
        <v/>
      </c>
      <c r="B368">
        <f>HYPERLINK("https://app.optiwise.ai/catalog/itemdetails/4971377", "Solaris Women Ponytail Sun Hat for Hiking Fishing Gardening Outdoor UV Protection Safari Cap, Breathable Mesh and Ponytail Hole Opening, Olive")</f>
        <v/>
      </c>
      <c r="C368" t="inlineStr">
        <is>
          <t>1SLSH912OL</t>
        </is>
      </c>
      <c r="D368" t="inlineStr">
        <is>
          <t>Clothing</t>
        </is>
      </c>
      <c r="E368" t="inlineStr">
        <is>
          <t>Hats</t>
        </is>
      </c>
      <c r="F368" t="inlineStr">
        <is>
          <t>Solaris</t>
        </is>
      </c>
      <c r="G368" t="n">
        <v>4.3</v>
      </c>
      <c r="H368" t="n">
        <v>3</v>
      </c>
      <c r="I368" t="inlineStr">
        <is>
          <t>Q2-Target,Hats</t>
        </is>
      </c>
      <c r="J368" s="29" t="n">
        <v>69.93000000000001</v>
      </c>
      <c r="K368" s="30" t="n">
        <v>0.0005999999999999999</v>
      </c>
      <c r="L368" s="29" t="n">
        <v>9.989999771118164</v>
      </c>
      <c r="M368" s="29" t="n">
        <v>0</v>
      </c>
      <c r="N368" s="2" t="n">
        <v>7</v>
      </c>
      <c r="O368" s="31" t="n">
        <v>0</v>
      </c>
      <c r="P368" s="32" t="n"/>
      <c r="Q368" s="32" t="n">
        <v>0</v>
      </c>
      <c r="R368" s="32" t="n">
        <v>0.279</v>
      </c>
      <c r="S368" s="31" t="n">
        <v>0</v>
      </c>
      <c r="T368" s="32" t="n">
        <v>0</v>
      </c>
      <c r="U368" s="31" t="n">
        <v>0</v>
      </c>
      <c r="V368" s="31" t="n">
        <v>0</v>
      </c>
      <c r="W368" s="3" t="n">
        <v>0</v>
      </c>
      <c r="X368" s="3" t="n">
        <v>0</v>
      </c>
      <c r="Y368" s="32" t="n">
        <v>0</v>
      </c>
      <c r="Z368" s="3" t="n">
        <v>0</v>
      </c>
      <c r="AA368" s="32" t="n">
        <v>0</v>
      </c>
      <c r="AB368" s="3" t="n"/>
      <c r="AC368" s="31" t="n">
        <v>0</v>
      </c>
      <c r="AD368" s="2" t="n">
        <v>8</v>
      </c>
      <c r="AE368" s="2" t="n">
        <v>88</v>
      </c>
      <c r="AF368" s="4" t="n">
        <v>88</v>
      </c>
      <c r="AG368" s="33" t="n">
        <v>69.93000000000001</v>
      </c>
      <c r="AH368" s="4" t="n">
        <v>7</v>
      </c>
      <c r="AI368" s="34" t="n">
        <v>0.0795</v>
      </c>
      <c r="AJ368" s="34" t="n">
        <v>1</v>
      </c>
      <c r="AK368" s="2" t="n">
        <v>1928</v>
      </c>
      <c r="AL368" t="inlineStr">
        <is>
          <t>Published</t>
        </is>
      </c>
    </row>
    <row r="369">
      <c r="A369">
        <f>HYPERLINK("https://www.walmart.com/ip/1189650495", "1189650495")</f>
        <v/>
      </c>
      <c r="B369">
        <f>HYPERLINK("https://app.optiwise.ai/catalog/itemdetails/6059370", "Tirrinia Indoor/Outdoor Blanket, Foldable Picnic Blanket, Waterproof Blanket for Sand and Grass picnics, Green Camouflage, 50 x 60")</f>
        <v/>
      </c>
      <c r="C369" t="inlineStr">
        <is>
          <t>1TRBW00156GNCAMO</t>
        </is>
      </c>
      <c r="D369" t="inlineStr">
        <is>
          <t>Sport &amp; Recreation Other</t>
        </is>
      </c>
      <c r="E369" t="inlineStr">
        <is>
          <t>Picnic Blankets &amp; Mats</t>
        </is>
      </c>
      <c r="F369" t="inlineStr">
        <is>
          <t>Tirrinia</t>
        </is>
      </c>
      <c r="G369" t="n">
        <v>5</v>
      </c>
      <c r="H369" t="n">
        <v>1</v>
      </c>
      <c r="I369" t="inlineStr">
        <is>
          <t>Wproof Blanket</t>
        </is>
      </c>
      <c r="J369" s="29" t="n">
        <v>68.97</v>
      </c>
      <c r="K369" s="30" t="n">
        <v>0.0005999999999999999</v>
      </c>
      <c r="L369" s="29" t="n">
        <v>0</v>
      </c>
      <c r="M369" s="29" t="n">
        <v>22.98999977111816</v>
      </c>
      <c r="N369" s="2" t="n">
        <v>3</v>
      </c>
      <c r="O369" s="31" t="n">
        <v>0</v>
      </c>
      <c r="P369" s="32" t="n"/>
      <c r="Q369" s="32" t="n">
        <v>0</v>
      </c>
      <c r="R369" s="32" t="n">
        <v>0</v>
      </c>
      <c r="S369" s="31" t="n">
        <v>0</v>
      </c>
      <c r="T369" s="32" t="n">
        <v>0</v>
      </c>
      <c r="U369" s="31" t="n">
        <v>0</v>
      </c>
      <c r="V369" s="31" t="n">
        <v>0</v>
      </c>
      <c r="W369" s="3" t="n">
        <v>0</v>
      </c>
      <c r="X369" s="3" t="n">
        <v>0</v>
      </c>
      <c r="Y369" s="32" t="n">
        <v>0</v>
      </c>
      <c r="Z369" s="3" t="n">
        <v>0</v>
      </c>
      <c r="AA369" s="32" t="n">
        <v>0</v>
      </c>
      <c r="AB369" s="3" t="n"/>
      <c r="AC369" s="31" t="n">
        <v>0</v>
      </c>
      <c r="AD369" s="2" t="n">
        <v>0</v>
      </c>
      <c r="AE369" s="2" t="n">
        <v>61</v>
      </c>
      <c r="AF369" s="4" t="n">
        <v>61</v>
      </c>
      <c r="AG369" s="33" t="n">
        <v>68.97</v>
      </c>
      <c r="AH369" s="4" t="n">
        <v>3</v>
      </c>
      <c r="AI369" s="34" t="n">
        <v>0.0492</v>
      </c>
      <c r="AJ369" s="34" t="n">
        <v>1</v>
      </c>
      <c r="AK369" s="2" t="n">
        <v>4500</v>
      </c>
      <c r="AL369" t="inlineStr">
        <is>
          <t>Published</t>
        </is>
      </c>
    </row>
    <row r="370">
      <c r="A370">
        <f>HYPERLINK("https://www.walmart.com/ip/5691251411", "5691251411")</f>
        <v/>
      </c>
      <c r="B370">
        <f>HYPERLINK("https://app.optiwise.ai/catalog/itemdetails/9035207", "Tirrinia Insulated Cooler Bag-24 Cans Portable Collapsible Soft Sided Ice Chest, Leak-Proof with Zipper Cooler Box for Beach, Drink, Travel, Camping, Picnic")</f>
        <v/>
      </c>
      <c r="C370" t="inlineStr">
        <is>
          <t>1TRCB00324GYBK</t>
        </is>
      </c>
      <c r="D370" t="inlineStr">
        <is>
          <t>Sport &amp; Recreation Other</t>
        </is>
      </c>
      <c r="E370" t="inlineStr">
        <is>
          <t>Soft-Sided Coolers</t>
        </is>
      </c>
      <c r="F370" t="inlineStr">
        <is>
          <t>Tirrinia</t>
        </is>
      </c>
      <c r="G370" t="n">
        <v>0</v>
      </c>
      <c r="H370" t="n">
        <v>0</v>
      </c>
      <c r="J370" s="29" t="n">
        <v>68.97</v>
      </c>
      <c r="K370" s="30" t="n">
        <v>0.0005999999999999999</v>
      </c>
      <c r="L370" s="29" t="n">
        <v>22.98999977111816</v>
      </c>
      <c r="M370" s="29" t="n">
        <v>0</v>
      </c>
      <c r="N370" s="2" t="n">
        <v>3</v>
      </c>
      <c r="O370" s="31" t="n">
        <v>0</v>
      </c>
      <c r="P370" s="32" t="n"/>
      <c r="Q370" s="32" t="n">
        <v>0</v>
      </c>
      <c r="R370" s="32" t="n">
        <v>0.4754</v>
      </c>
      <c r="S370" s="31" t="n">
        <v>0</v>
      </c>
      <c r="T370" s="32" t="n">
        <v>0</v>
      </c>
      <c r="U370" s="31" t="n">
        <v>0</v>
      </c>
      <c r="V370" s="31" t="n">
        <v>0</v>
      </c>
      <c r="W370" s="3" t="n">
        <v>0</v>
      </c>
      <c r="X370" s="3" t="n">
        <v>0</v>
      </c>
      <c r="Y370" s="32" t="n">
        <v>0</v>
      </c>
      <c r="Z370" s="3" t="n">
        <v>0</v>
      </c>
      <c r="AA370" s="32" t="n">
        <v>0</v>
      </c>
      <c r="AB370" s="3" t="n"/>
      <c r="AC370" s="31" t="n">
        <v>0</v>
      </c>
      <c r="AD370" s="2" t="n">
        <v>0</v>
      </c>
      <c r="AE370" s="2" t="n">
        <v>72</v>
      </c>
      <c r="AF370" s="4" t="n">
        <v>72</v>
      </c>
      <c r="AG370" s="33" t="n">
        <v>68.97</v>
      </c>
      <c r="AH370" s="4" t="n">
        <v>3</v>
      </c>
      <c r="AI370" s="34" t="n">
        <v>0.0417</v>
      </c>
      <c r="AJ370" s="34" t="n">
        <v>1</v>
      </c>
      <c r="AK370" s="2" t="n">
        <v>4500</v>
      </c>
      <c r="AL370" t="inlineStr">
        <is>
          <t>Published</t>
        </is>
      </c>
    </row>
    <row r="371">
      <c r="A371">
        <f>HYPERLINK("https://www.walmart.com/ip/409220374", "409220374")</f>
        <v/>
      </c>
      <c r="B371">
        <f>HYPERLINK("https://app.optiwise.ai/catalog/itemdetails/361665", "Tirrinia Wine Cooler bag - 3 Bottle Travel Insulated Padded Wine Carrier Tote Bag with Handle and Adjustable Shoulder Strap")</f>
        <v/>
      </c>
      <c r="C371" t="inlineStr">
        <is>
          <t>1WMWB310PP</t>
        </is>
      </c>
      <c r="D371" t="inlineStr">
        <is>
          <t>Home Decor, Kitchen, &amp; Other</t>
        </is>
      </c>
      <c r="E371" t="inlineStr">
        <is>
          <t>Wine Totes, Bags &amp; Backpacks</t>
        </is>
      </c>
      <c r="F371" t="inlineStr">
        <is>
          <t>Flyingstar</t>
        </is>
      </c>
      <c r="G371" t="n">
        <v>0</v>
      </c>
      <c r="H371" t="n">
        <v>0</v>
      </c>
      <c r="I371" t="inlineStr">
        <is>
          <t>Wine,Christmas,Valentine</t>
        </is>
      </c>
      <c r="J371" s="29" t="n">
        <v>67.95999999999999</v>
      </c>
      <c r="K371" s="30" t="n">
        <v>0.0005999999999999999</v>
      </c>
      <c r="L371" s="29" t="n">
        <v>0</v>
      </c>
      <c r="M371" s="29" t="n">
        <v>0</v>
      </c>
      <c r="N371" s="2" t="n">
        <v>4</v>
      </c>
      <c r="O371" s="31" t="n">
        <v>0</v>
      </c>
      <c r="P371" s="32" t="n"/>
      <c r="Q371" s="32" t="n">
        <v>0</v>
      </c>
      <c r="R371" s="32" t="n">
        <v>0</v>
      </c>
      <c r="S371" s="31" t="n">
        <v>0</v>
      </c>
      <c r="T371" s="32" t="n">
        <v>0</v>
      </c>
      <c r="U371" s="31" t="n">
        <v>0</v>
      </c>
      <c r="V371" s="31" t="n">
        <v>0</v>
      </c>
      <c r="W371" s="3" t="n">
        <v>0</v>
      </c>
      <c r="X371" s="3" t="n">
        <v>0</v>
      </c>
      <c r="Y371" s="32" t="n">
        <v>0</v>
      </c>
      <c r="Z371" s="3" t="n">
        <v>0</v>
      </c>
      <c r="AA371" s="32" t="n">
        <v>0</v>
      </c>
      <c r="AB371" s="3" t="n"/>
      <c r="AC371" s="31" t="n">
        <v>0</v>
      </c>
      <c r="AD371" s="2" t="n">
        <v>0</v>
      </c>
      <c r="AE371" s="2" t="n">
        <v>22</v>
      </c>
      <c r="AF371" s="4" t="n">
        <v>22</v>
      </c>
      <c r="AG371" s="33" t="n">
        <v>67.95999999999999</v>
      </c>
      <c r="AH371" s="4" t="n">
        <v>4</v>
      </c>
      <c r="AI371" s="34" t="n">
        <v>0.1818</v>
      </c>
      <c r="AJ371" s="34" t="n">
        <v>1</v>
      </c>
      <c r="AK371" s="2" t="n">
        <v>911</v>
      </c>
      <c r="AL371" t="inlineStr">
        <is>
          <t>Published</t>
        </is>
      </c>
    </row>
    <row r="372">
      <c r="A372">
        <f>HYPERLINK("https://www.walmart.com/ip/241203499", "241203499")</f>
        <v/>
      </c>
      <c r="B372">
        <f>HYPERLINK("https://app.optiwise.ai/catalog/itemdetails/360337", "TubKeeper Drain Hair Catcher with Stopper, 3-in-1 Durable Tub Drain Protector Hair Drain Clog Prevention for Bathtub, Silver, 2 Pack")</f>
        <v/>
      </c>
      <c r="C372" t="inlineStr">
        <is>
          <t>1TKHC100SL-2PK</t>
        </is>
      </c>
      <c r="D372" t="inlineStr">
        <is>
          <t>Home Decor, Kitchen, &amp; Other</t>
        </is>
      </c>
      <c r="E372" t="inlineStr">
        <is>
          <t>Drain Catches</t>
        </is>
      </c>
      <c r="F372" t="inlineStr">
        <is>
          <t>TubKeeper</t>
        </is>
      </c>
      <c r="G372" t="n">
        <v>4</v>
      </c>
      <c r="H372" t="n">
        <v>3</v>
      </c>
      <c r="I372" t="inlineStr">
        <is>
          <t>Batch 1 - TR</t>
        </is>
      </c>
      <c r="J372" s="29" t="n">
        <v>66.93000000000001</v>
      </c>
      <c r="K372" s="30" t="n">
        <v>0.0005999999999999999</v>
      </c>
      <c r="L372" s="29" t="n">
        <v>0</v>
      </c>
      <c r="M372" s="29" t="n">
        <v>0</v>
      </c>
      <c r="N372" s="2" t="n">
        <v>6</v>
      </c>
      <c r="O372" s="31" t="n">
        <v>41.40000000000001</v>
      </c>
      <c r="P372" s="32" t="n">
        <v>0.005</v>
      </c>
      <c r="Q372" s="32" t="n">
        <v>0.6186</v>
      </c>
      <c r="R372" s="32" t="n">
        <v>0.0526</v>
      </c>
      <c r="S372" s="31" t="n">
        <v>0.24</v>
      </c>
      <c r="T372" s="32" t="n">
        <v>4.14</v>
      </c>
      <c r="U372" s="31" t="n">
        <v>9.99</v>
      </c>
      <c r="V372" s="31" t="n">
        <v>9.99</v>
      </c>
      <c r="W372" s="3" t="n">
        <v>44437</v>
      </c>
      <c r="X372" s="3" t="n">
        <v>61</v>
      </c>
      <c r="Y372" s="32" t="n">
        <v>0.0014</v>
      </c>
      <c r="Z372" s="3" t="n">
        <v>1</v>
      </c>
      <c r="AA372" s="32" t="n">
        <v>0.0164</v>
      </c>
      <c r="AB372" s="3" t="inlineStr">
        <is>
          <t>WFS Inventory</t>
        </is>
      </c>
      <c r="AC372" s="31" t="n">
        <v>0.68</v>
      </c>
      <c r="AD372" s="2" t="n">
        <v>0</v>
      </c>
      <c r="AE372" s="2" t="n">
        <v>44</v>
      </c>
      <c r="AF372" s="4" t="inlineStr">
        <is>
          <t>NA</t>
        </is>
      </c>
      <c r="AG372" s="33" t="n">
        <v>56.94</v>
      </c>
      <c r="AH372" s="4" t="n">
        <v>5</v>
      </c>
      <c r="AI372" s="34" t="inlineStr">
        <is>
          <t>NA</t>
        </is>
      </c>
      <c r="AJ372" s="34" t="n">
        <v>0.8507</v>
      </c>
      <c r="AK372" s="2" t="n">
        <v>2385</v>
      </c>
      <c r="AL372" t="inlineStr">
        <is>
          <t>Published</t>
        </is>
      </c>
    </row>
    <row r="373">
      <c r="A373">
        <f>HYPERLINK("https://www.walmart.com/ip/716767861", "716767861")</f>
        <v/>
      </c>
      <c r="B373">
        <f>HYPERLINK("https://app.optiwise.ai/catalog/itemdetails/362401", "Tirrinia Insulated Wine Carrier Tote - Travel Padded 2 Bottle Wine/Champagne Cooler Bag with Handle and Adjustable Shoulder Strap + Free Corkscrew, Great Wine Lover Gift, Black")</f>
        <v/>
      </c>
      <c r="C373" t="inlineStr">
        <is>
          <t>1KTWB210BKCK</t>
        </is>
      </c>
      <c r="D373" t="inlineStr">
        <is>
          <t>Home Decor, Kitchen, &amp; Other</t>
        </is>
      </c>
      <c r="E373" t="inlineStr">
        <is>
          <t>Wine Totes, Bags &amp; Backpacks</t>
        </is>
      </c>
      <c r="F373" t="inlineStr">
        <is>
          <t>Tirrinia</t>
        </is>
      </c>
      <c r="G373" t="n">
        <v>4.2</v>
      </c>
      <c r="H373" t="n">
        <v>11</v>
      </c>
      <c r="I373" t="inlineStr">
        <is>
          <t>Wine,Wine Bag Camp,Wine WFS,Batch 1 - TR,Lily Brand Camp</t>
        </is>
      </c>
      <c r="J373" s="29" t="n">
        <v>65.97</v>
      </c>
      <c r="K373" s="30" t="n">
        <v>0.0005999999999999999</v>
      </c>
      <c r="L373" s="29" t="n">
        <v>0</v>
      </c>
      <c r="M373" s="29" t="n">
        <v>0</v>
      </c>
      <c r="N373" s="2" t="n">
        <v>3</v>
      </c>
      <c r="O373" s="31" t="n">
        <v>5.159999999999999</v>
      </c>
      <c r="P373" s="32" t="n">
        <v>0.0005999999999999999</v>
      </c>
      <c r="Q373" s="32" t="n">
        <v>0.07820000000000001</v>
      </c>
      <c r="R373" s="32" t="n">
        <v>0.0248</v>
      </c>
      <c r="S373" s="31" t="n">
        <v>0</v>
      </c>
      <c r="T373" s="32" t="n">
        <v>0</v>
      </c>
      <c r="U373" s="31" t="n">
        <v>0</v>
      </c>
      <c r="V373" s="31" t="n">
        <v>0</v>
      </c>
      <c r="W373" s="3" t="n">
        <v>11294</v>
      </c>
      <c r="X373" s="3" t="n">
        <v>14</v>
      </c>
      <c r="Y373" s="32" t="n">
        <v>0.0012</v>
      </c>
      <c r="Z373" s="3" t="n">
        <v>0</v>
      </c>
      <c r="AA373" s="32" t="n">
        <v>0</v>
      </c>
      <c r="AB373" s="3" t="inlineStr">
        <is>
          <t>All Items_Auto_Optiwise_24</t>
        </is>
      </c>
      <c r="AC373" s="31" t="n">
        <v>0.37</v>
      </c>
      <c r="AD373" s="2" t="n">
        <v>24</v>
      </c>
      <c r="AE373" s="2" t="n">
        <v>49</v>
      </c>
      <c r="AF373" s="4" t="n">
        <v>35</v>
      </c>
      <c r="AG373" s="33" t="n">
        <v>65.97</v>
      </c>
      <c r="AH373" s="4" t="n">
        <v>3</v>
      </c>
      <c r="AI373" s="34" t="n">
        <v>0.0857</v>
      </c>
      <c r="AJ373" s="34" t="n">
        <v>1</v>
      </c>
      <c r="AK373" s="2" t="n">
        <v>4500</v>
      </c>
      <c r="AL373" t="inlineStr">
        <is>
          <t>Published</t>
        </is>
      </c>
    </row>
    <row r="374">
      <c r="A374">
        <f>HYPERLINK("https://www.walmart.com/ip/1390053219", "1390053219")</f>
        <v/>
      </c>
      <c r="B374">
        <f>HYPERLINK("https://app.optiwise.ai/catalog/itemdetails/4346340", "Tirrinia Insulated Lunch Bag for Women Men, Leakproof Thermal Reusable Lunch Box for Adult &amp; Kids, Lunch Cooler Tote for Office Work Back to School, Large size, Green")</f>
        <v/>
      </c>
      <c r="C374" t="inlineStr">
        <is>
          <t>1TRLB701GN-T</t>
        </is>
      </c>
      <c r="D374" t="inlineStr">
        <is>
          <t>Home Decor, Kitchen, &amp; Other</t>
        </is>
      </c>
      <c r="E374" t="inlineStr">
        <is>
          <t>Reusable Lunch Bags &amp; Boxes</t>
        </is>
      </c>
      <c r="F374" t="inlineStr">
        <is>
          <t>Tirrinia</t>
        </is>
      </c>
      <c r="G374" t="n">
        <v>4.5</v>
      </c>
      <c r="H374" t="n">
        <v>113</v>
      </c>
      <c r="I374" t="inlineStr">
        <is>
          <t>Q2-Target,Brand Camp VD,Lunch Bags,SEM,Batch 1 - TR</t>
        </is>
      </c>
      <c r="J374" s="29" t="n">
        <v>65.95</v>
      </c>
      <c r="K374" s="30" t="n">
        <v>0.0005999999999999999</v>
      </c>
      <c r="L374" s="29" t="n">
        <v>13.98999977111816</v>
      </c>
      <c r="M374" s="29" t="n">
        <v>0</v>
      </c>
      <c r="N374" s="2" t="n">
        <v>5</v>
      </c>
      <c r="O374" s="31" t="n">
        <v>0</v>
      </c>
      <c r="P374" s="32" t="n"/>
      <c r="Q374" s="32" t="n">
        <v>0</v>
      </c>
      <c r="R374" s="32" t="n">
        <v>0.3702</v>
      </c>
      <c r="S374" s="31" t="n">
        <v>0</v>
      </c>
      <c r="T374" s="32" t="n">
        <v>0</v>
      </c>
      <c r="U374" s="31" t="n">
        <v>0</v>
      </c>
      <c r="V374" s="31" t="n">
        <v>0</v>
      </c>
      <c r="W374" s="3" t="n">
        <v>0</v>
      </c>
      <c r="X374" s="3" t="n">
        <v>0</v>
      </c>
      <c r="Y374" s="32" t="n">
        <v>0</v>
      </c>
      <c r="Z374" s="3" t="n">
        <v>0</v>
      </c>
      <c r="AA374" s="32" t="n">
        <v>0</v>
      </c>
      <c r="AB374" s="3" t="n"/>
      <c r="AC374" s="31" t="n">
        <v>0</v>
      </c>
      <c r="AD374" s="2" t="n">
        <v>33</v>
      </c>
      <c r="AE374" s="2" t="n">
        <v>77</v>
      </c>
      <c r="AF374" s="4" t="n">
        <v>77</v>
      </c>
      <c r="AG374" s="33" t="n">
        <v>65.95</v>
      </c>
      <c r="AH374" s="4" t="n">
        <v>5</v>
      </c>
      <c r="AI374" s="34" t="n">
        <v>0.0649</v>
      </c>
      <c r="AJ374" s="34" t="n">
        <v>1</v>
      </c>
      <c r="AK374" s="2" t="n">
        <v>2700</v>
      </c>
      <c r="AL374" t="inlineStr">
        <is>
          <t>Published</t>
        </is>
      </c>
    </row>
    <row r="375">
      <c r="A375">
        <f>HYPERLINK("https://www.walmart.com/ip/213401735", "213401735")</f>
        <v/>
      </c>
      <c r="B375">
        <f>HYPERLINK("https://app.optiwise.ai/catalog/itemdetails/362262", "Flyingstar Lunch Bag for Women Men, Insulated Lunch Tote for Working/School/Picnic Fashionable Cooler Bag")</f>
        <v/>
      </c>
      <c r="C375" t="inlineStr">
        <is>
          <t>1WMLB704RD</t>
        </is>
      </c>
      <c r="D375" t="inlineStr">
        <is>
          <t>Home Decor, Kitchen, &amp; Other</t>
        </is>
      </c>
      <c r="E375" t="inlineStr">
        <is>
          <t>Reusable Lunch Bags &amp; Boxes</t>
        </is>
      </c>
      <c r="F375" t="inlineStr">
        <is>
          <t>Flyingstar</t>
        </is>
      </c>
      <c r="G375" t="n">
        <v>0</v>
      </c>
      <c r="H375" t="n">
        <v>0</v>
      </c>
      <c r="I375" t="inlineStr">
        <is>
          <t>Q2-Target,Lunch Bag</t>
        </is>
      </c>
      <c r="J375" s="29" t="n">
        <v>65.94</v>
      </c>
      <c r="K375" s="30" t="n">
        <v>0.0005999999999999999</v>
      </c>
      <c r="L375" s="29" t="n">
        <v>0</v>
      </c>
      <c r="M375" s="29" t="n">
        <v>0</v>
      </c>
      <c r="N375" s="2" t="n">
        <v>6</v>
      </c>
      <c r="O375" s="31" t="n">
        <v>0</v>
      </c>
      <c r="P375" s="32" t="n"/>
      <c r="Q375" s="32" t="n">
        <v>0</v>
      </c>
      <c r="R375" s="32" t="n">
        <v>0.061</v>
      </c>
      <c r="S375" s="31" t="n">
        <v>0</v>
      </c>
      <c r="T375" s="32" t="n">
        <v>0</v>
      </c>
      <c r="U375" s="31" t="n">
        <v>0</v>
      </c>
      <c r="V375" s="31" t="n">
        <v>0</v>
      </c>
      <c r="W375" s="3" t="n">
        <v>0</v>
      </c>
      <c r="X375" s="3" t="n">
        <v>0</v>
      </c>
      <c r="Y375" s="32" t="n">
        <v>0</v>
      </c>
      <c r="Z375" s="3" t="n">
        <v>0</v>
      </c>
      <c r="AA375" s="32" t="n">
        <v>0</v>
      </c>
      <c r="AB375" s="3" t="n"/>
      <c r="AC375" s="31" t="n">
        <v>0</v>
      </c>
      <c r="AD375" s="2" t="n">
        <v>151</v>
      </c>
      <c r="AE375" s="2" t="n">
        <v>173</v>
      </c>
      <c r="AF375" s="4" t="n">
        <v>173</v>
      </c>
      <c r="AG375" s="33" t="n">
        <v>65.94</v>
      </c>
      <c r="AH375" s="4" t="n">
        <v>6</v>
      </c>
      <c r="AI375" s="34" t="n">
        <v>0.0347</v>
      </c>
      <c r="AJ375" s="34" t="n">
        <v>1</v>
      </c>
      <c r="AK375" s="2" t="n">
        <v>2250</v>
      </c>
      <c r="AL375" t="inlineStr">
        <is>
          <t>Published</t>
        </is>
      </c>
    </row>
    <row r="376">
      <c r="A376">
        <f>HYPERLINK("https://www.walmart.com/ip/146068453", "146068453")</f>
        <v/>
      </c>
      <c r="B376">
        <f>HYPERLINK("https://app.optiwise.ai/catalog/itemdetails/361814", "Catalonia Hooded Wearable Blanket Poncho for Adult Women and Men, Fleece Wrap Blanket Cape with Hood, Warm, Soft, Cozy, and Snuggly, Comfort Gift, No Sleeves, Blue")</f>
        <v/>
      </c>
      <c r="C376" t="inlineStr">
        <is>
          <t>1CTBP120AQ</t>
        </is>
      </c>
      <c r="D376" t="inlineStr">
        <is>
          <t>Bedding</t>
        </is>
      </c>
      <c r="E376" t="inlineStr">
        <is>
          <t>Throws</t>
        </is>
      </c>
      <c r="F376" t="inlineStr">
        <is>
          <t>Catalonia</t>
        </is>
      </c>
      <c r="G376" t="n">
        <v>0</v>
      </c>
      <c r="H376" t="n">
        <v>0</v>
      </c>
      <c r="I376" t="inlineStr">
        <is>
          <t>Hero 5 Holidays,WFS,WFS Item</t>
        </is>
      </c>
      <c r="J376" s="29" t="n">
        <v>64.97</v>
      </c>
      <c r="K376" s="30" t="n">
        <v>0.0005999999999999999</v>
      </c>
      <c r="L376" s="29" t="n">
        <v>30.98999977111816</v>
      </c>
      <c r="M376" s="29" t="n">
        <v>0</v>
      </c>
      <c r="N376" s="2" t="n">
        <v>2</v>
      </c>
      <c r="O376" s="31" t="n">
        <v>35.94</v>
      </c>
      <c r="P376" s="32" t="n">
        <v>0.0043</v>
      </c>
      <c r="Q376" s="32" t="n">
        <v>0.5532</v>
      </c>
      <c r="R376" s="32" t="n">
        <v>0.2204</v>
      </c>
      <c r="S376" s="31" t="n">
        <v>0</v>
      </c>
      <c r="T376" s="32" t="n">
        <v>0</v>
      </c>
      <c r="U376" s="31" t="n">
        <v>0</v>
      </c>
      <c r="V376" s="31" t="n">
        <v>0</v>
      </c>
      <c r="W376" s="3" t="n">
        <v>113252</v>
      </c>
      <c r="X376" s="3" t="n">
        <v>122</v>
      </c>
      <c r="Y376" s="32" t="n">
        <v>0.0011</v>
      </c>
      <c r="Z376" s="3" t="n">
        <v>0</v>
      </c>
      <c r="AA376" s="32" t="n">
        <v>0</v>
      </c>
      <c r="AB376" s="3" t="inlineStr">
        <is>
          <t>All Items_Auto_Optiwise_24,Throws_Auto_Optiwise_24</t>
        </is>
      </c>
      <c r="AC376" s="31" t="n">
        <v>0.29</v>
      </c>
      <c r="AD376" s="2" t="n">
        <v>191</v>
      </c>
      <c r="AE376" s="2" t="n">
        <v>114</v>
      </c>
      <c r="AF376" s="4" t="inlineStr">
        <is>
          <t>NA</t>
        </is>
      </c>
      <c r="AG376" s="33" t="n">
        <v>64.97</v>
      </c>
      <c r="AH376" s="4" t="n">
        <v>2</v>
      </c>
      <c r="AI376" s="34" t="inlineStr">
        <is>
          <t>NA</t>
        </is>
      </c>
      <c r="AJ376" s="34" t="n">
        <v>1</v>
      </c>
      <c r="AK376" s="2" t="n">
        <v>4185</v>
      </c>
      <c r="AL376" t="inlineStr">
        <is>
          <t>Published</t>
        </is>
      </c>
    </row>
    <row r="377">
      <c r="A377">
        <f>HYPERLINK("https://www.walmart.com/ip/15179452594", "15179452594")</f>
        <v/>
      </c>
      <c r="B377">
        <f>HYPERLINK("https://app.optiwise.ai/catalog/itemdetails/18837614", "Tirrinia Small Insulated Lunch Bag for Men Women Youth, Portable Reusable Thermal Lunch Box Cooler Tote for Adults, Polyester, Purple")</f>
        <v/>
      </c>
      <c r="C377" t="inlineStr">
        <is>
          <t>1TRLB100PPDOL</t>
        </is>
      </c>
      <c r="D377" t="inlineStr">
        <is>
          <t>Home Decor, Kitchen, &amp; Other</t>
        </is>
      </c>
      <c r="E377" t="inlineStr">
        <is>
          <t>Reusable Lunch Bags &amp; Boxes</t>
        </is>
      </c>
      <c r="F377" t="inlineStr">
        <is>
          <t>Tirrinia</t>
        </is>
      </c>
      <c r="G377" t="n">
        <v>0</v>
      </c>
      <c r="H377" t="n">
        <v>0</v>
      </c>
      <c r="J377" s="29" t="n">
        <v>64.95</v>
      </c>
      <c r="K377" s="30" t="n">
        <v>0.0005999999999999999</v>
      </c>
      <c r="L377" s="29" t="n">
        <v>0</v>
      </c>
      <c r="M377" s="29" t="n">
        <v>0</v>
      </c>
      <c r="N377" s="2" t="n">
        <v>5</v>
      </c>
      <c r="O377" s="31" t="n">
        <v>0</v>
      </c>
      <c r="P377" s="32" t="n"/>
      <c r="Q377" s="32" t="n">
        <v>0</v>
      </c>
      <c r="R377" s="32" t="n">
        <v>0</v>
      </c>
      <c r="S377" s="31" t="n">
        <v>0</v>
      </c>
      <c r="T377" s="32" t="n">
        <v>0</v>
      </c>
      <c r="U377" s="31" t="n">
        <v>0</v>
      </c>
      <c r="V377" s="31" t="n">
        <v>0</v>
      </c>
      <c r="W377" s="3" t="n">
        <v>0</v>
      </c>
      <c r="X377" s="3" t="n">
        <v>0</v>
      </c>
      <c r="Y377" s="32" t="n">
        <v>0</v>
      </c>
      <c r="Z377" s="3" t="n">
        <v>0</v>
      </c>
      <c r="AA377" s="32" t="n">
        <v>0</v>
      </c>
      <c r="AB377" s="3" t="n"/>
      <c r="AC377" s="31" t="n">
        <v>0</v>
      </c>
      <c r="AD377" s="2" t="n">
        <v>3</v>
      </c>
      <c r="AE377" s="2" t="n">
        <v>0</v>
      </c>
      <c r="AF377" s="4" t="n">
        <v>3</v>
      </c>
      <c r="AG377" s="33" t="n">
        <v>64.95</v>
      </c>
      <c r="AH377" s="4" t="n">
        <v>5</v>
      </c>
      <c r="AI377" s="34" t="n">
        <v>1.6667</v>
      </c>
      <c r="AJ377" s="34" t="n">
        <v>1</v>
      </c>
      <c r="AK377" s="2" t="n">
        <v>1890</v>
      </c>
      <c r="AL377" t="inlineStr">
        <is>
          <t>Published</t>
        </is>
      </c>
    </row>
    <row r="378">
      <c r="A378">
        <f>HYPERLINK("https://www.walmart.com/ip/551967690", "551967690")</f>
        <v/>
      </c>
      <c r="B378">
        <f>HYPERLINK("https://app.optiwise.ai/catalog/itemdetails/360542", "Tirrinia Insulated Lunch Box for Women Men, Leakproof Thermal Reusable Lunch Bag with 2 Zipper Pockets for Adult &amp; Kids, Lunch Bag Cooler Tote for Office Work, Green Orange")</f>
        <v/>
      </c>
      <c r="C378" t="inlineStr">
        <is>
          <t>1TRLB705GNOR</t>
        </is>
      </c>
      <c r="D378" t="inlineStr">
        <is>
          <t>Home Decor, Kitchen, &amp; Other</t>
        </is>
      </c>
      <c r="E378" t="inlineStr">
        <is>
          <t>Reusable Lunch Bags &amp; Boxes</t>
        </is>
      </c>
      <c r="F378" t="inlineStr">
        <is>
          <t>Tirrinia</t>
        </is>
      </c>
      <c r="G378" t="n">
        <v>4.3</v>
      </c>
      <c r="H378" t="n">
        <v>11</v>
      </c>
      <c r="I378" t="inlineStr">
        <is>
          <t>Brand Camp VD,Lunch Bag,WFS,Lunch Bags,SEM,WFS Item,ST Patrick Day</t>
        </is>
      </c>
      <c r="J378" s="29" t="n">
        <v>64.90000000000001</v>
      </c>
      <c r="K378" s="30" t="n">
        <v>0.0005999999999999999</v>
      </c>
      <c r="L378" s="29" t="n">
        <v>12.97999954223633</v>
      </c>
      <c r="M378" s="29" t="n">
        <v>0</v>
      </c>
      <c r="N378" s="2" t="n">
        <v>5</v>
      </c>
      <c r="O378" s="31" t="n">
        <v>0</v>
      </c>
      <c r="P378" s="32" t="n"/>
      <c r="Q378" s="32" t="n">
        <v>0</v>
      </c>
      <c r="R378" s="32" t="n">
        <v>0</v>
      </c>
      <c r="S378" s="31" t="n">
        <v>0</v>
      </c>
      <c r="T378" s="32" t="n">
        <v>0</v>
      </c>
      <c r="U378" s="31" t="n">
        <v>0</v>
      </c>
      <c r="V378" s="31" t="n">
        <v>0</v>
      </c>
      <c r="W378" s="3" t="n">
        <v>0</v>
      </c>
      <c r="X378" s="3" t="n">
        <v>0</v>
      </c>
      <c r="Y378" s="32" t="n">
        <v>0</v>
      </c>
      <c r="Z378" s="3" t="n">
        <v>0</v>
      </c>
      <c r="AA378" s="32" t="n">
        <v>0</v>
      </c>
      <c r="AB378" s="3" t="n"/>
      <c r="AC378" s="31" t="n">
        <v>0</v>
      </c>
      <c r="AD378" s="2" t="n">
        <v>31</v>
      </c>
      <c r="AE378" s="2" t="n">
        <v>107</v>
      </c>
      <c r="AF378" s="4" t="n">
        <v>107</v>
      </c>
      <c r="AG378" s="33" t="n">
        <v>64.90000000000001</v>
      </c>
      <c r="AH378" s="4" t="n">
        <v>5</v>
      </c>
      <c r="AI378" s="34" t="n">
        <v>0.0467</v>
      </c>
      <c r="AJ378" s="34" t="n">
        <v>1</v>
      </c>
      <c r="AK378" s="2" t="n">
        <v>2403</v>
      </c>
      <c r="AL378" t="inlineStr">
        <is>
          <t>Published</t>
        </is>
      </c>
    </row>
    <row r="379">
      <c r="A379">
        <f>HYPERLINK("https://www.walmart.com/ip/866052217", "866052217")</f>
        <v/>
      </c>
      <c r="B379">
        <f>HYPERLINK("https://app.optiwise.ai/catalog/itemdetails/362127", "Puppy Blanket,Super Soft Sherpa Dog Blankets and Throws Cat Fleece Sleeping Mat for Pet Small Animals 45x30 Grey")</f>
        <v/>
      </c>
      <c r="C379" t="inlineStr">
        <is>
          <t>1PSBF345GYLT</t>
        </is>
      </c>
      <c r="D379" t="inlineStr">
        <is>
          <t>Animal Accessories</t>
        </is>
      </c>
      <c r="E379" t="inlineStr">
        <is>
          <t>Pet Blankets</t>
        </is>
      </c>
      <c r="F379" t="inlineStr">
        <is>
          <t>Pawsse</t>
        </is>
      </c>
      <c r="G379" t="n">
        <v>4.1</v>
      </c>
      <c r="H379" t="n">
        <v>14</v>
      </c>
      <c r="I379" t="inlineStr">
        <is>
          <t>WFS,WFS Item</t>
        </is>
      </c>
      <c r="J379" s="29" t="n">
        <v>64.90000000000001</v>
      </c>
      <c r="K379" s="30" t="n">
        <v>0.0005999999999999999</v>
      </c>
      <c r="L379" s="29" t="n">
        <v>0</v>
      </c>
      <c r="M379" s="29" t="n">
        <v>0</v>
      </c>
      <c r="N379" s="2" t="n">
        <v>5</v>
      </c>
      <c r="O379" s="31" t="n">
        <v>14.82</v>
      </c>
      <c r="P379" s="32" t="n">
        <v>0.0018</v>
      </c>
      <c r="Q379" s="32" t="n">
        <v>0.2284</v>
      </c>
      <c r="R379" s="32" t="n">
        <v>1.0524</v>
      </c>
      <c r="S379" s="31" t="n">
        <v>0</v>
      </c>
      <c r="T379" s="32" t="n">
        <v>0</v>
      </c>
      <c r="U379" s="31" t="n">
        <v>0</v>
      </c>
      <c r="V379" s="31" t="n">
        <v>0</v>
      </c>
      <c r="W379" s="3" t="n">
        <v>23432</v>
      </c>
      <c r="X379" s="3" t="n">
        <v>38</v>
      </c>
      <c r="Y379" s="32" t="n">
        <v>0.0016</v>
      </c>
      <c r="Z379" s="3" t="n">
        <v>0</v>
      </c>
      <c r="AA379" s="32" t="n">
        <v>0</v>
      </c>
      <c r="AB379" s="3" t="inlineStr">
        <is>
          <t>Pet Blankets_Auto_Optiwise_24</t>
        </is>
      </c>
      <c r="AC379" s="31" t="n">
        <v>0.39</v>
      </c>
      <c r="AD379" s="2" t="n">
        <v>40</v>
      </c>
      <c r="AE379" s="2" t="n">
        <v>31</v>
      </c>
      <c r="AF379" s="4" t="inlineStr">
        <is>
          <t>NA</t>
        </is>
      </c>
      <c r="AG379" s="33" t="n">
        <v>64.90000000000001</v>
      </c>
      <c r="AH379" s="4" t="n">
        <v>5</v>
      </c>
      <c r="AI379" s="34" t="inlineStr">
        <is>
          <t>NA</t>
        </is>
      </c>
      <c r="AJ379" s="34" t="n">
        <v>1</v>
      </c>
      <c r="AK379" s="2" t="n">
        <v>2700</v>
      </c>
      <c r="AL379" t="inlineStr">
        <is>
          <t>Published</t>
        </is>
      </c>
    </row>
    <row r="380">
      <c r="A380">
        <f>HYPERLINK("https://www.walmart.com/ip/6029516944", "6029516944")</f>
        <v/>
      </c>
      <c r="B380">
        <f>HYPERLINK("https://app.optiwise.ai/catalog/itemdetails/9583558", "Tirrinia Mesh Beach Bag with Cooler Compartment, Extra Large Totes for Beach Travel, Functional Fashion Beach Bag for Women")</f>
        <v/>
      </c>
      <c r="C380" t="inlineStr">
        <is>
          <t>1TRCB00112AQ</t>
        </is>
      </c>
      <c r="D380" t="inlineStr">
        <is>
          <t>Cases &amp; Bags</t>
        </is>
      </c>
      <c r="E380" t="inlineStr">
        <is>
          <t>Handbags</t>
        </is>
      </c>
      <c r="F380" t="inlineStr">
        <is>
          <t>Tirrinia</t>
        </is>
      </c>
      <c r="G380" t="n">
        <v>0</v>
      </c>
      <c r="H380" t="n">
        <v>0</v>
      </c>
      <c r="J380" s="29" t="n">
        <v>63.98</v>
      </c>
      <c r="K380" s="30" t="n">
        <v>0.0005999999999999999</v>
      </c>
      <c r="L380" s="29" t="n">
        <v>0</v>
      </c>
      <c r="M380" s="29" t="n">
        <v>0</v>
      </c>
      <c r="N380" s="2" t="n">
        <v>2</v>
      </c>
      <c r="O380" s="31" t="n">
        <v>0</v>
      </c>
      <c r="P380" s="32" t="n"/>
      <c r="Q380" s="32" t="n">
        <v>0</v>
      </c>
      <c r="R380" s="32" t="n">
        <v>0</v>
      </c>
      <c r="S380" s="31" t="n">
        <v>0</v>
      </c>
      <c r="T380" s="32" t="n">
        <v>0</v>
      </c>
      <c r="U380" s="31" t="n">
        <v>0</v>
      </c>
      <c r="V380" s="31" t="n">
        <v>0</v>
      </c>
      <c r="W380" s="3" t="n">
        <v>0</v>
      </c>
      <c r="X380" s="3" t="n">
        <v>0</v>
      </c>
      <c r="Y380" s="32" t="n">
        <v>0</v>
      </c>
      <c r="Z380" s="3" t="n">
        <v>0</v>
      </c>
      <c r="AA380" s="32" t="n">
        <v>0</v>
      </c>
      <c r="AB380" s="3" t="n"/>
      <c r="AC380" s="31" t="n">
        <v>0</v>
      </c>
      <c r="AD380" s="2" t="n">
        <v>0</v>
      </c>
      <c r="AE380" s="2" t="n">
        <v>42</v>
      </c>
      <c r="AF380" s="4" t="n">
        <v>42</v>
      </c>
      <c r="AG380" s="33" t="n">
        <v>63.98</v>
      </c>
      <c r="AH380" s="4" t="n">
        <v>2</v>
      </c>
      <c r="AI380" s="34" t="n">
        <v>0.0476</v>
      </c>
      <c r="AJ380" s="34" t="n">
        <v>1</v>
      </c>
      <c r="AK380" s="2" t="n">
        <v>6750</v>
      </c>
      <c r="AL380" t="inlineStr">
        <is>
          <t>Published</t>
        </is>
      </c>
    </row>
    <row r="381">
      <c r="A381">
        <f>HYPERLINK("https://www.walmart.com/ip/1358389098", "1358389098")</f>
        <v/>
      </c>
      <c r="B381">
        <f>HYPERLINK("https://app.optiwise.ai/catalog/itemdetails/5144325", "Sun Blocker Women's Sun Hat  Wide Brim Flap Cap with Floral Ribbon for Beach Gardening Hiking Fishing Safari UPF 50+ Purple")</f>
        <v/>
      </c>
      <c r="C381" t="inlineStr">
        <is>
          <t>KC-S9202-PP</t>
        </is>
      </c>
      <c r="D381" t="inlineStr">
        <is>
          <t>Clothing</t>
        </is>
      </c>
      <c r="E381" t="inlineStr">
        <is>
          <t>Hats</t>
        </is>
      </c>
      <c r="F381" t="inlineStr">
        <is>
          <t>Sun Blocker</t>
        </is>
      </c>
      <c r="G381" t="n">
        <v>4.1</v>
      </c>
      <c r="H381" t="n">
        <v>32</v>
      </c>
      <c r="J381" s="29" t="n">
        <v>63.96</v>
      </c>
      <c r="K381" s="30" t="n">
        <v>0.0005999999999999999</v>
      </c>
      <c r="L381" s="29" t="n">
        <v>0</v>
      </c>
      <c r="M381" s="29" t="n">
        <v>0</v>
      </c>
      <c r="N381" s="2" t="n">
        <v>4</v>
      </c>
      <c r="O381" s="31" t="n">
        <v>0</v>
      </c>
      <c r="P381" s="32" t="n"/>
      <c r="Q381" s="32" t="n">
        <v>0</v>
      </c>
      <c r="R381" s="32" t="n">
        <v>0</v>
      </c>
      <c r="S381" s="31" t="n">
        <v>0</v>
      </c>
      <c r="T381" s="32" t="n">
        <v>0</v>
      </c>
      <c r="U381" s="31" t="n">
        <v>0</v>
      </c>
      <c r="V381" s="31" t="n">
        <v>0</v>
      </c>
      <c r="W381" s="3" t="n">
        <v>0</v>
      </c>
      <c r="X381" s="3" t="n">
        <v>0</v>
      </c>
      <c r="Y381" s="32" t="n">
        <v>0</v>
      </c>
      <c r="Z381" s="3" t="n">
        <v>0</v>
      </c>
      <c r="AA381" s="32" t="n">
        <v>0</v>
      </c>
      <c r="AB381" s="3" t="n"/>
      <c r="AC381" s="31" t="n">
        <v>0</v>
      </c>
      <c r="AD381" s="2" t="n">
        <v>6</v>
      </c>
      <c r="AE381" s="2" t="n">
        <v>24</v>
      </c>
      <c r="AF381" s="4" t="n">
        <v>24</v>
      </c>
      <c r="AG381" s="33" t="n">
        <v>63.96</v>
      </c>
      <c r="AH381" s="4" t="n">
        <v>4</v>
      </c>
      <c r="AI381" s="34" t="n">
        <v>0.1667</v>
      </c>
      <c r="AJ381" s="34" t="n">
        <v>1</v>
      </c>
      <c r="AK381" s="2" t="n">
        <v>1383</v>
      </c>
      <c r="AL381" t="inlineStr">
        <is>
          <t>Published</t>
        </is>
      </c>
    </row>
    <row r="382">
      <c r="A382">
        <f>HYPERLINK("https://www.walmart.com/ip/5319593235", "5319593235")</f>
        <v/>
      </c>
      <c r="B382">
        <f>HYPERLINK("https://app.optiwise.ai/catalog/itemdetails/7947824", "Solaris Unisex Large Bill Flap Sun Hat Camping Hiking Hunting Fishing Cap")</f>
        <v/>
      </c>
      <c r="C382" t="inlineStr">
        <is>
          <t>1SLSH911CAMO-A</t>
        </is>
      </c>
      <c r="D382" t="inlineStr">
        <is>
          <t>Clothing</t>
        </is>
      </c>
      <c r="E382" t="inlineStr">
        <is>
          <t>Hats</t>
        </is>
      </c>
      <c r="F382" t="inlineStr">
        <is>
          <t>Solaris</t>
        </is>
      </c>
      <c r="G382" t="n">
        <v>0</v>
      </c>
      <c r="H382" t="n">
        <v>0</v>
      </c>
      <c r="J382" s="29" t="n">
        <v>63.96</v>
      </c>
      <c r="K382" s="30" t="n">
        <v>0.0005999999999999999</v>
      </c>
      <c r="L382" s="29" t="n">
        <v>0</v>
      </c>
      <c r="M382" s="29" t="n">
        <v>0</v>
      </c>
      <c r="N382" s="2" t="n">
        <v>4</v>
      </c>
      <c r="O382" s="31" t="n">
        <v>0</v>
      </c>
      <c r="P382" s="32" t="n"/>
      <c r="Q382" s="32" t="n">
        <v>0</v>
      </c>
      <c r="R382" s="32" t="n">
        <v>0.4146</v>
      </c>
      <c r="S382" s="31" t="n">
        <v>0</v>
      </c>
      <c r="T382" s="32" t="n">
        <v>0</v>
      </c>
      <c r="U382" s="31" t="n">
        <v>0</v>
      </c>
      <c r="V382" s="31" t="n">
        <v>0</v>
      </c>
      <c r="W382" s="3" t="n">
        <v>0</v>
      </c>
      <c r="X382" s="3" t="n">
        <v>0</v>
      </c>
      <c r="Y382" s="32" t="n">
        <v>0</v>
      </c>
      <c r="Z382" s="3" t="n">
        <v>0</v>
      </c>
      <c r="AA382" s="32" t="n">
        <v>0</v>
      </c>
      <c r="AB382" s="3" t="n"/>
      <c r="AC382" s="31" t="n">
        <v>0</v>
      </c>
      <c r="AD382" s="2" t="n">
        <v>16</v>
      </c>
      <c r="AE382" s="2" t="n">
        <v>26</v>
      </c>
      <c r="AF382" s="4" t="n">
        <v>26</v>
      </c>
      <c r="AG382" s="33" t="n">
        <v>63.96</v>
      </c>
      <c r="AH382" s="4" t="n">
        <v>4</v>
      </c>
      <c r="AI382" s="34" t="n">
        <v>0.1538</v>
      </c>
      <c r="AJ382" s="34" t="n">
        <v>1</v>
      </c>
      <c r="AK382" s="2" t="n">
        <v>2261</v>
      </c>
      <c r="AL382" t="inlineStr">
        <is>
          <t>Published</t>
        </is>
      </c>
    </row>
    <row r="383">
      <c r="A383">
        <f>HYPERLINK("https://www.walmart.com/ip/197840838", "197840838")</f>
        <v/>
      </c>
      <c r="B383">
        <f>HYPERLINK("https://app.optiwise.ai/catalog/itemdetails/360365", "Sexy Lingerie for Women with Black Open Crotch Suspender Bodystocking Lingerie by JenniWears")</f>
        <v/>
      </c>
      <c r="C383" t="inlineStr">
        <is>
          <t>JWBS8803</t>
        </is>
      </c>
      <c r="D383" t="inlineStr">
        <is>
          <t>Clothing</t>
        </is>
      </c>
      <c r="E383" t="inlineStr">
        <is>
          <t>Teddies &amp; Bodystockings</t>
        </is>
      </c>
      <c r="F383" t="inlineStr">
        <is>
          <t>JenniWears</t>
        </is>
      </c>
      <c r="G383" t="n">
        <v>4.1</v>
      </c>
      <c r="H383" t="n">
        <v>19</v>
      </c>
      <c r="I383" t="inlineStr">
        <is>
          <t>WFS,Valentine,WFS Item</t>
        </is>
      </c>
      <c r="J383" s="29" t="n">
        <v>63.92</v>
      </c>
      <c r="K383" s="30" t="n">
        <v>0.0005999999999999999</v>
      </c>
      <c r="L383" s="29" t="n">
        <v>0</v>
      </c>
      <c r="M383" s="29" t="n">
        <v>0</v>
      </c>
      <c r="N383" s="2" t="n">
        <v>8</v>
      </c>
      <c r="O383" s="31" t="n">
        <v>0</v>
      </c>
      <c r="P383" s="32" t="n"/>
      <c r="Q383" s="32" t="n">
        <v>0</v>
      </c>
      <c r="R383" s="32" t="n">
        <v>0</v>
      </c>
      <c r="S383" s="31" t="n">
        <v>0</v>
      </c>
      <c r="T383" s="32" t="n">
        <v>0</v>
      </c>
      <c r="U383" s="31" t="n">
        <v>0</v>
      </c>
      <c r="V383" s="31" t="n">
        <v>0</v>
      </c>
      <c r="W383" s="3" t="n">
        <v>0</v>
      </c>
      <c r="X383" s="3" t="n">
        <v>0</v>
      </c>
      <c r="Y383" s="32" t="n">
        <v>0</v>
      </c>
      <c r="Z383" s="3" t="n">
        <v>0</v>
      </c>
      <c r="AA383" s="32" t="n">
        <v>0</v>
      </c>
      <c r="AB383" s="3" t="n"/>
      <c r="AC383" s="31" t="n">
        <v>0</v>
      </c>
      <c r="AD383" s="2" t="n">
        <v>104</v>
      </c>
      <c r="AE383" s="2" t="n">
        <v>176</v>
      </c>
      <c r="AF383" s="4" t="n">
        <v>176</v>
      </c>
      <c r="AG383" s="33" t="n">
        <v>63.92</v>
      </c>
      <c r="AH383" s="4" t="n">
        <v>8</v>
      </c>
      <c r="AI383" s="34" t="n">
        <v>0.0455</v>
      </c>
      <c r="AJ383" s="34" t="n">
        <v>1</v>
      </c>
      <c r="AK383" s="2" t="n">
        <v>1687</v>
      </c>
      <c r="AL383" t="inlineStr">
        <is>
          <t>Published</t>
        </is>
      </c>
    </row>
    <row r="384">
      <c r="A384">
        <f>HYPERLINK("https://www.walmart.com/ip/892619725", "892619725")</f>
        <v/>
      </c>
      <c r="B384">
        <f>HYPERLINK("https://app.optiwise.ai/catalog/itemdetails/362799", "Terra Women Sun Hat Packable Wide Brim UV Protection Beach Hat Foldable Floppy Cap Rose Pattern,Grey")</f>
        <v/>
      </c>
      <c r="C384" t="inlineStr">
        <is>
          <t>TERRACAP-F053-GRY</t>
        </is>
      </c>
      <c r="D384" t="inlineStr">
        <is>
          <t>Clothing</t>
        </is>
      </c>
      <c r="E384" t="inlineStr">
        <is>
          <t>Hats</t>
        </is>
      </c>
      <c r="F384" t="inlineStr">
        <is>
          <t>Terra</t>
        </is>
      </c>
      <c r="G384" t="n">
        <v>4.3</v>
      </c>
      <c r="H384" t="n">
        <v>22</v>
      </c>
      <c r="I384" t="inlineStr">
        <is>
          <t>Q2-Target,Optimized</t>
        </is>
      </c>
      <c r="J384" s="29" t="n">
        <v>63.92</v>
      </c>
      <c r="K384" s="30" t="n">
        <v>0.0005999999999999999</v>
      </c>
      <c r="L384" s="29" t="n">
        <v>0</v>
      </c>
      <c r="M384" s="29" t="n">
        <v>0</v>
      </c>
      <c r="N384" s="2" t="n">
        <v>8</v>
      </c>
      <c r="O384" s="31" t="n">
        <v>0</v>
      </c>
      <c r="P384" s="32" t="n"/>
      <c r="Q384" s="32" t="n">
        <v>0</v>
      </c>
      <c r="R384" s="32" t="n">
        <v>0</v>
      </c>
      <c r="S384" s="31" t="n">
        <v>0</v>
      </c>
      <c r="T384" s="32" t="n">
        <v>0</v>
      </c>
      <c r="U384" s="31" t="n">
        <v>0</v>
      </c>
      <c r="V384" s="31" t="n">
        <v>0</v>
      </c>
      <c r="W384" s="3" t="n">
        <v>0</v>
      </c>
      <c r="X384" s="3" t="n">
        <v>0</v>
      </c>
      <c r="Y384" s="32" t="n">
        <v>0</v>
      </c>
      <c r="Z384" s="3" t="n">
        <v>0</v>
      </c>
      <c r="AA384" s="32" t="n">
        <v>0</v>
      </c>
      <c r="AB384" s="3" t="n"/>
      <c r="AC384" s="31" t="n">
        <v>0</v>
      </c>
      <c r="AD384" s="2" t="n">
        <v>20</v>
      </c>
      <c r="AE384" s="2" t="n">
        <v>71</v>
      </c>
      <c r="AF384" s="4" t="n">
        <v>71</v>
      </c>
      <c r="AG384" s="33" t="n">
        <v>63.92</v>
      </c>
      <c r="AH384" s="4" t="n">
        <v>8</v>
      </c>
      <c r="AI384" s="34" t="n">
        <v>0.1127</v>
      </c>
      <c r="AJ384" s="34" t="n">
        <v>1</v>
      </c>
      <c r="AK384" s="2" t="n">
        <v>1687</v>
      </c>
      <c r="AL384" t="inlineStr">
        <is>
          <t>Published</t>
        </is>
      </c>
    </row>
    <row r="385">
      <c r="A385">
        <f>HYPERLINK("https://www.walmart.com/ip/132763304", "132763304")</f>
        <v/>
      </c>
      <c r="B385">
        <f>HYPERLINK("https://app.optiwise.ai/catalog/itemdetails/361656", "JenniWears Women's Sexy Crotchless Suspender Pantyhose Stockings")</f>
        <v/>
      </c>
      <c r="C385" t="inlineStr">
        <is>
          <t>JWBLSPH2028</t>
        </is>
      </c>
      <c r="D385" t="inlineStr">
        <is>
          <t>Clothing</t>
        </is>
      </c>
      <c r="E385" t="inlineStr">
        <is>
          <t>Pantyhose &amp; Tights</t>
        </is>
      </c>
      <c r="F385" t="inlineStr">
        <is>
          <t>JenniWears</t>
        </is>
      </c>
      <c r="G385" t="n">
        <v>3.1</v>
      </c>
      <c r="H385" t="n">
        <v>9</v>
      </c>
      <c r="I385" t="inlineStr">
        <is>
          <t>WFS,Valentine,WFS Item</t>
        </is>
      </c>
      <c r="J385" s="29" t="n">
        <v>63.92</v>
      </c>
      <c r="K385" s="30" t="n">
        <v>0.0005999999999999999</v>
      </c>
      <c r="L385" s="29" t="n">
        <v>15.97999954223633</v>
      </c>
      <c r="M385" s="29" t="n">
        <v>0</v>
      </c>
      <c r="N385" s="2" t="n">
        <v>5</v>
      </c>
      <c r="O385" s="31" t="n">
        <v>0</v>
      </c>
      <c r="P385" s="32" t="n"/>
      <c r="Q385" s="32" t="n">
        <v>0</v>
      </c>
      <c r="R385" s="32" t="n">
        <v>0</v>
      </c>
      <c r="S385" s="31" t="n">
        <v>0</v>
      </c>
      <c r="T385" s="32" t="n">
        <v>0</v>
      </c>
      <c r="U385" s="31" t="n">
        <v>0</v>
      </c>
      <c r="V385" s="31" t="n">
        <v>0</v>
      </c>
      <c r="W385" s="3" t="n">
        <v>0</v>
      </c>
      <c r="X385" s="3" t="n">
        <v>0</v>
      </c>
      <c r="Y385" s="32" t="n">
        <v>0</v>
      </c>
      <c r="Z385" s="3" t="n">
        <v>0</v>
      </c>
      <c r="AA385" s="32" t="n">
        <v>0</v>
      </c>
      <c r="AB385" s="3" t="n"/>
      <c r="AC385" s="31" t="n">
        <v>0</v>
      </c>
      <c r="AD385" s="2" t="n">
        <v>120</v>
      </c>
      <c r="AE385" s="2" t="n">
        <v>55</v>
      </c>
      <c r="AF385" s="4" t="n">
        <v>65</v>
      </c>
      <c r="AG385" s="33" t="n">
        <v>63.92</v>
      </c>
      <c r="AH385" s="4" t="n">
        <v>5</v>
      </c>
      <c r="AI385" s="34" t="n">
        <v>0.0769</v>
      </c>
      <c r="AJ385" s="34" t="n">
        <v>1</v>
      </c>
      <c r="AK385" s="2" t="n">
        <v>0</v>
      </c>
      <c r="AL385" t="inlineStr">
        <is>
          <t>Published</t>
        </is>
      </c>
    </row>
    <row r="386">
      <c r="A386">
        <f>HYPERLINK("https://www.walmart.com/ip/254076592", "254076592")</f>
        <v/>
      </c>
      <c r="B386">
        <f>HYPERLINK("https://app.optiwise.ai/catalog/itemdetails/360263", "Catalonia Sherpa Throw Blanket Micro Mink Fleece Reversible Grey Blanket 50 x 60, Super Soft Comfy Plush Couch Bed TV, Comfort Caring Gift")</f>
        <v/>
      </c>
      <c r="C386" t="inlineStr">
        <is>
          <t>1CTBF300GY</t>
        </is>
      </c>
      <c r="D386" t="inlineStr">
        <is>
          <t>Bedding</t>
        </is>
      </c>
      <c r="E386" t="inlineStr">
        <is>
          <t>Throws</t>
        </is>
      </c>
      <c r="F386" t="inlineStr">
        <is>
          <t>Catalonia</t>
        </is>
      </c>
      <c r="G386" t="n">
        <v>0</v>
      </c>
      <c r="H386" t="n">
        <v>0</v>
      </c>
      <c r="I386" t="inlineStr">
        <is>
          <t>Q2-Target,Optimized,WFS,Coupon_Discount,WFS Item</t>
        </is>
      </c>
      <c r="J386" s="29" t="n">
        <v>62.97</v>
      </c>
      <c r="K386" s="30" t="n">
        <v>0.0005</v>
      </c>
      <c r="L386" s="29" t="n">
        <v>20.98999977111816</v>
      </c>
      <c r="M386" s="29" t="n">
        <v>0</v>
      </c>
      <c r="N386" s="2" t="n">
        <v>3</v>
      </c>
      <c r="O386" s="31" t="n">
        <v>0</v>
      </c>
      <c r="P386" s="32" t="n"/>
      <c r="Q386" s="32" t="n">
        <v>0</v>
      </c>
      <c r="R386" s="32" t="n">
        <v>0</v>
      </c>
      <c r="S386" s="31" t="n">
        <v>0</v>
      </c>
      <c r="T386" s="32" t="n">
        <v>0</v>
      </c>
      <c r="U386" s="31" t="n">
        <v>0</v>
      </c>
      <c r="V386" s="31" t="n">
        <v>0</v>
      </c>
      <c r="W386" s="3" t="n">
        <v>0</v>
      </c>
      <c r="X386" s="3" t="n">
        <v>0</v>
      </c>
      <c r="Y386" s="32" t="n">
        <v>0</v>
      </c>
      <c r="Z386" s="3" t="n">
        <v>0</v>
      </c>
      <c r="AA386" s="32" t="n">
        <v>0</v>
      </c>
      <c r="AB386" s="3" t="n"/>
      <c r="AC386" s="31" t="n">
        <v>0</v>
      </c>
      <c r="AD386" s="2" t="n">
        <v>110</v>
      </c>
      <c r="AE386" s="2" t="n">
        <v>330</v>
      </c>
      <c r="AF386" s="4" t="n">
        <v>330</v>
      </c>
      <c r="AG386" s="33" t="n">
        <v>62.97</v>
      </c>
      <c r="AH386" s="4" t="n">
        <v>3</v>
      </c>
      <c r="AI386" s="34" t="n">
        <v>0.0091</v>
      </c>
      <c r="AJ386" s="34" t="n">
        <v>1</v>
      </c>
      <c r="AK386" s="2" t="n">
        <v>4500</v>
      </c>
      <c r="AL386" t="inlineStr">
        <is>
          <t>Published</t>
        </is>
      </c>
    </row>
    <row r="387">
      <c r="A387">
        <f>HYPERLINK("https://www.walmart.com/ip/677566457", "677566457")</f>
        <v/>
      </c>
      <c r="B387">
        <f>HYPERLINK("https://app.optiwise.ai/catalog/itemdetails/362397", "Catalonia Wearable Blanket with Sleeves and Pocket, Cozy Soft Fleece Micro Plush Wrap Adult Blanket Robe for Women Men, Makes a Great Gift for Holidays, Latte")</f>
        <v/>
      </c>
      <c r="C387" t="inlineStr">
        <is>
          <t>1CTSN100LT</t>
        </is>
      </c>
      <c r="D387" t="inlineStr">
        <is>
          <t>Bedding</t>
        </is>
      </c>
      <c r="E387" t="inlineStr">
        <is>
          <t>Throws</t>
        </is>
      </c>
      <c r="F387" t="inlineStr">
        <is>
          <t>Catalonia</t>
        </is>
      </c>
      <c r="G387" t="n">
        <v>4.1</v>
      </c>
      <c r="H387" t="n">
        <v>32</v>
      </c>
      <c r="I387" t="inlineStr">
        <is>
          <t>Coupon_Discount,Batch 1 - TR</t>
        </is>
      </c>
      <c r="J387" s="29" t="n">
        <v>62.97</v>
      </c>
      <c r="K387" s="30" t="n">
        <v>0.0005</v>
      </c>
      <c r="L387" s="29" t="n">
        <v>0</v>
      </c>
      <c r="M387" s="29" t="n">
        <v>0</v>
      </c>
      <c r="N387" s="2" t="n">
        <v>3</v>
      </c>
      <c r="O387" s="31" t="n">
        <v>0</v>
      </c>
      <c r="P387" s="32" t="n"/>
      <c r="Q387" s="32" t="n">
        <v>0</v>
      </c>
      <c r="R387" s="32" t="n">
        <v>0</v>
      </c>
      <c r="S387" s="31" t="n">
        <v>0</v>
      </c>
      <c r="T387" s="32" t="n">
        <v>0</v>
      </c>
      <c r="U387" s="31" t="n">
        <v>0</v>
      </c>
      <c r="V387" s="31" t="n">
        <v>0</v>
      </c>
      <c r="W387" s="3" t="n">
        <v>0</v>
      </c>
      <c r="X387" s="3" t="n">
        <v>0</v>
      </c>
      <c r="Y387" s="32" t="n">
        <v>0</v>
      </c>
      <c r="Z387" s="3" t="n">
        <v>0</v>
      </c>
      <c r="AA387" s="32" t="n">
        <v>0</v>
      </c>
      <c r="AB387" s="3" t="n"/>
      <c r="AC387" s="31" t="n">
        <v>0</v>
      </c>
      <c r="AD387" s="2" t="n">
        <v>10</v>
      </c>
      <c r="AE387" s="2" t="n">
        <v>41</v>
      </c>
      <c r="AF387" s="4" t="n">
        <v>41</v>
      </c>
      <c r="AG387" s="33" t="n">
        <v>62.97</v>
      </c>
      <c r="AH387" s="4" t="n">
        <v>3</v>
      </c>
      <c r="AI387" s="34" t="n">
        <v>0.0732</v>
      </c>
      <c r="AJ387" s="34" t="n">
        <v>1</v>
      </c>
      <c r="AK387" s="2" t="n">
        <v>315</v>
      </c>
      <c r="AL387" t="inlineStr">
        <is>
          <t>Published</t>
        </is>
      </c>
    </row>
    <row r="388">
      <c r="A388">
        <f>HYPERLINK("https://www.walmart.com/ip/470914772", "470914772")</f>
        <v/>
      </c>
      <c r="B388">
        <f>HYPERLINK("https://app.optiwise.ai/catalog/itemdetails/361782", "Flyingstar Mermaid Tail Blanket, Soft Flannel Fleece All Seasons Sleeping Blanket for Kids Adults, Rainbow Ombre Fish Scale Design Snuggle Blanket, Best Gifts")</f>
        <v/>
      </c>
      <c r="C388" t="inlineStr">
        <is>
          <t>1WMMM501PK</t>
        </is>
      </c>
      <c r="D388" t="inlineStr">
        <is>
          <t>Bedding</t>
        </is>
      </c>
      <c r="E388" t="inlineStr">
        <is>
          <t>Throws</t>
        </is>
      </c>
      <c r="F388" t="inlineStr">
        <is>
          <t>Catalonia</t>
        </is>
      </c>
      <c r="G388" t="n">
        <v>4.7</v>
      </c>
      <c r="H388" t="n">
        <v>10</v>
      </c>
      <c r="I388" t="inlineStr">
        <is>
          <t>Q2-Target,Baby days,Optimized,Hero 5 Holidays</t>
        </is>
      </c>
      <c r="J388" s="29" t="n">
        <v>62.97</v>
      </c>
      <c r="K388" s="30" t="n">
        <v>0.0005</v>
      </c>
      <c r="L388" s="29" t="n">
        <v>0</v>
      </c>
      <c r="M388" s="29" t="n">
        <v>0</v>
      </c>
      <c r="N388" s="2" t="n">
        <v>3</v>
      </c>
      <c r="O388" s="31" t="n">
        <v>10.86</v>
      </c>
      <c r="P388" s="32" t="n">
        <v>0.0013</v>
      </c>
      <c r="Q388" s="32" t="n">
        <v>0.1725</v>
      </c>
      <c r="R388" s="32" t="n">
        <v>0.0929</v>
      </c>
      <c r="S388" s="31" t="n">
        <v>1.93</v>
      </c>
      <c r="T388" s="32" t="n">
        <v>0.52</v>
      </c>
      <c r="U388" s="31" t="n">
        <v>20.99</v>
      </c>
      <c r="V388" s="31" t="n">
        <v>20.99</v>
      </c>
      <c r="W388" s="3" t="n">
        <v>20455</v>
      </c>
      <c r="X388" s="3" t="n">
        <v>32</v>
      </c>
      <c r="Y388" s="32" t="n">
        <v>0.0016</v>
      </c>
      <c r="Z388" s="3" t="n">
        <v>1</v>
      </c>
      <c r="AA388" s="32" t="n">
        <v>0.0312</v>
      </c>
      <c r="AB388" s="3" t="inlineStr">
        <is>
          <t>Throws_Auto_Optiwise_24,Throws_Manual_Optiwise_24</t>
        </is>
      </c>
      <c r="AC388" s="31" t="n">
        <v>0.34</v>
      </c>
      <c r="AD388" s="2" t="n">
        <v>17</v>
      </c>
      <c r="AE388" s="2" t="n">
        <v>61</v>
      </c>
      <c r="AF388" s="4" t="n">
        <v>29</v>
      </c>
      <c r="AG388" s="33" t="n">
        <v>41.98</v>
      </c>
      <c r="AH388" s="4" t="n">
        <v>2</v>
      </c>
      <c r="AI388" s="34" t="n">
        <v>0.06900000000000001</v>
      </c>
      <c r="AJ388" s="34" t="n">
        <v>0.6667</v>
      </c>
      <c r="AK388" s="2" t="n">
        <v>4500</v>
      </c>
      <c r="AL388" t="inlineStr">
        <is>
          <t>Published</t>
        </is>
      </c>
    </row>
    <row r="389">
      <c r="A389">
        <f>HYPERLINK("https://www.walmart.com/ip/198695605", "198695605")</f>
        <v/>
      </c>
      <c r="B389">
        <f>HYPERLINK("https://app.optiwise.ai/catalog/itemdetails/380746", "Catalonia Reversible Sherpa Throw Blanket, Super Soft Fluffy Blanket for Couch,  Fuzzy Comfy Warm Throws, Comfort Caring Gift, 50x60 inches, Wine")</f>
        <v/>
      </c>
      <c r="C389" t="inlineStr">
        <is>
          <t>1CTBF578WN</t>
        </is>
      </c>
      <c r="D389" t="inlineStr">
        <is>
          <t>Bedding</t>
        </is>
      </c>
      <c r="E389" t="inlineStr">
        <is>
          <t>Throws</t>
        </is>
      </c>
      <c r="F389" t="inlineStr">
        <is>
          <t>Catalonia</t>
        </is>
      </c>
      <c r="G389" t="n">
        <v>3.9</v>
      </c>
      <c r="H389" t="n">
        <v>11</v>
      </c>
      <c r="I389" t="inlineStr">
        <is>
          <t>Q2-Target,WFS,Coupon_Discount,WFS Item</t>
        </is>
      </c>
      <c r="J389" s="29" t="n">
        <v>62.97</v>
      </c>
      <c r="K389" s="30" t="n">
        <v>0.0005</v>
      </c>
      <c r="L389" s="29" t="n">
        <v>0</v>
      </c>
      <c r="M389" s="29" t="n">
        <v>0</v>
      </c>
      <c r="N389" s="2" t="n">
        <v>3</v>
      </c>
      <c r="O389" s="31" t="n">
        <v>0</v>
      </c>
      <c r="P389" s="32" t="n"/>
      <c r="Q389" s="32" t="n">
        <v>0</v>
      </c>
      <c r="R389" s="32" t="n">
        <v>0</v>
      </c>
      <c r="S389" s="31" t="n">
        <v>0</v>
      </c>
      <c r="T389" s="32" t="n">
        <v>0</v>
      </c>
      <c r="U389" s="31" t="n">
        <v>0</v>
      </c>
      <c r="V389" s="31" t="n">
        <v>0</v>
      </c>
      <c r="W389" s="3" t="n">
        <v>0</v>
      </c>
      <c r="X389" s="3" t="n">
        <v>0</v>
      </c>
      <c r="Y389" s="32" t="n">
        <v>0</v>
      </c>
      <c r="Z389" s="3" t="n">
        <v>0</v>
      </c>
      <c r="AA389" s="32" t="n">
        <v>0</v>
      </c>
      <c r="AB389" s="3" t="n"/>
      <c r="AC389" s="31" t="n">
        <v>0</v>
      </c>
      <c r="AD389" s="2" t="n">
        <v>60</v>
      </c>
      <c r="AE389" s="2" t="n">
        <v>63</v>
      </c>
      <c r="AF389" s="4" t="n">
        <v>63</v>
      </c>
      <c r="AG389" s="33" t="n">
        <v>62.97</v>
      </c>
      <c r="AH389" s="4" t="n">
        <v>3</v>
      </c>
      <c r="AI389" s="34" t="n">
        <v>0.0476</v>
      </c>
      <c r="AJ389" s="34" t="n">
        <v>1</v>
      </c>
      <c r="AK389" s="2" t="n">
        <v>0</v>
      </c>
      <c r="AL389" t="inlineStr">
        <is>
          <t>Published</t>
        </is>
      </c>
    </row>
    <row r="390">
      <c r="A390">
        <f>HYPERLINK("https://www.walmart.com/ip/795661025", "795661025")</f>
        <v/>
      </c>
      <c r="B390">
        <f>HYPERLINK("https://app.optiwise.ai/catalog/itemdetails/362391", "Sun Hat for Men, Sun Cap with Neck Flap for Fishing, Safari, Cycling, Hiking, Garden, Backpacking, UPF50+, Grey")</f>
        <v/>
      </c>
      <c r="C390" t="inlineStr">
        <is>
          <t>KC-S9153-GY</t>
        </is>
      </c>
      <c r="D390" t="inlineStr">
        <is>
          <t>Clothing</t>
        </is>
      </c>
      <c r="E390" t="inlineStr">
        <is>
          <t>Hats</t>
        </is>
      </c>
      <c r="F390" t="inlineStr">
        <is>
          <t>Sun Blocker</t>
        </is>
      </c>
      <c r="G390" t="n">
        <v>4.2</v>
      </c>
      <c r="H390" t="n">
        <v>15</v>
      </c>
      <c r="I390" t="inlineStr">
        <is>
          <t>Hats</t>
        </is>
      </c>
      <c r="J390" s="29" t="n">
        <v>61.96</v>
      </c>
      <c r="K390" s="30" t="n">
        <v>0.0005</v>
      </c>
      <c r="L390" s="29" t="n">
        <v>0</v>
      </c>
      <c r="M390" s="29" t="n">
        <v>0</v>
      </c>
      <c r="N390" s="2" t="n">
        <v>4</v>
      </c>
      <c r="O390" s="31" t="n">
        <v>0</v>
      </c>
      <c r="P390" s="32" t="n"/>
      <c r="Q390" s="32" t="n">
        <v>0</v>
      </c>
      <c r="R390" s="32" t="n">
        <v>0</v>
      </c>
      <c r="S390" s="31" t="n">
        <v>0</v>
      </c>
      <c r="T390" s="32" t="n">
        <v>0</v>
      </c>
      <c r="U390" s="31" t="n">
        <v>0</v>
      </c>
      <c r="V390" s="31" t="n">
        <v>0</v>
      </c>
      <c r="W390" s="3" t="n">
        <v>0</v>
      </c>
      <c r="X390" s="3" t="n">
        <v>0</v>
      </c>
      <c r="Y390" s="32" t="n">
        <v>0</v>
      </c>
      <c r="Z390" s="3" t="n">
        <v>0</v>
      </c>
      <c r="AA390" s="32" t="n">
        <v>0</v>
      </c>
      <c r="AB390" s="3" t="n"/>
      <c r="AC390" s="31" t="n">
        <v>0</v>
      </c>
      <c r="AD390" s="2" t="n">
        <v>0</v>
      </c>
      <c r="AE390" s="2" t="n">
        <v>28</v>
      </c>
      <c r="AF390" s="4" t="n">
        <v>28</v>
      </c>
      <c r="AG390" s="33" t="n">
        <v>61.96</v>
      </c>
      <c r="AH390" s="4" t="n">
        <v>4</v>
      </c>
      <c r="AI390" s="34" t="n">
        <v>0.1429</v>
      </c>
      <c r="AJ390" s="34" t="n">
        <v>1</v>
      </c>
      <c r="AK390" s="2" t="n">
        <v>3375</v>
      </c>
      <c r="AL390" t="inlineStr">
        <is>
          <t>Published</t>
        </is>
      </c>
    </row>
    <row r="391">
      <c r="A391">
        <f>HYPERLINK("https://www.walmart.com/ip/619536116", "619536116")</f>
        <v/>
      </c>
      <c r="B391">
        <f>HYPERLINK("https://app.optiwise.ai/catalog/itemdetails/362365", "Catalonia Waterproof Pee Proof Blanket, Couch, Sofa and Bed Protector Cover for Baby, Super Cozy Plush Fleece Warm Sherpa Lining, Throw Blanket for Boating and Camping, Lt Gray/Dk Gray, 80 x 90")</f>
        <v/>
      </c>
      <c r="C391" t="inlineStr">
        <is>
          <t>1CTBW981LGDG</t>
        </is>
      </c>
      <c r="D391" t="inlineStr">
        <is>
          <t>Bedding</t>
        </is>
      </c>
      <c r="E391" t="inlineStr">
        <is>
          <t>Throws</t>
        </is>
      </c>
      <c r="F391" t="inlineStr">
        <is>
          <t>Catalonia</t>
        </is>
      </c>
      <c r="G391" t="n">
        <v>5</v>
      </c>
      <c r="H391" t="n">
        <v>4</v>
      </c>
      <c r="I391" t="inlineStr">
        <is>
          <t>Optimized,WFS,SEM,WFS Item</t>
        </is>
      </c>
      <c r="J391" s="29" t="n">
        <v>60.99</v>
      </c>
      <c r="K391" s="30" t="n">
        <v>0.0005</v>
      </c>
      <c r="L391" s="29" t="n">
        <v>0</v>
      </c>
      <c r="M391" s="29" t="n">
        <v>0</v>
      </c>
      <c r="N391" s="2" t="n">
        <v>1</v>
      </c>
      <c r="O391" s="31" t="n">
        <v>0.82</v>
      </c>
      <c r="P391" s="32" t="n">
        <v>0.0001</v>
      </c>
      <c r="Q391" s="32" t="n">
        <v>0.0134</v>
      </c>
      <c r="R391" s="32" t="n">
        <v>0.0575</v>
      </c>
      <c r="S391" s="31" t="n">
        <v>0</v>
      </c>
      <c r="T391" s="32" t="n">
        <v>0</v>
      </c>
      <c r="U391" s="31" t="n">
        <v>0</v>
      </c>
      <c r="V391" s="31" t="n">
        <v>0</v>
      </c>
      <c r="W391" s="3" t="n">
        <v>1082</v>
      </c>
      <c r="X391" s="3" t="n">
        <v>2</v>
      </c>
      <c r="Y391" s="32" t="n">
        <v>0.0018</v>
      </c>
      <c r="Z391" s="3" t="n">
        <v>0</v>
      </c>
      <c r="AA391" s="32" t="n">
        <v>0</v>
      </c>
      <c r="AB391" s="3" t="inlineStr">
        <is>
          <t>Auto for BW Indoor</t>
        </is>
      </c>
      <c r="AC391" s="31" t="n">
        <v>0.41</v>
      </c>
      <c r="AD391" s="2" t="n">
        <v>0</v>
      </c>
      <c r="AE391" s="2" t="n">
        <v>59</v>
      </c>
      <c r="AF391" s="4" t="n">
        <v>57</v>
      </c>
      <c r="AG391" s="33" t="n">
        <v>60.99</v>
      </c>
      <c r="AH391" s="4" t="n">
        <v>1</v>
      </c>
      <c r="AI391" s="34" t="n">
        <v>0.0175</v>
      </c>
      <c r="AJ391" s="34" t="n">
        <v>1</v>
      </c>
      <c r="AK391" s="2" t="n">
        <v>13500</v>
      </c>
      <c r="AL391" t="inlineStr">
        <is>
          <t>Published</t>
        </is>
      </c>
    </row>
    <row r="392">
      <c r="A392">
        <f>HYPERLINK("https://www.walmart.com/ip/901462057", "901462057")</f>
        <v/>
      </c>
      <c r="B392">
        <f>HYPERLINK("https://app.optiwise.ai/catalog/itemdetails/361221", "Kato 6 Bottle Wine Carrier - Insulated Portable Wine Carry Cooler Tote Bag for Travel or Picnic, Perfect Wine Lover Gift, Black ")</f>
        <v/>
      </c>
      <c r="C392" t="inlineStr">
        <is>
          <t>1KTWB400BK</t>
        </is>
      </c>
      <c r="D392" t="inlineStr">
        <is>
          <t>Home Decor, Kitchen, &amp; Other</t>
        </is>
      </c>
      <c r="E392" t="inlineStr">
        <is>
          <t>Wine Totes, Bags &amp; Backpacks</t>
        </is>
      </c>
      <c r="F392" t="inlineStr">
        <is>
          <t>Kato</t>
        </is>
      </c>
      <c r="G392" t="n">
        <v>0</v>
      </c>
      <c r="H392" t="n">
        <v>0</v>
      </c>
      <c r="I392" t="inlineStr">
        <is>
          <t>Wine,Christmas,Valentine,SEM</t>
        </is>
      </c>
      <c r="J392" s="29" t="n">
        <v>60.96</v>
      </c>
      <c r="K392" s="30" t="n">
        <v>0.0005</v>
      </c>
      <c r="L392" s="29" t="n">
        <v>35.97999954223633</v>
      </c>
      <c r="M392" s="29" t="n">
        <v>0</v>
      </c>
      <c r="N392" s="2" t="n">
        <v>3</v>
      </c>
      <c r="O392" s="31" t="n">
        <v>23.52999999999998</v>
      </c>
      <c r="P392" s="32" t="n">
        <v>0.0028</v>
      </c>
      <c r="Q392" s="32" t="n">
        <v>0.386</v>
      </c>
      <c r="R392" s="32" t="n">
        <v>0.0667</v>
      </c>
      <c r="S392" s="31" t="n">
        <v>0</v>
      </c>
      <c r="T392" s="32" t="n">
        <v>0</v>
      </c>
      <c r="U392" s="31" t="n">
        <v>0</v>
      </c>
      <c r="V392" s="31" t="n">
        <v>0</v>
      </c>
      <c r="W392" s="3" t="n">
        <v>23699</v>
      </c>
      <c r="X392" s="3" t="n">
        <v>54</v>
      </c>
      <c r="Y392" s="32" t="n">
        <v>0.0023</v>
      </c>
      <c r="Z392" s="3" t="n">
        <v>0</v>
      </c>
      <c r="AA392" s="32" t="n">
        <v>0</v>
      </c>
      <c r="AB392" s="3" t="inlineStr">
        <is>
          <t>Auto Campaign_Vinay</t>
        </is>
      </c>
      <c r="AC392" s="31" t="n">
        <v>0.44</v>
      </c>
      <c r="AD392" s="2" t="n">
        <v>0</v>
      </c>
      <c r="AE392" s="2" t="n">
        <v>43</v>
      </c>
      <c r="AF392" s="4" t="inlineStr">
        <is>
          <t>NA</t>
        </is>
      </c>
      <c r="AG392" s="33" t="n">
        <v>60.96</v>
      </c>
      <c r="AH392" s="4" t="n">
        <v>3</v>
      </c>
      <c r="AI392" s="34" t="inlineStr">
        <is>
          <t>NA</t>
        </is>
      </c>
      <c r="AJ392" s="34" t="n">
        <v>1</v>
      </c>
      <c r="AK392" s="2" t="n">
        <v>225</v>
      </c>
      <c r="AL392" t="inlineStr">
        <is>
          <t>Published</t>
        </is>
      </c>
    </row>
    <row r="393">
      <c r="A393">
        <f>HYPERLINK("https://www.walmart.com/ip/111482853", "111482853")</f>
        <v/>
      </c>
      <c r="B393">
        <f>HYPERLINK("https://app.optiwise.ai/catalog/itemdetails/360540", "Womens Sun Hats Neck Flap Large Brim UV Protection Foldable and Breathable Fishing Hiking Beach Cap")</f>
        <v/>
      </c>
      <c r="C393" t="inlineStr">
        <is>
          <t>1SLSH922OR</t>
        </is>
      </c>
      <c r="D393" t="inlineStr">
        <is>
          <t>Clothing</t>
        </is>
      </c>
      <c r="E393" t="inlineStr">
        <is>
          <t>Hats</t>
        </is>
      </c>
      <c r="F393" t="inlineStr">
        <is>
          <t>Solaris</t>
        </is>
      </c>
      <c r="G393" t="n">
        <v>0</v>
      </c>
      <c r="H393" t="n">
        <v>0</v>
      </c>
      <c r="I393" t="inlineStr">
        <is>
          <t>Hats,Batch 1 - TR</t>
        </is>
      </c>
      <c r="J393" s="29" t="n">
        <v>60.96</v>
      </c>
      <c r="K393" s="30" t="n">
        <v>0.0005</v>
      </c>
      <c r="L393" s="29" t="n">
        <v>0</v>
      </c>
      <c r="M393" s="29" t="n">
        <v>0</v>
      </c>
      <c r="N393" s="2" t="n">
        <v>3</v>
      </c>
      <c r="O393" s="31" t="n">
        <v>0</v>
      </c>
      <c r="P393" s="32" t="n"/>
      <c r="Q393" s="32" t="n">
        <v>0</v>
      </c>
      <c r="R393" s="32" t="n">
        <v>0</v>
      </c>
      <c r="S393" s="31" t="n">
        <v>0</v>
      </c>
      <c r="T393" s="32" t="n">
        <v>0</v>
      </c>
      <c r="U393" s="31" t="n">
        <v>0</v>
      </c>
      <c r="V393" s="31" t="n">
        <v>0</v>
      </c>
      <c r="W393" s="3" t="n">
        <v>0</v>
      </c>
      <c r="X393" s="3" t="n">
        <v>0</v>
      </c>
      <c r="Y393" s="32" t="n">
        <v>0</v>
      </c>
      <c r="Z393" s="3" t="n">
        <v>0</v>
      </c>
      <c r="AA393" s="32" t="n">
        <v>0</v>
      </c>
      <c r="AB393" s="3" t="n"/>
      <c r="AC393" s="31" t="n">
        <v>0</v>
      </c>
      <c r="AD393" s="2" t="n">
        <v>14</v>
      </c>
      <c r="AE393" s="2" t="n">
        <v>53</v>
      </c>
      <c r="AF393" s="4" t="n">
        <v>53</v>
      </c>
      <c r="AG393" s="33" t="n">
        <v>60.96</v>
      </c>
      <c r="AH393" s="4" t="n">
        <v>3</v>
      </c>
      <c r="AI393" s="34" t="n">
        <v>0.0566</v>
      </c>
      <c r="AJ393" s="34" t="n">
        <v>1</v>
      </c>
      <c r="AK393" s="2" t="n">
        <v>4590</v>
      </c>
      <c r="AL393" t="inlineStr">
        <is>
          <t>Published</t>
        </is>
      </c>
    </row>
    <row r="394">
      <c r="A394">
        <f>HYPERLINK("https://www.walmart.com/ip/911123677", "911123677")</f>
        <v/>
      </c>
      <c r="B394">
        <f>HYPERLINK("https://app.optiwise.ai/catalog/itemdetails/362260", "Flyingstar Lunch Bag for Women Men, Insulated Lunch Tote for Working/School/Picnic Fashionable Cooler Bag")</f>
        <v/>
      </c>
      <c r="C394" t="inlineStr">
        <is>
          <t>1WMLB704GYWV</t>
        </is>
      </c>
      <c r="D394" t="inlineStr">
        <is>
          <t>Home Decor, Kitchen, &amp; Other</t>
        </is>
      </c>
      <c r="E394" t="inlineStr">
        <is>
          <t>Reusable Lunch Bags &amp; Boxes</t>
        </is>
      </c>
      <c r="F394" t="inlineStr">
        <is>
          <t>Flyingstar</t>
        </is>
      </c>
      <c r="G394" t="n">
        <v>0</v>
      </c>
      <c r="H394" t="n">
        <v>0</v>
      </c>
      <c r="I394" t="inlineStr">
        <is>
          <t>Q2-Target,Lunch Bag,Lunch Bags</t>
        </is>
      </c>
      <c r="J394" s="29" t="n">
        <v>60.54</v>
      </c>
      <c r="K394" s="30" t="n">
        <v>0.0005</v>
      </c>
      <c r="L394" s="29" t="n">
        <v>0</v>
      </c>
      <c r="M394" s="29" t="n">
        <v>0</v>
      </c>
      <c r="N394" s="2" t="n">
        <v>6</v>
      </c>
      <c r="O394" s="31" t="n">
        <v>0</v>
      </c>
      <c r="P394" s="32" t="n"/>
      <c r="Q394" s="32" t="n">
        <v>0</v>
      </c>
      <c r="R394" s="32" t="n">
        <v>0.8539</v>
      </c>
      <c r="S394" s="31" t="n">
        <v>0</v>
      </c>
      <c r="T394" s="32" t="n">
        <v>0</v>
      </c>
      <c r="U394" s="31" t="n">
        <v>0</v>
      </c>
      <c r="V394" s="31" t="n">
        <v>0</v>
      </c>
      <c r="W394" s="3" t="n">
        <v>0</v>
      </c>
      <c r="X394" s="3" t="n">
        <v>0</v>
      </c>
      <c r="Y394" s="32" t="n">
        <v>0</v>
      </c>
      <c r="Z394" s="3" t="n">
        <v>0</v>
      </c>
      <c r="AA394" s="32" t="n">
        <v>0</v>
      </c>
      <c r="AB394" s="3" t="n"/>
      <c r="AC394" s="31" t="n">
        <v>0</v>
      </c>
      <c r="AD394" s="2" t="n">
        <v>291</v>
      </c>
      <c r="AE394" s="2" t="n">
        <v>84</v>
      </c>
      <c r="AF394" s="4" t="n">
        <v>207</v>
      </c>
      <c r="AG394" s="33" t="n">
        <v>60.54</v>
      </c>
      <c r="AH394" s="4" t="n">
        <v>6</v>
      </c>
      <c r="AI394" s="34" t="n">
        <v>0.029</v>
      </c>
      <c r="AJ394" s="34" t="n">
        <v>1</v>
      </c>
      <c r="AK394" s="2" t="n">
        <v>2250</v>
      </c>
      <c r="AL394" t="inlineStr">
        <is>
          <t>Published</t>
        </is>
      </c>
    </row>
    <row r="395">
      <c r="A395">
        <f>HYPERLINK("https://www.walmart.com/ip/842569897", "842569897")</f>
        <v/>
      </c>
      <c r="B395">
        <f>HYPERLINK("https://app.optiwise.ai/catalog/itemdetails/360446", "Waterproof Dog Blanket for Bed,Pee Proof Pet Blankets for Couch Sofa Cover,Reversible Furniture Protector Sherpa Cushion Mat for Small Medium Large Dogs Puppy Cat,King Size")</f>
        <v/>
      </c>
      <c r="C395" t="inlineStr">
        <is>
          <t>1PSBW981TPTP</t>
        </is>
      </c>
      <c r="D395" t="inlineStr">
        <is>
          <t>Animal Accessories</t>
        </is>
      </c>
      <c r="E395" t="inlineStr">
        <is>
          <t>Pet Blankets</t>
        </is>
      </c>
      <c r="F395" t="inlineStr">
        <is>
          <t>Pawsse</t>
        </is>
      </c>
      <c r="G395" t="n">
        <v>5</v>
      </c>
      <c r="H395" t="n">
        <v>2</v>
      </c>
      <c r="I395" t="inlineStr">
        <is>
          <t>Q2-Target,Batch 1 - TR</t>
        </is>
      </c>
      <c r="J395" s="29" t="n">
        <v>59.99</v>
      </c>
      <c r="K395" s="30" t="n">
        <v>0.0005</v>
      </c>
      <c r="L395" s="29" t="n">
        <v>0</v>
      </c>
      <c r="M395" s="29" t="n">
        <v>0</v>
      </c>
      <c r="N395" s="2" t="n">
        <v>1</v>
      </c>
      <c r="O395" s="31" t="n">
        <v>10.52</v>
      </c>
      <c r="P395" s="32" t="n">
        <v>0.0013</v>
      </c>
      <c r="Q395" s="32" t="n">
        <v>0.1754</v>
      </c>
      <c r="R395" s="32" t="n">
        <v>0.0037</v>
      </c>
      <c r="S395" s="31" t="n">
        <v>0</v>
      </c>
      <c r="T395" s="32" t="n">
        <v>0</v>
      </c>
      <c r="U395" s="31" t="n">
        <v>0</v>
      </c>
      <c r="V395" s="31" t="n">
        <v>0</v>
      </c>
      <c r="W395" s="3" t="n">
        <v>21491</v>
      </c>
      <c r="X395" s="3" t="n">
        <v>26</v>
      </c>
      <c r="Y395" s="32" t="n">
        <v>0.0012</v>
      </c>
      <c r="Z395" s="3" t="n">
        <v>0</v>
      </c>
      <c r="AA395" s="32" t="n">
        <v>0</v>
      </c>
      <c r="AB395" s="3" t="inlineStr">
        <is>
          <t>Auto for BW PET 2 ---Rachel,Pet Blankets_Auto_Optiwise_24</t>
        </is>
      </c>
      <c r="AC395" s="31" t="n">
        <v>0.4</v>
      </c>
      <c r="AD395" s="2" t="n">
        <v>0</v>
      </c>
      <c r="AE395" s="2" t="n">
        <v>81</v>
      </c>
      <c r="AF395" s="4" t="n">
        <v>55</v>
      </c>
      <c r="AG395" s="33" t="n">
        <v>59.99</v>
      </c>
      <c r="AH395" s="4" t="n">
        <v>1</v>
      </c>
      <c r="AI395" s="34" t="n">
        <v>0.0182</v>
      </c>
      <c r="AJ395" s="34" t="n">
        <v>1</v>
      </c>
      <c r="AK395" s="2" t="n">
        <v>13500</v>
      </c>
      <c r="AL395" t="inlineStr">
        <is>
          <t>Published</t>
        </is>
      </c>
    </row>
    <row r="396">
      <c r="A396">
        <f>HYPERLINK("https://www.walmart.com/ip/211899562", "211899562")</f>
        <v/>
      </c>
      <c r="B396">
        <f>HYPERLINK("https://app.optiwise.ai/catalog/itemdetails/926198", "Catalonia Waterproof Fleece Blanket, Liquid Pee-Proof Outdoor Blanket for Bed, Couch, Sofa, Bed Protector Cover for Babies with Cozy Sherpa Lining, Brown/Taupe 80'' x 90''")</f>
        <v/>
      </c>
      <c r="C396" t="inlineStr">
        <is>
          <t>1CTBW981BNTP</t>
        </is>
      </c>
      <c r="D396" t="inlineStr">
        <is>
          <t>Bedding</t>
        </is>
      </c>
      <c r="E396" t="inlineStr">
        <is>
          <t>Throws</t>
        </is>
      </c>
      <c r="F396" t="inlineStr">
        <is>
          <t>Catalonia</t>
        </is>
      </c>
      <c r="G396" t="n">
        <v>4.7</v>
      </c>
      <c r="H396" t="n">
        <v>3</v>
      </c>
      <c r="I396" t="inlineStr">
        <is>
          <t>Wproof Blanket,Batch 1 - TR</t>
        </is>
      </c>
      <c r="J396" s="29" t="n">
        <v>59.99</v>
      </c>
      <c r="K396" s="30" t="n">
        <v>0.0005</v>
      </c>
      <c r="L396" s="29" t="n">
        <v>0</v>
      </c>
      <c r="M396" s="29" t="n">
        <v>0</v>
      </c>
      <c r="N396" s="2" t="n">
        <v>1</v>
      </c>
      <c r="O396" s="31" t="n">
        <v>2.25</v>
      </c>
      <c r="P396" s="32" t="n">
        <v>0.0003</v>
      </c>
      <c r="Q396" s="32" t="n">
        <v>0.0375</v>
      </c>
      <c r="R396" s="32" t="n">
        <v>0.06419999999999999</v>
      </c>
      <c r="S396" s="31" t="n">
        <v>0</v>
      </c>
      <c r="T396" s="32" t="n">
        <v>0</v>
      </c>
      <c r="U396" s="31" t="n">
        <v>0</v>
      </c>
      <c r="V396" s="31" t="n">
        <v>0</v>
      </c>
      <c r="W396" s="3" t="n">
        <v>3968</v>
      </c>
      <c r="X396" s="3" t="n">
        <v>5</v>
      </c>
      <c r="Y396" s="32" t="n">
        <v>0.0013</v>
      </c>
      <c r="Z396" s="3" t="n">
        <v>0</v>
      </c>
      <c r="AA396" s="32" t="n">
        <v>0</v>
      </c>
      <c r="AB396" s="3" t="inlineStr">
        <is>
          <t>Auto for BW Indoor</t>
        </is>
      </c>
      <c r="AC396" s="31" t="n">
        <v>0.45</v>
      </c>
      <c r="AD396" s="2" t="n">
        <v>0</v>
      </c>
      <c r="AE396" s="2" t="n">
        <v>95</v>
      </c>
      <c r="AF396" s="4" t="n">
        <v>90</v>
      </c>
      <c r="AG396" s="33" t="n">
        <v>59.99</v>
      </c>
      <c r="AH396" s="4" t="n">
        <v>1</v>
      </c>
      <c r="AI396" s="34" t="n">
        <v>0.0111</v>
      </c>
      <c r="AJ396" s="34" t="n">
        <v>1</v>
      </c>
      <c r="AK396" s="2" t="n">
        <v>13500</v>
      </c>
      <c r="AL396" t="inlineStr">
        <is>
          <t>Published</t>
        </is>
      </c>
    </row>
    <row r="397">
      <c r="A397">
        <f>HYPERLINK("https://www.walmart.com/ip/513509140", "513509140")</f>
        <v/>
      </c>
      <c r="B397">
        <f>HYPERLINK("https://app.optiwise.ai/catalog/itemdetails/361258", "Catalonia Waterproof Blanket for Bed, Reversible Baby Pet Doggy Pee Proof Fleece Blankets, Large Couch Sofa Cover Furniture Boat Mattress Protector, 80x90 inches, Brown")</f>
        <v/>
      </c>
      <c r="C397" t="inlineStr">
        <is>
          <t>1CTBW982BNTP</t>
        </is>
      </c>
      <c r="D397" t="inlineStr">
        <is>
          <t>Bedding</t>
        </is>
      </c>
      <c r="E397" t="inlineStr">
        <is>
          <t>Throws</t>
        </is>
      </c>
      <c r="F397" t="inlineStr">
        <is>
          <t>Catalonia</t>
        </is>
      </c>
      <c r="G397" t="n">
        <v>4.1</v>
      </c>
      <c r="H397" t="n">
        <v>21</v>
      </c>
      <c r="I397" t="inlineStr">
        <is>
          <t>Q2-Target,Wproof Blanket,Fleece Blankets,Batch 1 - TR</t>
        </is>
      </c>
      <c r="J397" s="29" t="n">
        <v>59.99</v>
      </c>
      <c r="K397" s="30" t="n">
        <v>0.0005</v>
      </c>
      <c r="L397" s="29" t="n">
        <v>0</v>
      </c>
      <c r="M397" s="29" t="n">
        <v>0</v>
      </c>
      <c r="N397" s="2" t="n">
        <v>1</v>
      </c>
      <c r="O397" s="31" t="n">
        <v>8.93</v>
      </c>
      <c r="P397" s="32" t="n">
        <v>0.0011</v>
      </c>
      <c r="Q397" s="32" t="n">
        <v>0.1489</v>
      </c>
      <c r="R397" s="32" t="n">
        <v>0.0443</v>
      </c>
      <c r="S397" s="31" t="n">
        <v>0</v>
      </c>
      <c r="T397" s="32" t="n">
        <v>0</v>
      </c>
      <c r="U397" s="31" t="n">
        <v>0</v>
      </c>
      <c r="V397" s="31" t="n">
        <v>0</v>
      </c>
      <c r="W397" s="3" t="n">
        <v>18288</v>
      </c>
      <c r="X397" s="3" t="n">
        <v>23</v>
      </c>
      <c r="Y397" s="32" t="n">
        <v>0.0013</v>
      </c>
      <c r="Z397" s="3" t="n">
        <v>0</v>
      </c>
      <c r="AA397" s="32" t="n">
        <v>0</v>
      </c>
      <c r="AB397" s="3" t="inlineStr">
        <is>
          <t>Auto for BW Indoor,Throws_Auto_Optiwise_24,Throws_Manual_Optiwise_24</t>
        </is>
      </c>
      <c r="AC397" s="31" t="n">
        <v>0.39</v>
      </c>
      <c r="AD397" s="2" t="n">
        <v>0</v>
      </c>
      <c r="AE397" s="2" t="n">
        <v>42</v>
      </c>
      <c r="AF397" s="4" t="n">
        <v>19</v>
      </c>
      <c r="AG397" s="33" t="n">
        <v>59.99</v>
      </c>
      <c r="AH397" s="4" t="n">
        <v>1</v>
      </c>
      <c r="AI397" s="34" t="n">
        <v>0.0526</v>
      </c>
      <c r="AJ397" s="34" t="n">
        <v>1</v>
      </c>
      <c r="AK397" s="2" t="n">
        <v>13905</v>
      </c>
      <c r="AL397" t="inlineStr">
        <is>
          <t>Published</t>
        </is>
      </c>
    </row>
    <row r="398">
      <c r="A398">
        <f>HYPERLINK("https://www.walmart.com/ip/15386769738", "15386769738")</f>
        <v/>
      </c>
      <c r="B398">
        <f>HYPERLINK("https://app.optiwise.ai/catalog/itemdetails/20119642", "Catalonia Kids Waterproof Swim Parka with Hood, Windproof Fleece Swim Jacket, Warm Winter Swim Coat for Boys Girls Youth, Perfect for Swim Lessons, Beach, Pool")</f>
        <v/>
      </c>
      <c r="C398" t="inlineStr">
        <is>
          <t>1CTPKR200BK-0</t>
        </is>
      </c>
      <c r="D398" t="inlineStr">
        <is>
          <t>Clothing</t>
        </is>
      </c>
      <c r="E398" t="inlineStr">
        <is>
          <t>Swim Parkas</t>
        </is>
      </c>
      <c r="F398" t="inlineStr">
        <is>
          <t>Catalonia</t>
        </is>
      </c>
      <c r="G398" t="n">
        <v>0</v>
      </c>
      <c r="H398" t="n">
        <v>0</v>
      </c>
      <c r="J398" s="29" t="n">
        <v>59.99</v>
      </c>
      <c r="K398" s="30" t="n">
        <v>0.0005</v>
      </c>
      <c r="L398" s="29" t="n">
        <v>0</v>
      </c>
      <c r="M398" s="29" t="n">
        <v>0</v>
      </c>
      <c r="N398" s="2" t="n">
        <v>1</v>
      </c>
      <c r="O398" s="31" t="n">
        <v>0</v>
      </c>
      <c r="P398" s="32" t="n"/>
      <c r="Q398" s="32" t="n">
        <v>0</v>
      </c>
      <c r="R398" s="32" t="n">
        <v>0</v>
      </c>
      <c r="S398" s="31" t="n">
        <v>0</v>
      </c>
      <c r="T398" s="32" t="n">
        <v>0</v>
      </c>
      <c r="U398" s="31" t="n">
        <v>0</v>
      </c>
      <c r="V398" s="31" t="n">
        <v>0</v>
      </c>
      <c r="W398" s="3" t="n">
        <v>0</v>
      </c>
      <c r="X398" s="3" t="n">
        <v>0</v>
      </c>
      <c r="Y398" s="32" t="n">
        <v>0</v>
      </c>
      <c r="Z398" s="3" t="n">
        <v>0</v>
      </c>
      <c r="AA398" s="32" t="n">
        <v>0</v>
      </c>
      <c r="AB398" s="3" t="n"/>
      <c r="AC398" s="31" t="n">
        <v>0</v>
      </c>
      <c r="AD398" s="2" t="n">
        <v>0</v>
      </c>
      <c r="AE398" s="2" t="n">
        <v>0</v>
      </c>
      <c r="AF398" s="4" t="n">
        <v>0</v>
      </c>
      <c r="AG398" s="33" t="n">
        <v>59.99</v>
      </c>
      <c r="AH398" s="4" t="n">
        <v>1</v>
      </c>
      <c r="AI398" s="34" t="n"/>
      <c r="AJ398" s="34" t="n">
        <v>1</v>
      </c>
      <c r="AK398" s="2" t="n">
        <v>7560</v>
      </c>
      <c r="AL398" t="inlineStr">
        <is>
          <t>Published</t>
        </is>
      </c>
    </row>
    <row r="399">
      <c r="A399">
        <f>HYPERLINK("https://www.walmart.com/ip/959249773", "959249773")</f>
        <v/>
      </c>
      <c r="B399">
        <f>HYPERLINK("https://app.optiwise.ai/catalog/itemdetails/361026", "Pawsse Pet Carrier Backpack, Green &amp; Gray, 16H x13.2L x12W")</f>
        <v/>
      </c>
      <c r="C399" t="inlineStr">
        <is>
          <t>1PSPB200GN</t>
        </is>
      </c>
      <c r="D399" t="inlineStr">
        <is>
          <t>Animal Other</t>
        </is>
      </c>
      <c r="E399" t="inlineStr">
        <is>
          <t>Pet Carriers</t>
        </is>
      </c>
      <c r="F399" t="inlineStr">
        <is>
          <t>Pawsse</t>
        </is>
      </c>
      <c r="G399" t="n">
        <v>4.5</v>
      </c>
      <c r="H399" t="n">
        <v>10</v>
      </c>
      <c r="I399" t="inlineStr">
        <is>
          <t>WFS,WFS Item,ST Patrick Day</t>
        </is>
      </c>
      <c r="J399" s="29" t="n">
        <v>59.98</v>
      </c>
      <c r="K399" s="30" t="n">
        <v>0.0005</v>
      </c>
      <c r="L399" s="29" t="n">
        <v>0</v>
      </c>
      <c r="M399" s="29" t="n">
        <v>0</v>
      </c>
      <c r="N399" s="2" t="n">
        <v>2</v>
      </c>
      <c r="O399" s="31" t="n">
        <v>0</v>
      </c>
      <c r="P399" s="32" t="n"/>
      <c r="Q399" s="32" t="n">
        <v>0</v>
      </c>
      <c r="R399" s="32" t="n">
        <v>0</v>
      </c>
      <c r="S399" s="31" t="n">
        <v>0</v>
      </c>
      <c r="T399" s="32" t="n">
        <v>0</v>
      </c>
      <c r="U399" s="31" t="n">
        <v>0</v>
      </c>
      <c r="V399" s="31" t="n">
        <v>0</v>
      </c>
      <c r="W399" s="3" t="n">
        <v>0</v>
      </c>
      <c r="X399" s="3" t="n">
        <v>0</v>
      </c>
      <c r="Y399" s="32" t="n">
        <v>0</v>
      </c>
      <c r="Z399" s="3" t="n">
        <v>0</v>
      </c>
      <c r="AA399" s="32" t="n">
        <v>0</v>
      </c>
      <c r="AB399" s="3" t="n"/>
      <c r="AC399" s="31" t="n">
        <v>0</v>
      </c>
      <c r="AD399" s="2" t="n">
        <v>0</v>
      </c>
      <c r="AE399" s="2" t="n">
        <v>60</v>
      </c>
      <c r="AF399" s="4" t="n">
        <v>60</v>
      </c>
      <c r="AG399" s="33" t="n">
        <v>59.98</v>
      </c>
      <c r="AH399" s="4" t="n">
        <v>2</v>
      </c>
      <c r="AI399" s="34" t="n">
        <v>0.0333</v>
      </c>
      <c r="AJ399" s="34" t="n">
        <v>1</v>
      </c>
      <c r="AK399" s="2" t="n">
        <v>6750</v>
      </c>
      <c r="AL399" t="inlineStr">
        <is>
          <t>Published</t>
        </is>
      </c>
    </row>
    <row r="400">
      <c r="A400">
        <f>HYPERLINK("https://www.walmart.com/ip/889442605", "889442605")</f>
        <v/>
      </c>
      <c r="B400">
        <f>HYPERLINK("https://app.optiwise.ai/catalog/itemdetails/360828", "Catalonia Waterproof Blanket for Baby, Pee Proof Pet Cover for Couch Bed, Reversible Sherpa Fleece Throws for Relaxing Traveling Camping, 60x50, Buffale Red/Tuape")</f>
        <v/>
      </c>
      <c r="C400" t="inlineStr">
        <is>
          <t>1CTBW561BRTP</t>
        </is>
      </c>
      <c r="D400" t="inlineStr">
        <is>
          <t>Bedding</t>
        </is>
      </c>
      <c r="E400" t="inlineStr">
        <is>
          <t>Throws</t>
        </is>
      </c>
      <c r="F400" t="inlineStr">
        <is>
          <t>Catalonia</t>
        </is>
      </c>
      <c r="G400" t="n">
        <v>0</v>
      </c>
      <c r="H400" t="n">
        <v>0</v>
      </c>
      <c r="I400" t="inlineStr">
        <is>
          <t>Q2-Target,Optimized,Wproof Blanket</t>
        </is>
      </c>
      <c r="J400" s="29" t="n">
        <v>59.98</v>
      </c>
      <c r="K400" s="30" t="n">
        <v>0.0005</v>
      </c>
      <c r="L400" s="29" t="n">
        <v>0</v>
      </c>
      <c r="M400" s="29" t="n">
        <v>0</v>
      </c>
      <c r="N400" s="2" t="n">
        <v>2</v>
      </c>
      <c r="O400" s="31" t="n">
        <v>0.62</v>
      </c>
      <c r="P400" s="32" t="n">
        <v>0.0001</v>
      </c>
      <c r="Q400" s="32" t="n">
        <v>0.0103</v>
      </c>
      <c r="R400" s="32" t="n">
        <v>0.0123</v>
      </c>
      <c r="S400" s="31" t="n">
        <v>0</v>
      </c>
      <c r="T400" s="32" t="n">
        <v>0</v>
      </c>
      <c r="U400" s="31" t="n">
        <v>0</v>
      </c>
      <c r="V400" s="31" t="n">
        <v>0</v>
      </c>
      <c r="W400" s="3" t="n">
        <v>1640</v>
      </c>
      <c r="X400" s="3" t="n">
        <v>2</v>
      </c>
      <c r="Y400" s="32" t="n">
        <v>0.0012</v>
      </c>
      <c r="Z400" s="3" t="n">
        <v>0</v>
      </c>
      <c r="AA400" s="32" t="n">
        <v>0</v>
      </c>
      <c r="AB400" s="3" t="inlineStr">
        <is>
          <t>Throws_Auto_Optiwise_24</t>
        </is>
      </c>
      <c r="AC400" s="31" t="n">
        <v>0.31</v>
      </c>
      <c r="AD400" s="2" t="n">
        <v>0</v>
      </c>
      <c r="AE400" s="2" t="n">
        <v>70</v>
      </c>
      <c r="AF400" s="4" t="n">
        <v>68</v>
      </c>
      <c r="AG400" s="33" t="n">
        <v>59.98</v>
      </c>
      <c r="AH400" s="4" t="n">
        <v>2</v>
      </c>
      <c r="AI400" s="34" t="n">
        <v>0.0294</v>
      </c>
      <c r="AJ400" s="34" t="n">
        <v>1</v>
      </c>
      <c r="AK400" s="2" t="n">
        <v>6750</v>
      </c>
      <c r="AL400" t="inlineStr">
        <is>
          <t>Published</t>
        </is>
      </c>
    </row>
    <row r="401">
      <c r="A401">
        <f>HYPERLINK("https://www.walmart.com/ip/782528984", "782528984")</f>
        <v/>
      </c>
      <c r="B401">
        <f>HYPERLINK("https://app.optiwise.ai/catalog/itemdetails/359140", "Women's Sherpa Bathrobe, Soft Warm Fleece Long Robe, Shawl Collar, Comfy, Full Length")</f>
        <v/>
      </c>
      <c r="C401" t="inlineStr">
        <is>
          <t>1CTRB510GY-01</t>
        </is>
      </c>
      <c r="D401" t="inlineStr">
        <is>
          <t>Clothing</t>
        </is>
      </c>
      <c r="E401" t="inlineStr">
        <is>
          <t>Sleepwear Robes &amp; Bathrobes</t>
        </is>
      </c>
      <c r="F401" t="inlineStr">
        <is>
          <t>Catalonia</t>
        </is>
      </c>
      <c r="G401" t="n">
        <v>4.7</v>
      </c>
      <c r="H401" t="n">
        <v>3</v>
      </c>
      <c r="I401" t="inlineStr">
        <is>
          <t>WFS,Bathrobe,WFS Item</t>
        </is>
      </c>
      <c r="J401" s="29" t="n">
        <v>59.98</v>
      </c>
      <c r="K401" s="30" t="n">
        <v>0.0005</v>
      </c>
      <c r="L401" s="29" t="n">
        <v>0</v>
      </c>
      <c r="M401" s="29" t="n">
        <v>0</v>
      </c>
      <c r="N401" s="2" t="n">
        <v>2</v>
      </c>
      <c r="O401" s="31" t="n">
        <v>0</v>
      </c>
      <c r="P401" s="32" t="n"/>
      <c r="Q401" s="32" t="n">
        <v>0</v>
      </c>
      <c r="R401" s="32" t="n">
        <v>0</v>
      </c>
      <c r="S401" s="31" t="n">
        <v>0</v>
      </c>
      <c r="T401" s="32" t="n">
        <v>0</v>
      </c>
      <c r="U401" s="31" t="n">
        <v>0</v>
      </c>
      <c r="V401" s="31" t="n">
        <v>0</v>
      </c>
      <c r="W401" s="3" t="n">
        <v>0</v>
      </c>
      <c r="X401" s="3" t="n">
        <v>0</v>
      </c>
      <c r="Y401" s="32" t="n">
        <v>0</v>
      </c>
      <c r="Z401" s="3" t="n">
        <v>0</v>
      </c>
      <c r="AA401" s="32" t="n">
        <v>0</v>
      </c>
      <c r="AB401" s="3" t="n"/>
      <c r="AC401" s="31" t="n">
        <v>0</v>
      </c>
      <c r="AD401" s="2" t="n">
        <v>0</v>
      </c>
      <c r="AE401" s="2" t="n">
        <v>8</v>
      </c>
      <c r="AF401" s="4" t="n">
        <v>8</v>
      </c>
      <c r="AG401" s="33" t="n">
        <v>59.98</v>
      </c>
      <c r="AH401" s="4" t="n">
        <v>2</v>
      </c>
      <c r="AI401" s="34" t="n">
        <v>0.25</v>
      </c>
      <c r="AJ401" s="34" t="n">
        <v>1</v>
      </c>
      <c r="AK401" s="2" t="n">
        <v>202</v>
      </c>
      <c r="AL401" t="inlineStr">
        <is>
          <t>Published</t>
        </is>
      </c>
    </row>
    <row r="402">
      <c r="A402">
        <f>HYPERLINK("https://www.walmart.com/ip/631208819", "631208819")</f>
        <v/>
      </c>
      <c r="B402">
        <f>HYPERLINK("https://app.optiwise.ai/catalog/itemdetails/361763", "Catalonia Waterproof Blanket for Baby, Pee Proof Pet Cover for Couch Bed, Reversible Sherpa Fleece Throws for Relaxing Traveling Camping, Gray/Tuape, 60 x 50.")</f>
        <v/>
      </c>
      <c r="C402" t="inlineStr">
        <is>
          <t>1CTBW561GYTP</t>
        </is>
      </c>
      <c r="D402" t="inlineStr">
        <is>
          <t>Bedding</t>
        </is>
      </c>
      <c r="E402" t="inlineStr">
        <is>
          <t>Throws</t>
        </is>
      </c>
      <c r="F402" t="inlineStr">
        <is>
          <t>Catalonia</t>
        </is>
      </c>
      <c r="G402" t="n">
        <v>1</v>
      </c>
      <c r="H402" t="n">
        <v>1</v>
      </c>
      <c r="I402" t="inlineStr">
        <is>
          <t>Q2-Target,Optimized,Wproof Blanket</t>
        </is>
      </c>
      <c r="J402" s="29" t="n">
        <v>59.98</v>
      </c>
      <c r="K402" s="30" t="n">
        <v>0.0005</v>
      </c>
      <c r="L402" s="29" t="n">
        <v>0</v>
      </c>
      <c r="M402" s="29" t="n">
        <v>0</v>
      </c>
      <c r="N402" s="2" t="n">
        <v>2</v>
      </c>
      <c r="O402" s="31" t="n">
        <v>33.74999999999999</v>
      </c>
      <c r="P402" s="32" t="n">
        <v>0.004</v>
      </c>
      <c r="Q402" s="32" t="n">
        <v>0.5627</v>
      </c>
      <c r="R402" s="32" t="n">
        <v>0.1442</v>
      </c>
      <c r="S402" s="31" t="n">
        <v>4.44</v>
      </c>
      <c r="T402" s="32" t="n">
        <v>0.23</v>
      </c>
      <c r="U402" s="31" t="n">
        <v>149.95</v>
      </c>
      <c r="V402" s="31" t="n">
        <v>149.95</v>
      </c>
      <c r="W402" s="3" t="n">
        <v>20094</v>
      </c>
      <c r="X402" s="3" t="n">
        <v>80</v>
      </c>
      <c r="Y402" s="32" t="n">
        <v>0.004</v>
      </c>
      <c r="Z402" s="3" t="n">
        <v>5</v>
      </c>
      <c r="AA402" s="32" t="n">
        <v>0.0625</v>
      </c>
      <c r="AB402" s="3" t="inlineStr">
        <is>
          <t>Auto for BW Indoor,Throws_Auto_Optiwise_24,Throws_Manual_Optiwise_24</t>
        </is>
      </c>
      <c r="AC402" s="31" t="n">
        <v>0.42</v>
      </c>
      <c r="AD402" s="2" t="n">
        <v>31</v>
      </c>
      <c r="AE402" s="2" t="n">
        <v>218</v>
      </c>
      <c r="AF402" s="4" t="n">
        <v>138</v>
      </c>
      <c r="AG402" s="33" t="n">
        <v>-89.97</v>
      </c>
      <c r="AH402" s="4" t="n">
        <v>-3</v>
      </c>
      <c r="AI402" s="34" t="n">
        <v>-0.0217</v>
      </c>
      <c r="AJ402" s="34" t="n">
        <v>-1.5</v>
      </c>
      <c r="AK402" s="2" t="n">
        <v>6750</v>
      </c>
      <c r="AL402" t="inlineStr">
        <is>
          <t>Published</t>
        </is>
      </c>
    </row>
    <row r="403">
      <c r="A403">
        <f>HYPERLINK("https://www.walmart.com/ip/248985421", "248985421")</f>
        <v/>
      </c>
      <c r="B403">
        <f>HYPERLINK("https://app.optiwise.ai/catalog/itemdetails/362521", "Catalonia Waterproof Blanket for Baby, Pee Proof Pet Cover for Couch Bed, Reversible Sherpa Fleece Throws for Relaxing Traveling Camping, 60x50, Wine/Taupe")</f>
        <v/>
      </c>
      <c r="C403" t="inlineStr">
        <is>
          <t>1CTBW561WNTP</t>
        </is>
      </c>
      <c r="D403" t="inlineStr">
        <is>
          <t>Bedding</t>
        </is>
      </c>
      <c r="E403" t="inlineStr">
        <is>
          <t>Throws</t>
        </is>
      </c>
      <c r="F403" t="inlineStr">
        <is>
          <t>Catalonia</t>
        </is>
      </c>
      <c r="G403" t="n">
        <v>2.3</v>
      </c>
      <c r="H403" t="n">
        <v>3</v>
      </c>
      <c r="I403" t="inlineStr">
        <is>
          <t>Q2-Target,Wproof Blanket,Batch 1 - TR</t>
        </is>
      </c>
      <c r="J403" s="29" t="n">
        <v>59.98</v>
      </c>
      <c r="K403" s="30" t="n">
        <v>0.0005</v>
      </c>
      <c r="L403" s="29" t="n">
        <v>0</v>
      </c>
      <c r="M403" s="29" t="n">
        <v>0</v>
      </c>
      <c r="N403" s="2" t="n">
        <v>2</v>
      </c>
      <c r="O403" s="31" t="n">
        <v>0</v>
      </c>
      <c r="P403" s="32" t="n"/>
      <c r="Q403" s="32" t="n">
        <v>0</v>
      </c>
      <c r="R403" s="32" t="n">
        <v>0.0201</v>
      </c>
      <c r="S403" s="31" t="n">
        <v>0</v>
      </c>
      <c r="T403" s="32" t="n">
        <v>0</v>
      </c>
      <c r="U403" s="31" t="n">
        <v>0</v>
      </c>
      <c r="V403" s="31" t="n">
        <v>0</v>
      </c>
      <c r="W403" s="3" t="n">
        <v>1459</v>
      </c>
      <c r="X403" s="3" t="n">
        <v>0</v>
      </c>
      <c r="Y403" s="32" t="n">
        <v>0</v>
      </c>
      <c r="Z403" s="3" t="n">
        <v>0</v>
      </c>
      <c r="AA403" s="32" t="n">
        <v>0</v>
      </c>
      <c r="AB403" s="3" t="inlineStr">
        <is>
          <t>Auto for BW Indoor,Throws_Auto_Optiwise_24</t>
        </is>
      </c>
      <c r="AC403" s="31" t="n">
        <v>0</v>
      </c>
      <c r="AD403" s="2" t="n">
        <v>15</v>
      </c>
      <c r="AE403" s="2" t="n">
        <v>72</v>
      </c>
      <c r="AF403" s="4" t="n">
        <v>72</v>
      </c>
      <c r="AG403" s="33" t="n">
        <v>59.98</v>
      </c>
      <c r="AH403" s="4" t="n">
        <v>2</v>
      </c>
      <c r="AI403" s="34" t="n">
        <v>0.0278</v>
      </c>
      <c r="AJ403" s="34" t="n">
        <v>1</v>
      </c>
      <c r="AK403" s="2" t="n">
        <v>2767</v>
      </c>
      <c r="AL403" t="inlineStr">
        <is>
          <t>Published</t>
        </is>
      </c>
    </row>
    <row r="404">
      <c r="A404">
        <f>HYPERLINK("https://www.walmart.com/ip/276368017", "276368017")</f>
        <v/>
      </c>
      <c r="B404">
        <f>HYPERLINK("https://app.optiwise.ai/catalog/itemdetails/380729", "Tirrinia 2 Bottle Wine Tote Carrier - Insulated and Padded Versatile Cooler Bag for Travel, BYOB Restaurant, Wine Tasting, Party, Great Gift for Wine Lover, Dark Blue, 8.5 x 3.8 x 14.")</f>
        <v/>
      </c>
      <c r="C404" t="inlineStr">
        <is>
          <t>1TRWB221DBL</t>
        </is>
      </c>
      <c r="D404" t="inlineStr">
        <is>
          <t>Home Decor, Kitchen, &amp; Other</t>
        </is>
      </c>
      <c r="E404" t="inlineStr">
        <is>
          <t>Wine Totes, Bags &amp; Backpacks</t>
        </is>
      </c>
      <c r="F404" t="inlineStr">
        <is>
          <t>Tirrinia</t>
        </is>
      </c>
      <c r="G404" t="n">
        <v>4</v>
      </c>
      <c r="H404" t="n">
        <v>2</v>
      </c>
      <c r="I404" t="inlineStr">
        <is>
          <t>Wine,Christmas,Optimized,Valentine</t>
        </is>
      </c>
      <c r="J404" s="29" t="n">
        <v>59.97</v>
      </c>
      <c r="K404" s="30" t="n">
        <v>0.0005</v>
      </c>
      <c r="L404" s="29" t="n">
        <v>39.97999954223633</v>
      </c>
      <c r="M404" s="29" t="n">
        <v>0</v>
      </c>
      <c r="N404" s="2" t="n">
        <v>3</v>
      </c>
      <c r="O404" s="31" t="n">
        <v>24.69</v>
      </c>
      <c r="P404" s="32" t="n">
        <v>0.003</v>
      </c>
      <c r="Q404" s="32" t="n">
        <v>0.4117</v>
      </c>
      <c r="R404" s="32" t="n">
        <v>0.193</v>
      </c>
      <c r="S404" s="31" t="n">
        <v>1.46</v>
      </c>
      <c r="T404" s="32" t="n">
        <v>0.6899999999999999</v>
      </c>
      <c r="U404" s="31" t="n">
        <v>35.98</v>
      </c>
      <c r="V404" s="31" t="n">
        <v>35.98</v>
      </c>
      <c r="W404" s="3" t="n">
        <v>26014</v>
      </c>
      <c r="X404" s="3" t="n">
        <v>53</v>
      </c>
      <c r="Y404" s="32" t="n">
        <v>0.002</v>
      </c>
      <c r="Z404" s="3" t="n">
        <v>2</v>
      </c>
      <c r="AA404" s="32" t="n">
        <v>0.0377</v>
      </c>
      <c r="AB404" s="3" t="inlineStr">
        <is>
          <t>Auto Campaign_Vinay</t>
        </is>
      </c>
      <c r="AC404" s="31" t="n">
        <v>0.47</v>
      </c>
      <c r="AD404" s="2" t="n">
        <v>15</v>
      </c>
      <c r="AE404" s="2" t="n">
        <v>92</v>
      </c>
      <c r="AF404" s="4" t="n">
        <v>39</v>
      </c>
      <c r="AG404" s="33" t="n">
        <v>23.99</v>
      </c>
      <c r="AH404" s="4" t="n">
        <v>1</v>
      </c>
      <c r="AI404" s="34" t="n">
        <v>0.0256</v>
      </c>
      <c r="AJ404" s="34" t="n">
        <v>0.4</v>
      </c>
      <c r="AK404" s="2" t="n">
        <v>4905</v>
      </c>
      <c r="AL404" t="inlineStr">
        <is>
          <t>Published</t>
        </is>
      </c>
    </row>
    <row r="405">
      <c r="A405">
        <f>HYPERLINK("https://www.walmart.com/ip/545745830", "545745830")</f>
        <v/>
      </c>
      <c r="B405">
        <f>HYPERLINK("https://app.optiwise.ai/catalog/itemdetails/360947", "Solaris Women's Large Wide Brim Hat, UV Protection Sun Hat for Fishing, Gardening, Camping and Hiking, One Size, Green")</f>
        <v/>
      </c>
      <c r="C405" t="inlineStr">
        <is>
          <t>1SLSH911-GN</t>
        </is>
      </c>
      <c r="D405" t="inlineStr">
        <is>
          <t>Clothing</t>
        </is>
      </c>
      <c r="E405" t="inlineStr">
        <is>
          <t>Hats</t>
        </is>
      </c>
      <c r="F405" t="inlineStr">
        <is>
          <t>Solaris</t>
        </is>
      </c>
      <c r="G405" t="n">
        <v>4.1</v>
      </c>
      <c r="H405" t="n">
        <v>18</v>
      </c>
      <c r="I405" t="inlineStr">
        <is>
          <t>Q2-Target,Optimized,WFS,Hats,WFS Item</t>
        </is>
      </c>
      <c r="J405" s="29" t="n">
        <v>59.97</v>
      </c>
      <c r="K405" s="30" t="n">
        <v>0.0005</v>
      </c>
      <c r="L405" s="29" t="n">
        <v>26.97999954223633</v>
      </c>
      <c r="M405" s="29" t="n">
        <v>0</v>
      </c>
      <c r="N405" s="2" t="n">
        <v>3</v>
      </c>
      <c r="O405" s="31" t="n">
        <v>0</v>
      </c>
      <c r="P405" s="32" t="n"/>
      <c r="Q405" s="32" t="n">
        <v>0</v>
      </c>
      <c r="R405" s="32" t="n">
        <v>0.2401</v>
      </c>
      <c r="S405" s="31" t="n">
        <v>0</v>
      </c>
      <c r="T405" s="32" t="n">
        <v>0</v>
      </c>
      <c r="U405" s="31" t="n">
        <v>0</v>
      </c>
      <c r="V405" s="31" t="n">
        <v>0</v>
      </c>
      <c r="W405" s="3" t="n">
        <v>0</v>
      </c>
      <c r="X405" s="3" t="n">
        <v>0</v>
      </c>
      <c r="Y405" s="32" t="n">
        <v>0</v>
      </c>
      <c r="Z405" s="3" t="n">
        <v>0</v>
      </c>
      <c r="AA405" s="32" t="n">
        <v>0</v>
      </c>
      <c r="AB405" s="3" t="n"/>
      <c r="AC405" s="31" t="n">
        <v>0</v>
      </c>
      <c r="AD405" s="2" t="n">
        <v>16</v>
      </c>
      <c r="AE405" s="2" t="n">
        <v>43</v>
      </c>
      <c r="AF405" s="4" t="n">
        <v>43</v>
      </c>
      <c r="AG405" s="33" t="n">
        <v>59.97</v>
      </c>
      <c r="AH405" s="4" t="n">
        <v>3</v>
      </c>
      <c r="AI405" s="34" t="n">
        <v>0.0698</v>
      </c>
      <c r="AJ405" s="34" t="n">
        <v>1</v>
      </c>
      <c r="AK405" s="2" t="n">
        <v>0</v>
      </c>
      <c r="AL405" t="inlineStr">
        <is>
          <t>Published</t>
        </is>
      </c>
    </row>
    <row r="406">
      <c r="A406">
        <f>HYPERLINK("https://www.walmart.com/ip/129521857", "129521857")</f>
        <v/>
      </c>
      <c r="B406">
        <f>HYPERLINK("https://app.optiwise.ai/catalog/itemdetails/360262", "Flyingstar Surf Beach Changing Towel With Hood, Absorbent Microfiber Robe Poncho, Men &amp; Women, Pink")</f>
        <v/>
      </c>
      <c r="C406" t="inlineStr">
        <is>
          <t>1WMBR102-PB</t>
        </is>
      </c>
      <c r="D406" t="inlineStr">
        <is>
          <t>Home Decor, Kitchen, &amp; Other</t>
        </is>
      </c>
      <c r="E406" t="inlineStr">
        <is>
          <t>Towels &amp; Washcloths</t>
        </is>
      </c>
      <c r="F406" t="inlineStr">
        <is>
          <t>Flyingstar</t>
        </is>
      </c>
      <c r="G406" t="n">
        <v>0</v>
      </c>
      <c r="H406" t="n">
        <v>0</v>
      </c>
      <c r="I406" t="inlineStr">
        <is>
          <t>Batch 1 - TR</t>
        </is>
      </c>
      <c r="J406" s="29" t="n">
        <v>59.97</v>
      </c>
      <c r="K406" s="30" t="n">
        <v>0.0005</v>
      </c>
      <c r="L406" s="29" t="n">
        <v>0</v>
      </c>
      <c r="M406" s="29" t="n">
        <v>0</v>
      </c>
      <c r="N406" s="2" t="n">
        <v>3</v>
      </c>
      <c r="O406" s="31" t="n">
        <v>0</v>
      </c>
      <c r="P406" s="32" t="n"/>
      <c r="Q406" s="32" t="n">
        <v>0</v>
      </c>
      <c r="R406" s="32" t="n">
        <v>0</v>
      </c>
      <c r="S406" s="31" t="n">
        <v>0</v>
      </c>
      <c r="T406" s="32" t="n">
        <v>0</v>
      </c>
      <c r="U406" s="31" t="n">
        <v>0</v>
      </c>
      <c r="V406" s="31" t="n">
        <v>0</v>
      </c>
      <c r="W406" s="3" t="n">
        <v>0</v>
      </c>
      <c r="X406" s="3" t="n">
        <v>0</v>
      </c>
      <c r="Y406" s="32" t="n">
        <v>0</v>
      </c>
      <c r="Z406" s="3" t="n">
        <v>0</v>
      </c>
      <c r="AA406" s="32" t="n">
        <v>0</v>
      </c>
      <c r="AB406" s="3" t="n"/>
      <c r="AC406" s="31" t="n">
        <v>0</v>
      </c>
      <c r="AD406" s="2" t="n">
        <v>0</v>
      </c>
      <c r="AE406" s="2" t="n">
        <v>0</v>
      </c>
      <c r="AF406" s="4" t="n">
        <v>0</v>
      </c>
      <c r="AG406" s="33" t="n">
        <v>59.97</v>
      </c>
      <c r="AH406" s="4" t="n">
        <v>3</v>
      </c>
      <c r="AI406" s="34" t="n"/>
      <c r="AJ406" s="34" t="n">
        <v>1</v>
      </c>
      <c r="AK406" s="2" t="n">
        <v>4590</v>
      </c>
      <c r="AL406" t="inlineStr">
        <is>
          <t>Published</t>
        </is>
      </c>
    </row>
    <row r="407">
      <c r="A407">
        <f>HYPERLINK("https://www.walmart.com/ip/429541623", "429541623")</f>
        <v/>
      </c>
      <c r="B407">
        <f>HYPERLINK("https://app.optiwise.ai/catalog/itemdetails/360510", "Tirrinia Surf Beach Changing Towel With Hood, Absorbent Microfiber Robe Poncho, Men &amp; Women, Pink")</f>
        <v/>
      </c>
      <c r="C407" t="inlineStr">
        <is>
          <t>1TRBR100-PB</t>
        </is>
      </c>
      <c r="D407" t="inlineStr">
        <is>
          <t>Clothing</t>
        </is>
      </c>
      <c r="E407" t="inlineStr">
        <is>
          <t>Towels &amp; Washcloths</t>
        </is>
      </c>
      <c r="F407" t="inlineStr">
        <is>
          <t>Tirrinia</t>
        </is>
      </c>
      <c r="G407" t="n">
        <v>0</v>
      </c>
      <c r="H407" t="n">
        <v>0</v>
      </c>
      <c r="J407" s="29" t="n">
        <v>59.97</v>
      </c>
      <c r="K407" s="30" t="n">
        <v>0.0005</v>
      </c>
      <c r="L407" s="29" t="n">
        <v>0</v>
      </c>
      <c r="M407" s="29" t="n">
        <v>0</v>
      </c>
      <c r="N407" s="2" t="n">
        <v>3</v>
      </c>
      <c r="O407" s="31" t="n">
        <v>0</v>
      </c>
      <c r="P407" s="32" t="n"/>
      <c r="Q407" s="32" t="n">
        <v>0</v>
      </c>
      <c r="R407" s="32" t="n">
        <v>0</v>
      </c>
      <c r="S407" s="31" t="n">
        <v>0</v>
      </c>
      <c r="T407" s="32" t="n">
        <v>0</v>
      </c>
      <c r="U407" s="31" t="n">
        <v>0</v>
      </c>
      <c r="V407" s="31" t="n">
        <v>0</v>
      </c>
      <c r="W407" s="3" t="n">
        <v>0</v>
      </c>
      <c r="X407" s="3" t="n">
        <v>0</v>
      </c>
      <c r="Y407" s="32" t="n">
        <v>0</v>
      </c>
      <c r="Z407" s="3" t="n">
        <v>0</v>
      </c>
      <c r="AA407" s="32" t="n">
        <v>0</v>
      </c>
      <c r="AB407" s="3" t="n"/>
      <c r="AC407" s="31" t="n">
        <v>0</v>
      </c>
      <c r="AD407" s="2" t="n">
        <v>22</v>
      </c>
      <c r="AE407" s="2" t="n">
        <v>64</v>
      </c>
      <c r="AF407" s="4" t="n">
        <v>64</v>
      </c>
      <c r="AG407" s="33" t="n">
        <v>59.97</v>
      </c>
      <c r="AH407" s="4" t="n">
        <v>3</v>
      </c>
      <c r="AI407" s="34" t="n">
        <v>0.0469</v>
      </c>
      <c r="AJ407" s="34" t="n">
        <v>1</v>
      </c>
      <c r="AK407" s="2" t="n">
        <v>4500</v>
      </c>
      <c r="AL407" t="inlineStr">
        <is>
          <t>Published</t>
        </is>
      </c>
    </row>
    <row r="408">
      <c r="A408">
        <f>HYPERLINK("https://www.walmart.com/ip/10282257020", "10282257020")</f>
        <v/>
      </c>
      <c r="B408">
        <f>HYPERLINK("https://app.optiwise.ai/catalog/itemdetails/10031996", "Wrangler Men’s Leather Country Casual Every Day Dress Belt for Jeans, Khakis Light Brown 42")</f>
        <v/>
      </c>
      <c r="C408" t="inlineStr">
        <is>
          <t>WR-BELT-MENS-COUNTRY-LTBROWN-42</t>
        </is>
      </c>
      <c r="D408" t="inlineStr">
        <is>
          <t>Clothing</t>
        </is>
      </c>
      <c r="E408" t="inlineStr">
        <is>
          <t>Belts</t>
        </is>
      </c>
      <c r="F408" t="inlineStr">
        <is>
          <t>Wrangler</t>
        </is>
      </c>
      <c r="G408" t="n">
        <v>0</v>
      </c>
      <c r="H408" t="n">
        <v>0</v>
      </c>
      <c r="I408" t="inlineStr">
        <is>
          <t>Belts</t>
        </is>
      </c>
      <c r="J408" s="29" t="n">
        <v>59.97</v>
      </c>
      <c r="K408" s="30" t="n">
        <v>0.0005</v>
      </c>
      <c r="L408" s="29" t="n">
        <v>0</v>
      </c>
      <c r="M408" s="29" t="n">
        <v>0</v>
      </c>
      <c r="N408" s="2" t="n">
        <v>3</v>
      </c>
      <c r="O408" s="31" t="n">
        <v>0</v>
      </c>
      <c r="P408" s="32" t="n"/>
      <c r="Q408" s="32" t="n">
        <v>0</v>
      </c>
      <c r="R408" s="32" t="n">
        <v>0.1305</v>
      </c>
      <c r="S408" s="31" t="n">
        <v>0</v>
      </c>
      <c r="T408" s="32" t="n">
        <v>0</v>
      </c>
      <c r="U408" s="31" t="n">
        <v>0</v>
      </c>
      <c r="V408" s="31" t="n">
        <v>0</v>
      </c>
      <c r="W408" s="3" t="n">
        <v>547</v>
      </c>
      <c r="X408" s="3" t="n">
        <v>0</v>
      </c>
      <c r="Y408" s="32" t="n">
        <v>0</v>
      </c>
      <c r="Z408" s="3" t="n">
        <v>0</v>
      </c>
      <c r="AA408" s="32" t="n">
        <v>0</v>
      </c>
      <c r="AB408" s="3" t="inlineStr">
        <is>
          <t>Belts Manual_Optiwise,Belts_Auto_Optiwise</t>
        </is>
      </c>
      <c r="AC408" s="31" t="n">
        <v>0</v>
      </c>
      <c r="AD408" s="2" t="n">
        <v>0</v>
      </c>
      <c r="AE408" s="2" t="n">
        <v>34</v>
      </c>
      <c r="AF408" s="4" t="n">
        <v>34</v>
      </c>
      <c r="AG408" s="33" t="n">
        <v>59.97</v>
      </c>
      <c r="AH408" s="4" t="n">
        <v>3</v>
      </c>
      <c r="AI408" s="34" t="n">
        <v>0.0882</v>
      </c>
      <c r="AJ408" s="34" t="n">
        <v>1</v>
      </c>
      <c r="AK408" s="2" t="n">
        <v>675</v>
      </c>
      <c r="AL408" t="inlineStr">
        <is>
          <t>Published</t>
        </is>
      </c>
    </row>
    <row r="409">
      <c r="A409">
        <f>HYPERLINK("https://www.walmart.com/ip/127358445", "127358445")</f>
        <v/>
      </c>
      <c r="B409">
        <f>HYPERLINK("https://app.optiwise.ai/catalog/itemdetails/362419", "Solaris Unisex Large Bill Flap Sun Hat Camping Hiking Hunting Fishing Cap")</f>
        <v/>
      </c>
      <c r="C409" t="inlineStr">
        <is>
          <t>1SLSH911OL</t>
        </is>
      </c>
      <c r="D409" t="inlineStr">
        <is>
          <t>Clothing</t>
        </is>
      </c>
      <c r="E409" t="inlineStr">
        <is>
          <t>Hats</t>
        </is>
      </c>
      <c r="F409" t="inlineStr">
        <is>
          <t>Solaris</t>
        </is>
      </c>
      <c r="G409" t="n">
        <v>3.7</v>
      </c>
      <c r="H409" t="n">
        <v>3</v>
      </c>
      <c r="I409" t="inlineStr">
        <is>
          <t>Q2-Target,Hats,Batch 1 - TR</t>
        </is>
      </c>
      <c r="J409" s="29" t="n">
        <v>59.97</v>
      </c>
      <c r="K409" s="30" t="n">
        <v>0.0005</v>
      </c>
      <c r="L409" s="29" t="n">
        <v>0</v>
      </c>
      <c r="M409" s="29" t="n">
        <v>19.98999977111816</v>
      </c>
      <c r="N409" s="2" t="n">
        <v>3</v>
      </c>
      <c r="O409" s="31" t="n">
        <v>1.25</v>
      </c>
      <c r="P409" s="32" t="n">
        <v>0.0001</v>
      </c>
      <c r="Q409" s="32" t="n">
        <v>0.0208</v>
      </c>
      <c r="R409" s="32" t="n">
        <v>0.5829</v>
      </c>
      <c r="S409" s="31" t="n">
        <v>0</v>
      </c>
      <c r="T409" s="32" t="n">
        <v>0</v>
      </c>
      <c r="U409" s="31" t="n">
        <v>0</v>
      </c>
      <c r="V409" s="31" t="n">
        <v>0</v>
      </c>
      <c r="W409" s="3" t="n">
        <v>10480</v>
      </c>
      <c r="X409" s="3" t="n">
        <v>6</v>
      </c>
      <c r="Y409" s="32" t="n">
        <v>0.0005999999999999999</v>
      </c>
      <c r="Z409" s="3" t="n">
        <v>0</v>
      </c>
      <c r="AA409" s="32" t="n">
        <v>0</v>
      </c>
      <c r="AB409" s="3" t="inlineStr">
        <is>
          <t>Auto for Top sale---Rachel</t>
        </is>
      </c>
      <c r="AC409" s="31" t="n">
        <v>0.21</v>
      </c>
      <c r="AD409" s="2" t="n">
        <v>16</v>
      </c>
      <c r="AE409" s="2" t="n">
        <v>53</v>
      </c>
      <c r="AF409" s="4" t="n">
        <v>47</v>
      </c>
      <c r="AG409" s="33" t="n">
        <v>59.97</v>
      </c>
      <c r="AH409" s="4" t="n">
        <v>3</v>
      </c>
      <c r="AI409" s="34" t="n">
        <v>0.0638</v>
      </c>
      <c r="AJ409" s="34" t="n">
        <v>1</v>
      </c>
      <c r="AK409" s="2" t="n">
        <v>4500</v>
      </c>
      <c r="AL409" t="inlineStr">
        <is>
          <t>Published</t>
        </is>
      </c>
    </row>
    <row r="410">
      <c r="A410">
        <f>HYPERLINK("https://www.walmart.com/ip/10291750201", "10291750201")</f>
        <v/>
      </c>
      <c r="B410">
        <f>HYPERLINK("https://app.optiwise.ai/catalog/itemdetails/10031989", "Wrangler Men’s Full Grain Genuine Leather 35mm Thick Casual Belt for Jeans, Pants - Light Brown, 38")</f>
        <v/>
      </c>
      <c r="C410" t="inlineStr">
        <is>
          <t>WR-BELT-MENS-35MM-LTBROWN-38</t>
        </is>
      </c>
      <c r="D410" t="inlineStr">
        <is>
          <t>Clothing</t>
        </is>
      </c>
      <c r="E410" t="inlineStr">
        <is>
          <t>Belts</t>
        </is>
      </c>
      <c r="F410" t="inlineStr">
        <is>
          <t>Wrangler</t>
        </is>
      </c>
      <c r="G410" t="n">
        <v>0</v>
      </c>
      <c r="H410" t="n">
        <v>0</v>
      </c>
      <c r="I410" t="inlineStr">
        <is>
          <t>Belts</t>
        </is>
      </c>
      <c r="J410" s="29" t="n">
        <v>59.97</v>
      </c>
      <c r="K410" s="30" t="n">
        <v>0.0005</v>
      </c>
      <c r="L410" s="29" t="n">
        <v>19.98999977111816</v>
      </c>
      <c r="M410" s="29" t="n">
        <v>0</v>
      </c>
      <c r="N410" s="2" t="n">
        <v>3</v>
      </c>
      <c r="O410" s="31" t="n">
        <v>0</v>
      </c>
      <c r="P410" s="32" t="n"/>
      <c r="Q410" s="32" t="n">
        <v>0</v>
      </c>
      <c r="R410" s="32" t="n">
        <v>0</v>
      </c>
      <c r="S410" s="31" t="n">
        <v>0</v>
      </c>
      <c r="T410" s="32" t="n">
        <v>0</v>
      </c>
      <c r="U410" s="31" t="n">
        <v>0</v>
      </c>
      <c r="V410" s="31" t="n">
        <v>0</v>
      </c>
      <c r="W410" s="3" t="n">
        <v>0</v>
      </c>
      <c r="X410" s="3" t="n">
        <v>0</v>
      </c>
      <c r="Y410" s="32" t="n">
        <v>0</v>
      </c>
      <c r="Z410" s="3" t="n">
        <v>0</v>
      </c>
      <c r="AA410" s="32" t="n">
        <v>0</v>
      </c>
      <c r="AB410" s="3" t="n"/>
      <c r="AC410" s="31" t="n">
        <v>0</v>
      </c>
      <c r="AD410" s="2" t="n">
        <v>0</v>
      </c>
      <c r="AE410" s="2" t="n">
        <v>30</v>
      </c>
      <c r="AF410" s="4" t="n">
        <v>30</v>
      </c>
      <c r="AG410" s="33" t="n">
        <v>59.97</v>
      </c>
      <c r="AH410" s="4" t="n">
        <v>3</v>
      </c>
      <c r="AI410" s="34" t="n">
        <v>0.1</v>
      </c>
      <c r="AJ410" s="34" t="n">
        <v>1</v>
      </c>
      <c r="AK410" s="2" t="n">
        <v>1350</v>
      </c>
      <c r="AL410" t="inlineStr">
        <is>
          <t>Published</t>
        </is>
      </c>
    </row>
    <row r="411">
      <c r="A411">
        <f>HYPERLINK("https://www.walmart.com/ip/5982782258", "5982782258")</f>
        <v/>
      </c>
      <c r="B411">
        <f>HYPERLINK("https://app.optiwise.ai/catalog/itemdetails/10031971", "Wrangler Men’s Full Grain Genuine Leather 35mm Thick Casual Belt for Jeans, Pants - Brown, 42")</f>
        <v/>
      </c>
      <c r="C411" t="inlineStr">
        <is>
          <t>WR-BELT-MENS-35MM-BROWN-42</t>
        </is>
      </c>
      <c r="D411" t="inlineStr">
        <is>
          <t>Clothing</t>
        </is>
      </c>
      <c r="E411" t="inlineStr">
        <is>
          <t>Belts</t>
        </is>
      </c>
      <c r="F411" t="inlineStr">
        <is>
          <t>Wrangler</t>
        </is>
      </c>
      <c r="G411" t="n">
        <v>0</v>
      </c>
      <c r="H411" t="n">
        <v>0</v>
      </c>
      <c r="J411" s="29" t="n">
        <v>59.97</v>
      </c>
      <c r="K411" s="30" t="n">
        <v>0.0005</v>
      </c>
      <c r="L411" s="29" t="n">
        <v>0</v>
      </c>
      <c r="M411" s="29" t="n">
        <v>0</v>
      </c>
      <c r="N411" s="2" t="n">
        <v>3</v>
      </c>
      <c r="O411" s="31" t="n">
        <v>0</v>
      </c>
      <c r="P411" s="32" t="n"/>
      <c r="Q411" s="32" t="n">
        <v>0</v>
      </c>
      <c r="R411" s="32" t="n">
        <v>0</v>
      </c>
      <c r="S411" s="31" t="n">
        <v>0</v>
      </c>
      <c r="T411" s="32" t="n">
        <v>0</v>
      </c>
      <c r="U411" s="31" t="n">
        <v>0</v>
      </c>
      <c r="V411" s="31" t="n">
        <v>0</v>
      </c>
      <c r="W411" s="3" t="n">
        <v>0</v>
      </c>
      <c r="X411" s="3" t="n">
        <v>0</v>
      </c>
      <c r="Y411" s="32" t="n">
        <v>0</v>
      </c>
      <c r="Z411" s="3" t="n">
        <v>0</v>
      </c>
      <c r="AA411" s="32" t="n">
        <v>0</v>
      </c>
      <c r="AB411" s="3" t="n"/>
      <c r="AC411" s="31" t="n">
        <v>0</v>
      </c>
      <c r="AD411" s="2" t="n">
        <v>0</v>
      </c>
      <c r="AE411" s="2" t="n">
        <v>34</v>
      </c>
      <c r="AF411" s="4" t="n">
        <v>34</v>
      </c>
      <c r="AG411" s="33" t="n">
        <v>59.97</v>
      </c>
      <c r="AH411" s="4" t="n">
        <v>3</v>
      </c>
      <c r="AI411" s="34" t="n">
        <v>0.0882</v>
      </c>
      <c r="AJ411" s="34" t="n">
        <v>1</v>
      </c>
      <c r="AK411" s="2" t="n">
        <v>4500</v>
      </c>
      <c r="AL411" t="inlineStr">
        <is>
          <t>Published</t>
        </is>
      </c>
    </row>
    <row r="412">
      <c r="A412">
        <f>HYPERLINK("https://www.walmart.com/ip/15463062376", "15463062376")</f>
        <v/>
      </c>
      <c r="B412">
        <f>HYPERLINK("https://app.optiwise.ai/catalog/itemdetails/20125653", "Wrangler Men’s Leather Embossed Logo Casual Every Day Belt for Jeans, Khakis Brown")</f>
        <v/>
      </c>
      <c r="C412" t="inlineStr">
        <is>
          <t>WR-BELT-MENS-EMBOSSED-BROWN-42</t>
        </is>
      </c>
      <c r="D412" t="inlineStr">
        <is>
          <t>Clothing</t>
        </is>
      </c>
      <c r="E412" t="inlineStr">
        <is>
          <t>Belts</t>
        </is>
      </c>
      <c r="F412" t="inlineStr">
        <is>
          <t>Wrangler</t>
        </is>
      </c>
      <c r="G412" t="n">
        <v>0</v>
      </c>
      <c r="H412" t="n">
        <v>0</v>
      </c>
      <c r="J412" s="29" t="n">
        <v>59.97</v>
      </c>
      <c r="K412" s="30" t="n">
        <v>0.0005</v>
      </c>
      <c r="L412" s="29" t="n">
        <v>0</v>
      </c>
      <c r="M412" s="29" t="n">
        <v>0</v>
      </c>
      <c r="N412" s="2" t="n">
        <v>3</v>
      </c>
      <c r="O412" s="31" t="n">
        <v>0</v>
      </c>
      <c r="P412" s="32" t="n"/>
      <c r="Q412" s="32" t="n">
        <v>0</v>
      </c>
      <c r="R412" s="32" t="n">
        <v>0</v>
      </c>
      <c r="S412" s="31" t="n">
        <v>0</v>
      </c>
      <c r="T412" s="32" t="n">
        <v>0</v>
      </c>
      <c r="U412" s="31" t="n">
        <v>0</v>
      </c>
      <c r="V412" s="31" t="n">
        <v>0</v>
      </c>
      <c r="W412" s="3" t="n">
        <v>0</v>
      </c>
      <c r="X412" s="3" t="n">
        <v>0</v>
      </c>
      <c r="Y412" s="32" t="n">
        <v>0</v>
      </c>
      <c r="Z412" s="3" t="n">
        <v>0</v>
      </c>
      <c r="AA412" s="32" t="n">
        <v>0</v>
      </c>
      <c r="AB412" s="3" t="n"/>
      <c r="AC412" s="31" t="n">
        <v>0</v>
      </c>
      <c r="AD412" s="2" t="n">
        <v>0</v>
      </c>
      <c r="AE412" s="2" t="n">
        <v>0</v>
      </c>
      <c r="AF412" s="4" t="n">
        <v>0</v>
      </c>
      <c r="AG412" s="33" t="n">
        <v>59.97</v>
      </c>
      <c r="AH412" s="4" t="n">
        <v>3</v>
      </c>
      <c r="AI412" s="34" t="n"/>
      <c r="AJ412" s="34" t="n">
        <v>1</v>
      </c>
      <c r="AK412" s="2" t="n">
        <v>4500</v>
      </c>
      <c r="AL412" t="inlineStr">
        <is>
          <t>Published</t>
        </is>
      </c>
    </row>
    <row r="413">
      <c r="A413">
        <f>HYPERLINK("https://www.walmart.com/ip/121318314", "121318314")</f>
        <v/>
      </c>
      <c r="B413">
        <f>HYPERLINK("https://app.optiwise.ai/catalog/itemdetails/362483", "Terra Baby Mommy Designer Shoulder Diaper Bag Set, Classic Black/White Dot, 19.5 L x 6 W x 13.5 H")</f>
        <v/>
      </c>
      <c r="C413" t="inlineStr">
        <is>
          <t>TERRABB-CB02-CC</t>
        </is>
      </c>
      <c r="D413" t="inlineStr">
        <is>
          <t>Baby Diapering, Care, &amp; Other</t>
        </is>
      </c>
      <c r="E413" t="inlineStr">
        <is>
          <t>Diaper Bags</t>
        </is>
      </c>
      <c r="F413" t="inlineStr">
        <is>
          <t>Terra Baby</t>
        </is>
      </c>
      <c r="G413" t="n">
        <v>4.3</v>
      </c>
      <c r="H413" t="n">
        <v>16</v>
      </c>
      <c r="I413" t="inlineStr">
        <is>
          <t>Baby days,Optimized</t>
        </is>
      </c>
      <c r="J413" s="29" t="n">
        <v>59.96</v>
      </c>
      <c r="K413" s="30" t="n">
        <v>0.0005</v>
      </c>
      <c r="L413" s="29" t="n">
        <v>119.5599975585938</v>
      </c>
      <c r="M413" s="29" t="n">
        <v>0</v>
      </c>
      <c r="N413" s="2" t="n">
        <v>2</v>
      </c>
      <c r="O413" s="31" t="n">
        <v>0</v>
      </c>
      <c r="P413" s="32" t="n"/>
      <c r="Q413" s="32" t="n">
        <v>0</v>
      </c>
      <c r="R413" s="32" t="n">
        <v>0</v>
      </c>
      <c r="S413" s="31" t="n">
        <v>0</v>
      </c>
      <c r="T413" s="32" t="n">
        <v>0</v>
      </c>
      <c r="U413" s="31" t="n">
        <v>0</v>
      </c>
      <c r="V413" s="31" t="n">
        <v>0</v>
      </c>
      <c r="W413" s="3" t="n">
        <v>0</v>
      </c>
      <c r="X413" s="3" t="n">
        <v>0</v>
      </c>
      <c r="Y413" s="32" t="n">
        <v>0</v>
      </c>
      <c r="Z413" s="3" t="n">
        <v>0</v>
      </c>
      <c r="AA413" s="32" t="n">
        <v>0</v>
      </c>
      <c r="AB413" s="3" t="n"/>
      <c r="AC413" s="31" t="n">
        <v>0</v>
      </c>
      <c r="AD413" s="2" t="n">
        <v>5</v>
      </c>
      <c r="AE413" s="2" t="n">
        <v>173</v>
      </c>
      <c r="AF413" s="4" t="n">
        <v>173</v>
      </c>
      <c r="AG413" s="33" t="n">
        <v>59.96</v>
      </c>
      <c r="AH413" s="4" t="n">
        <v>2</v>
      </c>
      <c r="AI413" s="34" t="n">
        <v>0.0116</v>
      </c>
      <c r="AJ413" s="34" t="n">
        <v>1</v>
      </c>
      <c r="AK413" s="2" t="n">
        <v>1012</v>
      </c>
      <c r="AL413" t="inlineStr">
        <is>
          <t>Published</t>
        </is>
      </c>
    </row>
    <row r="414">
      <c r="A414">
        <f>HYPERLINK("https://www.walmart.com/ip/1419081868", "1419081868")</f>
        <v/>
      </c>
      <c r="B414">
        <f>HYPERLINK("https://app.optiwise.ai/catalog/itemdetails/933377", "Catalonia Reversible Soft Breathable Summer Comforter,Unisex Lightweight Cooling Blanket for Hot Sleepers, Summer Duvet for Bed Sofa Office, 50x60 inches, Aqua")</f>
        <v/>
      </c>
      <c r="C414" t="inlineStr">
        <is>
          <t>1CTBQ100AQ</t>
        </is>
      </c>
      <c r="D414" t="inlineStr">
        <is>
          <t>Bedding</t>
        </is>
      </c>
      <c r="E414" t="inlineStr">
        <is>
          <t>Bed Blankets</t>
        </is>
      </c>
      <c r="F414" t="inlineStr">
        <is>
          <t>Catalonia</t>
        </is>
      </c>
      <c r="G414" t="n">
        <v>0</v>
      </c>
      <c r="H414" t="n">
        <v>0</v>
      </c>
      <c r="I414" t="inlineStr">
        <is>
          <t>Batch 1 - TR</t>
        </is>
      </c>
      <c r="J414" s="29" t="n">
        <v>59.94</v>
      </c>
      <c r="K414" s="30" t="n">
        <v>0.0005</v>
      </c>
      <c r="L414" s="29" t="n">
        <v>0</v>
      </c>
      <c r="M414" s="29" t="n">
        <v>0</v>
      </c>
      <c r="N414" s="2" t="n">
        <v>3</v>
      </c>
      <c r="O414" s="31" t="n">
        <v>0</v>
      </c>
      <c r="P414" s="32" t="n"/>
      <c r="Q414" s="32" t="n">
        <v>0</v>
      </c>
      <c r="R414" s="32" t="n">
        <v>0</v>
      </c>
      <c r="S414" s="31" t="n">
        <v>0</v>
      </c>
      <c r="T414" s="32" t="n">
        <v>0</v>
      </c>
      <c r="U414" s="31" t="n">
        <v>0</v>
      </c>
      <c r="V414" s="31" t="n">
        <v>0</v>
      </c>
      <c r="W414" s="3" t="n">
        <v>0</v>
      </c>
      <c r="X414" s="3" t="n">
        <v>0</v>
      </c>
      <c r="Y414" s="32" t="n">
        <v>0</v>
      </c>
      <c r="Z414" s="3" t="n">
        <v>0</v>
      </c>
      <c r="AA414" s="32" t="n">
        <v>0</v>
      </c>
      <c r="AB414" s="3" t="n"/>
      <c r="AC414" s="31" t="n">
        <v>0</v>
      </c>
      <c r="AD414" s="2" t="n">
        <v>0</v>
      </c>
      <c r="AE414" s="2" t="n">
        <v>23</v>
      </c>
      <c r="AF414" s="4" t="n">
        <v>23</v>
      </c>
      <c r="AG414" s="33" t="n">
        <v>59.94</v>
      </c>
      <c r="AH414" s="4" t="n">
        <v>3</v>
      </c>
      <c r="AI414" s="34" t="n">
        <v>0.1304</v>
      </c>
      <c r="AJ414" s="34" t="n">
        <v>1</v>
      </c>
      <c r="AK414" s="2" t="n">
        <v>4500</v>
      </c>
      <c r="AL414" t="inlineStr">
        <is>
          <t>Published</t>
        </is>
      </c>
    </row>
    <row r="415">
      <c r="A415">
        <f>HYPERLINK("https://www.walmart.com/ip/3289036681", "3289036681")</f>
        <v/>
      </c>
      <c r="B415">
        <f>HYPERLINK("https://app.optiwise.ai/catalog/itemdetails/7388660", "Tirrinia Insulated Lunch Bag for Women Men, Double-Layer Leak-Proof Reusable Lunch Box with 4 Pockets for Adult Kids, Lunch Bag Cooler Tote for Office Work, Back to School, Dark Blue")</f>
        <v/>
      </c>
      <c r="C415" t="inlineStr">
        <is>
          <t>1TRLB702DBL-D</t>
        </is>
      </c>
      <c r="D415" t="inlineStr">
        <is>
          <t>Home Decor, Kitchen, &amp; Other</t>
        </is>
      </c>
      <c r="E415" t="inlineStr">
        <is>
          <t>Reusable Lunch Bags &amp; Boxes</t>
        </is>
      </c>
      <c r="F415" t="inlineStr">
        <is>
          <t>Tirrinia</t>
        </is>
      </c>
      <c r="G415" t="n">
        <v>4.5</v>
      </c>
      <c r="H415" t="n">
        <v>44</v>
      </c>
      <c r="I415" t="inlineStr">
        <is>
          <t>Q2-Target</t>
        </is>
      </c>
      <c r="J415" s="29" t="n">
        <v>59.58</v>
      </c>
      <c r="K415" s="30" t="n">
        <v>0.0005</v>
      </c>
      <c r="L415" s="29" t="n">
        <v>0</v>
      </c>
      <c r="M415" s="29" t="n">
        <v>0</v>
      </c>
      <c r="N415" s="2" t="n">
        <v>4</v>
      </c>
      <c r="O415" s="31" t="n">
        <v>0</v>
      </c>
      <c r="P415" s="32" t="n"/>
      <c r="Q415" s="32" t="n">
        <v>0</v>
      </c>
      <c r="R415" s="32" t="n">
        <v>0.0428</v>
      </c>
      <c r="S415" s="31" t="n">
        <v>0</v>
      </c>
      <c r="T415" s="32" t="n">
        <v>0</v>
      </c>
      <c r="U415" s="31" t="n">
        <v>0</v>
      </c>
      <c r="V415" s="31" t="n">
        <v>0</v>
      </c>
      <c r="W415" s="3" t="n">
        <v>0</v>
      </c>
      <c r="X415" s="3" t="n">
        <v>0</v>
      </c>
      <c r="Y415" s="32" t="n">
        <v>0</v>
      </c>
      <c r="Z415" s="3" t="n">
        <v>0</v>
      </c>
      <c r="AA415" s="32" t="n">
        <v>0</v>
      </c>
      <c r="AB415" s="3" t="n"/>
      <c r="AC415" s="31" t="n">
        <v>0</v>
      </c>
      <c r="AD415" s="2" t="n">
        <v>0</v>
      </c>
      <c r="AE415" s="2" t="n">
        <v>111</v>
      </c>
      <c r="AF415" s="4" t="n">
        <v>111</v>
      </c>
      <c r="AG415" s="33" t="n">
        <v>59.58</v>
      </c>
      <c r="AH415" s="4" t="n">
        <v>4</v>
      </c>
      <c r="AI415" s="34" t="n">
        <v>0.036</v>
      </c>
      <c r="AJ415" s="34" t="n">
        <v>1</v>
      </c>
      <c r="AK415" s="2" t="n">
        <v>3577</v>
      </c>
      <c r="AL415" t="inlineStr">
        <is>
          <t>Published</t>
        </is>
      </c>
    </row>
    <row r="416">
      <c r="A416">
        <f>HYPERLINK("https://www.walmart.com/ip/5373928874", "5373928874")</f>
        <v/>
      </c>
      <c r="B416">
        <f>HYPERLINK("https://app.optiwise.ai/catalog/itemdetails/8056325", "Tirrinia Golf Cooler Bag - Golf Accessories Small 5 Cans Insulated Cooler Sleeve with Storage Pocket")</f>
        <v/>
      </c>
      <c r="C416" t="inlineStr">
        <is>
          <t>1TRCB00205BK</t>
        </is>
      </c>
      <c r="D416" t="inlineStr">
        <is>
          <t>Sport &amp; Recreation Other</t>
        </is>
      </c>
      <c r="E416" t="inlineStr">
        <is>
          <t>Thermocoolers</t>
        </is>
      </c>
      <c r="F416" t="inlineStr">
        <is>
          <t>Tirrinia</t>
        </is>
      </c>
      <c r="G416" t="n">
        <v>0</v>
      </c>
      <c r="H416" t="n">
        <v>0</v>
      </c>
      <c r="J416" s="29" t="n">
        <v>58.35</v>
      </c>
      <c r="K416" s="30" t="n">
        <v>0.0005</v>
      </c>
      <c r="L416" s="29" t="n">
        <v>38.90000152587891</v>
      </c>
      <c r="M416" s="29" t="n">
        <v>0</v>
      </c>
      <c r="N416" s="2" t="n">
        <v>3</v>
      </c>
      <c r="O416" s="31" t="n">
        <v>0</v>
      </c>
      <c r="P416" s="32" t="n"/>
      <c r="Q416" s="32" t="n">
        <v>0</v>
      </c>
      <c r="R416" s="32" t="n">
        <v>0</v>
      </c>
      <c r="S416" s="31" t="n">
        <v>0</v>
      </c>
      <c r="T416" s="32" t="n">
        <v>0</v>
      </c>
      <c r="U416" s="31" t="n">
        <v>0</v>
      </c>
      <c r="V416" s="31" t="n">
        <v>0</v>
      </c>
      <c r="W416" s="3" t="n">
        <v>0</v>
      </c>
      <c r="X416" s="3" t="n">
        <v>0</v>
      </c>
      <c r="Y416" s="32" t="n">
        <v>0</v>
      </c>
      <c r="Z416" s="3" t="n">
        <v>0</v>
      </c>
      <c r="AA416" s="32" t="n">
        <v>0</v>
      </c>
      <c r="AB416" s="3" t="n"/>
      <c r="AC416" s="31" t="n">
        <v>0</v>
      </c>
      <c r="AD416" s="2" t="n">
        <v>0</v>
      </c>
      <c r="AE416" s="2" t="n">
        <v>79</v>
      </c>
      <c r="AF416" s="4" t="n">
        <v>79</v>
      </c>
      <c r="AG416" s="33" t="n">
        <v>58.35</v>
      </c>
      <c r="AH416" s="4" t="n">
        <v>3</v>
      </c>
      <c r="AI416" s="34" t="n">
        <v>0.038</v>
      </c>
      <c r="AJ416" s="34" t="n">
        <v>1</v>
      </c>
      <c r="AK416" s="2" t="n">
        <v>4500</v>
      </c>
      <c r="AL416" t="inlineStr">
        <is>
          <t>Published</t>
        </is>
      </c>
    </row>
    <row r="417">
      <c r="A417">
        <f>HYPERLINK("https://www.walmart.com/ip/10298018192", "10298018192")</f>
        <v/>
      </c>
      <c r="B417">
        <f>HYPERLINK("https://app.optiwise.ai/catalog/itemdetails/10032009", "Wrangler Men’s Leather Country Casual Every Day Dress Belt for Jeans, Khakis Brown 44")</f>
        <v/>
      </c>
      <c r="C417" t="inlineStr">
        <is>
          <t>WR-BELT-MENS-COUNTRY-BROWN-44</t>
        </is>
      </c>
      <c r="D417" t="inlineStr">
        <is>
          <t>Clothing</t>
        </is>
      </c>
      <c r="E417" t="inlineStr">
        <is>
          <t>Belts</t>
        </is>
      </c>
      <c r="F417" t="inlineStr">
        <is>
          <t>Wrangler</t>
        </is>
      </c>
      <c r="G417" t="n">
        <v>4.5</v>
      </c>
      <c r="H417" t="n">
        <v>0</v>
      </c>
      <c r="I417" t="inlineStr">
        <is>
          <t>Belts</t>
        </is>
      </c>
      <c r="J417" s="29" t="n">
        <v>56.98</v>
      </c>
      <c r="K417" s="30" t="n">
        <v>0.0005</v>
      </c>
      <c r="L417" s="29" t="n">
        <v>22.97999954223633</v>
      </c>
      <c r="M417" s="29" t="n">
        <v>0</v>
      </c>
      <c r="N417" s="2" t="n">
        <v>3</v>
      </c>
      <c r="O417" s="31" t="n">
        <v>0</v>
      </c>
      <c r="P417" s="32" t="n"/>
      <c r="Q417" s="32" t="n">
        <v>0</v>
      </c>
      <c r="R417" s="32" t="n">
        <v>0.0766</v>
      </c>
      <c r="S417" s="31" t="n">
        <v>0</v>
      </c>
      <c r="T417" s="32" t="n">
        <v>0</v>
      </c>
      <c r="U417" s="31" t="n">
        <v>0</v>
      </c>
      <c r="V417" s="31" t="n">
        <v>0</v>
      </c>
      <c r="W417" s="3" t="n">
        <v>341</v>
      </c>
      <c r="X417" s="3" t="n">
        <v>0</v>
      </c>
      <c r="Y417" s="32" t="n">
        <v>0</v>
      </c>
      <c r="Z417" s="3" t="n">
        <v>0</v>
      </c>
      <c r="AA417" s="32" t="n">
        <v>0</v>
      </c>
      <c r="AB417" s="3" t="inlineStr">
        <is>
          <t>Belts Manual_Optiwise,Belts_Auto_Optiwise</t>
        </is>
      </c>
      <c r="AC417" s="31" t="n">
        <v>0</v>
      </c>
      <c r="AD417" s="2" t="n">
        <v>0</v>
      </c>
      <c r="AE417" s="2" t="n">
        <v>91</v>
      </c>
      <c r="AF417" s="4" t="n">
        <v>91</v>
      </c>
      <c r="AG417" s="33" t="n">
        <v>56.98</v>
      </c>
      <c r="AH417" s="4" t="n">
        <v>3</v>
      </c>
      <c r="AI417" s="34" t="n">
        <v>0.033</v>
      </c>
      <c r="AJ417" s="34" t="n">
        <v>1</v>
      </c>
      <c r="AK417" s="2" t="n">
        <v>4500</v>
      </c>
      <c r="AL417" t="inlineStr">
        <is>
          <t>Published</t>
        </is>
      </c>
    </row>
    <row r="418">
      <c r="A418">
        <f>HYPERLINK("https://www.walmart.com/ip/289042027", "289042027")</f>
        <v/>
      </c>
      <c r="B418">
        <f>HYPERLINK("https://app.optiwise.ai/catalog/itemdetails/361342", "Flyingstar Waterproof Blanket, Picnic Blanket with Sherpa Lining, Windproof Triple Layers Warm Comfy Foldable Blanket for Camping, Stadium, Sports, Grass, Concerts, and Pets, Red Plaid, 51'' x 59''")</f>
        <v/>
      </c>
      <c r="C418" t="inlineStr">
        <is>
          <t>1WMBW506PRD</t>
        </is>
      </c>
      <c r="D418" t="inlineStr">
        <is>
          <t>Sport &amp; Recreation Other</t>
        </is>
      </c>
      <c r="E418" t="inlineStr">
        <is>
          <t>Picnic Blankets &amp; Mats</t>
        </is>
      </c>
      <c r="F418" t="inlineStr">
        <is>
          <t>Flyingstar</t>
        </is>
      </c>
      <c r="G418" t="n">
        <v>0</v>
      </c>
      <c r="H418" t="n">
        <v>0</v>
      </c>
      <c r="I418" t="inlineStr">
        <is>
          <t>Q2-Target,Batch 1 - TR</t>
        </is>
      </c>
      <c r="J418" s="29" t="n">
        <v>55.98</v>
      </c>
      <c r="K418" s="30" t="n">
        <v>0.0005</v>
      </c>
      <c r="L418" s="29" t="n">
        <v>0</v>
      </c>
      <c r="M418" s="29" t="n">
        <v>0</v>
      </c>
      <c r="N418" s="2" t="n">
        <v>2</v>
      </c>
      <c r="O418" s="31" t="n">
        <v>0</v>
      </c>
      <c r="P418" s="32" t="n"/>
      <c r="Q418" s="32" t="n">
        <v>0</v>
      </c>
      <c r="R418" s="32" t="n">
        <v>0</v>
      </c>
      <c r="S418" s="31" t="n">
        <v>0</v>
      </c>
      <c r="T418" s="32" t="n">
        <v>0</v>
      </c>
      <c r="U418" s="31" t="n">
        <v>0</v>
      </c>
      <c r="V418" s="31" t="n">
        <v>0</v>
      </c>
      <c r="W418" s="3" t="n">
        <v>0</v>
      </c>
      <c r="X418" s="3" t="n">
        <v>0</v>
      </c>
      <c r="Y418" s="32" t="n">
        <v>0</v>
      </c>
      <c r="Z418" s="3" t="n">
        <v>0</v>
      </c>
      <c r="AA418" s="32" t="n">
        <v>0</v>
      </c>
      <c r="AB418" s="3" t="n"/>
      <c r="AC418" s="31" t="n">
        <v>0</v>
      </c>
      <c r="AD418" s="2" t="n">
        <v>0</v>
      </c>
      <c r="AE418" s="2" t="n">
        <v>49</v>
      </c>
      <c r="AF418" s="4" t="n">
        <v>49</v>
      </c>
      <c r="AG418" s="33" t="n">
        <v>55.98</v>
      </c>
      <c r="AH418" s="4" t="n">
        <v>2</v>
      </c>
      <c r="AI418" s="34" t="n">
        <v>0.0408</v>
      </c>
      <c r="AJ418" s="34" t="n">
        <v>1</v>
      </c>
      <c r="AK418" s="2" t="n">
        <v>0</v>
      </c>
      <c r="AL418" t="inlineStr">
        <is>
          <t>Published</t>
        </is>
      </c>
    </row>
    <row r="419">
      <c r="A419">
        <f>HYPERLINK("https://www.walmart.com/ip/924001152", "924001152")</f>
        <v/>
      </c>
      <c r="B419">
        <f>HYPERLINK("https://app.optiwise.ai/catalog/itemdetails/417449", "Tirrinia Red Plaid Foldable Outdoor Waterproof Blanket for Camping Stadium, 51'' X 59''")</f>
        <v/>
      </c>
      <c r="C419" t="inlineStr">
        <is>
          <t>1TRBW506PRD</t>
        </is>
      </c>
      <c r="D419" t="inlineStr">
        <is>
          <t>Sport &amp; Recreation Other</t>
        </is>
      </c>
      <c r="E419" t="inlineStr">
        <is>
          <t>Picnic Blankets &amp; Mats</t>
        </is>
      </c>
      <c r="F419" t="inlineStr">
        <is>
          <t>Tirrinia</t>
        </is>
      </c>
      <c r="G419" t="n">
        <v>0</v>
      </c>
      <c r="H419" t="n">
        <v>0</v>
      </c>
      <c r="I419" t="inlineStr">
        <is>
          <t>Optimized,SEM</t>
        </is>
      </c>
      <c r="J419" s="29" t="n">
        <v>55.98</v>
      </c>
      <c r="K419" s="30" t="n">
        <v>0.0005</v>
      </c>
      <c r="L419" s="29" t="n">
        <v>0</v>
      </c>
      <c r="M419" s="29" t="n">
        <v>0</v>
      </c>
      <c r="N419" s="2" t="n">
        <v>2</v>
      </c>
      <c r="O419" s="31" t="n">
        <v>0.62</v>
      </c>
      <c r="P419" s="32" t="n">
        <v>0.0001</v>
      </c>
      <c r="Q419" s="32" t="n">
        <v>0.0111</v>
      </c>
      <c r="R419" s="32" t="n">
        <v>0.0482</v>
      </c>
      <c r="S419" s="31" t="n">
        <v>0</v>
      </c>
      <c r="T419" s="32" t="n">
        <v>0</v>
      </c>
      <c r="U419" s="31" t="n">
        <v>0</v>
      </c>
      <c r="V419" s="31" t="n">
        <v>0</v>
      </c>
      <c r="W419" s="3" t="n">
        <v>1256</v>
      </c>
      <c r="X419" s="3" t="n">
        <v>2</v>
      </c>
      <c r="Y419" s="32" t="n">
        <v>0.0016</v>
      </c>
      <c r="Z419" s="3" t="n">
        <v>0</v>
      </c>
      <c r="AA419" s="32" t="n">
        <v>0</v>
      </c>
      <c r="AB419" s="3" t="inlineStr">
        <is>
          <t>Throws_Auto_Optiwise_24</t>
        </is>
      </c>
      <c r="AC419" s="31" t="n">
        <v>0.31</v>
      </c>
      <c r="AD419" s="2" t="n">
        <v>0</v>
      </c>
      <c r="AE419" s="2" t="n">
        <v>87</v>
      </c>
      <c r="AF419" s="4" t="n">
        <v>85</v>
      </c>
      <c r="AG419" s="33" t="n">
        <v>55.98</v>
      </c>
      <c r="AH419" s="4" t="n">
        <v>2</v>
      </c>
      <c r="AI419" s="34" t="n">
        <v>0.0235</v>
      </c>
      <c r="AJ419" s="34" t="n">
        <v>1</v>
      </c>
      <c r="AK419" s="2" t="n">
        <v>0</v>
      </c>
      <c r="AL419" t="inlineStr">
        <is>
          <t>Published</t>
        </is>
      </c>
    </row>
    <row r="420">
      <c r="A420">
        <f>HYPERLINK("https://www.walmart.com/ip/655381211", "655381211")</f>
        <v/>
      </c>
      <c r="B420">
        <f>HYPERLINK("https://app.optiwise.ai/catalog/itemdetails/417458", "Tirrinia Super Soft Comfy Warm Fuzzy Sherpa Throw Plush Blanket For Bed And Couch, 60 inch x 80 inch, Grey")</f>
        <v/>
      </c>
      <c r="C420" t="inlineStr">
        <is>
          <t>1TRBF368GY-TBCB</t>
        </is>
      </c>
      <c r="D420" t="inlineStr">
        <is>
          <t>Bedding</t>
        </is>
      </c>
      <c r="E420" t="inlineStr">
        <is>
          <t>Throws</t>
        </is>
      </c>
      <c r="F420" t="inlineStr">
        <is>
          <t>Tirrinia</t>
        </is>
      </c>
      <c r="G420" t="n">
        <v>0</v>
      </c>
      <c r="H420" t="n">
        <v>0</v>
      </c>
      <c r="I420" t="inlineStr">
        <is>
          <t>Optimized</t>
        </is>
      </c>
      <c r="J420" s="29" t="n">
        <v>55.98</v>
      </c>
      <c r="K420" s="30" t="n">
        <v>0.0005</v>
      </c>
      <c r="L420" s="29" t="n">
        <v>0</v>
      </c>
      <c r="M420" s="29" t="n">
        <v>0</v>
      </c>
      <c r="N420" s="2" t="n">
        <v>2</v>
      </c>
      <c r="O420" s="31" t="n">
        <v>0</v>
      </c>
      <c r="P420" s="32" t="n"/>
      <c r="Q420" s="32" t="n">
        <v>0</v>
      </c>
      <c r="R420" s="32" t="n">
        <v>0</v>
      </c>
      <c r="S420" s="31" t="n">
        <v>0</v>
      </c>
      <c r="T420" s="32" t="n">
        <v>0</v>
      </c>
      <c r="U420" s="31" t="n">
        <v>0</v>
      </c>
      <c r="V420" s="31" t="n">
        <v>0</v>
      </c>
      <c r="W420" s="3" t="n">
        <v>0</v>
      </c>
      <c r="X420" s="3" t="n">
        <v>0</v>
      </c>
      <c r="Y420" s="32" t="n">
        <v>0</v>
      </c>
      <c r="Z420" s="3" t="n">
        <v>0</v>
      </c>
      <c r="AA420" s="32" t="n">
        <v>0</v>
      </c>
      <c r="AB420" s="3" t="n"/>
      <c r="AC420" s="31" t="n">
        <v>0</v>
      </c>
      <c r="AD420" s="2" t="n">
        <v>0</v>
      </c>
      <c r="AE420" s="2" t="n">
        <v>15</v>
      </c>
      <c r="AF420" s="4" t="n">
        <v>15</v>
      </c>
      <c r="AG420" s="33" t="n">
        <v>55.98</v>
      </c>
      <c r="AH420" s="4" t="n">
        <v>2</v>
      </c>
      <c r="AI420" s="34" t="n">
        <v>0.1333</v>
      </c>
      <c r="AJ420" s="34" t="n">
        <v>1</v>
      </c>
      <c r="AK420" s="2" t="n">
        <v>2295</v>
      </c>
      <c r="AL420" t="inlineStr">
        <is>
          <t>Published</t>
        </is>
      </c>
    </row>
    <row r="421">
      <c r="A421">
        <f>HYPERLINK("https://www.walmart.com/ip/637017115", "637017115")</f>
        <v/>
      </c>
      <c r="B421">
        <f>HYPERLINK("https://app.optiwise.ai/catalog/itemdetails/362020", "Catalonia Women's Plush Fleece Long Robe, Warm Comfy Fluffy Female Bathrobe with Hood, Machine Washable, One Size, Black")</f>
        <v/>
      </c>
      <c r="C421" t="inlineStr">
        <is>
          <t>1CTRB100BK-LDCB</t>
        </is>
      </c>
      <c r="D421" t="inlineStr">
        <is>
          <t>Clothing</t>
        </is>
      </c>
      <c r="E421" t="inlineStr">
        <is>
          <t>Sleepwear Robes &amp; Bathrobes</t>
        </is>
      </c>
      <c r="F421" t="inlineStr">
        <is>
          <t>Catalonia</t>
        </is>
      </c>
      <c r="G421" t="n">
        <v>5</v>
      </c>
      <c r="H421" t="n">
        <v>1</v>
      </c>
      <c r="I421" t="inlineStr">
        <is>
          <t>Optimized,Hero 5 Holidays,Bathrobe</t>
        </is>
      </c>
      <c r="J421" s="29" t="n">
        <v>55.98</v>
      </c>
      <c r="K421" s="30" t="n">
        <v>0.0005</v>
      </c>
      <c r="L421" s="29" t="n">
        <v>0</v>
      </c>
      <c r="M421" s="29" t="n">
        <v>0</v>
      </c>
      <c r="N421" s="2" t="n">
        <v>2</v>
      </c>
      <c r="O421" s="31" t="n">
        <v>0</v>
      </c>
      <c r="P421" s="32" t="n"/>
      <c r="Q421" s="32" t="n">
        <v>0</v>
      </c>
      <c r="R421" s="32" t="n">
        <v>0</v>
      </c>
      <c r="S421" s="31" t="n">
        <v>0</v>
      </c>
      <c r="T421" s="32" t="n">
        <v>0</v>
      </c>
      <c r="U421" s="31" t="n">
        <v>0</v>
      </c>
      <c r="V421" s="31" t="n">
        <v>0</v>
      </c>
      <c r="W421" s="3" t="n">
        <v>0</v>
      </c>
      <c r="X421" s="3" t="n">
        <v>0</v>
      </c>
      <c r="Y421" s="32" t="n">
        <v>0</v>
      </c>
      <c r="Z421" s="3" t="n">
        <v>0</v>
      </c>
      <c r="AA421" s="32" t="n">
        <v>0</v>
      </c>
      <c r="AB421" s="3" t="n"/>
      <c r="AC421" s="31" t="n">
        <v>0</v>
      </c>
      <c r="AD421" s="2" t="n">
        <v>11</v>
      </c>
      <c r="AE421" s="2" t="n">
        <v>33</v>
      </c>
      <c r="AF421" s="4" t="n">
        <v>33</v>
      </c>
      <c r="AG421" s="33" t="n">
        <v>55.98</v>
      </c>
      <c r="AH421" s="4" t="n">
        <v>2</v>
      </c>
      <c r="AI421" s="34" t="n">
        <v>0.0606</v>
      </c>
      <c r="AJ421" s="34" t="n">
        <v>1</v>
      </c>
      <c r="AK421" s="2" t="n">
        <v>6885</v>
      </c>
      <c r="AL421" t="inlineStr">
        <is>
          <t>Published</t>
        </is>
      </c>
    </row>
    <row r="422">
      <c r="A422">
        <f>HYPERLINK("https://www.walmart.com/ip/979291779", "979291779")</f>
        <v/>
      </c>
      <c r="B422">
        <f>HYPERLINK("https://app.optiwise.ai/catalog/itemdetails/362050", "Flyingstar Insulated Lunch Box for Women Men, Leakproof Thermal Reusable Lunch Bag with 4 Pockets for Adult &amp; Kids, Lunch Bag Cooler Tote for Office Work, Olive")</f>
        <v/>
      </c>
      <c r="C422" t="inlineStr">
        <is>
          <t>1WMLB702P1OL</t>
        </is>
      </c>
      <c r="D422" t="inlineStr">
        <is>
          <t>Home Decor, Kitchen, &amp; Other</t>
        </is>
      </c>
      <c r="E422" t="inlineStr">
        <is>
          <t>Reusable Lunch Bags &amp; Boxes</t>
        </is>
      </c>
      <c r="F422" t="inlineStr">
        <is>
          <t>Flyingstar</t>
        </is>
      </c>
      <c r="G422" t="n">
        <v>0</v>
      </c>
      <c r="H422" t="n">
        <v>0</v>
      </c>
      <c r="I422" t="inlineStr">
        <is>
          <t>Q2-Target,Lunch Bag,Lunch Bags</t>
        </is>
      </c>
      <c r="J422" s="29" t="n">
        <v>55.96</v>
      </c>
      <c r="K422" s="30" t="n">
        <v>0.0005</v>
      </c>
      <c r="L422" s="29" t="n">
        <v>0</v>
      </c>
      <c r="M422" s="29" t="n">
        <v>0</v>
      </c>
      <c r="N422" s="2" t="n">
        <v>4</v>
      </c>
      <c r="O422" s="31" t="n">
        <v>0</v>
      </c>
      <c r="P422" s="32" t="n"/>
      <c r="Q422" s="32" t="n">
        <v>0</v>
      </c>
      <c r="R422" s="32" t="n">
        <v>0.1201</v>
      </c>
      <c r="S422" s="31" t="n">
        <v>0</v>
      </c>
      <c r="T422" s="32" t="n">
        <v>0</v>
      </c>
      <c r="U422" s="31" t="n">
        <v>0</v>
      </c>
      <c r="V422" s="31" t="n">
        <v>0</v>
      </c>
      <c r="W422" s="3" t="n">
        <v>0</v>
      </c>
      <c r="X422" s="3" t="n">
        <v>0</v>
      </c>
      <c r="Y422" s="32" t="n">
        <v>0</v>
      </c>
      <c r="Z422" s="3" t="n">
        <v>0</v>
      </c>
      <c r="AA422" s="32" t="n">
        <v>0</v>
      </c>
      <c r="AB422" s="3" t="n"/>
      <c r="AC422" s="31" t="n">
        <v>0</v>
      </c>
      <c r="AD422" s="2" t="n">
        <v>0</v>
      </c>
      <c r="AE422" s="2" t="n">
        <v>45</v>
      </c>
      <c r="AF422" s="4" t="n">
        <v>45</v>
      </c>
      <c r="AG422" s="33" t="n">
        <v>55.96</v>
      </c>
      <c r="AH422" s="4" t="n">
        <v>4</v>
      </c>
      <c r="AI422" s="34" t="n">
        <v>0.08890000000000001</v>
      </c>
      <c r="AJ422" s="34" t="n">
        <v>1</v>
      </c>
      <c r="AK422" s="2" t="n">
        <v>3543</v>
      </c>
      <c r="AL422" t="inlineStr">
        <is>
          <t>Published</t>
        </is>
      </c>
    </row>
    <row r="423">
      <c r="A423">
        <f>HYPERLINK("https://www.walmart.com/ip/972147945", "972147945")</f>
        <v/>
      </c>
      <c r="B423">
        <f>HYPERLINK("https://app.optiwise.ai/catalog/itemdetails/359045", "Wine Opener Accessories Gift Set - 5 Pcs Wine Bottle Corkscrew Screwpull Kit by Kato, Great Wedding and Birthday Gifts for Wine Lovers, Red")</f>
        <v/>
      </c>
      <c r="C423" t="inlineStr">
        <is>
          <t>1KTWO502RDBK</t>
        </is>
      </c>
      <c r="D423" t="inlineStr">
        <is>
          <t>Home Decor, Kitchen, &amp; Other</t>
        </is>
      </c>
      <c r="E423" t="inlineStr">
        <is>
          <t>Corkscrews &amp; Wine Bottle Openers</t>
        </is>
      </c>
      <c r="F423" t="inlineStr">
        <is>
          <t>Kato</t>
        </is>
      </c>
      <c r="G423" t="n">
        <v>3.2</v>
      </c>
      <c r="H423" t="n">
        <v>6</v>
      </c>
      <c r="I423" t="inlineStr">
        <is>
          <t>Wine,Christmas,WFS,Wine WFS,Valentine,WFS Item</t>
        </is>
      </c>
      <c r="J423" s="29" t="n">
        <v>54.96</v>
      </c>
      <c r="K423" s="30" t="n">
        <v>0.0005</v>
      </c>
      <c r="L423" s="29" t="n">
        <v>0</v>
      </c>
      <c r="M423" s="29" t="n">
        <v>0</v>
      </c>
      <c r="N423" s="2" t="n">
        <v>3</v>
      </c>
      <c r="O423" s="31" t="n">
        <v>44.75000000000001</v>
      </c>
      <c r="P423" s="32" t="n">
        <v>0.0054</v>
      </c>
      <c r="Q423" s="32" t="n">
        <v>0.8142</v>
      </c>
      <c r="R423" s="32" t="n">
        <v>0.0856</v>
      </c>
      <c r="S423" s="31" t="n">
        <v>0.63</v>
      </c>
      <c r="T423" s="32" t="n">
        <v>1.6</v>
      </c>
      <c r="U423" s="31" t="n">
        <v>27.98</v>
      </c>
      <c r="V423" s="31" t="n">
        <v>15.99</v>
      </c>
      <c r="W423" s="3" t="n">
        <v>34538</v>
      </c>
      <c r="X423" s="3" t="n">
        <v>83</v>
      </c>
      <c r="Y423" s="32" t="n">
        <v>0.0024</v>
      </c>
      <c r="Z423" s="3" t="n">
        <v>2</v>
      </c>
      <c r="AA423" s="32" t="n">
        <v>0.0241</v>
      </c>
      <c r="AB423" s="3" t="inlineStr">
        <is>
          <t>All Items_Auto_Optiwise_24</t>
        </is>
      </c>
      <c r="AC423" s="31" t="n">
        <v>0.54</v>
      </c>
      <c r="AD423" s="2" t="n">
        <v>34</v>
      </c>
      <c r="AE423" s="2" t="n">
        <v>0</v>
      </c>
      <c r="AF423" s="4" t="inlineStr">
        <is>
          <t>NA</t>
        </is>
      </c>
      <c r="AG423" s="33" t="n">
        <v>26.98</v>
      </c>
      <c r="AH423" s="4" t="n">
        <v>1</v>
      </c>
      <c r="AI423" s="34" t="inlineStr">
        <is>
          <t>NA</t>
        </is>
      </c>
      <c r="AJ423" s="34" t="n">
        <v>0.4909</v>
      </c>
      <c r="AK423" s="2" t="n">
        <v>5355</v>
      </c>
      <c r="AL423" t="inlineStr">
        <is>
          <t>Published</t>
        </is>
      </c>
    </row>
    <row r="424">
      <c r="A424">
        <f>HYPERLINK("https://www.walmart.com/ip/105623773", "105623773")</f>
        <v/>
      </c>
      <c r="B424">
        <f>HYPERLINK("https://app.optiwise.ai/catalog/itemdetails/361909", "Men's Boxer Briefs Assorted Mens Underwear with Cotton Classic Stretch , 3-Pack by Terra")</f>
        <v/>
      </c>
      <c r="C424" t="inlineStr">
        <is>
          <t>TERRABOXERSET1-M</t>
        </is>
      </c>
      <c r="D424" t="inlineStr">
        <is>
          <t>Clothing</t>
        </is>
      </c>
      <c r="E424" t="inlineStr">
        <is>
          <t>Underpants</t>
        </is>
      </c>
      <c r="F424" t="inlineStr">
        <is>
          <t>Terra</t>
        </is>
      </c>
      <c r="G424" t="n">
        <v>4.6</v>
      </c>
      <c r="H424" t="n">
        <v>16</v>
      </c>
      <c r="I424" t="inlineStr">
        <is>
          <t>WFS,WFS Item</t>
        </is>
      </c>
      <c r="J424" s="29" t="n">
        <v>54.95</v>
      </c>
      <c r="K424" s="30" t="n">
        <v>0.0005</v>
      </c>
      <c r="L424" s="29" t="n">
        <v>0</v>
      </c>
      <c r="M424" s="29" t="n">
        <v>0</v>
      </c>
      <c r="N424" s="2" t="n">
        <v>5</v>
      </c>
      <c r="O424" s="31" t="n">
        <v>0</v>
      </c>
      <c r="P424" s="32" t="n"/>
      <c r="Q424" s="32" t="n">
        <v>0</v>
      </c>
      <c r="R424" s="32" t="n">
        <v>0</v>
      </c>
      <c r="S424" s="31" t="n">
        <v>0</v>
      </c>
      <c r="T424" s="32" t="n">
        <v>0</v>
      </c>
      <c r="U424" s="31" t="n">
        <v>0</v>
      </c>
      <c r="V424" s="31" t="n">
        <v>0</v>
      </c>
      <c r="W424" s="3" t="n">
        <v>0</v>
      </c>
      <c r="X424" s="3" t="n">
        <v>0</v>
      </c>
      <c r="Y424" s="32" t="n">
        <v>0</v>
      </c>
      <c r="Z424" s="3" t="n">
        <v>0</v>
      </c>
      <c r="AA424" s="32" t="n">
        <v>0</v>
      </c>
      <c r="AB424" s="3" t="n"/>
      <c r="AC424" s="31" t="n">
        <v>0</v>
      </c>
      <c r="AD424" s="2" t="n">
        <v>0</v>
      </c>
      <c r="AE424" s="2" t="n">
        <v>32</v>
      </c>
      <c r="AF424" s="4" t="n">
        <v>32</v>
      </c>
      <c r="AG424" s="33" t="n">
        <v>54.95</v>
      </c>
      <c r="AH424" s="4" t="n">
        <v>5</v>
      </c>
      <c r="AI424" s="34" t="n">
        <v>0.1562</v>
      </c>
      <c r="AJ424" s="34" t="n">
        <v>1</v>
      </c>
      <c r="AK424" s="2" t="n">
        <v>2700</v>
      </c>
      <c r="AL424" t="inlineStr">
        <is>
          <t>Published</t>
        </is>
      </c>
    </row>
    <row r="425">
      <c r="A425">
        <f>HYPERLINK("https://www.walmart.com/ip/3959062004", "3959062004")</f>
        <v/>
      </c>
      <c r="B425">
        <f>HYPERLINK("https://app.optiwise.ai/catalog/itemdetails/6070349", "Catalonia Wearable Fleece Blanket with Sleeves and Foot Pockets for Adult Women and Men, Micro Plush Comfy Wrap Sleeved Throw Blanket Robe, Large, Blue Cat")</f>
        <v/>
      </c>
      <c r="C425" t="inlineStr">
        <is>
          <t>1CTSN101BLCAT</t>
        </is>
      </c>
      <c r="D425" t="inlineStr">
        <is>
          <t>Bedding</t>
        </is>
      </c>
      <c r="E425" t="inlineStr">
        <is>
          <t>Throws</t>
        </is>
      </c>
      <c r="F425" t="inlineStr">
        <is>
          <t>Catalonia</t>
        </is>
      </c>
      <c r="G425" t="n">
        <v>3.9</v>
      </c>
      <c r="H425" t="n">
        <v>15</v>
      </c>
      <c r="I425" t="inlineStr">
        <is>
          <t>Q2-Target,Fleece Blankets</t>
        </is>
      </c>
      <c r="J425" s="29" t="n">
        <v>53.98</v>
      </c>
      <c r="K425" s="30" t="n">
        <v>0.0005</v>
      </c>
      <c r="L425" s="29" t="n">
        <v>0</v>
      </c>
      <c r="M425" s="29" t="n">
        <v>0</v>
      </c>
      <c r="N425" s="2" t="n">
        <v>2</v>
      </c>
      <c r="O425" s="31" t="n">
        <v>0</v>
      </c>
      <c r="P425" s="32" t="n"/>
      <c r="Q425" s="32" t="n">
        <v>0</v>
      </c>
      <c r="R425" s="32" t="n">
        <v>0.0388</v>
      </c>
      <c r="S425" s="31" t="n">
        <v>0</v>
      </c>
      <c r="T425" s="32" t="n">
        <v>0</v>
      </c>
      <c r="U425" s="31" t="n">
        <v>0</v>
      </c>
      <c r="V425" s="31" t="n">
        <v>0</v>
      </c>
      <c r="W425" s="3" t="n">
        <v>0</v>
      </c>
      <c r="X425" s="3" t="n">
        <v>0</v>
      </c>
      <c r="Y425" s="32" t="n">
        <v>0</v>
      </c>
      <c r="Z425" s="3" t="n">
        <v>0</v>
      </c>
      <c r="AA425" s="32" t="n">
        <v>0</v>
      </c>
      <c r="AB425" s="3" t="n"/>
      <c r="AC425" s="31" t="n">
        <v>0</v>
      </c>
      <c r="AD425" s="2" t="n">
        <v>3</v>
      </c>
      <c r="AE425" s="2" t="n">
        <v>71</v>
      </c>
      <c r="AF425" s="4" t="n">
        <v>71</v>
      </c>
      <c r="AG425" s="33" t="n">
        <v>53.98</v>
      </c>
      <c r="AH425" s="4" t="n">
        <v>2</v>
      </c>
      <c r="AI425" s="34" t="n">
        <v>0.0282</v>
      </c>
      <c r="AJ425" s="34" t="n">
        <v>1</v>
      </c>
      <c r="AK425" s="2" t="n">
        <v>6750</v>
      </c>
      <c r="AL425" t="inlineStr">
        <is>
          <t>Published</t>
        </is>
      </c>
    </row>
    <row r="426">
      <c r="A426">
        <f>HYPERLINK("https://www.walmart.com/ip/5785712928", "5785712928")</f>
        <v/>
      </c>
      <c r="B426">
        <f>HYPERLINK("https://app.optiwise.ai/catalog/itemdetails/9053827", "Tirrinia  Camping Cooler Bag Insulated w/ Shoulder Strap and Bottle Opener 20 Cans Portable Ice Chest for Camping Hiking Picnic Beach")</f>
        <v/>
      </c>
      <c r="C426" t="inlineStr">
        <is>
          <t>1TRCB00130GNBK</t>
        </is>
      </c>
      <c r="D426" t="inlineStr">
        <is>
          <t>Sport &amp; Recreation Other</t>
        </is>
      </c>
      <c r="E426" t="inlineStr">
        <is>
          <t>Soft-Sided Coolers</t>
        </is>
      </c>
      <c r="F426" t="inlineStr">
        <is>
          <t>Tirrinia</t>
        </is>
      </c>
      <c r="G426" t="n">
        <v>0</v>
      </c>
      <c r="H426" t="n">
        <v>0</v>
      </c>
      <c r="J426" s="29" t="n">
        <v>53.98</v>
      </c>
      <c r="K426" s="30" t="n">
        <v>0.0005</v>
      </c>
      <c r="L426" s="29" t="n">
        <v>0</v>
      </c>
      <c r="M426" s="29" t="n">
        <v>0</v>
      </c>
      <c r="N426" s="2" t="n">
        <v>2</v>
      </c>
      <c r="O426" s="31" t="n">
        <v>0</v>
      </c>
      <c r="P426" s="32" t="n"/>
      <c r="Q426" s="32" t="n">
        <v>0</v>
      </c>
      <c r="R426" s="32" t="n">
        <v>0</v>
      </c>
      <c r="S426" s="31" t="n">
        <v>0</v>
      </c>
      <c r="T426" s="32" t="n">
        <v>0</v>
      </c>
      <c r="U426" s="31" t="n">
        <v>0</v>
      </c>
      <c r="V426" s="31" t="n">
        <v>0</v>
      </c>
      <c r="W426" s="3" t="n">
        <v>0</v>
      </c>
      <c r="X426" s="3" t="n">
        <v>0</v>
      </c>
      <c r="Y426" s="32" t="n">
        <v>0</v>
      </c>
      <c r="Z426" s="3" t="n">
        <v>0</v>
      </c>
      <c r="AA426" s="32" t="n">
        <v>0</v>
      </c>
      <c r="AB426" s="3" t="n"/>
      <c r="AC426" s="31" t="n">
        <v>0</v>
      </c>
      <c r="AD426" s="2" t="n">
        <v>0</v>
      </c>
      <c r="AE426" s="2" t="n">
        <v>34</v>
      </c>
      <c r="AF426" s="4" t="n">
        <v>34</v>
      </c>
      <c r="AG426" s="33" t="n">
        <v>53.98</v>
      </c>
      <c r="AH426" s="4" t="n">
        <v>2</v>
      </c>
      <c r="AI426" s="34" t="n">
        <v>0.0588</v>
      </c>
      <c r="AJ426" s="34" t="n">
        <v>1</v>
      </c>
      <c r="AK426" s="2" t="n">
        <v>6750</v>
      </c>
      <c r="AL426" t="inlineStr">
        <is>
          <t>Published</t>
        </is>
      </c>
    </row>
    <row r="427">
      <c r="A427">
        <f>HYPERLINK("https://www.walmart.com/ip/3213812554", "3213812554")</f>
        <v/>
      </c>
      <c r="B427">
        <f>HYPERLINK("https://app.optiwise.ai/catalog/itemdetails/6051370", "Catalonia Waterproof Fleece Blanket for Outdoors, Hooded Blanket Poncho | Windproof, Warm, Wearable, Portable | for Stadium, Picnics, School Sporting Events, Camping, Beach, Outdoor Adventure")</f>
        <v/>
      </c>
      <c r="C427" t="inlineStr">
        <is>
          <t>1CTBC200BALLBL</t>
        </is>
      </c>
      <c r="D427" t="inlineStr">
        <is>
          <t>Bedding</t>
        </is>
      </c>
      <c r="E427" t="inlineStr">
        <is>
          <t>Throws</t>
        </is>
      </c>
      <c r="F427" t="inlineStr">
        <is>
          <t>Catalonia</t>
        </is>
      </c>
      <c r="G427" t="n">
        <v>0</v>
      </c>
      <c r="H427" t="n">
        <v>0</v>
      </c>
      <c r="I427" t="inlineStr">
        <is>
          <t>Q2-Target,Wproof Blanket</t>
        </is>
      </c>
      <c r="J427" s="29" t="n">
        <v>53.98</v>
      </c>
      <c r="K427" s="30" t="n">
        <v>0.0005</v>
      </c>
      <c r="L427" s="29" t="n">
        <v>0</v>
      </c>
      <c r="M427" s="29" t="n">
        <v>0</v>
      </c>
      <c r="N427" s="2" t="n">
        <v>2</v>
      </c>
      <c r="O427" s="31" t="n">
        <v>1.24</v>
      </c>
      <c r="P427" s="32" t="n">
        <v>0.0001</v>
      </c>
      <c r="Q427" s="32" t="n">
        <v>0.023</v>
      </c>
      <c r="R427" s="32" t="n">
        <v>0.0403</v>
      </c>
      <c r="S427" s="31" t="n">
        <v>0</v>
      </c>
      <c r="T427" s="32" t="n">
        <v>0</v>
      </c>
      <c r="U427" s="31" t="n">
        <v>0</v>
      </c>
      <c r="V427" s="31" t="n">
        <v>0</v>
      </c>
      <c r="W427" s="3" t="n">
        <v>1780</v>
      </c>
      <c r="X427" s="3" t="n">
        <v>4</v>
      </c>
      <c r="Y427" s="32" t="n">
        <v>0.0022</v>
      </c>
      <c r="Z427" s="3" t="n">
        <v>0</v>
      </c>
      <c r="AA427" s="32" t="n">
        <v>0</v>
      </c>
      <c r="AB427" s="3" t="inlineStr">
        <is>
          <t>Throws_Auto_Optiwise_24</t>
        </is>
      </c>
      <c r="AC427" s="31" t="n">
        <v>0.31</v>
      </c>
      <c r="AD427" s="2" t="n">
        <v>0</v>
      </c>
      <c r="AE427" s="2" t="n">
        <v>39</v>
      </c>
      <c r="AF427" s="4" t="n">
        <v>35</v>
      </c>
      <c r="AG427" s="33" t="n">
        <v>53.98</v>
      </c>
      <c r="AH427" s="4" t="n">
        <v>2</v>
      </c>
      <c r="AI427" s="34" t="n">
        <v>0.0571</v>
      </c>
      <c r="AJ427" s="34" t="n">
        <v>1</v>
      </c>
      <c r="AK427" s="2" t="n">
        <v>6750</v>
      </c>
      <c r="AL427" t="inlineStr">
        <is>
          <t>Published</t>
        </is>
      </c>
    </row>
    <row r="428">
      <c r="A428">
        <f>HYPERLINK("https://www.walmart.com/ip/461924334", "461924334")</f>
        <v/>
      </c>
      <c r="B428">
        <f>HYPERLINK("https://app.optiwise.ai/catalog/itemdetails/4857498", "home comforts blanket Blanket with Sleeves, Super Soft Wearable TV Blanket Robe Fleece for Adults 73 x 51”| Cozy Warm, Lightweigh")</f>
        <v/>
      </c>
      <c r="C428" t="inlineStr">
        <is>
          <t>1TRSN100AQ-TBCB</t>
        </is>
      </c>
      <c r="D428" t="inlineStr">
        <is>
          <t>Bedding</t>
        </is>
      </c>
      <c r="E428" t="inlineStr">
        <is>
          <t>Throws</t>
        </is>
      </c>
      <c r="F428" t="inlineStr">
        <is>
          <t>Tirrinia</t>
        </is>
      </c>
      <c r="G428" t="n">
        <v>0</v>
      </c>
      <c r="H428" t="n">
        <v>0</v>
      </c>
      <c r="I428" t="inlineStr">
        <is>
          <t>Fleece Blankets</t>
        </is>
      </c>
      <c r="J428" s="29" t="n">
        <v>53.98</v>
      </c>
      <c r="K428" s="30" t="n">
        <v>0.0005</v>
      </c>
      <c r="L428" s="29" t="n">
        <v>0</v>
      </c>
      <c r="M428" s="29" t="n">
        <v>0</v>
      </c>
      <c r="N428" s="2" t="n">
        <v>2</v>
      </c>
      <c r="O428" s="31" t="n">
        <v>0</v>
      </c>
      <c r="P428" s="32" t="n"/>
      <c r="Q428" s="32" t="n">
        <v>0</v>
      </c>
      <c r="R428" s="32" t="n">
        <v>0</v>
      </c>
      <c r="S428" s="31" t="n">
        <v>0</v>
      </c>
      <c r="T428" s="32" t="n">
        <v>0</v>
      </c>
      <c r="U428" s="31" t="n">
        <v>0</v>
      </c>
      <c r="V428" s="31" t="n">
        <v>0</v>
      </c>
      <c r="W428" s="3" t="n">
        <v>0</v>
      </c>
      <c r="X428" s="3" t="n">
        <v>0</v>
      </c>
      <c r="Y428" s="32" t="n">
        <v>0</v>
      </c>
      <c r="Z428" s="3" t="n">
        <v>0</v>
      </c>
      <c r="AA428" s="32" t="n">
        <v>0</v>
      </c>
      <c r="AB428" s="3" t="n"/>
      <c r="AC428" s="31" t="n">
        <v>0</v>
      </c>
      <c r="AD428" s="2" t="n">
        <v>0</v>
      </c>
      <c r="AE428" s="2" t="n">
        <v>26</v>
      </c>
      <c r="AF428" s="4" t="n">
        <v>26</v>
      </c>
      <c r="AG428" s="33" t="n">
        <v>53.98</v>
      </c>
      <c r="AH428" s="4" t="n">
        <v>2</v>
      </c>
      <c r="AI428" s="34" t="n">
        <v>0.0769</v>
      </c>
      <c r="AJ428" s="34" t="n">
        <v>1</v>
      </c>
      <c r="AK428" s="2" t="n">
        <v>6750</v>
      </c>
      <c r="AL428" t="inlineStr">
        <is>
          <t>Published</t>
        </is>
      </c>
    </row>
    <row r="429">
      <c r="A429">
        <f>HYPERLINK("https://www.walmart.com/ip/9673001933", "9673001933")</f>
        <v/>
      </c>
      <c r="B429">
        <f>HYPERLINK("https://app.optiwise.ai/catalog/itemdetails/9955470", "Tirrinia Wearable Fleece Blanket for Women and Men, Super-Soft Microplush TV Blanket, Adult Wrap, Full Body Robe for Lounge Couch, Dalmation, 73 x 51")</f>
        <v/>
      </c>
      <c r="C429" t="inlineStr">
        <is>
          <t>1TRSN100WONDERCATGY</t>
        </is>
      </c>
      <c r="D429" t="inlineStr">
        <is>
          <t>Bedding</t>
        </is>
      </c>
      <c r="E429" t="inlineStr">
        <is>
          <t>Throws</t>
        </is>
      </c>
      <c r="F429" t="inlineStr">
        <is>
          <t>Tirrinia</t>
        </is>
      </c>
      <c r="G429" t="n">
        <v>0</v>
      </c>
      <c r="H429" t="n">
        <v>0</v>
      </c>
      <c r="J429" s="29" t="n">
        <v>53.98</v>
      </c>
      <c r="K429" s="30" t="n">
        <v>0.0005</v>
      </c>
      <c r="L429" s="29" t="n">
        <v>0</v>
      </c>
      <c r="M429" s="29" t="n">
        <v>0</v>
      </c>
      <c r="N429" s="2" t="n">
        <v>2</v>
      </c>
      <c r="O429" s="31" t="n">
        <v>0</v>
      </c>
      <c r="P429" s="32" t="n"/>
      <c r="Q429" s="32" t="n">
        <v>0</v>
      </c>
      <c r="R429" s="32" t="n">
        <v>0</v>
      </c>
      <c r="S429" s="31" t="n">
        <v>0</v>
      </c>
      <c r="T429" s="32" t="n">
        <v>0</v>
      </c>
      <c r="U429" s="31" t="n">
        <v>0</v>
      </c>
      <c r="V429" s="31" t="n">
        <v>0</v>
      </c>
      <c r="W429" s="3" t="n">
        <v>0</v>
      </c>
      <c r="X429" s="3" t="n">
        <v>0</v>
      </c>
      <c r="Y429" s="32" t="n">
        <v>0</v>
      </c>
      <c r="Z429" s="3" t="n">
        <v>0</v>
      </c>
      <c r="AA429" s="32" t="n">
        <v>0</v>
      </c>
      <c r="AB429" s="3" t="n"/>
      <c r="AC429" s="31" t="n">
        <v>0</v>
      </c>
      <c r="AD429" s="2" t="n">
        <v>35</v>
      </c>
      <c r="AE429" s="2" t="n">
        <v>33</v>
      </c>
      <c r="AF429" s="4" t="n">
        <v>33</v>
      </c>
      <c r="AG429" s="33" t="n">
        <v>53.98</v>
      </c>
      <c r="AH429" s="4" t="n">
        <v>2</v>
      </c>
      <c r="AI429" s="34" t="n">
        <v>0.0606</v>
      </c>
      <c r="AJ429" s="34" t="n">
        <v>1</v>
      </c>
      <c r="AK429" s="2" t="n">
        <v>945</v>
      </c>
      <c r="AL429" t="inlineStr">
        <is>
          <t>Published</t>
        </is>
      </c>
    </row>
    <row r="430">
      <c r="A430">
        <f>HYPERLINK("https://www.walmart.com/ip/312283022", "312283022")</f>
        <v/>
      </c>
      <c r="B430">
        <f>HYPERLINK("https://app.optiwise.ai/catalog/itemdetails/362531", "Mermaid Tail Blanket for Teen Girls with Anti-slip Neck Strap Wave Pattern | Soft Sleeping Bag for All Seasons")</f>
        <v/>
      </c>
      <c r="C430" t="inlineStr">
        <is>
          <t>1CTMM100PP-TPB</t>
        </is>
      </c>
      <c r="D430" t="inlineStr">
        <is>
          <t>Bedding</t>
        </is>
      </c>
      <c r="E430" t="inlineStr">
        <is>
          <t>Throws</t>
        </is>
      </c>
      <c r="F430" t="inlineStr">
        <is>
          <t>Catalonia</t>
        </is>
      </c>
      <c r="G430" t="n">
        <v>0</v>
      </c>
      <c r="H430" t="n">
        <v>0</v>
      </c>
      <c r="I430" t="inlineStr">
        <is>
          <t>Batch 1 - TR</t>
        </is>
      </c>
      <c r="J430" s="29" t="n">
        <v>53.97</v>
      </c>
      <c r="K430" s="30" t="n">
        <v>0.0005</v>
      </c>
      <c r="L430" s="29" t="n">
        <v>0</v>
      </c>
      <c r="M430" s="29" t="n">
        <v>0</v>
      </c>
      <c r="N430" s="2" t="n">
        <v>3</v>
      </c>
      <c r="O430" s="31" t="n">
        <v>0.62</v>
      </c>
      <c r="P430" s="32" t="n">
        <v>0.0001</v>
      </c>
      <c r="Q430" s="32" t="n">
        <v>0.0115</v>
      </c>
      <c r="R430" s="32" t="n">
        <v>0.2565</v>
      </c>
      <c r="S430" s="31" t="n">
        <v>0</v>
      </c>
      <c r="T430" s="32" t="n">
        <v>0</v>
      </c>
      <c r="U430" s="31" t="n">
        <v>0</v>
      </c>
      <c r="V430" s="31" t="n">
        <v>0</v>
      </c>
      <c r="W430" s="3" t="n">
        <v>724</v>
      </c>
      <c r="X430" s="3" t="n">
        <v>2</v>
      </c>
      <c r="Y430" s="32" t="n">
        <v>0.0028</v>
      </c>
      <c r="Z430" s="3" t="n">
        <v>0</v>
      </c>
      <c r="AA430" s="32" t="n">
        <v>0</v>
      </c>
      <c r="AB430" s="3" t="inlineStr">
        <is>
          <t>Throws_Auto_Optiwise_24</t>
        </is>
      </c>
      <c r="AC430" s="31" t="n">
        <v>0.31</v>
      </c>
      <c r="AD430" s="2" t="n">
        <v>9</v>
      </c>
      <c r="AE430" s="2" t="n">
        <v>15</v>
      </c>
      <c r="AF430" s="4" t="n">
        <v>13</v>
      </c>
      <c r="AG430" s="33" t="n">
        <v>53.97</v>
      </c>
      <c r="AH430" s="4" t="n">
        <v>3</v>
      </c>
      <c r="AI430" s="34" t="n">
        <v>0.2308</v>
      </c>
      <c r="AJ430" s="34" t="n">
        <v>1</v>
      </c>
      <c r="AK430" s="2" t="n">
        <v>180</v>
      </c>
      <c r="AL430" t="inlineStr">
        <is>
          <t>Published</t>
        </is>
      </c>
    </row>
    <row r="431">
      <c r="A431">
        <f>HYPERLINK("https://www.walmart.com/ip/409419335", "409419335")</f>
        <v/>
      </c>
      <c r="B431">
        <f>HYPERLINK("https://app.optiwise.ai/catalog/itemdetails/361908", "Tirrina Unisex Outdoor Sun Protection Fishing Cap with Neck Flap Wide Brim Mesh Hat for Travel Camping Hiking Hunting")</f>
        <v/>
      </c>
      <c r="C431" t="inlineStr">
        <is>
          <t>1TRSH910BL-TBCB</t>
        </is>
      </c>
      <c r="D431" t="inlineStr">
        <is>
          <t>Clothing</t>
        </is>
      </c>
      <c r="E431" t="inlineStr">
        <is>
          <t>Hats</t>
        </is>
      </c>
      <c r="F431" t="inlineStr">
        <is>
          <t>Tirrinia</t>
        </is>
      </c>
      <c r="G431" t="n">
        <v>0</v>
      </c>
      <c r="H431" t="n">
        <v>0</v>
      </c>
      <c r="I431" t="inlineStr">
        <is>
          <t>Hats,Batch 1 - TR</t>
        </is>
      </c>
      <c r="J431" s="29" t="n">
        <v>53.97</v>
      </c>
      <c r="K431" s="30" t="n">
        <v>0.0005</v>
      </c>
      <c r="L431" s="29" t="n">
        <v>0</v>
      </c>
      <c r="M431" s="29" t="n">
        <v>0</v>
      </c>
      <c r="N431" s="2" t="n">
        <v>3</v>
      </c>
      <c r="O431" s="31" t="n">
        <v>0</v>
      </c>
      <c r="P431" s="32" t="n"/>
      <c r="Q431" s="32" t="n">
        <v>0</v>
      </c>
      <c r="R431" s="32" t="n">
        <v>0</v>
      </c>
      <c r="S431" s="31" t="n">
        <v>0</v>
      </c>
      <c r="T431" s="32" t="n">
        <v>0</v>
      </c>
      <c r="U431" s="31" t="n">
        <v>0</v>
      </c>
      <c r="V431" s="31" t="n">
        <v>0</v>
      </c>
      <c r="W431" s="3" t="n">
        <v>0</v>
      </c>
      <c r="X431" s="3" t="n">
        <v>0</v>
      </c>
      <c r="Y431" s="32" t="n">
        <v>0</v>
      </c>
      <c r="Z431" s="3" t="n">
        <v>0</v>
      </c>
      <c r="AA431" s="32" t="n">
        <v>0</v>
      </c>
      <c r="AB431" s="3" t="n"/>
      <c r="AC431" s="31" t="n">
        <v>0</v>
      </c>
      <c r="AD431" s="2" t="n">
        <v>0</v>
      </c>
      <c r="AE431" s="2" t="n">
        <v>52</v>
      </c>
      <c r="AF431" s="4" t="n">
        <v>52</v>
      </c>
      <c r="AG431" s="33" t="n">
        <v>53.97</v>
      </c>
      <c r="AH431" s="4" t="n">
        <v>3</v>
      </c>
      <c r="AI431" s="34" t="n">
        <v>0.0577</v>
      </c>
      <c r="AJ431" s="34" t="n">
        <v>1</v>
      </c>
      <c r="AK431" s="2" t="n">
        <v>0</v>
      </c>
      <c r="AL431" t="inlineStr">
        <is>
          <t>Published</t>
        </is>
      </c>
    </row>
    <row r="432">
      <c r="A432">
        <f>HYPERLINK("https://www.walmart.com/ip/980576375", "980576375")</f>
        <v/>
      </c>
      <c r="B432">
        <f>HYPERLINK("https://app.optiwise.ai/catalog/itemdetails/361274", "Large Dog Blanket, Super Soft Fluffy Sherpa Fleece Dog Couch Blankets and Throws for Large Medium  Small Dogs Puppy Doggy Pet Cats, Blue")</f>
        <v/>
      </c>
      <c r="C432" t="inlineStr">
        <is>
          <t>1PSBF560BLLT</t>
        </is>
      </c>
      <c r="D432" t="inlineStr">
        <is>
          <t>Animal Accessories</t>
        </is>
      </c>
      <c r="E432" t="inlineStr">
        <is>
          <t>Pet Blankets</t>
        </is>
      </c>
      <c r="F432" t="inlineStr">
        <is>
          <t>Pawsse</t>
        </is>
      </c>
      <c r="G432" t="n">
        <v>4.8</v>
      </c>
      <c r="H432" t="n">
        <v>22</v>
      </c>
      <c r="I432" t="inlineStr">
        <is>
          <t>Q2-Target,Optimized,WFS,SEM,WFS Item</t>
        </is>
      </c>
      <c r="J432" s="29" t="n">
        <v>53.97</v>
      </c>
      <c r="K432" s="30" t="n">
        <v>0.0005</v>
      </c>
      <c r="L432" s="29" t="n">
        <v>0</v>
      </c>
      <c r="M432" s="29" t="n">
        <v>0</v>
      </c>
      <c r="N432" s="2" t="n">
        <v>3</v>
      </c>
      <c r="O432" s="31" t="n">
        <v>0</v>
      </c>
      <c r="P432" s="32" t="n"/>
      <c r="Q432" s="32" t="n">
        <v>0</v>
      </c>
      <c r="R432" s="32" t="n">
        <v>0.0216</v>
      </c>
      <c r="S432" s="31" t="n">
        <v>0</v>
      </c>
      <c r="T432" s="32" t="n">
        <v>0</v>
      </c>
      <c r="U432" s="31" t="n">
        <v>0</v>
      </c>
      <c r="V432" s="31" t="n">
        <v>0</v>
      </c>
      <c r="W432" s="3" t="n">
        <v>0</v>
      </c>
      <c r="X432" s="3" t="n">
        <v>0</v>
      </c>
      <c r="Y432" s="32" t="n">
        <v>0</v>
      </c>
      <c r="Z432" s="3" t="n">
        <v>0</v>
      </c>
      <c r="AA432" s="32" t="n">
        <v>0</v>
      </c>
      <c r="AB432" s="3" t="n"/>
      <c r="AC432" s="31" t="n">
        <v>0</v>
      </c>
      <c r="AD432" s="2" t="n">
        <v>33</v>
      </c>
      <c r="AE432" s="2" t="n">
        <v>54</v>
      </c>
      <c r="AF432" s="4" t="n">
        <v>54</v>
      </c>
      <c r="AG432" s="33" t="n">
        <v>53.97</v>
      </c>
      <c r="AH432" s="4" t="n">
        <v>3</v>
      </c>
      <c r="AI432" s="34" t="n">
        <v>0.0556</v>
      </c>
      <c r="AJ432" s="34" t="n">
        <v>1</v>
      </c>
      <c r="AK432" s="2" t="n">
        <v>1080</v>
      </c>
      <c r="AL432" t="inlineStr">
        <is>
          <t>Published</t>
        </is>
      </c>
    </row>
    <row r="433">
      <c r="A433">
        <f>HYPERLINK("https://www.walmart.com/ip/5343794728", "5343794728")</f>
        <v/>
      </c>
      <c r="B433">
        <f>HYPERLINK("https://app.optiwise.ai/catalog/itemdetails/8026928", "Tirrinia Large Insulated Lunch Bag for Men and Women, Adult Double-Layer Leakproof Reusable Grocery Bag, Office, Travel, Work Lunch Cooler Tote")</f>
        <v/>
      </c>
      <c r="C433" t="inlineStr">
        <is>
          <t>1TRLB708BL-D</t>
        </is>
      </c>
      <c r="D433" t="inlineStr">
        <is>
          <t>Home Decor, Kitchen, &amp; Other</t>
        </is>
      </c>
      <c r="E433" t="inlineStr">
        <is>
          <t>Reusable Lunch Bags &amp; Boxes</t>
        </is>
      </c>
      <c r="F433" t="inlineStr">
        <is>
          <t>Tirrinia</t>
        </is>
      </c>
      <c r="G433" t="n">
        <v>4.7</v>
      </c>
      <c r="H433" t="n">
        <v>3</v>
      </c>
      <c r="J433" s="29" t="n">
        <v>53.97</v>
      </c>
      <c r="K433" s="30" t="n">
        <v>0.0005</v>
      </c>
      <c r="L433" s="29" t="n">
        <v>0</v>
      </c>
      <c r="M433" s="29" t="n">
        <v>0</v>
      </c>
      <c r="N433" s="2" t="n">
        <v>3</v>
      </c>
      <c r="O433" s="31" t="n">
        <v>0</v>
      </c>
      <c r="P433" s="32" t="n"/>
      <c r="Q433" s="32" t="n">
        <v>0</v>
      </c>
      <c r="R433" s="32" t="n">
        <v>0.0021</v>
      </c>
      <c r="S433" s="31" t="n">
        <v>0</v>
      </c>
      <c r="T433" s="32" t="n">
        <v>0</v>
      </c>
      <c r="U433" s="31" t="n">
        <v>0</v>
      </c>
      <c r="V433" s="31" t="n">
        <v>0</v>
      </c>
      <c r="W433" s="3" t="n">
        <v>0</v>
      </c>
      <c r="X433" s="3" t="n">
        <v>0</v>
      </c>
      <c r="Y433" s="32" t="n">
        <v>0</v>
      </c>
      <c r="Z433" s="3" t="n">
        <v>0</v>
      </c>
      <c r="AA433" s="32" t="n">
        <v>0</v>
      </c>
      <c r="AB433" s="3" t="n"/>
      <c r="AC433" s="31" t="n">
        <v>0</v>
      </c>
      <c r="AD433" s="2" t="n">
        <v>8</v>
      </c>
      <c r="AE433" s="2" t="n">
        <v>152</v>
      </c>
      <c r="AF433" s="4" t="n">
        <v>152</v>
      </c>
      <c r="AG433" s="33" t="n">
        <v>53.97</v>
      </c>
      <c r="AH433" s="4" t="n">
        <v>3</v>
      </c>
      <c r="AI433" s="34" t="n">
        <v>0.0197</v>
      </c>
      <c r="AJ433" s="34" t="n">
        <v>1</v>
      </c>
      <c r="AK433" s="2" t="n">
        <v>4500</v>
      </c>
      <c r="AL433" t="inlineStr">
        <is>
          <t>Published</t>
        </is>
      </c>
    </row>
    <row r="434">
      <c r="A434">
        <f>HYPERLINK("https://www.walmart.com/ip/470057153", "470057153")</f>
        <v/>
      </c>
      <c r="B434">
        <f>HYPERLINK("https://app.optiwise.ai/catalog/itemdetails/360549", "Tirrinia Insulated Lunch Bag for Women, Men and Kids, Leakproof Thermal Reusable Lunch Box Tote, Lunch Cooler for Office Work, Black")</f>
        <v/>
      </c>
      <c r="C434" t="inlineStr">
        <is>
          <t>1WMLB701P1BK</t>
        </is>
      </c>
      <c r="D434" t="inlineStr">
        <is>
          <t>Home Decor, Kitchen, &amp; Other</t>
        </is>
      </c>
      <c r="E434" t="inlineStr">
        <is>
          <t>Reusable Lunch Bags &amp; Boxes</t>
        </is>
      </c>
      <c r="F434" t="inlineStr">
        <is>
          <t>Tirrinia</t>
        </is>
      </c>
      <c r="G434" t="n">
        <v>4.5</v>
      </c>
      <c r="H434" t="n">
        <v>8</v>
      </c>
      <c r="I434" t="inlineStr">
        <is>
          <t>Q2-Target,Lunch Bag,WFS,Lunch Bags,WFS Item</t>
        </is>
      </c>
      <c r="J434" s="29" t="n">
        <v>53.96</v>
      </c>
      <c r="K434" s="30" t="n">
        <v>0.0005</v>
      </c>
      <c r="L434" s="29" t="n">
        <v>0</v>
      </c>
      <c r="M434" s="29" t="n">
        <v>0</v>
      </c>
      <c r="N434" s="2" t="n">
        <v>4</v>
      </c>
      <c r="O434" s="31" t="n">
        <v>0</v>
      </c>
      <c r="P434" s="32" t="n"/>
      <c r="Q434" s="32" t="n">
        <v>0</v>
      </c>
      <c r="R434" s="32" t="n">
        <v>0.2149</v>
      </c>
      <c r="S434" s="31" t="n">
        <v>0</v>
      </c>
      <c r="T434" s="32" t="n">
        <v>0</v>
      </c>
      <c r="U434" s="31" t="n">
        <v>0</v>
      </c>
      <c r="V434" s="31" t="n">
        <v>0</v>
      </c>
      <c r="W434" s="3" t="n">
        <v>0</v>
      </c>
      <c r="X434" s="3" t="n">
        <v>0</v>
      </c>
      <c r="Y434" s="32" t="n">
        <v>0</v>
      </c>
      <c r="Z434" s="3" t="n">
        <v>0</v>
      </c>
      <c r="AA434" s="32" t="n">
        <v>0</v>
      </c>
      <c r="AB434" s="3" t="n"/>
      <c r="AC434" s="31" t="n">
        <v>0</v>
      </c>
      <c r="AD434" s="2" t="n">
        <v>65</v>
      </c>
      <c r="AE434" s="2" t="n">
        <v>150</v>
      </c>
      <c r="AF434" s="4" t="n">
        <v>150</v>
      </c>
      <c r="AG434" s="33" t="n">
        <v>53.96</v>
      </c>
      <c r="AH434" s="4" t="n">
        <v>4</v>
      </c>
      <c r="AI434" s="34" t="n">
        <v>0.0267</v>
      </c>
      <c r="AJ434" s="34" t="n">
        <v>1</v>
      </c>
      <c r="AK434" s="2" t="n">
        <v>3408</v>
      </c>
      <c r="AL434" t="inlineStr">
        <is>
          <t>Published</t>
        </is>
      </c>
    </row>
    <row r="435">
      <c r="A435">
        <f>HYPERLINK("https://www.walmart.com/ip/3081948362", "3081948362")</f>
        <v/>
      </c>
      <c r="B435">
        <f>HYPERLINK("https://app.optiwise.ai/catalog/itemdetails/4971376", "Outdoor Wide Brim Sun Hats Blocking UV Protection Cap UPF 50+ Foldable Mesh Net for Finishing, Hiking, Camping by Solari")</f>
        <v/>
      </c>
      <c r="C435" t="inlineStr">
        <is>
          <t>1SLSH912GN</t>
        </is>
      </c>
      <c r="D435" t="inlineStr">
        <is>
          <t>Clothing</t>
        </is>
      </c>
      <c r="E435" t="inlineStr">
        <is>
          <t>Hats</t>
        </is>
      </c>
      <c r="F435" t="inlineStr">
        <is>
          <t>Solaris</t>
        </is>
      </c>
      <c r="G435" t="n">
        <v>0</v>
      </c>
      <c r="H435" t="n">
        <v>0</v>
      </c>
      <c r="J435" s="29" t="n">
        <v>53.94</v>
      </c>
      <c r="K435" s="30" t="n">
        <v>0.0005</v>
      </c>
      <c r="L435" s="29" t="n">
        <v>17.97999954223633</v>
      </c>
      <c r="M435" s="29" t="n">
        <v>0</v>
      </c>
      <c r="N435" s="2" t="n">
        <v>6</v>
      </c>
      <c r="O435" s="31" t="n">
        <v>0</v>
      </c>
      <c r="P435" s="32" t="n"/>
      <c r="Q435" s="32" t="n">
        <v>0</v>
      </c>
      <c r="R435" s="32" t="n">
        <v>0</v>
      </c>
      <c r="S435" s="31" t="n">
        <v>0</v>
      </c>
      <c r="T435" s="32" t="n">
        <v>0</v>
      </c>
      <c r="U435" s="31" t="n">
        <v>0</v>
      </c>
      <c r="V435" s="31" t="n">
        <v>0</v>
      </c>
      <c r="W435" s="3" t="n">
        <v>0</v>
      </c>
      <c r="X435" s="3" t="n">
        <v>0</v>
      </c>
      <c r="Y435" s="32" t="n">
        <v>0</v>
      </c>
      <c r="Z435" s="3" t="n">
        <v>0</v>
      </c>
      <c r="AA435" s="32" t="n">
        <v>0</v>
      </c>
      <c r="AB435" s="3" t="n"/>
      <c r="AC435" s="31" t="n">
        <v>0</v>
      </c>
      <c r="AD435" s="2" t="n">
        <v>4</v>
      </c>
      <c r="AE435" s="2" t="n">
        <v>23</v>
      </c>
      <c r="AF435" s="4" t="n">
        <v>23</v>
      </c>
      <c r="AG435" s="33" t="n">
        <v>53.94</v>
      </c>
      <c r="AH435" s="4" t="n">
        <v>6</v>
      </c>
      <c r="AI435" s="34" t="n">
        <v>0.2609</v>
      </c>
      <c r="AJ435" s="34" t="n">
        <v>1</v>
      </c>
      <c r="AK435" s="2" t="n">
        <v>2250</v>
      </c>
      <c r="AL435" t="inlineStr">
        <is>
          <t>Published</t>
        </is>
      </c>
    </row>
    <row r="436">
      <c r="A436">
        <f>HYPERLINK("https://www.walmart.com/ip/400932895", "400932895")</f>
        <v/>
      </c>
      <c r="B436">
        <f>HYPERLINK("https://app.optiwise.ai/catalog/itemdetails/6057896", "Tirrinia Single Wine Gift Tote Bag, Insulated Padded Thermal Wine Bottle Carrying Cooler Carrier for Travel, Picnic, Great Gift for Wine Lover, Cheetah")</f>
        <v/>
      </c>
      <c r="C436" t="inlineStr">
        <is>
          <t>1TRWB102CHEETAH</t>
        </is>
      </c>
      <c r="D436" t="inlineStr">
        <is>
          <t>Home Decor, Kitchen, &amp; Other</t>
        </is>
      </c>
      <c r="E436" t="inlineStr">
        <is>
          <t>Wine Totes, Bags &amp; Backpacks</t>
        </is>
      </c>
      <c r="F436" t="inlineStr">
        <is>
          <t>Tirrinia</t>
        </is>
      </c>
      <c r="G436" t="n">
        <v>0</v>
      </c>
      <c r="H436" t="n">
        <v>0</v>
      </c>
      <c r="J436" s="29" t="n">
        <v>52.04</v>
      </c>
      <c r="K436" s="30" t="n">
        <v>0.0004</v>
      </c>
      <c r="L436" s="29" t="n">
        <v>0</v>
      </c>
      <c r="M436" s="29" t="n">
        <v>0</v>
      </c>
      <c r="N436" s="2" t="n">
        <v>4</v>
      </c>
      <c r="O436" s="31" t="n">
        <v>10.99</v>
      </c>
      <c r="P436" s="32" t="n">
        <v>0.0013</v>
      </c>
      <c r="Q436" s="32" t="n">
        <v>0.2112</v>
      </c>
      <c r="R436" s="32" t="n">
        <v>0.1031</v>
      </c>
      <c r="S436" s="31" t="n">
        <v>4.09</v>
      </c>
      <c r="T436" s="32" t="n">
        <v>0.24</v>
      </c>
      <c r="U436" s="31" t="n">
        <v>44.97</v>
      </c>
      <c r="V436" s="31" t="n">
        <v>23.98</v>
      </c>
      <c r="W436" s="3" t="n">
        <v>10001</v>
      </c>
      <c r="X436" s="3" t="n">
        <v>27</v>
      </c>
      <c r="Y436" s="32" t="n">
        <v>0.0027</v>
      </c>
      <c r="Z436" s="3" t="n">
        <v>3</v>
      </c>
      <c r="AA436" s="32" t="n">
        <v>0.1111</v>
      </c>
      <c r="AB436" s="3" t="inlineStr">
        <is>
          <t>All Items_Auto_Optiwise_24,Auto Campaign_Vinay</t>
        </is>
      </c>
      <c r="AC436" s="31" t="n">
        <v>0.41</v>
      </c>
      <c r="AD436" s="2" t="n">
        <v>9</v>
      </c>
      <c r="AE436" s="2" t="n">
        <v>56</v>
      </c>
      <c r="AF436" s="4" t="n">
        <v>29</v>
      </c>
      <c r="AG436" s="33" t="n">
        <v>7.07</v>
      </c>
      <c r="AH436" s="4" t="n">
        <v>1</v>
      </c>
      <c r="AI436" s="34" t="n">
        <v>0.0345</v>
      </c>
      <c r="AJ436" s="34" t="n">
        <v>0.1359</v>
      </c>
      <c r="AK436" s="2" t="n">
        <v>0</v>
      </c>
      <c r="AL436" t="inlineStr">
        <is>
          <t>Published</t>
        </is>
      </c>
    </row>
    <row r="437">
      <c r="A437">
        <f>HYPERLINK("https://www.walmart.com/ip/960610317", "960610317")</f>
        <v/>
      </c>
      <c r="B437">
        <f>HYPERLINK("https://app.optiwise.ai/catalog/itemdetails/360896", "Kato Wine Bottle Opener Set, 5 Pcs Wine Corkscrew Screwpull Accessories Kit with Drink Stickers by Kato, Perfect Wedding Gifts for Wine Lover &amp; Drinker, Silver")</f>
        <v/>
      </c>
      <c r="C437" t="inlineStr">
        <is>
          <t>1KTWO501SLBK</t>
        </is>
      </c>
      <c r="D437" t="inlineStr">
        <is>
          <t>Home Decor, Kitchen, &amp; Other</t>
        </is>
      </c>
      <c r="E437" t="inlineStr">
        <is>
          <t>Barware Sets</t>
        </is>
      </c>
      <c r="F437" t="inlineStr">
        <is>
          <t>Kato</t>
        </is>
      </c>
      <c r="G437" t="n">
        <v>0</v>
      </c>
      <c r="H437" t="n">
        <v>0</v>
      </c>
      <c r="I437" t="inlineStr">
        <is>
          <t>Wine,Christmas,WFS,Valentine,SEM,WFS Item</t>
        </is>
      </c>
      <c r="J437" s="29" t="n">
        <v>52.03</v>
      </c>
      <c r="K437" s="30" t="n">
        <v>0.0004</v>
      </c>
      <c r="L437" s="29" t="n">
        <v>0</v>
      </c>
      <c r="M437" s="29" t="n">
        <v>0</v>
      </c>
      <c r="N437" s="2" t="n">
        <v>3</v>
      </c>
      <c r="O437" s="31" t="n">
        <v>0</v>
      </c>
      <c r="P437" s="32" t="n"/>
      <c r="Q437" s="32" t="n">
        <v>0</v>
      </c>
      <c r="R437" s="32" t="n">
        <v>0</v>
      </c>
      <c r="S437" s="31" t="n">
        <v>0</v>
      </c>
      <c r="T437" s="32" t="n">
        <v>0</v>
      </c>
      <c r="U437" s="31" t="n">
        <v>0</v>
      </c>
      <c r="V437" s="31" t="n">
        <v>0</v>
      </c>
      <c r="W437" s="3" t="n">
        <v>0</v>
      </c>
      <c r="X437" s="3" t="n">
        <v>0</v>
      </c>
      <c r="Y437" s="32" t="n">
        <v>0</v>
      </c>
      <c r="Z437" s="3" t="n">
        <v>0</v>
      </c>
      <c r="AA437" s="32" t="n">
        <v>0</v>
      </c>
      <c r="AB437" s="3" t="n"/>
      <c r="AC437" s="31" t="n">
        <v>0</v>
      </c>
      <c r="AD437" s="2" t="n">
        <v>58</v>
      </c>
      <c r="AE437" s="2" t="n">
        <v>29</v>
      </c>
      <c r="AF437" s="4" t="n">
        <v>29</v>
      </c>
      <c r="AG437" s="33" t="n">
        <v>52.03</v>
      </c>
      <c r="AH437" s="4" t="n">
        <v>3</v>
      </c>
      <c r="AI437" s="34" t="n">
        <v>0.1034</v>
      </c>
      <c r="AJ437" s="34" t="n">
        <v>1</v>
      </c>
      <c r="AK437" s="2" t="n">
        <v>4545</v>
      </c>
      <c r="AL437" t="inlineStr">
        <is>
          <t>Published</t>
        </is>
      </c>
    </row>
    <row r="438">
      <c r="A438">
        <f>HYPERLINK("https://www.walmart.com/ip/14010066234", "14010066234")</f>
        <v/>
      </c>
      <c r="B438">
        <f>HYPERLINK("https://app.optiwise.ai/catalog/itemdetails/13019832", "American Flag Throw Blanket Warm Eagle Flannel Fleece Blanket for Couch, Super Soft Fuzzy Throws Fashion Decorative Plush Fleece Blanket for Sofa Bed Office(50 x 70 in, American Flag &amp; Eagle)")</f>
        <v/>
      </c>
      <c r="C438" t="inlineStr">
        <is>
          <t>1TRBF601USA1</t>
        </is>
      </c>
      <c r="D438" t="inlineStr">
        <is>
          <t>Bedding</t>
        </is>
      </c>
      <c r="E438" t="inlineStr">
        <is>
          <t>Throws</t>
        </is>
      </c>
      <c r="F438" t="inlineStr">
        <is>
          <t>Tirrinia</t>
        </is>
      </c>
      <c r="G438" t="n">
        <v>0</v>
      </c>
      <c r="H438" t="n">
        <v>0</v>
      </c>
      <c r="J438" s="29" t="n">
        <v>51.98</v>
      </c>
      <c r="K438" s="30" t="n">
        <v>0.0004</v>
      </c>
      <c r="L438" s="29" t="n">
        <v>0</v>
      </c>
      <c r="M438" s="29" t="n">
        <v>0</v>
      </c>
      <c r="N438" s="2" t="n">
        <v>2</v>
      </c>
      <c r="O438" s="31" t="n">
        <v>0</v>
      </c>
      <c r="P438" s="32" t="n"/>
      <c r="Q438" s="32" t="n">
        <v>0</v>
      </c>
      <c r="R438" s="32" t="n">
        <v>0</v>
      </c>
      <c r="S438" s="31" t="n">
        <v>0</v>
      </c>
      <c r="T438" s="32" t="n">
        <v>0</v>
      </c>
      <c r="U438" s="31" t="n">
        <v>0</v>
      </c>
      <c r="V438" s="31" t="n">
        <v>0</v>
      </c>
      <c r="W438" s="3" t="n">
        <v>0</v>
      </c>
      <c r="X438" s="3" t="n">
        <v>0</v>
      </c>
      <c r="Y438" s="32" t="n">
        <v>0</v>
      </c>
      <c r="Z438" s="3" t="n">
        <v>0</v>
      </c>
      <c r="AA438" s="32" t="n">
        <v>0</v>
      </c>
      <c r="AB438" s="3" t="n"/>
      <c r="AC438" s="31" t="n">
        <v>0</v>
      </c>
      <c r="AD438" s="2" t="n">
        <v>0</v>
      </c>
      <c r="AE438" s="2" t="n">
        <v>2</v>
      </c>
      <c r="AF438" s="4" t="n">
        <v>2</v>
      </c>
      <c r="AG438" s="33" t="n">
        <v>51.98</v>
      </c>
      <c r="AH438" s="4" t="n">
        <v>2</v>
      </c>
      <c r="AI438" s="34" t="n">
        <v>1</v>
      </c>
      <c r="AJ438" s="34" t="n">
        <v>1</v>
      </c>
      <c r="AK438" s="2" t="n">
        <v>6750</v>
      </c>
      <c r="AL438" t="inlineStr">
        <is>
          <t>Published</t>
        </is>
      </c>
    </row>
    <row r="439">
      <c r="A439">
        <f>HYPERLINK("https://www.walmart.com/ip/1957533576", "1957533576")</f>
        <v/>
      </c>
      <c r="B439">
        <f>HYPERLINK("https://app.optiwise.ai/catalog/itemdetails/7406784", "Catalonia Wearable TV Blanket with Sleeves Arms Micro Plush Fleece Wrap Throw Robe 73 x 51”")</f>
        <v/>
      </c>
      <c r="C439" t="inlineStr">
        <is>
          <t>1CTSN100SWSTAR</t>
        </is>
      </c>
      <c r="D439" t="inlineStr">
        <is>
          <t>Bedding</t>
        </is>
      </c>
      <c r="E439" t="inlineStr">
        <is>
          <t>Throws</t>
        </is>
      </c>
      <c r="F439" t="inlineStr">
        <is>
          <t>Catalonia</t>
        </is>
      </c>
      <c r="G439" t="n">
        <v>0</v>
      </c>
      <c r="H439" t="n">
        <v>0</v>
      </c>
      <c r="J439" s="29" t="n">
        <v>51.98</v>
      </c>
      <c r="K439" s="30" t="n">
        <v>0.0004</v>
      </c>
      <c r="L439" s="29" t="n">
        <v>0</v>
      </c>
      <c r="M439" s="29" t="n">
        <v>0</v>
      </c>
      <c r="N439" s="2" t="n">
        <v>2</v>
      </c>
      <c r="O439" s="31" t="n">
        <v>0</v>
      </c>
      <c r="P439" s="32" t="n"/>
      <c r="Q439" s="32" t="n">
        <v>0</v>
      </c>
      <c r="R439" s="32" t="n">
        <v>0</v>
      </c>
      <c r="S439" s="31" t="n">
        <v>0</v>
      </c>
      <c r="T439" s="32" t="n">
        <v>0</v>
      </c>
      <c r="U439" s="31" t="n">
        <v>0</v>
      </c>
      <c r="V439" s="31" t="n">
        <v>0</v>
      </c>
      <c r="W439" s="3" t="n">
        <v>0</v>
      </c>
      <c r="X439" s="3" t="n">
        <v>0</v>
      </c>
      <c r="Y439" s="32" t="n">
        <v>0</v>
      </c>
      <c r="Z439" s="3" t="n">
        <v>0</v>
      </c>
      <c r="AA439" s="32" t="n">
        <v>0</v>
      </c>
      <c r="AB439" s="3" t="n"/>
      <c r="AC439" s="31" t="n">
        <v>0</v>
      </c>
      <c r="AD439" s="2" t="n">
        <v>64</v>
      </c>
      <c r="AE439" s="2" t="n">
        <v>72</v>
      </c>
      <c r="AF439" s="4" t="n">
        <v>72</v>
      </c>
      <c r="AG439" s="33" t="n">
        <v>51.98</v>
      </c>
      <c r="AH439" s="4" t="n">
        <v>2</v>
      </c>
      <c r="AI439" s="34" t="n">
        <v>0.0278</v>
      </c>
      <c r="AJ439" s="34" t="n">
        <v>1</v>
      </c>
      <c r="AK439" s="2" t="n">
        <v>2565</v>
      </c>
      <c r="AL439" t="inlineStr">
        <is>
          <t>Published</t>
        </is>
      </c>
    </row>
    <row r="440">
      <c r="A440">
        <f>HYPERLINK("https://www.walmart.com/ip/1960712707", "1960712707")</f>
        <v/>
      </c>
      <c r="B440">
        <f>HYPERLINK("https://app.optiwise.ai/catalog/itemdetails/912499", "Kato Outdoors Waterproof Throw Blanket, Stadium Windproof Sherpa Fleece Blanket for Traveling, Camping, Hiking, and Football, Machine Washable, Green, 51'' x 59''")</f>
        <v/>
      </c>
      <c r="C440" t="inlineStr">
        <is>
          <t>1KTBW506GNBK</t>
        </is>
      </c>
      <c r="D440" t="inlineStr">
        <is>
          <t>Bedding</t>
        </is>
      </c>
      <c r="E440" t="inlineStr">
        <is>
          <t>Throws</t>
        </is>
      </c>
      <c r="F440" t="inlineStr">
        <is>
          <t>Kato</t>
        </is>
      </c>
      <c r="G440" t="n">
        <v>0</v>
      </c>
      <c r="H440" t="n">
        <v>0</v>
      </c>
      <c r="I440" t="inlineStr">
        <is>
          <t>Q2-Target,Batch 1 - TR</t>
        </is>
      </c>
      <c r="J440" s="29" t="n">
        <v>51.98</v>
      </c>
      <c r="K440" s="30" t="n">
        <v>0.0004</v>
      </c>
      <c r="L440" s="29" t="n">
        <v>0</v>
      </c>
      <c r="M440" s="29" t="n">
        <v>0</v>
      </c>
      <c r="N440" s="2" t="n">
        <v>2</v>
      </c>
      <c r="O440" s="31" t="n">
        <v>0.53</v>
      </c>
      <c r="P440" s="32" t="n">
        <v>0.0001</v>
      </c>
      <c r="Q440" s="32" t="n">
        <v>0.0102</v>
      </c>
      <c r="R440" s="32" t="n">
        <v>0.1538</v>
      </c>
      <c r="S440" s="31" t="n">
        <v>0</v>
      </c>
      <c r="T440" s="32" t="n">
        <v>0</v>
      </c>
      <c r="U440" s="31" t="n">
        <v>0</v>
      </c>
      <c r="V440" s="31" t="n">
        <v>0</v>
      </c>
      <c r="W440" s="3" t="n">
        <v>1578</v>
      </c>
      <c r="X440" s="3" t="n">
        <v>2</v>
      </c>
      <c r="Y440" s="32" t="n">
        <v>0.0013</v>
      </c>
      <c r="Z440" s="3" t="n">
        <v>0</v>
      </c>
      <c r="AA440" s="32" t="n">
        <v>0</v>
      </c>
      <c r="AB440" s="3" t="inlineStr">
        <is>
          <t>Throws_Auto_Optiwise_24</t>
        </is>
      </c>
      <c r="AC440" s="31" t="n">
        <v>0.27</v>
      </c>
      <c r="AD440" s="2" t="n">
        <v>5</v>
      </c>
      <c r="AE440" s="2" t="n">
        <v>58</v>
      </c>
      <c r="AF440" s="4" t="n">
        <v>56</v>
      </c>
      <c r="AG440" s="33" t="n">
        <v>51.98</v>
      </c>
      <c r="AH440" s="4" t="n">
        <v>2</v>
      </c>
      <c r="AI440" s="34" t="n">
        <v>0.0357</v>
      </c>
      <c r="AJ440" s="34" t="n">
        <v>1</v>
      </c>
      <c r="AK440" s="2" t="n">
        <v>6750</v>
      </c>
      <c r="AL440" t="inlineStr">
        <is>
          <t>Published</t>
        </is>
      </c>
    </row>
    <row r="441">
      <c r="A441">
        <f>HYPERLINK("https://www.walmart.com/ip/545848684", "545848684")</f>
        <v/>
      </c>
      <c r="B441">
        <f>HYPERLINK("https://app.optiwise.ai/catalog/itemdetails/361956", "Sherpa Slipper Socks for Women,Winter Indoor Home Non Skid Booties")</f>
        <v/>
      </c>
      <c r="C441" t="inlineStr">
        <is>
          <t>1CTST200DBL-2</t>
        </is>
      </c>
      <c r="D441" t="inlineStr">
        <is>
          <t>Clothing</t>
        </is>
      </c>
      <c r="E441" t="inlineStr">
        <is>
          <t>Socks</t>
        </is>
      </c>
      <c r="F441" t="inlineStr">
        <is>
          <t>Catalonia</t>
        </is>
      </c>
      <c r="G441" t="n">
        <v>0</v>
      </c>
      <c r="H441" t="n">
        <v>0</v>
      </c>
      <c r="I441" t="inlineStr">
        <is>
          <t>WFS,WFS Item</t>
        </is>
      </c>
      <c r="J441" s="29" t="n">
        <v>51.92</v>
      </c>
      <c r="K441" s="30" t="n">
        <v>0.0004</v>
      </c>
      <c r="L441" s="29" t="n">
        <v>0</v>
      </c>
      <c r="M441" s="29" t="n">
        <v>0</v>
      </c>
      <c r="N441" s="2" t="n">
        <v>4</v>
      </c>
      <c r="O441" s="31" t="n">
        <v>0</v>
      </c>
      <c r="P441" s="32" t="n"/>
      <c r="Q441" s="32" t="n">
        <v>0</v>
      </c>
      <c r="R441" s="32" t="n">
        <v>0</v>
      </c>
      <c r="S441" s="31" t="n">
        <v>0</v>
      </c>
      <c r="T441" s="32" t="n">
        <v>0</v>
      </c>
      <c r="U441" s="31" t="n">
        <v>0</v>
      </c>
      <c r="V441" s="31" t="n">
        <v>0</v>
      </c>
      <c r="W441" s="3" t="n">
        <v>0</v>
      </c>
      <c r="X441" s="3" t="n">
        <v>0</v>
      </c>
      <c r="Y441" s="32" t="n">
        <v>0</v>
      </c>
      <c r="Z441" s="3" t="n">
        <v>0</v>
      </c>
      <c r="AA441" s="32" t="n">
        <v>0</v>
      </c>
      <c r="AB441" s="3" t="n"/>
      <c r="AC441" s="31" t="n">
        <v>0</v>
      </c>
      <c r="AD441" s="2" t="n">
        <v>0</v>
      </c>
      <c r="AE441" s="2" t="n">
        <v>10</v>
      </c>
      <c r="AF441" s="4" t="n">
        <v>10</v>
      </c>
      <c r="AG441" s="33" t="n">
        <v>51.92</v>
      </c>
      <c r="AH441" s="4" t="n">
        <v>4</v>
      </c>
      <c r="AI441" s="34" t="n">
        <v>0.4</v>
      </c>
      <c r="AJ441" s="34" t="n">
        <v>1</v>
      </c>
      <c r="AK441" s="2" t="n">
        <v>1991</v>
      </c>
      <c r="AL441" t="inlineStr">
        <is>
          <t>Published</t>
        </is>
      </c>
    </row>
    <row r="442">
      <c r="A442">
        <f>HYPERLINK("https://www.walmart.com/ip/2590334744", "2590334744")</f>
        <v/>
      </c>
      <c r="B442">
        <f>HYPERLINK("https://app.optiwise.ai/catalog/itemdetails/4971375", "Outdoor Wide Brim Sun Hats Blocking UV Protection Cap UPF 50+ Foldable Mesh Net for Finishing, Hiking, Camping by Solari")</f>
        <v/>
      </c>
      <c r="C442" t="inlineStr">
        <is>
          <t>1SLSH912GY</t>
        </is>
      </c>
      <c r="D442" t="inlineStr">
        <is>
          <t>Clothing</t>
        </is>
      </c>
      <c r="E442" t="inlineStr">
        <is>
          <t>Hats</t>
        </is>
      </c>
      <c r="F442" t="inlineStr">
        <is>
          <t>Solaris</t>
        </is>
      </c>
      <c r="G442" t="n">
        <v>0</v>
      </c>
      <c r="H442" t="n">
        <v>0</v>
      </c>
      <c r="I442" t="inlineStr">
        <is>
          <t>Hats</t>
        </is>
      </c>
      <c r="J442" s="29" t="n">
        <v>50.97</v>
      </c>
      <c r="K442" s="30" t="n">
        <v>0.0004</v>
      </c>
      <c r="L442" s="29" t="n">
        <v>16.98999977111816</v>
      </c>
      <c r="M442" s="29" t="n">
        <v>0</v>
      </c>
      <c r="N442" s="2" t="n">
        <v>3</v>
      </c>
      <c r="O442" s="31" t="n">
        <v>0</v>
      </c>
      <c r="P442" s="32" t="n"/>
      <c r="Q442" s="32" t="n">
        <v>0</v>
      </c>
      <c r="R442" s="32" t="n">
        <v>0</v>
      </c>
      <c r="S442" s="31" t="n">
        <v>0</v>
      </c>
      <c r="T442" s="32" t="n">
        <v>0</v>
      </c>
      <c r="U442" s="31" t="n">
        <v>0</v>
      </c>
      <c r="V442" s="31" t="n">
        <v>0</v>
      </c>
      <c r="W442" s="3" t="n">
        <v>0</v>
      </c>
      <c r="X442" s="3" t="n">
        <v>0</v>
      </c>
      <c r="Y442" s="32" t="n">
        <v>0</v>
      </c>
      <c r="Z442" s="3" t="n">
        <v>0</v>
      </c>
      <c r="AA442" s="32" t="n">
        <v>0</v>
      </c>
      <c r="AB442" s="3" t="n"/>
      <c r="AC442" s="31" t="n">
        <v>0</v>
      </c>
      <c r="AD442" s="2" t="n">
        <v>0</v>
      </c>
      <c r="AE442" s="2" t="n">
        <v>21</v>
      </c>
      <c r="AF442" s="4" t="n">
        <v>21</v>
      </c>
      <c r="AG442" s="33" t="n">
        <v>50.97</v>
      </c>
      <c r="AH442" s="4" t="n">
        <v>3</v>
      </c>
      <c r="AI442" s="34" t="n">
        <v>0.1429</v>
      </c>
      <c r="AJ442" s="34" t="n">
        <v>1</v>
      </c>
      <c r="AK442" s="2" t="n">
        <v>4500</v>
      </c>
      <c r="AL442" t="inlineStr">
        <is>
          <t>Published</t>
        </is>
      </c>
    </row>
    <row r="443">
      <c r="A443">
        <f>HYPERLINK("https://www.walmart.com/ip/2268437068", "2268437068")</f>
        <v/>
      </c>
      <c r="B443">
        <f>HYPERLINK("https://app.optiwise.ai/catalog/itemdetails/7388659", "Tirrinia Insulated Lunch Bag for Women and Men, Double-Layer Leak-Proof Reusable Lunch Box with 4 Pockets, Large, 17L, Dark Blue, 9.85 x 8.72 x 10.63")</f>
        <v/>
      </c>
      <c r="C443" t="inlineStr">
        <is>
          <t>1TRLB701DBL-D</t>
        </is>
      </c>
      <c r="D443" t="inlineStr">
        <is>
          <t>Home Decor, Kitchen, &amp; Other</t>
        </is>
      </c>
      <c r="E443" t="inlineStr">
        <is>
          <t>Reusable Lunch Bags &amp; Boxes</t>
        </is>
      </c>
      <c r="F443" t="inlineStr">
        <is>
          <t>Tirrinia</t>
        </is>
      </c>
      <c r="G443" t="n">
        <v>0</v>
      </c>
      <c r="H443" t="n">
        <v>0</v>
      </c>
      <c r="I443" t="inlineStr">
        <is>
          <t>Q2-Target</t>
        </is>
      </c>
      <c r="J443" s="29" t="n">
        <v>50.97</v>
      </c>
      <c r="K443" s="30" t="n">
        <v>0.0004</v>
      </c>
      <c r="L443" s="29" t="n">
        <v>0</v>
      </c>
      <c r="M443" s="29" t="n">
        <v>0</v>
      </c>
      <c r="N443" s="2" t="n">
        <v>3</v>
      </c>
      <c r="O443" s="31" t="n">
        <v>0</v>
      </c>
      <c r="P443" s="32" t="n"/>
      <c r="Q443" s="32" t="n">
        <v>0</v>
      </c>
      <c r="R443" s="32" t="n">
        <v>0.0261</v>
      </c>
      <c r="S443" s="31" t="n">
        <v>0</v>
      </c>
      <c r="T443" s="32" t="n">
        <v>0</v>
      </c>
      <c r="U443" s="31" t="n">
        <v>0</v>
      </c>
      <c r="V443" s="31" t="n">
        <v>0</v>
      </c>
      <c r="W443" s="3" t="n">
        <v>0</v>
      </c>
      <c r="X443" s="3" t="n">
        <v>0</v>
      </c>
      <c r="Y443" s="32" t="n">
        <v>0</v>
      </c>
      <c r="Z443" s="3" t="n">
        <v>0</v>
      </c>
      <c r="AA443" s="32" t="n">
        <v>0</v>
      </c>
      <c r="AB443" s="3" t="n"/>
      <c r="AC443" s="31" t="n">
        <v>0</v>
      </c>
      <c r="AD443" s="2" t="n">
        <v>0</v>
      </c>
      <c r="AE443" s="2" t="n">
        <v>86</v>
      </c>
      <c r="AF443" s="4" t="n">
        <v>86</v>
      </c>
      <c r="AG443" s="33" t="n">
        <v>50.97</v>
      </c>
      <c r="AH443" s="4" t="n">
        <v>3</v>
      </c>
      <c r="AI443" s="34" t="n">
        <v>0.0349</v>
      </c>
      <c r="AJ443" s="34" t="n">
        <v>1</v>
      </c>
      <c r="AK443" s="2" t="n">
        <v>4500</v>
      </c>
      <c r="AL443" t="inlineStr">
        <is>
          <t>Published</t>
        </is>
      </c>
    </row>
    <row r="444">
      <c r="A444">
        <f>HYPERLINK("https://www.walmart.com/ip/943235643", "943235643")</f>
        <v/>
      </c>
      <c r="B444">
        <f>HYPERLINK("https://app.optiwise.ai/catalog/itemdetails/361840", "Insulated Expandable Lunch Bags Tote Thermal Cooler Leak Proof Travel Container Food Case for Adults Adjustable Shoulder")</f>
        <v/>
      </c>
      <c r="C444" t="inlineStr">
        <is>
          <t>1KTLB110GY</t>
        </is>
      </c>
      <c r="D444" t="inlineStr">
        <is>
          <t>Cases &amp; Bags</t>
        </is>
      </c>
      <c r="E444" t="inlineStr">
        <is>
          <t>Reusable Lunch Bags &amp; Boxes</t>
        </is>
      </c>
      <c r="F444" t="inlineStr">
        <is>
          <t>Kato</t>
        </is>
      </c>
      <c r="G444" t="n">
        <v>0</v>
      </c>
      <c r="H444" t="n">
        <v>0</v>
      </c>
      <c r="I444" t="inlineStr">
        <is>
          <t>Lunch Bag,Optimized,Lunch Bags,SEM</t>
        </is>
      </c>
      <c r="J444" s="29" t="n">
        <v>50.97</v>
      </c>
      <c r="K444" s="30" t="n">
        <v>0.0004</v>
      </c>
      <c r="L444" s="29" t="n">
        <v>0</v>
      </c>
      <c r="M444" s="29" t="n">
        <v>0</v>
      </c>
      <c r="N444" s="2" t="n">
        <v>3</v>
      </c>
      <c r="O444" s="31" t="n">
        <v>0</v>
      </c>
      <c r="P444" s="32" t="n"/>
      <c r="Q444" s="32" t="n">
        <v>0</v>
      </c>
      <c r="R444" s="32" t="n">
        <v>0</v>
      </c>
      <c r="S444" s="31" t="n">
        <v>0</v>
      </c>
      <c r="T444" s="32" t="n">
        <v>0</v>
      </c>
      <c r="U444" s="31" t="n">
        <v>0</v>
      </c>
      <c r="V444" s="31" t="n">
        <v>0</v>
      </c>
      <c r="W444" s="3" t="n">
        <v>0</v>
      </c>
      <c r="X444" s="3" t="n">
        <v>0</v>
      </c>
      <c r="Y444" s="32" t="n">
        <v>0</v>
      </c>
      <c r="Z444" s="3" t="n">
        <v>0</v>
      </c>
      <c r="AA444" s="32" t="n">
        <v>0</v>
      </c>
      <c r="AB444" s="3" t="n"/>
      <c r="AC444" s="31" t="n">
        <v>0</v>
      </c>
      <c r="AD444" s="2" t="n">
        <v>0</v>
      </c>
      <c r="AE444" s="2" t="n">
        <v>28</v>
      </c>
      <c r="AF444" s="4" t="n">
        <v>28</v>
      </c>
      <c r="AG444" s="33" t="n">
        <v>50.97</v>
      </c>
      <c r="AH444" s="4" t="n">
        <v>3</v>
      </c>
      <c r="AI444" s="34" t="n">
        <v>0.1071</v>
      </c>
      <c r="AJ444" s="34" t="n">
        <v>1</v>
      </c>
      <c r="AK444" s="2" t="n">
        <v>4500</v>
      </c>
      <c r="AL444" t="inlineStr">
        <is>
          <t>Published</t>
        </is>
      </c>
    </row>
    <row r="445">
      <c r="A445">
        <f>HYPERLINK("https://www.walmart.com/ip/588720049", "588720049")</f>
        <v/>
      </c>
      <c r="B445">
        <f>HYPERLINK("https://app.optiwise.ai/catalog/itemdetails/416946", "Tirrinia Super Soft Plush Christmas Fleece Throw Blanket, Sherpa, Grey Buffalo Plaid, 50 x 60")</f>
        <v/>
      </c>
      <c r="C445" t="inlineStr">
        <is>
          <t>1TRBF569PGY-TBCB</t>
        </is>
      </c>
      <c r="D445" t="inlineStr">
        <is>
          <t>Bedding</t>
        </is>
      </c>
      <c r="E445" t="inlineStr">
        <is>
          <t>Throws</t>
        </is>
      </c>
      <c r="F445" t="inlineStr">
        <is>
          <t>Tirrinia</t>
        </is>
      </c>
      <c r="G445" t="n">
        <v>5</v>
      </c>
      <c r="H445" t="n">
        <v>3</v>
      </c>
      <c r="I445" t="inlineStr">
        <is>
          <t>Optimized,Coupon_Discount</t>
        </is>
      </c>
      <c r="J445" s="29" t="n">
        <v>50.97</v>
      </c>
      <c r="K445" s="30" t="n">
        <v>0.0004</v>
      </c>
      <c r="L445" s="29" t="n">
        <v>16.98999977111816</v>
      </c>
      <c r="M445" s="29" t="n">
        <v>0</v>
      </c>
      <c r="N445" s="2" t="n">
        <v>3</v>
      </c>
      <c r="O445" s="31" t="n">
        <v>0</v>
      </c>
      <c r="P445" s="32" t="n"/>
      <c r="Q445" s="32" t="n">
        <v>0</v>
      </c>
      <c r="R445" s="32" t="n">
        <v>0</v>
      </c>
      <c r="S445" s="31" t="n">
        <v>0</v>
      </c>
      <c r="T445" s="32" t="n">
        <v>0</v>
      </c>
      <c r="U445" s="31" t="n">
        <v>0</v>
      </c>
      <c r="V445" s="31" t="n">
        <v>0</v>
      </c>
      <c r="W445" s="3" t="n">
        <v>0</v>
      </c>
      <c r="X445" s="3" t="n">
        <v>0</v>
      </c>
      <c r="Y445" s="32" t="n">
        <v>0</v>
      </c>
      <c r="Z445" s="3" t="n">
        <v>0</v>
      </c>
      <c r="AA445" s="32" t="n">
        <v>0</v>
      </c>
      <c r="AB445" s="3" t="n"/>
      <c r="AC445" s="31" t="n">
        <v>0</v>
      </c>
      <c r="AD445" s="2" t="n">
        <v>136</v>
      </c>
      <c r="AE445" s="2" t="n">
        <v>19</v>
      </c>
      <c r="AF445" s="4" t="n">
        <v>117</v>
      </c>
      <c r="AG445" s="33" t="n">
        <v>50.97</v>
      </c>
      <c r="AH445" s="4" t="n">
        <v>3</v>
      </c>
      <c r="AI445" s="34" t="n">
        <v>0.0256</v>
      </c>
      <c r="AJ445" s="34" t="n">
        <v>1</v>
      </c>
      <c r="AK445" s="2" t="n">
        <v>4500</v>
      </c>
      <c r="AL445" t="inlineStr">
        <is>
          <t>Published</t>
        </is>
      </c>
    </row>
    <row r="446">
      <c r="A446">
        <f>HYPERLINK("https://www.walmart.com/ip/653063425", "653063425")</f>
        <v/>
      </c>
      <c r="B446">
        <f>HYPERLINK("https://app.optiwise.ai/catalog/itemdetails/361608", "Single Wine Cooler Bags - Insulated &amp; Padded Portable Wine Tote Carrier for Travel, BYOB Restaurant, Wine Tasting, Party, Great Christmas Gift for Wine Lover, Black")</f>
        <v/>
      </c>
      <c r="C446" t="inlineStr">
        <is>
          <t>1WMWB101BK</t>
        </is>
      </c>
      <c r="D446" t="inlineStr">
        <is>
          <t>Home Decor, Kitchen, &amp; Other</t>
        </is>
      </c>
      <c r="E446" t="inlineStr">
        <is>
          <t>Wine Totes, Bags &amp; Backpacks</t>
        </is>
      </c>
      <c r="F446" t="inlineStr">
        <is>
          <t>Flyingstar</t>
        </is>
      </c>
      <c r="G446" t="n">
        <v>0</v>
      </c>
      <c r="H446" t="n">
        <v>0</v>
      </c>
      <c r="I446" t="inlineStr">
        <is>
          <t>Wine,Christmas,Optimized,Valentine,SEM</t>
        </is>
      </c>
      <c r="J446" s="29" t="n">
        <v>50.97</v>
      </c>
      <c r="K446" s="30" t="n">
        <v>0.0004</v>
      </c>
      <c r="L446" s="29" t="n">
        <v>0</v>
      </c>
      <c r="M446" s="29" t="n">
        <v>0</v>
      </c>
      <c r="N446" s="2" t="n">
        <v>3</v>
      </c>
      <c r="O446" s="31" t="n">
        <v>0.22</v>
      </c>
      <c r="P446" s="32" t="n"/>
      <c r="Q446" s="32" t="n">
        <v>0.0043</v>
      </c>
      <c r="R446" s="32" t="n">
        <v>0.0234</v>
      </c>
      <c r="S446" s="31" t="n">
        <v>0</v>
      </c>
      <c r="T446" s="32" t="n">
        <v>0</v>
      </c>
      <c r="U446" s="31" t="n">
        <v>0</v>
      </c>
      <c r="V446" s="31" t="n">
        <v>0</v>
      </c>
      <c r="W446" s="3" t="n">
        <v>3452</v>
      </c>
      <c r="X446" s="3" t="n">
        <v>1</v>
      </c>
      <c r="Y446" s="32" t="n">
        <v>0.0003</v>
      </c>
      <c r="Z446" s="3" t="n">
        <v>0</v>
      </c>
      <c r="AA446" s="32" t="n">
        <v>0</v>
      </c>
      <c r="AB446" s="3" t="inlineStr">
        <is>
          <t>Auto Campaign_Vinay</t>
        </is>
      </c>
      <c r="AC446" s="31" t="n">
        <v>0.22</v>
      </c>
      <c r="AD446" s="2" t="n">
        <v>0</v>
      </c>
      <c r="AE446" s="2" t="n">
        <v>54</v>
      </c>
      <c r="AF446" s="4" t="n">
        <v>53</v>
      </c>
      <c r="AG446" s="33" t="n">
        <v>50.97</v>
      </c>
      <c r="AH446" s="4" t="n">
        <v>3</v>
      </c>
      <c r="AI446" s="34" t="n">
        <v>0.0566</v>
      </c>
      <c r="AJ446" s="34" t="n">
        <v>1</v>
      </c>
      <c r="AK446" s="2" t="n">
        <v>4500</v>
      </c>
      <c r="AL446" t="inlineStr">
        <is>
          <t>Published</t>
        </is>
      </c>
    </row>
    <row r="447">
      <c r="A447">
        <f>HYPERLINK("https://www.walmart.com/ip/191373832", "191373832")</f>
        <v/>
      </c>
      <c r="B447">
        <f>HYPERLINK("https://app.optiwise.ai/catalog/itemdetails/359318", "Kato 6 Bottle Wine Cooler Bag, Leak-Proof Insulated Wine Carrier for Travel, Picnic &amp;amp; Camping, Gray")</f>
        <v/>
      </c>
      <c r="C447" t="inlineStr">
        <is>
          <t>1KTWB610GY</t>
        </is>
      </c>
      <c r="D447" t="inlineStr">
        <is>
          <t>Home Decor, Kitchen, &amp; Other</t>
        </is>
      </c>
      <c r="E447" t="inlineStr">
        <is>
          <t>Wine Totes, Bags &amp; Backpacks</t>
        </is>
      </c>
      <c r="F447" t="inlineStr">
        <is>
          <t>Kato</t>
        </is>
      </c>
      <c r="G447" t="n">
        <v>2</v>
      </c>
      <c r="H447" t="n">
        <v>1</v>
      </c>
      <c r="J447" s="29" t="n">
        <v>50.97</v>
      </c>
      <c r="K447" s="30" t="n">
        <v>0.0004</v>
      </c>
      <c r="L447" s="29" t="n">
        <v>0</v>
      </c>
      <c r="M447" s="29" t="n">
        <v>0</v>
      </c>
      <c r="N447" s="2" t="n">
        <v>2</v>
      </c>
      <c r="O447" s="31" t="n">
        <v>7.16</v>
      </c>
      <c r="P447" s="32" t="n">
        <v>0.0009</v>
      </c>
      <c r="Q447" s="32" t="n">
        <v>0.1405</v>
      </c>
      <c r="R447" s="32" t="n">
        <v>0</v>
      </c>
      <c r="S447" s="31" t="n">
        <v>5.58</v>
      </c>
      <c r="T447" s="32" t="n">
        <v>0.18</v>
      </c>
      <c r="U447" s="31" t="n">
        <v>39.98</v>
      </c>
      <c r="V447" s="31" t="n">
        <v>39.98</v>
      </c>
      <c r="W447" s="3" t="n">
        <v>17657</v>
      </c>
      <c r="X447" s="3" t="n">
        <v>12</v>
      </c>
      <c r="Y447" s="32" t="n">
        <v>0.0007</v>
      </c>
      <c r="Z447" s="3" t="n">
        <v>2</v>
      </c>
      <c r="AA447" s="32" t="n">
        <v>0.1667</v>
      </c>
      <c r="AB447" s="3" t="inlineStr">
        <is>
          <t>Auto Campaign_Vinay</t>
        </is>
      </c>
      <c r="AC447" s="31" t="n">
        <v>0.6</v>
      </c>
      <c r="AD447" s="2" t="n">
        <v>0</v>
      </c>
      <c r="AE447" s="2" t="n">
        <v>58</v>
      </c>
      <c r="AF447" s="4" t="n">
        <v>46</v>
      </c>
      <c r="AG447" s="33" t="n">
        <v>10.99</v>
      </c>
      <c r="AH447" s="4" t="n">
        <v>0</v>
      </c>
      <c r="AI447" s="34" t="n"/>
      <c r="AJ447" s="34" t="n">
        <v>0.2156</v>
      </c>
      <c r="AK447" s="2" t="n">
        <v>7222</v>
      </c>
      <c r="AL447" t="inlineStr">
        <is>
          <t>Published</t>
        </is>
      </c>
    </row>
    <row r="448">
      <c r="A448">
        <f>HYPERLINK("https://www.walmart.com/ip/120083298", "120083298")</f>
        <v/>
      </c>
      <c r="B448">
        <f>HYPERLINK("https://app.optiwise.ai/catalog/itemdetails/360763", "Puppy Blanket,Super Soft Sherpa Dog Blankets and Throws Cat Fleece Sleeping Mat for Pet Small Animals 45x30 Blue")</f>
        <v/>
      </c>
      <c r="C448" t="inlineStr">
        <is>
          <t>1PSBF345BLLT</t>
        </is>
      </c>
      <c r="D448" t="inlineStr">
        <is>
          <t>Animal Accessories</t>
        </is>
      </c>
      <c r="E448" t="inlineStr">
        <is>
          <t>Pet Blankets</t>
        </is>
      </c>
      <c r="F448" t="inlineStr">
        <is>
          <t>Pawsse</t>
        </is>
      </c>
      <c r="G448" t="n">
        <v>4</v>
      </c>
      <c r="H448" t="n">
        <v>2</v>
      </c>
      <c r="I448" t="inlineStr">
        <is>
          <t>WFS,WFS Item</t>
        </is>
      </c>
      <c r="J448" s="29" t="n">
        <v>50.94</v>
      </c>
      <c r="K448" s="30" t="n">
        <v>0.0004</v>
      </c>
      <c r="L448" s="29" t="n">
        <v>0</v>
      </c>
      <c r="M448" s="29" t="n">
        <v>0</v>
      </c>
      <c r="N448" s="2" t="n">
        <v>3</v>
      </c>
      <c r="O448" s="31" t="n">
        <v>5.240000000000001</v>
      </c>
      <c r="P448" s="32" t="n">
        <v>0.0005999999999999999</v>
      </c>
      <c r="Q448" s="32" t="n">
        <v>0.1029</v>
      </c>
      <c r="R448" s="32" t="n">
        <v>0.9463</v>
      </c>
      <c r="S448" s="31" t="n">
        <v>6.67</v>
      </c>
      <c r="T448" s="32" t="n">
        <v>0.15</v>
      </c>
      <c r="U448" s="31" t="n">
        <v>34.97</v>
      </c>
      <c r="V448" s="31" t="n">
        <v>34.97</v>
      </c>
      <c r="W448" s="3" t="n">
        <v>47994</v>
      </c>
      <c r="X448" s="3" t="n">
        <v>20</v>
      </c>
      <c r="Y448" s="32" t="n">
        <v>0.0004</v>
      </c>
      <c r="Z448" s="3" t="n">
        <v>2</v>
      </c>
      <c r="AA448" s="32" t="n">
        <v>0.1</v>
      </c>
      <c r="AB448" s="3" t="inlineStr">
        <is>
          <t>Auto for BW PET 2 ---Rachel,Pet Blankets_Auto_Optiwise_24</t>
        </is>
      </c>
      <c r="AC448" s="31" t="n">
        <v>0.26</v>
      </c>
      <c r="AD448" s="2" t="n">
        <v>19</v>
      </c>
      <c r="AE448" s="2" t="n">
        <v>26</v>
      </c>
      <c r="AF448" s="4" t="n">
        <v>6</v>
      </c>
      <c r="AG448" s="33" t="n">
        <v>15.97</v>
      </c>
      <c r="AH448" s="4" t="n">
        <v>1</v>
      </c>
      <c r="AI448" s="34" t="n">
        <v>0.1667</v>
      </c>
      <c r="AJ448" s="34" t="n">
        <v>0.3135</v>
      </c>
      <c r="AK448" s="2" t="n">
        <v>0</v>
      </c>
      <c r="AL448" t="inlineStr">
        <is>
          <t>Published</t>
        </is>
      </c>
    </row>
    <row r="449">
      <c r="A449">
        <f>HYPERLINK("https://www.walmart.com/ip/5162289653", "5162289653")</f>
        <v/>
      </c>
      <c r="B449">
        <f>HYPERLINK("https://app.optiwise.ai/catalog/itemdetails/7687618", "Tirrinia 2 Bottle Wine Gift Tote Carrier, Leakproof and Insulated with large pockets Wine Cooler Bag for Travel, Wine Tasting, Party, Dinner, Great Christmas Gift for Wine Lover, Grey")</f>
        <v/>
      </c>
      <c r="C449" t="inlineStr">
        <is>
          <t>1TRWB222GY</t>
        </is>
      </c>
      <c r="D449" t="inlineStr">
        <is>
          <t>Home Decor, Kitchen, &amp; Other</t>
        </is>
      </c>
      <c r="E449" t="inlineStr">
        <is>
          <t>Wine Totes, Bags &amp; Backpacks</t>
        </is>
      </c>
      <c r="F449" t="inlineStr">
        <is>
          <t>Tirrinia</t>
        </is>
      </c>
      <c r="G449" t="n">
        <v>0</v>
      </c>
      <c r="H449" t="n">
        <v>0</v>
      </c>
      <c r="J449" s="29" t="n">
        <v>49.98</v>
      </c>
      <c r="K449" s="30" t="n">
        <v>0.0004</v>
      </c>
      <c r="L449" s="29" t="n">
        <v>0</v>
      </c>
      <c r="M449" s="29" t="n">
        <v>0</v>
      </c>
      <c r="N449" s="2" t="n">
        <v>2</v>
      </c>
      <c r="O449" s="31" t="n">
        <v>4.92</v>
      </c>
      <c r="P449" s="32" t="n">
        <v>0.0005999999999999999</v>
      </c>
      <c r="Q449" s="32" t="n">
        <v>0.0984</v>
      </c>
      <c r="R449" s="32" t="n">
        <v>0.0177</v>
      </c>
      <c r="S449" s="31" t="n">
        <v>0</v>
      </c>
      <c r="T449" s="32" t="n">
        <v>0</v>
      </c>
      <c r="U449" s="31" t="n">
        <v>0</v>
      </c>
      <c r="V449" s="31" t="n">
        <v>0</v>
      </c>
      <c r="W449" s="3" t="n">
        <v>10776</v>
      </c>
      <c r="X449" s="3" t="n">
        <v>10</v>
      </c>
      <c r="Y449" s="32" t="n">
        <v>0.0009</v>
      </c>
      <c r="Z449" s="3" t="n">
        <v>0</v>
      </c>
      <c r="AA449" s="32" t="n">
        <v>0</v>
      </c>
      <c r="AB449" s="3" t="inlineStr">
        <is>
          <t>All Items_Auto_Optiwise_24,Auto Campaign_Vinay,WFS Inventory</t>
        </is>
      </c>
      <c r="AC449" s="31" t="n">
        <v>0.49</v>
      </c>
      <c r="AD449" s="2" t="n">
        <v>0</v>
      </c>
      <c r="AE449" s="2" t="n">
        <v>39</v>
      </c>
      <c r="AF449" s="4" t="n">
        <v>29</v>
      </c>
      <c r="AG449" s="33" t="n">
        <v>49.98</v>
      </c>
      <c r="AH449" s="4" t="n">
        <v>2</v>
      </c>
      <c r="AI449" s="34" t="n">
        <v>0.06900000000000001</v>
      </c>
      <c r="AJ449" s="34" t="n">
        <v>1</v>
      </c>
      <c r="AK449" s="2" t="n">
        <v>7290</v>
      </c>
      <c r="AL449" t="inlineStr">
        <is>
          <t>Published</t>
        </is>
      </c>
    </row>
    <row r="450">
      <c r="A450">
        <f>HYPERLINK("https://www.walmart.com/ip/643661221", "643661221")</f>
        <v/>
      </c>
      <c r="B450">
        <f>HYPERLINK("https://app.optiwise.ai/catalog/itemdetails/362451", "Kato 4 Glass and 2 Wine Bottle Holder, Wine Glass Hanging Drying Stand Organizer on Countertop with Free Corkscrew, Wine Rack, Bamboo")</f>
        <v/>
      </c>
      <c r="C450" t="inlineStr">
        <is>
          <t>1KTBR100</t>
        </is>
      </c>
      <c r="D450" t="inlineStr">
        <is>
          <t>Home Decor, Kitchen, &amp; Other</t>
        </is>
      </c>
      <c r="E450" t="inlineStr">
        <is>
          <t>Wine Racks</t>
        </is>
      </c>
      <c r="F450" t="inlineStr">
        <is>
          <t>Kato</t>
        </is>
      </c>
      <c r="G450" t="n">
        <v>4.6</v>
      </c>
      <c r="H450" t="n">
        <v>51</v>
      </c>
      <c r="I450" t="inlineStr">
        <is>
          <t>Wine,Q2-Target,Christmas,Optimized,Wine WFS,Valentine</t>
        </is>
      </c>
      <c r="J450" s="29" t="n">
        <v>49.98</v>
      </c>
      <c r="K450" s="30" t="n">
        <v>0.0004</v>
      </c>
      <c r="L450" s="29" t="n">
        <v>24.98999977111816</v>
      </c>
      <c r="M450" s="29" t="n">
        <v>0</v>
      </c>
      <c r="N450" s="2" t="n">
        <v>2</v>
      </c>
      <c r="O450" s="31" t="n">
        <v>0</v>
      </c>
      <c r="P450" s="32" t="n"/>
      <c r="Q450" s="32" t="n">
        <v>0</v>
      </c>
      <c r="R450" s="32" t="n">
        <v>0.0133</v>
      </c>
      <c r="S450" s="31" t="n">
        <v>0</v>
      </c>
      <c r="T450" s="32" t="n">
        <v>0</v>
      </c>
      <c r="U450" s="31" t="n">
        <v>0</v>
      </c>
      <c r="V450" s="31" t="n">
        <v>0</v>
      </c>
      <c r="W450" s="3" t="n">
        <v>0</v>
      </c>
      <c r="X450" s="3" t="n">
        <v>0</v>
      </c>
      <c r="Y450" s="32" t="n">
        <v>0</v>
      </c>
      <c r="Z450" s="3" t="n">
        <v>0</v>
      </c>
      <c r="AA450" s="32" t="n">
        <v>0</v>
      </c>
      <c r="AB450" s="3" t="n"/>
      <c r="AC450" s="31" t="n">
        <v>0</v>
      </c>
      <c r="AD450" s="2" t="n">
        <v>84</v>
      </c>
      <c r="AE450" s="2" t="n">
        <v>107</v>
      </c>
      <c r="AF450" s="4" t="n">
        <v>107</v>
      </c>
      <c r="AG450" s="33" t="n">
        <v>49.98</v>
      </c>
      <c r="AH450" s="4" t="n">
        <v>2</v>
      </c>
      <c r="AI450" s="34" t="n">
        <v>0.0187</v>
      </c>
      <c r="AJ450" s="34" t="n">
        <v>1</v>
      </c>
      <c r="AK450" s="2" t="n">
        <v>67</v>
      </c>
      <c r="AL450" t="inlineStr">
        <is>
          <t>Published</t>
        </is>
      </c>
    </row>
    <row r="451">
      <c r="A451">
        <f>HYPERLINK("https://www.walmart.com/ip/9547970981", "9547970981")</f>
        <v/>
      </c>
      <c r="B451">
        <f>HYPERLINK("https://app.optiwise.ai/catalog/itemdetails/9941260", "Lee Clear Water Resistant Backpack for Boys and Girls, Durable See Thru Book Bag, Backpacks for School, Laptop Backpack, Ideal for Stadiums, Concerts, and Casual Use, Clear Grey")</f>
        <v/>
      </c>
      <c r="C451" t="inlineStr">
        <is>
          <t>LE-BACKPACK-93038-GREY</t>
        </is>
      </c>
      <c r="D451" t="inlineStr">
        <is>
          <t>Cases &amp; Bags</t>
        </is>
      </c>
      <c r="E451" t="inlineStr">
        <is>
          <t>Backpacks</t>
        </is>
      </c>
      <c r="F451" t="inlineStr">
        <is>
          <t>Lee</t>
        </is>
      </c>
      <c r="G451" t="n">
        <v>0</v>
      </c>
      <c r="H451" t="n">
        <v>0</v>
      </c>
      <c r="I451" t="inlineStr">
        <is>
          <t>Backpack</t>
        </is>
      </c>
      <c r="J451" s="29" t="n">
        <v>49.96</v>
      </c>
      <c r="K451" s="30" t="n">
        <v>0.0004</v>
      </c>
      <c r="L451" s="29" t="n">
        <v>0</v>
      </c>
      <c r="M451" s="29" t="n">
        <v>0</v>
      </c>
      <c r="N451" s="2" t="n">
        <v>2</v>
      </c>
      <c r="O451" s="31" t="n">
        <v>0</v>
      </c>
      <c r="P451" s="32" t="n"/>
      <c r="Q451" s="32" t="n">
        <v>0</v>
      </c>
      <c r="R451" s="32" t="n">
        <v>0.3444</v>
      </c>
      <c r="S451" s="31" t="n">
        <v>0</v>
      </c>
      <c r="T451" s="32" t="n">
        <v>0</v>
      </c>
      <c r="U451" s="31" t="n">
        <v>0</v>
      </c>
      <c r="V451" s="31" t="n">
        <v>0</v>
      </c>
      <c r="W451" s="3" t="n">
        <v>0</v>
      </c>
      <c r="X451" s="3" t="n">
        <v>0</v>
      </c>
      <c r="Y451" s="32" t="n">
        <v>0</v>
      </c>
      <c r="Z451" s="3" t="n">
        <v>0</v>
      </c>
      <c r="AA451" s="32" t="n">
        <v>0</v>
      </c>
      <c r="AB451" s="3" t="n"/>
      <c r="AC451" s="31" t="n">
        <v>0</v>
      </c>
      <c r="AD451" s="2" t="n">
        <v>0</v>
      </c>
      <c r="AE451" s="2" t="n">
        <v>33</v>
      </c>
      <c r="AF451" s="4" t="n">
        <v>33</v>
      </c>
      <c r="AG451" s="33" t="n">
        <v>49.96</v>
      </c>
      <c r="AH451" s="4" t="n">
        <v>2</v>
      </c>
      <c r="AI451" s="34" t="n">
        <v>0.0606</v>
      </c>
      <c r="AJ451" s="34" t="n">
        <v>1</v>
      </c>
      <c r="AK451" s="2" t="n">
        <v>6817</v>
      </c>
      <c r="AL451" t="inlineStr">
        <is>
          <t>Published</t>
        </is>
      </c>
    </row>
    <row r="452">
      <c r="A452">
        <f>HYPERLINK("https://www.walmart.com/ip/441047812", "441047812")</f>
        <v/>
      </c>
      <c r="B452">
        <f>HYPERLINK("https://app.optiwise.ai/catalog/itemdetails/360956", "Oversized Hoodie Blanket Sweatshirt Sherpa")</f>
        <v/>
      </c>
      <c r="C452" t="inlineStr">
        <is>
          <t>1CTOSH400CAT-BK</t>
        </is>
      </c>
      <c r="D452" t="inlineStr">
        <is>
          <t>Clothing</t>
        </is>
      </c>
      <c r="E452" t="inlineStr">
        <is>
          <t>Sweatshirts &amp; Hoodies</t>
        </is>
      </c>
      <c r="F452" t="inlineStr">
        <is>
          <t>Catalonia</t>
        </is>
      </c>
      <c r="G452" t="n">
        <v>5</v>
      </c>
      <c r="H452" t="n">
        <v>6</v>
      </c>
      <c r="I452" t="inlineStr">
        <is>
          <t>Hoodie ForAdult,Optimized</t>
        </is>
      </c>
      <c r="J452" s="29" t="n">
        <v>48.99</v>
      </c>
      <c r="K452" s="30" t="n">
        <v>0.0004</v>
      </c>
      <c r="L452" s="29" t="n">
        <v>0</v>
      </c>
      <c r="M452" s="29" t="n">
        <v>0</v>
      </c>
      <c r="N452" s="2" t="n">
        <v>1</v>
      </c>
      <c r="O452" s="31" t="n">
        <v>0</v>
      </c>
      <c r="P452" s="32" t="n"/>
      <c r="Q452" s="32" t="n">
        <v>0</v>
      </c>
      <c r="R452" s="32" t="n">
        <v>0</v>
      </c>
      <c r="S452" s="31" t="n">
        <v>0</v>
      </c>
      <c r="T452" s="32" t="n">
        <v>0</v>
      </c>
      <c r="U452" s="31" t="n">
        <v>0</v>
      </c>
      <c r="V452" s="31" t="n">
        <v>0</v>
      </c>
      <c r="W452" s="3" t="n">
        <v>0</v>
      </c>
      <c r="X452" s="3" t="n">
        <v>0</v>
      </c>
      <c r="Y452" s="32" t="n">
        <v>0</v>
      </c>
      <c r="Z452" s="3" t="n">
        <v>0</v>
      </c>
      <c r="AA452" s="32" t="n">
        <v>0</v>
      </c>
      <c r="AB452" s="3" t="n"/>
      <c r="AC452" s="31" t="n">
        <v>0</v>
      </c>
      <c r="AD452" s="2" t="n">
        <v>0</v>
      </c>
      <c r="AE452" s="2" t="n">
        <v>14</v>
      </c>
      <c r="AF452" s="4" t="n">
        <v>14</v>
      </c>
      <c r="AG452" s="33" t="n">
        <v>48.99</v>
      </c>
      <c r="AH452" s="4" t="n">
        <v>1</v>
      </c>
      <c r="AI452" s="34" t="n">
        <v>0.07140000000000001</v>
      </c>
      <c r="AJ452" s="34" t="n">
        <v>1</v>
      </c>
      <c r="AK452" s="2" t="n">
        <v>13500</v>
      </c>
      <c r="AL452" t="inlineStr">
        <is>
          <t>Published</t>
        </is>
      </c>
    </row>
    <row r="453">
      <c r="A453">
        <f>HYPERLINK("https://www.walmart.com/ip/447798492", "447798492")</f>
        <v/>
      </c>
      <c r="B453">
        <f>HYPERLINK("https://app.optiwise.ai/catalog/itemdetails/362689", "Pawsse Dog Fleece Blanket, Sherpa Pet Blanket, Snuggle Dog Blanket Cushion Mat for Puppy, Small Animals, Cat Banket, Brown, 45'' x 30''")</f>
        <v/>
      </c>
      <c r="C453" t="inlineStr">
        <is>
          <t>1PSBF345BRLT</t>
        </is>
      </c>
      <c r="D453" t="inlineStr">
        <is>
          <t>Animal Accessories</t>
        </is>
      </c>
      <c r="E453" t="inlineStr">
        <is>
          <t>Pet Blankets</t>
        </is>
      </c>
      <c r="F453" t="inlineStr">
        <is>
          <t>Pawsse</t>
        </is>
      </c>
      <c r="G453" t="n">
        <v>0</v>
      </c>
      <c r="H453" t="n">
        <v>0</v>
      </c>
      <c r="I453" t="inlineStr">
        <is>
          <t>Q2-Target,WFS,WFS Item</t>
        </is>
      </c>
      <c r="J453" s="29" t="n">
        <v>48.97</v>
      </c>
      <c r="K453" s="30" t="n">
        <v>0.0004</v>
      </c>
      <c r="L453" s="29" t="n">
        <v>0</v>
      </c>
      <c r="M453" s="29" t="n">
        <v>0</v>
      </c>
      <c r="N453" s="2" t="n">
        <v>3</v>
      </c>
      <c r="O453" s="31" t="n">
        <v>13.74</v>
      </c>
      <c r="P453" s="32" t="n">
        <v>0.0016</v>
      </c>
      <c r="Q453" s="32" t="n">
        <v>0.2806</v>
      </c>
      <c r="R453" s="32" t="n">
        <v>0.2003</v>
      </c>
      <c r="S453" s="31" t="n">
        <v>0</v>
      </c>
      <c r="T453" s="32" t="n">
        <v>0</v>
      </c>
      <c r="U453" s="31" t="n">
        <v>0</v>
      </c>
      <c r="V453" s="31" t="n">
        <v>0</v>
      </c>
      <c r="W453" s="3" t="n">
        <v>55345</v>
      </c>
      <c r="X453" s="3" t="n">
        <v>39</v>
      </c>
      <c r="Y453" s="32" t="n">
        <v>0.0007</v>
      </c>
      <c r="Z453" s="3" t="n">
        <v>0</v>
      </c>
      <c r="AA453" s="32" t="n">
        <v>0</v>
      </c>
      <c r="AB453" s="3" t="inlineStr">
        <is>
          <t>Auto for BW PET 2 ---Rachel</t>
        </is>
      </c>
      <c r="AC453" s="31" t="n">
        <v>0.35</v>
      </c>
      <c r="AD453" s="2" t="n">
        <v>2</v>
      </c>
      <c r="AE453" s="2" t="n">
        <v>52</v>
      </c>
      <c r="AF453" s="4" t="n">
        <v>13</v>
      </c>
      <c r="AG453" s="33" t="n">
        <v>48.97</v>
      </c>
      <c r="AH453" s="4" t="n">
        <v>3</v>
      </c>
      <c r="AI453" s="34" t="n">
        <v>0.2308</v>
      </c>
      <c r="AJ453" s="34" t="n">
        <v>1</v>
      </c>
      <c r="AK453" s="2" t="n">
        <v>4500</v>
      </c>
      <c r="AL453" t="inlineStr">
        <is>
          <t>Published</t>
        </is>
      </c>
    </row>
    <row r="454">
      <c r="A454">
        <f>HYPERLINK("https://www.walmart.com/ip/737949560", "737949560")</f>
        <v/>
      </c>
      <c r="B454">
        <f>HYPERLINK("https://app.optiwise.ai/catalog/itemdetails/373320", "Catalonia Wearable TV Blanket with Sleeves Arms Warm Micro Plush Sherpa Fleece for Adult Large Wrap Throw Robe 72 x 55”")</f>
        <v/>
      </c>
      <c r="C454" t="inlineStr">
        <is>
          <t>1CTSN210P2RD</t>
        </is>
      </c>
      <c r="D454" t="inlineStr">
        <is>
          <t>Bedding</t>
        </is>
      </c>
      <c r="E454" t="inlineStr">
        <is>
          <t>Throws</t>
        </is>
      </c>
      <c r="F454" t="inlineStr">
        <is>
          <t>Catalonia</t>
        </is>
      </c>
      <c r="G454" t="n">
        <v>0</v>
      </c>
      <c r="H454" t="n">
        <v>0</v>
      </c>
      <c r="I454" t="inlineStr">
        <is>
          <t>Coupon_Discount,Batch 1 - TR</t>
        </is>
      </c>
      <c r="J454" s="29" t="n">
        <v>47.99</v>
      </c>
      <c r="K454" s="30" t="n">
        <v>0.0004</v>
      </c>
      <c r="L454" s="29" t="n">
        <v>0</v>
      </c>
      <c r="M454" s="29" t="n">
        <v>0</v>
      </c>
      <c r="N454" s="2" t="n">
        <v>1</v>
      </c>
      <c r="O454" s="31" t="n">
        <v>0</v>
      </c>
      <c r="P454" s="32" t="n"/>
      <c r="Q454" s="32" t="n">
        <v>0</v>
      </c>
      <c r="R454" s="32" t="n">
        <v>0</v>
      </c>
      <c r="S454" s="31" t="n">
        <v>0</v>
      </c>
      <c r="T454" s="32" t="n">
        <v>0</v>
      </c>
      <c r="U454" s="31" t="n">
        <v>0</v>
      </c>
      <c r="V454" s="31" t="n">
        <v>0</v>
      </c>
      <c r="W454" s="3" t="n">
        <v>0</v>
      </c>
      <c r="X454" s="3" t="n">
        <v>0</v>
      </c>
      <c r="Y454" s="32" t="n">
        <v>0</v>
      </c>
      <c r="Z454" s="3" t="n">
        <v>0</v>
      </c>
      <c r="AA454" s="32" t="n">
        <v>0</v>
      </c>
      <c r="AB454" s="3" t="n"/>
      <c r="AC454" s="31" t="n">
        <v>0</v>
      </c>
      <c r="AD454" s="2" t="n">
        <v>0</v>
      </c>
      <c r="AE454" s="2" t="n">
        <v>26</v>
      </c>
      <c r="AF454" s="4" t="n">
        <v>26</v>
      </c>
      <c r="AG454" s="33" t="n">
        <v>47.99</v>
      </c>
      <c r="AH454" s="4" t="n">
        <v>1</v>
      </c>
      <c r="AI454" s="34" t="n">
        <v>0.0385</v>
      </c>
      <c r="AJ454" s="34" t="n">
        <v>1</v>
      </c>
      <c r="AK454" s="2" t="n">
        <v>13500</v>
      </c>
      <c r="AL454" t="inlineStr">
        <is>
          <t>Published</t>
        </is>
      </c>
    </row>
    <row r="455">
      <c r="A455">
        <f>HYPERLINK("https://www.walmart.com/ip/808607371", "808607371")</f>
        <v/>
      </c>
      <c r="B455">
        <f>HYPERLINK("https://app.optiwise.ai/catalog/itemdetails/362632", "Catalonia Fleece Wearable Blanket Poncho for Adult Women Men, Wrap Blanket Cape with Pocket | Warm, Soft, Cozy, Snuggly, Comfort Gift, No Sleeves | All-Season, Wine")</f>
        <v/>
      </c>
      <c r="C455" t="inlineStr">
        <is>
          <t>1CTBP100WN</t>
        </is>
      </c>
      <c r="D455" t="inlineStr">
        <is>
          <t>Clothing - Clothing</t>
        </is>
      </c>
      <c r="E455" t="inlineStr">
        <is>
          <t>Throws</t>
        </is>
      </c>
      <c r="F455" t="inlineStr">
        <is>
          <t>Catalonia</t>
        </is>
      </c>
      <c r="G455" t="n">
        <v>0</v>
      </c>
      <c r="H455" t="n">
        <v>0</v>
      </c>
      <c r="I455" t="inlineStr">
        <is>
          <t>Hero 5 Holidays,Batch 1 - TR</t>
        </is>
      </c>
      <c r="J455" s="29" t="n">
        <v>47.98</v>
      </c>
      <c r="K455" s="30" t="n">
        <v>0.0004</v>
      </c>
      <c r="L455" s="29" t="n">
        <v>0</v>
      </c>
      <c r="M455" s="29" t="n">
        <v>0</v>
      </c>
      <c r="N455" s="2" t="n">
        <v>2</v>
      </c>
      <c r="O455" s="31" t="n">
        <v>0</v>
      </c>
      <c r="P455" s="32" t="n"/>
      <c r="Q455" s="32" t="n">
        <v>0</v>
      </c>
      <c r="R455" s="32" t="n">
        <v>0</v>
      </c>
      <c r="S455" s="31" t="n">
        <v>0</v>
      </c>
      <c r="T455" s="32" t="n">
        <v>0</v>
      </c>
      <c r="U455" s="31" t="n">
        <v>0</v>
      </c>
      <c r="V455" s="31" t="n">
        <v>0</v>
      </c>
      <c r="W455" s="3" t="n">
        <v>141</v>
      </c>
      <c r="X455" s="3" t="n">
        <v>0</v>
      </c>
      <c r="Y455" s="32" t="n">
        <v>0</v>
      </c>
      <c r="Z455" s="3" t="n">
        <v>0</v>
      </c>
      <c r="AA455" s="32" t="n">
        <v>0</v>
      </c>
      <c r="AB455" s="3" t="inlineStr">
        <is>
          <t>Snuggly_Auto</t>
        </is>
      </c>
      <c r="AC455" s="31" t="n">
        <v>0</v>
      </c>
      <c r="AD455" s="2" t="n">
        <v>5</v>
      </c>
      <c r="AE455" s="2" t="n">
        <v>34</v>
      </c>
      <c r="AF455" s="4" t="n">
        <v>34</v>
      </c>
      <c r="AG455" s="33" t="n">
        <v>47.98</v>
      </c>
      <c r="AH455" s="4" t="n">
        <v>2</v>
      </c>
      <c r="AI455" s="34" t="n">
        <v>0.0588</v>
      </c>
      <c r="AJ455" s="34" t="n">
        <v>1</v>
      </c>
      <c r="AK455" s="2" t="n">
        <v>6750</v>
      </c>
      <c r="AL455" t="inlineStr">
        <is>
          <t>Published</t>
        </is>
      </c>
    </row>
    <row r="456">
      <c r="A456">
        <f>HYPERLINK("https://www.walmart.com/ip/903436691", "903436691")</f>
        <v/>
      </c>
      <c r="B456">
        <f>HYPERLINK("https://app.optiwise.ai/catalog/itemdetails/362769", "Catalonia Wearable Blanket with Sleeves and Pocket, Cozy Soft Fleece Micro Plush Wrap Throws Blanket Robe for Women and Men, Red Plaid Pattern")</f>
        <v/>
      </c>
      <c r="C456" t="inlineStr">
        <is>
          <t>1CTSN100P2RD</t>
        </is>
      </c>
      <c r="D456" t="inlineStr">
        <is>
          <t>Bedding</t>
        </is>
      </c>
      <c r="E456" t="inlineStr">
        <is>
          <t>Throws</t>
        </is>
      </c>
      <c r="F456" t="inlineStr">
        <is>
          <t>Catalonia</t>
        </is>
      </c>
      <c r="G456" t="n">
        <v>0</v>
      </c>
      <c r="H456" t="n">
        <v>0</v>
      </c>
      <c r="I456" t="inlineStr">
        <is>
          <t>WFS,WFS Item</t>
        </is>
      </c>
      <c r="J456" s="29" t="n">
        <v>47.98</v>
      </c>
      <c r="K456" s="30" t="n">
        <v>0.0004</v>
      </c>
      <c r="L456" s="29" t="n">
        <v>0</v>
      </c>
      <c r="M456" s="29" t="n">
        <v>0</v>
      </c>
      <c r="N456" s="2" t="n">
        <v>2</v>
      </c>
      <c r="O456" s="31" t="n">
        <v>0.82</v>
      </c>
      <c r="P456" s="32" t="n">
        <v>0.0001</v>
      </c>
      <c r="Q456" s="32" t="n">
        <v>0.0171</v>
      </c>
      <c r="R456" s="32" t="n">
        <v>0.1257</v>
      </c>
      <c r="S456" s="31" t="n">
        <v>0</v>
      </c>
      <c r="T456" s="32" t="n">
        <v>0</v>
      </c>
      <c r="U456" s="31" t="n">
        <v>0</v>
      </c>
      <c r="V456" s="31" t="n">
        <v>0</v>
      </c>
      <c r="W456" s="3" t="n">
        <v>1379</v>
      </c>
      <c r="X456" s="3" t="n">
        <v>2</v>
      </c>
      <c r="Y456" s="32" t="n">
        <v>0.0015</v>
      </c>
      <c r="Z456" s="3" t="n">
        <v>0</v>
      </c>
      <c r="AA456" s="32" t="n">
        <v>0</v>
      </c>
      <c r="AB456" s="3" t="inlineStr">
        <is>
          <t>Top Selling Last Year 2023</t>
        </is>
      </c>
      <c r="AC456" s="31" t="n">
        <v>0.41</v>
      </c>
      <c r="AD456" s="2" t="n">
        <v>40</v>
      </c>
      <c r="AE456" s="2" t="n">
        <v>53</v>
      </c>
      <c r="AF456" s="4" t="n">
        <v>51</v>
      </c>
      <c r="AG456" s="33" t="n">
        <v>47.98</v>
      </c>
      <c r="AH456" s="4" t="n">
        <v>2</v>
      </c>
      <c r="AI456" s="34" t="n">
        <v>0.0392</v>
      </c>
      <c r="AJ456" s="34" t="n">
        <v>1</v>
      </c>
      <c r="AK456" s="2" t="n">
        <v>6750</v>
      </c>
      <c r="AL456" t="inlineStr">
        <is>
          <t>Published</t>
        </is>
      </c>
    </row>
    <row r="457">
      <c r="A457">
        <f>HYPERLINK("https://www.walmart.com/ip/356440254", "356440254")</f>
        <v/>
      </c>
      <c r="B457">
        <f>HYPERLINK("https://app.optiwise.ai/catalog/itemdetails/361479", "Tirrinia Wearable Fleece Blanket for Women and Men, Super-Soft Microplush TV Blanket, Full Body Robe for Lounge Couch, Cheetah, 51 x 73")</f>
        <v/>
      </c>
      <c r="C457" t="inlineStr">
        <is>
          <t>1TRSN100CHEETAH-TBCB</t>
        </is>
      </c>
      <c r="D457" t="inlineStr">
        <is>
          <t>Bedding</t>
        </is>
      </c>
      <c r="E457" t="inlineStr">
        <is>
          <t>Throws</t>
        </is>
      </c>
      <c r="F457" t="inlineStr">
        <is>
          <t>Tirrinia</t>
        </is>
      </c>
      <c r="G457" t="n">
        <v>4.9</v>
      </c>
      <c r="H457" t="n">
        <v>15</v>
      </c>
      <c r="I457" t="inlineStr">
        <is>
          <t>Q2-Target,Optimized,WFS,Coupon_Discount,WFS Item,Fleece Blankets</t>
        </is>
      </c>
      <c r="J457" s="29" t="n">
        <v>47.98</v>
      </c>
      <c r="K457" s="30" t="n">
        <v>0.0004</v>
      </c>
      <c r="L457" s="29" t="n">
        <v>0</v>
      </c>
      <c r="M457" s="29" t="n">
        <v>0</v>
      </c>
      <c r="N457" s="2" t="n">
        <v>2</v>
      </c>
      <c r="O457" s="31" t="n">
        <v>19.8</v>
      </c>
      <c r="P457" s="32" t="n">
        <v>0.0024</v>
      </c>
      <c r="Q457" s="32" t="n">
        <v>0.4127</v>
      </c>
      <c r="R457" s="32" t="n">
        <v>0.3082</v>
      </c>
      <c r="S457" s="31" t="n">
        <v>0</v>
      </c>
      <c r="T457" s="32" t="n">
        <v>0</v>
      </c>
      <c r="U457" s="31" t="n">
        <v>0</v>
      </c>
      <c r="V457" s="31" t="n">
        <v>0</v>
      </c>
      <c r="W457" s="3" t="n">
        <v>8189</v>
      </c>
      <c r="X457" s="3" t="n">
        <v>45</v>
      </c>
      <c r="Y457" s="32" t="n">
        <v>0.0055</v>
      </c>
      <c r="Z457" s="3" t="n">
        <v>0</v>
      </c>
      <c r="AA457" s="32" t="n">
        <v>0</v>
      </c>
      <c r="AB457" s="3" t="inlineStr">
        <is>
          <t>Throws_Manual_Optiwise_24,Top Selling Last Year 2023</t>
        </is>
      </c>
      <c r="AC457" s="31" t="n">
        <v>0.44</v>
      </c>
      <c r="AD457" s="2" t="n">
        <v>132</v>
      </c>
      <c r="AE457" s="2" t="n">
        <v>57</v>
      </c>
      <c r="AF457" s="4" t="n">
        <v>30</v>
      </c>
      <c r="AG457" s="33" t="n">
        <v>47.98</v>
      </c>
      <c r="AH457" s="4" t="n">
        <v>2</v>
      </c>
      <c r="AI457" s="34" t="n">
        <v>0.0667</v>
      </c>
      <c r="AJ457" s="34" t="n">
        <v>1</v>
      </c>
      <c r="AK457" s="2" t="n">
        <v>6817</v>
      </c>
      <c r="AL457" t="inlineStr">
        <is>
          <t>Published</t>
        </is>
      </c>
    </row>
    <row r="458">
      <c r="A458">
        <f>HYPERLINK("https://www.walmart.com/ip/632587469", "632587469")</f>
        <v/>
      </c>
      <c r="B458">
        <f>HYPERLINK("https://app.optiwise.ai/catalog/itemdetails/361897", "Catalonia Sherpa Throws Blanket,Super Soft Comfy Micro Mink Fleece Couch Blanket Reversible Bed Throw TV Blanket Comfort Caring Gift 50 x 60 Brown")</f>
        <v/>
      </c>
      <c r="C458" t="inlineStr">
        <is>
          <t>1CTBF300BR</t>
        </is>
      </c>
      <c r="D458" t="inlineStr">
        <is>
          <t>Bedding</t>
        </is>
      </c>
      <c r="E458" t="inlineStr">
        <is>
          <t>Throws</t>
        </is>
      </c>
      <c r="F458" t="inlineStr">
        <is>
          <t>Catalonia</t>
        </is>
      </c>
      <c r="G458" t="n">
        <v>4.7</v>
      </c>
      <c r="H458" t="n">
        <v>17</v>
      </c>
      <c r="I458" t="inlineStr">
        <is>
          <t>Q2-Target,WFS,Coupon_Discount,WFS Item</t>
        </is>
      </c>
      <c r="J458" s="29" t="n">
        <v>47.97</v>
      </c>
      <c r="K458" s="30" t="n">
        <v>0.0004</v>
      </c>
      <c r="L458" s="29" t="n">
        <v>0</v>
      </c>
      <c r="M458" s="29" t="n">
        <v>0</v>
      </c>
      <c r="N458" s="2" t="n">
        <v>3</v>
      </c>
      <c r="O458" s="31" t="n">
        <v>0</v>
      </c>
      <c r="P458" s="32" t="n"/>
      <c r="Q458" s="32" t="n">
        <v>0</v>
      </c>
      <c r="R458" s="32" t="n">
        <v>0</v>
      </c>
      <c r="S458" s="31" t="n">
        <v>0</v>
      </c>
      <c r="T458" s="32" t="n">
        <v>0</v>
      </c>
      <c r="U458" s="31" t="n">
        <v>0</v>
      </c>
      <c r="V458" s="31" t="n">
        <v>0</v>
      </c>
      <c r="W458" s="3" t="n">
        <v>0</v>
      </c>
      <c r="X458" s="3" t="n">
        <v>0</v>
      </c>
      <c r="Y458" s="32" t="n">
        <v>0</v>
      </c>
      <c r="Z458" s="3" t="n">
        <v>0</v>
      </c>
      <c r="AA458" s="32" t="n">
        <v>0</v>
      </c>
      <c r="AB458" s="3" t="n"/>
      <c r="AC458" s="31" t="n">
        <v>0</v>
      </c>
      <c r="AD458" s="2" t="n">
        <v>22</v>
      </c>
      <c r="AE458" s="2" t="n">
        <v>48</v>
      </c>
      <c r="AF458" s="4" t="n">
        <v>48</v>
      </c>
      <c r="AG458" s="33" t="n">
        <v>47.97</v>
      </c>
      <c r="AH458" s="4" t="n">
        <v>3</v>
      </c>
      <c r="AI458" s="34" t="n">
        <v>0.0625</v>
      </c>
      <c r="AJ458" s="34" t="n">
        <v>1</v>
      </c>
      <c r="AK458" s="2" t="n">
        <v>0</v>
      </c>
      <c r="AL458" t="inlineStr">
        <is>
          <t>Published</t>
        </is>
      </c>
    </row>
    <row r="459">
      <c r="A459">
        <f>HYPERLINK("https://www.walmart.com/ip/131244489", "131244489")</f>
        <v/>
      </c>
      <c r="B459">
        <f>HYPERLINK("https://app.optiwise.ai/catalog/itemdetails/359131", "Tirrinia Single Wine Cooler Bags - Insulated &amp; Padded Portable Wine Tote Carrier for Travel, BYOB Restaurant, Wine Tasting, Party, Great Christmas Gift for Wine Lover, Black")</f>
        <v/>
      </c>
      <c r="C459" t="inlineStr">
        <is>
          <t>1TRWB101BK</t>
        </is>
      </c>
      <c r="D459" t="inlineStr">
        <is>
          <t>Home Decor, Kitchen, &amp; Other</t>
        </is>
      </c>
      <c r="E459" t="inlineStr">
        <is>
          <t>Wine Totes, Bags &amp; Backpacks</t>
        </is>
      </c>
      <c r="F459" t="inlineStr">
        <is>
          <t>Tirrinia</t>
        </is>
      </c>
      <c r="G459" t="n">
        <v>0</v>
      </c>
      <c r="H459" t="n">
        <v>0</v>
      </c>
      <c r="I459" t="inlineStr">
        <is>
          <t>Wine,Christmas,Optimized,Valentine,SEM</t>
        </is>
      </c>
      <c r="J459" s="29" t="n">
        <v>47.97</v>
      </c>
      <c r="K459" s="30" t="n">
        <v>0.0004</v>
      </c>
      <c r="L459" s="29" t="n">
        <v>0</v>
      </c>
      <c r="M459" s="29" t="n">
        <v>0</v>
      </c>
      <c r="N459" s="2" t="n">
        <v>3</v>
      </c>
      <c r="O459" s="31" t="n">
        <v>0</v>
      </c>
      <c r="P459" s="32" t="n"/>
      <c r="Q459" s="32" t="n">
        <v>0</v>
      </c>
      <c r="R459" s="32" t="n">
        <v>0.0907</v>
      </c>
      <c r="S459" s="31" t="n">
        <v>0</v>
      </c>
      <c r="T459" s="32" t="n">
        <v>0</v>
      </c>
      <c r="U459" s="31" t="n">
        <v>0</v>
      </c>
      <c r="V459" s="31" t="n">
        <v>0</v>
      </c>
      <c r="W459" s="3" t="n">
        <v>0</v>
      </c>
      <c r="X459" s="3" t="n">
        <v>0</v>
      </c>
      <c r="Y459" s="32" t="n">
        <v>0</v>
      </c>
      <c r="Z459" s="3" t="n">
        <v>0</v>
      </c>
      <c r="AA459" s="32" t="n">
        <v>0</v>
      </c>
      <c r="AB459" s="3" t="n"/>
      <c r="AC459" s="31" t="n">
        <v>0</v>
      </c>
      <c r="AD459" s="2" t="n">
        <v>0</v>
      </c>
      <c r="AE459" s="2" t="n">
        <v>30</v>
      </c>
      <c r="AF459" s="4" t="n">
        <v>30</v>
      </c>
      <c r="AG459" s="33" t="n">
        <v>47.97</v>
      </c>
      <c r="AH459" s="4" t="n">
        <v>3</v>
      </c>
      <c r="AI459" s="34" t="n">
        <v>0.1</v>
      </c>
      <c r="AJ459" s="34" t="n">
        <v>1</v>
      </c>
      <c r="AK459" s="2" t="n">
        <v>4500</v>
      </c>
      <c r="AL459" t="inlineStr">
        <is>
          <t>Published</t>
        </is>
      </c>
    </row>
    <row r="460">
      <c r="A460">
        <f>HYPERLINK("https://www.walmart.com/ip/944975761", "944975761")</f>
        <v/>
      </c>
      <c r="B460">
        <f>HYPERLINK("https://app.optiwise.ai/catalog/itemdetails/362113", "Mermaid Hooded Bath Towel for 2 to 6 Years Girl,100% Cotton Water Absorption Beach Poncho Swim Changing Robe, Sand Proof")</f>
        <v/>
      </c>
      <c r="C460" t="inlineStr">
        <is>
          <t>1CTBR200MM-ESCB</t>
        </is>
      </c>
      <c r="D460" t="inlineStr">
        <is>
          <t>Home Decor, Kitchen, &amp; Other</t>
        </is>
      </c>
      <c r="E460" t="inlineStr">
        <is>
          <t>Towels &amp; Washcloths</t>
        </is>
      </c>
      <c r="F460" t="inlineStr">
        <is>
          <t>Catalonia</t>
        </is>
      </c>
      <c r="G460" t="n">
        <v>4.7</v>
      </c>
      <c r="H460" t="n">
        <v>7</v>
      </c>
      <c r="I460" t="inlineStr">
        <is>
          <t>Baby days,Beach Robe Camp</t>
        </is>
      </c>
      <c r="J460" s="29" t="n">
        <v>47.97</v>
      </c>
      <c r="K460" s="30" t="n">
        <v>0.0004</v>
      </c>
      <c r="L460" s="29" t="n">
        <v>0</v>
      </c>
      <c r="M460" s="29" t="n">
        <v>0</v>
      </c>
      <c r="N460" s="2" t="n">
        <v>3</v>
      </c>
      <c r="O460" s="31" t="n">
        <v>0</v>
      </c>
      <c r="P460" s="32" t="n"/>
      <c r="Q460" s="32" t="n">
        <v>0</v>
      </c>
      <c r="R460" s="32" t="n">
        <v>0</v>
      </c>
      <c r="S460" s="31" t="n">
        <v>0</v>
      </c>
      <c r="T460" s="32" t="n">
        <v>0</v>
      </c>
      <c r="U460" s="31" t="n">
        <v>0</v>
      </c>
      <c r="V460" s="31" t="n">
        <v>0</v>
      </c>
      <c r="W460" s="3" t="n">
        <v>0</v>
      </c>
      <c r="X460" s="3" t="n">
        <v>0</v>
      </c>
      <c r="Y460" s="32" t="n">
        <v>0</v>
      </c>
      <c r="Z460" s="3" t="n">
        <v>0</v>
      </c>
      <c r="AA460" s="32" t="n">
        <v>0</v>
      </c>
      <c r="AB460" s="3" t="n"/>
      <c r="AC460" s="31" t="n">
        <v>0</v>
      </c>
      <c r="AD460" s="2" t="n">
        <v>0</v>
      </c>
      <c r="AE460" s="2" t="n">
        <v>133</v>
      </c>
      <c r="AF460" s="4" t="n">
        <v>133</v>
      </c>
      <c r="AG460" s="33" t="n">
        <v>47.97</v>
      </c>
      <c r="AH460" s="4" t="n">
        <v>3</v>
      </c>
      <c r="AI460" s="34" t="n">
        <v>0.0226</v>
      </c>
      <c r="AJ460" s="34" t="n">
        <v>1</v>
      </c>
      <c r="AK460" s="2" t="n">
        <v>4500</v>
      </c>
      <c r="AL460" t="inlineStr">
        <is>
          <t>Published</t>
        </is>
      </c>
    </row>
    <row r="461">
      <c r="A461">
        <f>HYPERLINK("https://www.walmart.com/ip/999603406", "999603406")</f>
        <v/>
      </c>
      <c r="B461">
        <f>HYPERLINK("https://app.optiwise.ai/catalog/itemdetails/409178", "Tirrinia Insulated Lunch Bag for Women Men, Leakproof Thermal Reusable Lunch Box Tote for Adult &amp; Kids by Tirrinia, Lunch Cooler for Office Work, Black")</f>
        <v/>
      </c>
      <c r="C461" t="inlineStr">
        <is>
          <t>1TRLB701P1BK</t>
        </is>
      </c>
      <c r="D461" t="inlineStr">
        <is>
          <t>Home Decor, Kitchen, &amp; Other</t>
        </is>
      </c>
      <c r="E461" t="inlineStr">
        <is>
          <t>Reusable Lunch Bags &amp; Boxes</t>
        </is>
      </c>
      <c r="F461" t="inlineStr">
        <is>
          <t>Tirrinia</t>
        </is>
      </c>
      <c r="G461" t="n">
        <v>4.5</v>
      </c>
      <c r="H461" t="n">
        <v>8</v>
      </c>
      <c r="I461" t="inlineStr">
        <is>
          <t>Q2-Target,Brand Camp VD,Lunch Bag,Optimized,Lunch Bags</t>
        </is>
      </c>
      <c r="J461" s="29" t="n">
        <v>47.97</v>
      </c>
      <c r="K461" s="30" t="n">
        <v>0.0004</v>
      </c>
      <c r="L461" s="29" t="n">
        <v>0</v>
      </c>
      <c r="M461" s="29" t="n">
        <v>0</v>
      </c>
      <c r="N461" s="2" t="n">
        <v>3</v>
      </c>
      <c r="O461" s="31" t="n">
        <v>0</v>
      </c>
      <c r="P461" s="32" t="n"/>
      <c r="Q461" s="32" t="n">
        <v>0</v>
      </c>
      <c r="R461" s="32" t="n">
        <v>0.0066</v>
      </c>
      <c r="S461" s="31" t="n">
        <v>0</v>
      </c>
      <c r="T461" s="32" t="n">
        <v>0</v>
      </c>
      <c r="U461" s="31" t="n">
        <v>0</v>
      </c>
      <c r="V461" s="31" t="n">
        <v>0</v>
      </c>
      <c r="W461" s="3" t="n">
        <v>0</v>
      </c>
      <c r="X461" s="3" t="n">
        <v>0</v>
      </c>
      <c r="Y461" s="32" t="n">
        <v>0</v>
      </c>
      <c r="Z461" s="3" t="n">
        <v>0</v>
      </c>
      <c r="AA461" s="32" t="n">
        <v>0</v>
      </c>
      <c r="AB461" s="3" t="n"/>
      <c r="AC461" s="31" t="n">
        <v>0</v>
      </c>
      <c r="AD461" s="2" t="n">
        <v>14</v>
      </c>
      <c r="AE461" s="2" t="n">
        <v>36</v>
      </c>
      <c r="AF461" s="4" t="n">
        <v>36</v>
      </c>
      <c r="AG461" s="33" t="n">
        <v>47.97</v>
      </c>
      <c r="AH461" s="4" t="n">
        <v>3</v>
      </c>
      <c r="AI461" s="34" t="n">
        <v>0.0833</v>
      </c>
      <c r="AJ461" s="34" t="n">
        <v>1</v>
      </c>
      <c r="AK461" s="2" t="n">
        <v>4500</v>
      </c>
      <c r="AL461" t="inlineStr">
        <is>
          <t>Published</t>
        </is>
      </c>
    </row>
    <row r="462">
      <c r="A462">
        <f>HYPERLINK("https://www.walmart.com/ip/1813176537", "1813176537")</f>
        <v/>
      </c>
      <c r="B462">
        <f>HYPERLINK("https://app.optiwise.ai/catalog/itemdetails/787767", "Unisex Hunting Fishing Cap Adjustable 3D Embroidery Baseball Hat with Air Mesh Back")</f>
        <v/>
      </c>
      <c r="C462" t="inlineStr">
        <is>
          <t>1TRHT7180TREE-TBCB</t>
        </is>
      </c>
      <c r="D462" t="inlineStr">
        <is>
          <t>Clothing</t>
        </is>
      </c>
      <c r="E462" t="inlineStr">
        <is>
          <t>Hats</t>
        </is>
      </c>
      <c r="F462" t="inlineStr">
        <is>
          <t>Tirrinia</t>
        </is>
      </c>
      <c r="G462" t="n">
        <v>0</v>
      </c>
      <c r="H462" t="n">
        <v>0</v>
      </c>
      <c r="I462" t="inlineStr">
        <is>
          <t>Batch 1 - TR</t>
        </is>
      </c>
      <c r="J462" s="29" t="n">
        <v>47.97</v>
      </c>
      <c r="K462" s="30" t="n">
        <v>0.0004</v>
      </c>
      <c r="L462" s="29" t="n">
        <v>0</v>
      </c>
      <c r="M462" s="29" t="n">
        <v>0</v>
      </c>
      <c r="N462" s="2" t="n">
        <v>3</v>
      </c>
      <c r="O462" s="31" t="n">
        <v>0</v>
      </c>
      <c r="P462" s="32" t="n"/>
      <c r="Q462" s="32" t="n">
        <v>0</v>
      </c>
      <c r="R462" s="32" t="n">
        <v>0</v>
      </c>
      <c r="S462" s="31" t="n">
        <v>0</v>
      </c>
      <c r="T462" s="32" t="n">
        <v>0</v>
      </c>
      <c r="U462" s="31" t="n">
        <v>0</v>
      </c>
      <c r="V462" s="31" t="n">
        <v>0</v>
      </c>
      <c r="W462" s="3" t="n">
        <v>0</v>
      </c>
      <c r="X462" s="3" t="n">
        <v>0</v>
      </c>
      <c r="Y462" s="32" t="n">
        <v>0</v>
      </c>
      <c r="Z462" s="3" t="n">
        <v>0</v>
      </c>
      <c r="AA462" s="32" t="n">
        <v>0</v>
      </c>
      <c r="AB462" s="3" t="n"/>
      <c r="AC462" s="31" t="n">
        <v>0</v>
      </c>
      <c r="AD462" s="2" t="n">
        <v>0</v>
      </c>
      <c r="AE462" s="2" t="n">
        <v>24</v>
      </c>
      <c r="AF462" s="4" t="n">
        <v>24</v>
      </c>
      <c r="AG462" s="33" t="n">
        <v>47.97</v>
      </c>
      <c r="AH462" s="4" t="n">
        <v>3</v>
      </c>
      <c r="AI462" s="34" t="n">
        <v>0.125</v>
      </c>
      <c r="AJ462" s="34" t="n">
        <v>1</v>
      </c>
      <c r="AK462" s="2" t="n">
        <v>4500</v>
      </c>
      <c r="AL462" t="inlineStr">
        <is>
          <t>Published</t>
        </is>
      </c>
    </row>
    <row r="463">
      <c r="A463">
        <f>HYPERLINK("https://www.walmart.com/ip/466099194", "466099194")</f>
        <v/>
      </c>
      <c r="B463">
        <f>HYPERLINK("https://app.optiwise.ai/catalog/itemdetails/360336", "Tirrinia Camo Mens Sun Hat Wide Brim Safari Hunting Military Jungle Desert Cap with Neck Flap, Digital Grey")</f>
        <v/>
      </c>
      <c r="C463" t="inlineStr">
        <is>
          <t>1TRSH9150DIGIGY-TBCB</t>
        </is>
      </c>
      <c r="D463" t="inlineStr">
        <is>
          <t>Clothing</t>
        </is>
      </c>
      <c r="E463" t="inlineStr">
        <is>
          <t>Hats</t>
        </is>
      </c>
      <c r="F463" t="inlineStr">
        <is>
          <t>Tirrinia</t>
        </is>
      </c>
      <c r="G463" t="n">
        <v>0</v>
      </c>
      <c r="H463" t="n">
        <v>0</v>
      </c>
      <c r="I463" t="inlineStr">
        <is>
          <t>Q2-Target,Optimized,Hats</t>
        </is>
      </c>
      <c r="J463" s="29" t="n">
        <v>47.97</v>
      </c>
      <c r="K463" s="30" t="n">
        <v>0.0004</v>
      </c>
      <c r="L463" s="29" t="n">
        <v>0</v>
      </c>
      <c r="M463" s="29" t="n">
        <v>0</v>
      </c>
      <c r="N463" s="2" t="n">
        <v>3</v>
      </c>
      <c r="O463" s="31" t="n">
        <v>0</v>
      </c>
      <c r="P463" s="32" t="n"/>
      <c r="Q463" s="32" t="n">
        <v>0</v>
      </c>
      <c r="R463" s="32" t="n">
        <v>0</v>
      </c>
      <c r="S463" s="31" t="n">
        <v>0</v>
      </c>
      <c r="T463" s="32" t="n">
        <v>0</v>
      </c>
      <c r="U463" s="31" t="n">
        <v>0</v>
      </c>
      <c r="V463" s="31" t="n">
        <v>0</v>
      </c>
      <c r="W463" s="3" t="n">
        <v>0</v>
      </c>
      <c r="X463" s="3" t="n">
        <v>0</v>
      </c>
      <c r="Y463" s="32" t="n">
        <v>0</v>
      </c>
      <c r="Z463" s="3" t="n">
        <v>0</v>
      </c>
      <c r="AA463" s="32" t="n">
        <v>0</v>
      </c>
      <c r="AB463" s="3" t="n"/>
      <c r="AC463" s="31" t="n">
        <v>0</v>
      </c>
      <c r="AD463" s="2" t="n">
        <v>0</v>
      </c>
      <c r="AE463" s="2" t="n">
        <v>21</v>
      </c>
      <c r="AF463" s="4" t="n">
        <v>21</v>
      </c>
      <c r="AG463" s="33" t="n">
        <v>47.97</v>
      </c>
      <c r="AH463" s="4" t="n">
        <v>3</v>
      </c>
      <c r="AI463" s="34" t="n">
        <v>0.1429</v>
      </c>
      <c r="AJ463" s="34" t="n">
        <v>1</v>
      </c>
      <c r="AK463" s="2" t="n">
        <v>4590</v>
      </c>
      <c r="AL463" t="inlineStr">
        <is>
          <t>Published</t>
        </is>
      </c>
    </row>
    <row r="464">
      <c r="A464">
        <f>HYPERLINK("https://www.walmart.com/ip/890210788", "890210788")</f>
        <v/>
      </c>
      <c r="B464">
        <f>HYPERLINK("https://app.optiwise.ai/catalog/itemdetails/361397", "Insulated Expandable Lunch Bags Tote Thermal Cooler Leak Proof Travel Container Food Case for Adults Adjustable Shoulder")</f>
        <v/>
      </c>
      <c r="C464" t="inlineStr">
        <is>
          <t>1KTLB110BK</t>
        </is>
      </c>
      <c r="D464" t="inlineStr">
        <is>
          <t>Cases &amp; Bags</t>
        </is>
      </c>
      <c r="E464" t="inlineStr">
        <is>
          <t>Reusable Lunch Bags &amp; Boxes</t>
        </is>
      </c>
      <c r="F464" t="inlineStr">
        <is>
          <t>Kato</t>
        </is>
      </c>
      <c r="G464" t="n">
        <v>0</v>
      </c>
      <c r="H464" t="n">
        <v>0</v>
      </c>
      <c r="I464" t="inlineStr">
        <is>
          <t>Q2-Target,Lunch Bag,Optimized,Lunch Bags,SEM</t>
        </is>
      </c>
      <c r="J464" s="29" t="n">
        <v>47.97</v>
      </c>
      <c r="K464" s="30" t="n">
        <v>0.0004</v>
      </c>
      <c r="L464" s="29" t="n">
        <v>37.95999908447266</v>
      </c>
      <c r="M464" s="29" t="n">
        <v>0</v>
      </c>
      <c r="N464" s="2" t="n">
        <v>3</v>
      </c>
      <c r="O464" s="31" t="n">
        <v>0</v>
      </c>
      <c r="P464" s="32" t="n"/>
      <c r="Q464" s="32" t="n">
        <v>0</v>
      </c>
      <c r="R464" s="32" t="n">
        <v>0.008699999999999999</v>
      </c>
      <c r="S464" s="31" t="n">
        <v>0</v>
      </c>
      <c r="T464" s="32" t="n">
        <v>0</v>
      </c>
      <c r="U464" s="31" t="n">
        <v>0</v>
      </c>
      <c r="V464" s="31" t="n">
        <v>0</v>
      </c>
      <c r="W464" s="3" t="n">
        <v>0</v>
      </c>
      <c r="X464" s="3" t="n">
        <v>0</v>
      </c>
      <c r="Y464" s="32" t="n">
        <v>0</v>
      </c>
      <c r="Z464" s="3" t="n">
        <v>0</v>
      </c>
      <c r="AA464" s="32" t="n">
        <v>0</v>
      </c>
      <c r="AB464" s="3" t="n"/>
      <c r="AC464" s="31" t="n">
        <v>0</v>
      </c>
      <c r="AD464" s="2" t="n">
        <v>1</v>
      </c>
      <c r="AE464" s="2" t="n">
        <v>39</v>
      </c>
      <c r="AF464" s="4" t="n">
        <v>39</v>
      </c>
      <c r="AG464" s="33" t="n">
        <v>47.97</v>
      </c>
      <c r="AH464" s="4" t="n">
        <v>3</v>
      </c>
      <c r="AI464" s="34" t="n">
        <v>0.0769</v>
      </c>
      <c r="AJ464" s="34" t="n">
        <v>1</v>
      </c>
      <c r="AK464" s="2" t="n">
        <v>4500</v>
      </c>
      <c r="AL464" t="inlineStr">
        <is>
          <t>Published</t>
        </is>
      </c>
    </row>
    <row r="465">
      <c r="A465">
        <f>HYPERLINK("https://www.walmart.com/ip/313995352", "313995352")</f>
        <v/>
      </c>
      <c r="B465">
        <f>HYPERLINK("https://app.optiwise.ai/catalog/itemdetails/362295", "Tirrinia Outdoor Boonie Sun Protection Hat Wide Brim Mesh Hat for Boating Hiking Camping Fishing Hunting Safari for 22'' Head Circumference Tan")</f>
        <v/>
      </c>
      <c r="C465" t="inlineStr">
        <is>
          <t>KC-S9154-TN</t>
        </is>
      </c>
      <c r="D465" t="inlineStr">
        <is>
          <t>Clothing</t>
        </is>
      </c>
      <c r="E465" t="inlineStr">
        <is>
          <t>Hats</t>
        </is>
      </c>
      <c r="F465" t="inlineStr">
        <is>
          <t>Sun Blocker</t>
        </is>
      </c>
      <c r="G465" t="n">
        <v>4.4</v>
      </c>
      <c r="H465" t="n">
        <v>58</v>
      </c>
      <c r="I465" t="inlineStr">
        <is>
          <t>WFS,Hats,WFS Item</t>
        </is>
      </c>
      <c r="J465" s="29" t="n">
        <v>47.92</v>
      </c>
      <c r="K465" s="30" t="n">
        <v>0.0004</v>
      </c>
      <c r="L465" s="29" t="n">
        <v>0</v>
      </c>
      <c r="M465" s="29" t="n">
        <v>0</v>
      </c>
      <c r="N465" s="2" t="n">
        <v>4</v>
      </c>
      <c r="O465" s="31" t="n">
        <v>0</v>
      </c>
      <c r="P465" s="32" t="n"/>
      <c r="Q465" s="32" t="n">
        <v>0</v>
      </c>
      <c r="R465" s="32" t="n">
        <v>0</v>
      </c>
      <c r="S465" s="31" t="n">
        <v>0</v>
      </c>
      <c r="T465" s="32" t="n">
        <v>0</v>
      </c>
      <c r="U465" s="31" t="n">
        <v>0</v>
      </c>
      <c r="V465" s="31" t="n">
        <v>0</v>
      </c>
      <c r="W465" s="3" t="n">
        <v>0</v>
      </c>
      <c r="X465" s="3" t="n">
        <v>0</v>
      </c>
      <c r="Y465" s="32" t="n">
        <v>0</v>
      </c>
      <c r="Z465" s="3" t="n">
        <v>0</v>
      </c>
      <c r="AA465" s="32" t="n">
        <v>0</v>
      </c>
      <c r="AB465" s="3" t="n"/>
      <c r="AC465" s="31" t="n">
        <v>0</v>
      </c>
      <c r="AD465" s="2" t="n">
        <v>0</v>
      </c>
      <c r="AE465" s="2" t="n">
        <v>55</v>
      </c>
      <c r="AF465" s="4" t="n">
        <v>55</v>
      </c>
      <c r="AG465" s="33" t="n">
        <v>47.92</v>
      </c>
      <c r="AH465" s="4" t="n">
        <v>4</v>
      </c>
      <c r="AI465" s="34" t="n">
        <v>0.0727</v>
      </c>
      <c r="AJ465" s="34" t="n">
        <v>1</v>
      </c>
      <c r="AK465" s="2" t="n">
        <v>3375</v>
      </c>
      <c r="AL465" t="inlineStr">
        <is>
          <t>Published</t>
        </is>
      </c>
    </row>
    <row r="466">
      <c r="A466">
        <f>HYPERLINK("https://www.walmart.com/ip/158342906", "158342906")</f>
        <v/>
      </c>
      <c r="B466">
        <f>HYPERLINK("https://app.optiwise.ai/catalog/itemdetails/361823", "JenniWears Women's Sexy Crotchless Suspender Pantyhose Stockings Black Sheer Socks")</f>
        <v/>
      </c>
      <c r="C466" t="inlineStr">
        <is>
          <t>JWBLSPH6001</t>
        </is>
      </c>
      <c r="D466" t="inlineStr">
        <is>
          <t>Clothing</t>
        </is>
      </c>
      <c r="E466" t="inlineStr">
        <is>
          <t>Pantyhose &amp; Tights</t>
        </is>
      </c>
      <c r="F466" t="inlineStr">
        <is>
          <t>JenniWears</t>
        </is>
      </c>
      <c r="G466" t="n">
        <v>3.3</v>
      </c>
      <c r="H466" t="n">
        <v>15</v>
      </c>
      <c r="I466" t="inlineStr">
        <is>
          <t>Optimized,Valentine</t>
        </is>
      </c>
      <c r="J466" s="29" t="n">
        <v>47.88</v>
      </c>
      <c r="K466" s="30" t="n">
        <v>0.0004</v>
      </c>
      <c r="L466" s="29" t="n">
        <v>0</v>
      </c>
      <c r="M466" s="29" t="n">
        <v>0</v>
      </c>
      <c r="N466" s="2" t="n">
        <v>6</v>
      </c>
      <c r="O466" s="31" t="n">
        <v>0</v>
      </c>
      <c r="P466" s="32" t="n"/>
      <c r="Q466" s="32" t="n">
        <v>0</v>
      </c>
      <c r="R466" s="32" t="n">
        <v>0</v>
      </c>
      <c r="S466" s="31" t="n">
        <v>0</v>
      </c>
      <c r="T466" s="32" t="n">
        <v>0</v>
      </c>
      <c r="U466" s="31" t="n">
        <v>0</v>
      </c>
      <c r="V466" s="31" t="n">
        <v>0</v>
      </c>
      <c r="W466" s="3" t="n">
        <v>0</v>
      </c>
      <c r="X466" s="3" t="n">
        <v>0</v>
      </c>
      <c r="Y466" s="32" t="n">
        <v>0</v>
      </c>
      <c r="Z466" s="3" t="n">
        <v>0</v>
      </c>
      <c r="AA466" s="32" t="n">
        <v>0</v>
      </c>
      <c r="AB466" s="3" t="n"/>
      <c r="AC466" s="31" t="n">
        <v>0</v>
      </c>
      <c r="AD466" s="2" t="n">
        <v>0</v>
      </c>
      <c r="AE466" s="2" t="n">
        <v>182</v>
      </c>
      <c r="AF466" s="4" t="n">
        <v>182</v>
      </c>
      <c r="AG466" s="33" t="n">
        <v>47.88</v>
      </c>
      <c r="AH466" s="4" t="n">
        <v>6</v>
      </c>
      <c r="AI466" s="34" t="n">
        <v>0.033</v>
      </c>
      <c r="AJ466" s="34" t="n">
        <v>1</v>
      </c>
      <c r="AK466" s="2" t="n">
        <v>2250</v>
      </c>
      <c r="AL466" t="inlineStr">
        <is>
          <t>Published</t>
        </is>
      </c>
    </row>
    <row r="467">
      <c r="A467">
        <f>HYPERLINK("https://www.walmart.com/ip/575429772", "575429772")</f>
        <v/>
      </c>
      <c r="B467">
        <f>HYPERLINK("https://app.optiwise.ai/catalog/itemdetails/360417", "Catalonia Oversized Hoodie Blanket with Zipper, Wearable Sherpa Sweatshirt Pullover, Soft Warm Comfortable Jacket for Adults Men Women, Purple")</f>
        <v/>
      </c>
      <c r="C467" t="inlineStr">
        <is>
          <t>1CTHD220PP</t>
        </is>
      </c>
      <c r="D467" t="inlineStr">
        <is>
          <t>Clothing</t>
        </is>
      </c>
      <c r="E467" t="inlineStr">
        <is>
          <t>Throws</t>
        </is>
      </c>
      <c r="F467" t="inlineStr">
        <is>
          <t>Catalonia</t>
        </is>
      </c>
      <c r="G467" t="n">
        <v>0</v>
      </c>
      <c r="H467" t="n">
        <v>0</v>
      </c>
      <c r="I467" t="inlineStr">
        <is>
          <t>Hoodie ForAdult,WFS,Coupon_Discount,WFS Item</t>
        </is>
      </c>
      <c r="J467" s="29" t="n">
        <v>46.99</v>
      </c>
      <c r="K467" s="30" t="n">
        <v>0.0004</v>
      </c>
      <c r="L467" s="29" t="n">
        <v>0</v>
      </c>
      <c r="M467" s="29" t="n">
        <v>0</v>
      </c>
      <c r="N467" s="2" t="n">
        <v>1</v>
      </c>
      <c r="O467" s="31" t="n">
        <v>1.13</v>
      </c>
      <c r="P467" s="32" t="n">
        <v>0.0001</v>
      </c>
      <c r="Q467" s="32" t="n">
        <v>0.024</v>
      </c>
      <c r="R467" s="32" t="n">
        <v>0.0129</v>
      </c>
      <c r="S467" s="31" t="n">
        <v>0</v>
      </c>
      <c r="T467" s="32" t="n">
        <v>0</v>
      </c>
      <c r="U467" s="31" t="n">
        <v>0</v>
      </c>
      <c r="V467" s="31" t="n">
        <v>0</v>
      </c>
      <c r="W467" s="3" t="n">
        <v>3929</v>
      </c>
      <c r="X467" s="3" t="n">
        <v>3</v>
      </c>
      <c r="Y467" s="32" t="n">
        <v>0.0008</v>
      </c>
      <c r="Z467" s="3" t="n">
        <v>0</v>
      </c>
      <c r="AA467" s="32" t="n">
        <v>0</v>
      </c>
      <c r="AB467" s="3" t="inlineStr">
        <is>
          <t>Hoodies_Auto</t>
        </is>
      </c>
      <c r="AC467" s="31" t="n">
        <v>0.38</v>
      </c>
      <c r="AD467" s="2" t="n">
        <v>6</v>
      </c>
      <c r="AE467" s="2" t="n">
        <v>26</v>
      </c>
      <c r="AF467" s="4" t="n">
        <v>23</v>
      </c>
      <c r="AG467" s="33" t="n">
        <v>46.99</v>
      </c>
      <c r="AH467" s="4" t="n">
        <v>1</v>
      </c>
      <c r="AI467" s="34" t="n">
        <v>0.0435</v>
      </c>
      <c r="AJ467" s="34" t="n">
        <v>1</v>
      </c>
      <c r="AK467" s="2" t="n">
        <v>13500</v>
      </c>
      <c r="AL467" t="inlineStr">
        <is>
          <t>Published</t>
        </is>
      </c>
    </row>
    <row r="468">
      <c r="A468">
        <f>HYPERLINK("https://www.walmart.com/ip/1702988723", "1702988723")</f>
        <v/>
      </c>
      <c r="B468">
        <f>HYPERLINK("https://app.optiwise.ai/catalog/itemdetails/5612537", "Tirrinia Insulated Cooler Toto Lunch Bag, Thermos Organizer Container, Pink Watermelon, 8.5 x 4 x 9.5")</f>
        <v/>
      </c>
      <c r="C468" t="inlineStr">
        <is>
          <t>1TRLB100PKMEL</t>
        </is>
      </c>
      <c r="D468" t="inlineStr">
        <is>
          <t>Home Decor, Kitchen, &amp; Other</t>
        </is>
      </c>
      <c r="E468" t="inlineStr">
        <is>
          <t>Reusable Lunch Bags &amp; Boxes</t>
        </is>
      </c>
      <c r="F468" t="inlineStr">
        <is>
          <t>Tirrinia</t>
        </is>
      </c>
      <c r="G468" t="n">
        <v>4.7</v>
      </c>
      <c r="H468" t="n">
        <v>9</v>
      </c>
      <c r="I468" t="inlineStr">
        <is>
          <t>Q2-Target,SEM</t>
        </is>
      </c>
      <c r="J468" s="29" t="n">
        <v>46.96</v>
      </c>
      <c r="K468" s="30" t="n">
        <v>0.0004</v>
      </c>
      <c r="L468" s="29" t="n">
        <v>0</v>
      </c>
      <c r="M468" s="29" t="n">
        <v>0</v>
      </c>
      <c r="N468" s="2" t="n">
        <v>4</v>
      </c>
      <c r="O468" s="31" t="n">
        <v>0</v>
      </c>
      <c r="P468" s="32" t="n"/>
      <c r="Q468" s="32" t="n">
        <v>0</v>
      </c>
      <c r="R468" s="32" t="n">
        <v>0</v>
      </c>
      <c r="S468" s="31" t="n">
        <v>0</v>
      </c>
      <c r="T468" s="32" t="n">
        <v>0</v>
      </c>
      <c r="U468" s="31" t="n">
        <v>0</v>
      </c>
      <c r="V468" s="31" t="n">
        <v>0</v>
      </c>
      <c r="W468" s="3" t="n">
        <v>0</v>
      </c>
      <c r="X468" s="3" t="n">
        <v>0</v>
      </c>
      <c r="Y468" s="32" t="n">
        <v>0</v>
      </c>
      <c r="Z468" s="3" t="n">
        <v>0</v>
      </c>
      <c r="AA468" s="32" t="n">
        <v>0</v>
      </c>
      <c r="AB468" s="3" t="n"/>
      <c r="AC468" s="31" t="n">
        <v>0</v>
      </c>
      <c r="AD468" s="2" t="n">
        <v>31</v>
      </c>
      <c r="AE468" s="2" t="n">
        <v>74</v>
      </c>
      <c r="AF468" s="4" t="n">
        <v>74</v>
      </c>
      <c r="AG468" s="33" t="n">
        <v>46.96</v>
      </c>
      <c r="AH468" s="4" t="n">
        <v>4</v>
      </c>
      <c r="AI468" s="34" t="n">
        <v>0.0541</v>
      </c>
      <c r="AJ468" s="34" t="n">
        <v>1</v>
      </c>
      <c r="AK468" s="2" t="n">
        <v>3375</v>
      </c>
      <c r="AL468" t="inlineStr">
        <is>
          <t>Published</t>
        </is>
      </c>
    </row>
    <row r="469">
      <c r="A469">
        <f>HYPERLINK("https://www.walmart.com/ip/711245788", "711245788")</f>
        <v/>
      </c>
      <c r="B469">
        <f>HYPERLINK("https://app.optiwise.ai/catalog/itemdetails/362829", "Fleece Blanket Wearable with Sleeves and Pocket, Micro Plush Warm Comfy Sleeved TV Throw Blanket Robe for Women and Men Multi-Colors 72”X55” by Catalonia")</f>
        <v/>
      </c>
      <c r="C469" t="inlineStr">
        <is>
          <t>1CTSN110BL-ESGM</t>
        </is>
      </c>
      <c r="D469" t="inlineStr">
        <is>
          <t>Bedding</t>
        </is>
      </c>
      <c r="E469" t="inlineStr">
        <is>
          <t>Throws</t>
        </is>
      </c>
      <c r="F469" t="inlineStr">
        <is>
          <t>Catalonia</t>
        </is>
      </c>
      <c r="G469" t="n">
        <v>0</v>
      </c>
      <c r="H469" t="n">
        <v>0</v>
      </c>
      <c r="I469" t="inlineStr">
        <is>
          <t>Fleece Blankets,Batch 1 - TR</t>
        </is>
      </c>
      <c r="J469" s="29" t="n">
        <v>45.99</v>
      </c>
      <c r="K469" s="30" t="n">
        <v>0.0004</v>
      </c>
      <c r="L469" s="29" t="n">
        <v>0</v>
      </c>
      <c r="M469" s="29" t="n">
        <v>0</v>
      </c>
      <c r="N469" s="2" t="n">
        <v>1</v>
      </c>
      <c r="O469" s="31" t="n">
        <v>0</v>
      </c>
      <c r="P469" s="32" t="n"/>
      <c r="Q469" s="32" t="n">
        <v>0</v>
      </c>
      <c r="R469" s="32" t="n">
        <v>0</v>
      </c>
      <c r="S469" s="31" t="n">
        <v>0</v>
      </c>
      <c r="T469" s="32" t="n">
        <v>0</v>
      </c>
      <c r="U469" s="31" t="n">
        <v>0</v>
      </c>
      <c r="V469" s="31" t="n">
        <v>0</v>
      </c>
      <c r="W469" s="3" t="n">
        <v>0</v>
      </c>
      <c r="X469" s="3" t="n">
        <v>0</v>
      </c>
      <c r="Y469" s="32" t="n">
        <v>0</v>
      </c>
      <c r="Z469" s="3" t="n">
        <v>0</v>
      </c>
      <c r="AA469" s="32" t="n">
        <v>0</v>
      </c>
      <c r="AB469" s="3" t="n"/>
      <c r="AC469" s="31" t="n">
        <v>0</v>
      </c>
      <c r="AD469" s="2" t="n">
        <v>0</v>
      </c>
      <c r="AE469" s="2" t="n">
        <v>4</v>
      </c>
      <c r="AF469" s="4" t="n">
        <v>4</v>
      </c>
      <c r="AG469" s="33" t="n">
        <v>45.99</v>
      </c>
      <c r="AH469" s="4" t="n">
        <v>1</v>
      </c>
      <c r="AI469" s="34" t="n">
        <v>0.25</v>
      </c>
      <c r="AJ469" s="34" t="n">
        <v>1</v>
      </c>
      <c r="AK469" s="2" t="n">
        <v>13500</v>
      </c>
      <c r="AL469" t="inlineStr">
        <is>
          <t>Published</t>
        </is>
      </c>
    </row>
    <row r="470">
      <c r="A470">
        <f>HYPERLINK("https://www.walmart.com/ip/188266088", "188266088")</f>
        <v/>
      </c>
      <c r="B470">
        <f>HYPERLINK("https://app.optiwise.ai/catalog/itemdetails/362641", "Fleece Blanket Wearable with Sleeves and Pocket, Micro Plush Warm Comfy Sleeved TV Throw Blanket Robe for Women and Men Multi-Colors 72”X55” by Catalonia")</f>
        <v/>
      </c>
      <c r="C470" t="inlineStr">
        <is>
          <t>1CTSN110BK-ESGM</t>
        </is>
      </c>
      <c r="D470" t="inlineStr">
        <is>
          <t>Bedding</t>
        </is>
      </c>
      <c r="E470" t="inlineStr">
        <is>
          <t>Throws</t>
        </is>
      </c>
      <c r="F470" t="inlineStr">
        <is>
          <t>Catalonia</t>
        </is>
      </c>
      <c r="G470" t="n">
        <v>5</v>
      </c>
      <c r="H470" t="n">
        <v>1</v>
      </c>
      <c r="I470" t="inlineStr">
        <is>
          <t>Fleece Blankets,Batch 1 - TR</t>
        </is>
      </c>
      <c r="J470" s="29" t="n">
        <v>45.99</v>
      </c>
      <c r="K470" s="30" t="n">
        <v>0.0004</v>
      </c>
      <c r="L470" s="29" t="n">
        <v>0</v>
      </c>
      <c r="M470" s="29" t="n">
        <v>0</v>
      </c>
      <c r="N470" s="2" t="n">
        <v>1</v>
      </c>
      <c r="O470" s="31" t="n">
        <v>0</v>
      </c>
      <c r="P470" s="32" t="n"/>
      <c r="Q470" s="32" t="n">
        <v>0</v>
      </c>
      <c r="R470" s="32" t="n">
        <v>0</v>
      </c>
      <c r="S470" s="31" t="n">
        <v>0</v>
      </c>
      <c r="T470" s="32" t="n">
        <v>0</v>
      </c>
      <c r="U470" s="31" t="n">
        <v>0</v>
      </c>
      <c r="V470" s="31" t="n">
        <v>0</v>
      </c>
      <c r="W470" s="3" t="n">
        <v>0</v>
      </c>
      <c r="X470" s="3" t="n">
        <v>0</v>
      </c>
      <c r="Y470" s="32" t="n">
        <v>0</v>
      </c>
      <c r="Z470" s="3" t="n">
        <v>0</v>
      </c>
      <c r="AA470" s="32" t="n">
        <v>0</v>
      </c>
      <c r="AB470" s="3" t="n"/>
      <c r="AC470" s="31" t="n">
        <v>0</v>
      </c>
      <c r="AD470" s="2" t="n">
        <v>0</v>
      </c>
      <c r="AE470" s="2" t="n">
        <v>5</v>
      </c>
      <c r="AF470" s="4" t="n">
        <v>5</v>
      </c>
      <c r="AG470" s="33" t="n">
        <v>45.99</v>
      </c>
      <c r="AH470" s="4" t="n">
        <v>1</v>
      </c>
      <c r="AI470" s="34" t="n">
        <v>0.2</v>
      </c>
      <c r="AJ470" s="34" t="n">
        <v>1</v>
      </c>
      <c r="AK470" s="2" t="n">
        <v>13500</v>
      </c>
      <c r="AL470" t="inlineStr">
        <is>
          <t>Published</t>
        </is>
      </c>
    </row>
    <row r="471">
      <c r="A471">
        <f>HYPERLINK("https://www.walmart.com/ip/310981723", "310981723")</f>
        <v/>
      </c>
      <c r="B471">
        <f>HYPERLINK("https://app.optiwise.ai/catalog/itemdetails/361295", "Kato Insulated Wine Carrier Bag - 4 Bottle Travel Padded Wine Carrying Cooler Tote with Handle and Shoulder Strap, Great Gift for Wine Lover, Gray")</f>
        <v/>
      </c>
      <c r="C471" t="inlineStr">
        <is>
          <t>1KTWB420GY</t>
        </is>
      </c>
      <c r="D471" t="inlineStr">
        <is>
          <t>Home Decor, Kitchen, &amp; Other</t>
        </is>
      </c>
      <c r="E471" t="inlineStr">
        <is>
          <t>Wine Totes, Bags &amp; Backpacks</t>
        </is>
      </c>
      <c r="F471" t="inlineStr">
        <is>
          <t>Kato</t>
        </is>
      </c>
      <c r="G471" t="n">
        <v>4.8</v>
      </c>
      <c r="H471" t="n">
        <v>5</v>
      </c>
      <c r="I471" t="inlineStr">
        <is>
          <t>Wine,Christmas,Wine WFS,Valentine,WFS Item,Lily Brand Camp</t>
        </is>
      </c>
      <c r="J471" s="29" t="n">
        <v>45.98</v>
      </c>
      <c r="K471" s="30" t="n">
        <v>0.0004</v>
      </c>
      <c r="L471" s="29" t="n">
        <v>0</v>
      </c>
      <c r="M471" s="29" t="n">
        <v>0</v>
      </c>
      <c r="N471" s="2" t="n">
        <v>2</v>
      </c>
      <c r="O471" s="31" t="n">
        <v>3.9</v>
      </c>
      <c r="P471" s="32" t="n">
        <v>0.0005</v>
      </c>
      <c r="Q471" s="32" t="n">
        <v>0.0848</v>
      </c>
      <c r="R471" s="32" t="n">
        <v>0</v>
      </c>
      <c r="S471" s="31" t="n">
        <v>0</v>
      </c>
      <c r="T471" s="32" t="n">
        <v>0</v>
      </c>
      <c r="U471" s="31" t="n">
        <v>0</v>
      </c>
      <c r="V471" s="31" t="n">
        <v>0</v>
      </c>
      <c r="W471" s="3" t="n">
        <v>8323</v>
      </c>
      <c r="X471" s="3" t="n">
        <v>10</v>
      </c>
      <c r="Y471" s="32" t="n">
        <v>0.0012</v>
      </c>
      <c r="Z471" s="3" t="n">
        <v>0</v>
      </c>
      <c r="AA471" s="32" t="n">
        <v>0</v>
      </c>
      <c r="AB471" s="3" t="inlineStr">
        <is>
          <t>Auto Campaign_Vinay</t>
        </is>
      </c>
      <c r="AC471" s="31" t="n">
        <v>0.39</v>
      </c>
      <c r="AD471" s="2" t="n">
        <v>0</v>
      </c>
      <c r="AE471" s="2" t="n">
        <v>30</v>
      </c>
      <c r="AF471" s="4" t="n">
        <v>20</v>
      </c>
      <c r="AG471" s="33" t="n">
        <v>45.98</v>
      </c>
      <c r="AH471" s="4" t="n">
        <v>2</v>
      </c>
      <c r="AI471" s="34" t="n">
        <v>0.1</v>
      </c>
      <c r="AJ471" s="34" t="n">
        <v>1</v>
      </c>
      <c r="AK471" s="2" t="n">
        <v>5872</v>
      </c>
      <c r="AL471" t="inlineStr">
        <is>
          <t>Published</t>
        </is>
      </c>
    </row>
    <row r="472">
      <c r="A472">
        <f>HYPERLINK("https://www.walmart.com/ip/407676189", "407676189")</f>
        <v/>
      </c>
      <c r="B472">
        <f>HYPERLINK("https://app.optiwise.ai/catalog/itemdetails/361252", "Catalonia Sherpa Throws Blanket, Comfy Micro Mink Fleece, Reversible Blue And White 50&lt;strong&gt; &lt;/strong&gt;x60")</f>
        <v/>
      </c>
      <c r="C472" t="inlineStr">
        <is>
          <t>1CTBF300BL</t>
        </is>
      </c>
      <c r="D472" t="inlineStr">
        <is>
          <t>Bedding</t>
        </is>
      </c>
      <c r="E472" t="inlineStr">
        <is>
          <t>Throws</t>
        </is>
      </c>
      <c r="F472" t="inlineStr">
        <is>
          <t>Catalonia</t>
        </is>
      </c>
      <c r="G472" t="n">
        <v>4.8</v>
      </c>
      <c r="H472" t="n">
        <v>12</v>
      </c>
      <c r="I472" t="inlineStr">
        <is>
          <t>Q2-Target,Optimized,WFS,Coupon_Discount,WFS Item</t>
        </is>
      </c>
      <c r="J472" s="29" t="n">
        <v>45.98</v>
      </c>
      <c r="K472" s="30" t="n">
        <v>0.0004</v>
      </c>
      <c r="L472" s="29" t="n">
        <v>0</v>
      </c>
      <c r="M472" s="29" t="n">
        <v>0</v>
      </c>
      <c r="N472" s="2" t="n">
        <v>2</v>
      </c>
      <c r="O472" s="31" t="n">
        <v>0</v>
      </c>
      <c r="P472" s="32" t="n"/>
      <c r="Q472" s="32" t="n">
        <v>0</v>
      </c>
      <c r="R472" s="32" t="n">
        <v>0</v>
      </c>
      <c r="S472" s="31" t="n">
        <v>0</v>
      </c>
      <c r="T472" s="32" t="n">
        <v>0</v>
      </c>
      <c r="U472" s="31" t="n">
        <v>0</v>
      </c>
      <c r="V472" s="31" t="n">
        <v>0</v>
      </c>
      <c r="W472" s="3" t="n">
        <v>0</v>
      </c>
      <c r="X472" s="3" t="n">
        <v>0</v>
      </c>
      <c r="Y472" s="32" t="n">
        <v>0</v>
      </c>
      <c r="Z472" s="3" t="n">
        <v>0</v>
      </c>
      <c r="AA472" s="32" t="n">
        <v>0</v>
      </c>
      <c r="AB472" s="3" t="n"/>
      <c r="AC472" s="31" t="n">
        <v>0</v>
      </c>
      <c r="AD472" s="2" t="n">
        <v>34</v>
      </c>
      <c r="AE472" s="2" t="n">
        <v>66</v>
      </c>
      <c r="AF472" s="4" t="n">
        <v>66</v>
      </c>
      <c r="AG472" s="33" t="n">
        <v>45.98</v>
      </c>
      <c r="AH472" s="4" t="n">
        <v>2</v>
      </c>
      <c r="AI472" s="34" t="n">
        <v>0.0303</v>
      </c>
      <c r="AJ472" s="34" t="n">
        <v>1</v>
      </c>
      <c r="AK472" s="2" t="n">
        <v>67</v>
      </c>
      <c r="AL472" t="inlineStr">
        <is>
          <t>Published</t>
        </is>
      </c>
    </row>
    <row r="473">
      <c r="A473">
        <f>HYPERLINK("https://www.walmart.com/ip/554495477", "554495477")</f>
        <v/>
      </c>
      <c r="B473">
        <f>HYPERLINK("https://app.optiwise.ai/catalog/itemdetails/360716", "Flyingstar Surf Beach Changing Towel With Hood, Absorbent Microfiber Robe Poncho, Men &amp; Women,Grey")</f>
        <v/>
      </c>
      <c r="C473" t="inlineStr">
        <is>
          <t>1WMBR102-GY</t>
        </is>
      </c>
      <c r="D473" t="inlineStr">
        <is>
          <t>Home Decor, Kitchen, &amp; Other</t>
        </is>
      </c>
      <c r="E473" t="inlineStr">
        <is>
          <t>default</t>
        </is>
      </c>
      <c r="F473" t="inlineStr">
        <is>
          <t>Flyingstar</t>
        </is>
      </c>
      <c r="G473" t="n">
        <v>0</v>
      </c>
      <c r="H473" t="n">
        <v>0</v>
      </c>
      <c r="I473" t="inlineStr">
        <is>
          <t>Batch 1 - TR</t>
        </is>
      </c>
      <c r="J473" s="29" t="n">
        <v>45.98</v>
      </c>
      <c r="K473" s="30" t="n">
        <v>0.0004</v>
      </c>
      <c r="L473" s="29" t="n">
        <v>22.98999977111816</v>
      </c>
      <c r="M473" s="29" t="n">
        <v>0</v>
      </c>
      <c r="N473" s="2" t="n">
        <v>2</v>
      </c>
      <c r="O473" s="31" t="n">
        <v>0</v>
      </c>
      <c r="P473" s="32" t="n"/>
      <c r="Q473" s="32" t="n">
        <v>0</v>
      </c>
      <c r="R473" s="32" t="n">
        <v>0</v>
      </c>
      <c r="S473" s="31" t="n">
        <v>0</v>
      </c>
      <c r="T473" s="32" t="n">
        <v>0</v>
      </c>
      <c r="U473" s="31" t="n">
        <v>0</v>
      </c>
      <c r="V473" s="31" t="n">
        <v>0</v>
      </c>
      <c r="W473" s="3" t="n">
        <v>0</v>
      </c>
      <c r="X473" s="3" t="n">
        <v>0</v>
      </c>
      <c r="Y473" s="32" t="n">
        <v>0</v>
      </c>
      <c r="Z473" s="3" t="n">
        <v>0</v>
      </c>
      <c r="AA473" s="32" t="n">
        <v>0</v>
      </c>
      <c r="AB473" s="3" t="n"/>
      <c r="AC473" s="31" t="n">
        <v>0</v>
      </c>
      <c r="AD473" s="2" t="n">
        <v>0</v>
      </c>
      <c r="AE473" s="2" t="n">
        <v>14</v>
      </c>
      <c r="AF473" s="4" t="n">
        <v>14</v>
      </c>
      <c r="AG473" s="33" t="n">
        <v>45.98</v>
      </c>
      <c r="AH473" s="4" t="n">
        <v>2</v>
      </c>
      <c r="AI473" s="34" t="n">
        <v>0.1429</v>
      </c>
      <c r="AJ473" s="34" t="n">
        <v>1</v>
      </c>
      <c r="AK473" s="2" t="n">
        <v>6750</v>
      </c>
      <c r="AL473" t="inlineStr">
        <is>
          <t>Published</t>
        </is>
      </c>
    </row>
    <row r="474">
      <c r="A474">
        <f>HYPERLINK("https://www.walmart.com/ip/1665653858", "1665653858")</f>
        <v/>
      </c>
      <c r="B474">
        <f>HYPERLINK("https://app.optiwise.ai/catalog/itemdetails/4386016", "Catalonia Oversized Hoodie Blanket with Zipper, Wearable Sherpa Sweatshirt Pullover, Soft Warm Comfortable Jacket for Adults Men Women, Blue")</f>
        <v/>
      </c>
      <c r="C474" t="inlineStr">
        <is>
          <t>1CTHD220BL</t>
        </is>
      </c>
      <c r="D474" t="inlineStr">
        <is>
          <t>Clothing</t>
        </is>
      </c>
      <c r="E474" t="inlineStr">
        <is>
          <t>Throws</t>
        </is>
      </c>
      <c r="F474" t="inlineStr">
        <is>
          <t>Catalonia</t>
        </is>
      </c>
      <c r="G474" t="n">
        <v>0</v>
      </c>
      <c r="H474" t="n">
        <v>0</v>
      </c>
      <c r="I474" t="inlineStr">
        <is>
          <t>Batch 1 - TR</t>
        </is>
      </c>
      <c r="J474" s="29" t="n">
        <v>44.99</v>
      </c>
      <c r="K474" s="30" t="n">
        <v>0.0004</v>
      </c>
      <c r="L474" s="29" t="n">
        <v>0</v>
      </c>
      <c r="M474" s="29" t="n">
        <v>0</v>
      </c>
      <c r="N474" s="2" t="n">
        <v>1</v>
      </c>
      <c r="O474" s="31" t="n">
        <v>5.32</v>
      </c>
      <c r="P474" s="32" t="n">
        <v>0.0005999999999999999</v>
      </c>
      <c r="Q474" s="32" t="n">
        <v>0.1182</v>
      </c>
      <c r="R474" s="32" t="n">
        <v>0.1547</v>
      </c>
      <c r="S474" s="31" t="n">
        <v>0</v>
      </c>
      <c r="T474" s="32" t="n">
        <v>0</v>
      </c>
      <c r="U474" s="31" t="n">
        <v>0</v>
      </c>
      <c r="V474" s="31" t="n">
        <v>0</v>
      </c>
      <c r="W474" s="3" t="n">
        <v>7795</v>
      </c>
      <c r="X474" s="3" t="n">
        <v>15</v>
      </c>
      <c r="Y474" s="32" t="n">
        <v>0.0019</v>
      </c>
      <c r="Z474" s="3" t="n">
        <v>0</v>
      </c>
      <c r="AA474" s="32" t="n">
        <v>0</v>
      </c>
      <c r="AB474" s="3" t="inlineStr">
        <is>
          <t>Hoodies_Auto</t>
        </is>
      </c>
      <c r="AC474" s="31" t="n">
        <v>0.35</v>
      </c>
      <c r="AD474" s="2" t="n">
        <v>0</v>
      </c>
      <c r="AE474" s="2" t="n">
        <v>41</v>
      </c>
      <c r="AF474" s="4" t="n">
        <v>26</v>
      </c>
      <c r="AG474" s="33" t="n">
        <v>44.99</v>
      </c>
      <c r="AH474" s="4" t="n">
        <v>1</v>
      </c>
      <c r="AI474" s="34" t="n">
        <v>0.0385</v>
      </c>
      <c r="AJ474" s="34" t="n">
        <v>1</v>
      </c>
      <c r="AK474" s="2" t="n">
        <v>13500</v>
      </c>
      <c r="AL474" t="inlineStr">
        <is>
          <t>Published</t>
        </is>
      </c>
    </row>
    <row r="475">
      <c r="A475">
        <f>HYPERLINK("https://www.walmart.com/ip/1451015655", "1451015655")</f>
        <v/>
      </c>
      <c r="B475">
        <f>HYPERLINK("https://app.optiwise.ai/catalog/itemdetails/4386014", "Catalonia Oversized Hoodie Blanket with Zipper, Wearable Sherpa Sweatshirt Pullover, Soft Warm Comfortable Jacket for Adults Men Women, Red Checkered")</f>
        <v/>
      </c>
      <c r="C475" t="inlineStr">
        <is>
          <t>1CTHD220P2RD</t>
        </is>
      </c>
      <c r="D475" t="inlineStr">
        <is>
          <t>Clothing</t>
        </is>
      </c>
      <c r="E475" t="inlineStr">
        <is>
          <t>Sweatshirts &amp; Hoodies</t>
        </is>
      </c>
      <c r="F475" t="inlineStr">
        <is>
          <t>Catalonia</t>
        </is>
      </c>
      <c r="G475" t="n">
        <v>0</v>
      </c>
      <c r="H475" t="n">
        <v>0</v>
      </c>
      <c r="I475" t="inlineStr">
        <is>
          <t>Coupon_Discount</t>
        </is>
      </c>
      <c r="J475" s="29" t="n">
        <v>44.99</v>
      </c>
      <c r="K475" s="30" t="n">
        <v>0.0004</v>
      </c>
      <c r="L475" s="29" t="n">
        <v>44.9900016784668</v>
      </c>
      <c r="M475" s="29" t="n">
        <v>0</v>
      </c>
      <c r="N475" s="2" t="n">
        <v>1</v>
      </c>
      <c r="O475" s="31" t="n">
        <v>7.460000000000001</v>
      </c>
      <c r="P475" s="32" t="n">
        <v>0.0009</v>
      </c>
      <c r="Q475" s="32" t="n">
        <v>0.1658</v>
      </c>
      <c r="R475" s="32" t="n">
        <v>0.055</v>
      </c>
      <c r="S475" s="31" t="n">
        <v>0</v>
      </c>
      <c r="T475" s="32" t="n">
        <v>0</v>
      </c>
      <c r="U475" s="31" t="n">
        <v>0</v>
      </c>
      <c r="V475" s="31" t="n">
        <v>0</v>
      </c>
      <c r="W475" s="3" t="n">
        <v>7204</v>
      </c>
      <c r="X475" s="3" t="n">
        <v>21</v>
      </c>
      <c r="Y475" s="32" t="n">
        <v>0.0029</v>
      </c>
      <c r="Z475" s="3" t="n">
        <v>0</v>
      </c>
      <c r="AA475" s="32" t="n">
        <v>0</v>
      </c>
      <c r="AB475" s="3" t="inlineStr">
        <is>
          <t>Hoodies_Auto</t>
        </is>
      </c>
      <c r="AC475" s="31" t="n">
        <v>0.36</v>
      </c>
      <c r="AD475" s="2" t="n">
        <v>7</v>
      </c>
      <c r="AE475" s="2" t="n">
        <v>47</v>
      </c>
      <c r="AF475" s="4" t="n">
        <v>26</v>
      </c>
      <c r="AG475" s="33" t="n">
        <v>44.99</v>
      </c>
      <c r="AH475" s="4" t="n">
        <v>1</v>
      </c>
      <c r="AI475" s="34" t="n">
        <v>0.0385</v>
      </c>
      <c r="AJ475" s="34" t="n">
        <v>1</v>
      </c>
      <c r="AK475" s="2" t="n">
        <v>13500</v>
      </c>
      <c r="AL475" t="inlineStr">
        <is>
          <t>Published</t>
        </is>
      </c>
    </row>
    <row r="476">
      <c r="A476">
        <f>HYPERLINK("https://www.walmart.com/ip/935577192", "935577192")</f>
        <v/>
      </c>
      <c r="B476">
        <f>HYPERLINK("https://app.optiwise.ai/catalog/itemdetails/362172", "Catalonia Oversized Hoodie Blanket with Zipper, Wearable Sherpa Sweatshirt Pullover, Soft Warm Comfortable Jacket for Adults Men Women, Wine")</f>
        <v/>
      </c>
      <c r="C476" t="inlineStr">
        <is>
          <t>1CTHD220WN</t>
        </is>
      </c>
      <c r="D476" t="inlineStr">
        <is>
          <t>Toys</t>
        </is>
      </c>
      <c r="E476" t="inlineStr">
        <is>
          <t>Throws</t>
        </is>
      </c>
      <c r="F476" t="inlineStr">
        <is>
          <t>Catalonia</t>
        </is>
      </c>
      <c r="G476" t="n">
        <v>0</v>
      </c>
      <c r="H476" t="n">
        <v>0</v>
      </c>
      <c r="I476" t="inlineStr">
        <is>
          <t>Hoodie ForAdult,WFS,Coupon_Discount,WFS Item</t>
        </is>
      </c>
      <c r="J476" s="29" t="n">
        <v>44.99</v>
      </c>
      <c r="K476" s="30" t="n">
        <v>0.0004</v>
      </c>
      <c r="L476" s="29" t="n">
        <v>0</v>
      </c>
      <c r="M476" s="29" t="n">
        <v>0</v>
      </c>
      <c r="N476" s="2" t="n">
        <v>1</v>
      </c>
      <c r="O476" s="31" t="n">
        <v>2.1</v>
      </c>
      <c r="P476" s="32" t="n">
        <v>0.0003</v>
      </c>
      <c r="Q476" s="32" t="n">
        <v>0.0467</v>
      </c>
      <c r="R476" s="32" t="n">
        <v>0.121</v>
      </c>
      <c r="S476" s="31" t="n">
        <v>0</v>
      </c>
      <c r="T476" s="32" t="n">
        <v>0</v>
      </c>
      <c r="U476" s="31" t="n">
        <v>0</v>
      </c>
      <c r="V476" s="31" t="n">
        <v>0</v>
      </c>
      <c r="W476" s="3" t="n">
        <v>6570</v>
      </c>
      <c r="X476" s="3" t="n">
        <v>8</v>
      </c>
      <c r="Y476" s="32" t="n">
        <v>0.0012</v>
      </c>
      <c r="Z476" s="3" t="n">
        <v>0</v>
      </c>
      <c r="AA476" s="32" t="n">
        <v>0</v>
      </c>
      <c r="AB476" s="3" t="inlineStr">
        <is>
          <t>Hoodies_Auto</t>
        </is>
      </c>
      <c r="AC476" s="31" t="n">
        <v>0.26</v>
      </c>
      <c r="AD476" s="2" t="n">
        <v>0</v>
      </c>
      <c r="AE476" s="2" t="n">
        <v>41</v>
      </c>
      <c r="AF476" s="4" t="n">
        <v>33</v>
      </c>
      <c r="AG476" s="33" t="n">
        <v>44.99</v>
      </c>
      <c r="AH476" s="4" t="n">
        <v>1</v>
      </c>
      <c r="AI476" s="34" t="n">
        <v>0.0303</v>
      </c>
      <c r="AJ476" s="34" t="n">
        <v>1</v>
      </c>
      <c r="AK476" s="2" t="n">
        <v>13365</v>
      </c>
      <c r="AL476" t="inlineStr">
        <is>
          <t>Published</t>
        </is>
      </c>
    </row>
    <row r="477">
      <c r="A477">
        <f>HYPERLINK("https://www.walmart.com/ip/474907580", "474907580")</f>
        <v/>
      </c>
      <c r="B477">
        <f>HYPERLINK("https://app.optiwise.ai/catalog/itemdetails/359129", "Catalonia Oversized Hoodie Blanket with Zipper, Wearable Sherpa Sweatshirt Pullover, Soft Warm Comfortable Jacket for Adults Men Women, Grey")</f>
        <v/>
      </c>
      <c r="C477" t="inlineStr">
        <is>
          <t>1CTHD220GY</t>
        </is>
      </c>
      <c r="D477" t="inlineStr">
        <is>
          <t>Clothing</t>
        </is>
      </c>
      <c r="E477" t="inlineStr">
        <is>
          <t>Sweatshirts &amp; Hoodies</t>
        </is>
      </c>
      <c r="F477" t="inlineStr">
        <is>
          <t>Catalonia</t>
        </is>
      </c>
      <c r="G477" t="n">
        <v>5</v>
      </c>
      <c r="H477" t="n">
        <v>1</v>
      </c>
      <c r="I477" t="inlineStr">
        <is>
          <t>Hoodie ForAdult,WFS,Coupon_Discount,WFS Item</t>
        </is>
      </c>
      <c r="J477" s="29" t="n">
        <v>44.99</v>
      </c>
      <c r="K477" s="30" t="n">
        <v>0.0004</v>
      </c>
      <c r="L477" s="29" t="n">
        <v>0</v>
      </c>
      <c r="M477" s="29" t="n">
        <v>44.9900016784668</v>
      </c>
      <c r="N477" s="2" t="n">
        <v>1</v>
      </c>
      <c r="O477" s="31" t="n">
        <v>1.56</v>
      </c>
      <c r="P477" s="32" t="n">
        <v>0.0002</v>
      </c>
      <c r="Q477" s="32" t="n">
        <v>0.0347</v>
      </c>
      <c r="R477" s="32" t="n">
        <v>0.0954</v>
      </c>
      <c r="S477" s="31" t="n">
        <v>0</v>
      </c>
      <c r="T477" s="32" t="n">
        <v>0</v>
      </c>
      <c r="U477" s="31" t="n">
        <v>0</v>
      </c>
      <c r="V477" s="31" t="n">
        <v>0</v>
      </c>
      <c r="W477" s="3" t="n">
        <v>3772</v>
      </c>
      <c r="X477" s="3" t="n">
        <v>4</v>
      </c>
      <c r="Y477" s="32" t="n">
        <v>0.0011</v>
      </c>
      <c r="Z477" s="3" t="n">
        <v>0</v>
      </c>
      <c r="AA477" s="32" t="n">
        <v>0</v>
      </c>
      <c r="AB477" s="3" t="inlineStr">
        <is>
          <t>Hoodies_Auto</t>
        </is>
      </c>
      <c r="AC477" s="31" t="n">
        <v>0.39</v>
      </c>
      <c r="AD477" s="2" t="n">
        <v>0</v>
      </c>
      <c r="AE477" s="2" t="n">
        <v>37</v>
      </c>
      <c r="AF477" s="4" t="n">
        <v>33</v>
      </c>
      <c r="AG477" s="33" t="n">
        <v>44.99</v>
      </c>
      <c r="AH477" s="4" t="n">
        <v>1</v>
      </c>
      <c r="AI477" s="34" t="n">
        <v>0.0303</v>
      </c>
      <c r="AJ477" s="34" t="n">
        <v>1</v>
      </c>
      <c r="AK477" s="2" t="n">
        <v>13500</v>
      </c>
      <c r="AL477" t="inlineStr">
        <is>
          <t>Published</t>
        </is>
      </c>
    </row>
    <row r="478">
      <c r="A478">
        <f>HYPERLINK("https://www.walmart.com/ip/14485554639", "14485554639")</f>
        <v/>
      </c>
      <c r="B478">
        <f>HYPERLINK("https://app.optiwise.ai/catalog/itemdetails/13057963", "Catalonia Women's Blanket Hoodie Sweatshirt, Cozy Comfortable Fluffy Soft Fleece Lounging Pullover, Warm Fleece Hooded with Pockets Gift,  Ombre Blue")</f>
        <v/>
      </c>
      <c r="C478" t="inlineStr">
        <is>
          <t>1CTOSH330BL-FS</t>
        </is>
      </c>
      <c r="D478" t="inlineStr">
        <is>
          <t>Clothing</t>
        </is>
      </c>
      <c r="E478" t="inlineStr">
        <is>
          <t>Sweatshirts &amp; Hoodies</t>
        </is>
      </c>
      <c r="F478" t="inlineStr">
        <is>
          <t>Catalonia</t>
        </is>
      </c>
      <c r="G478" t="n">
        <v>0</v>
      </c>
      <c r="H478" t="n">
        <v>0</v>
      </c>
      <c r="J478" s="29" t="n">
        <v>44.98</v>
      </c>
      <c r="K478" s="30" t="n">
        <v>0.0004</v>
      </c>
      <c r="L478" s="29" t="n">
        <v>0</v>
      </c>
      <c r="M478" s="29" t="n">
        <v>0</v>
      </c>
      <c r="N478" s="2" t="n">
        <v>1</v>
      </c>
      <c r="O478" s="31" t="n">
        <v>0</v>
      </c>
      <c r="P478" s="32" t="n"/>
      <c r="Q478" s="32" t="n">
        <v>0</v>
      </c>
      <c r="R478" s="32" t="n">
        <v>0</v>
      </c>
      <c r="S478" s="31" t="n">
        <v>0</v>
      </c>
      <c r="T478" s="32" t="n">
        <v>0</v>
      </c>
      <c r="U478" s="31" t="n">
        <v>0</v>
      </c>
      <c r="V478" s="31" t="n">
        <v>0</v>
      </c>
      <c r="W478" s="3" t="n">
        <v>0</v>
      </c>
      <c r="X478" s="3" t="n">
        <v>0</v>
      </c>
      <c r="Y478" s="32" t="n">
        <v>0</v>
      </c>
      <c r="Z478" s="3" t="n">
        <v>0</v>
      </c>
      <c r="AA478" s="32" t="n">
        <v>0</v>
      </c>
      <c r="AB478" s="3" t="n"/>
      <c r="AC478" s="31" t="n">
        <v>0</v>
      </c>
      <c r="AD478" s="2" t="n">
        <v>0</v>
      </c>
      <c r="AE478" s="2" t="n">
        <v>9</v>
      </c>
      <c r="AF478" s="4" t="n">
        <v>9</v>
      </c>
      <c r="AG478" s="33" t="n">
        <v>44.98</v>
      </c>
      <c r="AH478" s="4" t="n">
        <v>1</v>
      </c>
      <c r="AI478" s="34" t="n">
        <v>0.1111</v>
      </c>
      <c r="AJ478" s="34" t="n">
        <v>1</v>
      </c>
      <c r="AK478" s="2" t="n">
        <v>1755</v>
      </c>
      <c r="AL478" t="inlineStr">
        <is>
          <t>Published</t>
        </is>
      </c>
    </row>
    <row r="479">
      <c r="A479">
        <f>HYPERLINK("https://www.walmart.com/ip/705115717", "705115717")</f>
        <v/>
      </c>
      <c r="B479">
        <f>HYPERLINK("https://app.optiwise.ai/catalog/itemdetails/360369", "Tirrinia Insulated Lunch Bag, Leakproof Thermal Bento Cooler Tote for Women and Men, Dual Compartment with Shoulder Strap, 10.2 x 7.5 x 9, Light Gray")</f>
        <v/>
      </c>
      <c r="C479" t="inlineStr">
        <is>
          <t>1TRLB601LG</t>
        </is>
      </c>
      <c r="D479" t="inlineStr">
        <is>
          <t>Home Decor, Kitchen, &amp; Other</t>
        </is>
      </c>
      <c r="E479" t="inlineStr">
        <is>
          <t>Reusable Lunch Bags &amp; Boxes</t>
        </is>
      </c>
      <c r="F479" t="inlineStr">
        <is>
          <t>Tirrinia</t>
        </is>
      </c>
      <c r="G479" t="n">
        <v>4.4</v>
      </c>
      <c r="H479" t="n">
        <v>36</v>
      </c>
      <c r="I479" t="inlineStr">
        <is>
          <t>Q2-Target,Lunch Bag,WFS,Lunch Bags,SEM,WFS Item</t>
        </is>
      </c>
      <c r="J479" s="29" t="n">
        <v>44.97</v>
      </c>
      <c r="K479" s="30" t="n">
        <v>0.0004</v>
      </c>
      <c r="L479" s="29" t="n">
        <v>0</v>
      </c>
      <c r="M479" s="29" t="n">
        <v>0</v>
      </c>
      <c r="N479" s="2" t="n">
        <v>2</v>
      </c>
      <c r="O479" s="31" t="n">
        <v>0</v>
      </c>
      <c r="P479" s="32" t="n"/>
      <c r="Q479" s="32" t="n">
        <v>0</v>
      </c>
      <c r="R479" s="32" t="n">
        <v>0</v>
      </c>
      <c r="S479" s="31" t="n">
        <v>0</v>
      </c>
      <c r="T479" s="32" t="n">
        <v>0</v>
      </c>
      <c r="U479" s="31" t="n">
        <v>0</v>
      </c>
      <c r="V479" s="31" t="n">
        <v>0</v>
      </c>
      <c r="W479" s="3" t="n">
        <v>0</v>
      </c>
      <c r="X479" s="3" t="n">
        <v>0</v>
      </c>
      <c r="Y479" s="32" t="n">
        <v>0</v>
      </c>
      <c r="Z479" s="3" t="n">
        <v>0</v>
      </c>
      <c r="AA479" s="32" t="n">
        <v>0</v>
      </c>
      <c r="AB479" s="3" t="n"/>
      <c r="AC479" s="31" t="n">
        <v>0</v>
      </c>
      <c r="AD479" s="2" t="n">
        <v>25</v>
      </c>
      <c r="AE479" s="2" t="n">
        <v>59</v>
      </c>
      <c r="AF479" s="4" t="n">
        <v>59</v>
      </c>
      <c r="AG479" s="33" t="n">
        <v>44.97</v>
      </c>
      <c r="AH479" s="4" t="n">
        <v>2</v>
      </c>
      <c r="AI479" s="34" t="n">
        <v>0.0339</v>
      </c>
      <c r="AJ479" s="34" t="n">
        <v>1</v>
      </c>
      <c r="AK479" s="2" t="n">
        <v>945</v>
      </c>
      <c r="AL479" t="inlineStr">
        <is>
          <t>Published</t>
        </is>
      </c>
    </row>
    <row r="480">
      <c r="A480">
        <f>HYPERLINK("https://www.walmart.com/ip/579226676", "579226676")</f>
        <v/>
      </c>
      <c r="B480">
        <f>HYPERLINK("https://app.optiwise.ai/catalog/itemdetails/360333", "Women's Sun Hat with Wide Brim Neck Flap, Fishing Safari Hat for Outdoor Hiking Camping Gardening Lawn Field Work")</f>
        <v/>
      </c>
      <c r="C480" t="inlineStr">
        <is>
          <t>1TRSH910GY-TBCB01</t>
        </is>
      </c>
      <c r="D480" t="inlineStr">
        <is>
          <t>Clothing</t>
        </is>
      </c>
      <c r="E480" t="inlineStr">
        <is>
          <t>Hats</t>
        </is>
      </c>
      <c r="F480" t="inlineStr">
        <is>
          <t>Tirrinia</t>
        </is>
      </c>
      <c r="G480" t="n">
        <v>4.5</v>
      </c>
      <c r="H480" t="n">
        <v>47</v>
      </c>
      <c r="I480" t="inlineStr">
        <is>
          <t>Q2-Target,Batch 1 - TR</t>
        </is>
      </c>
      <c r="J480" s="29" t="n">
        <v>44.94</v>
      </c>
      <c r="K480" s="30" t="n">
        <v>0.0004</v>
      </c>
      <c r="L480" s="29" t="n">
        <v>0</v>
      </c>
      <c r="M480" s="29" t="n">
        <v>0</v>
      </c>
      <c r="N480" s="2" t="n">
        <v>3</v>
      </c>
      <c r="O480" s="31" t="n">
        <v>0</v>
      </c>
      <c r="P480" s="32" t="n"/>
      <c r="Q480" s="32" t="n">
        <v>0</v>
      </c>
      <c r="R480" s="32" t="n">
        <v>0</v>
      </c>
      <c r="S480" s="31" t="n">
        <v>0</v>
      </c>
      <c r="T480" s="32" t="n">
        <v>0</v>
      </c>
      <c r="U480" s="31" t="n">
        <v>0</v>
      </c>
      <c r="V480" s="31" t="n">
        <v>0</v>
      </c>
      <c r="W480" s="3" t="n">
        <v>0</v>
      </c>
      <c r="X480" s="3" t="n">
        <v>0</v>
      </c>
      <c r="Y480" s="32" t="n">
        <v>0</v>
      </c>
      <c r="Z480" s="3" t="n">
        <v>0</v>
      </c>
      <c r="AA480" s="32" t="n">
        <v>0</v>
      </c>
      <c r="AB480" s="3" t="n"/>
      <c r="AC480" s="31" t="n">
        <v>0</v>
      </c>
      <c r="AD480" s="2" t="n">
        <v>0</v>
      </c>
      <c r="AE480" s="2" t="n">
        <v>76</v>
      </c>
      <c r="AF480" s="4" t="n">
        <v>76</v>
      </c>
      <c r="AG480" s="33" t="n">
        <v>44.94</v>
      </c>
      <c r="AH480" s="4" t="n">
        <v>3</v>
      </c>
      <c r="AI480" s="34" t="n">
        <v>0.0395</v>
      </c>
      <c r="AJ480" s="34" t="n">
        <v>1</v>
      </c>
      <c r="AK480" s="2" t="n">
        <v>4500</v>
      </c>
      <c r="AL480" t="inlineStr">
        <is>
          <t>Published</t>
        </is>
      </c>
    </row>
    <row r="481">
      <c r="A481">
        <f>HYPERLINK("https://www.walmart.com/ip/105386738", "105386738")</f>
        <v/>
      </c>
      <c r="B481">
        <f>HYPERLINK("https://app.optiwise.ai/catalog/itemdetails/362643", "KritterWorld® Pet Dog Cat Puppy Kitten Micro plush Sherpa Snuggle Blanket for Couch, Car, Trunk, Cage, Kennel, Dog House, 45 x 30 Grey/Latte")</f>
        <v/>
      </c>
      <c r="C481" t="inlineStr">
        <is>
          <t>DOG3045-GYLT</t>
        </is>
      </c>
      <c r="D481" t="inlineStr">
        <is>
          <t>Animal Accessories</t>
        </is>
      </c>
      <c r="E481" t="inlineStr">
        <is>
          <t>Pet Blankets</t>
        </is>
      </c>
      <c r="F481" t="inlineStr">
        <is>
          <t>KritterWorld</t>
        </is>
      </c>
      <c r="G481" t="n">
        <v>0</v>
      </c>
      <c r="H481" t="n">
        <v>0</v>
      </c>
      <c r="I481" t="inlineStr">
        <is>
          <t>Batch 1 - TR</t>
        </is>
      </c>
      <c r="J481" s="29" t="n">
        <v>43.98</v>
      </c>
      <c r="K481" s="30" t="n">
        <v>0.0004</v>
      </c>
      <c r="L481" s="29" t="n">
        <v>0</v>
      </c>
      <c r="M481" s="29" t="n">
        <v>0</v>
      </c>
      <c r="N481" s="2" t="n">
        <v>2</v>
      </c>
      <c r="O481" s="31" t="n">
        <v>0</v>
      </c>
      <c r="P481" s="32" t="n"/>
      <c r="Q481" s="32" t="n">
        <v>0</v>
      </c>
      <c r="R481" s="32" t="n">
        <v>0</v>
      </c>
      <c r="S481" s="31" t="n">
        <v>0</v>
      </c>
      <c r="T481" s="32" t="n">
        <v>0</v>
      </c>
      <c r="U481" s="31" t="n">
        <v>0</v>
      </c>
      <c r="V481" s="31" t="n">
        <v>0</v>
      </c>
      <c r="W481" s="3" t="n">
        <v>0</v>
      </c>
      <c r="X481" s="3" t="n">
        <v>0</v>
      </c>
      <c r="Y481" s="32" t="n">
        <v>0</v>
      </c>
      <c r="Z481" s="3" t="n">
        <v>0</v>
      </c>
      <c r="AA481" s="32" t="n">
        <v>0</v>
      </c>
      <c r="AB481" s="3" t="n"/>
      <c r="AC481" s="31" t="n">
        <v>0</v>
      </c>
      <c r="AD481" s="2" t="n">
        <v>0</v>
      </c>
      <c r="AE481" s="2" t="n">
        <v>6</v>
      </c>
      <c r="AF481" s="4" t="n">
        <v>6</v>
      </c>
      <c r="AG481" s="33" t="n">
        <v>43.98</v>
      </c>
      <c r="AH481" s="4" t="n">
        <v>2</v>
      </c>
      <c r="AI481" s="34" t="n">
        <v>0.3333</v>
      </c>
      <c r="AJ481" s="34" t="n">
        <v>1</v>
      </c>
      <c r="AK481" s="2" t="n">
        <v>6750</v>
      </c>
      <c r="AL481" t="inlineStr">
        <is>
          <t>Published</t>
        </is>
      </c>
    </row>
    <row r="482">
      <c r="A482">
        <f>HYPERLINK("https://www.walmart.com/ip/468392021", "468392021")</f>
        <v/>
      </c>
      <c r="B482">
        <f>HYPERLINK("https://app.optiwise.ai/catalog/itemdetails/361116", "Tirrinia Insulated Wine Carrier - 3 Bottle Travel Padded Wine Carry Cooler Tote Bag with Handle and Adjustable Shoulder Strap + Free Corkscrew, Black")</f>
        <v/>
      </c>
      <c r="C482" t="inlineStr">
        <is>
          <t>1KTWB300BK</t>
        </is>
      </c>
      <c r="D482" t="inlineStr">
        <is>
          <t>Home Decor, Kitchen, &amp; Other</t>
        </is>
      </c>
      <c r="E482" t="inlineStr">
        <is>
          <t>Wine Totes, Bags &amp; Backpacks</t>
        </is>
      </c>
      <c r="F482" t="inlineStr">
        <is>
          <t>Tirrinia</t>
        </is>
      </c>
      <c r="G482" t="n">
        <v>4.3</v>
      </c>
      <c r="H482" t="n">
        <v>9</v>
      </c>
      <c r="I482" t="inlineStr">
        <is>
          <t>Wine,Wine Bag Camp,Christmas,Wine WFS,Valentine,WFS Item,Lily Brand Camp</t>
        </is>
      </c>
      <c r="J482" s="29" t="n">
        <v>43.98</v>
      </c>
      <c r="K482" s="30" t="n">
        <v>0.0004</v>
      </c>
      <c r="L482" s="29" t="n">
        <v>87.95999908447266</v>
      </c>
      <c r="M482" s="29" t="n">
        <v>0</v>
      </c>
      <c r="N482" s="2" t="n">
        <v>2</v>
      </c>
      <c r="O482" s="31" t="n">
        <v>52.41999999999999</v>
      </c>
      <c r="P482" s="32" t="n">
        <v>0.0063</v>
      </c>
      <c r="Q482" s="32" t="n">
        <v>1.1919</v>
      </c>
      <c r="R482" s="32" t="n">
        <v>0.0803</v>
      </c>
      <c r="S482" s="31" t="n">
        <v>2.06</v>
      </c>
      <c r="T482" s="32" t="n">
        <v>0.49</v>
      </c>
      <c r="U482" s="31" t="n">
        <v>107.95</v>
      </c>
      <c r="V482" s="31" t="n">
        <v>41.98</v>
      </c>
      <c r="W482" s="3" t="n">
        <v>54944</v>
      </c>
      <c r="X482" s="3" t="n">
        <v>110</v>
      </c>
      <c r="Y482" s="32" t="n">
        <v>0.002</v>
      </c>
      <c r="Z482" s="3" t="n">
        <v>5</v>
      </c>
      <c r="AA482" s="32" t="n">
        <v>0.0455</v>
      </c>
      <c r="AB482" s="3" t="inlineStr">
        <is>
          <t>Auto Campaign_Vinay</t>
        </is>
      </c>
      <c r="AC482" s="31" t="n">
        <v>0.48</v>
      </c>
      <c r="AD482" s="2" t="n">
        <v>93</v>
      </c>
      <c r="AE482" s="2" t="n">
        <v>140</v>
      </c>
      <c r="AF482" s="4" t="n">
        <v>30</v>
      </c>
      <c r="AG482" s="33" t="n">
        <v>-63.96999999999999</v>
      </c>
      <c r="AH482" s="4" t="n">
        <v>-3</v>
      </c>
      <c r="AI482" s="34" t="n">
        <v>-0.1</v>
      </c>
      <c r="AJ482" s="34" t="n">
        <v>-1.4545</v>
      </c>
      <c r="AK482" s="2" t="n">
        <v>6885</v>
      </c>
      <c r="AL482" t="inlineStr">
        <is>
          <t>Published</t>
        </is>
      </c>
    </row>
    <row r="483">
      <c r="A483">
        <f>HYPERLINK("https://www.walmart.com/ip/5001474247", "5001474247")</f>
        <v/>
      </c>
      <c r="B483">
        <f>HYPERLINK("https://app.optiwise.ai/catalog/itemdetails/6070350", "Catalonia Wearable Blanket with Sleeves and Pocket, Cozy Soft Fleece Micro Plush Wrap Adult Blanket Robe for Women Men, Grey Dog Pattern Makes a Great Gift for Holidays, 73 x 51.")</f>
        <v/>
      </c>
      <c r="C483" t="inlineStr">
        <is>
          <t>1CTSN100GYDOG</t>
        </is>
      </c>
      <c r="D483" t="inlineStr">
        <is>
          <t>Bedding</t>
        </is>
      </c>
      <c r="E483" t="inlineStr">
        <is>
          <t>Throws</t>
        </is>
      </c>
      <c r="F483" t="inlineStr">
        <is>
          <t>Catalonia</t>
        </is>
      </c>
      <c r="G483" t="n">
        <v>0</v>
      </c>
      <c r="H483" t="n">
        <v>0</v>
      </c>
      <c r="I483" t="inlineStr">
        <is>
          <t>Q2-Target,Coupon_Discount</t>
        </is>
      </c>
      <c r="J483" s="29" t="n">
        <v>43.98</v>
      </c>
      <c r="K483" s="30" t="n">
        <v>0.0004</v>
      </c>
      <c r="L483" s="29" t="n">
        <v>0</v>
      </c>
      <c r="M483" s="29" t="n">
        <v>0</v>
      </c>
      <c r="N483" s="2" t="n">
        <v>2</v>
      </c>
      <c r="O483" s="31" t="n">
        <v>0</v>
      </c>
      <c r="P483" s="32" t="n"/>
      <c r="Q483" s="32" t="n">
        <v>0</v>
      </c>
      <c r="R483" s="32" t="n">
        <v>0</v>
      </c>
      <c r="S483" s="31" t="n">
        <v>0</v>
      </c>
      <c r="T483" s="32" t="n">
        <v>0</v>
      </c>
      <c r="U483" s="31" t="n">
        <v>0</v>
      </c>
      <c r="V483" s="31" t="n">
        <v>0</v>
      </c>
      <c r="W483" s="3" t="n">
        <v>0</v>
      </c>
      <c r="X483" s="3" t="n">
        <v>0</v>
      </c>
      <c r="Y483" s="32" t="n">
        <v>0</v>
      </c>
      <c r="Z483" s="3" t="n">
        <v>0</v>
      </c>
      <c r="AA483" s="32" t="n">
        <v>0</v>
      </c>
      <c r="AB483" s="3" t="n"/>
      <c r="AC483" s="31" t="n">
        <v>0</v>
      </c>
      <c r="AD483" s="2" t="n">
        <v>23</v>
      </c>
      <c r="AE483" s="2" t="n">
        <v>89</v>
      </c>
      <c r="AF483" s="4" t="n">
        <v>89</v>
      </c>
      <c r="AG483" s="33" t="n">
        <v>43.98</v>
      </c>
      <c r="AH483" s="4" t="n">
        <v>2</v>
      </c>
      <c r="AI483" s="34" t="n">
        <v>0.0225</v>
      </c>
      <c r="AJ483" s="34" t="n">
        <v>1</v>
      </c>
      <c r="AK483" s="2" t="n">
        <v>6750</v>
      </c>
      <c r="AL483" t="inlineStr">
        <is>
          <t>Published</t>
        </is>
      </c>
    </row>
    <row r="484">
      <c r="A484">
        <f>HYPERLINK("https://www.walmart.com/ip/695726874", "695726874")</f>
        <v/>
      </c>
      <c r="B484">
        <f>HYPERLINK("https://app.optiwise.ai/catalog/itemdetails/359088", "Tirrinia Insulated 2 Bottle Wine Carrier Tote Cooler Bag for Travel Picnic Padded Champagne Glass")</f>
        <v/>
      </c>
      <c r="C484" t="inlineStr">
        <is>
          <t>1TRWB231KK</t>
        </is>
      </c>
      <c r="D484" t="inlineStr">
        <is>
          <t>Home Decor, Kitchen, &amp; Other</t>
        </is>
      </c>
      <c r="E484" t="inlineStr">
        <is>
          <t>Wine Totes, Bags &amp; Backpacks</t>
        </is>
      </c>
      <c r="F484" t="inlineStr">
        <is>
          <t>Tirrinia</t>
        </is>
      </c>
      <c r="G484" t="n">
        <v>0</v>
      </c>
      <c r="H484" t="n">
        <v>0</v>
      </c>
      <c r="I484" t="inlineStr">
        <is>
          <t>Wine,Christmas,WFS,Valentine,SEM,WFS Item</t>
        </is>
      </c>
      <c r="J484" s="29" t="n">
        <v>43.98</v>
      </c>
      <c r="K484" s="30" t="n">
        <v>0.0004</v>
      </c>
      <c r="L484" s="29" t="n">
        <v>0</v>
      </c>
      <c r="M484" s="29" t="n">
        <v>0</v>
      </c>
      <c r="N484" s="2" t="n">
        <v>2</v>
      </c>
      <c r="O484" s="31" t="n">
        <v>10.05</v>
      </c>
      <c r="P484" s="32" t="n">
        <v>0.0012</v>
      </c>
      <c r="Q484" s="32" t="n">
        <v>0.2285</v>
      </c>
      <c r="R484" s="32" t="n">
        <v>0</v>
      </c>
      <c r="S484" s="31" t="n">
        <v>2.09</v>
      </c>
      <c r="T484" s="32" t="n">
        <v>0.48</v>
      </c>
      <c r="U484" s="31" t="n">
        <v>20.99</v>
      </c>
      <c r="V484" s="31" t="n">
        <v>20.99</v>
      </c>
      <c r="W484" s="3" t="n">
        <v>16421</v>
      </c>
      <c r="X484" s="3" t="n">
        <v>25</v>
      </c>
      <c r="Y484" s="32" t="n">
        <v>0.0015</v>
      </c>
      <c r="Z484" s="3" t="n">
        <v>1</v>
      </c>
      <c r="AA484" s="32" t="n">
        <v>0.04</v>
      </c>
      <c r="AB484" s="3" t="inlineStr">
        <is>
          <t>All Items_Auto_Optiwise_24,Auto Campaign_Vinay</t>
        </is>
      </c>
      <c r="AC484" s="31" t="n">
        <v>0.4</v>
      </c>
      <c r="AD484" s="2" t="n">
        <v>3</v>
      </c>
      <c r="AE484" s="2" t="n">
        <v>38</v>
      </c>
      <c r="AF484" s="4" t="n">
        <v>13</v>
      </c>
      <c r="AG484" s="33" t="n">
        <v>22.99</v>
      </c>
      <c r="AH484" s="4" t="n">
        <v>1</v>
      </c>
      <c r="AI484" s="34" t="n">
        <v>0.0769</v>
      </c>
      <c r="AJ484" s="34" t="n">
        <v>0.5227000000000001</v>
      </c>
      <c r="AK484" s="2" t="n">
        <v>877</v>
      </c>
      <c r="AL484" t="inlineStr">
        <is>
          <t>Published</t>
        </is>
      </c>
    </row>
    <row r="485">
      <c r="A485">
        <f>HYPERLINK("https://www.walmart.com/ip/153729474", "153729474")</f>
        <v/>
      </c>
      <c r="B485">
        <f>HYPERLINK("https://app.optiwise.ai/catalog/itemdetails/362207", "Microplush Sherpa Blanket with Sleeves for Women and Men Brown")</f>
        <v/>
      </c>
      <c r="C485" t="inlineStr">
        <is>
          <t>1TNSN110BR-TPB</t>
        </is>
      </c>
      <c r="D485" t="inlineStr">
        <is>
          <t>Bedding</t>
        </is>
      </c>
      <c r="E485" t="inlineStr">
        <is>
          <t>Throws</t>
        </is>
      </c>
      <c r="F485" t="inlineStr">
        <is>
          <t>Terrania</t>
        </is>
      </c>
      <c r="G485" t="n">
        <v>0</v>
      </c>
      <c r="H485" t="n">
        <v>0</v>
      </c>
      <c r="J485" s="29" t="n">
        <v>42.99</v>
      </c>
      <c r="K485" s="30" t="n">
        <v>0.0004</v>
      </c>
      <c r="L485" s="29" t="n">
        <v>0</v>
      </c>
      <c r="M485" s="29" t="n">
        <v>0</v>
      </c>
      <c r="N485" s="2" t="n">
        <v>1</v>
      </c>
      <c r="O485" s="31" t="n">
        <v>0</v>
      </c>
      <c r="P485" s="32" t="n"/>
      <c r="Q485" s="32" t="n">
        <v>0</v>
      </c>
      <c r="R485" s="32" t="n">
        <v>0</v>
      </c>
      <c r="S485" s="31" t="n">
        <v>0</v>
      </c>
      <c r="T485" s="32" t="n">
        <v>0</v>
      </c>
      <c r="U485" s="31" t="n">
        <v>0</v>
      </c>
      <c r="V485" s="31" t="n">
        <v>0</v>
      </c>
      <c r="W485" s="3" t="n">
        <v>0</v>
      </c>
      <c r="X485" s="3" t="n">
        <v>0</v>
      </c>
      <c r="Y485" s="32" t="n">
        <v>0</v>
      </c>
      <c r="Z485" s="3" t="n">
        <v>0</v>
      </c>
      <c r="AA485" s="32" t="n">
        <v>0</v>
      </c>
      <c r="AB485" s="3" t="n"/>
      <c r="AC485" s="31" t="n">
        <v>0</v>
      </c>
      <c r="AD485" s="2" t="n">
        <v>0</v>
      </c>
      <c r="AE485" s="2" t="n">
        <v>6</v>
      </c>
      <c r="AF485" s="4" t="n">
        <v>6</v>
      </c>
      <c r="AG485" s="33" t="n">
        <v>42.99</v>
      </c>
      <c r="AH485" s="4" t="n">
        <v>1</v>
      </c>
      <c r="AI485" s="34" t="n">
        <v>0.1667</v>
      </c>
      <c r="AJ485" s="34" t="n">
        <v>1</v>
      </c>
      <c r="AK485" s="2" t="n">
        <v>13500</v>
      </c>
      <c r="AL485" t="inlineStr">
        <is>
          <t>Published</t>
        </is>
      </c>
    </row>
    <row r="486">
      <c r="A486">
        <f>HYPERLINK("https://www.walmart.com/ip/590537663", "590537663")</f>
        <v/>
      </c>
      <c r="B486">
        <f>HYPERLINK("https://app.optiwise.ai/catalog/itemdetails/362009", "Catalonia Wearable TV Blanket with Sleeves Arms &amp; Feet pockets for Adult Micro Plush Fleece Large Wrap Throw Robe 75 x 5")</f>
        <v/>
      </c>
      <c r="C486" t="inlineStr">
        <is>
          <t>1CTSN310P2RD</t>
        </is>
      </c>
      <c r="D486" t="inlineStr">
        <is>
          <t>Bedding</t>
        </is>
      </c>
      <c r="E486" t="inlineStr">
        <is>
          <t>Throws</t>
        </is>
      </c>
      <c r="F486" t="inlineStr">
        <is>
          <t>Catalonia</t>
        </is>
      </c>
      <c r="G486" t="n">
        <v>0</v>
      </c>
      <c r="H486" t="n">
        <v>0</v>
      </c>
      <c r="I486" t="inlineStr">
        <is>
          <t>Optimized,WFS,WFS Item</t>
        </is>
      </c>
      <c r="J486" s="29" t="n">
        <v>42.99</v>
      </c>
      <c r="K486" s="30" t="n">
        <v>0.0004</v>
      </c>
      <c r="L486" s="29" t="n">
        <v>0</v>
      </c>
      <c r="M486" s="29" t="n">
        <v>0</v>
      </c>
      <c r="N486" s="2" t="n">
        <v>1</v>
      </c>
      <c r="O486" s="31" t="n">
        <v>0</v>
      </c>
      <c r="P486" s="32" t="n"/>
      <c r="Q486" s="32" t="n">
        <v>0</v>
      </c>
      <c r="R486" s="32" t="n">
        <v>0</v>
      </c>
      <c r="S486" s="31" t="n">
        <v>0</v>
      </c>
      <c r="T486" s="32" t="n">
        <v>0</v>
      </c>
      <c r="U486" s="31" t="n">
        <v>0</v>
      </c>
      <c r="V486" s="31" t="n">
        <v>0</v>
      </c>
      <c r="W486" s="3" t="n">
        <v>145</v>
      </c>
      <c r="X486" s="3" t="n">
        <v>0</v>
      </c>
      <c r="Y486" s="32" t="n">
        <v>0</v>
      </c>
      <c r="Z486" s="3" t="n">
        <v>0</v>
      </c>
      <c r="AA486" s="32" t="n">
        <v>0</v>
      </c>
      <c r="AB486" s="3" t="inlineStr">
        <is>
          <t>Top Selling Last Year 2023</t>
        </is>
      </c>
      <c r="AC486" s="31" t="n">
        <v>0</v>
      </c>
      <c r="AD486" s="2" t="n">
        <v>0</v>
      </c>
      <c r="AE486" s="2" t="n">
        <v>24</v>
      </c>
      <c r="AF486" s="4" t="n">
        <v>24</v>
      </c>
      <c r="AG486" s="33" t="n">
        <v>42.99</v>
      </c>
      <c r="AH486" s="4" t="n">
        <v>1</v>
      </c>
      <c r="AI486" s="34" t="n">
        <v>0.0417</v>
      </c>
      <c r="AJ486" s="34" t="n">
        <v>1</v>
      </c>
      <c r="AK486" s="2" t="n">
        <v>13500</v>
      </c>
      <c r="AL486" t="inlineStr">
        <is>
          <t>Published</t>
        </is>
      </c>
    </row>
    <row r="487">
      <c r="A487">
        <f>HYPERLINK("https://www.walmart.com/ip/1284646201", "1284646201")</f>
        <v/>
      </c>
      <c r="B487">
        <f>HYPERLINK("https://app.optiwise.ai/catalog/itemdetails/4386012", "Catalonia Oversized Hoodie Blanket with Zipper, Wearable Sherpa Sweatshirt Pullover, Soft Warm Comfortable Jacket for Adults Men Women, Ash Grey")</f>
        <v/>
      </c>
      <c r="C487" t="inlineStr">
        <is>
          <t>1CTHD220GYASH</t>
        </is>
      </c>
      <c r="D487" t="inlineStr">
        <is>
          <t>Clothing</t>
        </is>
      </c>
      <c r="E487" t="inlineStr">
        <is>
          <t>Throws</t>
        </is>
      </c>
      <c r="F487" t="inlineStr">
        <is>
          <t>Catalonia</t>
        </is>
      </c>
      <c r="G487" t="n">
        <v>0</v>
      </c>
      <c r="H487" t="n">
        <v>0</v>
      </c>
      <c r="I487" t="inlineStr">
        <is>
          <t>Coupon_Discount,Batch 1 - TR</t>
        </is>
      </c>
      <c r="J487" s="29" t="n">
        <v>42.99</v>
      </c>
      <c r="K487" s="30" t="n">
        <v>0.0004</v>
      </c>
      <c r="L487" s="29" t="n">
        <v>85.98000335693359</v>
      </c>
      <c r="M487" s="29" t="n">
        <v>42.9900016784668</v>
      </c>
      <c r="N487" s="2" t="n">
        <v>1</v>
      </c>
      <c r="O487" s="31" t="n">
        <v>75.00000000000004</v>
      </c>
      <c r="P487" s="32" t="n">
        <v>0.008999999999999999</v>
      </c>
      <c r="Q487" s="32" t="n">
        <v>1.7446</v>
      </c>
      <c r="R487" s="32" t="n">
        <v>0.011</v>
      </c>
      <c r="S487" s="31" t="n">
        <v>3.05</v>
      </c>
      <c r="T487" s="32" t="n">
        <v>0.33</v>
      </c>
      <c r="U487" s="31" t="n">
        <v>228.94</v>
      </c>
      <c r="V487" s="31" t="n">
        <v>198.95</v>
      </c>
      <c r="W487" s="3" t="n">
        <v>66313</v>
      </c>
      <c r="X487" s="3" t="n">
        <v>186</v>
      </c>
      <c r="Y487" s="32" t="n">
        <v>0.0028</v>
      </c>
      <c r="Z487" s="3" t="n">
        <v>6</v>
      </c>
      <c r="AA487" s="32" t="n">
        <v>0.0323</v>
      </c>
      <c r="AB487" s="3" t="inlineStr">
        <is>
          <t>Auto for Top sale---Rachel,Hoodies_Auto</t>
        </is>
      </c>
      <c r="AC487" s="31" t="n">
        <v>0.4</v>
      </c>
      <c r="AD487" s="2" t="n">
        <v>12</v>
      </c>
      <c r="AE487" s="2" t="n">
        <v>111</v>
      </c>
      <c r="AF487" s="4" t="inlineStr">
        <is>
          <t>NA</t>
        </is>
      </c>
      <c r="AG487" s="33" t="n">
        <v>-185.95</v>
      </c>
      <c r="AH487" s="4" t="n">
        <v>-5</v>
      </c>
      <c r="AI487" s="34" t="inlineStr">
        <is>
          <t>NA</t>
        </is>
      </c>
      <c r="AJ487" s="34" t="n">
        <v>-4.3254</v>
      </c>
      <c r="AK487" s="2" t="n">
        <v>13500</v>
      </c>
      <c r="AL487" t="inlineStr">
        <is>
          <t>Published</t>
        </is>
      </c>
    </row>
    <row r="488">
      <c r="A488">
        <f>HYPERLINK("https://www.walmart.com/ip/14472471094", "14472471094")</f>
        <v/>
      </c>
      <c r="B488">
        <f>HYPERLINK("https://app.optiwise.ai/catalog/itemdetails/13057975", "Catalonia Oversized Blanket Hoodie Sweatshirt, Fleece Hooded Lounging Pullover with Giant Pocket, Birthday Gifts Christmas Gifts, Red Plaid")</f>
        <v/>
      </c>
      <c r="C488" t="inlineStr">
        <is>
          <t>1CTOSH300PRD-FS</t>
        </is>
      </c>
      <c r="D488" t="inlineStr">
        <is>
          <t>Clothing</t>
        </is>
      </c>
      <c r="E488" t="inlineStr">
        <is>
          <t>Sweatshirts &amp; Hoodies</t>
        </is>
      </c>
      <c r="F488" t="inlineStr">
        <is>
          <t>Catalonia</t>
        </is>
      </c>
      <c r="G488" t="n">
        <v>0</v>
      </c>
      <c r="H488" t="n">
        <v>0</v>
      </c>
      <c r="J488" s="29" t="n">
        <v>42.99</v>
      </c>
      <c r="K488" s="30" t="n">
        <v>0.0004</v>
      </c>
      <c r="L488" s="29" t="n">
        <v>0</v>
      </c>
      <c r="M488" s="29" t="n">
        <v>0</v>
      </c>
      <c r="N488" s="2" t="n">
        <v>1</v>
      </c>
      <c r="O488" s="31" t="n">
        <v>0</v>
      </c>
      <c r="P488" s="32" t="n"/>
      <c r="Q488" s="32" t="n">
        <v>0</v>
      </c>
      <c r="R488" s="32" t="n">
        <v>0</v>
      </c>
      <c r="S488" s="31" t="n">
        <v>0</v>
      </c>
      <c r="T488" s="32" t="n">
        <v>0</v>
      </c>
      <c r="U488" s="31" t="n">
        <v>0</v>
      </c>
      <c r="V488" s="31" t="n">
        <v>0</v>
      </c>
      <c r="W488" s="3" t="n">
        <v>0</v>
      </c>
      <c r="X488" s="3" t="n">
        <v>0</v>
      </c>
      <c r="Y488" s="32" t="n">
        <v>0</v>
      </c>
      <c r="Z488" s="3" t="n">
        <v>0</v>
      </c>
      <c r="AA488" s="32" t="n">
        <v>0</v>
      </c>
      <c r="AB488" s="3" t="n"/>
      <c r="AC488" s="31" t="n">
        <v>0</v>
      </c>
      <c r="AD488" s="2" t="n">
        <v>0</v>
      </c>
      <c r="AE488" s="2" t="n">
        <v>3</v>
      </c>
      <c r="AF488" s="4" t="n">
        <v>3</v>
      </c>
      <c r="AG488" s="33" t="n">
        <v>42.99</v>
      </c>
      <c r="AH488" s="4" t="n">
        <v>1</v>
      </c>
      <c r="AI488" s="34" t="n">
        <v>0.3333</v>
      </c>
      <c r="AJ488" s="34" t="n">
        <v>1</v>
      </c>
      <c r="AK488" s="2" t="n">
        <v>7155</v>
      </c>
      <c r="AL488" t="inlineStr">
        <is>
          <t>Published</t>
        </is>
      </c>
    </row>
    <row r="489">
      <c r="A489">
        <f>HYPERLINK("https://www.walmart.com/ip/137250133", "137250133")</f>
        <v/>
      </c>
      <c r="B489">
        <f>HYPERLINK("https://app.optiwise.ai/catalog/itemdetails/380711", "Catalonia Sherpa Throw Blanket, Fuzzy Snuggle Blanket for Camping Traveling Couch Bed, Super Soft, Light Weight, Reversible, All Season Use, 50x60 inches, Pink Camo")</f>
        <v/>
      </c>
      <c r="C489" t="inlineStr">
        <is>
          <t>1CTBF579PKCAMO</t>
        </is>
      </c>
      <c r="D489" t="inlineStr">
        <is>
          <t>Bedding</t>
        </is>
      </c>
      <c r="E489" t="inlineStr">
        <is>
          <t>Throws</t>
        </is>
      </c>
      <c r="F489" t="inlineStr">
        <is>
          <t>Catalonia</t>
        </is>
      </c>
      <c r="G489" t="n">
        <v>0</v>
      </c>
      <c r="H489" t="n">
        <v>0</v>
      </c>
      <c r="I489" t="inlineStr">
        <is>
          <t>WFS,WFS Item</t>
        </is>
      </c>
      <c r="J489" s="29" t="n">
        <v>41.98</v>
      </c>
      <c r="K489" s="30" t="n">
        <v>0.0004</v>
      </c>
      <c r="L489" s="29" t="n">
        <v>0</v>
      </c>
      <c r="M489" s="29" t="n">
        <v>0</v>
      </c>
      <c r="N489" s="2" t="n">
        <v>2</v>
      </c>
      <c r="O489" s="31" t="n">
        <v>0</v>
      </c>
      <c r="P489" s="32" t="n"/>
      <c r="Q489" s="32" t="n">
        <v>0</v>
      </c>
      <c r="R489" s="32" t="n">
        <v>0</v>
      </c>
      <c r="S489" s="31" t="n">
        <v>0</v>
      </c>
      <c r="T489" s="32" t="n">
        <v>0</v>
      </c>
      <c r="U489" s="31" t="n">
        <v>0</v>
      </c>
      <c r="V489" s="31" t="n">
        <v>0</v>
      </c>
      <c r="W489" s="3" t="n">
        <v>0</v>
      </c>
      <c r="X489" s="3" t="n">
        <v>0</v>
      </c>
      <c r="Y489" s="32" t="n">
        <v>0</v>
      </c>
      <c r="Z489" s="3" t="n">
        <v>0</v>
      </c>
      <c r="AA489" s="32" t="n">
        <v>0</v>
      </c>
      <c r="AB489" s="3" t="n"/>
      <c r="AC489" s="31" t="n">
        <v>0</v>
      </c>
      <c r="AD489" s="2" t="n">
        <v>32</v>
      </c>
      <c r="AE489" s="2" t="n">
        <v>37</v>
      </c>
      <c r="AF489" s="4" t="n">
        <v>37</v>
      </c>
      <c r="AG489" s="33" t="n">
        <v>41.98</v>
      </c>
      <c r="AH489" s="4" t="n">
        <v>2</v>
      </c>
      <c r="AI489" s="34" t="n">
        <v>0.0541</v>
      </c>
      <c r="AJ489" s="34" t="n">
        <v>1</v>
      </c>
      <c r="AK489" s="2" t="n">
        <v>1755</v>
      </c>
      <c r="AL489" t="inlineStr">
        <is>
          <t>Published</t>
        </is>
      </c>
    </row>
    <row r="490">
      <c r="A490">
        <f>HYPERLINK("https://www.walmart.com/ip/992076213", "992076213")</f>
        <v/>
      </c>
      <c r="B490">
        <f>HYPERLINK("https://app.optiwise.ai/catalog/itemdetails/361553", "Solaris Ski Gloves, Winter Warm 3M Insulation Waterproof Snow Gloves for Skiing, Snowboarding, Motorcycling,Cycling, Outdoor Sports, Gifts for Men, Size Run Small")</f>
        <v/>
      </c>
      <c r="C490" t="inlineStr">
        <is>
          <t>1SLWG300BKL</t>
        </is>
      </c>
      <c r="D490" t="inlineStr">
        <is>
          <t>Clothing</t>
        </is>
      </c>
      <c r="E490" t="inlineStr">
        <is>
          <t>Gloves &amp; Mittens</t>
        </is>
      </c>
      <c r="F490" t="inlineStr">
        <is>
          <t>Solaris</t>
        </is>
      </c>
      <c r="G490" t="n">
        <v>3.4</v>
      </c>
      <c r="H490" t="n">
        <v>5</v>
      </c>
      <c r="I490" t="inlineStr">
        <is>
          <t>Gloves,WFS,WFS Item</t>
        </is>
      </c>
      <c r="J490" s="29" t="n">
        <v>41.98</v>
      </c>
      <c r="K490" s="30" t="n">
        <v>0.0004</v>
      </c>
      <c r="L490" s="29" t="n">
        <v>0</v>
      </c>
      <c r="M490" s="29" t="n">
        <v>0</v>
      </c>
      <c r="N490" s="2" t="n">
        <v>2</v>
      </c>
      <c r="O490" s="31" t="n">
        <v>0</v>
      </c>
      <c r="P490" s="32" t="n"/>
      <c r="Q490" s="32" t="n">
        <v>0</v>
      </c>
      <c r="R490" s="32" t="n">
        <v>0</v>
      </c>
      <c r="S490" s="31" t="n">
        <v>0</v>
      </c>
      <c r="T490" s="32" t="n">
        <v>0</v>
      </c>
      <c r="U490" s="31" t="n">
        <v>0</v>
      </c>
      <c r="V490" s="31" t="n">
        <v>0</v>
      </c>
      <c r="W490" s="3" t="n">
        <v>0</v>
      </c>
      <c r="X490" s="3" t="n">
        <v>0</v>
      </c>
      <c r="Y490" s="32" t="n">
        <v>0</v>
      </c>
      <c r="Z490" s="3" t="n">
        <v>0</v>
      </c>
      <c r="AA490" s="32" t="n">
        <v>0</v>
      </c>
      <c r="AB490" s="3" t="n"/>
      <c r="AC490" s="31" t="n">
        <v>0</v>
      </c>
      <c r="AD490" s="2" t="n">
        <v>48</v>
      </c>
      <c r="AE490" s="2" t="n">
        <v>109</v>
      </c>
      <c r="AF490" s="4" t="n">
        <v>109</v>
      </c>
      <c r="AG490" s="33" t="n">
        <v>41.98</v>
      </c>
      <c r="AH490" s="4" t="n">
        <v>2</v>
      </c>
      <c r="AI490" s="34" t="n">
        <v>0.0183</v>
      </c>
      <c r="AJ490" s="34" t="n">
        <v>1</v>
      </c>
      <c r="AK490" s="2" t="n">
        <v>6750</v>
      </c>
      <c r="AL490" t="inlineStr">
        <is>
          <t>Published</t>
        </is>
      </c>
    </row>
    <row r="491">
      <c r="A491">
        <f>HYPERLINK("https://www.walmart.com/ip/711883867", "711883867")</f>
        <v/>
      </c>
      <c r="B491">
        <f>HYPERLINK("https://app.optiwise.ai/catalog/itemdetails/360858", "Tirrinia 2 Bottle Wine Tote Carrier - Leakproof &amp; Insulated Padded Versatile Canvas Cooler Bag for Travel, BYOB Restaurant, Wine Tasting, Party, Great Christmas Day Gift for Wine Lover, Beige")</f>
        <v/>
      </c>
      <c r="C491" t="inlineStr">
        <is>
          <t>1KTWB220BG</t>
        </is>
      </c>
      <c r="D491" t="inlineStr">
        <is>
          <t>Home Decor, Kitchen, &amp; Other</t>
        </is>
      </c>
      <c r="E491" t="inlineStr">
        <is>
          <t>Wine Totes, Bags &amp; Backpacks</t>
        </is>
      </c>
      <c r="F491" t="inlineStr">
        <is>
          <t>Tirrinia</t>
        </is>
      </c>
      <c r="G491" t="n">
        <v>0</v>
      </c>
      <c r="H491" t="n">
        <v>0</v>
      </c>
      <c r="I491" t="inlineStr">
        <is>
          <t>Wine,Christmas,WFS,Wine WFS,Valentine,SEM,WFS Item</t>
        </is>
      </c>
      <c r="J491" s="29" t="n">
        <v>41.98</v>
      </c>
      <c r="K491" s="30" t="n">
        <v>0.0004</v>
      </c>
      <c r="L491" s="29" t="n">
        <v>0</v>
      </c>
      <c r="M491" s="29" t="n">
        <v>20.98999977111816</v>
      </c>
      <c r="N491" s="2" t="n">
        <v>2</v>
      </c>
      <c r="O491" s="31" t="n">
        <v>1.98</v>
      </c>
      <c r="P491" s="32" t="n">
        <v>0.0002</v>
      </c>
      <c r="Q491" s="32" t="n">
        <v>0.0472</v>
      </c>
      <c r="R491" s="32" t="n">
        <v>0.0756</v>
      </c>
      <c r="S491" s="31" t="n">
        <v>0</v>
      </c>
      <c r="T491" s="32" t="n">
        <v>0</v>
      </c>
      <c r="U491" s="31" t="n">
        <v>0</v>
      </c>
      <c r="V491" s="31" t="n">
        <v>0</v>
      </c>
      <c r="W491" s="3" t="n">
        <v>2927</v>
      </c>
      <c r="X491" s="3" t="n">
        <v>6</v>
      </c>
      <c r="Y491" s="32" t="n">
        <v>0.002</v>
      </c>
      <c r="Z491" s="3" t="n">
        <v>0</v>
      </c>
      <c r="AA491" s="32" t="n">
        <v>0</v>
      </c>
      <c r="AB491" s="3" t="inlineStr">
        <is>
          <t>Auto Campaign_Vinay</t>
        </is>
      </c>
      <c r="AC491" s="31" t="n">
        <v>0.33</v>
      </c>
      <c r="AD491" s="2" t="n">
        <v>69</v>
      </c>
      <c r="AE491" s="2" t="n">
        <v>81</v>
      </c>
      <c r="AF491" s="4" t="n">
        <v>75</v>
      </c>
      <c r="AG491" s="33" t="n">
        <v>41.98</v>
      </c>
      <c r="AH491" s="4" t="n">
        <v>2</v>
      </c>
      <c r="AI491" s="34" t="n">
        <v>0.0267</v>
      </c>
      <c r="AJ491" s="34" t="n">
        <v>1</v>
      </c>
      <c r="AK491" s="2" t="n">
        <v>6750</v>
      </c>
      <c r="AL491" t="inlineStr">
        <is>
          <t>Published</t>
        </is>
      </c>
    </row>
    <row r="492">
      <c r="A492">
        <f>HYPERLINK("https://www.walmart.com/ip/378664551", "378664551")</f>
        <v/>
      </c>
      <c r="B492">
        <f>HYPERLINK("https://app.optiwise.ai/catalog/itemdetails/362768", "Flyingstar Insulated Lunch Box for Women and Men, Leakproof Thermal Reusable Lunch Bag with 4 Pockets for Adults &amp; Kids, Lunch Bag Cooler Tote for Office Work, Blue Checkered, 7.8L")</f>
        <v/>
      </c>
      <c r="C492" t="inlineStr">
        <is>
          <t>1WMLB702P1BLCK</t>
        </is>
      </c>
      <c r="D492" t="inlineStr">
        <is>
          <t>Home Decor, Kitchen, &amp; Other</t>
        </is>
      </c>
      <c r="E492" t="inlineStr">
        <is>
          <t>Reusable Lunch Bags &amp; Boxes</t>
        </is>
      </c>
      <c r="F492" t="inlineStr">
        <is>
          <t>Tirrinia</t>
        </is>
      </c>
      <c r="G492" t="n">
        <v>4.6</v>
      </c>
      <c r="H492" t="n">
        <v>40</v>
      </c>
      <c r="I492" t="inlineStr">
        <is>
          <t>Q2-Target,Lunch Bag</t>
        </is>
      </c>
      <c r="J492" s="29" t="n">
        <v>41.97</v>
      </c>
      <c r="K492" s="30" t="n">
        <v>0.0004</v>
      </c>
      <c r="L492" s="29" t="n">
        <v>0</v>
      </c>
      <c r="M492" s="29" t="n">
        <v>0</v>
      </c>
      <c r="N492" s="2" t="n">
        <v>3</v>
      </c>
      <c r="O492" s="31" t="n">
        <v>0</v>
      </c>
      <c r="P492" s="32" t="n"/>
      <c r="Q492" s="32" t="n">
        <v>0</v>
      </c>
      <c r="R492" s="32" t="n">
        <v>0</v>
      </c>
      <c r="S492" s="31" t="n">
        <v>0</v>
      </c>
      <c r="T492" s="32" t="n">
        <v>0</v>
      </c>
      <c r="U492" s="31" t="n">
        <v>0</v>
      </c>
      <c r="V492" s="31" t="n">
        <v>0</v>
      </c>
      <c r="W492" s="3" t="n">
        <v>0</v>
      </c>
      <c r="X492" s="3" t="n">
        <v>0</v>
      </c>
      <c r="Y492" s="32" t="n">
        <v>0</v>
      </c>
      <c r="Z492" s="3" t="n">
        <v>0</v>
      </c>
      <c r="AA492" s="32" t="n">
        <v>0</v>
      </c>
      <c r="AB492" s="3" t="n"/>
      <c r="AC492" s="31" t="n">
        <v>0</v>
      </c>
      <c r="AD492" s="2" t="n">
        <v>0</v>
      </c>
      <c r="AE492" s="2" t="n">
        <v>41</v>
      </c>
      <c r="AF492" s="4" t="n">
        <v>41</v>
      </c>
      <c r="AG492" s="33" t="n">
        <v>41.97</v>
      </c>
      <c r="AH492" s="4" t="n">
        <v>3</v>
      </c>
      <c r="AI492" s="34" t="n">
        <v>0.0732</v>
      </c>
      <c r="AJ492" s="34" t="n">
        <v>1</v>
      </c>
      <c r="AK492" s="2" t="n">
        <v>4545</v>
      </c>
      <c r="AL492" t="inlineStr">
        <is>
          <t>Published</t>
        </is>
      </c>
    </row>
    <row r="493">
      <c r="A493">
        <f>HYPERLINK("https://www.walmart.com/ip/971341551", "971341551")</f>
        <v/>
      </c>
      <c r="B493">
        <f>HYPERLINK("https://app.optiwise.ai/catalog/itemdetails/380750", "Tirrinia 2 Bottle Wine Tote Carrier - Insulated &amp; Padded Versatile Cooler Bag for Travel, BYOB Restaurant, Wine Tasting, Party, Great Gift for Wine Lover, Cheetah")</f>
        <v/>
      </c>
      <c r="C493" t="inlineStr">
        <is>
          <t>1TRWB221CHEETAH</t>
        </is>
      </c>
      <c r="D493" t="inlineStr">
        <is>
          <t>Home Decor, Kitchen, &amp; Other</t>
        </is>
      </c>
      <c r="E493" t="inlineStr">
        <is>
          <t>Wine Totes, Bags &amp; Backpacks</t>
        </is>
      </c>
      <c r="F493" t="inlineStr">
        <is>
          <t>Tirrinia</t>
        </is>
      </c>
      <c r="G493" t="n">
        <v>0</v>
      </c>
      <c r="H493" t="n">
        <v>0</v>
      </c>
      <c r="I493" t="inlineStr">
        <is>
          <t>Wine,Christmas,Valentine,SEM</t>
        </is>
      </c>
      <c r="J493" s="29" t="n">
        <v>40.98</v>
      </c>
      <c r="K493" s="30" t="n">
        <v>0.0004</v>
      </c>
      <c r="L493" s="29" t="n">
        <v>0</v>
      </c>
      <c r="M493" s="29" t="n">
        <v>0</v>
      </c>
      <c r="N493" s="2" t="n">
        <v>2</v>
      </c>
      <c r="O493" s="31" t="n">
        <v>12.35</v>
      </c>
      <c r="P493" s="32" t="n">
        <v>0.0015</v>
      </c>
      <c r="Q493" s="32" t="n">
        <v>0.3014</v>
      </c>
      <c r="R493" s="32" t="n">
        <v>0.1506</v>
      </c>
      <c r="S493" s="31" t="n">
        <v>3.32</v>
      </c>
      <c r="T493" s="32" t="n">
        <v>0.3</v>
      </c>
      <c r="U493" s="31" t="n">
        <v>40.98</v>
      </c>
      <c r="V493" s="31" t="n">
        <v>40.98</v>
      </c>
      <c r="W493" s="3" t="n">
        <v>13838</v>
      </c>
      <c r="X493" s="3" t="n">
        <v>28</v>
      </c>
      <c r="Y493" s="32" t="n">
        <v>0.002</v>
      </c>
      <c r="Z493" s="3" t="n">
        <v>2</v>
      </c>
      <c r="AA493" s="32" t="n">
        <v>0.07140000000000001</v>
      </c>
      <c r="AB493" s="3" t="inlineStr">
        <is>
          <t>All Items_Auto_Optiwise_24,Auto Campaign_Vinay</t>
        </is>
      </c>
      <c r="AC493" s="31" t="n">
        <v>0.44</v>
      </c>
      <c r="AD493" s="2" t="n">
        <v>0</v>
      </c>
      <c r="AE493" s="2" t="n">
        <v>58</v>
      </c>
      <c r="AF493" s="4" t="n">
        <v>30</v>
      </c>
      <c r="AG493" s="33" t="n">
        <v>0</v>
      </c>
      <c r="AH493" s="4" t="n">
        <v>0</v>
      </c>
      <c r="AI493" s="34" t="n"/>
      <c r="AJ493" s="34" t="n">
        <v>0</v>
      </c>
      <c r="AK493" s="2" t="n">
        <v>877</v>
      </c>
      <c r="AL493" t="inlineStr">
        <is>
          <t>Published</t>
        </is>
      </c>
    </row>
    <row r="494">
      <c r="A494">
        <f>HYPERLINK("https://www.walmart.com/ip/419706539", "419706539")</f>
        <v/>
      </c>
      <c r="B494">
        <f>HYPERLINK("https://app.optiwise.ai/catalog/itemdetails/359138", "Tirrinia Insulated 2 Bottle Wine Tote Bag - Wine Tumbler Glass Cooler Carrier for BYOB Restaurants,  Wine Tasting, Travel, Park, Beach, Great Wine Lover Gift, White Flower")</f>
        <v/>
      </c>
      <c r="C494" t="inlineStr">
        <is>
          <t>1TRWB231WTFL</t>
        </is>
      </c>
      <c r="D494" t="inlineStr">
        <is>
          <t>Home Decor, Kitchen, &amp; Other</t>
        </is>
      </c>
      <c r="E494" t="inlineStr">
        <is>
          <t>Wine Totes, Bags &amp; Backpacks</t>
        </is>
      </c>
      <c r="F494" t="inlineStr">
        <is>
          <t>Tirrinia</t>
        </is>
      </c>
      <c r="G494" t="n">
        <v>0</v>
      </c>
      <c r="H494" t="n">
        <v>0</v>
      </c>
      <c r="I494" t="inlineStr">
        <is>
          <t>Wine,Christmas,WFS,Wine WFS,Valentine,WFS Item</t>
        </is>
      </c>
      <c r="J494" s="29" t="n">
        <v>40.98</v>
      </c>
      <c r="K494" s="30" t="n">
        <v>0.0004</v>
      </c>
      <c r="L494" s="29" t="n">
        <v>0</v>
      </c>
      <c r="M494" s="29" t="n">
        <v>0</v>
      </c>
      <c r="N494" s="2" t="n">
        <v>2</v>
      </c>
      <c r="O494" s="31" t="n">
        <v>20.01000000000001</v>
      </c>
      <c r="P494" s="32" t="n">
        <v>0.0024</v>
      </c>
      <c r="Q494" s="32" t="n">
        <v>0.4883</v>
      </c>
      <c r="R494" s="32" t="n">
        <v>0.2085</v>
      </c>
      <c r="S494" s="31" t="n">
        <v>0.95</v>
      </c>
      <c r="T494" s="32" t="n">
        <v>1.05</v>
      </c>
      <c r="U494" s="31" t="n">
        <v>18.99</v>
      </c>
      <c r="V494" s="31" t="n">
        <v>18.99</v>
      </c>
      <c r="W494" s="3" t="n">
        <v>14414</v>
      </c>
      <c r="X494" s="3" t="n">
        <v>46</v>
      </c>
      <c r="Y494" s="32" t="n">
        <v>0.0032</v>
      </c>
      <c r="Z494" s="3" t="n">
        <v>1</v>
      </c>
      <c r="AA494" s="32" t="n">
        <v>0.0217</v>
      </c>
      <c r="AB494" s="3" t="inlineStr">
        <is>
          <t>Auto Campaign_Vinay</t>
        </is>
      </c>
      <c r="AC494" s="31" t="n">
        <v>0.44</v>
      </c>
      <c r="AD494" s="2" t="n">
        <v>0</v>
      </c>
      <c r="AE494" s="2" t="n">
        <v>56</v>
      </c>
      <c r="AF494" s="4" t="n">
        <v>10</v>
      </c>
      <c r="AG494" s="33" t="n">
        <v>21.99</v>
      </c>
      <c r="AH494" s="4" t="n">
        <v>1</v>
      </c>
      <c r="AI494" s="34" t="n">
        <v>0.1</v>
      </c>
      <c r="AJ494" s="34" t="n">
        <v>0.5366</v>
      </c>
      <c r="AK494" s="2" t="n">
        <v>2160</v>
      </c>
      <c r="AL494" t="inlineStr">
        <is>
          <t>Published</t>
        </is>
      </c>
    </row>
    <row r="495">
      <c r="A495">
        <f>HYPERLINK("https://www.walmart.com/ip/811898847", "811898847")</f>
        <v/>
      </c>
      <c r="B495">
        <f>HYPERLINK("https://app.optiwise.ai/catalog/itemdetails/362585", "Sun Blocker Outdoor Sun Protection Fishing Cap with Neck Flap Wide Brim Hat for Men Women Baseball, Backpacking, Cycling, Hiking, Garden, Hunting, Camping, Tan")</f>
        <v/>
      </c>
      <c r="C495" t="inlineStr">
        <is>
          <t>KC-S9155-TN</t>
        </is>
      </c>
      <c r="D495" t="inlineStr">
        <is>
          <t>Clothing</t>
        </is>
      </c>
      <c r="E495" t="inlineStr">
        <is>
          <t>Hats</t>
        </is>
      </c>
      <c r="F495" t="inlineStr">
        <is>
          <t>Sun Blocker</t>
        </is>
      </c>
      <c r="G495" t="n">
        <v>5</v>
      </c>
      <c r="H495" t="n">
        <v>10</v>
      </c>
      <c r="I495" t="inlineStr">
        <is>
          <t>Hats,Batch 1 - TR</t>
        </is>
      </c>
      <c r="J495" s="29" t="n">
        <v>40.17</v>
      </c>
      <c r="K495" s="30" t="n">
        <v>0.0003</v>
      </c>
      <c r="L495" s="29" t="n">
        <v>0</v>
      </c>
      <c r="M495" s="29" t="n">
        <v>0</v>
      </c>
      <c r="N495" s="2" t="n">
        <v>2</v>
      </c>
      <c r="O495" s="31" t="n">
        <v>0</v>
      </c>
      <c r="P495" s="32" t="n"/>
      <c r="Q495" s="32" t="n">
        <v>0</v>
      </c>
      <c r="R495" s="32" t="n">
        <v>0.0305</v>
      </c>
      <c r="S495" s="31" t="n">
        <v>0</v>
      </c>
      <c r="T495" s="32" t="n">
        <v>0</v>
      </c>
      <c r="U495" s="31" t="n">
        <v>0</v>
      </c>
      <c r="V495" s="31" t="n">
        <v>0</v>
      </c>
      <c r="W495" s="3" t="n">
        <v>0</v>
      </c>
      <c r="X495" s="3" t="n">
        <v>0</v>
      </c>
      <c r="Y495" s="32" t="n">
        <v>0</v>
      </c>
      <c r="Z495" s="3" t="n">
        <v>0</v>
      </c>
      <c r="AA495" s="32" t="n">
        <v>0</v>
      </c>
      <c r="AB495" s="3" t="n"/>
      <c r="AC495" s="31" t="n">
        <v>0</v>
      </c>
      <c r="AD495" s="2" t="n">
        <v>4</v>
      </c>
      <c r="AE495" s="2" t="n">
        <v>42</v>
      </c>
      <c r="AF495" s="4" t="n">
        <v>42</v>
      </c>
      <c r="AG495" s="33" t="n">
        <v>40.17</v>
      </c>
      <c r="AH495" s="4" t="n">
        <v>2</v>
      </c>
      <c r="AI495" s="34" t="n">
        <v>0.0476</v>
      </c>
      <c r="AJ495" s="34" t="n">
        <v>1</v>
      </c>
      <c r="AK495" s="2" t="n">
        <v>6817</v>
      </c>
      <c r="AL495" t="inlineStr">
        <is>
          <t>Published</t>
        </is>
      </c>
    </row>
    <row r="496">
      <c r="A496">
        <f>HYPERLINK("https://www.walmart.com/ip/762459009", "762459009")</f>
        <v/>
      </c>
      <c r="B496">
        <f>HYPERLINK("https://app.optiwise.ai/catalog/itemdetails/360754", "Flyingstar Lunch Bag for Women Men, Insulated Lunch Tote for Working/School/Picnic Fashionable Cooler Bag")</f>
        <v/>
      </c>
      <c r="C496" t="inlineStr">
        <is>
          <t>1WMLB704GYSTR</t>
        </is>
      </c>
      <c r="D496" t="inlineStr">
        <is>
          <t>Home Decor, Kitchen, &amp; Other</t>
        </is>
      </c>
      <c r="E496" t="inlineStr">
        <is>
          <t>Reusable Lunch Bags &amp; Boxes</t>
        </is>
      </c>
      <c r="F496" t="inlineStr">
        <is>
          <t>Flyingstar</t>
        </is>
      </c>
      <c r="G496" t="n">
        <v>4.2</v>
      </c>
      <c r="H496" t="n">
        <v>9</v>
      </c>
      <c r="I496" t="inlineStr">
        <is>
          <t>Q2-Target,Lunch Bag,WFS,Lunch Bags,WFS Item</t>
        </is>
      </c>
      <c r="J496" s="29" t="n">
        <v>40.16</v>
      </c>
      <c r="K496" s="30" t="n">
        <v>0.0003</v>
      </c>
      <c r="L496" s="29" t="n">
        <v>0</v>
      </c>
      <c r="M496" s="29" t="n">
        <v>0</v>
      </c>
      <c r="N496" s="2" t="n">
        <v>4</v>
      </c>
      <c r="O496" s="31" t="n">
        <v>0</v>
      </c>
      <c r="P496" s="32" t="n"/>
      <c r="Q496" s="32" t="n">
        <v>0</v>
      </c>
      <c r="R496" s="32" t="n">
        <v>0</v>
      </c>
      <c r="S496" s="31" t="n">
        <v>0</v>
      </c>
      <c r="T496" s="32" t="n">
        <v>0</v>
      </c>
      <c r="U496" s="31" t="n">
        <v>0</v>
      </c>
      <c r="V496" s="31" t="n">
        <v>0</v>
      </c>
      <c r="W496" s="3" t="n">
        <v>0</v>
      </c>
      <c r="X496" s="3" t="n">
        <v>0</v>
      </c>
      <c r="Y496" s="32" t="n">
        <v>0</v>
      </c>
      <c r="Z496" s="3" t="n">
        <v>0</v>
      </c>
      <c r="AA496" s="32" t="n">
        <v>0</v>
      </c>
      <c r="AB496" s="3" t="n"/>
      <c r="AC496" s="31" t="n">
        <v>0</v>
      </c>
      <c r="AD496" s="2" t="n">
        <v>120</v>
      </c>
      <c r="AE496" s="2" t="n">
        <v>40</v>
      </c>
      <c r="AF496" s="4" t="n">
        <v>80</v>
      </c>
      <c r="AG496" s="33" t="n">
        <v>40.16</v>
      </c>
      <c r="AH496" s="4" t="n">
        <v>4</v>
      </c>
      <c r="AI496" s="34" t="n">
        <v>0.05</v>
      </c>
      <c r="AJ496" s="34" t="n">
        <v>1</v>
      </c>
      <c r="AK496" s="2" t="n">
        <v>3375</v>
      </c>
      <c r="AL496" t="inlineStr">
        <is>
          <t>Published</t>
        </is>
      </c>
    </row>
    <row r="497">
      <c r="A497">
        <f>HYPERLINK("https://www.walmart.com/ip/14498457702", "14498457702")</f>
        <v/>
      </c>
      <c r="B497">
        <f>HYPERLINK("https://app.optiwise.ai/catalog/itemdetails/13057957", "Womens Oversized Flannel Blanket Hoodie Sweatshirt, Plush Fleece Lined Lounging Pullover, Christmas Gift for Women (Red) - Catalonia")</f>
        <v/>
      </c>
      <c r="C497" t="inlineStr">
        <is>
          <t>1CTOSH400RD-FS</t>
        </is>
      </c>
      <c r="D497" t="inlineStr">
        <is>
          <t>Clothing</t>
        </is>
      </c>
      <c r="E497" t="inlineStr">
        <is>
          <t>Sweatshirts &amp; Hoodies</t>
        </is>
      </c>
      <c r="F497" t="inlineStr">
        <is>
          <t>Catalonia</t>
        </is>
      </c>
      <c r="G497" t="n">
        <v>0</v>
      </c>
      <c r="H497" t="n">
        <v>0</v>
      </c>
      <c r="J497" s="29" t="n">
        <v>39.99</v>
      </c>
      <c r="K497" s="30" t="n">
        <v>0.0003</v>
      </c>
      <c r="L497" s="29" t="n">
        <v>0</v>
      </c>
      <c r="M497" s="29" t="n">
        <v>0</v>
      </c>
      <c r="N497" s="2" t="n">
        <v>1</v>
      </c>
      <c r="O497" s="31" t="n">
        <v>0</v>
      </c>
      <c r="P497" s="32" t="n"/>
      <c r="Q497" s="32" t="n">
        <v>0</v>
      </c>
      <c r="R497" s="32" t="n">
        <v>0</v>
      </c>
      <c r="S497" s="31" t="n">
        <v>0</v>
      </c>
      <c r="T497" s="32" t="n">
        <v>0</v>
      </c>
      <c r="U497" s="31" t="n">
        <v>0</v>
      </c>
      <c r="V497" s="31" t="n">
        <v>0</v>
      </c>
      <c r="W497" s="3" t="n">
        <v>0</v>
      </c>
      <c r="X497" s="3" t="n">
        <v>0</v>
      </c>
      <c r="Y497" s="32" t="n">
        <v>0</v>
      </c>
      <c r="Z497" s="3" t="n">
        <v>0</v>
      </c>
      <c r="AA497" s="32" t="n">
        <v>0</v>
      </c>
      <c r="AB497" s="3" t="n"/>
      <c r="AC497" s="31" t="n">
        <v>0</v>
      </c>
      <c r="AD497" s="2" t="n">
        <v>0</v>
      </c>
      <c r="AE497" s="2" t="n">
        <v>1</v>
      </c>
      <c r="AF497" s="4" t="n">
        <v>1</v>
      </c>
      <c r="AG497" s="33" t="n">
        <v>39.99</v>
      </c>
      <c r="AH497" s="4" t="n">
        <v>1</v>
      </c>
      <c r="AI497" s="34" t="n">
        <v>1</v>
      </c>
      <c r="AJ497" s="34" t="n">
        <v>1</v>
      </c>
      <c r="AK497" s="2" t="n">
        <v>1890</v>
      </c>
      <c r="AL497" t="inlineStr">
        <is>
          <t>Published</t>
        </is>
      </c>
    </row>
    <row r="498">
      <c r="A498">
        <f>HYPERLINK("https://www.walmart.com/ip/709043246", "709043246")</f>
        <v/>
      </c>
      <c r="B498">
        <f>HYPERLINK("https://app.optiwise.ai/catalog/itemdetails/361092", "Unicorn Oversized Sherpa Hoodie Blanket Sweatshirt for Women")</f>
        <v/>
      </c>
      <c r="C498" t="inlineStr">
        <is>
          <t>1WMHD201UNI</t>
        </is>
      </c>
      <c r="D498" t="inlineStr">
        <is>
          <t>Clothing</t>
        </is>
      </c>
      <c r="E498" t="inlineStr">
        <is>
          <t>Sweatshirts &amp; Hoodies</t>
        </is>
      </c>
      <c r="F498" t="inlineStr">
        <is>
          <t>Flyingstar</t>
        </is>
      </c>
      <c r="G498" t="n">
        <v>0</v>
      </c>
      <c r="H498" t="n">
        <v>0</v>
      </c>
      <c r="I498" t="inlineStr">
        <is>
          <t>Hoodie ForAdult,Optimized</t>
        </is>
      </c>
      <c r="J498" s="29" t="n">
        <v>39.99</v>
      </c>
      <c r="K498" s="30" t="n">
        <v>0.0003</v>
      </c>
      <c r="L498" s="29" t="n">
        <v>0</v>
      </c>
      <c r="M498" s="29" t="n">
        <v>0</v>
      </c>
      <c r="N498" s="2" t="n">
        <v>1</v>
      </c>
      <c r="O498" s="31" t="n">
        <v>0.78</v>
      </c>
      <c r="P498" s="32" t="n">
        <v>0.0001</v>
      </c>
      <c r="Q498" s="32" t="n">
        <v>0.0195</v>
      </c>
      <c r="R498" s="32" t="n">
        <v>0.0396</v>
      </c>
      <c r="S498" s="31" t="n">
        <v>0</v>
      </c>
      <c r="T498" s="32" t="n">
        <v>0</v>
      </c>
      <c r="U498" s="31" t="n">
        <v>0</v>
      </c>
      <c r="V498" s="31" t="n">
        <v>0</v>
      </c>
      <c r="W498" s="3" t="n">
        <v>11672</v>
      </c>
      <c r="X498" s="3" t="n">
        <v>2</v>
      </c>
      <c r="Y498" s="32" t="n">
        <v>0.0002</v>
      </c>
      <c r="Z498" s="3" t="n">
        <v>0</v>
      </c>
      <c r="AA498" s="32" t="n">
        <v>0</v>
      </c>
      <c r="AB498" s="3" t="inlineStr">
        <is>
          <t>Hoodies_Auto</t>
        </is>
      </c>
      <c r="AC498" s="31" t="n">
        <v>0.39</v>
      </c>
      <c r="AD498" s="2" t="n">
        <v>0</v>
      </c>
      <c r="AE498" s="2" t="n">
        <v>10</v>
      </c>
      <c r="AF498" s="4" t="n">
        <v>8</v>
      </c>
      <c r="AG498" s="33" t="n">
        <v>39.99</v>
      </c>
      <c r="AH498" s="4" t="n">
        <v>1</v>
      </c>
      <c r="AI498" s="34" t="n">
        <v>0.125</v>
      </c>
      <c r="AJ498" s="34" t="n">
        <v>1</v>
      </c>
      <c r="AK498" s="2" t="n">
        <v>13500</v>
      </c>
      <c r="AL498" t="inlineStr">
        <is>
          <t>Published</t>
        </is>
      </c>
    </row>
    <row r="499">
      <c r="A499">
        <f>HYPERLINK("https://www.walmart.com/ip/14488864795", "14488864795")</f>
        <v/>
      </c>
      <c r="B499">
        <f>HYPERLINK("https://app.optiwise.ai/catalog/itemdetails/13057968", "Womens Oversized Flannel Blanket Hoodie Sweatshirt, Plush Fleece Lined Lounging Pullover, Christmas Gift for Women (Red Checkered) - Catalonia")</f>
        <v/>
      </c>
      <c r="C499" t="inlineStr">
        <is>
          <t>1CTOSH400LBL-FS</t>
        </is>
      </c>
      <c r="D499" t="inlineStr">
        <is>
          <t>Clothing</t>
        </is>
      </c>
      <c r="E499" t="inlineStr">
        <is>
          <t>Sweatshirts &amp; Hoodies</t>
        </is>
      </c>
      <c r="F499" t="inlineStr">
        <is>
          <t>Catalonia</t>
        </is>
      </c>
      <c r="G499" t="n">
        <v>0</v>
      </c>
      <c r="H499" t="n">
        <v>0</v>
      </c>
      <c r="J499" s="29" t="n">
        <v>39.99</v>
      </c>
      <c r="K499" s="30" t="n">
        <v>0.0003</v>
      </c>
      <c r="L499" s="29" t="n">
        <v>0</v>
      </c>
      <c r="M499" s="29" t="n">
        <v>0</v>
      </c>
      <c r="N499" s="2" t="n">
        <v>1</v>
      </c>
      <c r="O499" s="31" t="n">
        <v>0</v>
      </c>
      <c r="P499" s="32" t="n"/>
      <c r="Q499" s="32" t="n">
        <v>0</v>
      </c>
      <c r="R499" s="32" t="n">
        <v>0</v>
      </c>
      <c r="S499" s="31" t="n">
        <v>0</v>
      </c>
      <c r="T499" s="32" t="n">
        <v>0</v>
      </c>
      <c r="U499" s="31" t="n">
        <v>0</v>
      </c>
      <c r="V499" s="31" t="n">
        <v>0</v>
      </c>
      <c r="W499" s="3" t="n">
        <v>0</v>
      </c>
      <c r="X499" s="3" t="n">
        <v>0</v>
      </c>
      <c r="Y499" s="32" t="n">
        <v>0</v>
      </c>
      <c r="Z499" s="3" t="n">
        <v>0</v>
      </c>
      <c r="AA499" s="32" t="n">
        <v>0</v>
      </c>
      <c r="AB499" s="3" t="n"/>
      <c r="AC499" s="31" t="n">
        <v>0</v>
      </c>
      <c r="AD499" s="2" t="n">
        <v>0</v>
      </c>
      <c r="AE499" s="2" t="n">
        <v>3</v>
      </c>
      <c r="AF499" s="4" t="n">
        <v>3</v>
      </c>
      <c r="AG499" s="33" t="n">
        <v>39.99</v>
      </c>
      <c r="AH499" s="4" t="n">
        <v>1</v>
      </c>
      <c r="AI499" s="34" t="n">
        <v>0.3333</v>
      </c>
      <c r="AJ499" s="34" t="n">
        <v>1</v>
      </c>
      <c r="AK499" s="2" t="n">
        <v>13500</v>
      </c>
      <c r="AL499" t="inlineStr">
        <is>
          <t>Published</t>
        </is>
      </c>
    </row>
    <row r="500">
      <c r="A500">
        <f>HYPERLINK("https://www.walmart.com/ip/159046288", "159046288")</f>
        <v/>
      </c>
      <c r="B500">
        <f>HYPERLINK("https://app.optiwise.ai/catalog/itemdetails/373323", "Sherpa Wearable Blanket with Sleeves Arms, Super Soft Warm Comfy Large Fleece Plush Sleeved TV Throws Wrap Robe Blanket for Adult Women and Men, Cow")</f>
        <v/>
      </c>
      <c r="C500" t="inlineStr">
        <is>
          <t>1CTSN110DMT</t>
        </is>
      </c>
      <c r="D500" t="inlineStr">
        <is>
          <t>Bedding</t>
        </is>
      </c>
      <c r="E500" t="inlineStr">
        <is>
          <t>Throws</t>
        </is>
      </c>
      <c r="F500" t="inlineStr">
        <is>
          <t>Catalonia</t>
        </is>
      </c>
      <c r="G500" t="n">
        <v>0</v>
      </c>
      <c r="H500" t="n">
        <v>0</v>
      </c>
      <c r="I500" t="inlineStr">
        <is>
          <t>Q2-Target,WFS,Coupon_Discount,WFS Item</t>
        </is>
      </c>
      <c r="J500" s="29" t="n">
        <v>39.99</v>
      </c>
      <c r="K500" s="30" t="n">
        <v>0.0003</v>
      </c>
      <c r="L500" s="29" t="n">
        <v>0</v>
      </c>
      <c r="M500" s="29" t="n">
        <v>0</v>
      </c>
      <c r="N500" s="2" t="n">
        <v>1</v>
      </c>
      <c r="O500" s="31" t="n">
        <v>0</v>
      </c>
      <c r="P500" s="32" t="n"/>
      <c r="Q500" s="32" t="n">
        <v>0</v>
      </c>
      <c r="R500" s="32" t="n">
        <v>0</v>
      </c>
      <c r="S500" s="31" t="n">
        <v>0</v>
      </c>
      <c r="T500" s="32" t="n">
        <v>0</v>
      </c>
      <c r="U500" s="31" t="n">
        <v>0</v>
      </c>
      <c r="V500" s="31" t="n">
        <v>0</v>
      </c>
      <c r="W500" s="3" t="n">
        <v>0</v>
      </c>
      <c r="X500" s="3" t="n">
        <v>0</v>
      </c>
      <c r="Y500" s="32" t="n">
        <v>0</v>
      </c>
      <c r="Z500" s="3" t="n">
        <v>0</v>
      </c>
      <c r="AA500" s="32" t="n">
        <v>0</v>
      </c>
      <c r="AB500" s="3" t="n"/>
      <c r="AC500" s="31" t="n">
        <v>0</v>
      </c>
      <c r="AD500" s="2" t="n">
        <v>0</v>
      </c>
      <c r="AE500" s="2" t="n">
        <v>36</v>
      </c>
      <c r="AF500" s="4" t="n">
        <v>36</v>
      </c>
      <c r="AG500" s="33" t="n">
        <v>39.99</v>
      </c>
      <c r="AH500" s="4" t="n">
        <v>1</v>
      </c>
      <c r="AI500" s="34" t="n">
        <v>0.0278</v>
      </c>
      <c r="AJ500" s="34" t="n">
        <v>1</v>
      </c>
      <c r="AK500" s="2" t="n">
        <v>13500</v>
      </c>
      <c r="AL500" t="inlineStr">
        <is>
          <t>Published</t>
        </is>
      </c>
    </row>
    <row r="501">
      <c r="A501">
        <f>HYPERLINK("https://www.walmart.com/ip/920373777", "920373777")</f>
        <v/>
      </c>
      <c r="B501">
        <f>HYPERLINK("https://app.optiwise.ai/catalog/itemdetails/361575", "Fleece Wearable Blanket with Sleeves and Pocket, Micro Plush Warm Sleeved TV Throw Sherpa Blanket Robe for Women and Men 72”X55” by Catalonia")</f>
        <v/>
      </c>
      <c r="C501" t="inlineStr">
        <is>
          <t>1CTSN110BK</t>
        </is>
      </c>
      <c r="D501" t="inlineStr">
        <is>
          <t>Bedding</t>
        </is>
      </c>
      <c r="E501" t="inlineStr">
        <is>
          <t>Throws</t>
        </is>
      </c>
      <c r="F501" t="inlineStr">
        <is>
          <t>Catalonia</t>
        </is>
      </c>
      <c r="G501" t="n">
        <v>0</v>
      </c>
      <c r="H501" t="n">
        <v>0</v>
      </c>
      <c r="I501" t="inlineStr">
        <is>
          <t>WFS,Coupon_Discount,WFS Item</t>
        </is>
      </c>
      <c r="J501" s="29" t="n">
        <v>39.99</v>
      </c>
      <c r="K501" s="30" t="n">
        <v>0.0003</v>
      </c>
      <c r="L501" s="29" t="n">
        <v>0</v>
      </c>
      <c r="M501" s="29" t="n">
        <v>0</v>
      </c>
      <c r="N501" s="2" t="n">
        <v>1</v>
      </c>
      <c r="O501" s="31" t="n">
        <v>0</v>
      </c>
      <c r="P501" s="32" t="n"/>
      <c r="Q501" s="32" t="n">
        <v>0</v>
      </c>
      <c r="R501" s="32" t="n">
        <v>0</v>
      </c>
      <c r="S501" s="31" t="n">
        <v>0</v>
      </c>
      <c r="T501" s="32" t="n">
        <v>0</v>
      </c>
      <c r="U501" s="31" t="n">
        <v>0</v>
      </c>
      <c r="V501" s="31" t="n">
        <v>0</v>
      </c>
      <c r="W501" s="3" t="n">
        <v>0</v>
      </c>
      <c r="X501" s="3" t="n">
        <v>0</v>
      </c>
      <c r="Y501" s="32" t="n">
        <v>0</v>
      </c>
      <c r="Z501" s="3" t="n">
        <v>0</v>
      </c>
      <c r="AA501" s="32" t="n">
        <v>0</v>
      </c>
      <c r="AB501" s="3" t="n"/>
      <c r="AC501" s="31" t="n">
        <v>0</v>
      </c>
      <c r="AD501" s="2" t="n">
        <v>13</v>
      </c>
      <c r="AE501" s="2" t="n">
        <v>55</v>
      </c>
      <c r="AF501" s="4" t="n">
        <v>55</v>
      </c>
      <c r="AG501" s="33" t="n">
        <v>39.99</v>
      </c>
      <c r="AH501" s="4" t="n">
        <v>1</v>
      </c>
      <c r="AI501" s="34" t="n">
        <v>0.0182</v>
      </c>
      <c r="AJ501" s="34" t="n">
        <v>1</v>
      </c>
      <c r="AK501" s="2" t="n">
        <v>13500</v>
      </c>
      <c r="AL501" t="inlineStr">
        <is>
          <t>Published</t>
        </is>
      </c>
    </row>
    <row r="502">
      <c r="A502">
        <f>HYPERLINK("https://www.walmart.com/ip/337702004", "337702004")</f>
        <v/>
      </c>
      <c r="B502">
        <f>HYPERLINK("https://app.optiwise.ai/catalog/itemdetails/380721", "Women's Poncho Cape, Sherpa Fleece Cloak Coat, Snuggly Hooded Wearable Blanket, Gift Idea for Adults and Teen Girls")</f>
        <v/>
      </c>
      <c r="C502" t="inlineStr">
        <is>
          <t>1CTBC300BL</t>
        </is>
      </c>
      <c r="D502" t="inlineStr">
        <is>
          <t>Bedding</t>
        </is>
      </c>
      <c r="E502" t="inlineStr">
        <is>
          <t>Throws</t>
        </is>
      </c>
      <c r="F502" t="inlineStr">
        <is>
          <t>Catalonia</t>
        </is>
      </c>
      <c r="G502" t="n">
        <v>0</v>
      </c>
      <c r="H502" t="n">
        <v>0</v>
      </c>
      <c r="I502" t="inlineStr">
        <is>
          <t>WFS Item</t>
        </is>
      </c>
      <c r="J502" s="29" t="n">
        <v>39.99</v>
      </c>
      <c r="K502" s="30" t="n">
        <v>0.0003</v>
      </c>
      <c r="L502" s="29" t="n">
        <v>0</v>
      </c>
      <c r="M502" s="29" t="n">
        <v>0</v>
      </c>
      <c r="N502" s="2" t="n">
        <v>1</v>
      </c>
      <c r="O502" s="31" t="n">
        <v>0</v>
      </c>
      <c r="P502" s="32" t="n"/>
      <c r="Q502" s="32" t="n">
        <v>0</v>
      </c>
      <c r="R502" s="32" t="n">
        <v>0</v>
      </c>
      <c r="S502" s="31" t="n">
        <v>0</v>
      </c>
      <c r="T502" s="32" t="n">
        <v>0</v>
      </c>
      <c r="U502" s="31" t="n">
        <v>0</v>
      </c>
      <c r="V502" s="31" t="n">
        <v>0</v>
      </c>
      <c r="W502" s="3" t="n">
        <v>0</v>
      </c>
      <c r="X502" s="3" t="n">
        <v>0</v>
      </c>
      <c r="Y502" s="32" t="n">
        <v>0</v>
      </c>
      <c r="Z502" s="3" t="n">
        <v>0</v>
      </c>
      <c r="AA502" s="32" t="n">
        <v>0</v>
      </c>
      <c r="AB502" s="3" t="n"/>
      <c r="AC502" s="31" t="n">
        <v>0</v>
      </c>
      <c r="AD502" s="2" t="n">
        <v>91</v>
      </c>
      <c r="AE502" s="2" t="n">
        <v>120</v>
      </c>
      <c r="AF502" s="4" t="n">
        <v>120</v>
      </c>
      <c r="AG502" s="33" t="n">
        <v>39.99</v>
      </c>
      <c r="AH502" s="4" t="n">
        <v>1</v>
      </c>
      <c r="AI502" s="34" t="n">
        <v>0.0083</v>
      </c>
      <c r="AJ502" s="34" t="n">
        <v>1</v>
      </c>
      <c r="AK502" s="2" t="n">
        <v>135</v>
      </c>
      <c r="AL502" t="inlineStr">
        <is>
          <t>Published</t>
        </is>
      </c>
    </row>
    <row r="503">
      <c r="A503">
        <f>HYPERLINK("https://www.walmart.com/ip/14476467012", "14476467012")</f>
        <v/>
      </c>
      <c r="B503">
        <f>HYPERLINK("https://app.optiwise.ai/catalog/itemdetails/13057950", "Womens Oversized Flannel Blanket Hoodie Sweatshirt, Plush Fleece Lined Lounging Pullover, Christmas Gift for Women (Latte) - Catalonia")</f>
        <v/>
      </c>
      <c r="C503" t="inlineStr">
        <is>
          <t>1CTOSH400LT-FS</t>
        </is>
      </c>
      <c r="D503" t="inlineStr">
        <is>
          <t>Clothing</t>
        </is>
      </c>
      <c r="E503" t="inlineStr">
        <is>
          <t>Sweatshirts &amp; Hoodies</t>
        </is>
      </c>
      <c r="F503" t="inlineStr">
        <is>
          <t>Catalonia</t>
        </is>
      </c>
      <c r="G503" t="n">
        <v>0</v>
      </c>
      <c r="H503" t="n">
        <v>0</v>
      </c>
      <c r="J503" s="29" t="n">
        <v>39.99</v>
      </c>
      <c r="K503" s="30" t="n">
        <v>0.0003</v>
      </c>
      <c r="L503" s="29" t="n">
        <v>0</v>
      </c>
      <c r="M503" s="29" t="n">
        <v>0</v>
      </c>
      <c r="N503" s="2" t="n">
        <v>1</v>
      </c>
      <c r="O503" s="31" t="n">
        <v>0</v>
      </c>
      <c r="P503" s="32" t="n"/>
      <c r="Q503" s="32" t="n">
        <v>0</v>
      </c>
      <c r="R503" s="32" t="n">
        <v>0</v>
      </c>
      <c r="S503" s="31" t="n">
        <v>0</v>
      </c>
      <c r="T503" s="32" t="n">
        <v>0</v>
      </c>
      <c r="U503" s="31" t="n">
        <v>0</v>
      </c>
      <c r="V503" s="31" t="n">
        <v>0</v>
      </c>
      <c r="W503" s="3" t="n">
        <v>0</v>
      </c>
      <c r="X503" s="3" t="n">
        <v>0</v>
      </c>
      <c r="Y503" s="32" t="n">
        <v>0</v>
      </c>
      <c r="Z503" s="3" t="n">
        <v>0</v>
      </c>
      <c r="AA503" s="32" t="n">
        <v>0</v>
      </c>
      <c r="AB503" s="3" t="n"/>
      <c r="AC503" s="31" t="n">
        <v>0</v>
      </c>
      <c r="AD503" s="2" t="n">
        <v>0</v>
      </c>
      <c r="AE503" s="2" t="n">
        <v>4</v>
      </c>
      <c r="AF503" s="4" t="n">
        <v>4</v>
      </c>
      <c r="AG503" s="33" t="n">
        <v>39.99</v>
      </c>
      <c r="AH503" s="4" t="n">
        <v>1</v>
      </c>
      <c r="AI503" s="34" t="n">
        <v>0.25</v>
      </c>
      <c r="AJ503" s="34" t="n">
        <v>1</v>
      </c>
      <c r="AK503" s="2" t="n">
        <v>810</v>
      </c>
      <c r="AL503" t="inlineStr">
        <is>
          <t>Published</t>
        </is>
      </c>
    </row>
    <row r="504">
      <c r="A504">
        <f>HYPERLINK("https://www.walmart.com/ip/350852795", "350852795")</f>
        <v/>
      </c>
      <c r="B504">
        <f>HYPERLINK("https://app.optiwise.ai/catalog/itemdetails/380631", "Catalonia Hooded Blanket Poncho | Wearable Blanket Wrap with Hand Pockets | Comfy Sherpa Fleece Throw Cape for Children and Adults, Christmas Thanksgiving Mother Gift, Red Checker")</f>
        <v/>
      </c>
      <c r="C504" t="inlineStr">
        <is>
          <t>1CTBC100P2RD</t>
        </is>
      </c>
      <c r="D504" t="inlineStr">
        <is>
          <t>Bedding</t>
        </is>
      </c>
      <c r="E504" t="inlineStr">
        <is>
          <t>Throws</t>
        </is>
      </c>
      <c r="F504" t="inlineStr">
        <is>
          <t>Catalonia</t>
        </is>
      </c>
      <c r="G504" t="n">
        <v>0</v>
      </c>
      <c r="H504" t="n">
        <v>0</v>
      </c>
      <c r="I504" t="inlineStr">
        <is>
          <t>Batch 1 - TR</t>
        </is>
      </c>
      <c r="J504" s="29" t="n">
        <v>39.99</v>
      </c>
      <c r="K504" s="30" t="n">
        <v>0.0003</v>
      </c>
      <c r="L504" s="29" t="n">
        <v>0</v>
      </c>
      <c r="M504" s="29" t="n">
        <v>0</v>
      </c>
      <c r="N504" s="2" t="n">
        <v>1</v>
      </c>
      <c r="O504" s="31" t="n">
        <v>0</v>
      </c>
      <c r="P504" s="32" t="n"/>
      <c r="Q504" s="32" t="n">
        <v>0</v>
      </c>
      <c r="R504" s="32" t="n">
        <v>0</v>
      </c>
      <c r="S504" s="31" t="n">
        <v>0</v>
      </c>
      <c r="T504" s="32" t="n">
        <v>0</v>
      </c>
      <c r="U504" s="31" t="n">
        <v>0</v>
      </c>
      <c r="V504" s="31" t="n">
        <v>0</v>
      </c>
      <c r="W504" s="3" t="n">
        <v>0</v>
      </c>
      <c r="X504" s="3" t="n">
        <v>0</v>
      </c>
      <c r="Y504" s="32" t="n">
        <v>0</v>
      </c>
      <c r="Z504" s="3" t="n">
        <v>0</v>
      </c>
      <c r="AA504" s="32" t="n">
        <v>0</v>
      </c>
      <c r="AB504" s="3" t="n"/>
      <c r="AC504" s="31" t="n">
        <v>0</v>
      </c>
      <c r="AD504" s="2" t="n">
        <v>11</v>
      </c>
      <c r="AE504" s="2" t="n">
        <v>57</v>
      </c>
      <c r="AF504" s="4" t="n">
        <v>57</v>
      </c>
      <c r="AG504" s="33" t="n">
        <v>39.99</v>
      </c>
      <c r="AH504" s="4" t="n">
        <v>1</v>
      </c>
      <c r="AI504" s="34" t="n">
        <v>0.0175</v>
      </c>
      <c r="AJ504" s="34" t="n">
        <v>1</v>
      </c>
      <c r="AK504" s="2" t="n">
        <v>13500</v>
      </c>
      <c r="AL504" t="inlineStr">
        <is>
          <t>Published</t>
        </is>
      </c>
    </row>
    <row r="505">
      <c r="A505">
        <f>HYPERLINK("https://www.walmart.com/ip/5537696486", "5537696486")</f>
        <v/>
      </c>
      <c r="B505">
        <f>HYPERLINK("https://app.optiwise.ai/catalog/itemdetails/9036207", "Solaris Kids Sun Hat UPF50+ Sun Protection, Large Mesh Super Breathable Travel Beach Play Bucket Hats for Girs Boys Teenagers")</f>
        <v/>
      </c>
      <c r="C505" t="inlineStr">
        <is>
          <t>1SLSH925TN</t>
        </is>
      </c>
      <c r="D505" t="inlineStr">
        <is>
          <t>Clothing</t>
        </is>
      </c>
      <c r="E505" t="inlineStr">
        <is>
          <t>Hats</t>
        </is>
      </c>
      <c r="F505" t="inlineStr">
        <is>
          <t>Solaris</t>
        </is>
      </c>
      <c r="G505" t="n">
        <v>0</v>
      </c>
      <c r="H505" t="n">
        <v>0</v>
      </c>
      <c r="J505" s="29" t="n">
        <v>39.98</v>
      </c>
      <c r="K505" s="30" t="n">
        <v>0.0003</v>
      </c>
      <c r="L505" s="29" t="n">
        <v>19.98999977111816</v>
      </c>
      <c r="M505" s="29" t="n">
        <v>0</v>
      </c>
      <c r="N505" s="2" t="n">
        <v>2</v>
      </c>
      <c r="O505" s="31" t="n">
        <v>0</v>
      </c>
      <c r="P505" s="32" t="n"/>
      <c r="Q505" s="32" t="n">
        <v>0</v>
      </c>
      <c r="R505" s="32" t="n">
        <v>0</v>
      </c>
      <c r="S505" s="31" t="n">
        <v>0</v>
      </c>
      <c r="T505" s="32" t="n">
        <v>0</v>
      </c>
      <c r="U505" s="31" t="n">
        <v>0</v>
      </c>
      <c r="V505" s="31" t="n">
        <v>0</v>
      </c>
      <c r="W505" s="3" t="n">
        <v>0</v>
      </c>
      <c r="X505" s="3" t="n">
        <v>0</v>
      </c>
      <c r="Y505" s="32" t="n">
        <v>0</v>
      </c>
      <c r="Z505" s="3" t="n">
        <v>0</v>
      </c>
      <c r="AA505" s="32" t="n">
        <v>0</v>
      </c>
      <c r="AB505" s="3" t="n"/>
      <c r="AC505" s="31" t="n">
        <v>0</v>
      </c>
      <c r="AD505" s="2" t="n">
        <v>0</v>
      </c>
      <c r="AE505" s="2" t="n">
        <v>25</v>
      </c>
      <c r="AF505" s="4" t="n">
        <v>25</v>
      </c>
      <c r="AG505" s="33" t="n">
        <v>39.98</v>
      </c>
      <c r="AH505" s="4" t="n">
        <v>2</v>
      </c>
      <c r="AI505" s="34" t="n">
        <v>0.08</v>
      </c>
      <c r="AJ505" s="34" t="n">
        <v>1</v>
      </c>
      <c r="AK505" s="2" t="n">
        <v>6750</v>
      </c>
      <c r="AL505" t="inlineStr">
        <is>
          <t>Published</t>
        </is>
      </c>
    </row>
    <row r="506">
      <c r="A506">
        <f>HYPERLINK("https://www.walmart.com/ip/2009092568", "2009092568")</f>
        <v/>
      </c>
      <c r="B506">
        <f>HYPERLINK("https://app.optiwise.ai/catalog/itemdetails/20125644", "Wrangler Men’s Leather Embossed Logo Casual Every Day Belt for Jeans, Khakis Brown")</f>
        <v/>
      </c>
      <c r="C506" t="inlineStr">
        <is>
          <t>WR-BELT-MENS-EMBOSSED-BROWN-34</t>
        </is>
      </c>
      <c r="D506" t="inlineStr">
        <is>
          <t>Clothing</t>
        </is>
      </c>
      <c r="E506" t="inlineStr">
        <is>
          <t>Belts</t>
        </is>
      </c>
      <c r="F506" t="inlineStr">
        <is>
          <t>Wrangler</t>
        </is>
      </c>
      <c r="G506" t="n">
        <v>0</v>
      </c>
      <c r="H506" t="n">
        <v>0</v>
      </c>
      <c r="J506" s="29" t="n">
        <v>39.98</v>
      </c>
      <c r="K506" s="30" t="n">
        <v>0.0003</v>
      </c>
      <c r="L506" s="29" t="n">
        <v>0</v>
      </c>
      <c r="M506" s="29" t="n">
        <v>0</v>
      </c>
      <c r="N506" s="2" t="n">
        <v>2</v>
      </c>
      <c r="O506" s="31" t="n">
        <v>0</v>
      </c>
      <c r="P506" s="32" t="n"/>
      <c r="Q506" s="32" t="n">
        <v>0</v>
      </c>
      <c r="R506" s="32" t="n">
        <v>0</v>
      </c>
      <c r="S506" s="31" t="n">
        <v>0</v>
      </c>
      <c r="T506" s="32" t="n">
        <v>0</v>
      </c>
      <c r="U506" s="31" t="n">
        <v>0</v>
      </c>
      <c r="V506" s="31" t="n">
        <v>0</v>
      </c>
      <c r="W506" s="3" t="n">
        <v>0</v>
      </c>
      <c r="X506" s="3" t="n">
        <v>0</v>
      </c>
      <c r="Y506" s="32" t="n">
        <v>0</v>
      </c>
      <c r="Z506" s="3" t="n">
        <v>0</v>
      </c>
      <c r="AA506" s="32" t="n">
        <v>0</v>
      </c>
      <c r="AB506" s="3" t="n"/>
      <c r="AC506" s="31" t="n">
        <v>0</v>
      </c>
      <c r="AD506" s="2" t="n">
        <v>0</v>
      </c>
      <c r="AE506" s="2" t="n">
        <v>0</v>
      </c>
      <c r="AF506" s="4" t="n">
        <v>0</v>
      </c>
      <c r="AG506" s="33" t="n">
        <v>39.98</v>
      </c>
      <c r="AH506" s="4" t="n">
        <v>2</v>
      </c>
      <c r="AI506" s="34" t="n"/>
      <c r="AJ506" s="34" t="n">
        <v>1</v>
      </c>
      <c r="AK506" s="2" t="n">
        <v>6750</v>
      </c>
      <c r="AL506" t="inlineStr">
        <is>
          <t>Published</t>
        </is>
      </c>
    </row>
    <row r="507">
      <c r="A507">
        <f>HYPERLINK("https://www.walmart.com/ip/595323966", "595323966")</f>
        <v/>
      </c>
      <c r="B507">
        <f>HYPERLINK("https://app.optiwise.ai/catalog/itemdetails/361238", "Tirrinia Insulated Thermocooler Wine Carrier Bag, 3-Bottle Wine Tote Bag with Handle and Adjustable Shoulder Strap for Travel, Party and Christmas, Gray")</f>
        <v/>
      </c>
      <c r="C507" t="inlineStr">
        <is>
          <t>1KTWB300GY-SC</t>
        </is>
      </c>
      <c r="D507" t="inlineStr">
        <is>
          <t>Home Decor, Kitchen, &amp; Other</t>
        </is>
      </c>
      <c r="E507" t="inlineStr">
        <is>
          <t>Wine Totes, Bags &amp; Backpacks</t>
        </is>
      </c>
      <c r="F507" t="inlineStr">
        <is>
          <t>Tirrinia</t>
        </is>
      </c>
      <c r="G507" t="n">
        <v>0</v>
      </c>
      <c r="H507" t="n">
        <v>0</v>
      </c>
      <c r="I507" t="inlineStr">
        <is>
          <t>Wine,Christmas,Optimized,Valentine,Lily Brand Camp</t>
        </is>
      </c>
      <c r="J507" s="29" t="n">
        <v>39.98</v>
      </c>
      <c r="K507" s="30" t="n">
        <v>0.0003</v>
      </c>
      <c r="L507" s="29" t="n">
        <v>0</v>
      </c>
      <c r="M507" s="29" t="n">
        <v>0</v>
      </c>
      <c r="N507" s="2" t="n">
        <v>2</v>
      </c>
      <c r="O507" s="31" t="n">
        <v>0.68</v>
      </c>
      <c r="P507" s="32" t="n">
        <v>0.0001</v>
      </c>
      <c r="Q507" s="32" t="n">
        <v>0.017</v>
      </c>
      <c r="R507" s="32" t="n">
        <v>0.1177</v>
      </c>
      <c r="S507" s="31" t="n">
        <v>0</v>
      </c>
      <c r="T507" s="32" t="n">
        <v>0</v>
      </c>
      <c r="U507" s="31" t="n">
        <v>0</v>
      </c>
      <c r="V507" s="31" t="n">
        <v>0</v>
      </c>
      <c r="W507" s="3" t="n">
        <v>947</v>
      </c>
      <c r="X507" s="3" t="n">
        <v>2</v>
      </c>
      <c r="Y507" s="32" t="n">
        <v>0.0021</v>
      </c>
      <c r="Z507" s="3" t="n">
        <v>0</v>
      </c>
      <c r="AA507" s="32" t="n">
        <v>0</v>
      </c>
      <c r="AB507" s="3" t="inlineStr">
        <is>
          <t>Auto Campaign_Vinay</t>
        </is>
      </c>
      <c r="AC507" s="31" t="n">
        <v>0.34</v>
      </c>
      <c r="AD507" s="2" t="n">
        <v>1</v>
      </c>
      <c r="AE507" s="2" t="n">
        <v>51</v>
      </c>
      <c r="AF507" s="4" t="n">
        <v>49</v>
      </c>
      <c r="AG507" s="33" t="n">
        <v>39.98</v>
      </c>
      <c r="AH507" s="4" t="n">
        <v>2</v>
      </c>
      <c r="AI507" s="34" t="n">
        <v>0.0408</v>
      </c>
      <c r="AJ507" s="34" t="n">
        <v>1</v>
      </c>
      <c r="AK507" s="2" t="n">
        <v>6412</v>
      </c>
      <c r="AL507" t="inlineStr">
        <is>
          <t>Published</t>
        </is>
      </c>
    </row>
    <row r="508">
      <c r="A508">
        <f>HYPERLINK("https://www.walmart.com/ip/529229107", "529229107")</f>
        <v/>
      </c>
      <c r="B508">
        <f>HYPERLINK("https://app.optiwise.ai/catalog/itemdetails/359124", "Catalonia Buffalo Plaid Sherpa Throw Blanket, Super Soft Reversible Fleece Blanket for Cabin Bed or Couch, Red Green Plaid,  50 x 60.")</f>
        <v/>
      </c>
      <c r="C508" t="inlineStr">
        <is>
          <t>1CTBF567PRDGN</t>
        </is>
      </c>
      <c r="D508" t="inlineStr">
        <is>
          <t>Bedding</t>
        </is>
      </c>
      <c r="E508" t="inlineStr">
        <is>
          <t>Throws</t>
        </is>
      </c>
      <c r="F508" t="inlineStr">
        <is>
          <t>Catalonia</t>
        </is>
      </c>
      <c r="G508" t="n">
        <v>4.4</v>
      </c>
      <c r="H508" t="n">
        <v>7</v>
      </c>
      <c r="I508" t="inlineStr">
        <is>
          <t>Q2-Target,Optimized,WFS,WFS Item,Fleece Blankets</t>
        </is>
      </c>
      <c r="J508" s="29" t="n">
        <v>39.98</v>
      </c>
      <c r="K508" s="30" t="n">
        <v>0.0003</v>
      </c>
      <c r="L508" s="29" t="n">
        <v>19.98999977111816</v>
      </c>
      <c r="M508" s="29" t="n">
        <v>0</v>
      </c>
      <c r="N508" s="2" t="n">
        <v>2</v>
      </c>
      <c r="O508" s="31" t="n">
        <v>40.97999999999999</v>
      </c>
      <c r="P508" s="32" t="n">
        <v>0.0049</v>
      </c>
      <c r="Q508" s="32" t="n">
        <v>1.025</v>
      </c>
      <c r="R508" s="32" t="n">
        <v>0.0679</v>
      </c>
      <c r="S508" s="31" t="n">
        <v>0.49</v>
      </c>
      <c r="T508" s="32" t="n">
        <v>2.05</v>
      </c>
      <c r="U508" s="31" t="n">
        <v>19.99</v>
      </c>
      <c r="V508" s="31" t="n">
        <v>19.99</v>
      </c>
      <c r="W508" s="3" t="n">
        <v>56361</v>
      </c>
      <c r="X508" s="3" t="n">
        <v>107</v>
      </c>
      <c r="Y508" s="32" t="n">
        <v>0.0019</v>
      </c>
      <c r="Z508" s="3" t="n">
        <v>1</v>
      </c>
      <c r="AA508" s="32" t="n">
        <v>0.009299999999999999</v>
      </c>
      <c r="AB508" s="3" t="inlineStr">
        <is>
          <t>WFS Inventory</t>
        </is>
      </c>
      <c r="AC508" s="31" t="n">
        <v>0.38</v>
      </c>
      <c r="AD508" s="2" t="n">
        <v>59</v>
      </c>
      <c r="AE508" s="2" t="n">
        <v>87</v>
      </c>
      <c r="AF508" s="4" t="inlineStr">
        <is>
          <t>NA</t>
        </is>
      </c>
      <c r="AG508" s="33" t="n">
        <v>19.99</v>
      </c>
      <c r="AH508" s="4" t="n">
        <v>1</v>
      </c>
      <c r="AI508" s="34" t="inlineStr">
        <is>
          <t>NA</t>
        </is>
      </c>
      <c r="AJ508" s="34" t="n">
        <v>0.5</v>
      </c>
      <c r="AK508" s="2" t="n">
        <v>3510</v>
      </c>
      <c r="AL508" t="inlineStr">
        <is>
          <t>Published</t>
        </is>
      </c>
    </row>
    <row r="509">
      <c r="A509">
        <f>HYPERLINK("https://www.walmart.com/ip/588732180", "588732180")</f>
        <v/>
      </c>
      <c r="B509">
        <f>HYPERLINK("https://app.optiwise.ai/catalog/itemdetails/361657", "Flyingstar Surf Towel Robe, Quick Dry Beach Wetsuit Changing / Bath Robe Poncho for Surfing, Swimming and Bathing Unisex, Pink")</f>
        <v/>
      </c>
      <c r="C509" t="inlineStr">
        <is>
          <t>1WMBR100-PB</t>
        </is>
      </c>
      <c r="D509" t="inlineStr">
        <is>
          <t>Home Decor, Kitchen, &amp; Other</t>
        </is>
      </c>
      <c r="E509" t="inlineStr">
        <is>
          <t>Towels &amp; Washcloths</t>
        </is>
      </c>
      <c r="F509" t="inlineStr">
        <is>
          <t>Flyingstar</t>
        </is>
      </c>
      <c r="G509" t="n">
        <v>0</v>
      </c>
      <c r="H509" t="n">
        <v>0</v>
      </c>
      <c r="I509" t="inlineStr">
        <is>
          <t>Optimized,Beach Robe Camp</t>
        </is>
      </c>
      <c r="J509" s="29" t="n">
        <v>39.98</v>
      </c>
      <c r="K509" s="30" t="n">
        <v>0.0003</v>
      </c>
      <c r="L509" s="29" t="n">
        <v>0</v>
      </c>
      <c r="M509" s="29" t="n">
        <v>0</v>
      </c>
      <c r="N509" s="2" t="n">
        <v>2</v>
      </c>
      <c r="O509" s="31" t="n">
        <v>0</v>
      </c>
      <c r="P509" s="32" t="n"/>
      <c r="Q509" s="32" t="n">
        <v>0</v>
      </c>
      <c r="R509" s="32" t="n">
        <v>0.038</v>
      </c>
      <c r="S509" s="31" t="n">
        <v>0</v>
      </c>
      <c r="T509" s="32" t="n">
        <v>0</v>
      </c>
      <c r="U509" s="31" t="n">
        <v>0</v>
      </c>
      <c r="V509" s="31" t="n">
        <v>0</v>
      </c>
      <c r="W509" s="3" t="n">
        <v>0</v>
      </c>
      <c r="X509" s="3" t="n">
        <v>0</v>
      </c>
      <c r="Y509" s="32" t="n">
        <v>0</v>
      </c>
      <c r="Z509" s="3" t="n">
        <v>0</v>
      </c>
      <c r="AA509" s="32" t="n">
        <v>0</v>
      </c>
      <c r="AB509" s="3" t="n"/>
      <c r="AC509" s="31" t="n">
        <v>0</v>
      </c>
      <c r="AD509" s="2" t="n">
        <v>0</v>
      </c>
      <c r="AE509" s="2" t="n">
        <v>58</v>
      </c>
      <c r="AF509" s="4" t="n">
        <v>58</v>
      </c>
      <c r="AG509" s="33" t="n">
        <v>39.98</v>
      </c>
      <c r="AH509" s="4" t="n">
        <v>2</v>
      </c>
      <c r="AI509" s="34" t="n">
        <v>0.0345</v>
      </c>
      <c r="AJ509" s="34" t="n">
        <v>1</v>
      </c>
      <c r="AK509" s="2" t="n">
        <v>6750</v>
      </c>
      <c r="AL509" t="inlineStr">
        <is>
          <t>Published</t>
        </is>
      </c>
    </row>
    <row r="510">
      <c r="A510">
        <f>HYPERLINK("https://www.walmart.com/ip/578444591", "578444591")</f>
        <v/>
      </c>
      <c r="B510">
        <f>HYPERLINK("https://app.optiwise.ai/catalog/itemdetails/362435", "Catalonia Fleece Wearable Blanket Poncho for Adult Women Men, Wrap Blanket Cape with Pocket | Warm, Soft, Cozy, Snuggly, Comfort Gift, No Sleeves | All-Season, Aqua")</f>
        <v/>
      </c>
      <c r="C510" t="inlineStr">
        <is>
          <t>1CTBP100AQ</t>
        </is>
      </c>
      <c r="D510" t="inlineStr">
        <is>
          <t>Clothing - Clothing</t>
        </is>
      </c>
      <c r="E510" t="inlineStr">
        <is>
          <t>Throws</t>
        </is>
      </c>
      <c r="F510" t="inlineStr">
        <is>
          <t>Catalonia</t>
        </is>
      </c>
      <c r="G510" t="n">
        <v>0</v>
      </c>
      <c r="H510" t="n">
        <v>0</v>
      </c>
      <c r="I510" t="inlineStr">
        <is>
          <t>Hero 5 Holidays,WFS,Coupon_Discount,WFS Item</t>
        </is>
      </c>
      <c r="J510" s="29" t="n">
        <v>39.98</v>
      </c>
      <c r="K510" s="30" t="n">
        <v>0.0003</v>
      </c>
      <c r="L510" s="29" t="n">
        <v>0</v>
      </c>
      <c r="M510" s="29" t="n">
        <v>0</v>
      </c>
      <c r="N510" s="2" t="n">
        <v>2</v>
      </c>
      <c r="O510" s="31" t="n">
        <v>0</v>
      </c>
      <c r="P510" s="32" t="n"/>
      <c r="Q510" s="32" t="n">
        <v>0</v>
      </c>
      <c r="R510" s="32" t="n">
        <v>0.0288</v>
      </c>
      <c r="S510" s="31" t="n">
        <v>0</v>
      </c>
      <c r="T510" s="32" t="n">
        <v>0</v>
      </c>
      <c r="U510" s="31" t="n">
        <v>0</v>
      </c>
      <c r="V510" s="31" t="n">
        <v>0</v>
      </c>
      <c r="W510" s="3" t="n">
        <v>0</v>
      </c>
      <c r="X510" s="3" t="n">
        <v>0</v>
      </c>
      <c r="Y510" s="32" t="n">
        <v>0</v>
      </c>
      <c r="Z510" s="3" t="n">
        <v>0</v>
      </c>
      <c r="AA510" s="32" t="n">
        <v>0</v>
      </c>
      <c r="AB510" s="3" t="n"/>
      <c r="AC510" s="31" t="n">
        <v>0</v>
      </c>
      <c r="AD510" s="2" t="n">
        <v>54</v>
      </c>
      <c r="AE510" s="2" t="n">
        <v>55</v>
      </c>
      <c r="AF510" s="4" t="n">
        <v>55</v>
      </c>
      <c r="AG510" s="33" t="n">
        <v>39.98</v>
      </c>
      <c r="AH510" s="4" t="n">
        <v>2</v>
      </c>
      <c r="AI510" s="34" t="n">
        <v>0.0364</v>
      </c>
      <c r="AJ510" s="34" t="n">
        <v>1</v>
      </c>
      <c r="AK510" s="2" t="n">
        <v>6750</v>
      </c>
      <c r="AL510" t="inlineStr">
        <is>
          <t>Published</t>
        </is>
      </c>
    </row>
    <row r="511">
      <c r="A511">
        <f>HYPERLINK("https://www.walmart.com/ip/10286419609", "10286419609")</f>
        <v/>
      </c>
      <c r="B511">
        <f>HYPERLINK("https://app.optiwise.ai/catalog/itemdetails/10031997", "Wrangler Men’s Full Grain Genuine Leather 35mm Thick Casual Belt for Jeans, Pants - Black, 34")</f>
        <v/>
      </c>
      <c r="C511" t="inlineStr">
        <is>
          <t>WR-BELT-MENS-35MM-BLACK-34</t>
        </is>
      </c>
      <c r="D511" t="inlineStr">
        <is>
          <t>Clothing</t>
        </is>
      </c>
      <c r="E511" t="inlineStr">
        <is>
          <t>Belts</t>
        </is>
      </c>
      <c r="F511" t="inlineStr">
        <is>
          <t>Wrangler</t>
        </is>
      </c>
      <c r="G511" t="n">
        <v>4</v>
      </c>
      <c r="H511" t="n">
        <v>6</v>
      </c>
      <c r="I511" t="inlineStr">
        <is>
          <t>Belts</t>
        </is>
      </c>
      <c r="J511" s="29" t="n">
        <v>39.98</v>
      </c>
      <c r="K511" s="30" t="n">
        <v>0.0003</v>
      </c>
      <c r="L511" s="29" t="n">
        <v>39.97999954223633</v>
      </c>
      <c r="M511" s="29" t="n">
        <v>0</v>
      </c>
      <c r="N511" s="2" t="n">
        <v>2</v>
      </c>
      <c r="O511" s="31" t="n">
        <v>0</v>
      </c>
      <c r="P511" s="32" t="n"/>
      <c r="Q511" s="32" t="n">
        <v>0</v>
      </c>
      <c r="R511" s="32" t="n">
        <v>0</v>
      </c>
      <c r="S511" s="31" t="n">
        <v>0</v>
      </c>
      <c r="T511" s="32" t="n">
        <v>0</v>
      </c>
      <c r="U511" s="31" t="n">
        <v>0</v>
      </c>
      <c r="V511" s="31" t="n">
        <v>0</v>
      </c>
      <c r="W511" s="3" t="n">
        <v>0</v>
      </c>
      <c r="X511" s="3" t="n">
        <v>0</v>
      </c>
      <c r="Y511" s="32" t="n">
        <v>0</v>
      </c>
      <c r="Z511" s="3" t="n">
        <v>0</v>
      </c>
      <c r="AA511" s="32" t="n">
        <v>0</v>
      </c>
      <c r="AB511" s="3" t="n"/>
      <c r="AC511" s="31" t="n">
        <v>0</v>
      </c>
      <c r="AD511" s="2" t="n">
        <v>19</v>
      </c>
      <c r="AE511" s="2" t="n">
        <v>67</v>
      </c>
      <c r="AF511" s="4" t="n">
        <v>67</v>
      </c>
      <c r="AG511" s="33" t="n">
        <v>39.98</v>
      </c>
      <c r="AH511" s="4" t="n">
        <v>2</v>
      </c>
      <c r="AI511" s="34" t="n">
        <v>0.0299</v>
      </c>
      <c r="AJ511" s="34" t="n">
        <v>1</v>
      </c>
      <c r="AK511" s="2" t="n">
        <v>0</v>
      </c>
      <c r="AL511" t="inlineStr">
        <is>
          <t>Published</t>
        </is>
      </c>
    </row>
    <row r="512">
      <c r="A512">
        <f>HYPERLINK("https://www.walmart.com/ip/15460768310", "15460768310")</f>
        <v/>
      </c>
      <c r="B512">
        <f>HYPERLINK("https://app.optiwise.ai/catalog/itemdetails/20125652", "Wrangler Men’s Leather Embossed Logo Casual Every Day Belt for Jeans, Khakis Brown")</f>
        <v/>
      </c>
      <c r="C512" t="inlineStr">
        <is>
          <t>WR-BELT-MENS-EMBOSSED-BROWN-38</t>
        </is>
      </c>
      <c r="D512" t="inlineStr">
        <is>
          <t>Clothing</t>
        </is>
      </c>
      <c r="E512" t="inlineStr">
        <is>
          <t>Belts</t>
        </is>
      </c>
      <c r="F512" t="inlineStr">
        <is>
          <t>Wrangler</t>
        </is>
      </c>
      <c r="G512" t="n">
        <v>0</v>
      </c>
      <c r="H512" t="n">
        <v>0</v>
      </c>
      <c r="J512" s="29" t="n">
        <v>39.98</v>
      </c>
      <c r="K512" s="30" t="n">
        <v>0.0003</v>
      </c>
      <c r="L512" s="29" t="n">
        <v>19.98999977111816</v>
      </c>
      <c r="M512" s="29" t="n">
        <v>0</v>
      </c>
      <c r="N512" s="2" t="n">
        <v>2</v>
      </c>
      <c r="O512" s="31" t="n">
        <v>0</v>
      </c>
      <c r="P512" s="32" t="n"/>
      <c r="Q512" s="32" t="n">
        <v>0</v>
      </c>
      <c r="R512" s="32" t="n">
        <v>0</v>
      </c>
      <c r="S512" s="31" t="n">
        <v>0</v>
      </c>
      <c r="T512" s="32" t="n">
        <v>0</v>
      </c>
      <c r="U512" s="31" t="n">
        <v>0</v>
      </c>
      <c r="V512" s="31" t="n">
        <v>0</v>
      </c>
      <c r="W512" s="3" t="n">
        <v>0</v>
      </c>
      <c r="X512" s="3" t="n">
        <v>0</v>
      </c>
      <c r="Y512" s="32" t="n">
        <v>0</v>
      </c>
      <c r="Z512" s="3" t="n">
        <v>0</v>
      </c>
      <c r="AA512" s="32" t="n">
        <v>0</v>
      </c>
      <c r="AB512" s="3" t="n"/>
      <c r="AC512" s="31" t="n">
        <v>0</v>
      </c>
      <c r="AD512" s="2" t="n">
        <v>0</v>
      </c>
      <c r="AE512" s="2" t="n">
        <v>0</v>
      </c>
      <c r="AF512" s="4" t="n">
        <v>0</v>
      </c>
      <c r="AG512" s="33" t="n">
        <v>39.98</v>
      </c>
      <c r="AH512" s="4" t="n">
        <v>2</v>
      </c>
      <c r="AI512" s="34" t="n"/>
      <c r="AJ512" s="34" t="n">
        <v>1</v>
      </c>
      <c r="AK512" s="2" t="n">
        <v>6750</v>
      </c>
      <c r="AL512" t="inlineStr">
        <is>
          <t>Published</t>
        </is>
      </c>
    </row>
    <row r="513">
      <c r="A513">
        <f>HYPERLINK("https://www.walmart.com/ip/977526715", "977526715")</f>
        <v/>
      </c>
      <c r="B513">
        <f>HYPERLINK("https://app.optiwise.ai/catalog/itemdetails/360493", "Buffalo Plaid Sherpa Throw TV Blanket, Super Soft Reversible Fleece Blanket for Cabin Bed or Couch, Catalonia series by Terrania, Cabin Plaid Red and Black Check, 50 x 60.")</f>
        <v/>
      </c>
      <c r="C513" t="inlineStr">
        <is>
          <t>1TRBF300PRD</t>
        </is>
      </c>
      <c r="D513" t="inlineStr">
        <is>
          <t>Bedding</t>
        </is>
      </c>
      <c r="E513" t="inlineStr">
        <is>
          <t>Throws</t>
        </is>
      </c>
      <c r="F513" t="inlineStr">
        <is>
          <t>Tirrinia</t>
        </is>
      </c>
      <c r="G513" t="n">
        <v>0</v>
      </c>
      <c r="H513" t="n">
        <v>0</v>
      </c>
      <c r="I513" t="inlineStr">
        <is>
          <t>Q2-Target,WFS,WFS Item,Fleece Blankets</t>
        </is>
      </c>
      <c r="J513" s="29" t="n">
        <v>39.98</v>
      </c>
      <c r="K513" s="30" t="n">
        <v>0.0003</v>
      </c>
      <c r="L513" s="29" t="n">
        <v>0</v>
      </c>
      <c r="M513" s="29" t="n">
        <v>0</v>
      </c>
      <c r="N513" s="2" t="n">
        <v>2</v>
      </c>
      <c r="O513" s="31" t="n">
        <v>0</v>
      </c>
      <c r="P513" s="32" t="n"/>
      <c r="Q513" s="32" t="n">
        <v>0</v>
      </c>
      <c r="R513" s="32" t="n">
        <v>0</v>
      </c>
      <c r="S513" s="31" t="n">
        <v>0</v>
      </c>
      <c r="T513" s="32" t="n">
        <v>0</v>
      </c>
      <c r="U513" s="31" t="n">
        <v>0</v>
      </c>
      <c r="V513" s="31" t="n">
        <v>0</v>
      </c>
      <c r="W513" s="3" t="n">
        <v>0</v>
      </c>
      <c r="X513" s="3" t="n">
        <v>0</v>
      </c>
      <c r="Y513" s="32" t="n">
        <v>0</v>
      </c>
      <c r="Z513" s="3" t="n">
        <v>0</v>
      </c>
      <c r="AA513" s="32" t="n">
        <v>0</v>
      </c>
      <c r="AB513" s="3" t="n"/>
      <c r="AC513" s="31" t="n">
        <v>0</v>
      </c>
      <c r="AD513" s="2" t="n">
        <v>2</v>
      </c>
      <c r="AE513" s="2" t="n">
        <v>14</v>
      </c>
      <c r="AF513" s="4" t="n">
        <v>14</v>
      </c>
      <c r="AG513" s="33" t="n">
        <v>39.98</v>
      </c>
      <c r="AH513" s="4" t="n">
        <v>2</v>
      </c>
      <c r="AI513" s="34" t="n">
        <v>0.1429</v>
      </c>
      <c r="AJ513" s="34" t="n">
        <v>1</v>
      </c>
      <c r="AK513" s="2" t="n">
        <v>6750</v>
      </c>
      <c r="AL513" t="inlineStr">
        <is>
          <t>Published</t>
        </is>
      </c>
    </row>
    <row r="514">
      <c r="A514">
        <f>HYPERLINK("https://www.walmart.com/ip/5524926141", "5524926141")</f>
        <v/>
      </c>
      <c r="B514">
        <f>HYPERLINK("https://app.optiwise.ai/catalog/itemdetails/9035201", "Solaris Kids Sun Hat UPF50+ Sun Protection, Large Mesh Super Breathable Travel Beach Play Bucket Hats for Girs Boys Teenagers")</f>
        <v/>
      </c>
      <c r="C514" t="inlineStr">
        <is>
          <t>1SLSH925DIGIGN</t>
        </is>
      </c>
      <c r="D514" t="inlineStr">
        <is>
          <t>Clothing</t>
        </is>
      </c>
      <c r="E514" t="inlineStr">
        <is>
          <t>Hats</t>
        </is>
      </c>
      <c r="F514" t="inlineStr">
        <is>
          <t>Solaris</t>
        </is>
      </c>
      <c r="G514" t="n">
        <v>0</v>
      </c>
      <c r="H514" t="n">
        <v>0</v>
      </c>
      <c r="J514" s="29" t="n">
        <v>39.98</v>
      </c>
      <c r="K514" s="30" t="n">
        <v>0.0003</v>
      </c>
      <c r="L514" s="29" t="n">
        <v>0</v>
      </c>
      <c r="M514" s="29" t="n">
        <v>0</v>
      </c>
      <c r="N514" s="2" t="n">
        <v>2</v>
      </c>
      <c r="O514" s="31" t="n">
        <v>0</v>
      </c>
      <c r="P514" s="32" t="n"/>
      <c r="Q514" s="32" t="n">
        <v>0</v>
      </c>
      <c r="R514" s="32" t="n">
        <v>0</v>
      </c>
      <c r="S514" s="31" t="n">
        <v>0</v>
      </c>
      <c r="T514" s="32" t="n">
        <v>0</v>
      </c>
      <c r="U514" s="31" t="n">
        <v>0</v>
      </c>
      <c r="V514" s="31" t="n">
        <v>0</v>
      </c>
      <c r="W514" s="3" t="n">
        <v>0</v>
      </c>
      <c r="X514" s="3" t="n">
        <v>0</v>
      </c>
      <c r="Y514" s="32" t="n">
        <v>0</v>
      </c>
      <c r="Z514" s="3" t="n">
        <v>0</v>
      </c>
      <c r="AA514" s="32" t="n">
        <v>0</v>
      </c>
      <c r="AB514" s="3" t="n"/>
      <c r="AC514" s="31" t="n">
        <v>0</v>
      </c>
      <c r="AD514" s="2" t="n">
        <v>0</v>
      </c>
      <c r="AE514" s="2" t="n">
        <v>22</v>
      </c>
      <c r="AF514" s="4" t="n">
        <v>22</v>
      </c>
      <c r="AG514" s="33" t="n">
        <v>39.98</v>
      </c>
      <c r="AH514" s="4" t="n">
        <v>2</v>
      </c>
      <c r="AI514" s="34" t="n">
        <v>0.09089999999999999</v>
      </c>
      <c r="AJ514" s="34" t="n">
        <v>1</v>
      </c>
      <c r="AK514" s="2" t="n">
        <v>6750</v>
      </c>
      <c r="AL514" t="inlineStr">
        <is>
          <t>Published</t>
        </is>
      </c>
    </row>
    <row r="515">
      <c r="A515">
        <f>HYPERLINK("https://www.walmart.com/ip/10282157253", "10282157253")</f>
        <v/>
      </c>
      <c r="B515">
        <f>HYPERLINK("https://app.optiwise.ai/catalog/itemdetails/10031973", "Wrangler Men’s Full Grain Genuine Leather 35mm Thick Casual Belt for Jeans, Pants - Light Brown, 44")</f>
        <v/>
      </c>
      <c r="C515" t="inlineStr">
        <is>
          <t>WR-BELT-MENS-35MM-LTBROWN-44</t>
        </is>
      </c>
      <c r="D515" t="inlineStr">
        <is>
          <t>Clothing</t>
        </is>
      </c>
      <c r="E515" t="inlineStr">
        <is>
          <t>Belts</t>
        </is>
      </c>
      <c r="F515" t="inlineStr">
        <is>
          <t>Wrangler</t>
        </is>
      </c>
      <c r="G515" t="n">
        <v>0</v>
      </c>
      <c r="H515" t="n">
        <v>0</v>
      </c>
      <c r="I515" t="inlineStr">
        <is>
          <t>Belts</t>
        </is>
      </c>
      <c r="J515" s="29" t="n">
        <v>39.98</v>
      </c>
      <c r="K515" s="30" t="n">
        <v>0.0003</v>
      </c>
      <c r="L515" s="29" t="n">
        <v>0</v>
      </c>
      <c r="M515" s="29" t="n">
        <v>0</v>
      </c>
      <c r="N515" s="2" t="n">
        <v>2</v>
      </c>
      <c r="O515" s="31" t="n">
        <v>0</v>
      </c>
      <c r="P515" s="32" t="n"/>
      <c r="Q515" s="32" t="n">
        <v>0</v>
      </c>
      <c r="R515" s="32" t="n">
        <v>0</v>
      </c>
      <c r="S515" s="31" t="n">
        <v>0</v>
      </c>
      <c r="T515" s="32" t="n">
        <v>0</v>
      </c>
      <c r="U515" s="31" t="n">
        <v>0</v>
      </c>
      <c r="V515" s="31" t="n">
        <v>0</v>
      </c>
      <c r="W515" s="3" t="n">
        <v>0</v>
      </c>
      <c r="X515" s="3" t="n">
        <v>0</v>
      </c>
      <c r="Y515" s="32" t="n">
        <v>0</v>
      </c>
      <c r="Z515" s="3" t="n">
        <v>0</v>
      </c>
      <c r="AA515" s="32" t="n">
        <v>0</v>
      </c>
      <c r="AB515" s="3" t="n"/>
      <c r="AC515" s="31" t="n">
        <v>0</v>
      </c>
      <c r="AD515" s="2" t="n">
        <v>0</v>
      </c>
      <c r="AE515" s="2" t="n">
        <v>30</v>
      </c>
      <c r="AF515" s="4" t="n">
        <v>30</v>
      </c>
      <c r="AG515" s="33" t="n">
        <v>39.98</v>
      </c>
      <c r="AH515" s="4" t="n">
        <v>2</v>
      </c>
      <c r="AI515" s="34" t="n">
        <v>0.0667</v>
      </c>
      <c r="AJ515" s="34" t="n">
        <v>1</v>
      </c>
      <c r="AK515" s="2" t="n">
        <v>270</v>
      </c>
      <c r="AL515" t="inlineStr">
        <is>
          <t>Published</t>
        </is>
      </c>
    </row>
    <row r="516">
      <c r="A516">
        <f>HYPERLINK("https://www.walmart.com/ip/1828821442", "1828821442")</f>
        <v/>
      </c>
      <c r="B516">
        <f>HYPERLINK("https://app.optiwise.ai/catalog/itemdetails/4416509", "Catalonia Wearable Blanket Adult with Sleeves Arms,Soft Cozy Plush Fleece Wrap Throws Blanket Robe,One Size Fit All, Cow")</f>
        <v/>
      </c>
      <c r="C516" t="inlineStr">
        <is>
          <t>1CTSN150DMT</t>
        </is>
      </c>
      <c r="D516" t="inlineStr">
        <is>
          <t>Bedding</t>
        </is>
      </c>
      <c r="E516" t="inlineStr">
        <is>
          <t>Throws</t>
        </is>
      </c>
      <c r="F516" t="inlineStr">
        <is>
          <t>Catalonia</t>
        </is>
      </c>
      <c r="G516" t="n">
        <v>5</v>
      </c>
      <c r="H516" t="n">
        <v>4</v>
      </c>
      <c r="I516" t="inlineStr">
        <is>
          <t>Batch 1 - TR</t>
        </is>
      </c>
      <c r="J516" s="29" t="n">
        <v>39.98</v>
      </c>
      <c r="K516" s="30" t="n">
        <v>0.0003</v>
      </c>
      <c r="L516" s="29" t="n">
        <v>0</v>
      </c>
      <c r="M516" s="29" t="n">
        <v>0</v>
      </c>
      <c r="N516" s="2" t="n">
        <v>2</v>
      </c>
      <c r="O516" s="31" t="n">
        <v>0</v>
      </c>
      <c r="P516" s="32" t="n"/>
      <c r="Q516" s="32" t="n">
        <v>0</v>
      </c>
      <c r="R516" s="32" t="n">
        <v>0</v>
      </c>
      <c r="S516" s="31" t="n">
        <v>0</v>
      </c>
      <c r="T516" s="32" t="n">
        <v>0</v>
      </c>
      <c r="U516" s="31" t="n">
        <v>0</v>
      </c>
      <c r="V516" s="31" t="n">
        <v>0</v>
      </c>
      <c r="W516" s="3" t="n">
        <v>0</v>
      </c>
      <c r="X516" s="3" t="n">
        <v>0</v>
      </c>
      <c r="Y516" s="32" t="n">
        <v>0</v>
      </c>
      <c r="Z516" s="3" t="n">
        <v>0</v>
      </c>
      <c r="AA516" s="32" t="n">
        <v>0</v>
      </c>
      <c r="AB516" s="3" t="n"/>
      <c r="AC516" s="31" t="n">
        <v>0</v>
      </c>
      <c r="AD516" s="2" t="n">
        <v>32</v>
      </c>
      <c r="AE516" s="2" t="n">
        <v>25</v>
      </c>
      <c r="AF516" s="4" t="n">
        <v>25</v>
      </c>
      <c r="AG516" s="33" t="n">
        <v>39.98</v>
      </c>
      <c r="AH516" s="4" t="n">
        <v>2</v>
      </c>
      <c r="AI516" s="34" t="n">
        <v>0.08</v>
      </c>
      <c r="AJ516" s="34" t="n">
        <v>1</v>
      </c>
      <c r="AK516" s="2" t="n">
        <v>6750</v>
      </c>
      <c r="AL516" t="inlineStr">
        <is>
          <t>Published</t>
        </is>
      </c>
    </row>
    <row r="517">
      <c r="A517">
        <f>HYPERLINK("https://www.walmart.com/ip/2590935500", "2590935500")</f>
        <v/>
      </c>
      <c r="B517">
        <f>HYPERLINK("https://app.optiwise.ai/catalog/itemdetails/6059372", "Tirrinia Lunch Bags for Women Men, Cute Insulated Lunch Tote Bag for Girls, Fashionable Lunch Box for Adult Kids, Reusable Large Cooler Lunch Bag for School, Work, Office, Picnic | Blue Leaf")</f>
        <v/>
      </c>
      <c r="C517" t="inlineStr">
        <is>
          <t>1WMLB707AQLEA</t>
        </is>
      </c>
      <c r="D517" t="inlineStr">
        <is>
          <t>Home Decor, Kitchen, &amp; Other</t>
        </is>
      </c>
      <c r="E517" t="inlineStr">
        <is>
          <t>Reusable Lunch Bags &amp; Boxes</t>
        </is>
      </c>
      <c r="F517" t="inlineStr">
        <is>
          <t>Tirrinia</t>
        </is>
      </c>
      <c r="G517" t="n">
        <v>0</v>
      </c>
      <c r="H517" t="n">
        <v>0</v>
      </c>
      <c r="I517" t="inlineStr">
        <is>
          <t>Q2-Target</t>
        </is>
      </c>
      <c r="J517" s="29" t="n">
        <v>39.96</v>
      </c>
      <c r="K517" s="30" t="n">
        <v>0.0003</v>
      </c>
      <c r="L517" s="29" t="n">
        <v>13.98999977111816</v>
      </c>
      <c r="M517" s="29" t="n">
        <v>0</v>
      </c>
      <c r="N517" s="2" t="n">
        <v>4</v>
      </c>
      <c r="O517" s="31" t="n">
        <v>0</v>
      </c>
      <c r="P517" s="32" t="n"/>
      <c r="Q517" s="32" t="n">
        <v>0</v>
      </c>
      <c r="R517" s="32" t="n">
        <v>0.2788</v>
      </c>
      <c r="S517" s="31" t="n">
        <v>0</v>
      </c>
      <c r="T517" s="32" t="n">
        <v>0</v>
      </c>
      <c r="U517" s="31" t="n">
        <v>0</v>
      </c>
      <c r="V517" s="31" t="n">
        <v>0</v>
      </c>
      <c r="W517" s="3" t="n">
        <v>0</v>
      </c>
      <c r="X517" s="3" t="n">
        <v>0</v>
      </c>
      <c r="Y517" s="32" t="n">
        <v>0</v>
      </c>
      <c r="Z517" s="3" t="n">
        <v>0</v>
      </c>
      <c r="AA517" s="32" t="n">
        <v>0</v>
      </c>
      <c r="AB517" s="3" t="n"/>
      <c r="AC517" s="31" t="n">
        <v>0</v>
      </c>
      <c r="AD517" s="2" t="n">
        <v>86</v>
      </c>
      <c r="AE517" s="2" t="n">
        <v>119</v>
      </c>
      <c r="AF517" s="4" t="n">
        <v>119</v>
      </c>
      <c r="AG517" s="33" t="n">
        <v>39.96</v>
      </c>
      <c r="AH517" s="4" t="n">
        <v>4</v>
      </c>
      <c r="AI517" s="34" t="n">
        <v>0.0336</v>
      </c>
      <c r="AJ517" s="34" t="n">
        <v>1</v>
      </c>
      <c r="AK517" s="2" t="n">
        <v>3375</v>
      </c>
      <c r="AL517" t="inlineStr">
        <is>
          <t>Published</t>
        </is>
      </c>
    </row>
    <row r="518">
      <c r="A518">
        <f>HYPERLINK("https://www.walmart.com/ip/163412178", "163412178")</f>
        <v/>
      </c>
      <c r="B518">
        <f>HYPERLINK("https://app.optiwise.ai/catalog/itemdetails/360422", "JenniWears® Women's Kimono Lace Lingerie Sleepwear Matching Cheeky Panty")</f>
        <v/>
      </c>
      <c r="C518" t="inlineStr">
        <is>
          <t>JWRS01BK-M</t>
        </is>
      </c>
      <c r="D518" t="inlineStr">
        <is>
          <t>Clothing</t>
        </is>
      </c>
      <c r="E518" t="inlineStr">
        <is>
          <t>Lingerie Sets</t>
        </is>
      </c>
      <c r="F518" t="inlineStr">
        <is>
          <t>JenniWears</t>
        </is>
      </c>
      <c r="G518" t="n">
        <v>0</v>
      </c>
      <c r="H518" t="n">
        <v>0</v>
      </c>
      <c r="I518" t="inlineStr">
        <is>
          <t>Optimized,Valentine</t>
        </is>
      </c>
      <c r="J518" s="29" t="n">
        <v>39.95</v>
      </c>
      <c r="K518" s="30" t="n">
        <v>0.0003</v>
      </c>
      <c r="L518" s="29" t="n">
        <v>0</v>
      </c>
      <c r="M518" s="29" t="n">
        <v>0</v>
      </c>
      <c r="N518" s="2" t="n">
        <v>5</v>
      </c>
      <c r="O518" s="31" t="n">
        <v>0</v>
      </c>
      <c r="P518" s="32" t="n"/>
      <c r="Q518" s="32" t="n">
        <v>0</v>
      </c>
      <c r="R518" s="32" t="n">
        <v>0</v>
      </c>
      <c r="S518" s="31" t="n">
        <v>0</v>
      </c>
      <c r="T518" s="32" t="n">
        <v>0</v>
      </c>
      <c r="U518" s="31" t="n">
        <v>0</v>
      </c>
      <c r="V518" s="31" t="n">
        <v>0</v>
      </c>
      <c r="W518" s="3" t="n">
        <v>0</v>
      </c>
      <c r="X518" s="3" t="n">
        <v>0</v>
      </c>
      <c r="Y518" s="32" t="n">
        <v>0</v>
      </c>
      <c r="Z518" s="3" t="n">
        <v>0</v>
      </c>
      <c r="AA518" s="32" t="n">
        <v>0</v>
      </c>
      <c r="AB518" s="3" t="n"/>
      <c r="AC518" s="31" t="n">
        <v>0</v>
      </c>
      <c r="AD518" s="2" t="n">
        <v>2</v>
      </c>
      <c r="AE518" s="2" t="n">
        <v>34</v>
      </c>
      <c r="AF518" s="4" t="n">
        <v>34</v>
      </c>
      <c r="AG518" s="33" t="n">
        <v>39.95</v>
      </c>
      <c r="AH518" s="4" t="n">
        <v>5</v>
      </c>
      <c r="AI518" s="34" t="n">
        <v>0.1471</v>
      </c>
      <c r="AJ518" s="34" t="n">
        <v>1</v>
      </c>
      <c r="AK518" s="2" t="n">
        <v>1566</v>
      </c>
      <c r="AL518" t="inlineStr">
        <is>
          <t>Published</t>
        </is>
      </c>
    </row>
    <row r="519">
      <c r="A519">
        <f>HYPERLINK("https://www.walmart.com/ip/115573533", "115573533")</f>
        <v/>
      </c>
      <c r="B519">
        <f>HYPERLINK("https://app.optiwise.ai/catalog/itemdetails/362636", "JenniWears Women's Intimate Fishnet Bodystocking Chemise Lingerie Dress")</f>
        <v/>
      </c>
      <c r="C519" t="inlineStr">
        <is>
          <t>JWBS8817</t>
        </is>
      </c>
      <c r="D519" t="inlineStr">
        <is>
          <t>Clothing</t>
        </is>
      </c>
      <c r="E519" t="inlineStr">
        <is>
          <t>Teddies &amp; Bodystockings</t>
        </is>
      </c>
      <c r="F519" t="inlineStr">
        <is>
          <t>JenniWears</t>
        </is>
      </c>
      <c r="G519" t="n">
        <v>5</v>
      </c>
      <c r="H519" t="n">
        <v>1</v>
      </c>
      <c r="I519" t="inlineStr">
        <is>
          <t>Valentine</t>
        </is>
      </c>
      <c r="J519" s="29" t="n">
        <v>39.9</v>
      </c>
      <c r="K519" s="30" t="n">
        <v>0.0003</v>
      </c>
      <c r="L519" s="29" t="n">
        <v>0</v>
      </c>
      <c r="M519" s="29" t="n">
        <v>0</v>
      </c>
      <c r="N519" s="2" t="n">
        <v>5</v>
      </c>
      <c r="O519" s="31" t="n">
        <v>0</v>
      </c>
      <c r="P519" s="32" t="n"/>
      <c r="Q519" s="32" t="n">
        <v>0</v>
      </c>
      <c r="R519" s="32" t="n">
        <v>0</v>
      </c>
      <c r="S519" s="31" t="n">
        <v>0</v>
      </c>
      <c r="T519" s="32" t="n">
        <v>0</v>
      </c>
      <c r="U519" s="31" t="n">
        <v>0</v>
      </c>
      <c r="V519" s="31" t="n">
        <v>0</v>
      </c>
      <c r="W519" s="3" t="n">
        <v>0</v>
      </c>
      <c r="X519" s="3" t="n">
        <v>0</v>
      </c>
      <c r="Y519" s="32" t="n">
        <v>0</v>
      </c>
      <c r="Z519" s="3" t="n">
        <v>0</v>
      </c>
      <c r="AA519" s="32" t="n">
        <v>0</v>
      </c>
      <c r="AB519" s="3" t="n"/>
      <c r="AC519" s="31" t="n">
        <v>0</v>
      </c>
      <c r="AD519" s="2" t="n">
        <v>0</v>
      </c>
      <c r="AE519" s="2" t="n">
        <v>59</v>
      </c>
      <c r="AF519" s="4" t="n">
        <v>59</v>
      </c>
      <c r="AG519" s="33" t="n">
        <v>39.9</v>
      </c>
      <c r="AH519" s="4" t="n">
        <v>5</v>
      </c>
      <c r="AI519" s="34" t="n">
        <v>0.0847</v>
      </c>
      <c r="AJ519" s="34" t="n">
        <v>1</v>
      </c>
      <c r="AK519" s="2" t="n">
        <v>2700</v>
      </c>
      <c r="AL519" t="inlineStr">
        <is>
          <t>Published</t>
        </is>
      </c>
    </row>
    <row r="520">
      <c r="A520">
        <f>HYPERLINK("https://www.walmart.com/ip/599159682", "599159682")</f>
        <v/>
      </c>
      <c r="B520">
        <f>HYPERLINK("https://app.optiwise.ai/catalog/itemdetails/360870", "Tirrinia Stemless Insulated Wine Tumbler with Lid, Single Stainless Steel Double Walled Metal Reusable Wine and Champagne Tumbler for Camping, Travel and Outdoor, Rainbow, 12oz")</f>
        <v/>
      </c>
      <c r="C520" t="inlineStr">
        <is>
          <t>1TRWT120RB</t>
        </is>
      </c>
      <c r="D520" t="inlineStr">
        <is>
          <t>Home Decor, Kitchen, &amp; Other</t>
        </is>
      </c>
      <c r="E520" t="inlineStr">
        <is>
          <t>Tumblers</t>
        </is>
      </c>
      <c r="F520" t="inlineStr">
        <is>
          <t>Tirrinia</t>
        </is>
      </c>
      <c r="G520" t="n">
        <v>4.6</v>
      </c>
      <c r="H520" t="n">
        <v>11</v>
      </c>
      <c r="I520" t="inlineStr">
        <is>
          <t>Wine,Christmas,Optimized,Valentine</t>
        </is>
      </c>
      <c r="J520" s="29" t="n">
        <v>39.9</v>
      </c>
      <c r="K520" s="30" t="n">
        <v>0.0003</v>
      </c>
      <c r="L520" s="29" t="n">
        <v>0</v>
      </c>
      <c r="M520" s="29" t="n">
        <v>0</v>
      </c>
      <c r="N520" s="2" t="n">
        <v>5</v>
      </c>
      <c r="O520" s="31" t="n">
        <v>0</v>
      </c>
      <c r="P520" s="32" t="n"/>
      <c r="Q520" s="32" t="n">
        <v>0</v>
      </c>
      <c r="R520" s="32" t="n">
        <v>0</v>
      </c>
      <c r="S520" s="31" t="n">
        <v>0</v>
      </c>
      <c r="T520" s="32" t="n">
        <v>0</v>
      </c>
      <c r="U520" s="31" t="n">
        <v>0</v>
      </c>
      <c r="V520" s="31" t="n">
        <v>0</v>
      </c>
      <c r="W520" s="3" t="n">
        <v>0</v>
      </c>
      <c r="X520" s="3" t="n">
        <v>0</v>
      </c>
      <c r="Y520" s="32" t="n">
        <v>0</v>
      </c>
      <c r="Z520" s="3" t="n">
        <v>0</v>
      </c>
      <c r="AA520" s="32" t="n">
        <v>0</v>
      </c>
      <c r="AB520" s="3" t="n"/>
      <c r="AC520" s="31" t="n">
        <v>0</v>
      </c>
      <c r="AD520" s="2" t="n">
        <v>24</v>
      </c>
      <c r="AE520" s="2" t="n">
        <v>75</v>
      </c>
      <c r="AF520" s="4" t="n">
        <v>75</v>
      </c>
      <c r="AG520" s="33" t="n">
        <v>39.9</v>
      </c>
      <c r="AH520" s="4" t="n">
        <v>5</v>
      </c>
      <c r="AI520" s="34" t="n">
        <v>0.0667</v>
      </c>
      <c r="AJ520" s="34" t="n">
        <v>1</v>
      </c>
      <c r="AK520" s="2" t="n">
        <v>2700</v>
      </c>
      <c r="AL520" t="inlineStr">
        <is>
          <t>Published</t>
        </is>
      </c>
    </row>
    <row r="521">
      <c r="A521">
        <f>HYPERLINK("https://www.walmart.com/ip/5805406459", "5805406459")</f>
        <v/>
      </c>
      <c r="B521">
        <f>HYPERLINK("https://app.optiwise.ai/catalog/itemdetails/9053829", "Kato Expandable Insulated Lunch Bag, Leakproof Lunch Cooler Tote for All Ages, Black")</f>
        <v/>
      </c>
      <c r="C521" t="inlineStr">
        <is>
          <t>1TRLB110CAMO</t>
        </is>
      </c>
      <c r="D521" t="inlineStr">
        <is>
          <t>Home Decor, Kitchen, &amp; Other</t>
        </is>
      </c>
      <c r="E521" t="inlineStr">
        <is>
          <t>Reusable Lunch Bags &amp; Boxes</t>
        </is>
      </c>
      <c r="F521" t="inlineStr">
        <is>
          <t>Kato</t>
        </is>
      </c>
      <c r="G521" t="n">
        <v>0</v>
      </c>
      <c r="H521" t="n">
        <v>0</v>
      </c>
      <c r="J521" s="29" t="n">
        <v>39.66</v>
      </c>
      <c r="K521" s="30" t="n">
        <v>0.0003</v>
      </c>
      <c r="L521" s="29" t="n">
        <v>16.98999977111816</v>
      </c>
      <c r="M521" s="29" t="n">
        <v>0</v>
      </c>
      <c r="N521" s="2" t="n">
        <v>2</v>
      </c>
      <c r="O521" s="31" t="n">
        <v>0</v>
      </c>
      <c r="P521" s="32" t="n"/>
      <c r="Q521" s="32" t="n">
        <v>0</v>
      </c>
      <c r="R521" s="32" t="n">
        <v>0</v>
      </c>
      <c r="S521" s="31" t="n">
        <v>0</v>
      </c>
      <c r="T521" s="32" t="n">
        <v>0</v>
      </c>
      <c r="U521" s="31" t="n">
        <v>0</v>
      </c>
      <c r="V521" s="31" t="n">
        <v>0</v>
      </c>
      <c r="W521" s="3" t="n">
        <v>0</v>
      </c>
      <c r="X521" s="3" t="n">
        <v>0</v>
      </c>
      <c r="Y521" s="32" t="n">
        <v>0</v>
      </c>
      <c r="Z521" s="3" t="n">
        <v>0</v>
      </c>
      <c r="AA521" s="32" t="n">
        <v>0</v>
      </c>
      <c r="AB521" s="3" t="n"/>
      <c r="AC521" s="31" t="n">
        <v>0</v>
      </c>
      <c r="AD521" s="2" t="n">
        <v>0</v>
      </c>
      <c r="AE521" s="2" t="n">
        <v>13</v>
      </c>
      <c r="AF521" s="4" t="n">
        <v>13</v>
      </c>
      <c r="AG521" s="33" t="n">
        <v>39.66</v>
      </c>
      <c r="AH521" s="4" t="n">
        <v>2</v>
      </c>
      <c r="AI521" s="34" t="n">
        <v>0.1538</v>
      </c>
      <c r="AJ521" s="34" t="n">
        <v>1</v>
      </c>
      <c r="AK521" s="2" t="n">
        <v>6885</v>
      </c>
      <c r="AL521" t="inlineStr">
        <is>
          <t>Published</t>
        </is>
      </c>
    </row>
    <row r="522">
      <c r="A522">
        <f>HYPERLINK("https://www.walmart.com/ip/9531102601", "9531102601")</f>
        <v/>
      </c>
      <c r="B522">
        <f>HYPERLINK("https://app.optiwise.ai/catalog/itemdetails/9941247", "Wrangler Yellowstone Sturdy Laptop Backpack for Travel, Hiking Backpack with Classic Logo, Water Resistant Casual Daypack, Padded Sleeve College Backpack for Notebook, Out West")</f>
        <v/>
      </c>
      <c r="C522" t="inlineStr">
        <is>
          <t>WR-BACKPACK-16273-OUTWEST</t>
        </is>
      </c>
      <c r="D522" t="inlineStr">
        <is>
          <t>Cases &amp; Bags</t>
        </is>
      </c>
      <c r="E522" t="inlineStr">
        <is>
          <t>Backpacks</t>
        </is>
      </c>
      <c r="F522" t="inlineStr">
        <is>
          <t>Wrangler</t>
        </is>
      </c>
      <c r="G522" t="n">
        <v>4.6</v>
      </c>
      <c r="H522" t="n">
        <v>0</v>
      </c>
      <c r="I522" t="inlineStr">
        <is>
          <t>Backpack</t>
        </is>
      </c>
      <c r="J522" s="29" t="n">
        <v>38.99</v>
      </c>
      <c r="K522" s="30" t="n">
        <v>0.0003</v>
      </c>
      <c r="L522" s="29" t="n">
        <v>0</v>
      </c>
      <c r="M522" s="29" t="n">
        <v>0</v>
      </c>
      <c r="N522" s="2" t="n">
        <v>1</v>
      </c>
      <c r="O522" s="31" t="n">
        <v>0</v>
      </c>
      <c r="P522" s="32" t="n"/>
      <c r="Q522" s="32" t="n">
        <v>0</v>
      </c>
      <c r="R522" s="32" t="n">
        <v>0.0554</v>
      </c>
      <c r="S522" s="31" t="n">
        <v>0</v>
      </c>
      <c r="T522" s="32" t="n">
        <v>0</v>
      </c>
      <c r="U522" s="31" t="n">
        <v>0</v>
      </c>
      <c r="V522" s="31" t="n">
        <v>0</v>
      </c>
      <c r="W522" s="3" t="n">
        <v>0</v>
      </c>
      <c r="X522" s="3" t="n">
        <v>0</v>
      </c>
      <c r="Y522" s="32" t="n">
        <v>0</v>
      </c>
      <c r="Z522" s="3" t="n">
        <v>0</v>
      </c>
      <c r="AA522" s="32" t="n">
        <v>0</v>
      </c>
      <c r="AB522" s="3" t="n"/>
      <c r="AC522" s="31" t="n">
        <v>0</v>
      </c>
      <c r="AD522" s="2" t="n">
        <v>0</v>
      </c>
      <c r="AE522" s="2" t="n">
        <v>22</v>
      </c>
      <c r="AF522" s="4" t="n">
        <v>22</v>
      </c>
      <c r="AG522" s="33" t="n">
        <v>38.99</v>
      </c>
      <c r="AH522" s="4" t="n">
        <v>1</v>
      </c>
      <c r="AI522" s="34" t="n">
        <v>0.0455</v>
      </c>
      <c r="AJ522" s="34" t="n">
        <v>1</v>
      </c>
      <c r="AK522" s="2" t="n">
        <v>13500</v>
      </c>
      <c r="AL522" t="inlineStr">
        <is>
          <t>Published</t>
        </is>
      </c>
    </row>
    <row r="523">
      <c r="A523">
        <f>HYPERLINK("https://www.walmart.com/ip/9536168353", "9536168353")</f>
        <v/>
      </c>
      <c r="B523">
        <f>HYPERLINK("https://app.optiwise.ai/catalog/itemdetails/9941252", "Wrangler Yellowstone Sturdy Laptop Backpack for Travel, Hiking Backpack with Classic Logo, Water Resistant Casual Daypack, Padded Sleeve College Backpack for Notebook, Dark Gray")</f>
        <v/>
      </c>
      <c r="C523" t="inlineStr">
        <is>
          <t>WR-BACKPACK-16273-DKGREY</t>
        </is>
      </c>
      <c r="D523" t="inlineStr">
        <is>
          <t>Cases &amp; Bags</t>
        </is>
      </c>
      <c r="E523" t="inlineStr">
        <is>
          <t>Backpacks</t>
        </is>
      </c>
      <c r="F523" t="inlineStr">
        <is>
          <t>Wrangler</t>
        </is>
      </c>
      <c r="G523" t="n">
        <v>5</v>
      </c>
      <c r="H523" t="n">
        <v>1</v>
      </c>
      <c r="I523" t="inlineStr">
        <is>
          <t>Backpack</t>
        </is>
      </c>
      <c r="J523" s="29" t="n">
        <v>38.99</v>
      </c>
      <c r="K523" s="30" t="n">
        <v>0.0003</v>
      </c>
      <c r="L523" s="29" t="n">
        <v>0</v>
      </c>
      <c r="M523" s="29" t="n">
        <v>0</v>
      </c>
      <c r="N523" s="2" t="n">
        <v>1</v>
      </c>
      <c r="O523" s="31" t="n">
        <v>0</v>
      </c>
      <c r="P523" s="32" t="n"/>
      <c r="Q523" s="32" t="n">
        <v>0</v>
      </c>
      <c r="R523" s="32" t="n">
        <v>0</v>
      </c>
      <c r="S523" s="31" t="n">
        <v>0</v>
      </c>
      <c r="T523" s="32" t="n">
        <v>0</v>
      </c>
      <c r="U523" s="31" t="n">
        <v>0</v>
      </c>
      <c r="V523" s="31" t="n">
        <v>0</v>
      </c>
      <c r="W523" s="3" t="n">
        <v>0</v>
      </c>
      <c r="X523" s="3" t="n">
        <v>0</v>
      </c>
      <c r="Y523" s="32" t="n">
        <v>0</v>
      </c>
      <c r="Z523" s="3" t="n">
        <v>0</v>
      </c>
      <c r="AA523" s="32" t="n">
        <v>0</v>
      </c>
      <c r="AB523" s="3" t="n"/>
      <c r="AC523" s="31" t="n">
        <v>0</v>
      </c>
      <c r="AD523" s="2" t="n">
        <v>0</v>
      </c>
      <c r="AE523" s="2" t="n">
        <v>60</v>
      </c>
      <c r="AF523" s="4" t="n">
        <v>60</v>
      </c>
      <c r="AG523" s="33" t="n">
        <v>38.99</v>
      </c>
      <c r="AH523" s="4" t="n">
        <v>1</v>
      </c>
      <c r="AI523" s="34" t="n">
        <v>0.0167</v>
      </c>
      <c r="AJ523" s="34" t="n">
        <v>1</v>
      </c>
      <c r="AK523" s="2" t="n">
        <v>13500</v>
      </c>
      <c r="AL523" t="inlineStr">
        <is>
          <t>Published</t>
        </is>
      </c>
    </row>
    <row r="524">
      <c r="A524">
        <f>HYPERLINK("https://www.walmart.com/ip/412453093", "412453093")</f>
        <v/>
      </c>
      <c r="B524">
        <f>HYPERLINK("https://app.optiwise.ai/catalog/itemdetails/417453", "Tirrinia Red Plaid Foldable Waterproof Outdoor Blanket for Camping, Stadium, 59'' X 80''")</f>
        <v/>
      </c>
      <c r="C524" t="inlineStr">
        <is>
          <t>1TRBW608PRD</t>
        </is>
      </c>
      <c r="D524" t="inlineStr">
        <is>
          <t>Sport &amp; Recreation Other</t>
        </is>
      </c>
      <c r="E524" t="inlineStr">
        <is>
          <t>Throws</t>
        </is>
      </c>
      <c r="F524" t="inlineStr">
        <is>
          <t>Tirrinia</t>
        </is>
      </c>
      <c r="G524" t="n">
        <v>0</v>
      </c>
      <c r="H524" t="n">
        <v>0</v>
      </c>
      <c r="I524" t="inlineStr">
        <is>
          <t>Optimized</t>
        </is>
      </c>
      <c r="J524" s="29" t="n">
        <v>38.99</v>
      </c>
      <c r="K524" s="30" t="n">
        <v>0.0003</v>
      </c>
      <c r="L524" s="29" t="n">
        <v>0</v>
      </c>
      <c r="M524" s="29" t="n">
        <v>0</v>
      </c>
      <c r="N524" s="2" t="n">
        <v>1</v>
      </c>
      <c r="O524" s="31" t="n">
        <v>1.86</v>
      </c>
      <c r="P524" s="32" t="n">
        <v>0.0002</v>
      </c>
      <c r="Q524" s="32" t="n">
        <v>0.0477</v>
      </c>
      <c r="R524" s="32" t="n">
        <v>0.0035</v>
      </c>
      <c r="S524" s="31" t="n">
        <v>0</v>
      </c>
      <c r="T524" s="32" t="n">
        <v>0</v>
      </c>
      <c r="U524" s="31" t="n">
        <v>0</v>
      </c>
      <c r="V524" s="31" t="n">
        <v>0</v>
      </c>
      <c r="W524" s="3" t="n">
        <v>23880</v>
      </c>
      <c r="X524" s="3" t="n">
        <v>7</v>
      </c>
      <c r="Y524" s="32" t="n">
        <v>0.0003</v>
      </c>
      <c r="Z524" s="3" t="n">
        <v>0</v>
      </c>
      <c r="AA524" s="32" t="n">
        <v>0</v>
      </c>
      <c r="AB524" s="3" t="inlineStr">
        <is>
          <t>Throws_Auto_Optiwise_24</t>
        </is>
      </c>
      <c r="AC524" s="31" t="n">
        <v>0.27</v>
      </c>
      <c r="AD524" s="2" t="n">
        <v>0</v>
      </c>
      <c r="AE524" s="2" t="n">
        <v>97</v>
      </c>
      <c r="AF524" s="4" t="n">
        <v>90</v>
      </c>
      <c r="AG524" s="33" t="n">
        <v>38.99</v>
      </c>
      <c r="AH524" s="4" t="n">
        <v>1</v>
      </c>
      <c r="AI524" s="34" t="n">
        <v>0.0111</v>
      </c>
      <c r="AJ524" s="34" t="n">
        <v>1</v>
      </c>
      <c r="AK524" s="2" t="n">
        <v>14040</v>
      </c>
      <c r="AL524" t="inlineStr">
        <is>
          <t>Published</t>
        </is>
      </c>
    </row>
    <row r="525">
      <c r="A525">
        <f>HYPERLINK("https://www.walmart.com/ip/9523050660", "9523050660")</f>
        <v/>
      </c>
      <c r="B525">
        <f>HYPERLINK("https://app.optiwise.ai/catalog/itemdetails/9941265", "Wrangler Yellowstone Sturdy Laptop Backpack for Travel, Hiking Backpack with Classic Logo, Water Resistant Casual Daypack, Padded Sleeve College Backpack for Notebook, Graphite")</f>
        <v/>
      </c>
      <c r="C525" t="inlineStr">
        <is>
          <t>WR-BACKPACK-16273-GRAPHITE</t>
        </is>
      </c>
      <c r="D525" t="inlineStr">
        <is>
          <t>Cases &amp; Bags</t>
        </is>
      </c>
      <c r="E525" t="inlineStr">
        <is>
          <t>Backpacks</t>
        </is>
      </c>
      <c r="F525" t="inlineStr">
        <is>
          <t>Wrangler</t>
        </is>
      </c>
      <c r="G525" t="n">
        <v>0</v>
      </c>
      <c r="H525" t="n">
        <v>0</v>
      </c>
      <c r="I525" t="inlineStr">
        <is>
          <t>Backpack</t>
        </is>
      </c>
      <c r="J525" s="29" t="n">
        <v>38.99</v>
      </c>
      <c r="K525" s="30" t="n">
        <v>0.0003</v>
      </c>
      <c r="L525" s="29" t="n">
        <v>0</v>
      </c>
      <c r="M525" s="29" t="n">
        <v>0</v>
      </c>
      <c r="N525" s="2" t="n">
        <v>1</v>
      </c>
      <c r="O525" s="31" t="n">
        <v>0</v>
      </c>
      <c r="P525" s="32" t="n"/>
      <c r="Q525" s="32" t="n">
        <v>0</v>
      </c>
      <c r="R525" s="32" t="n">
        <v>0</v>
      </c>
      <c r="S525" s="31" t="n">
        <v>0</v>
      </c>
      <c r="T525" s="32" t="n">
        <v>0</v>
      </c>
      <c r="U525" s="31" t="n">
        <v>0</v>
      </c>
      <c r="V525" s="31" t="n">
        <v>0</v>
      </c>
      <c r="W525" s="3" t="n">
        <v>0</v>
      </c>
      <c r="X525" s="3" t="n">
        <v>0</v>
      </c>
      <c r="Y525" s="32" t="n">
        <v>0</v>
      </c>
      <c r="Z525" s="3" t="n">
        <v>0</v>
      </c>
      <c r="AA525" s="32" t="n">
        <v>0</v>
      </c>
      <c r="AB525" s="3" t="n"/>
      <c r="AC525" s="31" t="n">
        <v>0</v>
      </c>
      <c r="AD525" s="2" t="n">
        <v>0</v>
      </c>
      <c r="AE525" s="2" t="n">
        <v>27</v>
      </c>
      <c r="AF525" s="4" t="n">
        <v>27</v>
      </c>
      <c r="AG525" s="33" t="n">
        <v>38.99</v>
      </c>
      <c r="AH525" s="4" t="n">
        <v>1</v>
      </c>
      <c r="AI525" s="34" t="n">
        <v>0.037</v>
      </c>
      <c r="AJ525" s="34" t="n">
        <v>1</v>
      </c>
      <c r="AK525" s="2" t="n">
        <v>13500</v>
      </c>
      <c r="AL525" t="inlineStr">
        <is>
          <t>Published</t>
        </is>
      </c>
    </row>
    <row r="526">
      <c r="A526">
        <f>HYPERLINK("https://www.walmart.com/ip/290439708", "290439708")</f>
        <v/>
      </c>
      <c r="B526">
        <f>HYPERLINK("https://app.optiwise.ai/catalog/itemdetails/361333", "Catalonia Oversized Hoodie Blanket with Zipper, Wearable Sherpa Sweatshirt Pullover, Soft Warm Comfortable Jacket for Adults Men Women, Navy")</f>
        <v/>
      </c>
      <c r="C526" t="inlineStr">
        <is>
          <t>1CTHD220DBL</t>
        </is>
      </c>
      <c r="D526" t="inlineStr">
        <is>
          <t>Home Decor, Kitchen, &amp; Other</t>
        </is>
      </c>
      <c r="E526" t="inlineStr">
        <is>
          <t>Throws</t>
        </is>
      </c>
      <c r="F526" t="inlineStr">
        <is>
          <t>Catalonia</t>
        </is>
      </c>
      <c r="G526" t="n">
        <v>4.4</v>
      </c>
      <c r="H526" t="n">
        <v>5</v>
      </c>
      <c r="I526" t="inlineStr">
        <is>
          <t>Hoodie ForAdult,WFS,Coupon_Discount,WFS Item</t>
        </is>
      </c>
      <c r="J526" s="29" t="n">
        <v>37.99</v>
      </c>
      <c r="K526" s="30" t="n">
        <v>0.0003</v>
      </c>
      <c r="L526" s="29" t="n">
        <v>37.9900016784668</v>
      </c>
      <c r="M526" s="29" t="n">
        <v>0</v>
      </c>
      <c r="N526" s="2" t="n">
        <v>1</v>
      </c>
      <c r="O526" s="31" t="n">
        <v>0</v>
      </c>
      <c r="P526" s="32" t="n"/>
      <c r="Q526" s="32" t="n">
        <v>0</v>
      </c>
      <c r="R526" s="32" t="n">
        <v>0.3841</v>
      </c>
      <c r="S526" s="31" t="n">
        <v>0</v>
      </c>
      <c r="T526" s="32" t="n">
        <v>0</v>
      </c>
      <c r="U526" s="31" t="n">
        <v>0</v>
      </c>
      <c r="V526" s="31" t="n">
        <v>0</v>
      </c>
      <c r="W526" s="3" t="n">
        <v>5</v>
      </c>
      <c r="X526" s="3" t="n">
        <v>0</v>
      </c>
      <c r="Y526" s="32" t="n">
        <v>0</v>
      </c>
      <c r="Z526" s="3" t="n">
        <v>0</v>
      </c>
      <c r="AA526" s="32" t="n">
        <v>0</v>
      </c>
      <c r="AB526" s="3" t="inlineStr">
        <is>
          <t>Hoodies_Auto</t>
        </is>
      </c>
      <c r="AC526" s="31" t="n">
        <v>0</v>
      </c>
      <c r="AD526" s="2" t="n">
        <v>84</v>
      </c>
      <c r="AE526" s="2" t="n">
        <v>93</v>
      </c>
      <c r="AF526" s="4" t="n">
        <v>93</v>
      </c>
      <c r="AG526" s="33" t="n">
        <v>37.99</v>
      </c>
      <c r="AH526" s="4" t="n">
        <v>1</v>
      </c>
      <c r="AI526" s="34" t="n">
        <v>0.0108</v>
      </c>
      <c r="AJ526" s="34" t="n">
        <v>1</v>
      </c>
      <c r="AK526" s="2" t="n">
        <v>9180</v>
      </c>
      <c r="AL526" t="inlineStr">
        <is>
          <t>Published</t>
        </is>
      </c>
    </row>
    <row r="527">
      <c r="A527">
        <f>HYPERLINK("https://www.walmart.com/ip/1478723664", "1478723664")</f>
        <v/>
      </c>
      <c r="B527">
        <f>HYPERLINK("https://app.optiwise.ai/catalog/itemdetails/924059", "Catalonia Hooded Blanket Poncho | Wearable Blanket Wrap with Hand Pockets | Comfy Sherpa Fleece Throw Cape for Children and Adults, Christmas Thanksgiving Mother Gift, Light Grey")</f>
        <v/>
      </c>
      <c r="C527" t="inlineStr">
        <is>
          <t>1CTBC100LG</t>
        </is>
      </c>
      <c r="D527" t="inlineStr">
        <is>
          <t>Bedding</t>
        </is>
      </c>
      <c r="E527" t="inlineStr">
        <is>
          <t>Throws</t>
        </is>
      </c>
      <c r="F527" t="inlineStr">
        <is>
          <t>Catalonia</t>
        </is>
      </c>
      <c r="G527" t="n">
        <v>0</v>
      </c>
      <c r="H527" t="n">
        <v>0</v>
      </c>
      <c r="I527" t="inlineStr">
        <is>
          <t>Batch 1 - TR</t>
        </is>
      </c>
      <c r="J527" s="29" t="n">
        <v>37.99</v>
      </c>
      <c r="K527" s="30" t="n">
        <v>0.0003</v>
      </c>
      <c r="L527" s="29" t="n">
        <v>0</v>
      </c>
      <c r="M527" s="29" t="n">
        <v>0</v>
      </c>
      <c r="N527" s="2" t="n">
        <v>1</v>
      </c>
      <c r="O527" s="31" t="n">
        <v>0</v>
      </c>
      <c r="P527" s="32" t="n"/>
      <c r="Q527" s="32" t="n">
        <v>0</v>
      </c>
      <c r="R527" s="32" t="n">
        <v>0</v>
      </c>
      <c r="S527" s="31" t="n">
        <v>0</v>
      </c>
      <c r="T527" s="32" t="n">
        <v>0</v>
      </c>
      <c r="U527" s="31" t="n">
        <v>0</v>
      </c>
      <c r="V527" s="31" t="n">
        <v>0</v>
      </c>
      <c r="W527" s="3" t="n">
        <v>0</v>
      </c>
      <c r="X527" s="3" t="n">
        <v>0</v>
      </c>
      <c r="Y527" s="32" t="n">
        <v>0</v>
      </c>
      <c r="Z527" s="3" t="n">
        <v>0</v>
      </c>
      <c r="AA527" s="32" t="n">
        <v>0</v>
      </c>
      <c r="AB527" s="3" t="n"/>
      <c r="AC527" s="31" t="n">
        <v>0</v>
      </c>
      <c r="AD527" s="2" t="n">
        <v>0</v>
      </c>
      <c r="AE527" s="2" t="n">
        <v>14</v>
      </c>
      <c r="AF527" s="4" t="n">
        <v>14</v>
      </c>
      <c r="AG527" s="33" t="n">
        <v>37.99</v>
      </c>
      <c r="AH527" s="4" t="n">
        <v>1</v>
      </c>
      <c r="AI527" s="34" t="n">
        <v>0.07140000000000001</v>
      </c>
      <c r="AJ527" s="34" t="n">
        <v>1</v>
      </c>
      <c r="AK527" s="2" t="n">
        <v>2700</v>
      </c>
      <c r="AL527" t="inlineStr">
        <is>
          <t>Published</t>
        </is>
      </c>
    </row>
    <row r="528">
      <c r="A528">
        <f>HYPERLINK("https://www.walmart.com/ip/675588239", "675588239")</f>
        <v/>
      </c>
      <c r="B528">
        <f>HYPERLINK("https://app.optiwise.ai/catalog/itemdetails/360254", "Napa Plush  Throw Blanket Light Grey, Twin 60x90, Striped Reversible Velvet Luxury Fleece Warm Bed Couch Blanket, Super Soft and Cozy")</f>
        <v/>
      </c>
      <c r="C528" t="inlineStr">
        <is>
          <t>K8030TW-LGY</t>
        </is>
      </c>
      <c r="D528" t="inlineStr">
        <is>
          <t>Bedding</t>
        </is>
      </c>
      <c r="E528" t="inlineStr">
        <is>
          <t>Throws</t>
        </is>
      </c>
      <c r="F528" t="inlineStr">
        <is>
          <t>NAPA</t>
        </is>
      </c>
      <c r="G528" t="n">
        <v>0</v>
      </c>
      <c r="H528" t="n">
        <v>0</v>
      </c>
      <c r="I528" t="inlineStr">
        <is>
          <t>Optimized</t>
        </is>
      </c>
      <c r="J528" s="29" t="n">
        <v>37.98</v>
      </c>
      <c r="K528" s="30" t="n">
        <v>0.0003</v>
      </c>
      <c r="L528" s="29" t="n">
        <v>18.98999977111816</v>
      </c>
      <c r="M528" s="29" t="n">
        <v>0</v>
      </c>
      <c r="N528" s="2" t="n">
        <v>2</v>
      </c>
      <c r="O528" s="31" t="n">
        <v>0</v>
      </c>
      <c r="P528" s="32" t="n"/>
      <c r="Q528" s="32" t="n">
        <v>0</v>
      </c>
      <c r="R528" s="32" t="n">
        <v>0</v>
      </c>
      <c r="S528" s="31" t="n">
        <v>0</v>
      </c>
      <c r="T528" s="32" t="n">
        <v>0</v>
      </c>
      <c r="U528" s="31" t="n">
        <v>0</v>
      </c>
      <c r="V528" s="31" t="n">
        <v>0</v>
      </c>
      <c r="W528" s="3" t="n">
        <v>0</v>
      </c>
      <c r="X528" s="3" t="n">
        <v>0</v>
      </c>
      <c r="Y528" s="32" t="n">
        <v>0</v>
      </c>
      <c r="Z528" s="3" t="n">
        <v>0</v>
      </c>
      <c r="AA528" s="32" t="n">
        <v>0</v>
      </c>
      <c r="AB528" s="3" t="n"/>
      <c r="AC528" s="31" t="n">
        <v>0</v>
      </c>
      <c r="AD528" s="2" t="n">
        <v>0</v>
      </c>
      <c r="AE528" s="2" t="n">
        <v>14</v>
      </c>
      <c r="AF528" s="4" t="n">
        <v>14</v>
      </c>
      <c r="AG528" s="33" t="n">
        <v>37.98</v>
      </c>
      <c r="AH528" s="4" t="n">
        <v>2</v>
      </c>
      <c r="AI528" s="34" t="n">
        <v>0.1429</v>
      </c>
      <c r="AJ528" s="34" t="n">
        <v>1</v>
      </c>
      <c r="AK528" s="2" t="n">
        <v>6750</v>
      </c>
      <c r="AL528" t="inlineStr">
        <is>
          <t>Published</t>
        </is>
      </c>
    </row>
    <row r="529">
      <c r="A529">
        <f>HYPERLINK("https://www.walmart.com/ip/630587616", "630587616")</f>
        <v/>
      </c>
      <c r="B529">
        <f>HYPERLINK("https://app.optiwise.ai/catalog/itemdetails/359090", "Tirrinia Insulated 2 Bottle Wine Tote Bag - Wine Tumbler Glass Cooler Carrier for BYOB Restaurants,  Wine Tasting, Travel, Park, Beach, Great Wine Lover Gift, Red Stripe")</f>
        <v/>
      </c>
      <c r="C529" t="inlineStr">
        <is>
          <t>1TRWB231RDSTR</t>
        </is>
      </c>
      <c r="D529" t="inlineStr">
        <is>
          <t>Home Decor, Kitchen, &amp; Other</t>
        </is>
      </c>
      <c r="E529" t="inlineStr">
        <is>
          <t>Wine Totes, Bags &amp; Backpacks</t>
        </is>
      </c>
      <c r="F529" t="inlineStr">
        <is>
          <t>Tirrinia</t>
        </is>
      </c>
      <c r="G529" t="n">
        <v>0</v>
      </c>
      <c r="H529" t="n">
        <v>0</v>
      </c>
      <c r="I529" t="inlineStr">
        <is>
          <t>Wine,Christmas,WFS,Wine WFS,Valentine,WFS Item</t>
        </is>
      </c>
      <c r="J529" s="29" t="n">
        <v>37.98</v>
      </c>
      <c r="K529" s="30" t="n">
        <v>0.0003</v>
      </c>
      <c r="L529" s="29" t="n">
        <v>0</v>
      </c>
      <c r="M529" s="29" t="n">
        <v>0</v>
      </c>
      <c r="N529" s="2" t="n">
        <v>2</v>
      </c>
      <c r="O529" s="31" t="n">
        <v>42.42999999999999</v>
      </c>
      <c r="P529" s="32" t="n">
        <v>0.0051</v>
      </c>
      <c r="Q529" s="32" t="n">
        <v>1.1172</v>
      </c>
      <c r="R529" s="32" t="n">
        <v>0</v>
      </c>
      <c r="S529" s="31" t="n">
        <v>3.44</v>
      </c>
      <c r="T529" s="32" t="n">
        <v>0.29</v>
      </c>
      <c r="U529" s="31" t="n">
        <v>145.93</v>
      </c>
      <c r="V529" s="31" t="n">
        <v>99.94999999999999</v>
      </c>
      <c r="W529" s="3" t="n">
        <v>41222</v>
      </c>
      <c r="X529" s="3" t="n">
        <v>88</v>
      </c>
      <c r="Y529" s="32" t="n">
        <v>0.0021</v>
      </c>
      <c r="Z529" s="3" t="n">
        <v>7</v>
      </c>
      <c r="AA529" s="32" t="n">
        <v>0.0795</v>
      </c>
      <c r="AB529" s="3" t="inlineStr">
        <is>
          <t>All Items_Auto_Optiwise_24,Auto Campaign_Vinay</t>
        </is>
      </c>
      <c r="AC529" s="31" t="n">
        <v>0.48</v>
      </c>
      <c r="AD529" s="2" t="n">
        <v>0</v>
      </c>
      <c r="AE529" s="2" t="n">
        <v>60</v>
      </c>
      <c r="AF529" s="4" t="inlineStr">
        <is>
          <t>NA</t>
        </is>
      </c>
      <c r="AG529" s="33" t="n">
        <v>-107.95</v>
      </c>
      <c r="AH529" s="4" t="n">
        <v>-5</v>
      </c>
      <c r="AI529" s="34" t="inlineStr">
        <is>
          <t>NA</t>
        </is>
      </c>
      <c r="AJ529" s="34" t="n">
        <v>-2.8423</v>
      </c>
      <c r="AK529" s="2" t="n">
        <v>5805</v>
      </c>
      <c r="AL529" t="inlineStr">
        <is>
          <t>Published</t>
        </is>
      </c>
    </row>
    <row r="530">
      <c r="A530">
        <f>HYPERLINK("https://www.walmart.com/ip/950920705", "950920705")</f>
        <v/>
      </c>
      <c r="B530">
        <f>HYPERLINK("https://app.optiwise.ai/catalog/itemdetails/358743", "Solaris Sun Hat for Women, Wide Brim Summer Beach Hat with Neck Flap, UPF 50+")</f>
        <v/>
      </c>
      <c r="C530" t="inlineStr">
        <is>
          <t>1SLSH921GY</t>
        </is>
      </c>
      <c r="D530" t="inlineStr">
        <is>
          <t>Clothing</t>
        </is>
      </c>
      <c r="E530" t="inlineStr">
        <is>
          <t>Hats</t>
        </is>
      </c>
      <c r="F530" t="inlineStr">
        <is>
          <t>Solaris</t>
        </is>
      </c>
      <c r="G530" t="n">
        <v>4.5</v>
      </c>
      <c r="H530" t="n">
        <v>48</v>
      </c>
      <c r="I530" t="inlineStr">
        <is>
          <t>Q2-Target,Optimized,Hats</t>
        </is>
      </c>
      <c r="J530" s="29" t="n">
        <v>37.98</v>
      </c>
      <c r="K530" s="30" t="n">
        <v>0.0003</v>
      </c>
      <c r="L530" s="29" t="n">
        <v>0</v>
      </c>
      <c r="M530" s="29" t="n">
        <v>0</v>
      </c>
      <c r="N530" s="2" t="n">
        <v>2</v>
      </c>
      <c r="O530" s="31" t="n">
        <v>0.84</v>
      </c>
      <c r="P530" s="32" t="n">
        <v>0.0001</v>
      </c>
      <c r="Q530" s="32" t="n">
        <v>0.0221</v>
      </c>
      <c r="R530" s="32" t="n">
        <v>0.1723</v>
      </c>
      <c r="S530" s="31" t="n">
        <v>0</v>
      </c>
      <c r="T530" s="32" t="n">
        <v>0</v>
      </c>
      <c r="U530" s="31" t="n">
        <v>0</v>
      </c>
      <c r="V530" s="31" t="n">
        <v>0</v>
      </c>
      <c r="W530" s="3" t="n">
        <v>4506</v>
      </c>
      <c r="X530" s="3" t="n">
        <v>3</v>
      </c>
      <c r="Y530" s="32" t="n">
        <v>0.0007</v>
      </c>
      <c r="Z530" s="3" t="n">
        <v>0</v>
      </c>
      <c r="AA530" s="32" t="n">
        <v>0</v>
      </c>
      <c r="AB530" s="3" t="inlineStr">
        <is>
          <t>Need to sell these SKUs by 15th Feb</t>
        </is>
      </c>
      <c r="AC530" s="31" t="n">
        <v>0.28</v>
      </c>
      <c r="AD530" s="2" t="n">
        <v>0</v>
      </c>
      <c r="AE530" s="2" t="n">
        <v>0</v>
      </c>
      <c r="AF530" s="4" t="inlineStr">
        <is>
          <t>NA</t>
        </is>
      </c>
      <c r="AG530" s="33" t="n">
        <v>37.98</v>
      </c>
      <c r="AH530" s="4" t="n">
        <v>2</v>
      </c>
      <c r="AI530" s="34" t="inlineStr">
        <is>
          <t>NA</t>
        </is>
      </c>
      <c r="AJ530" s="34" t="n">
        <v>1</v>
      </c>
      <c r="AK530" s="2" t="n">
        <v>6952</v>
      </c>
      <c r="AL530" t="inlineStr">
        <is>
          <t>Published</t>
        </is>
      </c>
    </row>
    <row r="531">
      <c r="A531">
        <f>HYPERLINK("https://www.walmart.com/ip/642519557", "642519557")</f>
        <v/>
      </c>
      <c r="B531">
        <f>HYPERLINK("https://app.optiwise.ai/catalog/itemdetails/361692", "Flyingstar 6 Bottle Wine cooler bag - Insulated Padded Portable Versatile Wine Carrier Tote Bag for Travel, BYOB, Black")</f>
        <v/>
      </c>
      <c r="C531" t="inlineStr">
        <is>
          <t>1WMWB602BK</t>
        </is>
      </c>
      <c r="D531" t="inlineStr">
        <is>
          <t>Home Decor, Kitchen, &amp; Other</t>
        </is>
      </c>
      <c r="E531" t="inlineStr">
        <is>
          <t>Wine Totes, Bags &amp; Backpacks</t>
        </is>
      </c>
      <c r="F531" t="inlineStr">
        <is>
          <t>Flyingstar</t>
        </is>
      </c>
      <c r="G531" t="n">
        <v>0</v>
      </c>
      <c r="H531" t="n">
        <v>0</v>
      </c>
      <c r="I531" t="inlineStr">
        <is>
          <t>Wine,Christmas,Optimized,Valentine,SEM</t>
        </is>
      </c>
      <c r="J531" s="29" t="n">
        <v>37.98</v>
      </c>
      <c r="K531" s="30" t="n">
        <v>0.0003</v>
      </c>
      <c r="L531" s="29" t="n">
        <v>0</v>
      </c>
      <c r="M531" s="29" t="n">
        <v>0</v>
      </c>
      <c r="N531" s="2" t="n">
        <v>2</v>
      </c>
      <c r="O531" s="31" t="n">
        <v>0</v>
      </c>
      <c r="P531" s="32" t="n"/>
      <c r="Q531" s="32" t="n">
        <v>0</v>
      </c>
      <c r="R531" s="32" t="n">
        <v>0</v>
      </c>
      <c r="S531" s="31" t="n">
        <v>0</v>
      </c>
      <c r="T531" s="32" t="n">
        <v>0</v>
      </c>
      <c r="U531" s="31" t="n">
        <v>0</v>
      </c>
      <c r="V531" s="31" t="n">
        <v>0</v>
      </c>
      <c r="W531" s="3" t="n">
        <v>0</v>
      </c>
      <c r="X531" s="3" t="n">
        <v>0</v>
      </c>
      <c r="Y531" s="32" t="n">
        <v>0</v>
      </c>
      <c r="Z531" s="3" t="n">
        <v>0</v>
      </c>
      <c r="AA531" s="32" t="n">
        <v>0</v>
      </c>
      <c r="AB531" s="3" t="n"/>
      <c r="AC531" s="31" t="n">
        <v>0</v>
      </c>
      <c r="AD531" s="2" t="n">
        <v>0</v>
      </c>
      <c r="AE531" s="2" t="n">
        <v>24</v>
      </c>
      <c r="AF531" s="4" t="n">
        <v>24</v>
      </c>
      <c r="AG531" s="33" t="n">
        <v>37.98</v>
      </c>
      <c r="AH531" s="4" t="n">
        <v>2</v>
      </c>
      <c r="AI531" s="34" t="n">
        <v>0.0833</v>
      </c>
      <c r="AJ531" s="34" t="n">
        <v>1</v>
      </c>
      <c r="AK531" s="2" t="n">
        <v>6750</v>
      </c>
      <c r="AL531" t="inlineStr">
        <is>
          <t>Published</t>
        </is>
      </c>
    </row>
    <row r="532">
      <c r="A532">
        <f>HYPERLINK("https://www.walmart.com/ip/3444362894", "3444362894")</f>
        <v/>
      </c>
      <c r="B532">
        <f>HYPERLINK("https://app.optiwise.ai/catalog/itemdetails/4971378", "Solaris Women Ponytail Sun Hat for Hiking, Fishing and Gardening, Outdoor UV Protection Safari Hat for Women with Breathable Mesh and Ponytail Hole Opening, Tan")</f>
        <v/>
      </c>
      <c r="C532" t="inlineStr">
        <is>
          <t>1SLSH912TN</t>
        </is>
      </c>
      <c r="D532" t="inlineStr">
        <is>
          <t>Clothing</t>
        </is>
      </c>
      <c r="E532" t="inlineStr">
        <is>
          <t>Hats</t>
        </is>
      </c>
      <c r="F532" t="inlineStr">
        <is>
          <t>Solaris</t>
        </is>
      </c>
      <c r="G532" t="n">
        <v>5</v>
      </c>
      <c r="H532" t="n">
        <v>1</v>
      </c>
      <c r="I532" t="inlineStr">
        <is>
          <t>Q2-Target,Hats</t>
        </is>
      </c>
      <c r="J532" s="29" t="n">
        <v>37.97</v>
      </c>
      <c r="K532" s="30" t="n">
        <v>0.0003</v>
      </c>
      <c r="L532" s="29" t="n">
        <v>0</v>
      </c>
      <c r="M532" s="29" t="n">
        <v>0</v>
      </c>
      <c r="N532" s="2" t="n">
        <v>2</v>
      </c>
      <c r="O532" s="31" t="n">
        <v>0</v>
      </c>
      <c r="P532" s="32" t="n"/>
      <c r="Q532" s="32" t="n">
        <v>0</v>
      </c>
      <c r="R532" s="32" t="n">
        <v>0</v>
      </c>
      <c r="S532" s="31" t="n">
        <v>0</v>
      </c>
      <c r="T532" s="32" t="n">
        <v>0</v>
      </c>
      <c r="U532" s="31" t="n">
        <v>0</v>
      </c>
      <c r="V532" s="31" t="n">
        <v>0</v>
      </c>
      <c r="W532" s="3" t="n">
        <v>0</v>
      </c>
      <c r="X532" s="3" t="n">
        <v>0</v>
      </c>
      <c r="Y532" s="32" t="n">
        <v>0</v>
      </c>
      <c r="Z532" s="3" t="n">
        <v>0</v>
      </c>
      <c r="AA532" s="32" t="n">
        <v>0</v>
      </c>
      <c r="AB532" s="3" t="n"/>
      <c r="AC532" s="31" t="n">
        <v>0</v>
      </c>
      <c r="AD532" s="2" t="n">
        <v>0</v>
      </c>
      <c r="AE532" s="2" t="n">
        <v>43</v>
      </c>
      <c r="AF532" s="4" t="n">
        <v>43</v>
      </c>
      <c r="AG532" s="33" t="n">
        <v>37.97</v>
      </c>
      <c r="AH532" s="4" t="n">
        <v>2</v>
      </c>
      <c r="AI532" s="34" t="n">
        <v>0.0465</v>
      </c>
      <c r="AJ532" s="34" t="n">
        <v>1</v>
      </c>
      <c r="AK532" s="2" t="n">
        <v>6750</v>
      </c>
      <c r="AL532" t="inlineStr">
        <is>
          <t>Published</t>
        </is>
      </c>
    </row>
    <row r="533">
      <c r="A533">
        <f>HYPERLINK("https://www.walmart.com/ip/893127557", "893127557")</f>
        <v/>
      </c>
      <c r="B533">
        <f>HYPERLINK("https://app.optiwise.ai/catalog/itemdetails/360400", "Flyingstar Waterproof Outdoor Blanket with Sherpa Lining, Windproof Triple Layers Warm Comfy Foldable for Camping Stadium,Sports,Picnic,Grass,Concerts,Pet 59''X 80'',Red Plaid")</f>
        <v/>
      </c>
      <c r="C533" t="inlineStr">
        <is>
          <t>1WMBW608PRD</t>
        </is>
      </c>
      <c r="D533" t="inlineStr">
        <is>
          <t>Sport &amp; Recreation Other</t>
        </is>
      </c>
      <c r="E533" t="inlineStr">
        <is>
          <t>Picnic Blankets &amp; Mats</t>
        </is>
      </c>
      <c r="F533" t="inlineStr">
        <is>
          <t>Flyingstar</t>
        </is>
      </c>
      <c r="G533" t="n">
        <v>0</v>
      </c>
      <c r="H533" t="n">
        <v>0</v>
      </c>
      <c r="I533" t="inlineStr">
        <is>
          <t>Q2-Target,Batch 1 - TR</t>
        </is>
      </c>
      <c r="J533" s="29" t="n">
        <v>36.99</v>
      </c>
      <c r="K533" s="30" t="n">
        <v>0.0003</v>
      </c>
      <c r="L533" s="29" t="n">
        <v>0</v>
      </c>
      <c r="M533" s="29" t="n">
        <v>0</v>
      </c>
      <c r="N533" s="2" t="n">
        <v>1</v>
      </c>
      <c r="O533" s="31" t="n">
        <v>14.67</v>
      </c>
      <c r="P533" s="32" t="n">
        <v>0.0018</v>
      </c>
      <c r="Q533" s="32" t="n">
        <v>0.3966</v>
      </c>
      <c r="R533" s="32" t="n">
        <v>0.0016</v>
      </c>
      <c r="S533" s="31" t="n">
        <v>0</v>
      </c>
      <c r="T533" s="32" t="n">
        <v>0</v>
      </c>
      <c r="U533" s="31" t="n">
        <v>0</v>
      </c>
      <c r="V533" s="31" t="n">
        <v>0</v>
      </c>
      <c r="W533" s="3" t="n">
        <v>70608</v>
      </c>
      <c r="X533" s="3" t="n">
        <v>57</v>
      </c>
      <c r="Y533" s="32" t="n">
        <v>0.0008</v>
      </c>
      <c r="Z533" s="3" t="n">
        <v>0</v>
      </c>
      <c r="AA533" s="32" t="n">
        <v>0</v>
      </c>
      <c r="AB533" s="3" t="inlineStr">
        <is>
          <t>WFS Inventory</t>
        </is>
      </c>
      <c r="AC533" s="31" t="n">
        <v>0.26</v>
      </c>
      <c r="AD533" s="2" t="n">
        <v>0</v>
      </c>
      <c r="AE533" s="2" t="n">
        <v>56</v>
      </c>
      <c r="AF533" s="4" t="inlineStr">
        <is>
          <t>NA</t>
        </is>
      </c>
      <c r="AG533" s="33" t="n">
        <v>36.99</v>
      </c>
      <c r="AH533" s="4" t="n">
        <v>1</v>
      </c>
      <c r="AI533" s="34" t="inlineStr">
        <is>
          <t>NA</t>
        </is>
      </c>
      <c r="AJ533" s="34" t="n">
        <v>1</v>
      </c>
      <c r="AK533" s="2" t="n">
        <v>3105</v>
      </c>
      <c r="AL533" t="inlineStr">
        <is>
          <t>Published</t>
        </is>
      </c>
    </row>
    <row r="534">
      <c r="A534">
        <f>HYPERLINK("https://www.walmart.com/ip/671647846", "671647846")</f>
        <v/>
      </c>
      <c r="B534">
        <f>HYPERLINK("https://app.optiwise.ai/catalog/itemdetails/361338", "Sun Blocker Sun Hat for women, Canvas Reversible Bucket Hat, UV Sun Protection UPF 50+, Double Sided Outdoor Safari Travel Beach Golf Cap, Pink Flower")</f>
        <v/>
      </c>
      <c r="C534" t="inlineStr">
        <is>
          <t>KC-S9200FLW-PK</t>
        </is>
      </c>
      <c r="D534" t="inlineStr">
        <is>
          <t>Clothing</t>
        </is>
      </c>
      <c r="E534" t="inlineStr">
        <is>
          <t>Hats</t>
        </is>
      </c>
      <c r="F534" t="inlineStr">
        <is>
          <t>Sun Blocker</t>
        </is>
      </c>
      <c r="G534" t="n">
        <v>0</v>
      </c>
      <c r="H534" t="n">
        <v>0</v>
      </c>
      <c r="I534" t="inlineStr">
        <is>
          <t>Batch 1 - TR</t>
        </is>
      </c>
      <c r="J534" s="29" t="n">
        <v>36.96</v>
      </c>
      <c r="K534" s="30" t="n">
        <v>0.0003</v>
      </c>
      <c r="L534" s="29" t="n">
        <v>9.989999771118164</v>
      </c>
      <c r="M534" s="29" t="n">
        <v>0</v>
      </c>
      <c r="N534" s="2" t="n">
        <v>3</v>
      </c>
      <c r="O534" s="31" t="n">
        <v>17.38</v>
      </c>
      <c r="P534" s="32" t="n">
        <v>0.0021</v>
      </c>
      <c r="Q534" s="32" t="n">
        <v>0.4702</v>
      </c>
      <c r="R534" s="32" t="n">
        <v>0</v>
      </c>
      <c r="S534" s="31" t="n">
        <v>1.15</v>
      </c>
      <c r="T534" s="32" t="n">
        <v>0.87</v>
      </c>
      <c r="U534" s="31" t="n">
        <v>19.98</v>
      </c>
      <c r="V534" s="31" t="n">
        <v>19.98</v>
      </c>
      <c r="W534" s="3" t="n">
        <v>23934</v>
      </c>
      <c r="X534" s="3" t="n">
        <v>57</v>
      </c>
      <c r="Y534" s="32" t="n">
        <v>0.0024</v>
      </c>
      <c r="Z534" s="3" t="n">
        <v>2</v>
      </c>
      <c r="AA534" s="32" t="n">
        <v>0.0351</v>
      </c>
      <c r="AB534" s="3" t="inlineStr">
        <is>
          <t>Need to sell these SKUs by 15th Feb</t>
        </is>
      </c>
      <c r="AC534" s="31" t="n">
        <v>0.3</v>
      </c>
      <c r="AD534" s="2" t="n">
        <v>16</v>
      </c>
      <c r="AE534" s="2" t="n">
        <v>53</v>
      </c>
      <c r="AF534" s="4" t="inlineStr">
        <is>
          <t>NA</t>
        </is>
      </c>
      <c r="AG534" s="33" t="n">
        <v>16.98</v>
      </c>
      <c r="AH534" s="4" t="n">
        <v>1</v>
      </c>
      <c r="AI534" s="34" t="inlineStr">
        <is>
          <t>NA</t>
        </is>
      </c>
      <c r="AJ534" s="34" t="n">
        <v>0.4594</v>
      </c>
      <c r="AK534" s="2" t="n">
        <v>4545</v>
      </c>
      <c r="AL534" t="inlineStr">
        <is>
          <t>Published</t>
        </is>
      </c>
    </row>
    <row r="535">
      <c r="A535">
        <f>HYPERLINK("https://www.walmart.com/ip/436517515", "436517515")</f>
        <v/>
      </c>
      <c r="B535">
        <f>HYPERLINK("https://app.optiwise.ai/catalog/itemdetails/409183", "Catalonia Women’s Sherpa Hoodie Sweatshirt Dress, Casual Snuggle Wearable Blanket Pullover Sweater with Kangaroo Pocket, Warm and Soft, Gift for Her, Wine")</f>
        <v/>
      </c>
      <c r="C535" t="inlineStr">
        <is>
          <t>1CTHD532WN</t>
        </is>
      </c>
      <c r="D535" t="inlineStr">
        <is>
          <t>Clothing</t>
        </is>
      </c>
      <c r="E535" t="inlineStr">
        <is>
          <t>Sweatshirts &amp; Hoodies</t>
        </is>
      </c>
      <c r="F535" t="inlineStr">
        <is>
          <t>Catalonia</t>
        </is>
      </c>
      <c r="G535" t="n">
        <v>0</v>
      </c>
      <c r="H535" t="n">
        <v>0</v>
      </c>
      <c r="I535" t="inlineStr">
        <is>
          <t>Hoodie ForAdult,Optimized</t>
        </is>
      </c>
      <c r="J535" s="29" t="n">
        <v>35.99</v>
      </c>
      <c r="K535" s="30" t="n">
        <v>0.0003</v>
      </c>
      <c r="L535" s="29" t="n">
        <v>0</v>
      </c>
      <c r="M535" s="29" t="n">
        <v>0</v>
      </c>
      <c r="N535" s="2" t="n">
        <v>1</v>
      </c>
      <c r="O535" s="31" t="n">
        <v>11.32</v>
      </c>
      <c r="P535" s="32" t="n">
        <v>0.0014</v>
      </c>
      <c r="Q535" s="32" t="n">
        <v>0.3145</v>
      </c>
      <c r="R535" s="32" t="n">
        <v>0</v>
      </c>
      <c r="S535" s="31" t="n">
        <v>0</v>
      </c>
      <c r="T535" s="32" t="n">
        <v>0</v>
      </c>
      <c r="U535" s="31" t="n">
        <v>0</v>
      </c>
      <c r="V535" s="31" t="n">
        <v>0</v>
      </c>
      <c r="W535" s="3" t="n">
        <v>9403</v>
      </c>
      <c r="X535" s="3" t="n">
        <v>28</v>
      </c>
      <c r="Y535" s="32" t="n">
        <v>0.003</v>
      </c>
      <c r="Z535" s="3" t="n">
        <v>0</v>
      </c>
      <c r="AA535" s="32" t="n">
        <v>0</v>
      </c>
      <c r="AB535" s="3" t="inlineStr">
        <is>
          <t>High AUR SKUs_Optiwise_2024</t>
        </is>
      </c>
      <c r="AC535" s="31" t="n">
        <v>0.4</v>
      </c>
      <c r="AD535" s="2" t="n">
        <v>14</v>
      </c>
      <c r="AE535" s="2" t="n">
        <v>48</v>
      </c>
      <c r="AF535" s="4" t="n">
        <v>20</v>
      </c>
      <c r="AG535" s="33" t="n">
        <v>35.99</v>
      </c>
      <c r="AH535" s="4" t="n">
        <v>1</v>
      </c>
      <c r="AI535" s="34" t="n">
        <v>0.05</v>
      </c>
      <c r="AJ535" s="34" t="n">
        <v>1</v>
      </c>
      <c r="AK535" s="2" t="n">
        <v>675</v>
      </c>
      <c r="AL535" t="inlineStr">
        <is>
          <t>Published</t>
        </is>
      </c>
    </row>
    <row r="536">
      <c r="A536">
        <f>HYPERLINK("https://www.walmart.com/ip/697188346", "697188346")</f>
        <v/>
      </c>
      <c r="B536">
        <f>HYPERLINK("https://app.optiwise.ai/catalog/itemdetails/362399", "Microplush Sherpa Blanket with Sleeves for Women and Men")</f>
        <v/>
      </c>
      <c r="C536" t="inlineStr">
        <is>
          <t>1TRSN410GY</t>
        </is>
      </c>
      <c r="D536" t="inlineStr">
        <is>
          <t>Bedding</t>
        </is>
      </c>
      <c r="E536" t="inlineStr">
        <is>
          <t>Throws</t>
        </is>
      </c>
      <c r="F536" t="inlineStr">
        <is>
          <t>Tirrinia</t>
        </is>
      </c>
      <c r="G536" t="n">
        <v>0</v>
      </c>
      <c r="H536" t="n">
        <v>0</v>
      </c>
      <c r="I536" t="inlineStr">
        <is>
          <t>WFS,WFS Item</t>
        </is>
      </c>
      <c r="J536" s="29" t="n">
        <v>35.99</v>
      </c>
      <c r="K536" s="30" t="n">
        <v>0.0003</v>
      </c>
      <c r="L536" s="29" t="n">
        <v>0</v>
      </c>
      <c r="M536" s="29" t="n">
        <v>0</v>
      </c>
      <c r="N536" s="2" t="n">
        <v>1</v>
      </c>
      <c r="O536" s="31" t="n">
        <v>8.960000000000001</v>
      </c>
      <c r="P536" s="32" t="n">
        <v>0.0011</v>
      </c>
      <c r="Q536" s="32" t="n">
        <v>0.249</v>
      </c>
      <c r="R536" s="32" t="n">
        <v>0.0237</v>
      </c>
      <c r="S536" s="31" t="n">
        <v>5.91</v>
      </c>
      <c r="T536" s="32" t="n">
        <v>0.17</v>
      </c>
      <c r="U536" s="31" t="n">
        <v>52.98</v>
      </c>
      <c r="V536" s="31" t="n">
        <v>35.99</v>
      </c>
      <c r="W536" s="3" t="n">
        <v>9513</v>
      </c>
      <c r="X536" s="3" t="n">
        <v>19</v>
      </c>
      <c r="Y536" s="32" t="n">
        <v>0.002</v>
      </c>
      <c r="Z536" s="3" t="n">
        <v>2</v>
      </c>
      <c r="AA536" s="32" t="n">
        <v>0.1053</v>
      </c>
      <c r="AB536" s="3" t="inlineStr">
        <is>
          <t>WFS Inventory</t>
        </is>
      </c>
      <c r="AC536" s="31" t="n">
        <v>0.47</v>
      </c>
      <c r="AD536" s="2" t="n">
        <v>5</v>
      </c>
      <c r="AE536" s="2" t="n">
        <v>48</v>
      </c>
      <c r="AF536" s="4" t="n">
        <v>29</v>
      </c>
      <c r="AG536" s="33" t="n">
        <v>-16.99</v>
      </c>
      <c r="AH536" s="4" t="n">
        <v>-1</v>
      </c>
      <c r="AI536" s="34" t="n">
        <v>-0.0345</v>
      </c>
      <c r="AJ536" s="34" t="n">
        <v>-0.4721</v>
      </c>
      <c r="AK536" s="2" t="n">
        <v>7425</v>
      </c>
      <c r="AL536" t="inlineStr">
        <is>
          <t>Published</t>
        </is>
      </c>
    </row>
    <row r="537">
      <c r="A537">
        <f>HYPERLINK("https://www.walmart.com/ip/321375372", "321375372")</f>
        <v/>
      </c>
      <c r="B537">
        <f>HYPERLINK("https://app.optiwise.ai/catalog/itemdetails/362105", "Hooded Blanket Poncho | Wearable Blanket Wrap with Hand Pockets | Comfy Sherpa Fleece Throw Cape for Children and Adults, Women Gift")</f>
        <v/>
      </c>
      <c r="C537" t="inlineStr">
        <is>
          <t>1CTBC100NY</t>
        </is>
      </c>
      <c r="D537" t="inlineStr">
        <is>
          <t>Bedding</t>
        </is>
      </c>
      <c r="E537" t="inlineStr">
        <is>
          <t>Throws</t>
        </is>
      </c>
      <c r="F537" t="inlineStr">
        <is>
          <t>Catalonia</t>
        </is>
      </c>
      <c r="G537" t="n">
        <v>4.7</v>
      </c>
      <c r="H537" t="n">
        <v>0</v>
      </c>
      <c r="I537" t="inlineStr">
        <is>
          <t>WFS,WFS Item</t>
        </is>
      </c>
      <c r="J537" s="29" t="n">
        <v>35.99</v>
      </c>
      <c r="K537" s="30" t="n">
        <v>0.0003</v>
      </c>
      <c r="L537" s="29" t="n">
        <v>0</v>
      </c>
      <c r="M537" s="29" t="n">
        <v>0</v>
      </c>
      <c r="N537" s="2" t="n">
        <v>1</v>
      </c>
      <c r="O537" s="31" t="n">
        <v>0</v>
      </c>
      <c r="P537" s="32" t="n"/>
      <c r="Q537" s="32" t="n">
        <v>0</v>
      </c>
      <c r="R537" s="32" t="n">
        <v>1.0119</v>
      </c>
      <c r="S537" s="31" t="n">
        <v>0</v>
      </c>
      <c r="T537" s="32" t="n">
        <v>0</v>
      </c>
      <c r="U537" s="31" t="n">
        <v>0</v>
      </c>
      <c r="V537" s="31" t="n">
        <v>0</v>
      </c>
      <c r="W537" s="3" t="n">
        <v>1</v>
      </c>
      <c r="X537" s="3" t="n">
        <v>0</v>
      </c>
      <c r="Y537" s="32" t="n">
        <v>0</v>
      </c>
      <c r="Z537" s="3" t="n">
        <v>0</v>
      </c>
      <c r="AA537" s="32" t="n">
        <v>0</v>
      </c>
      <c r="AB537" s="3" t="inlineStr">
        <is>
          <t>Throws_Auto_Optiwise_24</t>
        </is>
      </c>
      <c r="AC537" s="31" t="n">
        <v>0</v>
      </c>
      <c r="AD537" s="2" t="n">
        <v>19</v>
      </c>
      <c r="AE537" s="2" t="n">
        <v>67</v>
      </c>
      <c r="AF537" s="4" t="n">
        <v>67</v>
      </c>
      <c r="AG537" s="33" t="n">
        <v>35.99</v>
      </c>
      <c r="AH537" s="4" t="n">
        <v>1</v>
      </c>
      <c r="AI537" s="34" t="n">
        <v>0.0149</v>
      </c>
      <c r="AJ537" s="34" t="n">
        <v>1</v>
      </c>
      <c r="AK537" s="2" t="n">
        <v>14040</v>
      </c>
      <c r="AL537" t="inlineStr">
        <is>
          <t>Published</t>
        </is>
      </c>
    </row>
    <row r="538">
      <c r="A538">
        <f>HYPERLINK("https://www.walmart.com/ip/451336189", "451336189")</f>
        <v/>
      </c>
      <c r="B538">
        <f>HYPERLINK("https://app.optiwise.ai/catalog/itemdetails/362178", "Catalonia Mermaid Tail Blanket, Adult Mermaid Blanket with Anti-Slip Neck Strap, Silky Hand Knitted Sleeping Blanket for Adults All Season Sleeping Bag Multi-Colors 66.5x22.5 Grey")</f>
        <v/>
      </c>
      <c r="C538" t="inlineStr">
        <is>
          <t>1CTMM100GY</t>
        </is>
      </c>
      <c r="D538" t="inlineStr">
        <is>
          <t>Bedding</t>
        </is>
      </c>
      <c r="E538" t="inlineStr">
        <is>
          <t>Throws</t>
        </is>
      </c>
      <c r="F538" t="inlineStr">
        <is>
          <t>Catalonia</t>
        </is>
      </c>
      <c r="G538" t="n">
        <v>5</v>
      </c>
      <c r="H538" t="n">
        <v>1</v>
      </c>
      <c r="I538" t="inlineStr">
        <is>
          <t>Optimized</t>
        </is>
      </c>
      <c r="J538" s="29" t="n">
        <v>35.98</v>
      </c>
      <c r="K538" s="30" t="n">
        <v>0.0003</v>
      </c>
      <c r="L538" s="29" t="n">
        <v>0</v>
      </c>
      <c r="M538" s="29" t="n">
        <v>0</v>
      </c>
      <c r="N538" s="2" t="n">
        <v>2</v>
      </c>
      <c r="O538" s="31" t="n">
        <v>0</v>
      </c>
      <c r="P538" s="32" t="n"/>
      <c r="Q538" s="32" t="n">
        <v>0</v>
      </c>
      <c r="R538" s="32" t="n">
        <v>0</v>
      </c>
      <c r="S538" s="31" t="n">
        <v>0</v>
      </c>
      <c r="T538" s="32" t="n">
        <v>0</v>
      </c>
      <c r="U538" s="31" t="n">
        <v>0</v>
      </c>
      <c r="V538" s="31" t="n">
        <v>0</v>
      </c>
      <c r="W538" s="3" t="n">
        <v>0</v>
      </c>
      <c r="X538" s="3" t="n">
        <v>0</v>
      </c>
      <c r="Y538" s="32" t="n">
        <v>0</v>
      </c>
      <c r="Z538" s="3" t="n">
        <v>0</v>
      </c>
      <c r="AA538" s="32" t="n">
        <v>0</v>
      </c>
      <c r="AB538" s="3" t="n"/>
      <c r="AC538" s="31" t="n">
        <v>0</v>
      </c>
      <c r="AD538" s="2" t="n">
        <v>0</v>
      </c>
      <c r="AE538" s="2" t="n">
        <v>28</v>
      </c>
      <c r="AF538" s="4" t="n">
        <v>28</v>
      </c>
      <c r="AG538" s="33" t="n">
        <v>35.98</v>
      </c>
      <c r="AH538" s="4" t="n">
        <v>2</v>
      </c>
      <c r="AI538" s="34" t="n">
        <v>0.07140000000000001</v>
      </c>
      <c r="AJ538" s="34" t="n">
        <v>1</v>
      </c>
      <c r="AK538" s="2" t="n">
        <v>4725</v>
      </c>
      <c r="AL538" t="inlineStr">
        <is>
          <t>Published</t>
        </is>
      </c>
    </row>
    <row r="539">
      <c r="A539">
        <f>HYPERLINK("https://www.walmart.com/ip/2836368661", "2836368661")</f>
        <v/>
      </c>
      <c r="B539">
        <f>HYPERLINK("https://app.optiwise.ai/catalog/itemdetails/6046569", "Tirrinia Sun Hat with Adjustable Drawstring for Women, Large Wide Brim Hat for Outdoor Fishing Hiking Hunting Boating Desert Hawaiian, Green")</f>
        <v/>
      </c>
      <c r="C539" t="inlineStr">
        <is>
          <t>1TRSH911GN-TBCB</t>
        </is>
      </c>
      <c r="D539" t="inlineStr">
        <is>
          <t>Clothing</t>
        </is>
      </c>
      <c r="E539" t="inlineStr">
        <is>
          <t>Hats</t>
        </is>
      </c>
      <c r="F539" t="inlineStr">
        <is>
          <t>Tirrinia</t>
        </is>
      </c>
      <c r="G539" t="n">
        <v>0</v>
      </c>
      <c r="H539" t="n">
        <v>0</v>
      </c>
      <c r="I539" t="inlineStr">
        <is>
          <t>Hats</t>
        </is>
      </c>
      <c r="J539" s="29" t="n">
        <v>35.98</v>
      </c>
      <c r="K539" s="30" t="n">
        <v>0.0003</v>
      </c>
      <c r="L539" s="29" t="n">
        <v>0</v>
      </c>
      <c r="M539" s="29" t="n">
        <v>0</v>
      </c>
      <c r="N539" s="2" t="n">
        <v>2</v>
      </c>
      <c r="O539" s="31" t="n">
        <v>0</v>
      </c>
      <c r="P539" s="32" t="n"/>
      <c r="Q539" s="32" t="n">
        <v>0</v>
      </c>
      <c r="R539" s="32" t="n">
        <v>0</v>
      </c>
      <c r="S539" s="31" t="n">
        <v>0</v>
      </c>
      <c r="T539" s="32" t="n">
        <v>0</v>
      </c>
      <c r="U539" s="31" t="n">
        <v>0</v>
      </c>
      <c r="V539" s="31" t="n">
        <v>0</v>
      </c>
      <c r="W539" s="3" t="n">
        <v>0</v>
      </c>
      <c r="X539" s="3" t="n">
        <v>0</v>
      </c>
      <c r="Y539" s="32" t="n">
        <v>0</v>
      </c>
      <c r="Z539" s="3" t="n">
        <v>0</v>
      </c>
      <c r="AA539" s="32" t="n">
        <v>0</v>
      </c>
      <c r="AB539" s="3" t="n"/>
      <c r="AC539" s="31" t="n">
        <v>0</v>
      </c>
      <c r="AD539" s="2" t="n">
        <v>0</v>
      </c>
      <c r="AE539" s="2" t="n">
        <v>22</v>
      </c>
      <c r="AF539" s="4" t="n">
        <v>22</v>
      </c>
      <c r="AG539" s="33" t="n">
        <v>35.98</v>
      </c>
      <c r="AH539" s="4" t="n">
        <v>2</v>
      </c>
      <c r="AI539" s="34" t="n">
        <v>0.09089999999999999</v>
      </c>
      <c r="AJ539" s="34" t="n">
        <v>1</v>
      </c>
      <c r="AK539" s="2" t="n">
        <v>0</v>
      </c>
      <c r="AL539" t="inlineStr">
        <is>
          <t>Published</t>
        </is>
      </c>
    </row>
    <row r="540">
      <c r="A540">
        <f>HYPERLINK("https://www.walmart.com/ip/230608270", "230608270")</f>
        <v/>
      </c>
      <c r="B540">
        <f>HYPERLINK("https://app.optiwise.ai/catalog/itemdetails/360723", "Catalonia Mermaid Tail Blanket, Adult Mermaid Blanket with Anti-Slip Neck Strap, Silky Hand Knitted Sleeping Blanket for Adults All Season Sleeping Bag Multi-Colors 66.5x22.5 Purple")</f>
        <v/>
      </c>
      <c r="C540" t="inlineStr">
        <is>
          <t>1CTMM100PP</t>
        </is>
      </c>
      <c r="D540" t="inlineStr">
        <is>
          <t>Bedding</t>
        </is>
      </c>
      <c r="E540" t="inlineStr">
        <is>
          <t>Throws</t>
        </is>
      </c>
      <c r="F540" t="inlineStr">
        <is>
          <t>Catalonia</t>
        </is>
      </c>
      <c r="G540" t="n">
        <v>5</v>
      </c>
      <c r="H540" t="n">
        <v>1</v>
      </c>
      <c r="I540" t="inlineStr">
        <is>
          <t>Optimized</t>
        </is>
      </c>
      <c r="J540" s="29" t="n">
        <v>35.98</v>
      </c>
      <c r="K540" s="30" t="n">
        <v>0.0003</v>
      </c>
      <c r="L540" s="29" t="n">
        <v>0</v>
      </c>
      <c r="M540" s="29" t="n">
        <v>0</v>
      </c>
      <c r="N540" s="2" t="n">
        <v>2</v>
      </c>
      <c r="O540" s="31" t="n">
        <v>0</v>
      </c>
      <c r="P540" s="32" t="n"/>
      <c r="Q540" s="32" t="n">
        <v>0</v>
      </c>
      <c r="R540" s="32" t="n">
        <v>0</v>
      </c>
      <c r="S540" s="31" t="n">
        <v>0</v>
      </c>
      <c r="T540" s="32" t="n">
        <v>0</v>
      </c>
      <c r="U540" s="31" t="n">
        <v>0</v>
      </c>
      <c r="V540" s="31" t="n">
        <v>0</v>
      </c>
      <c r="W540" s="3" t="n">
        <v>0</v>
      </c>
      <c r="X540" s="3" t="n">
        <v>0</v>
      </c>
      <c r="Y540" s="32" t="n">
        <v>0</v>
      </c>
      <c r="Z540" s="3" t="n">
        <v>0</v>
      </c>
      <c r="AA540" s="32" t="n">
        <v>0</v>
      </c>
      <c r="AB540" s="3" t="n"/>
      <c r="AC540" s="31" t="n">
        <v>0</v>
      </c>
      <c r="AD540" s="2" t="n">
        <v>0</v>
      </c>
      <c r="AE540" s="2" t="n">
        <v>25</v>
      </c>
      <c r="AF540" s="4" t="n">
        <v>25</v>
      </c>
      <c r="AG540" s="33" t="n">
        <v>35.98</v>
      </c>
      <c r="AH540" s="4" t="n">
        <v>2</v>
      </c>
      <c r="AI540" s="34" t="n">
        <v>0.08</v>
      </c>
      <c r="AJ540" s="34" t="n">
        <v>1</v>
      </c>
      <c r="AK540" s="2" t="n">
        <v>270</v>
      </c>
      <c r="AL540" t="inlineStr">
        <is>
          <t>Published</t>
        </is>
      </c>
    </row>
    <row r="541">
      <c r="A541">
        <f>HYPERLINK("https://www.walmart.com/ip/549985566", "549985566")</f>
        <v/>
      </c>
      <c r="B541">
        <f>HYPERLINK("https://app.optiwise.ai/catalog/itemdetails/361122", "Sherpa Slipper Socks for Women,Winter Indoor Home Non Skid Booties")</f>
        <v/>
      </c>
      <c r="C541" t="inlineStr">
        <is>
          <t>1CTST200WN-2</t>
        </is>
      </c>
      <c r="D541" t="inlineStr">
        <is>
          <t>Clothing</t>
        </is>
      </c>
      <c r="E541" t="inlineStr">
        <is>
          <t>Socks</t>
        </is>
      </c>
      <c r="F541" t="inlineStr">
        <is>
          <t>Catalonia</t>
        </is>
      </c>
      <c r="G541" t="n">
        <v>0</v>
      </c>
      <c r="H541" t="n">
        <v>0</v>
      </c>
      <c r="I541" t="inlineStr">
        <is>
          <t>WFS,WFS Item</t>
        </is>
      </c>
      <c r="J541" s="29" t="n">
        <v>35.97</v>
      </c>
      <c r="K541" s="30" t="n">
        <v>0.0003</v>
      </c>
      <c r="L541" s="29" t="n">
        <v>0</v>
      </c>
      <c r="M541" s="29" t="n">
        <v>0</v>
      </c>
      <c r="N541" s="2" t="n">
        <v>3</v>
      </c>
      <c r="O541" s="31" t="n">
        <v>0</v>
      </c>
      <c r="P541" s="32" t="n"/>
      <c r="Q541" s="32" t="n">
        <v>0</v>
      </c>
      <c r="R541" s="32" t="n">
        <v>0</v>
      </c>
      <c r="S541" s="31" t="n">
        <v>0</v>
      </c>
      <c r="T541" s="32" t="n">
        <v>0</v>
      </c>
      <c r="U541" s="31" t="n">
        <v>0</v>
      </c>
      <c r="V541" s="31" t="n">
        <v>0</v>
      </c>
      <c r="W541" s="3" t="n">
        <v>0</v>
      </c>
      <c r="X541" s="3" t="n">
        <v>0</v>
      </c>
      <c r="Y541" s="32" t="n">
        <v>0</v>
      </c>
      <c r="Z541" s="3" t="n">
        <v>0</v>
      </c>
      <c r="AA541" s="32" t="n">
        <v>0</v>
      </c>
      <c r="AB541" s="3" t="n"/>
      <c r="AC541" s="31" t="n">
        <v>0</v>
      </c>
      <c r="AD541" s="2" t="n">
        <v>0</v>
      </c>
      <c r="AE541" s="2" t="n">
        <v>8</v>
      </c>
      <c r="AF541" s="4" t="n">
        <v>8</v>
      </c>
      <c r="AG541" s="33" t="n">
        <v>35.97</v>
      </c>
      <c r="AH541" s="4" t="n">
        <v>3</v>
      </c>
      <c r="AI541" s="34" t="n">
        <v>0.375</v>
      </c>
      <c r="AJ541" s="34" t="n">
        <v>1</v>
      </c>
      <c r="AK541" s="2" t="n">
        <v>4500</v>
      </c>
      <c r="AL541" t="inlineStr">
        <is>
          <t>Published</t>
        </is>
      </c>
    </row>
    <row r="542">
      <c r="A542">
        <f>HYPERLINK("https://www.walmart.com/ip/530367477", "530367477")</f>
        <v/>
      </c>
      <c r="B542">
        <f>HYPERLINK("https://app.optiwise.ai/catalog/itemdetails/361254", "Tirrinia Adult Insulated Lunch Bag with Front Pocket, Grey Green, 14'' x 7'' x 9.5'', 10.8 L")</f>
        <v/>
      </c>
      <c r="C542" t="inlineStr">
        <is>
          <t>1TRLB705GYNG</t>
        </is>
      </c>
      <c r="D542" t="inlineStr">
        <is>
          <t>Home Decor, Kitchen, &amp; Other</t>
        </is>
      </c>
      <c r="E542" t="inlineStr">
        <is>
          <t>Reusable Lunch Bags &amp; Boxes</t>
        </is>
      </c>
      <c r="F542" t="inlineStr">
        <is>
          <t>Tirrinia</t>
        </is>
      </c>
      <c r="G542" t="n">
        <v>4.7</v>
      </c>
      <c r="H542" t="n">
        <v>26</v>
      </c>
      <c r="I542" t="inlineStr">
        <is>
          <t>Q2-Target,Brand Camp VD,Lunch Bag,WFS,Lunch Bags,WFS Item</t>
        </is>
      </c>
      <c r="J542" s="29" t="n">
        <v>35.97</v>
      </c>
      <c r="K542" s="30" t="n">
        <v>0.0003</v>
      </c>
      <c r="L542" s="29" t="n">
        <v>0</v>
      </c>
      <c r="M542" s="29" t="n">
        <v>0</v>
      </c>
      <c r="N542" s="2" t="n">
        <v>3</v>
      </c>
      <c r="O542" s="31" t="n">
        <v>0</v>
      </c>
      <c r="P542" s="32" t="n"/>
      <c r="Q542" s="32" t="n">
        <v>0</v>
      </c>
      <c r="R542" s="32" t="n">
        <v>0.1166</v>
      </c>
      <c r="S542" s="31" t="n">
        <v>0</v>
      </c>
      <c r="T542" s="32" t="n">
        <v>0</v>
      </c>
      <c r="U542" s="31" t="n">
        <v>0</v>
      </c>
      <c r="V542" s="31" t="n">
        <v>0</v>
      </c>
      <c r="W542" s="3" t="n">
        <v>0</v>
      </c>
      <c r="X542" s="3" t="n">
        <v>0</v>
      </c>
      <c r="Y542" s="32" t="n">
        <v>0</v>
      </c>
      <c r="Z542" s="3" t="n">
        <v>0</v>
      </c>
      <c r="AA542" s="32" t="n">
        <v>0</v>
      </c>
      <c r="AB542" s="3" t="n"/>
      <c r="AC542" s="31" t="n">
        <v>0</v>
      </c>
      <c r="AD542" s="2" t="n">
        <v>50</v>
      </c>
      <c r="AE542" s="2" t="n">
        <v>398</v>
      </c>
      <c r="AF542" s="4" t="n">
        <v>398</v>
      </c>
      <c r="AG542" s="33" t="n">
        <v>35.97</v>
      </c>
      <c r="AH542" s="4" t="n">
        <v>3</v>
      </c>
      <c r="AI542" s="34" t="n">
        <v>0.0075</v>
      </c>
      <c r="AJ542" s="34" t="n">
        <v>1</v>
      </c>
      <c r="AK542" s="2" t="n">
        <v>4500</v>
      </c>
      <c r="AL542" t="inlineStr">
        <is>
          <t>Published</t>
        </is>
      </c>
    </row>
    <row r="543">
      <c r="A543">
        <f>HYPERLINK("https://www.walmart.com/ip/244664864", "244664864")</f>
        <v/>
      </c>
      <c r="B543">
        <f>HYPERLINK("https://app.optiwise.ai/catalog/itemdetails/409174", "Tirrinia Insulated Lunch Bag for Women Men, Leakproof Thermal Reusable Lunch Box Tote for Adult &amp; Kids by Tirrinia, Lunch Cooler for Office Work, Teal")</f>
        <v/>
      </c>
      <c r="C543" t="inlineStr">
        <is>
          <t>1TRLB701P1TL</t>
        </is>
      </c>
      <c r="D543" t="inlineStr">
        <is>
          <t>Home Decor, Kitchen, &amp; Other</t>
        </is>
      </c>
      <c r="E543" t="inlineStr">
        <is>
          <t>Reusable Lunch Bags &amp; Boxes</t>
        </is>
      </c>
      <c r="F543" t="inlineStr">
        <is>
          <t>Tirrinia</t>
        </is>
      </c>
      <c r="G543" t="n">
        <v>0</v>
      </c>
      <c r="H543" t="n">
        <v>0</v>
      </c>
      <c r="I543" t="inlineStr">
        <is>
          <t>Q2-Target,Brand Camp VD,Lunch Bag,Optimized,SEM</t>
        </is>
      </c>
      <c r="J543" s="29" t="n">
        <v>35.97</v>
      </c>
      <c r="K543" s="30" t="n">
        <v>0.0003</v>
      </c>
      <c r="L543" s="29" t="n">
        <v>0</v>
      </c>
      <c r="M543" s="29" t="n">
        <v>0</v>
      </c>
      <c r="N543" s="2" t="n">
        <v>2</v>
      </c>
      <c r="O543" s="31" t="n">
        <v>0</v>
      </c>
      <c r="P543" s="32" t="n"/>
      <c r="Q543" s="32" t="n">
        <v>0</v>
      </c>
      <c r="R543" s="32" t="n">
        <v>0.045</v>
      </c>
      <c r="S543" s="31" t="n">
        <v>0</v>
      </c>
      <c r="T543" s="32" t="n">
        <v>0</v>
      </c>
      <c r="U543" s="31" t="n">
        <v>0</v>
      </c>
      <c r="V543" s="31" t="n">
        <v>0</v>
      </c>
      <c r="W543" s="3" t="n">
        <v>0</v>
      </c>
      <c r="X543" s="3" t="n">
        <v>0</v>
      </c>
      <c r="Y543" s="32" t="n">
        <v>0</v>
      </c>
      <c r="Z543" s="3" t="n">
        <v>0</v>
      </c>
      <c r="AA543" s="32" t="n">
        <v>0</v>
      </c>
      <c r="AB543" s="3" t="n"/>
      <c r="AC543" s="31" t="n">
        <v>0</v>
      </c>
      <c r="AD543" s="2" t="n">
        <v>0</v>
      </c>
      <c r="AE543" s="2" t="n">
        <v>40</v>
      </c>
      <c r="AF543" s="4" t="n">
        <v>40</v>
      </c>
      <c r="AG543" s="33" t="n">
        <v>35.97</v>
      </c>
      <c r="AH543" s="4" t="n">
        <v>2</v>
      </c>
      <c r="AI543" s="34" t="n">
        <v>0.05</v>
      </c>
      <c r="AJ543" s="34" t="n">
        <v>1</v>
      </c>
      <c r="AK543" s="2" t="n">
        <v>6750</v>
      </c>
      <c r="AL543" t="inlineStr">
        <is>
          <t>Published</t>
        </is>
      </c>
    </row>
    <row r="544">
      <c r="A544">
        <f>HYPERLINK("https://www.walmart.com/ip/583345529", "583345529")</f>
        <v/>
      </c>
      <c r="B544">
        <f>HYPERLINK("https://app.optiwise.ai/catalog/itemdetails/361432", "Sherpa Slipper Socks for Women,Winter Indoor Home Non Skid Booties")</f>
        <v/>
      </c>
      <c r="C544" t="inlineStr">
        <is>
          <t>1CTST200GY-2</t>
        </is>
      </c>
      <c r="D544" t="inlineStr">
        <is>
          <t>Clothing</t>
        </is>
      </c>
      <c r="E544" t="inlineStr">
        <is>
          <t>Socks</t>
        </is>
      </c>
      <c r="F544" t="inlineStr">
        <is>
          <t>Catalonia</t>
        </is>
      </c>
      <c r="G544" t="n">
        <v>0</v>
      </c>
      <c r="H544" t="n">
        <v>0</v>
      </c>
      <c r="I544" t="inlineStr">
        <is>
          <t>WFS</t>
        </is>
      </c>
      <c r="J544" s="29" t="n">
        <v>35.94</v>
      </c>
      <c r="K544" s="30" t="n">
        <v>0.0003</v>
      </c>
      <c r="L544" s="29" t="n">
        <v>0</v>
      </c>
      <c r="M544" s="29" t="n">
        <v>0</v>
      </c>
      <c r="N544" s="2" t="n">
        <v>3</v>
      </c>
      <c r="O544" s="31" t="n">
        <v>0</v>
      </c>
      <c r="P544" s="32" t="n"/>
      <c r="Q544" s="32" t="n">
        <v>0</v>
      </c>
      <c r="R544" s="32" t="n">
        <v>0</v>
      </c>
      <c r="S544" s="31" t="n">
        <v>0</v>
      </c>
      <c r="T544" s="32" t="n">
        <v>0</v>
      </c>
      <c r="U544" s="31" t="n">
        <v>0</v>
      </c>
      <c r="V544" s="31" t="n">
        <v>0</v>
      </c>
      <c r="W544" s="3" t="n">
        <v>0</v>
      </c>
      <c r="X544" s="3" t="n">
        <v>0</v>
      </c>
      <c r="Y544" s="32" t="n">
        <v>0</v>
      </c>
      <c r="Z544" s="3" t="n">
        <v>0</v>
      </c>
      <c r="AA544" s="32" t="n">
        <v>0</v>
      </c>
      <c r="AB544" s="3" t="n"/>
      <c r="AC544" s="31" t="n">
        <v>0</v>
      </c>
      <c r="AD544" s="2" t="n">
        <v>0</v>
      </c>
      <c r="AE544" s="2" t="n">
        <v>7</v>
      </c>
      <c r="AF544" s="4" t="n">
        <v>7</v>
      </c>
      <c r="AG544" s="33" t="n">
        <v>35.94</v>
      </c>
      <c r="AH544" s="4" t="n">
        <v>3</v>
      </c>
      <c r="AI544" s="34" t="n">
        <v>0.4286</v>
      </c>
      <c r="AJ544" s="34" t="n">
        <v>1</v>
      </c>
      <c r="AK544" s="2" t="n">
        <v>4500</v>
      </c>
      <c r="AL544" t="inlineStr">
        <is>
          <t>Published</t>
        </is>
      </c>
    </row>
    <row r="545">
      <c r="A545">
        <f>HYPERLINK("https://www.walmart.com/ip/9510258645", "9510258645")</f>
        <v/>
      </c>
      <c r="B545">
        <f>HYPERLINK("https://app.optiwise.ai/catalog/itemdetails/9941245", "Wrangler Yellowstone Sturdy Laptop Backpack for Travel, Hiking Backpack with Classic Logo, Water Resistant Casual Daypack, Padded Sleeve College Backpack for Notebook, Dark Brown Cord")</f>
        <v/>
      </c>
      <c r="C545" t="inlineStr">
        <is>
          <t>WR-BACKPACK-16273-BROWN</t>
        </is>
      </c>
      <c r="D545" t="inlineStr">
        <is>
          <t>Cases &amp; Bags</t>
        </is>
      </c>
      <c r="E545" t="inlineStr">
        <is>
          <t>Backpacks</t>
        </is>
      </c>
      <c r="F545" t="inlineStr">
        <is>
          <t>Wrangler</t>
        </is>
      </c>
      <c r="G545" t="n">
        <v>0</v>
      </c>
      <c r="H545" t="n">
        <v>0</v>
      </c>
      <c r="I545" t="inlineStr">
        <is>
          <t>Backpack</t>
        </is>
      </c>
      <c r="J545" s="29" t="n">
        <v>34.99</v>
      </c>
      <c r="K545" s="30" t="n">
        <v>0.0003</v>
      </c>
      <c r="L545" s="29" t="n">
        <v>0</v>
      </c>
      <c r="M545" s="29" t="n">
        <v>0</v>
      </c>
      <c r="N545" s="2" t="n">
        <v>1</v>
      </c>
      <c r="O545" s="31" t="n">
        <v>0</v>
      </c>
      <c r="P545" s="32" t="n"/>
      <c r="Q545" s="32" t="n">
        <v>0</v>
      </c>
      <c r="R545" s="32" t="n">
        <v>0</v>
      </c>
      <c r="S545" s="31" t="n">
        <v>0</v>
      </c>
      <c r="T545" s="32" t="n">
        <v>0</v>
      </c>
      <c r="U545" s="31" t="n">
        <v>0</v>
      </c>
      <c r="V545" s="31" t="n">
        <v>0</v>
      </c>
      <c r="W545" s="3" t="n">
        <v>0</v>
      </c>
      <c r="X545" s="3" t="n">
        <v>0</v>
      </c>
      <c r="Y545" s="32" t="n">
        <v>0</v>
      </c>
      <c r="Z545" s="3" t="n">
        <v>0</v>
      </c>
      <c r="AA545" s="32" t="n">
        <v>0</v>
      </c>
      <c r="AB545" s="3" t="n"/>
      <c r="AC545" s="31" t="n">
        <v>0</v>
      </c>
      <c r="AD545" s="2" t="n">
        <v>0</v>
      </c>
      <c r="AE545" s="2" t="n">
        <v>74</v>
      </c>
      <c r="AF545" s="4" t="n">
        <v>74</v>
      </c>
      <c r="AG545" s="33" t="n">
        <v>34.99</v>
      </c>
      <c r="AH545" s="4" t="n">
        <v>1</v>
      </c>
      <c r="AI545" s="34" t="n">
        <v>0.0135</v>
      </c>
      <c r="AJ545" s="34" t="n">
        <v>1</v>
      </c>
      <c r="AK545" s="2" t="n">
        <v>13500</v>
      </c>
      <c r="AL545" t="inlineStr">
        <is>
          <t>Published</t>
        </is>
      </c>
    </row>
    <row r="546">
      <c r="A546">
        <f>HYPERLINK("https://www.walmart.com/ip/10308212702", "10308212702")</f>
        <v/>
      </c>
      <c r="B546">
        <f>HYPERLINK("https://app.optiwise.ai/catalog/itemdetails/20131083", "Dickies Tradesman Backpack, Water Resistant Casual Daypack for Travel Work School, Fits 15.6 Inch Notebook (Brown Duck)")</f>
        <v/>
      </c>
      <c r="C546" t="inlineStr">
        <is>
          <t>DK-BACKPACK-15168-BLACK</t>
        </is>
      </c>
      <c r="D546" t="inlineStr">
        <is>
          <t>Cases &amp; Bags</t>
        </is>
      </c>
      <c r="E546" t="inlineStr">
        <is>
          <t>Backpacks</t>
        </is>
      </c>
      <c r="F546" t="inlineStr">
        <is>
          <t>Dickies</t>
        </is>
      </c>
      <c r="G546" t="n">
        <v>0</v>
      </c>
      <c r="H546" t="n">
        <v>0</v>
      </c>
      <c r="J546" s="29" t="n">
        <v>34.99</v>
      </c>
      <c r="K546" s="30" t="n">
        <v>0.0003</v>
      </c>
      <c r="L546" s="29" t="n">
        <v>0</v>
      </c>
      <c r="M546" s="29" t="n">
        <v>0</v>
      </c>
      <c r="N546" s="2" t="n">
        <v>1</v>
      </c>
      <c r="O546" s="31" t="n">
        <v>0</v>
      </c>
      <c r="P546" s="32" t="n"/>
      <c r="Q546" s="32" t="n">
        <v>0</v>
      </c>
      <c r="R546" s="32" t="n">
        <v>0</v>
      </c>
      <c r="S546" s="31" t="n">
        <v>0</v>
      </c>
      <c r="T546" s="32" t="n">
        <v>0</v>
      </c>
      <c r="U546" s="31" t="n">
        <v>0</v>
      </c>
      <c r="V546" s="31" t="n">
        <v>0</v>
      </c>
      <c r="W546" s="3" t="n">
        <v>0</v>
      </c>
      <c r="X546" s="3" t="n">
        <v>0</v>
      </c>
      <c r="Y546" s="32" t="n">
        <v>0</v>
      </c>
      <c r="Z546" s="3" t="n">
        <v>0</v>
      </c>
      <c r="AA546" s="32" t="n">
        <v>0</v>
      </c>
      <c r="AB546" s="3" t="n"/>
      <c r="AC546" s="31" t="n">
        <v>0</v>
      </c>
      <c r="AD546" s="2" t="n">
        <v>0</v>
      </c>
      <c r="AE546" s="2" t="n">
        <v>0</v>
      </c>
      <c r="AF546" s="4" t="n">
        <v>0</v>
      </c>
      <c r="AG546" s="33" t="n">
        <v>34.99</v>
      </c>
      <c r="AH546" s="4" t="n">
        <v>1</v>
      </c>
      <c r="AI546" s="34" t="n"/>
      <c r="AJ546" s="34" t="n">
        <v>1</v>
      </c>
      <c r="AK546" s="2" t="n">
        <v>13500</v>
      </c>
      <c r="AL546" t="inlineStr">
        <is>
          <t>Published</t>
        </is>
      </c>
    </row>
    <row r="547">
      <c r="A547">
        <f>HYPERLINK("https://www.walmart.com/ip/1446754753", "1446754753")</f>
        <v/>
      </c>
      <c r="B547">
        <f>HYPERLINK("https://app.optiwise.ai/catalog/itemdetails/4346771", "Tirrinia Insulated Lunch Box for Women Men, Leakproof Thermal Reusable Lunch Bag with 4 Pockets for Adult &amp; Kids, Lunch Bag Cooler Tote for Office Work Back to School, Green")</f>
        <v/>
      </c>
      <c r="C547" t="inlineStr">
        <is>
          <t>1TRLB702GN-T</t>
        </is>
      </c>
      <c r="D547" t="inlineStr">
        <is>
          <t>Home Decor, Kitchen, &amp; Other</t>
        </is>
      </c>
      <c r="E547" t="inlineStr">
        <is>
          <t>Reusable Lunch Bags &amp; Boxes</t>
        </is>
      </c>
      <c r="F547" t="inlineStr">
        <is>
          <t>Tirrinia</t>
        </is>
      </c>
      <c r="G547" t="n">
        <v>0</v>
      </c>
      <c r="H547" t="n">
        <v>0</v>
      </c>
      <c r="I547" t="inlineStr">
        <is>
          <t>Q2-Target,Brand Camp VD,Lunch Bags,Batch 1 - TR</t>
        </is>
      </c>
      <c r="J547" s="29" t="n">
        <v>34.97</v>
      </c>
      <c r="K547" s="30" t="n">
        <v>0.0003</v>
      </c>
      <c r="L547" s="29" t="n">
        <v>0</v>
      </c>
      <c r="M547" s="29" t="n">
        <v>0</v>
      </c>
      <c r="N547" s="2" t="n">
        <v>2</v>
      </c>
      <c r="O547" s="31" t="n">
        <v>0</v>
      </c>
      <c r="P547" s="32" t="n"/>
      <c r="Q547" s="32" t="n">
        <v>0</v>
      </c>
      <c r="R547" s="32" t="n">
        <v>0</v>
      </c>
      <c r="S547" s="31" t="n">
        <v>0</v>
      </c>
      <c r="T547" s="32" t="n">
        <v>0</v>
      </c>
      <c r="U547" s="31" t="n">
        <v>0</v>
      </c>
      <c r="V547" s="31" t="n">
        <v>0</v>
      </c>
      <c r="W547" s="3" t="n">
        <v>0</v>
      </c>
      <c r="X547" s="3" t="n">
        <v>0</v>
      </c>
      <c r="Y547" s="32" t="n">
        <v>0</v>
      </c>
      <c r="Z547" s="3" t="n">
        <v>0</v>
      </c>
      <c r="AA547" s="32" t="n">
        <v>0</v>
      </c>
      <c r="AB547" s="3" t="n"/>
      <c r="AC547" s="31" t="n">
        <v>0</v>
      </c>
      <c r="AD547" s="2" t="n">
        <v>0</v>
      </c>
      <c r="AE547" s="2" t="n">
        <v>39</v>
      </c>
      <c r="AF547" s="4" t="n">
        <v>39</v>
      </c>
      <c r="AG547" s="33" t="n">
        <v>34.97</v>
      </c>
      <c r="AH547" s="4" t="n">
        <v>2</v>
      </c>
      <c r="AI547" s="34" t="n">
        <v>0.0513</v>
      </c>
      <c r="AJ547" s="34" t="n">
        <v>1</v>
      </c>
      <c r="AK547" s="2" t="n">
        <v>6817</v>
      </c>
      <c r="AL547" t="inlineStr">
        <is>
          <t>Published</t>
        </is>
      </c>
    </row>
    <row r="548">
      <c r="A548">
        <f>HYPERLINK("https://www.walmart.com/ip/358269818", "358269818")</f>
        <v/>
      </c>
      <c r="B548">
        <f>HYPERLINK("https://app.optiwise.ai/catalog/itemdetails/361468", "Tirrinia Large Insulated Lunch Bag, 10L Leakproof Thermal Reusable Lunch Box for Adult, Kids, Student, Tall Meal Prep Lunch Cooler Tote with 4 Pockets for Office Work, Back to School,Grey")</f>
        <v/>
      </c>
      <c r="C548" t="inlineStr">
        <is>
          <t>1TRLB702GY-T</t>
        </is>
      </c>
      <c r="D548" t="inlineStr">
        <is>
          <t>Home Decor, Kitchen, &amp; Other</t>
        </is>
      </c>
      <c r="E548" t="inlineStr">
        <is>
          <t>Reusable Lunch Bags &amp; Boxes</t>
        </is>
      </c>
      <c r="F548" t="inlineStr">
        <is>
          <t>Tirrinia</t>
        </is>
      </c>
      <c r="G548" t="n">
        <v>4.5</v>
      </c>
      <c r="H548" t="n">
        <v>32</v>
      </c>
      <c r="I548" t="inlineStr">
        <is>
          <t>Brand Camp VD,Lunch Bag,SEM</t>
        </is>
      </c>
      <c r="J548" s="29" t="n">
        <v>34.97</v>
      </c>
      <c r="K548" s="30" t="n">
        <v>0.0003</v>
      </c>
      <c r="L548" s="29" t="n">
        <v>0</v>
      </c>
      <c r="M548" s="29" t="n">
        <v>0</v>
      </c>
      <c r="N548" s="2" t="n">
        <v>2</v>
      </c>
      <c r="O548" s="31" t="n">
        <v>0</v>
      </c>
      <c r="P548" s="32" t="n"/>
      <c r="Q548" s="32" t="n">
        <v>0</v>
      </c>
      <c r="R548" s="32" t="n">
        <v>0.0838</v>
      </c>
      <c r="S548" s="31" t="n">
        <v>0</v>
      </c>
      <c r="T548" s="32" t="n">
        <v>0</v>
      </c>
      <c r="U548" s="31" t="n">
        <v>0</v>
      </c>
      <c r="V548" s="31" t="n">
        <v>0</v>
      </c>
      <c r="W548" s="3" t="n">
        <v>0</v>
      </c>
      <c r="X548" s="3" t="n">
        <v>0</v>
      </c>
      <c r="Y548" s="32" t="n">
        <v>0</v>
      </c>
      <c r="Z548" s="3" t="n">
        <v>0</v>
      </c>
      <c r="AA548" s="32" t="n">
        <v>0</v>
      </c>
      <c r="AB548" s="3" t="n"/>
      <c r="AC548" s="31" t="n">
        <v>0</v>
      </c>
      <c r="AD548" s="2" t="n">
        <v>0</v>
      </c>
      <c r="AE548" s="2" t="n">
        <v>47</v>
      </c>
      <c r="AF548" s="4" t="n">
        <v>47</v>
      </c>
      <c r="AG548" s="33" t="n">
        <v>34.97</v>
      </c>
      <c r="AH548" s="4" t="n">
        <v>2</v>
      </c>
      <c r="AI548" s="34" t="n">
        <v>0.0426</v>
      </c>
      <c r="AJ548" s="34" t="n">
        <v>1</v>
      </c>
      <c r="AK548" s="2" t="n">
        <v>6817</v>
      </c>
      <c r="AL548" t="inlineStr">
        <is>
          <t>Published</t>
        </is>
      </c>
    </row>
    <row r="549">
      <c r="A549">
        <f>HYPERLINK("https://www.walmart.com/ip/359767590", "359767590")</f>
        <v/>
      </c>
      <c r="B549">
        <f>HYPERLINK("https://app.optiwise.ai/catalog/itemdetails/360719", "Knit Beanie Hat for Women,  Faux Fuzzy Pom Pom Winter Ski Skullies Cap")</f>
        <v/>
      </c>
      <c r="C549" t="inlineStr">
        <is>
          <t>1SLWH100KK</t>
        </is>
      </c>
      <c r="D549" t="inlineStr">
        <is>
          <t>Clothing</t>
        </is>
      </c>
      <c r="E549" t="inlineStr">
        <is>
          <t>Hats</t>
        </is>
      </c>
      <c r="F549" t="inlineStr">
        <is>
          <t>Solaris</t>
        </is>
      </c>
      <c r="G549" t="n">
        <v>0</v>
      </c>
      <c r="H549" t="n">
        <v>0</v>
      </c>
      <c r="I549" t="inlineStr">
        <is>
          <t>Batch 1 - TR</t>
        </is>
      </c>
      <c r="J549" s="29" t="n">
        <v>34.93</v>
      </c>
      <c r="K549" s="30" t="n">
        <v>0.0003</v>
      </c>
      <c r="L549" s="29" t="n">
        <v>0</v>
      </c>
      <c r="M549" s="29" t="n">
        <v>0</v>
      </c>
      <c r="N549" s="2" t="n">
        <v>7</v>
      </c>
      <c r="O549" s="31" t="n">
        <v>0</v>
      </c>
      <c r="P549" s="32" t="n"/>
      <c r="Q549" s="32" t="n">
        <v>0</v>
      </c>
      <c r="R549" s="32" t="n">
        <v>0</v>
      </c>
      <c r="S549" s="31" t="n">
        <v>0</v>
      </c>
      <c r="T549" s="32" t="n">
        <v>0</v>
      </c>
      <c r="U549" s="31" t="n">
        <v>0</v>
      </c>
      <c r="V549" s="31" t="n">
        <v>0</v>
      </c>
      <c r="W549" s="3" t="n">
        <v>0</v>
      </c>
      <c r="X549" s="3" t="n">
        <v>0</v>
      </c>
      <c r="Y549" s="32" t="n">
        <v>0</v>
      </c>
      <c r="Z549" s="3" t="n">
        <v>0</v>
      </c>
      <c r="AA549" s="32" t="n">
        <v>0</v>
      </c>
      <c r="AB549" s="3" t="n"/>
      <c r="AC549" s="31" t="n">
        <v>0</v>
      </c>
      <c r="AD549" s="2" t="n">
        <v>0</v>
      </c>
      <c r="AE549" s="2" t="n">
        <v>18</v>
      </c>
      <c r="AF549" s="4" t="n">
        <v>18</v>
      </c>
      <c r="AG549" s="33" t="n">
        <v>34.93</v>
      </c>
      <c r="AH549" s="4" t="n">
        <v>7</v>
      </c>
      <c r="AI549" s="34" t="n">
        <v>0.3889</v>
      </c>
      <c r="AJ549" s="34" t="n">
        <v>1</v>
      </c>
      <c r="AK549" s="2" t="n">
        <v>1928</v>
      </c>
      <c r="AL549" t="inlineStr">
        <is>
          <t>Published</t>
        </is>
      </c>
    </row>
    <row r="550">
      <c r="A550">
        <f>HYPERLINK("https://www.walmart.com/ip/485820215", "485820215")</f>
        <v/>
      </c>
      <c r="B550">
        <f>HYPERLINK("https://app.optiwise.ai/catalog/itemdetails/362166", "Catalonia Fleece Throw Blanket for Couch, Super Soft Fuzzy Plush Blanket for Adults and Kids, All Seasons Home Decor Blanket, Machine Washable, 50x60, Grey")</f>
        <v/>
      </c>
      <c r="C550" t="inlineStr">
        <is>
          <t>1CTBF575GY</t>
        </is>
      </c>
      <c r="D550" t="inlineStr">
        <is>
          <t>Bedding</t>
        </is>
      </c>
      <c r="E550" t="inlineStr">
        <is>
          <t>Throws</t>
        </is>
      </c>
      <c r="F550" t="inlineStr">
        <is>
          <t>Catalonia</t>
        </is>
      </c>
      <c r="G550" t="n">
        <v>4.4</v>
      </c>
      <c r="H550" t="n">
        <v>16</v>
      </c>
      <c r="I550" t="inlineStr">
        <is>
          <t>Q2-Target,WFS,Coupon_Discount,SeePriceInCart,WFS Item</t>
        </is>
      </c>
      <c r="J550" s="29" t="n">
        <v>33.98</v>
      </c>
      <c r="K550" s="30" t="n">
        <v>0.0003</v>
      </c>
      <c r="L550" s="29" t="n">
        <v>0</v>
      </c>
      <c r="M550" s="29" t="n">
        <v>0</v>
      </c>
      <c r="N550" s="2" t="n">
        <v>2</v>
      </c>
      <c r="O550" s="31" t="n">
        <v>18.28</v>
      </c>
      <c r="P550" s="32" t="n">
        <v>0.0022</v>
      </c>
      <c r="Q550" s="32" t="n">
        <v>0.538</v>
      </c>
      <c r="R550" s="32" t="n">
        <v>0.6898</v>
      </c>
      <c r="S550" s="31" t="n">
        <v>0.93</v>
      </c>
      <c r="T550" s="32" t="n">
        <v>1.08</v>
      </c>
      <c r="U550" s="31" t="n">
        <v>16.99</v>
      </c>
      <c r="V550" s="31" t="n">
        <v>16.99</v>
      </c>
      <c r="W550" s="3" t="n">
        <v>13006</v>
      </c>
      <c r="X550" s="3" t="n">
        <v>39</v>
      </c>
      <c r="Y550" s="32" t="n">
        <v>0.003</v>
      </c>
      <c r="Z550" s="3" t="n">
        <v>1</v>
      </c>
      <c r="AA550" s="32" t="n">
        <v>0.0256</v>
      </c>
      <c r="AB550" s="3" t="inlineStr">
        <is>
          <t>Throws_Manual_Optiwise_24</t>
        </is>
      </c>
      <c r="AC550" s="31" t="n">
        <v>0.47</v>
      </c>
      <c r="AD550" s="2" t="n">
        <v>48</v>
      </c>
      <c r="AE550" s="2" t="n">
        <v>34</v>
      </c>
      <c r="AF550" s="4" t="inlineStr">
        <is>
          <t>NA</t>
        </is>
      </c>
      <c r="AG550" s="33" t="n">
        <v>16.99</v>
      </c>
      <c r="AH550" s="4" t="n">
        <v>1</v>
      </c>
      <c r="AI550" s="34" t="inlineStr">
        <is>
          <t>NA</t>
        </is>
      </c>
      <c r="AJ550" s="34" t="n">
        <v>0.5</v>
      </c>
      <c r="AK550" s="2" t="n">
        <v>0</v>
      </c>
      <c r="AL550" t="inlineStr">
        <is>
          <t>Published</t>
        </is>
      </c>
    </row>
    <row r="551">
      <c r="A551">
        <f>HYPERLINK("https://www.walmart.com/ip/963573839", "963573839")</f>
        <v/>
      </c>
      <c r="B551">
        <f>HYPERLINK("https://app.optiwise.ai/catalog/itemdetails/362381", "Sun Hat for Men, Sun Cap with Neck Flap for Fishing, Safari, Cycling, Hiking, Garden, Backpacking, UPF50+,Tan")</f>
        <v/>
      </c>
      <c r="C551" t="inlineStr">
        <is>
          <t>KC-S9153-TN</t>
        </is>
      </c>
      <c r="D551" t="inlineStr">
        <is>
          <t>Clothing</t>
        </is>
      </c>
      <c r="E551" t="inlineStr">
        <is>
          <t>Hats</t>
        </is>
      </c>
      <c r="F551" t="inlineStr">
        <is>
          <t>Sun Blocker</t>
        </is>
      </c>
      <c r="G551" t="n">
        <v>4.2</v>
      </c>
      <c r="H551" t="n">
        <v>15</v>
      </c>
      <c r="I551" t="inlineStr">
        <is>
          <t>Optimized,WFS,Hats,WFS Item</t>
        </is>
      </c>
      <c r="J551" s="29" t="n">
        <v>33.98</v>
      </c>
      <c r="K551" s="30" t="n">
        <v>0.0003</v>
      </c>
      <c r="L551" s="29" t="n">
        <v>0</v>
      </c>
      <c r="M551" s="29" t="n">
        <v>0</v>
      </c>
      <c r="N551" s="2" t="n">
        <v>2</v>
      </c>
      <c r="O551" s="31" t="n">
        <v>0</v>
      </c>
      <c r="P551" s="32" t="n"/>
      <c r="Q551" s="32" t="n">
        <v>0</v>
      </c>
      <c r="R551" s="32" t="n">
        <v>0.049</v>
      </c>
      <c r="S551" s="31" t="n">
        <v>0</v>
      </c>
      <c r="T551" s="32" t="n">
        <v>0</v>
      </c>
      <c r="U551" s="31" t="n">
        <v>0</v>
      </c>
      <c r="V551" s="31" t="n">
        <v>0</v>
      </c>
      <c r="W551" s="3" t="n">
        <v>0</v>
      </c>
      <c r="X551" s="3" t="n">
        <v>0</v>
      </c>
      <c r="Y551" s="32" t="n">
        <v>0</v>
      </c>
      <c r="Z551" s="3" t="n">
        <v>0</v>
      </c>
      <c r="AA551" s="32" t="n">
        <v>0</v>
      </c>
      <c r="AB551" s="3" t="n"/>
      <c r="AC551" s="31" t="n">
        <v>0</v>
      </c>
      <c r="AD551" s="2" t="n">
        <v>0</v>
      </c>
      <c r="AE551" s="2" t="n">
        <v>43</v>
      </c>
      <c r="AF551" s="4" t="n">
        <v>43</v>
      </c>
      <c r="AG551" s="33" t="n">
        <v>33.98</v>
      </c>
      <c r="AH551" s="4" t="n">
        <v>2</v>
      </c>
      <c r="AI551" s="34" t="n">
        <v>0.0465</v>
      </c>
      <c r="AJ551" s="34" t="n">
        <v>1</v>
      </c>
      <c r="AK551" s="2" t="n">
        <v>6750</v>
      </c>
      <c r="AL551" t="inlineStr">
        <is>
          <t>Published</t>
        </is>
      </c>
    </row>
    <row r="552">
      <c r="A552">
        <f>HYPERLINK("https://www.walmart.com/ip/138956814", "138956814")</f>
        <v/>
      </c>
      <c r="B552">
        <f>HYPERLINK("https://app.optiwise.ai/catalog/itemdetails/361447", "Expandable Insulated Lunch Bag, Leakproof Lunch Cooler Tote for Men and Women, Suitable for Work &amp; Office")</f>
        <v/>
      </c>
      <c r="C552" t="inlineStr">
        <is>
          <t>1KTLB110DGY</t>
        </is>
      </c>
      <c r="D552" t="inlineStr">
        <is>
          <t>Cases &amp; Bags</t>
        </is>
      </c>
      <c r="E552" t="inlineStr">
        <is>
          <t>Reusable Lunch Bags &amp; Boxes</t>
        </is>
      </c>
      <c r="F552" t="inlineStr">
        <is>
          <t>Kato</t>
        </is>
      </c>
      <c r="G552" t="n">
        <v>0</v>
      </c>
      <c r="H552" t="n">
        <v>0</v>
      </c>
      <c r="I552" t="inlineStr">
        <is>
          <t>Lunch Bag,Optimized,Lunch Bags,SEM</t>
        </is>
      </c>
      <c r="J552" s="29" t="n">
        <v>33.98</v>
      </c>
      <c r="K552" s="30" t="n">
        <v>0.0003</v>
      </c>
      <c r="L552" s="29" t="n">
        <v>0</v>
      </c>
      <c r="M552" s="29" t="n">
        <v>0</v>
      </c>
      <c r="N552" s="2" t="n">
        <v>2</v>
      </c>
      <c r="O552" s="31" t="n">
        <v>0</v>
      </c>
      <c r="P552" s="32" t="n"/>
      <c r="Q552" s="32" t="n">
        <v>0</v>
      </c>
      <c r="R552" s="32" t="n">
        <v>0</v>
      </c>
      <c r="S552" s="31" t="n">
        <v>0</v>
      </c>
      <c r="T552" s="32" t="n">
        <v>0</v>
      </c>
      <c r="U552" s="31" t="n">
        <v>0</v>
      </c>
      <c r="V552" s="31" t="n">
        <v>0</v>
      </c>
      <c r="W552" s="3" t="n">
        <v>0</v>
      </c>
      <c r="X552" s="3" t="n">
        <v>0</v>
      </c>
      <c r="Y552" s="32" t="n">
        <v>0</v>
      </c>
      <c r="Z552" s="3" t="n">
        <v>0</v>
      </c>
      <c r="AA552" s="32" t="n">
        <v>0</v>
      </c>
      <c r="AB552" s="3" t="n"/>
      <c r="AC552" s="31" t="n">
        <v>0</v>
      </c>
      <c r="AD552" s="2" t="n">
        <v>12</v>
      </c>
      <c r="AE552" s="2" t="n">
        <v>40</v>
      </c>
      <c r="AF552" s="4" t="n">
        <v>40</v>
      </c>
      <c r="AG552" s="33" t="n">
        <v>33.98</v>
      </c>
      <c r="AH552" s="4" t="n">
        <v>2</v>
      </c>
      <c r="AI552" s="34" t="n">
        <v>0.05</v>
      </c>
      <c r="AJ552" s="34" t="n">
        <v>1</v>
      </c>
      <c r="AK552" s="2" t="n">
        <v>5670</v>
      </c>
      <c r="AL552" t="inlineStr">
        <is>
          <t>Published</t>
        </is>
      </c>
    </row>
    <row r="553">
      <c r="A553">
        <f>HYPERLINK("https://www.walmart.com/ip/567261259", "567261259")</f>
        <v/>
      </c>
      <c r="B553">
        <f>HYPERLINK("https://app.optiwise.ai/catalog/itemdetails/360732", "Tirrinia Wine Cooler bag - 3 Bottle Travel Insulated Padded Wine Carrier Tote Bag with Handle and Adjustable Shoulder Strap")</f>
        <v/>
      </c>
      <c r="C553" t="inlineStr">
        <is>
          <t>1WMWB310BKSTR</t>
        </is>
      </c>
      <c r="D553" t="inlineStr">
        <is>
          <t>Home Decor, Kitchen, &amp; Other</t>
        </is>
      </c>
      <c r="E553" t="inlineStr">
        <is>
          <t>Wine Totes, Bags &amp; Backpacks</t>
        </is>
      </c>
      <c r="F553" t="inlineStr">
        <is>
          <t>Flyingstar</t>
        </is>
      </c>
      <c r="G553" t="n">
        <v>0</v>
      </c>
      <c r="H553" t="n">
        <v>0</v>
      </c>
      <c r="I553" t="inlineStr">
        <is>
          <t>Wine,Christmas,Valentine</t>
        </is>
      </c>
      <c r="J553" s="29" t="n">
        <v>33.98</v>
      </c>
      <c r="K553" s="30" t="n">
        <v>0.0003</v>
      </c>
      <c r="L553" s="29" t="n">
        <v>0</v>
      </c>
      <c r="M553" s="29" t="n">
        <v>0</v>
      </c>
      <c r="N553" s="2" t="n">
        <v>2</v>
      </c>
      <c r="O553" s="31" t="n">
        <v>0</v>
      </c>
      <c r="P553" s="32" t="n"/>
      <c r="Q553" s="32" t="n">
        <v>0</v>
      </c>
      <c r="R553" s="32" t="n">
        <v>0</v>
      </c>
      <c r="S553" s="31" t="n">
        <v>0</v>
      </c>
      <c r="T553" s="32" t="n">
        <v>0</v>
      </c>
      <c r="U553" s="31" t="n">
        <v>0</v>
      </c>
      <c r="V553" s="31" t="n">
        <v>0</v>
      </c>
      <c r="W553" s="3" t="n">
        <v>0</v>
      </c>
      <c r="X553" s="3" t="n">
        <v>0</v>
      </c>
      <c r="Y553" s="32" t="n">
        <v>0</v>
      </c>
      <c r="Z553" s="3" t="n">
        <v>0</v>
      </c>
      <c r="AA553" s="32" t="n">
        <v>0</v>
      </c>
      <c r="AB553" s="3" t="n"/>
      <c r="AC553" s="31" t="n">
        <v>0</v>
      </c>
      <c r="AD553" s="2" t="n">
        <v>0</v>
      </c>
      <c r="AE553" s="2" t="n">
        <v>11</v>
      </c>
      <c r="AF553" s="4" t="n">
        <v>11</v>
      </c>
      <c r="AG553" s="33" t="n">
        <v>33.98</v>
      </c>
      <c r="AH553" s="4" t="n">
        <v>2</v>
      </c>
      <c r="AI553" s="34" t="n">
        <v>0.1818</v>
      </c>
      <c r="AJ553" s="34" t="n">
        <v>1</v>
      </c>
      <c r="AK553" s="2" t="n">
        <v>5602</v>
      </c>
      <c r="AL553" t="inlineStr">
        <is>
          <t>Published</t>
        </is>
      </c>
    </row>
    <row r="554">
      <c r="A554">
        <f>HYPERLINK("https://www.walmart.com/ip/207008026", "207008026")</f>
        <v/>
      </c>
      <c r="B554">
        <f>HYPERLINK("https://app.optiwise.ai/catalog/itemdetails/358773", "JenniWears Women's Short One-Size Semi-Sheer Purple Tutu Skirt, Great for Dance and Ballet, 6-Pack")</f>
        <v/>
      </c>
      <c r="C554" t="inlineStr">
        <is>
          <t>tutus-light purple-6pcs</t>
        </is>
      </c>
      <c r="D554" t="inlineStr">
        <is>
          <t>Skirts</t>
        </is>
      </c>
      <c r="E554" t="inlineStr">
        <is>
          <t>Skirts</t>
        </is>
      </c>
      <c r="F554" t="inlineStr">
        <is>
          <t>JenniWears</t>
        </is>
      </c>
      <c r="G554" t="n">
        <v>0</v>
      </c>
      <c r="H554" t="n">
        <v>0</v>
      </c>
      <c r="I554" t="inlineStr">
        <is>
          <t>Optimized</t>
        </is>
      </c>
      <c r="J554" s="29" t="n">
        <v>33.98</v>
      </c>
      <c r="K554" s="30" t="n">
        <v>0.0003</v>
      </c>
      <c r="L554" s="29" t="n">
        <v>0</v>
      </c>
      <c r="M554" s="29" t="n">
        <v>0</v>
      </c>
      <c r="N554" s="2" t="n">
        <v>2</v>
      </c>
      <c r="O554" s="31" t="n">
        <v>0</v>
      </c>
      <c r="P554" s="32" t="n"/>
      <c r="Q554" s="32" t="n">
        <v>0</v>
      </c>
      <c r="R554" s="32" t="n">
        <v>0</v>
      </c>
      <c r="S554" s="31" t="n">
        <v>0</v>
      </c>
      <c r="T554" s="32" t="n">
        <v>0</v>
      </c>
      <c r="U554" s="31" t="n">
        <v>0</v>
      </c>
      <c r="V554" s="31" t="n">
        <v>0</v>
      </c>
      <c r="W554" s="3" t="n">
        <v>0</v>
      </c>
      <c r="X554" s="3" t="n">
        <v>0</v>
      </c>
      <c r="Y554" s="32" t="n">
        <v>0</v>
      </c>
      <c r="Z554" s="3" t="n">
        <v>0</v>
      </c>
      <c r="AA554" s="32" t="n">
        <v>0</v>
      </c>
      <c r="AB554" s="3" t="n"/>
      <c r="AC554" s="31" t="n">
        <v>0</v>
      </c>
      <c r="AD554" s="2" t="n">
        <v>0</v>
      </c>
      <c r="AE554" s="2" t="n">
        <v>7</v>
      </c>
      <c r="AF554" s="4" t="n">
        <v>7</v>
      </c>
      <c r="AG554" s="33" t="n">
        <v>33.98</v>
      </c>
      <c r="AH554" s="4" t="n">
        <v>2</v>
      </c>
      <c r="AI554" s="34" t="n">
        <v>0.2857</v>
      </c>
      <c r="AJ554" s="34" t="n">
        <v>1</v>
      </c>
      <c r="AK554" s="2" t="n">
        <v>0</v>
      </c>
      <c r="AL554" t="inlineStr">
        <is>
          <t>Published</t>
        </is>
      </c>
    </row>
    <row r="555">
      <c r="A555">
        <f>HYPERLINK("https://www.walmart.com/ip/3657063712", "3657063712")</f>
        <v/>
      </c>
      <c r="B555">
        <f>HYPERLINK("https://app.optiwise.ai/catalog/itemdetails/7388658", "Tirrinia Insulated Lunch Bag for Women Men, Double-Layer Leak-Proof Reusable Lunch Box with 4 Pockets for Adult Kids, Lunch Bag Cooler Tote for Office Work, Back to School, Black")</f>
        <v/>
      </c>
      <c r="C555" t="inlineStr">
        <is>
          <t>1TRLB702BK-D</t>
        </is>
      </c>
      <c r="D555" t="inlineStr">
        <is>
          <t>Home Decor, Kitchen, &amp; Other</t>
        </is>
      </c>
      <c r="E555" t="inlineStr">
        <is>
          <t>Reusable Lunch Bags &amp; Boxes</t>
        </is>
      </c>
      <c r="F555" t="inlineStr">
        <is>
          <t>Tirrinia</t>
        </is>
      </c>
      <c r="G555" t="n">
        <v>0</v>
      </c>
      <c r="H555" t="n">
        <v>0</v>
      </c>
      <c r="I555" t="inlineStr">
        <is>
          <t>Q2-Target</t>
        </is>
      </c>
      <c r="J555" s="29" t="n">
        <v>33.98</v>
      </c>
      <c r="K555" s="30" t="n">
        <v>0.0003</v>
      </c>
      <c r="L555" s="29" t="n">
        <v>0</v>
      </c>
      <c r="M555" s="29" t="n">
        <v>0</v>
      </c>
      <c r="N555" s="2" t="n">
        <v>2</v>
      </c>
      <c r="O555" s="31" t="n">
        <v>0</v>
      </c>
      <c r="P555" s="32" t="n"/>
      <c r="Q555" s="32" t="n">
        <v>0</v>
      </c>
      <c r="R555" s="32" t="n">
        <v>0.0074</v>
      </c>
      <c r="S555" s="31" t="n">
        <v>0</v>
      </c>
      <c r="T555" s="32" t="n">
        <v>0</v>
      </c>
      <c r="U555" s="31" t="n">
        <v>0</v>
      </c>
      <c r="V555" s="31" t="n">
        <v>0</v>
      </c>
      <c r="W555" s="3" t="n">
        <v>0</v>
      </c>
      <c r="X555" s="3" t="n">
        <v>0</v>
      </c>
      <c r="Y555" s="32" t="n">
        <v>0</v>
      </c>
      <c r="Z555" s="3" t="n">
        <v>0</v>
      </c>
      <c r="AA555" s="32" t="n">
        <v>0</v>
      </c>
      <c r="AB555" s="3" t="n"/>
      <c r="AC555" s="31" t="n">
        <v>0</v>
      </c>
      <c r="AD555" s="2" t="n">
        <v>0</v>
      </c>
      <c r="AE555" s="2" t="n">
        <v>65</v>
      </c>
      <c r="AF555" s="4" t="n">
        <v>65</v>
      </c>
      <c r="AG555" s="33" t="n">
        <v>33.98</v>
      </c>
      <c r="AH555" s="4" t="n">
        <v>2</v>
      </c>
      <c r="AI555" s="34" t="n">
        <v>0.0308</v>
      </c>
      <c r="AJ555" s="34" t="n">
        <v>1</v>
      </c>
      <c r="AK555" s="2" t="n">
        <v>6885</v>
      </c>
      <c r="AL555" t="inlineStr">
        <is>
          <t>Published</t>
        </is>
      </c>
    </row>
    <row r="556">
      <c r="A556">
        <f>HYPERLINK("https://www.walmart.com/ip/10298970251", "10298970251")</f>
        <v/>
      </c>
      <c r="B556">
        <f>HYPERLINK("https://app.optiwise.ai/catalog/itemdetails/10032011", "Wrangler Men’s Full Grain Genuine Leather 35mm Thick Casual Belt for Jeans, Pants - Light Brown, 32")</f>
        <v/>
      </c>
      <c r="C556" t="inlineStr">
        <is>
          <t>WR-BELT-MENS-35MM-LTBROWN-32</t>
        </is>
      </c>
      <c r="D556" t="inlineStr">
        <is>
          <t>Clothing</t>
        </is>
      </c>
      <c r="E556" t="inlineStr">
        <is>
          <t>Belts</t>
        </is>
      </c>
      <c r="F556" t="inlineStr">
        <is>
          <t>Wrangler</t>
        </is>
      </c>
      <c r="G556" t="n">
        <v>0</v>
      </c>
      <c r="H556" t="n">
        <v>0</v>
      </c>
      <c r="I556" t="inlineStr">
        <is>
          <t>Belts</t>
        </is>
      </c>
      <c r="J556" s="29" t="n">
        <v>32.99</v>
      </c>
      <c r="K556" s="30" t="n">
        <v>0.0003</v>
      </c>
      <c r="L556" s="29" t="n">
        <v>0</v>
      </c>
      <c r="M556" s="29" t="n">
        <v>0</v>
      </c>
      <c r="N556" s="2" t="n">
        <v>1</v>
      </c>
      <c r="O556" s="31" t="n">
        <v>0</v>
      </c>
      <c r="P556" s="32" t="n"/>
      <c r="Q556" s="32" t="n">
        <v>0</v>
      </c>
      <c r="R556" s="32" t="n">
        <v>0</v>
      </c>
      <c r="S556" s="31" t="n">
        <v>0</v>
      </c>
      <c r="T556" s="32" t="n">
        <v>0</v>
      </c>
      <c r="U556" s="31" t="n">
        <v>0</v>
      </c>
      <c r="V556" s="31" t="n">
        <v>0</v>
      </c>
      <c r="W556" s="3" t="n">
        <v>0</v>
      </c>
      <c r="X556" s="3" t="n">
        <v>0</v>
      </c>
      <c r="Y556" s="32" t="n">
        <v>0</v>
      </c>
      <c r="Z556" s="3" t="n">
        <v>0</v>
      </c>
      <c r="AA556" s="32" t="n">
        <v>0</v>
      </c>
      <c r="AB556" s="3" t="n"/>
      <c r="AC556" s="31" t="n">
        <v>0</v>
      </c>
      <c r="AD556" s="2" t="n">
        <v>0</v>
      </c>
      <c r="AE556" s="2" t="n">
        <v>60</v>
      </c>
      <c r="AF556" s="4" t="n">
        <v>60</v>
      </c>
      <c r="AG556" s="33" t="n">
        <v>32.99</v>
      </c>
      <c r="AH556" s="4" t="n">
        <v>1</v>
      </c>
      <c r="AI556" s="34" t="n">
        <v>0.0167</v>
      </c>
      <c r="AJ556" s="34" t="n">
        <v>1</v>
      </c>
      <c r="AK556" s="2" t="n">
        <v>0</v>
      </c>
      <c r="AL556" t="inlineStr">
        <is>
          <t>Published</t>
        </is>
      </c>
    </row>
    <row r="557">
      <c r="A557">
        <f>HYPERLINK("https://www.walmart.com/ip/763058423", "763058423")</f>
        <v/>
      </c>
      <c r="B557">
        <f>HYPERLINK("https://app.optiwise.ai/catalog/itemdetails/361911", "Catalonia Sherpa Wearable Blanket Poncho for Adult Women Men, Wrap Blanket Cape with Pocket, Warm, Soft, Cozy, Snuggly, Comfort Gift, No Sleeves, Plaid Buffalo Christmas")</f>
        <v/>
      </c>
      <c r="C557" t="inlineStr">
        <is>
          <t>1CTBP110PRD</t>
        </is>
      </c>
      <c r="D557" t="inlineStr">
        <is>
          <t>Bedding</t>
        </is>
      </c>
      <c r="E557" t="inlineStr">
        <is>
          <t>Throws</t>
        </is>
      </c>
      <c r="F557" t="inlineStr">
        <is>
          <t>Catalonia</t>
        </is>
      </c>
      <c r="G557" t="n">
        <v>4.7</v>
      </c>
      <c r="H557" t="n">
        <v>11</v>
      </c>
      <c r="I557" t="inlineStr">
        <is>
          <t>Q2-Target,Hero 5 Holidays,WFS,Coupon_Discount,WFS Item</t>
        </is>
      </c>
      <c r="J557" s="29" t="n">
        <v>32.99</v>
      </c>
      <c r="K557" s="30" t="n">
        <v>0.0003</v>
      </c>
      <c r="L557" s="29" t="n">
        <v>0</v>
      </c>
      <c r="M557" s="29" t="n">
        <v>0</v>
      </c>
      <c r="N557" s="2" t="n">
        <v>1</v>
      </c>
      <c r="O557" s="31" t="n">
        <v>0</v>
      </c>
      <c r="P557" s="32" t="n"/>
      <c r="Q557" s="32" t="n">
        <v>0</v>
      </c>
      <c r="R557" s="32" t="n">
        <v>0</v>
      </c>
      <c r="S557" s="31" t="n">
        <v>0</v>
      </c>
      <c r="T557" s="32" t="n">
        <v>0</v>
      </c>
      <c r="U557" s="31" t="n">
        <v>0</v>
      </c>
      <c r="V557" s="31" t="n">
        <v>0</v>
      </c>
      <c r="W557" s="3" t="n">
        <v>0</v>
      </c>
      <c r="X557" s="3" t="n">
        <v>0</v>
      </c>
      <c r="Y557" s="32" t="n">
        <v>0</v>
      </c>
      <c r="Z557" s="3" t="n">
        <v>0</v>
      </c>
      <c r="AA557" s="32" t="n">
        <v>0</v>
      </c>
      <c r="AB557" s="3" t="n"/>
      <c r="AC557" s="31" t="n">
        <v>0</v>
      </c>
      <c r="AD557" s="2" t="n">
        <v>26</v>
      </c>
      <c r="AE557" s="2" t="n">
        <v>89</v>
      </c>
      <c r="AF557" s="4" t="n">
        <v>89</v>
      </c>
      <c r="AG557" s="33" t="n">
        <v>32.99</v>
      </c>
      <c r="AH557" s="4" t="n">
        <v>1</v>
      </c>
      <c r="AI557" s="34" t="n">
        <v>0.0112</v>
      </c>
      <c r="AJ557" s="34" t="n">
        <v>1</v>
      </c>
      <c r="AK557" s="2" t="n">
        <v>8910</v>
      </c>
      <c r="AL557" t="inlineStr">
        <is>
          <t>Published</t>
        </is>
      </c>
    </row>
    <row r="558">
      <c r="A558">
        <f>HYPERLINK("https://www.walmart.com/ip/14486463813", "14486463813")</f>
        <v/>
      </c>
      <c r="B558">
        <f>HYPERLINK("https://app.optiwise.ai/catalog/itemdetails/13057937", "Catalonia Womens' Full Body Blanket Hoodie Sweatshirt, Extra Long Wearable Fleece Pullover, Gift for Adult Men Women Wife Girlfriend, Black")</f>
        <v/>
      </c>
      <c r="C558" t="inlineStr">
        <is>
          <t>1CTOSH310S1BK-FS</t>
        </is>
      </c>
      <c r="D558" t="inlineStr">
        <is>
          <t>Clothing</t>
        </is>
      </c>
      <c r="E558" t="inlineStr">
        <is>
          <t>Sweatshirts &amp; Hoodies</t>
        </is>
      </c>
      <c r="F558" t="inlineStr">
        <is>
          <t>Catalonia</t>
        </is>
      </c>
      <c r="G558" t="n">
        <v>5</v>
      </c>
      <c r="H558" t="n">
        <v>1</v>
      </c>
      <c r="J558" s="29" t="n">
        <v>32.99</v>
      </c>
      <c r="K558" s="30" t="n">
        <v>0.0003</v>
      </c>
      <c r="L558" s="29" t="n">
        <v>0</v>
      </c>
      <c r="M558" s="29" t="n">
        <v>0</v>
      </c>
      <c r="N558" s="2" t="n">
        <v>1</v>
      </c>
      <c r="O558" s="31" t="n">
        <v>0</v>
      </c>
      <c r="P558" s="32" t="n"/>
      <c r="Q558" s="32" t="n">
        <v>0</v>
      </c>
      <c r="R558" s="32" t="n">
        <v>0</v>
      </c>
      <c r="S558" s="31" t="n">
        <v>0</v>
      </c>
      <c r="T558" s="32" t="n">
        <v>0</v>
      </c>
      <c r="U558" s="31" t="n">
        <v>0</v>
      </c>
      <c r="V558" s="31" t="n">
        <v>0</v>
      </c>
      <c r="W558" s="3" t="n">
        <v>0</v>
      </c>
      <c r="X558" s="3" t="n">
        <v>0</v>
      </c>
      <c r="Y558" s="32" t="n">
        <v>0</v>
      </c>
      <c r="Z558" s="3" t="n">
        <v>0</v>
      </c>
      <c r="AA558" s="32" t="n">
        <v>0</v>
      </c>
      <c r="AB558" s="3" t="n"/>
      <c r="AC558" s="31" t="n">
        <v>0</v>
      </c>
      <c r="AD558" s="2" t="n">
        <v>0</v>
      </c>
      <c r="AE558" s="2" t="n">
        <v>7</v>
      </c>
      <c r="AF558" s="4" t="n">
        <v>7</v>
      </c>
      <c r="AG558" s="33" t="n">
        <v>32.99</v>
      </c>
      <c r="AH558" s="4" t="n">
        <v>1</v>
      </c>
      <c r="AI558" s="34" t="n">
        <v>0.1429</v>
      </c>
      <c r="AJ558" s="34" t="n">
        <v>1</v>
      </c>
      <c r="AK558" s="2" t="n">
        <v>1215</v>
      </c>
      <c r="AL558" t="inlineStr">
        <is>
          <t>Published</t>
        </is>
      </c>
    </row>
    <row r="559">
      <c r="A559">
        <f>HYPERLINK("https://www.walmart.com/ip/480406987", "480406987")</f>
        <v/>
      </c>
      <c r="B559">
        <f>HYPERLINK("https://app.optiwise.ai/catalog/itemdetails/362235", "Catalonia Women's Plush Fleece Long Robe, Warm Comfy Fluffy Female Bathrobe with Hood, Machine Washable, One Size, Blue")</f>
        <v/>
      </c>
      <c r="C559" t="inlineStr">
        <is>
          <t>1CTRB100BL-LDCB</t>
        </is>
      </c>
      <c r="D559" t="inlineStr">
        <is>
          <t>Clothing</t>
        </is>
      </c>
      <c r="E559" t="inlineStr">
        <is>
          <t>Sleepwear Robes &amp; Bathrobes</t>
        </is>
      </c>
      <c r="F559" t="inlineStr">
        <is>
          <t>Catalonia</t>
        </is>
      </c>
      <c r="G559" t="n">
        <v>4.4</v>
      </c>
      <c r="H559" t="n">
        <v>33</v>
      </c>
      <c r="I559" t="inlineStr">
        <is>
          <t>Hero 5 Holidays,WFS,Bathrobe,WFS Item</t>
        </is>
      </c>
      <c r="J559" s="29" t="n">
        <v>32.99</v>
      </c>
      <c r="K559" s="30" t="n">
        <v>0.0003</v>
      </c>
      <c r="L559" s="29" t="n">
        <v>0</v>
      </c>
      <c r="M559" s="29" t="n">
        <v>0</v>
      </c>
      <c r="N559" s="2" t="n">
        <v>1</v>
      </c>
      <c r="O559" s="31" t="n">
        <v>0</v>
      </c>
      <c r="P559" s="32" t="n"/>
      <c r="Q559" s="32" t="n">
        <v>0</v>
      </c>
      <c r="R559" s="32" t="n">
        <v>0</v>
      </c>
      <c r="S559" s="31" t="n">
        <v>0</v>
      </c>
      <c r="T559" s="32" t="n">
        <v>0</v>
      </c>
      <c r="U559" s="31" t="n">
        <v>0</v>
      </c>
      <c r="V559" s="31" t="n">
        <v>0</v>
      </c>
      <c r="W559" s="3" t="n">
        <v>0</v>
      </c>
      <c r="X559" s="3" t="n">
        <v>0</v>
      </c>
      <c r="Y559" s="32" t="n">
        <v>0</v>
      </c>
      <c r="Z559" s="3" t="n">
        <v>0</v>
      </c>
      <c r="AA559" s="32" t="n">
        <v>0</v>
      </c>
      <c r="AB559" s="3" t="n"/>
      <c r="AC559" s="31" t="n">
        <v>0</v>
      </c>
      <c r="AD559" s="2" t="n">
        <v>0</v>
      </c>
      <c r="AE559" s="2" t="n">
        <v>11</v>
      </c>
      <c r="AF559" s="4" t="n">
        <v>11</v>
      </c>
      <c r="AG559" s="33" t="n">
        <v>32.99</v>
      </c>
      <c r="AH559" s="4" t="n">
        <v>1</v>
      </c>
      <c r="AI559" s="34" t="n">
        <v>0.09089999999999999</v>
      </c>
      <c r="AJ559" s="34" t="n">
        <v>1</v>
      </c>
      <c r="AK559" s="2" t="n">
        <v>135</v>
      </c>
      <c r="AL559" t="inlineStr">
        <is>
          <t>Published</t>
        </is>
      </c>
    </row>
    <row r="560">
      <c r="A560">
        <f>HYPERLINK("https://www.walmart.com/ip/5734394641", "5734394641")</f>
        <v/>
      </c>
      <c r="B560">
        <f>HYPERLINK("https://app.optiwise.ai/catalog/itemdetails/9583559", "Tirrinia Mesh Beach Bag with Cooler Compartment, Extra Large Totes for Beach Travel, Functional Fashion Beach Bag for Women")</f>
        <v/>
      </c>
      <c r="C560" t="inlineStr">
        <is>
          <t>1TRCB00112BK</t>
        </is>
      </c>
      <c r="D560" t="inlineStr">
        <is>
          <t>Cases &amp; Bags</t>
        </is>
      </c>
      <c r="E560" t="inlineStr">
        <is>
          <t>Handbags</t>
        </is>
      </c>
      <c r="F560" t="inlineStr">
        <is>
          <t>Tirrinia</t>
        </is>
      </c>
      <c r="G560" t="n">
        <v>0</v>
      </c>
      <c r="H560" t="n">
        <v>0</v>
      </c>
      <c r="J560" s="29" t="n">
        <v>31.99</v>
      </c>
      <c r="K560" s="30" t="n">
        <v>0.0003</v>
      </c>
      <c r="L560" s="29" t="n">
        <v>0</v>
      </c>
      <c r="M560" s="29" t="n">
        <v>0</v>
      </c>
      <c r="N560" s="2" t="n">
        <v>1</v>
      </c>
      <c r="O560" s="31" t="n">
        <v>0</v>
      </c>
      <c r="P560" s="32" t="n"/>
      <c r="Q560" s="32" t="n">
        <v>0</v>
      </c>
      <c r="R560" s="32" t="n">
        <v>0</v>
      </c>
      <c r="S560" s="31" t="n">
        <v>0</v>
      </c>
      <c r="T560" s="32" t="n">
        <v>0</v>
      </c>
      <c r="U560" s="31" t="n">
        <v>0</v>
      </c>
      <c r="V560" s="31" t="n">
        <v>0</v>
      </c>
      <c r="W560" s="3" t="n">
        <v>0</v>
      </c>
      <c r="X560" s="3" t="n">
        <v>0</v>
      </c>
      <c r="Y560" s="32" t="n">
        <v>0</v>
      </c>
      <c r="Z560" s="3" t="n">
        <v>0</v>
      </c>
      <c r="AA560" s="32" t="n">
        <v>0</v>
      </c>
      <c r="AB560" s="3" t="n"/>
      <c r="AC560" s="31" t="n">
        <v>0</v>
      </c>
      <c r="AD560" s="2" t="n">
        <v>0</v>
      </c>
      <c r="AE560" s="2" t="n">
        <v>19</v>
      </c>
      <c r="AF560" s="4" t="n">
        <v>19</v>
      </c>
      <c r="AG560" s="33" t="n">
        <v>31.99</v>
      </c>
      <c r="AH560" s="4" t="n">
        <v>1</v>
      </c>
      <c r="AI560" s="34" t="n">
        <v>0.0526</v>
      </c>
      <c r="AJ560" s="34" t="n">
        <v>1</v>
      </c>
      <c r="AK560" s="2" t="n">
        <v>13500</v>
      </c>
      <c r="AL560" t="inlineStr">
        <is>
          <t>Published</t>
        </is>
      </c>
    </row>
    <row r="561">
      <c r="A561">
        <f>HYPERLINK("https://www.walmart.com/ip/124908512", "124908512")</f>
        <v/>
      </c>
      <c r="B561">
        <f>HYPERLINK("https://app.optiwise.ai/catalog/itemdetails/362472", "Sun Blocker Women’s Large Brim UV Protection Fishing Hat, Neck Flap Hat, Silver")</f>
        <v/>
      </c>
      <c r="C561" t="inlineStr">
        <is>
          <t>KC-S9202-SL</t>
        </is>
      </c>
      <c r="D561" t="inlineStr">
        <is>
          <t>Clothing</t>
        </is>
      </c>
      <c r="E561" t="inlineStr">
        <is>
          <t>Hats</t>
        </is>
      </c>
      <c r="F561" t="inlineStr">
        <is>
          <t>Sun Blocker</t>
        </is>
      </c>
      <c r="G561" t="n">
        <v>3.6</v>
      </c>
      <c r="H561" t="n">
        <v>14</v>
      </c>
      <c r="I561" t="inlineStr">
        <is>
          <t>Hats,Batch 1 - TR</t>
        </is>
      </c>
      <c r="J561" s="29" t="n">
        <v>31.98</v>
      </c>
      <c r="K561" s="30" t="n">
        <v>0.0003</v>
      </c>
      <c r="L561" s="29" t="n">
        <v>0</v>
      </c>
      <c r="M561" s="29" t="n">
        <v>0</v>
      </c>
      <c r="N561" s="2" t="n">
        <v>2</v>
      </c>
      <c r="O561" s="31" t="n">
        <v>0</v>
      </c>
      <c r="P561" s="32" t="n"/>
      <c r="Q561" s="32" t="n">
        <v>0</v>
      </c>
      <c r="R561" s="32" t="n">
        <v>0.1932</v>
      </c>
      <c r="S561" s="31" t="n">
        <v>0</v>
      </c>
      <c r="T561" s="32" t="n">
        <v>0</v>
      </c>
      <c r="U561" s="31" t="n">
        <v>0</v>
      </c>
      <c r="V561" s="31" t="n">
        <v>0</v>
      </c>
      <c r="W561" s="3" t="n">
        <v>0</v>
      </c>
      <c r="X561" s="3" t="n">
        <v>0</v>
      </c>
      <c r="Y561" s="32" t="n">
        <v>0</v>
      </c>
      <c r="Z561" s="3" t="n">
        <v>0</v>
      </c>
      <c r="AA561" s="32" t="n">
        <v>0</v>
      </c>
      <c r="AB561" s="3" t="n"/>
      <c r="AC561" s="31" t="n">
        <v>0</v>
      </c>
      <c r="AD561" s="2" t="n">
        <v>4</v>
      </c>
      <c r="AE561" s="2" t="n">
        <v>29</v>
      </c>
      <c r="AF561" s="4" t="n">
        <v>29</v>
      </c>
      <c r="AG561" s="33" t="n">
        <v>31.98</v>
      </c>
      <c r="AH561" s="4" t="n">
        <v>2</v>
      </c>
      <c r="AI561" s="34" t="n">
        <v>0.06900000000000001</v>
      </c>
      <c r="AJ561" s="34" t="n">
        <v>1</v>
      </c>
      <c r="AK561" s="2" t="n">
        <v>6885</v>
      </c>
      <c r="AL561" t="inlineStr">
        <is>
          <t>Published</t>
        </is>
      </c>
    </row>
    <row r="562">
      <c r="A562">
        <f>HYPERLINK("https://www.walmart.com/ip/5462074610", "5462074610")</f>
        <v/>
      </c>
      <c r="B562">
        <f>HYPERLINK("https://app.optiwise.ai/catalog/itemdetails/7947827", "Solaris Unisex Large Bill Flap Sun Hat Camping Hiking Hunting Fishing Cap")</f>
        <v/>
      </c>
      <c r="C562" t="inlineStr">
        <is>
          <t>1SLSH911CAMO-C</t>
        </is>
      </c>
      <c r="D562" t="inlineStr">
        <is>
          <t>Clothing</t>
        </is>
      </c>
      <c r="E562" t="inlineStr">
        <is>
          <t>Hats</t>
        </is>
      </c>
      <c r="F562" t="inlineStr">
        <is>
          <t>Solaris</t>
        </is>
      </c>
      <c r="G562" t="n">
        <v>0</v>
      </c>
      <c r="H562" t="n">
        <v>0</v>
      </c>
      <c r="J562" s="29" t="n">
        <v>31.98</v>
      </c>
      <c r="K562" s="30" t="n">
        <v>0.0003</v>
      </c>
      <c r="L562" s="29" t="n">
        <v>0</v>
      </c>
      <c r="M562" s="29" t="n">
        <v>0</v>
      </c>
      <c r="N562" s="2" t="n">
        <v>2</v>
      </c>
      <c r="O562" s="31" t="n">
        <v>0</v>
      </c>
      <c r="P562" s="32" t="n"/>
      <c r="Q562" s="32" t="n">
        <v>0</v>
      </c>
      <c r="R562" s="32" t="n">
        <v>-0.0438</v>
      </c>
      <c r="S562" s="31" t="n">
        <v>0</v>
      </c>
      <c r="T562" s="32" t="n">
        <v>0</v>
      </c>
      <c r="U562" s="31" t="n">
        <v>0</v>
      </c>
      <c r="V562" s="31" t="n">
        <v>0</v>
      </c>
      <c r="W562" s="3" t="n">
        <v>0</v>
      </c>
      <c r="X562" s="3" t="n">
        <v>0</v>
      </c>
      <c r="Y562" s="32" t="n">
        <v>0</v>
      </c>
      <c r="Z562" s="3" t="n">
        <v>0</v>
      </c>
      <c r="AA562" s="32" t="n">
        <v>0</v>
      </c>
      <c r="AB562" s="3" t="n"/>
      <c r="AC562" s="31" t="n">
        <v>0</v>
      </c>
      <c r="AD562" s="2" t="n">
        <v>0</v>
      </c>
      <c r="AE562" s="2" t="n">
        <v>27</v>
      </c>
      <c r="AF562" s="4" t="n">
        <v>27</v>
      </c>
      <c r="AG562" s="33" t="n">
        <v>31.98</v>
      </c>
      <c r="AH562" s="4" t="n">
        <v>2</v>
      </c>
      <c r="AI562" s="34" t="n">
        <v>0.0741</v>
      </c>
      <c r="AJ562" s="34" t="n">
        <v>1</v>
      </c>
      <c r="AK562" s="2" t="n">
        <v>6817</v>
      </c>
      <c r="AL562" t="inlineStr">
        <is>
          <t>Published</t>
        </is>
      </c>
    </row>
    <row r="563">
      <c r="A563">
        <f>HYPERLINK("https://www.walmart.com/ip/5455200650", "5455200650")</f>
        <v/>
      </c>
      <c r="B563">
        <f>HYPERLINK("https://app.optiwise.ai/catalog/itemdetails/7948831", "Solaris Unisex Large Bill Flap Sun Hat Camping Hiking Hunting Fishing Cap")</f>
        <v/>
      </c>
      <c r="C563" t="inlineStr">
        <is>
          <t>1SLSH911CAMO-B</t>
        </is>
      </c>
      <c r="D563" t="inlineStr">
        <is>
          <t>Clothing</t>
        </is>
      </c>
      <c r="E563" t="inlineStr">
        <is>
          <t>Hats</t>
        </is>
      </c>
      <c r="F563" t="inlineStr">
        <is>
          <t>Solaris</t>
        </is>
      </c>
      <c r="G563" t="n">
        <v>4.3</v>
      </c>
      <c r="H563" t="n">
        <v>54</v>
      </c>
      <c r="J563" s="29" t="n">
        <v>31.98</v>
      </c>
      <c r="K563" s="30" t="n">
        <v>0.0003</v>
      </c>
      <c r="L563" s="29" t="n">
        <v>0</v>
      </c>
      <c r="M563" s="29" t="n">
        <v>0</v>
      </c>
      <c r="N563" s="2" t="n">
        <v>2</v>
      </c>
      <c r="O563" s="31" t="n">
        <v>0</v>
      </c>
      <c r="P563" s="32" t="n"/>
      <c r="Q563" s="32" t="n">
        <v>0</v>
      </c>
      <c r="R563" s="32" t="n">
        <v>0</v>
      </c>
      <c r="S563" s="31" t="n">
        <v>0</v>
      </c>
      <c r="T563" s="32" t="n">
        <v>0</v>
      </c>
      <c r="U563" s="31" t="n">
        <v>0</v>
      </c>
      <c r="V563" s="31" t="n">
        <v>0</v>
      </c>
      <c r="W563" s="3" t="n">
        <v>0</v>
      </c>
      <c r="X563" s="3" t="n">
        <v>0</v>
      </c>
      <c r="Y563" s="32" t="n">
        <v>0</v>
      </c>
      <c r="Z563" s="3" t="n">
        <v>0</v>
      </c>
      <c r="AA563" s="32" t="n">
        <v>0</v>
      </c>
      <c r="AB563" s="3" t="n"/>
      <c r="AC563" s="31" t="n">
        <v>0</v>
      </c>
      <c r="AD563" s="2" t="n">
        <v>0</v>
      </c>
      <c r="AE563" s="2" t="n">
        <v>38</v>
      </c>
      <c r="AF563" s="4" t="n">
        <v>38</v>
      </c>
      <c r="AG563" s="33" t="n">
        <v>31.98</v>
      </c>
      <c r="AH563" s="4" t="n">
        <v>2</v>
      </c>
      <c r="AI563" s="34" t="n">
        <v>0.0526</v>
      </c>
      <c r="AJ563" s="34" t="n">
        <v>1</v>
      </c>
      <c r="AK563" s="2" t="n">
        <v>6750</v>
      </c>
      <c r="AL563" t="inlineStr">
        <is>
          <t>Published</t>
        </is>
      </c>
    </row>
    <row r="564">
      <c r="A564">
        <f>HYPERLINK("https://www.walmart.com/ip/566409020", "566409020")</f>
        <v/>
      </c>
      <c r="B564">
        <f>HYPERLINK("https://app.optiwise.ai/catalog/itemdetails/362480", "Lightweight Queen Bedspread Quilt Set for Summer and Spring,Bedding Coverlet - Quilt and Pillow Shams")</f>
        <v/>
      </c>
      <c r="C564" t="inlineStr">
        <is>
          <t>1CTBQ203QF-GYWT</t>
        </is>
      </c>
      <c r="D564" t="inlineStr">
        <is>
          <t>Bedding</t>
        </is>
      </c>
      <c r="E564" t="inlineStr">
        <is>
          <t>Bedding Sets</t>
        </is>
      </c>
      <c r="F564" t="inlineStr">
        <is>
          <t>Catalonia</t>
        </is>
      </c>
      <c r="G564" t="n">
        <v>0</v>
      </c>
      <c r="H564" t="n">
        <v>0</v>
      </c>
      <c r="I564" t="inlineStr">
        <is>
          <t>Optimized,WFS,Quilt_Vinay,WFS Item</t>
        </is>
      </c>
      <c r="J564" s="29" t="n">
        <v>31.98</v>
      </c>
      <c r="K564" s="30" t="n">
        <v>0.0003</v>
      </c>
      <c r="L564" s="29" t="n">
        <v>0</v>
      </c>
      <c r="M564" s="29" t="n">
        <v>0</v>
      </c>
      <c r="N564" s="2" t="n">
        <v>1</v>
      </c>
      <c r="O564" s="31" t="n">
        <v>0</v>
      </c>
      <c r="P564" s="32" t="n"/>
      <c r="Q564" s="32" t="n">
        <v>0</v>
      </c>
      <c r="R564" s="32" t="n">
        <v>0</v>
      </c>
      <c r="S564" s="31" t="n">
        <v>0</v>
      </c>
      <c r="T564" s="32" t="n">
        <v>0</v>
      </c>
      <c r="U564" s="31" t="n">
        <v>0</v>
      </c>
      <c r="V564" s="31" t="n">
        <v>0</v>
      </c>
      <c r="W564" s="3" t="n">
        <v>0</v>
      </c>
      <c r="X564" s="3" t="n">
        <v>0</v>
      </c>
      <c r="Y564" s="32" t="n">
        <v>0</v>
      </c>
      <c r="Z564" s="3" t="n">
        <v>0</v>
      </c>
      <c r="AA564" s="32" t="n">
        <v>0</v>
      </c>
      <c r="AB564" s="3" t="n"/>
      <c r="AC564" s="31" t="n">
        <v>0</v>
      </c>
      <c r="AD564" s="2" t="n">
        <v>0</v>
      </c>
      <c r="AE564" s="2" t="n">
        <v>106</v>
      </c>
      <c r="AF564" s="4" t="n">
        <v>106</v>
      </c>
      <c r="AG564" s="33" t="n">
        <v>31.98</v>
      </c>
      <c r="AH564" s="4" t="n">
        <v>1</v>
      </c>
      <c r="AI564" s="34" t="n">
        <v>0.0094</v>
      </c>
      <c r="AJ564" s="34" t="n">
        <v>1</v>
      </c>
      <c r="AK564" s="2" t="n">
        <v>270</v>
      </c>
      <c r="AL564" t="inlineStr">
        <is>
          <t>Published</t>
        </is>
      </c>
    </row>
    <row r="565">
      <c r="A565">
        <f>HYPERLINK("https://www.walmart.com/ip/477714092", "477714092")</f>
        <v/>
      </c>
      <c r="B565">
        <f>HYPERLINK("https://app.optiwise.ai/catalog/itemdetails/362090", "Tirrina Unisex Outdoor Sun Protection Fishing Cap with Neck Flap Wide Brim Mesh Hat for Travel Camping Hiking Hunting")</f>
        <v/>
      </c>
      <c r="C565" t="inlineStr">
        <is>
          <t>1TRSH910GY-TBCB</t>
        </is>
      </c>
      <c r="D565" t="inlineStr">
        <is>
          <t>Clothing</t>
        </is>
      </c>
      <c r="E565" t="inlineStr">
        <is>
          <t>Hats</t>
        </is>
      </c>
      <c r="F565" t="inlineStr">
        <is>
          <t>Tirrinia</t>
        </is>
      </c>
      <c r="G565" t="n">
        <v>0</v>
      </c>
      <c r="H565" t="n">
        <v>0</v>
      </c>
      <c r="I565" t="inlineStr">
        <is>
          <t>Hats,Batch 1 - TR</t>
        </is>
      </c>
      <c r="J565" s="29" t="n">
        <v>31.98</v>
      </c>
      <c r="K565" s="30" t="n">
        <v>0.0003</v>
      </c>
      <c r="L565" s="29" t="n">
        <v>0</v>
      </c>
      <c r="M565" s="29" t="n">
        <v>0</v>
      </c>
      <c r="N565" s="2" t="n">
        <v>2</v>
      </c>
      <c r="O565" s="31" t="n">
        <v>4.15</v>
      </c>
      <c r="P565" s="32" t="n">
        <v>0.0005</v>
      </c>
      <c r="Q565" s="32" t="n">
        <v>0.1298</v>
      </c>
      <c r="R565" s="32" t="n">
        <v>0.09229999999999999</v>
      </c>
      <c r="S565" s="31" t="n">
        <v>3.85</v>
      </c>
      <c r="T565" s="32" t="n">
        <v>0.26</v>
      </c>
      <c r="U565" s="31" t="n">
        <v>15.99</v>
      </c>
      <c r="V565" s="31" t="n">
        <v>15.99</v>
      </c>
      <c r="W565" s="3" t="n">
        <v>37733</v>
      </c>
      <c r="X565" s="3" t="n">
        <v>13</v>
      </c>
      <c r="Y565" s="32" t="n">
        <v>0.0003</v>
      </c>
      <c r="Z565" s="3" t="n">
        <v>1</v>
      </c>
      <c r="AA565" s="32" t="n">
        <v>0.0769</v>
      </c>
      <c r="AB565" s="3" t="inlineStr">
        <is>
          <t>Auto Campaign_Vinay</t>
        </is>
      </c>
      <c r="AC565" s="31" t="n">
        <v>0.32</v>
      </c>
      <c r="AD565" s="2" t="n">
        <v>0</v>
      </c>
      <c r="AE565" s="2" t="n">
        <v>38</v>
      </c>
      <c r="AF565" s="4" t="n">
        <v>25</v>
      </c>
      <c r="AG565" s="33" t="n">
        <v>15.99</v>
      </c>
      <c r="AH565" s="4" t="n">
        <v>1</v>
      </c>
      <c r="AI565" s="34" t="n">
        <v>0.04</v>
      </c>
      <c r="AJ565" s="34" t="n">
        <v>0.5</v>
      </c>
      <c r="AK565" s="2" t="n">
        <v>7627</v>
      </c>
      <c r="AL565" t="inlineStr">
        <is>
          <t>Published</t>
        </is>
      </c>
    </row>
    <row r="566">
      <c r="A566">
        <f>HYPERLINK("https://www.walmart.com/ip/596579613", "596579613")</f>
        <v/>
      </c>
      <c r="B566">
        <f>HYPERLINK("https://app.optiwise.ai/catalog/itemdetails/358781", "Tirrinia Men's Sun Hat with Wide Brim Neck Flap, Fishing Safari Hat for Outdoor Hiking Camping, Green")</f>
        <v/>
      </c>
      <c r="C566" t="inlineStr">
        <is>
          <t>1TRSH910GN-TBCB</t>
        </is>
      </c>
      <c r="D566" t="inlineStr">
        <is>
          <t>Clothing</t>
        </is>
      </c>
      <c r="E566" t="inlineStr">
        <is>
          <t>Hats</t>
        </is>
      </c>
      <c r="F566" t="inlineStr">
        <is>
          <t>Tirrinia</t>
        </is>
      </c>
      <c r="G566" t="n">
        <v>4.7</v>
      </c>
      <c r="H566" t="n">
        <v>44</v>
      </c>
      <c r="I566" t="inlineStr">
        <is>
          <t>Hats</t>
        </is>
      </c>
      <c r="J566" s="29" t="n">
        <v>31.98</v>
      </c>
      <c r="K566" s="30" t="n">
        <v>0.0003</v>
      </c>
      <c r="L566" s="29" t="n">
        <v>0</v>
      </c>
      <c r="M566" s="29" t="n">
        <v>0</v>
      </c>
      <c r="N566" s="2" t="n">
        <v>2</v>
      </c>
      <c r="O566" s="31" t="n">
        <v>0.62</v>
      </c>
      <c r="P566" s="32" t="n">
        <v>0.0001</v>
      </c>
      <c r="Q566" s="32" t="n">
        <v>0.0194</v>
      </c>
      <c r="R566" s="32" t="n">
        <v>0</v>
      </c>
      <c r="S566" s="31" t="n">
        <v>0</v>
      </c>
      <c r="T566" s="32" t="n">
        <v>0</v>
      </c>
      <c r="U566" s="31" t="n">
        <v>0</v>
      </c>
      <c r="V566" s="31" t="n">
        <v>0</v>
      </c>
      <c r="W566" s="3" t="n">
        <v>1920</v>
      </c>
      <c r="X566" s="3" t="n">
        <v>2</v>
      </c>
      <c r="Y566" s="32" t="n">
        <v>0.001</v>
      </c>
      <c r="Z566" s="3" t="n">
        <v>0</v>
      </c>
      <c r="AA566" s="32" t="n">
        <v>0</v>
      </c>
      <c r="AB566" s="3" t="inlineStr">
        <is>
          <t>Need to sell these SKUs by 15th Feb</t>
        </is>
      </c>
      <c r="AC566" s="31" t="n">
        <v>0.31</v>
      </c>
      <c r="AD566" s="2" t="n">
        <v>0</v>
      </c>
      <c r="AE566" s="2" t="n">
        <v>19</v>
      </c>
      <c r="AF566" s="4" t="n">
        <v>17</v>
      </c>
      <c r="AG566" s="33" t="n">
        <v>31.98</v>
      </c>
      <c r="AH566" s="4" t="n">
        <v>2</v>
      </c>
      <c r="AI566" s="34" t="n">
        <v>0.1176</v>
      </c>
      <c r="AJ566" s="34" t="n">
        <v>1</v>
      </c>
      <c r="AK566" s="2" t="n">
        <v>7155</v>
      </c>
      <c r="AL566" t="inlineStr">
        <is>
          <t>Published</t>
        </is>
      </c>
    </row>
    <row r="567">
      <c r="A567">
        <f>HYPERLINK("https://www.walmart.com/ip/102014052", "102014052")</f>
        <v/>
      </c>
      <c r="B567">
        <f>HYPERLINK("https://app.optiwise.ai/catalog/itemdetails/362800", "JenniWears Women Beileise Sexy Garter Belt Suspender")</f>
        <v/>
      </c>
      <c r="C567" t="inlineStr">
        <is>
          <t>JWBLSPH5002</t>
        </is>
      </c>
      <c r="D567" t="inlineStr">
        <is>
          <t>Clothing</t>
        </is>
      </c>
      <c r="E567" t="inlineStr">
        <is>
          <t>Garters</t>
        </is>
      </c>
      <c r="F567" t="inlineStr">
        <is>
          <t>JenniWears</t>
        </is>
      </c>
      <c r="G567" t="n">
        <v>0</v>
      </c>
      <c r="H567" t="n">
        <v>0</v>
      </c>
      <c r="I567" t="inlineStr">
        <is>
          <t>Valentine</t>
        </is>
      </c>
      <c r="J567" s="29" t="n">
        <v>31.96</v>
      </c>
      <c r="K567" s="30" t="n">
        <v>0.0003</v>
      </c>
      <c r="L567" s="29" t="n">
        <v>0</v>
      </c>
      <c r="M567" s="29" t="n">
        <v>0</v>
      </c>
      <c r="N567" s="2" t="n">
        <v>4</v>
      </c>
      <c r="O567" s="31" t="n">
        <v>0</v>
      </c>
      <c r="P567" s="32" t="n"/>
      <c r="Q567" s="32" t="n">
        <v>0</v>
      </c>
      <c r="R567" s="32" t="n">
        <v>0</v>
      </c>
      <c r="S567" s="31" t="n">
        <v>0</v>
      </c>
      <c r="T567" s="32" t="n">
        <v>0</v>
      </c>
      <c r="U567" s="31" t="n">
        <v>0</v>
      </c>
      <c r="V567" s="31" t="n">
        <v>0</v>
      </c>
      <c r="W567" s="3" t="n">
        <v>0</v>
      </c>
      <c r="X567" s="3" t="n">
        <v>0</v>
      </c>
      <c r="Y567" s="32" t="n">
        <v>0</v>
      </c>
      <c r="Z567" s="3" t="n">
        <v>0</v>
      </c>
      <c r="AA567" s="32" t="n">
        <v>0</v>
      </c>
      <c r="AB567" s="3" t="n"/>
      <c r="AC567" s="31" t="n">
        <v>0</v>
      </c>
      <c r="AD567" s="2" t="n">
        <v>2</v>
      </c>
      <c r="AE567" s="2" t="n">
        <v>84</v>
      </c>
      <c r="AF567" s="4" t="n">
        <v>84</v>
      </c>
      <c r="AG567" s="33" t="n">
        <v>31.96</v>
      </c>
      <c r="AH567" s="4" t="n">
        <v>4</v>
      </c>
      <c r="AI567" s="34" t="n">
        <v>0.0476</v>
      </c>
      <c r="AJ567" s="34" t="n">
        <v>1</v>
      </c>
      <c r="AK567" s="2" t="n">
        <v>3375</v>
      </c>
      <c r="AL567" t="inlineStr">
        <is>
          <t>Published</t>
        </is>
      </c>
    </row>
    <row r="568">
      <c r="A568">
        <f>HYPERLINK("https://www.walmart.com/ip/364605040", "364605040")</f>
        <v/>
      </c>
      <c r="B568">
        <f>HYPERLINK("https://app.optiwise.ai/catalog/itemdetails/361910", "Terra Outdoor Summer Sun Hat for Women, UPF 50+ Fold Up Wide Brim Bucket Hat, Green")</f>
        <v/>
      </c>
      <c r="C568" t="inlineStr">
        <is>
          <t>TERRACAP-F057-GRN</t>
        </is>
      </c>
      <c r="D568" t="inlineStr">
        <is>
          <t>Clothing</t>
        </is>
      </c>
      <c r="E568" t="inlineStr">
        <is>
          <t>Hats</t>
        </is>
      </c>
      <c r="F568" t="inlineStr">
        <is>
          <t>Terra</t>
        </is>
      </c>
      <c r="G568" t="n">
        <v>3.7</v>
      </c>
      <c r="H568" t="n">
        <v>3</v>
      </c>
      <c r="I568" t="inlineStr">
        <is>
          <t>Hats,ST Patrick Day</t>
        </is>
      </c>
      <c r="J568" s="29" t="n">
        <v>31.96</v>
      </c>
      <c r="K568" s="30" t="n">
        <v>0.0003</v>
      </c>
      <c r="L568" s="29" t="n">
        <v>0</v>
      </c>
      <c r="M568" s="29" t="n">
        <v>0</v>
      </c>
      <c r="N568" s="2" t="n">
        <v>4</v>
      </c>
      <c r="O568" s="31" t="n">
        <v>0</v>
      </c>
      <c r="P568" s="32" t="n"/>
      <c r="Q568" s="32" t="n">
        <v>0</v>
      </c>
      <c r="R568" s="32" t="n">
        <v>0</v>
      </c>
      <c r="S568" s="31" t="n">
        <v>0</v>
      </c>
      <c r="T568" s="32" t="n">
        <v>0</v>
      </c>
      <c r="U568" s="31" t="n">
        <v>0</v>
      </c>
      <c r="V568" s="31" t="n">
        <v>0</v>
      </c>
      <c r="W568" s="3" t="n">
        <v>0</v>
      </c>
      <c r="X568" s="3" t="n">
        <v>0</v>
      </c>
      <c r="Y568" s="32" t="n">
        <v>0</v>
      </c>
      <c r="Z568" s="3" t="n">
        <v>0</v>
      </c>
      <c r="AA568" s="32" t="n">
        <v>0</v>
      </c>
      <c r="AB568" s="3" t="n"/>
      <c r="AC568" s="31" t="n">
        <v>0</v>
      </c>
      <c r="AD568" s="2" t="n">
        <v>6</v>
      </c>
      <c r="AE568" s="2" t="n">
        <v>36</v>
      </c>
      <c r="AF568" s="4" t="n">
        <v>36</v>
      </c>
      <c r="AG568" s="33" t="n">
        <v>31.96</v>
      </c>
      <c r="AH568" s="4" t="n">
        <v>4</v>
      </c>
      <c r="AI568" s="34" t="n">
        <v>0.1111</v>
      </c>
      <c r="AJ568" s="34" t="n">
        <v>1</v>
      </c>
      <c r="AK568" s="2" t="n">
        <v>3375</v>
      </c>
      <c r="AL568" t="inlineStr">
        <is>
          <t>Published</t>
        </is>
      </c>
    </row>
    <row r="569">
      <c r="A569">
        <f>HYPERLINK("https://www.walmart.com/ip/193364339", "193364339")</f>
        <v/>
      </c>
      <c r="B569">
        <f>HYPERLINK("https://app.optiwise.ai/catalog/itemdetails/418750", "Tirrinia Comfy Wearable Fleece Blanket with Sleeves for Adults, 73 x 51, Pink")</f>
        <v/>
      </c>
      <c r="C569" t="inlineStr">
        <is>
          <t>1TRSN100PK-TBCB</t>
        </is>
      </c>
      <c r="D569" t="inlineStr">
        <is>
          <t>Home Decor, Kitchen, &amp; Other</t>
        </is>
      </c>
      <c r="E569" t="inlineStr">
        <is>
          <t>Throws</t>
        </is>
      </c>
      <c r="F569" t="inlineStr">
        <is>
          <t>Tirrinia</t>
        </is>
      </c>
      <c r="G569" t="n">
        <v>4.2</v>
      </c>
      <c r="H569" t="n">
        <v>24</v>
      </c>
      <c r="I569" t="inlineStr">
        <is>
          <t>Coupon_Discount,Fleece Blankets,Batch 1 - TR</t>
        </is>
      </c>
      <c r="J569" s="29" t="n">
        <v>31.19</v>
      </c>
      <c r="K569" s="30" t="n">
        <v>0.0003</v>
      </c>
      <c r="L569" s="29" t="n">
        <v>0</v>
      </c>
      <c r="M569" s="29" t="n">
        <v>0</v>
      </c>
      <c r="N569" s="2" t="n">
        <v>1</v>
      </c>
      <c r="O569" s="31" t="n">
        <v>0</v>
      </c>
      <c r="P569" s="32" t="n"/>
      <c r="Q569" s="32" t="n">
        <v>0</v>
      </c>
      <c r="R569" s="32" t="n">
        <v>0</v>
      </c>
      <c r="S569" s="31" t="n">
        <v>0</v>
      </c>
      <c r="T569" s="32" t="n">
        <v>0</v>
      </c>
      <c r="U569" s="31" t="n">
        <v>0</v>
      </c>
      <c r="V569" s="31" t="n">
        <v>0</v>
      </c>
      <c r="W569" s="3" t="n">
        <v>0</v>
      </c>
      <c r="X569" s="3" t="n">
        <v>0</v>
      </c>
      <c r="Y569" s="32" t="n">
        <v>0</v>
      </c>
      <c r="Z569" s="3" t="n">
        <v>0</v>
      </c>
      <c r="AA569" s="32" t="n">
        <v>0</v>
      </c>
      <c r="AB569" s="3" t="n"/>
      <c r="AC569" s="31" t="n">
        <v>0</v>
      </c>
      <c r="AD569" s="2" t="n">
        <v>0</v>
      </c>
      <c r="AE569" s="2" t="n">
        <v>7</v>
      </c>
      <c r="AF569" s="4" t="n">
        <v>7</v>
      </c>
      <c r="AG569" s="33" t="n">
        <v>31.19</v>
      </c>
      <c r="AH569" s="4" t="n">
        <v>1</v>
      </c>
      <c r="AI569" s="34" t="n">
        <v>0.1429</v>
      </c>
      <c r="AJ569" s="34" t="n">
        <v>1</v>
      </c>
      <c r="AK569" s="2" t="n">
        <v>5535</v>
      </c>
      <c r="AL569" t="inlineStr">
        <is>
          <t>Published</t>
        </is>
      </c>
    </row>
    <row r="570">
      <c r="A570">
        <f>HYPERLINK("https://www.walmart.com/ip/9523050662", "9523050662")</f>
        <v/>
      </c>
      <c r="B570">
        <f>HYPERLINK("https://app.optiwise.ai/catalog/itemdetails/9941257", "Wrangler Industry Backpack, Classic Logo Water Resistant Casual Daypack with Padded Laptop Notebook Sleeve, Ideal as a Book Bag or Laptop Backpack, Great for Backpacks for School, Black")</f>
        <v/>
      </c>
      <c r="C570" t="inlineStr">
        <is>
          <t>WR-BACKPACK-INDUSTRY-BLACK</t>
        </is>
      </c>
      <c r="D570" t="inlineStr">
        <is>
          <t>Cases &amp; Bags</t>
        </is>
      </c>
      <c r="E570" t="inlineStr">
        <is>
          <t>Laptop Bags</t>
        </is>
      </c>
      <c r="F570" t="inlineStr">
        <is>
          <t>Wrangler</t>
        </is>
      </c>
      <c r="G570" t="n">
        <v>0</v>
      </c>
      <c r="H570" t="n">
        <v>0</v>
      </c>
      <c r="I570" t="inlineStr">
        <is>
          <t>Backpack</t>
        </is>
      </c>
      <c r="J570" s="29" t="n">
        <v>30.99</v>
      </c>
      <c r="K570" s="30" t="n">
        <v>0.0003</v>
      </c>
      <c r="L570" s="29" t="n">
        <v>0</v>
      </c>
      <c r="M570" s="29" t="n">
        <v>0</v>
      </c>
      <c r="N570" s="2" t="n">
        <v>1</v>
      </c>
      <c r="O570" s="31" t="n">
        <v>0</v>
      </c>
      <c r="P570" s="32" t="n"/>
      <c r="Q570" s="32" t="n">
        <v>0</v>
      </c>
      <c r="R570" s="32" t="n">
        <v>0</v>
      </c>
      <c r="S570" s="31" t="n">
        <v>0</v>
      </c>
      <c r="T570" s="32" t="n">
        <v>0</v>
      </c>
      <c r="U570" s="31" t="n">
        <v>0</v>
      </c>
      <c r="V570" s="31" t="n">
        <v>0</v>
      </c>
      <c r="W570" s="3" t="n">
        <v>0</v>
      </c>
      <c r="X570" s="3" t="n">
        <v>0</v>
      </c>
      <c r="Y570" s="32" t="n">
        <v>0</v>
      </c>
      <c r="Z570" s="3" t="n">
        <v>0</v>
      </c>
      <c r="AA570" s="32" t="n">
        <v>0</v>
      </c>
      <c r="AB570" s="3" t="n"/>
      <c r="AC570" s="31" t="n">
        <v>0</v>
      </c>
      <c r="AD570" s="2" t="n">
        <v>0</v>
      </c>
      <c r="AE570" s="2" t="n">
        <v>34</v>
      </c>
      <c r="AF570" s="4" t="n">
        <v>34</v>
      </c>
      <c r="AG570" s="33" t="n">
        <v>30.99</v>
      </c>
      <c r="AH570" s="4" t="n">
        <v>1</v>
      </c>
      <c r="AI570" s="34" t="n">
        <v>0.0294</v>
      </c>
      <c r="AJ570" s="34" t="n">
        <v>1</v>
      </c>
      <c r="AK570" s="2" t="n">
        <v>13500</v>
      </c>
      <c r="AL570" t="inlineStr">
        <is>
          <t>Published</t>
        </is>
      </c>
    </row>
    <row r="571">
      <c r="A571">
        <f>HYPERLINK("https://www.walmart.com/ip/5845089214", "5845089214")</f>
        <v/>
      </c>
      <c r="B571">
        <f>HYPERLINK("https://app.optiwise.ai/catalog/itemdetails/9594109", "Tirrinia Lightweight Beach Poncho Towel with Hood for Adult Quick Dry Travel Surfer Pool Camping Beach Accessories Vacation Essential Summer")</f>
        <v/>
      </c>
      <c r="C571" t="inlineStr">
        <is>
          <t>1TRBC201SURFBOARD</t>
        </is>
      </c>
      <c r="D571" t="inlineStr">
        <is>
          <t>Sport &amp; Recreation Other</t>
        </is>
      </c>
      <c r="E571" t="inlineStr">
        <is>
          <t>Towels &amp; Washcloths</t>
        </is>
      </c>
      <c r="F571" t="inlineStr">
        <is>
          <t>Tirrinia</t>
        </is>
      </c>
      <c r="G571" t="n">
        <v>0</v>
      </c>
      <c r="H571" t="n">
        <v>0</v>
      </c>
      <c r="J571" s="29" t="n">
        <v>29.99</v>
      </c>
      <c r="K571" s="30" t="n">
        <v>0.0003</v>
      </c>
      <c r="L571" s="29" t="n">
        <v>29.98999977111816</v>
      </c>
      <c r="M571" s="29" t="n">
        <v>0</v>
      </c>
      <c r="N571" s="2" t="n">
        <v>1</v>
      </c>
      <c r="O571" s="31" t="n">
        <v>0</v>
      </c>
      <c r="P571" s="32" t="n"/>
      <c r="Q571" s="32" t="n">
        <v>0</v>
      </c>
      <c r="R571" s="32" t="n">
        <v>0</v>
      </c>
      <c r="S571" s="31" t="n">
        <v>0</v>
      </c>
      <c r="T571" s="32" t="n">
        <v>0</v>
      </c>
      <c r="U571" s="31" t="n">
        <v>0</v>
      </c>
      <c r="V571" s="31" t="n">
        <v>0</v>
      </c>
      <c r="W571" s="3" t="n">
        <v>0</v>
      </c>
      <c r="X571" s="3" t="n">
        <v>0</v>
      </c>
      <c r="Y571" s="32" t="n">
        <v>0</v>
      </c>
      <c r="Z571" s="3" t="n">
        <v>0</v>
      </c>
      <c r="AA571" s="32" t="n">
        <v>0</v>
      </c>
      <c r="AB571" s="3" t="n"/>
      <c r="AC571" s="31" t="n">
        <v>0</v>
      </c>
      <c r="AD571" s="2" t="n">
        <v>0</v>
      </c>
      <c r="AE571" s="2" t="n">
        <v>26</v>
      </c>
      <c r="AF571" s="4" t="n">
        <v>26</v>
      </c>
      <c r="AG571" s="33" t="n">
        <v>29.99</v>
      </c>
      <c r="AH571" s="4" t="n">
        <v>1</v>
      </c>
      <c r="AI571" s="34" t="n">
        <v>0.0385</v>
      </c>
      <c r="AJ571" s="34" t="n">
        <v>1</v>
      </c>
      <c r="AK571" s="2" t="n">
        <v>13500</v>
      </c>
      <c r="AL571" t="inlineStr">
        <is>
          <t>Published</t>
        </is>
      </c>
    </row>
    <row r="572">
      <c r="A572">
        <f>HYPERLINK("https://www.walmart.com/ip/154084434", "154084434")</f>
        <v/>
      </c>
      <c r="B572">
        <f>HYPERLINK("https://app.optiwise.ai/catalog/itemdetails/359286", "Napa Plush Warm Bathrobe Micro Fleece Spa Robe 48 Sleepwear with Sherpa Trim and Pockets Grey")</f>
        <v/>
      </c>
      <c r="C572" t="inlineStr">
        <is>
          <t>R5010GRAY-01</t>
        </is>
      </c>
      <c r="D572" t="inlineStr">
        <is>
          <t>Clothing</t>
        </is>
      </c>
      <c r="E572" t="inlineStr">
        <is>
          <t>Sleepwear Robes &amp; Bathrobes</t>
        </is>
      </c>
      <c r="F572" t="inlineStr">
        <is>
          <t>NAPA</t>
        </is>
      </c>
      <c r="G572" t="n">
        <v>0</v>
      </c>
      <c r="H572" t="n">
        <v>0</v>
      </c>
      <c r="I572" t="inlineStr">
        <is>
          <t>Optimized,Bathrobe</t>
        </is>
      </c>
      <c r="J572" s="29" t="n">
        <v>29.99</v>
      </c>
      <c r="K572" s="30" t="n">
        <v>0.0003</v>
      </c>
      <c r="L572" s="29" t="n">
        <v>0</v>
      </c>
      <c r="M572" s="29" t="n">
        <v>0</v>
      </c>
      <c r="N572" s="2" t="n">
        <v>1</v>
      </c>
      <c r="O572" s="31" t="n">
        <v>0</v>
      </c>
      <c r="P572" s="32" t="n"/>
      <c r="Q572" s="32" t="n">
        <v>0</v>
      </c>
      <c r="R572" s="32" t="n">
        <v>0</v>
      </c>
      <c r="S572" s="31" t="n">
        <v>0</v>
      </c>
      <c r="T572" s="32" t="n">
        <v>0</v>
      </c>
      <c r="U572" s="31" t="n">
        <v>0</v>
      </c>
      <c r="V572" s="31" t="n">
        <v>0</v>
      </c>
      <c r="W572" s="3" t="n">
        <v>0</v>
      </c>
      <c r="X572" s="3" t="n">
        <v>0</v>
      </c>
      <c r="Y572" s="32" t="n">
        <v>0</v>
      </c>
      <c r="Z572" s="3" t="n">
        <v>0</v>
      </c>
      <c r="AA572" s="32" t="n">
        <v>0</v>
      </c>
      <c r="AB572" s="3" t="n"/>
      <c r="AC572" s="31" t="n">
        <v>0</v>
      </c>
      <c r="AD572" s="2" t="n">
        <v>0</v>
      </c>
      <c r="AE572" s="2" t="n">
        <v>0</v>
      </c>
      <c r="AF572" s="4" t="n">
        <v>0</v>
      </c>
      <c r="AG572" s="33" t="n">
        <v>29.99</v>
      </c>
      <c r="AH572" s="4" t="n">
        <v>1</v>
      </c>
      <c r="AI572" s="34" t="n"/>
      <c r="AJ572" s="34" t="n">
        <v>1</v>
      </c>
      <c r="AK572" s="2" t="n">
        <v>405</v>
      </c>
      <c r="AL572" t="inlineStr">
        <is>
          <t>Published</t>
        </is>
      </c>
    </row>
    <row r="573">
      <c r="A573">
        <f>HYPERLINK("https://www.walmart.com/ip/822065966", "822065966")</f>
        <v/>
      </c>
      <c r="B573">
        <f>HYPERLINK("https://app.optiwise.ai/catalog/itemdetails/359305", "Flyingstar Foldable Soft Sided Airline-Approved Travel Pet Carrier Backpack,Light Grey")</f>
        <v/>
      </c>
      <c r="C573" t="inlineStr">
        <is>
          <t>1WMPB200LGY</t>
        </is>
      </c>
      <c r="D573" t="inlineStr">
        <is>
          <t>Animal Other</t>
        </is>
      </c>
      <c r="E573" t="inlineStr">
        <is>
          <t>Pet Carriers</t>
        </is>
      </c>
      <c r="F573" t="inlineStr">
        <is>
          <t>Flyingstar</t>
        </is>
      </c>
      <c r="G573" t="n">
        <v>0</v>
      </c>
      <c r="H573" t="n">
        <v>0</v>
      </c>
      <c r="I573" t="inlineStr">
        <is>
          <t>Optimized</t>
        </is>
      </c>
      <c r="J573" s="29" t="n">
        <v>29.99</v>
      </c>
      <c r="K573" s="30" t="n">
        <v>0.0003</v>
      </c>
      <c r="L573" s="29" t="n">
        <v>0</v>
      </c>
      <c r="M573" s="29" t="n">
        <v>0</v>
      </c>
      <c r="N573" s="2" t="n">
        <v>1</v>
      </c>
      <c r="O573" s="31" t="n">
        <v>0</v>
      </c>
      <c r="P573" s="32" t="n"/>
      <c r="Q573" s="32" t="n">
        <v>0</v>
      </c>
      <c r="R573" s="32" t="n">
        <v>0</v>
      </c>
      <c r="S573" s="31" t="n">
        <v>0</v>
      </c>
      <c r="T573" s="32" t="n">
        <v>0</v>
      </c>
      <c r="U573" s="31" t="n">
        <v>0</v>
      </c>
      <c r="V573" s="31" t="n">
        <v>0</v>
      </c>
      <c r="W573" s="3" t="n">
        <v>0</v>
      </c>
      <c r="X573" s="3" t="n">
        <v>0</v>
      </c>
      <c r="Y573" s="32" t="n">
        <v>0</v>
      </c>
      <c r="Z573" s="3" t="n">
        <v>0</v>
      </c>
      <c r="AA573" s="32" t="n">
        <v>0</v>
      </c>
      <c r="AB573" s="3" t="n"/>
      <c r="AC573" s="31" t="n">
        <v>0</v>
      </c>
      <c r="AD573" s="2" t="n">
        <v>0</v>
      </c>
      <c r="AE573" s="2" t="n">
        <v>26</v>
      </c>
      <c r="AF573" s="4" t="n">
        <v>26</v>
      </c>
      <c r="AG573" s="33" t="n">
        <v>29.99</v>
      </c>
      <c r="AH573" s="4" t="n">
        <v>1</v>
      </c>
      <c r="AI573" s="34" t="n">
        <v>0.0385</v>
      </c>
      <c r="AJ573" s="34" t="n">
        <v>1</v>
      </c>
      <c r="AK573" s="2" t="n">
        <v>9855</v>
      </c>
      <c r="AL573" t="inlineStr">
        <is>
          <t>Published</t>
        </is>
      </c>
    </row>
    <row r="574">
      <c r="A574">
        <f>HYPERLINK("https://www.walmart.com/ip/6302756596", "6302756596")</f>
        <v/>
      </c>
      <c r="B574">
        <f>HYPERLINK("https://app.optiwise.ai/catalog/itemdetails/9679549", "Tirrinia Lightweight Beach Poncho Towel with Hood for Adult Quick Dry Travel Surfer Pool Camping Beach Accessories Vacation Essential Summer")</f>
        <v/>
      </c>
      <c r="C574" t="inlineStr">
        <is>
          <t>1TRBC201SHARK</t>
        </is>
      </c>
      <c r="D574" t="inlineStr">
        <is>
          <t>Sport &amp; Recreation Other</t>
        </is>
      </c>
      <c r="E574" t="inlineStr">
        <is>
          <t>Towels &amp; Washcloths</t>
        </is>
      </c>
      <c r="F574" t="inlineStr">
        <is>
          <t>Tirrinia</t>
        </is>
      </c>
      <c r="G574" t="n">
        <v>0</v>
      </c>
      <c r="H574" t="n">
        <v>0</v>
      </c>
      <c r="J574" s="29" t="n">
        <v>29.99</v>
      </c>
      <c r="K574" s="30" t="n">
        <v>0.0003</v>
      </c>
      <c r="L574" s="29" t="n">
        <v>0</v>
      </c>
      <c r="M574" s="29" t="n">
        <v>0</v>
      </c>
      <c r="N574" s="2" t="n">
        <v>1</v>
      </c>
      <c r="O574" s="31" t="n">
        <v>0</v>
      </c>
      <c r="P574" s="32" t="n"/>
      <c r="Q574" s="32" t="n">
        <v>0</v>
      </c>
      <c r="R574" s="32" t="n">
        <v>0</v>
      </c>
      <c r="S574" s="31" t="n">
        <v>0</v>
      </c>
      <c r="T574" s="32" t="n">
        <v>0</v>
      </c>
      <c r="U574" s="31" t="n">
        <v>0</v>
      </c>
      <c r="V574" s="31" t="n">
        <v>0</v>
      </c>
      <c r="W574" s="3" t="n">
        <v>0</v>
      </c>
      <c r="X574" s="3" t="n">
        <v>0</v>
      </c>
      <c r="Y574" s="32" t="n">
        <v>0</v>
      </c>
      <c r="Z574" s="3" t="n">
        <v>0</v>
      </c>
      <c r="AA574" s="32" t="n">
        <v>0</v>
      </c>
      <c r="AB574" s="3" t="n"/>
      <c r="AC574" s="31" t="n">
        <v>0</v>
      </c>
      <c r="AD574" s="2" t="n">
        <v>0</v>
      </c>
      <c r="AE574" s="2" t="n">
        <v>58</v>
      </c>
      <c r="AF574" s="4" t="n">
        <v>58</v>
      </c>
      <c r="AG574" s="33" t="n">
        <v>29.99</v>
      </c>
      <c r="AH574" s="4" t="n">
        <v>1</v>
      </c>
      <c r="AI574" s="34" t="n">
        <v>0.0172</v>
      </c>
      <c r="AJ574" s="34" t="n">
        <v>1</v>
      </c>
      <c r="AK574" s="2" t="n">
        <v>13500</v>
      </c>
      <c r="AL574" t="inlineStr">
        <is>
          <t>Published</t>
        </is>
      </c>
    </row>
    <row r="575">
      <c r="A575">
        <f>HYPERLINK("https://www.walmart.com/ip/700298785", "700298785")</f>
        <v/>
      </c>
      <c r="B575">
        <f>HYPERLINK("https://app.optiwise.ai/catalog/itemdetails/417441", "Tirrinia Plush Fleece Wearable Blanket Comfy Poncho for Adult Women Men, Navy")</f>
        <v/>
      </c>
      <c r="C575" t="inlineStr">
        <is>
          <t>1TRBP200NY-TBCB</t>
        </is>
      </c>
      <c r="D575" t="inlineStr">
        <is>
          <t>Bedding</t>
        </is>
      </c>
      <c r="E575" t="inlineStr">
        <is>
          <t>Throws</t>
        </is>
      </c>
      <c r="F575" t="inlineStr">
        <is>
          <t>Tirrinia</t>
        </is>
      </c>
      <c r="G575" t="n">
        <v>0</v>
      </c>
      <c r="H575" t="n">
        <v>0</v>
      </c>
      <c r="I575" t="inlineStr">
        <is>
          <t>Optimized</t>
        </is>
      </c>
      <c r="J575" s="29" t="n">
        <v>29.99</v>
      </c>
      <c r="K575" s="30" t="n">
        <v>0.0003</v>
      </c>
      <c r="L575" s="29" t="n">
        <v>0</v>
      </c>
      <c r="M575" s="29" t="n">
        <v>0</v>
      </c>
      <c r="N575" s="2" t="n">
        <v>1</v>
      </c>
      <c r="O575" s="31" t="n">
        <v>0</v>
      </c>
      <c r="P575" s="32" t="n"/>
      <c r="Q575" s="32" t="n">
        <v>0</v>
      </c>
      <c r="R575" s="32" t="n">
        <v>0</v>
      </c>
      <c r="S575" s="31" t="n">
        <v>0</v>
      </c>
      <c r="T575" s="32" t="n">
        <v>0</v>
      </c>
      <c r="U575" s="31" t="n">
        <v>0</v>
      </c>
      <c r="V575" s="31" t="n">
        <v>0</v>
      </c>
      <c r="W575" s="3" t="n">
        <v>0</v>
      </c>
      <c r="X575" s="3" t="n">
        <v>0</v>
      </c>
      <c r="Y575" s="32" t="n">
        <v>0</v>
      </c>
      <c r="Z575" s="3" t="n">
        <v>0</v>
      </c>
      <c r="AA575" s="32" t="n">
        <v>0</v>
      </c>
      <c r="AB575" s="3" t="n"/>
      <c r="AC575" s="31" t="n">
        <v>0</v>
      </c>
      <c r="AD575" s="2" t="n">
        <v>14</v>
      </c>
      <c r="AE575" s="2" t="n">
        <v>22</v>
      </c>
      <c r="AF575" s="4" t="n">
        <v>22</v>
      </c>
      <c r="AG575" s="33" t="n">
        <v>29.99</v>
      </c>
      <c r="AH575" s="4" t="n">
        <v>1</v>
      </c>
      <c r="AI575" s="34" t="n">
        <v>0.0455</v>
      </c>
      <c r="AJ575" s="34" t="n">
        <v>1</v>
      </c>
      <c r="AK575" s="2" t="n">
        <v>0</v>
      </c>
      <c r="AL575" t="inlineStr">
        <is>
          <t>Published</t>
        </is>
      </c>
    </row>
    <row r="576">
      <c r="A576">
        <f>HYPERLINK("https://www.walmart.com/ip/731362127", "731362127")</f>
        <v/>
      </c>
      <c r="B576">
        <f>HYPERLINK("https://app.optiwise.ai/catalog/itemdetails/361762", "Panda Oversized Sherpa Hoodie Blanket Sweatshirt for Women")</f>
        <v/>
      </c>
      <c r="C576" t="inlineStr">
        <is>
          <t>1WMHD201PAN</t>
        </is>
      </c>
      <c r="D576" t="inlineStr">
        <is>
          <t>Clothing</t>
        </is>
      </c>
      <c r="E576" t="inlineStr">
        <is>
          <t>Sweatshirts &amp; Hoodies</t>
        </is>
      </c>
      <c r="F576" t="inlineStr">
        <is>
          <t>Flyingstar</t>
        </is>
      </c>
      <c r="G576" t="n">
        <v>0</v>
      </c>
      <c r="H576" t="n">
        <v>0</v>
      </c>
      <c r="I576" t="inlineStr">
        <is>
          <t>Hoodie ForAdult,Optimized</t>
        </is>
      </c>
      <c r="J576" s="29" t="n">
        <v>29.99</v>
      </c>
      <c r="K576" s="30" t="n">
        <v>0.0003</v>
      </c>
      <c r="L576" s="29" t="n">
        <v>0</v>
      </c>
      <c r="M576" s="29" t="n">
        <v>0</v>
      </c>
      <c r="N576" s="2" t="n">
        <v>1</v>
      </c>
      <c r="O576" s="31" t="n">
        <v>0.78</v>
      </c>
      <c r="P576" s="32" t="n">
        <v>0.0001</v>
      </c>
      <c r="Q576" s="32" t="n">
        <v>0.026</v>
      </c>
      <c r="R576" s="32" t="n">
        <v>0.0765</v>
      </c>
      <c r="S576" s="31" t="n">
        <v>0</v>
      </c>
      <c r="T576" s="32" t="n">
        <v>0</v>
      </c>
      <c r="U576" s="31" t="n">
        <v>0</v>
      </c>
      <c r="V576" s="31" t="n">
        <v>0</v>
      </c>
      <c r="W576" s="3" t="n">
        <v>10964</v>
      </c>
      <c r="X576" s="3" t="n">
        <v>2</v>
      </c>
      <c r="Y576" s="32" t="n">
        <v>0.0002</v>
      </c>
      <c r="Z576" s="3" t="n">
        <v>0</v>
      </c>
      <c r="AA576" s="32" t="n">
        <v>0</v>
      </c>
      <c r="AB576" s="3" t="inlineStr">
        <is>
          <t>Hoodies_Auto</t>
        </is>
      </c>
      <c r="AC576" s="31" t="n">
        <v>0.39</v>
      </c>
      <c r="AD576" s="2" t="n">
        <v>0</v>
      </c>
      <c r="AE576" s="2" t="n">
        <v>18</v>
      </c>
      <c r="AF576" s="4" t="n">
        <v>16</v>
      </c>
      <c r="AG576" s="33" t="n">
        <v>29.99</v>
      </c>
      <c r="AH576" s="4" t="n">
        <v>1</v>
      </c>
      <c r="AI576" s="34" t="n">
        <v>0.0625</v>
      </c>
      <c r="AJ576" s="34" t="n">
        <v>1</v>
      </c>
      <c r="AK576" s="2" t="n">
        <v>13500</v>
      </c>
      <c r="AL576" t="inlineStr">
        <is>
          <t>Published</t>
        </is>
      </c>
    </row>
    <row r="577">
      <c r="A577">
        <f>HYPERLINK("https://www.walmart.com/ip/116474060", "116474060")</f>
        <v/>
      </c>
      <c r="B577">
        <f>HYPERLINK("https://app.optiwise.ai/catalog/itemdetails/362231", "Deluxe Stylish Microplush Sleeved Fleece Blanket Soft Home Sofa Snuggie")</f>
        <v/>
      </c>
      <c r="C577" t="inlineStr">
        <is>
          <t>k3000-blue</t>
        </is>
      </c>
      <c r="D577" t="inlineStr">
        <is>
          <t>Clothing</t>
        </is>
      </c>
      <c r="E577" t="inlineStr">
        <is>
          <t>Throws</t>
        </is>
      </c>
      <c r="F577" t="inlineStr">
        <is>
          <t>NAPA</t>
        </is>
      </c>
      <c r="G577" t="n">
        <v>0</v>
      </c>
      <c r="H577" t="n">
        <v>0</v>
      </c>
      <c r="I577" t="inlineStr">
        <is>
          <t>Batch 1 - TR</t>
        </is>
      </c>
      <c r="J577" s="29" t="n">
        <v>29.99</v>
      </c>
      <c r="K577" s="30" t="n">
        <v>0.0003</v>
      </c>
      <c r="L577" s="29" t="n">
        <v>0</v>
      </c>
      <c r="M577" s="29" t="n">
        <v>0</v>
      </c>
      <c r="N577" s="2" t="n">
        <v>1</v>
      </c>
      <c r="O577" s="31" t="n">
        <v>0</v>
      </c>
      <c r="P577" s="32" t="n"/>
      <c r="Q577" s="32" t="n">
        <v>0</v>
      </c>
      <c r="R577" s="32" t="n">
        <v>0</v>
      </c>
      <c r="S577" s="31" t="n">
        <v>0</v>
      </c>
      <c r="T577" s="32" t="n">
        <v>0</v>
      </c>
      <c r="U577" s="31" t="n">
        <v>0</v>
      </c>
      <c r="V577" s="31" t="n">
        <v>0</v>
      </c>
      <c r="W577" s="3" t="n">
        <v>0</v>
      </c>
      <c r="X577" s="3" t="n">
        <v>0</v>
      </c>
      <c r="Y577" s="32" t="n">
        <v>0</v>
      </c>
      <c r="Z577" s="3" t="n">
        <v>0</v>
      </c>
      <c r="AA577" s="32" t="n">
        <v>0</v>
      </c>
      <c r="AB577" s="3" t="n"/>
      <c r="AC577" s="31" t="n">
        <v>0</v>
      </c>
      <c r="AD577" s="2" t="n">
        <v>0</v>
      </c>
      <c r="AE577" s="2" t="n">
        <v>19</v>
      </c>
      <c r="AF577" s="4" t="n">
        <v>19</v>
      </c>
      <c r="AG577" s="33" t="n">
        <v>29.99</v>
      </c>
      <c r="AH577" s="4" t="n">
        <v>1</v>
      </c>
      <c r="AI577" s="34" t="n">
        <v>0.0526</v>
      </c>
      <c r="AJ577" s="34" t="n">
        <v>1</v>
      </c>
      <c r="AK577" s="2" t="n">
        <v>13500</v>
      </c>
      <c r="AL577" t="inlineStr">
        <is>
          <t>Published</t>
        </is>
      </c>
    </row>
    <row r="578">
      <c r="A578">
        <f>HYPERLINK("https://www.walmart.com/ip/528475578", "528475578")</f>
        <v/>
      </c>
      <c r="B578">
        <f>HYPERLINK("https://app.optiwise.ai/catalog/itemdetails/409173", "Oversized Hooded Poncho Cape, Casual Hoodie Sweatshirt, Batwing Coat Pullover | Light Weight, Cozy, Comfortable, Roomy | for Adults Women Men Teens")</f>
        <v/>
      </c>
      <c r="C578" t="inlineStr">
        <is>
          <t>1CTHD542GY</t>
        </is>
      </c>
      <c r="D578" t="inlineStr">
        <is>
          <t>Clothing</t>
        </is>
      </c>
      <c r="E578" t="inlineStr">
        <is>
          <t>Sweatshirts &amp; Hoodies</t>
        </is>
      </c>
      <c r="F578" t="inlineStr">
        <is>
          <t>Catalonia</t>
        </is>
      </c>
      <c r="G578" t="n">
        <v>0</v>
      </c>
      <c r="H578" t="n">
        <v>0</v>
      </c>
      <c r="I578" t="inlineStr">
        <is>
          <t>Hoodie ForAdult,Optimized,Coupon_Discount</t>
        </is>
      </c>
      <c r="J578" s="29" t="n">
        <v>29.99</v>
      </c>
      <c r="K578" s="30" t="n">
        <v>0.0003</v>
      </c>
      <c r="L578" s="29" t="n">
        <v>0</v>
      </c>
      <c r="M578" s="29" t="n">
        <v>0</v>
      </c>
      <c r="N578" s="2" t="n">
        <v>1</v>
      </c>
      <c r="O578" s="31" t="n">
        <v>1.05</v>
      </c>
      <c r="P578" s="32" t="n">
        <v>0.0001</v>
      </c>
      <c r="Q578" s="32" t="n">
        <v>0.035</v>
      </c>
      <c r="R578" s="32" t="n">
        <v>0.08840000000000001</v>
      </c>
      <c r="S578" s="31" t="n">
        <v>0</v>
      </c>
      <c r="T578" s="32" t="n">
        <v>0</v>
      </c>
      <c r="U578" s="31" t="n">
        <v>0</v>
      </c>
      <c r="V578" s="31" t="n">
        <v>0</v>
      </c>
      <c r="W578" s="3" t="n">
        <v>2456</v>
      </c>
      <c r="X578" s="3" t="n">
        <v>3</v>
      </c>
      <c r="Y578" s="32" t="n">
        <v>0.0012</v>
      </c>
      <c r="Z578" s="3" t="n">
        <v>0</v>
      </c>
      <c r="AA578" s="32" t="n">
        <v>0</v>
      </c>
      <c r="AB578" s="3" t="inlineStr">
        <is>
          <t>High AUR SKUs_Optiwise_2024</t>
        </is>
      </c>
      <c r="AC578" s="31" t="n">
        <v>0.35</v>
      </c>
      <c r="AD578" s="2" t="n">
        <v>8</v>
      </c>
      <c r="AE578" s="2" t="n">
        <v>49</v>
      </c>
      <c r="AF578" s="4" t="n">
        <v>46</v>
      </c>
      <c r="AG578" s="33" t="n">
        <v>29.99</v>
      </c>
      <c r="AH578" s="4" t="n">
        <v>1</v>
      </c>
      <c r="AI578" s="34" t="n">
        <v>0.0217</v>
      </c>
      <c r="AJ578" s="34" t="n">
        <v>1</v>
      </c>
      <c r="AK578" s="2" t="n">
        <v>3240</v>
      </c>
      <c r="AL578" t="inlineStr">
        <is>
          <t>Published</t>
        </is>
      </c>
    </row>
    <row r="579">
      <c r="A579">
        <f>HYPERLINK("https://www.walmart.com/ip/184309692", "184309692")</f>
        <v/>
      </c>
      <c r="B579">
        <f>HYPERLINK("https://app.optiwise.ai/catalog/itemdetails/362170", "Medium Pet Travel Backpack Carrier for Dogs Cat Animal Puppy, Breathable Mesh Net Removable Sherpa Bed Outdoor Carrier f")</f>
        <v/>
      </c>
      <c r="C579" t="inlineStr">
        <is>
          <t>1WMPB200NV</t>
        </is>
      </c>
      <c r="D579" t="inlineStr">
        <is>
          <t>Animal Other</t>
        </is>
      </c>
      <c r="E579" t="inlineStr">
        <is>
          <t>Pet Carriers</t>
        </is>
      </c>
      <c r="F579" t="inlineStr">
        <is>
          <t>Flyingstar</t>
        </is>
      </c>
      <c r="G579" t="n">
        <v>0</v>
      </c>
      <c r="H579" t="n">
        <v>0</v>
      </c>
      <c r="I579" t="inlineStr">
        <is>
          <t>Batch 1 - TR</t>
        </is>
      </c>
      <c r="J579" s="29" t="n">
        <v>29.99</v>
      </c>
      <c r="K579" s="30" t="n">
        <v>0.0003</v>
      </c>
      <c r="L579" s="29" t="n">
        <v>0</v>
      </c>
      <c r="M579" s="29" t="n">
        <v>0</v>
      </c>
      <c r="N579" s="2" t="n">
        <v>1</v>
      </c>
      <c r="O579" s="31" t="n">
        <v>0</v>
      </c>
      <c r="P579" s="32" t="n"/>
      <c r="Q579" s="32" t="n">
        <v>0</v>
      </c>
      <c r="R579" s="32" t="n">
        <v>0</v>
      </c>
      <c r="S579" s="31" t="n">
        <v>0</v>
      </c>
      <c r="T579" s="32" t="n">
        <v>0</v>
      </c>
      <c r="U579" s="31" t="n">
        <v>0</v>
      </c>
      <c r="V579" s="31" t="n">
        <v>0</v>
      </c>
      <c r="W579" s="3" t="n">
        <v>0</v>
      </c>
      <c r="X579" s="3" t="n">
        <v>0</v>
      </c>
      <c r="Y579" s="32" t="n">
        <v>0</v>
      </c>
      <c r="Z579" s="3" t="n">
        <v>0</v>
      </c>
      <c r="AA579" s="32" t="n">
        <v>0</v>
      </c>
      <c r="AB579" s="3" t="n"/>
      <c r="AC579" s="31" t="n">
        <v>0</v>
      </c>
      <c r="AD579" s="2" t="n">
        <v>0</v>
      </c>
      <c r="AE579" s="2" t="n">
        <v>12</v>
      </c>
      <c r="AF579" s="4" t="n">
        <v>12</v>
      </c>
      <c r="AG579" s="33" t="n">
        <v>29.99</v>
      </c>
      <c r="AH579" s="4" t="n">
        <v>1</v>
      </c>
      <c r="AI579" s="34" t="n">
        <v>0.0833</v>
      </c>
      <c r="AJ579" s="34" t="n">
        <v>1</v>
      </c>
      <c r="AK579" s="2" t="n">
        <v>13500</v>
      </c>
      <c r="AL579" t="inlineStr">
        <is>
          <t>Published</t>
        </is>
      </c>
    </row>
    <row r="580">
      <c r="A580">
        <f>HYPERLINK("https://www.walmart.com/ip/932821814", "932821814")</f>
        <v/>
      </c>
      <c r="B580">
        <f>HYPERLINK("https://app.optiwise.ai/catalog/itemdetails/362789", "Catalonia Waterproof Blanket for Baby, Pee Proof Pet Cover for Couch Bed, Reversible Sherpa Fleece Throws for Relaxing Traveling Camping, 60x50, Brown/Tuape")</f>
        <v/>
      </c>
      <c r="C580" t="inlineStr">
        <is>
          <t>1CTBW561BNTP</t>
        </is>
      </c>
      <c r="D580" t="inlineStr">
        <is>
          <t>Bedding</t>
        </is>
      </c>
      <c r="E580" t="inlineStr">
        <is>
          <t>Throws</t>
        </is>
      </c>
      <c r="F580" t="inlineStr">
        <is>
          <t>Catalonia</t>
        </is>
      </c>
      <c r="G580" t="n">
        <v>0</v>
      </c>
      <c r="H580" t="n">
        <v>0</v>
      </c>
      <c r="I580" t="inlineStr">
        <is>
          <t>Q2-Target,Optimized,Wproof Blanket,SEM</t>
        </is>
      </c>
      <c r="J580" s="29" t="n">
        <v>29.99</v>
      </c>
      <c r="K580" s="30" t="n">
        <v>0.0003</v>
      </c>
      <c r="L580" s="29" t="n">
        <v>0</v>
      </c>
      <c r="M580" s="29" t="n">
        <v>0</v>
      </c>
      <c r="N580" s="2" t="n">
        <v>1</v>
      </c>
      <c r="O580" s="31" t="n">
        <v>11.87</v>
      </c>
      <c r="P580" s="32" t="n">
        <v>0.0014</v>
      </c>
      <c r="Q580" s="32" t="n">
        <v>0.3958</v>
      </c>
      <c r="R580" s="32" t="n">
        <v>0</v>
      </c>
      <c r="S580" s="31" t="n">
        <v>5.05</v>
      </c>
      <c r="T580" s="32" t="n">
        <v>0.2</v>
      </c>
      <c r="U580" s="31" t="n">
        <v>59.98</v>
      </c>
      <c r="V580" s="31" t="n">
        <v>59.98</v>
      </c>
      <c r="W580" s="3" t="n">
        <v>8458</v>
      </c>
      <c r="X580" s="3" t="n">
        <v>28</v>
      </c>
      <c r="Y580" s="32" t="n">
        <v>0.0033</v>
      </c>
      <c r="Z580" s="3" t="n">
        <v>2</v>
      </c>
      <c r="AA580" s="32" t="n">
        <v>0.07140000000000001</v>
      </c>
      <c r="AB580" s="3" t="inlineStr">
        <is>
          <t>Auto for BW Indoor,Throws_Auto_Optiwise_24</t>
        </is>
      </c>
      <c r="AC580" s="31" t="n">
        <v>0.42</v>
      </c>
      <c r="AD580" s="2" t="n">
        <v>0</v>
      </c>
      <c r="AE580" s="2" t="n">
        <v>157</v>
      </c>
      <c r="AF580" s="4" t="n">
        <v>129</v>
      </c>
      <c r="AG580" s="33" t="n">
        <v>-29.99</v>
      </c>
      <c r="AH580" s="4" t="n">
        <v>-1</v>
      </c>
      <c r="AI580" s="34" t="n">
        <v>-0.0078</v>
      </c>
      <c r="AJ580" s="34" t="n">
        <v>-1</v>
      </c>
      <c r="AK580" s="2" t="n">
        <v>13500</v>
      </c>
      <c r="AL580" t="inlineStr">
        <is>
          <t>Published</t>
        </is>
      </c>
    </row>
    <row r="581">
      <c r="A581">
        <f>HYPERLINK("https://www.walmart.com/ip/1456630097", "1456630097")</f>
        <v/>
      </c>
      <c r="B581">
        <f>HYPERLINK("https://app.optiwise.ai/catalog/itemdetails/5617064", "Pawsse Pet Carrier Backpack for Dogs and Cats up to 15 lbs, 16 H x13.2 L x12 W, Black")</f>
        <v/>
      </c>
      <c r="C581" t="inlineStr">
        <is>
          <t>1PSPB200BK</t>
        </is>
      </c>
      <c r="D581" t="inlineStr">
        <is>
          <t>Animal Other</t>
        </is>
      </c>
      <c r="E581" t="inlineStr">
        <is>
          <t>Pet Carriers</t>
        </is>
      </c>
      <c r="F581" t="inlineStr">
        <is>
          <t>Pawsse</t>
        </is>
      </c>
      <c r="G581" t="n">
        <v>0</v>
      </c>
      <c r="H581" t="n">
        <v>0</v>
      </c>
      <c r="J581" s="29" t="n">
        <v>29.99</v>
      </c>
      <c r="K581" s="30" t="n">
        <v>0.0003</v>
      </c>
      <c r="L581" s="29" t="n">
        <v>0</v>
      </c>
      <c r="M581" s="29" t="n">
        <v>0</v>
      </c>
      <c r="N581" s="2" t="n">
        <v>1</v>
      </c>
      <c r="O581" s="31" t="n">
        <v>0</v>
      </c>
      <c r="P581" s="32" t="n"/>
      <c r="Q581" s="32" t="n">
        <v>0</v>
      </c>
      <c r="R581" s="32" t="n">
        <v>0</v>
      </c>
      <c r="S581" s="31" t="n">
        <v>0</v>
      </c>
      <c r="T581" s="32" t="n">
        <v>0</v>
      </c>
      <c r="U581" s="31" t="n">
        <v>0</v>
      </c>
      <c r="V581" s="31" t="n">
        <v>0</v>
      </c>
      <c r="W581" s="3" t="n">
        <v>0</v>
      </c>
      <c r="X581" s="3" t="n">
        <v>0</v>
      </c>
      <c r="Y581" s="32" t="n">
        <v>0</v>
      </c>
      <c r="Z581" s="3" t="n">
        <v>0</v>
      </c>
      <c r="AA581" s="32" t="n">
        <v>0</v>
      </c>
      <c r="AB581" s="3" t="n"/>
      <c r="AC581" s="31" t="n">
        <v>0</v>
      </c>
      <c r="AD581" s="2" t="n">
        <v>0</v>
      </c>
      <c r="AE581" s="2" t="n">
        <v>10</v>
      </c>
      <c r="AF581" s="4" t="n">
        <v>10</v>
      </c>
      <c r="AG581" s="33" t="n">
        <v>29.99</v>
      </c>
      <c r="AH581" s="4" t="n">
        <v>1</v>
      </c>
      <c r="AI581" s="34" t="n">
        <v>0.1</v>
      </c>
      <c r="AJ581" s="34" t="n">
        <v>1</v>
      </c>
      <c r="AK581" s="2" t="n">
        <v>13500</v>
      </c>
      <c r="AL581" t="inlineStr">
        <is>
          <t>Published</t>
        </is>
      </c>
    </row>
    <row r="582">
      <c r="A582">
        <f>HYPERLINK("https://www.walmart.com/ip/429617165", "429617165")</f>
        <v/>
      </c>
      <c r="B582">
        <f>HYPERLINK("https://app.optiwise.ai/catalog/itemdetails/362515", "Catalonia Sherpa Fleece Blanket for Bed, Super Soft Fleece Plush Sofa Couch Throw Blanket, TV Bed Blanket, Comfy Cozy Fluffy Warm Comforter, Caring Gift(Camel,60x80 inches)")</f>
        <v/>
      </c>
      <c r="C582" t="inlineStr">
        <is>
          <t>1CTBF368CA</t>
        </is>
      </c>
      <c r="D582" t="inlineStr">
        <is>
          <t>Bedding</t>
        </is>
      </c>
      <c r="E582" t="inlineStr">
        <is>
          <t>Throws</t>
        </is>
      </c>
      <c r="F582" t="inlineStr">
        <is>
          <t>Catalonia</t>
        </is>
      </c>
      <c r="G582" t="n">
        <v>0</v>
      </c>
      <c r="H582" t="n">
        <v>0</v>
      </c>
      <c r="I582" t="inlineStr">
        <is>
          <t>WFS,WFS Item,Fleece Blankets</t>
        </is>
      </c>
      <c r="J582" s="29" t="n">
        <v>29.99</v>
      </c>
      <c r="K582" s="30" t="n">
        <v>0.0003</v>
      </c>
      <c r="L582" s="29" t="n">
        <v>0</v>
      </c>
      <c r="M582" s="29" t="n">
        <v>0</v>
      </c>
      <c r="N582" s="2" t="n">
        <v>1</v>
      </c>
      <c r="O582" s="31" t="n">
        <v>40.2</v>
      </c>
      <c r="P582" s="32" t="n">
        <v>0.0048</v>
      </c>
      <c r="Q582" s="32" t="n">
        <v>1.3404</v>
      </c>
      <c r="R582" s="32" t="n">
        <v>-0.06660000000000001</v>
      </c>
      <c r="S582" s="31" t="n">
        <v>1.91</v>
      </c>
      <c r="T582" s="32" t="n">
        <v>0.52</v>
      </c>
      <c r="U582" s="31" t="n">
        <v>76.97</v>
      </c>
      <c r="V582" s="31" t="n">
        <v>54.98</v>
      </c>
      <c r="W582" s="3" t="n">
        <v>117519</v>
      </c>
      <c r="X582" s="3" t="n">
        <v>93</v>
      </c>
      <c r="Y582" s="32" t="n">
        <v>0.0008</v>
      </c>
      <c r="Z582" s="3" t="n">
        <v>3</v>
      </c>
      <c r="AA582" s="32" t="n">
        <v>0.0323</v>
      </c>
      <c r="AB582" s="3" t="inlineStr">
        <is>
          <t>WFS Inventory</t>
        </is>
      </c>
      <c r="AC582" s="31" t="n">
        <v>0.43</v>
      </c>
      <c r="AD582" s="2" t="n">
        <v>0</v>
      </c>
      <c r="AE582" s="2" t="n">
        <v>60</v>
      </c>
      <c r="AF582" s="4" t="inlineStr">
        <is>
          <t>NA</t>
        </is>
      </c>
      <c r="AG582" s="33" t="n">
        <v>-46.98</v>
      </c>
      <c r="AH582" s="4" t="n">
        <v>-2</v>
      </c>
      <c r="AI582" s="34" t="inlineStr">
        <is>
          <t>NA</t>
        </is>
      </c>
      <c r="AJ582" s="34" t="n">
        <v>-1.5665</v>
      </c>
      <c r="AK582" s="2" t="n">
        <v>14715</v>
      </c>
      <c r="AL582" t="inlineStr">
        <is>
          <t>Published</t>
        </is>
      </c>
    </row>
    <row r="583">
      <c r="A583">
        <f>HYPERLINK("https://www.walmart.com/ip/401075674", "401075674")</f>
        <v/>
      </c>
      <c r="B583">
        <f>HYPERLINK("https://app.optiwise.ai/catalog/itemdetails/362029", "Hooded Blanket Poncho | Wearable Blanket Wrap with Hand Pockets | Comfy Sherpa Fleece Throw Cape for Children and Adults, Women Gift")</f>
        <v/>
      </c>
      <c r="C583" t="inlineStr">
        <is>
          <t>1CTBC100WN</t>
        </is>
      </c>
      <c r="D583" t="inlineStr">
        <is>
          <t>Bedding</t>
        </is>
      </c>
      <c r="E583" t="inlineStr">
        <is>
          <t>Throws</t>
        </is>
      </c>
      <c r="F583" t="inlineStr">
        <is>
          <t>Catalonia</t>
        </is>
      </c>
      <c r="G583" t="n">
        <v>0</v>
      </c>
      <c r="H583" t="n">
        <v>0</v>
      </c>
      <c r="I583" t="inlineStr">
        <is>
          <t>WFS,WFS Item</t>
        </is>
      </c>
      <c r="J583" s="29" t="n">
        <v>29.99</v>
      </c>
      <c r="K583" s="30" t="n">
        <v>0.0003</v>
      </c>
      <c r="L583" s="29" t="n">
        <v>0</v>
      </c>
      <c r="M583" s="29" t="n">
        <v>0</v>
      </c>
      <c r="N583" s="2" t="n">
        <v>1</v>
      </c>
      <c r="O583" s="31" t="n">
        <v>0</v>
      </c>
      <c r="P583" s="32" t="n"/>
      <c r="Q583" s="32" t="n">
        <v>0</v>
      </c>
      <c r="R583" s="32" t="n">
        <v>0</v>
      </c>
      <c r="S583" s="31" t="n">
        <v>0</v>
      </c>
      <c r="T583" s="32" t="n">
        <v>0</v>
      </c>
      <c r="U583" s="31" t="n">
        <v>0</v>
      </c>
      <c r="V583" s="31" t="n">
        <v>0</v>
      </c>
      <c r="W583" s="3" t="n">
        <v>0</v>
      </c>
      <c r="X583" s="3" t="n">
        <v>0</v>
      </c>
      <c r="Y583" s="32" t="n">
        <v>0</v>
      </c>
      <c r="Z583" s="3" t="n">
        <v>0</v>
      </c>
      <c r="AA583" s="32" t="n">
        <v>0</v>
      </c>
      <c r="AB583" s="3" t="n"/>
      <c r="AC583" s="31" t="n">
        <v>0</v>
      </c>
      <c r="AD583" s="2" t="n">
        <v>1</v>
      </c>
      <c r="AE583" s="2" t="n">
        <v>32</v>
      </c>
      <c r="AF583" s="4" t="n">
        <v>32</v>
      </c>
      <c r="AG583" s="33" t="n">
        <v>29.99</v>
      </c>
      <c r="AH583" s="4" t="n">
        <v>1</v>
      </c>
      <c r="AI583" s="34" t="n">
        <v>0.0312</v>
      </c>
      <c r="AJ583" s="34" t="n">
        <v>1</v>
      </c>
      <c r="AK583" s="2" t="n">
        <v>13500</v>
      </c>
      <c r="AL583" t="inlineStr">
        <is>
          <t>Published</t>
        </is>
      </c>
    </row>
    <row r="584">
      <c r="A584">
        <f>HYPERLINK("https://www.walmart.com/ip/198198597", "198198597")</f>
        <v/>
      </c>
      <c r="B584">
        <f>HYPERLINK("https://app.optiwise.ai/catalog/itemdetails/361797", "Deluxe Stylish Microplush Sleeved Fleece Blanket Soft Home Sofa Snuggie")</f>
        <v/>
      </c>
      <c r="C584" t="inlineStr">
        <is>
          <t>k3000-black</t>
        </is>
      </c>
      <c r="D584" t="inlineStr">
        <is>
          <t>Clothing</t>
        </is>
      </c>
      <c r="E584" t="inlineStr">
        <is>
          <t>Sleepwear Robes &amp; Bathrobes</t>
        </is>
      </c>
      <c r="F584" t="inlineStr">
        <is>
          <t>NAPA</t>
        </is>
      </c>
      <c r="G584" t="n">
        <v>0</v>
      </c>
      <c r="H584" t="n">
        <v>0</v>
      </c>
      <c r="I584" t="inlineStr">
        <is>
          <t>Fleece Blankets,Batch 1 - TR</t>
        </is>
      </c>
      <c r="J584" s="29" t="n">
        <v>29.99</v>
      </c>
      <c r="K584" s="30" t="n">
        <v>0.0003</v>
      </c>
      <c r="L584" s="29" t="n">
        <v>0</v>
      </c>
      <c r="M584" s="29" t="n">
        <v>0</v>
      </c>
      <c r="N584" s="2" t="n">
        <v>1</v>
      </c>
      <c r="O584" s="31" t="n">
        <v>0</v>
      </c>
      <c r="P584" s="32" t="n"/>
      <c r="Q584" s="32" t="n">
        <v>0</v>
      </c>
      <c r="R584" s="32" t="n">
        <v>0</v>
      </c>
      <c r="S584" s="31" t="n">
        <v>0</v>
      </c>
      <c r="T584" s="32" t="n">
        <v>0</v>
      </c>
      <c r="U584" s="31" t="n">
        <v>0</v>
      </c>
      <c r="V584" s="31" t="n">
        <v>0</v>
      </c>
      <c r="W584" s="3" t="n">
        <v>0</v>
      </c>
      <c r="X584" s="3" t="n">
        <v>0</v>
      </c>
      <c r="Y584" s="32" t="n">
        <v>0</v>
      </c>
      <c r="Z584" s="3" t="n">
        <v>0</v>
      </c>
      <c r="AA584" s="32" t="n">
        <v>0</v>
      </c>
      <c r="AB584" s="3" t="n"/>
      <c r="AC584" s="31" t="n">
        <v>0</v>
      </c>
      <c r="AD584" s="2" t="n">
        <v>0</v>
      </c>
      <c r="AE584" s="2" t="n">
        <v>26</v>
      </c>
      <c r="AF584" s="4" t="n">
        <v>26</v>
      </c>
      <c r="AG584" s="33" t="n">
        <v>29.99</v>
      </c>
      <c r="AH584" s="4" t="n">
        <v>1</v>
      </c>
      <c r="AI584" s="34" t="n">
        <v>0.0385</v>
      </c>
      <c r="AJ584" s="34" t="n">
        <v>1</v>
      </c>
      <c r="AK584" s="2" t="n">
        <v>13500</v>
      </c>
      <c r="AL584" t="inlineStr">
        <is>
          <t>Published</t>
        </is>
      </c>
    </row>
    <row r="585">
      <c r="A585">
        <f>HYPERLINK("https://www.walmart.com/ip/640528468", "640528468")</f>
        <v/>
      </c>
      <c r="B585">
        <f>HYPERLINK("https://app.optiwise.ai/catalog/itemdetails/417472", "Tirrinia Warm Comfy Foldable Outdoor Waterproof Blanket for Camping Stadium, 51'' X 59'', Navy")</f>
        <v/>
      </c>
      <c r="C585" t="inlineStr">
        <is>
          <t>1TRBW506NYGY-TBCB</t>
        </is>
      </c>
      <c r="D585" t="inlineStr">
        <is>
          <t>Sport &amp; Recreation Other</t>
        </is>
      </c>
      <c r="E585" t="inlineStr">
        <is>
          <t>Throws</t>
        </is>
      </c>
      <c r="F585" t="inlineStr">
        <is>
          <t>Tirrinia</t>
        </is>
      </c>
      <c r="G585" t="n">
        <v>3</v>
      </c>
      <c r="H585" t="n">
        <v>1</v>
      </c>
      <c r="I585" t="inlineStr">
        <is>
          <t>Q2-Target,Optimized</t>
        </is>
      </c>
      <c r="J585" s="29" t="n">
        <v>29.99</v>
      </c>
      <c r="K585" s="30" t="n">
        <v>0.0003</v>
      </c>
      <c r="L585" s="29" t="n">
        <v>0</v>
      </c>
      <c r="M585" s="29" t="n">
        <v>0</v>
      </c>
      <c r="N585" s="2" t="n">
        <v>1</v>
      </c>
      <c r="O585" s="31" t="n">
        <v>0</v>
      </c>
      <c r="P585" s="32" t="n"/>
      <c r="Q585" s="32" t="n">
        <v>0</v>
      </c>
      <c r="R585" s="32" t="n">
        <v>0</v>
      </c>
      <c r="S585" s="31" t="n">
        <v>0</v>
      </c>
      <c r="T585" s="32" t="n">
        <v>0</v>
      </c>
      <c r="U585" s="31" t="n">
        <v>0</v>
      </c>
      <c r="V585" s="31" t="n">
        <v>0</v>
      </c>
      <c r="W585" s="3" t="n">
        <v>0</v>
      </c>
      <c r="X585" s="3" t="n">
        <v>0</v>
      </c>
      <c r="Y585" s="32" t="n">
        <v>0</v>
      </c>
      <c r="Z585" s="3" t="n">
        <v>0</v>
      </c>
      <c r="AA585" s="32" t="n">
        <v>0</v>
      </c>
      <c r="AB585" s="3" t="n"/>
      <c r="AC585" s="31" t="n">
        <v>0</v>
      </c>
      <c r="AD585" s="2" t="n">
        <v>7</v>
      </c>
      <c r="AE585" s="2" t="n">
        <v>61</v>
      </c>
      <c r="AF585" s="4" t="n">
        <v>61</v>
      </c>
      <c r="AG585" s="33" t="n">
        <v>29.99</v>
      </c>
      <c r="AH585" s="4" t="n">
        <v>1</v>
      </c>
      <c r="AI585" s="34" t="n">
        <v>0.0164</v>
      </c>
      <c r="AJ585" s="34" t="n">
        <v>1</v>
      </c>
      <c r="AK585" s="2" t="n">
        <v>13500</v>
      </c>
      <c r="AL585" t="inlineStr">
        <is>
          <t>Published</t>
        </is>
      </c>
    </row>
    <row r="586">
      <c r="A586">
        <f>HYPERLINK("https://www.walmart.com/ip/442936605", "442936605")</f>
        <v/>
      </c>
      <c r="B586">
        <f>HYPERLINK("https://app.optiwise.ai/catalog/itemdetails/360800", "Womens Sun Hats Summer Reversible UPF 50+ Beach, Hiking Hat, Foldable Floppy Wide Brim Cap")</f>
        <v/>
      </c>
      <c r="C586" t="inlineStr">
        <is>
          <t>TERRACAP-F069-BLU</t>
        </is>
      </c>
      <c r="D586" t="inlineStr">
        <is>
          <t>Clothing</t>
        </is>
      </c>
      <c r="E586" t="inlineStr">
        <is>
          <t>Hats</t>
        </is>
      </c>
      <c r="F586" t="inlineStr">
        <is>
          <t>Terra</t>
        </is>
      </c>
      <c r="G586" t="n">
        <v>0</v>
      </c>
      <c r="H586" t="n">
        <v>0</v>
      </c>
      <c r="I586" t="inlineStr">
        <is>
          <t>Hats,Batch 1 - TR</t>
        </is>
      </c>
      <c r="J586" s="29" t="n">
        <v>29.98</v>
      </c>
      <c r="K586" s="30" t="n">
        <v>0.0003</v>
      </c>
      <c r="L586" s="29" t="n">
        <v>0</v>
      </c>
      <c r="M586" s="29" t="n">
        <v>0</v>
      </c>
      <c r="N586" s="2" t="n">
        <v>2</v>
      </c>
      <c r="O586" s="31" t="n">
        <v>0</v>
      </c>
      <c r="P586" s="32" t="n"/>
      <c r="Q586" s="32" t="n">
        <v>0</v>
      </c>
      <c r="R586" s="32" t="n">
        <v>0</v>
      </c>
      <c r="S586" s="31" t="n">
        <v>0</v>
      </c>
      <c r="T586" s="32" t="n">
        <v>0</v>
      </c>
      <c r="U586" s="31" t="n">
        <v>0</v>
      </c>
      <c r="V586" s="31" t="n">
        <v>0</v>
      </c>
      <c r="W586" s="3" t="n">
        <v>0</v>
      </c>
      <c r="X586" s="3" t="n">
        <v>0</v>
      </c>
      <c r="Y586" s="32" t="n">
        <v>0</v>
      </c>
      <c r="Z586" s="3" t="n">
        <v>0</v>
      </c>
      <c r="AA586" s="32" t="n">
        <v>0</v>
      </c>
      <c r="AB586" s="3" t="n"/>
      <c r="AC586" s="31" t="n">
        <v>0</v>
      </c>
      <c r="AD586" s="2" t="n">
        <v>0</v>
      </c>
      <c r="AE586" s="2" t="n">
        <v>42</v>
      </c>
      <c r="AF586" s="4" t="n">
        <v>42</v>
      </c>
      <c r="AG586" s="33" t="n">
        <v>29.98</v>
      </c>
      <c r="AH586" s="4" t="n">
        <v>2</v>
      </c>
      <c r="AI586" s="34" t="n">
        <v>0.0476</v>
      </c>
      <c r="AJ586" s="34" t="n">
        <v>1</v>
      </c>
      <c r="AK586" s="2" t="n">
        <v>1012</v>
      </c>
      <c r="AL586" t="inlineStr">
        <is>
          <t>Published</t>
        </is>
      </c>
    </row>
    <row r="587">
      <c r="A587">
        <f>HYPERLINK("https://www.walmart.com/ip/544009988", "544009988")</f>
        <v/>
      </c>
      <c r="B587">
        <f>HYPERLINK("https://app.optiwise.ai/catalog/itemdetails/362740", "Oversized Hooded Poncho Cape, Casual Hoodie Sweatshirt, Batwing Coat Pullover | Light Weight, Cozy, Comfortable, Roomy | for Adults Women Men Teens")</f>
        <v/>
      </c>
      <c r="C587" t="inlineStr">
        <is>
          <t>1WMHD540S1GN</t>
        </is>
      </c>
      <c r="D587" t="inlineStr">
        <is>
          <t>Clothing</t>
        </is>
      </c>
      <c r="E587" t="inlineStr">
        <is>
          <t>Sweatshirts &amp; Hoodies</t>
        </is>
      </c>
      <c r="F587" t="inlineStr">
        <is>
          <t>Flyingstar</t>
        </is>
      </c>
      <c r="G587" t="n">
        <v>0</v>
      </c>
      <c r="H587" t="n">
        <v>0</v>
      </c>
      <c r="I587" t="inlineStr">
        <is>
          <t>Hoodie ForAdult,Optimized</t>
        </is>
      </c>
      <c r="J587" s="29" t="n">
        <v>29.98</v>
      </c>
      <c r="K587" s="30" t="n">
        <v>0.0003</v>
      </c>
      <c r="L587" s="29" t="n">
        <v>0</v>
      </c>
      <c r="M587" s="29" t="n">
        <v>0</v>
      </c>
      <c r="N587" s="2" t="n">
        <v>2</v>
      </c>
      <c r="O587" s="31" t="n">
        <v>0</v>
      </c>
      <c r="P587" s="32" t="n"/>
      <c r="Q587" s="32" t="n">
        <v>0</v>
      </c>
      <c r="R587" s="32" t="n">
        <v>0.1586</v>
      </c>
      <c r="S587" s="31" t="n">
        <v>0</v>
      </c>
      <c r="T587" s="32" t="n">
        <v>0</v>
      </c>
      <c r="U587" s="31" t="n">
        <v>0</v>
      </c>
      <c r="V587" s="31" t="n">
        <v>0</v>
      </c>
      <c r="W587" s="3" t="n">
        <v>0</v>
      </c>
      <c r="X587" s="3" t="n">
        <v>0</v>
      </c>
      <c r="Y587" s="32" t="n">
        <v>0</v>
      </c>
      <c r="Z587" s="3" t="n">
        <v>0</v>
      </c>
      <c r="AA587" s="32" t="n">
        <v>0</v>
      </c>
      <c r="AB587" s="3" t="n"/>
      <c r="AC587" s="31" t="n">
        <v>0</v>
      </c>
      <c r="AD587" s="2" t="n">
        <v>0</v>
      </c>
      <c r="AE587" s="2" t="n">
        <v>16</v>
      </c>
      <c r="AF587" s="4" t="n">
        <v>16</v>
      </c>
      <c r="AG587" s="33" t="n">
        <v>29.98</v>
      </c>
      <c r="AH587" s="4" t="n">
        <v>2</v>
      </c>
      <c r="AI587" s="34" t="n">
        <v>0.125</v>
      </c>
      <c r="AJ587" s="34" t="n">
        <v>1</v>
      </c>
      <c r="AK587" s="2" t="n">
        <v>67</v>
      </c>
      <c r="AL587" t="inlineStr">
        <is>
          <t>Published</t>
        </is>
      </c>
    </row>
    <row r="588">
      <c r="A588">
        <f>HYPERLINK("https://www.walmart.com/ip/168177810", "168177810")</f>
        <v/>
      </c>
      <c r="B588">
        <f>HYPERLINK("https://app.optiwise.ai/catalog/itemdetails/361406", "Tirrinia Insulated Lunch Bag,Leakproof Thermal Bento Lunch Box Tote for Adult and Kids,Student Back to School,Work,Office Cooler Bag,Green")</f>
        <v/>
      </c>
      <c r="C588" t="inlineStr">
        <is>
          <t>1KTLB600BKGN</t>
        </is>
      </c>
      <c r="D588" t="inlineStr">
        <is>
          <t>Home Decor, Kitchen, &amp; Other</t>
        </is>
      </c>
      <c r="E588" t="inlineStr">
        <is>
          <t>Reusable Lunch Bags &amp; Boxes</t>
        </is>
      </c>
      <c r="F588" t="inlineStr">
        <is>
          <t>Tirrinia</t>
        </is>
      </c>
      <c r="G588" t="n">
        <v>4.4</v>
      </c>
      <c r="H588" t="n">
        <v>167</v>
      </c>
      <c r="I588" t="inlineStr">
        <is>
          <t>Q2-Target,Brand Camp VD,Lunch Bag,Lunch Bags</t>
        </is>
      </c>
      <c r="J588" s="29" t="n">
        <v>29.98</v>
      </c>
      <c r="K588" s="30" t="n">
        <v>0.0003</v>
      </c>
      <c r="L588" s="29" t="n">
        <v>0</v>
      </c>
      <c r="M588" s="29" t="n">
        <v>0</v>
      </c>
      <c r="N588" s="2" t="n">
        <v>2</v>
      </c>
      <c r="O588" s="31" t="n">
        <v>0</v>
      </c>
      <c r="P588" s="32" t="n"/>
      <c r="Q588" s="32" t="n">
        <v>0</v>
      </c>
      <c r="R588" s="32" t="n">
        <v>0.0471</v>
      </c>
      <c r="S588" s="31" t="n">
        <v>0</v>
      </c>
      <c r="T588" s="32" t="n">
        <v>0</v>
      </c>
      <c r="U588" s="31" t="n">
        <v>0</v>
      </c>
      <c r="V588" s="31" t="n">
        <v>0</v>
      </c>
      <c r="W588" s="3" t="n">
        <v>0</v>
      </c>
      <c r="X588" s="3" t="n">
        <v>0</v>
      </c>
      <c r="Y588" s="32" t="n">
        <v>0</v>
      </c>
      <c r="Z588" s="3" t="n">
        <v>0</v>
      </c>
      <c r="AA588" s="32" t="n">
        <v>0</v>
      </c>
      <c r="AB588" s="3" t="n"/>
      <c r="AC588" s="31" t="n">
        <v>0</v>
      </c>
      <c r="AD588" s="2" t="n">
        <v>7</v>
      </c>
      <c r="AE588" s="2" t="n">
        <v>21</v>
      </c>
      <c r="AF588" s="4" t="n">
        <v>21</v>
      </c>
      <c r="AG588" s="33" t="n">
        <v>29.98</v>
      </c>
      <c r="AH588" s="4" t="n">
        <v>2</v>
      </c>
      <c r="AI588" s="34" t="n">
        <v>0.09520000000000001</v>
      </c>
      <c r="AJ588" s="34" t="n">
        <v>1</v>
      </c>
      <c r="AK588" s="2" t="n">
        <v>0</v>
      </c>
      <c r="AL588" t="inlineStr">
        <is>
          <t>Published</t>
        </is>
      </c>
    </row>
    <row r="589">
      <c r="A589">
        <f>HYPERLINK("https://www.walmart.com/ip/1899841597", "1899841597")</f>
        <v/>
      </c>
      <c r="B589">
        <f>HYPERLINK("https://app.optiwise.ai/catalog/itemdetails/4346773", "Tirrinia Insulated Lunch Box for Women Men, Leakproof Thermal Reusable Lunch Bag with 4 Pockets for Adult &amp; Kids, Lunch Bag Cooler Tote for Office Work Back to School, Camo")</f>
        <v/>
      </c>
      <c r="C589" t="inlineStr">
        <is>
          <t>1TRLB702CAMO-N</t>
        </is>
      </c>
      <c r="D589" t="inlineStr">
        <is>
          <t>Home Decor, Kitchen, &amp; Other</t>
        </is>
      </c>
      <c r="E589" t="inlineStr">
        <is>
          <t>Reusable Lunch Bags &amp; Boxes</t>
        </is>
      </c>
      <c r="F589" t="inlineStr">
        <is>
          <t>Tirrinia</t>
        </is>
      </c>
      <c r="G589" t="n">
        <v>0</v>
      </c>
      <c r="H589" t="n">
        <v>0</v>
      </c>
      <c r="I589" t="inlineStr">
        <is>
          <t>Q2-Target,Brand Camp VD,Lunch Bags,SEM,Batch 1 - TR</t>
        </is>
      </c>
      <c r="J589" s="29" t="n">
        <v>29.98</v>
      </c>
      <c r="K589" s="30" t="n">
        <v>0.0003</v>
      </c>
      <c r="L589" s="29" t="n">
        <v>14.98999977111816</v>
      </c>
      <c r="M589" s="29" t="n">
        <v>0</v>
      </c>
      <c r="N589" s="2" t="n">
        <v>2</v>
      </c>
      <c r="O589" s="31" t="n">
        <v>0</v>
      </c>
      <c r="P589" s="32" t="n"/>
      <c r="Q589" s="32" t="n">
        <v>0</v>
      </c>
      <c r="R589" s="32" t="n">
        <v>0.0231</v>
      </c>
      <c r="S589" s="31" t="n">
        <v>0</v>
      </c>
      <c r="T589" s="32" t="n">
        <v>0</v>
      </c>
      <c r="U589" s="31" t="n">
        <v>0</v>
      </c>
      <c r="V589" s="31" t="n">
        <v>0</v>
      </c>
      <c r="W589" s="3" t="n">
        <v>0</v>
      </c>
      <c r="X589" s="3" t="n">
        <v>0</v>
      </c>
      <c r="Y589" s="32" t="n">
        <v>0</v>
      </c>
      <c r="Z589" s="3" t="n">
        <v>0</v>
      </c>
      <c r="AA589" s="32" t="n">
        <v>0</v>
      </c>
      <c r="AB589" s="3" t="n"/>
      <c r="AC589" s="31" t="n">
        <v>0</v>
      </c>
      <c r="AD589" s="2" t="n">
        <v>13</v>
      </c>
      <c r="AE589" s="2" t="n">
        <v>72</v>
      </c>
      <c r="AF589" s="4" t="n">
        <v>72</v>
      </c>
      <c r="AG589" s="33" t="n">
        <v>29.98</v>
      </c>
      <c r="AH589" s="4" t="n">
        <v>2</v>
      </c>
      <c r="AI589" s="34" t="n">
        <v>0.0278</v>
      </c>
      <c r="AJ589" s="34" t="n">
        <v>1</v>
      </c>
      <c r="AK589" s="2" t="n">
        <v>7087</v>
      </c>
      <c r="AL589" t="inlineStr">
        <is>
          <t>Published</t>
        </is>
      </c>
    </row>
    <row r="590">
      <c r="A590">
        <f>HYPERLINK("https://www.walmart.com/ip/328068898", "328068898")</f>
        <v/>
      </c>
      <c r="B590">
        <f>HYPERLINK("https://app.optiwise.ai/catalog/itemdetails/361577", "Insulated Expandable Lunch Bags Tote Thermal Cooler Leak Proof Travel Container Food Case for Adults Adjustable Shoulder")</f>
        <v/>
      </c>
      <c r="C590" t="inlineStr">
        <is>
          <t>1KTLB110BL</t>
        </is>
      </c>
      <c r="D590" t="inlineStr">
        <is>
          <t>Cases &amp; Bags</t>
        </is>
      </c>
      <c r="E590" t="inlineStr">
        <is>
          <t>Reusable Lunch Bags &amp; Boxes</t>
        </is>
      </c>
      <c r="F590" t="inlineStr">
        <is>
          <t>Kato</t>
        </is>
      </c>
      <c r="G590" t="n">
        <v>0</v>
      </c>
      <c r="H590" t="n">
        <v>0</v>
      </c>
      <c r="I590" t="inlineStr">
        <is>
          <t>Lunch Bag,SEM</t>
        </is>
      </c>
      <c r="J590" s="29" t="n">
        <v>29.98</v>
      </c>
      <c r="K590" s="30" t="n">
        <v>0.0003</v>
      </c>
      <c r="L590" s="29" t="n">
        <v>0</v>
      </c>
      <c r="M590" s="29" t="n">
        <v>0</v>
      </c>
      <c r="N590" s="2" t="n">
        <v>2</v>
      </c>
      <c r="O590" s="31" t="n">
        <v>0</v>
      </c>
      <c r="P590" s="32" t="n"/>
      <c r="Q590" s="32" t="n">
        <v>0</v>
      </c>
      <c r="R590" s="32" t="n">
        <v>0</v>
      </c>
      <c r="S590" s="31" t="n">
        <v>0</v>
      </c>
      <c r="T590" s="32" t="n">
        <v>0</v>
      </c>
      <c r="U590" s="31" t="n">
        <v>0</v>
      </c>
      <c r="V590" s="31" t="n">
        <v>0</v>
      </c>
      <c r="W590" s="3" t="n">
        <v>0</v>
      </c>
      <c r="X590" s="3" t="n">
        <v>0</v>
      </c>
      <c r="Y590" s="32" t="n">
        <v>0</v>
      </c>
      <c r="Z590" s="3" t="n">
        <v>0</v>
      </c>
      <c r="AA590" s="32" t="n">
        <v>0</v>
      </c>
      <c r="AB590" s="3" t="n"/>
      <c r="AC590" s="31" t="n">
        <v>0</v>
      </c>
      <c r="AD590" s="2" t="n">
        <v>0</v>
      </c>
      <c r="AE590" s="2" t="n">
        <v>58</v>
      </c>
      <c r="AF590" s="4" t="n">
        <v>58</v>
      </c>
      <c r="AG590" s="33" t="n">
        <v>29.98</v>
      </c>
      <c r="AH590" s="4" t="n">
        <v>2</v>
      </c>
      <c r="AI590" s="34" t="n">
        <v>0.0345</v>
      </c>
      <c r="AJ590" s="34" t="n">
        <v>1</v>
      </c>
      <c r="AK590" s="2" t="n">
        <v>6750</v>
      </c>
      <c r="AL590" t="inlineStr">
        <is>
          <t>Published</t>
        </is>
      </c>
    </row>
    <row r="591">
      <c r="A591">
        <f>HYPERLINK("https://www.walmart.com/ip/383430144", "383430144")</f>
        <v/>
      </c>
      <c r="B591">
        <f>HYPERLINK("https://app.optiwise.ai/catalog/itemdetails/360265", "Summer Outdoor UV Protection Sun Hats Unisex Caps Wide Brim Removable Crown Mesh Net Adjustable Drawstring")</f>
        <v/>
      </c>
      <c r="C591" t="inlineStr">
        <is>
          <t>1TRSH895NV-TBCB</t>
        </is>
      </c>
      <c r="D591" t="inlineStr">
        <is>
          <t>Clothing</t>
        </is>
      </c>
      <c r="E591" t="inlineStr">
        <is>
          <t>Hats</t>
        </is>
      </c>
      <c r="F591" t="inlineStr">
        <is>
          <t>Tirrinia</t>
        </is>
      </c>
      <c r="G591" t="n">
        <v>0</v>
      </c>
      <c r="H591" t="n">
        <v>0</v>
      </c>
      <c r="I591" t="inlineStr">
        <is>
          <t>Hats,Batch 1 - TR</t>
        </is>
      </c>
      <c r="J591" s="29" t="n">
        <v>29.97</v>
      </c>
      <c r="K591" s="30" t="n">
        <v>0.0003</v>
      </c>
      <c r="L591" s="29" t="n">
        <v>0</v>
      </c>
      <c r="M591" s="29" t="n">
        <v>0</v>
      </c>
      <c r="N591" s="2" t="n">
        <v>3</v>
      </c>
      <c r="O591" s="31" t="n">
        <v>0</v>
      </c>
      <c r="P591" s="32" t="n"/>
      <c r="Q591" s="32" t="n">
        <v>0</v>
      </c>
      <c r="R591" s="32" t="n">
        <v>0</v>
      </c>
      <c r="S591" s="31" t="n">
        <v>0</v>
      </c>
      <c r="T591" s="32" t="n">
        <v>0</v>
      </c>
      <c r="U591" s="31" t="n">
        <v>0</v>
      </c>
      <c r="V591" s="31" t="n">
        <v>0</v>
      </c>
      <c r="W591" s="3" t="n">
        <v>0</v>
      </c>
      <c r="X591" s="3" t="n">
        <v>0</v>
      </c>
      <c r="Y591" s="32" t="n">
        <v>0</v>
      </c>
      <c r="Z591" s="3" t="n">
        <v>0</v>
      </c>
      <c r="AA591" s="32" t="n">
        <v>0</v>
      </c>
      <c r="AB591" s="3" t="n"/>
      <c r="AC591" s="31" t="n">
        <v>0</v>
      </c>
      <c r="AD591" s="2" t="n">
        <v>0</v>
      </c>
      <c r="AE591" s="2" t="n">
        <v>25</v>
      </c>
      <c r="AF591" s="4" t="n">
        <v>25</v>
      </c>
      <c r="AG591" s="33" t="n">
        <v>29.97</v>
      </c>
      <c r="AH591" s="4" t="n">
        <v>3</v>
      </c>
      <c r="AI591" s="34" t="n">
        <v>0.12</v>
      </c>
      <c r="AJ591" s="34" t="n">
        <v>1</v>
      </c>
      <c r="AK591" s="2" t="n">
        <v>4500</v>
      </c>
      <c r="AL591" t="inlineStr">
        <is>
          <t>Published</t>
        </is>
      </c>
    </row>
    <row r="592">
      <c r="A592">
        <f>HYPERLINK("https://www.walmart.com/ip/250260404", "250260404")</f>
        <v/>
      </c>
      <c r="B592">
        <f>HYPERLINK("https://app.optiwise.ai/catalog/itemdetails/361967", "Women Floppy Sun Hats w/ Wide Brim Summer Beach UV Protection Foldable Gardening Hiking Cap")</f>
        <v/>
      </c>
      <c r="C592" t="inlineStr">
        <is>
          <t>1SLSH101BE</t>
        </is>
      </c>
      <c r="D592" t="inlineStr">
        <is>
          <t>Clothing</t>
        </is>
      </c>
      <c r="E592" t="inlineStr">
        <is>
          <t>Hats</t>
        </is>
      </c>
      <c r="F592" t="inlineStr">
        <is>
          <t>Solaris</t>
        </is>
      </c>
      <c r="G592" t="n">
        <v>4</v>
      </c>
      <c r="H592" t="n">
        <v>8</v>
      </c>
      <c r="I592" t="inlineStr">
        <is>
          <t>Q2-Target,Hats,Batch 1 - TR</t>
        </is>
      </c>
      <c r="J592" s="29" t="n">
        <v>29.97</v>
      </c>
      <c r="K592" s="30" t="n">
        <v>0.0003</v>
      </c>
      <c r="L592" s="29" t="n">
        <v>0</v>
      </c>
      <c r="M592" s="29" t="n">
        <v>9.989999771118164</v>
      </c>
      <c r="N592" s="2" t="n">
        <v>3</v>
      </c>
      <c r="O592" s="31" t="n">
        <v>0</v>
      </c>
      <c r="P592" s="32" t="n"/>
      <c r="Q592" s="32" t="n">
        <v>0</v>
      </c>
      <c r="R592" s="32" t="n">
        <v>0</v>
      </c>
      <c r="S592" s="31" t="n">
        <v>0</v>
      </c>
      <c r="T592" s="32" t="n">
        <v>0</v>
      </c>
      <c r="U592" s="31" t="n">
        <v>0</v>
      </c>
      <c r="V592" s="31" t="n">
        <v>0</v>
      </c>
      <c r="W592" s="3" t="n">
        <v>0</v>
      </c>
      <c r="X592" s="3" t="n">
        <v>0</v>
      </c>
      <c r="Y592" s="32" t="n">
        <v>0</v>
      </c>
      <c r="Z592" s="3" t="n">
        <v>0</v>
      </c>
      <c r="AA592" s="32" t="n">
        <v>0</v>
      </c>
      <c r="AB592" s="3" t="n"/>
      <c r="AC592" s="31" t="n">
        <v>0</v>
      </c>
      <c r="AD592" s="2" t="n">
        <v>0</v>
      </c>
      <c r="AE592" s="2" t="n">
        <v>24</v>
      </c>
      <c r="AF592" s="4" t="n">
        <v>24</v>
      </c>
      <c r="AG592" s="33" t="n">
        <v>29.97</v>
      </c>
      <c r="AH592" s="4" t="n">
        <v>3</v>
      </c>
      <c r="AI592" s="34" t="n">
        <v>0.125</v>
      </c>
      <c r="AJ592" s="34" t="n">
        <v>1</v>
      </c>
      <c r="AK592" s="2" t="n">
        <v>4500</v>
      </c>
      <c r="AL592" t="inlineStr">
        <is>
          <t>Published</t>
        </is>
      </c>
    </row>
    <row r="593">
      <c r="A593">
        <f>HYPERLINK("https://www.walmart.com/ip/1871646207", "1871646207")</f>
        <v/>
      </c>
      <c r="B593">
        <f>HYPERLINK("https://app.optiwise.ai/catalog/itemdetails/4979874", "Tirrinia Lunch Bags for Women Men, Cute Insulated Lunch Tote Bag for Girls, Fashionable Lunch Box for Adult Kids, Reusable Large Cooler Lunch Bag for School, Work, Office, Picnic | Gray Stripe")</f>
        <v/>
      </c>
      <c r="C593" t="inlineStr">
        <is>
          <t>1WMLB707GYSTR</t>
        </is>
      </c>
      <c r="D593" t="inlineStr">
        <is>
          <t>Home Decor, Kitchen, &amp; Other</t>
        </is>
      </c>
      <c r="E593" t="inlineStr">
        <is>
          <t>Reusable Lunch Bags &amp; Boxes</t>
        </is>
      </c>
      <c r="F593" t="inlineStr">
        <is>
          <t>Tirrinia</t>
        </is>
      </c>
      <c r="G593" t="n">
        <v>4.9</v>
      </c>
      <c r="H593" t="n">
        <v>25</v>
      </c>
      <c r="I593" t="inlineStr">
        <is>
          <t>Q2-Target,Brand Camp VD</t>
        </is>
      </c>
      <c r="J593" s="29" t="n">
        <v>29.97</v>
      </c>
      <c r="K593" s="30" t="n">
        <v>0.0003</v>
      </c>
      <c r="L593" s="29" t="n">
        <v>0</v>
      </c>
      <c r="M593" s="29" t="n">
        <v>0</v>
      </c>
      <c r="N593" s="2" t="n">
        <v>3</v>
      </c>
      <c r="O593" s="31" t="n">
        <v>0</v>
      </c>
      <c r="P593" s="32" t="n"/>
      <c r="Q593" s="32" t="n">
        <v>0</v>
      </c>
      <c r="R593" s="32" t="n">
        <v>0</v>
      </c>
      <c r="S593" s="31" t="n">
        <v>0</v>
      </c>
      <c r="T593" s="32" t="n">
        <v>0</v>
      </c>
      <c r="U593" s="31" t="n">
        <v>0</v>
      </c>
      <c r="V593" s="31" t="n">
        <v>0</v>
      </c>
      <c r="W593" s="3" t="n">
        <v>0</v>
      </c>
      <c r="X593" s="3" t="n">
        <v>0</v>
      </c>
      <c r="Y593" s="32" t="n">
        <v>0</v>
      </c>
      <c r="Z593" s="3" t="n">
        <v>0</v>
      </c>
      <c r="AA593" s="32" t="n">
        <v>0</v>
      </c>
      <c r="AB593" s="3" t="n"/>
      <c r="AC593" s="31" t="n">
        <v>0</v>
      </c>
      <c r="AD593" s="2" t="n">
        <v>40</v>
      </c>
      <c r="AE593" s="2" t="n">
        <v>81</v>
      </c>
      <c r="AF593" s="4" t="n">
        <v>81</v>
      </c>
      <c r="AG593" s="33" t="n">
        <v>29.97</v>
      </c>
      <c r="AH593" s="4" t="n">
        <v>3</v>
      </c>
      <c r="AI593" s="34" t="n">
        <v>0.037</v>
      </c>
      <c r="AJ593" s="34" t="n">
        <v>1</v>
      </c>
      <c r="AK593" s="2" t="n">
        <v>4500</v>
      </c>
      <c r="AL593" t="inlineStr">
        <is>
          <t>Published</t>
        </is>
      </c>
    </row>
    <row r="594">
      <c r="A594">
        <f>HYPERLINK("https://www.walmart.com/ip/744897977", "744897977")</f>
        <v/>
      </c>
      <c r="B594">
        <f>HYPERLINK("https://app.optiwise.ai/catalog/itemdetails/360770", "Women Floppy Sun Beach Hats w/ Bow Wide Brim Summer UV Protection Foldable Gardening Hiking Cap by Tirrinia")</f>
        <v/>
      </c>
      <c r="C594" t="inlineStr">
        <is>
          <t>1TRSH260NV-TBCB</t>
        </is>
      </c>
      <c r="D594" t="inlineStr">
        <is>
          <t>Clothing</t>
        </is>
      </c>
      <c r="E594" t="inlineStr">
        <is>
          <t>Hats</t>
        </is>
      </c>
      <c r="F594" t="inlineStr">
        <is>
          <t>Tirrinia</t>
        </is>
      </c>
      <c r="G594" t="n">
        <v>4.1</v>
      </c>
      <c r="H594" t="n">
        <v>11</v>
      </c>
      <c r="I594" t="inlineStr">
        <is>
          <t>Q2-Target,Optimized,Hats</t>
        </is>
      </c>
      <c r="J594" s="29" t="n">
        <v>29.97</v>
      </c>
      <c r="K594" s="30" t="n">
        <v>0.0003</v>
      </c>
      <c r="L594" s="29" t="n">
        <v>0</v>
      </c>
      <c r="M594" s="29" t="n">
        <v>0</v>
      </c>
      <c r="N594" s="2" t="n">
        <v>3</v>
      </c>
      <c r="O594" s="31" t="n">
        <v>0</v>
      </c>
      <c r="P594" s="32" t="n"/>
      <c r="Q594" s="32" t="n">
        <v>0</v>
      </c>
      <c r="R594" s="32" t="n">
        <v>0</v>
      </c>
      <c r="S594" s="31" t="n">
        <v>0</v>
      </c>
      <c r="T594" s="32" t="n">
        <v>0</v>
      </c>
      <c r="U594" s="31" t="n">
        <v>0</v>
      </c>
      <c r="V594" s="31" t="n">
        <v>0</v>
      </c>
      <c r="W594" s="3" t="n">
        <v>0</v>
      </c>
      <c r="X594" s="3" t="n">
        <v>0</v>
      </c>
      <c r="Y594" s="32" t="n">
        <v>0</v>
      </c>
      <c r="Z594" s="3" t="n">
        <v>0</v>
      </c>
      <c r="AA594" s="32" t="n">
        <v>0</v>
      </c>
      <c r="AB594" s="3" t="n"/>
      <c r="AC594" s="31" t="n">
        <v>0</v>
      </c>
      <c r="AD594" s="2" t="n">
        <v>0</v>
      </c>
      <c r="AE594" s="2" t="n">
        <v>0</v>
      </c>
      <c r="AF594" s="4" t="n">
        <v>0</v>
      </c>
      <c r="AG594" s="33" t="n">
        <v>29.97</v>
      </c>
      <c r="AH594" s="4" t="n">
        <v>3</v>
      </c>
      <c r="AI594" s="34" t="n"/>
      <c r="AJ594" s="34" t="n">
        <v>1</v>
      </c>
      <c r="AK594" s="2" t="n">
        <v>4500</v>
      </c>
      <c r="AL594" t="inlineStr">
        <is>
          <t>Published</t>
        </is>
      </c>
    </row>
    <row r="595">
      <c r="A595">
        <f>HYPERLINK("https://www.walmart.com/ip/309657195", "309657195")</f>
        <v/>
      </c>
      <c r="B595">
        <f>HYPERLINK("https://app.optiwise.ai/catalog/itemdetails/361785", "Tirrinia Wide Brim Sun Hats Safari Fishing Boonie Cap Adult Teen Unisex")</f>
        <v/>
      </c>
      <c r="C595" t="inlineStr">
        <is>
          <t>1TRSH191TN-TBCB</t>
        </is>
      </c>
      <c r="D595" t="inlineStr">
        <is>
          <t>Clothing</t>
        </is>
      </c>
      <c r="E595" t="inlineStr">
        <is>
          <t>Hats</t>
        </is>
      </c>
      <c r="F595" t="inlineStr">
        <is>
          <t>Sun Blocker</t>
        </is>
      </c>
      <c r="G595" t="n">
        <v>0</v>
      </c>
      <c r="H595" t="n">
        <v>0</v>
      </c>
      <c r="J595" s="29" t="n">
        <v>29.97</v>
      </c>
      <c r="K595" s="30" t="n">
        <v>0.0003</v>
      </c>
      <c r="L595" s="29" t="n">
        <v>9.989999771118164</v>
      </c>
      <c r="M595" s="29" t="n">
        <v>0</v>
      </c>
      <c r="N595" s="2" t="n">
        <v>3</v>
      </c>
      <c r="O595" s="31" t="n">
        <v>0</v>
      </c>
      <c r="P595" s="32" t="n"/>
      <c r="Q595" s="32" t="n">
        <v>0</v>
      </c>
      <c r="R595" s="32" t="n">
        <v>0</v>
      </c>
      <c r="S595" s="31" t="n">
        <v>0</v>
      </c>
      <c r="T595" s="32" t="n">
        <v>0</v>
      </c>
      <c r="U595" s="31" t="n">
        <v>0</v>
      </c>
      <c r="V595" s="31" t="n">
        <v>0</v>
      </c>
      <c r="W595" s="3" t="n">
        <v>0</v>
      </c>
      <c r="X595" s="3" t="n">
        <v>0</v>
      </c>
      <c r="Y595" s="32" t="n">
        <v>0</v>
      </c>
      <c r="Z595" s="3" t="n">
        <v>0</v>
      </c>
      <c r="AA595" s="32" t="n">
        <v>0</v>
      </c>
      <c r="AB595" s="3" t="n"/>
      <c r="AC595" s="31" t="n">
        <v>0</v>
      </c>
      <c r="AD595" s="2" t="n">
        <v>0</v>
      </c>
      <c r="AE595" s="2" t="n">
        <v>33</v>
      </c>
      <c r="AF595" s="4" t="n">
        <v>33</v>
      </c>
      <c r="AG595" s="33" t="n">
        <v>29.97</v>
      </c>
      <c r="AH595" s="4" t="n">
        <v>3</v>
      </c>
      <c r="AI595" s="34" t="n">
        <v>0.09089999999999999</v>
      </c>
      <c r="AJ595" s="34" t="n">
        <v>1</v>
      </c>
      <c r="AK595" s="2" t="n">
        <v>4500</v>
      </c>
      <c r="AL595" t="inlineStr">
        <is>
          <t>Published</t>
        </is>
      </c>
    </row>
    <row r="596">
      <c r="A596">
        <f>HYPERLINK("https://www.walmart.com/ip/709728605", "709728605")</f>
        <v/>
      </c>
      <c r="B596">
        <f>HYPERLINK("https://app.optiwise.ai/catalog/itemdetails/361865", "Flyingstar Surf Towel Robe, Quick Dry Beach Wetsuit Changing / Bath Robe Poncho for Surfing Swimming Bathing Unisex")</f>
        <v/>
      </c>
      <c r="C596" t="inlineStr">
        <is>
          <t>1WMBR101-BK</t>
        </is>
      </c>
      <c r="D596" t="inlineStr">
        <is>
          <t>Clothing</t>
        </is>
      </c>
      <c r="E596" t="inlineStr">
        <is>
          <t>Sleepwear Robes &amp; Bathrobes</t>
        </is>
      </c>
      <c r="F596" t="inlineStr">
        <is>
          <t>Flyingstar</t>
        </is>
      </c>
      <c r="G596" t="n">
        <v>0</v>
      </c>
      <c r="H596" t="n">
        <v>0</v>
      </c>
      <c r="I596" t="inlineStr">
        <is>
          <t>Optimized</t>
        </is>
      </c>
      <c r="J596" s="29" t="n">
        <v>29.96</v>
      </c>
      <c r="K596" s="30" t="n">
        <v>0.0003</v>
      </c>
      <c r="L596" s="29" t="n">
        <v>0</v>
      </c>
      <c r="M596" s="29" t="n">
        <v>0</v>
      </c>
      <c r="N596" s="2" t="n">
        <v>2</v>
      </c>
      <c r="O596" s="31" t="n">
        <v>0</v>
      </c>
      <c r="P596" s="32" t="n"/>
      <c r="Q596" s="32" t="n">
        <v>0</v>
      </c>
      <c r="R596" s="32" t="n">
        <v>0</v>
      </c>
      <c r="S596" s="31" t="n">
        <v>0</v>
      </c>
      <c r="T596" s="32" t="n">
        <v>0</v>
      </c>
      <c r="U596" s="31" t="n">
        <v>0</v>
      </c>
      <c r="V596" s="31" t="n">
        <v>0</v>
      </c>
      <c r="W596" s="3" t="n">
        <v>0</v>
      </c>
      <c r="X596" s="3" t="n">
        <v>0</v>
      </c>
      <c r="Y596" s="32" t="n">
        <v>0</v>
      </c>
      <c r="Z596" s="3" t="n">
        <v>0</v>
      </c>
      <c r="AA596" s="32" t="n">
        <v>0</v>
      </c>
      <c r="AB596" s="3" t="n"/>
      <c r="AC596" s="31" t="n">
        <v>0</v>
      </c>
      <c r="AD596" s="2" t="n">
        <v>0</v>
      </c>
      <c r="AE596" s="2" t="n">
        <v>40</v>
      </c>
      <c r="AF596" s="4" t="n">
        <v>40</v>
      </c>
      <c r="AG596" s="33" t="n">
        <v>29.96</v>
      </c>
      <c r="AH596" s="4" t="n">
        <v>2</v>
      </c>
      <c r="AI596" s="34" t="n">
        <v>0.05</v>
      </c>
      <c r="AJ596" s="34" t="n">
        <v>1</v>
      </c>
      <c r="AK596" s="2" t="n">
        <v>6750</v>
      </c>
      <c r="AL596" t="inlineStr">
        <is>
          <t>Published</t>
        </is>
      </c>
    </row>
    <row r="597">
      <c r="A597">
        <f>HYPERLINK("https://www.walmart.com/ip/9541856319", "9541856319")</f>
        <v/>
      </c>
      <c r="B597">
        <f>HYPERLINK("https://app.optiwise.ai/catalog/itemdetails/9941259", "Wrangler Industry Backpack, Classic Logo Water Resistant Casual Daypack with Padded Laptop Notebook Sleeve, Ideal as a Book Bag or Laptop Backpack, Great for Backpacks for School, Brown Duck")</f>
        <v/>
      </c>
      <c r="C597" t="inlineStr">
        <is>
          <t>WR-BACKPACK-INDUSTRY-BROWNDUCK</t>
        </is>
      </c>
      <c r="D597" t="inlineStr">
        <is>
          <t>Cases &amp; Bags</t>
        </is>
      </c>
      <c r="E597" t="inlineStr">
        <is>
          <t>Laptop Bags</t>
        </is>
      </c>
      <c r="F597" t="inlineStr">
        <is>
          <t>Wrangler</t>
        </is>
      </c>
      <c r="G597" t="n">
        <v>0</v>
      </c>
      <c r="H597" t="n">
        <v>0</v>
      </c>
      <c r="I597" t="inlineStr">
        <is>
          <t>Backpack</t>
        </is>
      </c>
      <c r="J597" s="29" t="n">
        <v>28.99</v>
      </c>
      <c r="K597" s="30" t="n">
        <v>0.0002</v>
      </c>
      <c r="L597" s="29" t="n">
        <v>0</v>
      </c>
      <c r="M597" s="29" t="n">
        <v>0</v>
      </c>
      <c r="N597" s="2" t="n">
        <v>1</v>
      </c>
      <c r="O597" s="31" t="n">
        <v>0</v>
      </c>
      <c r="P597" s="32" t="n"/>
      <c r="Q597" s="32" t="n">
        <v>0</v>
      </c>
      <c r="R597" s="32" t="n">
        <v>0</v>
      </c>
      <c r="S597" s="31" t="n">
        <v>0</v>
      </c>
      <c r="T597" s="32" t="n">
        <v>0</v>
      </c>
      <c r="U597" s="31" t="n">
        <v>0</v>
      </c>
      <c r="V597" s="31" t="n">
        <v>0</v>
      </c>
      <c r="W597" s="3" t="n">
        <v>0</v>
      </c>
      <c r="X597" s="3" t="n">
        <v>0</v>
      </c>
      <c r="Y597" s="32" t="n">
        <v>0</v>
      </c>
      <c r="Z597" s="3" t="n">
        <v>0</v>
      </c>
      <c r="AA597" s="32" t="n">
        <v>0</v>
      </c>
      <c r="AB597" s="3" t="n"/>
      <c r="AC597" s="31" t="n">
        <v>0</v>
      </c>
      <c r="AD597" s="2" t="n">
        <v>0</v>
      </c>
      <c r="AE597" s="2" t="n">
        <v>51</v>
      </c>
      <c r="AF597" s="4" t="n">
        <v>51</v>
      </c>
      <c r="AG597" s="33" t="n">
        <v>28.99</v>
      </c>
      <c r="AH597" s="4" t="n">
        <v>1</v>
      </c>
      <c r="AI597" s="34" t="n">
        <v>0.0196</v>
      </c>
      <c r="AJ597" s="34" t="n">
        <v>1</v>
      </c>
      <c r="AK597" s="2" t="n">
        <v>9720</v>
      </c>
      <c r="AL597" t="inlineStr">
        <is>
          <t>Published</t>
        </is>
      </c>
    </row>
    <row r="598">
      <c r="A598">
        <f>HYPERLINK("https://www.walmart.com/ip/5216040029", "5216040029")</f>
        <v/>
      </c>
      <c r="B598">
        <f>HYPERLINK("https://app.optiwise.ai/catalog/itemdetails/7776013", "Tirrinia Large Insulated Cooler Bag - Outdoor Leakproof Grocery Cooling Carrier, 20 L Travel &amp; To-Go Food Containers, Wine Tote for Picnics, Camping, Parties")</f>
        <v/>
      </c>
      <c r="C598" t="inlineStr">
        <is>
          <t>1TRCB10127STR</t>
        </is>
      </c>
      <c r="D598" t="inlineStr">
        <is>
          <t>Home Decor, Kitchen, &amp; Other</t>
        </is>
      </c>
      <c r="E598" t="inlineStr">
        <is>
          <t>Soft-Sided Coolers</t>
        </is>
      </c>
      <c r="F598" t="inlineStr">
        <is>
          <t>Tirrinia</t>
        </is>
      </c>
      <c r="G598" t="n">
        <v>0</v>
      </c>
      <c r="H598" t="n">
        <v>0</v>
      </c>
      <c r="J598" s="29" t="n">
        <v>28.45</v>
      </c>
      <c r="K598" s="30" t="n">
        <v>0.0002</v>
      </c>
      <c r="L598" s="29" t="n">
        <v>0</v>
      </c>
      <c r="M598" s="29" t="n">
        <v>0</v>
      </c>
      <c r="N598" s="2" t="n">
        <v>1</v>
      </c>
      <c r="O598" s="31" t="n">
        <v>0</v>
      </c>
      <c r="P598" s="32" t="n"/>
      <c r="Q598" s="32" t="n">
        <v>0</v>
      </c>
      <c r="R598" s="32" t="n">
        <v>0</v>
      </c>
      <c r="S598" s="31" t="n">
        <v>0</v>
      </c>
      <c r="T598" s="32" t="n">
        <v>0</v>
      </c>
      <c r="U598" s="31" t="n">
        <v>0</v>
      </c>
      <c r="V598" s="31" t="n">
        <v>0</v>
      </c>
      <c r="W598" s="3" t="n">
        <v>0</v>
      </c>
      <c r="X598" s="3" t="n">
        <v>0</v>
      </c>
      <c r="Y598" s="32" t="n">
        <v>0</v>
      </c>
      <c r="Z598" s="3" t="n">
        <v>0</v>
      </c>
      <c r="AA598" s="32" t="n">
        <v>0</v>
      </c>
      <c r="AB598" s="3" t="n"/>
      <c r="AC598" s="31" t="n">
        <v>0</v>
      </c>
      <c r="AD598" s="2" t="n">
        <v>0</v>
      </c>
      <c r="AE598" s="2" t="n">
        <v>9</v>
      </c>
      <c r="AF598" s="4" t="n">
        <v>9</v>
      </c>
      <c r="AG598" s="33" t="n">
        <v>28.45</v>
      </c>
      <c r="AH598" s="4" t="n">
        <v>1</v>
      </c>
      <c r="AI598" s="34" t="n">
        <v>0.1111</v>
      </c>
      <c r="AJ598" s="34" t="n">
        <v>1</v>
      </c>
      <c r="AK598" s="2" t="n">
        <v>13635</v>
      </c>
      <c r="AL598" t="inlineStr">
        <is>
          <t>Published</t>
        </is>
      </c>
    </row>
    <row r="599">
      <c r="A599">
        <f>HYPERLINK("https://www.walmart.com/ip/5832412138", "5832412138")</f>
        <v/>
      </c>
      <c r="B599">
        <f>HYPERLINK("https://app.optiwise.ai/catalog/itemdetails/9493371", "Tirrinia Insulated Cooler Bag-24 Cans Portable Collapsible Soft Sided Ice Chest, Leak-Proof with Zipper Cooler Box for Beach, Drink, Travel, Camping, Picnic")</f>
        <v/>
      </c>
      <c r="C599" t="inlineStr">
        <is>
          <t>1TRCB00324GNBK</t>
        </is>
      </c>
      <c r="D599" t="inlineStr">
        <is>
          <t>Sport &amp; Recreation Other</t>
        </is>
      </c>
      <c r="E599" t="inlineStr">
        <is>
          <t>Soft-Sided Coolers</t>
        </is>
      </c>
      <c r="F599" t="inlineStr">
        <is>
          <t>Tirrinia</t>
        </is>
      </c>
      <c r="G599" t="n">
        <v>0</v>
      </c>
      <c r="H599" t="n">
        <v>0</v>
      </c>
      <c r="J599" s="29" t="n">
        <v>27.99</v>
      </c>
      <c r="K599" s="30" t="n">
        <v>0.0002</v>
      </c>
      <c r="L599" s="29" t="n">
        <v>0</v>
      </c>
      <c r="M599" s="29" t="n">
        <v>0</v>
      </c>
      <c r="N599" s="2" t="n">
        <v>1</v>
      </c>
      <c r="O599" s="31" t="n">
        <v>0</v>
      </c>
      <c r="P599" s="32" t="n"/>
      <c r="Q599" s="32" t="n">
        <v>0</v>
      </c>
      <c r="R599" s="32" t="n">
        <v>0</v>
      </c>
      <c r="S599" s="31" t="n">
        <v>0</v>
      </c>
      <c r="T599" s="32" t="n">
        <v>0</v>
      </c>
      <c r="U599" s="31" t="n">
        <v>0</v>
      </c>
      <c r="V599" s="31" t="n">
        <v>0</v>
      </c>
      <c r="W599" s="3" t="n">
        <v>0</v>
      </c>
      <c r="X599" s="3" t="n">
        <v>0</v>
      </c>
      <c r="Y599" s="32" t="n">
        <v>0</v>
      </c>
      <c r="Z599" s="3" t="n">
        <v>0</v>
      </c>
      <c r="AA599" s="32" t="n">
        <v>0</v>
      </c>
      <c r="AB599" s="3" t="n"/>
      <c r="AC599" s="31" t="n">
        <v>0</v>
      </c>
      <c r="AD599" s="2" t="n">
        <v>10</v>
      </c>
      <c r="AE599" s="2" t="n">
        <v>38</v>
      </c>
      <c r="AF599" s="4" t="n">
        <v>38</v>
      </c>
      <c r="AG599" s="33" t="n">
        <v>27.99</v>
      </c>
      <c r="AH599" s="4" t="n">
        <v>1</v>
      </c>
      <c r="AI599" s="34" t="n">
        <v>0.0263</v>
      </c>
      <c r="AJ599" s="34" t="n">
        <v>1</v>
      </c>
      <c r="AK599" s="2" t="n">
        <v>13500</v>
      </c>
      <c r="AL599" t="inlineStr">
        <is>
          <t>Published</t>
        </is>
      </c>
    </row>
    <row r="600">
      <c r="A600">
        <f>HYPERLINK("https://www.walmart.com/ip/5803699350", "5803699350")</f>
        <v/>
      </c>
      <c r="B600">
        <f>HYPERLINK("https://app.optiwise.ai/catalog/itemdetails/9588085", "Tirrinia Beach Lounge Chair Cover, Portable Chaise Beach Towel, Sunbathing for Beach Pool Patio Garden Courtyard Outdoor Trips, 31 x 73 inch Navy")</f>
        <v/>
      </c>
      <c r="C600" t="inlineStr">
        <is>
          <t>1TRBM20237NY</t>
        </is>
      </c>
      <c r="D600" t="inlineStr">
        <is>
          <t>Garden &amp; Patio</t>
        </is>
      </c>
      <c r="E600" t="inlineStr">
        <is>
          <t>Patio Furniture Covers</t>
        </is>
      </c>
      <c r="F600" t="inlineStr">
        <is>
          <t>Tirrinia</t>
        </is>
      </c>
      <c r="G600" t="n">
        <v>0</v>
      </c>
      <c r="H600" t="n">
        <v>0</v>
      </c>
      <c r="J600" s="29" t="n">
        <v>27.99</v>
      </c>
      <c r="K600" s="30" t="n">
        <v>0.0002</v>
      </c>
      <c r="L600" s="29" t="n">
        <v>0</v>
      </c>
      <c r="M600" s="29" t="n">
        <v>0</v>
      </c>
      <c r="N600" s="2" t="n">
        <v>1</v>
      </c>
      <c r="O600" s="31" t="n">
        <v>0</v>
      </c>
      <c r="P600" s="32" t="n"/>
      <c r="Q600" s="32" t="n">
        <v>0</v>
      </c>
      <c r="R600" s="32" t="n">
        <v>0</v>
      </c>
      <c r="S600" s="31" t="n">
        <v>0</v>
      </c>
      <c r="T600" s="32" t="n">
        <v>0</v>
      </c>
      <c r="U600" s="31" t="n">
        <v>0</v>
      </c>
      <c r="V600" s="31" t="n">
        <v>0</v>
      </c>
      <c r="W600" s="3" t="n">
        <v>0</v>
      </c>
      <c r="X600" s="3" t="n">
        <v>0</v>
      </c>
      <c r="Y600" s="32" t="n">
        <v>0</v>
      </c>
      <c r="Z600" s="3" t="n">
        <v>0</v>
      </c>
      <c r="AA600" s="32" t="n">
        <v>0</v>
      </c>
      <c r="AB600" s="3" t="n"/>
      <c r="AC600" s="31" t="n">
        <v>0</v>
      </c>
      <c r="AD600" s="2" t="n">
        <v>0</v>
      </c>
      <c r="AE600" s="2" t="n">
        <v>115</v>
      </c>
      <c r="AF600" s="4" t="n">
        <v>115</v>
      </c>
      <c r="AG600" s="33" t="n">
        <v>27.99</v>
      </c>
      <c r="AH600" s="4" t="n">
        <v>1</v>
      </c>
      <c r="AI600" s="34" t="n">
        <v>0.008699999999999999</v>
      </c>
      <c r="AJ600" s="34" t="n">
        <v>1</v>
      </c>
      <c r="AK600" s="2" t="n">
        <v>11880</v>
      </c>
      <c r="AL600" t="inlineStr">
        <is>
          <t>Published</t>
        </is>
      </c>
    </row>
    <row r="601">
      <c r="A601">
        <f>HYPERLINK("https://www.walmart.com/ip/209516453", "209516453")</f>
        <v/>
      </c>
      <c r="B601">
        <f>HYPERLINK("https://app.optiwise.ai/catalog/itemdetails/6057895", "Tirrinia Single Wine Gift Tote Bag, Insulated Padded Thermal Wine Bottle Carrying Cooler Carrier for Travel, Picnic, Great Gift for Wine Lover, Grey")</f>
        <v/>
      </c>
      <c r="C601" t="inlineStr">
        <is>
          <t>1TRWB102GY</t>
        </is>
      </c>
      <c r="D601" t="inlineStr">
        <is>
          <t>Home Decor, Kitchen, &amp; Other</t>
        </is>
      </c>
      <c r="E601" t="inlineStr">
        <is>
          <t>Wine Totes, Bags &amp; Backpacks</t>
        </is>
      </c>
      <c r="F601" t="inlineStr">
        <is>
          <t>Tirrinia</t>
        </is>
      </c>
      <c r="G601" t="n">
        <v>0</v>
      </c>
      <c r="H601" t="n">
        <v>0</v>
      </c>
      <c r="J601" s="29" t="n">
        <v>27.98</v>
      </c>
      <c r="K601" s="30" t="n">
        <v>0.0002</v>
      </c>
      <c r="L601" s="29" t="n">
        <v>0</v>
      </c>
      <c r="M601" s="29" t="n">
        <v>0</v>
      </c>
      <c r="N601" s="2" t="n">
        <v>2</v>
      </c>
      <c r="O601" s="31" t="n">
        <v>2.79</v>
      </c>
      <c r="P601" s="32" t="n">
        <v>0.0003</v>
      </c>
      <c r="Q601" s="32" t="n">
        <v>0.0997</v>
      </c>
      <c r="R601" s="32" t="n">
        <v>0.029</v>
      </c>
      <c r="S601" s="31" t="n">
        <v>5.01</v>
      </c>
      <c r="T601" s="32" t="n">
        <v>0.2</v>
      </c>
      <c r="U601" s="31" t="n">
        <v>13.99</v>
      </c>
      <c r="V601" s="31" t="n">
        <v>13.99</v>
      </c>
      <c r="W601" s="3" t="n">
        <v>2729</v>
      </c>
      <c r="X601" s="3" t="n">
        <v>8</v>
      </c>
      <c r="Y601" s="32" t="n">
        <v>0.0029</v>
      </c>
      <c r="Z601" s="3" t="n">
        <v>1</v>
      </c>
      <c r="AA601" s="32" t="n">
        <v>0.125</v>
      </c>
      <c r="AB601" s="3" t="inlineStr">
        <is>
          <t>Auto Campaign_Vinay</t>
        </is>
      </c>
      <c r="AC601" s="31" t="n">
        <v>0.35</v>
      </c>
      <c r="AD601" s="2" t="n">
        <v>27</v>
      </c>
      <c r="AE601" s="2" t="n">
        <v>35</v>
      </c>
      <c r="AF601" s="4" t="n">
        <v>27</v>
      </c>
      <c r="AG601" s="33" t="n">
        <v>13.99</v>
      </c>
      <c r="AH601" s="4" t="n">
        <v>1</v>
      </c>
      <c r="AI601" s="34" t="n">
        <v>0.037</v>
      </c>
      <c r="AJ601" s="34" t="n">
        <v>0.5</v>
      </c>
      <c r="AK601" s="2" t="n">
        <v>0</v>
      </c>
      <c r="AL601" t="inlineStr">
        <is>
          <t>Published</t>
        </is>
      </c>
    </row>
    <row r="602">
      <c r="A602">
        <f>HYPERLINK("https://www.walmart.com/ip/703523074", "703523074")</f>
        <v/>
      </c>
      <c r="B602">
        <f>HYPERLINK("https://app.optiwise.ai/catalog/itemdetails/360345", "Large Insulated Lunch Bag for Women Men, 10L Leakproof Thermal Reusable Lunch Box for Adult, Kids, Student, Tall Meal Prep Lunch Cooler Tote with 4 Pockets for Office Work, Back to School")</f>
        <v/>
      </c>
      <c r="C602" t="inlineStr">
        <is>
          <t>1TRLB702RD-T</t>
        </is>
      </c>
      <c r="D602" t="inlineStr">
        <is>
          <t>Home Decor, Kitchen, &amp; Other</t>
        </is>
      </c>
      <c r="E602" t="inlineStr">
        <is>
          <t>Reusable Lunch Bags &amp; Boxes</t>
        </is>
      </c>
      <c r="F602" t="inlineStr">
        <is>
          <t>Tirrinia</t>
        </is>
      </c>
      <c r="G602" t="n">
        <v>0</v>
      </c>
      <c r="H602" t="n">
        <v>0</v>
      </c>
      <c r="I602" t="inlineStr">
        <is>
          <t>Q2-Target,Brand Camp VD,Lunch Bag</t>
        </is>
      </c>
      <c r="J602" s="29" t="n">
        <v>27.98</v>
      </c>
      <c r="K602" s="30" t="n">
        <v>0.0002</v>
      </c>
      <c r="L602" s="29" t="n">
        <v>0</v>
      </c>
      <c r="M602" s="29" t="n">
        <v>0</v>
      </c>
      <c r="N602" s="2" t="n">
        <v>2</v>
      </c>
      <c r="O602" s="31" t="n">
        <v>0</v>
      </c>
      <c r="P602" s="32" t="n"/>
      <c r="Q602" s="32" t="n">
        <v>0</v>
      </c>
      <c r="R602" s="32" t="n">
        <v>0.065</v>
      </c>
      <c r="S602" s="31" t="n">
        <v>0</v>
      </c>
      <c r="T602" s="32" t="n">
        <v>0</v>
      </c>
      <c r="U602" s="31" t="n">
        <v>0</v>
      </c>
      <c r="V602" s="31" t="n">
        <v>0</v>
      </c>
      <c r="W602" s="3" t="n">
        <v>0</v>
      </c>
      <c r="X602" s="3" t="n">
        <v>0</v>
      </c>
      <c r="Y602" s="32" t="n">
        <v>0</v>
      </c>
      <c r="Z602" s="3" t="n">
        <v>0</v>
      </c>
      <c r="AA602" s="32" t="n">
        <v>0</v>
      </c>
      <c r="AB602" s="3" t="n"/>
      <c r="AC602" s="31" t="n">
        <v>0</v>
      </c>
      <c r="AD602" s="2" t="n">
        <v>0</v>
      </c>
      <c r="AE602" s="2" t="n">
        <v>46</v>
      </c>
      <c r="AF602" s="4" t="n">
        <v>46</v>
      </c>
      <c r="AG602" s="33" t="n">
        <v>27.98</v>
      </c>
      <c r="AH602" s="4" t="n">
        <v>2</v>
      </c>
      <c r="AI602" s="34" t="n">
        <v>0.0435</v>
      </c>
      <c r="AJ602" s="34" t="n">
        <v>1</v>
      </c>
      <c r="AK602" s="2" t="n">
        <v>7965</v>
      </c>
      <c r="AL602" t="inlineStr">
        <is>
          <t>Published</t>
        </is>
      </c>
    </row>
    <row r="603">
      <c r="A603">
        <f>HYPERLINK("https://www.walmart.com/ip/753821563", "753821563")</f>
        <v/>
      </c>
      <c r="B603">
        <f>HYPERLINK("https://app.optiwise.ai/catalog/itemdetails/361020", "Flyingstar Woman Sweatshirt Dress, Casual Ladies Pullover, Juniors Hoodie Dress with Kangaroo Pocket, One Size, Red")</f>
        <v/>
      </c>
      <c r="C603" t="inlineStr">
        <is>
          <t>1WMHD530S1RD</t>
        </is>
      </c>
      <c r="D603" t="inlineStr">
        <is>
          <t>Clothing</t>
        </is>
      </c>
      <c r="E603" t="inlineStr">
        <is>
          <t>Sweatshirts &amp; Hoodies</t>
        </is>
      </c>
      <c r="F603" t="inlineStr">
        <is>
          <t>Flyingstar</t>
        </is>
      </c>
      <c r="G603" t="n">
        <v>0</v>
      </c>
      <c r="H603" t="n">
        <v>0</v>
      </c>
      <c r="I603" t="inlineStr">
        <is>
          <t>Hoodie ForAdult,Optimized</t>
        </is>
      </c>
      <c r="J603" s="29" t="n">
        <v>27.98</v>
      </c>
      <c r="K603" s="30" t="n">
        <v>0.0002</v>
      </c>
      <c r="L603" s="29" t="n">
        <v>0</v>
      </c>
      <c r="M603" s="29" t="n">
        <v>0</v>
      </c>
      <c r="N603" s="2" t="n">
        <v>2</v>
      </c>
      <c r="O603" s="31" t="n">
        <v>25.73</v>
      </c>
      <c r="P603" s="32" t="n">
        <v>0.0031</v>
      </c>
      <c r="Q603" s="32" t="n">
        <v>0.9196</v>
      </c>
      <c r="R603" s="32" t="n">
        <v>1.3438</v>
      </c>
      <c r="S603" s="31" t="n">
        <v>0.54</v>
      </c>
      <c r="T603" s="32" t="n">
        <v>1.84</v>
      </c>
      <c r="U603" s="31" t="n">
        <v>13.99</v>
      </c>
      <c r="V603" s="31" t="n">
        <v>13.99</v>
      </c>
      <c r="W603" s="3" t="n">
        <v>14377</v>
      </c>
      <c r="X603" s="3" t="n">
        <v>78</v>
      </c>
      <c r="Y603" s="32" t="n">
        <v>0.0054</v>
      </c>
      <c r="Z603" s="3" t="n">
        <v>1</v>
      </c>
      <c r="AA603" s="32" t="n">
        <v>0.0128</v>
      </c>
      <c r="AB603" s="3" t="inlineStr">
        <is>
          <t>Hoodies_Auto</t>
        </is>
      </c>
      <c r="AC603" s="31" t="n">
        <v>0.33</v>
      </c>
      <c r="AD603" s="2" t="n">
        <v>30</v>
      </c>
      <c r="AE603" s="2" t="n">
        <v>35</v>
      </c>
      <c r="AF603" s="4" t="inlineStr">
        <is>
          <t>NA</t>
        </is>
      </c>
      <c r="AG603" s="33" t="n">
        <v>13.99</v>
      </c>
      <c r="AH603" s="4" t="n">
        <v>1</v>
      </c>
      <c r="AI603" s="34" t="inlineStr">
        <is>
          <t>NA</t>
        </is>
      </c>
      <c r="AJ603" s="34" t="n">
        <v>0.5</v>
      </c>
      <c r="AK603" s="2" t="n">
        <v>4860</v>
      </c>
      <c r="AL603" t="inlineStr">
        <is>
          <t>Published</t>
        </is>
      </c>
    </row>
    <row r="604">
      <c r="A604">
        <f>HYPERLINK("https://www.walmart.com/ip/557499884", "557499884")</f>
        <v/>
      </c>
      <c r="B604">
        <f>HYPERLINK("https://app.optiwise.ai/catalog/itemdetails/361960", "Tirrinia Beach Elements Cotton Towels &amp; Washcloths, Surf boy")</f>
        <v/>
      </c>
      <c r="C604" t="inlineStr">
        <is>
          <t>1TRBR200-SF01</t>
        </is>
      </c>
      <c r="D604" t="inlineStr">
        <is>
          <t>Clothing</t>
        </is>
      </c>
      <c r="E604" t="inlineStr">
        <is>
          <t>Towels &amp; Washcloths</t>
        </is>
      </c>
      <c r="F604" t="inlineStr">
        <is>
          <t>Tirrinia</t>
        </is>
      </c>
      <c r="G604" t="n">
        <v>0</v>
      </c>
      <c r="H604" t="n">
        <v>0</v>
      </c>
      <c r="I604" t="inlineStr">
        <is>
          <t>Baby days,Optimized,Beach Robe Camp,SEM</t>
        </is>
      </c>
      <c r="J604" s="29" t="n">
        <v>27.98</v>
      </c>
      <c r="K604" s="30" t="n">
        <v>0.0002</v>
      </c>
      <c r="L604" s="29" t="n">
        <v>14.98999977111816</v>
      </c>
      <c r="M604" s="29" t="n">
        <v>0</v>
      </c>
      <c r="N604" s="2" t="n">
        <v>2</v>
      </c>
      <c r="O604" s="31" t="n">
        <v>0.2</v>
      </c>
      <c r="P604" s="32" t="n"/>
      <c r="Q604" s="32" t="n">
        <v>0.0071</v>
      </c>
      <c r="R604" s="32" t="n">
        <v>0</v>
      </c>
      <c r="S604" s="31" t="n">
        <v>0</v>
      </c>
      <c r="T604" s="32" t="n">
        <v>0</v>
      </c>
      <c r="U604" s="31" t="n">
        <v>0</v>
      </c>
      <c r="V604" s="31" t="n">
        <v>0</v>
      </c>
      <c r="W604" s="3" t="n">
        <v>575</v>
      </c>
      <c r="X604" s="3" t="n">
        <v>1</v>
      </c>
      <c r="Y604" s="32" t="n">
        <v>0.0017</v>
      </c>
      <c r="Z604" s="3" t="n">
        <v>0</v>
      </c>
      <c r="AA604" s="32" t="n">
        <v>0</v>
      </c>
      <c r="AB604" s="3" t="inlineStr">
        <is>
          <t>Auto for Top sale---Rachel</t>
        </is>
      </c>
      <c r="AC604" s="31" t="n">
        <v>0.2</v>
      </c>
      <c r="AD604" s="2" t="n">
        <v>0</v>
      </c>
      <c r="AE604" s="2" t="n">
        <v>46</v>
      </c>
      <c r="AF604" s="4" t="n">
        <v>45</v>
      </c>
      <c r="AG604" s="33" t="n">
        <v>27.98</v>
      </c>
      <c r="AH604" s="4" t="n">
        <v>2</v>
      </c>
      <c r="AI604" s="34" t="n">
        <v>0.0444</v>
      </c>
      <c r="AJ604" s="34" t="n">
        <v>1</v>
      </c>
      <c r="AK604" s="2" t="n">
        <v>4927</v>
      </c>
      <c r="AL604" t="inlineStr">
        <is>
          <t>Published</t>
        </is>
      </c>
    </row>
    <row r="605">
      <c r="A605">
        <f>HYPERLINK("https://www.walmart.com/ip/917118066", "917118066")</f>
        <v/>
      </c>
      <c r="B605">
        <f>HYPERLINK("https://app.optiwise.ai/catalog/itemdetails/409177", "Tirrinia Insulated Lunch Bag for Women Men, Leakproof Thermal Reusable Lunch Box Tote for Adult &amp; Kids by Tirrinia, Lunch Cooler for Office Work, Dark Grey")</f>
        <v/>
      </c>
      <c r="C605" t="inlineStr">
        <is>
          <t>1TRLB701P1BR</t>
        </is>
      </c>
      <c r="D605" t="inlineStr">
        <is>
          <t>Home Decor, Kitchen, &amp; Other</t>
        </is>
      </c>
      <c r="E605" t="inlineStr">
        <is>
          <t>Reusable Lunch Bags &amp; Boxes</t>
        </is>
      </c>
      <c r="F605" t="inlineStr">
        <is>
          <t>Tirrinia</t>
        </is>
      </c>
      <c r="G605" t="n">
        <v>0</v>
      </c>
      <c r="H605" t="n">
        <v>0</v>
      </c>
      <c r="I605" t="inlineStr">
        <is>
          <t>Q2-Target,Brand Camp VD,Lunch Bag,Optimized,Lunch Bags,SEM</t>
        </is>
      </c>
      <c r="J605" s="29" t="n">
        <v>27.98</v>
      </c>
      <c r="K605" s="30" t="n">
        <v>0.0002</v>
      </c>
      <c r="L605" s="29" t="n">
        <v>0</v>
      </c>
      <c r="M605" s="29" t="n">
        <v>0</v>
      </c>
      <c r="N605" s="2" t="n">
        <v>2</v>
      </c>
      <c r="O605" s="31" t="n">
        <v>0</v>
      </c>
      <c r="P605" s="32" t="n"/>
      <c r="Q605" s="32" t="n">
        <v>0</v>
      </c>
      <c r="R605" s="32" t="n">
        <v>0</v>
      </c>
      <c r="S605" s="31" t="n">
        <v>0</v>
      </c>
      <c r="T605" s="32" t="n">
        <v>0</v>
      </c>
      <c r="U605" s="31" t="n">
        <v>0</v>
      </c>
      <c r="V605" s="31" t="n">
        <v>0</v>
      </c>
      <c r="W605" s="3" t="n">
        <v>0</v>
      </c>
      <c r="X605" s="3" t="n">
        <v>0</v>
      </c>
      <c r="Y605" s="32" t="n">
        <v>0</v>
      </c>
      <c r="Z605" s="3" t="n">
        <v>0</v>
      </c>
      <c r="AA605" s="32" t="n">
        <v>0</v>
      </c>
      <c r="AB605" s="3" t="n"/>
      <c r="AC605" s="31" t="n">
        <v>0</v>
      </c>
      <c r="AD605" s="2" t="n">
        <v>0</v>
      </c>
      <c r="AE605" s="2" t="n">
        <v>46</v>
      </c>
      <c r="AF605" s="4" t="n">
        <v>46</v>
      </c>
      <c r="AG605" s="33" t="n">
        <v>27.98</v>
      </c>
      <c r="AH605" s="4" t="n">
        <v>2</v>
      </c>
      <c r="AI605" s="34" t="n">
        <v>0.0435</v>
      </c>
      <c r="AJ605" s="34" t="n">
        <v>1</v>
      </c>
      <c r="AK605" s="2" t="n">
        <v>6750</v>
      </c>
      <c r="AL605" t="inlineStr">
        <is>
          <t>Published</t>
        </is>
      </c>
    </row>
    <row r="606">
      <c r="A606">
        <f>HYPERLINK("https://www.walmart.com/ip/843947568", "843947568")</f>
        <v/>
      </c>
      <c r="B606">
        <f>HYPERLINK("https://app.optiwise.ai/catalog/itemdetails/361614", "Flyingstar Insulated Lunch Box for Women Men, Leakproof Thermal Reusable Lunch Bag with 4 Pockets for Adult &amp; Kids, Lunch Bag Cooler Tote for Office Work, Khaki")</f>
        <v/>
      </c>
      <c r="C606" t="inlineStr">
        <is>
          <t>1WMLB702P1KK</t>
        </is>
      </c>
      <c r="D606" t="inlineStr">
        <is>
          <t>Home Decor, Kitchen, &amp; Other</t>
        </is>
      </c>
      <c r="E606" t="inlineStr">
        <is>
          <t>Reusable Lunch Bags &amp; Boxes</t>
        </is>
      </c>
      <c r="F606" t="inlineStr">
        <is>
          <t>Flyingstar</t>
        </is>
      </c>
      <c r="G606" t="n">
        <v>4.9</v>
      </c>
      <c r="H606" t="n">
        <v>7</v>
      </c>
      <c r="I606" t="inlineStr">
        <is>
          <t>Q2-Target,Lunch Bag,Lunch Bags</t>
        </is>
      </c>
      <c r="J606" s="29" t="n">
        <v>27.98</v>
      </c>
      <c r="K606" s="30" t="n">
        <v>0.0002</v>
      </c>
      <c r="L606" s="29" t="n">
        <v>0</v>
      </c>
      <c r="M606" s="29" t="n">
        <v>0</v>
      </c>
      <c r="N606" s="2" t="n">
        <v>2</v>
      </c>
      <c r="O606" s="31" t="n">
        <v>0</v>
      </c>
      <c r="P606" s="32" t="n"/>
      <c r="Q606" s="32" t="n">
        <v>0</v>
      </c>
      <c r="R606" s="32" t="n">
        <v>0.2669</v>
      </c>
      <c r="S606" s="31" t="n">
        <v>0</v>
      </c>
      <c r="T606" s="32" t="n">
        <v>0</v>
      </c>
      <c r="U606" s="31" t="n">
        <v>0</v>
      </c>
      <c r="V606" s="31" t="n">
        <v>0</v>
      </c>
      <c r="W606" s="3" t="n">
        <v>0</v>
      </c>
      <c r="X606" s="3" t="n">
        <v>0</v>
      </c>
      <c r="Y606" s="32" t="n">
        <v>0</v>
      </c>
      <c r="Z606" s="3" t="n">
        <v>0</v>
      </c>
      <c r="AA606" s="32" t="n">
        <v>0</v>
      </c>
      <c r="AB606" s="3" t="n"/>
      <c r="AC606" s="31" t="n">
        <v>0</v>
      </c>
      <c r="AD606" s="2" t="n">
        <v>0</v>
      </c>
      <c r="AE606" s="2" t="n">
        <v>50</v>
      </c>
      <c r="AF606" s="4" t="n">
        <v>50</v>
      </c>
      <c r="AG606" s="33" t="n">
        <v>27.98</v>
      </c>
      <c r="AH606" s="4" t="n">
        <v>2</v>
      </c>
      <c r="AI606" s="34" t="n">
        <v>0.04</v>
      </c>
      <c r="AJ606" s="34" t="n">
        <v>1</v>
      </c>
      <c r="AK606" s="2" t="n">
        <v>7087</v>
      </c>
      <c r="AL606" t="inlineStr">
        <is>
          <t>Published</t>
        </is>
      </c>
    </row>
    <row r="607">
      <c r="A607">
        <f>HYPERLINK("https://www.walmart.com/ip/145817835", "145817835")</f>
        <v/>
      </c>
      <c r="B607">
        <f>HYPERLINK("https://app.optiwise.ai/catalog/itemdetails/362723", "JenniWears LED Light Up Sheer Lace Venetian Mask Floral Mardi Gras Masquerade Costume Purple")</f>
        <v/>
      </c>
      <c r="C607" t="inlineStr">
        <is>
          <t>JWLEDMK02-PP</t>
        </is>
      </c>
      <c r="D607" t="inlineStr">
        <is>
          <t>Costumes</t>
        </is>
      </c>
      <c r="E607" t="inlineStr">
        <is>
          <t>Costume Masks</t>
        </is>
      </c>
      <c r="F607" t="inlineStr">
        <is>
          <t>JenniWears</t>
        </is>
      </c>
      <c r="G607" t="n">
        <v>4.5</v>
      </c>
      <c r="H607" t="n">
        <v>4</v>
      </c>
      <c r="I607" t="inlineStr">
        <is>
          <t>Halloween</t>
        </is>
      </c>
      <c r="J607" s="29" t="n">
        <v>27.92</v>
      </c>
      <c r="K607" s="30" t="n">
        <v>0.0002</v>
      </c>
      <c r="L607" s="29" t="n">
        <v>0</v>
      </c>
      <c r="M607" s="29" t="n">
        <v>0</v>
      </c>
      <c r="N607" s="2" t="n">
        <v>4</v>
      </c>
      <c r="O607" s="31" t="n">
        <v>0</v>
      </c>
      <c r="P607" s="32" t="n"/>
      <c r="Q607" s="32" t="n">
        <v>0</v>
      </c>
      <c r="R607" s="32" t="n">
        <v>0</v>
      </c>
      <c r="S607" s="31" t="n">
        <v>0</v>
      </c>
      <c r="T607" s="32" t="n">
        <v>0</v>
      </c>
      <c r="U607" s="31" t="n">
        <v>0</v>
      </c>
      <c r="V607" s="31" t="n">
        <v>0</v>
      </c>
      <c r="W607" s="3" t="n">
        <v>0</v>
      </c>
      <c r="X607" s="3" t="n">
        <v>0</v>
      </c>
      <c r="Y607" s="32" t="n">
        <v>0</v>
      </c>
      <c r="Z607" s="3" t="n">
        <v>0</v>
      </c>
      <c r="AA607" s="32" t="n">
        <v>0</v>
      </c>
      <c r="AB607" s="3" t="n"/>
      <c r="AC607" s="31" t="n">
        <v>0</v>
      </c>
      <c r="AD607" s="2" t="n">
        <v>0</v>
      </c>
      <c r="AE607" s="2" t="n">
        <v>52</v>
      </c>
      <c r="AF607" s="4" t="n">
        <v>52</v>
      </c>
      <c r="AG607" s="33" t="n">
        <v>27.92</v>
      </c>
      <c r="AH607" s="4" t="n">
        <v>4</v>
      </c>
      <c r="AI607" s="34" t="n">
        <v>0.0769</v>
      </c>
      <c r="AJ607" s="34" t="n">
        <v>1</v>
      </c>
      <c r="AK607" s="2" t="n">
        <v>3375</v>
      </c>
      <c r="AL607" t="inlineStr">
        <is>
          <t>Published</t>
        </is>
      </c>
    </row>
    <row r="608">
      <c r="A608">
        <f>HYPERLINK("https://www.walmart.com/ip/711271124", "711271124")</f>
        <v/>
      </c>
      <c r="B608">
        <f>HYPERLINK("https://app.optiwise.ai/catalog/itemdetails/361719", "Sherpa Slipper Socks for Women,Winter Indoor Home Non Skid Booties")</f>
        <v/>
      </c>
      <c r="C608" t="inlineStr">
        <is>
          <t>1CTST200LBL-1</t>
        </is>
      </c>
      <c r="D608" t="inlineStr">
        <is>
          <t>Clothing</t>
        </is>
      </c>
      <c r="E608" t="inlineStr">
        <is>
          <t>Socks</t>
        </is>
      </c>
      <c r="F608" t="inlineStr">
        <is>
          <t>Catalonia</t>
        </is>
      </c>
      <c r="G608" t="n">
        <v>0</v>
      </c>
      <c r="H608" t="n">
        <v>0</v>
      </c>
      <c r="I608" t="inlineStr">
        <is>
          <t>WFS,WFS Item</t>
        </is>
      </c>
      <c r="J608" s="29" t="n">
        <v>27.92</v>
      </c>
      <c r="K608" s="30" t="n">
        <v>0.0002</v>
      </c>
      <c r="L608" s="29" t="n">
        <v>0</v>
      </c>
      <c r="M608" s="29" t="n">
        <v>0</v>
      </c>
      <c r="N608" s="2" t="n">
        <v>4</v>
      </c>
      <c r="O608" s="31" t="n">
        <v>0</v>
      </c>
      <c r="P608" s="32" t="n"/>
      <c r="Q608" s="32" t="n">
        <v>0</v>
      </c>
      <c r="R608" s="32" t="n">
        <v>0</v>
      </c>
      <c r="S608" s="31" t="n">
        <v>0</v>
      </c>
      <c r="T608" s="32" t="n">
        <v>0</v>
      </c>
      <c r="U608" s="31" t="n">
        <v>0</v>
      </c>
      <c r="V608" s="31" t="n">
        <v>0</v>
      </c>
      <c r="W608" s="3" t="n">
        <v>0</v>
      </c>
      <c r="X608" s="3" t="n">
        <v>0</v>
      </c>
      <c r="Y608" s="32" t="n">
        <v>0</v>
      </c>
      <c r="Z608" s="3" t="n">
        <v>0</v>
      </c>
      <c r="AA608" s="32" t="n">
        <v>0</v>
      </c>
      <c r="AB608" s="3" t="n"/>
      <c r="AC608" s="31" t="n">
        <v>0</v>
      </c>
      <c r="AD608" s="2" t="n">
        <v>0</v>
      </c>
      <c r="AE608" s="2" t="n">
        <v>8</v>
      </c>
      <c r="AF608" s="4" t="n">
        <v>8</v>
      </c>
      <c r="AG608" s="33" t="n">
        <v>27.92</v>
      </c>
      <c r="AH608" s="4" t="n">
        <v>4</v>
      </c>
      <c r="AI608" s="34" t="n">
        <v>0.5</v>
      </c>
      <c r="AJ608" s="34" t="n">
        <v>1</v>
      </c>
      <c r="AK608" s="2" t="n">
        <v>3375</v>
      </c>
      <c r="AL608" t="inlineStr">
        <is>
          <t>Published</t>
        </is>
      </c>
    </row>
    <row r="609">
      <c r="A609">
        <f>HYPERLINK("https://www.walmart.com/ip/376206344", "376206344")</f>
        <v/>
      </c>
      <c r="B609">
        <f>HYPERLINK("https://app.optiwise.ai/catalog/itemdetails/361430", "Waterproof Camping Blanket, Windproof Hooded Blanket Poncho for Sports Stadium, Camping, Beach, Picnic, Car or Pet Friendly Use")</f>
        <v/>
      </c>
      <c r="C609" t="inlineStr">
        <is>
          <t>1WMBC200BLGY</t>
        </is>
      </c>
      <c r="D609" t="inlineStr">
        <is>
          <t>Sport &amp; Recreation Other</t>
        </is>
      </c>
      <c r="E609" t="inlineStr">
        <is>
          <t>Picnic Blankets &amp; Mats</t>
        </is>
      </c>
      <c r="F609" t="inlineStr">
        <is>
          <t>Flyingstar</t>
        </is>
      </c>
      <c r="G609" t="n">
        <v>4.7</v>
      </c>
      <c r="H609" t="n">
        <v>3</v>
      </c>
      <c r="I609" t="inlineStr">
        <is>
          <t>Q2-Target,Optimized</t>
        </is>
      </c>
      <c r="J609" s="29" t="n">
        <v>26.99</v>
      </c>
      <c r="K609" s="30" t="n">
        <v>0.0002</v>
      </c>
      <c r="L609" s="29" t="n">
        <v>0</v>
      </c>
      <c r="M609" s="29" t="n">
        <v>0</v>
      </c>
      <c r="N609" s="2" t="n">
        <v>1</v>
      </c>
      <c r="O609" s="31" t="n">
        <v>1.05</v>
      </c>
      <c r="P609" s="32" t="n">
        <v>0.0001</v>
      </c>
      <c r="Q609" s="32" t="n">
        <v>0.0389</v>
      </c>
      <c r="R609" s="32" t="n">
        <v>0.0034</v>
      </c>
      <c r="S609" s="31" t="n">
        <v>0</v>
      </c>
      <c r="T609" s="32" t="n">
        <v>0</v>
      </c>
      <c r="U609" s="31" t="n">
        <v>0</v>
      </c>
      <c r="V609" s="31" t="n">
        <v>0</v>
      </c>
      <c r="W609" s="3" t="n">
        <v>2718</v>
      </c>
      <c r="X609" s="3" t="n">
        <v>3</v>
      </c>
      <c r="Y609" s="32" t="n">
        <v>0.0011</v>
      </c>
      <c r="Z609" s="3" t="n">
        <v>0</v>
      </c>
      <c r="AA609" s="32" t="n">
        <v>0</v>
      </c>
      <c r="AB609" s="3" t="inlineStr">
        <is>
          <t>WFS Inventory</t>
        </is>
      </c>
      <c r="AC609" s="31" t="n">
        <v>0.35</v>
      </c>
      <c r="AD609" s="2" t="n">
        <v>0</v>
      </c>
      <c r="AE609" s="2" t="n">
        <v>29</v>
      </c>
      <c r="AF609" s="4" t="n">
        <v>26</v>
      </c>
      <c r="AG609" s="33" t="n">
        <v>26.99</v>
      </c>
      <c r="AH609" s="4" t="n">
        <v>1</v>
      </c>
      <c r="AI609" s="34" t="n">
        <v>0.0385</v>
      </c>
      <c r="AJ609" s="34" t="n">
        <v>1</v>
      </c>
      <c r="AK609" s="2" t="n">
        <v>13500</v>
      </c>
      <c r="AL609" t="inlineStr">
        <is>
          <t>Published</t>
        </is>
      </c>
    </row>
    <row r="610">
      <c r="A610">
        <f>HYPERLINK("https://www.walmart.com/ip/887251114", "887251114")</f>
        <v/>
      </c>
      <c r="B610">
        <f>HYPERLINK("https://app.optiwise.ai/catalog/itemdetails/361349", "Flyingstar Waterproof Camping Blanket, Wearable Windproof Hooded Blanket Poncho for Sports Stadium, Camping, Beach, Picnic, Car or Pet Friendly Use, Green&amp;Black")</f>
        <v/>
      </c>
      <c r="C610" t="inlineStr">
        <is>
          <t>1WMBC200GNBK</t>
        </is>
      </c>
      <c r="D610" t="inlineStr">
        <is>
          <t>Sport &amp; Recreation Other</t>
        </is>
      </c>
      <c r="E610" t="inlineStr">
        <is>
          <t>Picnic Blankets &amp; Mats</t>
        </is>
      </c>
      <c r="F610" t="inlineStr">
        <is>
          <t>Flyingstar</t>
        </is>
      </c>
      <c r="G610" t="n">
        <v>4.6</v>
      </c>
      <c r="H610" t="n">
        <v>9</v>
      </c>
      <c r="I610" t="inlineStr">
        <is>
          <t>Optimized,SEM</t>
        </is>
      </c>
      <c r="J610" s="29" t="n">
        <v>26.99</v>
      </c>
      <c r="K610" s="30" t="n">
        <v>0.0002</v>
      </c>
      <c r="L610" s="29" t="n">
        <v>0</v>
      </c>
      <c r="M610" s="29" t="n">
        <v>0</v>
      </c>
      <c r="N610" s="2" t="n">
        <v>1</v>
      </c>
      <c r="O610" s="31" t="n">
        <v>0.9199999999999999</v>
      </c>
      <c r="P610" s="32" t="n">
        <v>0.0001</v>
      </c>
      <c r="Q610" s="32" t="n">
        <v>0.0341</v>
      </c>
      <c r="R610" s="32" t="n">
        <v>0.0248</v>
      </c>
      <c r="S610" s="31" t="n">
        <v>0</v>
      </c>
      <c r="T610" s="32" t="n">
        <v>0</v>
      </c>
      <c r="U610" s="31" t="n">
        <v>0</v>
      </c>
      <c r="V610" s="31" t="n">
        <v>0</v>
      </c>
      <c r="W610" s="3" t="n">
        <v>3876</v>
      </c>
      <c r="X610" s="3" t="n">
        <v>3</v>
      </c>
      <c r="Y610" s="32" t="n">
        <v>0.0008</v>
      </c>
      <c r="Z610" s="3" t="n">
        <v>0</v>
      </c>
      <c r="AA610" s="32" t="n">
        <v>0</v>
      </c>
      <c r="AB610" s="3" t="inlineStr">
        <is>
          <t>WFS Inventory</t>
        </is>
      </c>
      <c r="AC610" s="31" t="n">
        <v>0.31</v>
      </c>
      <c r="AD610" s="2" t="n">
        <v>0</v>
      </c>
      <c r="AE610" s="2" t="n">
        <v>74</v>
      </c>
      <c r="AF610" s="4" t="n">
        <v>71</v>
      </c>
      <c r="AG610" s="33" t="n">
        <v>26.99</v>
      </c>
      <c r="AH610" s="4" t="n">
        <v>1</v>
      </c>
      <c r="AI610" s="34" t="n">
        <v>0.0141</v>
      </c>
      <c r="AJ610" s="34" t="n">
        <v>1</v>
      </c>
      <c r="AK610" s="2" t="n">
        <v>13500</v>
      </c>
      <c r="AL610" t="inlineStr">
        <is>
          <t>Published</t>
        </is>
      </c>
    </row>
    <row r="611">
      <c r="A611">
        <f>HYPERLINK("https://www.walmart.com/ip/5801714843", "5801714843")</f>
        <v/>
      </c>
      <c r="B611">
        <f>HYPERLINK("https://app.optiwise.ai/catalog/itemdetails/9053833", "Tirrinia Camping Cooler Bag Insulated w/ Shoulder Strap and Bottle Opener 20 Cans Portable Ice Chest for Camping Hiking Picnic Beach")</f>
        <v/>
      </c>
      <c r="C611" t="inlineStr">
        <is>
          <t>1TRCB00136BK</t>
        </is>
      </c>
      <c r="D611" t="inlineStr">
        <is>
          <t>Sport &amp; Recreation Other</t>
        </is>
      </c>
      <c r="E611" t="inlineStr">
        <is>
          <t>Picnic Baskets &amp; Bags</t>
        </is>
      </c>
      <c r="F611" t="inlineStr">
        <is>
          <t>Tirrinia</t>
        </is>
      </c>
      <c r="G611" t="n">
        <v>0</v>
      </c>
      <c r="H611" t="n">
        <v>0</v>
      </c>
      <c r="J611" s="29" t="n">
        <v>26.99</v>
      </c>
      <c r="K611" s="30" t="n">
        <v>0.0002</v>
      </c>
      <c r="L611" s="29" t="n">
        <v>0</v>
      </c>
      <c r="M611" s="29" t="n">
        <v>0</v>
      </c>
      <c r="N611" s="2" t="n">
        <v>1</v>
      </c>
      <c r="O611" s="31" t="n">
        <v>0</v>
      </c>
      <c r="P611" s="32" t="n"/>
      <c r="Q611" s="32" t="n">
        <v>0</v>
      </c>
      <c r="R611" s="32" t="n">
        <v>0</v>
      </c>
      <c r="S611" s="31" t="n">
        <v>0</v>
      </c>
      <c r="T611" s="32" t="n">
        <v>0</v>
      </c>
      <c r="U611" s="31" t="n">
        <v>0</v>
      </c>
      <c r="V611" s="31" t="n">
        <v>0</v>
      </c>
      <c r="W611" s="3" t="n">
        <v>0</v>
      </c>
      <c r="X611" s="3" t="n">
        <v>0</v>
      </c>
      <c r="Y611" s="32" t="n">
        <v>0</v>
      </c>
      <c r="Z611" s="3" t="n">
        <v>0</v>
      </c>
      <c r="AA611" s="32" t="n">
        <v>0</v>
      </c>
      <c r="AB611" s="3" t="n"/>
      <c r="AC611" s="31" t="n">
        <v>0</v>
      </c>
      <c r="AD611" s="2" t="n">
        <v>0</v>
      </c>
      <c r="AE611" s="2" t="n">
        <v>17</v>
      </c>
      <c r="AF611" s="4" t="n">
        <v>17</v>
      </c>
      <c r="AG611" s="33" t="n">
        <v>26.99</v>
      </c>
      <c r="AH611" s="4" t="n">
        <v>1</v>
      </c>
      <c r="AI611" s="34" t="n">
        <v>0.0588</v>
      </c>
      <c r="AJ611" s="34" t="n">
        <v>1</v>
      </c>
      <c r="AK611" s="2" t="n">
        <v>13905</v>
      </c>
      <c r="AL611" t="inlineStr">
        <is>
          <t>Published</t>
        </is>
      </c>
    </row>
    <row r="612">
      <c r="A612">
        <f>HYPERLINK("https://www.walmart.com/ip/491790001", "491790001")</f>
        <v/>
      </c>
      <c r="B612">
        <f>HYPERLINK("https://app.optiwise.ai/catalog/itemdetails/373676", "Kato Sherpa Waterproof Throw Blanket Reversible Emergency Warm Picnic 51” X 59”, 2 lb, All Ages")</f>
        <v/>
      </c>
      <c r="C612" t="inlineStr">
        <is>
          <t>1KTBW506BKGY</t>
        </is>
      </c>
      <c r="D612" t="inlineStr">
        <is>
          <t>Bedding</t>
        </is>
      </c>
      <c r="E612" t="inlineStr">
        <is>
          <t>Throws</t>
        </is>
      </c>
      <c r="F612" t="inlineStr">
        <is>
          <t>Kato</t>
        </is>
      </c>
      <c r="G612" t="n">
        <v>0</v>
      </c>
      <c r="H612" t="n">
        <v>0</v>
      </c>
      <c r="I612" t="inlineStr">
        <is>
          <t>Q2-Target,Optimized</t>
        </is>
      </c>
      <c r="J612" s="29" t="n">
        <v>26.99</v>
      </c>
      <c r="K612" s="30" t="n">
        <v>0.0002</v>
      </c>
      <c r="L612" s="29" t="n">
        <v>0</v>
      </c>
      <c r="M612" s="29" t="n">
        <v>0</v>
      </c>
      <c r="N612" s="2" t="n">
        <v>1</v>
      </c>
      <c r="O612" s="31" t="n">
        <v>1.24</v>
      </c>
      <c r="P612" s="32" t="n">
        <v>0.0001</v>
      </c>
      <c r="Q612" s="32" t="n">
        <v>0.0459</v>
      </c>
      <c r="R612" s="32" t="n">
        <v>0.1529</v>
      </c>
      <c r="S612" s="31" t="n">
        <v>0</v>
      </c>
      <c r="T612" s="32" t="n">
        <v>0</v>
      </c>
      <c r="U612" s="31" t="n">
        <v>0</v>
      </c>
      <c r="V612" s="31" t="n">
        <v>0</v>
      </c>
      <c r="W612" s="3" t="n">
        <v>3725</v>
      </c>
      <c r="X612" s="3" t="n">
        <v>4</v>
      </c>
      <c r="Y612" s="32" t="n">
        <v>0.0011</v>
      </c>
      <c r="Z612" s="3" t="n">
        <v>0</v>
      </c>
      <c r="AA612" s="32" t="n">
        <v>0</v>
      </c>
      <c r="AB612" s="3" t="inlineStr">
        <is>
          <t>Throws_Auto_Optiwise_24</t>
        </is>
      </c>
      <c r="AC612" s="31" t="n">
        <v>0.31</v>
      </c>
      <c r="AD612" s="2" t="n">
        <v>0</v>
      </c>
      <c r="AE612" s="2" t="n">
        <v>0</v>
      </c>
      <c r="AF612" s="4" t="inlineStr">
        <is>
          <t>NA</t>
        </is>
      </c>
      <c r="AG612" s="33" t="n">
        <v>26.99</v>
      </c>
      <c r="AH612" s="4" t="n">
        <v>1</v>
      </c>
      <c r="AI612" s="34" t="inlineStr">
        <is>
          <t>NA</t>
        </is>
      </c>
      <c r="AJ612" s="34" t="n">
        <v>1</v>
      </c>
      <c r="AK612" s="2" t="n">
        <v>13500</v>
      </c>
      <c r="AL612" t="inlineStr">
        <is>
          <t>Published</t>
        </is>
      </c>
    </row>
    <row r="613">
      <c r="A613">
        <f>HYPERLINK("https://www.walmart.com/ip/724653683", "724653683")</f>
        <v/>
      </c>
      <c r="B613">
        <f>HYPERLINK("https://app.optiwise.ai/catalog/itemdetails/409192", "Tirrinia Leakproof Thermal Reusable Insulated Lunch Bag for Men and Women With Shoulder Strap, Black Checkered")</f>
        <v/>
      </c>
      <c r="C613" t="inlineStr">
        <is>
          <t>1TRLB702P1BRCK</t>
        </is>
      </c>
      <c r="D613" t="inlineStr">
        <is>
          <t>Home Decor, Kitchen, &amp; Other</t>
        </is>
      </c>
      <c r="E613" t="inlineStr">
        <is>
          <t>Reusable Lunch Bags &amp; Boxes</t>
        </is>
      </c>
      <c r="F613" t="inlineStr">
        <is>
          <t>Tirrinia</t>
        </is>
      </c>
      <c r="G613" t="n">
        <v>4.6</v>
      </c>
      <c r="H613" t="n">
        <v>10</v>
      </c>
      <c r="I613" t="inlineStr">
        <is>
          <t>Q2-Target,Brand Camp VD,Lunch Bag,Optimized,SEM</t>
        </is>
      </c>
      <c r="J613" s="29" t="n">
        <v>26.44</v>
      </c>
      <c r="K613" s="30" t="n">
        <v>0.0002</v>
      </c>
      <c r="L613" s="29" t="n">
        <v>12.98999977111816</v>
      </c>
      <c r="M613" s="29" t="n">
        <v>0</v>
      </c>
      <c r="N613" s="2" t="n">
        <v>2</v>
      </c>
      <c r="O613" s="31" t="n">
        <v>0</v>
      </c>
      <c r="P613" s="32" t="n"/>
      <c r="Q613" s="32" t="n">
        <v>0</v>
      </c>
      <c r="R613" s="32" t="n">
        <v>0.0327</v>
      </c>
      <c r="S613" s="31" t="n">
        <v>0</v>
      </c>
      <c r="T613" s="32" t="n">
        <v>0</v>
      </c>
      <c r="U613" s="31" t="n">
        <v>0</v>
      </c>
      <c r="V613" s="31" t="n">
        <v>0</v>
      </c>
      <c r="W613" s="3" t="n">
        <v>0</v>
      </c>
      <c r="X613" s="3" t="n">
        <v>0</v>
      </c>
      <c r="Y613" s="32" t="n">
        <v>0</v>
      </c>
      <c r="Z613" s="3" t="n">
        <v>0</v>
      </c>
      <c r="AA613" s="32" t="n">
        <v>0</v>
      </c>
      <c r="AB613" s="3" t="n"/>
      <c r="AC613" s="31" t="n">
        <v>0</v>
      </c>
      <c r="AD613" s="2" t="n">
        <v>85</v>
      </c>
      <c r="AE613" s="2" t="n">
        <v>196</v>
      </c>
      <c r="AF613" s="4" t="n">
        <v>196</v>
      </c>
      <c r="AG613" s="33" t="n">
        <v>26.44</v>
      </c>
      <c r="AH613" s="4" t="n">
        <v>2</v>
      </c>
      <c r="AI613" s="34" t="n">
        <v>0.0102</v>
      </c>
      <c r="AJ613" s="34" t="n">
        <v>1</v>
      </c>
      <c r="AK613" s="2" t="n">
        <v>6750</v>
      </c>
      <c r="AL613" t="inlineStr">
        <is>
          <t>Published</t>
        </is>
      </c>
    </row>
    <row r="614">
      <c r="A614">
        <f>HYPERLINK("https://www.walmart.com/ip/492947088", "492947088")</f>
        <v/>
      </c>
      <c r="B614">
        <f>HYPERLINK("https://app.optiwise.ai/catalog/itemdetails/360531", "Catalonia Patriotic US Flag Blanket, Sherpa Fleece Plush Super Soft Cozy Warm Reversible Blanket for Couch Bed, 4th of July Citizenship Veteran Gift, 50x70 inches")</f>
        <v/>
      </c>
      <c r="C614" t="inlineStr">
        <is>
          <t>1CTBF300USARD</t>
        </is>
      </c>
      <c r="D614" t="inlineStr">
        <is>
          <t>Bedding</t>
        </is>
      </c>
      <c r="E614" t="inlineStr">
        <is>
          <t>Throws</t>
        </is>
      </c>
      <c r="F614" t="inlineStr">
        <is>
          <t>Catalonia</t>
        </is>
      </c>
      <c r="G614" t="n">
        <v>4.9</v>
      </c>
      <c r="H614" t="n">
        <v>8</v>
      </c>
      <c r="I614" t="inlineStr">
        <is>
          <t>WFS,WFS Item</t>
        </is>
      </c>
      <c r="J614" s="29" t="n">
        <v>25.99</v>
      </c>
      <c r="K614" s="30" t="n">
        <v>0.0002</v>
      </c>
      <c r="L614" s="29" t="n">
        <v>0</v>
      </c>
      <c r="M614" s="29" t="n">
        <v>0</v>
      </c>
      <c r="N614" s="2" t="n">
        <v>1</v>
      </c>
      <c r="O614" s="31" t="n">
        <v>0</v>
      </c>
      <c r="P614" s="32" t="n"/>
      <c r="Q614" s="32" t="n">
        <v>0</v>
      </c>
      <c r="R614" s="32" t="n">
        <v>0</v>
      </c>
      <c r="S614" s="31" t="n">
        <v>0</v>
      </c>
      <c r="T614" s="32" t="n">
        <v>0</v>
      </c>
      <c r="U614" s="31" t="n">
        <v>0</v>
      </c>
      <c r="V614" s="31" t="n">
        <v>0</v>
      </c>
      <c r="W614" s="3" t="n">
        <v>0</v>
      </c>
      <c r="X614" s="3" t="n">
        <v>0</v>
      </c>
      <c r="Y614" s="32" t="n">
        <v>0</v>
      </c>
      <c r="Z614" s="3" t="n">
        <v>0</v>
      </c>
      <c r="AA614" s="32" t="n">
        <v>0</v>
      </c>
      <c r="AB614" s="3" t="n"/>
      <c r="AC614" s="31" t="n">
        <v>0</v>
      </c>
      <c r="AD614" s="2" t="n">
        <v>0</v>
      </c>
      <c r="AE614" s="2" t="n">
        <v>28</v>
      </c>
      <c r="AF614" s="4" t="n">
        <v>28</v>
      </c>
      <c r="AG614" s="33" t="n">
        <v>25.99</v>
      </c>
      <c r="AH614" s="4" t="n">
        <v>1</v>
      </c>
      <c r="AI614" s="34" t="n">
        <v>0.0357</v>
      </c>
      <c r="AJ614" s="34" t="n">
        <v>1</v>
      </c>
      <c r="AK614" s="2" t="n">
        <v>2430</v>
      </c>
      <c r="AL614" t="inlineStr">
        <is>
          <t>Published</t>
        </is>
      </c>
    </row>
    <row r="615">
      <c r="A615">
        <f>HYPERLINK("https://www.walmart.com/ip/863552350", "863552350")</f>
        <v/>
      </c>
      <c r="B615">
        <f>HYPERLINK("https://app.optiwise.ai/catalog/itemdetails/417451", "Tirrinia Super Cozy Fleece Eagle Patriotic Throw Blanket, 50 x 60, American Flag")</f>
        <v/>
      </c>
      <c r="C615" t="inlineStr">
        <is>
          <t>1TRBF300USA3-TBCB01</t>
        </is>
      </c>
      <c r="D615" t="inlineStr">
        <is>
          <t>Bedding</t>
        </is>
      </c>
      <c r="E615" t="inlineStr">
        <is>
          <t>Throws</t>
        </is>
      </c>
      <c r="F615" t="inlineStr">
        <is>
          <t>Tirrinia</t>
        </is>
      </c>
      <c r="G615" t="n">
        <v>0</v>
      </c>
      <c r="H615" t="n">
        <v>0</v>
      </c>
      <c r="I615" t="inlineStr">
        <is>
          <t>Optimized</t>
        </is>
      </c>
      <c r="J615" s="29" t="n">
        <v>25.99</v>
      </c>
      <c r="K615" s="30" t="n">
        <v>0.0002</v>
      </c>
      <c r="L615" s="29" t="n">
        <v>0</v>
      </c>
      <c r="M615" s="29" t="n">
        <v>0</v>
      </c>
      <c r="N615" s="2" t="n">
        <v>1</v>
      </c>
      <c r="O615" s="31" t="n">
        <v>0</v>
      </c>
      <c r="P615" s="32" t="n"/>
      <c r="Q615" s="32" t="n">
        <v>0</v>
      </c>
      <c r="R615" s="32" t="n">
        <v>0</v>
      </c>
      <c r="S615" s="31" t="n">
        <v>0</v>
      </c>
      <c r="T615" s="32" t="n">
        <v>0</v>
      </c>
      <c r="U615" s="31" t="n">
        <v>0</v>
      </c>
      <c r="V615" s="31" t="n">
        <v>0</v>
      </c>
      <c r="W615" s="3" t="n">
        <v>0</v>
      </c>
      <c r="X615" s="3" t="n">
        <v>0</v>
      </c>
      <c r="Y615" s="32" t="n">
        <v>0</v>
      </c>
      <c r="Z615" s="3" t="n">
        <v>0</v>
      </c>
      <c r="AA615" s="32" t="n">
        <v>0</v>
      </c>
      <c r="AB615" s="3" t="n"/>
      <c r="AC615" s="31" t="n">
        <v>0</v>
      </c>
      <c r="AD615" s="2" t="n">
        <v>0</v>
      </c>
      <c r="AE615" s="2" t="n">
        <v>2</v>
      </c>
      <c r="AF615" s="4" t="n">
        <v>2</v>
      </c>
      <c r="AG615" s="33" t="n">
        <v>25.99</v>
      </c>
      <c r="AH615" s="4" t="n">
        <v>1</v>
      </c>
      <c r="AI615" s="34" t="n">
        <v>0.5</v>
      </c>
      <c r="AJ615" s="34" t="n">
        <v>1</v>
      </c>
      <c r="AK615" s="2" t="n">
        <v>0</v>
      </c>
      <c r="AL615" t="inlineStr">
        <is>
          <t>Published</t>
        </is>
      </c>
    </row>
    <row r="616">
      <c r="A616">
        <f>HYPERLINK("https://www.walmart.com/ip/277278833", "277278833")</f>
        <v/>
      </c>
      <c r="B616">
        <f>HYPERLINK("https://app.optiwise.ai/catalog/itemdetails/362629", "Catalonia Sherpa Fleece Blanket, 60”x50”, Reversible, Soft Warm Micro Plush Throws for Couch Multi-Color")</f>
        <v/>
      </c>
      <c r="C616" t="inlineStr">
        <is>
          <t>1CTBF300PGN</t>
        </is>
      </c>
      <c r="D616" t="inlineStr">
        <is>
          <t>Bedding</t>
        </is>
      </c>
      <c r="E616" t="inlineStr">
        <is>
          <t>Throws</t>
        </is>
      </c>
      <c r="F616" t="inlineStr">
        <is>
          <t>Catalonia</t>
        </is>
      </c>
      <c r="G616" t="n">
        <v>4.8</v>
      </c>
      <c r="H616" t="n">
        <v>21</v>
      </c>
      <c r="I616" t="inlineStr">
        <is>
          <t>Q2-Target,Optimized,WFS,WFS Item,Fleece Blankets</t>
        </is>
      </c>
      <c r="J616" s="29" t="n">
        <v>25.99</v>
      </c>
      <c r="K616" s="30" t="n">
        <v>0.0002</v>
      </c>
      <c r="L616" s="29" t="n">
        <v>0</v>
      </c>
      <c r="M616" s="29" t="n">
        <v>0</v>
      </c>
      <c r="N616" s="2" t="n">
        <v>1</v>
      </c>
      <c r="O616" s="31" t="n">
        <v>0</v>
      </c>
      <c r="P616" s="32" t="n"/>
      <c r="Q616" s="32" t="n">
        <v>0</v>
      </c>
      <c r="R616" s="32" t="n">
        <v>0</v>
      </c>
      <c r="S616" s="31" t="n">
        <v>0</v>
      </c>
      <c r="T616" s="32" t="n">
        <v>0</v>
      </c>
      <c r="U616" s="31" t="n">
        <v>0</v>
      </c>
      <c r="V616" s="31" t="n">
        <v>0</v>
      </c>
      <c r="W616" s="3" t="n">
        <v>0</v>
      </c>
      <c r="X616" s="3" t="n">
        <v>0</v>
      </c>
      <c r="Y616" s="32" t="n">
        <v>0</v>
      </c>
      <c r="Z616" s="3" t="n">
        <v>0</v>
      </c>
      <c r="AA616" s="32" t="n">
        <v>0</v>
      </c>
      <c r="AB616" s="3" t="n"/>
      <c r="AC616" s="31" t="n">
        <v>0</v>
      </c>
      <c r="AD616" s="2" t="n">
        <v>5</v>
      </c>
      <c r="AE616" s="2" t="n">
        <v>127</v>
      </c>
      <c r="AF616" s="4" t="n">
        <v>127</v>
      </c>
      <c r="AG616" s="33" t="n">
        <v>25.99</v>
      </c>
      <c r="AH616" s="4" t="n">
        <v>1</v>
      </c>
      <c r="AI616" s="34" t="n">
        <v>0.007900000000000001</v>
      </c>
      <c r="AJ616" s="34" t="n">
        <v>1</v>
      </c>
      <c r="AK616" s="2" t="n">
        <v>13500</v>
      </c>
      <c r="AL616" t="inlineStr">
        <is>
          <t>Published</t>
        </is>
      </c>
    </row>
    <row r="617">
      <c r="A617">
        <f>HYPERLINK("https://www.walmart.com/ip/860538927", "860538927")</f>
        <v/>
      </c>
      <c r="B617">
        <f>HYPERLINK("https://app.optiwise.ai/catalog/itemdetails/362361", "Catalonia Sherpa Throw Blanket, Super Soft Fleece Plush Sofa Couch Blanket, TV Bed Blanket, Comfy Cozy Fluffy Warm, Christmas Theme Throws, Holiday Gift Blanket( 50x60 inch, Tribe)")</f>
        <v/>
      </c>
      <c r="C617" t="inlineStr">
        <is>
          <t>1CTBF571TRIBE</t>
        </is>
      </c>
      <c r="D617" t="inlineStr">
        <is>
          <t>Bedding</t>
        </is>
      </c>
      <c r="E617" t="inlineStr">
        <is>
          <t>Throws</t>
        </is>
      </c>
      <c r="F617" t="inlineStr">
        <is>
          <t>Catalonia</t>
        </is>
      </c>
      <c r="G617" t="n">
        <v>4.8</v>
      </c>
      <c r="H617" t="n">
        <v>5</v>
      </c>
      <c r="I617" t="inlineStr">
        <is>
          <t>Christmas,Hero 5 Holidays,WFS,WFS Item</t>
        </is>
      </c>
      <c r="J617" s="29" t="n">
        <v>25.99</v>
      </c>
      <c r="K617" s="30" t="n">
        <v>0.0002</v>
      </c>
      <c r="L617" s="29" t="n">
        <v>0</v>
      </c>
      <c r="M617" s="29" t="n">
        <v>0</v>
      </c>
      <c r="N617" s="2" t="n">
        <v>1</v>
      </c>
      <c r="O617" s="31" t="n">
        <v>0</v>
      </c>
      <c r="P617" s="32" t="n"/>
      <c r="Q617" s="32" t="n">
        <v>0</v>
      </c>
      <c r="R617" s="32" t="n">
        <v>0.4957</v>
      </c>
      <c r="S617" s="31" t="n">
        <v>0</v>
      </c>
      <c r="T617" s="32" t="n">
        <v>0</v>
      </c>
      <c r="U617" s="31" t="n">
        <v>0</v>
      </c>
      <c r="V617" s="31" t="n">
        <v>0</v>
      </c>
      <c r="W617" s="3" t="n">
        <v>0</v>
      </c>
      <c r="X617" s="3" t="n">
        <v>0</v>
      </c>
      <c r="Y617" s="32" t="n">
        <v>0</v>
      </c>
      <c r="Z617" s="3" t="n">
        <v>0</v>
      </c>
      <c r="AA617" s="32" t="n">
        <v>0</v>
      </c>
      <c r="AB617" s="3" t="n"/>
      <c r="AC617" s="31" t="n">
        <v>0</v>
      </c>
      <c r="AD617" s="2" t="n">
        <v>30</v>
      </c>
      <c r="AE617" s="2" t="n">
        <v>13</v>
      </c>
      <c r="AF617" s="4" t="n">
        <v>17</v>
      </c>
      <c r="AG617" s="33" t="n">
        <v>25.99</v>
      </c>
      <c r="AH617" s="4" t="n">
        <v>1</v>
      </c>
      <c r="AI617" s="34" t="n">
        <v>0.0588</v>
      </c>
      <c r="AJ617" s="34" t="n">
        <v>1</v>
      </c>
      <c r="AK617" s="2" t="n">
        <v>5805</v>
      </c>
      <c r="AL617" t="inlineStr">
        <is>
          <t>Published</t>
        </is>
      </c>
    </row>
    <row r="618">
      <c r="A618">
        <f>HYPERLINK("https://www.walmart.com/ip/831530911", "831530911")</f>
        <v/>
      </c>
      <c r="B618">
        <f>HYPERLINK("https://app.optiwise.ai/catalog/itemdetails/360941", "Catalonia Wearable Fleece Blanket with Sleeves and Foot Pockets for Adult Women Men, Micro Plush Comfy Wrap Sleeved Throw Blanket Robe Large, Navy")</f>
        <v/>
      </c>
      <c r="C618" t="inlineStr">
        <is>
          <t>1CTSN101NY</t>
        </is>
      </c>
      <c r="D618" t="inlineStr">
        <is>
          <t>Bedding</t>
        </is>
      </c>
      <c r="E618" t="inlineStr">
        <is>
          <t>Throws</t>
        </is>
      </c>
      <c r="F618" t="inlineStr">
        <is>
          <t>Catalonia</t>
        </is>
      </c>
      <c r="G618" t="n">
        <v>3</v>
      </c>
      <c r="H618" t="n">
        <v>2</v>
      </c>
      <c r="I618" t="inlineStr">
        <is>
          <t>Q2-Target,WFS,WFS Item</t>
        </is>
      </c>
      <c r="J618" s="29" t="n">
        <v>25.99</v>
      </c>
      <c r="K618" s="30" t="n">
        <v>0.0002</v>
      </c>
      <c r="L618" s="29" t="n">
        <v>0</v>
      </c>
      <c r="M618" s="29" t="n">
        <v>0</v>
      </c>
      <c r="N618" s="2" t="n">
        <v>1</v>
      </c>
      <c r="O618" s="31" t="n">
        <v>22.40000000000001</v>
      </c>
      <c r="P618" s="32" t="n">
        <v>0.0027</v>
      </c>
      <c r="Q618" s="32" t="n">
        <v>0.8619</v>
      </c>
      <c r="R618" s="32" t="n">
        <v>0</v>
      </c>
      <c r="S618" s="31" t="n">
        <v>0.89</v>
      </c>
      <c r="T618" s="32" t="n">
        <v>1.12</v>
      </c>
      <c r="U618" s="31" t="n">
        <v>19.99</v>
      </c>
      <c r="V618" s="31" t="n">
        <v>0</v>
      </c>
      <c r="W618" s="3" t="n">
        <v>27055</v>
      </c>
      <c r="X618" s="3" t="n">
        <v>54</v>
      </c>
      <c r="Y618" s="32" t="n">
        <v>0.002</v>
      </c>
      <c r="Z618" s="3" t="n">
        <v>1</v>
      </c>
      <c r="AA618" s="32" t="n">
        <v>0.0185</v>
      </c>
      <c r="AB618" s="3" t="inlineStr">
        <is>
          <t>Need to sell these SKUs by 15th Feb</t>
        </is>
      </c>
      <c r="AC618" s="31" t="n">
        <v>0.41</v>
      </c>
      <c r="AD618" s="2" t="n">
        <v>8</v>
      </c>
      <c r="AE618" s="2" t="n">
        <v>64</v>
      </c>
      <c r="AF618" s="4" t="n">
        <v>10</v>
      </c>
      <c r="AG618" s="33" t="n">
        <v>6</v>
      </c>
      <c r="AH618" s="4" t="n">
        <v>0</v>
      </c>
      <c r="AI618" s="34" t="n"/>
      <c r="AJ618" s="34" t="n">
        <v>0.2309</v>
      </c>
      <c r="AK618" s="2" t="n">
        <v>14175</v>
      </c>
      <c r="AL618" t="inlineStr">
        <is>
          <t>Published</t>
        </is>
      </c>
    </row>
    <row r="619">
      <c r="A619">
        <f>HYPERLINK("https://www.walmart.com/ip/617807629", "617807629")</f>
        <v/>
      </c>
      <c r="B619">
        <f>HYPERLINK("https://app.optiwise.ai/catalog/itemdetails/359312", "Flyingstar Faux Shearling Oversized Wearable Blanket, Hooded Blanket Sweatshirt for Women and Men, Black")</f>
        <v/>
      </c>
      <c r="C619" t="inlineStr">
        <is>
          <t>1WMHD300BK</t>
        </is>
      </c>
      <c r="D619" t="inlineStr">
        <is>
          <t>Clothing</t>
        </is>
      </c>
      <c r="E619" t="inlineStr">
        <is>
          <t>Sweatshirts &amp; Hoodies</t>
        </is>
      </c>
      <c r="F619" t="inlineStr">
        <is>
          <t>Flyingstar</t>
        </is>
      </c>
      <c r="G619" t="n">
        <v>0</v>
      </c>
      <c r="H619" t="n">
        <v>0</v>
      </c>
      <c r="I619" t="inlineStr">
        <is>
          <t>Hoodie ForAdult,Optimized,WFS,WFS Item</t>
        </is>
      </c>
      <c r="J619" s="29" t="n">
        <v>25.99</v>
      </c>
      <c r="K619" s="30" t="n">
        <v>0.0002</v>
      </c>
      <c r="L619" s="29" t="n">
        <v>0</v>
      </c>
      <c r="M619" s="29" t="n">
        <v>0</v>
      </c>
      <c r="N619" s="2" t="n">
        <v>1</v>
      </c>
      <c r="O619" s="31" t="n">
        <v>0</v>
      </c>
      <c r="P619" s="32" t="n"/>
      <c r="Q619" s="32" t="n">
        <v>0</v>
      </c>
      <c r="R619" s="32" t="n">
        <v>0</v>
      </c>
      <c r="S619" s="31" t="n">
        <v>0</v>
      </c>
      <c r="T619" s="32" t="n">
        <v>0</v>
      </c>
      <c r="U619" s="31" t="n">
        <v>0</v>
      </c>
      <c r="V619" s="31" t="n">
        <v>0</v>
      </c>
      <c r="W619" s="3" t="n">
        <v>0</v>
      </c>
      <c r="X619" s="3" t="n">
        <v>0</v>
      </c>
      <c r="Y619" s="32" t="n">
        <v>0</v>
      </c>
      <c r="Z619" s="3" t="n">
        <v>0</v>
      </c>
      <c r="AA619" s="32" t="n">
        <v>0</v>
      </c>
      <c r="AB619" s="3" t="n"/>
      <c r="AC619" s="31" t="n">
        <v>0</v>
      </c>
      <c r="AD619" s="2" t="n">
        <v>0</v>
      </c>
      <c r="AE619" s="2" t="n">
        <v>20</v>
      </c>
      <c r="AF619" s="4" t="n">
        <v>20</v>
      </c>
      <c r="AG619" s="33" t="n">
        <v>25.99</v>
      </c>
      <c r="AH619" s="4" t="n">
        <v>1</v>
      </c>
      <c r="AI619" s="34" t="n">
        <v>0.05</v>
      </c>
      <c r="AJ619" s="34" t="n">
        <v>1</v>
      </c>
      <c r="AK619" s="2" t="n">
        <v>0</v>
      </c>
      <c r="AL619" t="inlineStr">
        <is>
          <t>Published</t>
        </is>
      </c>
    </row>
    <row r="620">
      <c r="A620">
        <f>HYPERLINK("https://www.walmart.com/ip/852719826", "852719826")</f>
        <v/>
      </c>
      <c r="B620">
        <f>HYPERLINK("https://app.optiwise.ai/catalog/itemdetails/360278", "Catalonia Purple Fluffy Sherpa Throw Blanket, Super Soft Mink Fleece Couch Blanket, TV Bed Fuzzy Blanket, Fluffy Comfy Warm Heavy Throws, Comfort Caring Gift,50x60 inches, Purple")</f>
        <v/>
      </c>
      <c r="C620" t="inlineStr">
        <is>
          <t>1CTBF300PP</t>
        </is>
      </c>
      <c r="D620" t="inlineStr">
        <is>
          <t>Bedding</t>
        </is>
      </c>
      <c r="E620" t="inlineStr">
        <is>
          <t>Throws</t>
        </is>
      </c>
      <c r="F620" t="inlineStr">
        <is>
          <t>Catalonia</t>
        </is>
      </c>
      <c r="G620" t="n">
        <v>0</v>
      </c>
      <c r="H620" t="n">
        <v>0</v>
      </c>
      <c r="I620" t="inlineStr">
        <is>
          <t>WFS,WFS Item</t>
        </is>
      </c>
      <c r="J620" s="29" t="n">
        <v>25.99</v>
      </c>
      <c r="K620" s="30" t="n">
        <v>0.0002</v>
      </c>
      <c r="L620" s="29" t="n">
        <v>0</v>
      </c>
      <c r="M620" s="29" t="n">
        <v>0</v>
      </c>
      <c r="N620" s="2" t="n">
        <v>1</v>
      </c>
      <c r="O620" s="31" t="n">
        <v>0</v>
      </c>
      <c r="P620" s="32" t="n"/>
      <c r="Q620" s="32" t="n">
        <v>0</v>
      </c>
      <c r="R620" s="32" t="n">
        <v>0</v>
      </c>
      <c r="S620" s="31" t="n">
        <v>0</v>
      </c>
      <c r="T620" s="32" t="n">
        <v>0</v>
      </c>
      <c r="U620" s="31" t="n">
        <v>0</v>
      </c>
      <c r="V620" s="31" t="n">
        <v>0</v>
      </c>
      <c r="W620" s="3" t="n">
        <v>0</v>
      </c>
      <c r="X620" s="3" t="n">
        <v>0</v>
      </c>
      <c r="Y620" s="32" t="n">
        <v>0</v>
      </c>
      <c r="Z620" s="3" t="n">
        <v>0</v>
      </c>
      <c r="AA620" s="32" t="n">
        <v>0</v>
      </c>
      <c r="AB620" s="3" t="n"/>
      <c r="AC620" s="31" t="n">
        <v>0</v>
      </c>
      <c r="AD620" s="2" t="n">
        <v>0</v>
      </c>
      <c r="AE620" s="2" t="n">
        <v>62</v>
      </c>
      <c r="AF620" s="4" t="n">
        <v>62</v>
      </c>
      <c r="AG620" s="33" t="n">
        <v>25.99</v>
      </c>
      <c r="AH620" s="4" t="n">
        <v>1</v>
      </c>
      <c r="AI620" s="34" t="n">
        <v>0.0161</v>
      </c>
      <c r="AJ620" s="34" t="n">
        <v>1</v>
      </c>
      <c r="AK620" s="2" t="n">
        <v>405</v>
      </c>
      <c r="AL620" t="inlineStr">
        <is>
          <t>Published</t>
        </is>
      </c>
    </row>
    <row r="621">
      <c r="A621">
        <f>HYPERLINK("https://www.walmart.com/ip/5027864180", "5027864180")</f>
        <v/>
      </c>
      <c r="B621">
        <f>HYPERLINK("https://app.optiwise.ai/catalog/itemdetails/7420412", "Tirrinia Extra Large Waterproof Fleece Blanket, Lightweight and Portable Camping Mat for Family Travel, Park, Grass, Hiking, Outdoor, Stadium, and Concerts, Red and White Checkered, 60'' x 80''")</f>
        <v/>
      </c>
      <c r="C621" t="inlineStr">
        <is>
          <t>1TRBW608S1PRD</t>
        </is>
      </c>
      <c r="D621" t="inlineStr">
        <is>
          <t>Sport &amp; Recreation Other</t>
        </is>
      </c>
      <c r="E621" t="inlineStr">
        <is>
          <t>Throws</t>
        </is>
      </c>
      <c r="F621" t="inlineStr">
        <is>
          <t>Tirrinia</t>
        </is>
      </c>
      <c r="G621" t="n">
        <v>0</v>
      </c>
      <c r="H621" t="n">
        <v>0</v>
      </c>
      <c r="J621" s="29" t="n">
        <v>25.99</v>
      </c>
      <c r="K621" s="30" t="n">
        <v>0.0002</v>
      </c>
      <c r="L621" s="29" t="n">
        <v>0</v>
      </c>
      <c r="M621" s="29" t="n">
        <v>0</v>
      </c>
      <c r="N621" s="2" t="n">
        <v>1</v>
      </c>
      <c r="O621" s="31" t="n">
        <v>1.32</v>
      </c>
      <c r="P621" s="32" t="n">
        <v>0.0002</v>
      </c>
      <c r="Q621" s="32" t="n">
        <v>0.0508</v>
      </c>
      <c r="R621" s="32" t="n">
        <v>0.0635</v>
      </c>
      <c r="S621" s="31" t="n">
        <v>0</v>
      </c>
      <c r="T621" s="32" t="n">
        <v>0</v>
      </c>
      <c r="U621" s="31" t="n">
        <v>0</v>
      </c>
      <c r="V621" s="31" t="n">
        <v>0</v>
      </c>
      <c r="W621" s="3" t="n">
        <v>5991</v>
      </c>
      <c r="X621" s="3" t="n">
        <v>6</v>
      </c>
      <c r="Y621" s="32" t="n">
        <v>0.001</v>
      </c>
      <c r="Z621" s="3" t="n">
        <v>0</v>
      </c>
      <c r="AA621" s="32" t="n">
        <v>0</v>
      </c>
      <c r="AB621" s="3" t="inlineStr">
        <is>
          <t>Throws_Auto_Optiwise_24</t>
        </is>
      </c>
      <c r="AC621" s="31" t="n">
        <v>0.22</v>
      </c>
      <c r="AD621" s="2" t="n">
        <v>0</v>
      </c>
      <c r="AE621" s="2" t="n">
        <v>53</v>
      </c>
      <c r="AF621" s="4" t="n">
        <v>47</v>
      </c>
      <c r="AG621" s="33" t="n">
        <v>25.99</v>
      </c>
      <c r="AH621" s="4" t="n">
        <v>1</v>
      </c>
      <c r="AI621" s="34" t="n">
        <v>0.0213</v>
      </c>
      <c r="AJ621" s="34" t="n">
        <v>1</v>
      </c>
      <c r="AK621" s="2" t="n">
        <v>13770</v>
      </c>
      <c r="AL621" t="inlineStr">
        <is>
          <t>Published</t>
        </is>
      </c>
    </row>
    <row r="622">
      <c r="A622">
        <f>HYPERLINK("https://www.walmart.com/ip/977010995", "977010995")</f>
        <v/>
      </c>
      <c r="B622">
        <f>HYPERLINK("https://app.optiwise.ai/catalog/itemdetails/358740", "Kato Insulated Padded Thermal Single Wine Bottle Tote Bag for Travel and Picnic, Wine Gift Bag, Black")</f>
        <v/>
      </c>
      <c r="C622" t="inlineStr">
        <is>
          <t>1KTWB100BKCK-VNGM</t>
        </is>
      </c>
      <c r="D622" t="inlineStr">
        <is>
          <t>Home Decor, Kitchen, &amp; Other</t>
        </is>
      </c>
      <c r="E622" t="inlineStr">
        <is>
          <t>Wine Totes, Bags &amp; Backpacks</t>
        </is>
      </c>
      <c r="F622" t="inlineStr">
        <is>
          <t>Tirrinia</t>
        </is>
      </c>
      <c r="G622" t="n">
        <v>5</v>
      </c>
      <c r="H622" t="n">
        <v>1</v>
      </c>
      <c r="J622" s="29" t="n">
        <v>25.98</v>
      </c>
      <c r="K622" s="30" t="n">
        <v>0.0002</v>
      </c>
      <c r="L622" s="29" t="n">
        <v>25.97999954223633</v>
      </c>
      <c r="M622" s="29" t="n">
        <v>0</v>
      </c>
      <c r="N622" s="2" t="n">
        <v>2</v>
      </c>
      <c r="O622" s="31" t="n">
        <v>0</v>
      </c>
      <c r="P622" s="32" t="n"/>
      <c r="Q622" s="32" t="n">
        <v>0</v>
      </c>
      <c r="R622" s="32" t="n">
        <v>0</v>
      </c>
      <c r="S622" s="31" t="n">
        <v>0</v>
      </c>
      <c r="T622" s="32" t="n">
        <v>0</v>
      </c>
      <c r="U622" s="31" t="n">
        <v>0</v>
      </c>
      <c r="V622" s="31" t="n">
        <v>0</v>
      </c>
      <c r="W622" s="3" t="n">
        <v>0</v>
      </c>
      <c r="X622" s="3" t="n">
        <v>0</v>
      </c>
      <c r="Y622" s="32" t="n">
        <v>0</v>
      </c>
      <c r="Z622" s="3" t="n">
        <v>0</v>
      </c>
      <c r="AA622" s="32" t="n">
        <v>0</v>
      </c>
      <c r="AB622" s="3" t="n"/>
      <c r="AC622" s="31" t="n">
        <v>0</v>
      </c>
      <c r="AD622" s="2" t="n">
        <v>0</v>
      </c>
      <c r="AE622" s="2" t="n">
        <v>20</v>
      </c>
      <c r="AF622" s="4" t="n">
        <v>20</v>
      </c>
      <c r="AG622" s="33" t="n">
        <v>25.98</v>
      </c>
      <c r="AH622" s="4" t="n">
        <v>2</v>
      </c>
      <c r="AI622" s="34" t="n">
        <v>0.1</v>
      </c>
      <c r="AJ622" s="34" t="n">
        <v>1</v>
      </c>
      <c r="AK622" s="2" t="n">
        <v>6750</v>
      </c>
      <c r="AL622" t="inlineStr">
        <is>
          <t>Published</t>
        </is>
      </c>
    </row>
    <row r="623">
      <c r="A623">
        <f>HYPERLINK("https://www.walmart.com/ip/712152551", "712152551")</f>
        <v/>
      </c>
      <c r="B623">
        <f>HYPERLINK("https://app.optiwise.ai/catalog/itemdetails/361966", "Sun Blocker Women's Sun Hat  Wide Brim Flap Cap with Floral Ribbon for Beach Gardening Hiking Fishing Safari UPF 50+ Pink")</f>
        <v/>
      </c>
      <c r="C623" t="inlineStr">
        <is>
          <t>KC-S9202-PK</t>
        </is>
      </c>
      <c r="D623" t="inlineStr">
        <is>
          <t>Clothing</t>
        </is>
      </c>
      <c r="E623" t="inlineStr">
        <is>
          <t>Hats</t>
        </is>
      </c>
      <c r="F623" t="inlineStr">
        <is>
          <t>Sun Blocker</t>
        </is>
      </c>
      <c r="G623" t="n">
        <v>4.1</v>
      </c>
      <c r="H623" t="n">
        <v>24</v>
      </c>
      <c r="I623" t="inlineStr">
        <is>
          <t>Hats,Batch 1 - TR</t>
        </is>
      </c>
      <c r="J623" s="29" t="n">
        <v>25.98</v>
      </c>
      <c r="K623" s="30" t="n">
        <v>0.0002</v>
      </c>
      <c r="L623" s="29" t="n">
        <v>0</v>
      </c>
      <c r="M623" s="29" t="n">
        <v>0</v>
      </c>
      <c r="N623" s="2" t="n">
        <v>2</v>
      </c>
      <c r="O623" s="31" t="n">
        <v>0</v>
      </c>
      <c r="P623" s="32" t="n"/>
      <c r="Q623" s="32" t="n">
        <v>0</v>
      </c>
      <c r="R623" s="32" t="n">
        <v>0</v>
      </c>
      <c r="S623" s="31" t="n">
        <v>0</v>
      </c>
      <c r="T623" s="32" t="n">
        <v>0</v>
      </c>
      <c r="U623" s="31" t="n">
        <v>0</v>
      </c>
      <c r="V623" s="31" t="n">
        <v>0</v>
      </c>
      <c r="W623" s="3" t="n">
        <v>0</v>
      </c>
      <c r="X623" s="3" t="n">
        <v>0</v>
      </c>
      <c r="Y623" s="32" t="n">
        <v>0</v>
      </c>
      <c r="Z623" s="3" t="n">
        <v>0</v>
      </c>
      <c r="AA623" s="32" t="n">
        <v>0</v>
      </c>
      <c r="AB623" s="3" t="n"/>
      <c r="AC623" s="31" t="n">
        <v>0</v>
      </c>
      <c r="AD623" s="2" t="n">
        <v>0</v>
      </c>
      <c r="AE623" s="2" t="n">
        <v>65</v>
      </c>
      <c r="AF623" s="4" t="n">
        <v>65</v>
      </c>
      <c r="AG623" s="33" t="n">
        <v>25.98</v>
      </c>
      <c r="AH623" s="4" t="n">
        <v>2</v>
      </c>
      <c r="AI623" s="34" t="n">
        <v>0.0308</v>
      </c>
      <c r="AJ623" s="34" t="n">
        <v>1</v>
      </c>
      <c r="AK623" s="2" t="n">
        <v>6750</v>
      </c>
      <c r="AL623" t="inlineStr">
        <is>
          <t>Published</t>
        </is>
      </c>
    </row>
    <row r="624">
      <c r="A624">
        <f>HYPERLINK("https://www.walmart.com/ip/177464332", "177464332")</f>
        <v/>
      </c>
      <c r="B624">
        <f>HYPERLINK("https://app.optiwise.ai/catalog/itemdetails/362317", "Headshots Fishing Hats with Anti-Mosquito Facemask, UV Protection Sun Hat for Women and Men, Digital Green")</f>
        <v/>
      </c>
      <c r="C624" t="inlineStr">
        <is>
          <t>kc-s9198-digign</t>
        </is>
      </c>
      <c r="D624" t="inlineStr">
        <is>
          <t>Clothing</t>
        </is>
      </c>
      <c r="E624" t="inlineStr">
        <is>
          <t>Hats</t>
        </is>
      </c>
      <c r="F624" t="inlineStr">
        <is>
          <t>Headshots</t>
        </is>
      </c>
      <c r="G624" t="n">
        <v>0</v>
      </c>
      <c r="H624" t="n">
        <v>0</v>
      </c>
      <c r="I624" t="inlineStr">
        <is>
          <t>Q2-Target,Batch 1 - TR</t>
        </is>
      </c>
      <c r="J624" s="29" t="n">
        <v>25.97</v>
      </c>
      <c r="K624" s="30" t="n">
        <v>0.0002</v>
      </c>
      <c r="L624" s="29" t="n">
        <v>0</v>
      </c>
      <c r="M624" s="29" t="n">
        <v>0</v>
      </c>
      <c r="N624" s="2" t="n">
        <v>3</v>
      </c>
      <c r="O624" s="31" t="n">
        <v>0</v>
      </c>
      <c r="P624" s="32" t="n"/>
      <c r="Q624" s="32" t="n">
        <v>0</v>
      </c>
      <c r="R624" s="32" t="n">
        <v>0</v>
      </c>
      <c r="S624" s="31" t="n">
        <v>0</v>
      </c>
      <c r="T624" s="32" t="n">
        <v>0</v>
      </c>
      <c r="U624" s="31" t="n">
        <v>0</v>
      </c>
      <c r="V624" s="31" t="n">
        <v>0</v>
      </c>
      <c r="W624" s="3" t="n">
        <v>0</v>
      </c>
      <c r="X624" s="3" t="n">
        <v>0</v>
      </c>
      <c r="Y624" s="32" t="n">
        <v>0</v>
      </c>
      <c r="Z624" s="3" t="n">
        <v>0</v>
      </c>
      <c r="AA624" s="32" t="n">
        <v>0</v>
      </c>
      <c r="AB624" s="3" t="n"/>
      <c r="AC624" s="31" t="n">
        <v>0</v>
      </c>
      <c r="AD624" s="2" t="n">
        <v>0</v>
      </c>
      <c r="AE624" s="2" t="n">
        <v>19</v>
      </c>
      <c r="AF624" s="4" t="n">
        <v>19</v>
      </c>
      <c r="AG624" s="33" t="n">
        <v>25.97</v>
      </c>
      <c r="AH624" s="4" t="n">
        <v>3</v>
      </c>
      <c r="AI624" s="34" t="n">
        <v>0.1579</v>
      </c>
      <c r="AJ624" s="34" t="n">
        <v>1</v>
      </c>
      <c r="AK624" s="2" t="n">
        <v>585</v>
      </c>
      <c r="AL624" t="inlineStr">
        <is>
          <t>Published</t>
        </is>
      </c>
    </row>
    <row r="625">
      <c r="A625">
        <f>HYPERLINK("https://www.walmart.com/ip/523329936", "523329936")</f>
        <v/>
      </c>
      <c r="B625">
        <f>HYPERLINK("https://app.optiwise.ai/catalog/itemdetails/359089", "Tirrinia Insulated Lunch Box for Women Men, Leakproof Thermal Reusable Lunch Bag with 2 Zipper Pockets for Adult &amp; Kids, Lunch Bag Cooler Tote for Office Work, White Pink")</f>
        <v/>
      </c>
      <c r="C625" t="inlineStr">
        <is>
          <t>1TRLB705RDWT</t>
        </is>
      </c>
      <c r="D625" t="inlineStr">
        <is>
          <t>Home Decor, Kitchen, &amp; Other</t>
        </is>
      </c>
      <c r="E625" t="inlineStr">
        <is>
          <t>Reusable Lunch Bags &amp; Boxes</t>
        </is>
      </c>
      <c r="F625" t="inlineStr">
        <is>
          <t>Tirrinia</t>
        </is>
      </c>
      <c r="G625" t="n">
        <v>4.6</v>
      </c>
      <c r="H625" t="n">
        <v>20</v>
      </c>
      <c r="I625" t="inlineStr">
        <is>
          <t>Brand Camp VD,Lunch Bag,WFS,Lunch Bags,SEM,WFS Item</t>
        </is>
      </c>
      <c r="J625" s="29" t="n">
        <v>25.96</v>
      </c>
      <c r="K625" s="30" t="n">
        <v>0.0002</v>
      </c>
      <c r="L625" s="29" t="n">
        <v>12.97999954223633</v>
      </c>
      <c r="M625" s="29" t="n">
        <v>0</v>
      </c>
      <c r="N625" s="2" t="n">
        <v>2</v>
      </c>
      <c r="O625" s="31" t="n">
        <v>0</v>
      </c>
      <c r="P625" s="32" t="n"/>
      <c r="Q625" s="32" t="n">
        <v>0</v>
      </c>
      <c r="R625" s="32" t="n">
        <v>0</v>
      </c>
      <c r="S625" s="31" t="n">
        <v>0</v>
      </c>
      <c r="T625" s="32" t="n">
        <v>0</v>
      </c>
      <c r="U625" s="31" t="n">
        <v>0</v>
      </c>
      <c r="V625" s="31" t="n">
        <v>0</v>
      </c>
      <c r="W625" s="3" t="n">
        <v>0</v>
      </c>
      <c r="X625" s="3" t="n">
        <v>0</v>
      </c>
      <c r="Y625" s="32" t="n">
        <v>0</v>
      </c>
      <c r="Z625" s="3" t="n">
        <v>0</v>
      </c>
      <c r="AA625" s="32" t="n">
        <v>0</v>
      </c>
      <c r="AB625" s="3" t="n"/>
      <c r="AC625" s="31" t="n">
        <v>0</v>
      </c>
      <c r="AD625" s="2" t="n">
        <v>8</v>
      </c>
      <c r="AE625" s="2" t="n">
        <v>67</v>
      </c>
      <c r="AF625" s="4" t="n">
        <v>67</v>
      </c>
      <c r="AG625" s="33" t="n">
        <v>25.96</v>
      </c>
      <c r="AH625" s="4" t="n">
        <v>2</v>
      </c>
      <c r="AI625" s="34" t="n">
        <v>0.0299</v>
      </c>
      <c r="AJ625" s="34" t="n">
        <v>1</v>
      </c>
      <c r="AK625" s="2" t="n">
        <v>6750</v>
      </c>
      <c r="AL625" t="inlineStr">
        <is>
          <t>Published</t>
        </is>
      </c>
    </row>
    <row r="626">
      <c r="A626">
        <f>HYPERLINK("https://www.walmart.com/ip/861546074", "861546074")</f>
        <v/>
      </c>
      <c r="B626">
        <f>HYPERLINK("https://app.optiwise.ai/catalog/itemdetails/359257", "Sherpa Slipper Socks for Women,Winter Indoor Home Non Skid Booties")</f>
        <v/>
      </c>
      <c r="C626" t="inlineStr">
        <is>
          <t>1CTST200PP-2</t>
        </is>
      </c>
      <c r="D626" t="inlineStr">
        <is>
          <t>Clothing</t>
        </is>
      </c>
      <c r="E626" t="inlineStr">
        <is>
          <t>Socks</t>
        </is>
      </c>
      <c r="F626" t="inlineStr">
        <is>
          <t>Catalonia</t>
        </is>
      </c>
      <c r="G626" t="n">
        <v>4.1</v>
      </c>
      <c r="H626" t="n">
        <v>19</v>
      </c>
      <c r="I626" t="inlineStr">
        <is>
          <t>WFS,WFS Item</t>
        </is>
      </c>
      <c r="J626" s="29" t="n">
        <v>25.96</v>
      </c>
      <c r="K626" s="30" t="n">
        <v>0.0002</v>
      </c>
      <c r="L626" s="29" t="n">
        <v>0</v>
      </c>
      <c r="M626" s="29" t="n">
        <v>0</v>
      </c>
      <c r="N626" s="2" t="n">
        <v>2</v>
      </c>
      <c r="O626" s="31" t="n">
        <v>0</v>
      </c>
      <c r="P626" s="32" t="n"/>
      <c r="Q626" s="32" t="n">
        <v>0</v>
      </c>
      <c r="R626" s="32" t="n">
        <v>0</v>
      </c>
      <c r="S626" s="31" t="n">
        <v>0</v>
      </c>
      <c r="T626" s="32" t="n">
        <v>0</v>
      </c>
      <c r="U626" s="31" t="n">
        <v>0</v>
      </c>
      <c r="V626" s="31" t="n">
        <v>0</v>
      </c>
      <c r="W626" s="3" t="n">
        <v>0</v>
      </c>
      <c r="X626" s="3" t="n">
        <v>0</v>
      </c>
      <c r="Y626" s="32" t="n">
        <v>0</v>
      </c>
      <c r="Z626" s="3" t="n">
        <v>0</v>
      </c>
      <c r="AA626" s="32" t="n">
        <v>0</v>
      </c>
      <c r="AB626" s="3" t="n"/>
      <c r="AC626" s="31" t="n">
        <v>0</v>
      </c>
      <c r="AD626" s="2" t="n">
        <v>0</v>
      </c>
      <c r="AE626" s="2" t="n">
        <v>18</v>
      </c>
      <c r="AF626" s="4" t="n">
        <v>18</v>
      </c>
      <c r="AG626" s="33" t="n">
        <v>25.96</v>
      </c>
      <c r="AH626" s="4" t="n">
        <v>2</v>
      </c>
      <c r="AI626" s="34" t="n">
        <v>0.1111</v>
      </c>
      <c r="AJ626" s="34" t="n">
        <v>1</v>
      </c>
      <c r="AK626" s="2" t="n">
        <v>6750</v>
      </c>
      <c r="AL626" t="inlineStr">
        <is>
          <t>Published</t>
        </is>
      </c>
    </row>
    <row r="627">
      <c r="A627">
        <f>HYPERLINK("https://www.walmart.com/ip/627759443", "627759443")</f>
        <v/>
      </c>
      <c r="B627">
        <f>HYPERLINK("https://app.optiwise.ai/catalog/itemdetails/360868", "Insulated Lunch Box for Women Men, Leakproof Thermal Reusable Lunch Bag with 2 Zipper Pockets for Adult &amp; Kids, Lunch Bag Cooler Tote for Office Work")</f>
        <v/>
      </c>
      <c r="C627" t="inlineStr">
        <is>
          <t>1WMLB705BKGY</t>
        </is>
      </c>
      <c r="D627" t="inlineStr">
        <is>
          <t>Home Decor, Kitchen, &amp; Other</t>
        </is>
      </c>
      <c r="E627" t="inlineStr">
        <is>
          <t>Reusable Lunch Bags &amp; Boxes</t>
        </is>
      </c>
      <c r="F627" t="inlineStr">
        <is>
          <t>Flyingstar</t>
        </is>
      </c>
      <c r="G627" t="n">
        <v>0</v>
      </c>
      <c r="H627" t="n">
        <v>0</v>
      </c>
      <c r="I627" t="inlineStr">
        <is>
          <t>Lunch Bag</t>
        </is>
      </c>
      <c r="J627" s="29" t="n">
        <v>25.96</v>
      </c>
      <c r="K627" s="30" t="n">
        <v>0.0002</v>
      </c>
      <c r="L627" s="29" t="n">
        <v>0</v>
      </c>
      <c r="M627" s="29" t="n">
        <v>0</v>
      </c>
      <c r="N627" s="2" t="n">
        <v>2</v>
      </c>
      <c r="O627" s="31" t="n">
        <v>0</v>
      </c>
      <c r="P627" s="32" t="n"/>
      <c r="Q627" s="32" t="n">
        <v>0</v>
      </c>
      <c r="R627" s="32" t="n">
        <v>0</v>
      </c>
      <c r="S627" s="31" t="n">
        <v>0</v>
      </c>
      <c r="T627" s="32" t="n">
        <v>0</v>
      </c>
      <c r="U627" s="31" t="n">
        <v>0</v>
      </c>
      <c r="V627" s="31" t="n">
        <v>0</v>
      </c>
      <c r="W627" s="3" t="n">
        <v>0</v>
      </c>
      <c r="X627" s="3" t="n">
        <v>0</v>
      </c>
      <c r="Y627" s="32" t="n">
        <v>0</v>
      </c>
      <c r="Z627" s="3" t="n">
        <v>0</v>
      </c>
      <c r="AA627" s="32" t="n">
        <v>0</v>
      </c>
      <c r="AB627" s="3" t="n"/>
      <c r="AC627" s="31" t="n">
        <v>0</v>
      </c>
      <c r="AD627" s="2" t="n">
        <v>0</v>
      </c>
      <c r="AE627" s="2" t="n">
        <v>33</v>
      </c>
      <c r="AF627" s="4" t="n">
        <v>33</v>
      </c>
      <c r="AG627" s="33" t="n">
        <v>25.96</v>
      </c>
      <c r="AH627" s="4" t="n">
        <v>2</v>
      </c>
      <c r="AI627" s="34" t="n">
        <v>0.0606</v>
      </c>
      <c r="AJ627" s="34" t="n">
        <v>1</v>
      </c>
      <c r="AK627" s="2" t="n">
        <v>6750</v>
      </c>
      <c r="AL627" t="inlineStr">
        <is>
          <t>Published</t>
        </is>
      </c>
    </row>
    <row r="628">
      <c r="A628">
        <f>HYPERLINK("https://www.walmart.com/ip/577043830", "577043830")</f>
        <v/>
      </c>
      <c r="B628">
        <f>HYPERLINK("https://app.optiwise.ai/catalog/itemdetails/361183", "Sherpa Slipper Socks for Women,Winter Indoor Home Non Skid Booties")</f>
        <v/>
      </c>
      <c r="C628" t="inlineStr">
        <is>
          <t>1CTST200BL-2</t>
        </is>
      </c>
      <c r="D628" t="inlineStr">
        <is>
          <t>Clothing</t>
        </is>
      </c>
      <c r="E628" t="inlineStr">
        <is>
          <t>Socks</t>
        </is>
      </c>
      <c r="F628" t="inlineStr">
        <is>
          <t>Catalonia</t>
        </is>
      </c>
      <c r="G628" t="n">
        <v>0</v>
      </c>
      <c r="H628" t="n">
        <v>0</v>
      </c>
      <c r="I628" t="inlineStr">
        <is>
          <t>WFS,WFS Item</t>
        </is>
      </c>
      <c r="J628" s="29" t="n">
        <v>25.96</v>
      </c>
      <c r="K628" s="30" t="n">
        <v>0.0002</v>
      </c>
      <c r="L628" s="29" t="n">
        <v>0</v>
      </c>
      <c r="M628" s="29" t="n">
        <v>0</v>
      </c>
      <c r="N628" s="2" t="n">
        <v>2</v>
      </c>
      <c r="O628" s="31" t="n">
        <v>0</v>
      </c>
      <c r="P628" s="32" t="n"/>
      <c r="Q628" s="32" t="n">
        <v>0</v>
      </c>
      <c r="R628" s="32" t="n">
        <v>0</v>
      </c>
      <c r="S628" s="31" t="n">
        <v>0</v>
      </c>
      <c r="T628" s="32" t="n">
        <v>0</v>
      </c>
      <c r="U628" s="31" t="n">
        <v>0</v>
      </c>
      <c r="V628" s="31" t="n">
        <v>0</v>
      </c>
      <c r="W628" s="3" t="n">
        <v>0</v>
      </c>
      <c r="X628" s="3" t="n">
        <v>0</v>
      </c>
      <c r="Y628" s="32" t="n">
        <v>0</v>
      </c>
      <c r="Z628" s="3" t="n">
        <v>0</v>
      </c>
      <c r="AA628" s="32" t="n">
        <v>0</v>
      </c>
      <c r="AB628" s="3" t="n"/>
      <c r="AC628" s="31" t="n">
        <v>0</v>
      </c>
      <c r="AD628" s="2" t="n">
        <v>0</v>
      </c>
      <c r="AE628" s="2" t="n">
        <v>5</v>
      </c>
      <c r="AF628" s="4" t="n">
        <v>5</v>
      </c>
      <c r="AG628" s="33" t="n">
        <v>25.96</v>
      </c>
      <c r="AH628" s="4" t="n">
        <v>2</v>
      </c>
      <c r="AI628" s="34" t="n">
        <v>0.4</v>
      </c>
      <c r="AJ628" s="34" t="n">
        <v>1</v>
      </c>
      <c r="AK628" s="2" t="n">
        <v>6750</v>
      </c>
      <c r="AL628" t="inlineStr">
        <is>
          <t>Published</t>
        </is>
      </c>
    </row>
    <row r="629">
      <c r="A629">
        <f>HYPERLINK("https://www.walmart.com/ip/913630534", "913630534")</f>
        <v/>
      </c>
      <c r="B629">
        <f>HYPERLINK("https://app.optiwise.ai/catalog/itemdetails/360563", "Tirrinia Adult Insulated Lunch Bag with Front Pocket, Black Grey, 14'' x 7'' x 9.5'', 10.8 L")</f>
        <v/>
      </c>
      <c r="C629" t="inlineStr">
        <is>
          <t>1TRLB705BKGY</t>
        </is>
      </c>
      <c r="D629" t="inlineStr">
        <is>
          <t>Home Decor, Kitchen, &amp; Other</t>
        </is>
      </c>
      <c r="E629" t="inlineStr">
        <is>
          <t>Reusable Lunch Bags &amp; Boxes</t>
        </is>
      </c>
      <c r="F629" t="inlineStr">
        <is>
          <t>Tirrinia</t>
        </is>
      </c>
      <c r="G629" t="n">
        <v>4.5</v>
      </c>
      <c r="H629" t="n">
        <v>164</v>
      </c>
      <c r="I629" t="inlineStr">
        <is>
          <t>Q2-Target,Brand Camp VD,Lunch Bag,WFS,Lunch Bags,SEM,WFS Item</t>
        </is>
      </c>
      <c r="J629" s="29" t="n">
        <v>25.96</v>
      </c>
      <c r="K629" s="30" t="n">
        <v>0.0002</v>
      </c>
      <c r="L629" s="29" t="n">
        <v>0</v>
      </c>
      <c r="M629" s="29" t="n">
        <v>0</v>
      </c>
      <c r="N629" s="2" t="n">
        <v>2</v>
      </c>
      <c r="O629" s="31" t="n">
        <v>0</v>
      </c>
      <c r="P629" s="32" t="n"/>
      <c r="Q629" s="32" t="n">
        <v>0</v>
      </c>
      <c r="R629" s="32" t="n">
        <v>0.0485</v>
      </c>
      <c r="S629" s="31" t="n">
        <v>0</v>
      </c>
      <c r="T629" s="32" t="n">
        <v>0</v>
      </c>
      <c r="U629" s="31" t="n">
        <v>0</v>
      </c>
      <c r="V629" s="31" t="n">
        <v>0</v>
      </c>
      <c r="W629" s="3" t="n">
        <v>0</v>
      </c>
      <c r="X629" s="3" t="n">
        <v>0</v>
      </c>
      <c r="Y629" s="32" t="n">
        <v>0</v>
      </c>
      <c r="Z629" s="3" t="n">
        <v>0</v>
      </c>
      <c r="AA629" s="32" t="n">
        <v>0</v>
      </c>
      <c r="AB629" s="3" t="n"/>
      <c r="AC629" s="31" t="n">
        <v>0</v>
      </c>
      <c r="AD629" s="2" t="n">
        <v>41</v>
      </c>
      <c r="AE629" s="2" t="n">
        <v>97</v>
      </c>
      <c r="AF629" s="4" t="n">
        <v>97</v>
      </c>
      <c r="AG629" s="33" t="n">
        <v>25.96</v>
      </c>
      <c r="AH629" s="4" t="n">
        <v>2</v>
      </c>
      <c r="AI629" s="34" t="n">
        <v>0.0206</v>
      </c>
      <c r="AJ629" s="34" t="n">
        <v>1</v>
      </c>
      <c r="AK629" s="2" t="n">
        <v>6750</v>
      </c>
      <c r="AL629" t="inlineStr">
        <is>
          <t>Published</t>
        </is>
      </c>
    </row>
    <row r="630">
      <c r="A630">
        <f>HYPERLINK("https://www.walmart.com/ip/950464832", "950464832")</f>
        <v/>
      </c>
      <c r="B630">
        <f>HYPERLINK("https://app.optiwise.ai/catalog/itemdetails/360347", "Catalonia Sherpa Fleece Blanket, Super Soft Plush Cheetah Print 60x80 inches for Bed, Sofa, Couch Throw, Comfy Cozy Fluffy Warm Comforter, Caring Gift")</f>
        <v/>
      </c>
      <c r="C630" t="inlineStr">
        <is>
          <t>1CTBF368CHEETAH</t>
        </is>
      </c>
      <c r="D630" t="inlineStr">
        <is>
          <t>Bedding</t>
        </is>
      </c>
      <c r="E630" t="inlineStr">
        <is>
          <t>Throws</t>
        </is>
      </c>
      <c r="F630" t="inlineStr">
        <is>
          <t>Catalonia</t>
        </is>
      </c>
      <c r="G630" t="n">
        <v>0</v>
      </c>
      <c r="H630" t="n">
        <v>0</v>
      </c>
      <c r="I630" t="inlineStr">
        <is>
          <t>Q2-Target,Optimized,WFS,Coupon_Discount,WFS Item,Fleece Blankets</t>
        </is>
      </c>
      <c r="J630" s="29" t="n">
        <v>24.99</v>
      </c>
      <c r="K630" s="30" t="n">
        <v>0.0002</v>
      </c>
      <c r="L630" s="29" t="n">
        <v>0</v>
      </c>
      <c r="M630" s="29" t="n">
        <v>0</v>
      </c>
      <c r="N630" s="2" t="n">
        <v>1</v>
      </c>
      <c r="O630" s="31" t="n">
        <v>0</v>
      </c>
      <c r="P630" s="32" t="n"/>
      <c r="Q630" s="32" t="n">
        <v>0</v>
      </c>
      <c r="R630" s="32" t="n">
        <v>0</v>
      </c>
      <c r="S630" s="31" t="n">
        <v>0</v>
      </c>
      <c r="T630" s="32" t="n">
        <v>0</v>
      </c>
      <c r="U630" s="31" t="n">
        <v>0</v>
      </c>
      <c r="V630" s="31" t="n">
        <v>0</v>
      </c>
      <c r="W630" s="3" t="n">
        <v>0</v>
      </c>
      <c r="X630" s="3" t="n">
        <v>0</v>
      </c>
      <c r="Y630" s="32" t="n">
        <v>0</v>
      </c>
      <c r="Z630" s="3" t="n">
        <v>0</v>
      </c>
      <c r="AA630" s="32" t="n">
        <v>0</v>
      </c>
      <c r="AB630" s="3" t="n"/>
      <c r="AC630" s="31" t="n">
        <v>0</v>
      </c>
      <c r="AD630" s="2" t="n">
        <v>0</v>
      </c>
      <c r="AE630" s="2" t="n">
        <v>37</v>
      </c>
      <c r="AF630" s="4" t="n">
        <v>37</v>
      </c>
      <c r="AG630" s="33" t="n">
        <v>24.99</v>
      </c>
      <c r="AH630" s="4" t="n">
        <v>1</v>
      </c>
      <c r="AI630" s="34" t="n">
        <v>0.027</v>
      </c>
      <c r="AJ630" s="34" t="n">
        <v>1</v>
      </c>
      <c r="AK630" s="2" t="n">
        <v>11205</v>
      </c>
      <c r="AL630" t="inlineStr">
        <is>
          <t>Published</t>
        </is>
      </c>
    </row>
    <row r="631">
      <c r="A631">
        <f>HYPERLINK("https://www.walmart.com/ip/835718183", "835718183")</f>
        <v/>
      </c>
      <c r="B631">
        <f>HYPERLINK("https://app.optiwise.ai/catalog/itemdetails/360918", "Buffalo Plaid Sherpa Throw TV Blanket 50 x 60 Super Soft Reversible Fleece Blanket for Cabin Bed or Couch | Catalonia series by Terrania | Cabin Plaid Blue and Black Check")</f>
        <v/>
      </c>
      <c r="C631" t="inlineStr">
        <is>
          <t>1TRBF300PBL-TBCB</t>
        </is>
      </c>
      <c r="D631" t="inlineStr">
        <is>
          <t>Bedding</t>
        </is>
      </c>
      <c r="E631" t="inlineStr">
        <is>
          <t>Throws</t>
        </is>
      </c>
      <c r="F631" t="inlineStr">
        <is>
          <t>Tirrinia</t>
        </is>
      </c>
      <c r="G631" t="n">
        <v>4.6</v>
      </c>
      <c r="H631" t="n">
        <v>16</v>
      </c>
      <c r="I631" t="inlineStr">
        <is>
          <t>WFS,Coupon_Discount,WFS Item,Fleece Blankets</t>
        </is>
      </c>
      <c r="J631" s="29" t="n">
        <v>24.99</v>
      </c>
      <c r="K631" s="30" t="n">
        <v>0.0002</v>
      </c>
      <c r="L631" s="29" t="n">
        <v>0</v>
      </c>
      <c r="M631" s="29" t="n">
        <v>0</v>
      </c>
      <c r="N631" s="2" t="n">
        <v>1</v>
      </c>
      <c r="O631" s="31" t="n">
        <v>0</v>
      </c>
      <c r="P631" s="32" t="n"/>
      <c r="Q631" s="32" t="n">
        <v>0</v>
      </c>
      <c r="R631" s="32" t="n">
        <v>0</v>
      </c>
      <c r="S631" s="31" t="n">
        <v>0</v>
      </c>
      <c r="T631" s="32" t="n">
        <v>0</v>
      </c>
      <c r="U631" s="31" t="n">
        <v>0</v>
      </c>
      <c r="V631" s="31" t="n">
        <v>0</v>
      </c>
      <c r="W631" s="3" t="n">
        <v>0</v>
      </c>
      <c r="X631" s="3" t="n">
        <v>0</v>
      </c>
      <c r="Y631" s="32" t="n">
        <v>0</v>
      </c>
      <c r="Z631" s="3" t="n">
        <v>0</v>
      </c>
      <c r="AA631" s="32" t="n">
        <v>0</v>
      </c>
      <c r="AB631" s="3" t="n"/>
      <c r="AC631" s="31" t="n">
        <v>0</v>
      </c>
      <c r="AD631" s="2" t="n">
        <v>0</v>
      </c>
      <c r="AE631" s="2" t="n">
        <v>46</v>
      </c>
      <c r="AF631" s="4" t="n">
        <v>46</v>
      </c>
      <c r="AG631" s="33" t="n">
        <v>24.99</v>
      </c>
      <c r="AH631" s="4" t="n">
        <v>1</v>
      </c>
      <c r="AI631" s="34" t="n">
        <v>0.0217</v>
      </c>
      <c r="AJ631" s="34" t="n">
        <v>1</v>
      </c>
      <c r="AK631" s="2" t="n">
        <v>13500</v>
      </c>
      <c r="AL631" t="inlineStr">
        <is>
          <t>Published</t>
        </is>
      </c>
    </row>
    <row r="632">
      <c r="A632">
        <f>HYPERLINK("https://www.walmart.com/ip/3093512939", "3093512939")</f>
        <v/>
      </c>
      <c r="B632">
        <f>HYPERLINK("https://app.optiwise.ai/catalog/itemdetails/6051369", "Catalonia Waterproof Blanket for Outdoors, Hooded Blanket Poncho | Windproof, Warm, Wearable, Portable | for Stadium, Picnics, School Sporting Events, Camping, Beach, Outdoor Adventure")</f>
        <v/>
      </c>
      <c r="C632" t="inlineStr">
        <is>
          <t>1CTBC200BKCAMO</t>
        </is>
      </c>
      <c r="D632" t="inlineStr">
        <is>
          <t>Bedding</t>
        </is>
      </c>
      <c r="E632" t="inlineStr">
        <is>
          <t>Throws</t>
        </is>
      </c>
      <c r="F632" t="inlineStr">
        <is>
          <t>Catalonia</t>
        </is>
      </c>
      <c r="G632" t="n">
        <v>4.3</v>
      </c>
      <c r="H632" t="n">
        <v>4</v>
      </c>
      <c r="I632" t="inlineStr">
        <is>
          <t>Q2-Target,Wproof Blanket</t>
        </is>
      </c>
      <c r="J632" s="29" t="n">
        <v>24.99</v>
      </c>
      <c r="K632" s="30" t="n">
        <v>0.0002</v>
      </c>
      <c r="L632" s="29" t="n">
        <v>0</v>
      </c>
      <c r="M632" s="29" t="n">
        <v>0</v>
      </c>
      <c r="N632" s="2" t="n">
        <v>1</v>
      </c>
      <c r="O632" s="31" t="n">
        <v>34.2</v>
      </c>
      <c r="P632" s="32" t="n">
        <v>0.0041</v>
      </c>
      <c r="Q632" s="32" t="n">
        <v>1.3685</v>
      </c>
      <c r="R632" s="32" t="n">
        <v>0.0914</v>
      </c>
      <c r="S632" s="31" t="n">
        <v>2.31</v>
      </c>
      <c r="T632" s="32" t="n">
        <v>0.43</v>
      </c>
      <c r="U632" s="31" t="n">
        <v>78.97</v>
      </c>
      <c r="V632" s="31" t="n">
        <v>78.97</v>
      </c>
      <c r="W632" s="3" t="n">
        <v>48306</v>
      </c>
      <c r="X632" s="3" t="n">
        <v>85</v>
      </c>
      <c r="Y632" s="32" t="n">
        <v>0.0018</v>
      </c>
      <c r="Z632" s="3" t="n">
        <v>3</v>
      </c>
      <c r="AA632" s="32" t="n">
        <v>0.0353</v>
      </c>
      <c r="AB632" s="3" t="inlineStr">
        <is>
          <t>1CTBC200BKCAMO_Manual,Throws_Auto_Optiwise_24</t>
        </is>
      </c>
      <c r="AC632" s="31" t="n">
        <v>0.4</v>
      </c>
      <c r="AD632" s="2" t="n">
        <v>0</v>
      </c>
      <c r="AE632" s="2" t="n">
        <v>93</v>
      </c>
      <c r="AF632" s="4" t="n">
        <v>8</v>
      </c>
      <c r="AG632" s="33" t="n">
        <v>-53.98</v>
      </c>
      <c r="AH632" s="4" t="n">
        <v>-2</v>
      </c>
      <c r="AI632" s="34" t="n">
        <v>-0.25</v>
      </c>
      <c r="AJ632" s="34" t="n">
        <v>-2.1601</v>
      </c>
      <c r="AK632" s="2" t="n">
        <v>16200</v>
      </c>
      <c r="AL632" t="inlineStr">
        <is>
          <t>Published</t>
        </is>
      </c>
    </row>
    <row r="633">
      <c r="A633">
        <f>HYPERLINK("https://www.walmart.com/ip/188803915", "188803915")</f>
        <v/>
      </c>
      <c r="B633">
        <f>HYPERLINK("https://app.optiwise.ai/catalog/itemdetails/361567", "Kato Insulated Wine Carrier Bag - 4 Bottle Travel Padded Wine Carrying Cooler Tote with Handle and Shoulder Strap, Great Wine Lover Gift, Stripe")</f>
        <v/>
      </c>
      <c r="C633" t="inlineStr">
        <is>
          <t>1KTWB420STR</t>
        </is>
      </c>
      <c r="D633" t="inlineStr">
        <is>
          <t>Home Decor, Kitchen, &amp; Other</t>
        </is>
      </c>
      <c r="E633" t="inlineStr">
        <is>
          <t>Wine Totes, Bags &amp; Backpacks</t>
        </is>
      </c>
      <c r="F633" t="inlineStr">
        <is>
          <t>Kato</t>
        </is>
      </c>
      <c r="G633" t="n">
        <v>4.8</v>
      </c>
      <c r="H633" t="n">
        <v>5</v>
      </c>
      <c r="I633" t="inlineStr">
        <is>
          <t>Wine,Wine Bag Camp,Christmas,Wine WFS,Valentine,WFS Item</t>
        </is>
      </c>
      <c r="J633" s="29" t="n">
        <v>24.99</v>
      </c>
      <c r="K633" s="30" t="n">
        <v>0.0002</v>
      </c>
      <c r="L633" s="29" t="n">
        <v>0</v>
      </c>
      <c r="M633" s="29" t="n">
        <v>0</v>
      </c>
      <c r="N633" s="2" t="n">
        <v>1</v>
      </c>
      <c r="O633" s="31" t="n">
        <v>0.31</v>
      </c>
      <c r="P633" s="32" t="n"/>
      <c r="Q633" s="32" t="n">
        <v>0.0124</v>
      </c>
      <c r="R633" s="32" t="n">
        <v>0</v>
      </c>
      <c r="S633" s="31" t="n">
        <v>0</v>
      </c>
      <c r="T633" s="32" t="n">
        <v>0</v>
      </c>
      <c r="U633" s="31" t="n">
        <v>0</v>
      </c>
      <c r="V633" s="31" t="n">
        <v>0</v>
      </c>
      <c r="W633" s="3" t="n">
        <v>2494</v>
      </c>
      <c r="X633" s="3" t="n">
        <v>1</v>
      </c>
      <c r="Y633" s="32" t="n">
        <v>0.0004</v>
      </c>
      <c r="Z633" s="3" t="n">
        <v>0</v>
      </c>
      <c r="AA633" s="32" t="n">
        <v>0</v>
      </c>
      <c r="AB633" s="3" t="inlineStr">
        <is>
          <t>Auto Campaign_Vinay</t>
        </is>
      </c>
      <c r="AC633" s="31" t="n">
        <v>0.31</v>
      </c>
      <c r="AD633" s="2" t="n">
        <v>0</v>
      </c>
      <c r="AE633" s="2" t="n">
        <v>46</v>
      </c>
      <c r="AF633" s="4" t="n">
        <v>45</v>
      </c>
      <c r="AG633" s="33" t="n">
        <v>24.99</v>
      </c>
      <c r="AH633" s="4" t="n">
        <v>1</v>
      </c>
      <c r="AI633" s="34" t="n">
        <v>0.0222</v>
      </c>
      <c r="AJ633" s="34" t="n">
        <v>1</v>
      </c>
      <c r="AK633" s="2" t="n">
        <v>13500</v>
      </c>
      <c r="AL633" t="inlineStr">
        <is>
          <t>Published</t>
        </is>
      </c>
    </row>
    <row r="634">
      <c r="A634">
        <f>HYPERLINK("https://www.walmart.com/ip/5198169936", "5198169936")</f>
        <v/>
      </c>
      <c r="B634">
        <f>HYPERLINK("https://app.optiwise.ai/catalog/itemdetails/7687621", "Tirrinia 2 Bottle Wine Gift Tote Carrier - Leakproof &amp; Insulated with large pockets Wine Cooler Bag for Travel, Wine Tasting, Party, Dinner, Great Christmas Gift for Wine Lover, Black")</f>
        <v/>
      </c>
      <c r="C634" t="inlineStr">
        <is>
          <t>1TRWB222BK</t>
        </is>
      </c>
      <c r="D634" t="inlineStr">
        <is>
          <t>Home Decor, Kitchen, &amp; Other</t>
        </is>
      </c>
      <c r="E634" t="inlineStr">
        <is>
          <t>Wine Totes, Bags &amp; Backpacks</t>
        </is>
      </c>
      <c r="F634" t="inlineStr">
        <is>
          <t>Tirrinia</t>
        </is>
      </c>
      <c r="G634" t="n">
        <v>0</v>
      </c>
      <c r="H634" t="n">
        <v>0</v>
      </c>
      <c r="J634" s="29" t="n">
        <v>24.99</v>
      </c>
      <c r="K634" s="30" t="n">
        <v>0.0002</v>
      </c>
      <c r="L634" s="29" t="n">
        <v>0</v>
      </c>
      <c r="M634" s="29" t="n">
        <v>0</v>
      </c>
      <c r="N634" s="2" t="n">
        <v>1</v>
      </c>
      <c r="O634" s="31" t="n">
        <v>8.889999999999999</v>
      </c>
      <c r="P634" s="32" t="n">
        <v>0.0011</v>
      </c>
      <c r="Q634" s="32" t="n">
        <v>0.3557</v>
      </c>
      <c r="R634" s="32" t="n">
        <v>0.0101</v>
      </c>
      <c r="S634" s="31" t="n">
        <v>5.62</v>
      </c>
      <c r="T634" s="32" t="n">
        <v>0.18</v>
      </c>
      <c r="U634" s="31" t="n">
        <v>49.98</v>
      </c>
      <c r="V634" s="31" t="n">
        <v>49.98</v>
      </c>
      <c r="W634" s="3" t="n">
        <v>15481</v>
      </c>
      <c r="X634" s="3" t="n">
        <v>19</v>
      </c>
      <c r="Y634" s="32" t="n">
        <v>0.0012</v>
      </c>
      <c r="Z634" s="3" t="n">
        <v>2</v>
      </c>
      <c r="AA634" s="32" t="n">
        <v>0.1053</v>
      </c>
      <c r="AB634" s="3" t="inlineStr">
        <is>
          <t>1TRWB222BK,Auto Campaign_Vinay,WFS Inventory</t>
        </is>
      </c>
      <c r="AC634" s="31" t="n">
        <v>0.47</v>
      </c>
      <c r="AD634" s="2" t="n">
        <v>0</v>
      </c>
      <c r="AE634" s="2" t="n">
        <v>61</v>
      </c>
      <c r="AF634" s="4" t="n">
        <v>42</v>
      </c>
      <c r="AG634" s="33" t="n">
        <v>-24.99</v>
      </c>
      <c r="AH634" s="4" t="n">
        <v>-1</v>
      </c>
      <c r="AI634" s="34" t="n">
        <v>-0.0238</v>
      </c>
      <c r="AJ634" s="34" t="n">
        <v>-1</v>
      </c>
      <c r="AK634" s="2" t="n">
        <v>17280</v>
      </c>
      <c r="AL634" t="inlineStr">
        <is>
          <t>Published</t>
        </is>
      </c>
    </row>
    <row r="635">
      <c r="A635">
        <f>HYPERLINK("https://www.walmart.com/ip/479969953", "479969953")</f>
        <v/>
      </c>
      <c r="B635">
        <f>HYPERLINK("https://app.optiwise.ai/catalog/itemdetails/5423731", "Catalonia Surf Beach Changing Towel With Hood, Super Absorbent Microfiber Swim Robe Poncho for Men Women Bath Shower Pool,Pink")</f>
        <v/>
      </c>
      <c r="C635" t="inlineStr">
        <is>
          <t>1CTBR102-PB</t>
        </is>
      </c>
      <c r="D635" t="inlineStr">
        <is>
          <t>Home Decor, Kitchen, &amp; Other</t>
        </is>
      </c>
      <c r="E635" t="inlineStr">
        <is>
          <t>Towels &amp; Washcloths</t>
        </is>
      </c>
      <c r="F635" t="inlineStr">
        <is>
          <t>Catalonia</t>
        </is>
      </c>
      <c r="G635" t="n">
        <v>0</v>
      </c>
      <c r="H635" t="n">
        <v>0</v>
      </c>
      <c r="J635" s="29" t="n">
        <v>24.99</v>
      </c>
      <c r="K635" s="30" t="n">
        <v>0.0002</v>
      </c>
      <c r="L635" s="29" t="n">
        <v>24.98999977111816</v>
      </c>
      <c r="M635" s="29" t="n">
        <v>0</v>
      </c>
      <c r="N635" s="2" t="n">
        <v>1</v>
      </c>
      <c r="O635" s="31" t="n">
        <v>0</v>
      </c>
      <c r="P635" s="32" t="n"/>
      <c r="Q635" s="32" t="n">
        <v>0</v>
      </c>
      <c r="R635" s="32" t="n">
        <v>0</v>
      </c>
      <c r="S635" s="31" t="n">
        <v>0</v>
      </c>
      <c r="T635" s="32" t="n">
        <v>0</v>
      </c>
      <c r="U635" s="31" t="n">
        <v>0</v>
      </c>
      <c r="V635" s="31" t="n">
        <v>0</v>
      </c>
      <c r="W635" s="3" t="n">
        <v>0</v>
      </c>
      <c r="X635" s="3" t="n">
        <v>0</v>
      </c>
      <c r="Y635" s="32" t="n">
        <v>0</v>
      </c>
      <c r="Z635" s="3" t="n">
        <v>0</v>
      </c>
      <c r="AA635" s="32" t="n">
        <v>0</v>
      </c>
      <c r="AB635" s="3" t="n"/>
      <c r="AC635" s="31" t="n">
        <v>0</v>
      </c>
      <c r="AD635" s="2" t="n">
        <v>0</v>
      </c>
      <c r="AE635" s="2" t="n">
        <v>38</v>
      </c>
      <c r="AF635" s="4" t="n">
        <v>38</v>
      </c>
      <c r="AG635" s="33" t="n">
        <v>24.99</v>
      </c>
      <c r="AH635" s="4" t="n">
        <v>1</v>
      </c>
      <c r="AI635" s="34" t="n">
        <v>0.0263</v>
      </c>
      <c r="AJ635" s="34" t="n">
        <v>1</v>
      </c>
      <c r="AK635" s="2" t="n">
        <v>0</v>
      </c>
      <c r="AL635" t="inlineStr">
        <is>
          <t>Published</t>
        </is>
      </c>
    </row>
    <row r="636">
      <c r="A636">
        <f>HYPERLINK("https://www.walmart.com/ip/3370753139", "3370753139")</f>
        <v/>
      </c>
      <c r="B636">
        <f>HYPERLINK("https://app.optiwise.ai/catalog/itemdetails/7407376", "Catalonia Cow Print Sherpa Fleece Blanket, Super Soft Warm Cozy Flannel Reversible Throw Blanket for Couch Sofa Bed, Grey Dog Pattern,  50 x 60.")</f>
        <v/>
      </c>
      <c r="C636" t="inlineStr">
        <is>
          <t>1CTBF300GYDOG</t>
        </is>
      </c>
      <c r="D636" t="inlineStr">
        <is>
          <t>Bedding</t>
        </is>
      </c>
      <c r="E636" t="inlineStr">
        <is>
          <t>Throws</t>
        </is>
      </c>
      <c r="F636" t="inlineStr">
        <is>
          <t>Catalonia</t>
        </is>
      </c>
      <c r="G636" t="n">
        <v>4.2</v>
      </c>
      <c r="H636" t="n">
        <v>9</v>
      </c>
      <c r="I636" t="inlineStr">
        <is>
          <t>Q2-Target,Coupon_Discount,Fleece Blankets</t>
        </is>
      </c>
      <c r="J636" s="29" t="n">
        <v>24.99</v>
      </c>
      <c r="K636" s="30" t="n">
        <v>0.0002</v>
      </c>
      <c r="L636" s="29" t="n">
        <v>0</v>
      </c>
      <c r="M636" s="29" t="n">
        <v>0</v>
      </c>
      <c r="N636" s="2" t="n">
        <v>1</v>
      </c>
      <c r="O636" s="31" t="n">
        <v>0</v>
      </c>
      <c r="P636" s="32" t="n"/>
      <c r="Q636" s="32" t="n">
        <v>0</v>
      </c>
      <c r="R636" s="32" t="n">
        <v>0</v>
      </c>
      <c r="S636" s="31" t="n">
        <v>0</v>
      </c>
      <c r="T636" s="32" t="n">
        <v>0</v>
      </c>
      <c r="U636" s="31" t="n">
        <v>0</v>
      </c>
      <c r="V636" s="31" t="n">
        <v>0</v>
      </c>
      <c r="W636" s="3" t="n">
        <v>0</v>
      </c>
      <c r="X636" s="3" t="n">
        <v>0</v>
      </c>
      <c r="Y636" s="32" t="n">
        <v>0</v>
      </c>
      <c r="Z636" s="3" t="n">
        <v>0</v>
      </c>
      <c r="AA636" s="32" t="n">
        <v>0</v>
      </c>
      <c r="AB636" s="3" t="n"/>
      <c r="AC636" s="31" t="n">
        <v>0</v>
      </c>
      <c r="AD636" s="2" t="n">
        <v>3</v>
      </c>
      <c r="AE636" s="2" t="n">
        <v>41</v>
      </c>
      <c r="AF636" s="4" t="n">
        <v>41</v>
      </c>
      <c r="AG636" s="33" t="n">
        <v>24.99</v>
      </c>
      <c r="AH636" s="4" t="n">
        <v>1</v>
      </c>
      <c r="AI636" s="34" t="n">
        <v>0.0244</v>
      </c>
      <c r="AJ636" s="34" t="n">
        <v>1</v>
      </c>
      <c r="AK636" s="2" t="n">
        <v>13500</v>
      </c>
      <c r="AL636" t="inlineStr">
        <is>
          <t>Published</t>
        </is>
      </c>
    </row>
    <row r="637">
      <c r="A637">
        <f>HYPERLINK("https://www.walmart.com/ip/130297678", "130297678")</f>
        <v/>
      </c>
      <c r="B637">
        <f>HYPERLINK("https://app.optiwise.ai/catalog/itemdetails/360887", "Napa Super Soft Micro Fleece Sherpa Bed Throw TV Blanket 50 x 60 Reversible Brown")</f>
        <v/>
      </c>
      <c r="C637" t="inlineStr">
        <is>
          <t>K8010BROWN</t>
        </is>
      </c>
      <c r="D637" t="inlineStr">
        <is>
          <t>Bedding</t>
        </is>
      </c>
      <c r="E637" t="inlineStr">
        <is>
          <t>Throws</t>
        </is>
      </c>
      <c r="F637" t="inlineStr">
        <is>
          <t>NAPA</t>
        </is>
      </c>
      <c r="G637" t="n">
        <v>5</v>
      </c>
      <c r="H637" t="n">
        <v>2</v>
      </c>
      <c r="I637" t="inlineStr">
        <is>
          <t>Batch 1 - TR</t>
        </is>
      </c>
      <c r="J637" s="29" t="n">
        <v>24.99</v>
      </c>
      <c r="K637" s="30" t="n">
        <v>0.0002</v>
      </c>
      <c r="L637" s="29" t="n">
        <v>24.98999977111816</v>
      </c>
      <c r="M637" s="29" t="n">
        <v>0</v>
      </c>
      <c r="N637" s="2" t="n">
        <v>1</v>
      </c>
      <c r="O637" s="31" t="n">
        <v>0</v>
      </c>
      <c r="P637" s="32" t="n"/>
      <c r="Q637" s="32" t="n">
        <v>0</v>
      </c>
      <c r="R637" s="32" t="n">
        <v>0</v>
      </c>
      <c r="S637" s="31" t="n">
        <v>0</v>
      </c>
      <c r="T637" s="32" t="n">
        <v>0</v>
      </c>
      <c r="U637" s="31" t="n">
        <v>0</v>
      </c>
      <c r="V637" s="31" t="n">
        <v>0</v>
      </c>
      <c r="W637" s="3" t="n">
        <v>0</v>
      </c>
      <c r="X637" s="3" t="n">
        <v>0</v>
      </c>
      <c r="Y637" s="32" t="n">
        <v>0</v>
      </c>
      <c r="Z637" s="3" t="n">
        <v>0</v>
      </c>
      <c r="AA637" s="32" t="n">
        <v>0</v>
      </c>
      <c r="AB637" s="3" t="n"/>
      <c r="AC637" s="31" t="n">
        <v>0</v>
      </c>
      <c r="AD637" s="2" t="n">
        <v>0</v>
      </c>
      <c r="AE637" s="2" t="n">
        <v>7</v>
      </c>
      <c r="AF637" s="4" t="n">
        <v>7</v>
      </c>
      <c r="AG637" s="33" t="n">
        <v>24.99</v>
      </c>
      <c r="AH637" s="4" t="n">
        <v>1</v>
      </c>
      <c r="AI637" s="34" t="n">
        <v>0.1429</v>
      </c>
      <c r="AJ637" s="34" t="n">
        <v>1</v>
      </c>
      <c r="AK637" s="2" t="n">
        <v>0</v>
      </c>
      <c r="AL637" t="inlineStr">
        <is>
          <t>Published</t>
        </is>
      </c>
    </row>
    <row r="638">
      <c r="A638">
        <f>HYPERLINK("https://www.walmart.com/ip/569150441", "569150441")</f>
        <v/>
      </c>
      <c r="B638">
        <f>HYPERLINK("https://app.optiwise.ai/catalog/itemdetails/12909177", "Wrangler Slim Genuine Leather AirTag Wallet for Men - Bifold RFID Blocking Design with Hidden AirTag Holder")</f>
        <v/>
      </c>
      <c r="C638" t="inlineStr">
        <is>
          <t>WR-WA49008COGOS</t>
        </is>
      </c>
      <c r="D638" t="inlineStr">
        <is>
          <t>Cases &amp; Bags</t>
        </is>
      </c>
      <c r="E638" t="inlineStr">
        <is>
          <t>Wallets</t>
        </is>
      </c>
      <c r="F638" t="inlineStr">
        <is>
          <t>Wrangler</t>
        </is>
      </c>
      <c r="G638" t="n">
        <v>0</v>
      </c>
      <c r="H638" t="n">
        <v>0</v>
      </c>
      <c r="J638" s="29" t="n">
        <v>24.98</v>
      </c>
      <c r="K638" s="30" t="n">
        <v>0.0002</v>
      </c>
      <c r="L638" s="29" t="n">
        <v>24.97999954223633</v>
      </c>
      <c r="M638" s="29" t="n">
        <v>0</v>
      </c>
      <c r="N638" s="2" t="n">
        <v>1</v>
      </c>
      <c r="O638" s="31" t="n">
        <v>0.88</v>
      </c>
      <c r="P638" s="32" t="n">
        <v>0.0001</v>
      </c>
      <c r="Q638" s="32" t="n">
        <v>0.0352</v>
      </c>
      <c r="R638" s="32" t="n">
        <v>0.468</v>
      </c>
      <c r="S638" s="31" t="n">
        <v>0</v>
      </c>
      <c r="T638" s="32" t="n">
        <v>0</v>
      </c>
      <c r="U638" s="31" t="n">
        <v>0</v>
      </c>
      <c r="V638" s="31" t="n">
        <v>0</v>
      </c>
      <c r="W638" s="3" t="n">
        <v>588</v>
      </c>
      <c r="X638" s="3" t="n">
        <v>2</v>
      </c>
      <c r="Y638" s="32" t="n">
        <v>0.0034</v>
      </c>
      <c r="Z638" s="3" t="n">
        <v>0</v>
      </c>
      <c r="AA638" s="32" t="n">
        <v>0</v>
      </c>
      <c r="AB638" s="3" t="inlineStr">
        <is>
          <t>Wallet Campaign</t>
        </is>
      </c>
      <c r="AC638" s="31" t="n">
        <v>0.44</v>
      </c>
      <c r="AD638" s="2" t="n">
        <v>5</v>
      </c>
      <c r="AE638" s="2" t="n">
        <v>60</v>
      </c>
      <c r="AF638" s="4" t="n">
        <v>58</v>
      </c>
      <c r="AG638" s="33" t="n">
        <v>24.98</v>
      </c>
      <c r="AH638" s="4" t="n">
        <v>1</v>
      </c>
      <c r="AI638" s="34" t="n">
        <v>0.0172</v>
      </c>
      <c r="AJ638" s="34" t="n">
        <v>1</v>
      </c>
      <c r="AK638" s="2" t="n">
        <v>13500</v>
      </c>
      <c r="AL638" t="inlineStr">
        <is>
          <t>Published</t>
        </is>
      </c>
    </row>
    <row r="639">
      <c r="A639">
        <f>HYPERLINK("https://www.walmart.com/ip/13236915878", "13236915878")</f>
        <v/>
      </c>
      <c r="B639">
        <f>HYPERLINK("https://app.optiwise.ai/catalog/itemdetails/12909181", "Wrangler Slim Genuine Leather AirTag Wallet for Men - Bifold RFID Blocking Design with Hidden AirTag Holder")</f>
        <v/>
      </c>
      <c r="C639" t="inlineStr">
        <is>
          <t>WR-WA13705BRNNS</t>
        </is>
      </c>
      <c r="D639" t="inlineStr">
        <is>
          <t>Cases &amp; Bags</t>
        </is>
      </c>
      <c r="E639" t="inlineStr">
        <is>
          <t>Wallets</t>
        </is>
      </c>
      <c r="F639" t="inlineStr">
        <is>
          <t>Wrangler</t>
        </is>
      </c>
      <c r="G639" t="n">
        <v>0</v>
      </c>
      <c r="H639" t="n">
        <v>0</v>
      </c>
      <c r="J639" s="29" t="n">
        <v>24.98</v>
      </c>
      <c r="K639" s="30" t="n">
        <v>0.0002</v>
      </c>
      <c r="L639" s="29" t="n">
        <v>0</v>
      </c>
      <c r="M639" s="29" t="n">
        <v>0</v>
      </c>
      <c r="N639" s="2" t="n">
        <v>1</v>
      </c>
      <c r="O639" s="31" t="n">
        <v>0</v>
      </c>
      <c r="P639" s="32" t="n"/>
      <c r="Q639" s="32" t="n">
        <v>0</v>
      </c>
      <c r="R639" s="32" t="n">
        <v>0</v>
      </c>
      <c r="S639" s="31" t="n">
        <v>0</v>
      </c>
      <c r="T639" s="32" t="n">
        <v>0</v>
      </c>
      <c r="U639" s="31" t="n">
        <v>0</v>
      </c>
      <c r="V639" s="31" t="n">
        <v>0</v>
      </c>
      <c r="W639" s="3" t="n">
        <v>408</v>
      </c>
      <c r="X639" s="3" t="n">
        <v>0</v>
      </c>
      <c r="Y639" s="32" t="n">
        <v>0</v>
      </c>
      <c r="Z639" s="3" t="n">
        <v>0</v>
      </c>
      <c r="AA639" s="32" t="n">
        <v>0</v>
      </c>
      <c r="AB639" s="3" t="inlineStr">
        <is>
          <t>Wallet Campaign</t>
        </is>
      </c>
      <c r="AC639" s="31" t="n">
        <v>0</v>
      </c>
      <c r="AD639" s="2" t="n">
        <v>0</v>
      </c>
      <c r="AE639" s="2" t="n">
        <v>9</v>
      </c>
      <c r="AF639" s="4" t="n">
        <v>9</v>
      </c>
      <c r="AG639" s="33" t="n">
        <v>24.98</v>
      </c>
      <c r="AH639" s="4" t="n">
        <v>1</v>
      </c>
      <c r="AI639" s="34" t="n">
        <v>0.1111</v>
      </c>
      <c r="AJ639" s="34" t="n">
        <v>1</v>
      </c>
      <c r="AK639" s="2" t="n">
        <v>13500</v>
      </c>
      <c r="AL639" t="inlineStr">
        <is>
          <t>Published</t>
        </is>
      </c>
    </row>
    <row r="640">
      <c r="A640">
        <f>HYPERLINK("https://www.walmart.com/ip/482262707", "482262707")</f>
        <v/>
      </c>
      <c r="B640">
        <f>HYPERLINK("https://app.optiwise.ai/catalog/itemdetails/362589", "Tirrina Unisex Outdoor Sun Protection Fishing Cap with Neck Flap Wide Brim Mesh Hat for Travel Camping Hiking Hunting")</f>
        <v/>
      </c>
      <c r="C640" t="inlineStr">
        <is>
          <t>1TRSH910OL-TBCB</t>
        </is>
      </c>
      <c r="D640" t="inlineStr">
        <is>
          <t>Clothing</t>
        </is>
      </c>
      <c r="E640" t="inlineStr">
        <is>
          <t>Hats</t>
        </is>
      </c>
      <c r="F640" t="inlineStr">
        <is>
          <t>Tirrinia</t>
        </is>
      </c>
      <c r="G640" t="n">
        <v>0</v>
      </c>
      <c r="H640" t="n">
        <v>0</v>
      </c>
      <c r="I640" t="inlineStr">
        <is>
          <t>Hats,Batch 1 - TR</t>
        </is>
      </c>
      <c r="J640" s="29" t="n">
        <v>24.98</v>
      </c>
      <c r="K640" s="30" t="n">
        <v>0.0002</v>
      </c>
      <c r="L640" s="29" t="n">
        <v>0</v>
      </c>
      <c r="M640" s="29" t="n">
        <v>0</v>
      </c>
      <c r="N640" s="2" t="n">
        <v>1</v>
      </c>
      <c r="O640" s="31" t="n">
        <v>0</v>
      </c>
      <c r="P640" s="32" t="n"/>
      <c r="Q640" s="32" t="n">
        <v>0</v>
      </c>
      <c r="R640" s="32" t="n">
        <v>0.0667</v>
      </c>
      <c r="S640" s="31" t="n">
        <v>0</v>
      </c>
      <c r="T640" s="32" t="n">
        <v>0</v>
      </c>
      <c r="U640" s="31" t="n">
        <v>0</v>
      </c>
      <c r="V640" s="31" t="n">
        <v>0</v>
      </c>
      <c r="W640" s="3" t="n">
        <v>0</v>
      </c>
      <c r="X640" s="3" t="n">
        <v>0</v>
      </c>
      <c r="Y640" s="32" t="n">
        <v>0</v>
      </c>
      <c r="Z640" s="3" t="n">
        <v>0</v>
      </c>
      <c r="AA640" s="32" t="n">
        <v>0</v>
      </c>
      <c r="AB640" s="3" t="n"/>
      <c r="AC640" s="31" t="n">
        <v>0</v>
      </c>
      <c r="AD640" s="2" t="n">
        <v>0</v>
      </c>
      <c r="AE640" s="2" t="n">
        <v>24</v>
      </c>
      <c r="AF640" s="4" t="n">
        <v>24</v>
      </c>
      <c r="AG640" s="33" t="n">
        <v>24.98</v>
      </c>
      <c r="AH640" s="4" t="n">
        <v>1</v>
      </c>
      <c r="AI640" s="34" t="n">
        <v>0.0417</v>
      </c>
      <c r="AJ640" s="34" t="n">
        <v>1</v>
      </c>
      <c r="AK640" s="2" t="n">
        <v>135</v>
      </c>
      <c r="AL640" t="inlineStr">
        <is>
          <t>Published</t>
        </is>
      </c>
    </row>
    <row r="641">
      <c r="A641">
        <f>HYPERLINK("https://www.walmart.com/ip/959506124", "959506124")</f>
        <v/>
      </c>
      <c r="B641">
        <f>HYPERLINK("https://app.optiwise.ai/catalog/itemdetails/362793", "Catalonia Mermaid Tail Fleece Blanket for Teen Girls with Anti-slip Neck Strap and Wave Pattern, Soft Sleeping Bag for All Seasons, Pink, 66.5 x 22.5")</f>
        <v/>
      </c>
      <c r="C641" t="inlineStr">
        <is>
          <t>1CTMM100PK-TPB</t>
        </is>
      </c>
      <c r="D641" t="inlineStr">
        <is>
          <t>Bedding</t>
        </is>
      </c>
      <c r="E641" t="inlineStr">
        <is>
          <t>Throws</t>
        </is>
      </c>
      <c r="F641" t="inlineStr">
        <is>
          <t>Catalonia</t>
        </is>
      </c>
      <c r="G641" t="n">
        <v>3.9</v>
      </c>
      <c r="H641" t="n">
        <v>12</v>
      </c>
      <c r="I641" t="inlineStr">
        <is>
          <t>Q2-Target,WFS,WFS Item</t>
        </is>
      </c>
      <c r="J641" s="29" t="n">
        <v>24.98</v>
      </c>
      <c r="K641" s="30" t="n">
        <v>0.0002</v>
      </c>
      <c r="L641" s="29" t="n">
        <v>125.9299983978271</v>
      </c>
      <c r="M641" s="29" t="n">
        <v>0</v>
      </c>
      <c r="N641" s="2" t="n">
        <v>1</v>
      </c>
      <c r="O641" s="31" t="n">
        <v>29.2</v>
      </c>
      <c r="P641" s="32" t="n">
        <v>0.0035</v>
      </c>
      <c r="Q641" s="32" t="n">
        <v>1.1689</v>
      </c>
      <c r="R641" s="32" t="n">
        <v>0.0072</v>
      </c>
      <c r="S641" s="31" t="n">
        <v>2.74</v>
      </c>
      <c r="T641" s="32" t="n">
        <v>0.37</v>
      </c>
      <c r="U641" s="31" t="n">
        <v>79.95999999999999</v>
      </c>
      <c r="V641" s="31" t="n">
        <v>79.95999999999999</v>
      </c>
      <c r="W641" s="3" t="n">
        <v>16313</v>
      </c>
      <c r="X641" s="3" t="n">
        <v>70</v>
      </c>
      <c r="Y641" s="32" t="n">
        <v>0.0043</v>
      </c>
      <c r="Z641" s="3" t="n">
        <v>4</v>
      </c>
      <c r="AA641" s="32" t="n">
        <v>0.0571</v>
      </c>
      <c r="AB641" s="3" t="inlineStr">
        <is>
          <t>Need to sell these SKUs by 15th Feb</t>
        </is>
      </c>
      <c r="AC641" s="31" t="n">
        <v>0.42</v>
      </c>
      <c r="AD641" s="2" t="n">
        <v>28</v>
      </c>
      <c r="AE641" s="2" t="n">
        <v>64</v>
      </c>
      <c r="AF641" s="4" t="inlineStr">
        <is>
          <t>NA</t>
        </is>
      </c>
      <c r="AG641" s="33" t="n">
        <v>-54.97999999999999</v>
      </c>
      <c r="AH641" s="4" t="n">
        <v>-3</v>
      </c>
      <c r="AI641" s="34" t="inlineStr">
        <is>
          <t>NA</t>
        </is>
      </c>
      <c r="AJ641" s="34" t="n">
        <v>-2.201</v>
      </c>
      <c r="AK641" s="2" t="n">
        <v>1755</v>
      </c>
      <c r="AL641" t="inlineStr">
        <is>
          <t>Published</t>
        </is>
      </c>
    </row>
    <row r="642">
      <c r="A642">
        <f>HYPERLINK("https://www.walmart.com/ip/410899457", "410899457")</f>
        <v/>
      </c>
      <c r="B642">
        <f>HYPERLINK("https://app.optiwise.ai/catalog/itemdetails/360381", "Sun Blocker Outdoor Sun Protection Cap with Neck Flap and Wide Brim, Sun Hat for Men and Women for Baseball, Backpacking, Cycling, Hiking, Garden, Hunting, and Camping, Gray")</f>
        <v/>
      </c>
      <c r="C642" t="inlineStr">
        <is>
          <t>KC-S9155-GY</t>
        </is>
      </c>
      <c r="D642" t="inlineStr">
        <is>
          <t>Clothing</t>
        </is>
      </c>
      <c r="E642" t="inlineStr">
        <is>
          <t>Hats</t>
        </is>
      </c>
      <c r="F642" t="inlineStr">
        <is>
          <t>Sun Blocker</t>
        </is>
      </c>
      <c r="G642" t="n">
        <v>0</v>
      </c>
      <c r="H642" t="n">
        <v>0</v>
      </c>
      <c r="I642" t="inlineStr">
        <is>
          <t>Q2-Target,Hats</t>
        </is>
      </c>
      <c r="J642" s="29" t="n">
        <v>24.98</v>
      </c>
      <c r="K642" s="30" t="n">
        <v>0.0002</v>
      </c>
      <c r="L642" s="29" t="n">
        <v>0</v>
      </c>
      <c r="M642" s="29" t="n">
        <v>0</v>
      </c>
      <c r="N642" s="2" t="n">
        <v>1</v>
      </c>
      <c r="O642" s="31" t="n">
        <v>0</v>
      </c>
      <c r="P642" s="32" t="n"/>
      <c r="Q642" s="32" t="n">
        <v>0</v>
      </c>
      <c r="R642" s="32" t="n">
        <v>0</v>
      </c>
      <c r="S642" s="31" t="n">
        <v>0</v>
      </c>
      <c r="T642" s="32" t="n">
        <v>0</v>
      </c>
      <c r="U642" s="31" t="n">
        <v>0</v>
      </c>
      <c r="V642" s="31" t="n">
        <v>0</v>
      </c>
      <c r="W642" s="3" t="n">
        <v>0</v>
      </c>
      <c r="X642" s="3" t="n">
        <v>0</v>
      </c>
      <c r="Y642" s="32" t="n">
        <v>0</v>
      </c>
      <c r="Z642" s="3" t="n">
        <v>0</v>
      </c>
      <c r="AA642" s="32" t="n">
        <v>0</v>
      </c>
      <c r="AB642" s="3" t="n"/>
      <c r="AC642" s="31" t="n">
        <v>0</v>
      </c>
      <c r="AD642" s="2" t="n">
        <v>0</v>
      </c>
      <c r="AE642" s="2" t="n">
        <v>18</v>
      </c>
      <c r="AF642" s="4" t="n">
        <v>18</v>
      </c>
      <c r="AG642" s="33" t="n">
        <v>24.98</v>
      </c>
      <c r="AH642" s="4" t="n">
        <v>1</v>
      </c>
      <c r="AI642" s="34" t="n">
        <v>0.0556</v>
      </c>
      <c r="AJ642" s="34" t="n">
        <v>1</v>
      </c>
      <c r="AK642" s="2" t="n">
        <v>13635</v>
      </c>
      <c r="AL642" t="inlineStr">
        <is>
          <t>Published</t>
        </is>
      </c>
    </row>
    <row r="643">
      <c r="A643">
        <f>HYPERLINK("https://www.walmart.com/ip/389368673", "389368673")</f>
        <v/>
      </c>
      <c r="B643">
        <f>HYPERLINK("https://app.optiwise.ai/catalog/itemdetails/361980", "Cute Child Cotton Hooded Poncho Towels Mermaid Cartoon Changing Robe Swimmer Outdoor Beach 23” x 52” By Tirrinia")</f>
        <v/>
      </c>
      <c r="C643" t="inlineStr">
        <is>
          <t>1TRBR200-MM01</t>
        </is>
      </c>
      <c r="D643" t="inlineStr">
        <is>
          <t>Clothing</t>
        </is>
      </c>
      <c r="E643" t="inlineStr">
        <is>
          <t>Towels &amp; Washcloths</t>
        </is>
      </c>
      <c r="F643" t="inlineStr">
        <is>
          <t>Tirrinia</t>
        </is>
      </c>
      <c r="G643" t="n">
        <v>4.7</v>
      </c>
      <c r="H643" t="n">
        <v>10</v>
      </c>
      <c r="I643" t="inlineStr">
        <is>
          <t>Q2-Target,Baby days,Beach Robe Camp</t>
        </is>
      </c>
      <c r="J643" s="29" t="n">
        <v>24.98</v>
      </c>
      <c r="K643" s="30" t="n">
        <v>0.0002</v>
      </c>
      <c r="L643" s="29" t="n">
        <v>0</v>
      </c>
      <c r="M643" s="29" t="n">
        <v>0</v>
      </c>
      <c r="N643" s="2" t="n">
        <v>1</v>
      </c>
      <c r="O643" s="31" t="n">
        <v>0</v>
      </c>
      <c r="P643" s="32" t="n"/>
      <c r="Q643" s="32" t="n">
        <v>0</v>
      </c>
      <c r="R643" s="32" t="n">
        <v>0</v>
      </c>
      <c r="S643" s="31" t="n">
        <v>0</v>
      </c>
      <c r="T643" s="32" t="n">
        <v>0</v>
      </c>
      <c r="U643" s="31" t="n">
        <v>0</v>
      </c>
      <c r="V643" s="31" t="n">
        <v>0</v>
      </c>
      <c r="W643" s="3" t="n">
        <v>0</v>
      </c>
      <c r="X643" s="3" t="n">
        <v>0</v>
      </c>
      <c r="Y643" s="32" t="n">
        <v>0</v>
      </c>
      <c r="Z643" s="3" t="n">
        <v>0</v>
      </c>
      <c r="AA643" s="32" t="n">
        <v>0</v>
      </c>
      <c r="AB643" s="3" t="n"/>
      <c r="AC643" s="31" t="n">
        <v>0</v>
      </c>
      <c r="AD643" s="2" t="n">
        <v>0</v>
      </c>
      <c r="AE643" s="2" t="n">
        <v>201</v>
      </c>
      <c r="AF643" s="4" t="n">
        <v>201</v>
      </c>
      <c r="AG643" s="33" t="n">
        <v>24.98</v>
      </c>
      <c r="AH643" s="4" t="n">
        <v>1</v>
      </c>
      <c r="AI643" s="34" t="n">
        <v>0.005</v>
      </c>
      <c r="AJ643" s="34" t="n">
        <v>1</v>
      </c>
      <c r="AK643" s="2" t="n">
        <v>13500</v>
      </c>
      <c r="AL643" t="inlineStr">
        <is>
          <t>Published</t>
        </is>
      </c>
    </row>
    <row r="644">
      <c r="A644">
        <f>HYPERLINK("https://www.walmart.com/ip/658014935", "658014935")</f>
        <v/>
      </c>
      <c r="B644">
        <f>HYPERLINK("https://app.optiwise.ai/catalog/itemdetails/361792", "Tirrinia Insulated Lunch Bag for Women and Men, Double-Layer Leak-Proof Reusable Lunch Box with 4 Pockets, Large-Sized, 10L, Charcoal, 10” x 8.5” x 9.3.")</f>
        <v/>
      </c>
      <c r="C644" t="inlineStr">
        <is>
          <t>1TRLB701CH-T</t>
        </is>
      </c>
      <c r="D644" t="inlineStr">
        <is>
          <t>Home Decor, Kitchen, &amp; Other</t>
        </is>
      </c>
      <c r="E644" t="inlineStr">
        <is>
          <t>Reusable Lunch Bags &amp; Boxes</t>
        </is>
      </c>
      <c r="F644" t="inlineStr">
        <is>
          <t>Tirrinia</t>
        </is>
      </c>
      <c r="G644" t="n">
        <v>4.6</v>
      </c>
      <c r="H644" t="n">
        <v>185</v>
      </c>
      <c r="I644" t="inlineStr">
        <is>
          <t>Q2-Target,Brand Camp VD,Lunch Bag,WFS,Lunch Bags,WFS Item</t>
        </is>
      </c>
      <c r="J644" s="29" t="n">
        <v>24.9</v>
      </c>
      <c r="K644" s="30" t="n">
        <v>0.0002</v>
      </c>
      <c r="L644" s="29" t="n">
        <v>0</v>
      </c>
      <c r="M644" s="29" t="n">
        <v>0</v>
      </c>
      <c r="N644" s="2" t="n">
        <v>2</v>
      </c>
      <c r="O644" s="31" t="n">
        <v>0</v>
      </c>
      <c r="P644" s="32" t="n"/>
      <c r="Q644" s="32" t="n">
        <v>0</v>
      </c>
      <c r="R644" s="32" t="n">
        <v>0</v>
      </c>
      <c r="S644" s="31" t="n">
        <v>0</v>
      </c>
      <c r="T644" s="32" t="n">
        <v>0</v>
      </c>
      <c r="U644" s="31" t="n">
        <v>0</v>
      </c>
      <c r="V644" s="31" t="n">
        <v>0</v>
      </c>
      <c r="W644" s="3" t="n">
        <v>0</v>
      </c>
      <c r="X644" s="3" t="n">
        <v>0</v>
      </c>
      <c r="Y644" s="32" t="n">
        <v>0</v>
      </c>
      <c r="Z644" s="3" t="n">
        <v>0</v>
      </c>
      <c r="AA644" s="32" t="n">
        <v>0</v>
      </c>
      <c r="AB644" s="3" t="n"/>
      <c r="AC644" s="31" t="n">
        <v>0</v>
      </c>
      <c r="AD644" s="2" t="n">
        <v>24</v>
      </c>
      <c r="AE644" s="2" t="n">
        <v>70</v>
      </c>
      <c r="AF644" s="4" t="n">
        <v>70</v>
      </c>
      <c r="AG644" s="33" t="n">
        <v>24.9</v>
      </c>
      <c r="AH644" s="4" t="n">
        <v>2</v>
      </c>
      <c r="AI644" s="34" t="n">
        <v>0.0286</v>
      </c>
      <c r="AJ644" s="34" t="n">
        <v>1</v>
      </c>
      <c r="AK644" s="2" t="n">
        <v>0</v>
      </c>
      <c r="AL644" t="inlineStr">
        <is>
          <t>Published</t>
        </is>
      </c>
    </row>
    <row r="645">
      <c r="A645">
        <f>HYPERLINK("https://www.walmart.com/ip/329457407", "329457407")</f>
        <v/>
      </c>
      <c r="B645">
        <f>HYPERLINK("https://app.optiwise.ai/catalog/itemdetails/417448", "Tirrinia Comfy Plush Fleece Blanket Poncho Wearable for Adults, 55'' x 80'', Wine")</f>
        <v/>
      </c>
      <c r="C645" t="inlineStr">
        <is>
          <t>1TRBP100WN-TBCB</t>
        </is>
      </c>
      <c r="D645" t="inlineStr">
        <is>
          <t>Home Decor, Kitchen, &amp; Other</t>
        </is>
      </c>
      <c r="E645" t="inlineStr">
        <is>
          <t>Throws</t>
        </is>
      </c>
      <c r="F645" t="inlineStr">
        <is>
          <t>Tirrinia</t>
        </is>
      </c>
      <c r="G645" t="n">
        <v>0</v>
      </c>
      <c r="H645" t="n">
        <v>0</v>
      </c>
      <c r="I645" t="inlineStr">
        <is>
          <t>Optimized,Coupon_Discount,Fleece Blankets</t>
        </is>
      </c>
      <c r="J645" s="29" t="n">
        <v>23.99</v>
      </c>
      <c r="K645" s="30" t="n">
        <v>0.0002</v>
      </c>
      <c r="L645" s="29" t="n">
        <v>0</v>
      </c>
      <c r="M645" s="29" t="n">
        <v>0</v>
      </c>
      <c r="N645" s="2" t="n">
        <v>1</v>
      </c>
      <c r="O645" s="31" t="n">
        <v>0</v>
      </c>
      <c r="P645" s="32" t="n"/>
      <c r="Q645" s="32" t="n">
        <v>0</v>
      </c>
      <c r="R645" s="32" t="n">
        <v>0</v>
      </c>
      <c r="S645" s="31" t="n">
        <v>0</v>
      </c>
      <c r="T645" s="32" t="n">
        <v>0</v>
      </c>
      <c r="U645" s="31" t="n">
        <v>0</v>
      </c>
      <c r="V645" s="31" t="n">
        <v>0</v>
      </c>
      <c r="W645" s="3" t="n">
        <v>0</v>
      </c>
      <c r="X645" s="3" t="n">
        <v>0</v>
      </c>
      <c r="Y645" s="32" t="n">
        <v>0</v>
      </c>
      <c r="Z645" s="3" t="n">
        <v>0</v>
      </c>
      <c r="AA645" s="32" t="n">
        <v>0</v>
      </c>
      <c r="AB645" s="3" t="n"/>
      <c r="AC645" s="31" t="n">
        <v>0</v>
      </c>
      <c r="AD645" s="2" t="n">
        <v>0</v>
      </c>
      <c r="AE645" s="2" t="n">
        <v>13</v>
      </c>
      <c r="AF645" s="4" t="n">
        <v>13</v>
      </c>
      <c r="AG645" s="33" t="n">
        <v>23.99</v>
      </c>
      <c r="AH645" s="4" t="n">
        <v>1</v>
      </c>
      <c r="AI645" s="34" t="n">
        <v>0.0769</v>
      </c>
      <c r="AJ645" s="34" t="n">
        <v>1</v>
      </c>
      <c r="AK645" s="2" t="n">
        <v>13500</v>
      </c>
      <c r="AL645" t="inlineStr">
        <is>
          <t>Published</t>
        </is>
      </c>
    </row>
    <row r="646">
      <c r="A646">
        <f>HYPERLINK("https://www.walmart.com/ip/320798889", "320798889")</f>
        <v/>
      </c>
      <c r="B646">
        <f>HYPERLINK("https://app.optiwise.ai/catalog/itemdetails/362323", "Catalonia Wearable Blanket with Sleeves and Pocket, Cozy Soft Fleece Micro Plush Wrap Adult Snuggie Blanket Robe for Women Men, Makes a Great Gift for Holidays, Blue")</f>
        <v/>
      </c>
      <c r="C646" t="inlineStr">
        <is>
          <t>1CTSN100BL</t>
        </is>
      </c>
      <c r="D646" t="inlineStr">
        <is>
          <t>Bedding</t>
        </is>
      </c>
      <c r="E646" t="inlineStr">
        <is>
          <t>Throws</t>
        </is>
      </c>
      <c r="F646" t="inlineStr">
        <is>
          <t>Catalonia</t>
        </is>
      </c>
      <c r="G646" t="n">
        <v>0</v>
      </c>
      <c r="H646" t="n">
        <v>0</v>
      </c>
      <c r="I646" t="inlineStr">
        <is>
          <t>WFS,Coupon_Discount,WFS Item</t>
        </is>
      </c>
      <c r="J646" s="29" t="n">
        <v>23.99</v>
      </c>
      <c r="K646" s="30" t="n">
        <v>0.0002</v>
      </c>
      <c r="L646" s="29" t="n">
        <v>0</v>
      </c>
      <c r="M646" s="29" t="n">
        <v>0</v>
      </c>
      <c r="N646" s="2" t="n">
        <v>1</v>
      </c>
      <c r="O646" s="31" t="n">
        <v>0</v>
      </c>
      <c r="P646" s="32" t="n"/>
      <c r="Q646" s="32" t="n">
        <v>0</v>
      </c>
      <c r="R646" s="32" t="n">
        <v>0</v>
      </c>
      <c r="S646" s="31" t="n">
        <v>0</v>
      </c>
      <c r="T646" s="32" t="n">
        <v>0</v>
      </c>
      <c r="U646" s="31" t="n">
        <v>0</v>
      </c>
      <c r="V646" s="31" t="n">
        <v>0</v>
      </c>
      <c r="W646" s="3" t="n">
        <v>0</v>
      </c>
      <c r="X646" s="3" t="n">
        <v>0</v>
      </c>
      <c r="Y646" s="32" t="n">
        <v>0</v>
      </c>
      <c r="Z646" s="3" t="n">
        <v>0</v>
      </c>
      <c r="AA646" s="32" t="n">
        <v>0</v>
      </c>
      <c r="AB646" s="3" t="n"/>
      <c r="AC646" s="31" t="n">
        <v>0</v>
      </c>
      <c r="AD646" s="2" t="n">
        <v>35</v>
      </c>
      <c r="AE646" s="2" t="n">
        <v>29</v>
      </c>
      <c r="AF646" s="4" t="n">
        <v>29</v>
      </c>
      <c r="AG646" s="33" t="n">
        <v>23.99</v>
      </c>
      <c r="AH646" s="4" t="n">
        <v>1</v>
      </c>
      <c r="AI646" s="34" t="n">
        <v>0.0345</v>
      </c>
      <c r="AJ646" s="34" t="n">
        <v>1</v>
      </c>
      <c r="AK646" s="2" t="n">
        <v>405</v>
      </c>
      <c r="AL646" t="inlineStr">
        <is>
          <t>Published</t>
        </is>
      </c>
    </row>
    <row r="647">
      <c r="A647">
        <f>HYPERLINK("https://www.walmart.com/ip/889278328", "889278328")</f>
        <v/>
      </c>
      <c r="B647">
        <f>HYPERLINK("https://app.optiwise.ai/catalog/itemdetails/361727", "Leopard Wearable Fleece Blanket with Sleeves for Adult Women Men, Super Soft Comfy Plush TV Blanket Throw Wrap Cover for Lounge Couch Reading Watching TV 73 x 51")</f>
        <v/>
      </c>
      <c r="C647" t="inlineStr">
        <is>
          <t>1TRSN100CHEETAH</t>
        </is>
      </c>
      <c r="D647" t="inlineStr">
        <is>
          <t>Bedding</t>
        </is>
      </c>
      <c r="E647" t="inlineStr">
        <is>
          <t>Throws</t>
        </is>
      </c>
      <c r="F647" t="inlineStr">
        <is>
          <t>Tirrinia</t>
        </is>
      </c>
      <c r="G647" t="n">
        <v>4.7</v>
      </c>
      <c r="H647" t="n">
        <v>7</v>
      </c>
      <c r="I647" t="inlineStr">
        <is>
          <t>Optimized</t>
        </is>
      </c>
      <c r="J647" s="29" t="n">
        <v>23.99</v>
      </c>
      <c r="K647" s="30" t="n">
        <v>0.0002</v>
      </c>
      <c r="L647" s="29" t="n">
        <v>0</v>
      </c>
      <c r="M647" s="29" t="n">
        <v>0</v>
      </c>
      <c r="N647" s="2" t="n">
        <v>1</v>
      </c>
      <c r="O647" s="31" t="n">
        <v>23.98999999999999</v>
      </c>
      <c r="P647" s="32" t="n">
        <v>0.0029</v>
      </c>
      <c r="Q647" s="32" t="n">
        <v>1</v>
      </c>
      <c r="R647" s="32" t="n">
        <v>0.1737</v>
      </c>
      <c r="S647" s="31" t="n">
        <v>0</v>
      </c>
      <c r="T647" s="32" t="n">
        <v>0</v>
      </c>
      <c r="U647" s="31" t="n">
        <v>0</v>
      </c>
      <c r="V647" s="31" t="n">
        <v>0</v>
      </c>
      <c r="W647" s="3" t="n">
        <v>100705</v>
      </c>
      <c r="X647" s="3" t="n">
        <v>80</v>
      </c>
      <c r="Y647" s="32" t="n">
        <v>0.0008</v>
      </c>
      <c r="Z647" s="3" t="n">
        <v>0</v>
      </c>
      <c r="AA647" s="32" t="n">
        <v>0</v>
      </c>
      <c r="AB647" s="3" t="inlineStr">
        <is>
          <t>Throws_Auto_Optiwise_24</t>
        </is>
      </c>
      <c r="AC647" s="31" t="n">
        <v>0.3</v>
      </c>
      <c r="AD647" s="2" t="n">
        <v>0</v>
      </c>
      <c r="AE647" s="2" t="n">
        <v>29</v>
      </c>
      <c r="AF647" s="4" t="inlineStr">
        <is>
          <t>NA</t>
        </is>
      </c>
      <c r="AG647" s="33" t="n">
        <v>23.99</v>
      </c>
      <c r="AH647" s="4" t="n">
        <v>1</v>
      </c>
      <c r="AI647" s="34" t="inlineStr">
        <is>
          <t>NA</t>
        </is>
      </c>
      <c r="AJ647" s="34" t="n">
        <v>1</v>
      </c>
      <c r="AK647" s="2" t="n">
        <v>13500</v>
      </c>
      <c r="AL647" t="inlineStr">
        <is>
          <t>Published</t>
        </is>
      </c>
    </row>
    <row r="648">
      <c r="A648">
        <f>HYPERLINK("https://www.walmart.com/ip/2066581075", "2066581075")</f>
        <v/>
      </c>
      <c r="B648">
        <f>HYPERLINK("https://app.optiwise.ai/catalog/itemdetails/7418016", "Tirrinia Wearable Fleece Blanket for Women and Men, Super-Soft Microplush TV Blanket, Adult Wrap, Full Body Robe for Lounge Couch, Dalmation, 73 x 51")</f>
        <v/>
      </c>
      <c r="C648" t="inlineStr">
        <is>
          <t>1TRSN100DMT-TBCB</t>
        </is>
      </c>
      <c r="D648" t="inlineStr">
        <is>
          <t>Bedding</t>
        </is>
      </c>
      <c r="E648" t="inlineStr">
        <is>
          <t>Throws</t>
        </is>
      </c>
      <c r="F648" t="inlineStr">
        <is>
          <t>Tirrinia</t>
        </is>
      </c>
      <c r="G648" t="n">
        <v>0</v>
      </c>
      <c r="H648" t="n">
        <v>0</v>
      </c>
      <c r="I648" t="inlineStr">
        <is>
          <t>Q2-Target,Coupon_Discount,Fleece Blankets</t>
        </is>
      </c>
      <c r="J648" s="29" t="n">
        <v>23.99</v>
      </c>
      <c r="K648" s="30" t="n">
        <v>0.0002</v>
      </c>
      <c r="L648" s="29" t="n">
        <v>0</v>
      </c>
      <c r="M648" s="29" t="n">
        <v>0</v>
      </c>
      <c r="N648" s="2" t="n">
        <v>1</v>
      </c>
      <c r="O648" s="31" t="n">
        <v>0</v>
      </c>
      <c r="P648" s="32" t="n"/>
      <c r="Q648" s="32" t="n">
        <v>0</v>
      </c>
      <c r="R648" s="32" t="n">
        <v>0</v>
      </c>
      <c r="S648" s="31" t="n">
        <v>0</v>
      </c>
      <c r="T648" s="32" t="n">
        <v>0</v>
      </c>
      <c r="U648" s="31" t="n">
        <v>0</v>
      </c>
      <c r="V648" s="31" t="n">
        <v>0</v>
      </c>
      <c r="W648" s="3" t="n">
        <v>0</v>
      </c>
      <c r="X648" s="3" t="n">
        <v>0</v>
      </c>
      <c r="Y648" s="32" t="n">
        <v>0</v>
      </c>
      <c r="Z648" s="3" t="n">
        <v>0</v>
      </c>
      <c r="AA648" s="32" t="n">
        <v>0</v>
      </c>
      <c r="AB648" s="3" t="n"/>
      <c r="AC648" s="31" t="n">
        <v>0</v>
      </c>
      <c r="AD648" s="2" t="n">
        <v>0</v>
      </c>
      <c r="AE648" s="2" t="n">
        <v>17</v>
      </c>
      <c r="AF648" s="4" t="n">
        <v>17</v>
      </c>
      <c r="AG648" s="33" t="n">
        <v>23.99</v>
      </c>
      <c r="AH648" s="4" t="n">
        <v>1</v>
      </c>
      <c r="AI648" s="34" t="n">
        <v>0.0588</v>
      </c>
      <c r="AJ648" s="34" t="n">
        <v>1</v>
      </c>
      <c r="AK648" s="2" t="n">
        <v>0</v>
      </c>
      <c r="AL648" t="inlineStr">
        <is>
          <t>Published</t>
        </is>
      </c>
    </row>
    <row r="649">
      <c r="A649">
        <f>HYPERLINK("https://www.walmart.com/ip/14550170058", "14550170058")</f>
        <v/>
      </c>
      <c r="B649">
        <f>HYPERLINK("https://app.optiwise.ai/catalog/itemdetails/13059607", "Aeropostale  Backpack for School, College, and Travel， Water Resistant Bookbag Lilac Heart")</f>
        <v/>
      </c>
      <c r="C649" t="inlineStr">
        <is>
          <t>1AEBPK92029LLHEART</t>
        </is>
      </c>
      <c r="D649" t="inlineStr">
        <is>
          <t>Cases &amp; Bags</t>
        </is>
      </c>
      <c r="E649" t="inlineStr">
        <is>
          <t>Backpacks</t>
        </is>
      </c>
      <c r="F649" t="inlineStr">
        <is>
          <t>Aeropostale</t>
        </is>
      </c>
      <c r="G649" t="n">
        <v>0</v>
      </c>
      <c r="H649" t="n">
        <v>0</v>
      </c>
      <c r="J649" s="29" t="n">
        <v>23.99</v>
      </c>
      <c r="K649" s="30" t="n">
        <v>0.0002</v>
      </c>
      <c r="L649" s="29" t="n">
        <v>0</v>
      </c>
      <c r="M649" s="29" t="n">
        <v>0</v>
      </c>
      <c r="N649" s="2" t="n">
        <v>1</v>
      </c>
      <c r="O649" s="31" t="n">
        <v>0</v>
      </c>
      <c r="P649" s="32" t="n"/>
      <c r="Q649" s="32" t="n">
        <v>0</v>
      </c>
      <c r="R649" s="32" t="n">
        <v>0</v>
      </c>
      <c r="S649" s="31" t="n">
        <v>0</v>
      </c>
      <c r="T649" s="32" t="n">
        <v>0</v>
      </c>
      <c r="U649" s="31" t="n">
        <v>0</v>
      </c>
      <c r="V649" s="31" t="n">
        <v>0</v>
      </c>
      <c r="W649" s="3" t="n">
        <v>0</v>
      </c>
      <c r="X649" s="3" t="n">
        <v>0</v>
      </c>
      <c r="Y649" s="32" t="n">
        <v>0</v>
      </c>
      <c r="Z649" s="3" t="n">
        <v>0</v>
      </c>
      <c r="AA649" s="32" t="n">
        <v>0</v>
      </c>
      <c r="AB649" s="3" t="n"/>
      <c r="AC649" s="31" t="n">
        <v>0</v>
      </c>
      <c r="AD649" s="2" t="n">
        <v>0</v>
      </c>
      <c r="AE649" s="2" t="n">
        <v>22</v>
      </c>
      <c r="AF649" s="4" t="n">
        <v>22</v>
      </c>
      <c r="AG649" s="33" t="n">
        <v>23.99</v>
      </c>
      <c r="AH649" s="4" t="n">
        <v>1</v>
      </c>
      <c r="AI649" s="34" t="n">
        <v>0.0455</v>
      </c>
      <c r="AJ649" s="34" t="n">
        <v>1</v>
      </c>
      <c r="AK649" s="2" t="n">
        <v>9990</v>
      </c>
      <c r="AL649" t="inlineStr">
        <is>
          <t>Published</t>
        </is>
      </c>
    </row>
    <row r="650">
      <c r="A650">
        <f>HYPERLINK("https://www.walmart.com/ip/962141161", "962141161")</f>
        <v/>
      </c>
      <c r="B650">
        <f>HYPERLINK("https://app.optiwise.ai/catalog/itemdetails/361186", "Catalonia Fleece Wearable Blanket Poncho Cape for Adult Women and Men, Wrap Blanket Cape with Pocket, Warm, Soft, Cozy, Snuggly, Comfort Gift, No Sleeves, All-Season, Cow")</f>
        <v/>
      </c>
      <c r="C650" t="inlineStr">
        <is>
          <t>1CTBP100DMT</t>
        </is>
      </c>
      <c r="D650" t="inlineStr">
        <is>
          <t>Bedding</t>
        </is>
      </c>
      <c r="E650" t="inlineStr">
        <is>
          <t>Throws</t>
        </is>
      </c>
      <c r="F650" t="inlineStr">
        <is>
          <t>Catalonia</t>
        </is>
      </c>
      <c r="G650" t="n">
        <v>4.5</v>
      </c>
      <c r="H650" t="n">
        <v>80</v>
      </c>
      <c r="I650" t="inlineStr">
        <is>
          <t>Hero 5 Holidays,WFS,WFS Item</t>
        </is>
      </c>
      <c r="J650" s="29" t="n">
        <v>23.99</v>
      </c>
      <c r="K650" s="30" t="n">
        <v>0.0002</v>
      </c>
      <c r="L650" s="29" t="n">
        <v>0</v>
      </c>
      <c r="M650" s="29" t="n">
        <v>0</v>
      </c>
      <c r="N650" s="2" t="n">
        <v>1</v>
      </c>
      <c r="O650" s="31" t="n">
        <v>21.14</v>
      </c>
      <c r="P650" s="32" t="n">
        <v>0.0025</v>
      </c>
      <c r="Q650" s="32" t="n">
        <v>0.8812</v>
      </c>
      <c r="R650" s="32" t="n">
        <v>0.1031</v>
      </c>
      <c r="S650" s="31" t="n">
        <v>0</v>
      </c>
      <c r="T650" s="32" t="n">
        <v>0</v>
      </c>
      <c r="U650" s="31" t="n">
        <v>0</v>
      </c>
      <c r="V650" s="31" t="n">
        <v>0</v>
      </c>
      <c r="W650" s="3" t="n">
        <v>19212</v>
      </c>
      <c r="X650" s="3" t="n">
        <v>65</v>
      </c>
      <c r="Y650" s="32" t="n">
        <v>0.0034</v>
      </c>
      <c r="Z650" s="3" t="n">
        <v>0</v>
      </c>
      <c r="AA650" s="32" t="n">
        <v>0</v>
      </c>
      <c r="AB650" s="3" t="inlineStr">
        <is>
          <t>Snuggly_Auto</t>
        </is>
      </c>
      <c r="AC650" s="31" t="n">
        <v>0.33</v>
      </c>
      <c r="AD650" s="2" t="n">
        <v>113</v>
      </c>
      <c r="AE650" s="2" t="n">
        <v>195</v>
      </c>
      <c r="AF650" s="4" t="n">
        <v>130</v>
      </c>
      <c r="AG650" s="33" t="n">
        <v>23.99</v>
      </c>
      <c r="AH650" s="4" t="n">
        <v>1</v>
      </c>
      <c r="AI650" s="34" t="n">
        <v>0.0077</v>
      </c>
      <c r="AJ650" s="34" t="n">
        <v>1</v>
      </c>
      <c r="AK650" s="2" t="n">
        <v>13500</v>
      </c>
      <c r="AL650" t="inlineStr">
        <is>
          <t>Published</t>
        </is>
      </c>
    </row>
    <row r="651">
      <c r="A651">
        <f>HYPERLINK("https://www.walmart.com/ip/930481180", "930481180")</f>
        <v/>
      </c>
      <c r="B651">
        <f>HYPERLINK("https://app.optiwise.ai/catalog/itemdetails/360439", "Multifunctional Baby Diaper Bag Backpack Mommy Bag Mummy Changing Bag Waterproof (US SHIP)")</f>
        <v/>
      </c>
      <c r="C651" t="inlineStr">
        <is>
          <t>TRBP100GY</t>
        </is>
      </c>
      <c r="D651" t="inlineStr">
        <is>
          <t>Baby Diapering, Care, &amp; Other</t>
        </is>
      </c>
      <c r="E651" t="inlineStr">
        <is>
          <t>Diaper Bags</t>
        </is>
      </c>
      <c r="F651" t="inlineStr">
        <is>
          <t>Terrania</t>
        </is>
      </c>
      <c r="G651" t="n">
        <v>3</v>
      </c>
      <c r="H651" t="n">
        <v>2</v>
      </c>
      <c r="I651" t="inlineStr">
        <is>
          <t>Baby days,Optimized</t>
        </is>
      </c>
      <c r="J651" s="29" t="n">
        <v>23.99</v>
      </c>
      <c r="K651" s="30" t="n">
        <v>0.0002</v>
      </c>
      <c r="L651" s="29" t="n">
        <v>0</v>
      </c>
      <c r="M651" s="29" t="n">
        <v>0</v>
      </c>
      <c r="N651" s="2" t="n">
        <v>1</v>
      </c>
      <c r="O651" s="31" t="n">
        <v>0</v>
      </c>
      <c r="P651" s="32" t="n"/>
      <c r="Q651" s="32" t="n">
        <v>0</v>
      </c>
      <c r="R651" s="32" t="n">
        <v>0</v>
      </c>
      <c r="S651" s="31" t="n">
        <v>0</v>
      </c>
      <c r="T651" s="32" t="n">
        <v>0</v>
      </c>
      <c r="U651" s="31" t="n">
        <v>0</v>
      </c>
      <c r="V651" s="31" t="n">
        <v>0</v>
      </c>
      <c r="W651" s="3" t="n">
        <v>0</v>
      </c>
      <c r="X651" s="3" t="n">
        <v>0</v>
      </c>
      <c r="Y651" s="32" t="n">
        <v>0</v>
      </c>
      <c r="Z651" s="3" t="n">
        <v>0</v>
      </c>
      <c r="AA651" s="32" t="n">
        <v>0</v>
      </c>
      <c r="AB651" s="3" t="n"/>
      <c r="AC651" s="31" t="n">
        <v>0</v>
      </c>
      <c r="AD651" s="2" t="n">
        <v>0</v>
      </c>
      <c r="AE651" s="2" t="n">
        <v>55</v>
      </c>
      <c r="AF651" s="4" t="n">
        <v>55</v>
      </c>
      <c r="AG651" s="33" t="n">
        <v>23.99</v>
      </c>
      <c r="AH651" s="4" t="n">
        <v>1</v>
      </c>
      <c r="AI651" s="34" t="n">
        <v>0.0182</v>
      </c>
      <c r="AJ651" s="34" t="n">
        <v>1</v>
      </c>
      <c r="AK651" s="2" t="n">
        <v>135</v>
      </c>
      <c r="AL651" t="inlineStr">
        <is>
          <t>Published</t>
        </is>
      </c>
    </row>
    <row r="652">
      <c r="A652">
        <f>HYPERLINK("https://www.walmart.com/ip/279013696", "279013696")</f>
        <v/>
      </c>
      <c r="B652">
        <f>HYPERLINK("https://app.optiwise.ai/catalog/itemdetails/360594", "Catalonia Fleece Wearable Blanket Poncho for Adult Women Men, Wrap Blanket Cape with Pocket | Warm, Soft, Cozy, Snuggly, Comfort Gift, No Sleeves | All-Season, Purple")</f>
        <v/>
      </c>
      <c r="C652" t="inlineStr">
        <is>
          <t>1CTBP100PP</t>
        </is>
      </c>
      <c r="D652" t="inlineStr">
        <is>
          <t>Bedding</t>
        </is>
      </c>
      <c r="E652" t="inlineStr">
        <is>
          <t>Throws</t>
        </is>
      </c>
      <c r="F652" t="inlineStr">
        <is>
          <t>Catalonia</t>
        </is>
      </c>
      <c r="G652" t="n">
        <v>0</v>
      </c>
      <c r="H652" t="n">
        <v>0</v>
      </c>
      <c r="I652" t="inlineStr">
        <is>
          <t>Hero 5 Holidays,Coupon_Discount,Batch 1 - TR</t>
        </is>
      </c>
      <c r="J652" s="29" t="n">
        <v>23.99</v>
      </c>
      <c r="K652" s="30" t="n">
        <v>0.0002</v>
      </c>
      <c r="L652" s="29" t="n">
        <v>0</v>
      </c>
      <c r="M652" s="29" t="n">
        <v>0</v>
      </c>
      <c r="N652" s="2" t="n">
        <v>1</v>
      </c>
      <c r="O652" s="31" t="n">
        <v>0.7</v>
      </c>
      <c r="P652" s="32" t="n">
        <v>0.0001</v>
      </c>
      <c r="Q652" s="32" t="n">
        <v>0.0292</v>
      </c>
      <c r="R652" s="32" t="n">
        <v>0.0438</v>
      </c>
      <c r="S652" s="31" t="n">
        <v>0</v>
      </c>
      <c r="T652" s="32" t="n">
        <v>0</v>
      </c>
      <c r="U652" s="31" t="n">
        <v>0</v>
      </c>
      <c r="V652" s="31" t="n">
        <v>0</v>
      </c>
      <c r="W652" s="3" t="n">
        <v>2923</v>
      </c>
      <c r="X652" s="3" t="n">
        <v>2</v>
      </c>
      <c r="Y652" s="32" t="n">
        <v>0.0007</v>
      </c>
      <c r="Z652" s="3" t="n">
        <v>0</v>
      </c>
      <c r="AA652" s="32" t="n">
        <v>0</v>
      </c>
      <c r="AB652" s="3" t="inlineStr">
        <is>
          <t>Snuggly_Auto</t>
        </is>
      </c>
      <c r="AC652" s="31" t="n">
        <v>0.35</v>
      </c>
      <c r="AD652" s="2" t="n">
        <v>40</v>
      </c>
      <c r="AE652" s="2" t="n">
        <v>67</v>
      </c>
      <c r="AF652" s="4" t="n">
        <v>65</v>
      </c>
      <c r="AG652" s="33" t="n">
        <v>23.99</v>
      </c>
      <c r="AH652" s="4" t="n">
        <v>1</v>
      </c>
      <c r="AI652" s="34" t="n">
        <v>0.0154</v>
      </c>
      <c r="AJ652" s="34" t="n">
        <v>1</v>
      </c>
      <c r="AK652" s="2" t="n">
        <v>13500</v>
      </c>
      <c r="AL652" t="inlineStr">
        <is>
          <t>Published</t>
        </is>
      </c>
    </row>
    <row r="653">
      <c r="A653">
        <f>HYPERLINK("https://www.walmart.com/ip/304221150", "304221150")</f>
        <v/>
      </c>
      <c r="B653">
        <f>HYPERLINK("https://app.optiwise.ai/catalog/itemdetails/362497", "Pink Sherpa Throw Blanket, Fuzzy Snuggle Blanket for Camping Traveling Couch Bed, Super Soft, Light Weight, Reversible, All Season Use, 50x60 inches")</f>
        <v/>
      </c>
      <c r="C653" t="inlineStr">
        <is>
          <t>1CTBF566PK</t>
        </is>
      </c>
      <c r="D653" t="inlineStr">
        <is>
          <t>Bedding</t>
        </is>
      </c>
      <c r="E653" t="inlineStr">
        <is>
          <t>Throws</t>
        </is>
      </c>
      <c r="F653" t="inlineStr">
        <is>
          <t>Catalonia</t>
        </is>
      </c>
      <c r="G653" t="n">
        <v>4.3</v>
      </c>
      <c r="H653" t="n">
        <v>12</v>
      </c>
      <c r="I653" t="inlineStr">
        <is>
          <t>Q2-Target,WFS,Coupon_Discount,WFS Item</t>
        </is>
      </c>
      <c r="J653" s="29" t="n">
        <v>23.98</v>
      </c>
      <c r="K653" s="30" t="n">
        <v>0.0002</v>
      </c>
      <c r="L653" s="29" t="n">
        <v>0</v>
      </c>
      <c r="M653" s="29" t="n">
        <v>0</v>
      </c>
      <c r="N653" s="2" t="n">
        <v>2</v>
      </c>
      <c r="O653" s="31" t="n">
        <v>0</v>
      </c>
      <c r="P653" s="32" t="n"/>
      <c r="Q653" s="32" t="n">
        <v>0</v>
      </c>
      <c r="R653" s="32" t="n">
        <v>0</v>
      </c>
      <c r="S653" s="31" t="n">
        <v>0</v>
      </c>
      <c r="T653" s="32" t="n">
        <v>0</v>
      </c>
      <c r="U653" s="31" t="n">
        <v>0</v>
      </c>
      <c r="V653" s="31" t="n">
        <v>0</v>
      </c>
      <c r="W653" s="3" t="n">
        <v>0</v>
      </c>
      <c r="X653" s="3" t="n">
        <v>0</v>
      </c>
      <c r="Y653" s="32" t="n">
        <v>0</v>
      </c>
      <c r="Z653" s="3" t="n">
        <v>0</v>
      </c>
      <c r="AA653" s="32" t="n">
        <v>0</v>
      </c>
      <c r="AB653" s="3" t="n"/>
      <c r="AC653" s="31" t="n">
        <v>0</v>
      </c>
      <c r="AD653" s="2" t="n">
        <v>0</v>
      </c>
      <c r="AE653" s="2" t="n">
        <v>37</v>
      </c>
      <c r="AF653" s="4" t="n">
        <v>37</v>
      </c>
      <c r="AG653" s="33" t="n">
        <v>23.98</v>
      </c>
      <c r="AH653" s="4" t="n">
        <v>2</v>
      </c>
      <c r="AI653" s="34" t="n">
        <v>0.0541</v>
      </c>
      <c r="AJ653" s="34" t="n">
        <v>1</v>
      </c>
      <c r="AK653" s="2" t="n">
        <v>6750</v>
      </c>
      <c r="AL653" t="inlineStr">
        <is>
          <t>Published</t>
        </is>
      </c>
    </row>
    <row r="654">
      <c r="A654">
        <f>HYPERLINK("https://www.walmart.com/ip/801338253", "801338253")</f>
        <v/>
      </c>
      <c r="B654">
        <f>HYPERLINK("https://app.optiwise.ai/catalog/itemdetails/362253", "Kato Wine Bottle Opener Set 5 Pcs – Corkscrew, Stopper, Aerator Pourer, Foil Cutter, Drip Ring")</f>
        <v/>
      </c>
      <c r="C654" t="inlineStr">
        <is>
          <t>1KTWO50RDBK</t>
        </is>
      </c>
      <c r="D654" t="inlineStr">
        <is>
          <t>Home Decor, Kitchen, &amp; Other</t>
        </is>
      </c>
      <c r="E654" t="inlineStr">
        <is>
          <t>Barware Sets</t>
        </is>
      </c>
      <c r="F654" t="inlineStr">
        <is>
          <t>Kato</t>
        </is>
      </c>
      <c r="G654" t="n">
        <v>0</v>
      </c>
      <c r="H654" t="n">
        <v>0</v>
      </c>
      <c r="I654" t="inlineStr">
        <is>
          <t>Wine,Christmas,WFS,Valentine,SEM,WFS Item</t>
        </is>
      </c>
      <c r="J654" s="29" t="n">
        <v>23.98</v>
      </c>
      <c r="K654" s="30" t="n">
        <v>0.0002</v>
      </c>
      <c r="L654" s="29" t="n">
        <v>11.98999977111816</v>
      </c>
      <c r="M654" s="29" t="n">
        <v>0</v>
      </c>
      <c r="N654" s="2" t="n">
        <v>2</v>
      </c>
      <c r="O654" s="31" t="n">
        <v>0</v>
      </c>
      <c r="P654" s="32" t="n"/>
      <c r="Q654" s="32" t="n">
        <v>0</v>
      </c>
      <c r="R654" s="32" t="n">
        <v>0</v>
      </c>
      <c r="S654" s="31" t="n">
        <v>0</v>
      </c>
      <c r="T654" s="32" t="n">
        <v>0</v>
      </c>
      <c r="U654" s="31" t="n">
        <v>0</v>
      </c>
      <c r="V654" s="31" t="n">
        <v>0</v>
      </c>
      <c r="W654" s="3" t="n">
        <v>0</v>
      </c>
      <c r="X654" s="3" t="n">
        <v>0</v>
      </c>
      <c r="Y654" s="32" t="n">
        <v>0</v>
      </c>
      <c r="Z654" s="3" t="n">
        <v>0</v>
      </c>
      <c r="AA654" s="32" t="n">
        <v>0</v>
      </c>
      <c r="AB654" s="3" t="n"/>
      <c r="AC654" s="31" t="n">
        <v>0</v>
      </c>
      <c r="AD654" s="2" t="n">
        <v>3</v>
      </c>
      <c r="AE654" s="2" t="n">
        <v>21</v>
      </c>
      <c r="AF654" s="4" t="n">
        <v>21</v>
      </c>
      <c r="AG654" s="33" t="n">
        <v>23.98</v>
      </c>
      <c r="AH654" s="4" t="n">
        <v>2</v>
      </c>
      <c r="AI654" s="34" t="n">
        <v>0.09520000000000001</v>
      </c>
      <c r="AJ654" s="34" t="n">
        <v>1</v>
      </c>
      <c r="AK654" s="2" t="n">
        <v>1147</v>
      </c>
      <c r="AL654" t="inlineStr">
        <is>
          <t>Published</t>
        </is>
      </c>
    </row>
    <row r="655">
      <c r="A655">
        <f>HYPERLINK("https://www.walmart.com/ip/3958613295", "3958613295")</f>
        <v/>
      </c>
      <c r="B655">
        <f>HYPERLINK("https://app.optiwise.ai/catalog/itemdetails/4979883", "Tirrinia Insulated Lunch Box for Women | Lunch Bags for Women, Girls, Teens | Cute Blue Reusable Thermal Lunch Tote Purse Cooler for Kids, School, Work, Office, Adult | Fits 10 Cans (Navy Diamond)")</f>
        <v/>
      </c>
      <c r="C655" t="inlineStr">
        <is>
          <t>1WMLB706NYDIA</t>
        </is>
      </c>
      <c r="D655" t="inlineStr">
        <is>
          <t>Home Decor, Kitchen, &amp; Other</t>
        </is>
      </c>
      <c r="E655" t="inlineStr">
        <is>
          <t>Reusable Lunch Bags &amp; Boxes</t>
        </is>
      </c>
      <c r="F655" t="inlineStr">
        <is>
          <t>Tirrinia</t>
        </is>
      </c>
      <c r="G655" t="n">
        <v>0</v>
      </c>
      <c r="H655" t="n">
        <v>0</v>
      </c>
      <c r="I655" t="inlineStr">
        <is>
          <t>Q2-Target,Brand Camp VD</t>
        </is>
      </c>
      <c r="J655" s="29" t="n">
        <v>23.98</v>
      </c>
      <c r="K655" s="30" t="n">
        <v>0.0002</v>
      </c>
      <c r="L655" s="29" t="n">
        <v>35.97000122070312</v>
      </c>
      <c r="M655" s="29" t="n">
        <v>0</v>
      </c>
      <c r="N655" s="2" t="n">
        <v>2</v>
      </c>
      <c r="O655" s="31" t="n">
        <v>0</v>
      </c>
      <c r="P655" s="32" t="n"/>
      <c r="Q655" s="32" t="n">
        <v>0</v>
      </c>
      <c r="R655" s="32" t="n">
        <v>0.4261</v>
      </c>
      <c r="S655" s="31" t="n">
        <v>0</v>
      </c>
      <c r="T655" s="32" t="n">
        <v>0</v>
      </c>
      <c r="U655" s="31" t="n">
        <v>0</v>
      </c>
      <c r="V655" s="31" t="n">
        <v>0</v>
      </c>
      <c r="W655" s="3" t="n">
        <v>0</v>
      </c>
      <c r="X655" s="3" t="n">
        <v>0</v>
      </c>
      <c r="Y655" s="32" t="n">
        <v>0</v>
      </c>
      <c r="Z655" s="3" t="n">
        <v>0</v>
      </c>
      <c r="AA655" s="32" t="n">
        <v>0</v>
      </c>
      <c r="AB655" s="3" t="n"/>
      <c r="AC655" s="31" t="n">
        <v>0</v>
      </c>
      <c r="AD655" s="2" t="n">
        <v>92</v>
      </c>
      <c r="AE655" s="2" t="n">
        <v>123</v>
      </c>
      <c r="AF655" s="4" t="n">
        <v>123</v>
      </c>
      <c r="AG655" s="33" t="n">
        <v>23.98</v>
      </c>
      <c r="AH655" s="4" t="n">
        <v>2</v>
      </c>
      <c r="AI655" s="34" t="n">
        <v>0.0163</v>
      </c>
      <c r="AJ655" s="34" t="n">
        <v>1</v>
      </c>
      <c r="AK655" s="2" t="n">
        <v>6750</v>
      </c>
      <c r="AL655" t="inlineStr">
        <is>
          <t>Published</t>
        </is>
      </c>
    </row>
    <row r="656">
      <c r="A656">
        <f>HYPERLINK("https://www.walmart.com/ip/3696474048", "3696474048")</f>
        <v/>
      </c>
      <c r="B656">
        <f>HYPERLINK("https://app.optiwise.ai/catalog/itemdetails/6061682", "Tirrinia Single Wine Gift Tote Bag, Insulated Padded Thermal Wine Bottle Carrying Cooler Carrier for Travel, Picnic, Great Gift for Wine Lover, Brown")</f>
        <v/>
      </c>
      <c r="C656" t="inlineStr">
        <is>
          <t>1TRWB102PAPER</t>
        </is>
      </c>
      <c r="D656" t="inlineStr">
        <is>
          <t>Home Decor, Kitchen, &amp; Other</t>
        </is>
      </c>
      <c r="E656" t="inlineStr">
        <is>
          <t>Wine Totes, Bags &amp; Backpacks</t>
        </is>
      </c>
      <c r="F656" t="inlineStr">
        <is>
          <t>Tirrinia</t>
        </is>
      </c>
      <c r="G656" t="n">
        <v>0</v>
      </c>
      <c r="H656" t="n">
        <v>0</v>
      </c>
      <c r="J656" s="29" t="n">
        <v>23.98</v>
      </c>
      <c r="K656" s="30" t="n">
        <v>0.0002</v>
      </c>
      <c r="L656" s="29" t="n">
        <v>0</v>
      </c>
      <c r="M656" s="29" t="n">
        <v>0</v>
      </c>
      <c r="N656" s="2" t="n">
        <v>2</v>
      </c>
      <c r="O656" s="31" t="n">
        <v>30.49</v>
      </c>
      <c r="P656" s="32" t="n">
        <v>0.0037</v>
      </c>
      <c r="Q656" s="32" t="n">
        <v>1.2715</v>
      </c>
      <c r="R656" s="32" t="n">
        <v>0.1591</v>
      </c>
      <c r="S656" s="31" t="n">
        <v>0.39</v>
      </c>
      <c r="T656" s="32" t="n">
        <v>2.54</v>
      </c>
      <c r="U656" s="31" t="n">
        <v>11.99</v>
      </c>
      <c r="V656" s="31" t="n">
        <v>11.99</v>
      </c>
      <c r="W656" s="3" t="n">
        <v>43012</v>
      </c>
      <c r="X656" s="3" t="n">
        <v>72</v>
      </c>
      <c r="Y656" s="32" t="n">
        <v>0.0017</v>
      </c>
      <c r="Z656" s="3" t="n">
        <v>1</v>
      </c>
      <c r="AA656" s="32" t="n">
        <v>0.0139</v>
      </c>
      <c r="AB656" s="3" t="inlineStr">
        <is>
          <t>All Items_Auto_Optiwise_24,Auto Campaign_Vinay</t>
        </is>
      </c>
      <c r="AC656" s="31" t="n">
        <v>0.42</v>
      </c>
      <c r="AD656" s="2" t="n">
        <v>0</v>
      </c>
      <c r="AE656" s="2" t="n">
        <v>59</v>
      </c>
      <c r="AF656" s="4" t="inlineStr">
        <is>
          <t>NA</t>
        </is>
      </c>
      <c r="AG656" s="33" t="n">
        <v>11.99</v>
      </c>
      <c r="AH656" s="4" t="n">
        <v>1</v>
      </c>
      <c r="AI656" s="34" t="inlineStr">
        <is>
          <t>NA</t>
        </is>
      </c>
      <c r="AJ656" s="34" t="n">
        <v>0.5</v>
      </c>
      <c r="AK656" s="2" t="n">
        <v>7290</v>
      </c>
      <c r="AL656" t="inlineStr">
        <is>
          <t>Published</t>
        </is>
      </c>
    </row>
    <row r="657">
      <c r="A657">
        <f>HYPERLINK("https://www.walmart.com/ip/902343226", "902343226")</f>
        <v/>
      </c>
      <c r="B657">
        <f>HYPERLINK("https://app.optiwise.ai/catalog/itemdetails/362358", "Tirrinia Wide Brim Sun Hats Safari Fishing Boonie Cap Adult Teen Unisex")</f>
        <v/>
      </c>
      <c r="C657" t="inlineStr">
        <is>
          <t>1TRSH191GN-TBCB</t>
        </is>
      </c>
      <c r="D657" t="inlineStr">
        <is>
          <t>Clothing</t>
        </is>
      </c>
      <c r="E657" t="inlineStr">
        <is>
          <t>Hats</t>
        </is>
      </c>
      <c r="F657" t="inlineStr">
        <is>
          <t>Sun Blocker</t>
        </is>
      </c>
      <c r="G657" t="n">
        <v>4.3</v>
      </c>
      <c r="H657" t="n">
        <v>64</v>
      </c>
      <c r="I657" t="inlineStr">
        <is>
          <t>Q2-Target,Hats</t>
        </is>
      </c>
      <c r="J657" s="29" t="n">
        <v>23.97</v>
      </c>
      <c r="K657" s="30" t="n">
        <v>0.0002</v>
      </c>
      <c r="L657" s="29" t="n">
        <v>23.96999931335449</v>
      </c>
      <c r="M657" s="29" t="n">
        <v>0</v>
      </c>
      <c r="N657" s="2" t="n">
        <v>3</v>
      </c>
      <c r="O657" s="31" t="n">
        <v>0</v>
      </c>
      <c r="P657" s="32" t="n"/>
      <c r="Q657" s="32" t="n">
        <v>0</v>
      </c>
      <c r="R657" s="32" t="n">
        <v>0</v>
      </c>
      <c r="S657" s="31" t="n">
        <v>0</v>
      </c>
      <c r="T657" s="32" t="n">
        <v>0</v>
      </c>
      <c r="U657" s="31" t="n">
        <v>0</v>
      </c>
      <c r="V657" s="31" t="n">
        <v>0</v>
      </c>
      <c r="W657" s="3" t="n">
        <v>0</v>
      </c>
      <c r="X657" s="3" t="n">
        <v>0</v>
      </c>
      <c r="Y657" s="32" t="n">
        <v>0</v>
      </c>
      <c r="Z657" s="3" t="n">
        <v>0</v>
      </c>
      <c r="AA657" s="32" t="n">
        <v>0</v>
      </c>
      <c r="AB657" s="3" t="n"/>
      <c r="AC657" s="31" t="n">
        <v>0</v>
      </c>
      <c r="AD657" s="2" t="n">
        <v>31</v>
      </c>
      <c r="AE657" s="2" t="n">
        <v>117</v>
      </c>
      <c r="AF657" s="4" t="n">
        <v>117</v>
      </c>
      <c r="AG657" s="33" t="n">
        <v>23.97</v>
      </c>
      <c r="AH657" s="4" t="n">
        <v>3</v>
      </c>
      <c r="AI657" s="34" t="n">
        <v>0.0256</v>
      </c>
      <c r="AJ657" s="34" t="n">
        <v>1</v>
      </c>
      <c r="AK657" s="2" t="n">
        <v>4500</v>
      </c>
      <c r="AL657" t="inlineStr">
        <is>
          <t>Published</t>
        </is>
      </c>
    </row>
    <row r="658">
      <c r="A658">
        <f>HYPERLINK("https://www.walmart.com/ip/116455117", "116455117")</f>
        <v/>
      </c>
      <c r="B658">
        <f>HYPERLINK("https://app.optiwise.ai/catalog/itemdetails/361174", "JenniWears® Women's Kimono Lace Lingerie Sleepwear Matching Cheeky Panty")</f>
        <v/>
      </c>
      <c r="C658" t="inlineStr">
        <is>
          <t>JWRS01PK-M</t>
        </is>
      </c>
      <c r="D658" t="inlineStr">
        <is>
          <t>Clothing</t>
        </is>
      </c>
      <c r="E658" t="inlineStr">
        <is>
          <t>Lingerie Sets</t>
        </is>
      </c>
      <c r="F658" t="inlineStr">
        <is>
          <t>JenniWears</t>
        </is>
      </c>
      <c r="G658" t="n">
        <v>0</v>
      </c>
      <c r="H658" t="n">
        <v>0</v>
      </c>
      <c r="I658" t="inlineStr">
        <is>
          <t>Optimized,Valentine</t>
        </is>
      </c>
      <c r="J658" s="29" t="n">
        <v>23.97</v>
      </c>
      <c r="K658" s="30" t="n">
        <v>0.0002</v>
      </c>
      <c r="L658" s="29" t="n">
        <v>0</v>
      </c>
      <c r="M658" s="29" t="n">
        <v>0</v>
      </c>
      <c r="N658" s="2" t="n">
        <v>3</v>
      </c>
      <c r="O658" s="31" t="n">
        <v>0</v>
      </c>
      <c r="P658" s="32" t="n"/>
      <c r="Q658" s="32" t="n">
        <v>0</v>
      </c>
      <c r="R658" s="32" t="n">
        <v>0</v>
      </c>
      <c r="S658" s="31" t="n">
        <v>0</v>
      </c>
      <c r="T658" s="32" t="n">
        <v>0</v>
      </c>
      <c r="U658" s="31" t="n">
        <v>0</v>
      </c>
      <c r="V658" s="31" t="n">
        <v>0</v>
      </c>
      <c r="W658" s="3" t="n">
        <v>0</v>
      </c>
      <c r="X658" s="3" t="n">
        <v>0</v>
      </c>
      <c r="Y658" s="32" t="n">
        <v>0</v>
      </c>
      <c r="Z658" s="3" t="n">
        <v>0</v>
      </c>
      <c r="AA658" s="32" t="n">
        <v>0</v>
      </c>
      <c r="AB658" s="3" t="n"/>
      <c r="AC658" s="31" t="n">
        <v>0</v>
      </c>
      <c r="AD658" s="2" t="n">
        <v>0</v>
      </c>
      <c r="AE658" s="2" t="n">
        <v>24</v>
      </c>
      <c r="AF658" s="4" t="n">
        <v>24</v>
      </c>
      <c r="AG658" s="33" t="n">
        <v>23.97</v>
      </c>
      <c r="AH658" s="4" t="n">
        <v>3</v>
      </c>
      <c r="AI658" s="34" t="n">
        <v>0.125</v>
      </c>
      <c r="AJ658" s="34" t="n">
        <v>1</v>
      </c>
      <c r="AK658" s="2" t="n">
        <v>3915</v>
      </c>
      <c r="AL658" t="inlineStr">
        <is>
          <t>Published</t>
        </is>
      </c>
    </row>
    <row r="659">
      <c r="A659">
        <f>HYPERLINK("https://www.walmart.com/ip/115422991", "115422991")</f>
        <v/>
      </c>
      <c r="B659">
        <f>HYPERLINK("https://app.optiwise.ai/catalog/itemdetails/362593", "JenniWears® Women's Kimono Lace Lingerie Sleepwear Matching Cheeky Panty")</f>
        <v/>
      </c>
      <c r="C659" t="inlineStr">
        <is>
          <t>JWRS01PK-XL</t>
        </is>
      </c>
      <c r="D659" t="inlineStr">
        <is>
          <t>Clothing</t>
        </is>
      </c>
      <c r="E659" t="inlineStr">
        <is>
          <t>Lingerie Sets</t>
        </is>
      </c>
      <c r="F659" t="inlineStr">
        <is>
          <t>JenniWears</t>
        </is>
      </c>
      <c r="G659" t="n">
        <v>2.3</v>
      </c>
      <c r="H659" t="n">
        <v>3</v>
      </c>
      <c r="I659" t="inlineStr">
        <is>
          <t>Optimized,Valentine</t>
        </is>
      </c>
      <c r="J659" s="29" t="n">
        <v>23.97</v>
      </c>
      <c r="K659" s="30" t="n">
        <v>0.0002</v>
      </c>
      <c r="L659" s="29" t="n">
        <v>7.989999771118164</v>
      </c>
      <c r="M659" s="29" t="n">
        <v>7.989999771118164</v>
      </c>
      <c r="N659" s="2" t="n">
        <v>3</v>
      </c>
      <c r="O659" s="31" t="n">
        <v>0</v>
      </c>
      <c r="P659" s="32" t="n"/>
      <c r="Q659" s="32" t="n">
        <v>0</v>
      </c>
      <c r="R659" s="32" t="n">
        <v>0</v>
      </c>
      <c r="S659" s="31" t="n">
        <v>0</v>
      </c>
      <c r="T659" s="32" t="n">
        <v>0</v>
      </c>
      <c r="U659" s="31" t="n">
        <v>0</v>
      </c>
      <c r="V659" s="31" t="n">
        <v>0</v>
      </c>
      <c r="W659" s="3" t="n">
        <v>0</v>
      </c>
      <c r="X659" s="3" t="n">
        <v>0</v>
      </c>
      <c r="Y659" s="32" t="n">
        <v>0</v>
      </c>
      <c r="Z659" s="3" t="n">
        <v>0</v>
      </c>
      <c r="AA659" s="32" t="n">
        <v>0</v>
      </c>
      <c r="AB659" s="3" t="n"/>
      <c r="AC659" s="31" t="n">
        <v>0</v>
      </c>
      <c r="AD659" s="2" t="n">
        <v>58</v>
      </c>
      <c r="AE659" s="2" t="n">
        <v>159</v>
      </c>
      <c r="AF659" s="4" t="n">
        <v>159</v>
      </c>
      <c r="AG659" s="33" t="n">
        <v>23.97</v>
      </c>
      <c r="AH659" s="4" t="n">
        <v>3</v>
      </c>
      <c r="AI659" s="34" t="n">
        <v>0.0189</v>
      </c>
      <c r="AJ659" s="34" t="n">
        <v>1</v>
      </c>
      <c r="AK659" s="2" t="n">
        <v>4500</v>
      </c>
      <c r="AL659" t="inlineStr">
        <is>
          <t>Published</t>
        </is>
      </c>
    </row>
    <row r="660">
      <c r="A660">
        <f>HYPERLINK("https://www.walmart.com/ip/193222130", "193222130")</f>
        <v/>
      </c>
      <c r="B660">
        <f>HYPERLINK("https://app.optiwise.ai/catalog/itemdetails/362688", "JenniWears® Women's Sexy Fever Blush Babydoll Mesh Lingerie and Wrap Robe")</f>
        <v/>
      </c>
      <c r="C660" t="inlineStr">
        <is>
          <t>JWBD08WT-XL</t>
        </is>
      </c>
      <c r="D660" t="inlineStr">
        <is>
          <t>Clothing</t>
        </is>
      </c>
      <c r="E660" t="inlineStr">
        <is>
          <t>Lingerie Sets</t>
        </is>
      </c>
      <c r="F660" t="inlineStr">
        <is>
          <t>JenniWears</t>
        </is>
      </c>
      <c r="G660" t="n">
        <v>3</v>
      </c>
      <c r="H660" t="n">
        <v>2</v>
      </c>
      <c r="I660" t="inlineStr">
        <is>
          <t>Optimized,WFS,Valentine,WFS Item</t>
        </is>
      </c>
      <c r="J660" s="29" t="n">
        <v>23.94</v>
      </c>
      <c r="K660" s="30" t="n">
        <v>0.0002</v>
      </c>
      <c r="L660" s="29" t="n">
        <v>0</v>
      </c>
      <c r="M660" s="29" t="n">
        <v>0</v>
      </c>
      <c r="N660" s="2" t="n">
        <v>3</v>
      </c>
      <c r="O660" s="31" t="n">
        <v>0</v>
      </c>
      <c r="P660" s="32" t="n"/>
      <c r="Q660" s="32" t="n">
        <v>0</v>
      </c>
      <c r="R660" s="32" t="n">
        <v>0</v>
      </c>
      <c r="S660" s="31" t="n">
        <v>0</v>
      </c>
      <c r="T660" s="32" t="n">
        <v>0</v>
      </c>
      <c r="U660" s="31" t="n">
        <v>0</v>
      </c>
      <c r="V660" s="31" t="n">
        <v>0</v>
      </c>
      <c r="W660" s="3" t="n">
        <v>0</v>
      </c>
      <c r="X660" s="3" t="n">
        <v>0</v>
      </c>
      <c r="Y660" s="32" t="n">
        <v>0</v>
      </c>
      <c r="Z660" s="3" t="n">
        <v>0</v>
      </c>
      <c r="AA660" s="32" t="n">
        <v>0</v>
      </c>
      <c r="AB660" s="3" t="n"/>
      <c r="AC660" s="31" t="n">
        <v>0</v>
      </c>
      <c r="AD660" s="2" t="n">
        <v>0</v>
      </c>
      <c r="AE660" s="2" t="n">
        <v>180</v>
      </c>
      <c r="AF660" s="4" t="n">
        <v>180</v>
      </c>
      <c r="AG660" s="33" t="n">
        <v>23.94</v>
      </c>
      <c r="AH660" s="4" t="n">
        <v>3</v>
      </c>
      <c r="AI660" s="34" t="n">
        <v>0.0167</v>
      </c>
      <c r="AJ660" s="34" t="n">
        <v>1</v>
      </c>
      <c r="AK660" s="2" t="n">
        <v>2160</v>
      </c>
      <c r="AL660" t="inlineStr">
        <is>
          <t>Published</t>
        </is>
      </c>
    </row>
    <row r="661">
      <c r="A661">
        <f>HYPERLINK("https://www.walmart.com/ip/150263762", "150263762")</f>
        <v/>
      </c>
      <c r="B661">
        <f>HYPERLINK("https://app.optiwise.ai/catalog/itemdetails/362450", "JenniWears® Women's Seamless Mesh Hole Pothole Tube Dress")</f>
        <v/>
      </c>
      <c r="C661" t="inlineStr">
        <is>
          <t>JWBD012PP-M</t>
        </is>
      </c>
      <c r="D661" t="inlineStr">
        <is>
          <t>Clothing</t>
        </is>
      </c>
      <c r="E661" t="inlineStr">
        <is>
          <t>Dresses</t>
        </is>
      </c>
      <c r="F661" t="inlineStr">
        <is>
          <t>JenniWears</t>
        </is>
      </c>
      <c r="G661" t="n">
        <v>0</v>
      </c>
      <c r="H661" t="n">
        <v>0</v>
      </c>
      <c r="I661" t="inlineStr">
        <is>
          <t>Optimized,Valentine</t>
        </is>
      </c>
      <c r="J661" s="29" t="n">
        <v>23.94</v>
      </c>
      <c r="K661" s="30" t="n">
        <v>0.0002</v>
      </c>
      <c r="L661" s="29" t="n">
        <v>0</v>
      </c>
      <c r="M661" s="29" t="n">
        <v>0</v>
      </c>
      <c r="N661" s="2" t="n">
        <v>3</v>
      </c>
      <c r="O661" s="31" t="n">
        <v>0</v>
      </c>
      <c r="P661" s="32" t="n"/>
      <c r="Q661" s="32" t="n">
        <v>0</v>
      </c>
      <c r="R661" s="32" t="n">
        <v>0</v>
      </c>
      <c r="S661" s="31" t="n">
        <v>0</v>
      </c>
      <c r="T661" s="32" t="n">
        <v>0</v>
      </c>
      <c r="U661" s="31" t="n">
        <v>0</v>
      </c>
      <c r="V661" s="31" t="n">
        <v>0</v>
      </c>
      <c r="W661" s="3" t="n">
        <v>0</v>
      </c>
      <c r="X661" s="3" t="n">
        <v>0</v>
      </c>
      <c r="Y661" s="32" t="n">
        <v>0</v>
      </c>
      <c r="Z661" s="3" t="n">
        <v>0</v>
      </c>
      <c r="AA661" s="32" t="n">
        <v>0</v>
      </c>
      <c r="AB661" s="3" t="n"/>
      <c r="AC661" s="31" t="n">
        <v>0</v>
      </c>
      <c r="AD661" s="2" t="n">
        <v>20</v>
      </c>
      <c r="AE661" s="2" t="n">
        <v>120</v>
      </c>
      <c r="AF661" s="4" t="n">
        <v>120</v>
      </c>
      <c r="AG661" s="33" t="n">
        <v>23.94</v>
      </c>
      <c r="AH661" s="4" t="n">
        <v>3</v>
      </c>
      <c r="AI661" s="34" t="n">
        <v>0.025</v>
      </c>
      <c r="AJ661" s="34" t="n">
        <v>1</v>
      </c>
      <c r="AK661" s="2" t="n">
        <v>1080</v>
      </c>
      <c r="AL661" t="inlineStr">
        <is>
          <t>Published</t>
        </is>
      </c>
    </row>
    <row r="662">
      <c r="A662">
        <f>HYPERLINK("https://www.walmart.com/ip/153934717", "153934717")</f>
        <v/>
      </c>
      <c r="B662">
        <f>HYPERLINK("https://app.optiwise.ai/catalog/itemdetails/362179", "JenniWears Women Beileise Sexy Garter Belt Suspender")</f>
        <v/>
      </c>
      <c r="C662" t="inlineStr">
        <is>
          <t>JWBLSPH2073</t>
        </is>
      </c>
      <c r="D662" t="inlineStr">
        <is>
          <t>Clothing</t>
        </is>
      </c>
      <c r="E662" t="inlineStr">
        <is>
          <t>Garters</t>
        </is>
      </c>
      <c r="F662" t="inlineStr">
        <is>
          <t>JenniWears</t>
        </is>
      </c>
      <c r="G662" t="n">
        <v>5</v>
      </c>
      <c r="H662" t="n">
        <v>1</v>
      </c>
      <c r="I662" t="inlineStr">
        <is>
          <t>WFS,Valentine,WFS Item</t>
        </is>
      </c>
      <c r="J662" s="29" t="n">
        <v>23.94</v>
      </c>
      <c r="K662" s="30" t="n">
        <v>0.0002</v>
      </c>
      <c r="L662" s="29" t="n">
        <v>0</v>
      </c>
      <c r="M662" s="29" t="n">
        <v>0</v>
      </c>
      <c r="N662" s="2" t="n">
        <v>3</v>
      </c>
      <c r="O662" s="31" t="n">
        <v>0</v>
      </c>
      <c r="P662" s="32" t="n"/>
      <c r="Q662" s="32" t="n">
        <v>0</v>
      </c>
      <c r="R662" s="32" t="n">
        <v>0</v>
      </c>
      <c r="S662" s="31" t="n">
        <v>0</v>
      </c>
      <c r="T662" s="32" t="n">
        <v>0</v>
      </c>
      <c r="U662" s="31" t="n">
        <v>0</v>
      </c>
      <c r="V662" s="31" t="n">
        <v>0</v>
      </c>
      <c r="W662" s="3" t="n">
        <v>0</v>
      </c>
      <c r="X662" s="3" t="n">
        <v>0</v>
      </c>
      <c r="Y662" s="32" t="n">
        <v>0</v>
      </c>
      <c r="Z662" s="3" t="n">
        <v>0</v>
      </c>
      <c r="AA662" s="32" t="n">
        <v>0</v>
      </c>
      <c r="AB662" s="3" t="n"/>
      <c r="AC662" s="31" t="n">
        <v>0</v>
      </c>
      <c r="AD662" s="2" t="n">
        <v>29</v>
      </c>
      <c r="AE662" s="2" t="n">
        <v>52</v>
      </c>
      <c r="AF662" s="4" t="n">
        <v>52</v>
      </c>
      <c r="AG662" s="33" t="n">
        <v>23.94</v>
      </c>
      <c r="AH662" s="4" t="n">
        <v>3</v>
      </c>
      <c r="AI662" s="34" t="n">
        <v>0.0577</v>
      </c>
      <c r="AJ662" s="34" t="n">
        <v>1</v>
      </c>
      <c r="AK662" s="2" t="n">
        <v>2610</v>
      </c>
      <c r="AL662" t="inlineStr">
        <is>
          <t>Published</t>
        </is>
      </c>
    </row>
    <row r="663">
      <c r="A663">
        <f>HYPERLINK("https://www.walmart.com/ip/795351614", "795351614")</f>
        <v/>
      </c>
      <c r="B663">
        <f>HYPERLINK("https://app.optiwise.ai/catalog/itemdetails/360720", "Grey Plaid Decorative Throw TV Sherpa Blanket, Soft, Warm, Comfy, Plush Fleece for Bedding, Couch and Cabin, Red Blue Buffalo Throw Blanket, 50 x 60.")</f>
        <v/>
      </c>
      <c r="C663" t="inlineStr">
        <is>
          <t>1CTBF569PGY</t>
        </is>
      </c>
      <c r="D663" t="inlineStr">
        <is>
          <t>Bedding</t>
        </is>
      </c>
      <c r="E663" t="inlineStr">
        <is>
          <t>Throws</t>
        </is>
      </c>
      <c r="F663" t="inlineStr">
        <is>
          <t>Catalonia</t>
        </is>
      </c>
      <c r="G663" t="n">
        <v>0</v>
      </c>
      <c r="H663" t="n">
        <v>0</v>
      </c>
      <c r="I663" t="inlineStr">
        <is>
          <t>Q2-Target,WFS,WFS Item</t>
        </is>
      </c>
      <c r="J663" s="29" t="n">
        <v>22.99</v>
      </c>
      <c r="K663" s="30" t="n">
        <v>0.0002</v>
      </c>
      <c r="L663" s="29" t="n">
        <v>0</v>
      </c>
      <c r="M663" s="29" t="n">
        <v>0</v>
      </c>
      <c r="N663" s="2" t="n">
        <v>1</v>
      </c>
      <c r="O663" s="31" t="n">
        <v>0</v>
      </c>
      <c r="P663" s="32" t="n"/>
      <c r="Q663" s="32" t="n">
        <v>0</v>
      </c>
      <c r="R663" s="32" t="n">
        <v>0</v>
      </c>
      <c r="S663" s="31" t="n">
        <v>0</v>
      </c>
      <c r="T663" s="32" t="n">
        <v>0</v>
      </c>
      <c r="U663" s="31" t="n">
        <v>0</v>
      </c>
      <c r="V663" s="31" t="n">
        <v>0</v>
      </c>
      <c r="W663" s="3" t="n">
        <v>0</v>
      </c>
      <c r="X663" s="3" t="n">
        <v>0</v>
      </c>
      <c r="Y663" s="32" t="n">
        <v>0</v>
      </c>
      <c r="Z663" s="3" t="n">
        <v>0</v>
      </c>
      <c r="AA663" s="32" t="n">
        <v>0</v>
      </c>
      <c r="AB663" s="3" t="n"/>
      <c r="AC663" s="31" t="n">
        <v>0</v>
      </c>
      <c r="AD663" s="2" t="n">
        <v>10</v>
      </c>
      <c r="AE663" s="2" t="n">
        <v>64</v>
      </c>
      <c r="AF663" s="4" t="n">
        <v>64</v>
      </c>
      <c r="AG663" s="33" t="n">
        <v>22.99</v>
      </c>
      <c r="AH663" s="4" t="n">
        <v>1</v>
      </c>
      <c r="AI663" s="34" t="n">
        <v>0.0156</v>
      </c>
      <c r="AJ663" s="34" t="n">
        <v>1</v>
      </c>
      <c r="AK663" s="2" t="n">
        <v>13500</v>
      </c>
      <c r="AL663" t="inlineStr">
        <is>
          <t>Published</t>
        </is>
      </c>
    </row>
    <row r="664">
      <c r="A664">
        <f>HYPERLINK("https://www.walmart.com/ip/5215793512", "5215793512")</f>
        <v/>
      </c>
      <c r="B664">
        <f>HYPERLINK("https://app.optiwise.ai/catalog/itemdetails/7776012", "Tirrinia 2 Bottle Wine Tote Carrier - Leakproof &amp; Insulated &amp; Padded Versatile Cooler Bag for Travel, BYOB Restaurant, Wine Tasting, Party, Great Christmas Gift for Wine Lover, Rainbow")</f>
        <v/>
      </c>
      <c r="C664" t="inlineStr">
        <is>
          <t>1TRWB220RAINBOW</t>
        </is>
      </c>
      <c r="D664" t="inlineStr">
        <is>
          <t>Home Decor, Kitchen, &amp; Other</t>
        </is>
      </c>
      <c r="E664" t="inlineStr">
        <is>
          <t>Wine Totes, Bags &amp; Backpacks</t>
        </is>
      </c>
      <c r="F664" t="inlineStr">
        <is>
          <t>Tirrinia</t>
        </is>
      </c>
      <c r="G664" t="n">
        <v>0</v>
      </c>
      <c r="H664" t="n">
        <v>0</v>
      </c>
      <c r="J664" s="29" t="n">
        <v>22.99</v>
      </c>
      <c r="K664" s="30" t="n">
        <v>0.0002</v>
      </c>
      <c r="L664" s="29" t="n">
        <v>0</v>
      </c>
      <c r="M664" s="29" t="n">
        <v>0</v>
      </c>
      <c r="N664" s="2" t="n">
        <v>1</v>
      </c>
      <c r="O664" s="31" t="n">
        <v>0</v>
      </c>
      <c r="P664" s="32" t="n"/>
      <c r="Q664" s="32" t="n">
        <v>0</v>
      </c>
      <c r="R664" s="32" t="n">
        <v>0</v>
      </c>
      <c r="S664" s="31" t="n">
        <v>0</v>
      </c>
      <c r="T664" s="32" t="n">
        <v>0</v>
      </c>
      <c r="U664" s="31" t="n">
        <v>0</v>
      </c>
      <c r="V664" s="31" t="n">
        <v>0</v>
      </c>
      <c r="W664" s="3" t="n">
        <v>0</v>
      </c>
      <c r="X664" s="3" t="n">
        <v>0</v>
      </c>
      <c r="Y664" s="32" t="n">
        <v>0</v>
      </c>
      <c r="Z664" s="3" t="n">
        <v>0</v>
      </c>
      <c r="AA664" s="32" t="n">
        <v>0</v>
      </c>
      <c r="AB664" s="3" t="n"/>
      <c r="AC664" s="31" t="n">
        <v>0</v>
      </c>
      <c r="AD664" s="2" t="n">
        <v>0</v>
      </c>
      <c r="AE664" s="2" t="n">
        <v>46</v>
      </c>
      <c r="AF664" s="4" t="n">
        <v>46</v>
      </c>
      <c r="AG664" s="33" t="n">
        <v>22.99</v>
      </c>
      <c r="AH664" s="4" t="n">
        <v>1</v>
      </c>
      <c r="AI664" s="34" t="n">
        <v>0.0217</v>
      </c>
      <c r="AJ664" s="34" t="n">
        <v>1</v>
      </c>
      <c r="AK664" s="2" t="n">
        <v>13635</v>
      </c>
      <c r="AL664" t="inlineStr">
        <is>
          <t>Published</t>
        </is>
      </c>
    </row>
    <row r="665">
      <c r="A665">
        <f>HYPERLINK("https://www.walmart.com/ip/837044486", "837044486")</f>
        <v/>
      </c>
      <c r="B665">
        <f>HYPERLINK("https://app.optiwise.ai/catalog/itemdetails/359320", "Flyingstar 2-Bottle Wine Tote Carrier, Leakproof and Insulated Padded Versatile Wine Cooler Bag for Travel, Wine Tasting, Parties and Dinner, Elegant Wine Gift Bag, Black")</f>
        <v/>
      </c>
      <c r="C665" t="inlineStr">
        <is>
          <t>1WMWB220BK</t>
        </is>
      </c>
      <c r="D665" t="inlineStr">
        <is>
          <t>Home Decor, Kitchen, &amp; Other</t>
        </is>
      </c>
      <c r="E665" t="inlineStr">
        <is>
          <t>Wine Totes, Bags &amp; Backpacks</t>
        </is>
      </c>
      <c r="F665" t="inlineStr">
        <is>
          <t>Flyingstar</t>
        </is>
      </c>
      <c r="G665" t="n">
        <v>5</v>
      </c>
      <c r="H665" t="n">
        <v>1</v>
      </c>
      <c r="I665" t="inlineStr">
        <is>
          <t>Wine,Christmas,Valentine,SEM</t>
        </is>
      </c>
      <c r="J665" s="29" t="n">
        <v>22.99</v>
      </c>
      <c r="K665" s="30" t="n">
        <v>0.0002</v>
      </c>
      <c r="L665" s="29" t="n">
        <v>0</v>
      </c>
      <c r="M665" s="29" t="n">
        <v>0</v>
      </c>
      <c r="N665" s="2" t="n">
        <v>1</v>
      </c>
      <c r="O665" s="31" t="n">
        <v>0</v>
      </c>
      <c r="P665" s="32" t="n"/>
      <c r="Q665" s="32" t="n">
        <v>0</v>
      </c>
      <c r="R665" s="32" t="n">
        <v>0</v>
      </c>
      <c r="S665" s="31" t="n">
        <v>0</v>
      </c>
      <c r="T665" s="32" t="n">
        <v>0</v>
      </c>
      <c r="U665" s="31" t="n">
        <v>0</v>
      </c>
      <c r="V665" s="31" t="n">
        <v>0</v>
      </c>
      <c r="W665" s="3" t="n">
        <v>0</v>
      </c>
      <c r="X665" s="3" t="n">
        <v>0</v>
      </c>
      <c r="Y665" s="32" t="n">
        <v>0</v>
      </c>
      <c r="Z665" s="3" t="n">
        <v>0</v>
      </c>
      <c r="AA665" s="32" t="n">
        <v>0</v>
      </c>
      <c r="AB665" s="3" t="n"/>
      <c r="AC665" s="31" t="n">
        <v>0</v>
      </c>
      <c r="AD665" s="2" t="n">
        <v>0</v>
      </c>
      <c r="AE665" s="2" t="n">
        <v>14</v>
      </c>
      <c r="AF665" s="4" t="n">
        <v>14</v>
      </c>
      <c r="AG665" s="33" t="n">
        <v>22.99</v>
      </c>
      <c r="AH665" s="4" t="n">
        <v>1</v>
      </c>
      <c r="AI665" s="34" t="n">
        <v>0.07140000000000001</v>
      </c>
      <c r="AJ665" s="34" t="n">
        <v>1</v>
      </c>
      <c r="AK665" s="2" t="n">
        <v>1350</v>
      </c>
      <c r="AL665" t="inlineStr">
        <is>
          <t>Published</t>
        </is>
      </c>
    </row>
    <row r="666">
      <c r="A666">
        <f>HYPERLINK("https://www.walmart.com/ip/863912231", "863912231")</f>
        <v/>
      </c>
      <c r="B666">
        <f>HYPERLINK("https://app.optiwise.ai/catalog/itemdetails/361896", "Kato 6 Bottle Wine Carrier, Insulated Leakproof Padded Wine Cooler Carrying Tote Bag for Travel, Camping and Picnic, Perfect Wine Lover Gift, Blue")</f>
        <v/>
      </c>
      <c r="C666" t="inlineStr">
        <is>
          <t>1KTWB610BL</t>
        </is>
      </c>
      <c r="D666" t="inlineStr">
        <is>
          <t>Home Decor, Kitchen, &amp; Other</t>
        </is>
      </c>
      <c r="E666" t="inlineStr">
        <is>
          <t>Wine Totes, Bags &amp; Backpacks</t>
        </is>
      </c>
      <c r="F666" t="inlineStr">
        <is>
          <t>Kato</t>
        </is>
      </c>
      <c r="G666" t="n">
        <v>2</v>
      </c>
      <c r="H666" t="n">
        <v>1</v>
      </c>
      <c r="I666" t="inlineStr">
        <is>
          <t>Wine</t>
        </is>
      </c>
      <c r="J666" s="29" t="n">
        <v>22.99</v>
      </c>
      <c r="K666" s="30" t="n">
        <v>0.0002</v>
      </c>
      <c r="L666" s="29" t="n">
        <v>0</v>
      </c>
      <c r="M666" s="29" t="n">
        <v>0</v>
      </c>
      <c r="N666" s="2" t="n">
        <v>1</v>
      </c>
      <c r="O666" s="31" t="n">
        <v>0.96</v>
      </c>
      <c r="P666" s="32" t="n">
        <v>0.0001</v>
      </c>
      <c r="Q666" s="32" t="n">
        <v>0.0418</v>
      </c>
      <c r="R666" s="32" t="n">
        <v>0.0346</v>
      </c>
      <c r="S666" s="31" t="n">
        <v>0</v>
      </c>
      <c r="T666" s="32" t="n">
        <v>0</v>
      </c>
      <c r="U666" s="31" t="n">
        <v>0</v>
      </c>
      <c r="V666" s="31" t="n">
        <v>0</v>
      </c>
      <c r="W666" s="3" t="n">
        <v>2357</v>
      </c>
      <c r="X666" s="3" t="n">
        <v>3</v>
      </c>
      <c r="Y666" s="32" t="n">
        <v>0.0013</v>
      </c>
      <c r="Z666" s="3" t="n">
        <v>0</v>
      </c>
      <c r="AA666" s="32" t="n">
        <v>0</v>
      </c>
      <c r="AB666" s="3" t="inlineStr">
        <is>
          <t>Auto Campaign_Vinay</t>
        </is>
      </c>
      <c r="AC666" s="31" t="n">
        <v>0.32</v>
      </c>
      <c r="AD666" s="2" t="n">
        <v>0</v>
      </c>
      <c r="AE666" s="2" t="n">
        <v>36</v>
      </c>
      <c r="AF666" s="4" t="n">
        <v>33</v>
      </c>
      <c r="AG666" s="33" t="n">
        <v>22.99</v>
      </c>
      <c r="AH666" s="4" t="n">
        <v>1</v>
      </c>
      <c r="AI666" s="34" t="n">
        <v>0.0303</v>
      </c>
      <c r="AJ666" s="34" t="n">
        <v>1</v>
      </c>
      <c r="AK666" s="2" t="n">
        <v>0</v>
      </c>
      <c r="AL666" t="inlineStr">
        <is>
          <t>Published</t>
        </is>
      </c>
    </row>
    <row r="667">
      <c r="A667">
        <f>HYPERLINK("https://www.walmart.com/ip/222077443", "222077443")</f>
        <v/>
      </c>
      <c r="B667">
        <f>HYPERLINK("https://app.optiwise.ai/catalog/itemdetails/361915", "Buffalo Plaid Sherpa Throw TV Blanket 50 x 60 Super Soft Reversible Fleece Blanket for Cabin Bed or Couch | Catalonia series by Terrania | Cabin Plaid Red and Black Check")</f>
        <v/>
      </c>
      <c r="C667" t="inlineStr">
        <is>
          <t>1TRBF300PRD-TBCB</t>
        </is>
      </c>
      <c r="D667" t="inlineStr">
        <is>
          <t>Bedding</t>
        </is>
      </c>
      <c r="E667" t="inlineStr">
        <is>
          <t>Throws</t>
        </is>
      </c>
      <c r="F667" t="inlineStr">
        <is>
          <t>Tirrinia</t>
        </is>
      </c>
      <c r="G667" t="n">
        <v>0</v>
      </c>
      <c r="H667" t="n">
        <v>0</v>
      </c>
      <c r="I667" t="inlineStr">
        <is>
          <t>WFS,WFS Item,Fleece Blankets</t>
        </is>
      </c>
      <c r="J667" s="29" t="n">
        <v>22.99</v>
      </c>
      <c r="K667" s="30" t="n">
        <v>0.0002</v>
      </c>
      <c r="L667" s="29" t="n">
        <v>0</v>
      </c>
      <c r="M667" s="29" t="n">
        <v>0</v>
      </c>
      <c r="N667" s="2" t="n">
        <v>1</v>
      </c>
      <c r="O667" s="31" t="n">
        <v>0</v>
      </c>
      <c r="P667" s="32" t="n"/>
      <c r="Q667" s="32" t="n">
        <v>0</v>
      </c>
      <c r="R667" s="32" t="n">
        <v>0</v>
      </c>
      <c r="S667" s="31" t="n">
        <v>0</v>
      </c>
      <c r="T667" s="32" t="n">
        <v>0</v>
      </c>
      <c r="U667" s="31" t="n">
        <v>0</v>
      </c>
      <c r="V667" s="31" t="n">
        <v>0</v>
      </c>
      <c r="W667" s="3" t="n">
        <v>0</v>
      </c>
      <c r="X667" s="3" t="n">
        <v>0</v>
      </c>
      <c r="Y667" s="32" t="n">
        <v>0</v>
      </c>
      <c r="Z667" s="3" t="n">
        <v>0</v>
      </c>
      <c r="AA667" s="32" t="n">
        <v>0</v>
      </c>
      <c r="AB667" s="3" t="n"/>
      <c r="AC667" s="31" t="n">
        <v>0</v>
      </c>
      <c r="AD667" s="2" t="n">
        <v>0</v>
      </c>
      <c r="AE667" s="2" t="n">
        <v>36</v>
      </c>
      <c r="AF667" s="4" t="n">
        <v>36</v>
      </c>
      <c r="AG667" s="33" t="n">
        <v>22.99</v>
      </c>
      <c r="AH667" s="4" t="n">
        <v>1</v>
      </c>
      <c r="AI667" s="34" t="n">
        <v>0.0278</v>
      </c>
      <c r="AJ667" s="34" t="n">
        <v>1</v>
      </c>
      <c r="AK667" s="2" t="n">
        <v>13500</v>
      </c>
      <c r="AL667" t="inlineStr">
        <is>
          <t>Published</t>
        </is>
      </c>
    </row>
    <row r="668">
      <c r="A668">
        <f>HYPERLINK("https://www.walmart.com/ip/520315545", "520315545")</f>
        <v/>
      </c>
      <c r="B668">
        <f>HYPERLINK("https://app.optiwise.ai/catalog/itemdetails/360311", "Kato 6 Bottle Wine Carrier, Insulated Leakproof Padded Wine Cooler Carrying Tote Bag for Travel, Camping and Picnic, Perfect Wine Lover Gift, Beige")</f>
        <v/>
      </c>
      <c r="C668" t="inlineStr">
        <is>
          <t>1KTWB610BG</t>
        </is>
      </c>
      <c r="D668" t="inlineStr">
        <is>
          <t>Home Decor, Kitchen, &amp; Other</t>
        </is>
      </c>
      <c r="E668" t="inlineStr">
        <is>
          <t>Wine Totes, Bags &amp; Backpacks</t>
        </is>
      </c>
      <c r="F668" t="inlineStr">
        <is>
          <t>Kato</t>
        </is>
      </c>
      <c r="G668" t="n">
        <v>0</v>
      </c>
      <c r="H668" t="n">
        <v>0</v>
      </c>
      <c r="I668" t="inlineStr">
        <is>
          <t>Wine,Christmas,WFS,Valentine,SEM,WFS Item</t>
        </is>
      </c>
      <c r="J668" s="29" t="n">
        <v>22.99</v>
      </c>
      <c r="K668" s="30" t="n">
        <v>0.0002</v>
      </c>
      <c r="L668" s="29" t="n">
        <v>0</v>
      </c>
      <c r="M668" s="29" t="n">
        <v>0</v>
      </c>
      <c r="N668" s="2" t="n">
        <v>1</v>
      </c>
      <c r="O668" s="31" t="n">
        <v>7.46</v>
      </c>
      <c r="P668" s="32" t="n">
        <v>0.0009</v>
      </c>
      <c r="Q668" s="32" t="n">
        <v>0.3245</v>
      </c>
      <c r="R668" s="32" t="n">
        <v>-0.6616</v>
      </c>
      <c r="S668" s="31" t="n">
        <v>3.08</v>
      </c>
      <c r="T668" s="32" t="n">
        <v>0.32</v>
      </c>
      <c r="U668" s="31" t="n">
        <v>22.99</v>
      </c>
      <c r="V668" s="31" t="n">
        <v>22.99</v>
      </c>
      <c r="W668" s="3" t="n">
        <v>19330</v>
      </c>
      <c r="X668" s="3" t="n">
        <v>15</v>
      </c>
      <c r="Y668" s="32" t="n">
        <v>0.0008</v>
      </c>
      <c r="Z668" s="3" t="n">
        <v>1</v>
      </c>
      <c r="AA668" s="32" t="n">
        <v>0.0667</v>
      </c>
      <c r="AB668" s="3" t="inlineStr">
        <is>
          <t>All Items_Auto_Optiwise_24</t>
        </is>
      </c>
      <c r="AC668" s="31" t="n">
        <v>0.5</v>
      </c>
      <c r="AD668" s="2" t="n">
        <v>0</v>
      </c>
      <c r="AE668" s="2" t="n">
        <v>49</v>
      </c>
      <c r="AF668" s="4" t="n">
        <v>34</v>
      </c>
      <c r="AG668" s="33" t="n">
        <v>0</v>
      </c>
      <c r="AH668" s="4" t="n">
        <v>0</v>
      </c>
      <c r="AI668" s="34" t="n"/>
      <c r="AJ668" s="34" t="n">
        <v>0</v>
      </c>
      <c r="AK668" s="2" t="n">
        <v>15930</v>
      </c>
      <c r="AL668" t="inlineStr">
        <is>
          <t>Published</t>
        </is>
      </c>
    </row>
    <row r="669">
      <c r="A669">
        <f>HYPERLINK("https://www.walmart.com/ip/805646855", "805646855")</f>
        <v/>
      </c>
      <c r="B669">
        <f>HYPERLINK("https://app.optiwise.ai/catalog/itemdetails/361404", "Catalonia Beach Changing Poncho Towel with Hood, Super Absorbent Microfiber Swim Robe for Men Women Surfing Bath Shower Pool, Quick Drying, Black")</f>
        <v/>
      </c>
      <c r="C669" t="inlineStr">
        <is>
          <t>1CTBR100-BK-ES</t>
        </is>
      </c>
      <c r="D669" t="inlineStr">
        <is>
          <t>Clothing - Clothing</t>
        </is>
      </c>
      <c r="E669" t="inlineStr">
        <is>
          <t>Towels &amp; Washcloths</t>
        </is>
      </c>
      <c r="F669" t="inlineStr">
        <is>
          <t>Catalonia</t>
        </is>
      </c>
      <c r="G669" t="n">
        <v>0</v>
      </c>
      <c r="H669" t="n">
        <v>0</v>
      </c>
      <c r="I669" t="inlineStr">
        <is>
          <t>Optimized,Beach Robe Camp</t>
        </is>
      </c>
      <c r="J669" s="29" t="n">
        <v>22.99</v>
      </c>
      <c r="K669" s="30" t="n">
        <v>0.0002</v>
      </c>
      <c r="L669" s="29" t="n">
        <v>0</v>
      </c>
      <c r="M669" s="29" t="n">
        <v>0</v>
      </c>
      <c r="N669" s="2" t="n">
        <v>1</v>
      </c>
      <c r="O669" s="31" t="n">
        <v>0</v>
      </c>
      <c r="P669" s="32" t="n"/>
      <c r="Q669" s="32" t="n">
        <v>0</v>
      </c>
      <c r="R669" s="32" t="n">
        <v>0</v>
      </c>
      <c r="S669" s="31" t="n">
        <v>0</v>
      </c>
      <c r="T669" s="32" t="n">
        <v>0</v>
      </c>
      <c r="U669" s="31" t="n">
        <v>0</v>
      </c>
      <c r="V669" s="31" t="n">
        <v>0</v>
      </c>
      <c r="W669" s="3" t="n">
        <v>0</v>
      </c>
      <c r="X669" s="3" t="n">
        <v>0</v>
      </c>
      <c r="Y669" s="32" t="n">
        <v>0</v>
      </c>
      <c r="Z669" s="3" t="n">
        <v>0</v>
      </c>
      <c r="AA669" s="32" t="n">
        <v>0</v>
      </c>
      <c r="AB669" s="3" t="n"/>
      <c r="AC669" s="31" t="n">
        <v>0</v>
      </c>
      <c r="AD669" s="2" t="n">
        <v>0</v>
      </c>
      <c r="AE669" s="2" t="n">
        <v>22</v>
      </c>
      <c r="AF669" s="4" t="n">
        <v>22</v>
      </c>
      <c r="AG669" s="33" t="n">
        <v>22.99</v>
      </c>
      <c r="AH669" s="4" t="n">
        <v>1</v>
      </c>
      <c r="AI669" s="34" t="n">
        <v>0.0455</v>
      </c>
      <c r="AJ669" s="34" t="n">
        <v>1</v>
      </c>
      <c r="AK669" s="2" t="n">
        <v>13500</v>
      </c>
      <c r="AL669" t="inlineStr">
        <is>
          <t>Published</t>
        </is>
      </c>
    </row>
    <row r="670">
      <c r="A670">
        <f>HYPERLINK("https://www.walmart.com/ip/572950679", "572950679")</f>
        <v/>
      </c>
      <c r="B670">
        <f>HYPERLINK("https://app.optiwise.ai/catalog/itemdetails/361205", "Flyingstar Surf Towel Robe, Quick Dry Beach Wetsuit Changing Bath Robe Poncho for Surfing, Swimming")</f>
        <v/>
      </c>
      <c r="C670" t="inlineStr">
        <is>
          <t>1WMBR100-GY</t>
        </is>
      </c>
      <c r="D670" t="inlineStr">
        <is>
          <t>Clothing</t>
        </is>
      </c>
      <c r="E670" t="inlineStr">
        <is>
          <t>Sleepwear Robes &amp; Bathrobes</t>
        </is>
      </c>
      <c r="F670" t="inlineStr">
        <is>
          <t>Flyingstar</t>
        </is>
      </c>
      <c r="G670" t="n">
        <v>5</v>
      </c>
      <c r="H670" t="n">
        <v>2</v>
      </c>
      <c r="I670" t="inlineStr">
        <is>
          <t>Optimized,Beach Robe Camp</t>
        </is>
      </c>
      <c r="J670" s="29" t="n">
        <v>22.99</v>
      </c>
      <c r="K670" s="30" t="n">
        <v>0.0002</v>
      </c>
      <c r="L670" s="29" t="n">
        <v>0</v>
      </c>
      <c r="M670" s="29" t="n">
        <v>0</v>
      </c>
      <c r="N670" s="2" t="n">
        <v>1</v>
      </c>
      <c r="O670" s="31" t="n">
        <v>0</v>
      </c>
      <c r="P670" s="32" t="n"/>
      <c r="Q670" s="32" t="n">
        <v>0</v>
      </c>
      <c r="R670" s="32" t="n">
        <v>0.0152</v>
      </c>
      <c r="S670" s="31" t="n">
        <v>0</v>
      </c>
      <c r="T670" s="32" t="n">
        <v>0</v>
      </c>
      <c r="U670" s="31" t="n">
        <v>0</v>
      </c>
      <c r="V670" s="31" t="n">
        <v>0</v>
      </c>
      <c r="W670" s="3" t="n">
        <v>0</v>
      </c>
      <c r="X670" s="3" t="n">
        <v>0</v>
      </c>
      <c r="Y670" s="32" t="n">
        <v>0</v>
      </c>
      <c r="Z670" s="3" t="n">
        <v>0</v>
      </c>
      <c r="AA670" s="32" t="n">
        <v>0</v>
      </c>
      <c r="AB670" s="3" t="n"/>
      <c r="AC670" s="31" t="n">
        <v>0</v>
      </c>
      <c r="AD670" s="2" t="n">
        <v>0</v>
      </c>
      <c r="AE670" s="2" t="n">
        <v>41</v>
      </c>
      <c r="AF670" s="4" t="n">
        <v>41</v>
      </c>
      <c r="AG670" s="33" t="n">
        <v>22.99</v>
      </c>
      <c r="AH670" s="4" t="n">
        <v>1</v>
      </c>
      <c r="AI670" s="34" t="n">
        <v>0.0244</v>
      </c>
      <c r="AJ670" s="34" t="n">
        <v>1</v>
      </c>
      <c r="AK670" s="2" t="n">
        <v>1080</v>
      </c>
      <c r="AL670" t="inlineStr">
        <is>
          <t>Published</t>
        </is>
      </c>
    </row>
    <row r="671">
      <c r="A671">
        <f>HYPERLINK("https://www.walmart.com/ip/105129705", "105129705")</f>
        <v/>
      </c>
      <c r="B671">
        <f>HYPERLINK("https://app.optiwise.ai/catalog/itemdetails/361851", "Buffalo Plaid Sherpa Throw TV Blanket 50 x 60 Super Soft Reversible Fleece Blanket for Cabin Bed or Couch | Catalonia series by Tirrinia | Cabin Plaid Grey and Black Check")</f>
        <v/>
      </c>
      <c r="C671" t="inlineStr">
        <is>
          <t>1TRBF300PBK-TBCB</t>
        </is>
      </c>
      <c r="D671" t="inlineStr">
        <is>
          <t>Bedding</t>
        </is>
      </c>
      <c r="E671" t="inlineStr">
        <is>
          <t>Throws</t>
        </is>
      </c>
      <c r="F671" t="inlineStr">
        <is>
          <t>Tirrinia</t>
        </is>
      </c>
      <c r="G671" t="n">
        <v>4.7</v>
      </c>
      <c r="H671" t="n">
        <v>10</v>
      </c>
      <c r="I671" t="inlineStr">
        <is>
          <t>Q2-Target,WFS,Coupon_Discount,WFS Item,Fleece Blankets</t>
        </is>
      </c>
      <c r="J671" s="29" t="n">
        <v>22.99</v>
      </c>
      <c r="K671" s="30" t="n">
        <v>0.0002</v>
      </c>
      <c r="L671" s="29" t="n">
        <v>0</v>
      </c>
      <c r="M671" s="29" t="n">
        <v>0</v>
      </c>
      <c r="N671" s="2" t="n">
        <v>1</v>
      </c>
      <c r="O671" s="31" t="n">
        <v>0</v>
      </c>
      <c r="P671" s="32" t="n"/>
      <c r="Q671" s="32" t="n">
        <v>0</v>
      </c>
      <c r="R671" s="32" t="n">
        <v>0</v>
      </c>
      <c r="S671" s="31" t="n">
        <v>0</v>
      </c>
      <c r="T671" s="32" t="n">
        <v>0</v>
      </c>
      <c r="U671" s="31" t="n">
        <v>0</v>
      </c>
      <c r="V671" s="31" t="n">
        <v>0</v>
      </c>
      <c r="W671" s="3" t="n">
        <v>0</v>
      </c>
      <c r="X671" s="3" t="n">
        <v>0</v>
      </c>
      <c r="Y671" s="32" t="n">
        <v>0</v>
      </c>
      <c r="Z671" s="3" t="n">
        <v>0</v>
      </c>
      <c r="AA671" s="32" t="n">
        <v>0</v>
      </c>
      <c r="AB671" s="3" t="n"/>
      <c r="AC671" s="31" t="n">
        <v>0</v>
      </c>
      <c r="AD671" s="2" t="n">
        <v>0</v>
      </c>
      <c r="AE671" s="2" t="n">
        <v>22</v>
      </c>
      <c r="AF671" s="4" t="n">
        <v>22</v>
      </c>
      <c r="AG671" s="33" t="n">
        <v>22.99</v>
      </c>
      <c r="AH671" s="4" t="n">
        <v>1</v>
      </c>
      <c r="AI671" s="34" t="n">
        <v>0.0455</v>
      </c>
      <c r="AJ671" s="34" t="n">
        <v>1</v>
      </c>
      <c r="AK671" s="2" t="n">
        <v>2700</v>
      </c>
      <c r="AL671" t="inlineStr">
        <is>
          <t>Published</t>
        </is>
      </c>
    </row>
    <row r="672">
      <c r="A672">
        <f>HYPERLINK("https://www.walmart.com/ip/1810221595", "1810221595")</f>
        <v/>
      </c>
      <c r="B672">
        <f>HYPERLINK("https://app.optiwise.ai/catalog/itemdetails/5423735", "Hooded Poncho Towels Changing Robe for Adult Surfer Swimmer Sport Beach")</f>
        <v/>
      </c>
      <c r="C672" t="inlineStr">
        <is>
          <t>1TRBR100-LBL</t>
        </is>
      </c>
      <c r="D672" t="inlineStr">
        <is>
          <t>Clothing</t>
        </is>
      </c>
      <c r="E672" t="inlineStr">
        <is>
          <t>Towels &amp; Washcloths</t>
        </is>
      </c>
      <c r="F672" t="inlineStr">
        <is>
          <t>Tirrinia</t>
        </is>
      </c>
      <c r="G672" t="n">
        <v>0</v>
      </c>
      <c r="H672" t="n">
        <v>0</v>
      </c>
      <c r="J672" s="29" t="n">
        <v>22.99</v>
      </c>
      <c r="K672" s="30" t="n">
        <v>0.0002</v>
      </c>
      <c r="L672" s="29" t="n">
        <v>0</v>
      </c>
      <c r="M672" s="29" t="n">
        <v>0</v>
      </c>
      <c r="N672" s="2" t="n">
        <v>1</v>
      </c>
      <c r="O672" s="31" t="n">
        <v>0</v>
      </c>
      <c r="P672" s="32" t="n"/>
      <c r="Q672" s="32" t="n">
        <v>0</v>
      </c>
      <c r="R672" s="32" t="n">
        <v>0</v>
      </c>
      <c r="S672" s="31" t="n">
        <v>0</v>
      </c>
      <c r="T672" s="32" t="n">
        <v>0</v>
      </c>
      <c r="U672" s="31" t="n">
        <v>0</v>
      </c>
      <c r="V672" s="31" t="n">
        <v>0</v>
      </c>
      <c r="W672" s="3" t="n">
        <v>0</v>
      </c>
      <c r="X672" s="3" t="n">
        <v>0</v>
      </c>
      <c r="Y672" s="32" t="n">
        <v>0</v>
      </c>
      <c r="Z672" s="3" t="n">
        <v>0</v>
      </c>
      <c r="AA672" s="32" t="n">
        <v>0</v>
      </c>
      <c r="AB672" s="3" t="n"/>
      <c r="AC672" s="31" t="n">
        <v>0</v>
      </c>
      <c r="AD672" s="2" t="n">
        <v>17</v>
      </c>
      <c r="AE672" s="2" t="n">
        <v>111</v>
      </c>
      <c r="AF672" s="4" t="n">
        <v>111</v>
      </c>
      <c r="AG672" s="33" t="n">
        <v>22.99</v>
      </c>
      <c r="AH672" s="4" t="n">
        <v>1</v>
      </c>
      <c r="AI672" s="34" t="n">
        <v>0.008999999999999999</v>
      </c>
      <c r="AJ672" s="34" t="n">
        <v>1</v>
      </c>
      <c r="AK672" s="2" t="n">
        <v>13500</v>
      </c>
      <c r="AL672" t="inlineStr">
        <is>
          <t>Published</t>
        </is>
      </c>
    </row>
    <row r="673">
      <c r="A673">
        <f>HYPERLINK("https://www.walmart.com/ip/348247263", "348247263")</f>
        <v/>
      </c>
      <c r="B673">
        <f>HYPERLINK("https://app.optiwise.ai/catalog/itemdetails/361695", "Buffalo Plaid Sherpa Throw TV Blanket 50 x 60 Super Soft Reversible Fleece Blanket for Cabin Bed or Couch | Catalonia series by Terrania Green Plaid")</f>
        <v/>
      </c>
      <c r="C673" t="inlineStr">
        <is>
          <t>1TRBF300PGN-TBCB</t>
        </is>
      </c>
      <c r="D673" t="inlineStr">
        <is>
          <t>Bedding</t>
        </is>
      </c>
      <c r="E673" t="inlineStr">
        <is>
          <t>Throws</t>
        </is>
      </c>
      <c r="F673" t="inlineStr">
        <is>
          <t>Tirrinia</t>
        </is>
      </c>
      <c r="G673" t="n">
        <v>0</v>
      </c>
      <c r="H673" t="n">
        <v>0</v>
      </c>
      <c r="I673" t="inlineStr">
        <is>
          <t>Q2-Target,WFS,Coupon_Discount,WFS Item,Fleece Blankets,ST Patrick Day</t>
        </is>
      </c>
      <c r="J673" s="29" t="n">
        <v>22.99</v>
      </c>
      <c r="K673" s="30" t="n">
        <v>0.0002</v>
      </c>
      <c r="L673" s="29" t="n">
        <v>0</v>
      </c>
      <c r="M673" s="29" t="n">
        <v>0</v>
      </c>
      <c r="N673" s="2" t="n">
        <v>1</v>
      </c>
      <c r="O673" s="31" t="n">
        <v>0</v>
      </c>
      <c r="P673" s="32" t="n"/>
      <c r="Q673" s="32" t="n">
        <v>0</v>
      </c>
      <c r="R673" s="32" t="n">
        <v>0</v>
      </c>
      <c r="S673" s="31" t="n">
        <v>0</v>
      </c>
      <c r="T673" s="32" t="n">
        <v>0</v>
      </c>
      <c r="U673" s="31" t="n">
        <v>0</v>
      </c>
      <c r="V673" s="31" t="n">
        <v>0</v>
      </c>
      <c r="W673" s="3" t="n">
        <v>0</v>
      </c>
      <c r="X673" s="3" t="n">
        <v>0</v>
      </c>
      <c r="Y673" s="32" t="n">
        <v>0</v>
      </c>
      <c r="Z673" s="3" t="n">
        <v>0</v>
      </c>
      <c r="AA673" s="32" t="n">
        <v>0</v>
      </c>
      <c r="AB673" s="3" t="n"/>
      <c r="AC673" s="31" t="n">
        <v>0</v>
      </c>
      <c r="AD673" s="2" t="n">
        <v>0</v>
      </c>
      <c r="AE673" s="2" t="n">
        <v>10</v>
      </c>
      <c r="AF673" s="4" t="n">
        <v>10</v>
      </c>
      <c r="AG673" s="33" t="n">
        <v>22.99</v>
      </c>
      <c r="AH673" s="4" t="n">
        <v>1</v>
      </c>
      <c r="AI673" s="34" t="n">
        <v>0.1</v>
      </c>
      <c r="AJ673" s="34" t="n">
        <v>1</v>
      </c>
      <c r="AK673" s="2" t="n">
        <v>13500</v>
      </c>
      <c r="AL673" t="inlineStr">
        <is>
          <t>Published</t>
        </is>
      </c>
    </row>
    <row r="674">
      <c r="A674">
        <f>HYPERLINK("https://www.walmart.com/ip/1237918974", "1237918974")</f>
        <v/>
      </c>
      <c r="B674">
        <f>HYPERLINK("https://app.optiwise.ai/catalog/itemdetails/912019", "Tirrinia Large Insulated Lunch Tote Bag for Women,Waterproof Oxford Cloth Leakproof Cooler Bag,Shopping Food Grocery Bags for Work Beach, White Lemon")</f>
        <v/>
      </c>
      <c r="C674" t="inlineStr">
        <is>
          <t>1TRCB800YLLEM</t>
        </is>
      </c>
      <c r="D674" t="inlineStr">
        <is>
          <t>Home Decor, Kitchen, &amp; Other</t>
        </is>
      </c>
      <c r="E674" t="inlineStr">
        <is>
          <t>Reusable Lunch Bags &amp; Boxes</t>
        </is>
      </c>
      <c r="F674" t="inlineStr">
        <is>
          <t>Tirrinia</t>
        </is>
      </c>
      <c r="G674" t="n">
        <v>4.9</v>
      </c>
      <c r="H674" t="n">
        <v>29</v>
      </c>
      <c r="I674" t="inlineStr">
        <is>
          <t>SEM,Batch 1 - TR</t>
        </is>
      </c>
      <c r="J674" s="29" t="n">
        <v>22.98</v>
      </c>
      <c r="K674" s="30" t="n">
        <v>0.0002</v>
      </c>
      <c r="L674" s="29" t="n">
        <v>0</v>
      </c>
      <c r="M674" s="29" t="n">
        <v>0</v>
      </c>
      <c r="N674" s="2" t="n">
        <v>1</v>
      </c>
      <c r="O674" s="31" t="n">
        <v>0</v>
      </c>
      <c r="P674" s="32" t="n"/>
      <c r="Q674" s="32" t="n">
        <v>0</v>
      </c>
      <c r="R674" s="32" t="n">
        <v>0.1251</v>
      </c>
      <c r="S674" s="31" t="n">
        <v>0</v>
      </c>
      <c r="T674" s="32" t="n">
        <v>0</v>
      </c>
      <c r="U674" s="31" t="n">
        <v>0</v>
      </c>
      <c r="V674" s="31" t="n">
        <v>0</v>
      </c>
      <c r="W674" s="3" t="n">
        <v>0</v>
      </c>
      <c r="X674" s="3" t="n">
        <v>0</v>
      </c>
      <c r="Y674" s="32" t="n">
        <v>0</v>
      </c>
      <c r="Z674" s="3" t="n">
        <v>0</v>
      </c>
      <c r="AA674" s="32" t="n">
        <v>0</v>
      </c>
      <c r="AB674" s="3" t="n"/>
      <c r="AC674" s="31" t="n">
        <v>0</v>
      </c>
      <c r="AD674" s="2" t="n">
        <v>47</v>
      </c>
      <c r="AE674" s="2" t="n">
        <v>62</v>
      </c>
      <c r="AF674" s="4" t="n">
        <v>62</v>
      </c>
      <c r="AG674" s="33" t="n">
        <v>22.98</v>
      </c>
      <c r="AH674" s="4" t="n">
        <v>1</v>
      </c>
      <c r="AI674" s="34" t="n">
        <v>0.0161</v>
      </c>
      <c r="AJ674" s="34" t="n">
        <v>1</v>
      </c>
      <c r="AK674" s="2" t="n">
        <v>13500</v>
      </c>
      <c r="AL674" t="inlineStr">
        <is>
          <t>Published</t>
        </is>
      </c>
    </row>
    <row r="675">
      <c r="A675">
        <f>HYPERLINK("https://www.walmart.com/ip/5508918359", "5508918359")</f>
        <v/>
      </c>
      <c r="B675">
        <f>HYPERLINK("https://app.optiwise.ai/catalog/itemdetails/8055874", "Tirrinia Large Insulated Cooler Bag Outdoor Leakproof Cooler Tote Portable Freezer Bag with Adjustable Shoulder Strap for Picnic, Beach")</f>
        <v/>
      </c>
      <c r="C675" t="inlineStr">
        <is>
          <t>1TRCB00224BK</t>
        </is>
      </c>
      <c r="D675" t="inlineStr">
        <is>
          <t>Cases &amp; Bags</t>
        </is>
      </c>
      <c r="E675" t="inlineStr">
        <is>
          <t>Soft-Sided Coolers</t>
        </is>
      </c>
      <c r="F675" t="inlineStr">
        <is>
          <t>Tirrinia</t>
        </is>
      </c>
      <c r="G675" t="n">
        <v>4</v>
      </c>
      <c r="H675" t="n">
        <v>2</v>
      </c>
      <c r="J675" s="29" t="n">
        <v>21.99</v>
      </c>
      <c r="K675" s="30" t="n">
        <v>0.0002</v>
      </c>
      <c r="L675" s="29" t="n">
        <v>0</v>
      </c>
      <c r="M675" s="29" t="n">
        <v>0</v>
      </c>
      <c r="N675" s="2" t="n">
        <v>1</v>
      </c>
      <c r="O675" s="31" t="n">
        <v>0</v>
      </c>
      <c r="P675" s="32" t="n"/>
      <c r="Q675" s="32" t="n">
        <v>0</v>
      </c>
      <c r="R675" s="32" t="n">
        <v>0.2725</v>
      </c>
      <c r="S675" s="31" t="n">
        <v>0</v>
      </c>
      <c r="T675" s="32" t="n">
        <v>0</v>
      </c>
      <c r="U675" s="31" t="n">
        <v>0</v>
      </c>
      <c r="V675" s="31" t="n">
        <v>0</v>
      </c>
      <c r="W675" s="3" t="n">
        <v>0</v>
      </c>
      <c r="X675" s="3" t="n">
        <v>0</v>
      </c>
      <c r="Y675" s="32" t="n">
        <v>0</v>
      </c>
      <c r="Z675" s="3" t="n">
        <v>0</v>
      </c>
      <c r="AA675" s="32" t="n">
        <v>0</v>
      </c>
      <c r="AB675" s="3" t="n"/>
      <c r="AC675" s="31" t="n">
        <v>0</v>
      </c>
      <c r="AD675" s="2" t="n">
        <v>0</v>
      </c>
      <c r="AE675" s="2" t="n">
        <v>105</v>
      </c>
      <c r="AF675" s="4" t="n">
        <v>105</v>
      </c>
      <c r="AG675" s="33" t="n">
        <v>21.99</v>
      </c>
      <c r="AH675" s="4" t="n">
        <v>1</v>
      </c>
      <c r="AI675" s="34" t="n">
        <v>0.0095</v>
      </c>
      <c r="AJ675" s="34" t="n">
        <v>1</v>
      </c>
      <c r="AK675" s="2" t="n">
        <v>13500</v>
      </c>
      <c r="AL675" t="inlineStr">
        <is>
          <t>Published</t>
        </is>
      </c>
    </row>
    <row r="676">
      <c r="A676">
        <f>HYPERLINK("https://www.walmart.com/ip/567101250", "567101250")</f>
        <v/>
      </c>
      <c r="B676">
        <f>HYPERLINK("https://app.optiwise.ai/catalog/itemdetails/360271", "Tirrinia Insulated Wine Carrier - 3 Bottle Travel Wine Carry Cooler Tote Bag with Handle and Adjustable Shoulder Strap + Free Corkscrew, Gray")</f>
        <v/>
      </c>
      <c r="C676" t="inlineStr">
        <is>
          <t>1KTWB300GY</t>
        </is>
      </c>
      <c r="D676" t="inlineStr">
        <is>
          <t>Home Decor, Kitchen, &amp; Other</t>
        </is>
      </c>
      <c r="E676" t="inlineStr">
        <is>
          <t>Wine Totes, Bags &amp; Backpacks</t>
        </is>
      </c>
      <c r="F676" t="inlineStr">
        <is>
          <t>Tirrinia</t>
        </is>
      </c>
      <c r="G676" t="n">
        <v>4.4</v>
      </c>
      <c r="H676" t="n">
        <v>5</v>
      </c>
      <c r="I676" t="inlineStr">
        <is>
          <t>Wine,SEM,Lily Brand Camp</t>
        </is>
      </c>
      <c r="J676" s="29" t="n">
        <v>21.99</v>
      </c>
      <c r="K676" s="30" t="n">
        <v>0.0002</v>
      </c>
      <c r="L676" s="29" t="n">
        <v>0</v>
      </c>
      <c r="M676" s="29" t="n">
        <v>0</v>
      </c>
      <c r="N676" s="2" t="n">
        <v>1</v>
      </c>
      <c r="O676" s="31" t="n">
        <v>0</v>
      </c>
      <c r="P676" s="32" t="n"/>
      <c r="Q676" s="32" t="n">
        <v>0</v>
      </c>
      <c r="R676" s="32" t="n">
        <v>0</v>
      </c>
      <c r="S676" s="31" t="n">
        <v>0</v>
      </c>
      <c r="T676" s="32" t="n">
        <v>0</v>
      </c>
      <c r="U676" s="31" t="n">
        <v>0</v>
      </c>
      <c r="V676" s="31" t="n">
        <v>0</v>
      </c>
      <c r="W676" s="3" t="n">
        <v>0</v>
      </c>
      <c r="X676" s="3" t="n">
        <v>0</v>
      </c>
      <c r="Y676" s="32" t="n">
        <v>0</v>
      </c>
      <c r="Z676" s="3" t="n">
        <v>0</v>
      </c>
      <c r="AA676" s="32" t="n">
        <v>0</v>
      </c>
      <c r="AB676" s="3" t="n"/>
      <c r="AC676" s="31" t="n">
        <v>0</v>
      </c>
      <c r="AD676" s="2" t="n">
        <v>0</v>
      </c>
      <c r="AE676" s="2" t="n">
        <v>24</v>
      </c>
      <c r="AF676" s="4" t="n">
        <v>24</v>
      </c>
      <c r="AG676" s="33" t="n">
        <v>21.99</v>
      </c>
      <c r="AH676" s="4" t="n">
        <v>1</v>
      </c>
      <c r="AI676" s="34" t="n">
        <v>0.0417</v>
      </c>
      <c r="AJ676" s="34" t="n">
        <v>1</v>
      </c>
      <c r="AK676" s="2" t="n">
        <v>12825</v>
      </c>
      <c r="AL676" t="inlineStr">
        <is>
          <t>Published</t>
        </is>
      </c>
    </row>
    <row r="677">
      <c r="A677">
        <f>HYPERLINK("https://www.walmart.com/ip/5609831109", "5609831109")</f>
        <v/>
      </c>
      <c r="B677">
        <f>HYPERLINK("https://app.optiwise.ai/catalog/itemdetails/9053832", "Tirrinia  Camping Cooler Bag Insulated w/ Shoulder Strap and Bottle Opener 20 Cans Portable Ice Chest for Camping Hiking Picnic Beach")</f>
        <v/>
      </c>
      <c r="C677" t="inlineStr">
        <is>
          <t>1TRCB00130BK</t>
        </is>
      </c>
      <c r="D677" t="inlineStr">
        <is>
          <t>Sport &amp; Recreation Other</t>
        </is>
      </c>
      <c r="E677" t="inlineStr">
        <is>
          <t>Soft-Sided Coolers</t>
        </is>
      </c>
      <c r="F677" t="inlineStr">
        <is>
          <t>Tirrinia</t>
        </is>
      </c>
      <c r="G677" t="n">
        <v>0</v>
      </c>
      <c r="H677" t="n">
        <v>0</v>
      </c>
      <c r="J677" s="29" t="n">
        <v>21.99</v>
      </c>
      <c r="K677" s="30" t="n">
        <v>0.0002</v>
      </c>
      <c r="L677" s="29" t="n">
        <v>21.98999977111816</v>
      </c>
      <c r="M677" s="29" t="n">
        <v>0</v>
      </c>
      <c r="N677" s="2" t="n">
        <v>1</v>
      </c>
      <c r="O677" s="31" t="n">
        <v>0</v>
      </c>
      <c r="P677" s="32" t="n"/>
      <c r="Q677" s="32" t="n">
        <v>0</v>
      </c>
      <c r="R677" s="32" t="n">
        <v>0</v>
      </c>
      <c r="S677" s="31" t="n">
        <v>0</v>
      </c>
      <c r="T677" s="32" t="n">
        <v>0</v>
      </c>
      <c r="U677" s="31" t="n">
        <v>0</v>
      </c>
      <c r="V677" s="31" t="n">
        <v>0</v>
      </c>
      <c r="W677" s="3" t="n">
        <v>0</v>
      </c>
      <c r="X677" s="3" t="n">
        <v>0</v>
      </c>
      <c r="Y677" s="32" t="n">
        <v>0</v>
      </c>
      <c r="Z677" s="3" t="n">
        <v>0</v>
      </c>
      <c r="AA677" s="32" t="n">
        <v>0</v>
      </c>
      <c r="AB677" s="3" t="n"/>
      <c r="AC677" s="31" t="n">
        <v>0</v>
      </c>
      <c r="AD677" s="2" t="n">
        <v>0</v>
      </c>
      <c r="AE677" s="2" t="n">
        <v>34</v>
      </c>
      <c r="AF677" s="4" t="n">
        <v>34</v>
      </c>
      <c r="AG677" s="33" t="n">
        <v>21.99</v>
      </c>
      <c r="AH677" s="4" t="n">
        <v>1</v>
      </c>
      <c r="AI677" s="34" t="n">
        <v>0.0294</v>
      </c>
      <c r="AJ677" s="34" t="n">
        <v>1</v>
      </c>
      <c r="AK677" s="2" t="n">
        <v>13500</v>
      </c>
      <c r="AL677" t="inlineStr">
        <is>
          <t>Published</t>
        </is>
      </c>
    </row>
    <row r="678">
      <c r="A678">
        <f>HYPERLINK("https://www.walmart.com/ip/160845649", "160845649")</f>
        <v/>
      </c>
      <c r="B678">
        <f>HYPERLINK("https://app.optiwise.ai/catalog/itemdetails/360373", "Tirrinia Insulated Wine Carrier Tote, Travel Padded 2 Bottle Wine/Champagne Cooler Bag with Handle and Adjustable Shoulder Strap + Free Corkscrew, Great Wine Lover Gift, Spiral Pattern")</f>
        <v/>
      </c>
      <c r="C678" t="inlineStr">
        <is>
          <t>1KTWB210SPIRAL</t>
        </is>
      </c>
      <c r="D678" t="inlineStr">
        <is>
          <t>Home Decor, Kitchen, &amp; Other</t>
        </is>
      </c>
      <c r="E678" t="inlineStr">
        <is>
          <t>Wine Totes, Bags &amp; Backpacks</t>
        </is>
      </c>
      <c r="F678" t="inlineStr">
        <is>
          <t>Tirrinia</t>
        </is>
      </c>
      <c r="G678" t="n">
        <v>4.8</v>
      </c>
      <c r="H678" t="n">
        <v>4</v>
      </c>
      <c r="I678" t="inlineStr">
        <is>
          <t>Wine,Christmas,WFS,Wine WFS,Valentine,Lily Brand Camp</t>
        </is>
      </c>
      <c r="J678" s="29" t="n">
        <v>21.99</v>
      </c>
      <c r="K678" s="30" t="n">
        <v>0.0002</v>
      </c>
      <c r="L678" s="29" t="n">
        <v>0</v>
      </c>
      <c r="M678" s="29" t="n">
        <v>0</v>
      </c>
      <c r="N678" s="2" t="n">
        <v>1</v>
      </c>
      <c r="O678" s="31" t="n">
        <v>1.52</v>
      </c>
      <c r="P678" s="32" t="n">
        <v>0.0002</v>
      </c>
      <c r="Q678" s="32" t="n">
        <v>0.06909999999999999</v>
      </c>
      <c r="R678" s="32" t="n">
        <v>0.1466</v>
      </c>
      <c r="S678" s="31" t="n">
        <v>14.47</v>
      </c>
      <c r="T678" s="32" t="n">
        <v>0.07000000000000001</v>
      </c>
      <c r="U678" s="31" t="n">
        <v>21.99</v>
      </c>
      <c r="V678" s="31" t="n">
        <v>21.99</v>
      </c>
      <c r="W678" s="3" t="n">
        <v>5179</v>
      </c>
      <c r="X678" s="3" t="n">
        <v>5</v>
      </c>
      <c r="Y678" s="32" t="n">
        <v>0.001</v>
      </c>
      <c r="Z678" s="3" t="n">
        <v>1</v>
      </c>
      <c r="AA678" s="32" t="n">
        <v>0.2</v>
      </c>
      <c r="AB678" s="3" t="inlineStr">
        <is>
          <t>Auto Campaign_Vinay</t>
        </is>
      </c>
      <c r="AC678" s="31" t="n">
        <v>0.3</v>
      </c>
      <c r="AD678" s="2" t="n">
        <v>0</v>
      </c>
      <c r="AE678" s="2" t="n">
        <v>38</v>
      </c>
      <c r="AF678" s="4" t="n">
        <v>33</v>
      </c>
      <c r="AG678" s="33" t="n">
        <v>0</v>
      </c>
      <c r="AH678" s="4" t="n">
        <v>0</v>
      </c>
      <c r="AI678" s="34" t="n"/>
      <c r="AJ678" s="34" t="n">
        <v>0</v>
      </c>
      <c r="AK678" s="2" t="n">
        <v>13500</v>
      </c>
      <c r="AL678" t="inlineStr">
        <is>
          <t>Published</t>
        </is>
      </c>
    </row>
    <row r="679">
      <c r="A679">
        <f>HYPERLINK("https://www.walmart.com/ip/5374435927", "5374435927")</f>
        <v/>
      </c>
      <c r="B679">
        <f>HYPERLINK("https://app.optiwise.ai/catalog/itemdetails/8055319", "Solaris Surf Poncho Changing Towel Robe for Women Men, Lightweight Changing Robe with Packable Bags, Water Absorbent Wetsuit Beach Hoode Towel for Surfing Swimming")</f>
        <v/>
      </c>
      <c r="C679" t="inlineStr">
        <is>
          <t>1SLBR103-GY</t>
        </is>
      </c>
      <c r="D679" t="inlineStr">
        <is>
          <t>Home Decor, Kitchen, &amp; Other</t>
        </is>
      </c>
      <c r="E679" t="inlineStr">
        <is>
          <t>Towels &amp; Washcloths</t>
        </is>
      </c>
      <c r="F679" t="inlineStr">
        <is>
          <t>Solaris</t>
        </is>
      </c>
      <c r="G679" t="n">
        <v>0</v>
      </c>
      <c r="H679" t="n">
        <v>0</v>
      </c>
      <c r="J679" s="29" t="n">
        <v>21.99</v>
      </c>
      <c r="K679" s="30" t="n">
        <v>0.0002</v>
      </c>
      <c r="L679" s="29" t="n">
        <v>0</v>
      </c>
      <c r="M679" s="29" t="n">
        <v>0</v>
      </c>
      <c r="N679" s="2" t="n">
        <v>1</v>
      </c>
      <c r="O679" s="31" t="n">
        <v>0</v>
      </c>
      <c r="P679" s="32" t="n"/>
      <c r="Q679" s="32" t="n">
        <v>0</v>
      </c>
      <c r="R679" s="32" t="n">
        <v>0</v>
      </c>
      <c r="S679" s="31" t="n">
        <v>0</v>
      </c>
      <c r="T679" s="32" t="n">
        <v>0</v>
      </c>
      <c r="U679" s="31" t="n">
        <v>0</v>
      </c>
      <c r="V679" s="31" t="n">
        <v>0</v>
      </c>
      <c r="W679" s="3" t="n">
        <v>0</v>
      </c>
      <c r="X679" s="3" t="n">
        <v>0</v>
      </c>
      <c r="Y679" s="32" t="n">
        <v>0</v>
      </c>
      <c r="Z679" s="3" t="n">
        <v>0</v>
      </c>
      <c r="AA679" s="32" t="n">
        <v>0</v>
      </c>
      <c r="AB679" s="3" t="n"/>
      <c r="AC679" s="31" t="n">
        <v>0</v>
      </c>
      <c r="AD679" s="2" t="n">
        <v>0</v>
      </c>
      <c r="AE679" s="2" t="n">
        <v>151</v>
      </c>
      <c r="AF679" s="4" t="n">
        <v>151</v>
      </c>
      <c r="AG679" s="33" t="n">
        <v>21.99</v>
      </c>
      <c r="AH679" s="4" t="n">
        <v>1</v>
      </c>
      <c r="AI679" s="34" t="n">
        <v>0.0066</v>
      </c>
      <c r="AJ679" s="34" t="n">
        <v>1</v>
      </c>
      <c r="AK679" s="2" t="n">
        <v>13500</v>
      </c>
      <c r="AL679" t="inlineStr">
        <is>
          <t>Published</t>
        </is>
      </c>
    </row>
    <row r="680">
      <c r="A680">
        <f>HYPERLINK("https://www.walmart.com/ip/836552292", "836552292")</f>
        <v/>
      </c>
      <c r="B680">
        <f>HYPERLINK("https://app.optiwise.ai/catalog/itemdetails/360681", "Catalonia Fleece Throw Blanket for Couch, Super Soft Fuzzy Plush Blanket for Adults and Kids, All Seasons Home Decor Blanket, Machine Washable, 50x60, Beige")</f>
        <v/>
      </c>
      <c r="C680" t="inlineStr">
        <is>
          <t>1CTBF575BG</t>
        </is>
      </c>
      <c r="D680" t="inlineStr">
        <is>
          <t>Bedding</t>
        </is>
      </c>
      <c r="E680" t="inlineStr">
        <is>
          <t>Throws</t>
        </is>
      </c>
      <c r="F680" t="inlineStr">
        <is>
          <t>Catalonia</t>
        </is>
      </c>
      <c r="G680" t="n">
        <v>5</v>
      </c>
      <c r="H680" t="n">
        <v>4</v>
      </c>
      <c r="I680" t="inlineStr">
        <is>
          <t>Q2-Target,WFS,Coupon_Discount,WFS Item</t>
        </is>
      </c>
      <c r="J680" s="29" t="n">
        <v>21.99</v>
      </c>
      <c r="K680" s="30" t="n">
        <v>0.0002</v>
      </c>
      <c r="L680" s="29" t="n">
        <v>0</v>
      </c>
      <c r="M680" s="29" t="n">
        <v>0</v>
      </c>
      <c r="N680" s="2" t="n">
        <v>1</v>
      </c>
      <c r="O680" s="31" t="n">
        <v>0</v>
      </c>
      <c r="P680" s="32" t="n"/>
      <c r="Q680" s="32" t="n">
        <v>0</v>
      </c>
      <c r="R680" s="32" t="n">
        <v>0</v>
      </c>
      <c r="S680" s="31" t="n">
        <v>0</v>
      </c>
      <c r="T680" s="32" t="n">
        <v>0</v>
      </c>
      <c r="U680" s="31" t="n">
        <v>0</v>
      </c>
      <c r="V680" s="31" t="n">
        <v>0</v>
      </c>
      <c r="W680" s="3" t="n">
        <v>0</v>
      </c>
      <c r="X680" s="3" t="n">
        <v>0</v>
      </c>
      <c r="Y680" s="32" t="n">
        <v>0</v>
      </c>
      <c r="Z680" s="3" t="n">
        <v>0</v>
      </c>
      <c r="AA680" s="32" t="n">
        <v>0</v>
      </c>
      <c r="AB680" s="3" t="n"/>
      <c r="AC680" s="31" t="n">
        <v>0</v>
      </c>
      <c r="AD680" s="2" t="n">
        <v>0</v>
      </c>
      <c r="AE680" s="2" t="n">
        <v>8</v>
      </c>
      <c r="AF680" s="4" t="n">
        <v>8</v>
      </c>
      <c r="AG680" s="33" t="n">
        <v>21.99</v>
      </c>
      <c r="AH680" s="4" t="n">
        <v>1</v>
      </c>
      <c r="AI680" s="34" t="n">
        <v>0.125</v>
      </c>
      <c r="AJ680" s="34" t="n">
        <v>1</v>
      </c>
      <c r="AK680" s="2" t="n">
        <v>0</v>
      </c>
      <c r="AL680" t="inlineStr">
        <is>
          <t>Published</t>
        </is>
      </c>
    </row>
    <row r="681">
      <c r="A681">
        <f>HYPERLINK("https://www.walmart.com/ip/287921200", "287921200")</f>
        <v/>
      </c>
      <c r="B681">
        <f>HYPERLINK("https://app.optiwise.ai/catalog/itemdetails/358765", "Tirrinia Sherpa Fleece Throw Blanket, Ultra-Soft, Dual-Sided Sherpa and Mink, Grey, 50'' x 60''")</f>
        <v/>
      </c>
      <c r="C681" t="inlineStr">
        <is>
          <t>1TNBF300GY-TPB</t>
        </is>
      </c>
      <c r="D681" t="inlineStr">
        <is>
          <t>Bedding</t>
        </is>
      </c>
      <c r="E681" t="inlineStr">
        <is>
          <t>Throws</t>
        </is>
      </c>
      <c r="F681" t="inlineStr">
        <is>
          <t>Tirrinia</t>
        </is>
      </c>
      <c r="G681" t="n">
        <v>0</v>
      </c>
      <c r="H681" t="n">
        <v>0</v>
      </c>
      <c r="I681" t="inlineStr">
        <is>
          <t>Optimized,WFS,WFS Item</t>
        </is>
      </c>
      <c r="J681" s="29" t="n">
        <v>21.99</v>
      </c>
      <c r="K681" s="30" t="n">
        <v>0.0002</v>
      </c>
      <c r="L681" s="29" t="n">
        <v>0</v>
      </c>
      <c r="M681" s="29" t="n">
        <v>0</v>
      </c>
      <c r="N681" s="2" t="n">
        <v>1</v>
      </c>
      <c r="O681" s="31" t="n">
        <v>0</v>
      </c>
      <c r="P681" s="32" t="n"/>
      <c r="Q681" s="32" t="n">
        <v>0</v>
      </c>
      <c r="R681" s="32" t="n">
        <v>0</v>
      </c>
      <c r="S681" s="31" t="n">
        <v>0</v>
      </c>
      <c r="T681" s="32" t="n">
        <v>0</v>
      </c>
      <c r="U681" s="31" t="n">
        <v>0</v>
      </c>
      <c r="V681" s="31" t="n">
        <v>0</v>
      </c>
      <c r="W681" s="3" t="n">
        <v>0</v>
      </c>
      <c r="X681" s="3" t="n">
        <v>0</v>
      </c>
      <c r="Y681" s="32" t="n">
        <v>0</v>
      </c>
      <c r="Z681" s="3" t="n">
        <v>0</v>
      </c>
      <c r="AA681" s="32" t="n">
        <v>0</v>
      </c>
      <c r="AB681" s="3" t="n"/>
      <c r="AC681" s="31" t="n">
        <v>0</v>
      </c>
      <c r="AD681" s="2" t="n">
        <v>0</v>
      </c>
      <c r="AE681" s="2" t="n">
        <v>0</v>
      </c>
      <c r="AF681" s="4" t="n">
        <v>0</v>
      </c>
      <c r="AG681" s="33" t="n">
        <v>21.99</v>
      </c>
      <c r="AH681" s="4" t="n">
        <v>1</v>
      </c>
      <c r="AI681" s="34" t="n"/>
      <c r="AJ681" s="34" t="n">
        <v>1</v>
      </c>
      <c r="AK681" s="2" t="n">
        <v>13230</v>
      </c>
      <c r="AL681" t="inlineStr">
        <is>
          <t>Published</t>
        </is>
      </c>
    </row>
    <row r="682">
      <c r="A682">
        <f>HYPERLINK("https://www.walmart.com/ip/638032822", "638032822")</f>
        <v/>
      </c>
      <c r="B682">
        <f>HYPERLINK("https://app.optiwise.ai/catalog/itemdetails/361048", "Mens Underwear Mens&amp;nbsp;Boxer&amp;nbsp;Briefs with Elastic Waistband Solid New Classic Fit, 3 Pack by Terra")</f>
        <v/>
      </c>
      <c r="C682" t="inlineStr">
        <is>
          <t>TERRA-BOXER10-M</t>
        </is>
      </c>
      <c r="D682" t="inlineStr">
        <is>
          <t>Clothing</t>
        </is>
      </c>
      <c r="E682" t="inlineStr">
        <is>
          <t>Underpants</t>
        </is>
      </c>
      <c r="F682" t="inlineStr">
        <is>
          <t>Terra</t>
        </is>
      </c>
      <c r="G682" t="n">
        <v>4.6</v>
      </c>
      <c r="H682" t="n">
        <v>17</v>
      </c>
      <c r="I682" t="inlineStr">
        <is>
          <t>Batch 1 - TR</t>
        </is>
      </c>
      <c r="J682" s="29" t="n">
        <v>21.98</v>
      </c>
      <c r="K682" s="30" t="n">
        <v>0.0002</v>
      </c>
      <c r="L682" s="29" t="n">
        <v>0</v>
      </c>
      <c r="M682" s="29" t="n">
        <v>0</v>
      </c>
      <c r="N682" s="2" t="n">
        <v>2</v>
      </c>
      <c r="O682" s="31" t="n">
        <v>0</v>
      </c>
      <c r="P682" s="32" t="n"/>
      <c r="Q682" s="32" t="n">
        <v>0</v>
      </c>
      <c r="R682" s="32" t="n">
        <v>0</v>
      </c>
      <c r="S682" s="31" t="n">
        <v>0</v>
      </c>
      <c r="T682" s="32" t="n">
        <v>0</v>
      </c>
      <c r="U682" s="31" t="n">
        <v>0</v>
      </c>
      <c r="V682" s="31" t="n">
        <v>0</v>
      </c>
      <c r="W682" s="3" t="n">
        <v>0</v>
      </c>
      <c r="X682" s="3" t="n">
        <v>0</v>
      </c>
      <c r="Y682" s="32" t="n">
        <v>0</v>
      </c>
      <c r="Z682" s="3" t="n">
        <v>0</v>
      </c>
      <c r="AA682" s="32" t="n">
        <v>0</v>
      </c>
      <c r="AB682" s="3" t="n"/>
      <c r="AC682" s="31" t="n">
        <v>0</v>
      </c>
      <c r="AD682" s="2" t="n">
        <v>0</v>
      </c>
      <c r="AE682" s="2" t="n">
        <v>28</v>
      </c>
      <c r="AF682" s="4" t="n">
        <v>28</v>
      </c>
      <c r="AG682" s="33" t="n">
        <v>21.98</v>
      </c>
      <c r="AH682" s="4" t="n">
        <v>2</v>
      </c>
      <c r="AI682" s="34" t="n">
        <v>0.07140000000000001</v>
      </c>
      <c r="AJ682" s="34" t="n">
        <v>1</v>
      </c>
      <c r="AK682" s="2" t="n">
        <v>0</v>
      </c>
      <c r="AL682" t="inlineStr">
        <is>
          <t>Published</t>
        </is>
      </c>
    </row>
    <row r="683">
      <c r="A683">
        <f>HYPERLINK("https://www.walmart.com/ip/609276653", "609276653")</f>
        <v/>
      </c>
      <c r="B683">
        <f>HYPERLINK("https://app.optiwise.ai/catalog/itemdetails/361150", "Terra Men Boxer Brief Underwear Best 3 Pack Most Comfortable Cotton Trunk Short")</f>
        <v/>
      </c>
      <c r="C683" t="inlineStr">
        <is>
          <t>TERRA-BOXER10-L</t>
        </is>
      </c>
      <c r="D683" t="inlineStr">
        <is>
          <t>Clothing</t>
        </is>
      </c>
      <c r="E683" t="inlineStr">
        <is>
          <t>Underpants</t>
        </is>
      </c>
      <c r="F683" t="inlineStr">
        <is>
          <t>Terra</t>
        </is>
      </c>
      <c r="G683" t="n">
        <v>0</v>
      </c>
      <c r="H683" t="n">
        <v>0</v>
      </c>
      <c r="I683" t="inlineStr">
        <is>
          <t>Batch 1 - TR</t>
        </is>
      </c>
      <c r="J683" s="29" t="n">
        <v>21.98</v>
      </c>
      <c r="K683" s="30" t="n">
        <v>0.0002</v>
      </c>
      <c r="L683" s="29" t="n">
        <v>0</v>
      </c>
      <c r="M683" s="29" t="n">
        <v>0</v>
      </c>
      <c r="N683" s="2" t="n">
        <v>2</v>
      </c>
      <c r="O683" s="31" t="n">
        <v>0</v>
      </c>
      <c r="P683" s="32" t="n"/>
      <c r="Q683" s="32" t="n">
        <v>0</v>
      </c>
      <c r="R683" s="32" t="n">
        <v>0</v>
      </c>
      <c r="S683" s="31" t="n">
        <v>0</v>
      </c>
      <c r="T683" s="32" t="n">
        <v>0</v>
      </c>
      <c r="U683" s="31" t="n">
        <v>0</v>
      </c>
      <c r="V683" s="31" t="n">
        <v>0</v>
      </c>
      <c r="W683" s="3" t="n">
        <v>0</v>
      </c>
      <c r="X683" s="3" t="n">
        <v>0</v>
      </c>
      <c r="Y683" s="32" t="n">
        <v>0</v>
      </c>
      <c r="Z683" s="3" t="n">
        <v>0</v>
      </c>
      <c r="AA683" s="32" t="n">
        <v>0</v>
      </c>
      <c r="AB683" s="3" t="n"/>
      <c r="AC683" s="31" t="n">
        <v>0</v>
      </c>
      <c r="AD683" s="2" t="n">
        <v>0</v>
      </c>
      <c r="AE683" s="2" t="n">
        <v>31</v>
      </c>
      <c r="AF683" s="4" t="n">
        <v>31</v>
      </c>
      <c r="AG683" s="33" t="n">
        <v>21.98</v>
      </c>
      <c r="AH683" s="4" t="n">
        <v>2</v>
      </c>
      <c r="AI683" s="34" t="n">
        <v>0.0645</v>
      </c>
      <c r="AJ683" s="34" t="n">
        <v>1</v>
      </c>
      <c r="AK683" s="2" t="n">
        <v>6750</v>
      </c>
      <c r="AL683" t="inlineStr">
        <is>
          <t>Published</t>
        </is>
      </c>
    </row>
    <row r="684">
      <c r="A684">
        <f>HYPERLINK("https://www.walmart.com/ip/160777915", "160777915")</f>
        <v/>
      </c>
      <c r="B684">
        <f>HYPERLINK("https://app.optiwise.ai/catalog/itemdetails/361485", "JenniWears Women's Beileise Sexy Suspender Pantyhose Stockings Black Socks")</f>
        <v/>
      </c>
      <c r="C684" t="inlineStr">
        <is>
          <t>JWBLSPH2010</t>
        </is>
      </c>
      <c r="D684" t="inlineStr">
        <is>
          <t>Clothing</t>
        </is>
      </c>
      <c r="E684" t="inlineStr">
        <is>
          <t>Pantyhose &amp; Tights</t>
        </is>
      </c>
      <c r="F684" t="inlineStr">
        <is>
          <t>JenniWears</t>
        </is>
      </c>
      <c r="G684" t="n">
        <v>0</v>
      </c>
      <c r="H684" t="n">
        <v>0</v>
      </c>
      <c r="I684" t="inlineStr">
        <is>
          <t>Valentine</t>
        </is>
      </c>
      <c r="J684" s="29" t="n">
        <v>21.97</v>
      </c>
      <c r="K684" s="30" t="n">
        <v>0.0002</v>
      </c>
      <c r="L684" s="29" t="n">
        <v>0</v>
      </c>
      <c r="M684" s="29" t="n">
        <v>0</v>
      </c>
      <c r="N684" s="2" t="n">
        <v>3</v>
      </c>
      <c r="O684" s="31" t="n">
        <v>0</v>
      </c>
      <c r="P684" s="32" t="n"/>
      <c r="Q684" s="32" t="n">
        <v>0</v>
      </c>
      <c r="R684" s="32" t="n">
        <v>0</v>
      </c>
      <c r="S684" s="31" t="n">
        <v>0</v>
      </c>
      <c r="T684" s="32" t="n">
        <v>0</v>
      </c>
      <c r="U684" s="31" t="n">
        <v>0</v>
      </c>
      <c r="V684" s="31" t="n">
        <v>0</v>
      </c>
      <c r="W684" s="3" t="n">
        <v>0</v>
      </c>
      <c r="X684" s="3" t="n">
        <v>0</v>
      </c>
      <c r="Y684" s="32" t="n">
        <v>0</v>
      </c>
      <c r="Z684" s="3" t="n">
        <v>0</v>
      </c>
      <c r="AA684" s="32" t="n">
        <v>0</v>
      </c>
      <c r="AB684" s="3" t="n"/>
      <c r="AC684" s="31" t="n">
        <v>0</v>
      </c>
      <c r="AD684" s="2" t="n">
        <v>34</v>
      </c>
      <c r="AE684" s="2" t="n">
        <v>55</v>
      </c>
      <c r="AF684" s="4" t="n">
        <v>55</v>
      </c>
      <c r="AG684" s="33" t="n">
        <v>21.97</v>
      </c>
      <c r="AH684" s="4" t="n">
        <v>3</v>
      </c>
      <c r="AI684" s="34" t="n">
        <v>0.0545</v>
      </c>
      <c r="AJ684" s="34" t="n">
        <v>1</v>
      </c>
      <c r="AK684" s="2" t="n">
        <v>4500</v>
      </c>
      <c r="AL684" t="inlineStr">
        <is>
          <t>Published</t>
        </is>
      </c>
    </row>
    <row r="685">
      <c r="A685">
        <f>HYPERLINK("https://www.walmart.com/ip/893930725", "893930725")</f>
        <v/>
      </c>
      <c r="B685">
        <f>HYPERLINK("https://app.optiwise.ai/catalog/itemdetails/360581", "Pawsse Sherpa Fleece Blanket for Small Dogs and Kitten, Warm Flannel Plush Pet Bed Blanket, Reversible, Wine/Tan, 45 x 30")</f>
        <v/>
      </c>
      <c r="C685" t="inlineStr">
        <is>
          <t>1TRBF345WNTA</t>
        </is>
      </c>
      <c r="D685" t="inlineStr">
        <is>
          <t>Animal Accessories</t>
        </is>
      </c>
      <c r="E685" t="inlineStr">
        <is>
          <t>Pet Blankets</t>
        </is>
      </c>
      <c r="F685" t="inlineStr">
        <is>
          <t>Pawsse</t>
        </is>
      </c>
      <c r="G685" t="n">
        <v>5</v>
      </c>
      <c r="H685" t="n">
        <v>2</v>
      </c>
      <c r="I685" t="inlineStr">
        <is>
          <t>Batch 1 - TR</t>
        </is>
      </c>
      <c r="J685" s="29" t="n">
        <v>21.96</v>
      </c>
      <c r="K685" s="30" t="n">
        <v>0.0002</v>
      </c>
      <c r="L685" s="29" t="n">
        <v>0</v>
      </c>
      <c r="M685" s="29" t="n">
        <v>0</v>
      </c>
      <c r="N685" s="2" t="n">
        <v>2</v>
      </c>
      <c r="O685" s="31" t="n">
        <v>0</v>
      </c>
      <c r="P685" s="32" t="n"/>
      <c r="Q685" s="32" t="n">
        <v>0</v>
      </c>
      <c r="R685" s="32" t="n">
        <v>0</v>
      </c>
      <c r="S685" s="31" t="n">
        <v>0</v>
      </c>
      <c r="T685" s="32" t="n">
        <v>0</v>
      </c>
      <c r="U685" s="31" t="n">
        <v>0</v>
      </c>
      <c r="V685" s="31" t="n">
        <v>0</v>
      </c>
      <c r="W685" s="3" t="n">
        <v>0</v>
      </c>
      <c r="X685" s="3" t="n">
        <v>0</v>
      </c>
      <c r="Y685" s="32" t="n">
        <v>0</v>
      </c>
      <c r="Z685" s="3" t="n">
        <v>0</v>
      </c>
      <c r="AA685" s="32" t="n">
        <v>0</v>
      </c>
      <c r="AB685" s="3" t="n"/>
      <c r="AC685" s="31" t="n">
        <v>0</v>
      </c>
      <c r="AD685" s="2" t="n">
        <v>0</v>
      </c>
      <c r="AE685" s="2" t="n">
        <v>0</v>
      </c>
      <c r="AF685" s="4" t="n">
        <v>0</v>
      </c>
      <c r="AG685" s="33" t="n">
        <v>21.96</v>
      </c>
      <c r="AH685" s="4" t="n">
        <v>2</v>
      </c>
      <c r="AI685" s="34" t="n"/>
      <c r="AJ685" s="34" t="n">
        <v>1</v>
      </c>
      <c r="AK685" s="2" t="n">
        <v>2970</v>
      </c>
      <c r="AL685" t="inlineStr">
        <is>
          <t>Published</t>
        </is>
      </c>
    </row>
    <row r="686">
      <c r="A686">
        <f>HYPERLINK("https://www.walmart.com/ip/1981846072", "1981846072")</f>
        <v/>
      </c>
      <c r="B686">
        <f>HYPERLINK("https://app.optiwise.ai/catalog/itemdetails/1173608", "Tirrinia 2 Bottle Wine Tote Carrier - Insulated &amp; Padded Versatile Cooler Bag for Travel, BYOB Restaurant, Wine Tasting, Party, Great Gift for Wine Lover, Purple")</f>
        <v/>
      </c>
      <c r="C686" t="inlineStr">
        <is>
          <t>1TRWB221PP</t>
        </is>
      </c>
      <c r="D686" t="inlineStr">
        <is>
          <t>Home Decor, Kitchen, &amp; Other</t>
        </is>
      </c>
      <c r="E686" t="inlineStr">
        <is>
          <t>Wine Totes, Bags &amp; Backpacks</t>
        </is>
      </c>
      <c r="F686" t="inlineStr">
        <is>
          <t>Tirrinia</t>
        </is>
      </c>
      <c r="G686" t="n">
        <v>4</v>
      </c>
      <c r="H686" t="n">
        <v>6</v>
      </c>
      <c r="I686" t="inlineStr">
        <is>
          <t>Wine,SEM,Batch 1 - TR</t>
        </is>
      </c>
      <c r="J686" s="29" t="n">
        <v>20.99</v>
      </c>
      <c r="K686" s="30" t="n">
        <v>0.0002</v>
      </c>
      <c r="L686" s="29" t="n">
        <v>0</v>
      </c>
      <c r="M686" s="29" t="n">
        <v>0</v>
      </c>
      <c r="N686" s="2" t="n">
        <v>1</v>
      </c>
      <c r="O686" s="31" t="n">
        <v>25.27</v>
      </c>
      <c r="P686" s="32" t="n">
        <v>0.003</v>
      </c>
      <c r="Q686" s="32" t="n">
        <v>1.2039</v>
      </c>
      <c r="R686" s="32" t="n">
        <v>0.1183</v>
      </c>
      <c r="S686" s="31" t="n">
        <v>2.14</v>
      </c>
      <c r="T686" s="32" t="n">
        <v>0.47</v>
      </c>
      <c r="U686" s="31" t="n">
        <v>53.97</v>
      </c>
      <c r="V686" s="31" t="n">
        <v>53.97</v>
      </c>
      <c r="W686" s="3" t="n">
        <v>31703</v>
      </c>
      <c r="X686" s="3" t="n">
        <v>52</v>
      </c>
      <c r="Y686" s="32" t="n">
        <v>0.0016</v>
      </c>
      <c r="Z686" s="3" t="n">
        <v>3</v>
      </c>
      <c r="AA686" s="32" t="n">
        <v>0.0577</v>
      </c>
      <c r="AB686" s="3" t="inlineStr">
        <is>
          <t>All Items_Auto_Optiwise_24,Auto Campaign_Vinay</t>
        </is>
      </c>
      <c r="AC686" s="31" t="n">
        <v>0.49</v>
      </c>
      <c r="AD686" s="2" t="n">
        <v>0</v>
      </c>
      <c r="AE686" s="2" t="n">
        <v>85</v>
      </c>
      <c r="AF686" s="4" t="n">
        <v>33</v>
      </c>
      <c r="AG686" s="33" t="n">
        <v>-32.98</v>
      </c>
      <c r="AH686" s="4" t="n">
        <v>-2</v>
      </c>
      <c r="AI686" s="34" t="n">
        <v>-0.0606</v>
      </c>
      <c r="AJ686" s="34" t="n">
        <v>-1.5712</v>
      </c>
      <c r="AK686" s="2" t="n">
        <v>2835</v>
      </c>
      <c r="AL686" t="inlineStr">
        <is>
          <t>Published</t>
        </is>
      </c>
    </row>
    <row r="687">
      <c r="A687">
        <f>HYPERLINK("https://www.walmart.com/ip/186885089", "186885089")</f>
        <v/>
      </c>
      <c r="B687">
        <f>HYPERLINK("https://app.optiwise.ai/catalog/itemdetails/360912", "Sherpa Fleece Throw Blanket, Cozy Fuzzy Jacquard Blanket for the Couch Bed | Fluffy Comfy Warm Heavy Throws | Comfort Caring Gift, 50x60 inches")</f>
        <v/>
      </c>
      <c r="C687" t="inlineStr">
        <is>
          <t>1CTBF573HPSOLE</t>
        </is>
      </c>
      <c r="D687" t="inlineStr">
        <is>
          <t>Bedding</t>
        </is>
      </c>
      <c r="E687" t="inlineStr">
        <is>
          <t>Throws</t>
        </is>
      </c>
      <c r="F687" t="inlineStr">
        <is>
          <t>Catalonia</t>
        </is>
      </c>
      <c r="G687" t="n">
        <v>4.7</v>
      </c>
      <c r="H687" t="n">
        <v>0</v>
      </c>
      <c r="I687" t="inlineStr">
        <is>
          <t>Q2-Target,Coupon_Discount,Batch 1 - TR</t>
        </is>
      </c>
      <c r="J687" s="29" t="n">
        <v>20.99</v>
      </c>
      <c r="K687" s="30" t="n">
        <v>0.0002</v>
      </c>
      <c r="L687" s="29" t="n">
        <v>0</v>
      </c>
      <c r="M687" s="29" t="n">
        <v>0</v>
      </c>
      <c r="N687" s="2" t="n">
        <v>1</v>
      </c>
      <c r="O687" s="31" t="n">
        <v>0</v>
      </c>
      <c r="P687" s="32" t="n"/>
      <c r="Q687" s="32" t="n">
        <v>0</v>
      </c>
      <c r="R687" s="32" t="n">
        <v>0</v>
      </c>
      <c r="S687" s="31" t="n">
        <v>0</v>
      </c>
      <c r="T687" s="32" t="n">
        <v>0</v>
      </c>
      <c r="U687" s="31" t="n">
        <v>0</v>
      </c>
      <c r="V687" s="31" t="n">
        <v>0</v>
      </c>
      <c r="W687" s="3" t="n">
        <v>0</v>
      </c>
      <c r="X687" s="3" t="n">
        <v>0</v>
      </c>
      <c r="Y687" s="32" t="n">
        <v>0</v>
      </c>
      <c r="Z687" s="3" t="n">
        <v>0</v>
      </c>
      <c r="AA687" s="32" t="n">
        <v>0</v>
      </c>
      <c r="AB687" s="3" t="n"/>
      <c r="AC687" s="31" t="n">
        <v>0</v>
      </c>
      <c r="AD687" s="2" t="n">
        <v>0</v>
      </c>
      <c r="AE687" s="2" t="n">
        <v>26</v>
      </c>
      <c r="AF687" s="4" t="n">
        <v>26</v>
      </c>
      <c r="AG687" s="33" t="n">
        <v>20.99</v>
      </c>
      <c r="AH687" s="4" t="n">
        <v>1</v>
      </c>
      <c r="AI687" s="34" t="n">
        <v>0.0385</v>
      </c>
      <c r="AJ687" s="34" t="n">
        <v>1</v>
      </c>
      <c r="AK687" s="2" t="n">
        <v>13500</v>
      </c>
      <c r="AL687" t="inlineStr">
        <is>
          <t>Published</t>
        </is>
      </c>
    </row>
    <row r="688">
      <c r="A688">
        <f>HYPERLINK("https://www.walmart.com/ip/414774668", "414774668")</f>
        <v/>
      </c>
      <c r="B688">
        <f>HYPERLINK("https://app.optiwise.ai/catalog/itemdetails/995390", "Napa Super Soft Velvet Plush Throw Blanket, Reversible Fuzzy Solid Blanket, All Season Bed Throw TV Blanket, Light Grey, 50'' x 70''")</f>
        <v/>
      </c>
      <c r="C688" t="inlineStr">
        <is>
          <t>K8023LGY</t>
        </is>
      </c>
      <c r="D688" t="inlineStr">
        <is>
          <t>Home - Home Decor, Kitchen, &amp; Other</t>
        </is>
      </c>
      <c r="E688" t="inlineStr">
        <is>
          <t>Throws</t>
        </is>
      </c>
      <c r="F688" t="inlineStr">
        <is>
          <t>NAPA</t>
        </is>
      </c>
      <c r="G688" t="n">
        <v>5</v>
      </c>
      <c r="H688" t="n">
        <v>2</v>
      </c>
      <c r="J688" s="29" t="n">
        <v>20.99</v>
      </c>
      <c r="K688" s="30" t="n">
        <v>0.0002</v>
      </c>
      <c r="L688" s="29" t="n">
        <v>0</v>
      </c>
      <c r="M688" s="29" t="n">
        <v>0</v>
      </c>
      <c r="N688" s="2" t="n">
        <v>1</v>
      </c>
      <c r="O688" s="31" t="n">
        <v>0</v>
      </c>
      <c r="P688" s="32" t="n"/>
      <c r="Q688" s="32" t="n">
        <v>0</v>
      </c>
      <c r="R688" s="32" t="n">
        <v>0</v>
      </c>
      <c r="S688" s="31" t="n">
        <v>0</v>
      </c>
      <c r="T688" s="32" t="n">
        <v>0</v>
      </c>
      <c r="U688" s="31" t="n">
        <v>0</v>
      </c>
      <c r="V688" s="31" t="n">
        <v>0</v>
      </c>
      <c r="W688" s="3" t="n">
        <v>0</v>
      </c>
      <c r="X688" s="3" t="n">
        <v>0</v>
      </c>
      <c r="Y688" s="32" t="n">
        <v>0</v>
      </c>
      <c r="Z688" s="3" t="n">
        <v>0</v>
      </c>
      <c r="AA688" s="32" t="n">
        <v>0</v>
      </c>
      <c r="AB688" s="3" t="n"/>
      <c r="AC688" s="31" t="n">
        <v>0</v>
      </c>
      <c r="AD688" s="2" t="n">
        <v>0</v>
      </c>
      <c r="AE688" s="2" t="n">
        <v>8</v>
      </c>
      <c r="AF688" s="4" t="n">
        <v>8</v>
      </c>
      <c r="AG688" s="33" t="n">
        <v>20.99</v>
      </c>
      <c r="AH688" s="4" t="n">
        <v>1</v>
      </c>
      <c r="AI688" s="34" t="n">
        <v>0.125</v>
      </c>
      <c r="AJ688" s="34" t="n">
        <v>1</v>
      </c>
      <c r="AK688" s="2" t="n">
        <v>2970</v>
      </c>
      <c r="AL688" t="inlineStr">
        <is>
          <t>Published</t>
        </is>
      </c>
    </row>
    <row r="689">
      <c r="A689">
        <f>HYPERLINK("https://www.walmart.com/ip/616466620", "616466620")</f>
        <v/>
      </c>
      <c r="B689">
        <f>HYPERLINK("https://app.optiwise.ai/catalog/itemdetails/360394", "Tirrinia Buffalo Plaid Fleece Blanket, Super Soft Warm Comfy Flannel Fleece for Bedding, Couch Cabin Throw, Decorative Blankets, Black &amp; Grey, TV Throw Measures 50 x 60")</f>
        <v/>
      </c>
      <c r="C689" t="inlineStr">
        <is>
          <t>1TRBF576PBK</t>
        </is>
      </c>
      <c r="D689" t="inlineStr">
        <is>
          <t>Bedding</t>
        </is>
      </c>
      <c r="E689" t="inlineStr">
        <is>
          <t>Throws</t>
        </is>
      </c>
      <c r="F689" t="inlineStr">
        <is>
          <t>Tirrinia</t>
        </is>
      </c>
      <c r="G689" t="n">
        <v>0</v>
      </c>
      <c r="H689" t="n">
        <v>0</v>
      </c>
      <c r="I689" t="inlineStr">
        <is>
          <t>Q2-Target,WFS,Coupon_Discount,SeePriceInCart,WFS Item,Fleece Blankets</t>
        </is>
      </c>
      <c r="J689" s="29" t="n">
        <v>20.99</v>
      </c>
      <c r="K689" s="30" t="n">
        <v>0.0002</v>
      </c>
      <c r="L689" s="29" t="n">
        <v>0</v>
      </c>
      <c r="M689" s="29" t="n">
        <v>0</v>
      </c>
      <c r="N689" s="2" t="n">
        <v>1</v>
      </c>
      <c r="O689" s="31" t="n">
        <v>0</v>
      </c>
      <c r="P689" s="32" t="n"/>
      <c r="Q689" s="32" t="n">
        <v>0</v>
      </c>
      <c r="R689" s="32" t="n">
        <v>0</v>
      </c>
      <c r="S689" s="31" t="n">
        <v>0</v>
      </c>
      <c r="T689" s="32" t="n">
        <v>0</v>
      </c>
      <c r="U689" s="31" t="n">
        <v>0</v>
      </c>
      <c r="V689" s="31" t="n">
        <v>0</v>
      </c>
      <c r="W689" s="3" t="n">
        <v>0</v>
      </c>
      <c r="X689" s="3" t="n">
        <v>0</v>
      </c>
      <c r="Y689" s="32" t="n">
        <v>0</v>
      </c>
      <c r="Z689" s="3" t="n">
        <v>0</v>
      </c>
      <c r="AA689" s="32" t="n">
        <v>0</v>
      </c>
      <c r="AB689" s="3" t="n"/>
      <c r="AC689" s="31" t="n">
        <v>0</v>
      </c>
      <c r="AD689" s="2" t="n">
        <v>3</v>
      </c>
      <c r="AE689" s="2" t="n">
        <v>33</v>
      </c>
      <c r="AF689" s="4" t="n">
        <v>33</v>
      </c>
      <c r="AG689" s="33" t="n">
        <v>20.99</v>
      </c>
      <c r="AH689" s="4" t="n">
        <v>1</v>
      </c>
      <c r="AI689" s="34" t="n">
        <v>0.0303</v>
      </c>
      <c r="AJ689" s="34" t="n">
        <v>1</v>
      </c>
      <c r="AK689" s="2" t="n">
        <v>13500</v>
      </c>
      <c r="AL689" t="inlineStr">
        <is>
          <t>Published</t>
        </is>
      </c>
    </row>
    <row r="690">
      <c r="A690">
        <f>HYPERLINK("https://www.walmart.com/ip/836818708", "836818708")</f>
        <v/>
      </c>
      <c r="B690">
        <f>HYPERLINK("https://app.optiwise.ai/catalog/itemdetails/361781", "Tirrinia 6 Bottle Wine cooler bag - Insulated Padded Portable Versatile Wine Carrier Tote Bag for Travel, BYOB Restaurant, Wine Tasting, Party, Christmas Gift for Wine Lover, Grey")</f>
        <v/>
      </c>
      <c r="C690" t="inlineStr">
        <is>
          <t>1WMWB602GY</t>
        </is>
      </c>
      <c r="D690" t="inlineStr">
        <is>
          <t>Home Decor, Kitchen, &amp; Other</t>
        </is>
      </c>
      <c r="E690" t="inlineStr">
        <is>
          <t>Wine Totes, Bags &amp; Backpacks</t>
        </is>
      </c>
      <c r="F690" t="inlineStr">
        <is>
          <t>Flyingstar</t>
        </is>
      </c>
      <c r="G690" t="n">
        <v>5</v>
      </c>
      <c r="H690" t="n">
        <v>1</v>
      </c>
      <c r="I690" t="inlineStr">
        <is>
          <t>Wine,Christmas,Optimized,Wine WFS,Valentine,SEM</t>
        </is>
      </c>
      <c r="J690" s="29" t="n">
        <v>20.99</v>
      </c>
      <c r="K690" s="30" t="n">
        <v>0.0002</v>
      </c>
      <c r="L690" s="29" t="n">
        <v>0</v>
      </c>
      <c r="M690" s="29" t="n">
        <v>0</v>
      </c>
      <c r="N690" s="2" t="n">
        <v>1</v>
      </c>
      <c r="O690" s="31" t="n">
        <v>0</v>
      </c>
      <c r="P690" s="32" t="n"/>
      <c r="Q690" s="32" t="n">
        <v>0</v>
      </c>
      <c r="R690" s="32" t="n">
        <v>0.0281</v>
      </c>
      <c r="S690" s="31" t="n">
        <v>0</v>
      </c>
      <c r="T690" s="32" t="n">
        <v>0</v>
      </c>
      <c r="U690" s="31" t="n">
        <v>0</v>
      </c>
      <c r="V690" s="31" t="n">
        <v>0</v>
      </c>
      <c r="W690" s="3" t="n">
        <v>0</v>
      </c>
      <c r="X690" s="3" t="n">
        <v>0</v>
      </c>
      <c r="Y690" s="32" t="n">
        <v>0</v>
      </c>
      <c r="Z690" s="3" t="n">
        <v>0</v>
      </c>
      <c r="AA690" s="32" t="n">
        <v>0</v>
      </c>
      <c r="AB690" s="3" t="n"/>
      <c r="AC690" s="31" t="n">
        <v>0</v>
      </c>
      <c r="AD690" s="2" t="n">
        <v>0</v>
      </c>
      <c r="AE690" s="2" t="n">
        <v>40</v>
      </c>
      <c r="AF690" s="4" t="n">
        <v>40</v>
      </c>
      <c r="AG690" s="33" t="n">
        <v>20.99</v>
      </c>
      <c r="AH690" s="4" t="n">
        <v>1</v>
      </c>
      <c r="AI690" s="34" t="n">
        <v>0.025</v>
      </c>
      <c r="AJ690" s="34" t="n">
        <v>1</v>
      </c>
      <c r="AK690" s="2" t="n">
        <v>13500</v>
      </c>
      <c r="AL690" t="inlineStr">
        <is>
          <t>Published</t>
        </is>
      </c>
    </row>
    <row r="691">
      <c r="A691">
        <f>HYPERLINK("https://www.walmart.com/ip/328567104", "328567104")</f>
        <v/>
      </c>
      <c r="B691">
        <f>HYPERLINK("https://app.optiwise.ai/catalog/itemdetails/361589", "6 Bottle Wine Carrier - Insulated &amp; Padded Wine Carrying Cooler Tote Bag with Handle and Adjustable Shoulder Strap for Travel or Picnic, IDEAL Wine Lover Gift, Wine")</f>
        <v/>
      </c>
      <c r="C691" t="inlineStr">
        <is>
          <t>1TRWB620WN</t>
        </is>
      </c>
      <c r="D691" t="inlineStr">
        <is>
          <t>Home Decor, Kitchen, &amp; Other</t>
        </is>
      </c>
      <c r="E691" t="inlineStr">
        <is>
          <t>Wine Totes, Bags &amp; Backpacks</t>
        </is>
      </c>
      <c r="F691" t="inlineStr">
        <is>
          <t>Tirrinia</t>
        </is>
      </c>
      <c r="G691" t="n">
        <v>0</v>
      </c>
      <c r="H691" t="n">
        <v>0</v>
      </c>
      <c r="I691" t="inlineStr">
        <is>
          <t>Wine,Christmas,WFS,Wine WFS,Valentine,SEM,WFS Item,Lily Brand Camp</t>
        </is>
      </c>
      <c r="J691" s="29" t="n">
        <v>20.99</v>
      </c>
      <c r="K691" s="30" t="n">
        <v>0.0002</v>
      </c>
      <c r="L691" s="29" t="n">
        <v>0</v>
      </c>
      <c r="M691" s="29" t="n">
        <v>0</v>
      </c>
      <c r="N691" s="2" t="n">
        <v>1</v>
      </c>
      <c r="O691" s="31" t="n">
        <v>0</v>
      </c>
      <c r="P691" s="32" t="n"/>
      <c r="Q691" s="32" t="n">
        <v>0</v>
      </c>
      <c r="R691" s="32" t="n">
        <v>0</v>
      </c>
      <c r="S691" s="31" t="n">
        <v>0</v>
      </c>
      <c r="T691" s="32" t="n">
        <v>0</v>
      </c>
      <c r="U691" s="31" t="n">
        <v>0</v>
      </c>
      <c r="V691" s="31" t="n">
        <v>0</v>
      </c>
      <c r="W691" s="3" t="n">
        <v>0</v>
      </c>
      <c r="X691" s="3" t="n">
        <v>0</v>
      </c>
      <c r="Y691" s="32" t="n">
        <v>0</v>
      </c>
      <c r="Z691" s="3" t="n">
        <v>0</v>
      </c>
      <c r="AA691" s="32" t="n">
        <v>0</v>
      </c>
      <c r="AB691" s="3" t="n"/>
      <c r="AC691" s="31" t="n">
        <v>0</v>
      </c>
      <c r="AD691" s="2" t="n">
        <v>0</v>
      </c>
      <c r="AE691" s="2" t="n">
        <v>41</v>
      </c>
      <c r="AF691" s="4" t="n">
        <v>41</v>
      </c>
      <c r="AG691" s="33" t="n">
        <v>20.99</v>
      </c>
      <c r="AH691" s="4" t="n">
        <v>1</v>
      </c>
      <c r="AI691" s="34" t="n">
        <v>0.0244</v>
      </c>
      <c r="AJ691" s="34" t="n">
        <v>1</v>
      </c>
      <c r="AK691" s="2" t="n">
        <v>11610</v>
      </c>
      <c r="AL691" t="inlineStr">
        <is>
          <t>Published</t>
        </is>
      </c>
    </row>
    <row r="692">
      <c r="A692">
        <f>HYPERLINK("https://www.walmart.com/ip/343487984", "343487984")</f>
        <v/>
      </c>
      <c r="B692">
        <f>HYPERLINK("https://app.optiwise.ai/catalog/itemdetails/361281", "Ski Gloves 3M Waterproof Insulated Winter Snow Mittens Gloves for Women &amp; Men Winter Sports")</f>
        <v/>
      </c>
      <c r="C692" t="inlineStr">
        <is>
          <t>1SLWG300BKM</t>
        </is>
      </c>
      <c r="D692" t="inlineStr">
        <is>
          <t>Clothing</t>
        </is>
      </c>
      <c r="E692" t="inlineStr">
        <is>
          <t>Gloves &amp; Mittens</t>
        </is>
      </c>
      <c r="F692" t="inlineStr">
        <is>
          <t>Solaris</t>
        </is>
      </c>
      <c r="G692" t="n">
        <v>0</v>
      </c>
      <c r="H692" t="n">
        <v>0</v>
      </c>
      <c r="I692" t="inlineStr">
        <is>
          <t>Optimized,Gloves</t>
        </is>
      </c>
      <c r="J692" s="29" t="n">
        <v>20.99</v>
      </c>
      <c r="K692" s="30" t="n">
        <v>0.0002</v>
      </c>
      <c r="L692" s="29" t="n">
        <v>0</v>
      </c>
      <c r="M692" s="29" t="n">
        <v>0</v>
      </c>
      <c r="N692" s="2" t="n">
        <v>1</v>
      </c>
      <c r="O692" s="31" t="n">
        <v>0</v>
      </c>
      <c r="P692" s="32" t="n"/>
      <c r="Q692" s="32" t="n">
        <v>0</v>
      </c>
      <c r="R692" s="32" t="n">
        <v>0</v>
      </c>
      <c r="S692" s="31" t="n">
        <v>0</v>
      </c>
      <c r="T692" s="32" t="n">
        <v>0</v>
      </c>
      <c r="U692" s="31" t="n">
        <v>0</v>
      </c>
      <c r="V692" s="31" t="n">
        <v>0</v>
      </c>
      <c r="W692" s="3" t="n">
        <v>0</v>
      </c>
      <c r="X692" s="3" t="n">
        <v>0</v>
      </c>
      <c r="Y692" s="32" t="n">
        <v>0</v>
      </c>
      <c r="Z692" s="3" t="n">
        <v>0</v>
      </c>
      <c r="AA692" s="32" t="n">
        <v>0</v>
      </c>
      <c r="AB692" s="3" t="n"/>
      <c r="AC692" s="31" t="n">
        <v>0</v>
      </c>
      <c r="AD692" s="2" t="n">
        <v>0</v>
      </c>
      <c r="AE692" s="2" t="n">
        <v>23</v>
      </c>
      <c r="AF692" s="4" t="n">
        <v>23</v>
      </c>
      <c r="AG692" s="33" t="n">
        <v>20.99</v>
      </c>
      <c r="AH692" s="4" t="n">
        <v>1</v>
      </c>
      <c r="AI692" s="34" t="n">
        <v>0.0435</v>
      </c>
      <c r="AJ692" s="34" t="n">
        <v>1</v>
      </c>
      <c r="AK692" s="2" t="n">
        <v>13500</v>
      </c>
      <c r="AL692" t="inlineStr">
        <is>
          <t>Published</t>
        </is>
      </c>
    </row>
    <row r="693">
      <c r="A693">
        <f>HYPERLINK("https://www.walmart.com/ip/767166581", "767166581")</f>
        <v/>
      </c>
      <c r="B693">
        <f>HYPERLINK("https://app.optiwise.ai/catalog/itemdetails/361610", "Tirrinia Insulated 2 Bottle Wine Carrier Tote Cooler Bag for Travel Picnic Padded Champagne Glass")</f>
        <v/>
      </c>
      <c r="C693" t="inlineStr">
        <is>
          <t>1TRWB230CH</t>
        </is>
      </c>
      <c r="D693" t="inlineStr">
        <is>
          <t>Home Decor, Kitchen, &amp; Other</t>
        </is>
      </c>
      <c r="E693" t="inlineStr">
        <is>
          <t>Wine Totes, Bags &amp; Backpacks</t>
        </is>
      </c>
      <c r="F693" t="inlineStr">
        <is>
          <t>Tirrinia</t>
        </is>
      </c>
      <c r="G693" t="n">
        <v>0</v>
      </c>
      <c r="H693" t="n">
        <v>0</v>
      </c>
      <c r="I693" t="inlineStr">
        <is>
          <t>Wine,Christmas,Optimized,Valentine</t>
        </is>
      </c>
      <c r="J693" s="29" t="n">
        <v>20.99</v>
      </c>
      <c r="K693" s="30" t="n">
        <v>0.0002</v>
      </c>
      <c r="L693" s="29" t="n">
        <v>0</v>
      </c>
      <c r="M693" s="29" t="n">
        <v>0</v>
      </c>
      <c r="N693" s="2" t="n">
        <v>1</v>
      </c>
      <c r="O693" s="31" t="n">
        <v>0</v>
      </c>
      <c r="P693" s="32" t="n"/>
      <c r="Q693" s="32" t="n">
        <v>0</v>
      </c>
      <c r="R693" s="32" t="n">
        <v>0</v>
      </c>
      <c r="S693" s="31" t="n">
        <v>0</v>
      </c>
      <c r="T693" s="32" t="n">
        <v>0</v>
      </c>
      <c r="U693" s="31" t="n">
        <v>0</v>
      </c>
      <c r="V693" s="31" t="n">
        <v>0</v>
      </c>
      <c r="W693" s="3" t="n">
        <v>0</v>
      </c>
      <c r="X693" s="3" t="n">
        <v>0</v>
      </c>
      <c r="Y693" s="32" t="n">
        <v>0</v>
      </c>
      <c r="Z693" s="3" t="n">
        <v>0</v>
      </c>
      <c r="AA693" s="32" t="n">
        <v>0</v>
      </c>
      <c r="AB693" s="3" t="n"/>
      <c r="AC693" s="31" t="n">
        <v>0</v>
      </c>
      <c r="AD693" s="2" t="n">
        <v>0</v>
      </c>
      <c r="AE693" s="2" t="n">
        <v>27</v>
      </c>
      <c r="AF693" s="4" t="n">
        <v>27</v>
      </c>
      <c r="AG693" s="33" t="n">
        <v>20.99</v>
      </c>
      <c r="AH693" s="4" t="n">
        <v>1</v>
      </c>
      <c r="AI693" s="34" t="n">
        <v>0.037</v>
      </c>
      <c r="AJ693" s="34" t="n">
        <v>1</v>
      </c>
      <c r="AK693" s="2" t="n">
        <v>10800</v>
      </c>
      <c r="AL693" t="inlineStr">
        <is>
          <t>Published</t>
        </is>
      </c>
    </row>
    <row r="694">
      <c r="A694">
        <f>HYPERLINK("https://www.walmart.com/ip/138327628", "138327628")</f>
        <v/>
      </c>
      <c r="B694">
        <f>HYPERLINK("https://app.optiwise.ai/catalog/itemdetails/361366", "JenniWears LED Light Up Sheer Lace Venetian Mask Floral Mardi Gras Masquerade Costume Pink")</f>
        <v/>
      </c>
      <c r="C694" t="inlineStr">
        <is>
          <t>JWLEDMK02-PK</t>
        </is>
      </c>
      <c r="D694" t="inlineStr">
        <is>
          <t>Costumes</t>
        </is>
      </c>
      <c r="E694" t="inlineStr">
        <is>
          <t>Costume Masks</t>
        </is>
      </c>
      <c r="F694" t="inlineStr">
        <is>
          <t>JenniWears</t>
        </is>
      </c>
      <c r="G694" t="n">
        <v>0</v>
      </c>
      <c r="H694" t="n">
        <v>0</v>
      </c>
      <c r="I694" t="inlineStr">
        <is>
          <t>Halloween</t>
        </is>
      </c>
      <c r="J694" s="29" t="n">
        <v>20.94</v>
      </c>
      <c r="K694" s="30" t="n">
        <v>0.0002</v>
      </c>
      <c r="L694" s="29" t="n">
        <v>0</v>
      </c>
      <c r="M694" s="29" t="n">
        <v>0</v>
      </c>
      <c r="N694" s="2" t="n">
        <v>3</v>
      </c>
      <c r="O694" s="31" t="n">
        <v>0</v>
      </c>
      <c r="P694" s="32" t="n"/>
      <c r="Q694" s="32" t="n">
        <v>0</v>
      </c>
      <c r="R694" s="32" t="n">
        <v>0</v>
      </c>
      <c r="S694" s="31" t="n">
        <v>0</v>
      </c>
      <c r="T694" s="32" t="n">
        <v>0</v>
      </c>
      <c r="U694" s="31" t="n">
        <v>0</v>
      </c>
      <c r="V694" s="31" t="n">
        <v>0</v>
      </c>
      <c r="W694" s="3" t="n">
        <v>0</v>
      </c>
      <c r="X694" s="3" t="n">
        <v>0</v>
      </c>
      <c r="Y694" s="32" t="n">
        <v>0</v>
      </c>
      <c r="Z694" s="3" t="n">
        <v>0</v>
      </c>
      <c r="AA694" s="32" t="n">
        <v>0</v>
      </c>
      <c r="AB694" s="3" t="n"/>
      <c r="AC694" s="31" t="n">
        <v>0</v>
      </c>
      <c r="AD694" s="2" t="n">
        <v>0</v>
      </c>
      <c r="AE694" s="2" t="n">
        <v>21</v>
      </c>
      <c r="AF694" s="4" t="n">
        <v>21</v>
      </c>
      <c r="AG694" s="33" t="n">
        <v>20.94</v>
      </c>
      <c r="AH694" s="4" t="n">
        <v>3</v>
      </c>
      <c r="AI694" s="34" t="n">
        <v>0.1429</v>
      </c>
      <c r="AJ694" s="34" t="n">
        <v>1</v>
      </c>
      <c r="AK694" s="2" t="n">
        <v>4500</v>
      </c>
      <c r="AL694" t="inlineStr">
        <is>
          <t>Published</t>
        </is>
      </c>
    </row>
    <row r="695">
      <c r="A695">
        <f>HYPERLINK("https://www.walmart.com/ip/943416028", "943416028")</f>
        <v/>
      </c>
      <c r="B695">
        <f>HYPERLINK("https://app.optiwise.ai/catalog/itemdetails/361748", "Ski Gloves for Women &amp; Men 3M Winter Snow Gloves Mittens Insulation Waterproof for Outdoors Sports")</f>
        <v/>
      </c>
      <c r="C695" t="inlineStr">
        <is>
          <t>1SLWG100BLM</t>
        </is>
      </c>
      <c r="D695" t="inlineStr">
        <is>
          <t>Clothing</t>
        </is>
      </c>
      <c r="E695" t="inlineStr">
        <is>
          <t>Gloves &amp; Mittens</t>
        </is>
      </c>
      <c r="F695" t="inlineStr">
        <is>
          <t>Solaris</t>
        </is>
      </c>
      <c r="G695" t="n">
        <v>0</v>
      </c>
      <c r="H695" t="n">
        <v>0</v>
      </c>
      <c r="I695" t="inlineStr">
        <is>
          <t>Gloves,Batch 1 - TR</t>
        </is>
      </c>
      <c r="J695" s="29" t="n">
        <v>19.99</v>
      </c>
      <c r="K695" s="30" t="n">
        <v>0.0002</v>
      </c>
      <c r="L695" s="29" t="n">
        <v>0</v>
      </c>
      <c r="M695" s="29" t="n">
        <v>0</v>
      </c>
      <c r="N695" s="2" t="n">
        <v>1</v>
      </c>
      <c r="O695" s="31" t="n">
        <v>0</v>
      </c>
      <c r="P695" s="32" t="n"/>
      <c r="Q695" s="32" t="n">
        <v>0</v>
      </c>
      <c r="R695" s="32" t="n">
        <v>0</v>
      </c>
      <c r="S695" s="31" t="n">
        <v>0</v>
      </c>
      <c r="T695" s="32" t="n">
        <v>0</v>
      </c>
      <c r="U695" s="31" t="n">
        <v>0</v>
      </c>
      <c r="V695" s="31" t="n">
        <v>0</v>
      </c>
      <c r="W695" s="3" t="n">
        <v>0</v>
      </c>
      <c r="X695" s="3" t="n">
        <v>0</v>
      </c>
      <c r="Y695" s="32" t="n">
        <v>0</v>
      </c>
      <c r="Z695" s="3" t="n">
        <v>0</v>
      </c>
      <c r="AA695" s="32" t="n">
        <v>0</v>
      </c>
      <c r="AB695" s="3" t="n"/>
      <c r="AC695" s="31" t="n">
        <v>0</v>
      </c>
      <c r="AD695" s="2" t="n">
        <v>0</v>
      </c>
      <c r="AE695" s="2" t="n">
        <v>22</v>
      </c>
      <c r="AF695" s="4" t="n">
        <v>22</v>
      </c>
      <c r="AG695" s="33" t="n">
        <v>19.99</v>
      </c>
      <c r="AH695" s="4" t="n">
        <v>1</v>
      </c>
      <c r="AI695" s="34" t="n">
        <v>0.0455</v>
      </c>
      <c r="AJ695" s="34" t="n">
        <v>1</v>
      </c>
      <c r="AK695" s="2" t="n">
        <v>3645</v>
      </c>
      <c r="AL695" t="inlineStr">
        <is>
          <t>Published</t>
        </is>
      </c>
    </row>
    <row r="696">
      <c r="A696">
        <f>HYPERLINK("https://www.walmart.com/ip/769798241", "769798241")</f>
        <v/>
      </c>
      <c r="B696">
        <f>HYPERLINK("https://app.optiwise.ai/catalog/itemdetails/380738", "Waterproof Ski Gloves, Winter Warm 3M Insulation Snow Gloves for Skiing, Snowboarding, Shoveling, Cycling, Skating, Outdoor Sports, Gifts for Men Women, Black")</f>
        <v/>
      </c>
      <c r="C696" t="inlineStr">
        <is>
          <t>1SLWG301BKBK-L</t>
        </is>
      </c>
      <c r="D696" t="inlineStr">
        <is>
          <t>Clothing</t>
        </is>
      </c>
      <c r="E696" t="inlineStr">
        <is>
          <t>Gloves &amp; Mittens</t>
        </is>
      </c>
      <c r="F696" t="inlineStr">
        <is>
          <t>Solaris</t>
        </is>
      </c>
      <c r="G696" t="n">
        <v>0</v>
      </c>
      <c r="H696" t="n">
        <v>0</v>
      </c>
      <c r="I696" t="inlineStr">
        <is>
          <t>Gloves,WFS,WFS Item</t>
        </is>
      </c>
      <c r="J696" s="29" t="n">
        <v>19.99</v>
      </c>
      <c r="K696" s="30" t="n">
        <v>0.0002</v>
      </c>
      <c r="L696" s="29" t="n">
        <v>19.98999977111816</v>
      </c>
      <c r="M696" s="29" t="n">
        <v>0</v>
      </c>
      <c r="N696" s="2" t="n">
        <v>1</v>
      </c>
      <c r="O696" s="31" t="n">
        <v>0</v>
      </c>
      <c r="P696" s="32" t="n"/>
      <c r="Q696" s="32" t="n">
        <v>0</v>
      </c>
      <c r="R696" s="32" t="n">
        <v>0</v>
      </c>
      <c r="S696" s="31" t="n">
        <v>0</v>
      </c>
      <c r="T696" s="32" t="n">
        <v>0</v>
      </c>
      <c r="U696" s="31" t="n">
        <v>0</v>
      </c>
      <c r="V696" s="31" t="n">
        <v>0</v>
      </c>
      <c r="W696" s="3" t="n">
        <v>0</v>
      </c>
      <c r="X696" s="3" t="n">
        <v>0</v>
      </c>
      <c r="Y696" s="32" t="n">
        <v>0</v>
      </c>
      <c r="Z696" s="3" t="n">
        <v>0</v>
      </c>
      <c r="AA696" s="32" t="n">
        <v>0</v>
      </c>
      <c r="AB696" s="3" t="n"/>
      <c r="AC696" s="31" t="n">
        <v>0</v>
      </c>
      <c r="AD696" s="2" t="n">
        <v>0</v>
      </c>
      <c r="AE696" s="2" t="n">
        <v>19</v>
      </c>
      <c r="AF696" s="4" t="n">
        <v>19</v>
      </c>
      <c r="AG696" s="33" t="n">
        <v>19.99</v>
      </c>
      <c r="AH696" s="4" t="n">
        <v>1</v>
      </c>
      <c r="AI696" s="34" t="n">
        <v>0.0526</v>
      </c>
      <c r="AJ696" s="34" t="n">
        <v>1</v>
      </c>
      <c r="AK696" s="2" t="n">
        <v>13500</v>
      </c>
      <c r="AL696" t="inlineStr">
        <is>
          <t>Published</t>
        </is>
      </c>
    </row>
    <row r="697">
      <c r="A697">
        <f>HYPERLINK("https://www.walmart.com/ip/849814848", "849814848")</f>
        <v/>
      </c>
      <c r="B697">
        <f>HYPERLINK("https://app.optiwise.ai/catalog/itemdetails/417474", "Pawsse Super Soft Large Dog Sherpa Blanket, 50 x 60, Brown")</f>
        <v/>
      </c>
      <c r="C697" t="inlineStr">
        <is>
          <t>1PSBF566BR-TBCB</t>
        </is>
      </c>
      <c r="D697" t="inlineStr">
        <is>
          <t>Animal Accessories</t>
        </is>
      </c>
      <c r="E697" t="inlineStr">
        <is>
          <t>Throws</t>
        </is>
      </c>
      <c r="F697" t="inlineStr">
        <is>
          <t>Pawsse</t>
        </is>
      </c>
      <c r="G697" t="n">
        <v>0</v>
      </c>
      <c r="H697" t="n">
        <v>0</v>
      </c>
      <c r="I697" t="inlineStr">
        <is>
          <t>Optimized</t>
        </is>
      </c>
      <c r="J697" s="29" t="n">
        <v>19.99</v>
      </c>
      <c r="K697" s="30" t="n">
        <v>0.0002</v>
      </c>
      <c r="L697" s="29" t="n">
        <v>0</v>
      </c>
      <c r="M697" s="29" t="n">
        <v>0</v>
      </c>
      <c r="N697" s="2" t="n">
        <v>1</v>
      </c>
      <c r="O697" s="31" t="n">
        <v>0</v>
      </c>
      <c r="P697" s="32" t="n"/>
      <c r="Q697" s="32" t="n">
        <v>0</v>
      </c>
      <c r="R697" s="32" t="n">
        <v>0</v>
      </c>
      <c r="S697" s="31" t="n">
        <v>0</v>
      </c>
      <c r="T697" s="32" t="n">
        <v>0</v>
      </c>
      <c r="U697" s="31" t="n">
        <v>0</v>
      </c>
      <c r="V697" s="31" t="n">
        <v>0</v>
      </c>
      <c r="W697" s="3" t="n">
        <v>0</v>
      </c>
      <c r="X697" s="3" t="n">
        <v>0</v>
      </c>
      <c r="Y697" s="32" t="n">
        <v>0</v>
      </c>
      <c r="Z697" s="3" t="n">
        <v>0</v>
      </c>
      <c r="AA697" s="32" t="n">
        <v>0</v>
      </c>
      <c r="AB697" s="3" t="n"/>
      <c r="AC697" s="31" t="n">
        <v>0</v>
      </c>
      <c r="AD697" s="2" t="n">
        <v>0</v>
      </c>
      <c r="AE697" s="2" t="n">
        <v>2</v>
      </c>
      <c r="AF697" s="4" t="n">
        <v>2</v>
      </c>
      <c r="AG697" s="33" t="n">
        <v>19.99</v>
      </c>
      <c r="AH697" s="4" t="n">
        <v>1</v>
      </c>
      <c r="AI697" s="34" t="n">
        <v>0.5</v>
      </c>
      <c r="AJ697" s="34" t="n">
        <v>1</v>
      </c>
      <c r="AK697" s="2" t="n">
        <v>12420</v>
      </c>
      <c r="AL697" t="inlineStr">
        <is>
          <t>Published</t>
        </is>
      </c>
    </row>
    <row r="698">
      <c r="A698">
        <f>HYPERLINK("https://www.walmart.com/ip/10282157255", "10282157255")</f>
        <v/>
      </c>
      <c r="B698">
        <f>HYPERLINK("https://app.optiwise.ai/catalog/itemdetails/10032003", "Wrangler Men’s Leather Country Casual Every Day Dress Belt for Jeans, Khakis Light Brown 36")</f>
        <v/>
      </c>
      <c r="C698" t="inlineStr">
        <is>
          <t>WR-BELT-MENS-COUNTRY-LTBROWN-36</t>
        </is>
      </c>
      <c r="D698" t="inlineStr">
        <is>
          <t>Clothing</t>
        </is>
      </c>
      <c r="E698" t="inlineStr">
        <is>
          <t>Belts</t>
        </is>
      </c>
      <c r="F698" t="inlineStr">
        <is>
          <t>Wrangler</t>
        </is>
      </c>
      <c r="G698" t="n">
        <v>0</v>
      </c>
      <c r="H698" t="n">
        <v>0</v>
      </c>
      <c r="I698" t="inlineStr">
        <is>
          <t>Belts</t>
        </is>
      </c>
      <c r="J698" s="29" t="n">
        <v>19.99</v>
      </c>
      <c r="K698" s="30" t="n">
        <v>0.0002</v>
      </c>
      <c r="L698" s="29" t="n">
        <v>19.98999977111816</v>
      </c>
      <c r="M698" s="29" t="n">
        <v>0</v>
      </c>
      <c r="N698" s="2" t="n">
        <v>1</v>
      </c>
      <c r="O698" s="31" t="n">
        <v>0</v>
      </c>
      <c r="P698" s="32" t="n"/>
      <c r="Q698" s="32" t="n">
        <v>0</v>
      </c>
      <c r="R698" s="32" t="n">
        <v>0.2512</v>
      </c>
      <c r="S698" s="31" t="n">
        <v>0</v>
      </c>
      <c r="T698" s="32" t="n">
        <v>0</v>
      </c>
      <c r="U698" s="31" t="n">
        <v>0</v>
      </c>
      <c r="V698" s="31" t="n">
        <v>0</v>
      </c>
      <c r="W698" s="3" t="n">
        <v>601</v>
      </c>
      <c r="X698" s="3" t="n">
        <v>0</v>
      </c>
      <c r="Y698" s="32" t="n">
        <v>0</v>
      </c>
      <c r="Z698" s="3" t="n">
        <v>0</v>
      </c>
      <c r="AA698" s="32" t="n">
        <v>0</v>
      </c>
      <c r="AB698" s="3" t="inlineStr">
        <is>
          <t>Belts Manual_Optiwise,Belts_Auto_Optiwise</t>
        </is>
      </c>
      <c r="AC698" s="31" t="n">
        <v>0</v>
      </c>
      <c r="AD698" s="2" t="n">
        <v>0</v>
      </c>
      <c r="AE698" s="2" t="n">
        <v>39</v>
      </c>
      <c r="AF698" s="4" t="n">
        <v>39</v>
      </c>
      <c r="AG698" s="33" t="n">
        <v>19.99</v>
      </c>
      <c r="AH698" s="4" t="n">
        <v>1</v>
      </c>
      <c r="AI698" s="34" t="n">
        <v>0.0256</v>
      </c>
      <c r="AJ698" s="34" t="n">
        <v>1</v>
      </c>
      <c r="AK698" s="2" t="n">
        <v>0</v>
      </c>
      <c r="AL698" t="inlineStr">
        <is>
          <t>Published</t>
        </is>
      </c>
    </row>
    <row r="699">
      <c r="A699">
        <f>HYPERLINK("https://www.walmart.com/ip/15481655976", "15481655976")</f>
        <v/>
      </c>
      <c r="B699">
        <f>HYPERLINK("https://app.optiwise.ai/catalog/itemdetails/20125654", "Wrangler Men’s Leather Embossed Logo Casual Every Day Belt for Jeans, Khakis Brown")</f>
        <v/>
      </c>
      <c r="C699" t="inlineStr">
        <is>
          <t>WR-BELT-MENS-EMBOSSED-BROWN-40</t>
        </is>
      </c>
      <c r="D699" t="inlineStr">
        <is>
          <t>Clothing</t>
        </is>
      </c>
      <c r="E699" t="inlineStr">
        <is>
          <t>Belts</t>
        </is>
      </c>
      <c r="F699" t="inlineStr">
        <is>
          <t>Wrangler</t>
        </is>
      </c>
      <c r="G699" t="n">
        <v>0</v>
      </c>
      <c r="H699" t="n">
        <v>0</v>
      </c>
      <c r="J699" s="29" t="n">
        <v>19.99</v>
      </c>
      <c r="K699" s="30" t="n">
        <v>0.0002</v>
      </c>
      <c r="L699" s="29" t="n">
        <v>0</v>
      </c>
      <c r="M699" s="29" t="n">
        <v>0</v>
      </c>
      <c r="N699" s="2" t="n">
        <v>1</v>
      </c>
      <c r="O699" s="31" t="n">
        <v>0</v>
      </c>
      <c r="P699" s="32" t="n"/>
      <c r="Q699" s="32" t="n">
        <v>0</v>
      </c>
      <c r="R699" s="32" t="n">
        <v>0</v>
      </c>
      <c r="S699" s="31" t="n">
        <v>0</v>
      </c>
      <c r="T699" s="32" t="n">
        <v>0</v>
      </c>
      <c r="U699" s="31" t="n">
        <v>0</v>
      </c>
      <c r="V699" s="31" t="n">
        <v>0</v>
      </c>
      <c r="W699" s="3" t="n">
        <v>0</v>
      </c>
      <c r="X699" s="3" t="n">
        <v>0</v>
      </c>
      <c r="Y699" s="32" t="n">
        <v>0</v>
      </c>
      <c r="Z699" s="3" t="n">
        <v>0</v>
      </c>
      <c r="AA699" s="32" t="n">
        <v>0</v>
      </c>
      <c r="AB699" s="3" t="n"/>
      <c r="AC699" s="31" t="n">
        <v>0</v>
      </c>
      <c r="AD699" s="2" t="n">
        <v>0</v>
      </c>
      <c r="AE699" s="2" t="n">
        <v>0</v>
      </c>
      <c r="AF699" s="4" t="n">
        <v>0</v>
      </c>
      <c r="AG699" s="33" t="n">
        <v>19.99</v>
      </c>
      <c r="AH699" s="4" t="n">
        <v>1</v>
      </c>
      <c r="AI699" s="34" t="n"/>
      <c r="AJ699" s="34" t="n">
        <v>1</v>
      </c>
      <c r="AK699" s="2" t="n">
        <v>5940</v>
      </c>
      <c r="AL699" t="inlineStr">
        <is>
          <t>Published</t>
        </is>
      </c>
    </row>
    <row r="700">
      <c r="A700">
        <f>HYPERLINK("https://www.walmart.com/ip/654577091", "654577091")</f>
        <v/>
      </c>
      <c r="B700">
        <f>HYPERLINK("https://app.optiwise.ai/catalog/itemdetails/361159", "Large Dog Blanket, Super Soft Fluffy Sherpa Fleece Dog Couch Blankets and Throws for Large Medium  Small Dogs Puppy Doggy Pet Cats, Latte")</f>
        <v/>
      </c>
      <c r="C700" t="inlineStr">
        <is>
          <t>1PSBF560LTLT</t>
        </is>
      </c>
      <c r="D700" t="inlineStr">
        <is>
          <t>Animal Accessories</t>
        </is>
      </c>
      <c r="E700" t="inlineStr">
        <is>
          <t>Pet Blankets</t>
        </is>
      </c>
      <c r="F700" t="inlineStr">
        <is>
          <t>Pawsse</t>
        </is>
      </c>
      <c r="G700" t="n">
        <v>5</v>
      </c>
      <c r="H700" t="n">
        <v>5</v>
      </c>
      <c r="I700" t="inlineStr">
        <is>
          <t>Q2-Target,Optimized,WFS,WFS Item</t>
        </is>
      </c>
      <c r="J700" s="29" t="n">
        <v>19.99</v>
      </c>
      <c r="K700" s="30" t="n">
        <v>0.0002</v>
      </c>
      <c r="L700" s="29" t="n">
        <v>0</v>
      </c>
      <c r="M700" s="29" t="n">
        <v>0</v>
      </c>
      <c r="N700" s="2" t="n">
        <v>1</v>
      </c>
      <c r="O700" s="31" t="n">
        <v>14.3</v>
      </c>
      <c r="P700" s="32" t="n">
        <v>0.0017</v>
      </c>
      <c r="Q700" s="32" t="n">
        <v>0.7154</v>
      </c>
      <c r="R700" s="32" t="n">
        <v>0.2296</v>
      </c>
      <c r="S700" s="31" t="n">
        <v>2.24</v>
      </c>
      <c r="T700" s="32" t="n">
        <v>0.45</v>
      </c>
      <c r="U700" s="31" t="n">
        <v>31.98</v>
      </c>
      <c r="V700" s="31" t="n">
        <v>0</v>
      </c>
      <c r="W700" s="3" t="n">
        <v>85401</v>
      </c>
      <c r="X700" s="3" t="n">
        <v>40</v>
      </c>
      <c r="Y700" s="32" t="n">
        <v>0.0005</v>
      </c>
      <c r="Z700" s="3" t="n">
        <v>2</v>
      </c>
      <c r="AA700" s="32" t="n">
        <v>0.05</v>
      </c>
      <c r="AB700" s="3" t="inlineStr">
        <is>
          <t>Pet Blankets_Auto_Optiwise_24</t>
        </is>
      </c>
      <c r="AC700" s="31" t="n">
        <v>0.36</v>
      </c>
      <c r="AD700" s="2" t="n">
        <v>1</v>
      </c>
      <c r="AE700" s="2" t="n">
        <v>34</v>
      </c>
      <c r="AF700" s="4" t="inlineStr">
        <is>
          <t>NA</t>
        </is>
      </c>
      <c r="AG700" s="33" t="n">
        <v>-11.99</v>
      </c>
      <c r="AH700" s="4" t="n">
        <v>-1</v>
      </c>
      <c r="AI700" s="34" t="inlineStr">
        <is>
          <t>NA</t>
        </is>
      </c>
      <c r="AJ700" s="34" t="n">
        <v>-0.5998</v>
      </c>
      <c r="AK700" s="2" t="n">
        <v>5400</v>
      </c>
      <c r="AL700" t="inlineStr">
        <is>
          <t>Published</t>
        </is>
      </c>
    </row>
    <row r="701">
      <c r="A701">
        <f>HYPERLINK("https://www.walmart.com/ip/258874782", "258874782")</f>
        <v/>
      </c>
      <c r="B701">
        <f>HYPERLINK("https://app.optiwise.ai/catalog/itemdetails/360809", "Waterproof Picnic Blanket Outdoor")</f>
        <v/>
      </c>
      <c r="C701" t="inlineStr">
        <is>
          <t>1WMBW781USA</t>
        </is>
      </c>
      <c r="D701" t="inlineStr">
        <is>
          <t>Sport &amp; Recreation Other</t>
        </is>
      </c>
      <c r="E701" t="inlineStr">
        <is>
          <t>Picnic Blankets &amp; Mats</t>
        </is>
      </c>
      <c r="F701" t="inlineStr">
        <is>
          <t>Flyingstar</t>
        </is>
      </c>
      <c r="G701" t="n">
        <v>0</v>
      </c>
      <c r="H701" t="n">
        <v>0</v>
      </c>
      <c r="I701" t="inlineStr">
        <is>
          <t>Batch 1 - TR</t>
        </is>
      </c>
      <c r="J701" s="29" t="n">
        <v>19.99</v>
      </c>
      <c r="K701" s="30" t="n">
        <v>0.0002</v>
      </c>
      <c r="L701" s="29" t="n">
        <v>0</v>
      </c>
      <c r="M701" s="29" t="n">
        <v>0</v>
      </c>
      <c r="N701" s="2" t="n">
        <v>1</v>
      </c>
      <c r="O701" s="31" t="n">
        <v>0</v>
      </c>
      <c r="P701" s="32" t="n"/>
      <c r="Q701" s="32" t="n">
        <v>0</v>
      </c>
      <c r="R701" s="32" t="n">
        <v>0</v>
      </c>
      <c r="S701" s="31" t="n">
        <v>0</v>
      </c>
      <c r="T701" s="32" t="n">
        <v>0</v>
      </c>
      <c r="U701" s="31" t="n">
        <v>0</v>
      </c>
      <c r="V701" s="31" t="n">
        <v>0</v>
      </c>
      <c r="W701" s="3" t="n">
        <v>0</v>
      </c>
      <c r="X701" s="3" t="n">
        <v>0</v>
      </c>
      <c r="Y701" s="32" t="n">
        <v>0</v>
      </c>
      <c r="Z701" s="3" t="n">
        <v>0</v>
      </c>
      <c r="AA701" s="32" t="n">
        <v>0</v>
      </c>
      <c r="AB701" s="3" t="n"/>
      <c r="AC701" s="31" t="n">
        <v>0</v>
      </c>
      <c r="AD701" s="2" t="n">
        <v>0</v>
      </c>
      <c r="AE701" s="2" t="n">
        <v>16</v>
      </c>
      <c r="AF701" s="4" t="n">
        <v>16</v>
      </c>
      <c r="AG701" s="33" t="n">
        <v>19.99</v>
      </c>
      <c r="AH701" s="4" t="n">
        <v>1</v>
      </c>
      <c r="AI701" s="34" t="n">
        <v>0.0625</v>
      </c>
      <c r="AJ701" s="34" t="n">
        <v>1</v>
      </c>
      <c r="AK701" s="2" t="n">
        <v>13770</v>
      </c>
      <c r="AL701" t="inlineStr">
        <is>
          <t>Published</t>
        </is>
      </c>
    </row>
    <row r="702">
      <c r="A702">
        <f>HYPERLINK("https://www.walmart.com/ip/10294113697", "10294113697")</f>
        <v/>
      </c>
      <c r="B702">
        <f>HYPERLINK("https://app.optiwise.ai/catalog/itemdetails/10032008", "Wrangler Men’s Full Grain Genuine Leather 35mm Thick Casual Belt for Jeans, Pants - Light Brown, 42")</f>
        <v/>
      </c>
      <c r="C702" t="inlineStr">
        <is>
          <t>WR-BELT-MENS-35MM-LTBROWN-42</t>
        </is>
      </c>
      <c r="D702" t="inlineStr">
        <is>
          <t>Clothing</t>
        </is>
      </c>
      <c r="E702" t="inlineStr">
        <is>
          <t>Belts</t>
        </is>
      </c>
      <c r="F702" t="inlineStr">
        <is>
          <t>Wrangler</t>
        </is>
      </c>
      <c r="G702" t="n">
        <v>0</v>
      </c>
      <c r="H702" t="n">
        <v>0</v>
      </c>
      <c r="I702" t="inlineStr">
        <is>
          <t>Belts</t>
        </is>
      </c>
      <c r="J702" s="29" t="n">
        <v>19.99</v>
      </c>
      <c r="K702" s="30" t="n">
        <v>0.0002</v>
      </c>
      <c r="L702" s="29" t="n">
        <v>19.98999977111816</v>
      </c>
      <c r="M702" s="29" t="n">
        <v>0</v>
      </c>
      <c r="N702" s="2" t="n">
        <v>1</v>
      </c>
      <c r="O702" s="31" t="n">
        <v>0</v>
      </c>
      <c r="P702" s="32" t="n"/>
      <c r="Q702" s="32" t="n">
        <v>0</v>
      </c>
      <c r="R702" s="32" t="n">
        <v>0</v>
      </c>
      <c r="S702" s="31" t="n">
        <v>0</v>
      </c>
      <c r="T702" s="32" t="n">
        <v>0</v>
      </c>
      <c r="U702" s="31" t="n">
        <v>0</v>
      </c>
      <c r="V702" s="31" t="n">
        <v>0</v>
      </c>
      <c r="W702" s="3" t="n">
        <v>0</v>
      </c>
      <c r="X702" s="3" t="n">
        <v>0</v>
      </c>
      <c r="Y702" s="32" t="n">
        <v>0</v>
      </c>
      <c r="Z702" s="3" t="n">
        <v>0</v>
      </c>
      <c r="AA702" s="32" t="n">
        <v>0</v>
      </c>
      <c r="AB702" s="3" t="n"/>
      <c r="AC702" s="31" t="n">
        <v>0</v>
      </c>
      <c r="AD702" s="2" t="n">
        <v>0</v>
      </c>
      <c r="AE702" s="2" t="n">
        <v>29</v>
      </c>
      <c r="AF702" s="4" t="n">
        <v>29</v>
      </c>
      <c r="AG702" s="33" t="n">
        <v>19.99</v>
      </c>
      <c r="AH702" s="4" t="n">
        <v>1</v>
      </c>
      <c r="AI702" s="34" t="n">
        <v>0.0345</v>
      </c>
      <c r="AJ702" s="34" t="n">
        <v>1</v>
      </c>
      <c r="AK702" s="2" t="n">
        <v>0</v>
      </c>
      <c r="AL702" t="inlineStr">
        <is>
          <t>Published</t>
        </is>
      </c>
    </row>
    <row r="703">
      <c r="A703">
        <f>HYPERLINK("https://www.walmart.com/ip/15444408347", "15444408347")</f>
        <v/>
      </c>
      <c r="B703">
        <f>HYPERLINK("https://app.optiwise.ai/catalog/itemdetails/20125649", "Wrangler Men’s Leather Embossed Logo Casual Every Day Belt for Jeans, Khakis Brown")</f>
        <v/>
      </c>
      <c r="C703" t="inlineStr">
        <is>
          <t>WR-BELT-MENS-EMBOSSED-BROWN-44</t>
        </is>
      </c>
      <c r="D703" t="inlineStr">
        <is>
          <t>Clothing</t>
        </is>
      </c>
      <c r="E703" t="inlineStr">
        <is>
          <t>Belts</t>
        </is>
      </c>
      <c r="F703" t="inlineStr">
        <is>
          <t>Wrangler</t>
        </is>
      </c>
      <c r="G703" t="n">
        <v>0</v>
      </c>
      <c r="H703" t="n">
        <v>0</v>
      </c>
      <c r="J703" s="29" t="n">
        <v>19.99</v>
      </c>
      <c r="K703" s="30" t="n">
        <v>0.0002</v>
      </c>
      <c r="L703" s="29" t="n">
        <v>39.97999954223633</v>
      </c>
      <c r="M703" s="29" t="n">
        <v>0</v>
      </c>
      <c r="N703" s="2" t="n">
        <v>1</v>
      </c>
      <c r="O703" s="31" t="n">
        <v>0</v>
      </c>
      <c r="P703" s="32" t="n"/>
      <c r="Q703" s="32" t="n">
        <v>0</v>
      </c>
      <c r="R703" s="32" t="n">
        <v>0</v>
      </c>
      <c r="S703" s="31" t="n">
        <v>0</v>
      </c>
      <c r="T703" s="32" t="n">
        <v>0</v>
      </c>
      <c r="U703" s="31" t="n">
        <v>0</v>
      </c>
      <c r="V703" s="31" t="n">
        <v>0</v>
      </c>
      <c r="W703" s="3" t="n">
        <v>0</v>
      </c>
      <c r="X703" s="3" t="n">
        <v>0</v>
      </c>
      <c r="Y703" s="32" t="n">
        <v>0</v>
      </c>
      <c r="Z703" s="3" t="n">
        <v>0</v>
      </c>
      <c r="AA703" s="32" t="n">
        <v>0</v>
      </c>
      <c r="AB703" s="3" t="n"/>
      <c r="AC703" s="31" t="n">
        <v>0</v>
      </c>
      <c r="AD703" s="2" t="n">
        <v>0</v>
      </c>
      <c r="AE703" s="2" t="n">
        <v>0</v>
      </c>
      <c r="AF703" s="4" t="n">
        <v>0</v>
      </c>
      <c r="AG703" s="33" t="n">
        <v>19.99</v>
      </c>
      <c r="AH703" s="4" t="n">
        <v>1</v>
      </c>
      <c r="AI703" s="34" t="n"/>
      <c r="AJ703" s="34" t="n">
        <v>1</v>
      </c>
      <c r="AK703" s="2" t="n">
        <v>13500</v>
      </c>
      <c r="AL703" t="inlineStr">
        <is>
          <t>Published</t>
        </is>
      </c>
    </row>
    <row r="704">
      <c r="A704">
        <f>HYPERLINK("https://www.walmart.com/ip/309002567", "309002567")</f>
        <v/>
      </c>
      <c r="B704">
        <f>HYPERLINK("https://app.optiwise.ai/catalog/itemdetails/417457", "Pawsse Large Dog Sherpa Blanket for Couch, Blue, 50 x 60")</f>
        <v/>
      </c>
      <c r="C704" t="inlineStr">
        <is>
          <t>1PSBF566BL-TBCB</t>
        </is>
      </c>
      <c r="D704" t="inlineStr">
        <is>
          <t>Animal Accessories</t>
        </is>
      </c>
      <c r="E704" t="inlineStr">
        <is>
          <t>Throws</t>
        </is>
      </c>
      <c r="F704" t="inlineStr">
        <is>
          <t>Pawsse</t>
        </is>
      </c>
      <c r="G704" t="n">
        <v>0</v>
      </c>
      <c r="H704" t="n">
        <v>0</v>
      </c>
      <c r="I704" t="inlineStr">
        <is>
          <t>Optimized</t>
        </is>
      </c>
      <c r="J704" s="29" t="n">
        <v>19.99</v>
      </c>
      <c r="K704" s="30" t="n">
        <v>0.0002</v>
      </c>
      <c r="L704" s="29" t="n">
        <v>0</v>
      </c>
      <c r="M704" s="29" t="n">
        <v>0</v>
      </c>
      <c r="N704" s="2" t="n">
        <v>1</v>
      </c>
      <c r="O704" s="31" t="n">
        <v>0</v>
      </c>
      <c r="P704" s="32" t="n"/>
      <c r="Q704" s="32" t="n">
        <v>0</v>
      </c>
      <c r="R704" s="32" t="n">
        <v>0</v>
      </c>
      <c r="S704" s="31" t="n">
        <v>0</v>
      </c>
      <c r="T704" s="32" t="n">
        <v>0</v>
      </c>
      <c r="U704" s="31" t="n">
        <v>0</v>
      </c>
      <c r="V704" s="31" t="n">
        <v>0</v>
      </c>
      <c r="W704" s="3" t="n">
        <v>0</v>
      </c>
      <c r="X704" s="3" t="n">
        <v>0</v>
      </c>
      <c r="Y704" s="32" t="n">
        <v>0</v>
      </c>
      <c r="Z704" s="3" t="n">
        <v>0</v>
      </c>
      <c r="AA704" s="32" t="n">
        <v>0</v>
      </c>
      <c r="AB704" s="3" t="n"/>
      <c r="AC704" s="31" t="n">
        <v>0</v>
      </c>
      <c r="AD704" s="2" t="n">
        <v>0</v>
      </c>
      <c r="AE704" s="2" t="n">
        <v>2</v>
      </c>
      <c r="AF704" s="4" t="n">
        <v>2</v>
      </c>
      <c r="AG704" s="33" t="n">
        <v>19.99</v>
      </c>
      <c r="AH704" s="4" t="n">
        <v>1</v>
      </c>
      <c r="AI704" s="34" t="n">
        <v>0.5</v>
      </c>
      <c r="AJ704" s="34" t="n">
        <v>1</v>
      </c>
      <c r="AK704" s="2" t="n">
        <v>13500</v>
      </c>
      <c r="AL704" t="inlineStr">
        <is>
          <t>Published</t>
        </is>
      </c>
    </row>
    <row r="705">
      <c r="A705">
        <f>HYPERLINK("https://www.walmart.com/ip/158660462", "158660462")</f>
        <v/>
      </c>
      <c r="B705">
        <f>HYPERLINK("https://app.optiwise.ai/catalog/itemdetails/362788", "Solaris Men Winter Ski Snow Gloves with Breathable Face Mask The Warmest 3M Insulation Waterproof Outdoor Snowboard Mitt")</f>
        <v/>
      </c>
      <c r="C705" t="inlineStr">
        <is>
          <t>1SLWG301GYBK-S</t>
        </is>
      </c>
      <c r="D705" t="inlineStr">
        <is>
          <t>Clothing</t>
        </is>
      </c>
      <c r="E705" t="inlineStr">
        <is>
          <t>Gloves &amp; Mittens</t>
        </is>
      </c>
      <c r="F705" t="inlineStr">
        <is>
          <t>Solaris</t>
        </is>
      </c>
      <c r="G705" t="n">
        <v>0</v>
      </c>
      <c r="H705" t="n">
        <v>0</v>
      </c>
      <c r="I705" t="inlineStr">
        <is>
          <t>Gloves,WFS,WFS Item</t>
        </is>
      </c>
      <c r="J705" s="29" t="n">
        <v>19.99</v>
      </c>
      <c r="K705" s="30" t="n">
        <v>0.0002</v>
      </c>
      <c r="L705" s="29" t="n">
        <v>0</v>
      </c>
      <c r="M705" s="29" t="n">
        <v>0</v>
      </c>
      <c r="N705" s="2" t="n">
        <v>1</v>
      </c>
      <c r="O705" s="31" t="n">
        <v>0</v>
      </c>
      <c r="P705" s="32" t="n"/>
      <c r="Q705" s="32" t="n">
        <v>0</v>
      </c>
      <c r="R705" s="32" t="n">
        <v>0</v>
      </c>
      <c r="S705" s="31" t="n">
        <v>0</v>
      </c>
      <c r="T705" s="32" t="n">
        <v>0</v>
      </c>
      <c r="U705" s="31" t="n">
        <v>0</v>
      </c>
      <c r="V705" s="31" t="n">
        <v>0</v>
      </c>
      <c r="W705" s="3" t="n">
        <v>0</v>
      </c>
      <c r="X705" s="3" t="n">
        <v>0</v>
      </c>
      <c r="Y705" s="32" t="n">
        <v>0</v>
      </c>
      <c r="Z705" s="3" t="n">
        <v>0</v>
      </c>
      <c r="AA705" s="32" t="n">
        <v>0</v>
      </c>
      <c r="AB705" s="3" t="n"/>
      <c r="AC705" s="31" t="n">
        <v>0</v>
      </c>
      <c r="AD705" s="2" t="n">
        <v>0</v>
      </c>
      <c r="AE705" s="2" t="n">
        <v>9</v>
      </c>
      <c r="AF705" s="4" t="n">
        <v>9</v>
      </c>
      <c r="AG705" s="33" t="n">
        <v>19.99</v>
      </c>
      <c r="AH705" s="4" t="n">
        <v>1</v>
      </c>
      <c r="AI705" s="34" t="n">
        <v>0.1111</v>
      </c>
      <c r="AJ705" s="34" t="n">
        <v>1</v>
      </c>
      <c r="AK705" s="2" t="n">
        <v>675</v>
      </c>
      <c r="AL705" t="inlineStr">
        <is>
          <t>Published</t>
        </is>
      </c>
    </row>
    <row r="706">
      <c r="A706">
        <f>HYPERLINK("https://www.walmart.com/ip/1882729772", "1882729772")</f>
        <v/>
      </c>
      <c r="B706">
        <f>HYPERLINK("https://app.optiwise.ai/catalog/itemdetails/20125643", "Wrangler Men’s Leather Embossed Logo Casual Every Day Belt for Jeans, Khakis Brown")</f>
        <v/>
      </c>
      <c r="C706" t="inlineStr">
        <is>
          <t>WR-BELT-MENS-EMBOSSED-BROWN-36</t>
        </is>
      </c>
      <c r="D706" t="inlineStr">
        <is>
          <t>Clothing</t>
        </is>
      </c>
      <c r="E706" t="inlineStr">
        <is>
          <t>Belts</t>
        </is>
      </c>
      <c r="F706" t="inlineStr">
        <is>
          <t>Wrangler</t>
        </is>
      </c>
      <c r="G706" t="n">
        <v>1</v>
      </c>
      <c r="H706" t="n">
        <v>1</v>
      </c>
      <c r="J706" s="29" t="n">
        <v>19.99</v>
      </c>
      <c r="K706" s="30" t="n">
        <v>0.0002</v>
      </c>
      <c r="L706" s="29" t="n">
        <v>0</v>
      </c>
      <c r="M706" s="29" t="n">
        <v>0</v>
      </c>
      <c r="N706" s="2" t="n">
        <v>1</v>
      </c>
      <c r="O706" s="31" t="n">
        <v>0</v>
      </c>
      <c r="P706" s="32" t="n"/>
      <c r="Q706" s="32" t="n">
        <v>0</v>
      </c>
      <c r="R706" s="32" t="n">
        <v>0</v>
      </c>
      <c r="S706" s="31" t="n">
        <v>0</v>
      </c>
      <c r="T706" s="32" t="n">
        <v>0</v>
      </c>
      <c r="U706" s="31" t="n">
        <v>0</v>
      </c>
      <c r="V706" s="31" t="n">
        <v>0</v>
      </c>
      <c r="W706" s="3" t="n">
        <v>0</v>
      </c>
      <c r="X706" s="3" t="n">
        <v>0</v>
      </c>
      <c r="Y706" s="32" t="n">
        <v>0</v>
      </c>
      <c r="Z706" s="3" t="n">
        <v>0</v>
      </c>
      <c r="AA706" s="32" t="n">
        <v>0</v>
      </c>
      <c r="AB706" s="3" t="n"/>
      <c r="AC706" s="31" t="n">
        <v>0</v>
      </c>
      <c r="AD706" s="2" t="n">
        <v>0</v>
      </c>
      <c r="AE706" s="2" t="n">
        <v>0</v>
      </c>
      <c r="AF706" s="4" t="n">
        <v>0</v>
      </c>
      <c r="AG706" s="33" t="n">
        <v>19.99</v>
      </c>
      <c r="AH706" s="4" t="n">
        <v>1</v>
      </c>
      <c r="AI706" s="34" t="n"/>
      <c r="AJ706" s="34" t="n">
        <v>1</v>
      </c>
      <c r="AK706" s="2" t="n">
        <v>13500</v>
      </c>
      <c r="AL706" t="inlineStr">
        <is>
          <t>Published</t>
        </is>
      </c>
    </row>
    <row r="707">
      <c r="A707">
        <f>HYPERLINK("https://www.walmart.com/ip/127478451", "127478451")</f>
        <v/>
      </c>
      <c r="B707">
        <f>HYPERLINK("https://app.optiwise.ai/catalog/itemdetails/362036", "Tirrinia Insulated 4 Bottle Wine Carrier Tote Cooler Bag for Travel Picnic Padded Champagne Glass Carrying Case Leather")</f>
        <v/>
      </c>
      <c r="C707" t="inlineStr">
        <is>
          <t>1WMWB421GY</t>
        </is>
      </c>
      <c r="D707" t="inlineStr">
        <is>
          <t>Home Decor, Kitchen, &amp; Other</t>
        </is>
      </c>
      <c r="E707" t="inlineStr">
        <is>
          <t>Wine Totes, Bags &amp; Backpacks</t>
        </is>
      </c>
      <c r="F707" t="inlineStr">
        <is>
          <t>Flyingstar</t>
        </is>
      </c>
      <c r="G707" t="n">
        <v>0</v>
      </c>
      <c r="H707" t="n">
        <v>0</v>
      </c>
      <c r="I707" t="inlineStr">
        <is>
          <t>Wine,Christmas,Optimized,Valentine,SEM</t>
        </is>
      </c>
      <c r="J707" s="29" t="n">
        <v>19.99</v>
      </c>
      <c r="K707" s="30" t="n">
        <v>0.0002</v>
      </c>
      <c r="L707" s="29" t="n">
        <v>0</v>
      </c>
      <c r="M707" s="29" t="n">
        <v>0</v>
      </c>
      <c r="N707" s="2" t="n">
        <v>1</v>
      </c>
      <c r="O707" s="31" t="n">
        <v>0</v>
      </c>
      <c r="P707" s="32" t="n"/>
      <c r="Q707" s="32" t="n">
        <v>0</v>
      </c>
      <c r="R707" s="32" t="n">
        <v>0</v>
      </c>
      <c r="S707" s="31" t="n">
        <v>0</v>
      </c>
      <c r="T707" s="32" t="n">
        <v>0</v>
      </c>
      <c r="U707" s="31" t="n">
        <v>0</v>
      </c>
      <c r="V707" s="31" t="n">
        <v>0</v>
      </c>
      <c r="W707" s="3" t="n">
        <v>0</v>
      </c>
      <c r="X707" s="3" t="n">
        <v>0</v>
      </c>
      <c r="Y707" s="32" t="n">
        <v>0</v>
      </c>
      <c r="Z707" s="3" t="n">
        <v>0</v>
      </c>
      <c r="AA707" s="32" t="n">
        <v>0</v>
      </c>
      <c r="AB707" s="3" t="n"/>
      <c r="AC707" s="31" t="n">
        <v>0</v>
      </c>
      <c r="AD707" s="2" t="n">
        <v>0</v>
      </c>
      <c r="AE707" s="2" t="n">
        <v>19</v>
      </c>
      <c r="AF707" s="4" t="n">
        <v>19</v>
      </c>
      <c r="AG707" s="33" t="n">
        <v>19.99</v>
      </c>
      <c r="AH707" s="4" t="n">
        <v>1</v>
      </c>
      <c r="AI707" s="34" t="n">
        <v>0.0526</v>
      </c>
      <c r="AJ707" s="34" t="n">
        <v>1</v>
      </c>
      <c r="AK707" s="2" t="n">
        <v>13500</v>
      </c>
      <c r="AL707" t="inlineStr">
        <is>
          <t>Published</t>
        </is>
      </c>
    </row>
    <row r="708">
      <c r="A708">
        <f>HYPERLINK("https://www.walmart.com/ip/169031285", "169031285")</f>
        <v/>
      </c>
      <c r="B708">
        <f>HYPERLINK("https://app.optiwise.ai/catalog/itemdetails/361639", "Extra Large Picnic Blanket Waterproof Lightweight Portable Beach Mat for Family Camping,Travel,Park,Grass,Hiking,Outdoor, Stadium,Concerts ( Unique Striped Print, 70''X80'') - Machine Washable")</f>
        <v/>
      </c>
      <c r="C708" t="inlineStr">
        <is>
          <t>1WMBW781STR</t>
        </is>
      </c>
      <c r="D708" t="inlineStr">
        <is>
          <t>Sport &amp; Recreation Other</t>
        </is>
      </c>
      <c r="E708" t="inlineStr">
        <is>
          <t>Picnic Blankets &amp; Mats</t>
        </is>
      </c>
      <c r="F708" t="inlineStr">
        <is>
          <t>Flyingstar</t>
        </is>
      </c>
      <c r="G708" t="n">
        <v>0</v>
      </c>
      <c r="H708" t="n">
        <v>0</v>
      </c>
      <c r="I708" t="inlineStr">
        <is>
          <t>Batch 1 - TR</t>
        </is>
      </c>
      <c r="J708" s="29" t="n">
        <v>19.99</v>
      </c>
      <c r="K708" s="30" t="n">
        <v>0.0002</v>
      </c>
      <c r="L708" s="29" t="n">
        <v>0</v>
      </c>
      <c r="M708" s="29" t="n">
        <v>0</v>
      </c>
      <c r="N708" s="2" t="n">
        <v>1</v>
      </c>
      <c r="O708" s="31" t="n">
        <v>0</v>
      </c>
      <c r="P708" s="32" t="n"/>
      <c r="Q708" s="32" t="n">
        <v>0</v>
      </c>
      <c r="R708" s="32" t="n">
        <v>0</v>
      </c>
      <c r="S708" s="31" t="n">
        <v>0</v>
      </c>
      <c r="T708" s="32" t="n">
        <v>0</v>
      </c>
      <c r="U708" s="31" t="n">
        <v>0</v>
      </c>
      <c r="V708" s="31" t="n">
        <v>0</v>
      </c>
      <c r="W708" s="3" t="n">
        <v>0</v>
      </c>
      <c r="X708" s="3" t="n">
        <v>0</v>
      </c>
      <c r="Y708" s="32" t="n">
        <v>0</v>
      </c>
      <c r="Z708" s="3" t="n">
        <v>0</v>
      </c>
      <c r="AA708" s="32" t="n">
        <v>0</v>
      </c>
      <c r="AB708" s="3" t="n"/>
      <c r="AC708" s="31" t="n">
        <v>0</v>
      </c>
      <c r="AD708" s="2" t="n">
        <v>0</v>
      </c>
      <c r="AE708" s="2" t="n">
        <v>19</v>
      </c>
      <c r="AF708" s="4" t="n">
        <v>19</v>
      </c>
      <c r="AG708" s="33" t="n">
        <v>19.99</v>
      </c>
      <c r="AH708" s="4" t="n">
        <v>1</v>
      </c>
      <c r="AI708" s="34" t="n">
        <v>0.0526</v>
      </c>
      <c r="AJ708" s="34" t="n">
        <v>1</v>
      </c>
      <c r="AK708" s="2" t="n">
        <v>13500</v>
      </c>
      <c r="AL708" t="inlineStr">
        <is>
          <t>Published</t>
        </is>
      </c>
    </row>
    <row r="709">
      <c r="A709">
        <f>HYPERLINK("https://www.walmart.com/ip/670417568", "670417568")</f>
        <v/>
      </c>
      <c r="B709">
        <f>HYPERLINK("https://app.optiwise.ai/catalog/itemdetails/362783", "Tirrinia Insulated 4 Bottle Wine Carrier Tote Cooler Bag for Travel Picnic Padded Champagne Glass Carrying Case Leather")</f>
        <v/>
      </c>
      <c r="C709" t="inlineStr">
        <is>
          <t>1WMWB421PP</t>
        </is>
      </c>
      <c r="D709" t="inlineStr">
        <is>
          <t>Home Decor, Kitchen, &amp; Other</t>
        </is>
      </c>
      <c r="E709" t="inlineStr">
        <is>
          <t>Wine Totes, Bags &amp; Backpacks</t>
        </is>
      </c>
      <c r="F709" t="inlineStr">
        <is>
          <t>Flyingstar</t>
        </is>
      </c>
      <c r="G709" t="n">
        <v>0</v>
      </c>
      <c r="H709" t="n">
        <v>0</v>
      </c>
      <c r="I709" t="inlineStr">
        <is>
          <t>Wine,Christmas,Optimized,Valentine</t>
        </is>
      </c>
      <c r="J709" s="29" t="n">
        <v>19.99</v>
      </c>
      <c r="K709" s="30" t="n">
        <v>0.0002</v>
      </c>
      <c r="L709" s="29" t="n">
        <v>0</v>
      </c>
      <c r="M709" s="29" t="n">
        <v>0</v>
      </c>
      <c r="N709" s="2" t="n">
        <v>1</v>
      </c>
      <c r="O709" s="31" t="n">
        <v>0</v>
      </c>
      <c r="P709" s="32" t="n"/>
      <c r="Q709" s="32" t="n">
        <v>0</v>
      </c>
      <c r="R709" s="32" t="n">
        <v>0</v>
      </c>
      <c r="S709" s="31" t="n">
        <v>0</v>
      </c>
      <c r="T709" s="32" t="n">
        <v>0</v>
      </c>
      <c r="U709" s="31" t="n">
        <v>0</v>
      </c>
      <c r="V709" s="31" t="n">
        <v>0</v>
      </c>
      <c r="W709" s="3" t="n">
        <v>0</v>
      </c>
      <c r="X709" s="3" t="n">
        <v>0</v>
      </c>
      <c r="Y709" s="32" t="n">
        <v>0</v>
      </c>
      <c r="Z709" s="3" t="n">
        <v>0</v>
      </c>
      <c r="AA709" s="32" t="n">
        <v>0</v>
      </c>
      <c r="AB709" s="3" t="n"/>
      <c r="AC709" s="31" t="n">
        <v>0</v>
      </c>
      <c r="AD709" s="2" t="n">
        <v>0</v>
      </c>
      <c r="AE709" s="2" t="n">
        <v>8</v>
      </c>
      <c r="AF709" s="4" t="n">
        <v>8</v>
      </c>
      <c r="AG709" s="33" t="n">
        <v>19.99</v>
      </c>
      <c r="AH709" s="4" t="n">
        <v>1</v>
      </c>
      <c r="AI709" s="34" t="n">
        <v>0.125</v>
      </c>
      <c r="AJ709" s="34" t="n">
        <v>1</v>
      </c>
      <c r="AK709" s="2" t="n">
        <v>3780</v>
      </c>
      <c r="AL709" t="inlineStr">
        <is>
          <t>Published</t>
        </is>
      </c>
    </row>
    <row r="710">
      <c r="A710">
        <f>HYPERLINK("https://www.walmart.com/ip/356200441", "356200441")</f>
        <v/>
      </c>
      <c r="B710">
        <f>HYPERLINK("https://app.optiwise.ai/catalog/itemdetails/360744", "Tirrinia Sun Hat with Adjustable Drawstring for Women, Large Wide Brim Hat for Outdoor Fishing Hiking Hunting Boating Desert Hawaiian, Grey")</f>
        <v/>
      </c>
      <c r="C710" t="inlineStr">
        <is>
          <t>1TRSH911GY-TBCB</t>
        </is>
      </c>
      <c r="D710" t="inlineStr">
        <is>
          <t>Clothing</t>
        </is>
      </c>
      <c r="E710" t="inlineStr">
        <is>
          <t>Hats</t>
        </is>
      </c>
      <c r="F710" t="inlineStr">
        <is>
          <t>Tirrinia</t>
        </is>
      </c>
      <c r="G710" t="n">
        <v>5</v>
      </c>
      <c r="H710" t="n">
        <v>1</v>
      </c>
      <c r="I710" t="inlineStr">
        <is>
          <t>Q2-Target,Hats,Batch 1 - TR</t>
        </is>
      </c>
      <c r="J710" s="29" t="n">
        <v>19.99</v>
      </c>
      <c r="K710" s="30" t="n">
        <v>0.0002</v>
      </c>
      <c r="L710" s="29" t="n">
        <v>17.98999977111816</v>
      </c>
      <c r="M710" s="29" t="n">
        <v>0</v>
      </c>
      <c r="N710" s="2" t="n">
        <v>1</v>
      </c>
      <c r="O710" s="31" t="n">
        <v>0.31</v>
      </c>
      <c r="P710" s="32" t="n"/>
      <c r="Q710" s="32" t="n">
        <v>0.0155</v>
      </c>
      <c r="R710" s="32" t="n">
        <v>0</v>
      </c>
      <c r="S710" s="31" t="n">
        <v>0</v>
      </c>
      <c r="T710" s="32" t="n">
        <v>0</v>
      </c>
      <c r="U710" s="31" t="n">
        <v>0</v>
      </c>
      <c r="V710" s="31" t="n">
        <v>0</v>
      </c>
      <c r="W710" s="3" t="n">
        <v>1105</v>
      </c>
      <c r="X710" s="3" t="n">
        <v>1</v>
      </c>
      <c r="Y710" s="32" t="n">
        <v>0.0009</v>
      </c>
      <c r="Z710" s="3" t="n">
        <v>0</v>
      </c>
      <c r="AA710" s="32" t="n">
        <v>0</v>
      </c>
      <c r="AB710" s="3" t="inlineStr">
        <is>
          <t>Need to sell these SKUs by 15th Feb</t>
        </is>
      </c>
      <c r="AC710" s="31" t="n">
        <v>0.31</v>
      </c>
      <c r="AD710" s="2" t="n">
        <v>0</v>
      </c>
      <c r="AE710" s="2" t="n">
        <v>35</v>
      </c>
      <c r="AF710" s="4" t="n">
        <v>34</v>
      </c>
      <c r="AG710" s="33" t="n">
        <v>19.99</v>
      </c>
      <c r="AH710" s="4" t="n">
        <v>1</v>
      </c>
      <c r="AI710" s="34" t="n">
        <v>0.0294</v>
      </c>
      <c r="AJ710" s="34" t="n">
        <v>1</v>
      </c>
      <c r="AK710" s="2" t="n">
        <v>14040</v>
      </c>
      <c r="AL710" t="inlineStr">
        <is>
          <t>Published</t>
        </is>
      </c>
    </row>
    <row r="711">
      <c r="A711">
        <f>HYPERLINK("https://www.walmart.com/ip/627401477", "627401477")</f>
        <v/>
      </c>
      <c r="B711">
        <f>HYPERLINK("https://app.optiwise.ai/catalog/itemdetails/359160", "Tirrinia Extra-Large Waterproof Picnic Blanket, Portable Beach Mat for Family, USA Stars, 70'' x 80''")</f>
        <v/>
      </c>
      <c r="C711" t="inlineStr">
        <is>
          <t>1TRBW781USA</t>
        </is>
      </c>
      <c r="D711" t="inlineStr">
        <is>
          <t>Sport &amp; Recreation Other</t>
        </is>
      </c>
      <c r="E711" t="inlineStr">
        <is>
          <t>Picnic Blankets &amp; Mats</t>
        </is>
      </c>
      <c r="F711" t="inlineStr">
        <is>
          <t>Tirrinia</t>
        </is>
      </c>
      <c r="G711" t="n">
        <v>0</v>
      </c>
      <c r="H711" t="n">
        <v>0</v>
      </c>
      <c r="I711" t="inlineStr">
        <is>
          <t>WFS,WFS Item</t>
        </is>
      </c>
      <c r="J711" s="29" t="n">
        <v>19.99</v>
      </c>
      <c r="K711" s="30" t="n">
        <v>0.0002</v>
      </c>
      <c r="L711" s="29" t="n">
        <v>0</v>
      </c>
      <c r="M711" s="29" t="n">
        <v>0</v>
      </c>
      <c r="N711" s="2" t="n">
        <v>1</v>
      </c>
      <c r="O711" s="31" t="n">
        <v>2.52</v>
      </c>
      <c r="P711" s="32" t="n">
        <v>0.0003</v>
      </c>
      <c r="Q711" s="32" t="n">
        <v>0.1261</v>
      </c>
      <c r="R711" s="32" t="n">
        <v>0.1159</v>
      </c>
      <c r="S711" s="31" t="n">
        <v>0</v>
      </c>
      <c r="T711" s="32" t="n">
        <v>0</v>
      </c>
      <c r="U711" s="31" t="n">
        <v>0</v>
      </c>
      <c r="V711" s="31" t="n">
        <v>0</v>
      </c>
      <c r="W711" s="3" t="n">
        <v>14654</v>
      </c>
      <c r="X711" s="3" t="n">
        <v>9</v>
      </c>
      <c r="Y711" s="32" t="n">
        <v>0.0005999999999999999</v>
      </c>
      <c r="Z711" s="3" t="n">
        <v>0</v>
      </c>
      <c r="AA711" s="32" t="n">
        <v>0</v>
      </c>
      <c r="AB711" s="3" t="inlineStr">
        <is>
          <t>All Items_Auto_Optiwise_24</t>
        </is>
      </c>
      <c r="AC711" s="31" t="n">
        <v>0.28</v>
      </c>
      <c r="AD711" s="2" t="n">
        <v>0</v>
      </c>
      <c r="AE711" s="2" t="n">
        <v>61</v>
      </c>
      <c r="AF711" s="4" t="n">
        <v>52</v>
      </c>
      <c r="AG711" s="33" t="n">
        <v>19.99</v>
      </c>
      <c r="AH711" s="4" t="n">
        <v>1</v>
      </c>
      <c r="AI711" s="34" t="n">
        <v>0.0192</v>
      </c>
      <c r="AJ711" s="34" t="n">
        <v>1</v>
      </c>
      <c r="AK711" s="2" t="n">
        <v>13500</v>
      </c>
      <c r="AL711" t="inlineStr">
        <is>
          <t>Published</t>
        </is>
      </c>
    </row>
    <row r="712">
      <c r="A712">
        <f>HYPERLINK("https://www.walmart.com/ip/824264926", "824264926")</f>
        <v/>
      </c>
      <c r="B712">
        <f>HYPERLINK("https://app.optiwise.ai/catalog/itemdetails/358775", "Solaris Waterproof Snow Gloves for Men and Women, 100-Gram 3M Thinsulate Cold Weather Protection, Gray and Black, X-Large")</f>
        <v/>
      </c>
      <c r="C712" t="inlineStr">
        <is>
          <t>1SLWG302BKGY-XL</t>
        </is>
      </c>
      <c r="D712" t="inlineStr">
        <is>
          <t>Clothing</t>
        </is>
      </c>
      <c r="E712" t="inlineStr">
        <is>
          <t>Gloves &amp; Mittens</t>
        </is>
      </c>
      <c r="F712" t="inlineStr">
        <is>
          <t>Solaris</t>
        </is>
      </c>
      <c r="G712" t="n">
        <v>0</v>
      </c>
      <c r="H712" t="n">
        <v>0</v>
      </c>
      <c r="I712" t="inlineStr">
        <is>
          <t>Optimized,Gloves,WFS,WFS Item</t>
        </is>
      </c>
      <c r="J712" s="29" t="n">
        <v>19.99</v>
      </c>
      <c r="K712" s="30" t="n">
        <v>0.0002</v>
      </c>
      <c r="L712" s="29" t="n">
        <v>0</v>
      </c>
      <c r="M712" s="29" t="n">
        <v>0</v>
      </c>
      <c r="N712" s="2" t="n">
        <v>1</v>
      </c>
      <c r="O712" s="31" t="n">
        <v>0</v>
      </c>
      <c r="P712" s="32" t="n"/>
      <c r="Q712" s="32" t="n">
        <v>0</v>
      </c>
      <c r="R712" s="32" t="n">
        <v>0</v>
      </c>
      <c r="S712" s="31" t="n">
        <v>0</v>
      </c>
      <c r="T712" s="32" t="n">
        <v>0</v>
      </c>
      <c r="U712" s="31" t="n">
        <v>0</v>
      </c>
      <c r="V712" s="31" t="n">
        <v>0</v>
      </c>
      <c r="W712" s="3" t="n">
        <v>0</v>
      </c>
      <c r="X712" s="3" t="n">
        <v>0</v>
      </c>
      <c r="Y712" s="32" t="n">
        <v>0</v>
      </c>
      <c r="Z712" s="3" t="n">
        <v>0</v>
      </c>
      <c r="AA712" s="32" t="n">
        <v>0</v>
      </c>
      <c r="AB712" s="3" t="n"/>
      <c r="AC712" s="31" t="n">
        <v>0</v>
      </c>
      <c r="AD712" s="2" t="n">
        <v>0</v>
      </c>
      <c r="AE712" s="2" t="n">
        <v>0</v>
      </c>
      <c r="AF712" s="4" t="n">
        <v>0</v>
      </c>
      <c r="AG712" s="33" t="n">
        <v>19.99</v>
      </c>
      <c r="AH712" s="4" t="n">
        <v>1</v>
      </c>
      <c r="AI712" s="34" t="n"/>
      <c r="AJ712" s="34" t="n">
        <v>1</v>
      </c>
      <c r="AK712" s="2" t="n">
        <v>4590</v>
      </c>
      <c r="AL712" t="inlineStr">
        <is>
          <t>Published</t>
        </is>
      </c>
    </row>
    <row r="713">
      <c r="A713">
        <f>HYPERLINK("https://www.walmart.com/ip/255344088", "255344088")</f>
        <v/>
      </c>
      <c r="B713">
        <f>HYPERLINK("https://app.optiwise.ai/catalog/itemdetails/361075", "Tirrinia Insulated 4 Bottle Wine Carrier Tote Cooler Bag for Travel Picnic Padded Champagne Glass Carrying Case Leather")</f>
        <v/>
      </c>
      <c r="C713" t="inlineStr">
        <is>
          <t>1WMWB421DBL</t>
        </is>
      </c>
      <c r="D713" t="inlineStr">
        <is>
          <t>Home Decor, Kitchen, &amp; Other</t>
        </is>
      </c>
      <c r="E713" t="inlineStr">
        <is>
          <t>Wine Totes, Bags &amp; Backpacks</t>
        </is>
      </c>
      <c r="F713" t="inlineStr">
        <is>
          <t>Flyingstar</t>
        </is>
      </c>
      <c r="G713" t="n">
        <v>0</v>
      </c>
      <c r="H713" t="n">
        <v>0</v>
      </c>
      <c r="I713" t="inlineStr">
        <is>
          <t>Wine,Christmas,Optimized,Valentine</t>
        </is>
      </c>
      <c r="J713" s="29" t="n">
        <v>19.99</v>
      </c>
      <c r="K713" s="30" t="n">
        <v>0.0002</v>
      </c>
      <c r="L713" s="29" t="n">
        <v>0</v>
      </c>
      <c r="M713" s="29" t="n">
        <v>0</v>
      </c>
      <c r="N713" s="2" t="n">
        <v>1</v>
      </c>
      <c r="O713" s="31" t="n">
        <v>0</v>
      </c>
      <c r="P713" s="32" t="n"/>
      <c r="Q713" s="32" t="n">
        <v>0</v>
      </c>
      <c r="R713" s="32" t="n">
        <v>0</v>
      </c>
      <c r="S713" s="31" t="n">
        <v>0</v>
      </c>
      <c r="T713" s="32" t="n">
        <v>0</v>
      </c>
      <c r="U713" s="31" t="n">
        <v>0</v>
      </c>
      <c r="V713" s="31" t="n">
        <v>0</v>
      </c>
      <c r="W713" s="3" t="n">
        <v>0</v>
      </c>
      <c r="X713" s="3" t="n">
        <v>0</v>
      </c>
      <c r="Y713" s="32" t="n">
        <v>0</v>
      </c>
      <c r="Z713" s="3" t="n">
        <v>0</v>
      </c>
      <c r="AA713" s="32" t="n">
        <v>0</v>
      </c>
      <c r="AB713" s="3" t="n"/>
      <c r="AC713" s="31" t="n">
        <v>0</v>
      </c>
      <c r="AD713" s="2" t="n">
        <v>0</v>
      </c>
      <c r="AE713" s="2" t="n">
        <v>13</v>
      </c>
      <c r="AF713" s="4" t="n">
        <v>13</v>
      </c>
      <c r="AG713" s="33" t="n">
        <v>19.99</v>
      </c>
      <c r="AH713" s="4" t="n">
        <v>1</v>
      </c>
      <c r="AI713" s="34" t="n">
        <v>0.0769</v>
      </c>
      <c r="AJ713" s="34" t="n">
        <v>1</v>
      </c>
      <c r="AK713" s="2" t="n">
        <v>7155</v>
      </c>
      <c r="AL713" t="inlineStr">
        <is>
          <t>Published</t>
        </is>
      </c>
    </row>
    <row r="714">
      <c r="A714">
        <f>HYPERLINK("https://www.walmart.com/ip/655001568", "655001568")</f>
        <v/>
      </c>
      <c r="B714">
        <f>HYPERLINK("https://app.optiwise.ai/catalog/itemdetails/361457", "Solaris Womens Bucket Hat UV Sun Protection Lightweight Packable Summer Travel Beach Cap,Kahki")</f>
        <v/>
      </c>
      <c r="C714" t="inlineStr">
        <is>
          <t>1SLSH189KK</t>
        </is>
      </c>
      <c r="D714" t="inlineStr">
        <is>
          <t>Clothing</t>
        </is>
      </c>
      <c r="E714" t="inlineStr">
        <is>
          <t>Hats</t>
        </is>
      </c>
      <c r="F714" t="inlineStr">
        <is>
          <t>Solaris</t>
        </is>
      </c>
      <c r="G714" t="n">
        <v>3.9</v>
      </c>
      <c r="H714" t="n">
        <v>15</v>
      </c>
      <c r="I714" t="inlineStr">
        <is>
          <t>Hats,Batch 1 - TR</t>
        </is>
      </c>
      <c r="J714" s="29" t="n">
        <v>19.98</v>
      </c>
      <c r="K714" s="30" t="n">
        <v>0.0002</v>
      </c>
      <c r="L714" s="29" t="n">
        <v>9.989999771118164</v>
      </c>
      <c r="M714" s="29" t="n">
        <v>0</v>
      </c>
      <c r="N714" s="2" t="n">
        <v>2</v>
      </c>
      <c r="O714" s="31" t="n">
        <v>0</v>
      </c>
      <c r="P714" s="32" t="n"/>
      <c r="Q714" s="32" t="n">
        <v>0</v>
      </c>
      <c r="R714" s="32" t="n">
        <v>0</v>
      </c>
      <c r="S714" s="31" t="n">
        <v>0</v>
      </c>
      <c r="T714" s="32" t="n">
        <v>0</v>
      </c>
      <c r="U714" s="31" t="n">
        <v>0</v>
      </c>
      <c r="V714" s="31" t="n">
        <v>0</v>
      </c>
      <c r="W714" s="3" t="n">
        <v>0</v>
      </c>
      <c r="X714" s="3" t="n">
        <v>0</v>
      </c>
      <c r="Y714" s="32" t="n">
        <v>0</v>
      </c>
      <c r="Z714" s="3" t="n">
        <v>0</v>
      </c>
      <c r="AA714" s="32" t="n">
        <v>0</v>
      </c>
      <c r="AB714" s="3" t="n"/>
      <c r="AC714" s="31" t="n">
        <v>0</v>
      </c>
      <c r="AD714" s="2" t="n">
        <v>5</v>
      </c>
      <c r="AE714" s="2" t="n">
        <v>53</v>
      </c>
      <c r="AF714" s="4" t="n">
        <v>53</v>
      </c>
      <c r="AG714" s="33" t="n">
        <v>19.98</v>
      </c>
      <c r="AH714" s="4" t="n">
        <v>2</v>
      </c>
      <c r="AI714" s="34" t="n">
        <v>0.0377</v>
      </c>
      <c r="AJ714" s="34" t="n">
        <v>1</v>
      </c>
      <c r="AK714" s="2" t="n">
        <v>4860</v>
      </c>
      <c r="AL714" t="inlineStr">
        <is>
          <t>Published</t>
        </is>
      </c>
    </row>
    <row r="715">
      <c r="A715">
        <f>HYPERLINK("https://www.walmart.com/ip/752540737", "752540737")</f>
        <v/>
      </c>
      <c r="B715">
        <f>HYPERLINK("https://app.optiwise.ai/catalog/itemdetails/362332", "Tirrinia Bucket Hats for Women with Hawaii Flower Print | UPF 50+ Sun Protection Cap for Garden, Beach, Travel")</f>
        <v/>
      </c>
      <c r="C715" t="inlineStr">
        <is>
          <t>1TRSH9200FGR-TBGM</t>
        </is>
      </c>
      <c r="D715" t="inlineStr">
        <is>
          <t>Clothing</t>
        </is>
      </c>
      <c r="E715" t="inlineStr">
        <is>
          <t>Hats</t>
        </is>
      </c>
      <c r="F715" t="inlineStr">
        <is>
          <t>Tirrinia</t>
        </is>
      </c>
      <c r="G715" t="n">
        <v>0</v>
      </c>
      <c r="H715" t="n">
        <v>0</v>
      </c>
      <c r="I715" t="inlineStr">
        <is>
          <t>Batch 1 - TR</t>
        </is>
      </c>
      <c r="J715" s="29" t="n">
        <v>19.98</v>
      </c>
      <c r="K715" s="30" t="n">
        <v>0.0002</v>
      </c>
      <c r="L715" s="29" t="n">
        <v>0</v>
      </c>
      <c r="M715" s="29" t="n">
        <v>0</v>
      </c>
      <c r="N715" s="2" t="n">
        <v>2</v>
      </c>
      <c r="O715" s="31" t="n">
        <v>0</v>
      </c>
      <c r="P715" s="32" t="n"/>
      <c r="Q715" s="32" t="n">
        <v>0</v>
      </c>
      <c r="R715" s="32" t="n">
        <v>0</v>
      </c>
      <c r="S715" s="31" t="n">
        <v>0</v>
      </c>
      <c r="T715" s="32" t="n">
        <v>0</v>
      </c>
      <c r="U715" s="31" t="n">
        <v>0</v>
      </c>
      <c r="V715" s="31" t="n">
        <v>0</v>
      </c>
      <c r="W715" s="3" t="n">
        <v>0</v>
      </c>
      <c r="X715" s="3" t="n">
        <v>0</v>
      </c>
      <c r="Y715" s="32" t="n">
        <v>0</v>
      </c>
      <c r="Z715" s="3" t="n">
        <v>0</v>
      </c>
      <c r="AA715" s="32" t="n">
        <v>0</v>
      </c>
      <c r="AB715" s="3" t="n"/>
      <c r="AC715" s="31" t="n">
        <v>0</v>
      </c>
      <c r="AD715" s="2" t="n">
        <v>0</v>
      </c>
      <c r="AE715" s="2" t="n">
        <v>9</v>
      </c>
      <c r="AF715" s="4" t="n">
        <v>9</v>
      </c>
      <c r="AG715" s="33" t="n">
        <v>19.98</v>
      </c>
      <c r="AH715" s="4" t="n">
        <v>2</v>
      </c>
      <c r="AI715" s="34" t="n">
        <v>0.2222</v>
      </c>
      <c r="AJ715" s="34" t="n">
        <v>1</v>
      </c>
      <c r="AK715" s="2" t="n">
        <v>6750</v>
      </c>
      <c r="AL715" t="inlineStr">
        <is>
          <t>Published</t>
        </is>
      </c>
    </row>
    <row r="716">
      <c r="A716">
        <f>HYPERLINK("https://www.walmart.com/ip/1839020688", "1839020688")</f>
        <v/>
      </c>
      <c r="B716">
        <f>HYPERLINK("https://app.optiwise.ai/catalog/itemdetails/933367", "Catalonia Reversible Cooling Blanket, Lightweight Summer Comforter for Hot Sleepers, Silky Soft Summer Duvet Throw Size, 50x60 inches, Soft Breathable, Blue")</f>
        <v/>
      </c>
      <c r="C716" t="inlineStr">
        <is>
          <t>1CTBQ100BL</t>
        </is>
      </c>
      <c r="D716" t="inlineStr">
        <is>
          <t>Bedding</t>
        </is>
      </c>
      <c r="E716" t="inlineStr">
        <is>
          <t>Bed Blankets</t>
        </is>
      </c>
      <c r="F716" t="inlineStr">
        <is>
          <t>Catalonia</t>
        </is>
      </c>
      <c r="G716" t="n">
        <v>0</v>
      </c>
      <c r="H716" t="n">
        <v>0</v>
      </c>
      <c r="I716" t="inlineStr">
        <is>
          <t>Batch 1 - TR</t>
        </is>
      </c>
      <c r="J716" s="29" t="n">
        <v>19.98</v>
      </c>
      <c r="K716" s="30" t="n">
        <v>0.0002</v>
      </c>
      <c r="L716" s="29" t="n">
        <v>0</v>
      </c>
      <c r="M716" s="29" t="n">
        <v>0</v>
      </c>
      <c r="N716" s="2" t="n">
        <v>1</v>
      </c>
      <c r="O716" s="31" t="n">
        <v>0</v>
      </c>
      <c r="P716" s="32" t="n"/>
      <c r="Q716" s="32" t="n">
        <v>0</v>
      </c>
      <c r="R716" s="32" t="n">
        <v>0</v>
      </c>
      <c r="S716" s="31" t="n">
        <v>0</v>
      </c>
      <c r="T716" s="32" t="n">
        <v>0</v>
      </c>
      <c r="U716" s="31" t="n">
        <v>0</v>
      </c>
      <c r="V716" s="31" t="n">
        <v>0</v>
      </c>
      <c r="W716" s="3" t="n">
        <v>0</v>
      </c>
      <c r="X716" s="3" t="n">
        <v>0</v>
      </c>
      <c r="Y716" s="32" t="n">
        <v>0</v>
      </c>
      <c r="Z716" s="3" t="n">
        <v>0</v>
      </c>
      <c r="AA716" s="32" t="n">
        <v>0</v>
      </c>
      <c r="AB716" s="3" t="n"/>
      <c r="AC716" s="31" t="n">
        <v>0</v>
      </c>
      <c r="AD716" s="2" t="n">
        <v>0</v>
      </c>
      <c r="AE716" s="2" t="n">
        <v>30</v>
      </c>
      <c r="AF716" s="4" t="n">
        <v>30</v>
      </c>
      <c r="AG716" s="33" t="n">
        <v>19.98</v>
      </c>
      <c r="AH716" s="4" t="n">
        <v>1</v>
      </c>
      <c r="AI716" s="34" t="n">
        <v>0.0333</v>
      </c>
      <c r="AJ716" s="34" t="n">
        <v>1</v>
      </c>
      <c r="AK716" s="2" t="n">
        <v>13500</v>
      </c>
      <c r="AL716" t="inlineStr">
        <is>
          <t>Published</t>
        </is>
      </c>
    </row>
    <row r="717">
      <c r="A717">
        <f>HYPERLINK("https://www.walmart.com/ip/1533101659", "1533101659")</f>
        <v/>
      </c>
      <c r="B717">
        <f>HYPERLINK("https://app.optiwise.ai/catalog/itemdetails/933381", "Catalonia Reversible Cooling Blanket, Lightweight Summer Comforter for Hot Sleepers, Silky Soft Summer Duvet Throw Size, 50x60 inches, Soft Breathable, Grey")</f>
        <v/>
      </c>
      <c r="C717" t="inlineStr">
        <is>
          <t>1CTBQ100GY</t>
        </is>
      </c>
      <c r="D717" t="inlineStr">
        <is>
          <t>Bedding</t>
        </is>
      </c>
      <c r="E717" t="inlineStr">
        <is>
          <t>Throws</t>
        </is>
      </c>
      <c r="F717" t="inlineStr">
        <is>
          <t>Catalonia</t>
        </is>
      </c>
      <c r="G717" t="n">
        <v>0</v>
      </c>
      <c r="H717" t="n">
        <v>0</v>
      </c>
      <c r="I717" t="inlineStr">
        <is>
          <t>Batch 1 - TR</t>
        </is>
      </c>
      <c r="J717" s="29" t="n">
        <v>19.98</v>
      </c>
      <c r="K717" s="30" t="n">
        <v>0.0002</v>
      </c>
      <c r="L717" s="29" t="n">
        <v>0</v>
      </c>
      <c r="M717" s="29" t="n">
        <v>0</v>
      </c>
      <c r="N717" s="2" t="n">
        <v>1</v>
      </c>
      <c r="O717" s="31" t="n">
        <v>0</v>
      </c>
      <c r="P717" s="32" t="n"/>
      <c r="Q717" s="32" t="n">
        <v>0</v>
      </c>
      <c r="R717" s="32" t="n">
        <v>0</v>
      </c>
      <c r="S717" s="31" t="n">
        <v>0</v>
      </c>
      <c r="T717" s="32" t="n">
        <v>0</v>
      </c>
      <c r="U717" s="31" t="n">
        <v>0</v>
      </c>
      <c r="V717" s="31" t="n">
        <v>0</v>
      </c>
      <c r="W717" s="3" t="n">
        <v>0</v>
      </c>
      <c r="X717" s="3" t="n">
        <v>0</v>
      </c>
      <c r="Y717" s="32" t="n">
        <v>0</v>
      </c>
      <c r="Z717" s="3" t="n">
        <v>0</v>
      </c>
      <c r="AA717" s="32" t="n">
        <v>0</v>
      </c>
      <c r="AB717" s="3" t="n"/>
      <c r="AC717" s="31" t="n">
        <v>0</v>
      </c>
      <c r="AD717" s="2" t="n">
        <v>0</v>
      </c>
      <c r="AE717" s="2" t="n">
        <v>0</v>
      </c>
      <c r="AF717" s="4" t="n">
        <v>0</v>
      </c>
      <c r="AG717" s="33" t="n">
        <v>19.98</v>
      </c>
      <c r="AH717" s="4" t="n">
        <v>1</v>
      </c>
      <c r="AI717" s="34" t="n"/>
      <c r="AJ717" s="34" t="n">
        <v>1</v>
      </c>
      <c r="AK717" s="2" t="n">
        <v>8100</v>
      </c>
      <c r="AL717" t="inlineStr">
        <is>
          <t>Published</t>
        </is>
      </c>
    </row>
    <row r="718">
      <c r="A718">
        <f>HYPERLINK("https://www.walmart.com/ip/714613908", "714613908")</f>
        <v/>
      </c>
      <c r="B718">
        <f>HYPERLINK("https://app.optiwise.ai/catalog/itemdetails/360364", "Unisex Safari Sun Hat Wide Brim Boonie Cap with Adjustable Drawstring and Removable Bucket Crown for Camping Hiking Fishing Hunting Boating")</f>
        <v/>
      </c>
      <c r="C718" t="inlineStr">
        <is>
          <t>1TRSH895OL-TBCB</t>
        </is>
      </c>
      <c r="D718" t="inlineStr">
        <is>
          <t>Clothing</t>
        </is>
      </c>
      <c r="E718" t="inlineStr">
        <is>
          <t>Hats</t>
        </is>
      </c>
      <c r="F718" t="inlineStr">
        <is>
          <t>Tirrinia</t>
        </is>
      </c>
      <c r="G718" t="n">
        <v>5</v>
      </c>
      <c r="H718" t="n">
        <v>2</v>
      </c>
      <c r="I718" t="inlineStr">
        <is>
          <t>Hats,Batch 1 - TR</t>
        </is>
      </c>
      <c r="J718" s="29" t="n">
        <v>19.98</v>
      </c>
      <c r="K718" s="30" t="n">
        <v>0.0002</v>
      </c>
      <c r="L718" s="29" t="n">
        <v>9.989999771118164</v>
      </c>
      <c r="M718" s="29" t="n">
        <v>0</v>
      </c>
      <c r="N718" s="2" t="n">
        <v>2</v>
      </c>
      <c r="O718" s="31" t="n">
        <v>0</v>
      </c>
      <c r="P718" s="32" t="n"/>
      <c r="Q718" s="32" t="n">
        <v>0</v>
      </c>
      <c r="R718" s="32" t="n">
        <v>0</v>
      </c>
      <c r="S718" s="31" t="n">
        <v>0</v>
      </c>
      <c r="T718" s="32" t="n">
        <v>0</v>
      </c>
      <c r="U718" s="31" t="n">
        <v>0</v>
      </c>
      <c r="V718" s="31" t="n">
        <v>0</v>
      </c>
      <c r="W718" s="3" t="n">
        <v>0</v>
      </c>
      <c r="X718" s="3" t="n">
        <v>0</v>
      </c>
      <c r="Y718" s="32" t="n">
        <v>0</v>
      </c>
      <c r="Z718" s="3" t="n">
        <v>0</v>
      </c>
      <c r="AA718" s="32" t="n">
        <v>0</v>
      </c>
      <c r="AB718" s="3" t="n"/>
      <c r="AC718" s="31" t="n">
        <v>0</v>
      </c>
      <c r="AD718" s="2" t="n">
        <v>0</v>
      </c>
      <c r="AE718" s="2" t="n">
        <v>53</v>
      </c>
      <c r="AF718" s="4" t="n">
        <v>53</v>
      </c>
      <c r="AG718" s="33" t="n">
        <v>19.98</v>
      </c>
      <c r="AH718" s="4" t="n">
        <v>2</v>
      </c>
      <c r="AI718" s="34" t="n">
        <v>0.0377</v>
      </c>
      <c r="AJ718" s="34" t="n">
        <v>1</v>
      </c>
      <c r="AK718" s="2" t="n">
        <v>6750</v>
      </c>
      <c r="AL718" t="inlineStr">
        <is>
          <t>Published</t>
        </is>
      </c>
    </row>
    <row r="719">
      <c r="A719">
        <f>HYPERLINK("https://www.walmart.com/ip/299098323", "299098323")</f>
        <v/>
      </c>
      <c r="B719">
        <f>HYPERLINK("https://app.optiwise.ai/catalog/itemdetails/358803", "Flyingstar Women's Ponytail Sun Hat for Hiking Gardening Safari, Breathable Mesh and Ponytail Hole Opening, Green")</f>
        <v/>
      </c>
      <c r="C719" t="inlineStr">
        <is>
          <t>1WMSH912GN</t>
        </is>
      </c>
      <c r="D719" t="inlineStr">
        <is>
          <t>Clothing</t>
        </is>
      </c>
      <c r="E719" t="inlineStr">
        <is>
          <t>Hats</t>
        </is>
      </c>
      <c r="F719" t="inlineStr">
        <is>
          <t>Flyingstar</t>
        </is>
      </c>
      <c r="G719" t="n">
        <v>0</v>
      </c>
      <c r="H719" t="n">
        <v>0</v>
      </c>
      <c r="I719" t="inlineStr">
        <is>
          <t>Optimized,ST Patrick Day</t>
        </is>
      </c>
      <c r="J719" s="29" t="n">
        <v>19.98</v>
      </c>
      <c r="K719" s="30" t="n">
        <v>0.0002</v>
      </c>
      <c r="L719" s="29" t="n">
        <v>0</v>
      </c>
      <c r="M719" s="29" t="n">
        <v>0</v>
      </c>
      <c r="N719" s="2" t="n">
        <v>2</v>
      </c>
      <c r="O719" s="31" t="n">
        <v>0</v>
      </c>
      <c r="P719" s="32" t="n"/>
      <c r="Q719" s="32" t="n">
        <v>0</v>
      </c>
      <c r="R719" s="32" t="n">
        <v>0</v>
      </c>
      <c r="S719" s="31" t="n">
        <v>0</v>
      </c>
      <c r="T719" s="32" t="n">
        <v>0</v>
      </c>
      <c r="U719" s="31" t="n">
        <v>0</v>
      </c>
      <c r="V719" s="31" t="n">
        <v>0</v>
      </c>
      <c r="W719" s="3" t="n">
        <v>0</v>
      </c>
      <c r="X719" s="3" t="n">
        <v>0</v>
      </c>
      <c r="Y719" s="32" t="n">
        <v>0</v>
      </c>
      <c r="Z719" s="3" t="n">
        <v>0</v>
      </c>
      <c r="AA719" s="32" t="n">
        <v>0</v>
      </c>
      <c r="AB719" s="3" t="n"/>
      <c r="AC719" s="31" t="n">
        <v>0</v>
      </c>
      <c r="AD719" s="2" t="n">
        <v>0</v>
      </c>
      <c r="AE719" s="2" t="n">
        <v>11</v>
      </c>
      <c r="AF719" s="4" t="n">
        <v>11</v>
      </c>
      <c r="AG719" s="33" t="n">
        <v>19.98</v>
      </c>
      <c r="AH719" s="4" t="n">
        <v>2</v>
      </c>
      <c r="AI719" s="34" t="n">
        <v>0.1818</v>
      </c>
      <c r="AJ719" s="34" t="n">
        <v>1</v>
      </c>
      <c r="AK719" s="2" t="n">
        <v>6952</v>
      </c>
      <c r="AL719" t="inlineStr">
        <is>
          <t>Published</t>
        </is>
      </c>
    </row>
    <row r="720">
      <c r="A720">
        <f>HYPERLINK("https://www.walmart.com/ip/391372266", "391372266")</f>
        <v/>
      </c>
      <c r="B720">
        <f>HYPERLINK("https://app.optiwise.ai/catalog/itemdetails/362513", "Kato Single Wine Tote Bag, Insulated Padded Thermal Wine Bottle Carrying Cooler Carrier for Travel, Picnic, Perfect Gift for Wine Lover, Black")</f>
        <v/>
      </c>
      <c r="C720" t="inlineStr">
        <is>
          <t>1KTWB100BKCK</t>
        </is>
      </c>
      <c r="D720" t="inlineStr">
        <is>
          <t>Home Decor, Kitchen, &amp; Other</t>
        </is>
      </c>
      <c r="E720" t="inlineStr">
        <is>
          <t>Wine Totes, Bags &amp; Backpacks</t>
        </is>
      </c>
      <c r="F720" t="inlineStr">
        <is>
          <t>Tirrinia</t>
        </is>
      </c>
      <c r="G720" t="n">
        <v>0</v>
      </c>
      <c r="H720" t="n">
        <v>0</v>
      </c>
      <c r="I720" t="inlineStr">
        <is>
          <t>Wine,Christmas,Wine WFS,Valentine</t>
        </is>
      </c>
      <c r="J720" s="29" t="n">
        <v>19.98</v>
      </c>
      <c r="K720" s="30" t="n">
        <v>0.0002</v>
      </c>
      <c r="L720" s="29" t="n">
        <v>9.989999771118164</v>
      </c>
      <c r="M720" s="29" t="n">
        <v>0</v>
      </c>
      <c r="N720" s="2" t="n">
        <v>2</v>
      </c>
      <c r="O720" s="31" t="n">
        <v>0</v>
      </c>
      <c r="P720" s="32" t="n"/>
      <c r="Q720" s="32" t="n">
        <v>0</v>
      </c>
      <c r="R720" s="32" t="n">
        <v>0</v>
      </c>
      <c r="S720" s="31" t="n">
        <v>0</v>
      </c>
      <c r="T720" s="32" t="n">
        <v>0</v>
      </c>
      <c r="U720" s="31" t="n">
        <v>0</v>
      </c>
      <c r="V720" s="31" t="n">
        <v>0</v>
      </c>
      <c r="W720" s="3" t="n">
        <v>0</v>
      </c>
      <c r="X720" s="3" t="n">
        <v>0</v>
      </c>
      <c r="Y720" s="32" t="n">
        <v>0</v>
      </c>
      <c r="Z720" s="3" t="n">
        <v>0</v>
      </c>
      <c r="AA720" s="32" t="n">
        <v>0</v>
      </c>
      <c r="AB720" s="3" t="n"/>
      <c r="AC720" s="31" t="n">
        <v>0</v>
      </c>
      <c r="AD720" s="2" t="n">
        <v>0</v>
      </c>
      <c r="AE720" s="2" t="n">
        <v>53</v>
      </c>
      <c r="AF720" s="4" t="n">
        <v>53</v>
      </c>
      <c r="AG720" s="33" t="n">
        <v>19.98</v>
      </c>
      <c r="AH720" s="4" t="n">
        <v>2</v>
      </c>
      <c r="AI720" s="34" t="n">
        <v>0.0377</v>
      </c>
      <c r="AJ720" s="34" t="n">
        <v>1</v>
      </c>
      <c r="AK720" s="2" t="n">
        <v>6750</v>
      </c>
      <c r="AL720" t="inlineStr">
        <is>
          <t>Published</t>
        </is>
      </c>
    </row>
    <row r="721">
      <c r="A721">
        <f>HYPERLINK("https://www.walmart.com/ip/282036777", "282036777")</f>
        <v/>
      </c>
      <c r="B721">
        <f>HYPERLINK("https://app.optiwise.ai/catalog/itemdetails/359329", "Solaris Womens Bucket Hat UV Sun Protection Lightweight Packable Summer Travel Beach Cap,Dark Gray")</f>
        <v/>
      </c>
      <c r="C721" t="inlineStr">
        <is>
          <t>1SLSH189DG</t>
        </is>
      </c>
      <c r="D721" t="inlineStr">
        <is>
          <t>Clothing</t>
        </is>
      </c>
      <c r="E721" t="inlineStr">
        <is>
          <t>Hats</t>
        </is>
      </c>
      <c r="F721" t="inlineStr">
        <is>
          <t>Solaris</t>
        </is>
      </c>
      <c r="G721" t="n">
        <v>3.8</v>
      </c>
      <c r="H721" t="n">
        <v>14</v>
      </c>
      <c r="I721" t="inlineStr">
        <is>
          <t>Q2-Target,Hats,Batch 1 - TR</t>
        </is>
      </c>
      <c r="J721" s="29" t="n">
        <v>19.98</v>
      </c>
      <c r="K721" s="30" t="n">
        <v>0.0002</v>
      </c>
      <c r="L721" s="29" t="n">
        <v>0</v>
      </c>
      <c r="M721" s="29" t="n">
        <v>0</v>
      </c>
      <c r="N721" s="2" t="n">
        <v>2</v>
      </c>
      <c r="O721" s="31" t="n">
        <v>0</v>
      </c>
      <c r="P721" s="32" t="n"/>
      <c r="Q721" s="32" t="n">
        <v>0</v>
      </c>
      <c r="R721" s="32" t="n">
        <v>0</v>
      </c>
      <c r="S721" s="31" t="n">
        <v>0</v>
      </c>
      <c r="T721" s="32" t="n">
        <v>0</v>
      </c>
      <c r="U721" s="31" t="n">
        <v>0</v>
      </c>
      <c r="V721" s="31" t="n">
        <v>0</v>
      </c>
      <c r="W721" s="3" t="n">
        <v>0</v>
      </c>
      <c r="X721" s="3" t="n">
        <v>0</v>
      </c>
      <c r="Y721" s="32" t="n">
        <v>0</v>
      </c>
      <c r="Z721" s="3" t="n">
        <v>0</v>
      </c>
      <c r="AA721" s="32" t="n">
        <v>0</v>
      </c>
      <c r="AB721" s="3" t="n"/>
      <c r="AC721" s="31" t="n">
        <v>0</v>
      </c>
      <c r="AD721" s="2" t="n">
        <v>0</v>
      </c>
      <c r="AE721" s="2" t="n">
        <v>11</v>
      </c>
      <c r="AF721" s="4" t="n">
        <v>11</v>
      </c>
      <c r="AG721" s="33" t="n">
        <v>19.98</v>
      </c>
      <c r="AH721" s="4" t="n">
        <v>2</v>
      </c>
      <c r="AI721" s="34" t="n">
        <v>0.1818</v>
      </c>
      <c r="AJ721" s="34" t="n">
        <v>1</v>
      </c>
      <c r="AK721" s="2" t="n">
        <v>0</v>
      </c>
      <c r="AL721" t="inlineStr">
        <is>
          <t>Published</t>
        </is>
      </c>
    </row>
    <row r="722">
      <c r="A722">
        <f>HYPERLINK("https://www.walmart.com/ip/621860932", "621860932")</f>
        <v/>
      </c>
      <c r="B722">
        <f>HYPERLINK("https://app.optiwise.ai/catalog/itemdetails/361594", "Sun Blocker Sun Hat women Canvas Reversible Bucket Hat UV Sun Protection UPF 50+ Double Sided Outdoor Safari Travel Beach Golf Cap, Floral Blue")</f>
        <v/>
      </c>
      <c r="C722" t="inlineStr">
        <is>
          <t>KC-S9200FLW-BL</t>
        </is>
      </c>
      <c r="D722" t="inlineStr">
        <is>
          <t>Clothing</t>
        </is>
      </c>
      <c r="E722" t="inlineStr">
        <is>
          <t>Hats</t>
        </is>
      </c>
      <c r="F722" t="inlineStr">
        <is>
          <t>Sun Blocker</t>
        </is>
      </c>
      <c r="G722" t="n">
        <v>4.4</v>
      </c>
      <c r="H722" t="n">
        <v>28</v>
      </c>
      <c r="I722" t="inlineStr">
        <is>
          <t>Batch 1 - TR</t>
        </is>
      </c>
      <c r="J722" s="29" t="n">
        <v>19.98</v>
      </c>
      <c r="K722" s="30" t="n">
        <v>0.0002</v>
      </c>
      <c r="L722" s="29" t="n">
        <v>0</v>
      </c>
      <c r="M722" s="29" t="n">
        <v>0</v>
      </c>
      <c r="N722" s="2" t="n">
        <v>2</v>
      </c>
      <c r="O722" s="31" t="n">
        <v>0</v>
      </c>
      <c r="P722" s="32" t="n"/>
      <c r="Q722" s="32" t="n">
        <v>0</v>
      </c>
      <c r="R722" s="32" t="n">
        <v>1.1882</v>
      </c>
      <c r="S722" s="31" t="n">
        <v>0</v>
      </c>
      <c r="T722" s="32" t="n">
        <v>0</v>
      </c>
      <c r="U722" s="31" t="n">
        <v>0</v>
      </c>
      <c r="V722" s="31" t="n">
        <v>0</v>
      </c>
      <c r="W722" s="3" t="n">
        <v>0</v>
      </c>
      <c r="X722" s="3" t="n">
        <v>0</v>
      </c>
      <c r="Y722" s="32" t="n">
        <v>0</v>
      </c>
      <c r="Z722" s="3" t="n">
        <v>0</v>
      </c>
      <c r="AA722" s="32" t="n">
        <v>0</v>
      </c>
      <c r="AB722" s="3" t="n"/>
      <c r="AC722" s="31" t="n">
        <v>0</v>
      </c>
      <c r="AD722" s="2" t="n">
        <v>11</v>
      </c>
      <c r="AE722" s="2" t="n">
        <v>44</v>
      </c>
      <c r="AF722" s="4" t="n">
        <v>44</v>
      </c>
      <c r="AG722" s="33" t="n">
        <v>19.98</v>
      </c>
      <c r="AH722" s="4" t="n">
        <v>2</v>
      </c>
      <c r="AI722" s="34" t="n">
        <v>0.0455</v>
      </c>
      <c r="AJ722" s="34" t="n">
        <v>1</v>
      </c>
      <c r="AK722" s="2" t="n">
        <v>6750</v>
      </c>
      <c r="AL722" t="inlineStr">
        <is>
          <t>Published</t>
        </is>
      </c>
    </row>
    <row r="723">
      <c r="A723">
        <f>HYPERLINK("https://www.walmart.com/ip/202697010", "202697010")</f>
        <v/>
      </c>
      <c r="B723">
        <f>HYPERLINK("https://app.optiwise.ai/catalog/itemdetails/362516", "Napa Plush Throw Blanket Green, Twin 60x90, Striped Reversible Velvet Luxury Fleece Warm Bed Couch Blanket, Super Soft and Cozy")</f>
        <v/>
      </c>
      <c r="C723" t="inlineStr">
        <is>
          <t>K8030TW-GRN</t>
        </is>
      </c>
      <c r="D723" t="inlineStr">
        <is>
          <t>Bedding</t>
        </is>
      </c>
      <c r="E723" t="inlineStr">
        <is>
          <t>Throws</t>
        </is>
      </c>
      <c r="F723" t="inlineStr">
        <is>
          <t>NAPA</t>
        </is>
      </c>
      <c r="G723" t="n">
        <v>0</v>
      </c>
      <c r="H723" t="n">
        <v>0</v>
      </c>
      <c r="I723" t="inlineStr">
        <is>
          <t>Optimized,ST Patrick Day</t>
        </is>
      </c>
      <c r="J723" s="29" t="n">
        <v>18.99</v>
      </c>
      <c r="K723" s="30" t="n">
        <v>0.0002</v>
      </c>
      <c r="L723" s="29" t="n">
        <v>0</v>
      </c>
      <c r="M723" s="29" t="n">
        <v>0</v>
      </c>
      <c r="N723" s="2" t="n">
        <v>1</v>
      </c>
      <c r="O723" s="31" t="n">
        <v>0</v>
      </c>
      <c r="P723" s="32" t="n"/>
      <c r="Q723" s="32" t="n">
        <v>0</v>
      </c>
      <c r="R723" s="32" t="n">
        <v>0</v>
      </c>
      <c r="S723" s="31" t="n">
        <v>0</v>
      </c>
      <c r="T723" s="32" t="n">
        <v>0</v>
      </c>
      <c r="U723" s="31" t="n">
        <v>0</v>
      </c>
      <c r="V723" s="31" t="n">
        <v>0</v>
      </c>
      <c r="W723" s="3" t="n">
        <v>0</v>
      </c>
      <c r="X723" s="3" t="n">
        <v>0</v>
      </c>
      <c r="Y723" s="32" t="n">
        <v>0</v>
      </c>
      <c r="Z723" s="3" t="n">
        <v>0</v>
      </c>
      <c r="AA723" s="32" t="n">
        <v>0</v>
      </c>
      <c r="AB723" s="3" t="n"/>
      <c r="AC723" s="31" t="n">
        <v>0</v>
      </c>
      <c r="AD723" s="2" t="n">
        <v>0</v>
      </c>
      <c r="AE723" s="2" t="n">
        <v>6</v>
      </c>
      <c r="AF723" s="4" t="n">
        <v>6</v>
      </c>
      <c r="AG723" s="33" t="n">
        <v>18.99</v>
      </c>
      <c r="AH723" s="4" t="n">
        <v>1</v>
      </c>
      <c r="AI723" s="34" t="n">
        <v>0.1667</v>
      </c>
      <c r="AJ723" s="34" t="n">
        <v>1</v>
      </c>
      <c r="AK723" s="2" t="n">
        <v>2430</v>
      </c>
      <c r="AL723" t="inlineStr">
        <is>
          <t>Published</t>
        </is>
      </c>
    </row>
    <row r="724">
      <c r="A724">
        <f>HYPERLINK("https://www.walmart.com/ip/289597962", "289597962")</f>
        <v/>
      </c>
      <c r="B724">
        <f>HYPERLINK("https://app.optiwise.ai/catalog/itemdetails/361631", "Tirrinia Insulated Lunch Bag, Leakproof Thermal Bento Cooler Tote for Women and Men, Dual Compartment with Shoulder Strap, 10.2 x 7.5 x 9, Dark Gray")</f>
        <v/>
      </c>
      <c r="C724" t="inlineStr">
        <is>
          <t>1TRLB601DG</t>
        </is>
      </c>
      <c r="D724" t="inlineStr">
        <is>
          <t>Home Decor, Kitchen, &amp; Other</t>
        </is>
      </c>
      <c r="E724" t="inlineStr">
        <is>
          <t>Reusable Lunch Bags &amp; Boxes</t>
        </is>
      </c>
      <c r="F724" t="inlineStr">
        <is>
          <t>Tirrinia</t>
        </is>
      </c>
      <c r="G724" t="n">
        <v>0</v>
      </c>
      <c r="H724" t="n">
        <v>0</v>
      </c>
      <c r="I724" t="inlineStr">
        <is>
          <t>Q2-Target,Lunch Bag,WFS,Lunch Bags,SEM,WFS Item</t>
        </is>
      </c>
      <c r="J724" s="29" t="n">
        <v>18.99</v>
      </c>
      <c r="K724" s="30" t="n">
        <v>0.0002</v>
      </c>
      <c r="L724" s="29" t="n">
        <v>0</v>
      </c>
      <c r="M724" s="29" t="n">
        <v>0</v>
      </c>
      <c r="N724" s="2" t="n">
        <v>1</v>
      </c>
      <c r="O724" s="31" t="n">
        <v>0</v>
      </c>
      <c r="P724" s="32" t="n"/>
      <c r="Q724" s="32" t="n">
        <v>0</v>
      </c>
      <c r="R724" s="32" t="n">
        <v>0.0077</v>
      </c>
      <c r="S724" s="31" t="n">
        <v>0</v>
      </c>
      <c r="T724" s="32" t="n">
        <v>0</v>
      </c>
      <c r="U724" s="31" t="n">
        <v>0</v>
      </c>
      <c r="V724" s="31" t="n">
        <v>0</v>
      </c>
      <c r="W724" s="3" t="n">
        <v>0</v>
      </c>
      <c r="X724" s="3" t="n">
        <v>0</v>
      </c>
      <c r="Y724" s="32" t="n">
        <v>0</v>
      </c>
      <c r="Z724" s="3" t="n">
        <v>0</v>
      </c>
      <c r="AA724" s="32" t="n">
        <v>0</v>
      </c>
      <c r="AB724" s="3" t="n"/>
      <c r="AC724" s="31" t="n">
        <v>0</v>
      </c>
      <c r="AD724" s="2" t="n">
        <v>0</v>
      </c>
      <c r="AE724" s="2" t="n">
        <v>61</v>
      </c>
      <c r="AF724" s="4" t="n">
        <v>61</v>
      </c>
      <c r="AG724" s="33" t="n">
        <v>18.99</v>
      </c>
      <c r="AH724" s="4" t="n">
        <v>1</v>
      </c>
      <c r="AI724" s="34" t="n">
        <v>0.0164</v>
      </c>
      <c r="AJ724" s="34" t="n">
        <v>1</v>
      </c>
      <c r="AK724" s="2" t="n">
        <v>14445</v>
      </c>
      <c r="AL724" t="inlineStr">
        <is>
          <t>Published</t>
        </is>
      </c>
    </row>
    <row r="725">
      <c r="A725">
        <f>HYPERLINK("https://www.walmart.com/ip/125979782", "125979782")</f>
        <v/>
      </c>
      <c r="B725">
        <f>HYPERLINK("https://app.optiwise.ai/catalog/itemdetails/361477", "Napa Luxury Shu Velveteen Throw Blanket, Soft Blankets for Adults, All Seasons Plush Blanket, Cozy Reversible Fuzzy Blanket, Best Gift for Women, Pink, 50 x 60")</f>
        <v/>
      </c>
      <c r="C725" t="inlineStr">
        <is>
          <t>K9000PINK</t>
        </is>
      </c>
      <c r="D725" t="inlineStr">
        <is>
          <t>Bedding</t>
        </is>
      </c>
      <c r="E725" t="inlineStr">
        <is>
          <t>Throws</t>
        </is>
      </c>
      <c r="F725" t="inlineStr">
        <is>
          <t>NAPA</t>
        </is>
      </c>
      <c r="G725" t="n">
        <v>0</v>
      </c>
      <c r="H725" t="n">
        <v>0</v>
      </c>
      <c r="I725" t="inlineStr">
        <is>
          <t>Optimized</t>
        </is>
      </c>
      <c r="J725" s="29" t="n">
        <v>18.89</v>
      </c>
      <c r="K725" s="30" t="n">
        <v>0.0002</v>
      </c>
      <c r="L725" s="29" t="n">
        <v>0</v>
      </c>
      <c r="M725" s="29" t="n">
        <v>0</v>
      </c>
      <c r="N725" s="2" t="n">
        <v>1</v>
      </c>
      <c r="O725" s="31" t="n">
        <v>0</v>
      </c>
      <c r="P725" s="32" t="n"/>
      <c r="Q725" s="32" t="n">
        <v>0</v>
      </c>
      <c r="R725" s="32" t="n">
        <v>0</v>
      </c>
      <c r="S725" s="31" t="n">
        <v>0</v>
      </c>
      <c r="T725" s="32" t="n">
        <v>0</v>
      </c>
      <c r="U725" s="31" t="n">
        <v>0</v>
      </c>
      <c r="V725" s="31" t="n">
        <v>0</v>
      </c>
      <c r="W725" s="3" t="n">
        <v>0</v>
      </c>
      <c r="X725" s="3" t="n">
        <v>0</v>
      </c>
      <c r="Y725" s="32" t="n">
        <v>0</v>
      </c>
      <c r="Z725" s="3" t="n">
        <v>0</v>
      </c>
      <c r="AA725" s="32" t="n">
        <v>0</v>
      </c>
      <c r="AB725" s="3" t="n"/>
      <c r="AC725" s="31" t="n">
        <v>0</v>
      </c>
      <c r="AD725" s="2" t="n">
        <v>0</v>
      </c>
      <c r="AE725" s="2" t="n">
        <v>17</v>
      </c>
      <c r="AF725" s="4" t="n">
        <v>17</v>
      </c>
      <c r="AG725" s="33" t="n">
        <v>18.89</v>
      </c>
      <c r="AH725" s="4" t="n">
        <v>1</v>
      </c>
      <c r="AI725" s="34" t="n">
        <v>0.0588</v>
      </c>
      <c r="AJ725" s="34" t="n">
        <v>1</v>
      </c>
      <c r="AK725" s="2" t="n">
        <v>13500</v>
      </c>
      <c r="AL725" t="inlineStr">
        <is>
          <t>Published</t>
        </is>
      </c>
    </row>
    <row r="726">
      <c r="A726">
        <f>HYPERLINK("https://www.walmart.com/ip/998760766", "998760766")</f>
        <v/>
      </c>
      <c r="B726">
        <f>HYPERLINK("https://app.optiwise.ai/catalog/itemdetails/361355", "Solaris Sun Hats UV Protection Wide Brim Hat Unisex Adult Multicolor")</f>
        <v/>
      </c>
      <c r="C726" t="inlineStr">
        <is>
          <t>1SLSH910-digign</t>
        </is>
      </c>
      <c r="D726" t="inlineStr">
        <is>
          <t>Clothing</t>
        </is>
      </c>
      <c r="E726" t="inlineStr">
        <is>
          <t>Hats</t>
        </is>
      </c>
      <c r="F726" t="inlineStr">
        <is>
          <t>Solaris</t>
        </is>
      </c>
      <c r="G726" t="n">
        <v>4.8</v>
      </c>
      <c r="H726" t="n">
        <v>12</v>
      </c>
      <c r="I726" t="inlineStr">
        <is>
          <t>Hats,Batch 1 - TR</t>
        </is>
      </c>
      <c r="J726" s="29" t="n">
        <v>18.49</v>
      </c>
      <c r="K726" s="30" t="n">
        <v>0.0002</v>
      </c>
      <c r="L726" s="29" t="n">
        <v>0</v>
      </c>
      <c r="M726" s="29" t="n">
        <v>0</v>
      </c>
      <c r="N726" s="2" t="n">
        <v>1</v>
      </c>
      <c r="O726" s="31" t="n">
        <v>0</v>
      </c>
      <c r="P726" s="32" t="n"/>
      <c r="Q726" s="32" t="n">
        <v>0</v>
      </c>
      <c r="R726" s="32" t="n">
        <v>0</v>
      </c>
      <c r="S726" s="31" t="n">
        <v>0</v>
      </c>
      <c r="T726" s="32" t="n">
        <v>0</v>
      </c>
      <c r="U726" s="31" t="n">
        <v>0</v>
      </c>
      <c r="V726" s="31" t="n">
        <v>0</v>
      </c>
      <c r="W726" s="3" t="n">
        <v>0</v>
      </c>
      <c r="X726" s="3" t="n">
        <v>0</v>
      </c>
      <c r="Y726" s="32" t="n">
        <v>0</v>
      </c>
      <c r="Z726" s="3" t="n">
        <v>0</v>
      </c>
      <c r="AA726" s="32" t="n">
        <v>0</v>
      </c>
      <c r="AB726" s="3" t="n"/>
      <c r="AC726" s="31" t="n">
        <v>0</v>
      </c>
      <c r="AD726" s="2" t="n">
        <v>0</v>
      </c>
      <c r="AE726" s="2" t="n">
        <v>12</v>
      </c>
      <c r="AF726" s="4" t="n">
        <v>12</v>
      </c>
      <c r="AG726" s="33" t="n">
        <v>18.49</v>
      </c>
      <c r="AH726" s="4" t="n">
        <v>1</v>
      </c>
      <c r="AI726" s="34" t="n">
        <v>0.0833</v>
      </c>
      <c r="AJ726" s="34" t="n">
        <v>1</v>
      </c>
      <c r="AK726" s="2" t="n">
        <v>13500</v>
      </c>
      <c r="AL726" t="inlineStr">
        <is>
          <t>Published</t>
        </is>
      </c>
    </row>
    <row r="727">
      <c r="A727">
        <f>HYPERLINK("https://www.walmart.com/ip/263284201", "263284201")</f>
        <v/>
      </c>
      <c r="B727">
        <f>HYPERLINK("https://app.optiwise.ai/catalog/itemdetails/361872", "Sun Hat for Women Neck Flap Wide Brim UV Protection UPF 50+ Foldable Fishing Cap with 2 Replaceable Ribbon by Solaris")</f>
        <v/>
      </c>
      <c r="C727" t="inlineStr">
        <is>
          <t>1SLSH922PK</t>
        </is>
      </c>
      <c r="D727" t="inlineStr">
        <is>
          <t>Clothing</t>
        </is>
      </c>
      <c r="E727" t="inlineStr">
        <is>
          <t>Hats</t>
        </is>
      </c>
      <c r="F727" t="inlineStr">
        <is>
          <t>Solaris</t>
        </is>
      </c>
      <c r="G727" t="n">
        <v>5</v>
      </c>
      <c r="H727" t="n">
        <v>1</v>
      </c>
      <c r="I727" t="inlineStr">
        <is>
          <t>Hats,Batch 1 - TR</t>
        </is>
      </c>
      <c r="J727" s="29" t="n">
        <v>18.49</v>
      </c>
      <c r="K727" s="30" t="n">
        <v>0.0002</v>
      </c>
      <c r="L727" s="29" t="n">
        <v>18.48999977111816</v>
      </c>
      <c r="M727" s="29" t="n">
        <v>0</v>
      </c>
      <c r="N727" s="2" t="n">
        <v>1</v>
      </c>
      <c r="O727" s="31" t="n">
        <v>0</v>
      </c>
      <c r="P727" s="32" t="n"/>
      <c r="Q727" s="32" t="n">
        <v>0</v>
      </c>
      <c r="R727" s="32" t="n">
        <v>0</v>
      </c>
      <c r="S727" s="31" t="n">
        <v>0</v>
      </c>
      <c r="T727" s="32" t="n">
        <v>0</v>
      </c>
      <c r="U727" s="31" t="n">
        <v>0</v>
      </c>
      <c r="V727" s="31" t="n">
        <v>0</v>
      </c>
      <c r="W727" s="3" t="n">
        <v>0</v>
      </c>
      <c r="X727" s="3" t="n">
        <v>0</v>
      </c>
      <c r="Y727" s="32" t="n">
        <v>0</v>
      </c>
      <c r="Z727" s="3" t="n">
        <v>0</v>
      </c>
      <c r="AA727" s="32" t="n">
        <v>0</v>
      </c>
      <c r="AB727" s="3" t="n"/>
      <c r="AC727" s="31" t="n">
        <v>0</v>
      </c>
      <c r="AD727" s="2" t="n">
        <v>17</v>
      </c>
      <c r="AE727" s="2" t="n">
        <v>74</v>
      </c>
      <c r="AF727" s="4" t="n">
        <v>74</v>
      </c>
      <c r="AG727" s="33" t="n">
        <v>18.49</v>
      </c>
      <c r="AH727" s="4" t="n">
        <v>1</v>
      </c>
      <c r="AI727" s="34" t="n">
        <v>0.0135</v>
      </c>
      <c r="AJ727" s="34" t="n">
        <v>1</v>
      </c>
      <c r="AK727" s="2" t="n">
        <v>13635</v>
      </c>
      <c r="AL727" t="inlineStr">
        <is>
          <t>Published</t>
        </is>
      </c>
    </row>
    <row r="728">
      <c r="A728">
        <f>HYPERLINK("https://www.walmart.com/ip/5514470056", "5514470056")</f>
        <v/>
      </c>
      <c r="B728">
        <f>HYPERLINK("https://app.optiwise.ai/catalog/itemdetails/8061785", "Tirrinia Toiletry Bag for Men Water-Resistant Organizer Kit for Shaving Products and Toiletries Accessories, Room Essentials")</f>
        <v/>
      </c>
      <c r="C728" t="inlineStr">
        <is>
          <t>1TRTTB001BK</t>
        </is>
      </c>
      <c r="D728" t="inlineStr">
        <is>
          <t>Beauty, Personal Care, &amp; Hygiene</t>
        </is>
      </c>
      <c r="E728" t="inlineStr">
        <is>
          <t>Toiletry Kits &amp; Bags</t>
        </is>
      </c>
      <c r="F728" t="inlineStr">
        <is>
          <t>Tirrinia</t>
        </is>
      </c>
      <c r="G728" t="n">
        <v>0</v>
      </c>
      <c r="H728" t="n">
        <v>0</v>
      </c>
      <c r="J728" s="29" t="n">
        <v>18</v>
      </c>
      <c r="K728" s="30" t="n">
        <v>0.0002</v>
      </c>
      <c r="L728" s="29" t="n">
        <v>0</v>
      </c>
      <c r="M728" s="29" t="n">
        <v>0</v>
      </c>
      <c r="N728" s="2" t="n">
        <v>1</v>
      </c>
      <c r="O728" s="31" t="n">
        <v>0</v>
      </c>
      <c r="P728" s="32" t="n"/>
      <c r="Q728" s="32" t="n">
        <v>0</v>
      </c>
      <c r="R728" s="32" t="n">
        <v>0</v>
      </c>
      <c r="S728" s="31" t="n">
        <v>0</v>
      </c>
      <c r="T728" s="32" t="n">
        <v>0</v>
      </c>
      <c r="U728" s="31" t="n">
        <v>0</v>
      </c>
      <c r="V728" s="31" t="n">
        <v>0</v>
      </c>
      <c r="W728" s="3" t="n">
        <v>0</v>
      </c>
      <c r="X728" s="3" t="n">
        <v>0</v>
      </c>
      <c r="Y728" s="32" t="n">
        <v>0</v>
      </c>
      <c r="Z728" s="3" t="n">
        <v>0</v>
      </c>
      <c r="AA728" s="32" t="n">
        <v>0</v>
      </c>
      <c r="AB728" s="3" t="n"/>
      <c r="AC728" s="31" t="n">
        <v>0</v>
      </c>
      <c r="AD728" s="2" t="n">
        <v>0</v>
      </c>
      <c r="AE728" s="2" t="n">
        <v>27</v>
      </c>
      <c r="AF728" s="4" t="n">
        <v>27</v>
      </c>
      <c r="AG728" s="33" t="n">
        <v>18</v>
      </c>
      <c r="AH728" s="4" t="n">
        <v>1</v>
      </c>
      <c r="AI728" s="34" t="n">
        <v>0.037</v>
      </c>
      <c r="AJ728" s="34" t="n">
        <v>1</v>
      </c>
      <c r="AK728" s="2" t="n">
        <v>13500</v>
      </c>
      <c r="AL728" t="inlineStr">
        <is>
          <t>Published</t>
        </is>
      </c>
    </row>
    <row r="729">
      <c r="A729">
        <f>HYPERLINK("https://www.walmart.com/ip/270579221", "270579221")</f>
        <v/>
      </c>
      <c r="B729">
        <f>HYPERLINK("https://app.optiwise.ai/catalog/itemdetails/361038", "Tirrinia Sun Hat with Adjustable Drawstring for Women, Large Wide Brim Hat for Outdoor Fishing Hiking Hunting Boating Desert Hawaiian, Tan")</f>
        <v/>
      </c>
      <c r="C729" t="inlineStr">
        <is>
          <t>1TRSH911TN-TBCB</t>
        </is>
      </c>
      <c r="D729" t="inlineStr">
        <is>
          <t>Clothing</t>
        </is>
      </c>
      <c r="E729" t="inlineStr">
        <is>
          <t>Hats</t>
        </is>
      </c>
      <c r="F729" t="inlineStr">
        <is>
          <t>Tirrinia</t>
        </is>
      </c>
      <c r="G729" t="n">
        <v>4.5</v>
      </c>
      <c r="H729" t="n">
        <v>46</v>
      </c>
      <c r="I729" t="inlineStr">
        <is>
          <t>Q2-Target,Hats</t>
        </is>
      </c>
      <c r="J729" s="29" t="n">
        <v>17.99</v>
      </c>
      <c r="K729" s="30" t="n">
        <v>0.0002</v>
      </c>
      <c r="L729" s="29" t="n">
        <v>17.98999977111816</v>
      </c>
      <c r="M729" s="29" t="n">
        <v>0</v>
      </c>
      <c r="N729" s="2" t="n">
        <v>1</v>
      </c>
      <c r="O729" s="31" t="n">
        <v>0</v>
      </c>
      <c r="P729" s="32" t="n"/>
      <c r="Q729" s="32" t="n">
        <v>0</v>
      </c>
      <c r="R729" s="32" t="n">
        <v>0</v>
      </c>
      <c r="S729" s="31" t="n">
        <v>0</v>
      </c>
      <c r="T729" s="32" t="n">
        <v>0</v>
      </c>
      <c r="U729" s="31" t="n">
        <v>0</v>
      </c>
      <c r="V729" s="31" t="n">
        <v>0</v>
      </c>
      <c r="W729" s="3" t="n">
        <v>0</v>
      </c>
      <c r="X729" s="3" t="n">
        <v>0</v>
      </c>
      <c r="Y729" s="32" t="n">
        <v>0</v>
      </c>
      <c r="Z729" s="3" t="n">
        <v>0</v>
      </c>
      <c r="AA729" s="32" t="n">
        <v>0</v>
      </c>
      <c r="AB729" s="3" t="n"/>
      <c r="AC729" s="31" t="n">
        <v>0</v>
      </c>
      <c r="AD729" s="2" t="n">
        <v>0</v>
      </c>
      <c r="AE729" s="2" t="n">
        <v>27</v>
      </c>
      <c r="AF729" s="4" t="n">
        <v>27</v>
      </c>
      <c r="AG729" s="33" t="n">
        <v>17.99</v>
      </c>
      <c r="AH729" s="4" t="n">
        <v>1</v>
      </c>
      <c r="AI729" s="34" t="n">
        <v>0.037</v>
      </c>
      <c r="AJ729" s="34" t="n">
        <v>1</v>
      </c>
      <c r="AK729" s="2" t="n">
        <v>13770</v>
      </c>
      <c r="AL729" t="inlineStr">
        <is>
          <t>Published</t>
        </is>
      </c>
    </row>
    <row r="730">
      <c r="A730">
        <f>HYPERLINK("https://www.walmart.com/ip/766276492", "766276492")</f>
        <v/>
      </c>
      <c r="B730">
        <f>HYPERLINK("https://app.optiwise.ai/catalog/itemdetails/360665", "Solaris Sun Hats UV Protection Wide Brim Hat Unisex Adult Multicolor")</f>
        <v/>
      </c>
      <c r="C730" t="inlineStr">
        <is>
          <t>1SLSH910PK</t>
        </is>
      </c>
      <c r="D730" t="inlineStr">
        <is>
          <t>Clothing</t>
        </is>
      </c>
      <c r="E730" t="inlineStr">
        <is>
          <t>Hats</t>
        </is>
      </c>
      <c r="F730" t="inlineStr">
        <is>
          <t>Solaris</t>
        </is>
      </c>
      <c r="G730" t="n">
        <v>4.8</v>
      </c>
      <c r="H730" t="n">
        <v>8</v>
      </c>
      <c r="I730" t="inlineStr">
        <is>
          <t>Hats,Batch 1 - TR</t>
        </is>
      </c>
      <c r="J730" s="29" t="n">
        <v>17.99</v>
      </c>
      <c r="K730" s="30" t="n">
        <v>0.0002</v>
      </c>
      <c r="L730" s="29" t="n">
        <v>0</v>
      </c>
      <c r="M730" s="29" t="n">
        <v>0</v>
      </c>
      <c r="N730" s="2" t="n">
        <v>1</v>
      </c>
      <c r="O730" s="31" t="n">
        <v>0</v>
      </c>
      <c r="P730" s="32" t="n"/>
      <c r="Q730" s="32" t="n">
        <v>0</v>
      </c>
      <c r="R730" s="32" t="n">
        <v>0.0067</v>
      </c>
      <c r="S730" s="31" t="n">
        <v>0</v>
      </c>
      <c r="T730" s="32" t="n">
        <v>0</v>
      </c>
      <c r="U730" s="31" t="n">
        <v>0</v>
      </c>
      <c r="V730" s="31" t="n">
        <v>0</v>
      </c>
      <c r="W730" s="3" t="n">
        <v>0</v>
      </c>
      <c r="X730" s="3" t="n">
        <v>0</v>
      </c>
      <c r="Y730" s="32" t="n">
        <v>0</v>
      </c>
      <c r="Z730" s="3" t="n">
        <v>0</v>
      </c>
      <c r="AA730" s="32" t="n">
        <v>0</v>
      </c>
      <c r="AB730" s="3" t="n"/>
      <c r="AC730" s="31" t="n">
        <v>0</v>
      </c>
      <c r="AD730" s="2" t="n">
        <v>0</v>
      </c>
      <c r="AE730" s="2" t="n">
        <v>18</v>
      </c>
      <c r="AF730" s="4" t="n">
        <v>18</v>
      </c>
      <c r="AG730" s="33" t="n">
        <v>17.99</v>
      </c>
      <c r="AH730" s="4" t="n">
        <v>1</v>
      </c>
      <c r="AI730" s="34" t="n">
        <v>0.0556</v>
      </c>
      <c r="AJ730" s="34" t="n">
        <v>1</v>
      </c>
      <c r="AK730" s="2" t="n">
        <v>13500</v>
      </c>
      <c r="AL730" t="inlineStr">
        <is>
          <t>Published</t>
        </is>
      </c>
    </row>
    <row r="731">
      <c r="A731">
        <f>HYPERLINK("https://www.walmart.com/ip/740898962", "740898962")</f>
        <v/>
      </c>
      <c r="B731">
        <f>HYPERLINK("https://app.optiwise.ai/catalog/itemdetails/361041", "Insulated Expandable Lunch Bags Tote Thermal Cooler Leak Proof Travel Container Food Case for Adults Adjustable Shoulder")</f>
        <v/>
      </c>
      <c r="C731" t="inlineStr">
        <is>
          <t>1KTLB110PP</t>
        </is>
      </c>
      <c r="D731" t="inlineStr">
        <is>
          <t>Cases &amp; Bags</t>
        </is>
      </c>
      <c r="E731" t="inlineStr">
        <is>
          <t>Reusable Lunch Bags &amp; Boxes</t>
        </is>
      </c>
      <c r="F731" t="inlineStr">
        <is>
          <t>Kato</t>
        </is>
      </c>
      <c r="G731" t="n">
        <v>0</v>
      </c>
      <c r="H731" t="n">
        <v>0</v>
      </c>
      <c r="I731" t="inlineStr">
        <is>
          <t>Lunch Bag,Optimized,Lunch Bags,SEM</t>
        </is>
      </c>
      <c r="J731" s="29" t="n">
        <v>17.99</v>
      </c>
      <c r="K731" s="30" t="n">
        <v>0.0002</v>
      </c>
      <c r="L731" s="29" t="n">
        <v>0</v>
      </c>
      <c r="M731" s="29" t="n">
        <v>0</v>
      </c>
      <c r="N731" s="2" t="n">
        <v>1</v>
      </c>
      <c r="O731" s="31" t="n">
        <v>0</v>
      </c>
      <c r="P731" s="32" t="n"/>
      <c r="Q731" s="32" t="n">
        <v>0</v>
      </c>
      <c r="R731" s="32" t="n">
        <v>0</v>
      </c>
      <c r="S731" s="31" t="n">
        <v>0</v>
      </c>
      <c r="T731" s="32" t="n">
        <v>0</v>
      </c>
      <c r="U731" s="31" t="n">
        <v>0</v>
      </c>
      <c r="V731" s="31" t="n">
        <v>0</v>
      </c>
      <c r="W731" s="3" t="n">
        <v>0</v>
      </c>
      <c r="X731" s="3" t="n">
        <v>0</v>
      </c>
      <c r="Y731" s="32" t="n">
        <v>0</v>
      </c>
      <c r="Z731" s="3" t="n">
        <v>0</v>
      </c>
      <c r="AA731" s="32" t="n">
        <v>0</v>
      </c>
      <c r="AB731" s="3" t="n"/>
      <c r="AC731" s="31" t="n">
        <v>0</v>
      </c>
      <c r="AD731" s="2" t="n">
        <v>0</v>
      </c>
      <c r="AE731" s="2" t="n">
        <v>15</v>
      </c>
      <c r="AF731" s="4" t="n">
        <v>15</v>
      </c>
      <c r="AG731" s="33" t="n">
        <v>17.99</v>
      </c>
      <c r="AH731" s="4" t="n">
        <v>1</v>
      </c>
      <c r="AI731" s="34" t="n">
        <v>0.0667</v>
      </c>
      <c r="AJ731" s="34" t="n">
        <v>1</v>
      </c>
      <c r="AK731" s="2" t="n">
        <v>13500</v>
      </c>
      <c r="AL731" t="inlineStr">
        <is>
          <t>Published</t>
        </is>
      </c>
    </row>
    <row r="732">
      <c r="A732">
        <f>HYPERLINK("https://www.walmart.com/ip/603656059", "603656059")</f>
        <v/>
      </c>
      <c r="B732">
        <f>HYPERLINK("https://app.optiwise.ai/catalog/itemdetails/362134", "Solaris Sun Hats UV Protection Wide Brim Hat Unisex Adult Multicolor")</f>
        <v/>
      </c>
      <c r="C732" t="inlineStr">
        <is>
          <t>1SLSH910GY</t>
        </is>
      </c>
      <c r="D732" t="inlineStr">
        <is>
          <t>Clothing</t>
        </is>
      </c>
      <c r="E732" t="inlineStr">
        <is>
          <t>Hats</t>
        </is>
      </c>
      <c r="F732" t="inlineStr">
        <is>
          <t>Solaris</t>
        </is>
      </c>
      <c r="G732" t="n">
        <v>4.5</v>
      </c>
      <c r="H732" t="n">
        <v>4</v>
      </c>
      <c r="I732" t="inlineStr">
        <is>
          <t>WFS,Hats,SEM,WFS Item</t>
        </is>
      </c>
      <c r="J732" s="29" t="n">
        <v>17.99</v>
      </c>
      <c r="K732" s="30" t="n">
        <v>0.0002</v>
      </c>
      <c r="L732" s="29" t="n">
        <v>0</v>
      </c>
      <c r="M732" s="29" t="n">
        <v>0</v>
      </c>
      <c r="N732" s="2" t="n">
        <v>1</v>
      </c>
      <c r="O732" s="31" t="n">
        <v>0.9299999999999999</v>
      </c>
      <c r="P732" s="32" t="n">
        <v>0.0001</v>
      </c>
      <c r="Q732" s="32" t="n">
        <v>0.0517</v>
      </c>
      <c r="R732" s="32" t="n">
        <v>0</v>
      </c>
      <c r="S732" s="31" t="n">
        <v>0</v>
      </c>
      <c r="T732" s="32" t="n">
        <v>0</v>
      </c>
      <c r="U732" s="31" t="n">
        <v>0</v>
      </c>
      <c r="V732" s="31" t="n">
        <v>0</v>
      </c>
      <c r="W732" s="3" t="n">
        <v>1173</v>
      </c>
      <c r="X732" s="3" t="n">
        <v>3</v>
      </c>
      <c r="Y732" s="32" t="n">
        <v>0.0026</v>
      </c>
      <c r="Z732" s="3" t="n">
        <v>0</v>
      </c>
      <c r="AA732" s="32" t="n">
        <v>0</v>
      </c>
      <c r="AB732" s="3" t="inlineStr">
        <is>
          <t>Need to sell these SKUs by 15th Feb</t>
        </is>
      </c>
      <c r="AC732" s="31" t="n">
        <v>0.31</v>
      </c>
      <c r="AD732" s="2" t="n">
        <v>0</v>
      </c>
      <c r="AE732" s="2" t="n">
        <v>29</v>
      </c>
      <c r="AF732" s="4" t="n">
        <v>26</v>
      </c>
      <c r="AG732" s="33" t="n">
        <v>17.99</v>
      </c>
      <c r="AH732" s="4" t="n">
        <v>1</v>
      </c>
      <c r="AI732" s="34" t="n">
        <v>0.0385</v>
      </c>
      <c r="AJ732" s="34" t="n">
        <v>1</v>
      </c>
      <c r="AK732" s="2" t="n">
        <v>13905</v>
      </c>
      <c r="AL732" t="inlineStr">
        <is>
          <t>Published</t>
        </is>
      </c>
    </row>
    <row r="733">
      <c r="A733">
        <f>HYPERLINK("https://www.walmart.com/ip/663987373", "663987373")</f>
        <v/>
      </c>
      <c r="B733">
        <f>HYPERLINK("https://app.optiwise.ai/catalog/itemdetails/362162", "Tirrinia Women's Sun Hat with Wide Brim and Neck Flap, Fishing Safari Hat for Outdoors, Hiking, Camping, Gardening and Lawn Field Work, Pink")</f>
        <v/>
      </c>
      <c r="C733" t="inlineStr">
        <is>
          <t>1TRSH910PK-TBCB</t>
        </is>
      </c>
      <c r="D733" t="inlineStr">
        <is>
          <t>Clothing</t>
        </is>
      </c>
      <c r="E733" t="inlineStr">
        <is>
          <t>Hats</t>
        </is>
      </c>
      <c r="F733" t="inlineStr">
        <is>
          <t>Tirrinia</t>
        </is>
      </c>
      <c r="G733" t="n">
        <v>4.5</v>
      </c>
      <c r="H733" t="n">
        <v>49</v>
      </c>
      <c r="I733" t="inlineStr">
        <is>
          <t>Hats,Batch 1 - TR</t>
        </is>
      </c>
      <c r="J733" s="29" t="n">
        <v>17.99</v>
      </c>
      <c r="K733" s="30" t="n">
        <v>0.0002</v>
      </c>
      <c r="L733" s="29" t="n">
        <v>17.98999977111816</v>
      </c>
      <c r="M733" s="29" t="n">
        <v>0</v>
      </c>
      <c r="N733" s="2" t="n">
        <v>1</v>
      </c>
      <c r="O733" s="31" t="n">
        <v>0</v>
      </c>
      <c r="P733" s="32" t="n"/>
      <c r="Q733" s="32" t="n">
        <v>0</v>
      </c>
      <c r="R733" s="32" t="n">
        <v>0</v>
      </c>
      <c r="S733" s="31" t="n">
        <v>0</v>
      </c>
      <c r="T733" s="32" t="n">
        <v>0</v>
      </c>
      <c r="U733" s="31" t="n">
        <v>0</v>
      </c>
      <c r="V733" s="31" t="n">
        <v>0</v>
      </c>
      <c r="W733" s="3" t="n">
        <v>0</v>
      </c>
      <c r="X733" s="3" t="n">
        <v>0</v>
      </c>
      <c r="Y733" s="32" t="n">
        <v>0</v>
      </c>
      <c r="Z733" s="3" t="n">
        <v>0</v>
      </c>
      <c r="AA733" s="32" t="n">
        <v>0</v>
      </c>
      <c r="AB733" s="3" t="n"/>
      <c r="AC733" s="31" t="n">
        <v>0</v>
      </c>
      <c r="AD733" s="2" t="n">
        <v>0</v>
      </c>
      <c r="AE733" s="2" t="n">
        <v>158</v>
      </c>
      <c r="AF733" s="4" t="n">
        <v>158</v>
      </c>
      <c r="AG733" s="33" t="n">
        <v>17.99</v>
      </c>
      <c r="AH733" s="4" t="n">
        <v>1</v>
      </c>
      <c r="AI733" s="34" t="n">
        <v>0.0063</v>
      </c>
      <c r="AJ733" s="34" t="n">
        <v>1</v>
      </c>
      <c r="AK733" s="2" t="n">
        <v>13500</v>
      </c>
      <c r="AL733" t="inlineStr">
        <is>
          <t>Published</t>
        </is>
      </c>
    </row>
    <row r="734">
      <c r="A734">
        <f>HYPERLINK("https://www.walmart.com/ip/949073877", "949073877")</f>
        <v/>
      </c>
      <c r="B734">
        <f>HYPERLINK("https://app.optiwise.ai/catalog/itemdetails/362426", "Tirrinia Outdoor Wide Brim Sun Hats Blocking UV Protection Cap UPF 50+ Foldable Mesh Net for Finishing, Hiking, Camping")</f>
        <v/>
      </c>
      <c r="C734" t="inlineStr">
        <is>
          <t>1TRSH911OL-TBCB</t>
        </is>
      </c>
      <c r="D734" t="inlineStr">
        <is>
          <t>Clothing</t>
        </is>
      </c>
      <c r="E734" t="inlineStr">
        <is>
          <t>Hats</t>
        </is>
      </c>
      <c r="F734" t="inlineStr">
        <is>
          <t>Tirrinia</t>
        </is>
      </c>
      <c r="G734" t="n">
        <v>5</v>
      </c>
      <c r="H734" t="n">
        <v>1</v>
      </c>
      <c r="I734" t="inlineStr">
        <is>
          <t>Hats</t>
        </is>
      </c>
      <c r="J734" s="29" t="n">
        <v>17.99</v>
      </c>
      <c r="K734" s="30" t="n">
        <v>0.0002</v>
      </c>
      <c r="L734" s="29" t="n">
        <v>17.98999977111816</v>
      </c>
      <c r="M734" s="29" t="n">
        <v>0</v>
      </c>
      <c r="N734" s="2" t="n">
        <v>1</v>
      </c>
      <c r="O734" s="31" t="n">
        <v>0</v>
      </c>
      <c r="P734" s="32" t="n"/>
      <c r="Q734" s="32" t="n">
        <v>0</v>
      </c>
      <c r="R734" s="32" t="n">
        <v>0</v>
      </c>
      <c r="S734" s="31" t="n">
        <v>0</v>
      </c>
      <c r="T734" s="32" t="n">
        <v>0</v>
      </c>
      <c r="U734" s="31" t="n">
        <v>0</v>
      </c>
      <c r="V734" s="31" t="n">
        <v>0</v>
      </c>
      <c r="W734" s="3" t="n">
        <v>0</v>
      </c>
      <c r="X734" s="3" t="n">
        <v>0</v>
      </c>
      <c r="Y734" s="32" t="n">
        <v>0</v>
      </c>
      <c r="Z734" s="3" t="n">
        <v>0</v>
      </c>
      <c r="AA734" s="32" t="n">
        <v>0</v>
      </c>
      <c r="AB734" s="3" t="n"/>
      <c r="AC734" s="31" t="n">
        <v>0</v>
      </c>
      <c r="AD734" s="2" t="n">
        <v>0</v>
      </c>
      <c r="AE734" s="2" t="n">
        <v>34</v>
      </c>
      <c r="AF734" s="4" t="n">
        <v>34</v>
      </c>
      <c r="AG734" s="33" t="n">
        <v>17.99</v>
      </c>
      <c r="AH734" s="4" t="n">
        <v>1</v>
      </c>
      <c r="AI734" s="34" t="n">
        <v>0.0294</v>
      </c>
      <c r="AJ734" s="34" t="n">
        <v>1</v>
      </c>
      <c r="AK734" s="2" t="n">
        <v>13500</v>
      </c>
      <c r="AL734" t="inlineStr">
        <is>
          <t>Published</t>
        </is>
      </c>
    </row>
    <row r="735">
      <c r="A735">
        <f>HYPERLINK("https://www.walmart.com/ip/508488567", "508488567")</f>
        <v/>
      </c>
      <c r="B735">
        <f>HYPERLINK("https://app.optiwise.ai/catalog/itemdetails/360938", "Child Cotton Hooded Poncho Towels Mermaid Cartoon Changing Robe Swimmer Beach")</f>
        <v/>
      </c>
      <c r="C735" t="inlineStr">
        <is>
          <t>1TRBR200-MM</t>
        </is>
      </c>
      <c r="D735" t="inlineStr">
        <is>
          <t>Home Decor, Kitchen, &amp; Other</t>
        </is>
      </c>
      <c r="E735" t="inlineStr">
        <is>
          <t>Towels &amp; Washcloths</t>
        </is>
      </c>
      <c r="F735" t="inlineStr">
        <is>
          <t>Tirrinia</t>
        </is>
      </c>
      <c r="G735" t="n">
        <v>0</v>
      </c>
      <c r="H735" t="n">
        <v>0</v>
      </c>
      <c r="I735" t="inlineStr">
        <is>
          <t>Baby days,Beach Robe Camp</t>
        </is>
      </c>
      <c r="J735" s="29" t="n">
        <v>17.99</v>
      </c>
      <c r="K735" s="30" t="n">
        <v>0.0002</v>
      </c>
      <c r="L735" s="29" t="n">
        <v>35.97999954223633</v>
      </c>
      <c r="M735" s="29" t="n">
        <v>0</v>
      </c>
      <c r="N735" s="2" t="n">
        <v>1</v>
      </c>
      <c r="O735" s="31" t="n">
        <v>0</v>
      </c>
      <c r="P735" s="32" t="n"/>
      <c r="Q735" s="32" t="n">
        <v>0</v>
      </c>
      <c r="R735" s="32" t="n">
        <v>0</v>
      </c>
      <c r="S735" s="31" t="n">
        <v>0</v>
      </c>
      <c r="T735" s="32" t="n">
        <v>0</v>
      </c>
      <c r="U735" s="31" t="n">
        <v>0</v>
      </c>
      <c r="V735" s="31" t="n">
        <v>0</v>
      </c>
      <c r="W735" s="3" t="n">
        <v>0</v>
      </c>
      <c r="X735" s="3" t="n">
        <v>0</v>
      </c>
      <c r="Y735" s="32" t="n">
        <v>0</v>
      </c>
      <c r="Z735" s="3" t="n">
        <v>0</v>
      </c>
      <c r="AA735" s="32" t="n">
        <v>0</v>
      </c>
      <c r="AB735" s="3" t="n"/>
      <c r="AC735" s="31" t="n">
        <v>0</v>
      </c>
      <c r="AD735" s="2" t="n">
        <v>0</v>
      </c>
      <c r="AE735" s="2" t="n">
        <v>28</v>
      </c>
      <c r="AF735" s="4" t="n">
        <v>28</v>
      </c>
      <c r="AG735" s="33" t="n">
        <v>17.99</v>
      </c>
      <c r="AH735" s="4" t="n">
        <v>1</v>
      </c>
      <c r="AI735" s="34" t="n">
        <v>0.0357</v>
      </c>
      <c r="AJ735" s="34" t="n">
        <v>1</v>
      </c>
      <c r="AK735" s="2" t="n">
        <v>13500</v>
      </c>
      <c r="AL735" t="inlineStr">
        <is>
          <t>Published</t>
        </is>
      </c>
    </row>
    <row r="736">
      <c r="A736">
        <f>HYPERLINK("https://www.walmart.com/ip/792163104", "792163104")</f>
        <v/>
      </c>
      <c r="B736">
        <f>HYPERLINK("https://app.optiwise.ai/catalog/itemdetails/362794", "Kato Insulated Expandable Lunch Bag, Thermal Cooler Leakproof Travel Container Food Case for Adults, Adjustable Shoulder")</f>
        <v/>
      </c>
      <c r="C736" t="inlineStr">
        <is>
          <t>1KTLB110RD</t>
        </is>
      </c>
      <c r="D736" t="inlineStr">
        <is>
          <t>Cases &amp; Bags</t>
        </is>
      </c>
      <c r="E736" t="inlineStr">
        <is>
          <t>Reusable Lunch Bags &amp; Boxes</t>
        </is>
      </c>
      <c r="F736" t="inlineStr">
        <is>
          <t>Kato</t>
        </is>
      </c>
      <c r="G736" t="n">
        <v>4.8</v>
      </c>
      <c r="H736" t="n">
        <v>10</v>
      </c>
      <c r="I736" t="inlineStr">
        <is>
          <t>Lunch Bag,Optimized,SEM</t>
        </is>
      </c>
      <c r="J736" s="29" t="n">
        <v>17.99</v>
      </c>
      <c r="K736" s="30" t="n">
        <v>0.0002</v>
      </c>
      <c r="L736" s="29" t="n">
        <v>0</v>
      </c>
      <c r="M736" s="29" t="n">
        <v>0</v>
      </c>
      <c r="N736" s="2" t="n">
        <v>1</v>
      </c>
      <c r="O736" s="31" t="n">
        <v>0</v>
      </c>
      <c r="P736" s="32" t="n"/>
      <c r="Q736" s="32" t="n">
        <v>0</v>
      </c>
      <c r="R736" s="32" t="n">
        <v>0</v>
      </c>
      <c r="S736" s="31" t="n">
        <v>0</v>
      </c>
      <c r="T736" s="32" t="n">
        <v>0</v>
      </c>
      <c r="U736" s="31" t="n">
        <v>0</v>
      </c>
      <c r="V736" s="31" t="n">
        <v>0</v>
      </c>
      <c r="W736" s="3" t="n">
        <v>0</v>
      </c>
      <c r="X736" s="3" t="n">
        <v>0</v>
      </c>
      <c r="Y736" s="32" t="n">
        <v>0</v>
      </c>
      <c r="Z736" s="3" t="n">
        <v>0</v>
      </c>
      <c r="AA736" s="32" t="n">
        <v>0</v>
      </c>
      <c r="AB736" s="3" t="n"/>
      <c r="AC736" s="31" t="n">
        <v>0</v>
      </c>
      <c r="AD736" s="2" t="n">
        <v>0</v>
      </c>
      <c r="AE736" s="2" t="n">
        <v>102</v>
      </c>
      <c r="AF736" s="4" t="n">
        <v>102</v>
      </c>
      <c r="AG736" s="33" t="n">
        <v>17.99</v>
      </c>
      <c r="AH736" s="4" t="n">
        <v>1</v>
      </c>
      <c r="AI736" s="34" t="n">
        <v>0.0098</v>
      </c>
      <c r="AJ736" s="34" t="n">
        <v>1</v>
      </c>
      <c r="AK736" s="2" t="n">
        <v>13500</v>
      </c>
      <c r="AL736" t="inlineStr">
        <is>
          <t>Published</t>
        </is>
      </c>
    </row>
    <row r="737">
      <c r="A737">
        <f>HYPERLINK("https://www.walmart.com/ip/281965638", "281965638")</f>
        <v/>
      </c>
      <c r="B737">
        <f>HYPERLINK("https://app.optiwise.ai/catalog/itemdetails/360301", "Sun Blocker Sun Hat for women, Canvas Reversible Bucket Hat, UV Sun Protection UPF 50+, Double Sided Outdoor Safari Travel Beach Golf Cap, Floral Green")</f>
        <v/>
      </c>
      <c r="C737" t="inlineStr">
        <is>
          <t>KC-S9200FLW-GR</t>
        </is>
      </c>
      <c r="D737" t="inlineStr">
        <is>
          <t>Clothing</t>
        </is>
      </c>
      <c r="E737" t="inlineStr">
        <is>
          <t>Hats</t>
        </is>
      </c>
      <c r="F737" t="inlineStr">
        <is>
          <t>Sun Blocker</t>
        </is>
      </c>
      <c r="G737" t="n">
        <v>5</v>
      </c>
      <c r="H737" t="n">
        <v>3</v>
      </c>
      <c r="I737" t="inlineStr">
        <is>
          <t>Q2-Target,ST Patrick Day</t>
        </is>
      </c>
      <c r="J737" s="29" t="n">
        <v>17.98</v>
      </c>
      <c r="K737" s="30" t="n">
        <v>0.0002</v>
      </c>
      <c r="L737" s="29" t="n">
        <v>17.97999954223633</v>
      </c>
      <c r="M737" s="29" t="n">
        <v>0</v>
      </c>
      <c r="N737" s="2" t="n">
        <v>2</v>
      </c>
      <c r="O737" s="31" t="n">
        <v>0</v>
      </c>
      <c r="P737" s="32" t="n"/>
      <c r="Q737" s="32" t="n">
        <v>0</v>
      </c>
      <c r="R737" s="32" t="n">
        <v>0</v>
      </c>
      <c r="S737" s="31" t="n">
        <v>0</v>
      </c>
      <c r="T737" s="32" t="n">
        <v>0</v>
      </c>
      <c r="U737" s="31" t="n">
        <v>0</v>
      </c>
      <c r="V737" s="31" t="n">
        <v>0</v>
      </c>
      <c r="W737" s="3" t="n">
        <v>0</v>
      </c>
      <c r="X737" s="3" t="n">
        <v>0</v>
      </c>
      <c r="Y737" s="32" t="n">
        <v>0</v>
      </c>
      <c r="Z737" s="3" t="n">
        <v>0</v>
      </c>
      <c r="AA737" s="32" t="n">
        <v>0</v>
      </c>
      <c r="AB737" s="3" t="n"/>
      <c r="AC737" s="31" t="n">
        <v>0</v>
      </c>
      <c r="AD737" s="2" t="n">
        <v>0</v>
      </c>
      <c r="AE737" s="2" t="n">
        <v>37</v>
      </c>
      <c r="AF737" s="4" t="n">
        <v>37</v>
      </c>
      <c r="AG737" s="33" t="n">
        <v>17.98</v>
      </c>
      <c r="AH737" s="4" t="n">
        <v>2</v>
      </c>
      <c r="AI737" s="34" t="n">
        <v>0.0541</v>
      </c>
      <c r="AJ737" s="34" t="n">
        <v>1</v>
      </c>
      <c r="AK737" s="2" t="n">
        <v>6750</v>
      </c>
      <c r="AL737" t="inlineStr">
        <is>
          <t>Published</t>
        </is>
      </c>
    </row>
    <row r="738">
      <c r="A738">
        <f>HYPERLINK("https://www.walmart.com/ip/185246561", "185246561")</f>
        <v/>
      </c>
      <c r="B738">
        <f>HYPERLINK("https://app.optiwise.ai/catalog/itemdetails/360690", "Terra Faux Fur Pom Pom Beanie Hat Thick Slouchy Cable Knit Unisex Stretches to Fit Most")</f>
        <v/>
      </c>
      <c r="C738" t="inlineStr">
        <is>
          <t>TERRAPPH02PP</t>
        </is>
      </c>
      <c r="D738" t="inlineStr">
        <is>
          <t>Clothing</t>
        </is>
      </c>
      <c r="E738" t="inlineStr">
        <is>
          <t>Hats</t>
        </is>
      </c>
      <c r="F738" t="inlineStr">
        <is>
          <t>Terra</t>
        </is>
      </c>
      <c r="G738" t="n">
        <v>0</v>
      </c>
      <c r="H738" t="n">
        <v>0</v>
      </c>
      <c r="I738" t="inlineStr">
        <is>
          <t>Optimized</t>
        </is>
      </c>
      <c r="J738" s="29" t="n">
        <v>17.97</v>
      </c>
      <c r="K738" s="30" t="n">
        <v>0.0002</v>
      </c>
      <c r="L738" s="29" t="n">
        <v>0</v>
      </c>
      <c r="M738" s="29" t="n">
        <v>0</v>
      </c>
      <c r="N738" s="2" t="n">
        <v>3</v>
      </c>
      <c r="O738" s="31" t="n">
        <v>0</v>
      </c>
      <c r="P738" s="32" t="n"/>
      <c r="Q738" s="32" t="n">
        <v>0</v>
      </c>
      <c r="R738" s="32" t="n">
        <v>0</v>
      </c>
      <c r="S738" s="31" t="n">
        <v>0</v>
      </c>
      <c r="T738" s="32" t="n">
        <v>0</v>
      </c>
      <c r="U738" s="31" t="n">
        <v>0</v>
      </c>
      <c r="V738" s="31" t="n">
        <v>0</v>
      </c>
      <c r="W738" s="3" t="n">
        <v>0</v>
      </c>
      <c r="X738" s="3" t="n">
        <v>0</v>
      </c>
      <c r="Y738" s="32" t="n">
        <v>0</v>
      </c>
      <c r="Z738" s="3" t="n">
        <v>0</v>
      </c>
      <c r="AA738" s="32" t="n">
        <v>0</v>
      </c>
      <c r="AB738" s="3" t="n"/>
      <c r="AC738" s="31" t="n">
        <v>0</v>
      </c>
      <c r="AD738" s="2" t="n">
        <v>0</v>
      </c>
      <c r="AE738" s="2" t="n">
        <v>14</v>
      </c>
      <c r="AF738" s="4" t="n">
        <v>14</v>
      </c>
      <c r="AG738" s="33" t="n">
        <v>17.97</v>
      </c>
      <c r="AH738" s="4" t="n">
        <v>3</v>
      </c>
      <c r="AI738" s="34" t="n">
        <v>0.2143</v>
      </c>
      <c r="AJ738" s="34" t="n">
        <v>1</v>
      </c>
      <c r="AK738" s="2" t="n">
        <v>4500</v>
      </c>
      <c r="AL738" t="inlineStr">
        <is>
          <t>Published</t>
        </is>
      </c>
    </row>
    <row r="739">
      <c r="A739">
        <f>HYPERLINK("https://www.walmart.com/ip/311195176", "311195176")</f>
        <v/>
      </c>
      <c r="B739">
        <f>HYPERLINK("https://app.optiwise.ai/catalog/itemdetails/362645", "100% Polar Fleece Skull Cap Warm and Cozy Beanie")</f>
        <v/>
      </c>
      <c r="C739" t="inlineStr">
        <is>
          <t>1SLW1810BK-FSCB</t>
        </is>
      </c>
      <c r="D739" t="inlineStr">
        <is>
          <t>Clothing</t>
        </is>
      </c>
      <c r="E739" t="inlineStr">
        <is>
          <t>Hats</t>
        </is>
      </c>
      <c r="F739" t="inlineStr">
        <is>
          <t>Solaris</t>
        </is>
      </c>
      <c r="G739" t="n">
        <v>0</v>
      </c>
      <c r="H739" t="n">
        <v>0</v>
      </c>
      <c r="I739" t="inlineStr">
        <is>
          <t>Optimized</t>
        </is>
      </c>
      <c r="J739" s="29" t="n">
        <v>17.94</v>
      </c>
      <c r="K739" s="30" t="n">
        <v>0.0002</v>
      </c>
      <c r="L739" s="29" t="n">
        <v>0</v>
      </c>
      <c r="M739" s="29" t="n">
        <v>0</v>
      </c>
      <c r="N739" s="2" t="n">
        <v>3</v>
      </c>
      <c r="O739" s="31" t="n">
        <v>0</v>
      </c>
      <c r="P739" s="32" t="n"/>
      <c r="Q739" s="32" t="n">
        <v>0</v>
      </c>
      <c r="R739" s="32" t="n">
        <v>0</v>
      </c>
      <c r="S739" s="31" t="n">
        <v>0</v>
      </c>
      <c r="T739" s="32" t="n">
        <v>0</v>
      </c>
      <c r="U739" s="31" t="n">
        <v>0</v>
      </c>
      <c r="V739" s="31" t="n">
        <v>0</v>
      </c>
      <c r="W739" s="3" t="n">
        <v>0</v>
      </c>
      <c r="X739" s="3" t="n">
        <v>0</v>
      </c>
      <c r="Y739" s="32" t="n">
        <v>0</v>
      </c>
      <c r="Z739" s="3" t="n">
        <v>0</v>
      </c>
      <c r="AA739" s="32" t="n">
        <v>0</v>
      </c>
      <c r="AB739" s="3" t="n"/>
      <c r="AC739" s="31" t="n">
        <v>0</v>
      </c>
      <c r="AD739" s="2" t="n">
        <v>0</v>
      </c>
      <c r="AE739" s="2" t="n">
        <v>8</v>
      </c>
      <c r="AF739" s="4" t="n">
        <v>8</v>
      </c>
      <c r="AG739" s="33" t="n">
        <v>17.94</v>
      </c>
      <c r="AH739" s="4" t="n">
        <v>3</v>
      </c>
      <c r="AI739" s="34" t="n">
        <v>0.375</v>
      </c>
      <c r="AJ739" s="34" t="n">
        <v>1</v>
      </c>
      <c r="AK739" s="2" t="n">
        <v>4500</v>
      </c>
      <c r="AL739" t="inlineStr">
        <is>
          <t>Published</t>
        </is>
      </c>
    </row>
    <row r="740">
      <c r="A740">
        <f>HYPERLINK("https://www.walmart.com/ip/1227019998", "1227019998")</f>
        <v/>
      </c>
      <c r="B740">
        <f>HYPERLINK("https://app.optiwise.ai/catalog/itemdetails/13012114", "Every Day is Christmas Glass Blown Ornaments 2021 Cute Hand Made Figurines Tree Decoration, UFO Santa")</f>
        <v/>
      </c>
      <c r="C740" t="inlineStr">
        <is>
          <t>EDC-FIGURINE-UFOSANTA</t>
        </is>
      </c>
      <c r="D740" t="inlineStr">
        <is>
          <t>Home Decor, Kitchen, &amp; Other</t>
        </is>
      </c>
      <c r="E740" t="inlineStr">
        <is>
          <t>Ornaments</t>
        </is>
      </c>
      <c r="F740" t="inlineStr">
        <is>
          <t>Every Day is Christmas</t>
        </is>
      </c>
      <c r="G740" t="n">
        <v>0</v>
      </c>
      <c r="H740" t="n">
        <v>0</v>
      </c>
      <c r="J740" s="29" t="n">
        <v>16.99</v>
      </c>
      <c r="K740" s="30" t="n">
        <v>0.0001</v>
      </c>
      <c r="L740" s="29" t="n">
        <v>0</v>
      </c>
      <c r="M740" s="29" t="n">
        <v>0</v>
      </c>
      <c r="N740" s="2" t="n">
        <v>1</v>
      </c>
      <c r="O740" s="31" t="n">
        <v>0</v>
      </c>
      <c r="P740" s="32" t="n"/>
      <c r="Q740" s="32" t="n">
        <v>0</v>
      </c>
      <c r="R740" s="32" t="n">
        <v>0</v>
      </c>
      <c r="S740" s="31" t="n">
        <v>0</v>
      </c>
      <c r="T740" s="32" t="n">
        <v>0</v>
      </c>
      <c r="U740" s="31" t="n">
        <v>0</v>
      </c>
      <c r="V740" s="31" t="n">
        <v>0</v>
      </c>
      <c r="W740" s="3" t="n">
        <v>0</v>
      </c>
      <c r="X740" s="3" t="n">
        <v>0</v>
      </c>
      <c r="Y740" s="32" t="n">
        <v>0</v>
      </c>
      <c r="Z740" s="3" t="n">
        <v>0</v>
      </c>
      <c r="AA740" s="32" t="n">
        <v>0</v>
      </c>
      <c r="AB740" s="3" t="n"/>
      <c r="AC740" s="31" t="n">
        <v>0</v>
      </c>
      <c r="AD740" s="2" t="n">
        <v>0</v>
      </c>
      <c r="AE740" s="2" t="n">
        <v>15</v>
      </c>
      <c r="AF740" s="4" t="n">
        <v>15</v>
      </c>
      <c r="AG740" s="33" t="n">
        <v>16.99</v>
      </c>
      <c r="AH740" s="4" t="n">
        <v>1</v>
      </c>
      <c r="AI740" s="34" t="n">
        <v>0.0667</v>
      </c>
      <c r="AJ740" s="34" t="n">
        <v>1</v>
      </c>
      <c r="AK740" s="2" t="n">
        <v>13500</v>
      </c>
      <c r="AL740" t="inlineStr">
        <is>
          <t>Published</t>
        </is>
      </c>
    </row>
    <row r="741">
      <c r="A741">
        <f>HYPERLINK("https://www.walmart.com/ip/228998372", "228998372")</f>
        <v/>
      </c>
      <c r="B741">
        <f>HYPERLINK("https://app.optiwise.ai/catalog/itemdetails/360959", "Pawsse Sherpa Pet Blanket, Puppy Cat Blanket, Warm Flannel Plush Dog Fleece Blanket for Small Dogs Kitten, Reversible, Brown/Latte Sherpa Lining, 45 X 30 Inches")</f>
        <v/>
      </c>
      <c r="C741" t="inlineStr">
        <is>
          <t>1TRBF345BRLT</t>
        </is>
      </c>
      <c r="D741" t="inlineStr">
        <is>
          <t>Animal Accessories</t>
        </is>
      </c>
      <c r="E741" t="inlineStr">
        <is>
          <t>Pet Blankets</t>
        </is>
      </c>
      <c r="F741" t="inlineStr">
        <is>
          <t>Pawsse</t>
        </is>
      </c>
      <c r="G741" t="n">
        <v>4.3</v>
      </c>
      <c r="H741" t="n">
        <v>3</v>
      </c>
      <c r="I741" t="inlineStr">
        <is>
          <t>Batch 1 - TR</t>
        </is>
      </c>
      <c r="J741" s="29" t="n">
        <v>16.99</v>
      </c>
      <c r="K741" s="30" t="n">
        <v>0.0001</v>
      </c>
      <c r="L741" s="29" t="n">
        <v>0</v>
      </c>
      <c r="M741" s="29" t="n">
        <v>0</v>
      </c>
      <c r="N741" s="2" t="n">
        <v>1</v>
      </c>
      <c r="O741" s="31" t="n">
        <v>0</v>
      </c>
      <c r="P741" s="32" t="n"/>
      <c r="Q741" s="32" t="n">
        <v>0</v>
      </c>
      <c r="R741" s="32" t="n">
        <v>0</v>
      </c>
      <c r="S741" s="31" t="n">
        <v>0</v>
      </c>
      <c r="T741" s="32" t="n">
        <v>0</v>
      </c>
      <c r="U741" s="31" t="n">
        <v>0</v>
      </c>
      <c r="V741" s="31" t="n">
        <v>0</v>
      </c>
      <c r="W741" s="3" t="n">
        <v>0</v>
      </c>
      <c r="X741" s="3" t="n">
        <v>0</v>
      </c>
      <c r="Y741" s="32" t="n">
        <v>0</v>
      </c>
      <c r="Z741" s="3" t="n">
        <v>0</v>
      </c>
      <c r="AA741" s="32" t="n">
        <v>0</v>
      </c>
      <c r="AB741" s="3" t="n"/>
      <c r="AC741" s="31" t="n">
        <v>0</v>
      </c>
      <c r="AD741" s="2" t="n">
        <v>0</v>
      </c>
      <c r="AE741" s="2" t="n">
        <v>58</v>
      </c>
      <c r="AF741" s="4" t="n">
        <v>58</v>
      </c>
      <c r="AG741" s="33" t="n">
        <v>16.99</v>
      </c>
      <c r="AH741" s="4" t="n">
        <v>1</v>
      </c>
      <c r="AI741" s="34" t="n">
        <v>0.0172</v>
      </c>
      <c r="AJ741" s="34" t="n">
        <v>1</v>
      </c>
      <c r="AK741" s="2" t="n">
        <v>13500</v>
      </c>
      <c r="AL741" t="inlineStr">
        <is>
          <t>Published</t>
        </is>
      </c>
    </row>
    <row r="742">
      <c r="A742">
        <f>HYPERLINK("https://www.walmart.com/ip/5269453353", "5269453353")</f>
        <v/>
      </c>
      <c r="B742">
        <f>HYPERLINK("https://app.optiwise.ai/catalog/itemdetails/7776008", "Tirrinia Single Wine Cooler Bags - Insulated &amp; Padded Portable Wine Tote Carrier for Travel, BYOB Restaurant, Wine Tasting, Party, Great Christmas Gift for Wine Lover, Cork")</f>
        <v/>
      </c>
      <c r="C742" t="inlineStr">
        <is>
          <t>1TRWB101CORK</t>
        </is>
      </c>
      <c r="D742" t="inlineStr">
        <is>
          <t>Home Decor, Kitchen, &amp; Other</t>
        </is>
      </c>
      <c r="E742" t="inlineStr">
        <is>
          <t>Wine Totes, Bags &amp; Backpacks</t>
        </is>
      </c>
      <c r="F742" t="inlineStr">
        <is>
          <t>Tirrinia</t>
        </is>
      </c>
      <c r="G742" t="n">
        <v>0</v>
      </c>
      <c r="H742" t="n">
        <v>0</v>
      </c>
      <c r="J742" s="29" t="n">
        <v>16.99</v>
      </c>
      <c r="K742" s="30" t="n">
        <v>0.0001</v>
      </c>
      <c r="L742" s="29" t="n">
        <v>0</v>
      </c>
      <c r="M742" s="29" t="n">
        <v>0</v>
      </c>
      <c r="N742" s="2" t="n">
        <v>1</v>
      </c>
      <c r="O742" s="31" t="n">
        <v>0</v>
      </c>
      <c r="P742" s="32" t="n"/>
      <c r="Q742" s="32" t="n">
        <v>0</v>
      </c>
      <c r="R742" s="32" t="n">
        <v>0</v>
      </c>
      <c r="S742" s="31" t="n">
        <v>0</v>
      </c>
      <c r="T742" s="32" t="n">
        <v>0</v>
      </c>
      <c r="U742" s="31" t="n">
        <v>0</v>
      </c>
      <c r="V742" s="31" t="n">
        <v>0</v>
      </c>
      <c r="W742" s="3" t="n">
        <v>0</v>
      </c>
      <c r="X742" s="3" t="n">
        <v>0</v>
      </c>
      <c r="Y742" s="32" t="n">
        <v>0</v>
      </c>
      <c r="Z742" s="3" t="n">
        <v>0</v>
      </c>
      <c r="AA742" s="32" t="n">
        <v>0</v>
      </c>
      <c r="AB742" s="3" t="n"/>
      <c r="AC742" s="31" t="n">
        <v>0</v>
      </c>
      <c r="AD742" s="2" t="n">
        <v>0</v>
      </c>
      <c r="AE742" s="2" t="n">
        <v>28</v>
      </c>
      <c r="AF742" s="4" t="n">
        <v>28</v>
      </c>
      <c r="AG742" s="33" t="n">
        <v>16.99</v>
      </c>
      <c r="AH742" s="4" t="n">
        <v>1</v>
      </c>
      <c r="AI742" s="34" t="n">
        <v>0.0357</v>
      </c>
      <c r="AJ742" s="34" t="n">
        <v>1</v>
      </c>
      <c r="AK742" s="2" t="n">
        <v>13500</v>
      </c>
      <c r="AL742" t="inlineStr">
        <is>
          <t>Published</t>
        </is>
      </c>
    </row>
    <row r="743">
      <c r="A743">
        <f>HYPERLINK("https://www.walmart.com/ip/881852445", "881852445")</f>
        <v/>
      </c>
      <c r="B743">
        <f>HYPERLINK("https://app.optiwise.ai/catalog/itemdetails/361885", "Napa Plush  Throw Blanket Queen Full 90”x90” Striped Velvet Luxury Super Soft Cozy Fleece Bed Reversible Latte")</f>
        <v/>
      </c>
      <c r="C743" t="inlineStr">
        <is>
          <t>K8030QF-LTT</t>
        </is>
      </c>
      <c r="D743" t="inlineStr">
        <is>
          <t>Bedding</t>
        </is>
      </c>
      <c r="E743" t="inlineStr">
        <is>
          <t>Throws</t>
        </is>
      </c>
      <c r="F743" t="inlineStr">
        <is>
          <t>NAPA</t>
        </is>
      </c>
      <c r="G743" t="n">
        <v>0</v>
      </c>
      <c r="H743" t="n">
        <v>0</v>
      </c>
      <c r="I743" t="inlineStr">
        <is>
          <t>Optimized,cost-added</t>
        </is>
      </c>
      <c r="J743" s="29" t="n">
        <v>16.99</v>
      </c>
      <c r="K743" s="30" t="n">
        <v>0.0001</v>
      </c>
      <c r="L743" s="29" t="n">
        <v>0</v>
      </c>
      <c r="M743" s="29" t="n">
        <v>0</v>
      </c>
      <c r="N743" s="2" t="n">
        <v>1</v>
      </c>
      <c r="O743" s="31" t="n">
        <v>0</v>
      </c>
      <c r="P743" s="32" t="n"/>
      <c r="Q743" s="32" t="n">
        <v>0</v>
      </c>
      <c r="R743" s="32" t="n">
        <v>0</v>
      </c>
      <c r="S743" s="31" t="n">
        <v>0</v>
      </c>
      <c r="T743" s="32" t="n">
        <v>0</v>
      </c>
      <c r="U743" s="31" t="n">
        <v>0</v>
      </c>
      <c r="V743" s="31" t="n">
        <v>0</v>
      </c>
      <c r="W743" s="3" t="n">
        <v>0</v>
      </c>
      <c r="X743" s="3" t="n">
        <v>0</v>
      </c>
      <c r="Y743" s="32" t="n">
        <v>0</v>
      </c>
      <c r="Z743" s="3" t="n">
        <v>0</v>
      </c>
      <c r="AA743" s="32" t="n">
        <v>0</v>
      </c>
      <c r="AB743" s="3" t="n"/>
      <c r="AC743" s="31" t="n">
        <v>0</v>
      </c>
      <c r="AD743" s="2" t="n">
        <v>0</v>
      </c>
      <c r="AE743" s="2" t="n">
        <v>0</v>
      </c>
      <c r="AF743" s="4" t="n">
        <v>0</v>
      </c>
      <c r="AG743" s="33" t="n">
        <v>16.99</v>
      </c>
      <c r="AH743" s="4" t="n">
        <v>1</v>
      </c>
      <c r="AI743" s="34" t="n"/>
      <c r="AJ743" s="34" t="n">
        <v>1</v>
      </c>
      <c r="AK743" s="2" t="n">
        <v>13500</v>
      </c>
      <c r="AL743" t="inlineStr">
        <is>
          <t>Published</t>
        </is>
      </c>
    </row>
    <row r="744">
      <c r="A744">
        <f>HYPERLINK("https://www.walmart.com/ip/334947943", "334947943")</f>
        <v/>
      </c>
      <c r="B744">
        <f>HYPERLINK("https://app.optiwise.ai/catalog/itemdetails/361301", "Pawsse Sherpa Fleece Blanket, Reversible Plush Blanket, Warm Flannel Plush Cat and Dog Blanket, Latte/Latte Sherpa Lining, 45'' x 30''")</f>
        <v/>
      </c>
      <c r="C744" t="inlineStr">
        <is>
          <t>1TRBF345LTLT</t>
        </is>
      </c>
      <c r="D744" t="inlineStr">
        <is>
          <t>Animal Accessories</t>
        </is>
      </c>
      <c r="E744" t="inlineStr">
        <is>
          <t>Pet Blankets</t>
        </is>
      </c>
      <c r="F744" t="inlineStr">
        <is>
          <t>Pawsse</t>
        </is>
      </c>
      <c r="G744" t="n">
        <v>4.3</v>
      </c>
      <c r="H744" t="n">
        <v>3</v>
      </c>
      <c r="I744" t="inlineStr">
        <is>
          <t>Batch 1 - TR</t>
        </is>
      </c>
      <c r="J744" s="29" t="n">
        <v>16.99</v>
      </c>
      <c r="K744" s="30" t="n">
        <v>0.0001</v>
      </c>
      <c r="L744" s="29" t="n">
        <v>0</v>
      </c>
      <c r="M744" s="29" t="n">
        <v>0</v>
      </c>
      <c r="N744" s="2" t="n">
        <v>1</v>
      </c>
      <c r="O744" s="31" t="n">
        <v>0</v>
      </c>
      <c r="P744" s="32" t="n"/>
      <c r="Q744" s="32" t="n">
        <v>0</v>
      </c>
      <c r="R744" s="32" t="n">
        <v>0</v>
      </c>
      <c r="S744" s="31" t="n">
        <v>0</v>
      </c>
      <c r="T744" s="32" t="n">
        <v>0</v>
      </c>
      <c r="U744" s="31" t="n">
        <v>0</v>
      </c>
      <c r="V744" s="31" t="n">
        <v>0</v>
      </c>
      <c r="W744" s="3" t="n">
        <v>0</v>
      </c>
      <c r="X744" s="3" t="n">
        <v>0</v>
      </c>
      <c r="Y744" s="32" t="n">
        <v>0</v>
      </c>
      <c r="Z744" s="3" t="n">
        <v>0</v>
      </c>
      <c r="AA744" s="32" t="n">
        <v>0</v>
      </c>
      <c r="AB744" s="3" t="n"/>
      <c r="AC744" s="31" t="n">
        <v>0</v>
      </c>
      <c r="AD744" s="2" t="n">
        <v>0</v>
      </c>
      <c r="AE744" s="2" t="n">
        <v>0</v>
      </c>
      <c r="AF744" s="4" t="n">
        <v>0</v>
      </c>
      <c r="AG744" s="33" t="n">
        <v>16.99</v>
      </c>
      <c r="AH744" s="4" t="n">
        <v>1</v>
      </c>
      <c r="AI744" s="34" t="n"/>
      <c r="AJ744" s="34" t="n">
        <v>1</v>
      </c>
      <c r="AK744" s="2" t="n">
        <v>270</v>
      </c>
      <c r="AL744" t="inlineStr">
        <is>
          <t>Published</t>
        </is>
      </c>
    </row>
    <row r="745">
      <c r="A745">
        <f>HYPERLINK("https://www.walmart.com/ip/136749129", "136749129")</f>
        <v/>
      </c>
      <c r="B745">
        <f>HYPERLINK("https://app.optiwise.ai/catalog/itemdetails/362787", "KC Caps Unisex Low Profile Baseball Cap, Hat for Women and Men, Blaze Orange")</f>
        <v/>
      </c>
      <c r="C745" t="inlineStr">
        <is>
          <t>KC-8120-NOR</t>
        </is>
      </c>
      <c r="D745" t="inlineStr">
        <is>
          <t>Clothing</t>
        </is>
      </c>
      <c r="E745" t="inlineStr">
        <is>
          <t>Hats</t>
        </is>
      </c>
      <c r="F745" t="inlineStr">
        <is>
          <t>KC Caps</t>
        </is>
      </c>
      <c r="G745" t="n">
        <v>0</v>
      </c>
      <c r="H745" t="n">
        <v>0</v>
      </c>
      <c r="I745" t="inlineStr">
        <is>
          <t>Optimized,WFS,WFS Item</t>
        </is>
      </c>
      <c r="J745" s="29" t="n">
        <v>16.99</v>
      </c>
      <c r="K745" s="30" t="n">
        <v>0.0001</v>
      </c>
      <c r="L745" s="29" t="n">
        <v>0</v>
      </c>
      <c r="M745" s="29" t="n">
        <v>0</v>
      </c>
      <c r="N745" s="2" t="n">
        <v>1</v>
      </c>
      <c r="O745" s="31" t="n">
        <v>0</v>
      </c>
      <c r="P745" s="32" t="n"/>
      <c r="Q745" s="32" t="n">
        <v>0</v>
      </c>
      <c r="R745" s="32" t="n">
        <v>0</v>
      </c>
      <c r="S745" s="31" t="n">
        <v>0</v>
      </c>
      <c r="T745" s="32" t="n">
        <v>0</v>
      </c>
      <c r="U745" s="31" t="n">
        <v>0</v>
      </c>
      <c r="V745" s="31" t="n">
        <v>0</v>
      </c>
      <c r="W745" s="3" t="n">
        <v>0</v>
      </c>
      <c r="X745" s="3" t="n">
        <v>0</v>
      </c>
      <c r="Y745" s="32" t="n">
        <v>0</v>
      </c>
      <c r="Z745" s="3" t="n">
        <v>0</v>
      </c>
      <c r="AA745" s="32" t="n">
        <v>0</v>
      </c>
      <c r="AB745" s="3" t="n"/>
      <c r="AC745" s="31" t="n">
        <v>0</v>
      </c>
      <c r="AD745" s="2" t="n">
        <v>0</v>
      </c>
      <c r="AE745" s="2" t="n">
        <v>18</v>
      </c>
      <c r="AF745" s="4" t="n">
        <v>18</v>
      </c>
      <c r="AG745" s="33" t="n">
        <v>16.99</v>
      </c>
      <c r="AH745" s="4" t="n">
        <v>1</v>
      </c>
      <c r="AI745" s="34" t="n">
        <v>0.0556</v>
      </c>
      <c r="AJ745" s="34" t="n">
        <v>1</v>
      </c>
      <c r="AK745" s="2" t="n">
        <v>13500</v>
      </c>
      <c r="AL745" t="inlineStr">
        <is>
          <t>Published</t>
        </is>
      </c>
    </row>
    <row r="746">
      <c r="A746">
        <f>HYPERLINK("https://www.walmart.com/ip/5452371930", "5452371930")</f>
        <v/>
      </c>
      <c r="B746">
        <f>HYPERLINK("https://app.optiwise.ai/catalog/itemdetails/7947826", "Outdoor Wide Brim Sun Hats with Neck Flap Blocking UV Protection Cap by Solaris Unisex UPF 50+ Foldable Mesh Net for Fin")</f>
        <v/>
      </c>
      <c r="C746" t="inlineStr">
        <is>
          <t>1SLSH910CAMO-C</t>
        </is>
      </c>
      <c r="D746" t="inlineStr">
        <is>
          <t>Clothing</t>
        </is>
      </c>
      <c r="E746" t="inlineStr">
        <is>
          <t>Hats</t>
        </is>
      </c>
      <c r="F746" t="inlineStr">
        <is>
          <t>Solaris</t>
        </is>
      </c>
      <c r="G746" t="n">
        <v>0</v>
      </c>
      <c r="H746" t="n">
        <v>0</v>
      </c>
      <c r="J746" s="29" t="n">
        <v>16.49</v>
      </c>
      <c r="K746" s="30" t="n">
        <v>0.0001</v>
      </c>
      <c r="L746" s="29" t="n">
        <v>0</v>
      </c>
      <c r="M746" s="29" t="n">
        <v>0</v>
      </c>
      <c r="N746" s="2" t="n">
        <v>1</v>
      </c>
      <c r="O746" s="31" t="n">
        <v>0</v>
      </c>
      <c r="P746" s="32" t="n"/>
      <c r="Q746" s="32" t="n">
        <v>0</v>
      </c>
      <c r="R746" s="32" t="n">
        <v>0.0558</v>
      </c>
      <c r="S746" s="31" t="n">
        <v>0</v>
      </c>
      <c r="T746" s="32" t="n">
        <v>0</v>
      </c>
      <c r="U746" s="31" t="n">
        <v>0</v>
      </c>
      <c r="V746" s="31" t="n">
        <v>0</v>
      </c>
      <c r="W746" s="3" t="n">
        <v>0</v>
      </c>
      <c r="X746" s="3" t="n">
        <v>0</v>
      </c>
      <c r="Y746" s="32" t="n">
        <v>0</v>
      </c>
      <c r="Z746" s="3" t="n">
        <v>0</v>
      </c>
      <c r="AA746" s="32" t="n">
        <v>0</v>
      </c>
      <c r="AB746" s="3" t="n"/>
      <c r="AC746" s="31" t="n">
        <v>0</v>
      </c>
      <c r="AD746" s="2" t="n">
        <v>0</v>
      </c>
      <c r="AE746" s="2" t="n">
        <v>12</v>
      </c>
      <c r="AF746" s="4" t="n">
        <v>12</v>
      </c>
      <c r="AG746" s="33" t="n">
        <v>16.49</v>
      </c>
      <c r="AH746" s="4" t="n">
        <v>1</v>
      </c>
      <c r="AI746" s="34" t="n">
        <v>0.0833</v>
      </c>
      <c r="AJ746" s="34" t="n">
        <v>1</v>
      </c>
      <c r="AK746" s="2" t="n">
        <v>13770</v>
      </c>
      <c r="AL746" t="inlineStr">
        <is>
          <t>Published</t>
        </is>
      </c>
    </row>
    <row r="747">
      <c r="A747">
        <f>HYPERLINK("https://www.walmart.com/ip/550143832", "550143832")</f>
        <v/>
      </c>
      <c r="B747">
        <f>HYPERLINK("https://app.optiwise.ai/catalog/itemdetails/362174", "Tirrinia Sun Blocker Unisex Sun Hat with Neck Flap and Wide Brim for Outdoor Camping, Hiking, Hunting, and Fishing, Sun Hat for Men and Women, Tan")</f>
        <v/>
      </c>
      <c r="C747" t="inlineStr">
        <is>
          <t>1TRSH910TN-TBCB</t>
        </is>
      </c>
      <c r="D747" t="inlineStr">
        <is>
          <t>Clothing</t>
        </is>
      </c>
      <c r="E747" t="inlineStr">
        <is>
          <t>Hats</t>
        </is>
      </c>
      <c r="F747" t="inlineStr">
        <is>
          <t>Tirrinia</t>
        </is>
      </c>
      <c r="G747" t="n">
        <v>4.7</v>
      </c>
      <c r="H747" t="n">
        <v>51</v>
      </c>
      <c r="I747" t="inlineStr">
        <is>
          <t>Hats,Batch 1 - TR</t>
        </is>
      </c>
      <c r="J747" s="29" t="n">
        <v>15.99</v>
      </c>
      <c r="K747" s="30" t="n">
        <v>0.0001</v>
      </c>
      <c r="L747" s="29" t="n">
        <v>0</v>
      </c>
      <c r="M747" s="29" t="n">
        <v>0</v>
      </c>
      <c r="N747" s="2" t="n">
        <v>1</v>
      </c>
      <c r="O747" s="31" t="n">
        <v>2.34</v>
      </c>
      <c r="P747" s="32" t="n">
        <v>0.0003</v>
      </c>
      <c r="Q747" s="32" t="n">
        <v>0.1463</v>
      </c>
      <c r="R747" s="32" t="n">
        <v>0</v>
      </c>
      <c r="S747" s="31" t="n">
        <v>0</v>
      </c>
      <c r="T747" s="32" t="n">
        <v>0</v>
      </c>
      <c r="U747" s="31" t="n">
        <v>0</v>
      </c>
      <c r="V747" s="31" t="n">
        <v>0</v>
      </c>
      <c r="W747" s="3" t="n">
        <v>10179</v>
      </c>
      <c r="X747" s="3" t="n">
        <v>9</v>
      </c>
      <c r="Y747" s="32" t="n">
        <v>0.0009</v>
      </c>
      <c r="Z747" s="3" t="n">
        <v>0</v>
      </c>
      <c r="AA747" s="32" t="n">
        <v>0</v>
      </c>
      <c r="AB747" s="3" t="inlineStr">
        <is>
          <t>Need to sell these SKUs by 15th Feb</t>
        </is>
      </c>
      <c r="AC747" s="31" t="n">
        <v>0.26</v>
      </c>
      <c r="AD747" s="2" t="n">
        <v>0</v>
      </c>
      <c r="AE747" s="2" t="n">
        <v>32</v>
      </c>
      <c r="AF747" s="4" t="n">
        <v>23</v>
      </c>
      <c r="AG747" s="33" t="n">
        <v>15.99</v>
      </c>
      <c r="AH747" s="4" t="n">
        <v>1</v>
      </c>
      <c r="AI747" s="34" t="n">
        <v>0.0435</v>
      </c>
      <c r="AJ747" s="34" t="n">
        <v>1</v>
      </c>
      <c r="AK747" s="2" t="n">
        <v>14040</v>
      </c>
      <c r="AL747" t="inlineStr">
        <is>
          <t>Published</t>
        </is>
      </c>
    </row>
    <row r="748">
      <c r="A748">
        <f>HYPERLINK("https://www.walmart.com/ip/657559608", "657559608")</f>
        <v/>
      </c>
      <c r="B748">
        <f>HYPERLINK("https://app.optiwise.ai/catalog/itemdetails/360348", "Ski Gloves for Women &amp; Men 3M Winter Snow Gloves Mittens Insulation Waterproof for Outdoors Sports")</f>
        <v/>
      </c>
      <c r="C748" t="inlineStr">
        <is>
          <t>1SLWG100BKM</t>
        </is>
      </c>
      <c r="D748" t="inlineStr">
        <is>
          <t>Clothing</t>
        </is>
      </c>
      <c r="E748" t="inlineStr">
        <is>
          <t>Gloves &amp; Mittens</t>
        </is>
      </c>
      <c r="F748" t="inlineStr">
        <is>
          <t>Solaris</t>
        </is>
      </c>
      <c r="G748" t="n">
        <v>0</v>
      </c>
      <c r="H748" t="n">
        <v>0</v>
      </c>
      <c r="I748" t="inlineStr">
        <is>
          <t>Gloves,WFS,WFS Item</t>
        </is>
      </c>
      <c r="J748" s="29" t="n">
        <v>15.99</v>
      </c>
      <c r="K748" s="30" t="n">
        <v>0.0001</v>
      </c>
      <c r="L748" s="29" t="n">
        <v>0</v>
      </c>
      <c r="M748" s="29" t="n">
        <v>0</v>
      </c>
      <c r="N748" s="2" t="n">
        <v>1</v>
      </c>
      <c r="O748" s="31" t="n">
        <v>0</v>
      </c>
      <c r="P748" s="32" t="n"/>
      <c r="Q748" s="32" t="n">
        <v>0</v>
      </c>
      <c r="R748" s="32" t="n">
        <v>0</v>
      </c>
      <c r="S748" s="31" t="n">
        <v>0</v>
      </c>
      <c r="T748" s="32" t="n">
        <v>0</v>
      </c>
      <c r="U748" s="31" t="n">
        <v>0</v>
      </c>
      <c r="V748" s="31" t="n">
        <v>0</v>
      </c>
      <c r="W748" s="3" t="n">
        <v>0</v>
      </c>
      <c r="X748" s="3" t="n">
        <v>0</v>
      </c>
      <c r="Y748" s="32" t="n">
        <v>0</v>
      </c>
      <c r="Z748" s="3" t="n">
        <v>0</v>
      </c>
      <c r="AA748" s="32" t="n">
        <v>0</v>
      </c>
      <c r="AB748" s="3" t="n"/>
      <c r="AC748" s="31" t="n">
        <v>0</v>
      </c>
      <c r="AD748" s="2" t="n">
        <v>0</v>
      </c>
      <c r="AE748" s="2" t="n">
        <v>22</v>
      </c>
      <c r="AF748" s="4" t="n">
        <v>22</v>
      </c>
      <c r="AG748" s="33" t="n">
        <v>15.99</v>
      </c>
      <c r="AH748" s="4" t="n">
        <v>1</v>
      </c>
      <c r="AI748" s="34" t="n">
        <v>0.0455</v>
      </c>
      <c r="AJ748" s="34" t="n">
        <v>1</v>
      </c>
      <c r="AK748" s="2" t="n">
        <v>13500</v>
      </c>
      <c r="AL748" t="inlineStr">
        <is>
          <t>Published</t>
        </is>
      </c>
    </row>
    <row r="749">
      <c r="A749">
        <f>HYPERLINK("https://www.walmart.com/ip/718394544", "718394544")</f>
        <v/>
      </c>
      <c r="B749">
        <f>HYPERLINK("https://app.optiwise.ai/catalog/itemdetails/358736", "Flyingstar Women's Ponytail Sun Hat for Hiking, Gardening and Safari, Wide Brim Hat For Women with Breathable Mesh and Ponytail Hole Opening, Tan")</f>
        <v/>
      </c>
      <c r="C749" t="inlineStr">
        <is>
          <t>1WMSH912TN</t>
        </is>
      </c>
      <c r="D749" t="inlineStr">
        <is>
          <t>Clothing</t>
        </is>
      </c>
      <c r="E749" t="inlineStr">
        <is>
          <t>Hats</t>
        </is>
      </c>
      <c r="F749" t="inlineStr">
        <is>
          <t>Flyingstar</t>
        </is>
      </c>
      <c r="G749" t="n">
        <v>3.9</v>
      </c>
      <c r="H749" t="n">
        <v>7</v>
      </c>
      <c r="I749" t="inlineStr">
        <is>
          <t>Optimized,Hats</t>
        </is>
      </c>
      <c r="J749" s="29" t="n">
        <v>15.99</v>
      </c>
      <c r="K749" s="30" t="n">
        <v>0.0001</v>
      </c>
      <c r="L749" s="29" t="n">
        <v>0</v>
      </c>
      <c r="M749" s="29" t="n">
        <v>0</v>
      </c>
      <c r="N749" s="2" t="n">
        <v>1</v>
      </c>
      <c r="O749" s="31" t="n">
        <v>0</v>
      </c>
      <c r="P749" s="32" t="n"/>
      <c r="Q749" s="32" t="n">
        <v>0</v>
      </c>
      <c r="R749" s="32" t="n">
        <v>0</v>
      </c>
      <c r="S749" s="31" t="n">
        <v>0</v>
      </c>
      <c r="T749" s="32" t="n">
        <v>0</v>
      </c>
      <c r="U749" s="31" t="n">
        <v>0</v>
      </c>
      <c r="V749" s="31" t="n">
        <v>0</v>
      </c>
      <c r="W749" s="3" t="n">
        <v>0</v>
      </c>
      <c r="X749" s="3" t="n">
        <v>0</v>
      </c>
      <c r="Y749" s="32" t="n">
        <v>0</v>
      </c>
      <c r="Z749" s="3" t="n">
        <v>0</v>
      </c>
      <c r="AA749" s="32" t="n">
        <v>0</v>
      </c>
      <c r="AB749" s="3" t="n"/>
      <c r="AC749" s="31" t="n">
        <v>0</v>
      </c>
      <c r="AD749" s="2" t="n">
        <v>0</v>
      </c>
      <c r="AE749" s="2" t="n">
        <v>54</v>
      </c>
      <c r="AF749" s="4" t="n">
        <v>54</v>
      </c>
      <c r="AG749" s="33" t="n">
        <v>15.99</v>
      </c>
      <c r="AH749" s="4" t="n">
        <v>1</v>
      </c>
      <c r="AI749" s="34" t="n">
        <v>0.0185</v>
      </c>
      <c r="AJ749" s="34" t="n">
        <v>1</v>
      </c>
      <c r="AK749" s="2" t="n">
        <v>13500</v>
      </c>
      <c r="AL749" t="inlineStr">
        <is>
          <t>Published</t>
        </is>
      </c>
    </row>
    <row r="750">
      <c r="A750">
        <f>HYPERLINK("https://www.walmart.com/ip/5470711911", "5470711911")</f>
        <v/>
      </c>
      <c r="B750">
        <f>HYPERLINK("https://app.optiwise.ai/catalog/itemdetails/8026929", "Tirrinia Large Insulated Lunch Bag for Men and Women, Adult Double-Layer Leakproof Reusable Grocery Bag, Office, Travel, Work Lunch Cooler Tote Charcoal")</f>
        <v/>
      </c>
      <c r="C750" t="inlineStr">
        <is>
          <t>1TRLB708CH-D</t>
        </is>
      </c>
      <c r="D750" t="inlineStr">
        <is>
          <t>Home Decor, Kitchen, &amp; Other</t>
        </is>
      </c>
      <c r="E750" t="inlineStr">
        <is>
          <t>Reusable Lunch Bags &amp; Boxes</t>
        </is>
      </c>
      <c r="F750" t="inlineStr">
        <is>
          <t>Tirrinia</t>
        </is>
      </c>
      <c r="G750" t="n">
        <v>0</v>
      </c>
      <c r="H750" t="n">
        <v>0</v>
      </c>
      <c r="J750" s="29" t="n">
        <v>15.99</v>
      </c>
      <c r="K750" s="30" t="n">
        <v>0.0001</v>
      </c>
      <c r="L750" s="29" t="n">
        <v>0</v>
      </c>
      <c r="M750" s="29" t="n">
        <v>0</v>
      </c>
      <c r="N750" s="2" t="n">
        <v>1</v>
      </c>
      <c r="O750" s="31" t="n">
        <v>0</v>
      </c>
      <c r="P750" s="32" t="n"/>
      <c r="Q750" s="32" t="n">
        <v>0</v>
      </c>
      <c r="R750" s="32" t="n">
        <v>0.2446</v>
      </c>
      <c r="S750" s="31" t="n">
        <v>0</v>
      </c>
      <c r="T750" s="32" t="n">
        <v>0</v>
      </c>
      <c r="U750" s="31" t="n">
        <v>0</v>
      </c>
      <c r="V750" s="31" t="n">
        <v>0</v>
      </c>
      <c r="W750" s="3" t="n">
        <v>0</v>
      </c>
      <c r="X750" s="3" t="n">
        <v>0</v>
      </c>
      <c r="Y750" s="32" t="n">
        <v>0</v>
      </c>
      <c r="Z750" s="3" t="n">
        <v>0</v>
      </c>
      <c r="AA750" s="32" t="n">
        <v>0</v>
      </c>
      <c r="AB750" s="3" t="n"/>
      <c r="AC750" s="31" t="n">
        <v>0</v>
      </c>
      <c r="AD750" s="2" t="n">
        <v>0</v>
      </c>
      <c r="AE750" s="2" t="n">
        <v>67</v>
      </c>
      <c r="AF750" s="4" t="n">
        <v>67</v>
      </c>
      <c r="AG750" s="33" t="n">
        <v>15.99</v>
      </c>
      <c r="AH750" s="4" t="n">
        <v>1</v>
      </c>
      <c r="AI750" s="34" t="n">
        <v>0.0149</v>
      </c>
      <c r="AJ750" s="34" t="n">
        <v>1</v>
      </c>
      <c r="AK750" s="2" t="n">
        <v>13500</v>
      </c>
      <c r="AL750" t="inlineStr">
        <is>
          <t>Published</t>
        </is>
      </c>
    </row>
    <row r="751">
      <c r="A751">
        <f>HYPERLINK("https://www.walmart.com/ip/800386741", "800386741")</f>
        <v/>
      </c>
      <c r="B751">
        <f>HYPERLINK("https://app.optiwise.ai/catalog/itemdetails/361999", "Tirrinia Insulated Lunch Bag for Women, Men, and Kids, Leakproof Thermal Reusable Insulated Cooler Bag for Meal Prep, Office Work, and Back to School, Large, Light Grey, 10 X 8.5 X 9.3, 10L")</f>
        <v/>
      </c>
      <c r="C751" t="inlineStr">
        <is>
          <t>1TRLB701LGY-T</t>
        </is>
      </c>
      <c r="D751" t="inlineStr">
        <is>
          <t>Home Decor, Kitchen, &amp; Other</t>
        </is>
      </c>
      <c r="E751" t="inlineStr">
        <is>
          <t>Reusable Lunch Bags &amp; Boxes</t>
        </is>
      </c>
      <c r="F751" t="inlineStr">
        <is>
          <t>Tirrinia</t>
        </is>
      </c>
      <c r="G751" t="n">
        <v>0</v>
      </c>
      <c r="H751" t="n">
        <v>0</v>
      </c>
      <c r="I751" t="inlineStr">
        <is>
          <t>Q2-Target,Brand Camp VD,Lunch Bag,WFS,Lunch Bags,SEM,WFS Item</t>
        </is>
      </c>
      <c r="J751" s="29" t="n">
        <v>15.99</v>
      </c>
      <c r="K751" s="30" t="n">
        <v>0.0001</v>
      </c>
      <c r="L751" s="29" t="n">
        <v>0</v>
      </c>
      <c r="M751" s="29" t="n">
        <v>0</v>
      </c>
      <c r="N751" s="2" t="n">
        <v>1</v>
      </c>
      <c r="O751" s="31" t="n">
        <v>0</v>
      </c>
      <c r="P751" s="32" t="n"/>
      <c r="Q751" s="32" t="n">
        <v>0</v>
      </c>
      <c r="R751" s="32" t="n">
        <v>0.0378</v>
      </c>
      <c r="S751" s="31" t="n">
        <v>0</v>
      </c>
      <c r="T751" s="32" t="n">
        <v>0</v>
      </c>
      <c r="U751" s="31" t="n">
        <v>0</v>
      </c>
      <c r="V751" s="31" t="n">
        <v>0</v>
      </c>
      <c r="W751" s="3" t="n">
        <v>0</v>
      </c>
      <c r="X751" s="3" t="n">
        <v>0</v>
      </c>
      <c r="Y751" s="32" t="n">
        <v>0</v>
      </c>
      <c r="Z751" s="3" t="n">
        <v>0</v>
      </c>
      <c r="AA751" s="32" t="n">
        <v>0</v>
      </c>
      <c r="AB751" s="3" t="n"/>
      <c r="AC751" s="31" t="n">
        <v>0</v>
      </c>
      <c r="AD751" s="2" t="n">
        <v>25</v>
      </c>
      <c r="AE751" s="2" t="n">
        <v>60</v>
      </c>
      <c r="AF751" s="4" t="n">
        <v>60</v>
      </c>
      <c r="AG751" s="33" t="n">
        <v>15.99</v>
      </c>
      <c r="AH751" s="4" t="n">
        <v>1</v>
      </c>
      <c r="AI751" s="34" t="n">
        <v>0.0167</v>
      </c>
      <c r="AJ751" s="34" t="n">
        <v>1</v>
      </c>
      <c r="AK751" s="2" t="n">
        <v>13500</v>
      </c>
      <c r="AL751" t="inlineStr">
        <is>
          <t>Published</t>
        </is>
      </c>
    </row>
    <row r="752">
      <c r="A752">
        <f>HYPERLINK("https://www.walmart.com/ip/144276925", "144276925")</f>
        <v/>
      </c>
      <c r="B752">
        <f>HYPERLINK("https://app.optiwise.ai/catalog/itemdetails/361623", "JenniWears® Women's Plus Size Sexy Lingerie Lace Babydolls 2 Pieces Mesh Chemises and G-string for Halloween")</f>
        <v/>
      </c>
      <c r="C752" t="inlineStr">
        <is>
          <t>JWBD06BKPP-XL</t>
        </is>
      </c>
      <c r="D752" t="inlineStr">
        <is>
          <t>Clothing</t>
        </is>
      </c>
      <c r="E752" t="inlineStr">
        <is>
          <t>Lingerie Sets</t>
        </is>
      </c>
      <c r="F752" t="inlineStr">
        <is>
          <t>JenniWears</t>
        </is>
      </c>
      <c r="G752" t="n">
        <v>0</v>
      </c>
      <c r="H752" t="n">
        <v>0</v>
      </c>
      <c r="I752" t="inlineStr">
        <is>
          <t>Valentine</t>
        </is>
      </c>
      <c r="J752" s="29" t="n">
        <v>15.98</v>
      </c>
      <c r="K752" s="30" t="n">
        <v>0.0001</v>
      </c>
      <c r="L752" s="29" t="n">
        <v>0</v>
      </c>
      <c r="M752" s="29" t="n">
        <v>0</v>
      </c>
      <c r="N752" s="2" t="n">
        <v>2</v>
      </c>
      <c r="O752" s="31" t="n">
        <v>0</v>
      </c>
      <c r="P752" s="32" t="n"/>
      <c r="Q752" s="32" t="n">
        <v>0</v>
      </c>
      <c r="R752" s="32" t="n">
        <v>0</v>
      </c>
      <c r="S752" s="31" t="n">
        <v>0</v>
      </c>
      <c r="T752" s="32" t="n">
        <v>0</v>
      </c>
      <c r="U752" s="31" t="n">
        <v>0</v>
      </c>
      <c r="V752" s="31" t="n">
        <v>0</v>
      </c>
      <c r="W752" s="3" t="n">
        <v>0</v>
      </c>
      <c r="X752" s="3" t="n">
        <v>0</v>
      </c>
      <c r="Y752" s="32" t="n">
        <v>0</v>
      </c>
      <c r="Z752" s="3" t="n">
        <v>0</v>
      </c>
      <c r="AA752" s="32" t="n">
        <v>0</v>
      </c>
      <c r="AB752" s="3" t="n"/>
      <c r="AC752" s="31" t="n">
        <v>0</v>
      </c>
      <c r="AD752" s="2" t="n">
        <v>0</v>
      </c>
      <c r="AE752" s="2" t="n">
        <v>25</v>
      </c>
      <c r="AF752" s="4" t="n">
        <v>25</v>
      </c>
      <c r="AG752" s="33" t="n">
        <v>15.98</v>
      </c>
      <c r="AH752" s="4" t="n">
        <v>2</v>
      </c>
      <c r="AI752" s="34" t="n">
        <v>0.08</v>
      </c>
      <c r="AJ752" s="34" t="n">
        <v>1</v>
      </c>
      <c r="AK752" s="2" t="n">
        <v>1485</v>
      </c>
      <c r="AL752" t="inlineStr">
        <is>
          <t>Published</t>
        </is>
      </c>
    </row>
    <row r="753">
      <c r="A753">
        <f>HYPERLINK("https://www.walmart.com/ip/188467913", "188467913")</f>
        <v/>
      </c>
      <c r="B753">
        <f>HYPERLINK("https://app.optiwise.ai/catalog/itemdetails/358739", "Terra Sun Hat for Women Summer Beach UPF 50+ Wide Brim Bucket, Tan Zebra")</f>
        <v/>
      </c>
      <c r="C753" t="inlineStr">
        <is>
          <t>TERRACAP-F065-TAN</t>
        </is>
      </c>
      <c r="D753" t="inlineStr">
        <is>
          <t>Clothing</t>
        </is>
      </c>
      <c r="E753" t="inlineStr">
        <is>
          <t>Hats</t>
        </is>
      </c>
      <c r="F753" t="inlineStr">
        <is>
          <t>Terra</t>
        </is>
      </c>
      <c r="G753" t="n">
        <v>0</v>
      </c>
      <c r="H753" t="n">
        <v>0</v>
      </c>
      <c r="I753" t="inlineStr">
        <is>
          <t>Optimized,Hats</t>
        </is>
      </c>
      <c r="J753" s="29" t="n">
        <v>15.98</v>
      </c>
      <c r="K753" s="30" t="n">
        <v>0.0001</v>
      </c>
      <c r="L753" s="29" t="n">
        <v>0</v>
      </c>
      <c r="M753" s="29" t="n">
        <v>0</v>
      </c>
      <c r="N753" s="2" t="n">
        <v>2</v>
      </c>
      <c r="O753" s="31" t="n">
        <v>0</v>
      </c>
      <c r="P753" s="32" t="n"/>
      <c r="Q753" s="32" t="n">
        <v>0</v>
      </c>
      <c r="R753" s="32" t="n">
        <v>0</v>
      </c>
      <c r="S753" s="31" t="n">
        <v>0</v>
      </c>
      <c r="T753" s="32" t="n">
        <v>0</v>
      </c>
      <c r="U753" s="31" t="n">
        <v>0</v>
      </c>
      <c r="V753" s="31" t="n">
        <v>0</v>
      </c>
      <c r="W753" s="3" t="n">
        <v>0</v>
      </c>
      <c r="X753" s="3" t="n">
        <v>0</v>
      </c>
      <c r="Y753" s="32" t="n">
        <v>0</v>
      </c>
      <c r="Z753" s="3" t="n">
        <v>0</v>
      </c>
      <c r="AA753" s="32" t="n">
        <v>0</v>
      </c>
      <c r="AB753" s="3" t="n"/>
      <c r="AC753" s="31" t="n">
        <v>0</v>
      </c>
      <c r="AD753" s="2" t="n">
        <v>0</v>
      </c>
      <c r="AE753" s="2" t="n">
        <v>24</v>
      </c>
      <c r="AF753" s="4" t="n">
        <v>24</v>
      </c>
      <c r="AG753" s="33" t="n">
        <v>15.98</v>
      </c>
      <c r="AH753" s="4" t="n">
        <v>2</v>
      </c>
      <c r="AI753" s="34" t="n">
        <v>0.0833</v>
      </c>
      <c r="AJ753" s="34" t="n">
        <v>1</v>
      </c>
      <c r="AK753" s="2" t="n">
        <v>6750</v>
      </c>
      <c r="AL753" t="inlineStr">
        <is>
          <t>Published</t>
        </is>
      </c>
    </row>
    <row r="754">
      <c r="A754">
        <f>HYPERLINK("https://www.walmart.com/ip/194814835", "194814835")</f>
        <v/>
      </c>
      <c r="B754">
        <f>HYPERLINK("https://app.optiwise.ai/catalog/itemdetails/362367", "KC Caps Unisex Adjustable Snap Closure USA Flag Embroidered Unconstructed Cap Hat")</f>
        <v/>
      </c>
      <c r="C754" t="inlineStr">
        <is>
          <t>kc-ae-6110-nv</t>
        </is>
      </c>
      <c r="D754" t="inlineStr">
        <is>
          <t>Clothing</t>
        </is>
      </c>
      <c r="E754" t="inlineStr">
        <is>
          <t>Hats</t>
        </is>
      </c>
      <c r="F754" t="inlineStr">
        <is>
          <t>KC Caps</t>
        </is>
      </c>
      <c r="G754" t="n">
        <v>0</v>
      </c>
      <c r="H754" t="n">
        <v>0</v>
      </c>
      <c r="I754" t="inlineStr">
        <is>
          <t>Optimized,Hats</t>
        </is>
      </c>
      <c r="J754" s="29" t="n">
        <v>15.98</v>
      </c>
      <c r="K754" s="30" t="n">
        <v>0.0001</v>
      </c>
      <c r="L754" s="29" t="n">
        <v>0</v>
      </c>
      <c r="M754" s="29" t="n">
        <v>0</v>
      </c>
      <c r="N754" s="2" t="n">
        <v>2</v>
      </c>
      <c r="O754" s="31" t="n">
        <v>0</v>
      </c>
      <c r="P754" s="32" t="n"/>
      <c r="Q754" s="32" t="n">
        <v>0</v>
      </c>
      <c r="R754" s="32" t="n">
        <v>0</v>
      </c>
      <c r="S754" s="31" t="n">
        <v>0</v>
      </c>
      <c r="T754" s="32" t="n">
        <v>0</v>
      </c>
      <c r="U754" s="31" t="n">
        <v>0</v>
      </c>
      <c r="V754" s="31" t="n">
        <v>0</v>
      </c>
      <c r="W754" s="3" t="n">
        <v>0</v>
      </c>
      <c r="X754" s="3" t="n">
        <v>0</v>
      </c>
      <c r="Y754" s="32" t="n">
        <v>0</v>
      </c>
      <c r="Z754" s="3" t="n">
        <v>0</v>
      </c>
      <c r="AA754" s="32" t="n">
        <v>0</v>
      </c>
      <c r="AB754" s="3" t="n"/>
      <c r="AC754" s="31" t="n">
        <v>0</v>
      </c>
      <c r="AD754" s="2" t="n">
        <v>0</v>
      </c>
      <c r="AE754" s="2" t="n">
        <v>3</v>
      </c>
      <c r="AF754" s="4" t="n">
        <v>3</v>
      </c>
      <c r="AG754" s="33" t="n">
        <v>15.98</v>
      </c>
      <c r="AH754" s="4" t="n">
        <v>2</v>
      </c>
      <c r="AI754" s="34" t="n">
        <v>0.6667</v>
      </c>
      <c r="AJ754" s="34" t="n">
        <v>1</v>
      </c>
      <c r="AK754" s="2" t="n">
        <v>1687</v>
      </c>
      <c r="AL754" t="inlineStr">
        <is>
          <t>Published</t>
        </is>
      </c>
    </row>
    <row r="755">
      <c r="A755">
        <f>HYPERLINK("https://www.walmart.com/ip/109524282", "109524282")</f>
        <v/>
      </c>
      <c r="B755">
        <f>HYPERLINK("https://app.optiwise.ai/catalog/itemdetails/360737", "Terra Active Wrap- Stylish Running workout travel waist belt w/ hidden pocket")</f>
        <v/>
      </c>
      <c r="C755" t="inlineStr">
        <is>
          <t>TERRA-3CB-L</t>
        </is>
      </c>
      <c r="D755" t="inlineStr">
        <is>
          <t>Carriers &amp; Accessories</t>
        </is>
      </c>
      <c r="E755" t="inlineStr">
        <is>
          <t>Running Belts</t>
        </is>
      </c>
      <c r="F755" t="inlineStr">
        <is>
          <t>Terra</t>
        </is>
      </c>
      <c r="G755" t="n">
        <v>0</v>
      </c>
      <c r="H755" t="n">
        <v>0</v>
      </c>
      <c r="I755" t="inlineStr">
        <is>
          <t>Batch 1 - TR</t>
        </is>
      </c>
      <c r="J755" s="29" t="n">
        <v>15.96</v>
      </c>
      <c r="K755" s="30" t="n">
        <v>0.0001</v>
      </c>
      <c r="L755" s="29" t="n">
        <v>0</v>
      </c>
      <c r="M755" s="29" t="n">
        <v>0</v>
      </c>
      <c r="N755" s="2" t="n">
        <v>2</v>
      </c>
      <c r="O755" s="31" t="n">
        <v>0</v>
      </c>
      <c r="P755" s="32" t="n"/>
      <c r="Q755" s="32" t="n">
        <v>0</v>
      </c>
      <c r="R755" s="32" t="n">
        <v>0</v>
      </c>
      <c r="S755" s="31" t="n">
        <v>0</v>
      </c>
      <c r="T755" s="32" t="n">
        <v>0</v>
      </c>
      <c r="U755" s="31" t="n">
        <v>0</v>
      </c>
      <c r="V755" s="31" t="n">
        <v>0</v>
      </c>
      <c r="W755" s="3" t="n">
        <v>0</v>
      </c>
      <c r="X755" s="3" t="n">
        <v>0</v>
      </c>
      <c r="Y755" s="32" t="n">
        <v>0</v>
      </c>
      <c r="Z755" s="3" t="n">
        <v>0</v>
      </c>
      <c r="AA755" s="32" t="n">
        <v>0</v>
      </c>
      <c r="AB755" s="3" t="n"/>
      <c r="AC755" s="31" t="n">
        <v>0</v>
      </c>
      <c r="AD755" s="2" t="n">
        <v>0</v>
      </c>
      <c r="AE755" s="2" t="n">
        <v>15</v>
      </c>
      <c r="AF755" s="4" t="n">
        <v>15</v>
      </c>
      <c r="AG755" s="33" t="n">
        <v>15.96</v>
      </c>
      <c r="AH755" s="4" t="n">
        <v>2</v>
      </c>
      <c r="AI755" s="34" t="n">
        <v>0.1333</v>
      </c>
      <c r="AJ755" s="34" t="n">
        <v>1</v>
      </c>
      <c r="AK755" s="2" t="n">
        <v>337</v>
      </c>
      <c r="AL755" t="inlineStr">
        <is>
          <t>Published</t>
        </is>
      </c>
    </row>
    <row r="756">
      <c r="A756">
        <f>HYPERLINK("https://www.walmart.com/ip/594302699", "594302699")</f>
        <v/>
      </c>
      <c r="B756">
        <f>HYPERLINK("https://app.optiwise.ai/catalog/itemdetails/360619", "Runner Waist Pack - Hip Hug Running Fuel Belt with 2 Pockets - NO BOUNCE Runner's Fanny Pack - Storage Pouch Bag Runners")</f>
        <v/>
      </c>
      <c r="C756" t="inlineStr">
        <is>
          <t>TERRA-3BK-L-ZJ</t>
        </is>
      </c>
      <c r="D756" t="inlineStr">
        <is>
          <t>Cases &amp; Bags</t>
        </is>
      </c>
      <c r="E756" t="inlineStr">
        <is>
          <t>Fanny Packs</t>
        </is>
      </c>
      <c r="F756" t="inlineStr">
        <is>
          <t>Terra</t>
        </is>
      </c>
      <c r="G756" t="n">
        <v>0</v>
      </c>
      <c r="H756" t="n">
        <v>0</v>
      </c>
      <c r="I756" t="inlineStr">
        <is>
          <t>Batch 1 - TR</t>
        </is>
      </c>
      <c r="J756" s="29" t="n">
        <v>15.96</v>
      </c>
      <c r="K756" s="30" t="n">
        <v>0.0001</v>
      </c>
      <c r="L756" s="29" t="n">
        <v>0</v>
      </c>
      <c r="M756" s="29" t="n">
        <v>0</v>
      </c>
      <c r="N756" s="2" t="n">
        <v>2</v>
      </c>
      <c r="O756" s="31" t="n">
        <v>0</v>
      </c>
      <c r="P756" s="32" t="n"/>
      <c r="Q756" s="32" t="n">
        <v>0</v>
      </c>
      <c r="R756" s="32" t="n">
        <v>0</v>
      </c>
      <c r="S756" s="31" t="n">
        <v>0</v>
      </c>
      <c r="T756" s="32" t="n">
        <v>0</v>
      </c>
      <c r="U756" s="31" t="n">
        <v>0</v>
      </c>
      <c r="V756" s="31" t="n">
        <v>0</v>
      </c>
      <c r="W756" s="3" t="n">
        <v>0</v>
      </c>
      <c r="X756" s="3" t="n">
        <v>0</v>
      </c>
      <c r="Y756" s="32" t="n">
        <v>0</v>
      </c>
      <c r="Z756" s="3" t="n">
        <v>0</v>
      </c>
      <c r="AA756" s="32" t="n">
        <v>0</v>
      </c>
      <c r="AB756" s="3" t="n"/>
      <c r="AC756" s="31" t="n">
        <v>0</v>
      </c>
      <c r="AD756" s="2" t="n">
        <v>0</v>
      </c>
      <c r="AE756" s="2" t="n">
        <v>25</v>
      </c>
      <c r="AF756" s="4" t="n">
        <v>25</v>
      </c>
      <c r="AG756" s="33" t="n">
        <v>15.96</v>
      </c>
      <c r="AH756" s="4" t="n">
        <v>2</v>
      </c>
      <c r="AI756" s="34" t="n">
        <v>0.08</v>
      </c>
      <c r="AJ756" s="34" t="n">
        <v>1</v>
      </c>
      <c r="AK756" s="2" t="n">
        <v>5467</v>
      </c>
      <c r="AL756" t="inlineStr">
        <is>
          <t>Published</t>
        </is>
      </c>
    </row>
    <row r="757">
      <c r="A757">
        <f>HYPERLINK("https://www.walmart.com/ip/781753852", "781753852")</f>
        <v/>
      </c>
      <c r="B757">
        <f>HYPERLINK("https://app.optiwise.ai/catalog/itemdetails/361191", "Jennis Women's Plue Size Flower laced Sexy Babydoll")</f>
        <v/>
      </c>
      <c r="C757" t="inlineStr">
        <is>
          <t>JWBD05BK-3XL</t>
        </is>
      </c>
      <c r="D757" t="inlineStr">
        <is>
          <t>Clothing</t>
        </is>
      </c>
      <c r="E757" t="inlineStr">
        <is>
          <t>Lingerie Sets</t>
        </is>
      </c>
      <c r="F757" t="inlineStr">
        <is>
          <t>JenniWears</t>
        </is>
      </c>
      <c r="G757" t="n">
        <v>0</v>
      </c>
      <c r="H757" t="n">
        <v>0</v>
      </c>
      <c r="I757" t="inlineStr">
        <is>
          <t>Valentine</t>
        </is>
      </c>
      <c r="J757" s="29" t="n">
        <v>15.96</v>
      </c>
      <c r="K757" s="30" t="n">
        <v>0.0001</v>
      </c>
      <c r="L757" s="29" t="n">
        <v>0</v>
      </c>
      <c r="M757" s="29" t="n">
        <v>0</v>
      </c>
      <c r="N757" s="2" t="n">
        <v>2</v>
      </c>
      <c r="O757" s="31" t="n">
        <v>0</v>
      </c>
      <c r="P757" s="32" t="n"/>
      <c r="Q757" s="32" t="n">
        <v>0</v>
      </c>
      <c r="R757" s="32" t="n">
        <v>0</v>
      </c>
      <c r="S757" s="31" t="n">
        <v>0</v>
      </c>
      <c r="T757" s="32" t="n">
        <v>0</v>
      </c>
      <c r="U757" s="31" t="n">
        <v>0</v>
      </c>
      <c r="V757" s="31" t="n">
        <v>0</v>
      </c>
      <c r="W757" s="3" t="n">
        <v>0</v>
      </c>
      <c r="X757" s="3" t="n">
        <v>0</v>
      </c>
      <c r="Y757" s="32" t="n">
        <v>0</v>
      </c>
      <c r="Z757" s="3" t="n">
        <v>0</v>
      </c>
      <c r="AA757" s="32" t="n">
        <v>0</v>
      </c>
      <c r="AB757" s="3" t="n"/>
      <c r="AC757" s="31" t="n">
        <v>0</v>
      </c>
      <c r="AD757" s="2" t="n">
        <v>0</v>
      </c>
      <c r="AE757" s="2" t="n">
        <v>20</v>
      </c>
      <c r="AF757" s="4" t="n">
        <v>20</v>
      </c>
      <c r="AG757" s="33" t="n">
        <v>15.96</v>
      </c>
      <c r="AH757" s="4" t="n">
        <v>2</v>
      </c>
      <c r="AI757" s="34" t="n">
        <v>0.1</v>
      </c>
      <c r="AJ757" s="34" t="n">
        <v>1</v>
      </c>
      <c r="AK757" s="2" t="n">
        <v>2295</v>
      </c>
      <c r="AL757" t="inlineStr">
        <is>
          <t>Published</t>
        </is>
      </c>
    </row>
    <row r="758">
      <c r="A758">
        <f>HYPERLINK("https://www.walmart.com/ip/150616094", "150616094")</f>
        <v/>
      </c>
      <c r="B758">
        <f>HYPERLINK("https://app.optiwise.ai/catalog/itemdetails/359254", "JenniWears® Women's Seamless Mesh Hole Pothole Tube Dress")</f>
        <v/>
      </c>
      <c r="C758" t="inlineStr">
        <is>
          <t>JWBD012WT-M</t>
        </is>
      </c>
      <c r="D758" t="inlineStr">
        <is>
          <t>Clothing</t>
        </is>
      </c>
      <c r="E758" t="inlineStr">
        <is>
          <t>Dresses</t>
        </is>
      </c>
      <c r="F758" t="inlineStr">
        <is>
          <t>JenniWears</t>
        </is>
      </c>
      <c r="G758" t="n">
        <v>0</v>
      </c>
      <c r="H758" t="n">
        <v>0</v>
      </c>
      <c r="I758" t="inlineStr">
        <is>
          <t>Optimized,Valentine</t>
        </is>
      </c>
      <c r="J758" s="29" t="n">
        <v>15.96</v>
      </c>
      <c r="K758" s="30" t="n">
        <v>0.0001</v>
      </c>
      <c r="L758" s="29" t="n">
        <v>0</v>
      </c>
      <c r="M758" s="29" t="n">
        <v>0</v>
      </c>
      <c r="N758" s="2" t="n">
        <v>2</v>
      </c>
      <c r="O758" s="31" t="n">
        <v>0</v>
      </c>
      <c r="P758" s="32" t="n"/>
      <c r="Q758" s="32" t="n">
        <v>0</v>
      </c>
      <c r="R758" s="32" t="n">
        <v>0</v>
      </c>
      <c r="S758" s="31" t="n">
        <v>0</v>
      </c>
      <c r="T758" s="32" t="n">
        <v>0</v>
      </c>
      <c r="U758" s="31" t="n">
        <v>0</v>
      </c>
      <c r="V758" s="31" t="n">
        <v>0</v>
      </c>
      <c r="W758" s="3" t="n">
        <v>0</v>
      </c>
      <c r="X758" s="3" t="n">
        <v>0</v>
      </c>
      <c r="Y758" s="32" t="n">
        <v>0</v>
      </c>
      <c r="Z758" s="3" t="n">
        <v>0</v>
      </c>
      <c r="AA758" s="32" t="n">
        <v>0</v>
      </c>
      <c r="AB758" s="3" t="n"/>
      <c r="AC758" s="31" t="n">
        <v>0</v>
      </c>
      <c r="AD758" s="2" t="n">
        <v>0</v>
      </c>
      <c r="AE758" s="2" t="n">
        <v>53</v>
      </c>
      <c r="AF758" s="4" t="n">
        <v>53</v>
      </c>
      <c r="AG758" s="33" t="n">
        <v>15.96</v>
      </c>
      <c r="AH758" s="4" t="n">
        <v>2</v>
      </c>
      <c r="AI758" s="34" t="n">
        <v>0.0377</v>
      </c>
      <c r="AJ758" s="34" t="n">
        <v>1</v>
      </c>
      <c r="AK758" s="2" t="n">
        <v>3105</v>
      </c>
      <c r="AL758" t="inlineStr">
        <is>
          <t>Published</t>
        </is>
      </c>
    </row>
    <row r="759">
      <c r="A759">
        <f>HYPERLINK("https://www.walmart.com/ip/190557326", "190557326")</f>
        <v/>
      </c>
      <c r="B759">
        <f>HYPERLINK("https://app.optiwise.ai/catalog/itemdetails/359284", "JenniWears® Women's Plus Size Sexy Strappy Lace Mesh Chemise Lingerie with G-string")</f>
        <v/>
      </c>
      <c r="C759" t="inlineStr">
        <is>
          <t>JWBD03BKPP-XL</t>
        </is>
      </c>
      <c r="D759" t="inlineStr">
        <is>
          <t>Clothing</t>
        </is>
      </c>
      <c r="E759" t="inlineStr">
        <is>
          <t>Lingerie Sets</t>
        </is>
      </c>
      <c r="F759" t="inlineStr">
        <is>
          <t>JenniWears</t>
        </is>
      </c>
      <c r="G759" t="n">
        <v>0</v>
      </c>
      <c r="H759" t="n">
        <v>0</v>
      </c>
      <c r="I759" t="inlineStr">
        <is>
          <t>Optimized,Valentine</t>
        </is>
      </c>
      <c r="J759" s="29" t="n">
        <v>15.96</v>
      </c>
      <c r="K759" s="30" t="n">
        <v>0.0001</v>
      </c>
      <c r="L759" s="29" t="n">
        <v>0</v>
      </c>
      <c r="M759" s="29" t="n">
        <v>0</v>
      </c>
      <c r="N759" s="2" t="n">
        <v>2</v>
      </c>
      <c r="O759" s="31" t="n">
        <v>0</v>
      </c>
      <c r="P759" s="32" t="n"/>
      <c r="Q759" s="32" t="n">
        <v>0</v>
      </c>
      <c r="R759" s="32" t="n">
        <v>0</v>
      </c>
      <c r="S759" s="31" t="n">
        <v>0</v>
      </c>
      <c r="T759" s="32" t="n">
        <v>0</v>
      </c>
      <c r="U759" s="31" t="n">
        <v>0</v>
      </c>
      <c r="V759" s="31" t="n">
        <v>0</v>
      </c>
      <c r="W759" s="3" t="n">
        <v>0</v>
      </c>
      <c r="X759" s="3" t="n">
        <v>0</v>
      </c>
      <c r="Y759" s="32" t="n">
        <v>0</v>
      </c>
      <c r="Z759" s="3" t="n">
        <v>0</v>
      </c>
      <c r="AA759" s="32" t="n">
        <v>0</v>
      </c>
      <c r="AB759" s="3" t="n"/>
      <c r="AC759" s="31" t="n">
        <v>0</v>
      </c>
      <c r="AD759" s="2" t="n">
        <v>0</v>
      </c>
      <c r="AE759" s="2" t="n">
        <v>21</v>
      </c>
      <c r="AF759" s="4" t="n">
        <v>21</v>
      </c>
      <c r="AG759" s="33" t="n">
        <v>15.96</v>
      </c>
      <c r="AH759" s="4" t="n">
        <v>2</v>
      </c>
      <c r="AI759" s="34" t="n">
        <v>0.09520000000000001</v>
      </c>
      <c r="AJ759" s="34" t="n">
        <v>1</v>
      </c>
      <c r="AK759" s="2" t="n">
        <v>4387</v>
      </c>
      <c r="AL759" t="inlineStr">
        <is>
          <t>Published</t>
        </is>
      </c>
    </row>
    <row r="760">
      <c r="A760">
        <f>HYPERLINK("https://www.walmart.com/ip/118475298", "118475298")</f>
        <v/>
      </c>
      <c r="B760">
        <f>HYPERLINK("https://app.optiwise.ai/catalog/itemdetails/362575", "JenniWears® Women's Plus Size Sexy Lingeri Darque Babydoll And G-string")</f>
        <v/>
      </c>
      <c r="C760" t="inlineStr">
        <is>
          <t>JWBD07BK-XL</t>
        </is>
      </c>
      <c r="D760" t="inlineStr">
        <is>
          <t>Clothing</t>
        </is>
      </c>
      <c r="E760" t="inlineStr">
        <is>
          <t>Lingerie Sets</t>
        </is>
      </c>
      <c r="F760" t="inlineStr">
        <is>
          <t>JenniWears</t>
        </is>
      </c>
      <c r="G760" t="n">
        <v>0</v>
      </c>
      <c r="H760" t="n">
        <v>0</v>
      </c>
      <c r="I760" t="inlineStr">
        <is>
          <t>Optimized,WFS,Valentine,WFS Item</t>
        </is>
      </c>
      <c r="J760" s="29" t="n">
        <v>15.96</v>
      </c>
      <c r="K760" s="30" t="n">
        <v>0.0001</v>
      </c>
      <c r="L760" s="29" t="n">
        <v>0</v>
      </c>
      <c r="M760" s="29" t="n">
        <v>0</v>
      </c>
      <c r="N760" s="2" t="n">
        <v>2</v>
      </c>
      <c r="O760" s="31" t="n">
        <v>0</v>
      </c>
      <c r="P760" s="32" t="n"/>
      <c r="Q760" s="32" t="n">
        <v>0</v>
      </c>
      <c r="R760" s="32" t="n">
        <v>0</v>
      </c>
      <c r="S760" s="31" t="n">
        <v>0</v>
      </c>
      <c r="T760" s="32" t="n">
        <v>0</v>
      </c>
      <c r="U760" s="31" t="n">
        <v>0</v>
      </c>
      <c r="V760" s="31" t="n">
        <v>0</v>
      </c>
      <c r="W760" s="3" t="n">
        <v>0</v>
      </c>
      <c r="X760" s="3" t="n">
        <v>0</v>
      </c>
      <c r="Y760" s="32" t="n">
        <v>0</v>
      </c>
      <c r="Z760" s="3" t="n">
        <v>0</v>
      </c>
      <c r="AA760" s="32" t="n">
        <v>0</v>
      </c>
      <c r="AB760" s="3" t="n"/>
      <c r="AC760" s="31" t="n">
        <v>0</v>
      </c>
      <c r="AD760" s="2" t="n">
        <v>0</v>
      </c>
      <c r="AE760" s="2" t="n">
        <v>22</v>
      </c>
      <c r="AF760" s="4" t="n">
        <v>22</v>
      </c>
      <c r="AG760" s="33" t="n">
        <v>15.96</v>
      </c>
      <c r="AH760" s="4" t="n">
        <v>2</v>
      </c>
      <c r="AI760" s="34" t="n">
        <v>0.09089999999999999</v>
      </c>
      <c r="AJ760" s="34" t="n">
        <v>1</v>
      </c>
      <c r="AK760" s="2" t="n">
        <v>2902</v>
      </c>
      <c r="AL760" t="inlineStr">
        <is>
          <t>Published</t>
        </is>
      </c>
    </row>
    <row r="761">
      <c r="A761">
        <f>HYPERLINK("https://www.walmart.com/ip/882569056", "882569056")</f>
        <v/>
      </c>
      <c r="B761">
        <f>HYPERLINK("https://app.optiwise.ai/catalog/itemdetails/362224", "JenniWears® Women's Sexy Fever Blush Babydoll Mesh Lingerie and Wrap Robe")</f>
        <v/>
      </c>
      <c r="C761" t="inlineStr">
        <is>
          <t>JWBD08WT-3XL</t>
        </is>
      </c>
      <c r="D761" t="inlineStr">
        <is>
          <t>Clothing</t>
        </is>
      </c>
      <c r="E761" t="inlineStr">
        <is>
          <t>Lingerie Sets</t>
        </is>
      </c>
      <c r="F761" t="inlineStr">
        <is>
          <t>JenniWears</t>
        </is>
      </c>
      <c r="G761" t="n">
        <v>2</v>
      </c>
      <c r="H761" t="n">
        <v>1</v>
      </c>
      <c r="I761" t="inlineStr">
        <is>
          <t>Optimized,Valentine</t>
        </is>
      </c>
      <c r="J761" s="29" t="n">
        <v>15.96</v>
      </c>
      <c r="K761" s="30" t="n">
        <v>0.0001</v>
      </c>
      <c r="L761" s="29" t="n">
        <v>0</v>
      </c>
      <c r="M761" s="29" t="n">
        <v>0</v>
      </c>
      <c r="N761" s="2" t="n">
        <v>2</v>
      </c>
      <c r="O761" s="31" t="n">
        <v>0</v>
      </c>
      <c r="P761" s="32" t="n"/>
      <c r="Q761" s="32" t="n">
        <v>0</v>
      </c>
      <c r="R761" s="32" t="n">
        <v>0</v>
      </c>
      <c r="S761" s="31" t="n">
        <v>0</v>
      </c>
      <c r="T761" s="32" t="n">
        <v>0</v>
      </c>
      <c r="U761" s="31" t="n">
        <v>0</v>
      </c>
      <c r="V761" s="31" t="n">
        <v>0</v>
      </c>
      <c r="W761" s="3" t="n">
        <v>0</v>
      </c>
      <c r="X761" s="3" t="n">
        <v>0</v>
      </c>
      <c r="Y761" s="32" t="n">
        <v>0</v>
      </c>
      <c r="Z761" s="3" t="n">
        <v>0</v>
      </c>
      <c r="AA761" s="32" t="n">
        <v>0</v>
      </c>
      <c r="AB761" s="3" t="n"/>
      <c r="AC761" s="31" t="n">
        <v>0</v>
      </c>
      <c r="AD761" s="2" t="n">
        <v>0</v>
      </c>
      <c r="AE761" s="2" t="n">
        <v>33</v>
      </c>
      <c r="AF761" s="4" t="n">
        <v>33</v>
      </c>
      <c r="AG761" s="33" t="n">
        <v>15.96</v>
      </c>
      <c r="AH761" s="4" t="n">
        <v>2</v>
      </c>
      <c r="AI761" s="34" t="n">
        <v>0.0606</v>
      </c>
      <c r="AJ761" s="34" t="n">
        <v>1</v>
      </c>
      <c r="AK761" s="2" t="n">
        <v>1822</v>
      </c>
      <c r="AL761" t="inlineStr">
        <is>
          <t>Published</t>
        </is>
      </c>
    </row>
    <row r="762">
      <c r="A762">
        <f>HYPERLINK("https://www.walmart.com/ip/170955340", "170955340")</f>
        <v/>
      </c>
      <c r="B762">
        <f>HYPERLINK("https://app.optiwise.ai/catalog/itemdetails/362745", "JenniWears® Women's Seamless Mesh Hole Pothole Tube Dress")</f>
        <v/>
      </c>
      <c r="C762" t="inlineStr">
        <is>
          <t>JWBD012PK-M</t>
        </is>
      </c>
      <c r="D762" t="inlineStr">
        <is>
          <t>Clothing</t>
        </is>
      </c>
      <c r="E762" t="inlineStr">
        <is>
          <t>Dresses</t>
        </is>
      </c>
      <c r="F762" t="inlineStr">
        <is>
          <t>JenniWears</t>
        </is>
      </c>
      <c r="G762" t="n">
        <v>0</v>
      </c>
      <c r="H762" t="n">
        <v>0</v>
      </c>
      <c r="I762" t="inlineStr">
        <is>
          <t>Optimized,Valentine</t>
        </is>
      </c>
      <c r="J762" s="29" t="n">
        <v>15.96</v>
      </c>
      <c r="K762" s="30" t="n">
        <v>0.0001</v>
      </c>
      <c r="L762" s="29" t="n">
        <v>0</v>
      </c>
      <c r="M762" s="29" t="n">
        <v>0</v>
      </c>
      <c r="N762" s="2" t="n">
        <v>2</v>
      </c>
      <c r="O762" s="31" t="n">
        <v>0</v>
      </c>
      <c r="P762" s="32" t="n"/>
      <c r="Q762" s="32" t="n">
        <v>0</v>
      </c>
      <c r="R762" s="32" t="n">
        <v>0</v>
      </c>
      <c r="S762" s="31" t="n">
        <v>0</v>
      </c>
      <c r="T762" s="32" t="n">
        <v>0</v>
      </c>
      <c r="U762" s="31" t="n">
        <v>0</v>
      </c>
      <c r="V762" s="31" t="n">
        <v>0</v>
      </c>
      <c r="W762" s="3" t="n">
        <v>0</v>
      </c>
      <c r="X762" s="3" t="n">
        <v>0</v>
      </c>
      <c r="Y762" s="32" t="n">
        <v>0</v>
      </c>
      <c r="Z762" s="3" t="n">
        <v>0</v>
      </c>
      <c r="AA762" s="32" t="n">
        <v>0</v>
      </c>
      <c r="AB762" s="3" t="n"/>
      <c r="AC762" s="31" t="n">
        <v>0</v>
      </c>
      <c r="AD762" s="2" t="n">
        <v>0</v>
      </c>
      <c r="AE762" s="2" t="n">
        <v>46</v>
      </c>
      <c r="AF762" s="4" t="n">
        <v>46</v>
      </c>
      <c r="AG762" s="33" t="n">
        <v>15.96</v>
      </c>
      <c r="AH762" s="4" t="n">
        <v>2</v>
      </c>
      <c r="AI762" s="34" t="n">
        <v>0.0435</v>
      </c>
      <c r="AJ762" s="34" t="n">
        <v>1</v>
      </c>
      <c r="AK762" s="2" t="n">
        <v>405</v>
      </c>
      <c r="AL762" t="inlineStr">
        <is>
          <t>Published</t>
        </is>
      </c>
    </row>
    <row r="763">
      <c r="A763">
        <f>HYPERLINK("https://www.walmart.com/ip/900761482", "900761482")</f>
        <v/>
      </c>
      <c r="B763">
        <f>HYPERLINK("https://app.optiwise.ai/catalog/itemdetails/361724", "Oversized Hooded Poncho Cape, Casual Hoodie Sweatshirt, Batwing Coat Pullover | Light Weight, Cozy, Comfortable, Roomy | for Adults Women Men Teens")</f>
        <v/>
      </c>
      <c r="C763" t="inlineStr">
        <is>
          <t>1WMHD540S1RD</t>
        </is>
      </c>
      <c r="D763" t="inlineStr">
        <is>
          <t>Clothing</t>
        </is>
      </c>
      <c r="E763" t="inlineStr">
        <is>
          <t>Sweatshirts &amp; Hoodies</t>
        </is>
      </c>
      <c r="F763" t="inlineStr">
        <is>
          <t>Flyingstar</t>
        </is>
      </c>
      <c r="G763" t="n">
        <v>0</v>
      </c>
      <c r="H763" t="n">
        <v>0</v>
      </c>
      <c r="I763" t="inlineStr">
        <is>
          <t>Hoodie ForAdult,Optimized</t>
        </is>
      </c>
      <c r="J763" s="29" t="n">
        <v>14.99</v>
      </c>
      <c r="K763" s="30" t="n">
        <v>0.0001</v>
      </c>
      <c r="L763" s="29" t="n">
        <v>0</v>
      </c>
      <c r="M763" s="29" t="n">
        <v>0</v>
      </c>
      <c r="N763" s="2" t="n">
        <v>1</v>
      </c>
      <c r="O763" s="31" t="n">
        <v>0</v>
      </c>
      <c r="P763" s="32" t="n"/>
      <c r="Q763" s="32" t="n">
        <v>0</v>
      </c>
      <c r="R763" s="32" t="n">
        <v>0</v>
      </c>
      <c r="S763" s="31" t="n">
        <v>0</v>
      </c>
      <c r="T763" s="32" t="n">
        <v>0</v>
      </c>
      <c r="U763" s="31" t="n">
        <v>0</v>
      </c>
      <c r="V763" s="31" t="n">
        <v>0</v>
      </c>
      <c r="W763" s="3" t="n">
        <v>0</v>
      </c>
      <c r="X763" s="3" t="n">
        <v>0</v>
      </c>
      <c r="Y763" s="32" t="n">
        <v>0</v>
      </c>
      <c r="Z763" s="3" t="n">
        <v>0</v>
      </c>
      <c r="AA763" s="32" t="n">
        <v>0</v>
      </c>
      <c r="AB763" s="3" t="n"/>
      <c r="AC763" s="31" t="n">
        <v>0</v>
      </c>
      <c r="AD763" s="2" t="n">
        <v>7</v>
      </c>
      <c r="AE763" s="2" t="n">
        <v>19</v>
      </c>
      <c r="AF763" s="4" t="n">
        <v>19</v>
      </c>
      <c r="AG763" s="33" t="n">
        <v>14.99</v>
      </c>
      <c r="AH763" s="4" t="n">
        <v>1</v>
      </c>
      <c r="AI763" s="34" t="n">
        <v>0.0526</v>
      </c>
      <c r="AJ763" s="34" t="n">
        <v>1</v>
      </c>
      <c r="AK763" s="2" t="n">
        <v>13500</v>
      </c>
      <c r="AL763" t="inlineStr">
        <is>
          <t>Published</t>
        </is>
      </c>
    </row>
    <row r="764">
      <c r="A764">
        <f>HYPERLINK("https://www.walmart.com/ip/138463051", "138463051")</f>
        <v/>
      </c>
      <c r="B764">
        <f>HYPERLINK("https://app.optiwise.ai/catalog/itemdetails/361541", "Men's Boxer Briefs Assorted Mens Underwear with Cotton Classic Stretch , 3-Pack by Terra")</f>
        <v/>
      </c>
      <c r="C764" t="inlineStr">
        <is>
          <t>TERRABOXERSET2-L</t>
        </is>
      </c>
      <c r="D764" t="inlineStr">
        <is>
          <t>Clothing</t>
        </is>
      </c>
      <c r="E764" t="inlineStr">
        <is>
          <t>Underpants</t>
        </is>
      </c>
      <c r="F764" t="inlineStr">
        <is>
          <t>Terra</t>
        </is>
      </c>
      <c r="G764" t="n">
        <v>0</v>
      </c>
      <c r="H764" t="n">
        <v>0</v>
      </c>
      <c r="I764" t="inlineStr">
        <is>
          <t>WFS,WFS Item</t>
        </is>
      </c>
      <c r="J764" s="29" t="n">
        <v>14.99</v>
      </c>
      <c r="K764" s="30" t="n">
        <v>0.0001</v>
      </c>
      <c r="L764" s="29" t="n">
        <v>0</v>
      </c>
      <c r="M764" s="29" t="n">
        <v>0</v>
      </c>
      <c r="N764" s="2" t="n">
        <v>1</v>
      </c>
      <c r="O764" s="31" t="n">
        <v>0</v>
      </c>
      <c r="P764" s="32" t="n"/>
      <c r="Q764" s="32" t="n">
        <v>0</v>
      </c>
      <c r="R764" s="32" t="n">
        <v>0</v>
      </c>
      <c r="S764" s="31" t="n">
        <v>0</v>
      </c>
      <c r="T764" s="32" t="n">
        <v>0</v>
      </c>
      <c r="U764" s="31" t="n">
        <v>0</v>
      </c>
      <c r="V764" s="31" t="n">
        <v>0</v>
      </c>
      <c r="W764" s="3" t="n">
        <v>0</v>
      </c>
      <c r="X764" s="3" t="n">
        <v>0</v>
      </c>
      <c r="Y764" s="32" t="n">
        <v>0</v>
      </c>
      <c r="Z764" s="3" t="n">
        <v>0</v>
      </c>
      <c r="AA764" s="32" t="n">
        <v>0</v>
      </c>
      <c r="AB764" s="3" t="n"/>
      <c r="AC764" s="31" t="n">
        <v>0</v>
      </c>
      <c r="AD764" s="2" t="n">
        <v>0</v>
      </c>
      <c r="AE764" s="2" t="n">
        <v>11</v>
      </c>
      <c r="AF764" s="4" t="n">
        <v>11</v>
      </c>
      <c r="AG764" s="33" t="n">
        <v>14.99</v>
      </c>
      <c r="AH764" s="4" t="n">
        <v>1</v>
      </c>
      <c r="AI764" s="34" t="n">
        <v>0.09089999999999999</v>
      </c>
      <c r="AJ764" s="34" t="n">
        <v>1</v>
      </c>
      <c r="AK764" s="2" t="n">
        <v>13500</v>
      </c>
      <c r="AL764" t="inlineStr">
        <is>
          <t>Published</t>
        </is>
      </c>
    </row>
    <row r="765">
      <c r="A765">
        <f>HYPERLINK("https://www.walmart.com/ip/544975182", "544975182")</f>
        <v/>
      </c>
      <c r="B765">
        <f>HYPERLINK("https://app.optiwise.ai/catalog/itemdetails/361070", "Sun Blocker UV Protection Hat, Unisex Wide Brim, Large Bill, Neck Flap, Mesh Nets, Adjustable Drawstring, Gray")</f>
        <v/>
      </c>
      <c r="C765" t="inlineStr">
        <is>
          <t>KC-S9152-GY</t>
        </is>
      </c>
      <c r="D765" t="inlineStr">
        <is>
          <t>Clothing</t>
        </is>
      </c>
      <c r="E765" t="inlineStr">
        <is>
          <t>Hats</t>
        </is>
      </c>
      <c r="F765" t="inlineStr">
        <is>
          <t>Tirrinia</t>
        </is>
      </c>
      <c r="G765" t="n">
        <v>4.7</v>
      </c>
      <c r="H765" t="n">
        <v>50</v>
      </c>
      <c r="I765" t="inlineStr">
        <is>
          <t>WFS,Hats,WFS Item</t>
        </is>
      </c>
      <c r="J765" s="29" t="n">
        <v>14.99</v>
      </c>
      <c r="K765" s="30" t="n">
        <v>0.0001</v>
      </c>
      <c r="L765" s="29" t="n">
        <v>0</v>
      </c>
      <c r="M765" s="29" t="n">
        <v>0</v>
      </c>
      <c r="N765" s="2" t="n">
        <v>1</v>
      </c>
      <c r="O765" s="31" t="n">
        <v>0</v>
      </c>
      <c r="P765" s="32" t="n"/>
      <c r="Q765" s="32" t="n">
        <v>0</v>
      </c>
      <c r="R765" s="32" t="n">
        <v>0</v>
      </c>
      <c r="S765" s="31" t="n">
        <v>0</v>
      </c>
      <c r="T765" s="32" t="n">
        <v>0</v>
      </c>
      <c r="U765" s="31" t="n">
        <v>0</v>
      </c>
      <c r="V765" s="31" t="n">
        <v>0</v>
      </c>
      <c r="W765" s="3" t="n">
        <v>0</v>
      </c>
      <c r="X765" s="3" t="n">
        <v>0</v>
      </c>
      <c r="Y765" s="32" t="n">
        <v>0</v>
      </c>
      <c r="Z765" s="3" t="n">
        <v>0</v>
      </c>
      <c r="AA765" s="32" t="n">
        <v>0</v>
      </c>
      <c r="AB765" s="3" t="n"/>
      <c r="AC765" s="31" t="n">
        <v>0</v>
      </c>
      <c r="AD765" s="2" t="n">
        <v>0</v>
      </c>
      <c r="AE765" s="2" t="n">
        <v>28</v>
      </c>
      <c r="AF765" s="4" t="n">
        <v>28</v>
      </c>
      <c r="AG765" s="33" t="n">
        <v>14.99</v>
      </c>
      <c r="AH765" s="4" t="n">
        <v>1</v>
      </c>
      <c r="AI765" s="34" t="n">
        <v>0.0357</v>
      </c>
      <c r="AJ765" s="34" t="n">
        <v>1</v>
      </c>
      <c r="AK765" s="2" t="n">
        <v>13500</v>
      </c>
      <c r="AL765" t="inlineStr">
        <is>
          <t>Published</t>
        </is>
      </c>
    </row>
    <row r="766">
      <c r="A766">
        <f>HYPERLINK("https://www.walmart.com/ip/716687678", "716687678")</f>
        <v/>
      </c>
      <c r="B766">
        <f>HYPERLINK("https://app.optiwise.ai/catalog/itemdetails/362442", "Terra Womens Floppy Beach Summer Hat Reversible Sunhat Packable Wide Brim Flower Pattern Navy")</f>
        <v/>
      </c>
      <c r="C766" t="inlineStr">
        <is>
          <t>TERRACAP-F069-NAY</t>
        </is>
      </c>
      <c r="D766" t="inlineStr">
        <is>
          <t>Clothing</t>
        </is>
      </c>
      <c r="E766" t="inlineStr">
        <is>
          <t>Hats</t>
        </is>
      </c>
      <c r="F766" t="inlineStr">
        <is>
          <t>Terra</t>
        </is>
      </c>
      <c r="G766" t="n">
        <v>0</v>
      </c>
      <c r="H766" t="n">
        <v>0</v>
      </c>
      <c r="I766" t="inlineStr">
        <is>
          <t>Hats,Batch 1 - TR</t>
        </is>
      </c>
      <c r="J766" s="29" t="n">
        <v>14.99</v>
      </c>
      <c r="K766" s="30" t="n">
        <v>0.0001</v>
      </c>
      <c r="L766" s="29" t="n">
        <v>0</v>
      </c>
      <c r="M766" s="29" t="n">
        <v>0</v>
      </c>
      <c r="N766" s="2" t="n">
        <v>1</v>
      </c>
      <c r="O766" s="31" t="n">
        <v>0</v>
      </c>
      <c r="P766" s="32" t="n"/>
      <c r="Q766" s="32" t="n">
        <v>0</v>
      </c>
      <c r="R766" s="32" t="n">
        <v>0</v>
      </c>
      <c r="S766" s="31" t="n">
        <v>0</v>
      </c>
      <c r="T766" s="32" t="n">
        <v>0</v>
      </c>
      <c r="U766" s="31" t="n">
        <v>0</v>
      </c>
      <c r="V766" s="31" t="n">
        <v>0</v>
      </c>
      <c r="W766" s="3" t="n">
        <v>0</v>
      </c>
      <c r="X766" s="3" t="n">
        <v>0</v>
      </c>
      <c r="Y766" s="32" t="n">
        <v>0</v>
      </c>
      <c r="Z766" s="3" t="n">
        <v>0</v>
      </c>
      <c r="AA766" s="32" t="n">
        <v>0</v>
      </c>
      <c r="AB766" s="3" t="n"/>
      <c r="AC766" s="31" t="n">
        <v>0</v>
      </c>
      <c r="AD766" s="2" t="n">
        <v>0</v>
      </c>
      <c r="AE766" s="2" t="n">
        <v>34</v>
      </c>
      <c r="AF766" s="4" t="n">
        <v>34</v>
      </c>
      <c r="AG766" s="33" t="n">
        <v>14.99</v>
      </c>
      <c r="AH766" s="4" t="n">
        <v>1</v>
      </c>
      <c r="AI766" s="34" t="n">
        <v>0.0294</v>
      </c>
      <c r="AJ766" s="34" t="n">
        <v>1</v>
      </c>
      <c r="AK766" s="2" t="n">
        <v>6750</v>
      </c>
      <c r="AL766" t="inlineStr">
        <is>
          <t>Published</t>
        </is>
      </c>
    </row>
    <row r="767">
      <c r="A767">
        <f>HYPERLINK("https://www.walmart.com/ip/821075669", "821075669")</f>
        <v/>
      </c>
      <c r="B767">
        <f>HYPERLINK("https://app.optiwise.ai/catalog/itemdetails/361557", "Vina Mini Stainless Steel Manual Salt and Pepper Grinder Set With bamboo stand")</f>
        <v/>
      </c>
      <c r="C767" t="inlineStr">
        <is>
          <t>VINAESP656-2PK</t>
        </is>
      </c>
      <c r="D767" t="inlineStr">
        <is>
          <t>Home Decor, Kitchen, &amp; Other</t>
        </is>
      </c>
      <c r="E767" t="inlineStr">
        <is>
          <t>Salt &amp; Pepper Mills</t>
        </is>
      </c>
      <c r="F767" t="inlineStr">
        <is>
          <t>Vina</t>
        </is>
      </c>
      <c r="G767" t="n">
        <v>3.6</v>
      </c>
      <c r="H767" t="n">
        <v>15</v>
      </c>
      <c r="I767" t="inlineStr">
        <is>
          <t>WFS,Kitchen Items,SEM,WFS Item</t>
        </is>
      </c>
      <c r="J767" s="29" t="n">
        <v>14.98</v>
      </c>
      <c r="K767" s="30" t="n">
        <v>0.0001</v>
      </c>
      <c r="L767" s="29" t="n">
        <v>0</v>
      </c>
      <c r="M767" s="29" t="n">
        <v>0</v>
      </c>
      <c r="N767" s="2" t="n">
        <v>1</v>
      </c>
      <c r="O767" s="31" t="n">
        <v>0</v>
      </c>
      <c r="P767" s="32" t="n"/>
      <c r="Q767" s="32" t="n">
        <v>0</v>
      </c>
      <c r="R767" s="32" t="n">
        <v>0</v>
      </c>
      <c r="S767" s="31" t="n">
        <v>0</v>
      </c>
      <c r="T767" s="32" t="n">
        <v>0</v>
      </c>
      <c r="U767" s="31" t="n">
        <v>0</v>
      </c>
      <c r="V767" s="31" t="n">
        <v>0</v>
      </c>
      <c r="W767" s="3" t="n">
        <v>0</v>
      </c>
      <c r="X767" s="3" t="n">
        <v>0</v>
      </c>
      <c r="Y767" s="32" t="n">
        <v>0</v>
      </c>
      <c r="Z767" s="3" t="n">
        <v>0</v>
      </c>
      <c r="AA767" s="32" t="n">
        <v>0</v>
      </c>
      <c r="AB767" s="3" t="n"/>
      <c r="AC767" s="31" t="n">
        <v>0</v>
      </c>
      <c r="AD767" s="2" t="n">
        <v>0</v>
      </c>
      <c r="AE767" s="2" t="n">
        <v>18</v>
      </c>
      <c r="AF767" s="4" t="n">
        <v>18</v>
      </c>
      <c r="AG767" s="33" t="n">
        <v>14.98</v>
      </c>
      <c r="AH767" s="4" t="n">
        <v>1</v>
      </c>
      <c r="AI767" s="34" t="n">
        <v>0.0556</v>
      </c>
      <c r="AJ767" s="34" t="n">
        <v>1</v>
      </c>
      <c r="AK767" s="2" t="n">
        <v>0</v>
      </c>
      <c r="AL767" t="inlineStr">
        <is>
          <t>Published</t>
        </is>
      </c>
    </row>
    <row r="768">
      <c r="A768">
        <f>HYPERLINK("https://www.walmart.com/ip/419531015", "419531015")</f>
        <v/>
      </c>
      <c r="B768">
        <f>HYPERLINK("https://app.optiwise.ai/catalog/itemdetails/409169", "Tirrinia Insulated Lunch Bag for Women Men, Leakproof Thermal Reusable Lunch Box for Adult &amp; Kids, Lunch Cooler Tote for Office Work Back to School, Olive")</f>
        <v/>
      </c>
      <c r="C768" t="inlineStr">
        <is>
          <t>1TRLB701P1OL</t>
        </is>
      </c>
      <c r="D768" t="inlineStr">
        <is>
          <t>Home Decor, Kitchen, &amp; Other</t>
        </is>
      </c>
      <c r="E768" t="inlineStr">
        <is>
          <t>Reusable Lunch Bags &amp; Boxes</t>
        </is>
      </c>
      <c r="F768" t="inlineStr">
        <is>
          <t>Tirrinia</t>
        </is>
      </c>
      <c r="G768" t="n">
        <v>4.6</v>
      </c>
      <c r="H768" t="n">
        <v>12</v>
      </c>
      <c r="I768" t="inlineStr">
        <is>
          <t>Q2-Target,Brand Camp VD,Lunch Bag,Optimized,Lunch Bags,SEM</t>
        </is>
      </c>
      <c r="J768" s="29" t="n">
        <v>14.98</v>
      </c>
      <c r="K768" s="30" t="n">
        <v>0.0001</v>
      </c>
      <c r="L768" s="29" t="n">
        <v>0</v>
      </c>
      <c r="M768" s="29" t="n">
        <v>0</v>
      </c>
      <c r="N768" s="2" t="n">
        <v>1</v>
      </c>
      <c r="O768" s="31" t="n">
        <v>0</v>
      </c>
      <c r="P768" s="32" t="n"/>
      <c r="Q768" s="32" t="n">
        <v>0</v>
      </c>
      <c r="R768" s="32" t="n">
        <v>0</v>
      </c>
      <c r="S768" s="31" t="n">
        <v>0</v>
      </c>
      <c r="T768" s="32" t="n">
        <v>0</v>
      </c>
      <c r="U768" s="31" t="n">
        <v>0</v>
      </c>
      <c r="V768" s="31" t="n">
        <v>0</v>
      </c>
      <c r="W768" s="3" t="n">
        <v>0</v>
      </c>
      <c r="X768" s="3" t="n">
        <v>0</v>
      </c>
      <c r="Y768" s="32" t="n">
        <v>0</v>
      </c>
      <c r="Z768" s="3" t="n">
        <v>0</v>
      </c>
      <c r="AA768" s="32" t="n">
        <v>0</v>
      </c>
      <c r="AB768" s="3" t="n"/>
      <c r="AC768" s="31" t="n">
        <v>0</v>
      </c>
      <c r="AD768" s="2" t="n">
        <v>0</v>
      </c>
      <c r="AE768" s="2" t="n">
        <v>187</v>
      </c>
      <c r="AF768" s="4" t="n">
        <v>187</v>
      </c>
      <c r="AG768" s="33" t="n">
        <v>14.98</v>
      </c>
      <c r="AH768" s="4" t="n">
        <v>1</v>
      </c>
      <c r="AI768" s="34" t="n">
        <v>0.0053</v>
      </c>
      <c r="AJ768" s="34" t="n">
        <v>1</v>
      </c>
      <c r="AK768" s="2" t="n">
        <v>10395</v>
      </c>
      <c r="AL768" t="inlineStr">
        <is>
          <t>Published</t>
        </is>
      </c>
    </row>
    <row r="769">
      <c r="A769">
        <f>HYPERLINK("https://www.walmart.com/ip/531901234", "531901234")</f>
        <v/>
      </c>
      <c r="B769">
        <f>HYPERLINK("https://app.optiwise.ai/catalog/itemdetails/359264", "Surf Poncho Towel,Microfiber Water Absorbent Wetsuit Changing Robe After Surfing Swimming Bathing,Sand-Proof,Quick Drying")</f>
        <v/>
      </c>
      <c r="C769" t="inlineStr">
        <is>
          <t>1PRBR101-BK</t>
        </is>
      </c>
      <c r="D769" t="inlineStr">
        <is>
          <t>Clothing</t>
        </is>
      </c>
      <c r="E769" t="inlineStr">
        <is>
          <t>default</t>
        </is>
      </c>
      <c r="F769" t="inlineStr">
        <is>
          <t>PIER RAT HUNTINGTON</t>
        </is>
      </c>
      <c r="G769" t="n">
        <v>0</v>
      </c>
      <c r="H769" t="n">
        <v>0</v>
      </c>
      <c r="J769" s="29" t="n">
        <v>14.98</v>
      </c>
      <c r="K769" s="30" t="n">
        <v>0.0001</v>
      </c>
      <c r="L769" s="29" t="n">
        <v>0</v>
      </c>
      <c r="M769" s="29" t="n">
        <v>0</v>
      </c>
      <c r="N769" s="2" t="n">
        <v>1</v>
      </c>
      <c r="O769" s="31" t="n">
        <v>0</v>
      </c>
      <c r="P769" s="32" t="n"/>
      <c r="Q769" s="32" t="n">
        <v>0</v>
      </c>
      <c r="R769" s="32" t="n">
        <v>0.0067</v>
      </c>
      <c r="S769" s="31" t="n">
        <v>0</v>
      </c>
      <c r="T769" s="32" t="n">
        <v>0</v>
      </c>
      <c r="U769" s="31" t="n">
        <v>0</v>
      </c>
      <c r="V769" s="31" t="n">
        <v>0</v>
      </c>
      <c r="W769" s="3" t="n">
        <v>33</v>
      </c>
      <c r="X769" s="3" t="n">
        <v>0</v>
      </c>
      <c r="Y769" s="32" t="n">
        <v>0</v>
      </c>
      <c r="Z769" s="3" t="n">
        <v>0</v>
      </c>
      <c r="AA769" s="32" t="n">
        <v>0</v>
      </c>
      <c r="AB769" s="3" t="inlineStr">
        <is>
          <t>Need to sell these SKUs by 15th Feb</t>
        </is>
      </c>
      <c r="AC769" s="31" t="n">
        <v>0</v>
      </c>
      <c r="AD769" s="2" t="n">
        <v>0</v>
      </c>
      <c r="AE769" s="2" t="n">
        <v>14</v>
      </c>
      <c r="AF769" s="4" t="n">
        <v>14</v>
      </c>
      <c r="AG769" s="33" t="n">
        <v>14.98</v>
      </c>
      <c r="AH769" s="4" t="n">
        <v>1</v>
      </c>
      <c r="AI769" s="34" t="n">
        <v>0.07140000000000001</v>
      </c>
      <c r="AJ769" s="34" t="n">
        <v>1</v>
      </c>
      <c r="AK769" s="2" t="n">
        <v>14445</v>
      </c>
      <c r="AL769" t="inlineStr">
        <is>
          <t>Published</t>
        </is>
      </c>
    </row>
    <row r="770">
      <c r="A770">
        <f>HYPERLINK("https://www.walmart.com/ip/1968056265", "1968056265")</f>
        <v/>
      </c>
      <c r="B770">
        <f>HYPERLINK("https://app.optiwise.ai/catalog/itemdetails/4346774", "Tirrinia Insulated Lunch Box for Women Men, Leakproof Thermal Reusable Lunch Bag with 4 Pockets for Adult &amp; Kids, Lunch Bag Cooler Tote for Office Work Back to School, Camo")</f>
        <v/>
      </c>
      <c r="C770" t="inlineStr">
        <is>
          <t>1TRLB702CAMO-T</t>
        </is>
      </c>
      <c r="D770" t="inlineStr">
        <is>
          <t>Home Decor, Kitchen, &amp; Other</t>
        </is>
      </c>
      <c r="E770" t="inlineStr">
        <is>
          <t>Reusable Lunch Bags &amp; Boxes</t>
        </is>
      </c>
      <c r="F770" t="inlineStr">
        <is>
          <t>Tirrinia</t>
        </is>
      </c>
      <c r="G770" t="n">
        <v>0</v>
      </c>
      <c r="H770" t="n">
        <v>0</v>
      </c>
      <c r="I770" t="inlineStr">
        <is>
          <t>Q2-Target,Brand Camp VD,Lunch Bags,Batch 1 - TR</t>
        </is>
      </c>
      <c r="J770" s="29" t="n">
        <v>14.45</v>
      </c>
      <c r="K770" s="30" t="n">
        <v>0.0001</v>
      </c>
      <c r="L770" s="29" t="n">
        <v>0</v>
      </c>
      <c r="M770" s="29" t="n">
        <v>0</v>
      </c>
      <c r="N770" s="2" t="n">
        <v>1</v>
      </c>
      <c r="O770" s="31" t="n">
        <v>0</v>
      </c>
      <c r="P770" s="32" t="n"/>
      <c r="Q770" s="32" t="n">
        <v>0</v>
      </c>
      <c r="R770" s="32" t="n">
        <v>0.0125</v>
      </c>
      <c r="S770" s="31" t="n">
        <v>0</v>
      </c>
      <c r="T770" s="32" t="n">
        <v>0</v>
      </c>
      <c r="U770" s="31" t="n">
        <v>0</v>
      </c>
      <c r="V770" s="31" t="n">
        <v>0</v>
      </c>
      <c r="W770" s="3" t="n">
        <v>0</v>
      </c>
      <c r="X770" s="3" t="n">
        <v>0</v>
      </c>
      <c r="Y770" s="32" t="n">
        <v>0</v>
      </c>
      <c r="Z770" s="3" t="n">
        <v>0</v>
      </c>
      <c r="AA770" s="32" t="n">
        <v>0</v>
      </c>
      <c r="AB770" s="3" t="n"/>
      <c r="AC770" s="31" t="n">
        <v>0</v>
      </c>
      <c r="AD770" s="2" t="n">
        <v>0</v>
      </c>
      <c r="AE770" s="2" t="n">
        <v>49</v>
      </c>
      <c r="AF770" s="4" t="n">
        <v>49</v>
      </c>
      <c r="AG770" s="33" t="n">
        <v>14.45</v>
      </c>
      <c r="AH770" s="4" t="n">
        <v>1</v>
      </c>
      <c r="AI770" s="34" t="n">
        <v>0.0204</v>
      </c>
      <c r="AJ770" s="34" t="n">
        <v>1</v>
      </c>
      <c r="AK770" s="2" t="n">
        <v>14040</v>
      </c>
      <c r="AL770" t="inlineStr">
        <is>
          <t>Published</t>
        </is>
      </c>
    </row>
    <row r="771">
      <c r="A771">
        <f>HYPERLINK("https://www.walmart.com/ip/5691606649", "5691606649")</f>
        <v/>
      </c>
      <c r="B771">
        <f>HYPERLINK("https://app.optiwise.ai/catalog/itemdetails/9036208", "Solaris Kids Sun Hat UPF50+ Sun Protection, Large Mesh Super Breathable Travel Beach Play Bucket Hats for Girs Boys Teenagers")</f>
        <v/>
      </c>
      <c r="C771" t="inlineStr">
        <is>
          <t>1SLSH925OL</t>
        </is>
      </c>
      <c r="D771" t="inlineStr">
        <is>
          <t>Clothing</t>
        </is>
      </c>
      <c r="E771" t="inlineStr">
        <is>
          <t>Hats</t>
        </is>
      </c>
      <c r="F771" t="inlineStr">
        <is>
          <t>Solaris</t>
        </is>
      </c>
      <c r="G771" t="n">
        <v>0</v>
      </c>
      <c r="H771" t="n">
        <v>0</v>
      </c>
      <c r="J771" s="29" t="n">
        <v>13.99</v>
      </c>
      <c r="K771" s="30" t="n">
        <v>0.0001</v>
      </c>
      <c r="L771" s="29" t="n">
        <v>27.97999954223633</v>
      </c>
      <c r="M771" s="29" t="n">
        <v>0</v>
      </c>
      <c r="N771" s="2" t="n">
        <v>1</v>
      </c>
      <c r="O771" s="31" t="n">
        <v>0</v>
      </c>
      <c r="P771" s="32" t="n"/>
      <c r="Q771" s="32" t="n">
        <v>0</v>
      </c>
      <c r="R771" s="32" t="n">
        <v>0</v>
      </c>
      <c r="S771" s="31" t="n">
        <v>0</v>
      </c>
      <c r="T771" s="32" t="n">
        <v>0</v>
      </c>
      <c r="U771" s="31" t="n">
        <v>0</v>
      </c>
      <c r="V771" s="31" t="n">
        <v>0</v>
      </c>
      <c r="W771" s="3" t="n">
        <v>0</v>
      </c>
      <c r="X771" s="3" t="n">
        <v>0</v>
      </c>
      <c r="Y771" s="32" t="n">
        <v>0</v>
      </c>
      <c r="Z771" s="3" t="n">
        <v>0</v>
      </c>
      <c r="AA771" s="32" t="n">
        <v>0</v>
      </c>
      <c r="AB771" s="3" t="n"/>
      <c r="AC771" s="31" t="n">
        <v>0</v>
      </c>
      <c r="AD771" s="2" t="n">
        <v>0</v>
      </c>
      <c r="AE771" s="2" t="n">
        <v>25</v>
      </c>
      <c r="AF771" s="4" t="n">
        <v>25</v>
      </c>
      <c r="AG771" s="33" t="n">
        <v>13.99</v>
      </c>
      <c r="AH771" s="4" t="n">
        <v>1</v>
      </c>
      <c r="AI771" s="34" t="n">
        <v>0.04</v>
      </c>
      <c r="AJ771" s="34" t="n">
        <v>1</v>
      </c>
      <c r="AK771" s="2" t="n">
        <v>13500</v>
      </c>
      <c r="AL771" t="inlineStr">
        <is>
          <t>Published</t>
        </is>
      </c>
    </row>
    <row r="772">
      <c r="A772">
        <f>HYPERLINK("https://www.walmart.com/ip/482078354", "482078354")</f>
        <v/>
      </c>
      <c r="B772">
        <f>HYPERLINK("https://app.optiwise.ai/catalog/itemdetails/362139", "Tirrinia Insulated Lunch Bag for Women Men, Leakproof Thermal Reusable Lunch Box with 4 Pockets for Adult Kids, Lunch Bag Cooler Tote for Office Work, Back to School, Purple")</f>
        <v/>
      </c>
      <c r="C772" t="inlineStr">
        <is>
          <t>1TRLB702PP-N</t>
        </is>
      </c>
      <c r="D772" t="inlineStr">
        <is>
          <t>Home Decor, Kitchen, &amp; Other</t>
        </is>
      </c>
      <c r="E772" t="inlineStr">
        <is>
          <t>Reusable Lunch Bags &amp; Boxes</t>
        </is>
      </c>
      <c r="F772" t="inlineStr">
        <is>
          <t>Tirrinia</t>
        </is>
      </c>
      <c r="G772" t="n">
        <v>4.6</v>
      </c>
      <c r="H772" t="n">
        <v>55</v>
      </c>
      <c r="I772" t="inlineStr">
        <is>
          <t>Q2-Target,Brand Camp VD,Lunch Bag,Lunch Bags</t>
        </is>
      </c>
      <c r="J772" s="29" t="n">
        <v>13.99</v>
      </c>
      <c r="K772" s="30" t="n">
        <v>0.0001</v>
      </c>
      <c r="L772" s="29" t="n">
        <v>0</v>
      </c>
      <c r="M772" s="29" t="n">
        <v>0</v>
      </c>
      <c r="N772" s="2" t="n">
        <v>1</v>
      </c>
      <c r="O772" s="31" t="n">
        <v>0</v>
      </c>
      <c r="P772" s="32" t="n"/>
      <c r="Q772" s="32" t="n">
        <v>0</v>
      </c>
      <c r="R772" s="32" t="n">
        <v>0.0832</v>
      </c>
      <c r="S772" s="31" t="n">
        <v>0</v>
      </c>
      <c r="T772" s="32" t="n">
        <v>0</v>
      </c>
      <c r="U772" s="31" t="n">
        <v>0</v>
      </c>
      <c r="V772" s="31" t="n">
        <v>0</v>
      </c>
      <c r="W772" s="3" t="n">
        <v>0</v>
      </c>
      <c r="X772" s="3" t="n">
        <v>0</v>
      </c>
      <c r="Y772" s="32" t="n">
        <v>0</v>
      </c>
      <c r="Z772" s="3" t="n">
        <v>0</v>
      </c>
      <c r="AA772" s="32" t="n">
        <v>0</v>
      </c>
      <c r="AB772" s="3" t="n"/>
      <c r="AC772" s="31" t="n">
        <v>0</v>
      </c>
      <c r="AD772" s="2" t="n">
        <v>5</v>
      </c>
      <c r="AE772" s="2" t="n">
        <v>61</v>
      </c>
      <c r="AF772" s="4" t="n">
        <v>61</v>
      </c>
      <c r="AG772" s="33" t="n">
        <v>13.99</v>
      </c>
      <c r="AH772" s="4" t="n">
        <v>1</v>
      </c>
      <c r="AI772" s="34" t="n">
        <v>0.0164</v>
      </c>
      <c r="AJ772" s="34" t="n">
        <v>1</v>
      </c>
      <c r="AK772" s="2" t="n">
        <v>13500</v>
      </c>
      <c r="AL772" t="inlineStr">
        <is>
          <t>Published</t>
        </is>
      </c>
    </row>
    <row r="773">
      <c r="A773">
        <f>HYPERLINK("https://www.walmart.com/ip/208159352", "208159352")</f>
        <v/>
      </c>
      <c r="B773">
        <f>HYPERLINK("https://app.optiwise.ai/catalog/itemdetails/360860", "Tirrinia Adult Insulated Lunch Bag Totes Cooler Container Front Pocket")</f>
        <v/>
      </c>
      <c r="C773" t="inlineStr">
        <is>
          <t>1WMLB702P1BRCK</t>
        </is>
      </c>
      <c r="D773" t="inlineStr">
        <is>
          <t>Home Decor, Kitchen, &amp; Other</t>
        </is>
      </c>
      <c r="E773" t="inlineStr">
        <is>
          <t>Reusable Lunch Bags &amp; Boxes</t>
        </is>
      </c>
      <c r="F773" t="inlineStr">
        <is>
          <t>Flyingstar</t>
        </is>
      </c>
      <c r="G773" t="n">
        <v>0</v>
      </c>
      <c r="H773" t="n">
        <v>0</v>
      </c>
      <c r="I773" t="inlineStr">
        <is>
          <t>Q2-Target,Lunch Bag,Lunch Bags</t>
        </is>
      </c>
      <c r="J773" s="29" t="n">
        <v>13.99</v>
      </c>
      <c r="K773" s="30" t="n">
        <v>0.0001</v>
      </c>
      <c r="L773" s="29" t="n">
        <v>0</v>
      </c>
      <c r="M773" s="29" t="n">
        <v>0</v>
      </c>
      <c r="N773" s="2" t="n">
        <v>1</v>
      </c>
      <c r="O773" s="31" t="n">
        <v>0</v>
      </c>
      <c r="P773" s="32" t="n"/>
      <c r="Q773" s="32" t="n">
        <v>0</v>
      </c>
      <c r="R773" s="32" t="n">
        <v>0.5744</v>
      </c>
      <c r="S773" s="31" t="n">
        <v>0</v>
      </c>
      <c r="T773" s="32" t="n">
        <v>0</v>
      </c>
      <c r="U773" s="31" t="n">
        <v>0</v>
      </c>
      <c r="V773" s="31" t="n">
        <v>0</v>
      </c>
      <c r="W773" s="3" t="n">
        <v>0</v>
      </c>
      <c r="X773" s="3" t="n">
        <v>0</v>
      </c>
      <c r="Y773" s="32" t="n">
        <v>0</v>
      </c>
      <c r="Z773" s="3" t="n">
        <v>0</v>
      </c>
      <c r="AA773" s="32" t="n">
        <v>0</v>
      </c>
      <c r="AB773" s="3" t="n"/>
      <c r="AC773" s="31" t="n">
        <v>0</v>
      </c>
      <c r="AD773" s="2" t="n">
        <v>0</v>
      </c>
      <c r="AE773" s="2" t="n">
        <v>33</v>
      </c>
      <c r="AF773" s="4" t="n">
        <v>33</v>
      </c>
      <c r="AG773" s="33" t="n">
        <v>13.99</v>
      </c>
      <c r="AH773" s="4" t="n">
        <v>1</v>
      </c>
      <c r="AI773" s="34" t="n">
        <v>0.0303</v>
      </c>
      <c r="AJ773" s="34" t="n">
        <v>1</v>
      </c>
      <c r="AK773" s="2" t="n">
        <v>13500</v>
      </c>
      <c r="AL773" t="inlineStr">
        <is>
          <t>Published</t>
        </is>
      </c>
    </row>
    <row r="774">
      <c r="A774">
        <f>HYPERLINK("https://www.walmart.com/ip/946415184", "946415184")</f>
        <v/>
      </c>
      <c r="B774">
        <f>HYPERLINK("https://app.optiwise.ai/catalog/itemdetails/361285", "Tirrinia Large Insulated Lunch Bag,10L Leakproof Thermal Reusable Lunch Box for Adult, Kids, Student, Tall Meal Prep Lunch Cooler Tote with 4 Pockets for Office Work, Back to School")</f>
        <v/>
      </c>
      <c r="C774" t="inlineStr">
        <is>
          <t>1TRLB702DBL-T</t>
        </is>
      </c>
      <c r="D774" t="inlineStr">
        <is>
          <t>Home Decor, Kitchen, &amp; Other</t>
        </is>
      </c>
      <c r="E774" t="inlineStr">
        <is>
          <t>Reusable Lunch Bags &amp; Boxes</t>
        </is>
      </c>
      <c r="F774" t="inlineStr">
        <is>
          <t>Tirrinia</t>
        </is>
      </c>
      <c r="G774" t="n">
        <v>0</v>
      </c>
      <c r="H774" t="n">
        <v>0</v>
      </c>
      <c r="I774" t="inlineStr">
        <is>
          <t>Q2-Target,Brand Camp VD,Lunch Bag,WFS,Lunch Bags,WFS Item</t>
        </is>
      </c>
      <c r="J774" s="29" t="n">
        <v>13.99</v>
      </c>
      <c r="K774" s="30" t="n">
        <v>0.0001</v>
      </c>
      <c r="L774" s="29" t="n">
        <v>0</v>
      </c>
      <c r="M774" s="29" t="n">
        <v>0</v>
      </c>
      <c r="N774" s="2" t="n">
        <v>1</v>
      </c>
      <c r="O774" s="31" t="n">
        <v>0</v>
      </c>
      <c r="P774" s="32" t="n"/>
      <c r="Q774" s="32" t="n">
        <v>0</v>
      </c>
      <c r="R774" s="32" t="n">
        <v>0.03</v>
      </c>
      <c r="S774" s="31" t="n">
        <v>0</v>
      </c>
      <c r="T774" s="32" t="n">
        <v>0</v>
      </c>
      <c r="U774" s="31" t="n">
        <v>0</v>
      </c>
      <c r="V774" s="31" t="n">
        <v>0</v>
      </c>
      <c r="W774" s="3" t="n">
        <v>0</v>
      </c>
      <c r="X774" s="3" t="n">
        <v>0</v>
      </c>
      <c r="Y774" s="32" t="n">
        <v>0</v>
      </c>
      <c r="Z774" s="3" t="n">
        <v>0</v>
      </c>
      <c r="AA774" s="32" t="n">
        <v>0</v>
      </c>
      <c r="AB774" s="3" t="n"/>
      <c r="AC774" s="31" t="n">
        <v>0</v>
      </c>
      <c r="AD774" s="2" t="n">
        <v>0</v>
      </c>
      <c r="AE774" s="2" t="n">
        <v>40</v>
      </c>
      <c r="AF774" s="4" t="n">
        <v>40</v>
      </c>
      <c r="AG774" s="33" t="n">
        <v>13.99</v>
      </c>
      <c r="AH774" s="4" t="n">
        <v>1</v>
      </c>
      <c r="AI774" s="34" t="n">
        <v>0.025</v>
      </c>
      <c r="AJ774" s="34" t="n">
        <v>1</v>
      </c>
      <c r="AK774" s="2" t="n">
        <v>13500</v>
      </c>
      <c r="AL774" t="inlineStr">
        <is>
          <t>Published</t>
        </is>
      </c>
    </row>
    <row r="775">
      <c r="A775">
        <f>HYPERLINK("https://www.walmart.com/ip/851914933", "851914933")</f>
        <v/>
      </c>
      <c r="B775">
        <f>HYPERLINK("https://app.optiwise.ai/catalog/itemdetails/409186", "Tirrinia Leakproof Thermal Insulated Women's and Men's Lunch Bag for Work, Blue Checkered")</f>
        <v/>
      </c>
      <c r="C775" t="inlineStr">
        <is>
          <t>1TRLB702P1BLCK</t>
        </is>
      </c>
      <c r="D775" t="inlineStr">
        <is>
          <t>Home Decor, Kitchen, &amp; Other</t>
        </is>
      </c>
      <c r="E775" t="inlineStr">
        <is>
          <t>Reusable Lunch Bags &amp; Boxes</t>
        </is>
      </c>
      <c r="F775" t="inlineStr">
        <is>
          <t>Tirrinia</t>
        </is>
      </c>
      <c r="G775" t="n">
        <v>0</v>
      </c>
      <c r="H775" t="n">
        <v>0</v>
      </c>
      <c r="J775" s="29" t="n">
        <v>13.99</v>
      </c>
      <c r="K775" s="30" t="n">
        <v>0.0001</v>
      </c>
      <c r="L775" s="29" t="n">
        <v>0</v>
      </c>
      <c r="M775" s="29" t="n">
        <v>0</v>
      </c>
      <c r="N775" s="2" t="n">
        <v>1</v>
      </c>
      <c r="O775" s="31" t="n">
        <v>0</v>
      </c>
      <c r="P775" s="32" t="n"/>
      <c r="Q775" s="32" t="n">
        <v>0</v>
      </c>
      <c r="R775" s="32" t="n">
        <v>0.07340000000000001</v>
      </c>
      <c r="S775" s="31" t="n">
        <v>0</v>
      </c>
      <c r="T775" s="32" t="n">
        <v>0</v>
      </c>
      <c r="U775" s="31" t="n">
        <v>0</v>
      </c>
      <c r="V775" s="31" t="n">
        <v>0</v>
      </c>
      <c r="W775" s="3" t="n">
        <v>0</v>
      </c>
      <c r="X775" s="3" t="n">
        <v>0</v>
      </c>
      <c r="Y775" s="32" t="n">
        <v>0</v>
      </c>
      <c r="Z775" s="3" t="n">
        <v>0</v>
      </c>
      <c r="AA775" s="32" t="n">
        <v>0</v>
      </c>
      <c r="AB775" s="3" t="n"/>
      <c r="AC775" s="31" t="n">
        <v>0</v>
      </c>
      <c r="AD775" s="2" t="n">
        <v>0</v>
      </c>
      <c r="AE775" s="2" t="n">
        <v>43</v>
      </c>
      <c r="AF775" s="4" t="n">
        <v>43</v>
      </c>
      <c r="AG775" s="33" t="n">
        <v>13.99</v>
      </c>
      <c r="AH775" s="4" t="n">
        <v>1</v>
      </c>
      <c r="AI775" s="34" t="n">
        <v>0.0233</v>
      </c>
      <c r="AJ775" s="34" t="n">
        <v>1</v>
      </c>
      <c r="AK775" s="2" t="n">
        <v>13500</v>
      </c>
      <c r="AL775" t="inlineStr">
        <is>
          <t>Published</t>
        </is>
      </c>
    </row>
    <row r="776">
      <c r="A776">
        <f>HYPERLINK("https://www.walmart.com/ip/292366521", "292366521")</f>
        <v/>
      </c>
      <c r="B776">
        <f>HYPERLINK("https://app.optiwise.ai/catalog/itemdetails/362465", "Flyingstar Woman Sweatshirt Dress, Casual Ladies Pullover, Juniors Hoodie Dress with Kangaroo Pocket, One Size, Green")</f>
        <v/>
      </c>
      <c r="C776" t="inlineStr">
        <is>
          <t>1WMHD530S1GN</t>
        </is>
      </c>
      <c r="D776" t="inlineStr">
        <is>
          <t>Clothing</t>
        </is>
      </c>
      <c r="E776" t="inlineStr">
        <is>
          <t>Sweatshirts &amp; Hoodies</t>
        </is>
      </c>
      <c r="F776" t="inlineStr">
        <is>
          <t>Flyingstar</t>
        </is>
      </c>
      <c r="G776" t="n">
        <v>0</v>
      </c>
      <c r="H776" t="n">
        <v>0</v>
      </c>
      <c r="I776" t="inlineStr">
        <is>
          <t>Hoodie ForAdult,Optimized</t>
        </is>
      </c>
      <c r="J776" s="29" t="n">
        <v>13.99</v>
      </c>
      <c r="K776" s="30" t="n">
        <v>0.0001</v>
      </c>
      <c r="L776" s="29" t="n">
        <v>0</v>
      </c>
      <c r="M776" s="29" t="n">
        <v>0</v>
      </c>
      <c r="N776" s="2" t="n">
        <v>1</v>
      </c>
      <c r="O776" s="31" t="n">
        <v>0</v>
      </c>
      <c r="P776" s="32" t="n"/>
      <c r="Q776" s="32" t="n">
        <v>0</v>
      </c>
      <c r="R776" s="32" t="n">
        <v>0.5611</v>
      </c>
      <c r="S776" s="31" t="n">
        <v>0</v>
      </c>
      <c r="T776" s="32" t="n">
        <v>0</v>
      </c>
      <c r="U776" s="31" t="n">
        <v>0</v>
      </c>
      <c r="V776" s="31" t="n">
        <v>0</v>
      </c>
      <c r="W776" s="3" t="n">
        <v>0</v>
      </c>
      <c r="X776" s="3" t="n">
        <v>0</v>
      </c>
      <c r="Y776" s="32" t="n">
        <v>0</v>
      </c>
      <c r="Z776" s="3" t="n">
        <v>0</v>
      </c>
      <c r="AA776" s="32" t="n">
        <v>0</v>
      </c>
      <c r="AB776" s="3" t="n"/>
      <c r="AC776" s="31" t="n">
        <v>0</v>
      </c>
      <c r="AD776" s="2" t="n">
        <v>0</v>
      </c>
      <c r="AE776" s="2" t="n">
        <v>9</v>
      </c>
      <c r="AF776" s="4" t="n">
        <v>9</v>
      </c>
      <c r="AG776" s="33" t="n">
        <v>13.99</v>
      </c>
      <c r="AH776" s="4" t="n">
        <v>1</v>
      </c>
      <c r="AI776" s="34" t="n">
        <v>0.1111</v>
      </c>
      <c r="AJ776" s="34" t="n">
        <v>1</v>
      </c>
      <c r="AK776" s="2" t="n">
        <v>13500</v>
      </c>
      <c r="AL776" t="inlineStr">
        <is>
          <t>Published</t>
        </is>
      </c>
    </row>
    <row r="777">
      <c r="A777">
        <f>HYPERLINK("https://www.walmart.com/ip/165180382", "165180382")</f>
        <v/>
      </c>
      <c r="B777">
        <f>HYPERLINK("https://app.optiwise.ai/catalog/itemdetails/656114", "KC Caps Army Style Surplus Beanie Cap")</f>
        <v/>
      </c>
      <c r="C777" t="inlineStr">
        <is>
          <t>KCW1721BK</t>
        </is>
      </c>
      <c r="D777" t="inlineStr">
        <is>
          <t>Clothing</t>
        </is>
      </c>
      <c r="E777" t="inlineStr">
        <is>
          <t>Hats</t>
        </is>
      </c>
      <c r="F777" t="inlineStr">
        <is>
          <t>KC Caps</t>
        </is>
      </c>
      <c r="G777" t="n">
        <v>3.5</v>
      </c>
      <c r="H777" t="n">
        <v>2</v>
      </c>
      <c r="I777" t="inlineStr">
        <is>
          <t>Batch 1 - TR</t>
        </is>
      </c>
      <c r="J777" s="29" t="n">
        <v>13.98</v>
      </c>
      <c r="K777" s="30" t="n">
        <v>0.0001</v>
      </c>
      <c r="L777" s="29" t="n">
        <v>0</v>
      </c>
      <c r="M777" s="29" t="n">
        <v>0</v>
      </c>
      <c r="N777" s="2" t="n">
        <v>2</v>
      </c>
      <c r="O777" s="31" t="n">
        <v>0</v>
      </c>
      <c r="P777" s="32" t="n"/>
      <c r="Q777" s="32" t="n">
        <v>0</v>
      </c>
      <c r="R777" s="32" t="n">
        <v>0</v>
      </c>
      <c r="S777" s="31" t="n">
        <v>0</v>
      </c>
      <c r="T777" s="32" t="n">
        <v>0</v>
      </c>
      <c r="U777" s="31" t="n">
        <v>0</v>
      </c>
      <c r="V777" s="31" t="n">
        <v>0</v>
      </c>
      <c r="W777" s="3" t="n">
        <v>0</v>
      </c>
      <c r="X777" s="3" t="n">
        <v>0</v>
      </c>
      <c r="Y777" s="32" t="n">
        <v>0</v>
      </c>
      <c r="Z777" s="3" t="n">
        <v>0</v>
      </c>
      <c r="AA777" s="32" t="n">
        <v>0</v>
      </c>
      <c r="AB777" s="3" t="n"/>
      <c r="AC777" s="31" t="n">
        <v>0</v>
      </c>
      <c r="AD777" s="2" t="n">
        <v>0</v>
      </c>
      <c r="AE777" s="2" t="n">
        <v>10</v>
      </c>
      <c r="AF777" s="4" t="n">
        <v>10</v>
      </c>
      <c r="AG777" s="33" t="n">
        <v>13.98</v>
      </c>
      <c r="AH777" s="4" t="n">
        <v>2</v>
      </c>
      <c r="AI777" s="34" t="n">
        <v>0.2</v>
      </c>
      <c r="AJ777" s="34" t="n">
        <v>1</v>
      </c>
      <c r="AK777" s="2" t="n">
        <v>5332</v>
      </c>
      <c r="AL777" t="inlineStr">
        <is>
          <t>Published</t>
        </is>
      </c>
    </row>
    <row r="778">
      <c r="A778">
        <f>HYPERLINK("https://www.walmart.com/ip/165991960", "165991960")</f>
        <v/>
      </c>
      <c r="B778">
        <f>HYPERLINK("https://app.optiwise.ai/catalog/itemdetails/656117", "KC Caps Army Style Surplus Beanie Cap")</f>
        <v/>
      </c>
      <c r="C778" t="inlineStr">
        <is>
          <t>KCW1721NV</t>
        </is>
      </c>
      <c r="D778" t="inlineStr">
        <is>
          <t>Clothing</t>
        </is>
      </c>
      <c r="E778" t="inlineStr">
        <is>
          <t>Hats</t>
        </is>
      </c>
      <c r="F778" t="inlineStr">
        <is>
          <t>KC Caps</t>
        </is>
      </c>
      <c r="G778" t="n">
        <v>0</v>
      </c>
      <c r="H778" t="n">
        <v>0</v>
      </c>
      <c r="I778" t="inlineStr">
        <is>
          <t>Batch 1 - TR</t>
        </is>
      </c>
      <c r="J778" s="29" t="n">
        <v>13.98</v>
      </c>
      <c r="K778" s="30" t="n">
        <v>0.0001</v>
      </c>
      <c r="L778" s="29" t="n">
        <v>0</v>
      </c>
      <c r="M778" s="29" t="n">
        <v>0</v>
      </c>
      <c r="N778" s="2" t="n">
        <v>2</v>
      </c>
      <c r="O778" s="31" t="n">
        <v>0</v>
      </c>
      <c r="P778" s="32" t="n"/>
      <c r="Q778" s="32" t="n">
        <v>0</v>
      </c>
      <c r="R778" s="32" t="n">
        <v>0</v>
      </c>
      <c r="S778" s="31" t="n">
        <v>0</v>
      </c>
      <c r="T778" s="32" t="n">
        <v>0</v>
      </c>
      <c r="U778" s="31" t="n">
        <v>0</v>
      </c>
      <c r="V778" s="31" t="n">
        <v>0</v>
      </c>
      <c r="W778" s="3" t="n">
        <v>0</v>
      </c>
      <c r="X778" s="3" t="n">
        <v>0</v>
      </c>
      <c r="Y778" s="32" t="n">
        <v>0</v>
      </c>
      <c r="Z778" s="3" t="n">
        <v>0</v>
      </c>
      <c r="AA778" s="32" t="n">
        <v>0</v>
      </c>
      <c r="AB778" s="3" t="n"/>
      <c r="AC778" s="31" t="n">
        <v>0</v>
      </c>
      <c r="AD778" s="2" t="n">
        <v>0</v>
      </c>
      <c r="AE778" s="2" t="n">
        <v>8</v>
      </c>
      <c r="AF778" s="4" t="n">
        <v>8</v>
      </c>
      <c r="AG778" s="33" t="n">
        <v>13.98</v>
      </c>
      <c r="AH778" s="4" t="n">
        <v>2</v>
      </c>
      <c r="AI778" s="34" t="n">
        <v>0.25</v>
      </c>
      <c r="AJ778" s="34" t="n">
        <v>1</v>
      </c>
      <c r="AK778" s="2" t="n">
        <v>742</v>
      </c>
      <c r="AL778" t="inlineStr">
        <is>
          <t>Published</t>
        </is>
      </c>
    </row>
    <row r="779">
      <c r="A779">
        <f>HYPERLINK("https://www.walmart.com/ip/182296744", "182296744")</f>
        <v/>
      </c>
      <c r="B779">
        <f>HYPERLINK("https://app.optiwise.ai/catalog/itemdetails/360925", "KC Caps® Unisex Cotton Baseball Cap Adjustable Plain Hat (21 Styles/Colors)")</f>
        <v/>
      </c>
      <c r="C779" t="inlineStr">
        <is>
          <t>KC8010ROY</t>
        </is>
      </c>
      <c r="D779" t="inlineStr">
        <is>
          <t>Clothing</t>
        </is>
      </c>
      <c r="E779" t="inlineStr">
        <is>
          <t>Hats</t>
        </is>
      </c>
      <c r="F779" t="inlineStr">
        <is>
          <t>KC Caps</t>
        </is>
      </c>
      <c r="G779" t="n">
        <v>0</v>
      </c>
      <c r="H779" t="n">
        <v>0</v>
      </c>
      <c r="I779" t="inlineStr">
        <is>
          <t>Optimized</t>
        </is>
      </c>
      <c r="J779" s="29" t="n">
        <v>13.98</v>
      </c>
      <c r="K779" s="30" t="n">
        <v>0.0001</v>
      </c>
      <c r="L779" s="29" t="n">
        <v>0</v>
      </c>
      <c r="M779" s="29" t="n">
        <v>0</v>
      </c>
      <c r="N779" s="2" t="n">
        <v>2</v>
      </c>
      <c r="O779" s="31" t="n">
        <v>0</v>
      </c>
      <c r="P779" s="32" t="n"/>
      <c r="Q779" s="32" t="n">
        <v>0</v>
      </c>
      <c r="R779" s="32" t="n">
        <v>0</v>
      </c>
      <c r="S779" s="31" t="n">
        <v>0</v>
      </c>
      <c r="T779" s="32" t="n">
        <v>0</v>
      </c>
      <c r="U779" s="31" t="n">
        <v>0</v>
      </c>
      <c r="V779" s="31" t="n">
        <v>0</v>
      </c>
      <c r="W779" s="3" t="n">
        <v>0</v>
      </c>
      <c r="X779" s="3" t="n">
        <v>0</v>
      </c>
      <c r="Y779" s="32" t="n">
        <v>0</v>
      </c>
      <c r="Z779" s="3" t="n">
        <v>0</v>
      </c>
      <c r="AA779" s="32" t="n">
        <v>0</v>
      </c>
      <c r="AB779" s="3" t="n"/>
      <c r="AC779" s="31" t="n">
        <v>0</v>
      </c>
      <c r="AD779" s="2" t="n">
        <v>0</v>
      </c>
      <c r="AE779" s="2" t="n">
        <v>10</v>
      </c>
      <c r="AF779" s="4" t="n">
        <v>10</v>
      </c>
      <c r="AG779" s="33" t="n">
        <v>13.98</v>
      </c>
      <c r="AH779" s="4" t="n">
        <v>2</v>
      </c>
      <c r="AI779" s="34" t="n">
        <v>0.2</v>
      </c>
      <c r="AJ779" s="34" t="n">
        <v>1</v>
      </c>
      <c r="AK779" s="2" t="n">
        <v>1755</v>
      </c>
      <c r="AL779" t="inlineStr">
        <is>
          <t>Published</t>
        </is>
      </c>
    </row>
    <row r="780">
      <c r="A780">
        <f>HYPERLINK("https://www.walmart.com/ip/172782247", "172782247")</f>
        <v/>
      </c>
      <c r="B780">
        <f>HYPERLINK("https://app.optiwise.ai/catalog/itemdetails/361736", "KC Caps® Unisex Cotton Baseball Cap Adjustable Plain Hat (21 Styles/Colors)")</f>
        <v/>
      </c>
      <c r="C780" t="inlineStr">
        <is>
          <t>KC8010WN</t>
        </is>
      </c>
      <c r="D780" t="inlineStr">
        <is>
          <t>Clothing</t>
        </is>
      </c>
      <c r="E780" t="inlineStr">
        <is>
          <t>Hats</t>
        </is>
      </c>
      <c r="F780" t="inlineStr">
        <is>
          <t>KC Caps</t>
        </is>
      </c>
      <c r="G780" t="n">
        <v>0</v>
      </c>
      <c r="H780" t="n">
        <v>0</v>
      </c>
      <c r="I780" t="inlineStr">
        <is>
          <t>Batch 1 - TR</t>
        </is>
      </c>
      <c r="J780" s="29" t="n">
        <v>13.98</v>
      </c>
      <c r="K780" s="30" t="n">
        <v>0.0001</v>
      </c>
      <c r="L780" s="29" t="n">
        <v>0</v>
      </c>
      <c r="M780" s="29" t="n">
        <v>0</v>
      </c>
      <c r="N780" s="2" t="n">
        <v>2</v>
      </c>
      <c r="O780" s="31" t="n">
        <v>0</v>
      </c>
      <c r="P780" s="32" t="n"/>
      <c r="Q780" s="32" t="n">
        <v>0</v>
      </c>
      <c r="R780" s="32" t="n">
        <v>0</v>
      </c>
      <c r="S780" s="31" t="n">
        <v>0</v>
      </c>
      <c r="T780" s="32" t="n">
        <v>0</v>
      </c>
      <c r="U780" s="31" t="n">
        <v>0</v>
      </c>
      <c r="V780" s="31" t="n">
        <v>0</v>
      </c>
      <c r="W780" s="3" t="n">
        <v>0</v>
      </c>
      <c r="X780" s="3" t="n">
        <v>0</v>
      </c>
      <c r="Y780" s="32" t="n">
        <v>0</v>
      </c>
      <c r="Z780" s="3" t="n">
        <v>0</v>
      </c>
      <c r="AA780" s="32" t="n">
        <v>0</v>
      </c>
      <c r="AB780" s="3" t="n"/>
      <c r="AC780" s="31" t="n">
        <v>0</v>
      </c>
      <c r="AD780" s="2" t="n">
        <v>0</v>
      </c>
      <c r="AE780" s="2" t="n">
        <v>10</v>
      </c>
      <c r="AF780" s="4" t="n">
        <v>10</v>
      </c>
      <c r="AG780" s="33" t="n">
        <v>13.98</v>
      </c>
      <c r="AH780" s="4" t="n">
        <v>2</v>
      </c>
      <c r="AI780" s="34" t="n">
        <v>0.2</v>
      </c>
      <c r="AJ780" s="34" t="n">
        <v>1</v>
      </c>
      <c r="AK780" s="2" t="n">
        <v>6750</v>
      </c>
      <c r="AL780" t="inlineStr">
        <is>
          <t>Published</t>
        </is>
      </c>
    </row>
    <row r="781">
      <c r="A781">
        <f>HYPERLINK("https://www.walmart.com/ip/158876400", "158876400")</f>
        <v/>
      </c>
      <c r="B781">
        <f>HYPERLINK("https://app.optiwise.ai/catalog/itemdetails/361678", "JenniWears LED Light Up Sheer Lace Venetian Mask Floral Mardi Gras Masquerade Costume Ice Blue")</f>
        <v/>
      </c>
      <c r="C781" t="inlineStr">
        <is>
          <t>JWLEDMK02-LBL</t>
        </is>
      </c>
      <c r="D781" t="inlineStr">
        <is>
          <t>Costumes</t>
        </is>
      </c>
      <c r="E781" t="inlineStr">
        <is>
          <t>Costume Masks</t>
        </is>
      </c>
      <c r="F781" t="inlineStr">
        <is>
          <t>JenniWears</t>
        </is>
      </c>
      <c r="G781" t="n">
        <v>4.3</v>
      </c>
      <c r="H781" t="n">
        <v>3</v>
      </c>
      <c r="I781" t="inlineStr">
        <is>
          <t>Halloween</t>
        </is>
      </c>
      <c r="J781" s="29" t="n">
        <v>13.96</v>
      </c>
      <c r="K781" s="30" t="n">
        <v>0.0001</v>
      </c>
      <c r="L781" s="29" t="n">
        <v>0</v>
      </c>
      <c r="M781" s="29" t="n">
        <v>0</v>
      </c>
      <c r="N781" s="2" t="n">
        <v>2</v>
      </c>
      <c r="O781" s="31" t="n">
        <v>0</v>
      </c>
      <c r="P781" s="32" t="n"/>
      <c r="Q781" s="32" t="n">
        <v>0</v>
      </c>
      <c r="R781" s="32" t="n">
        <v>0</v>
      </c>
      <c r="S781" s="31" t="n">
        <v>0</v>
      </c>
      <c r="T781" s="32" t="n">
        <v>0</v>
      </c>
      <c r="U781" s="31" t="n">
        <v>0</v>
      </c>
      <c r="V781" s="31" t="n">
        <v>0</v>
      </c>
      <c r="W781" s="3" t="n">
        <v>0</v>
      </c>
      <c r="X781" s="3" t="n">
        <v>0</v>
      </c>
      <c r="Y781" s="32" t="n">
        <v>0</v>
      </c>
      <c r="Z781" s="3" t="n">
        <v>0</v>
      </c>
      <c r="AA781" s="32" t="n">
        <v>0</v>
      </c>
      <c r="AB781" s="3" t="n"/>
      <c r="AC781" s="31" t="n">
        <v>0</v>
      </c>
      <c r="AD781" s="2" t="n">
        <v>0</v>
      </c>
      <c r="AE781" s="2" t="n">
        <v>25</v>
      </c>
      <c r="AF781" s="4" t="n">
        <v>25</v>
      </c>
      <c r="AG781" s="33" t="n">
        <v>13.96</v>
      </c>
      <c r="AH781" s="4" t="n">
        <v>2</v>
      </c>
      <c r="AI781" s="34" t="n">
        <v>0.08</v>
      </c>
      <c r="AJ781" s="34" t="n">
        <v>1</v>
      </c>
      <c r="AK781" s="2" t="n">
        <v>6750</v>
      </c>
      <c r="AL781" t="inlineStr">
        <is>
          <t>Published</t>
        </is>
      </c>
    </row>
    <row r="782">
      <c r="A782">
        <f>HYPERLINK("https://www.walmart.com/ip/906561690", "906561690")</f>
        <v/>
      </c>
      <c r="B782">
        <f>HYPERLINK("https://app.optiwise.ai/catalog/itemdetails/359128", "Tirrinia Insulated Lunch Box for Women Men, Leakproof Thermal Reusable Lunch Bag with 2 Zipper Pockets for Adult &amp; Kids, Lunch Bag Cooler Tote for Office Work, White Pink")</f>
        <v/>
      </c>
      <c r="C782" t="inlineStr">
        <is>
          <t>1TRLB705WTPK</t>
        </is>
      </c>
      <c r="D782" t="inlineStr">
        <is>
          <t>Home Decor, Kitchen, &amp; Other</t>
        </is>
      </c>
      <c r="E782" t="inlineStr">
        <is>
          <t>Reusable Lunch Bags &amp; Boxes</t>
        </is>
      </c>
      <c r="F782" t="inlineStr">
        <is>
          <t>Tirrinia</t>
        </is>
      </c>
      <c r="G782" t="n">
        <v>4.2</v>
      </c>
      <c r="H782" t="n">
        <v>10</v>
      </c>
      <c r="I782" t="inlineStr">
        <is>
          <t>Q2-Target,Brand Camp VD,Lunch Bag,WFS,Lunch Bags,SEM,WFS Item</t>
        </is>
      </c>
      <c r="J782" s="29" t="n">
        <v>12.99</v>
      </c>
      <c r="K782" s="30" t="n">
        <v>0.0001</v>
      </c>
      <c r="L782" s="29" t="n">
        <v>12.98999977111816</v>
      </c>
      <c r="M782" s="29" t="n">
        <v>0</v>
      </c>
      <c r="N782" s="2" t="n">
        <v>1</v>
      </c>
      <c r="O782" s="31" t="n">
        <v>0</v>
      </c>
      <c r="P782" s="32" t="n"/>
      <c r="Q782" s="32" t="n">
        <v>0</v>
      </c>
      <c r="R782" s="32" t="n">
        <v>0.0382</v>
      </c>
      <c r="S782" s="31" t="n">
        <v>0</v>
      </c>
      <c r="T782" s="32" t="n">
        <v>0</v>
      </c>
      <c r="U782" s="31" t="n">
        <v>0</v>
      </c>
      <c r="V782" s="31" t="n">
        <v>0</v>
      </c>
      <c r="W782" s="3" t="n">
        <v>0</v>
      </c>
      <c r="X782" s="3" t="n">
        <v>0</v>
      </c>
      <c r="Y782" s="32" t="n">
        <v>0</v>
      </c>
      <c r="Z782" s="3" t="n">
        <v>0</v>
      </c>
      <c r="AA782" s="32" t="n">
        <v>0</v>
      </c>
      <c r="AB782" s="3" t="n"/>
      <c r="AC782" s="31" t="n">
        <v>0</v>
      </c>
      <c r="AD782" s="2" t="n">
        <v>0</v>
      </c>
      <c r="AE782" s="2" t="n">
        <v>40</v>
      </c>
      <c r="AF782" s="4" t="n">
        <v>40</v>
      </c>
      <c r="AG782" s="33" t="n">
        <v>12.99</v>
      </c>
      <c r="AH782" s="4" t="n">
        <v>1</v>
      </c>
      <c r="AI782" s="34" t="n">
        <v>0.025</v>
      </c>
      <c r="AJ782" s="34" t="n">
        <v>1</v>
      </c>
      <c r="AK782" s="2" t="n">
        <v>0</v>
      </c>
      <c r="AL782" t="inlineStr">
        <is>
          <t>Published</t>
        </is>
      </c>
    </row>
    <row r="783">
      <c r="A783">
        <f>HYPERLINK("https://www.walmart.com/ip/343765693", "343765693")</f>
        <v/>
      </c>
      <c r="B783">
        <f>HYPERLINK("https://app.optiwise.ai/catalog/itemdetails/360632", "Tankini Swimsuits for Women Two Piece Bathing Suits Open Back Flattering Swimwear")</f>
        <v/>
      </c>
      <c r="C783" t="inlineStr">
        <is>
          <t>1SLSS005BK-L</t>
        </is>
      </c>
      <c r="D783" t="inlineStr">
        <is>
          <t>Clothing</t>
        </is>
      </c>
      <c r="E783" t="inlineStr">
        <is>
          <t>Swimsuit Sets</t>
        </is>
      </c>
      <c r="F783" t="inlineStr">
        <is>
          <t>Solaris</t>
        </is>
      </c>
      <c r="G783" t="n">
        <v>0</v>
      </c>
      <c r="H783" t="n">
        <v>0</v>
      </c>
      <c r="I783" t="inlineStr">
        <is>
          <t>Optimized</t>
        </is>
      </c>
      <c r="J783" s="29" t="n">
        <v>12.99</v>
      </c>
      <c r="K783" s="30" t="n">
        <v>0.0001</v>
      </c>
      <c r="L783" s="29" t="n">
        <v>0</v>
      </c>
      <c r="M783" s="29" t="n">
        <v>0</v>
      </c>
      <c r="N783" s="2" t="n">
        <v>1</v>
      </c>
      <c r="O783" s="31" t="n">
        <v>0</v>
      </c>
      <c r="P783" s="32" t="n"/>
      <c r="Q783" s="32" t="n">
        <v>0</v>
      </c>
      <c r="R783" s="32" t="n">
        <v>0</v>
      </c>
      <c r="S783" s="31" t="n">
        <v>0</v>
      </c>
      <c r="T783" s="32" t="n">
        <v>0</v>
      </c>
      <c r="U783" s="31" t="n">
        <v>0</v>
      </c>
      <c r="V783" s="31" t="n">
        <v>0</v>
      </c>
      <c r="W783" s="3" t="n">
        <v>0</v>
      </c>
      <c r="X783" s="3" t="n">
        <v>0</v>
      </c>
      <c r="Y783" s="32" t="n">
        <v>0</v>
      </c>
      <c r="Z783" s="3" t="n">
        <v>0</v>
      </c>
      <c r="AA783" s="32" t="n">
        <v>0</v>
      </c>
      <c r="AB783" s="3" t="n"/>
      <c r="AC783" s="31" t="n">
        <v>0</v>
      </c>
      <c r="AD783" s="2" t="n">
        <v>0</v>
      </c>
      <c r="AE783" s="2" t="n">
        <v>20</v>
      </c>
      <c r="AF783" s="4" t="n">
        <v>20</v>
      </c>
      <c r="AG783" s="33" t="n">
        <v>12.99</v>
      </c>
      <c r="AH783" s="4" t="n">
        <v>1</v>
      </c>
      <c r="AI783" s="34" t="n">
        <v>0.05</v>
      </c>
      <c r="AJ783" s="34" t="n">
        <v>1</v>
      </c>
      <c r="AK783" s="2" t="n">
        <v>13500</v>
      </c>
      <c r="AL783" t="inlineStr">
        <is>
          <t>Published</t>
        </is>
      </c>
    </row>
    <row r="784">
      <c r="A784">
        <f>HYPERLINK("https://www.walmart.com/ip/422306406", "422306406")</f>
        <v/>
      </c>
      <c r="B784">
        <f>HYPERLINK("https://app.optiwise.ai/catalog/itemdetails/360459", "Flyingstar Insulated Lunch Bag for Women Men, Leakproof Thermal Reusable Lunch Box Tote for Adult &amp; Kids Lunch Cooler for Office Work, Purple")</f>
        <v/>
      </c>
      <c r="C784" t="inlineStr">
        <is>
          <t>1WMLB701P1PP</t>
        </is>
      </c>
      <c r="D784" t="inlineStr">
        <is>
          <t>Home Decor, Kitchen, &amp; Other</t>
        </is>
      </c>
      <c r="E784" t="inlineStr">
        <is>
          <t>Reusable Lunch Bags &amp; Boxes</t>
        </is>
      </c>
      <c r="F784" t="inlineStr">
        <is>
          <t>Flyingstar</t>
        </is>
      </c>
      <c r="G784" t="n">
        <v>0</v>
      </c>
      <c r="H784" t="n">
        <v>0</v>
      </c>
      <c r="I784" t="inlineStr">
        <is>
          <t>Q2-Target,Lunch Bag,Optimized,Lunch Bags,SEM</t>
        </is>
      </c>
      <c r="J784" s="29" t="n">
        <v>12.99</v>
      </c>
      <c r="K784" s="30" t="n">
        <v>0.0001</v>
      </c>
      <c r="L784" s="29" t="n">
        <v>0</v>
      </c>
      <c r="M784" s="29" t="n">
        <v>0</v>
      </c>
      <c r="N784" s="2" t="n">
        <v>1</v>
      </c>
      <c r="O784" s="31" t="n">
        <v>0</v>
      </c>
      <c r="P784" s="32" t="n"/>
      <c r="Q784" s="32" t="n">
        <v>0</v>
      </c>
      <c r="R784" s="32" t="n">
        <v>0.2647</v>
      </c>
      <c r="S784" s="31" t="n">
        <v>0</v>
      </c>
      <c r="T784" s="32" t="n">
        <v>0</v>
      </c>
      <c r="U784" s="31" t="n">
        <v>0</v>
      </c>
      <c r="V784" s="31" t="n">
        <v>0</v>
      </c>
      <c r="W784" s="3" t="n">
        <v>0</v>
      </c>
      <c r="X784" s="3" t="n">
        <v>0</v>
      </c>
      <c r="Y784" s="32" t="n">
        <v>0</v>
      </c>
      <c r="Z784" s="3" t="n">
        <v>0</v>
      </c>
      <c r="AA784" s="32" t="n">
        <v>0</v>
      </c>
      <c r="AB784" s="3" t="n"/>
      <c r="AC784" s="31" t="n">
        <v>0</v>
      </c>
      <c r="AD784" s="2" t="n">
        <v>0</v>
      </c>
      <c r="AE784" s="2" t="n">
        <v>13</v>
      </c>
      <c r="AF784" s="4" t="n">
        <v>13</v>
      </c>
      <c r="AG784" s="33" t="n">
        <v>12.99</v>
      </c>
      <c r="AH784" s="4" t="n">
        <v>1</v>
      </c>
      <c r="AI784" s="34" t="n">
        <v>0.0769</v>
      </c>
      <c r="AJ784" s="34" t="n">
        <v>1</v>
      </c>
      <c r="AK784" s="2" t="n">
        <v>0</v>
      </c>
      <c r="AL784" t="inlineStr">
        <is>
          <t>Published</t>
        </is>
      </c>
    </row>
    <row r="785">
      <c r="A785">
        <f>HYPERLINK("https://www.walmart.com/ip/844430269", "844430269")</f>
        <v/>
      </c>
      <c r="B785">
        <f>HYPERLINK("https://app.optiwise.ai/catalog/itemdetails/358748", "Tirrinia Leakproof Thermal Bento Lunch Bag For Women, Men And Kids, Heat-welded Technology, Medium, Gray, 7.8/ 15 Cans")</f>
        <v/>
      </c>
      <c r="C785" t="inlineStr">
        <is>
          <t>1TRLB702GY-N</t>
        </is>
      </c>
      <c r="D785" t="inlineStr">
        <is>
          <t>Home Decor, Kitchen, &amp; Other</t>
        </is>
      </c>
      <c r="E785" t="inlineStr">
        <is>
          <t>Reusable Lunch Bags &amp; Boxes</t>
        </is>
      </c>
      <c r="F785" t="inlineStr">
        <is>
          <t>Tirrinia</t>
        </is>
      </c>
      <c r="G785" t="n">
        <v>4.5</v>
      </c>
      <c r="H785" t="n">
        <v>32</v>
      </c>
      <c r="I785" t="inlineStr">
        <is>
          <t>Q2-Target,Brand Camp VD,Lunch Bag,Optimized,SEM</t>
        </is>
      </c>
      <c r="J785" s="29" t="n">
        <v>12.99</v>
      </c>
      <c r="K785" s="30" t="n">
        <v>0.0001</v>
      </c>
      <c r="L785" s="29" t="n">
        <v>0</v>
      </c>
      <c r="M785" s="29" t="n">
        <v>0</v>
      </c>
      <c r="N785" s="2" t="n">
        <v>1</v>
      </c>
      <c r="O785" s="31" t="n">
        <v>0</v>
      </c>
      <c r="P785" s="32" t="n"/>
      <c r="Q785" s="32" t="n">
        <v>0</v>
      </c>
      <c r="R785" s="32" t="n">
        <v>0.2263</v>
      </c>
      <c r="S785" s="31" t="n">
        <v>0</v>
      </c>
      <c r="T785" s="32" t="n">
        <v>0</v>
      </c>
      <c r="U785" s="31" t="n">
        <v>0</v>
      </c>
      <c r="V785" s="31" t="n">
        <v>0</v>
      </c>
      <c r="W785" s="3" t="n">
        <v>0</v>
      </c>
      <c r="X785" s="3" t="n">
        <v>0</v>
      </c>
      <c r="Y785" s="32" t="n">
        <v>0</v>
      </c>
      <c r="Z785" s="3" t="n">
        <v>0</v>
      </c>
      <c r="AA785" s="32" t="n">
        <v>0</v>
      </c>
      <c r="AB785" s="3" t="n"/>
      <c r="AC785" s="31" t="n">
        <v>0</v>
      </c>
      <c r="AD785" s="2" t="n">
        <v>0</v>
      </c>
      <c r="AE785" s="2" t="n">
        <v>62</v>
      </c>
      <c r="AF785" s="4" t="n">
        <v>62</v>
      </c>
      <c r="AG785" s="33" t="n">
        <v>12.99</v>
      </c>
      <c r="AH785" s="4" t="n">
        <v>1</v>
      </c>
      <c r="AI785" s="34" t="n">
        <v>0.0161</v>
      </c>
      <c r="AJ785" s="34" t="n">
        <v>1</v>
      </c>
      <c r="AK785" s="2" t="n">
        <v>13770</v>
      </c>
      <c r="AL785" t="inlineStr">
        <is>
          <t>Published</t>
        </is>
      </c>
    </row>
    <row r="786">
      <c r="A786">
        <f>HYPERLINK("https://www.walmart.com/ip/116656995", "116656995")</f>
        <v/>
      </c>
      <c r="B786">
        <f>HYPERLINK("https://app.optiwise.ai/catalog/itemdetails/362770", "Tirrinia Insulated Lunch Bag for Women, Men, and Kids, Leakproof Thermal Reusable Insulated Cooler Bag for Office, Work, Back to School, Medium, Red, 7.8L, 10 X 7 X 7.7")</f>
        <v/>
      </c>
      <c r="C786" t="inlineStr">
        <is>
          <t>1TRLB702RD-N</t>
        </is>
      </c>
      <c r="D786" t="inlineStr">
        <is>
          <t>Home Decor, Kitchen, &amp; Other</t>
        </is>
      </c>
      <c r="E786" t="inlineStr">
        <is>
          <t>Reusable Lunch Bags &amp; Boxes</t>
        </is>
      </c>
      <c r="F786" t="inlineStr">
        <is>
          <t>Tirrinia</t>
        </is>
      </c>
      <c r="G786" t="n">
        <v>0</v>
      </c>
      <c r="H786" t="n">
        <v>0</v>
      </c>
      <c r="I786" t="inlineStr">
        <is>
          <t>Q2-Target,Brand Camp VD,Lunch Bag,SEM</t>
        </is>
      </c>
      <c r="J786" s="29" t="n">
        <v>12.99</v>
      </c>
      <c r="K786" s="30" t="n">
        <v>0.0001</v>
      </c>
      <c r="L786" s="29" t="n">
        <v>0</v>
      </c>
      <c r="M786" s="29" t="n">
        <v>0</v>
      </c>
      <c r="N786" s="2" t="n">
        <v>1</v>
      </c>
      <c r="O786" s="31" t="n">
        <v>0</v>
      </c>
      <c r="P786" s="32" t="n"/>
      <c r="Q786" s="32" t="n">
        <v>0</v>
      </c>
      <c r="R786" s="32" t="n">
        <v>0</v>
      </c>
      <c r="S786" s="31" t="n">
        <v>0</v>
      </c>
      <c r="T786" s="32" t="n">
        <v>0</v>
      </c>
      <c r="U786" s="31" t="n">
        <v>0</v>
      </c>
      <c r="V786" s="31" t="n">
        <v>0</v>
      </c>
      <c r="W786" s="3" t="n">
        <v>0</v>
      </c>
      <c r="X786" s="3" t="n">
        <v>0</v>
      </c>
      <c r="Y786" s="32" t="n">
        <v>0</v>
      </c>
      <c r="Z786" s="3" t="n">
        <v>0</v>
      </c>
      <c r="AA786" s="32" t="n">
        <v>0</v>
      </c>
      <c r="AB786" s="3" t="n"/>
      <c r="AC786" s="31" t="n">
        <v>0</v>
      </c>
      <c r="AD786" s="2" t="n">
        <v>0</v>
      </c>
      <c r="AE786" s="2" t="n">
        <v>70</v>
      </c>
      <c r="AF786" s="4" t="n">
        <v>70</v>
      </c>
      <c r="AG786" s="33" t="n">
        <v>12.99</v>
      </c>
      <c r="AH786" s="4" t="n">
        <v>1</v>
      </c>
      <c r="AI786" s="34" t="n">
        <v>0.0143</v>
      </c>
      <c r="AJ786" s="34" t="n">
        <v>1</v>
      </c>
      <c r="AK786" s="2" t="n">
        <v>16065</v>
      </c>
      <c r="AL786" t="inlineStr">
        <is>
          <t>Published</t>
        </is>
      </c>
    </row>
    <row r="787">
      <c r="A787">
        <f>HYPERLINK("https://www.walmart.com/ip/573362008", "573362008")</f>
        <v/>
      </c>
      <c r="B787">
        <f>HYPERLINK("https://app.optiwise.ai/catalog/itemdetails/358776", "Tirrinia Men's Pro Hunting Hat Buck Embroidery Adjustable Mesh Back Cap, Velcro Snapback Hat, Camo")</f>
        <v/>
      </c>
      <c r="C787" t="inlineStr">
        <is>
          <t>1TRHT01BUCK-TBCB</t>
        </is>
      </c>
      <c r="D787" t="inlineStr">
        <is>
          <t>Clothing</t>
        </is>
      </c>
      <c r="E787" t="inlineStr">
        <is>
          <t>Hats</t>
        </is>
      </c>
      <c r="F787" t="inlineStr">
        <is>
          <t>Tirrinia</t>
        </is>
      </c>
      <c r="G787" t="n">
        <v>0</v>
      </c>
      <c r="H787" t="n">
        <v>0</v>
      </c>
      <c r="I787" t="inlineStr">
        <is>
          <t>Batch 1 - TR</t>
        </is>
      </c>
      <c r="J787" s="29" t="n">
        <v>12.99</v>
      </c>
      <c r="K787" s="30" t="n">
        <v>0.0001</v>
      </c>
      <c r="L787" s="29" t="n">
        <v>0</v>
      </c>
      <c r="M787" s="29" t="n">
        <v>0</v>
      </c>
      <c r="N787" s="2" t="n">
        <v>1</v>
      </c>
      <c r="O787" s="31" t="n">
        <v>0</v>
      </c>
      <c r="P787" s="32" t="n"/>
      <c r="Q787" s="32" t="n">
        <v>0</v>
      </c>
      <c r="R787" s="32" t="n">
        <v>0</v>
      </c>
      <c r="S787" s="31" t="n">
        <v>0</v>
      </c>
      <c r="T787" s="32" t="n">
        <v>0</v>
      </c>
      <c r="U787" s="31" t="n">
        <v>0</v>
      </c>
      <c r="V787" s="31" t="n">
        <v>0</v>
      </c>
      <c r="W787" s="3" t="n">
        <v>0</v>
      </c>
      <c r="X787" s="3" t="n">
        <v>0</v>
      </c>
      <c r="Y787" s="32" t="n">
        <v>0</v>
      </c>
      <c r="Z787" s="3" t="n">
        <v>0</v>
      </c>
      <c r="AA787" s="32" t="n">
        <v>0</v>
      </c>
      <c r="AB787" s="3" t="n"/>
      <c r="AC787" s="31" t="n">
        <v>0</v>
      </c>
      <c r="AD787" s="2" t="n">
        <v>0</v>
      </c>
      <c r="AE787" s="2" t="n">
        <v>13</v>
      </c>
      <c r="AF787" s="4" t="n">
        <v>13</v>
      </c>
      <c r="AG787" s="33" t="n">
        <v>12.99</v>
      </c>
      <c r="AH787" s="4" t="n">
        <v>1</v>
      </c>
      <c r="AI787" s="34" t="n">
        <v>0.0769</v>
      </c>
      <c r="AJ787" s="34" t="n">
        <v>1</v>
      </c>
      <c r="AK787" s="2" t="n">
        <v>4860</v>
      </c>
      <c r="AL787" t="inlineStr">
        <is>
          <t>Published</t>
        </is>
      </c>
    </row>
    <row r="788">
      <c r="A788">
        <f>HYPERLINK("https://www.walmart.com/ip/504765654", "504765654")</f>
        <v/>
      </c>
      <c r="B788">
        <f>HYPERLINK("https://app.optiwise.ai/catalog/itemdetails/361816", "Women’s Crop Top Hoodie Sweatshirt Oversized Casual 3/4 Sleeve One Size Blue Cheetah")</f>
        <v/>
      </c>
      <c r="C788" t="inlineStr">
        <is>
          <t>1WMHD520S1BLCHEETAH</t>
        </is>
      </c>
      <c r="D788" t="inlineStr">
        <is>
          <t>Clothing</t>
        </is>
      </c>
      <c r="E788" t="inlineStr">
        <is>
          <t>Sweatshirts &amp; Hoodies</t>
        </is>
      </c>
      <c r="F788" t="inlineStr">
        <is>
          <t>Flyingstar</t>
        </is>
      </c>
      <c r="G788" t="n">
        <v>0</v>
      </c>
      <c r="H788" t="n">
        <v>0</v>
      </c>
      <c r="I788" t="inlineStr">
        <is>
          <t>Batch 1 - TR</t>
        </is>
      </c>
      <c r="J788" s="29" t="n">
        <v>12.99</v>
      </c>
      <c r="K788" s="30" t="n">
        <v>0.0001</v>
      </c>
      <c r="L788" s="29" t="n">
        <v>0</v>
      </c>
      <c r="M788" s="29" t="n">
        <v>0</v>
      </c>
      <c r="N788" s="2" t="n">
        <v>1</v>
      </c>
      <c r="O788" s="31" t="n">
        <v>5.220000000000001</v>
      </c>
      <c r="P788" s="32" t="n">
        <v>0.0005999999999999999</v>
      </c>
      <c r="Q788" s="32" t="n">
        <v>0.4018</v>
      </c>
      <c r="R788" s="32" t="n">
        <v>0</v>
      </c>
      <c r="S788" s="31" t="n">
        <v>0</v>
      </c>
      <c r="T788" s="32" t="n">
        <v>0</v>
      </c>
      <c r="U788" s="31" t="n">
        <v>0</v>
      </c>
      <c r="V788" s="31" t="n">
        <v>0</v>
      </c>
      <c r="W788" s="3" t="n">
        <v>13296</v>
      </c>
      <c r="X788" s="3" t="n">
        <v>14</v>
      </c>
      <c r="Y788" s="32" t="n">
        <v>0.0011</v>
      </c>
      <c r="Z788" s="3" t="n">
        <v>0</v>
      </c>
      <c r="AA788" s="32" t="n">
        <v>0</v>
      </c>
      <c r="AB788" s="3" t="inlineStr">
        <is>
          <t>Hoodies_Auto</t>
        </is>
      </c>
      <c r="AC788" s="31" t="n">
        <v>0.37</v>
      </c>
      <c r="AD788" s="2" t="n">
        <v>0</v>
      </c>
      <c r="AE788" s="2" t="n">
        <v>10</v>
      </c>
      <c r="AF788" s="4" t="inlineStr">
        <is>
          <t>NA</t>
        </is>
      </c>
      <c r="AG788" s="33" t="n">
        <v>12.99</v>
      </c>
      <c r="AH788" s="4" t="n">
        <v>1</v>
      </c>
      <c r="AI788" s="34" t="inlineStr">
        <is>
          <t>NA</t>
        </is>
      </c>
      <c r="AJ788" s="34" t="n">
        <v>1</v>
      </c>
      <c r="AK788" s="2" t="n">
        <v>13500</v>
      </c>
      <c r="AL788" t="inlineStr">
        <is>
          <t>Published</t>
        </is>
      </c>
    </row>
    <row r="789">
      <c r="A789">
        <f>HYPERLINK("https://www.walmart.com/ip/631227535", "631227535")</f>
        <v/>
      </c>
      <c r="B789">
        <f>HYPERLINK("https://app.optiwise.ai/catalog/itemdetails/360255", "Two Pieces Double up Tankini Swimsuit for Women Bathing Suits Set by Tirrinia")</f>
        <v/>
      </c>
      <c r="C789" t="inlineStr">
        <is>
          <t>1TRSS002BL-XL</t>
        </is>
      </c>
      <c r="D789" t="inlineStr">
        <is>
          <t>Clothing</t>
        </is>
      </c>
      <c r="E789" t="inlineStr">
        <is>
          <t>Swimsuit Sets</t>
        </is>
      </c>
      <c r="F789" t="inlineStr">
        <is>
          <t>Tirrinia</t>
        </is>
      </c>
      <c r="G789" t="n">
        <v>0</v>
      </c>
      <c r="H789" t="n">
        <v>0</v>
      </c>
      <c r="J789" s="29" t="n">
        <v>12.99</v>
      </c>
      <c r="K789" s="30" t="n">
        <v>0.0001</v>
      </c>
      <c r="L789" s="29" t="n">
        <v>25.97999954223633</v>
      </c>
      <c r="M789" s="29" t="n">
        <v>0</v>
      </c>
      <c r="N789" s="2" t="n">
        <v>1</v>
      </c>
      <c r="O789" s="31" t="n">
        <v>0</v>
      </c>
      <c r="P789" s="32" t="n"/>
      <c r="Q789" s="32" t="n">
        <v>0</v>
      </c>
      <c r="R789" s="32" t="n">
        <v>0</v>
      </c>
      <c r="S789" s="31" t="n">
        <v>0</v>
      </c>
      <c r="T789" s="32" t="n">
        <v>0</v>
      </c>
      <c r="U789" s="31" t="n">
        <v>0</v>
      </c>
      <c r="V789" s="31" t="n">
        <v>0</v>
      </c>
      <c r="W789" s="3" t="n">
        <v>0</v>
      </c>
      <c r="X789" s="3" t="n">
        <v>0</v>
      </c>
      <c r="Y789" s="32" t="n">
        <v>0</v>
      </c>
      <c r="Z789" s="3" t="n">
        <v>0</v>
      </c>
      <c r="AA789" s="32" t="n">
        <v>0</v>
      </c>
      <c r="AB789" s="3" t="n"/>
      <c r="AC789" s="31" t="n">
        <v>0</v>
      </c>
      <c r="AD789" s="2" t="n">
        <v>0</v>
      </c>
      <c r="AE789" s="2" t="n">
        <v>5</v>
      </c>
      <c r="AF789" s="4" t="n">
        <v>5</v>
      </c>
      <c r="AG789" s="33" t="n">
        <v>12.99</v>
      </c>
      <c r="AH789" s="4" t="n">
        <v>1</v>
      </c>
      <c r="AI789" s="34" t="n">
        <v>0.2</v>
      </c>
      <c r="AJ789" s="34" t="n">
        <v>1</v>
      </c>
      <c r="AK789" s="2" t="n">
        <v>270</v>
      </c>
      <c r="AL789" t="inlineStr">
        <is>
          <t>Published</t>
        </is>
      </c>
    </row>
    <row r="790">
      <c r="A790">
        <f>HYPERLINK("https://www.walmart.com/ip/509830191", "509830191")</f>
        <v/>
      </c>
      <c r="B790">
        <f>HYPERLINK("https://app.optiwise.ai/catalog/itemdetails/360297", "Two Pieces Double up Tankini Swimsuit for Women Bathing Suits Set by Tirrinia")</f>
        <v/>
      </c>
      <c r="C790" t="inlineStr">
        <is>
          <t>1TRSS002PK-L</t>
        </is>
      </c>
      <c r="D790" t="inlineStr">
        <is>
          <t>Clothing</t>
        </is>
      </c>
      <c r="E790" t="inlineStr">
        <is>
          <t>Swimsuit Sets</t>
        </is>
      </c>
      <c r="F790" t="inlineStr">
        <is>
          <t>Tirrinia</t>
        </is>
      </c>
      <c r="G790" t="n">
        <v>0</v>
      </c>
      <c r="H790" t="n">
        <v>0</v>
      </c>
      <c r="J790" s="29" t="n">
        <v>12.99</v>
      </c>
      <c r="K790" s="30" t="n">
        <v>0.0001</v>
      </c>
      <c r="L790" s="29" t="n">
        <v>0</v>
      </c>
      <c r="M790" s="29" t="n">
        <v>0</v>
      </c>
      <c r="N790" s="2" t="n">
        <v>1</v>
      </c>
      <c r="O790" s="31" t="n">
        <v>0</v>
      </c>
      <c r="P790" s="32" t="n"/>
      <c r="Q790" s="32" t="n">
        <v>0</v>
      </c>
      <c r="R790" s="32" t="n">
        <v>0</v>
      </c>
      <c r="S790" s="31" t="n">
        <v>0</v>
      </c>
      <c r="T790" s="32" t="n">
        <v>0</v>
      </c>
      <c r="U790" s="31" t="n">
        <v>0</v>
      </c>
      <c r="V790" s="31" t="n">
        <v>0</v>
      </c>
      <c r="W790" s="3" t="n">
        <v>0</v>
      </c>
      <c r="X790" s="3" t="n">
        <v>0</v>
      </c>
      <c r="Y790" s="32" t="n">
        <v>0</v>
      </c>
      <c r="Z790" s="3" t="n">
        <v>0</v>
      </c>
      <c r="AA790" s="32" t="n">
        <v>0</v>
      </c>
      <c r="AB790" s="3" t="n"/>
      <c r="AC790" s="31" t="n">
        <v>0</v>
      </c>
      <c r="AD790" s="2" t="n">
        <v>0</v>
      </c>
      <c r="AE790" s="2" t="n">
        <v>4</v>
      </c>
      <c r="AF790" s="4" t="n">
        <v>4</v>
      </c>
      <c r="AG790" s="33" t="n">
        <v>12.99</v>
      </c>
      <c r="AH790" s="4" t="n">
        <v>1</v>
      </c>
      <c r="AI790" s="34" t="n">
        <v>0.25</v>
      </c>
      <c r="AJ790" s="34" t="n">
        <v>1</v>
      </c>
      <c r="AK790" s="2" t="n">
        <v>540</v>
      </c>
      <c r="AL790" t="inlineStr">
        <is>
          <t>Published</t>
        </is>
      </c>
    </row>
    <row r="791">
      <c r="A791">
        <f>HYPERLINK("https://www.walmart.com/ip/771666786", "771666786")</f>
        <v/>
      </c>
      <c r="B791">
        <f>HYPERLINK("https://app.optiwise.ai/catalog/itemdetails/361069", "Two Pieces Double up Tankini Swimsuit for Women Bathing Suits Set by Tirrinia")</f>
        <v/>
      </c>
      <c r="C791" t="inlineStr">
        <is>
          <t>1TRSS002WH-L</t>
        </is>
      </c>
      <c r="D791" t="inlineStr">
        <is>
          <t>Clothing</t>
        </is>
      </c>
      <c r="E791" t="inlineStr">
        <is>
          <t>Swimsuit Sets</t>
        </is>
      </c>
      <c r="F791" t="inlineStr">
        <is>
          <t>Tirrinia</t>
        </is>
      </c>
      <c r="G791" t="n">
        <v>3.7</v>
      </c>
      <c r="H791" t="n">
        <v>6</v>
      </c>
      <c r="I791" t="inlineStr">
        <is>
          <t>Batch 1 - TR</t>
        </is>
      </c>
      <c r="J791" s="29" t="n">
        <v>12.99</v>
      </c>
      <c r="K791" s="30" t="n">
        <v>0.0001</v>
      </c>
      <c r="L791" s="29" t="n">
        <v>0</v>
      </c>
      <c r="M791" s="29" t="n">
        <v>0</v>
      </c>
      <c r="N791" s="2" t="n">
        <v>1</v>
      </c>
      <c r="O791" s="31" t="n">
        <v>0</v>
      </c>
      <c r="P791" s="32" t="n"/>
      <c r="Q791" s="32" t="n">
        <v>0</v>
      </c>
      <c r="R791" s="32" t="n">
        <v>0</v>
      </c>
      <c r="S791" s="31" t="n">
        <v>0</v>
      </c>
      <c r="T791" s="32" t="n">
        <v>0</v>
      </c>
      <c r="U791" s="31" t="n">
        <v>0</v>
      </c>
      <c r="V791" s="31" t="n">
        <v>0</v>
      </c>
      <c r="W791" s="3" t="n">
        <v>0</v>
      </c>
      <c r="X791" s="3" t="n">
        <v>0</v>
      </c>
      <c r="Y791" s="32" t="n">
        <v>0</v>
      </c>
      <c r="Z791" s="3" t="n">
        <v>0</v>
      </c>
      <c r="AA791" s="32" t="n">
        <v>0</v>
      </c>
      <c r="AB791" s="3" t="n"/>
      <c r="AC791" s="31" t="n">
        <v>0</v>
      </c>
      <c r="AD791" s="2" t="n">
        <v>0</v>
      </c>
      <c r="AE791" s="2" t="n">
        <v>7</v>
      </c>
      <c r="AF791" s="4" t="n">
        <v>7</v>
      </c>
      <c r="AG791" s="33" t="n">
        <v>12.99</v>
      </c>
      <c r="AH791" s="4" t="n">
        <v>1</v>
      </c>
      <c r="AI791" s="34" t="n">
        <v>0.1429</v>
      </c>
      <c r="AJ791" s="34" t="n">
        <v>1</v>
      </c>
      <c r="AK791" s="2" t="n">
        <v>13500</v>
      </c>
      <c r="AL791" t="inlineStr">
        <is>
          <t>Published</t>
        </is>
      </c>
    </row>
    <row r="792">
      <c r="A792">
        <f>HYPERLINK("https://www.walmart.com/ip/317393750", "317393750")</f>
        <v/>
      </c>
      <c r="B792">
        <f>HYPERLINK("https://app.optiwise.ai/catalog/itemdetails/360477", "Sherpa Slipper Socks for Women,Winter Indoor Home Non Skid Booties")</f>
        <v/>
      </c>
      <c r="C792" t="inlineStr">
        <is>
          <t>1CTST200LT-2</t>
        </is>
      </c>
      <c r="D792" t="inlineStr">
        <is>
          <t>Clothing</t>
        </is>
      </c>
      <c r="E792" t="inlineStr">
        <is>
          <t>Socks</t>
        </is>
      </c>
      <c r="F792" t="inlineStr">
        <is>
          <t>Catalonia</t>
        </is>
      </c>
      <c r="G792" t="n">
        <v>0</v>
      </c>
      <c r="H792" t="n">
        <v>0</v>
      </c>
      <c r="I792" t="inlineStr">
        <is>
          <t>WFS,WFS Item</t>
        </is>
      </c>
      <c r="J792" s="29" t="n">
        <v>12.98</v>
      </c>
      <c r="K792" s="30" t="n">
        <v>0.0001</v>
      </c>
      <c r="L792" s="29" t="n">
        <v>0</v>
      </c>
      <c r="M792" s="29" t="n">
        <v>0</v>
      </c>
      <c r="N792" s="2" t="n">
        <v>1</v>
      </c>
      <c r="O792" s="31" t="n">
        <v>0</v>
      </c>
      <c r="P792" s="32" t="n"/>
      <c r="Q792" s="32" t="n">
        <v>0</v>
      </c>
      <c r="R792" s="32" t="n">
        <v>0</v>
      </c>
      <c r="S792" s="31" t="n">
        <v>0</v>
      </c>
      <c r="T792" s="32" t="n">
        <v>0</v>
      </c>
      <c r="U792" s="31" t="n">
        <v>0</v>
      </c>
      <c r="V792" s="31" t="n">
        <v>0</v>
      </c>
      <c r="W792" s="3" t="n">
        <v>0</v>
      </c>
      <c r="X792" s="3" t="n">
        <v>0</v>
      </c>
      <c r="Y792" s="32" t="n">
        <v>0</v>
      </c>
      <c r="Z792" s="3" t="n">
        <v>0</v>
      </c>
      <c r="AA792" s="32" t="n">
        <v>0</v>
      </c>
      <c r="AB792" s="3" t="n"/>
      <c r="AC792" s="31" t="n">
        <v>0</v>
      </c>
      <c r="AD792" s="2" t="n">
        <v>0</v>
      </c>
      <c r="AE792" s="2" t="n">
        <v>0</v>
      </c>
      <c r="AF792" s="4" t="n">
        <v>0</v>
      </c>
      <c r="AG792" s="33" t="n">
        <v>12.98</v>
      </c>
      <c r="AH792" s="4" t="n">
        <v>1</v>
      </c>
      <c r="AI792" s="34" t="n"/>
      <c r="AJ792" s="34" t="n">
        <v>1</v>
      </c>
      <c r="AK792" s="2" t="n">
        <v>13500</v>
      </c>
      <c r="AL792" t="inlineStr">
        <is>
          <t>Published</t>
        </is>
      </c>
    </row>
    <row r="793">
      <c r="A793">
        <f>HYPERLINK("https://www.walmart.com/ip/294904966", "294904966")</f>
        <v/>
      </c>
      <c r="B793">
        <f>HYPERLINK("https://app.optiwise.ai/catalog/itemdetails/362366", "Insulated Lunch Box for Women Men, Leakproof Thermal Reusable Lunch Bag with 2 Zipper Pockets for Adult &amp; Kids, Lunch Bag Cooler Tote for Office Work")</f>
        <v/>
      </c>
      <c r="C793" t="inlineStr">
        <is>
          <t>1WMLB705GYNG</t>
        </is>
      </c>
      <c r="D793" t="inlineStr">
        <is>
          <t>Home Decor, Kitchen, &amp; Other</t>
        </is>
      </c>
      <c r="E793" t="inlineStr">
        <is>
          <t>Reusable Lunch Bags &amp; Boxes</t>
        </is>
      </c>
      <c r="F793" t="inlineStr">
        <is>
          <t>Flyingstar</t>
        </is>
      </c>
      <c r="G793" t="n">
        <v>0</v>
      </c>
      <c r="H793" t="n">
        <v>0</v>
      </c>
      <c r="I793" t="inlineStr">
        <is>
          <t>Q2-Target,Lunch Bag</t>
        </is>
      </c>
      <c r="J793" s="29" t="n">
        <v>12.98</v>
      </c>
      <c r="K793" s="30" t="n">
        <v>0.0001</v>
      </c>
      <c r="L793" s="29" t="n">
        <v>0</v>
      </c>
      <c r="M793" s="29" t="n">
        <v>0</v>
      </c>
      <c r="N793" s="2" t="n">
        <v>1</v>
      </c>
      <c r="O793" s="31" t="n">
        <v>0</v>
      </c>
      <c r="P793" s="32" t="n"/>
      <c r="Q793" s="32" t="n">
        <v>0</v>
      </c>
      <c r="R793" s="32" t="n">
        <v>0</v>
      </c>
      <c r="S793" s="31" t="n">
        <v>0</v>
      </c>
      <c r="T793" s="32" t="n">
        <v>0</v>
      </c>
      <c r="U793" s="31" t="n">
        <v>0</v>
      </c>
      <c r="V793" s="31" t="n">
        <v>0</v>
      </c>
      <c r="W793" s="3" t="n">
        <v>0</v>
      </c>
      <c r="X793" s="3" t="n">
        <v>0</v>
      </c>
      <c r="Y793" s="32" t="n">
        <v>0</v>
      </c>
      <c r="Z793" s="3" t="n">
        <v>0</v>
      </c>
      <c r="AA793" s="32" t="n">
        <v>0</v>
      </c>
      <c r="AB793" s="3" t="n"/>
      <c r="AC793" s="31" t="n">
        <v>0</v>
      </c>
      <c r="AD793" s="2" t="n">
        <v>0</v>
      </c>
      <c r="AE793" s="2" t="n">
        <v>48</v>
      </c>
      <c r="AF793" s="4" t="n">
        <v>48</v>
      </c>
      <c r="AG793" s="33" t="n">
        <v>12.98</v>
      </c>
      <c r="AH793" s="4" t="n">
        <v>1</v>
      </c>
      <c r="AI793" s="34" t="n">
        <v>0.0208</v>
      </c>
      <c r="AJ793" s="34" t="n">
        <v>1</v>
      </c>
      <c r="AK793" s="2" t="n">
        <v>13500</v>
      </c>
      <c r="AL793" t="inlineStr">
        <is>
          <t>Published</t>
        </is>
      </c>
    </row>
    <row r="794">
      <c r="A794">
        <f>HYPERLINK("https://www.walmart.com/ip/396849759", "396849759")</f>
        <v/>
      </c>
      <c r="B794">
        <f>HYPERLINK("https://app.optiwise.ai/catalog/itemdetails/361556", "Sherpa Slipper Socks for Women,Winter Indoor Home Non Skid Booties")</f>
        <v/>
      </c>
      <c r="C794" t="inlineStr">
        <is>
          <t>1CTST200LBL-2</t>
        </is>
      </c>
      <c r="D794" t="inlineStr">
        <is>
          <t>Clothing</t>
        </is>
      </c>
      <c r="E794" t="inlineStr">
        <is>
          <t>Socks</t>
        </is>
      </c>
      <c r="F794" t="inlineStr">
        <is>
          <t>Catalonia</t>
        </is>
      </c>
      <c r="G794" t="n">
        <v>0</v>
      </c>
      <c r="H794" t="n">
        <v>0</v>
      </c>
      <c r="I794" t="inlineStr">
        <is>
          <t>WFS,WFS Item</t>
        </is>
      </c>
      <c r="J794" s="29" t="n">
        <v>12.98</v>
      </c>
      <c r="K794" s="30" t="n">
        <v>0.0001</v>
      </c>
      <c r="L794" s="29" t="n">
        <v>0</v>
      </c>
      <c r="M794" s="29" t="n">
        <v>0</v>
      </c>
      <c r="N794" s="2" t="n">
        <v>1</v>
      </c>
      <c r="O794" s="31" t="n">
        <v>0</v>
      </c>
      <c r="P794" s="32" t="n"/>
      <c r="Q794" s="32" t="n">
        <v>0</v>
      </c>
      <c r="R794" s="32" t="n">
        <v>0</v>
      </c>
      <c r="S794" s="31" t="n">
        <v>0</v>
      </c>
      <c r="T794" s="32" t="n">
        <v>0</v>
      </c>
      <c r="U794" s="31" t="n">
        <v>0</v>
      </c>
      <c r="V794" s="31" t="n">
        <v>0</v>
      </c>
      <c r="W794" s="3" t="n">
        <v>0</v>
      </c>
      <c r="X794" s="3" t="n">
        <v>0</v>
      </c>
      <c r="Y794" s="32" t="n">
        <v>0</v>
      </c>
      <c r="Z794" s="3" t="n">
        <v>0</v>
      </c>
      <c r="AA794" s="32" t="n">
        <v>0</v>
      </c>
      <c r="AB794" s="3" t="n"/>
      <c r="AC794" s="31" t="n">
        <v>0</v>
      </c>
      <c r="AD794" s="2" t="n">
        <v>0</v>
      </c>
      <c r="AE794" s="2" t="n">
        <v>7</v>
      </c>
      <c r="AF794" s="4" t="n">
        <v>7</v>
      </c>
      <c r="AG794" s="33" t="n">
        <v>12.98</v>
      </c>
      <c r="AH794" s="4" t="n">
        <v>1</v>
      </c>
      <c r="AI794" s="34" t="n">
        <v>0.1429</v>
      </c>
      <c r="AJ794" s="34" t="n">
        <v>1</v>
      </c>
      <c r="AK794" s="2" t="n">
        <v>13500</v>
      </c>
      <c r="AL794" t="inlineStr">
        <is>
          <t>Published</t>
        </is>
      </c>
    </row>
    <row r="795">
      <c r="A795">
        <f>HYPERLINK("https://www.walmart.com/ip/164859298", "164859298")</f>
        <v/>
      </c>
      <c r="B795">
        <f>HYPERLINK("https://app.optiwise.ai/catalog/itemdetails/361067", "Tirrinia Women's Halter Tankini Set Two Pieces Padded Bathing Suits Swimsuit, XLarge Size, Black")</f>
        <v/>
      </c>
      <c r="C795" t="inlineStr">
        <is>
          <t>1TRSS002BK-XL</t>
        </is>
      </c>
      <c r="D795" t="inlineStr">
        <is>
          <t>Clothing</t>
        </is>
      </c>
      <c r="E795" t="inlineStr">
        <is>
          <t>Swimsuit Sets</t>
        </is>
      </c>
      <c r="F795" t="inlineStr">
        <is>
          <t>Tirrinia</t>
        </is>
      </c>
      <c r="G795" t="n">
        <v>3</v>
      </c>
      <c r="H795" t="n">
        <v>2</v>
      </c>
      <c r="I795" t="inlineStr">
        <is>
          <t>Batch 1 - TR</t>
        </is>
      </c>
      <c r="J795" s="29" t="n">
        <v>12.98</v>
      </c>
      <c r="K795" s="30" t="n">
        <v>0.0001</v>
      </c>
      <c r="L795" s="29" t="n">
        <v>25.95999908447266</v>
      </c>
      <c r="M795" s="29" t="n">
        <v>0</v>
      </c>
      <c r="N795" s="2" t="n">
        <v>1</v>
      </c>
      <c r="O795" s="31" t="n">
        <v>0</v>
      </c>
      <c r="P795" s="32" t="n"/>
      <c r="Q795" s="32" t="n">
        <v>0</v>
      </c>
      <c r="R795" s="32" t="n">
        <v>0</v>
      </c>
      <c r="S795" s="31" t="n">
        <v>0</v>
      </c>
      <c r="T795" s="32" t="n">
        <v>0</v>
      </c>
      <c r="U795" s="31" t="n">
        <v>0</v>
      </c>
      <c r="V795" s="31" t="n">
        <v>0</v>
      </c>
      <c r="W795" s="3" t="n">
        <v>0</v>
      </c>
      <c r="X795" s="3" t="n">
        <v>0</v>
      </c>
      <c r="Y795" s="32" t="n">
        <v>0</v>
      </c>
      <c r="Z795" s="3" t="n">
        <v>0</v>
      </c>
      <c r="AA795" s="32" t="n">
        <v>0</v>
      </c>
      <c r="AB795" s="3" t="n"/>
      <c r="AC795" s="31" t="n">
        <v>0</v>
      </c>
      <c r="AD795" s="2" t="n">
        <v>0</v>
      </c>
      <c r="AE795" s="2" t="n">
        <v>8</v>
      </c>
      <c r="AF795" s="4" t="n">
        <v>8</v>
      </c>
      <c r="AG795" s="33" t="n">
        <v>12.98</v>
      </c>
      <c r="AH795" s="4" t="n">
        <v>1</v>
      </c>
      <c r="AI795" s="34" t="n">
        <v>0.125</v>
      </c>
      <c r="AJ795" s="34" t="n">
        <v>1</v>
      </c>
      <c r="AK795" s="2" t="n">
        <v>0</v>
      </c>
      <c r="AL795" t="inlineStr">
        <is>
          <t>Published</t>
        </is>
      </c>
    </row>
    <row r="796">
      <c r="A796">
        <f>HYPERLINK("https://www.walmart.com/ip/159141420", "159141420")</f>
        <v/>
      </c>
      <c r="B796">
        <f>HYPERLINK("https://app.optiwise.ai/catalog/itemdetails/360894", "Tirrinia Single Wine Tote Bag, Insulated Padded Thermal Wine Bottle Carrying Cooler Carrier for Travel, Picnic, Perfect Gift for Wine Lover, Blue Stripe")</f>
        <v/>
      </c>
      <c r="C796" t="inlineStr">
        <is>
          <t>1KTWB100STR</t>
        </is>
      </c>
      <c r="D796" t="inlineStr">
        <is>
          <t>Home Decor, Kitchen, &amp; Other</t>
        </is>
      </c>
      <c r="E796" t="inlineStr">
        <is>
          <t>Wine Totes, Bags &amp; Backpacks</t>
        </is>
      </c>
      <c r="F796" t="inlineStr">
        <is>
          <t>Tirrinia</t>
        </is>
      </c>
      <c r="G796" t="n">
        <v>0</v>
      </c>
      <c r="H796" t="n">
        <v>0</v>
      </c>
      <c r="I796" t="inlineStr">
        <is>
          <t>Wine,Wine Bag Camp,Christmas,Optimized,Wine WFS,Valentine,SEM</t>
        </is>
      </c>
      <c r="J796" s="29" t="n">
        <v>11.99</v>
      </c>
      <c r="K796" s="30" t="n">
        <v>0.0001</v>
      </c>
      <c r="L796" s="29" t="n">
        <v>0</v>
      </c>
      <c r="M796" s="29" t="n">
        <v>0</v>
      </c>
      <c r="N796" s="2" t="n">
        <v>1</v>
      </c>
      <c r="O796" s="31" t="n">
        <v>17.5</v>
      </c>
      <c r="P796" s="32" t="n">
        <v>0.0021</v>
      </c>
      <c r="Q796" s="32" t="n">
        <v>1.4595</v>
      </c>
      <c r="R796" s="32" t="n">
        <v>0.1318</v>
      </c>
      <c r="S796" s="31" t="n">
        <v>2.17</v>
      </c>
      <c r="T796" s="32" t="n">
        <v>0.46</v>
      </c>
      <c r="U796" s="31" t="n">
        <v>37.97</v>
      </c>
      <c r="V796" s="31" t="n">
        <v>11.99</v>
      </c>
      <c r="W796" s="3" t="n">
        <v>14505</v>
      </c>
      <c r="X796" s="3" t="n">
        <v>29</v>
      </c>
      <c r="Y796" s="32" t="n">
        <v>0.002</v>
      </c>
      <c r="Z796" s="3" t="n">
        <v>3</v>
      </c>
      <c r="AA796" s="32" t="n">
        <v>0.1034</v>
      </c>
      <c r="AB796" s="3" t="inlineStr">
        <is>
          <t>Auto Campaign_Vinay</t>
        </is>
      </c>
      <c r="AC796" s="31" t="n">
        <v>0.6</v>
      </c>
      <c r="AD796" s="2" t="n">
        <v>0</v>
      </c>
      <c r="AE796" s="2" t="n">
        <v>41</v>
      </c>
      <c r="AF796" s="4" t="n">
        <v>12</v>
      </c>
      <c r="AG796" s="33" t="n">
        <v>-25.98</v>
      </c>
      <c r="AH796" s="4" t="n">
        <v>-2</v>
      </c>
      <c r="AI796" s="34" t="n">
        <v>-0.1667</v>
      </c>
      <c r="AJ796" s="34" t="n">
        <v>-2.1668</v>
      </c>
      <c r="AK796" s="2" t="n">
        <v>13500</v>
      </c>
      <c r="AL796" t="inlineStr">
        <is>
          <t>Published</t>
        </is>
      </c>
    </row>
    <row r="797">
      <c r="A797">
        <f>HYPERLINK("https://www.walmart.com/ip/891228357", "891228357")</f>
        <v/>
      </c>
      <c r="B797">
        <f>HYPERLINK("https://app.optiwise.ai/catalog/itemdetails/360963", "Tirrinia Outdoor Boonie Sun Protection Hat, Mesh Bucket Hat with Wide Brim, Camping, Hiking, Fishing, Hunting, Boating, Safari Cap with Adjustable Drawstring, Gray")</f>
        <v/>
      </c>
      <c r="C797" t="inlineStr">
        <is>
          <t>KC-S9154-GY</t>
        </is>
      </c>
      <c r="D797" t="inlineStr">
        <is>
          <t>Clothing</t>
        </is>
      </c>
      <c r="E797" t="inlineStr">
        <is>
          <t>Hats</t>
        </is>
      </c>
      <c r="F797" t="inlineStr">
        <is>
          <t>Sun Blocker</t>
        </is>
      </c>
      <c r="G797" t="n">
        <v>4.3</v>
      </c>
      <c r="H797" t="n">
        <v>60</v>
      </c>
      <c r="I797" t="inlineStr">
        <is>
          <t>Q2-Target,WFS,Hats,WFS Item</t>
        </is>
      </c>
      <c r="J797" s="29" t="n">
        <v>11.98</v>
      </c>
      <c r="K797" s="30" t="n">
        <v>0.0001</v>
      </c>
      <c r="L797" s="29" t="n">
        <v>23.95999908447266</v>
      </c>
      <c r="M797" s="29" t="n">
        <v>0</v>
      </c>
      <c r="N797" s="2" t="n">
        <v>1</v>
      </c>
      <c r="O797" s="31" t="n">
        <v>0</v>
      </c>
      <c r="P797" s="32" t="n"/>
      <c r="Q797" s="32" t="n">
        <v>0</v>
      </c>
      <c r="R797" s="32" t="n">
        <v>0</v>
      </c>
      <c r="S797" s="31" t="n">
        <v>0</v>
      </c>
      <c r="T797" s="32" t="n">
        <v>0</v>
      </c>
      <c r="U797" s="31" t="n">
        <v>0</v>
      </c>
      <c r="V797" s="31" t="n">
        <v>0</v>
      </c>
      <c r="W797" s="3" t="n">
        <v>0</v>
      </c>
      <c r="X797" s="3" t="n">
        <v>0</v>
      </c>
      <c r="Y797" s="32" t="n">
        <v>0</v>
      </c>
      <c r="Z797" s="3" t="n">
        <v>0</v>
      </c>
      <c r="AA797" s="32" t="n">
        <v>0</v>
      </c>
      <c r="AB797" s="3" t="n"/>
      <c r="AC797" s="31" t="n">
        <v>0</v>
      </c>
      <c r="AD797" s="2" t="n">
        <v>0</v>
      </c>
      <c r="AE797" s="2" t="n">
        <v>59</v>
      </c>
      <c r="AF797" s="4" t="n">
        <v>59</v>
      </c>
      <c r="AG797" s="33" t="n">
        <v>11.98</v>
      </c>
      <c r="AH797" s="4" t="n">
        <v>1</v>
      </c>
      <c r="AI797" s="34" t="n">
        <v>0.0169</v>
      </c>
      <c r="AJ797" s="34" t="n">
        <v>1</v>
      </c>
      <c r="AK797" s="2" t="n">
        <v>13500</v>
      </c>
      <c r="AL797" t="inlineStr">
        <is>
          <t>Published</t>
        </is>
      </c>
    </row>
    <row r="798">
      <c r="A798">
        <f>HYPERLINK("https://www.walmart.com/ip/142323341", "142323341")</f>
        <v/>
      </c>
      <c r="B798">
        <f>HYPERLINK("https://app.optiwise.ai/catalog/itemdetails/362303", "Terra Faux Fur Pom Pom Beanie Hat Thick Slouchy Cable Knit Unisex Stretches to Fit Most")</f>
        <v/>
      </c>
      <c r="C798" t="inlineStr">
        <is>
          <t>TERRAPPH02PK</t>
        </is>
      </c>
      <c r="D798" t="inlineStr">
        <is>
          <t>Clothing</t>
        </is>
      </c>
      <c r="E798" t="inlineStr">
        <is>
          <t>Hats</t>
        </is>
      </c>
      <c r="F798" t="inlineStr">
        <is>
          <t>Terra</t>
        </is>
      </c>
      <c r="G798" t="n">
        <v>0</v>
      </c>
      <c r="H798" t="n">
        <v>0</v>
      </c>
      <c r="I798" t="inlineStr">
        <is>
          <t>Optimized</t>
        </is>
      </c>
      <c r="J798" s="29" t="n">
        <v>11.98</v>
      </c>
      <c r="K798" s="30" t="n">
        <v>0.0001</v>
      </c>
      <c r="L798" s="29" t="n">
        <v>0</v>
      </c>
      <c r="M798" s="29" t="n">
        <v>0</v>
      </c>
      <c r="N798" s="2" t="n">
        <v>2</v>
      </c>
      <c r="O798" s="31" t="n">
        <v>0</v>
      </c>
      <c r="P798" s="32" t="n"/>
      <c r="Q798" s="32" t="n">
        <v>0</v>
      </c>
      <c r="R798" s="32" t="n">
        <v>0</v>
      </c>
      <c r="S798" s="31" t="n">
        <v>0</v>
      </c>
      <c r="T798" s="32" t="n">
        <v>0</v>
      </c>
      <c r="U798" s="31" t="n">
        <v>0</v>
      </c>
      <c r="V798" s="31" t="n">
        <v>0</v>
      </c>
      <c r="W798" s="3" t="n">
        <v>0</v>
      </c>
      <c r="X798" s="3" t="n">
        <v>0</v>
      </c>
      <c r="Y798" s="32" t="n">
        <v>0</v>
      </c>
      <c r="Z798" s="3" t="n">
        <v>0</v>
      </c>
      <c r="AA798" s="32" t="n">
        <v>0</v>
      </c>
      <c r="AB798" s="3" t="n"/>
      <c r="AC798" s="31" t="n">
        <v>0</v>
      </c>
      <c r="AD798" s="2" t="n">
        <v>0</v>
      </c>
      <c r="AE798" s="2" t="n">
        <v>10</v>
      </c>
      <c r="AF798" s="4" t="n">
        <v>10</v>
      </c>
      <c r="AG798" s="33" t="n">
        <v>11.98</v>
      </c>
      <c r="AH798" s="4" t="n">
        <v>2</v>
      </c>
      <c r="AI798" s="34" t="n">
        <v>0.2</v>
      </c>
      <c r="AJ798" s="34" t="n">
        <v>1</v>
      </c>
      <c r="AK798" s="2" t="n">
        <v>6750</v>
      </c>
      <c r="AL798" t="inlineStr">
        <is>
          <t>Published</t>
        </is>
      </c>
    </row>
    <row r="799">
      <c r="A799">
        <f>HYPERLINK("https://www.walmart.com/ip/186555220", "186555220")</f>
        <v/>
      </c>
      <c r="B799">
        <f>HYPERLINK("https://app.optiwise.ai/catalog/itemdetails/362171", "KC Caps Men's Vintage Style Cotton Gatsby Ivy Newsboy Hat, Cap for Camping,Travelling, and Hiking, Large")</f>
        <v/>
      </c>
      <c r="C799" t="inlineStr">
        <is>
          <t>KC 8080GATSBY-BL-L</t>
        </is>
      </c>
      <c r="D799" t="inlineStr">
        <is>
          <t>Clothing</t>
        </is>
      </c>
      <c r="E799" t="inlineStr">
        <is>
          <t>Hats</t>
        </is>
      </c>
      <c r="F799" t="inlineStr">
        <is>
          <t>KC Caps</t>
        </is>
      </c>
      <c r="G799" t="n">
        <v>3.7</v>
      </c>
      <c r="H799" t="n">
        <v>11</v>
      </c>
      <c r="I799" t="inlineStr">
        <is>
          <t>Q2-Target,WFS,Hats,WFS Item</t>
        </is>
      </c>
      <c r="J799" s="29" t="n">
        <v>10.99</v>
      </c>
      <c r="K799" s="30" t="n">
        <v>0.0001</v>
      </c>
      <c r="L799" s="29" t="n">
        <v>0</v>
      </c>
      <c r="M799" s="29" t="n">
        <v>0</v>
      </c>
      <c r="N799" s="2" t="n">
        <v>1</v>
      </c>
      <c r="O799" s="31" t="n">
        <v>0</v>
      </c>
      <c r="P799" s="32" t="n"/>
      <c r="Q799" s="32" t="n">
        <v>0</v>
      </c>
      <c r="R799" s="32" t="n">
        <v>0</v>
      </c>
      <c r="S799" s="31" t="n">
        <v>0</v>
      </c>
      <c r="T799" s="32" t="n">
        <v>0</v>
      </c>
      <c r="U799" s="31" t="n">
        <v>0</v>
      </c>
      <c r="V799" s="31" t="n">
        <v>0</v>
      </c>
      <c r="W799" s="3" t="n">
        <v>0</v>
      </c>
      <c r="X799" s="3" t="n">
        <v>0</v>
      </c>
      <c r="Y799" s="32" t="n">
        <v>0</v>
      </c>
      <c r="Z799" s="3" t="n">
        <v>0</v>
      </c>
      <c r="AA799" s="32" t="n">
        <v>0</v>
      </c>
      <c r="AB799" s="3" t="n"/>
      <c r="AC799" s="31" t="n">
        <v>0</v>
      </c>
      <c r="AD799" s="2" t="n">
        <v>0</v>
      </c>
      <c r="AE799" s="2" t="n">
        <v>23</v>
      </c>
      <c r="AF799" s="4" t="n">
        <v>23</v>
      </c>
      <c r="AG799" s="33" t="n">
        <v>10.99</v>
      </c>
      <c r="AH799" s="4" t="n">
        <v>1</v>
      </c>
      <c r="AI799" s="34" t="n">
        <v>0.0435</v>
      </c>
      <c r="AJ799" s="34" t="n">
        <v>1</v>
      </c>
      <c r="AK799" s="2" t="n">
        <v>0</v>
      </c>
      <c r="AL799" t="inlineStr">
        <is>
          <t>Published</t>
        </is>
      </c>
    </row>
    <row r="800">
      <c r="A800">
        <f>HYPERLINK("https://www.walmart.com/ip/590343293", "590343293")</f>
        <v/>
      </c>
      <c r="B800">
        <f>HYPERLINK("https://app.optiwise.ai/catalog/itemdetails/362654", "JenniWears 2 Women Beileise Sexy Top Thigh High Stockings+ Garter Belt Suspender")</f>
        <v/>
      </c>
      <c r="C800" t="inlineStr">
        <is>
          <t>JWBLSPH2011-2 Packs</t>
        </is>
      </c>
      <c r="D800" t="inlineStr">
        <is>
          <t>Clothing</t>
        </is>
      </c>
      <c r="E800" t="inlineStr">
        <is>
          <t>Pantyhose &amp; Tights</t>
        </is>
      </c>
      <c r="F800" t="inlineStr">
        <is>
          <t>JenniWears</t>
        </is>
      </c>
      <c r="G800" t="n">
        <v>0</v>
      </c>
      <c r="H800" t="n">
        <v>0</v>
      </c>
      <c r="I800" t="inlineStr">
        <is>
          <t>Valentine</t>
        </is>
      </c>
      <c r="J800" s="29" t="n">
        <v>10.99</v>
      </c>
      <c r="K800" s="30" t="n">
        <v>0.0001</v>
      </c>
      <c r="L800" s="29" t="n">
        <v>0</v>
      </c>
      <c r="M800" s="29" t="n">
        <v>0</v>
      </c>
      <c r="N800" s="2" t="n">
        <v>1</v>
      </c>
      <c r="O800" s="31" t="n">
        <v>0</v>
      </c>
      <c r="P800" s="32" t="n"/>
      <c r="Q800" s="32" t="n">
        <v>0</v>
      </c>
      <c r="R800" s="32" t="n">
        <v>0</v>
      </c>
      <c r="S800" s="31" t="n">
        <v>0</v>
      </c>
      <c r="T800" s="32" t="n">
        <v>0</v>
      </c>
      <c r="U800" s="31" t="n">
        <v>0</v>
      </c>
      <c r="V800" s="31" t="n">
        <v>0</v>
      </c>
      <c r="W800" s="3" t="n">
        <v>0</v>
      </c>
      <c r="X800" s="3" t="n">
        <v>0</v>
      </c>
      <c r="Y800" s="32" t="n">
        <v>0</v>
      </c>
      <c r="Z800" s="3" t="n">
        <v>0</v>
      </c>
      <c r="AA800" s="32" t="n">
        <v>0</v>
      </c>
      <c r="AB800" s="3" t="n"/>
      <c r="AC800" s="31" t="n">
        <v>0</v>
      </c>
      <c r="AD800" s="2" t="n">
        <v>0</v>
      </c>
      <c r="AE800" s="2" t="n">
        <v>40</v>
      </c>
      <c r="AF800" s="4" t="n">
        <v>40</v>
      </c>
      <c r="AG800" s="33" t="n">
        <v>10.99</v>
      </c>
      <c r="AH800" s="4" t="n">
        <v>1</v>
      </c>
      <c r="AI800" s="34" t="n">
        <v>0.025</v>
      </c>
      <c r="AJ800" s="34" t="n">
        <v>1</v>
      </c>
      <c r="AK800" s="2" t="n">
        <v>13500</v>
      </c>
      <c r="AL800" t="inlineStr">
        <is>
          <t>Published</t>
        </is>
      </c>
    </row>
    <row r="801">
      <c r="A801">
        <f>HYPERLINK("https://www.walmart.com/ip/649477384", "649477384")</f>
        <v/>
      </c>
      <c r="B801">
        <f>HYPERLINK("https://app.optiwise.ai/catalog/itemdetails/361217", "Mens Underwear Mens Boxer Briefs with Elastic Waistband Solid New Classic Fit, 3 Pack by Terra")</f>
        <v/>
      </c>
      <c r="C801" t="inlineStr">
        <is>
          <t>TERRA-BOXER4-M</t>
        </is>
      </c>
      <c r="D801" t="inlineStr">
        <is>
          <t>Clothing</t>
        </is>
      </c>
      <c r="E801" t="inlineStr">
        <is>
          <t>Underpants</t>
        </is>
      </c>
      <c r="F801" t="inlineStr">
        <is>
          <t>Terra</t>
        </is>
      </c>
      <c r="G801" t="n">
        <v>3.6</v>
      </c>
      <c r="H801" t="n">
        <v>7</v>
      </c>
      <c r="I801" t="inlineStr">
        <is>
          <t>Batch 1 - TR</t>
        </is>
      </c>
      <c r="J801" s="29" t="n">
        <v>10.99</v>
      </c>
      <c r="K801" s="30" t="n">
        <v>0.0001</v>
      </c>
      <c r="L801" s="29" t="n">
        <v>21.97999954223633</v>
      </c>
      <c r="M801" s="29" t="n">
        <v>0</v>
      </c>
      <c r="N801" s="2" t="n">
        <v>1</v>
      </c>
      <c r="O801" s="31" t="n">
        <v>0</v>
      </c>
      <c r="P801" s="32" t="n"/>
      <c r="Q801" s="32" t="n">
        <v>0</v>
      </c>
      <c r="R801" s="32" t="n">
        <v>0</v>
      </c>
      <c r="S801" s="31" t="n">
        <v>0</v>
      </c>
      <c r="T801" s="32" t="n">
        <v>0</v>
      </c>
      <c r="U801" s="31" t="n">
        <v>0</v>
      </c>
      <c r="V801" s="31" t="n">
        <v>0</v>
      </c>
      <c r="W801" s="3" t="n">
        <v>0</v>
      </c>
      <c r="X801" s="3" t="n">
        <v>0</v>
      </c>
      <c r="Y801" s="32" t="n">
        <v>0</v>
      </c>
      <c r="Z801" s="3" t="n">
        <v>0</v>
      </c>
      <c r="AA801" s="32" t="n">
        <v>0</v>
      </c>
      <c r="AB801" s="3" t="n"/>
      <c r="AC801" s="31" t="n">
        <v>0</v>
      </c>
      <c r="AD801" s="2" t="n">
        <v>0</v>
      </c>
      <c r="AE801" s="2" t="n">
        <v>19</v>
      </c>
      <c r="AF801" s="4" t="n">
        <v>19</v>
      </c>
      <c r="AG801" s="33" t="n">
        <v>10.99</v>
      </c>
      <c r="AH801" s="4" t="n">
        <v>1</v>
      </c>
      <c r="AI801" s="34" t="n">
        <v>0.0526</v>
      </c>
      <c r="AJ801" s="34" t="n">
        <v>1</v>
      </c>
      <c r="AK801" s="2" t="n">
        <v>945</v>
      </c>
      <c r="AL801" t="inlineStr">
        <is>
          <t>Published</t>
        </is>
      </c>
    </row>
    <row r="802">
      <c r="A802">
        <f>HYPERLINK("https://www.walmart.com/ip/908596766", "908596766")</f>
        <v/>
      </c>
      <c r="B802">
        <f>HYPERLINK("https://app.optiwise.ai/catalog/itemdetails/362826", "Jennis 2 Women's Beileise  Sexy Crotchless Suspender Pantyhose Stockings Black")</f>
        <v/>
      </c>
      <c r="C802" t="inlineStr">
        <is>
          <t>JWBLSPH2028-2 Packs</t>
        </is>
      </c>
      <c r="D802" t="inlineStr">
        <is>
          <t>Clothing</t>
        </is>
      </c>
      <c r="E802" t="inlineStr">
        <is>
          <t>Pantyhose &amp; Tights</t>
        </is>
      </c>
      <c r="F802" t="inlineStr">
        <is>
          <t>JenniWears</t>
        </is>
      </c>
      <c r="G802" t="n">
        <v>0</v>
      </c>
      <c r="H802" t="n">
        <v>0</v>
      </c>
      <c r="I802" t="inlineStr">
        <is>
          <t>WFS,Valentine,WFS Item</t>
        </is>
      </c>
      <c r="J802" s="29" t="n">
        <v>10.09</v>
      </c>
      <c r="K802" s="30" t="n">
        <v>0.0001</v>
      </c>
      <c r="L802" s="29" t="n">
        <v>10.09000015258789</v>
      </c>
      <c r="M802" s="29" t="n">
        <v>0</v>
      </c>
      <c r="N802" s="2" t="n">
        <v>1</v>
      </c>
      <c r="O802" s="31" t="n">
        <v>0</v>
      </c>
      <c r="P802" s="32" t="n"/>
      <c r="Q802" s="32" t="n">
        <v>0</v>
      </c>
      <c r="R802" s="32" t="n">
        <v>0</v>
      </c>
      <c r="S802" s="31" t="n">
        <v>0</v>
      </c>
      <c r="T802" s="32" t="n">
        <v>0</v>
      </c>
      <c r="U802" s="31" t="n">
        <v>0</v>
      </c>
      <c r="V802" s="31" t="n">
        <v>0</v>
      </c>
      <c r="W802" s="3" t="n">
        <v>0</v>
      </c>
      <c r="X802" s="3" t="n">
        <v>0</v>
      </c>
      <c r="Y802" s="32" t="n">
        <v>0</v>
      </c>
      <c r="Z802" s="3" t="n">
        <v>0</v>
      </c>
      <c r="AA802" s="32" t="n">
        <v>0</v>
      </c>
      <c r="AB802" s="3" t="n"/>
      <c r="AC802" s="31" t="n">
        <v>0</v>
      </c>
      <c r="AD802" s="2" t="n">
        <v>0</v>
      </c>
      <c r="AE802" s="2" t="n">
        <v>17</v>
      </c>
      <c r="AF802" s="4" t="n">
        <v>17</v>
      </c>
      <c r="AG802" s="33" t="n">
        <v>10.09</v>
      </c>
      <c r="AH802" s="4" t="n">
        <v>1</v>
      </c>
      <c r="AI802" s="34" t="n">
        <v>0.0588</v>
      </c>
      <c r="AJ802" s="34" t="n">
        <v>1</v>
      </c>
      <c r="AK802" s="2" t="n">
        <v>0</v>
      </c>
      <c r="AL802" t="inlineStr">
        <is>
          <t>Published</t>
        </is>
      </c>
    </row>
    <row r="803">
      <c r="A803">
        <f>HYPERLINK("https://www.walmart.com/ip/395062607", "395062607")</f>
        <v/>
      </c>
      <c r="B803">
        <f>HYPERLINK("https://app.optiwise.ai/catalog/itemdetails/361367", "Women Floppy Sun Beach Hats w/ Wide Brim Straw Edge Summer UV Protection Foldable Gardening Hiking Cap by Solaris")</f>
        <v/>
      </c>
      <c r="C803" t="inlineStr">
        <is>
          <t>1SLSH371BE</t>
        </is>
      </c>
      <c r="D803" t="inlineStr">
        <is>
          <t>Clothing</t>
        </is>
      </c>
      <c r="E803" t="inlineStr">
        <is>
          <t>Hats</t>
        </is>
      </c>
      <c r="F803" t="inlineStr">
        <is>
          <t>Solaris</t>
        </is>
      </c>
      <c r="G803" t="n">
        <v>0</v>
      </c>
      <c r="H803" t="n">
        <v>0</v>
      </c>
      <c r="I803" t="inlineStr">
        <is>
          <t>Batch 1 - TR</t>
        </is>
      </c>
      <c r="J803" s="29" t="n">
        <v>9.99</v>
      </c>
      <c r="K803" s="30" t="n">
        <v>0.0001</v>
      </c>
      <c r="L803" s="29" t="n">
        <v>0</v>
      </c>
      <c r="M803" s="29" t="n">
        <v>0</v>
      </c>
      <c r="N803" s="2" t="n">
        <v>1</v>
      </c>
      <c r="O803" s="31" t="n">
        <v>0</v>
      </c>
      <c r="P803" s="32" t="n"/>
      <c r="Q803" s="32" t="n">
        <v>0</v>
      </c>
      <c r="R803" s="32" t="n">
        <v>0</v>
      </c>
      <c r="S803" s="31" t="n">
        <v>0</v>
      </c>
      <c r="T803" s="32" t="n">
        <v>0</v>
      </c>
      <c r="U803" s="31" t="n">
        <v>0</v>
      </c>
      <c r="V803" s="31" t="n">
        <v>0</v>
      </c>
      <c r="W803" s="3" t="n">
        <v>0</v>
      </c>
      <c r="X803" s="3" t="n">
        <v>0</v>
      </c>
      <c r="Y803" s="32" t="n">
        <v>0</v>
      </c>
      <c r="Z803" s="3" t="n">
        <v>0</v>
      </c>
      <c r="AA803" s="32" t="n">
        <v>0</v>
      </c>
      <c r="AB803" s="3" t="n"/>
      <c r="AC803" s="31" t="n">
        <v>0</v>
      </c>
      <c r="AD803" s="2" t="n">
        <v>0</v>
      </c>
      <c r="AE803" s="2" t="n">
        <v>7</v>
      </c>
      <c r="AF803" s="4" t="n">
        <v>7</v>
      </c>
      <c r="AG803" s="33" t="n">
        <v>9.99</v>
      </c>
      <c r="AH803" s="4" t="n">
        <v>1</v>
      </c>
      <c r="AI803" s="34" t="n">
        <v>0.1429</v>
      </c>
      <c r="AJ803" s="34" t="n">
        <v>1</v>
      </c>
      <c r="AK803" s="2" t="n">
        <v>13500</v>
      </c>
      <c r="AL803" t="inlineStr">
        <is>
          <t>Published</t>
        </is>
      </c>
    </row>
    <row r="804">
      <c r="A804">
        <f>HYPERLINK("https://www.walmart.com/ip/114442162", "114442162")</f>
        <v/>
      </c>
      <c r="B804">
        <f>HYPERLINK("https://app.optiwise.ai/catalog/itemdetails/362532", "Tirrinia Outdoor Wide Brim Sun Hat for Men Women Bucket Hat Safari Hiking Hunting Boonie Cap Grey")</f>
        <v/>
      </c>
      <c r="C804" t="inlineStr">
        <is>
          <t>1TRSH191GY-TBCB</t>
        </is>
      </c>
      <c r="D804" t="inlineStr">
        <is>
          <t>Clothing</t>
        </is>
      </c>
      <c r="E804" t="inlineStr">
        <is>
          <t>Hats</t>
        </is>
      </c>
      <c r="F804" t="inlineStr">
        <is>
          <t>Sun Blocker</t>
        </is>
      </c>
      <c r="G804" t="n">
        <v>0</v>
      </c>
      <c r="H804" t="n">
        <v>0</v>
      </c>
      <c r="J804" s="29" t="n">
        <v>9.99</v>
      </c>
      <c r="K804" s="30" t="n">
        <v>0.0001</v>
      </c>
      <c r="L804" s="29" t="n">
        <v>9.989999771118164</v>
      </c>
      <c r="M804" s="29" t="n">
        <v>9.989999771118164</v>
      </c>
      <c r="N804" s="2" t="n">
        <v>1</v>
      </c>
      <c r="O804" s="31" t="n">
        <v>0</v>
      </c>
      <c r="P804" s="32" t="n"/>
      <c r="Q804" s="32" t="n">
        <v>0</v>
      </c>
      <c r="R804" s="32" t="n">
        <v>0</v>
      </c>
      <c r="S804" s="31" t="n">
        <v>0</v>
      </c>
      <c r="T804" s="32" t="n">
        <v>0</v>
      </c>
      <c r="U804" s="31" t="n">
        <v>0</v>
      </c>
      <c r="V804" s="31" t="n">
        <v>0</v>
      </c>
      <c r="W804" s="3" t="n">
        <v>0</v>
      </c>
      <c r="X804" s="3" t="n">
        <v>0</v>
      </c>
      <c r="Y804" s="32" t="n">
        <v>0</v>
      </c>
      <c r="Z804" s="3" t="n">
        <v>0</v>
      </c>
      <c r="AA804" s="32" t="n">
        <v>0</v>
      </c>
      <c r="AB804" s="3" t="n"/>
      <c r="AC804" s="31" t="n">
        <v>0</v>
      </c>
      <c r="AD804" s="2" t="n">
        <v>0</v>
      </c>
      <c r="AE804" s="2" t="n">
        <v>27</v>
      </c>
      <c r="AF804" s="4" t="n">
        <v>27</v>
      </c>
      <c r="AG804" s="33" t="n">
        <v>9.99</v>
      </c>
      <c r="AH804" s="4" t="n">
        <v>1</v>
      </c>
      <c r="AI804" s="34" t="n">
        <v>0.037</v>
      </c>
      <c r="AJ804" s="34" t="n">
        <v>1</v>
      </c>
      <c r="AK804" s="2" t="n">
        <v>13500</v>
      </c>
      <c r="AL804" t="inlineStr">
        <is>
          <t>Published</t>
        </is>
      </c>
    </row>
    <row r="805">
      <c r="A805">
        <f>HYPERLINK("https://www.walmart.com/ip/104256747", "104256747")</f>
        <v/>
      </c>
      <c r="B805">
        <f>HYPERLINK("https://app.optiwise.ai/catalog/itemdetails/359306", "Solaris Wide Brim Boonie Sun Protection Hat for Adult, Navy")</f>
        <v/>
      </c>
      <c r="C805" t="inlineStr">
        <is>
          <t>1SLSH895NV</t>
        </is>
      </c>
      <c r="D805" t="inlineStr">
        <is>
          <t>Clothing</t>
        </is>
      </c>
      <c r="E805" t="inlineStr">
        <is>
          <t>Hats</t>
        </is>
      </c>
      <c r="F805" t="inlineStr">
        <is>
          <t>Solaris</t>
        </is>
      </c>
      <c r="G805" t="n">
        <v>5</v>
      </c>
      <c r="H805" t="n">
        <v>1</v>
      </c>
      <c r="I805" t="inlineStr">
        <is>
          <t>Optimized</t>
        </is>
      </c>
      <c r="J805" s="29" t="n">
        <v>9.99</v>
      </c>
      <c r="K805" s="30" t="n">
        <v>0.0001</v>
      </c>
      <c r="L805" s="29" t="n">
        <v>0</v>
      </c>
      <c r="M805" s="29" t="n">
        <v>0</v>
      </c>
      <c r="N805" s="2" t="n">
        <v>1</v>
      </c>
      <c r="O805" s="31" t="n">
        <v>0</v>
      </c>
      <c r="P805" s="32" t="n"/>
      <c r="Q805" s="32" t="n">
        <v>0</v>
      </c>
      <c r="R805" s="32" t="n">
        <v>0</v>
      </c>
      <c r="S805" s="31" t="n">
        <v>0</v>
      </c>
      <c r="T805" s="32" t="n">
        <v>0</v>
      </c>
      <c r="U805" s="31" t="n">
        <v>0</v>
      </c>
      <c r="V805" s="31" t="n">
        <v>0</v>
      </c>
      <c r="W805" s="3" t="n">
        <v>0</v>
      </c>
      <c r="X805" s="3" t="n">
        <v>0</v>
      </c>
      <c r="Y805" s="32" t="n">
        <v>0</v>
      </c>
      <c r="Z805" s="3" t="n">
        <v>0</v>
      </c>
      <c r="AA805" s="32" t="n">
        <v>0</v>
      </c>
      <c r="AB805" s="3" t="n"/>
      <c r="AC805" s="31" t="n">
        <v>0</v>
      </c>
      <c r="AD805" s="2" t="n">
        <v>0</v>
      </c>
      <c r="AE805" s="2" t="n">
        <v>22</v>
      </c>
      <c r="AF805" s="4" t="n">
        <v>22</v>
      </c>
      <c r="AG805" s="33" t="n">
        <v>9.99</v>
      </c>
      <c r="AH805" s="4" t="n">
        <v>1</v>
      </c>
      <c r="AI805" s="34" t="n">
        <v>0.0455</v>
      </c>
      <c r="AJ805" s="34" t="n">
        <v>1</v>
      </c>
      <c r="AK805" s="2" t="n">
        <v>13500</v>
      </c>
      <c r="AL805" t="inlineStr">
        <is>
          <t>Published</t>
        </is>
      </c>
    </row>
    <row r="806">
      <c r="A806">
        <f>HYPERLINK("https://www.walmart.com/ip/668408701", "668408701")</f>
        <v/>
      </c>
      <c r="B806">
        <f>HYPERLINK("https://app.optiwise.ai/catalog/itemdetails/361102", "sun blocker women's sun hat upf 50+ bucket cap packable outdoor travel hat")</f>
        <v/>
      </c>
      <c r="C806" t="inlineStr">
        <is>
          <t>KC-S9200-GR</t>
        </is>
      </c>
      <c r="D806" t="inlineStr">
        <is>
          <t>Clothing</t>
        </is>
      </c>
      <c r="E806" t="inlineStr">
        <is>
          <t>Hats</t>
        </is>
      </c>
      <c r="F806" t="inlineStr">
        <is>
          <t>Sun Blocker</t>
        </is>
      </c>
      <c r="G806" t="n">
        <v>4</v>
      </c>
      <c r="H806" t="n">
        <v>3</v>
      </c>
      <c r="I806" t="inlineStr">
        <is>
          <t>Batch 1 - TR</t>
        </is>
      </c>
      <c r="J806" s="29" t="n">
        <v>9.99</v>
      </c>
      <c r="K806" s="30" t="n">
        <v>0.0001</v>
      </c>
      <c r="L806" s="29" t="n">
        <v>9.989999771118164</v>
      </c>
      <c r="M806" s="29" t="n">
        <v>0</v>
      </c>
      <c r="N806" s="2" t="n">
        <v>1</v>
      </c>
      <c r="O806" s="31" t="n">
        <v>0</v>
      </c>
      <c r="P806" s="32" t="n"/>
      <c r="Q806" s="32" t="n">
        <v>0</v>
      </c>
      <c r="R806" s="32" t="n">
        <v>0</v>
      </c>
      <c r="S806" s="31" t="n">
        <v>0</v>
      </c>
      <c r="T806" s="32" t="n">
        <v>0</v>
      </c>
      <c r="U806" s="31" t="n">
        <v>0</v>
      </c>
      <c r="V806" s="31" t="n">
        <v>0</v>
      </c>
      <c r="W806" s="3" t="n">
        <v>0</v>
      </c>
      <c r="X806" s="3" t="n">
        <v>0</v>
      </c>
      <c r="Y806" s="32" t="n">
        <v>0</v>
      </c>
      <c r="Z806" s="3" t="n">
        <v>0</v>
      </c>
      <c r="AA806" s="32" t="n">
        <v>0</v>
      </c>
      <c r="AB806" s="3" t="n"/>
      <c r="AC806" s="31" t="n">
        <v>0</v>
      </c>
      <c r="AD806" s="2" t="n">
        <v>0</v>
      </c>
      <c r="AE806" s="2" t="n">
        <v>27</v>
      </c>
      <c r="AF806" s="4" t="n">
        <v>27</v>
      </c>
      <c r="AG806" s="33" t="n">
        <v>9.99</v>
      </c>
      <c r="AH806" s="4" t="n">
        <v>1</v>
      </c>
      <c r="AI806" s="34" t="n">
        <v>0.037</v>
      </c>
      <c r="AJ806" s="34" t="n">
        <v>1</v>
      </c>
      <c r="AK806" s="2" t="n">
        <v>13500</v>
      </c>
      <c r="AL806" t="inlineStr">
        <is>
          <t>Published</t>
        </is>
      </c>
    </row>
    <row r="807">
      <c r="A807">
        <f>HYPERLINK("https://www.walmart.com/ip/895465836", "895465836")</f>
        <v/>
      </c>
      <c r="B807">
        <f>HYPERLINK("https://app.optiwise.ai/catalog/itemdetails/361393", "Tirrinia Wide Brim Sun Hats Safari Fishing Boonie Cap for Adults and Teens, Unisex, Navy")</f>
        <v/>
      </c>
      <c r="C807" t="inlineStr">
        <is>
          <t>1TRSH191NV-TBCB</t>
        </is>
      </c>
      <c r="D807" t="inlineStr">
        <is>
          <t>Clothing</t>
        </is>
      </c>
      <c r="E807" t="inlineStr">
        <is>
          <t>Hats</t>
        </is>
      </c>
      <c r="F807" t="inlineStr">
        <is>
          <t>Sun Blocker</t>
        </is>
      </c>
      <c r="G807" t="n">
        <v>4.3</v>
      </c>
      <c r="H807" t="n">
        <v>61</v>
      </c>
      <c r="I807" t="inlineStr">
        <is>
          <t>Q2-Target</t>
        </is>
      </c>
      <c r="J807" s="29" t="n">
        <v>9.99</v>
      </c>
      <c r="K807" s="30" t="n">
        <v>0.0001</v>
      </c>
      <c r="L807" s="29" t="n">
        <v>9.989999771118164</v>
      </c>
      <c r="M807" s="29" t="n">
        <v>0</v>
      </c>
      <c r="N807" s="2" t="n">
        <v>1</v>
      </c>
      <c r="O807" s="31" t="n">
        <v>0</v>
      </c>
      <c r="P807" s="32" t="n"/>
      <c r="Q807" s="32" t="n">
        <v>0</v>
      </c>
      <c r="R807" s="32" t="n">
        <v>0</v>
      </c>
      <c r="S807" s="31" t="n">
        <v>0</v>
      </c>
      <c r="T807" s="32" t="n">
        <v>0</v>
      </c>
      <c r="U807" s="31" t="n">
        <v>0</v>
      </c>
      <c r="V807" s="31" t="n">
        <v>0</v>
      </c>
      <c r="W807" s="3" t="n">
        <v>0</v>
      </c>
      <c r="X807" s="3" t="n">
        <v>0</v>
      </c>
      <c r="Y807" s="32" t="n">
        <v>0</v>
      </c>
      <c r="Z807" s="3" t="n">
        <v>0</v>
      </c>
      <c r="AA807" s="32" t="n">
        <v>0</v>
      </c>
      <c r="AB807" s="3" t="n"/>
      <c r="AC807" s="31" t="n">
        <v>0</v>
      </c>
      <c r="AD807" s="2" t="n">
        <v>0</v>
      </c>
      <c r="AE807" s="2" t="n">
        <v>23</v>
      </c>
      <c r="AF807" s="4" t="n">
        <v>23</v>
      </c>
      <c r="AG807" s="33" t="n">
        <v>9.99</v>
      </c>
      <c r="AH807" s="4" t="n">
        <v>1</v>
      </c>
      <c r="AI807" s="34" t="n">
        <v>0.0435</v>
      </c>
      <c r="AJ807" s="34" t="n">
        <v>1</v>
      </c>
      <c r="AK807" s="2" t="n">
        <v>13500</v>
      </c>
      <c r="AL807" t="inlineStr">
        <is>
          <t>Published</t>
        </is>
      </c>
    </row>
    <row r="808">
      <c r="A808">
        <f>HYPERLINK("https://www.walmart.com/ip/820497117", "820497117")</f>
        <v/>
      </c>
      <c r="B808">
        <f>HYPERLINK("https://app.optiwise.ai/catalog/itemdetails/360562", "Bucket Sun Hat Cute Cap for Women Fashion Fold-up Brim Packable Summer Beach by Solaris")</f>
        <v/>
      </c>
      <c r="C808" t="inlineStr">
        <is>
          <t>1SLSH9200FLWBL-FSCB</t>
        </is>
      </c>
      <c r="D808" t="inlineStr">
        <is>
          <t>Clothing</t>
        </is>
      </c>
      <c r="E808" t="inlineStr">
        <is>
          <t>Hats</t>
        </is>
      </c>
      <c r="F808" t="inlineStr">
        <is>
          <t>Solaris</t>
        </is>
      </c>
      <c r="G808" t="n">
        <v>0</v>
      </c>
      <c r="H808" t="n">
        <v>0</v>
      </c>
      <c r="J808" s="29" t="n">
        <v>9.99</v>
      </c>
      <c r="K808" s="30" t="n">
        <v>0.0001</v>
      </c>
      <c r="L808" s="29" t="n">
        <v>0</v>
      </c>
      <c r="M808" s="29" t="n">
        <v>0</v>
      </c>
      <c r="N808" s="2" t="n">
        <v>1</v>
      </c>
      <c r="O808" s="31" t="n">
        <v>0</v>
      </c>
      <c r="P808" s="32" t="n"/>
      <c r="Q808" s="32" t="n">
        <v>0</v>
      </c>
      <c r="R808" s="32" t="n">
        <v>0</v>
      </c>
      <c r="S808" s="31" t="n">
        <v>0</v>
      </c>
      <c r="T808" s="32" t="n">
        <v>0</v>
      </c>
      <c r="U808" s="31" t="n">
        <v>0</v>
      </c>
      <c r="V808" s="31" t="n">
        <v>0</v>
      </c>
      <c r="W808" s="3" t="n">
        <v>0</v>
      </c>
      <c r="X808" s="3" t="n">
        <v>0</v>
      </c>
      <c r="Y808" s="32" t="n">
        <v>0</v>
      </c>
      <c r="Z808" s="3" t="n">
        <v>0</v>
      </c>
      <c r="AA808" s="32" t="n">
        <v>0</v>
      </c>
      <c r="AB808" s="3" t="n"/>
      <c r="AC808" s="31" t="n">
        <v>0</v>
      </c>
      <c r="AD808" s="2" t="n">
        <v>0</v>
      </c>
      <c r="AE808" s="2" t="n">
        <v>8</v>
      </c>
      <c r="AF808" s="4" t="n">
        <v>8</v>
      </c>
      <c r="AG808" s="33" t="n">
        <v>9.99</v>
      </c>
      <c r="AH808" s="4" t="n">
        <v>1</v>
      </c>
      <c r="AI808" s="34" t="n">
        <v>0.125</v>
      </c>
      <c r="AJ808" s="34" t="n">
        <v>1</v>
      </c>
      <c r="AK808" s="2" t="n">
        <v>13500</v>
      </c>
      <c r="AL808" t="inlineStr">
        <is>
          <t>Published</t>
        </is>
      </c>
    </row>
    <row r="809">
      <c r="A809">
        <f>HYPERLINK("https://www.walmart.com/ip/784406173", "784406173")</f>
        <v/>
      </c>
      <c r="B809">
        <f>HYPERLINK("https://app.optiwise.ai/catalog/itemdetails/361031", "JenniWears 2 Women's Beileise Sexy Pantyhose Lace Stockings Black Sheer Socks")</f>
        <v/>
      </c>
      <c r="C809" t="inlineStr">
        <is>
          <t>JWBLSPH2091-2 Pack</t>
        </is>
      </c>
      <c r="D809" t="inlineStr">
        <is>
          <t>Clothing</t>
        </is>
      </c>
      <c r="E809" t="inlineStr">
        <is>
          <t>Pantyhose &amp; Tights</t>
        </is>
      </c>
      <c r="F809" t="inlineStr">
        <is>
          <t>JenniWears</t>
        </is>
      </c>
      <c r="G809" t="n">
        <v>0</v>
      </c>
      <c r="H809" t="n">
        <v>0</v>
      </c>
      <c r="I809" t="inlineStr">
        <is>
          <t>WFS,Valentine,WFS Item</t>
        </is>
      </c>
      <c r="J809" s="29" t="n">
        <v>9.99</v>
      </c>
      <c r="K809" s="30" t="n">
        <v>0.0001</v>
      </c>
      <c r="L809" s="29" t="n">
        <v>0</v>
      </c>
      <c r="M809" s="29" t="n">
        <v>0</v>
      </c>
      <c r="N809" s="2" t="n">
        <v>1</v>
      </c>
      <c r="O809" s="31" t="n">
        <v>0</v>
      </c>
      <c r="P809" s="32" t="n"/>
      <c r="Q809" s="32" t="n">
        <v>0</v>
      </c>
      <c r="R809" s="32" t="n">
        <v>0</v>
      </c>
      <c r="S809" s="31" t="n">
        <v>0</v>
      </c>
      <c r="T809" s="32" t="n">
        <v>0</v>
      </c>
      <c r="U809" s="31" t="n">
        <v>0</v>
      </c>
      <c r="V809" s="31" t="n">
        <v>0</v>
      </c>
      <c r="W809" s="3" t="n">
        <v>0</v>
      </c>
      <c r="X809" s="3" t="n">
        <v>0</v>
      </c>
      <c r="Y809" s="32" t="n">
        <v>0</v>
      </c>
      <c r="Z809" s="3" t="n">
        <v>0</v>
      </c>
      <c r="AA809" s="32" t="n">
        <v>0</v>
      </c>
      <c r="AB809" s="3" t="n"/>
      <c r="AC809" s="31" t="n">
        <v>0</v>
      </c>
      <c r="AD809" s="2" t="n">
        <v>0</v>
      </c>
      <c r="AE809" s="2" t="n">
        <v>20</v>
      </c>
      <c r="AF809" s="4" t="n">
        <v>20</v>
      </c>
      <c r="AG809" s="33" t="n">
        <v>9.99</v>
      </c>
      <c r="AH809" s="4" t="n">
        <v>1</v>
      </c>
      <c r="AI809" s="34" t="n">
        <v>0.05</v>
      </c>
      <c r="AJ809" s="34" t="n">
        <v>1</v>
      </c>
      <c r="AK809" s="2" t="n">
        <v>13500</v>
      </c>
      <c r="AL809" t="inlineStr">
        <is>
          <t>Published</t>
        </is>
      </c>
    </row>
    <row r="810">
      <c r="A810">
        <f>HYPERLINK("https://www.walmart.com/ip/897829226", "897829226")</f>
        <v/>
      </c>
      <c r="B810">
        <f>HYPERLINK("https://app.optiwise.ai/catalog/itemdetails/360403", "Solaris Sun Hat for Women and Men, Wide Brim Summer Outdoor Bucket Boonie Hat for Hiking, Safari and Gardening, Navy")</f>
        <v/>
      </c>
      <c r="C810" t="inlineStr">
        <is>
          <t>1SLSH191NV</t>
        </is>
      </c>
      <c r="D810" t="inlineStr">
        <is>
          <t>Clothing</t>
        </is>
      </c>
      <c r="E810" t="inlineStr">
        <is>
          <t>Hats</t>
        </is>
      </c>
      <c r="F810" t="inlineStr">
        <is>
          <t>Solaris</t>
        </is>
      </c>
      <c r="G810" t="n">
        <v>0</v>
      </c>
      <c r="H810" t="n">
        <v>0</v>
      </c>
      <c r="I810" t="inlineStr">
        <is>
          <t>Optimized</t>
        </is>
      </c>
      <c r="J810" s="29" t="n">
        <v>9.99</v>
      </c>
      <c r="K810" s="30" t="n">
        <v>0.0001</v>
      </c>
      <c r="L810" s="29" t="n">
        <v>0</v>
      </c>
      <c r="M810" s="29" t="n">
        <v>0</v>
      </c>
      <c r="N810" s="2" t="n">
        <v>1</v>
      </c>
      <c r="O810" s="31" t="n">
        <v>0</v>
      </c>
      <c r="P810" s="32" t="n"/>
      <c r="Q810" s="32" t="n">
        <v>0</v>
      </c>
      <c r="R810" s="32" t="n">
        <v>0</v>
      </c>
      <c r="S810" s="31" t="n">
        <v>0</v>
      </c>
      <c r="T810" s="32" t="n">
        <v>0</v>
      </c>
      <c r="U810" s="31" t="n">
        <v>0</v>
      </c>
      <c r="V810" s="31" t="n">
        <v>0</v>
      </c>
      <c r="W810" s="3" t="n">
        <v>0</v>
      </c>
      <c r="X810" s="3" t="n">
        <v>0</v>
      </c>
      <c r="Y810" s="32" t="n">
        <v>0</v>
      </c>
      <c r="Z810" s="3" t="n">
        <v>0</v>
      </c>
      <c r="AA810" s="32" t="n">
        <v>0</v>
      </c>
      <c r="AB810" s="3" t="n"/>
      <c r="AC810" s="31" t="n">
        <v>0</v>
      </c>
      <c r="AD810" s="2" t="n">
        <v>0</v>
      </c>
      <c r="AE810" s="2" t="n">
        <v>2</v>
      </c>
      <c r="AF810" s="4" t="n">
        <v>2</v>
      </c>
      <c r="AG810" s="33" t="n">
        <v>9.99</v>
      </c>
      <c r="AH810" s="4" t="n">
        <v>1</v>
      </c>
      <c r="AI810" s="34" t="n">
        <v>0.5</v>
      </c>
      <c r="AJ810" s="34" t="n">
        <v>1</v>
      </c>
      <c r="AK810" s="2" t="n">
        <v>13500</v>
      </c>
      <c r="AL810" t="inlineStr">
        <is>
          <t>Published</t>
        </is>
      </c>
    </row>
    <row r="811">
      <c r="A811">
        <f>HYPERLINK("https://www.walmart.com/ip/537700757", "537700757")</f>
        <v/>
      </c>
      <c r="B811">
        <f>HYPERLINK("https://app.optiwise.ai/catalog/itemdetails/362631", "Bucket Sun Hat Cute Cap for Women Fashion Fold-up Brim Packable Summer Beach by Solaris")</f>
        <v/>
      </c>
      <c r="C811" t="inlineStr">
        <is>
          <t>1SLSH189CM</t>
        </is>
      </c>
      <c r="D811" t="inlineStr">
        <is>
          <t>Clothing</t>
        </is>
      </c>
      <c r="E811" t="inlineStr">
        <is>
          <t>Hats</t>
        </is>
      </c>
      <c r="F811" t="inlineStr">
        <is>
          <t>Solaris</t>
        </is>
      </c>
      <c r="G811" t="n">
        <v>0</v>
      </c>
      <c r="H811" t="n">
        <v>0</v>
      </c>
      <c r="I811" t="inlineStr">
        <is>
          <t>Hats,Batch 1 - TR</t>
        </is>
      </c>
      <c r="J811" s="29" t="n">
        <v>9.99</v>
      </c>
      <c r="K811" s="30" t="n">
        <v>0.0001</v>
      </c>
      <c r="L811" s="29" t="n">
        <v>0</v>
      </c>
      <c r="M811" s="29" t="n">
        <v>0</v>
      </c>
      <c r="N811" s="2" t="n">
        <v>1</v>
      </c>
      <c r="O811" s="31" t="n">
        <v>0</v>
      </c>
      <c r="P811" s="32" t="n"/>
      <c r="Q811" s="32" t="n">
        <v>0</v>
      </c>
      <c r="R811" s="32" t="n">
        <v>0</v>
      </c>
      <c r="S811" s="31" t="n">
        <v>0</v>
      </c>
      <c r="T811" s="32" t="n">
        <v>0</v>
      </c>
      <c r="U811" s="31" t="n">
        <v>0</v>
      </c>
      <c r="V811" s="31" t="n">
        <v>0</v>
      </c>
      <c r="W811" s="3" t="n">
        <v>0</v>
      </c>
      <c r="X811" s="3" t="n">
        <v>0</v>
      </c>
      <c r="Y811" s="32" t="n">
        <v>0</v>
      </c>
      <c r="Z811" s="3" t="n">
        <v>0</v>
      </c>
      <c r="AA811" s="32" t="n">
        <v>0</v>
      </c>
      <c r="AB811" s="3" t="n"/>
      <c r="AC811" s="31" t="n">
        <v>0</v>
      </c>
      <c r="AD811" s="2" t="n">
        <v>0</v>
      </c>
      <c r="AE811" s="2" t="n">
        <v>5</v>
      </c>
      <c r="AF811" s="4" t="n">
        <v>5</v>
      </c>
      <c r="AG811" s="33" t="n">
        <v>9.99</v>
      </c>
      <c r="AH811" s="4" t="n">
        <v>1</v>
      </c>
      <c r="AI811" s="34" t="n">
        <v>0.2</v>
      </c>
      <c r="AJ811" s="34" t="n">
        <v>1</v>
      </c>
      <c r="AK811" s="2" t="n">
        <v>0</v>
      </c>
      <c r="AL811" t="inlineStr">
        <is>
          <t>Published</t>
        </is>
      </c>
    </row>
    <row r="812">
      <c r="A812">
        <f>HYPERLINK("https://www.walmart.com/ip/178011669", "178011669")</f>
        <v/>
      </c>
      <c r="B812">
        <f>HYPERLINK("https://app.optiwise.ai/catalog/itemdetails/362379", "360 UV Protection Sun Hat Neck Face Cover Flap Detachable Hat for Fishing Camping Hiking Tracking")</f>
        <v/>
      </c>
      <c r="C812" t="inlineStr">
        <is>
          <t>kc-s9198-st</t>
        </is>
      </c>
      <c r="D812" t="inlineStr">
        <is>
          <t>Clothing</t>
        </is>
      </c>
      <c r="E812" t="inlineStr">
        <is>
          <t>Hats</t>
        </is>
      </c>
      <c r="F812" t="inlineStr">
        <is>
          <t>Headshots</t>
        </is>
      </c>
      <c r="G812" t="n">
        <v>4</v>
      </c>
      <c r="H812" t="n">
        <v>1</v>
      </c>
      <c r="I812" t="inlineStr">
        <is>
          <t>Batch 1 - TR</t>
        </is>
      </c>
      <c r="J812" s="29" t="n">
        <v>9.99</v>
      </c>
      <c r="K812" s="30" t="n">
        <v>0.0001</v>
      </c>
      <c r="L812" s="29" t="n">
        <v>0</v>
      </c>
      <c r="M812" s="29" t="n">
        <v>0</v>
      </c>
      <c r="N812" s="2" t="n">
        <v>1</v>
      </c>
      <c r="O812" s="31" t="n">
        <v>0</v>
      </c>
      <c r="P812" s="32" t="n"/>
      <c r="Q812" s="32" t="n">
        <v>0</v>
      </c>
      <c r="R812" s="32" t="n">
        <v>0</v>
      </c>
      <c r="S812" s="31" t="n">
        <v>0</v>
      </c>
      <c r="T812" s="32" t="n">
        <v>0</v>
      </c>
      <c r="U812" s="31" t="n">
        <v>0</v>
      </c>
      <c r="V812" s="31" t="n">
        <v>0</v>
      </c>
      <c r="W812" s="3" t="n">
        <v>0</v>
      </c>
      <c r="X812" s="3" t="n">
        <v>0</v>
      </c>
      <c r="Y812" s="32" t="n">
        <v>0</v>
      </c>
      <c r="Z812" s="3" t="n">
        <v>0</v>
      </c>
      <c r="AA812" s="32" t="n">
        <v>0</v>
      </c>
      <c r="AB812" s="3" t="n"/>
      <c r="AC812" s="31" t="n">
        <v>0</v>
      </c>
      <c r="AD812" s="2" t="n">
        <v>0</v>
      </c>
      <c r="AE812" s="2" t="n">
        <v>8</v>
      </c>
      <c r="AF812" s="4" t="n">
        <v>8</v>
      </c>
      <c r="AG812" s="33" t="n">
        <v>9.99</v>
      </c>
      <c r="AH812" s="4" t="n">
        <v>1</v>
      </c>
      <c r="AI812" s="34" t="n">
        <v>0.125</v>
      </c>
      <c r="AJ812" s="34" t="n">
        <v>1</v>
      </c>
      <c r="AK812" s="2" t="n">
        <v>13500</v>
      </c>
      <c r="AL812" t="inlineStr">
        <is>
          <t>Published</t>
        </is>
      </c>
    </row>
    <row r="813">
      <c r="A813">
        <f>HYPERLINK("https://www.walmart.com/ip/166343585", "166343585")</f>
        <v/>
      </c>
      <c r="B813">
        <f>HYPERLINK("https://app.optiwise.ai/catalog/itemdetails/362417", "Terra Women's Reversible Sun Hat - UPF 50+, Floppy Hat for Summer Beach and Hiking, Foldable Wide Brim Cap")</f>
        <v/>
      </c>
      <c r="C813" t="inlineStr">
        <is>
          <t>TERRACAP-F069-RED</t>
        </is>
      </c>
      <c r="D813" t="inlineStr">
        <is>
          <t>Clothing</t>
        </is>
      </c>
      <c r="E813" t="inlineStr">
        <is>
          <t>Hats</t>
        </is>
      </c>
      <c r="F813" t="inlineStr">
        <is>
          <t>Terra</t>
        </is>
      </c>
      <c r="G813" t="n">
        <v>4.4</v>
      </c>
      <c r="H813" t="n">
        <v>27</v>
      </c>
      <c r="I813" t="inlineStr">
        <is>
          <t>Q2-Target,Hats,Batch 1 - TR</t>
        </is>
      </c>
      <c r="J813" s="29" t="n">
        <v>9.99</v>
      </c>
      <c r="K813" s="30" t="n">
        <v>0.0001</v>
      </c>
      <c r="L813" s="29" t="n">
        <v>0</v>
      </c>
      <c r="M813" s="29" t="n">
        <v>0</v>
      </c>
      <c r="N813" s="2" t="n">
        <v>1</v>
      </c>
      <c r="O813" s="31" t="n">
        <v>0</v>
      </c>
      <c r="P813" s="32" t="n"/>
      <c r="Q813" s="32" t="n">
        <v>0</v>
      </c>
      <c r="R813" s="32" t="n">
        <v>0.3609</v>
      </c>
      <c r="S813" s="31" t="n">
        <v>0</v>
      </c>
      <c r="T813" s="32" t="n">
        <v>0</v>
      </c>
      <c r="U813" s="31" t="n">
        <v>0</v>
      </c>
      <c r="V813" s="31" t="n">
        <v>0</v>
      </c>
      <c r="W813" s="3" t="n">
        <v>0</v>
      </c>
      <c r="X813" s="3" t="n">
        <v>0</v>
      </c>
      <c r="Y813" s="32" t="n">
        <v>0</v>
      </c>
      <c r="Z813" s="3" t="n">
        <v>0</v>
      </c>
      <c r="AA813" s="32" t="n">
        <v>0</v>
      </c>
      <c r="AB813" s="3" t="n"/>
      <c r="AC813" s="31" t="n">
        <v>0</v>
      </c>
      <c r="AD813" s="2" t="n">
        <v>0</v>
      </c>
      <c r="AE813" s="2" t="n">
        <v>59</v>
      </c>
      <c r="AF813" s="4" t="n">
        <v>59</v>
      </c>
      <c r="AG813" s="33" t="n">
        <v>9.99</v>
      </c>
      <c r="AH813" s="4" t="n">
        <v>1</v>
      </c>
      <c r="AI813" s="34" t="n">
        <v>0.0169</v>
      </c>
      <c r="AJ813" s="34" t="n">
        <v>1</v>
      </c>
      <c r="AK813" s="2" t="n">
        <v>11340</v>
      </c>
      <c r="AL813" t="inlineStr">
        <is>
          <t>Published</t>
        </is>
      </c>
    </row>
    <row r="814">
      <c r="A814">
        <f>HYPERLINK("https://www.walmart.com/ip/172322342", "172322342")</f>
        <v/>
      </c>
      <c r="B814">
        <f>HYPERLINK("https://app.optiwise.ai/catalog/itemdetails/361263", "Tirrinia Bucket Hats for Women | UPF 50+ Sun Protection Cap for Garden, Beach, Travel and Outdoor")</f>
        <v/>
      </c>
      <c r="C814" t="inlineStr">
        <is>
          <t>1TRSH9200BL-TBGM</t>
        </is>
      </c>
      <c r="D814" t="inlineStr">
        <is>
          <t>Clothing</t>
        </is>
      </c>
      <c r="E814" t="inlineStr">
        <is>
          <t>Hats</t>
        </is>
      </c>
      <c r="F814" t="inlineStr">
        <is>
          <t>Tirrinia</t>
        </is>
      </c>
      <c r="G814" t="n">
        <v>0</v>
      </c>
      <c r="H814" t="n">
        <v>0</v>
      </c>
      <c r="I814" t="inlineStr">
        <is>
          <t>Batch 1 - TR</t>
        </is>
      </c>
      <c r="J814" s="29" t="n">
        <v>9.99</v>
      </c>
      <c r="K814" s="30" t="n">
        <v>0.0001</v>
      </c>
      <c r="L814" s="29" t="n">
        <v>0</v>
      </c>
      <c r="M814" s="29" t="n">
        <v>0</v>
      </c>
      <c r="N814" s="2" t="n">
        <v>1</v>
      </c>
      <c r="O814" s="31" t="n">
        <v>0</v>
      </c>
      <c r="P814" s="32" t="n"/>
      <c r="Q814" s="32" t="n">
        <v>0</v>
      </c>
      <c r="R814" s="32" t="n">
        <v>0</v>
      </c>
      <c r="S814" s="31" t="n">
        <v>0</v>
      </c>
      <c r="T814" s="32" t="n">
        <v>0</v>
      </c>
      <c r="U814" s="31" t="n">
        <v>0</v>
      </c>
      <c r="V814" s="31" t="n">
        <v>0</v>
      </c>
      <c r="W814" s="3" t="n">
        <v>0</v>
      </c>
      <c r="X814" s="3" t="n">
        <v>0</v>
      </c>
      <c r="Y814" s="32" t="n">
        <v>0</v>
      </c>
      <c r="Z814" s="3" t="n">
        <v>0</v>
      </c>
      <c r="AA814" s="32" t="n">
        <v>0</v>
      </c>
      <c r="AB814" s="3" t="n"/>
      <c r="AC814" s="31" t="n">
        <v>0</v>
      </c>
      <c r="AD814" s="2" t="n">
        <v>0</v>
      </c>
      <c r="AE814" s="2" t="n">
        <v>20</v>
      </c>
      <c r="AF814" s="4" t="n">
        <v>20</v>
      </c>
      <c r="AG814" s="33" t="n">
        <v>9.99</v>
      </c>
      <c r="AH814" s="4" t="n">
        <v>1</v>
      </c>
      <c r="AI814" s="34" t="n">
        <v>0.05</v>
      </c>
      <c r="AJ814" s="34" t="n">
        <v>1</v>
      </c>
      <c r="AK814" s="2" t="n">
        <v>13500</v>
      </c>
      <c r="AL814" t="inlineStr">
        <is>
          <t>Published</t>
        </is>
      </c>
    </row>
    <row r="815">
      <c r="A815">
        <f>HYPERLINK("https://www.walmart.com/ip/943773254", "943773254")</f>
        <v/>
      </c>
      <c r="B815">
        <f>HYPERLINK("https://app.optiwise.ai/catalog/itemdetails/360294", "Tirrinia Women's Wide Brim Bucket Hats Breathable Outdoor Beach Gardening Hat One Size Fits All Adult, Pink Flower Pattern")</f>
        <v/>
      </c>
      <c r="C815" t="inlineStr">
        <is>
          <t>1TRSH9200FPK-TBGM</t>
        </is>
      </c>
      <c r="D815" t="inlineStr">
        <is>
          <t>Clothing</t>
        </is>
      </c>
      <c r="E815" t="inlineStr">
        <is>
          <t>Hats</t>
        </is>
      </c>
      <c r="F815" t="inlineStr">
        <is>
          <t>Tirrinia</t>
        </is>
      </c>
      <c r="G815" t="n">
        <v>5</v>
      </c>
      <c r="H815" t="n">
        <v>3</v>
      </c>
      <c r="I815" t="inlineStr">
        <is>
          <t>Optimized,Hats</t>
        </is>
      </c>
      <c r="J815" s="29" t="n">
        <v>9.99</v>
      </c>
      <c r="K815" s="30" t="n">
        <v>0.0001</v>
      </c>
      <c r="L815" s="29" t="n">
        <v>0</v>
      </c>
      <c r="M815" s="29" t="n">
        <v>0</v>
      </c>
      <c r="N815" s="2" t="n">
        <v>1</v>
      </c>
      <c r="O815" s="31" t="n">
        <v>0</v>
      </c>
      <c r="P815" s="32" t="n"/>
      <c r="Q815" s="32" t="n">
        <v>0</v>
      </c>
      <c r="R815" s="32" t="n">
        <v>0</v>
      </c>
      <c r="S815" s="31" t="n">
        <v>0</v>
      </c>
      <c r="T815" s="32" t="n">
        <v>0</v>
      </c>
      <c r="U815" s="31" t="n">
        <v>0</v>
      </c>
      <c r="V815" s="31" t="n">
        <v>0</v>
      </c>
      <c r="W815" s="3" t="n">
        <v>0</v>
      </c>
      <c r="X815" s="3" t="n">
        <v>0</v>
      </c>
      <c r="Y815" s="32" t="n">
        <v>0</v>
      </c>
      <c r="Z815" s="3" t="n">
        <v>0</v>
      </c>
      <c r="AA815" s="32" t="n">
        <v>0</v>
      </c>
      <c r="AB815" s="3" t="n"/>
      <c r="AC815" s="31" t="n">
        <v>0</v>
      </c>
      <c r="AD815" s="2" t="n">
        <v>0</v>
      </c>
      <c r="AE815" s="2" t="n">
        <v>13</v>
      </c>
      <c r="AF815" s="4" t="n">
        <v>13</v>
      </c>
      <c r="AG815" s="33" t="n">
        <v>9.99</v>
      </c>
      <c r="AH815" s="4" t="n">
        <v>1</v>
      </c>
      <c r="AI815" s="34" t="n">
        <v>0.0769</v>
      </c>
      <c r="AJ815" s="34" t="n">
        <v>1</v>
      </c>
      <c r="AK815" s="2" t="n">
        <v>13500</v>
      </c>
      <c r="AL815" t="inlineStr">
        <is>
          <t>Published</t>
        </is>
      </c>
    </row>
    <row r="816">
      <c r="A816">
        <f>HYPERLINK("https://www.walmart.com/ip/293318667", "293318667")</f>
        <v/>
      </c>
      <c r="B816">
        <f>HYPERLINK("https://app.optiwise.ai/catalog/itemdetails/361729", "Tirrinia Women Floppy Straw Sun Hat Foldable Wide Brim Striped Beach Cap for Female, Great Gifts for Mother's Day, Navy")</f>
        <v/>
      </c>
      <c r="C816" t="inlineStr">
        <is>
          <t>1TRSH371NV-TBCB</t>
        </is>
      </c>
      <c r="D816" t="inlineStr">
        <is>
          <t>Clothing</t>
        </is>
      </c>
      <c r="E816" t="inlineStr">
        <is>
          <t>Hats</t>
        </is>
      </c>
      <c r="F816" t="inlineStr">
        <is>
          <t>Tirrinia</t>
        </is>
      </c>
      <c r="G816" t="n">
        <v>0</v>
      </c>
      <c r="H816" t="n">
        <v>0</v>
      </c>
      <c r="I816" t="inlineStr">
        <is>
          <t>Hats,Batch 1 - TR</t>
        </is>
      </c>
      <c r="J816" s="29" t="n">
        <v>9.99</v>
      </c>
      <c r="K816" s="30" t="n">
        <v>0.0001</v>
      </c>
      <c r="L816" s="29" t="n">
        <v>0</v>
      </c>
      <c r="M816" s="29" t="n">
        <v>0</v>
      </c>
      <c r="N816" s="2" t="n">
        <v>1</v>
      </c>
      <c r="O816" s="31" t="n">
        <v>0</v>
      </c>
      <c r="P816" s="32" t="n"/>
      <c r="Q816" s="32" t="n">
        <v>0</v>
      </c>
      <c r="R816" s="32" t="n">
        <v>0</v>
      </c>
      <c r="S816" s="31" t="n">
        <v>0</v>
      </c>
      <c r="T816" s="32" t="n">
        <v>0</v>
      </c>
      <c r="U816" s="31" t="n">
        <v>0</v>
      </c>
      <c r="V816" s="31" t="n">
        <v>0</v>
      </c>
      <c r="W816" s="3" t="n">
        <v>0</v>
      </c>
      <c r="X816" s="3" t="n">
        <v>0</v>
      </c>
      <c r="Y816" s="32" t="n">
        <v>0</v>
      </c>
      <c r="Z816" s="3" t="n">
        <v>0</v>
      </c>
      <c r="AA816" s="32" t="n">
        <v>0</v>
      </c>
      <c r="AB816" s="3" t="n"/>
      <c r="AC816" s="31" t="n">
        <v>0</v>
      </c>
      <c r="AD816" s="2" t="n">
        <v>0</v>
      </c>
      <c r="AE816" s="2" t="n">
        <v>19</v>
      </c>
      <c r="AF816" s="4" t="n">
        <v>19</v>
      </c>
      <c r="AG816" s="33" t="n">
        <v>9.99</v>
      </c>
      <c r="AH816" s="4" t="n">
        <v>1</v>
      </c>
      <c r="AI816" s="34" t="n">
        <v>0.0526</v>
      </c>
      <c r="AJ816" s="34" t="n">
        <v>1</v>
      </c>
      <c r="AK816" s="2" t="n">
        <v>13500</v>
      </c>
      <c r="AL816" t="inlineStr">
        <is>
          <t>Published</t>
        </is>
      </c>
    </row>
    <row r="817">
      <c r="A817">
        <f>HYPERLINK("https://www.walmart.com/ip/634192094", "634192094")</f>
        <v/>
      </c>
      <c r="B817">
        <f>HYPERLINK("https://app.optiwise.ai/catalog/itemdetails/362570", "Terra Cool Mens Baseball Cap Hat USA American Flag Printed Flat Bill Buckle")</f>
        <v/>
      </c>
      <c r="C817" t="inlineStr">
        <is>
          <t>TERRACAP-B003A</t>
        </is>
      </c>
      <c r="D817" t="inlineStr">
        <is>
          <t>Clothing</t>
        </is>
      </c>
      <c r="E817" t="inlineStr">
        <is>
          <t>Hats</t>
        </is>
      </c>
      <c r="F817" t="inlineStr">
        <is>
          <t>Terra</t>
        </is>
      </c>
      <c r="G817" t="n">
        <v>0</v>
      </c>
      <c r="H817" t="n">
        <v>0</v>
      </c>
      <c r="I817" t="inlineStr">
        <is>
          <t>Optimized</t>
        </is>
      </c>
      <c r="J817" s="29" t="n">
        <v>9.99</v>
      </c>
      <c r="K817" s="30" t="n">
        <v>0.0001</v>
      </c>
      <c r="L817" s="29" t="n">
        <v>0</v>
      </c>
      <c r="M817" s="29" t="n">
        <v>0</v>
      </c>
      <c r="N817" s="2" t="n">
        <v>1</v>
      </c>
      <c r="O817" s="31" t="n">
        <v>0</v>
      </c>
      <c r="P817" s="32" t="n"/>
      <c r="Q817" s="32" t="n">
        <v>0</v>
      </c>
      <c r="R817" s="32" t="n">
        <v>0</v>
      </c>
      <c r="S817" s="31" t="n">
        <v>0</v>
      </c>
      <c r="T817" s="32" t="n">
        <v>0</v>
      </c>
      <c r="U817" s="31" t="n">
        <v>0</v>
      </c>
      <c r="V817" s="31" t="n">
        <v>0</v>
      </c>
      <c r="W817" s="3" t="n">
        <v>0</v>
      </c>
      <c r="X817" s="3" t="n">
        <v>0</v>
      </c>
      <c r="Y817" s="32" t="n">
        <v>0</v>
      </c>
      <c r="Z817" s="3" t="n">
        <v>0</v>
      </c>
      <c r="AA817" s="32" t="n">
        <v>0</v>
      </c>
      <c r="AB817" s="3" t="n"/>
      <c r="AC817" s="31" t="n">
        <v>0</v>
      </c>
      <c r="AD817" s="2" t="n">
        <v>0</v>
      </c>
      <c r="AE817" s="2" t="n">
        <v>14</v>
      </c>
      <c r="AF817" s="4" t="n">
        <v>14</v>
      </c>
      <c r="AG817" s="33" t="n">
        <v>9.99</v>
      </c>
      <c r="AH817" s="4" t="n">
        <v>1</v>
      </c>
      <c r="AI817" s="34" t="n">
        <v>0.07140000000000001</v>
      </c>
      <c r="AJ817" s="34" t="n">
        <v>1</v>
      </c>
      <c r="AK817" s="2" t="n">
        <v>13500</v>
      </c>
      <c r="AL817" t="inlineStr">
        <is>
          <t>Published</t>
        </is>
      </c>
    </row>
    <row r="818">
      <c r="A818">
        <f>HYPERLINK("https://www.walmart.com/ip/275393000", "275393000")</f>
        <v/>
      </c>
      <c r="B818">
        <f>HYPERLINK("https://app.optiwise.ai/catalog/itemdetails/362621", "Tirrinia Wide Brim Sun Hat UPF 50 Foldable Bucket Summer Hat for Women Girls")</f>
        <v/>
      </c>
      <c r="C818" t="inlineStr">
        <is>
          <t>1TRSHF065BLK-TBCB</t>
        </is>
      </c>
      <c r="D818" t="inlineStr">
        <is>
          <t>Clothing</t>
        </is>
      </c>
      <c r="E818" t="inlineStr">
        <is>
          <t>Hats</t>
        </is>
      </c>
      <c r="F818" t="inlineStr">
        <is>
          <t>Tirrinia</t>
        </is>
      </c>
      <c r="G818" t="n">
        <v>0</v>
      </c>
      <c r="H818" t="n">
        <v>0</v>
      </c>
      <c r="I818" t="inlineStr">
        <is>
          <t>Batch 1 - TR</t>
        </is>
      </c>
      <c r="J818" s="29" t="n">
        <v>8.99</v>
      </c>
      <c r="K818" s="30" t="n">
        <v>0.0001</v>
      </c>
      <c r="L818" s="29" t="n">
        <v>0</v>
      </c>
      <c r="M818" s="29" t="n">
        <v>0</v>
      </c>
      <c r="N818" s="2" t="n">
        <v>1</v>
      </c>
      <c r="O818" s="31" t="n">
        <v>0</v>
      </c>
      <c r="P818" s="32" t="n"/>
      <c r="Q818" s="32" t="n">
        <v>0</v>
      </c>
      <c r="R818" s="32" t="n">
        <v>0</v>
      </c>
      <c r="S818" s="31" t="n">
        <v>0</v>
      </c>
      <c r="T818" s="32" t="n">
        <v>0</v>
      </c>
      <c r="U818" s="31" t="n">
        <v>0</v>
      </c>
      <c r="V818" s="31" t="n">
        <v>0</v>
      </c>
      <c r="W818" s="3" t="n">
        <v>0</v>
      </c>
      <c r="X818" s="3" t="n">
        <v>0</v>
      </c>
      <c r="Y818" s="32" t="n">
        <v>0</v>
      </c>
      <c r="Z818" s="3" t="n">
        <v>0</v>
      </c>
      <c r="AA818" s="32" t="n">
        <v>0</v>
      </c>
      <c r="AB818" s="3" t="n"/>
      <c r="AC818" s="31" t="n">
        <v>0</v>
      </c>
      <c r="AD818" s="2" t="n">
        <v>0</v>
      </c>
      <c r="AE818" s="2" t="n">
        <v>17</v>
      </c>
      <c r="AF818" s="4" t="n">
        <v>17</v>
      </c>
      <c r="AG818" s="33" t="n">
        <v>8.99</v>
      </c>
      <c r="AH818" s="4" t="n">
        <v>1</v>
      </c>
      <c r="AI818" s="34" t="n">
        <v>0.0588</v>
      </c>
      <c r="AJ818" s="34" t="n">
        <v>1</v>
      </c>
      <c r="AK818" s="2" t="n">
        <v>13500</v>
      </c>
      <c r="AL818" t="inlineStr">
        <is>
          <t>Published</t>
        </is>
      </c>
    </row>
    <row r="819">
      <c r="A819">
        <f>HYPERLINK("https://www.walmart.com/ip/606850559", "606850559")</f>
        <v/>
      </c>
      <c r="B819">
        <f>HYPERLINK("https://app.optiwise.ai/catalog/itemdetails/361565", "KC Caps Men's Deluxe Washed Chino Cotton Surplus Cap")</f>
        <v/>
      </c>
      <c r="C819" t="inlineStr">
        <is>
          <t>8320-Olive</t>
        </is>
      </c>
      <c r="D819" t="inlineStr">
        <is>
          <t>Clothing</t>
        </is>
      </c>
      <c r="E819" t="inlineStr">
        <is>
          <t>Hats</t>
        </is>
      </c>
      <c r="F819" t="inlineStr">
        <is>
          <t>KC Caps</t>
        </is>
      </c>
      <c r="G819" t="n">
        <v>0</v>
      </c>
      <c r="H819" t="n">
        <v>0</v>
      </c>
      <c r="I819" t="inlineStr">
        <is>
          <t>Optimized</t>
        </is>
      </c>
      <c r="J819" s="29" t="n">
        <v>8.99</v>
      </c>
      <c r="K819" s="30" t="n">
        <v>0.0001</v>
      </c>
      <c r="L819" s="29" t="n">
        <v>0</v>
      </c>
      <c r="M819" s="29" t="n">
        <v>0</v>
      </c>
      <c r="N819" s="2" t="n">
        <v>1</v>
      </c>
      <c r="O819" s="31" t="n">
        <v>0</v>
      </c>
      <c r="P819" s="32" t="n"/>
      <c r="Q819" s="32" t="n">
        <v>0</v>
      </c>
      <c r="R819" s="32" t="n">
        <v>0</v>
      </c>
      <c r="S819" s="31" t="n">
        <v>0</v>
      </c>
      <c r="T819" s="32" t="n">
        <v>0</v>
      </c>
      <c r="U819" s="31" t="n">
        <v>0</v>
      </c>
      <c r="V819" s="31" t="n">
        <v>0</v>
      </c>
      <c r="W819" s="3" t="n">
        <v>0</v>
      </c>
      <c r="X819" s="3" t="n">
        <v>0</v>
      </c>
      <c r="Y819" s="32" t="n">
        <v>0</v>
      </c>
      <c r="Z819" s="3" t="n">
        <v>0</v>
      </c>
      <c r="AA819" s="32" t="n">
        <v>0</v>
      </c>
      <c r="AB819" s="3" t="n"/>
      <c r="AC819" s="31" t="n">
        <v>0</v>
      </c>
      <c r="AD819" s="2" t="n">
        <v>0</v>
      </c>
      <c r="AE819" s="2" t="n">
        <v>5</v>
      </c>
      <c r="AF819" s="4" t="n">
        <v>5</v>
      </c>
      <c r="AG819" s="33" t="n">
        <v>8.99</v>
      </c>
      <c r="AH819" s="4" t="n">
        <v>1</v>
      </c>
      <c r="AI819" s="34" t="n">
        <v>0.2</v>
      </c>
      <c r="AJ819" s="34" t="n">
        <v>1</v>
      </c>
      <c r="AK819" s="2" t="n">
        <v>9045</v>
      </c>
      <c r="AL819" t="inlineStr">
        <is>
          <t>Published</t>
        </is>
      </c>
    </row>
    <row r="820">
      <c r="A820">
        <f>HYPERLINK("https://www.walmart.com/ip/666068339", "666068339")</f>
        <v/>
      </c>
      <c r="B820">
        <f>HYPERLINK("https://app.optiwise.ai/catalog/itemdetails/360526", "Summer Outdoor UV Protection Sun Hats Unisex Caps Wide Brim Removable Crown Mesh Net Adjustable Drawstring")</f>
        <v/>
      </c>
      <c r="C820" t="inlineStr">
        <is>
          <t>1SLSH895DG</t>
        </is>
      </c>
      <c r="D820" t="inlineStr">
        <is>
          <t>Clothing</t>
        </is>
      </c>
      <c r="E820" t="inlineStr">
        <is>
          <t>Hats</t>
        </is>
      </c>
      <c r="F820" t="inlineStr">
        <is>
          <t>Solaris</t>
        </is>
      </c>
      <c r="G820" t="n">
        <v>5</v>
      </c>
      <c r="H820" t="n">
        <v>1</v>
      </c>
      <c r="I820" t="inlineStr">
        <is>
          <t>Batch 1 - TR</t>
        </is>
      </c>
      <c r="J820" s="29" t="n">
        <v>8.99</v>
      </c>
      <c r="K820" s="30" t="n">
        <v>0.0001</v>
      </c>
      <c r="L820" s="29" t="n">
        <v>0</v>
      </c>
      <c r="M820" s="29" t="n">
        <v>0</v>
      </c>
      <c r="N820" s="2" t="n">
        <v>1</v>
      </c>
      <c r="O820" s="31" t="n">
        <v>0</v>
      </c>
      <c r="P820" s="32" t="n"/>
      <c r="Q820" s="32" t="n">
        <v>0</v>
      </c>
      <c r="R820" s="32" t="n">
        <v>0</v>
      </c>
      <c r="S820" s="31" t="n">
        <v>0</v>
      </c>
      <c r="T820" s="32" t="n">
        <v>0</v>
      </c>
      <c r="U820" s="31" t="n">
        <v>0</v>
      </c>
      <c r="V820" s="31" t="n">
        <v>0</v>
      </c>
      <c r="W820" s="3" t="n">
        <v>0</v>
      </c>
      <c r="X820" s="3" t="n">
        <v>0</v>
      </c>
      <c r="Y820" s="32" t="n">
        <v>0</v>
      </c>
      <c r="Z820" s="3" t="n">
        <v>0</v>
      </c>
      <c r="AA820" s="32" t="n">
        <v>0</v>
      </c>
      <c r="AB820" s="3" t="n"/>
      <c r="AC820" s="31" t="n">
        <v>0</v>
      </c>
      <c r="AD820" s="2" t="n">
        <v>0</v>
      </c>
      <c r="AE820" s="2" t="n">
        <v>5</v>
      </c>
      <c r="AF820" s="4" t="n">
        <v>5</v>
      </c>
      <c r="AG820" s="33" t="n">
        <v>8.99</v>
      </c>
      <c r="AH820" s="4" t="n">
        <v>1</v>
      </c>
      <c r="AI820" s="34" t="n">
        <v>0.2</v>
      </c>
      <c r="AJ820" s="34" t="n">
        <v>1</v>
      </c>
      <c r="AK820" s="2" t="n">
        <v>135</v>
      </c>
      <c r="AL820" t="inlineStr">
        <is>
          <t>Published</t>
        </is>
      </c>
    </row>
    <row r="821">
      <c r="A821">
        <f>HYPERLINK("https://www.walmart.com/ip/740461992", "740461992")</f>
        <v/>
      </c>
      <c r="B821">
        <f>HYPERLINK("https://app.optiwise.ai/catalog/itemdetails/360814", "KC Caps® Sports Unisex plain Golf Flex Sandwich Baseball Cap Fitted Cotton Hat")</f>
        <v/>
      </c>
      <c r="C821" t="inlineStr">
        <is>
          <t>KC Caps 8313 khaki</t>
        </is>
      </c>
      <c r="D821" t="inlineStr">
        <is>
          <t>Sport &amp; Recreation Other</t>
        </is>
      </c>
      <c r="E821" t="inlineStr">
        <is>
          <t>Golf Hats</t>
        </is>
      </c>
      <c r="F821" t="inlineStr">
        <is>
          <t>KC Caps</t>
        </is>
      </c>
      <c r="G821" t="n">
        <v>0</v>
      </c>
      <c r="H821" t="n">
        <v>0</v>
      </c>
      <c r="I821" t="inlineStr">
        <is>
          <t>Optimized</t>
        </is>
      </c>
      <c r="J821" s="29" t="n">
        <v>8.99</v>
      </c>
      <c r="K821" s="30" t="n">
        <v>0.0001</v>
      </c>
      <c r="L821" s="29" t="n">
        <v>0</v>
      </c>
      <c r="M821" s="29" t="n">
        <v>0</v>
      </c>
      <c r="N821" s="2" t="n">
        <v>1</v>
      </c>
      <c r="O821" s="31" t="n">
        <v>0</v>
      </c>
      <c r="P821" s="32" t="n"/>
      <c r="Q821" s="32" t="n">
        <v>0</v>
      </c>
      <c r="R821" s="32" t="n">
        <v>0</v>
      </c>
      <c r="S821" s="31" t="n">
        <v>0</v>
      </c>
      <c r="T821" s="32" t="n">
        <v>0</v>
      </c>
      <c r="U821" s="31" t="n">
        <v>0</v>
      </c>
      <c r="V821" s="31" t="n">
        <v>0</v>
      </c>
      <c r="W821" s="3" t="n">
        <v>0</v>
      </c>
      <c r="X821" s="3" t="n">
        <v>0</v>
      </c>
      <c r="Y821" s="32" t="n">
        <v>0</v>
      </c>
      <c r="Z821" s="3" t="n">
        <v>0</v>
      </c>
      <c r="AA821" s="32" t="n">
        <v>0</v>
      </c>
      <c r="AB821" s="3" t="n"/>
      <c r="AC821" s="31" t="n">
        <v>0</v>
      </c>
      <c r="AD821" s="2" t="n">
        <v>0</v>
      </c>
      <c r="AE821" s="2" t="n">
        <v>25</v>
      </c>
      <c r="AF821" s="4" t="n">
        <v>25</v>
      </c>
      <c r="AG821" s="33" t="n">
        <v>8.99</v>
      </c>
      <c r="AH821" s="4" t="n">
        <v>1</v>
      </c>
      <c r="AI821" s="34" t="n">
        <v>0.04</v>
      </c>
      <c r="AJ821" s="34" t="n">
        <v>1</v>
      </c>
      <c r="AK821" s="2" t="n">
        <v>10935</v>
      </c>
      <c r="AL821" t="inlineStr">
        <is>
          <t>Published</t>
        </is>
      </c>
    </row>
    <row r="822">
      <c r="A822">
        <f>HYPERLINK("https://www.walmart.com/ip/420785641", "420785641")</f>
        <v/>
      </c>
      <c r="B822">
        <f>HYPERLINK("https://app.optiwise.ai/catalog/itemdetails/362077", "Solaris Womens Bucket Hat UV Sun Protection Lightweight Packable Summer Travel Beach Cap,Green")</f>
        <v/>
      </c>
      <c r="C822" t="inlineStr">
        <is>
          <t>1SLSH189-GRN</t>
        </is>
      </c>
      <c r="D822" t="inlineStr">
        <is>
          <t>Clothing</t>
        </is>
      </c>
      <c r="E822" t="inlineStr">
        <is>
          <t>Hats</t>
        </is>
      </c>
      <c r="F822" t="inlineStr">
        <is>
          <t>Solaris</t>
        </is>
      </c>
      <c r="G822" t="n">
        <v>5</v>
      </c>
      <c r="H822" t="n">
        <v>1</v>
      </c>
      <c r="I822" t="inlineStr">
        <is>
          <t>Q2-Target,Hats,Batch 1 - TR</t>
        </is>
      </c>
      <c r="J822" s="29" t="n">
        <v>8.99</v>
      </c>
      <c r="K822" s="30" t="n">
        <v>0.0001</v>
      </c>
      <c r="L822" s="29" t="n">
        <v>0</v>
      </c>
      <c r="M822" s="29" t="n">
        <v>0</v>
      </c>
      <c r="N822" s="2" t="n">
        <v>1</v>
      </c>
      <c r="O822" s="31" t="n">
        <v>0</v>
      </c>
      <c r="P822" s="32" t="n"/>
      <c r="Q822" s="32" t="n">
        <v>0</v>
      </c>
      <c r="R822" s="32" t="n">
        <v>0</v>
      </c>
      <c r="S822" s="31" t="n">
        <v>0</v>
      </c>
      <c r="T822" s="32" t="n">
        <v>0</v>
      </c>
      <c r="U822" s="31" t="n">
        <v>0</v>
      </c>
      <c r="V822" s="31" t="n">
        <v>0</v>
      </c>
      <c r="W822" s="3" t="n">
        <v>0</v>
      </c>
      <c r="X822" s="3" t="n">
        <v>0</v>
      </c>
      <c r="Y822" s="32" t="n">
        <v>0</v>
      </c>
      <c r="Z822" s="3" t="n">
        <v>0</v>
      </c>
      <c r="AA822" s="32" t="n">
        <v>0</v>
      </c>
      <c r="AB822" s="3" t="n"/>
      <c r="AC822" s="31" t="n">
        <v>0</v>
      </c>
      <c r="AD822" s="2" t="n">
        <v>0</v>
      </c>
      <c r="AE822" s="2" t="n">
        <v>35</v>
      </c>
      <c r="AF822" s="4" t="n">
        <v>35</v>
      </c>
      <c r="AG822" s="33" t="n">
        <v>8.99</v>
      </c>
      <c r="AH822" s="4" t="n">
        <v>1</v>
      </c>
      <c r="AI822" s="34" t="n">
        <v>0.0286</v>
      </c>
      <c r="AJ822" s="34" t="n">
        <v>1</v>
      </c>
      <c r="AK822" s="2" t="n">
        <v>13500</v>
      </c>
      <c r="AL822" t="inlineStr">
        <is>
          <t>Published</t>
        </is>
      </c>
    </row>
    <row r="823">
      <c r="A823">
        <f>HYPERLINK("https://www.walmart.com/ip/974013155", "974013155")</f>
        <v/>
      </c>
      <c r="B823">
        <f>HYPERLINK("https://app.optiwise.ai/catalog/itemdetails/361506", "Solaris American Flag Sun Cap Outdoor Sports Baseball Tennis Golf Summer Hats for Men Women, White")</f>
        <v/>
      </c>
      <c r="C823" t="inlineStr">
        <is>
          <t>1SLBC120WH</t>
        </is>
      </c>
      <c r="D823" t="inlineStr">
        <is>
          <t>Clothing</t>
        </is>
      </c>
      <c r="E823" t="inlineStr">
        <is>
          <t>Hats</t>
        </is>
      </c>
      <c r="F823" t="inlineStr">
        <is>
          <t>Solaris</t>
        </is>
      </c>
      <c r="G823" t="n">
        <v>0</v>
      </c>
      <c r="H823" t="n">
        <v>0</v>
      </c>
      <c r="I823" t="inlineStr">
        <is>
          <t>Batch 1 - TR</t>
        </is>
      </c>
      <c r="J823" s="29" t="n">
        <v>7.99</v>
      </c>
      <c r="K823" s="30" t="n">
        <v>0.0001</v>
      </c>
      <c r="L823" s="29" t="n">
        <v>0</v>
      </c>
      <c r="M823" s="29" t="n">
        <v>0</v>
      </c>
      <c r="N823" s="2" t="n">
        <v>1</v>
      </c>
      <c r="O823" s="31" t="n">
        <v>0</v>
      </c>
      <c r="P823" s="32" t="n"/>
      <c r="Q823" s="32" t="n">
        <v>0</v>
      </c>
      <c r="R823" s="32" t="n">
        <v>0</v>
      </c>
      <c r="S823" s="31" t="n">
        <v>0</v>
      </c>
      <c r="T823" s="32" t="n">
        <v>0</v>
      </c>
      <c r="U823" s="31" t="n">
        <v>0</v>
      </c>
      <c r="V823" s="31" t="n">
        <v>0</v>
      </c>
      <c r="W823" s="3" t="n">
        <v>0</v>
      </c>
      <c r="X823" s="3" t="n">
        <v>0</v>
      </c>
      <c r="Y823" s="32" t="n">
        <v>0</v>
      </c>
      <c r="Z823" s="3" t="n">
        <v>0</v>
      </c>
      <c r="AA823" s="32" t="n">
        <v>0</v>
      </c>
      <c r="AB823" s="3" t="n"/>
      <c r="AC823" s="31" t="n">
        <v>0</v>
      </c>
      <c r="AD823" s="2" t="n">
        <v>0</v>
      </c>
      <c r="AE823" s="2" t="n">
        <v>20</v>
      </c>
      <c r="AF823" s="4" t="n">
        <v>20</v>
      </c>
      <c r="AG823" s="33" t="n">
        <v>7.99</v>
      </c>
      <c r="AH823" s="4" t="n">
        <v>1</v>
      </c>
      <c r="AI823" s="34" t="n">
        <v>0.05</v>
      </c>
      <c r="AJ823" s="34" t="n">
        <v>1</v>
      </c>
      <c r="AK823" s="2" t="n">
        <v>13500</v>
      </c>
      <c r="AL823" t="inlineStr">
        <is>
          <t>Published</t>
        </is>
      </c>
    </row>
    <row r="824">
      <c r="A824">
        <f>HYPERLINK("https://www.walmart.com/ip/122065024", "122065024")</f>
        <v/>
      </c>
      <c r="B824">
        <f>HYPERLINK("https://app.optiwise.ai/catalog/itemdetails/361487", "Jennis Women Leopard Lace Garter Belt Stretch G-string Stocking Suspender")</f>
        <v/>
      </c>
      <c r="C824" t="inlineStr">
        <is>
          <t>JWBLSPH2108</t>
        </is>
      </c>
      <c r="D824" t="inlineStr">
        <is>
          <t>Clothing</t>
        </is>
      </c>
      <c r="E824" t="inlineStr">
        <is>
          <t>Pantyhose &amp; Tights</t>
        </is>
      </c>
      <c r="F824" t="inlineStr">
        <is>
          <t>JenniWears</t>
        </is>
      </c>
      <c r="G824" t="n">
        <v>3</v>
      </c>
      <c r="H824" t="n">
        <v>2</v>
      </c>
      <c r="I824" t="inlineStr">
        <is>
          <t>Valentine</t>
        </is>
      </c>
      <c r="J824" s="29" t="n">
        <v>7.99</v>
      </c>
      <c r="K824" s="30" t="n">
        <v>0.0001</v>
      </c>
      <c r="L824" s="29" t="n">
        <v>0</v>
      </c>
      <c r="M824" s="29" t="n">
        <v>0</v>
      </c>
      <c r="N824" s="2" t="n">
        <v>1</v>
      </c>
      <c r="O824" s="31" t="n">
        <v>0</v>
      </c>
      <c r="P824" s="32" t="n"/>
      <c r="Q824" s="32" t="n">
        <v>0</v>
      </c>
      <c r="R824" s="32" t="n">
        <v>0</v>
      </c>
      <c r="S824" s="31" t="n">
        <v>0</v>
      </c>
      <c r="T824" s="32" t="n">
        <v>0</v>
      </c>
      <c r="U824" s="31" t="n">
        <v>0</v>
      </c>
      <c r="V824" s="31" t="n">
        <v>0</v>
      </c>
      <c r="W824" s="3" t="n">
        <v>0</v>
      </c>
      <c r="X824" s="3" t="n">
        <v>0</v>
      </c>
      <c r="Y824" s="32" t="n">
        <v>0</v>
      </c>
      <c r="Z824" s="3" t="n">
        <v>0</v>
      </c>
      <c r="AA824" s="32" t="n">
        <v>0</v>
      </c>
      <c r="AB824" s="3" t="n"/>
      <c r="AC824" s="31" t="n">
        <v>0</v>
      </c>
      <c r="AD824" s="2" t="n">
        <v>0</v>
      </c>
      <c r="AE824" s="2" t="n">
        <v>7</v>
      </c>
      <c r="AF824" s="4" t="n">
        <v>7</v>
      </c>
      <c r="AG824" s="33" t="n">
        <v>7.99</v>
      </c>
      <c r="AH824" s="4" t="n">
        <v>1</v>
      </c>
      <c r="AI824" s="34" t="n">
        <v>0.1429</v>
      </c>
      <c r="AJ824" s="34" t="n">
        <v>1</v>
      </c>
      <c r="AK824" s="2" t="n">
        <v>13500</v>
      </c>
      <c r="AL824" t="inlineStr">
        <is>
          <t>Published</t>
        </is>
      </c>
    </row>
    <row r="825">
      <c r="A825">
        <f>HYPERLINK("https://www.walmart.com/ip/169902585", "169902585")</f>
        <v/>
      </c>
      <c r="B825">
        <f>HYPERLINK("https://app.optiwise.ai/catalog/itemdetails/360951", "KC Caps® Unisex Cotton Baseball Cap Adjustable Plain Hat (21 Styles/Colors)")</f>
        <v/>
      </c>
      <c r="C825" t="inlineStr">
        <is>
          <t>KC8010KK</t>
        </is>
      </c>
      <c r="D825" t="inlineStr">
        <is>
          <t>Clothing</t>
        </is>
      </c>
      <c r="E825" t="inlineStr">
        <is>
          <t>Hats</t>
        </is>
      </c>
      <c r="F825" t="inlineStr">
        <is>
          <t>KC Caps</t>
        </is>
      </c>
      <c r="G825" t="n">
        <v>0</v>
      </c>
      <c r="H825" t="n">
        <v>0</v>
      </c>
      <c r="I825" t="inlineStr">
        <is>
          <t>Optimized</t>
        </is>
      </c>
      <c r="J825" s="29" t="n">
        <v>7.99</v>
      </c>
      <c r="K825" s="30" t="n">
        <v>0.0001</v>
      </c>
      <c r="L825" s="29" t="n">
        <v>0</v>
      </c>
      <c r="M825" s="29" t="n">
        <v>0</v>
      </c>
      <c r="N825" s="2" t="n">
        <v>1</v>
      </c>
      <c r="O825" s="31" t="n">
        <v>0</v>
      </c>
      <c r="P825" s="32" t="n"/>
      <c r="Q825" s="32" t="n">
        <v>0</v>
      </c>
      <c r="R825" s="32" t="n">
        <v>0</v>
      </c>
      <c r="S825" s="31" t="n">
        <v>0</v>
      </c>
      <c r="T825" s="32" t="n">
        <v>0</v>
      </c>
      <c r="U825" s="31" t="n">
        <v>0</v>
      </c>
      <c r="V825" s="31" t="n">
        <v>0</v>
      </c>
      <c r="W825" s="3" t="n">
        <v>0</v>
      </c>
      <c r="X825" s="3" t="n">
        <v>0</v>
      </c>
      <c r="Y825" s="32" t="n">
        <v>0</v>
      </c>
      <c r="Z825" s="3" t="n">
        <v>0</v>
      </c>
      <c r="AA825" s="32" t="n">
        <v>0</v>
      </c>
      <c r="AB825" s="3" t="n"/>
      <c r="AC825" s="31" t="n">
        <v>0</v>
      </c>
      <c r="AD825" s="2" t="n">
        <v>0</v>
      </c>
      <c r="AE825" s="2" t="n">
        <v>12</v>
      </c>
      <c r="AF825" s="4" t="n">
        <v>12</v>
      </c>
      <c r="AG825" s="33" t="n">
        <v>7.99</v>
      </c>
      <c r="AH825" s="4" t="n">
        <v>1</v>
      </c>
      <c r="AI825" s="34" t="n">
        <v>0.0833</v>
      </c>
      <c r="AJ825" s="34" t="n">
        <v>1</v>
      </c>
      <c r="AK825" s="2" t="n">
        <v>3780</v>
      </c>
      <c r="AL825" t="inlineStr">
        <is>
          <t>Published</t>
        </is>
      </c>
    </row>
    <row r="826">
      <c r="A826">
        <f>HYPERLINK("https://www.walmart.com/ip/133823525", "133823525")</f>
        <v/>
      </c>
      <c r="B826">
        <f>HYPERLINK("https://app.optiwise.ai/catalog/itemdetails/360924", "KC Caps® Unisex Cotton Baseball Cap Adjustable Plain Hat (21 Styles/Colors)")</f>
        <v/>
      </c>
      <c r="C826" t="inlineStr">
        <is>
          <t>KC8010KKNV</t>
        </is>
      </c>
      <c r="D826" t="inlineStr">
        <is>
          <t>Clothing</t>
        </is>
      </c>
      <c r="E826" t="inlineStr">
        <is>
          <t>Hats</t>
        </is>
      </c>
      <c r="F826" t="inlineStr">
        <is>
          <t>KC Caps</t>
        </is>
      </c>
      <c r="G826" t="n">
        <v>0</v>
      </c>
      <c r="H826" t="n">
        <v>0</v>
      </c>
      <c r="I826" t="inlineStr">
        <is>
          <t>Optimized</t>
        </is>
      </c>
      <c r="J826" s="29" t="n">
        <v>7.99</v>
      </c>
      <c r="K826" s="30" t="n">
        <v>0.0001</v>
      </c>
      <c r="L826" s="29" t="n">
        <v>7.989999771118164</v>
      </c>
      <c r="M826" s="29" t="n">
        <v>0</v>
      </c>
      <c r="N826" s="2" t="n">
        <v>1</v>
      </c>
      <c r="O826" s="31" t="n">
        <v>0</v>
      </c>
      <c r="P826" s="32" t="n"/>
      <c r="Q826" s="32" t="n">
        <v>0</v>
      </c>
      <c r="R826" s="32" t="n">
        <v>0</v>
      </c>
      <c r="S826" s="31" t="n">
        <v>0</v>
      </c>
      <c r="T826" s="32" t="n">
        <v>0</v>
      </c>
      <c r="U826" s="31" t="n">
        <v>0</v>
      </c>
      <c r="V826" s="31" t="n">
        <v>0</v>
      </c>
      <c r="W826" s="3" t="n">
        <v>0</v>
      </c>
      <c r="X826" s="3" t="n">
        <v>0</v>
      </c>
      <c r="Y826" s="32" t="n">
        <v>0</v>
      </c>
      <c r="Z826" s="3" t="n">
        <v>0</v>
      </c>
      <c r="AA826" s="32" t="n">
        <v>0</v>
      </c>
      <c r="AB826" s="3" t="n"/>
      <c r="AC826" s="31" t="n">
        <v>0</v>
      </c>
      <c r="AD826" s="2" t="n">
        <v>0</v>
      </c>
      <c r="AE826" s="2" t="n">
        <v>4</v>
      </c>
      <c r="AF826" s="4" t="n">
        <v>4</v>
      </c>
      <c r="AG826" s="33" t="n">
        <v>7.99</v>
      </c>
      <c r="AH826" s="4" t="n">
        <v>1</v>
      </c>
      <c r="AI826" s="34" t="n">
        <v>0.25</v>
      </c>
      <c r="AJ826" s="34" t="n">
        <v>1</v>
      </c>
      <c r="AK826" s="2" t="n">
        <v>9585</v>
      </c>
      <c r="AL826" t="inlineStr">
        <is>
          <t>Published</t>
        </is>
      </c>
    </row>
    <row r="827">
      <c r="A827">
        <f>HYPERLINK("https://www.walmart.com/ip/124131438", "124131438")</f>
        <v/>
      </c>
      <c r="B827">
        <f>HYPERLINK("https://app.optiwise.ai/catalog/itemdetails/362814", "Light up Sequin Fedora LED Hat Neon Rave Costumes Glow in Dark Party")</f>
        <v/>
      </c>
      <c r="C827" t="inlineStr">
        <is>
          <t>SLLEDHATGN</t>
        </is>
      </c>
      <c r="D827" t="inlineStr">
        <is>
          <t>Decorations &amp; Favors</t>
        </is>
      </c>
      <c r="E827" t="inlineStr">
        <is>
          <t>Party Hats</t>
        </is>
      </c>
      <c r="F827" t="inlineStr">
        <is>
          <t>Solaris</t>
        </is>
      </c>
      <c r="G827" t="n">
        <v>0</v>
      </c>
      <c r="H827" t="n">
        <v>0</v>
      </c>
      <c r="I827" t="inlineStr">
        <is>
          <t>Optimized,Halloween</t>
        </is>
      </c>
      <c r="J827" s="29" t="n">
        <v>7.99</v>
      </c>
      <c r="K827" s="30" t="n">
        <v>0.0001</v>
      </c>
      <c r="L827" s="29" t="n">
        <v>0</v>
      </c>
      <c r="M827" s="29" t="n">
        <v>0</v>
      </c>
      <c r="N827" s="2" t="n">
        <v>1</v>
      </c>
      <c r="O827" s="31" t="n">
        <v>0</v>
      </c>
      <c r="P827" s="32" t="n"/>
      <c r="Q827" s="32" t="n">
        <v>0</v>
      </c>
      <c r="R827" s="32" t="n">
        <v>0</v>
      </c>
      <c r="S827" s="31" t="n">
        <v>0</v>
      </c>
      <c r="T827" s="32" t="n">
        <v>0</v>
      </c>
      <c r="U827" s="31" t="n">
        <v>0</v>
      </c>
      <c r="V827" s="31" t="n">
        <v>0</v>
      </c>
      <c r="W827" s="3" t="n">
        <v>0</v>
      </c>
      <c r="X827" s="3" t="n">
        <v>0</v>
      </c>
      <c r="Y827" s="32" t="n">
        <v>0</v>
      </c>
      <c r="Z827" s="3" t="n">
        <v>0</v>
      </c>
      <c r="AA827" s="32" t="n">
        <v>0</v>
      </c>
      <c r="AB827" s="3" t="n"/>
      <c r="AC827" s="31" t="n">
        <v>0</v>
      </c>
      <c r="AD827" s="2" t="n">
        <v>0</v>
      </c>
      <c r="AE827" s="2" t="n">
        <v>21</v>
      </c>
      <c r="AF827" s="4" t="n">
        <v>21</v>
      </c>
      <c r="AG827" s="33" t="n">
        <v>7.99</v>
      </c>
      <c r="AH827" s="4" t="n">
        <v>1</v>
      </c>
      <c r="AI827" s="34" t="n">
        <v>0.0476</v>
      </c>
      <c r="AJ827" s="34" t="n">
        <v>1</v>
      </c>
      <c r="AK827" s="2" t="n">
        <v>135</v>
      </c>
      <c r="AL827" t="inlineStr">
        <is>
          <t>Published</t>
        </is>
      </c>
    </row>
    <row r="828">
      <c r="A828">
        <f>HYPERLINK("https://www.walmart.com/ip/147481123", "147481123")</f>
        <v/>
      </c>
      <c r="B828">
        <f>HYPERLINK("https://app.optiwise.ai/catalog/itemdetails/362540", "JenniWears Women Elegant Robe Satin Sleepwear Lace Chemise Nightgown")</f>
        <v/>
      </c>
      <c r="C828" t="inlineStr">
        <is>
          <t>JWRS02RD-XL</t>
        </is>
      </c>
      <c r="D828" t="inlineStr">
        <is>
          <t>Clothing</t>
        </is>
      </c>
      <c r="E828" t="inlineStr">
        <is>
          <t>Nightgowns &amp; Sleepshirts</t>
        </is>
      </c>
      <c r="F828" t="inlineStr">
        <is>
          <t>JenniWears</t>
        </is>
      </c>
      <c r="G828" t="n">
        <v>0</v>
      </c>
      <c r="H828" t="n">
        <v>0</v>
      </c>
      <c r="I828" t="inlineStr">
        <is>
          <t>Optimized,Valentine</t>
        </is>
      </c>
      <c r="J828" s="29" t="n">
        <v>7.99</v>
      </c>
      <c r="K828" s="30" t="n">
        <v>0.0001</v>
      </c>
      <c r="L828" s="29" t="n">
        <v>0</v>
      </c>
      <c r="M828" s="29" t="n">
        <v>0</v>
      </c>
      <c r="N828" s="2" t="n">
        <v>1</v>
      </c>
      <c r="O828" s="31" t="n">
        <v>0</v>
      </c>
      <c r="P828" s="32" t="n"/>
      <c r="Q828" s="32" t="n">
        <v>0</v>
      </c>
      <c r="R828" s="32" t="n">
        <v>0</v>
      </c>
      <c r="S828" s="31" t="n">
        <v>0</v>
      </c>
      <c r="T828" s="32" t="n">
        <v>0</v>
      </c>
      <c r="U828" s="31" t="n">
        <v>0</v>
      </c>
      <c r="V828" s="31" t="n">
        <v>0</v>
      </c>
      <c r="W828" s="3" t="n">
        <v>0</v>
      </c>
      <c r="X828" s="3" t="n">
        <v>0</v>
      </c>
      <c r="Y828" s="32" t="n">
        <v>0</v>
      </c>
      <c r="Z828" s="3" t="n">
        <v>0</v>
      </c>
      <c r="AA828" s="32" t="n">
        <v>0</v>
      </c>
      <c r="AB828" s="3" t="n"/>
      <c r="AC828" s="31" t="n">
        <v>0</v>
      </c>
      <c r="AD828" s="2" t="n">
        <v>0</v>
      </c>
      <c r="AE828" s="2" t="n">
        <v>7</v>
      </c>
      <c r="AF828" s="4" t="n">
        <v>7</v>
      </c>
      <c r="AG828" s="33" t="n">
        <v>7.99</v>
      </c>
      <c r="AH828" s="4" t="n">
        <v>1</v>
      </c>
      <c r="AI828" s="34" t="n">
        <v>0.1429</v>
      </c>
      <c r="AJ828" s="34" t="n">
        <v>1</v>
      </c>
      <c r="AK828" s="2" t="n">
        <v>5805</v>
      </c>
      <c r="AL828" t="inlineStr">
        <is>
          <t>Published</t>
        </is>
      </c>
    </row>
    <row r="829">
      <c r="A829">
        <f>HYPERLINK("https://www.walmart.com/ip/742753618", "742753618")</f>
        <v/>
      </c>
      <c r="B829">
        <f>HYPERLINK("https://app.optiwise.ai/catalog/itemdetails/362706", "Women's High Waist Yoga Pants Workout Running Capri Legging Inner Pocket")</f>
        <v/>
      </c>
      <c r="C829" t="inlineStr">
        <is>
          <t>1TRYP102BK-LXL</t>
        </is>
      </c>
      <c r="D829" t="inlineStr">
        <is>
          <t>Clothing</t>
        </is>
      </c>
      <c r="E829" t="inlineStr">
        <is>
          <t>Leggings</t>
        </is>
      </c>
      <c r="F829" t="inlineStr">
        <is>
          <t>Tirrinia</t>
        </is>
      </c>
      <c r="G829" t="n">
        <v>1</v>
      </c>
      <c r="H829" t="n">
        <v>1</v>
      </c>
      <c r="I829" t="inlineStr">
        <is>
          <t>Optimized</t>
        </is>
      </c>
      <c r="J829" s="29" t="n">
        <v>7.99</v>
      </c>
      <c r="K829" s="30" t="n">
        <v>0.0001</v>
      </c>
      <c r="L829" s="29" t="n">
        <v>0</v>
      </c>
      <c r="M829" s="29" t="n">
        <v>0</v>
      </c>
      <c r="N829" s="2" t="n">
        <v>1</v>
      </c>
      <c r="O829" s="31" t="n">
        <v>0</v>
      </c>
      <c r="P829" s="32" t="n"/>
      <c r="Q829" s="32" t="n">
        <v>0</v>
      </c>
      <c r="R829" s="32" t="n">
        <v>0</v>
      </c>
      <c r="S829" s="31" t="n">
        <v>0</v>
      </c>
      <c r="T829" s="32" t="n">
        <v>0</v>
      </c>
      <c r="U829" s="31" t="n">
        <v>0</v>
      </c>
      <c r="V829" s="31" t="n">
        <v>0</v>
      </c>
      <c r="W829" s="3" t="n">
        <v>0</v>
      </c>
      <c r="X829" s="3" t="n">
        <v>0</v>
      </c>
      <c r="Y829" s="32" t="n">
        <v>0</v>
      </c>
      <c r="Z829" s="3" t="n">
        <v>0</v>
      </c>
      <c r="AA829" s="32" t="n">
        <v>0</v>
      </c>
      <c r="AB829" s="3" t="n"/>
      <c r="AC829" s="31" t="n">
        <v>0</v>
      </c>
      <c r="AD829" s="2" t="n">
        <v>0</v>
      </c>
      <c r="AE829" s="2" t="n">
        <v>23</v>
      </c>
      <c r="AF829" s="4" t="n">
        <v>23</v>
      </c>
      <c r="AG829" s="33" t="n">
        <v>7.99</v>
      </c>
      <c r="AH829" s="4" t="n">
        <v>1</v>
      </c>
      <c r="AI829" s="34" t="n">
        <v>0.0435</v>
      </c>
      <c r="AJ829" s="34" t="n">
        <v>1</v>
      </c>
      <c r="AK829" s="2" t="n">
        <v>13500</v>
      </c>
      <c r="AL829" t="inlineStr">
        <is>
          <t>Published</t>
        </is>
      </c>
    </row>
    <row r="830">
      <c r="A830">
        <f>HYPERLINK("https://www.walmart.com/ip/815244005", "815244005")</f>
        <v/>
      </c>
      <c r="B830">
        <f>HYPERLINK("https://app.optiwise.ai/catalog/itemdetails/362539", "American Flag Sun Cap Patriotic Sports Baseball Tennis Golf Dad Hats for Men Women by Solaris")</f>
        <v/>
      </c>
      <c r="C830" t="inlineStr">
        <is>
          <t>1SLBC120NV</t>
        </is>
      </c>
      <c r="D830" t="inlineStr">
        <is>
          <t>Clothing</t>
        </is>
      </c>
      <c r="E830" t="inlineStr">
        <is>
          <t>Golf Hats</t>
        </is>
      </c>
      <c r="F830" t="inlineStr">
        <is>
          <t>Solaris</t>
        </is>
      </c>
      <c r="G830" t="n">
        <v>0</v>
      </c>
      <c r="H830" t="n">
        <v>0</v>
      </c>
      <c r="I830" t="inlineStr">
        <is>
          <t>Optimized</t>
        </is>
      </c>
      <c r="J830" s="29" t="n">
        <v>7.99</v>
      </c>
      <c r="K830" s="30" t="n">
        <v>0.0001</v>
      </c>
      <c r="L830" s="29" t="n">
        <v>0</v>
      </c>
      <c r="M830" s="29" t="n">
        <v>0</v>
      </c>
      <c r="N830" s="2" t="n">
        <v>1</v>
      </c>
      <c r="O830" s="31" t="n">
        <v>0</v>
      </c>
      <c r="P830" s="32" t="n"/>
      <c r="Q830" s="32" t="n">
        <v>0</v>
      </c>
      <c r="R830" s="32" t="n">
        <v>0</v>
      </c>
      <c r="S830" s="31" t="n">
        <v>0</v>
      </c>
      <c r="T830" s="32" t="n">
        <v>0</v>
      </c>
      <c r="U830" s="31" t="n">
        <v>0</v>
      </c>
      <c r="V830" s="31" t="n">
        <v>0</v>
      </c>
      <c r="W830" s="3" t="n">
        <v>0</v>
      </c>
      <c r="X830" s="3" t="n">
        <v>0</v>
      </c>
      <c r="Y830" s="32" t="n">
        <v>0</v>
      </c>
      <c r="Z830" s="3" t="n">
        <v>0</v>
      </c>
      <c r="AA830" s="32" t="n">
        <v>0</v>
      </c>
      <c r="AB830" s="3" t="n"/>
      <c r="AC830" s="31" t="n">
        <v>0</v>
      </c>
      <c r="AD830" s="2" t="n">
        <v>0</v>
      </c>
      <c r="AE830" s="2" t="n">
        <v>17</v>
      </c>
      <c r="AF830" s="4" t="n">
        <v>17</v>
      </c>
      <c r="AG830" s="33" t="n">
        <v>7.99</v>
      </c>
      <c r="AH830" s="4" t="n">
        <v>1</v>
      </c>
      <c r="AI830" s="34" t="n">
        <v>0.0588</v>
      </c>
      <c r="AJ830" s="34" t="n">
        <v>1</v>
      </c>
      <c r="AK830" s="2" t="n">
        <v>13500</v>
      </c>
      <c r="AL830" t="inlineStr">
        <is>
          <t>Published</t>
        </is>
      </c>
    </row>
    <row r="831">
      <c r="A831">
        <f>HYPERLINK("https://www.walmart.com/ip/541525796", "541525796")</f>
        <v/>
      </c>
      <c r="B831">
        <f>HYPERLINK("https://app.optiwise.ai/catalog/itemdetails/359101", "Terra Sun Hat for Women Summer Beach UPF 50+ Wide Brim Bucket, Beige")</f>
        <v/>
      </c>
      <c r="C831" t="inlineStr">
        <is>
          <t>TERRACAP-F065-BEI</t>
        </is>
      </c>
      <c r="D831" t="inlineStr">
        <is>
          <t>Clothing</t>
        </is>
      </c>
      <c r="E831" t="inlineStr">
        <is>
          <t>Hats</t>
        </is>
      </c>
      <c r="F831" t="inlineStr">
        <is>
          <t>Terra</t>
        </is>
      </c>
      <c r="G831" t="n">
        <v>0</v>
      </c>
      <c r="H831" t="n">
        <v>0</v>
      </c>
      <c r="I831" t="inlineStr">
        <is>
          <t>Optimized</t>
        </is>
      </c>
      <c r="J831" s="29" t="n">
        <v>7.99</v>
      </c>
      <c r="K831" s="30" t="n">
        <v>0.0001</v>
      </c>
      <c r="L831" s="29" t="n">
        <v>0</v>
      </c>
      <c r="M831" s="29" t="n">
        <v>0</v>
      </c>
      <c r="N831" s="2" t="n">
        <v>1</v>
      </c>
      <c r="O831" s="31" t="n">
        <v>0</v>
      </c>
      <c r="P831" s="32" t="n"/>
      <c r="Q831" s="32" t="n">
        <v>0</v>
      </c>
      <c r="R831" s="32" t="n">
        <v>0</v>
      </c>
      <c r="S831" s="31" t="n">
        <v>0</v>
      </c>
      <c r="T831" s="32" t="n">
        <v>0</v>
      </c>
      <c r="U831" s="31" t="n">
        <v>0</v>
      </c>
      <c r="V831" s="31" t="n">
        <v>0</v>
      </c>
      <c r="W831" s="3" t="n">
        <v>0</v>
      </c>
      <c r="X831" s="3" t="n">
        <v>0</v>
      </c>
      <c r="Y831" s="32" t="n">
        <v>0</v>
      </c>
      <c r="Z831" s="3" t="n">
        <v>0</v>
      </c>
      <c r="AA831" s="32" t="n">
        <v>0</v>
      </c>
      <c r="AB831" s="3" t="n"/>
      <c r="AC831" s="31" t="n">
        <v>0</v>
      </c>
      <c r="AD831" s="2" t="n">
        <v>0</v>
      </c>
      <c r="AE831" s="2" t="n">
        <v>17</v>
      </c>
      <c r="AF831" s="4" t="n">
        <v>17</v>
      </c>
      <c r="AG831" s="33" t="n">
        <v>7.99</v>
      </c>
      <c r="AH831" s="4" t="n">
        <v>1</v>
      </c>
      <c r="AI831" s="34" t="n">
        <v>0.0588</v>
      </c>
      <c r="AJ831" s="34" t="n">
        <v>1</v>
      </c>
      <c r="AK831" s="2" t="n">
        <v>13500</v>
      </c>
      <c r="AL831" t="inlineStr">
        <is>
          <t>Published</t>
        </is>
      </c>
    </row>
    <row r="832">
      <c r="A832">
        <f>HYPERLINK("https://www.walmart.com/ip/170058758", "170058758")</f>
        <v/>
      </c>
      <c r="B832">
        <f>HYPERLINK("https://app.optiwise.ai/catalog/itemdetails/362583", "JenniWears® Women's Kimono Lace Lingerie Sleepwear Matching Cheeky Panty")</f>
        <v/>
      </c>
      <c r="C832" t="inlineStr">
        <is>
          <t>JWRS01BL-XL</t>
        </is>
      </c>
      <c r="D832" t="inlineStr">
        <is>
          <t>Clothing</t>
        </is>
      </c>
      <c r="E832" t="inlineStr">
        <is>
          <t>Lingerie Sets</t>
        </is>
      </c>
      <c r="F832" t="inlineStr">
        <is>
          <t>JenniWears</t>
        </is>
      </c>
      <c r="G832" t="n">
        <v>0</v>
      </c>
      <c r="H832" t="n">
        <v>0</v>
      </c>
      <c r="I832" t="inlineStr">
        <is>
          <t>Optimized,Valentine</t>
        </is>
      </c>
      <c r="J832" s="29" t="n">
        <v>7.99</v>
      </c>
      <c r="K832" s="30" t="n">
        <v>0.0001</v>
      </c>
      <c r="L832" s="29" t="n">
        <v>0</v>
      </c>
      <c r="M832" s="29" t="n">
        <v>0</v>
      </c>
      <c r="N832" s="2" t="n">
        <v>1</v>
      </c>
      <c r="O832" s="31" t="n">
        <v>0</v>
      </c>
      <c r="P832" s="32" t="n"/>
      <c r="Q832" s="32" t="n">
        <v>0</v>
      </c>
      <c r="R832" s="32" t="n">
        <v>0</v>
      </c>
      <c r="S832" s="31" t="n">
        <v>0</v>
      </c>
      <c r="T832" s="32" t="n">
        <v>0</v>
      </c>
      <c r="U832" s="31" t="n">
        <v>0</v>
      </c>
      <c r="V832" s="31" t="n">
        <v>0</v>
      </c>
      <c r="W832" s="3" t="n">
        <v>0</v>
      </c>
      <c r="X832" s="3" t="n">
        <v>0</v>
      </c>
      <c r="Y832" s="32" t="n">
        <v>0</v>
      </c>
      <c r="Z832" s="3" t="n">
        <v>0</v>
      </c>
      <c r="AA832" s="32" t="n">
        <v>0</v>
      </c>
      <c r="AB832" s="3" t="n"/>
      <c r="AC832" s="31" t="n">
        <v>0</v>
      </c>
      <c r="AD832" s="2" t="n">
        <v>0</v>
      </c>
      <c r="AE832" s="2" t="n">
        <v>50</v>
      </c>
      <c r="AF832" s="4" t="n">
        <v>50</v>
      </c>
      <c r="AG832" s="33" t="n">
        <v>7.99</v>
      </c>
      <c r="AH832" s="4" t="n">
        <v>1</v>
      </c>
      <c r="AI832" s="34" t="n">
        <v>0.02</v>
      </c>
      <c r="AJ832" s="34" t="n">
        <v>1</v>
      </c>
      <c r="AK832" s="2" t="n">
        <v>13500</v>
      </c>
      <c r="AL832" t="inlineStr">
        <is>
          <t>Published</t>
        </is>
      </c>
    </row>
    <row r="833">
      <c r="A833">
        <f>HYPERLINK("https://www.walmart.com/ip/119730579", "119730579")</f>
        <v/>
      </c>
      <c r="B833">
        <f>HYPERLINK("https://app.optiwise.ai/catalog/itemdetails/360756", "JenniWears® Women's Sexy Lace Nightgown Sleepwear Bathrobe 2 Piece Set")</f>
        <v/>
      </c>
      <c r="C833" t="inlineStr">
        <is>
          <t>JWRS02BK-XL</t>
        </is>
      </c>
      <c r="D833" t="inlineStr">
        <is>
          <t>Clothing</t>
        </is>
      </c>
      <c r="E833" t="inlineStr">
        <is>
          <t>Nightgowns &amp; Sleepshirts</t>
        </is>
      </c>
      <c r="F833" t="inlineStr">
        <is>
          <t>JenniWears</t>
        </is>
      </c>
      <c r="G833" t="n">
        <v>2.7</v>
      </c>
      <c r="H833" t="n">
        <v>3</v>
      </c>
      <c r="I833" t="inlineStr">
        <is>
          <t>Valentine,Bathrobe</t>
        </is>
      </c>
      <c r="J833" s="29" t="n">
        <v>7.99</v>
      </c>
      <c r="K833" s="30" t="n">
        <v>0.0001</v>
      </c>
      <c r="L833" s="29" t="n">
        <v>0</v>
      </c>
      <c r="M833" s="29" t="n">
        <v>0</v>
      </c>
      <c r="N833" s="2" t="n">
        <v>1</v>
      </c>
      <c r="O833" s="31" t="n">
        <v>0</v>
      </c>
      <c r="P833" s="32" t="n"/>
      <c r="Q833" s="32" t="n">
        <v>0</v>
      </c>
      <c r="R833" s="32" t="n">
        <v>0</v>
      </c>
      <c r="S833" s="31" t="n">
        <v>0</v>
      </c>
      <c r="T833" s="32" t="n">
        <v>0</v>
      </c>
      <c r="U833" s="31" t="n">
        <v>0</v>
      </c>
      <c r="V833" s="31" t="n">
        <v>0</v>
      </c>
      <c r="W833" s="3" t="n">
        <v>0</v>
      </c>
      <c r="X833" s="3" t="n">
        <v>0</v>
      </c>
      <c r="Y833" s="32" t="n">
        <v>0</v>
      </c>
      <c r="Z833" s="3" t="n">
        <v>0</v>
      </c>
      <c r="AA833" s="32" t="n">
        <v>0</v>
      </c>
      <c r="AB833" s="3" t="n"/>
      <c r="AC833" s="31" t="n">
        <v>0</v>
      </c>
      <c r="AD833" s="2" t="n">
        <v>0</v>
      </c>
      <c r="AE833" s="2" t="n">
        <v>8</v>
      </c>
      <c r="AF833" s="4" t="n">
        <v>8</v>
      </c>
      <c r="AG833" s="33" t="n">
        <v>7.99</v>
      </c>
      <c r="AH833" s="4" t="n">
        <v>1</v>
      </c>
      <c r="AI833" s="34" t="n">
        <v>0.125</v>
      </c>
      <c r="AJ833" s="34" t="n">
        <v>1</v>
      </c>
      <c r="AK833" s="2" t="n">
        <v>0</v>
      </c>
      <c r="AL833" t="inlineStr">
        <is>
          <t>Published</t>
        </is>
      </c>
    </row>
    <row r="834">
      <c r="A834">
        <f>HYPERLINK("https://www.walmart.com/ip/183843207", "183843207")</f>
        <v/>
      </c>
      <c r="B834">
        <f>HYPERLINK("https://app.optiwise.ai/catalog/itemdetails/361244", "KC Caps® Unisex Cotton Baseball Cap Adjustable Plain Hat (21 Styles/Colors)")</f>
        <v/>
      </c>
      <c r="C834" t="inlineStr">
        <is>
          <t>KC8010KKGN</t>
        </is>
      </c>
      <c r="D834" t="inlineStr">
        <is>
          <t>Clothing</t>
        </is>
      </c>
      <c r="E834" t="inlineStr">
        <is>
          <t>Hats</t>
        </is>
      </c>
      <c r="F834" t="inlineStr">
        <is>
          <t>KC Caps</t>
        </is>
      </c>
      <c r="G834" t="n">
        <v>0</v>
      </c>
      <c r="H834" t="n">
        <v>0</v>
      </c>
      <c r="I834" t="inlineStr">
        <is>
          <t>Optimized</t>
        </is>
      </c>
      <c r="J834" s="29" t="n">
        <v>7.99</v>
      </c>
      <c r="K834" s="30" t="n">
        <v>0.0001</v>
      </c>
      <c r="L834" s="29" t="n">
        <v>0</v>
      </c>
      <c r="M834" s="29" t="n">
        <v>0</v>
      </c>
      <c r="N834" s="2" t="n">
        <v>1</v>
      </c>
      <c r="O834" s="31" t="n">
        <v>0</v>
      </c>
      <c r="P834" s="32" t="n"/>
      <c r="Q834" s="32" t="n">
        <v>0</v>
      </c>
      <c r="R834" s="32" t="n">
        <v>0</v>
      </c>
      <c r="S834" s="31" t="n">
        <v>0</v>
      </c>
      <c r="T834" s="32" t="n">
        <v>0</v>
      </c>
      <c r="U834" s="31" t="n">
        <v>0</v>
      </c>
      <c r="V834" s="31" t="n">
        <v>0</v>
      </c>
      <c r="W834" s="3" t="n">
        <v>0</v>
      </c>
      <c r="X834" s="3" t="n">
        <v>0</v>
      </c>
      <c r="Y834" s="32" t="n">
        <v>0</v>
      </c>
      <c r="Z834" s="3" t="n">
        <v>0</v>
      </c>
      <c r="AA834" s="32" t="n">
        <v>0</v>
      </c>
      <c r="AB834" s="3" t="n"/>
      <c r="AC834" s="31" t="n">
        <v>0</v>
      </c>
      <c r="AD834" s="2" t="n">
        <v>0</v>
      </c>
      <c r="AE834" s="2" t="n">
        <v>27</v>
      </c>
      <c r="AF834" s="4" t="n">
        <v>27</v>
      </c>
      <c r="AG834" s="33" t="n">
        <v>7.99</v>
      </c>
      <c r="AH834" s="4" t="n">
        <v>1</v>
      </c>
      <c r="AI834" s="34" t="n">
        <v>0.037</v>
      </c>
      <c r="AJ834" s="34" t="n">
        <v>1</v>
      </c>
      <c r="AK834" s="2" t="n">
        <v>5805</v>
      </c>
      <c r="AL834" t="inlineStr">
        <is>
          <t>Published</t>
        </is>
      </c>
    </row>
    <row r="835">
      <c r="A835">
        <f>HYPERLINK("https://www.walmart.com/ip/161105747", "161105747")</f>
        <v/>
      </c>
      <c r="B835">
        <f>HYPERLINK("https://app.optiwise.ai/catalog/itemdetails/362070", "Women's sexy see-through red lingerie lace fishnet suspender by JenniWears®")</f>
        <v/>
      </c>
      <c r="C835" t="inlineStr">
        <is>
          <t>JWBD02RD-M</t>
        </is>
      </c>
      <c r="D835" t="inlineStr">
        <is>
          <t>Clothing</t>
        </is>
      </c>
      <c r="E835" t="inlineStr">
        <is>
          <t>Lingerie Sets</t>
        </is>
      </c>
      <c r="F835" t="inlineStr">
        <is>
          <t>JenniWears</t>
        </is>
      </c>
      <c r="G835" t="n">
        <v>4</v>
      </c>
      <c r="H835" t="n">
        <v>1</v>
      </c>
      <c r="I835" t="inlineStr">
        <is>
          <t>Optimized,Valentine</t>
        </is>
      </c>
      <c r="J835" s="29" t="n">
        <v>7.98</v>
      </c>
      <c r="K835" s="30" t="n">
        <v>0.0001</v>
      </c>
      <c r="L835" s="29" t="n">
        <v>0</v>
      </c>
      <c r="M835" s="29" t="n">
        <v>0</v>
      </c>
      <c r="N835" s="2" t="n">
        <v>1</v>
      </c>
      <c r="O835" s="31" t="n">
        <v>0</v>
      </c>
      <c r="P835" s="32" t="n"/>
      <c r="Q835" s="32" t="n">
        <v>0</v>
      </c>
      <c r="R835" s="32" t="n">
        <v>0</v>
      </c>
      <c r="S835" s="31" t="n">
        <v>0</v>
      </c>
      <c r="T835" s="32" t="n">
        <v>0</v>
      </c>
      <c r="U835" s="31" t="n">
        <v>0</v>
      </c>
      <c r="V835" s="31" t="n">
        <v>0</v>
      </c>
      <c r="W835" s="3" t="n">
        <v>0</v>
      </c>
      <c r="X835" s="3" t="n">
        <v>0</v>
      </c>
      <c r="Y835" s="32" t="n">
        <v>0</v>
      </c>
      <c r="Z835" s="3" t="n">
        <v>0</v>
      </c>
      <c r="AA835" s="32" t="n">
        <v>0</v>
      </c>
      <c r="AB835" s="3" t="n"/>
      <c r="AC835" s="31" t="n">
        <v>0</v>
      </c>
      <c r="AD835" s="2" t="n">
        <v>0</v>
      </c>
      <c r="AE835" s="2" t="n">
        <v>10</v>
      </c>
      <c r="AF835" s="4" t="n">
        <v>10</v>
      </c>
      <c r="AG835" s="33" t="n">
        <v>7.98</v>
      </c>
      <c r="AH835" s="4" t="n">
        <v>1</v>
      </c>
      <c r="AI835" s="34" t="n">
        <v>0.1</v>
      </c>
      <c r="AJ835" s="34" t="n">
        <v>1</v>
      </c>
      <c r="AK835" s="2" t="n">
        <v>0</v>
      </c>
      <c r="AL835" t="inlineStr">
        <is>
          <t>Published</t>
        </is>
      </c>
    </row>
    <row r="836">
      <c r="A836">
        <f>HYPERLINK("https://www.walmart.com/ip/172613286", "172613286")</f>
        <v/>
      </c>
      <c r="B836">
        <f>HYPERLINK("https://app.optiwise.ai/catalog/itemdetails/362797", "Terra Active Wrap- Stylish Running workout travel waist belt w/ hidden pocket")</f>
        <v/>
      </c>
      <c r="C836" t="inlineStr">
        <is>
          <t>TERRA-3BK-L</t>
        </is>
      </c>
      <c r="D836" t="inlineStr">
        <is>
          <t>Carriers &amp; Accessories</t>
        </is>
      </c>
      <c r="E836" t="inlineStr">
        <is>
          <t>Running Belts</t>
        </is>
      </c>
      <c r="F836" t="inlineStr">
        <is>
          <t>Terra</t>
        </is>
      </c>
      <c r="G836" t="n">
        <v>0</v>
      </c>
      <c r="H836" t="n">
        <v>0</v>
      </c>
      <c r="I836" t="inlineStr">
        <is>
          <t>Batch 1 - TR</t>
        </is>
      </c>
      <c r="J836" s="29" t="n">
        <v>7.98</v>
      </c>
      <c r="K836" s="30" t="n">
        <v>0.0001</v>
      </c>
      <c r="L836" s="29" t="n">
        <v>0</v>
      </c>
      <c r="M836" s="29" t="n">
        <v>0</v>
      </c>
      <c r="N836" s="2" t="n">
        <v>1</v>
      </c>
      <c r="O836" s="31" t="n">
        <v>0</v>
      </c>
      <c r="P836" s="32" t="n"/>
      <c r="Q836" s="32" t="n">
        <v>0</v>
      </c>
      <c r="R836" s="32" t="n">
        <v>0</v>
      </c>
      <c r="S836" s="31" t="n">
        <v>0</v>
      </c>
      <c r="T836" s="32" t="n">
        <v>0</v>
      </c>
      <c r="U836" s="31" t="n">
        <v>0</v>
      </c>
      <c r="V836" s="31" t="n">
        <v>0</v>
      </c>
      <c r="W836" s="3" t="n">
        <v>0</v>
      </c>
      <c r="X836" s="3" t="n">
        <v>0</v>
      </c>
      <c r="Y836" s="32" t="n">
        <v>0</v>
      </c>
      <c r="Z836" s="3" t="n">
        <v>0</v>
      </c>
      <c r="AA836" s="32" t="n">
        <v>0</v>
      </c>
      <c r="AB836" s="3" t="n"/>
      <c r="AC836" s="31" t="n">
        <v>0</v>
      </c>
      <c r="AD836" s="2" t="n">
        <v>0</v>
      </c>
      <c r="AE836" s="2" t="n">
        <v>16</v>
      </c>
      <c r="AF836" s="4" t="n">
        <v>16</v>
      </c>
      <c r="AG836" s="33" t="n">
        <v>7.98</v>
      </c>
      <c r="AH836" s="4" t="n">
        <v>1</v>
      </c>
      <c r="AI836" s="34" t="n">
        <v>0.0625</v>
      </c>
      <c r="AJ836" s="34" t="n">
        <v>1</v>
      </c>
      <c r="AK836" s="2" t="n">
        <v>10935</v>
      </c>
      <c r="AL836" t="inlineStr">
        <is>
          <t>Published</t>
        </is>
      </c>
    </row>
    <row r="837">
      <c r="A837">
        <f>HYPERLINK("https://www.walmart.com/ip/115623032", "115623032")</f>
        <v/>
      </c>
      <c r="B837">
        <f>HYPERLINK("https://app.optiwise.ai/catalog/itemdetails/362482", "JenniWears® Women's Sexy Strappy Lace Mesh Chemise Lingerie with G-string")</f>
        <v/>
      </c>
      <c r="C837" t="inlineStr">
        <is>
          <t>JWBD03BKPP-M</t>
        </is>
      </c>
      <c r="D837" t="inlineStr">
        <is>
          <t>Clothing</t>
        </is>
      </c>
      <c r="E837" t="inlineStr">
        <is>
          <t>Lingerie Sets</t>
        </is>
      </c>
      <c r="F837" t="inlineStr">
        <is>
          <t>JenniWears</t>
        </is>
      </c>
      <c r="G837" t="n">
        <v>0</v>
      </c>
      <c r="H837" t="n">
        <v>0</v>
      </c>
      <c r="I837" t="inlineStr">
        <is>
          <t>Optimized,Valentine</t>
        </is>
      </c>
      <c r="J837" s="29" t="n">
        <v>7.98</v>
      </c>
      <c r="K837" s="30" t="n">
        <v>0.0001</v>
      </c>
      <c r="L837" s="29" t="n">
        <v>0</v>
      </c>
      <c r="M837" s="29" t="n">
        <v>0</v>
      </c>
      <c r="N837" s="2" t="n">
        <v>1</v>
      </c>
      <c r="O837" s="31" t="n">
        <v>0</v>
      </c>
      <c r="P837" s="32" t="n"/>
      <c r="Q837" s="32" t="n">
        <v>0</v>
      </c>
      <c r="R837" s="32" t="n">
        <v>0</v>
      </c>
      <c r="S837" s="31" t="n">
        <v>0</v>
      </c>
      <c r="T837" s="32" t="n">
        <v>0</v>
      </c>
      <c r="U837" s="31" t="n">
        <v>0</v>
      </c>
      <c r="V837" s="31" t="n">
        <v>0</v>
      </c>
      <c r="W837" s="3" t="n">
        <v>0</v>
      </c>
      <c r="X837" s="3" t="n">
        <v>0</v>
      </c>
      <c r="Y837" s="32" t="n">
        <v>0</v>
      </c>
      <c r="Z837" s="3" t="n">
        <v>0</v>
      </c>
      <c r="AA837" s="32" t="n">
        <v>0</v>
      </c>
      <c r="AB837" s="3" t="n"/>
      <c r="AC837" s="31" t="n">
        <v>0</v>
      </c>
      <c r="AD837" s="2" t="n">
        <v>22</v>
      </c>
      <c r="AE837" s="2" t="n">
        <v>87</v>
      </c>
      <c r="AF837" s="4" t="n">
        <v>87</v>
      </c>
      <c r="AG837" s="33" t="n">
        <v>7.98</v>
      </c>
      <c r="AH837" s="4" t="n">
        <v>1</v>
      </c>
      <c r="AI837" s="34" t="n">
        <v>0.0115</v>
      </c>
      <c r="AJ837" s="34" t="n">
        <v>1</v>
      </c>
      <c r="AK837" s="2" t="n">
        <v>10800</v>
      </c>
      <c r="AL837" t="inlineStr">
        <is>
          <t>Published</t>
        </is>
      </c>
    </row>
    <row r="838">
      <c r="A838">
        <f>HYPERLINK("https://www.walmart.com/ip/123766588", "123766588")</f>
        <v/>
      </c>
      <c r="B838">
        <f>HYPERLINK("https://app.optiwise.ai/catalog/itemdetails/360487", "Terra Active Wrap- Stylish Running workout travel waist belt w/ hidden pocket")</f>
        <v/>
      </c>
      <c r="C838" t="inlineStr">
        <is>
          <t>TERRA-3PK-M</t>
        </is>
      </c>
      <c r="D838" t="inlineStr">
        <is>
          <t>Cases &amp; Bags</t>
        </is>
      </c>
      <c r="E838" t="inlineStr">
        <is>
          <t>Running Belts</t>
        </is>
      </c>
      <c r="F838" t="inlineStr">
        <is>
          <t>Terra</t>
        </is>
      </c>
      <c r="G838" t="n">
        <v>0</v>
      </c>
      <c r="H838" t="n">
        <v>0</v>
      </c>
      <c r="I838" t="inlineStr">
        <is>
          <t>Optimized</t>
        </is>
      </c>
      <c r="J838" s="29" t="n">
        <v>7.98</v>
      </c>
      <c r="K838" s="30" t="n">
        <v>0.0001</v>
      </c>
      <c r="L838" s="29" t="n">
        <v>0</v>
      </c>
      <c r="M838" s="29" t="n">
        <v>0</v>
      </c>
      <c r="N838" s="2" t="n">
        <v>1</v>
      </c>
      <c r="O838" s="31" t="n">
        <v>0</v>
      </c>
      <c r="P838" s="32" t="n"/>
      <c r="Q838" s="32" t="n">
        <v>0</v>
      </c>
      <c r="R838" s="32" t="n">
        <v>0</v>
      </c>
      <c r="S838" s="31" t="n">
        <v>0</v>
      </c>
      <c r="T838" s="32" t="n">
        <v>0</v>
      </c>
      <c r="U838" s="31" t="n">
        <v>0</v>
      </c>
      <c r="V838" s="31" t="n">
        <v>0</v>
      </c>
      <c r="W838" s="3" t="n">
        <v>0</v>
      </c>
      <c r="X838" s="3" t="n">
        <v>0</v>
      </c>
      <c r="Y838" s="32" t="n">
        <v>0</v>
      </c>
      <c r="Z838" s="3" t="n">
        <v>0</v>
      </c>
      <c r="AA838" s="32" t="n">
        <v>0</v>
      </c>
      <c r="AB838" s="3" t="n"/>
      <c r="AC838" s="31" t="n">
        <v>0</v>
      </c>
      <c r="AD838" s="2" t="n">
        <v>0</v>
      </c>
      <c r="AE838" s="2" t="n">
        <v>15</v>
      </c>
      <c r="AF838" s="4" t="n">
        <v>15</v>
      </c>
      <c r="AG838" s="33" t="n">
        <v>7.98</v>
      </c>
      <c r="AH838" s="4" t="n">
        <v>1</v>
      </c>
      <c r="AI838" s="34" t="n">
        <v>0.0667</v>
      </c>
      <c r="AJ838" s="34" t="n">
        <v>1</v>
      </c>
      <c r="AK838" s="2" t="n">
        <v>540</v>
      </c>
      <c r="AL838" t="inlineStr">
        <is>
          <t>Published</t>
        </is>
      </c>
    </row>
    <row r="839">
      <c r="A839">
        <f>HYPERLINK("https://www.walmart.com/ip/914310143", "914310143")</f>
        <v/>
      </c>
      <c r="B839">
        <f>HYPERLINK("https://app.optiwise.ai/catalog/itemdetails/360571", "Terra Outdoor Flexible Running Fuel Belt &amp; Fitness Workout Belt for Women and Men - Best Exercise Waist Pack - Sports Travel Money Belt - Fanny Pack Runner Safety Reflective Waist Belt with Pockets")</f>
        <v/>
      </c>
      <c r="C839" t="inlineStr">
        <is>
          <t>TERRA-5NG-M-ZJ</t>
        </is>
      </c>
      <c r="D839" t="inlineStr">
        <is>
          <t>Cases &amp; Bags</t>
        </is>
      </c>
      <c r="E839" t="inlineStr">
        <is>
          <t>Fanny Packs</t>
        </is>
      </c>
      <c r="F839" t="inlineStr">
        <is>
          <t>Terra</t>
        </is>
      </c>
      <c r="G839" t="n">
        <v>0</v>
      </c>
      <c r="H839" t="n">
        <v>0</v>
      </c>
      <c r="I839" t="inlineStr">
        <is>
          <t>Batch 1 - TR</t>
        </is>
      </c>
      <c r="J839" s="29" t="n">
        <v>7.98</v>
      </c>
      <c r="K839" s="30" t="n">
        <v>0.0001</v>
      </c>
      <c r="L839" s="29" t="n">
        <v>0</v>
      </c>
      <c r="M839" s="29" t="n">
        <v>0</v>
      </c>
      <c r="N839" s="2" t="n">
        <v>1</v>
      </c>
      <c r="O839" s="31" t="n">
        <v>0</v>
      </c>
      <c r="P839" s="32" t="n"/>
      <c r="Q839" s="32" t="n">
        <v>0</v>
      </c>
      <c r="R839" s="32" t="n">
        <v>0</v>
      </c>
      <c r="S839" s="31" t="n">
        <v>0</v>
      </c>
      <c r="T839" s="32" t="n">
        <v>0</v>
      </c>
      <c r="U839" s="31" t="n">
        <v>0</v>
      </c>
      <c r="V839" s="31" t="n">
        <v>0</v>
      </c>
      <c r="W839" s="3" t="n">
        <v>0</v>
      </c>
      <c r="X839" s="3" t="n">
        <v>0</v>
      </c>
      <c r="Y839" s="32" t="n">
        <v>0</v>
      </c>
      <c r="Z839" s="3" t="n">
        <v>0</v>
      </c>
      <c r="AA839" s="32" t="n">
        <v>0</v>
      </c>
      <c r="AB839" s="3" t="n"/>
      <c r="AC839" s="31" t="n">
        <v>0</v>
      </c>
      <c r="AD839" s="2" t="n">
        <v>0</v>
      </c>
      <c r="AE839" s="2" t="n">
        <v>15</v>
      </c>
      <c r="AF839" s="4" t="n">
        <v>15</v>
      </c>
      <c r="AG839" s="33" t="n">
        <v>7.98</v>
      </c>
      <c r="AH839" s="4" t="n">
        <v>1</v>
      </c>
      <c r="AI839" s="34" t="n">
        <v>0.0667</v>
      </c>
      <c r="AJ839" s="34" t="n">
        <v>1</v>
      </c>
      <c r="AK839" s="2" t="n">
        <v>270</v>
      </c>
      <c r="AL839" t="inlineStr">
        <is>
          <t>Published</t>
        </is>
      </c>
    </row>
    <row r="840">
      <c r="A840">
        <f>HYPERLINK("https://www.walmart.com/ip/152482497", "152482497")</f>
        <v/>
      </c>
      <c r="B840">
        <f>HYPERLINK("https://app.optiwise.ai/catalog/itemdetails/360358", "JenniWears Sexy Lingerie Fishnet Open Crotch Body Stocking Mini Chemise Dress")</f>
        <v/>
      </c>
      <c r="C840" t="inlineStr">
        <is>
          <t>JWBS8836</t>
        </is>
      </c>
      <c r="D840" t="inlineStr">
        <is>
          <t>Clothing</t>
        </is>
      </c>
      <c r="E840" t="inlineStr">
        <is>
          <t>Teddies &amp; Bodystockings</t>
        </is>
      </c>
      <c r="F840" t="inlineStr">
        <is>
          <t>JenniWears</t>
        </is>
      </c>
      <c r="G840" t="n">
        <v>5</v>
      </c>
      <c r="H840" t="n">
        <v>1</v>
      </c>
      <c r="I840" t="inlineStr">
        <is>
          <t>Valentine</t>
        </is>
      </c>
      <c r="J840" s="29" t="n">
        <v>7.98</v>
      </c>
      <c r="K840" s="30" t="n">
        <v>0.0001</v>
      </c>
      <c r="L840" s="29" t="n">
        <v>0</v>
      </c>
      <c r="M840" s="29" t="n">
        <v>0</v>
      </c>
      <c r="N840" s="2" t="n">
        <v>1</v>
      </c>
      <c r="O840" s="31" t="n">
        <v>0</v>
      </c>
      <c r="P840" s="32" t="n"/>
      <c r="Q840" s="32" t="n">
        <v>0</v>
      </c>
      <c r="R840" s="32" t="n">
        <v>0</v>
      </c>
      <c r="S840" s="31" t="n">
        <v>0</v>
      </c>
      <c r="T840" s="32" t="n">
        <v>0</v>
      </c>
      <c r="U840" s="31" t="n">
        <v>0</v>
      </c>
      <c r="V840" s="31" t="n">
        <v>0</v>
      </c>
      <c r="W840" s="3" t="n">
        <v>0</v>
      </c>
      <c r="X840" s="3" t="n">
        <v>0</v>
      </c>
      <c r="Y840" s="32" t="n">
        <v>0</v>
      </c>
      <c r="Z840" s="3" t="n">
        <v>0</v>
      </c>
      <c r="AA840" s="32" t="n">
        <v>0</v>
      </c>
      <c r="AB840" s="3" t="n"/>
      <c r="AC840" s="31" t="n">
        <v>0</v>
      </c>
      <c r="AD840" s="2" t="n">
        <v>0</v>
      </c>
      <c r="AE840" s="2" t="n">
        <v>25</v>
      </c>
      <c r="AF840" s="4" t="n">
        <v>25</v>
      </c>
      <c r="AG840" s="33" t="n">
        <v>7.98</v>
      </c>
      <c r="AH840" s="4" t="n">
        <v>1</v>
      </c>
      <c r="AI840" s="34" t="n">
        <v>0.04</v>
      </c>
      <c r="AJ840" s="34" t="n">
        <v>1</v>
      </c>
      <c r="AK840" s="2" t="n">
        <v>13500</v>
      </c>
      <c r="AL840" t="inlineStr">
        <is>
          <t>Published</t>
        </is>
      </c>
    </row>
    <row r="841">
      <c r="A841">
        <f>HYPERLINK("https://www.walmart.com/ip/187889738", "187889738")</f>
        <v/>
      </c>
      <c r="B841">
        <f>HYPERLINK("https://app.optiwise.ai/catalog/itemdetails/362765", "Women's Plus Size Floral Lace Mesh Chemise Sleepwear and G-string")</f>
        <v/>
      </c>
      <c r="C841" t="inlineStr">
        <is>
          <t>JWBD05WT-XL</t>
        </is>
      </c>
      <c r="D841" t="inlineStr">
        <is>
          <t>Clothing</t>
        </is>
      </c>
      <c r="E841" t="inlineStr">
        <is>
          <t>Lingerie Sets</t>
        </is>
      </c>
      <c r="F841" t="inlineStr">
        <is>
          <t>JenniWears</t>
        </is>
      </c>
      <c r="G841" t="n">
        <v>3.3</v>
      </c>
      <c r="H841" t="n">
        <v>3</v>
      </c>
      <c r="I841" t="inlineStr">
        <is>
          <t>Optimized,Valentine</t>
        </is>
      </c>
      <c r="J841" s="29" t="n">
        <v>7.98</v>
      </c>
      <c r="K841" s="30" t="n">
        <v>0.0001</v>
      </c>
      <c r="L841" s="29" t="n">
        <v>0</v>
      </c>
      <c r="M841" s="29" t="n">
        <v>0</v>
      </c>
      <c r="N841" s="2" t="n">
        <v>1</v>
      </c>
      <c r="O841" s="31" t="n">
        <v>0</v>
      </c>
      <c r="P841" s="32" t="n"/>
      <c r="Q841" s="32" t="n">
        <v>0</v>
      </c>
      <c r="R841" s="32" t="n">
        <v>0</v>
      </c>
      <c r="S841" s="31" t="n">
        <v>0</v>
      </c>
      <c r="T841" s="32" t="n">
        <v>0</v>
      </c>
      <c r="U841" s="31" t="n">
        <v>0</v>
      </c>
      <c r="V841" s="31" t="n">
        <v>0</v>
      </c>
      <c r="W841" s="3" t="n">
        <v>0</v>
      </c>
      <c r="X841" s="3" t="n">
        <v>0</v>
      </c>
      <c r="Y841" s="32" t="n">
        <v>0</v>
      </c>
      <c r="Z841" s="3" t="n">
        <v>0</v>
      </c>
      <c r="AA841" s="32" t="n">
        <v>0</v>
      </c>
      <c r="AB841" s="3" t="n"/>
      <c r="AC841" s="31" t="n">
        <v>0</v>
      </c>
      <c r="AD841" s="2" t="n">
        <v>0</v>
      </c>
      <c r="AE841" s="2" t="n">
        <v>154</v>
      </c>
      <c r="AF841" s="4" t="n">
        <v>154</v>
      </c>
      <c r="AG841" s="33" t="n">
        <v>7.98</v>
      </c>
      <c r="AH841" s="4" t="n">
        <v>1</v>
      </c>
      <c r="AI841" s="34" t="n">
        <v>0.0065</v>
      </c>
      <c r="AJ841" s="34" t="n">
        <v>1</v>
      </c>
      <c r="AK841" s="2" t="n">
        <v>11745</v>
      </c>
      <c r="AL841" t="inlineStr">
        <is>
          <t>Published</t>
        </is>
      </c>
    </row>
    <row r="842">
      <c r="A842">
        <f>HYPERLINK("https://www.walmart.com/ip/362665464", "362665464")</f>
        <v/>
      </c>
      <c r="B842">
        <f>HYPERLINK("https://app.optiwise.ai/catalog/itemdetails/358816", "JenniWears Terra Running Belt with Zipper Pocket for 4.7 inch iPhone7 6 6s 5 SE, Large, Unisex, Black")</f>
        <v/>
      </c>
      <c r="C842" t="inlineStr">
        <is>
          <t>TERRA-3BK-L-JW</t>
        </is>
      </c>
      <c r="D842" t="inlineStr">
        <is>
          <t>Cases &amp; Bags</t>
        </is>
      </c>
      <c r="E842" t="inlineStr">
        <is>
          <t>Running Belts</t>
        </is>
      </c>
      <c r="F842" t="inlineStr">
        <is>
          <t>Terra</t>
        </is>
      </c>
      <c r="G842" t="n">
        <v>0</v>
      </c>
      <c r="H842" t="n">
        <v>0</v>
      </c>
      <c r="I842" t="inlineStr">
        <is>
          <t>Optimized</t>
        </is>
      </c>
      <c r="J842" s="29" t="n">
        <v>7.98</v>
      </c>
      <c r="K842" s="30" t="n">
        <v>0.0001</v>
      </c>
      <c r="L842" s="29" t="n">
        <v>0</v>
      </c>
      <c r="M842" s="29" t="n">
        <v>0</v>
      </c>
      <c r="N842" s="2" t="n">
        <v>1</v>
      </c>
      <c r="O842" s="31" t="n">
        <v>0</v>
      </c>
      <c r="P842" s="32" t="n"/>
      <c r="Q842" s="32" t="n">
        <v>0</v>
      </c>
      <c r="R842" s="32" t="n">
        <v>0</v>
      </c>
      <c r="S842" s="31" t="n">
        <v>0</v>
      </c>
      <c r="T842" s="32" t="n">
        <v>0</v>
      </c>
      <c r="U842" s="31" t="n">
        <v>0</v>
      </c>
      <c r="V842" s="31" t="n">
        <v>0</v>
      </c>
      <c r="W842" s="3" t="n">
        <v>0</v>
      </c>
      <c r="X842" s="3" t="n">
        <v>0</v>
      </c>
      <c r="Y842" s="32" t="n">
        <v>0</v>
      </c>
      <c r="Z842" s="3" t="n">
        <v>0</v>
      </c>
      <c r="AA842" s="32" t="n">
        <v>0</v>
      </c>
      <c r="AB842" s="3" t="n"/>
      <c r="AC842" s="31" t="n">
        <v>0</v>
      </c>
      <c r="AD842" s="2" t="n">
        <v>0</v>
      </c>
      <c r="AE842" s="2" t="n">
        <v>11</v>
      </c>
      <c r="AF842" s="4" t="n">
        <v>11</v>
      </c>
      <c r="AG842" s="33" t="n">
        <v>7.98</v>
      </c>
      <c r="AH842" s="4" t="n">
        <v>1</v>
      </c>
      <c r="AI842" s="34" t="n">
        <v>0.09089999999999999</v>
      </c>
      <c r="AJ842" s="34" t="n">
        <v>1</v>
      </c>
      <c r="AK842" s="2" t="n">
        <v>10935</v>
      </c>
      <c r="AL842" t="inlineStr">
        <is>
          <t>Published</t>
        </is>
      </c>
    </row>
    <row r="843">
      <c r="A843">
        <f>HYPERLINK("https://www.walmart.com/ip/176670732", "176670732")</f>
        <v/>
      </c>
      <c r="B843">
        <f>HYPERLINK("https://app.optiwise.ai/catalog/itemdetails/361496", "JenniWears Women's Floral Fishnet One Shoulder Open Crotch Bodystocking")</f>
        <v/>
      </c>
      <c r="C843" t="inlineStr">
        <is>
          <t>JWBS8856</t>
        </is>
      </c>
      <c r="D843" t="inlineStr">
        <is>
          <t>Clothing</t>
        </is>
      </c>
      <c r="E843" t="inlineStr">
        <is>
          <t>Teddies &amp; Bodystockings</t>
        </is>
      </c>
      <c r="F843" t="inlineStr">
        <is>
          <t>JenniWears</t>
        </is>
      </c>
      <c r="G843" t="n">
        <v>5</v>
      </c>
      <c r="H843" t="n">
        <v>1</v>
      </c>
      <c r="I843" t="inlineStr">
        <is>
          <t>Valentine,WFS Item</t>
        </is>
      </c>
      <c r="J843" s="29" t="n">
        <v>7.98</v>
      </c>
      <c r="K843" s="30" t="n">
        <v>0.0001</v>
      </c>
      <c r="L843" s="29" t="n">
        <v>0</v>
      </c>
      <c r="M843" s="29" t="n">
        <v>0</v>
      </c>
      <c r="N843" s="2" t="n">
        <v>1</v>
      </c>
      <c r="O843" s="31" t="n">
        <v>0</v>
      </c>
      <c r="P843" s="32" t="n"/>
      <c r="Q843" s="32" t="n">
        <v>0</v>
      </c>
      <c r="R843" s="32" t="n">
        <v>0</v>
      </c>
      <c r="S843" s="31" t="n">
        <v>0</v>
      </c>
      <c r="T843" s="32" t="n">
        <v>0</v>
      </c>
      <c r="U843" s="31" t="n">
        <v>0</v>
      </c>
      <c r="V843" s="31" t="n">
        <v>0</v>
      </c>
      <c r="W843" s="3" t="n">
        <v>0</v>
      </c>
      <c r="X843" s="3" t="n">
        <v>0</v>
      </c>
      <c r="Y843" s="32" t="n">
        <v>0</v>
      </c>
      <c r="Z843" s="3" t="n">
        <v>0</v>
      </c>
      <c r="AA843" s="32" t="n">
        <v>0</v>
      </c>
      <c r="AB843" s="3" t="n"/>
      <c r="AC843" s="31" t="n">
        <v>0</v>
      </c>
      <c r="AD843" s="2" t="n">
        <v>0</v>
      </c>
      <c r="AE843" s="2" t="n">
        <v>29</v>
      </c>
      <c r="AF843" s="4" t="n">
        <v>29</v>
      </c>
      <c r="AG843" s="33" t="n">
        <v>7.98</v>
      </c>
      <c r="AH843" s="4" t="n">
        <v>1</v>
      </c>
      <c r="AI843" s="34" t="n">
        <v>0.0345</v>
      </c>
      <c r="AJ843" s="34" t="n">
        <v>1</v>
      </c>
      <c r="AK843" s="2" t="n">
        <v>13500</v>
      </c>
      <c r="AL843" t="inlineStr">
        <is>
          <t>Published</t>
        </is>
      </c>
    </row>
    <row r="844">
      <c r="A844">
        <f>HYPERLINK("https://www.walmart.com/ip/620011733", "620011733")</f>
        <v/>
      </c>
      <c r="B844">
        <f>HYPERLINK("https://app.optiwise.ai/catalog/itemdetails/362188", "Tirrinia Insulated Wine Tumbler, Black")</f>
        <v/>
      </c>
      <c r="C844" t="inlineStr">
        <is>
          <t>1TRWT120BK</t>
        </is>
      </c>
      <c r="D844" t="inlineStr">
        <is>
          <t>Home Decor, Kitchen, &amp; Other</t>
        </is>
      </c>
      <c r="E844" t="inlineStr">
        <is>
          <t>Tumblers</t>
        </is>
      </c>
      <c r="F844" t="inlineStr">
        <is>
          <t>Tirrinia</t>
        </is>
      </c>
      <c r="G844" t="n">
        <v>0</v>
      </c>
      <c r="H844" t="n">
        <v>0</v>
      </c>
      <c r="I844" t="inlineStr">
        <is>
          <t>Wine,Christmas,Optimized,Valentine</t>
        </is>
      </c>
      <c r="J844" s="29" t="n">
        <v>7.98</v>
      </c>
      <c r="K844" s="30" t="n">
        <v>0.0001</v>
      </c>
      <c r="L844" s="29" t="n">
        <v>0</v>
      </c>
      <c r="M844" s="29" t="n">
        <v>0</v>
      </c>
      <c r="N844" s="2" t="n">
        <v>1</v>
      </c>
      <c r="O844" s="31" t="n">
        <v>0</v>
      </c>
      <c r="P844" s="32" t="n"/>
      <c r="Q844" s="32" t="n">
        <v>0</v>
      </c>
      <c r="R844" s="32" t="n">
        <v>0</v>
      </c>
      <c r="S844" s="31" t="n">
        <v>0</v>
      </c>
      <c r="T844" s="32" t="n">
        <v>0</v>
      </c>
      <c r="U844" s="31" t="n">
        <v>0</v>
      </c>
      <c r="V844" s="31" t="n">
        <v>0</v>
      </c>
      <c r="W844" s="3" t="n">
        <v>0</v>
      </c>
      <c r="X844" s="3" t="n">
        <v>0</v>
      </c>
      <c r="Y844" s="32" t="n">
        <v>0</v>
      </c>
      <c r="Z844" s="3" t="n">
        <v>0</v>
      </c>
      <c r="AA844" s="32" t="n">
        <v>0</v>
      </c>
      <c r="AB844" s="3" t="n"/>
      <c r="AC844" s="31" t="n">
        <v>0</v>
      </c>
      <c r="AD844" s="2" t="n">
        <v>0</v>
      </c>
      <c r="AE844" s="2" t="n">
        <v>48</v>
      </c>
      <c r="AF844" s="4" t="n">
        <v>48</v>
      </c>
      <c r="AG844" s="33" t="n">
        <v>7.98</v>
      </c>
      <c r="AH844" s="4" t="n">
        <v>1</v>
      </c>
      <c r="AI844" s="34" t="n">
        <v>0.0208</v>
      </c>
      <c r="AJ844" s="34" t="n">
        <v>1</v>
      </c>
      <c r="AK844" s="2" t="n">
        <v>13500</v>
      </c>
      <c r="AL844" t="inlineStr">
        <is>
          <t>Published</t>
        </is>
      </c>
    </row>
    <row r="845">
      <c r="A845">
        <f>HYPERLINK("https://www.walmart.com/ip/144903691", "144903691")</f>
        <v/>
      </c>
      <c r="B845">
        <f>HYPERLINK("https://app.optiwise.ai/catalog/itemdetails/361467", "Women's Plus Size Floral Lace Mesh Chemise Sleepwear and G-string")</f>
        <v/>
      </c>
      <c r="C845" t="inlineStr">
        <is>
          <t>JWBD05BK-XL</t>
        </is>
      </c>
      <c r="D845" t="inlineStr">
        <is>
          <t>Clothing</t>
        </is>
      </c>
      <c r="E845" t="inlineStr">
        <is>
          <t>Lingerie Sets</t>
        </is>
      </c>
      <c r="F845" t="inlineStr">
        <is>
          <t>JenniWears</t>
        </is>
      </c>
      <c r="G845" t="n">
        <v>0</v>
      </c>
      <c r="H845" t="n">
        <v>0</v>
      </c>
      <c r="I845" t="inlineStr">
        <is>
          <t>Optimized,Valentine</t>
        </is>
      </c>
      <c r="J845" s="29" t="n">
        <v>7.98</v>
      </c>
      <c r="K845" s="30" t="n">
        <v>0.0001</v>
      </c>
      <c r="L845" s="29" t="n">
        <v>0</v>
      </c>
      <c r="M845" s="29" t="n">
        <v>0</v>
      </c>
      <c r="N845" s="2" t="n">
        <v>1</v>
      </c>
      <c r="O845" s="31" t="n">
        <v>0</v>
      </c>
      <c r="P845" s="32" t="n"/>
      <c r="Q845" s="32" t="n">
        <v>0</v>
      </c>
      <c r="R845" s="32" t="n">
        <v>0</v>
      </c>
      <c r="S845" s="31" t="n">
        <v>0</v>
      </c>
      <c r="T845" s="32" t="n">
        <v>0</v>
      </c>
      <c r="U845" s="31" t="n">
        <v>0</v>
      </c>
      <c r="V845" s="31" t="n">
        <v>0</v>
      </c>
      <c r="W845" s="3" t="n">
        <v>0</v>
      </c>
      <c r="X845" s="3" t="n">
        <v>0</v>
      </c>
      <c r="Y845" s="32" t="n">
        <v>0</v>
      </c>
      <c r="Z845" s="3" t="n">
        <v>0</v>
      </c>
      <c r="AA845" s="32" t="n">
        <v>0</v>
      </c>
      <c r="AB845" s="3" t="n"/>
      <c r="AC845" s="31" t="n">
        <v>0</v>
      </c>
      <c r="AD845" s="2" t="n">
        <v>0</v>
      </c>
      <c r="AE845" s="2" t="n">
        <v>11</v>
      </c>
      <c r="AF845" s="4" t="n">
        <v>11</v>
      </c>
      <c r="AG845" s="33" t="n">
        <v>7.98</v>
      </c>
      <c r="AH845" s="4" t="n">
        <v>1</v>
      </c>
      <c r="AI845" s="34" t="n">
        <v>0.09089999999999999</v>
      </c>
      <c r="AJ845" s="34" t="n">
        <v>1</v>
      </c>
      <c r="AK845" s="2" t="n">
        <v>8100</v>
      </c>
      <c r="AL845" t="inlineStr">
        <is>
          <t>Published</t>
        </is>
      </c>
    </row>
    <row r="846">
      <c r="A846">
        <f>HYPERLINK("https://www.walmart.com/ip/573207745", "573207745")</f>
        <v/>
      </c>
      <c r="B846">
        <f>HYPERLINK("https://app.optiwise.ai/catalog/itemdetails/362197", "JenniWears® Women V Neck Babydoll Strap Lingerie Lace Chemise Teddy Outfits")</f>
        <v/>
      </c>
      <c r="C846" t="inlineStr">
        <is>
          <t>JWBD011PP-3XL</t>
        </is>
      </c>
      <c r="D846" t="inlineStr">
        <is>
          <t>Clothing</t>
        </is>
      </c>
      <c r="E846" t="inlineStr">
        <is>
          <t>Lingerie Sets</t>
        </is>
      </c>
      <c r="F846" t="inlineStr">
        <is>
          <t>JenniWears</t>
        </is>
      </c>
      <c r="G846" t="n">
        <v>1</v>
      </c>
      <c r="H846" t="n">
        <v>1</v>
      </c>
      <c r="I846" t="inlineStr">
        <is>
          <t>Optimized,Valentine</t>
        </is>
      </c>
      <c r="J846" s="29" t="n">
        <v>7.98</v>
      </c>
      <c r="K846" s="30" t="n">
        <v>0.0001</v>
      </c>
      <c r="L846" s="29" t="n">
        <v>0</v>
      </c>
      <c r="M846" s="29" t="n">
        <v>0</v>
      </c>
      <c r="N846" s="2" t="n">
        <v>1</v>
      </c>
      <c r="O846" s="31" t="n">
        <v>0</v>
      </c>
      <c r="P846" s="32" t="n"/>
      <c r="Q846" s="32" t="n">
        <v>0</v>
      </c>
      <c r="R846" s="32" t="n">
        <v>0</v>
      </c>
      <c r="S846" s="31" t="n">
        <v>0</v>
      </c>
      <c r="T846" s="32" t="n">
        <v>0</v>
      </c>
      <c r="U846" s="31" t="n">
        <v>0</v>
      </c>
      <c r="V846" s="31" t="n">
        <v>0</v>
      </c>
      <c r="W846" s="3" t="n">
        <v>0</v>
      </c>
      <c r="X846" s="3" t="n">
        <v>0</v>
      </c>
      <c r="Y846" s="32" t="n">
        <v>0</v>
      </c>
      <c r="Z846" s="3" t="n">
        <v>0</v>
      </c>
      <c r="AA846" s="32" t="n">
        <v>0</v>
      </c>
      <c r="AB846" s="3" t="n"/>
      <c r="AC846" s="31" t="n">
        <v>0</v>
      </c>
      <c r="AD846" s="2" t="n">
        <v>0</v>
      </c>
      <c r="AE846" s="2" t="n">
        <v>36</v>
      </c>
      <c r="AF846" s="4" t="n">
        <v>36</v>
      </c>
      <c r="AG846" s="33" t="n">
        <v>7.98</v>
      </c>
      <c r="AH846" s="4" t="n">
        <v>1</v>
      </c>
      <c r="AI846" s="34" t="n">
        <v>0.0278</v>
      </c>
      <c r="AJ846" s="34" t="n">
        <v>1</v>
      </c>
      <c r="AK846" s="2" t="n">
        <v>8505</v>
      </c>
      <c r="AL846" t="inlineStr">
        <is>
          <t>Published</t>
        </is>
      </c>
    </row>
    <row r="847">
      <c r="A847">
        <f>HYPERLINK("https://www.walmart.com/ip/128852666", "128852666")</f>
        <v/>
      </c>
      <c r="B847">
        <f>HYPERLINK("https://app.optiwise.ai/catalog/itemdetails/362556", "Terra Faux Fur Pom Pom Beanie Hat Thick Slouchy Cable Knit Soft Warm Micro Fleece Lined Unisex Stretches to Fit Most")</f>
        <v/>
      </c>
      <c r="C847" t="inlineStr">
        <is>
          <t>TERRAPPH01GN</t>
        </is>
      </c>
      <c r="D847" t="inlineStr">
        <is>
          <t>Clothing</t>
        </is>
      </c>
      <c r="E847" t="inlineStr">
        <is>
          <t>Hats</t>
        </is>
      </c>
      <c r="F847" t="inlineStr">
        <is>
          <t>Terra</t>
        </is>
      </c>
      <c r="G847" t="n">
        <v>0</v>
      </c>
      <c r="H847" t="n">
        <v>0</v>
      </c>
      <c r="I847" t="inlineStr">
        <is>
          <t>Optimized,ST Patrick Day</t>
        </is>
      </c>
      <c r="J847" s="29" t="n">
        <v>6.99</v>
      </c>
      <c r="K847" s="30" t="n">
        <v>0.0001</v>
      </c>
      <c r="L847" s="29" t="n">
        <v>0</v>
      </c>
      <c r="M847" s="29" t="n">
        <v>0</v>
      </c>
      <c r="N847" s="2" t="n">
        <v>1</v>
      </c>
      <c r="O847" s="31" t="n">
        <v>0</v>
      </c>
      <c r="P847" s="32" t="n"/>
      <c r="Q847" s="32" t="n">
        <v>0</v>
      </c>
      <c r="R847" s="32" t="n">
        <v>0</v>
      </c>
      <c r="S847" s="31" t="n">
        <v>0</v>
      </c>
      <c r="T847" s="32" t="n">
        <v>0</v>
      </c>
      <c r="U847" s="31" t="n">
        <v>0</v>
      </c>
      <c r="V847" s="31" t="n">
        <v>0</v>
      </c>
      <c r="W847" s="3" t="n">
        <v>0</v>
      </c>
      <c r="X847" s="3" t="n">
        <v>0</v>
      </c>
      <c r="Y847" s="32" t="n">
        <v>0</v>
      </c>
      <c r="Z847" s="3" t="n">
        <v>0</v>
      </c>
      <c r="AA847" s="32" t="n">
        <v>0</v>
      </c>
      <c r="AB847" s="3" t="n"/>
      <c r="AC847" s="31" t="n">
        <v>0</v>
      </c>
      <c r="AD847" s="2" t="n">
        <v>0</v>
      </c>
      <c r="AE847" s="2" t="n">
        <v>13</v>
      </c>
      <c r="AF847" s="4" t="n">
        <v>13</v>
      </c>
      <c r="AG847" s="33" t="n">
        <v>6.99</v>
      </c>
      <c r="AH847" s="4" t="n">
        <v>1</v>
      </c>
      <c r="AI847" s="34" t="n">
        <v>0.0769</v>
      </c>
      <c r="AJ847" s="34" t="n">
        <v>1</v>
      </c>
      <c r="AK847" s="2" t="n">
        <v>13500</v>
      </c>
      <c r="AL847" t="inlineStr">
        <is>
          <t>Published</t>
        </is>
      </c>
    </row>
    <row r="848">
      <c r="A848">
        <f>HYPERLINK("https://www.walmart.com/ip/160150509", "160150509")</f>
        <v/>
      </c>
      <c r="B848">
        <f>HYPERLINK("https://app.optiwise.ai/catalog/itemdetails/362080", "KC Caps Thick Weave Waffle Knit Beanie")</f>
        <v/>
      </c>
      <c r="C848" t="inlineStr">
        <is>
          <t>KCW1600BK</t>
        </is>
      </c>
      <c r="D848" t="inlineStr">
        <is>
          <t>Clothing</t>
        </is>
      </c>
      <c r="E848" t="inlineStr">
        <is>
          <t>Hats</t>
        </is>
      </c>
      <c r="F848" t="inlineStr">
        <is>
          <t>KC Caps</t>
        </is>
      </c>
      <c r="G848" t="n">
        <v>0</v>
      </c>
      <c r="H848" t="n">
        <v>0</v>
      </c>
      <c r="I848" t="inlineStr">
        <is>
          <t>Optimized</t>
        </is>
      </c>
      <c r="J848" s="29" t="n">
        <v>6.99</v>
      </c>
      <c r="K848" s="30" t="n">
        <v>0.0001</v>
      </c>
      <c r="L848" s="29" t="n">
        <v>0</v>
      </c>
      <c r="M848" s="29" t="n">
        <v>0</v>
      </c>
      <c r="N848" s="2" t="n">
        <v>1</v>
      </c>
      <c r="O848" s="31" t="n">
        <v>0</v>
      </c>
      <c r="P848" s="32" t="n"/>
      <c r="Q848" s="32" t="n">
        <v>0</v>
      </c>
      <c r="R848" s="32" t="n">
        <v>0</v>
      </c>
      <c r="S848" s="31" t="n">
        <v>0</v>
      </c>
      <c r="T848" s="32" t="n">
        <v>0</v>
      </c>
      <c r="U848" s="31" t="n">
        <v>0</v>
      </c>
      <c r="V848" s="31" t="n">
        <v>0</v>
      </c>
      <c r="W848" s="3" t="n">
        <v>0</v>
      </c>
      <c r="X848" s="3" t="n">
        <v>0</v>
      </c>
      <c r="Y848" s="32" t="n">
        <v>0</v>
      </c>
      <c r="Z848" s="3" t="n">
        <v>0</v>
      </c>
      <c r="AA848" s="32" t="n">
        <v>0</v>
      </c>
      <c r="AB848" s="3" t="n"/>
      <c r="AC848" s="31" t="n">
        <v>0</v>
      </c>
      <c r="AD848" s="2" t="n">
        <v>0</v>
      </c>
      <c r="AE848" s="2" t="n">
        <v>16</v>
      </c>
      <c r="AF848" s="4" t="n">
        <v>16</v>
      </c>
      <c r="AG848" s="33" t="n">
        <v>6.99</v>
      </c>
      <c r="AH848" s="4" t="n">
        <v>1</v>
      </c>
      <c r="AI848" s="34" t="n">
        <v>0.0625</v>
      </c>
      <c r="AJ848" s="34" t="n">
        <v>1</v>
      </c>
      <c r="AK848" s="2" t="n">
        <v>2700</v>
      </c>
      <c r="AL848" t="inlineStr">
        <is>
          <t>Published</t>
        </is>
      </c>
    </row>
    <row r="849">
      <c r="A849">
        <f>HYPERLINK("https://www.walmart.com/ip/180848663", "180848663")</f>
        <v/>
      </c>
      <c r="B849">
        <f>HYPERLINK("https://app.optiwise.ai/catalog/itemdetails/362459", "KC Caps® Unisex Cotton Baseball Cap Adjustable Plain Hat (21 Styles/Colors)")</f>
        <v/>
      </c>
      <c r="C849" t="inlineStr">
        <is>
          <t>KC8010OFFWTNV</t>
        </is>
      </c>
      <c r="D849" t="inlineStr">
        <is>
          <t>Clothing</t>
        </is>
      </c>
      <c r="E849" t="inlineStr">
        <is>
          <t>Hats</t>
        </is>
      </c>
      <c r="F849" t="inlineStr">
        <is>
          <t>KC Caps</t>
        </is>
      </c>
      <c r="G849" t="n">
        <v>0</v>
      </c>
      <c r="H849" t="n">
        <v>0</v>
      </c>
      <c r="I849" t="inlineStr">
        <is>
          <t>Optimized</t>
        </is>
      </c>
      <c r="J849" s="29" t="n">
        <v>6.99</v>
      </c>
      <c r="K849" s="30" t="n">
        <v>0.0001</v>
      </c>
      <c r="L849" s="29" t="n">
        <v>0</v>
      </c>
      <c r="M849" s="29" t="n">
        <v>0</v>
      </c>
      <c r="N849" s="2" t="n">
        <v>1</v>
      </c>
      <c r="O849" s="31" t="n">
        <v>0</v>
      </c>
      <c r="P849" s="32" t="n"/>
      <c r="Q849" s="32" t="n">
        <v>0</v>
      </c>
      <c r="R849" s="32" t="n">
        <v>0</v>
      </c>
      <c r="S849" s="31" t="n">
        <v>0</v>
      </c>
      <c r="T849" s="32" t="n">
        <v>0</v>
      </c>
      <c r="U849" s="31" t="n">
        <v>0</v>
      </c>
      <c r="V849" s="31" t="n">
        <v>0</v>
      </c>
      <c r="W849" s="3" t="n">
        <v>0</v>
      </c>
      <c r="X849" s="3" t="n">
        <v>0</v>
      </c>
      <c r="Y849" s="32" t="n">
        <v>0</v>
      </c>
      <c r="Z849" s="3" t="n">
        <v>0</v>
      </c>
      <c r="AA849" s="32" t="n">
        <v>0</v>
      </c>
      <c r="AB849" s="3" t="n"/>
      <c r="AC849" s="31" t="n">
        <v>0</v>
      </c>
      <c r="AD849" s="2" t="n">
        <v>0</v>
      </c>
      <c r="AE849" s="2" t="n">
        <v>20</v>
      </c>
      <c r="AF849" s="4" t="n">
        <v>20</v>
      </c>
      <c r="AG849" s="33" t="n">
        <v>6.99</v>
      </c>
      <c r="AH849" s="4" t="n">
        <v>1</v>
      </c>
      <c r="AI849" s="34" t="n">
        <v>0.05</v>
      </c>
      <c r="AJ849" s="34" t="n">
        <v>1</v>
      </c>
      <c r="AK849" s="2" t="n">
        <v>0</v>
      </c>
      <c r="AL849" t="inlineStr">
        <is>
          <t>Published</t>
        </is>
      </c>
    </row>
    <row r="850">
      <c r="A850">
        <f>HYPERLINK("https://www.walmart.com/ip/163742553", "163742553")</f>
        <v/>
      </c>
      <c r="B850">
        <f>HYPERLINK("https://app.optiwise.ai/catalog/itemdetails/361055", "Terra Unisex Faux Fur Pom Pom Beanie Hat Thick Slouchy Cable Knit Ski Cap Grey")</f>
        <v/>
      </c>
      <c r="C850" t="inlineStr">
        <is>
          <t>TERRAPPH01GY</t>
        </is>
      </c>
      <c r="D850" t="inlineStr">
        <is>
          <t>Clothing</t>
        </is>
      </c>
      <c r="E850" t="inlineStr">
        <is>
          <t>Hats</t>
        </is>
      </c>
      <c r="F850" t="inlineStr">
        <is>
          <t>Terra</t>
        </is>
      </c>
      <c r="G850" t="n">
        <v>0</v>
      </c>
      <c r="H850" t="n">
        <v>0</v>
      </c>
      <c r="I850" t="inlineStr">
        <is>
          <t>Optimized</t>
        </is>
      </c>
      <c r="J850" s="29" t="n">
        <v>6.99</v>
      </c>
      <c r="K850" s="30" t="n">
        <v>0.0001</v>
      </c>
      <c r="L850" s="29" t="n">
        <v>0</v>
      </c>
      <c r="M850" s="29" t="n">
        <v>0</v>
      </c>
      <c r="N850" s="2" t="n">
        <v>1</v>
      </c>
      <c r="O850" s="31" t="n">
        <v>0</v>
      </c>
      <c r="P850" s="32" t="n"/>
      <c r="Q850" s="32" t="n">
        <v>0</v>
      </c>
      <c r="R850" s="32" t="n">
        <v>0</v>
      </c>
      <c r="S850" s="31" t="n">
        <v>0</v>
      </c>
      <c r="T850" s="32" t="n">
        <v>0</v>
      </c>
      <c r="U850" s="31" t="n">
        <v>0</v>
      </c>
      <c r="V850" s="31" t="n">
        <v>0</v>
      </c>
      <c r="W850" s="3" t="n">
        <v>0</v>
      </c>
      <c r="X850" s="3" t="n">
        <v>0</v>
      </c>
      <c r="Y850" s="32" t="n">
        <v>0</v>
      </c>
      <c r="Z850" s="3" t="n">
        <v>0</v>
      </c>
      <c r="AA850" s="32" t="n">
        <v>0</v>
      </c>
      <c r="AB850" s="3" t="n"/>
      <c r="AC850" s="31" t="n">
        <v>0</v>
      </c>
      <c r="AD850" s="2" t="n">
        <v>0</v>
      </c>
      <c r="AE850" s="2" t="n">
        <v>18</v>
      </c>
      <c r="AF850" s="4" t="n">
        <v>18</v>
      </c>
      <c r="AG850" s="33" t="n">
        <v>6.99</v>
      </c>
      <c r="AH850" s="4" t="n">
        <v>1</v>
      </c>
      <c r="AI850" s="34" t="n">
        <v>0.0556</v>
      </c>
      <c r="AJ850" s="34" t="n">
        <v>1</v>
      </c>
      <c r="AK850" s="2" t="n">
        <v>13500</v>
      </c>
      <c r="AL850" t="inlineStr">
        <is>
          <t>Published</t>
        </is>
      </c>
    </row>
    <row r="851">
      <c r="A851">
        <f>HYPERLINK("https://www.walmart.com/ip/1310986711", "1310986711")</f>
        <v/>
      </c>
      <c r="B851">
        <f>HYPERLINK("https://app.optiwise.ai/catalog/itemdetails/787755", "Tirrinia Embroidery Hunting Fishing Cap Adjustable Unisex Baseball Hat with Breathable Mesh Back")</f>
        <v/>
      </c>
      <c r="C851" t="inlineStr">
        <is>
          <t>1TRHTS7160-TBCB</t>
        </is>
      </c>
      <c r="D851" t="inlineStr">
        <is>
          <t>Clothing</t>
        </is>
      </c>
      <c r="E851" t="inlineStr">
        <is>
          <t>Hats</t>
        </is>
      </c>
      <c r="F851" t="inlineStr">
        <is>
          <t>Tirrinia</t>
        </is>
      </c>
      <c r="G851" t="n">
        <v>0</v>
      </c>
      <c r="H851" t="n">
        <v>0</v>
      </c>
      <c r="I851" t="inlineStr">
        <is>
          <t>Batch 1 - TR</t>
        </is>
      </c>
      <c r="J851" s="29" t="n">
        <v>6.99</v>
      </c>
      <c r="K851" s="30" t="n">
        <v>0.0001</v>
      </c>
      <c r="L851" s="29" t="n">
        <v>0</v>
      </c>
      <c r="M851" s="29" t="n">
        <v>0</v>
      </c>
      <c r="N851" s="2" t="n">
        <v>1</v>
      </c>
      <c r="O851" s="31" t="n">
        <v>0</v>
      </c>
      <c r="P851" s="32" t="n"/>
      <c r="Q851" s="32" t="n">
        <v>0</v>
      </c>
      <c r="R851" s="32" t="n">
        <v>0</v>
      </c>
      <c r="S851" s="31" t="n">
        <v>0</v>
      </c>
      <c r="T851" s="32" t="n">
        <v>0</v>
      </c>
      <c r="U851" s="31" t="n">
        <v>0</v>
      </c>
      <c r="V851" s="31" t="n">
        <v>0</v>
      </c>
      <c r="W851" s="3" t="n">
        <v>0</v>
      </c>
      <c r="X851" s="3" t="n">
        <v>0</v>
      </c>
      <c r="Y851" s="32" t="n">
        <v>0</v>
      </c>
      <c r="Z851" s="3" t="n">
        <v>0</v>
      </c>
      <c r="AA851" s="32" t="n">
        <v>0</v>
      </c>
      <c r="AB851" s="3" t="n"/>
      <c r="AC851" s="31" t="n">
        <v>0</v>
      </c>
      <c r="AD851" s="2" t="n">
        <v>0</v>
      </c>
      <c r="AE851" s="2" t="n">
        <v>10</v>
      </c>
      <c r="AF851" s="4" t="n">
        <v>10</v>
      </c>
      <c r="AG851" s="33" t="n">
        <v>6.99</v>
      </c>
      <c r="AH851" s="4" t="n">
        <v>1</v>
      </c>
      <c r="AI851" s="34" t="n">
        <v>0.1</v>
      </c>
      <c r="AJ851" s="34" t="n">
        <v>1</v>
      </c>
      <c r="AK851" s="2" t="n">
        <v>540</v>
      </c>
      <c r="AL851" t="inlineStr">
        <is>
          <t>Published</t>
        </is>
      </c>
    </row>
    <row r="852">
      <c r="A852">
        <f>HYPERLINK("https://www.walmart.com/ip/137773035", "137773035")</f>
        <v/>
      </c>
      <c r="B852">
        <f>HYPERLINK("https://app.optiwise.ai/catalog/itemdetails/361276", "KC Caps® Unisex Cotton Baseball Cap Adjustable Plain Hat (21 Styles/Colors)")</f>
        <v/>
      </c>
      <c r="C852" t="inlineStr">
        <is>
          <t>KC8010BN</t>
        </is>
      </c>
      <c r="D852" t="inlineStr">
        <is>
          <t>Clothing</t>
        </is>
      </c>
      <c r="E852" t="inlineStr">
        <is>
          <t>Hats</t>
        </is>
      </c>
      <c r="F852" t="inlineStr">
        <is>
          <t>KC Caps</t>
        </is>
      </c>
      <c r="G852" t="n">
        <v>0</v>
      </c>
      <c r="H852" t="n">
        <v>0</v>
      </c>
      <c r="I852" t="inlineStr">
        <is>
          <t>Optimized</t>
        </is>
      </c>
      <c r="J852" s="29" t="n">
        <v>6.99</v>
      </c>
      <c r="K852" s="30" t="n">
        <v>0.0001</v>
      </c>
      <c r="L852" s="29" t="n">
        <v>0</v>
      </c>
      <c r="M852" s="29" t="n">
        <v>0</v>
      </c>
      <c r="N852" s="2" t="n">
        <v>1</v>
      </c>
      <c r="O852" s="31" t="n">
        <v>0</v>
      </c>
      <c r="P852" s="32" t="n"/>
      <c r="Q852" s="32" t="n">
        <v>0</v>
      </c>
      <c r="R852" s="32" t="n">
        <v>0</v>
      </c>
      <c r="S852" s="31" t="n">
        <v>0</v>
      </c>
      <c r="T852" s="32" t="n">
        <v>0</v>
      </c>
      <c r="U852" s="31" t="n">
        <v>0</v>
      </c>
      <c r="V852" s="31" t="n">
        <v>0</v>
      </c>
      <c r="W852" s="3" t="n">
        <v>0</v>
      </c>
      <c r="X852" s="3" t="n">
        <v>0</v>
      </c>
      <c r="Y852" s="32" t="n">
        <v>0</v>
      </c>
      <c r="Z852" s="3" t="n">
        <v>0</v>
      </c>
      <c r="AA852" s="32" t="n">
        <v>0</v>
      </c>
      <c r="AB852" s="3" t="n"/>
      <c r="AC852" s="31" t="n">
        <v>0</v>
      </c>
      <c r="AD852" s="2" t="n">
        <v>0</v>
      </c>
      <c r="AE852" s="2" t="n">
        <v>35</v>
      </c>
      <c r="AF852" s="4" t="n">
        <v>35</v>
      </c>
      <c r="AG852" s="33" t="n">
        <v>6.99</v>
      </c>
      <c r="AH852" s="4" t="n">
        <v>1</v>
      </c>
      <c r="AI852" s="34" t="n">
        <v>0.0286</v>
      </c>
      <c r="AJ852" s="34" t="n">
        <v>1</v>
      </c>
      <c r="AK852" s="2" t="n">
        <v>0</v>
      </c>
      <c r="AL852" t="inlineStr">
        <is>
          <t>Published</t>
        </is>
      </c>
    </row>
    <row r="853">
      <c r="A853">
        <f>HYPERLINK("https://www.walmart.com/ip/158329569", "158329569")</f>
        <v/>
      </c>
      <c r="B853">
        <f>HYPERLINK("https://app.optiwise.ai/catalog/itemdetails/362528", "Ultimate Sport Unisex Running belt, Water Resistant, Touch Screen, Reflective Zipper, Fanny Waist Pouch for Exercise and")</f>
        <v/>
      </c>
      <c r="C853" t="inlineStr">
        <is>
          <t>TARGETWB01L-NG</t>
        </is>
      </c>
      <c r="D853" t="inlineStr">
        <is>
          <t>Cases &amp; Bags</t>
        </is>
      </c>
      <c r="E853" t="inlineStr">
        <is>
          <t>Running Belts</t>
        </is>
      </c>
      <c r="F853" t="inlineStr">
        <is>
          <t>Target</t>
        </is>
      </c>
      <c r="G853" t="n">
        <v>0</v>
      </c>
      <c r="H853" t="n">
        <v>0</v>
      </c>
      <c r="I853" t="inlineStr">
        <is>
          <t>Optimized,ST Patrick Day</t>
        </is>
      </c>
      <c r="J853" s="29" t="n">
        <v>6.99</v>
      </c>
      <c r="K853" s="30" t="n">
        <v>0.0001</v>
      </c>
      <c r="L853" s="29" t="n">
        <v>0</v>
      </c>
      <c r="M853" s="29" t="n">
        <v>0</v>
      </c>
      <c r="N853" s="2" t="n">
        <v>1</v>
      </c>
      <c r="O853" s="31" t="n">
        <v>0</v>
      </c>
      <c r="P853" s="32" t="n"/>
      <c r="Q853" s="32" t="n">
        <v>0</v>
      </c>
      <c r="R853" s="32" t="n">
        <v>0</v>
      </c>
      <c r="S853" s="31" t="n">
        <v>0</v>
      </c>
      <c r="T853" s="32" t="n">
        <v>0</v>
      </c>
      <c r="U853" s="31" t="n">
        <v>0</v>
      </c>
      <c r="V853" s="31" t="n">
        <v>0</v>
      </c>
      <c r="W853" s="3" t="n">
        <v>0</v>
      </c>
      <c r="X853" s="3" t="n">
        <v>0</v>
      </c>
      <c r="Y853" s="32" t="n">
        <v>0</v>
      </c>
      <c r="Z853" s="3" t="n">
        <v>0</v>
      </c>
      <c r="AA853" s="32" t="n">
        <v>0</v>
      </c>
      <c r="AB853" s="3" t="n"/>
      <c r="AC853" s="31" t="n">
        <v>0</v>
      </c>
      <c r="AD853" s="2" t="n">
        <v>0</v>
      </c>
      <c r="AE853" s="2" t="n">
        <v>15</v>
      </c>
      <c r="AF853" s="4" t="n">
        <v>15</v>
      </c>
      <c r="AG853" s="33" t="n">
        <v>6.99</v>
      </c>
      <c r="AH853" s="4" t="n">
        <v>1</v>
      </c>
      <c r="AI853" s="34" t="n">
        <v>0.0667</v>
      </c>
      <c r="AJ853" s="34" t="n">
        <v>1</v>
      </c>
      <c r="AK853" s="2" t="n">
        <v>13500</v>
      </c>
      <c r="AL853" t="inlineStr">
        <is>
          <t>Published</t>
        </is>
      </c>
    </row>
    <row r="854">
      <c r="A854">
        <f>HYPERLINK("https://www.walmart.com/ip/149440579", "149440579")</f>
        <v/>
      </c>
      <c r="B854">
        <f>HYPERLINK("https://app.optiwise.ai/catalog/itemdetails/361890", "JenniWears Halloween Mask for Women Light Up Venetian Lace Mask LED Party Eye Mask, Perfect for Valentine’s carnivals,night club,wedding reception,costume party, Orange")</f>
        <v/>
      </c>
      <c r="C854" t="inlineStr">
        <is>
          <t>JWLEDMK02-OR</t>
        </is>
      </c>
      <c r="D854" t="inlineStr">
        <is>
          <t>Costumes</t>
        </is>
      </c>
      <c r="E854" t="inlineStr">
        <is>
          <t>Costume Masks</t>
        </is>
      </c>
      <c r="F854" t="inlineStr">
        <is>
          <t>JenniWears</t>
        </is>
      </c>
      <c r="G854" t="n">
        <v>0</v>
      </c>
      <c r="H854" t="n">
        <v>0</v>
      </c>
      <c r="I854" t="inlineStr">
        <is>
          <t>Halloween</t>
        </is>
      </c>
      <c r="J854" s="29" t="n">
        <v>6.98</v>
      </c>
      <c r="K854" s="30" t="n">
        <v>0.0001</v>
      </c>
      <c r="L854" s="29" t="n">
        <v>0</v>
      </c>
      <c r="M854" s="29" t="n">
        <v>0</v>
      </c>
      <c r="N854" s="2" t="n">
        <v>1</v>
      </c>
      <c r="O854" s="31" t="n">
        <v>0</v>
      </c>
      <c r="P854" s="32" t="n"/>
      <c r="Q854" s="32" t="n">
        <v>0</v>
      </c>
      <c r="R854" s="32" t="n">
        <v>0</v>
      </c>
      <c r="S854" s="31" t="n">
        <v>0</v>
      </c>
      <c r="T854" s="32" t="n">
        <v>0</v>
      </c>
      <c r="U854" s="31" t="n">
        <v>0</v>
      </c>
      <c r="V854" s="31" t="n">
        <v>0</v>
      </c>
      <c r="W854" s="3" t="n">
        <v>0</v>
      </c>
      <c r="X854" s="3" t="n">
        <v>0</v>
      </c>
      <c r="Y854" s="32" t="n">
        <v>0</v>
      </c>
      <c r="Z854" s="3" t="n">
        <v>0</v>
      </c>
      <c r="AA854" s="32" t="n">
        <v>0</v>
      </c>
      <c r="AB854" s="3" t="n"/>
      <c r="AC854" s="31" t="n">
        <v>0</v>
      </c>
      <c r="AD854" s="2" t="n">
        <v>0</v>
      </c>
      <c r="AE854" s="2" t="n">
        <v>15</v>
      </c>
      <c r="AF854" s="4" t="n">
        <v>15</v>
      </c>
      <c r="AG854" s="33" t="n">
        <v>6.98</v>
      </c>
      <c r="AH854" s="4" t="n">
        <v>1</v>
      </c>
      <c r="AI854" s="34" t="n">
        <v>0.0667</v>
      </c>
      <c r="AJ854" s="34" t="n">
        <v>1</v>
      </c>
      <c r="AK854" s="2" t="n">
        <v>13500</v>
      </c>
      <c r="AL854" t="inlineStr">
        <is>
          <t>Published</t>
        </is>
      </c>
    </row>
    <row r="855">
      <c r="A855">
        <f>HYPERLINK("https://www.walmart.com/ip/190285012", "190285012")</f>
        <v/>
      </c>
      <c r="B855">
        <f>HYPERLINK("https://app.optiwise.ai/catalog/itemdetails/360847", "Terra Faux Fur Pom Pom Beanie Hat Thick Slouchy Cable Knit Soft Warm Micro Fleece Lined Unisex Stretches to Fit Most")</f>
        <v/>
      </c>
      <c r="C855" t="inlineStr">
        <is>
          <t>TERRAPPH01BL</t>
        </is>
      </c>
      <c r="D855" t="inlineStr">
        <is>
          <t>Clothing</t>
        </is>
      </c>
      <c r="E855" t="inlineStr">
        <is>
          <t>Hats</t>
        </is>
      </c>
      <c r="F855" t="inlineStr">
        <is>
          <t>Terra</t>
        </is>
      </c>
      <c r="G855" t="n">
        <v>0</v>
      </c>
      <c r="H855" t="n">
        <v>0</v>
      </c>
      <c r="I855" t="inlineStr">
        <is>
          <t>Optimized</t>
        </is>
      </c>
      <c r="J855" s="29" t="n">
        <v>5.99</v>
      </c>
      <c r="K855" s="30" t="n">
        <v>0.0001</v>
      </c>
      <c r="L855" s="29" t="n">
        <v>0</v>
      </c>
      <c r="M855" s="29" t="n">
        <v>0</v>
      </c>
      <c r="N855" s="2" t="n">
        <v>1</v>
      </c>
      <c r="O855" s="31" t="n">
        <v>0</v>
      </c>
      <c r="P855" s="32" t="n"/>
      <c r="Q855" s="32" t="n">
        <v>0</v>
      </c>
      <c r="R855" s="32" t="n">
        <v>0</v>
      </c>
      <c r="S855" s="31" t="n">
        <v>0</v>
      </c>
      <c r="T855" s="32" t="n">
        <v>0</v>
      </c>
      <c r="U855" s="31" t="n">
        <v>0</v>
      </c>
      <c r="V855" s="31" t="n">
        <v>0</v>
      </c>
      <c r="W855" s="3" t="n">
        <v>0</v>
      </c>
      <c r="X855" s="3" t="n">
        <v>0</v>
      </c>
      <c r="Y855" s="32" t="n">
        <v>0</v>
      </c>
      <c r="Z855" s="3" t="n">
        <v>0</v>
      </c>
      <c r="AA855" s="32" t="n">
        <v>0</v>
      </c>
      <c r="AB855" s="3" t="n"/>
      <c r="AC855" s="31" t="n">
        <v>0</v>
      </c>
      <c r="AD855" s="2" t="n">
        <v>0</v>
      </c>
      <c r="AE855" s="2" t="n">
        <v>20</v>
      </c>
      <c r="AF855" s="4" t="n">
        <v>20</v>
      </c>
      <c r="AG855" s="33" t="n">
        <v>5.99</v>
      </c>
      <c r="AH855" s="4" t="n">
        <v>1</v>
      </c>
      <c r="AI855" s="34" t="n">
        <v>0.05</v>
      </c>
      <c r="AJ855" s="34" t="n">
        <v>1</v>
      </c>
      <c r="AK855" s="2" t="n">
        <v>13500</v>
      </c>
      <c r="AL855" t="inlineStr">
        <is>
          <t>Published</t>
        </is>
      </c>
    </row>
    <row r="856">
      <c r="A856">
        <f>HYPERLINK("https://www.walmart.com/ip/924383443", "924383443")</f>
        <v/>
      </c>
      <c r="B856">
        <f>HYPERLINK("https://app.optiwise.ai/catalog/itemdetails/360944", "100% Polar Fleece Skull Cap Warm and Cozy Beanie")</f>
        <v/>
      </c>
      <c r="C856" t="inlineStr">
        <is>
          <t>1SLW1810RD-FSCB</t>
        </is>
      </c>
      <c r="D856" t="inlineStr">
        <is>
          <t>Clothing</t>
        </is>
      </c>
      <c r="E856" t="inlineStr">
        <is>
          <t>Hats</t>
        </is>
      </c>
      <c r="F856" t="inlineStr">
        <is>
          <t>Solaris</t>
        </is>
      </c>
      <c r="G856" t="n">
        <v>0</v>
      </c>
      <c r="H856" t="n">
        <v>0</v>
      </c>
      <c r="I856" t="inlineStr">
        <is>
          <t>Batch 1 - TR</t>
        </is>
      </c>
      <c r="J856" s="29" t="n">
        <v>5.98</v>
      </c>
      <c r="K856" s="30" t="n">
        <v>0.0001</v>
      </c>
      <c r="L856" s="29" t="n">
        <v>0</v>
      </c>
      <c r="M856" s="29" t="n">
        <v>0</v>
      </c>
      <c r="N856" s="2" t="n">
        <v>1</v>
      </c>
      <c r="O856" s="31" t="n">
        <v>0</v>
      </c>
      <c r="P856" s="32" t="n"/>
      <c r="Q856" s="32" t="n">
        <v>0</v>
      </c>
      <c r="R856" s="32" t="n">
        <v>0</v>
      </c>
      <c r="S856" s="31" t="n">
        <v>0</v>
      </c>
      <c r="T856" s="32" t="n">
        <v>0</v>
      </c>
      <c r="U856" s="31" t="n">
        <v>0</v>
      </c>
      <c r="V856" s="31" t="n">
        <v>0</v>
      </c>
      <c r="W856" s="3" t="n">
        <v>0</v>
      </c>
      <c r="X856" s="3" t="n">
        <v>0</v>
      </c>
      <c r="Y856" s="32" t="n">
        <v>0</v>
      </c>
      <c r="Z856" s="3" t="n">
        <v>0</v>
      </c>
      <c r="AA856" s="32" t="n">
        <v>0</v>
      </c>
      <c r="AB856" s="3" t="n"/>
      <c r="AC856" s="31" t="n">
        <v>0</v>
      </c>
      <c r="AD856" s="2" t="n">
        <v>0</v>
      </c>
      <c r="AE856" s="2" t="n">
        <v>5</v>
      </c>
      <c r="AF856" s="4" t="n">
        <v>5</v>
      </c>
      <c r="AG856" s="33" t="n">
        <v>5.98</v>
      </c>
      <c r="AH856" s="4" t="n">
        <v>1</v>
      </c>
      <c r="AI856" s="34" t="n">
        <v>0.2</v>
      </c>
      <c r="AJ856" s="34" t="n">
        <v>1</v>
      </c>
      <c r="AK856" s="2" t="n">
        <v>13500</v>
      </c>
      <c r="AL856" t="inlineStr">
        <is>
          <t>Published</t>
        </is>
      </c>
    </row>
    <row r="857">
      <c r="A857">
        <f>HYPERLINK("https://www.walmart.com/ip/116992042", "116992042")</f>
        <v/>
      </c>
      <c r="B857">
        <f>HYPERLINK("https://app.optiwise.ai/catalog/itemdetails/361284", "100% Polar Fleece Skull Cap Warm and Cozy Beanie")</f>
        <v/>
      </c>
      <c r="C857" t="inlineStr">
        <is>
          <t>1SLW1810GN-FSCB</t>
        </is>
      </c>
      <c r="D857" t="inlineStr">
        <is>
          <t>Clothing</t>
        </is>
      </c>
      <c r="E857" t="inlineStr">
        <is>
          <t>Hats</t>
        </is>
      </c>
      <c r="F857" t="inlineStr">
        <is>
          <t>Solaris</t>
        </is>
      </c>
      <c r="G857" t="n">
        <v>0</v>
      </c>
      <c r="H857" t="n">
        <v>0</v>
      </c>
      <c r="I857" t="inlineStr">
        <is>
          <t>ST Patrick Day</t>
        </is>
      </c>
      <c r="J857" s="29" t="n">
        <v>5.98</v>
      </c>
      <c r="K857" s="30" t="n">
        <v>0.0001</v>
      </c>
      <c r="L857" s="29" t="n">
        <v>0</v>
      </c>
      <c r="M857" s="29" t="n">
        <v>0</v>
      </c>
      <c r="N857" s="2" t="n">
        <v>1</v>
      </c>
      <c r="O857" s="31" t="n">
        <v>0</v>
      </c>
      <c r="P857" s="32" t="n"/>
      <c r="Q857" s="32" t="n">
        <v>0</v>
      </c>
      <c r="R857" s="32" t="n">
        <v>0</v>
      </c>
      <c r="S857" s="31" t="n">
        <v>0</v>
      </c>
      <c r="T857" s="32" t="n">
        <v>0</v>
      </c>
      <c r="U857" s="31" t="n">
        <v>0</v>
      </c>
      <c r="V857" s="31" t="n">
        <v>0</v>
      </c>
      <c r="W857" s="3" t="n">
        <v>0</v>
      </c>
      <c r="X857" s="3" t="n">
        <v>0</v>
      </c>
      <c r="Y857" s="32" t="n">
        <v>0</v>
      </c>
      <c r="Z857" s="3" t="n">
        <v>0</v>
      </c>
      <c r="AA857" s="32" t="n">
        <v>0</v>
      </c>
      <c r="AB857" s="3" t="n"/>
      <c r="AC857" s="31" t="n">
        <v>0</v>
      </c>
      <c r="AD857" s="2" t="n">
        <v>0</v>
      </c>
      <c r="AE857" s="2" t="n">
        <v>3</v>
      </c>
      <c r="AF857" s="4" t="n">
        <v>3</v>
      </c>
      <c r="AG857" s="33" t="n">
        <v>5.98</v>
      </c>
      <c r="AH857" s="4" t="n">
        <v>1</v>
      </c>
      <c r="AI857" s="34" t="n">
        <v>0.3333</v>
      </c>
      <c r="AJ857" s="34" t="n">
        <v>1</v>
      </c>
      <c r="AK857" s="2" t="n">
        <v>13500</v>
      </c>
      <c r="AL857" t="inlineStr">
        <is>
          <t>Published</t>
        </is>
      </c>
    </row>
    <row r="858">
      <c r="A858">
        <f>HYPERLINK("https://www.walmart.com/ip/543033530", "543033530")</f>
        <v/>
      </c>
      <c r="B858">
        <f>HYPERLINK("https://app.optiwise.ai/catalog/itemdetails/360817", "Knit Beanie Hat for Women and Men, Faux Fuzzy Pom Pom Winter Ski Skullies Cap, Bronze")</f>
        <v/>
      </c>
      <c r="C858" t="inlineStr">
        <is>
          <t>1SLPPH03LATTE</t>
        </is>
      </c>
      <c r="D858" t="inlineStr">
        <is>
          <t>Clothing</t>
        </is>
      </c>
      <c r="E858" t="inlineStr">
        <is>
          <t>Hats</t>
        </is>
      </c>
      <c r="F858" t="inlineStr">
        <is>
          <t>Solaris</t>
        </is>
      </c>
      <c r="G858" t="n">
        <v>0</v>
      </c>
      <c r="H858" t="n">
        <v>0</v>
      </c>
      <c r="I858" t="inlineStr">
        <is>
          <t>Q2-Target,Batch 1 - TR</t>
        </is>
      </c>
      <c r="J858" s="29" t="n">
        <v>5.98</v>
      </c>
      <c r="K858" s="30" t="n">
        <v>0.0001</v>
      </c>
      <c r="L858" s="29" t="n">
        <v>0</v>
      </c>
      <c r="M858" s="29" t="n">
        <v>0</v>
      </c>
      <c r="N858" s="2" t="n">
        <v>1</v>
      </c>
      <c r="O858" s="31" t="n">
        <v>0</v>
      </c>
      <c r="P858" s="32" t="n"/>
      <c r="Q858" s="32" t="n">
        <v>0</v>
      </c>
      <c r="R858" s="32" t="n">
        <v>0</v>
      </c>
      <c r="S858" s="31" t="n">
        <v>0</v>
      </c>
      <c r="T858" s="32" t="n">
        <v>0</v>
      </c>
      <c r="U858" s="31" t="n">
        <v>0</v>
      </c>
      <c r="V858" s="31" t="n">
        <v>0</v>
      </c>
      <c r="W858" s="3" t="n">
        <v>0</v>
      </c>
      <c r="X858" s="3" t="n">
        <v>0</v>
      </c>
      <c r="Y858" s="32" t="n">
        <v>0</v>
      </c>
      <c r="Z858" s="3" t="n">
        <v>0</v>
      </c>
      <c r="AA858" s="32" t="n">
        <v>0</v>
      </c>
      <c r="AB858" s="3" t="n"/>
      <c r="AC858" s="31" t="n">
        <v>0</v>
      </c>
      <c r="AD858" s="2" t="n">
        <v>0</v>
      </c>
      <c r="AE858" s="2" t="n">
        <v>6</v>
      </c>
      <c r="AF858" s="4" t="n">
        <v>6</v>
      </c>
      <c r="AG858" s="33" t="n">
        <v>5.98</v>
      </c>
      <c r="AH858" s="4" t="n">
        <v>1</v>
      </c>
      <c r="AI858" s="34" t="n">
        <v>0.1667</v>
      </c>
      <c r="AJ858" s="34" t="n">
        <v>1</v>
      </c>
      <c r="AK858" s="2" t="n">
        <v>13500</v>
      </c>
      <c r="AL858" t="inlineStr">
        <is>
          <t>Published</t>
        </is>
      </c>
    </row>
    <row r="859">
      <c r="A859">
        <f>HYPERLINK("https://www.walmart.com/ip/239180236", "239180236")</f>
        <v/>
      </c>
      <c r="B859">
        <f>HYPERLINK("https://app.optiwise.ai/catalog/itemdetails/361558", "Knit Beanie Hat for Women,  Faux Fuzzy Pom Pom Winter Ski Skullies Cap")</f>
        <v/>
      </c>
      <c r="C859" t="inlineStr">
        <is>
          <t>1SLPPH03PK</t>
        </is>
      </c>
      <c r="D859" t="inlineStr">
        <is>
          <t>Clothing</t>
        </is>
      </c>
      <c r="E859" t="inlineStr">
        <is>
          <t>Hats</t>
        </is>
      </c>
      <c r="F859" t="inlineStr">
        <is>
          <t>Solaris</t>
        </is>
      </c>
      <c r="G859" t="n">
        <v>4.6</v>
      </c>
      <c r="H859" t="n">
        <v>5</v>
      </c>
      <c r="I859" t="inlineStr">
        <is>
          <t>Batch 1 - TR</t>
        </is>
      </c>
      <c r="J859" s="29" t="n">
        <v>5.98</v>
      </c>
      <c r="K859" s="30" t="n">
        <v>0.0001</v>
      </c>
      <c r="L859" s="29" t="n">
        <v>0</v>
      </c>
      <c r="M859" s="29" t="n">
        <v>0</v>
      </c>
      <c r="N859" s="2" t="n">
        <v>1</v>
      </c>
      <c r="O859" s="31" t="n">
        <v>0</v>
      </c>
      <c r="P859" s="32" t="n"/>
      <c r="Q859" s="32" t="n">
        <v>0</v>
      </c>
      <c r="R859" s="32" t="n">
        <v>0</v>
      </c>
      <c r="S859" s="31" t="n">
        <v>0</v>
      </c>
      <c r="T859" s="32" t="n">
        <v>0</v>
      </c>
      <c r="U859" s="31" t="n">
        <v>0</v>
      </c>
      <c r="V859" s="31" t="n">
        <v>0</v>
      </c>
      <c r="W859" s="3" t="n">
        <v>0</v>
      </c>
      <c r="X859" s="3" t="n">
        <v>0</v>
      </c>
      <c r="Y859" s="32" t="n">
        <v>0</v>
      </c>
      <c r="Z859" s="3" t="n">
        <v>0</v>
      </c>
      <c r="AA859" s="32" t="n">
        <v>0</v>
      </c>
      <c r="AB859" s="3" t="n"/>
      <c r="AC859" s="31" t="n">
        <v>0</v>
      </c>
      <c r="AD859" s="2" t="n">
        <v>0</v>
      </c>
      <c r="AE859" s="2" t="n">
        <v>14</v>
      </c>
      <c r="AF859" s="4" t="n">
        <v>14</v>
      </c>
      <c r="AG859" s="33" t="n">
        <v>5.98</v>
      </c>
      <c r="AH859" s="4" t="n">
        <v>1</v>
      </c>
      <c r="AI859" s="34" t="n">
        <v>0.07140000000000001</v>
      </c>
      <c r="AJ859" s="34" t="n">
        <v>1</v>
      </c>
      <c r="AK859" s="2" t="n">
        <v>13500</v>
      </c>
      <c r="AL859" t="inlineStr">
        <is>
          <t>Published</t>
        </is>
      </c>
    </row>
    <row r="860">
      <c r="A860">
        <f>HYPERLINK("https://www.walmart.com/ip/933172740", "933172740")</f>
        <v/>
      </c>
      <c r="B860">
        <f>HYPERLINK("https://app.optiwise.ai/catalog/itemdetails/417450", "Tirrinia Super Soft Micro Fleece Plush Chevron Throw Flannel Sherpa Blanket, 50 x 60, Brown")</f>
        <v/>
      </c>
      <c r="C860" t="inlineStr">
        <is>
          <t>1TRBF560BR-TBCB</t>
        </is>
      </c>
      <c r="D860" t="inlineStr">
        <is>
          <t>Bedding</t>
        </is>
      </c>
      <c r="E860" t="inlineStr">
        <is>
          <t>Throws</t>
        </is>
      </c>
      <c r="F860" t="inlineStr">
        <is>
          <t>Tirrinia</t>
        </is>
      </c>
      <c r="G860" t="n">
        <v>0</v>
      </c>
      <c r="H860" t="n">
        <v>0</v>
      </c>
      <c r="I860" t="inlineStr">
        <is>
          <t>Optimized</t>
        </is>
      </c>
      <c r="J860" s="29" t="n">
        <v>0</v>
      </c>
      <c r="K860" s="30" t="n"/>
      <c r="L860" s="29" t="n">
        <v>0</v>
      </c>
      <c r="M860" s="29" t="n">
        <v>0</v>
      </c>
      <c r="N860" s="2" t="n">
        <v>0</v>
      </c>
      <c r="O860" s="31" t="n">
        <v>0</v>
      </c>
      <c r="P860" s="32" t="n"/>
      <c r="Q860" s="32" t="n">
        <v>0</v>
      </c>
      <c r="R860" s="32" t="n">
        <v>0</v>
      </c>
      <c r="S860" s="31" t="n">
        <v>0</v>
      </c>
      <c r="T860" s="32" t="n">
        <v>0</v>
      </c>
      <c r="U860" s="31" t="n">
        <v>0</v>
      </c>
      <c r="V860" s="31" t="n">
        <v>0</v>
      </c>
      <c r="W860" s="3" t="n">
        <v>0</v>
      </c>
      <c r="X860" s="3" t="n">
        <v>0</v>
      </c>
      <c r="Y860" s="32" t="n">
        <v>0</v>
      </c>
      <c r="Z860" s="3" t="n">
        <v>0</v>
      </c>
      <c r="AA860" s="32" t="n">
        <v>0</v>
      </c>
      <c r="AB860" s="3" t="n"/>
      <c r="AC860" s="31" t="n">
        <v>0</v>
      </c>
      <c r="AD860" s="2" t="n">
        <v>0</v>
      </c>
      <c r="AE860" s="2" t="n">
        <v>6</v>
      </c>
      <c r="AF860" s="4" t="n">
        <v>6</v>
      </c>
      <c r="AG860" s="33" t="n">
        <v>0</v>
      </c>
      <c r="AH860" s="4" t="n">
        <v>0</v>
      </c>
      <c r="AI860" s="34" t="n"/>
      <c r="AJ860" s="34" t="n">
        <v>0</v>
      </c>
      <c r="AK860" s="2" t="n">
        <v>0</v>
      </c>
      <c r="AL860" t="inlineStr">
        <is>
          <t>Published</t>
        </is>
      </c>
    </row>
    <row r="861">
      <c r="A861">
        <f>HYPERLINK("https://www.walmart.com/ip/941284014", "941284014")</f>
        <v/>
      </c>
      <c r="B861">
        <f>HYPERLINK("https://app.optiwise.ai/catalog/itemdetails/412489", "Oversized Hoodie Blanket Sweatshirt,Super Soft Warm Comfortable Fleece Giant Pullover with Large Front Pocket,for Adults Men Women Teenagers Kids Wife Girlfriend")</f>
        <v/>
      </c>
      <c r="C861" t="inlineStr">
        <is>
          <t>1CTHD300IVR-UPC</t>
        </is>
      </c>
      <c r="D861" t="inlineStr">
        <is>
          <t>Clothing</t>
        </is>
      </c>
      <c r="E861" t="inlineStr">
        <is>
          <t>Sweatshirts &amp; Hoodies</t>
        </is>
      </c>
      <c r="F861" t="inlineStr">
        <is>
          <t>Catalonia</t>
        </is>
      </c>
      <c r="G861" t="n">
        <v>0</v>
      </c>
      <c r="H861" t="n">
        <v>0</v>
      </c>
      <c r="I861" t="inlineStr">
        <is>
          <t>Hoodie ForAdult,Optimized</t>
        </is>
      </c>
      <c r="J861" s="29" t="n">
        <v>0</v>
      </c>
      <c r="K861" s="30" t="n"/>
      <c r="L861" s="29" t="n">
        <v>0</v>
      </c>
      <c r="M861" s="29" t="n">
        <v>0</v>
      </c>
      <c r="N861" s="2" t="n">
        <v>0</v>
      </c>
      <c r="O861" s="31" t="n">
        <v>0</v>
      </c>
      <c r="P861" s="32" t="n"/>
      <c r="Q861" s="32" t="n">
        <v>0</v>
      </c>
      <c r="R861" s="32" t="n">
        <v>0</v>
      </c>
      <c r="S861" s="31" t="n">
        <v>0</v>
      </c>
      <c r="T861" s="32" t="n">
        <v>0</v>
      </c>
      <c r="U861" s="31" t="n">
        <v>0</v>
      </c>
      <c r="V861" s="31" t="n">
        <v>0</v>
      </c>
      <c r="W861" s="3" t="n">
        <v>0</v>
      </c>
      <c r="X861" s="3" t="n">
        <v>0</v>
      </c>
      <c r="Y861" s="32" t="n">
        <v>0</v>
      </c>
      <c r="Z861" s="3" t="n">
        <v>0</v>
      </c>
      <c r="AA861" s="32" t="n">
        <v>0</v>
      </c>
      <c r="AB861" s="3" t="n"/>
      <c r="AC861" s="31" t="n">
        <v>0</v>
      </c>
      <c r="AD861" s="2" t="n">
        <v>0</v>
      </c>
      <c r="AE861" s="2" t="n">
        <v>0</v>
      </c>
      <c r="AF861" s="4" t="n">
        <v>0</v>
      </c>
      <c r="AG861" s="33" t="n">
        <v>0</v>
      </c>
      <c r="AH861" s="4" t="n">
        <v>0</v>
      </c>
      <c r="AI861" s="34" t="n"/>
      <c r="AJ861" s="34" t="n">
        <v>0</v>
      </c>
      <c r="AK861" s="2" t="n">
        <v>0</v>
      </c>
      <c r="AL861" t="inlineStr">
        <is>
          <t>Published</t>
        </is>
      </c>
    </row>
    <row r="862">
      <c r="A862">
        <f>HYPERLINK("https://www.walmart.com/ip/701360796", "701360796")</f>
        <v/>
      </c>
      <c r="B862">
        <f>HYPERLINK("https://app.optiwise.ai/catalog/itemdetails/412488", "Oversized Hoodie Blanket Sweatshirt,Super Soft Warm Comfortable Fleece Giant Pullover with Large Front Pocket,for Adults Men Women Teenagers Kids Wife Girlfriend")</f>
        <v/>
      </c>
      <c r="C862" t="inlineStr">
        <is>
          <t>1CTHD300GY-UPC</t>
        </is>
      </c>
      <c r="D862" t="inlineStr">
        <is>
          <t>Clothing</t>
        </is>
      </c>
      <c r="E862" t="inlineStr">
        <is>
          <t>Sweatshirts &amp; Hoodies</t>
        </is>
      </c>
      <c r="F862" t="inlineStr">
        <is>
          <t>Catalonia</t>
        </is>
      </c>
      <c r="G862" t="n">
        <v>0</v>
      </c>
      <c r="H862" t="n">
        <v>0</v>
      </c>
      <c r="I862" t="inlineStr">
        <is>
          <t>Hoodie ForAdult,Optimized</t>
        </is>
      </c>
      <c r="J862" s="29" t="n">
        <v>0</v>
      </c>
      <c r="K862" s="30" t="n"/>
      <c r="L862" s="29" t="n">
        <v>0</v>
      </c>
      <c r="M862" s="29" t="n">
        <v>0</v>
      </c>
      <c r="N862" s="2" t="n">
        <v>0</v>
      </c>
      <c r="O862" s="31" t="n">
        <v>0</v>
      </c>
      <c r="P862" s="32" t="n"/>
      <c r="Q862" s="32" t="n">
        <v>0</v>
      </c>
      <c r="R862" s="32" t="n">
        <v>0</v>
      </c>
      <c r="S862" s="31" t="n">
        <v>0</v>
      </c>
      <c r="T862" s="32" t="n">
        <v>0</v>
      </c>
      <c r="U862" s="31" t="n">
        <v>0</v>
      </c>
      <c r="V862" s="31" t="n">
        <v>0</v>
      </c>
      <c r="W862" s="3" t="n">
        <v>0</v>
      </c>
      <c r="X862" s="3" t="n">
        <v>0</v>
      </c>
      <c r="Y862" s="32" t="n">
        <v>0</v>
      </c>
      <c r="Z862" s="3" t="n">
        <v>0</v>
      </c>
      <c r="AA862" s="32" t="n">
        <v>0</v>
      </c>
      <c r="AB862" s="3" t="n"/>
      <c r="AC862" s="31" t="n">
        <v>0</v>
      </c>
      <c r="AD862" s="2" t="n">
        <v>0</v>
      </c>
      <c r="AE862" s="2" t="n">
        <v>1</v>
      </c>
      <c r="AF862" s="4" t="n">
        <v>1</v>
      </c>
      <c r="AG862" s="33" t="n">
        <v>0</v>
      </c>
      <c r="AH862" s="4" t="n">
        <v>0</v>
      </c>
      <c r="AI862" s="34" t="n"/>
      <c r="AJ862" s="34" t="n">
        <v>0</v>
      </c>
      <c r="AK862" s="2" t="n">
        <v>0</v>
      </c>
      <c r="AL862" t="inlineStr">
        <is>
          <t>Published</t>
        </is>
      </c>
    </row>
    <row r="863">
      <c r="A863">
        <f>HYPERLINK("https://www.walmart.com/ip/228927928", "228927928")</f>
        <v/>
      </c>
      <c r="B863">
        <f>HYPERLINK("https://app.optiwise.ai/catalog/itemdetails/412498", "Oversized Hoodie Blanket Sweatshirt,Super Soft Warm Comfortable Fleece Giant Pullover with Large Front Pocket,for Adults Men Women Teenagers Kids Wife Girlfriend")</f>
        <v/>
      </c>
      <c r="C863" t="inlineStr">
        <is>
          <t>1CTHD300BK-UPC</t>
        </is>
      </c>
      <c r="D863" t="inlineStr">
        <is>
          <t>Clothing</t>
        </is>
      </c>
      <c r="E863" t="inlineStr">
        <is>
          <t>Sweatshirts &amp; Hoodies</t>
        </is>
      </c>
      <c r="F863" t="inlineStr">
        <is>
          <t>Catalonia</t>
        </is>
      </c>
      <c r="G863" t="n">
        <v>0</v>
      </c>
      <c r="H863" t="n">
        <v>0</v>
      </c>
      <c r="I863" t="inlineStr">
        <is>
          <t>Hoodie ForAdult,Optimized,Coupon_Discount</t>
        </is>
      </c>
      <c r="J863" s="29" t="n">
        <v>0</v>
      </c>
      <c r="K863" s="30" t="n"/>
      <c r="L863" s="29" t="n">
        <v>0</v>
      </c>
      <c r="M863" s="29" t="n">
        <v>0</v>
      </c>
      <c r="N863" s="2" t="n">
        <v>0</v>
      </c>
      <c r="O863" s="31" t="n">
        <v>0</v>
      </c>
      <c r="P863" s="32" t="n"/>
      <c r="Q863" s="32" t="n">
        <v>0</v>
      </c>
      <c r="R863" s="32" t="n">
        <v>0</v>
      </c>
      <c r="S863" s="31" t="n">
        <v>0</v>
      </c>
      <c r="T863" s="32" t="n">
        <v>0</v>
      </c>
      <c r="U863" s="31" t="n">
        <v>0</v>
      </c>
      <c r="V863" s="31" t="n">
        <v>0</v>
      </c>
      <c r="W863" s="3" t="n">
        <v>0</v>
      </c>
      <c r="X863" s="3" t="n">
        <v>0</v>
      </c>
      <c r="Y863" s="32" t="n">
        <v>0</v>
      </c>
      <c r="Z863" s="3" t="n">
        <v>0</v>
      </c>
      <c r="AA863" s="32" t="n">
        <v>0</v>
      </c>
      <c r="AB863" s="3" t="n"/>
      <c r="AC863" s="31" t="n">
        <v>0</v>
      </c>
      <c r="AD863" s="2" t="n">
        <v>0</v>
      </c>
      <c r="AE863" s="2" t="n">
        <v>6</v>
      </c>
      <c r="AF863" s="4" t="n">
        <v>6</v>
      </c>
      <c r="AG863" s="33" t="n">
        <v>0</v>
      </c>
      <c r="AH863" s="4" t="n">
        <v>0</v>
      </c>
      <c r="AI863" s="34" t="n"/>
      <c r="AJ863" s="34" t="n">
        <v>0</v>
      </c>
      <c r="AK863" s="2" t="n">
        <v>0</v>
      </c>
      <c r="AL863" t="inlineStr">
        <is>
          <t>Published</t>
        </is>
      </c>
    </row>
    <row r="864">
      <c r="A864">
        <f>HYPERLINK("https://www.walmart.com/ip/641006388", "641006388")</f>
        <v/>
      </c>
      <c r="B864">
        <f>HYPERLINK("https://app.optiwise.ai/catalog/itemdetails/380745", "Solaris Men Winter Ski Snow Gloves with Breathable Face Mask The Warmest 3M Insulation Waterproof Outdoor Snowboard Mitt")</f>
        <v/>
      </c>
      <c r="C864" t="inlineStr">
        <is>
          <t>1SLWG301BKBK-XL</t>
        </is>
      </c>
      <c r="D864" t="inlineStr">
        <is>
          <t>Clothing</t>
        </is>
      </c>
      <c r="E864" t="inlineStr">
        <is>
          <t>Gloves &amp; Mittens</t>
        </is>
      </c>
      <c r="F864" t="inlineStr">
        <is>
          <t>Solaris</t>
        </is>
      </c>
      <c r="G864" t="n">
        <v>0</v>
      </c>
      <c r="H864" t="n">
        <v>0</v>
      </c>
      <c r="I864" t="inlineStr">
        <is>
          <t>Optimized,Gloves</t>
        </is>
      </c>
      <c r="J864" s="29" t="n">
        <v>0</v>
      </c>
      <c r="K864" s="30" t="n"/>
      <c r="L864" s="29" t="n">
        <v>0</v>
      </c>
      <c r="M864" s="29" t="n">
        <v>0</v>
      </c>
      <c r="N864" s="2" t="n">
        <v>0</v>
      </c>
      <c r="O864" s="31" t="n">
        <v>0</v>
      </c>
      <c r="P864" s="32" t="n"/>
      <c r="Q864" s="32" t="n">
        <v>0</v>
      </c>
      <c r="R864" s="32" t="n">
        <v>0</v>
      </c>
      <c r="S864" s="31" t="n">
        <v>0</v>
      </c>
      <c r="T864" s="32" t="n">
        <v>0</v>
      </c>
      <c r="U864" s="31" t="n">
        <v>0</v>
      </c>
      <c r="V864" s="31" t="n">
        <v>0</v>
      </c>
      <c r="W864" s="3" t="n">
        <v>0</v>
      </c>
      <c r="X864" s="3" t="n">
        <v>0</v>
      </c>
      <c r="Y864" s="32" t="n">
        <v>0</v>
      </c>
      <c r="Z864" s="3" t="n">
        <v>0</v>
      </c>
      <c r="AA864" s="32" t="n">
        <v>0</v>
      </c>
      <c r="AB864" s="3" t="n"/>
      <c r="AC864" s="31" t="n">
        <v>0</v>
      </c>
      <c r="AD864" s="2" t="n">
        <v>0</v>
      </c>
      <c r="AE864" s="2" t="n">
        <v>36</v>
      </c>
      <c r="AF864" s="4" t="n">
        <v>36</v>
      </c>
      <c r="AG864" s="33" t="n">
        <v>0</v>
      </c>
      <c r="AH864" s="4" t="n">
        <v>0</v>
      </c>
      <c r="AI864" s="34" t="n"/>
      <c r="AJ864" s="34" t="n">
        <v>0</v>
      </c>
      <c r="AK864" s="2" t="n">
        <v>0</v>
      </c>
      <c r="AL864" t="inlineStr">
        <is>
          <t>Published</t>
        </is>
      </c>
    </row>
    <row r="865">
      <c r="A865">
        <f>HYPERLINK("https://www.walmart.com/ip/981254635", "981254635")</f>
        <v/>
      </c>
      <c r="B865">
        <f>HYPERLINK("https://app.optiwise.ai/catalog/itemdetails/412500", "Oversized Hoodie Blanket Sweatshirt,Super Soft Warm Comfortable Fleece Giant Pullover with Large Front Pocket,for Adults Men Women Teenagers Kids Wife Girlfriend")</f>
        <v/>
      </c>
      <c r="C865" t="inlineStr">
        <is>
          <t>1CTHD300LT-UPC</t>
        </is>
      </c>
      <c r="D865" t="inlineStr">
        <is>
          <t>Clothing</t>
        </is>
      </c>
      <c r="E865" t="inlineStr">
        <is>
          <t>Sweatshirts &amp; Hoodies</t>
        </is>
      </c>
      <c r="F865" t="inlineStr">
        <is>
          <t>Catalonia</t>
        </is>
      </c>
      <c r="G865" t="n">
        <v>5</v>
      </c>
      <c r="H865" t="n">
        <v>4</v>
      </c>
      <c r="I865" t="inlineStr">
        <is>
          <t>Hoodie ForAdult,Optimized,Coupon_Discount</t>
        </is>
      </c>
      <c r="J865" s="29" t="n">
        <v>0</v>
      </c>
      <c r="K865" s="30" t="n"/>
      <c r="L865" s="29" t="n">
        <v>0</v>
      </c>
      <c r="M865" s="29" t="n">
        <v>0</v>
      </c>
      <c r="N865" s="2" t="n">
        <v>0</v>
      </c>
      <c r="O865" s="31" t="n">
        <v>0</v>
      </c>
      <c r="P865" s="32" t="n"/>
      <c r="Q865" s="32" t="n">
        <v>0</v>
      </c>
      <c r="R865" s="32" t="n">
        <v>0</v>
      </c>
      <c r="S865" s="31" t="n">
        <v>0</v>
      </c>
      <c r="T865" s="32" t="n">
        <v>0</v>
      </c>
      <c r="U865" s="31" t="n">
        <v>0</v>
      </c>
      <c r="V865" s="31" t="n">
        <v>0</v>
      </c>
      <c r="W865" s="3" t="n">
        <v>0</v>
      </c>
      <c r="X865" s="3" t="n">
        <v>0</v>
      </c>
      <c r="Y865" s="32" t="n">
        <v>0</v>
      </c>
      <c r="Z865" s="3" t="n">
        <v>0</v>
      </c>
      <c r="AA865" s="32" t="n">
        <v>0</v>
      </c>
      <c r="AB865" s="3" t="n"/>
      <c r="AC865" s="31" t="n">
        <v>0</v>
      </c>
      <c r="AD865" s="2" t="n">
        <v>0</v>
      </c>
      <c r="AE865" s="2" t="n">
        <v>0</v>
      </c>
      <c r="AF865" s="4" t="n">
        <v>0</v>
      </c>
      <c r="AG865" s="33" t="n">
        <v>0</v>
      </c>
      <c r="AH865" s="4" t="n">
        <v>0</v>
      </c>
      <c r="AI865" s="34" t="n"/>
      <c r="AJ865" s="34" t="n">
        <v>0</v>
      </c>
      <c r="AK865" s="2" t="n">
        <v>0</v>
      </c>
      <c r="AL865" t="inlineStr">
        <is>
          <t>Published</t>
        </is>
      </c>
    </row>
    <row r="866">
      <c r="A866">
        <f>HYPERLINK("https://www.walmart.com/ip/261383078", "261383078")</f>
        <v/>
      </c>
      <c r="B866">
        <f>HYPERLINK("https://app.optiwise.ai/catalog/itemdetails/412501", "Oversized Hoodie Blanket Sweatshirt,Super Soft Warm Comfortable Fleece Giant Pullover with Large Front Pocket,for Adults Men Women Teenagers Kids Wife Girlfriend")</f>
        <v/>
      </c>
      <c r="C866" t="inlineStr">
        <is>
          <t>1CTHD300LGY-UPC</t>
        </is>
      </c>
      <c r="D866" t="inlineStr">
        <is>
          <t>Clothing</t>
        </is>
      </c>
      <c r="E866" t="inlineStr">
        <is>
          <t>Sweatshirts &amp; Hoodies</t>
        </is>
      </c>
      <c r="F866" t="inlineStr">
        <is>
          <t>Catalonia</t>
        </is>
      </c>
      <c r="G866" t="n">
        <v>5</v>
      </c>
      <c r="H866" t="n">
        <v>4</v>
      </c>
      <c r="I866" t="inlineStr">
        <is>
          <t>Hoodie ForAdult,Optimized</t>
        </is>
      </c>
      <c r="J866" s="29" t="n">
        <v>0</v>
      </c>
      <c r="K866" s="30" t="n"/>
      <c r="L866" s="29" t="n">
        <v>0</v>
      </c>
      <c r="M866" s="29" t="n">
        <v>0</v>
      </c>
      <c r="N866" s="2" t="n">
        <v>0</v>
      </c>
      <c r="O866" s="31" t="n">
        <v>0</v>
      </c>
      <c r="P866" s="32" t="n"/>
      <c r="Q866" s="32" t="n">
        <v>0</v>
      </c>
      <c r="R866" s="32" t="n">
        <v>0.4672</v>
      </c>
      <c r="S866" s="31" t="n">
        <v>0</v>
      </c>
      <c r="T866" s="32" t="n">
        <v>0</v>
      </c>
      <c r="U866" s="31" t="n">
        <v>0</v>
      </c>
      <c r="V866" s="31" t="n">
        <v>0</v>
      </c>
      <c r="W866" s="3" t="n">
        <v>0</v>
      </c>
      <c r="X866" s="3" t="n">
        <v>0</v>
      </c>
      <c r="Y866" s="32" t="n">
        <v>0</v>
      </c>
      <c r="Z866" s="3" t="n">
        <v>0</v>
      </c>
      <c r="AA866" s="32" t="n">
        <v>0</v>
      </c>
      <c r="AB866" s="3" t="n"/>
      <c r="AC866" s="31" t="n">
        <v>0</v>
      </c>
      <c r="AD866" s="2" t="n">
        <v>0</v>
      </c>
      <c r="AE866" s="2" t="n">
        <v>20</v>
      </c>
      <c r="AF866" s="4" t="n">
        <v>20</v>
      </c>
      <c r="AG866" s="33" t="n">
        <v>0</v>
      </c>
      <c r="AH866" s="4" t="n">
        <v>0</v>
      </c>
      <c r="AI866" s="34" t="n"/>
      <c r="AJ866" s="34" t="n">
        <v>0</v>
      </c>
      <c r="AK866" s="2" t="n">
        <v>0</v>
      </c>
      <c r="AL866" t="inlineStr">
        <is>
          <t>Published</t>
        </is>
      </c>
    </row>
    <row r="867">
      <c r="A867">
        <f>HYPERLINK("https://www.walmart.com/ip/754680996", "754680996")</f>
        <v/>
      </c>
      <c r="B867">
        <f>HYPERLINK("https://app.optiwise.ai/catalog/itemdetails/412490", "Oversized Hoodie Blanket Sweatshirt,Super Soft Warm Comfortable Fleece Giant Pullover with Large Front Pocket,for Adults Men Women Teenagers Kids Wife Girlfriend")</f>
        <v/>
      </c>
      <c r="C867" t="inlineStr">
        <is>
          <t>1CTHD300MN-UPC</t>
        </is>
      </c>
      <c r="D867" t="inlineStr">
        <is>
          <t>Clothing</t>
        </is>
      </c>
      <c r="E867" t="inlineStr">
        <is>
          <t>Sweatshirts &amp; Hoodies</t>
        </is>
      </c>
      <c r="F867" t="inlineStr">
        <is>
          <t>Catalonia</t>
        </is>
      </c>
      <c r="G867" t="n">
        <v>0</v>
      </c>
      <c r="H867" t="n">
        <v>0</v>
      </c>
      <c r="I867" t="inlineStr">
        <is>
          <t>Hoodie ForAdult,Optimized</t>
        </is>
      </c>
      <c r="J867" s="29" t="n">
        <v>0</v>
      </c>
      <c r="K867" s="30" t="n"/>
      <c r="L867" s="29" t="n">
        <v>0</v>
      </c>
      <c r="M867" s="29" t="n">
        <v>0</v>
      </c>
      <c r="N867" s="2" t="n">
        <v>0</v>
      </c>
      <c r="O867" s="31" t="n">
        <v>0</v>
      </c>
      <c r="P867" s="32" t="n"/>
      <c r="Q867" s="32" t="n">
        <v>0</v>
      </c>
      <c r="R867" s="32" t="n">
        <v>0</v>
      </c>
      <c r="S867" s="31" t="n">
        <v>0</v>
      </c>
      <c r="T867" s="32" t="n">
        <v>0</v>
      </c>
      <c r="U867" s="31" t="n">
        <v>0</v>
      </c>
      <c r="V867" s="31" t="n">
        <v>0</v>
      </c>
      <c r="W867" s="3" t="n">
        <v>0</v>
      </c>
      <c r="X867" s="3" t="n">
        <v>0</v>
      </c>
      <c r="Y867" s="32" t="n">
        <v>0</v>
      </c>
      <c r="Z867" s="3" t="n">
        <v>0</v>
      </c>
      <c r="AA867" s="32" t="n">
        <v>0</v>
      </c>
      <c r="AB867" s="3" t="n"/>
      <c r="AC867" s="31" t="n">
        <v>0</v>
      </c>
      <c r="AD867" s="2" t="n">
        <v>0</v>
      </c>
      <c r="AE867" s="2" t="n">
        <v>0</v>
      </c>
      <c r="AF867" s="4" t="n">
        <v>0</v>
      </c>
      <c r="AG867" s="33" t="n">
        <v>0</v>
      </c>
      <c r="AH867" s="4" t="n">
        <v>0</v>
      </c>
      <c r="AI867" s="34" t="n"/>
      <c r="AJ867" s="34" t="n">
        <v>0</v>
      </c>
      <c r="AK867" s="2" t="n">
        <v>0</v>
      </c>
      <c r="AL867" t="inlineStr">
        <is>
          <t>Published</t>
        </is>
      </c>
    </row>
    <row r="868">
      <c r="A868">
        <f>HYPERLINK("https://www.walmart.com/ip/697110021", "697110021")</f>
        <v/>
      </c>
      <c r="B868">
        <f>HYPERLINK("https://app.optiwise.ai/catalog/itemdetails/417440", "Tirrinia Comfy Sherpa Wearable Blanket Poncho for Adult, 55'' x 80'', Grey")</f>
        <v/>
      </c>
      <c r="C868" t="inlineStr">
        <is>
          <t>1TRBP110GY-TBCB</t>
        </is>
      </c>
      <c r="D868" t="inlineStr">
        <is>
          <t>Home Decor, Kitchen, &amp; Other</t>
        </is>
      </c>
      <c r="E868" t="inlineStr">
        <is>
          <t>Throws</t>
        </is>
      </c>
      <c r="F868" t="inlineStr">
        <is>
          <t>Tirrinia</t>
        </is>
      </c>
      <c r="G868" t="n">
        <v>0</v>
      </c>
      <c r="H868" t="n">
        <v>0</v>
      </c>
      <c r="I868" t="inlineStr">
        <is>
          <t>Optimized</t>
        </is>
      </c>
      <c r="J868" s="29" t="n">
        <v>0</v>
      </c>
      <c r="K868" s="30" t="n"/>
      <c r="L868" s="29" t="n">
        <v>0</v>
      </c>
      <c r="M868" s="29" t="n">
        <v>0</v>
      </c>
      <c r="N868" s="2" t="n">
        <v>0</v>
      </c>
      <c r="O868" s="31" t="n">
        <v>0</v>
      </c>
      <c r="P868" s="32" t="n"/>
      <c r="Q868" s="32" t="n">
        <v>0</v>
      </c>
      <c r="R868" s="32" t="n">
        <v>0</v>
      </c>
      <c r="S868" s="31" t="n">
        <v>0</v>
      </c>
      <c r="T868" s="32" t="n">
        <v>0</v>
      </c>
      <c r="U868" s="31" t="n">
        <v>0</v>
      </c>
      <c r="V868" s="31" t="n">
        <v>0</v>
      </c>
      <c r="W868" s="3" t="n">
        <v>0</v>
      </c>
      <c r="X868" s="3" t="n">
        <v>0</v>
      </c>
      <c r="Y868" s="32" t="n">
        <v>0</v>
      </c>
      <c r="Z868" s="3" t="n">
        <v>0</v>
      </c>
      <c r="AA868" s="32" t="n">
        <v>0</v>
      </c>
      <c r="AB868" s="3" t="n"/>
      <c r="AC868" s="31" t="n">
        <v>0</v>
      </c>
      <c r="AD868" s="2" t="n">
        <v>0</v>
      </c>
      <c r="AE868" s="2" t="n">
        <v>2</v>
      </c>
      <c r="AF868" s="4" t="n">
        <v>2</v>
      </c>
      <c r="AG868" s="33" t="n">
        <v>0</v>
      </c>
      <c r="AH868" s="4" t="n">
        <v>0</v>
      </c>
      <c r="AI868" s="34" t="n"/>
      <c r="AJ868" s="34" t="n">
        <v>0</v>
      </c>
      <c r="AK868" s="2" t="n">
        <v>0</v>
      </c>
      <c r="AL868" t="inlineStr">
        <is>
          <t>Published</t>
        </is>
      </c>
    </row>
    <row r="869">
      <c r="A869">
        <f>HYPERLINK("https://www.walmart.com/ip/994761445", "994761445")</f>
        <v/>
      </c>
      <c r="B869">
        <f>HYPERLINK("https://app.optiwise.ai/catalog/itemdetails/416859", "Oversized Hoodie Blanket Sweatshirt,Super Soft Warm Comfortable Fleece Giant Pullover with Large Front Pocket,for Adults Men Women Teenagers Kids Wife Girlfriend")</f>
        <v/>
      </c>
      <c r="C869" t="inlineStr">
        <is>
          <t>1CTHD300PK-UPC</t>
        </is>
      </c>
      <c r="D869" t="inlineStr">
        <is>
          <t>Clothing</t>
        </is>
      </c>
      <c r="E869" t="inlineStr">
        <is>
          <t>Sweatshirts &amp; Hoodies</t>
        </is>
      </c>
      <c r="F869" t="inlineStr">
        <is>
          <t>Catalonia</t>
        </is>
      </c>
      <c r="G869" t="n">
        <v>0</v>
      </c>
      <c r="H869" t="n">
        <v>0</v>
      </c>
      <c r="I869" t="inlineStr">
        <is>
          <t>Hoodie ForAdult,Optimized</t>
        </is>
      </c>
      <c r="J869" s="29" t="n">
        <v>0</v>
      </c>
      <c r="K869" s="30" t="n"/>
      <c r="L869" s="29" t="n">
        <v>0</v>
      </c>
      <c r="M869" s="29" t="n">
        <v>0</v>
      </c>
      <c r="N869" s="2" t="n">
        <v>0</v>
      </c>
      <c r="O869" s="31" t="n">
        <v>0</v>
      </c>
      <c r="P869" s="32" t="n"/>
      <c r="Q869" s="32" t="n">
        <v>0</v>
      </c>
      <c r="R869" s="32" t="n">
        <v>0</v>
      </c>
      <c r="S869" s="31" t="n">
        <v>0</v>
      </c>
      <c r="T869" s="32" t="n">
        <v>0</v>
      </c>
      <c r="U869" s="31" t="n">
        <v>0</v>
      </c>
      <c r="V869" s="31" t="n">
        <v>0</v>
      </c>
      <c r="W869" s="3" t="n">
        <v>0</v>
      </c>
      <c r="X869" s="3" t="n">
        <v>0</v>
      </c>
      <c r="Y869" s="32" t="n">
        <v>0</v>
      </c>
      <c r="Z869" s="3" t="n">
        <v>0</v>
      </c>
      <c r="AA869" s="32" t="n">
        <v>0</v>
      </c>
      <c r="AB869" s="3" t="n"/>
      <c r="AC869" s="31" t="n">
        <v>0</v>
      </c>
      <c r="AD869" s="2" t="n">
        <v>0</v>
      </c>
      <c r="AE869" s="2" t="n">
        <v>1</v>
      </c>
      <c r="AF869" s="4" t="n">
        <v>1</v>
      </c>
      <c r="AG869" s="33" t="n">
        <v>0</v>
      </c>
      <c r="AH869" s="4" t="n">
        <v>0</v>
      </c>
      <c r="AI869" s="34" t="n"/>
      <c r="AJ869" s="34" t="n">
        <v>0</v>
      </c>
      <c r="AK869" s="2" t="n">
        <v>0</v>
      </c>
      <c r="AL869" t="inlineStr">
        <is>
          <t>Published</t>
        </is>
      </c>
    </row>
    <row r="870">
      <c r="A870">
        <f>HYPERLINK("https://www.walmart.com/ip/1140481665", "1140481665")</f>
        <v/>
      </c>
      <c r="B870">
        <f>HYPERLINK("https://app.optiwise.ai/catalog/itemdetails/995396", "Sun Visor Sports Cotton Twill Plain Hat with Adjustable Strap for Men Women Outdoor Golf Tennis Running Jogging Hiking")</f>
        <v/>
      </c>
      <c r="C870" t="inlineStr">
        <is>
          <t>1SLVS4130RD</t>
        </is>
      </c>
      <c r="D870" t="inlineStr">
        <is>
          <t>Clothing</t>
        </is>
      </c>
      <c r="E870" t="inlineStr">
        <is>
          <t>Tennis Visors</t>
        </is>
      </c>
      <c r="F870" t="inlineStr">
        <is>
          <t>Solaris</t>
        </is>
      </c>
      <c r="G870" t="n">
        <v>0</v>
      </c>
      <c r="H870" t="n">
        <v>0</v>
      </c>
      <c r="J870" s="29" t="n">
        <v>0</v>
      </c>
      <c r="K870" s="30" t="n"/>
      <c r="L870" s="29" t="n">
        <v>0</v>
      </c>
      <c r="M870" s="29" t="n">
        <v>0</v>
      </c>
      <c r="N870" s="2" t="n">
        <v>0</v>
      </c>
      <c r="O870" s="31" t="n">
        <v>0</v>
      </c>
      <c r="P870" s="32" t="n"/>
      <c r="Q870" s="32" t="n">
        <v>0</v>
      </c>
      <c r="R870" s="32" t="n">
        <v>0</v>
      </c>
      <c r="S870" s="31" t="n">
        <v>0</v>
      </c>
      <c r="T870" s="32" t="n">
        <v>0</v>
      </c>
      <c r="U870" s="31" t="n">
        <v>0</v>
      </c>
      <c r="V870" s="31" t="n">
        <v>0</v>
      </c>
      <c r="W870" s="3" t="n">
        <v>0</v>
      </c>
      <c r="X870" s="3" t="n">
        <v>0</v>
      </c>
      <c r="Y870" s="32" t="n">
        <v>0</v>
      </c>
      <c r="Z870" s="3" t="n">
        <v>0</v>
      </c>
      <c r="AA870" s="32" t="n">
        <v>0</v>
      </c>
      <c r="AB870" s="3" t="n"/>
      <c r="AC870" s="31" t="n">
        <v>0</v>
      </c>
      <c r="AD870" s="2" t="n">
        <v>0</v>
      </c>
      <c r="AE870" s="2" t="n">
        <v>1</v>
      </c>
      <c r="AF870" s="4" t="n">
        <v>1</v>
      </c>
      <c r="AG870" s="33" t="n">
        <v>0</v>
      </c>
      <c r="AH870" s="4" t="n">
        <v>0</v>
      </c>
      <c r="AI870" s="34" t="n"/>
      <c r="AJ870" s="34" t="n">
        <v>0</v>
      </c>
      <c r="AK870" s="2" t="n">
        <v>0</v>
      </c>
      <c r="AL870" t="inlineStr">
        <is>
          <t>Published</t>
        </is>
      </c>
    </row>
    <row r="871">
      <c r="A871">
        <f>HYPERLINK("https://www.walmart.com/ip/579846094", "579846094")</f>
        <v/>
      </c>
      <c r="B871">
        <f>HYPERLINK("https://app.optiwise.ai/catalog/itemdetails/417435", "Tirrinia Super Cozy Fleece Plush Patriotic Throw Blanket For Bed Or Couch, 50 x 60, USA Flag")</f>
        <v/>
      </c>
      <c r="C871" t="inlineStr">
        <is>
          <t>1TRBF300USA4-TBCB01</t>
        </is>
      </c>
      <c r="D871" t="inlineStr">
        <is>
          <t>Bedding</t>
        </is>
      </c>
      <c r="E871" t="inlineStr">
        <is>
          <t>Throws</t>
        </is>
      </c>
      <c r="F871" t="inlineStr">
        <is>
          <t>Tirrinia</t>
        </is>
      </c>
      <c r="G871" t="n">
        <v>0</v>
      </c>
      <c r="H871" t="n">
        <v>0</v>
      </c>
      <c r="I871" t="inlineStr">
        <is>
          <t>Optimized</t>
        </is>
      </c>
      <c r="J871" s="29" t="n">
        <v>0</v>
      </c>
      <c r="K871" s="30" t="n"/>
      <c r="L871" s="29" t="n">
        <v>0</v>
      </c>
      <c r="M871" s="29" t="n">
        <v>0</v>
      </c>
      <c r="N871" s="2" t="n">
        <v>0</v>
      </c>
      <c r="O871" s="31" t="n">
        <v>0</v>
      </c>
      <c r="P871" s="32" t="n"/>
      <c r="Q871" s="32" t="n">
        <v>0</v>
      </c>
      <c r="R871" s="32" t="n">
        <v>0</v>
      </c>
      <c r="S871" s="31" t="n">
        <v>0</v>
      </c>
      <c r="T871" s="32" t="n">
        <v>0</v>
      </c>
      <c r="U871" s="31" t="n">
        <v>0</v>
      </c>
      <c r="V871" s="31" t="n">
        <v>0</v>
      </c>
      <c r="W871" s="3" t="n">
        <v>0</v>
      </c>
      <c r="X871" s="3" t="n">
        <v>0</v>
      </c>
      <c r="Y871" s="32" t="n">
        <v>0</v>
      </c>
      <c r="Z871" s="3" t="n">
        <v>0</v>
      </c>
      <c r="AA871" s="32" t="n">
        <v>0</v>
      </c>
      <c r="AB871" s="3" t="n"/>
      <c r="AC871" s="31" t="n">
        <v>0</v>
      </c>
      <c r="AD871" s="2" t="n">
        <v>0</v>
      </c>
      <c r="AE871" s="2" t="n">
        <v>0</v>
      </c>
      <c r="AF871" s="4" t="n">
        <v>0</v>
      </c>
      <c r="AG871" s="33" t="n">
        <v>0</v>
      </c>
      <c r="AH871" s="4" t="n">
        <v>0</v>
      </c>
      <c r="AI871" s="34" t="n"/>
      <c r="AJ871" s="34" t="n">
        <v>0</v>
      </c>
      <c r="AK871" s="2" t="n">
        <v>0</v>
      </c>
      <c r="AL871" t="inlineStr">
        <is>
          <t>Published</t>
        </is>
      </c>
    </row>
    <row r="872">
      <c r="A872">
        <f>HYPERLINK("https://www.walmart.com/ip/508797320", "508797320")</f>
        <v/>
      </c>
      <c r="B872">
        <f>HYPERLINK("https://app.optiwise.ai/catalog/itemdetails/995261", "Terra Bed Blankets, Bedspreads, Bed throws, Soft Cozy Reversible Fuzzy Blanket  50 W x 60 L, Latte")</f>
        <v/>
      </c>
      <c r="C872" t="inlineStr">
        <is>
          <t>1TRK9000BR-JWCB</t>
        </is>
      </c>
      <c r="D872" t="inlineStr">
        <is>
          <t>Bedding</t>
        </is>
      </c>
      <c r="E872" t="inlineStr">
        <is>
          <t>Throws</t>
        </is>
      </c>
      <c r="F872" t="inlineStr">
        <is>
          <t>NAPA</t>
        </is>
      </c>
      <c r="G872" t="n">
        <v>0</v>
      </c>
      <c r="H872" t="n">
        <v>0</v>
      </c>
      <c r="J872" s="29" t="n">
        <v>0</v>
      </c>
      <c r="K872" s="30" t="n"/>
      <c r="L872" s="29" t="n">
        <v>0</v>
      </c>
      <c r="M872" s="29" t="n">
        <v>0</v>
      </c>
      <c r="N872" s="2" t="n">
        <v>0</v>
      </c>
      <c r="O872" s="31" t="n">
        <v>0</v>
      </c>
      <c r="P872" s="32" t="n"/>
      <c r="Q872" s="32" t="n">
        <v>0</v>
      </c>
      <c r="R872" s="32" t="n">
        <v>0</v>
      </c>
      <c r="S872" s="31" t="n">
        <v>0</v>
      </c>
      <c r="T872" s="32" t="n">
        <v>0</v>
      </c>
      <c r="U872" s="31" t="n">
        <v>0</v>
      </c>
      <c r="V872" s="31" t="n">
        <v>0</v>
      </c>
      <c r="W872" s="3" t="n">
        <v>0</v>
      </c>
      <c r="X872" s="3" t="n">
        <v>0</v>
      </c>
      <c r="Y872" s="32" t="n">
        <v>0</v>
      </c>
      <c r="Z872" s="3" t="n">
        <v>0</v>
      </c>
      <c r="AA872" s="32" t="n">
        <v>0</v>
      </c>
      <c r="AB872" s="3" t="n"/>
      <c r="AC872" s="31" t="n">
        <v>0</v>
      </c>
      <c r="AD872" s="2" t="n">
        <v>0</v>
      </c>
      <c r="AE872" s="2" t="n">
        <v>1</v>
      </c>
      <c r="AF872" s="4" t="n">
        <v>1</v>
      </c>
      <c r="AG872" s="33" t="n">
        <v>0</v>
      </c>
      <c r="AH872" s="4" t="n">
        <v>0</v>
      </c>
      <c r="AI872" s="34" t="n"/>
      <c r="AJ872" s="34" t="n">
        <v>0</v>
      </c>
      <c r="AK872" s="2" t="n">
        <v>0</v>
      </c>
      <c r="AL872" t="inlineStr">
        <is>
          <t>Published</t>
        </is>
      </c>
    </row>
    <row r="873">
      <c r="A873">
        <f>HYPERLINK("https://www.walmart.com/ip/831416066", "831416066")</f>
        <v/>
      </c>
      <c r="B873">
        <f>HYPERLINK("https://app.optiwise.ai/catalog/itemdetails/416948", "Tirrinia Warm Comfy Plush Christmas Fleece Throw Blanket, Red Buffalo Plaid, 50 x 60")</f>
        <v/>
      </c>
      <c r="C873" t="inlineStr">
        <is>
          <t>1TRBF569PRD-TBCB</t>
        </is>
      </c>
      <c r="D873" t="inlineStr">
        <is>
          <t>Bedding</t>
        </is>
      </c>
      <c r="E873" t="inlineStr">
        <is>
          <t>Throws</t>
        </is>
      </c>
      <c r="F873" t="inlineStr">
        <is>
          <t>Tirrinia</t>
        </is>
      </c>
      <c r="G873" t="n">
        <v>4.7</v>
      </c>
      <c r="H873" t="n">
        <v>11</v>
      </c>
      <c r="I873" t="inlineStr">
        <is>
          <t>Christmas,Optimized</t>
        </is>
      </c>
      <c r="J873" s="29" t="n">
        <v>0</v>
      </c>
      <c r="K873" s="30" t="n"/>
      <c r="L873" s="29" t="n">
        <v>0</v>
      </c>
      <c r="M873" s="29" t="n">
        <v>0</v>
      </c>
      <c r="N873" s="2" t="n">
        <v>0</v>
      </c>
      <c r="O873" s="31" t="n">
        <v>0</v>
      </c>
      <c r="P873" s="32" t="n"/>
      <c r="Q873" s="32" t="n">
        <v>0</v>
      </c>
      <c r="R873" s="32" t="n">
        <v>0.2265</v>
      </c>
      <c r="S873" s="31" t="n">
        <v>0</v>
      </c>
      <c r="T873" s="32" t="n">
        <v>0</v>
      </c>
      <c r="U873" s="31" t="n">
        <v>0</v>
      </c>
      <c r="V873" s="31" t="n">
        <v>0</v>
      </c>
      <c r="W873" s="3" t="n">
        <v>0</v>
      </c>
      <c r="X873" s="3" t="n">
        <v>0</v>
      </c>
      <c r="Y873" s="32" t="n">
        <v>0</v>
      </c>
      <c r="Z873" s="3" t="n">
        <v>0</v>
      </c>
      <c r="AA873" s="32" t="n">
        <v>0</v>
      </c>
      <c r="AB873" s="3" t="n"/>
      <c r="AC873" s="31" t="n">
        <v>0</v>
      </c>
      <c r="AD873" s="2" t="n">
        <v>101</v>
      </c>
      <c r="AE873" s="2" t="n">
        <v>25</v>
      </c>
      <c r="AF873" s="4" t="n">
        <v>76</v>
      </c>
      <c r="AG873" s="33" t="n">
        <v>0</v>
      </c>
      <c r="AH873" s="4" t="n">
        <v>0</v>
      </c>
      <c r="AI873" s="34" t="n"/>
      <c r="AJ873" s="34" t="n">
        <v>0</v>
      </c>
      <c r="AK873" s="2" t="n">
        <v>0</v>
      </c>
      <c r="AL873" t="inlineStr">
        <is>
          <t>Published</t>
        </is>
      </c>
    </row>
    <row r="874">
      <c r="A874">
        <f>HYPERLINK("https://www.walmart.com/ip/908798016", "908798016")</f>
        <v/>
      </c>
      <c r="B874">
        <f>HYPERLINK("https://app.optiwise.ai/catalog/itemdetails/995276", "Terra Bed Blankets, Bedspreads, Bed throws, Soft Cozy Reversible Fuzzy Blanket  50 W x 60 L, Latte")</f>
        <v/>
      </c>
      <c r="C874" t="inlineStr">
        <is>
          <t>1TRK9000LT-JWCB</t>
        </is>
      </c>
      <c r="D874" t="inlineStr">
        <is>
          <t>Bedding</t>
        </is>
      </c>
      <c r="E874" t="inlineStr">
        <is>
          <t>Throws</t>
        </is>
      </c>
      <c r="F874" t="inlineStr">
        <is>
          <t>NAPA</t>
        </is>
      </c>
      <c r="G874" t="n">
        <v>0</v>
      </c>
      <c r="H874" t="n">
        <v>0</v>
      </c>
      <c r="J874" s="29" t="n">
        <v>0</v>
      </c>
      <c r="K874" s="30" t="n"/>
      <c r="L874" s="29" t="n">
        <v>0</v>
      </c>
      <c r="M874" s="29" t="n">
        <v>0</v>
      </c>
      <c r="N874" s="2" t="n">
        <v>0</v>
      </c>
      <c r="O874" s="31" t="n">
        <v>0</v>
      </c>
      <c r="P874" s="32" t="n"/>
      <c r="Q874" s="32" t="n">
        <v>0</v>
      </c>
      <c r="R874" s="32" t="n">
        <v>0</v>
      </c>
      <c r="S874" s="31" t="n">
        <v>0</v>
      </c>
      <c r="T874" s="32" t="n">
        <v>0</v>
      </c>
      <c r="U874" s="31" t="n">
        <v>0</v>
      </c>
      <c r="V874" s="31" t="n">
        <v>0</v>
      </c>
      <c r="W874" s="3" t="n">
        <v>0</v>
      </c>
      <c r="X874" s="3" t="n">
        <v>0</v>
      </c>
      <c r="Y874" s="32" t="n">
        <v>0</v>
      </c>
      <c r="Z874" s="3" t="n">
        <v>0</v>
      </c>
      <c r="AA874" s="32" t="n">
        <v>0</v>
      </c>
      <c r="AB874" s="3" t="n"/>
      <c r="AC874" s="31" t="n">
        <v>0</v>
      </c>
      <c r="AD874" s="2" t="n">
        <v>0</v>
      </c>
      <c r="AE874" s="2" t="n">
        <v>2</v>
      </c>
      <c r="AF874" s="4" t="n">
        <v>2</v>
      </c>
      <c r="AG874" s="33" t="n">
        <v>0</v>
      </c>
      <c r="AH874" s="4" t="n">
        <v>0</v>
      </c>
      <c r="AI874" s="34" t="n"/>
      <c r="AJ874" s="34" t="n">
        <v>0</v>
      </c>
      <c r="AK874" s="2" t="n">
        <v>0</v>
      </c>
      <c r="AL874" t="inlineStr">
        <is>
          <t>Published</t>
        </is>
      </c>
    </row>
    <row r="875">
      <c r="A875">
        <f>HYPERLINK("https://www.walmart.com/ip/833706386", "833706386")</f>
        <v/>
      </c>
      <c r="B875">
        <f>HYPERLINK("https://app.optiwise.ai/catalog/itemdetails/416947", "Tirrinia Sherpa Fleece Throw Blanket, Super Soft, Warm, Comfy Plush Fleece Throw Blankets and Throws for Bed, Couch or Cabin, Beige Buffalo Plaid, 50 x 60")</f>
        <v/>
      </c>
      <c r="C875" t="inlineStr">
        <is>
          <t>1TRBF569PBG-TBCB</t>
        </is>
      </c>
      <c r="D875" t="inlineStr">
        <is>
          <t>Bedding</t>
        </is>
      </c>
      <c r="E875" t="inlineStr">
        <is>
          <t>Throws</t>
        </is>
      </c>
      <c r="F875" t="inlineStr">
        <is>
          <t>Tirrinia</t>
        </is>
      </c>
      <c r="G875" t="n">
        <v>0</v>
      </c>
      <c r="H875" t="n">
        <v>0</v>
      </c>
      <c r="I875" t="inlineStr">
        <is>
          <t>Q2-Target,Optimized,Coupon_Discount</t>
        </is>
      </c>
      <c r="J875" s="29" t="n">
        <v>0</v>
      </c>
      <c r="K875" s="30" t="n"/>
      <c r="L875" s="29" t="n">
        <v>0</v>
      </c>
      <c r="M875" s="29" t="n">
        <v>0</v>
      </c>
      <c r="N875" s="2" t="n">
        <v>0</v>
      </c>
      <c r="O875" s="31" t="n">
        <v>0</v>
      </c>
      <c r="P875" s="32" t="n"/>
      <c r="Q875" s="32" t="n">
        <v>0</v>
      </c>
      <c r="R875" s="32" t="n">
        <v>0</v>
      </c>
      <c r="S875" s="31" t="n">
        <v>0</v>
      </c>
      <c r="T875" s="32" t="n">
        <v>0</v>
      </c>
      <c r="U875" s="31" t="n">
        <v>0</v>
      </c>
      <c r="V875" s="31" t="n">
        <v>0</v>
      </c>
      <c r="W875" s="3" t="n">
        <v>0</v>
      </c>
      <c r="X875" s="3" t="n">
        <v>0</v>
      </c>
      <c r="Y875" s="32" t="n">
        <v>0</v>
      </c>
      <c r="Z875" s="3" t="n">
        <v>0</v>
      </c>
      <c r="AA875" s="32" t="n">
        <v>0</v>
      </c>
      <c r="AB875" s="3" t="n"/>
      <c r="AC875" s="31" t="n">
        <v>0</v>
      </c>
      <c r="AD875" s="2" t="n">
        <v>14</v>
      </c>
      <c r="AE875" s="2" t="n">
        <v>38</v>
      </c>
      <c r="AF875" s="4" t="n">
        <v>38</v>
      </c>
      <c r="AG875" s="33" t="n">
        <v>0</v>
      </c>
      <c r="AH875" s="4" t="n">
        <v>0</v>
      </c>
      <c r="AI875" s="34" t="n"/>
      <c r="AJ875" s="34" t="n">
        <v>0</v>
      </c>
      <c r="AK875" s="2" t="n">
        <v>0</v>
      </c>
      <c r="AL875" t="inlineStr">
        <is>
          <t>Published</t>
        </is>
      </c>
    </row>
    <row r="876">
      <c r="A876">
        <f>HYPERLINK("https://www.walmart.com/ip/911931453", "911931453")</f>
        <v/>
      </c>
      <c r="B876">
        <f>HYPERLINK("https://app.optiwise.ai/catalog/itemdetails/416875", "Catalonia Twin Size Sherpa Comforter Set, Ultra-Soft Reversible Fluffy Micromink Bedding Set-2 Pieces, 1 Comforter and 1 Pillow Sham,64x88 inches")</f>
        <v/>
      </c>
      <c r="C876" t="inlineStr">
        <is>
          <t>1CTBQ300TW-GY</t>
        </is>
      </c>
      <c r="D876" t="inlineStr">
        <is>
          <t>Bedding</t>
        </is>
      </c>
      <c r="E876" t="inlineStr">
        <is>
          <t>Comforters &amp; Duvets</t>
        </is>
      </c>
      <c r="F876" t="inlineStr">
        <is>
          <t>Catalonia</t>
        </is>
      </c>
      <c r="G876" t="n">
        <v>4.6</v>
      </c>
      <c r="H876" t="n">
        <v>11</v>
      </c>
      <c r="I876" t="inlineStr">
        <is>
          <t>WFS,WFS Item</t>
        </is>
      </c>
      <c r="J876" s="29" t="n">
        <v>0</v>
      </c>
      <c r="K876" s="30" t="n"/>
      <c r="L876" s="29" t="n">
        <v>0</v>
      </c>
      <c r="M876" s="29" t="n">
        <v>0</v>
      </c>
      <c r="N876" s="2" t="n">
        <v>0</v>
      </c>
      <c r="O876" s="31" t="n">
        <v>0</v>
      </c>
      <c r="P876" s="32" t="n"/>
      <c r="Q876" s="32" t="n">
        <v>0</v>
      </c>
      <c r="R876" s="32" t="n">
        <v>0</v>
      </c>
      <c r="S876" s="31" t="n">
        <v>0</v>
      </c>
      <c r="T876" s="32" t="n">
        <v>0</v>
      </c>
      <c r="U876" s="31" t="n">
        <v>0</v>
      </c>
      <c r="V876" s="31" t="n">
        <v>0</v>
      </c>
      <c r="W876" s="3" t="n">
        <v>0</v>
      </c>
      <c r="X876" s="3" t="n">
        <v>0</v>
      </c>
      <c r="Y876" s="32" t="n">
        <v>0</v>
      </c>
      <c r="Z876" s="3" t="n">
        <v>0</v>
      </c>
      <c r="AA876" s="32" t="n">
        <v>0</v>
      </c>
      <c r="AB876" s="3" t="n"/>
      <c r="AC876" s="31" t="n">
        <v>0</v>
      </c>
      <c r="AD876" s="2" t="n">
        <v>0</v>
      </c>
      <c r="AE876" s="2" t="n">
        <v>33</v>
      </c>
      <c r="AF876" s="4" t="n">
        <v>33</v>
      </c>
      <c r="AG876" s="33" t="n">
        <v>0</v>
      </c>
      <c r="AH876" s="4" t="n">
        <v>0</v>
      </c>
      <c r="AI876" s="34" t="n"/>
      <c r="AJ876" s="34" t="n">
        <v>0</v>
      </c>
      <c r="AK876" s="2" t="n">
        <v>0</v>
      </c>
      <c r="AL876" t="inlineStr">
        <is>
          <t>Published</t>
        </is>
      </c>
    </row>
    <row r="877">
      <c r="A877">
        <f>HYPERLINK("https://www.walmart.com/ip/609433845", "609433845")</f>
        <v/>
      </c>
      <c r="B877">
        <f>HYPERLINK("https://app.optiwise.ai/catalog/itemdetails/380749", "Tirrinia Portable Travel Blanket Airplane Office 4 in 1 Premium Mink Fleece Poncho Blanket Folable with Pocket and Built-in Bag-Great for Airplane Car Train Travel Camping, 60x40, Light Grey")</f>
        <v/>
      </c>
      <c r="C877" t="inlineStr">
        <is>
          <t>1TRTB100LG</t>
        </is>
      </c>
      <c r="D877" t="inlineStr">
        <is>
          <t>Home Decor, Kitchen, &amp; Other</t>
        </is>
      </c>
      <c r="E877" t="inlineStr">
        <is>
          <t>Throws</t>
        </is>
      </c>
      <c r="F877" t="inlineStr">
        <is>
          <t>Tirrinia</t>
        </is>
      </c>
      <c r="G877" t="n">
        <v>4.4</v>
      </c>
      <c r="H877" t="n">
        <v>16</v>
      </c>
      <c r="I877" t="inlineStr">
        <is>
          <t>WFS,SEM,WFS Item</t>
        </is>
      </c>
      <c r="J877" s="29" t="n">
        <v>0</v>
      </c>
      <c r="K877" s="30" t="n"/>
      <c r="L877" s="29" t="n">
        <v>0</v>
      </c>
      <c r="M877" s="29" t="n">
        <v>0</v>
      </c>
      <c r="N877" s="2" t="n">
        <v>0</v>
      </c>
      <c r="O877" s="31" t="n">
        <v>0</v>
      </c>
      <c r="P877" s="32" t="n"/>
      <c r="Q877" s="32" t="n">
        <v>0</v>
      </c>
      <c r="R877" s="32" t="n">
        <v>0</v>
      </c>
      <c r="S877" s="31" t="n">
        <v>0</v>
      </c>
      <c r="T877" s="32" t="n">
        <v>0</v>
      </c>
      <c r="U877" s="31" t="n">
        <v>0</v>
      </c>
      <c r="V877" s="31" t="n">
        <v>0</v>
      </c>
      <c r="W877" s="3" t="n">
        <v>0</v>
      </c>
      <c r="X877" s="3" t="n">
        <v>0</v>
      </c>
      <c r="Y877" s="32" t="n">
        <v>0</v>
      </c>
      <c r="Z877" s="3" t="n">
        <v>0</v>
      </c>
      <c r="AA877" s="32" t="n">
        <v>0</v>
      </c>
      <c r="AB877" s="3" t="n"/>
      <c r="AC877" s="31" t="n">
        <v>0</v>
      </c>
      <c r="AD877" s="2" t="n">
        <v>0</v>
      </c>
      <c r="AE877" s="2" t="n">
        <v>0</v>
      </c>
      <c r="AF877" s="4" t="n">
        <v>0</v>
      </c>
      <c r="AG877" s="33" t="n">
        <v>0</v>
      </c>
      <c r="AH877" s="4" t="n">
        <v>0</v>
      </c>
      <c r="AI877" s="34" t="n"/>
      <c r="AJ877" s="34" t="n">
        <v>0</v>
      </c>
      <c r="AK877" s="2" t="n">
        <v>0</v>
      </c>
      <c r="AL877" t="inlineStr">
        <is>
          <t>Published</t>
        </is>
      </c>
    </row>
    <row r="878">
      <c r="A878">
        <f>HYPERLINK("https://www.walmart.com/ip/924974660", "924974660")</f>
        <v/>
      </c>
      <c r="B878">
        <f>HYPERLINK("https://app.optiwise.ai/catalog/itemdetails/995279", "Napa Women Bathrobe Kimono Waffle, Lightweight Luxurious Knee Length Long Sleeved, Gray")</f>
        <v/>
      </c>
      <c r="C878" t="inlineStr">
        <is>
          <t>R5030GY-01</t>
        </is>
      </c>
      <c r="D878" t="inlineStr">
        <is>
          <t>Clothing</t>
        </is>
      </c>
      <c r="E878" t="inlineStr">
        <is>
          <t>Sleepwear Robes &amp; Bathrobes</t>
        </is>
      </c>
      <c r="F878" t="inlineStr">
        <is>
          <t>NAPA</t>
        </is>
      </c>
      <c r="G878" t="n">
        <v>0</v>
      </c>
      <c r="H878" t="n">
        <v>0</v>
      </c>
      <c r="J878" s="29" t="n">
        <v>0</v>
      </c>
      <c r="K878" s="30" t="n"/>
      <c r="L878" s="29" t="n">
        <v>0</v>
      </c>
      <c r="M878" s="29" t="n">
        <v>0</v>
      </c>
      <c r="N878" s="2" t="n">
        <v>0</v>
      </c>
      <c r="O878" s="31" t="n">
        <v>0</v>
      </c>
      <c r="P878" s="32" t="n"/>
      <c r="Q878" s="32" t="n">
        <v>0</v>
      </c>
      <c r="R878" s="32" t="n">
        <v>0</v>
      </c>
      <c r="S878" s="31" t="n">
        <v>0</v>
      </c>
      <c r="T878" s="32" t="n">
        <v>0</v>
      </c>
      <c r="U878" s="31" t="n">
        <v>0</v>
      </c>
      <c r="V878" s="31" t="n">
        <v>0</v>
      </c>
      <c r="W878" s="3" t="n">
        <v>0</v>
      </c>
      <c r="X878" s="3" t="n">
        <v>0</v>
      </c>
      <c r="Y878" s="32" t="n">
        <v>0</v>
      </c>
      <c r="Z878" s="3" t="n">
        <v>0</v>
      </c>
      <c r="AA878" s="32" t="n">
        <v>0</v>
      </c>
      <c r="AB878" s="3" t="n"/>
      <c r="AC878" s="31" t="n">
        <v>0</v>
      </c>
      <c r="AD878" s="2" t="n">
        <v>0</v>
      </c>
      <c r="AE878" s="2" t="n">
        <v>0</v>
      </c>
      <c r="AF878" s="4" t="n">
        <v>0</v>
      </c>
      <c r="AG878" s="33" t="n">
        <v>0</v>
      </c>
      <c r="AH878" s="4" t="n">
        <v>0</v>
      </c>
      <c r="AI878" s="34" t="n"/>
      <c r="AJ878" s="34" t="n">
        <v>0</v>
      </c>
      <c r="AK878" s="2" t="n">
        <v>0</v>
      </c>
      <c r="AL878" t="inlineStr">
        <is>
          <t>Published</t>
        </is>
      </c>
    </row>
    <row r="879">
      <c r="A879">
        <f>HYPERLINK("https://www.walmart.com/ip/436825676", "436825676")</f>
        <v/>
      </c>
      <c r="B879">
        <f>HYPERLINK("https://app.optiwise.ai/catalog/itemdetails/416874", "Oversized Hoodie Blanket Sweatshirt,Super Soft Warm Comfortable Fleece Giant Pullover with Large Front Pocket,for Adults Men Women Teenagers Kids Wife Girlfriend")</f>
        <v/>
      </c>
      <c r="C879" t="inlineStr">
        <is>
          <t>1CTHD300LBL-UPC</t>
        </is>
      </c>
      <c r="D879" t="inlineStr">
        <is>
          <t>Clothing</t>
        </is>
      </c>
      <c r="E879" t="inlineStr">
        <is>
          <t>Sweatshirts &amp; Hoodies</t>
        </is>
      </c>
      <c r="F879" t="inlineStr">
        <is>
          <t>Catalonia</t>
        </is>
      </c>
      <c r="G879" t="n">
        <v>0</v>
      </c>
      <c r="H879" t="n">
        <v>0</v>
      </c>
      <c r="I879" t="inlineStr">
        <is>
          <t>Hoodie ForAdult,Optimized</t>
        </is>
      </c>
      <c r="J879" s="29" t="n">
        <v>0</v>
      </c>
      <c r="K879" s="30" t="n"/>
      <c r="L879" s="29" t="n">
        <v>0</v>
      </c>
      <c r="M879" s="29" t="n">
        <v>0</v>
      </c>
      <c r="N879" s="2" t="n">
        <v>0</v>
      </c>
      <c r="O879" s="31" t="n">
        <v>0</v>
      </c>
      <c r="P879" s="32" t="n"/>
      <c r="Q879" s="32" t="n">
        <v>0</v>
      </c>
      <c r="R879" s="32" t="n">
        <v>0</v>
      </c>
      <c r="S879" s="31" t="n">
        <v>0</v>
      </c>
      <c r="T879" s="32" t="n">
        <v>0</v>
      </c>
      <c r="U879" s="31" t="n">
        <v>0</v>
      </c>
      <c r="V879" s="31" t="n">
        <v>0</v>
      </c>
      <c r="W879" s="3" t="n">
        <v>0</v>
      </c>
      <c r="X879" s="3" t="n">
        <v>0</v>
      </c>
      <c r="Y879" s="32" t="n">
        <v>0</v>
      </c>
      <c r="Z879" s="3" t="n">
        <v>0</v>
      </c>
      <c r="AA879" s="32" t="n">
        <v>0</v>
      </c>
      <c r="AB879" s="3" t="n"/>
      <c r="AC879" s="31" t="n">
        <v>0</v>
      </c>
      <c r="AD879" s="2" t="n">
        <v>0</v>
      </c>
      <c r="AE879" s="2" t="n">
        <v>2</v>
      </c>
      <c r="AF879" s="4" t="n">
        <v>2</v>
      </c>
      <c r="AG879" s="33" t="n">
        <v>0</v>
      </c>
      <c r="AH879" s="4" t="n">
        <v>0</v>
      </c>
      <c r="AI879" s="34" t="n"/>
      <c r="AJ879" s="34" t="n">
        <v>0</v>
      </c>
      <c r="AK879" s="2" t="n">
        <v>0</v>
      </c>
      <c r="AL879" t="inlineStr">
        <is>
          <t>Published</t>
        </is>
      </c>
    </row>
    <row r="880">
      <c r="A880">
        <f>HYPERLINK("https://www.walmart.com/ip/116809211", "116809211")</f>
        <v/>
      </c>
      <c r="B880">
        <f>HYPERLINK("https://app.optiwise.ai/catalog/itemdetails/416871", "Catalonia Queen Size Sherpa Comforter Set,  Ultra-soft Reversible Fluffy Micromink Bedding Set-3 Pieces, 1 Comforter and 2 Pillow Shams, 88x90 inches")</f>
        <v/>
      </c>
      <c r="C880" t="inlineStr">
        <is>
          <t>1CTBQ300QF-GY</t>
        </is>
      </c>
      <c r="D880" t="inlineStr">
        <is>
          <t>Bedding</t>
        </is>
      </c>
      <c r="E880" t="inlineStr">
        <is>
          <t>Bedding Sets</t>
        </is>
      </c>
      <c r="F880" t="inlineStr">
        <is>
          <t>Catalonia</t>
        </is>
      </c>
      <c r="G880" t="n">
        <v>0</v>
      </c>
      <c r="H880" t="n">
        <v>0</v>
      </c>
      <c r="I880" t="inlineStr">
        <is>
          <t>WFS,WFS Item</t>
        </is>
      </c>
      <c r="J880" s="29" t="n">
        <v>0</v>
      </c>
      <c r="K880" s="30" t="n"/>
      <c r="L880" s="29" t="n">
        <v>0</v>
      </c>
      <c r="M880" s="29" t="n">
        <v>0</v>
      </c>
      <c r="N880" s="2" t="n">
        <v>0</v>
      </c>
      <c r="O880" s="31" t="n">
        <v>0</v>
      </c>
      <c r="P880" s="32" t="n"/>
      <c r="Q880" s="32" t="n">
        <v>0</v>
      </c>
      <c r="R880" s="32" t="n">
        <v>0.0173</v>
      </c>
      <c r="S880" s="31" t="n">
        <v>0</v>
      </c>
      <c r="T880" s="32" t="n">
        <v>0</v>
      </c>
      <c r="U880" s="31" t="n">
        <v>0</v>
      </c>
      <c r="V880" s="31" t="n">
        <v>0</v>
      </c>
      <c r="W880" s="3" t="n">
        <v>28</v>
      </c>
      <c r="X880" s="3" t="n">
        <v>0</v>
      </c>
      <c r="Y880" s="32" t="n">
        <v>0</v>
      </c>
      <c r="Z880" s="3" t="n">
        <v>0</v>
      </c>
      <c r="AA880" s="32" t="n">
        <v>0</v>
      </c>
      <c r="AB880" s="3" t="inlineStr">
        <is>
          <t>Top Selling Last Year 2023</t>
        </is>
      </c>
      <c r="AC880" s="31" t="n">
        <v>0</v>
      </c>
      <c r="AD880" s="2" t="n">
        <v>46</v>
      </c>
      <c r="AE880" s="2" t="n">
        <v>68</v>
      </c>
      <c r="AF880" s="4" t="n">
        <v>68</v>
      </c>
      <c r="AG880" s="33" t="n">
        <v>0</v>
      </c>
      <c r="AH880" s="4" t="n">
        <v>0</v>
      </c>
      <c r="AI880" s="34" t="n"/>
      <c r="AJ880" s="34" t="n">
        <v>0</v>
      </c>
      <c r="AK880" s="2" t="n">
        <v>0</v>
      </c>
      <c r="AL880" t="inlineStr">
        <is>
          <t>Published</t>
        </is>
      </c>
    </row>
    <row r="881">
      <c r="A881">
        <f>HYPERLINK("https://www.walmart.com/ip/753395977", "753395977")</f>
        <v/>
      </c>
      <c r="B881">
        <f>HYPERLINK("https://app.optiwise.ai/catalog/itemdetails/416870", "Oversized Hoodie Blanket Sweatshirt,Super Soft Warm Comfortable Fleece Giant Pullover with Large Front Pocket,for Adults Men Women Teenagers Kids Wife Girlfriend")</f>
        <v/>
      </c>
      <c r="C881" t="inlineStr">
        <is>
          <t>1CTHD300RB-UPC</t>
        </is>
      </c>
      <c r="D881" t="inlineStr">
        <is>
          <t>Clothing</t>
        </is>
      </c>
      <c r="E881" t="inlineStr">
        <is>
          <t>Sweatshirts &amp; Hoodies</t>
        </is>
      </c>
      <c r="F881" t="inlineStr">
        <is>
          <t>Catalonia</t>
        </is>
      </c>
      <c r="G881" t="n">
        <v>0</v>
      </c>
      <c r="H881" t="n">
        <v>0</v>
      </c>
      <c r="I881" t="inlineStr">
        <is>
          <t>Hoodie ForAdult,Optimized</t>
        </is>
      </c>
      <c r="J881" s="29" t="n">
        <v>0</v>
      </c>
      <c r="K881" s="30" t="n"/>
      <c r="L881" s="29" t="n">
        <v>0</v>
      </c>
      <c r="M881" s="29" t="n">
        <v>0</v>
      </c>
      <c r="N881" s="2" t="n">
        <v>0</v>
      </c>
      <c r="O881" s="31" t="n">
        <v>0</v>
      </c>
      <c r="P881" s="32" t="n"/>
      <c r="Q881" s="32" t="n">
        <v>0</v>
      </c>
      <c r="R881" s="32" t="n">
        <v>0.07969999999999999</v>
      </c>
      <c r="S881" s="31" t="n">
        <v>0</v>
      </c>
      <c r="T881" s="32" t="n">
        <v>0</v>
      </c>
      <c r="U881" s="31" t="n">
        <v>0</v>
      </c>
      <c r="V881" s="31" t="n">
        <v>0</v>
      </c>
      <c r="W881" s="3" t="n">
        <v>648</v>
      </c>
      <c r="X881" s="3" t="n">
        <v>0</v>
      </c>
      <c r="Y881" s="32" t="n">
        <v>0</v>
      </c>
      <c r="Z881" s="3" t="n">
        <v>0</v>
      </c>
      <c r="AA881" s="32" t="n">
        <v>0</v>
      </c>
      <c r="AB881" s="3" t="inlineStr">
        <is>
          <t>Hoodies_Auto</t>
        </is>
      </c>
      <c r="AC881" s="31" t="n">
        <v>0</v>
      </c>
      <c r="AD881" s="2" t="n">
        <v>0</v>
      </c>
      <c r="AE881" s="2" t="n">
        <v>15</v>
      </c>
      <c r="AF881" s="4" t="n">
        <v>15</v>
      </c>
      <c r="AG881" s="33" t="n">
        <v>0</v>
      </c>
      <c r="AH881" s="4" t="n">
        <v>0</v>
      </c>
      <c r="AI881" s="34" t="n"/>
      <c r="AJ881" s="34" t="n">
        <v>0</v>
      </c>
      <c r="AK881" s="2" t="n">
        <v>0</v>
      </c>
      <c r="AL881" t="inlineStr">
        <is>
          <t>Published</t>
        </is>
      </c>
    </row>
    <row r="882">
      <c r="A882">
        <f>HYPERLINK("https://www.walmart.com/ip/164941151", "164941151")</f>
        <v/>
      </c>
      <c r="B882">
        <f>HYPERLINK("https://app.optiwise.ai/catalog/itemdetails/995228", "Napa Premium Soft Warm Plush Kid Blanket Polyester Fluffy Reversible Bedding Throw For Baby Children Teen Boy Girl")</f>
        <v/>
      </c>
      <c r="C882" t="inlineStr">
        <is>
          <t>K9000KD-LT</t>
        </is>
      </c>
      <c r="D882" t="inlineStr">
        <is>
          <t>Bedding</t>
        </is>
      </c>
      <c r="E882" t="inlineStr">
        <is>
          <t>Throws</t>
        </is>
      </c>
      <c r="F882" t="inlineStr">
        <is>
          <t>NAPA</t>
        </is>
      </c>
      <c r="G882" t="n">
        <v>0</v>
      </c>
      <c r="H882" t="n">
        <v>0</v>
      </c>
      <c r="J882" s="29" t="n">
        <v>0</v>
      </c>
      <c r="K882" s="30" t="n"/>
      <c r="L882" s="29" t="n">
        <v>0</v>
      </c>
      <c r="M882" s="29" t="n">
        <v>0</v>
      </c>
      <c r="N882" s="2" t="n">
        <v>0</v>
      </c>
      <c r="O882" s="31" t="n">
        <v>0</v>
      </c>
      <c r="P882" s="32" t="n"/>
      <c r="Q882" s="32" t="n">
        <v>0</v>
      </c>
      <c r="R882" s="32" t="n">
        <v>0</v>
      </c>
      <c r="S882" s="31" t="n">
        <v>0</v>
      </c>
      <c r="T882" s="32" t="n">
        <v>0</v>
      </c>
      <c r="U882" s="31" t="n">
        <v>0</v>
      </c>
      <c r="V882" s="31" t="n">
        <v>0</v>
      </c>
      <c r="W882" s="3" t="n">
        <v>0</v>
      </c>
      <c r="X882" s="3" t="n">
        <v>0</v>
      </c>
      <c r="Y882" s="32" t="n">
        <v>0</v>
      </c>
      <c r="Z882" s="3" t="n">
        <v>0</v>
      </c>
      <c r="AA882" s="32" t="n">
        <v>0</v>
      </c>
      <c r="AB882" s="3" t="n"/>
      <c r="AC882" s="31" t="n">
        <v>0</v>
      </c>
      <c r="AD882" s="2" t="n">
        <v>0</v>
      </c>
      <c r="AE882" s="2" t="n">
        <v>2</v>
      </c>
      <c r="AF882" s="4" t="n">
        <v>2</v>
      </c>
      <c r="AG882" s="33" t="n">
        <v>0</v>
      </c>
      <c r="AH882" s="4" t="n">
        <v>0</v>
      </c>
      <c r="AI882" s="34" t="n"/>
      <c r="AJ882" s="34" t="n">
        <v>0</v>
      </c>
      <c r="AK882" s="2" t="n">
        <v>0</v>
      </c>
      <c r="AL882" t="inlineStr">
        <is>
          <t>Published</t>
        </is>
      </c>
    </row>
    <row r="883">
      <c r="A883">
        <f>HYPERLINK("https://www.walmart.com/ip/967766683", "967766683")</f>
        <v/>
      </c>
      <c r="B883">
        <f>HYPERLINK("https://app.optiwise.ai/catalog/itemdetails/380747", "1TRPB100-GY")</f>
        <v/>
      </c>
      <c r="C883" t="inlineStr">
        <is>
          <t>1TRPB100-GY</t>
        </is>
      </c>
      <c r="D883" t="inlineStr">
        <is>
          <t>Home Decor, Kitchen, &amp; Other</t>
        </is>
      </c>
      <c r="E883" t="inlineStr">
        <is>
          <t>Picnic Baskets &amp; Bags</t>
        </is>
      </c>
      <c r="F883" t="inlineStr">
        <is>
          <t>Tirrinia</t>
        </is>
      </c>
      <c r="G883" t="n">
        <v>0</v>
      </c>
      <c r="H883" t="n">
        <v>0</v>
      </c>
      <c r="I883" t="inlineStr">
        <is>
          <t>Optimized</t>
        </is>
      </c>
      <c r="J883" s="29" t="n">
        <v>0</v>
      </c>
      <c r="K883" s="30" t="n"/>
      <c r="L883" s="29" t="n">
        <v>0</v>
      </c>
      <c r="M883" s="29" t="n">
        <v>0</v>
      </c>
      <c r="N883" s="2" t="n">
        <v>0</v>
      </c>
      <c r="O883" s="31" t="n">
        <v>0</v>
      </c>
      <c r="P883" s="32" t="n"/>
      <c r="Q883" s="32" t="n">
        <v>0</v>
      </c>
      <c r="R883" s="32" t="n">
        <v>0.009599999999999999</v>
      </c>
      <c r="S883" s="31" t="n">
        <v>0</v>
      </c>
      <c r="T883" s="32" t="n">
        <v>0</v>
      </c>
      <c r="U883" s="31" t="n">
        <v>0</v>
      </c>
      <c r="V883" s="31" t="n">
        <v>0</v>
      </c>
      <c r="W883" s="3" t="n">
        <v>0</v>
      </c>
      <c r="X883" s="3" t="n">
        <v>0</v>
      </c>
      <c r="Y883" s="32" t="n">
        <v>0</v>
      </c>
      <c r="Z883" s="3" t="n">
        <v>0</v>
      </c>
      <c r="AA883" s="32" t="n">
        <v>0</v>
      </c>
      <c r="AB883" s="3" t="n"/>
      <c r="AC883" s="31" t="n">
        <v>0</v>
      </c>
      <c r="AD883" s="2" t="n">
        <v>0</v>
      </c>
      <c r="AE883" s="2" t="n">
        <v>21</v>
      </c>
      <c r="AF883" s="4" t="n">
        <v>21</v>
      </c>
      <c r="AG883" s="33" t="n">
        <v>0</v>
      </c>
      <c r="AH883" s="4" t="n">
        <v>0</v>
      </c>
      <c r="AI883" s="34" t="n"/>
      <c r="AJ883" s="34" t="n">
        <v>0</v>
      </c>
      <c r="AK883" s="2" t="n">
        <v>0</v>
      </c>
      <c r="AL883" t="inlineStr">
        <is>
          <t>Published</t>
        </is>
      </c>
    </row>
    <row r="884">
      <c r="A884">
        <f>HYPERLINK("https://www.walmart.com/ip/712705328", "712705328")</f>
        <v/>
      </c>
      <c r="B884">
        <f>HYPERLINK("https://app.optiwise.ai/catalog/itemdetails/416860", "Oversized Hoodie Blanket Sweatshirt,Super Soft Warm Comfortable Fleece Giant Pullover with Large Front Pocket,for Adults Men Women Teenagers Kids Wife Girlfriend")</f>
        <v/>
      </c>
      <c r="C884" t="inlineStr">
        <is>
          <t>1CTHD300WN-UPC</t>
        </is>
      </c>
      <c r="D884" t="inlineStr">
        <is>
          <t>Clothing</t>
        </is>
      </c>
      <c r="E884" t="inlineStr">
        <is>
          <t>Sweatshirts &amp; Hoodies</t>
        </is>
      </c>
      <c r="F884" t="inlineStr">
        <is>
          <t>Catalonia</t>
        </is>
      </c>
      <c r="G884" t="n">
        <v>0</v>
      </c>
      <c r="H884" t="n">
        <v>0</v>
      </c>
      <c r="I884" t="inlineStr">
        <is>
          <t>Hoodie ForAdult,Optimized,Coupon_Discount</t>
        </is>
      </c>
      <c r="J884" s="29" t="n">
        <v>0</v>
      </c>
      <c r="K884" s="30" t="n"/>
      <c r="L884" s="29" t="n">
        <v>0</v>
      </c>
      <c r="M884" s="29" t="n">
        <v>0</v>
      </c>
      <c r="N884" s="2" t="n">
        <v>0</v>
      </c>
      <c r="O884" s="31" t="n">
        <v>0</v>
      </c>
      <c r="P884" s="32" t="n"/>
      <c r="Q884" s="32" t="n">
        <v>0</v>
      </c>
      <c r="R884" s="32" t="n">
        <v>0</v>
      </c>
      <c r="S884" s="31" t="n">
        <v>0</v>
      </c>
      <c r="T884" s="32" t="n">
        <v>0</v>
      </c>
      <c r="U884" s="31" t="n">
        <v>0</v>
      </c>
      <c r="V884" s="31" t="n">
        <v>0</v>
      </c>
      <c r="W884" s="3" t="n">
        <v>0</v>
      </c>
      <c r="X884" s="3" t="n">
        <v>0</v>
      </c>
      <c r="Y884" s="32" t="n">
        <v>0</v>
      </c>
      <c r="Z884" s="3" t="n">
        <v>0</v>
      </c>
      <c r="AA884" s="32" t="n">
        <v>0</v>
      </c>
      <c r="AB884" s="3" t="n"/>
      <c r="AC884" s="31" t="n">
        <v>0</v>
      </c>
      <c r="AD884" s="2" t="n">
        <v>0</v>
      </c>
      <c r="AE884" s="2" t="n">
        <v>5</v>
      </c>
      <c r="AF884" s="4" t="n">
        <v>5</v>
      </c>
      <c r="AG884" s="33" t="n">
        <v>0</v>
      </c>
      <c r="AH884" s="4" t="n">
        <v>0</v>
      </c>
      <c r="AI884" s="34" t="n"/>
      <c r="AJ884" s="34" t="n">
        <v>0</v>
      </c>
      <c r="AK884" s="2" t="n">
        <v>0</v>
      </c>
      <c r="AL884" t="inlineStr">
        <is>
          <t>Published</t>
        </is>
      </c>
    </row>
    <row r="885">
      <c r="A885">
        <f>HYPERLINK("https://www.walmart.com/ip/299263465", "299263465")</f>
        <v/>
      </c>
      <c r="B885">
        <f>HYPERLINK("https://app.optiwise.ai/catalog/itemdetails/417442", "Tirrinia Sherpa Fleece Wearable Blanket Poncho for Adults, Aqua, 55'' x 80''")</f>
        <v/>
      </c>
      <c r="C885" t="inlineStr">
        <is>
          <t>1TRBP110AQ-TBCB</t>
        </is>
      </c>
      <c r="D885" t="inlineStr">
        <is>
          <t>Home Decor, Kitchen, &amp; Other</t>
        </is>
      </c>
      <c r="E885" t="inlineStr">
        <is>
          <t>Throws</t>
        </is>
      </c>
      <c r="F885" t="inlineStr">
        <is>
          <t>Tirrinia</t>
        </is>
      </c>
      <c r="G885" t="n">
        <v>0</v>
      </c>
      <c r="H885" t="n">
        <v>0</v>
      </c>
      <c r="I885" t="inlineStr">
        <is>
          <t>Optimized</t>
        </is>
      </c>
      <c r="J885" s="29" t="n">
        <v>0</v>
      </c>
      <c r="K885" s="30" t="n"/>
      <c r="L885" s="29" t="n">
        <v>0</v>
      </c>
      <c r="M885" s="29" t="n">
        <v>0</v>
      </c>
      <c r="N885" s="2" t="n">
        <v>0</v>
      </c>
      <c r="O885" s="31" t="n">
        <v>0</v>
      </c>
      <c r="P885" s="32" t="n"/>
      <c r="Q885" s="32" t="n">
        <v>0</v>
      </c>
      <c r="R885" s="32" t="n">
        <v>0</v>
      </c>
      <c r="S885" s="31" t="n">
        <v>0</v>
      </c>
      <c r="T885" s="32" t="n">
        <v>0</v>
      </c>
      <c r="U885" s="31" t="n">
        <v>0</v>
      </c>
      <c r="V885" s="31" t="n">
        <v>0</v>
      </c>
      <c r="W885" s="3" t="n">
        <v>0</v>
      </c>
      <c r="X885" s="3" t="n">
        <v>0</v>
      </c>
      <c r="Y885" s="32" t="n">
        <v>0</v>
      </c>
      <c r="Z885" s="3" t="n">
        <v>0</v>
      </c>
      <c r="AA885" s="32" t="n">
        <v>0</v>
      </c>
      <c r="AB885" s="3" t="n"/>
      <c r="AC885" s="31" t="n">
        <v>0</v>
      </c>
      <c r="AD885" s="2" t="n">
        <v>0</v>
      </c>
      <c r="AE885" s="2" t="n">
        <v>6</v>
      </c>
      <c r="AF885" s="4" t="n">
        <v>6</v>
      </c>
      <c r="AG885" s="33" t="n">
        <v>0</v>
      </c>
      <c r="AH885" s="4" t="n">
        <v>0</v>
      </c>
      <c r="AI885" s="34" t="n"/>
      <c r="AJ885" s="34" t="n">
        <v>0</v>
      </c>
      <c r="AK885" s="2" t="n">
        <v>0</v>
      </c>
      <c r="AL885" t="inlineStr">
        <is>
          <t>Published</t>
        </is>
      </c>
    </row>
    <row r="886">
      <c r="A886">
        <f>HYPERLINK("https://www.walmart.com/ip/463255105", "463255105")</f>
        <v/>
      </c>
      <c r="B886">
        <f>HYPERLINK("https://app.optiwise.ai/catalog/itemdetails/995399", "Tirrinia Soft Velvet Plush Throw Blanket 50”x 70” Microfiber Lightweight Warm Home Bed Sofa Couch")</f>
        <v/>
      </c>
      <c r="C886" t="inlineStr">
        <is>
          <t>1TRBF8023LCA-TBGM</t>
        </is>
      </c>
      <c r="D886" t="inlineStr">
        <is>
          <t>Bedding</t>
        </is>
      </c>
      <c r="E886" t="inlineStr">
        <is>
          <t>Throws</t>
        </is>
      </c>
      <c r="F886" t="inlineStr">
        <is>
          <t>Tirrinia</t>
        </is>
      </c>
      <c r="G886" t="n">
        <v>0</v>
      </c>
      <c r="H886" t="n">
        <v>0</v>
      </c>
      <c r="J886" s="29" t="n">
        <v>0</v>
      </c>
      <c r="K886" s="30" t="n"/>
      <c r="L886" s="29" t="n">
        <v>0</v>
      </c>
      <c r="M886" s="29" t="n">
        <v>0</v>
      </c>
      <c r="N886" s="2" t="n">
        <v>0</v>
      </c>
      <c r="O886" s="31" t="n">
        <v>0</v>
      </c>
      <c r="P886" s="32" t="n"/>
      <c r="Q886" s="32" t="n">
        <v>0</v>
      </c>
      <c r="R886" s="32" t="n">
        <v>0</v>
      </c>
      <c r="S886" s="31" t="n">
        <v>0</v>
      </c>
      <c r="T886" s="32" t="n">
        <v>0</v>
      </c>
      <c r="U886" s="31" t="n">
        <v>0</v>
      </c>
      <c r="V886" s="31" t="n">
        <v>0</v>
      </c>
      <c r="W886" s="3" t="n">
        <v>0</v>
      </c>
      <c r="X886" s="3" t="n">
        <v>0</v>
      </c>
      <c r="Y886" s="32" t="n">
        <v>0</v>
      </c>
      <c r="Z886" s="3" t="n">
        <v>0</v>
      </c>
      <c r="AA886" s="32" t="n">
        <v>0</v>
      </c>
      <c r="AB886" s="3" t="n"/>
      <c r="AC886" s="31" t="n">
        <v>0</v>
      </c>
      <c r="AD886" s="2" t="n">
        <v>0</v>
      </c>
      <c r="AE886" s="2" t="n">
        <v>1</v>
      </c>
      <c r="AF886" s="4" t="n">
        <v>1</v>
      </c>
      <c r="AG886" s="33" t="n">
        <v>0</v>
      </c>
      <c r="AH886" s="4" t="n">
        <v>0</v>
      </c>
      <c r="AI886" s="34" t="n"/>
      <c r="AJ886" s="34" t="n">
        <v>0</v>
      </c>
      <c r="AK886" s="2" t="n">
        <v>0</v>
      </c>
      <c r="AL886" t="inlineStr">
        <is>
          <t>Published</t>
        </is>
      </c>
    </row>
    <row r="887">
      <c r="A887">
        <f>HYPERLINK("https://www.walmart.com/ip/1512227422", "1512227422")</f>
        <v/>
      </c>
      <c r="B887">
        <f>HYPERLINK("https://app.optiwise.ai/catalog/itemdetails/995167", "Sun Visor Sports Cotton Twill Plain Hat with Adjustable Strap for Men Women Outdoor Golf Tennis Running Jogging Hiking")</f>
        <v/>
      </c>
      <c r="C887" t="inlineStr">
        <is>
          <t>1SLVS4130DKGN</t>
        </is>
      </c>
      <c r="D887" t="inlineStr">
        <is>
          <t>Clothing</t>
        </is>
      </c>
      <c r="E887" t="inlineStr">
        <is>
          <t>Tennis Visors</t>
        </is>
      </c>
      <c r="F887" t="inlineStr">
        <is>
          <t>Solaris</t>
        </is>
      </c>
      <c r="G887" t="n">
        <v>0</v>
      </c>
      <c r="H887" t="n">
        <v>0</v>
      </c>
      <c r="J887" s="29" t="n">
        <v>0</v>
      </c>
      <c r="K887" s="30" t="n"/>
      <c r="L887" s="29" t="n">
        <v>0</v>
      </c>
      <c r="M887" s="29" t="n">
        <v>0</v>
      </c>
      <c r="N887" s="2" t="n">
        <v>0</v>
      </c>
      <c r="O887" s="31" t="n">
        <v>0</v>
      </c>
      <c r="P887" s="32" t="n"/>
      <c r="Q887" s="32" t="n">
        <v>0</v>
      </c>
      <c r="R887" s="32" t="n">
        <v>0</v>
      </c>
      <c r="S887" s="31" t="n">
        <v>0</v>
      </c>
      <c r="T887" s="32" t="n">
        <v>0</v>
      </c>
      <c r="U887" s="31" t="n">
        <v>0</v>
      </c>
      <c r="V887" s="31" t="n">
        <v>0</v>
      </c>
      <c r="W887" s="3" t="n">
        <v>0</v>
      </c>
      <c r="X887" s="3" t="n">
        <v>0</v>
      </c>
      <c r="Y887" s="32" t="n">
        <v>0</v>
      </c>
      <c r="Z887" s="3" t="n">
        <v>0</v>
      </c>
      <c r="AA887" s="32" t="n">
        <v>0</v>
      </c>
      <c r="AB887" s="3" t="n"/>
      <c r="AC887" s="31" t="n">
        <v>0</v>
      </c>
      <c r="AD887" s="2" t="n">
        <v>0</v>
      </c>
      <c r="AE887" s="2" t="n">
        <v>3</v>
      </c>
      <c r="AF887" s="4" t="n">
        <v>3</v>
      </c>
      <c r="AG887" s="33" t="n">
        <v>0</v>
      </c>
      <c r="AH887" s="4" t="n">
        <v>0</v>
      </c>
      <c r="AI887" s="34" t="n"/>
      <c r="AJ887" s="34" t="n">
        <v>0</v>
      </c>
      <c r="AK887" s="2" t="n">
        <v>0</v>
      </c>
      <c r="AL887" t="inlineStr">
        <is>
          <t>Published</t>
        </is>
      </c>
    </row>
    <row r="888">
      <c r="A888">
        <f>HYPERLINK("https://www.walmart.com/ip/1383988446", "1383988446")</f>
        <v/>
      </c>
      <c r="B888">
        <f>HYPERLINK("https://app.optiwise.ai/catalog/itemdetails/995428", "Sun Visor Sports Cotton Twill Plain Hat with Adjustable Strap for Men Women Outdoor Golf Tennis Running Jogging Hiking")</f>
        <v/>
      </c>
      <c r="C888" t="inlineStr">
        <is>
          <t>1SLVS4130ROY</t>
        </is>
      </c>
      <c r="D888" t="inlineStr">
        <is>
          <t>Clothing</t>
        </is>
      </c>
      <c r="E888" t="inlineStr">
        <is>
          <t>Tennis Visors</t>
        </is>
      </c>
      <c r="F888" t="inlineStr">
        <is>
          <t>Solaris</t>
        </is>
      </c>
      <c r="G888" t="n">
        <v>0</v>
      </c>
      <c r="H888" t="n">
        <v>0</v>
      </c>
      <c r="J888" s="29" t="n">
        <v>0</v>
      </c>
      <c r="K888" s="30" t="n"/>
      <c r="L888" s="29" t="n">
        <v>0</v>
      </c>
      <c r="M888" s="29" t="n">
        <v>0</v>
      </c>
      <c r="N888" s="2" t="n">
        <v>0</v>
      </c>
      <c r="O888" s="31" t="n">
        <v>0</v>
      </c>
      <c r="P888" s="32" t="n"/>
      <c r="Q888" s="32" t="n">
        <v>0</v>
      </c>
      <c r="R888" s="32" t="n">
        <v>0</v>
      </c>
      <c r="S888" s="31" t="n">
        <v>0</v>
      </c>
      <c r="T888" s="32" t="n">
        <v>0</v>
      </c>
      <c r="U888" s="31" t="n">
        <v>0</v>
      </c>
      <c r="V888" s="31" t="n">
        <v>0</v>
      </c>
      <c r="W888" s="3" t="n">
        <v>0</v>
      </c>
      <c r="X888" s="3" t="n">
        <v>0</v>
      </c>
      <c r="Y888" s="32" t="n">
        <v>0</v>
      </c>
      <c r="Z888" s="3" t="n">
        <v>0</v>
      </c>
      <c r="AA888" s="32" t="n">
        <v>0</v>
      </c>
      <c r="AB888" s="3" t="n"/>
      <c r="AC888" s="31" t="n">
        <v>0</v>
      </c>
      <c r="AD888" s="2" t="n">
        <v>0</v>
      </c>
      <c r="AE888" s="2" t="n">
        <v>3</v>
      </c>
      <c r="AF888" s="4" t="n">
        <v>3</v>
      </c>
      <c r="AG888" s="33" t="n">
        <v>0</v>
      </c>
      <c r="AH888" s="4" t="n">
        <v>0</v>
      </c>
      <c r="AI888" s="34" t="n"/>
      <c r="AJ888" s="34" t="n">
        <v>0</v>
      </c>
      <c r="AK888" s="2" t="n">
        <v>0</v>
      </c>
      <c r="AL888" t="inlineStr">
        <is>
          <t>Published</t>
        </is>
      </c>
    </row>
    <row r="889">
      <c r="A889">
        <f>HYPERLINK("https://www.walmart.com/ip/104042040", "104042040")</f>
        <v/>
      </c>
      <c r="B889">
        <f>HYPERLINK("https://app.optiwise.ai/catalog/itemdetails/995449", "KritterWorld® Soft-sided Pet Carrier-pet Carriers Airline Approved with Foldable and Washable")</f>
        <v/>
      </c>
      <c r="C889" t="inlineStr">
        <is>
          <t>KWpetbag04GNFL</t>
        </is>
      </c>
      <c r="D889" t="inlineStr">
        <is>
          <t>Animal Other</t>
        </is>
      </c>
      <c r="E889" t="inlineStr">
        <is>
          <t>Pet Carriers</t>
        </is>
      </c>
      <c r="F889" t="inlineStr">
        <is>
          <t>KritterWorld</t>
        </is>
      </c>
      <c r="G889" t="n">
        <v>4.2</v>
      </c>
      <c r="H889" t="n">
        <v>6</v>
      </c>
      <c r="J889" s="29" t="n">
        <v>0</v>
      </c>
      <c r="K889" s="30" t="n"/>
      <c r="L889" s="29" t="n">
        <v>0</v>
      </c>
      <c r="M889" s="29" t="n">
        <v>0</v>
      </c>
      <c r="N889" s="2" t="n">
        <v>0</v>
      </c>
      <c r="O889" s="31" t="n">
        <v>0</v>
      </c>
      <c r="P889" s="32" t="n"/>
      <c r="Q889" s="32" t="n">
        <v>0</v>
      </c>
      <c r="R889" s="32" t="n">
        <v>0</v>
      </c>
      <c r="S889" s="31" t="n">
        <v>0</v>
      </c>
      <c r="T889" s="32" t="n">
        <v>0</v>
      </c>
      <c r="U889" s="31" t="n">
        <v>0</v>
      </c>
      <c r="V889" s="31" t="n">
        <v>0</v>
      </c>
      <c r="W889" s="3" t="n">
        <v>0</v>
      </c>
      <c r="X889" s="3" t="n">
        <v>0</v>
      </c>
      <c r="Y889" s="32" t="n">
        <v>0</v>
      </c>
      <c r="Z889" s="3" t="n">
        <v>0</v>
      </c>
      <c r="AA889" s="32" t="n">
        <v>0</v>
      </c>
      <c r="AB889" s="3" t="n"/>
      <c r="AC889" s="31" t="n">
        <v>0</v>
      </c>
      <c r="AD889" s="2" t="n">
        <v>0</v>
      </c>
      <c r="AE889" s="2" t="n">
        <v>3</v>
      </c>
      <c r="AF889" s="4" t="n">
        <v>3</v>
      </c>
      <c r="AG889" s="33" t="n">
        <v>0</v>
      </c>
      <c r="AH889" s="4" t="n">
        <v>0</v>
      </c>
      <c r="AI889" s="34" t="n"/>
      <c r="AJ889" s="34" t="n">
        <v>0</v>
      </c>
      <c r="AK889" s="2" t="n">
        <v>0</v>
      </c>
      <c r="AL889" t="inlineStr">
        <is>
          <t>Published</t>
        </is>
      </c>
    </row>
    <row r="890">
      <c r="A890">
        <f>HYPERLINK("https://www.walmart.com/ip/965226311", "965226311")</f>
        <v/>
      </c>
      <c r="B890">
        <f>HYPERLINK("https://app.optiwise.ai/catalog/itemdetails/417437", "Tirrinia Super Soft Plush Sherpa Wearable Fleece Blanket Poncho for Adult, 55'' x 80'', Vanilla")</f>
        <v/>
      </c>
      <c r="C890" t="inlineStr">
        <is>
          <t>1TRBP110VN-TBCB</t>
        </is>
      </c>
      <c r="D890" t="inlineStr">
        <is>
          <t>Home Decor, Kitchen, &amp; Other</t>
        </is>
      </c>
      <c r="E890" t="inlineStr">
        <is>
          <t>Throws</t>
        </is>
      </c>
      <c r="F890" t="inlineStr">
        <is>
          <t>Tirrinia</t>
        </is>
      </c>
      <c r="G890" t="n">
        <v>0</v>
      </c>
      <c r="H890" t="n">
        <v>0</v>
      </c>
      <c r="I890" t="inlineStr">
        <is>
          <t>Optimized,Fleece Blankets</t>
        </is>
      </c>
      <c r="J890" s="29" t="n">
        <v>0</v>
      </c>
      <c r="K890" s="30" t="n"/>
      <c r="L890" s="29" t="n">
        <v>0</v>
      </c>
      <c r="M890" s="29" t="n">
        <v>0</v>
      </c>
      <c r="N890" s="2" t="n">
        <v>0</v>
      </c>
      <c r="O890" s="31" t="n">
        <v>0</v>
      </c>
      <c r="P890" s="32" t="n"/>
      <c r="Q890" s="32" t="n">
        <v>0</v>
      </c>
      <c r="R890" s="32" t="n">
        <v>0</v>
      </c>
      <c r="S890" s="31" t="n">
        <v>0</v>
      </c>
      <c r="T890" s="32" t="n">
        <v>0</v>
      </c>
      <c r="U890" s="31" t="n">
        <v>0</v>
      </c>
      <c r="V890" s="31" t="n">
        <v>0</v>
      </c>
      <c r="W890" s="3" t="n">
        <v>0</v>
      </c>
      <c r="X890" s="3" t="n">
        <v>0</v>
      </c>
      <c r="Y890" s="32" t="n">
        <v>0</v>
      </c>
      <c r="Z890" s="3" t="n">
        <v>0</v>
      </c>
      <c r="AA890" s="32" t="n">
        <v>0</v>
      </c>
      <c r="AB890" s="3" t="n"/>
      <c r="AC890" s="31" t="n">
        <v>0</v>
      </c>
      <c r="AD890" s="2" t="n">
        <v>0</v>
      </c>
      <c r="AE890" s="2" t="n">
        <v>5</v>
      </c>
      <c r="AF890" s="4" t="n">
        <v>5</v>
      </c>
      <c r="AG890" s="33" t="n">
        <v>0</v>
      </c>
      <c r="AH890" s="4" t="n">
        <v>0</v>
      </c>
      <c r="AI890" s="34" t="n"/>
      <c r="AJ890" s="34" t="n">
        <v>0</v>
      </c>
      <c r="AK890" s="2" t="n">
        <v>0</v>
      </c>
      <c r="AL890" t="inlineStr">
        <is>
          <t>Published</t>
        </is>
      </c>
    </row>
    <row r="891">
      <c r="A891">
        <f>HYPERLINK("https://www.walmart.com/ip/572643742", "572643742")</f>
        <v/>
      </c>
      <c r="B891">
        <f>HYPERLINK("https://app.optiwise.ai/catalog/itemdetails/416868", "Oversized Hoodie Blanket Sweatshirt,Super Soft Warm Comfortable Fleece Giant Pullover with Large Front Pocket,for Adults Men Women Teenagers Kids Wife Girlfriend")</f>
        <v/>
      </c>
      <c r="C891" t="inlineStr">
        <is>
          <t>1CTHD300PP-UPC</t>
        </is>
      </c>
      <c r="D891" t="inlineStr">
        <is>
          <t>Clothing</t>
        </is>
      </c>
      <c r="E891" t="inlineStr">
        <is>
          <t>Sweatshirts &amp; Hoodies</t>
        </is>
      </c>
      <c r="F891" t="inlineStr">
        <is>
          <t>Catalonia</t>
        </is>
      </c>
      <c r="G891" t="n">
        <v>0</v>
      </c>
      <c r="H891" t="n">
        <v>0</v>
      </c>
      <c r="I891" t="inlineStr">
        <is>
          <t>Hoodie ForAdult,Optimized,Coupon_Discount</t>
        </is>
      </c>
      <c r="J891" s="29" t="n">
        <v>0</v>
      </c>
      <c r="K891" s="30" t="n"/>
      <c r="L891" s="29" t="n">
        <v>0</v>
      </c>
      <c r="M891" s="29" t="n">
        <v>0</v>
      </c>
      <c r="N891" s="2" t="n">
        <v>0</v>
      </c>
      <c r="O891" s="31" t="n">
        <v>0</v>
      </c>
      <c r="P891" s="32" t="n"/>
      <c r="Q891" s="32" t="n">
        <v>0</v>
      </c>
      <c r="R891" s="32" t="n">
        <v>0</v>
      </c>
      <c r="S891" s="31" t="n">
        <v>0</v>
      </c>
      <c r="T891" s="32" t="n">
        <v>0</v>
      </c>
      <c r="U891" s="31" t="n">
        <v>0</v>
      </c>
      <c r="V891" s="31" t="n">
        <v>0</v>
      </c>
      <c r="W891" s="3" t="n">
        <v>0</v>
      </c>
      <c r="X891" s="3" t="n">
        <v>0</v>
      </c>
      <c r="Y891" s="32" t="n">
        <v>0</v>
      </c>
      <c r="Z891" s="3" t="n">
        <v>0</v>
      </c>
      <c r="AA891" s="32" t="n">
        <v>0</v>
      </c>
      <c r="AB891" s="3" t="n"/>
      <c r="AC891" s="31" t="n">
        <v>0</v>
      </c>
      <c r="AD891" s="2" t="n">
        <v>0</v>
      </c>
      <c r="AE891" s="2" t="n">
        <v>0</v>
      </c>
      <c r="AF891" s="4" t="n">
        <v>0</v>
      </c>
      <c r="AG891" s="33" t="n">
        <v>0</v>
      </c>
      <c r="AH891" s="4" t="n">
        <v>0</v>
      </c>
      <c r="AI891" s="34" t="n"/>
      <c r="AJ891" s="34" t="n">
        <v>0</v>
      </c>
      <c r="AK891" s="2" t="n">
        <v>0</v>
      </c>
      <c r="AL891" t="inlineStr">
        <is>
          <t>Published</t>
        </is>
      </c>
    </row>
    <row r="892">
      <c r="A892">
        <f>HYPERLINK("https://www.walmart.com/ip/734548305", "734548305")</f>
        <v/>
      </c>
      <c r="B892">
        <f>HYPERLINK("https://app.optiwise.ai/catalog/itemdetails/417444", "Tirrinia Comfy Plush Wearable Fleece Blanket Poncho Wrap Cover For Adult, Pink")</f>
        <v/>
      </c>
      <c r="C892" t="inlineStr">
        <is>
          <t>1TRBP200PK-TBCB</t>
        </is>
      </c>
      <c r="D892" t="inlineStr">
        <is>
          <t>Bedding</t>
        </is>
      </c>
      <c r="E892" t="inlineStr">
        <is>
          <t>Throws</t>
        </is>
      </c>
      <c r="F892" t="inlineStr">
        <is>
          <t>Tirrinia</t>
        </is>
      </c>
      <c r="G892" t="n">
        <v>0</v>
      </c>
      <c r="H892" t="n">
        <v>0</v>
      </c>
      <c r="I892" t="inlineStr">
        <is>
          <t>Optimized</t>
        </is>
      </c>
      <c r="J892" s="29" t="n">
        <v>0</v>
      </c>
      <c r="K892" s="30" t="n"/>
      <c r="L892" s="29" t="n">
        <v>0</v>
      </c>
      <c r="M892" s="29" t="n">
        <v>0</v>
      </c>
      <c r="N892" s="2" t="n">
        <v>0</v>
      </c>
      <c r="O892" s="31" t="n">
        <v>0</v>
      </c>
      <c r="P892" s="32" t="n"/>
      <c r="Q892" s="32" t="n">
        <v>0</v>
      </c>
      <c r="R892" s="32" t="n">
        <v>0</v>
      </c>
      <c r="S892" s="31" t="n">
        <v>0</v>
      </c>
      <c r="T892" s="32" t="n">
        <v>0</v>
      </c>
      <c r="U892" s="31" t="n">
        <v>0</v>
      </c>
      <c r="V892" s="31" t="n">
        <v>0</v>
      </c>
      <c r="W892" s="3" t="n">
        <v>0</v>
      </c>
      <c r="X892" s="3" t="n">
        <v>0</v>
      </c>
      <c r="Y892" s="32" t="n">
        <v>0</v>
      </c>
      <c r="Z892" s="3" t="n">
        <v>0</v>
      </c>
      <c r="AA892" s="32" t="n">
        <v>0</v>
      </c>
      <c r="AB892" s="3" t="n"/>
      <c r="AC892" s="31" t="n">
        <v>0</v>
      </c>
      <c r="AD892" s="2" t="n">
        <v>0</v>
      </c>
      <c r="AE892" s="2" t="n">
        <v>2</v>
      </c>
      <c r="AF892" s="4" t="n">
        <v>2</v>
      </c>
      <c r="AG892" s="33" t="n">
        <v>0</v>
      </c>
      <c r="AH892" s="4" t="n">
        <v>0</v>
      </c>
      <c r="AI892" s="34" t="n"/>
      <c r="AJ892" s="34" t="n">
        <v>0</v>
      </c>
      <c r="AK892" s="2" t="n">
        <v>0</v>
      </c>
      <c r="AL892" t="inlineStr">
        <is>
          <t>Published</t>
        </is>
      </c>
    </row>
    <row r="893">
      <c r="A893">
        <f>HYPERLINK("https://www.walmart.com/ip/354587675", "354587675")</f>
        <v/>
      </c>
      <c r="B893">
        <f>HYPERLINK("https://app.optiwise.ai/catalog/itemdetails/417445", "Tirrinia Sherpa Wearable Super Soft Comfy Plush Fleece Blanket Poncho, 55'' x 80'', Purple")</f>
        <v/>
      </c>
      <c r="C893" t="inlineStr">
        <is>
          <t>1TRBP110PP-TBCB</t>
        </is>
      </c>
      <c r="D893" t="inlineStr">
        <is>
          <t>Home Decor, Kitchen, &amp; Other</t>
        </is>
      </c>
      <c r="E893" t="inlineStr">
        <is>
          <t>Throws</t>
        </is>
      </c>
      <c r="F893" t="inlineStr">
        <is>
          <t>Tirrinia</t>
        </is>
      </c>
      <c r="G893" t="n">
        <v>0</v>
      </c>
      <c r="H893" t="n">
        <v>0</v>
      </c>
      <c r="I893" t="inlineStr">
        <is>
          <t>Optimized</t>
        </is>
      </c>
      <c r="J893" s="29" t="n">
        <v>0</v>
      </c>
      <c r="K893" s="30" t="n"/>
      <c r="L893" s="29" t="n">
        <v>0</v>
      </c>
      <c r="M893" s="29" t="n">
        <v>0</v>
      </c>
      <c r="N893" s="2" t="n">
        <v>0</v>
      </c>
      <c r="O893" s="31" t="n">
        <v>0</v>
      </c>
      <c r="P893" s="32" t="n"/>
      <c r="Q893" s="32" t="n">
        <v>0</v>
      </c>
      <c r="R893" s="32" t="n">
        <v>0</v>
      </c>
      <c r="S893" s="31" t="n">
        <v>0</v>
      </c>
      <c r="T893" s="32" t="n">
        <v>0</v>
      </c>
      <c r="U893" s="31" t="n">
        <v>0</v>
      </c>
      <c r="V893" s="31" t="n">
        <v>0</v>
      </c>
      <c r="W893" s="3" t="n">
        <v>0</v>
      </c>
      <c r="X893" s="3" t="n">
        <v>0</v>
      </c>
      <c r="Y893" s="32" t="n">
        <v>0</v>
      </c>
      <c r="Z893" s="3" t="n">
        <v>0</v>
      </c>
      <c r="AA893" s="32" t="n">
        <v>0</v>
      </c>
      <c r="AB893" s="3" t="n"/>
      <c r="AC893" s="31" t="n">
        <v>0</v>
      </c>
      <c r="AD893" s="2" t="n">
        <v>0</v>
      </c>
      <c r="AE893" s="2" t="n">
        <v>1</v>
      </c>
      <c r="AF893" s="4" t="n">
        <v>1</v>
      </c>
      <c r="AG893" s="33" t="n">
        <v>0</v>
      </c>
      <c r="AH893" s="4" t="n">
        <v>0</v>
      </c>
      <c r="AI893" s="34" t="n"/>
      <c r="AJ893" s="34" t="n">
        <v>0</v>
      </c>
      <c r="AK893" s="2" t="n">
        <v>0</v>
      </c>
      <c r="AL893" t="inlineStr">
        <is>
          <t>Published</t>
        </is>
      </c>
    </row>
    <row r="894">
      <c r="A894">
        <f>HYPERLINK("https://www.walmart.com/ip/237591903", "237591903")</f>
        <v/>
      </c>
      <c r="B894">
        <f>HYPERLINK("https://app.optiwise.ai/catalog/itemdetails/416865", "Catalonia Queen Size Sherpa Comforter Set,  Ultra-soft Reversible Fluffy Micromink Bedding Set-3 Pieces, 1 Comforter and 2 Pillow Shams, 88x90 inches")</f>
        <v/>
      </c>
      <c r="C894" t="inlineStr">
        <is>
          <t>1CTBQ300QF-PRD</t>
        </is>
      </c>
      <c r="D894" t="inlineStr">
        <is>
          <t>Bedding</t>
        </is>
      </c>
      <c r="E894" t="inlineStr">
        <is>
          <t>Bedding Sets</t>
        </is>
      </c>
      <c r="F894" t="inlineStr">
        <is>
          <t>Catalonia</t>
        </is>
      </c>
      <c r="G894" t="n">
        <v>0</v>
      </c>
      <c r="H894" t="n">
        <v>0</v>
      </c>
      <c r="I894" t="inlineStr">
        <is>
          <t>WFS,WFS Item</t>
        </is>
      </c>
      <c r="J894" s="29" t="n">
        <v>0</v>
      </c>
      <c r="K894" s="30" t="n"/>
      <c r="L894" s="29" t="n">
        <v>0</v>
      </c>
      <c r="M894" s="29" t="n">
        <v>0</v>
      </c>
      <c r="N894" s="2" t="n">
        <v>0</v>
      </c>
      <c r="O894" s="31" t="n">
        <v>0</v>
      </c>
      <c r="P894" s="32" t="n"/>
      <c r="Q894" s="32" t="n">
        <v>0</v>
      </c>
      <c r="R894" s="32" t="n">
        <v>0</v>
      </c>
      <c r="S894" s="31" t="n">
        <v>0</v>
      </c>
      <c r="T894" s="32" t="n">
        <v>0</v>
      </c>
      <c r="U894" s="31" t="n">
        <v>0</v>
      </c>
      <c r="V894" s="31" t="n">
        <v>0</v>
      </c>
      <c r="W894" s="3" t="n">
        <v>0</v>
      </c>
      <c r="X894" s="3" t="n">
        <v>0</v>
      </c>
      <c r="Y894" s="32" t="n">
        <v>0</v>
      </c>
      <c r="Z894" s="3" t="n">
        <v>0</v>
      </c>
      <c r="AA894" s="32" t="n">
        <v>0</v>
      </c>
      <c r="AB894" s="3" t="n"/>
      <c r="AC894" s="31" t="n">
        <v>0</v>
      </c>
      <c r="AD894" s="2" t="n">
        <v>0</v>
      </c>
      <c r="AE894" s="2" t="n">
        <v>21</v>
      </c>
      <c r="AF894" s="4" t="n">
        <v>21</v>
      </c>
      <c r="AG894" s="33" t="n">
        <v>0</v>
      </c>
      <c r="AH894" s="4" t="n">
        <v>0</v>
      </c>
      <c r="AI894" s="34" t="n"/>
      <c r="AJ894" s="34" t="n">
        <v>0</v>
      </c>
      <c r="AK894" s="2" t="n">
        <v>0</v>
      </c>
      <c r="AL894" t="inlineStr">
        <is>
          <t>Published</t>
        </is>
      </c>
    </row>
    <row r="895">
      <c r="A895">
        <f>HYPERLINK("https://www.walmart.com/ip/688559257", "688559257")</f>
        <v/>
      </c>
      <c r="B895">
        <f>HYPERLINK("https://app.optiwise.ai/catalog/itemdetails/416863", "Catalonia Queen Size Sherpa Comforter Set,  Ultra-soft Reversible Fluffy Micromink Bedding Set-3 Pieces, 1 Comforter and 2 Pillow Shams, 88x90 inches")</f>
        <v/>
      </c>
      <c r="C895" t="inlineStr">
        <is>
          <t>1CTBQ300QF-PGY</t>
        </is>
      </c>
      <c r="D895" t="inlineStr">
        <is>
          <t>Bedding</t>
        </is>
      </c>
      <c r="E895" t="inlineStr">
        <is>
          <t>Bedding Sets</t>
        </is>
      </c>
      <c r="F895" t="inlineStr">
        <is>
          <t>Catalonia</t>
        </is>
      </c>
      <c r="G895" t="n">
        <v>0</v>
      </c>
      <c r="H895" t="n">
        <v>0</v>
      </c>
      <c r="I895" t="inlineStr">
        <is>
          <t>WFS,WFS Item</t>
        </is>
      </c>
      <c r="J895" s="29" t="n">
        <v>0</v>
      </c>
      <c r="K895" s="30" t="n"/>
      <c r="L895" s="29" t="n">
        <v>0</v>
      </c>
      <c r="M895" s="29" t="n">
        <v>0</v>
      </c>
      <c r="N895" s="2" t="n">
        <v>0</v>
      </c>
      <c r="O895" s="31" t="n">
        <v>0</v>
      </c>
      <c r="P895" s="32" t="n"/>
      <c r="Q895" s="32" t="n">
        <v>0</v>
      </c>
      <c r="R895" s="32" t="n">
        <v>0</v>
      </c>
      <c r="S895" s="31" t="n">
        <v>0</v>
      </c>
      <c r="T895" s="32" t="n">
        <v>0</v>
      </c>
      <c r="U895" s="31" t="n">
        <v>0</v>
      </c>
      <c r="V895" s="31" t="n">
        <v>0</v>
      </c>
      <c r="W895" s="3" t="n">
        <v>0</v>
      </c>
      <c r="X895" s="3" t="n">
        <v>0</v>
      </c>
      <c r="Y895" s="32" t="n">
        <v>0</v>
      </c>
      <c r="Z895" s="3" t="n">
        <v>0</v>
      </c>
      <c r="AA895" s="32" t="n">
        <v>0</v>
      </c>
      <c r="AB895" s="3" t="n"/>
      <c r="AC895" s="31" t="n">
        <v>0</v>
      </c>
      <c r="AD895" s="2" t="n">
        <v>0</v>
      </c>
      <c r="AE895" s="2" t="n">
        <v>20</v>
      </c>
      <c r="AF895" s="4" t="n">
        <v>20</v>
      </c>
      <c r="AG895" s="33" t="n">
        <v>0</v>
      </c>
      <c r="AH895" s="4" t="n">
        <v>0</v>
      </c>
      <c r="AI895" s="34" t="n"/>
      <c r="AJ895" s="34" t="n">
        <v>0</v>
      </c>
      <c r="AK895" s="2" t="n">
        <v>0</v>
      </c>
      <c r="AL895" t="inlineStr">
        <is>
          <t>Published</t>
        </is>
      </c>
    </row>
    <row r="896">
      <c r="A896">
        <f>HYPERLINK("https://www.walmart.com/ip/526212595", "526212595")</f>
        <v/>
      </c>
      <c r="B896">
        <f>HYPERLINK("https://app.optiwise.ai/catalog/itemdetails/416862", "Catalonia Twin Size Sherpa Comforter Set, Ultra-Soft Reversible Fluffy Micromink Bedding Set-2 Pieces, 1 Comforter and 1 Pillow Sham, 64x88 inches")</f>
        <v/>
      </c>
      <c r="C896" t="inlineStr">
        <is>
          <t>1CTBQ300TW-BL</t>
        </is>
      </c>
      <c r="D896" t="inlineStr">
        <is>
          <t>Bedding</t>
        </is>
      </c>
      <c r="E896" t="inlineStr">
        <is>
          <t>Comforters &amp; Duvets</t>
        </is>
      </c>
      <c r="F896" t="inlineStr">
        <is>
          <t>Catalonia</t>
        </is>
      </c>
      <c r="G896" t="n">
        <v>0</v>
      </c>
      <c r="H896" t="n">
        <v>0</v>
      </c>
      <c r="I896" t="inlineStr">
        <is>
          <t>WFS,WFS Item</t>
        </is>
      </c>
      <c r="J896" s="29" t="n">
        <v>0</v>
      </c>
      <c r="K896" s="30" t="n"/>
      <c r="L896" s="29" t="n">
        <v>0</v>
      </c>
      <c r="M896" s="29" t="n">
        <v>0</v>
      </c>
      <c r="N896" s="2" t="n">
        <v>0</v>
      </c>
      <c r="O896" s="31" t="n">
        <v>0</v>
      </c>
      <c r="P896" s="32" t="n"/>
      <c r="Q896" s="32" t="n">
        <v>0</v>
      </c>
      <c r="R896" s="32" t="n">
        <v>0.0045</v>
      </c>
      <c r="S896" s="31" t="n">
        <v>0</v>
      </c>
      <c r="T896" s="32" t="n">
        <v>0</v>
      </c>
      <c r="U896" s="31" t="n">
        <v>0</v>
      </c>
      <c r="V896" s="31" t="n">
        <v>0</v>
      </c>
      <c r="W896" s="3" t="n">
        <v>0</v>
      </c>
      <c r="X896" s="3" t="n">
        <v>0</v>
      </c>
      <c r="Y896" s="32" t="n">
        <v>0</v>
      </c>
      <c r="Z896" s="3" t="n">
        <v>0</v>
      </c>
      <c r="AA896" s="32" t="n">
        <v>0</v>
      </c>
      <c r="AB896" s="3" t="n"/>
      <c r="AC896" s="31" t="n">
        <v>0</v>
      </c>
      <c r="AD896" s="2" t="n">
        <v>0</v>
      </c>
      <c r="AE896" s="2" t="n">
        <v>8</v>
      </c>
      <c r="AF896" s="4" t="n">
        <v>8</v>
      </c>
      <c r="AG896" s="33" t="n">
        <v>0</v>
      </c>
      <c r="AH896" s="4" t="n">
        <v>0</v>
      </c>
      <c r="AI896" s="34" t="n"/>
      <c r="AJ896" s="34" t="n">
        <v>0</v>
      </c>
      <c r="AK896" s="2" t="n">
        <v>0</v>
      </c>
      <c r="AL896" t="inlineStr">
        <is>
          <t>Published</t>
        </is>
      </c>
    </row>
    <row r="897">
      <c r="A897">
        <f>HYPERLINK("https://www.walmart.com/ip/1686754665", "1686754665")</f>
        <v/>
      </c>
      <c r="B897">
        <f>HYPERLINK("https://app.optiwise.ai/catalog/itemdetails/787752", "Tirrinia Neon Hunting Orange Safety Cap Closure")</f>
        <v/>
      </c>
      <c r="C897" t="inlineStr">
        <is>
          <t>1TRHT7121NEON-TBCB</t>
        </is>
      </c>
      <c r="D897" t="inlineStr">
        <is>
          <t>Clothing</t>
        </is>
      </c>
      <c r="E897" t="inlineStr">
        <is>
          <t>Hats</t>
        </is>
      </c>
      <c r="F897" t="inlineStr">
        <is>
          <t>Tirrinia</t>
        </is>
      </c>
      <c r="G897" t="n">
        <v>0</v>
      </c>
      <c r="H897" t="n">
        <v>0</v>
      </c>
      <c r="I897" t="inlineStr">
        <is>
          <t>Batch 1 - TR</t>
        </is>
      </c>
      <c r="J897" s="29" t="n">
        <v>0</v>
      </c>
      <c r="K897" s="30" t="n"/>
      <c r="L897" s="29" t="n">
        <v>0</v>
      </c>
      <c r="M897" s="29" t="n">
        <v>0</v>
      </c>
      <c r="N897" s="2" t="n">
        <v>0</v>
      </c>
      <c r="O897" s="31" t="n">
        <v>0</v>
      </c>
      <c r="P897" s="32" t="n"/>
      <c r="Q897" s="32" t="n">
        <v>0</v>
      </c>
      <c r="R897" s="32" t="n">
        <v>0</v>
      </c>
      <c r="S897" s="31" t="n">
        <v>0</v>
      </c>
      <c r="T897" s="32" t="n">
        <v>0</v>
      </c>
      <c r="U897" s="31" t="n">
        <v>0</v>
      </c>
      <c r="V897" s="31" t="n">
        <v>0</v>
      </c>
      <c r="W897" s="3" t="n">
        <v>0</v>
      </c>
      <c r="X897" s="3" t="n">
        <v>0</v>
      </c>
      <c r="Y897" s="32" t="n">
        <v>0</v>
      </c>
      <c r="Z897" s="3" t="n">
        <v>0</v>
      </c>
      <c r="AA897" s="32" t="n">
        <v>0</v>
      </c>
      <c r="AB897" s="3" t="n"/>
      <c r="AC897" s="31" t="n">
        <v>0</v>
      </c>
      <c r="AD897" s="2" t="n">
        <v>0</v>
      </c>
      <c r="AE897" s="2" t="n">
        <v>4</v>
      </c>
      <c r="AF897" s="4" t="n">
        <v>4</v>
      </c>
      <c r="AG897" s="33" t="n">
        <v>0</v>
      </c>
      <c r="AH897" s="4" t="n">
        <v>0</v>
      </c>
      <c r="AI897" s="34" t="n"/>
      <c r="AJ897" s="34" t="n">
        <v>0</v>
      </c>
      <c r="AK897" s="2" t="n">
        <v>0</v>
      </c>
      <c r="AL897" t="inlineStr">
        <is>
          <t>Published</t>
        </is>
      </c>
    </row>
    <row r="898">
      <c r="A898">
        <f>HYPERLINK("https://www.walmart.com/ip/237884409", "237884409")</f>
        <v/>
      </c>
      <c r="B898">
        <f>HYPERLINK("https://app.optiwise.ai/catalog/itemdetails/418584", "Tirrinia Super Soft Comfy Plush Fleece Sherpa Wearable Blanket Poncho for Adult Kids, 55'' x 80'', Pink")</f>
        <v/>
      </c>
      <c r="C898" t="inlineStr">
        <is>
          <t>1TRBP110HP-TBCB</t>
        </is>
      </c>
      <c r="D898" t="inlineStr">
        <is>
          <t>Home Decor, Kitchen, &amp; Other</t>
        </is>
      </c>
      <c r="E898" t="inlineStr">
        <is>
          <t>Throws</t>
        </is>
      </c>
      <c r="F898" t="inlineStr">
        <is>
          <t>Tirrinia</t>
        </is>
      </c>
      <c r="G898" t="n">
        <v>0</v>
      </c>
      <c r="H898" t="n">
        <v>0</v>
      </c>
      <c r="I898" t="inlineStr">
        <is>
          <t>Optimized</t>
        </is>
      </c>
      <c r="J898" s="29" t="n">
        <v>0</v>
      </c>
      <c r="K898" s="30" t="n"/>
      <c r="L898" s="29" t="n">
        <v>0</v>
      </c>
      <c r="M898" s="29" t="n">
        <v>0</v>
      </c>
      <c r="N898" s="2" t="n">
        <v>0</v>
      </c>
      <c r="O898" s="31" t="n">
        <v>0</v>
      </c>
      <c r="P898" s="32" t="n"/>
      <c r="Q898" s="32" t="n">
        <v>0</v>
      </c>
      <c r="R898" s="32" t="n">
        <v>0</v>
      </c>
      <c r="S898" s="31" t="n">
        <v>0</v>
      </c>
      <c r="T898" s="32" t="n">
        <v>0</v>
      </c>
      <c r="U898" s="31" t="n">
        <v>0</v>
      </c>
      <c r="V898" s="31" t="n">
        <v>0</v>
      </c>
      <c r="W898" s="3" t="n">
        <v>0</v>
      </c>
      <c r="X898" s="3" t="n">
        <v>0</v>
      </c>
      <c r="Y898" s="32" t="n">
        <v>0</v>
      </c>
      <c r="Z898" s="3" t="n">
        <v>0</v>
      </c>
      <c r="AA898" s="32" t="n">
        <v>0</v>
      </c>
      <c r="AB898" s="3" t="n"/>
      <c r="AC898" s="31" t="n">
        <v>0</v>
      </c>
      <c r="AD898" s="2" t="n">
        <v>0</v>
      </c>
      <c r="AE898" s="2" t="n">
        <v>3</v>
      </c>
      <c r="AF898" s="4" t="n">
        <v>3</v>
      </c>
      <c r="AG898" s="33" t="n">
        <v>0</v>
      </c>
      <c r="AH898" s="4" t="n">
        <v>0</v>
      </c>
      <c r="AI898" s="34" t="n"/>
      <c r="AJ898" s="34" t="n">
        <v>0</v>
      </c>
      <c r="AK898" s="2" t="n">
        <v>0</v>
      </c>
      <c r="AL898" t="inlineStr">
        <is>
          <t>Published</t>
        </is>
      </c>
    </row>
    <row r="899">
      <c r="A899">
        <f>HYPERLINK("https://www.walmart.com/ip/801779048", "801779048")</f>
        <v/>
      </c>
      <c r="B899">
        <f>HYPERLINK("https://app.optiwise.ai/catalog/itemdetails/995161", "Terra Bed Blankets, Bedspreads, Bed throws, Soft Cozy Reversible Fuzzy Blanket  50 W x 60 L, Latte")</f>
        <v/>
      </c>
      <c r="C899" t="inlineStr">
        <is>
          <t>1TRK9000WN-JWCB</t>
        </is>
      </c>
      <c r="D899" t="inlineStr">
        <is>
          <t>Home Decor, Kitchen, &amp; Other</t>
        </is>
      </c>
      <c r="E899" t="inlineStr">
        <is>
          <t>Throws</t>
        </is>
      </c>
      <c r="F899" t="inlineStr">
        <is>
          <t>NAPA</t>
        </is>
      </c>
      <c r="G899" t="n">
        <v>0</v>
      </c>
      <c r="H899" t="n">
        <v>0</v>
      </c>
      <c r="J899" s="29" t="n">
        <v>0</v>
      </c>
      <c r="K899" s="30" t="n"/>
      <c r="L899" s="29" t="n">
        <v>0</v>
      </c>
      <c r="M899" s="29" t="n">
        <v>0</v>
      </c>
      <c r="N899" s="2" t="n">
        <v>0</v>
      </c>
      <c r="O899" s="31" t="n">
        <v>0</v>
      </c>
      <c r="P899" s="32" t="n"/>
      <c r="Q899" s="32" t="n">
        <v>0</v>
      </c>
      <c r="R899" s="32" t="n">
        <v>0</v>
      </c>
      <c r="S899" s="31" t="n">
        <v>0</v>
      </c>
      <c r="T899" s="32" t="n">
        <v>0</v>
      </c>
      <c r="U899" s="31" t="n">
        <v>0</v>
      </c>
      <c r="V899" s="31" t="n">
        <v>0</v>
      </c>
      <c r="W899" s="3" t="n">
        <v>0</v>
      </c>
      <c r="X899" s="3" t="n">
        <v>0</v>
      </c>
      <c r="Y899" s="32" t="n">
        <v>0</v>
      </c>
      <c r="Z899" s="3" t="n">
        <v>0</v>
      </c>
      <c r="AA899" s="32" t="n">
        <v>0</v>
      </c>
      <c r="AB899" s="3" t="n"/>
      <c r="AC899" s="31" t="n">
        <v>0</v>
      </c>
      <c r="AD899" s="2" t="n">
        <v>0</v>
      </c>
      <c r="AE899" s="2" t="n">
        <v>1</v>
      </c>
      <c r="AF899" s="4" t="n">
        <v>1</v>
      </c>
      <c r="AG899" s="33" t="n">
        <v>0</v>
      </c>
      <c r="AH899" s="4" t="n">
        <v>0</v>
      </c>
      <c r="AI899" s="34" t="n"/>
      <c r="AJ899" s="34" t="n">
        <v>0</v>
      </c>
      <c r="AK899" s="2" t="n">
        <v>0</v>
      </c>
      <c r="AL899" t="inlineStr">
        <is>
          <t>Published</t>
        </is>
      </c>
    </row>
    <row r="900">
      <c r="A900">
        <f>HYPERLINK("https://www.walmart.com/ip/321260413", "321260413")</f>
        <v/>
      </c>
      <c r="B900">
        <f>HYPERLINK("https://app.optiwise.ai/catalog/itemdetails/409181", "Catalonia Women’s Sherpa Hoodie Sweatshirt Dress, Casual Fleece Pullover Sweater with Kangaroo Pocket, One Size")</f>
        <v/>
      </c>
      <c r="C900" t="inlineStr">
        <is>
          <t>1CTHD532P2RD</t>
        </is>
      </c>
      <c r="D900" t="inlineStr">
        <is>
          <t>Clothing</t>
        </is>
      </c>
      <c r="E900" t="inlineStr">
        <is>
          <t>Sweatshirts &amp; Hoodies</t>
        </is>
      </c>
      <c r="F900" t="inlineStr">
        <is>
          <t>Catalonia</t>
        </is>
      </c>
      <c r="G900" t="n">
        <v>0</v>
      </c>
      <c r="H900" t="n">
        <v>0</v>
      </c>
      <c r="I900" t="inlineStr">
        <is>
          <t>Hoodie ForAdult,Optimized</t>
        </is>
      </c>
      <c r="J900" s="29" t="n">
        <v>0</v>
      </c>
      <c r="K900" s="30" t="n"/>
      <c r="L900" s="29" t="n">
        <v>0</v>
      </c>
      <c r="M900" s="29" t="n">
        <v>0</v>
      </c>
      <c r="N900" s="2" t="n">
        <v>0</v>
      </c>
      <c r="O900" s="31" t="n">
        <v>0</v>
      </c>
      <c r="P900" s="32" t="n"/>
      <c r="Q900" s="32" t="n">
        <v>0</v>
      </c>
      <c r="R900" s="32" t="n">
        <v>0</v>
      </c>
      <c r="S900" s="31" t="n">
        <v>0</v>
      </c>
      <c r="T900" s="32" t="n">
        <v>0</v>
      </c>
      <c r="U900" s="31" t="n">
        <v>0</v>
      </c>
      <c r="V900" s="31" t="n">
        <v>0</v>
      </c>
      <c r="W900" s="3" t="n">
        <v>0</v>
      </c>
      <c r="X900" s="3" t="n">
        <v>0</v>
      </c>
      <c r="Y900" s="32" t="n">
        <v>0</v>
      </c>
      <c r="Z900" s="3" t="n">
        <v>0</v>
      </c>
      <c r="AA900" s="32" t="n">
        <v>0</v>
      </c>
      <c r="AB900" s="3" t="n"/>
      <c r="AC900" s="31" t="n">
        <v>0</v>
      </c>
      <c r="AD900" s="2" t="n">
        <v>0</v>
      </c>
      <c r="AE900" s="2" t="n">
        <v>22</v>
      </c>
      <c r="AF900" s="4" t="n">
        <v>22</v>
      </c>
      <c r="AG900" s="33" t="n">
        <v>0</v>
      </c>
      <c r="AH900" s="4" t="n">
        <v>0</v>
      </c>
      <c r="AI900" s="34" t="n"/>
      <c r="AJ900" s="34" t="n">
        <v>0</v>
      </c>
      <c r="AK900" s="2" t="n">
        <v>0</v>
      </c>
      <c r="AL900" t="inlineStr">
        <is>
          <t>Published</t>
        </is>
      </c>
    </row>
    <row r="901">
      <c r="A901">
        <f>HYPERLINK("https://www.walmart.com/ip/863519881", "863519881")</f>
        <v/>
      </c>
      <c r="B901">
        <f>HYPERLINK("https://app.optiwise.ai/catalog/itemdetails/465344", "Youth Reflective Knit Beanie Hat For Sports Warm")</f>
        <v/>
      </c>
      <c r="C901" t="inlineStr">
        <is>
          <t>1SLBN01RO-FSCB</t>
        </is>
      </c>
      <c r="D901" t="inlineStr">
        <is>
          <t>Clothing</t>
        </is>
      </c>
      <c r="E901" t="inlineStr">
        <is>
          <t>Hats</t>
        </is>
      </c>
      <c r="F901" t="inlineStr">
        <is>
          <t>Solaris</t>
        </is>
      </c>
      <c r="G901" t="n">
        <v>0</v>
      </c>
      <c r="H901" t="n">
        <v>0</v>
      </c>
      <c r="I901" t="inlineStr">
        <is>
          <t>Optimized</t>
        </is>
      </c>
      <c r="J901" s="29" t="n">
        <v>0</v>
      </c>
      <c r="K901" s="30" t="n"/>
      <c r="L901" s="29" t="n">
        <v>0</v>
      </c>
      <c r="M901" s="29" t="n">
        <v>0</v>
      </c>
      <c r="N901" s="2" t="n">
        <v>0</v>
      </c>
      <c r="O901" s="31" t="n">
        <v>0</v>
      </c>
      <c r="P901" s="32" t="n"/>
      <c r="Q901" s="32" t="n">
        <v>0</v>
      </c>
      <c r="R901" s="32" t="n">
        <v>0</v>
      </c>
      <c r="S901" s="31" t="n">
        <v>0</v>
      </c>
      <c r="T901" s="32" t="n">
        <v>0</v>
      </c>
      <c r="U901" s="31" t="n">
        <v>0</v>
      </c>
      <c r="V901" s="31" t="n">
        <v>0</v>
      </c>
      <c r="W901" s="3" t="n">
        <v>0</v>
      </c>
      <c r="X901" s="3" t="n">
        <v>0</v>
      </c>
      <c r="Y901" s="32" t="n">
        <v>0</v>
      </c>
      <c r="Z901" s="3" t="n">
        <v>0</v>
      </c>
      <c r="AA901" s="32" t="n">
        <v>0</v>
      </c>
      <c r="AB901" s="3" t="n"/>
      <c r="AC901" s="31" t="n">
        <v>0</v>
      </c>
      <c r="AD901" s="2" t="n">
        <v>0</v>
      </c>
      <c r="AE901" s="2" t="n">
        <v>1</v>
      </c>
      <c r="AF901" s="4" t="n">
        <v>1</v>
      </c>
      <c r="AG901" s="33" t="n">
        <v>0</v>
      </c>
      <c r="AH901" s="4" t="n">
        <v>0</v>
      </c>
      <c r="AI901" s="34" t="n"/>
      <c r="AJ901" s="34" t="n">
        <v>0</v>
      </c>
      <c r="AK901" s="2" t="n">
        <v>0</v>
      </c>
      <c r="AL901" t="inlineStr">
        <is>
          <t>Published</t>
        </is>
      </c>
    </row>
    <row r="902">
      <c r="A902">
        <f>HYPERLINK("https://www.walmart.com/ip/1872426699", "1872426699")</f>
        <v/>
      </c>
      <c r="B902">
        <f>HYPERLINK("https://app.optiwise.ai/catalog/itemdetails/787773", "Bucket Summer Mens Sun Hat Water Repel Mesh Net Light Weight UV Protection Outdoor Cap by Solaris")</f>
        <v/>
      </c>
      <c r="C902" t="inlineStr">
        <is>
          <t>1SLSH191GY-12pcs</t>
        </is>
      </c>
      <c r="D902" t="inlineStr">
        <is>
          <t>Clothing</t>
        </is>
      </c>
      <c r="E902" t="inlineStr">
        <is>
          <t>Hats</t>
        </is>
      </c>
      <c r="F902" t="inlineStr">
        <is>
          <t>Solaris</t>
        </is>
      </c>
      <c r="G902" t="n">
        <v>0</v>
      </c>
      <c r="H902" t="n">
        <v>0</v>
      </c>
      <c r="I902" t="inlineStr">
        <is>
          <t>Batch 1 - TR</t>
        </is>
      </c>
      <c r="J902" s="29" t="n">
        <v>0</v>
      </c>
      <c r="K902" s="30" t="n"/>
      <c r="L902" s="29" t="n">
        <v>0</v>
      </c>
      <c r="M902" s="29" t="n">
        <v>0</v>
      </c>
      <c r="N902" s="2" t="n">
        <v>0</v>
      </c>
      <c r="O902" s="31" t="n">
        <v>0</v>
      </c>
      <c r="P902" s="32" t="n"/>
      <c r="Q902" s="32" t="n">
        <v>0</v>
      </c>
      <c r="R902" s="32" t="n">
        <v>0</v>
      </c>
      <c r="S902" s="31" t="n">
        <v>0</v>
      </c>
      <c r="T902" s="32" t="n">
        <v>0</v>
      </c>
      <c r="U902" s="31" t="n">
        <v>0</v>
      </c>
      <c r="V902" s="31" t="n">
        <v>0</v>
      </c>
      <c r="W902" s="3" t="n">
        <v>0</v>
      </c>
      <c r="X902" s="3" t="n">
        <v>0</v>
      </c>
      <c r="Y902" s="32" t="n">
        <v>0</v>
      </c>
      <c r="Z902" s="3" t="n">
        <v>0</v>
      </c>
      <c r="AA902" s="32" t="n">
        <v>0</v>
      </c>
      <c r="AB902" s="3" t="n"/>
      <c r="AC902" s="31" t="n">
        <v>0</v>
      </c>
      <c r="AD902" s="2" t="n">
        <v>0</v>
      </c>
      <c r="AE902" s="2" t="n">
        <v>1</v>
      </c>
      <c r="AF902" s="4" t="n">
        <v>1</v>
      </c>
      <c r="AG902" s="33" t="n">
        <v>0</v>
      </c>
      <c r="AH902" s="4" t="n">
        <v>0</v>
      </c>
      <c r="AI902" s="34" t="n"/>
      <c r="AJ902" s="34" t="n">
        <v>0</v>
      </c>
      <c r="AK902" s="2" t="n">
        <v>0</v>
      </c>
      <c r="AL902" t="inlineStr">
        <is>
          <t>Published</t>
        </is>
      </c>
    </row>
    <row r="903">
      <c r="A903">
        <f>HYPERLINK("https://www.walmart.com/ip/1891267767", "1891267767")</f>
        <v/>
      </c>
      <c r="B903">
        <f>HYPERLINK("https://app.optiwise.ai/catalog/itemdetails/787774", "Bucket Summer Mens Sun Hat Water Repel Mesh Net Light Weight UV Protection Outdoor Cap by Solaris")</f>
        <v/>
      </c>
      <c r="C903" t="inlineStr">
        <is>
          <t>1SLSH191TN-12pcs</t>
        </is>
      </c>
      <c r="D903" t="inlineStr">
        <is>
          <t>Clothing</t>
        </is>
      </c>
      <c r="E903" t="inlineStr">
        <is>
          <t>Hats</t>
        </is>
      </c>
      <c r="F903" t="inlineStr">
        <is>
          <t>Solaris</t>
        </is>
      </c>
      <c r="G903" t="n">
        <v>0</v>
      </c>
      <c r="H903" t="n">
        <v>0</v>
      </c>
      <c r="I903" t="inlineStr">
        <is>
          <t>Batch 1 - TR</t>
        </is>
      </c>
      <c r="J903" s="29" t="n">
        <v>0</v>
      </c>
      <c r="K903" s="30" t="n"/>
      <c r="L903" s="29" t="n">
        <v>0</v>
      </c>
      <c r="M903" s="29" t="n">
        <v>0</v>
      </c>
      <c r="N903" s="2" t="n">
        <v>0</v>
      </c>
      <c r="O903" s="31" t="n">
        <v>0</v>
      </c>
      <c r="P903" s="32" t="n"/>
      <c r="Q903" s="32" t="n">
        <v>0</v>
      </c>
      <c r="R903" s="32" t="n">
        <v>0</v>
      </c>
      <c r="S903" s="31" t="n">
        <v>0</v>
      </c>
      <c r="T903" s="32" t="n">
        <v>0</v>
      </c>
      <c r="U903" s="31" t="n">
        <v>0</v>
      </c>
      <c r="V903" s="31" t="n">
        <v>0</v>
      </c>
      <c r="W903" s="3" t="n">
        <v>0</v>
      </c>
      <c r="X903" s="3" t="n">
        <v>0</v>
      </c>
      <c r="Y903" s="32" t="n">
        <v>0</v>
      </c>
      <c r="Z903" s="3" t="n">
        <v>0</v>
      </c>
      <c r="AA903" s="32" t="n">
        <v>0</v>
      </c>
      <c r="AB903" s="3" t="n"/>
      <c r="AC903" s="31" t="n">
        <v>0</v>
      </c>
      <c r="AD903" s="2" t="n">
        <v>0</v>
      </c>
      <c r="AE903" s="2" t="n">
        <v>1</v>
      </c>
      <c r="AF903" s="4" t="n">
        <v>1</v>
      </c>
      <c r="AG903" s="33" t="n">
        <v>0</v>
      </c>
      <c r="AH903" s="4" t="n">
        <v>0</v>
      </c>
      <c r="AI903" s="34" t="n"/>
      <c r="AJ903" s="34" t="n">
        <v>0</v>
      </c>
      <c r="AK903" s="2" t="n">
        <v>0</v>
      </c>
      <c r="AL903" t="inlineStr">
        <is>
          <t>Published</t>
        </is>
      </c>
    </row>
    <row r="904">
      <c r="A904">
        <f>HYPERLINK("https://www.walmart.com/ip/758501304", "758501304")</f>
        <v/>
      </c>
      <c r="B904">
        <f>HYPERLINK("https://app.optiwise.ai/catalog/itemdetails/465340", "Youth Reflective Knit Beanie Hat For Sports Warm")</f>
        <v/>
      </c>
      <c r="C904" t="inlineStr">
        <is>
          <t>1SLBN02OR-FSCB</t>
        </is>
      </c>
      <c r="D904" t="inlineStr">
        <is>
          <t>Clothing</t>
        </is>
      </c>
      <c r="E904" t="inlineStr">
        <is>
          <t>Hats</t>
        </is>
      </c>
      <c r="F904" t="inlineStr">
        <is>
          <t>Solaris</t>
        </is>
      </c>
      <c r="G904" t="n">
        <v>0</v>
      </c>
      <c r="H904" t="n">
        <v>0</v>
      </c>
      <c r="I904" t="inlineStr">
        <is>
          <t>Optimized</t>
        </is>
      </c>
      <c r="J904" s="29" t="n">
        <v>0</v>
      </c>
      <c r="K904" s="30" t="n"/>
      <c r="L904" s="29" t="n">
        <v>0</v>
      </c>
      <c r="M904" s="29" t="n">
        <v>0</v>
      </c>
      <c r="N904" s="2" t="n">
        <v>0</v>
      </c>
      <c r="O904" s="31" t="n">
        <v>0</v>
      </c>
      <c r="P904" s="32" t="n"/>
      <c r="Q904" s="32" t="n">
        <v>0</v>
      </c>
      <c r="R904" s="32" t="n">
        <v>0</v>
      </c>
      <c r="S904" s="31" t="n">
        <v>0</v>
      </c>
      <c r="T904" s="32" t="n">
        <v>0</v>
      </c>
      <c r="U904" s="31" t="n">
        <v>0</v>
      </c>
      <c r="V904" s="31" t="n">
        <v>0</v>
      </c>
      <c r="W904" s="3" t="n">
        <v>0</v>
      </c>
      <c r="X904" s="3" t="n">
        <v>0</v>
      </c>
      <c r="Y904" s="32" t="n">
        <v>0</v>
      </c>
      <c r="Z904" s="3" t="n">
        <v>0</v>
      </c>
      <c r="AA904" s="32" t="n">
        <v>0</v>
      </c>
      <c r="AB904" s="3" t="n"/>
      <c r="AC904" s="31" t="n">
        <v>0</v>
      </c>
      <c r="AD904" s="2" t="n">
        <v>0</v>
      </c>
      <c r="AE904" s="2" t="n">
        <v>1</v>
      </c>
      <c r="AF904" s="4" t="n">
        <v>1</v>
      </c>
      <c r="AG904" s="33" t="n">
        <v>0</v>
      </c>
      <c r="AH904" s="4" t="n">
        <v>0</v>
      </c>
      <c r="AI904" s="34" t="n"/>
      <c r="AJ904" s="34" t="n">
        <v>0</v>
      </c>
      <c r="AK904" s="2" t="n">
        <v>0</v>
      </c>
      <c r="AL904" t="inlineStr">
        <is>
          <t>Published</t>
        </is>
      </c>
    </row>
    <row r="905">
      <c r="A905">
        <f>HYPERLINK("https://www.walmart.com/ip/1124120160", "1124120160")</f>
        <v/>
      </c>
      <c r="B905">
        <f>HYPERLINK("https://app.optiwise.ai/catalog/itemdetails/787776", "Bucket Summer Mens Sun Hat Water Repel Mesh Net Light Weight UV Protection Outdoor Cap by Solaris")</f>
        <v/>
      </c>
      <c r="C905" t="inlineStr">
        <is>
          <t>1SLSH191GN-12pcs</t>
        </is>
      </c>
      <c r="D905" t="inlineStr">
        <is>
          <t>Clothing</t>
        </is>
      </c>
      <c r="E905" t="inlineStr">
        <is>
          <t>Hats</t>
        </is>
      </c>
      <c r="F905" t="inlineStr">
        <is>
          <t>Solaris</t>
        </is>
      </c>
      <c r="G905" t="n">
        <v>0</v>
      </c>
      <c r="H905" t="n">
        <v>0</v>
      </c>
      <c r="I905" t="inlineStr">
        <is>
          <t>Batch 1 - TR</t>
        </is>
      </c>
      <c r="J905" s="29" t="n">
        <v>0</v>
      </c>
      <c r="K905" s="30" t="n"/>
      <c r="L905" s="29" t="n">
        <v>0</v>
      </c>
      <c r="M905" s="29" t="n">
        <v>0</v>
      </c>
      <c r="N905" s="2" t="n">
        <v>0</v>
      </c>
      <c r="O905" s="31" t="n">
        <v>0</v>
      </c>
      <c r="P905" s="32" t="n"/>
      <c r="Q905" s="32" t="n">
        <v>0</v>
      </c>
      <c r="R905" s="32" t="n">
        <v>0</v>
      </c>
      <c r="S905" s="31" t="n">
        <v>0</v>
      </c>
      <c r="T905" s="32" t="n">
        <v>0</v>
      </c>
      <c r="U905" s="31" t="n">
        <v>0</v>
      </c>
      <c r="V905" s="31" t="n">
        <v>0</v>
      </c>
      <c r="W905" s="3" t="n">
        <v>0</v>
      </c>
      <c r="X905" s="3" t="n">
        <v>0</v>
      </c>
      <c r="Y905" s="32" t="n">
        <v>0</v>
      </c>
      <c r="Z905" s="3" t="n">
        <v>0</v>
      </c>
      <c r="AA905" s="32" t="n">
        <v>0</v>
      </c>
      <c r="AB905" s="3" t="n"/>
      <c r="AC905" s="31" t="n">
        <v>0</v>
      </c>
      <c r="AD905" s="2" t="n">
        <v>0</v>
      </c>
      <c r="AE905" s="2" t="n">
        <v>1</v>
      </c>
      <c r="AF905" s="4" t="n">
        <v>1</v>
      </c>
      <c r="AG905" s="33" t="n">
        <v>0</v>
      </c>
      <c r="AH905" s="4" t="n">
        <v>0</v>
      </c>
      <c r="AI905" s="34" t="n"/>
      <c r="AJ905" s="34" t="n">
        <v>0</v>
      </c>
      <c r="AK905" s="2" t="n">
        <v>0</v>
      </c>
      <c r="AL905" t="inlineStr">
        <is>
          <t>Published</t>
        </is>
      </c>
    </row>
    <row r="906">
      <c r="A906">
        <f>HYPERLINK("https://www.walmart.com/ip/1647718963", "1647718963")</f>
        <v/>
      </c>
      <c r="B906">
        <f>HYPERLINK("https://app.optiwise.ai/catalog/itemdetails/787777", "12 Pack Sun Blocker Women's Sun Hat Reversible Bucket Cap UPF 50+ Outdoor Travel Beach Hat, Green")</f>
        <v/>
      </c>
      <c r="C906" t="inlineStr">
        <is>
          <t>KC-S9200-GR-12pcs</t>
        </is>
      </c>
      <c r="D906" t="inlineStr">
        <is>
          <t>Clothing</t>
        </is>
      </c>
      <c r="E906" t="inlineStr">
        <is>
          <t>Hats</t>
        </is>
      </c>
      <c r="F906" t="inlineStr">
        <is>
          <t>Sun Blocker</t>
        </is>
      </c>
      <c r="G906" t="n">
        <v>0</v>
      </c>
      <c r="H906" t="n">
        <v>0</v>
      </c>
      <c r="I906" t="inlineStr">
        <is>
          <t>Batch 1 - TR</t>
        </is>
      </c>
      <c r="J906" s="29" t="n">
        <v>0</v>
      </c>
      <c r="K906" s="30" t="n"/>
      <c r="L906" s="29" t="n">
        <v>0</v>
      </c>
      <c r="M906" s="29" t="n">
        <v>0</v>
      </c>
      <c r="N906" s="2" t="n">
        <v>0</v>
      </c>
      <c r="O906" s="31" t="n">
        <v>0</v>
      </c>
      <c r="P906" s="32" t="n"/>
      <c r="Q906" s="32" t="n">
        <v>0</v>
      </c>
      <c r="R906" s="32" t="n">
        <v>0</v>
      </c>
      <c r="S906" s="31" t="n">
        <v>0</v>
      </c>
      <c r="T906" s="32" t="n">
        <v>0</v>
      </c>
      <c r="U906" s="31" t="n">
        <v>0</v>
      </c>
      <c r="V906" s="31" t="n">
        <v>0</v>
      </c>
      <c r="W906" s="3" t="n">
        <v>0</v>
      </c>
      <c r="X906" s="3" t="n">
        <v>0</v>
      </c>
      <c r="Y906" s="32" t="n">
        <v>0</v>
      </c>
      <c r="Z906" s="3" t="n">
        <v>0</v>
      </c>
      <c r="AA906" s="32" t="n">
        <v>0</v>
      </c>
      <c r="AB906" s="3" t="n"/>
      <c r="AC906" s="31" t="n">
        <v>0</v>
      </c>
      <c r="AD906" s="2" t="n">
        <v>0</v>
      </c>
      <c r="AE906" s="2" t="n">
        <v>3</v>
      </c>
      <c r="AF906" s="4" t="n">
        <v>3</v>
      </c>
      <c r="AG906" s="33" t="n">
        <v>0</v>
      </c>
      <c r="AH906" s="4" t="n">
        <v>0</v>
      </c>
      <c r="AI906" s="34" t="n"/>
      <c r="AJ906" s="34" t="n">
        <v>0</v>
      </c>
      <c r="AK906" s="2" t="n">
        <v>0</v>
      </c>
      <c r="AL906" t="inlineStr">
        <is>
          <t>Published</t>
        </is>
      </c>
    </row>
    <row r="907">
      <c r="A907">
        <f>HYPERLINK("https://www.walmart.com/ip/1452831611", "1452831611")</f>
        <v/>
      </c>
      <c r="B907">
        <f>HYPERLINK("https://app.optiwise.ai/catalog/itemdetails/787778", "Tirrinia Men's Trout Ventilate Mesh Fish Embroidery Cap Fishing Hat Navy Blue")</f>
        <v/>
      </c>
      <c r="C907" t="inlineStr">
        <is>
          <t>1TRHT7180INFI-TBCB</t>
        </is>
      </c>
      <c r="D907" t="inlineStr">
        <is>
          <t>Clothing</t>
        </is>
      </c>
      <c r="E907" t="inlineStr">
        <is>
          <t>Hats</t>
        </is>
      </c>
      <c r="F907" t="inlineStr">
        <is>
          <t>Tirrinia</t>
        </is>
      </c>
      <c r="G907" t="n">
        <v>0</v>
      </c>
      <c r="H907" t="n">
        <v>0</v>
      </c>
      <c r="I907" t="inlineStr">
        <is>
          <t>Batch 1 - TR</t>
        </is>
      </c>
      <c r="J907" s="29" t="n">
        <v>0</v>
      </c>
      <c r="K907" s="30" t="n"/>
      <c r="L907" s="29" t="n">
        <v>0</v>
      </c>
      <c r="M907" s="29" t="n">
        <v>0</v>
      </c>
      <c r="N907" s="2" t="n">
        <v>0</v>
      </c>
      <c r="O907" s="31" t="n">
        <v>0</v>
      </c>
      <c r="P907" s="32" t="n"/>
      <c r="Q907" s="32" t="n">
        <v>0</v>
      </c>
      <c r="R907" s="32" t="n">
        <v>0</v>
      </c>
      <c r="S907" s="31" t="n">
        <v>0</v>
      </c>
      <c r="T907" s="32" t="n">
        <v>0</v>
      </c>
      <c r="U907" s="31" t="n">
        <v>0</v>
      </c>
      <c r="V907" s="31" t="n">
        <v>0</v>
      </c>
      <c r="W907" s="3" t="n">
        <v>0</v>
      </c>
      <c r="X907" s="3" t="n">
        <v>0</v>
      </c>
      <c r="Y907" s="32" t="n">
        <v>0</v>
      </c>
      <c r="Z907" s="3" t="n">
        <v>0</v>
      </c>
      <c r="AA907" s="32" t="n">
        <v>0</v>
      </c>
      <c r="AB907" s="3" t="n"/>
      <c r="AC907" s="31" t="n">
        <v>0</v>
      </c>
      <c r="AD907" s="2" t="n">
        <v>0</v>
      </c>
      <c r="AE907" s="2" t="n">
        <v>17</v>
      </c>
      <c r="AF907" s="4" t="n">
        <v>17</v>
      </c>
      <c r="AG907" s="33" t="n">
        <v>0</v>
      </c>
      <c r="AH907" s="4" t="n">
        <v>0</v>
      </c>
      <c r="AI907" s="34" t="n"/>
      <c r="AJ907" s="34" t="n">
        <v>0</v>
      </c>
      <c r="AK907" s="2" t="n">
        <v>0</v>
      </c>
      <c r="AL907" t="inlineStr">
        <is>
          <t>Published</t>
        </is>
      </c>
    </row>
    <row r="908">
      <c r="A908">
        <f>HYPERLINK("https://www.walmart.com/ip/1369865038", "1369865038")</f>
        <v/>
      </c>
      <c r="B908">
        <f>HYPERLINK("https://app.optiwise.ai/catalog/itemdetails/787779", "12 Pack Women's Sun Hat Reversible Bucket Cap UPF 50+ Travel Beach Hat, Hawaii Flower Print Blue Pattern")</f>
        <v/>
      </c>
      <c r="C908" t="inlineStr">
        <is>
          <t>KC-S9200FLW-BL-12pcs</t>
        </is>
      </c>
      <c r="D908" t="inlineStr">
        <is>
          <t>Clothing</t>
        </is>
      </c>
      <c r="E908" t="inlineStr">
        <is>
          <t>Hats</t>
        </is>
      </c>
      <c r="F908" t="inlineStr">
        <is>
          <t>Sun Blocker</t>
        </is>
      </c>
      <c r="G908" t="n">
        <v>0</v>
      </c>
      <c r="H908" t="n">
        <v>0</v>
      </c>
      <c r="I908" t="inlineStr">
        <is>
          <t>Batch 1 - TR</t>
        </is>
      </c>
      <c r="J908" s="29" t="n">
        <v>0</v>
      </c>
      <c r="K908" s="30" t="n"/>
      <c r="L908" s="29" t="n">
        <v>0</v>
      </c>
      <c r="M908" s="29" t="n">
        <v>0</v>
      </c>
      <c r="N908" s="2" t="n">
        <v>0</v>
      </c>
      <c r="O908" s="31" t="n">
        <v>0</v>
      </c>
      <c r="P908" s="32" t="n"/>
      <c r="Q908" s="32" t="n">
        <v>0</v>
      </c>
      <c r="R908" s="32" t="n">
        <v>0</v>
      </c>
      <c r="S908" s="31" t="n">
        <v>0</v>
      </c>
      <c r="T908" s="32" t="n">
        <v>0</v>
      </c>
      <c r="U908" s="31" t="n">
        <v>0</v>
      </c>
      <c r="V908" s="31" t="n">
        <v>0</v>
      </c>
      <c r="W908" s="3" t="n">
        <v>0</v>
      </c>
      <c r="X908" s="3" t="n">
        <v>0</v>
      </c>
      <c r="Y908" s="32" t="n">
        <v>0</v>
      </c>
      <c r="Z908" s="3" t="n">
        <v>0</v>
      </c>
      <c r="AA908" s="32" t="n">
        <v>0</v>
      </c>
      <c r="AB908" s="3" t="n"/>
      <c r="AC908" s="31" t="n">
        <v>0</v>
      </c>
      <c r="AD908" s="2" t="n">
        <v>0</v>
      </c>
      <c r="AE908" s="2" t="n">
        <v>2</v>
      </c>
      <c r="AF908" s="4" t="n">
        <v>2</v>
      </c>
      <c r="AG908" s="33" t="n">
        <v>0</v>
      </c>
      <c r="AH908" s="4" t="n">
        <v>0</v>
      </c>
      <c r="AI908" s="34" t="n"/>
      <c r="AJ908" s="34" t="n">
        <v>0</v>
      </c>
      <c r="AK908" s="2" t="n">
        <v>0</v>
      </c>
      <c r="AL908" t="inlineStr">
        <is>
          <t>Published</t>
        </is>
      </c>
    </row>
    <row r="909">
      <c r="A909">
        <f>HYPERLINK("https://www.walmart.com/ip/671813265", "671813265")</f>
        <v/>
      </c>
      <c r="B909">
        <f>HYPERLINK("https://app.optiwise.ai/catalog/itemdetails/419706", "Microplush Sherpa Blanket with Sleeves for Women and Men")</f>
        <v/>
      </c>
      <c r="C909" t="inlineStr">
        <is>
          <t>1TNSN110P2GN-TPB</t>
        </is>
      </c>
      <c r="D909" t="inlineStr">
        <is>
          <t>Bedding</t>
        </is>
      </c>
      <c r="E909" t="inlineStr">
        <is>
          <t>Throws</t>
        </is>
      </c>
      <c r="F909" t="inlineStr">
        <is>
          <t>Terrania</t>
        </is>
      </c>
      <c r="G909" t="n">
        <v>0</v>
      </c>
      <c r="H909" t="n">
        <v>0</v>
      </c>
      <c r="I909" t="inlineStr">
        <is>
          <t>Optimized,ST Patrick Day</t>
        </is>
      </c>
      <c r="J909" s="29" t="n">
        <v>0</v>
      </c>
      <c r="K909" s="30" t="n"/>
      <c r="L909" s="29" t="n">
        <v>0</v>
      </c>
      <c r="M909" s="29" t="n">
        <v>0</v>
      </c>
      <c r="N909" s="2" t="n">
        <v>0</v>
      </c>
      <c r="O909" s="31" t="n">
        <v>0</v>
      </c>
      <c r="P909" s="32" t="n"/>
      <c r="Q909" s="32" t="n">
        <v>0</v>
      </c>
      <c r="R909" s="32" t="n">
        <v>0</v>
      </c>
      <c r="S909" s="31" t="n">
        <v>0</v>
      </c>
      <c r="T909" s="32" t="n">
        <v>0</v>
      </c>
      <c r="U909" s="31" t="n">
        <v>0</v>
      </c>
      <c r="V909" s="31" t="n">
        <v>0</v>
      </c>
      <c r="W909" s="3" t="n">
        <v>0</v>
      </c>
      <c r="X909" s="3" t="n">
        <v>0</v>
      </c>
      <c r="Y909" s="32" t="n">
        <v>0</v>
      </c>
      <c r="Z909" s="3" t="n">
        <v>0</v>
      </c>
      <c r="AA909" s="32" t="n">
        <v>0</v>
      </c>
      <c r="AB909" s="3" t="n"/>
      <c r="AC909" s="31" t="n">
        <v>0</v>
      </c>
      <c r="AD909" s="2" t="n">
        <v>0</v>
      </c>
      <c r="AE909" s="2" t="n">
        <v>3</v>
      </c>
      <c r="AF909" s="4" t="n">
        <v>3</v>
      </c>
      <c r="AG909" s="33" t="n">
        <v>0</v>
      </c>
      <c r="AH909" s="4" t="n">
        <v>0</v>
      </c>
      <c r="AI909" s="34" t="n"/>
      <c r="AJ909" s="34" t="n">
        <v>0</v>
      </c>
      <c r="AK909" s="2" t="n">
        <v>0</v>
      </c>
      <c r="AL909" t="inlineStr">
        <is>
          <t>Published</t>
        </is>
      </c>
    </row>
    <row r="910">
      <c r="A910">
        <f>HYPERLINK("https://www.walmart.com/ip/818741888", "818741888")</f>
        <v/>
      </c>
      <c r="B910">
        <f>HYPERLINK("https://app.optiwise.ai/catalog/itemdetails/409182", "Catalonia Women’s Sherpa Hoodie Sweatshirt Dress, Casual Snuggle Wearable Blanket Pullover Sweater with Kangaroo Pocket, Warm and Soft, Gift for Her, Pink")</f>
        <v/>
      </c>
      <c r="C910" t="inlineStr">
        <is>
          <t>1CTHD532PK</t>
        </is>
      </c>
      <c r="D910" t="inlineStr">
        <is>
          <t>Clothing</t>
        </is>
      </c>
      <c r="E910" t="inlineStr">
        <is>
          <t>Sweatshirts &amp; Hoodies</t>
        </is>
      </c>
      <c r="F910" t="inlineStr">
        <is>
          <t>Catalonia</t>
        </is>
      </c>
      <c r="G910" t="n">
        <v>0</v>
      </c>
      <c r="H910" t="n">
        <v>0</v>
      </c>
      <c r="I910" t="inlineStr">
        <is>
          <t>Hoodie ForAdult,Optimized</t>
        </is>
      </c>
      <c r="J910" s="29" t="n">
        <v>0</v>
      </c>
      <c r="K910" s="30" t="n"/>
      <c r="L910" s="29" t="n">
        <v>0</v>
      </c>
      <c r="M910" s="29" t="n">
        <v>0</v>
      </c>
      <c r="N910" s="2" t="n">
        <v>0</v>
      </c>
      <c r="O910" s="31" t="n">
        <v>0</v>
      </c>
      <c r="P910" s="32" t="n"/>
      <c r="Q910" s="32" t="n">
        <v>0</v>
      </c>
      <c r="R910" s="32" t="n">
        <v>0</v>
      </c>
      <c r="S910" s="31" t="n">
        <v>0</v>
      </c>
      <c r="T910" s="32" t="n">
        <v>0</v>
      </c>
      <c r="U910" s="31" t="n">
        <v>0</v>
      </c>
      <c r="V910" s="31" t="n">
        <v>0</v>
      </c>
      <c r="W910" s="3" t="n">
        <v>0</v>
      </c>
      <c r="X910" s="3" t="n">
        <v>0</v>
      </c>
      <c r="Y910" s="32" t="n">
        <v>0</v>
      </c>
      <c r="Z910" s="3" t="n">
        <v>0</v>
      </c>
      <c r="AA910" s="32" t="n">
        <v>0</v>
      </c>
      <c r="AB910" s="3" t="n"/>
      <c r="AC910" s="31" t="n">
        <v>0</v>
      </c>
      <c r="AD910" s="2" t="n">
        <v>0</v>
      </c>
      <c r="AE910" s="2" t="n">
        <v>3</v>
      </c>
      <c r="AF910" s="4" t="n">
        <v>3</v>
      </c>
      <c r="AG910" s="33" t="n">
        <v>0</v>
      </c>
      <c r="AH910" s="4" t="n">
        <v>0</v>
      </c>
      <c r="AI910" s="34" t="n"/>
      <c r="AJ910" s="34" t="n">
        <v>0</v>
      </c>
      <c r="AK910" s="2" t="n">
        <v>0</v>
      </c>
      <c r="AL910" t="inlineStr">
        <is>
          <t>Published</t>
        </is>
      </c>
    </row>
    <row r="911">
      <c r="A911">
        <f>HYPERLINK("https://www.walmart.com/ip/1016893576", "1016893576")</f>
        <v/>
      </c>
      <c r="B911">
        <f>HYPERLINK("https://app.optiwise.ai/catalog/itemdetails/790618", "Child Cotton Hooded Poncho Towels Surfer Cartoon Changing Robe Swimmer Outdoor Beach 23” x 52” By Tirrinia")</f>
        <v/>
      </c>
      <c r="C911" t="inlineStr">
        <is>
          <t>1TRBR200-Princess</t>
        </is>
      </c>
      <c r="D911" t="inlineStr">
        <is>
          <t>Clothing</t>
        </is>
      </c>
      <c r="E911" t="inlineStr">
        <is>
          <t>Towels &amp; Washcloths</t>
        </is>
      </c>
      <c r="F911" t="inlineStr">
        <is>
          <t>Tirrinia</t>
        </is>
      </c>
      <c r="G911" t="n">
        <v>4.6</v>
      </c>
      <c r="H911" t="n">
        <v>12</v>
      </c>
      <c r="I911" t="inlineStr">
        <is>
          <t>Beach Robe Camp,Batch 1 - TR</t>
        </is>
      </c>
      <c r="J911" s="29" t="n">
        <v>0</v>
      </c>
      <c r="K911" s="30" t="n"/>
      <c r="L911" s="29" t="n">
        <v>0</v>
      </c>
      <c r="M911" s="29" t="n">
        <v>0</v>
      </c>
      <c r="N911" s="2" t="n">
        <v>0</v>
      </c>
      <c r="O911" s="31" t="n">
        <v>0</v>
      </c>
      <c r="P911" s="32" t="n"/>
      <c r="Q911" s="32" t="n">
        <v>0</v>
      </c>
      <c r="R911" s="32" t="n">
        <v>0</v>
      </c>
      <c r="S911" s="31" t="n">
        <v>0</v>
      </c>
      <c r="T911" s="32" t="n">
        <v>0</v>
      </c>
      <c r="U911" s="31" t="n">
        <v>0</v>
      </c>
      <c r="V911" s="31" t="n">
        <v>0</v>
      </c>
      <c r="W911" s="3" t="n">
        <v>0</v>
      </c>
      <c r="X911" s="3" t="n">
        <v>0</v>
      </c>
      <c r="Y911" s="32" t="n">
        <v>0</v>
      </c>
      <c r="Z911" s="3" t="n">
        <v>0</v>
      </c>
      <c r="AA911" s="32" t="n">
        <v>0</v>
      </c>
      <c r="AB911" s="3" t="n"/>
      <c r="AC911" s="31" t="n">
        <v>0</v>
      </c>
      <c r="AD911" s="2" t="n">
        <v>0</v>
      </c>
      <c r="AE911" s="2" t="n">
        <v>33</v>
      </c>
      <c r="AF911" s="4" t="n">
        <v>33</v>
      </c>
      <c r="AG911" s="33" t="n">
        <v>0</v>
      </c>
      <c r="AH911" s="4" t="n">
        <v>0</v>
      </c>
      <c r="AI911" s="34" t="n"/>
      <c r="AJ911" s="34" t="n">
        <v>0</v>
      </c>
      <c r="AK911" s="2" t="n">
        <v>0</v>
      </c>
      <c r="AL911" t="inlineStr">
        <is>
          <t>Published</t>
        </is>
      </c>
    </row>
    <row r="912">
      <c r="A912">
        <f>HYPERLINK("https://www.walmart.com/ip/1550368797", "1550368797")</f>
        <v/>
      </c>
      <c r="B912">
        <f>HYPERLINK("https://app.optiwise.ai/catalog/itemdetails/790619", "12 Pack Sun Blocker Women's Hawaiian Floral Sun Hat Outdoor Travel Bucket Cap, Hawaii Flower Print Green Pattern")</f>
        <v/>
      </c>
      <c r="C912" t="inlineStr">
        <is>
          <t>KC-S9200FLW-GR-12pcs</t>
        </is>
      </c>
      <c r="D912" t="inlineStr">
        <is>
          <t>Clothing</t>
        </is>
      </c>
      <c r="E912" t="inlineStr">
        <is>
          <t>Hats</t>
        </is>
      </c>
      <c r="F912" t="inlineStr">
        <is>
          <t>Sun Blocker</t>
        </is>
      </c>
      <c r="G912" t="n">
        <v>5</v>
      </c>
      <c r="H912" t="n">
        <v>7</v>
      </c>
      <c r="I912" t="inlineStr">
        <is>
          <t>Batch 1 - TR</t>
        </is>
      </c>
      <c r="J912" s="29" t="n">
        <v>0</v>
      </c>
      <c r="K912" s="30" t="n"/>
      <c r="L912" s="29" t="n">
        <v>0</v>
      </c>
      <c r="M912" s="29" t="n">
        <v>0</v>
      </c>
      <c r="N912" s="2" t="n">
        <v>0</v>
      </c>
      <c r="O912" s="31" t="n">
        <v>0</v>
      </c>
      <c r="P912" s="32" t="n"/>
      <c r="Q912" s="32" t="n">
        <v>0</v>
      </c>
      <c r="R912" s="32" t="n">
        <v>0</v>
      </c>
      <c r="S912" s="31" t="n">
        <v>0</v>
      </c>
      <c r="T912" s="32" t="n">
        <v>0</v>
      </c>
      <c r="U912" s="31" t="n">
        <v>0</v>
      </c>
      <c r="V912" s="31" t="n">
        <v>0</v>
      </c>
      <c r="W912" s="3" t="n">
        <v>0</v>
      </c>
      <c r="X912" s="3" t="n">
        <v>0</v>
      </c>
      <c r="Y912" s="32" t="n">
        <v>0</v>
      </c>
      <c r="Z912" s="3" t="n">
        <v>0</v>
      </c>
      <c r="AA912" s="32" t="n">
        <v>0</v>
      </c>
      <c r="AB912" s="3" t="n"/>
      <c r="AC912" s="31" t="n">
        <v>0</v>
      </c>
      <c r="AD912" s="2" t="n">
        <v>0</v>
      </c>
      <c r="AE912" s="2" t="n">
        <v>6</v>
      </c>
      <c r="AF912" s="4" t="n">
        <v>6</v>
      </c>
      <c r="AG912" s="33" t="n">
        <v>0</v>
      </c>
      <c r="AH912" s="4" t="n">
        <v>0</v>
      </c>
      <c r="AI912" s="34" t="n"/>
      <c r="AJ912" s="34" t="n">
        <v>0</v>
      </c>
      <c r="AK912" s="2" t="n">
        <v>0</v>
      </c>
      <c r="AL912" t="inlineStr">
        <is>
          <t>Published</t>
        </is>
      </c>
    </row>
    <row r="913">
      <c r="A913">
        <f>HYPERLINK("https://www.walmart.com/ip/1478976346", "1478976346")</f>
        <v/>
      </c>
      <c r="B913">
        <f>HYPERLINK("https://app.optiwise.ai/catalog/itemdetails/792753", "Sun Visor Sports Cotton Twill Plain Hat with Adjustable Strap for Men Women Outdoor Golf Tennis Running Jogging Hiking")</f>
        <v/>
      </c>
      <c r="C913" t="inlineStr">
        <is>
          <t>1SLVS4130DKGN - 12pcs</t>
        </is>
      </c>
      <c r="D913" t="inlineStr">
        <is>
          <t>Sport &amp; Recreation Other</t>
        </is>
      </c>
      <c r="E913" t="inlineStr">
        <is>
          <t>Tennis Visors</t>
        </is>
      </c>
      <c r="F913" t="inlineStr">
        <is>
          <t>Solaris</t>
        </is>
      </c>
      <c r="G913" t="n">
        <v>0</v>
      </c>
      <c r="H913" t="n">
        <v>0</v>
      </c>
      <c r="I913" t="inlineStr">
        <is>
          <t>Batch 1 - TR</t>
        </is>
      </c>
      <c r="J913" s="29" t="n">
        <v>0</v>
      </c>
      <c r="K913" s="30" t="n"/>
      <c r="L913" s="29" t="n">
        <v>0</v>
      </c>
      <c r="M913" s="29" t="n">
        <v>0</v>
      </c>
      <c r="N913" s="2" t="n">
        <v>0</v>
      </c>
      <c r="O913" s="31" t="n">
        <v>0</v>
      </c>
      <c r="P913" s="32" t="n"/>
      <c r="Q913" s="32" t="n">
        <v>0</v>
      </c>
      <c r="R913" s="32" t="n">
        <v>0</v>
      </c>
      <c r="S913" s="31" t="n">
        <v>0</v>
      </c>
      <c r="T913" s="32" t="n">
        <v>0</v>
      </c>
      <c r="U913" s="31" t="n">
        <v>0</v>
      </c>
      <c r="V913" s="31" t="n">
        <v>0</v>
      </c>
      <c r="W913" s="3" t="n">
        <v>0</v>
      </c>
      <c r="X913" s="3" t="n">
        <v>0</v>
      </c>
      <c r="Y913" s="32" t="n">
        <v>0</v>
      </c>
      <c r="Z913" s="3" t="n">
        <v>0</v>
      </c>
      <c r="AA913" s="32" t="n">
        <v>0</v>
      </c>
      <c r="AB913" s="3" t="n"/>
      <c r="AC913" s="31" t="n">
        <v>0</v>
      </c>
      <c r="AD913" s="2" t="n">
        <v>0</v>
      </c>
      <c r="AE913" s="2" t="n">
        <v>2</v>
      </c>
      <c r="AF913" s="4" t="n">
        <v>2</v>
      </c>
      <c r="AG913" s="33" t="n">
        <v>0</v>
      </c>
      <c r="AH913" s="4" t="n">
        <v>0</v>
      </c>
      <c r="AI913" s="34" t="n"/>
      <c r="AJ913" s="34" t="n">
        <v>0</v>
      </c>
      <c r="AK913" s="2" t="n">
        <v>0</v>
      </c>
      <c r="AL913" t="inlineStr">
        <is>
          <t>Published</t>
        </is>
      </c>
    </row>
    <row r="914">
      <c r="A914">
        <f>HYPERLINK("https://www.walmart.com/ip/1272875640", "1272875640")</f>
        <v/>
      </c>
      <c r="B914">
        <f>HYPERLINK("https://app.optiwise.ai/catalog/itemdetails/792754", "Tirrinia Neon Hunting Orange Safety Cap Closure")</f>
        <v/>
      </c>
      <c r="C914" t="inlineStr">
        <is>
          <t>1TRHT7121BK-12pcs</t>
        </is>
      </c>
      <c r="D914" t="inlineStr">
        <is>
          <t>Clothing</t>
        </is>
      </c>
      <c r="E914" t="inlineStr">
        <is>
          <t>Hats</t>
        </is>
      </c>
      <c r="F914" t="inlineStr">
        <is>
          <t>Tirrinia</t>
        </is>
      </c>
      <c r="G914" t="n">
        <v>0</v>
      </c>
      <c r="H914" t="n">
        <v>0</v>
      </c>
      <c r="I914" t="inlineStr">
        <is>
          <t>Batch 1 - TR</t>
        </is>
      </c>
      <c r="J914" s="29" t="n">
        <v>0</v>
      </c>
      <c r="K914" s="30" t="n"/>
      <c r="L914" s="29" t="n">
        <v>0</v>
      </c>
      <c r="M914" s="29" t="n">
        <v>0</v>
      </c>
      <c r="N914" s="2" t="n">
        <v>0</v>
      </c>
      <c r="O914" s="31" t="n">
        <v>0</v>
      </c>
      <c r="P914" s="32" t="n"/>
      <c r="Q914" s="32" t="n">
        <v>0</v>
      </c>
      <c r="R914" s="32" t="n">
        <v>0</v>
      </c>
      <c r="S914" s="31" t="n">
        <v>0</v>
      </c>
      <c r="T914" s="32" t="n">
        <v>0</v>
      </c>
      <c r="U914" s="31" t="n">
        <v>0</v>
      </c>
      <c r="V914" s="31" t="n">
        <v>0</v>
      </c>
      <c r="W914" s="3" t="n">
        <v>0</v>
      </c>
      <c r="X914" s="3" t="n">
        <v>0</v>
      </c>
      <c r="Y914" s="32" t="n">
        <v>0</v>
      </c>
      <c r="Z914" s="3" t="n">
        <v>0</v>
      </c>
      <c r="AA914" s="32" t="n">
        <v>0</v>
      </c>
      <c r="AB914" s="3" t="n"/>
      <c r="AC914" s="31" t="n">
        <v>0</v>
      </c>
      <c r="AD914" s="2" t="n">
        <v>0</v>
      </c>
      <c r="AE914" s="2" t="n">
        <v>1</v>
      </c>
      <c r="AF914" s="4" t="n">
        <v>1</v>
      </c>
      <c r="AG914" s="33" t="n">
        <v>0</v>
      </c>
      <c r="AH914" s="4" t="n">
        <v>0</v>
      </c>
      <c r="AI914" s="34" t="n"/>
      <c r="AJ914" s="34" t="n">
        <v>0</v>
      </c>
      <c r="AK914" s="2" t="n">
        <v>0</v>
      </c>
      <c r="AL914" t="inlineStr">
        <is>
          <t>Published</t>
        </is>
      </c>
    </row>
    <row r="915">
      <c r="A915">
        <f>HYPERLINK("https://www.walmart.com/ip/1709435679", "1709435679")</f>
        <v/>
      </c>
      <c r="B915">
        <f>HYPERLINK("https://app.optiwise.ai/catalog/itemdetails/895801", "Deluxe Classic Suede Bill Baseball Cap with Leather Strap Closure")</f>
        <v/>
      </c>
      <c r="C915" t="inlineStr">
        <is>
          <t>KC-S6300-BK/BR-12pcs</t>
        </is>
      </c>
      <c r="D915" t="inlineStr">
        <is>
          <t>Clothing</t>
        </is>
      </c>
      <c r="E915" t="inlineStr">
        <is>
          <t>Hats</t>
        </is>
      </c>
      <c r="F915" t="inlineStr">
        <is>
          <t>KC Caps</t>
        </is>
      </c>
      <c r="G915" t="n">
        <v>0</v>
      </c>
      <c r="H915" t="n">
        <v>0</v>
      </c>
      <c r="I915" t="inlineStr">
        <is>
          <t>Batch 1 - TR</t>
        </is>
      </c>
      <c r="J915" s="29" t="n">
        <v>0</v>
      </c>
      <c r="K915" s="30" t="n"/>
      <c r="L915" s="29" t="n">
        <v>0</v>
      </c>
      <c r="M915" s="29" t="n">
        <v>0</v>
      </c>
      <c r="N915" s="2" t="n">
        <v>0</v>
      </c>
      <c r="O915" s="31" t="n">
        <v>0</v>
      </c>
      <c r="P915" s="32" t="n"/>
      <c r="Q915" s="32" t="n">
        <v>0</v>
      </c>
      <c r="R915" s="32" t="n">
        <v>0</v>
      </c>
      <c r="S915" s="31" t="n">
        <v>0</v>
      </c>
      <c r="T915" s="32" t="n">
        <v>0</v>
      </c>
      <c r="U915" s="31" t="n">
        <v>0</v>
      </c>
      <c r="V915" s="31" t="n">
        <v>0</v>
      </c>
      <c r="W915" s="3" t="n">
        <v>0</v>
      </c>
      <c r="X915" s="3" t="n">
        <v>0</v>
      </c>
      <c r="Y915" s="32" t="n">
        <v>0</v>
      </c>
      <c r="Z915" s="3" t="n">
        <v>0</v>
      </c>
      <c r="AA915" s="32" t="n">
        <v>0</v>
      </c>
      <c r="AB915" s="3" t="n"/>
      <c r="AC915" s="31" t="n">
        <v>0</v>
      </c>
      <c r="AD915" s="2" t="n">
        <v>0</v>
      </c>
      <c r="AE915" s="2" t="n">
        <v>4</v>
      </c>
      <c r="AF915" s="4" t="n">
        <v>4</v>
      </c>
      <c r="AG915" s="33" t="n">
        <v>0</v>
      </c>
      <c r="AH915" s="4" t="n">
        <v>0</v>
      </c>
      <c r="AI915" s="34" t="n"/>
      <c r="AJ915" s="34" t="n">
        <v>0</v>
      </c>
      <c r="AK915" s="2" t="n">
        <v>0</v>
      </c>
      <c r="AL915" t="inlineStr">
        <is>
          <t>Published</t>
        </is>
      </c>
    </row>
    <row r="916">
      <c r="A916">
        <f>HYPERLINK("https://www.walmart.com/ip/1816502463", "1816502463")</f>
        <v/>
      </c>
      <c r="B916">
        <f>HYPERLINK("https://app.optiwise.ai/catalog/itemdetails/787772", "12 Pack Sun Blocker Women's Sun Hat Reversible Bucket Cap UPF 50+ Travel Beach Hat, Hawaii Flower Print Pink Pattern")</f>
        <v/>
      </c>
      <c r="C916" t="inlineStr">
        <is>
          <t>KC-S9200FLW-PK-12pcs</t>
        </is>
      </c>
      <c r="D916" t="inlineStr">
        <is>
          <t>Clothing</t>
        </is>
      </c>
      <c r="E916" t="inlineStr">
        <is>
          <t>Hats</t>
        </is>
      </c>
      <c r="F916" t="inlineStr">
        <is>
          <t>Sun Blocker</t>
        </is>
      </c>
      <c r="G916" t="n">
        <v>0</v>
      </c>
      <c r="H916" t="n">
        <v>0</v>
      </c>
      <c r="I916" t="inlineStr">
        <is>
          <t>Batch 1 - TR</t>
        </is>
      </c>
      <c r="J916" s="29" t="n">
        <v>0</v>
      </c>
      <c r="K916" s="30" t="n"/>
      <c r="L916" s="29" t="n">
        <v>0</v>
      </c>
      <c r="M916" s="29" t="n">
        <v>0</v>
      </c>
      <c r="N916" s="2" t="n">
        <v>0</v>
      </c>
      <c r="O916" s="31" t="n">
        <v>0</v>
      </c>
      <c r="P916" s="32" t="n"/>
      <c r="Q916" s="32" t="n">
        <v>0</v>
      </c>
      <c r="R916" s="32" t="n">
        <v>0</v>
      </c>
      <c r="S916" s="31" t="n">
        <v>0</v>
      </c>
      <c r="T916" s="32" t="n">
        <v>0</v>
      </c>
      <c r="U916" s="31" t="n">
        <v>0</v>
      </c>
      <c r="V916" s="31" t="n">
        <v>0</v>
      </c>
      <c r="W916" s="3" t="n">
        <v>0</v>
      </c>
      <c r="X916" s="3" t="n">
        <v>0</v>
      </c>
      <c r="Y916" s="32" t="n">
        <v>0</v>
      </c>
      <c r="Z916" s="3" t="n">
        <v>0</v>
      </c>
      <c r="AA916" s="32" t="n">
        <v>0</v>
      </c>
      <c r="AB916" s="3" t="n"/>
      <c r="AC916" s="31" t="n">
        <v>0</v>
      </c>
      <c r="AD916" s="2" t="n">
        <v>0</v>
      </c>
      <c r="AE916" s="2" t="n">
        <v>2</v>
      </c>
      <c r="AF916" s="4" t="n">
        <v>2</v>
      </c>
      <c r="AG916" s="33" t="n">
        <v>0</v>
      </c>
      <c r="AH916" s="4" t="n">
        <v>0</v>
      </c>
      <c r="AI916" s="34" t="n"/>
      <c r="AJ916" s="34" t="n">
        <v>0</v>
      </c>
      <c r="AK916" s="2" t="n">
        <v>0</v>
      </c>
      <c r="AL916" t="inlineStr">
        <is>
          <t>Published</t>
        </is>
      </c>
    </row>
    <row r="917">
      <c r="A917">
        <f>HYPERLINK("https://www.walmart.com/ip/223541821", "223541821")</f>
        <v/>
      </c>
      <c r="B917">
        <f>HYPERLINK("https://app.optiwise.ai/catalog/itemdetails/419705", "Tirrinia Microplush Sherpa Blanket with Sleeves for Women and Men, 3.19 lb, Breathable, Purple")</f>
        <v/>
      </c>
      <c r="C917" t="inlineStr">
        <is>
          <t>1TRSN110PP-TBCB</t>
        </is>
      </c>
      <c r="D917" t="inlineStr">
        <is>
          <t>Home Decor, Kitchen, &amp; Other</t>
        </is>
      </c>
      <c r="E917" t="inlineStr">
        <is>
          <t>Throws</t>
        </is>
      </c>
      <c r="F917" t="inlineStr">
        <is>
          <t>Tirrinia</t>
        </is>
      </c>
      <c r="G917" t="n">
        <v>0</v>
      </c>
      <c r="H917" t="n">
        <v>0</v>
      </c>
      <c r="I917" t="inlineStr">
        <is>
          <t>Optimized</t>
        </is>
      </c>
      <c r="J917" s="29" t="n">
        <v>0</v>
      </c>
      <c r="K917" s="30" t="n"/>
      <c r="L917" s="29" t="n">
        <v>0</v>
      </c>
      <c r="M917" s="29" t="n">
        <v>0</v>
      </c>
      <c r="N917" s="2" t="n">
        <v>0</v>
      </c>
      <c r="O917" s="31" t="n">
        <v>0</v>
      </c>
      <c r="P917" s="32" t="n"/>
      <c r="Q917" s="32" t="n">
        <v>0</v>
      </c>
      <c r="R917" s="32" t="n">
        <v>0</v>
      </c>
      <c r="S917" s="31" t="n">
        <v>0</v>
      </c>
      <c r="T917" s="32" t="n">
        <v>0</v>
      </c>
      <c r="U917" s="31" t="n">
        <v>0</v>
      </c>
      <c r="V917" s="31" t="n">
        <v>0</v>
      </c>
      <c r="W917" s="3" t="n">
        <v>0</v>
      </c>
      <c r="X917" s="3" t="n">
        <v>0</v>
      </c>
      <c r="Y917" s="32" t="n">
        <v>0</v>
      </c>
      <c r="Z917" s="3" t="n">
        <v>0</v>
      </c>
      <c r="AA917" s="32" t="n">
        <v>0</v>
      </c>
      <c r="AB917" s="3" t="n"/>
      <c r="AC917" s="31" t="n">
        <v>0</v>
      </c>
      <c r="AD917" s="2" t="n">
        <v>0</v>
      </c>
      <c r="AE917" s="2" t="n">
        <v>17</v>
      </c>
      <c r="AF917" s="4" t="n">
        <v>17</v>
      </c>
      <c r="AG917" s="33" t="n">
        <v>0</v>
      </c>
      <c r="AH917" s="4" t="n">
        <v>0</v>
      </c>
      <c r="AI917" s="34" t="n"/>
      <c r="AJ917" s="34" t="n">
        <v>0</v>
      </c>
      <c r="AK917" s="2" t="n">
        <v>0</v>
      </c>
      <c r="AL917" t="inlineStr">
        <is>
          <t>Published</t>
        </is>
      </c>
    </row>
    <row r="918">
      <c r="A918">
        <f>HYPERLINK("https://www.walmart.com/ip/1343187643", "1343187643")</f>
        <v/>
      </c>
      <c r="B918">
        <f>HYPERLINK("https://app.optiwise.ai/catalog/itemdetails/898534", "Deluxe Classic Suede Bill Baseball Cap with Leather Strap Closure")</f>
        <v/>
      </c>
      <c r="C918" t="inlineStr">
        <is>
          <t>KC-S6300-BK/SI-12pcs</t>
        </is>
      </c>
      <c r="D918" t="inlineStr">
        <is>
          <t>Clothing</t>
        </is>
      </c>
      <c r="E918" t="inlineStr">
        <is>
          <t>Hats</t>
        </is>
      </c>
      <c r="F918" t="inlineStr">
        <is>
          <t>KC Caps</t>
        </is>
      </c>
      <c r="G918" t="n">
        <v>0</v>
      </c>
      <c r="H918" t="n">
        <v>0</v>
      </c>
      <c r="I918" t="inlineStr">
        <is>
          <t>Batch 1 - TR</t>
        </is>
      </c>
      <c r="J918" s="29" t="n">
        <v>0</v>
      </c>
      <c r="K918" s="30" t="n"/>
      <c r="L918" s="29" t="n">
        <v>0</v>
      </c>
      <c r="M918" s="29" t="n">
        <v>0</v>
      </c>
      <c r="N918" s="2" t="n">
        <v>0</v>
      </c>
      <c r="O918" s="31" t="n">
        <v>0</v>
      </c>
      <c r="P918" s="32" t="n"/>
      <c r="Q918" s="32" t="n">
        <v>0</v>
      </c>
      <c r="R918" s="32" t="n">
        <v>0</v>
      </c>
      <c r="S918" s="31" t="n">
        <v>0</v>
      </c>
      <c r="T918" s="32" t="n">
        <v>0</v>
      </c>
      <c r="U918" s="31" t="n">
        <v>0</v>
      </c>
      <c r="V918" s="31" t="n">
        <v>0</v>
      </c>
      <c r="W918" s="3" t="n">
        <v>0</v>
      </c>
      <c r="X918" s="3" t="n">
        <v>0</v>
      </c>
      <c r="Y918" s="32" t="n">
        <v>0</v>
      </c>
      <c r="Z918" s="3" t="n">
        <v>0</v>
      </c>
      <c r="AA918" s="32" t="n">
        <v>0</v>
      </c>
      <c r="AB918" s="3" t="n"/>
      <c r="AC918" s="31" t="n">
        <v>0</v>
      </c>
      <c r="AD918" s="2" t="n">
        <v>0</v>
      </c>
      <c r="AE918" s="2" t="n">
        <v>6</v>
      </c>
      <c r="AF918" s="4" t="n">
        <v>6</v>
      </c>
      <c r="AG918" s="33" t="n">
        <v>0</v>
      </c>
      <c r="AH918" s="4" t="n">
        <v>0</v>
      </c>
      <c r="AI918" s="34" t="n"/>
      <c r="AJ918" s="34" t="n">
        <v>0</v>
      </c>
      <c r="AK918" s="2" t="n">
        <v>0</v>
      </c>
      <c r="AL918" t="inlineStr">
        <is>
          <t>Published</t>
        </is>
      </c>
    </row>
    <row r="919">
      <c r="A919">
        <f>HYPERLINK("https://www.walmart.com/ip/477205295", "477205295")</f>
        <v/>
      </c>
      <c r="B919">
        <f>HYPERLINK("https://app.optiwise.ai/catalog/itemdetails/899849", "Catalonia Patriotic US Flag Blanket,American National Flag Print Cable Knit Throws,4th of July Citizenship Veteran Labor Day Gift, 50x60")</f>
        <v/>
      </c>
      <c r="C919" t="inlineStr">
        <is>
          <t>1CTBN506-USA</t>
        </is>
      </c>
      <c r="D919" t="inlineStr">
        <is>
          <t>Bedding</t>
        </is>
      </c>
      <c r="E919" t="inlineStr">
        <is>
          <t>Throws</t>
        </is>
      </c>
      <c r="F919" t="inlineStr">
        <is>
          <t>Catalonia</t>
        </is>
      </c>
      <c r="G919" t="n">
        <v>0</v>
      </c>
      <c r="H919" t="n">
        <v>0</v>
      </c>
      <c r="I919" t="inlineStr">
        <is>
          <t>Batch 1 - TR</t>
        </is>
      </c>
      <c r="J919" s="29" t="n">
        <v>0</v>
      </c>
      <c r="K919" s="30" t="n"/>
      <c r="L919" s="29" t="n">
        <v>0</v>
      </c>
      <c r="M919" s="29" t="n">
        <v>0</v>
      </c>
      <c r="N919" s="2" t="n">
        <v>0</v>
      </c>
      <c r="O919" s="31" t="n">
        <v>0</v>
      </c>
      <c r="P919" s="32" t="n"/>
      <c r="Q919" s="32" t="n">
        <v>0</v>
      </c>
      <c r="R919" s="32" t="n">
        <v>0</v>
      </c>
      <c r="S919" s="31" t="n">
        <v>0</v>
      </c>
      <c r="T919" s="32" t="n">
        <v>0</v>
      </c>
      <c r="U919" s="31" t="n">
        <v>0</v>
      </c>
      <c r="V919" s="31" t="n">
        <v>0</v>
      </c>
      <c r="W919" s="3" t="n">
        <v>0</v>
      </c>
      <c r="X919" s="3" t="n">
        <v>0</v>
      </c>
      <c r="Y919" s="32" t="n">
        <v>0</v>
      </c>
      <c r="Z919" s="3" t="n">
        <v>0</v>
      </c>
      <c r="AA919" s="32" t="n">
        <v>0</v>
      </c>
      <c r="AB919" s="3" t="n"/>
      <c r="AC919" s="31" t="n">
        <v>0</v>
      </c>
      <c r="AD919" s="2" t="n">
        <v>0</v>
      </c>
      <c r="AE919" s="2" t="n">
        <v>2</v>
      </c>
      <c r="AF919" s="4" t="n">
        <v>2</v>
      </c>
      <c r="AG919" s="33" t="n">
        <v>0</v>
      </c>
      <c r="AH919" s="4" t="n">
        <v>0</v>
      </c>
      <c r="AI919" s="34" t="n"/>
      <c r="AJ919" s="34" t="n">
        <v>0</v>
      </c>
      <c r="AK919" s="2" t="n">
        <v>0</v>
      </c>
      <c r="AL919" t="inlineStr">
        <is>
          <t>Published</t>
        </is>
      </c>
    </row>
    <row r="920">
      <c r="A920">
        <f>HYPERLINK("https://www.walmart.com/ip/1863233294", "1863233294")</f>
        <v/>
      </c>
      <c r="B920">
        <f>HYPERLINK("https://app.optiwise.ai/catalog/itemdetails/911869", "Tirrinia Bamboo Christmas Tree Wooden Wine Rack Countertop, 6 Bottle Wine Holder Rack for Dining Tables, Kitchens, and Cabinets, DIY Wine Bottle Holder, Wine Holder for Furniture Decoration")</f>
        <v/>
      </c>
      <c r="C920" t="inlineStr">
        <is>
          <t>1TRWR600</t>
        </is>
      </c>
      <c r="D920" t="inlineStr">
        <is>
          <t>Home Decor, Kitchen, &amp; Other</t>
        </is>
      </c>
      <c r="E920" t="inlineStr">
        <is>
          <t>Wine Racks</t>
        </is>
      </c>
      <c r="F920" t="inlineStr">
        <is>
          <t>Kato</t>
        </is>
      </c>
      <c r="G920" t="n">
        <v>4.7</v>
      </c>
      <c r="H920" t="n">
        <v>20</v>
      </c>
      <c r="I920" t="inlineStr">
        <is>
          <t>Wine,Batch 1 - TR</t>
        </is>
      </c>
      <c r="J920" s="29" t="n">
        <v>0</v>
      </c>
      <c r="K920" s="30" t="n"/>
      <c r="L920" s="29" t="n">
        <v>0</v>
      </c>
      <c r="M920" s="29" t="n">
        <v>0</v>
      </c>
      <c r="N920" s="2" t="n">
        <v>0</v>
      </c>
      <c r="O920" s="31" t="n">
        <v>0</v>
      </c>
      <c r="P920" s="32" t="n"/>
      <c r="Q920" s="32" t="n">
        <v>0</v>
      </c>
      <c r="R920" s="32" t="n">
        <v>0</v>
      </c>
      <c r="S920" s="31" t="n">
        <v>0</v>
      </c>
      <c r="T920" s="32" t="n">
        <v>0</v>
      </c>
      <c r="U920" s="31" t="n">
        <v>0</v>
      </c>
      <c r="V920" s="31" t="n">
        <v>0</v>
      </c>
      <c r="W920" s="3" t="n">
        <v>0</v>
      </c>
      <c r="X920" s="3" t="n">
        <v>0</v>
      </c>
      <c r="Y920" s="32" t="n">
        <v>0</v>
      </c>
      <c r="Z920" s="3" t="n">
        <v>0</v>
      </c>
      <c r="AA920" s="32" t="n">
        <v>0</v>
      </c>
      <c r="AB920" s="3" t="n"/>
      <c r="AC920" s="31" t="n">
        <v>0</v>
      </c>
      <c r="AD920" s="2" t="n">
        <v>0</v>
      </c>
      <c r="AE920" s="2" t="n">
        <v>45</v>
      </c>
      <c r="AF920" s="4" t="n">
        <v>45</v>
      </c>
      <c r="AG920" s="33" t="n">
        <v>0</v>
      </c>
      <c r="AH920" s="4" t="n">
        <v>0</v>
      </c>
      <c r="AI920" s="34" t="n"/>
      <c r="AJ920" s="34" t="n">
        <v>0</v>
      </c>
      <c r="AK920" s="2" t="n">
        <v>0</v>
      </c>
      <c r="AL920" t="inlineStr">
        <is>
          <t>Published</t>
        </is>
      </c>
    </row>
    <row r="921">
      <c r="A921">
        <f>HYPERLINK("https://www.walmart.com/ip/1208862801", "1208862801")</f>
        <v/>
      </c>
      <c r="B921">
        <f>HYPERLINK("https://app.optiwise.ai/catalog/itemdetails/911870", "Tirrinia Fleece Sherpa Throw Blanket 90 x 90 Reversible Fuzzy Micro Plush All Season TV Blanket for Bed or Couch")</f>
        <v/>
      </c>
      <c r="C921" t="inlineStr">
        <is>
          <t>1TRBF399XMAS</t>
        </is>
      </c>
      <c r="D921" t="inlineStr">
        <is>
          <t>Bedding</t>
        </is>
      </c>
      <c r="E921" t="inlineStr">
        <is>
          <t>Throws</t>
        </is>
      </c>
      <c r="F921" t="inlineStr">
        <is>
          <t>Tirrinia</t>
        </is>
      </c>
      <c r="G921" t="n">
        <v>0</v>
      </c>
      <c r="H921" t="n">
        <v>0</v>
      </c>
      <c r="I921" t="inlineStr">
        <is>
          <t>Batch 1 - TR</t>
        </is>
      </c>
      <c r="J921" s="29" t="n">
        <v>0</v>
      </c>
      <c r="K921" s="30" t="n"/>
      <c r="L921" s="29" t="n">
        <v>0</v>
      </c>
      <c r="M921" s="29" t="n">
        <v>0</v>
      </c>
      <c r="N921" s="2" t="n">
        <v>0</v>
      </c>
      <c r="O921" s="31" t="n">
        <v>0</v>
      </c>
      <c r="P921" s="32" t="n"/>
      <c r="Q921" s="32" t="n">
        <v>0</v>
      </c>
      <c r="R921" s="32" t="n">
        <v>0</v>
      </c>
      <c r="S921" s="31" t="n">
        <v>0</v>
      </c>
      <c r="T921" s="32" t="n">
        <v>0</v>
      </c>
      <c r="U921" s="31" t="n">
        <v>0</v>
      </c>
      <c r="V921" s="31" t="n">
        <v>0</v>
      </c>
      <c r="W921" s="3" t="n">
        <v>0</v>
      </c>
      <c r="X921" s="3" t="n">
        <v>0</v>
      </c>
      <c r="Y921" s="32" t="n">
        <v>0</v>
      </c>
      <c r="Z921" s="3" t="n">
        <v>0</v>
      </c>
      <c r="AA921" s="32" t="n">
        <v>0</v>
      </c>
      <c r="AB921" s="3" t="n"/>
      <c r="AC921" s="31" t="n">
        <v>0</v>
      </c>
      <c r="AD921" s="2" t="n">
        <v>0</v>
      </c>
      <c r="AE921" s="2" t="n">
        <v>3</v>
      </c>
      <c r="AF921" s="4" t="n">
        <v>3</v>
      </c>
      <c r="AG921" s="33" t="n">
        <v>0</v>
      </c>
      <c r="AH921" s="4" t="n">
        <v>0</v>
      </c>
      <c r="AI921" s="34" t="n"/>
      <c r="AJ921" s="34" t="n">
        <v>0</v>
      </c>
      <c r="AK921" s="2" t="n">
        <v>0</v>
      </c>
      <c r="AL921" t="inlineStr">
        <is>
          <t>Published</t>
        </is>
      </c>
    </row>
    <row r="922">
      <c r="A922">
        <f>HYPERLINK("https://www.walmart.com/ip/192912629", "192912629")</f>
        <v/>
      </c>
      <c r="B922">
        <f>HYPERLINK("https://app.optiwise.ai/catalog/itemdetails/419704", "Tirrinia Sherpa Pink Wearable Blanket for Adult Women, Men, Girlfriend, Super Soft Comfy Warm Plush Reading Throw with Sleeves TV Blanket Wrap Robe Cover for  Sofa, 72 x 55")</f>
        <v/>
      </c>
      <c r="C922" t="inlineStr">
        <is>
          <t>1TRSN110PK-TBCB</t>
        </is>
      </c>
      <c r="D922" t="inlineStr">
        <is>
          <t>Home Decor, Kitchen, &amp; Other</t>
        </is>
      </c>
      <c r="E922" t="inlineStr">
        <is>
          <t>Throws</t>
        </is>
      </c>
      <c r="F922" t="inlineStr">
        <is>
          <t>Tirrinia</t>
        </is>
      </c>
      <c r="G922" t="n">
        <v>0</v>
      </c>
      <c r="H922" t="n">
        <v>0</v>
      </c>
      <c r="I922" t="inlineStr">
        <is>
          <t>Q2-Target,Optimized,Coupon_Discount</t>
        </is>
      </c>
      <c r="J922" s="29" t="n">
        <v>0</v>
      </c>
      <c r="K922" s="30" t="n"/>
      <c r="L922" s="29" t="n">
        <v>0</v>
      </c>
      <c r="M922" s="29" t="n">
        <v>0</v>
      </c>
      <c r="N922" s="2" t="n">
        <v>0</v>
      </c>
      <c r="O922" s="31" t="n">
        <v>0</v>
      </c>
      <c r="P922" s="32" t="n"/>
      <c r="Q922" s="32" t="n">
        <v>0</v>
      </c>
      <c r="R922" s="32" t="n">
        <v>0</v>
      </c>
      <c r="S922" s="31" t="n">
        <v>0</v>
      </c>
      <c r="T922" s="32" t="n">
        <v>0</v>
      </c>
      <c r="U922" s="31" t="n">
        <v>0</v>
      </c>
      <c r="V922" s="31" t="n">
        <v>0</v>
      </c>
      <c r="W922" s="3" t="n">
        <v>0</v>
      </c>
      <c r="X922" s="3" t="n">
        <v>0</v>
      </c>
      <c r="Y922" s="32" t="n">
        <v>0</v>
      </c>
      <c r="Z922" s="3" t="n">
        <v>0</v>
      </c>
      <c r="AA922" s="32" t="n">
        <v>0</v>
      </c>
      <c r="AB922" s="3" t="n"/>
      <c r="AC922" s="31" t="n">
        <v>0</v>
      </c>
      <c r="AD922" s="2" t="n">
        <v>0</v>
      </c>
      <c r="AE922" s="2" t="n">
        <v>24</v>
      </c>
      <c r="AF922" s="4" t="n">
        <v>24</v>
      </c>
      <c r="AG922" s="33" t="n">
        <v>0</v>
      </c>
      <c r="AH922" s="4" t="n">
        <v>0</v>
      </c>
      <c r="AI922" s="34" t="n"/>
      <c r="AJ922" s="34" t="n">
        <v>0</v>
      </c>
      <c r="AK922" s="2" t="n">
        <v>0</v>
      </c>
      <c r="AL922" t="inlineStr">
        <is>
          <t>Published</t>
        </is>
      </c>
    </row>
    <row r="923">
      <c r="A923">
        <f>HYPERLINK("https://www.walmart.com/ip/1456609186", "1456609186")</f>
        <v/>
      </c>
      <c r="B923">
        <f>HYPERLINK("https://app.optiwise.ai/catalog/itemdetails/912021", "Tirrinia Portable Picnic Table with 4 Wine Glasses Holder, Functional Bamboo Snack Tray Table -Foldable for Party, Picnic, Camping, Beach (12.5 x 12.5 x 7.5)")</f>
        <v/>
      </c>
      <c r="C923" t="inlineStr">
        <is>
          <t>1TRPT401</t>
        </is>
      </c>
      <c r="D923" t="inlineStr">
        <is>
          <t>Furniture</t>
        </is>
      </c>
      <c r="E923" t="inlineStr">
        <is>
          <t>Picnic Tables</t>
        </is>
      </c>
      <c r="F923" t="inlineStr">
        <is>
          <t>Tirrinia</t>
        </is>
      </c>
      <c r="G923" t="n">
        <v>0</v>
      </c>
      <c r="H923" t="n">
        <v>0</v>
      </c>
      <c r="I923" t="inlineStr">
        <is>
          <t>Wine,Batch 1 - TR</t>
        </is>
      </c>
      <c r="J923" s="29" t="n">
        <v>0</v>
      </c>
      <c r="K923" s="30" t="n"/>
      <c r="L923" s="29" t="n">
        <v>0</v>
      </c>
      <c r="M923" s="29" t="n">
        <v>0</v>
      </c>
      <c r="N923" s="2" t="n">
        <v>0</v>
      </c>
      <c r="O923" s="31" t="n">
        <v>2.36</v>
      </c>
      <c r="P923" s="32" t="n">
        <v>0.0003</v>
      </c>
      <c r="Q923" s="32" t="n">
        <v>0</v>
      </c>
      <c r="R923" s="32" t="n">
        <v>0</v>
      </c>
      <c r="S923" s="31" t="n">
        <v>0</v>
      </c>
      <c r="T923" s="32" t="n">
        <v>0</v>
      </c>
      <c r="U923" s="31" t="n">
        <v>0</v>
      </c>
      <c r="V923" s="31" t="n">
        <v>0</v>
      </c>
      <c r="W923" s="3" t="n">
        <v>1707</v>
      </c>
      <c r="X923" s="3" t="n">
        <v>6</v>
      </c>
      <c r="Y923" s="32" t="n">
        <v>0.0035</v>
      </c>
      <c r="Z923" s="3" t="n">
        <v>0</v>
      </c>
      <c r="AA923" s="32" t="n">
        <v>0</v>
      </c>
      <c r="AB923" s="3" t="inlineStr">
        <is>
          <t>WFS Inventory</t>
        </is>
      </c>
      <c r="AC923" s="31" t="n">
        <v>0.39</v>
      </c>
      <c r="AD923" s="2" t="n">
        <v>0</v>
      </c>
      <c r="AE923" s="2" t="n">
        <v>37</v>
      </c>
      <c r="AF923" s="4" t="n">
        <v>31</v>
      </c>
      <c r="AG923" s="33" t="n">
        <v>0</v>
      </c>
      <c r="AH923" s="4" t="n">
        <v>0</v>
      </c>
      <c r="AI923" s="34" t="n"/>
      <c r="AJ923" s="34" t="n">
        <v>0</v>
      </c>
      <c r="AK923" s="2" t="n">
        <v>0</v>
      </c>
      <c r="AL923" t="inlineStr">
        <is>
          <t>Published</t>
        </is>
      </c>
    </row>
    <row r="924">
      <c r="A924">
        <f>HYPERLINK("https://www.walmart.com/ip/203372718", "203372718")</f>
        <v/>
      </c>
      <c r="B924">
        <f>HYPERLINK("https://app.optiwise.ai/catalog/itemdetails/419684", "Tirrinia Red Buffalo Plaid Sherpa Wearable Blanket for Adult Women and Men, Super Soft Comfy Warm Plush Throw with Sleeves TV Blanket Wrap Robe Cover for  Sofa, Couch 72 x 55")</f>
        <v/>
      </c>
      <c r="C924" t="inlineStr">
        <is>
          <t>1TRSN110PRD-TBCB</t>
        </is>
      </c>
      <c r="D924" t="inlineStr">
        <is>
          <t>Bedding</t>
        </is>
      </c>
      <c r="E924" t="inlineStr">
        <is>
          <t>Throws</t>
        </is>
      </c>
      <c r="F924" t="inlineStr">
        <is>
          <t>Tirrinia</t>
        </is>
      </c>
      <c r="G924" t="n">
        <v>5</v>
      </c>
      <c r="H924" t="n">
        <v>4</v>
      </c>
      <c r="I924" t="inlineStr">
        <is>
          <t>Optimized</t>
        </is>
      </c>
      <c r="J924" s="29" t="n">
        <v>0</v>
      </c>
      <c r="K924" s="30" t="n"/>
      <c r="L924" s="29" t="n">
        <v>0</v>
      </c>
      <c r="M924" s="29" t="n">
        <v>0</v>
      </c>
      <c r="N924" s="2" t="n">
        <v>0</v>
      </c>
      <c r="O924" s="31" t="n">
        <v>0</v>
      </c>
      <c r="P924" s="32" t="n"/>
      <c r="Q924" s="32" t="n">
        <v>0</v>
      </c>
      <c r="R924" s="32" t="n">
        <v>0</v>
      </c>
      <c r="S924" s="31" t="n">
        <v>0</v>
      </c>
      <c r="T924" s="32" t="n">
        <v>0</v>
      </c>
      <c r="U924" s="31" t="n">
        <v>0</v>
      </c>
      <c r="V924" s="31" t="n">
        <v>0</v>
      </c>
      <c r="W924" s="3" t="n">
        <v>0</v>
      </c>
      <c r="X924" s="3" t="n">
        <v>0</v>
      </c>
      <c r="Y924" s="32" t="n">
        <v>0</v>
      </c>
      <c r="Z924" s="3" t="n">
        <v>0</v>
      </c>
      <c r="AA924" s="32" t="n">
        <v>0</v>
      </c>
      <c r="AB924" s="3" t="n"/>
      <c r="AC924" s="31" t="n">
        <v>0</v>
      </c>
      <c r="AD924" s="2" t="n">
        <v>0</v>
      </c>
      <c r="AE924" s="2" t="n">
        <v>14</v>
      </c>
      <c r="AF924" s="4" t="n">
        <v>14</v>
      </c>
      <c r="AG924" s="33" t="n">
        <v>0</v>
      </c>
      <c r="AH924" s="4" t="n">
        <v>0</v>
      </c>
      <c r="AI924" s="34" t="n"/>
      <c r="AJ924" s="34" t="n">
        <v>0</v>
      </c>
      <c r="AK924" s="2" t="n">
        <v>0</v>
      </c>
      <c r="AL924" t="inlineStr">
        <is>
          <t>Published</t>
        </is>
      </c>
    </row>
    <row r="925">
      <c r="A925">
        <f>HYPERLINK("https://www.walmart.com/ip/803240576", "803240576")</f>
        <v/>
      </c>
      <c r="B925">
        <f>HYPERLINK("https://app.optiwise.ai/catalog/itemdetails/409180", "Tirrinia Fashionable Insulated Lunch Tote Bag with Leather Handle for Women, Black Dot")</f>
        <v/>
      </c>
      <c r="C925" t="inlineStr">
        <is>
          <t>1TRLB703BKDOT</t>
        </is>
      </c>
      <c r="D925" t="inlineStr">
        <is>
          <t>Home Decor, Kitchen, &amp; Other</t>
        </is>
      </c>
      <c r="E925" t="inlineStr">
        <is>
          <t>Reusable Lunch Bags &amp; Boxes</t>
        </is>
      </c>
      <c r="F925" t="inlineStr">
        <is>
          <t>Tirrinia</t>
        </is>
      </c>
      <c r="G925" t="n">
        <v>3.9</v>
      </c>
      <c r="H925" t="n">
        <v>9</v>
      </c>
      <c r="J925" s="29" t="n">
        <v>0</v>
      </c>
      <c r="K925" s="30" t="n"/>
      <c r="L925" s="29" t="n">
        <v>0</v>
      </c>
      <c r="M925" s="29" t="n">
        <v>0</v>
      </c>
      <c r="N925" s="2" t="n">
        <v>0</v>
      </c>
      <c r="O925" s="31" t="n">
        <v>0</v>
      </c>
      <c r="P925" s="32" t="n"/>
      <c r="Q925" s="32" t="n">
        <v>0</v>
      </c>
      <c r="R925" s="32" t="n">
        <v>0</v>
      </c>
      <c r="S925" s="31" t="n">
        <v>0</v>
      </c>
      <c r="T925" s="32" t="n">
        <v>0</v>
      </c>
      <c r="U925" s="31" t="n">
        <v>0</v>
      </c>
      <c r="V925" s="31" t="n">
        <v>0</v>
      </c>
      <c r="W925" s="3" t="n">
        <v>0</v>
      </c>
      <c r="X925" s="3" t="n">
        <v>0</v>
      </c>
      <c r="Y925" s="32" t="n">
        <v>0</v>
      </c>
      <c r="Z925" s="3" t="n">
        <v>0</v>
      </c>
      <c r="AA925" s="32" t="n">
        <v>0</v>
      </c>
      <c r="AB925" s="3" t="n"/>
      <c r="AC925" s="31" t="n">
        <v>0</v>
      </c>
      <c r="AD925" s="2" t="n">
        <v>144</v>
      </c>
      <c r="AE925" s="2" t="n">
        <v>117</v>
      </c>
      <c r="AF925" s="4" t="n">
        <v>117</v>
      </c>
      <c r="AG925" s="33" t="n">
        <v>0</v>
      </c>
      <c r="AH925" s="4" t="n">
        <v>0</v>
      </c>
      <c r="AI925" s="34" t="n"/>
      <c r="AJ925" s="34" t="n">
        <v>0</v>
      </c>
      <c r="AK925" s="2" t="n">
        <v>0</v>
      </c>
      <c r="AL925" t="inlineStr">
        <is>
          <t>Published</t>
        </is>
      </c>
    </row>
    <row r="926">
      <c r="A926">
        <f>HYPERLINK("https://www.walmart.com/ip/970542815", "970542815")</f>
        <v/>
      </c>
      <c r="B926">
        <f>HYPERLINK("https://app.optiwise.ai/catalog/itemdetails/418915", "Sherpa Throw Blanket Snowflake Pattern, Reversible Micro Fleece TV Blanket All Season for Bed or Couch 50 x 60")</f>
        <v/>
      </c>
      <c r="C926" t="inlineStr">
        <is>
          <t>1TRBF571XMAS-TBCB</t>
        </is>
      </c>
      <c r="D926" t="inlineStr">
        <is>
          <t>Bedding</t>
        </is>
      </c>
      <c r="E926" t="inlineStr">
        <is>
          <t>Throws</t>
        </is>
      </c>
      <c r="F926" t="inlineStr">
        <is>
          <t>Tirrinia</t>
        </is>
      </c>
      <c r="G926" t="n">
        <v>3</v>
      </c>
      <c r="H926" t="n">
        <v>2</v>
      </c>
      <c r="I926" t="inlineStr">
        <is>
          <t>Christmas</t>
        </is>
      </c>
      <c r="J926" s="29" t="n">
        <v>0</v>
      </c>
      <c r="K926" s="30" t="n"/>
      <c r="L926" s="29" t="n">
        <v>0</v>
      </c>
      <c r="M926" s="29" t="n">
        <v>0</v>
      </c>
      <c r="N926" s="2" t="n">
        <v>0</v>
      </c>
      <c r="O926" s="31" t="n">
        <v>0</v>
      </c>
      <c r="P926" s="32" t="n"/>
      <c r="Q926" s="32" t="n">
        <v>0</v>
      </c>
      <c r="R926" s="32" t="n">
        <v>0</v>
      </c>
      <c r="S926" s="31" t="n">
        <v>0</v>
      </c>
      <c r="T926" s="32" t="n">
        <v>0</v>
      </c>
      <c r="U926" s="31" t="n">
        <v>0</v>
      </c>
      <c r="V926" s="31" t="n">
        <v>0</v>
      </c>
      <c r="W926" s="3" t="n">
        <v>0</v>
      </c>
      <c r="X926" s="3" t="n">
        <v>0</v>
      </c>
      <c r="Y926" s="32" t="n">
        <v>0</v>
      </c>
      <c r="Z926" s="3" t="n">
        <v>0</v>
      </c>
      <c r="AA926" s="32" t="n">
        <v>0</v>
      </c>
      <c r="AB926" s="3" t="n"/>
      <c r="AC926" s="31" t="n">
        <v>0</v>
      </c>
      <c r="AD926" s="2" t="n">
        <v>0</v>
      </c>
      <c r="AE926" s="2" t="n">
        <v>3</v>
      </c>
      <c r="AF926" s="4" t="n">
        <v>3</v>
      </c>
      <c r="AG926" s="33" t="n">
        <v>0</v>
      </c>
      <c r="AH926" s="4" t="n">
        <v>0</v>
      </c>
      <c r="AI926" s="34" t="n"/>
      <c r="AJ926" s="34" t="n">
        <v>0</v>
      </c>
      <c r="AK926" s="2" t="n">
        <v>0</v>
      </c>
      <c r="AL926" t="inlineStr">
        <is>
          <t>Published</t>
        </is>
      </c>
    </row>
    <row r="927">
      <c r="A927">
        <f>HYPERLINK("https://www.walmart.com/ip/1890050294", "1890050294")</f>
        <v/>
      </c>
      <c r="B927">
        <f>HYPERLINK("https://app.optiwise.ai/catalog/itemdetails/912022", "Tirrinia Portable Picnic Table with 4 Wine Glasses Holder, Functional Bamboo Snack Tray Table -Foldable for Party, Picnic, Camping, Beach (15.7 x 12.5 x 7.5)")</f>
        <v/>
      </c>
      <c r="C927" t="inlineStr">
        <is>
          <t>1TRPT400</t>
        </is>
      </c>
      <c r="D927" t="inlineStr">
        <is>
          <t>Furniture</t>
        </is>
      </c>
      <c r="E927" t="inlineStr">
        <is>
          <t>Picnic Tables</t>
        </is>
      </c>
      <c r="F927" t="inlineStr">
        <is>
          <t>Tirrinia</t>
        </is>
      </c>
      <c r="G927" t="n">
        <v>0</v>
      </c>
      <c r="H927" t="n">
        <v>0</v>
      </c>
      <c r="I927" t="inlineStr">
        <is>
          <t>Wine,Batch 1 - TR</t>
        </is>
      </c>
      <c r="J927" s="29" t="n">
        <v>0</v>
      </c>
      <c r="K927" s="30" t="n"/>
      <c r="L927" s="29" t="n">
        <v>0</v>
      </c>
      <c r="M927" s="29" t="n">
        <v>0</v>
      </c>
      <c r="N927" s="2" t="n">
        <v>0</v>
      </c>
      <c r="O927" s="31" t="n">
        <v>0</v>
      </c>
      <c r="P927" s="32" t="n"/>
      <c r="Q927" s="32" t="n">
        <v>0</v>
      </c>
      <c r="R927" s="32" t="n">
        <v>0</v>
      </c>
      <c r="S927" s="31" t="n">
        <v>0</v>
      </c>
      <c r="T927" s="32" t="n">
        <v>0</v>
      </c>
      <c r="U927" s="31" t="n">
        <v>0</v>
      </c>
      <c r="V927" s="31" t="n">
        <v>0</v>
      </c>
      <c r="W927" s="3" t="n">
        <v>0</v>
      </c>
      <c r="X927" s="3" t="n">
        <v>0</v>
      </c>
      <c r="Y927" s="32" t="n">
        <v>0</v>
      </c>
      <c r="Z927" s="3" t="n">
        <v>0</v>
      </c>
      <c r="AA927" s="32" t="n">
        <v>0</v>
      </c>
      <c r="AB927" s="3" t="n"/>
      <c r="AC927" s="31" t="n">
        <v>0</v>
      </c>
      <c r="AD927" s="2" t="n">
        <v>0</v>
      </c>
      <c r="AE927" s="2" t="n">
        <v>37</v>
      </c>
      <c r="AF927" s="4" t="n">
        <v>37</v>
      </c>
      <c r="AG927" s="33" t="n">
        <v>0</v>
      </c>
      <c r="AH927" s="4" t="n">
        <v>0</v>
      </c>
      <c r="AI927" s="34" t="n"/>
      <c r="AJ927" s="34" t="n">
        <v>0</v>
      </c>
      <c r="AK927" s="2" t="n">
        <v>0</v>
      </c>
      <c r="AL927" t="inlineStr">
        <is>
          <t>Published</t>
        </is>
      </c>
    </row>
    <row r="928">
      <c r="A928">
        <f>HYPERLINK("https://www.walmart.com/ip/329380567", "329380567")</f>
        <v/>
      </c>
      <c r="B928">
        <f>HYPERLINK("https://app.optiwise.ai/catalog/itemdetails/409179", "Catalonia Women’s Sherpa Hoodie Sweatshirt Dress, Casual Snuggle Wearable Blanket Pullover Sweater with Kangaroo Pocket, Warm and Soft, Gift for Her, Grey")</f>
        <v/>
      </c>
      <c r="C928" t="inlineStr">
        <is>
          <t>1CTHD532GY</t>
        </is>
      </c>
      <c r="D928" t="inlineStr">
        <is>
          <t>Clothing</t>
        </is>
      </c>
      <c r="E928" t="inlineStr">
        <is>
          <t>Sweatshirts &amp; Hoodies</t>
        </is>
      </c>
      <c r="F928" t="inlineStr">
        <is>
          <t>Catalonia</t>
        </is>
      </c>
      <c r="G928" t="n">
        <v>0</v>
      </c>
      <c r="H928" t="n">
        <v>0</v>
      </c>
      <c r="I928" t="inlineStr">
        <is>
          <t>Hoodie ForAdult,Optimized,Coupon_Discount</t>
        </is>
      </c>
      <c r="J928" s="29" t="n">
        <v>0</v>
      </c>
      <c r="K928" s="30" t="n"/>
      <c r="L928" s="29" t="n">
        <v>0</v>
      </c>
      <c r="M928" s="29" t="n">
        <v>0</v>
      </c>
      <c r="N928" s="2" t="n">
        <v>0</v>
      </c>
      <c r="O928" s="31" t="n">
        <v>0</v>
      </c>
      <c r="P928" s="32" t="n"/>
      <c r="Q928" s="32" t="n">
        <v>0</v>
      </c>
      <c r="R928" s="32" t="n">
        <v>0</v>
      </c>
      <c r="S928" s="31" t="n">
        <v>0</v>
      </c>
      <c r="T928" s="32" t="n">
        <v>0</v>
      </c>
      <c r="U928" s="31" t="n">
        <v>0</v>
      </c>
      <c r="V928" s="31" t="n">
        <v>0</v>
      </c>
      <c r="W928" s="3" t="n">
        <v>0</v>
      </c>
      <c r="X928" s="3" t="n">
        <v>0</v>
      </c>
      <c r="Y928" s="32" t="n">
        <v>0</v>
      </c>
      <c r="Z928" s="3" t="n">
        <v>0</v>
      </c>
      <c r="AA928" s="32" t="n">
        <v>0</v>
      </c>
      <c r="AB928" s="3" t="n"/>
      <c r="AC928" s="31" t="n">
        <v>0</v>
      </c>
      <c r="AD928" s="2" t="n">
        <v>0</v>
      </c>
      <c r="AE928" s="2" t="n">
        <v>18</v>
      </c>
      <c r="AF928" s="4" t="n">
        <v>18</v>
      </c>
      <c r="AG928" s="33" t="n">
        <v>0</v>
      </c>
      <c r="AH928" s="4" t="n">
        <v>0</v>
      </c>
      <c r="AI928" s="34" t="n"/>
      <c r="AJ928" s="34" t="n">
        <v>0</v>
      </c>
      <c r="AK928" s="2" t="n">
        <v>0</v>
      </c>
      <c r="AL928" t="inlineStr">
        <is>
          <t>Published</t>
        </is>
      </c>
    </row>
    <row r="929">
      <c r="A929">
        <f>HYPERLINK("https://www.walmart.com/ip/1376687825", "1376687825")</f>
        <v/>
      </c>
      <c r="B929">
        <f>HYPERLINK("https://app.optiwise.ai/catalog/itemdetails/920302", "KC Caps Unisex Two-Tone Cotton Twill Baseball Cap with Suede Bill Adult")</f>
        <v/>
      </c>
      <c r="C929" t="inlineStr">
        <is>
          <t>KC-S6300-RD/BK-12pcs</t>
        </is>
      </c>
      <c r="D929" t="inlineStr">
        <is>
          <t>Clothing</t>
        </is>
      </c>
      <c r="E929" t="inlineStr">
        <is>
          <t>Blouses &amp; Tops</t>
        </is>
      </c>
      <c r="F929" t="inlineStr">
        <is>
          <t>KC Caps</t>
        </is>
      </c>
      <c r="G929" t="n">
        <v>0</v>
      </c>
      <c r="H929" t="n">
        <v>0</v>
      </c>
      <c r="J929" s="29" t="n">
        <v>0</v>
      </c>
      <c r="K929" s="30" t="n"/>
      <c r="L929" s="29" t="n">
        <v>0</v>
      </c>
      <c r="M929" s="29" t="n">
        <v>0</v>
      </c>
      <c r="N929" s="2" t="n">
        <v>0</v>
      </c>
      <c r="O929" s="31" t="n">
        <v>0</v>
      </c>
      <c r="P929" s="32" t="n"/>
      <c r="Q929" s="32" t="n">
        <v>0</v>
      </c>
      <c r="R929" s="32" t="n">
        <v>0</v>
      </c>
      <c r="S929" s="31" t="n">
        <v>0</v>
      </c>
      <c r="T929" s="32" t="n">
        <v>0</v>
      </c>
      <c r="U929" s="31" t="n">
        <v>0</v>
      </c>
      <c r="V929" s="31" t="n">
        <v>0</v>
      </c>
      <c r="W929" s="3" t="n">
        <v>0</v>
      </c>
      <c r="X929" s="3" t="n">
        <v>0</v>
      </c>
      <c r="Y929" s="32" t="n">
        <v>0</v>
      </c>
      <c r="Z929" s="3" t="n">
        <v>0</v>
      </c>
      <c r="AA929" s="32" t="n">
        <v>0</v>
      </c>
      <c r="AB929" s="3" t="n"/>
      <c r="AC929" s="31" t="n">
        <v>0</v>
      </c>
      <c r="AD929" s="2" t="n">
        <v>0</v>
      </c>
      <c r="AE929" s="2" t="n">
        <v>0</v>
      </c>
      <c r="AF929" s="4" t="n">
        <v>0</v>
      </c>
      <c r="AG929" s="33" t="n">
        <v>0</v>
      </c>
      <c r="AH929" s="4" t="n">
        <v>0</v>
      </c>
      <c r="AI929" s="34" t="n"/>
      <c r="AJ929" s="34" t="n">
        <v>0</v>
      </c>
      <c r="AK929" s="2" t="n">
        <v>0</v>
      </c>
      <c r="AL929" t="inlineStr">
        <is>
          <t>Published</t>
        </is>
      </c>
    </row>
    <row r="930">
      <c r="A930">
        <f>HYPERLINK("https://www.walmart.com/ip/1703428017", "1703428017")</f>
        <v/>
      </c>
      <c r="B930">
        <f>HYPERLINK("https://app.optiwise.ai/catalog/itemdetails/920303", "Catalonia All Season Knitted Acrylic Throw Blanket Cozy Leisure Lightweight Decorative Blanket with Fringe for Bed,Couch,Living Room,Machine Washable,50×60 Inches, Pink")</f>
        <v/>
      </c>
      <c r="C930" t="inlineStr">
        <is>
          <t>1CTBN510PK</t>
        </is>
      </c>
      <c r="D930" t="inlineStr">
        <is>
          <t>Bedding</t>
        </is>
      </c>
      <c r="E930" t="inlineStr">
        <is>
          <t>Throws</t>
        </is>
      </c>
      <c r="F930" t="inlineStr">
        <is>
          <t>Catalonia</t>
        </is>
      </c>
      <c r="G930" t="n">
        <v>0</v>
      </c>
      <c r="H930" t="n">
        <v>0</v>
      </c>
      <c r="I930" t="inlineStr">
        <is>
          <t>Batch 1 - TR</t>
        </is>
      </c>
      <c r="J930" s="29" t="n">
        <v>0</v>
      </c>
      <c r="K930" s="30" t="n"/>
      <c r="L930" s="29" t="n">
        <v>0</v>
      </c>
      <c r="M930" s="29" t="n">
        <v>0</v>
      </c>
      <c r="N930" s="2" t="n">
        <v>0</v>
      </c>
      <c r="O930" s="31" t="n">
        <v>0</v>
      </c>
      <c r="P930" s="32" t="n"/>
      <c r="Q930" s="32" t="n">
        <v>0</v>
      </c>
      <c r="R930" s="32" t="n">
        <v>0</v>
      </c>
      <c r="S930" s="31" t="n">
        <v>0</v>
      </c>
      <c r="T930" s="32" t="n">
        <v>0</v>
      </c>
      <c r="U930" s="31" t="n">
        <v>0</v>
      </c>
      <c r="V930" s="31" t="n">
        <v>0</v>
      </c>
      <c r="W930" s="3" t="n">
        <v>0</v>
      </c>
      <c r="X930" s="3" t="n">
        <v>0</v>
      </c>
      <c r="Y930" s="32" t="n">
        <v>0</v>
      </c>
      <c r="Z930" s="3" t="n">
        <v>0</v>
      </c>
      <c r="AA930" s="32" t="n">
        <v>0</v>
      </c>
      <c r="AB930" s="3" t="n"/>
      <c r="AC930" s="31" t="n">
        <v>0</v>
      </c>
      <c r="AD930" s="2" t="n">
        <v>0</v>
      </c>
      <c r="AE930" s="2" t="n">
        <v>0</v>
      </c>
      <c r="AF930" s="4" t="n">
        <v>0</v>
      </c>
      <c r="AG930" s="33" t="n">
        <v>0</v>
      </c>
      <c r="AH930" s="4" t="n">
        <v>0</v>
      </c>
      <c r="AI930" s="34" t="n"/>
      <c r="AJ930" s="34" t="n">
        <v>0</v>
      </c>
      <c r="AK930" s="2" t="n">
        <v>0</v>
      </c>
      <c r="AL930" t="inlineStr">
        <is>
          <t>Published</t>
        </is>
      </c>
    </row>
    <row r="931">
      <c r="A931">
        <f>HYPERLINK("https://www.walmart.com/ip/448140558", "448140558")</f>
        <v/>
      </c>
      <c r="B931">
        <f>HYPERLINK("https://app.optiwise.ai/catalog/itemdetails/465346", "Youth Reflective Knit Beanie Hat For Sports Warm")</f>
        <v/>
      </c>
      <c r="C931" t="inlineStr">
        <is>
          <t>1SLBN02DR-FSCB</t>
        </is>
      </c>
      <c r="D931" t="inlineStr">
        <is>
          <t>Clothing</t>
        </is>
      </c>
      <c r="E931" t="inlineStr">
        <is>
          <t>Hats</t>
        </is>
      </c>
      <c r="F931" t="inlineStr">
        <is>
          <t>Solaris</t>
        </is>
      </c>
      <c r="G931" t="n">
        <v>0</v>
      </c>
      <c r="H931" t="n">
        <v>0</v>
      </c>
      <c r="I931" t="inlineStr">
        <is>
          <t>Optimized</t>
        </is>
      </c>
      <c r="J931" s="29" t="n">
        <v>0</v>
      </c>
      <c r="K931" s="30" t="n"/>
      <c r="L931" s="29" t="n">
        <v>0</v>
      </c>
      <c r="M931" s="29" t="n">
        <v>0</v>
      </c>
      <c r="N931" s="2" t="n">
        <v>0</v>
      </c>
      <c r="O931" s="31" t="n">
        <v>0</v>
      </c>
      <c r="P931" s="32" t="n"/>
      <c r="Q931" s="32" t="n">
        <v>0</v>
      </c>
      <c r="R931" s="32" t="n">
        <v>0</v>
      </c>
      <c r="S931" s="31" t="n">
        <v>0</v>
      </c>
      <c r="T931" s="32" t="n">
        <v>0</v>
      </c>
      <c r="U931" s="31" t="n">
        <v>0</v>
      </c>
      <c r="V931" s="31" t="n">
        <v>0</v>
      </c>
      <c r="W931" s="3" t="n">
        <v>0</v>
      </c>
      <c r="X931" s="3" t="n">
        <v>0</v>
      </c>
      <c r="Y931" s="32" t="n">
        <v>0</v>
      </c>
      <c r="Z931" s="3" t="n">
        <v>0</v>
      </c>
      <c r="AA931" s="32" t="n">
        <v>0</v>
      </c>
      <c r="AB931" s="3" t="n"/>
      <c r="AC931" s="31" t="n">
        <v>0</v>
      </c>
      <c r="AD931" s="2" t="n">
        <v>0</v>
      </c>
      <c r="AE931" s="2" t="n">
        <v>3</v>
      </c>
      <c r="AF931" s="4" t="n">
        <v>3</v>
      </c>
      <c r="AG931" s="33" t="n">
        <v>0</v>
      </c>
      <c r="AH931" s="4" t="n">
        <v>0</v>
      </c>
      <c r="AI931" s="34" t="n"/>
      <c r="AJ931" s="34" t="n">
        <v>0</v>
      </c>
      <c r="AK931" s="2" t="n">
        <v>0</v>
      </c>
      <c r="AL931" t="inlineStr">
        <is>
          <t>Published</t>
        </is>
      </c>
    </row>
    <row r="932">
      <c r="A932">
        <f>HYPERLINK("https://www.walmart.com/ip/929778416", "929778416")</f>
        <v/>
      </c>
      <c r="B932">
        <f>HYPERLINK("https://app.optiwise.ai/catalog/itemdetails/465347", "Solaris Kids' Reflective Running Beanie, Warm, Thick Winter Knit Skull Beanie for Men and Women, Enhanced Safety for Walking at Night")</f>
        <v/>
      </c>
      <c r="C932" t="inlineStr">
        <is>
          <t>1SLBN01BK-FSCB</t>
        </is>
      </c>
      <c r="D932" t="inlineStr">
        <is>
          <t>Clothing</t>
        </is>
      </c>
      <c r="E932" t="inlineStr">
        <is>
          <t>Hats</t>
        </is>
      </c>
      <c r="F932" t="inlineStr">
        <is>
          <t>Solaris</t>
        </is>
      </c>
      <c r="G932" t="n">
        <v>0</v>
      </c>
      <c r="H932" t="n">
        <v>0</v>
      </c>
      <c r="I932" t="inlineStr">
        <is>
          <t>Q2-Target,Optimized</t>
        </is>
      </c>
      <c r="J932" s="29" t="n">
        <v>0</v>
      </c>
      <c r="K932" s="30" t="n"/>
      <c r="L932" s="29" t="n">
        <v>0</v>
      </c>
      <c r="M932" s="29" t="n">
        <v>0</v>
      </c>
      <c r="N932" s="2" t="n">
        <v>0</v>
      </c>
      <c r="O932" s="31" t="n">
        <v>0</v>
      </c>
      <c r="P932" s="32" t="n"/>
      <c r="Q932" s="32" t="n">
        <v>0</v>
      </c>
      <c r="R932" s="32" t="n">
        <v>0</v>
      </c>
      <c r="S932" s="31" t="n">
        <v>0</v>
      </c>
      <c r="T932" s="32" t="n">
        <v>0</v>
      </c>
      <c r="U932" s="31" t="n">
        <v>0</v>
      </c>
      <c r="V932" s="31" t="n">
        <v>0</v>
      </c>
      <c r="W932" s="3" t="n">
        <v>0</v>
      </c>
      <c r="X932" s="3" t="n">
        <v>0</v>
      </c>
      <c r="Y932" s="32" t="n">
        <v>0</v>
      </c>
      <c r="Z932" s="3" t="n">
        <v>0</v>
      </c>
      <c r="AA932" s="32" t="n">
        <v>0</v>
      </c>
      <c r="AB932" s="3" t="n"/>
      <c r="AC932" s="31" t="n">
        <v>0</v>
      </c>
      <c r="AD932" s="2" t="n">
        <v>0</v>
      </c>
      <c r="AE932" s="2" t="n">
        <v>3</v>
      </c>
      <c r="AF932" s="4" t="n">
        <v>3</v>
      </c>
      <c r="AG932" s="33" t="n">
        <v>0</v>
      </c>
      <c r="AH932" s="4" t="n">
        <v>0</v>
      </c>
      <c r="AI932" s="34" t="n"/>
      <c r="AJ932" s="34" t="n">
        <v>0</v>
      </c>
      <c r="AK932" s="2" t="n">
        <v>0</v>
      </c>
      <c r="AL932" t="inlineStr">
        <is>
          <t>Published</t>
        </is>
      </c>
    </row>
    <row r="933">
      <c r="A933">
        <f>HYPERLINK("https://www.walmart.com/ip/1639170868", "1639170868")</f>
        <v/>
      </c>
      <c r="B933">
        <f>HYPERLINK("https://app.optiwise.ai/catalog/itemdetails/920306", "Catalonia All Season Knitted Acrylic Throw Blanket, Cozy Leisure Lightweight Decorative Blanket with Fringe for Bed, Couch, Living Room, Machine Washable, Teal, 50'' × 60''")</f>
        <v/>
      </c>
      <c r="C933" t="inlineStr">
        <is>
          <t>1CTBN510TL</t>
        </is>
      </c>
      <c r="D933" t="inlineStr">
        <is>
          <t>Bedding</t>
        </is>
      </c>
      <c r="E933" t="inlineStr">
        <is>
          <t>Throws</t>
        </is>
      </c>
      <c r="F933" t="inlineStr">
        <is>
          <t>Catalonia</t>
        </is>
      </c>
      <c r="G933" t="n">
        <v>0</v>
      </c>
      <c r="H933" t="n">
        <v>0</v>
      </c>
      <c r="I933" t="inlineStr">
        <is>
          <t>Coupon_Discount,Batch 1 - TR</t>
        </is>
      </c>
      <c r="J933" s="29" t="n">
        <v>0</v>
      </c>
      <c r="K933" s="30" t="n"/>
      <c r="L933" s="29" t="n">
        <v>0</v>
      </c>
      <c r="M933" s="29" t="n">
        <v>0</v>
      </c>
      <c r="N933" s="2" t="n">
        <v>0</v>
      </c>
      <c r="O933" s="31" t="n">
        <v>0</v>
      </c>
      <c r="P933" s="32" t="n"/>
      <c r="Q933" s="32" t="n">
        <v>0</v>
      </c>
      <c r="R933" s="32" t="n">
        <v>0</v>
      </c>
      <c r="S933" s="31" t="n">
        <v>0</v>
      </c>
      <c r="T933" s="32" t="n">
        <v>0</v>
      </c>
      <c r="U933" s="31" t="n">
        <v>0</v>
      </c>
      <c r="V933" s="31" t="n">
        <v>0</v>
      </c>
      <c r="W933" s="3" t="n">
        <v>0</v>
      </c>
      <c r="X933" s="3" t="n">
        <v>0</v>
      </c>
      <c r="Y933" s="32" t="n">
        <v>0</v>
      </c>
      <c r="Z933" s="3" t="n">
        <v>0</v>
      </c>
      <c r="AA933" s="32" t="n">
        <v>0</v>
      </c>
      <c r="AB933" s="3" t="n"/>
      <c r="AC933" s="31" t="n">
        <v>0</v>
      </c>
      <c r="AD933" s="2" t="n">
        <v>0</v>
      </c>
      <c r="AE933" s="2" t="n">
        <v>29</v>
      </c>
      <c r="AF933" s="4" t="n">
        <v>29</v>
      </c>
      <c r="AG933" s="33" t="n">
        <v>0</v>
      </c>
      <c r="AH933" s="4" t="n">
        <v>0</v>
      </c>
      <c r="AI933" s="34" t="n"/>
      <c r="AJ933" s="34" t="n">
        <v>0</v>
      </c>
      <c r="AK933" s="2" t="n">
        <v>0</v>
      </c>
      <c r="AL933" t="inlineStr">
        <is>
          <t>Published</t>
        </is>
      </c>
    </row>
    <row r="934">
      <c r="A934">
        <f>HYPERLINK("https://www.walmart.com/ip/1254386462", "1254386462")</f>
        <v/>
      </c>
      <c r="B934">
        <f>HYPERLINK("https://app.optiwise.ai/catalog/itemdetails/787764", "Tirrinia Men's Military Mesh Cap")</f>
        <v/>
      </c>
      <c r="C934" t="inlineStr">
        <is>
          <t>1TRSH7140SH-TBCB</t>
        </is>
      </c>
      <c r="D934" t="inlineStr">
        <is>
          <t>Clothing</t>
        </is>
      </c>
      <c r="E934" t="inlineStr">
        <is>
          <t>Hats</t>
        </is>
      </c>
      <c r="F934" t="inlineStr">
        <is>
          <t>Tirrinia</t>
        </is>
      </c>
      <c r="G934" t="n">
        <v>0</v>
      </c>
      <c r="H934" t="n">
        <v>0</v>
      </c>
      <c r="I934" t="inlineStr">
        <is>
          <t>Batch 1 - TR</t>
        </is>
      </c>
      <c r="J934" s="29" t="n">
        <v>0</v>
      </c>
      <c r="K934" s="30" t="n"/>
      <c r="L934" s="29" t="n">
        <v>0</v>
      </c>
      <c r="M934" s="29" t="n">
        <v>0</v>
      </c>
      <c r="N934" s="2" t="n">
        <v>0</v>
      </c>
      <c r="O934" s="31" t="n">
        <v>0</v>
      </c>
      <c r="P934" s="32" t="n"/>
      <c r="Q934" s="32" t="n">
        <v>0</v>
      </c>
      <c r="R934" s="32" t="n">
        <v>0</v>
      </c>
      <c r="S934" s="31" t="n">
        <v>0</v>
      </c>
      <c r="T934" s="32" t="n">
        <v>0</v>
      </c>
      <c r="U934" s="31" t="n">
        <v>0</v>
      </c>
      <c r="V934" s="31" t="n">
        <v>0</v>
      </c>
      <c r="W934" s="3" t="n">
        <v>0</v>
      </c>
      <c r="X934" s="3" t="n">
        <v>0</v>
      </c>
      <c r="Y934" s="32" t="n">
        <v>0</v>
      </c>
      <c r="Z934" s="3" t="n">
        <v>0</v>
      </c>
      <c r="AA934" s="32" t="n">
        <v>0</v>
      </c>
      <c r="AB934" s="3" t="n"/>
      <c r="AC934" s="31" t="n">
        <v>0</v>
      </c>
      <c r="AD934" s="2" t="n">
        <v>0</v>
      </c>
      <c r="AE934" s="2" t="n">
        <v>5</v>
      </c>
      <c r="AF934" s="4" t="n">
        <v>5</v>
      </c>
      <c r="AG934" s="33" t="n">
        <v>0</v>
      </c>
      <c r="AH934" s="4" t="n">
        <v>0</v>
      </c>
      <c r="AI934" s="34" t="n"/>
      <c r="AJ934" s="34" t="n">
        <v>0</v>
      </c>
      <c r="AK934" s="2" t="n">
        <v>0</v>
      </c>
      <c r="AL934" t="inlineStr">
        <is>
          <t>Published</t>
        </is>
      </c>
    </row>
    <row r="935">
      <c r="A935">
        <f>HYPERLINK("https://www.walmart.com/ip/1390928292", "1390928292")</f>
        <v/>
      </c>
      <c r="B935">
        <f>HYPERLINK("https://app.optiwise.ai/catalog/itemdetails/787753", "Tirrinia Men's Mossyoak Duck Blind-Mallard")</f>
        <v/>
      </c>
      <c r="C935" t="inlineStr">
        <is>
          <t>1TRHT02MALL-TBCB</t>
        </is>
      </c>
      <c r="D935" t="inlineStr">
        <is>
          <t>Clothing</t>
        </is>
      </c>
      <c r="E935" t="inlineStr">
        <is>
          <t>Hats</t>
        </is>
      </c>
      <c r="F935" t="inlineStr">
        <is>
          <t>Tirrinia</t>
        </is>
      </c>
      <c r="G935" t="n">
        <v>0</v>
      </c>
      <c r="H935" t="n">
        <v>0</v>
      </c>
      <c r="I935" t="inlineStr">
        <is>
          <t>Batch 1 - TR</t>
        </is>
      </c>
      <c r="J935" s="29" t="n">
        <v>0</v>
      </c>
      <c r="K935" s="30" t="n"/>
      <c r="L935" s="29" t="n">
        <v>0</v>
      </c>
      <c r="M935" s="29" t="n">
        <v>0</v>
      </c>
      <c r="N935" s="2" t="n">
        <v>0</v>
      </c>
      <c r="O935" s="31" t="n">
        <v>0</v>
      </c>
      <c r="P935" s="32" t="n"/>
      <c r="Q935" s="32" t="n">
        <v>0</v>
      </c>
      <c r="R935" s="32" t="n">
        <v>0</v>
      </c>
      <c r="S935" s="31" t="n">
        <v>0</v>
      </c>
      <c r="T935" s="32" t="n">
        <v>0</v>
      </c>
      <c r="U935" s="31" t="n">
        <v>0</v>
      </c>
      <c r="V935" s="31" t="n">
        <v>0</v>
      </c>
      <c r="W935" s="3" t="n">
        <v>0</v>
      </c>
      <c r="X935" s="3" t="n">
        <v>0</v>
      </c>
      <c r="Y935" s="32" t="n">
        <v>0</v>
      </c>
      <c r="Z935" s="3" t="n">
        <v>0</v>
      </c>
      <c r="AA935" s="32" t="n">
        <v>0</v>
      </c>
      <c r="AB935" s="3" t="n"/>
      <c r="AC935" s="31" t="n">
        <v>0</v>
      </c>
      <c r="AD935" s="2" t="n">
        <v>0</v>
      </c>
      <c r="AE935" s="2" t="n">
        <v>3</v>
      </c>
      <c r="AF935" s="4" t="n">
        <v>3</v>
      </c>
      <c r="AG935" s="33" t="n">
        <v>0</v>
      </c>
      <c r="AH935" s="4" t="n">
        <v>0</v>
      </c>
      <c r="AI935" s="34" t="n"/>
      <c r="AJ935" s="34" t="n">
        <v>0</v>
      </c>
      <c r="AK935" s="2" t="n">
        <v>0</v>
      </c>
      <c r="AL935" t="inlineStr">
        <is>
          <t>Published</t>
        </is>
      </c>
    </row>
    <row r="936">
      <c r="A936">
        <f>HYPERLINK("https://www.walmart.com/ip/1233029912", "1233029912")</f>
        <v/>
      </c>
      <c r="B936">
        <f>HYPERLINK("https://app.optiwise.ai/catalog/itemdetails/787754", "Tirrinia Men's Trout Ventilate Mesh Fish Embroidery Cap Fishing Hat Navy Blue")</f>
        <v/>
      </c>
      <c r="C936" t="inlineStr">
        <is>
          <t>1TRHT7180BRKUP-TBCB</t>
        </is>
      </c>
      <c r="D936" t="inlineStr">
        <is>
          <t>Clothing</t>
        </is>
      </c>
      <c r="E936" t="inlineStr">
        <is>
          <t>Hats</t>
        </is>
      </c>
      <c r="F936" t="inlineStr">
        <is>
          <t>Tirrinia</t>
        </is>
      </c>
      <c r="G936" t="n">
        <v>4.5</v>
      </c>
      <c r="H936" t="n">
        <v>2</v>
      </c>
      <c r="I936" t="inlineStr">
        <is>
          <t>Batch 1 - TR</t>
        </is>
      </c>
      <c r="J936" s="29" t="n">
        <v>0</v>
      </c>
      <c r="K936" s="30" t="n"/>
      <c r="L936" s="29" t="n">
        <v>0</v>
      </c>
      <c r="M936" s="29" t="n">
        <v>0</v>
      </c>
      <c r="N936" s="2" t="n">
        <v>0</v>
      </c>
      <c r="O936" s="31" t="n">
        <v>0</v>
      </c>
      <c r="P936" s="32" t="n"/>
      <c r="Q936" s="32" t="n">
        <v>0</v>
      </c>
      <c r="R936" s="32" t="n">
        <v>0</v>
      </c>
      <c r="S936" s="31" t="n">
        <v>0</v>
      </c>
      <c r="T936" s="32" t="n">
        <v>0</v>
      </c>
      <c r="U936" s="31" t="n">
        <v>0</v>
      </c>
      <c r="V936" s="31" t="n">
        <v>0</v>
      </c>
      <c r="W936" s="3" t="n">
        <v>0</v>
      </c>
      <c r="X936" s="3" t="n">
        <v>0</v>
      </c>
      <c r="Y936" s="32" t="n">
        <v>0</v>
      </c>
      <c r="Z936" s="3" t="n">
        <v>0</v>
      </c>
      <c r="AA936" s="32" t="n">
        <v>0</v>
      </c>
      <c r="AB936" s="3" t="n"/>
      <c r="AC936" s="31" t="n">
        <v>0</v>
      </c>
      <c r="AD936" s="2" t="n">
        <v>0</v>
      </c>
      <c r="AE936" s="2" t="n">
        <v>18</v>
      </c>
      <c r="AF936" s="4" t="n">
        <v>18</v>
      </c>
      <c r="AG936" s="33" t="n">
        <v>0</v>
      </c>
      <c r="AH936" s="4" t="n">
        <v>0</v>
      </c>
      <c r="AI936" s="34" t="n"/>
      <c r="AJ936" s="34" t="n">
        <v>0</v>
      </c>
      <c r="AK936" s="2" t="n">
        <v>0</v>
      </c>
      <c r="AL936" t="inlineStr">
        <is>
          <t>Published</t>
        </is>
      </c>
    </row>
    <row r="937">
      <c r="A937">
        <f>HYPERLINK("https://www.walmart.com/ip/1857465304", "1857465304")</f>
        <v/>
      </c>
      <c r="B937">
        <f>HYPERLINK("https://app.optiwise.ai/catalog/itemdetails/787756", "Tirrinia Men's Trout Ventilate Mesh Fish Embroidery Cap Fishing Hat Navy Blue")</f>
        <v/>
      </c>
      <c r="C937" t="inlineStr">
        <is>
          <t>1TRHT7180BRKUP-12pcs</t>
        </is>
      </c>
      <c r="D937" t="inlineStr">
        <is>
          <t>Clothing</t>
        </is>
      </c>
      <c r="E937" t="inlineStr">
        <is>
          <t>Hats</t>
        </is>
      </c>
      <c r="F937" t="inlineStr">
        <is>
          <t>Tirrinia</t>
        </is>
      </c>
      <c r="G937" t="n">
        <v>0</v>
      </c>
      <c r="H937" t="n">
        <v>0</v>
      </c>
      <c r="J937" s="29" t="n">
        <v>0</v>
      </c>
      <c r="K937" s="30" t="n"/>
      <c r="L937" s="29" t="n">
        <v>0</v>
      </c>
      <c r="M937" s="29" t="n">
        <v>0</v>
      </c>
      <c r="N937" s="2" t="n">
        <v>0</v>
      </c>
      <c r="O937" s="31" t="n">
        <v>0</v>
      </c>
      <c r="P937" s="32" t="n"/>
      <c r="Q937" s="32" t="n">
        <v>0</v>
      </c>
      <c r="R937" s="32" t="n">
        <v>0</v>
      </c>
      <c r="S937" s="31" t="n">
        <v>0</v>
      </c>
      <c r="T937" s="32" t="n">
        <v>0</v>
      </c>
      <c r="U937" s="31" t="n">
        <v>0</v>
      </c>
      <c r="V937" s="31" t="n">
        <v>0</v>
      </c>
      <c r="W937" s="3" t="n">
        <v>0</v>
      </c>
      <c r="X937" s="3" t="n">
        <v>0</v>
      </c>
      <c r="Y937" s="32" t="n">
        <v>0</v>
      </c>
      <c r="Z937" s="3" t="n">
        <v>0</v>
      </c>
      <c r="AA937" s="32" t="n">
        <v>0</v>
      </c>
      <c r="AB937" s="3" t="n"/>
      <c r="AC937" s="31" t="n">
        <v>0</v>
      </c>
      <c r="AD937" s="2" t="n">
        <v>0</v>
      </c>
      <c r="AE937" s="2" t="n">
        <v>1</v>
      </c>
      <c r="AF937" s="4" t="n">
        <v>1</v>
      </c>
      <c r="AG937" s="33" t="n">
        <v>0</v>
      </c>
      <c r="AH937" s="4" t="n">
        <v>0</v>
      </c>
      <c r="AI937" s="34" t="n"/>
      <c r="AJ937" s="34" t="n">
        <v>0</v>
      </c>
      <c r="AK937" s="2" t="n">
        <v>0</v>
      </c>
      <c r="AL937" t="inlineStr">
        <is>
          <t>Published</t>
        </is>
      </c>
    </row>
    <row r="938">
      <c r="A938">
        <f>HYPERLINK("https://www.walmart.com/ip/645250394", "645250394")</f>
        <v/>
      </c>
      <c r="B938">
        <f>HYPERLINK("https://app.optiwise.ai/catalog/itemdetails/409190", "Oversized Hooded Poncho Cape, Casual Hoodie Sweatshirt, Batwing Coat Pullover | Light Weight, Cozy, Comfortable, Roomy | for Adults Women Men Teens")</f>
        <v/>
      </c>
      <c r="C938" t="inlineStr">
        <is>
          <t>1CTHD542PP</t>
        </is>
      </c>
      <c r="D938" t="inlineStr">
        <is>
          <t>Clothing</t>
        </is>
      </c>
      <c r="E938" t="inlineStr">
        <is>
          <t>Sweatshirts &amp; Hoodies</t>
        </is>
      </c>
      <c r="F938" t="inlineStr">
        <is>
          <t>Catalonia</t>
        </is>
      </c>
      <c r="G938" t="n">
        <v>3.5</v>
      </c>
      <c r="H938" t="n">
        <v>2</v>
      </c>
      <c r="I938" t="inlineStr">
        <is>
          <t>Hoodie ForAdult,Optimized,Coupon_Discount</t>
        </is>
      </c>
      <c r="J938" s="29" t="n">
        <v>0</v>
      </c>
      <c r="K938" s="30" t="n"/>
      <c r="L938" s="29" t="n">
        <v>0</v>
      </c>
      <c r="M938" s="29" t="n">
        <v>0</v>
      </c>
      <c r="N938" s="2" t="n">
        <v>0</v>
      </c>
      <c r="O938" s="31" t="n">
        <v>0</v>
      </c>
      <c r="P938" s="32" t="n"/>
      <c r="Q938" s="32" t="n">
        <v>0</v>
      </c>
      <c r="R938" s="32" t="n">
        <v>0</v>
      </c>
      <c r="S938" s="31" t="n">
        <v>0</v>
      </c>
      <c r="T938" s="32" t="n">
        <v>0</v>
      </c>
      <c r="U938" s="31" t="n">
        <v>0</v>
      </c>
      <c r="V938" s="31" t="n">
        <v>0</v>
      </c>
      <c r="W938" s="3" t="n">
        <v>0</v>
      </c>
      <c r="X938" s="3" t="n">
        <v>0</v>
      </c>
      <c r="Y938" s="32" t="n">
        <v>0</v>
      </c>
      <c r="Z938" s="3" t="n">
        <v>0</v>
      </c>
      <c r="AA938" s="32" t="n">
        <v>0</v>
      </c>
      <c r="AB938" s="3" t="n"/>
      <c r="AC938" s="31" t="n">
        <v>0</v>
      </c>
      <c r="AD938" s="2" t="n">
        <v>0</v>
      </c>
      <c r="AE938" s="2" t="n">
        <v>17</v>
      </c>
      <c r="AF938" s="4" t="n">
        <v>17</v>
      </c>
      <c r="AG938" s="33" t="n">
        <v>0</v>
      </c>
      <c r="AH938" s="4" t="n">
        <v>0</v>
      </c>
      <c r="AI938" s="34" t="n"/>
      <c r="AJ938" s="34" t="n">
        <v>0</v>
      </c>
      <c r="AK938" s="2" t="n">
        <v>0</v>
      </c>
      <c r="AL938" t="inlineStr">
        <is>
          <t>Published</t>
        </is>
      </c>
    </row>
    <row r="939">
      <c r="A939">
        <f>HYPERLINK("https://www.walmart.com/ip/648587696", "648587696")</f>
        <v/>
      </c>
      <c r="B939">
        <f>HYPERLINK("https://app.optiwise.ai/catalog/itemdetails/409189", "Tirrinia 3-Bottle, Padded, Insulated Wine Carrier Bag, Wine Gift Bag with Front Pocket, Gray, 12 x 4 x 13")</f>
        <v/>
      </c>
      <c r="C939" t="inlineStr">
        <is>
          <t>1TRWB310GY</t>
        </is>
      </c>
      <c r="D939" t="inlineStr">
        <is>
          <t>Home Decor, Kitchen, &amp; Other</t>
        </is>
      </c>
      <c r="E939" t="inlineStr">
        <is>
          <t>Wine Totes, Bags &amp; Backpacks</t>
        </is>
      </c>
      <c r="F939" t="inlineStr">
        <is>
          <t>Tirrinia</t>
        </is>
      </c>
      <c r="G939" t="n">
        <v>5</v>
      </c>
      <c r="H939" t="n">
        <v>1</v>
      </c>
      <c r="I939" t="inlineStr">
        <is>
          <t>Wine,Christmas,Optimized,Valentine,Lily Brand Camp</t>
        </is>
      </c>
      <c r="J939" s="29" t="n">
        <v>0</v>
      </c>
      <c r="K939" s="30" t="n"/>
      <c r="L939" s="29" t="n">
        <v>0</v>
      </c>
      <c r="M939" s="29" t="n">
        <v>0</v>
      </c>
      <c r="N939" s="2" t="n">
        <v>0</v>
      </c>
      <c r="O939" s="31" t="n">
        <v>1.55</v>
      </c>
      <c r="P939" s="32" t="n">
        <v>0.0002</v>
      </c>
      <c r="Q939" s="32" t="n">
        <v>0</v>
      </c>
      <c r="R939" s="32" t="n">
        <v>0</v>
      </c>
      <c r="S939" s="31" t="n">
        <v>0</v>
      </c>
      <c r="T939" s="32" t="n">
        <v>0</v>
      </c>
      <c r="U939" s="31" t="n">
        <v>0</v>
      </c>
      <c r="V939" s="31" t="n">
        <v>0</v>
      </c>
      <c r="W939" s="3" t="n">
        <v>2326</v>
      </c>
      <c r="X939" s="3" t="n">
        <v>5</v>
      </c>
      <c r="Y939" s="32" t="n">
        <v>0.0021</v>
      </c>
      <c r="Z939" s="3" t="n">
        <v>0</v>
      </c>
      <c r="AA939" s="32" t="n">
        <v>0</v>
      </c>
      <c r="AB939" s="3" t="inlineStr">
        <is>
          <t>Auto Campaign_Vinay</t>
        </is>
      </c>
      <c r="AC939" s="31" t="n">
        <v>0.31</v>
      </c>
      <c r="AD939" s="2" t="n">
        <v>0</v>
      </c>
      <c r="AE939" s="2" t="n">
        <v>22</v>
      </c>
      <c r="AF939" s="4" t="n">
        <v>17</v>
      </c>
      <c r="AG939" s="33" t="n">
        <v>0</v>
      </c>
      <c r="AH939" s="4" t="n">
        <v>0</v>
      </c>
      <c r="AI939" s="34" t="n"/>
      <c r="AJ939" s="34" t="n">
        <v>0</v>
      </c>
      <c r="AK939" s="2" t="n">
        <v>0</v>
      </c>
      <c r="AL939" t="inlineStr">
        <is>
          <t>Published</t>
        </is>
      </c>
    </row>
    <row r="940">
      <c r="A940">
        <f>HYPERLINK("https://www.walmart.com/ip/1566465841", "1566465841")</f>
        <v/>
      </c>
      <c r="B940">
        <f>HYPERLINK("https://app.optiwise.ai/catalog/itemdetails/787759", "12 Pack Sun Blocker Women's Sun Hat UPF 50+ Bucket Cap Packable Outdoor Travel Hat , Blue Pattern")</f>
        <v/>
      </c>
      <c r="C940" t="inlineStr">
        <is>
          <t>KC-S9200-BL-12pcs</t>
        </is>
      </c>
      <c r="D940" t="inlineStr">
        <is>
          <t>Clothing</t>
        </is>
      </c>
      <c r="E940" t="inlineStr">
        <is>
          <t>Hats</t>
        </is>
      </c>
      <c r="F940" t="inlineStr">
        <is>
          <t>Sun Blocker</t>
        </is>
      </c>
      <c r="G940" t="n">
        <v>0</v>
      </c>
      <c r="H940" t="n">
        <v>0</v>
      </c>
      <c r="I940" t="inlineStr">
        <is>
          <t>Batch 1 - TR</t>
        </is>
      </c>
      <c r="J940" s="29" t="n">
        <v>0</v>
      </c>
      <c r="K940" s="30" t="n"/>
      <c r="L940" s="29" t="n">
        <v>0</v>
      </c>
      <c r="M940" s="29" t="n">
        <v>0</v>
      </c>
      <c r="N940" s="2" t="n">
        <v>0</v>
      </c>
      <c r="O940" s="31" t="n">
        <v>0</v>
      </c>
      <c r="P940" s="32" t="n"/>
      <c r="Q940" s="32" t="n">
        <v>0</v>
      </c>
      <c r="R940" s="32" t="n">
        <v>0</v>
      </c>
      <c r="S940" s="31" t="n">
        <v>0</v>
      </c>
      <c r="T940" s="32" t="n">
        <v>0</v>
      </c>
      <c r="U940" s="31" t="n">
        <v>0</v>
      </c>
      <c r="V940" s="31" t="n">
        <v>0</v>
      </c>
      <c r="W940" s="3" t="n">
        <v>0</v>
      </c>
      <c r="X940" s="3" t="n">
        <v>0</v>
      </c>
      <c r="Y940" s="32" t="n">
        <v>0</v>
      </c>
      <c r="Z940" s="3" t="n">
        <v>0</v>
      </c>
      <c r="AA940" s="32" t="n">
        <v>0</v>
      </c>
      <c r="AB940" s="3" t="n"/>
      <c r="AC940" s="31" t="n">
        <v>0</v>
      </c>
      <c r="AD940" s="2" t="n">
        <v>0</v>
      </c>
      <c r="AE940" s="2" t="n">
        <v>1</v>
      </c>
      <c r="AF940" s="4" t="n">
        <v>1</v>
      </c>
      <c r="AG940" s="33" t="n">
        <v>0</v>
      </c>
      <c r="AH940" s="4" t="n">
        <v>0</v>
      </c>
      <c r="AI940" s="34" t="n"/>
      <c r="AJ940" s="34" t="n">
        <v>0</v>
      </c>
      <c r="AK940" s="2" t="n">
        <v>0</v>
      </c>
      <c r="AL940" t="inlineStr">
        <is>
          <t>Published</t>
        </is>
      </c>
    </row>
    <row r="941">
      <c r="A941">
        <f>HYPERLINK("https://www.walmart.com/ip/1817809428", "1817809428")</f>
        <v/>
      </c>
      <c r="B941">
        <f>HYPERLINK("https://app.optiwise.ai/catalog/itemdetails/787760", "Tirrinia Men's Trout Ventilate Mesh Fish Embroidery Cap Fishing Hat Navy Blue")</f>
        <v/>
      </c>
      <c r="C941" t="inlineStr">
        <is>
          <t>1TRHT7180CONTRY-TBCB</t>
        </is>
      </c>
      <c r="D941" t="inlineStr">
        <is>
          <t>Clothing</t>
        </is>
      </c>
      <c r="E941" t="inlineStr">
        <is>
          <t>Hats</t>
        </is>
      </c>
      <c r="F941" t="inlineStr">
        <is>
          <t>Tirrinia</t>
        </is>
      </c>
      <c r="G941" t="n">
        <v>0</v>
      </c>
      <c r="H941" t="n">
        <v>0</v>
      </c>
      <c r="I941" t="inlineStr">
        <is>
          <t>Batch 1 - TR</t>
        </is>
      </c>
      <c r="J941" s="29" t="n">
        <v>0</v>
      </c>
      <c r="K941" s="30" t="n"/>
      <c r="L941" s="29" t="n">
        <v>0</v>
      </c>
      <c r="M941" s="29" t="n">
        <v>0</v>
      </c>
      <c r="N941" s="2" t="n">
        <v>0</v>
      </c>
      <c r="O941" s="31" t="n">
        <v>0</v>
      </c>
      <c r="P941" s="32" t="n"/>
      <c r="Q941" s="32" t="n">
        <v>0</v>
      </c>
      <c r="R941" s="32" t="n">
        <v>0</v>
      </c>
      <c r="S941" s="31" t="n">
        <v>0</v>
      </c>
      <c r="T941" s="32" t="n">
        <v>0</v>
      </c>
      <c r="U941" s="31" t="n">
        <v>0</v>
      </c>
      <c r="V941" s="31" t="n">
        <v>0</v>
      </c>
      <c r="W941" s="3" t="n">
        <v>0</v>
      </c>
      <c r="X941" s="3" t="n">
        <v>0</v>
      </c>
      <c r="Y941" s="32" t="n">
        <v>0</v>
      </c>
      <c r="Z941" s="3" t="n">
        <v>0</v>
      </c>
      <c r="AA941" s="32" t="n">
        <v>0</v>
      </c>
      <c r="AB941" s="3" t="n"/>
      <c r="AC941" s="31" t="n">
        <v>0</v>
      </c>
      <c r="AD941" s="2" t="n">
        <v>0</v>
      </c>
      <c r="AE941" s="2" t="n">
        <v>3</v>
      </c>
      <c r="AF941" s="4" t="n">
        <v>3</v>
      </c>
      <c r="AG941" s="33" t="n">
        <v>0</v>
      </c>
      <c r="AH941" s="4" t="n">
        <v>0</v>
      </c>
      <c r="AI941" s="34" t="n"/>
      <c r="AJ941" s="34" t="n">
        <v>0</v>
      </c>
      <c r="AK941" s="2" t="n">
        <v>0</v>
      </c>
      <c r="AL941" t="inlineStr">
        <is>
          <t>Published</t>
        </is>
      </c>
    </row>
    <row r="942">
      <c r="A942">
        <f>HYPERLINK("https://www.walmart.com/ip/1281105499", "1281105499")</f>
        <v/>
      </c>
      <c r="B942">
        <f>HYPERLINK("https://app.optiwise.ai/catalog/itemdetails/787751", "Tirrinia Neon Hunting Orange Safety Cap Closure")</f>
        <v/>
      </c>
      <c r="C942" t="inlineStr">
        <is>
          <t>1TRHT7121OL-12pcs</t>
        </is>
      </c>
      <c r="D942" t="inlineStr">
        <is>
          <t>Clothing</t>
        </is>
      </c>
      <c r="E942" t="inlineStr">
        <is>
          <t>Hats</t>
        </is>
      </c>
      <c r="F942" t="inlineStr">
        <is>
          <t>Tirrinia</t>
        </is>
      </c>
      <c r="G942" t="n">
        <v>0</v>
      </c>
      <c r="H942" t="n">
        <v>0</v>
      </c>
      <c r="I942" t="inlineStr">
        <is>
          <t>Batch 1 - TR</t>
        </is>
      </c>
      <c r="J942" s="29" t="n">
        <v>0</v>
      </c>
      <c r="K942" s="30" t="n"/>
      <c r="L942" s="29" t="n">
        <v>0</v>
      </c>
      <c r="M942" s="29" t="n">
        <v>0</v>
      </c>
      <c r="N942" s="2" t="n">
        <v>0</v>
      </c>
      <c r="O942" s="31" t="n">
        <v>0</v>
      </c>
      <c r="P942" s="32" t="n"/>
      <c r="Q942" s="32" t="n">
        <v>0</v>
      </c>
      <c r="R942" s="32" t="n">
        <v>0</v>
      </c>
      <c r="S942" s="31" t="n">
        <v>0</v>
      </c>
      <c r="T942" s="32" t="n">
        <v>0</v>
      </c>
      <c r="U942" s="31" t="n">
        <v>0</v>
      </c>
      <c r="V942" s="31" t="n">
        <v>0</v>
      </c>
      <c r="W942" s="3" t="n">
        <v>0</v>
      </c>
      <c r="X942" s="3" t="n">
        <v>0</v>
      </c>
      <c r="Y942" s="32" t="n">
        <v>0</v>
      </c>
      <c r="Z942" s="3" t="n">
        <v>0</v>
      </c>
      <c r="AA942" s="32" t="n">
        <v>0</v>
      </c>
      <c r="AB942" s="3" t="n"/>
      <c r="AC942" s="31" t="n">
        <v>0</v>
      </c>
      <c r="AD942" s="2" t="n">
        <v>0</v>
      </c>
      <c r="AE942" s="2" t="n">
        <v>1</v>
      </c>
      <c r="AF942" s="4" t="n">
        <v>1</v>
      </c>
      <c r="AG942" s="33" t="n">
        <v>0</v>
      </c>
      <c r="AH942" s="4" t="n">
        <v>0</v>
      </c>
      <c r="AI942" s="34" t="n"/>
      <c r="AJ942" s="34" t="n">
        <v>0</v>
      </c>
      <c r="AK942" s="2" t="n">
        <v>0</v>
      </c>
      <c r="AL942" t="inlineStr">
        <is>
          <t>Published</t>
        </is>
      </c>
    </row>
    <row r="943">
      <c r="A943">
        <f>HYPERLINK("https://www.walmart.com/ip/1117710069", "1117710069")</f>
        <v/>
      </c>
      <c r="B943">
        <f>HYPERLINK("https://app.optiwise.ai/catalog/itemdetails/787761", "Tirrinia Men's Olive Color Quail Cap")</f>
        <v/>
      </c>
      <c r="C943" t="inlineStr">
        <is>
          <t>1TRHT32QUAIL-TBCB</t>
        </is>
      </c>
      <c r="D943" t="inlineStr">
        <is>
          <t>Clothing</t>
        </is>
      </c>
      <c r="E943" t="inlineStr">
        <is>
          <t>Hats</t>
        </is>
      </c>
      <c r="F943" t="inlineStr">
        <is>
          <t>Tirrinia</t>
        </is>
      </c>
      <c r="G943" t="n">
        <v>0</v>
      </c>
      <c r="H943" t="n">
        <v>0</v>
      </c>
      <c r="I943" t="inlineStr">
        <is>
          <t>Batch 1 - TR</t>
        </is>
      </c>
      <c r="J943" s="29" t="n">
        <v>0</v>
      </c>
      <c r="K943" s="30" t="n"/>
      <c r="L943" s="29" t="n">
        <v>0</v>
      </c>
      <c r="M943" s="29" t="n">
        <v>0</v>
      </c>
      <c r="N943" s="2" t="n">
        <v>0</v>
      </c>
      <c r="O943" s="31" t="n">
        <v>0</v>
      </c>
      <c r="P943" s="32" t="n"/>
      <c r="Q943" s="32" t="n">
        <v>0</v>
      </c>
      <c r="R943" s="32" t="n">
        <v>0</v>
      </c>
      <c r="S943" s="31" t="n">
        <v>0</v>
      </c>
      <c r="T943" s="32" t="n">
        <v>0</v>
      </c>
      <c r="U943" s="31" t="n">
        <v>0</v>
      </c>
      <c r="V943" s="31" t="n">
        <v>0</v>
      </c>
      <c r="W943" s="3" t="n">
        <v>0</v>
      </c>
      <c r="X943" s="3" t="n">
        <v>0</v>
      </c>
      <c r="Y943" s="32" t="n">
        <v>0</v>
      </c>
      <c r="Z943" s="3" t="n">
        <v>0</v>
      </c>
      <c r="AA943" s="32" t="n">
        <v>0</v>
      </c>
      <c r="AB943" s="3" t="n"/>
      <c r="AC943" s="31" t="n">
        <v>0</v>
      </c>
      <c r="AD943" s="2" t="n">
        <v>0</v>
      </c>
      <c r="AE943" s="2" t="n">
        <v>7</v>
      </c>
      <c r="AF943" s="4" t="n">
        <v>7</v>
      </c>
      <c r="AG943" s="33" t="n">
        <v>0</v>
      </c>
      <c r="AH943" s="4" t="n">
        <v>0</v>
      </c>
      <c r="AI943" s="34" t="n"/>
      <c r="AJ943" s="34" t="n">
        <v>0</v>
      </c>
      <c r="AK943" s="2" t="n">
        <v>0</v>
      </c>
      <c r="AL943" t="inlineStr">
        <is>
          <t>Published</t>
        </is>
      </c>
    </row>
    <row r="944">
      <c r="A944">
        <f>HYPERLINK("https://www.walmart.com/ip/908115790", "908115790")</f>
        <v/>
      </c>
      <c r="B944">
        <f>HYPERLINK("https://app.optiwise.ai/catalog/itemdetails/787381", "Men's Hunting Fishing Hat Camo Series Adjustable Mesh Ball Cap 3D Embroidered #Break Up")</f>
        <v/>
      </c>
      <c r="C944" t="inlineStr">
        <is>
          <t>1TRSH7140BR-TBCB</t>
        </is>
      </c>
      <c r="D944" t="inlineStr">
        <is>
          <t>Clothing</t>
        </is>
      </c>
      <c r="E944" t="inlineStr">
        <is>
          <t>Hats</t>
        </is>
      </c>
      <c r="F944" t="inlineStr">
        <is>
          <t>Tirrinia</t>
        </is>
      </c>
      <c r="G944" t="n">
        <v>0</v>
      </c>
      <c r="H944" t="n">
        <v>0</v>
      </c>
      <c r="I944" t="inlineStr">
        <is>
          <t>Batch 1 - TR</t>
        </is>
      </c>
      <c r="J944" s="29" t="n">
        <v>0</v>
      </c>
      <c r="K944" s="30" t="n"/>
      <c r="L944" s="29" t="n">
        <v>0</v>
      </c>
      <c r="M944" s="29" t="n">
        <v>0</v>
      </c>
      <c r="N944" s="2" t="n">
        <v>0</v>
      </c>
      <c r="O944" s="31" t="n">
        <v>0</v>
      </c>
      <c r="P944" s="32" t="n"/>
      <c r="Q944" s="32" t="n">
        <v>0</v>
      </c>
      <c r="R944" s="32" t="n">
        <v>0</v>
      </c>
      <c r="S944" s="31" t="n">
        <v>0</v>
      </c>
      <c r="T944" s="32" t="n">
        <v>0</v>
      </c>
      <c r="U944" s="31" t="n">
        <v>0</v>
      </c>
      <c r="V944" s="31" t="n">
        <v>0</v>
      </c>
      <c r="W944" s="3" t="n">
        <v>0</v>
      </c>
      <c r="X944" s="3" t="n">
        <v>0</v>
      </c>
      <c r="Y944" s="32" t="n">
        <v>0</v>
      </c>
      <c r="Z944" s="3" t="n">
        <v>0</v>
      </c>
      <c r="AA944" s="32" t="n">
        <v>0</v>
      </c>
      <c r="AB944" s="3" t="n"/>
      <c r="AC944" s="31" t="n">
        <v>0</v>
      </c>
      <c r="AD944" s="2" t="n">
        <v>0</v>
      </c>
      <c r="AE944" s="2" t="n">
        <v>9</v>
      </c>
      <c r="AF944" s="4" t="n">
        <v>9</v>
      </c>
      <c r="AG944" s="33" t="n">
        <v>0</v>
      </c>
      <c r="AH944" s="4" t="n">
        <v>0</v>
      </c>
      <c r="AI944" s="34" t="n"/>
      <c r="AJ944" s="34" t="n">
        <v>0</v>
      </c>
      <c r="AK944" s="2" t="n">
        <v>0</v>
      </c>
      <c r="AL944" t="inlineStr">
        <is>
          <t>Published</t>
        </is>
      </c>
    </row>
    <row r="945">
      <c r="A945">
        <f>HYPERLINK("https://www.walmart.com/ip/1798926450", "1798926450")</f>
        <v/>
      </c>
      <c r="B945">
        <f>HYPERLINK("https://app.optiwise.ai/catalog/itemdetails/787762", "Tirrinia Men's Trout Ventilate Mesh Fish Embroidery Cap Fishing Hat Navy Blue")</f>
        <v/>
      </c>
      <c r="C945" t="inlineStr">
        <is>
          <t>1TRHT13CAMO-TBCB</t>
        </is>
      </c>
      <c r="D945" t="inlineStr">
        <is>
          <t>Clothing</t>
        </is>
      </c>
      <c r="E945" t="inlineStr">
        <is>
          <t>Hats</t>
        </is>
      </c>
      <c r="F945" t="inlineStr">
        <is>
          <t>Tirrinia</t>
        </is>
      </c>
      <c r="G945" t="n">
        <v>0</v>
      </c>
      <c r="H945" t="n">
        <v>0</v>
      </c>
      <c r="I945" t="inlineStr">
        <is>
          <t>Batch 1 - TR</t>
        </is>
      </c>
      <c r="J945" s="29" t="n">
        <v>0</v>
      </c>
      <c r="K945" s="30" t="n"/>
      <c r="L945" s="29" t="n">
        <v>0</v>
      </c>
      <c r="M945" s="29" t="n">
        <v>0</v>
      </c>
      <c r="N945" s="2" t="n">
        <v>0</v>
      </c>
      <c r="O945" s="31" t="n">
        <v>0</v>
      </c>
      <c r="P945" s="32" t="n"/>
      <c r="Q945" s="32" t="n">
        <v>0</v>
      </c>
      <c r="R945" s="32" t="n">
        <v>0</v>
      </c>
      <c r="S945" s="31" t="n">
        <v>0</v>
      </c>
      <c r="T945" s="32" t="n">
        <v>0</v>
      </c>
      <c r="U945" s="31" t="n">
        <v>0</v>
      </c>
      <c r="V945" s="31" t="n">
        <v>0</v>
      </c>
      <c r="W945" s="3" t="n">
        <v>0</v>
      </c>
      <c r="X945" s="3" t="n">
        <v>0</v>
      </c>
      <c r="Y945" s="32" t="n">
        <v>0</v>
      </c>
      <c r="Z945" s="3" t="n">
        <v>0</v>
      </c>
      <c r="AA945" s="32" t="n">
        <v>0</v>
      </c>
      <c r="AB945" s="3" t="n"/>
      <c r="AC945" s="31" t="n">
        <v>0</v>
      </c>
      <c r="AD945" s="2" t="n">
        <v>0</v>
      </c>
      <c r="AE945" s="2" t="n">
        <v>2</v>
      </c>
      <c r="AF945" s="4" t="n">
        <v>2</v>
      </c>
      <c r="AG945" s="33" t="n">
        <v>0</v>
      </c>
      <c r="AH945" s="4" t="n">
        <v>0</v>
      </c>
      <c r="AI945" s="34" t="n"/>
      <c r="AJ945" s="34" t="n">
        <v>0</v>
      </c>
      <c r="AK945" s="2" t="n">
        <v>0</v>
      </c>
      <c r="AL945" t="inlineStr">
        <is>
          <t>Published</t>
        </is>
      </c>
    </row>
    <row r="946">
      <c r="A946">
        <f>HYPERLINK("https://www.walmart.com/ip/1397492556", "1397492556")</f>
        <v/>
      </c>
      <c r="B946">
        <f>HYPERLINK("https://app.optiwise.ai/catalog/itemdetails/787763", "Tirrinia Neon Hunting Orange Safety Cap Closure")</f>
        <v/>
      </c>
      <c r="C946" t="inlineStr">
        <is>
          <t>1TRHT7120NEON-TBCB</t>
        </is>
      </c>
      <c r="D946" t="inlineStr">
        <is>
          <t>Clothing</t>
        </is>
      </c>
      <c r="E946" t="inlineStr">
        <is>
          <t>Hats</t>
        </is>
      </c>
      <c r="F946" t="inlineStr">
        <is>
          <t>Tirrinia</t>
        </is>
      </c>
      <c r="G946" t="n">
        <v>0</v>
      </c>
      <c r="H946" t="n">
        <v>0</v>
      </c>
      <c r="I946" t="inlineStr">
        <is>
          <t>Batch 1 - TR</t>
        </is>
      </c>
      <c r="J946" s="29" t="n">
        <v>0</v>
      </c>
      <c r="K946" s="30" t="n"/>
      <c r="L946" s="29" t="n">
        <v>0</v>
      </c>
      <c r="M946" s="29" t="n">
        <v>0</v>
      </c>
      <c r="N946" s="2" t="n">
        <v>0</v>
      </c>
      <c r="O946" s="31" t="n">
        <v>0</v>
      </c>
      <c r="P946" s="32" t="n"/>
      <c r="Q946" s="32" t="n">
        <v>0</v>
      </c>
      <c r="R946" s="32" t="n">
        <v>0</v>
      </c>
      <c r="S946" s="31" t="n">
        <v>0</v>
      </c>
      <c r="T946" s="32" t="n">
        <v>0</v>
      </c>
      <c r="U946" s="31" t="n">
        <v>0</v>
      </c>
      <c r="V946" s="31" t="n">
        <v>0</v>
      </c>
      <c r="W946" s="3" t="n">
        <v>0</v>
      </c>
      <c r="X946" s="3" t="n">
        <v>0</v>
      </c>
      <c r="Y946" s="32" t="n">
        <v>0</v>
      </c>
      <c r="Z946" s="3" t="n">
        <v>0</v>
      </c>
      <c r="AA946" s="32" t="n">
        <v>0</v>
      </c>
      <c r="AB946" s="3" t="n"/>
      <c r="AC946" s="31" t="n">
        <v>0</v>
      </c>
      <c r="AD946" s="2" t="n">
        <v>0</v>
      </c>
      <c r="AE946" s="2" t="n">
        <v>0</v>
      </c>
      <c r="AF946" s="4" t="n">
        <v>0</v>
      </c>
      <c r="AG946" s="33" t="n">
        <v>0</v>
      </c>
      <c r="AH946" s="4" t="n">
        <v>0</v>
      </c>
      <c r="AI946" s="34" t="n"/>
      <c r="AJ946" s="34" t="n">
        <v>0</v>
      </c>
      <c r="AK946" s="2" t="n">
        <v>0</v>
      </c>
      <c r="AL946" t="inlineStr">
        <is>
          <t>Published</t>
        </is>
      </c>
    </row>
    <row r="947">
      <c r="A947">
        <f>HYPERLINK("https://www.walmart.com/ip/565155576", "565155576")</f>
        <v/>
      </c>
      <c r="B947">
        <f>HYPERLINK("https://app.optiwise.ai/catalog/itemdetails/787380", "Tirrinia Neon Hunting Orange Safety Cap Closure")</f>
        <v/>
      </c>
      <c r="C947" t="inlineStr">
        <is>
          <t>1TRHT7121BK-TBCB</t>
        </is>
      </c>
      <c r="D947" t="inlineStr">
        <is>
          <t>Clothing</t>
        </is>
      </c>
      <c r="E947" t="inlineStr">
        <is>
          <t>Hats</t>
        </is>
      </c>
      <c r="F947" t="inlineStr">
        <is>
          <t>Tirrinia</t>
        </is>
      </c>
      <c r="G947" t="n">
        <v>0</v>
      </c>
      <c r="H947" t="n">
        <v>0</v>
      </c>
      <c r="I947" t="inlineStr">
        <is>
          <t>Batch 1 - TR</t>
        </is>
      </c>
      <c r="J947" s="29" t="n">
        <v>0</v>
      </c>
      <c r="K947" s="30" t="n"/>
      <c r="L947" s="29" t="n">
        <v>0</v>
      </c>
      <c r="M947" s="29" t="n">
        <v>0</v>
      </c>
      <c r="N947" s="2" t="n">
        <v>0</v>
      </c>
      <c r="O947" s="31" t="n">
        <v>0</v>
      </c>
      <c r="P947" s="32" t="n"/>
      <c r="Q947" s="32" t="n">
        <v>0</v>
      </c>
      <c r="R947" s="32" t="n">
        <v>0</v>
      </c>
      <c r="S947" s="31" t="n">
        <v>0</v>
      </c>
      <c r="T947" s="32" t="n">
        <v>0</v>
      </c>
      <c r="U947" s="31" t="n">
        <v>0</v>
      </c>
      <c r="V947" s="31" t="n">
        <v>0</v>
      </c>
      <c r="W947" s="3" t="n">
        <v>0</v>
      </c>
      <c r="X947" s="3" t="n">
        <v>0</v>
      </c>
      <c r="Y947" s="32" t="n">
        <v>0</v>
      </c>
      <c r="Z947" s="3" t="n">
        <v>0</v>
      </c>
      <c r="AA947" s="32" t="n">
        <v>0</v>
      </c>
      <c r="AB947" s="3" t="n"/>
      <c r="AC947" s="31" t="n">
        <v>0</v>
      </c>
      <c r="AD947" s="2" t="n">
        <v>0</v>
      </c>
      <c r="AE947" s="2" t="n">
        <v>17</v>
      </c>
      <c r="AF947" s="4" t="n">
        <v>17</v>
      </c>
      <c r="AG947" s="33" t="n">
        <v>0</v>
      </c>
      <c r="AH947" s="4" t="n">
        <v>0</v>
      </c>
      <c r="AI947" s="34" t="n"/>
      <c r="AJ947" s="34" t="n">
        <v>0</v>
      </c>
      <c r="AK947" s="2" t="n">
        <v>0</v>
      </c>
      <c r="AL947" t="inlineStr">
        <is>
          <t>Published</t>
        </is>
      </c>
    </row>
    <row r="948">
      <c r="A948">
        <f>HYPERLINK("https://www.walmart.com/ip/260570738", "260570738")</f>
        <v/>
      </c>
      <c r="B948">
        <f>HYPERLINK("https://app.optiwise.ai/catalog/itemdetails/409188", "Oversized Hooded Poncho Cape, Casual Hoodie Sweatshirt, Batwing Coat Pullover | Light Weight, Cozy, Comfortable, Roomy | for Adults Women Men Teens")</f>
        <v/>
      </c>
      <c r="C948" t="inlineStr">
        <is>
          <t>1CTHD542BK</t>
        </is>
      </c>
      <c r="D948" t="inlineStr">
        <is>
          <t>Clothing</t>
        </is>
      </c>
      <c r="E948" t="inlineStr">
        <is>
          <t>Sweatshirts &amp; Hoodies</t>
        </is>
      </c>
      <c r="F948" t="inlineStr">
        <is>
          <t>Catalonia</t>
        </is>
      </c>
      <c r="G948" t="n">
        <v>3.5</v>
      </c>
      <c r="H948" t="n">
        <v>2</v>
      </c>
      <c r="I948" t="inlineStr">
        <is>
          <t>Hoodie ForAdult,Coupon_Discount</t>
        </is>
      </c>
      <c r="J948" s="29" t="n">
        <v>0</v>
      </c>
      <c r="K948" s="30" t="n"/>
      <c r="L948" s="29" t="n">
        <v>0</v>
      </c>
      <c r="M948" s="29" t="n">
        <v>0</v>
      </c>
      <c r="N948" s="2" t="n">
        <v>0</v>
      </c>
      <c r="O948" s="31" t="n">
        <v>0</v>
      </c>
      <c r="P948" s="32" t="n"/>
      <c r="Q948" s="32" t="n">
        <v>0</v>
      </c>
      <c r="R948" s="32" t="n">
        <v>0</v>
      </c>
      <c r="S948" s="31" t="n">
        <v>0</v>
      </c>
      <c r="T948" s="32" t="n">
        <v>0</v>
      </c>
      <c r="U948" s="31" t="n">
        <v>0</v>
      </c>
      <c r="V948" s="31" t="n">
        <v>0</v>
      </c>
      <c r="W948" s="3" t="n">
        <v>491</v>
      </c>
      <c r="X948" s="3" t="n">
        <v>0</v>
      </c>
      <c r="Y948" s="32" t="n">
        <v>0</v>
      </c>
      <c r="Z948" s="3" t="n">
        <v>0</v>
      </c>
      <c r="AA948" s="32" t="n">
        <v>0</v>
      </c>
      <c r="AB948" s="3" t="inlineStr">
        <is>
          <t>Need to sell these SKUs by 15th Feb</t>
        </is>
      </c>
      <c r="AC948" s="31" t="n">
        <v>0</v>
      </c>
      <c r="AD948" s="2" t="n">
        <v>0</v>
      </c>
      <c r="AE948" s="2" t="n">
        <v>27</v>
      </c>
      <c r="AF948" s="4" t="n">
        <v>27</v>
      </c>
      <c r="AG948" s="33" t="n">
        <v>0</v>
      </c>
      <c r="AH948" s="4" t="n">
        <v>0</v>
      </c>
      <c r="AI948" s="34" t="n"/>
      <c r="AJ948" s="34" t="n">
        <v>0</v>
      </c>
      <c r="AK948" s="2" t="n">
        <v>0</v>
      </c>
      <c r="AL948" t="inlineStr">
        <is>
          <t>Published</t>
        </is>
      </c>
    </row>
    <row r="949">
      <c r="A949">
        <f>HYPERLINK("https://www.walmart.com/ip/1158723968", "1158723968")</f>
        <v/>
      </c>
      <c r="B949">
        <f>HYPERLINK("https://app.optiwise.ai/catalog/itemdetails/787379", "12 Pack Sun Blocker Women's Sun Hat Reversible Bucket Cap UPF 50+ Outdoor Travel Beach Hat, Pink")</f>
        <v/>
      </c>
      <c r="C949" t="inlineStr">
        <is>
          <t>KC-S9200-PK-12pcs</t>
        </is>
      </c>
      <c r="D949" t="inlineStr">
        <is>
          <t>Clothing</t>
        </is>
      </c>
      <c r="E949" t="inlineStr">
        <is>
          <t>Hats</t>
        </is>
      </c>
      <c r="F949" t="inlineStr">
        <is>
          <t>Sun Blocker</t>
        </is>
      </c>
      <c r="G949" t="n">
        <v>0</v>
      </c>
      <c r="H949" t="n">
        <v>0</v>
      </c>
      <c r="I949" t="inlineStr">
        <is>
          <t>Batch 1 - TR</t>
        </is>
      </c>
      <c r="J949" s="29" t="n">
        <v>0</v>
      </c>
      <c r="K949" s="30" t="n"/>
      <c r="L949" s="29" t="n">
        <v>0</v>
      </c>
      <c r="M949" s="29" t="n">
        <v>0</v>
      </c>
      <c r="N949" s="2" t="n">
        <v>0</v>
      </c>
      <c r="O949" s="31" t="n">
        <v>0</v>
      </c>
      <c r="P949" s="32" t="n"/>
      <c r="Q949" s="32" t="n">
        <v>0</v>
      </c>
      <c r="R949" s="32" t="n">
        <v>0</v>
      </c>
      <c r="S949" s="31" t="n">
        <v>0</v>
      </c>
      <c r="T949" s="32" t="n">
        <v>0</v>
      </c>
      <c r="U949" s="31" t="n">
        <v>0</v>
      </c>
      <c r="V949" s="31" t="n">
        <v>0</v>
      </c>
      <c r="W949" s="3" t="n">
        <v>0</v>
      </c>
      <c r="X949" s="3" t="n">
        <v>0</v>
      </c>
      <c r="Y949" s="32" t="n">
        <v>0</v>
      </c>
      <c r="Z949" s="3" t="n">
        <v>0</v>
      </c>
      <c r="AA949" s="32" t="n">
        <v>0</v>
      </c>
      <c r="AB949" s="3" t="n"/>
      <c r="AC949" s="31" t="n">
        <v>0</v>
      </c>
      <c r="AD949" s="2" t="n">
        <v>0</v>
      </c>
      <c r="AE949" s="2" t="n">
        <v>1</v>
      </c>
      <c r="AF949" s="4" t="n">
        <v>1</v>
      </c>
      <c r="AG949" s="33" t="n">
        <v>0</v>
      </c>
      <c r="AH949" s="4" t="n">
        <v>0</v>
      </c>
      <c r="AI949" s="34" t="n"/>
      <c r="AJ949" s="34" t="n">
        <v>0</v>
      </c>
      <c r="AK949" s="2" t="n">
        <v>0</v>
      </c>
      <c r="AL949" t="inlineStr">
        <is>
          <t>Published</t>
        </is>
      </c>
    </row>
    <row r="950">
      <c r="A950">
        <f>HYPERLINK("https://www.walmart.com/ip/584375905", "584375905")</f>
        <v/>
      </c>
      <c r="B950">
        <f>HYPERLINK("https://app.optiwise.ai/catalog/itemdetails/465348", "Youth Reflective Knit Beanie Hat For Sports Warm")</f>
        <v/>
      </c>
      <c r="C950" t="inlineStr">
        <is>
          <t>1SLBN01OR-FSCB</t>
        </is>
      </c>
      <c r="D950" t="inlineStr">
        <is>
          <t>Clothing</t>
        </is>
      </c>
      <c r="E950" t="inlineStr">
        <is>
          <t>Hats</t>
        </is>
      </c>
      <c r="F950" t="inlineStr">
        <is>
          <t>Solaris</t>
        </is>
      </c>
      <c r="G950" t="n">
        <v>5</v>
      </c>
      <c r="H950" t="n">
        <v>1</v>
      </c>
      <c r="I950" t="inlineStr">
        <is>
          <t>Optimized</t>
        </is>
      </c>
      <c r="J950" s="29" t="n">
        <v>0</v>
      </c>
      <c r="K950" s="30" t="n"/>
      <c r="L950" s="29" t="n">
        <v>0</v>
      </c>
      <c r="M950" s="29" t="n">
        <v>0</v>
      </c>
      <c r="N950" s="2" t="n">
        <v>0</v>
      </c>
      <c r="O950" s="31" t="n">
        <v>0</v>
      </c>
      <c r="P950" s="32" t="n"/>
      <c r="Q950" s="32" t="n">
        <v>0</v>
      </c>
      <c r="R950" s="32" t="n">
        <v>0</v>
      </c>
      <c r="S950" s="31" t="n">
        <v>0</v>
      </c>
      <c r="T950" s="32" t="n">
        <v>0</v>
      </c>
      <c r="U950" s="31" t="n">
        <v>0</v>
      </c>
      <c r="V950" s="31" t="n">
        <v>0</v>
      </c>
      <c r="W950" s="3" t="n">
        <v>0</v>
      </c>
      <c r="X950" s="3" t="n">
        <v>0</v>
      </c>
      <c r="Y950" s="32" t="n">
        <v>0</v>
      </c>
      <c r="Z950" s="3" t="n">
        <v>0</v>
      </c>
      <c r="AA950" s="32" t="n">
        <v>0</v>
      </c>
      <c r="AB950" s="3" t="n"/>
      <c r="AC950" s="31" t="n">
        <v>0</v>
      </c>
      <c r="AD950" s="2" t="n">
        <v>0</v>
      </c>
      <c r="AE950" s="2" t="n">
        <v>5</v>
      </c>
      <c r="AF950" s="4" t="n">
        <v>5</v>
      </c>
      <c r="AG950" s="33" t="n">
        <v>0</v>
      </c>
      <c r="AH950" s="4" t="n">
        <v>0</v>
      </c>
      <c r="AI950" s="34" t="n"/>
      <c r="AJ950" s="34" t="n">
        <v>0</v>
      </c>
      <c r="AK950" s="2" t="n">
        <v>0</v>
      </c>
      <c r="AL950" t="inlineStr">
        <is>
          <t>Published</t>
        </is>
      </c>
    </row>
    <row r="951">
      <c r="A951">
        <f>HYPERLINK("https://www.walmart.com/ip/1753608875", "1753608875")</f>
        <v/>
      </c>
      <c r="B951">
        <f>HYPERLINK("https://app.optiwise.ai/catalog/itemdetails/786581", "Tirrinia Men's Trout Ventilate Mesh Fish Embroidery Cap Fishing Hat Navy Blue")</f>
        <v/>
      </c>
      <c r="C951" t="inlineStr">
        <is>
          <t>KCHT13CAMO-12pcs</t>
        </is>
      </c>
      <c r="D951" t="inlineStr">
        <is>
          <t>Clothing</t>
        </is>
      </c>
      <c r="E951" t="inlineStr">
        <is>
          <t>Hats</t>
        </is>
      </c>
      <c r="F951" t="inlineStr">
        <is>
          <t>Tirrinia</t>
        </is>
      </c>
      <c r="G951" t="n">
        <v>0</v>
      </c>
      <c r="H951" t="n">
        <v>0</v>
      </c>
      <c r="I951" t="inlineStr">
        <is>
          <t>Batch 1 - TR</t>
        </is>
      </c>
      <c r="J951" s="29" t="n">
        <v>0</v>
      </c>
      <c r="K951" s="30" t="n"/>
      <c r="L951" s="29" t="n">
        <v>0</v>
      </c>
      <c r="M951" s="29" t="n">
        <v>0</v>
      </c>
      <c r="N951" s="2" t="n">
        <v>0</v>
      </c>
      <c r="O951" s="31" t="n">
        <v>0</v>
      </c>
      <c r="P951" s="32" t="n"/>
      <c r="Q951" s="32" t="n">
        <v>0</v>
      </c>
      <c r="R951" s="32" t="n">
        <v>0</v>
      </c>
      <c r="S951" s="31" t="n">
        <v>0</v>
      </c>
      <c r="T951" s="32" t="n">
        <v>0</v>
      </c>
      <c r="U951" s="31" t="n">
        <v>0</v>
      </c>
      <c r="V951" s="31" t="n">
        <v>0</v>
      </c>
      <c r="W951" s="3" t="n">
        <v>0</v>
      </c>
      <c r="X951" s="3" t="n">
        <v>0</v>
      </c>
      <c r="Y951" s="32" t="n">
        <v>0</v>
      </c>
      <c r="Z951" s="3" t="n">
        <v>0</v>
      </c>
      <c r="AA951" s="32" t="n">
        <v>0</v>
      </c>
      <c r="AB951" s="3" t="n"/>
      <c r="AC951" s="31" t="n">
        <v>0</v>
      </c>
      <c r="AD951" s="2" t="n">
        <v>0</v>
      </c>
      <c r="AE951" s="2" t="n">
        <v>0</v>
      </c>
      <c r="AF951" s="4" t="n">
        <v>0</v>
      </c>
      <c r="AG951" s="33" t="n">
        <v>0</v>
      </c>
      <c r="AH951" s="4" t="n">
        <v>0</v>
      </c>
      <c r="AI951" s="34" t="n"/>
      <c r="AJ951" s="34" t="n">
        <v>0</v>
      </c>
      <c r="AK951" s="2" t="n">
        <v>0</v>
      </c>
      <c r="AL951" t="inlineStr">
        <is>
          <t>Published</t>
        </is>
      </c>
    </row>
    <row r="952">
      <c r="A952">
        <f>HYPERLINK("https://www.walmart.com/ip/1251379645", "1251379645")</f>
        <v/>
      </c>
      <c r="B952">
        <f>HYPERLINK("https://app.optiwise.ai/catalog/itemdetails/787768", "Bucket Summer Mens Sun Hat Water Repel Mesh Net Light Weight UV Protection Outdoor Cap by Solaris")</f>
        <v/>
      </c>
      <c r="C952" t="inlineStr">
        <is>
          <t>1SLSH191NV-12pcs</t>
        </is>
      </c>
      <c r="D952" t="inlineStr">
        <is>
          <t>Clothing</t>
        </is>
      </c>
      <c r="E952" t="inlineStr">
        <is>
          <t>Hats</t>
        </is>
      </c>
      <c r="F952" t="inlineStr">
        <is>
          <t>Solaris</t>
        </is>
      </c>
      <c r="G952" t="n">
        <v>0</v>
      </c>
      <c r="H952" t="n">
        <v>0</v>
      </c>
      <c r="I952" t="inlineStr">
        <is>
          <t>Batch 1 - TR</t>
        </is>
      </c>
      <c r="J952" s="29" t="n">
        <v>0</v>
      </c>
      <c r="K952" s="30" t="n"/>
      <c r="L952" s="29" t="n">
        <v>0</v>
      </c>
      <c r="M952" s="29" t="n">
        <v>0</v>
      </c>
      <c r="N952" s="2" t="n">
        <v>0</v>
      </c>
      <c r="O952" s="31" t="n">
        <v>0</v>
      </c>
      <c r="P952" s="32" t="n"/>
      <c r="Q952" s="32" t="n">
        <v>0</v>
      </c>
      <c r="R952" s="32" t="n">
        <v>0</v>
      </c>
      <c r="S952" s="31" t="n">
        <v>0</v>
      </c>
      <c r="T952" s="32" t="n">
        <v>0</v>
      </c>
      <c r="U952" s="31" t="n">
        <v>0</v>
      </c>
      <c r="V952" s="31" t="n">
        <v>0</v>
      </c>
      <c r="W952" s="3" t="n">
        <v>0</v>
      </c>
      <c r="X952" s="3" t="n">
        <v>0</v>
      </c>
      <c r="Y952" s="32" t="n">
        <v>0</v>
      </c>
      <c r="Z952" s="3" t="n">
        <v>0</v>
      </c>
      <c r="AA952" s="32" t="n">
        <v>0</v>
      </c>
      <c r="AB952" s="3" t="n"/>
      <c r="AC952" s="31" t="n">
        <v>0</v>
      </c>
      <c r="AD952" s="2" t="n">
        <v>0</v>
      </c>
      <c r="AE952" s="2" t="n">
        <v>1</v>
      </c>
      <c r="AF952" s="4" t="n">
        <v>1</v>
      </c>
      <c r="AG952" s="33" t="n">
        <v>0</v>
      </c>
      <c r="AH952" s="4" t="n">
        <v>0</v>
      </c>
      <c r="AI952" s="34" t="n"/>
      <c r="AJ952" s="34" t="n">
        <v>0</v>
      </c>
      <c r="AK952" s="2" t="n">
        <v>0</v>
      </c>
      <c r="AL952" t="inlineStr">
        <is>
          <t>Published</t>
        </is>
      </c>
    </row>
    <row r="953">
      <c r="A953">
        <f>HYPERLINK("https://www.walmart.com/ip/242634905", "242634905")</f>
        <v/>
      </c>
      <c r="B953">
        <f>HYPERLINK("https://app.optiwise.ai/catalog/itemdetails/669395", "Pawsse Fluffy Microfiber Fleece Blanket, Reversible Plush Blanket Throw for Couch and Sofa, Large Sherpa Dog Blanket, Gray, 50’’ x 60’’")</f>
        <v/>
      </c>
      <c r="C953" t="inlineStr">
        <is>
          <t>1PSBF566GY-TBCB</t>
        </is>
      </c>
      <c r="D953" t="inlineStr">
        <is>
          <t>Animal Accessories</t>
        </is>
      </c>
      <c r="E953" t="inlineStr">
        <is>
          <t>Pet Blankets</t>
        </is>
      </c>
      <c r="F953" t="inlineStr">
        <is>
          <t>Pawsse</t>
        </is>
      </c>
      <c r="G953" t="n">
        <v>4.4</v>
      </c>
      <c r="H953" t="n">
        <v>0</v>
      </c>
      <c r="I953" t="inlineStr">
        <is>
          <t>Batch 1 - TR</t>
        </is>
      </c>
      <c r="J953" s="29" t="n">
        <v>0</v>
      </c>
      <c r="K953" s="30" t="n"/>
      <c r="L953" s="29" t="n">
        <v>0</v>
      </c>
      <c r="M953" s="29" t="n">
        <v>0</v>
      </c>
      <c r="N953" s="2" t="n">
        <v>0</v>
      </c>
      <c r="O953" s="31" t="n">
        <v>0</v>
      </c>
      <c r="P953" s="32" t="n"/>
      <c r="Q953" s="32" t="n">
        <v>0</v>
      </c>
      <c r="R953" s="32" t="n">
        <v>0</v>
      </c>
      <c r="S953" s="31" t="n">
        <v>0</v>
      </c>
      <c r="T953" s="32" t="n">
        <v>0</v>
      </c>
      <c r="U953" s="31" t="n">
        <v>0</v>
      </c>
      <c r="V953" s="31" t="n">
        <v>0</v>
      </c>
      <c r="W953" s="3" t="n">
        <v>0</v>
      </c>
      <c r="X953" s="3" t="n">
        <v>0</v>
      </c>
      <c r="Y953" s="32" t="n">
        <v>0</v>
      </c>
      <c r="Z953" s="3" t="n">
        <v>0</v>
      </c>
      <c r="AA953" s="32" t="n">
        <v>0</v>
      </c>
      <c r="AB953" s="3" t="n"/>
      <c r="AC953" s="31" t="n">
        <v>0</v>
      </c>
      <c r="AD953" s="2" t="n">
        <v>0</v>
      </c>
      <c r="AE953" s="2" t="n">
        <v>5</v>
      </c>
      <c r="AF953" s="4" t="n">
        <v>5</v>
      </c>
      <c r="AG953" s="33" t="n">
        <v>0</v>
      </c>
      <c r="AH953" s="4" t="n">
        <v>0</v>
      </c>
      <c r="AI953" s="34" t="n"/>
      <c r="AJ953" s="34" t="n">
        <v>0</v>
      </c>
      <c r="AK953" s="2" t="n">
        <v>0</v>
      </c>
      <c r="AL953" t="inlineStr">
        <is>
          <t>Published</t>
        </is>
      </c>
    </row>
    <row r="954">
      <c r="A954">
        <f>HYPERLINK("https://www.walmart.com/ip/571512638", "571512638")</f>
        <v/>
      </c>
      <c r="B954">
        <f>HYPERLINK("https://app.optiwise.ai/catalog/itemdetails/409191", "Oversized Hooded Poncho Cape, Casual Hoodie Sweatshirt, Batwing Coat Pullover | Light Weight, Cozy, Comfortable, Roomy | for Adults Women Men Teens")</f>
        <v/>
      </c>
      <c r="C954" t="inlineStr">
        <is>
          <t>1CTHD542BL</t>
        </is>
      </c>
      <c r="D954" t="inlineStr">
        <is>
          <t>Clothing</t>
        </is>
      </c>
      <c r="E954" t="inlineStr">
        <is>
          <t>Sweatshirts &amp; Hoodies</t>
        </is>
      </c>
      <c r="F954" t="inlineStr">
        <is>
          <t>Catalonia</t>
        </is>
      </c>
      <c r="G954" t="n">
        <v>0</v>
      </c>
      <c r="H954" t="n">
        <v>0</v>
      </c>
      <c r="I954" t="inlineStr">
        <is>
          <t>Hoodie ForAdult,Optimized</t>
        </is>
      </c>
      <c r="J954" s="29" t="n">
        <v>0</v>
      </c>
      <c r="K954" s="30" t="n"/>
      <c r="L954" s="29" t="n">
        <v>0</v>
      </c>
      <c r="M954" s="29" t="n">
        <v>0</v>
      </c>
      <c r="N954" s="2" t="n">
        <v>0</v>
      </c>
      <c r="O954" s="31" t="n">
        <v>0</v>
      </c>
      <c r="P954" s="32" t="n"/>
      <c r="Q954" s="32" t="n">
        <v>0</v>
      </c>
      <c r="R954" s="32" t="n">
        <v>0.474</v>
      </c>
      <c r="S954" s="31" t="n">
        <v>0</v>
      </c>
      <c r="T954" s="32" t="n">
        <v>0</v>
      </c>
      <c r="U954" s="31" t="n">
        <v>0</v>
      </c>
      <c r="V954" s="31" t="n">
        <v>0</v>
      </c>
      <c r="W954" s="3" t="n">
        <v>0</v>
      </c>
      <c r="X954" s="3" t="n">
        <v>0</v>
      </c>
      <c r="Y954" s="32" t="n">
        <v>0</v>
      </c>
      <c r="Z954" s="3" t="n">
        <v>0</v>
      </c>
      <c r="AA954" s="32" t="n">
        <v>0</v>
      </c>
      <c r="AB954" s="3" t="n"/>
      <c r="AC954" s="31" t="n">
        <v>0</v>
      </c>
      <c r="AD954" s="2" t="n">
        <v>0</v>
      </c>
      <c r="AE954" s="2" t="n">
        <v>15</v>
      </c>
      <c r="AF954" s="4" t="n">
        <v>15</v>
      </c>
      <c r="AG954" s="33" t="n">
        <v>0</v>
      </c>
      <c r="AH954" s="4" t="n">
        <v>0</v>
      </c>
      <c r="AI954" s="34" t="n"/>
      <c r="AJ954" s="34" t="n">
        <v>0</v>
      </c>
      <c r="AK954" s="2" t="n">
        <v>0</v>
      </c>
      <c r="AL954" t="inlineStr">
        <is>
          <t>Published</t>
        </is>
      </c>
    </row>
    <row r="955">
      <c r="A955">
        <f>HYPERLINK("https://www.walmart.com/ip/982483953", "982483953")</f>
        <v/>
      </c>
      <c r="B955">
        <f>HYPERLINK("https://app.optiwise.ai/catalog/itemdetails/668905", "Tirrinia Fishing Hiking Hat for Women Safari Sun Hat Wide Brim Camping Hiking Fishing Hunting Boating Safari Cap with Adjustable Drawstring Boonie UPF 50+ Grey")</f>
        <v/>
      </c>
      <c r="C955" t="inlineStr">
        <is>
          <t>1TRSH9154GY-TBGM</t>
        </is>
      </c>
      <c r="D955" t="inlineStr">
        <is>
          <t>Clothing</t>
        </is>
      </c>
      <c r="E955" t="inlineStr">
        <is>
          <t>Hats</t>
        </is>
      </c>
      <c r="F955" t="inlineStr">
        <is>
          <t>Sun Blocker</t>
        </is>
      </c>
      <c r="G955" t="n">
        <v>0</v>
      </c>
      <c r="H955" t="n">
        <v>0</v>
      </c>
      <c r="I955" t="inlineStr">
        <is>
          <t>Batch 1 - TR</t>
        </is>
      </c>
      <c r="J955" s="29" t="n">
        <v>0</v>
      </c>
      <c r="K955" s="30" t="n"/>
      <c r="L955" s="29" t="n">
        <v>0</v>
      </c>
      <c r="M955" s="29" t="n">
        <v>0</v>
      </c>
      <c r="N955" s="2" t="n">
        <v>0</v>
      </c>
      <c r="O955" s="31" t="n">
        <v>0</v>
      </c>
      <c r="P955" s="32" t="n"/>
      <c r="Q955" s="32" t="n">
        <v>0</v>
      </c>
      <c r="R955" s="32" t="n">
        <v>0</v>
      </c>
      <c r="S955" s="31" t="n">
        <v>0</v>
      </c>
      <c r="T955" s="32" t="n">
        <v>0</v>
      </c>
      <c r="U955" s="31" t="n">
        <v>0</v>
      </c>
      <c r="V955" s="31" t="n">
        <v>0</v>
      </c>
      <c r="W955" s="3" t="n">
        <v>0</v>
      </c>
      <c r="X955" s="3" t="n">
        <v>0</v>
      </c>
      <c r="Y955" s="32" t="n">
        <v>0</v>
      </c>
      <c r="Z955" s="3" t="n">
        <v>0</v>
      </c>
      <c r="AA955" s="32" t="n">
        <v>0</v>
      </c>
      <c r="AB955" s="3" t="n"/>
      <c r="AC955" s="31" t="n">
        <v>0</v>
      </c>
      <c r="AD955" s="2" t="n">
        <v>0</v>
      </c>
      <c r="AE955" s="2" t="n">
        <v>2</v>
      </c>
      <c r="AF955" s="4" t="n">
        <v>2</v>
      </c>
      <c r="AG955" s="33" t="n">
        <v>0</v>
      </c>
      <c r="AH955" s="4" t="n">
        <v>0</v>
      </c>
      <c r="AI955" s="34" t="n"/>
      <c r="AJ955" s="34" t="n">
        <v>0</v>
      </c>
      <c r="AK955" s="2" t="n">
        <v>0</v>
      </c>
      <c r="AL955" t="inlineStr">
        <is>
          <t>Published</t>
        </is>
      </c>
    </row>
    <row r="956">
      <c r="A956">
        <f>HYPERLINK("https://www.walmart.com/ip/700395906", "700395906")</f>
        <v/>
      </c>
      <c r="B956">
        <f>HYPERLINK("https://app.optiwise.ai/catalog/itemdetails/409187", "Catalonia Oversized Hoodie Sweatshirt Poncho, Casual Hoodie Cape, Batwing Coat Pullover Blanket | Fluffy Sherpa, Comfortable, Roomy | Gift for Adults Women Men, Wine")</f>
        <v/>
      </c>
      <c r="C956" t="inlineStr">
        <is>
          <t>1CTHD542WN</t>
        </is>
      </c>
      <c r="D956" t="inlineStr">
        <is>
          <t>Clothing</t>
        </is>
      </c>
      <c r="E956" t="inlineStr">
        <is>
          <t>Sweatshirts &amp; Hoodies</t>
        </is>
      </c>
      <c r="F956" t="inlineStr">
        <is>
          <t>Catalonia</t>
        </is>
      </c>
      <c r="G956" t="n">
        <v>0</v>
      </c>
      <c r="H956" t="n">
        <v>0</v>
      </c>
      <c r="I956" t="inlineStr">
        <is>
          <t>Hoodie ForAdult,Optimized</t>
        </is>
      </c>
      <c r="J956" s="29" t="n">
        <v>0</v>
      </c>
      <c r="K956" s="30" t="n"/>
      <c r="L956" s="29" t="n">
        <v>0</v>
      </c>
      <c r="M956" s="29" t="n">
        <v>0</v>
      </c>
      <c r="N956" s="2" t="n">
        <v>0</v>
      </c>
      <c r="O956" s="31" t="n">
        <v>0</v>
      </c>
      <c r="P956" s="32" t="n"/>
      <c r="Q956" s="32" t="n">
        <v>0</v>
      </c>
      <c r="R956" s="32" t="n">
        <v>0</v>
      </c>
      <c r="S956" s="31" t="n">
        <v>0</v>
      </c>
      <c r="T956" s="32" t="n">
        <v>0</v>
      </c>
      <c r="U956" s="31" t="n">
        <v>0</v>
      </c>
      <c r="V956" s="31" t="n">
        <v>0</v>
      </c>
      <c r="W956" s="3" t="n">
        <v>0</v>
      </c>
      <c r="X956" s="3" t="n">
        <v>0</v>
      </c>
      <c r="Y956" s="32" t="n">
        <v>0</v>
      </c>
      <c r="Z956" s="3" t="n">
        <v>0</v>
      </c>
      <c r="AA956" s="32" t="n">
        <v>0</v>
      </c>
      <c r="AB956" s="3" t="n"/>
      <c r="AC956" s="31" t="n">
        <v>0</v>
      </c>
      <c r="AD956" s="2" t="n">
        <v>0</v>
      </c>
      <c r="AE956" s="2" t="n">
        <v>10</v>
      </c>
      <c r="AF956" s="4" t="n">
        <v>10</v>
      </c>
      <c r="AG956" s="33" t="n">
        <v>0</v>
      </c>
      <c r="AH956" s="4" t="n">
        <v>0</v>
      </c>
      <c r="AI956" s="34" t="n"/>
      <c r="AJ956" s="34" t="n">
        <v>0</v>
      </c>
      <c r="AK956" s="2" t="n">
        <v>0</v>
      </c>
      <c r="AL956" t="inlineStr">
        <is>
          <t>Published</t>
        </is>
      </c>
    </row>
    <row r="957">
      <c r="A957">
        <f>HYPERLINK("https://www.walmart.com/ip/655377883", "655377883")</f>
        <v/>
      </c>
      <c r="B957">
        <f>HYPERLINK("https://app.optiwise.ai/catalog/itemdetails/668904", "Tirrinia Fishing Hiking Hat for Women Safari Sun Hat Wide Brim Camping Hiking Fishing Hunting Boating Safari Cap with Adjustable Drawstring Boonie UPF 50+ Tan")</f>
        <v/>
      </c>
      <c r="C957" t="inlineStr">
        <is>
          <t>1TRSH9154TN-TBGM</t>
        </is>
      </c>
      <c r="D957" t="inlineStr">
        <is>
          <t>Clothing</t>
        </is>
      </c>
      <c r="E957" t="inlineStr">
        <is>
          <t>Hats</t>
        </is>
      </c>
      <c r="F957" t="inlineStr">
        <is>
          <t>Sun Blocker</t>
        </is>
      </c>
      <c r="G957" t="n">
        <v>5</v>
      </c>
      <c r="H957" t="n">
        <v>1</v>
      </c>
      <c r="I957" t="inlineStr">
        <is>
          <t>Batch 1 - TR</t>
        </is>
      </c>
      <c r="J957" s="29" t="n">
        <v>0</v>
      </c>
      <c r="K957" s="30" t="n"/>
      <c r="L957" s="29" t="n">
        <v>0</v>
      </c>
      <c r="M957" s="29" t="n">
        <v>0</v>
      </c>
      <c r="N957" s="2" t="n">
        <v>0</v>
      </c>
      <c r="O957" s="31" t="n">
        <v>0</v>
      </c>
      <c r="P957" s="32" t="n"/>
      <c r="Q957" s="32" t="n">
        <v>0</v>
      </c>
      <c r="R957" s="32" t="n">
        <v>0</v>
      </c>
      <c r="S957" s="31" t="n">
        <v>0</v>
      </c>
      <c r="T957" s="32" t="n">
        <v>0</v>
      </c>
      <c r="U957" s="31" t="n">
        <v>0</v>
      </c>
      <c r="V957" s="31" t="n">
        <v>0</v>
      </c>
      <c r="W957" s="3" t="n">
        <v>0</v>
      </c>
      <c r="X957" s="3" t="n">
        <v>0</v>
      </c>
      <c r="Y957" s="32" t="n">
        <v>0</v>
      </c>
      <c r="Z957" s="3" t="n">
        <v>0</v>
      </c>
      <c r="AA957" s="32" t="n">
        <v>0</v>
      </c>
      <c r="AB957" s="3" t="n"/>
      <c r="AC957" s="31" t="n">
        <v>0</v>
      </c>
      <c r="AD957" s="2" t="n">
        <v>0</v>
      </c>
      <c r="AE957" s="2" t="n">
        <v>13</v>
      </c>
      <c r="AF957" s="4" t="n">
        <v>13</v>
      </c>
      <c r="AG957" s="33" t="n">
        <v>0</v>
      </c>
      <c r="AH957" s="4" t="n">
        <v>0</v>
      </c>
      <c r="AI957" s="34" t="n"/>
      <c r="AJ957" s="34" t="n">
        <v>0</v>
      </c>
      <c r="AK957" s="2" t="n">
        <v>0</v>
      </c>
      <c r="AL957" t="inlineStr">
        <is>
          <t>Published</t>
        </is>
      </c>
    </row>
    <row r="958">
      <c r="A958">
        <f>HYPERLINK("https://www.walmart.com/ip/1314177271", "1314177271")</f>
        <v/>
      </c>
      <c r="B958">
        <f>HYPERLINK("https://app.optiwise.ai/catalog/itemdetails/787769", "Tirrinia Neon Hunting Orange Safety Cap Closure")</f>
        <v/>
      </c>
      <c r="C958" t="inlineStr">
        <is>
          <t>1TRHT7121OL-TBCB</t>
        </is>
      </c>
      <c r="D958" t="inlineStr">
        <is>
          <t>Clothing</t>
        </is>
      </c>
      <c r="E958" t="inlineStr">
        <is>
          <t>Hats</t>
        </is>
      </c>
      <c r="F958" t="inlineStr">
        <is>
          <t>Tirrinia</t>
        </is>
      </c>
      <c r="G958" t="n">
        <v>0</v>
      </c>
      <c r="H958" t="n">
        <v>0</v>
      </c>
      <c r="I958" t="inlineStr">
        <is>
          <t>Batch 1 - TR</t>
        </is>
      </c>
      <c r="J958" s="29" t="n">
        <v>0</v>
      </c>
      <c r="K958" s="30" t="n"/>
      <c r="L958" s="29" t="n">
        <v>0</v>
      </c>
      <c r="M958" s="29" t="n">
        <v>0</v>
      </c>
      <c r="N958" s="2" t="n">
        <v>0</v>
      </c>
      <c r="O958" s="31" t="n">
        <v>0</v>
      </c>
      <c r="P958" s="32" t="n"/>
      <c r="Q958" s="32" t="n">
        <v>0</v>
      </c>
      <c r="R958" s="32" t="n">
        <v>0</v>
      </c>
      <c r="S958" s="31" t="n">
        <v>0</v>
      </c>
      <c r="T958" s="32" t="n">
        <v>0</v>
      </c>
      <c r="U958" s="31" t="n">
        <v>0</v>
      </c>
      <c r="V958" s="31" t="n">
        <v>0</v>
      </c>
      <c r="W958" s="3" t="n">
        <v>0</v>
      </c>
      <c r="X958" s="3" t="n">
        <v>0</v>
      </c>
      <c r="Y958" s="32" t="n">
        <v>0</v>
      </c>
      <c r="Z958" s="3" t="n">
        <v>0</v>
      </c>
      <c r="AA958" s="32" t="n">
        <v>0</v>
      </c>
      <c r="AB958" s="3" t="n"/>
      <c r="AC958" s="31" t="n">
        <v>0</v>
      </c>
      <c r="AD958" s="2" t="n">
        <v>0</v>
      </c>
      <c r="AE958" s="2" t="n">
        <v>12</v>
      </c>
      <c r="AF958" s="4" t="n">
        <v>12</v>
      </c>
      <c r="AG958" s="33" t="n">
        <v>0</v>
      </c>
      <c r="AH958" s="4" t="n">
        <v>0</v>
      </c>
      <c r="AI958" s="34" t="n"/>
      <c r="AJ958" s="34" t="n">
        <v>0</v>
      </c>
      <c r="AK958" s="2" t="n">
        <v>0</v>
      </c>
      <c r="AL958" t="inlineStr">
        <is>
          <t>Published</t>
        </is>
      </c>
    </row>
    <row r="959">
      <c r="A959">
        <f>HYPERLINK("https://www.walmart.com/ip/1470055620", "1470055620")</f>
        <v/>
      </c>
      <c r="B959">
        <f>HYPERLINK("https://app.optiwise.ai/catalog/itemdetails/787771", "Tirrinia Mossy Oak New Break Up Elk Hunting Cap Hat")</f>
        <v/>
      </c>
      <c r="C959" t="inlineStr">
        <is>
          <t>1TRHT03ELK-TBCB</t>
        </is>
      </c>
      <c r="D959" t="inlineStr">
        <is>
          <t>Clothing</t>
        </is>
      </c>
      <c r="E959" t="inlineStr">
        <is>
          <t>Hats</t>
        </is>
      </c>
      <c r="F959" t="inlineStr">
        <is>
          <t>Tirrinia</t>
        </is>
      </c>
      <c r="G959" t="n">
        <v>0</v>
      </c>
      <c r="H959" t="n">
        <v>0</v>
      </c>
      <c r="I959" t="inlineStr">
        <is>
          <t>Batch 1 - TR</t>
        </is>
      </c>
      <c r="J959" s="29" t="n">
        <v>0</v>
      </c>
      <c r="K959" s="30" t="n"/>
      <c r="L959" s="29" t="n">
        <v>0</v>
      </c>
      <c r="M959" s="29" t="n">
        <v>0</v>
      </c>
      <c r="N959" s="2" t="n">
        <v>0</v>
      </c>
      <c r="O959" s="31" t="n">
        <v>0</v>
      </c>
      <c r="P959" s="32" t="n"/>
      <c r="Q959" s="32" t="n">
        <v>0</v>
      </c>
      <c r="R959" s="32" t="n">
        <v>0</v>
      </c>
      <c r="S959" s="31" t="n">
        <v>0</v>
      </c>
      <c r="T959" s="32" t="n">
        <v>0</v>
      </c>
      <c r="U959" s="31" t="n">
        <v>0</v>
      </c>
      <c r="V959" s="31" t="n">
        <v>0</v>
      </c>
      <c r="W959" s="3" t="n">
        <v>0</v>
      </c>
      <c r="X959" s="3" t="n">
        <v>0</v>
      </c>
      <c r="Y959" s="32" t="n">
        <v>0</v>
      </c>
      <c r="Z959" s="3" t="n">
        <v>0</v>
      </c>
      <c r="AA959" s="32" t="n">
        <v>0</v>
      </c>
      <c r="AB959" s="3" t="n"/>
      <c r="AC959" s="31" t="n">
        <v>0</v>
      </c>
      <c r="AD959" s="2" t="n">
        <v>0</v>
      </c>
      <c r="AE959" s="2" t="n">
        <v>13</v>
      </c>
      <c r="AF959" s="4" t="n">
        <v>13</v>
      </c>
      <c r="AG959" s="33" t="n">
        <v>0</v>
      </c>
      <c r="AH959" s="4" t="n">
        <v>0</v>
      </c>
      <c r="AI959" s="34" t="n"/>
      <c r="AJ959" s="34" t="n">
        <v>0</v>
      </c>
      <c r="AK959" s="2" t="n">
        <v>0</v>
      </c>
      <c r="AL959" t="inlineStr">
        <is>
          <t>Published</t>
        </is>
      </c>
    </row>
    <row r="960">
      <c r="A960">
        <f>HYPERLINK("https://www.walmart.com/ip/119396476", "119396476")</f>
        <v/>
      </c>
      <c r="B960">
        <f>HYPERLINK("https://app.optiwise.ai/catalog/itemdetails/656115", "KC Caps Army Style Surplus Beanie Cap")</f>
        <v/>
      </c>
      <c r="C960" t="inlineStr">
        <is>
          <t>KCW1721OLI</t>
        </is>
      </c>
      <c r="D960" t="inlineStr">
        <is>
          <t>Clothing</t>
        </is>
      </c>
      <c r="E960" t="inlineStr">
        <is>
          <t>Hats</t>
        </is>
      </c>
      <c r="F960" t="inlineStr">
        <is>
          <t>KC Caps</t>
        </is>
      </c>
      <c r="G960" t="n">
        <v>0</v>
      </c>
      <c r="H960" t="n">
        <v>0</v>
      </c>
      <c r="I960" t="inlineStr">
        <is>
          <t>Batch 1 - TR</t>
        </is>
      </c>
      <c r="J960" s="29" t="n">
        <v>0</v>
      </c>
      <c r="K960" s="30" t="n"/>
      <c r="L960" s="29" t="n">
        <v>0</v>
      </c>
      <c r="M960" s="29" t="n">
        <v>0</v>
      </c>
      <c r="N960" s="2" t="n">
        <v>0</v>
      </c>
      <c r="O960" s="31" t="n">
        <v>0</v>
      </c>
      <c r="P960" s="32" t="n"/>
      <c r="Q960" s="32" t="n">
        <v>0</v>
      </c>
      <c r="R960" s="32" t="n">
        <v>0</v>
      </c>
      <c r="S960" s="31" t="n">
        <v>0</v>
      </c>
      <c r="T960" s="32" t="n">
        <v>0</v>
      </c>
      <c r="U960" s="31" t="n">
        <v>0</v>
      </c>
      <c r="V960" s="31" t="n">
        <v>0</v>
      </c>
      <c r="W960" s="3" t="n">
        <v>0</v>
      </c>
      <c r="X960" s="3" t="n">
        <v>0</v>
      </c>
      <c r="Y960" s="32" t="n">
        <v>0</v>
      </c>
      <c r="Z960" s="3" t="n">
        <v>0</v>
      </c>
      <c r="AA960" s="32" t="n">
        <v>0</v>
      </c>
      <c r="AB960" s="3" t="n"/>
      <c r="AC960" s="31" t="n">
        <v>0</v>
      </c>
      <c r="AD960" s="2" t="n">
        <v>0</v>
      </c>
      <c r="AE960" s="2" t="n">
        <v>6</v>
      </c>
      <c r="AF960" s="4" t="n">
        <v>6</v>
      </c>
      <c r="AG960" s="33" t="n">
        <v>0</v>
      </c>
      <c r="AH960" s="4" t="n">
        <v>0</v>
      </c>
      <c r="AI960" s="34" t="n"/>
      <c r="AJ960" s="34" t="n">
        <v>0</v>
      </c>
      <c r="AK960" s="2" t="n">
        <v>0</v>
      </c>
      <c r="AL960" t="inlineStr">
        <is>
          <t>Published</t>
        </is>
      </c>
    </row>
    <row r="961">
      <c r="A961">
        <f>HYPERLINK("https://www.walmart.com/ip/164008515", "164008515")</f>
        <v/>
      </c>
      <c r="B961">
        <f>HYPERLINK("https://app.optiwise.ai/catalog/itemdetails/656112", "KC Caps Winter Camo Army Style Surplus Beanie Cap")</f>
        <v/>
      </c>
      <c r="C961" t="inlineStr">
        <is>
          <t>KCW1721CAMO</t>
        </is>
      </c>
      <c r="D961" t="inlineStr">
        <is>
          <t>Clothing</t>
        </is>
      </c>
      <c r="E961" t="inlineStr">
        <is>
          <t>Hats</t>
        </is>
      </c>
      <c r="F961" t="inlineStr">
        <is>
          <t>KC Caps</t>
        </is>
      </c>
      <c r="G961" t="n">
        <v>0</v>
      </c>
      <c r="H961" t="n">
        <v>0</v>
      </c>
      <c r="I961" t="inlineStr">
        <is>
          <t>Batch 1 - TR</t>
        </is>
      </c>
      <c r="J961" s="29" t="n">
        <v>0</v>
      </c>
      <c r="K961" s="30" t="n"/>
      <c r="L961" s="29" t="n">
        <v>0</v>
      </c>
      <c r="M961" s="29" t="n">
        <v>0</v>
      </c>
      <c r="N961" s="2" t="n">
        <v>0</v>
      </c>
      <c r="O961" s="31" t="n">
        <v>0</v>
      </c>
      <c r="P961" s="32" t="n"/>
      <c r="Q961" s="32" t="n">
        <v>0</v>
      </c>
      <c r="R961" s="32" t="n">
        <v>0</v>
      </c>
      <c r="S961" s="31" t="n">
        <v>0</v>
      </c>
      <c r="T961" s="32" t="n">
        <v>0</v>
      </c>
      <c r="U961" s="31" t="n">
        <v>0</v>
      </c>
      <c r="V961" s="31" t="n">
        <v>0</v>
      </c>
      <c r="W961" s="3" t="n">
        <v>0</v>
      </c>
      <c r="X961" s="3" t="n">
        <v>0</v>
      </c>
      <c r="Y961" s="32" t="n">
        <v>0</v>
      </c>
      <c r="Z961" s="3" t="n">
        <v>0</v>
      </c>
      <c r="AA961" s="32" t="n">
        <v>0</v>
      </c>
      <c r="AB961" s="3" t="n"/>
      <c r="AC961" s="31" t="n">
        <v>0</v>
      </c>
      <c r="AD961" s="2" t="n">
        <v>0</v>
      </c>
      <c r="AE961" s="2" t="n">
        <v>1</v>
      </c>
      <c r="AF961" s="4" t="n">
        <v>1</v>
      </c>
      <c r="AG961" s="33" t="n">
        <v>0</v>
      </c>
      <c r="AH961" s="4" t="n">
        <v>0</v>
      </c>
      <c r="AI961" s="34" t="n"/>
      <c r="AJ961" s="34" t="n">
        <v>0</v>
      </c>
      <c r="AK961" s="2" t="n">
        <v>0</v>
      </c>
      <c r="AL961" t="inlineStr">
        <is>
          <t>Published</t>
        </is>
      </c>
    </row>
    <row r="962">
      <c r="A962">
        <f>HYPERLINK("https://www.walmart.com/ip/907937555", "907937555")</f>
        <v/>
      </c>
      <c r="B962">
        <f>HYPERLINK("https://app.optiwise.ai/catalog/itemdetails/409184", "Tirrinia Leakproof Thermal Reusable Insulated Lunch Bag for Men with Leather Handle,Olive")</f>
        <v/>
      </c>
      <c r="C962" t="inlineStr">
        <is>
          <t>1TRLB702P1OL</t>
        </is>
      </c>
      <c r="D962" t="inlineStr">
        <is>
          <t>Home Decor, Kitchen, &amp; Other</t>
        </is>
      </c>
      <c r="E962" t="inlineStr">
        <is>
          <t>Reusable Lunch Bags &amp; Boxes</t>
        </is>
      </c>
      <c r="F962" t="inlineStr">
        <is>
          <t>Tirrinia</t>
        </is>
      </c>
      <c r="G962" t="n">
        <v>0</v>
      </c>
      <c r="H962" t="n">
        <v>0</v>
      </c>
      <c r="I962" t="inlineStr">
        <is>
          <t>Q2-Target,Brand Camp VD,Lunch Bag,Optimized,SEM</t>
        </is>
      </c>
      <c r="J962" s="29" t="n">
        <v>0</v>
      </c>
      <c r="K962" s="30" t="n"/>
      <c r="L962" s="29" t="n">
        <v>0</v>
      </c>
      <c r="M962" s="29" t="n">
        <v>0</v>
      </c>
      <c r="N962" s="2" t="n">
        <v>0</v>
      </c>
      <c r="O962" s="31" t="n">
        <v>0</v>
      </c>
      <c r="P962" s="32" t="n"/>
      <c r="Q962" s="32" t="n">
        <v>0</v>
      </c>
      <c r="R962" s="32" t="n">
        <v>0.0208</v>
      </c>
      <c r="S962" s="31" t="n">
        <v>0</v>
      </c>
      <c r="T962" s="32" t="n">
        <v>0</v>
      </c>
      <c r="U962" s="31" t="n">
        <v>0</v>
      </c>
      <c r="V962" s="31" t="n">
        <v>0</v>
      </c>
      <c r="W962" s="3" t="n">
        <v>0</v>
      </c>
      <c r="X962" s="3" t="n">
        <v>0</v>
      </c>
      <c r="Y962" s="32" t="n">
        <v>0</v>
      </c>
      <c r="Z962" s="3" t="n">
        <v>0</v>
      </c>
      <c r="AA962" s="32" t="n">
        <v>0</v>
      </c>
      <c r="AB962" s="3" t="n"/>
      <c r="AC962" s="31" t="n">
        <v>0</v>
      </c>
      <c r="AD962" s="2" t="n">
        <v>0</v>
      </c>
      <c r="AE962" s="2" t="n">
        <v>45</v>
      </c>
      <c r="AF962" s="4" t="n">
        <v>45</v>
      </c>
      <c r="AG962" s="33" t="n">
        <v>0</v>
      </c>
      <c r="AH962" s="4" t="n">
        <v>0</v>
      </c>
      <c r="AI962" s="34" t="n"/>
      <c r="AJ962" s="34" t="n">
        <v>0</v>
      </c>
      <c r="AK962" s="2" t="n">
        <v>0</v>
      </c>
      <c r="AL962" t="inlineStr">
        <is>
          <t>Published</t>
        </is>
      </c>
    </row>
    <row r="963">
      <c r="A963">
        <f>HYPERLINK("https://www.walmart.com/ip/964132730", "964132730")</f>
        <v/>
      </c>
      <c r="B963">
        <f>HYPERLINK("https://app.optiwise.ai/catalog/itemdetails/465384", "Youth Reflective Knit Beanie Hat For Sports Warm")</f>
        <v/>
      </c>
      <c r="C963" t="inlineStr">
        <is>
          <t>1SLBN01DR-FSCB</t>
        </is>
      </c>
      <c r="D963" t="inlineStr">
        <is>
          <t>Clothing</t>
        </is>
      </c>
      <c r="E963" t="inlineStr">
        <is>
          <t>Hats</t>
        </is>
      </c>
      <c r="F963" t="inlineStr">
        <is>
          <t>Solaris</t>
        </is>
      </c>
      <c r="G963" t="n">
        <v>0</v>
      </c>
      <c r="H963" t="n">
        <v>0</v>
      </c>
      <c r="I963" t="inlineStr">
        <is>
          <t>Optimized</t>
        </is>
      </c>
      <c r="J963" s="29" t="n">
        <v>0</v>
      </c>
      <c r="K963" s="30" t="n"/>
      <c r="L963" s="29" t="n">
        <v>0</v>
      </c>
      <c r="M963" s="29" t="n">
        <v>0</v>
      </c>
      <c r="N963" s="2" t="n">
        <v>0</v>
      </c>
      <c r="O963" s="31" t="n">
        <v>0</v>
      </c>
      <c r="P963" s="32" t="n"/>
      <c r="Q963" s="32" t="n">
        <v>0</v>
      </c>
      <c r="R963" s="32" t="n">
        <v>0</v>
      </c>
      <c r="S963" s="31" t="n">
        <v>0</v>
      </c>
      <c r="T963" s="32" t="n">
        <v>0</v>
      </c>
      <c r="U963" s="31" t="n">
        <v>0</v>
      </c>
      <c r="V963" s="31" t="n">
        <v>0</v>
      </c>
      <c r="W963" s="3" t="n">
        <v>0</v>
      </c>
      <c r="X963" s="3" t="n">
        <v>0</v>
      </c>
      <c r="Y963" s="32" t="n">
        <v>0</v>
      </c>
      <c r="Z963" s="3" t="n">
        <v>0</v>
      </c>
      <c r="AA963" s="32" t="n">
        <v>0</v>
      </c>
      <c r="AB963" s="3" t="n"/>
      <c r="AC963" s="31" t="n">
        <v>0</v>
      </c>
      <c r="AD963" s="2" t="n">
        <v>0</v>
      </c>
      <c r="AE963" s="2" t="n">
        <v>1</v>
      </c>
      <c r="AF963" s="4" t="n">
        <v>1</v>
      </c>
      <c r="AG963" s="33" t="n">
        <v>0</v>
      </c>
      <c r="AH963" s="4" t="n">
        <v>0</v>
      </c>
      <c r="AI963" s="34" t="n"/>
      <c r="AJ963" s="34" t="n">
        <v>0</v>
      </c>
      <c r="AK963" s="2" t="n">
        <v>0</v>
      </c>
      <c r="AL963" t="inlineStr">
        <is>
          <t>Published</t>
        </is>
      </c>
    </row>
    <row r="964">
      <c r="A964">
        <f>HYPERLINK("https://www.walmart.com/ip/989386397", "989386397")</f>
        <v/>
      </c>
      <c r="B964">
        <f>HYPERLINK("https://app.optiwise.ai/catalog/itemdetails/465382", "Youth Reflective Knit Beanie Hat For Sports Warm")</f>
        <v/>
      </c>
      <c r="C964" t="inlineStr">
        <is>
          <t>1SLBN01PP-FSCB</t>
        </is>
      </c>
      <c r="D964" t="inlineStr">
        <is>
          <t>Clothing</t>
        </is>
      </c>
      <c r="E964" t="inlineStr">
        <is>
          <t>Hats</t>
        </is>
      </c>
      <c r="F964" t="inlineStr">
        <is>
          <t>Solaris</t>
        </is>
      </c>
      <c r="G964" t="n">
        <v>0</v>
      </c>
      <c r="H964" t="n">
        <v>0</v>
      </c>
      <c r="I964" t="inlineStr">
        <is>
          <t>Optimized</t>
        </is>
      </c>
      <c r="J964" s="29" t="n">
        <v>0</v>
      </c>
      <c r="K964" s="30" t="n"/>
      <c r="L964" s="29" t="n">
        <v>5.980000019073486</v>
      </c>
      <c r="M964" s="29" t="n">
        <v>0</v>
      </c>
      <c r="N964" s="2" t="n">
        <v>0</v>
      </c>
      <c r="O964" s="31" t="n">
        <v>0</v>
      </c>
      <c r="P964" s="32" t="n"/>
      <c r="Q964" s="32" t="n">
        <v>0</v>
      </c>
      <c r="R964" s="32" t="n">
        <v>0</v>
      </c>
      <c r="S964" s="31" t="n">
        <v>0</v>
      </c>
      <c r="T964" s="32" t="n">
        <v>0</v>
      </c>
      <c r="U964" s="31" t="n">
        <v>0</v>
      </c>
      <c r="V964" s="31" t="n">
        <v>0</v>
      </c>
      <c r="W964" s="3" t="n">
        <v>0</v>
      </c>
      <c r="X964" s="3" t="n">
        <v>0</v>
      </c>
      <c r="Y964" s="32" t="n">
        <v>0</v>
      </c>
      <c r="Z964" s="3" t="n">
        <v>0</v>
      </c>
      <c r="AA964" s="32" t="n">
        <v>0</v>
      </c>
      <c r="AB964" s="3" t="n"/>
      <c r="AC964" s="31" t="n">
        <v>0</v>
      </c>
      <c r="AD964" s="2" t="n">
        <v>0</v>
      </c>
      <c r="AE964" s="2" t="n">
        <v>2</v>
      </c>
      <c r="AF964" s="4" t="n">
        <v>2</v>
      </c>
      <c r="AG964" s="33" t="n">
        <v>0</v>
      </c>
      <c r="AH964" s="4" t="n">
        <v>0</v>
      </c>
      <c r="AI964" s="34" t="n"/>
      <c r="AJ964" s="34" t="n">
        <v>0</v>
      </c>
      <c r="AK964" s="2" t="n">
        <v>0</v>
      </c>
      <c r="AL964" t="inlineStr">
        <is>
          <t>Published</t>
        </is>
      </c>
    </row>
    <row r="965">
      <c r="A965">
        <f>HYPERLINK("https://www.walmart.com/ip/1346334658", "1346334658")</f>
        <v/>
      </c>
      <c r="B965">
        <f>HYPERLINK("https://app.optiwise.ai/catalog/itemdetails/920304", "Catalonia All Season Knitted Acrylic Throw Blanket, Cozy Leisure Lightweight Decorative Blanket with Fringe for Bed, Couch, Living Room, Machine Washable, Yellow, 50'' × 60''")</f>
        <v/>
      </c>
      <c r="C965" t="inlineStr">
        <is>
          <t>1CTBN510YL</t>
        </is>
      </c>
      <c r="D965" t="inlineStr">
        <is>
          <t>Bedding</t>
        </is>
      </c>
      <c r="E965" t="inlineStr">
        <is>
          <t>Throws</t>
        </is>
      </c>
      <c r="F965" t="inlineStr">
        <is>
          <t>Catalonia</t>
        </is>
      </c>
      <c r="G965" t="n">
        <v>0</v>
      </c>
      <c r="H965" t="n">
        <v>0</v>
      </c>
      <c r="I965" t="inlineStr">
        <is>
          <t>Q2-Target,Coupon_Discount,Batch 1 - TR</t>
        </is>
      </c>
      <c r="J965" s="29" t="n">
        <v>0</v>
      </c>
      <c r="K965" s="30" t="n"/>
      <c r="L965" s="29" t="n">
        <v>0</v>
      </c>
      <c r="M965" s="29" t="n">
        <v>0</v>
      </c>
      <c r="N965" s="2" t="n">
        <v>0</v>
      </c>
      <c r="O965" s="31" t="n">
        <v>0</v>
      </c>
      <c r="P965" s="32" t="n"/>
      <c r="Q965" s="32" t="n">
        <v>0</v>
      </c>
      <c r="R965" s="32" t="n">
        <v>0</v>
      </c>
      <c r="S965" s="31" t="n">
        <v>0</v>
      </c>
      <c r="T965" s="32" t="n">
        <v>0</v>
      </c>
      <c r="U965" s="31" t="n">
        <v>0</v>
      </c>
      <c r="V965" s="31" t="n">
        <v>0</v>
      </c>
      <c r="W965" s="3" t="n">
        <v>0</v>
      </c>
      <c r="X965" s="3" t="n">
        <v>0</v>
      </c>
      <c r="Y965" s="32" t="n">
        <v>0</v>
      </c>
      <c r="Z965" s="3" t="n">
        <v>0</v>
      </c>
      <c r="AA965" s="32" t="n">
        <v>0</v>
      </c>
      <c r="AB965" s="3" t="n"/>
      <c r="AC965" s="31" t="n">
        <v>0</v>
      </c>
      <c r="AD965" s="2" t="n">
        <v>0</v>
      </c>
      <c r="AE965" s="2" t="n">
        <v>12</v>
      </c>
      <c r="AF965" s="4" t="n">
        <v>12</v>
      </c>
      <c r="AG965" s="33" t="n">
        <v>0</v>
      </c>
      <c r="AH965" s="4" t="n">
        <v>0</v>
      </c>
      <c r="AI965" s="34" t="n"/>
      <c r="AJ965" s="34" t="n">
        <v>0</v>
      </c>
      <c r="AK965" s="2" t="n">
        <v>0</v>
      </c>
      <c r="AL965" t="inlineStr">
        <is>
          <t>Published</t>
        </is>
      </c>
    </row>
    <row r="966">
      <c r="A966">
        <f>HYPERLINK("https://www.walmart.com/ip/1981503804", "1981503804")</f>
        <v/>
      </c>
      <c r="B966">
        <f>HYPERLINK("https://app.optiwise.ai/catalog/itemdetails/920307", "Catalonia Knitted Throw Blanket for Bed,Sofa,Living Room,All Seasons Cozy Leisure Acrylic Lightweight Decorative Blanket with Fringe,Machine Washable,60×80 inches, Teal")</f>
        <v/>
      </c>
      <c r="C966" t="inlineStr">
        <is>
          <t>1CTBN610TL</t>
        </is>
      </c>
      <c r="D966" t="inlineStr">
        <is>
          <t>Bedding</t>
        </is>
      </c>
      <c r="E966" t="inlineStr">
        <is>
          <t>Throws</t>
        </is>
      </c>
      <c r="F966" t="inlineStr">
        <is>
          <t>Catalonia</t>
        </is>
      </c>
      <c r="G966" t="n">
        <v>0</v>
      </c>
      <c r="H966" t="n">
        <v>0</v>
      </c>
      <c r="I966" t="inlineStr">
        <is>
          <t>Batch 1 - TR</t>
        </is>
      </c>
      <c r="J966" s="29" t="n">
        <v>0</v>
      </c>
      <c r="K966" s="30" t="n"/>
      <c r="L966" s="29" t="n">
        <v>0</v>
      </c>
      <c r="M966" s="29" t="n">
        <v>0</v>
      </c>
      <c r="N966" s="2" t="n">
        <v>0</v>
      </c>
      <c r="O966" s="31" t="n">
        <v>0</v>
      </c>
      <c r="P966" s="32" t="n"/>
      <c r="Q966" s="32" t="n">
        <v>0</v>
      </c>
      <c r="R966" s="32" t="n">
        <v>0</v>
      </c>
      <c r="S966" s="31" t="n">
        <v>0</v>
      </c>
      <c r="T966" s="32" t="n">
        <v>0</v>
      </c>
      <c r="U966" s="31" t="n">
        <v>0</v>
      </c>
      <c r="V966" s="31" t="n">
        <v>0</v>
      </c>
      <c r="W966" s="3" t="n">
        <v>0</v>
      </c>
      <c r="X966" s="3" t="n">
        <v>0</v>
      </c>
      <c r="Y966" s="32" t="n">
        <v>0</v>
      </c>
      <c r="Z966" s="3" t="n">
        <v>0</v>
      </c>
      <c r="AA966" s="32" t="n">
        <v>0</v>
      </c>
      <c r="AB966" s="3" t="n"/>
      <c r="AC966" s="31" t="n">
        <v>0</v>
      </c>
      <c r="AD966" s="2" t="n">
        <v>0</v>
      </c>
      <c r="AE966" s="2" t="n">
        <v>14</v>
      </c>
      <c r="AF966" s="4" t="n">
        <v>14</v>
      </c>
      <c r="AG966" s="33" t="n">
        <v>0</v>
      </c>
      <c r="AH966" s="4" t="n">
        <v>0</v>
      </c>
      <c r="AI966" s="34" t="n"/>
      <c r="AJ966" s="34" t="n">
        <v>0</v>
      </c>
      <c r="AK966" s="2" t="n">
        <v>0</v>
      </c>
      <c r="AL966" t="inlineStr">
        <is>
          <t>Published</t>
        </is>
      </c>
    </row>
    <row r="967">
      <c r="A967">
        <f>HYPERLINK("https://www.walmart.com/ip/945588716", "945588716")</f>
        <v/>
      </c>
      <c r="B967">
        <f>HYPERLINK("https://app.optiwise.ai/catalog/itemdetails/417452", "Tirrinia Comfy Full Body Fleece Wearable Blanket Poncho for Adult Women Men, Grey")</f>
        <v/>
      </c>
      <c r="C967" t="inlineStr">
        <is>
          <t>1TRBP200GY-TBCB</t>
        </is>
      </c>
      <c r="D967" t="inlineStr">
        <is>
          <t>Bedding</t>
        </is>
      </c>
      <c r="E967" t="inlineStr">
        <is>
          <t>Throws</t>
        </is>
      </c>
      <c r="F967" t="inlineStr">
        <is>
          <t>Tirrinia</t>
        </is>
      </c>
      <c r="G967" t="n">
        <v>4.5</v>
      </c>
      <c r="H967" t="n">
        <v>6</v>
      </c>
      <c r="I967" t="inlineStr">
        <is>
          <t>Optimized</t>
        </is>
      </c>
      <c r="J967" s="29" t="n">
        <v>0</v>
      </c>
      <c r="K967" s="30" t="n"/>
      <c r="L967" s="29" t="n">
        <v>0</v>
      </c>
      <c r="M967" s="29" t="n">
        <v>0</v>
      </c>
      <c r="N967" s="2" t="n">
        <v>0</v>
      </c>
      <c r="O967" s="31" t="n">
        <v>0</v>
      </c>
      <c r="P967" s="32" t="n"/>
      <c r="Q967" s="32" t="n">
        <v>0</v>
      </c>
      <c r="R967" s="32" t="n">
        <v>0</v>
      </c>
      <c r="S967" s="31" t="n">
        <v>0</v>
      </c>
      <c r="T967" s="32" t="n">
        <v>0</v>
      </c>
      <c r="U967" s="31" t="n">
        <v>0</v>
      </c>
      <c r="V967" s="31" t="n">
        <v>0</v>
      </c>
      <c r="W967" s="3" t="n">
        <v>0</v>
      </c>
      <c r="X967" s="3" t="n">
        <v>0</v>
      </c>
      <c r="Y967" s="32" t="n">
        <v>0</v>
      </c>
      <c r="Z967" s="3" t="n">
        <v>0</v>
      </c>
      <c r="AA967" s="32" t="n">
        <v>0</v>
      </c>
      <c r="AB967" s="3" t="n"/>
      <c r="AC967" s="31" t="n">
        <v>0</v>
      </c>
      <c r="AD967" s="2" t="n">
        <v>5</v>
      </c>
      <c r="AE967" s="2" t="n">
        <v>9</v>
      </c>
      <c r="AF967" s="4" t="n">
        <v>9</v>
      </c>
      <c r="AG967" s="33" t="n">
        <v>0</v>
      </c>
      <c r="AH967" s="4" t="n">
        <v>0</v>
      </c>
      <c r="AI967" s="34" t="n"/>
      <c r="AJ967" s="34" t="n">
        <v>0</v>
      </c>
      <c r="AK967" s="2" t="n">
        <v>0</v>
      </c>
      <c r="AL967" t="inlineStr">
        <is>
          <t>Published</t>
        </is>
      </c>
    </row>
    <row r="968">
      <c r="A968">
        <f>HYPERLINK("https://www.walmart.com/ip/1506505566", "1506505566")</f>
        <v/>
      </c>
      <c r="B968">
        <f>HYPERLINK("https://app.optiwise.ai/catalog/itemdetails/942234", "Catalonia Sherpa Fleece Blanket for Bed, Super Soft  Plush Sofa Couch Throw Blanket, TV Bed Blanket, Comfy Cozy Fluffy Warm Comforter, Red Plaid, 60'' x 80''")</f>
        <v/>
      </c>
      <c r="C968" t="inlineStr">
        <is>
          <t>1CTBF368PRD</t>
        </is>
      </c>
      <c r="D968" t="inlineStr">
        <is>
          <t>Bedding</t>
        </is>
      </c>
      <c r="E968" t="inlineStr">
        <is>
          <t>Throws</t>
        </is>
      </c>
      <c r="F968" t="inlineStr">
        <is>
          <t>Catalonia</t>
        </is>
      </c>
      <c r="G968" t="n">
        <v>4</v>
      </c>
      <c r="H968" t="n">
        <v>3</v>
      </c>
      <c r="I968" t="inlineStr">
        <is>
          <t>Fleece Blankets,Batch 1 - TR</t>
        </is>
      </c>
      <c r="J968" s="29" t="n">
        <v>0</v>
      </c>
      <c r="K968" s="30" t="n"/>
      <c r="L968" s="29" t="n">
        <v>0</v>
      </c>
      <c r="M968" s="29" t="n">
        <v>0</v>
      </c>
      <c r="N968" s="2" t="n">
        <v>0</v>
      </c>
      <c r="O968" s="31" t="n">
        <v>0</v>
      </c>
      <c r="P968" s="32" t="n"/>
      <c r="Q968" s="32" t="n">
        <v>0</v>
      </c>
      <c r="R968" s="32" t="n">
        <v>0</v>
      </c>
      <c r="S968" s="31" t="n">
        <v>0</v>
      </c>
      <c r="T968" s="32" t="n">
        <v>0</v>
      </c>
      <c r="U968" s="31" t="n">
        <v>0</v>
      </c>
      <c r="V968" s="31" t="n">
        <v>0</v>
      </c>
      <c r="W968" s="3" t="n">
        <v>0</v>
      </c>
      <c r="X968" s="3" t="n">
        <v>0</v>
      </c>
      <c r="Y968" s="32" t="n">
        <v>0</v>
      </c>
      <c r="Z968" s="3" t="n">
        <v>0</v>
      </c>
      <c r="AA968" s="32" t="n">
        <v>0</v>
      </c>
      <c r="AB968" s="3" t="n"/>
      <c r="AC968" s="31" t="n">
        <v>0</v>
      </c>
      <c r="AD968" s="2" t="n">
        <v>0</v>
      </c>
      <c r="AE968" s="2" t="n">
        <v>29</v>
      </c>
      <c r="AF968" s="4" t="n">
        <v>29</v>
      </c>
      <c r="AG968" s="33" t="n">
        <v>0</v>
      </c>
      <c r="AH968" s="4" t="n">
        <v>0</v>
      </c>
      <c r="AI968" s="34" t="n"/>
      <c r="AJ968" s="34" t="n">
        <v>0</v>
      </c>
      <c r="AK968" s="2" t="n">
        <v>0</v>
      </c>
      <c r="AL968" t="inlineStr">
        <is>
          <t>Published</t>
        </is>
      </c>
    </row>
    <row r="969">
      <c r="A969">
        <f>HYPERLINK("https://www.walmart.com/ip/264676214", "264676214")</f>
        <v/>
      </c>
      <c r="B969">
        <f>HYPERLINK("https://app.optiwise.ai/catalog/itemdetails/409171", "Catalonia Women’s Sherpa Hoodie Sweatshirt Dress, Casual Snuggle Wearable Blanket Pullover Sweater with Kangaroo Pocket, Warm and Soft, Gift for Her, Purple")</f>
        <v/>
      </c>
      <c r="C969" t="inlineStr">
        <is>
          <t>1CTHD532PP</t>
        </is>
      </c>
      <c r="D969" t="inlineStr">
        <is>
          <t>Clothing</t>
        </is>
      </c>
      <c r="E969" t="inlineStr">
        <is>
          <t>Sweatshirts &amp; Hoodies</t>
        </is>
      </c>
      <c r="F969" t="inlineStr">
        <is>
          <t>Catalonia</t>
        </is>
      </c>
      <c r="G969" t="n">
        <v>0</v>
      </c>
      <c r="H969" t="n">
        <v>0</v>
      </c>
      <c r="I969" t="inlineStr">
        <is>
          <t>Hoodie ForAdult,Optimized,Coupon_Discount</t>
        </is>
      </c>
      <c r="J969" s="29" t="n">
        <v>0</v>
      </c>
      <c r="K969" s="30" t="n"/>
      <c r="L969" s="29" t="n">
        <v>0</v>
      </c>
      <c r="M969" s="29" t="n">
        <v>0</v>
      </c>
      <c r="N969" s="2" t="n">
        <v>0</v>
      </c>
      <c r="O969" s="31" t="n">
        <v>0</v>
      </c>
      <c r="P969" s="32" t="n"/>
      <c r="Q969" s="32" t="n">
        <v>0</v>
      </c>
      <c r="R969" s="32" t="n">
        <v>0</v>
      </c>
      <c r="S969" s="31" t="n">
        <v>0</v>
      </c>
      <c r="T969" s="32" t="n">
        <v>0</v>
      </c>
      <c r="U969" s="31" t="n">
        <v>0</v>
      </c>
      <c r="V969" s="31" t="n">
        <v>0</v>
      </c>
      <c r="W969" s="3" t="n">
        <v>0</v>
      </c>
      <c r="X969" s="3" t="n">
        <v>0</v>
      </c>
      <c r="Y969" s="32" t="n">
        <v>0</v>
      </c>
      <c r="Z969" s="3" t="n">
        <v>0</v>
      </c>
      <c r="AA969" s="32" t="n">
        <v>0</v>
      </c>
      <c r="AB969" s="3" t="n"/>
      <c r="AC969" s="31" t="n">
        <v>0</v>
      </c>
      <c r="AD969" s="2" t="n">
        <v>0</v>
      </c>
      <c r="AE969" s="2" t="n">
        <v>19</v>
      </c>
      <c r="AF969" s="4" t="n">
        <v>19</v>
      </c>
      <c r="AG969" s="33" t="n">
        <v>0</v>
      </c>
      <c r="AH969" s="4" t="n">
        <v>0</v>
      </c>
      <c r="AI969" s="34" t="n"/>
      <c r="AJ969" s="34" t="n">
        <v>0</v>
      </c>
      <c r="AK969" s="2" t="n">
        <v>0</v>
      </c>
      <c r="AL969" t="inlineStr">
        <is>
          <t>Published</t>
        </is>
      </c>
    </row>
    <row r="970">
      <c r="A970">
        <f>HYPERLINK("https://www.walmart.com/ip/818314436", "818314436")</f>
        <v/>
      </c>
      <c r="B970">
        <f>HYPERLINK("https://app.optiwise.ai/catalog/itemdetails/417475", "Tirrinia Sherpa Wearable Comfy Plush Fleece Blanket Poncho For Adult, 55'' x 80'', Camel")</f>
        <v/>
      </c>
      <c r="C970" t="inlineStr">
        <is>
          <t>1TRBP110CA-TBCB</t>
        </is>
      </c>
      <c r="D970" t="inlineStr">
        <is>
          <t>Home Decor, Kitchen, &amp; Other</t>
        </is>
      </c>
      <c r="E970" t="inlineStr">
        <is>
          <t>Throws</t>
        </is>
      </c>
      <c r="F970" t="inlineStr">
        <is>
          <t>Tirrinia</t>
        </is>
      </c>
      <c r="G970" t="n">
        <v>0</v>
      </c>
      <c r="H970" t="n">
        <v>0</v>
      </c>
      <c r="I970" t="inlineStr">
        <is>
          <t>Optimized</t>
        </is>
      </c>
      <c r="J970" s="29" t="n">
        <v>0</v>
      </c>
      <c r="K970" s="30" t="n"/>
      <c r="L970" s="29" t="n">
        <v>0</v>
      </c>
      <c r="M970" s="29" t="n">
        <v>0</v>
      </c>
      <c r="N970" s="2" t="n">
        <v>0</v>
      </c>
      <c r="O970" s="31" t="n">
        <v>0</v>
      </c>
      <c r="P970" s="32" t="n"/>
      <c r="Q970" s="32" t="n">
        <v>0</v>
      </c>
      <c r="R970" s="32" t="n">
        <v>0</v>
      </c>
      <c r="S970" s="31" t="n">
        <v>0</v>
      </c>
      <c r="T970" s="32" t="n">
        <v>0</v>
      </c>
      <c r="U970" s="31" t="n">
        <v>0</v>
      </c>
      <c r="V970" s="31" t="n">
        <v>0</v>
      </c>
      <c r="W970" s="3" t="n">
        <v>0</v>
      </c>
      <c r="X970" s="3" t="n">
        <v>0</v>
      </c>
      <c r="Y970" s="32" t="n">
        <v>0</v>
      </c>
      <c r="Z970" s="3" t="n">
        <v>0</v>
      </c>
      <c r="AA970" s="32" t="n">
        <v>0</v>
      </c>
      <c r="AB970" s="3" t="n"/>
      <c r="AC970" s="31" t="n">
        <v>0</v>
      </c>
      <c r="AD970" s="2" t="n">
        <v>0</v>
      </c>
      <c r="AE970" s="2" t="n">
        <v>8</v>
      </c>
      <c r="AF970" s="4" t="n">
        <v>8</v>
      </c>
      <c r="AG970" s="33" t="n">
        <v>0</v>
      </c>
      <c r="AH970" s="4" t="n">
        <v>0</v>
      </c>
      <c r="AI970" s="34" t="n"/>
      <c r="AJ970" s="34" t="n">
        <v>0</v>
      </c>
      <c r="AK970" s="2" t="n">
        <v>0</v>
      </c>
      <c r="AL970" t="inlineStr">
        <is>
          <t>Published</t>
        </is>
      </c>
    </row>
    <row r="971">
      <c r="A971">
        <f>HYPERLINK("https://www.walmart.com/ip/1600906809", "1600906809")</f>
        <v/>
      </c>
      <c r="B971">
        <f>HYPERLINK("https://app.optiwise.ai/catalog/itemdetails/933376", "Women’s Plush Hoodie Sweatshirt Dress, Casual Pullover Sweater with Kangaroo Pocket, One Size")</f>
        <v/>
      </c>
      <c r="C971" t="inlineStr">
        <is>
          <t>1CTHD531BL</t>
        </is>
      </c>
      <c r="D971" t="inlineStr">
        <is>
          <t>Clothing</t>
        </is>
      </c>
      <c r="E971" t="inlineStr">
        <is>
          <t>Sweatshirts &amp; Hoodies</t>
        </is>
      </c>
      <c r="F971" t="inlineStr">
        <is>
          <t>Catalonia</t>
        </is>
      </c>
      <c r="G971" t="n">
        <v>0</v>
      </c>
      <c r="H971" t="n">
        <v>0</v>
      </c>
      <c r="I971" t="inlineStr">
        <is>
          <t>Batch 1 - TR</t>
        </is>
      </c>
      <c r="J971" s="29" t="n">
        <v>0</v>
      </c>
      <c r="K971" s="30" t="n"/>
      <c r="L971" s="29" t="n">
        <v>0</v>
      </c>
      <c r="M971" s="29" t="n">
        <v>0</v>
      </c>
      <c r="N971" s="2" t="n">
        <v>0</v>
      </c>
      <c r="O971" s="31" t="n">
        <v>0</v>
      </c>
      <c r="P971" s="32" t="n"/>
      <c r="Q971" s="32" t="n">
        <v>0</v>
      </c>
      <c r="R971" s="32" t="n">
        <v>0</v>
      </c>
      <c r="S971" s="31" t="n">
        <v>0</v>
      </c>
      <c r="T971" s="32" t="n">
        <v>0</v>
      </c>
      <c r="U971" s="31" t="n">
        <v>0</v>
      </c>
      <c r="V971" s="31" t="n">
        <v>0</v>
      </c>
      <c r="W971" s="3" t="n">
        <v>0</v>
      </c>
      <c r="X971" s="3" t="n">
        <v>0</v>
      </c>
      <c r="Y971" s="32" t="n">
        <v>0</v>
      </c>
      <c r="Z971" s="3" t="n">
        <v>0</v>
      </c>
      <c r="AA971" s="32" t="n">
        <v>0</v>
      </c>
      <c r="AB971" s="3" t="n"/>
      <c r="AC971" s="31" t="n">
        <v>0</v>
      </c>
      <c r="AD971" s="2" t="n">
        <v>0</v>
      </c>
      <c r="AE971" s="2" t="n">
        <v>11</v>
      </c>
      <c r="AF971" s="4" t="n">
        <v>11</v>
      </c>
      <c r="AG971" s="33" t="n">
        <v>0</v>
      </c>
      <c r="AH971" s="4" t="n">
        <v>0</v>
      </c>
      <c r="AI971" s="34" t="n"/>
      <c r="AJ971" s="34" t="n">
        <v>0</v>
      </c>
      <c r="AK971" s="2" t="n">
        <v>0</v>
      </c>
      <c r="AL971" t="inlineStr">
        <is>
          <t>Published</t>
        </is>
      </c>
    </row>
    <row r="972">
      <c r="A972">
        <f>HYPERLINK("https://www.walmart.com/ip/520050365", "520050365")</f>
        <v/>
      </c>
      <c r="B972">
        <f>HYPERLINK("https://app.optiwise.ai/catalog/itemdetails/409170", "Tirrinia Insulated Wine Carrier Bag, 3 Bottle Capacity, Stripe")</f>
        <v/>
      </c>
      <c r="C972" t="inlineStr">
        <is>
          <t>1TRWB300STR</t>
        </is>
      </c>
      <c r="D972" t="inlineStr">
        <is>
          <t>Home Decor, Kitchen, &amp; Other</t>
        </is>
      </c>
      <c r="E972" t="inlineStr">
        <is>
          <t>Wine Totes, Bags &amp; Backpacks</t>
        </is>
      </c>
      <c r="F972" t="inlineStr">
        <is>
          <t>Tirrinia</t>
        </is>
      </c>
      <c r="G972" t="n">
        <v>5</v>
      </c>
      <c r="H972" t="n">
        <v>1</v>
      </c>
      <c r="I972" t="inlineStr">
        <is>
          <t>Wine,Christmas,Optimized,Valentine,Lily Brand Camp</t>
        </is>
      </c>
      <c r="J972" s="29" t="n">
        <v>0</v>
      </c>
      <c r="K972" s="30" t="n"/>
      <c r="L972" s="29" t="n">
        <v>0</v>
      </c>
      <c r="M972" s="29" t="n">
        <v>0</v>
      </c>
      <c r="N972" s="2" t="n">
        <v>0</v>
      </c>
      <c r="O972" s="31" t="n">
        <v>0</v>
      </c>
      <c r="P972" s="32" t="n"/>
      <c r="Q972" s="32" t="n">
        <v>0</v>
      </c>
      <c r="R972" s="32" t="n">
        <v>0</v>
      </c>
      <c r="S972" s="31" t="n">
        <v>0</v>
      </c>
      <c r="T972" s="32" t="n">
        <v>0</v>
      </c>
      <c r="U972" s="31" t="n">
        <v>0</v>
      </c>
      <c r="V972" s="31" t="n">
        <v>0</v>
      </c>
      <c r="W972" s="3" t="n">
        <v>0</v>
      </c>
      <c r="X972" s="3" t="n">
        <v>0</v>
      </c>
      <c r="Y972" s="32" t="n">
        <v>0</v>
      </c>
      <c r="Z972" s="3" t="n">
        <v>0</v>
      </c>
      <c r="AA972" s="32" t="n">
        <v>0</v>
      </c>
      <c r="AB972" s="3" t="n"/>
      <c r="AC972" s="31" t="n">
        <v>0</v>
      </c>
      <c r="AD972" s="2" t="n">
        <v>0</v>
      </c>
      <c r="AE972" s="2" t="n">
        <v>23</v>
      </c>
      <c r="AF972" s="4" t="n">
        <v>23</v>
      </c>
      <c r="AG972" s="33" t="n">
        <v>0</v>
      </c>
      <c r="AH972" s="4" t="n">
        <v>0</v>
      </c>
      <c r="AI972" s="34" t="n"/>
      <c r="AJ972" s="34" t="n">
        <v>0</v>
      </c>
      <c r="AK972" s="2" t="n">
        <v>0</v>
      </c>
      <c r="AL972" t="inlineStr">
        <is>
          <t>Published</t>
        </is>
      </c>
    </row>
    <row r="973">
      <c r="A973">
        <f>HYPERLINK("https://www.walmart.com/ip/1963727130", "1963727130")</f>
        <v/>
      </c>
      <c r="B973">
        <f>HYPERLINK("https://app.optiwise.ai/catalog/itemdetails/933378", "Women’s Plush Hoodie Sweatshirt Dress, Casual Pullover Sweater with Kangaroo Pocket, One Size")</f>
        <v/>
      </c>
      <c r="C973" t="inlineStr">
        <is>
          <t>1CTHD531BK</t>
        </is>
      </c>
      <c r="D973" t="inlineStr">
        <is>
          <t>Clothing</t>
        </is>
      </c>
      <c r="E973" t="inlineStr">
        <is>
          <t>Sweatshirts &amp; Hoodies</t>
        </is>
      </c>
      <c r="F973" t="inlineStr">
        <is>
          <t>Catalonia</t>
        </is>
      </c>
      <c r="G973" t="n">
        <v>0</v>
      </c>
      <c r="H973" t="n">
        <v>0</v>
      </c>
      <c r="I973" t="inlineStr">
        <is>
          <t>Batch 1 - TR</t>
        </is>
      </c>
      <c r="J973" s="29" t="n">
        <v>0</v>
      </c>
      <c r="K973" s="30" t="n"/>
      <c r="L973" s="29" t="n">
        <v>0</v>
      </c>
      <c r="M973" s="29" t="n">
        <v>0</v>
      </c>
      <c r="N973" s="2" t="n">
        <v>0</v>
      </c>
      <c r="O973" s="31" t="n">
        <v>0</v>
      </c>
      <c r="P973" s="32" t="n"/>
      <c r="Q973" s="32" t="n">
        <v>0</v>
      </c>
      <c r="R973" s="32" t="n">
        <v>0</v>
      </c>
      <c r="S973" s="31" t="n">
        <v>0</v>
      </c>
      <c r="T973" s="32" t="n">
        <v>0</v>
      </c>
      <c r="U973" s="31" t="n">
        <v>0</v>
      </c>
      <c r="V973" s="31" t="n">
        <v>0</v>
      </c>
      <c r="W973" s="3" t="n">
        <v>0</v>
      </c>
      <c r="X973" s="3" t="n">
        <v>0</v>
      </c>
      <c r="Y973" s="32" t="n">
        <v>0</v>
      </c>
      <c r="Z973" s="3" t="n">
        <v>0</v>
      </c>
      <c r="AA973" s="32" t="n">
        <v>0</v>
      </c>
      <c r="AB973" s="3" t="n"/>
      <c r="AC973" s="31" t="n">
        <v>0</v>
      </c>
      <c r="AD973" s="2" t="n">
        <v>0</v>
      </c>
      <c r="AE973" s="2" t="n">
        <v>40</v>
      </c>
      <c r="AF973" s="4" t="n">
        <v>40</v>
      </c>
      <c r="AG973" s="33" t="n">
        <v>0</v>
      </c>
      <c r="AH973" s="4" t="n">
        <v>0</v>
      </c>
      <c r="AI973" s="34" t="n"/>
      <c r="AJ973" s="34" t="n">
        <v>0</v>
      </c>
      <c r="AK973" s="2" t="n">
        <v>0</v>
      </c>
      <c r="AL973" t="inlineStr">
        <is>
          <t>Published</t>
        </is>
      </c>
    </row>
    <row r="974">
      <c r="A974">
        <f>HYPERLINK("https://www.walmart.com/ip/1824402854", "1824402854")</f>
        <v/>
      </c>
      <c r="B974">
        <f>HYPERLINK("https://app.optiwise.ai/catalog/itemdetails/933379", "Women’s Plush Hoodie Sweatshirt Dress, Casual Pullover Sweater with Kangaroo Pocket, One Size")</f>
        <v/>
      </c>
      <c r="C974" t="inlineStr">
        <is>
          <t>1CTHD531GY</t>
        </is>
      </c>
      <c r="D974" t="inlineStr">
        <is>
          <t>Clothing</t>
        </is>
      </c>
      <c r="E974" t="inlineStr">
        <is>
          <t>Sweatshirts &amp; Hoodies</t>
        </is>
      </c>
      <c r="F974" t="inlineStr">
        <is>
          <t>Catalonia</t>
        </is>
      </c>
      <c r="G974" t="n">
        <v>0</v>
      </c>
      <c r="H974" t="n">
        <v>0</v>
      </c>
      <c r="I974" t="inlineStr">
        <is>
          <t>Batch 1 - TR</t>
        </is>
      </c>
      <c r="J974" s="29" t="n">
        <v>0</v>
      </c>
      <c r="K974" s="30" t="n"/>
      <c r="L974" s="29" t="n">
        <v>0</v>
      </c>
      <c r="M974" s="29" t="n">
        <v>0</v>
      </c>
      <c r="N974" s="2" t="n">
        <v>0</v>
      </c>
      <c r="O974" s="31" t="n">
        <v>0.8</v>
      </c>
      <c r="P974" s="32" t="n">
        <v>0.0001</v>
      </c>
      <c r="Q974" s="32" t="n">
        <v>0</v>
      </c>
      <c r="R974" s="32" t="n">
        <v>0</v>
      </c>
      <c r="S974" s="31" t="n">
        <v>0</v>
      </c>
      <c r="T974" s="32" t="n">
        <v>0</v>
      </c>
      <c r="U974" s="31" t="n">
        <v>0</v>
      </c>
      <c r="V974" s="31" t="n">
        <v>0</v>
      </c>
      <c r="W974" s="3" t="n">
        <v>6663</v>
      </c>
      <c r="X974" s="3" t="n">
        <v>4</v>
      </c>
      <c r="Y974" s="32" t="n">
        <v>0.0005999999999999999</v>
      </c>
      <c r="Z974" s="3" t="n">
        <v>0</v>
      </c>
      <c r="AA974" s="32" t="n">
        <v>0</v>
      </c>
      <c r="AB974" s="3" t="inlineStr">
        <is>
          <t>Hoodies_Auto</t>
        </is>
      </c>
      <c r="AC974" s="31" t="n">
        <v>0.2</v>
      </c>
      <c r="AD974" s="2" t="n">
        <v>0</v>
      </c>
      <c r="AE974" s="2" t="n">
        <v>25</v>
      </c>
      <c r="AF974" s="4" t="n">
        <v>21</v>
      </c>
      <c r="AG974" s="33" t="n">
        <v>0</v>
      </c>
      <c r="AH974" s="4" t="n">
        <v>0</v>
      </c>
      <c r="AI974" s="34" t="n"/>
      <c r="AJ974" s="34" t="n">
        <v>0</v>
      </c>
      <c r="AK974" s="2" t="n">
        <v>0</v>
      </c>
      <c r="AL974" t="inlineStr">
        <is>
          <t>Published</t>
        </is>
      </c>
    </row>
    <row r="975">
      <c r="A975">
        <f>HYPERLINK("https://www.walmart.com/ip/1089944334", "1089944334")</f>
        <v/>
      </c>
      <c r="B975">
        <f>HYPERLINK("https://app.optiwise.ai/catalog/itemdetails/933382", "Women’s Plush Hoodie Sweatshirt Dress, Casual Pullover Sweater with Kangaroo Pocket, One Size")</f>
        <v/>
      </c>
      <c r="C975" t="inlineStr">
        <is>
          <t>1CTHD531AQ</t>
        </is>
      </c>
      <c r="D975" t="inlineStr">
        <is>
          <t>Clothing</t>
        </is>
      </c>
      <c r="E975" t="inlineStr">
        <is>
          <t>Sweatshirts &amp; Hoodies</t>
        </is>
      </c>
      <c r="F975" t="inlineStr">
        <is>
          <t>Catalonia</t>
        </is>
      </c>
      <c r="G975" t="n">
        <v>0</v>
      </c>
      <c r="H975" t="n">
        <v>0</v>
      </c>
      <c r="I975" t="inlineStr">
        <is>
          <t>Batch 1 - TR</t>
        </is>
      </c>
      <c r="J975" s="29" t="n">
        <v>0</v>
      </c>
      <c r="K975" s="30" t="n"/>
      <c r="L975" s="29" t="n">
        <v>0</v>
      </c>
      <c r="M975" s="29" t="n">
        <v>0</v>
      </c>
      <c r="N975" s="2" t="n">
        <v>0</v>
      </c>
      <c r="O975" s="31" t="n">
        <v>0</v>
      </c>
      <c r="P975" s="32" t="n"/>
      <c r="Q975" s="32" t="n">
        <v>0</v>
      </c>
      <c r="R975" s="32" t="n">
        <v>0</v>
      </c>
      <c r="S975" s="31" t="n">
        <v>0</v>
      </c>
      <c r="T975" s="32" t="n">
        <v>0</v>
      </c>
      <c r="U975" s="31" t="n">
        <v>0</v>
      </c>
      <c r="V975" s="31" t="n">
        <v>0</v>
      </c>
      <c r="W975" s="3" t="n">
        <v>0</v>
      </c>
      <c r="X975" s="3" t="n">
        <v>0</v>
      </c>
      <c r="Y975" s="32" t="n">
        <v>0</v>
      </c>
      <c r="Z975" s="3" t="n">
        <v>0</v>
      </c>
      <c r="AA975" s="32" t="n">
        <v>0</v>
      </c>
      <c r="AB975" s="3" t="n"/>
      <c r="AC975" s="31" t="n">
        <v>0</v>
      </c>
      <c r="AD975" s="2" t="n">
        <v>0</v>
      </c>
      <c r="AE975" s="2" t="n">
        <v>21</v>
      </c>
      <c r="AF975" s="4" t="n">
        <v>21</v>
      </c>
      <c r="AG975" s="33" t="n">
        <v>0</v>
      </c>
      <c r="AH975" s="4" t="n">
        <v>0</v>
      </c>
      <c r="AI975" s="34" t="n"/>
      <c r="AJ975" s="34" t="n">
        <v>0</v>
      </c>
      <c r="AK975" s="2" t="n">
        <v>0</v>
      </c>
      <c r="AL975" t="inlineStr">
        <is>
          <t>Published</t>
        </is>
      </c>
    </row>
    <row r="976">
      <c r="A976">
        <f>HYPERLINK("https://www.walmart.com/ip/1256810690", "1256810690")</f>
        <v/>
      </c>
      <c r="B976">
        <f>HYPERLINK("https://app.optiwise.ai/catalog/itemdetails/936864", "Women’s Plush Hoodie Sweatshirt Dress, Casual Pullover Sweater with Kangaroo Pocket, One Size")</f>
        <v/>
      </c>
      <c r="C976" t="inlineStr">
        <is>
          <t>1CTHD531PK</t>
        </is>
      </c>
      <c r="D976" t="inlineStr">
        <is>
          <t>Clothing</t>
        </is>
      </c>
      <c r="E976" t="inlineStr">
        <is>
          <t>Sweatshirts &amp; Hoodies</t>
        </is>
      </c>
      <c r="F976" t="inlineStr">
        <is>
          <t>Catalonia</t>
        </is>
      </c>
      <c r="G976" t="n">
        <v>0</v>
      </c>
      <c r="H976" t="n">
        <v>0</v>
      </c>
      <c r="I976" t="inlineStr">
        <is>
          <t>Batch 1 - TR</t>
        </is>
      </c>
      <c r="J976" s="29" t="n">
        <v>0</v>
      </c>
      <c r="K976" s="30" t="n"/>
      <c r="L976" s="29" t="n">
        <v>0</v>
      </c>
      <c r="M976" s="29" t="n">
        <v>0</v>
      </c>
      <c r="N976" s="2" t="n">
        <v>0</v>
      </c>
      <c r="O976" s="31" t="n">
        <v>5.02</v>
      </c>
      <c r="P976" s="32" t="n">
        <v>0.0005999999999999999</v>
      </c>
      <c r="Q976" s="32" t="n">
        <v>0</v>
      </c>
      <c r="R976" s="32" t="n">
        <v>0.5542</v>
      </c>
      <c r="S976" s="31" t="n">
        <v>0</v>
      </c>
      <c r="T976" s="32" t="n">
        <v>0</v>
      </c>
      <c r="U976" s="31" t="n">
        <v>0</v>
      </c>
      <c r="V976" s="31" t="n">
        <v>0</v>
      </c>
      <c r="W976" s="3" t="n">
        <v>10281</v>
      </c>
      <c r="X976" s="3" t="n">
        <v>15</v>
      </c>
      <c r="Y976" s="32" t="n">
        <v>0.0015</v>
      </c>
      <c r="Z976" s="3" t="n">
        <v>0</v>
      </c>
      <c r="AA976" s="32" t="n">
        <v>0</v>
      </c>
      <c r="AB976" s="3" t="inlineStr">
        <is>
          <t>Hoodies_Auto</t>
        </is>
      </c>
      <c r="AC976" s="31" t="n">
        <v>0.33</v>
      </c>
      <c r="AD976" s="2" t="n">
        <v>0</v>
      </c>
      <c r="AE976" s="2" t="n">
        <v>20</v>
      </c>
      <c r="AF976" s="4" t="n">
        <v>5</v>
      </c>
      <c r="AG976" s="33" t="n">
        <v>0</v>
      </c>
      <c r="AH976" s="4" t="n">
        <v>0</v>
      </c>
      <c r="AI976" s="34" t="n"/>
      <c r="AJ976" s="34" t="n">
        <v>0</v>
      </c>
      <c r="AK976" s="2" t="n">
        <v>0</v>
      </c>
      <c r="AL976" t="inlineStr">
        <is>
          <t>Published</t>
        </is>
      </c>
    </row>
    <row r="977">
      <c r="A977">
        <f>HYPERLINK("https://www.walmart.com/ip/470850901", "470850901")</f>
        <v/>
      </c>
      <c r="B977">
        <f>HYPERLINK("https://app.optiwise.ai/catalog/itemdetails/417473", "Tirrinia Super Soft Comfy Plush Wearable Fleece Blanket Sherpa Poncho, 55 In x 80 In, Wine")</f>
        <v/>
      </c>
      <c r="C977" t="inlineStr">
        <is>
          <t>1TRBP110WN-TBCB</t>
        </is>
      </c>
      <c r="D977" t="inlineStr">
        <is>
          <t>Home Decor, Kitchen, &amp; Other</t>
        </is>
      </c>
      <c r="E977" t="inlineStr">
        <is>
          <t>Throws</t>
        </is>
      </c>
      <c r="F977" t="inlineStr">
        <is>
          <t>Tirrinia</t>
        </is>
      </c>
      <c r="G977" t="n">
        <v>0</v>
      </c>
      <c r="H977" t="n">
        <v>0</v>
      </c>
      <c r="I977" t="inlineStr">
        <is>
          <t>Optimized,Fleece Blankets</t>
        </is>
      </c>
      <c r="J977" s="29" t="n">
        <v>0</v>
      </c>
      <c r="K977" s="30" t="n"/>
      <c r="L977" s="29" t="n">
        <v>0</v>
      </c>
      <c r="M977" s="29" t="n">
        <v>0</v>
      </c>
      <c r="N977" s="2" t="n">
        <v>0</v>
      </c>
      <c r="O977" s="31" t="n">
        <v>0</v>
      </c>
      <c r="P977" s="32" t="n"/>
      <c r="Q977" s="32" t="n">
        <v>0</v>
      </c>
      <c r="R977" s="32" t="n">
        <v>0</v>
      </c>
      <c r="S977" s="31" t="n">
        <v>0</v>
      </c>
      <c r="T977" s="32" t="n">
        <v>0</v>
      </c>
      <c r="U977" s="31" t="n">
        <v>0</v>
      </c>
      <c r="V977" s="31" t="n">
        <v>0</v>
      </c>
      <c r="W977" s="3" t="n">
        <v>0</v>
      </c>
      <c r="X977" s="3" t="n">
        <v>0</v>
      </c>
      <c r="Y977" s="32" t="n">
        <v>0</v>
      </c>
      <c r="Z977" s="3" t="n">
        <v>0</v>
      </c>
      <c r="AA977" s="32" t="n">
        <v>0</v>
      </c>
      <c r="AB977" s="3" t="n"/>
      <c r="AC977" s="31" t="n">
        <v>0</v>
      </c>
      <c r="AD977" s="2" t="n">
        <v>0</v>
      </c>
      <c r="AE977" s="2" t="n">
        <v>2</v>
      </c>
      <c r="AF977" s="4" t="n">
        <v>2</v>
      </c>
      <c r="AG977" s="33" t="n">
        <v>0</v>
      </c>
      <c r="AH977" s="4" t="n">
        <v>0</v>
      </c>
      <c r="AI977" s="34" t="n"/>
      <c r="AJ977" s="34" t="n">
        <v>0</v>
      </c>
      <c r="AK977" s="2" t="n">
        <v>0</v>
      </c>
      <c r="AL977" t="inlineStr">
        <is>
          <t>Published</t>
        </is>
      </c>
    </row>
    <row r="978">
      <c r="A978">
        <f>HYPERLINK("https://www.walmart.com/ip/1565698344", "1565698344")</f>
        <v/>
      </c>
      <c r="B978">
        <f>HYPERLINK("https://app.optiwise.ai/catalog/itemdetails/936865", "Women’s Plush Hoodie Sweatshirt Dress, Casual Pullover Sweater with Kangaroo Pocket, One Size")</f>
        <v/>
      </c>
      <c r="C978" t="inlineStr">
        <is>
          <t>1CTHD531DGY</t>
        </is>
      </c>
      <c r="D978" t="inlineStr">
        <is>
          <t>Clothing</t>
        </is>
      </c>
      <c r="E978" t="inlineStr">
        <is>
          <t>Sweatshirts &amp; Hoodies</t>
        </is>
      </c>
      <c r="F978" t="inlineStr">
        <is>
          <t>Catalonia</t>
        </is>
      </c>
      <c r="G978" t="n">
        <v>0</v>
      </c>
      <c r="H978" t="n">
        <v>0</v>
      </c>
      <c r="I978" t="inlineStr">
        <is>
          <t>Batch 1 - TR</t>
        </is>
      </c>
      <c r="J978" s="29" t="n">
        <v>0</v>
      </c>
      <c r="K978" s="30" t="n"/>
      <c r="L978" s="29" t="n">
        <v>0</v>
      </c>
      <c r="M978" s="29" t="n">
        <v>0</v>
      </c>
      <c r="N978" s="2" t="n">
        <v>0</v>
      </c>
      <c r="O978" s="31" t="n">
        <v>2.2</v>
      </c>
      <c r="P978" s="32" t="n">
        <v>0.0003</v>
      </c>
      <c r="Q978" s="32" t="n">
        <v>0</v>
      </c>
      <c r="R978" s="32" t="n">
        <v>0.2372</v>
      </c>
      <c r="S978" s="31" t="n">
        <v>0</v>
      </c>
      <c r="T978" s="32" t="n">
        <v>0</v>
      </c>
      <c r="U978" s="31" t="n">
        <v>0</v>
      </c>
      <c r="V978" s="31" t="n">
        <v>0</v>
      </c>
      <c r="W978" s="3" t="n">
        <v>7603</v>
      </c>
      <c r="X978" s="3" t="n">
        <v>7</v>
      </c>
      <c r="Y978" s="32" t="n">
        <v>0.0009</v>
      </c>
      <c r="Z978" s="3" t="n">
        <v>0</v>
      </c>
      <c r="AA978" s="32" t="n">
        <v>0</v>
      </c>
      <c r="AB978" s="3" t="inlineStr">
        <is>
          <t>Hoodies_Auto</t>
        </is>
      </c>
      <c r="AC978" s="31" t="n">
        <v>0.31</v>
      </c>
      <c r="AD978" s="2" t="n">
        <v>0</v>
      </c>
      <c r="AE978" s="2" t="n">
        <v>14</v>
      </c>
      <c r="AF978" s="4" t="n">
        <v>7</v>
      </c>
      <c r="AG978" s="33" t="n">
        <v>0</v>
      </c>
      <c r="AH978" s="4" t="n">
        <v>0</v>
      </c>
      <c r="AI978" s="34" t="n"/>
      <c r="AJ978" s="34" t="n">
        <v>0</v>
      </c>
      <c r="AK978" s="2" t="n">
        <v>0</v>
      </c>
      <c r="AL978" t="inlineStr">
        <is>
          <t>Published</t>
        </is>
      </c>
    </row>
    <row r="979">
      <c r="A979">
        <f>HYPERLINK("https://www.walmart.com/ip/1080329917", "1080329917")</f>
        <v/>
      </c>
      <c r="B979">
        <f>HYPERLINK("https://app.optiwise.ai/catalog/itemdetails/937596", "Kritter Planet Waterproof Pet Blanket, Pee-Proof Dog Blanket Cover for Couch and Bed, Liquid-Proof Furniture Protector for Small and Large Dogs and Cats, Black/Green, 80'' x 60''")</f>
        <v/>
      </c>
      <c r="C979" t="inlineStr">
        <is>
          <t>1KPBW681GNBK</t>
        </is>
      </c>
      <c r="D979" t="inlineStr">
        <is>
          <t>Animal Accessories</t>
        </is>
      </c>
      <c r="E979" t="inlineStr">
        <is>
          <t>Pet Blankets</t>
        </is>
      </c>
      <c r="F979" t="inlineStr">
        <is>
          <t>Kritter Planet</t>
        </is>
      </c>
      <c r="G979" t="n">
        <v>0</v>
      </c>
      <c r="H979" t="n">
        <v>0</v>
      </c>
      <c r="I979" t="inlineStr">
        <is>
          <t>Batch 1 - TR</t>
        </is>
      </c>
      <c r="J979" s="29" t="n">
        <v>0</v>
      </c>
      <c r="K979" s="30" t="n"/>
      <c r="L979" s="29" t="n">
        <v>0</v>
      </c>
      <c r="M979" s="29" t="n">
        <v>0</v>
      </c>
      <c r="N979" s="2" t="n">
        <v>0</v>
      </c>
      <c r="O979" s="31" t="n">
        <v>4.170000000000001</v>
      </c>
      <c r="P979" s="32" t="n">
        <v>0.0005</v>
      </c>
      <c r="Q979" s="32" t="n">
        <v>0</v>
      </c>
      <c r="R979" s="32" t="n">
        <v>0</v>
      </c>
      <c r="S979" s="31" t="n">
        <v>0</v>
      </c>
      <c r="T979" s="32" t="n">
        <v>0</v>
      </c>
      <c r="U979" s="31" t="n">
        <v>0</v>
      </c>
      <c r="V979" s="31" t="n">
        <v>0</v>
      </c>
      <c r="W979" s="3" t="n">
        <v>6110</v>
      </c>
      <c r="X979" s="3" t="n">
        <v>7</v>
      </c>
      <c r="Y979" s="32" t="n">
        <v>0.0011</v>
      </c>
      <c r="Z979" s="3" t="n">
        <v>0</v>
      </c>
      <c r="AA979" s="32" t="n">
        <v>0</v>
      </c>
      <c r="AB979" s="3" t="inlineStr">
        <is>
          <t>Auto for BW PET 2 ---Rachel</t>
        </is>
      </c>
      <c r="AC979" s="31" t="n">
        <v>0.6</v>
      </c>
      <c r="AD979" s="2" t="n">
        <v>0</v>
      </c>
      <c r="AE979" s="2" t="n">
        <v>27</v>
      </c>
      <c r="AF979" s="4" t="n">
        <v>20</v>
      </c>
      <c r="AG979" s="33" t="n">
        <v>0</v>
      </c>
      <c r="AH979" s="4" t="n">
        <v>0</v>
      </c>
      <c r="AI979" s="34" t="n"/>
      <c r="AJ979" s="34" t="n">
        <v>0</v>
      </c>
      <c r="AK979" s="2" t="n">
        <v>0</v>
      </c>
      <c r="AL979" t="inlineStr">
        <is>
          <t>Published</t>
        </is>
      </c>
    </row>
    <row r="980">
      <c r="A980">
        <f>HYPERLINK("https://www.walmart.com/ip/1061206456", "1061206456")</f>
        <v/>
      </c>
      <c r="B980">
        <f>HYPERLINK("https://app.optiwise.ai/catalog/itemdetails/938298", "Catalonia Microfiber Plush Blanket for Bed and Couch, Holiday Theme Sherpa Fleece Throw Blanket, Christmas Gift Blanket, Super Soft, Comfy, Cozy, Fluffy, Warm, Red Plaid, 90 x 90")</f>
        <v/>
      </c>
      <c r="C980" t="inlineStr">
        <is>
          <t>1CTBF399PRD</t>
        </is>
      </c>
      <c r="D980" t="inlineStr">
        <is>
          <t>Bedding</t>
        </is>
      </c>
      <c r="E980" t="inlineStr">
        <is>
          <t>Throws</t>
        </is>
      </c>
      <c r="F980" t="inlineStr">
        <is>
          <t>Catalonia</t>
        </is>
      </c>
      <c r="G980" t="n">
        <v>0</v>
      </c>
      <c r="H980" t="n">
        <v>0</v>
      </c>
      <c r="I980" t="inlineStr">
        <is>
          <t>Q2-Target,Batch 1 - TR</t>
        </is>
      </c>
      <c r="J980" s="29" t="n">
        <v>0</v>
      </c>
      <c r="K980" s="30" t="n"/>
      <c r="L980" s="29" t="n">
        <v>0</v>
      </c>
      <c r="M980" s="29" t="n">
        <v>0</v>
      </c>
      <c r="N980" s="2" t="n">
        <v>0</v>
      </c>
      <c r="O980" s="31" t="n">
        <v>0</v>
      </c>
      <c r="P980" s="32" t="n"/>
      <c r="Q980" s="32" t="n">
        <v>0</v>
      </c>
      <c r="R980" s="32" t="n">
        <v>0.0349</v>
      </c>
      <c r="S980" s="31" t="n">
        <v>0</v>
      </c>
      <c r="T980" s="32" t="n">
        <v>0</v>
      </c>
      <c r="U980" s="31" t="n">
        <v>0</v>
      </c>
      <c r="V980" s="31" t="n">
        <v>0</v>
      </c>
      <c r="W980" s="3" t="n">
        <v>0</v>
      </c>
      <c r="X980" s="3" t="n">
        <v>0</v>
      </c>
      <c r="Y980" s="32" t="n">
        <v>0</v>
      </c>
      <c r="Z980" s="3" t="n">
        <v>0</v>
      </c>
      <c r="AA980" s="32" t="n">
        <v>0</v>
      </c>
      <c r="AB980" s="3" t="n"/>
      <c r="AC980" s="31" t="n">
        <v>0</v>
      </c>
      <c r="AD980" s="2" t="n">
        <v>0</v>
      </c>
      <c r="AE980" s="2" t="n">
        <v>6</v>
      </c>
      <c r="AF980" s="4" t="n">
        <v>6</v>
      </c>
      <c r="AG980" s="33" t="n">
        <v>0</v>
      </c>
      <c r="AH980" s="4" t="n">
        <v>0</v>
      </c>
      <c r="AI980" s="34" t="n"/>
      <c r="AJ980" s="34" t="n">
        <v>0</v>
      </c>
      <c r="AK980" s="2" t="n">
        <v>0</v>
      </c>
      <c r="AL980" t="inlineStr">
        <is>
          <t>Published</t>
        </is>
      </c>
    </row>
    <row r="981">
      <c r="A981">
        <f>HYPERLINK("https://www.walmart.com/ip/1892474200", "1892474200")</f>
        <v/>
      </c>
      <c r="B981">
        <f>HYPERLINK("https://app.optiwise.ai/catalog/itemdetails/942233", "Catalonia Sherpa Fleece Blanket for Bed, Super Soft  Plush Sofa Couch Throw Blanket, TV Bed Blanket, Comfy Cozy Fluffy Warm Comforter, Green Plaid, 60'' x 80''")</f>
        <v/>
      </c>
      <c r="C981" t="inlineStr">
        <is>
          <t>1CTBF368PGN</t>
        </is>
      </c>
      <c r="D981" t="inlineStr">
        <is>
          <t>Bedding</t>
        </is>
      </c>
      <c r="E981" t="inlineStr">
        <is>
          <t>Throws</t>
        </is>
      </c>
      <c r="F981" t="inlineStr">
        <is>
          <t>Catalonia</t>
        </is>
      </c>
      <c r="G981" t="n">
        <v>0</v>
      </c>
      <c r="H981" t="n">
        <v>0</v>
      </c>
      <c r="I981" t="inlineStr">
        <is>
          <t>Fleece Blankets,Batch 1 - TR</t>
        </is>
      </c>
      <c r="J981" s="29" t="n">
        <v>0</v>
      </c>
      <c r="K981" s="30" t="n"/>
      <c r="L981" s="29" t="n">
        <v>0</v>
      </c>
      <c r="M981" s="29" t="n">
        <v>0</v>
      </c>
      <c r="N981" s="2" t="n">
        <v>0</v>
      </c>
      <c r="O981" s="31" t="n">
        <v>0</v>
      </c>
      <c r="P981" s="32" t="n"/>
      <c r="Q981" s="32" t="n">
        <v>0</v>
      </c>
      <c r="R981" s="32" t="n">
        <v>0</v>
      </c>
      <c r="S981" s="31" t="n">
        <v>0</v>
      </c>
      <c r="T981" s="32" t="n">
        <v>0</v>
      </c>
      <c r="U981" s="31" t="n">
        <v>0</v>
      </c>
      <c r="V981" s="31" t="n">
        <v>0</v>
      </c>
      <c r="W981" s="3" t="n">
        <v>0</v>
      </c>
      <c r="X981" s="3" t="n">
        <v>0</v>
      </c>
      <c r="Y981" s="32" t="n">
        <v>0</v>
      </c>
      <c r="Z981" s="3" t="n">
        <v>0</v>
      </c>
      <c r="AA981" s="32" t="n">
        <v>0</v>
      </c>
      <c r="AB981" s="3" t="n"/>
      <c r="AC981" s="31" t="n">
        <v>0</v>
      </c>
      <c r="AD981" s="2" t="n">
        <v>0</v>
      </c>
      <c r="AE981" s="2" t="n">
        <v>15</v>
      </c>
      <c r="AF981" s="4" t="n">
        <v>15</v>
      </c>
      <c r="AG981" s="33" t="n">
        <v>0</v>
      </c>
      <c r="AH981" s="4" t="n">
        <v>0</v>
      </c>
      <c r="AI981" s="34" t="n"/>
      <c r="AJ981" s="34" t="n">
        <v>0</v>
      </c>
      <c r="AK981" s="2" t="n">
        <v>0</v>
      </c>
      <c r="AL981" t="inlineStr">
        <is>
          <t>Published</t>
        </is>
      </c>
    </row>
    <row r="982">
      <c r="A982">
        <f>HYPERLINK("https://www.walmart.com/ip/600885402", "600885402")</f>
        <v/>
      </c>
      <c r="B982">
        <f>HYPERLINK("https://app.optiwise.ai/catalog/itemdetails/417471", "Tirrinia Super Comfy Soft Cozy Patriotic US Flag Knitted Throw Blanket, 50 x 60")</f>
        <v/>
      </c>
      <c r="C982" t="inlineStr">
        <is>
          <t>1TRBN506-USA-TBCB</t>
        </is>
      </c>
      <c r="D982" t="inlineStr">
        <is>
          <t>Home Decor, Kitchen, &amp; Other</t>
        </is>
      </c>
      <c r="E982" t="inlineStr">
        <is>
          <t>Throws</t>
        </is>
      </c>
      <c r="F982" t="inlineStr">
        <is>
          <t>Tirrinia</t>
        </is>
      </c>
      <c r="G982" t="n">
        <v>5</v>
      </c>
      <c r="H982" t="n">
        <v>1</v>
      </c>
      <c r="I982" t="inlineStr">
        <is>
          <t>Optimized</t>
        </is>
      </c>
      <c r="J982" s="29" t="n">
        <v>0</v>
      </c>
      <c r="K982" s="30" t="n"/>
      <c r="L982" s="29" t="n">
        <v>0</v>
      </c>
      <c r="M982" s="29" t="n">
        <v>0</v>
      </c>
      <c r="N982" s="2" t="n">
        <v>0</v>
      </c>
      <c r="O982" s="31" t="n">
        <v>0</v>
      </c>
      <c r="P982" s="32" t="n"/>
      <c r="Q982" s="32" t="n">
        <v>0</v>
      </c>
      <c r="R982" s="32" t="n">
        <v>0</v>
      </c>
      <c r="S982" s="31" t="n">
        <v>0</v>
      </c>
      <c r="T982" s="32" t="n">
        <v>0</v>
      </c>
      <c r="U982" s="31" t="n">
        <v>0</v>
      </c>
      <c r="V982" s="31" t="n">
        <v>0</v>
      </c>
      <c r="W982" s="3" t="n">
        <v>0</v>
      </c>
      <c r="X982" s="3" t="n">
        <v>0</v>
      </c>
      <c r="Y982" s="32" t="n">
        <v>0</v>
      </c>
      <c r="Z982" s="3" t="n">
        <v>0</v>
      </c>
      <c r="AA982" s="32" t="n">
        <v>0</v>
      </c>
      <c r="AB982" s="3" t="n"/>
      <c r="AC982" s="31" t="n">
        <v>0</v>
      </c>
      <c r="AD982" s="2" t="n">
        <v>0</v>
      </c>
      <c r="AE982" s="2" t="n">
        <v>0</v>
      </c>
      <c r="AF982" s="4" t="n">
        <v>0</v>
      </c>
      <c r="AG982" s="33" t="n">
        <v>0</v>
      </c>
      <c r="AH982" s="4" t="n">
        <v>0</v>
      </c>
      <c r="AI982" s="34" t="n"/>
      <c r="AJ982" s="34" t="n">
        <v>0</v>
      </c>
      <c r="AK982" s="2" t="n">
        <v>0</v>
      </c>
      <c r="AL982" t="inlineStr">
        <is>
          <t>Published</t>
        </is>
      </c>
    </row>
    <row r="983">
      <c r="A983">
        <f>HYPERLINK("https://www.walmart.com/ip/422542354", "422542354")</f>
        <v/>
      </c>
      <c r="B983">
        <f>HYPERLINK("https://app.optiwise.ai/catalog/itemdetails/409168", "Oversized Hooded Poncho Cape, Casual Hoodie Sweatshirt, Batwing Coat Pullover | Light Weight, Cozy, Comfortable, Roomy | for Adults Women Men Teens")</f>
        <v/>
      </c>
      <c r="C983" t="inlineStr">
        <is>
          <t>1CTHD542DBL</t>
        </is>
      </c>
      <c r="D983" t="inlineStr">
        <is>
          <t>Clothing</t>
        </is>
      </c>
      <c r="E983" t="inlineStr">
        <is>
          <t>Sweatshirts &amp; Hoodies</t>
        </is>
      </c>
      <c r="F983" t="inlineStr">
        <is>
          <t>Catalonia</t>
        </is>
      </c>
      <c r="G983" t="n">
        <v>0</v>
      </c>
      <c r="H983" t="n">
        <v>0</v>
      </c>
      <c r="I983" t="inlineStr">
        <is>
          <t>Hoodie ForAdult,Optimized,Coupon_Discount</t>
        </is>
      </c>
      <c r="J983" s="29" t="n">
        <v>0</v>
      </c>
      <c r="K983" s="30" t="n"/>
      <c r="L983" s="29" t="n">
        <v>0</v>
      </c>
      <c r="M983" s="29" t="n">
        <v>0</v>
      </c>
      <c r="N983" s="2" t="n">
        <v>0</v>
      </c>
      <c r="O983" s="31" t="n">
        <v>8.440000000000001</v>
      </c>
      <c r="P983" s="32" t="n">
        <v>0.001</v>
      </c>
      <c r="Q983" s="32" t="n">
        <v>0</v>
      </c>
      <c r="R983" s="32" t="n">
        <v>0.0696</v>
      </c>
      <c r="S983" s="31" t="n">
        <v>0</v>
      </c>
      <c r="T983" s="32" t="n">
        <v>0</v>
      </c>
      <c r="U983" s="31" t="n">
        <v>0</v>
      </c>
      <c r="V983" s="31" t="n">
        <v>0</v>
      </c>
      <c r="W983" s="3" t="n">
        <v>8887</v>
      </c>
      <c r="X983" s="3" t="n">
        <v>24</v>
      </c>
      <c r="Y983" s="32" t="n">
        <v>0.0027</v>
      </c>
      <c r="Z983" s="3" t="n">
        <v>0</v>
      </c>
      <c r="AA983" s="32" t="n">
        <v>0</v>
      </c>
      <c r="AB983" s="3" t="inlineStr">
        <is>
          <t>Hoodies_Auto</t>
        </is>
      </c>
      <c r="AC983" s="31" t="n">
        <v>0.35</v>
      </c>
      <c r="AD983" s="2" t="n">
        <v>0</v>
      </c>
      <c r="AE983" s="2" t="n">
        <v>32</v>
      </c>
      <c r="AF983" s="4" t="n">
        <v>8</v>
      </c>
      <c r="AG983" s="33" t="n">
        <v>0</v>
      </c>
      <c r="AH983" s="4" t="n">
        <v>0</v>
      </c>
      <c r="AI983" s="34" t="n"/>
      <c r="AJ983" s="34" t="n">
        <v>0</v>
      </c>
      <c r="AK983" s="2" t="n">
        <v>0</v>
      </c>
      <c r="AL983" t="inlineStr">
        <is>
          <t>Published</t>
        </is>
      </c>
    </row>
    <row r="984">
      <c r="A984">
        <f>HYPERLINK("https://www.walmart.com/ip/725432115", "725432115")</f>
        <v/>
      </c>
      <c r="B984">
        <f>HYPERLINK("https://app.optiwise.ai/catalog/itemdetails/417476", "Tirrinia Super Cozy Fleece Plush Sherpa Patriotic Throw Blanket, American Flag, 50 x 60, USA Flag")</f>
        <v/>
      </c>
      <c r="C984" t="inlineStr">
        <is>
          <t>1TRBF300USA2-TBCB01</t>
        </is>
      </c>
      <c r="D984" t="inlineStr">
        <is>
          <t>Bedding</t>
        </is>
      </c>
      <c r="E984" t="inlineStr">
        <is>
          <t>Throws</t>
        </is>
      </c>
      <c r="F984" t="inlineStr">
        <is>
          <t>Tirrinia</t>
        </is>
      </c>
      <c r="G984" t="n">
        <v>0</v>
      </c>
      <c r="H984" t="n">
        <v>0</v>
      </c>
      <c r="I984" t="inlineStr">
        <is>
          <t>Optimized</t>
        </is>
      </c>
      <c r="J984" s="29" t="n">
        <v>0</v>
      </c>
      <c r="K984" s="30" t="n"/>
      <c r="L984" s="29" t="n">
        <v>0</v>
      </c>
      <c r="M984" s="29" t="n">
        <v>0</v>
      </c>
      <c r="N984" s="2" t="n">
        <v>0</v>
      </c>
      <c r="O984" s="31" t="n">
        <v>0</v>
      </c>
      <c r="P984" s="32" t="n"/>
      <c r="Q984" s="32" t="n">
        <v>0</v>
      </c>
      <c r="R984" s="32" t="n">
        <v>0</v>
      </c>
      <c r="S984" s="31" t="n">
        <v>0</v>
      </c>
      <c r="T984" s="32" t="n">
        <v>0</v>
      </c>
      <c r="U984" s="31" t="n">
        <v>0</v>
      </c>
      <c r="V984" s="31" t="n">
        <v>0</v>
      </c>
      <c r="W984" s="3" t="n">
        <v>0</v>
      </c>
      <c r="X984" s="3" t="n">
        <v>0</v>
      </c>
      <c r="Y984" s="32" t="n">
        <v>0</v>
      </c>
      <c r="Z984" s="3" t="n">
        <v>0</v>
      </c>
      <c r="AA984" s="32" t="n">
        <v>0</v>
      </c>
      <c r="AB984" s="3" t="n"/>
      <c r="AC984" s="31" t="n">
        <v>0</v>
      </c>
      <c r="AD984" s="2" t="n">
        <v>0</v>
      </c>
      <c r="AE984" s="2" t="n">
        <v>5</v>
      </c>
      <c r="AF984" s="4" t="n">
        <v>5</v>
      </c>
      <c r="AG984" s="33" t="n">
        <v>0</v>
      </c>
      <c r="AH984" s="4" t="n">
        <v>0</v>
      </c>
      <c r="AI984" s="34" t="n"/>
      <c r="AJ984" s="34" t="n">
        <v>0</v>
      </c>
      <c r="AK984" s="2" t="n">
        <v>0</v>
      </c>
      <c r="AL984" t="inlineStr">
        <is>
          <t>Published</t>
        </is>
      </c>
    </row>
    <row r="985">
      <c r="A985">
        <f>HYPERLINK("https://www.walmart.com/ip/165630345", "165630345")</f>
        <v/>
      </c>
      <c r="B985">
        <f>HYPERLINK("https://app.optiwise.ai/catalog/itemdetails/417469", "Tirrinia Super-Soft Fleece Blanket Chevron Plush Flannel Sherpa Throw Blanket, 50 x 60, Charcoal")</f>
        <v/>
      </c>
      <c r="C985" t="inlineStr">
        <is>
          <t>1TRBF560CH-TBCB</t>
        </is>
      </c>
      <c r="D985" t="inlineStr">
        <is>
          <t>Bedding</t>
        </is>
      </c>
      <c r="E985" t="inlineStr">
        <is>
          <t>Throws</t>
        </is>
      </c>
      <c r="F985" t="inlineStr">
        <is>
          <t>Tirrinia</t>
        </is>
      </c>
      <c r="G985" t="n">
        <v>0</v>
      </c>
      <c r="H985" t="n">
        <v>0</v>
      </c>
      <c r="I985" t="inlineStr">
        <is>
          <t>Optimized</t>
        </is>
      </c>
      <c r="J985" s="29" t="n">
        <v>0</v>
      </c>
      <c r="K985" s="30" t="n"/>
      <c r="L985" s="29" t="n">
        <v>0</v>
      </c>
      <c r="M985" s="29" t="n">
        <v>0</v>
      </c>
      <c r="N985" s="2" t="n">
        <v>0</v>
      </c>
      <c r="O985" s="31" t="n">
        <v>0</v>
      </c>
      <c r="P985" s="32" t="n"/>
      <c r="Q985" s="32" t="n">
        <v>0</v>
      </c>
      <c r="R985" s="32" t="n">
        <v>0</v>
      </c>
      <c r="S985" s="31" t="n">
        <v>0</v>
      </c>
      <c r="T985" s="32" t="n">
        <v>0</v>
      </c>
      <c r="U985" s="31" t="n">
        <v>0</v>
      </c>
      <c r="V985" s="31" t="n">
        <v>0</v>
      </c>
      <c r="W985" s="3" t="n">
        <v>0</v>
      </c>
      <c r="X985" s="3" t="n">
        <v>0</v>
      </c>
      <c r="Y985" s="32" t="n">
        <v>0</v>
      </c>
      <c r="Z985" s="3" t="n">
        <v>0</v>
      </c>
      <c r="AA985" s="32" t="n">
        <v>0</v>
      </c>
      <c r="AB985" s="3" t="n"/>
      <c r="AC985" s="31" t="n">
        <v>0</v>
      </c>
      <c r="AD985" s="2" t="n">
        <v>0</v>
      </c>
      <c r="AE985" s="2" t="n">
        <v>6</v>
      </c>
      <c r="AF985" s="4" t="n">
        <v>6</v>
      </c>
      <c r="AG985" s="33" t="n">
        <v>0</v>
      </c>
      <c r="AH985" s="4" t="n">
        <v>0</v>
      </c>
      <c r="AI985" s="34" t="n"/>
      <c r="AJ985" s="34" t="n">
        <v>0</v>
      </c>
      <c r="AK985" s="2" t="n">
        <v>0</v>
      </c>
      <c r="AL985" t="inlineStr">
        <is>
          <t>Published</t>
        </is>
      </c>
    </row>
    <row r="986">
      <c r="A986">
        <f>HYPERLINK("https://www.walmart.com/ip/760825616", "760825616")</f>
        <v/>
      </c>
      <c r="B986">
        <f>HYPERLINK("https://app.optiwise.ai/catalog/itemdetails/417468", "Tirrinia Super-Soft Comfy Plush Wearable Fleece Blanket Poncho for Adults, 55'' x 80'', Grey")</f>
        <v/>
      </c>
      <c r="C986" t="inlineStr">
        <is>
          <t>1TRBP100GY-TBCB</t>
        </is>
      </c>
      <c r="D986" t="inlineStr">
        <is>
          <t>Home Decor, Kitchen, &amp; Other</t>
        </is>
      </c>
      <c r="E986" t="inlineStr">
        <is>
          <t>Throws</t>
        </is>
      </c>
      <c r="F986" t="inlineStr">
        <is>
          <t>Tirrinia</t>
        </is>
      </c>
      <c r="G986" t="n">
        <v>0</v>
      </c>
      <c r="H986" t="n">
        <v>0</v>
      </c>
      <c r="I986" t="inlineStr">
        <is>
          <t>Optimized,Fleece Blankets</t>
        </is>
      </c>
      <c r="J986" s="29" t="n">
        <v>0</v>
      </c>
      <c r="K986" s="30" t="n"/>
      <c r="L986" s="29" t="n">
        <v>0</v>
      </c>
      <c r="M986" s="29" t="n">
        <v>0</v>
      </c>
      <c r="N986" s="2" t="n">
        <v>0</v>
      </c>
      <c r="O986" s="31" t="n">
        <v>0.63</v>
      </c>
      <c r="P986" s="32" t="n">
        <v>0.0001</v>
      </c>
      <c r="Q986" s="32" t="n">
        <v>0</v>
      </c>
      <c r="R986" s="32" t="n">
        <v>1.502</v>
      </c>
      <c r="S986" s="31" t="n">
        <v>0</v>
      </c>
      <c r="T986" s="32" t="n">
        <v>0</v>
      </c>
      <c r="U986" s="31" t="n">
        <v>0</v>
      </c>
      <c r="V986" s="31" t="n">
        <v>0</v>
      </c>
      <c r="W986" s="3" t="n">
        <v>267</v>
      </c>
      <c r="X986" s="3" t="n">
        <v>2</v>
      </c>
      <c r="Y986" s="32" t="n">
        <v>0.0075</v>
      </c>
      <c r="Z986" s="3" t="n">
        <v>0</v>
      </c>
      <c r="AA986" s="32" t="n">
        <v>0</v>
      </c>
      <c r="AB986" s="3" t="inlineStr">
        <is>
          <t>Top Selling Last Year 2023</t>
        </is>
      </c>
      <c r="AC986" s="31" t="n">
        <v>0.32</v>
      </c>
      <c r="AD986" s="2" t="n">
        <v>0</v>
      </c>
      <c r="AE986" s="2" t="n">
        <v>14</v>
      </c>
      <c r="AF986" s="4" t="n">
        <v>12</v>
      </c>
      <c r="AG986" s="33" t="n">
        <v>0</v>
      </c>
      <c r="AH986" s="4" t="n">
        <v>0</v>
      </c>
      <c r="AI986" s="34" t="n"/>
      <c r="AJ986" s="34" t="n">
        <v>0</v>
      </c>
      <c r="AK986" s="2" t="n">
        <v>0</v>
      </c>
      <c r="AL986" t="inlineStr">
        <is>
          <t>Published</t>
        </is>
      </c>
    </row>
    <row r="987">
      <c r="A987">
        <f>HYPERLINK("https://www.walmart.com/ip/324640382", "324640382")</f>
        <v/>
      </c>
      <c r="B987">
        <f>HYPERLINK("https://app.optiwise.ai/catalog/itemdetails/417467", "Tirrinia Sherpa Wearable Blanket Super Soft Comfy Plush Fleece Poncho, 55'' x 80'', Navy")</f>
        <v/>
      </c>
      <c r="C987" t="inlineStr">
        <is>
          <t>1TRBP110NY-TBCB</t>
        </is>
      </c>
      <c r="D987" t="inlineStr">
        <is>
          <t>Bedding</t>
        </is>
      </c>
      <c r="E987" t="inlineStr">
        <is>
          <t>default</t>
        </is>
      </c>
      <c r="F987" t="inlineStr">
        <is>
          <t>Tirrinia</t>
        </is>
      </c>
      <c r="G987" t="n">
        <v>0</v>
      </c>
      <c r="H987" t="n">
        <v>0</v>
      </c>
      <c r="I987" t="inlineStr">
        <is>
          <t>Optimized</t>
        </is>
      </c>
      <c r="J987" s="29" t="n">
        <v>0</v>
      </c>
      <c r="K987" s="30" t="n"/>
      <c r="L987" s="29" t="n">
        <v>0</v>
      </c>
      <c r="M987" s="29" t="n">
        <v>0</v>
      </c>
      <c r="N987" s="2" t="n">
        <v>0</v>
      </c>
      <c r="O987" s="31" t="n">
        <v>0</v>
      </c>
      <c r="P987" s="32" t="n"/>
      <c r="Q987" s="32" t="n">
        <v>0</v>
      </c>
      <c r="R987" s="32" t="n">
        <v>0</v>
      </c>
      <c r="S987" s="31" t="n">
        <v>0</v>
      </c>
      <c r="T987" s="32" t="n">
        <v>0</v>
      </c>
      <c r="U987" s="31" t="n">
        <v>0</v>
      </c>
      <c r="V987" s="31" t="n">
        <v>0</v>
      </c>
      <c r="W987" s="3" t="n">
        <v>0</v>
      </c>
      <c r="X987" s="3" t="n">
        <v>0</v>
      </c>
      <c r="Y987" s="32" t="n">
        <v>0</v>
      </c>
      <c r="Z987" s="3" t="n">
        <v>0</v>
      </c>
      <c r="AA987" s="32" t="n">
        <v>0</v>
      </c>
      <c r="AB987" s="3" t="n"/>
      <c r="AC987" s="31" t="n">
        <v>0</v>
      </c>
      <c r="AD987" s="2" t="n">
        <v>0</v>
      </c>
      <c r="AE987" s="2" t="n">
        <v>3</v>
      </c>
      <c r="AF987" s="4" t="n">
        <v>3</v>
      </c>
      <c r="AG987" s="33" t="n">
        <v>0</v>
      </c>
      <c r="AH987" s="4" t="n">
        <v>0</v>
      </c>
      <c r="AI987" s="34" t="n"/>
      <c r="AJ987" s="34" t="n">
        <v>0</v>
      </c>
      <c r="AK987" s="2" t="n">
        <v>0</v>
      </c>
      <c r="AL987" t="inlineStr">
        <is>
          <t>Published</t>
        </is>
      </c>
    </row>
    <row r="988">
      <c r="A988">
        <f>HYPERLINK("https://www.walmart.com/ip/543036914", "543036914")</f>
        <v/>
      </c>
      <c r="B988">
        <f>HYPERLINK("https://app.optiwise.ai/catalog/itemdetails/417466", "Tirrinia Super-Soft Fuzzy Plush Throw Reversible Sherpa Fleece Blanket, 50 x 60, Zebra Pattern")</f>
        <v/>
      </c>
      <c r="C988" t="inlineStr">
        <is>
          <t>1TRBF300ZEBRA-TBCB</t>
        </is>
      </c>
      <c r="D988" t="inlineStr">
        <is>
          <t>Bedding</t>
        </is>
      </c>
      <c r="E988" t="inlineStr">
        <is>
          <t>Throws</t>
        </is>
      </c>
      <c r="F988" t="inlineStr">
        <is>
          <t>Tirrinia</t>
        </is>
      </c>
      <c r="G988" t="n">
        <v>0</v>
      </c>
      <c r="H988" t="n">
        <v>0</v>
      </c>
      <c r="I988" t="inlineStr">
        <is>
          <t>Optimized</t>
        </is>
      </c>
      <c r="J988" s="29" t="n">
        <v>0</v>
      </c>
      <c r="K988" s="30" t="n"/>
      <c r="L988" s="29" t="n">
        <v>0</v>
      </c>
      <c r="M988" s="29" t="n">
        <v>0</v>
      </c>
      <c r="N988" s="2" t="n">
        <v>0</v>
      </c>
      <c r="O988" s="31" t="n">
        <v>0</v>
      </c>
      <c r="P988" s="32" t="n"/>
      <c r="Q988" s="32" t="n">
        <v>0</v>
      </c>
      <c r="R988" s="32" t="n">
        <v>0</v>
      </c>
      <c r="S988" s="31" t="n">
        <v>0</v>
      </c>
      <c r="T988" s="32" t="n">
        <v>0</v>
      </c>
      <c r="U988" s="31" t="n">
        <v>0</v>
      </c>
      <c r="V988" s="31" t="n">
        <v>0</v>
      </c>
      <c r="W988" s="3" t="n">
        <v>0</v>
      </c>
      <c r="X988" s="3" t="n">
        <v>0</v>
      </c>
      <c r="Y988" s="32" t="n">
        <v>0</v>
      </c>
      <c r="Z988" s="3" t="n">
        <v>0</v>
      </c>
      <c r="AA988" s="32" t="n">
        <v>0</v>
      </c>
      <c r="AB988" s="3" t="n"/>
      <c r="AC988" s="31" t="n">
        <v>0</v>
      </c>
      <c r="AD988" s="2" t="n">
        <v>0</v>
      </c>
      <c r="AE988" s="2" t="n">
        <v>2</v>
      </c>
      <c r="AF988" s="4" t="n">
        <v>2</v>
      </c>
      <c r="AG988" s="33" t="n">
        <v>0</v>
      </c>
      <c r="AH988" s="4" t="n">
        <v>0</v>
      </c>
      <c r="AI988" s="34" t="n"/>
      <c r="AJ988" s="34" t="n">
        <v>0</v>
      </c>
      <c r="AK988" s="2" t="n">
        <v>0</v>
      </c>
      <c r="AL988" t="inlineStr">
        <is>
          <t>Published</t>
        </is>
      </c>
    </row>
    <row r="989">
      <c r="A989">
        <f>HYPERLINK("https://www.walmart.com/ip/958779445", "958779445")</f>
        <v/>
      </c>
      <c r="B989">
        <f>HYPERLINK("https://app.optiwise.ai/catalog/itemdetails/417462", "Tirrinia Fleece Reversible Plush Sherpa Throw Blanket for Bed and Couch, 50 x 60, Cheetah")</f>
        <v/>
      </c>
      <c r="C989" t="inlineStr">
        <is>
          <t>1TRBF300CHEETAH-TBCB</t>
        </is>
      </c>
      <c r="D989" t="inlineStr">
        <is>
          <t>Bedding</t>
        </is>
      </c>
      <c r="E989" t="inlineStr">
        <is>
          <t>Throws</t>
        </is>
      </c>
      <c r="F989" t="inlineStr">
        <is>
          <t>Tirrinia</t>
        </is>
      </c>
      <c r="G989" t="n">
        <v>0</v>
      </c>
      <c r="H989" t="n">
        <v>0</v>
      </c>
      <c r="I989" t="inlineStr">
        <is>
          <t>Optimized</t>
        </is>
      </c>
      <c r="J989" s="29" t="n">
        <v>0</v>
      </c>
      <c r="K989" s="30" t="n"/>
      <c r="L989" s="29" t="n">
        <v>0</v>
      </c>
      <c r="M989" s="29" t="n">
        <v>0</v>
      </c>
      <c r="N989" s="2" t="n">
        <v>0</v>
      </c>
      <c r="O989" s="31" t="n">
        <v>0</v>
      </c>
      <c r="P989" s="32" t="n"/>
      <c r="Q989" s="32" t="n">
        <v>0</v>
      </c>
      <c r="R989" s="32" t="n">
        <v>0</v>
      </c>
      <c r="S989" s="31" t="n">
        <v>0</v>
      </c>
      <c r="T989" s="32" t="n">
        <v>0</v>
      </c>
      <c r="U989" s="31" t="n">
        <v>0</v>
      </c>
      <c r="V989" s="31" t="n">
        <v>0</v>
      </c>
      <c r="W989" s="3" t="n">
        <v>0</v>
      </c>
      <c r="X989" s="3" t="n">
        <v>0</v>
      </c>
      <c r="Y989" s="32" t="n">
        <v>0</v>
      </c>
      <c r="Z989" s="3" t="n">
        <v>0</v>
      </c>
      <c r="AA989" s="32" t="n">
        <v>0</v>
      </c>
      <c r="AB989" s="3" t="n"/>
      <c r="AC989" s="31" t="n">
        <v>0</v>
      </c>
      <c r="AD989" s="2" t="n">
        <v>0</v>
      </c>
      <c r="AE989" s="2" t="n">
        <v>15</v>
      </c>
      <c r="AF989" s="4" t="n">
        <v>15</v>
      </c>
      <c r="AG989" s="33" t="n">
        <v>0</v>
      </c>
      <c r="AH989" s="4" t="n">
        <v>0</v>
      </c>
      <c r="AI989" s="34" t="n"/>
      <c r="AJ989" s="34" t="n">
        <v>0</v>
      </c>
      <c r="AK989" s="2" t="n">
        <v>0</v>
      </c>
      <c r="AL989" t="inlineStr">
        <is>
          <t>Published</t>
        </is>
      </c>
    </row>
    <row r="990">
      <c r="A990">
        <f>HYPERLINK("https://www.walmart.com/ip/998346056", "998346056")</f>
        <v/>
      </c>
      <c r="B990">
        <f>HYPERLINK("https://app.optiwise.ai/catalog/itemdetails/417461", "Tirrinia Fleece Blanket Poncho Full Body Wrap Cover for Adult, Wine")</f>
        <v/>
      </c>
      <c r="C990" t="inlineStr">
        <is>
          <t>1TRBP200WN-TBCB</t>
        </is>
      </c>
      <c r="D990" t="inlineStr">
        <is>
          <t>Bedding</t>
        </is>
      </c>
      <c r="E990" t="inlineStr">
        <is>
          <t>Throws</t>
        </is>
      </c>
      <c r="F990" t="inlineStr">
        <is>
          <t>Tirrinia</t>
        </is>
      </c>
      <c r="G990" t="n">
        <v>4.2</v>
      </c>
      <c r="H990" t="n">
        <v>6</v>
      </c>
      <c r="I990" t="inlineStr">
        <is>
          <t>Optimized,WFS,Coupon_Discount,WFS Item</t>
        </is>
      </c>
      <c r="J990" s="29" t="n">
        <v>0</v>
      </c>
      <c r="K990" s="30" t="n"/>
      <c r="L990" s="29" t="n">
        <v>0</v>
      </c>
      <c r="M990" s="29" t="n">
        <v>0</v>
      </c>
      <c r="N990" s="2" t="n">
        <v>0</v>
      </c>
      <c r="O990" s="31" t="n">
        <v>0</v>
      </c>
      <c r="P990" s="32" t="n"/>
      <c r="Q990" s="32" t="n">
        <v>0</v>
      </c>
      <c r="R990" s="32" t="n">
        <v>0</v>
      </c>
      <c r="S990" s="31" t="n">
        <v>0</v>
      </c>
      <c r="T990" s="32" t="n">
        <v>0</v>
      </c>
      <c r="U990" s="31" t="n">
        <v>0</v>
      </c>
      <c r="V990" s="31" t="n">
        <v>0</v>
      </c>
      <c r="W990" s="3" t="n">
        <v>0</v>
      </c>
      <c r="X990" s="3" t="n">
        <v>0</v>
      </c>
      <c r="Y990" s="32" t="n">
        <v>0</v>
      </c>
      <c r="Z990" s="3" t="n">
        <v>0</v>
      </c>
      <c r="AA990" s="32" t="n">
        <v>0</v>
      </c>
      <c r="AB990" s="3" t="n"/>
      <c r="AC990" s="31" t="n">
        <v>0</v>
      </c>
      <c r="AD990" s="2" t="n">
        <v>0</v>
      </c>
      <c r="AE990" s="2" t="n">
        <v>1</v>
      </c>
      <c r="AF990" s="4" t="n">
        <v>1</v>
      </c>
      <c r="AG990" s="33" t="n">
        <v>0</v>
      </c>
      <c r="AH990" s="4" t="n">
        <v>0</v>
      </c>
      <c r="AI990" s="34" t="n"/>
      <c r="AJ990" s="34" t="n">
        <v>0</v>
      </c>
      <c r="AK990" s="2" t="n">
        <v>0</v>
      </c>
      <c r="AL990" t="inlineStr">
        <is>
          <t>Published</t>
        </is>
      </c>
    </row>
    <row r="991">
      <c r="A991">
        <f>HYPERLINK("https://www.walmart.com/ip/423160152", "423160152")</f>
        <v/>
      </c>
      <c r="B991">
        <f>HYPERLINK("https://app.optiwise.ai/catalog/itemdetails/409167", "Catalonia Women’s Sherpa Hoodie Sweatshirt Dress, Casual Snuggle Wearable Blanket Pullover Sweater with Kangaroo Pocket, Warm and Soft, Gift for Her, Blue")</f>
        <v/>
      </c>
      <c r="C991" t="inlineStr">
        <is>
          <t>1CTHD532BL</t>
        </is>
      </c>
      <c r="D991" t="inlineStr">
        <is>
          <t>Clothing</t>
        </is>
      </c>
      <c r="E991" t="inlineStr">
        <is>
          <t>Sweatshirts &amp; Hoodies</t>
        </is>
      </c>
      <c r="F991" t="inlineStr">
        <is>
          <t>Catalonia</t>
        </is>
      </c>
      <c r="G991" t="n">
        <v>0</v>
      </c>
      <c r="H991" t="n">
        <v>0</v>
      </c>
      <c r="I991" t="inlineStr">
        <is>
          <t>Hoodie ForAdult,Optimized</t>
        </is>
      </c>
      <c r="J991" s="29" t="n">
        <v>0</v>
      </c>
      <c r="K991" s="30" t="n"/>
      <c r="L991" s="29" t="n">
        <v>0</v>
      </c>
      <c r="M991" s="29" t="n">
        <v>0</v>
      </c>
      <c r="N991" s="2" t="n">
        <v>0</v>
      </c>
      <c r="O991" s="31" t="n">
        <v>0</v>
      </c>
      <c r="P991" s="32" t="n"/>
      <c r="Q991" s="32" t="n">
        <v>0</v>
      </c>
      <c r="R991" s="32" t="n">
        <v>0</v>
      </c>
      <c r="S991" s="31" t="n">
        <v>0</v>
      </c>
      <c r="T991" s="32" t="n">
        <v>0</v>
      </c>
      <c r="U991" s="31" t="n">
        <v>0</v>
      </c>
      <c r="V991" s="31" t="n">
        <v>0</v>
      </c>
      <c r="W991" s="3" t="n">
        <v>0</v>
      </c>
      <c r="X991" s="3" t="n">
        <v>0</v>
      </c>
      <c r="Y991" s="32" t="n">
        <v>0</v>
      </c>
      <c r="Z991" s="3" t="n">
        <v>0</v>
      </c>
      <c r="AA991" s="32" t="n">
        <v>0</v>
      </c>
      <c r="AB991" s="3" t="n"/>
      <c r="AC991" s="31" t="n">
        <v>0</v>
      </c>
      <c r="AD991" s="2" t="n">
        <v>0</v>
      </c>
      <c r="AE991" s="2" t="n">
        <v>10</v>
      </c>
      <c r="AF991" s="4" t="n">
        <v>10</v>
      </c>
      <c r="AG991" s="33" t="n">
        <v>0</v>
      </c>
      <c r="AH991" s="4" t="n">
        <v>0</v>
      </c>
      <c r="AI991" s="34" t="n"/>
      <c r="AJ991" s="34" t="n">
        <v>0</v>
      </c>
      <c r="AK991" s="2" t="n">
        <v>0</v>
      </c>
      <c r="AL991" t="inlineStr">
        <is>
          <t>Published</t>
        </is>
      </c>
    </row>
    <row r="992">
      <c r="A992">
        <f>HYPERLINK("https://www.walmart.com/ip/267224144", "267224144")</f>
        <v/>
      </c>
      <c r="B992">
        <f>HYPERLINK("https://app.optiwise.ai/catalog/itemdetails/409166", "Catalonia Oversized Hoodie Sweatshirt Poncho, Casual Hoodie Cape, Batwing Coat Pullover Blanket | Fluffy Sherpa, Comfortable, Roomy | Gift for Adults Women Men, Pink")</f>
        <v/>
      </c>
      <c r="C992" t="inlineStr">
        <is>
          <t>1CTHD542PK</t>
        </is>
      </c>
      <c r="D992" t="inlineStr">
        <is>
          <t>Clothing</t>
        </is>
      </c>
      <c r="E992" t="inlineStr">
        <is>
          <t>Sweatshirts &amp; Hoodies</t>
        </is>
      </c>
      <c r="F992" t="inlineStr">
        <is>
          <t>Catalonia</t>
        </is>
      </c>
      <c r="G992" t="n">
        <v>4.3</v>
      </c>
      <c r="H992" t="n">
        <v>4</v>
      </c>
      <c r="I992" t="inlineStr">
        <is>
          <t>Hoodie ForAdult,Optimized</t>
        </is>
      </c>
      <c r="J992" s="29" t="n">
        <v>0</v>
      </c>
      <c r="K992" s="30" t="n"/>
      <c r="L992" s="29" t="n">
        <v>0</v>
      </c>
      <c r="M992" s="29" t="n">
        <v>0</v>
      </c>
      <c r="N992" s="2" t="n">
        <v>0</v>
      </c>
      <c r="O992" s="31" t="n">
        <v>0</v>
      </c>
      <c r="P992" s="32" t="n"/>
      <c r="Q992" s="32" t="n">
        <v>0</v>
      </c>
      <c r="R992" s="32" t="n">
        <v>0</v>
      </c>
      <c r="S992" s="31" t="n">
        <v>0</v>
      </c>
      <c r="T992" s="32" t="n">
        <v>0</v>
      </c>
      <c r="U992" s="31" t="n">
        <v>0</v>
      </c>
      <c r="V992" s="31" t="n">
        <v>0</v>
      </c>
      <c r="W992" s="3" t="n">
        <v>0</v>
      </c>
      <c r="X992" s="3" t="n">
        <v>0</v>
      </c>
      <c r="Y992" s="32" t="n">
        <v>0</v>
      </c>
      <c r="Z992" s="3" t="n">
        <v>0</v>
      </c>
      <c r="AA992" s="32" t="n">
        <v>0</v>
      </c>
      <c r="AB992" s="3" t="n"/>
      <c r="AC992" s="31" t="n">
        <v>0</v>
      </c>
      <c r="AD992" s="2" t="n">
        <v>0</v>
      </c>
      <c r="AE992" s="2" t="n">
        <v>13</v>
      </c>
      <c r="AF992" s="4" t="n">
        <v>13</v>
      </c>
      <c r="AG992" s="33" t="n">
        <v>0</v>
      </c>
      <c r="AH992" s="4" t="n">
        <v>0</v>
      </c>
      <c r="AI992" s="34" t="n"/>
      <c r="AJ992" s="34" t="n">
        <v>0</v>
      </c>
      <c r="AK992" s="2" t="n">
        <v>0</v>
      </c>
      <c r="AL992" t="inlineStr">
        <is>
          <t>Published</t>
        </is>
      </c>
    </row>
    <row r="993">
      <c r="A993">
        <f>HYPERLINK("https://www.walmart.com/ip/760775698", "760775698")</f>
        <v/>
      </c>
      <c r="B993">
        <f>HYPERLINK("https://app.optiwise.ai/catalog/itemdetails/412484", "Solaris Men Winter Ski Snow Gloves with Breathable Face Mask The Warmest 3M Insulation Waterproof Outdoor Snowboard Mitt")</f>
        <v/>
      </c>
      <c r="C993" t="inlineStr">
        <is>
          <t>1SLWG300PKXL-FSGM</t>
        </is>
      </c>
      <c r="D993" t="inlineStr">
        <is>
          <t>Clothing</t>
        </is>
      </c>
      <c r="E993" t="inlineStr">
        <is>
          <t>Gloves &amp; Mittens</t>
        </is>
      </c>
      <c r="F993" t="inlineStr">
        <is>
          <t>Solaris</t>
        </is>
      </c>
      <c r="G993" t="n">
        <v>0</v>
      </c>
      <c r="H993" t="n">
        <v>0</v>
      </c>
      <c r="I993" t="inlineStr">
        <is>
          <t>Optimized,Gloves</t>
        </is>
      </c>
      <c r="J993" s="29" t="n">
        <v>0</v>
      </c>
      <c r="K993" s="30" t="n"/>
      <c r="L993" s="29" t="n">
        <v>0</v>
      </c>
      <c r="M993" s="29" t="n">
        <v>0</v>
      </c>
      <c r="N993" s="2" t="n">
        <v>0</v>
      </c>
      <c r="O993" s="31" t="n">
        <v>0</v>
      </c>
      <c r="P993" s="32" t="n"/>
      <c r="Q993" s="32" t="n">
        <v>0</v>
      </c>
      <c r="R993" s="32" t="n">
        <v>0</v>
      </c>
      <c r="S993" s="31" t="n">
        <v>0</v>
      </c>
      <c r="T993" s="32" t="n">
        <v>0</v>
      </c>
      <c r="U993" s="31" t="n">
        <v>0</v>
      </c>
      <c r="V993" s="31" t="n">
        <v>0</v>
      </c>
      <c r="W993" s="3" t="n">
        <v>0</v>
      </c>
      <c r="X993" s="3" t="n">
        <v>0</v>
      </c>
      <c r="Y993" s="32" t="n">
        <v>0</v>
      </c>
      <c r="Z993" s="3" t="n">
        <v>0</v>
      </c>
      <c r="AA993" s="32" t="n">
        <v>0</v>
      </c>
      <c r="AB993" s="3" t="n"/>
      <c r="AC993" s="31" t="n">
        <v>0</v>
      </c>
      <c r="AD993" s="2" t="n">
        <v>0</v>
      </c>
      <c r="AE993" s="2" t="n">
        <v>3</v>
      </c>
      <c r="AF993" s="4" t="n">
        <v>3</v>
      </c>
      <c r="AG993" s="33" t="n">
        <v>0</v>
      </c>
      <c r="AH993" s="4" t="n">
        <v>0</v>
      </c>
      <c r="AI993" s="34" t="n"/>
      <c r="AJ993" s="34" t="n">
        <v>0</v>
      </c>
      <c r="AK993" s="2" t="n">
        <v>0</v>
      </c>
      <c r="AL993" t="inlineStr">
        <is>
          <t>Published</t>
        </is>
      </c>
    </row>
    <row r="994">
      <c r="A994">
        <f>HYPERLINK("https://www.walmart.com/ip/491652277", "491652277")</f>
        <v/>
      </c>
      <c r="B994">
        <f>HYPERLINK("https://app.optiwise.ai/catalog/itemdetails/417459", "Tirrinia Reversible Fleece Sherpa Blanket For Bed Or Couch, Camel, 60 x 80")</f>
        <v/>
      </c>
      <c r="C994" t="inlineStr">
        <is>
          <t>1TRBF368CA-TBCB</t>
        </is>
      </c>
      <c r="D994" t="inlineStr">
        <is>
          <t>Bedding</t>
        </is>
      </c>
      <c r="E994" t="inlineStr">
        <is>
          <t>Throws</t>
        </is>
      </c>
      <c r="F994" t="inlineStr">
        <is>
          <t>Tirrinia</t>
        </is>
      </c>
      <c r="G994" t="n">
        <v>0</v>
      </c>
      <c r="H994" t="n">
        <v>0</v>
      </c>
      <c r="I994" t="inlineStr">
        <is>
          <t>Optimized</t>
        </is>
      </c>
      <c r="J994" s="29" t="n">
        <v>0</v>
      </c>
      <c r="K994" s="30" t="n"/>
      <c r="L994" s="29" t="n">
        <v>0</v>
      </c>
      <c r="M994" s="29" t="n">
        <v>0</v>
      </c>
      <c r="N994" s="2" t="n">
        <v>0</v>
      </c>
      <c r="O994" s="31" t="n">
        <v>0</v>
      </c>
      <c r="P994" s="32" t="n"/>
      <c r="Q994" s="32" t="n">
        <v>0</v>
      </c>
      <c r="R994" s="32" t="n">
        <v>0</v>
      </c>
      <c r="S994" s="31" t="n">
        <v>0</v>
      </c>
      <c r="T994" s="32" t="n">
        <v>0</v>
      </c>
      <c r="U994" s="31" t="n">
        <v>0</v>
      </c>
      <c r="V994" s="31" t="n">
        <v>0</v>
      </c>
      <c r="W994" s="3" t="n">
        <v>0</v>
      </c>
      <c r="X994" s="3" t="n">
        <v>0</v>
      </c>
      <c r="Y994" s="32" t="n">
        <v>0</v>
      </c>
      <c r="Z994" s="3" t="n">
        <v>0</v>
      </c>
      <c r="AA994" s="32" t="n">
        <v>0</v>
      </c>
      <c r="AB994" s="3" t="n"/>
      <c r="AC994" s="31" t="n">
        <v>0</v>
      </c>
      <c r="AD994" s="2" t="n">
        <v>0</v>
      </c>
      <c r="AE994" s="2" t="n">
        <v>14</v>
      </c>
      <c r="AF994" s="4" t="n">
        <v>14</v>
      </c>
      <c r="AG994" s="33" t="n">
        <v>0</v>
      </c>
      <c r="AH994" s="4" t="n">
        <v>0</v>
      </c>
      <c r="AI994" s="34" t="n"/>
      <c r="AJ994" s="34" t="n">
        <v>0</v>
      </c>
      <c r="AK994" s="2" t="n">
        <v>0</v>
      </c>
      <c r="AL994" t="inlineStr">
        <is>
          <t>Published</t>
        </is>
      </c>
    </row>
    <row r="995">
      <c r="A995">
        <f>HYPERLINK("https://www.walmart.com/ip/378980706", "378980706")</f>
        <v/>
      </c>
      <c r="B995">
        <f>HYPERLINK("https://app.optiwise.ai/catalog/itemdetails/380751", "Catalonia Fleece Throw Blanket for Couch, Lightweight All Seasons Soft Cozy Moroccan Blanket for Home Living Room Decorative, 50'' x 60'', Gray")</f>
        <v/>
      </c>
      <c r="C995" t="inlineStr">
        <is>
          <t>1CTBF580MROGY</t>
        </is>
      </c>
      <c r="D995" t="inlineStr">
        <is>
          <t>Bedding</t>
        </is>
      </c>
      <c r="E995" t="inlineStr">
        <is>
          <t>Throws</t>
        </is>
      </c>
      <c r="F995" t="inlineStr">
        <is>
          <t>Catalonia</t>
        </is>
      </c>
      <c r="G995" t="n">
        <v>5</v>
      </c>
      <c r="H995" t="n">
        <v>1</v>
      </c>
      <c r="I995" t="inlineStr">
        <is>
          <t>WFS,WFS Item</t>
        </is>
      </c>
      <c r="J995" s="29" t="n">
        <v>0</v>
      </c>
      <c r="K995" s="30" t="n"/>
      <c r="L995" s="29" t="n">
        <v>0</v>
      </c>
      <c r="M995" s="29" t="n">
        <v>0</v>
      </c>
      <c r="N995" s="2" t="n">
        <v>0</v>
      </c>
      <c r="O995" s="31" t="n">
        <v>0</v>
      </c>
      <c r="P995" s="32" t="n"/>
      <c r="Q995" s="32" t="n">
        <v>0</v>
      </c>
      <c r="R995" s="32" t="n">
        <v>0</v>
      </c>
      <c r="S995" s="31" t="n">
        <v>0</v>
      </c>
      <c r="T995" s="32" t="n">
        <v>0</v>
      </c>
      <c r="U995" s="31" t="n">
        <v>0</v>
      </c>
      <c r="V995" s="31" t="n">
        <v>0</v>
      </c>
      <c r="W995" s="3" t="n">
        <v>0</v>
      </c>
      <c r="X995" s="3" t="n">
        <v>0</v>
      </c>
      <c r="Y995" s="32" t="n">
        <v>0</v>
      </c>
      <c r="Z995" s="3" t="n">
        <v>0</v>
      </c>
      <c r="AA995" s="32" t="n">
        <v>0</v>
      </c>
      <c r="AB995" s="3" t="n"/>
      <c r="AC995" s="31" t="n">
        <v>0</v>
      </c>
      <c r="AD995" s="2" t="n">
        <v>0</v>
      </c>
      <c r="AE995" s="2" t="n">
        <v>75</v>
      </c>
      <c r="AF995" s="4" t="n">
        <v>75</v>
      </c>
      <c r="AG995" s="33" t="n">
        <v>0</v>
      </c>
      <c r="AH995" s="4" t="n">
        <v>0</v>
      </c>
      <c r="AI995" s="34" t="n"/>
      <c r="AJ995" s="34" t="n">
        <v>0</v>
      </c>
      <c r="AK995" s="2" t="n">
        <v>0</v>
      </c>
      <c r="AL995" t="inlineStr">
        <is>
          <t>Published</t>
        </is>
      </c>
    </row>
    <row r="996">
      <c r="A996">
        <f>HYPERLINK("https://www.walmart.com/ip/962604921", "962604921")</f>
        <v/>
      </c>
      <c r="B996">
        <f>HYPERLINK("https://app.optiwise.ai/catalog/itemdetails/417455", "Tirrinia Fuzzy Sherpa Fleece Blanket For Bed And Couch, Camel, 50 x 60")</f>
        <v/>
      </c>
      <c r="C996" t="inlineStr">
        <is>
          <t>1TRBF300CA-TBCB</t>
        </is>
      </c>
      <c r="D996" t="inlineStr">
        <is>
          <t>Bedding</t>
        </is>
      </c>
      <c r="E996" t="inlineStr">
        <is>
          <t>Throws</t>
        </is>
      </c>
      <c r="F996" t="inlineStr">
        <is>
          <t>Tirrinia</t>
        </is>
      </c>
      <c r="G996" t="n">
        <v>0</v>
      </c>
      <c r="H996" t="n">
        <v>0</v>
      </c>
      <c r="I996" t="inlineStr">
        <is>
          <t>Optimized</t>
        </is>
      </c>
      <c r="J996" s="29" t="n">
        <v>0</v>
      </c>
      <c r="K996" s="30" t="n"/>
      <c r="L996" s="29" t="n">
        <v>0</v>
      </c>
      <c r="M996" s="29" t="n">
        <v>0</v>
      </c>
      <c r="N996" s="2" t="n">
        <v>0</v>
      </c>
      <c r="O996" s="31" t="n">
        <v>0</v>
      </c>
      <c r="P996" s="32" t="n"/>
      <c r="Q996" s="32" t="n">
        <v>0</v>
      </c>
      <c r="R996" s="32" t="n">
        <v>0</v>
      </c>
      <c r="S996" s="31" t="n">
        <v>0</v>
      </c>
      <c r="T996" s="32" t="n">
        <v>0</v>
      </c>
      <c r="U996" s="31" t="n">
        <v>0</v>
      </c>
      <c r="V996" s="31" t="n">
        <v>0</v>
      </c>
      <c r="W996" s="3" t="n">
        <v>0</v>
      </c>
      <c r="X996" s="3" t="n">
        <v>0</v>
      </c>
      <c r="Y996" s="32" t="n">
        <v>0</v>
      </c>
      <c r="Z996" s="3" t="n">
        <v>0</v>
      </c>
      <c r="AA996" s="32" t="n">
        <v>0</v>
      </c>
      <c r="AB996" s="3" t="n"/>
      <c r="AC996" s="31" t="n">
        <v>0</v>
      </c>
      <c r="AD996" s="2" t="n">
        <v>0</v>
      </c>
      <c r="AE996" s="2" t="n">
        <v>2</v>
      </c>
      <c r="AF996" s="4" t="n">
        <v>2</v>
      </c>
      <c r="AG996" s="33" t="n">
        <v>0</v>
      </c>
      <c r="AH996" s="4" t="n">
        <v>0</v>
      </c>
      <c r="AI996" s="34" t="n"/>
      <c r="AJ996" s="34" t="n">
        <v>0</v>
      </c>
      <c r="AK996" s="2" t="n">
        <v>0</v>
      </c>
      <c r="AL996" t="inlineStr">
        <is>
          <t>Published</t>
        </is>
      </c>
    </row>
    <row r="997">
      <c r="A997">
        <f>HYPERLINK("https://www.walmart.com/ip/172482796", "172482796")</f>
        <v/>
      </c>
      <c r="B997">
        <f>HYPERLINK("https://app.optiwise.ai/catalog/itemdetails/995084", "KritterWorld® Soft-sided Pet Carrier-pet Carriers Airline Approved with Foldable and Washable")</f>
        <v/>
      </c>
      <c r="C997" t="inlineStr">
        <is>
          <t>KWpetbag04GY</t>
        </is>
      </c>
      <c r="D997" t="inlineStr">
        <is>
          <t>Animal Other</t>
        </is>
      </c>
      <c r="E997" t="inlineStr">
        <is>
          <t>Pet Carriers</t>
        </is>
      </c>
      <c r="F997" t="inlineStr">
        <is>
          <t>KritterWorld</t>
        </is>
      </c>
      <c r="G997" t="n">
        <v>0</v>
      </c>
      <c r="H997" t="n">
        <v>0</v>
      </c>
      <c r="J997" s="29" t="n">
        <v>0</v>
      </c>
      <c r="K997" s="30" t="n"/>
      <c r="L997" s="29" t="n">
        <v>0</v>
      </c>
      <c r="M997" s="29" t="n">
        <v>0</v>
      </c>
      <c r="N997" s="2" t="n">
        <v>0</v>
      </c>
      <c r="O997" s="31" t="n">
        <v>0</v>
      </c>
      <c r="P997" s="32" t="n"/>
      <c r="Q997" s="32" t="n">
        <v>0</v>
      </c>
      <c r="R997" s="32" t="n">
        <v>0</v>
      </c>
      <c r="S997" s="31" t="n">
        <v>0</v>
      </c>
      <c r="T997" s="32" t="n">
        <v>0</v>
      </c>
      <c r="U997" s="31" t="n">
        <v>0</v>
      </c>
      <c r="V997" s="31" t="n">
        <v>0</v>
      </c>
      <c r="W997" s="3" t="n">
        <v>0</v>
      </c>
      <c r="X997" s="3" t="n">
        <v>0</v>
      </c>
      <c r="Y997" s="32" t="n">
        <v>0</v>
      </c>
      <c r="Z997" s="3" t="n">
        <v>0</v>
      </c>
      <c r="AA997" s="32" t="n">
        <v>0</v>
      </c>
      <c r="AB997" s="3" t="n"/>
      <c r="AC997" s="31" t="n">
        <v>0</v>
      </c>
      <c r="AD997" s="2" t="n">
        <v>0</v>
      </c>
      <c r="AE997" s="2" t="n">
        <v>6</v>
      </c>
      <c r="AF997" s="4" t="n">
        <v>6</v>
      </c>
      <c r="AG997" s="33" t="n">
        <v>0</v>
      </c>
      <c r="AH997" s="4" t="n">
        <v>0</v>
      </c>
      <c r="AI997" s="34" t="n"/>
      <c r="AJ997" s="34" t="n">
        <v>0</v>
      </c>
      <c r="AK997" s="2" t="n">
        <v>0</v>
      </c>
      <c r="AL997" t="inlineStr">
        <is>
          <t>Published</t>
        </is>
      </c>
    </row>
    <row r="998">
      <c r="A998">
        <f>HYPERLINK("https://www.walmart.com/ip/998086114", "998086114")</f>
        <v/>
      </c>
      <c r="B998">
        <f>HYPERLINK("https://app.optiwise.ai/catalog/itemdetails/417454", "Tirrinia Chevron Sherpa Throw Blanket, 60L x 50W, Gray Micro Fleece Blanket for Couch, TV")</f>
        <v/>
      </c>
      <c r="C998" t="inlineStr">
        <is>
          <t>1TRBF560GY-TBCB</t>
        </is>
      </c>
      <c r="D998" t="inlineStr">
        <is>
          <t>Bedding</t>
        </is>
      </c>
      <c r="E998" t="inlineStr">
        <is>
          <t>Throws</t>
        </is>
      </c>
      <c r="F998" t="inlineStr">
        <is>
          <t>Tirrinia</t>
        </is>
      </c>
      <c r="G998" t="n">
        <v>0</v>
      </c>
      <c r="H998" t="n">
        <v>0</v>
      </c>
      <c r="I998" t="inlineStr">
        <is>
          <t>Optimized</t>
        </is>
      </c>
      <c r="J998" s="29" t="n">
        <v>0</v>
      </c>
      <c r="K998" s="30" t="n"/>
      <c r="L998" s="29" t="n">
        <v>0</v>
      </c>
      <c r="M998" s="29" t="n">
        <v>0</v>
      </c>
      <c r="N998" s="2" t="n">
        <v>0</v>
      </c>
      <c r="O998" s="31" t="n">
        <v>0</v>
      </c>
      <c r="P998" s="32" t="n"/>
      <c r="Q998" s="32" t="n">
        <v>0</v>
      </c>
      <c r="R998" s="32" t="n">
        <v>0</v>
      </c>
      <c r="S998" s="31" t="n">
        <v>0</v>
      </c>
      <c r="T998" s="32" t="n">
        <v>0</v>
      </c>
      <c r="U998" s="31" t="n">
        <v>0</v>
      </c>
      <c r="V998" s="31" t="n">
        <v>0</v>
      </c>
      <c r="W998" s="3" t="n">
        <v>0</v>
      </c>
      <c r="X998" s="3" t="n">
        <v>0</v>
      </c>
      <c r="Y998" s="32" t="n">
        <v>0</v>
      </c>
      <c r="Z998" s="3" t="n">
        <v>0</v>
      </c>
      <c r="AA998" s="32" t="n">
        <v>0</v>
      </c>
      <c r="AB998" s="3" t="n"/>
      <c r="AC998" s="31" t="n">
        <v>0</v>
      </c>
      <c r="AD998" s="2" t="n">
        <v>0</v>
      </c>
      <c r="AE998" s="2" t="n">
        <v>1</v>
      </c>
      <c r="AF998" s="4" t="n">
        <v>1</v>
      </c>
      <c r="AG998" s="33" t="n">
        <v>0</v>
      </c>
      <c r="AH998" s="4" t="n">
        <v>0</v>
      </c>
      <c r="AI998" s="34" t="n"/>
      <c r="AJ998" s="34" t="n">
        <v>0</v>
      </c>
      <c r="AK998" s="2" t="n">
        <v>0</v>
      </c>
      <c r="AL998" t="inlineStr">
        <is>
          <t>Published</t>
        </is>
      </c>
    </row>
    <row r="999">
      <c r="A999">
        <f>HYPERLINK("https://www.walmart.com/ip/1312165215", "1312165215")</f>
        <v/>
      </c>
      <c r="B999">
        <f>HYPERLINK("https://app.optiwise.ai/catalog/itemdetails/932694", "Tirrinia Christmas Sherpa Throw Blanket Queen Bedding Reversible, All Ages, 90x90 inches, Snow Man")</f>
        <v/>
      </c>
      <c r="C999" t="inlineStr">
        <is>
          <t>1TRBF399SNOWMAN</t>
        </is>
      </c>
      <c r="D999" t="inlineStr">
        <is>
          <t>Bedding</t>
        </is>
      </c>
      <c r="E999" t="inlineStr">
        <is>
          <t>Throws</t>
        </is>
      </c>
      <c r="F999" t="inlineStr">
        <is>
          <t>Tirrinia</t>
        </is>
      </c>
      <c r="G999" t="n">
        <v>0</v>
      </c>
      <c r="H999" t="n">
        <v>0</v>
      </c>
      <c r="I999" t="inlineStr">
        <is>
          <t>Batch 1 - TR</t>
        </is>
      </c>
      <c r="J999" s="29" t="n">
        <v>0</v>
      </c>
      <c r="K999" s="30" t="n"/>
      <c r="L999" s="29" t="n">
        <v>0</v>
      </c>
      <c r="M999" s="29" t="n">
        <v>0</v>
      </c>
      <c r="N999" s="2" t="n">
        <v>0</v>
      </c>
      <c r="O999" s="31" t="n">
        <v>0</v>
      </c>
      <c r="P999" s="32" t="n"/>
      <c r="Q999" s="32" t="n">
        <v>0</v>
      </c>
      <c r="R999" s="32" t="n">
        <v>0</v>
      </c>
      <c r="S999" s="31" t="n">
        <v>0</v>
      </c>
      <c r="T999" s="32" t="n">
        <v>0</v>
      </c>
      <c r="U999" s="31" t="n">
        <v>0</v>
      </c>
      <c r="V999" s="31" t="n">
        <v>0</v>
      </c>
      <c r="W999" s="3" t="n">
        <v>0</v>
      </c>
      <c r="X999" s="3" t="n">
        <v>0</v>
      </c>
      <c r="Y999" s="32" t="n">
        <v>0</v>
      </c>
      <c r="Z999" s="3" t="n">
        <v>0</v>
      </c>
      <c r="AA999" s="32" t="n">
        <v>0</v>
      </c>
      <c r="AB999" s="3" t="n"/>
      <c r="AC999" s="31" t="n">
        <v>0</v>
      </c>
      <c r="AD999" s="2" t="n">
        <v>0</v>
      </c>
      <c r="AE999" s="2" t="n">
        <v>2</v>
      </c>
      <c r="AF999" s="4" t="n">
        <v>2</v>
      </c>
      <c r="AG999" s="33" t="n">
        <v>0</v>
      </c>
      <c r="AH999" s="4" t="n">
        <v>0</v>
      </c>
      <c r="AI999" s="34" t="n"/>
      <c r="AJ999" s="34" t="n">
        <v>0</v>
      </c>
      <c r="AK999" s="2" t="n">
        <v>0</v>
      </c>
      <c r="AL999" t="inlineStr">
        <is>
          <t>Published</t>
        </is>
      </c>
    </row>
    <row r="1000">
      <c r="A1000">
        <f>HYPERLINK("https://www.walmart.com/ip/824381021", "824381021")</f>
        <v/>
      </c>
      <c r="B1000">
        <f>HYPERLINK("https://app.optiwise.ai/catalog/itemdetails/924450", "Sun Visor Sports Cotton Twill Plain Hat with Adjustable Strap for Men Women Outdoor Golf Tennis Running Jogging Hiking")</f>
        <v/>
      </c>
      <c r="C1000" t="inlineStr">
        <is>
          <t>1SLVS4130LIME</t>
        </is>
      </c>
      <c r="D1000" t="inlineStr">
        <is>
          <t>Other</t>
        </is>
      </c>
      <c r="E1000" t="inlineStr">
        <is>
          <t>Hats</t>
        </is>
      </c>
      <c r="F1000" t="inlineStr">
        <is>
          <t>Solaris</t>
        </is>
      </c>
      <c r="G1000" t="n">
        <v>0</v>
      </c>
      <c r="H1000" t="n">
        <v>0</v>
      </c>
      <c r="J1000" s="29" t="n">
        <v>0</v>
      </c>
      <c r="K1000" s="30" t="n"/>
      <c r="L1000" s="29" t="n">
        <v>0</v>
      </c>
      <c r="M1000" s="29" t="n">
        <v>0</v>
      </c>
      <c r="N1000" s="2" t="n">
        <v>0</v>
      </c>
      <c r="O1000" s="31" t="n">
        <v>0</v>
      </c>
      <c r="P1000" s="32" t="n"/>
      <c r="Q1000" s="32" t="n">
        <v>0</v>
      </c>
      <c r="R1000" s="32" t="n">
        <v>0</v>
      </c>
      <c r="S1000" s="31" t="n">
        <v>0</v>
      </c>
      <c r="T1000" s="32" t="n">
        <v>0</v>
      </c>
      <c r="U1000" s="31" t="n">
        <v>0</v>
      </c>
      <c r="V1000" s="31" t="n">
        <v>0</v>
      </c>
      <c r="W1000" s="3" t="n">
        <v>0</v>
      </c>
      <c r="X1000" s="3" t="n">
        <v>0</v>
      </c>
      <c r="Y1000" s="32" t="n">
        <v>0</v>
      </c>
      <c r="Z1000" s="3" t="n">
        <v>0</v>
      </c>
      <c r="AA1000" s="32" t="n">
        <v>0</v>
      </c>
      <c r="AB1000" s="3" t="n"/>
      <c r="AC1000" s="31" t="n">
        <v>0</v>
      </c>
      <c r="AD1000" s="2" t="n">
        <v>0</v>
      </c>
      <c r="AE1000" s="2" t="n">
        <v>1</v>
      </c>
      <c r="AF1000" s="4" t="n">
        <v>1</v>
      </c>
      <c r="AG1000" s="33" t="n">
        <v>0</v>
      </c>
      <c r="AH1000" s="4" t="n">
        <v>0</v>
      </c>
      <c r="AI1000" s="34" t="n"/>
      <c r="AJ1000" s="34" t="n">
        <v>0</v>
      </c>
      <c r="AK1000" s="2" t="n">
        <v>0</v>
      </c>
      <c r="AL1000" t="inlineStr">
        <is>
          <t>Published</t>
        </is>
      </c>
    </row>
    <row r="1001">
      <c r="A1001">
        <f>HYPERLINK("https://www.walmart.com/ip/1025403822", "1025403822")</f>
        <v/>
      </c>
      <c r="B1001">
        <f>HYPERLINK("https://app.optiwise.ai/catalog/itemdetails/920308", "Catalonia Knitted Throw Blanket for Bed,Sofa,Living Room,All Seasons Cozy Leisure Acrylic Lightweight Decorative Blanket with Fringe,Machine Washable,60×80 inches, Pink")</f>
        <v/>
      </c>
      <c r="C1001" t="inlineStr">
        <is>
          <t>1CTBN610PK</t>
        </is>
      </c>
      <c r="D1001" t="inlineStr">
        <is>
          <t>Bedding</t>
        </is>
      </c>
      <c r="E1001" t="inlineStr">
        <is>
          <t>Throws</t>
        </is>
      </c>
      <c r="F1001" t="inlineStr">
        <is>
          <t>Catalonia</t>
        </is>
      </c>
      <c r="G1001" t="n">
        <v>0</v>
      </c>
      <c r="H1001" t="n">
        <v>0</v>
      </c>
      <c r="I1001" t="inlineStr">
        <is>
          <t>Batch 1 - TR</t>
        </is>
      </c>
      <c r="J1001" s="29" t="n">
        <v>0</v>
      </c>
      <c r="K1001" s="30" t="n"/>
      <c r="L1001" s="29" t="n">
        <v>0</v>
      </c>
      <c r="M1001" s="29" t="n">
        <v>0</v>
      </c>
      <c r="N1001" s="2" t="n">
        <v>0</v>
      </c>
      <c r="O1001" s="31" t="n">
        <v>0</v>
      </c>
      <c r="P1001" s="32" t="n"/>
      <c r="Q1001" s="32" t="n">
        <v>0</v>
      </c>
      <c r="R1001" s="32" t="n">
        <v>0</v>
      </c>
      <c r="S1001" s="31" t="n">
        <v>0</v>
      </c>
      <c r="T1001" s="32" t="n">
        <v>0</v>
      </c>
      <c r="U1001" s="31" t="n">
        <v>0</v>
      </c>
      <c r="V1001" s="31" t="n">
        <v>0</v>
      </c>
      <c r="W1001" s="3" t="n">
        <v>0</v>
      </c>
      <c r="X1001" s="3" t="n">
        <v>0</v>
      </c>
      <c r="Y1001" s="32" t="n">
        <v>0</v>
      </c>
      <c r="Z1001" s="3" t="n">
        <v>0</v>
      </c>
      <c r="AA1001" s="32" t="n">
        <v>0</v>
      </c>
      <c r="AB1001" s="3" t="n"/>
      <c r="AC1001" s="31" t="n">
        <v>0</v>
      </c>
      <c r="AD1001" s="2" t="n">
        <v>0</v>
      </c>
      <c r="AE1001" s="2" t="n">
        <v>11</v>
      </c>
      <c r="AF1001" s="4" t="n">
        <v>11</v>
      </c>
      <c r="AG1001" s="33" t="n">
        <v>0</v>
      </c>
      <c r="AH1001" s="4" t="n">
        <v>0</v>
      </c>
      <c r="AI1001" s="34" t="n"/>
      <c r="AJ1001" s="34" t="n">
        <v>0</v>
      </c>
      <c r="AK1001" s="2" t="n">
        <v>0</v>
      </c>
      <c r="AL1001" t="inlineStr">
        <is>
          <t>Published</t>
        </is>
      </c>
    </row>
    <row r="1002">
      <c r="A1002">
        <f>HYPERLINK("https://www.walmart.com/ip/481492129", "481492129")</f>
        <v/>
      </c>
      <c r="B1002">
        <f>HYPERLINK("https://app.optiwise.ai/catalog/itemdetails/409176", "Catalonia Women’s Sherpa Hoodie Sweatshirt Dress, Casual Snuggle Wearable Blanket Pullover Sweater with Kangaroo Pocket, Warm and Soft, Gift for Her, Navy")</f>
        <v/>
      </c>
      <c r="C1002" t="inlineStr">
        <is>
          <t>1CTHD532DBL</t>
        </is>
      </c>
      <c r="D1002" t="inlineStr">
        <is>
          <t>Clothing</t>
        </is>
      </c>
      <c r="E1002" t="inlineStr">
        <is>
          <t>Sweatshirts &amp; Hoodies</t>
        </is>
      </c>
      <c r="F1002" t="inlineStr">
        <is>
          <t>Catalonia</t>
        </is>
      </c>
      <c r="G1002" t="n">
        <v>0</v>
      </c>
      <c r="H1002" t="n">
        <v>0</v>
      </c>
      <c r="I1002" t="inlineStr">
        <is>
          <t>Hoodie ForAdult,Optimized</t>
        </is>
      </c>
      <c r="J1002" s="29" t="n">
        <v>0</v>
      </c>
      <c r="K1002" s="30" t="n"/>
      <c r="L1002" s="29" t="n">
        <v>0</v>
      </c>
      <c r="M1002" s="29" t="n">
        <v>0</v>
      </c>
      <c r="N1002" s="2" t="n">
        <v>0</v>
      </c>
      <c r="O1002" s="31" t="n">
        <v>0</v>
      </c>
      <c r="P1002" s="32" t="n"/>
      <c r="Q1002" s="32" t="n">
        <v>0</v>
      </c>
      <c r="R1002" s="32" t="n">
        <v>0</v>
      </c>
      <c r="S1002" s="31" t="n">
        <v>0</v>
      </c>
      <c r="T1002" s="32" t="n">
        <v>0</v>
      </c>
      <c r="U1002" s="31" t="n">
        <v>0</v>
      </c>
      <c r="V1002" s="31" t="n">
        <v>0</v>
      </c>
      <c r="W1002" s="3" t="n">
        <v>0</v>
      </c>
      <c r="X1002" s="3" t="n">
        <v>0</v>
      </c>
      <c r="Y1002" s="32" t="n">
        <v>0</v>
      </c>
      <c r="Z1002" s="3" t="n">
        <v>0</v>
      </c>
      <c r="AA1002" s="32" t="n">
        <v>0</v>
      </c>
      <c r="AB1002" s="3" t="n"/>
      <c r="AC1002" s="31" t="n">
        <v>0</v>
      </c>
      <c r="AD1002" s="2" t="n">
        <v>0</v>
      </c>
      <c r="AE1002" s="2" t="n">
        <v>14</v>
      </c>
      <c r="AF1002" s="4" t="n">
        <v>14</v>
      </c>
      <c r="AG1002" s="33" t="n">
        <v>0</v>
      </c>
      <c r="AH1002" s="4" t="n">
        <v>0</v>
      </c>
      <c r="AI1002" s="34" t="n"/>
      <c r="AJ1002" s="34" t="n">
        <v>0</v>
      </c>
      <c r="AK1002" s="2" t="n">
        <v>0</v>
      </c>
      <c r="AL1002" t="inlineStr">
        <is>
          <t>Published</t>
        </is>
      </c>
    </row>
    <row r="1003">
      <c r="A1003">
        <f>HYPERLINK("https://www.walmart.com/ip/1863202161", "1863202161")</f>
        <v/>
      </c>
      <c r="B1003">
        <f>HYPERLINK("https://app.optiwise.ai/catalog/itemdetails/920309", "Catalonia Knitted Throw Blanket for Bed, Sofa, and Living Room, All Seasons Cozy Leisure Acrylic Lightweight Decorative Blanket with Fringe, Machine Washable, Yellow, 60'' × 80''")</f>
        <v/>
      </c>
      <c r="C1003" t="inlineStr">
        <is>
          <t>1CTBN610YL</t>
        </is>
      </c>
      <c r="D1003" t="inlineStr">
        <is>
          <t>Bedding</t>
        </is>
      </c>
      <c r="E1003" t="inlineStr">
        <is>
          <t>Throws</t>
        </is>
      </c>
      <c r="F1003" t="inlineStr">
        <is>
          <t>Catalonia</t>
        </is>
      </c>
      <c r="G1003" t="n">
        <v>0</v>
      </c>
      <c r="H1003" t="n">
        <v>0</v>
      </c>
      <c r="I1003" t="inlineStr">
        <is>
          <t>Coupon_Discount,Batch 1 - TR</t>
        </is>
      </c>
      <c r="J1003" s="29" t="n">
        <v>0</v>
      </c>
      <c r="K1003" s="30" t="n"/>
      <c r="L1003" s="29" t="n">
        <v>0</v>
      </c>
      <c r="M1003" s="29" t="n">
        <v>0</v>
      </c>
      <c r="N1003" s="2" t="n">
        <v>0</v>
      </c>
      <c r="O1003" s="31" t="n">
        <v>0</v>
      </c>
      <c r="P1003" s="32" t="n"/>
      <c r="Q1003" s="32" t="n">
        <v>0</v>
      </c>
      <c r="R1003" s="32" t="n">
        <v>0</v>
      </c>
      <c r="S1003" s="31" t="n">
        <v>0</v>
      </c>
      <c r="T1003" s="32" t="n">
        <v>0</v>
      </c>
      <c r="U1003" s="31" t="n">
        <v>0</v>
      </c>
      <c r="V1003" s="31" t="n">
        <v>0</v>
      </c>
      <c r="W1003" s="3" t="n">
        <v>0</v>
      </c>
      <c r="X1003" s="3" t="n">
        <v>0</v>
      </c>
      <c r="Y1003" s="32" t="n">
        <v>0</v>
      </c>
      <c r="Z1003" s="3" t="n">
        <v>0</v>
      </c>
      <c r="AA1003" s="32" t="n">
        <v>0</v>
      </c>
      <c r="AB1003" s="3" t="n"/>
      <c r="AC1003" s="31" t="n">
        <v>0</v>
      </c>
      <c r="AD1003" s="2" t="n">
        <v>0</v>
      </c>
      <c r="AE1003" s="2" t="n">
        <v>4</v>
      </c>
      <c r="AF1003" s="4" t="n">
        <v>4</v>
      </c>
      <c r="AG1003" s="33" t="n">
        <v>0</v>
      </c>
      <c r="AH1003" s="4" t="n">
        <v>0</v>
      </c>
      <c r="AI1003" s="34" t="n"/>
      <c r="AJ1003" s="34" t="n">
        <v>0</v>
      </c>
      <c r="AK1003" s="2" t="n">
        <v>0</v>
      </c>
      <c r="AL1003" t="inlineStr">
        <is>
          <t>Published</t>
        </is>
      </c>
    </row>
    <row r="1004">
      <c r="A1004">
        <f>HYPERLINK("https://www.walmart.com/ip/1658328113", "1658328113")</f>
        <v/>
      </c>
      <c r="B1004">
        <f>HYPERLINK("https://app.optiwise.ai/catalog/itemdetails/920311", "Catalonia Knitted Throw Blanket for Bed,Sofa,Living Room,All Seasons Cozy Leisure Acrylic Lightweight Decorative Blanket with Fringe,Machine Washable,60×80 inches,Grey")</f>
        <v/>
      </c>
      <c r="C1004" t="inlineStr">
        <is>
          <t>1CTBN610GY</t>
        </is>
      </c>
      <c r="D1004" t="inlineStr">
        <is>
          <t>Bedding</t>
        </is>
      </c>
      <c r="E1004" t="inlineStr">
        <is>
          <t>Throws</t>
        </is>
      </c>
      <c r="F1004" t="inlineStr">
        <is>
          <t>Catalonia</t>
        </is>
      </c>
      <c r="G1004" t="n">
        <v>0</v>
      </c>
      <c r="H1004" t="n">
        <v>0</v>
      </c>
      <c r="I1004" t="inlineStr">
        <is>
          <t>Batch 1 - TR</t>
        </is>
      </c>
      <c r="J1004" s="29" t="n">
        <v>0</v>
      </c>
      <c r="K1004" s="30" t="n"/>
      <c r="L1004" s="29" t="n">
        <v>0</v>
      </c>
      <c r="M1004" s="29" t="n">
        <v>0</v>
      </c>
      <c r="N1004" s="2" t="n">
        <v>0</v>
      </c>
      <c r="O1004" s="31" t="n">
        <v>0</v>
      </c>
      <c r="P1004" s="32" t="n"/>
      <c r="Q1004" s="32" t="n">
        <v>0</v>
      </c>
      <c r="R1004" s="32" t="n">
        <v>0</v>
      </c>
      <c r="S1004" s="31" t="n">
        <v>0</v>
      </c>
      <c r="T1004" s="32" t="n">
        <v>0</v>
      </c>
      <c r="U1004" s="31" t="n">
        <v>0</v>
      </c>
      <c r="V1004" s="31" t="n">
        <v>0</v>
      </c>
      <c r="W1004" s="3" t="n">
        <v>0</v>
      </c>
      <c r="X1004" s="3" t="n">
        <v>0</v>
      </c>
      <c r="Y1004" s="32" t="n">
        <v>0</v>
      </c>
      <c r="Z1004" s="3" t="n">
        <v>0</v>
      </c>
      <c r="AA1004" s="32" t="n">
        <v>0</v>
      </c>
      <c r="AB1004" s="3" t="n"/>
      <c r="AC1004" s="31" t="n">
        <v>0</v>
      </c>
      <c r="AD1004" s="2" t="n">
        <v>0</v>
      </c>
      <c r="AE1004" s="2" t="n">
        <v>16</v>
      </c>
      <c r="AF1004" s="4" t="n">
        <v>16</v>
      </c>
      <c r="AG1004" s="33" t="n">
        <v>0</v>
      </c>
      <c r="AH1004" s="4" t="n">
        <v>0</v>
      </c>
      <c r="AI1004" s="34" t="n"/>
      <c r="AJ1004" s="34" t="n">
        <v>0</v>
      </c>
      <c r="AK1004" s="2" t="n">
        <v>0</v>
      </c>
      <c r="AL1004" t="inlineStr">
        <is>
          <t>Published</t>
        </is>
      </c>
    </row>
    <row r="1005">
      <c r="A1005">
        <f>HYPERLINK("https://www.walmart.com/ip/1704694647", "1704694647")</f>
        <v/>
      </c>
      <c r="B1005">
        <f>HYPERLINK("https://app.optiwise.ai/catalog/itemdetails/920313", "Sun Visor Sports Cotton Twill Plain Hat with Adjustable Strap for Men Women Outdoor Golf Tennis Running Jogging Hiking")</f>
        <v/>
      </c>
      <c r="C1005" t="inlineStr">
        <is>
          <t>1SLVS4130LIME - 12pcs</t>
        </is>
      </c>
      <c r="D1005" t="inlineStr">
        <is>
          <t>Sport &amp; Recreation Other</t>
        </is>
      </c>
      <c r="E1005" t="inlineStr">
        <is>
          <t>Tennis Visors</t>
        </is>
      </c>
      <c r="F1005" t="inlineStr">
        <is>
          <t>Solaris</t>
        </is>
      </c>
      <c r="G1005" t="n">
        <v>0</v>
      </c>
      <c r="H1005" t="n">
        <v>0</v>
      </c>
      <c r="I1005" t="inlineStr">
        <is>
          <t>Batch 1 - TR</t>
        </is>
      </c>
      <c r="J1005" s="29" t="n">
        <v>0</v>
      </c>
      <c r="K1005" s="30" t="n"/>
      <c r="L1005" s="29" t="n">
        <v>0</v>
      </c>
      <c r="M1005" s="29" t="n">
        <v>0</v>
      </c>
      <c r="N1005" s="2" t="n">
        <v>0</v>
      </c>
      <c r="O1005" s="31" t="n">
        <v>0</v>
      </c>
      <c r="P1005" s="32" t="n"/>
      <c r="Q1005" s="32" t="n">
        <v>0</v>
      </c>
      <c r="R1005" s="32" t="n">
        <v>0</v>
      </c>
      <c r="S1005" s="31" t="n">
        <v>0</v>
      </c>
      <c r="T1005" s="32" t="n">
        <v>0</v>
      </c>
      <c r="U1005" s="31" t="n">
        <v>0</v>
      </c>
      <c r="V1005" s="31" t="n">
        <v>0</v>
      </c>
      <c r="W1005" s="3" t="n">
        <v>0</v>
      </c>
      <c r="X1005" s="3" t="n">
        <v>0</v>
      </c>
      <c r="Y1005" s="32" t="n">
        <v>0</v>
      </c>
      <c r="Z1005" s="3" t="n">
        <v>0</v>
      </c>
      <c r="AA1005" s="32" t="n">
        <v>0</v>
      </c>
      <c r="AB1005" s="3" t="n"/>
      <c r="AC1005" s="31" t="n">
        <v>0</v>
      </c>
      <c r="AD1005" s="2" t="n">
        <v>0</v>
      </c>
      <c r="AE1005" s="2" t="n">
        <v>4</v>
      </c>
      <c r="AF1005" s="4" t="n">
        <v>4</v>
      </c>
      <c r="AG1005" s="33" t="n">
        <v>0</v>
      </c>
      <c r="AH1005" s="4" t="n">
        <v>0</v>
      </c>
      <c r="AI1005" s="34" t="n"/>
      <c r="AJ1005" s="34" t="n">
        <v>0</v>
      </c>
      <c r="AK1005" s="2" t="n">
        <v>0</v>
      </c>
      <c r="AL1005" t="inlineStr">
        <is>
          <t>Published</t>
        </is>
      </c>
    </row>
    <row r="1006">
      <c r="A1006">
        <f>HYPERLINK("https://www.walmart.com/ip/1508580006", "1508580006")</f>
        <v/>
      </c>
      <c r="B1006">
        <f>HYPERLINK("https://app.optiwise.ai/catalog/itemdetails/920315", "Sun Visor Sports Cotton Twill Plain Hat with Adjustable Strap for Men Women Outdoor Golf Tennis Running Jogging Hiking")</f>
        <v/>
      </c>
      <c r="C1006" t="inlineStr">
        <is>
          <t>1SLVS4130RD - 12pcs</t>
        </is>
      </c>
      <c r="D1006" t="inlineStr">
        <is>
          <t>Sport &amp; Recreation Other</t>
        </is>
      </c>
      <c r="E1006" t="inlineStr">
        <is>
          <t>Tennis Visors</t>
        </is>
      </c>
      <c r="F1006" t="inlineStr">
        <is>
          <t>Solaris</t>
        </is>
      </c>
      <c r="G1006" t="n">
        <v>0</v>
      </c>
      <c r="H1006" t="n">
        <v>0</v>
      </c>
      <c r="J1006" s="29" t="n">
        <v>0</v>
      </c>
      <c r="K1006" s="30" t="n"/>
      <c r="L1006" s="29" t="n">
        <v>0</v>
      </c>
      <c r="M1006" s="29" t="n">
        <v>0</v>
      </c>
      <c r="N1006" s="2" t="n">
        <v>0</v>
      </c>
      <c r="O1006" s="31" t="n">
        <v>0</v>
      </c>
      <c r="P1006" s="32" t="n"/>
      <c r="Q1006" s="32" t="n">
        <v>0</v>
      </c>
      <c r="R1006" s="32" t="n">
        <v>0</v>
      </c>
      <c r="S1006" s="31" t="n">
        <v>0</v>
      </c>
      <c r="T1006" s="32" t="n">
        <v>0</v>
      </c>
      <c r="U1006" s="31" t="n">
        <v>0</v>
      </c>
      <c r="V1006" s="31" t="n">
        <v>0</v>
      </c>
      <c r="W1006" s="3" t="n">
        <v>0</v>
      </c>
      <c r="X1006" s="3" t="n">
        <v>0</v>
      </c>
      <c r="Y1006" s="32" t="n">
        <v>0</v>
      </c>
      <c r="Z1006" s="3" t="n">
        <v>0</v>
      </c>
      <c r="AA1006" s="32" t="n">
        <v>0</v>
      </c>
      <c r="AB1006" s="3" t="n"/>
      <c r="AC1006" s="31" t="n">
        <v>0</v>
      </c>
      <c r="AD1006" s="2" t="n">
        <v>0</v>
      </c>
      <c r="AE1006" s="2" t="n">
        <v>1</v>
      </c>
      <c r="AF1006" s="4" t="n">
        <v>1</v>
      </c>
      <c r="AG1006" s="33" t="n">
        <v>0</v>
      </c>
      <c r="AH1006" s="4" t="n">
        <v>0</v>
      </c>
      <c r="AI1006" s="34" t="n"/>
      <c r="AJ1006" s="34" t="n">
        <v>0</v>
      </c>
      <c r="AK1006" s="2" t="n">
        <v>0</v>
      </c>
      <c r="AL1006" t="inlineStr">
        <is>
          <t>Published</t>
        </is>
      </c>
    </row>
    <row r="1007">
      <c r="A1007">
        <f>HYPERLINK("https://www.walmart.com/ip/151458400", "151458400")</f>
        <v/>
      </c>
      <c r="B1007">
        <f>HYPERLINK("https://app.optiwise.ai/catalog/itemdetails/418762", "Tirrinia Reversible Sherpa Chevron Throw Blanket, 50 x 60, Blue")</f>
        <v/>
      </c>
      <c r="C1007" t="inlineStr">
        <is>
          <t>1TRBF320BL-TBCB</t>
        </is>
      </c>
      <c r="D1007" t="inlineStr">
        <is>
          <t>Bedding</t>
        </is>
      </c>
      <c r="E1007" t="inlineStr">
        <is>
          <t>Throws</t>
        </is>
      </c>
      <c r="F1007" t="inlineStr">
        <is>
          <t>Tirrinia</t>
        </is>
      </c>
      <c r="G1007" t="n">
        <v>0</v>
      </c>
      <c r="H1007" t="n">
        <v>0</v>
      </c>
      <c r="I1007" t="inlineStr">
        <is>
          <t>Batch 1 - TR</t>
        </is>
      </c>
      <c r="J1007" s="29" t="n">
        <v>0</v>
      </c>
      <c r="K1007" s="30" t="n"/>
      <c r="L1007" s="29" t="n">
        <v>0</v>
      </c>
      <c r="M1007" s="29" t="n">
        <v>0</v>
      </c>
      <c r="N1007" s="2" t="n">
        <v>0</v>
      </c>
      <c r="O1007" s="31" t="n">
        <v>0</v>
      </c>
      <c r="P1007" s="32" t="n"/>
      <c r="Q1007" s="32" t="n">
        <v>0</v>
      </c>
      <c r="R1007" s="32" t="n">
        <v>0</v>
      </c>
      <c r="S1007" s="31" t="n">
        <v>0</v>
      </c>
      <c r="T1007" s="32" t="n">
        <v>0</v>
      </c>
      <c r="U1007" s="31" t="n">
        <v>0</v>
      </c>
      <c r="V1007" s="31" t="n">
        <v>0</v>
      </c>
      <c r="W1007" s="3" t="n">
        <v>0</v>
      </c>
      <c r="X1007" s="3" t="n">
        <v>0</v>
      </c>
      <c r="Y1007" s="32" t="n">
        <v>0</v>
      </c>
      <c r="Z1007" s="3" t="n">
        <v>0</v>
      </c>
      <c r="AA1007" s="32" t="n">
        <v>0</v>
      </c>
      <c r="AB1007" s="3" t="n"/>
      <c r="AC1007" s="31" t="n">
        <v>0</v>
      </c>
      <c r="AD1007" s="2" t="n">
        <v>0</v>
      </c>
      <c r="AE1007" s="2" t="n">
        <v>2</v>
      </c>
      <c r="AF1007" s="4" t="n">
        <v>2</v>
      </c>
      <c r="AG1007" s="33" t="n">
        <v>0</v>
      </c>
      <c r="AH1007" s="4" t="n">
        <v>0</v>
      </c>
      <c r="AI1007" s="34" t="n"/>
      <c r="AJ1007" s="34" t="n">
        <v>0</v>
      </c>
      <c r="AK1007" s="2" t="n">
        <v>0</v>
      </c>
      <c r="AL1007" t="inlineStr">
        <is>
          <t>Published</t>
        </is>
      </c>
    </row>
    <row r="1008">
      <c r="A1008">
        <f>HYPERLINK("https://www.walmart.com/ip/714322224", "714322224")</f>
        <v/>
      </c>
      <c r="B1008">
        <f>HYPERLINK("https://app.optiwise.ai/catalog/itemdetails/418761", "Tirrinia Super Soft Comfy Plush Wearable Fleece Blanket With Sleeves For Adult, 73 x 51, Navy")</f>
        <v/>
      </c>
      <c r="C1008" t="inlineStr">
        <is>
          <t>1TRSN100NY-TBCB</t>
        </is>
      </c>
      <c r="D1008" t="inlineStr">
        <is>
          <t>Bedding</t>
        </is>
      </c>
      <c r="E1008" t="inlineStr">
        <is>
          <t>Throws</t>
        </is>
      </c>
      <c r="F1008" t="inlineStr">
        <is>
          <t>Tirrinia</t>
        </is>
      </c>
      <c r="G1008" t="n">
        <v>3.8</v>
      </c>
      <c r="H1008" t="n">
        <v>13</v>
      </c>
      <c r="I1008" t="inlineStr">
        <is>
          <t>Optimized,Fleece Blankets</t>
        </is>
      </c>
      <c r="J1008" s="29" t="n">
        <v>0</v>
      </c>
      <c r="K1008" s="30" t="n"/>
      <c r="L1008" s="29" t="n">
        <v>0</v>
      </c>
      <c r="M1008" s="29" t="n">
        <v>0</v>
      </c>
      <c r="N1008" s="2" t="n">
        <v>0</v>
      </c>
      <c r="O1008" s="31" t="n">
        <v>0</v>
      </c>
      <c r="P1008" s="32" t="n"/>
      <c r="Q1008" s="32" t="n">
        <v>0</v>
      </c>
      <c r="R1008" s="32" t="n">
        <v>0</v>
      </c>
      <c r="S1008" s="31" t="n">
        <v>0</v>
      </c>
      <c r="T1008" s="32" t="n">
        <v>0</v>
      </c>
      <c r="U1008" s="31" t="n">
        <v>0</v>
      </c>
      <c r="V1008" s="31" t="n">
        <v>0</v>
      </c>
      <c r="W1008" s="3" t="n">
        <v>0</v>
      </c>
      <c r="X1008" s="3" t="n">
        <v>0</v>
      </c>
      <c r="Y1008" s="32" t="n">
        <v>0</v>
      </c>
      <c r="Z1008" s="3" t="n">
        <v>0</v>
      </c>
      <c r="AA1008" s="32" t="n">
        <v>0</v>
      </c>
      <c r="AB1008" s="3" t="n"/>
      <c r="AC1008" s="31" t="n">
        <v>0</v>
      </c>
      <c r="AD1008" s="2" t="n">
        <v>0</v>
      </c>
      <c r="AE1008" s="2" t="n">
        <v>23</v>
      </c>
      <c r="AF1008" s="4" t="n">
        <v>23</v>
      </c>
      <c r="AG1008" s="33" t="n">
        <v>0</v>
      </c>
      <c r="AH1008" s="4" t="n">
        <v>0</v>
      </c>
      <c r="AI1008" s="34" t="n"/>
      <c r="AJ1008" s="34" t="n">
        <v>0</v>
      </c>
      <c r="AK1008" s="2" t="n">
        <v>0</v>
      </c>
      <c r="AL1008" t="inlineStr">
        <is>
          <t>Published</t>
        </is>
      </c>
    </row>
    <row r="1009">
      <c r="A1009">
        <f>HYPERLINK("https://www.walmart.com/ip/104033046", "104033046")</f>
        <v/>
      </c>
      <c r="B1009">
        <f>HYPERLINK("https://app.optiwise.ai/catalog/itemdetails/418760", "Tirrinia Super Soft Comfy Plush Wearable Fleece Blanket with Sleeves for Adult, Purple, 73 x 51")</f>
        <v/>
      </c>
      <c r="C1009" t="inlineStr">
        <is>
          <t>1TRSN100PP-TBCB</t>
        </is>
      </c>
      <c r="D1009" t="inlineStr">
        <is>
          <t>Bedding</t>
        </is>
      </c>
      <c r="E1009" t="inlineStr">
        <is>
          <t>Throws</t>
        </is>
      </c>
      <c r="F1009" t="inlineStr">
        <is>
          <t>Tirrinia</t>
        </is>
      </c>
      <c r="G1009" t="n">
        <v>0</v>
      </c>
      <c r="H1009" t="n">
        <v>0</v>
      </c>
      <c r="I1009" t="inlineStr">
        <is>
          <t>Optimized,Fleece Blankets</t>
        </is>
      </c>
      <c r="J1009" s="29" t="n">
        <v>0</v>
      </c>
      <c r="K1009" s="30" t="n"/>
      <c r="L1009" s="29" t="n">
        <v>0</v>
      </c>
      <c r="M1009" s="29" t="n">
        <v>0</v>
      </c>
      <c r="N1009" s="2" t="n">
        <v>0</v>
      </c>
      <c r="O1009" s="31" t="n">
        <v>0</v>
      </c>
      <c r="P1009" s="32" t="n"/>
      <c r="Q1009" s="32" t="n">
        <v>0</v>
      </c>
      <c r="R1009" s="32" t="n">
        <v>0</v>
      </c>
      <c r="S1009" s="31" t="n">
        <v>0</v>
      </c>
      <c r="T1009" s="32" t="n">
        <v>0</v>
      </c>
      <c r="U1009" s="31" t="n">
        <v>0</v>
      </c>
      <c r="V1009" s="31" t="n">
        <v>0</v>
      </c>
      <c r="W1009" s="3" t="n">
        <v>0</v>
      </c>
      <c r="X1009" s="3" t="n">
        <v>0</v>
      </c>
      <c r="Y1009" s="32" t="n">
        <v>0</v>
      </c>
      <c r="Z1009" s="3" t="n">
        <v>0</v>
      </c>
      <c r="AA1009" s="32" t="n">
        <v>0</v>
      </c>
      <c r="AB1009" s="3" t="n"/>
      <c r="AC1009" s="31" t="n">
        <v>0</v>
      </c>
      <c r="AD1009" s="2" t="n">
        <v>0</v>
      </c>
      <c r="AE1009" s="2" t="n">
        <v>20</v>
      </c>
      <c r="AF1009" s="4" t="n">
        <v>20</v>
      </c>
      <c r="AG1009" s="33" t="n">
        <v>0</v>
      </c>
      <c r="AH1009" s="4" t="n">
        <v>0</v>
      </c>
      <c r="AI1009" s="34" t="n"/>
      <c r="AJ1009" s="34" t="n">
        <v>0</v>
      </c>
      <c r="AK1009" s="2" t="n">
        <v>0</v>
      </c>
      <c r="AL1009" t="inlineStr">
        <is>
          <t>Published</t>
        </is>
      </c>
    </row>
    <row r="1010">
      <c r="A1010">
        <f>HYPERLINK("https://www.walmart.com/ip/785175130", "785175130")</f>
        <v/>
      </c>
      <c r="B1010">
        <f>HYPERLINK("https://app.optiwise.ai/catalog/itemdetails/418759", "Tirrinia Reversible Fuzzy Super Soft Ultra Plush Throw Blanket, Brown Moroccan, 50in x 70in")</f>
        <v/>
      </c>
      <c r="C1010" t="inlineStr">
        <is>
          <t>1TRBF8022BRN-TBCB</t>
        </is>
      </c>
      <c r="D1010" t="inlineStr">
        <is>
          <t>Bedding</t>
        </is>
      </c>
      <c r="E1010" t="inlineStr">
        <is>
          <t>Throws</t>
        </is>
      </c>
      <c r="F1010" t="inlineStr">
        <is>
          <t>Tirrinia</t>
        </is>
      </c>
      <c r="G1010" t="n">
        <v>0</v>
      </c>
      <c r="H1010" t="n">
        <v>0</v>
      </c>
      <c r="I1010" t="inlineStr">
        <is>
          <t>Optimized</t>
        </is>
      </c>
      <c r="J1010" s="29" t="n">
        <v>0</v>
      </c>
      <c r="K1010" s="30" t="n"/>
      <c r="L1010" s="29" t="n">
        <v>0</v>
      </c>
      <c r="M1010" s="29" t="n">
        <v>0</v>
      </c>
      <c r="N1010" s="2" t="n">
        <v>0</v>
      </c>
      <c r="O1010" s="31" t="n">
        <v>0</v>
      </c>
      <c r="P1010" s="32" t="n"/>
      <c r="Q1010" s="32" t="n">
        <v>0</v>
      </c>
      <c r="R1010" s="32" t="n">
        <v>0</v>
      </c>
      <c r="S1010" s="31" t="n">
        <v>0</v>
      </c>
      <c r="T1010" s="32" t="n">
        <v>0</v>
      </c>
      <c r="U1010" s="31" t="n">
        <v>0</v>
      </c>
      <c r="V1010" s="31" t="n">
        <v>0</v>
      </c>
      <c r="W1010" s="3" t="n">
        <v>0</v>
      </c>
      <c r="X1010" s="3" t="n">
        <v>0</v>
      </c>
      <c r="Y1010" s="32" t="n">
        <v>0</v>
      </c>
      <c r="Z1010" s="3" t="n">
        <v>0</v>
      </c>
      <c r="AA1010" s="32" t="n">
        <v>0</v>
      </c>
      <c r="AB1010" s="3" t="n"/>
      <c r="AC1010" s="31" t="n">
        <v>0</v>
      </c>
      <c r="AD1010" s="2" t="n">
        <v>0</v>
      </c>
      <c r="AE1010" s="2" t="n">
        <v>3</v>
      </c>
      <c r="AF1010" s="4" t="n">
        <v>3</v>
      </c>
      <c r="AG1010" s="33" t="n">
        <v>0</v>
      </c>
      <c r="AH1010" s="4" t="n">
        <v>0</v>
      </c>
      <c r="AI1010" s="34" t="n"/>
      <c r="AJ1010" s="34" t="n">
        <v>0</v>
      </c>
      <c r="AK1010" s="2" t="n">
        <v>0</v>
      </c>
      <c r="AL1010" t="inlineStr">
        <is>
          <t>Published</t>
        </is>
      </c>
    </row>
    <row r="1011">
      <c r="A1011">
        <f>HYPERLINK("https://www.walmart.com/ip/1012779361", "1012779361")</f>
        <v/>
      </c>
      <c r="B1011">
        <f>HYPERLINK("https://app.optiwise.ai/catalog/itemdetails/920318", "Sun Visor Sports Cotton Twill Plain Hat with Adjustable Strap for Men Women Outdoor Golf Tennis Running Jogging Hiking")</f>
        <v/>
      </c>
      <c r="C1011" t="inlineStr">
        <is>
          <t>1SLVS4130ROY - 12pcs</t>
        </is>
      </c>
      <c r="D1011" t="inlineStr">
        <is>
          <t>Sport &amp; Recreation Other</t>
        </is>
      </c>
      <c r="E1011" t="inlineStr">
        <is>
          <t>Tennis Visors</t>
        </is>
      </c>
      <c r="F1011" t="inlineStr">
        <is>
          <t>Solaris</t>
        </is>
      </c>
      <c r="G1011" t="n">
        <v>0</v>
      </c>
      <c r="H1011" t="n">
        <v>0</v>
      </c>
      <c r="J1011" s="29" t="n">
        <v>0</v>
      </c>
      <c r="K1011" s="30" t="n"/>
      <c r="L1011" s="29" t="n">
        <v>0</v>
      </c>
      <c r="M1011" s="29" t="n">
        <v>0</v>
      </c>
      <c r="N1011" s="2" t="n">
        <v>0</v>
      </c>
      <c r="O1011" s="31" t="n">
        <v>0</v>
      </c>
      <c r="P1011" s="32" t="n"/>
      <c r="Q1011" s="32" t="n">
        <v>0</v>
      </c>
      <c r="R1011" s="32" t="n">
        <v>0</v>
      </c>
      <c r="S1011" s="31" t="n">
        <v>0</v>
      </c>
      <c r="T1011" s="32" t="n">
        <v>0</v>
      </c>
      <c r="U1011" s="31" t="n">
        <v>0</v>
      </c>
      <c r="V1011" s="31" t="n">
        <v>0</v>
      </c>
      <c r="W1011" s="3" t="n">
        <v>0</v>
      </c>
      <c r="X1011" s="3" t="n">
        <v>0</v>
      </c>
      <c r="Y1011" s="32" t="n">
        <v>0</v>
      </c>
      <c r="Z1011" s="3" t="n">
        <v>0</v>
      </c>
      <c r="AA1011" s="32" t="n">
        <v>0</v>
      </c>
      <c r="AB1011" s="3" t="n"/>
      <c r="AC1011" s="31" t="n">
        <v>0</v>
      </c>
      <c r="AD1011" s="2" t="n">
        <v>0</v>
      </c>
      <c r="AE1011" s="2" t="n">
        <v>1</v>
      </c>
      <c r="AF1011" s="4" t="n">
        <v>1</v>
      </c>
      <c r="AG1011" s="33" t="n">
        <v>0</v>
      </c>
      <c r="AH1011" s="4" t="n">
        <v>0</v>
      </c>
      <c r="AI1011" s="34" t="n"/>
      <c r="AJ1011" s="34" t="n">
        <v>0</v>
      </c>
      <c r="AK1011" s="2" t="n">
        <v>0</v>
      </c>
      <c r="AL1011" t="inlineStr">
        <is>
          <t>Published</t>
        </is>
      </c>
    </row>
    <row r="1012">
      <c r="A1012">
        <f>HYPERLINK("https://www.walmart.com/ip/891167892", "891167892")</f>
        <v/>
      </c>
      <c r="B1012">
        <f>HYPERLINK("https://app.optiwise.ai/catalog/itemdetails/418758", "50 x 60 Chevron Throw Blanket Tirrinia Products")</f>
        <v/>
      </c>
      <c r="C1012" t="inlineStr">
        <is>
          <t>1TRBF320DBL-TBCB</t>
        </is>
      </c>
      <c r="D1012" t="inlineStr">
        <is>
          <t>Bedding</t>
        </is>
      </c>
      <c r="E1012" t="inlineStr">
        <is>
          <t>Throws</t>
        </is>
      </c>
      <c r="F1012" t="inlineStr">
        <is>
          <t>Tirrinia</t>
        </is>
      </c>
      <c r="G1012" t="n">
        <v>0</v>
      </c>
      <c r="H1012" t="n">
        <v>0</v>
      </c>
      <c r="I1012" t="inlineStr">
        <is>
          <t>Batch 1 - TR</t>
        </is>
      </c>
      <c r="J1012" s="29" t="n">
        <v>0</v>
      </c>
      <c r="K1012" s="30" t="n"/>
      <c r="L1012" s="29" t="n">
        <v>0</v>
      </c>
      <c r="M1012" s="29" t="n">
        <v>0</v>
      </c>
      <c r="N1012" s="2" t="n">
        <v>0</v>
      </c>
      <c r="O1012" s="31" t="n">
        <v>0</v>
      </c>
      <c r="P1012" s="32" t="n"/>
      <c r="Q1012" s="32" t="n">
        <v>0</v>
      </c>
      <c r="R1012" s="32" t="n">
        <v>0</v>
      </c>
      <c r="S1012" s="31" t="n">
        <v>0</v>
      </c>
      <c r="T1012" s="32" t="n">
        <v>0</v>
      </c>
      <c r="U1012" s="31" t="n">
        <v>0</v>
      </c>
      <c r="V1012" s="31" t="n">
        <v>0</v>
      </c>
      <c r="W1012" s="3" t="n">
        <v>0</v>
      </c>
      <c r="X1012" s="3" t="n">
        <v>0</v>
      </c>
      <c r="Y1012" s="32" t="n">
        <v>0</v>
      </c>
      <c r="Z1012" s="3" t="n">
        <v>0</v>
      </c>
      <c r="AA1012" s="32" t="n">
        <v>0</v>
      </c>
      <c r="AB1012" s="3" t="n"/>
      <c r="AC1012" s="31" t="n">
        <v>0</v>
      </c>
      <c r="AD1012" s="2" t="n">
        <v>0</v>
      </c>
      <c r="AE1012" s="2" t="n">
        <v>17</v>
      </c>
      <c r="AF1012" s="4" t="n">
        <v>17</v>
      </c>
      <c r="AG1012" s="33" t="n">
        <v>0</v>
      </c>
      <c r="AH1012" s="4" t="n">
        <v>0</v>
      </c>
      <c r="AI1012" s="34" t="n"/>
      <c r="AJ1012" s="34" t="n">
        <v>0</v>
      </c>
      <c r="AK1012" s="2" t="n">
        <v>0</v>
      </c>
      <c r="AL1012" t="inlineStr">
        <is>
          <t>Published</t>
        </is>
      </c>
    </row>
    <row r="1013">
      <c r="A1013">
        <f>HYPERLINK("https://www.walmart.com/ip/611208551", "611208551")</f>
        <v/>
      </c>
      <c r="B1013">
        <f>HYPERLINK("https://app.optiwise.ai/catalog/itemdetails/418757", "Tirrinia Men's Reversible Hunting Beanie, Blaze Orange, Forest Camo")</f>
        <v/>
      </c>
      <c r="C1013" t="inlineStr">
        <is>
          <t>1TRHT1740-TBCB</t>
        </is>
      </c>
      <c r="D1013" t="inlineStr">
        <is>
          <t>Clothing</t>
        </is>
      </c>
      <c r="E1013" t="inlineStr">
        <is>
          <t>Hats</t>
        </is>
      </c>
      <c r="F1013" t="inlineStr">
        <is>
          <t>Tirrinia</t>
        </is>
      </c>
      <c r="G1013" t="n">
        <v>4</v>
      </c>
      <c r="H1013" t="n">
        <v>1</v>
      </c>
      <c r="I1013" t="inlineStr">
        <is>
          <t>Optimized</t>
        </is>
      </c>
      <c r="J1013" s="29" t="n">
        <v>0</v>
      </c>
      <c r="K1013" s="30" t="n"/>
      <c r="L1013" s="29" t="n">
        <v>5.980000019073486</v>
      </c>
      <c r="M1013" s="29" t="n">
        <v>0</v>
      </c>
      <c r="N1013" s="2" t="n">
        <v>0</v>
      </c>
      <c r="O1013" s="31" t="n">
        <v>0</v>
      </c>
      <c r="P1013" s="32" t="n"/>
      <c r="Q1013" s="32" t="n">
        <v>0</v>
      </c>
      <c r="R1013" s="32" t="n">
        <v>0</v>
      </c>
      <c r="S1013" s="31" t="n">
        <v>0</v>
      </c>
      <c r="T1013" s="32" t="n">
        <v>0</v>
      </c>
      <c r="U1013" s="31" t="n">
        <v>0</v>
      </c>
      <c r="V1013" s="31" t="n">
        <v>0</v>
      </c>
      <c r="W1013" s="3" t="n">
        <v>0</v>
      </c>
      <c r="X1013" s="3" t="n">
        <v>0</v>
      </c>
      <c r="Y1013" s="32" t="n">
        <v>0</v>
      </c>
      <c r="Z1013" s="3" t="n">
        <v>0</v>
      </c>
      <c r="AA1013" s="32" t="n">
        <v>0</v>
      </c>
      <c r="AB1013" s="3" t="n"/>
      <c r="AC1013" s="31" t="n">
        <v>0</v>
      </c>
      <c r="AD1013" s="2" t="n">
        <v>0</v>
      </c>
      <c r="AE1013" s="2" t="n">
        <v>11</v>
      </c>
      <c r="AF1013" s="4" t="n">
        <v>11</v>
      </c>
      <c r="AG1013" s="33" t="n">
        <v>0</v>
      </c>
      <c r="AH1013" s="4" t="n">
        <v>0</v>
      </c>
      <c r="AI1013" s="34" t="n"/>
      <c r="AJ1013" s="34" t="n">
        <v>0</v>
      </c>
      <c r="AK1013" s="2" t="n">
        <v>0</v>
      </c>
      <c r="AL1013" t="inlineStr">
        <is>
          <t>Published</t>
        </is>
      </c>
    </row>
    <row r="1014">
      <c r="A1014">
        <f>HYPERLINK("https://www.walmart.com/ip/1236285875", "1236285875")</f>
        <v/>
      </c>
      <c r="B1014">
        <f>HYPERLINK("https://app.optiwise.ai/catalog/itemdetails/923868", "Waterproof Blanket, Liquid Pee Proof Blanket for Bed Couch Sofa, Protector Cover for Baby, Cozy Sherpa Lining Throws and Blankets for Camping Boating, 80X90 inches")</f>
        <v/>
      </c>
      <c r="C1014" t="inlineStr">
        <is>
          <t>1CTBW981NYTP</t>
        </is>
      </c>
      <c r="D1014" t="inlineStr">
        <is>
          <t>Bedding</t>
        </is>
      </c>
      <c r="E1014" t="inlineStr">
        <is>
          <t>Throws</t>
        </is>
      </c>
      <c r="F1014" t="inlineStr">
        <is>
          <t>Catalonia</t>
        </is>
      </c>
      <c r="G1014" t="n">
        <v>0</v>
      </c>
      <c r="H1014" t="n">
        <v>0</v>
      </c>
      <c r="I1014" t="inlineStr">
        <is>
          <t>High AUR Items,Wproof Blanket,Batch 1 - TR</t>
        </is>
      </c>
      <c r="J1014" s="29" t="n">
        <v>0</v>
      </c>
      <c r="K1014" s="30" t="n"/>
      <c r="L1014" s="29" t="n">
        <v>0</v>
      </c>
      <c r="M1014" s="29" t="n">
        <v>0</v>
      </c>
      <c r="N1014" s="2" t="n">
        <v>0</v>
      </c>
      <c r="O1014" s="31" t="n">
        <v>0.82</v>
      </c>
      <c r="P1014" s="32" t="n">
        <v>0.0001</v>
      </c>
      <c r="Q1014" s="32" t="n">
        <v>0</v>
      </c>
      <c r="R1014" s="32" t="n">
        <v>0.0394</v>
      </c>
      <c r="S1014" s="31" t="n">
        <v>0</v>
      </c>
      <c r="T1014" s="32" t="n">
        <v>0</v>
      </c>
      <c r="U1014" s="31" t="n">
        <v>0</v>
      </c>
      <c r="V1014" s="31" t="n">
        <v>0</v>
      </c>
      <c r="W1014" s="3" t="n">
        <v>2416</v>
      </c>
      <c r="X1014" s="3" t="n">
        <v>2</v>
      </c>
      <c r="Y1014" s="32" t="n">
        <v>0.0008</v>
      </c>
      <c r="Z1014" s="3" t="n">
        <v>0</v>
      </c>
      <c r="AA1014" s="32" t="n">
        <v>0</v>
      </c>
      <c r="AB1014" s="3" t="inlineStr">
        <is>
          <t>Auto for BW Indoor</t>
        </is>
      </c>
      <c r="AC1014" s="31" t="n">
        <v>0.41</v>
      </c>
      <c r="AD1014" s="2" t="n">
        <v>0</v>
      </c>
      <c r="AE1014" s="2" t="n">
        <v>27</v>
      </c>
      <c r="AF1014" s="4" t="n">
        <v>25</v>
      </c>
      <c r="AG1014" s="33" t="n">
        <v>0</v>
      </c>
      <c r="AH1014" s="4" t="n">
        <v>0</v>
      </c>
      <c r="AI1014" s="34" t="n"/>
      <c r="AJ1014" s="34" t="n">
        <v>0</v>
      </c>
      <c r="AK1014" s="2" t="n">
        <v>0</v>
      </c>
      <c r="AL1014" t="inlineStr">
        <is>
          <t>Published</t>
        </is>
      </c>
    </row>
    <row r="1015">
      <c r="A1015">
        <f>HYPERLINK("https://www.walmart.com/ip/171476488", "171476488")</f>
        <v/>
      </c>
      <c r="B1015">
        <f>HYPERLINK("https://app.optiwise.ai/catalog/itemdetails/412482", "Lightweight Fleece Stadium Windproof Throw Outdoor Waterproof Blanket, Red-Black Plaid")</f>
        <v/>
      </c>
      <c r="C1015" t="inlineStr">
        <is>
          <t>1KTBW608PRD</t>
        </is>
      </c>
      <c r="D1015" t="inlineStr">
        <is>
          <t>Bedding</t>
        </is>
      </c>
      <c r="E1015" t="inlineStr">
        <is>
          <t>Picnic Blankets &amp; Mats</t>
        </is>
      </c>
      <c r="F1015" t="inlineStr">
        <is>
          <t>Tirrinia</t>
        </is>
      </c>
      <c r="G1015" t="n">
        <v>5</v>
      </c>
      <c r="H1015" t="n">
        <v>1</v>
      </c>
      <c r="I1015" t="inlineStr">
        <is>
          <t>Wproof Blanket,Batch 1 - TR</t>
        </is>
      </c>
      <c r="J1015" s="29" t="n">
        <v>0</v>
      </c>
      <c r="K1015" s="30" t="n"/>
      <c r="L1015" s="29" t="n">
        <v>0</v>
      </c>
      <c r="M1015" s="29" t="n">
        <v>0</v>
      </c>
      <c r="N1015" s="2" t="n">
        <v>0</v>
      </c>
      <c r="O1015" s="31" t="n">
        <v>1.99</v>
      </c>
      <c r="P1015" s="32" t="n">
        <v>0.0002</v>
      </c>
      <c r="Q1015" s="32" t="n">
        <v>0</v>
      </c>
      <c r="R1015" s="32" t="n">
        <v>0.0391</v>
      </c>
      <c r="S1015" s="31" t="n">
        <v>0</v>
      </c>
      <c r="T1015" s="32" t="n">
        <v>0</v>
      </c>
      <c r="U1015" s="31" t="n">
        <v>0</v>
      </c>
      <c r="V1015" s="31" t="n">
        <v>0</v>
      </c>
      <c r="W1015" s="3" t="n">
        <v>4779</v>
      </c>
      <c r="X1015" s="3" t="n">
        <v>7</v>
      </c>
      <c r="Y1015" s="32" t="n">
        <v>0.0015</v>
      </c>
      <c r="Z1015" s="3" t="n">
        <v>0</v>
      </c>
      <c r="AA1015" s="32" t="n">
        <v>0</v>
      </c>
      <c r="AB1015" s="3" t="inlineStr">
        <is>
          <t>Throws_Auto_Optiwise_24</t>
        </is>
      </c>
      <c r="AC1015" s="31" t="n">
        <v>0.28</v>
      </c>
      <c r="AD1015" s="2" t="n">
        <v>0</v>
      </c>
      <c r="AE1015" s="2" t="n">
        <v>60</v>
      </c>
      <c r="AF1015" s="4" t="n">
        <v>53</v>
      </c>
      <c r="AG1015" s="33" t="n">
        <v>0</v>
      </c>
      <c r="AH1015" s="4" t="n">
        <v>0</v>
      </c>
      <c r="AI1015" s="34" t="n"/>
      <c r="AJ1015" s="34" t="n">
        <v>0</v>
      </c>
      <c r="AK1015" s="2" t="n">
        <v>0</v>
      </c>
      <c r="AL1015" t="inlineStr">
        <is>
          <t>Published</t>
        </is>
      </c>
    </row>
    <row r="1016">
      <c r="A1016">
        <f>HYPERLINK("https://www.walmart.com/ip/298917062", "298917062")</f>
        <v/>
      </c>
      <c r="B1016">
        <f>HYPERLINK("https://app.optiwise.ai/catalog/itemdetails/418756", "Tirrinia Reversible Chevron Micro Plush Super Soft Throw Blanket, Wine, 50 x 60")</f>
        <v/>
      </c>
      <c r="C1016" t="inlineStr">
        <is>
          <t>1TRBF320WN-TBCB</t>
        </is>
      </c>
      <c r="D1016" t="inlineStr">
        <is>
          <t>Bedding</t>
        </is>
      </c>
      <c r="E1016" t="inlineStr">
        <is>
          <t>Throws</t>
        </is>
      </c>
      <c r="F1016" t="inlineStr">
        <is>
          <t>Tirrinia</t>
        </is>
      </c>
      <c r="G1016" t="n">
        <v>0</v>
      </c>
      <c r="H1016" t="n">
        <v>0</v>
      </c>
      <c r="I1016" t="inlineStr">
        <is>
          <t>Batch 1 - TR</t>
        </is>
      </c>
      <c r="J1016" s="29" t="n">
        <v>0</v>
      </c>
      <c r="K1016" s="30" t="n"/>
      <c r="L1016" s="29" t="n">
        <v>0</v>
      </c>
      <c r="M1016" s="29" t="n">
        <v>0</v>
      </c>
      <c r="N1016" s="2" t="n">
        <v>0</v>
      </c>
      <c r="O1016" s="31" t="n">
        <v>0</v>
      </c>
      <c r="P1016" s="32" t="n"/>
      <c r="Q1016" s="32" t="n">
        <v>0</v>
      </c>
      <c r="R1016" s="32" t="n">
        <v>0</v>
      </c>
      <c r="S1016" s="31" t="n">
        <v>0</v>
      </c>
      <c r="T1016" s="32" t="n">
        <v>0</v>
      </c>
      <c r="U1016" s="31" t="n">
        <v>0</v>
      </c>
      <c r="V1016" s="31" t="n">
        <v>0</v>
      </c>
      <c r="W1016" s="3" t="n">
        <v>0</v>
      </c>
      <c r="X1016" s="3" t="n">
        <v>0</v>
      </c>
      <c r="Y1016" s="32" t="n">
        <v>0</v>
      </c>
      <c r="Z1016" s="3" t="n">
        <v>0</v>
      </c>
      <c r="AA1016" s="32" t="n">
        <v>0</v>
      </c>
      <c r="AB1016" s="3" t="n"/>
      <c r="AC1016" s="31" t="n">
        <v>0</v>
      </c>
      <c r="AD1016" s="2" t="n">
        <v>0</v>
      </c>
      <c r="AE1016" s="2" t="n">
        <v>2</v>
      </c>
      <c r="AF1016" s="4" t="n">
        <v>2</v>
      </c>
      <c r="AG1016" s="33" t="n">
        <v>0</v>
      </c>
      <c r="AH1016" s="4" t="n">
        <v>0</v>
      </c>
      <c r="AI1016" s="34" t="n"/>
      <c r="AJ1016" s="34" t="n">
        <v>0</v>
      </c>
      <c r="AK1016" s="2" t="n">
        <v>0</v>
      </c>
      <c r="AL1016" t="inlineStr">
        <is>
          <t>Published</t>
        </is>
      </c>
    </row>
    <row r="1017">
      <c r="A1017">
        <f>HYPERLINK("https://www.walmart.com/ip/1367232974", "1367232974")</f>
        <v/>
      </c>
      <c r="B1017">
        <f>HYPERLINK("https://app.optiwise.ai/catalog/itemdetails/924445", "Sherpa Throw Blanket Fleece, Super Cozy Warm TV Blankets for Bed or Couch Reversible 60 x 80")</f>
        <v/>
      </c>
      <c r="C1017" t="inlineStr">
        <is>
          <t>1TRBF368SNOWMAN</t>
        </is>
      </c>
      <c r="D1017" t="inlineStr">
        <is>
          <t>Bedding</t>
        </is>
      </c>
      <c r="E1017" t="inlineStr">
        <is>
          <t>Throws</t>
        </is>
      </c>
      <c r="F1017" t="inlineStr">
        <is>
          <t>Tirrinia</t>
        </is>
      </c>
      <c r="G1017" t="n">
        <v>5</v>
      </c>
      <c r="H1017" t="n">
        <v>1</v>
      </c>
      <c r="J1017" s="29" t="n">
        <v>0</v>
      </c>
      <c r="K1017" s="30" t="n"/>
      <c r="L1017" s="29" t="n">
        <v>0</v>
      </c>
      <c r="M1017" s="29" t="n">
        <v>0</v>
      </c>
      <c r="N1017" s="2" t="n">
        <v>0</v>
      </c>
      <c r="O1017" s="31" t="n">
        <v>0</v>
      </c>
      <c r="P1017" s="32" t="n"/>
      <c r="Q1017" s="32" t="n">
        <v>0</v>
      </c>
      <c r="R1017" s="32" t="n">
        <v>0</v>
      </c>
      <c r="S1017" s="31" t="n">
        <v>0</v>
      </c>
      <c r="T1017" s="32" t="n">
        <v>0</v>
      </c>
      <c r="U1017" s="31" t="n">
        <v>0</v>
      </c>
      <c r="V1017" s="31" t="n">
        <v>0</v>
      </c>
      <c r="W1017" s="3" t="n">
        <v>0</v>
      </c>
      <c r="X1017" s="3" t="n">
        <v>0</v>
      </c>
      <c r="Y1017" s="32" t="n">
        <v>0</v>
      </c>
      <c r="Z1017" s="3" t="n">
        <v>0</v>
      </c>
      <c r="AA1017" s="32" t="n">
        <v>0</v>
      </c>
      <c r="AB1017" s="3" t="n"/>
      <c r="AC1017" s="31" t="n">
        <v>0</v>
      </c>
      <c r="AD1017" s="2" t="n">
        <v>0</v>
      </c>
      <c r="AE1017" s="2" t="n">
        <v>2</v>
      </c>
      <c r="AF1017" s="4" t="n">
        <v>2</v>
      </c>
      <c r="AG1017" s="33" t="n">
        <v>0</v>
      </c>
      <c r="AH1017" s="4" t="n">
        <v>0</v>
      </c>
      <c r="AI1017" s="34" t="n"/>
      <c r="AJ1017" s="34" t="n">
        <v>0</v>
      </c>
      <c r="AK1017" s="2" t="n">
        <v>0</v>
      </c>
      <c r="AL1017" t="inlineStr">
        <is>
          <t>Published</t>
        </is>
      </c>
    </row>
    <row r="1018">
      <c r="A1018">
        <f>HYPERLINK("https://www.walmart.com/ip/411170938", "411170938")</f>
        <v/>
      </c>
      <c r="B1018">
        <f>HYPERLINK("https://app.optiwise.ai/catalog/itemdetails/417477", "Tirrinia Super Soft Plush Wearable Sherpa Fleece Blanket Poncho For Adults Children, 55'' x 80'', Red Plaid")</f>
        <v/>
      </c>
      <c r="C1018" t="inlineStr">
        <is>
          <t>1TRBP110PRD-TBCB</t>
        </is>
      </c>
      <c r="D1018" t="inlineStr">
        <is>
          <t>Home Decor, Kitchen, &amp; Other</t>
        </is>
      </c>
      <c r="E1018" t="inlineStr">
        <is>
          <t>Throws</t>
        </is>
      </c>
      <c r="F1018" t="inlineStr">
        <is>
          <t>Tirrinia</t>
        </is>
      </c>
      <c r="G1018" t="n">
        <v>0</v>
      </c>
      <c r="H1018" t="n">
        <v>0</v>
      </c>
      <c r="I1018" t="inlineStr">
        <is>
          <t>Optimized</t>
        </is>
      </c>
      <c r="J1018" s="29" t="n">
        <v>0</v>
      </c>
      <c r="K1018" s="30" t="n"/>
      <c r="L1018" s="29" t="n">
        <v>0</v>
      </c>
      <c r="M1018" s="29" t="n">
        <v>0</v>
      </c>
      <c r="N1018" s="2" t="n">
        <v>0</v>
      </c>
      <c r="O1018" s="31" t="n">
        <v>0</v>
      </c>
      <c r="P1018" s="32" t="n"/>
      <c r="Q1018" s="32" t="n">
        <v>0</v>
      </c>
      <c r="R1018" s="32" t="n">
        <v>0</v>
      </c>
      <c r="S1018" s="31" t="n">
        <v>0</v>
      </c>
      <c r="T1018" s="32" t="n">
        <v>0</v>
      </c>
      <c r="U1018" s="31" t="n">
        <v>0</v>
      </c>
      <c r="V1018" s="31" t="n">
        <v>0</v>
      </c>
      <c r="W1018" s="3" t="n">
        <v>0</v>
      </c>
      <c r="X1018" s="3" t="n">
        <v>0</v>
      </c>
      <c r="Y1018" s="32" t="n">
        <v>0</v>
      </c>
      <c r="Z1018" s="3" t="n">
        <v>0</v>
      </c>
      <c r="AA1018" s="32" t="n">
        <v>0</v>
      </c>
      <c r="AB1018" s="3" t="n"/>
      <c r="AC1018" s="31" t="n">
        <v>0</v>
      </c>
      <c r="AD1018" s="2" t="n">
        <v>0</v>
      </c>
      <c r="AE1018" s="2" t="n">
        <v>10</v>
      </c>
      <c r="AF1018" s="4" t="n">
        <v>10</v>
      </c>
      <c r="AG1018" s="33" t="n">
        <v>0</v>
      </c>
      <c r="AH1018" s="4" t="n">
        <v>0</v>
      </c>
      <c r="AI1018" s="34" t="n"/>
      <c r="AJ1018" s="34" t="n">
        <v>0</v>
      </c>
      <c r="AK1018" s="2" t="n">
        <v>0</v>
      </c>
      <c r="AL1018" t="inlineStr">
        <is>
          <t>Published</t>
        </is>
      </c>
    </row>
    <row r="1019">
      <c r="A1019">
        <f>HYPERLINK("https://www.walmart.com/ip/475563716", "475563716")</f>
        <v/>
      </c>
      <c r="B1019">
        <f>HYPERLINK("https://app.optiwise.ai/catalog/itemdetails/418755", "Tirrinia Comfy Wearable Fleece Blanket with Sleeves, Red Buffalo Plaid, 73 x 51")</f>
        <v/>
      </c>
      <c r="C1019" t="inlineStr">
        <is>
          <t>1TRSN100P2RD-TBCB</t>
        </is>
      </c>
      <c r="D1019" t="inlineStr">
        <is>
          <t>Bedding</t>
        </is>
      </c>
      <c r="E1019" t="inlineStr">
        <is>
          <t>Throws</t>
        </is>
      </c>
      <c r="F1019" t="inlineStr">
        <is>
          <t>Tirrinia</t>
        </is>
      </c>
      <c r="G1019" t="n">
        <v>0</v>
      </c>
      <c r="H1019" t="n">
        <v>0</v>
      </c>
      <c r="I1019" t="inlineStr">
        <is>
          <t>Optimized,Fleece Blankets</t>
        </is>
      </c>
      <c r="J1019" s="29" t="n">
        <v>0</v>
      </c>
      <c r="K1019" s="30" t="n"/>
      <c r="L1019" s="29" t="n">
        <v>0</v>
      </c>
      <c r="M1019" s="29" t="n">
        <v>0</v>
      </c>
      <c r="N1019" s="2" t="n">
        <v>0</v>
      </c>
      <c r="O1019" s="31" t="n">
        <v>0</v>
      </c>
      <c r="P1019" s="32" t="n"/>
      <c r="Q1019" s="32" t="n">
        <v>0</v>
      </c>
      <c r="R1019" s="32" t="n">
        <v>0</v>
      </c>
      <c r="S1019" s="31" t="n">
        <v>0</v>
      </c>
      <c r="T1019" s="32" t="n">
        <v>0</v>
      </c>
      <c r="U1019" s="31" t="n">
        <v>0</v>
      </c>
      <c r="V1019" s="31" t="n">
        <v>0</v>
      </c>
      <c r="W1019" s="3" t="n">
        <v>0</v>
      </c>
      <c r="X1019" s="3" t="n">
        <v>0</v>
      </c>
      <c r="Y1019" s="32" t="n">
        <v>0</v>
      </c>
      <c r="Z1019" s="3" t="n">
        <v>0</v>
      </c>
      <c r="AA1019" s="32" t="n">
        <v>0</v>
      </c>
      <c r="AB1019" s="3" t="n"/>
      <c r="AC1019" s="31" t="n">
        <v>0</v>
      </c>
      <c r="AD1019" s="2" t="n">
        <v>10</v>
      </c>
      <c r="AE1019" s="2" t="n">
        <v>13</v>
      </c>
      <c r="AF1019" s="4" t="n">
        <v>13</v>
      </c>
      <c r="AG1019" s="33" t="n">
        <v>0</v>
      </c>
      <c r="AH1019" s="4" t="n">
        <v>0</v>
      </c>
      <c r="AI1019" s="34" t="n"/>
      <c r="AJ1019" s="34" t="n">
        <v>0</v>
      </c>
      <c r="AK1019" s="2" t="n">
        <v>0</v>
      </c>
      <c r="AL1019" t="inlineStr">
        <is>
          <t>Published</t>
        </is>
      </c>
    </row>
    <row r="1020">
      <c r="A1020">
        <f>HYPERLINK("https://www.walmart.com/ip/856822538", "856822538")</f>
        <v/>
      </c>
      <c r="B1020">
        <f>HYPERLINK("https://app.optiwise.ai/catalog/itemdetails/418754", "Tirrinia Sherpa Throw Couch Blanket, Super Soft TV Blanket, Black Chevron, 50'' x 60''")</f>
        <v/>
      </c>
      <c r="C1020" t="inlineStr">
        <is>
          <t>1TRBF320BK-TBCB</t>
        </is>
      </c>
      <c r="D1020" t="inlineStr">
        <is>
          <t>Bedding</t>
        </is>
      </c>
      <c r="E1020" t="inlineStr">
        <is>
          <t>Throws</t>
        </is>
      </c>
      <c r="F1020" t="inlineStr">
        <is>
          <t>Tirrinia</t>
        </is>
      </c>
      <c r="G1020" t="n">
        <v>0</v>
      </c>
      <c r="H1020" t="n">
        <v>0</v>
      </c>
      <c r="I1020" t="inlineStr">
        <is>
          <t>Optimized,Coupon_Discount</t>
        </is>
      </c>
      <c r="J1020" s="29" t="n">
        <v>0</v>
      </c>
      <c r="K1020" s="30" t="n"/>
      <c r="L1020" s="29" t="n">
        <v>0</v>
      </c>
      <c r="M1020" s="29" t="n">
        <v>0</v>
      </c>
      <c r="N1020" s="2" t="n">
        <v>0</v>
      </c>
      <c r="O1020" s="31" t="n">
        <v>0</v>
      </c>
      <c r="P1020" s="32" t="n"/>
      <c r="Q1020" s="32" t="n">
        <v>0</v>
      </c>
      <c r="R1020" s="32" t="n">
        <v>0</v>
      </c>
      <c r="S1020" s="31" t="n">
        <v>0</v>
      </c>
      <c r="T1020" s="32" t="n">
        <v>0</v>
      </c>
      <c r="U1020" s="31" t="n">
        <v>0</v>
      </c>
      <c r="V1020" s="31" t="n">
        <v>0</v>
      </c>
      <c r="W1020" s="3" t="n">
        <v>0</v>
      </c>
      <c r="X1020" s="3" t="n">
        <v>0</v>
      </c>
      <c r="Y1020" s="32" t="n">
        <v>0</v>
      </c>
      <c r="Z1020" s="3" t="n">
        <v>0</v>
      </c>
      <c r="AA1020" s="32" t="n">
        <v>0</v>
      </c>
      <c r="AB1020" s="3" t="n"/>
      <c r="AC1020" s="31" t="n">
        <v>0</v>
      </c>
      <c r="AD1020" s="2" t="n">
        <v>0</v>
      </c>
      <c r="AE1020" s="2" t="n">
        <v>8</v>
      </c>
      <c r="AF1020" s="4" t="n">
        <v>8</v>
      </c>
      <c r="AG1020" s="33" t="n">
        <v>0</v>
      </c>
      <c r="AH1020" s="4" t="n">
        <v>0</v>
      </c>
      <c r="AI1020" s="34" t="n"/>
      <c r="AJ1020" s="34" t="n">
        <v>0</v>
      </c>
      <c r="AK1020" s="2" t="n">
        <v>0</v>
      </c>
      <c r="AL1020" t="inlineStr">
        <is>
          <t>Published</t>
        </is>
      </c>
    </row>
    <row r="1021">
      <c r="A1021">
        <f>HYPERLINK("https://www.walmart.com/ip/632926267", "632926267")</f>
        <v/>
      </c>
      <c r="B1021">
        <f>HYPERLINK("https://app.optiwise.ai/catalog/itemdetails/418753", "Tirrinia Super Soft Micro Fleece Plush Reversible Sherpa Blanket, Snow Dark Grey, 50 x 60")</f>
        <v/>
      </c>
      <c r="C1021" t="inlineStr">
        <is>
          <t>1TRBF321DG-TBCB</t>
        </is>
      </c>
      <c r="D1021" t="inlineStr">
        <is>
          <t>Bedding</t>
        </is>
      </c>
      <c r="E1021" t="inlineStr">
        <is>
          <t>Throws</t>
        </is>
      </c>
      <c r="F1021" t="inlineStr">
        <is>
          <t>Tirrinia</t>
        </is>
      </c>
      <c r="G1021" t="n">
        <v>0</v>
      </c>
      <c r="H1021" t="n">
        <v>0</v>
      </c>
      <c r="I1021" t="inlineStr">
        <is>
          <t>Optimized</t>
        </is>
      </c>
      <c r="J1021" s="29" t="n">
        <v>0</v>
      </c>
      <c r="K1021" s="30" t="n"/>
      <c r="L1021" s="29" t="n">
        <v>0</v>
      </c>
      <c r="M1021" s="29" t="n">
        <v>0</v>
      </c>
      <c r="N1021" s="2" t="n">
        <v>0</v>
      </c>
      <c r="O1021" s="31" t="n">
        <v>0</v>
      </c>
      <c r="P1021" s="32" t="n"/>
      <c r="Q1021" s="32" t="n">
        <v>0</v>
      </c>
      <c r="R1021" s="32" t="n">
        <v>0</v>
      </c>
      <c r="S1021" s="31" t="n">
        <v>0</v>
      </c>
      <c r="T1021" s="32" t="n">
        <v>0</v>
      </c>
      <c r="U1021" s="31" t="n">
        <v>0</v>
      </c>
      <c r="V1021" s="31" t="n">
        <v>0</v>
      </c>
      <c r="W1021" s="3" t="n">
        <v>0</v>
      </c>
      <c r="X1021" s="3" t="n">
        <v>0</v>
      </c>
      <c r="Y1021" s="32" t="n">
        <v>0</v>
      </c>
      <c r="Z1021" s="3" t="n">
        <v>0</v>
      </c>
      <c r="AA1021" s="32" t="n">
        <v>0</v>
      </c>
      <c r="AB1021" s="3" t="n"/>
      <c r="AC1021" s="31" t="n">
        <v>0</v>
      </c>
      <c r="AD1021" s="2" t="n">
        <v>0</v>
      </c>
      <c r="AE1021" s="2" t="n">
        <v>2</v>
      </c>
      <c r="AF1021" s="4" t="n">
        <v>2</v>
      </c>
      <c r="AG1021" s="33" t="n">
        <v>0</v>
      </c>
      <c r="AH1021" s="4" t="n">
        <v>0</v>
      </c>
      <c r="AI1021" s="34" t="n"/>
      <c r="AJ1021" s="34" t="n">
        <v>0</v>
      </c>
      <c r="AK1021" s="2" t="n">
        <v>0</v>
      </c>
      <c r="AL1021" t="inlineStr">
        <is>
          <t>Published</t>
        </is>
      </c>
    </row>
    <row r="1022">
      <c r="A1022">
        <f>HYPERLINK("https://www.walmart.com/ip/687777977", "687777977")</f>
        <v/>
      </c>
      <c r="B1022">
        <f>HYPERLINK("https://app.optiwise.ai/catalog/itemdetails/418752", "Tirrinia Wearable Comfy Fleece Blanket with Sleeves For Adult, 73 x 51, Zebra")</f>
        <v/>
      </c>
      <c r="C1022" t="inlineStr">
        <is>
          <t>1TRSN100ZEBRA-TBCB</t>
        </is>
      </c>
      <c r="D1022" t="inlineStr">
        <is>
          <t>Home Decor, Kitchen, &amp; Other</t>
        </is>
      </c>
      <c r="E1022" t="inlineStr">
        <is>
          <t>Throws</t>
        </is>
      </c>
      <c r="F1022" t="inlineStr">
        <is>
          <t>Tirrinia</t>
        </is>
      </c>
      <c r="G1022" t="n">
        <v>5</v>
      </c>
      <c r="H1022" t="n">
        <v>1</v>
      </c>
      <c r="I1022" t="inlineStr">
        <is>
          <t>Coupon_Discount,Fleece Blankets,Batch 1 - TR</t>
        </is>
      </c>
      <c r="J1022" s="29" t="n">
        <v>0</v>
      </c>
      <c r="K1022" s="30" t="n"/>
      <c r="L1022" s="29" t="n">
        <v>0</v>
      </c>
      <c r="M1022" s="29" t="n">
        <v>0</v>
      </c>
      <c r="N1022" s="2" t="n">
        <v>0</v>
      </c>
      <c r="O1022" s="31" t="n">
        <v>0</v>
      </c>
      <c r="P1022" s="32" t="n"/>
      <c r="Q1022" s="32" t="n">
        <v>0</v>
      </c>
      <c r="R1022" s="32" t="n">
        <v>0</v>
      </c>
      <c r="S1022" s="31" t="n">
        <v>0</v>
      </c>
      <c r="T1022" s="32" t="n">
        <v>0</v>
      </c>
      <c r="U1022" s="31" t="n">
        <v>0</v>
      </c>
      <c r="V1022" s="31" t="n">
        <v>0</v>
      </c>
      <c r="W1022" s="3" t="n">
        <v>0</v>
      </c>
      <c r="X1022" s="3" t="n">
        <v>0</v>
      </c>
      <c r="Y1022" s="32" t="n">
        <v>0</v>
      </c>
      <c r="Z1022" s="3" t="n">
        <v>0</v>
      </c>
      <c r="AA1022" s="32" t="n">
        <v>0</v>
      </c>
      <c r="AB1022" s="3" t="n"/>
      <c r="AC1022" s="31" t="n">
        <v>0</v>
      </c>
      <c r="AD1022" s="2" t="n">
        <v>0</v>
      </c>
      <c r="AE1022" s="2" t="n">
        <v>2</v>
      </c>
      <c r="AF1022" s="4" t="n">
        <v>2</v>
      </c>
      <c r="AG1022" s="33" t="n">
        <v>0</v>
      </c>
      <c r="AH1022" s="4" t="n">
        <v>0</v>
      </c>
      <c r="AI1022" s="34" t="n"/>
      <c r="AJ1022" s="34" t="n">
        <v>0</v>
      </c>
      <c r="AK1022" s="2" t="n">
        <v>0</v>
      </c>
      <c r="AL1022" t="inlineStr">
        <is>
          <t>Published</t>
        </is>
      </c>
    </row>
    <row r="1023">
      <c r="A1023">
        <f>HYPERLINK("https://www.walmart.com/ip/236226478", "236226478")</f>
        <v/>
      </c>
      <c r="B1023">
        <f>HYPERLINK("https://app.optiwise.ai/catalog/itemdetails/418751", "Tirrinia Reversible Fuzzy Micro Plush Soft Sherpa Chevron Throw Blanket, Latte, 50 x 60")</f>
        <v/>
      </c>
      <c r="C1023" t="inlineStr">
        <is>
          <t>1TRBF320LT-TBCB</t>
        </is>
      </c>
      <c r="D1023" t="inlineStr">
        <is>
          <t>Bedding</t>
        </is>
      </c>
      <c r="E1023" t="inlineStr">
        <is>
          <t>Throws</t>
        </is>
      </c>
      <c r="F1023" t="inlineStr">
        <is>
          <t>Tirrinia</t>
        </is>
      </c>
      <c r="G1023" t="n">
        <v>0</v>
      </c>
      <c r="H1023" t="n">
        <v>0</v>
      </c>
      <c r="I1023" t="inlineStr">
        <is>
          <t>Batch 1 - TR</t>
        </is>
      </c>
      <c r="J1023" s="29" t="n">
        <v>0</v>
      </c>
      <c r="K1023" s="30" t="n"/>
      <c r="L1023" s="29" t="n">
        <v>0</v>
      </c>
      <c r="M1023" s="29" t="n">
        <v>0</v>
      </c>
      <c r="N1023" s="2" t="n">
        <v>0</v>
      </c>
      <c r="O1023" s="31" t="n">
        <v>0</v>
      </c>
      <c r="P1023" s="32" t="n"/>
      <c r="Q1023" s="32" t="n">
        <v>0</v>
      </c>
      <c r="R1023" s="32" t="n">
        <v>0</v>
      </c>
      <c r="S1023" s="31" t="n">
        <v>0</v>
      </c>
      <c r="T1023" s="32" t="n">
        <v>0</v>
      </c>
      <c r="U1023" s="31" t="n">
        <v>0</v>
      </c>
      <c r="V1023" s="31" t="n">
        <v>0</v>
      </c>
      <c r="W1023" s="3" t="n">
        <v>0</v>
      </c>
      <c r="X1023" s="3" t="n">
        <v>0</v>
      </c>
      <c r="Y1023" s="32" t="n">
        <v>0</v>
      </c>
      <c r="Z1023" s="3" t="n">
        <v>0</v>
      </c>
      <c r="AA1023" s="32" t="n">
        <v>0</v>
      </c>
      <c r="AB1023" s="3" t="n"/>
      <c r="AC1023" s="31" t="n">
        <v>0</v>
      </c>
      <c r="AD1023" s="2" t="n">
        <v>0</v>
      </c>
      <c r="AE1023" s="2" t="n">
        <v>3</v>
      </c>
      <c r="AF1023" s="4" t="n">
        <v>3</v>
      </c>
      <c r="AG1023" s="33" t="n">
        <v>0</v>
      </c>
      <c r="AH1023" s="4" t="n">
        <v>0</v>
      </c>
      <c r="AI1023" s="34" t="n"/>
      <c r="AJ1023" s="34" t="n">
        <v>0</v>
      </c>
      <c r="AK1023" s="2" t="n">
        <v>0</v>
      </c>
      <c r="AL1023" t="inlineStr">
        <is>
          <t>Published</t>
        </is>
      </c>
    </row>
    <row r="1024">
      <c r="A1024">
        <f>HYPERLINK("https://www.walmart.com/ip/1037729777", "1037729777")</f>
        <v/>
      </c>
      <c r="B1024">
        <f>HYPERLINK("https://app.optiwise.ai/catalog/itemdetails/924446", "Kritter Planet Pet Plush Sherpa Blanket Throw Micro Fleece for Animal Dog Cat Puppy Indoor, Outdoor 60 X 50")</f>
        <v/>
      </c>
      <c r="C1024" t="inlineStr">
        <is>
          <t>1KPBF560CHEETAH</t>
        </is>
      </c>
      <c r="D1024" t="inlineStr">
        <is>
          <t>Animal Accessories</t>
        </is>
      </c>
      <c r="E1024" t="inlineStr">
        <is>
          <t>Pet Blankets</t>
        </is>
      </c>
      <c r="F1024" t="inlineStr">
        <is>
          <t>Kritter Planet</t>
        </is>
      </c>
      <c r="G1024" t="n">
        <v>0</v>
      </c>
      <c r="H1024" t="n">
        <v>0</v>
      </c>
      <c r="I1024" t="inlineStr">
        <is>
          <t>Batch 1 - TR</t>
        </is>
      </c>
      <c r="J1024" s="29" t="n">
        <v>0</v>
      </c>
      <c r="K1024" s="30" t="n"/>
      <c r="L1024" s="29" t="n">
        <v>0</v>
      </c>
      <c r="M1024" s="29" t="n">
        <v>0</v>
      </c>
      <c r="N1024" s="2" t="n">
        <v>0</v>
      </c>
      <c r="O1024" s="31" t="n">
        <v>0</v>
      </c>
      <c r="P1024" s="32" t="n"/>
      <c r="Q1024" s="32" t="n">
        <v>0</v>
      </c>
      <c r="R1024" s="32" t="n">
        <v>0</v>
      </c>
      <c r="S1024" s="31" t="n">
        <v>0</v>
      </c>
      <c r="T1024" s="32" t="n">
        <v>0</v>
      </c>
      <c r="U1024" s="31" t="n">
        <v>0</v>
      </c>
      <c r="V1024" s="31" t="n">
        <v>0</v>
      </c>
      <c r="W1024" s="3" t="n">
        <v>0</v>
      </c>
      <c r="X1024" s="3" t="n">
        <v>0</v>
      </c>
      <c r="Y1024" s="32" t="n">
        <v>0</v>
      </c>
      <c r="Z1024" s="3" t="n">
        <v>0</v>
      </c>
      <c r="AA1024" s="32" t="n">
        <v>0</v>
      </c>
      <c r="AB1024" s="3" t="n"/>
      <c r="AC1024" s="31" t="n">
        <v>0</v>
      </c>
      <c r="AD1024" s="2" t="n">
        <v>0</v>
      </c>
      <c r="AE1024" s="2" t="n">
        <v>14</v>
      </c>
      <c r="AF1024" s="4" t="n">
        <v>14</v>
      </c>
      <c r="AG1024" s="33" t="n">
        <v>0</v>
      </c>
      <c r="AH1024" s="4" t="n">
        <v>0</v>
      </c>
      <c r="AI1024" s="34" t="n"/>
      <c r="AJ1024" s="34" t="n">
        <v>0</v>
      </c>
      <c r="AK1024" s="2" t="n">
        <v>0</v>
      </c>
      <c r="AL1024" t="inlineStr">
        <is>
          <t>Published</t>
        </is>
      </c>
    </row>
    <row r="1025">
      <c r="A1025">
        <f>HYPERLINK("https://www.walmart.com/ip/941908441", "941908441")</f>
        <v/>
      </c>
      <c r="B1025">
        <f>HYPERLINK("https://app.optiwise.ai/catalog/itemdetails/418749", "Tirrinia Super Soft Micro Fleece Plush Reversible Sherpa Blanket, 50 x 60, Snow Light Gray")</f>
        <v/>
      </c>
      <c r="C1025" t="inlineStr">
        <is>
          <t>1TRBF321LG-TBGM</t>
        </is>
      </c>
      <c r="D1025" t="inlineStr">
        <is>
          <t>Bedding</t>
        </is>
      </c>
      <c r="E1025" t="inlineStr">
        <is>
          <t>Throws</t>
        </is>
      </c>
      <c r="F1025" t="inlineStr">
        <is>
          <t>Tirrinia</t>
        </is>
      </c>
      <c r="G1025" t="n">
        <v>0</v>
      </c>
      <c r="H1025" t="n">
        <v>0</v>
      </c>
      <c r="I1025" t="inlineStr">
        <is>
          <t>Optimized</t>
        </is>
      </c>
      <c r="J1025" s="29" t="n">
        <v>0</v>
      </c>
      <c r="K1025" s="30" t="n"/>
      <c r="L1025" s="29" t="n">
        <v>0</v>
      </c>
      <c r="M1025" s="29" t="n">
        <v>0</v>
      </c>
      <c r="N1025" s="2" t="n">
        <v>0</v>
      </c>
      <c r="O1025" s="31" t="n">
        <v>0</v>
      </c>
      <c r="P1025" s="32" t="n"/>
      <c r="Q1025" s="32" t="n">
        <v>0</v>
      </c>
      <c r="R1025" s="32" t="n">
        <v>0</v>
      </c>
      <c r="S1025" s="31" t="n">
        <v>0</v>
      </c>
      <c r="T1025" s="32" t="n">
        <v>0</v>
      </c>
      <c r="U1025" s="31" t="n">
        <v>0</v>
      </c>
      <c r="V1025" s="31" t="n">
        <v>0</v>
      </c>
      <c r="W1025" s="3" t="n">
        <v>0</v>
      </c>
      <c r="X1025" s="3" t="n">
        <v>0</v>
      </c>
      <c r="Y1025" s="32" t="n">
        <v>0</v>
      </c>
      <c r="Z1025" s="3" t="n">
        <v>0</v>
      </c>
      <c r="AA1025" s="32" t="n">
        <v>0</v>
      </c>
      <c r="AB1025" s="3" t="n"/>
      <c r="AC1025" s="31" t="n">
        <v>0</v>
      </c>
      <c r="AD1025" s="2" t="n">
        <v>0</v>
      </c>
      <c r="AE1025" s="2" t="n">
        <v>4</v>
      </c>
      <c r="AF1025" s="4" t="n">
        <v>4</v>
      </c>
      <c r="AG1025" s="33" t="n">
        <v>0</v>
      </c>
      <c r="AH1025" s="4" t="n">
        <v>0</v>
      </c>
      <c r="AI1025" s="34" t="n"/>
      <c r="AJ1025" s="34" t="n">
        <v>0</v>
      </c>
      <c r="AK1025" s="2" t="n">
        <v>0</v>
      </c>
      <c r="AL1025" t="inlineStr">
        <is>
          <t>Published</t>
        </is>
      </c>
    </row>
    <row r="1026">
      <c r="A1026">
        <f>HYPERLINK("https://www.walmart.com/ip/1698766704", "1698766704")</f>
        <v/>
      </c>
      <c r="B1026">
        <f>HYPERLINK("https://app.optiwise.ai/catalog/itemdetails/924447", "Kritter Planet Cow Print Dog Throw Blanket, Super Soft Fluffy Sherpa Fleece Dog Couch Blankets and Throws for Large, Medium and Small Dogs and Cats, 60'' x 50''")</f>
        <v/>
      </c>
      <c r="C1026" t="inlineStr">
        <is>
          <t>1KPBF560DMT</t>
        </is>
      </c>
      <c r="D1026" t="inlineStr">
        <is>
          <t>Animal Accessories</t>
        </is>
      </c>
      <c r="E1026" t="inlineStr">
        <is>
          <t>Pet Blankets</t>
        </is>
      </c>
      <c r="F1026" t="inlineStr">
        <is>
          <t>Kritter Planet</t>
        </is>
      </c>
      <c r="G1026" t="n">
        <v>0</v>
      </c>
      <c r="H1026" t="n">
        <v>0</v>
      </c>
      <c r="I1026" t="inlineStr">
        <is>
          <t>Q2-Target,Coupon_Discount,Batch 1 - TR</t>
        </is>
      </c>
      <c r="J1026" s="29" t="n">
        <v>0</v>
      </c>
      <c r="K1026" s="30" t="n"/>
      <c r="L1026" s="29" t="n">
        <v>0</v>
      </c>
      <c r="M1026" s="29" t="n">
        <v>0</v>
      </c>
      <c r="N1026" s="2" t="n">
        <v>0</v>
      </c>
      <c r="O1026" s="31" t="n">
        <v>0</v>
      </c>
      <c r="P1026" s="32" t="n"/>
      <c r="Q1026" s="32" t="n">
        <v>0</v>
      </c>
      <c r="R1026" s="32" t="n">
        <v>0</v>
      </c>
      <c r="S1026" s="31" t="n">
        <v>0</v>
      </c>
      <c r="T1026" s="32" t="n">
        <v>0</v>
      </c>
      <c r="U1026" s="31" t="n">
        <v>0</v>
      </c>
      <c r="V1026" s="31" t="n">
        <v>0</v>
      </c>
      <c r="W1026" s="3" t="n">
        <v>0</v>
      </c>
      <c r="X1026" s="3" t="n">
        <v>0</v>
      </c>
      <c r="Y1026" s="32" t="n">
        <v>0</v>
      </c>
      <c r="Z1026" s="3" t="n">
        <v>0</v>
      </c>
      <c r="AA1026" s="32" t="n">
        <v>0</v>
      </c>
      <c r="AB1026" s="3" t="n"/>
      <c r="AC1026" s="31" t="n">
        <v>0</v>
      </c>
      <c r="AD1026" s="2" t="n">
        <v>0</v>
      </c>
      <c r="AE1026" s="2" t="n">
        <v>2</v>
      </c>
      <c r="AF1026" s="4" t="n">
        <v>2</v>
      </c>
      <c r="AG1026" s="33" t="n">
        <v>0</v>
      </c>
      <c r="AH1026" s="4" t="n">
        <v>0</v>
      </c>
      <c r="AI1026" s="34" t="n"/>
      <c r="AJ1026" s="34" t="n">
        <v>0</v>
      </c>
      <c r="AK1026" s="2" t="n">
        <v>0</v>
      </c>
      <c r="AL1026" t="inlineStr">
        <is>
          <t>Published</t>
        </is>
      </c>
    </row>
    <row r="1027">
      <c r="A1027">
        <f>HYPERLINK("https://www.walmart.com/ip/694252673", "694252673")</f>
        <v/>
      </c>
      <c r="B1027">
        <f>HYPERLINK("https://app.optiwise.ai/catalog/itemdetails/418748", "Tirrinia Reversible Chevron Throw Blanket, 50 x 60, Mocha")</f>
        <v/>
      </c>
      <c r="C1027" t="inlineStr">
        <is>
          <t>1TRBF320MO-TBCB</t>
        </is>
      </c>
      <c r="D1027" t="inlineStr">
        <is>
          <t>Bedding</t>
        </is>
      </c>
      <c r="E1027" t="inlineStr">
        <is>
          <t>Throws</t>
        </is>
      </c>
      <c r="F1027" t="inlineStr">
        <is>
          <t>Tirrinia</t>
        </is>
      </c>
      <c r="G1027" t="n">
        <v>0</v>
      </c>
      <c r="H1027" t="n">
        <v>0</v>
      </c>
      <c r="I1027" t="inlineStr">
        <is>
          <t>Optimized</t>
        </is>
      </c>
      <c r="J1027" s="29" t="n">
        <v>0</v>
      </c>
      <c r="K1027" s="30" t="n"/>
      <c r="L1027" s="29" t="n">
        <v>0</v>
      </c>
      <c r="M1027" s="29" t="n">
        <v>0</v>
      </c>
      <c r="N1027" s="2" t="n">
        <v>0</v>
      </c>
      <c r="O1027" s="31" t="n">
        <v>0</v>
      </c>
      <c r="P1027" s="32" t="n"/>
      <c r="Q1027" s="32" t="n">
        <v>0</v>
      </c>
      <c r="R1027" s="32" t="n">
        <v>0</v>
      </c>
      <c r="S1027" s="31" t="n">
        <v>0</v>
      </c>
      <c r="T1027" s="32" t="n">
        <v>0</v>
      </c>
      <c r="U1027" s="31" t="n">
        <v>0</v>
      </c>
      <c r="V1027" s="31" t="n">
        <v>0</v>
      </c>
      <c r="W1027" s="3" t="n">
        <v>0</v>
      </c>
      <c r="X1027" s="3" t="n">
        <v>0</v>
      </c>
      <c r="Y1027" s="32" t="n">
        <v>0</v>
      </c>
      <c r="Z1027" s="3" t="n">
        <v>0</v>
      </c>
      <c r="AA1027" s="32" t="n">
        <v>0</v>
      </c>
      <c r="AB1027" s="3" t="n"/>
      <c r="AC1027" s="31" t="n">
        <v>0</v>
      </c>
      <c r="AD1027" s="2" t="n">
        <v>0</v>
      </c>
      <c r="AE1027" s="2" t="n">
        <v>3</v>
      </c>
      <c r="AF1027" s="4" t="n">
        <v>3</v>
      </c>
      <c r="AG1027" s="33" t="n">
        <v>0</v>
      </c>
      <c r="AH1027" s="4" t="n">
        <v>0</v>
      </c>
      <c r="AI1027" s="34" t="n"/>
      <c r="AJ1027" s="34" t="n">
        <v>0</v>
      </c>
      <c r="AK1027" s="2" t="n">
        <v>0</v>
      </c>
      <c r="AL1027" t="inlineStr">
        <is>
          <t>Published</t>
        </is>
      </c>
    </row>
    <row r="1028">
      <c r="A1028">
        <f>HYPERLINK("https://www.walmart.com/ip/648820529", "648820529")</f>
        <v/>
      </c>
      <c r="B1028">
        <f>HYPERLINK("https://app.optiwise.ai/catalog/itemdetails/418747", "Tirrinia Comfy Christmas Sherpa Throw Blanket, Red Buffalo Plaid, 50 x 60")</f>
        <v/>
      </c>
      <c r="C1028" t="inlineStr">
        <is>
          <t>1TRBF567PRDGN-TBCB01</t>
        </is>
      </c>
      <c r="D1028" t="inlineStr">
        <is>
          <t>Bedding</t>
        </is>
      </c>
      <c r="E1028" t="inlineStr">
        <is>
          <t>Throws</t>
        </is>
      </c>
      <c r="F1028" t="inlineStr">
        <is>
          <t>Tirrinia</t>
        </is>
      </c>
      <c r="G1028" t="n">
        <v>4.6</v>
      </c>
      <c r="H1028" t="n">
        <v>16</v>
      </c>
      <c r="I1028" t="inlineStr">
        <is>
          <t>Optimized,Coupon_Discount</t>
        </is>
      </c>
      <c r="J1028" s="29" t="n">
        <v>0</v>
      </c>
      <c r="K1028" s="30" t="n"/>
      <c r="L1028" s="29" t="n">
        <v>0</v>
      </c>
      <c r="M1028" s="29" t="n">
        <v>0</v>
      </c>
      <c r="N1028" s="2" t="n">
        <v>0</v>
      </c>
      <c r="O1028" s="31" t="n">
        <v>52.3</v>
      </c>
      <c r="P1028" s="32" t="n">
        <v>0.0063</v>
      </c>
      <c r="Q1028" s="32" t="n">
        <v>0</v>
      </c>
      <c r="R1028" s="32" t="n">
        <v>0</v>
      </c>
      <c r="S1028" s="31" t="n">
        <v>0</v>
      </c>
      <c r="T1028" s="32" t="n">
        <v>0</v>
      </c>
      <c r="U1028" s="31" t="n">
        <v>0</v>
      </c>
      <c r="V1028" s="31" t="n">
        <v>0</v>
      </c>
      <c r="W1028" s="3" t="n">
        <v>130152</v>
      </c>
      <c r="X1028" s="3" t="n">
        <v>126</v>
      </c>
      <c r="Y1028" s="32" t="n">
        <v>0.001</v>
      </c>
      <c r="Z1028" s="3" t="n">
        <v>0</v>
      </c>
      <c r="AA1028" s="32" t="n">
        <v>0</v>
      </c>
      <c r="AB1028" s="3" t="inlineStr">
        <is>
          <t>Throws_Auto_Optiwise_24</t>
        </is>
      </c>
      <c r="AC1028" s="31" t="n">
        <v>0.42</v>
      </c>
      <c r="AD1028" s="2" t="n">
        <v>149</v>
      </c>
      <c r="AE1028" s="2" t="n">
        <v>79</v>
      </c>
      <c r="AF1028" s="4" t="inlineStr">
        <is>
          <t>NA</t>
        </is>
      </c>
      <c r="AG1028" s="33" t="n">
        <v>0</v>
      </c>
      <c r="AH1028" s="4" t="n">
        <v>0</v>
      </c>
      <c r="AI1028" s="34" t="inlineStr">
        <is>
          <t>NA</t>
        </is>
      </c>
      <c r="AJ1028" s="34" t="n">
        <v>0</v>
      </c>
      <c r="AK1028" s="2" t="n">
        <v>0</v>
      </c>
      <c r="AL1028" t="inlineStr">
        <is>
          <t>Published</t>
        </is>
      </c>
    </row>
    <row r="1029">
      <c r="A1029">
        <f>HYPERLINK("https://www.walmart.com/ip/1230759371", "1230759371")</f>
        <v/>
      </c>
      <c r="B1029">
        <f>HYPERLINK("https://app.optiwise.ai/catalog/itemdetails/924448", "Sherpa Throw Blanket Fleece, Super Cozy Warm TV Blankets for Bed or Couch Reversible 60 x 80")</f>
        <v/>
      </c>
      <c r="C1029" t="inlineStr">
        <is>
          <t>1TRBF368XMAS</t>
        </is>
      </c>
      <c r="D1029" t="inlineStr">
        <is>
          <t>Bedding</t>
        </is>
      </c>
      <c r="E1029" t="inlineStr">
        <is>
          <t>Throws</t>
        </is>
      </c>
      <c r="F1029" t="inlineStr">
        <is>
          <t>Tirrinia</t>
        </is>
      </c>
      <c r="G1029" t="n">
        <v>0</v>
      </c>
      <c r="H1029" t="n">
        <v>0</v>
      </c>
      <c r="J1029" s="29" t="n">
        <v>0</v>
      </c>
      <c r="K1029" s="30" t="n"/>
      <c r="L1029" s="29" t="n">
        <v>0</v>
      </c>
      <c r="M1029" s="29" t="n">
        <v>0</v>
      </c>
      <c r="N1029" s="2" t="n">
        <v>0</v>
      </c>
      <c r="O1029" s="31" t="n">
        <v>0</v>
      </c>
      <c r="P1029" s="32" t="n"/>
      <c r="Q1029" s="32" t="n">
        <v>0</v>
      </c>
      <c r="R1029" s="32" t="n">
        <v>0</v>
      </c>
      <c r="S1029" s="31" t="n">
        <v>0</v>
      </c>
      <c r="T1029" s="32" t="n">
        <v>0</v>
      </c>
      <c r="U1029" s="31" t="n">
        <v>0</v>
      </c>
      <c r="V1029" s="31" t="n">
        <v>0</v>
      </c>
      <c r="W1029" s="3" t="n">
        <v>0</v>
      </c>
      <c r="X1029" s="3" t="n">
        <v>0</v>
      </c>
      <c r="Y1029" s="32" t="n">
        <v>0</v>
      </c>
      <c r="Z1029" s="3" t="n">
        <v>0</v>
      </c>
      <c r="AA1029" s="32" t="n">
        <v>0</v>
      </c>
      <c r="AB1029" s="3" t="n"/>
      <c r="AC1029" s="31" t="n">
        <v>0</v>
      </c>
      <c r="AD1029" s="2" t="n">
        <v>0</v>
      </c>
      <c r="AE1029" s="2" t="n">
        <v>21</v>
      </c>
      <c r="AF1029" s="4" t="n">
        <v>21</v>
      </c>
      <c r="AG1029" s="33" t="n">
        <v>0</v>
      </c>
      <c r="AH1029" s="4" t="n">
        <v>0</v>
      </c>
      <c r="AI1029" s="34" t="n"/>
      <c r="AJ1029" s="34" t="n">
        <v>0</v>
      </c>
      <c r="AK1029" s="2" t="n">
        <v>0</v>
      </c>
      <c r="AL1029" t="inlineStr">
        <is>
          <t>Published</t>
        </is>
      </c>
    </row>
    <row r="1030">
      <c r="A1030">
        <f>HYPERLINK("https://www.walmart.com/ip/652262501", "652262501")</f>
        <v/>
      </c>
      <c r="B1030">
        <f>HYPERLINK("https://app.optiwise.ai/catalog/itemdetails/409172", "Catalonia Women’s Sherpa Hoodie Sweatshirt Dress, Casual Snuggle Wearable Blanket Pullover Sweater with Kangaroo Pocket, Warm and Soft, Gift for Her, Black")</f>
        <v/>
      </c>
      <c r="C1030" t="inlineStr">
        <is>
          <t>1CTHD532BK</t>
        </is>
      </c>
      <c r="D1030" t="inlineStr">
        <is>
          <t>Clothing</t>
        </is>
      </c>
      <c r="E1030" t="inlineStr">
        <is>
          <t>Sweatshirts &amp; Hoodies</t>
        </is>
      </c>
      <c r="F1030" t="inlineStr">
        <is>
          <t>Catalonia</t>
        </is>
      </c>
      <c r="G1030" t="n">
        <v>0</v>
      </c>
      <c r="H1030" t="n">
        <v>0</v>
      </c>
      <c r="I1030" t="inlineStr">
        <is>
          <t>Hoodie ForAdult,Optimized,High AUR Items</t>
        </is>
      </c>
      <c r="J1030" s="29" t="n">
        <v>0</v>
      </c>
      <c r="K1030" s="30" t="n"/>
      <c r="L1030" s="29" t="n">
        <v>0</v>
      </c>
      <c r="M1030" s="29" t="n">
        <v>0</v>
      </c>
      <c r="N1030" s="2" t="n">
        <v>0</v>
      </c>
      <c r="O1030" s="31" t="n">
        <v>0</v>
      </c>
      <c r="P1030" s="32" t="n"/>
      <c r="Q1030" s="32" t="n">
        <v>0</v>
      </c>
      <c r="R1030" s="32" t="n">
        <v>0</v>
      </c>
      <c r="S1030" s="31" t="n">
        <v>0</v>
      </c>
      <c r="T1030" s="32" t="n">
        <v>0</v>
      </c>
      <c r="U1030" s="31" t="n">
        <v>0</v>
      </c>
      <c r="V1030" s="31" t="n">
        <v>0</v>
      </c>
      <c r="W1030" s="3" t="n">
        <v>0</v>
      </c>
      <c r="X1030" s="3" t="n">
        <v>0</v>
      </c>
      <c r="Y1030" s="32" t="n">
        <v>0</v>
      </c>
      <c r="Z1030" s="3" t="n">
        <v>0</v>
      </c>
      <c r="AA1030" s="32" t="n">
        <v>0</v>
      </c>
      <c r="AB1030" s="3" t="n"/>
      <c r="AC1030" s="31" t="n">
        <v>0</v>
      </c>
      <c r="AD1030" s="2" t="n">
        <v>0</v>
      </c>
      <c r="AE1030" s="2" t="n">
        <v>21</v>
      </c>
      <c r="AF1030" s="4" t="n">
        <v>21</v>
      </c>
      <c r="AG1030" s="33" t="n">
        <v>0</v>
      </c>
      <c r="AH1030" s="4" t="n">
        <v>0</v>
      </c>
      <c r="AI1030" s="34" t="n"/>
      <c r="AJ1030" s="34" t="n">
        <v>0</v>
      </c>
      <c r="AK1030" s="2" t="n">
        <v>0</v>
      </c>
      <c r="AL1030" t="inlineStr">
        <is>
          <t>Published</t>
        </is>
      </c>
    </row>
    <row r="1031">
      <c r="A1031">
        <f>HYPERLINK("https://www.walmart.com/ip/316882668", "316882668")</f>
        <v/>
      </c>
      <c r="B1031">
        <f>HYPERLINK("https://app.optiwise.ai/catalog/itemdetails/418594", " Tirrinia Sherpa Fleece Throw Blanket, Super Soft Fluffy Sherpa Throw TV Blanket, Decorative Throw Blanket for Bed or Couch, Winter Grove Pattern, 50 x 60")</f>
        <v/>
      </c>
      <c r="C1031" t="inlineStr">
        <is>
          <t>1TRBF571TRIBE-TBCB</t>
        </is>
      </c>
      <c r="D1031" t="inlineStr">
        <is>
          <t>Bedding</t>
        </is>
      </c>
      <c r="E1031" t="inlineStr">
        <is>
          <t>Throws</t>
        </is>
      </c>
      <c r="F1031" t="inlineStr">
        <is>
          <t>Tirrinia</t>
        </is>
      </c>
      <c r="G1031" t="n">
        <v>0</v>
      </c>
      <c r="H1031" t="n">
        <v>0</v>
      </c>
      <c r="I1031" t="inlineStr">
        <is>
          <t>Christmas,Optimized</t>
        </is>
      </c>
      <c r="J1031" s="29" t="n">
        <v>0</v>
      </c>
      <c r="K1031" s="30" t="n"/>
      <c r="L1031" s="29" t="n">
        <v>0</v>
      </c>
      <c r="M1031" s="29" t="n">
        <v>20.98999977111816</v>
      </c>
      <c r="N1031" s="2" t="n">
        <v>0</v>
      </c>
      <c r="O1031" s="31" t="n">
        <v>0</v>
      </c>
      <c r="P1031" s="32" t="n"/>
      <c r="Q1031" s="32" t="n">
        <v>0</v>
      </c>
      <c r="R1031" s="32" t="n">
        <v>0</v>
      </c>
      <c r="S1031" s="31" t="n">
        <v>0</v>
      </c>
      <c r="T1031" s="32" t="n">
        <v>0</v>
      </c>
      <c r="U1031" s="31" t="n">
        <v>0</v>
      </c>
      <c r="V1031" s="31" t="n">
        <v>0</v>
      </c>
      <c r="W1031" s="3" t="n">
        <v>0</v>
      </c>
      <c r="X1031" s="3" t="n">
        <v>0</v>
      </c>
      <c r="Y1031" s="32" t="n">
        <v>0</v>
      </c>
      <c r="Z1031" s="3" t="n">
        <v>0</v>
      </c>
      <c r="AA1031" s="32" t="n">
        <v>0</v>
      </c>
      <c r="AB1031" s="3" t="n"/>
      <c r="AC1031" s="31" t="n">
        <v>0</v>
      </c>
      <c r="AD1031" s="2" t="n">
        <v>0</v>
      </c>
      <c r="AE1031" s="2" t="n">
        <v>3</v>
      </c>
      <c r="AF1031" s="4" t="n">
        <v>3</v>
      </c>
      <c r="AG1031" s="33" t="n">
        <v>0</v>
      </c>
      <c r="AH1031" s="4" t="n">
        <v>0</v>
      </c>
      <c r="AI1031" s="34" t="n"/>
      <c r="AJ1031" s="34" t="n">
        <v>0</v>
      </c>
      <c r="AK1031" s="2" t="n">
        <v>0</v>
      </c>
      <c r="AL1031" t="inlineStr">
        <is>
          <t>Published</t>
        </is>
      </c>
    </row>
    <row r="1032">
      <c r="A1032">
        <f>HYPERLINK("https://www.walmart.com/ip/1721643716", "1721643716")</f>
        <v/>
      </c>
      <c r="B1032">
        <f>HYPERLINK("https://app.optiwise.ai/catalog/itemdetails/924449", "Kritter Planet Pet Plush Sherpa Blanket Throw Micro Fleece for Animal Dog Cat Puppy Indoor, Outdoor 60 X 50")</f>
        <v/>
      </c>
      <c r="C1032" t="inlineStr">
        <is>
          <t>1KPBF560GYLT</t>
        </is>
      </c>
      <c r="D1032" t="inlineStr">
        <is>
          <t>Animal Accessories</t>
        </is>
      </c>
      <c r="E1032" t="inlineStr">
        <is>
          <t>Pet Blankets</t>
        </is>
      </c>
      <c r="F1032" t="inlineStr">
        <is>
          <t>Kritter Planet</t>
        </is>
      </c>
      <c r="G1032" t="n">
        <v>0</v>
      </c>
      <c r="H1032" t="n">
        <v>0</v>
      </c>
      <c r="I1032" t="inlineStr">
        <is>
          <t>Batch 1 - TR</t>
        </is>
      </c>
      <c r="J1032" s="29" t="n">
        <v>0</v>
      </c>
      <c r="K1032" s="30" t="n"/>
      <c r="L1032" s="29" t="n">
        <v>0</v>
      </c>
      <c r="M1032" s="29" t="n">
        <v>0</v>
      </c>
      <c r="N1032" s="2" t="n">
        <v>0</v>
      </c>
      <c r="O1032" s="31" t="n">
        <v>0</v>
      </c>
      <c r="P1032" s="32" t="n"/>
      <c r="Q1032" s="32" t="n">
        <v>0</v>
      </c>
      <c r="R1032" s="32" t="n">
        <v>0</v>
      </c>
      <c r="S1032" s="31" t="n">
        <v>0</v>
      </c>
      <c r="T1032" s="32" t="n">
        <v>0</v>
      </c>
      <c r="U1032" s="31" t="n">
        <v>0</v>
      </c>
      <c r="V1032" s="31" t="n">
        <v>0</v>
      </c>
      <c r="W1032" s="3" t="n">
        <v>0</v>
      </c>
      <c r="X1032" s="3" t="n">
        <v>0</v>
      </c>
      <c r="Y1032" s="32" t="n">
        <v>0</v>
      </c>
      <c r="Z1032" s="3" t="n">
        <v>0</v>
      </c>
      <c r="AA1032" s="32" t="n">
        <v>0</v>
      </c>
      <c r="AB1032" s="3" t="n"/>
      <c r="AC1032" s="31" t="n">
        <v>0</v>
      </c>
      <c r="AD1032" s="2" t="n">
        <v>0</v>
      </c>
      <c r="AE1032" s="2" t="n">
        <v>25</v>
      </c>
      <c r="AF1032" s="4" t="n">
        <v>25</v>
      </c>
      <c r="AG1032" s="33" t="n">
        <v>0</v>
      </c>
      <c r="AH1032" s="4" t="n">
        <v>0</v>
      </c>
      <c r="AI1032" s="34" t="n"/>
      <c r="AJ1032" s="34" t="n">
        <v>0</v>
      </c>
      <c r="AK1032" s="2" t="n">
        <v>0</v>
      </c>
      <c r="AL1032" t="inlineStr">
        <is>
          <t>Published</t>
        </is>
      </c>
    </row>
    <row r="1033">
      <c r="A1033">
        <f>HYPERLINK("https://www.walmart.com/ip/1145889350", "1145889350")</f>
        <v/>
      </c>
      <c r="B1033">
        <f>HYPERLINK("https://app.optiwise.ai/catalog/itemdetails/787775", "Tirrinia Neon Hunting Orange Safety Cap Closure")</f>
        <v/>
      </c>
      <c r="C1033" t="inlineStr">
        <is>
          <t>1TRHT7121NEON-12pcs</t>
        </is>
      </c>
      <c r="D1033" t="inlineStr">
        <is>
          <t>Clothing</t>
        </is>
      </c>
      <c r="E1033" t="inlineStr">
        <is>
          <t>Hats</t>
        </is>
      </c>
      <c r="F1033" t="inlineStr">
        <is>
          <t>Tirrinia</t>
        </is>
      </c>
      <c r="G1033" t="n">
        <v>0</v>
      </c>
      <c r="H1033" t="n">
        <v>0</v>
      </c>
      <c r="I1033" t="inlineStr">
        <is>
          <t>Batch 1 - TR</t>
        </is>
      </c>
      <c r="J1033" s="29" t="n">
        <v>0</v>
      </c>
      <c r="K1033" s="30" t="n"/>
      <c r="L1033" s="29" t="n">
        <v>0</v>
      </c>
      <c r="M1033" s="29" t="n">
        <v>0</v>
      </c>
      <c r="N1033" s="2" t="n">
        <v>0</v>
      </c>
      <c r="O1033" s="31" t="n">
        <v>0</v>
      </c>
      <c r="P1033" s="32" t="n"/>
      <c r="Q1033" s="32" t="n">
        <v>0</v>
      </c>
      <c r="R1033" s="32" t="n">
        <v>0</v>
      </c>
      <c r="S1033" s="31" t="n">
        <v>0</v>
      </c>
      <c r="T1033" s="32" t="n">
        <v>0</v>
      </c>
      <c r="U1033" s="31" t="n">
        <v>0</v>
      </c>
      <c r="V1033" s="31" t="n">
        <v>0</v>
      </c>
      <c r="W1033" s="3" t="n">
        <v>0</v>
      </c>
      <c r="X1033" s="3" t="n">
        <v>0</v>
      </c>
      <c r="Y1033" s="32" t="n">
        <v>0</v>
      </c>
      <c r="Z1033" s="3" t="n">
        <v>0</v>
      </c>
      <c r="AA1033" s="32" t="n">
        <v>0</v>
      </c>
      <c r="AB1033" s="3" t="n"/>
      <c r="AC1033" s="31" t="n">
        <v>0</v>
      </c>
      <c r="AD1033" s="2" t="n">
        <v>0</v>
      </c>
      <c r="AE1033" s="2" t="n">
        <v>10</v>
      </c>
      <c r="AF1033" s="4" t="n">
        <v>10</v>
      </c>
      <c r="AG1033" s="33" t="n">
        <v>0</v>
      </c>
      <c r="AH1033" s="4" t="n">
        <v>0</v>
      </c>
      <c r="AI1033" s="34" t="n"/>
      <c r="AJ1033" s="34" t="n">
        <v>0</v>
      </c>
      <c r="AK1033" s="2" t="n">
        <v>0</v>
      </c>
      <c r="AL1033" t="inlineStr">
        <is>
          <t>Published</t>
        </is>
      </c>
    </row>
    <row r="1034">
      <c r="A1034">
        <f>HYPERLINK("https://www.walmart.com/ip/507968761", "507968761")</f>
        <v/>
      </c>
      <c r="B1034">
        <f>HYPERLINK("https://app.optiwise.ai/catalog/itemdetails/358710", "Woman Hoodie Sweatshirt Poncho, Casual Batwing Cape Wrap Coat, Pullover Wearable Blanket")</f>
        <v/>
      </c>
      <c r="C1034" t="inlineStr">
        <is>
          <t>1WMHD540S1BK</t>
        </is>
      </c>
      <c r="D1034" t="inlineStr">
        <is>
          <t>Clothing</t>
        </is>
      </c>
      <c r="E1034" t="inlineStr">
        <is>
          <t>Sweatshirts &amp; Hoodies</t>
        </is>
      </c>
      <c r="F1034" t="inlineStr">
        <is>
          <t>Flyingstar</t>
        </is>
      </c>
      <c r="G1034" t="n">
        <v>4</v>
      </c>
      <c r="H1034" t="n">
        <v>4</v>
      </c>
      <c r="I1034" t="inlineStr">
        <is>
          <t>Hoodie ForAdult,Optimized</t>
        </is>
      </c>
      <c r="J1034" s="29" t="n">
        <v>0</v>
      </c>
      <c r="K1034" s="30" t="n"/>
      <c r="L1034" s="29" t="n">
        <v>0</v>
      </c>
      <c r="M1034" s="29" t="n">
        <v>0</v>
      </c>
      <c r="N1034" s="2" t="n">
        <v>0</v>
      </c>
      <c r="O1034" s="31" t="n">
        <v>28.45</v>
      </c>
      <c r="P1034" s="32" t="n">
        <v>0.0034</v>
      </c>
      <c r="Q1034" s="32" t="n">
        <v>0</v>
      </c>
      <c r="R1034" s="32" t="n">
        <v>0.4065</v>
      </c>
      <c r="S1034" s="31" t="n">
        <v>1.02</v>
      </c>
      <c r="T1034" s="32" t="n">
        <v>0.98</v>
      </c>
      <c r="U1034" s="31" t="n">
        <v>28.98</v>
      </c>
      <c r="V1034" s="31" t="n">
        <v>14.99</v>
      </c>
      <c r="W1034" s="3" t="n">
        <v>22215</v>
      </c>
      <c r="X1034" s="3" t="n">
        <v>77</v>
      </c>
      <c r="Y1034" s="32" t="n">
        <v>0.0035</v>
      </c>
      <c r="Z1034" s="3" t="n">
        <v>2</v>
      </c>
      <c r="AA1034" s="32" t="n">
        <v>0.026</v>
      </c>
      <c r="AB1034" s="3" t="inlineStr">
        <is>
          <t>Hoodies_Auto</t>
        </is>
      </c>
      <c r="AC1034" s="31" t="n">
        <v>0.37</v>
      </c>
      <c r="AD1034" s="2" t="n">
        <v>19</v>
      </c>
      <c r="AE1034" s="2" t="n">
        <v>44</v>
      </c>
      <c r="AF1034" s="4" t="inlineStr">
        <is>
          <t>NA</t>
        </is>
      </c>
      <c r="AG1034" s="33" t="n">
        <v>-28.98</v>
      </c>
      <c r="AH1034" s="4" t="n">
        <v>-2</v>
      </c>
      <c r="AI1034" s="34" t="inlineStr">
        <is>
          <t>NA</t>
        </is>
      </c>
      <c r="AJ1034" s="34" t="n">
        <v>0</v>
      </c>
      <c r="AK1034" s="2" t="n">
        <v>0</v>
      </c>
      <c r="AL1034" t="inlineStr">
        <is>
          <t>Published</t>
        </is>
      </c>
    </row>
    <row r="1035">
      <c r="A1035">
        <f>HYPERLINK("https://www.walmart.com/ip/1453878306", "1453878306")</f>
        <v/>
      </c>
      <c r="B1035">
        <f>HYPERLINK("https://app.optiwise.ai/catalog/itemdetails/4386015", "Catalonia Oversized Hoodie Blanket with Zipper, Wearable Sherpa Sweatshirt Pullover, Soft Warm Comfortable Jacket for Adults Men Women, Dalmatian")</f>
        <v/>
      </c>
      <c r="C1035" t="inlineStr">
        <is>
          <t>1CTHD220DMT</t>
        </is>
      </c>
      <c r="D1035" t="inlineStr">
        <is>
          <t>Clothing</t>
        </is>
      </c>
      <c r="E1035" t="inlineStr">
        <is>
          <t>Throws</t>
        </is>
      </c>
      <c r="F1035" t="inlineStr">
        <is>
          <t>Catalonia</t>
        </is>
      </c>
      <c r="G1035" t="n">
        <v>0</v>
      </c>
      <c r="H1035" t="n">
        <v>0</v>
      </c>
      <c r="I1035" t="inlineStr">
        <is>
          <t>Coupon_Discount,Batch 1 - TR</t>
        </is>
      </c>
      <c r="J1035" s="29" t="n">
        <v>0</v>
      </c>
      <c r="K1035" s="30" t="n"/>
      <c r="L1035" s="29" t="n">
        <v>0</v>
      </c>
      <c r="M1035" s="29" t="n">
        <v>0</v>
      </c>
      <c r="N1035" s="2" t="n">
        <v>0</v>
      </c>
      <c r="O1035" s="31" t="n">
        <v>0</v>
      </c>
      <c r="P1035" s="32" t="n"/>
      <c r="Q1035" s="32" t="n">
        <v>0</v>
      </c>
      <c r="R1035" s="32" t="n">
        <v>0.1011</v>
      </c>
      <c r="S1035" s="31" t="n">
        <v>0</v>
      </c>
      <c r="T1035" s="32" t="n">
        <v>0</v>
      </c>
      <c r="U1035" s="31" t="n">
        <v>0</v>
      </c>
      <c r="V1035" s="31" t="n">
        <v>0</v>
      </c>
      <c r="W1035" s="3" t="n">
        <v>0</v>
      </c>
      <c r="X1035" s="3" t="n">
        <v>0</v>
      </c>
      <c r="Y1035" s="32" t="n">
        <v>0</v>
      </c>
      <c r="Z1035" s="3" t="n">
        <v>0</v>
      </c>
      <c r="AA1035" s="32" t="n">
        <v>0</v>
      </c>
      <c r="AB1035" s="3" t="n"/>
      <c r="AC1035" s="31" t="n">
        <v>0</v>
      </c>
      <c r="AD1035" s="2" t="n">
        <v>0</v>
      </c>
      <c r="AE1035" s="2" t="n">
        <v>36</v>
      </c>
      <c r="AF1035" s="4" t="n">
        <v>36</v>
      </c>
      <c r="AG1035" s="33" t="n">
        <v>0</v>
      </c>
      <c r="AH1035" s="4" t="n">
        <v>0</v>
      </c>
      <c r="AI1035" s="34" t="n"/>
      <c r="AJ1035" s="34" t="n">
        <v>0</v>
      </c>
      <c r="AK1035" s="2" t="n">
        <v>0</v>
      </c>
      <c r="AL1035" t="inlineStr">
        <is>
          <t>Published</t>
        </is>
      </c>
    </row>
    <row r="1036">
      <c r="A1036">
        <f>HYPERLINK("https://www.walmart.com/ip/14514615100", "14514615100")</f>
        <v/>
      </c>
      <c r="B1036">
        <f>HYPERLINK("https://app.optiwise.ai/catalog/itemdetails/13057984", "Tirrinia Oversized Blanket Hoodie Sweatshirts, Wearable Fluffy Fleece Plush Blanket, Lightweight Cozy Sweatshirt Blanket Gift for Women Men, Gray")</f>
        <v/>
      </c>
      <c r="C1036" t="inlineStr">
        <is>
          <t>1TROSH360BL-FS</t>
        </is>
      </c>
      <c r="D1036" t="inlineStr">
        <is>
          <t>Clothing</t>
        </is>
      </c>
      <c r="E1036" t="inlineStr">
        <is>
          <t>Sweatshirts &amp; Hoodies</t>
        </is>
      </c>
      <c r="F1036" t="inlineStr">
        <is>
          <t>Tirrinia</t>
        </is>
      </c>
      <c r="G1036" t="n">
        <v>0</v>
      </c>
      <c r="H1036" t="n">
        <v>0</v>
      </c>
      <c r="J1036" s="29" t="n">
        <v>0</v>
      </c>
      <c r="K1036" s="30" t="n"/>
      <c r="L1036" s="29" t="n">
        <v>0</v>
      </c>
      <c r="M1036" s="29" t="n">
        <v>0</v>
      </c>
      <c r="N1036" s="2" t="n">
        <v>0</v>
      </c>
      <c r="O1036" s="31" t="n">
        <v>0</v>
      </c>
      <c r="P1036" s="32" t="n"/>
      <c r="Q1036" s="32" t="n">
        <v>0</v>
      </c>
      <c r="R1036" s="32" t="n">
        <v>0</v>
      </c>
      <c r="S1036" s="31" t="n">
        <v>0</v>
      </c>
      <c r="T1036" s="32" t="n">
        <v>0</v>
      </c>
      <c r="U1036" s="31" t="n">
        <v>0</v>
      </c>
      <c r="V1036" s="31" t="n">
        <v>0</v>
      </c>
      <c r="W1036" s="3" t="n">
        <v>0</v>
      </c>
      <c r="X1036" s="3" t="n">
        <v>0</v>
      </c>
      <c r="Y1036" s="32" t="n">
        <v>0</v>
      </c>
      <c r="Z1036" s="3" t="n">
        <v>0</v>
      </c>
      <c r="AA1036" s="32" t="n">
        <v>0</v>
      </c>
      <c r="AB1036" s="3" t="n"/>
      <c r="AC1036" s="31" t="n">
        <v>0</v>
      </c>
      <c r="AD1036" s="2" t="n">
        <v>0</v>
      </c>
      <c r="AE1036" s="2" t="n">
        <v>8</v>
      </c>
      <c r="AF1036" s="4" t="n">
        <v>8</v>
      </c>
      <c r="AG1036" s="33" t="n">
        <v>0</v>
      </c>
      <c r="AH1036" s="4" t="n">
        <v>0</v>
      </c>
      <c r="AI1036" s="34" t="n"/>
      <c r="AJ1036" s="34" t="n">
        <v>0</v>
      </c>
      <c r="AK1036" s="2" t="n">
        <v>0</v>
      </c>
      <c r="AL1036" t="inlineStr">
        <is>
          <t>Published</t>
        </is>
      </c>
    </row>
    <row r="1037">
      <c r="A1037">
        <f>HYPERLINK("https://www.walmart.com/ip/14477216504", "14477216504")</f>
        <v/>
      </c>
      <c r="B1037">
        <f>HYPERLINK("https://app.optiwise.ai/catalog/itemdetails/13059080", "PEANUTS Toddler Boys Girls Snoopy Family Matching Pajamas Sleepwear 2-Piece Sets for Christmas with Woodstock Charlie Brown Linus (Red Polka Dot, 4T)")</f>
        <v/>
      </c>
      <c r="C1037" t="inlineStr">
        <is>
          <t>PEA-PJS-FAMILY-TODDLER-RED-4T</t>
        </is>
      </c>
      <c r="D1037" t="inlineStr">
        <is>
          <t>Clothing</t>
        </is>
      </c>
      <c r="E1037" t="inlineStr">
        <is>
          <t>Pajamas</t>
        </is>
      </c>
      <c r="F1037" t="inlineStr">
        <is>
          <t>Peanuts</t>
        </is>
      </c>
      <c r="G1037" t="n">
        <v>0</v>
      </c>
      <c r="H1037" t="n">
        <v>0</v>
      </c>
      <c r="J1037" s="29" t="n">
        <v>0</v>
      </c>
      <c r="K1037" s="30" t="n"/>
      <c r="L1037" s="29" t="n">
        <v>0</v>
      </c>
      <c r="M1037" s="29" t="n">
        <v>0</v>
      </c>
      <c r="N1037" s="2" t="n">
        <v>0</v>
      </c>
      <c r="O1037" s="31" t="n">
        <v>0</v>
      </c>
      <c r="P1037" s="32" t="n"/>
      <c r="Q1037" s="32" t="n">
        <v>0</v>
      </c>
      <c r="R1037" s="32" t="n">
        <v>0</v>
      </c>
      <c r="S1037" s="31" t="n">
        <v>0</v>
      </c>
      <c r="T1037" s="32" t="n">
        <v>0</v>
      </c>
      <c r="U1037" s="31" t="n">
        <v>0</v>
      </c>
      <c r="V1037" s="31" t="n">
        <v>0</v>
      </c>
      <c r="W1037" s="3" t="n">
        <v>0</v>
      </c>
      <c r="X1037" s="3" t="n">
        <v>0</v>
      </c>
      <c r="Y1037" s="32" t="n">
        <v>0</v>
      </c>
      <c r="Z1037" s="3" t="n">
        <v>0</v>
      </c>
      <c r="AA1037" s="32" t="n">
        <v>0</v>
      </c>
      <c r="AB1037" s="3" t="n"/>
      <c r="AC1037" s="31" t="n">
        <v>0</v>
      </c>
      <c r="AD1037" s="2" t="n">
        <v>0</v>
      </c>
      <c r="AE1037" s="2" t="n">
        <v>0</v>
      </c>
      <c r="AF1037" s="4" t="n">
        <v>0</v>
      </c>
      <c r="AG1037" s="33" t="n">
        <v>0</v>
      </c>
      <c r="AH1037" s="4" t="n">
        <v>0</v>
      </c>
      <c r="AI1037" s="34" t="n"/>
      <c r="AJ1037" s="34" t="n">
        <v>0</v>
      </c>
      <c r="AK1037" s="2" t="n">
        <v>0</v>
      </c>
      <c r="AL1037" t="inlineStr">
        <is>
          <t>Published</t>
        </is>
      </c>
    </row>
    <row r="1038">
      <c r="A1038">
        <f>HYPERLINK("https://www.walmart.com/ip/10297918357", "10297918357")</f>
        <v/>
      </c>
      <c r="B1038">
        <f>HYPERLINK("https://app.optiwise.ai/catalog/itemdetails/13059078", "PEANUTS Womens 100% Cotton Family Matching Pajamas Holiday Festive Nightwear Sleepwear 2-Piece Sets for Christmas Gifts (Red Polka Dot, M)")</f>
        <v/>
      </c>
      <c r="C1038" t="inlineStr">
        <is>
          <t>PEA-PJS-FAMILY-WOMEN-RED-M</t>
        </is>
      </c>
      <c r="D1038" t="inlineStr">
        <is>
          <t>Clothing</t>
        </is>
      </c>
      <c r="E1038" t="inlineStr">
        <is>
          <t>Pajamas</t>
        </is>
      </c>
      <c r="F1038" t="inlineStr">
        <is>
          <t>Peanuts</t>
        </is>
      </c>
      <c r="G1038" t="n">
        <v>4.5</v>
      </c>
      <c r="H1038" t="n">
        <v>0</v>
      </c>
      <c r="J1038" s="29" t="n">
        <v>0</v>
      </c>
      <c r="K1038" s="30" t="n"/>
      <c r="L1038" s="29" t="n">
        <v>0</v>
      </c>
      <c r="M1038" s="29" t="n">
        <v>0</v>
      </c>
      <c r="N1038" s="2" t="n">
        <v>0</v>
      </c>
      <c r="O1038" s="31" t="n">
        <v>0</v>
      </c>
      <c r="P1038" s="32" t="n"/>
      <c r="Q1038" s="32" t="n">
        <v>0</v>
      </c>
      <c r="R1038" s="32" t="n">
        <v>0</v>
      </c>
      <c r="S1038" s="31" t="n">
        <v>0</v>
      </c>
      <c r="T1038" s="32" t="n">
        <v>0</v>
      </c>
      <c r="U1038" s="31" t="n">
        <v>0</v>
      </c>
      <c r="V1038" s="31" t="n">
        <v>0</v>
      </c>
      <c r="W1038" s="3" t="n">
        <v>0</v>
      </c>
      <c r="X1038" s="3" t="n">
        <v>0</v>
      </c>
      <c r="Y1038" s="32" t="n">
        <v>0</v>
      </c>
      <c r="Z1038" s="3" t="n">
        <v>0</v>
      </c>
      <c r="AA1038" s="32" t="n">
        <v>0</v>
      </c>
      <c r="AB1038" s="3" t="n"/>
      <c r="AC1038" s="31" t="n">
        <v>0</v>
      </c>
      <c r="AD1038" s="2" t="n">
        <v>0</v>
      </c>
      <c r="AE1038" s="2" t="n">
        <v>0</v>
      </c>
      <c r="AF1038" s="4" t="n">
        <v>0</v>
      </c>
      <c r="AG1038" s="33" t="n">
        <v>0</v>
      </c>
      <c r="AH1038" s="4" t="n">
        <v>0</v>
      </c>
      <c r="AI1038" s="34" t="n"/>
      <c r="AJ1038" s="34" t="n">
        <v>0</v>
      </c>
      <c r="AK1038" s="2" t="n">
        <v>0</v>
      </c>
      <c r="AL1038" t="inlineStr">
        <is>
          <t>Published</t>
        </is>
      </c>
    </row>
    <row r="1039">
      <c r="A1039">
        <f>HYPERLINK("https://www.walmart.com/ip/5384805046", "5384805046")</f>
        <v/>
      </c>
      <c r="B1039">
        <f>HYPERLINK("https://app.optiwise.ai/catalog/itemdetails/13059077", "PEANUTS Womens 100% Cotton Family Matching Pajamas Holiday Festive Nightwear Sleepwear 2-Piece Sets for Christmas Gifts (Black Plaid, M)")</f>
        <v/>
      </c>
      <c r="C1039" t="inlineStr">
        <is>
          <t>PEA-PJS-FAMILY-WOMEN-BLACKPLAID-M</t>
        </is>
      </c>
      <c r="D1039" t="inlineStr">
        <is>
          <t>Clothing</t>
        </is>
      </c>
      <c r="E1039" t="inlineStr">
        <is>
          <t>Pajamas</t>
        </is>
      </c>
      <c r="F1039" t="inlineStr">
        <is>
          <t>Peanuts</t>
        </is>
      </c>
      <c r="G1039" t="n">
        <v>0</v>
      </c>
      <c r="H1039" t="n">
        <v>0</v>
      </c>
      <c r="J1039" s="29" t="n">
        <v>0</v>
      </c>
      <c r="K1039" s="30" t="n"/>
      <c r="L1039" s="29" t="n">
        <v>0</v>
      </c>
      <c r="M1039" s="29" t="n">
        <v>0</v>
      </c>
      <c r="N1039" s="2" t="n">
        <v>0</v>
      </c>
      <c r="O1039" s="31" t="n">
        <v>0</v>
      </c>
      <c r="P1039" s="32" t="n"/>
      <c r="Q1039" s="32" t="n">
        <v>0</v>
      </c>
      <c r="R1039" s="32" t="n">
        <v>0</v>
      </c>
      <c r="S1039" s="31" t="n">
        <v>0</v>
      </c>
      <c r="T1039" s="32" t="n">
        <v>0</v>
      </c>
      <c r="U1039" s="31" t="n">
        <v>0</v>
      </c>
      <c r="V1039" s="31" t="n">
        <v>0</v>
      </c>
      <c r="W1039" s="3" t="n">
        <v>0</v>
      </c>
      <c r="X1039" s="3" t="n">
        <v>0</v>
      </c>
      <c r="Y1039" s="32" t="n">
        <v>0</v>
      </c>
      <c r="Z1039" s="3" t="n">
        <v>0</v>
      </c>
      <c r="AA1039" s="32" t="n">
        <v>0</v>
      </c>
      <c r="AB1039" s="3" t="n"/>
      <c r="AC1039" s="31" t="n">
        <v>0</v>
      </c>
      <c r="AD1039" s="2" t="n">
        <v>0</v>
      </c>
      <c r="AE1039" s="2" t="n">
        <v>0</v>
      </c>
      <c r="AF1039" s="4" t="n">
        <v>0</v>
      </c>
      <c r="AG1039" s="33" t="n">
        <v>0</v>
      </c>
      <c r="AH1039" s="4" t="n">
        <v>0</v>
      </c>
      <c r="AI1039" s="34" t="n"/>
      <c r="AJ1039" s="34" t="n">
        <v>0</v>
      </c>
      <c r="AK1039" s="2" t="n">
        <v>0</v>
      </c>
      <c r="AL1039" t="inlineStr">
        <is>
          <t>Published</t>
        </is>
      </c>
    </row>
    <row r="1040">
      <c r="A1040">
        <f>HYPERLINK("https://www.walmart.com/ip/14491120088", "14491120088")</f>
        <v/>
      </c>
      <c r="B1040">
        <f>HYPERLINK("https://app.optiwise.ai/catalog/itemdetails/13058359", "Tirrinia Womens' Hoodie Blanket Sweatshirt, Oversized Comfortable Fleece Giant Wearable Blankets, Hoodie Blanket for Men, Gift for Her Him, Red Solid")</f>
        <v/>
      </c>
      <c r="C1040" t="inlineStr">
        <is>
          <t>1TROSH400WN-FS</t>
        </is>
      </c>
      <c r="D1040" t="inlineStr">
        <is>
          <t>Clothing</t>
        </is>
      </c>
      <c r="E1040" t="inlineStr">
        <is>
          <t>Sweatshirts &amp; Hoodies</t>
        </is>
      </c>
      <c r="F1040" t="inlineStr">
        <is>
          <t>Tirrinia</t>
        </is>
      </c>
      <c r="G1040" t="n">
        <v>0</v>
      </c>
      <c r="H1040" t="n">
        <v>0</v>
      </c>
      <c r="J1040" s="29" t="n">
        <v>0</v>
      </c>
      <c r="K1040" s="30" t="n"/>
      <c r="L1040" s="29" t="n">
        <v>0</v>
      </c>
      <c r="M1040" s="29" t="n">
        <v>0</v>
      </c>
      <c r="N1040" s="2" t="n">
        <v>0</v>
      </c>
      <c r="O1040" s="31" t="n">
        <v>0</v>
      </c>
      <c r="P1040" s="32" t="n"/>
      <c r="Q1040" s="32" t="n">
        <v>0</v>
      </c>
      <c r="R1040" s="32" t="n">
        <v>0</v>
      </c>
      <c r="S1040" s="31" t="n">
        <v>0</v>
      </c>
      <c r="T1040" s="32" t="n">
        <v>0</v>
      </c>
      <c r="U1040" s="31" t="n">
        <v>0</v>
      </c>
      <c r="V1040" s="31" t="n">
        <v>0</v>
      </c>
      <c r="W1040" s="3" t="n">
        <v>0</v>
      </c>
      <c r="X1040" s="3" t="n">
        <v>0</v>
      </c>
      <c r="Y1040" s="32" t="n">
        <v>0</v>
      </c>
      <c r="Z1040" s="3" t="n">
        <v>0</v>
      </c>
      <c r="AA1040" s="32" t="n">
        <v>0</v>
      </c>
      <c r="AB1040" s="3" t="n"/>
      <c r="AC1040" s="31" t="n">
        <v>0</v>
      </c>
      <c r="AD1040" s="2" t="n">
        <v>0</v>
      </c>
      <c r="AE1040" s="2" t="n">
        <v>2</v>
      </c>
      <c r="AF1040" s="4" t="n">
        <v>2</v>
      </c>
      <c r="AG1040" s="33" t="n">
        <v>0</v>
      </c>
      <c r="AH1040" s="4" t="n">
        <v>0</v>
      </c>
      <c r="AI1040" s="34" t="n"/>
      <c r="AJ1040" s="34" t="n">
        <v>0</v>
      </c>
      <c r="AK1040" s="2" t="n">
        <v>0</v>
      </c>
      <c r="AL1040" t="inlineStr">
        <is>
          <t>Published</t>
        </is>
      </c>
    </row>
    <row r="1041">
      <c r="A1041">
        <f>HYPERLINK("https://www.walmart.com/ip/14488058718", "14488058718")</f>
        <v/>
      </c>
      <c r="B1041">
        <f>HYPERLINK("https://app.optiwise.ai/catalog/itemdetails/13058261", "Aeropostale  Backpack for School, College, and Travel， Water Resistant Bookbag")</f>
        <v/>
      </c>
      <c r="C1041" t="inlineStr">
        <is>
          <t>1AEBPK92079BK</t>
        </is>
      </c>
      <c r="D1041" t="inlineStr">
        <is>
          <t>Cases &amp; Bags</t>
        </is>
      </c>
      <c r="E1041" t="inlineStr">
        <is>
          <t>Backpacks</t>
        </is>
      </c>
      <c r="F1041" t="inlineStr">
        <is>
          <t>Aeropostale</t>
        </is>
      </c>
      <c r="G1041" t="n">
        <v>0</v>
      </c>
      <c r="H1041" t="n">
        <v>0</v>
      </c>
      <c r="J1041" s="29" t="n">
        <v>0</v>
      </c>
      <c r="K1041" s="30" t="n"/>
      <c r="L1041" s="29" t="n">
        <v>0</v>
      </c>
      <c r="M1041" s="29" t="n">
        <v>0</v>
      </c>
      <c r="N1041" s="2" t="n">
        <v>0</v>
      </c>
      <c r="O1041" s="31" t="n">
        <v>0</v>
      </c>
      <c r="P1041" s="32" t="n"/>
      <c r="Q1041" s="32" t="n">
        <v>0</v>
      </c>
      <c r="R1041" s="32" t="n">
        <v>0</v>
      </c>
      <c r="S1041" s="31" t="n">
        <v>0</v>
      </c>
      <c r="T1041" s="32" t="n">
        <v>0</v>
      </c>
      <c r="U1041" s="31" t="n">
        <v>0</v>
      </c>
      <c r="V1041" s="31" t="n">
        <v>0</v>
      </c>
      <c r="W1041" s="3" t="n">
        <v>0</v>
      </c>
      <c r="X1041" s="3" t="n">
        <v>0</v>
      </c>
      <c r="Y1041" s="32" t="n">
        <v>0</v>
      </c>
      <c r="Z1041" s="3" t="n">
        <v>0</v>
      </c>
      <c r="AA1041" s="32" t="n">
        <v>0</v>
      </c>
      <c r="AB1041" s="3" t="n"/>
      <c r="AC1041" s="31" t="n">
        <v>0</v>
      </c>
      <c r="AD1041" s="2" t="n">
        <v>0</v>
      </c>
      <c r="AE1041" s="2" t="n">
        <v>14</v>
      </c>
      <c r="AF1041" s="4" t="n">
        <v>14</v>
      </c>
      <c r="AG1041" s="33" t="n">
        <v>0</v>
      </c>
      <c r="AH1041" s="4" t="n">
        <v>0</v>
      </c>
      <c r="AI1041" s="34" t="n"/>
      <c r="AJ1041" s="34" t="n">
        <v>0</v>
      </c>
      <c r="AK1041" s="2" t="n">
        <v>0</v>
      </c>
      <c r="AL1041" t="inlineStr">
        <is>
          <t>Published</t>
        </is>
      </c>
    </row>
    <row r="1042">
      <c r="A1042">
        <f>HYPERLINK("https://www.walmart.com/ip/14505655144", "14505655144")</f>
        <v/>
      </c>
      <c r="B1042">
        <f>HYPERLINK("https://app.optiwise.ai/catalog/itemdetails/13057990", "Womens Oversized Flannel Blanket Hoodie Sweatshirt, Plush Fleece Lined Lounging Pullover, Christmas Gift for Women (Cheetah) - Catalonia")</f>
        <v/>
      </c>
      <c r="C1042" t="inlineStr">
        <is>
          <t>1CTOSH400CHEETAH-FS</t>
        </is>
      </c>
      <c r="D1042" t="inlineStr">
        <is>
          <t>Clothing</t>
        </is>
      </c>
      <c r="E1042" t="inlineStr">
        <is>
          <t>Sweatshirts &amp; Hoodies</t>
        </is>
      </c>
      <c r="F1042" t="inlineStr">
        <is>
          <t>Catalonia</t>
        </is>
      </c>
      <c r="G1042" t="n">
        <v>0</v>
      </c>
      <c r="H1042" t="n">
        <v>0</v>
      </c>
      <c r="J1042" s="29" t="n">
        <v>0</v>
      </c>
      <c r="K1042" s="30" t="n"/>
      <c r="L1042" s="29" t="n">
        <v>0</v>
      </c>
      <c r="M1042" s="29" t="n">
        <v>0</v>
      </c>
      <c r="N1042" s="2" t="n">
        <v>0</v>
      </c>
      <c r="O1042" s="31" t="n">
        <v>0</v>
      </c>
      <c r="P1042" s="32" t="n"/>
      <c r="Q1042" s="32" t="n">
        <v>0</v>
      </c>
      <c r="R1042" s="32" t="n">
        <v>0</v>
      </c>
      <c r="S1042" s="31" t="n">
        <v>0</v>
      </c>
      <c r="T1042" s="32" t="n">
        <v>0</v>
      </c>
      <c r="U1042" s="31" t="n">
        <v>0</v>
      </c>
      <c r="V1042" s="31" t="n">
        <v>0</v>
      </c>
      <c r="W1042" s="3" t="n">
        <v>0</v>
      </c>
      <c r="X1042" s="3" t="n">
        <v>0</v>
      </c>
      <c r="Y1042" s="32" t="n">
        <v>0</v>
      </c>
      <c r="Z1042" s="3" t="n">
        <v>0</v>
      </c>
      <c r="AA1042" s="32" t="n">
        <v>0</v>
      </c>
      <c r="AB1042" s="3" t="n"/>
      <c r="AC1042" s="31" t="n">
        <v>0</v>
      </c>
      <c r="AD1042" s="2" t="n">
        <v>0</v>
      </c>
      <c r="AE1042" s="2" t="n">
        <v>11</v>
      </c>
      <c r="AF1042" s="4" t="n">
        <v>11</v>
      </c>
      <c r="AG1042" s="33" t="n">
        <v>0</v>
      </c>
      <c r="AH1042" s="4" t="n">
        <v>0</v>
      </c>
      <c r="AI1042" s="34" t="n"/>
      <c r="AJ1042" s="34" t="n">
        <v>0</v>
      </c>
      <c r="AK1042" s="2" t="n">
        <v>0</v>
      </c>
      <c r="AL1042" t="inlineStr">
        <is>
          <t>Published</t>
        </is>
      </c>
    </row>
    <row r="1043">
      <c r="A1043">
        <f>HYPERLINK("https://www.walmart.com/ip/14505655140", "14505655140")</f>
        <v/>
      </c>
      <c r="B1043">
        <f>HYPERLINK("https://app.optiwise.ai/catalog/itemdetails/13057989", "Catalonia Blanket Hoodie for Kids, Oversized Wearable Fleece Sweatshirt Pullover for 7-16 yr Teens Youth, Kids Gift Idea, Pink Dot")</f>
        <v/>
      </c>
      <c r="C1043" t="inlineStr">
        <is>
          <t>1CTOSH401PKDOT-FS</t>
        </is>
      </c>
      <c r="D1043" t="inlineStr">
        <is>
          <t>Clothing</t>
        </is>
      </c>
      <c r="E1043" t="inlineStr">
        <is>
          <t>Sweatshirts &amp; Hoodies</t>
        </is>
      </c>
      <c r="F1043" t="inlineStr">
        <is>
          <t>Catalonia</t>
        </is>
      </c>
      <c r="G1043" t="n">
        <v>0</v>
      </c>
      <c r="H1043" t="n">
        <v>0</v>
      </c>
      <c r="J1043" s="29" t="n">
        <v>0</v>
      </c>
      <c r="K1043" s="30" t="n"/>
      <c r="L1043" s="29" t="n">
        <v>0</v>
      </c>
      <c r="M1043" s="29" t="n">
        <v>0</v>
      </c>
      <c r="N1043" s="2" t="n">
        <v>0</v>
      </c>
      <c r="O1043" s="31" t="n">
        <v>0</v>
      </c>
      <c r="P1043" s="32" t="n"/>
      <c r="Q1043" s="32" t="n">
        <v>0</v>
      </c>
      <c r="R1043" s="32" t="n">
        <v>0</v>
      </c>
      <c r="S1043" s="31" t="n">
        <v>0</v>
      </c>
      <c r="T1043" s="32" t="n">
        <v>0</v>
      </c>
      <c r="U1043" s="31" t="n">
        <v>0</v>
      </c>
      <c r="V1043" s="31" t="n">
        <v>0</v>
      </c>
      <c r="W1043" s="3" t="n">
        <v>0</v>
      </c>
      <c r="X1043" s="3" t="n">
        <v>0</v>
      </c>
      <c r="Y1043" s="32" t="n">
        <v>0</v>
      </c>
      <c r="Z1043" s="3" t="n">
        <v>0</v>
      </c>
      <c r="AA1043" s="32" t="n">
        <v>0</v>
      </c>
      <c r="AB1043" s="3" t="n"/>
      <c r="AC1043" s="31" t="n">
        <v>0</v>
      </c>
      <c r="AD1043" s="2" t="n">
        <v>0</v>
      </c>
      <c r="AE1043" s="2" t="n">
        <v>7</v>
      </c>
      <c r="AF1043" s="4" t="n">
        <v>7</v>
      </c>
      <c r="AG1043" s="33" t="n">
        <v>0</v>
      </c>
      <c r="AH1043" s="4" t="n">
        <v>0</v>
      </c>
      <c r="AI1043" s="34" t="n"/>
      <c r="AJ1043" s="34" t="n">
        <v>0</v>
      </c>
      <c r="AK1043" s="2" t="n">
        <v>0</v>
      </c>
      <c r="AL1043" t="inlineStr">
        <is>
          <t>Published</t>
        </is>
      </c>
    </row>
    <row r="1044">
      <c r="A1044">
        <f>HYPERLINK("https://www.walmart.com/ip/14505610982", "14505610982")</f>
        <v/>
      </c>
      <c r="B1044">
        <f>HYPERLINK("https://app.optiwise.ai/catalog/itemdetails/13057988", "Womens Oversized Flannel Blanket Hoodie Sweatshirt, Plush Fleece Lined Lounging Pullover, Christmas Gift for Women (Black) - Catalonia")</f>
        <v/>
      </c>
      <c r="C1044" t="inlineStr">
        <is>
          <t>1CTOSH310S1PK-FS</t>
        </is>
      </c>
      <c r="D1044" t="inlineStr">
        <is>
          <t>Clothing</t>
        </is>
      </c>
      <c r="E1044" t="inlineStr">
        <is>
          <t>Sweatshirts &amp; Hoodies</t>
        </is>
      </c>
      <c r="F1044" t="inlineStr">
        <is>
          <t>Catalonia</t>
        </is>
      </c>
      <c r="G1044" t="n">
        <v>0</v>
      </c>
      <c r="H1044" t="n">
        <v>0</v>
      </c>
      <c r="J1044" s="29" t="n">
        <v>0</v>
      </c>
      <c r="K1044" s="30" t="n"/>
      <c r="L1044" s="29" t="n">
        <v>0</v>
      </c>
      <c r="M1044" s="29" t="n">
        <v>0</v>
      </c>
      <c r="N1044" s="2" t="n">
        <v>0</v>
      </c>
      <c r="O1044" s="31" t="n">
        <v>0</v>
      </c>
      <c r="P1044" s="32" t="n"/>
      <c r="Q1044" s="32" t="n">
        <v>0</v>
      </c>
      <c r="R1044" s="32" t="n">
        <v>0</v>
      </c>
      <c r="S1044" s="31" t="n">
        <v>0</v>
      </c>
      <c r="T1044" s="32" t="n">
        <v>0</v>
      </c>
      <c r="U1044" s="31" t="n">
        <v>0</v>
      </c>
      <c r="V1044" s="31" t="n">
        <v>0</v>
      </c>
      <c r="W1044" s="3" t="n">
        <v>0</v>
      </c>
      <c r="X1044" s="3" t="n">
        <v>0</v>
      </c>
      <c r="Y1044" s="32" t="n">
        <v>0</v>
      </c>
      <c r="Z1044" s="3" t="n">
        <v>0</v>
      </c>
      <c r="AA1044" s="32" t="n">
        <v>0</v>
      </c>
      <c r="AB1044" s="3" t="n"/>
      <c r="AC1044" s="31" t="n">
        <v>0</v>
      </c>
      <c r="AD1044" s="2" t="n">
        <v>0</v>
      </c>
      <c r="AE1044" s="2" t="n">
        <v>2</v>
      </c>
      <c r="AF1044" s="4" t="n">
        <v>2</v>
      </c>
      <c r="AG1044" s="33" t="n">
        <v>0</v>
      </c>
      <c r="AH1044" s="4" t="n">
        <v>0</v>
      </c>
      <c r="AI1044" s="34" t="n"/>
      <c r="AJ1044" s="34" t="n">
        <v>0</v>
      </c>
      <c r="AK1044" s="2" t="n">
        <v>0</v>
      </c>
      <c r="AL1044" t="inlineStr">
        <is>
          <t>Published</t>
        </is>
      </c>
    </row>
    <row r="1045">
      <c r="A1045">
        <f>HYPERLINK("https://www.walmart.com/ip/14505610242", "14505610242")</f>
        <v/>
      </c>
      <c r="B1045">
        <f>HYPERLINK("https://app.optiwise.ai/catalog/itemdetails/13057987", "Catalonia Women's Hoodie Sweatshirt, Casual Pullover Sweater with front Pocket, Womens Fall Winter Clothing, Blanket Hoodie Sweatshirt, Cotton Candy")</f>
        <v/>
      </c>
      <c r="C1045" t="inlineStr">
        <is>
          <t>1CTOSH300S1COTTONCANDY-FS</t>
        </is>
      </c>
      <c r="D1045" t="inlineStr">
        <is>
          <t>Clothing</t>
        </is>
      </c>
      <c r="E1045" t="inlineStr">
        <is>
          <t>Sweatshirts &amp; Hoodies</t>
        </is>
      </c>
      <c r="F1045" t="inlineStr">
        <is>
          <t>Catalonia</t>
        </is>
      </c>
      <c r="G1045" t="n">
        <v>0</v>
      </c>
      <c r="H1045" t="n">
        <v>0</v>
      </c>
      <c r="J1045" s="29" t="n">
        <v>0</v>
      </c>
      <c r="K1045" s="30" t="n"/>
      <c r="L1045" s="29" t="n">
        <v>0</v>
      </c>
      <c r="M1045" s="29" t="n">
        <v>0</v>
      </c>
      <c r="N1045" s="2" t="n">
        <v>0</v>
      </c>
      <c r="O1045" s="31" t="n">
        <v>0</v>
      </c>
      <c r="P1045" s="32" t="n"/>
      <c r="Q1045" s="32" t="n">
        <v>0</v>
      </c>
      <c r="R1045" s="32" t="n">
        <v>0</v>
      </c>
      <c r="S1045" s="31" t="n">
        <v>0</v>
      </c>
      <c r="T1045" s="32" t="n">
        <v>0</v>
      </c>
      <c r="U1045" s="31" t="n">
        <v>0</v>
      </c>
      <c r="V1045" s="31" t="n">
        <v>0</v>
      </c>
      <c r="W1045" s="3" t="n">
        <v>0</v>
      </c>
      <c r="X1045" s="3" t="n">
        <v>0</v>
      </c>
      <c r="Y1045" s="32" t="n">
        <v>0</v>
      </c>
      <c r="Z1045" s="3" t="n">
        <v>0</v>
      </c>
      <c r="AA1045" s="32" t="n">
        <v>0</v>
      </c>
      <c r="AB1045" s="3" t="n"/>
      <c r="AC1045" s="31" t="n">
        <v>0</v>
      </c>
      <c r="AD1045" s="2" t="n">
        <v>0</v>
      </c>
      <c r="AE1045" s="2" t="n">
        <v>4</v>
      </c>
      <c r="AF1045" s="4" t="n">
        <v>4</v>
      </c>
      <c r="AG1045" s="33" t="n">
        <v>0</v>
      </c>
      <c r="AH1045" s="4" t="n">
        <v>0</v>
      </c>
      <c r="AI1045" s="34" t="n"/>
      <c r="AJ1045" s="34" t="n">
        <v>0</v>
      </c>
      <c r="AK1045" s="2" t="n">
        <v>0</v>
      </c>
      <c r="AL1045" t="inlineStr">
        <is>
          <t>Published</t>
        </is>
      </c>
    </row>
    <row r="1046">
      <c r="A1046">
        <f>HYPERLINK("https://www.walmart.com/ip/14488814816", "14488814816")</f>
        <v/>
      </c>
      <c r="B1046">
        <f>HYPERLINK("https://app.optiwise.ai/catalog/itemdetails/13057986", "Catalonia Womens' Full Body Blanket Hoodie Sweatshirt, Extra Long Wearable Fleece Pullover, Gift for Adult Men Women Wife Girlfriend, Pink")</f>
        <v/>
      </c>
      <c r="C1046" t="inlineStr">
        <is>
          <t>1CTOSH310S1AQ-FS</t>
        </is>
      </c>
      <c r="D1046" t="inlineStr">
        <is>
          <t>Clothing</t>
        </is>
      </c>
      <c r="E1046" t="inlineStr">
        <is>
          <t>Sweatshirts &amp; Hoodies</t>
        </is>
      </c>
      <c r="F1046" t="inlineStr">
        <is>
          <t>Catalonia</t>
        </is>
      </c>
      <c r="G1046" t="n">
        <v>0</v>
      </c>
      <c r="H1046" t="n">
        <v>0</v>
      </c>
      <c r="J1046" s="29" t="n">
        <v>0</v>
      </c>
      <c r="K1046" s="30" t="n"/>
      <c r="L1046" s="29" t="n">
        <v>0</v>
      </c>
      <c r="M1046" s="29" t="n">
        <v>0</v>
      </c>
      <c r="N1046" s="2" t="n">
        <v>0</v>
      </c>
      <c r="O1046" s="31" t="n">
        <v>0</v>
      </c>
      <c r="P1046" s="32" t="n"/>
      <c r="Q1046" s="32" t="n">
        <v>0</v>
      </c>
      <c r="R1046" s="32" t="n">
        <v>0</v>
      </c>
      <c r="S1046" s="31" t="n">
        <v>0</v>
      </c>
      <c r="T1046" s="32" t="n">
        <v>0</v>
      </c>
      <c r="U1046" s="31" t="n">
        <v>0</v>
      </c>
      <c r="V1046" s="31" t="n">
        <v>0</v>
      </c>
      <c r="W1046" s="3" t="n">
        <v>0</v>
      </c>
      <c r="X1046" s="3" t="n">
        <v>0</v>
      </c>
      <c r="Y1046" s="32" t="n">
        <v>0</v>
      </c>
      <c r="Z1046" s="3" t="n">
        <v>0</v>
      </c>
      <c r="AA1046" s="32" t="n">
        <v>0</v>
      </c>
      <c r="AB1046" s="3" t="n"/>
      <c r="AC1046" s="31" t="n">
        <v>0</v>
      </c>
      <c r="AD1046" s="2" t="n">
        <v>0</v>
      </c>
      <c r="AE1046" s="2" t="n">
        <v>8</v>
      </c>
      <c r="AF1046" s="4" t="n">
        <v>8</v>
      </c>
      <c r="AG1046" s="33" t="n">
        <v>0</v>
      </c>
      <c r="AH1046" s="4" t="n">
        <v>0</v>
      </c>
      <c r="AI1046" s="34" t="n"/>
      <c r="AJ1046" s="34" t="n">
        <v>0</v>
      </c>
      <c r="AK1046" s="2" t="n">
        <v>0</v>
      </c>
      <c r="AL1046" t="inlineStr">
        <is>
          <t>Published</t>
        </is>
      </c>
    </row>
    <row r="1047">
      <c r="A1047">
        <f>HYPERLINK("https://www.walmart.com/ip/14486513723", "14486513723")</f>
        <v/>
      </c>
      <c r="B1047">
        <f>HYPERLINK("https://app.optiwise.ai/catalog/itemdetails/13057985", "Catalonia Womens' Full Body Blanket Hoodie Sweatshirt, Extra Long Wearable Fleece Pullover, Gift for Adult Men Women Wife Girlfriend, Purple")</f>
        <v/>
      </c>
      <c r="C1047" t="inlineStr">
        <is>
          <t>1CTOSH310S1PP-FS</t>
        </is>
      </c>
      <c r="D1047" t="inlineStr">
        <is>
          <t>Clothing</t>
        </is>
      </c>
      <c r="E1047" t="inlineStr">
        <is>
          <t>Sweatshirts &amp; Hoodies</t>
        </is>
      </c>
      <c r="F1047" t="inlineStr">
        <is>
          <t>Catalonia</t>
        </is>
      </c>
      <c r="G1047" t="n">
        <v>0</v>
      </c>
      <c r="H1047" t="n">
        <v>0</v>
      </c>
      <c r="J1047" s="29" t="n">
        <v>0</v>
      </c>
      <c r="K1047" s="30" t="n"/>
      <c r="L1047" s="29" t="n">
        <v>0</v>
      </c>
      <c r="M1047" s="29" t="n">
        <v>0</v>
      </c>
      <c r="N1047" s="2" t="n">
        <v>0</v>
      </c>
      <c r="O1047" s="31" t="n">
        <v>0</v>
      </c>
      <c r="P1047" s="32" t="n"/>
      <c r="Q1047" s="32" t="n">
        <v>0</v>
      </c>
      <c r="R1047" s="32" t="n">
        <v>0</v>
      </c>
      <c r="S1047" s="31" t="n">
        <v>0</v>
      </c>
      <c r="T1047" s="32" t="n">
        <v>0</v>
      </c>
      <c r="U1047" s="31" t="n">
        <v>0</v>
      </c>
      <c r="V1047" s="31" t="n">
        <v>0</v>
      </c>
      <c r="W1047" s="3" t="n">
        <v>0</v>
      </c>
      <c r="X1047" s="3" t="n">
        <v>0</v>
      </c>
      <c r="Y1047" s="32" t="n">
        <v>0</v>
      </c>
      <c r="Z1047" s="3" t="n">
        <v>0</v>
      </c>
      <c r="AA1047" s="32" t="n">
        <v>0</v>
      </c>
      <c r="AB1047" s="3" t="n"/>
      <c r="AC1047" s="31" t="n">
        <v>0</v>
      </c>
      <c r="AD1047" s="2" t="n">
        <v>0</v>
      </c>
      <c r="AE1047" s="2" t="n">
        <v>3</v>
      </c>
      <c r="AF1047" s="4" t="n">
        <v>3</v>
      </c>
      <c r="AG1047" s="33" t="n">
        <v>0</v>
      </c>
      <c r="AH1047" s="4" t="n">
        <v>0</v>
      </c>
      <c r="AI1047" s="34" t="n"/>
      <c r="AJ1047" s="34" t="n">
        <v>0</v>
      </c>
      <c r="AK1047" s="2" t="n">
        <v>0</v>
      </c>
      <c r="AL1047" t="inlineStr">
        <is>
          <t>Published</t>
        </is>
      </c>
    </row>
    <row r="1048">
      <c r="A1048">
        <f>HYPERLINK("https://www.walmart.com/ip/14505655960", "14505655960")</f>
        <v/>
      </c>
      <c r="B1048">
        <f>HYPERLINK("https://app.optiwise.ai/catalog/itemdetails/13057983", "Ultra Long Fleece Blanket Hoodie Sweatshirt for Mens Womens, Full Body Warm Lounging Pullover, Southwestern Aztec - Catalonia")</f>
        <v/>
      </c>
      <c r="C1048" t="inlineStr">
        <is>
          <t>1CTOSH310SW-FS</t>
        </is>
      </c>
      <c r="D1048" t="inlineStr">
        <is>
          <t>Clothing</t>
        </is>
      </c>
      <c r="E1048" t="inlineStr">
        <is>
          <t>Sweatshirts &amp; Hoodies</t>
        </is>
      </c>
      <c r="F1048" t="inlineStr">
        <is>
          <t>Catalonia</t>
        </is>
      </c>
      <c r="G1048" t="n">
        <v>0</v>
      </c>
      <c r="H1048" t="n">
        <v>0</v>
      </c>
      <c r="J1048" s="29" t="n">
        <v>0</v>
      </c>
      <c r="K1048" s="30" t="n"/>
      <c r="L1048" s="29" t="n">
        <v>0</v>
      </c>
      <c r="M1048" s="29" t="n">
        <v>0</v>
      </c>
      <c r="N1048" s="2" t="n">
        <v>0</v>
      </c>
      <c r="O1048" s="31" t="n">
        <v>0</v>
      </c>
      <c r="P1048" s="32" t="n"/>
      <c r="Q1048" s="32" t="n">
        <v>0</v>
      </c>
      <c r="R1048" s="32" t="n">
        <v>0</v>
      </c>
      <c r="S1048" s="31" t="n">
        <v>0</v>
      </c>
      <c r="T1048" s="32" t="n">
        <v>0</v>
      </c>
      <c r="U1048" s="31" t="n">
        <v>0</v>
      </c>
      <c r="V1048" s="31" t="n">
        <v>0</v>
      </c>
      <c r="W1048" s="3" t="n">
        <v>0</v>
      </c>
      <c r="X1048" s="3" t="n">
        <v>0</v>
      </c>
      <c r="Y1048" s="32" t="n">
        <v>0</v>
      </c>
      <c r="Z1048" s="3" t="n">
        <v>0</v>
      </c>
      <c r="AA1048" s="32" t="n">
        <v>0</v>
      </c>
      <c r="AB1048" s="3" t="n"/>
      <c r="AC1048" s="31" t="n">
        <v>0</v>
      </c>
      <c r="AD1048" s="2" t="n">
        <v>0</v>
      </c>
      <c r="AE1048" s="2" t="n">
        <v>3</v>
      </c>
      <c r="AF1048" s="4" t="n">
        <v>3</v>
      </c>
      <c r="AG1048" s="33" t="n">
        <v>0</v>
      </c>
      <c r="AH1048" s="4" t="n">
        <v>0</v>
      </c>
      <c r="AI1048" s="34" t="n"/>
      <c r="AJ1048" s="34" t="n">
        <v>0</v>
      </c>
      <c r="AK1048" s="2" t="n">
        <v>0</v>
      </c>
      <c r="AL1048" t="inlineStr">
        <is>
          <t>Published</t>
        </is>
      </c>
    </row>
    <row r="1049">
      <c r="A1049">
        <f>HYPERLINK("https://www.walmart.com/ip/14510259690", "14510259690")</f>
        <v/>
      </c>
      <c r="B1049">
        <f>HYPERLINK("https://app.optiwise.ai/catalog/itemdetails/13059083", "PEANUTS Snoopy 100% Cotton Family Matching Pajamas Holiday 2-Piece Sets for Christmas with Woodstock Charlie Brown Linus for Baby (Red Polka Dot, 12M)")</f>
        <v/>
      </c>
      <c r="C1049" t="inlineStr">
        <is>
          <t>PEA-PJS-FAMILY-INFANT-RED-12M</t>
        </is>
      </c>
      <c r="D1049" t="inlineStr">
        <is>
          <t>Clothing</t>
        </is>
      </c>
      <c r="E1049" t="inlineStr">
        <is>
          <t>Pajamas</t>
        </is>
      </c>
      <c r="F1049" t="inlineStr">
        <is>
          <t>Peanuts</t>
        </is>
      </c>
      <c r="G1049" t="n">
        <v>0</v>
      </c>
      <c r="H1049" t="n">
        <v>0</v>
      </c>
      <c r="J1049" s="29" t="n">
        <v>0</v>
      </c>
      <c r="K1049" s="30" t="n"/>
      <c r="L1049" s="29" t="n">
        <v>0</v>
      </c>
      <c r="M1049" s="29" t="n">
        <v>0</v>
      </c>
      <c r="N1049" s="2" t="n">
        <v>0</v>
      </c>
      <c r="O1049" s="31" t="n">
        <v>0</v>
      </c>
      <c r="P1049" s="32" t="n"/>
      <c r="Q1049" s="32" t="n">
        <v>0</v>
      </c>
      <c r="R1049" s="32" t="n">
        <v>0</v>
      </c>
      <c r="S1049" s="31" t="n">
        <v>0</v>
      </c>
      <c r="T1049" s="32" t="n">
        <v>0</v>
      </c>
      <c r="U1049" s="31" t="n">
        <v>0</v>
      </c>
      <c r="V1049" s="31" t="n">
        <v>0</v>
      </c>
      <c r="W1049" s="3" t="n">
        <v>0</v>
      </c>
      <c r="X1049" s="3" t="n">
        <v>0</v>
      </c>
      <c r="Y1049" s="32" t="n">
        <v>0</v>
      </c>
      <c r="Z1049" s="3" t="n">
        <v>0</v>
      </c>
      <c r="AA1049" s="32" t="n">
        <v>0</v>
      </c>
      <c r="AB1049" s="3" t="n"/>
      <c r="AC1049" s="31" t="n">
        <v>0</v>
      </c>
      <c r="AD1049" s="2" t="n">
        <v>0</v>
      </c>
      <c r="AE1049" s="2" t="n">
        <v>0</v>
      </c>
      <c r="AF1049" s="4" t="n">
        <v>0</v>
      </c>
      <c r="AG1049" s="33" t="n">
        <v>0</v>
      </c>
      <c r="AH1049" s="4" t="n">
        <v>0</v>
      </c>
      <c r="AI1049" s="34" t="n"/>
      <c r="AJ1049" s="34" t="n">
        <v>0</v>
      </c>
      <c r="AK1049" s="2" t="n">
        <v>0</v>
      </c>
      <c r="AL1049" t="inlineStr">
        <is>
          <t>Published</t>
        </is>
      </c>
    </row>
    <row r="1050">
      <c r="A1050">
        <f>HYPERLINK("https://www.walmart.com/ip/14500306112", "14500306112")</f>
        <v/>
      </c>
      <c r="B1050">
        <f>HYPERLINK("https://app.optiwise.ai/catalog/itemdetails/13057982", "Catalonia Blanket Hoodie for Kids, Oversized Wearable Fleece Sweatshirt Pullover for 7-16 yr Teens Youth, Kids Gift Idea, Sea Blue")</f>
        <v/>
      </c>
      <c r="C1050" t="inlineStr">
        <is>
          <t>1CTOSH400P2RD-FS</t>
        </is>
      </c>
      <c r="D1050" t="inlineStr">
        <is>
          <t>Clothing</t>
        </is>
      </c>
      <c r="E1050" t="inlineStr">
        <is>
          <t>Sweatshirts &amp; Hoodies</t>
        </is>
      </c>
      <c r="F1050" t="inlineStr">
        <is>
          <t>Catalonia</t>
        </is>
      </c>
      <c r="G1050" t="n">
        <v>0</v>
      </c>
      <c r="H1050" t="n">
        <v>0</v>
      </c>
      <c r="J1050" s="29" t="n">
        <v>0</v>
      </c>
      <c r="K1050" s="30" t="n"/>
      <c r="L1050" s="29" t="n">
        <v>0</v>
      </c>
      <c r="M1050" s="29" t="n">
        <v>0</v>
      </c>
      <c r="N1050" s="2" t="n">
        <v>0</v>
      </c>
      <c r="O1050" s="31" t="n">
        <v>0</v>
      </c>
      <c r="P1050" s="32" t="n"/>
      <c r="Q1050" s="32" t="n">
        <v>0</v>
      </c>
      <c r="R1050" s="32" t="n">
        <v>0</v>
      </c>
      <c r="S1050" s="31" t="n">
        <v>0</v>
      </c>
      <c r="T1050" s="32" t="n">
        <v>0</v>
      </c>
      <c r="U1050" s="31" t="n">
        <v>0</v>
      </c>
      <c r="V1050" s="31" t="n">
        <v>0</v>
      </c>
      <c r="W1050" s="3" t="n">
        <v>0</v>
      </c>
      <c r="X1050" s="3" t="n">
        <v>0</v>
      </c>
      <c r="Y1050" s="32" t="n">
        <v>0</v>
      </c>
      <c r="Z1050" s="3" t="n">
        <v>0</v>
      </c>
      <c r="AA1050" s="32" t="n">
        <v>0</v>
      </c>
      <c r="AB1050" s="3" t="n"/>
      <c r="AC1050" s="31" t="n">
        <v>0</v>
      </c>
      <c r="AD1050" s="2" t="n">
        <v>0</v>
      </c>
      <c r="AE1050" s="2" t="n">
        <v>2</v>
      </c>
      <c r="AF1050" s="4" t="n">
        <v>2</v>
      </c>
      <c r="AG1050" s="33" t="n">
        <v>0</v>
      </c>
      <c r="AH1050" s="4" t="n">
        <v>0</v>
      </c>
      <c r="AI1050" s="34" t="n"/>
      <c r="AJ1050" s="34" t="n">
        <v>0</v>
      </c>
      <c r="AK1050" s="2" t="n">
        <v>0</v>
      </c>
      <c r="AL1050" t="inlineStr">
        <is>
          <t>Published</t>
        </is>
      </c>
    </row>
    <row r="1051">
      <c r="A1051">
        <f>HYPERLINK("https://www.walmart.com/ip/14489068821", "14489068821")</f>
        <v/>
      </c>
      <c r="B1051">
        <f>HYPERLINK("https://app.optiwise.ai/catalog/itemdetails/13057981", "Tirrinia Womens' Hoodie Blanket Sweatshirt, Oversized Comfortable Fleece Giant Wearable Blankets, Hoodie Blanket for Men, Gift for Her Him, Latte")</f>
        <v/>
      </c>
      <c r="C1051" t="inlineStr">
        <is>
          <t>1TROSH400LT-FS</t>
        </is>
      </c>
      <c r="D1051" t="inlineStr">
        <is>
          <t>Clothing</t>
        </is>
      </c>
      <c r="E1051" t="inlineStr">
        <is>
          <t>Sweatshirts &amp; Hoodies</t>
        </is>
      </c>
      <c r="F1051" t="inlineStr">
        <is>
          <t>Tirrinia</t>
        </is>
      </c>
      <c r="G1051" t="n">
        <v>0</v>
      </c>
      <c r="H1051" t="n">
        <v>0</v>
      </c>
      <c r="J1051" s="29" t="n">
        <v>0</v>
      </c>
      <c r="K1051" s="30" t="n"/>
      <c r="L1051" s="29" t="n">
        <v>0</v>
      </c>
      <c r="M1051" s="29" t="n">
        <v>0</v>
      </c>
      <c r="N1051" s="2" t="n">
        <v>0</v>
      </c>
      <c r="O1051" s="31" t="n">
        <v>0</v>
      </c>
      <c r="P1051" s="32" t="n"/>
      <c r="Q1051" s="32" t="n">
        <v>0</v>
      </c>
      <c r="R1051" s="32" t="n">
        <v>0</v>
      </c>
      <c r="S1051" s="31" t="n">
        <v>0</v>
      </c>
      <c r="T1051" s="32" t="n">
        <v>0</v>
      </c>
      <c r="U1051" s="31" t="n">
        <v>0</v>
      </c>
      <c r="V1051" s="31" t="n">
        <v>0</v>
      </c>
      <c r="W1051" s="3" t="n">
        <v>0</v>
      </c>
      <c r="X1051" s="3" t="n">
        <v>0</v>
      </c>
      <c r="Y1051" s="32" t="n">
        <v>0</v>
      </c>
      <c r="Z1051" s="3" t="n">
        <v>0</v>
      </c>
      <c r="AA1051" s="32" t="n">
        <v>0</v>
      </c>
      <c r="AB1051" s="3" t="n"/>
      <c r="AC1051" s="31" t="n">
        <v>0</v>
      </c>
      <c r="AD1051" s="2" t="n">
        <v>0</v>
      </c>
      <c r="AE1051" s="2" t="n">
        <v>2</v>
      </c>
      <c r="AF1051" s="4" t="n">
        <v>2</v>
      </c>
      <c r="AG1051" s="33" t="n">
        <v>0</v>
      </c>
      <c r="AH1051" s="4" t="n">
        <v>0</v>
      </c>
      <c r="AI1051" s="34" t="n"/>
      <c r="AJ1051" s="34" t="n">
        <v>0</v>
      </c>
      <c r="AK1051" s="2" t="n">
        <v>0</v>
      </c>
      <c r="AL1051" t="inlineStr">
        <is>
          <t>Published</t>
        </is>
      </c>
    </row>
    <row r="1052">
      <c r="A1052">
        <f>HYPERLINK("https://www.walmart.com/ip/14488914614", "14488914614")</f>
        <v/>
      </c>
      <c r="B1052">
        <f>HYPERLINK("https://app.optiwise.ai/catalog/itemdetails/13057980", "Womens Oversized Flannel Blanket Hoodie Sweatshirt, Plush Fleece Lined Lounging Pullover, Christmas Gift for Women (Dark Red) - Catalonia")</f>
        <v/>
      </c>
      <c r="C1052" t="inlineStr">
        <is>
          <t>1CTOSH400WN-FS</t>
        </is>
      </c>
      <c r="D1052" t="inlineStr">
        <is>
          <t>Clothing</t>
        </is>
      </c>
      <c r="E1052" t="inlineStr">
        <is>
          <t>Sweatshirts &amp; Hoodies</t>
        </is>
      </c>
      <c r="F1052" t="inlineStr">
        <is>
          <t>Catalonia</t>
        </is>
      </c>
      <c r="G1052" t="n">
        <v>0</v>
      </c>
      <c r="H1052" t="n">
        <v>0</v>
      </c>
      <c r="J1052" s="29" t="n">
        <v>0</v>
      </c>
      <c r="K1052" s="30" t="n"/>
      <c r="L1052" s="29" t="n">
        <v>0</v>
      </c>
      <c r="M1052" s="29" t="n">
        <v>0</v>
      </c>
      <c r="N1052" s="2" t="n">
        <v>0</v>
      </c>
      <c r="O1052" s="31" t="n">
        <v>0</v>
      </c>
      <c r="P1052" s="32" t="n"/>
      <c r="Q1052" s="32" t="n">
        <v>0</v>
      </c>
      <c r="R1052" s="32" t="n">
        <v>0</v>
      </c>
      <c r="S1052" s="31" t="n">
        <v>0</v>
      </c>
      <c r="T1052" s="32" t="n">
        <v>0</v>
      </c>
      <c r="U1052" s="31" t="n">
        <v>0</v>
      </c>
      <c r="V1052" s="31" t="n">
        <v>0</v>
      </c>
      <c r="W1052" s="3" t="n">
        <v>0</v>
      </c>
      <c r="X1052" s="3" t="n">
        <v>0</v>
      </c>
      <c r="Y1052" s="32" t="n">
        <v>0</v>
      </c>
      <c r="Z1052" s="3" t="n">
        <v>0</v>
      </c>
      <c r="AA1052" s="32" t="n">
        <v>0</v>
      </c>
      <c r="AB1052" s="3" t="n"/>
      <c r="AC1052" s="31" t="n">
        <v>0</v>
      </c>
      <c r="AD1052" s="2" t="n">
        <v>0</v>
      </c>
      <c r="AE1052" s="2" t="n">
        <v>2</v>
      </c>
      <c r="AF1052" s="4" t="n">
        <v>2</v>
      </c>
      <c r="AG1052" s="33" t="n">
        <v>0</v>
      </c>
      <c r="AH1052" s="4" t="n">
        <v>0</v>
      </c>
      <c r="AI1052" s="34" t="n"/>
      <c r="AJ1052" s="34" t="n">
        <v>0</v>
      </c>
      <c r="AK1052" s="2" t="n">
        <v>0</v>
      </c>
      <c r="AL1052" t="inlineStr">
        <is>
          <t>Published</t>
        </is>
      </c>
    </row>
    <row r="1053">
      <c r="A1053">
        <f>HYPERLINK("https://www.walmart.com/ip/14488664374", "14488664374")</f>
        <v/>
      </c>
      <c r="B1053">
        <f>HYPERLINK("https://app.optiwise.ai/catalog/itemdetails/13057979", "Catalonia Oversized Blanket Hoodie Sweatshirt, Fleece Hooded Lounging Pullover with Giant Pocket, Birthday Gifts Christmas Gifts, Pink Plaid")</f>
        <v/>
      </c>
      <c r="C1053" t="inlineStr">
        <is>
          <t>1CTOSH300PGN-FS</t>
        </is>
      </c>
      <c r="D1053" t="inlineStr">
        <is>
          <t>Clothing</t>
        </is>
      </c>
      <c r="E1053" t="inlineStr">
        <is>
          <t>Sweatshirts &amp; Hoodies</t>
        </is>
      </c>
      <c r="F1053" t="inlineStr">
        <is>
          <t>Catalonia</t>
        </is>
      </c>
      <c r="G1053" t="n">
        <v>0</v>
      </c>
      <c r="H1053" t="n">
        <v>0</v>
      </c>
      <c r="J1053" s="29" t="n">
        <v>0</v>
      </c>
      <c r="K1053" s="30" t="n"/>
      <c r="L1053" s="29" t="n">
        <v>0</v>
      </c>
      <c r="M1053" s="29" t="n">
        <v>0</v>
      </c>
      <c r="N1053" s="2" t="n">
        <v>0</v>
      </c>
      <c r="O1053" s="31" t="n">
        <v>0</v>
      </c>
      <c r="P1053" s="32" t="n"/>
      <c r="Q1053" s="32" t="n">
        <v>0</v>
      </c>
      <c r="R1053" s="32" t="n">
        <v>0</v>
      </c>
      <c r="S1053" s="31" t="n">
        <v>0</v>
      </c>
      <c r="T1053" s="32" t="n">
        <v>0</v>
      </c>
      <c r="U1053" s="31" t="n">
        <v>0</v>
      </c>
      <c r="V1053" s="31" t="n">
        <v>0</v>
      </c>
      <c r="W1053" s="3" t="n">
        <v>0</v>
      </c>
      <c r="X1053" s="3" t="n">
        <v>0</v>
      </c>
      <c r="Y1053" s="32" t="n">
        <v>0</v>
      </c>
      <c r="Z1053" s="3" t="n">
        <v>0</v>
      </c>
      <c r="AA1053" s="32" t="n">
        <v>0</v>
      </c>
      <c r="AB1053" s="3" t="n"/>
      <c r="AC1053" s="31" t="n">
        <v>0</v>
      </c>
      <c r="AD1053" s="2" t="n">
        <v>0</v>
      </c>
      <c r="AE1053" s="2" t="n">
        <v>3</v>
      </c>
      <c r="AF1053" s="4" t="n">
        <v>3</v>
      </c>
      <c r="AG1053" s="33" t="n">
        <v>0</v>
      </c>
      <c r="AH1053" s="4" t="n">
        <v>0</v>
      </c>
      <c r="AI1053" s="34" t="n"/>
      <c r="AJ1053" s="34" t="n">
        <v>0</v>
      </c>
      <c r="AK1053" s="2" t="n">
        <v>0</v>
      </c>
      <c r="AL1053" t="inlineStr">
        <is>
          <t>Published</t>
        </is>
      </c>
    </row>
    <row r="1054">
      <c r="A1054">
        <f>HYPERLINK("https://www.walmart.com/ip/14487262810", "14487262810")</f>
        <v/>
      </c>
      <c r="B1054">
        <f>HYPERLINK("https://app.optiwise.ai/catalog/itemdetails/13057978", "Catalonia Cotton Candy Blanket Hoodie for Kids, Oversized Wearable Fleece Sweatshirt Pullover for 7-16 yr Teens Youth, Kids Gift Idea")</f>
        <v/>
      </c>
      <c r="C1054" t="inlineStr">
        <is>
          <t>1CTOSH401COTTONCANDY-FS</t>
        </is>
      </c>
      <c r="D1054" t="inlineStr">
        <is>
          <t>Clothing</t>
        </is>
      </c>
      <c r="E1054" t="inlineStr">
        <is>
          <t>Sweatshirts &amp; Hoodies</t>
        </is>
      </c>
      <c r="F1054" t="inlineStr">
        <is>
          <t>Catalonia</t>
        </is>
      </c>
      <c r="G1054" t="n">
        <v>0</v>
      </c>
      <c r="H1054" t="n">
        <v>0</v>
      </c>
      <c r="J1054" s="29" t="n">
        <v>0</v>
      </c>
      <c r="K1054" s="30" t="n"/>
      <c r="L1054" s="29" t="n">
        <v>0</v>
      </c>
      <c r="M1054" s="29" t="n">
        <v>0</v>
      </c>
      <c r="N1054" s="2" t="n">
        <v>0</v>
      </c>
      <c r="O1054" s="31" t="n">
        <v>0</v>
      </c>
      <c r="P1054" s="32" t="n"/>
      <c r="Q1054" s="32" t="n">
        <v>0</v>
      </c>
      <c r="R1054" s="32" t="n">
        <v>0</v>
      </c>
      <c r="S1054" s="31" t="n">
        <v>0</v>
      </c>
      <c r="T1054" s="32" t="n">
        <v>0</v>
      </c>
      <c r="U1054" s="31" t="n">
        <v>0</v>
      </c>
      <c r="V1054" s="31" t="n">
        <v>0</v>
      </c>
      <c r="W1054" s="3" t="n">
        <v>0</v>
      </c>
      <c r="X1054" s="3" t="n">
        <v>0</v>
      </c>
      <c r="Y1054" s="32" t="n">
        <v>0</v>
      </c>
      <c r="Z1054" s="3" t="n">
        <v>0</v>
      </c>
      <c r="AA1054" s="32" t="n">
        <v>0</v>
      </c>
      <c r="AB1054" s="3" t="n"/>
      <c r="AC1054" s="31" t="n">
        <v>0</v>
      </c>
      <c r="AD1054" s="2" t="n">
        <v>0</v>
      </c>
      <c r="AE1054" s="2" t="n">
        <v>2</v>
      </c>
      <c r="AF1054" s="4" t="n">
        <v>2</v>
      </c>
      <c r="AG1054" s="33" t="n">
        <v>0</v>
      </c>
      <c r="AH1054" s="4" t="n">
        <v>0</v>
      </c>
      <c r="AI1054" s="34" t="n"/>
      <c r="AJ1054" s="34" t="n">
        <v>0</v>
      </c>
      <c r="AK1054" s="2" t="n">
        <v>0</v>
      </c>
      <c r="AL1054" t="inlineStr">
        <is>
          <t>Published</t>
        </is>
      </c>
    </row>
    <row r="1055">
      <c r="A1055">
        <f>HYPERLINK("https://www.walmart.com/ip/14475759275", "14475759275")</f>
        <v/>
      </c>
      <c r="B1055">
        <f>HYPERLINK("https://app.optiwise.ai/catalog/itemdetails/13057977", "Catalonia Oversized Blanket Hoodie Sweatshirt, Comfortable Wearable Blanket Pullover Adults, Blue Silver")</f>
        <v/>
      </c>
      <c r="C1055" t="inlineStr">
        <is>
          <t>1CTOSH410BLSL-FS</t>
        </is>
      </c>
      <c r="D1055" t="inlineStr">
        <is>
          <t>Clothing</t>
        </is>
      </c>
      <c r="E1055" t="inlineStr">
        <is>
          <t>Sweatshirts &amp; Hoodies</t>
        </is>
      </c>
      <c r="F1055" t="inlineStr">
        <is>
          <t>Catalonia</t>
        </is>
      </c>
      <c r="G1055" t="n">
        <v>0</v>
      </c>
      <c r="H1055" t="n">
        <v>0</v>
      </c>
      <c r="J1055" s="29" t="n">
        <v>0</v>
      </c>
      <c r="K1055" s="30" t="n"/>
      <c r="L1055" s="29" t="n">
        <v>0</v>
      </c>
      <c r="M1055" s="29" t="n">
        <v>0</v>
      </c>
      <c r="N1055" s="2" t="n">
        <v>0</v>
      </c>
      <c r="O1055" s="31" t="n">
        <v>0</v>
      </c>
      <c r="P1055" s="32" t="n"/>
      <c r="Q1055" s="32" t="n">
        <v>0</v>
      </c>
      <c r="R1055" s="32" t="n">
        <v>0</v>
      </c>
      <c r="S1055" s="31" t="n">
        <v>0</v>
      </c>
      <c r="T1055" s="32" t="n">
        <v>0</v>
      </c>
      <c r="U1055" s="31" t="n">
        <v>0</v>
      </c>
      <c r="V1055" s="31" t="n">
        <v>0</v>
      </c>
      <c r="W1055" s="3" t="n">
        <v>0</v>
      </c>
      <c r="X1055" s="3" t="n">
        <v>0</v>
      </c>
      <c r="Y1055" s="32" t="n">
        <v>0</v>
      </c>
      <c r="Z1055" s="3" t="n">
        <v>0</v>
      </c>
      <c r="AA1055" s="32" t="n">
        <v>0</v>
      </c>
      <c r="AB1055" s="3" t="n"/>
      <c r="AC1055" s="31" t="n">
        <v>0</v>
      </c>
      <c r="AD1055" s="2" t="n">
        <v>0</v>
      </c>
      <c r="AE1055" s="2" t="n">
        <v>6</v>
      </c>
      <c r="AF1055" s="4" t="n">
        <v>6</v>
      </c>
      <c r="AG1055" s="33" t="n">
        <v>0</v>
      </c>
      <c r="AH1055" s="4" t="n">
        <v>0</v>
      </c>
      <c r="AI1055" s="34" t="n"/>
      <c r="AJ1055" s="34" t="n">
        <v>0</v>
      </c>
      <c r="AK1055" s="2" t="n">
        <v>0</v>
      </c>
      <c r="AL1055" t="inlineStr">
        <is>
          <t>Published</t>
        </is>
      </c>
    </row>
    <row r="1056">
      <c r="A1056">
        <f>HYPERLINK("https://www.walmart.com/ip/14475608149", "14475608149")</f>
        <v/>
      </c>
      <c r="B1056">
        <f>HYPERLINK("https://app.optiwise.ai/catalog/itemdetails/13057976", "Catalonia Women's Blanket Hoodie Sweatshirt, Cozy Comfortable Fluffy Soft Fleece Lounging Pullover, Warm Fleece Hooded with Pockets Gift, Ombre Grey")</f>
        <v/>
      </c>
      <c r="C1056" t="inlineStr">
        <is>
          <t>1CTOSH330GY-FS</t>
        </is>
      </c>
      <c r="D1056" t="inlineStr">
        <is>
          <t>Clothing</t>
        </is>
      </c>
      <c r="E1056" t="inlineStr">
        <is>
          <t>Sweatshirts &amp; Hoodies</t>
        </is>
      </c>
      <c r="F1056" t="inlineStr">
        <is>
          <t>Catalonia</t>
        </is>
      </c>
      <c r="G1056" t="n">
        <v>0</v>
      </c>
      <c r="H1056" t="n">
        <v>0</v>
      </c>
      <c r="J1056" s="29" t="n">
        <v>0</v>
      </c>
      <c r="K1056" s="30" t="n"/>
      <c r="L1056" s="29" t="n">
        <v>0</v>
      </c>
      <c r="M1056" s="29" t="n">
        <v>0</v>
      </c>
      <c r="N1056" s="2" t="n">
        <v>0</v>
      </c>
      <c r="O1056" s="31" t="n">
        <v>0</v>
      </c>
      <c r="P1056" s="32" t="n"/>
      <c r="Q1056" s="32" t="n">
        <v>0</v>
      </c>
      <c r="R1056" s="32" t="n">
        <v>0</v>
      </c>
      <c r="S1056" s="31" t="n">
        <v>0</v>
      </c>
      <c r="T1056" s="32" t="n">
        <v>0</v>
      </c>
      <c r="U1056" s="31" t="n">
        <v>0</v>
      </c>
      <c r="V1056" s="31" t="n">
        <v>0</v>
      </c>
      <c r="W1056" s="3" t="n">
        <v>0</v>
      </c>
      <c r="X1056" s="3" t="n">
        <v>0</v>
      </c>
      <c r="Y1056" s="32" t="n">
        <v>0</v>
      </c>
      <c r="Z1056" s="3" t="n">
        <v>0</v>
      </c>
      <c r="AA1056" s="32" t="n">
        <v>0</v>
      </c>
      <c r="AB1056" s="3" t="n"/>
      <c r="AC1056" s="31" t="n">
        <v>0</v>
      </c>
      <c r="AD1056" s="2" t="n">
        <v>0</v>
      </c>
      <c r="AE1056" s="2" t="n">
        <v>4</v>
      </c>
      <c r="AF1056" s="4" t="n">
        <v>4</v>
      </c>
      <c r="AG1056" s="33" t="n">
        <v>0</v>
      </c>
      <c r="AH1056" s="4" t="n">
        <v>0</v>
      </c>
      <c r="AI1056" s="34" t="n"/>
      <c r="AJ1056" s="34" t="n">
        <v>0</v>
      </c>
      <c r="AK1056" s="2" t="n">
        <v>0</v>
      </c>
      <c r="AL1056" t="inlineStr">
        <is>
          <t>Published</t>
        </is>
      </c>
    </row>
    <row r="1057">
      <c r="A1057">
        <f>HYPERLINK("https://www.walmart.com/ip/14472471073", "14472471073")</f>
        <v/>
      </c>
      <c r="B1057">
        <f>HYPERLINK("https://app.optiwise.ai/catalog/itemdetails/13057974", "Womens Oversized Flannel Blanket Hoodie Sweatshirt, Plush Fleece Lined Lounging Pullover, Christmas Gift for Women (Rose Print, Pink) - Catalonia")</f>
        <v/>
      </c>
      <c r="C1057" t="inlineStr">
        <is>
          <t>1CTOSH400GYDOG-FS</t>
        </is>
      </c>
      <c r="D1057" t="inlineStr">
        <is>
          <t>Clothing</t>
        </is>
      </c>
      <c r="E1057" t="inlineStr">
        <is>
          <t>Sweatshirts &amp; Hoodies</t>
        </is>
      </c>
      <c r="F1057" t="inlineStr">
        <is>
          <t>Catalonia</t>
        </is>
      </c>
      <c r="G1057" t="n">
        <v>0</v>
      </c>
      <c r="H1057" t="n">
        <v>0</v>
      </c>
      <c r="J1057" s="29" t="n">
        <v>0</v>
      </c>
      <c r="K1057" s="30" t="n"/>
      <c r="L1057" s="29" t="n">
        <v>0</v>
      </c>
      <c r="M1057" s="29" t="n">
        <v>0</v>
      </c>
      <c r="N1057" s="2" t="n">
        <v>0</v>
      </c>
      <c r="O1057" s="31" t="n">
        <v>0</v>
      </c>
      <c r="P1057" s="32" t="n"/>
      <c r="Q1057" s="32" t="n">
        <v>0</v>
      </c>
      <c r="R1057" s="32" t="n">
        <v>0</v>
      </c>
      <c r="S1057" s="31" t="n">
        <v>0</v>
      </c>
      <c r="T1057" s="32" t="n">
        <v>0</v>
      </c>
      <c r="U1057" s="31" t="n">
        <v>0</v>
      </c>
      <c r="V1057" s="31" t="n">
        <v>0</v>
      </c>
      <c r="W1057" s="3" t="n">
        <v>0</v>
      </c>
      <c r="X1057" s="3" t="n">
        <v>0</v>
      </c>
      <c r="Y1057" s="32" t="n">
        <v>0</v>
      </c>
      <c r="Z1057" s="3" t="n">
        <v>0</v>
      </c>
      <c r="AA1057" s="32" t="n">
        <v>0</v>
      </c>
      <c r="AB1057" s="3" t="n"/>
      <c r="AC1057" s="31" t="n">
        <v>0</v>
      </c>
      <c r="AD1057" s="2" t="n">
        <v>0</v>
      </c>
      <c r="AE1057" s="2" t="n">
        <v>3</v>
      </c>
      <c r="AF1057" s="4" t="n">
        <v>3</v>
      </c>
      <c r="AG1057" s="33" t="n">
        <v>0</v>
      </c>
      <c r="AH1057" s="4" t="n">
        <v>0</v>
      </c>
      <c r="AI1057" s="34" t="n"/>
      <c r="AJ1057" s="34" t="n">
        <v>0</v>
      </c>
      <c r="AK1057" s="2" t="n">
        <v>0</v>
      </c>
      <c r="AL1057" t="inlineStr">
        <is>
          <t>Published</t>
        </is>
      </c>
    </row>
    <row r="1058">
      <c r="A1058">
        <f>HYPERLINK("https://www.walmart.com/ip/14440922018", "14440922018")</f>
        <v/>
      </c>
      <c r="B1058">
        <f>HYPERLINK("https://app.optiwise.ai/catalog/itemdetails/13057973", "Catalonia Blanket Hoodie for Kids, Oversized Wearable Fleece Sweatshirt Pullover for 7-16 yr Teens Youth, Kids Gift Idea, Rose")</f>
        <v/>
      </c>
      <c r="C1058" t="inlineStr">
        <is>
          <t>1CTOSH401HP-FS</t>
        </is>
      </c>
      <c r="D1058" t="inlineStr">
        <is>
          <t>Clothing</t>
        </is>
      </c>
      <c r="E1058" t="inlineStr">
        <is>
          <t>Sweatshirts &amp; Hoodies</t>
        </is>
      </c>
      <c r="F1058" t="inlineStr">
        <is>
          <t>Catalonia</t>
        </is>
      </c>
      <c r="G1058" t="n">
        <v>0</v>
      </c>
      <c r="H1058" t="n">
        <v>0</v>
      </c>
      <c r="J1058" s="29" t="n">
        <v>0</v>
      </c>
      <c r="K1058" s="30" t="n"/>
      <c r="L1058" s="29" t="n">
        <v>0</v>
      </c>
      <c r="M1058" s="29" t="n">
        <v>0</v>
      </c>
      <c r="N1058" s="2" t="n">
        <v>0</v>
      </c>
      <c r="O1058" s="31" t="n">
        <v>0</v>
      </c>
      <c r="P1058" s="32" t="n"/>
      <c r="Q1058" s="32" t="n">
        <v>0</v>
      </c>
      <c r="R1058" s="32" t="n">
        <v>0</v>
      </c>
      <c r="S1058" s="31" t="n">
        <v>0</v>
      </c>
      <c r="T1058" s="32" t="n">
        <v>0</v>
      </c>
      <c r="U1058" s="31" t="n">
        <v>0</v>
      </c>
      <c r="V1058" s="31" t="n">
        <v>0</v>
      </c>
      <c r="W1058" s="3" t="n">
        <v>0</v>
      </c>
      <c r="X1058" s="3" t="n">
        <v>0</v>
      </c>
      <c r="Y1058" s="32" t="n">
        <v>0</v>
      </c>
      <c r="Z1058" s="3" t="n">
        <v>0</v>
      </c>
      <c r="AA1058" s="32" t="n">
        <v>0</v>
      </c>
      <c r="AB1058" s="3" t="n"/>
      <c r="AC1058" s="31" t="n">
        <v>0</v>
      </c>
      <c r="AD1058" s="2" t="n">
        <v>0</v>
      </c>
      <c r="AE1058" s="2" t="n">
        <v>4</v>
      </c>
      <c r="AF1058" s="4" t="n">
        <v>4</v>
      </c>
      <c r="AG1058" s="33" t="n">
        <v>0</v>
      </c>
      <c r="AH1058" s="4" t="n">
        <v>0</v>
      </c>
      <c r="AI1058" s="34" t="n"/>
      <c r="AJ1058" s="34" t="n">
        <v>0</v>
      </c>
      <c r="AK1058" s="2" t="n">
        <v>0</v>
      </c>
      <c r="AL1058" t="inlineStr">
        <is>
          <t>Published</t>
        </is>
      </c>
    </row>
    <row r="1059">
      <c r="A1059">
        <f>HYPERLINK("https://www.walmart.com/ip/1350473123", "1350473123")</f>
        <v/>
      </c>
      <c r="B1059">
        <f>HYPERLINK("https://app.optiwise.ai/catalog/itemdetails/13057972", "Tirrinia Oversized Blanket Hoodie Sweatshirts, Wearable Fluffy Fleece Plush Blanket, Lightweight Cozy Sweatshirt Blanket Gift for Women Men, Purple")</f>
        <v/>
      </c>
      <c r="C1059" t="inlineStr">
        <is>
          <t>1TROSH360PP-FS</t>
        </is>
      </c>
      <c r="D1059" t="inlineStr">
        <is>
          <t>Clothing</t>
        </is>
      </c>
      <c r="E1059" t="inlineStr">
        <is>
          <t>Sweatshirts &amp; Hoodies</t>
        </is>
      </c>
      <c r="F1059" t="inlineStr">
        <is>
          <t>Tirrinia</t>
        </is>
      </c>
      <c r="G1059" t="n">
        <v>0</v>
      </c>
      <c r="H1059" t="n">
        <v>0</v>
      </c>
      <c r="J1059" s="29" t="n">
        <v>0</v>
      </c>
      <c r="K1059" s="30" t="n"/>
      <c r="L1059" s="29" t="n">
        <v>0</v>
      </c>
      <c r="M1059" s="29" t="n">
        <v>0</v>
      </c>
      <c r="N1059" s="2" t="n">
        <v>0</v>
      </c>
      <c r="O1059" s="31" t="n">
        <v>0</v>
      </c>
      <c r="P1059" s="32" t="n"/>
      <c r="Q1059" s="32" t="n">
        <v>0</v>
      </c>
      <c r="R1059" s="32" t="n">
        <v>0</v>
      </c>
      <c r="S1059" s="31" t="n">
        <v>0</v>
      </c>
      <c r="T1059" s="32" t="n">
        <v>0</v>
      </c>
      <c r="U1059" s="31" t="n">
        <v>0</v>
      </c>
      <c r="V1059" s="31" t="n">
        <v>0</v>
      </c>
      <c r="W1059" s="3" t="n">
        <v>0</v>
      </c>
      <c r="X1059" s="3" t="n">
        <v>0</v>
      </c>
      <c r="Y1059" s="32" t="n">
        <v>0</v>
      </c>
      <c r="Z1059" s="3" t="n">
        <v>0</v>
      </c>
      <c r="AA1059" s="32" t="n">
        <v>0</v>
      </c>
      <c r="AB1059" s="3" t="n"/>
      <c r="AC1059" s="31" t="n">
        <v>0</v>
      </c>
      <c r="AD1059" s="2" t="n">
        <v>0</v>
      </c>
      <c r="AE1059" s="2" t="n">
        <v>2</v>
      </c>
      <c r="AF1059" s="4" t="n">
        <v>2</v>
      </c>
      <c r="AG1059" s="33" t="n">
        <v>0</v>
      </c>
      <c r="AH1059" s="4" t="n">
        <v>0</v>
      </c>
      <c r="AI1059" s="34" t="n"/>
      <c r="AJ1059" s="34" t="n">
        <v>0</v>
      </c>
      <c r="AK1059" s="2" t="n">
        <v>0</v>
      </c>
      <c r="AL1059" t="inlineStr">
        <is>
          <t>Published</t>
        </is>
      </c>
    </row>
    <row r="1060">
      <c r="A1060">
        <f>HYPERLINK("https://www.walmart.com/ip/14505710525", "14505710525")</f>
        <v/>
      </c>
      <c r="B1060">
        <f>HYPERLINK("https://app.optiwise.ai/catalog/itemdetails/13057971", "Catalonia Blanket Hoodie for Kids, Oversized Wearable Fleece Sweatshirt Pullover for 7-16 yr Teens Youth, Kids Gift Idea")</f>
        <v/>
      </c>
      <c r="C1060" t="inlineStr">
        <is>
          <t>1CTOSH401GYASH-FS</t>
        </is>
      </c>
      <c r="D1060" t="inlineStr">
        <is>
          <t>Clothing</t>
        </is>
      </c>
      <c r="E1060" t="inlineStr">
        <is>
          <t>Sweatshirts &amp; Hoodies</t>
        </is>
      </c>
      <c r="F1060" t="inlineStr">
        <is>
          <t>Catalonia</t>
        </is>
      </c>
      <c r="G1060" t="n">
        <v>0</v>
      </c>
      <c r="H1060" t="n">
        <v>0</v>
      </c>
      <c r="J1060" s="29" t="n">
        <v>0</v>
      </c>
      <c r="K1060" s="30" t="n"/>
      <c r="L1060" s="29" t="n">
        <v>0</v>
      </c>
      <c r="M1060" s="29" t="n">
        <v>0</v>
      </c>
      <c r="N1060" s="2" t="n">
        <v>0</v>
      </c>
      <c r="O1060" s="31" t="n">
        <v>0</v>
      </c>
      <c r="P1060" s="32" t="n"/>
      <c r="Q1060" s="32" t="n">
        <v>0</v>
      </c>
      <c r="R1060" s="32" t="n">
        <v>0</v>
      </c>
      <c r="S1060" s="31" t="n">
        <v>0</v>
      </c>
      <c r="T1060" s="32" t="n">
        <v>0</v>
      </c>
      <c r="U1060" s="31" t="n">
        <v>0</v>
      </c>
      <c r="V1060" s="31" t="n">
        <v>0</v>
      </c>
      <c r="W1060" s="3" t="n">
        <v>0</v>
      </c>
      <c r="X1060" s="3" t="n">
        <v>0</v>
      </c>
      <c r="Y1060" s="32" t="n">
        <v>0</v>
      </c>
      <c r="Z1060" s="3" t="n">
        <v>0</v>
      </c>
      <c r="AA1060" s="32" t="n">
        <v>0</v>
      </c>
      <c r="AB1060" s="3" t="n"/>
      <c r="AC1060" s="31" t="n">
        <v>0</v>
      </c>
      <c r="AD1060" s="2" t="n">
        <v>0</v>
      </c>
      <c r="AE1060" s="2" t="n">
        <v>2</v>
      </c>
      <c r="AF1060" s="4" t="n">
        <v>2</v>
      </c>
      <c r="AG1060" s="33" t="n">
        <v>0</v>
      </c>
      <c r="AH1060" s="4" t="n">
        <v>0</v>
      </c>
      <c r="AI1060" s="34" t="n"/>
      <c r="AJ1060" s="34" t="n">
        <v>0</v>
      </c>
      <c r="AK1060" s="2" t="n">
        <v>0</v>
      </c>
      <c r="AL1060" t="inlineStr">
        <is>
          <t>Published</t>
        </is>
      </c>
    </row>
    <row r="1061">
      <c r="A1061">
        <f>HYPERLINK("https://www.walmart.com/ip/14492273638", "14492273638")</f>
        <v/>
      </c>
      <c r="B1061">
        <f>HYPERLINK("https://app.optiwise.ai/catalog/itemdetails/13059082", "PEANUTS Womens 100% Cotton Family Matching Pajamas Holiday Festive Nightwear Sleepwear 2-Piece Sets for Christmas Gifts (Green Polka Dot, L)")</f>
        <v/>
      </c>
      <c r="C1061" t="inlineStr">
        <is>
          <t>PEA-PJS-FAMILY-WOMEN-GREEN-L</t>
        </is>
      </c>
      <c r="D1061" t="inlineStr">
        <is>
          <t>Clothing</t>
        </is>
      </c>
      <c r="E1061" t="inlineStr">
        <is>
          <t>Pajamas</t>
        </is>
      </c>
      <c r="F1061" t="inlineStr">
        <is>
          <t>Peanuts</t>
        </is>
      </c>
      <c r="G1061" t="n">
        <v>0</v>
      </c>
      <c r="H1061" t="n">
        <v>0</v>
      </c>
      <c r="J1061" s="29" t="n">
        <v>0</v>
      </c>
      <c r="K1061" s="30" t="n"/>
      <c r="L1061" s="29" t="n">
        <v>0</v>
      </c>
      <c r="M1061" s="29" t="n">
        <v>0</v>
      </c>
      <c r="N1061" s="2" t="n">
        <v>0</v>
      </c>
      <c r="O1061" s="31" t="n">
        <v>0</v>
      </c>
      <c r="P1061" s="32" t="n"/>
      <c r="Q1061" s="32" t="n">
        <v>0</v>
      </c>
      <c r="R1061" s="32" t="n">
        <v>0</v>
      </c>
      <c r="S1061" s="31" t="n">
        <v>0</v>
      </c>
      <c r="T1061" s="32" t="n">
        <v>0</v>
      </c>
      <c r="U1061" s="31" t="n">
        <v>0</v>
      </c>
      <c r="V1061" s="31" t="n">
        <v>0</v>
      </c>
      <c r="W1061" s="3" t="n">
        <v>0</v>
      </c>
      <c r="X1061" s="3" t="n">
        <v>0</v>
      </c>
      <c r="Y1061" s="32" t="n">
        <v>0</v>
      </c>
      <c r="Z1061" s="3" t="n">
        <v>0</v>
      </c>
      <c r="AA1061" s="32" t="n">
        <v>0</v>
      </c>
      <c r="AB1061" s="3" t="n"/>
      <c r="AC1061" s="31" t="n">
        <v>0</v>
      </c>
      <c r="AD1061" s="2" t="n">
        <v>0</v>
      </c>
      <c r="AE1061" s="2" t="n">
        <v>0</v>
      </c>
      <c r="AF1061" s="4" t="n">
        <v>0</v>
      </c>
      <c r="AG1061" s="33" t="n">
        <v>0</v>
      </c>
      <c r="AH1061" s="4" t="n">
        <v>0</v>
      </c>
      <c r="AI1061" s="34" t="n"/>
      <c r="AJ1061" s="34" t="n">
        <v>0</v>
      </c>
      <c r="AK1061" s="2" t="n">
        <v>0</v>
      </c>
      <c r="AL1061" t="inlineStr">
        <is>
          <t>Published</t>
        </is>
      </c>
    </row>
    <row r="1062">
      <c r="A1062">
        <f>HYPERLINK("https://www.walmart.com/ip/14514159364", "14514159364")</f>
        <v/>
      </c>
      <c r="B1062">
        <f>HYPERLINK("https://app.optiwise.ai/catalog/itemdetails/13059084", "PEANUTS Toddler Boys Girls Snoopy Family Matching Pajamas Sleepwear 2-Piece Sets for Christmas with Woodstock Charlie Brown Linus (Red Plaid, 2T)")</f>
        <v/>
      </c>
      <c r="C1062" t="inlineStr">
        <is>
          <t>PEA-PJS-FAMILY-TODDLER-REDPLAID-2T</t>
        </is>
      </c>
      <c r="D1062" t="inlineStr">
        <is>
          <t>Clothing</t>
        </is>
      </c>
      <c r="E1062" t="inlineStr">
        <is>
          <t>Pajamas</t>
        </is>
      </c>
      <c r="F1062" t="inlineStr">
        <is>
          <t>Peanuts</t>
        </is>
      </c>
      <c r="G1062" t="n">
        <v>0</v>
      </c>
      <c r="H1062" t="n">
        <v>0</v>
      </c>
      <c r="J1062" s="29" t="n">
        <v>0</v>
      </c>
      <c r="K1062" s="30" t="n"/>
      <c r="L1062" s="29" t="n">
        <v>0</v>
      </c>
      <c r="M1062" s="29" t="n">
        <v>0</v>
      </c>
      <c r="N1062" s="2" t="n">
        <v>0</v>
      </c>
      <c r="O1062" s="31" t="n">
        <v>0</v>
      </c>
      <c r="P1062" s="32" t="n"/>
      <c r="Q1062" s="32" t="n">
        <v>0</v>
      </c>
      <c r="R1062" s="32" t="n">
        <v>0</v>
      </c>
      <c r="S1062" s="31" t="n">
        <v>0</v>
      </c>
      <c r="T1062" s="32" t="n">
        <v>0</v>
      </c>
      <c r="U1062" s="31" t="n">
        <v>0</v>
      </c>
      <c r="V1062" s="31" t="n">
        <v>0</v>
      </c>
      <c r="W1062" s="3" t="n">
        <v>0</v>
      </c>
      <c r="X1062" s="3" t="n">
        <v>0</v>
      </c>
      <c r="Y1062" s="32" t="n">
        <v>0</v>
      </c>
      <c r="Z1062" s="3" t="n">
        <v>0</v>
      </c>
      <c r="AA1062" s="32" t="n">
        <v>0</v>
      </c>
      <c r="AB1062" s="3" t="n"/>
      <c r="AC1062" s="31" t="n">
        <v>0</v>
      </c>
      <c r="AD1062" s="2" t="n">
        <v>0</v>
      </c>
      <c r="AE1062" s="2" t="n">
        <v>0</v>
      </c>
      <c r="AF1062" s="4" t="n">
        <v>0</v>
      </c>
      <c r="AG1062" s="33" t="n">
        <v>0</v>
      </c>
      <c r="AH1062" s="4" t="n">
        <v>0</v>
      </c>
      <c r="AI1062" s="34" t="n"/>
      <c r="AJ1062" s="34" t="n">
        <v>0</v>
      </c>
      <c r="AK1062" s="2" t="n">
        <v>0</v>
      </c>
      <c r="AL1062" t="inlineStr">
        <is>
          <t>Published</t>
        </is>
      </c>
    </row>
    <row r="1063">
      <c r="A1063">
        <f>HYPERLINK("https://www.walmart.com/ip/1014471610", "1014471610")</f>
        <v/>
      </c>
      <c r="B1063">
        <f>HYPERLINK("https://app.optiwise.ai/catalog/itemdetails/4416505", "Catalonia Wearable TV Blanket with Sleeves Arms Micro Plush Fleece Wrap Throw Robe 73 x 51”")</f>
        <v/>
      </c>
      <c r="C1063" t="inlineStr">
        <is>
          <t>1CTSN150PK</t>
        </is>
      </c>
      <c r="D1063" t="inlineStr">
        <is>
          <t>Bedding</t>
        </is>
      </c>
      <c r="E1063" t="inlineStr">
        <is>
          <t>Throws</t>
        </is>
      </c>
      <c r="F1063" t="inlineStr">
        <is>
          <t>Catalonia</t>
        </is>
      </c>
      <c r="G1063" t="n">
        <v>0</v>
      </c>
      <c r="H1063" t="n">
        <v>0</v>
      </c>
      <c r="I1063" t="inlineStr">
        <is>
          <t>Batch 1 - TR</t>
        </is>
      </c>
      <c r="J1063" s="29" t="n">
        <v>0</v>
      </c>
      <c r="K1063" s="30" t="n"/>
      <c r="L1063" s="29" t="n">
        <v>0</v>
      </c>
      <c r="M1063" s="29" t="n">
        <v>0</v>
      </c>
      <c r="N1063" s="2" t="n">
        <v>0</v>
      </c>
      <c r="O1063" s="31" t="n">
        <v>0</v>
      </c>
      <c r="P1063" s="32" t="n"/>
      <c r="Q1063" s="32" t="n">
        <v>0</v>
      </c>
      <c r="R1063" s="32" t="n">
        <v>0</v>
      </c>
      <c r="S1063" s="31" t="n">
        <v>0</v>
      </c>
      <c r="T1063" s="32" t="n">
        <v>0</v>
      </c>
      <c r="U1063" s="31" t="n">
        <v>0</v>
      </c>
      <c r="V1063" s="31" t="n">
        <v>0</v>
      </c>
      <c r="W1063" s="3" t="n">
        <v>0</v>
      </c>
      <c r="X1063" s="3" t="n">
        <v>0</v>
      </c>
      <c r="Y1063" s="32" t="n">
        <v>0</v>
      </c>
      <c r="Z1063" s="3" t="n">
        <v>0</v>
      </c>
      <c r="AA1063" s="32" t="n">
        <v>0</v>
      </c>
      <c r="AB1063" s="3" t="n"/>
      <c r="AC1063" s="31" t="n">
        <v>0</v>
      </c>
      <c r="AD1063" s="2" t="n">
        <v>0</v>
      </c>
      <c r="AE1063" s="2" t="n">
        <v>3</v>
      </c>
      <c r="AF1063" s="4" t="n">
        <v>3</v>
      </c>
      <c r="AG1063" s="33" t="n">
        <v>0</v>
      </c>
      <c r="AH1063" s="4" t="n">
        <v>0</v>
      </c>
      <c r="AI1063" s="34" t="n"/>
      <c r="AJ1063" s="34" t="n">
        <v>0</v>
      </c>
      <c r="AK1063" s="2" t="n">
        <v>0</v>
      </c>
      <c r="AL1063" t="inlineStr">
        <is>
          <t>Published</t>
        </is>
      </c>
    </row>
    <row r="1064">
      <c r="A1064">
        <f>HYPERLINK("https://www.walmart.com/ip/14516958877", "14516958877")</f>
        <v/>
      </c>
      <c r="B1064">
        <f>HYPERLINK("https://app.optiwise.ai/catalog/itemdetails/13059102", "PEANUTS Mens' Cotton Snoopy Family Matching Pajamas 2-Piece Sets for Christmas with Woodstock Charlie Brown Linus, Gift for him (Green Polka Dot, L)")</f>
        <v/>
      </c>
      <c r="C1064" t="inlineStr">
        <is>
          <t>PEA-PJS-FAMILY-MEN-GREEN-L</t>
        </is>
      </c>
      <c r="D1064" t="inlineStr">
        <is>
          <t>Clothing</t>
        </is>
      </c>
      <c r="E1064" t="inlineStr">
        <is>
          <t>Pajamas</t>
        </is>
      </c>
      <c r="F1064" t="inlineStr">
        <is>
          <t>Peanuts</t>
        </is>
      </c>
      <c r="G1064" t="n">
        <v>0</v>
      </c>
      <c r="H1064" t="n">
        <v>0</v>
      </c>
      <c r="J1064" s="29" t="n">
        <v>0</v>
      </c>
      <c r="K1064" s="30" t="n"/>
      <c r="L1064" s="29" t="n">
        <v>0</v>
      </c>
      <c r="M1064" s="29" t="n">
        <v>0</v>
      </c>
      <c r="N1064" s="2" t="n">
        <v>0</v>
      </c>
      <c r="O1064" s="31" t="n">
        <v>0</v>
      </c>
      <c r="P1064" s="32" t="n"/>
      <c r="Q1064" s="32" t="n">
        <v>0</v>
      </c>
      <c r="R1064" s="32" t="n">
        <v>0</v>
      </c>
      <c r="S1064" s="31" t="n">
        <v>0</v>
      </c>
      <c r="T1064" s="32" t="n">
        <v>0</v>
      </c>
      <c r="U1064" s="31" t="n">
        <v>0</v>
      </c>
      <c r="V1064" s="31" t="n">
        <v>0</v>
      </c>
      <c r="W1064" s="3" t="n">
        <v>0</v>
      </c>
      <c r="X1064" s="3" t="n">
        <v>0</v>
      </c>
      <c r="Y1064" s="32" t="n">
        <v>0</v>
      </c>
      <c r="Z1064" s="3" t="n">
        <v>0</v>
      </c>
      <c r="AA1064" s="32" t="n">
        <v>0</v>
      </c>
      <c r="AB1064" s="3" t="n"/>
      <c r="AC1064" s="31" t="n">
        <v>0</v>
      </c>
      <c r="AD1064" s="2" t="n">
        <v>0</v>
      </c>
      <c r="AE1064" s="2" t="n">
        <v>0</v>
      </c>
      <c r="AF1064" s="4" t="n">
        <v>0</v>
      </c>
      <c r="AG1064" s="33" t="n">
        <v>0</v>
      </c>
      <c r="AH1064" s="4" t="n">
        <v>0</v>
      </c>
      <c r="AI1064" s="34" t="n"/>
      <c r="AJ1064" s="34" t="n">
        <v>0</v>
      </c>
      <c r="AK1064" s="2" t="n">
        <v>0</v>
      </c>
      <c r="AL1064" t="inlineStr">
        <is>
          <t>Published</t>
        </is>
      </c>
    </row>
    <row r="1065">
      <c r="A1065">
        <f>HYPERLINK("https://www.walmart.com/ip/14526353104", "14526353104")</f>
        <v/>
      </c>
      <c r="B1065">
        <f>HYPERLINK("https://app.optiwise.ai/catalog/itemdetails/13059118", "PEANUTS Snoopy Cotton Family Matching Pajamas Holiday 2-Piece Sets for Christmas with Woodstock Charlie Brown Linus for Baby (Green Polka Dot, 18M)")</f>
        <v/>
      </c>
      <c r="C1065" t="inlineStr">
        <is>
          <t>PEA-PJS-FAMILY-INFANT-GREEN-18M</t>
        </is>
      </c>
      <c r="D1065" t="inlineStr">
        <is>
          <t>Clothing</t>
        </is>
      </c>
      <c r="E1065" t="inlineStr">
        <is>
          <t>Pajamas</t>
        </is>
      </c>
      <c r="F1065" t="inlineStr">
        <is>
          <t>Peanuts</t>
        </is>
      </c>
      <c r="G1065" t="n">
        <v>0</v>
      </c>
      <c r="H1065" t="n">
        <v>0</v>
      </c>
      <c r="J1065" s="29" t="n">
        <v>0</v>
      </c>
      <c r="K1065" s="30" t="n"/>
      <c r="L1065" s="29" t="n">
        <v>0</v>
      </c>
      <c r="M1065" s="29" t="n">
        <v>0</v>
      </c>
      <c r="N1065" s="2" t="n">
        <v>0</v>
      </c>
      <c r="O1065" s="31" t="n">
        <v>0</v>
      </c>
      <c r="P1065" s="32" t="n"/>
      <c r="Q1065" s="32" t="n">
        <v>0</v>
      </c>
      <c r="R1065" s="32" t="n">
        <v>0</v>
      </c>
      <c r="S1065" s="31" t="n">
        <v>0</v>
      </c>
      <c r="T1065" s="32" t="n">
        <v>0</v>
      </c>
      <c r="U1065" s="31" t="n">
        <v>0</v>
      </c>
      <c r="V1065" s="31" t="n">
        <v>0</v>
      </c>
      <c r="W1065" s="3" t="n">
        <v>0</v>
      </c>
      <c r="X1065" s="3" t="n">
        <v>0</v>
      </c>
      <c r="Y1065" s="32" t="n">
        <v>0</v>
      </c>
      <c r="Z1065" s="3" t="n">
        <v>0</v>
      </c>
      <c r="AA1065" s="32" t="n">
        <v>0</v>
      </c>
      <c r="AB1065" s="3" t="n"/>
      <c r="AC1065" s="31" t="n">
        <v>0</v>
      </c>
      <c r="AD1065" s="2" t="n">
        <v>0</v>
      </c>
      <c r="AE1065" s="2" t="n">
        <v>0</v>
      </c>
      <c r="AF1065" s="4" t="n">
        <v>0</v>
      </c>
      <c r="AG1065" s="33" t="n">
        <v>0</v>
      </c>
      <c r="AH1065" s="4" t="n">
        <v>0</v>
      </c>
      <c r="AI1065" s="34" t="n"/>
      <c r="AJ1065" s="34" t="n">
        <v>0</v>
      </c>
      <c r="AK1065" s="2" t="n">
        <v>0</v>
      </c>
      <c r="AL1065" t="inlineStr">
        <is>
          <t>Published</t>
        </is>
      </c>
    </row>
    <row r="1066">
      <c r="A1066">
        <f>HYPERLINK("https://www.walmart.com/ip/14524812334", "14524812334")</f>
        <v/>
      </c>
      <c r="B1066">
        <f>HYPERLINK("https://app.optiwise.ai/catalog/itemdetails/13059116", "PEANUTS Toddler Boys Girls Snoopy Family Matching Pajamas Sleepwear 2-Piece Sets for Christmas with Woodstock Charlie Brown Linus (Red Plaid, 5T)")</f>
        <v/>
      </c>
      <c r="C1066" t="inlineStr">
        <is>
          <t>PEA-PJS-FAMILY-TODDLER-REDPLAID-5T</t>
        </is>
      </c>
      <c r="D1066" t="inlineStr">
        <is>
          <t>Clothing</t>
        </is>
      </c>
      <c r="E1066" t="inlineStr">
        <is>
          <t>Pajamas</t>
        </is>
      </c>
      <c r="F1066" t="inlineStr">
        <is>
          <t>Peanuts</t>
        </is>
      </c>
      <c r="G1066" t="n">
        <v>0</v>
      </c>
      <c r="H1066" t="n">
        <v>0</v>
      </c>
      <c r="J1066" s="29" t="n">
        <v>0</v>
      </c>
      <c r="K1066" s="30" t="n"/>
      <c r="L1066" s="29" t="n">
        <v>0</v>
      </c>
      <c r="M1066" s="29" t="n">
        <v>0</v>
      </c>
      <c r="N1066" s="2" t="n">
        <v>0</v>
      </c>
      <c r="O1066" s="31" t="n">
        <v>0</v>
      </c>
      <c r="P1066" s="32" t="n"/>
      <c r="Q1066" s="32" t="n">
        <v>0</v>
      </c>
      <c r="R1066" s="32" t="n">
        <v>0</v>
      </c>
      <c r="S1066" s="31" t="n">
        <v>0</v>
      </c>
      <c r="T1066" s="32" t="n">
        <v>0</v>
      </c>
      <c r="U1066" s="31" t="n">
        <v>0</v>
      </c>
      <c r="V1066" s="31" t="n">
        <v>0</v>
      </c>
      <c r="W1066" s="3" t="n">
        <v>0</v>
      </c>
      <c r="X1066" s="3" t="n">
        <v>0</v>
      </c>
      <c r="Y1066" s="32" t="n">
        <v>0</v>
      </c>
      <c r="Z1066" s="3" t="n">
        <v>0</v>
      </c>
      <c r="AA1066" s="32" t="n">
        <v>0</v>
      </c>
      <c r="AB1066" s="3" t="n"/>
      <c r="AC1066" s="31" t="n">
        <v>0</v>
      </c>
      <c r="AD1066" s="2" t="n">
        <v>0</v>
      </c>
      <c r="AE1066" s="2" t="n">
        <v>0</v>
      </c>
      <c r="AF1066" s="4" t="n">
        <v>0</v>
      </c>
      <c r="AG1066" s="33" t="n">
        <v>0</v>
      </c>
      <c r="AH1066" s="4" t="n">
        <v>0</v>
      </c>
      <c r="AI1066" s="34" t="n"/>
      <c r="AJ1066" s="34" t="n">
        <v>0</v>
      </c>
      <c r="AK1066" s="2" t="n">
        <v>0</v>
      </c>
      <c r="AL1066" t="inlineStr">
        <is>
          <t>Published</t>
        </is>
      </c>
    </row>
    <row r="1067">
      <c r="A1067">
        <f>HYPERLINK("https://www.walmart.com/ip/14514109806", "14514109806")</f>
        <v/>
      </c>
      <c r="B1067">
        <f>HYPERLINK("https://app.optiwise.ai/catalog/itemdetails/13059115", "PEANUTS Mens' Cotton Snoopy Family Matching Pajamas 2-Piece Sets for Christmas with Woodstock Charlie Brown Linus, Gift for him (Black Plaid, M)")</f>
        <v/>
      </c>
      <c r="C1067" t="inlineStr">
        <is>
          <t>PEA-PJS-FAMILY-MEN-BLACKPLAID-M</t>
        </is>
      </c>
      <c r="D1067" t="inlineStr">
        <is>
          <t>Clothing</t>
        </is>
      </c>
      <c r="E1067" t="inlineStr">
        <is>
          <t>Pajamas</t>
        </is>
      </c>
      <c r="F1067" t="inlineStr">
        <is>
          <t>Peanuts</t>
        </is>
      </c>
      <c r="G1067" t="n">
        <v>0</v>
      </c>
      <c r="H1067" t="n">
        <v>0</v>
      </c>
      <c r="J1067" s="29" t="n">
        <v>0</v>
      </c>
      <c r="K1067" s="30" t="n"/>
      <c r="L1067" s="29" t="n">
        <v>0</v>
      </c>
      <c r="M1067" s="29" t="n">
        <v>0</v>
      </c>
      <c r="N1067" s="2" t="n">
        <v>0</v>
      </c>
      <c r="O1067" s="31" t="n">
        <v>0</v>
      </c>
      <c r="P1067" s="32" t="n"/>
      <c r="Q1067" s="32" t="n">
        <v>0</v>
      </c>
      <c r="R1067" s="32" t="n">
        <v>0</v>
      </c>
      <c r="S1067" s="31" t="n">
        <v>0</v>
      </c>
      <c r="T1067" s="32" t="n">
        <v>0</v>
      </c>
      <c r="U1067" s="31" t="n">
        <v>0</v>
      </c>
      <c r="V1067" s="31" t="n">
        <v>0</v>
      </c>
      <c r="W1067" s="3" t="n">
        <v>0</v>
      </c>
      <c r="X1067" s="3" t="n">
        <v>0</v>
      </c>
      <c r="Y1067" s="32" t="n">
        <v>0</v>
      </c>
      <c r="Z1067" s="3" t="n">
        <v>0</v>
      </c>
      <c r="AA1067" s="32" t="n">
        <v>0</v>
      </c>
      <c r="AB1067" s="3" t="n"/>
      <c r="AC1067" s="31" t="n">
        <v>0</v>
      </c>
      <c r="AD1067" s="2" t="n">
        <v>0</v>
      </c>
      <c r="AE1067" s="2" t="n">
        <v>0</v>
      </c>
      <c r="AF1067" s="4" t="n">
        <v>0</v>
      </c>
      <c r="AG1067" s="33" t="n">
        <v>0</v>
      </c>
      <c r="AH1067" s="4" t="n">
        <v>0</v>
      </c>
      <c r="AI1067" s="34" t="n"/>
      <c r="AJ1067" s="34" t="n">
        <v>0</v>
      </c>
      <c r="AK1067" s="2" t="n">
        <v>0</v>
      </c>
      <c r="AL1067" t="inlineStr">
        <is>
          <t>Published</t>
        </is>
      </c>
    </row>
    <row r="1068">
      <c r="A1068">
        <f>HYPERLINK("https://www.walmart.com/ip/14510674943", "14510674943")</f>
        <v/>
      </c>
      <c r="B1068">
        <f>HYPERLINK("https://app.optiwise.ai/catalog/itemdetails/13059114", "PEANUTS Womens 100% Cotton Family Matching Pajamas Holiday Festive Nightwear Sleepwear 2-Piece Sets for Christmas Gifts (Black Plaid, XS)")</f>
        <v/>
      </c>
      <c r="C1068" t="inlineStr">
        <is>
          <t>PEA-PJS-FAMILY-WOMEN-BLACKPLAID-XS</t>
        </is>
      </c>
      <c r="D1068" t="inlineStr">
        <is>
          <t>Clothing</t>
        </is>
      </c>
      <c r="E1068" t="inlineStr">
        <is>
          <t>Pajamas</t>
        </is>
      </c>
      <c r="F1068" t="inlineStr">
        <is>
          <t>Peanuts</t>
        </is>
      </c>
      <c r="G1068" t="n">
        <v>0</v>
      </c>
      <c r="H1068" t="n">
        <v>0</v>
      </c>
      <c r="J1068" s="29" t="n">
        <v>0</v>
      </c>
      <c r="K1068" s="30" t="n"/>
      <c r="L1068" s="29" t="n">
        <v>0</v>
      </c>
      <c r="M1068" s="29" t="n">
        <v>0</v>
      </c>
      <c r="N1068" s="2" t="n">
        <v>0</v>
      </c>
      <c r="O1068" s="31" t="n">
        <v>0</v>
      </c>
      <c r="P1068" s="32" t="n"/>
      <c r="Q1068" s="32" t="n">
        <v>0</v>
      </c>
      <c r="R1068" s="32" t="n">
        <v>0</v>
      </c>
      <c r="S1068" s="31" t="n">
        <v>0</v>
      </c>
      <c r="T1068" s="32" t="n">
        <v>0</v>
      </c>
      <c r="U1068" s="31" t="n">
        <v>0</v>
      </c>
      <c r="V1068" s="31" t="n">
        <v>0</v>
      </c>
      <c r="W1068" s="3" t="n">
        <v>0</v>
      </c>
      <c r="X1068" s="3" t="n">
        <v>0</v>
      </c>
      <c r="Y1068" s="32" t="n">
        <v>0</v>
      </c>
      <c r="Z1068" s="3" t="n">
        <v>0</v>
      </c>
      <c r="AA1068" s="32" t="n">
        <v>0</v>
      </c>
      <c r="AB1068" s="3" t="n"/>
      <c r="AC1068" s="31" t="n">
        <v>0</v>
      </c>
      <c r="AD1068" s="2" t="n">
        <v>0</v>
      </c>
      <c r="AE1068" s="2" t="n">
        <v>0</v>
      </c>
      <c r="AF1068" s="4" t="n">
        <v>0</v>
      </c>
      <c r="AG1068" s="33" t="n">
        <v>0</v>
      </c>
      <c r="AH1068" s="4" t="n">
        <v>0</v>
      </c>
      <c r="AI1068" s="34" t="n"/>
      <c r="AJ1068" s="34" t="n">
        <v>0</v>
      </c>
      <c r="AK1068" s="2" t="n">
        <v>0</v>
      </c>
      <c r="AL1068" t="inlineStr">
        <is>
          <t>Published</t>
        </is>
      </c>
    </row>
    <row r="1069">
      <c r="A1069">
        <f>HYPERLINK("https://www.walmart.com/ip/14490551305", "14490551305")</f>
        <v/>
      </c>
      <c r="B1069">
        <f>HYPERLINK("https://app.optiwise.ai/catalog/itemdetails/13059112", "PEANUTS Mens' Cotton Snoopy Family Matching Pajamas 2-Piece Sets for Christmas with Woodstock Charlie Brown Linus, Gift for him (Green Polka Dot, M)")</f>
        <v/>
      </c>
      <c r="C1069" t="inlineStr">
        <is>
          <t>PEA-PJS-FAMILY-MEN-GREEN-M</t>
        </is>
      </c>
      <c r="D1069" t="inlineStr">
        <is>
          <t>Clothing</t>
        </is>
      </c>
      <c r="E1069" t="inlineStr">
        <is>
          <t>Pajamas</t>
        </is>
      </c>
      <c r="F1069" t="inlineStr">
        <is>
          <t>Peanuts</t>
        </is>
      </c>
      <c r="G1069" t="n">
        <v>0</v>
      </c>
      <c r="H1069" t="n">
        <v>0</v>
      </c>
      <c r="J1069" s="29" t="n">
        <v>0</v>
      </c>
      <c r="K1069" s="30" t="n"/>
      <c r="L1069" s="29" t="n">
        <v>0</v>
      </c>
      <c r="M1069" s="29" t="n">
        <v>0</v>
      </c>
      <c r="N1069" s="2" t="n">
        <v>0</v>
      </c>
      <c r="O1069" s="31" t="n">
        <v>0</v>
      </c>
      <c r="P1069" s="32" t="n"/>
      <c r="Q1069" s="32" t="n">
        <v>0</v>
      </c>
      <c r="R1069" s="32" t="n">
        <v>0</v>
      </c>
      <c r="S1069" s="31" t="n">
        <v>0</v>
      </c>
      <c r="T1069" s="32" t="n">
        <v>0</v>
      </c>
      <c r="U1069" s="31" t="n">
        <v>0</v>
      </c>
      <c r="V1069" s="31" t="n">
        <v>0</v>
      </c>
      <c r="W1069" s="3" t="n">
        <v>0</v>
      </c>
      <c r="X1069" s="3" t="n">
        <v>0</v>
      </c>
      <c r="Y1069" s="32" t="n">
        <v>0</v>
      </c>
      <c r="Z1069" s="3" t="n">
        <v>0</v>
      </c>
      <c r="AA1069" s="32" t="n">
        <v>0</v>
      </c>
      <c r="AB1069" s="3" t="n"/>
      <c r="AC1069" s="31" t="n">
        <v>0</v>
      </c>
      <c r="AD1069" s="2" t="n">
        <v>0</v>
      </c>
      <c r="AE1069" s="2" t="n">
        <v>0</v>
      </c>
      <c r="AF1069" s="4" t="n">
        <v>0</v>
      </c>
      <c r="AG1069" s="33" t="n">
        <v>0</v>
      </c>
      <c r="AH1069" s="4" t="n">
        <v>0</v>
      </c>
      <c r="AI1069" s="34" t="n"/>
      <c r="AJ1069" s="34" t="n">
        <v>0</v>
      </c>
      <c r="AK1069" s="2" t="n">
        <v>0</v>
      </c>
      <c r="AL1069" t="inlineStr">
        <is>
          <t>Published</t>
        </is>
      </c>
    </row>
    <row r="1070">
      <c r="A1070">
        <f>HYPERLINK("https://www.walmart.com/ip/14544860347", "14544860347")</f>
        <v/>
      </c>
      <c r="B1070">
        <f>HYPERLINK("https://app.optiwise.ai/catalog/itemdetails/13059110", "PEANUTS Toddler Boys Girls Snoopy Family Matching Pajamas 2-Piece Sets for Christmas with Woodstock Charlie Brown Linus (Green Polka Dot, 3T)")</f>
        <v/>
      </c>
      <c r="C1070" t="inlineStr">
        <is>
          <t>PEA-PJS-FAMILY-TODDLER-GREEN-3T</t>
        </is>
      </c>
      <c r="D1070" t="inlineStr">
        <is>
          <t>Clothing</t>
        </is>
      </c>
      <c r="E1070" t="inlineStr">
        <is>
          <t>Pajamas</t>
        </is>
      </c>
      <c r="F1070" t="inlineStr">
        <is>
          <t>Peanuts</t>
        </is>
      </c>
      <c r="G1070" t="n">
        <v>0</v>
      </c>
      <c r="H1070" t="n">
        <v>0</v>
      </c>
      <c r="J1070" s="29" t="n">
        <v>0</v>
      </c>
      <c r="K1070" s="30" t="n"/>
      <c r="L1070" s="29" t="n">
        <v>0</v>
      </c>
      <c r="M1070" s="29" t="n">
        <v>0</v>
      </c>
      <c r="N1070" s="2" t="n">
        <v>0</v>
      </c>
      <c r="O1070" s="31" t="n">
        <v>0</v>
      </c>
      <c r="P1070" s="32" t="n"/>
      <c r="Q1070" s="32" t="n">
        <v>0</v>
      </c>
      <c r="R1070" s="32" t="n">
        <v>0</v>
      </c>
      <c r="S1070" s="31" t="n">
        <v>0</v>
      </c>
      <c r="T1070" s="32" t="n">
        <v>0</v>
      </c>
      <c r="U1070" s="31" t="n">
        <v>0</v>
      </c>
      <c r="V1070" s="31" t="n">
        <v>0</v>
      </c>
      <c r="W1070" s="3" t="n">
        <v>0</v>
      </c>
      <c r="X1070" s="3" t="n">
        <v>0</v>
      </c>
      <c r="Y1070" s="32" t="n">
        <v>0</v>
      </c>
      <c r="Z1070" s="3" t="n">
        <v>0</v>
      </c>
      <c r="AA1070" s="32" t="n">
        <v>0</v>
      </c>
      <c r="AB1070" s="3" t="n"/>
      <c r="AC1070" s="31" t="n">
        <v>0</v>
      </c>
      <c r="AD1070" s="2" t="n">
        <v>0</v>
      </c>
      <c r="AE1070" s="2" t="n">
        <v>0</v>
      </c>
      <c r="AF1070" s="4" t="n">
        <v>0</v>
      </c>
      <c r="AG1070" s="33" t="n">
        <v>0</v>
      </c>
      <c r="AH1070" s="4" t="n">
        <v>0</v>
      </c>
      <c r="AI1070" s="34" t="n"/>
      <c r="AJ1070" s="34" t="n">
        <v>0</v>
      </c>
      <c r="AK1070" s="2" t="n">
        <v>0</v>
      </c>
      <c r="AL1070" t="inlineStr">
        <is>
          <t>Published</t>
        </is>
      </c>
    </row>
    <row r="1071">
      <c r="A1071">
        <f>HYPERLINK("https://www.walmart.com/ip/14542755473", "14542755473")</f>
        <v/>
      </c>
      <c r="B1071">
        <f>HYPERLINK("https://app.optiwise.ai/catalog/itemdetails/13059109", "PEANUTS Mens' Cotton Snoopy Family Matching Pajamas 2-Piece Sets for Christmas with Woodstock Charlie Brown Linus, Gift for him (Red Plaid, M)")</f>
        <v/>
      </c>
      <c r="C1071" t="inlineStr">
        <is>
          <t>PEA-PJS-FAMILY-MEN-REDPLAID-M</t>
        </is>
      </c>
      <c r="D1071" t="inlineStr">
        <is>
          <t>Clothing</t>
        </is>
      </c>
      <c r="E1071" t="inlineStr">
        <is>
          <t>Pajamas</t>
        </is>
      </c>
      <c r="F1071" t="inlineStr">
        <is>
          <t>Peanuts</t>
        </is>
      </c>
      <c r="G1071" t="n">
        <v>0</v>
      </c>
      <c r="H1071" t="n">
        <v>0</v>
      </c>
      <c r="J1071" s="29" t="n">
        <v>0</v>
      </c>
      <c r="K1071" s="30" t="n"/>
      <c r="L1071" s="29" t="n">
        <v>0</v>
      </c>
      <c r="M1071" s="29" t="n">
        <v>0</v>
      </c>
      <c r="N1071" s="2" t="n">
        <v>0</v>
      </c>
      <c r="O1071" s="31" t="n">
        <v>0</v>
      </c>
      <c r="P1071" s="32" t="n"/>
      <c r="Q1071" s="32" t="n">
        <v>0</v>
      </c>
      <c r="R1071" s="32" t="n">
        <v>0</v>
      </c>
      <c r="S1071" s="31" t="n">
        <v>0</v>
      </c>
      <c r="T1071" s="32" t="n">
        <v>0</v>
      </c>
      <c r="U1071" s="31" t="n">
        <v>0</v>
      </c>
      <c r="V1071" s="31" t="n">
        <v>0</v>
      </c>
      <c r="W1071" s="3" t="n">
        <v>0</v>
      </c>
      <c r="X1071" s="3" t="n">
        <v>0</v>
      </c>
      <c r="Y1071" s="32" t="n">
        <v>0</v>
      </c>
      <c r="Z1071" s="3" t="n">
        <v>0</v>
      </c>
      <c r="AA1071" s="32" t="n">
        <v>0</v>
      </c>
      <c r="AB1071" s="3" t="n"/>
      <c r="AC1071" s="31" t="n">
        <v>0</v>
      </c>
      <c r="AD1071" s="2" t="n">
        <v>0</v>
      </c>
      <c r="AE1071" s="2" t="n">
        <v>0</v>
      </c>
      <c r="AF1071" s="4" t="n">
        <v>0</v>
      </c>
      <c r="AG1071" s="33" t="n">
        <v>0</v>
      </c>
      <c r="AH1071" s="4" t="n">
        <v>0</v>
      </c>
      <c r="AI1071" s="34" t="n"/>
      <c r="AJ1071" s="34" t="n">
        <v>0</v>
      </c>
      <c r="AK1071" s="2" t="n">
        <v>0</v>
      </c>
      <c r="AL1071" t="inlineStr">
        <is>
          <t>Published</t>
        </is>
      </c>
    </row>
    <row r="1072">
      <c r="A1072">
        <f>HYPERLINK("https://www.walmart.com/ip/14542755471", "14542755471")</f>
        <v/>
      </c>
      <c r="B1072">
        <f>HYPERLINK("https://app.optiwise.ai/catalog/itemdetails/13059108", "PEANUTS Womens 100% Cotton Family Matching Pajamas Holiday Festive Nightwear Sleepwear 2-Piece Sets for Christmas Gifts (Red Polka Dot, XS)")</f>
        <v/>
      </c>
      <c r="C1072" t="inlineStr">
        <is>
          <t>PEA-PJS-FAMILY-WOMEN-RED-XS</t>
        </is>
      </c>
      <c r="D1072" t="inlineStr">
        <is>
          <t>Clothing</t>
        </is>
      </c>
      <c r="E1072" t="inlineStr">
        <is>
          <t>Pajamas</t>
        </is>
      </c>
      <c r="F1072" t="inlineStr">
        <is>
          <t>Peanuts</t>
        </is>
      </c>
      <c r="G1072" t="n">
        <v>0</v>
      </c>
      <c r="H1072" t="n">
        <v>0</v>
      </c>
      <c r="J1072" s="29" t="n">
        <v>0</v>
      </c>
      <c r="K1072" s="30" t="n"/>
      <c r="L1072" s="29" t="n">
        <v>0</v>
      </c>
      <c r="M1072" s="29" t="n">
        <v>0</v>
      </c>
      <c r="N1072" s="2" t="n">
        <v>0</v>
      </c>
      <c r="O1072" s="31" t="n">
        <v>0</v>
      </c>
      <c r="P1072" s="32" t="n"/>
      <c r="Q1072" s="32" t="n">
        <v>0</v>
      </c>
      <c r="R1072" s="32" t="n">
        <v>0</v>
      </c>
      <c r="S1072" s="31" t="n">
        <v>0</v>
      </c>
      <c r="T1072" s="32" t="n">
        <v>0</v>
      </c>
      <c r="U1072" s="31" t="n">
        <v>0</v>
      </c>
      <c r="V1072" s="31" t="n">
        <v>0</v>
      </c>
      <c r="W1072" s="3" t="n">
        <v>0</v>
      </c>
      <c r="X1072" s="3" t="n">
        <v>0</v>
      </c>
      <c r="Y1072" s="32" t="n">
        <v>0</v>
      </c>
      <c r="Z1072" s="3" t="n">
        <v>0</v>
      </c>
      <c r="AA1072" s="32" t="n">
        <v>0</v>
      </c>
      <c r="AB1072" s="3" t="n"/>
      <c r="AC1072" s="31" t="n">
        <v>0</v>
      </c>
      <c r="AD1072" s="2" t="n">
        <v>0</v>
      </c>
      <c r="AE1072" s="2" t="n">
        <v>0</v>
      </c>
      <c r="AF1072" s="4" t="n">
        <v>0</v>
      </c>
      <c r="AG1072" s="33" t="n">
        <v>0</v>
      </c>
      <c r="AH1072" s="4" t="n">
        <v>0</v>
      </c>
      <c r="AI1072" s="34" t="n"/>
      <c r="AJ1072" s="34" t="n">
        <v>0</v>
      </c>
      <c r="AK1072" s="2" t="n">
        <v>0</v>
      </c>
      <c r="AL1072" t="inlineStr">
        <is>
          <t>Published</t>
        </is>
      </c>
    </row>
    <row r="1073">
      <c r="A1073">
        <f>HYPERLINK("https://www.walmart.com/ip/14527764280", "14527764280")</f>
        <v/>
      </c>
      <c r="B1073">
        <f>HYPERLINK("https://app.optiwise.ai/catalog/itemdetails/13059106", "PEANUTS Mens' Cotton Snoopy Family Matching Pajamas 2-Piece Sets for Christmas with Woodstock Charlie Brown Linus, Gift for him (Red Plaid, S)")</f>
        <v/>
      </c>
      <c r="C1073" t="inlineStr">
        <is>
          <t>PEA-PJS-FAMILY-MEN-REDPLAID-S</t>
        </is>
      </c>
      <c r="D1073" t="inlineStr">
        <is>
          <t>Clothing</t>
        </is>
      </c>
      <c r="E1073" t="inlineStr">
        <is>
          <t>Pajamas</t>
        </is>
      </c>
      <c r="F1073" t="inlineStr">
        <is>
          <t>Peanuts</t>
        </is>
      </c>
      <c r="G1073" t="n">
        <v>0</v>
      </c>
      <c r="H1073" t="n">
        <v>0</v>
      </c>
      <c r="J1073" s="29" t="n">
        <v>0</v>
      </c>
      <c r="K1073" s="30" t="n"/>
      <c r="L1073" s="29" t="n">
        <v>0</v>
      </c>
      <c r="M1073" s="29" t="n">
        <v>0</v>
      </c>
      <c r="N1073" s="2" t="n">
        <v>0</v>
      </c>
      <c r="O1073" s="31" t="n">
        <v>0</v>
      </c>
      <c r="P1073" s="32" t="n"/>
      <c r="Q1073" s="32" t="n">
        <v>0</v>
      </c>
      <c r="R1073" s="32" t="n">
        <v>0</v>
      </c>
      <c r="S1073" s="31" t="n">
        <v>0</v>
      </c>
      <c r="T1073" s="32" t="n">
        <v>0</v>
      </c>
      <c r="U1073" s="31" t="n">
        <v>0</v>
      </c>
      <c r="V1073" s="31" t="n">
        <v>0</v>
      </c>
      <c r="W1073" s="3" t="n">
        <v>0</v>
      </c>
      <c r="X1073" s="3" t="n">
        <v>0</v>
      </c>
      <c r="Y1073" s="32" t="n">
        <v>0</v>
      </c>
      <c r="Z1073" s="3" t="n">
        <v>0</v>
      </c>
      <c r="AA1073" s="32" t="n">
        <v>0</v>
      </c>
      <c r="AB1073" s="3" t="n"/>
      <c r="AC1073" s="31" t="n">
        <v>0</v>
      </c>
      <c r="AD1073" s="2" t="n">
        <v>0</v>
      </c>
      <c r="AE1073" s="2" t="n">
        <v>0</v>
      </c>
      <c r="AF1073" s="4" t="n">
        <v>0</v>
      </c>
      <c r="AG1073" s="33" t="n">
        <v>0</v>
      </c>
      <c r="AH1073" s="4" t="n">
        <v>0</v>
      </c>
      <c r="AI1073" s="34" t="n"/>
      <c r="AJ1073" s="34" t="n">
        <v>0</v>
      </c>
      <c r="AK1073" s="2" t="n">
        <v>0</v>
      </c>
      <c r="AL1073" t="inlineStr">
        <is>
          <t>Published</t>
        </is>
      </c>
    </row>
    <row r="1074">
      <c r="A1074">
        <f>HYPERLINK("https://www.walmart.com/ip/14523702237", "14523702237")</f>
        <v/>
      </c>
      <c r="B1074">
        <f>HYPERLINK("https://app.optiwise.ai/catalog/itemdetails/13059105", "PEANUTS Toddler Boys Girls Snoopy Family Matching Pajamas Sleepwear 2-Piece Sets for Christmas with Woodstock Charlie Brown Linus (Red Plaid, 3T)")</f>
        <v/>
      </c>
      <c r="C1074" t="inlineStr">
        <is>
          <t>PEA-PJS-FAMILY-TODDLER-REDPLAID-3T</t>
        </is>
      </c>
      <c r="D1074" t="inlineStr">
        <is>
          <t>Clothing</t>
        </is>
      </c>
      <c r="E1074" t="inlineStr">
        <is>
          <t>Pajamas</t>
        </is>
      </c>
      <c r="F1074" t="inlineStr">
        <is>
          <t>Peanuts</t>
        </is>
      </c>
      <c r="G1074" t="n">
        <v>0</v>
      </c>
      <c r="H1074" t="n">
        <v>0</v>
      </c>
      <c r="J1074" s="29" t="n">
        <v>0</v>
      </c>
      <c r="K1074" s="30" t="n"/>
      <c r="L1074" s="29" t="n">
        <v>0</v>
      </c>
      <c r="M1074" s="29" t="n">
        <v>0</v>
      </c>
      <c r="N1074" s="2" t="n">
        <v>0</v>
      </c>
      <c r="O1074" s="31" t="n">
        <v>0</v>
      </c>
      <c r="P1074" s="32" t="n"/>
      <c r="Q1074" s="32" t="n">
        <v>0</v>
      </c>
      <c r="R1074" s="32" t="n">
        <v>0</v>
      </c>
      <c r="S1074" s="31" t="n">
        <v>0</v>
      </c>
      <c r="T1074" s="32" t="n">
        <v>0</v>
      </c>
      <c r="U1074" s="31" t="n">
        <v>0</v>
      </c>
      <c r="V1074" s="31" t="n">
        <v>0</v>
      </c>
      <c r="W1074" s="3" t="n">
        <v>0</v>
      </c>
      <c r="X1074" s="3" t="n">
        <v>0</v>
      </c>
      <c r="Y1074" s="32" t="n">
        <v>0</v>
      </c>
      <c r="Z1074" s="3" t="n">
        <v>0</v>
      </c>
      <c r="AA1074" s="32" t="n">
        <v>0</v>
      </c>
      <c r="AB1074" s="3" t="n"/>
      <c r="AC1074" s="31" t="n">
        <v>0</v>
      </c>
      <c r="AD1074" s="2" t="n">
        <v>0</v>
      </c>
      <c r="AE1074" s="2" t="n">
        <v>0</v>
      </c>
      <c r="AF1074" s="4" t="n">
        <v>0</v>
      </c>
      <c r="AG1074" s="33" t="n">
        <v>0</v>
      </c>
      <c r="AH1074" s="4" t="n">
        <v>0</v>
      </c>
      <c r="AI1074" s="34" t="n"/>
      <c r="AJ1074" s="34" t="n">
        <v>0</v>
      </c>
      <c r="AK1074" s="2" t="n">
        <v>0</v>
      </c>
      <c r="AL1074" t="inlineStr">
        <is>
          <t>Published</t>
        </is>
      </c>
    </row>
    <row r="1075">
      <c r="A1075">
        <f>HYPERLINK("https://www.walmart.com/ip/14523702233", "14523702233")</f>
        <v/>
      </c>
      <c r="B1075">
        <f>HYPERLINK("https://app.optiwise.ai/catalog/itemdetails/13059104", "PEANUTS Womens 100% Cotton Family Matching Pajamas Holiday Festive Nightwear Sleepwear 2-Piece Sets for Christmas Gifts (Red Plaid, XS)")</f>
        <v/>
      </c>
      <c r="C1075" t="inlineStr">
        <is>
          <t>PEA-PJS-FAMILY-WOMEN-REDPLAID-XS</t>
        </is>
      </c>
      <c r="D1075" t="inlineStr">
        <is>
          <t>Clothing</t>
        </is>
      </c>
      <c r="E1075" t="inlineStr">
        <is>
          <t>Pajamas</t>
        </is>
      </c>
      <c r="F1075" t="inlineStr">
        <is>
          <t>Peanuts</t>
        </is>
      </c>
      <c r="G1075" t="n">
        <v>0</v>
      </c>
      <c r="H1075" t="n">
        <v>0</v>
      </c>
      <c r="J1075" s="29" t="n">
        <v>0</v>
      </c>
      <c r="K1075" s="30" t="n"/>
      <c r="L1075" s="29" t="n">
        <v>0</v>
      </c>
      <c r="M1075" s="29" t="n">
        <v>0</v>
      </c>
      <c r="N1075" s="2" t="n">
        <v>0</v>
      </c>
      <c r="O1075" s="31" t="n">
        <v>0</v>
      </c>
      <c r="P1075" s="32" t="n"/>
      <c r="Q1075" s="32" t="n">
        <v>0</v>
      </c>
      <c r="R1075" s="32" t="n">
        <v>0</v>
      </c>
      <c r="S1075" s="31" t="n">
        <v>0</v>
      </c>
      <c r="T1075" s="32" t="n">
        <v>0</v>
      </c>
      <c r="U1075" s="31" t="n">
        <v>0</v>
      </c>
      <c r="V1075" s="31" t="n">
        <v>0</v>
      </c>
      <c r="W1075" s="3" t="n">
        <v>0</v>
      </c>
      <c r="X1075" s="3" t="n">
        <v>0</v>
      </c>
      <c r="Y1075" s="32" t="n">
        <v>0</v>
      </c>
      <c r="Z1075" s="3" t="n">
        <v>0</v>
      </c>
      <c r="AA1075" s="32" t="n">
        <v>0</v>
      </c>
      <c r="AB1075" s="3" t="n"/>
      <c r="AC1075" s="31" t="n">
        <v>0</v>
      </c>
      <c r="AD1075" s="2" t="n">
        <v>0</v>
      </c>
      <c r="AE1075" s="2" t="n">
        <v>0</v>
      </c>
      <c r="AF1075" s="4" t="n">
        <v>0</v>
      </c>
      <c r="AG1075" s="33" t="n">
        <v>0</v>
      </c>
      <c r="AH1075" s="4" t="n">
        <v>0</v>
      </c>
      <c r="AI1075" s="34" t="n"/>
      <c r="AJ1075" s="34" t="n">
        <v>0</v>
      </c>
      <c r="AK1075" s="2" t="n">
        <v>0</v>
      </c>
      <c r="AL1075" t="inlineStr">
        <is>
          <t>Published</t>
        </is>
      </c>
    </row>
    <row r="1076">
      <c r="A1076">
        <f>HYPERLINK("https://www.walmart.com/ip/14515717039", "14515717039")</f>
        <v/>
      </c>
      <c r="B1076">
        <f>HYPERLINK("https://app.optiwise.ai/catalog/itemdetails/13059101", "PEANUTS Mens' Cotton Snoopy Family Matching Pajamas 2-Piece Sets for Christmas with Woodstock Charlie Brown Linus, Gift for him (Black Plaid, XL)")</f>
        <v/>
      </c>
      <c r="C1076" t="inlineStr">
        <is>
          <t>PEA-PJS-FAMILY-MEN-BLACKPLAID-XL</t>
        </is>
      </c>
      <c r="D1076" t="inlineStr">
        <is>
          <t>Clothing</t>
        </is>
      </c>
      <c r="E1076" t="inlineStr">
        <is>
          <t>Pajamas</t>
        </is>
      </c>
      <c r="F1076" t="inlineStr">
        <is>
          <t>Peanuts</t>
        </is>
      </c>
      <c r="G1076" t="n">
        <v>0</v>
      </c>
      <c r="H1076" t="n">
        <v>0</v>
      </c>
      <c r="J1076" s="29" t="n">
        <v>0</v>
      </c>
      <c r="K1076" s="30" t="n"/>
      <c r="L1076" s="29" t="n">
        <v>0</v>
      </c>
      <c r="M1076" s="29" t="n">
        <v>0</v>
      </c>
      <c r="N1076" s="2" t="n">
        <v>0</v>
      </c>
      <c r="O1076" s="31" t="n">
        <v>0</v>
      </c>
      <c r="P1076" s="32" t="n"/>
      <c r="Q1076" s="32" t="n">
        <v>0</v>
      </c>
      <c r="R1076" s="32" t="n">
        <v>0</v>
      </c>
      <c r="S1076" s="31" t="n">
        <v>0</v>
      </c>
      <c r="T1076" s="32" t="n">
        <v>0</v>
      </c>
      <c r="U1076" s="31" t="n">
        <v>0</v>
      </c>
      <c r="V1076" s="31" t="n">
        <v>0</v>
      </c>
      <c r="W1076" s="3" t="n">
        <v>0</v>
      </c>
      <c r="X1076" s="3" t="n">
        <v>0</v>
      </c>
      <c r="Y1076" s="32" t="n">
        <v>0</v>
      </c>
      <c r="Z1076" s="3" t="n">
        <v>0</v>
      </c>
      <c r="AA1076" s="32" t="n">
        <v>0</v>
      </c>
      <c r="AB1076" s="3" t="n"/>
      <c r="AC1076" s="31" t="n">
        <v>0</v>
      </c>
      <c r="AD1076" s="2" t="n">
        <v>0</v>
      </c>
      <c r="AE1076" s="2" t="n">
        <v>0</v>
      </c>
      <c r="AF1076" s="4" t="n">
        <v>0</v>
      </c>
      <c r="AG1076" s="33" t="n">
        <v>0</v>
      </c>
      <c r="AH1076" s="4" t="n">
        <v>0</v>
      </c>
      <c r="AI1076" s="34" t="n"/>
      <c r="AJ1076" s="34" t="n">
        <v>0</v>
      </c>
      <c r="AK1076" s="2" t="n">
        <v>0</v>
      </c>
      <c r="AL1076" t="inlineStr">
        <is>
          <t>Published</t>
        </is>
      </c>
    </row>
    <row r="1077">
      <c r="A1077">
        <f>HYPERLINK("https://www.walmart.com/ip/14516958879", "14516958879")</f>
        <v/>
      </c>
      <c r="B1077">
        <f>HYPERLINK("https://app.optiwise.ai/catalog/itemdetails/13059086", "PEANUTS Snoopy 100% Cotton Family Matching Pajamas Holiday 2-Piece Sets for Christmas with Woodstock Charlie Brown Linus for Baby (Red Plaid, 6M)")</f>
        <v/>
      </c>
      <c r="C1077" t="inlineStr">
        <is>
          <t>PEA-PJS-FAMILY-INFANT-REDPLAID-6M</t>
        </is>
      </c>
      <c r="D1077" t="inlineStr">
        <is>
          <t>Clothing</t>
        </is>
      </c>
      <c r="E1077" t="inlineStr">
        <is>
          <t>Pajamas</t>
        </is>
      </c>
      <c r="F1077" t="inlineStr">
        <is>
          <t>Peanuts</t>
        </is>
      </c>
      <c r="G1077" t="n">
        <v>0</v>
      </c>
      <c r="H1077" t="n">
        <v>0</v>
      </c>
      <c r="J1077" s="29" t="n">
        <v>0</v>
      </c>
      <c r="K1077" s="30" t="n"/>
      <c r="L1077" s="29" t="n">
        <v>0</v>
      </c>
      <c r="M1077" s="29" t="n">
        <v>0</v>
      </c>
      <c r="N1077" s="2" t="n">
        <v>0</v>
      </c>
      <c r="O1077" s="31" t="n">
        <v>0</v>
      </c>
      <c r="P1077" s="32" t="n"/>
      <c r="Q1077" s="32" t="n">
        <v>0</v>
      </c>
      <c r="R1077" s="32" t="n">
        <v>0</v>
      </c>
      <c r="S1077" s="31" t="n">
        <v>0</v>
      </c>
      <c r="T1077" s="32" t="n">
        <v>0</v>
      </c>
      <c r="U1077" s="31" t="n">
        <v>0</v>
      </c>
      <c r="V1077" s="31" t="n">
        <v>0</v>
      </c>
      <c r="W1077" s="3" t="n">
        <v>0</v>
      </c>
      <c r="X1077" s="3" t="n">
        <v>0</v>
      </c>
      <c r="Y1077" s="32" t="n">
        <v>0</v>
      </c>
      <c r="Z1077" s="3" t="n">
        <v>0</v>
      </c>
      <c r="AA1077" s="32" t="n">
        <v>0</v>
      </c>
      <c r="AB1077" s="3" t="n"/>
      <c r="AC1077" s="31" t="n">
        <v>0</v>
      </c>
      <c r="AD1077" s="2" t="n">
        <v>0</v>
      </c>
      <c r="AE1077" s="2" t="n">
        <v>0</v>
      </c>
      <c r="AF1077" s="4" t="n">
        <v>0</v>
      </c>
      <c r="AG1077" s="33" t="n">
        <v>0</v>
      </c>
      <c r="AH1077" s="4" t="n">
        <v>0</v>
      </c>
      <c r="AI1077" s="34" t="n"/>
      <c r="AJ1077" s="34" t="n">
        <v>0</v>
      </c>
      <c r="AK1077" s="2" t="n">
        <v>0</v>
      </c>
      <c r="AL1077" t="inlineStr">
        <is>
          <t>Published</t>
        </is>
      </c>
    </row>
    <row r="1078">
      <c r="A1078">
        <f>HYPERLINK("https://www.walmart.com/ip/14515567521", "14515567521")</f>
        <v/>
      </c>
      <c r="B1078">
        <f>HYPERLINK("https://app.optiwise.ai/catalog/itemdetails/13059100", "PEANUTS Snoopy Family Matching Pajamas Holiday Festive Nightwear Sleepwear 2-Piece Sets for Christmas - Women (Red Plaid, M)")</f>
        <v/>
      </c>
      <c r="C1078" t="inlineStr">
        <is>
          <t>PEA-PJS-FAMILY-WOMEN-REDPLAID-M</t>
        </is>
      </c>
      <c r="D1078" t="inlineStr">
        <is>
          <t>Clothing</t>
        </is>
      </c>
      <c r="E1078" t="inlineStr">
        <is>
          <t>Pajamas</t>
        </is>
      </c>
      <c r="F1078" t="inlineStr">
        <is>
          <t>Peanuts</t>
        </is>
      </c>
      <c r="G1078" t="n">
        <v>0</v>
      </c>
      <c r="H1078" t="n">
        <v>0</v>
      </c>
      <c r="J1078" s="29" t="n">
        <v>0</v>
      </c>
      <c r="K1078" s="30" t="n"/>
      <c r="L1078" s="29" t="n">
        <v>0</v>
      </c>
      <c r="M1078" s="29" t="n">
        <v>0</v>
      </c>
      <c r="N1078" s="2" t="n">
        <v>0</v>
      </c>
      <c r="O1078" s="31" t="n">
        <v>0</v>
      </c>
      <c r="P1078" s="32" t="n"/>
      <c r="Q1078" s="32" t="n">
        <v>0</v>
      </c>
      <c r="R1078" s="32" t="n">
        <v>0</v>
      </c>
      <c r="S1078" s="31" t="n">
        <v>0</v>
      </c>
      <c r="T1078" s="32" t="n">
        <v>0</v>
      </c>
      <c r="U1078" s="31" t="n">
        <v>0</v>
      </c>
      <c r="V1078" s="31" t="n">
        <v>0</v>
      </c>
      <c r="W1078" s="3" t="n">
        <v>0</v>
      </c>
      <c r="X1078" s="3" t="n">
        <v>0</v>
      </c>
      <c r="Y1078" s="32" t="n">
        <v>0</v>
      </c>
      <c r="Z1078" s="3" t="n">
        <v>0</v>
      </c>
      <c r="AA1078" s="32" t="n">
        <v>0</v>
      </c>
      <c r="AB1078" s="3" t="n"/>
      <c r="AC1078" s="31" t="n">
        <v>0</v>
      </c>
      <c r="AD1078" s="2" t="n">
        <v>0</v>
      </c>
      <c r="AE1078" s="2" t="n">
        <v>0</v>
      </c>
      <c r="AF1078" s="4" t="n">
        <v>0</v>
      </c>
      <c r="AG1078" s="33" t="n">
        <v>0</v>
      </c>
      <c r="AH1078" s="4" t="n">
        <v>0</v>
      </c>
      <c r="AI1078" s="34" t="n"/>
      <c r="AJ1078" s="34" t="n">
        <v>0</v>
      </c>
      <c r="AK1078" s="2" t="n">
        <v>0</v>
      </c>
      <c r="AL1078" t="inlineStr">
        <is>
          <t>Published</t>
        </is>
      </c>
    </row>
    <row r="1079">
      <c r="A1079">
        <f>HYPERLINK("https://www.walmart.com/ip/14514159362", "14514159362")</f>
        <v/>
      </c>
      <c r="B1079">
        <f>HYPERLINK("https://app.optiwise.ai/catalog/itemdetails/13059099", "PEANUTS Snoopy 100% Cotton Family Matching Pajamas Holiday 2-Piece Sets for Christmas with Woodstock Charlie Brown Linus for Baby (Red Polka Dot, 6M)")</f>
        <v/>
      </c>
      <c r="C1079" t="inlineStr">
        <is>
          <t>PEA-PJS-FAMILY-INFANT-RED-6M</t>
        </is>
      </c>
      <c r="D1079" t="inlineStr">
        <is>
          <t>Clothing</t>
        </is>
      </c>
      <c r="E1079" t="inlineStr">
        <is>
          <t>Pajamas</t>
        </is>
      </c>
      <c r="F1079" t="inlineStr">
        <is>
          <t>Peanuts</t>
        </is>
      </c>
      <c r="G1079" t="n">
        <v>0</v>
      </c>
      <c r="H1079" t="n">
        <v>0</v>
      </c>
      <c r="J1079" s="29" t="n">
        <v>0</v>
      </c>
      <c r="K1079" s="30" t="n"/>
      <c r="L1079" s="29" t="n">
        <v>0</v>
      </c>
      <c r="M1079" s="29" t="n">
        <v>0</v>
      </c>
      <c r="N1079" s="2" t="n">
        <v>0</v>
      </c>
      <c r="O1079" s="31" t="n">
        <v>0</v>
      </c>
      <c r="P1079" s="32" t="n"/>
      <c r="Q1079" s="32" t="n">
        <v>0</v>
      </c>
      <c r="R1079" s="32" t="n">
        <v>0</v>
      </c>
      <c r="S1079" s="31" t="n">
        <v>0</v>
      </c>
      <c r="T1079" s="32" t="n">
        <v>0</v>
      </c>
      <c r="U1079" s="31" t="n">
        <v>0</v>
      </c>
      <c r="V1079" s="31" t="n">
        <v>0</v>
      </c>
      <c r="W1079" s="3" t="n">
        <v>0</v>
      </c>
      <c r="X1079" s="3" t="n">
        <v>0</v>
      </c>
      <c r="Y1079" s="32" t="n">
        <v>0</v>
      </c>
      <c r="Z1079" s="3" t="n">
        <v>0</v>
      </c>
      <c r="AA1079" s="32" t="n">
        <v>0</v>
      </c>
      <c r="AB1079" s="3" t="n"/>
      <c r="AC1079" s="31" t="n">
        <v>0</v>
      </c>
      <c r="AD1079" s="2" t="n">
        <v>0</v>
      </c>
      <c r="AE1079" s="2" t="n">
        <v>0</v>
      </c>
      <c r="AF1079" s="4" t="n">
        <v>0</v>
      </c>
      <c r="AG1079" s="33" t="n">
        <v>0</v>
      </c>
      <c r="AH1079" s="4" t="n">
        <v>0</v>
      </c>
      <c r="AI1079" s="34" t="n"/>
      <c r="AJ1079" s="34" t="n">
        <v>0</v>
      </c>
      <c r="AK1079" s="2" t="n">
        <v>0</v>
      </c>
      <c r="AL1079" t="inlineStr">
        <is>
          <t>Published</t>
        </is>
      </c>
    </row>
    <row r="1080">
      <c r="A1080">
        <f>HYPERLINK("https://www.walmart.com/ip/14510359194", "14510359194")</f>
        <v/>
      </c>
      <c r="B1080">
        <f>HYPERLINK("https://app.optiwise.ai/catalog/itemdetails/13059098", "PEANUTS Snoopy 100% Cotton Family Matching Pajamas Holiday 2-Piece Sets for Christmas with Woodstock Charlie Brown Linus for Baby (Black Plaid, 6M)")</f>
        <v/>
      </c>
      <c r="C1080" t="inlineStr">
        <is>
          <t>PEA-PJS-FAMILY-INFANT-BLACKPLAID-6M</t>
        </is>
      </c>
      <c r="D1080" t="inlineStr">
        <is>
          <t>Clothing</t>
        </is>
      </c>
      <c r="E1080" t="inlineStr">
        <is>
          <t>Pajamas</t>
        </is>
      </c>
      <c r="F1080" t="inlineStr">
        <is>
          <t>Peanuts</t>
        </is>
      </c>
      <c r="G1080" t="n">
        <v>0</v>
      </c>
      <c r="H1080" t="n">
        <v>0</v>
      </c>
      <c r="J1080" s="29" t="n">
        <v>0</v>
      </c>
      <c r="K1080" s="30" t="n"/>
      <c r="L1080" s="29" t="n">
        <v>0</v>
      </c>
      <c r="M1080" s="29" t="n">
        <v>0</v>
      </c>
      <c r="N1080" s="2" t="n">
        <v>0</v>
      </c>
      <c r="O1080" s="31" t="n">
        <v>0</v>
      </c>
      <c r="P1080" s="32" t="n"/>
      <c r="Q1080" s="32" t="n">
        <v>0</v>
      </c>
      <c r="R1080" s="32" t="n">
        <v>0</v>
      </c>
      <c r="S1080" s="31" t="n">
        <v>0</v>
      </c>
      <c r="T1080" s="32" t="n">
        <v>0</v>
      </c>
      <c r="U1080" s="31" t="n">
        <v>0</v>
      </c>
      <c r="V1080" s="31" t="n">
        <v>0</v>
      </c>
      <c r="W1080" s="3" t="n">
        <v>0</v>
      </c>
      <c r="X1080" s="3" t="n">
        <v>0</v>
      </c>
      <c r="Y1080" s="32" t="n">
        <v>0</v>
      </c>
      <c r="Z1080" s="3" t="n">
        <v>0</v>
      </c>
      <c r="AA1080" s="32" t="n">
        <v>0</v>
      </c>
      <c r="AB1080" s="3" t="n"/>
      <c r="AC1080" s="31" t="n">
        <v>0</v>
      </c>
      <c r="AD1080" s="2" t="n">
        <v>0</v>
      </c>
      <c r="AE1080" s="2" t="n">
        <v>0</v>
      </c>
      <c r="AF1080" s="4" t="n">
        <v>0</v>
      </c>
      <c r="AG1080" s="33" t="n">
        <v>0</v>
      </c>
      <c r="AH1080" s="4" t="n">
        <v>0</v>
      </c>
      <c r="AI1080" s="34" t="n"/>
      <c r="AJ1080" s="34" t="n">
        <v>0</v>
      </c>
      <c r="AK1080" s="2" t="n">
        <v>0</v>
      </c>
      <c r="AL1080" t="inlineStr">
        <is>
          <t>Published</t>
        </is>
      </c>
    </row>
    <row r="1081">
      <c r="A1081">
        <f>HYPERLINK("https://www.walmart.com/ip/14509171581", "14509171581")</f>
        <v/>
      </c>
      <c r="B1081">
        <f>HYPERLINK("https://app.optiwise.ai/catalog/itemdetails/13059097", "PEANUTS Toddler Boys Girls Snoopy Family Matching Pajamas Sleepwear 2-Piece Sets for Christmas with Woodstock Charlie Brown Linus (Red Polka Dot, 2T)")</f>
        <v/>
      </c>
      <c r="C1081" t="inlineStr">
        <is>
          <t>PEA-PJS-FAMILY-TODDLER-RED-2T</t>
        </is>
      </c>
      <c r="D1081" t="inlineStr">
        <is>
          <t>Clothing</t>
        </is>
      </c>
      <c r="E1081" t="inlineStr">
        <is>
          <t>Pajamas</t>
        </is>
      </c>
      <c r="F1081" t="inlineStr">
        <is>
          <t>Peanuts</t>
        </is>
      </c>
      <c r="G1081" t="n">
        <v>0</v>
      </c>
      <c r="H1081" t="n">
        <v>0</v>
      </c>
      <c r="J1081" s="29" t="n">
        <v>0</v>
      </c>
      <c r="K1081" s="30" t="n"/>
      <c r="L1081" s="29" t="n">
        <v>0</v>
      </c>
      <c r="M1081" s="29" t="n">
        <v>0</v>
      </c>
      <c r="N1081" s="2" t="n">
        <v>0</v>
      </c>
      <c r="O1081" s="31" t="n">
        <v>0</v>
      </c>
      <c r="P1081" s="32" t="n"/>
      <c r="Q1081" s="32" t="n">
        <v>0</v>
      </c>
      <c r="R1081" s="32" t="n">
        <v>0</v>
      </c>
      <c r="S1081" s="31" t="n">
        <v>0</v>
      </c>
      <c r="T1081" s="32" t="n">
        <v>0</v>
      </c>
      <c r="U1081" s="31" t="n">
        <v>0</v>
      </c>
      <c r="V1081" s="31" t="n">
        <v>0</v>
      </c>
      <c r="W1081" s="3" t="n">
        <v>0</v>
      </c>
      <c r="X1081" s="3" t="n">
        <v>0</v>
      </c>
      <c r="Y1081" s="32" t="n">
        <v>0</v>
      </c>
      <c r="Z1081" s="3" t="n">
        <v>0</v>
      </c>
      <c r="AA1081" s="32" t="n">
        <v>0</v>
      </c>
      <c r="AB1081" s="3" t="n"/>
      <c r="AC1081" s="31" t="n">
        <v>0</v>
      </c>
      <c r="AD1081" s="2" t="n">
        <v>0</v>
      </c>
      <c r="AE1081" s="2" t="n">
        <v>0</v>
      </c>
      <c r="AF1081" s="4" t="n">
        <v>0</v>
      </c>
      <c r="AG1081" s="33" t="n">
        <v>0</v>
      </c>
      <c r="AH1081" s="4" t="n">
        <v>0</v>
      </c>
      <c r="AI1081" s="34" t="n"/>
      <c r="AJ1081" s="34" t="n">
        <v>0</v>
      </c>
      <c r="AK1081" s="2" t="n">
        <v>0</v>
      </c>
      <c r="AL1081" t="inlineStr">
        <is>
          <t>Published</t>
        </is>
      </c>
    </row>
    <row r="1082">
      <c r="A1082">
        <f>HYPERLINK("https://www.walmart.com/ip/14508600270", "14508600270")</f>
        <v/>
      </c>
      <c r="B1082">
        <f>HYPERLINK("https://app.optiwise.ai/catalog/itemdetails/13059096", "PEANUTS Womens 100% Cotton Family Matching Pajamas Holiday Festive Nightwear Sleepwear 2-Piece Sets for Christmas Gifts (Red Polka Dot, XL)")</f>
        <v/>
      </c>
      <c r="C1082" t="inlineStr">
        <is>
          <t>PEA-PJS-FAMILY-WOMEN-RED-XL</t>
        </is>
      </c>
      <c r="D1082" t="inlineStr">
        <is>
          <t>Clothing</t>
        </is>
      </c>
      <c r="E1082" t="inlineStr">
        <is>
          <t>Pajamas</t>
        </is>
      </c>
      <c r="F1082" t="inlineStr">
        <is>
          <t>Peanuts</t>
        </is>
      </c>
      <c r="G1082" t="n">
        <v>0</v>
      </c>
      <c r="H1082" t="n">
        <v>0</v>
      </c>
      <c r="J1082" s="29" t="n">
        <v>0</v>
      </c>
      <c r="K1082" s="30" t="n"/>
      <c r="L1082" s="29" t="n">
        <v>0</v>
      </c>
      <c r="M1082" s="29" t="n">
        <v>0</v>
      </c>
      <c r="N1082" s="2" t="n">
        <v>0</v>
      </c>
      <c r="O1082" s="31" t="n">
        <v>0</v>
      </c>
      <c r="P1082" s="32" t="n"/>
      <c r="Q1082" s="32" t="n">
        <v>0</v>
      </c>
      <c r="R1082" s="32" t="n">
        <v>0</v>
      </c>
      <c r="S1082" s="31" t="n">
        <v>0</v>
      </c>
      <c r="T1082" s="32" t="n">
        <v>0</v>
      </c>
      <c r="U1082" s="31" t="n">
        <v>0</v>
      </c>
      <c r="V1082" s="31" t="n">
        <v>0</v>
      </c>
      <c r="W1082" s="3" t="n">
        <v>0</v>
      </c>
      <c r="X1082" s="3" t="n">
        <v>0</v>
      </c>
      <c r="Y1082" s="32" t="n">
        <v>0</v>
      </c>
      <c r="Z1082" s="3" t="n">
        <v>0</v>
      </c>
      <c r="AA1082" s="32" t="n">
        <v>0</v>
      </c>
      <c r="AB1082" s="3" t="n"/>
      <c r="AC1082" s="31" t="n">
        <v>0</v>
      </c>
      <c r="AD1082" s="2" t="n">
        <v>0</v>
      </c>
      <c r="AE1082" s="2" t="n">
        <v>0</v>
      </c>
      <c r="AF1082" s="4" t="n">
        <v>0</v>
      </c>
      <c r="AG1082" s="33" t="n">
        <v>0</v>
      </c>
      <c r="AH1082" s="4" t="n">
        <v>0</v>
      </c>
      <c r="AI1082" s="34" t="n"/>
      <c r="AJ1082" s="34" t="n">
        <v>0</v>
      </c>
      <c r="AK1082" s="2" t="n">
        <v>0</v>
      </c>
      <c r="AL1082" t="inlineStr">
        <is>
          <t>Published</t>
        </is>
      </c>
    </row>
    <row r="1083">
      <c r="A1083">
        <f>HYPERLINK("https://www.walmart.com/ip/14544860349", "14544860349")</f>
        <v/>
      </c>
      <c r="B1083">
        <f>HYPERLINK("https://app.optiwise.ai/catalog/itemdetails/13059093", "PEANUTS Mens' Cotton Snoopy Family Matching Pajamas 2-Piece Sets for Christmas with Woodstock Charlie Brown Linus, Gift for him (Black Plaid, XXL)")</f>
        <v/>
      </c>
      <c r="C1083" t="inlineStr">
        <is>
          <t>PEA-PJS-FAMILY-MEN-BLACKPLAID-2XL</t>
        </is>
      </c>
      <c r="D1083" t="inlineStr">
        <is>
          <t>Clothing</t>
        </is>
      </c>
      <c r="E1083" t="inlineStr">
        <is>
          <t>Pajamas</t>
        </is>
      </c>
      <c r="F1083" t="inlineStr">
        <is>
          <t>Peanuts</t>
        </is>
      </c>
      <c r="G1083" t="n">
        <v>0</v>
      </c>
      <c r="H1083" t="n">
        <v>0</v>
      </c>
      <c r="J1083" s="29" t="n">
        <v>0</v>
      </c>
      <c r="K1083" s="30" t="n"/>
      <c r="L1083" s="29" t="n">
        <v>0</v>
      </c>
      <c r="M1083" s="29" t="n">
        <v>0</v>
      </c>
      <c r="N1083" s="2" t="n">
        <v>0</v>
      </c>
      <c r="O1083" s="31" t="n">
        <v>0</v>
      </c>
      <c r="P1083" s="32" t="n"/>
      <c r="Q1083" s="32" t="n">
        <v>0</v>
      </c>
      <c r="R1083" s="32" t="n">
        <v>0</v>
      </c>
      <c r="S1083" s="31" t="n">
        <v>0</v>
      </c>
      <c r="T1083" s="32" t="n">
        <v>0</v>
      </c>
      <c r="U1083" s="31" t="n">
        <v>0</v>
      </c>
      <c r="V1083" s="31" t="n">
        <v>0</v>
      </c>
      <c r="W1083" s="3" t="n">
        <v>0</v>
      </c>
      <c r="X1083" s="3" t="n">
        <v>0</v>
      </c>
      <c r="Y1083" s="32" t="n">
        <v>0</v>
      </c>
      <c r="Z1083" s="3" t="n">
        <v>0</v>
      </c>
      <c r="AA1083" s="32" t="n">
        <v>0</v>
      </c>
      <c r="AB1083" s="3" t="n"/>
      <c r="AC1083" s="31" t="n">
        <v>0</v>
      </c>
      <c r="AD1083" s="2" t="n">
        <v>0</v>
      </c>
      <c r="AE1083" s="2" t="n">
        <v>0</v>
      </c>
      <c r="AF1083" s="4" t="n">
        <v>0</v>
      </c>
      <c r="AG1083" s="33" t="n">
        <v>0</v>
      </c>
      <c r="AH1083" s="4" t="n">
        <v>0</v>
      </c>
      <c r="AI1083" s="34" t="n"/>
      <c r="AJ1083" s="34" t="n">
        <v>0</v>
      </c>
      <c r="AK1083" s="2" t="n">
        <v>0</v>
      </c>
      <c r="AL1083" t="inlineStr">
        <is>
          <t>Published</t>
        </is>
      </c>
    </row>
    <row r="1084">
      <c r="A1084">
        <f>HYPERLINK("https://www.walmart.com/ip/14537357555", "14537357555")</f>
        <v/>
      </c>
      <c r="B1084">
        <f>HYPERLINK("https://app.optiwise.ai/catalog/itemdetails/13059092", "PEANUTS Womens 100% Cotton Family Matching Pajamas Holiday Festive Nightwear Sleepwear 2-Piece Sets for Christmas Gifts (Red Plaid, L)")</f>
        <v/>
      </c>
      <c r="C1084" t="inlineStr">
        <is>
          <t>PEA-PJS-FAMILY-WOMEN-REDPLAID-L</t>
        </is>
      </c>
      <c r="D1084" t="inlineStr">
        <is>
          <t>Clothing</t>
        </is>
      </c>
      <c r="E1084" t="inlineStr">
        <is>
          <t>Pajamas</t>
        </is>
      </c>
      <c r="F1084" t="inlineStr">
        <is>
          <t>Peanuts</t>
        </is>
      </c>
      <c r="G1084" t="n">
        <v>0</v>
      </c>
      <c r="H1084" t="n">
        <v>0</v>
      </c>
      <c r="J1084" s="29" t="n">
        <v>0</v>
      </c>
      <c r="K1084" s="30" t="n"/>
      <c r="L1084" s="29" t="n">
        <v>0</v>
      </c>
      <c r="M1084" s="29" t="n">
        <v>0</v>
      </c>
      <c r="N1084" s="2" t="n">
        <v>0</v>
      </c>
      <c r="O1084" s="31" t="n">
        <v>0</v>
      </c>
      <c r="P1084" s="32" t="n"/>
      <c r="Q1084" s="32" t="n">
        <v>0</v>
      </c>
      <c r="R1084" s="32" t="n">
        <v>0</v>
      </c>
      <c r="S1084" s="31" t="n">
        <v>0</v>
      </c>
      <c r="T1084" s="32" t="n">
        <v>0</v>
      </c>
      <c r="U1084" s="31" t="n">
        <v>0</v>
      </c>
      <c r="V1084" s="31" t="n">
        <v>0</v>
      </c>
      <c r="W1084" s="3" t="n">
        <v>0</v>
      </c>
      <c r="X1084" s="3" t="n">
        <v>0</v>
      </c>
      <c r="Y1084" s="32" t="n">
        <v>0</v>
      </c>
      <c r="Z1084" s="3" t="n">
        <v>0</v>
      </c>
      <c r="AA1084" s="32" t="n">
        <v>0</v>
      </c>
      <c r="AB1084" s="3" t="n"/>
      <c r="AC1084" s="31" t="n">
        <v>0</v>
      </c>
      <c r="AD1084" s="2" t="n">
        <v>0</v>
      </c>
      <c r="AE1084" s="2" t="n">
        <v>0</v>
      </c>
      <c r="AF1084" s="4" t="n">
        <v>0</v>
      </c>
      <c r="AG1084" s="33" t="n">
        <v>0</v>
      </c>
      <c r="AH1084" s="4" t="n">
        <v>0</v>
      </c>
      <c r="AI1084" s="34" t="n"/>
      <c r="AJ1084" s="34" t="n">
        <v>0</v>
      </c>
      <c r="AK1084" s="2" t="n">
        <v>0</v>
      </c>
      <c r="AL1084" t="inlineStr">
        <is>
          <t>Published</t>
        </is>
      </c>
    </row>
    <row r="1085">
      <c r="A1085">
        <f>HYPERLINK("https://www.walmart.com/ip/14531053917", "14531053917")</f>
        <v/>
      </c>
      <c r="B1085">
        <f>HYPERLINK("https://app.optiwise.ai/catalog/itemdetails/13059091", "PEANUTS Mens' Cotton Snoopy Family Matching Pajamas 2-Piece Sets for Christmas with Woodstock Charlie Brown Linus, Gift for him (Green Polka Dot, S)")</f>
        <v/>
      </c>
      <c r="C1085" t="inlineStr">
        <is>
          <t>PEA-PJS-FAMILY-MEN-GREEN-S</t>
        </is>
      </c>
      <c r="D1085" t="inlineStr">
        <is>
          <t>Clothing</t>
        </is>
      </c>
      <c r="E1085" t="inlineStr">
        <is>
          <t>Pajamas</t>
        </is>
      </c>
      <c r="F1085" t="inlineStr">
        <is>
          <t>Peanuts</t>
        </is>
      </c>
      <c r="G1085" t="n">
        <v>0</v>
      </c>
      <c r="H1085" t="n">
        <v>0</v>
      </c>
      <c r="J1085" s="29" t="n">
        <v>0</v>
      </c>
      <c r="K1085" s="30" t="n"/>
      <c r="L1085" s="29" t="n">
        <v>0</v>
      </c>
      <c r="M1085" s="29" t="n">
        <v>0</v>
      </c>
      <c r="N1085" s="2" t="n">
        <v>0</v>
      </c>
      <c r="O1085" s="31" t="n">
        <v>0</v>
      </c>
      <c r="P1085" s="32" t="n"/>
      <c r="Q1085" s="32" t="n">
        <v>0</v>
      </c>
      <c r="R1085" s="32" t="n">
        <v>0</v>
      </c>
      <c r="S1085" s="31" t="n">
        <v>0</v>
      </c>
      <c r="T1085" s="32" t="n">
        <v>0</v>
      </c>
      <c r="U1085" s="31" t="n">
        <v>0</v>
      </c>
      <c r="V1085" s="31" t="n">
        <v>0</v>
      </c>
      <c r="W1085" s="3" t="n">
        <v>0</v>
      </c>
      <c r="X1085" s="3" t="n">
        <v>0</v>
      </c>
      <c r="Y1085" s="32" t="n">
        <v>0</v>
      </c>
      <c r="Z1085" s="3" t="n">
        <v>0</v>
      </c>
      <c r="AA1085" s="32" t="n">
        <v>0</v>
      </c>
      <c r="AB1085" s="3" t="n"/>
      <c r="AC1085" s="31" t="n">
        <v>0</v>
      </c>
      <c r="AD1085" s="2" t="n">
        <v>0</v>
      </c>
      <c r="AE1085" s="2" t="n">
        <v>0</v>
      </c>
      <c r="AF1085" s="4" t="n">
        <v>0</v>
      </c>
      <c r="AG1085" s="33" t="n">
        <v>0</v>
      </c>
      <c r="AH1085" s="4" t="n">
        <v>0</v>
      </c>
      <c r="AI1085" s="34" t="n"/>
      <c r="AJ1085" s="34" t="n">
        <v>0</v>
      </c>
      <c r="AK1085" s="2" t="n">
        <v>0</v>
      </c>
      <c r="AL1085" t="inlineStr">
        <is>
          <t>Published</t>
        </is>
      </c>
    </row>
    <row r="1086">
      <c r="A1086">
        <f>HYPERLINK("https://www.walmart.com/ip/14529970211", "14529970211")</f>
        <v/>
      </c>
      <c r="B1086">
        <f>HYPERLINK("https://app.optiwise.ai/catalog/itemdetails/13059089", "PEANUTS Womens 100% Cotton Family Matching Pajamas Holiday Festive Nightwear Sleepwear 2-Piece Sets for Christmas Gifts (Green Polka Dot, M)")</f>
        <v/>
      </c>
      <c r="C1086" t="inlineStr">
        <is>
          <t>PEA-PJS-FAMILY-WOMEN-GREEN-M</t>
        </is>
      </c>
      <c r="D1086" t="inlineStr">
        <is>
          <t>Clothing</t>
        </is>
      </c>
      <c r="E1086" t="inlineStr">
        <is>
          <t>Pajamas</t>
        </is>
      </c>
      <c r="F1086" t="inlineStr">
        <is>
          <t>Peanuts</t>
        </is>
      </c>
      <c r="G1086" t="n">
        <v>0</v>
      </c>
      <c r="H1086" t="n">
        <v>0</v>
      </c>
      <c r="J1086" s="29" t="n">
        <v>0</v>
      </c>
      <c r="K1086" s="30" t="n"/>
      <c r="L1086" s="29" t="n">
        <v>0</v>
      </c>
      <c r="M1086" s="29" t="n">
        <v>0</v>
      </c>
      <c r="N1086" s="2" t="n">
        <v>0</v>
      </c>
      <c r="O1086" s="31" t="n">
        <v>0</v>
      </c>
      <c r="P1086" s="32" t="n"/>
      <c r="Q1086" s="32" t="n">
        <v>0</v>
      </c>
      <c r="R1086" s="32" t="n">
        <v>0</v>
      </c>
      <c r="S1086" s="31" t="n">
        <v>0</v>
      </c>
      <c r="T1086" s="32" t="n">
        <v>0</v>
      </c>
      <c r="U1086" s="31" t="n">
        <v>0</v>
      </c>
      <c r="V1086" s="31" t="n">
        <v>0</v>
      </c>
      <c r="W1086" s="3" t="n">
        <v>0</v>
      </c>
      <c r="X1086" s="3" t="n">
        <v>0</v>
      </c>
      <c r="Y1086" s="32" t="n">
        <v>0</v>
      </c>
      <c r="Z1086" s="3" t="n">
        <v>0</v>
      </c>
      <c r="AA1086" s="32" t="n">
        <v>0</v>
      </c>
      <c r="AB1086" s="3" t="n"/>
      <c r="AC1086" s="31" t="n">
        <v>0</v>
      </c>
      <c r="AD1086" s="2" t="n">
        <v>0</v>
      </c>
      <c r="AE1086" s="2" t="n">
        <v>0</v>
      </c>
      <c r="AF1086" s="4" t="n">
        <v>0</v>
      </c>
      <c r="AG1086" s="33" t="n">
        <v>0</v>
      </c>
      <c r="AH1086" s="4" t="n">
        <v>0</v>
      </c>
      <c r="AI1086" s="34" t="n"/>
      <c r="AJ1086" s="34" t="n">
        <v>0</v>
      </c>
      <c r="AK1086" s="2" t="n">
        <v>0</v>
      </c>
      <c r="AL1086" t="inlineStr">
        <is>
          <t>Published</t>
        </is>
      </c>
    </row>
    <row r="1087">
      <c r="A1087">
        <f>HYPERLINK("https://www.walmart.com/ip/14527013541", "14527013541")</f>
        <v/>
      </c>
      <c r="B1087">
        <f>HYPERLINK("https://app.optiwise.ai/catalog/itemdetails/13059088", "PEANUTS Mens' Cotton Snoopy Family Matching Pajamas 2-Piece Sets for Christmas with Woodstock Charlie Brown Linus, Gift for him (Black Plaid, L)")</f>
        <v/>
      </c>
      <c r="C1087" t="inlineStr">
        <is>
          <t>PEA-PJS-FAMILY-MEN-BLACKPLAID-L</t>
        </is>
      </c>
      <c r="D1087" t="inlineStr">
        <is>
          <t>Clothing</t>
        </is>
      </c>
      <c r="E1087" t="inlineStr">
        <is>
          <t>Pajamas</t>
        </is>
      </c>
      <c r="F1087" t="inlineStr">
        <is>
          <t>Peanuts</t>
        </is>
      </c>
      <c r="G1087" t="n">
        <v>0</v>
      </c>
      <c r="H1087" t="n">
        <v>0</v>
      </c>
      <c r="J1087" s="29" t="n">
        <v>0</v>
      </c>
      <c r="K1087" s="30" t="n"/>
      <c r="L1087" s="29" t="n">
        <v>0</v>
      </c>
      <c r="M1087" s="29" t="n">
        <v>0</v>
      </c>
      <c r="N1087" s="2" t="n">
        <v>0</v>
      </c>
      <c r="O1087" s="31" t="n">
        <v>0</v>
      </c>
      <c r="P1087" s="32" t="n"/>
      <c r="Q1087" s="32" t="n">
        <v>0</v>
      </c>
      <c r="R1087" s="32" t="n">
        <v>0</v>
      </c>
      <c r="S1087" s="31" t="n">
        <v>0</v>
      </c>
      <c r="T1087" s="32" t="n">
        <v>0</v>
      </c>
      <c r="U1087" s="31" t="n">
        <v>0</v>
      </c>
      <c r="V1087" s="31" t="n">
        <v>0</v>
      </c>
      <c r="W1087" s="3" t="n">
        <v>0</v>
      </c>
      <c r="X1087" s="3" t="n">
        <v>0</v>
      </c>
      <c r="Y1087" s="32" t="n">
        <v>0</v>
      </c>
      <c r="Z1087" s="3" t="n">
        <v>0</v>
      </c>
      <c r="AA1087" s="32" t="n">
        <v>0</v>
      </c>
      <c r="AB1087" s="3" t="n"/>
      <c r="AC1087" s="31" t="n">
        <v>0</v>
      </c>
      <c r="AD1087" s="2" t="n">
        <v>0</v>
      </c>
      <c r="AE1087" s="2" t="n">
        <v>0</v>
      </c>
      <c r="AF1087" s="4" t="n">
        <v>0</v>
      </c>
      <c r="AG1087" s="33" t="n">
        <v>0</v>
      </c>
      <c r="AH1087" s="4" t="n">
        <v>0</v>
      </c>
      <c r="AI1087" s="34" t="n"/>
      <c r="AJ1087" s="34" t="n">
        <v>0</v>
      </c>
      <c r="AK1087" s="2" t="n">
        <v>0</v>
      </c>
      <c r="AL1087" t="inlineStr">
        <is>
          <t>Published</t>
        </is>
      </c>
    </row>
    <row r="1088">
      <c r="A1088">
        <f>HYPERLINK("https://www.walmart.com/ip/14523702239", "14523702239")</f>
        <v/>
      </c>
      <c r="B1088">
        <f>HYPERLINK("https://app.optiwise.ai/catalog/itemdetails/13059087", "PEANUTS Toddler Boys Girls Snoopy Family Matching Pajamas Sleepwear 2-Piece Sets for Christmas with Woodstock Charlie Brown Linus (Red Polka Dot, 5T)")</f>
        <v/>
      </c>
      <c r="C1088" t="inlineStr">
        <is>
          <t>PEA-PJS-FAMILY-TODDLER-RED-5T</t>
        </is>
      </c>
      <c r="D1088" t="inlineStr">
        <is>
          <t>Clothing</t>
        </is>
      </c>
      <c r="E1088" t="inlineStr">
        <is>
          <t>Pajamas</t>
        </is>
      </c>
      <c r="F1088" t="inlineStr">
        <is>
          <t>Peanuts</t>
        </is>
      </c>
      <c r="G1088" t="n">
        <v>0</v>
      </c>
      <c r="H1088" t="n">
        <v>0</v>
      </c>
      <c r="J1088" s="29" t="n">
        <v>0</v>
      </c>
      <c r="K1088" s="30" t="n"/>
      <c r="L1088" s="29" t="n">
        <v>0</v>
      </c>
      <c r="M1088" s="29" t="n">
        <v>0</v>
      </c>
      <c r="N1088" s="2" t="n">
        <v>0</v>
      </c>
      <c r="O1088" s="31" t="n">
        <v>0</v>
      </c>
      <c r="P1088" s="32" t="n"/>
      <c r="Q1088" s="32" t="n">
        <v>0</v>
      </c>
      <c r="R1088" s="32" t="n">
        <v>0</v>
      </c>
      <c r="S1088" s="31" t="n">
        <v>0</v>
      </c>
      <c r="T1088" s="32" t="n">
        <v>0</v>
      </c>
      <c r="U1088" s="31" t="n">
        <v>0</v>
      </c>
      <c r="V1088" s="31" t="n">
        <v>0</v>
      </c>
      <c r="W1088" s="3" t="n">
        <v>0</v>
      </c>
      <c r="X1088" s="3" t="n">
        <v>0</v>
      </c>
      <c r="Y1088" s="32" t="n">
        <v>0</v>
      </c>
      <c r="Z1088" s="3" t="n">
        <v>0</v>
      </c>
      <c r="AA1088" s="32" t="n">
        <v>0</v>
      </c>
      <c r="AB1088" s="3" t="n"/>
      <c r="AC1088" s="31" t="n">
        <v>0</v>
      </c>
      <c r="AD1088" s="2" t="n">
        <v>0</v>
      </c>
      <c r="AE1088" s="2" t="n">
        <v>0</v>
      </c>
      <c r="AF1088" s="4" t="n">
        <v>0</v>
      </c>
      <c r="AG1088" s="33" t="n">
        <v>0</v>
      </c>
      <c r="AH1088" s="4" t="n">
        <v>0</v>
      </c>
      <c r="AI1088" s="34" t="n"/>
      <c r="AJ1088" s="34" t="n">
        <v>0</v>
      </c>
      <c r="AK1088" s="2" t="n">
        <v>0</v>
      </c>
      <c r="AL1088" t="inlineStr">
        <is>
          <t>Published</t>
        </is>
      </c>
    </row>
    <row r="1089">
      <c r="A1089">
        <f>HYPERLINK("https://www.walmart.com/ip/14505705633", "14505705633")</f>
        <v/>
      </c>
      <c r="B1089">
        <f>HYPERLINK("https://app.optiwise.ai/catalog/itemdetails/13057970", "Catalonia Blanket Hoodie for Kids, Oversized Wearable Fleece Sweatshirt Pullover for 7-16 yr Teens Youth, Kids Gift Idea, Latte")</f>
        <v/>
      </c>
      <c r="C1089" t="inlineStr">
        <is>
          <t>1CTOSH401LT-FS</t>
        </is>
      </c>
      <c r="D1089" t="inlineStr">
        <is>
          <t>Clothing</t>
        </is>
      </c>
      <c r="E1089" t="inlineStr">
        <is>
          <t>Sweatshirts &amp; Hoodies</t>
        </is>
      </c>
      <c r="F1089" t="inlineStr">
        <is>
          <t>Catalonia</t>
        </is>
      </c>
      <c r="G1089" t="n">
        <v>0</v>
      </c>
      <c r="H1089" t="n">
        <v>0</v>
      </c>
      <c r="J1089" s="29" t="n">
        <v>0</v>
      </c>
      <c r="K1089" s="30" t="n"/>
      <c r="L1089" s="29" t="n">
        <v>0</v>
      </c>
      <c r="M1089" s="29" t="n">
        <v>0</v>
      </c>
      <c r="N1089" s="2" t="n">
        <v>0</v>
      </c>
      <c r="O1089" s="31" t="n">
        <v>0</v>
      </c>
      <c r="P1089" s="32" t="n"/>
      <c r="Q1089" s="32" t="n">
        <v>0</v>
      </c>
      <c r="R1089" s="32" t="n">
        <v>0</v>
      </c>
      <c r="S1089" s="31" t="n">
        <v>0</v>
      </c>
      <c r="T1089" s="32" t="n">
        <v>0</v>
      </c>
      <c r="U1089" s="31" t="n">
        <v>0</v>
      </c>
      <c r="V1089" s="31" t="n">
        <v>0</v>
      </c>
      <c r="W1089" s="3" t="n">
        <v>0</v>
      </c>
      <c r="X1089" s="3" t="n">
        <v>0</v>
      </c>
      <c r="Y1089" s="32" t="n">
        <v>0</v>
      </c>
      <c r="Z1089" s="3" t="n">
        <v>0</v>
      </c>
      <c r="AA1089" s="32" t="n">
        <v>0</v>
      </c>
      <c r="AB1089" s="3" t="n"/>
      <c r="AC1089" s="31" t="n">
        <v>0</v>
      </c>
      <c r="AD1089" s="2" t="n">
        <v>0</v>
      </c>
      <c r="AE1089" s="2" t="n">
        <v>4</v>
      </c>
      <c r="AF1089" s="4" t="n">
        <v>4</v>
      </c>
      <c r="AG1089" s="33" t="n">
        <v>0</v>
      </c>
      <c r="AH1089" s="4" t="n">
        <v>0</v>
      </c>
      <c r="AI1089" s="34" t="n"/>
      <c r="AJ1089" s="34" t="n">
        <v>0</v>
      </c>
      <c r="AK1089" s="2" t="n">
        <v>0</v>
      </c>
      <c r="AL1089" t="inlineStr">
        <is>
          <t>Published</t>
        </is>
      </c>
    </row>
    <row r="1090">
      <c r="A1090">
        <f>HYPERLINK("https://www.walmart.com/ip/14488914626", "14488914626")</f>
        <v/>
      </c>
      <c r="B1090">
        <f>HYPERLINK("https://app.optiwise.ai/catalog/itemdetails/13057969", "Tirrinia Womens' Hoodie Blanket Sweatshirt, Oversized Comfortable Fleece Giant Wearable Blankets, Hoodie Blanket for Men, Gift for Her Him, Horse")</f>
        <v/>
      </c>
      <c r="C1090" t="inlineStr">
        <is>
          <t>1TROSH400HP-FS</t>
        </is>
      </c>
      <c r="D1090" t="inlineStr">
        <is>
          <t>Clothing</t>
        </is>
      </c>
      <c r="E1090" t="inlineStr">
        <is>
          <t>Sweatshirts &amp; Hoodies</t>
        </is>
      </c>
      <c r="F1090" t="inlineStr">
        <is>
          <t>Tirrinia</t>
        </is>
      </c>
      <c r="G1090" t="n">
        <v>0</v>
      </c>
      <c r="H1090" t="n">
        <v>0</v>
      </c>
      <c r="J1090" s="29" t="n">
        <v>0</v>
      </c>
      <c r="K1090" s="30" t="n"/>
      <c r="L1090" s="29" t="n">
        <v>0</v>
      </c>
      <c r="M1090" s="29" t="n">
        <v>0</v>
      </c>
      <c r="N1090" s="2" t="n">
        <v>0</v>
      </c>
      <c r="O1090" s="31" t="n">
        <v>0</v>
      </c>
      <c r="P1090" s="32" t="n"/>
      <c r="Q1090" s="32" t="n">
        <v>0</v>
      </c>
      <c r="R1090" s="32" t="n">
        <v>0</v>
      </c>
      <c r="S1090" s="31" t="n">
        <v>0</v>
      </c>
      <c r="T1090" s="32" t="n">
        <v>0</v>
      </c>
      <c r="U1090" s="31" t="n">
        <v>0</v>
      </c>
      <c r="V1090" s="31" t="n">
        <v>0</v>
      </c>
      <c r="W1090" s="3" t="n">
        <v>0</v>
      </c>
      <c r="X1090" s="3" t="n">
        <v>0</v>
      </c>
      <c r="Y1090" s="32" t="n">
        <v>0</v>
      </c>
      <c r="Z1090" s="3" t="n">
        <v>0</v>
      </c>
      <c r="AA1090" s="32" t="n">
        <v>0</v>
      </c>
      <c r="AB1090" s="3" t="n"/>
      <c r="AC1090" s="31" t="n">
        <v>0</v>
      </c>
      <c r="AD1090" s="2" t="n">
        <v>0</v>
      </c>
      <c r="AE1090" s="2" t="n">
        <v>4</v>
      </c>
      <c r="AF1090" s="4" t="n">
        <v>4</v>
      </c>
      <c r="AG1090" s="33" t="n">
        <v>0</v>
      </c>
      <c r="AH1090" s="4" t="n">
        <v>0</v>
      </c>
      <c r="AI1090" s="34" t="n"/>
      <c r="AJ1090" s="34" t="n">
        <v>0</v>
      </c>
      <c r="AK1090" s="2" t="n">
        <v>0</v>
      </c>
      <c r="AL1090" t="inlineStr">
        <is>
          <t>Published</t>
        </is>
      </c>
    </row>
    <row r="1091">
      <c r="A1091">
        <f>HYPERLINK("https://www.walmart.com/ip/14488814829", "14488814829")</f>
        <v/>
      </c>
      <c r="B1091">
        <f>HYPERLINK("https://app.optiwise.ai/catalog/itemdetails/13057967", "Tirrinia Womens' Hoodie Blanket Sweatshirt, Oversized Comfortable Fleece Giant Wearable Blankets, Hoodie Blanket for Men, Gift for Her Him, Purple")</f>
        <v/>
      </c>
      <c r="C1091" t="inlineStr">
        <is>
          <t>1TROSH400PP-FS</t>
        </is>
      </c>
      <c r="D1091" t="inlineStr">
        <is>
          <t>Clothing</t>
        </is>
      </c>
      <c r="E1091" t="inlineStr">
        <is>
          <t>Sweatshirts &amp; Hoodies</t>
        </is>
      </c>
      <c r="F1091" t="inlineStr">
        <is>
          <t>Tirrinia</t>
        </is>
      </c>
      <c r="G1091" t="n">
        <v>0</v>
      </c>
      <c r="H1091" t="n">
        <v>0</v>
      </c>
      <c r="J1091" s="29" t="n">
        <v>0</v>
      </c>
      <c r="K1091" s="30" t="n"/>
      <c r="L1091" s="29" t="n">
        <v>0</v>
      </c>
      <c r="M1091" s="29" t="n">
        <v>0</v>
      </c>
      <c r="N1091" s="2" t="n">
        <v>0</v>
      </c>
      <c r="O1091" s="31" t="n">
        <v>0</v>
      </c>
      <c r="P1091" s="32" t="n"/>
      <c r="Q1091" s="32" t="n">
        <v>0</v>
      </c>
      <c r="R1091" s="32" t="n">
        <v>0</v>
      </c>
      <c r="S1091" s="31" t="n">
        <v>0</v>
      </c>
      <c r="T1091" s="32" t="n">
        <v>0</v>
      </c>
      <c r="U1091" s="31" t="n">
        <v>0</v>
      </c>
      <c r="V1091" s="31" t="n">
        <v>0</v>
      </c>
      <c r="W1091" s="3" t="n">
        <v>0</v>
      </c>
      <c r="X1091" s="3" t="n">
        <v>0</v>
      </c>
      <c r="Y1091" s="32" t="n">
        <v>0</v>
      </c>
      <c r="Z1091" s="3" t="n">
        <v>0</v>
      </c>
      <c r="AA1091" s="32" t="n">
        <v>0</v>
      </c>
      <c r="AB1091" s="3" t="n"/>
      <c r="AC1091" s="31" t="n">
        <v>0</v>
      </c>
      <c r="AD1091" s="2" t="n">
        <v>0</v>
      </c>
      <c r="AE1091" s="2" t="n">
        <v>2</v>
      </c>
      <c r="AF1091" s="4" t="n">
        <v>2</v>
      </c>
      <c r="AG1091" s="33" t="n">
        <v>0</v>
      </c>
      <c r="AH1091" s="4" t="n">
        <v>0</v>
      </c>
      <c r="AI1091" s="34" t="n"/>
      <c r="AJ1091" s="34" t="n">
        <v>0</v>
      </c>
      <c r="AK1091" s="2" t="n">
        <v>0</v>
      </c>
      <c r="AL1091" t="inlineStr">
        <is>
          <t>Published</t>
        </is>
      </c>
    </row>
    <row r="1092">
      <c r="A1092">
        <f>HYPERLINK("https://www.walmart.com/ip/1701547540", "1701547540")</f>
        <v/>
      </c>
      <c r="B1092">
        <f>HYPERLINK("https://app.optiwise.ai/catalog/itemdetails/13012970", "Every Day is Christmas Glass Blown Ornaments Cute Hand Made Figurines Tree Decoration, Fun Rainbow")</f>
        <v/>
      </c>
      <c r="C1092" t="inlineStr">
        <is>
          <t>EDC-FIGURINE-FUNRAINBOW</t>
        </is>
      </c>
      <c r="D1092" t="inlineStr">
        <is>
          <t>Decorations &amp; Favors</t>
        </is>
      </c>
      <c r="E1092" t="inlineStr">
        <is>
          <t>Ornaments</t>
        </is>
      </c>
      <c r="F1092" t="inlineStr">
        <is>
          <t>Every Day is Christmas</t>
        </is>
      </c>
      <c r="G1092" t="n">
        <v>0</v>
      </c>
      <c r="H1092" t="n">
        <v>0</v>
      </c>
      <c r="J1092" s="29" t="n">
        <v>0</v>
      </c>
      <c r="K1092" s="30" t="n"/>
      <c r="L1092" s="29" t="n">
        <v>0</v>
      </c>
      <c r="M1092" s="29" t="n">
        <v>0</v>
      </c>
      <c r="N1092" s="2" t="n">
        <v>0</v>
      </c>
      <c r="O1092" s="31" t="n">
        <v>0</v>
      </c>
      <c r="P1092" s="32" t="n"/>
      <c r="Q1092" s="32" t="n">
        <v>0</v>
      </c>
      <c r="R1092" s="32" t="n">
        <v>0</v>
      </c>
      <c r="S1092" s="31" t="n">
        <v>0</v>
      </c>
      <c r="T1092" s="32" t="n">
        <v>0</v>
      </c>
      <c r="U1092" s="31" t="n">
        <v>0</v>
      </c>
      <c r="V1092" s="31" t="n">
        <v>0</v>
      </c>
      <c r="W1092" s="3" t="n">
        <v>0</v>
      </c>
      <c r="X1092" s="3" t="n">
        <v>0</v>
      </c>
      <c r="Y1092" s="32" t="n">
        <v>0</v>
      </c>
      <c r="Z1092" s="3" t="n">
        <v>0</v>
      </c>
      <c r="AA1092" s="32" t="n">
        <v>0</v>
      </c>
      <c r="AB1092" s="3" t="n"/>
      <c r="AC1092" s="31" t="n">
        <v>0</v>
      </c>
      <c r="AD1092" s="2" t="n">
        <v>0</v>
      </c>
      <c r="AE1092" s="2" t="n">
        <v>14</v>
      </c>
      <c r="AF1092" s="4" t="n">
        <v>14</v>
      </c>
      <c r="AG1092" s="33" t="n">
        <v>0</v>
      </c>
      <c r="AH1092" s="4" t="n">
        <v>0</v>
      </c>
      <c r="AI1092" s="34" t="n"/>
      <c r="AJ1092" s="34" t="n">
        <v>0</v>
      </c>
      <c r="AK1092" s="2" t="n">
        <v>0</v>
      </c>
      <c r="AL1092" t="inlineStr">
        <is>
          <t>Published</t>
        </is>
      </c>
    </row>
    <row r="1093">
      <c r="A1093">
        <f>HYPERLINK("https://www.walmart.com/ip/14475608810", "14475608810")</f>
        <v/>
      </c>
      <c r="B1093">
        <f>HYPERLINK("https://app.optiwise.ai/catalog/itemdetails/13057934", "Catalonia Blanket Hoodie for Kids, Oversized Purple Wearable Fleece Sweatshirt Pullover for 7-16 yr Teens Youth, Kids Gift Idea")</f>
        <v/>
      </c>
      <c r="C1093" t="inlineStr">
        <is>
          <t>1CTOSH401PK-FS</t>
        </is>
      </c>
      <c r="D1093" t="inlineStr">
        <is>
          <t>Clothing</t>
        </is>
      </c>
      <c r="E1093" t="inlineStr">
        <is>
          <t>Sweatshirts &amp; Hoodies</t>
        </is>
      </c>
      <c r="F1093" t="inlineStr">
        <is>
          <t>Catalonia</t>
        </is>
      </c>
      <c r="G1093" t="n">
        <v>0</v>
      </c>
      <c r="H1093" t="n">
        <v>0</v>
      </c>
      <c r="J1093" s="29" t="n">
        <v>0</v>
      </c>
      <c r="K1093" s="30" t="n"/>
      <c r="L1093" s="29" t="n">
        <v>36.9900016784668</v>
      </c>
      <c r="M1093" s="29" t="n">
        <v>0</v>
      </c>
      <c r="N1093" s="2" t="n">
        <v>0</v>
      </c>
      <c r="O1093" s="31" t="n">
        <v>0</v>
      </c>
      <c r="P1093" s="32" t="n"/>
      <c r="Q1093" s="32" t="n">
        <v>0</v>
      </c>
      <c r="R1093" s="32" t="n">
        <v>0</v>
      </c>
      <c r="S1093" s="31" t="n">
        <v>0</v>
      </c>
      <c r="T1093" s="32" t="n">
        <v>0</v>
      </c>
      <c r="U1093" s="31" t="n">
        <v>0</v>
      </c>
      <c r="V1093" s="31" t="n">
        <v>0</v>
      </c>
      <c r="W1093" s="3" t="n">
        <v>0</v>
      </c>
      <c r="X1093" s="3" t="n">
        <v>0</v>
      </c>
      <c r="Y1093" s="32" t="n">
        <v>0</v>
      </c>
      <c r="Z1093" s="3" t="n">
        <v>0</v>
      </c>
      <c r="AA1093" s="32" t="n">
        <v>0</v>
      </c>
      <c r="AB1093" s="3" t="n"/>
      <c r="AC1093" s="31" t="n">
        <v>0</v>
      </c>
      <c r="AD1093" s="2" t="n">
        <v>0</v>
      </c>
      <c r="AE1093" s="2" t="n">
        <v>2</v>
      </c>
      <c r="AF1093" s="4" t="n">
        <v>2</v>
      </c>
      <c r="AG1093" s="33" t="n">
        <v>0</v>
      </c>
      <c r="AH1093" s="4" t="n">
        <v>0</v>
      </c>
      <c r="AI1093" s="34" t="n"/>
      <c r="AJ1093" s="34" t="n">
        <v>0</v>
      </c>
      <c r="AK1093" s="2" t="n">
        <v>0</v>
      </c>
      <c r="AL1093" t="inlineStr">
        <is>
          <t>Published</t>
        </is>
      </c>
    </row>
    <row r="1094">
      <c r="A1094">
        <f>HYPERLINK("https://www.walmart.com/ip/14464804270", "14464804270")</f>
        <v/>
      </c>
      <c r="B1094">
        <f>HYPERLINK("https://app.optiwise.ai/catalog/itemdetails/13056819", "PEANUTS Snoopy 100% Cotton Family Matching Pajamas Holiday 2-Piece Sets for Christmas with Woodstock Charlie Brown Linus for Baby (Black Plaid, 12M)")</f>
        <v/>
      </c>
      <c r="C1094" t="inlineStr">
        <is>
          <t>PEA-PJS-FAMILY-INFANT-BLACKPLAID-12M</t>
        </is>
      </c>
      <c r="D1094" t="inlineStr">
        <is>
          <t>Clothing</t>
        </is>
      </c>
      <c r="E1094" t="inlineStr">
        <is>
          <t>Pajamas</t>
        </is>
      </c>
      <c r="F1094" t="inlineStr">
        <is>
          <t>Peanuts</t>
        </is>
      </c>
      <c r="G1094" t="n">
        <v>0</v>
      </c>
      <c r="H1094" t="n">
        <v>0</v>
      </c>
      <c r="J1094" s="29" t="n">
        <v>0</v>
      </c>
      <c r="K1094" s="30" t="n"/>
      <c r="L1094" s="29" t="n">
        <v>0</v>
      </c>
      <c r="M1094" s="29" t="n">
        <v>0</v>
      </c>
      <c r="N1094" s="2" t="n">
        <v>0</v>
      </c>
      <c r="O1094" s="31" t="n">
        <v>0</v>
      </c>
      <c r="P1094" s="32" t="n"/>
      <c r="Q1094" s="32" t="n">
        <v>0</v>
      </c>
      <c r="R1094" s="32" t="n">
        <v>0</v>
      </c>
      <c r="S1094" s="31" t="n">
        <v>0</v>
      </c>
      <c r="T1094" s="32" t="n">
        <v>0</v>
      </c>
      <c r="U1094" s="31" t="n">
        <v>0</v>
      </c>
      <c r="V1094" s="31" t="n">
        <v>0</v>
      </c>
      <c r="W1094" s="3" t="n">
        <v>0</v>
      </c>
      <c r="X1094" s="3" t="n">
        <v>0</v>
      </c>
      <c r="Y1094" s="32" t="n">
        <v>0</v>
      </c>
      <c r="Z1094" s="3" t="n">
        <v>0</v>
      </c>
      <c r="AA1094" s="32" t="n">
        <v>0</v>
      </c>
      <c r="AB1094" s="3" t="n"/>
      <c r="AC1094" s="31" t="n">
        <v>0</v>
      </c>
      <c r="AD1094" s="2" t="n">
        <v>0</v>
      </c>
      <c r="AE1094" s="2" t="n">
        <v>0</v>
      </c>
      <c r="AF1094" s="4" t="n">
        <v>0</v>
      </c>
      <c r="AG1094" s="33" t="n">
        <v>0</v>
      </c>
      <c r="AH1094" s="4" t="n">
        <v>0</v>
      </c>
      <c r="AI1094" s="34" t="n"/>
      <c r="AJ1094" s="34" t="n">
        <v>0</v>
      </c>
      <c r="AK1094" s="2" t="n">
        <v>0</v>
      </c>
      <c r="AL1094" t="inlineStr">
        <is>
          <t>Published</t>
        </is>
      </c>
    </row>
    <row r="1095">
      <c r="A1095">
        <f>HYPERLINK("https://www.walmart.com/ip/14143910129", "14143910129")</f>
        <v/>
      </c>
      <c r="B1095">
        <f>HYPERLINK("https://app.optiwise.ai/catalog/itemdetails/13022258", "Tirrinia 2 Bottle Wine Tote Carrier, Leakproof, Insulated and Padded Versatile Cooler Bag for Travel, BYOB Restaurant, Wine Tasting, Party, Wine Gifts Bag, Cork")</f>
        <v/>
      </c>
      <c r="C1095" t="inlineStr">
        <is>
          <t>1TRWB222BR</t>
        </is>
      </c>
      <c r="D1095" t="inlineStr">
        <is>
          <t>Home Decor, Kitchen, &amp; Other</t>
        </is>
      </c>
      <c r="E1095" t="inlineStr">
        <is>
          <t>Wine Totes, Bags &amp; Backpacks</t>
        </is>
      </c>
      <c r="F1095" t="inlineStr">
        <is>
          <t>Tirrinia</t>
        </is>
      </c>
      <c r="G1095" t="n">
        <v>0</v>
      </c>
      <c r="H1095" t="n">
        <v>0</v>
      </c>
      <c r="J1095" s="29" t="n">
        <v>0</v>
      </c>
      <c r="K1095" s="30" t="n"/>
      <c r="L1095" s="29" t="n">
        <v>0</v>
      </c>
      <c r="M1095" s="29" t="n">
        <v>0</v>
      </c>
      <c r="N1095" s="2" t="n">
        <v>0</v>
      </c>
      <c r="O1095" s="31" t="n">
        <v>0</v>
      </c>
      <c r="P1095" s="32" t="n"/>
      <c r="Q1095" s="32" t="n">
        <v>0</v>
      </c>
      <c r="R1095" s="32" t="n">
        <v>0</v>
      </c>
      <c r="S1095" s="31" t="n">
        <v>0</v>
      </c>
      <c r="T1095" s="32" t="n">
        <v>0</v>
      </c>
      <c r="U1095" s="31" t="n">
        <v>0</v>
      </c>
      <c r="V1095" s="31" t="n">
        <v>0</v>
      </c>
      <c r="W1095" s="3" t="n">
        <v>0</v>
      </c>
      <c r="X1095" s="3" t="n">
        <v>0</v>
      </c>
      <c r="Y1095" s="32" t="n">
        <v>0</v>
      </c>
      <c r="Z1095" s="3" t="n">
        <v>0</v>
      </c>
      <c r="AA1095" s="32" t="n">
        <v>0</v>
      </c>
      <c r="AB1095" s="3" t="n"/>
      <c r="AC1095" s="31" t="n">
        <v>0</v>
      </c>
      <c r="AD1095" s="2" t="n">
        <v>0</v>
      </c>
      <c r="AE1095" s="2" t="n">
        <v>16</v>
      </c>
      <c r="AF1095" s="4" t="n">
        <v>16</v>
      </c>
      <c r="AG1095" s="33" t="n">
        <v>0</v>
      </c>
      <c r="AH1095" s="4" t="n">
        <v>0</v>
      </c>
      <c r="AI1095" s="34" t="n"/>
      <c r="AJ1095" s="34" t="n">
        <v>0</v>
      </c>
      <c r="AK1095" s="2" t="n">
        <v>0</v>
      </c>
      <c r="AL1095" t="inlineStr">
        <is>
          <t>Published</t>
        </is>
      </c>
    </row>
    <row r="1096">
      <c r="A1096">
        <f>HYPERLINK("https://www.walmart.com/ip/14099269232", "14099269232")</f>
        <v/>
      </c>
      <c r="B1096">
        <f>HYPERLINK("https://app.optiwise.ai/catalog/itemdetails/13022257", "Tirrinia 2 Bottle Wine Tote Carrier, Leakproof, Insulated and Padded Versatile Cooler Bag for Travel, BYOB Restaurant, Wine Tasting, Party, Wine Gifts Bag, Cork")</f>
        <v/>
      </c>
      <c r="C1096" t="inlineStr">
        <is>
          <t>1TRWB220BR</t>
        </is>
      </c>
      <c r="D1096" t="inlineStr">
        <is>
          <t>Home Decor, Kitchen, &amp; Other</t>
        </is>
      </c>
      <c r="E1096" t="inlineStr">
        <is>
          <t>Wine Totes, Bags &amp; Backpacks</t>
        </is>
      </c>
      <c r="F1096" t="inlineStr">
        <is>
          <t>Tirrinia</t>
        </is>
      </c>
      <c r="G1096" t="n">
        <v>0</v>
      </c>
      <c r="H1096" t="n">
        <v>0</v>
      </c>
      <c r="J1096" s="29" t="n">
        <v>0</v>
      </c>
      <c r="K1096" s="30" t="n"/>
      <c r="L1096" s="29" t="n">
        <v>0</v>
      </c>
      <c r="M1096" s="29" t="n">
        <v>0</v>
      </c>
      <c r="N1096" s="2" t="n">
        <v>0</v>
      </c>
      <c r="O1096" s="31" t="n">
        <v>0</v>
      </c>
      <c r="P1096" s="32" t="n"/>
      <c r="Q1096" s="32" t="n">
        <v>0</v>
      </c>
      <c r="R1096" s="32" t="n">
        <v>0</v>
      </c>
      <c r="S1096" s="31" t="n">
        <v>0</v>
      </c>
      <c r="T1096" s="32" t="n">
        <v>0</v>
      </c>
      <c r="U1096" s="31" t="n">
        <v>0</v>
      </c>
      <c r="V1096" s="31" t="n">
        <v>0</v>
      </c>
      <c r="W1096" s="3" t="n">
        <v>0</v>
      </c>
      <c r="X1096" s="3" t="n">
        <v>0</v>
      </c>
      <c r="Y1096" s="32" t="n">
        <v>0</v>
      </c>
      <c r="Z1096" s="3" t="n">
        <v>0</v>
      </c>
      <c r="AA1096" s="32" t="n">
        <v>0</v>
      </c>
      <c r="AB1096" s="3" t="n"/>
      <c r="AC1096" s="31" t="n">
        <v>0</v>
      </c>
      <c r="AD1096" s="2" t="n">
        <v>0</v>
      </c>
      <c r="AE1096" s="2" t="n">
        <v>17</v>
      </c>
      <c r="AF1096" s="4" t="n">
        <v>17</v>
      </c>
      <c r="AG1096" s="33" t="n">
        <v>0</v>
      </c>
      <c r="AH1096" s="4" t="n">
        <v>0</v>
      </c>
      <c r="AI1096" s="34" t="n"/>
      <c r="AJ1096" s="34" t="n">
        <v>0</v>
      </c>
      <c r="AK1096" s="2" t="n">
        <v>0</v>
      </c>
      <c r="AL1096" t="inlineStr">
        <is>
          <t>Published</t>
        </is>
      </c>
    </row>
    <row r="1097">
      <c r="A1097">
        <f>HYPERLINK("https://www.walmart.com/ip/14058965608", "14058965608")</f>
        <v/>
      </c>
      <c r="B1097">
        <f>HYPERLINK("https://app.optiwise.ai/catalog/itemdetails/13019839", "Tirrinia Beach Wine Tote Bag, Wine Cooler Bag Leakproof Insulated Purse Carrier with Spout Hidden Compartments, Holds 2 bottles of Wine for Travel, BYOB Restaurant, Party, Dinner")</f>
        <v/>
      </c>
      <c r="C1097" t="inlineStr">
        <is>
          <t>1TRWT100RAINBOW</t>
        </is>
      </c>
      <c r="D1097" t="inlineStr">
        <is>
          <t>Home Decor, Kitchen, &amp; Other</t>
        </is>
      </c>
      <c r="E1097" t="inlineStr">
        <is>
          <t>Wine Totes, Bags &amp; Backpacks</t>
        </is>
      </c>
      <c r="F1097" t="inlineStr">
        <is>
          <t>Tirrinia</t>
        </is>
      </c>
      <c r="G1097" t="n">
        <v>0</v>
      </c>
      <c r="H1097" t="n">
        <v>0</v>
      </c>
      <c r="J1097" s="29" t="n">
        <v>0</v>
      </c>
      <c r="K1097" s="30" t="n"/>
      <c r="L1097" s="29" t="n">
        <v>0</v>
      </c>
      <c r="M1097" s="29" t="n">
        <v>0</v>
      </c>
      <c r="N1097" s="2" t="n">
        <v>0</v>
      </c>
      <c r="O1097" s="31" t="n">
        <v>0</v>
      </c>
      <c r="P1097" s="32" t="n"/>
      <c r="Q1097" s="32" t="n">
        <v>0</v>
      </c>
      <c r="R1097" s="32" t="n">
        <v>0</v>
      </c>
      <c r="S1097" s="31" t="n">
        <v>0</v>
      </c>
      <c r="T1097" s="32" t="n">
        <v>0</v>
      </c>
      <c r="U1097" s="31" t="n">
        <v>0</v>
      </c>
      <c r="V1097" s="31" t="n">
        <v>0</v>
      </c>
      <c r="W1097" s="3" t="n">
        <v>0</v>
      </c>
      <c r="X1097" s="3" t="n">
        <v>0</v>
      </c>
      <c r="Y1097" s="32" t="n">
        <v>0</v>
      </c>
      <c r="Z1097" s="3" t="n">
        <v>0</v>
      </c>
      <c r="AA1097" s="32" t="n">
        <v>0</v>
      </c>
      <c r="AB1097" s="3" t="n"/>
      <c r="AC1097" s="31" t="n">
        <v>0</v>
      </c>
      <c r="AD1097" s="2" t="n">
        <v>0</v>
      </c>
      <c r="AE1097" s="2" t="n">
        <v>23</v>
      </c>
      <c r="AF1097" s="4" t="n">
        <v>23</v>
      </c>
      <c r="AG1097" s="33" t="n">
        <v>0</v>
      </c>
      <c r="AH1097" s="4" t="n">
        <v>0</v>
      </c>
      <c r="AI1097" s="34" t="n"/>
      <c r="AJ1097" s="34" t="n">
        <v>0</v>
      </c>
      <c r="AK1097" s="2" t="n">
        <v>0</v>
      </c>
      <c r="AL1097" t="inlineStr">
        <is>
          <t>Published</t>
        </is>
      </c>
    </row>
    <row r="1098">
      <c r="A1098">
        <f>HYPERLINK("https://www.walmart.com/ip/10288719989", "10288719989")</f>
        <v/>
      </c>
      <c r="B1098">
        <f>HYPERLINK("https://app.optiwise.ai/catalog/itemdetails/13012976", "Every Day is Christmas Glass Blown Ornaments Cute Hand Made Figurines Tree Decoration, Cupcake Set of 2")</f>
        <v/>
      </c>
      <c r="C1098" t="inlineStr">
        <is>
          <t>EDC-FIGURINE-WP286</t>
        </is>
      </c>
      <c r="D1098" t="inlineStr">
        <is>
          <t>Home Decor, Kitchen, &amp; Other</t>
        </is>
      </c>
      <c r="E1098" t="inlineStr">
        <is>
          <t>Ornaments</t>
        </is>
      </c>
      <c r="F1098" t="inlineStr">
        <is>
          <t>Every Day is Christmas</t>
        </is>
      </c>
      <c r="G1098" t="n">
        <v>4.6</v>
      </c>
      <c r="H1098" t="n">
        <v>0</v>
      </c>
      <c r="J1098" s="29" t="n">
        <v>0</v>
      </c>
      <c r="K1098" s="30" t="n"/>
      <c r="L1098" s="29" t="n">
        <v>0</v>
      </c>
      <c r="M1098" s="29" t="n">
        <v>0</v>
      </c>
      <c r="N1098" s="2" t="n">
        <v>0</v>
      </c>
      <c r="O1098" s="31" t="n">
        <v>0</v>
      </c>
      <c r="P1098" s="32" t="n"/>
      <c r="Q1098" s="32" t="n">
        <v>0</v>
      </c>
      <c r="R1098" s="32" t="n">
        <v>0</v>
      </c>
      <c r="S1098" s="31" t="n">
        <v>0</v>
      </c>
      <c r="T1098" s="32" t="n">
        <v>0</v>
      </c>
      <c r="U1098" s="31" t="n">
        <v>0</v>
      </c>
      <c r="V1098" s="31" t="n">
        <v>0</v>
      </c>
      <c r="W1098" s="3" t="n">
        <v>0</v>
      </c>
      <c r="X1098" s="3" t="n">
        <v>0</v>
      </c>
      <c r="Y1098" s="32" t="n">
        <v>0</v>
      </c>
      <c r="Z1098" s="3" t="n">
        <v>0</v>
      </c>
      <c r="AA1098" s="32" t="n">
        <v>0</v>
      </c>
      <c r="AB1098" s="3" t="n"/>
      <c r="AC1098" s="31" t="n">
        <v>0</v>
      </c>
      <c r="AD1098" s="2" t="n">
        <v>0</v>
      </c>
      <c r="AE1098" s="2" t="n">
        <v>150</v>
      </c>
      <c r="AF1098" s="4" t="n">
        <v>150</v>
      </c>
      <c r="AG1098" s="33" t="n">
        <v>0</v>
      </c>
      <c r="AH1098" s="4" t="n">
        <v>0</v>
      </c>
      <c r="AI1098" s="34" t="n"/>
      <c r="AJ1098" s="34" t="n">
        <v>0</v>
      </c>
      <c r="AK1098" s="2" t="n">
        <v>0</v>
      </c>
      <c r="AL1098" t="inlineStr">
        <is>
          <t>Published</t>
        </is>
      </c>
    </row>
    <row r="1099">
      <c r="A1099">
        <f>HYPERLINK("https://www.walmart.com/ip/13893906281", "13893906281")</f>
        <v/>
      </c>
      <c r="B1099">
        <f>HYPERLINK("https://app.optiwise.ai/catalog/itemdetails/13012975", "Every Day is Christmas Glass Blown Ornaments Cute Hand Made Figurines Tree Decoration, Cheese Set of 2")</f>
        <v/>
      </c>
      <c r="C1099" t="inlineStr">
        <is>
          <t>EDC-FIGURINE-WP296</t>
        </is>
      </c>
      <c r="D1099" t="inlineStr">
        <is>
          <t>Home Decor, Kitchen, &amp; Other</t>
        </is>
      </c>
      <c r="E1099" t="inlineStr">
        <is>
          <t>Ornaments</t>
        </is>
      </c>
      <c r="F1099" t="inlineStr">
        <is>
          <t>Every Day is Christmas</t>
        </is>
      </c>
      <c r="G1099" t="n">
        <v>0</v>
      </c>
      <c r="H1099" t="n">
        <v>0</v>
      </c>
      <c r="J1099" s="29" t="n">
        <v>0</v>
      </c>
      <c r="K1099" s="30" t="n"/>
      <c r="L1099" s="29" t="n">
        <v>0</v>
      </c>
      <c r="M1099" s="29" t="n">
        <v>0</v>
      </c>
      <c r="N1099" s="2" t="n">
        <v>0</v>
      </c>
      <c r="O1099" s="31" t="n">
        <v>0</v>
      </c>
      <c r="P1099" s="32" t="n"/>
      <c r="Q1099" s="32" t="n">
        <v>0</v>
      </c>
      <c r="R1099" s="32" t="n">
        <v>0.0332</v>
      </c>
      <c r="S1099" s="31" t="n">
        <v>0</v>
      </c>
      <c r="T1099" s="32" t="n">
        <v>0</v>
      </c>
      <c r="U1099" s="31" t="n">
        <v>0</v>
      </c>
      <c r="V1099" s="31" t="n">
        <v>0</v>
      </c>
      <c r="W1099" s="3" t="n">
        <v>0</v>
      </c>
      <c r="X1099" s="3" t="n">
        <v>0</v>
      </c>
      <c r="Y1099" s="32" t="n">
        <v>0</v>
      </c>
      <c r="Z1099" s="3" t="n">
        <v>0</v>
      </c>
      <c r="AA1099" s="32" t="n">
        <v>0</v>
      </c>
      <c r="AB1099" s="3" t="n"/>
      <c r="AC1099" s="31" t="n">
        <v>0</v>
      </c>
      <c r="AD1099" s="2" t="n">
        <v>0</v>
      </c>
      <c r="AE1099" s="2" t="n">
        <v>9</v>
      </c>
      <c r="AF1099" s="4" t="n">
        <v>9</v>
      </c>
      <c r="AG1099" s="33" t="n">
        <v>0</v>
      </c>
      <c r="AH1099" s="4" t="n">
        <v>0</v>
      </c>
      <c r="AI1099" s="34" t="n"/>
      <c r="AJ1099" s="34" t="n">
        <v>0</v>
      </c>
      <c r="AK1099" s="2" t="n">
        <v>0</v>
      </c>
      <c r="AL1099" t="inlineStr">
        <is>
          <t>Published</t>
        </is>
      </c>
    </row>
    <row r="1100">
      <c r="A1100">
        <f>HYPERLINK("https://www.walmart.com/ip/13891403646", "13891403646")</f>
        <v/>
      </c>
      <c r="B1100">
        <f>HYPERLINK("https://app.optiwise.ai/catalog/itemdetails/13012974", "Every Day is Christmas Glass Blown Ornaments Cute Hand Made Figurines Tree Decoration, Peanut Butter, Jelly Figurine Set of 2")</f>
        <v/>
      </c>
      <c r="C1100" t="inlineStr">
        <is>
          <t>EDC-FIGURINE-WP300</t>
        </is>
      </c>
      <c r="D1100" t="inlineStr">
        <is>
          <t>Home Decor, Kitchen, &amp; Other</t>
        </is>
      </c>
      <c r="E1100" t="inlineStr">
        <is>
          <t>Ornaments</t>
        </is>
      </c>
      <c r="F1100" t="inlineStr">
        <is>
          <t>Every Day is Christmas</t>
        </is>
      </c>
      <c r="G1100" t="n">
        <v>0</v>
      </c>
      <c r="H1100" t="n">
        <v>0</v>
      </c>
      <c r="J1100" s="29" t="n">
        <v>0</v>
      </c>
      <c r="K1100" s="30" t="n"/>
      <c r="L1100" s="29" t="n">
        <v>0</v>
      </c>
      <c r="M1100" s="29" t="n">
        <v>0</v>
      </c>
      <c r="N1100" s="2" t="n">
        <v>0</v>
      </c>
      <c r="O1100" s="31" t="n">
        <v>0</v>
      </c>
      <c r="P1100" s="32" t="n"/>
      <c r="Q1100" s="32" t="n">
        <v>0</v>
      </c>
      <c r="R1100" s="32" t="n">
        <v>0.0545</v>
      </c>
      <c r="S1100" s="31" t="n">
        <v>0</v>
      </c>
      <c r="T1100" s="32" t="n">
        <v>0</v>
      </c>
      <c r="U1100" s="31" t="n">
        <v>0</v>
      </c>
      <c r="V1100" s="31" t="n">
        <v>0</v>
      </c>
      <c r="W1100" s="3" t="n">
        <v>0</v>
      </c>
      <c r="X1100" s="3" t="n">
        <v>0</v>
      </c>
      <c r="Y1100" s="32" t="n">
        <v>0</v>
      </c>
      <c r="Z1100" s="3" t="n">
        <v>0</v>
      </c>
      <c r="AA1100" s="32" t="n">
        <v>0</v>
      </c>
      <c r="AB1100" s="3" t="n"/>
      <c r="AC1100" s="31" t="n">
        <v>0</v>
      </c>
      <c r="AD1100" s="2" t="n">
        <v>0</v>
      </c>
      <c r="AE1100" s="2" t="n">
        <v>14</v>
      </c>
      <c r="AF1100" s="4" t="n">
        <v>14</v>
      </c>
      <c r="AG1100" s="33" t="n">
        <v>0</v>
      </c>
      <c r="AH1100" s="4" t="n">
        <v>0</v>
      </c>
      <c r="AI1100" s="34" t="n"/>
      <c r="AJ1100" s="34" t="n">
        <v>0</v>
      </c>
      <c r="AK1100" s="2" t="n">
        <v>0</v>
      </c>
      <c r="AL1100" t="inlineStr">
        <is>
          <t>Published</t>
        </is>
      </c>
    </row>
    <row r="1101">
      <c r="A1101">
        <f>HYPERLINK("https://www.walmart.com/ip/13888814949", "13888814949")</f>
        <v/>
      </c>
      <c r="B1101">
        <f>HYPERLINK("https://app.optiwise.ai/catalog/itemdetails/13012973", "Every Day is Christmas Glass Blown Ornaments Cute Hand Made Figurines Tree Decoration, Roller Skates Set of 2")</f>
        <v/>
      </c>
      <c r="C1101" t="inlineStr">
        <is>
          <t>EDC-FIGURINE-WP266</t>
        </is>
      </c>
      <c r="D1101" t="inlineStr">
        <is>
          <t>Home Decor, Kitchen, &amp; Other</t>
        </is>
      </c>
      <c r="E1101" t="inlineStr">
        <is>
          <t>Ornaments</t>
        </is>
      </c>
      <c r="F1101" t="inlineStr">
        <is>
          <t>Every Day is Christmas</t>
        </is>
      </c>
      <c r="G1101" t="n">
        <v>0</v>
      </c>
      <c r="H1101" t="n">
        <v>0</v>
      </c>
      <c r="J1101" s="29" t="n">
        <v>0</v>
      </c>
      <c r="K1101" s="30" t="n"/>
      <c r="L1101" s="29" t="n">
        <v>0</v>
      </c>
      <c r="M1101" s="29" t="n">
        <v>0</v>
      </c>
      <c r="N1101" s="2" t="n">
        <v>0</v>
      </c>
      <c r="O1101" s="31" t="n">
        <v>0</v>
      </c>
      <c r="P1101" s="32" t="n"/>
      <c r="Q1101" s="32" t="n">
        <v>0</v>
      </c>
      <c r="R1101" s="32" t="n">
        <v>0</v>
      </c>
      <c r="S1101" s="31" t="n">
        <v>0</v>
      </c>
      <c r="T1101" s="32" t="n">
        <v>0</v>
      </c>
      <c r="U1101" s="31" t="n">
        <v>0</v>
      </c>
      <c r="V1101" s="31" t="n">
        <v>0</v>
      </c>
      <c r="W1101" s="3" t="n">
        <v>0</v>
      </c>
      <c r="X1101" s="3" t="n">
        <v>0</v>
      </c>
      <c r="Y1101" s="32" t="n">
        <v>0</v>
      </c>
      <c r="Z1101" s="3" t="n">
        <v>0</v>
      </c>
      <c r="AA1101" s="32" t="n">
        <v>0</v>
      </c>
      <c r="AB1101" s="3" t="n"/>
      <c r="AC1101" s="31" t="n">
        <v>0</v>
      </c>
      <c r="AD1101" s="2" t="n">
        <v>0</v>
      </c>
      <c r="AE1101" s="2" t="n">
        <v>8</v>
      </c>
      <c r="AF1101" s="4" t="n">
        <v>8</v>
      </c>
      <c r="AG1101" s="33" t="n">
        <v>0</v>
      </c>
      <c r="AH1101" s="4" t="n">
        <v>0</v>
      </c>
      <c r="AI1101" s="34" t="n"/>
      <c r="AJ1101" s="34" t="n">
        <v>0</v>
      </c>
      <c r="AK1101" s="2" t="n">
        <v>0</v>
      </c>
      <c r="AL1101" t="inlineStr">
        <is>
          <t>Published</t>
        </is>
      </c>
    </row>
    <row r="1102">
      <c r="A1102">
        <f>HYPERLINK("https://www.walmart.com/ip/13885267327", "13885267327")</f>
        <v/>
      </c>
      <c r="B1102">
        <f>HYPERLINK("https://app.optiwise.ai/catalog/itemdetails/13012972", "Tirrinia Wearable Heated Blanket for Adults Women Sherpa Christmas Thanksgiving Gift,Ultra Soft Comfy Warm Plush Full Body Throw with Sleeves for Reading Wrap, TV Blanket, Robe Cover")</f>
        <v/>
      </c>
      <c r="C1102" t="inlineStr">
        <is>
          <t>1TRSNH110CA</t>
        </is>
      </c>
      <c r="D1102" t="inlineStr">
        <is>
          <t>Bedding</t>
        </is>
      </c>
      <c r="E1102" t="inlineStr">
        <is>
          <t>Throws</t>
        </is>
      </c>
      <c r="F1102" t="inlineStr">
        <is>
          <t>Tirrina</t>
        </is>
      </c>
      <c r="G1102" t="n">
        <v>0</v>
      </c>
      <c r="H1102" t="n">
        <v>0</v>
      </c>
      <c r="J1102" s="29" t="n">
        <v>0</v>
      </c>
      <c r="K1102" s="30" t="n"/>
      <c r="L1102" s="29" t="n">
        <v>179.9799957275391</v>
      </c>
      <c r="M1102" s="29" t="n">
        <v>0</v>
      </c>
      <c r="N1102" s="2" t="n">
        <v>0</v>
      </c>
      <c r="O1102" s="31" t="n">
        <v>0</v>
      </c>
      <c r="P1102" s="32" t="n"/>
      <c r="Q1102" s="32" t="n">
        <v>0</v>
      </c>
      <c r="R1102" s="32" t="n">
        <v>0</v>
      </c>
      <c r="S1102" s="31" t="n">
        <v>0</v>
      </c>
      <c r="T1102" s="32" t="n">
        <v>0</v>
      </c>
      <c r="U1102" s="31" t="n">
        <v>0</v>
      </c>
      <c r="V1102" s="31" t="n">
        <v>0</v>
      </c>
      <c r="W1102" s="3" t="n">
        <v>0</v>
      </c>
      <c r="X1102" s="3" t="n">
        <v>0</v>
      </c>
      <c r="Y1102" s="32" t="n">
        <v>0</v>
      </c>
      <c r="Z1102" s="3" t="n">
        <v>0</v>
      </c>
      <c r="AA1102" s="32" t="n">
        <v>0</v>
      </c>
      <c r="AB1102" s="3" t="n"/>
      <c r="AC1102" s="31" t="n">
        <v>0</v>
      </c>
      <c r="AD1102" s="2" t="n">
        <v>8</v>
      </c>
      <c r="AE1102" s="2" t="n">
        <v>20</v>
      </c>
      <c r="AF1102" s="4" t="n">
        <v>20</v>
      </c>
      <c r="AG1102" s="33" t="n">
        <v>0</v>
      </c>
      <c r="AH1102" s="4" t="n">
        <v>0</v>
      </c>
      <c r="AI1102" s="34" t="n"/>
      <c r="AJ1102" s="34" t="n">
        <v>0</v>
      </c>
      <c r="AK1102" s="2" t="n">
        <v>0</v>
      </c>
      <c r="AL1102" t="inlineStr">
        <is>
          <t>Published</t>
        </is>
      </c>
    </row>
    <row r="1103">
      <c r="A1103">
        <f>HYPERLINK("https://www.walmart.com/ip/13865823113", "13865823113")</f>
        <v/>
      </c>
      <c r="B1103">
        <f>HYPERLINK("https://app.optiwise.ai/catalog/itemdetails/13012971", "Every Day is Christmas Glass Blown Ornaments Cute Hand Made Figurines Tree Decoration, Peanut Butter, Jam Set of 2")</f>
        <v/>
      </c>
      <c r="C1103" t="inlineStr">
        <is>
          <t>EDC-FIGURINE-WP299</t>
        </is>
      </c>
      <c r="D1103" t="inlineStr">
        <is>
          <t>Home Decor, Kitchen, &amp; Other</t>
        </is>
      </c>
      <c r="E1103" t="inlineStr">
        <is>
          <t>Ornaments</t>
        </is>
      </c>
      <c r="F1103" t="inlineStr">
        <is>
          <t>Every Day is Christmas</t>
        </is>
      </c>
      <c r="G1103" t="n">
        <v>0</v>
      </c>
      <c r="H1103" t="n">
        <v>0</v>
      </c>
      <c r="J1103" s="29" t="n">
        <v>0</v>
      </c>
      <c r="K1103" s="30" t="n"/>
      <c r="L1103" s="29" t="n">
        <v>0</v>
      </c>
      <c r="M1103" s="29" t="n">
        <v>0</v>
      </c>
      <c r="N1103" s="2" t="n">
        <v>0</v>
      </c>
      <c r="O1103" s="31" t="n">
        <v>0</v>
      </c>
      <c r="P1103" s="32" t="n"/>
      <c r="Q1103" s="32" t="n">
        <v>0</v>
      </c>
      <c r="R1103" s="32" t="n">
        <v>0</v>
      </c>
      <c r="S1103" s="31" t="n">
        <v>0</v>
      </c>
      <c r="T1103" s="32" t="n">
        <v>0</v>
      </c>
      <c r="U1103" s="31" t="n">
        <v>0</v>
      </c>
      <c r="V1103" s="31" t="n">
        <v>0</v>
      </c>
      <c r="W1103" s="3" t="n">
        <v>0</v>
      </c>
      <c r="X1103" s="3" t="n">
        <v>0</v>
      </c>
      <c r="Y1103" s="32" t="n">
        <v>0</v>
      </c>
      <c r="Z1103" s="3" t="n">
        <v>0</v>
      </c>
      <c r="AA1103" s="32" t="n">
        <v>0</v>
      </c>
      <c r="AB1103" s="3" t="n"/>
      <c r="AC1103" s="31" t="n">
        <v>0</v>
      </c>
      <c r="AD1103" s="2" t="n">
        <v>0</v>
      </c>
      <c r="AE1103" s="2" t="n">
        <v>10</v>
      </c>
      <c r="AF1103" s="4" t="n">
        <v>10</v>
      </c>
      <c r="AG1103" s="33" t="n">
        <v>0</v>
      </c>
      <c r="AH1103" s="4" t="n">
        <v>0</v>
      </c>
      <c r="AI1103" s="34" t="n"/>
      <c r="AJ1103" s="34" t="n">
        <v>0</v>
      </c>
      <c r="AK1103" s="2" t="n">
        <v>0</v>
      </c>
      <c r="AL1103" t="inlineStr">
        <is>
          <t>Published</t>
        </is>
      </c>
    </row>
    <row r="1104">
      <c r="A1104">
        <f>HYPERLINK("https://www.walmart.com/ip/13880208470", "13880208470")</f>
        <v/>
      </c>
      <c r="B1104">
        <f>HYPERLINK("https://app.optiwise.ai/catalog/itemdetails/13012968", "Every Day is Christmas Glass Blown Ornaments Cute Hand Made Figurines Tree Decoration, Sugar Skulls Set of 2")</f>
        <v/>
      </c>
      <c r="C1104" t="inlineStr">
        <is>
          <t>EDC-FIGURINE-WP262</t>
        </is>
      </c>
      <c r="D1104" t="inlineStr">
        <is>
          <t>Home Decor, Kitchen, &amp; Other</t>
        </is>
      </c>
      <c r="E1104" t="inlineStr">
        <is>
          <t>Ornaments</t>
        </is>
      </c>
      <c r="F1104" t="inlineStr">
        <is>
          <t>Every Day is Christmas</t>
        </is>
      </c>
      <c r="G1104" t="n">
        <v>0</v>
      </c>
      <c r="H1104" t="n">
        <v>0</v>
      </c>
      <c r="J1104" s="29" t="n">
        <v>0</v>
      </c>
      <c r="K1104" s="30" t="n"/>
      <c r="L1104" s="29" t="n">
        <v>0</v>
      </c>
      <c r="M1104" s="29" t="n">
        <v>0</v>
      </c>
      <c r="N1104" s="2" t="n">
        <v>0</v>
      </c>
      <c r="O1104" s="31" t="n">
        <v>0</v>
      </c>
      <c r="P1104" s="32" t="n"/>
      <c r="Q1104" s="32" t="n">
        <v>0</v>
      </c>
      <c r="R1104" s="32" t="n">
        <v>0.1232</v>
      </c>
      <c r="S1104" s="31" t="n">
        <v>0</v>
      </c>
      <c r="T1104" s="32" t="n">
        <v>0</v>
      </c>
      <c r="U1104" s="31" t="n">
        <v>0</v>
      </c>
      <c r="V1104" s="31" t="n">
        <v>0</v>
      </c>
      <c r="W1104" s="3" t="n">
        <v>0</v>
      </c>
      <c r="X1104" s="3" t="n">
        <v>0</v>
      </c>
      <c r="Y1104" s="32" t="n">
        <v>0</v>
      </c>
      <c r="Z1104" s="3" t="n">
        <v>0</v>
      </c>
      <c r="AA1104" s="32" t="n">
        <v>0</v>
      </c>
      <c r="AB1104" s="3" t="n"/>
      <c r="AC1104" s="31" t="n">
        <v>0</v>
      </c>
      <c r="AD1104" s="2" t="n">
        <v>0</v>
      </c>
      <c r="AE1104" s="2" t="n">
        <v>0</v>
      </c>
      <c r="AF1104" s="4" t="n">
        <v>0</v>
      </c>
      <c r="AG1104" s="33" t="n">
        <v>0</v>
      </c>
      <c r="AH1104" s="4" t="n">
        <v>0</v>
      </c>
      <c r="AI1104" s="34" t="n"/>
      <c r="AJ1104" s="34" t="n">
        <v>0</v>
      </c>
      <c r="AK1104" s="2" t="n">
        <v>0</v>
      </c>
      <c r="AL1104" t="inlineStr">
        <is>
          <t>Published</t>
        </is>
      </c>
    </row>
    <row r="1105">
      <c r="A1105">
        <f>HYPERLINK("https://www.walmart.com/ip/14487312722", "14487312722")</f>
        <v/>
      </c>
      <c r="B1105">
        <f>HYPERLINK("https://app.optiwise.ai/catalog/itemdetails/13057966", "Womens Oversized Flannel Blanket Hoodie Sweatshirt, Plush Fleece Lined Lounging Pullover, Christmas Gift for Women (Cow Print) - Catalonia")</f>
        <v/>
      </c>
      <c r="C1105" t="inlineStr">
        <is>
          <t>1CTOSH400DMT-FS</t>
        </is>
      </c>
      <c r="D1105" t="inlineStr">
        <is>
          <t>Clothing</t>
        </is>
      </c>
      <c r="E1105" t="inlineStr">
        <is>
          <t>Sweatshirts &amp; Hoodies</t>
        </is>
      </c>
      <c r="F1105" t="inlineStr">
        <is>
          <t>Catalonia</t>
        </is>
      </c>
      <c r="G1105" t="n">
        <v>0</v>
      </c>
      <c r="H1105" t="n">
        <v>0</v>
      </c>
      <c r="J1105" s="29" t="n">
        <v>0</v>
      </c>
      <c r="K1105" s="30" t="n"/>
      <c r="L1105" s="29" t="n">
        <v>0</v>
      </c>
      <c r="M1105" s="29" t="n">
        <v>0</v>
      </c>
      <c r="N1105" s="2" t="n">
        <v>0</v>
      </c>
      <c r="O1105" s="31" t="n">
        <v>0</v>
      </c>
      <c r="P1105" s="32" t="n"/>
      <c r="Q1105" s="32" t="n">
        <v>0</v>
      </c>
      <c r="R1105" s="32" t="n">
        <v>0</v>
      </c>
      <c r="S1105" s="31" t="n">
        <v>0</v>
      </c>
      <c r="T1105" s="32" t="n">
        <v>0</v>
      </c>
      <c r="U1105" s="31" t="n">
        <v>0</v>
      </c>
      <c r="V1105" s="31" t="n">
        <v>0</v>
      </c>
      <c r="W1105" s="3" t="n">
        <v>0</v>
      </c>
      <c r="X1105" s="3" t="n">
        <v>0</v>
      </c>
      <c r="Y1105" s="32" t="n">
        <v>0</v>
      </c>
      <c r="Z1105" s="3" t="n">
        <v>0</v>
      </c>
      <c r="AA1105" s="32" t="n">
        <v>0</v>
      </c>
      <c r="AB1105" s="3" t="n"/>
      <c r="AC1105" s="31" t="n">
        <v>0</v>
      </c>
      <c r="AD1105" s="2" t="n">
        <v>0</v>
      </c>
      <c r="AE1105" s="2" t="n">
        <v>2</v>
      </c>
      <c r="AF1105" s="4" t="n">
        <v>2</v>
      </c>
      <c r="AG1105" s="33" t="n">
        <v>0</v>
      </c>
      <c r="AH1105" s="4" t="n">
        <v>0</v>
      </c>
      <c r="AI1105" s="34" t="n"/>
      <c r="AJ1105" s="34" t="n">
        <v>0</v>
      </c>
      <c r="AK1105" s="2" t="n">
        <v>0</v>
      </c>
      <c r="AL1105" t="inlineStr">
        <is>
          <t>Published</t>
        </is>
      </c>
    </row>
    <row r="1106">
      <c r="A1106">
        <f>HYPERLINK("https://www.walmart.com/ip/13869809583", "13869809583")</f>
        <v/>
      </c>
      <c r="B1106">
        <f>HYPERLINK("https://app.optiwise.ai/catalog/itemdetails/13012967", "Every Day is Christmas Glass Blown Ornaments Cute Hand Made Figurines Tree Decoration, Ski Boots Set of 2")</f>
        <v/>
      </c>
      <c r="C1106" t="inlineStr">
        <is>
          <t>EDC-FIGURINE-WP290</t>
        </is>
      </c>
      <c r="D1106" t="inlineStr">
        <is>
          <t>Home Decor, Kitchen, &amp; Other</t>
        </is>
      </c>
      <c r="E1106" t="inlineStr">
        <is>
          <t>Ornaments</t>
        </is>
      </c>
      <c r="F1106" t="inlineStr">
        <is>
          <t>Every Day is Christmas</t>
        </is>
      </c>
      <c r="G1106" t="n">
        <v>0</v>
      </c>
      <c r="H1106" t="n">
        <v>0</v>
      </c>
      <c r="J1106" s="29" t="n">
        <v>0</v>
      </c>
      <c r="K1106" s="30" t="n"/>
      <c r="L1106" s="29" t="n">
        <v>0</v>
      </c>
      <c r="M1106" s="29" t="n">
        <v>0</v>
      </c>
      <c r="N1106" s="2" t="n">
        <v>0</v>
      </c>
      <c r="O1106" s="31" t="n">
        <v>0</v>
      </c>
      <c r="P1106" s="32" t="n"/>
      <c r="Q1106" s="32" t="n">
        <v>0</v>
      </c>
      <c r="R1106" s="32" t="n">
        <v>0</v>
      </c>
      <c r="S1106" s="31" t="n">
        <v>0</v>
      </c>
      <c r="T1106" s="32" t="n">
        <v>0</v>
      </c>
      <c r="U1106" s="31" t="n">
        <v>0</v>
      </c>
      <c r="V1106" s="31" t="n">
        <v>0</v>
      </c>
      <c r="W1106" s="3" t="n">
        <v>0</v>
      </c>
      <c r="X1106" s="3" t="n">
        <v>0</v>
      </c>
      <c r="Y1106" s="32" t="n">
        <v>0</v>
      </c>
      <c r="Z1106" s="3" t="n">
        <v>0</v>
      </c>
      <c r="AA1106" s="32" t="n">
        <v>0</v>
      </c>
      <c r="AB1106" s="3" t="n"/>
      <c r="AC1106" s="31" t="n">
        <v>0</v>
      </c>
      <c r="AD1106" s="2" t="n">
        <v>0</v>
      </c>
      <c r="AE1106" s="2" t="n">
        <v>10</v>
      </c>
      <c r="AF1106" s="4" t="n">
        <v>10</v>
      </c>
      <c r="AG1106" s="33" t="n">
        <v>0</v>
      </c>
      <c r="AH1106" s="4" t="n">
        <v>0</v>
      </c>
      <c r="AI1106" s="34" t="n"/>
      <c r="AJ1106" s="34" t="n">
        <v>0</v>
      </c>
      <c r="AK1106" s="2" t="n">
        <v>0</v>
      </c>
      <c r="AL1106" t="inlineStr">
        <is>
          <t>Published</t>
        </is>
      </c>
    </row>
    <row r="1107">
      <c r="A1107">
        <f>HYPERLINK("https://www.walmart.com/ip/13865923405", "13865923405")</f>
        <v/>
      </c>
      <c r="B1107">
        <f>HYPERLINK("https://app.optiwise.ai/catalog/itemdetails/13012966", "Every Day is Christmas Glass Blown Ornaments Cute Hand Made Figurines Tree Decoration, Eggplant, Peach Set of 2")</f>
        <v/>
      </c>
      <c r="C1107" t="inlineStr">
        <is>
          <t>EDC-FIGURINE-WP297</t>
        </is>
      </c>
      <c r="D1107" t="inlineStr">
        <is>
          <t>Home Decor, Kitchen, &amp; Other</t>
        </is>
      </c>
      <c r="E1107" t="inlineStr">
        <is>
          <t>Ornaments</t>
        </is>
      </c>
      <c r="F1107" t="inlineStr">
        <is>
          <t>Every Day is Christmas</t>
        </is>
      </c>
      <c r="G1107" t="n">
        <v>0</v>
      </c>
      <c r="H1107" t="n">
        <v>0</v>
      </c>
      <c r="J1107" s="29" t="n">
        <v>0</v>
      </c>
      <c r="K1107" s="30" t="n"/>
      <c r="L1107" s="29" t="n">
        <v>0</v>
      </c>
      <c r="M1107" s="29" t="n">
        <v>0</v>
      </c>
      <c r="N1107" s="2" t="n">
        <v>0</v>
      </c>
      <c r="O1107" s="31" t="n">
        <v>0</v>
      </c>
      <c r="P1107" s="32" t="n"/>
      <c r="Q1107" s="32" t="n">
        <v>0</v>
      </c>
      <c r="R1107" s="32" t="n">
        <v>0</v>
      </c>
      <c r="S1107" s="31" t="n">
        <v>0</v>
      </c>
      <c r="T1107" s="32" t="n">
        <v>0</v>
      </c>
      <c r="U1107" s="31" t="n">
        <v>0</v>
      </c>
      <c r="V1107" s="31" t="n">
        <v>0</v>
      </c>
      <c r="W1107" s="3" t="n">
        <v>0</v>
      </c>
      <c r="X1107" s="3" t="n">
        <v>0</v>
      </c>
      <c r="Y1107" s="32" t="n">
        <v>0</v>
      </c>
      <c r="Z1107" s="3" t="n">
        <v>0</v>
      </c>
      <c r="AA1107" s="32" t="n">
        <v>0</v>
      </c>
      <c r="AB1107" s="3" t="n"/>
      <c r="AC1107" s="31" t="n">
        <v>0</v>
      </c>
      <c r="AD1107" s="2" t="n">
        <v>0</v>
      </c>
      <c r="AE1107" s="2" t="n">
        <v>10</v>
      </c>
      <c r="AF1107" s="4" t="n">
        <v>10</v>
      </c>
      <c r="AG1107" s="33" t="n">
        <v>0</v>
      </c>
      <c r="AH1107" s="4" t="n">
        <v>0</v>
      </c>
      <c r="AI1107" s="34" t="n"/>
      <c r="AJ1107" s="34" t="n">
        <v>0</v>
      </c>
      <c r="AK1107" s="2" t="n">
        <v>0</v>
      </c>
      <c r="AL1107" t="inlineStr">
        <is>
          <t>Published</t>
        </is>
      </c>
    </row>
    <row r="1108">
      <c r="A1108">
        <f>HYPERLINK("https://www.walmart.com/ip/10302868286", "10302868286")</f>
        <v/>
      </c>
      <c r="B1108">
        <f>HYPERLINK("https://app.optiwise.ai/catalog/itemdetails/13012965", "Every Day is Christmas Glass Blown Ornaments Cute Hand Made Figurines Tree Decoration, Love Sign Set of 2")</f>
        <v/>
      </c>
      <c r="C1108" t="inlineStr">
        <is>
          <t>EDC-FIGURINE-WP280</t>
        </is>
      </c>
      <c r="D1108" t="inlineStr">
        <is>
          <t>Home Decor, Kitchen, &amp; Other</t>
        </is>
      </c>
      <c r="E1108" t="inlineStr">
        <is>
          <t>Ornaments</t>
        </is>
      </c>
      <c r="F1108" t="inlineStr">
        <is>
          <t>Every Day is Christmas</t>
        </is>
      </c>
      <c r="G1108" t="n">
        <v>4.6</v>
      </c>
      <c r="H1108" t="n">
        <v>0</v>
      </c>
      <c r="J1108" s="29" t="n">
        <v>0</v>
      </c>
      <c r="K1108" s="30" t="n"/>
      <c r="L1108" s="29" t="n">
        <v>0</v>
      </c>
      <c r="M1108" s="29" t="n">
        <v>0</v>
      </c>
      <c r="N1108" s="2" t="n">
        <v>0</v>
      </c>
      <c r="O1108" s="31" t="n">
        <v>0</v>
      </c>
      <c r="P1108" s="32" t="n"/>
      <c r="Q1108" s="32" t="n">
        <v>0</v>
      </c>
      <c r="R1108" s="32" t="n">
        <v>0</v>
      </c>
      <c r="S1108" s="31" t="n">
        <v>0</v>
      </c>
      <c r="T1108" s="32" t="n">
        <v>0</v>
      </c>
      <c r="U1108" s="31" t="n">
        <v>0</v>
      </c>
      <c r="V1108" s="31" t="n">
        <v>0</v>
      </c>
      <c r="W1108" s="3" t="n">
        <v>0</v>
      </c>
      <c r="X1108" s="3" t="n">
        <v>0</v>
      </c>
      <c r="Y1108" s="32" t="n">
        <v>0</v>
      </c>
      <c r="Z1108" s="3" t="n">
        <v>0</v>
      </c>
      <c r="AA1108" s="32" t="n">
        <v>0</v>
      </c>
      <c r="AB1108" s="3" t="n"/>
      <c r="AC1108" s="31" t="n">
        <v>0</v>
      </c>
      <c r="AD1108" s="2" t="n">
        <v>0</v>
      </c>
      <c r="AE1108" s="2" t="n">
        <v>142</v>
      </c>
      <c r="AF1108" s="4" t="n">
        <v>142</v>
      </c>
      <c r="AG1108" s="33" t="n">
        <v>0</v>
      </c>
      <c r="AH1108" s="4" t="n">
        <v>0</v>
      </c>
      <c r="AI1108" s="34" t="n"/>
      <c r="AJ1108" s="34" t="n">
        <v>0</v>
      </c>
      <c r="AK1108" s="2" t="n">
        <v>0</v>
      </c>
      <c r="AL1108" t="inlineStr">
        <is>
          <t>Published</t>
        </is>
      </c>
    </row>
    <row r="1109">
      <c r="A1109">
        <f>HYPERLINK("https://www.walmart.com/ip/1944362249", "1944362249")</f>
        <v/>
      </c>
      <c r="B1109">
        <f>HYPERLINK("https://app.optiwise.ai/catalog/itemdetails/13012964", "Every Day is Christmas Glass Blown Ornaments Cute Hand Made Figurines Tree Decoration, Teacher Pens")</f>
        <v/>
      </c>
      <c r="C1109" t="inlineStr">
        <is>
          <t>EDC-FIGURINE-TEACHERPENS</t>
        </is>
      </c>
      <c r="D1109" t="inlineStr">
        <is>
          <t>Decorations &amp; Favors</t>
        </is>
      </c>
      <c r="E1109" t="inlineStr">
        <is>
          <t>Ornaments</t>
        </is>
      </c>
      <c r="F1109" t="inlineStr">
        <is>
          <t>Every Day is Christmas</t>
        </is>
      </c>
      <c r="G1109" t="n">
        <v>0</v>
      </c>
      <c r="H1109" t="n">
        <v>0</v>
      </c>
      <c r="J1109" s="29" t="n">
        <v>0</v>
      </c>
      <c r="K1109" s="30" t="n"/>
      <c r="L1109" s="29" t="n">
        <v>0</v>
      </c>
      <c r="M1109" s="29" t="n">
        <v>0</v>
      </c>
      <c r="N1109" s="2" t="n">
        <v>0</v>
      </c>
      <c r="O1109" s="31" t="n">
        <v>0</v>
      </c>
      <c r="P1109" s="32" t="n"/>
      <c r="Q1109" s="32" t="n">
        <v>0</v>
      </c>
      <c r="R1109" s="32" t="n">
        <v>0.1896</v>
      </c>
      <c r="S1109" s="31" t="n">
        <v>0</v>
      </c>
      <c r="T1109" s="32" t="n">
        <v>0</v>
      </c>
      <c r="U1109" s="31" t="n">
        <v>0</v>
      </c>
      <c r="V1109" s="31" t="n">
        <v>0</v>
      </c>
      <c r="W1109" s="3" t="n">
        <v>0</v>
      </c>
      <c r="X1109" s="3" t="n">
        <v>0</v>
      </c>
      <c r="Y1109" s="32" t="n">
        <v>0</v>
      </c>
      <c r="Z1109" s="3" t="n">
        <v>0</v>
      </c>
      <c r="AA1109" s="32" t="n">
        <v>0</v>
      </c>
      <c r="AB1109" s="3" t="n"/>
      <c r="AC1109" s="31" t="n">
        <v>0</v>
      </c>
      <c r="AD1109" s="2" t="n">
        <v>0</v>
      </c>
      <c r="AE1109" s="2" t="n">
        <v>13</v>
      </c>
      <c r="AF1109" s="4" t="n">
        <v>13</v>
      </c>
      <c r="AG1109" s="33" t="n">
        <v>0</v>
      </c>
      <c r="AH1109" s="4" t="n">
        <v>0</v>
      </c>
      <c r="AI1109" s="34" t="n"/>
      <c r="AJ1109" s="34" t="n">
        <v>0</v>
      </c>
      <c r="AK1109" s="2" t="n">
        <v>0</v>
      </c>
      <c r="AL1109" t="inlineStr">
        <is>
          <t>Published</t>
        </is>
      </c>
    </row>
    <row r="1110">
      <c r="A1110">
        <f>HYPERLINK("https://www.walmart.com/ip/1759109481", "1759109481")</f>
        <v/>
      </c>
      <c r="B1110">
        <f>HYPERLINK("https://app.optiwise.ai/catalog/itemdetails/13012963", "Every Day is Christmas Glass Blown Ornaments 2021 Cute Hand Made Figurines Tree Decoration, Santa Mask Off")</f>
        <v/>
      </c>
      <c r="C1110" t="inlineStr">
        <is>
          <t>EDC-FIGURINE-RAINBOW</t>
        </is>
      </c>
      <c r="D1110" t="inlineStr">
        <is>
          <t>Decorations &amp; Favors</t>
        </is>
      </c>
      <c r="E1110" t="inlineStr">
        <is>
          <t>Ornaments</t>
        </is>
      </c>
      <c r="F1110" t="inlineStr">
        <is>
          <t>Every Day is Christmas</t>
        </is>
      </c>
      <c r="G1110" t="n">
        <v>4.8</v>
      </c>
      <c r="H1110" t="n">
        <v>0</v>
      </c>
      <c r="J1110" s="29" t="n">
        <v>0</v>
      </c>
      <c r="K1110" s="30" t="n"/>
      <c r="L1110" s="29" t="n">
        <v>0</v>
      </c>
      <c r="M1110" s="29" t="n">
        <v>0</v>
      </c>
      <c r="N1110" s="2" t="n">
        <v>0</v>
      </c>
      <c r="O1110" s="31" t="n">
        <v>0</v>
      </c>
      <c r="P1110" s="32" t="n"/>
      <c r="Q1110" s="32" t="n">
        <v>0</v>
      </c>
      <c r="R1110" s="32" t="n">
        <v>0</v>
      </c>
      <c r="S1110" s="31" t="n">
        <v>0</v>
      </c>
      <c r="T1110" s="32" t="n">
        <v>0</v>
      </c>
      <c r="U1110" s="31" t="n">
        <v>0</v>
      </c>
      <c r="V1110" s="31" t="n">
        <v>0</v>
      </c>
      <c r="W1110" s="3" t="n">
        <v>0</v>
      </c>
      <c r="X1110" s="3" t="n">
        <v>0</v>
      </c>
      <c r="Y1110" s="32" t="n">
        <v>0</v>
      </c>
      <c r="Z1110" s="3" t="n">
        <v>0</v>
      </c>
      <c r="AA1110" s="32" t="n">
        <v>0</v>
      </c>
      <c r="AB1110" s="3" t="n"/>
      <c r="AC1110" s="31" t="n">
        <v>0</v>
      </c>
      <c r="AD1110" s="2" t="n">
        <v>0</v>
      </c>
      <c r="AE1110" s="2" t="n">
        <v>0</v>
      </c>
      <c r="AF1110" s="4" t="n">
        <v>0</v>
      </c>
      <c r="AG1110" s="33" t="n">
        <v>0</v>
      </c>
      <c r="AH1110" s="4" t="n">
        <v>0</v>
      </c>
      <c r="AI1110" s="34" t="n"/>
      <c r="AJ1110" s="34" t="n">
        <v>0</v>
      </c>
      <c r="AK1110" s="2" t="n">
        <v>0</v>
      </c>
      <c r="AL1110" t="inlineStr">
        <is>
          <t>Published</t>
        </is>
      </c>
    </row>
    <row r="1111">
      <c r="A1111">
        <f>HYPERLINK("https://www.walmart.com/ip/13890368369", "13890368369")</f>
        <v/>
      </c>
      <c r="B1111">
        <f>HYPERLINK("https://app.optiwise.ai/catalog/itemdetails/13012960", "Tirrinia Wearable Heated Blanket for Adults Women Sherpa Christmas Thanksgiving Gift,Ultra Soft Comfy Warm Plush Full Body Throw with Sleeves for Reading Wrap, TV Blanket, Robe Cover")</f>
        <v/>
      </c>
      <c r="C1111" t="inlineStr">
        <is>
          <t>1TRSNH110BL</t>
        </is>
      </c>
      <c r="D1111" t="inlineStr">
        <is>
          <t>Bedding</t>
        </is>
      </c>
      <c r="E1111" t="inlineStr">
        <is>
          <t>Throws</t>
        </is>
      </c>
      <c r="F1111" t="inlineStr">
        <is>
          <t>Tirrina</t>
        </is>
      </c>
      <c r="G1111" t="n">
        <v>0</v>
      </c>
      <c r="H1111" t="n">
        <v>0</v>
      </c>
      <c r="J1111" s="29" t="n">
        <v>0</v>
      </c>
      <c r="K1111" s="30" t="n"/>
      <c r="L1111" s="29" t="n">
        <v>0</v>
      </c>
      <c r="M1111" s="29" t="n">
        <v>0</v>
      </c>
      <c r="N1111" s="2" t="n">
        <v>0</v>
      </c>
      <c r="O1111" s="31" t="n">
        <v>0</v>
      </c>
      <c r="P1111" s="32" t="n"/>
      <c r="Q1111" s="32" t="n">
        <v>0</v>
      </c>
      <c r="R1111" s="32" t="n">
        <v>0</v>
      </c>
      <c r="S1111" s="31" t="n">
        <v>0</v>
      </c>
      <c r="T1111" s="32" t="n">
        <v>0</v>
      </c>
      <c r="U1111" s="31" t="n">
        <v>0</v>
      </c>
      <c r="V1111" s="31" t="n">
        <v>0</v>
      </c>
      <c r="W1111" s="3" t="n">
        <v>0</v>
      </c>
      <c r="X1111" s="3" t="n">
        <v>0</v>
      </c>
      <c r="Y1111" s="32" t="n">
        <v>0</v>
      </c>
      <c r="Z1111" s="3" t="n">
        <v>0</v>
      </c>
      <c r="AA1111" s="32" t="n">
        <v>0</v>
      </c>
      <c r="AB1111" s="3" t="n"/>
      <c r="AC1111" s="31" t="n">
        <v>0</v>
      </c>
      <c r="AD1111" s="2" t="n">
        <v>0</v>
      </c>
      <c r="AE1111" s="2" t="n">
        <v>5</v>
      </c>
      <c r="AF1111" s="4" t="n">
        <v>5</v>
      </c>
      <c r="AG1111" s="33" t="n">
        <v>0</v>
      </c>
      <c r="AH1111" s="4" t="n">
        <v>0</v>
      </c>
      <c r="AI1111" s="34" t="n"/>
      <c r="AJ1111" s="34" t="n">
        <v>0</v>
      </c>
      <c r="AK1111" s="2" t="n">
        <v>0</v>
      </c>
      <c r="AL1111" t="inlineStr">
        <is>
          <t>Published</t>
        </is>
      </c>
    </row>
    <row r="1112">
      <c r="A1112">
        <f>HYPERLINK("https://www.walmart.com/ip/13866169944", "13866169944")</f>
        <v/>
      </c>
      <c r="B1112">
        <f>HYPERLINK("https://app.optiwise.ai/catalog/itemdetails/13012959", "Every Day is Christmas Glass Blown Ornaments Cute Hand Made Figurines Tree Decoration, Poker Set of 2")</f>
        <v/>
      </c>
      <c r="C1112" t="inlineStr">
        <is>
          <t>EDC-FIGURINE-WP294</t>
        </is>
      </c>
      <c r="D1112" t="inlineStr">
        <is>
          <t>Home Decor, Kitchen, &amp; Other</t>
        </is>
      </c>
      <c r="E1112" t="inlineStr">
        <is>
          <t>Ornaments</t>
        </is>
      </c>
      <c r="F1112" t="inlineStr">
        <is>
          <t>Every Day is Christmas</t>
        </is>
      </c>
      <c r="G1112" t="n">
        <v>0</v>
      </c>
      <c r="H1112" t="n">
        <v>0</v>
      </c>
      <c r="J1112" s="29" t="n">
        <v>0</v>
      </c>
      <c r="K1112" s="30" t="n"/>
      <c r="L1112" s="29" t="n">
        <v>0</v>
      </c>
      <c r="M1112" s="29" t="n">
        <v>0</v>
      </c>
      <c r="N1112" s="2" t="n">
        <v>0</v>
      </c>
      <c r="O1112" s="31" t="n">
        <v>0</v>
      </c>
      <c r="P1112" s="32" t="n"/>
      <c r="Q1112" s="32" t="n">
        <v>0</v>
      </c>
      <c r="R1112" s="32" t="n">
        <v>0</v>
      </c>
      <c r="S1112" s="31" t="n">
        <v>0</v>
      </c>
      <c r="T1112" s="32" t="n">
        <v>0</v>
      </c>
      <c r="U1112" s="31" t="n">
        <v>0</v>
      </c>
      <c r="V1112" s="31" t="n">
        <v>0</v>
      </c>
      <c r="W1112" s="3" t="n">
        <v>0</v>
      </c>
      <c r="X1112" s="3" t="n">
        <v>0</v>
      </c>
      <c r="Y1112" s="32" t="n">
        <v>0</v>
      </c>
      <c r="Z1112" s="3" t="n">
        <v>0</v>
      </c>
      <c r="AA1112" s="32" t="n">
        <v>0</v>
      </c>
      <c r="AB1112" s="3" t="n"/>
      <c r="AC1112" s="31" t="n">
        <v>0</v>
      </c>
      <c r="AD1112" s="2" t="n">
        <v>0</v>
      </c>
      <c r="AE1112" s="2" t="n">
        <v>11</v>
      </c>
      <c r="AF1112" s="4" t="n">
        <v>11</v>
      </c>
      <c r="AG1112" s="33" t="n">
        <v>0</v>
      </c>
      <c r="AH1112" s="4" t="n">
        <v>0</v>
      </c>
      <c r="AI1112" s="34" t="n"/>
      <c r="AJ1112" s="34" t="n">
        <v>0</v>
      </c>
      <c r="AK1112" s="2" t="n">
        <v>0</v>
      </c>
      <c r="AL1112" t="inlineStr">
        <is>
          <t>Published</t>
        </is>
      </c>
    </row>
    <row r="1113">
      <c r="A1113">
        <f>HYPERLINK("https://www.walmart.com/ip/10306805832", "10306805832")</f>
        <v/>
      </c>
      <c r="B1113">
        <f>HYPERLINK("https://app.optiwise.ai/catalog/itemdetails/13012958", "Every Day is Christmas Glass Blown Ornaments Cute Hand Made Figurines Tree Decoration, Tacos Set of 2")</f>
        <v/>
      </c>
      <c r="C1113" t="inlineStr">
        <is>
          <t>EDC-FIGURINE-WP292</t>
        </is>
      </c>
      <c r="D1113" t="inlineStr">
        <is>
          <t>Home Decor, Kitchen, &amp; Other</t>
        </is>
      </c>
      <c r="E1113" t="inlineStr">
        <is>
          <t>Ornaments</t>
        </is>
      </c>
      <c r="F1113" t="inlineStr">
        <is>
          <t>Every Day is Christmas</t>
        </is>
      </c>
      <c r="G1113" t="n">
        <v>4.6</v>
      </c>
      <c r="H1113" t="n">
        <v>0</v>
      </c>
      <c r="J1113" s="29" t="n">
        <v>0</v>
      </c>
      <c r="K1113" s="30" t="n"/>
      <c r="L1113" s="29" t="n">
        <v>0</v>
      </c>
      <c r="M1113" s="29" t="n">
        <v>0</v>
      </c>
      <c r="N1113" s="2" t="n">
        <v>0</v>
      </c>
      <c r="O1113" s="31" t="n">
        <v>0</v>
      </c>
      <c r="P1113" s="32" t="n"/>
      <c r="Q1113" s="32" t="n">
        <v>0</v>
      </c>
      <c r="R1113" s="32" t="n">
        <v>0</v>
      </c>
      <c r="S1113" s="31" t="n">
        <v>0</v>
      </c>
      <c r="T1113" s="32" t="n">
        <v>0</v>
      </c>
      <c r="U1113" s="31" t="n">
        <v>0</v>
      </c>
      <c r="V1113" s="31" t="n">
        <v>0</v>
      </c>
      <c r="W1113" s="3" t="n">
        <v>0</v>
      </c>
      <c r="X1113" s="3" t="n">
        <v>0</v>
      </c>
      <c r="Y1113" s="32" t="n">
        <v>0</v>
      </c>
      <c r="Z1113" s="3" t="n">
        <v>0</v>
      </c>
      <c r="AA1113" s="32" t="n">
        <v>0</v>
      </c>
      <c r="AB1113" s="3" t="n"/>
      <c r="AC1113" s="31" t="n">
        <v>0</v>
      </c>
      <c r="AD1113" s="2" t="n">
        <v>0</v>
      </c>
      <c r="AE1113" s="2" t="n">
        <v>9</v>
      </c>
      <c r="AF1113" s="4" t="n">
        <v>9</v>
      </c>
      <c r="AG1113" s="33" t="n">
        <v>0</v>
      </c>
      <c r="AH1113" s="4" t="n">
        <v>0</v>
      </c>
      <c r="AI1113" s="34" t="n"/>
      <c r="AJ1113" s="34" t="n">
        <v>0</v>
      </c>
      <c r="AK1113" s="2" t="n">
        <v>0</v>
      </c>
      <c r="AL1113" t="inlineStr">
        <is>
          <t>Published</t>
        </is>
      </c>
    </row>
    <row r="1114">
      <c r="A1114">
        <f>HYPERLINK("https://www.walmart.com/ip/1583266534", "1583266534")</f>
        <v/>
      </c>
      <c r="B1114">
        <f>HYPERLINK("https://app.optiwise.ai/catalog/itemdetails/13012957", "Every Day is Christmas Glass Blown Ornaments Cute Hand Made Figurines Tree Decoration, Unicorn")</f>
        <v/>
      </c>
      <c r="C1114" t="inlineStr">
        <is>
          <t>EDC-FIGURINE-UNICORN</t>
        </is>
      </c>
      <c r="D1114" t="inlineStr">
        <is>
          <t>Decorations &amp; Favors</t>
        </is>
      </c>
      <c r="E1114" t="inlineStr">
        <is>
          <t>Ornaments</t>
        </is>
      </c>
      <c r="F1114" t="inlineStr">
        <is>
          <t>Every Day is Christmas</t>
        </is>
      </c>
      <c r="G1114" t="n">
        <v>0</v>
      </c>
      <c r="H1114" t="n">
        <v>0</v>
      </c>
      <c r="J1114" s="29" t="n">
        <v>0</v>
      </c>
      <c r="K1114" s="30" t="n"/>
      <c r="L1114" s="29" t="n">
        <v>0</v>
      </c>
      <c r="M1114" s="29" t="n">
        <v>0</v>
      </c>
      <c r="N1114" s="2" t="n">
        <v>0</v>
      </c>
      <c r="O1114" s="31" t="n">
        <v>0</v>
      </c>
      <c r="P1114" s="32" t="n"/>
      <c r="Q1114" s="32" t="n">
        <v>0</v>
      </c>
      <c r="R1114" s="32" t="n">
        <v>0</v>
      </c>
      <c r="S1114" s="31" t="n">
        <v>0</v>
      </c>
      <c r="T1114" s="32" t="n">
        <v>0</v>
      </c>
      <c r="U1114" s="31" t="n">
        <v>0</v>
      </c>
      <c r="V1114" s="31" t="n">
        <v>0</v>
      </c>
      <c r="W1114" s="3" t="n">
        <v>0</v>
      </c>
      <c r="X1114" s="3" t="n">
        <v>0</v>
      </c>
      <c r="Y1114" s="32" t="n">
        <v>0</v>
      </c>
      <c r="Z1114" s="3" t="n">
        <v>0</v>
      </c>
      <c r="AA1114" s="32" t="n">
        <v>0</v>
      </c>
      <c r="AB1114" s="3" t="n"/>
      <c r="AC1114" s="31" t="n">
        <v>0</v>
      </c>
      <c r="AD1114" s="2" t="n">
        <v>0</v>
      </c>
      <c r="AE1114" s="2" t="n">
        <v>10</v>
      </c>
      <c r="AF1114" s="4" t="n">
        <v>10</v>
      </c>
      <c r="AG1114" s="33" t="n">
        <v>0</v>
      </c>
      <c r="AH1114" s="4" t="n">
        <v>0</v>
      </c>
      <c r="AI1114" s="34" t="n"/>
      <c r="AJ1114" s="34" t="n">
        <v>0</v>
      </c>
      <c r="AK1114" s="2" t="n">
        <v>0</v>
      </c>
      <c r="AL1114" t="inlineStr">
        <is>
          <t>Published</t>
        </is>
      </c>
    </row>
    <row r="1115">
      <c r="A1115">
        <f>HYPERLINK("https://www.walmart.com/ip/13869921427", "13869921427")</f>
        <v/>
      </c>
      <c r="B1115">
        <f>HYPERLINK("https://app.optiwise.ai/catalog/itemdetails/13012955", "Every Day is Christmas Glass Blown Ornaments Cute Hand Made Figurines Tree Decoration, Donuts Set of 2")</f>
        <v/>
      </c>
      <c r="C1115" t="inlineStr">
        <is>
          <t>EDC-FIGURINE-WP261</t>
        </is>
      </c>
      <c r="D1115" t="inlineStr">
        <is>
          <t>Home Decor, Kitchen, &amp; Other</t>
        </is>
      </c>
      <c r="E1115" t="inlineStr">
        <is>
          <t>Ornaments</t>
        </is>
      </c>
      <c r="F1115" t="inlineStr">
        <is>
          <t>Every Day is Christmas</t>
        </is>
      </c>
      <c r="G1115" t="n">
        <v>0</v>
      </c>
      <c r="H1115" t="n">
        <v>0</v>
      </c>
      <c r="J1115" s="29" t="n">
        <v>0</v>
      </c>
      <c r="K1115" s="30" t="n"/>
      <c r="L1115" s="29" t="n">
        <v>0</v>
      </c>
      <c r="M1115" s="29" t="n">
        <v>0</v>
      </c>
      <c r="N1115" s="2" t="n">
        <v>0</v>
      </c>
      <c r="O1115" s="31" t="n">
        <v>0</v>
      </c>
      <c r="P1115" s="32" t="n"/>
      <c r="Q1115" s="32" t="n">
        <v>0</v>
      </c>
      <c r="R1115" s="32" t="n">
        <v>0</v>
      </c>
      <c r="S1115" s="31" t="n">
        <v>0</v>
      </c>
      <c r="T1115" s="32" t="n">
        <v>0</v>
      </c>
      <c r="U1115" s="31" t="n">
        <v>0</v>
      </c>
      <c r="V1115" s="31" t="n">
        <v>0</v>
      </c>
      <c r="W1115" s="3" t="n">
        <v>0</v>
      </c>
      <c r="X1115" s="3" t="n">
        <v>0</v>
      </c>
      <c r="Y1115" s="32" t="n">
        <v>0</v>
      </c>
      <c r="Z1115" s="3" t="n">
        <v>0</v>
      </c>
      <c r="AA1115" s="32" t="n">
        <v>0</v>
      </c>
      <c r="AB1115" s="3" t="n"/>
      <c r="AC1115" s="31" t="n">
        <v>0</v>
      </c>
      <c r="AD1115" s="2" t="n">
        <v>0</v>
      </c>
      <c r="AE1115" s="2" t="n">
        <v>144</v>
      </c>
      <c r="AF1115" s="4" t="n">
        <v>144</v>
      </c>
      <c r="AG1115" s="33" t="n">
        <v>0</v>
      </c>
      <c r="AH1115" s="4" t="n">
        <v>0</v>
      </c>
      <c r="AI1115" s="34" t="n"/>
      <c r="AJ1115" s="34" t="n">
        <v>0</v>
      </c>
      <c r="AK1115" s="2" t="n">
        <v>0</v>
      </c>
      <c r="AL1115" t="inlineStr">
        <is>
          <t>Published</t>
        </is>
      </c>
    </row>
    <row r="1116">
      <c r="A1116">
        <f>HYPERLINK("https://www.walmart.com/ip/13865873039", "13865873039")</f>
        <v/>
      </c>
      <c r="B1116">
        <f>HYPERLINK("https://app.optiwise.ai/catalog/itemdetails/13012953", "Every Day is Christmas Glass Blown Ornaments Cute Hand Made Figurines Tree Decoration, Game Controllers Set of 2")</f>
        <v/>
      </c>
      <c r="C1116" t="inlineStr">
        <is>
          <t>EDC-FIGURINE-WP278</t>
        </is>
      </c>
      <c r="D1116" t="inlineStr">
        <is>
          <t>Home Decor, Kitchen, &amp; Other</t>
        </is>
      </c>
      <c r="E1116" t="inlineStr">
        <is>
          <t>Ornaments</t>
        </is>
      </c>
      <c r="F1116" t="inlineStr">
        <is>
          <t>Every Day is Christmas</t>
        </is>
      </c>
      <c r="G1116" t="n">
        <v>0</v>
      </c>
      <c r="H1116" t="n">
        <v>0</v>
      </c>
      <c r="J1116" s="29" t="n">
        <v>0</v>
      </c>
      <c r="K1116" s="30" t="n"/>
      <c r="L1116" s="29" t="n">
        <v>0</v>
      </c>
      <c r="M1116" s="29" t="n">
        <v>0</v>
      </c>
      <c r="N1116" s="2" t="n">
        <v>0</v>
      </c>
      <c r="O1116" s="31" t="n">
        <v>0</v>
      </c>
      <c r="P1116" s="32" t="n"/>
      <c r="Q1116" s="32" t="n">
        <v>0</v>
      </c>
      <c r="R1116" s="32" t="n">
        <v>0</v>
      </c>
      <c r="S1116" s="31" t="n">
        <v>0</v>
      </c>
      <c r="T1116" s="32" t="n">
        <v>0</v>
      </c>
      <c r="U1116" s="31" t="n">
        <v>0</v>
      </c>
      <c r="V1116" s="31" t="n">
        <v>0</v>
      </c>
      <c r="W1116" s="3" t="n">
        <v>0</v>
      </c>
      <c r="X1116" s="3" t="n">
        <v>0</v>
      </c>
      <c r="Y1116" s="32" t="n">
        <v>0</v>
      </c>
      <c r="Z1116" s="3" t="n">
        <v>0</v>
      </c>
      <c r="AA1116" s="32" t="n">
        <v>0</v>
      </c>
      <c r="AB1116" s="3" t="n"/>
      <c r="AC1116" s="31" t="n">
        <v>0</v>
      </c>
      <c r="AD1116" s="2" t="n">
        <v>0</v>
      </c>
      <c r="AE1116" s="2" t="n">
        <v>11</v>
      </c>
      <c r="AF1116" s="4" t="n">
        <v>11</v>
      </c>
      <c r="AG1116" s="33" t="n">
        <v>0</v>
      </c>
      <c r="AH1116" s="4" t="n">
        <v>0</v>
      </c>
      <c r="AI1116" s="34" t="n"/>
      <c r="AJ1116" s="34" t="n">
        <v>0</v>
      </c>
      <c r="AK1116" s="2" t="n">
        <v>0</v>
      </c>
      <c r="AL1116" t="inlineStr">
        <is>
          <t>Published</t>
        </is>
      </c>
    </row>
    <row r="1117">
      <c r="A1117">
        <f>HYPERLINK("https://www.walmart.com/ip/14476367286", "14476367286")</f>
        <v/>
      </c>
      <c r="B1117">
        <f>HYPERLINK("https://app.optiwise.ai/catalog/itemdetails/13057935", "Catalonia Women's Blanket Hoodie Sweatshirt, Cozy Comfortable Fluffy Soft Fleece Lounging Pullover, Warm Fleece Hooded with Pockets Gift,  Ombre Purple")</f>
        <v/>
      </c>
      <c r="C1117" t="inlineStr">
        <is>
          <t>1CTOSH330PP-FS</t>
        </is>
      </c>
      <c r="D1117" t="inlineStr">
        <is>
          <t>Clothing</t>
        </is>
      </c>
      <c r="E1117" t="inlineStr">
        <is>
          <t>Sweatshirts &amp; Hoodies</t>
        </is>
      </c>
      <c r="F1117" t="inlineStr">
        <is>
          <t>Catalonia</t>
        </is>
      </c>
      <c r="G1117" t="n">
        <v>0</v>
      </c>
      <c r="H1117" t="n">
        <v>0</v>
      </c>
      <c r="J1117" s="29" t="n">
        <v>0</v>
      </c>
      <c r="K1117" s="30" t="n"/>
      <c r="L1117" s="29" t="n">
        <v>0</v>
      </c>
      <c r="M1117" s="29" t="n">
        <v>0</v>
      </c>
      <c r="N1117" s="2" t="n">
        <v>0</v>
      </c>
      <c r="O1117" s="31" t="n">
        <v>0</v>
      </c>
      <c r="P1117" s="32" t="n"/>
      <c r="Q1117" s="32" t="n">
        <v>0</v>
      </c>
      <c r="R1117" s="32" t="n">
        <v>0</v>
      </c>
      <c r="S1117" s="31" t="n">
        <v>0</v>
      </c>
      <c r="T1117" s="32" t="n">
        <v>0</v>
      </c>
      <c r="U1117" s="31" t="n">
        <v>0</v>
      </c>
      <c r="V1117" s="31" t="n">
        <v>0</v>
      </c>
      <c r="W1117" s="3" t="n">
        <v>0</v>
      </c>
      <c r="X1117" s="3" t="n">
        <v>0</v>
      </c>
      <c r="Y1117" s="32" t="n">
        <v>0</v>
      </c>
      <c r="Z1117" s="3" t="n">
        <v>0</v>
      </c>
      <c r="AA1117" s="32" t="n">
        <v>0</v>
      </c>
      <c r="AB1117" s="3" t="n"/>
      <c r="AC1117" s="31" t="n">
        <v>0</v>
      </c>
      <c r="AD1117" s="2" t="n">
        <v>0</v>
      </c>
      <c r="AE1117" s="2" t="n">
        <v>4</v>
      </c>
      <c r="AF1117" s="4" t="n">
        <v>4</v>
      </c>
      <c r="AG1117" s="33" t="n">
        <v>0</v>
      </c>
      <c r="AH1117" s="4" t="n">
        <v>0</v>
      </c>
      <c r="AI1117" s="34" t="n"/>
      <c r="AJ1117" s="34" t="n">
        <v>0</v>
      </c>
      <c r="AK1117" s="2" t="n">
        <v>0</v>
      </c>
      <c r="AL1117" t="inlineStr">
        <is>
          <t>Published</t>
        </is>
      </c>
    </row>
    <row r="1118">
      <c r="A1118">
        <f>HYPERLINK("https://www.walmart.com/ip/14483052392", "14483052392")</f>
        <v/>
      </c>
      <c r="B1118">
        <f>HYPERLINK("https://app.optiwise.ai/catalog/itemdetails/13057936", "Womens Oversized Flannel Blanket Hoodie Sweatshirt, Plush Fleece Lined Lounging Pullover, Christmas Gift for Women (Ash Gray) - Catalonia")</f>
        <v/>
      </c>
      <c r="C1118" t="inlineStr">
        <is>
          <t>1CTOSH400GYASH-FS</t>
        </is>
      </c>
      <c r="D1118" t="inlineStr">
        <is>
          <t>Clothing</t>
        </is>
      </c>
      <c r="E1118" t="inlineStr">
        <is>
          <t>Sweatshirts &amp; Hoodies</t>
        </is>
      </c>
      <c r="F1118" t="inlineStr">
        <is>
          <t>Catalonia</t>
        </is>
      </c>
      <c r="G1118" t="n">
        <v>0</v>
      </c>
      <c r="H1118" t="n">
        <v>0</v>
      </c>
      <c r="J1118" s="29" t="n">
        <v>0</v>
      </c>
      <c r="K1118" s="30" t="n"/>
      <c r="L1118" s="29" t="n">
        <v>0</v>
      </c>
      <c r="M1118" s="29" t="n">
        <v>0</v>
      </c>
      <c r="N1118" s="2" t="n">
        <v>0</v>
      </c>
      <c r="O1118" s="31" t="n">
        <v>0</v>
      </c>
      <c r="P1118" s="32" t="n"/>
      <c r="Q1118" s="32" t="n">
        <v>0</v>
      </c>
      <c r="R1118" s="32" t="n">
        <v>0</v>
      </c>
      <c r="S1118" s="31" t="n">
        <v>0</v>
      </c>
      <c r="T1118" s="32" t="n">
        <v>0</v>
      </c>
      <c r="U1118" s="31" t="n">
        <v>0</v>
      </c>
      <c r="V1118" s="31" t="n">
        <v>0</v>
      </c>
      <c r="W1118" s="3" t="n">
        <v>0</v>
      </c>
      <c r="X1118" s="3" t="n">
        <v>0</v>
      </c>
      <c r="Y1118" s="32" t="n">
        <v>0</v>
      </c>
      <c r="Z1118" s="3" t="n">
        <v>0</v>
      </c>
      <c r="AA1118" s="32" t="n">
        <v>0</v>
      </c>
      <c r="AB1118" s="3" t="n"/>
      <c r="AC1118" s="31" t="n">
        <v>0</v>
      </c>
      <c r="AD1118" s="2" t="n">
        <v>0</v>
      </c>
      <c r="AE1118" s="2" t="n">
        <v>9</v>
      </c>
      <c r="AF1118" s="4" t="n">
        <v>9</v>
      </c>
      <c r="AG1118" s="33" t="n">
        <v>0</v>
      </c>
      <c r="AH1118" s="4" t="n">
        <v>0</v>
      </c>
      <c r="AI1118" s="34" t="n"/>
      <c r="AJ1118" s="34" t="n">
        <v>0</v>
      </c>
      <c r="AK1118" s="2" t="n">
        <v>0</v>
      </c>
      <c r="AL1118" t="inlineStr">
        <is>
          <t>Published</t>
        </is>
      </c>
    </row>
    <row r="1119">
      <c r="A1119">
        <f>HYPERLINK("https://www.walmart.com/ip/14486513711", "14486513711")</f>
        <v/>
      </c>
      <c r="B1119">
        <f>HYPERLINK("https://app.optiwise.ai/catalog/itemdetails/13057938", "Catalonia Women's Hoodie Sweatshirt, Casual Long Sleeves Pullover Sweater with front Pocket, Blanket Hoodie Sweatshirt, Black")</f>
        <v/>
      </c>
      <c r="C1119" t="inlineStr">
        <is>
          <t>1CTOSH300PWT-FS</t>
        </is>
      </c>
      <c r="D1119" t="inlineStr">
        <is>
          <t>Clothing</t>
        </is>
      </c>
      <c r="E1119" t="inlineStr">
        <is>
          <t>Sweatshirts &amp; Hoodies</t>
        </is>
      </c>
      <c r="F1119" t="inlineStr">
        <is>
          <t>Catalonia</t>
        </is>
      </c>
      <c r="G1119" t="n">
        <v>0</v>
      </c>
      <c r="H1119" t="n">
        <v>0</v>
      </c>
      <c r="J1119" s="29" t="n">
        <v>0</v>
      </c>
      <c r="K1119" s="30" t="n"/>
      <c r="L1119" s="29" t="n">
        <v>0</v>
      </c>
      <c r="M1119" s="29" t="n">
        <v>0</v>
      </c>
      <c r="N1119" s="2" t="n">
        <v>0</v>
      </c>
      <c r="O1119" s="31" t="n">
        <v>0</v>
      </c>
      <c r="P1119" s="32" t="n"/>
      <c r="Q1119" s="32" t="n">
        <v>0</v>
      </c>
      <c r="R1119" s="32" t="n">
        <v>0</v>
      </c>
      <c r="S1119" s="31" t="n">
        <v>0</v>
      </c>
      <c r="T1119" s="32" t="n">
        <v>0</v>
      </c>
      <c r="U1119" s="31" t="n">
        <v>0</v>
      </c>
      <c r="V1119" s="31" t="n">
        <v>0</v>
      </c>
      <c r="W1119" s="3" t="n">
        <v>0</v>
      </c>
      <c r="X1119" s="3" t="n">
        <v>0</v>
      </c>
      <c r="Y1119" s="32" t="n">
        <v>0</v>
      </c>
      <c r="Z1119" s="3" t="n">
        <v>0</v>
      </c>
      <c r="AA1119" s="32" t="n">
        <v>0</v>
      </c>
      <c r="AB1119" s="3" t="n"/>
      <c r="AC1119" s="31" t="n">
        <v>0</v>
      </c>
      <c r="AD1119" s="2" t="n">
        <v>0</v>
      </c>
      <c r="AE1119" s="2" t="n">
        <v>2</v>
      </c>
      <c r="AF1119" s="4" t="n">
        <v>2</v>
      </c>
      <c r="AG1119" s="33" t="n">
        <v>0</v>
      </c>
      <c r="AH1119" s="4" t="n">
        <v>0</v>
      </c>
      <c r="AI1119" s="34" t="n"/>
      <c r="AJ1119" s="34" t="n">
        <v>0</v>
      </c>
      <c r="AK1119" s="2" t="n">
        <v>0</v>
      </c>
      <c r="AL1119" t="inlineStr">
        <is>
          <t>Published</t>
        </is>
      </c>
    </row>
    <row r="1120">
      <c r="A1120">
        <f>HYPERLINK("https://www.walmart.com/ip/14488764892", "14488764892")</f>
        <v/>
      </c>
      <c r="B1120">
        <f>HYPERLINK("https://app.optiwise.ai/catalog/itemdetails/13057939", "Catalonia Cow Print Kid's Oversized Wearable Blanket Hoodie Sweatshirt,  Comfortable Fleece  Pullover for 7-16 yr Teens Youth, Cow Gift for Cow Lovers")</f>
        <v/>
      </c>
      <c r="C1120" t="inlineStr">
        <is>
          <t>1CTOSH401DMT-FS</t>
        </is>
      </c>
      <c r="D1120" t="inlineStr">
        <is>
          <t>Clothing</t>
        </is>
      </c>
      <c r="E1120" t="inlineStr">
        <is>
          <t>Sweatshirts &amp; Hoodies</t>
        </is>
      </c>
      <c r="F1120" t="inlineStr">
        <is>
          <t>Catalonia</t>
        </is>
      </c>
      <c r="G1120" t="n">
        <v>0</v>
      </c>
      <c r="H1120" t="n">
        <v>0</v>
      </c>
      <c r="J1120" s="29" t="n">
        <v>0</v>
      </c>
      <c r="K1120" s="30" t="n"/>
      <c r="L1120" s="29" t="n">
        <v>0</v>
      </c>
      <c r="M1120" s="29" t="n">
        <v>0</v>
      </c>
      <c r="N1120" s="2" t="n">
        <v>0</v>
      </c>
      <c r="O1120" s="31" t="n">
        <v>0</v>
      </c>
      <c r="P1120" s="32" t="n"/>
      <c r="Q1120" s="32" t="n">
        <v>0</v>
      </c>
      <c r="R1120" s="32" t="n">
        <v>0</v>
      </c>
      <c r="S1120" s="31" t="n">
        <v>0</v>
      </c>
      <c r="T1120" s="32" t="n">
        <v>0</v>
      </c>
      <c r="U1120" s="31" t="n">
        <v>0</v>
      </c>
      <c r="V1120" s="31" t="n">
        <v>0</v>
      </c>
      <c r="W1120" s="3" t="n">
        <v>0</v>
      </c>
      <c r="X1120" s="3" t="n">
        <v>0</v>
      </c>
      <c r="Y1120" s="32" t="n">
        <v>0</v>
      </c>
      <c r="Z1120" s="3" t="n">
        <v>0</v>
      </c>
      <c r="AA1120" s="32" t="n">
        <v>0</v>
      </c>
      <c r="AB1120" s="3" t="n"/>
      <c r="AC1120" s="31" t="n">
        <v>0</v>
      </c>
      <c r="AD1120" s="2" t="n">
        <v>0</v>
      </c>
      <c r="AE1120" s="2" t="n">
        <v>2</v>
      </c>
      <c r="AF1120" s="4" t="n">
        <v>2</v>
      </c>
      <c r="AG1120" s="33" t="n">
        <v>0</v>
      </c>
      <c r="AH1120" s="4" t="n">
        <v>0</v>
      </c>
      <c r="AI1120" s="34" t="n"/>
      <c r="AJ1120" s="34" t="n">
        <v>0</v>
      </c>
      <c r="AK1120" s="2" t="n">
        <v>0</v>
      </c>
      <c r="AL1120" t="inlineStr">
        <is>
          <t>Published</t>
        </is>
      </c>
    </row>
    <row r="1121">
      <c r="A1121">
        <f>HYPERLINK("https://www.walmart.com/ip/14486811190", "14486811190")</f>
        <v/>
      </c>
      <c r="B1121">
        <f>HYPERLINK("https://app.optiwise.ai/catalog/itemdetails/13057965", "Catalonia Cat Print Blanket Hoodie for Kids, Oversized Wearable Fleece Sweatshirt Pullover for 7-16 yr Teens Youth, Kids Gift Idea")</f>
        <v/>
      </c>
      <c r="C1121" t="inlineStr">
        <is>
          <t>1CTOSH401BLCAT-FS</t>
        </is>
      </c>
      <c r="D1121" t="inlineStr">
        <is>
          <t>Clothing</t>
        </is>
      </c>
      <c r="E1121" t="inlineStr">
        <is>
          <t>Sweatshirts &amp; Hoodies</t>
        </is>
      </c>
      <c r="F1121" t="inlineStr">
        <is>
          <t>Catalonia</t>
        </is>
      </c>
      <c r="G1121" t="n">
        <v>0</v>
      </c>
      <c r="H1121" t="n">
        <v>0</v>
      </c>
      <c r="J1121" s="29" t="n">
        <v>0</v>
      </c>
      <c r="K1121" s="30" t="n"/>
      <c r="L1121" s="29" t="n">
        <v>0</v>
      </c>
      <c r="M1121" s="29" t="n">
        <v>0</v>
      </c>
      <c r="N1121" s="2" t="n">
        <v>0</v>
      </c>
      <c r="O1121" s="31" t="n">
        <v>0</v>
      </c>
      <c r="P1121" s="32" t="n"/>
      <c r="Q1121" s="32" t="n">
        <v>0</v>
      </c>
      <c r="R1121" s="32" t="n">
        <v>0</v>
      </c>
      <c r="S1121" s="31" t="n">
        <v>0</v>
      </c>
      <c r="T1121" s="32" t="n">
        <v>0</v>
      </c>
      <c r="U1121" s="31" t="n">
        <v>0</v>
      </c>
      <c r="V1121" s="31" t="n">
        <v>0</v>
      </c>
      <c r="W1121" s="3" t="n">
        <v>0</v>
      </c>
      <c r="X1121" s="3" t="n">
        <v>0</v>
      </c>
      <c r="Y1121" s="32" t="n">
        <v>0</v>
      </c>
      <c r="Z1121" s="3" t="n">
        <v>0</v>
      </c>
      <c r="AA1121" s="32" t="n">
        <v>0</v>
      </c>
      <c r="AB1121" s="3" t="n"/>
      <c r="AC1121" s="31" t="n">
        <v>0</v>
      </c>
      <c r="AD1121" s="2" t="n">
        <v>0</v>
      </c>
      <c r="AE1121" s="2" t="n">
        <v>3</v>
      </c>
      <c r="AF1121" s="4" t="n">
        <v>3</v>
      </c>
      <c r="AG1121" s="33" t="n">
        <v>0</v>
      </c>
      <c r="AH1121" s="4" t="n">
        <v>0</v>
      </c>
      <c r="AI1121" s="34" t="n"/>
      <c r="AJ1121" s="34" t="n">
        <v>0</v>
      </c>
      <c r="AK1121" s="2" t="n">
        <v>0</v>
      </c>
      <c r="AL1121" t="inlineStr">
        <is>
          <t>Published</t>
        </is>
      </c>
    </row>
    <row r="1122">
      <c r="A1122">
        <f>HYPERLINK("https://www.walmart.com/ip/14486463816", "14486463816")</f>
        <v/>
      </c>
      <c r="B1122">
        <f>HYPERLINK("https://app.optiwise.ai/catalog/itemdetails/13057964", "Catalonia Women's Hoodie Sweatshirt, Casual Long Sleeves Pullover Sweater with front Pocket, Blanket Hoodie Sweatshirt, Pinkash")</f>
        <v/>
      </c>
      <c r="C1122" t="inlineStr">
        <is>
          <t>1CTOSH300S1PKASH-FS</t>
        </is>
      </c>
      <c r="D1122" t="inlineStr">
        <is>
          <t>Clothing</t>
        </is>
      </c>
      <c r="E1122" t="inlineStr">
        <is>
          <t>Sweatshirts &amp; Hoodies</t>
        </is>
      </c>
      <c r="F1122" t="inlineStr">
        <is>
          <t>Catalonia</t>
        </is>
      </c>
      <c r="G1122" t="n">
        <v>0</v>
      </c>
      <c r="H1122" t="n">
        <v>0</v>
      </c>
      <c r="J1122" s="29" t="n">
        <v>0</v>
      </c>
      <c r="K1122" s="30" t="n"/>
      <c r="L1122" s="29" t="n">
        <v>0</v>
      </c>
      <c r="M1122" s="29" t="n">
        <v>0</v>
      </c>
      <c r="N1122" s="2" t="n">
        <v>0</v>
      </c>
      <c r="O1122" s="31" t="n">
        <v>0</v>
      </c>
      <c r="P1122" s="32" t="n"/>
      <c r="Q1122" s="32" t="n">
        <v>0</v>
      </c>
      <c r="R1122" s="32" t="n">
        <v>0</v>
      </c>
      <c r="S1122" s="31" t="n">
        <v>0</v>
      </c>
      <c r="T1122" s="32" t="n">
        <v>0</v>
      </c>
      <c r="U1122" s="31" t="n">
        <v>0</v>
      </c>
      <c r="V1122" s="31" t="n">
        <v>0</v>
      </c>
      <c r="W1122" s="3" t="n">
        <v>0</v>
      </c>
      <c r="X1122" s="3" t="n">
        <v>0</v>
      </c>
      <c r="Y1122" s="32" t="n">
        <v>0</v>
      </c>
      <c r="Z1122" s="3" t="n">
        <v>0</v>
      </c>
      <c r="AA1122" s="32" t="n">
        <v>0</v>
      </c>
      <c r="AB1122" s="3" t="n"/>
      <c r="AC1122" s="31" t="n">
        <v>0</v>
      </c>
      <c r="AD1122" s="2" t="n">
        <v>0</v>
      </c>
      <c r="AE1122" s="2" t="n">
        <v>1</v>
      </c>
      <c r="AF1122" s="4" t="n">
        <v>1</v>
      </c>
      <c r="AG1122" s="33" t="n">
        <v>0</v>
      </c>
      <c r="AH1122" s="4" t="n">
        <v>0</v>
      </c>
      <c r="AI1122" s="34" t="n"/>
      <c r="AJ1122" s="34" t="n">
        <v>0</v>
      </c>
      <c r="AK1122" s="2" t="n">
        <v>0</v>
      </c>
      <c r="AL1122" t="inlineStr">
        <is>
          <t>Published</t>
        </is>
      </c>
    </row>
    <row r="1123">
      <c r="A1123">
        <f>HYPERLINK("https://www.walmart.com/ip/14483052382", "14483052382")</f>
        <v/>
      </c>
      <c r="B1123">
        <f>HYPERLINK("https://app.optiwise.ai/catalog/itemdetails/13057962", "Catalonia Women's Hoodie Sweatshirt, Casual Long Sleeves Pullover Sweater with front Pocket, Blanket Hoodie Sweatshirt, Dark Gray")</f>
        <v/>
      </c>
      <c r="C1123" t="inlineStr">
        <is>
          <t>1CTOSH300S1CHEETAH-FS</t>
        </is>
      </c>
      <c r="D1123" t="inlineStr">
        <is>
          <t>Clothing</t>
        </is>
      </c>
      <c r="E1123" t="inlineStr">
        <is>
          <t>Sweatshirts &amp; Hoodies</t>
        </is>
      </c>
      <c r="F1123" t="inlineStr">
        <is>
          <t>Catalonia</t>
        </is>
      </c>
      <c r="G1123" t="n">
        <v>0</v>
      </c>
      <c r="H1123" t="n">
        <v>0</v>
      </c>
      <c r="J1123" s="29" t="n">
        <v>0</v>
      </c>
      <c r="K1123" s="30" t="n"/>
      <c r="L1123" s="29" t="n">
        <v>0</v>
      </c>
      <c r="M1123" s="29" t="n">
        <v>0</v>
      </c>
      <c r="N1123" s="2" t="n">
        <v>0</v>
      </c>
      <c r="O1123" s="31" t="n">
        <v>0</v>
      </c>
      <c r="P1123" s="32" t="n"/>
      <c r="Q1123" s="32" t="n">
        <v>0</v>
      </c>
      <c r="R1123" s="32" t="n">
        <v>0</v>
      </c>
      <c r="S1123" s="31" t="n">
        <v>0</v>
      </c>
      <c r="T1123" s="32" t="n">
        <v>0</v>
      </c>
      <c r="U1123" s="31" t="n">
        <v>0</v>
      </c>
      <c r="V1123" s="31" t="n">
        <v>0</v>
      </c>
      <c r="W1123" s="3" t="n">
        <v>0</v>
      </c>
      <c r="X1123" s="3" t="n">
        <v>0</v>
      </c>
      <c r="Y1123" s="32" t="n">
        <v>0</v>
      </c>
      <c r="Z1123" s="3" t="n">
        <v>0</v>
      </c>
      <c r="AA1123" s="32" t="n">
        <v>0</v>
      </c>
      <c r="AB1123" s="3" t="n"/>
      <c r="AC1123" s="31" t="n">
        <v>0</v>
      </c>
      <c r="AD1123" s="2" t="n">
        <v>0</v>
      </c>
      <c r="AE1123" s="2" t="n">
        <v>2</v>
      </c>
      <c r="AF1123" s="4" t="n">
        <v>2</v>
      </c>
      <c r="AG1123" s="33" t="n">
        <v>0</v>
      </c>
      <c r="AH1123" s="4" t="n">
        <v>0</v>
      </c>
      <c r="AI1123" s="34" t="n"/>
      <c r="AJ1123" s="34" t="n">
        <v>0</v>
      </c>
      <c r="AK1123" s="2" t="n">
        <v>0</v>
      </c>
      <c r="AL1123" t="inlineStr">
        <is>
          <t>Published</t>
        </is>
      </c>
    </row>
    <row r="1124">
      <c r="A1124">
        <f>HYPERLINK("https://www.walmart.com/ip/14473700583", "14473700583")</f>
        <v/>
      </c>
      <c r="B1124">
        <f>HYPERLINK("https://app.optiwise.ai/catalog/itemdetails/13057961", "Tirrinia Polar Fleece Balaclava Hood Face Mask,Ski Mask Windproof Cycling Mask,Full Face Mask")</f>
        <v/>
      </c>
      <c r="C1124" t="inlineStr">
        <is>
          <t>1TRWH002ORBK</t>
        </is>
      </c>
      <c r="D1124" t="inlineStr">
        <is>
          <t>Clothing</t>
        </is>
      </c>
      <c r="E1124" t="inlineStr">
        <is>
          <t>Balaclavas</t>
        </is>
      </c>
      <c r="F1124" t="inlineStr">
        <is>
          <t>Tirrinia</t>
        </is>
      </c>
      <c r="G1124" t="n">
        <v>0</v>
      </c>
      <c r="H1124" t="n">
        <v>0</v>
      </c>
      <c r="J1124" s="29" t="n">
        <v>0</v>
      </c>
      <c r="K1124" s="30" t="n"/>
      <c r="L1124" s="29" t="n">
        <v>0</v>
      </c>
      <c r="M1124" s="29" t="n">
        <v>0</v>
      </c>
      <c r="N1124" s="2" t="n">
        <v>0</v>
      </c>
      <c r="O1124" s="31" t="n">
        <v>0</v>
      </c>
      <c r="P1124" s="32" t="n"/>
      <c r="Q1124" s="32" t="n">
        <v>0</v>
      </c>
      <c r="R1124" s="32" t="n">
        <v>0</v>
      </c>
      <c r="S1124" s="31" t="n">
        <v>0</v>
      </c>
      <c r="T1124" s="32" t="n">
        <v>0</v>
      </c>
      <c r="U1124" s="31" t="n">
        <v>0</v>
      </c>
      <c r="V1124" s="31" t="n">
        <v>0</v>
      </c>
      <c r="W1124" s="3" t="n">
        <v>0</v>
      </c>
      <c r="X1124" s="3" t="n">
        <v>0</v>
      </c>
      <c r="Y1124" s="32" t="n">
        <v>0</v>
      </c>
      <c r="Z1124" s="3" t="n">
        <v>0</v>
      </c>
      <c r="AA1124" s="32" t="n">
        <v>0</v>
      </c>
      <c r="AB1124" s="3" t="n"/>
      <c r="AC1124" s="31" t="n">
        <v>0</v>
      </c>
      <c r="AD1124" s="2" t="n">
        <v>0</v>
      </c>
      <c r="AE1124" s="2" t="n">
        <v>5</v>
      </c>
      <c r="AF1124" s="4" t="n">
        <v>5</v>
      </c>
      <c r="AG1124" s="33" t="n">
        <v>0</v>
      </c>
      <c r="AH1124" s="4" t="n">
        <v>0</v>
      </c>
      <c r="AI1124" s="34" t="n"/>
      <c r="AJ1124" s="34" t="n">
        <v>0</v>
      </c>
      <c r="AK1124" s="2" t="n">
        <v>0</v>
      </c>
      <c r="AL1124" t="inlineStr">
        <is>
          <t>Published</t>
        </is>
      </c>
    </row>
    <row r="1125">
      <c r="A1125">
        <f>HYPERLINK("https://www.walmart.com/ip/14468700704", "14468700704")</f>
        <v/>
      </c>
      <c r="B1125">
        <f>HYPERLINK("https://app.optiwise.ai/catalog/itemdetails/13057960", "Tirrinia Oversized Wearable Blanket Hoodie, Fleece Home Blanket Sweatshirt, Warm Blanket with Sleeves, Gift for lover")</f>
        <v/>
      </c>
      <c r="C1125" t="inlineStr">
        <is>
          <t>1TROSH340PK-FS</t>
        </is>
      </c>
      <c r="D1125" t="inlineStr">
        <is>
          <t>Clothing</t>
        </is>
      </c>
      <c r="E1125" t="inlineStr">
        <is>
          <t>Sweatshirts &amp; Hoodies</t>
        </is>
      </c>
      <c r="F1125" t="inlineStr">
        <is>
          <t>Tirrinia</t>
        </is>
      </c>
      <c r="G1125" t="n">
        <v>0</v>
      </c>
      <c r="H1125" t="n">
        <v>0</v>
      </c>
      <c r="J1125" s="29" t="n">
        <v>0</v>
      </c>
      <c r="K1125" s="30" t="n"/>
      <c r="L1125" s="29" t="n">
        <v>0</v>
      </c>
      <c r="M1125" s="29" t="n">
        <v>0</v>
      </c>
      <c r="N1125" s="2" t="n">
        <v>0</v>
      </c>
      <c r="O1125" s="31" t="n">
        <v>0</v>
      </c>
      <c r="P1125" s="32" t="n"/>
      <c r="Q1125" s="32" t="n">
        <v>0</v>
      </c>
      <c r="R1125" s="32" t="n">
        <v>0</v>
      </c>
      <c r="S1125" s="31" t="n">
        <v>0</v>
      </c>
      <c r="T1125" s="32" t="n">
        <v>0</v>
      </c>
      <c r="U1125" s="31" t="n">
        <v>0</v>
      </c>
      <c r="V1125" s="31" t="n">
        <v>0</v>
      </c>
      <c r="W1125" s="3" t="n">
        <v>0</v>
      </c>
      <c r="X1125" s="3" t="n">
        <v>0</v>
      </c>
      <c r="Y1125" s="32" t="n">
        <v>0</v>
      </c>
      <c r="Z1125" s="3" t="n">
        <v>0</v>
      </c>
      <c r="AA1125" s="32" t="n">
        <v>0</v>
      </c>
      <c r="AB1125" s="3" t="n"/>
      <c r="AC1125" s="31" t="n">
        <v>0</v>
      </c>
      <c r="AD1125" s="2" t="n">
        <v>0</v>
      </c>
      <c r="AE1125" s="2" t="n">
        <v>7</v>
      </c>
      <c r="AF1125" s="4" t="n">
        <v>7</v>
      </c>
      <c r="AG1125" s="33" t="n">
        <v>0</v>
      </c>
      <c r="AH1125" s="4" t="n">
        <v>0</v>
      </c>
      <c r="AI1125" s="34" t="n"/>
      <c r="AJ1125" s="34" t="n">
        <v>0</v>
      </c>
      <c r="AK1125" s="2" t="n">
        <v>0</v>
      </c>
      <c r="AL1125" t="inlineStr">
        <is>
          <t>Published</t>
        </is>
      </c>
    </row>
    <row r="1126">
      <c r="A1126">
        <f>HYPERLINK("https://www.walmart.com/ip/14453423581", "14453423581")</f>
        <v/>
      </c>
      <c r="B1126">
        <f>HYPERLINK("https://app.optiwise.ai/catalog/itemdetails/13057959", "Tirrinia Oversized Wearable Blanket Hoodie, Fleece Home Blanket Sweatshirt, Warm Blanket with Sleeves, Gift for lover")</f>
        <v/>
      </c>
      <c r="C1126" t="inlineStr">
        <is>
          <t>1TROSH340BK-FS</t>
        </is>
      </c>
      <c r="D1126" t="inlineStr">
        <is>
          <t>Clothing</t>
        </is>
      </c>
      <c r="E1126" t="inlineStr">
        <is>
          <t>Sweatshirts &amp; Hoodies</t>
        </is>
      </c>
      <c r="F1126" t="inlineStr">
        <is>
          <t>Tirrinia</t>
        </is>
      </c>
      <c r="G1126" t="n">
        <v>0</v>
      </c>
      <c r="H1126" t="n">
        <v>0</v>
      </c>
      <c r="J1126" s="29" t="n">
        <v>0</v>
      </c>
      <c r="K1126" s="30" t="n"/>
      <c r="L1126" s="29" t="n">
        <v>0</v>
      </c>
      <c r="M1126" s="29" t="n">
        <v>0</v>
      </c>
      <c r="N1126" s="2" t="n">
        <v>0</v>
      </c>
      <c r="O1126" s="31" t="n">
        <v>0</v>
      </c>
      <c r="P1126" s="32" t="n"/>
      <c r="Q1126" s="32" t="n">
        <v>0</v>
      </c>
      <c r="R1126" s="32" t="n">
        <v>0</v>
      </c>
      <c r="S1126" s="31" t="n">
        <v>0</v>
      </c>
      <c r="T1126" s="32" t="n">
        <v>0</v>
      </c>
      <c r="U1126" s="31" t="n">
        <v>0</v>
      </c>
      <c r="V1126" s="31" t="n">
        <v>0</v>
      </c>
      <c r="W1126" s="3" t="n">
        <v>0</v>
      </c>
      <c r="X1126" s="3" t="n">
        <v>0</v>
      </c>
      <c r="Y1126" s="32" t="n">
        <v>0</v>
      </c>
      <c r="Z1126" s="3" t="n">
        <v>0</v>
      </c>
      <c r="AA1126" s="32" t="n">
        <v>0</v>
      </c>
      <c r="AB1126" s="3" t="n"/>
      <c r="AC1126" s="31" t="n">
        <v>0</v>
      </c>
      <c r="AD1126" s="2" t="n">
        <v>0</v>
      </c>
      <c r="AE1126" s="2" t="n">
        <v>7</v>
      </c>
      <c r="AF1126" s="4" t="n">
        <v>7</v>
      </c>
      <c r="AG1126" s="33" t="n">
        <v>0</v>
      </c>
      <c r="AH1126" s="4" t="n">
        <v>0</v>
      </c>
      <c r="AI1126" s="34" t="n"/>
      <c r="AJ1126" s="34" t="n">
        <v>0</v>
      </c>
      <c r="AK1126" s="2" t="n">
        <v>0</v>
      </c>
      <c r="AL1126" t="inlineStr">
        <is>
          <t>Published</t>
        </is>
      </c>
    </row>
    <row r="1127">
      <c r="A1127">
        <f>HYPERLINK("https://www.walmart.com/ip/14505655972", "14505655972")</f>
        <v/>
      </c>
      <c r="B1127">
        <f>HYPERLINK("https://app.optiwise.ai/catalog/itemdetails/13057958", "Womens Oversized Flannel Blanket Hoodie Sweatshirt, Plush Fleece Lined Lounging Pullover, Christmas Gift for Women (Charcoal) - Catalonia")</f>
        <v/>
      </c>
      <c r="C1127" t="inlineStr">
        <is>
          <t>1CTOSH400BKASH-FS</t>
        </is>
      </c>
      <c r="D1127" t="inlineStr">
        <is>
          <t>Clothing</t>
        </is>
      </c>
      <c r="E1127" t="inlineStr">
        <is>
          <t>Sweatshirts &amp; Hoodies</t>
        </is>
      </c>
      <c r="F1127" t="inlineStr">
        <is>
          <t>Catalonia</t>
        </is>
      </c>
      <c r="G1127" t="n">
        <v>0</v>
      </c>
      <c r="H1127" t="n">
        <v>0</v>
      </c>
      <c r="J1127" s="29" t="n">
        <v>0</v>
      </c>
      <c r="K1127" s="30" t="n"/>
      <c r="L1127" s="29" t="n">
        <v>0</v>
      </c>
      <c r="M1127" s="29" t="n">
        <v>0</v>
      </c>
      <c r="N1127" s="2" t="n">
        <v>0</v>
      </c>
      <c r="O1127" s="31" t="n">
        <v>0</v>
      </c>
      <c r="P1127" s="32" t="n"/>
      <c r="Q1127" s="32" t="n">
        <v>0</v>
      </c>
      <c r="R1127" s="32" t="n">
        <v>0</v>
      </c>
      <c r="S1127" s="31" t="n">
        <v>0</v>
      </c>
      <c r="T1127" s="32" t="n">
        <v>0</v>
      </c>
      <c r="U1127" s="31" t="n">
        <v>0</v>
      </c>
      <c r="V1127" s="31" t="n">
        <v>0</v>
      </c>
      <c r="W1127" s="3" t="n">
        <v>0</v>
      </c>
      <c r="X1127" s="3" t="n">
        <v>0</v>
      </c>
      <c r="Y1127" s="32" t="n">
        <v>0</v>
      </c>
      <c r="Z1127" s="3" t="n">
        <v>0</v>
      </c>
      <c r="AA1127" s="32" t="n">
        <v>0</v>
      </c>
      <c r="AB1127" s="3" t="n"/>
      <c r="AC1127" s="31" t="n">
        <v>0</v>
      </c>
      <c r="AD1127" s="2" t="n">
        <v>0</v>
      </c>
      <c r="AE1127" s="2" t="n">
        <v>1</v>
      </c>
      <c r="AF1127" s="4" t="n">
        <v>1</v>
      </c>
      <c r="AG1127" s="33" t="n">
        <v>0</v>
      </c>
      <c r="AH1127" s="4" t="n">
        <v>0</v>
      </c>
      <c r="AI1127" s="34" t="n"/>
      <c r="AJ1127" s="34" t="n">
        <v>0</v>
      </c>
      <c r="AK1127" s="2" t="n">
        <v>0</v>
      </c>
      <c r="AL1127" t="inlineStr">
        <is>
          <t>Published</t>
        </is>
      </c>
    </row>
    <row r="1128">
      <c r="A1128">
        <f>HYPERLINK("https://www.walmart.com/ip/14489118467", "14489118467")</f>
        <v/>
      </c>
      <c r="B1128">
        <f>HYPERLINK("https://app.optiwise.ai/catalog/itemdetails/13057956", "Tirrinia Oversized Blanket Hoodie Sweatshirts, Wearable Fluffy Fleece Plush Blanket, Lightweight Cozy Sweatshirt Blanket Gift for Women Men, Black")</f>
        <v/>
      </c>
      <c r="C1128" t="inlineStr">
        <is>
          <t>1TROSH340PP-FS</t>
        </is>
      </c>
      <c r="D1128" t="inlineStr">
        <is>
          <t>Clothing</t>
        </is>
      </c>
      <c r="E1128" t="inlineStr">
        <is>
          <t>Sweatshirts &amp; Hoodies</t>
        </is>
      </c>
      <c r="F1128" t="inlineStr">
        <is>
          <t>Tirrinia</t>
        </is>
      </c>
      <c r="G1128" t="n">
        <v>0</v>
      </c>
      <c r="H1128" t="n">
        <v>0</v>
      </c>
      <c r="J1128" s="29" t="n">
        <v>0</v>
      </c>
      <c r="K1128" s="30" t="n"/>
      <c r="L1128" s="29" t="n">
        <v>0</v>
      </c>
      <c r="M1128" s="29" t="n">
        <v>0</v>
      </c>
      <c r="N1128" s="2" t="n">
        <v>0</v>
      </c>
      <c r="O1128" s="31" t="n">
        <v>0</v>
      </c>
      <c r="P1128" s="32" t="n"/>
      <c r="Q1128" s="32" t="n">
        <v>0</v>
      </c>
      <c r="R1128" s="32" t="n">
        <v>0</v>
      </c>
      <c r="S1128" s="31" t="n">
        <v>0</v>
      </c>
      <c r="T1128" s="32" t="n">
        <v>0</v>
      </c>
      <c r="U1128" s="31" t="n">
        <v>0</v>
      </c>
      <c r="V1128" s="31" t="n">
        <v>0</v>
      </c>
      <c r="W1128" s="3" t="n">
        <v>0</v>
      </c>
      <c r="X1128" s="3" t="n">
        <v>0</v>
      </c>
      <c r="Y1128" s="32" t="n">
        <v>0</v>
      </c>
      <c r="Z1128" s="3" t="n">
        <v>0</v>
      </c>
      <c r="AA1128" s="32" t="n">
        <v>0</v>
      </c>
      <c r="AB1128" s="3" t="n"/>
      <c r="AC1128" s="31" t="n">
        <v>0</v>
      </c>
      <c r="AD1128" s="2" t="n">
        <v>0</v>
      </c>
      <c r="AE1128" s="2" t="n">
        <v>1</v>
      </c>
      <c r="AF1128" s="4" t="n">
        <v>1</v>
      </c>
      <c r="AG1128" s="33" t="n">
        <v>0</v>
      </c>
      <c r="AH1128" s="4" t="n">
        <v>0</v>
      </c>
      <c r="AI1128" s="34" t="n"/>
      <c r="AJ1128" s="34" t="n">
        <v>0</v>
      </c>
      <c r="AK1128" s="2" t="n">
        <v>0</v>
      </c>
      <c r="AL1128" t="inlineStr">
        <is>
          <t>Published</t>
        </is>
      </c>
    </row>
    <row r="1129">
      <c r="A1129">
        <f>HYPERLINK("https://www.walmart.com/ip/14489068782", "14489068782")</f>
        <v/>
      </c>
      <c r="B1129">
        <f>HYPERLINK("https://app.optiwise.ai/catalog/itemdetails/13057955", "Catalonia Pink Blanket Hoodie for Kids, Oversized Wearable Fleece Sweatshirt Pullover for 7-16 yr Teens Youth, Kids Gift Idea")</f>
        <v/>
      </c>
      <c r="C1129" t="inlineStr">
        <is>
          <t>1CTOSH401LBL-FS</t>
        </is>
      </c>
      <c r="D1129" t="inlineStr">
        <is>
          <t>Clothing</t>
        </is>
      </c>
      <c r="E1129" t="inlineStr">
        <is>
          <t>Sweatshirts &amp; Hoodies</t>
        </is>
      </c>
      <c r="F1129" t="inlineStr">
        <is>
          <t>Catalonia</t>
        </is>
      </c>
      <c r="G1129" t="n">
        <v>0</v>
      </c>
      <c r="H1129" t="n">
        <v>0</v>
      </c>
      <c r="J1129" s="29" t="n">
        <v>0</v>
      </c>
      <c r="K1129" s="30" t="n"/>
      <c r="L1129" s="29" t="n">
        <v>0</v>
      </c>
      <c r="M1129" s="29" t="n">
        <v>0</v>
      </c>
      <c r="N1129" s="2" t="n">
        <v>0</v>
      </c>
      <c r="O1129" s="31" t="n">
        <v>0</v>
      </c>
      <c r="P1129" s="32" t="n"/>
      <c r="Q1129" s="32" t="n">
        <v>0</v>
      </c>
      <c r="R1129" s="32" t="n">
        <v>0</v>
      </c>
      <c r="S1129" s="31" t="n">
        <v>0</v>
      </c>
      <c r="T1129" s="32" t="n">
        <v>0</v>
      </c>
      <c r="U1129" s="31" t="n">
        <v>0</v>
      </c>
      <c r="V1129" s="31" t="n">
        <v>0</v>
      </c>
      <c r="W1129" s="3" t="n">
        <v>0</v>
      </c>
      <c r="X1129" s="3" t="n">
        <v>0</v>
      </c>
      <c r="Y1129" s="32" t="n">
        <v>0</v>
      </c>
      <c r="Z1129" s="3" t="n">
        <v>0</v>
      </c>
      <c r="AA1129" s="32" t="n">
        <v>0</v>
      </c>
      <c r="AB1129" s="3" t="n"/>
      <c r="AC1129" s="31" t="n">
        <v>0</v>
      </c>
      <c r="AD1129" s="2" t="n">
        <v>0</v>
      </c>
      <c r="AE1129" s="2" t="n">
        <v>3</v>
      </c>
      <c r="AF1129" s="4" t="n">
        <v>3</v>
      </c>
      <c r="AG1129" s="33" t="n">
        <v>0</v>
      </c>
      <c r="AH1129" s="4" t="n">
        <v>0</v>
      </c>
      <c r="AI1129" s="34" t="n"/>
      <c r="AJ1129" s="34" t="n">
        <v>0</v>
      </c>
      <c r="AK1129" s="2" t="n">
        <v>0</v>
      </c>
      <c r="AL1129" t="inlineStr">
        <is>
          <t>Published</t>
        </is>
      </c>
    </row>
    <row r="1130">
      <c r="A1130">
        <f>HYPERLINK("https://www.walmart.com/ip/14488964547", "14488964547")</f>
        <v/>
      </c>
      <c r="B1130">
        <f>HYPERLINK("https://app.optiwise.ai/catalog/itemdetails/13057954", "Catalonia Women's Hoodie Sweatshirt, Casual Pullover Sweater with front Pocket, Womens Fall Winter Clothing, Blanket Hoodie Sweatshirt, Cat Print")</f>
        <v/>
      </c>
      <c r="C1130" t="inlineStr">
        <is>
          <t>1CTOSH300S1BLCAT-FS</t>
        </is>
      </c>
      <c r="D1130" t="inlineStr">
        <is>
          <t>Clothing</t>
        </is>
      </c>
      <c r="E1130" t="inlineStr">
        <is>
          <t>Sweatshirts &amp; Hoodies</t>
        </is>
      </c>
      <c r="F1130" t="inlineStr">
        <is>
          <t>Catalonia</t>
        </is>
      </c>
      <c r="G1130" t="n">
        <v>0</v>
      </c>
      <c r="H1130" t="n">
        <v>0</v>
      </c>
      <c r="J1130" s="29" t="n">
        <v>0</v>
      </c>
      <c r="K1130" s="30" t="n"/>
      <c r="L1130" s="29" t="n">
        <v>0</v>
      </c>
      <c r="M1130" s="29" t="n">
        <v>0</v>
      </c>
      <c r="N1130" s="2" t="n">
        <v>0</v>
      </c>
      <c r="O1130" s="31" t="n">
        <v>0</v>
      </c>
      <c r="P1130" s="32" t="n"/>
      <c r="Q1130" s="32" t="n">
        <v>0</v>
      </c>
      <c r="R1130" s="32" t="n">
        <v>0</v>
      </c>
      <c r="S1130" s="31" t="n">
        <v>0</v>
      </c>
      <c r="T1130" s="32" t="n">
        <v>0</v>
      </c>
      <c r="U1130" s="31" t="n">
        <v>0</v>
      </c>
      <c r="V1130" s="31" t="n">
        <v>0</v>
      </c>
      <c r="W1130" s="3" t="n">
        <v>0</v>
      </c>
      <c r="X1130" s="3" t="n">
        <v>0</v>
      </c>
      <c r="Y1130" s="32" t="n">
        <v>0</v>
      </c>
      <c r="Z1130" s="3" t="n">
        <v>0</v>
      </c>
      <c r="AA1130" s="32" t="n">
        <v>0</v>
      </c>
      <c r="AB1130" s="3" t="n"/>
      <c r="AC1130" s="31" t="n">
        <v>0</v>
      </c>
      <c r="AD1130" s="2" t="n">
        <v>0</v>
      </c>
      <c r="AE1130" s="2" t="n">
        <v>2</v>
      </c>
      <c r="AF1130" s="4" t="n">
        <v>2</v>
      </c>
      <c r="AG1130" s="33" t="n">
        <v>0</v>
      </c>
      <c r="AH1130" s="4" t="n">
        <v>0</v>
      </c>
      <c r="AI1130" s="34" t="n"/>
      <c r="AJ1130" s="34" t="n">
        <v>0</v>
      </c>
      <c r="AK1130" s="2" t="n">
        <v>0</v>
      </c>
      <c r="AL1130" t="inlineStr">
        <is>
          <t>Published</t>
        </is>
      </c>
    </row>
    <row r="1131">
      <c r="A1131">
        <f>HYPERLINK("https://www.walmart.com/ip/14488764906", "14488764906")</f>
        <v/>
      </c>
      <c r="B1131">
        <f>HYPERLINK("https://app.optiwise.ai/catalog/itemdetails/13057953", "Tirrinia Womens' Hoodie Blanket Sweatshirt, Oversized Comfortable Fleece Giant Wearable Blankets, Hoodie Blanket for Men, Gift for Her Him, Gray")</f>
        <v/>
      </c>
      <c r="C1131" t="inlineStr">
        <is>
          <t>1TROSH400GY-FS</t>
        </is>
      </c>
      <c r="D1131" t="inlineStr">
        <is>
          <t>Clothing</t>
        </is>
      </c>
      <c r="E1131" t="inlineStr">
        <is>
          <t>Sweatshirts &amp; Hoodies</t>
        </is>
      </c>
      <c r="F1131" t="inlineStr">
        <is>
          <t>Tirrinia</t>
        </is>
      </c>
      <c r="G1131" t="n">
        <v>0</v>
      </c>
      <c r="H1131" t="n">
        <v>0</v>
      </c>
      <c r="J1131" s="29" t="n">
        <v>0</v>
      </c>
      <c r="K1131" s="30" t="n"/>
      <c r="L1131" s="29" t="n">
        <v>0</v>
      </c>
      <c r="M1131" s="29" t="n">
        <v>0</v>
      </c>
      <c r="N1131" s="2" t="n">
        <v>0</v>
      </c>
      <c r="O1131" s="31" t="n">
        <v>0</v>
      </c>
      <c r="P1131" s="32" t="n"/>
      <c r="Q1131" s="32" t="n">
        <v>0</v>
      </c>
      <c r="R1131" s="32" t="n">
        <v>0</v>
      </c>
      <c r="S1131" s="31" t="n">
        <v>0</v>
      </c>
      <c r="T1131" s="32" t="n">
        <v>0</v>
      </c>
      <c r="U1131" s="31" t="n">
        <v>0</v>
      </c>
      <c r="V1131" s="31" t="n">
        <v>0</v>
      </c>
      <c r="W1131" s="3" t="n">
        <v>0</v>
      </c>
      <c r="X1131" s="3" t="n">
        <v>0</v>
      </c>
      <c r="Y1131" s="32" t="n">
        <v>0</v>
      </c>
      <c r="Z1131" s="3" t="n">
        <v>0</v>
      </c>
      <c r="AA1131" s="32" t="n">
        <v>0</v>
      </c>
      <c r="AB1131" s="3" t="n"/>
      <c r="AC1131" s="31" t="n">
        <v>0</v>
      </c>
      <c r="AD1131" s="2" t="n">
        <v>0</v>
      </c>
      <c r="AE1131" s="2" t="n">
        <v>3</v>
      </c>
      <c r="AF1131" s="4" t="n">
        <v>3</v>
      </c>
      <c r="AG1131" s="33" t="n">
        <v>0</v>
      </c>
      <c r="AH1131" s="4" t="n">
        <v>0</v>
      </c>
      <c r="AI1131" s="34" t="n"/>
      <c r="AJ1131" s="34" t="n">
        <v>0</v>
      </c>
      <c r="AK1131" s="2" t="n">
        <v>0</v>
      </c>
      <c r="AL1131" t="inlineStr">
        <is>
          <t>Published</t>
        </is>
      </c>
    </row>
    <row r="1132">
      <c r="A1132">
        <f>HYPERLINK("https://www.walmart.com/ip/14486513709", "14486513709")</f>
        <v/>
      </c>
      <c r="B1132">
        <f>HYPERLINK("https://app.optiwise.ai/catalog/itemdetails/13057952", "Catalonia Oversized Blanket Hoodie Sweatshirt, Fleece Hooded Lounging Pullover with Giant Pocket, Birthday Gifts Christmas Gifts, Buffalo Plaid Green")</f>
        <v/>
      </c>
      <c r="C1132" t="inlineStr">
        <is>
          <t>1CTOSH300GNCAMO-FS</t>
        </is>
      </c>
      <c r="D1132" t="inlineStr">
        <is>
          <t>Clothing</t>
        </is>
      </c>
      <c r="E1132" t="inlineStr">
        <is>
          <t>Sweatshirts &amp; Hoodies</t>
        </is>
      </c>
      <c r="F1132" t="inlineStr">
        <is>
          <t>Catalonia</t>
        </is>
      </c>
      <c r="G1132" t="n">
        <v>0</v>
      </c>
      <c r="H1132" t="n">
        <v>0</v>
      </c>
      <c r="J1132" s="29" t="n">
        <v>0</v>
      </c>
      <c r="K1132" s="30" t="n"/>
      <c r="L1132" s="29" t="n">
        <v>0</v>
      </c>
      <c r="M1132" s="29" t="n">
        <v>0</v>
      </c>
      <c r="N1132" s="2" t="n">
        <v>0</v>
      </c>
      <c r="O1132" s="31" t="n">
        <v>0</v>
      </c>
      <c r="P1132" s="32" t="n"/>
      <c r="Q1132" s="32" t="n">
        <v>0</v>
      </c>
      <c r="R1132" s="32" t="n">
        <v>0</v>
      </c>
      <c r="S1132" s="31" t="n">
        <v>0</v>
      </c>
      <c r="T1132" s="32" t="n">
        <v>0</v>
      </c>
      <c r="U1132" s="31" t="n">
        <v>0</v>
      </c>
      <c r="V1132" s="31" t="n">
        <v>0</v>
      </c>
      <c r="W1132" s="3" t="n">
        <v>0</v>
      </c>
      <c r="X1132" s="3" t="n">
        <v>0</v>
      </c>
      <c r="Y1132" s="32" t="n">
        <v>0</v>
      </c>
      <c r="Z1132" s="3" t="n">
        <v>0</v>
      </c>
      <c r="AA1132" s="32" t="n">
        <v>0</v>
      </c>
      <c r="AB1132" s="3" t="n"/>
      <c r="AC1132" s="31" t="n">
        <v>0</v>
      </c>
      <c r="AD1132" s="2" t="n">
        <v>0</v>
      </c>
      <c r="AE1132" s="2" t="n">
        <v>3</v>
      </c>
      <c r="AF1132" s="4" t="n">
        <v>3</v>
      </c>
      <c r="AG1132" s="33" t="n">
        <v>0</v>
      </c>
      <c r="AH1132" s="4" t="n">
        <v>0</v>
      </c>
      <c r="AI1132" s="34" t="n"/>
      <c r="AJ1132" s="34" t="n">
        <v>0</v>
      </c>
      <c r="AK1132" s="2" t="n">
        <v>0</v>
      </c>
      <c r="AL1132" t="inlineStr">
        <is>
          <t>Published</t>
        </is>
      </c>
    </row>
    <row r="1133">
      <c r="A1133">
        <f>HYPERLINK("https://www.walmart.com/ip/14483052398", "14483052398")</f>
        <v/>
      </c>
      <c r="B1133">
        <f>HYPERLINK("https://app.optiwise.ai/catalog/itemdetails/13057951", "Catalonia Women's Hoodie Sweatshirt, Casual Pullover Sweater with front Pocket, Womens Fall Winter Clothing, Blanket Hoodie Sweatshirt, Banana Cat")</f>
        <v/>
      </c>
      <c r="C1133" t="inlineStr">
        <is>
          <t>1CTOSH300S1BANANACATBL-FS</t>
        </is>
      </c>
      <c r="D1133" t="inlineStr">
        <is>
          <t>Clothing</t>
        </is>
      </c>
      <c r="E1133" t="inlineStr">
        <is>
          <t>Sweatshirts &amp; Hoodies</t>
        </is>
      </c>
      <c r="F1133" t="inlineStr">
        <is>
          <t>Catalonia</t>
        </is>
      </c>
      <c r="G1133" t="n">
        <v>0</v>
      </c>
      <c r="H1133" t="n">
        <v>0</v>
      </c>
      <c r="J1133" s="29" t="n">
        <v>0</v>
      </c>
      <c r="K1133" s="30" t="n"/>
      <c r="L1133" s="29" t="n">
        <v>0</v>
      </c>
      <c r="M1133" s="29" t="n">
        <v>0</v>
      </c>
      <c r="N1133" s="2" t="n">
        <v>0</v>
      </c>
      <c r="O1133" s="31" t="n">
        <v>0</v>
      </c>
      <c r="P1133" s="32" t="n"/>
      <c r="Q1133" s="32" t="n">
        <v>0</v>
      </c>
      <c r="R1133" s="32" t="n">
        <v>0</v>
      </c>
      <c r="S1133" s="31" t="n">
        <v>0</v>
      </c>
      <c r="T1133" s="32" t="n">
        <v>0</v>
      </c>
      <c r="U1133" s="31" t="n">
        <v>0</v>
      </c>
      <c r="V1133" s="31" t="n">
        <v>0</v>
      </c>
      <c r="W1133" s="3" t="n">
        <v>0</v>
      </c>
      <c r="X1133" s="3" t="n">
        <v>0</v>
      </c>
      <c r="Y1133" s="32" t="n">
        <v>0</v>
      </c>
      <c r="Z1133" s="3" t="n">
        <v>0</v>
      </c>
      <c r="AA1133" s="32" t="n">
        <v>0</v>
      </c>
      <c r="AB1133" s="3" t="n"/>
      <c r="AC1133" s="31" t="n">
        <v>0</v>
      </c>
      <c r="AD1133" s="2" t="n">
        <v>0</v>
      </c>
      <c r="AE1133" s="2" t="n">
        <v>12</v>
      </c>
      <c r="AF1133" s="4" t="n">
        <v>12</v>
      </c>
      <c r="AG1133" s="33" t="n">
        <v>0</v>
      </c>
      <c r="AH1133" s="4" t="n">
        <v>0</v>
      </c>
      <c r="AI1133" s="34" t="n"/>
      <c r="AJ1133" s="34" t="n">
        <v>0</v>
      </c>
      <c r="AK1133" s="2" t="n">
        <v>0</v>
      </c>
      <c r="AL1133" t="inlineStr">
        <is>
          <t>Published</t>
        </is>
      </c>
    </row>
    <row r="1134">
      <c r="A1134">
        <f>HYPERLINK("https://www.walmart.com/ip/14475759266", "14475759266")</f>
        <v/>
      </c>
      <c r="B1134">
        <f>HYPERLINK("https://app.optiwise.ai/catalog/itemdetails/13057949", "Womens Oversized Flannel Blanket Hoodie Sweatshirt, Plush Fleece Lined Lounging Pullover, Christmas Gift for Women (Sea Blue) - Catalonia")</f>
        <v/>
      </c>
      <c r="C1134" t="inlineStr">
        <is>
          <t>1CTOSH400HP-FS</t>
        </is>
      </c>
      <c r="G1134" t="n">
        <v>0</v>
      </c>
      <c r="H1134" t="n">
        <v>0</v>
      </c>
      <c r="J1134" s="29" t="n">
        <v>0</v>
      </c>
      <c r="K1134" s="30" t="n"/>
      <c r="L1134" s="29" t="n">
        <v>0</v>
      </c>
      <c r="M1134" s="29" t="n">
        <v>0</v>
      </c>
      <c r="N1134" s="2" t="n">
        <v>0</v>
      </c>
      <c r="O1134" s="31" t="n">
        <v>0</v>
      </c>
      <c r="P1134" s="32" t="n"/>
      <c r="Q1134" s="32" t="n">
        <v>0</v>
      </c>
      <c r="R1134" s="32" t="n">
        <v>0</v>
      </c>
      <c r="S1134" s="31" t="n">
        <v>0</v>
      </c>
      <c r="T1134" s="32" t="n">
        <v>0</v>
      </c>
      <c r="U1134" s="31" t="n">
        <v>0</v>
      </c>
      <c r="V1134" s="31" t="n">
        <v>0</v>
      </c>
      <c r="W1134" s="3" t="n">
        <v>0</v>
      </c>
      <c r="X1134" s="3" t="n">
        <v>0</v>
      </c>
      <c r="Y1134" s="32" t="n">
        <v>0</v>
      </c>
      <c r="Z1134" s="3" t="n">
        <v>0</v>
      </c>
      <c r="AA1134" s="32" t="n">
        <v>0</v>
      </c>
      <c r="AB1134" s="3" t="n"/>
      <c r="AC1134" s="31" t="n">
        <v>0</v>
      </c>
      <c r="AD1134" s="2" t="n">
        <v>0</v>
      </c>
      <c r="AE1134" s="2" t="n">
        <v>2</v>
      </c>
      <c r="AF1134" s="4" t="n">
        <v>2</v>
      </c>
      <c r="AG1134" s="33" t="n">
        <v>0</v>
      </c>
      <c r="AH1134" s="4" t="n">
        <v>0</v>
      </c>
      <c r="AI1134" s="34" t="n"/>
      <c r="AJ1134" s="34" t="n">
        <v>0</v>
      </c>
      <c r="AK1134" s="2" t="n">
        <v>0</v>
      </c>
      <c r="AL1134" t="inlineStr">
        <is>
          <t>Published</t>
        </is>
      </c>
    </row>
    <row r="1135">
      <c r="A1135">
        <f>HYPERLINK("https://www.walmart.com/ip/14475608815", "14475608815")</f>
        <v/>
      </c>
      <c r="B1135">
        <f>HYPERLINK("https://app.optiwise.ai/catalog/itemdetails/13057948", "Tirrinia Oversized Wearable Blanket Hoodie, Fleece Home Blanket Sweatshirt, Warm Blanket with Sleeves, Gift for lover")</f>
        <v/>
      </c>
      <c r="C1135" t="inlineStr">
        <is>
          <t>1TROSH340AQ-FS</t>
        </is>
      </c>
      <c r="D1135" t="inlineStr">
        <is>
          <t>Clothing</t>
        </is>
      </c>
      <c r="E1135" t="inlineStr">
        <is>
          <t>Sweatshirts &amp; Hoodies</t>
        </is>
      </c>
      <c r="F1135" t="inlineStr">
        <is>
          <t>Tirrinia</t>
        </is>
      </c>
      <c r="G1135" t="n">
        <v>0</v>
      </c>
      <c r="H1135" t="n">
        <v>0</v>
      </c>
      <c r="J1135" s="29" t="n">
        <v>0</v>
      </c>
      <c r="K1135" s="30" t="n"/>
      <c r="L1135" s="29" t="n">
        <v>0</v>
      </c>
      <c r="M1135" s="29" t="n">
        <v>0</v>
      </c>
      <c r="N1135" s="2" t="n">
        <v>0</v>
      </c>
      <c r="O1135" s="31" t="n">
        <v>0</v>
      </c>
      <c r="P1135" s="32" t="n"/>
      <c r="Q1135" s="32" t="n">
        <v>0</v>
      </c>
      <c r="R1135" s="32" t="n">
        <v>0</v>
      </c>
      <c r="S1135" s="31" t="n">
        <v>0</v>
      </c>
      <c r="T1135" s="32" t="n">
        <v>0</v>
      </c>
      <c r="U1135" s="31" t="n">
        <v>0</v>
      </c>
      <c r="V1135" s="31" t="n">
        <v>0</v>
      </c>
      <c r="W1135" s="3" t="n">
        <v>0</v>
      </c>
      <c r="X1135" s="3" t="n">
        <v>0</v>
      </c>
      <c r="Y1135" s="32" t="n">
        <v>0</v>
      </c>
      <c r="Z1135" s="3" t="n">
        <v>0</v>
      </c>
      <c r="AA1135" s="32" t="n">
        <v>0</v>
      </c>
      <c r="AB1135" s="3" t="n"/>
      <c r="AC1135" s="31" t="n">
        <v>0</v>
      </c>
      <c r="AD1135" s="2" t="n">
        <v>0</v>
      </c>
      <c r="AE1135" s="2" t="n">
        <v>6</v>
      </c>
      <c r="AF1135" s="4" t="n">
        <v>6</v>
      </c>
      <c r="AG1135" s="33" t="n">
        <v>0</v>
      </c>
      <c r="AH1135" s="4" t="n">
        <v>0</v>
      </c>
      <c r="AI1135" s="34" t="n"/>
      <c r="AJ1135" s="34" t="n">
        <v>0</v>
      </c>
      <c r="AK1135" s="2" t="n">
        <v>0</v>
      </c>
      <c r="AL1135" t="inlineStr">
        <is>
          <t>Published</t>
        </is>
      </c>
    </row>
    <row r="1136">
      <c r="A1136">
        <f>HYPERLINK("https://www.walmart.com/ip/14475608139", "14475608139")</f>
        <v/>
      </c>
      <c r="B1136">
        <f>HYPERLINK("https://app.optiwise.ai/catalog/itemdetails/13057947", "Tirrinia Oversized Wearable Blanket Hoodie, Fleece Home Blanket Sweatshirt, Warm Blanket with Sleeves, Gift for lover")</f>
        <v/>
      </c>
      <c r="C1136" t="inlineStr">
        <is>
          <t>1TROSH340GY-FS</t>
        </is>
      </c>
      <c r="D1136" t="inlineStr">
        <is>
          <t>Clothing</t>
        </is>
      </c>
      <c r="E1136" t="inlineStr">
        <is>
          <t>Sweatshirts &amp; Hoodies</t>
        </is>
      </c>
      <c r="F1136" t="inlineStr">
        <is>
          <t>Tirrinia</t>
        </is>
      </c>
      <c r="G1136" t="n">
        <v>0</v>
      </c>
      <c r="H1136" t="n">
        <v>0</v>
      </c>
      <c r="J1136" s="29" t="n">
        <v>0</v>
      </c>
      <c r="K1136" s="30" t="n"/>
      <c r="L1136" s="29" t="n">
        <v>0</v>
      </c>
      <c r="M1136" s="29" t="n">
        <v>0</v>
      </c>
      <c r="N1136" s="2" t="n">
        <v>0</v>
      </c>
      <c r="O1136" s="31" t="n">
        <v>0</v>
      </c>
      <c r="P1136" s="32" t="n"/>
      <c r="Q1136" s="32" t="n">
        <v>0</v>
      </c>
      <c r="R1136" s="32" t="n">
        <v>0</v>
      </c>
      <c r="S1136" s="31" t="n">
        <v>0</v>
      </c>
      <c r="T1136" s="32" t="n">
        <v>0</v>
      </c>
      <c r="U1136" s="31" t="n">
        <v>0</v>
      </c>
      <c r="V1136" s="31" t="n">
        <v>0</v>
      </c>
      <c r="W1136" s="3" t="n">
        <v>0</v>
      </c>
      <c r="X1136" s="3" t="n">
        <v>0</v>
      </c>
      <c r="Y1136" s="32" t="n">
        <v>0</v>
      </c>
      <c r="Z1136" s="3" t="n">
        <v>0</v>
      </c>
      <c r="AA1136" s="32" t="n">
        <v>0</v>
      </c>
      <c r="AB1136" s="3" t="n"/>
      <c r="AC1136" s="31" t="n">
        <v>0</v>
      </c>
      <c r="AD1136" s="2" t="n">
        <v>0</v>
      </c>
      <c r="AE1136" s="2" t="n">
        <v>7</v>
      </c>
      <c r="AF1136" s="4" t="n">
        <v>7</v>
      </c>
      <c r="AG1136" s="33" t="n">
        <v>0</v>
      </c>
      <c r="AH1136" s="4" t="n">
        <v>0</v>
      </c>
      <c r="AI1136" s="34" t="n"/>
      <c r="AJ1136" s="34" t="n">
        <v>0</v>
      </c>
      <c r="AK1136" s="2" t="n">
        <v>0</v>
      </c>
      <c r="AL1136" t="inlineStr">
        <is>
          <t>Published</t>
        </is>
      </c>
    </row>
    <row r="1137">
      <c r="A1137">
        <f>HYPERLINK("https://www.walmart.com/ip/14453423588", "14453423588")</f>
        <v/>
      </c>
      <c r="B1137">
        <f>HYPERLINK("https://app.optiwise.ai/catalog/itemdetails/13057946", "Womens Oversized Flannel Blanket Hoodie Sweatshirt, Plush Fleece Lined Lounging Pullover, Christmas Gift for Women (Purple) - Catalonia")</f>
        <v/>
      </c>
      <c r="C1137" t="inlineStr">
        <is>
          <t>1CTOSH400PP-FS</t>
        </is>
      </c>
      <c r="D1137" t="inlineStr">
        <is>
          <t>Clothing</t>
        </is>
      </c>
      <c r="E1137" t="inlineStr">
        <is>
          <t>Sweatshirts &amp; Hoodies</t>
        </is>
      </c>
      <c r="F1137" t="inlineStr">
        <is>
          <t>Catalonia</t>
        </is>
      </c>
      <c r="G1137" t="n">
        <v>0</v>
      </c>
      <c r="H1137" t="n">
        <v>0</v>
      </c>
      <c r="J1137" s="29" t="n">
        <v>0</v>
      </c>
      <c r="K1137" s="30" t="n"/>
      <c r="L1137" s="29" t="n">
        <v>0</v>
      </c>
      <c r="M1137" s="29" t="n">
        <v>0</v>
      </c>
      <c r="N1137" s="2" t="n">
        <v>0</v>
      </c>
      <c r="O1137" s="31" t="n">
        <v>0</v>
      </c>
      <c r="P1137" s="32" t="n"/>
      <c r="Q1137" s="32" t="n">
        <v>0</v>
      </c>
      <c r="R1137" s="32" t="n">
        <v>0</v>
      </c>
      <c r="S1137" s="31" t="n">
        <v>0</v>
      </c>
      <c r="T1137" s="32" t="n">
        <v>0</v>
      </c>
      <c r="U1137" s="31" t="n">
        <v>0</v>
      </c>
      <c r="V1137" s="31" t="n">
        <v>0</v>
      </c>
      <c r="W1137" s="3" t="n">
        <v>0</v>
      </c>
      <c r="X1137" s="3" t="n">
        <v>0</v>
      </c>
      <c r="Y1137" s="32" t="n">
        <v>0</v>
      </c>
      <c r="Z1137" s="3" t="n">
        <v>0</v>
      </c>
      <c r="AA1137" s="32" t="n">
        <v>0</v>
      </c>
      <c r="AB1137" s="3" t="n"/>
      <c r="AC1137" s="31" t="n">
        <v>0</v>
      </c>
      <c r="AD1137" s="2" t="n">
        <v>0</v>
      </c>
      <c r="AE1137" s="2" t="n">
        <v>4</v>
      </c>
      <c r="AF1137" s="4" t="n">
        <v>4</v>
      </c>
      <c r="AG1137" s="33" t="n">
        <v>0</v>
      </c>
      <c r="AH1137" s="4" t="n">
        <v>0</v>
      </c>
      <c r="AI1137" s="34" t="n"/>
      <c r="AJ1137" s="34" t="n">
        <v>0</v>
      </c>
      <c r="AK1137" s="2" t="n">
        <v>0</v>
      </c>
      <c r="AL1137" t="inlineStr">
        <is>
          <t>Published</t>
        </is>
      </c>
    </row>
    <row r="1138">
      <c r="A1138">
        <f>HYPERLINK("https://www.walmart.com/ip/14522665306", "14522665306")</f>
        <v/>
      </c>
      <c r="B1138">
        <f>HYPERLINK("https://app.optiwise.ai/catalog/itemdetails/13057945", "Catalonia Oversized Blanket Hoodie Sweatshirt, Comfortable Wearable Blanket Pullover Adults, Black Golden")</f>
        <v/>
      </c>
      <c r="C1138" t="inlineStr">
        <is>
          <t>1CTOSH401RAINBOW-FS</t>
        </is>
      </c>
      <c r="D1138" t="inlineStr">
        <is>
          <t>Clothing</t>
        </is>
      </c>
      <c r="E1138" t="inlineStr">
        <is>
          <t>Sweatshirts &amp; Hoodies</t>
        </is>
      </c>
      <c r="F1138" t="inlineStr">
        <is>
          <t>Catalonia</t>
        </is>
      </c>
      <c r="G1138" t="n">
        <v>0</v>
      </c>
      <c r="H1138" t="n">
        <v>0</v>
      </c>
      <c r="J1138" s="29" t="n">
        <v>0</v>
      </c>
      <c r="K1138" s="30" t="n"/>
      <c r="L1138" s="29" t="n">
        <v>0</v>
      </c>
      <c r="M1138" s="29" t="n">
        <v>0</v>
      </c>
      <c r="N1138" s="2" t="n">
        <v>0</v>
      </c>
      <c r="O1138" s="31" t="n">
        <v>0</v>
      </c>
      <c r="P1138" s="32" t="n"/>
      <c r="Q1138" s="32" t="n">
        <v>0</v>
      </c>
      <c r="R1138" s="32" t="n">
        <v>0</v>
      </c>
      <c r="S1138" s="31" t="n">
        <v>0</v>
      </c>
      <c r="T1138" s="32" t="n">
        <v>0</v>
      </c>
      <c r="U1138" s="31" t="n">
        <v>0</v>
      </c>
      <c r="V1138" s="31" t="n">
        <v>0</v>
      </c>
      <c r="W1138" s="3" t="n">
        <v>0</v>
      </c>
      <c r="X1138" s="3" t="n">
        <v>0</v>
      </c>
      <c r="Y1138" s="32" t="n">
        <v>0</v>
      </c>
      <c r="Z1138" s="3" t="n">
        <v>0</v>
      </c>
      <c r="AA1138" s="32" t="n">
        <v>0</v>
      </c>
      <c r="AB1138" s="3" t="n"/>
      <c r="AC1138" s="31" t="n">
        <v>0</v>
      </c>
      <c r="AD1138" s="2" t="n">
        <v>0</v>
      </c>
      <c r="AE1138" s="2" t="n">
        <v>4</v>
      </c>
      <c r="AF1138" s="4" t="n">
        <v>4</v>
      </c>
      <c r="AG1138" s="33" t="n">
        <v>0</v>
      </c>
      <c r="AH1138" s="4" t="n">
        <v>0</v>
      </c>
      <c r="AI1138" s="34" t="n"/>
      <c r="AJ1138" s="34" t="n">
        <v>0</v>
      </c>
      <c r="AK1138" s="2" t="n">
        <v>0</v>
      </c>
      <c r="AL1138" t="inlineStr">
        <is>
          <t>Published</t>
        </is>
      </c>
    </row>
    <row r="1139">
      <c r="A1139">
        <f>HYPERLINK("https://www.walmart.com/ip/14514565156", "14514565156")</f>
        <v/>
      </c>
      <c r="B1139">
        <f>HYPERLINK("https://app.optiwise.ai/catalog/itemdetails/13057944", "Tirrinia Oversized Blanket Hoodie Sweatshirts, Wearable Fluffy Fleece Plush Blanket, Lightweight Cozy Sweatshirt Blanket Gift for Women Men, Blue")</f>
        <v/>
      </c>
      <c r="C1139" t="inlineStr">
        <is>
          <t>1TROSH360BK-FS</t>
        </is>
      </c>
      <c r="D1139" t="inlineStr">
        <is>
          <t>Clothing</t>
        </is>
      </c>
      <c r="E1139" t="inlineStr">
        <is>
          <t>Sweatshirts &amp; Hoodies</t>
        </is>
      </c>
      <c r="F1139" t="inlineStr">
        <is>
          <t>Tirrinia</t>
        </is>
      </c>
      <c r="G1139" t="n">
        <v>0</v>
      </c>
      <c r="H1139" t="n">
        <v>0</v>
      </c>
      <c r="J1139" s="29" t="n">
        <v>0</v>
      </c>
      <c r="K1139" s="30" t="n"/>
      <c r="L1139" s="29" t="n">
        <v>0</v>
      </c>
      <c r="M1139" s="29" t="n">
        <v>0</v>
      </c>
      <c r="N1139" s="2" t="n">
        <v>0</v>
      </c>
      <c r="O1139" s="31" t="n">
        <v>0</v>
      </c>
      <c r="P1139" s="32" t="n"/>
      <c r="Q1139" s="32" t="n">
        <v>0</v>
      </c>
      <c r="R1139" s="32" t="n">
        <v>0</v>
      </c>
      <c r="S1139" s="31" t="n">
        <v>0</v>
      </c>
      <c r="T1139" s="32" t="n">
        <v>0</v>
      </c>
      <c r="U1139" s="31" t="n">
        <v>0</v>
      </c>
      <c r="V1139" s="31" t="n">
        <v>0</v>
      </c>
      <c r="W1139" s="3" t="n">
        <v>0</v>
      </c>
      <c r="X1139" s="3" t="n">
        <v>0</v>
      </c>
      <c r="Y1139" s="32" t="n">
        <v>0</v>
      </c>
      <c r="Z1139" s="3" t="n">
        <v>0</v>
      </c>
      <c r="AA1139" s="32" t="n">
        <v>0</v>
      </c>
      <c r="AB1139" s="3" t="n"/>
      <c r="AC1139" s="31" t="n">
        <v>0</v>
      </c>
      <c r="AD1139" s="2" t="n">
        <v>0</v>
      </c>
      <c r="AE1139" s="2" t="n">
        <v>5</v>
      </c>
      <c r="AF1139" s="4" t="n">
        <v>5</v>
      </c>
      <c r="AG1139" s="33" t="n">
        <v>0</v>
      </c>
      <c r="AH1139" s="4" t="n">
        <v>0</v>
      </c>
      <c r="AI1139" s="34" t="n"/>
      <c r="AJ1139" s="34" t="n">
        <v>0</v>
      </c>
      <c r="AK1139" s="2" t="n">
        <v>0</v>
      </c>
      <c r="AL1139" t="inlineStr">
        <is>
          <t>Published</t>
        </is>
      </c>
    </row>
    <row r="1140">
      <c r="A1140">
        <f>HYPERLINK("https://www.walmart.com/ip/14505710529", "14505710529")</f>
        <v/>
      </c>
      <c r="B1140">
        <f>HYPERLINK("https://app.optiwise.ai/catalog/itemdetails/13057943", "Catalonia Women's Hoodie Sweatshirt, Casual Pullover Sweater with front Pocket, Womens Fall Winter Clothing, Blanket Hoodie Sweatshirt, Dog Pattern")</f>
        <v/>
      </c>
      <c r="C1140" t="inlineStr">
        <is>
          <t>1CTOSH300S1GYDOG-FS</t>
        </is>
      </c>
      <c r="D1140" t="inlineStr">
        <is>
          <t>Clothing</t>
        </is>
      </c>
      <c r="E1140" t="inlineStr">
        <is>
          <t>Sweatshirts &amp; Hoodies</t>
        </is>
      </c>
      <c r="F1140" t="inlineStr">
        <is>
          <t>Catalonia</t>
        </is>
      </c>
      <c r="G1140" t="n">
        <v>0</v>
      </c>
      <c r="H1140" t="n">
        <v>0</v>
      </c>
      <c r="J1140" s="29" t="n">
        <v>0</v>
      </c>
      <c r="K1140" s="30" t="n"/>
      <c r="L1140" s="29" t="n">
        <v>0</v>
      </c>
      <c r="M1140" s="29" t="n">
        <v>0</v>
      </c>
      <c r="N1140" s="2" t="n">
        <v>0</v>
      </c>
      <c r="O1140" s="31" t="n">
        <v>0</v>
      </c>
      <c r="P1140" s="32" t="n"/>
      <c r="Q1140" s="32" t="n">
        <v>0</v>
      </c>
      <c r="R1140" s="32" t="n">
        <v>0</v>
      </c>
      <c r="S1140" s="31" t="n">
        <v>0</v>
      </c>
      <c r="T1140" s="32" t="n">
        <v>0</v>
      </c>
      <c r="U1140" s="31" t="n">
        <v>0</v>
      </c>
      <c r="V1140" s="31" t="n">
        <v>0</v>
      </c>
      <c r="W1140" s="3" t="n">
        <v>0</v>
      </c>
      <c r="X1140" s="3" t="n">
        <v>0</v>
      </c>
      <c r="Y1140" s="32" t="n">
        <v>0</v>
      </c>
      <c r="Z1140" s="3" t="n">
        <v>0</v>
      </c>
      <c r="AA1140" s="32" t="n">
        <v>0</v>
      </c>
      <c r="AB1140" s="3" t="n"/>
      <c r="AC1140" s="31" t="n">
        <v>0</v>
      </c>
      <c r="AD1140" s="2" t="n">
        <v>0</v>
      </c>
      <c r="AE1140" s="2" t="n">
        <v>11</v>
      </c>
      <c r="AF1140" s="4" t="n">
        <v>11</v>
      </c>
      <c r="AG1140" s="33" t="n">
        <v>0</v>
      </c>
      <c r="AH1140" s="4" t="n">
        <v>0</v>
      </c>
      <c r="AI1140" s="34" t="n"/>
      <c r="AJ1140" s="34" t="n">
        <v>0</v>
      </c>
      <c r="AK1140" s="2" t="n">
        <v>0</v>
      </c>
      <c r="AL1140" t="inlineStr">
        <is>
          <t>Published</t>
        </is>
      </c>
    </row>
    <row r="1141">
      <c r="A1141">
        <f>HYPERLINK("https://www.walmart.com/ip/14505705639", "14505705639")</f>
        <v/>
      </c>
      <c r="B1141">
        <f>HYPERLINK("https://app.optiwise.ai/catalog/itemdetails/13057942", "Catalonia Oversized Blanket Hoodie Sweatshirt, Fleece Hooded Lounging Pullover with Giant Pocket, Birthday Gifts Christmas Gifts, Southwestern Aztec")</f>
        <v/>
      </c>
      <c r="C1141" t="inlineStr">
        <is>
          <t>1CTOSH300SW-FS</t>
        </is>
      </c>
      <c r="D1141" t="inlineStr">
        <is>
          <t>Clothing</t>
        </is>
      </c>
      <c r="E1141" t="inlineStr">
        <is>
          <t>Sweatshirts &amp; Hoodies</t>
        </is>
      </c>
      <c r="F1141" t="inlineStr">
        <is>
          <t>Catalonia</t>
        </is>
      </c>
      <c r="G1141" t="n">
        <v>0</v>
      </c>
      <c r="H1141" t="n">
        <v>0</v>
      </c>
      <c r="J1141" s="29" t="n">
        <v>0</v>
      </c>
      <c r="K1141" s="30" t="n"/>
      <c r="L1141" s="29" t="n">
        <v>0</v>
      </c>
      <c r="M1141" s="29" t="n">
        <v>0</v>
      </c>
      <c r="N1141" s="2" t="n">
        <v>0</v>
      </c>
      <c r="O1141" s="31" t="n">
        <v>0</v>
      </c>
      <c r="P1141" s="32" t="n"/>
      <c r="Q1141" s="32" t="n">
        <v>0</v>
      </c>
      <c r="R1141" s="32" t="n">
        <v>0</v>
      </c>
      <c r="S1141" s="31" t="n">
        <v>0</v>
      </c>
      <c r="T1141" s="32" t="n">
        <v>0</v>
      </c>
      <c r="U1141" s="31" t="n">
        <v>0</v>
      </c>
      <c r="V1141" s="31" t="n">
        <v>0</v>
      </c>
      <c r="W1141" s="3" t="n">
        <v>0</v>
      </c>
      <c r="X1141" s="3" t="n">
        <v>0</v>
      </c>
      <c r="Y1141" s="32" t="n">
        <v>0</v>
      </c>
      <c r="Z1141" s="3" t="n">
        <v>0</v>
      </c>
      <c r="AA1141" s="32" t="n">
        <v>0</v>
      </c>
      <c r="AB1141" s="3" t="n"/>
      <c r="AC1141" s="31" t="n">
        <v>0</v>
      </c>
      <c r="AD1141" s="2" t="n">
        <v>0</v>
      </c>
      <c r="AE1141" s="2" t="n">
        <v>2</v>
      </c>
      <c r="AF1141" s="4" t="n">
        <v>2</v>
      </c>
      <c r="AG1141" s="33" t="n">
        <v>0</v>
      </c>
      <c r="AH1141" s="4" t="n">
        <v>0</v>
      </c>
      <c r="AI1141" s="34" t="n"/>
      <c r="AJ1141" s="34" t="n">
        <v>0</v>
      </c>
      <c r="AK1141" s="2" t="n">
        <v>0</v>
      </c>
      <c r="AL1141" t="inlineStr">
        <is>
          <t>Published</t>
        </is>
      </c>
    </row>
    <row r="1142">
      <c r="A1142">
        <f>HYPERLINK("https://www.walmart.com/ip/14498457694", "14498457694")</f>
        <v/>
      </c>
      <c r="B1142">
        <f>HYPERLINK("https://app.optiwise.ai/catalog/itemdetails/13057941", "Catalonia Oversized Blanket Hoodie Sweatshirt, Fleece Hooded Lounging Pullover with Giant Pocket, Birthday Gifts Christmas Gifts, Buffalo Plaid Black")</f>
        <v/>
      </c>
      <c r="C1142" t="inlineStr">
        <is>
          <t>1CTOSH300PPK-FS</t>
        </is>
      </c>
      <c r="D1142" t="inlineStr">
        <is>
          <t>Clothing</t>
        </is>
      </c>
      <c r="E1142" t="inlineStr">
        <is>
          <t>Sweatshirts &amp; Hoodies</t>
        </is>
      </c>
      <c r="F1142" t="inlineStr">
        <is>
          <t>Catalonia</t>
        </is>
      </c>
      <c r="G1142" t="n">
        <v>0</v>
      </c>
      <c r="H1142" t="n">
        <v>0</v>
      </c>
      <c r="J1142" s="29" t="n">
        <v>0</v>
      </c>
      <c r="K1142" s="30" t="n"/>
      <c r="L1142" s="29" t="n">
        <v>0</v>
      </c>
      <c r="M1142" s="29" t="n">
        <v>0</v>
      </c>
      <c r="N1142" s="2" t="n">
        <v>0</v>
      </c>
      <c r="O1142" s="31" t="n">
        <v>0</v>
      </c>
      <c r="P1142" s="32" t="n"/>
      <c r="Q1142" s="32" t="n">
        <v>0</v>
      </c>
      <c r="R1142" s="32" t="n">
        <v>0</v>
      </c>
      <c r="S1142" s="31" t="n">
        <v>0</v>
      </c>
      <c r="T1142" s="32" t="n">
        <v>0</v>
      </c>
      <c r="U1142" s="31" t="n">
        <v>0</v>
      </c>
      <c r="V1142" s="31" t="n">
        <v>0</v>
      </c>
      <c r="W1142" s="3" t="n">
        <v>0</v>
      </c>
      <c r="X1142" s="3" t="n">
        <v>0</v>
      </c>
      <c r="Y1142" s="32" t="n">
        <v>0</v>
      </c>
      <c r="Z1142" s="3" t="n">
        <v>0</v>
      </c>
      <c r="AA1142" s="32" t="n">
        <v>0</v>
      </c>
      <c r="AB1142" s="3" t="n"/>
      <c r="AC1142" s="31" t="n">
        <v>0</v>
      </c>
      <c r="AD1142" s="2" t="n">
        <v>0</v>
      </c>
      <c r="AE1142" s="2" t="n">
        <v>2</v>
      </c>
      <c r="AF1142" s="4" t="n">
        <v>2</v>
      </c>
      <c r="AG1142" s="33" t="n">
        <v>0</v>
      </c>
      <c r="AH1142" s="4" t="n">
        <v>0</v>
      </c>
      <c r="AI1142" s="34" t="n"/>
      <c r="AJ1142" s="34" t="n">
        <v>0</v>
      </c>
      <c r="AK1142" s="2" t="n">
        <v>0</v>
      </c>
      <c r="AL1142" t="inlineStr">
        <is>
          <t>Published</t>
        </is>
      </c>
    </row>
    <row r="1143">
      <c r="A1143">
        <f>HYPERLINK("https://www.walmart.com/ip/14489014458", "14489014458")</f>
        <v/>
      </c>
      <c r="B1143">
        <f>HYPERLINK("https://app.optiwise.ai/catalog/itemdetails/13057940", "Tirrinia Womens' Hoodie Blanket Sweatshirt, Oversized Comfortable Fleece Giant Wearable Blankets, Hoodie Blanket for Men, Gift for Her Him, Black")</f>
        <v/>
      </c>
      <c r="C1143" t="inlineStr">
        <is>
          <t>1TROSH400BK-FS</t>
        </is>
      </c>
      <c r="D1143" t="inlineStr">
        <is>
          <t>Clothing</t>
        </is>
      </c>
      <c r="E1143" t="inlineStr">
        <is>
          <t>Sweatshirts &amp; Hoodies</t>
        </is>
      </c>
      <c r="F1143" t="inlineStr">
        <is>
          <t>Tirrinia</t>
        </is>
      </c>
      <c r="G1143" t="n">
        <v>0</v>
      </c>
      <c r="H1143" t="n">
        <v>0</v>
      </c>
      <c r="J1143" s="29" t="n">
        <v>0</v>
      </c>
      <c r="K1143" s="30" t="n"/>
      <c r="L1143" s="29" t="n">
        <v>0</v>
      </c>
      <c r="M1143" s="29" t="n">
        <v>0</v>
      </c>
      <c r="N1143" s="2" t="n">
        <v>0</v>
      </c>
      <c r="O1143" s="31" t="n">
        <v>0</v>
      </c>
      <c r="P1143" s="32" t="n"/>
      <c r="Q1143" s="32" t="n">
        <v>0</v>
      </c>
      <c r="R1143" s="32" t="n">
        <v>0</v>
      </c>
      <c r="S1143" s="31" t="n">
        <v>0</v>
      </c>
      <c r="T1143" s="32" t="n">
        <v>0</v>
      </c>
      <c r="U1143" s="31" t="n">
        <v>0</v>
      </c>
      <c r="V1143" s="31" t="n">
        <v>0</v>
      </c>
      <c r="W1143" s="3" t="n">
        <v>0</v>
      </c>
      <c r="X1143" s="3" t="n">
        <v>0</v>
      </c>
      <c r="Y1143" s="32" t="n">
        <v>0</v>
      </c>
      <c r="Z1143" s="3" t="n">
        <v>0</v>
      </c>
      <c r="AA1143" s="32" t="n">
        <v>0</v>
      </c>
      <c r="AB1143" s="3" t="n"/>
      <c r="AC1143" s="31" t="n">
        <v>0</v>
      </c>
      <c r="AD1143" s="2" t="n">
        <v>0</v>
      </c>
      <c r="AE1143" s="2" t="n">
        <v>1</v>
      </c>
      <c r="AF1143" s="4" t="n">
        <v>1</v>
      </c>
      <c r="AG1143" s="33" t="n">
        <v>0</v>
      </c>
      <c r="AH1143" s="4" t="n">
        <v>0</v>
      </c>
      <c r="AI1143" s="34" t="n"/>
      <c r="AJ1143" s="34" t="n">
        <v>0</v>
      </c>
      <c r="AK1143" s="2" t="n">
        <v>0</v>
      </c>
      <c r="AL1143" t="inlineStr">
        <is>
          <t>Published</t>
        </is>
      </c>
    </row>
    <row r="1144">
      <c r="A1144">
        <f>HYPERLINK("https://www.walmart.com/ip/14531053130", "14531053130")</f>
        <v/>
      </c>
      <c r="B1144">
        <f>HYPERLINK("https://app.optiwise.ai/catalog/itemdetails/13059119", "PEANUTS Womens 100% Cotton Family Matching Pajamas Holiday Festive Nightwear Sleepwear 2-Piece Sets for Christmas Gifts (Red Plaid, XL)")</f>
        <v/>
      </c>
      <c r="C1144" t="inlineStr">
        <is>
          <t>PEA-PJS-FAMILY-WOMEN-REDPLAID-XL</t>
        </is>
      </c>
      <c r="D1144" t="inlineStr">
        <is>
          <t>Clothing</t>
        </is>
      </c>
      <c r="E1144" t="inlineStr">
        <is>
          <t>Pajamas</t>
        </is>
      </c>
      <c r="F1144" t="inlineStr">
        <is>
          <t>Peanuts</t>
        </is>
      </c>
      <c r="G1144" t="n">
        <v>0</v>
      </c>
      <c r="H1144" t="n">
        <v>0</v>
      </c>
      <c r="J1144" s="29" t="n">
        <v>0</v>
      </c>
      <c r="K1144" s="30" t="n"/>
      <c r="L1144" s="29" t="n">
        <v>0</v>
      </c>
      <c r="M1144" s="29" t="n">
        <v>0</v>
      </c>
      <c r="N1144" s="2" t="n">
        <v>0</v>
      </c>
      <c r="O1144" s="31" t="n">
        <v>0</v>
      </c>
      <c r="P1144" s="32" t="n"/>
      <c r="Q1144" s="32" t="n">
        <v>0</v>
      </c>
      <c r="R1144" s="32" t="n">
        <v>0</v>
      </c>
      <c r="S1144" s="31" t="n">
        <v>0</v>
      </c>
      <c r="T1144" s="32" t="n">
        <v>0</v>
      </c>
      <c r="U1144" s="31" t="n">
        <v>0</v>
      </c>
      <c r="V1144" s="31" t="n">
        <v>0</v>
      </c>
      <c r="W1144" s="3" t="n">
        <v>0</v>
      </c>
      <c r="X1144" s="3" t="n">
        <v>0</v>
      </c>
      <c r="Y1144" s="32" t="n">
        <v>0</v>
      </c>
      <c r="Z1144" s="3" t="n">
        <v>0</v>
      </c>
      <c r="AA1144" s="32" t="n">
        <v>0</v>
      </c>
      <c r="AB1144" s="3" t="n"/>
      <c r="AC1144" s="31" t="n">
        <v>0</v>
      </c>
      <c r="AD1144" s="2" t="n">
        <v>0</v>
      </c>
      <c r="AE1144" s="2" t="n">
        <v>0</v>
      </c>
      <c r="AF1144" s="4" t="n">
        <v>0</v>
      </c>
      <c r="AG1144" s="33" t="n">
        <v>0</v>
      </c>
      <c r="AH1144" s="4" t="n">
        <v>0</v>
      </c>
      <c r="AI1144" s="34" t="n"/>
      <c r="AJ1144" s="34" t="n">
        <v>0</v>
      </c>
      <c r="AK1144" s="2" t="n">
        <v>0</v>
      </c>
      <c r="AL1144" t="inlineStr">
        <is>
          <t>Published</t>
        </is>
      </c>
    </row>
    <row r="1145">
      <c r="A1145">
        <f>HYPERLINK("https://www.walmart.com/ip/14531053915", "14531053915")</f>
        <v/>
      </c>
      <c r="B1145">
        <f>HYPERLINK("https://app.optiwise.ai/catalog/itemdetails/13059120", "PEANUTS Toddler Boys Girls Snoopy Family Matching Pajamas 2-Piece Sets for Christmas with Woodstock Charlie Brown Linus (Green Polka Dot, 2T)")</f>
        <v/>
      </c>
      <c r="C1145" t="inlineStr">
        <is>
          <t>PEA-PJS-FAMILY-TODDLER-GREEN-2T</t>
        </is>
      </c>
      <c r="D1145" t="inlineStr">
        <is>
          <t>Clothing</t>
        </is>
      </c>
      <c r="E1145" t="inlineStr">
        <is>
          <t>Pajamas</t>
        </is>
      </c>
      <c r="F1145" t="inlineStr">
        <is>
          <t>Peanuts</t>
        </is>
      </c>
      <c r="G1145" t="n">
        <v>0</v>
      </c>
      <c r="H1145" t="n">
        <v>0</v>
      </c>
      <c r="J1145" s="29" t="n">
        <v>0</v>
      </c>
      <c r="K1145" s="30" t="n"/>
      <c r="L1145" s="29" t="n">
        <v>0</v>
      </c>
      <c r="M1145" s="29" t="n">
        <v>0</v>
      </c>
      <c r="N1145" s="2" t="n">
        <v>0</v>
      </c>
      <c r="O1145" s="31" t="n">
        <v>0</v>
      </c>
      <c r="P1145" s="32" t="n"/>
      <c r="Q1145" s="32" t="n">
        <v>0</v>
      </c>
      <c r="R1145" s="32" t="n">
        <v>0</v>
      </c>
      <c r="S1145" s="31" t="n">
        <v>0</v>
      </c>
      <c r="T1145" s="32" t="n">
        <v>0</v>
      </c>
      <c r="U1145" s="31" t="n">
        <v>0</v>
      </c>
      <c r="V1145" s="31" t="n">
        <v>0</v>
      </c>
      <c r="W1145" s="3" t="n">
        <v>0</v>
      </c>
      <c r="X1145" s="3" t="n">
        <v>0</v>
      </c>
      <c r="Y1145" s="32" t="n">
        <v>0</v>
      </c>
      <c r="Z1145" s="3" t="n">
        <v>0</v>
      </c>
      <c r="AA1145" s="32" t="n">
        <v>0</v>
      </c>
      <c r="AB1145" s="3" t="n"/>
      <c r="AC1145" s="31" t="n">
        <v>0</v>
      </c>
      <c r="AD1145" s="2" t="n">
        <v>0</v>
      </c>
      <c r="AE1145" s="2" t="n">
        <v>0</v>
      </c>
      <c r="AF1145" s="4" t="n">
        <v>0</v>
      </c>
      <c r="AG1145" s="33" t="n">
        <v>0</v>
      </c>
      <c r="AH1145" s="4" t="n">
        <v>0</v>
      </c>
      <c r="AI1145" s="34" t="n"/>
      <c r="AJ1145" s="34" t="n">
        <v>0</v>
      </c>
      <c r="AK1145" s="2" t="n">
        <v>0</v>
      </c>
      <c r="AL1145" t="inlineStr">
        <is>
          <t>Published</t>
        </is>
      </c>
    </row>
    <row r="1146">
      <c r="A1146">
        <f>HYPERLINK("https://www.walmart.com/ip/14531103493", "14531103493")</f>
        <v/>
      </c>
      <c r="B1146">
        <f>HYPERLINK("https://app.optiwise.ai/catalog/itemdetails/13059121", "PEANUTS Mens' Cotton Snoopy Family Matching Pajamas 2-Piece Sets for Christmas with Woodstock Charlie Brown Linus, Gift for him (Red Plaid, L)")</f>
        <v/>
      </c>
      <c r="C1146" t="inlineStr">
        <is>
          <t>PEA-PJS-FAMILY-MEN-REDPLAID-L</t>
        </is>
      </c>
      <c r="D1146" t="inlineStr">
        <is>
          <t>Clothing</t>
        </is>
      </c>
      <c r="E1146" t="inlineStr">
        <is>
          <t>Pajamas</t>
        </is>
      </c>
      <c r="F1146" t="inlineStr">
        <is>
          <t>Peanuts</t>
        </is>
      </c>
      <c r="G1146" t="n">
        <v>0</v>
      </c>
      <c r="H1146" t="n">
        <v>0</v>
      </c>
      <c r="J1146" s="29" t="n">
        <v>0</v>
      </c>
      <c r="K1146" s="30" t="n"/>
      <c r="L1146" s="29" t="n">
        <v>0</v>
      </c>
      <c r="M1146" s="29" t="n">
        <v>0</v>
      </c>
      <c r="N1146" s="2" t="n">
        <v>0</v>
      </c>
      <c r="O1146" s="31" t="n">
        <v>0</v>
      </c>
      <c r="P1146" s="32" t="n"/>
      <c r="Q1146" s="32" t="n">
        <v>0</v>
      </c>
      <c r="R1146" s="32" t="n">
        <v>0</v>
      </c>
      <c r="S1146" s="31" t="n">
        <v>0</v>
      </c>
      <c r="T1146" s="32" t="n">
        <v>0</v>
      </c>
      <c r="U1146" s="31" t="n">
        <v>0</v>
      </c>
      <c r="V1146" s="31" t="n">
        <v>0</v>
      </c>
      <c r="W1146" s="3" t="n">
        <v>0</v>
      </c>
      <c r="X1146" s="3" t="n">
        <v>0</v>
      </c>
      <c r="Y1146" s="32" t="n">
        <v>0</v>
      </c>
      <c r="Z1146" s="3" t="n">
        <v>0</v>
      </c>
      <c r="AA1146" s="32" t="n">
        <v>0</v>
      </c>
      <c r="AB1146" s="3" t="n"/>
      <c r="AC1146" s="31" t="n">
        <v>0</v>
      </c>
      <c r="AD1146" s="2" t="n">
        <v>0</v>
      </c>
      <c r="AE1146" s="2" t="n">
        <v>0</v>
      </c>
      <c r="AF1146" s="4" t="n">
        <v>0</v>
      </c>
      <c r="AG1146" s="33" t="n">
        <v>0</v>
      </c>
      <c r="AH1146" s="4" t="n">
        <v>0</v>
      </c>
      <c r="AI1146" s="34" t="n"/>
      <c r="AJ1146" s="34" t="n">
        <v>0</v>
      </c>
      <c r="AK1146" s="2" t="n">
        <v>0</v>
      </c>
      <c r="AL1146" t="inlineStr">
        <is>
          <t>Published</t>
        </is>
      </c>
    </row>
    <row r="1147">
      <c r="A1147">
        <f>HYPERLINK("https://www.walmart.com/ip/565270499", "565270499")</f>
        <v/>
      </c>
      <c r="B1147">
        <f>HYPERLINK("https://app.optiwise.ai/catalog/itemdetails/20192715", "Hang Ten Basic Insulated Lunch Bag for Work, Thermal Reusable Office Lunch Box for Men, Women (Palm Trees)")</f>
        <v/>
      </c>
      <c r="C1147" t="inlineStr">
        <is>
          <t>HT-LUNCH-BASICBOX-ISLANDRAINBOW</t>
        </is>
      </c>
      <c r="D1147" t="inlineStr">
        <is>
          <t>Home Decor, Kitchen, &amp; Other</t>
        </is>
      </c>
      <c r="E1147" t="inlineStr">
        <is>
          <t>Reusable Lunch Bags &amp; Boxes</t>
        </is>
      </c>
      <c r="F1147" t="inlineStr">
        <is>
          <t>HANG TEN</t>
        </is>
      </c>
      <c r="G1147" t="n">
        <v>4</v>
      </c>
      <c r="H1147" t="n">
        <v>1</v>
      </c>
      <c r="J1147" s="29" t="n">
        <v>0</v>
      </c>
      <c r="K1147" s="30" t="n"/>
      <c r="L1147" s="29" t="n">
        <v>0</v>
      </c>
      <c r="M1147" s="29" t="n">
        <v>0</v>
      </c>
      <c r="N1147" s="2" t="n">
        <v>0</v>
      </c>
      <c r="O1147" s="31" t="n">
        <v>0</v>
      </c>
      <c r="P1147" s="32" t="n"/>
      <c r="Q1147" s="32" t="n">
        <v>0</v>
      </c>
      <c r="R1147" s="32" t="n">
        <v>0</v>
      </c>
      <c r="S1147" s="31" t="n">
        <v>0</v>
      </c>
      <c r="T1147" s="32" t="n">
        <v>0</v>
      </c>
      <c r="U1147" s="31" t="n">
        <v>0</v>
      </c>
      <c r="V1147" s="31" t="n">
        <v>0</v>
      </c>
      <c r="W1147" s="3" t="n">
        <v>0</v>
      </c>
      <c r="X1147" s="3" t="n">
        <v>0</v>
      </c>
      <c r="Y1147" s="32" t="n">
        <v>0</v>
      </c>
      <c r="Z1147" s="3" t="n">
        <v>0</v>
      </c>
      <c r="AA1147" s="32" t="n">
        <v>0</v>
      </c>
      <c r="AB1147" s="3" t="n"/>
      <c r="AC1147" s="31" t="n">
        <v>0</v>
      </c>
      <c r="AD1147" s="2" t="n">
        <v>0</v>
      </c>
      <c r="AE1147" s="2" t="n">
        <v>0</v>
      </c>
      <c r="AF1147" s="4" t="n">
        <v>0</v>
      </c>
      <c r="AG1147" s="33" t="n">
        <v>0</v>
      </c>
      <c r="AH1147" s="4" t="n">
        <v>0</v>
      </c>
      <c r="AI1147" s="34" t="n"/>
      <c r="AJ1147" s="34" t="n">
        <v>0</v>
      </c>
      <c r="AK1147" s="2" t="n">
        <v>0</v>
      </c>
      <c r="AL1147" t="inlineStr">
        <is>
          <t>Published</t>
        </is>
      </c>
    </row>
    <row r="1148">
      <c r="A1148">
        <f>HYPERLINK("https://www.walmart.com/ip/16023218824", "16023218824")</f>
        <v/>
      </c>
      <c r="B1148">
        <f>HYPERLINK("https://app.optiwise.ai/catalog/itemdetails/20192726", "Dickies Basic Insulated Lunch Bag for Work, Thermal Reusable Office Lunch Box for Men, Women (Purple)")</f>
        <v/>
      </c>
      <c r="C1148" t="inlineStr">
        <is>
          <t>DK-LUNCH-BASICBOX-PURPLE</t>
        </is>
      </c>
      <c r="D1148" t="inlineStr">
        <is>
          <t>Home Decor, Kitchen, &amp; Other</t>
        </is>
      </c>
      <c r="E1148" t="inlineStr">
        <is>
          <t>Reusable Lunch Bags &amp; Boxes</t>
        </is>
      </c>
      <c r="F1148" t="inlineStr">
        <is>
          <t>Dickies</t>
        </is>
      </c>
      <c r="G1148" t="n">
        <v>0</v>
      </c>
      <c r="H1148" t="n">
        <v>0</v>
      </c>
      <c r="J1148" s="29" t="n">
        <v>0</v>
      </c>
      <c r="K1148" s="30" t="n"/>
      <c r="L1148" s="29" t="n">
        <v>0</v>
      </c>
      <c r="M1148" s="29" t="n">
        <v>0</v>
      </c>
      <c r="N1148" s="2" t="n">
        <v>0</v>
      </c>
      <c r="O1148" s="31" t="n">
        <v>0</v>
      </c>
      <c r="P1148" s="32" t="n"/>
      <c r="Q1148" s="32" t="n">
        <v>0</v>
      </c>
      <c r="R1148" s="32" t="n">
        <v>0</v>
      </c>
      <c r="S1148" s="31" t="n">
        <v>0</v>
      </c>
      <c r="T1148" s="32" t="n">
        <v>0</v>
      </c>
      <c r="U1148" s="31" t="n">
        <v>0</v>
      </c>
      <c r="V1148" s="31" t="n">
        <v>0</v>
      </c>
      <c r="W1148" s="3" t="n">
        <v>0</v>
      </c>
      <c r="X1148" s="3" t="n">
        <v>0</v>
      </c>
      <c r="Y1148" s="32" t="n">
        <v>0</v>
      </c>
      <c r="Z1148" s="3" t="n">
        <v>0</v>
      </c>
      <c r="AA1148" s="32" t="n">
        <v>0</v>
      </c>
      <c r="AB1148" s="3" t="n"/>
      <c r="AC1148" s="31" t="n">
        <v>0</v>
      </c>
      <c r="AD1148" s="2" t="n">
        <v>0</v>
      </c>
      <c r="AE1148" s="2" t="n">
        <v>0</v>
      </c>
      <c r="AF1148" s="4" t="n">
        <v>0</v>
      </c>
      <c r="AG1148" s="33" t="n">
        <v>0</v>
      </c>
      <c r="AH1148" s="4" t="n">
        <v>0</v>
      </c>
      <c r="AI1148" s="34" t="n"/>
      <c r="AJ1148" s="34" t="n">
        <v>0</v>
      </c>
      <c r="AK1148" s="2" t="n">
        <v>0</v>
      </c>
      <c r="AL1148" t="inlineStr">
        <is>
          <t>Published</t>
        </is>
      </c>
    </row>
    <row r="1149">
      <c r="A1149">
        <f>HYPERLINK("https://www.walmart.com/ip/5190646041", "5190646041")</f>
        <v/>
      </c>
      <c r="B1149">
        <f>HYPERLINK("https://app.optiwise.ai/catalog/itemdetails/20192725", "Dickies Basic Insulated Lunch Bag for Work, Thermal Reusable Office Lunch Box for Men, Women (Purple)")</f>
        <v/>
      </c>
      <c r="C1149" t="inlineStr">
        <is>
          <t>DK-LUNCH-BASICBOX-PINK</t>
        </is>
      </c>
      <c r="D1149" t="inlineStr">
        <is>
          <t>Home Decor, Kitchen, &amp; Other</t>
        </is>
      </c>
      <c r="E1149" t="inlineStr">
        <is>
          <t>Reusable Lunch Bags &amp; Boxes</t>
        </is>
      </c>
      <c r="F1149" t="inlineStr">
        <is>
          <t>Dickies</t>
        </is>
      </c>
      <c r="G1149" t="n">
        <v>0</v>
      </c>
      <c r="H1149" t="n">
        <v>0</v>
      </c>
      <c r="J1149" s="29" t="n">
        <v>0</v>
      </c>
      <c r="K1149" s="30" t="n"/>
      <c r="L1149" s="29" t="n">
        <v>0</v>
      </c>
      <c r="M1149" s="29" t="n">
        <v>0</v>
      </c>
      <c r="N1149" s="2" t="n">
        <v>0</v>
      </c>
      <c r="O1149" s="31" t="n">
        <v>0</v>
      </c>
      <c r="P1149" s="32" t="n"/>
      <c r="Q1149" s="32" t="n">
        <v>0</v>
      </c>
      <c r="R1149" s="32" t="n">
        <v>0</v>
      </c>
      <c r="S1149" s="31" t="n">
        <v>0</v>
      </c>
      <c r="T1149" s="32" t="n">
        <v>0</v>
      </c>
      <c r="U1149" s="31" t="n">
        <v>0</v>
      </c>
      <c r="V1149" s="31" t="n">
        <v>0</v>
      </c>
      <c r="W1149" s="3" t="n">
        <v>0</v>
      </c>
      <c r="X1149" s="3" t="n">
        <v>0</v>
      </c>
      <c r="Y1149" s="32" t="n">
        <v>0</v>
      </c>
      <c r="Z1149" s="3" t="n">
        <v>0</v>
      </c>
      <c r="AA1149" s="32" t="n">
        <v>0</v>
      </c>
      <c r="AB1149" s="3" t="n"/>
      <c r="AC1149" s="31" t="n">
        <v>0</v>
      </c>
      <c r="AD1149" s="2" t="n">
        <v>0</v>
      </c>
      <c r="AE1149" s="2" t="n">
        <v>0</v>
      </c>
      <c r="AF1149" s="4" t="n">
        <v>0</v>
      </c>
      <c r="AG1149" s="33" t="n">
        <v>0</v>
      </c>
      <c r="AH1149" s="4" t="n">
        <v>0</v>
      </c>
      <c r="AI1149" s="34" t="n"/>
      <c r="AJ1149" s="34" t="n">
        <v>0</v>
      </c>
      <c r="AK1149" s="2" t="n">
        <v>0</v>
      </c>
      <c r="AL1149" t="inlineStr">
        <is>
          <t>Published</t>
        </is>
      </c>
    </row>
    <row r="1150">
      <c r="A1150">
        <f>HYPERLINK("https://www.walmart.com/ip/3927576726", "3927576726")</f>
        <v/>
      </c>
      <c r="B1150">
        <f>HYPERLINK("https://app.optiwise.ai/catalog/itemdetails/20192724", "Dickies Insulated Lunch Bag Satchel for Girls School and Work, Thermal Reusable Office Lunch Box for Women (Charcoal)")</f>
        <v/>
      </c>
      <c r="C1150" t="inlineStr">
        <is>
          <t>DK-LUNCH-SATCHEL-CHARCOL-FN</t>
        </is>
      </c>
      <c r="D1150" t="inlineStr">
        <is>
          <t>Home Decor, Kitchen, &amp; Other</t>
        </is>
      </c>
      <c r="E1150" t="inlineStr">
        <is>
          <t>Reusable Lunch Bags &amp; Boxes</t>
        </is>
      </c>
      <c r="F1150" t="inlineStr">
        <is>
          <t>Dickies</t>
        </is>
      </c>
      <c r="G1150" t="n">
        <v>0</v>
      </c>
      <c r="H1150" t="n">
        <v>0</v>
      </c>
      <c r="J1150" s="29" t="n">
        <v>0</v>
      </c>
      <c r="K1150" s="30" t="n"/>
      <c r="L1150" s="29" t="n">
        <v>0</v>
      </c>
      <c r="M1150" s="29" t="n">
        <v>0</v>
      </c>
      <c r="N1150" s="2" t="n">
        <v>0</v>
      </c>
      <c r="O1150" s="31" t="n">
        <v>0</v>
      </c>
      <c r="P1150" s="32" t="n"/>
      <c r="Q1150" s="32" t="n">
        <v>0</v>
      </c>
      <c r="R1150" s="32" t="n">
        <v>0</v>
      </c>
      <c r="S1150" s="31" t="n">
        <v>0</v>
      </c>
      <c r="T1150" s="32" t="n">
        <v>0</v>
      </c>
      <c r="U1150" s="31" t="n">
        <v>0</v>
      </c>
      <c r="V1150" s="31" t="n">
        <v>0</v>
      </c>
      <c r="W1150" s="3" t="n">
        <v>0</v>
      </c>
      <c r="X1150" s="3" t="n">
        <v>0</v>
      </c>
      <c r="Y1150" s="32" t="n">
        <v>0</v>
      </c>
      <c r="Z1150" s="3" t="n">
        <v>0</v>
      </c>
      <c r="AA1150" s="32" t="n">
        <v>0</v>
      </c>
      <c r="AB1150" s="3" t="n"/>
      <c r="AC1150" s="31" t="n">
        <v>0</v>
      </c>
      <c r="AD1150" s="2" t="n">
        <v>0</v>
      </c>
      <c r="AE1150" s="2" t="n">
        <v>0</v>
      </c>
      <c r="AF1150" s="4" t="n">
        <v>0</v>
      </c>
      <c r="AG1150" s="33" t="n">
        <v>0</v>
      </c>
      <c r="AH1150" s="4" t="n">
        <v>0</v>
      </c>
      <c r="AI1150" s="34" t="n"/>
      <c r="AJ1150" s="34" t="n">
        <v>0</v>
      </c>
      <c r="AK1150" s="2" t="n">
        <v>0</v>
      </c>
      <c r="AL1150" t="inlineStr">
        <is>
          <t>Published</t>
        </is>
      </c>
    </row>
    <row r="1151">
      <c r="A1151">
        <f>HYPERLINK("https://www.walmart.com/ip/3353601762", "3353601762")</f>
        <v/>
      </c>
      <c r="B1151">
        <f>HYPERLINK("https://app.optiwise.ai/catalog/itemdetails/20192723", "Dickies Kids Insulated Lunch Bag for School, Thermal Reusable Lunch Box for Kids, Boys, Girls - 8 Years Old and Up (Pink)")</f>
        <v/>
      </c>
      <c r="C1151" t="inlineStr">
        <is>
          <t>DK-LUNCH-KIDS-CHARCOAL</t>
        </is>
      </c>
      <c r="D1151" t="inlineStr">
        <is>
          <t>Home Decor, Kitchen, &amp; Other</t>
        </is>
      </c>
      <c r="E1151" t="inlineStr">
        <is>
          <t>Reusable Lunch Bags &amp; Boxes</t>
        </is>
      </c>
      <c r="F1151" t="inlineStr">
        <is>
          <t>Dickies</t>
        </is>
      </c>
      <c r="G1151" t="n">
        <v>0</v>
      </c>
      <c r="H1151" t="n">
        <v>0</v>
      </c>
      <c r="J1151" s="29" t="n">
        <v>0</v>
      </c>
      <c r="K1151" s="30" t="n"/>
      <c r="L1151" s="29" t="n">
        <v>0</v>
      </c>
      <c r="M1151" s="29" t="n">
        <v>0</v>
      </c>
      <c r="N1151" s="2" t="n">
        <v>0</v>
      </c>
      <c r="O1151" s="31" t="n">
        <v>0</v>
      </c>
      <c r="P1151" s="32" t="n"/>
      <c r="Q1151" s="32" t="n">
        <v>0</v>
      </c>
      <c r="R1151" s="32" t="n">
        <v>0</v>
      </c>
      <c r="S1151" s="31" t="n">
        <v>0</v>
      </c>
      <c r="T1151" s="32" t="n">
        <v>0</v>
      </c>
      <c r="U1151" s="31" t="n">
        <v>0</v>
      </c>
      <c r="V1151" s="31" t="n">
        <v>0</v>
      </c>
      <c r="W1151" s="3" t="n">
        <v>0</v>
      </c>
      <c r="X1151" s="3" t="n">
        <v>0</v>
      </c>
      <c r="Y1151" s="32" t="n">
        <v>0</v>
      </c>
      <c r="Z1151" s="3" t="n">
        <v>0</v>
      </c>
      <c r="AA1151" s="32" t="n">
        <v>0</v>
      </c>
      <c r="AB1151" s="3" t="n"/>
      <c r="AC1151" s="31" t="n">
        <v>0</v>
      </c>
      <c r="AD1151" s="2" t="n">
        <v>0</v>
      </c>
      <c r="AE1151" s="2" t="n">
        <v>0</v>
      </c>
      <c r="AF1151" s="4" t="n">
        <v>0</v>
      </c>
      <c r="AG1151" s="33" t="n">
        <v>0</v>
      </c>
      <c r="AH1151" s="4" t="n">
        <v>0</v>
      </c>
      <c r="AI1151" s="34" t="n"/>
      <c r="AJ1151" s="34" t="n">
        <v>0</v>
      </c>
      <c r="AK1151" s="2" t="n">
        <v>0</v>
      </c>
      <c r="AL1151" t="inlineStr">
        <is>
          <t>Published</t>
        </is>
      </c>
    </row>
    <row r="1152">
      <c r="A1152">
        <f>HYPERLINK("https://www.walmart.com/ip/2862247435", "2862247435")</f>
        <v/>
      </c>
      <c r="B1152">
        <f>HYPERLINK("https://app.optiwise.ai/catalog/itemdetails/20192722", "Dickies Insulated Lunch Bag Satchel for Girls School and Work, Thermal Reusable Office Lunch Box for Women (Charcoal)")</f>
        <v/>
      </c>
      <c r="C1152" t="inlineStr">
        <is>
          <t>DK-LUNCH-SATCHEL-RETROYELLOW</t>
        </is>
      </c>
      <c r="D1152" t="inlineStr">
        <is>
          <t>Home Decor, Kitchen, &amp; Other</t>
        </is>
      </c>
      <c r="E1152" t="inlineStr">
        <is>
          <t>Reusable Lunch Bags &amp; Boxes</t>
        </is>
      </c>
      <c r="F1152" t="inlineStr">
        <is>
          <t>Dickies</t>
        </is>
      </c>
      <c r="G1152" t="n">
        <v>0</v>
      </c>
      <c r="H1152" t="n">
        <v>0</v>
      </c>
      <c r="J1152" s="29" t="n">
        <v>0</v>
      </c>
      <c r="K1152" s="30" t="n"/>
      <c r="L1152" s="29" t="n">
        <v>0</v>
      </c>
      <c r="M1152" s="29" t="n">
        <v>0</v>
      </c>
      <c r="N1152" s="2" t="n">
        <v>0</v>
      </c>
      <c r="O1152" s="31" t="n">
        <v>0</v>
      </c>
      <c r="P1152" s="32" t="n"/>
      <c r="Q1152" s="32" t="n">
        <v>0</v>
      </c>
      <c r="R1152" s="32" t="n">
        <v>0</v>
      </c>
      <c r="S1152" s="31" t="n">
        <v>0</v>
      </c>
      <c r="T1152" s="32" t="n">
        <v>0</v>
      </c>
      <c r="U1152" s="31" t="n">
        <v>0</v>
      </c>
      <c r="V1152" s="31" t="n">
        <v>0</v>
      </c>
      <c r="W1152" s="3" t="n">
        <v>0</v>
      </c>
      <c r="X1152" s="3" t="n">
        <v>0</v>
      </c>
      <c r="Y1152" s="32" t="n">
        <v>0</v>
      </c>
      <c r="Z1152" s="3" t="n">
        <v>0</v>
      </c>
      <c r="AA1152" s="32" t="n">
        <v>0</v>
      </c>
      <c r="AB1152" s="3" t="n"/>
      <c r="AC1152" s="31" t="n">
        <v>0</v>
      </c>
      <c r="AD1152" s="2" t="n">
        <v>0</v>
      </c>
      <c r="AE1152" s="2" t="n">
        <v>0</v>
      </c>
      <c r="AF1152" s="4" t="n">
        <v>0</v>
      </c>
      <c r="AG1152" s="33" t="n">
        <v>0</v>
      </c>
      <c r="AH1152" s="4" t="n">
        <v>0</v>
      </c>
      <c r="AI1152" s="34" t="n"/>
      <c r="AJ1152" s="34" t="n">
        <v>0</v>
      </c>
      <c r="AK1152" s="2" t="n">
        <v>0</v>
      </c>
      <c r="AL1152" t="inlineStr">
        <is>
          <t>Published</t>
        </is>
      </c>
    </row>
    <row r="1153">
      <c r="A1153">
        <f>HYPERLINK("https://www.walmart.com/ip/2654335470", "2654335470")</f>
        <v/>
      </c>
      <c r="B1153">
        <f>HYPERLINK("https://app.optiwise.ai/catalog/itemdetails/20192721", "Dickies Insulated Lunch Bag Satchel for Girls School and Work, Thermal Reusable Office Lunch Box for Women (Charcoal)")</f>
        <v/>
      </c>
      <c r="C1153" t="inlineStr">
        <is>
          <t>DK-LUNCH-SATCHEL-HOTPINKLOVE</t>
        </is>
      </c>
      <c r="D1153" t="inlineStr">
        <is>
          <t>Home Decor, Kitchen, &amp; Other</t>
        </is>
      </c>
      <c r="E1153" t="inlineStr">
        <is>
          <t>Reusable Lunch Bags &amp; Boxes</t>
        </is>
      </c>
      <c r="F1153" t="inlineStr">
        <is>
          <t>Dickies</t>
        </is>
      </c>
      <c r="G1153" t="n">
        <v>0</v>
      </c>
      <c r="H1153" t="n">
        <v>0</v>
      </c>
      <c r="J1153" s="29" t="n">
        <v>0</v>
      </c>
      <c r="K1153" s="30" t="n"/>
      <c r="L1153" s="29" t="n">
        <v>0</v>
      </c>
      <c r="M1153" s="29" t="n">
        <v>0</v>
      </c>
      <c r="N1153" s="2" t="n">
        <v>0</v>
      </c>
      <c r="O1153" s="31" t="n">
        <v>0</v>
      </c>
      <c r="P1153" s="32" t="n"/>
      <c r="Q1153" s="32" t="n">
        <v>0</v>
      </c>
      <c r="R1153" s="32" t="n">
        <v>0</v>
      </c>
      <c r="S1153" s="31" t="n">
        <v>0</v>
      </c>
      <c r="T1153" s="32" t="n">
        <v>0</v>
      </c>
      <c r="U1153" s="31" t="n">
        <v>0</v>
      </c>
      <c r="V1153" s="31" t="n">
        <v>0</v>
      </c>
      <c r="W1153" s="3" t="n">
        <v>0</v>
      </c>
      <c r="X1153" s="3" t="n">
        <v>0</v>
      </c>
      <c r="Y1153" s="32" t="n">
        <v>0</v>
      </c>
      <c r="Z1153" s="3" t="n">
        <v>0</v>
      </c>
      <c r="AA1153" s="32" t="n">
        <v>0</v>
      </c>
      <c r="AB1153" s="3" t="n"/>
      <c r="AC1153" s="31" t="n">
        <v>0</v>
      </c>
      <c r="AD1153" s="2" t="n">
        <v>0</v>
      </c>
      <c r="AE1153" s="2" t="n">
        <v>0</v>
      </c>
      <c r="AF1153" s="4" t="n">
        <v>0</v>
      </c>
      <c r="AG1153" s="33" t="n">
        <v>0</v>
      </c>
      <c r="AH1153" s="4" t="n">
        <v>0</v>
      </c>
      <c r="AI1153" s="34" t="n"/>
      <c r="AJ1153" s="34" t="n">
        <v>0</v>
      </c>
      <c r="AK1153" s="2" t="n">
        <v>0</v>
      </c>
      <c r="AL1153" t="inlineStr">
        <is>
          <t>Published</t>
        </is>
      </c>
    </row>
    <row r="1154">
      <c r="A1154">
        <f>HYPERLINK("https://www.walmart.com/ip/2405680451", "2405680451")</f>
        <v/>
      </c>
      <c r="B1154">
        <f>HYPERLINK("https://app.optiwise.ai/catalog/itemdetails/20192720", "Dickies Kids Insulated Lunch Bag for School, Thermal Reusable Lunch Box for Kids, Boys, Girls - 8 Years Old and Up (Pink)")</f>
        <v/>
      </c>
      <c r="C1154" t="inlineStr">
        <is>
          <t>DK-LUNCH-KIDS-BROWNDUCK</t>
        </is>
      </c>
      <c r="D1154" t="inlineStr">
        <is>
          <t>Home Decor, Kitchen, &amp; Other</t>
        </is>
      </c>
      <c r="E1154" t="inlineStr">
        <is>
          <t>Reusable Lunch Bags &amp; Boxes</t>
        </is>
      </c>
      <c r="F1154" t="inlineStr">
        <is>
          <t>Dickies</t>
        </is>
      </c>
      <c r="G1154" t="n">
        <v>0</v>
      </c>
      <c r="H1154" t="n">
        <v>0</v>
      </c>
      <c r="J1154" s="29" t="n">
        <v>0</v>
      </c>
      <c r="K1154" s="30" t="n"/>
      <c r="L1154" s="29" t="n">
        <v>0</v>
      </c>
      <c r="M1154" s="29" t="n">
        <v>0</v>
      </c>
      <c r="N1154" s="2" t="n">
        <v>0</v>
      </c>
      <c r="O1154" s="31" t="n">
        <v>0</v>
      </c>
      <c r="P1154" s="32" t="n"/>
      <c r="Q1154" s="32" t="n">
        <v>0</v>
      </c>
      <c r="R1154" s="32" t="n">
        <v>0</v>
      </c>
      <c r="S1154" s="31" t="n">
        <v>0</v>
      </c>
      <c r="T1154" s="32" t="n">
        <v>0</v>
      </c>
      <c r="U1154" s="31" t="n">
        <v>0</v>
      </c>
      <c r="V1154" s="31" t="n">
        <v>0</v>
      </c>
      <c r="W1154" s="3" t="n">
        <v>0</v>
      </c>
      <c r="X1154" s="3" t="n">
        <v>0</v>
      </c>
      <c r="Y1154" s="32" t="n">
        <v>0</v>
      </c>
      <c r="Z1154" s="3" t="n">
        <v>0</v>
      </c>
      <c r="AA1154" s="32" t="n">
        <v>0</v>
      </c>
      <c r="AB1154" s="3" t="n"/>
      <c r="AC1154" s="31" t="n">
        <v>0</v>
      </c>
      <c r="AD1154" s="2" t="n">
        <v>0</v>
      </c>
      <c r="AE1154" s="2" t="n">
        <v>0</v>
      </c>
      <c r="AF1154" s="4" t="n">
        <v>0</v>
      </c>
      <c r="AG1154" s="33" t="n">
        <v>0</v>
      </c>
      <c r="AH1154" s="4" t="n">
        <v>0</v>
      </c>
      <c r="AI1154" s="34" t="n"/>
      <c r="AJ1154" s="34" t="n">
        <v>0</v>
      </c>
      <c r="AK1154" s="2" t="n">
        <v>0</v>
      </c>
      <c r="AL1154" t="inlineStr">
        <is>
          <t>Published</t>
        </is>
      </c>
    </row>
    <row r="1155">
      <c r="A1155">
        <f>HYPERLINK("https://www.walmart.com/ip/2207142332", "2207142332")</f>
        <v/>
      </c>
      <c r="B1155">
        <f>HYPERLINK("https://app.optiwise.ai/catalog/itemdetails/20192719", "Dickies Insulated Lunch Bag Satchel for School and Work, Thermal Reusable Office Lunch Box for Women (Charcoal)")</f>
        <v/>
      </c>
      <c r="C1155" t="inlineStr">
        <is>
          <t>DK-LUNCH-SATCHEL-TROPICFLOWER-FN</t>
        </is>
      </c>
      <c r="D1155" t="inlineStr">
        <is>
          <t>Home Decor, Kitchen, &amp; Other</t>
        </is>
      </c>
      <c r="E1155" t="inlineStr">
        <is>
          <t>Reusable Lunch Bags &amp; Boxes</t>
        </is>
      </c>
      <c r="F1155" t="inlineStr">
        <is>
          <t>Dickies</t>
        </is>
      </c>
      <c r="G1155" t="n">
        <v>0</v>
      </c>
      <c r="H1155" t="n">
        <v>0</v>
      </c>
      <c r="J1155" s="29" t="n">
        <v>0</v>
      </c>
      <c r="K1155" s="30" t="n"/>
      <c r="L1155" s="29" t="n">
        <v>0</v>
      </c>
      <c r="M1155" s="29" t="n">
        <v>0</v>
      </c>
      <c r="N1155" s="2" t="n">
        <v>0</v>
      </c>
      <c r="O1155" s="31" t="n">
        <v>0</v>
      </c>
      <c r="P1155" s="32" t="n"/>
      <c r="Q1155" s="32" t="n">
        <v>0</v>
      </c>
      <c r="R1155" s="32" t="n">
        <v>0</v>
      </c>
      <c r="S1155" s="31" t="n">
        <v>0</v>
      </c>
      <c r="T1155" s="32" t="n">
        <v>0</v>
      </c>
      <c r="U1155" s="31" t="n">
        <v>0</v>
      </c>
      <c r="V1155" s="31" t="n">
        <v>0</v>
      </c>
      <c r="W1155" s="3" t="n">
        <v>0</v>
      </c>
      <c r="X1155" s="3" t="n">
        <v>0</v>
      </c>
      <c r="Y1155" s="32" t="n">
        <v>0</v>
      </c>
      <c r="Z1155" s="3" t="n">
        <v>0</v>
      </c>
      <c r="AA1155" s="32" t="n">
        <v>0</v>
      </c>
      <c r="AB1155" s="3" t="n"/>
      <c r="AC1155" s="31" t="n">
        <v>0</v>
      </c>
      <c r="AD1155" s="2" t="n">
        <v>0</v>
      </c>
      <c r="AE1155" s="2" t="n">
        <v>0</v>
      </c>
      <c r="AF1155" s="4" t="n">
        <v>0</v>
      </c>
      <c r="AG1155" s="33" t="n">
        <v>0</v>
      </c>
      <c r="AH1155" s="4" t="n">
        <v>0</v>
      </c>
      <c r="AI1155" s="34" t="n"/>
      <c r="AJ1155" s="34" t="n">
        <v>0</v>
      </c>
      <c r="AK1155" s="2" t="n">
        <v>0</v>
      </c>
      <c r="AL1155" t="inlineStr">
        <is>
          <t>Published</t>
        </is>
      </c>
    </row>
    <row r="1156">
      <c r="A1156">
        <f>HYPERLINK("https://www.walmart.com/ip/1975142957", "1975142957")</f>
        <v/>
      </c>
      <c r="B1156">
        <f>HYPERLINK("https://app.optiwise.ai/catalog/itemdetails/20192718", "Hang Ten Basic Insulated Lunch Bag for Work, Thermal Reusable Office Lunch Box for Men, Women (Palm Trees)")</f>
        <v/>
      </c>
      <c r="C1156" t="inlineStr">
        <is>
          <t>HT-LUNCH-BASICBOX-GOODVIBES</t>
        </is>
      </c>
      <c r="D1156" t="inlineStr">
        <is>
          <t>Home Decor, Kitchen, &amp; Other</t>
        </is>
      </c>
      <c r="E1156" t="inlineStr">
        <is>
          <t>Reusable Lunch Bags &amp; Boxes</t>
        </is>
      </c>
      <c r="F1156" t="inlineStr">
        <is>
          <t>HANG TEN</t>
        </is>
      </c>
      <c r="G1156" t="n">
        <v>0</v>
      </c>
      <c r="H1156" t="n">
        <v>0</v>
      </c>
      <c r="J1156" s="29" t="n">
        <v>0</v>
      </c>
      <c r="K1156" s="30" t="n"/>
      <c r="L1156" s="29" t="n">
        <v>0</v>
      </c>
      <c r="M1156" s="29" t="n">
        <v>0</v>
      </c>
      <c r="N1156" s="2" t="n">
        <v>0</v>
      </c>
      <c r="O1156" s="31" t="n">
        <v>0</v>
      </c>
      <c r="P1156" s="32" t="n"/>
      <c r="Q1156" s="32" t="n">
        <v>0</v>
      </c>
      <c r="R1156" s="32" t="n">
        <v>0</v>
      </c>
      <c r="S1156" s="31" t="n">
        <v>0</v>
      </c>
      <c r="T1156" s="32" t="n">
        <v>0</v>
      </c>
      <c r="U1156" s="31" t="n">
        <v>0</v>
      </c>
      <c r="V1156" s="31" t="n">
        <v>0</v>
      </c>
      <c r="W1156" s="3" t="n">
        <v>0</v>
      </c>
      <c r="X1156" s="3" t="n">
        <v>0</v>
      </c>
      <c r="Y1156" s="32" t="n">
        <v>0</v>
      </c>
      <c r="Z1156" s="3" t="n">
        <v>0</v>
      </c>
      <c r="AA1156" s="32" t="n">
        <v>0</v>
      </c>
      <c r="AB1156" s="3" t="n"/>
      <c r="AC1156" s="31" t="n">
        <v>0</v>
      </c>
      <c r="AD1156" s="2" t="n">
        <v>0</v>
      </c>
      <c r="AE1156" s="2" t="n">
        <v>0</v>
      </c>
      <c r="AF1156" s="4" t="n">
        <v>0</v>
      </c>
      <c r="AG1156" s="33" t="n">
        <v>0</v>
      </c>
      <c r="AH1156" s="4" t="n">
        <v>0</v>
      </c>
      <c r="AI1156" s="34" t="n"/>
      <c r="AJ1156" s="34" t="n">
        <v>0</v>
      </c>
      <c r="AK1156" s="2" t="n">
        <v>0</v>
      </c>
      <c r="AL1156" t="inlineStr">
        <is>
          <t>Published</t>
        </is>
      </c>
    </row>
    <row r="1157">
      <c r="A1157">
        <f>HYPERLINK("https://www.walmart.com/ip/1918924708", "1918924708")</f>
        <v/>
      </c>
      <c r="B1157">
        <f>HYPERLINK("https://app.optiwise.ai/catalog/itemdetails/20192717", "Hang Ten Basic Insulated Lunch Bag for Work, Thermal Reusable Office Lunch Box for Men, Women (Palm Trees)")</f>
        <v/>
      </c>
      <c r="C1157" t="inlineStr">
        <is>
          <t>HT-LUNCH-BASICBOX-LAVASTRIPE</t>
        </is>
      </c>
      <c r="D1157" t="inlineStr">
        <is>
          <t>Home - Home Decor, Kitchen, &amp; Other</t>
        </is>
      </c>
      <c r="E1157" t="inlineStr">
        <is>
          <t>Reusable Lunch Bags &amp; Boxes</t>
        </is>
      </c>
      <c r="F1157" t="inlineStr">
        <is>
          <t>HANG TEN</t>
        </is>
      </c>
      <c r="G1157" t="n">
        <v>0</v>
      </c>
      <c r="H1157" t="n">
        <v>0</v>
      </c>
      <c r="J1157" s="29" t="n">
        <v>0</v>
      </c>
      <c r="K1157" s="30" t="n"/>
      <c r="L1157" s="29" t="n">
        <v>0</v>
      </c>
      <c r="M1157" s="29" t="n">
        <v>0</v>
      </c>
      <c r="N1157" s="2" t="n">
        <v>0</v>
      </c>
      <c r="O1157" s="31" t="n">
        <v>0</v>
      </c>
      <c r="P1157" s="32" t="n"/>
      <c r="Q1157" s="32" t="n">
        <v>0</v>
      </c>
      <c r="R1157" s="32" t="n">
        <v>0</v>
      </c>
      <c r="S1157" s="31" t="n">
        <v>0</v>
      </c>
      <c r="T1157" s="32" t="n">
        <v>0</v>
      </c>
      <c r="U1157" s="31" t="n">
        <v>0</v>
      </c>
      <c r="V1157" s="31" t="n">
        <v>0</v>
      </c>
      <c r="W1157" s="3" t="n">
        <v>0</v>
      </c>
      <c r="X1157" s="3" t="n">
        <v>0</v>
      </c>
      <c r="Y1157" s="32" t="n">
        <v>0</v>
      </c>
      <c r="Z1157" s="3" t="n">
        <v>0</v>
      </c>
      <c r="AA1157" s="32" t="n">
        <v>0</v>
      </c>
      <c r="AB1157" s="3" t="n"/>
      <c r="AC1157" s="31" t="n">
        <v>0</v>
      </c>
      <c r="AD1157" s="2" t="n">
        <v>0</v>
      </c>
      <c r="AE1157" s="2" t="n">
        <v>0</v>
      </c>
      <c r="AF1157" s="4" t="n">
        <v>0</v>
      </c>
      <c r="AG1157" s="33" t="n">
        <v>0</v>
      </c>
      <c r="AH1157" s="4" t="n">
        <v>0</v>
      </c>
      <c r="AI1157" s="34" t="n"/>
      <c r="AJ1157" s="34" t="n">
        <v>0</v>
      </c>
      <c r="AK1157" s="2" t="n">
        <v>0</v>
      </c>
      <c r="AL1157" t="inlineStr">
        <is>
          <t>Published</t>
        </is>
      </c>
    </row>
    <row r="1158">
      <c r="A1158">
        <f>HYPERLINK("https://www.walmart.com/ip/1238851251", "1238851251")</f>
        <v/>
      </c>
      <c r="B1158">
        <f>HYPERLINK("https://app.optiwise.ai/catalog/itemdetails/20192716", "Hang Ten Basic Insulated Lunch Bag for Work, Thermal Reusable Office Lunch Box for Men, Women (Palm Trees)")</f>
        <v/>
      </c>
      <c r="C1158" t="inlineStr">
        <is>
          <t>HT-LUNCH-BASICBOX-OCEANSTRIPE</t>
        </is>
      </c>
      <c r="D1158" t="inlineStr">
        <is>
          <t>Home - Home Decor, Kitchen, &amp; Other</t>
        </is>
      </c>
      <c r="E1158" t="inlineStr">
        <is>
          <t>Reusable Lunch Bags &amp; Boxes</t>
        </is>
      </c>
      <c r="F1158" t="inlineStr">
        <is>
          <t>HANG TEN</t>
        </is>
      </c>
      <c r="G1158" t="n">
        <v>0</v>
      </c>
      <c r="H1158" t="n">
        <v>0</v>
      </c>
      <c r="J1158" s="29" t="n">
        <v>0</v>
      </c>
      <c r="K1158" s="30" t="n"/>
      <c r="L1158" s="29" t="n">
        <v>0</v>
      </c>
      <c r="M1158" s="29" t="n">
        <v>0</v>
      </c>
      <c r="N1158" s="2" t="n">
        <v>0</v>
      </c>
      <c r="O1158" s="31" t="n">
        <v>0</v>
      </c>
      <c r="P1158" s="32" t="n"/>
      <c r="Q1158" s="32" t="n">
        <v>0</v>
      </c>
      <c r="R1158" s="32" t="n">
        <v>0</v>
      </c>
      <c r="S1158" s="31" t="n">
        <v>0</v>
      </c>
      <c r="T1158" s="32" t="n">
        <v>0</v>
      </c>
      <c r="U1158" s="31" t="n">
        <v>0</v>
      </c>
      <c r="V1158" s="31" t="n">
        <v>0</v>
      </c>
      <c r="W1158" s="3" t="n">
        <v>0</v>
      </c>
      <c r="X1158" s="3" t="n">
        <v>0</v>
      </c>
      <c r="Y1158" s="32" t="n">
        <v>0</v>
      </c>
      <c r="Z1158" s="3" t="n">
        <v>0</v>
      </c>
      <c r="AA1158" s="32" t="n">
        <v>0</v>
      </c>
      <c r="AB1158" s="3" t="n"/>
      <c r="AC1158" s="31" t="n">
        <v>0</v>
      </c>
      <c r="AD1158" s="2" t="n">
        <v>0</v>
      </c>
      <c r="AE1158" s="2" t="n">
        <v>0</v>
      </c>
      <c r="AF1158" s="4" t="n">
        <v>0</v>
      </c>
      <c r="AG1158" s="33" t="n">
        <v>0</v>
      </c>
      <c r="AH1158" s="4" t="n">
        <v>0</v>
      </c>
      <c r="AI1158" s="34" t="n"/>
      <c r="AJ1158" s="34" t="n">
        <v>0</v>
      </c>
      <c r="AK1158" s="2" t="n">
        <v>0</v>
      </c>
      <c r="AL1158" t="inlineStr">
        <is>
          <t>Published</t>
        </is>
      </c>
    </row>
    <row r="1159">
      <c r="A1159">
        <f>HYPERLINK("https://www.walmart.com/ip/561712246", "561712246")</f>
        <v/>
      </c>
      <c r="B1159">
        <f>HYPERLINK("https://app.optiwise.ai/catalog/itemdetails/20192714", "Dickies Basic Insulated Lunch Bag for Work, Thermal Reusable Office Lunch Box for Men, Women (Purple)")</f>
        <v/>
      </c>
      <c r="C1159" t="inlineStr">
        <is>
          <t>DK-LUNCH-BASICBOX-GREYCAMO</t>
        </is>
      </c>
      <c r="D1159" t="inlineStr">
        <is>
          <t>Home Decor, Kitchen, &amp; Other</t>
        </is>
      </c>
      <c r="E1159" t="inlineStr">
        <is>
          <t>Reusable Lunch Bags &amp; Boxes</t>
        </is>
      </c>
      <c r="F1159" t="inlineStr">
        <is>
          <t>Dickies</t>
        </is>
      </c>
      <c r="G1159" t="n">
        <v>0</v>
      </c>
      <c r="H1159" t="n">
        <v>0</v>
      </c>
      <c r="J1159" s="29" t="n">
        <v>0</v>
      </c>
      <c r="K1159" s="30" t="n"/>
      <c r="L1159" s="29" t="n">
        <v>0</v>
      </c>
      <c r="M1159" s="29" t="n">
        <v>0</v>
      </c>
      <c r="N1159" s="2" t="n">
        <v>0</v>
      </c>
      <c r="O1159" s="31" t="n">
        <v>0</v>
      </c>
      <c r="P1159" s="32" t="n"/>
      <c r="Q1159" s="32" t="n">
        <v>0</v>
      </c>
      <c r="R1159" s="32" t="n">
        <v>0</v>
      </c>
      <c r="S1159" s="31" t="n">
        <v>0</v>
      </c>
      <c r="T1159" s="32" t="n">
        <v>0</v>
      </c>
      <c r="U1159" s="31" t="n">
        <v>0</v>
      </c>
      <c r="V1159" s="31" t="n">
        <v>0</v>
      </c>
      <c r="W1159" s="3" t="n">
        <v>0</v>
      </c>
      <c r="X1159" s="3" t="n">
        <v>0</v>
      </c>
      <c r="Y1159" s="32" t="n">
        <v>0</v>
      </c>
      <c r="Z1159" s="3" t="n">
        <v>0</v>
      </c>
      <c r="AA1159" s="32" t="n">
        <v>0</v>
      </c>
      <c r="AB1159" s="3" t="n"/>
      <c r="AC1159" s="31" t="n">
        <v>0</v>
      </c>
      <c r="AD1159" s="2" t="n">
        <v>0</v>
      </c>
      <c r="AE1159" s="2" t="n">
        <v>0</v>
      </c>
      <c r="AF1159" s="4" t="n">
        <v>0</v>
      </c>
      <c r="AG1159" s="33" t="n">
        <v>0</v>
      </c>
      <c r="AH1159" s="4" t="n">
        <v>0</v>
      </c>
      <c r="AI1159" s="34" t="n"/>
      <c r="AJ1159" s="34" t="n">
        <v>0</v>
      </c>
      <c r="AK1159" s="2" t="n">
        <v>0</v>
      </c>
      <c r="AL1159" t="inlineStr">
        <is>
          <t>Published</t>
        </is>
      </c>
    </row>
    <row r="1160">
      <c r="A1160">
        <f>HYPERLINK("https://www.walmart.com/ip/15494818039", "15494818039")</f>
        <v/>
      </c>
      <c r="B1160">
        <f>HYPERLINK("https://app.optiwise.ai/catalog/itemdetails/20131087", "Dickies Tradesman Backpack, Water Resistant Casual Daypack for Travel Work School, Fits 15.6 Inch Notebook (Brown Duck)")</f>
        <v/>
      </c>
      <c r="C1160" t="inlineStr">
        <is>
          <t>DK-BACKPACK-15168-BROWNDUCK</t>
        </is>
      </c>
      <c r="D1160" t="inlineStr">
        <is>
          <t>Cases &amp; Bags</t>
        </is>
      </c>
      <c r="E1160" t="inlineStr">
        <is>
          <t>Backpacks</t>
        </is>
      </c>
      <c r="F1160" t="inlineStr">
        <is>
          <t>Dickies</t>
        </is>
      </c>
      <c r="G1160" t="n">
        <v>0</v>
      </c>
      <c r="H1160" t="n">
        <v>0</v>
      </c>
      <c r="J1160" s="29" t="n">
        <v>0</v>
      </c>
      <c r="K1160" s="30" t="n"/>
      <c r="L1160" s="29" t="n">
        <v>0</v>
      </c>
      <c r="M1160" s="29" t="n">
        <v>0</v>
      </c>
      <c r="N1160" s="2" t="n">
        <v>0</v>
      </c>
      <c r="O1160" s="31" t="n">
        <v>0</v>
      </c>
      <c r="P1160" s="32" t="n"/>
      <c r="Q1160" s="32" t="n">
        <v>0</v>
      </c>
      <c r="R1160" s="32" t="n">
        <v>0</v>
      </c>
      <c r="S1160" s="31" t="n">
        <v>0</v>
      </c>
      <c r="T1160" s="32" t="n">
        <v>0</v>
      </c>
      <c r="U1160" s="31" t="n">
        <v>0</v>
      </c>
      <c r="V1160" s="31" t="n">
        <v>0</v>
      </c>
      <c r="W1160" s="3" t="n">
        <v>0</v>
      </c>
      <c r="X1160" s="3" t="n">
        <v>0</v>
      </c>
      <c r="Y1160" s="32" t="n">
        <v>0</v>
      </c>
      <c r="Z1160" s="3" t="n">
        <v>0</v>
      </c>
      <c r="AA1160" s="32" t="n">
        <v>0</v>
      </c>
      <c r="AB1160" s="3" t="n"/>
      <c r="AC1160" s="31" t="n">
        <v>0</v>
      </c>
      <c r="AD1160" s="2" t="n">
        <v>0</v>
      </c>
      <c r="AE1160" s="2" t="n">
        <v>0</v>
      </c>
      <c r="AF1160" s="4" t="n">
        <v>0</v>
      </c>
      <c r="AG1160" s="33" t="n">
        <v>0</v>
      </c>
      <c r="AH1160" s="4" t="n">
        <v>0</v>
      </c>
      <c r="AI1160" s="34" t="n"/>
      <c r="AJ1160" s="34" t="n">
        <v>0</v>
      </c>
      <c r="AK1160" s="2" t="n">
        <v>0</v>
      </c>
      <c r="AL1160" t="inlineStr">
        <is>
          <t>Published</t>
        </is>
      </c>
    </row>
    <row r="1161">
      <c r="A1161">
        <f>HYPERLINK("https://www.walmart.com/ip/541337350", "541337350")</f>
        <v/>
      </c>
      <c r="B1161">
        <f>HYPERLINK("https://app.optiwise.ai/catalog/itemdetails/20192713", "Hang Ten Basic Insulated Lunch Bag for Work, Thermal Reusable Office Lunch Box for Men, Women (Palm Trees)")</f>
        <v/>
      </c>
      <c r="C1161" t="inlineStr">
        <is>
          <t>HT-LUNCH-BASICBOX-PALMTREES</t>
        </is>
      </c>
      <c r="D1161" t="inlineStr">
        <is>
          <t>Cases &amp; Bags</t>
        </is>
      </c>
      <c r="E1161" t="inlineStr">
        <is>
          <t>Reusable Lunch Bags &amp; Boxes</t>
        </is>
      </c>
      <c r="F1161" t="inlineStr">
        <is>
          <t>HANG TEN</t>
        </is>
      </c>
      <c r="G1161" t="n">
        <v>0</v>
      </c>
      <c r="H1161" t="n">
        <v>0</v>
      </c>
      <c r="J1161" s="29" t="n">
        <v>0</v>
      </c>
      <c r="K1161" s="30" t="n"/>
      <c r="L1161" s="29" t="n">
        <v>0</v>
      </c>
      <c r="M1161" s="29" t="n">
        <v>0</v>
      </c>
      <c r="N1161" s="2" t="n">
        <v>0</v>
      </c>
      <c r="O1161" s="31" t="n">
        <v>0</v>
      </c>
      <c r="P1161" s="32" t="n"/>
      <c r="Q1161" s="32" t="n">
        <v>0</v>
      </c>
      <c r="R1161" s="32" t="n">
        <v>0</v>
      </c>
      <c r="S1161" s="31" t="n">
        <v>0</v>
      </c>
      <c r="T1161" s="32" t="n">
        <v>0</v>
      </c>
      <c r="U1161" s="31" t="n">
        <v>0</v>
      </c>
      <c r="V1161" s="31" t="n">
        <v>0</v>
      </c>
      <c r="W1161" s="3" t="n">
        <v>0</v>
      </c>
      <c r="X1161" s="3" t="n">
        <v>0</v>
      </c>
      <c r="Y1161" s="32" t="n">
        <v>0</v>
      </c>
      <c r="Z1161" s="3" t="n">
        <v>0</v>
      </c>
      <c r="AA1161" s="32" t="n">
        <v>0</v>
      </c>
      <c r="AB1161" s="3" t="n"/>
      <c r="AC1161" s="31" t="n">
        <v>0</v>
      </c>
      <c r="AD1161" s="2" t="n">
        <v>0</v>
      </c>
      <c r="AE1161" s="2" t="n">
        <v>0</v>
      </c>
      <c r="AF1161" s="4" t="n">
        <v>0</v>
      </c>
      <c r="AG1161" s="33" t="n">
        <v>0</v>
      </c>
      <c r="AH1161" s="4" t="n">
        <v>0</v>
      </c>
      <c r="AI1161" s="34" t="n"/>
      <c r="AJ1161" s="34" t="n">
        <v>0</v>
      </c>
      <c r="AK1161" s="2" t="n">
        <v>0</v>
      </c>
      <c r="AL1161" t="inlineStr">
        <is>
          <t>Published</t>
        </is>
      </c>
    </row>
    <row r="1162">
      <c r="A1162">
        <f>HYPERLINK("https://www.walmart.com/ip/260411987", "260411987")</f>
        <v/>
      </c>
      <c r="B1162">
        <f>HYPERLINK("https://app.optiwise.ai/catalog/itemdetails/20192712", "Dickies Basic Insulated Lunch Bag for Work, Thermal Reusable Office Lunch Box for Men, Women (Purple)")</f>
        <v/>
      </c>
      <c r="C1162" t="inlineStr">
        <is>
          <t>DK-LUNCH-BASICBOX-BLOODSTONE</t>
        </is>
      </c>
      <c r="D1162" t="inlineStr">
        <is>
          <t>Home Decor, Kitchen, &amp; Other</t>
        </is>
      </c>
      <c r="E1162" t="inlineStr">
        <is>
          <t>Reusable Lunch Bags &amp; Boxes</t>
        </is>
      </c>
      <c r="F1162" t="inlineStr">
        <is>
          <t>Dickies</t>
        </is>
      </c>
      <c r="G1162" t="n">
        <v>0</v>
      </c>
      <c r="H1162" t="n">
        <v>0</v>
      </c>
      <c r="J1162" s="29" t="n">
        <v>0</v>
      </c>
      <c r="K1162" s="30" t="n"/>
      <c r="L1162" s="29" t="n">
        <v>0</v>
      </c>
      <c r="M1162" s="29" t="n">
        <v>0</v>
      </c>
      <c r="N1162" s="2" t="n">
        <v>0</v>
      </c>
      <c r="O1162" s="31" t="n">
        <v>0</v>
      </c>
      <c r="P1162" s="32" t="n"/>
      <c r="Q1162" s="32" t="n">
        <v>0</v>
      </c>
      <c r="R1162" s="32" t="n">
        <v>0</v>
      </c>
      <c r="S1162" s="31" t="n">
        <v>0</v>
      </c>
      <c r="T1162" s="32" t="n">
        <v>0</v>
      </c>
      <c r="U1162" s="31" t="n">
        <v>0</v>
      </c>
      <c r="V1162" s="31" t="n">
        <v>0</v>
      </c>
      <c r="W1162" s="3" t="n">
        <v>0</v>
      </c>
      <c r="X1162" s="3" t="n">
        <v>0</v>
      </c>
      <c r="Y1162" s="32" t="n">
        <v>0</v>
      </c>
      <c r="Z1162" s="3" t="n">
        <v>0</v>
      </c>
      <c r="AA1162" s="32" t="n">
        <v>0</v>
      </c>
      <c r="AB1162" s="3" t="n"/>
      <c r="AC1162" s="31" t="n">
        <v>0</v>
      </c>
      <c r="AD1162" s="2" t="n">
        <v>0</v>
      </c>
      <c r="AE1162" s="2" t="n">
        <v>0</v>
      </c>
      <c r="AF1162" s="4" t="n">
        <v>0</v>
      </c>
      <c r="AG1162" s="33" t="n">
        <v>0</v>
      </c>
      <c r="AH1162" s="4" t="n">
        <v>0</v>
      </c>
      <c r="AI1162" s="34" t="n"/>
      <c r="AJ1162" s="34" t="n">
        <v>0</v>
      </c>
      <c r="AK1162" s="2" t="n">
        <v>0</v>
      </c>
      <c r="AL1162" t="inlineStr">
        <is>
          <t>Published</t>
        </is>
      </c>
    </row>
    <row r="1163">
      <c r="A1163">
        <f>HYPERLINK("https://www.walmart.com/ip/15992106796", "15992106796")</f>
        <v/>
      </c>
      <c r="B1163">
        <f>HYPERLINK("https://app.optiwise.ai/catalog/itemdetails/20189555", "Wrangler Tradesman Backpack, Water Resistant Casual Daypack for Travel Work School")</f>
        <v/>
      </c>
      <c r="C1163" t="inlineStr">
        <is>
          <t>1WRBPK15919BK</t>
        </is>
      </c>
      <c r="D1163" t="inlineStr">
        <is>
          <t>Cases &amp; Bags</t>
        </is>
      </c>
      <c r="E1163" t="inlineStr">
        <is>
          <t>Backpacks</t>
        </is>
      </c>
      <c r="F1163" t="inlineStr">
        <is>
          <t>Wrangler</t>
        </is>
      </c>
      <c r="G1163" t="n">
        <v>0</v>
      </c>
      <c r="H1163" t="n">
        <v>0</v>
      </c>
      <c r="J1163" s="29" t="n">
        <v>0</v>
      </c>
      <c r="K1163" s="30" t="n"/>
      <c r="L1163" s="29" t="n">
        <v>0</v>
      </c>
      <c r="M1163" s="29" t="n">
        <v>0</v>
      </c>
      <c r="N1163" s="2" t="n">
        <v>0</v>
      </c>
      <c r="O1163" s="31" t="n">
        <v>0</v>
      </c>
      <c r="P1163" s="32" t="n"/>
      <c r="Q1163" s="32" t="n">
        <v>0</v>
      </c>
      <c r="R1163" s="32" t="n">
        <v>0</v>
      </c>
      <c r="S1163" s="31" t="n">
        <v>0</v>
      </c>
      <c r="T1163" s="32" t="n">
        <v>0</v>
      </c>
      <c r="U1163" s="31" t="n">
        <v>0</v>
      </c>
      <c r="V1163" s="31" t="n">
        <v>0</v>
      </c>
      <c r="W1163" s="3" t="n">
        <v>0</v>
      </c>
      <c r="X1163" s="3" t="n">
        <v>0</v>
      </c>
      <c r="Y1163" s="32" t="n">
        <v>0</v>
      </c>
      <c r="Z1163" s="3" t="n">
        <v>0</v>
      </c>
      <c r="AA1163" s="32" t="n">
        <v>0</v>
      </c>
      <c r="AB1163" s="3" t="n"/>
      <c r="AC1163" s="31" t="n">
        <v>0</v>
      </c>
      <c r="AD1163" s="2" t="n">
        <v>0</v>
      </c>
      <c r="AE1163" s="2" t="n">
        <v>0</v>
      </c>
      <c r="AF1163" s="4" t="n">
        <v>0</v>
      </c>
      <c r="AG1163" s="33" t="n">
        <v>0</v>
      </c>
      <c r="AH1163" s="4" t="n">
        <v>0</v>
      </c>
      <c r="AI1163" s="34" t="n"/>
      <c r="AJ1163" s="34" t="n">
        <v>0</v>
      </c>
      <c r="AK1163" s="2" t="n">
        <v>0</v>
      </c>
      <c r="AL1163" t="inlineStr">
        <is>
          <t>Published</t>
        </is>
      </c>
    </row>
    <row r="1164">
      <c r="A1164">
        <f>HYPERLINK("https://www.walmart.com/ip/15978952620", "15978952620")</f>
        <v/>
      </c>
      <c r="B1164">
        <f>HYPERLINK("https://app.optiwise.ai/catalog/itemdetails/20189554", "Wrangler Tradesman Backpack, Water Resistant Casual Daypack for Travel Work School")</f>
        <v/>
      </c>
      <c r="C1164" t="inlineStr">
        <is>
          <t>1WRBPK15919GN</t>
        </is>
      </c>
      <c r="D1164" t="inlineStr">
        <is>
          <t>Cases &amp; Bags</t>
        </is>
      </c>
      <c r="E1164" t="inlineStr">
        <is>
          <t>Backpacks</t>
        </is>
      </c>
      <c r="F1164" t="inlineStr">
        <is>
          <t>Wrangler</t>
        </is>
      </c>
      <c r="G1164" t="n">
        <v>0</v>
      </c>
      <c r="H1164" t="n">
        <v>0</v>
      </c>
      <c r="J1164" s="29" t="n">
        <v>0</v>
      </c>
      <c r="K1164" s="30" t="n"/>
      <c r="L1164" s="29" t="n">
        <v>0</v>
      </c>
      <c r="M1164" s="29" t="n">
        <v>0</v>
      </c>
      <c r="N1164" s="2" t="n">
        <v>0</v>
      </c>
      <c r="O1164" s="31" t="n">
        <v>0</v>
      </c>
      <c r="P1164" s="32" t="n"/>
      <c r="Q1164" s="32" t="n">
        <v>0</v>
      </c>
      <c r="R1164" s="32" t="n">
        <v>0</v>
      </c>
      <c r="S1164" s="31" t="n">
        <v>0</v>
      </c>
      <c r="T1164" s="32" t="n">
        <v>0</v>
      </c>
      <c r="U1164" s="31" t="n">
        <v>0</v>
      </c>
      <c r="V1164" s="31" t="n">
        <v>0</v>
      </c>
      <c r="W1164" s="3" t="n">
        <v>0</v>
      </c>
      <c r="X1164" s="3" t="n">
        <v>0</v>
      </c>
      <c r="Y1164" s="32" t="n">
        <v>0</v>
      </c>
      <c r="Z1164" s="3" t="n">
        <v>0</v>
      </c>
      <c r="AA1164" s="32" t="n">
        <v>0</v>
      </c>
      <c r="AB1164" s="3" t="n"/>
      <c r="AC1164" s="31" t="n">
        <v>0</v>
      </c>
      <c r="AD1164" s="2" t="n">
        <v>0</v>
      </c>
      <c r="AE1164" s="2" t="n">
        <v>0</v>
      </c>
      <c r="AF1164" s="4" t="n">
        <v>0</v>
      </c>
      <c r="AG1164" s="33" t="n">
        <v>0</v>
      </c>
      <c r="AH1164" s="4" t="n">
        <v>0</v>
      </c>
      <c r="AI1164" s="34" t="n"/>
      <c r="AJ1164" s="34" t="n">
        <v>0</v>
      </c>
      <c r="AK1164" s="2" t="n">
        <v>0</v>
      </c>
      <c r="AL1164" t="inlineStr">
        <is>
          <t>Published</t>
        </is>
      </c>
    </row>
    <row r="1165">
      <c r="A1165">
        <f>HYPERLINK("https://www.walmart.com/ip/15978813433", "15978813433")</f>
        <v/>
      </c>
      <c r="B1165">
        <f>HYPERLINK("https://app.optiwise.ai/catalog/itemdetails/20189553", "Wrangler Backpack for Men and Women, Water Resistant Casual Daypack for Travel, Work School")</f>
        <v/>
      </c>
      <c r="C1165" t="inlineStr">
        <is>
          <t>1WRBPK93932KK</t>
        </is>
      </c>
      <c r="D1165" t="inlineStr">
        <is>
          <t>Cases &amp; Bags</t>
        </is>
      </c>
      <c r="E1165" t="inlineStr">
        <is>
          <t>Backpacks</t>
        </is>
      </c>
      <c r="F1165" t="inlineStr">
        <is>
          <t>Wrangler</t>
        </is>
      </c>
      <c r="G1165" t="n">
        <v>0</v>
      </c>
      <c r="H1165" t="n">
        <v>0</v>
      </c>
      <c r="J1165" s="29" t="n">
        <v>0</v>
      </c>
      <c r="K1165" s="30" t="n"/>
      <c r="L1165" s="29" t="n">
        <v>0</v>
      </c>
      <c r="M1165" s="29" t="n">
        <v>0</v>
      </c>
      <c r="N1165" s="2" t="n">
        <v>0</v>
      </c>
      <c r="O1165" s="31" t="n">
        <v>0</v>
      </c>
      <c r="P1165" s="32" t="n"/>
      <c r="Q1165" s="32" t="n">
        <v>0</v>
      </c>
      <c r="R1165" s="32" t="n">
        <v>0</v>
      </c>
      <c r="S1165" s="31" t="n">
        <v>0</v>
      </c>
      <c r="T1165" s="32" t="n">
        <v>0</v>
      </c>
      <c r="U1165" s="31" t="n">
        <v>0</v>
      </c>
      <c r="V1165" s="31" t="n">
        <v>0</v>
      </c>
      <c r="W1165" s="3" t="n">
        <v>0</v>
      </c>
      <c r="X1165" s="3" t="n">
        <v>0</v>
      </c>
      <c r="Y1165" s="32" t="n">
        <v>0</v>
      </c>
      <c r="Z1165" s="3" t="n">
        <v>0</v>
      </c>
      <c r="AA1165" s="32" t="n">
        <v>0</v>
      </c>
      <c r="AB1165" s="3" t="n"/>
      <c r="AC1165" s="31" t="n">
        <v>0</v>
      </c>
      <c r="AD1165" s="2" t="n">
        <v>0</v>
      </c>
      <c r="AE1165" s="2" t="n">
        <v>0</v>
      </c>
      <c r="AF1165" s="4" t="n">
        <v>0</v>
      </c>
      <c r="AG1165" s="33" t="n">
        <v>0</v>
      </c>
      <c r="AH1165" s="4" t="n">
        <v>0</v>
      </c>
      <c r="AI1165" s="34" t="n"/>
      <c r="AJ1165" s="34" t="n">
        <v>0</v>
      </c>
      <c r="AK1165" s="2" t="n">
        <v>0</v>
      </c>
      <c r="AL1165" t="inlineStr">
        <is>
          <t>Published</t>
        </is>
      </c>
    </row>
    <row r="1166">
      <c r="A1166">
        <f>HYPERLINK("https://www.walmart.com/ip/15943151925", "15943151925")</f>
        <v/>
      </c>
      <c r="B1166">
        <f>HYPERLINK("https://app.optiwise.ai/catalog/itemdetails/20189552", "Wrangler Backpack for Men and Women, Water Resistant Casual Daypack for Travel, Work School")</f>
        <v/>
      </c>
      <c r="C1166" t="inlineStr">
        <is>
          <t>1WRBPK93932BK</t>
        </is>
      </c>
      <c r="D1166" t="inlineStr">
        <is>
          <t>Cases &amp; Bags</t>
        </is>
      </c>
      <c r="E1166" t="inlineStr">
        <is>
          <t>Backpacks</t>
        </is>
      </c>
      <c r="F1166" t="inlineStr">
        <is>
          <t>Wrangler</t>
        </is>
      </c>
      <c r="G1166" t="n">
        <v>0</v>
      </c>
      <c r="H1166" t="n">
        <v>0</v>
      </c>
      <c r="J1166" s="29" t="n">
        <v>0</v>
      </c>
      <c r="K1166" s="30" t="n"/>
      <c r="L1166" s="29" t="n">
        <v>0</v>
      </c>
      <c r="M1166" s="29" t="n">
        <v>0</v>
      </c>
      <c r="N1166" s="2" t="n">
        <v>0</v>
      </c>
      <c r="O1166" s="31" t="n">
        <v>0</v>
      </c>
      <c r="P1166" s="32" t="n"/>
      <c r="Q1166" s="32" t="n">
        <v>0</v>
      </c>
      <c r="R1166" s="32" t="n">
        <v>0</v>
      </c>
      <c r="S1166" s="31" t="n">
        <v>0</v>
      </c>
      <c r="T1166" s="32" t="n">
        <v>0</v>
      </c>
      <c r="U1166" s="31" t="n">
        <v>0</v>
      </c>
      <c r="V1166" s="31" t="n">
        <v>0</v>
      </c>
      <c r="W1166" s="3" t="n">
        <v>0</v>
      </c>
      <c r="X1166" s="3" t="n">
        <v>0</v>
      </c>
      <c r="Y1166" s="32" t="n">
        <v>0</v>
      </c>
      <c r="Z1166" s="3" t="n">
        <v>0</v>
      </c>
      <c r="AA1166" s="32" t="n">
        <v>0</v>
      </c>
      <c r="AB1166" s="3" t="n"/>
      <c r="AC1166" s="31" t="n">
        <v>0</v>
      </c>
      <c r="AD1166" s="2" t="n">
        <v>0</v>
      </c>
      <c r="AE1166" s="2" t="n">
        <v>0</v>
      </c>
      <c r="AF1166" s="4" t="n">
        <v>0</v>
      </c>
      <c r="AG1166" s="33" t="n">
        <v>0</v>
      </c>
      <c r="AH1166" s="4" t="n">
        <v>0</v>
      </c>
      <c r="AI1166" s="34" t="n"/>
      <c r="AJ1166" s="34" t="n">
        <v>0</v>
      </c>
      <c r="AK1166" s="2" t="n">
        <v>0</v>
      </c>
      <c r="AL1166" t="inlineStr">
        <is>
          <t>Published</t>
        </is>
      </c>
    </row>
    <row r="1167">
      <c r="A1167">
        <f>HYPERLINK("https://www.walmart.com/ip/15947921277", "15947921277")</f>
        <v/>
      </c>
      <c r="B1167">
        <f>HYPERLINK("https://app.optiwise.ai/catalog/itemdetails/20188117", "Wrangler Toiletry Bag for Men, Travel Shaving Dopp Kit, Oxford Fabric Tech Kit Bathroom Organizer, Gifts for Men")</f>
        <v/>
      </c>
      <c r="C1167" t="inlineStr">
        <is>
          <t>1WRTTB93954BK</t>
        </is>
      </c>
      <c r="D1167" t="inlineStr">
        <is>
          <t>Beauty, Personal Care, &amp; Hygiene</t>
        </is>
      </c>
      <c r="E1167" t="inlineStr">
        <is>
          <t>Toiletry Kits &amp; Bags</t>
        </is>
      </c>
      <c r="F1167" t="inlineStr">
        <is>
          <t>Wrangler</t>
        </is>
      </c>
      <c r="G1167" t="n">
        <v>0</v>
      </c>
      <c r="H1167" t="n">
        <v>0</v>
      </c>
      <c r="J1167" s="29" t="n">
        <v>0</v>
      </c>
      <c r="K1167" s="30" t="n"/>
      <c r="L1167" s="29" t="n">
        <v>0</v>
      </c>
      <c r="M1167" s="29" t="n">
        <v>0</v>
      </c>
      <c r="N1167" s="2" t="n">
        <v>0</v>
      </c>
      <c r="O1167" s="31" t="n">
        <v>0</v>
      </c>
      <c r="P1167" s="32" t="n"/>
      <c r="Q1167" s="32" t="n">
        <v>0</v>
      </c>
      <c r="R1167" s="32" t="n">
        <v>0</v>
      </c>
      <c r="S1167" s="31" t="n">
        <v>0</v>
      </c>
      <c r="T1167" s="32" t="n">
        <v>0</v>
      </c>
      <c r="U1167" s="31" t="n">
        <v>0</v>
      </c>
      <c r="V1167" s="31" t="n">
        <v>0</v>
      </c>
      <c r="W1167" s="3" t="n">
        <v>0</v>
      </c>
      <c r="X1167" s="3" t="n">
        <v>0</v>
      </c>
      <c r="Y1167" s="32" t="n">
        <v>0</v>
      </c>
      <c r="Z1167" s="3" t="n">
        <v>0</v>
      </c>
      <c r="AA1167" s="32" t="n">
        <v>0</v>
      </c>
      <c r="AB1167" s="3" t="n"/>
      <c r="AC1167" s="31" t="n">
        <v>0</v>
      </c>
      <c r="AD1167" s="2" t="n">
        <v>0</v>
      </c>
      <c r="AE1167" s="2" t="n">
        <v>0</v>
      </c>
      <c r="AF1167" s="4" t="n">
        <v>0</v>
      </c>
      <c r="AG1167" s="33" t="n">
        <v>0</v>
      </c>
      <c r="AH1167" s="4" t="n">
        <v>0</v>
      </c>
      <c r="AI1167" s="34" t="n"/>
      <c r="AJ1167" s="34" t="n">
        <v>0</v>
      </c>
      <c r="AK1167" s="2" t="n">
        <v>0</v>
      </c>
      <c r="AL1167" t="inlineStr">
        <is>
          <t>Published</t>
        </is>
      </c>
    </row>
    <row r="1168">
      <c r="A1168">
        <f>HYPERLINK("https://www.walmart.com/ip/5186372072", "5186372072")</f>
        <v/>
      </c>
      <c r="B1168">
        <f>HYPERLINK("https://app.optiwise.ai/catalog/itemdetails/20188116", "Lee Toiletry Bag for Men, PU Leather Travel Dopp Kit, Water-Resistant Men's Shaving Kit Bathroom Organizer, Gifts for Men")</f>
        <v/>
      </c>
      <c r="C1168" t="inlineStr">
        <is>
          <t>1LETTB14182BK</t>
        </is>
      </c>
      <c r="D1168" t="inlineStr">
        <is>
          <t>Beauty, Personal Care, &amp; Hygiene</t>
        </is>
      </c>
      <c r="E1168" t="inlineStr">
        <is>
          <t>Toiletry Kits &amp; Bags</t>
        </is>
      </c>
      <c r="F1168" t="inlineStr">
        <is>
          <t>Lee</t>
        </is>
      </c>
      <c r="G1168" t="n">
        <v>0</v>
      </c>
      <c r="H1168" t="n">
        <v>0</v>
      </c>
      <c r="J1168" s="29" t="n">
        <v>0</v>
      </c>
      <c r="K1168" s="30" t="n"/>
      <c r="L1168" s="29" t="n">
        <v>0</v>
      </c>
      <c r="M1168" s="29" t="n">
        <v>0</v>
      </c>
      <c r="N1168" s="2" t="n">
        <v>0</v>
      </c>
      <c r="O1168" s="31" t="n">
        <v>0</v>
      </c>
      <c r="P1168" s="32" t="n"/>
      <c r="Q1168" s="32" t="n">
        <v>0</v>
      </c>
      <c r="R1168" s="32" t="n">
        <v>0</v>
      </c>
      <c r="S1168" s="31" t="n">
        <v>0</v>
      </c>
      <c r="T1168" s="32" t="n">
        <v>0</v>
      </c>
      <c r="U1168" s="31" t="n">
        <v>0</v>
      </c>
      <c r="V1168" s="31" t="n">
        <v>0</v>
      </c>
      <c r="W1168" s="3" t="n">
        <v>0</v>
      </c>
      <c r="X1168" s="3" t="n">
        <v>0</v>
      </c>
      <c r="Y1168" s="32" t="n">
        <v>0</v>
      </c>
      <c r="Z1168" s="3" t="n">
        <v>0</v>
      </c>
      <c r="AA1168" s="32" t="n">
        <v>0</v>
      </c>
      <c r="AB1168" s="3" t="n"/>
      <c r="AC1168" s="31" t="n">
        <v>0</v>
      </c>
      <c r="AD1168" s="2" t="n">
        <v>0</v>
      </c>
      <c r="AE1168" s="2" t="n">
        <v>0</v>
      </c>
      <c r="AF1168" s="4" t="n">
        <v>0</v>
      </c>
      <c r="AG1168" s="33" t="n">
        <v>0</v>
      </c>
      <c r="AH1168" s="4" t="n">
        <v>0</v>
      </c>
      <c r="AI1168" s="34" t="n"/>
      <c r="AJ1168" s="34" t="n">
        <v>0</v>
      </c>
      <c r="AK1168" s="2" t="n">
        <v>0</v>
      </c>
      <c r="AL1168" t="inlineStr">
        <is>
          <t>Published</t>
        </is>
      </c>
    </row>
    <row r="1169">
      <c r="A1169">
        <f>HYPERLINK("https://www.walmart.com/ip/5149641168", "5149641168")</f>
        <v/>
      </c>
      <c r="B1169">
        <f>HYPERLINK("https://app.optiwise.ai/catalog/itemdetails/20188115", "Lee Toiletry Bag for Men, PU Leather Travel Dopp Kit, Water-Resistant Men's Shaving Kit Bathroom Organizer, Gifts for Men")</f>
        <v/>
      </c>
      <c r="C1169" t="inlineStr">
        <is>
          <t>1LETTB14182BR</t>
        </is>
      </c>
      <c r="D1169" t="inlineStr">
        <is>
          <t>Beauty, Personal Care, &amp; Hygiene</t>
        </is>
      </c>
      <c r="E1169" t="inlineStr">
        <is>
          <t>Toiletry Kits &amp; Bags</t>
        </is>
      </c>
      <c r="F1169" t="inlineStr">
        <is>
          <t>Lee</t>
        </is>
      </c>
      <c r="G1169" t="n">
        <v>0</v>
      </c>
      <c r="H1169" t="n">
        <v>0</v>
      </c>
      <c r="J1169" s="29" t="n">
        <v>0</v>
      </c>
      <c r="K1169" s="30" t="n"/>
      <c r="L1169" s="29" t="n">
        <v>0</v>
      </c>
      <c r="M1169" s="29" t="n">
        <v>0</v>
      </c>
      <c r="N1169" s="2" t="n">
        <v>0</v>
      </c>
      <c r="O1169" s="31" t="n">
        <v>0</v>
      </c>
      <c r="P1169" s="32" t="n"/>
      <c r="Q1169" s="32" t="n">
        <v>0</v>
      </c>
      <c r="R1169" s="32" t="n">
        <v>0</v>
      </c>
      <c r="S1169" s="31" t="n">
        <v>0</v>
      </c>
      <c r="T1169" s="32" t="n">
        <v>0</v>
      </c>
      <c r="U1169" s="31" t="n">
        <v>0</v>
      </c>
      <c r="V1169" s="31" t="n">
        <v>0</v>
      </c>
      <c r="W1169" s="3" t="n">
        <v>0</v>
      </c>
      <c r="X1169" s="3" t="n">
        <v>0</v>
      </c>
      <c r="Y1169" s="32" t="n">
        <v>0</v>
      </c>
      <c r="Z1169" s="3" t="n">
        <v>0</v>
      </c>
      <c r="AA1169" s="32" t="n">
        <v>0</v>
      </c>
      <c r="AB1169" s="3" t="n"/>
      <c r="AC1169" s="31" t="n">
        <v>0</v>
      </c>
      <c r="AD1169" s="2" t="n">
        <v>0</v>
      </c>
      <c r="AE1169" s="2" t="n">
        <v>0</v>
      </c>
      <c r="AF1169" s="4" t="n">
        <v>0</v>
      </c>
      <c r="AG1169" s="33" t="n">
        <v>0</v>
      </c>
      <c r="AH1169" s="4" t="n">
        <v>0</v>
      </c>
      <c r="AI1169" s="34" t="n"/>
      <c r="AJ1169" s="34" t="n">
        <v>0</v>
      </c>
      <c r="AK1169" s="2" t="n">
        <v>0</v>
      </c>
      <c r="AL1169" t="inlineStr">
        <is>
          <t>Published</t>
        </is>
      </c>
    </row>
    <row r="1170">
      <c r="A1170">
        <f>HYPERLINK("https://www.walmart.com/ip/15538203735", "15538203735")</f>
        <v/>
      </c>
      <c r="B1170">
        <f>HYPERLINK("https://app.optiwise.ai/catalog/itemdetails/20134789", "Tirrinia Wine Gift Bags with Hidden Dispenser, Insulated Large Wine Bag Set with Wine Bladder, Perfect Wine Bags for Gifts for Byob, Movie Theater, Concert, Sports Events, Pool &amp; Beach, Black")</f>
        <v/>
      </c>
      <c r="C1170" t="inlineStr">
        <is>
          <t>1TRWT100BLSTR</t>
        </is>
      </c>
      <c r="D1170" t="inlineStr">
        <is>
          <t>Home Decor, Kitchen, &amp; Other</t>
        </is>
      </c>
      <c r="E1170" t="inlineStr">
        <is>
          <t>Wine Totes, Bags &amp; Backpacks</t>
        </is>
      </c>
      <c r="F1170" t="inlineStr">
        <is>
          <t>Tirrinia</t>
        </is>
      </c>
      <c r="G1170" t="n">
        <v>0</v>
      </c>
      <c r="H1170" t="n">
        <v>0</v>
      </c>
      <c r="J1170" s="29" t="n">
        <v>0</v>
      </c>
      <c r="K1170" s="30" t="n"/>
      <c r="L1170" s="29" t="n">
        <v>0</v>
      </c>
      <c r="M1170" s="29" t="n">
        <v>0</v>
      </c>
      <c r="N1170" s="2" t="n">
        <v>0</v>
      </c>
      <c r="O1170" s="31" t="n">
        <v>0</v>
      </c>
      <c r="P1170" s="32" t="n"/>
      <c r="Q1170" s="32" t="n">
        <v>0</v>
      </c>
      <c r="R1170" s="32" t="n">
        <v>0</v>
      </c>
      <c r="S1170" s="31" t="n">
        <v>0</v>
      </c>
      <c r="T1170" s="32" t="n">
        <v>0</v>
      </c>
      <c r="U1170" s="31" t="n">
        <v>0</v>
      </c>
      <c r="V1170" s="31" t="n">
        <v>0</v>
      </c>
      <c r="W1170" s="3" t="n">
        <v>0</v>
      </c>
      <c r="X1170" s="3" t="n">
        <v>0</v>
      </c>
      <c r="Y1170" s="32" t="n">
        <v>0</v>
      </c>
      <c r="Z1170" s="3" t="n">
        <v>0</v>
      </c>
      <c r="AA1170" s="32" t="n">
        <v>0</v>
      </c>
      <c r="AB1170" s="3" t="n"/>
      <c r="AC1170" s="31" t="n">
        <v>0</v>
      </c>
      <c r="AD1170" s="2" t="n">
        <v>0</v>
      </c>
      <c r="AE1170" s="2" t="n">
        <v>0</v>
      </c>
      <c r="AF1170" s="4" t="n">
        <v>0</v>
      </c>
      <c r="AG1170" s="33" t="n">
        <v>0</v>
      </c>
      <c r="AH1170" s="4" t="n">
        <v>0</v>
      </c>
      <c r="AI1170" s="34" t="n"/>
      <c r="AJ1170" s="34" t="n">
        <v>0</v>
      </c>
      <c r="AK1170" s="2" t="n">
        <v>0</v>
      </c>
      <c r="AL1170" t="inlineStr">
        <is>
          <t>Published</t>
        </is>
      </c>
    </row>
    <row r="1171">
      <c r="A1171">
        <f>HYPERLINK("https://www.walmart.com/ip/15534620848", "15534620848")</f>
        <v/>
      </c>
      <c r="B1171">
        <f>HYPERLINK("https://app.optiwise.ai/catalog/itemdetails/20134788", "Tirrinia Waterproof Outdoor Blanket with Sherpa Lining, Windproof Triple Layers Warm Comfy Foldable for Camping Stadium, Sports, Picnic, Grass, Concerts, Pet, 51''X 59''- Machine Washable")</f>
        <v/>
      </c>
      <c r="C1171" t="inlineStr">
        <is>
          <t>1TRBW506CAMOOR</t>
        </is>
      </c>
      <c r="D1171" t="inlineStr">
        <is>
          <t>Sport &amp; Recreation Other</t>
        </is>
      </c>
      <c r="E1171" t="inlineStr">
        <is>
          <t>Picnic Blankets &amp; Mats</t>
        </is>
      </c>
      <c r="F1171" t="inlineStr">
        <is>
          <t>Tirrinia</t>
        </is>
      </c>
      <c r="G1171" t="n">
        <v>0</v>
      </c>
      <c r="H1171" t="n">
        <v>0</v>
      </c>
      <c r="J1171" s="29" t="n">
        <v>0</v>
      </c>
      <c r="K1171" s="30" t="n"/>
      <c r="L1171" s="29" t="n">
        <v>0</v>
      </c>
      <c r="M1171" s="29" t="n">
        <v>0</v>
      </c>
      <c r="N1171" s="2" t="n">
        <v>0</v>
      </c>
      <c r="O1171" s="31" t="n">
        <v>0</v>
      </c>
      <c r="P1171" s="32" t="n"/>
      <c r="Q1171" s="32" t="n">
        <v>0</v>
      </c>
      <c r="R1171" s="32" t="n">
        <v>0</v>
      </c>
      <c r="S1171" s="31" t="n">
        <v>0</v>
      </c>
      <c r="T1171" s="32" t="n">
        <v>0</v>
      </c>
      <c r="U1171" s="31" t="n">
        <v>0</v>
      </c>
      <c r="V1171" s="31" t="n">
        <v>0</v>
      </c>
      <c r="W1171" s="3" t="n">
        <v>0</v>
      </c>
      <c r="X1171" s="3" t="n">
        <v>0</v>
      </c>
      <c r="Y1171" s="32" t="n">
        <v>0</v>
      </c>
      <c r="Z1171" s="3" t="n">
        <v>0</v>
      </c>
      <c r="AA1171" s="32" t="n">
        <v>0</v>
      </c>
      <c r="AB1171" s="3" t="n"/>
      <c r="AC1171" s="31" t="n">
        <v>0</v>
      </c>
      <c r="AD1171" s="2" t="n">
        <v>0</v>
      </c>
      <c r="AE1171" s="2" t="n">
        <v>0</v>
      </c>
      <c r="AF1171" s="4" t="n">
        <v>0</v>
      </c>
      <c r="AG1171" s="33" t="n">
        <v>0</v>
      </c>
      <c r="AH1171" s="4" t="n">
        <v>0</v>
      </c>
      <c r="AI1171" s="34" t="n"/>
      <c r="AJ1171" s="34" t="n">
        <v>0</v>
      </c>
      <c r="AK1171" s="2" t="n">
        <v>0</v>
      </c>
      <c r="AL1171" t="inlineStr">
        <is>
          <t>Published</t>
        </is>
      </c>
    </row>
    <row r="1172">
      <c r="A1172">
        <f>HYPERLINK("https://www.walmart.com/ip/16030207219", "16030207219")</f>
        <v/>
      </c>
      <c r="B1172">
        <f>HYPERLINK("https://app.optiwise.ai/catalog/itemdetails/20192727", "Dickies Insulated Lunch Bag Satchel for Girls School and Work, Thermal Reusable Office Lunch Box for Women (Charcoal)")</f>
        <v/>
      </c>
      <c r="C1172" t="inlineStr">
        <is>
          <t>DK-LUNCH-SATCHEL-GREYCAMO</t>
        </is>
      </c>
      <c r="D1172" t="inlineStr">
        <is>
          <t>Home Decor, Kitchen, &amp; Other</t>
        </is>
      </c>
      <c r="E1172" t="inlineStr">
        <is>
          <t>Reusable Lunch Bags &amp; Boxes</t>
        </is>
      </c>
      <c r="F1172" t="inlineStr">
        <is>
          <t>Dickies</t>
        </is>
      </c>
      <c r="G1172" t="n">
        <v>0</v>
      </c>
      <c r="H1172" t="n">
        <v>0</v>
      </c>
      <c r="J1172" s="29" t="n">
        <v>0</v>
      </c>
      <c r="K1172" s="30" t="n"/>
      <c r="L1172" s="29" t="n">
        <v>0</v>
      </c>
      <c r="M1172" s="29" t="n">
        <v>0</v>
      </c>
      <c r="N1172" s="2" t="n">
        <v>0</v>
      </c>
      <c r="O1172" s="31" t="n">
        <v>0</v>
      </c>
      <c r="P1172" s="32" t="n"/>
      <c r="Q1172" s="32" t="n">
        <v>0</v>
      </c>
      <c r="R1172" s="32" t="n">
        <v>0</v>
      </c>
      <c r="S1172" s="31" t="n">
        <v>0</v>
      </c>
      <c r="T1172" s="32" t="n">
        <v>0</v>
      </c>
      <c r="U1172" s="31" t="n">
        <v>0</v>
      </c>
      <c r="V1172" s="31" t="n">
        <v>0</v>
      </c>
      <c r="W1172" s="3" t="n">
        <v>0</v>
      </c>
      <c r="X1172" s="3" t="n">
        <v>0</v>
      </c>
      <c r="Y1172" s="32" t="n">
        <v>0</v>
      </c>
      <c r="Z1172" s="3" t="n">
        <v>0</v>
      </c>
      <c r="AA1172" s="32" t="n">
        <v>0</v>
      </c>
      <c r="AB1172" s="3" t="n"/>
      <c r="AC1172" s="31" t="n">
        <v>0</v>
      </c>
      <c r="AD1172" s="2" t="n">
        <v>0</v>
      </c>
      <c r="AE1172" s="2" t="n">
        <v>0</v>
      </c>
      <c r="AF1172" s="4" t="n">
        <v>0</v>
      </c>
      <c r="AG1172" s="33" t="n">
        <v>0</v>
      </c>
      <c r="AH1172" s="4" t="n">
        <v>0</v>
      </c>
      <c r="AI1172" s="34" t="n"/>
      <c r="AJ1172" s="34" t="n">
        <v>0</v>
      </c>
      <c r="AK1172" s="2" t="n">
        <v>0</v>
      </c>
      <c r="AL1172" t="inlineStr">
        <is>
          <t>Published</t>
        </is>
      </c>
    </row>
    <row r="1173">
      <c r="A1173">
        <f>HYPERLINK("https://www.walmart.com/ip/16241574829", "16241574829")</f>
        <v/>
      </c>
      <c r="B1173">
        <f>HYPERLINK("https://app.optiwise.ai/catalog/itemdetails/20215237", "Tirrinia 2 In 1 Outdoors UPF 50+ UV Protection Sun Hat for Women, One Size Female Sports Baseball Cap Gardening Fishing Hat with Neck Flap, Orange")</f>
        <v/>
      </c>
      <c r="C1173" t="inlineStr">
        <is>
          <t>1TRSH9153OR</t>
        </is>
      </c>
      <c r="D1173" t="inlineStr">
        <is>
          <t>Clothing</t>
        </is>
      </c>
      <c r="E1173" t="inlineStr">
        <is>
          <t>Hats</t>
        </is>
      </c>
      <c r="F1173" t="inlineStr">
        <is>
          <t>Tirrinia</t>
        </is>
      </c>
      <c r="G1173" t="n">
        <v>0</v>
      </c>
      <c r="H1173" t="n">
        <v>0</v>
      </c>
      <c r="J1173" s="29" t="n">
        <v>0</v>
      </c>
      <c r="K1173" s="30" t="n"/>
      <c r="L1173" s="29" t="n">
        <v>0</v>
      </c>
      <c r="M1173" s="29" t="n">
        <v>0</v>
      </c>
      <c r="N1173" s="2" t="n">
        <v>0</v>
      </c>
      <c r="O1173" s="31" t="n">
        <v>0</v>
      </c>
      <c r="P1173" s="32" t="n"/>
      <c r="Q1173" s="32" t="n">
        <v>0</v>
      </c>
      <c r="R1173" s="32" t="n">
        <v>0</v>
      </c>
      <c r="S1173" s="31" t="n">
        <v>0</v>
      </c>
      <c r="T1173" s="32" t="n">
        <v>0</v>
      </c>
      <c r="U1173" s="31" t="n">
        <v>0</v>
      </c>
      <c r="V1173" s="31" t="n">
        <v>0</v>
      </c>
      <c r="W1173" s="3" t="n">
        <v>0</v>
      </c>
      <c r="X1173" s="3" t="n">
        <v>0</v>
      </c>
      <c r="Y1173" s="32" t="n">
        <v>0</v>
      </c>
      <c r="Z1173" s="3" t="n">
        <v>0</v>
      </c>
      <c r="AA1173" s="32" t="n">
        <v>0</v>
      </c>
      <c r="AB1173" s="3" t="n"/>
      <c r="AC1173" s="31" t="n">
        <v>0</v>
      </c>
      <c r="AD1173" s="2" t="n">
        <v>0</v>
      </c>
      <c r="AE1173" s="2" t="n">
        <v>0</v>
      </c>
      <c r="AF1173" s="4" t="n">
        <v>0</v>
      </c>
      <c r="AG1173" s="33" t="n">
        <v>0</v>
      </c>
      <c r="AH1173" s="4" t="n">
        <v>0</v>
      </c>
      <c r="AI1173" s="34" t="n"/>
      <c r="AJ1173" s="34" t="n">
        <v>0</v>
      </c>
      <c r="AK1173" s="2" t="n">
        <v>0</v>
      </c>
      <c r="AL1173" t="inlineStr">
        <is>
          <t>Published</t>
        </is>
      </c>
    </row>
    <row r="1174">
      <c r="A1174">
        <f>HYPERLINK("https://www.walmart.com/ip/16241624282", "16241624282")</f>
        <v/>
      </c>
      <c r="B1174">
        <f>HYPERLINK("https://app.optiwise.ai/catalog/itemdetails/20215238", "Tirrinia 2 In 1 Outdoors UPF 50+ UV Protection Sun Hat for Women, One Size Female Sports Baseball Cap Gardening Fishing Hat with Neck Flap, Blue")</f>
        <v/>
      </c>
      <c r="C1174" t="inlineStr">
        <is>
          <t>1TRSH9153BL</t>
        </is>
      </c>
      <c r="D1174" t="inlineStr">
        <is>
          <t>Clothing</t>
        </is>
      </c>
      <c r="E1174" t="inlineStr">
        <is>
          <t>Hats</t>
        </is>
      </c>
      <c r="F1174" t="inlineStr">
        <is>
          <t>Tirrinia</t>
        </is>
      </c>
      <c r="G1174" t="n">
        <v>0</v>
      </c>
      <c r="H1174" t="n">
        <v>0</v>
      </c>
      <c r="J1174" s="29" t="n">
        <v>0</v>
      </c>
      <c r="K1174" s="30" t="n"/>
      <c r="L1174" s="29" t="n">
        <v>0</v>
      </c>
      <c r="M1174" s="29" t="n">
        <v>0</v>
      </c>
      <c r="N1174" s="2" t="n">
        <v>0</v>
      </c>
      <c r="O1174" s="31" t="n">
        <v>0</v>
      </c>
      <c r="P1174" s="32" t="n"/>
      <c r="Q1174" s="32" t="n">
        <v>0</v>
      </c>
      <c r="R1174" s="32" t="n">
        <v>0</v>
      </c>
      <c r="S1174" s="31" t="n">
        <v>0</v>
      </c>
      <c r="T1174" s="32" t="n">
        <v>0</v>
      </c>
      <c r="U1174" s="31" t="n">
        <v>0</v>
      </c>
      <c r="V1174" s="31" t="n">
        <v>0</v>
      </c>
      <c r="W1174" s="3" t="n">
        <v>0</v>
      </c>
      <c r="X1174" s="3" t="n">
        <v>0</v>
      </c>
      <c r="Y1174" s="32" t="n">
        <v>0</v>
      </c>
      <c r="Z1174" s="3" t="n">
        <v>0</v>
      </c>
      <c r="AA1174" s="32" t="n">
        <v>0</v>
      </c>
      <c r="AB1174" s="3" t="n"/>
      <c r="AC1174" s="31" t="n">
        <v>0</v>
      </c>
      <c r="AD1174" s="2" t="n">
        <v>0</v>
      </c>
      <c r="AE1174" s="2" t="n">
        <v>0</v>
      </c>
      <c r="AF1174" s="4" t="n">
        <v>0</v>
      </c>
      <c r="AG1174" s="33" t="n">
        <v>0</v>
      </c>
      <c r="AH1174" s="4" t="n">
        <v>0</v>
      </c>
      <c r="AI1174" s="34" t="n"/>
      <c r="AJ1174" s="34" t="n">
        <v>0</v>
      </c>
      <c r="AK1174" s="2" t="n">
        <v>0</v>
      </c>
      <c r="AL1174" t="inlineStr">
        <is>
          <t>Published</t>
        </is>
      </c>
    </row>
    <row r="1175">
      <c r="A1175">
        <f>HYPERLINK("https://www.walmart.com/ip/16286824662", "16286824662")</f>
        <v/>
      </c>
      <c r="B1175">
        <f>HYPERLINK("https://app.optiwise.ai/catalog/itemdetails/20220938", "Tirrinia Fleec Wearable Travel Blanket with Foot Pockets for Women &amp; Men | Zippered Front Pocket | Super Soft Lightweight &amp; Cozy Throw Blanket for Adults, One Size Fits All, Aqua Honeycomb")</f>
        <v/>
      </c>
      <c r="C1175" t="inlineStr">
        <is>
          <t>1TRTB102AQHCB</t>
        </is>
      </c>
      <c r="D1175" t="inlineStr">
        <is>
          <t>Bedding</t>
        </is>
      </c>
      <c r="E1175" t="inlineStr">
        <is>
          <t>Throws</t>
        </is>
      </c>
      <c r="F1175" t="inlineStr">
        <is>
          <t>Tirrinia</t>
        </is>
      </c>
      <c r="G1175" t="n">
        <v>0</v>
      </c>
      <c r="H1175" t="n">
        <v>0</v>
      </c>
      <c r="J1175" s="29" t="n">
        <v>0</v>
      </c>
      <c r="K1175" s="30" t="n"/>
      <c r="L1175" s="29" t="n">
        <v>0</v>
      </c>
      <c r="M1175" s="29" t="n">
        <v>0</v>
      </c>
      <c r="N1175" s="2" t="n">
        <v>0</v>
      </c>
      <c r="O1175" s="31" t="n">
        <v>0</v>
      </c>
      <c r="P1175" s="32" t="n"/>
      <c r="Q1175" s="32" t="n">
        <v>0</v>
      </c>
      <c r="R1175" s="32" t="n">
        <v>0</v>
      </c>
      <c r="S1175" s="31" t="n">
        <v>0</v>
      </c>
      <c r="T1175" s="32" t="n">
        <v>0</v>
      </c>
      <c r="U1175" s="31" t="n">
        <v>0</v>
      </c>
      <c r="V1175" s="31" t="n">
        <v>0</v>
      </c>
      <c r="W1175" s="3" t="n">
        <v>0</v>
      </c>
      <c r="X1175" s="3" t="n">
        <v>0</v>
      </c>
      <c r="Y1175" s="32" t="n">
        <v>0</v>
      </c>
      <c r="Z1175" s="3" t="n">
        <v>0</v>
      </c>
      <c r="AA1175" s="32" t="n">
        <v>0</v>
      </c>
      <c r="AB1175" s="3" t="n"/>
      <c r="AC1175" s="31" t="n">
        <v>0</v>
      </c>
      <c r="AD1175" s="2" t="n">
        <v>0</v>
      </c>
      <c r="AE1175" s="2" t="n">
        <v>0</v>
      </c>
      <c r="AF1175" s="4" t="n">
        <v>0</v>
      </c>
      <c r="AG1175" s="33" t="n">
        <v>0</v>
      </c>
      <c r="AH1175" s="4" t="n">
        <v>0</v>
      </c>
      <c r="AI1175" s="34" t="n"/>
      <c r="AJ1175" s="34" t="n">
        <v>0</v>
      </c>
      <c r="AK1175" s="2" t="n">
        <v>0</v>
      </c>
      <c r="AL1175" t="inlineStr">
        <is>
          <t>Published</t>
        </is>
      </c>
    </row>
    <row r="1176">
      <c r="A1176">
        <f>HYPERLINK("https://www.walmart.com/ip/16401165328", "16401165328")</f>
        <v/>
      </c>
      <c r="B1176">
        <f>HYPERLINK("https://app.optiwise.ai/catalog/itemdetails/20226559", "Catalonia Lightweight Ladies Bathrobe, Long Summer Robe with Pockets,Soft Summer Robes for Women, Kimono Gift for Her, Blue")</f>
        <v/>
      </c>
      <c r="C1176" t="inlineStr">
        <is>
          <t>1CTRB504BL-2</t>
        </is>
      </c>
      <c r="D1176" t="inlineStr">
        <is>
          <t>Clothing</t>
        </is>
      </c>
      <c r="E1176" t="inlineStr">
        <is>
          <t>Sleepwear Robes &amp; Bathrobes</t>
        </is>
      </c>
      <c r="F1176" t="inlineStr">
        <is>
          <t>Catalonia</t>
        </is>
      </c>
      <c r="G1176" t="n">
        <v>0</v>
      </c>
      <c r="H1176" t="n">
        <v>0</v>
      </c>
      <c r="J1176" s="29" t="n">
        <v>0</v>
      </c>
      <c r="K1176" s="30" t="n"/>
      <c r="L1176" s="29" t="n">
        <v>0</v>
      </c>
      <c r="M1176" s="29" t="n">
        <v>0</v>
      </c>
      <c r="N1176" s="2" t="n">
        <v>0</v>
      </c>
      <c r="O1176" s="31" t="n">
        <v>0</v>
      </c>
      <c r="P1176" s="32" t="n"/>
      <c r="Q1176" s="32" t="n">
        <v>0</v>
      </c>
      <c r="R1176" s="32" t="n">
        <v>0</v>
      </c>
      <c r="S1176" s="31" t="n">
        <v>0</v>
      </c>
      <c r="T1176" s="32" t="n">
        <v>0</v>
      </c>
      <c r="U1176" s="31" t="n">
        <v>0</v>
      </c>
      <c r="V1176" s="31" t="n">
        <v>0</v>
      </c>
      <c r="W1176" s="3" t="n">
        <v>0</v>
      </c>
      <c r="X1176" s="3" t="n">
        <v>0</v>
      </c>
      <c r="Y1176" s="32" t="n">
        <v>0</v>
      </c>
      <c r="Z1176" s="3" t="n">
        <v>0</v>
      </c>
      <c r="AA1176" s="32" t="n">
        <v>0</v>
      </c>
      <c r="AB1176" s="3" t="n"/>
      <c r="AC1176" s="31" t="n">
        <v>0</v>
      </c>
      <c r="AD1176" s="2" t="n">
        <v>0</v>
      </c>
      <c r="AE1176" s="2" t="n">
        <v>0</v>
      </c>
      <c r="AF1176" s="4" t="n">
        <v>0</v>
      </c>
      <c r="AG1176" s="33" t="n">
        <v>0</v>
      </c>
      <c r="AH1176" s="4" t="n">
        <v>0</v>
      </c>
      <c r="AI1176" s="34" t="n"/>
      <c r="AJ1176" s="34" t="n">
        <v>0</v>
      </c>
      <c r="AK1176" s="2" t="n">
        <v>0</v>
      </c>
      <c r="AL1176" t="inlineStr">
        <is>
          <t>Published</t>
        </is>
      </c>
    </row>
    <row r="1177">
      <c r="A1177">
        <f>HYPERLINK("https://www.walmart.com/ip/16401165327", "16401165327")</f>
        <v/>
      </c>
      <c r="B1177">
        <f>HYPERLINK("https://app.optiwise.ai/catalog/itemdetails/20226558", "Catalonia Lightweight Ladies Bathrobe, Long Summer Robe with Pockets,Soft Summer Robes for Women, Kimono Gift for Her, White")</f>
        <v/>
      </c>
      <c r="C1177" t="inlineStr">
        <is>
          <t>1CTRB504WT-3</t>
        </is>
      </c>
      <c r="D1177" t="inlineStr">
        <is>
          <t>Clothing</t>
        </is>
      </c>
      <c r="E1177" t="inlineStr">
        <is>
          <t>Sleepwear Robes &amp; Bathrobes</t>
        </is>
      </c>
      <c r="F1177" t="inlineStr">
        <is>
          <t>Catalonia</t>
        </is>
      </c>
      <c r="G1177" t="n">
        <v>0</v>
      </c>
      <c r="H1177" t="n">
        <v>0</v>
      </c>
      <c r="J1177" s="29" t="n">
        <v>0</v>
      </c>
      <c r="K1177" s="30" t="n"/>
      <c r="L1177" s="29" t="n">
        <v>0</v>
      </c>
      <c r="M1177" s="29" t="n">
        <v>0</v>
      </c>
      <c r="N1177" s="2" t="n">
        <v>0</v>
      </c>
      <c r="O1177" s="31" t="n">
        <v>0</v>
      </c>
      <c r="P1177" s="32" t="n"/>
      <c r="Q1177" s="32" t="n">
        <v>0</v>
      </c>
      <c r="R1177" s="32" t="n">
        <v>0</v>
      </c>
      <c r="S1177" s="31" t="n">
        <v>0</v>
      </c>
      <c r="T1177" s="32" t="n">
        <v>0</v>
      </c>
      <c r="U1177" s="31" t="n">
        <v>0</v>
      </c>
      <c r="V1177" s="31" t="n">
        <v>0</v>
      </c>
      <c r="W1177" s="3" t="n">
        <v>0</v>
      </c>
      <c r="X1177" s="3" t="n">
        <v>0</v>
      </c>
      <c r="Y1177" s="32" t="n">
        <v>0</v>
      </c>
      <c r="Z1177" s="3" t="n">
        <v>0</v>
      </c>
      <c r="AA1177" s="32" t="n">
        <v>0</v>
      </c>
      <c r="AB1177" s="3" t="n"/>
      <c r="AC1177" s="31" t="n">
        <v>0</v>
      </c>
      <c r="AD1177" s="2" t="n">
        <v>0</v>
      </c>
      <c r="AE1177" s="2" t="n">
        <v>0</v>
      </c>
      <c r="AF1177" s="4" t="n">
        <v>0</v>
      </c>
      <c r="AG1177" s="33" t="n">
        <v>0</v>
      </c>
      <c r="AH1177" s="4" t="n">
        <v>0</v>
      </c>
      <c r="AI1177" s="34" t="n"/>
      <c r="AJ1177" s="34" t="n">
        <v>0</v>
      </c>
      <c r="AK1177" s="2" t="n">
        <v>0</v>
      </c>
      <c r="AL1177" t="inlineStr">
        <is>
          <t>Published</t>
        </is>
      </c>
    </row>
    <row r="1178">
      <c r="A1178">
        <f>HYPERLINK("https://www.walmart.com/ip/16401065846", "16401065846")</f>
        <v/>
      </c>
      <c r="B1178">
        <f>HYPERLINK("https://app.optiwise.ai/catalog/itemdetails/20226557", "Catalonia Lightweight Ladies Bathrobe, Long Summer Robe with Pockets,Soft Summer Robes for Women, Kimono Gift for Her, White")</f>
        <v/>
      </c>
      <c r="C1178" t="inlineStr">
        <is>
          <t>1CTRB504WT-4</t>
        </is>
      </c>
      <c r="D1178" t="inlineStr">
        <is>
          <t>Clothing</t>
        </is>
      </c>
      <c r="E1178" t="inlineStr">
        <is>
          <t>Sleepwear Robes &amp; Bathrobes</t>
        </is>
      </c>
      <c r="F1178" t="inlineStr">
        <is>
          <t>Catalonia</t>
        </is>
      </c>
      <c r="G1178" t="n">
        <v>0</v>
      </c>
      <c r="H1178" t="n">
        <v>0</v>
      </c>
      <c r="J1178" s="29" t="n">
        <v>0</v>
      </c>
      <c r="K1178" s="30" t="n"/>
      <c r="L1178" s="29" t="n">
        <v>0</v>
      </c>
      <c r="M1178" s="29" t="n">
        <v>0</v>
      </c>
      <c r="N1178" s="2" t="n">
        <v>0</v>
      </c>
      <c r="O1178" s="31" t="n">
        <v>0</v>
      </c>
      <c r="P1178" s="32" t="n"/>
      <c r="Q1178" s="32" t="n">
        <v>0</v>
      </c>
      <c r="R1178" s="32" t="n">
        <v>0</v>
      </c>
      <c r="S1178" s="31" t="n">
        <v>0</v>
      </c>
      <c r="T1178" s="32" t="n">
        <v>0</v>
      </c>
      <c r="U1178" s="31" t="n">
        <v>0</v>
      </c>
      <c r="V1178" s="31" t="n">
        <v>0</v>
      </c>
      <c r="W1178" s="3" t="n">
        <v>0</v>
      </c>
      <c r="X1178" s="3" t="n">
        <v>0</v>
      </c>
      <c r="Y1178" s="32" t="n">
        <v>0</v>
      </c>
      <c r="Z1178" s="3" t="n">
        <v>0</v>
      </c>
      <c r="AA1178" s="32" t="n">
        <v>0</v>
      </c>
      <c r="AB1178" s="3" t="n"/>
      <c r="AC1178" s="31" t="n">
        <v>0</v>
      </c>
      <c r="AD1178" s="2" t="n">
        <v>0</v>
      </c>
      <c r="AE1178" s="2" t="n">
        <v>0</v>
      </c>
      <c r="AF1178" s="4" t="n">
        <v>0</v>
      </c>
      <c r="AG1178" s="33" t="n">
        <v>0</v>
      </c>
      <c r="AH1178" s="4" t="n">
        <v>0</v>
      </c>
      <c r="AI1178" s="34" t="n"/>
      <c r="AJ1178" s="34" t="n">
        <v>0</v>
      </c>
      <c r="AK1178" s="2" t="n">
        <v>0</v>
      </c>
      <c r="AL1178" t="inlineStr">
        <is>
          <t>Published</t>
        </is>
      </c>
    </row>
    <row r="1179">
      <c r="A1179">
        <f>HYPERLINK("https://www.walmart.com/ip/16392313844", "16392313844")</f>
        <v/>
      </c>
      <c r="B1179">
        <f>HYPERLINK("https://app.optiwise.ai/catalog/itemdetails/20226556", "Catalonia Lightweight Ladies Bathrobe, Long Summer Robe with Pockets,Soft Summer Robes for Women, Kimono Gift for Her, Green")</f>
        <v/>
      </c>
      <c r="C1179" t="inlineStr">
        <is>
          <t>1CTRB504GN-3</t>
        </is>
      </c>
      <c r="D1179" t="inlineStr">
        <is>
          <t>Clothing</t>
        </is>
      </c>
      <c r="E1179" t="inlineStr">
        <is>
          <t>Sleepwear Robes &amp; Bathrobes</t>
        </is>
      </c>
      <c r="F1179" t="inlineStr">
        <is>
          <t>Catalonia</t>
        </is>
      </c>
      <c r="G1179" t="n">
        <v>0</v>
      </c>
      <c r="H1179" t="n">
        <v>0</v>
      </c>
      <c r="J1179" s="29" t="n">
        <v>0</v>
      </c>
      <c r="K1179" s="30" t="n"/>
      <c r="L1179" s="29" t="n">
        <v>0</v>
      </c>
      <c r="M1179" s="29" t="n">
        <v>0</v>
      </c>
      <c r="N1179" s="2" t="n">
        <v>0</v>
      </c>
      <c r="O1179" s="31" t="n">
        <v>0</v>
      </c>
      <c r="P1179" s="32" t="n"/>
      <c r="Q1179" s="32" t="n">
        <v>0</v>
      </c>
      <c r="R1179" s="32" t="n">
        <v>0</v>
      </c>
      <c r="S1179" s="31" t="n">
        <v>0</v>
      </c>
      <c r="T1179" s="32" t="n">
        <v>0</v>
      </c>
      <c r="U1179" s="31" t="n">
        <v>0</v>
      </c>
      <c r="V1179" s="31" t="n">
        <v>0</v>
      </c>
      <c r="W1179" s="3" t="n">
        <v>0</v>
      </c>
      <c r="X1179" s="3" t="n">
        <v>0</v>
      </c>
      <c r="Y1179" s="32" t="n">
        <v>0</v>
      </c>
      <c r="Z1179" s="3" t="n">
        <v>0</v>
      </c>
      <c r="AA1179" s="32" t="n">
        <v>0</v>
      </c>
      <c r="AB1179" s="3" t="n"/>
      <c r="AC1179" s="31" t="n">
        <v>0</v>
      </c>
      <c r="AD1179" s="2" t="n">
        <v>0</v>
      </c>
      <c r="AE1179" s="2" t="n">
        <v>0</v>
      </c>
      <c r="AF1179" s="4" t="n">
        <v>0</v>
      </c>
      <c r="AG1179" s="33" t="n">
        <v>0</v>
      </c>
      <c r="AH1179" s="4" t="n">
        <v>0</v>
      </c>
      <c r="AI1179" s="34" t="n"/>
      <c r="AJ1179" s="34" t="n">
        <v>0</v>
      </c>
      <c r="AK1179" s="2" t="n">
        <v>0</v>
      </c>
      <c r="AL1179" t="inlineStr">
        <is>
          <t>Published</t>
        </is>
      </c>
    </row>
    <row r="1180">
      <c r="A1180">
        <f>HYPERLINK("https://www.walmart.com/ip/16387668263", "16387668263")</f>
        <v/>
      </c>
      <c r="B1180">
        <f>HYPERLINK("https://app.optiwise.ai/catalog/itemdetails/20226555", "Catalonia Lightweight Ladies Bathrobe, Long Summer Robe with Pockets,Soft Summer Robes for Women, Kimono Gift for Her, Lilac")</f>
        <v/>
      </c>
      <c r="C1180" t="inlineStr">
        <is>
          <t>1CTRB504LL-3</t>
        </is>
      </c>
      <c r="D1180" t="inlineStr">
        <is>
          <t>Clothing</t>
        </is>
      </c>
      <c r="E1180" t="inlineStr">
        <is>
          <t>Sleepwear Robes &amp; Bathrobes</t>
        </is>
      </c>
      <c r="F1180" t="inlineStr">
        <is>
          <t>Catalonia</t>
        </is>
      </c>
      <c r="G1180" t="n">
        <v>0</v>
      </c>
      <c r="H1180" t="n">
        <v>0</v>
      </c>
      <c r="J1180" s="29" t="n">
        <v>0</v>
      </c>
      <c r="K1180" s="30" t="n"/>
      <c r="L1180" s="29" t="n">
        <v>0</v>
      </c>
      <c r="M1180" s="29" t="n">
        <v>0</v>
      </c>
      <c r="N1180" s="2" t="n">
        <v>0</v>
      </c>
      <c r="O1180" s="31" t="n">
        <v>0</v>
      </c>
      <c r="P1180" s="32" t="n"/>
      <c r="Q1180" s="32" t="n">
        <v>0</v>
      </c>
      <c r="R1180" s="32" t="n">
        <v>0</v>
      </c>
      <c r="S1180" s="31" t="n">
        <v>0</v>
      </c>
      <c r="T1180" s="32" t="n">
        <v>0</v>
      </c>
      <c r="U1180" s="31" t="n">
        <v>0</v>
      </c>
      <c r="V1180" s="31" t="n">
        <v>0</v>
      </c>
      <c r="W1180" s="3" t="n">
        <v>0</v>
      </c>
      <c r="X1180" s="3" t="n">
        <v>0</v>
      </c>
      <c r="Y1180" s="32" t="n">
        <v>0</v>
      </c>
      <c r="Z1180" s="3" t="n">
        <v>0</v>
      </c>
      <c r="AA1180" s="32" t="n">
        <v>0</v>
      </c>
      <c r="AB1180" s="3" t="n"/>
      <c r="AC1180" s="31" t="n">
        <v>0</v>
      </c>
      <c r="AD1180" s="2" t="n">
        <v>0</v>
      </c>
      <c r="AE1180" s="2" t="n">
        <v>0</v>
      </c>
      <c r="AF1180" s="4" t="n">
        <v>0</v>
      </c>
      <c r="AG1180" s="33" t="n">
        <v>0</v>
      </c>
      <c r="AH1180" s="4" t="n">
        <v>0</v>
      </c>
      <c r="AI1180" s="34" t="n"/>
      <c r="AJ1180" s="34" t="n">
        <v>0</v>
      </c>
      <c r="AK1180" s="2" t="n">
        <v>0</v>
      </c>
      <c r="AL1180" t="inlineStr">
        <is>
          <t>Published</t>
        </is>
      </c>
    </row>
    <row r="1181">
      <c r="A1181">
        <f>HYPERLINK("https://www.walmart.com/ip/16385457099", "16385457099")</f>
        <v/>
      </c>
      <c r="B1181">
        <f>HYPERLINK("https://app.optiwise.ai/catalog/itemdetails/20226554", "Catalonia Lightweight Ladies Bathrobe, Long Summer Robe with Pockets,Soft Summer Robes for Women, Kimono Gift for Her, Lilac")</f>
        <v/>
      </c>
      <c r="C1181" t="inlineStr">
        <is>
          <t>1CTRB504LL-4</t>
        </is>
      </c>
      <c r="D1181" t="inlineStr">
        <is>
          <t>Clothing</t>
        </is>
      </c>
      <c r="E1181" t="inlineStr">
        <is>
          <t>Sleepwear Robes &amp; Bathrobes</t>
        </is>
      </c>
      <c r="F1181" t="inlineStr">
        <is>
          <t>Catalonia</t>
        </is>
      </c>
      <c r="G1181" t="n">
        <v>0</v>
      </c>
      <c r="H1181" t="n">
        <v>0</v>
      </c>
      <c r="J1181" s="29" t="n">
        <v>0</v>
      </c>
      <c r="K1181" s="30" t="n"/>
      <c r="L1181" s="29" t="n">
        <v>0</v>
      </c>
      <c r="M1181" s="29" t="n">
        <v>0</v>
      </c>
      <c r="N1181" s="2" t="n">
        <v>0</v>
      </c>
      <c r="O1181" s="31" t="n">
        <v>0</v>
      </c>
      <c r="P1181" s="32" t="n"/>
      <c r="Q1181" s="32" t="n">
        <v>0</v>
      </c>
      <c r="R1181" s="32" t="n">
        <v>0</v>
      </c>
      <c r="S1181" s="31" t="n">
        <v>0</v>
      </c>
      <c r="T1181" s="32" t="n">
        <v>0</v>
      </c>
      <c r="U1181" s="31" t="n">
        <v>0</v>
      </c>
      <c r="V1181" s="31" t="n">
        <v>0</v>
      </c>
      <c r="W1181" s="3" t="n">
        <v>0</v>
      </c>
      <c r="X1181" s="3" t="n">
        <v>0</v>
      </c>
      <c r="Y1181" s="32" t="n">
        <v>0</v>
      </c>
      <c r="Z1181" s="3" t="n">
        <v>0</v>
      </c>
      <c r="AA1181" s="32" t="n">
        <v>0</v>
      </c>
      <c r="AB1181" s="3" t="n"/>
      <c r="AC1181" s="31" t="n">
        <v>0</v>
      </c>
      <c r="AD1181" s="2" t="n">
        <v>0</v>
      </c>
      <c r="AE1181" s="2" t="n">
        <v>0</v>
      </c>
      <c r="AF1181" s="4" t="n">
        <v>0</v>
      </c>
      <c r="AG1181" s="33" t="n">
        <v>0</v>
      </c>
      <c r="AH1181" s="4" t="n">
        <v>0</v>
      </c>
      <c r="AI1181" s="34" t="n"/>
      <c r="AJ1181" s="34" t="n">
        <v>0</v>
      </c>
      <c r="AK1181" s="2" t="n">
        <v>0</v>
      </c>
      <c r="AL1181" t="inlineStr">
        <is>
          <t>Published</t>
        </is>
      </c>
    </row>
    <row r="1182">
      <c r="A1182">
        <f>HYPERLINK("https://www.walmart.com/ip/16376003259", "16376003259")</f>
        <v/>
      </c>
      <c r="B1182">
        <f>HYPERLINK("https://app.optiwise.ai/catalog/itemdetails/20226553", "Catalonia Lightweight Ladies Bathrobe, Long Summer Robe with Pockets,Soft Summer Robes for Women, Kimono Gift for Her, Black")</f>
        <v/>
      </c>
      <c r="C1182" t="inlineStr">
        <is>
          <t>1CTRB504BK-2</t>
        </is>
      </c>
      <c r="D1182" t="inlineStr">
        <is>
          <t>Clothing</t>
        </is>
      </c>
      <c r="E1182" t="inlineStr">
        <is>
          <t>Sleepwear Robes &amp; Bathrobes</t>
        </is>
      </c>
      <c r="F1182" t="inlineStr">
        <is>
          <t>Catalonia</t>
        </is>
      </c>
      <c r="G1182" t="n">
        <v>0</v>
      </c>
      <c r="H1182" t="n">
        <v>0</v>
      </c>
      <c r="J1182" s="29" t="n">
        <v>0</v>
      </c>
      <c r="K1182" s="30" t="n"/>
      <c r="L1182" s="29" t="n">
        <v>0</v>
      </c>
      <c r="M1182" s="29" t="n">
        <v>0</v>
      </c>
      <c r="N1182" s="2" t="n">
        <v>0</v>
      </c>
      <c r="O1182" s="31" t="n">
        <v>0</v>
      </c>
      <c r="P1182" s="32" t="n"/>
      <c r="Q1182" s="32" t="n">
        <v>0</v>
      </c>
      <c r="R1182" s="32" t="n">
        <v>0</v>
      </c>
      <c r="S1182" s="31" t="n">
        <v>0</v>
      </c>
      <c r="T1182" s="32" t="n">
        <v>0</v>
      </c>
      <c r="U1182" s="31" t="n">
        <v>0</v>
      </c>
      <c r="V1182" s="31" t="n">
        <v>0</v>
      </c>
      <c r="W1182" s="3" t="n">
        <v>0</v>
      </c>
      <c r="X1182" s="3" t="n">
        <v>0</v>
      </c>
      <c r="Y1182" s="32" t="n">
        <v>0</v>
      </c>
      <c r="Z1182" s="3" t="n">
        <v>0</v>
      </c>
      <c r="AA1182" s="32" t="n">
        <v>0</v>
      </c>
      <c r="AB1182" s="3" t="n"/>
      <c r="AC1182" s="31" t="n">
        <v>0</v>
      </c>
      <c r="AD1182" s="2" t="n">
        <v>0</v>
      </c>
      <c r="AE1182" s="2" t="n">
        <v>0</v>
      </c>
      <c r="AF1182" s="4" t="n">
        <v>0</v>
      </c>
      <c r="AG1182" s="33" t="n">
        <v>0</v>
      </c>
      <c r="AH1182" s="4" t="n">
        <v>0</v>
      </c>
      <c r="AI1182" s="34" t="n"/>
      <c r="AJ1182" s="34" t="n">
        <v>0</v>
      </c>
      <c r="AK1182" s="2" t="n">
        <v>0</v>
      </c>
      <c r="AL1182" t="inlineStr">
        <is>
          <t>Published</t>
        </is>
      </c>
    </row>
    <row r="1183">
      <c r="A1183">
        <f>HYPERLINK("https://www.walmart.com/ip/16375853868", "16375853868")</f>
        <v/>
      </c>
      <c r="B1183">
        <f>HYPERLINK("https://app.optiwise.ai/catalog/itemdetails/20226552", "Catalonia Lightweight Ladies Bathrobe, Long Summer Robe with Pockets,Soft Summer Robes for Women, Kimono Gift for Her, Gray")</f>
        <v/>
      </c>
      <c r="C1183" t="inlineStr">
        <is>
          <t>1CTRB504GYASH-2</t>
        </is>
      </c>
      <c r="D1183" t="inlineStr">
        <is>
          <t>Clothing</t>
        </is>
      </c>
      <c r="E1183" t="inlineStr">
        <is>
          <t>Sleepwear Robes &amp; Bathrobes</t>
        </is>
      </c>
      <c r="F1183" t="inlineStr">
        <is>
          <t>Catalonia</t>
        </is>
      </c>
      <c r="G1183" t="n">
        <v>0</v>
      </c>
      <c r="H1183" t="n">
        <v>0</v>
      </c>
      <c r="J1183" s="29" t="n">
        <v>0</v>
      </c>
      <c r="K1183" s="30" t="n"/>
      <c r="L1183" s="29" t="n">
        <v>0</v>
      </c>
      <c r="M1183" s="29" t="n">
        <v>0</v>
      </c>
      <c r="N1183" s="2" t="n">
        <v>0</v>
      </c>
      <c r="O1183" s="31" t="n">
        <v>0</v>
      </c>
      <c r="P1183" s="32" t="n"/>
      <c r="Q1183" s="32" t="n">
        <v>0</v>
      </c>
      <c r="R1183" s="32" t="n">
        <v>0</v>
      </c>
      <c r="S1183" s="31" t="n">
        <v>0</v>
      </c>
      <c r="T1183" s="32" t="n">
        <v>0</v>
      </c>
      <c r="U1183" s="31" t="n">
        <v>0</v>
      </c>
      <c r="V1183" s="31" t="n">
        <v>0</v>
      </c>
      <c r="W1183" s="3" t="n">
        <v>0</v>
      </c>
      <c r="X1183" s="3" t="n">
        <v>0</v>
      </c>
      <c r="Y1183" s="32" t="n">
        <v>0</v>
      </c>
      <c r="Z1183" s="3" t="n">
        <v>0</v>
      </c>
      <c r="AA1183" s="32" t="n">
        <v>0</v>
      </c>
      <c r="AB1183" s="3" t="n"/>
      <c r="AC1183" s="31" t="n">
        <v>0</v>
      </c>
      <c r="AD1183" s="2" t="n">
        <v>0</v>
      </c>
      <c r="AE1183" s="2" t="n">
        <v>0</v>
      </c>
      <c r="AF1183" s="4" t="n">
        <v>0</v>
      </c>
      <c r="AG1183" s="33" t="n">
        <v>0</v>
      </c>
      <c r="AH1183" s="4" t="n">
        <v>0</v>
      </c>
      <c r="AI1183" s="34" t="n"/>
      <c r="AJ1183" s="34" t="n">
        <v>0</v>
      </c>
      <c r="AK1183" s="2" t="n">
        <v>0</v>
      </c>
      <c r="AL1183" t="inlineStr">
        <is>
          <t>Published</t>
        </is>
      </c>
    </row>
    <row r="1184">
      <c r="A1184">
        <f>HYPERLINK("https://www.walmart.com/ip/16373617537", "16373617537")</f>
        <v/>
      </c>
      <c r="B1184">
        <f>HYPERLINK("https://app.optiwise.ai/catalog/itemdetails/20226551", "Catalonia Lightweight Ladies Bathrobe, Long Summer Robe with Pockets,Soft Summer Robes for Women, Kimono Gift for Her, Blue")</f>
        <v/>
      </c>
      <c r="C1184" t="inlineStr">
        <is>
          <t>1CTRB504BL-5</t>
        </is>
      </c>
      <c r="D1184" t="inlineStr">
        <is>
          <t>Clothing</t>
        </is>
      </c>
      <c r="E1184" t="inlineStr">
        <is>
          <t>Sleepwear Robes &amp; Bathrobes</t>
        </is>
      </c>
      <c r="F1184" t="inlineStr">
        <is>
          <t>Catalonia</t>
        </is>
      </c>
      <c r="G1184" t="n">
        <v>0</v>
      </c>
      <c r="H1184" t="n">
        <v>0</v>
      </c>
      <c r="J1184" s="29" t="n">
        <v>0</v>
      </c>
      <c r="K1184" s="30" t="n"/>
      <c r="L1184" s="29" t="n">
        <v>0</v>
      </c>
      <c r="M1184" s="29" t="n">
        <v>0</v>
      </c>
      <c r="N1184" s="2" t="n">
        <v>0</v>
      </c>
      <c r="O1184" s="31" t="n">
        <v>0</v>
      </c>
      <c r="P1184" s="32" t="n"/>
      <c r="Q1184" s="32" t="n">
        <v>0</v>
      </c>
      <c r="R1184" s="32" t="n">
        <v>0</v>
      </c>
      <c r="S1184" s="31" t="n">
        <v>0</v>
      </c>
      <c r="T1184" s="32" t="n">
        <v>0</v>
      </c>
      <c r="U1184" s="31" t="n">
        <v>0</v>
      </c>
      <c r="V1184" s="31" t="n">
        <v>0</v>
      </c>
      <c r="W1184" s="3" t="n">
        <v>0</v>
      </c>
      <c r="X1184" s="3" t="n">
        <v>0</v>
      </c>
      <c r="Y1184" s="32" t="n">
        <v>0</v>
      </c>
      <c r="Z1184" s="3" t="n">
        <v>0</v>
      </c>
      <c r="AA1184" s="32" t="n">
        <v>0</v>
      </c>
      <c r="AB1184" s="3" t="n"/>
      <c r="AC1184" s="31" t="n">
        <v>0</v>
      </c>
      <c r="AD1184" s="2" t="n">
        <v>0</v>
      </c>
      <c r="AE1184" s="2" t="n">
        <v>0</v>
      </c>
      <c r="AF1184" s="4" t="n">
        <v>0</v>
      </c>
      <c r="AG1184" s="33" t="n">
        <v>0</v>
      </c>
      <c r="AH1184" s="4" t="n">
        <v>0</v>
      </c>
      <c r="AI1184" s="34" t="n"/>
      <c r="AJ1184" s="34" t="n">
        <v>0</v>
      </c>
      <c r="AK1184" s="2" t="n">
        <v>0</v>
      </c>
      <c r="AL1184" t="inlineStr">
        <is>
          <t>Published</t>
        </is>
      </c>
    </row>
    <row r="1185">
      <c r="A1185">
        <f>HYPERLINK("https://www.walmart.com/ip/16373617536", "16373617536")</f>
        <v/>
      </c>
      <c r="B1185">
        <f>HYPERLINK("https://app.optiwise.ai/catalog/itemdetails/20226550", "Catalonia Lightweight Ladies Bathrobe, Long Summer Robe with Pockets,Soft Summer Robes for Women, Kimono Gift for Her, Green")</f>
        <v/>
      </c>
      <c r="C1185" t="inlineStr">
        <is>
          <t>1CTRB504GN-4</t>
        </is>
      </c>
      <c r="D1185" t="inlineStr">
        <is>
          <t>Clothing</t>
        </is>
      </c>
      <c r="E1185" t="inlineStr">
        <is>
          <t>Sleepwear Robes &amp; Bathrobes</t>
        </is>
      </c>
      <c r="F1185" t="inlineStr">
        <is>
          <t>Catalonia</t>
        </is>
      </c>
      <c r="G1185" t="n">
        <v>0</v>
      </c>
      <c r="H1185" t="n">
        <v>0</v>
      </c>
      <c r="J1185" s="29" t="n">
        <v>0</v>
      </c>
      <c r="K1185" s="30" t="n"/>
      <c r="L1185" s="29" t="n">
        <v>0</v>
      </c>
      <c r="M1185" s="29" t="n">
        <v>0</v>
      </c>
      <c r="N1185" s="2" t="n">
        <v>0</v>
      </c>
      <c r="O1185" s="31" t="n">
        <v>0</v>
      </c>
      <c r="P1185" s="32" t="n"/>
      <c r="Q1185" s="32" t="n">
        <v>0</v>
      </c>
      <c r="R1185" s="32" t="n">
        <v>0</v>
      </c>
      <c r="S1185" s="31" t="n">
        <v>0</v>
      </c>
      <c r="T1185" s="32" t="n">
        <v>0</v>
      </c>
      <c r="U1185" s="31" t="n">
        <v>0</v>
      </c>
      <c r="V1185" s="31" t="n">
        <v>0</v>
      </c>
      <c r="W1185" s="3" t="n">
        <v>0</v>
      </c>
      <c r="X1185" s="3" t="n">
        <v>0</v>
      </c>
      <c r="Y1185" s="32" t="n">
        <v>0</v>
      </c>
      <c r="Z1185" s="3" t="n">
        <v>0</v>
      </c>
      <c r="AA1185" s="32" t="n">
        <v>0</v>
      </c>
      <c r="AB1185" s="3" t="n"/>
      <c r="AC1185" s="31" t="n">
        <v>0</v>
      </c>
      <c r="AD1185" s="2" t="n">
        <v>0</v>
      </c>
      <c r="AE1185" s="2" t="n">
        <v>0</v>
      </c>
      <c r="AF1185" s="4" t="n">
        <v>0</v>
      </c>
      <c r="AG1185" s="33" t="n">
        <v>0</v>
      </c>
      <c r="AH1185" s="4" t="n">
        <v>0</v>
      </c>
      <c r="AI1185" s="34" t="n"/>
      <c r="AJ1185" s="34" t="n">
        <v>0</v>
      </c>
      <c r="AK1185" s="2" t="n">
        <v>0</v>
      </c>
      <c r="AL1185" t="inlineStr">
        <is>
          <t>Published</t>
        </is>
      </c>
    </row>
    <row r="1186">
      <c r="A1186">
        <f>HYPERLINK("https://www.walmart.com/ip/16373417006", "16373417006")</f>
        <v/>
      </c>
      <c r="B1186">
        <f>HYPERLINK("https://app.optiwise.ai/catalog/itemdetails/20226549", "Catalonia Lightweight Ladies Bathrobe, Long Summer Robe with Pockets,Soft Summer Robes for Women, Kimono Gift for Her, Blue")</f>
        <v/>
      </c>
      <c r="C1186" t="inlineStr">
        <is>
          <t>1CTRB504BL-4</t>
        </is>
      </c>
      <c r="D1186" t="inlineStr">
        <is>
          <t>Clothing</t>
        </is>
      </c>
      <c r="E1186" t="inlineStr">
        <is>
          <t>Sleepwear Robes &amp; Bathrobes</t>
        </is>
      </c>
      <c r="F1186" t="inlineStr">
        <is>
          <t>Catalonia</t>
        </is>
      </c>
      <c r="G1186" t="n">
        <v>0</v>
      </c>
      <c r="H1186" t="n">
        <v>0</v>
      </c>
      <c r="J1186" s="29" t="n">
        <v>0</v>
      </c>
      <c r="K1186" s="30" t="n"/>
      <c r="L1186" s="29" t="n">
        <v>0</v>
      </c>
      <c r="M1186" s="29" t="n">
        <v>0</v>
      </c>
      <c r="N1186" s="2" t="n">
        <v>0</v>
      </c>
      <c r="O1186" s="31" t="n">
        <v>0</v>
      </c>
      <c r="P1186" s="32" t="n"/>
      <c r="Q1186" s="32" t="n">
        <v>0</v>
      </c>
      <c r="R1186" s="32" t="n">
        <v>0</v>
      </c>
      <c r="S1186" s="31" t="n">
        <v>0</v>
      </c>
      <c r="T1186" s="32" t="n">
        <v>0</v>
      </c>
      <c r="U1186" s="31" t="n">
        <v>0</v>
      </c>
      <c r="V1186" s="31" t="n">
        <v>0</v>
      </c>
      <c r="W1186" s="3" t="n">
        <v>0</v>
      </c>
      <c r="X1186" s="3" t="n">
        <v>0</v>
      </c>
      <c r="Y1186" s="32" t="n">
        <v>0</v>
      </c>
      <c r="Z1186" s="3" t="n">
        <v>0</v>
      </c>
      <c r="AA1186" s="32" t="n">
        <v>0</v>
      </c>
      <c r="AB1186" s="3" t="n"/>
      <c r="AC1186" s="31" t="n">
        <v>0</v>
      </c>
      <c r="AD1186" s="2" t="n">
        <v>0</v>
      </c>
      <c r="AE1186" s="2" t="n">
        <v>0</v>
      </c>
      <c r="AF1186" s="4" t="n">
        <v>0</v>
      </c>
      <c r="AG1186" s="33" t="n">
        <v>0</v>
      </c>
      <c r="AH1186" s="4" t="n">
        <v>0</v>
      </c>
      <c r="AI1186" s="34" t="n"/>
      <c r="AJ1186" s="34" t="n">
        <v>0</v>
      </c>
      <c r="AK1186" s="2" t="n">
        <v>0</v>
      </c>
      <c r="AL1186" t="inlineStr">
        <is>
          <t>Published</t>
        </is>
      </c>
    </row>
    <row r="1187">
      <c r="A1187">
        <f>HYPERLINK("https://www.walmart.com/ip/16353609304", "16353609304")</f>
        <v/>
      </c>
      <c r="B1187">
        <f>HYPERLINK("https://app.optiwise.ai/catalog/itemdetails/20226548", "Catalonia Lightweight Ladies Bathrobe, Long Summer Robe with Pockets,Soft Summer Robes for Women, Kimono Gift for Her, White")</f>
        <v/>
      </c>
      <c r="C1187" t="inlineStr">
        <is>
          <t>1CTRB504WT-2</t>
        </is>
      </c>
      <c r="D1187" t="inlineStr">
        <is>
          <t>Clothing</t>
        </is>
      </c>
      <c r="E1187" t="inlineStr">
        <is>
          <t>Sleepwear Robes &amp; Bathrobes</t>
        </is>
      </c>
      <c r="F1187" t="inlineStr">
        <is>
          <t>Catalonia</t>
        </is>
      </c>
      <c r="G1187" t="n">
        <v>0</v>
      </c>
      <c r="H1187" t="n">
        <v>0</v>
      </c>
      <c r="J1187" s="29" t="n">
        <v>0</v>
      </c>
      <c r="K1187" s="30" t="n"/>
      <c r="L1187" s="29" t="n">
        <v>0</v>
      </c>
      <c r="M1187" s="29" t="n">
        <v>0</v>
      </c>
      <c r="N1187" s="2" t="n">
        <v>0</v>
      </c>
      <c r="O1187" s="31" t="n">
        <v>0</v>
      </c>
      <c r="P1187" s="32" t="n"/>
      <c r="Q1187" s="32" t="n">
        <v>0</v>
      </c>
      <c r="R1187" s="32" t="n">
        <v>0</v>
      </c>
      <c r="S1187" s="31" t="n">
        <v>0</v>
      </c>
      <c r="T1187" s="32" t="n">
        <v>0</v>
      </c>
      <c r="U1187" s="31" t="n">
        <v>0</v>
      </c>
      <c r="V1187" s="31" t="n">
        <v>0</v>
      </c>
      <c r="W1187" s="3" t="n">
        <v>0</v>
      </c>
      <c r="X1187" s="3" t="n">
        <v>0</v>
      </c>
      <c r="Y1187" s="32" t="n">
        <v>0</v>
      </c>
      <c r="Z1187" s="3" t="n">
        <v>0</v>
      </c>
      <c r="AA1187" s="32" t="n">
        <v>0</v>
      </c>
      <c r="AB1187" s="3" t="n"/>
      <c r="AC1187" s="31" t="n">
        <v>0</v>
      </c>
      <c r="AD1187" s="2" t="n">
        <v>0</v>
      </c>
      <c r="AE1187" s="2" t="n">
        <v>0</v>
      </c>
      <c r="AF1187" s="4" t="n">
        <v>0</v>
      </c>
      <c r="AG1187" s="33" t="n">
        <v>0</v>
      </c>
      <c r="AH1187" s="4" t="n">
        <v>0</v>
      </c>
      <c r="AI1187" s="34" t="n"/>
      <c r="AJ1187" s="34" t="n">
        <v>0</v>
      </c>
      <c r="AK1187" s="2" t="n">
        <v>0</v>
      </c>
      <c r="AL1187" t="inlineStr">
        <is>
          <t>Published</t>
        </is>
      </c>
    </row>
    <row r="1188">
      <c r="A1188">
        <f>HYPERLINK("https://www.walmart.com/ip/16346371312", "16346371312")</f>
        <v/>
      </c>
      <c r="B1188">
        <f>HYPERLINK("https://app.optiwise.ai/catalog/itemdetails/20226547", "Catalonia Lightweight Ladies Bathrobe, Long Summer Robe with Pockets,Soft Summer Robes for Women, Kimono Gift for Her, Blue")</f>
        <v/>
      </c>
      <c r="C1188" t="inlineStr">
        <is>
          <t>1CTRB504BL-3</t>
        </is>
      </c>
      <c r="D1188" t="inlineStr">
        <is>
          <t>Clothing</t>
        </is>
      </c>
      <c r="E1188" t="inlineStr">
        <is>
          <t>Sleepwear Robes &amp; Bathrobes</t>
        </is>
      </c>
      <c r="F1188" t="inlineStr">
        <is>
          <t>Catalonia</t>
        </is>
      </c>
      <c r="G1188" t="n">
        <v>0</v>
      </c>
      <c r="H1188" t="n">
        <v>0</v>
      </c>
      <c r="J1188" s="29" t="n">
        <v>0</v>
      </c>
      <c r="K1188" s="30" t="n"/>
      <c r="L1188" s="29" t="n">
        <v>0</v>
      </c>
      <c r="M1188" s="29" t="n">
        <v>0</v>
      </c>
      <c r="N1188" s="2" t="n">
        <v>0</v>
      </c>
      <c r="O1188" s="31" t="n">
        <v>0</v>
      </c>
      <c r="P1188" s="32" t="n"/>
      <c r="Q1188" s="32" t="n">
        <v>0</v>
      </c>
      <c r="R1188" s="32" t="n">
        <v>0</v>
      </c>
      <c r="S1188" s="31" t="n">
        <v>0</v>
      </c>
      <c r="T1188" s="32" t="n">
        <v>0</v>
      </c>
      <c r="U1188" s="31" t="n">
        <v>0</v>
      </c>
      <c r="V1188" s="31" t="n">
        <v>0</v>
      </c>
      <c r="W1188" s="3" t="n">
        <v>0</v>
      </c>
      <c r="X1188" s="3" t="n">
        <v>0</v>
      </c>
      <c r="Y1188" s="32" t="n">
        <v>0</v>
      </c>
      <c r="Z1188" s="3" t="n">
        <v>0</v>
      </c>
      <c r="AA1188" s="32" t="n">
        <v>0</v>
      </c>
      <c r="AB1188" s="3" t="n"/>
      <c r="AC1188" s="31" t="n">
        <v>0</v>
      </c>
      <c r="AD1188" s="2" t="n">
        <v>0</v>
      </c>
      <c r="AE1188" s="2" t="n">
        <v>0</v>
      </c>
      <c r="AF1188" s="4" t="n">
        <v>0</v>
      </c>
      <c r="AG1188" s="33" t="n">
        <v>0</v>
      </c>
      <c r="AH1188" s="4" t="n">
        <v>0</v>
      </c>
      <c r="AI1188" s="34" t="n"/>
      <c r="AJ1188" s="34" t="n">
        <v>0</v>
      </c>
      <c r="AK1188" s="2" t="n">
        <v>0</v>
      </c>
      <c r="AL1188" t="inlineStr">
        <is>
          <t>Published</t>
        </is>
      </c>
    </row>
    <row r="1189">
      <c r="A1189">
        <f>HYPERLINK("https://www.walmart.com/ip/16344201970", "16344201970")</f>
        <v/>
      </c>
      <c r="B1189">
        <f>HYPERLINK("https://app.optiwise.ai/catalog/itemdetails/20226546", "Catalonia Lightweight Ladies Bathrobe, Long Summer Robe with Pockets,Soft Summer Robes for Women, Kimono Gift for Her, Lilac")</f>
        <v/>
      </c>
      <c r="C1189" t="inlineStr">
        <is>
          <t>1CTRB504LL-5</t>
        </is>
      </c>
      <c r="D1189" t="inlineStr">
        <is>
          <t>Clothing</t>
        </is>
      </c>
      <c r="E1189" t="inlineStr">
        <is>
          <t>Sleepwear Robes &amp; Bathrobes</t>
        </is>
      </c>
      <c r="F1189" t="inlineStr">
        <is>
          <t>Catalonia</t>
        </is>
      </c>
      <c r="G1189" t="n">
        <v>0</v>
      </c>
      <c r="H1189" t="n">
        <v>0</v>
      </c>
      <c r="J1189" s="29" t="n">
        <v>0</v>
      </c>
      <c r="K1189" s="30" t="n"/>
      <c r="L1189" s="29" t="n">
        <v>0</v>
      </c>
      <c r="M1189" s="29" t="n">
        <v>0</v>
      </c>
      <c r="N1189" s="2" t="n">
        <v>0</v>
      </c>
      <c r="O1189" s="31" t="n">
        <v>0</v>
      </c>
      <c r="P1189" s="32" t="n"/>
      <c r="Q1189" s="32" t="n">
        <v>0</v>
      </c>
      <c r="R1189" s="32" t="n">
        <v>0</v>
      </c>
      <c r="S1189" s="31" t="n">
        <v>0</v>
      </c>
      <c r="T1189" s="32" t="n">
        <v>0</v>
      </c>
      <c r="U1189" s="31" t="n">
        <v>0</v>
      </c>
      <c r="V1189" s="31" t="n">
        <v>0</v>
      </c>
      <c r="W1189" s="3" t="n">
        <v>0</v>
      </c>
      <c r="X1189" s="3" t="n">
        <v>0</v>
      </c>
      <c r="Y1189" s="32" t="n">
        <v>0</v>
      </c>
      <c r="Z1189" s="3" t="n">
        <v>0</v>
      </c>
      <c r="AA1189" s="32" t="n">
        <v>0</v>
      </c>
      <c r="AB1189" s="3" t="n"/>
      <c r="AC1189" s="31" t="n">
        <v>0</v>
      </c>
      <c r="AD1189" s="2" t="n">
        <v>0</v>
      </c>
      <c r="AE1189" s="2" t="n">
        <v>0</v>
      </c>
      <c r="AF1189" s="4" t="n">
        <v>0</v>
      </c>
      <c r="AG1189" s="33" t="n">
        <v>0</v>
      </c>
      <c r="AH1189" s="4" t="n">
        <v>0</v>
      </c>
      <c r="AI1189" s="34" t="n"/>
      <c r="AJ1189" s="34" t="n">
        <v>0</v>
      </c>
      <c r="AK1189" s="2" t="n">
        <v>0</v>
      </c>
      <c r="AL1189" t="inlineStr">
        <is>
          <t>Published</t>
        </is>
      </c>
    </row>
    <row r="1190">
      <c r="A1190">
        <f>HYPERLINK("https://www.walmart.com/ip/16344201504", "16344201504")</f>
        <v/>
      </c>
      <c r="B1190">
        <f>HYPERLINK("https://app.optiwise.ai/catalog/itemdetails/20226545", "Catalonia Lightweight Ladies Bathrobe, Long Summer Robe with Pockets,Soft Summer Robes for Women, Kimono Gift for Her, White")</f>
        <v/>
      </c>
      <c r="C1190" t="inlineStr">
        <is>
          <t>1CTRB504WT-5</t>
        </is>
      </c>
      <c r="D1190" t="inlineStr">
        <is>
          <t>Clothing</t>
        </is>
      </c>
      <c r="E1190" t="inlineStr">
        <is>
          <t>Sleepwear Robes &amp; Bathrobes</t>
        </is>
      </c>
      <c r="F1190" t="inlineStr">
        <is>
          <t>Catalonia</t>
        </is>
      </c>
      <c r="G1190" t="n">
        <v>0</v>
      </c>
      <c r="H1190" t="n">
        <v>0</v>
      </c>
      <c r="J1190" s="29" t="n">
        <v>0</v>
      </c>
      <c r="K1190" s="30" t="n"/>
      <c r="L1190" s="29" t="n">
        <v>0</v>
      </c>
      <c r="M1190" s="29" t="n">
        <v>0</v>
      </c>
      <c r="N1190" s="2" t="n">
        <v>0</v>
      </c>
      <c r="O1190" s="31" t="n">
        <v>0</v>
      </c>
      <c r="P1190" s="32" t="n"/>
      <c r="Q1190" s="32" t="n">
        <v>0</v>
      </c>
      <c r="R1190" s="32" t="n">
        <v>0</v>
      </c>
      <c r="S1190" s="31" t="n">
        <v>0</v>
      </c>
      <c r="T1190" s="32" t="n">
        <v>0</v>
      </c>
      <c r="U1190" s="31" t="n">
        <v>0</v>
      </c>
      <c r="V1190" s="31" t="n">
        <v>0</v>
      </c>
      <c r="W1190" s="3" t="n">
        <v>0</v>
      </c>
      <c r="X1190" s="3" t="n">
        <v>0</v>
      </c>
      <c r="Y1190" s="32" t="n">
        <v>0</v>
      </c>
      <c r="Z1190" s="3" t="n">
        <v>0</v>
      </c>
      <c r="AA1190" s="32" t="n">
        <v>0</v>
      </c>
      <c r="AB1190" s="3" t="n"/>
      <c r="AC1190" s="31" t="n">
        <v>0</v>
      </c>
      <c r="AD1190" s="2" t="n">
        <v>0</v>
      </c>
      <c r="AE1190" s="2" t="n">
        <v>0</v>
      </c>
      <c r="AF1190" s="4" t="n">
        <v>0</v>
      </c>
      <c r="AG1190" s="33" t="n">
        <v>0</v>
      </c>
      <c r="AH1190" s="4" t="n">
        <v>0</v>
      </c>
      <c r="AI1190" s="34" t="n"/>
      <c r="AJ1190" s="34" t="n">
        <v>0</v>
      </c>
      <c r="AK1190" s="2" t="n">
        <v>0</v>
      </c>
      <c r="AL1190" t="inlineStr">
        <is>
          <t>Published</t>
        </is>
      </c>
    </row>
    <row r="1191">
      <c r="A1191">
        <f>HYPERLINK("https://www.walmart.com/ip/16335621485", "16335621485")</f>
        <v/>
      </c>
      <c r="B1191">
        <f>HYPERLINK("https://app.optiwise.ai/catalog/itemdetails/20226544", "Catalonia Lightweight Ladies Bathrobe, Long Summer Robe with Pockets,Soft Summer Robes for Women, Kimono Gift for Her, Lilac")</f>
        <v/>
      </c>
      <c r="C1191" t="inlineStr">
        <is>
          <t>1CTRB504LL-2</t>
        </is>
      </c>
      <c r="D1191" t="inlineStr">
        <is>
          <t>Clothing</t>
        </is>
      </c>
      <c r="E1191" t="inlineStr">
        <is>
          <t>Sleepwear Robes &amp; Bathrobes</t>
        </is>
      </c>
      <c r="F1191" t="inlineStr">
        <is>
          <t>Catalonia</t>
        </is>
      </c>
      <c r="G1191" t="n">
        <v>0</v>
      </c>
      <c r="H1191" t="n">
        <v>0</v>
      </c>
      <c r="J1191" s="29" t="n">
        <v>0</v>
      </c>
      <c r="K1191" s="30" t="n"/>
      <c r="L1191" s="29" t="n">
        <v>0</v>
      </c>
      <c r="M1191" s="29" t="n">
        <v>0</v>
      </c>
      <c r="N1191" s="2" t="n">
        <v>0</v>
      </c>
      <c r="O1191" s="31" t="n">
        <v>0</v>
      </c>
      <c r="P1191" s="32" t="n"/>
      <c r="Q1191" s="32" t="n">
        <v>0</v>
      </c>
      <c r="R1191" s="32" t="n">
        <v>0</v>
      </c>
      <c r="S1191" s="31" t="n">
        <v>0</v>
      </c>
      <c r="T1191" s="32" t="n">
        <v>0</v>
      </c>
      <c r="U1191" s="31" t="n">
        <v>0</v>
      </c>
      <c r="V1191" s="31" t="n">
        <v>0</v>
      </c>
      <c r="W1191" s="3" t="n">
        <v>0</v>
      </c>
      <c r="X1191" s="3" t="n">
        <v>0</v>
      </c>
      <c r="Y1191" s="32" t="n">
        <v>0</v>
      </c>
      <c r="Z1191" s="3" t="n">
        <v>0</v>
      </c>
      <c r="AA1191" s="32" t="n">
        <v>0</v>
      </c>
      <c r="AB1191" s="3" t="n"/>
      <c r="AC1191" s="31" t="n">
        <v>0</v>
      </c>
      <c r="AD1191" s="2" t="n">
        <v>0</v>
      </c>
      <c r="AE1191" s="2" t="n">
        <v>0</v>
      </c>
      <c r="AF1191" s="4" t="n">
        <v>0</v>
      </c>
      <c r="AG1191" s="33" t="n">
        <v>0</v>
      </c>
      <c r="AH1191" s="4" t="n">
        <v>0</v>
      </c>
      <c r="AI1191" s="34" t="n"/>
      <c r="AJ1191" s="34" t="n">
        <v>0</v>
      </c>
      <c r="AK1191" s="2" t="n">
        <v>0</v>
      </c>
      <c r="AL1191" t="inlineStr">
        <is>
          <t>Published</t>
        </is>
      </c>
    </row>
    <row r="1192">
      <c r="A1192">
        <f>HYPERLINK("https://www.walmart.com/ip/16331922239", "16331922239")</f>
        <v/>
      </c>
      <c r="B1192">
        <f>HYPERLINK("https://app.optiwise.ai/catalog/itemdetails/20226543", "Catalonia Lightweight Ladies Bathrobe, Long Summer Robe with Pockets,Soft Summer Robes for Women, Kimono Gift for Her, Green")</f>
        <v/>
      </c>
      <c r="C1192" t="inlineStr">
        <is>
          <t>1CTRB504GN-5</t>
        </is>
      </c>
      <c r="D1192" t="inlineStr">
        <is>
          <t>Clothing</t>
        </is>
      </c>
      <c r="E1192" t="inlineStr">
        <is>
          <t>Sleepwear Robes &amp; Bathrobes</t>
        </is>
      </c>
      <c r="F1192" t="inlineStr">
        <is>
          <t>Catalonia</t>
        </is>
      </c>
      <c r="G1192" t="n">
        <v>0</v>
      </c>
      <c r="H1192" t="n">
        <v>0</v>
      </c>
      <c r="J1192" s="29" t="n">
        <v>0</v>
      </c>
      <c r="K1192" s="30" t="n"/>
      <c r="L1192" s="29" t="n">
        <v>0</v>
      </c>
      <c r="M1192" s="29" t="n">
        <v>0</v>
      </c>
      <c r="N1192" s="2" t="n">
        <v>0</v>
      </c>
      <c r="O1192" s="31" t="n">
        <v>0</v>
      </c>
      <c r="P1192" s="32" t="n"/>
      <c r="Q1192" s="32" t="n">
        <v>0</v>
      </c>
      <c r="R1192" s="32" t="n">
        <v>0</v>
      </c>
      <c r="S1192" s="31" t="n">
        <v>0</v>
      </c>
      <c r="T1192" s="32" t="n">
        <v>0</v>
      </c>
      <c r="U1192" s="31" t="n">
        <v>0</v>
      </c>
      <c r="V1192" s="31" t="n">
        <v>0</v>
      </c>
      <c r="W1192" s="3" t="n">
        <v>0</v>
      </c>
      <c r="X1192" s="3" t="n">
        <v>0</v>
      </c>
      <c r="Y1192" s="32" t="n">
        <v>0</v>
      </c>
      <c r="Z1192" s="3" t="n">
        <v>0</v>
      </c>
      <c r="AA1192" s="32" t="n">
        <v>0</v>
      </c>
      <c r="AB1192" s="3" t="n"/>
      <c r="AC1192" s="31" t="n">
        <v>0</v>
      </c>
      <c r="AD1192" s="2" t="n">
        <v>0</v>
      </c>
      <c r="AE1192" s="2" t="n">
        <v>0</v>
      </c>
      <c r="AF1192" s="4" t="n">
        <v>0</v>
      </c>
      <c r="AG1192" s="33" t="n">
        <v>0</v>
      </c>
      <c r="AH1192" s="4" t="n">
        <v>0</v>
      </c>
      <c r="AI1192" s="34" t="n"/>
      <c r="AJ1192" s="34" t="n">
        <v>0</v>
      </c>
      <c r="AK1192" s="2" t="n">
        <v>0</v>
      </c>
      <c r="AL1192" t="inlineStr">
        <is>
          <t>Published</t>
        </is>
      </c>
    </row>
    <row r="1193">
      <c r="A1193">
        <f>HYPERLINK("https://www.walmart.com/ip/16340064610", "16340064610")</f>
        <v/>
      </c>
      <c r="B1193">
        <f>HYPERLINK("https://app.optiwise.ai/catalog/itemdetails/20220944", "Summer Caps for Men and Women Patriotic Independence Day USA Flag UV Protect  Adjustable Unisex Hats for Sports, Khaki")</f>
        <v/>
      </c>
      <c r="C1193" t="inlineStr">
        <is>
          <t>1TRBC100KK</t>
        </is>
      </c>
      <c r="D1193" t="inlineStr">
        <is>
          <t>Clothing</t>
        </is>
      </c>
      <c r="E1193" t="inlineStr">
        <is>
          <t>Hats</t>
        </is>
      </c>
      <c r="F1193" t="inlineStr">
        <is>
          <t>Tirrinia</t>
        </is>
      </c>
      <c r="G1193" t="n">
        <v>0</v>
      </c>
      <c r="H1193" t="n">
        <v>0</v>
      </c>
      <c r="J1193" s="29" t="n">
        <v>0</v>
      </c>
      <c r="K1193" s="30" t="n"/>
      <c r="L1193" s="29" t="n">
        <v>0</v>
      </c>
      <c r="M1193" s="29" t="n">
        <v>0</v>
      </c>
      <c r="N1193" s="2" t="n">
        <v>0</v>
      </c>
      <c r="O1193" s="31" t="n">
        <v>0</v>
      </c>
      <c r="P1193" s="32" t="n"/>
      <c r="Q1193" s="32" t="n">
        <v>0</v>
      </c>
      <c r="R1193" s="32" t="n">
        <v>0</v>
      </c>
      <c r="S1193" s="31" t="n">
        <v>0</v>
      </c>
      <c r="T1193" s="32" t="n">
        <v>0</v>
      </c>
      <c r="U1193" s="31" t="n">
        <v>0</v>
      </c>
      <c r="V1193" s="31" t="n">
        <v>0</v>
      </c>
      <c r="W1193" s="3" t="n">
        <v>0</v>
      </c>
      <c r="X1193" s="3" t="n">
        <v>0</v>
      </c>
      <c r="Y1193" s="32" t="n">
        <v>0</v>
      </c>
      <c r="Z1193" s="3" t="n">
        <v>0</v>
      </c>
      <c r="AA1193" s="32" t="n">
        <v>0</v>
      </c>
      <c r="AB1193" s="3" t="n"/>
      <c r="AC1193" s="31" t="n">
        <v>0</v>
      </c>
      <c r="AD1193" s="2" t="n">
        <v>0</v>
      </c>
      <c r="AE1193" s="2" t="n">
        <v>0</v>
      </c>
      <c r="AF1193" s="4" t="n">
        <v>0</v>
      </c>
      <c r="AG1193" s="33" t="n">
        <v>0</v>
      </c>
      <c r="AH1193" s="4" t="n">
        <v>0</v>
      </c>
      <c r="AI1193" s="34" t="n"/>
      <c r="AJ1193" s="34" t="n">
        <v>0</v>
      </c>
      <c r="AK1193" s="2" t="n">
        <v>0</v>
      </c>
      <c r="AL1193" t="inlineStr">
        <is>
          <t>Published</t>
        </is>
      </c>
    </row>
    <row r="1194">
      <c r="A1194">
        <f>HYPERLINK("https://www.walmart.com/ip/16321212162", "16321212162")</f>
        <v/>
      </c>
      <c r="B1194">
        <f>HYPERLINK("https://app.optiwise.ai/catalog/itemdetails/20220943", "Tirrinia Fleec Wearable Travel Blanket with Foot Pockets for Women &amp; Men | Zippered Front Pocket | Super Soft Lightweight &amp; Cozy Throw Blanket for Adults, One Size Fits All, Purple Honeycomb")</f>
        <v/>
      </c>
      <c r="C1194" t="inlineStr">
        <is>
          <t>1TRTB102PPHCB</t>
        </is>
      </c>
      <c r="D1194" t="inlineStr">
        <is>
          <t>Bedding</t>
        </is>
      </c>
      <c r="E1194" t="inlineStr">
        <is>
          <t>Throws</t>
        </is>
      </c>
      <c r="F1194" t="inlineStr">
        <is>
          <t>Tirrinia</t>
        </is>
      </c>
      <c r="G1194" t="n">
        <v>0</v>
      </c>
      <c r="H1194" t="n">
        <v>0</v>
      </c>
      <c r="J1194" s="29" t="n">
        <v>0</v>
      </c>
      <c r="K1194" s="30" t="n"/>
      <c r="L1194" s="29" t="n">
        <v>0</v>
      </c>
      <c r="M1194" s="29" t="n">
        <v>0</v>
      </c>
      <c r="N1194" s="2" t="n">
        <v>0</v>
      </c>
      <c r="O1194" s="31" t="n">
        <v>0</v>
      </c>
      <c r="P1194" s="32" t="n"/>
      <c r="Q1194" s="32" t="n">
        <v>0</v>
      </c>
      <c r="R1194" s="32" t="n">
        <v>0</v>
      </c>
      <c r="S1194" s="31" t="n">
        <v>0</v>
      </c>
      <c r="T1194" s="32" t="n">
        <v>0</v>
      </c>
      <c r="U1194" s="31" t="n">
        <v>0</v>
      </c>
      <c r="V1194" s="31" t="n">
        <v>0</v>
      </c>
      <c r="W1194" s="3" t="n">
        <v>0</v>
      </c>
      <c r="X1194" s="3" t="n">
        <v>0</v>
      </c>
      <c r="Y1194" s="32" t="n">
        <v>0</v>
      </c>
      <c r="Z1194" s="3" t="n">
        <v>0</v>
      </c>
      <c r="AA1194" s="32" t="n">
        <v>0</v>
      </c>
      <c r="AB1194" s="3" t="n"/>
      <c r="AC1194" s="31" t="n">
        <v>0</v>
      </c>
      <c r="AD1194" s="2" t="n">
        <v>0</v>
      </c>
      <c r="AE1194" s="2" t="n">
        <v>0</v>
      </c>
      <c r="AF1194" s="4" t="n">
        <v>0</v>
      </c>
      <c r="AG1194" s="33" t="n">
        <v>0</v>
      </c>
      <c r="AH1194" s="4" t="n">
        <v>0</v>
      </c>
      <c r="AI1194" s="34" t="n"/>
      <c r="AJ1194" s="34" t="n">
        <v>0</v>
      </c>
      <c r="AK1194" s="2" t="n">
        <v>0</v>
      </c>
      <c r="AL1194" t="inlineStr">
        <is>
          <t>Published</t>
        </is>
      </c>
    </row>
    <row r="1195">
      <c r="A1195">
        <f>HYPERLINK("https://www.walmart.com/ip/16315770596", "16315770596")</f>
        <v/>
      </c>
      <c r="B1195">
        <f>HYPERLINK("https://app.optiwise.ai/catalog/itemdetails/20220942", "Summer Caps for Men and Women Patriotic Independence Day USA Flag UV Protect  Adjustable Unisex Hats for Sports, Green")</f>
        <v/>
      </c>
      <c r="C1195" t="inlineStr">
        <is>
          <t>1TRBC100GN</t>
        </is>
      </c>
      <c r="D1195" t="inlineStr">
        <is>
          <t>Clothing</t>
        </is>
      </c>
      <c r="E1195" t="inlineStr">
        <is>
          <t>Hats</t>
        </is>
      </c>
      <c r="F1195" t="inlineStr">
        <is>
          <t>Tirrinia</t>
        </is>
      </c>
      <c r="G1195" t="n">
        <v>0</v>
      </c>
      <c r="H1195" t="n">
        <v>0</v>
      </c>
      <c r="J1195" s="29" t="n">
        <v>0</v>
      </c>
      <c r="K1195" s="30" t="n"/>
      <c r="L1195" s="29" t="n">
        <v>0</v>
      </c>
      <c r="M1195" s="29" t="n">
        <v>0</v>
      </c>
      <c r="N1195" s="2" t="n">
        <v>0</v>
      </c>
      <c r="O1195" s="31" t="n">
        <v>0</v>
      </c>
      <c r="P1195" s="32" t="n"/>
      <c r="Q1195" s="32" t="n">
        <v>0</v>
      </c>
      <c r="R1195" s="32" t="n">
        <v>0</v>
      </c>
      <c r="S1195" s="31" t="n">
        <v>0</v>
      </c>
      <c r="T1195" s="32" t="n">
        <v>0</v>
      </c>
      <c r="U1195" s="31" t="n">
        <v>0</v>
      </c>
      <c r="V1195" s="31" t="n">
        <v>0</v>
      </c>
      <c r="W1195" s="3" t="n">
        <v>0</v>
      </c>
      <c r="X1195" s="3" t="n">
        <v>0</v>
      </c>
      <c r="Y1195" s="32" t="n">
        <v>0</v>
      </c>
      <c r="Z1195" s="3" t="n">
        <v>0</v>
      </c>
      <c r="AA1195" s="32" t="n">
        <v>0</v>
      </c>
      <c r="AB1195" s="3" t="n"/>
      <c r="AC1195" s="31" t="n">
        <v>0</v>
      </c>
      <c r="AD1195" s="2" t="n">
        <v>0</v>
      </c>
      <c r="AE1195" s="2" t="n">
        <v>0</v>
      </c>
      <c r="AF1195" s="4" t="n">
        <v>0</v>
      </c>
      <c r="AG1195" s="33" t="n">
        <v>0</v>
      </c>
      <c r="AH1195" s="4" t="n">
        <v>0</v>
      </c>
      <c r="AI1195" s="34" t="n"/>
      <c r="AJ1195" s="34" t="n">
        <v>0</v>
      </c>
      <c r="AK1195" s="2" t="n">
        <v>0</v>
      </c>
      <c r="AL1195" t="inlineStr">
        <is>
          <t>Published</t>
        </is>
      </c>
    </row>
    <row r="1196">
      <c r="A1196">
        <f>HYPERLINK("https://www.walmart.com/ip/16315467560", "16315467560")</f>
        <v/>
      </c>
      <c r="B1196">
        <f>HYPERLINK("https://app.optiwise.ai/catalog/itemdetails/20220941", "Tirrinia Fleec Wearable Travel Blanket with Foot Pockets for Women &amp; Men | Zippered Front Pocket | Super Soft Lightweight &amp; Cozy Throw Blanket for Adults, One Size Fits All, Pink Honeycomb")</f>
        <v/>
      </c>
      <c r="C1196" t="inlineStr">
        <is>
          <t>1TRTB102PKHCB</t>
        </is>
      </c>
      <c r="D1196" t="inlineStr">
        <is>
          <t>Bedding</t>
        </is>
      </c>
      <c r="E1196" t="inlineStr">
        <is>
          <t>Throws</t>
        </is>
      </c>
      <c r="F1196" t="inlineStr">
        <is>
          <t>Tirrinia</t>
        </is>
      </c>
      <c r="G1196" t="n">
        <v>0</v>
      </c>
      <c r="H1196" t="n">
        <v>0</v>
      </c>
      <c r="J1196" s="29" t="n">
        <v>0</v>
      </c>
      <c r="K1196" s="30" t="n"/>
      <c r="L1196" s="29" t="n">
        <v>0</v>
      </c>
      <c r="M1196" s="29" t="n">
        <v>0</v>
      </c>
      <c r="N1196" s="2" t="n">
        <v>0</v>
      </c>
      <c r="O1196" s="31" t="n">
        <v>0</v>
      </c>
      <c r="P1196" s="32" t="n"/>
      <c r="Q1196" s="32" t="n">
        <v>0</v>
      </c>
      <c r="R1196" s="32" t="n">
        <v>0</v>
      </c>
      <c r="S1196" s="31" t="n">
        <v>0</v>
      </c>
      <c r="T1196" s="32" t="n">
        <v>0</v>
      </c>
      <c r="U1196" s="31" t="n">
        <v>0</v>
      </c>
      <c r="V1196" s="31" t="n">
        <v>0</v>
      </c>
      <c r="W1196" s="3" t="n">
        <v>0</v>
      </c>
      <c r="X1196" s="3" t="n">
        <v>0</v>
      </c>
      <c r="Y1196" s="32" t="n">
        <v>0</v>
      </c>
      <c r="Z1196" s="3" t="n">
        <v>0</v>
      </c>
      <c r="AA1196" s="32" t="n">
        <v>0</v>
      </c>
      <c r="AB1196" s="3" t="n"/>
      <c r="AC1196" s="31" t="n">
        <v>0</v>
      </c>
      <c r="AD1196" s="2" t="n">
        <v>0</v>
      </c>
      <c r="AE1196" s="2" t="n">
        <v>0</v>
      </c>
      <c r="AF1196" s="4" t="n">
        <v>0</v>
      </c>
      <c r="AG1196" s="33" t="n">
        <v>0</v>
      </c>
      <c r="AH1196" s="4" t="n">
        <v>0</v>
      </c>
      <c r="AI1196" s="34" t="n"/>
      <c r="AJ1196" s="34" t="n">
        <v>0</v>
      </c>
      <c r="AK1196" s="2" t="n">
        <v>0</v>
      </c>
      <c r="AL1196" t="inlineStr">
        <is>
          <t>Published</t>
        </is>
      </c>
    </row>
    <row r="1197">
      <c r="A1197">
        <f>HYPERLINK("https://www.walmart.com/ip/16301850024", "16301850024")</f>
        <v/>
      </c>
      <c r="B1197">
        <f>HYPERLINK("https://app.optiwise.ai/catalog/itemdetails/20220940", "Tirrinia Beach Lounge Chair Cover, Portable Chaise Beach Towel, Sunbathing for Beach Pool Patio Garden Courtyard Outdoor Trips, 31 x 78 inch BLUE + Stripe")</f>
        <v/>
      </c>
      <c r="C1197" t="inlineStr">
        <is>
          <t>1TRBM20237BLSTR</t>
        </is>
      </c>
      <c r="D1197" t="inlineStr">
        <is>
          <t>Sport &amp; Recreation Other</t>
        </is>
      </c>
      <c r="E1197" t="inlineStr">
        <is>
          <t>Patio Furniture Covers</t>
        </is>
      </c>
      <c r="F1197" t="inlineStr">
        <is>
          <t>Tirrinia</t>
        </is>
      </c>
      <c r="G1197" t="n">
        <v>0</v>
      </c>
      <c r="H1197" t="n">
        <v>0</v>
      </c>
      <c r="J1197" s="29" t="n">
        <v>0</v>
      </c>
      <c r="K1197" s="30" t="n"/>
      <c r="L1197" s="29" t="n">
        <v>0</v>
      </c>
      <c r="M1197" s="29" t="n">
        <v>0</v>
      </c>
      <c r="N1197" s="2" t="n">
        <v>0</v>
      </c>
      <c r="O1197" s="31" t="n">
        <v>0</v>
      </c>
      <c r="P1197" s="32" t="n"/>
      <c r="Q1197" s="32" t="n">
        <v>0</v>
      </c>
      <c r="R1197" s="32" t="n">
        <v>0</v>
      </c>
      <c r="S1197" s="31" t="n">
        <v>0</v>
      </c>
      <c r="T1197" s="32" t="n">
        <v>0</v>
      </c>
      <c r="U1197" s="31" t="n">
        <v>0</v>
      </c>
      <c r="V1197" s="31" t="n">
        <v>0</v>
      </c>
      <c r="W1197" s="3" t="n">
        <v>0</v>
      </c>
      <c r="X1197" s="3" t="n">
        <v>0</v>
      </c>
      <c r="Y1197" s="32" t="n">
        <v>0</v>
      </c>
      <c r="Z1197" s="3" t="n">
        <v>0</v>
      </c>
      <c r="AA1197" s="32" t="n">
        <v>0</v>
      </c>
      <c r="AB1197" s="3" t="n"/>
      <c r="AC1197" s="31" t="n">
        <v>0</v>
      </c>
      <c r="AD1197" s="2" t="n">
        <v>0</v>
      </c>
      <c r="AE1197" s="2" t="n">
        <v>0</v>
      </c>
      <c r="AF1197" s="4" t="n">
        <v>0</v>
      </c>
      <c r="AG1197" s="33" t="n">
        <v>0</v>
      </c>
      <c r="AH1197" s="4" t="n">
        <v>0</v>
      </c>
      <c r="AI1197" s="34" t="n"/>
      <c r="AJ1197" s="34" t="n">
        <v>0</v>
      </c>
      <c r="AK1197" s="2" t="n">
        <v>0</v>
      </c>
      <c r="AL1197" t="inlineStr">
        <is>
          <t>Published</t>
        </is>
      </c>
    </row>
    <row r="1198">
      <c r="A1198">
        <f>HYPERLINK("https://www.walmart.com/ip/16301800897", "16301800897")</f>
        <v/>
      </c>
      <c r="B1198">
        <f>HYPERLINK("https://app.optiwise.ai/catalog/itemdetails/20220939", "Tirrinia Fleec Wearable Travel Blanket with Foot Pockets for Women &amp; Men | Zippered Front Pocket | Super Soft Lightweight &amp; Cozy Throw Blanket for Adults, One Size Fits All, Grey Honeycomb")</f>
        <v/>
      </c>
      <c r="C1198" t="inlineStr">
        <is>
          <t>1TRTB102GYHCB</t>
        </is>
      </c>
      <c r="D1198" t="inlineStr">
        <is>
          <t>Bedding</t>
        </is>
      </c>
      <c r="E1198" t="inlineStr">
        <is>
          <t>Throws</t>
        </is>
      </c>
      <c r="F1198" t="inlineStr">
        <is>
          <t>Tirrinia</t>
        </is>
      </c>
      <c r="G1198" t="n">
        <v>0</v>
      </c>
      <c r="H1198" t="n">
        <v>0</v>
      </c>
      <c r="J1198" s="29" t="n">
        <v>0</v>
      </c>
      <c r="K1198" s="30" t="n"/>
      <c r="L1198" s="29" t="n">
        <v>0</v>
      </c>
      <c r="M1198" s="29" t="n">
        <v>0</v>
      </c>
      <c r="N1198" s="2" t="n">
        <v>0</v>
      </c>
      <c r="O1198" s="31" t="n">
        <v>0</v>
      </c>
      <c r="P1198" s="32" t="n"/>
      <c r="Q1198" s="32" t="n">
        <v>0</v>
      </c>
      <c r="R1198" s="32" t="n">
        <v>0</v>
      </c>
      <c r="S1198" s="31" t="n">
        <v>0</v>
      </c>
      <c r="T1198" s="32" t="n">
        <v>0</v>
      </c>
      <c r="U1198" s="31" t="n">
        <v>0</v>
      </c>
      <c r="V1198" s="31" t="n">
        <v>0</v>
      </c>
      <c r="W1198" s="3" t="n">
        <v>0</v>
      </c>
      <c r="X1198" s="3" t="n">
        <v>0</v>
      </c>
      <c r="Y1198" s="32" t="n">
        <v>0</v>
      </c>
      <c r="Z1198" s="3" t="n">
        <v>0</v>
      </c>
      <c r="AA1198" s="32" t="n">
        <v>0</v>
      </c>
      <c r="AB1198" s="3" t="n"/>
      <c r="AC1198" s="31" t="n">
        <v>0</v>
      </c>
      <c r="AD1198" s="2" t="n">
        <v>0</v>
      </c>
      <c r="AE1198" s="2" t="n">
        <v>0</v>
      </c>
      <c r="AF1198" s="4" t="n">
        <v>0</v>
      </c>
      <c r="AG1198" s="33" t="n">
        <v>0</v>
      </c>
      <c r="AH1198" s="4" t="n">
        <v>0</v>
      </c>
      <c r="AI1198" s="34" t="n"/>
      <c r="AJ1198" s="34" t="n">
        <v>0</v>
      </c>
      <c r="AK1198" s="2" t="n">
        <v>0</v>
      </c>
      <c r="AL1198" t="inlineStr">
        <is>
          <t>Published</t>
        </is>
      </c>
    </row>
    <row r="1199">
      <c r="A1199">
        <f>HYPERLINK("https://www.walmart.com/ip/15523208717", "15523208717")</f>
        <v/>
      </c>
      <c r="B1199">
        <f>HYPERLINK("https://app.optiwise.ai/catalog/itemdetails/20134787", "Tirrinia Waterproof Outdoor Blanket with Sherpa Lining, Windproof Triple Layers Warm Comfy Foldable for Camping Stadium, Sports, Picnic, Grass, Concerts, Pet, 51''X 59'' Grey - Machine Washable")</f>
        <v/>
      </c>
      <c r="C1199" t="inlineStr">
        <is>
          <t>1TRBW608CAMOOR</t>
        </is>
      </c>
      <c r="D1199" t="inlineStr">
        <is>
          <t>Sport &amp; Recreation Other</t>
        </is>
      </c>
      <c r="E1199" t="inlineStr">
        <is>
          <t>Picnic Blankets &amp; Mats</t>
        </is>
      </c>
      <c r="F1199" t="inlineStr">
        <is>
          <t>Tirrinia</t>
        </is>
      </c>
      <c r="G1199" t="n">
        <v>4.3</v>
      </c>
      <c r="H1199" t="n">
        <v>9</v>
      </c>
      <c r="J1199" s="29" t="n">
        <v>0</v>
      </c>
      <c r="K1199" s="30" t="n"/>
      <c r="L1199" s="29" t="n">
        <v>0</v>
      </c>
      <c r="M1199" s="29" t="n">
        <v>0</v>
      </c>
      <c r="N1199" s="2" t="n">
        <v>0</v>
      </c>
      <c r="O1199" s="31" t="n">
        <v>0</v>
      </c>
      <c r="P1199" s="32" t="n"/>
      <c r="Q1199" s="32" t="n">
        <v>0</v>
      </c>
      <c r="R1199" s="32" t="n">
        <v>0</v>
      </c>
      <c r="S1199" s="31" t="n">
        <v>0</v>
      </c>
      <c r="T1199" s="32" t="n">
        <v>0</v>
      </c>
      <c r="U1199" s="31" t="n">
        <v>0</v>
      </c>
      <c r="V1199" s="31" t="n">
        <v>0</v>
      </c>
      <c r="W1199" s="3" t="n">
        <v>0</v>
      </c>
      <c r="X1199" s="3" t="n">
        <v>0</v>
      </c>
      <c r="Y1199" s="32" t="n">
        <v>0</v>
      </c>
      <c r="Z1199" s="3" t="n">
        <v>0</v>
      </c>
      <c r="AA1199" s="32" t="n">
        <v>0</v>
      </c>
      <c r="AB1199" s="3" t="n"/>
      <c r="AC1199" s="31" t="n">
        <v>0</v>
      </c>
      <c r="AD1199" s="2" t="n">
        <v>0</v>
      </c>
      <c r="AE1199" s="2" t="n">
        <v>0</v>
      </c>
      <c r="AF1199" s="4" t="n">
        <v>0</v>
      </c>
      <c r="AG1199" s="33" t="n">
        <v>0</v>
      </c>
      <c r="AH1199" s="4" t="n">
        <v>0</v>
      </c>
      <c r="AI1199" s="34" t="n"/>
      <c r="AJ1199" s="34" t="n">
        <v>0</v>
      </c>
      <c r="AK1199" s="2" t="n">
        <v>0</v>
      </c>
      <c r="AL1199" t="inlineStr">
        <is>
          <t>Published</t>
        </is>
      </c>
    </row>
    <row r="1200">
      <c r="A1200">
        <f>HYPERLINK("https://www.walmart.com/ip/15491064007", "15491064007")</f>
        <v/>
      </c>
      <c r="B1200">
        <f>HYPERLINK("https://app.optiwise.ai/catalog/itemdetails/20131086", "Dickies Journeyman Large Capacity Backpack Classic Logo Water Resistant Casual Daypack for Travel Fits 15.6 Inch Notebook")</f>
        <v/>
      </c>
      <c r="C1200" t="inlineStr">
        <is>
          <t>DK-BACKPACK-15169-BROWNDUCK</t>
        </is>
      </c>
      <c r="D1200" t="inlineStr">
        <is>
          <t>Cases &amp; Bags</t>
        </is>
      </c>
      <c r="E1200" t="inlineStr">
        <is>
          <t>Backpacks</t>
        </is>
      </c>
      <c r="F1200" t="inlineStr">
        <is>
          <t>Dickies</t>
        </is>
      </c>
      <c r="G1200" t="n">
        <v>0</v>
      </c>
      <c r="H1200" t="n">
        <v>0</v>
      </c>
      <c r="J1200" s="29" t="n">
        <v>0</v>
      </c>
      <c r="K1200" s="30" t="n"/>
      <c r="L1200" s="29" t="n">
        <v>0</v>
      </c>
      <c r="M1200" s="29" t="n">
        <v>0</v>
      </c>
      <c r="N1200" s="2" t="n">
        <v>0</v>
      </c>
      <c r="O1200" s="31" t="n">
        <v>0</v>
      </c>
      <c r="P1200" s="32" t="n"/>
      <c r="Q1200" s="32" t="n">
        <v>0</v>
      </c>
      <c r="R1200" s="32" t="n">
        <v>0</v>
      </c>
      <c r="S1200" s="31" t="n">
        <v>0</v>
      </c>
      <c r="T1200" s="32" t="n">
        <v>0</v>
      </c>
      <c r="U1200" s="31" t="n">
        <v>0</v>
      </c>
      <c r="V1200" s="31" t="n">
        <v>0</v>
      </c>
      <c r="W1200" s="3" t="n">
        <v>0</v>
      </c>
      <c r="X1200" s="3" t="n">
        <v>0</v>
      </c>
      <c r="Y1200" s="32" t="n">
        <v>0</v>
      </c>
      <c r="Z1200" s="3" t="n">
        <v>0</v>
      </c>
      <c r="AA1200" s="32" t="n">
        <v>0</v>
      </c>
      <c r="AB1200" s="3" t="n"/>
      <c r="AC1200" s="31" t="n">
        <v>0</v>
      </c>
      <c r="AD1200" s="2" t="n">
        <v>0</v>
      </c>
      <c r="AE1200" s="2" t="n">
        <v>0</v>
      </c>
      <c r="AF1200" s="4" t="n">
        <v>0</v>
      </c>
      <c r="AG1200" s="33" t="n">
        <v>0</v>
      </c>
      <c r="AH1200" s="4" t="n">
        <v>0</v>
      </c>
      <c r="AI1200" s="34" t="n"/>
      <c r="AJ1200" s="34" t="n">
        <v>0</v>
      </c>
      <c r="AK1200" s="2" t="n">
        <v>0</v>
      </c>
      <c r="AL1200" t="inlineStr">
        <is>
          <t>Published</t>
        </is>
      </c>
    </row>
    <row r="1201">
      <c r="A1201">
        <f>HYPERLINK("https://www.walmart.com/ip/14537357557", "14537357557")</f>
        <v/>
      </c>
      <c r="B1201">
        <f>HYPERLINK("https://app.optiwise.ai/catalog/itemdetails/13059122", "PEANUTS Toddler Boys Girls Snoopy Family Matching Pajamas Sleepwear 2-Piece Sets for Christmas with Woodstock Charlie Brown Linus (Red Polka Dot, 3T)")</f>
        <v/>
      </c>
      <c r="C1201" t="inlineStr">
        <is>
          <t>PEA-PJS-FAMILY-TODDLER-RED-3T</t>
        </is>
      </c>
      <c r="D1201" t="inlineStr">
        <is>
          <t>Clothing</t>
        </is>
      </c>
      <c r="E1201" t="inlineStr">
        <is>
          <t>Pajamas</t>
        </is>
      </c>
      <c r="F1201" t="inlineStr">
        <is>
          <t>Peanuts</t>
        </is>
      </c>
      <c r="G1201" t="n">
        <v>0</v>
      </c>
      <c r="H1201" t="n">
        <v>0</v>
      </c>
      <c r="J1201" s="29" t="n">
        <v>0</v>
      </c>
      <c r="K1201" s="30" t="n"/>
      <c r="L1201" s="29" t="n">
        <v>0</v>
      </c>
      <c r="M1201" s="29" t="n">
        <v>0</v>
      </c>
      <c r="N1201" s="2" t="n">
        <v>0</v>
      </c>
      <c r="O1201" s="31" t="n">
        <v>0</v>
      </c>
      <c r="P1201" s="32" t="n"/>
      <c r="Q1201" s="32" t="n">
        <v>0</v>
      </c>
      <c r="R1201" s="32" t="n">
        <v>0</v>
      </c>
      <c r="S1201" s="31" t="n">
        <v>0</v>
      </c>
      <c r="T1201" s="32" t="n">
        <v>0</v>
      </c>
      <c r="U1201" s="31" t="n">
        <v>0</v>
      </c>
      <c r="V1201" s="31" t="n">
        <v>0</v>
      </c>
      <c r="W1201" s="3" t="n">
        <v>0</v>
      </c>
      <c r="X1201" s="3" t="n">
        <v>0</v>
      </c>
      <c r="Y1201" s="32" t="n">
        <v>0</v>
      </c>
      <c r="Z1201" s="3" t="n">
        <v>0</v>
      </c>
      <c r="AA1201" s="32" t="n">
        <v>0</v>
      </c>
      <c r="AB1201" s="3" t="n"/>
      <c r="AC1201" s="31" t="n">
        <v>0</v>
      </c>
      <c r="AD1201" s="2" t="n">
        <v>0</v>
      </c>
      <c r="AE1201" s="2" t="n">
        <v>0</v>
      </c>
      <c r="AF1201" s="4" t="n">
        <v>0</v>
      </c>
      <c r="AG1201" s="33" t="n">
        <v>0</v>
      </c>
      <c r="AH1201" s="4" t="n">
        <v>0</v>
      </c>
      <c r="AI1201" s="34" t="n"/>
      <c r="AJ1201" s="34" t="n">
        <v>0</v>
      </c>
      <c r="AK1201" s="2" t="n">
        <v>0</v>
      </c>
      <c r="AL1201" t="inlineStr">
        <is>
          <t>Published</t>
        </is>
      </c>
    </row>
    <row r="1202">
      <c r="A1202">
        <f>HYPERLINK("https://www.walmart.com/ip/14490451678", "14490451678")</f>
        <v/>
      </c>
      <c r="B1202">
        <f>HYPERLINK("https://app.optiwise.ai/catalog/itemdetails/13059137", "PEANUTS Womens 100% Cotton Family Matching Pajamas Holiday Festive Nightwear Sleepwear 2-Piece Sets for Christmas Gifts (Red Plaid, S)")</f>
        <v/>
      </c>
      <c r="C1202" t="inlineStr">
        <is>
          <t>PEA-PJS-FAMILY-WOMEN-REDPLAID-S</t>
        </is>
      </c>
      <c r="D1202" t="inlineStr">
        <is>
          <t>Clothing</t>
        </is>
      </c>
      <c r="E1202" t="inlineStr">
        <is>
          <t>Pajamas</t>
        </is>
      </c>
      <c r="F1202" t="inlineStr">
        <is>
          <t>Peanuts</t>
        </is>
      </c>
      <c r="G1202" t="n">
        <v>0</v>
      </c>
      <c r="H1202" t="n">
        <v>0</v>
      </c>
      <c r="J1202" s="29" t="n">
        <v>0</v>
      </c>
      <c r="K1202" s="30" t="n"/>
      <c r="L1202" s="29" t="n">
        <v>0</v>
      </c>
      <c r="M1202" s="29" t="n">
        <v>0</v>
      </c>
      <c r="N1202" s="2" t="n">
        <v>0</v>
      </c>
      <c r="O1202" s="31" t="n">
        <v>0</v>
      </c>
      <c r="P1202" s="32" t="n"/>
      <c r="Q1202" s="32" t="n">
        <v>0</v>
      </c>
      <c r="R1202" s="32" t="n">
        <v>0</v>
      </c>
      <c r="S1202" s="31" t="n">
        <v>0</v>
      </c>
      <c r="T1202" s="32" t="n">
        <v>0</v>
      </c>
      <c r="U1202" s="31" t="n">
        <v>0</v>
      </c>
      <c r="V1202" s="31" t="n">
        <v>0</v>
      </c>
      <c r="W1202" s="3" t="n">
        <v>0</v>
      </c>
      <c r="X1202" s="3" t="n">
        <v>0</v>
      </c>
      <c r="Y1202" s="32" t="n">
        <v>0</v>
      </c>
      <c r="Z1202" s="3" t="n">
        <v>0</v>
      </c>
      <c r="AA1202" s="32" t="n">
        <v>0</v>
      </c>
      <c r="AB1202" s="3" t="n"/>
      <c r="AC1202" s="31" t="n">
        <v>0</v>
      </c>
      <c r="AD1202" s="2" t="n">
        <v>0</v>
      </c>
      <c r="AE1202" s="2" t="n">
        <v>0</v>
      </c>
      <c r="AF1202" s="4" t="n">
        <v>0</v>
      </c>
      <c r="AG1202" s="33" t="n">
        <v>0</v>
      </c>
      <c r="AH1202" s="4" t="n">
        <v>0</v>
      </c>
      <c r="AI1202" s="34" t="n"/>
      <c r="AJ1202" s="34" t="n">
        <v>0</v>
      </c>
      <c r="AK1202" s="2" t="n">
        <v>0</v>
      </c>
      <c r="AL1202" t="inlineStr">
        <is>
          <t>Published</t>
        </is>
      </c>
    </row>
    <row r="1203">
      <c r="A1203">
        <f>HYPERLINK("https://www.walmart.com/ip/14534159426", "14534159426")</f>
        <v/>
      </c>
      <c r="B1203">
        <f>HYPERLINK("https://app.optiwise.ai/catalog/itemdetails/13059601", "Aeropostale  Backpack for School, College, and Travel， Water Resistant Bookbag Black Astro")</f>
        <v/>
      </c>
      <c r="C1203" t="inlineStr">
        <is>
          <t>1AEBPK92029BKASTRO</t>
        </is>
      </c>
      <c r="D1203" t="inlineStr">
        <is>
          <t>Cases &amp; Bags</t>
        </is>
      </c>
      <c r="E1203" t="inlineStr">
        <is>
          <t>Backpacks</t>
        </is>
      </c>
      <c r="F1203" t="inlineStr">
        <is>
          <t>Aeropostale</t>
        </is>
      </c>
      <c r="G1203" t="n">
        <v>0</v>
      </c>
      <c r="H1203" t="n">
        <v>0</v>
      </c>
      <c r="J1203" s="29" t="n">
        <v>0</v>
      </c>
      <c r="K1203" s="30" t="n"/>
      <c r="L1203" s="29" t="n">
        <v>0</v>
      </c>
      <c r="M1203" s="29" t="n">
        <v>0</v>
      </c>
      <c r="N1203" s="2" t="n">
        <v>0</v>
      </c>
      <c r="O1203" s="31" t="n">
        <v>0</v>
      </c>
      <c r="P1203" s="32" t="n"/>
      <c r="Q1203" s="32" t="n">
        <v>0</v>
      </c>
      <c r="R1203" s="32" t="n">
        <v>0</v>
      </c>
      <c r="S1203" s="31" t="n">
        <v>0</v>
      </c>
      <c r="T1203" s="32" t="n">
        <v>0</v>
      </c>
      <c r="U1203" s="31" t="n">
        <v>0</v>
      </c>
      <c r="V1203" s="31" t="n">
        <v>0</v>
      </c>
      <c r="W1203" s="3" t="n">
        <v>0</v>
      </c>
      <c r="X1203" s="3" t="n">
        <v>0</v>
      </c>
      <c r="Y1203" s="32" t="n">
        <v>0</v>
      </c>
      <c r="Z1203" s="3" t="n">
        <v>0</v>
      </c>
      <c r="AA1203" s="32" t="n">
        <v>0</v>
      </c>
      <c r="AB1203" s="3" t="n"/>
      <c r="AC1203" s="31" t="n">
        <v>0</v>
      </c>
      <c r="AD1203" s="2" t="n">
        <v>0</v>
      </c>
      <c r="AE1203" s="2" t="n">
        <v>11</v>
      </c>
      <c r="AF1203" s="4" t="n">
        <v>11</v>
      </c>
      <c r="AG1203" s="33" t="n">
        <v>0</v>
      </c>
      <c r="AH1203" s="4" t="n">
        <v>0</v>
      </c>
      <c r="AI1203" s="34" t="n"/>
      <c r="AJ1203" s="34" t="n">
        <v>0</v>
      </c>
      <c r="AK1203" s="2" t="n">
        <v>0</v>
      </c>
      <c r="AL1203" t="inlineStr">
        <is>
          <t>Published</t>
        </is>
      </c>
    </row>
    <row r="1204">
      <c r="A1204">
        <f>HYPERLINK("https://www.walmart.com/ip/14544254611", "14544254611")</f>
        <v/>
      </c>
      <c r="B1204">
        <f>HYPERLINK("https://app.optiwise.ai/catalog/itemdetails/13059600", "Aeropostale  Backpack for School, College, and Travel， Water Resistant Bookbag Blue Smile")</f>
        <v/>
      </c>
      <c r="C1204" t="inlineStr">
        <is>
          <t>1AEBPK92029BLSMILE</t>
        </is>
      </c>
      <c r="D1204" t="inlineStr">
        <is>
          <t>Cases &amp; Bags</t>
        </is>
      </c>
      <c r="E1204" t="inlineStr">
        <is>
          <t>Backpacks</t>
        </is>
      </c>
      <c r="F1204" t="inlineStr">
        <is>
          <t>Aeropostale</t>
        </is>
      </c>
      <c r="G1204" t="n">
        <v>0</v>
      </c>
      <c r="H1204" t="n">
        <v>0</v>
      </c>
      <c r="J1204" s="29" t="n">
        <v>0</v>
      </c>
      <c r="K1204" s="30" t="n"/>
      <c r="L1204" s="29" t="n">
        <v>0</v>
      </c>
      <c r="M1204" s="29" t="n">
        <v>0</v>
      </c>
      <c r="N1204" s="2" t="n">
        <v>0</v>
      </c>
      <c r="O1204" s="31" t="n">
        <v>0</v>
      </c>
      <c r="P1204" s="32" t="n"/>
      <c r="Q1204" s="32" t="n">
        <v>0</v>
      </c>
      <c r="R1204" s="32" t="n">
        <v>0</v>
      </c>
      <c r="S1204" s="31" t="n">
        <v>0</v>
      </c>
      <c r="T1204" s="32" t="n">
        <v>0</v>
      </c>
      <c r="U1204" s="31" t="n">
        <v>0</v>
      </c>
      <c r="V1204" s="31" t="n">
        <v>0</v>
      </c>
      <c r="W1204" s="3" t="n">
        <v>0</v>
      </c>
      <c r="X1204" s="3" t="n">
        <v>0</v>
      </c>
      <c r="Y1204" s="32" t="n">
        <v>0</v>
      </c>
      <c r="Z1204" s="3" t="n">
        <v>0</v>
      </c>
      <c r="AA1204" s="32" t="n">
        <v>0</v>
      </c>
      <c r="AB1204" s="3" t="n"/>
      <c r="AC1204" s="31" t="n">
        <v>0</v>
      </c>
      <c r="AD1204" s="2" t="n">
        <v>0</v>
      </c>
      <c r="AE1204" s="2" t="n">
        <v>0</v>
      </c>
      <c r="AF1204" s="4" t="n">
        <v>0</v>
      </c>
      <c r="AG1204" s="33" t="n">
        <v>0</v>
      </c>
      <c r="AH1204" s="4" t="n">
        <v>0</v>
      </c>
      <c r="AI1204" s="34" t="n"/>
      <c r="AJ1204" s="34" t="n">
        <v>0</v>
      </c>
      <c r="AK1204" s="2" t="n">
        <v>0</v>
      </c>
      <c r="AL1204" t="inlineStr">
        <is>
          <t>Published</t>
        </is>
      </c>
    </row>
    <row r="1205">
      <c r="A1205">
        <f>HYPERLINK("https://www.walmart.com/ip/14534159424", "14534159424")</f>
        <v/>
      </c>
      <c r="B1205">
        <f>HYPERLINK("https://app.optiwise.ai/catalog/itemdetails/13059599", "Aeropostale  Backpack for School, College, and Travel， Water Resistant Bookbag Plaid Blue")</f>
        <v/>
      </c>
      <c r="C1205" t="inlineStr">
        <is>
          <t>1AEBPK92029PBL</t>
        </is>
      </c>
      <c r="D1205" t="inlineStr">
        <is>
          <t>Cases &amp; Bags</t>
        </is>
      </c>
      <c r="E1205" t="inlineStr">
        <is>
          <t>Backpacks</t>
        </is>
      </c>
      <c r="F1205" t="inlineStr">
        <is>
          <t>Aeropostale</t>
        </is>
      </c>
      <c r="G1205" t="n">
        <v>0</v>
      </c>
      <c r="H1205" t="n">
        <v>0</v>
      </c>
      <c r="J1205" s="29" t="n">
        <v>0</v>
      </c>
      <c r="K1205" s="30" t="n"/>
      <c r="L1205" s="29" t="n">
        <v>0</v>
      </c>
      <c r="M1205" s="29" t="n">
        <v>0</v>
      </c>
      <c r="N1205" s="2" t="n">
        <v>0</v>
      </c>
      <c r="O1205" s="31" t="n">
        <v>0</v>
      </c>
      <c r="P1205" s="32" t="n"/>
      <c r="Q1205" s="32" t="n">
        <v>0</v>
      </c>
      <c r="R1205" s="32" t="n">
        <v>0</v>
      </c>
      <c r="S1205" s="31" t="n">
        <v>0</v>
      </c>
      <c r="T1205" s="32" t="n">
        <v>0</v>
      </c>
      <c r="U1205" s="31" t="n">
        <v>0</v>
      </c>
      <c r="V1205" s="31" t="n">
        <v>0</v>
      </c>
      <c r="W1205" s="3" t="n">
        <v>0</v>
      </c>
      <c r="X1205" s="3" t="n">
        <v>0</v>
      </c>
      <c r="Y1205" s="32" t="n">
        <v>0</v>
      </c>
      <c r="Z1205" s="3" t="n">
        <v>0</v>
      </c>
      <c r="AA1205" s="32" t="n">
        <v>0</v>
      </c>
      <c r="AB1205" s="3" t="n"/>
      <c r="AC1205" s="31" t="n">
        <v>0</v>
      </c>
      <c r="AD1205" s="2" t="n">
        <v>0</v>
      </c>
      <c r="AE1205" s="2" t="n">
        <v>3</v>
      </c>
      <c r="AF1205" s="4" t="n">
        <v>3</v>
      </c>
      <c r="AG1205" s="33" t="n">
        <v>0</v>
      </c>
      <c r="AH1205" s="4" t="n">
        <v>0</v>
      </c>
      <c r="AI1205" s="34" t="n"/>
      <c r="AJ1205" s="34" t="n">
        <v>0</v>
      </c>
      <c r="AK1205" s="2" t="n">
        <v>0</v>
      </c>
      <c r="AL1205" t="inlineStr">
        <is>
          <t>Published</t>
        </is>
      </c>
    </row>
    <row r="1206">
      <c r="A1206">
        <f>HYPERLINK("https://www.walmart.com/ip/14529424212", "14529424212")</f>
        <v/>
      </c>
      <c r="B1206">
        <f>HYPERLINK("https://app.optiwise.ai/catalog/itemdetails/13059598", "Aeropostale  Backpack for School, College, and Travel， Water Resistant Bookbag Pink Rose")</f>
        <v/>
      </c>
      <c r="C1206" t="inlineStr">
        <is>
          <t>1AEBPK92029PKROSE</t>
        </is>
      </c>
      <c r="D1206" t="inlineStr">
        <is>
          <t>Cases &amp; Bags</t>
        </is>
      </c>
      <c r="E1206" t="inlineStr">
        <is>
          <t>Backpacks</t>
        </is>
      </c>
      <c r="F1206" t="inlineStr">
        <is>
          <t>Aeropostale</t>
        </is>
      </c>
      <c r="G1206" t="n">
        <v>0</v>
      </c>
      <c r="H1206" t="n">
        <v>0</v>
      </c>
      <c r="J1206" s="29" t="n">
        <v>0</v>
      </c>
      <c r="K1206" s="30" t="n"/>
      <c r="L1206" s="29" t="n">
        <v>0</v>
      </c>
      <c r="M1206" s="29" t="n">
        <v>0</v>
      </c>
      <c r="N1206" s="2" t="n">
        <v>0</v>
      </c>
      <c r="O1206" s="31" t="n">
        <v>0</v>
      </c>
      <c r="P1206" s="32" t="n"/>
      <c r="Q1206" s="32" t="n">
        <v>0</v>
      </c>
      <c r="R1206" s="32" t="n">
        <v>0</v>
      </c>
      <c r="S1206" s="31" t="n">
        <v>0</v>
      </c>
      <c r="T1206" s="32" t="n">
        <v>0</v>
      </c>
      <c r="U1206" s="31" t="n">
        <v>0</v>
      </c>
      <c r="V1206" s="31" t="n">
        <v>0</v>
      </c>
      <c r="W1206" s="3" t="n">
        <v>0</v>
      </c>
      <c r="X1206" s="3" t="n">
        <v>0</v>
      </c>
      <c r="Y1206" s="32" t="n">
        <v>0</v>
      </c>
      <c r="Z1206" s="3" t="n">
        <v>0</v>
      </c>
      <c r="AA1206" s="32" t="n">
        <v>0</v>
      </c>
      <c r="AB1206" s="3" t="n"/>
      <c r="AC1206" s="31" t="n">
        <v>0</v>
      </c>
      <c r="AD1206" s="2" t="n">
        <v>0</v>
      </c>
      <c r="AE1206" s="2" t="n">
        <v>0</v>
      </c>
      <c r="AF1206" s="4" t="n">
        <v>0</v>
      </c>
      <c r="AG1206" s="33" t="n">
        <v>0</v>
      </c>
      <c r="AH1206" s="4" t="n">
        <v>0</v>
      </c>
      <c r="AI1206" s="34" t="n"/>
      <c r="AJ1206" s="34" t="n">
        <v>0</v>
      </c>
      <c r="AK1206" s="2" t="n">
        <v>0</v>
      </c>
      <c r="AL1206" t="inlineStr">
        <is>
          <t>Published</t>
        </is>
      </c>
    </row>
    <row r="1207">
      <c r="A1207">
        <f>HYPERLINK("https://www.walmart.com/ip/14546302305", "14546302305")</f>
        <v/>
      </c>
      <c r="B1207">
        <f>HYPERLINK("https://app.optiwise.ai/catalog/itemdetails/13059597", "Aeropostale  Backpack for School, College, and Travel， Water Resistant Bookbag Brown")</f>
        <v/>
      </c>
      <c r="C1207" t="inlineStr">
        <is>
          <t>1AEBPK92029BR</t>
        </is>
      </c>
      <c r="D1207" t="inlineStr">
        <is>
          <t>Cases &amp; Bags</t>
        </is>
      </c>
      <c r="E1207" t="inlineStr">
        <is>
          <t>Backpacks</t>
        </is>
      </c>
      <c r="F1207" t="inlineStr">
        <is>
          <t>Aeropostale</t>
        </is>
      </c>
      <c r="G1207" t="n">
        <v>0</v>
      </c>
      <c r="H1207" t="n">
        <v>0</v>
      </c>
      <c r="J1207" s="29" t="n">
        <v>0</v>
      </c>
      <c r="K1207" s="30" t="n"/>
      <c r="L1207" s="29" t="n">
        <v>0</v>
      </c>
      <c r="M1207" s="29" t="n">
        <v>0</v>
      </c>
      <c r="N1207" s="2" t="n">
        <v>0</v>
      </c>
      <c r="O1207" s="31" t="n">
        <v>0</v>
      </c>
      <c r="P1207" s="32" t="n"/>
      <c r="Q1207" s="32" t="n">
        <v>0</v>
      </c>
      <c r="R1207" s="32" t="n">
        <v>0</v>
      </c>
      <c r="S1207" s="31" t="n">
        <v>0</v>
      </c>
      <c r="T1207" s="32" t="n">
        <v>0</v>
      </c>
      <c r="U1207" s="31" t="n">
        <v>0</v>
      </c>
      <c r="V1207" s="31" t="n">
        <v>0</v>
      </c>
      <c r="W1207" s="3" t="n">
        <v>0</v>
      </c>
      <c r="X1207" s="3" t="n">
        <v>0</v>
      </c>
      <c r="Y1207" s="32" t="n">
        <v>0</v>
      </c>
      <c r="Z1207" s="3" t="n">
        <v>0</v>
      </c>
      <c r="AA1207" s="32" t="n">
        <v>0</v>
      </c>
      <c r="AB1207" s="3" t="n"/>
      <c r="AC1207" s="31" t="n">
        <v>0</v>
      </c>
      <c r="AD1207" s="2" t="n">
        <v>0</v>
      </c>
      <c r="AE1207" s="2" t="n">
        <v>12</v>
      </c>
      <c r="AF1207" s="4" t="n">
        <v>12</v>
      </c>
      <c r="AG1207" s="33" t="n">
        <v>0</v>
      </c>
      <c r="AH1207" s="4" t="n">
        <v>0</v>
      </c>
      <c r="AI1207" s="34" t="n"/>
      <c r="AJ1207" s="34" t="n">
        <v>0</v>
      </c>
      <c r="AK1207" s="2" t="n">
        <v>0</v>
      </c>
      <c r="AL1207" t="inlineStr">
        <is>
          <t>Published</t>
        </is>
      </c>
    </row>
    <row r="1208">
      <c r="A1208">
        <f>HYPERLINK("https://www.walmart.com/ip/14546252468", "14546252468")</f>
        <v/>
      </c>
      <c r="B1208">
        <f>HYPERLINK("https://app.optiwise.ai/catalog/itemdetails/13059596", "Aeropostale  Backpack for School, College, and Travel， Water Resistant Bookbag Black Game")</f>
        <v/>
      </c>
      <c r="C1208" t="inlineStr">
        <is>
          <t>1AEBPK92029BKGAME</t>
        </is>
      </c>
      <c r="D1208" t="inlineStr">
        <is>
          <t>Cases &amp; Bags</t>
        </is>
      </c>
      <c r="E1208" t="inlineStr">
        <is>
          <t>Backpacks</t>
        </is>
      </c>
      <c r="F1208" t="inlineStr">
        <is>
          <t>Aeropostale</t>
        </is>
      </c>
      <c r="G1208" t="n">
        <v>0</v>
      </c>
      <c r="H1208" t="n">
        <v>0</v>
      </c>
      <c r="J1208" s="29" t="n">
        <v>0</v>
      </c>
      <c r="K1208" s="30" t="n"/>
      <c r="L1208" s="29" t="n">
        <v>0</v>
      </c>
      <c r="M1208" s="29" t="n">
        <v>0</v>
      </c>
      <c r="N1208" s="2" t="n">
        <v>0</v>
      </c>
      <c r="O1208" s="31" t="n">
        <v>0</v>
      </c>
      <c r="P1208" s="32" t="n"/>
      <c r="Q1208" s="32" t="n">
        <v>0</v>
      </c>
      <c r="R1208" s="32" t="n">
        <v>0</v>
      </c>
      <c r="S1208" s="31" t="n">
        <v>0</v>
      </c>
      <c r="T1208" s="32" t="n">
        <v>0</v>
      </c>
      <c r="U1208" s="31" t="n">
        <v>0</v>
      </c>
      <c r="V1208" s="31" t="n">
        <v>0</v>
      </c>
      <c r="W1208" s="3" t="n">
        <v>0</v>
      </c>
      <c r="X1208" s="3" t="n">
        <v>0</v>
      </c>
      <c r="Y1208" s="32" t="n">
        <v>0</v>
      </c>
      <c r="Z1208" s="3" t="n">
        <v>0</v>
      </c>
      <c r="AA1208" s="32" t="n">
        <v>0</v>
      </c>
      <c r="AB1208" s="3" t="n"/>
      <c r="AC1208" s="31" t="n">
        <v>0</v>
      </c>
      <c r="AD1208" s="2" t="n">
        <v>0</v>
      </c>
      <c r="AE1208" s="2" t="n">
        <v>12</v>
      </c>
      <c r="AF1208" s="4" t="n">
        <v>12</v>
      </c>
      <c r="AG1208" s="33" t="n">
        <v>0</v>
      </c>
      <c r="AH1208" s="4" t="n">
        <v>0</v>
      </c>
      <c r="AI1208" s="34" t="n"/>
      <c r="AJ1208" s="34" t="n">
        <v>0</v>
      </c>
      <c r="AK1208" s="2" t="n">
        <v>0</v>
      </c>
      <c r="AL1208" t="inlineStr">
        <is>
          <t>Published</t>
        </is>
      </c>
    </row>
    <row r="1209">
      <c r="A1209">
        <f>HYPERLINK("https://www.walmart.com/ip/14546161227", "14546161227")</f>
        <v/>
      </c>
      <c r="B1209">
        <f>HYPERLINK("https://app.optiwise.ai/catalog/itemdetails/13059595", "Aeropostale  Backpack for School, College, and Travel， Water Resistant Bookbag Black White")</f>
        <v/>
      </c>
      <c r="C1209" t="inlineStr">
        <is>
          <t>1AEBPK92029BKWH</t>
        </is>
      </c>
      <c r="D1209" t="inlineStr">
        <is>
          <t>Cases &amp; Bags</t>
        </is>
      </c>
      <c r="E1209" t="inlineStr">
        <is>
          <t>Backpacks</t>
        </is>
      </c>
      <c r="F1209" t="inlineStr">
        <is>
          <t>Aeropostale</t>
        </is>
      </c>
      <c r="G1209" t="n">
        <v>0</v>
      </c>
      <c r="H1209" t="n">
        <v>0</v>
      </c>
      <c r="J1209" s="29" t="n">
        <v>0</v>
      </c>
      <c r="K1209" s="30" t="n"/>
      <c r="L1209" s="29" t="n">
        <v>0</v>
      </c>
      <c r="M1209" s="29" t="n">
        <v>0</v>
      </c>
      <c r="N1209" s="2" t="n">
        <v>0</v>
      </c>
      <c r="O1209" s="31" t="n">
        <v>0</v>
      </c>
      <c r="P1209" s="32" t="n"/>
      <c r="Q1209" s="32" t="n">
        <v>0</v>
      </c>
      <c r="R1209" s="32" t="n">
        <v>0</v>
      </c>
      <c r="S1209" s="31" t="n">
        <v>0</v>
      </c>
      <c r="T1209" s="32" t="n">
        <v>0</v>
      </c>
      <c r="U1209" s="31" t="n">
        <v>0</v>
      </c>
      <c r="V1209" s="31" t="n">
        <v>0</v>
      </c>
      <c r="W1209" s="3" t="n">
        <v>0</v>
      </c>
      <c r="X1209" s="3" t="n">
        <v>0</v>
      </c>
      <c r="Y1209" s="32" t="n">
        <v>0</v>
      </c>
      <c r="Z1209" s="3" t="n">
        <v>0</v>
      </c>
      <c r="AA1209" s="32" t="n">
        <v>0</v>
      </c>
      <c r="AB1209" s="3" t="n"/>
      <c r="AC1209" s="31" t="n">
        <v>0</v>
      </c>
      <c r="AD1209" s="2" t="n">
        <v>0</v>
      </c>
      <c r="AE1209" s="2" t="n">
        <v>11</v>
      </c>
      <c r="AF1209" s="4" t="n">
        <v>11</v>
      </c>
      <c r="AG1209" s="33" t="n">
        <v>0</v>
      </c>
      <c r="AH1209" s="4" t="n">
        <v>0</v>
      </c>
      <c r="AI1209" s="34" t="n"/>
      <c r="AJ1209" s="34" t="n">
        <v>0</v>
      </c>
      <c r="AK1209" s="2" t="n">
        <v>0</v>
      </c>
      <c r="AL1209" t="inlineStr">
        <is>
          <t>Published</t>
        </is>
      </c>
    </row>
    <row r="1210">
      <c r="A1210">
        <f>HYPERLINK("https://www.walmart.com/ip/14529374149", "14529374149")</f>
        <v/>
      </c>
      <c r="B1210">
        <f>HYPERLINK("https://app.optiwise.ai/catalog/itemdetails/13059594", "Aeropostale  Backpack for School, College, and Travel， Water Resistant Bookbag Black")</f>
        <v/>
      </c>
      <c r="C1210" t="inlineStr">
        <is>
          <t>1AEBPK92029BK</t>
        </is>
      </c>
      <c r="D1210" t="inlineStr">
        <is>
          <t>Cases &amp; Bags</t>
        </is>
      </c>
      <c r="E1210" t="inlineStr">
        <is>
          <t>Backpacks</t>
        </is>
      </c>
      <c r="F1210" t="inlineStr">
        <is>
          <t>Aeropostale</t>
        </is>
      </c>
      <c r="G1210" t="n">
        <v>0</v>
      </c>
      <c r="H1210" t="n">
        <v>0</v>
      </c>
      <c r="J1210" s="29" t="n">
        <v>0</v>
      </c>
      <c r="K1210" s="30" t="n"/>
      <c r="L1210" s="29" t="n">
        <v>0</v>
      </c>
      <c r="M1210" s="29" t="n">
        <v>0</v>
      </c>
      <c r="N1210" s="2" t="n">
        <v>0</v>
      </c>
      <c r="O1210" s="31" t="n">
        <v>0</v>
      </c>
      <c r="P1210" s="32" t="n"/>
      <c r="Q1210" s="32" t="n">
        <v>0</v>
      </c>
      <c r="R1210" s="32" t="n">
        <v>0</v>
      </c>
      <c r="S1210" s="31" t="n">
        <v>0</v>
      </c>
      <c r="T1210" s="32" t="n">
        <v>0</v>
      </c>
      <c r="U1210" s="31" t="n">
        <v>0</v>
      </c>
      <c r="V1210" s="31" t="n">
        <v>0</v>
      </c>
      <c r="W1210" s="3" t="n">
        <v>0</v>
      </c>
      <c r="X1210" s="3" t="n">
        <v>0</v>
      </c>
      <c r="Y1210" s="32" t="n">
        <v>0</v>
      </c>
      <c r="Z1210" s="3" t="n">
        <v>0</v>
      </c>
      <c r="AA1210" s="32" t="n">
        <v>0</v>
      </c>
      <c r="AB1210" s="3" t="n"/>
      <c r="AC1210" s="31" t="n">
        <v>0</v>
      </c>
      <c r="AD1210" s="2" t="n">
        <v>0</v>
      </c>
      <c r="AE1210" s="2" t="n">
        <v>2</v>
      </c>
      <c r="AF1210" s="4" t="n">
        <v>2</v>
      </c>
      <c r="AG1210" s="33" t="n">
        <v>0</v>
      </c>
      <c r="AH1210" s="4" t="n">
        <v>0</v>
      </c>
      <c r="AI1210" s="34" t="n"/>
      <c r="AJ1210" s="34" t="n">
        <v>0</v>
      </c>
      <c r="AK1210" s="2" t="n">
        <v>0</v>
      </c>
      <c r="AL1210" t="inlineStr">
        <is>
          <t>Published</t>
        </is>
      </c>
    </row>
    <row r="1211">
      <c r="A1211">
        <f>HYPERLINK("https://www.walmart.com/ip/14527764282", "14527764282")</f>
        <v/>
      </c>
      <c r="B1211">
        <f>HYPERLINK("https://app.optiwise.ai/catalog/itemdetails/13059142", "PEANUTS Mens' Cotton Snoopy Family Matching Pajamas 2-Piece Sets for Christmas with Woodstock Charlie Brown Linus, Gift for him (Green Polka Dot, XXL)")</f>
        <v/>
      </c>
      <c r="C1211" t="inlineStr">
        <is>
          <t>PEA-PJS-FAMILY-MEN-GREEN-2XL</t>
        </is>
      </c>
      <c r="D1211" t="inlineStr">
        <is>
          <t>Clothing</t>
        </is>
      </c>
      <c r="E1211" t="inlineStr">
        <is>
          <t>Pajamas</t>
        </is>
      </c>
      <c r="F1211" t="inlineStr">
        <is>
          <t>Peanuts</t>
        </is>
      </c>
      <c r="G1211" t="n">
        <v>0</v>
      </c>
      <c r="H1211" t="n">
        <v>0</v>
      </c>
      <c r="J1211" s="29" t="n">
        <v>0</v>
      </c>
      <c r="K1211" s="30" t="n"/>
      <c r="L1211" s="29" t="n">
        <v>0</v>
      </c>
      <c r="M1211" s="29" t="n">
        <v>0</v>
      </c>
      <c r="N1211" s="2" t="n">
        <v>0</v>
      </c>
      <c r="O1211" s="31" t="n">
        <v>0</v>
      </c>
      <c r="P1211" s="32" t="n"/>
      <c r="Q1211" s="32" t="n">
        <v>0</v>
      </c>
      <c r="R1211" s="32" t="n">
        <v>0</v>
      </c>
      <c r="S1211" s="31" t="n">
        <v>0</v>
      </c>
      <c r="T1211" s="32" t="n">
        <v>0</v>
      </c>
      <c r="U1211" s="31" t="n">
        <v>0</v>
      </c>
      <c r="V1211" s="31" t="n">
        <v>0</v>
      </c>
      <c r="W1211" s="3" t="n">
        <v>0</v>
      </c>
      <c r="X1211" s="3" t="n">
        <v>0</v>
      </c>
      <c r="Y1211" s="32" t="n">
        <v>0</v>
      </c>
      <c r="Z1211" s="3" t="n">
        <v>0</v>
      </c>
      <c r="AA1211" s="32" t="n">
        <v>0</v>
      </c>
      <c r="AB1211" s="3" t="n"/>
      <c r="AC1211" s="31" t="n">
        <v>0</v>
      </c>
      <c r="AD1211" s="2" t="n">
        <v>0</v>
      </c>
      <c r="AE1211" s="2" t="n">
        <v>0</v>
      </c>
      <c r="AF1211" s="4" t="n">
        <v>0</v>
      </c>
      <c r="AG1211" s="33" t="n">
        <v>0</v>
      </c>
      <c r="AH1211" s="4" t="n">
        <v>0</v>
      </c>
      <c r="AI1211" s="34" t="n"/>
      <c r="AJ1211" s="34" t="n">
        <v>0</v>
      </c>
      <c r="AK1211" s="2" t="n">
        <v>0</v>
      </c>
      <c r="AL1211" t="inlineStr">
        <is>
          <t>Published</t>
        </is>
      </c>
    </row>
    <row r="1212">
      <c r="A1212">
        <f>HYPERLINK("https://www.walmart.com/ip/14516958875", "14516958875")</f>
        <v/>
      </c>
      <c r="B1212">
        <f>HYPERLINK("https://app.optiwise.ai/catalog/itemdetails/13059140", "PEANUTS Mens' Cotton Snoopy Family Matching Pajamas 2-Piece Sets for Christmas with Woodstock Charlie Brown Linus, Gift for him (Red Plaid, XXL)")</f>
        <v/>
      </c>
      <c r="C1212" t="inlineStr">
        <is>
          <t>PEA-PJS-FAMILY-MEN-REDPLAID-2XL</t>
        </is>
      </c>
      <c r="D1212" t="inlineStr">
        <is>
          <t>Clothing</t>
        </is>
      </c>
      <c r="E1212" t="inlineStr">
        <is>
          <t>Pajamas</t>
        </is>
      </c>
      <c r="F1212" t="inlineStr">
        <is>
          <t>Peanuts</t>
        </is>
      </c>
      <c r="G1212" t="n">
        <v>0</v>
      </c>
      <c r="H1212" t="n">
        <v>0</v>
      </c>
      <c r="J1212" s="29" t="n">
        <v>0</v>
      </c>
      <c r="K1212" s="30" t="n"/>
      <c r="L1212" s="29" t="n">
        <v>0</v>
      </c>
      <c r="M1212" s="29" t="n">
        <v>0</v>
      </c>
      <c r="N1212" s="2" t="n">
        <v>0</v>
      </c>
      <c r="O1212" s="31" t="n">
        <v>0</v>
      </c>
      <c r="P1212" s="32" t="n"/>
      <c r="Q1212" s="32" t="n">
        <v>0</v>
      </c>
      <c r="R1212" s="32" t="n">
        <v>0</v>
      </c>
      <c r="S1212" s="31" t="n">
        <v>0</v>
      </c>
      <c r="T1212" s="32" t="n">
        <v>0</v>
      </c>
      <c r="U1212" s="31" t="n">
        <v>0</v>
      </c>
      <c r="V1212" s="31" t="n">
        <v>0</v>
      </c>
      <c r="W1212" s="3" t="n">
        <v>0</v>
      </c>
      <c r="X1212" s="3" t="n">
        <v>0</v>
      </c>
      <c r="Y1212" s="32" t="n">
        <v>0</v>
      </c>
      <c r="Z1212" s="3" t="n">
        <v>0</v>
      </c>
      <c r="AA1212" s="32" t="n">
        <v>0</v>
      </c>
      <c r="AB1212" s="3" t="n"/>
      <c r="AC1212" s="31" t="n">
        <v>0</v>
      </c>
      <c r="AD1212" s="2" t="n">
        <v>0</v>
      </c>
      <c r="AE1212" s="2" t="n">
        <v>0</v>
      </c>
      <c r="AF1212" s="4" t="n">
        <v>0</v>
      </c>
      <c r="AG1212" s="33" t="n">
        <v>0</v>
      </c>
      <c r="AH1212" s="4" t="n">
        <v>0</v>
      </c>
      <c r="AI1212" s="34" t="n"/>
      <c r="AJ1212" s="34" t="n">
        <v>0</v>
      </c>
      <c r="AK1212" s="2" t="n">
        <v>0</v>
      </c>
      <c r="AL1212" t="inlineStr">
        <is>
          <t>Published</t>
        </is>
      </c>
    </row>
    <row r="1213">
      <c r="A1213">
        <f>HYPERLINK("https://www.walmart.com/ip/14508550385", "14508550385")</f>
        <v/>
      </c>
      <c r="B1213">
        <f>HYPERLINK("https://app.optiwise.ai/catalog/itemdetails/13059139", "PEANUTS Womens 100% Cotton Family Matching Pajamas Holiday Festive Nightwear Sleepwear 2-Piece Sets for Christmas Gifts (Green Polka Dot, S)")</f>
        <v/>
      </c>
      <c r="C1213" t="inlineStr">
        <is>
          <t>PEA-PJS-FAMILY-WOMEN-GREEN-S</t>
        </is>
      </c>
      <c r="D1213" t="inlineStr">
        <is>
          <t>Clothing</t>
        </is>
      </c>
      <c r="E1213" t="inlineStr">
        <is>
          <t>Pajamas</t>
        </is>
      </c>
      <c r="F1213" t="inlineStr">
        <is>
          <t>Peanuts</t>
        </is>
      </c>
      <c r="G1213" t="n">
        <v>0</v>
      </c>
      <c r="H1213" t="n">
        <v>0</v>
      </c>
      <c r="J1213" s="29" t="n">
        <v>0</v>
      </c>
      <c r="K1213" s="30" t="n"/>
      <c r="L1213" s="29" t="n">
        <v>0</v>
      </c>
      <c r="M1213" s="29" t="n">
        <v>0</v>
      </c>
      <c r="N1213" s="2" t="n">
        <v>0</v>
      </c>
      <c r="O1213" s="31" t="n">
        <v>0</v>
      </c>
      <c r="P1213" s="32" t="n"/>
      <c r="Q1213" s="32" t="n">
        <v>0</v>
      </c>
      <c r="R1213" s="32" t="n">
        <v>0</v>
      </c>
      <c r="S1213" s="31" t="n">
        <v>0</v>
      </c>
      <c r="T1213" s="32" t="n">
        <v>0</v>
      </c>
      <c r="U1213" s="31" t="n">
        <v>0</v>
      </c>
      <c r="V1213" s="31" t="n">
        <v>0</v>
      </c>
      <c r="W1213" s="3" t="n">
        <v>0</v>
      </c>
      <c r="X1213" s="3" t="n">
        <v>0</v>
      </c>
      <c r="Y1213" s="32" t="n">
        <v>0</v>
      </c>
      <c r="Z1213" s="3" t="n">
        <v>0</v>
      </c>
      <c r="AA1213" s="32" t="n">
        <v>0</v>
      </c>
      <c r="AB1213" s="3" t="n"/>
      <c r="AC1213" s="31" t="n">
        <v>0</v>
      </c>
      <c r="AD1213" s="2" t="n">
        <v>0</v>
      </c>
      <c r="AE1213" s="2" t="n">
        <v>0</v>
      </c>
      <c r="AF1213" s="4" t="n">
        <v>0</v>
      </c>
      <c r="AG1213" s="33" t="n">
        <v>0</v>
      </c>
      <c r="AH1213" s="4" t="n">
        <v>0</v>
      </c>
      <c r="AI1213" s="34" t="n"/>
      <c r="AJ1213" s="34" t="n">
        <v>0</v>
      </c>
      <c r="AK1213" s="2" t="n">
        <v>0</v>
      </c>
      <c r="AL1213" t="inlineStr">
        <is>
          <t>Published</t>
        </is>
      </c>
    </row>
    <row r="1214">
      <c r="A1214">
        <f>HYPERLINK("https://www.walmart.com/ip/14542705721", "14542705721")</f>
        <v/>
      </c>
      <c r="B1214">
        <f>HYPERLINK("https://app.optiwise.ai/catalog/itemdetails/13059136", "PEANUTS Toddler Boys Girls Snoopy Family Matching Pajamas Sleepwear 2-Piece Sets for Christmas with Woodstock Charlie Brown Linus (Red Plaid, 4T)")</f>
        <v/>
      </c>
      <c r="C1214" t="inlineStr">
        <is>
          <t>PEA-PJS-FAMILY-TODDLER-REDPLAID-4T</t>
        </is>
      </c>
      <c r="D1214" t="inlineStr">
        <is>
          <t>Clothing</t>
        </is>
      </c>
      <c r="E1214" t="inlineStr">
        <is>
          <t>Pajamas</t>
        </is>
      </c>
      <c r="F1214" t="inlineStr">
        <is>
          <t>Peanuts</t>
        </is>
      </c>
      <c r="G1214" t="n">
        <v>0</v>
      </c>
      <c r="H1214" t="n">
        <v>0</v>
      </c>
      <c r="J1214" s="29" t="n">
        <v>0</v>
      </c>
      <c r="K1214" s="30" t="n"/>
      <c r="L1214" s="29" t="n">
        <v>0</v>
      </c>
      <c r="M1214" s="29" t="n">
        <v>0</v>
      </c>
      <c r="N1214" s="2" t="n">
        <v>0</v>
      </c>
      <c r="O1214" s="31" t="n">
        <v>0</v>
      </c>
      <c r="P1214" s="32" t="n"/>
      <c r="Q1214" s="32" t="n">
        <v>0</v>
      </c>
      <c r="R1214" s="32" t="n">
        <v>0</v>
      </c>
      <c r="S1214" s="31" t="n">
        <v>0</v>
      </c>
      <c r="T1214" s="32" t="n">
        <v>0</v>
      </c>
      <c r="U1214" s="31" t="n">
        <v>0</v>
      </c>
      <c r="V1214" s="31" t="n">
        <v>0</v>
      </c>
      <c r="W1214" s="3" t="n">
        <v>0</v>
      </c>
      <c r="X1214" s="3" t="n">
        <v>0</v>
      </c>
      <c r="Y1214" s="32" t="n">
        <v>0</v>
      </c>
      <c r="Z1214" s="3" t="n">
        <v>0</v>
      </c>
      <c r="AA1214" s="32" t="n">
        <v>0</v>
      </c>
      <c r="AB1214" s="3" t="n"/>
      <c r="AC1214" s="31" t="n">
        <v>0</v>
      </c>
      <c r="AD1214" s="2" t="n">
        <v>0</v>
      </c>
      <c r="AE1214" s="2" t="n">
        <v>0</v>
      </c>
      <c r="AF1214" s="4" t="n">
        <v>0</v>
      </c>
      <c r="AG1214" s="33" t="n">
        <v>0</v>
      </c>
      <c r="AH1214" s="4" t="n">
        <v>0</v>
      </c>
      <c r="AI1214" s="34" t="n"/>
      <c r="AJ1214" s="34" t="n">
        <v>0</v>
      </c>
      <c r="AK1214" s="2" t="n">
        <v>0</v>
      </c>
      <c r="AL1214" t="inlineStr">
        <is>
          <t>Published</t>
        </is>
      </c>
    </row>
    <row r="1215">
      <c r="A1215">
        <f>HYPERLINK("https://www.walmart.com/ip/15479600412", "15479600412")</f>
        <v/>
      </c>
      <c r="B1215">
        <f>HYPERLINK("https://app.optiwise.ai/catalog/itemdetails/20131084", "Tirrinia Large Insulated Lunch Tote Bag for Women,Waterproof Oxford Cloth Leakproof Cooler Bag")</f>
        <v/>
      </c>
      <c r="C1215" t="inlineStr">
        <is>
          <t>1TRCB800RAINBOWHEART</t>
        </is>
      </c>
      <c r="D1215" t="inlineStr">
        <is>
          <t>Home Decor, Kitchen, &amp; Other</t>
        </is>
      </c>
      <c r="E1215" t="inlineStr">
        <is>
          <t>Reusable Lunch Bags &amp; Boxes</t>
        </is>
      </c>
      <c r="F1215" t="inlineStr">
        <is>
          <t>Tirrinia</t>
        </is>
      </c>
      <c r="G1215" t="n">
        <v>0</v>
      </c>
      <c r="H1215" t="n">
        <v>0</v>
      </c>
      <c r="J1215" s="29" t="n">
        <v>0</v>
      </c>
      <c r="K1215" s="30" t="n"/>
      <c r="L1215" s="29" t="n">
        <v>0</v>
      </c>
      <c r="M1215" s="29" t="n">
        <v>0</v>
      </c>
      <c r="N1215" s="2" t="n">
        <v>0</v>
      </c>
      <c r="O1215" s="31" t="n">
        <v>0</v>
      </c>
      <c r="P1215" s="32" t="n"/>
      <c r="Q1215" s="32" t="n">
        <v>0</v>
      </c>
      <c r="R1215" s="32" t="n">
        <v>0</v>
      </c>
      <c r="S1215" s="31" t="n">
        <v>0</v>
      </c>
      <c r="T1215" s="32" t="n">
        <v>0</v>
      </c>
      <c r="U1215" s="31" t="n">
        <v>0</v>
      </c>
      <c r="V1215" s="31" t="n">
        <v>0</v>
      </c>
      <c r="W1215" s="3" t="n">
        <v>0</v>
      </c>
      <c r="X1215" s="3" t="n">
        <v>0</v>
      </c>
      <c r="Y1215" s="32" t="n">
        <v>0</v>
      </c>
      <c r="Z1215" s="3" t="n">
        <v>0</v>
      </c>
      <c r="AA1215" s="32" t="n">
        <v>0</v>
      </c>
      <c r="AB1215" s="3" t="n"/>
      <c r="AC1215" s="31" t="n">
        <v>0</v>
      </c>
      <c r="AD1215" s="2" t="n">
        <v>0</v>
      </c>
      <c r="AE1215" s="2" t="n">
        <v>0</v>
      </c>
      <c r="AF1215" s="4" t="n">
        <v>0</v>
      </c>
      <c r="AG1215" s="33" t="n">
        <v>0</v>
      </c>
      <c r="AH1215" s="4" t="n">
        <v>0</v>
      </c>
      <c r="AI1215" s="34" t="n"/>
      <c r="AJ1215" s="34" t="n">
        <v>0</v>
      </c>
      <c r="AK1215" s="2" t="n">
        <v>0</v>
      </c>
      <c r="AL1215" t="inlineStr">
        <is>
          <t>Published</t>
        </is>
      </c>
    </row>
    <row r="1216">
      <c r="A1216">
        <f>HYPERLINK("https://www.walmart.com/ip/14527013543", "14527013543")</f>
        <v/>
      </c>
      <c r="B1216">
        <f>HYPERLINK("https://app.optiwise.ai/catalog/itemdetails/13059134", "PEANUTS Womens 100% Cotton Family Matching Pajamas Holiday Festive Nightwear Sleepwear 2-Piece Sets for Christmas Gifts Gifts (Black Plaid, L)")</f>
        <v/>
      </c>
      <c r="C1216" t="inlineStr">
        <is>
          <t>PEA-PJS-FAMILY-WOMEN-BLACKPLAID-L</t>
        </is>
      </c>
      <c r="D1216" t="inlineStr">
        <is>
          <t>Clothing</t>
        </is>
      </c>
      <c r="E1216" t="inlineStr">
        <is>
          <t>Pajamas</t>
        </is>
      </c>
      <c r="F1216" t="inlineStr">
        <is>
          <t>Peanuts</t>
        </is>
      </c>
      <c r="G1216" t="n">
        <v>0</v>
      </c>
      <c r="H1216" t="n">
        <v>0</v>
      </c>
      <c r="J1216" s="29" t="n">
        <v>0</v>
      </c>
      <c r="K1216" s="30" t="n"/>
      <c r="L1216" s="29" t="n">
        <v>0</v>
      </c>
      <c r="M1216" s="29" t="n">
        <v>0</v>
      </c>
      <c r="N1216" s="2" t="n">
        <v>0</v>
      </c>
      <c r="O1216" s="31" t="n">
        <v>0</v>
      </c>
      <c r="P1216" s="32" t="n"/>
      <c r="Q1216" s="32" t="n">
        <v>0</v>
      </c>
      <c r="R1216" s="32" t="n">
        <v>0</v>
      </c>
      <c r="S1216" s="31" t="n">
        <v>0</v>
      </c>
      <c r="T1216" s="32" t="n">
        <v>0</v>
      </c>
      <c r="U1216" s="31" t="n">
        <v>0</v>
      </c>
      <c r="V1216" s="31" t="n">
        <v>0</v>
      </c>
      <c r="W1216" s="3" t="n">
        <v>0</v>
      </c>
      <c r="X1216" s="3" t="n">
        <v>0</v>
      </c>
      <c r="Y1216" s="32" t="n">
        <v>0</v>
      </c>
      <c r="Z1216" s="3" t="n">
        <v>0</v>
      </c>
      <c r="AA1216" s="32" t="n">
        <v>0</v>
      </c>
      <c r="AB1216" s="3" t="n"/>
      <c r="AC1216" s="31" t="n">
        <v>0</v>
      </c>
      <c r="AD1216" s="2" t="n">
        <v>0</v>
      </c>
      <c r="AE1216" s="2" t="n">
        <v>0</v>
      </c>
      <c r="AF1216" s="4" t="n">
        <v>0</v>
      </c>
      <c r="AG1216" s="33" t="n">
        <v>0</v>
      </c>
      <c r="AH1216" s="4" t="n">
        <v>0</v>
      </c>
      <c r="AI1216" s="34" t="n"/>
      <c r="AJ1216" s="34" t="n">
        <v>0</v>
      </c>
      <c r="AK1216" s="2" t="n">
        <v>0</v>
      </c>
      <c r="AL1216" t="inlineStr">
        <is>
          <t>Published</t>
        </is>
      </c>
    </row>
    <row r="1217">
      <c r="A1217">
        <f>HYPERLINK("https://www.walmart.com/ip/14523702235", "14523702235")</f>
        <v/>
      </c>
      <c r="B1217">
        <f>HYPERLINK("https://app.optiwise.ai/catalog/itemdetails/13059133", "PEANUTS Womens 100% Cotton Family Matching Pajamas Holiday Festive Nightwear Sleepwear 2-Piece Sets for Christmas Gifts (Black Plaid, XL)")</f>
        <v/>
      </c>
      <c r="C1217" t="inlineStr">
        <is>
          <t>PEA-PJS-FAMILY-WOMEN-BLACKPLAID-XL</t>
        </is>
      </c>
      <c r="D1217" t="inlineStr">
        <is>
          <t>Clothing</t>
        </is>
      </c>
      <c r="E1217" t="inlineStr">
        <is>
          <t>Pajamas</t>
        </is>
      </c>
      <c r="F1217" t="inlineStr">
        <is>
          <t>Peanuts</t>
        </is>
      </c>
      <c r="G1217" t="n">
        <v>0</v>
      </c>
      <c r="H1217" t="n">
        <v>0</v>
      </c>
      <c r="J1217" s="29" t="n">
        <v>0</v>
      </c>
      <c r="K1217" s="30" t="n"/>
      <c r="L1217" s="29" t="n">
        <v>0</v>
      </c>
      <c r="M1217" s="29" t="n">
        <v>0</v>
      </c>
      <c r="N1217" s="2" t="n">
        <v>0</v>
      </c>
      <c r="O1217" s="31" t="n">
        <v>0</v>
      </c>
      <c r="P1217" s="32" t="n"/>
      <c r="Q1217" s="32" t="n">
        <v>0</v>
      </c>
      <c r="R1217" s="32" t="n">
        <v>0</v>
      </c>
      <c r="S1217" s="31" t="n">
        <v>0</v>
      </c>
      <c r="T1217" s="32" t="n">
        <v>0</v>
      </c>
      <c r="U1217" s="31" t="n">
        <v>0</v>
      </c>
      <c r="V1217" s="31" t="n">
        <v>0</v>
      </c>
      <c r="W1217" s="3" t="n">
        <v>0</v>
      </c>
      <c r="X1217" s="3" t="n">
        <v>0</v>
      </c>
      <c r="Y1217" s="32" t="n">
        <v>0</v>
      </c>
      <c r="Z1217" s="3" t="n">
        <v>0</v>
      </c>
      <c r="AA1217" s="32" t="n">
        <v>0</v>
      </c>
      <c r="AB1217" s="3" t="n"/>
      <c r="AC1217" s="31" t="n">
        <v>0</v>
      </c>
      <c r="AD1217" s="2" t="n">
        <v>0</v>
      </c>
      <c r="AE1217" s="2" t="n">
        <v>0</v>
      </c>
      <c r="AF1217" s="4" t="n">
        <v>0</v>
      </c>
      <c r="AG1217" s="33" t="n">
        <v>0</v>
      </c>
      <c r="AH1217" s="4" t="n">
        <v>0</v>
      </c>
      <c r="AI1217" s="34" t="n"/>
      <c r="AJ1217" s="34" t="n">
        <v>0</v>
      </c>
      <c r="AK1217" s="2" t="n">
        <v>0</v>
      </c>
      <c r="AL1217" t="inlineStr">
        <is>
          <t>Published</t>
        </is>
      </c>
    </row>
    <row r="1218">
      <c r="A1218">
        <f>HYPERLINK("https://www.walmart.com/ip/14515667164", "14515667164")</f>
        <v/>
      </c>
      <c r="B1218">
        <f>HYPERLINK("https://app.optiwise.ai/catalog/itemdetails/13059132", "PEANUTS Snoopy 100% Cotton Family Matching Pajamas Holiday 2-Piece Sets for Christmas with Woodstock Charlie Brown Linus for Baby (Red Plaid, 18M)")</f>
        <v/>
      </c>
      <c r="C1218" t="inlineStr">
        <is>
          <t>PEA-PJS-FAMILY-INFANT-REDPLAID-18M</t>
        </is>
      </c>
      <c r="D1218" t="inlineStr">
        <is>
          <t>Clothing</t>
        </is>
      </c>
      <c r="E1218" t="inlineStr">
        <is>
          <t>Pajamas</t>
        </is>
      </c>
      <c r="F1218" t="inlineStr">
        <is>
          <t>Peanuts</t>
        </is>
      </c>
      <c r="G1218" t="n">
        <v>0</v>
      </c>
      <c r="H1218" t="n">
        <v>0</v>
      </c>
      <c r="J1218" s="29" t="n">
        <v>0</v>
      </c>
      <c r="K1218" s="30" t="n"/>
      <c r="L1218" s="29" t="n">
        <v>0</v>
      </c>
      <c r="M1218" s="29" t="n">
        <v>0</v>
      </c>
      <c r="N1218" s="2" t="n">
        <v>0</v>
      </c>
      <c r="O1218" s="31" t="n">
        <v>0</v>
      </c>
      <c r="P1218" s="32" t="n"/>
      <c r="Q1218" s="32" t="n">
        <v>0</v>
      </c>
      <c r="R1218" s="32" t="n">
        <v>0</v>
      </c>
      <c r="S1218" s="31" t="n">
        <v>0</v>
      </c>
      <c r="T1218" s="32" t="n">
        <v>0</v>
      </c>
      <c r="U1218" s="31" t="n">
        <v>0</v>
      </c>
      <c r="V1218" s="31" t="n">
        <v>0</v>
      </c>
      <c r="W1218" s="3" t="n">
        <v>0</v>
      </c>
      <c r="X1218" s="3" t="n">
        <v>0</v>
      </c>
      <c r="Y1218" s="32" t="n">
        <v>0</v>
      </c>
      <c r="Z1218" s="3" t="n">
        <v>0</v>
      </c>
      <c r="AA1218" s="32" t="n">
        <v>0</v>
      </c>
      <c r="AB1218" s="3" t="n"/>
      <c r="AC1218" s="31" t="n">
        <v>0</v>
      </c>
      <c r="AD1218" s="2" t="n">
        <v>0</v>
      </c>
      <c r="AE1218" s="2" t="n">
        <v>0</v>
      </c>
      <c r="AF1218" s="4" t="n">
        <v>0</v>
      </c>
      <c r="AG1218" s="33" t="n">
        <v>0</v>
      </c>
      <c r="AH1218" s="4" t="n">
        <v>0</v>
      </c>
      <c r="AI1218" s="34" t="n"/>
      <c r="AJ1218" s="34" t="n">
        <v>0</v>
      </c>
      <c r="AK1218" s="2" t="n">
        <v>0</v>
      </c>
      <c r="AL1218" t="inlineStr">
        <is>
          <t>Published</t>
        </is>
      </c>
    </row>
    <row r="1219">
      <c r="A1219">
        <f>HYPERLINK("https://www.walmart.com/ip/14514109808", "14514109808")</f>
        <v/>
      </c>
      <c r="B1219">
        <f>HYPERLINK("https://app.optiwise.ai/catalog/itemdetails/13059131", "PEANUTS Womens Family Matching Pajamas Comfy Cotton PJ Sleepwear 2-Piece Sets for Christmas with Woodstock Charlie Brown (Green Polka Dot, XL)")</f>
        <v/>
      </c>
      <c r="C1219" t="inlineStr">
        <is>
          <t>PEA-PJS-FAMILY-WOMEN-GREEN-XL</t>
        </is>
      </c>
      <c r="D1219" t="inlineStr">
        <is>
          <t>Clothing</t>
        </is>
      </c>
      <c r="E1219" t="inlineStr">
        <is>
          <t>Pajamas</t>
        </is>
      </c>
      <c r="F1219" t="inlineStr">
        <is>
          <t>Peanuts</t>
        </is>
      </c>
      <c r="G1219" t="n">
        <v>0</v>
      </c>
      <c r="H1219" t="n">
        <v>0</v>
      </c>
      <c r="J1219" s="29" t="n">
        <v>0</v>
      </c>
      <c r="K1219" s="30" t="n"/>
      <c r="L1219" s="29" t="n">
        <v>0</v>
      </c>
      <c r="M1219" s="29" t="n">
        <v>0</v>
      </c>
      <c r="N1219" s="2" t="n">
        <v>0</v>
      </c>
      <c r="O1219" s="31" t="n">
        <v>0</v>
      </c>
      <c r="P1219" s="32" t="n"/>
      <c r="Q1219" s="32" t="n">
        <v>0</v>
      </c>
      <c r="R1219" s="32" t="n">
        <v>0</v>
      </c>
      <c r="S1219" s="31" t="n">
        <v>0</v>
      </c>
      <c r="T1219" s="32" t="n">
        <v>0</v>
      </c>
      <c r="U1219" s="31" t="n">
        <v>0</v>
      </c>
      <c r="V1219" s="31" t="n">
        <v>0</v>
      </c>
      <c r="W1219" s="3" t="n">
        <v>0</v>
      </c>
      <c r="X1219" s="3" t="n">
        <v>0</v>
      </c>
      <c r="Y1219" s="32" t="n">
        <v>0</v>
      </c>
      <c r="Z1219" s="3" t="n">
        <v>0</v>
      </c>
      <c r="AA1219" s="32" t="n">
        <v>0</v>
      </c>
      <c r="AB1219" s="3" t="n"/>
      <c r="AC1219" s="31" t="n">
        <v>0</v>
      </c>
      <c r="AD1219" s="2" t="n">
        <v>0</v>
      </c>
      <c r="AE1219" s="2" t="n">
        <v>0</v>
      </c>
      <c r="AF1219" s="4" t="n">
        <v>0</v>
      </c>
      <c r="AG1219" s="33" t="n">
        <v>0</v>
      </c>
      <c r="AH1219" s="4" t="n">
        <v>0</v>
      </c>
      <c r="AI1219" s="34" t="n"/>
      <c r="AJ1219" s="34" t="n">
        <v>0</v>
      </c>
      <c r="AK1219" s="2" t="n">
        <v>0</v>
      </c>
      <c r="AL1219" t="inlineStr">
        <is>
          <t>Published</t>
        </is>
      </c>
    </row>
    <row r="1220">
      <c r="A1220">
        <f>HYPERLINK("https://www.walmart.com/ip/14510674941", "14510674941")</f>
        <v/>
      </c>
      <c r="B1220">
        <f>HYPERLINK("https://app.optiwise.ai/catalog/itemdetails/13059130", "PEANUTS Mens' Cotton Snoopy Family Matching Pajamas 2-Piece Sets for Christmas with Woodstock Charlie Brown Linus, Gift for him (Black Plaid, S)")</f>
        <v/>
      </c>
      <c r="C1220" t="inlineStr">
        <is>
          <t>PEA-PJS-FAMILY-MEN-BLACKPLAID-S</t>
        </is>
      </c>
      <c r="D1220" t="inlineStr">
        <is>
          <t>Clothing</t>
        </is>
      </c>
      <c r="E1220" t="inlineStr">
        <is>
          <t>Pajamas</t>
        </is>
      </c>
      <c r="F1220" t="inlineStr">
        <is>
          <t>Peanuts</t>
        </is>
      </c>
      <c r="G1220" t="n">
        <v>0</v>
      </c>
      <c r="H1220" t="n">
        <v>0</v>
      </c>
      <c r="J1220" s="29" t="n">
        <v>0</v>
      </c>
      <c r="K1220" s="30" t="n"/>
      <c r="L1220" s="29" t="n">
        <v>0</v>
      </c>
      <c r="M1220" s="29" t="n">
        <v>0</v>
      </c>
      <c r="N1220" s="2" t="n">
        <v>0</v>
      </c>
      <c r="O1220" s="31" t="n">
        <v>0</v>
      </c>
      <c r="P1220" s="32" t="n"/>
      <c r="Q1220" s="32" t="n">
        <v>0</v>
      </c>
      <c r="R1220" s="32" t="n">
        <v>0</v>
      </c>
      <c r="S1220" s="31" t="n">
        <v>0</v>
      </c>
      <c r="T1220" s="32" t="n">
        <v>0</v>
      </c>
      <c r="U1220" s="31" t="n">
        <v>0</v>
      </c>
      <c r="V1220" s="31" t="n">
        <v>0</v>
      </c>
      <c r="W1220" s="3" t="n">
        <v>0</v>
      </c>
      <c r="X1220" s="3" t="n">
        <v>0</v>
      </c>
      <c r="Y1220" s="32" t="n">
        <v>0</v>
      </c>
      <c r="Z1220" s="3" t="n">
        <v>0</v>
      </c>
      <c r="AA1220" s="32" t="n">
        <v>0</v>
      </c>
      <c r="AB1220" s="3" t="n"/>
      <c r="AC1220" s="31" t="n">
        <v>0</v>
      </c>
      <c r="AD1220" s="2" t="n">
        <v>0</v>
      </c>
      <c r="AE1220" s="2" t="n">
        <v>0</v>
      </c>
      <c r="AF1220" s="4" t="n">
        <v>0</v>
      </c>
      <c r="AG1220" s="33" t="n">
        <v>0</v>
      </c>
      <c r="AH1220" s="4" t="n">
        <v>0</v>
      </c>
      <c r="AI1220" s="34" t="n"/>
      <c r="AJ1220" s="34" t="n">
        <v>0</v>
      </c>
      <c r="AK1220" s="2" t="n">
        <v>0</v>
      </c>
      <c r="AL1220" t="inlineStr">
        <is>
          <t>Published</t>
        </is>
      </c>
    </row>
    <row r="1221">
      <c r="A1221">
        <f>HYPERLINK("https://www.walmart.com/ip/14477216506", "14477216506")</f>
        <v/>
      </c>
      <c r="B1221">
        <f>HYPERLINK("https://app.optiwise.ai/catalog/itemdetails/13059129", "PEANUTS Snoopy 100% Cotton Family Matching Pajamas Holiday 2-Piece Sets for Christmas with Woodstock Charlie Brown Linus for Baby (Red Plaid, 12M)")</f>
        <v/>
      </c>
      <c r="C1221" t="inlineStr">
        <is>
          <t>PEA-PJS-FAMILY-INFANT-REDPLAID-12M</t>
        </is>
      </c>
      <c r="D1221" t="inlineStr">
        <is>
          <t>Clothing</t>
        </is>
      </c>
      <c r="E1221" t="inlineStr">
        <is>
          <t>Pajamas</t>
        </is>
      </c>
      <c r="F1221" t="inlineStr">
        <is>
          <t>Peanuts</t>
        </is>
      </c>
      <c r="G1221" t="n">
        <v>0</v>
      </c>
      <c r="H1221" t="n">
        <v>0</v>
      </c>
      <c r="J1221" s="29" t="n">
        <v>0</v>
      </c>
      <c r="K1221" s="30" t="n"/>
      <c r="L1221" s="29" t="n">
        <v>0</v>
      </c>
      <c r="M1221" s="29" t="n">
        <v>0</v>
      </c>
      <c r="N1221" s="2" t="n">
        <v>0</v>
      </c>
      <c r="O1221" s="31" t="n">
        <v>0</v>
      </c>
      <c r="P1221" s="32" t="n"/>
      <c r="Q1221" s="32" t="n">
        <v>0</v>
      </c>
      <c r="R1221" s="32" t="n">
        <v>0</v>
      </c>
      <c r="S1221" s="31" t="n">
        <v>0</v>
      </c>
      <c r="T1221" s="32" t="n">
        <v>0</v>
      </c>
      <c r="U1221" s="31" t="n">
        <v>0</v>
      </c>
      <c r="V1221" s="31" t="n">
        <v>0</v>
      </c>
      <c r="W1221" s="3" t="n">
        <v>0</v>
      </c>
      <c r="X1221" s="3" t="n">
        <v>0</v>
      </c>
      <c r="Y1221" s="32" t="n">
        <v>0</v>
      </c>
      <c r="Z1221" s="3" t="n">
        <v>0</v>
      </c>
      <c r="AA1221" s="32" t="n">
        <v>0</v>
      </c>
      <c r="AB1221" s="3" t="n"/>
      <c r="AC1221" s="31" t="n">
        <v>0</v>
      </c>
      <c r="AD1221" s="2" t="n">
        <v>0</v>
      </c>
      <c r="AE1221" s="2" t="n">
        <v>0</v>
      </c>
      <c r="AF1221" s="4" t="n">
        <v>0</v>
      </c>
      <c r="AG1221" s="33" t="n">
        <v>0</v>
      </c>
      <c r="AH1221" s="4" t="n">
        <v>0</v>
      </c>
      <c r="AI1221" s="34" t="n"/>
      <c r="AJ1221" s="34" t="n">
        <v>0</v>
      </c>
      <c r="AK1221" s="2" t="n">
        <v>0</v>
      </c>
      <c r="AL1221" t="inlineStr">
        <is>
          <t>Published</t>
        </is>
      </c>
    </row>
    <row r="1222">
      <c r="A1222">
        <f>HYPERLINK("https://www.walmart.com/ip/10306055739", "10306055739")</f>
        <v/>
      </c>
      <c r="B1222">
        <f>HYPERLINK("https://app.optiwise.ai/catalog/itemdetails/13059128", "PEANUTS Toddler Boys Girls Snoopy Family Matching Pajamas 2-Piece Sets for Christmas with Woodstock Charlie Brown Linus (Green Polka Dot, 4T)")</f>
        <v/>
      </c>
      <c r="C1222" t="inlineStr">
        <is>
          <t>PEA-PJS-FAMILY-TODDLER-GREEN-4T</t>
        </is>
      </c>
      <c r="D1222" t="inlineStr">
        <is>
          <t>Clothing</t>
        </is>
      </c>
      <c r="E1222" t="inlineStr">
        <is>
          <t>Pajamas</t>
        </is>
      </c>
      <c r="F1222" t="inlineStr">
        <is>
          <t>Peanuts</t>
        </is>
      </c>
      <c r="G1222" t="n">
        <v>4.5</v>
      </c>
      <c r="H1222" t="n">
        <v>0</v>
      </c>
      <c r="J1222" s="29" t="n">
        <v>0</v>
      </c>
      <c r="K1222" s="30" t="n"/>
      <c r="L1222" s="29" t="n">
        <v>0</v>
      </c>
      <c r="M1222" s="29" t="n">
        <v>0</v>
      </c>
      <c r="N1222" s="2" t="n">
        <v>0</v>
      </c>
      <c r="O1222" s="31" t="n">
        <v>0</v>
      </c>
      <c r="P1222" s="32" t="n"/>
      <c r="Q1222" s="32" t="n">
        <v>0</v>
      </c>
      <c r="R1222" s="32" t="n">
        <v>0</v>
      </c>
      <c r="S1222" s="31" t="n">
        <v>0</v>
      </c>
      <c r="T1222" s="32" t="n">
        <v>0</v>
      </c>
      <c r="U1222" s="31" t="n">
        <v>0</v>
      </c>
      <c r="V1222" s="31" t="n">
        <v>0</v>
      </c>
      <c r="W1222" s="3" t="n">
        <v>0</v>
      </c>
      <c r="X1222" s="3" t="n">
        <v>0</v>
      </c>
      <c r="Y1222" s="32" t="n">
        <v>0</v>
      </c>
      <c r="Z1222" s="3" t="n">
        <v>0</v>
      </c>
      <c r="AA1222" s="32" t="n">
        <v>0</v>
      </c>
      <c r="AB1222" s="3" t="n"/>
      <c r="AC1222" s="31" t="n">
        <v>0</v>
      </c>
      <c r="AD1222" s="2" t="n">
        <v>0</v>
      </c>
      <c r="AE1222" s="2" t="n">
        <v>0</v>
      </c>
      <c r="AF1222" s="4" t="n">
        <v>0</v>
      </c>
      <c r="AG1222" s="33" t="n">
        <v>0</v>
      </c>
      <c r="AH1222" s="4" t="n">
        <v>0</v>
      </c>
      <c r="AI1222" s="34" t="n"/>
      <c r="AJ1222" s="34" t="n">
        <v>0</v>
      </c>
      <c r="AK1222" s="2" t="n">
        <v>0</v>
      </c>
      <c r="AL1222" t="inlineStr">
        <is>
          <t>Published</t>
        </is>
      </c>
    </row>
    <row r="1223">
      <c r="A1223">
        <f>HYPERLINK("https://www.walmart.com/ip/10292551967", "10292551967")</f>
        <v/>
      </c>
      <c r="B1223">
        <f>HYPERLINK("https://app.optiwise.ai/catalog/itemdetails/13059127", "PEANUTS Toddler Boys Girls Snoopy Family Matching Pajamas 2-Piece Sets for Christmas with Woodstock Charlie Brown Linus (Green Polka Dot, 5T)")</f>
        <v/>
      </c>
      <c r="C1223" t="inlineStr">
        <is>
          <t>PEA-PJS-FAMILY-TODDLER-GREEN-5T</t>
        </is>
      </c>
      <c r="D1223" t="inlineStr">
        <is>
          <t>Clothing</t>
        </is>
      </c>
      <c r="E1223" t="inlineStr">
        <is>
          <t>Pajamas</t>
        </is>
      </c>
      <c r="F1223" t="inlineStr">
        <is>
          <t>Peanuts</t>
        </is>
      </c>
      <c r="G1223" t="n">
        <v>4.5</v>
      </c>
      <c r="H1223" t="n">
        <v>0</v>
      </c>
      <c r="J1223" s="29" t="n">
        <v>0</v>
      </c>
      <c r="K1223" s="30" t="n"/>
      <c r="L1223" s="29" t="n">
        <v>0</v>
      </c>
      <c r="M1223" s="29" t="n">
        <v>0</v>
      </c>
      <c r="N1223" s="2" t="n">
        <v>0</v>
      </c>
      <c r="O1223" s="31" t="n">
        <v>0</v>
      </c>
      <c r="P1223" s="32" t="n"/>
      <c r="Q1223" s="32" t="n">
        <v>0</v>
      </c>
      <c r="R1223" s="32" t="n">
        <v>0</v>
      </c>
      <c r="S1223" s="31" t="n">
        <v>0</v>
      </c>
      <c r="T1223" s="32" t="n">
        <v>0</v>
      </c>
      <c r="U1223" s="31" t="n">
        <v>0</v>
      </c>
      <c r="V1223" s="31" t="n">
        <v>0</v>
      </c>
      <c r="W1223" s="3" t="n">
        <v>0</v>
      </c>
      <c r="X1223" s="3" t="n">
        <v>0</v>
      </c>
      <c r="Y1223" s="32" t="n">
        <v>0</v>
      </c>
      <c r="Z1223" s="3" t="n">
        <v>0</v>
      </c>
      <c r="AA1223" s="32" t="n">
        <v>0</v>
      </c>
      <c r="AB1223" s="3" t="n"/>
      <c r="AC1223" s="31" t="n">
        <v>0</v>
      </c>
      <c r="AD1223" s="2" t="n">
        <v>0</v>
      </c>
      <c r="AE1223" s="2" t="n">
        <v>0</v>
      </c>
      <c r="AF1223" s="4" t="n">
        <v>0</v>
      </c>
      <c r="AG1223" s="33" t="n">
        <v>0</v>
      </c>
      <c r="AH1223" s="4" t="n">
        <v>0</v>
      </c>
      <c r="AI1223" s="34" t="n"/>
      <c r="AJ1223" s="34" t="n">
        <v>0</v>
      </c>
      <c r="AK1223" s="2" t="n">
        <v>0</v>
      </c>
      <c r="AL1223" t="inlineStr">
        <is>
          <t>Published</t>
        </is>
      </c>
    </row>
    <row r="1224">
      <c r="A1224">
        <f>HYPERLINK("https://www.walmart.com/ip/14542705719", "14542705719")</f>
        <v/>
      </c>
      <c r="B1224">
        <f>HYPERLINK("https://app.optiwise.ai/catalog/itemdetails/13059125", "PEANUTS Mens' Cotton Snoopy Family Matching Pajamas 2-Piece Sets for Christmas with Woodstock Charlie Brown Linus, Gift for him (Red Plaid, XL)")</f>
        <v/>
      </c>
      <c r="C1224" t="inlineStr">
        <is>
          <t>PEA-PJS-FAMILY-MEN-REDPLAID-XL</t>
        </is>
      </c>
      <c r="D1224" t="inlineStr">
        <is>
          <t>Clothing</t>
        </is>
      </c>
      <c r="E1224" t="inlineStr">
        <is>
          <t>Pajamas</t>
        </is>
      </c>
      <c r="F1224" t="inlineStr">
        <is>
          <t>Peanuts</t>
        </is>
      </c>
      <c r="G1224" t="n">
        <v>0</v>
      </c>
      <c r="H1224" t="n">
        <v>0</v>
      </c>
      <c r="J1224" s="29" t="n">
        <v>0</v>
      </c>
      <c r="K1224" s="30" t="n"/>
      <c r="L1224" s="29" t="n">
        <v>0</v>
      </c>
      <c r="M1224" s="29" t="n">
        <v>0</v>
      </c>
      <c r="N1224" s="2" t="n">
        <v>0</v>
      </c>
      <c r="O1224" s="31" t="n">
        <v>0</v>
      </c>
      <c r="P1224" s="32" t="n"/>
      <c r="Q1224" s="32" t="n">
        <v>0</v>
      </c>
      <c r="R1224" s="32" t="n">
        <v>0</v>
      </c>
      <c r="S1224" s="31" t="n">
        <v>0</v>
      </c>
      <c r="T1224" s="32" t="n">
        <v>0</v>
      </c>
      <c r="U1224" s="31" t="n">
        <v>0</v>
      </c>
      <c r="V1224" s="31" t="n">
        <v>0</v>
      </c>
      <c r="W1224" s="3" t="n">
        <v>0</v>
      </c>
      <c r="X1224" s="3" t="n">
        <v>0</v>
      </c>
      <c r="Y1224" s="32" t="n">
        <v>0</v>
      </c>
      <c r="Z1224" s="3" t="n">
        <v>0</v>
      </c>
      <c r="AA1224" s="32" t="n">
        <v>0</v>
      </c>
      <c r="AB1224" s="3" t="n"/>
      <c r="AC1224" s="31" t="n">
        <v>0</v>
      </c>
      <c r="AD1224" s="2" t="n">
        <v>0</v>
      </c>
      <c r="AE1224" s="2" t="n">
        <v>0</v>
      </c>
      <c r="AF1224" s="4" t="n">
        <v>0</v>
      </c>
      <c r="AG1224" s="33" t="n">
        <v>0</v>
      </c>
      <c r="AH1224" s="4" t="n">
        <v>0</v>
      </c>
      <c r="AI1224" s="34" t="n"/>
      <c r="AJ1224" s="34" t="n">
        <v>0</v>
      </c>
      <c r="AK1224" s="2" t="n">
        <v>0</v>
      </c>
      <c r="AL1224" t="inlineStr">
        <is>
          <t>Published</t>
        </is>
      </c>
    </row>
    <row r="1225">
      <c r="A1225">
        <f>HYPERLINK("https://www.walmart.com/ip/14541560711", "14541560711")</f>
        <v/>
      </c>
      <c r="B1225">
        <f>HYPERLINK("https://app.optiwise.ai/catalog/itemdetails/13059124", "PEANUTS Snoopy 100% Cotton Family Matching Pajamas Holiday 2-Piece Sets for Christmas with Woodstock Charlie Brown Linus for Baby (Black Plaid, 18M)")</f>
        <v/>
      </c>
      <c r="C1225" t="inlineStr">
        <is>
          <t>PEA-PJS-FAMILY-INFANT-BLACKPLAID-18M</t>
        </is>
      </c>
      <c r="D1225" t="inlineStr">
        <is>
          <t>Clothing</t>
        </is>
      </c>
      <c r="E1225" t="inlineStr">
        <is>
          <t>Pajamas</t>
        </is>
      </c>
      <c r="F1225" t="inlineStr">
        <is>
          <t>Peanuts</t>
        </is>
      </c>
      <c r="G1225" t="n">
        <v>0</v>
      </c>
      <c r="H1225" t="n">
        <v>0</v>
      </c>
      <c r="J1225" s="29" t="n">
        <v>0</v>
      </c>
      <c r="K1225" s="30" t="n"/>
      <c r="L1225" s="29" t="n">
        <v>0</v>
      </c>
      <c r="M1225" s="29" t="n">
        <v>0</v>
      </c>
      <c r="N1225" s="2" t="n">
        <v>0</v>
      </c>
      <c r="O1225" s="31" t="n">
        <v>0</v>
      </c>
      <c r="P1225" s="32" t="n"/>
      <c r="Q1225" s="32" t="n">
        <v>0</v>
      </c>
      <c r="R1225" s="32" t="n">
        <v>0</v>
      </c>
      <c r="S1225" s="31" t="n">
        <v>0</v>
      </c>
      <c r="T1225" s="32" t="n">
        <v>0</v>
      </c>
      <c r="U1225" s="31" t="n">
        <v>0</v>
      </c>
      <c r="V1225" s="31" t="n">
        <v>0</v>
      </c>
      <c r="W1225" s="3" t="n">
        <v>0</v>
      </c>
      <c r="X1225" s="3" t="n">
        <v>0</v>
      </c>
      <c r="Y1225" s="32" t="n">
        <v>0</v>
      </c>
      <c r="Z1225" s="3" t="n">
        <v>0</v>
      </c>
      <c r="AA1225" s="32" t="n">
        <v>0</v>
      </c>
      <c r="AB1225" s="3" t="n"/>
      <c r="AC1225" s="31" t="n">
        <v>0</v>
      </c>
      <c r="AD1225" s="2" t="n">
        <v>0</v>
      </c>
      <c r="AE1225" s="2" t="n">
        <v>0</v>
      </c>
      <c r="AF1225" s="4" t="n">
        <v>0</v>
      </c>
      <c r="AG1225" s="33" t="n">
        <v>0</v>
      </c>
      <c r="AH1225" s="4" t="n">
        <v>0</v>
      </c>
      <c r="AI1225" s="34" t="n"/>
      <c r="AJ1225" s="34" t="n">
        <v>0</v>
      </c>
      <c r="AK1225" s="2" t="n">
        <v>0</v>
      </c>
      <c r="AL1225" t="inlineStr">
        <is>
          <t>Published</t>
        </is>
      </c>
    </row>
    <row r="1226">
      <c r="A1226">
        <f>HYPERLINK("https://www.walmart.com/ip/14537357559", "14537357559")</f>
        <v/>
      </c>
      <c r="B1226">
        <f>HYPERLINK("https://app.optiwise.ai/catalog/itemdetails/13059123", "PEANUTS Womens 100% Cotton Family Matching Pajamas Holiday Festive Nightwear Sleepwear 2-Piece Sets for Christmas Gifts (Black Plaid, S)")</f>
        <v/>
      </c>
      <c r="C1226" t="inlineStr">
        <is>
          <t>PEA-PJS-FAMILY-WOMEN-BLACKPLAID-S</t>
        </is>
      </c>
      <c r="D1226" t="inlineStr">
        <is>
          <t>Clothing</t>
        </is>
      </c>
      <c r="E1226" t="inlineStr">
        <is>
          <t>Pajamas</t>
        </is>
      </c>
      <c r="F1226" t="inlineStr">
        <is>
          <t>Peanuts</t>
        </is>
      </c>
      <c r="G1226" t="n">
        <v>0</v>
      </c>
      <c r="H1226" t="n">
        <v>0</v>
      </c>
      <c r="J1226" s="29" t="n">
        <v>0</v>
      </c>
      <c r="K1226" s="30" t="n"/>
      <c r="L1226" s="29" t="n">
        <v>0</v>
      </c>
      <c r="M1226" s="29" t="n">
        <v>0</v>
      </c>
      <c r="N1226" s="2" t="n">
        <v>0</v>
      </c>
      <c r="O1226" s="31" t="n">
        <v>0</v>
      </c>
      <c r="P1226" s="32" t="n"/>
      <c r="Q1226" s="32" t="n">
        <v>0</v>
      </c>
      <c r="R1226" s="32" t="n">
        <v>0</v>
      </c>
      <c r="S1226" s="31" t="n">
        <v>0</v>
      </c>
      <c r="T1226" s="32" t="n">
        <v>0</v>
      </c>
      <c r="U1226" s="31" t="n">
        <v>0</v>
      </c>
      <c r="V1226" s="31" t="n">
        <v>0</v>
      </c>
      <c r="W1226" s="3" t="n">
        <v>0</v>
      </c>
      <c r="X1226" s="3" t="n">
        <v>0</v>
      </c>
      <c r="Y1226" s="32" t="n">
        <v>0</v>
      </c>
      <c r="Z1226" s="3" t="n">
        <v>0</v>
      </c>
      <c r="AA1226" s="32" t="n">
        <v>0</v>
      </c>
      <c r="AB1226" s="3" t="n"/>
      <c r="AC1226" s="31" t="n">
        <v>0</v>
      </c>
      <c r="AD1226" s="2" t="n">
        <v>0</v>
      </c>
      <c r="AE1226" s="2" t="n">
        <v>0</v>
      </c>
      <c r="AF1226" s="4" t="n">
        <v>0</v>
      </c>
      <c r="AG1226" s="33" t="n">
        <v>0</v>
      </c>
      <c r="AH1226" s="4" t="n">
        <v>0</v>
      </c>
      <c r="AI1226" s="34" t="n"/>
      <c r="AJ1226" s="34" t="n">
        <v>0</v>
      </c>
      <c r="AK1226" s="2" t="n">
        <v>0</v>
      </c>
      <c r="AL1226" t="inlineStr">
        <is>
          <t>Published</t>
        </is>
      </c>
    </row>
    <row r="1227">
      <c r="A1227">
        <f>HYPERLINK("https://www.walmart.com/ip/14534159428", "14534159428")</f>
        <v/>
      </c>
      <c r="B1227">
        <f>HYPERLINK("https://app.optiwise.ai/catalog/itemdetails/13059602", "Aeropostale  Backpack for School, College, and Travel， Water Resistant Bookbag Navy Bear")</f>
        <v/>
      </c>
      <c r="C1227" t="inlineStr">
        <is>
          <t>1AEBPK92029NYBEAR</t>
        </is>
      </c>
      <c r="D1227" t="inlineStr">
        <is>
          <t>Cases &amp; Bags</t>
        </is>
      </c>
      <c r="E1227" t="inlineStr">
        <is>
          <t>Backpacks</t>
        </is>
      </c>
      <c r="F1227" t="inlineStr">
        <is>
          <t>Aeropostale</t>
        </is>
      </c>
      <c r="G1227" t="n">
        <v>0</v>
      </c>
      <c r="H1227" t="n">
        <v>0</v>
      </c>
      <c r="J1227" s="29" t="n">
        <v>0</v>
      </c>
      <c r="K1227" s="30" t="n"/>
      <c r="L1227" s="29" t="n">
        <v>0</v>
      </c>
      <c r="M1227" s="29" t="n">
        <v>0</v>
      </c>
      <c r="N1227" s="2" t="n">
        <v>0</v>
      </c>
      <c r="O1227" s="31" t="n">
        <v>0</v>
      </c>
      <c r="P1227" s="32" t="n"/>
      <c r="Q1227" s="32" t="n">
        <v>0</v>
      </c>
      <c r="R1227" s="32" t="n">
        <v>0</v>
      </c>
      <c r="S1227" s="31" t="n">
        <v>0</v>
      </c>
      <c r="T1227" s="32" t="n">
        <v>0</v>
      </c>
      <c r="U1227" s="31" t="n">
        <v>0</v>
      </c>
      <c r="V1227" s="31" t="n">
        <v>0</v>
      </c>
      <c r="W1227" s="3" t="n">
        <v>0</v>
      </c>
      <c r="X1227" s="3" t="n">
        <v>0</v>
      </c>
      <c r="Y1227" s="32" t="n">
        <v>0</v>
      </c>
      <c r="Z1227" s="3" t="n">
        <v>0</v>
      </c>
      <c r="AA1227" s="32" t="n">
        <v>0</v>
      </c>
      <c r="AB1227" s="3" t="n"/>
      <c r="AC1227" s="31" t="n">
        <v>0</v>
      </c>
      <c r="AD1227" s="2" t="n">
        <v>0</v>
      </c>
      <c r="AE1227" s="2" t="n">
        <v>8</v>
      </c>
      <c r="AF1227" s="4" t="n">
        <v>8</v>
      </c>
      <c r="AG1227" s="33" t="n">
        <v>0</v>
      </c>
      <c r="AH1227" s="4" t="n">
        <v>0</v>
      </c>
      <c r="AI1227" s="34" t="n"/>
      <c r="AJ1227" s="34" t="n">
        <v>0</v>
      </c>
      <c r="AK1227" s="2" t="n">
        <v>0</v>
      </c>
      <c r="AL1227" t="inlineStr">
        <is>
          <t>Published</t>
        </is>
      </c>
    </row>
    <row r="1228">
      <c r="A1228">
        <f>HYPERLINK("https://www.walmart.com/ip/14535917854", "14535917854")</f>
        <v/>
      </c>
      <c r="B1228">
        <f>HYPERLINK("https://app.optiwise.ai/catalog/itemdetails/13059603", "Aeropostale  Backpack for School, College, and Travel， Water Resistant Bookbag Gray Aero")</f>
        <v/>
      </c>
      <c r="C1228" t="inlineStr">
        <is>
          <t>1AEBPK92029GYAERO</t>
        </is>
      </c>
      <c r="D1228" t="inlineStr">
        <is>
          <t>Cases &amp; Bags</t>
        </is>
      </c>
      <c r="E1228" t="inlineStr">
        <is>
          <t>Backpacks</t>
        </is>
      </c>
      <c r="F1228" t="inlineStr">
        <is>
          <t>Aeropostale</t>
        </is>
      </c>
      <c r="G1228" t="n">
        <v>0</v>
      </c>
      <c r="H1228" t="n">
        <v>0</v>
      </c>
      <c r="J1228" s="29" t="n">
        <v>0</v>
      </c>
      <c r="K1228" s="30" t="n"/>
      <c r="L1228" s="29" t="n">
        <v>0</v>
      </c>
      <c r="M1228" s="29" t="n">
        <v>0</v>
      </c>
      <c r="N1228" s="2" t="n">
        <v>0</v>
      </c>
      <c r="O1228" s="31" t="n">
        <v>0</v>
      </c>
      <c r="P1228" s="32" t="n"/>
      <c r="Q1228" s="32" t="n">
        <v>0</v>
      </c>
      <c r="R1228" s="32" t="n">
        <v>0</v>
      </c>
      <c r="S1228" s="31" t="n">
        <v>0</v>
      </c>
      <c r="T1228" s="32" t="n">
        <v>0</v>
      </c>
      <c r="U1228" s="31" t="n">
        <v>0</v>
      </c>
      <c r="V1228" s="31" t="n">
        <v>0</v>
      </c>
      <c r="W1228" s="3" t="n">
        <v>0</v>
      </c>
      <c r="X1228" s="3" t="n">
        <v>0</v>
      </c>
      <c r="Y1228" s="32" t="n">
        <v>0</v>
      </c>
      <c r="Z1228" s="3" t="n">
        <v>0</v>
      </c>
      <c r="AA1228" s="32" t="n">
        <v>0</v>
      </c>
      <c r="AB1228" s="3" t="n"/>
      <c r="AC1228" s="31" t="n">
        <v>0</v>
      </c>
      <c r="AD1228" s="2" t="n">
        <v>0</v>
      </c>
      <c r="AE1228" s="2" t="n">
        <v>10</v>
      </c>
      <c r="AF1228" s="4" t="n">
        <v>10</v>
      </c>
      <c r="AG1228" s="33" t="n">
        <v>0</v>
      </c>
      <c r="AH1228" s="4" t="n">
        <v>0</v>
      </c>
      <c r="AI1228" s="34" t="n"/>
      <c r="AJ1228" s="34" t="n">
        <v>0</v>
      </c>
      <c r="AK1228" s="2" t="n">
        <v>0</v>
      </c>
      <c r="AL1228" t="inlineStr">
        <is>
          <t>Published</t>
        </is>
      </c>
    </row>
    <row r="1229">
      <c r="A1229">
        <f>HYPERLINK("https://www.walmart.com/ip/14535967778", "14535967778")</f>
        <v/>
      </c>
      <c r="B1229">
        <f>HYPERLINK("https://app.optiwise.ai/catalog/itemdetails/13059604", "Aeropostale  Backpack for School, College, and Travel， Water Resistant Bookbag Pink Cloud")</f>
        <v/>
      </c>
      <c r="C1229" t="inlineStr">
        <is>
          <t>1AEBPK92029PKCLOUD</t>
        </is>
      </c>
      <c r="D1229" t="inlineStr">
        <is>
          <t>Cases &amp; Bags</t>
        </is>
      </c>
      <c r="E1229" t="inlineStr">
        <is>
          <t>Backpacks</t>
        </is>
      </c>
      <c r="F1229" t="inlineStr">
        <is>
          <t>Aeropostale</t>
        </is>
      </c>
      <c r="G1229" t="n">
        <v>0</v>
      </c>
      <c r="H1229" t="n">
        <v>0</v>
      </c>
      <c r="J1229" s="29" t="n">
        <v>0</v>
      </c>
      <c r="K1229" s="30" t="n"/>
      <c r="L1229" s="29" t="n">
        <v>0</v>
      </c>
      <c r="M1229" s="29" t="n">
        <v>0</v>
      </c>
      <c r="N1229" s="2" t="n">
        <v>0</v>
      </c>
      <c r="O1229" s="31" t="n">
        <v>0</v>
      </c>
      <c r="P1229" s="32" t="n"/>
      <c r="Q1229" s="32" t="n">
        <v>0</v>
      </c>
      <c r="R1229" s="32" t="n">
        <v>0</v>
      </c>
      <c r="S1229" s="31" t="n">
        <v>0</v>
      </c>
      <c r="T1229" s="32" t="n">
        <v>0</v>
      </c>
      <c r="U1229" s="31" t="n">
        <v>0</v>
      </c>
      <c r="V1229" s="31" t="n">
        <v>0</v>
      </c>
      <c r="W1229" s="3" t="n">
        <v>0</v>
      </c>
      <c r="X1229" s="3" t="n">
        <v>0</v>
      </c>
      <c r="Y1229" s="32" t="n">
        <v>0</v>
      </c>
      <c r="Z1229" s="3" t="n">
        <v>0</v>
      </c>
      <c r="AA1229" s="32" t="n">
        <v>0</v>
      </c>
      <c r="AB1229" s="3" t="n"/>
      <c r="AC1229" s="31" t="n">
        <v>0</v>
      </c>
      <c r="AD1229" s="2" t="n">
        <v>0</v>
      </c>
      <c r="AE1229" s="2" t="n">
        <v>0</v>
      </c>
      <c r="AF1229" s="4" t="n">
        <v>0</v>
      </c>
      <c r="AG1229" s="33" t="n">
        <v>0</v>
      </c>
      <c r="AH1229" s="4" t="n">
        <v>0</v>
      </c>
      <c r="AI1229" s="34" t="n"/>
      <c r="AJ1229" s="34" t="n">
        <v>0</v>
      </c>
      <c r="AK1229" s="2" t="n">
        <v>0</v>
      </c>
      <c r="AL1229" t="inlineStr">
        <is>
          <t>Published</t>
        </is>
      </c>
    </row>
    <row r="1230">
      <c r="A1230">
        <f>HYPERLINK("https://www.walmart.com/ip/14539058447", "14539058447")</f>
        <v/>
      </c>
      <c r="B1230">
        <f>HYPERLINK("https://app.optiwise.ai/catalog/itemdetails/13059605", "Aeropostale  Backpack for School, College, and Travel， Water Resistant Bookbag Green")</f>
        <v/>
      </c>
      <c r="C1230" t="inlineStr">
        <is>
          <t>1AEBPK92029GN</t>
        </is>
      </c>
      <c r="D1230" t="inlineStr">
        <is>
          <t>Cases &amp; Bags</t>
        </is>
      </c>
      <c r="E1230" t="inlineStr">
        <is>
          <t>Backpacks</t>
        </is>
      </c>
      <c r="F1230" t="inlineStr">
        <is>
          <t>Aeropostale</t>
        </is>
      </c>
      <c r="G1230" t="n">
        <v>0</v>
      </c>
      <c r="H1230" t="n">
        <v>0</v>
      </c>
      <c r="J1230" s="29" t="n">
        <v>0</v>
      </c>
      <c r="K1230" s="30" t="n"/>
      <c r="L1230" s="29" t="n">
        <v>0</v>
      </c>
      <c r="M1230" s="29" t="n">
        <v>0</v>
      </c>
      <c r="N1230" s="2" t="n">
        <v>0</v>
      </c>
      <c r="O1230" s="31" t="n">
        <v>0</v>
      </c>
      <c r="P1230" s="32" t="n"/>
      <c r="Q1230" s="32" t="n">
        <v>0</v>
      </c>
      <c r="R1230" s="32" t="n">
        <v>0</v>
      </c>
      <c r="S1230" s="31" t="n">
        <v>0</v>
      </c>
      <c r="T1230" s="32" t="n">
        <v>0</v>
      </c>
      <c r="U1230" s="31" t="n">
        <v>0</v>
      </c>
      <c r="V1230" s="31" t="n">
        <v>0</v>
      </c>
      <c r="W1230" s="3" t="n">
        <v>0</v>
      </c>
      <c r="X1230" s="3" t="n">
        <v>0</v>
      </c>
      <c r="Y1230" s="32" t="n">
        <v>0</v>
      </c>
      <c r="Z1230" s="3" t="n">
        <v>0</v>
      </c>
      <c r="AA1230" s="32" t="n">
        <v>0</v>
      </c>
      <c r="AB1230" s="3" t="n"/>
      <c r="AC1230" s="31" t="n">
        <v>0</v>
      </c>
      <c r="AD1230" s="2" t="n">
        <v>0</v>
      </c>
      <c r="AE1230" s="2" t="n">
        <v>10</v>
      </c>
      <c r="AF1230" s="4" t="n">
        <v>10</v>
      </c>
      <c r="AG1230" s="33" t="n">
        <v>0</v>
      </c>
      <c r="AH1230" s="4" t="n">
        <v>0</v>
      </c>
      <c r="AI1230" s="34" t="n"/>
      <c r="AJ1230" s="34" t="n">
        <v>0</v>
      </c>
      <c r="AK1230" s="2" t="n">
        <v>0</v>
      </c>
      <c r="AL1230" t="inlineStr">
        <is>
          <t>Published</t>
        </is>
      </c>
    </row>
    <row r="1231">
      <c r="A1231">
        <f>HYPERLINK("https://www.walmart.com/ip/15457112508", "15457112508")</f>
        <v/>
      </c>
      <c r="B1231">
        <f>HYPERLINK("https://app.optiwise.ai/catalog/itemdetails/20125650", "Sun Blocker Unisex Sun Hat with Neck Flap Large Brim Packable Summer Beach Fishing Cap")</f>
        <v/>
      </c>
      <c r="C1231" t="inlineStr">
        <is>
          <t>1SLSH9153WT</t>
        </is>
      </c>
      <c r="D1231" t="inlineStr">
        <is>
          <t>Clothing</t>
        </is>
      </c>
      <c r="E1231" t="inlineStr">
        <is>
          <t>Hats</t>
        </is>
      </c>
      <c r="F1231" t="inlineStr">
        <is>
          <t>Sun Blocker</t>
        </is>
      </c>
      <c r="G1231" t="n">
        <v>0</v>
      </c>
      <c r="H1231" t="n">
        <v>0</v>
      </c>
      <c r="J1231" s="29" t="n">
        <v>0</v>
      </c>
      <c r="K1231" s="30" t="n"/>
      <c r="L1231" s="29" t="n">
        <v>0</v>
      </c>
      <c r="M1231" s="29" t="n">
        <v>0</v>
      </c>
      <c r="N1231" s="2" t="n">
        <v>0</v>
      </c>
      <c r="O1231" s="31" t="n">
        <v>0</v>
      </c>
      <c r="P1231" s="32" t="n"/>
      <c r="Q1231" s="32" t="n">
        <v>0</v>
      </c>
      <c r="R1231" s="32" t="n">
        <v>0</v>
      </c>
      <c r="S1231" s="31" t="n">
        <v>0</v>
      </c>
      <c r="T1231" s="32" t="n">
        <v>0</v>
      </c>
      <c r="U1231" s="31" t="n">
        <v>0</v>
      </c>
      <c r="V1231" s="31" t="n">
        <v>0</v>
      </c>
      <c r="W1231" s="3" t="n">
        <v>0</v>
      </c>
      <c r="X1231" s="3" t="n">
        <v>0</v>
      </c>
      <c r="Y1231" s="32" t="n">
        <v>0</v>
      </c>
      <c r="Z1231" s="3" t="n">
        <v>0</v>
      </c>
      <c r="AA1231" s="32" t="n">
        <v>0</v>
      </c>
      <c r="AB1231" s="3" t="n"/>
      <c r="AC1231" s="31" t="n">
        <v>0</v>
      </c>
      <c r="AD1231" s="2" t="n">
        <v>0</v>
      </c>
      <c r="AE1231" s="2" t="n">
        <v>0</v>
      </c>
      <c r="AF1231" s="4" t="n">
        <v>0</v>
      </c>
      <c r="AG1231" s="33" t="n">
        <v>0</v>
      </c>
      <c r="AH1231" s="4" t="n">
        <v>0</v>
      </c>
      <c r="AI1231" s="34" t="n"/>
      <c r="AJ1231" s="34" t="n">
        <v>0</v>
      </c>
      <c r="AK1231" s="2" t="n">
        <v>0</v>
      </c>
      <c r="AL1231" t="inlineStr">
        <is>
          <t>Published</t>
        </is>
      </c>
    </row>
    <row r="1232">
      <c r="A1232">
        <f>HYPERLINK("https://www.walmart.com/ip/15434400660", "15434400660")</f>
        <v/>
      </c>
      <c r="B1232">
        <f>HYPERLINK("https://app.optiwise.ai/catalog/itemdetails/20125647", "Tirrinia 2 In 1 Outdoors UPF 50+ UV Protection Sun Hat for Women, One Size Female Sports Baseball Cap Gardening Fishing Hat with Neck Flap")</f>
        <v/>
      </c>
      <c r="C1232" t="inlineStr">
        <is>
          <t>1TRSH9153WT</t>
        </is>
      </c>
      <c r="D1232" t="inlineStr">
        <is>
          <t>Clothing</t>
        </is>
      </c>
      <c r="E1232" t="inlineStr">
        <is>
          <t>Hats</t>
        </is>
      </c>
      <c r="F1232" t="inlineStr">
        <is>
          <t>Tirrinia</t>
        </is>
      </c>
      <c r="G1232" t="n">
        <v>0</v>
      </c>
      <c r="H1232" t="n">
        <v>0</v>
      </c>
      <c r="J1232" s="29" t="n">
        <v>0</v>
      </c>
      <c r="K1232" s="30" t="n"/>
      <c r="L1232" s="29" t="n">
        <v>0</v>
      </c>
      <c r="M1232" s="29" t="n">
        <v>0</v>
      </c>
      <c r="N1232" s="2" t="n">
        <v>0</v>
      </c>
      <c r="O1232" s="31" t="n">
        <v>0</v>
      </c>
      <c r="P1232" s="32" t="n"/>
      <c r="Q1232" s="32" t="n">
        <v>0</v>
      </c>
      <c r="R1232" s="32" t="n">
        <v>0</v>
      </c>
      <c r="S1232" s="31" t="n">
        <v>0</v>
      </c>
      <c r="T1232" s="32" t="n">
        <v>0</v>
      </c>
      <c r="U1232" s="31" t="n">
        <v>0</v>
      </c>
      <c r="V1232" s="31" t="n">
        <v>0</v>
      </c>
      <c r="W1232" s="3" t="n">
        <v>0</v>
      </c>
      <c r="X1232" s="3" t="n">
        <v>0</v>
      </c>
      <c r="Y1232" s="32" t="n">
        <v>0</v>
      </c>
      <c r="Z1232" s="3" t="n">
        <v>0</v>
      </c>
      <c r="AA1232" s="32" t="n">
        <v>0</v>
      </c>
      <c r="AB1232" s="3" t="n"/>
      <c r="AC1232" s="31" t="n">
        <v>0</v>
      </c>
      <c r="AD1232" s="2" t="n">
        <v>0</v>
      </c>
      <c r="AE1232" s="2" t="n">
        <v>0</v>
      </c>
      <c r="AF1232" s="4" t="n">
        <v>0</v>
      </c>
      <c r="AG1232" s="33" t="n">
        <v>0</v>
      </c>
      <c r="AH1232" s="4" t="n">
        <v>0</v>
      </c>
      <c r="AI1232" s="34" t="n"/>
      <c r="AJ1232" s="34" t="n">
        <v>0</v>
      </c>
      <c r="AK1232" s="2" t="n">
        <v>0</v>
      </c>
      <c r="AL1232" t="inlineStr">
        <is>
          <t>Published</t>
        </is>
      </c>
    </row>
    <row r="1233">
      <c r="A1233">
        <f>HYPERLINK("https://www.walmart.com/ip/15419901412", "15419901412")</f>
        <v/>
      </c>
      <c r="B1233">
        <f>HYPERLINK("https://app.optiwise.ai/catalog/itemdetails/20125646", "Sun Blocker Unisex Sun Hat with Neck Flap Large Brim Packable Summer Beach Fishing Cap")</f>
        <v/>
      </c>
      <c r="C1233" t="inlineStr">
        <is>
          <t>1SLSH9153GN</t>
        </is>
      </c>
      <c r="D1233" t="inlineStr">
        <is>
          <t>Clothing</t>
        </is>
      </c>
      <c r="E1233" t="inlineStr">
        <is>
          <t>Hats</t>
        </is>
      </c>
      <c r="F1233" t="inlineStr">
        <is>
          <t>Sun Blocker</t>
        </is>
      </c>
      <c r="G1233" t="n">
        <v>0</v>
      </c>
      <c r="H1233" t="n">
        <v>0</v>
      </c>
      <c r="J1233" s="29" t="n">
        <v>0</v>
      </c>
      <c r="K1233" s="30" t="n"/>
      <c r="L1233" s="29" t="n">
        <v>0</v>
      </c>
      <c r="M1233" s="29" t="n">
        <v>0</v>
      </c>
      <c r="N1233" s="2" t="n">
        <v>0</v>
      </c>
      <c r="O1233" s="31" t="n">
        <v>0</v>
      </c>
      <c r="P1233" s="32" t="n"/>
      <c r="Q1233" s="32" t="n">
        <v>0</v>
      </c>
      <c r="R1233" s="32" t="n">
        <v>0</v>
      </c>
      <c r="S1233" s="31" t="n">
        <v>0</v>
      </c>
      <c r="T1233" s="32" t="n">
        <v>0</v>
      </c>
      <c r="U1233" s="31" t="n">
        <v>0</v>
      </c>
      <c r="V1233" s="31" t="n">
        <v>0</v>
      </c>
      <c r="W1233" s="3" t="n">
        <v>0</v>
      </c>
      <c r="X1233" s="3" t="n">
        <v>0</v>
      </c>
      <c r="Y1233" s="32" t="n">
        <v>0</v>
      </c>
      <c r="Z1233" s="3" t="n">
        <v>0</v>
      </c>
      <c r="AA1233" s="32" t="n">
        <v>0</v>
      </c>
      <c r="AB1233" s="3" t="n"/>
      <c r="AC1233" s="31" t="n">
        <v>0</v>
      </c>
      <c r="AD1233" s="2" t="n">
        <v>0</v>
      </c>
      <c r="AE1233" s="2" t="n">
        <v>0</v>
      </c>
      <c r="AF1233" s="4" t="n">
        <v>0</v>
      </c>
      <c r="AG1233" s="33" t="n">
        <v>0</v>
      </c>
      <c r="AH1233" s="4" t="n">
        <v>0</v>
      </c>
      <c r="AI1233" s="34" t="n"/>
      <c r="AJ1233" s="34" t="n">
        <v>0</v>
      </c>
      <c r="AK1233" s="2" t="n">
        <v>0</v>
      </c>
      <c r="AL1233" t="inlineStr">
        <is>
          <t>Published</t>
        </is>
      </c>
    </row>
    <row r="1234">
      <c r="A1234">
        <f>HYPERLINK("https://www.walmart.com/ip/15401122451", "15401122451")</f>
        <v/>
      </c>
      <c r="B1234">
        <f>HYPERLINK("https://app.optiwise.ai/catalog/itemdetails/20125645", "Tirrinia 2 In 1 Outdoors UPF 50+ UV Protection Sun Hat for Women, One Size Female Sports Baseball Cap Gardening Fishing Hat with Neck Flap")</f>
        <v/>
      </c>
      <c r="C1234" t="inlineStr">
        <is>
          <t>1TRSH9153GN</t>
        </is>
      </c>
      <c r="D1234" t="inlineStr">
        <is>
          <t>Clothing</t>
        </is>
      </c>
      <c r="E1234" t="inlineStr">
        <is>
          <t>Hats</t>
        </is>
      </c>
      <c r="F1234" t="inlineStr">
        <is>
          <t>Tirrinia</t>
        </is>
      </c>
      <c r="G1234" t="n">
        <v>0</v>
      </c>
      <c r="H1234" t="n">
        <v>0</v>
      </c>
      <c r="J1234" s="29" t="n">
        <v>0</v>
      </c>
      <c r="K1234" s="30" t="n"/>
      <c r="L1234" s="29" t="n">
        <v>0</v>
      </c>
      <c r="M1234" s="29" t="n">
        <v>0</v>
      </c>
      <c r="N1234" s="2" t="n">
        <v>0</v>
      </c>
      <c r="O1234" s="31" t="n">
        <v>0</v>
      </c>
      <c r="P1234" s="32" t="n"/>
      <c r="Q1234" s="32" t="n">
        <v>0</v>
      </c>
      <c r="R1234" s="32" t="n">
        <v>0</v>
      </c>
      <c r="S1234" s="31" t="n">
        <v>0</v>
      </c>
      <c r="T1234" s="32" t="n">
        <v>0</v>
      </c>
      <c r="U1234" s="31" t="n">
        <v>0</v>
      </c>
      <c r="V1234" s="31" t="n">
        <v>0</v>
      </c>
      <c r="W1234" s="3" t="n">
        <v>0</v>
      </c>
      <c r="X1234" s="3" t="n">
        <v>0</v>
      </c>
      <c r="Y1234" s="32" t="n">
        <v>0</v>
      </c>
      <c r="Z1234" s="3" t="n">
        <v>0</v>
      </c>
      <c r="AA1234" s="32" t="n">
        <v>0</v>
      </c>
      <c r="AB1234" s="3" t="n"/>
      <c r="AC1234" s="31" t="n">
        <v>0</v>
      </c>
      <c r="AD1234" s="2" t="n">
        <v>0</v>
      </c>
      <c r="AE1234" s="2" t="n">
        <v>0</v>
      </c>
      <c r="AF1234" s="4" t="n">
        <v>0</v>
      </c>
      <c r="AG1234" s="33" t="n">
        <v>0</v>
      </c>
      <c r="AH1234" s="4" t="n">
        <v>0</v>
      </c>
      <c r="AI1234" s="34" t="n"/>
      <c r="AJ1234" s="34" t="n">
        <v>0</v>
      </c>
      <c r="AK1234" s="2" t="n">
        <v>0</v>
      </c>
      <c r="AL1234" t="inlineStr">
        <is>
          <t>Published</t>
        </is>
      </c>
    </row>
    <row r="1235">
      <c r="A1235">
        <f>HYPERLINK("https://www.walmart.com/ip/15406902328", "15406902328")</f>
        <v/>
      </c>
      <c r="B1235">
        <f>HYPERLINK("https://app.optiwise.ai/catalog/itemdetails/20119648", "Tirrinia Large Pop-Up Cooler Bag- Insulated Collapsible Cooler with Flat Drink Table, Lightweight and Portable Ice Round Cooler for Travel, Fishing, Picnics, Hiking, Camping and Beach")</f>
        <v/>
      </c>
      <c r="C1235" t="inlineStr">
        <is>
          <t>1TRCB20139BL</t>
        </is>
      </c>
      <c r="D1235" t="inlineStr">
        <is>
          <t>Sport &amp; Recreation Other</t>
        </is>
      </c>
      <c r="E1235" t="inlineStr">
        <is>
          <t>Soft-Sided Coolers</t>
        </is>
      </c>
      <c r="F1235" t="inlineStr">
        <is>
          <t>Tirrinia</t>
        </is>
      </c>
      <c r="G1235" t="n">
        <v>0</v>
      </c>
      <c r="H1235" t="n">
        <v>0</v>
      </c>
      <c r="J1235" s="29" t="n">
        <v>0</v>
      </c>
      <c r="K1235" s="30" t="n"/>
      <c r="L1235" s="29" t="n">
        <v>0</v>
      </c>
      <c r="M1235" s="29" t="n">
        <v>0</v>
      </c>
      <c r="N1235" s="2" t="n">
        <v>0</v>
      </c>
      <c r="O1235" s="31" t="n">
        <v>0</v>
      </c>
      <c r="P1235" s="32" t="n"/>
      <c r="Q1235" s="32" t="n">
        <v>0</v>
      </c>
      <c r="R1235" s="32" t="n">
        <v>0</v>
      </c>
      <c r="S1235" s="31" t="n">
        <v>0</v>
      </c>
      <c r="T1235" s="32" t="n">
        <v>0</v>
      </c>
      <c r="U1235" s="31" t="n">
        <v>0</v>
      </c>
      <c r="V1235" s="31" t="n">
        <v>0</v>
      </c>
      <c r="W1235" s="3" t="n">
        <v>0</v>
      </c>
      <c r="X1235" s="3" t="n">
        <v>0</v>
      </c>
      <c r="Y1235" s="32" t="n">
        <v>0</v>
      </c>
      <c r="Z1235" s="3" t="n">
        <v>0</v>
      </c>
      <c r="AA1235" s="32" t="n">
        <v>0</v>
      </c>
      <c r="AB1235" s="3" t="n"/>
      <c r="AC1235" s="31" t="n">
        <v>0</v>
      </c>
      <c r="AD1235" s="2" t="n">
        <v>0</v>
      </c>
      <c r="AE1235" s="2" t="n">
        <v>0</v>
      </c>
      <c r="AF1235" s="4" t="n">
        <v>0</v>
      </c>
      <c r="AG1235" s="33" t="n">
        <v>0</v>
      </c>
      <c r="AH1235" s="4" t="n">
        <v>0</v>
      </c>
      <c r="AI1235" s="34" t="n"/>
      <c r="AJ1235" s="34" t="n">
        <v>0</v>
      </c>
      <c r="AK1235" s="2" t="n">
        <v>0</v>
      </c>
      <c r="AL1235" t="inlineStr">
        <is>
          <t>Published</t>
        </is>
      </c>
    </row>
    <row r="1236">
      <c r="A1236">
        <f>HYPERLINK("https://www.walmart.com/ip/15402953619", "15402953619")</f>
        <v/>
      </c>
      <c r="B1236">
        <f>HYPERLINK("https://app.optiwise.ai/catalog/itemdetails/20119647", "Catalonia Kids Waterproof Swim Parka with Hood, Windproof Fleece Swim Jacket, Warm Winter Swim Coat for Boys Girls Youth, Perfect for Swim Lessons, Beach, Pool")</f>
        <v/>
      </c>
      <c r="C1236" t="inlineStr">
        <is>
          <t>1CTPKR200BL-0</t>
        </is>
      </c>
      <c r="D1236" t="inlineStr">
        <is>
          <t>Clothing</t>
        </is>
      </c>
      <c r="E1236" t="inlineStr">
        <is>
          <t>Swim Parkas</t>
        </is>
      </c>
      <c r="F1236" t="inlineStr">
        <is>
          <t>Catalonia</t>
        </is>
      </c>
      <c r="G1236" t="n">
        <v>0</v>
      </c>
      <c r="H1236" t="n">
        <v>0</v>
      </c>
      <c r="J1236" s="29" t="n">
        <v>0</v>
      </c>
      <c r="K1236" s="30" t="n"/>
      <c r="L1236" s="29" t="n">
        <v>0</v>
      </c>
      <c r="M1236" s="29" t="n">
        <v>0</v>
      </c>
      <c r="N1236" s="2" t="n">
        <v>0</v>
      </c>
      <c r="O1236" s="31" t="n">
        <v>0</v>
      </c>
      <c r="P1236" s="32" t="n"/>
      <c r="Q1236" s="32" t="n">
        <v>0</v>
      </c>
      <c r="R1236" s="32" t="n">
        <v>0</v>
      </c>
      <c r="S1236" s="31" t="n">
        <v>0</v>
      </c>
      <c r="T1236" s="32" t="n">
        <v>0</v>
      </c>
      <c r="U1236" s="31" t="n">
        <v>0</v>
      </c>
      <c r="V1236" s="31" t="n">
        <v>0</v>
      </c>
      <c r="W1236" s="3" t="n">
        <v>0</v>
      </c>
      <c r="X1236" s="3" t="n">
        <v>0</v>
      </c>
      <c r="Y1236" s="32" t="n">
        <v>0</v>
      </c>
      <c r="Z1236" s="3" t="n">
        <v>0</v>
      </c>
      <c r="AA1236" s="32" t="n">
        <v>0</v>
      </c>
      <c r="AB1236" s="3" t="n"/>
      <c r="AC1236" s="31" t="n">
        <v>0</v>
      </c>
      <c r="AD1236" s="2" t="n">
        <v>0</v>
      </c>
      <c r="AE1236" s="2" t="n">
        <v>0</v>
      </c>
      <c r="AF1236" s="4" t="n">
        <v>0</v>
      </c>
      <c r="AG1236" s="33" t="n">
        <v>0</v>
      </c>
      <c r="AH1236" s="4" t="n">
        <v>0</v>
      </c>
      <c r="AI1236" s="34" t="n"/>
      <c r="AJ1236" s="34" t="n">
        <v>0</v>
      </c>
      <c r="AK1236" s="2" t="n">
        <v>0</v>
      </c>
      <c r="AL1236" t="inlineStr">
        <is>
          <t>Published</t>
        </is>
      </c>
    </row>
    <row r="1237">
      <c r="A1237">
        <f>HYPERLINK("https://www.walmart.com/ip/15386869189", "15386869189")</f>
        <v/>
      </c>
      <c r="B1237">
        <f>HYPERLINK("https://app.optiwise.ai/catalog/itemdetails/20119643", "Tirrinia Large Pop-Up Cooler Bag- Insulated Collapsible Cooler with Flat Drink Table, Lightweight and Portable Ice Round Cooler for Travel, Fishing, Picnics, Hiking, Camping and Beach")</f>
        <v/>
      </c>
      <c r="C1237" t="inlineStr">
        <is>
          <t>1TRCB20139BK</t>
        </is>
      </c>
      <c r="D1237" t="inlineStr">
        <is>
          <t>Sport &amp; Recreation Other</t>
        </is>
      </c>
      <c r="E1237" t="inlineStr">
        <is>
          <t>Soft-Sided Coolers</t>
        </is>
      </c>
      <c r="F1237" t="inlineStr">
        <is>
          <t>Tirrinia</t>
        </is>
      </c>
      <c r="G1237" t="n">
        <v>0</v>
      </c>
      <c r="H1237" t="n">
        <v>0</v>
      </c>
      <c r="J1237" s="29" t="n">
        <v>0</v>
      </c>
      <c r="K1237" s="30" t="n"/>
      <c r="L1237" s="29" t="n">
        <v>0</v>
      </c>
      <c r="M1237" s="29" t="n">
        <v>0</v>
      </c>
      <c r="N1237" s="2" t="n">
        <v>0</v>
      </c>
      <c r="O1237" s="31" t="n">
        <v>0</v>
      </c>
      <c r="P1237" s="32" t="n"/>
      <c r="Q1237" s="32" t="n">
        <v>0</v>
      </c>
      <c r="R1237" s="32" t="n">
        <v>0</v>
      </c>
      <c r="S1237" s="31" t="n">
        <v>0</v>
      </c>
      <c r="T1237" s="32" t="n">
        <v>0</v>
      </c>
      <c r="U1237" s="31" t="n">
        <v>0</v>
      </c>
      <c r="V1237" s="31" t="n">
        <v>0</v>
      </c>
      <c r="W1237" s="3" t="n">
        <v>0</v>
      </c>
      <c r="X1237" s="3" t="n">
        <v>0</v>
      </c>
      <c r="Y1237" s="32" t="n">
        <v>0</v>
      </c>
      <c r="Z1237" s="3" t="n">
        <v>0</v>
      </c>
      <c r="AA1237" s="32" t="n">
        <v>0</v>
      </c>
      <c r="AB1237" s="3" t="n"/>
      <c r="AC1237" s="31" t="n">
        <v>0</v>
      </c>
      <c r="AD1237" s="2" t="n">
        <v>0</v>
      </c>
      <c r="AE1237" s="2" t="n">
        <v>0</v>
      </c>
      <c r="AF1237" s="4" t="n">
        <v>0</v>
      </c>
      <c r="AG1237" s="33" t="n">
        <v>0</v>
      </c>
      <c r="AH1237" s="4" t="n">
        <v>0</v>
      </c>
      <c r="AI1237" s="34" t="n"/>
      <c r="AJ1237" s="34" t="n">
        <v>0</v>
      </c>
      <c r="AK1237" s="2" t="n">
        <v>0</v>
      </c>
      <c r="AL1237" t="inlineStr">
        <is>
          <t>Published</t>
        </is>
      </c>
    </row>
    <row r="1238">
      <c r="A1238">
        <f>HYPERLINK("https://www.walmart.com/ip/15359673525", "15359673525")</f>
        <v/>
      </c>
      <c r="B1238">
        <f>HYPERLINK("https://app.optiwise.ai/catalog/itemdetails/20119641", "Tirrinia Large Pop-Up Cooler Bag- Insulated Collapsible Cooler with Flat Drink Table, Lightweight and Portable Ice Round Cooler for Travel, Fishing, Picnics, Hiking, Camping and Beach")</f>
        <v/>
      </c>
      <c r="C1238" t="inlineStr">
        <is>
          <t>1TRCB20139RD</t>
        </is>
      </c>
      <c r="D1238" t="inlineStr">
        <is>
          <t>Sport &amp; Recreation Other</t>
        </is>
      </c>
      <c r="E1238" t="inlineStr">
        <is>
          <t>Soft-Sided Coolers</t>
        </is>
      </c>
      <c r="F1238" t="inlineStr">
        <is>
          <t>Tirrinia</t>
        </is>
      </c>
      <c r="G1238" t="n">
        <v>0</v>
      </c>
      <c r="H1238" t="n">
        <v>0</v>
      </c>
      <c r="J1238" s="29" t="n">
        <v>0</v>
      </c>
      <c r="K1238" s="30" t="n"/>
      <c r="L1238" s="29" t="n">
        <v>0</v>
      </c>
      <c r="M1238" s="29" t="n">
        <v>0</v>
      </c>
      <c r="N1238" s="2" t="n">
        <v>0</v>
      </c>
      <c r="O1238" s="31" t="n">
        <v>0</v>
      </c>
      <c r="P1238" s="32" t="n"/>
      <c r="Q1238" s="32" t="n">
        <v>0</v>
      </c>
      <c r="R1238" s="32" t="n">
        <v>0</v>
      </c>
      <c r="S1238" s="31" t="n">
        <v>0</v>
      </c>
      <c r="T1238" s="32" t="n">
        <v>0</v>
      </c>
      <c r="U1238" s="31" t="n">
        <v>0</v>
      </c>
      <c r="V1238" s="31" t="n">
        <v>0</v>
      </c>
      <c r="W1238" s="3" t="n">
        <v>0</v>
      </c>
      <c r="X1238" s="3" t="n">
        <v>0</v>
      </c>
      <c r="Y1238" s="32" t="n">
        <v>0</v>
      </c>
      <c r="Z1238" s="3" t="n">
        <v>0</v>
      </c>
      <c r="AA1238" s="32" t="n">
        <v>0</v>
      </c>
      <c r="AB1238" s="3" t="n"/>
      <c r="AC1238" s="31" t="n">
        <v>0</v>
      </c>
      <c r="AD1238" s="2" t="n">
        <v>0</v>
      </c>
      <c r="AE1238" s="2" t="n">
        <v>0</v>
      </c>
      <c r="AF1238" s="4" t="n">
        <v>0</v>
      </c>
      <c r="AG1238" s="33" t="n">
        <v>0</v>
      </c>
      <c r="AH1238" s="4" t="n">
        <v>0</v>
      </c>
      <c r="AI1238" s="34" t="n"/>
      <c r="AJ1238" s="34" t="n">
        <v>0</v>
      </c>
      <c r="AK1238" s="2" t="n">
        <v>0</v>
      </c>
      <c r="AL1238" t="inlineStr">
        <is>
          <t>Published</t>
        </is>
      </c>
    </row>
    <row r="1239">
      <c r="A1239">
        <f>HYPERLINK("https://www.walmart.com/ip/15343066717", "15343066717")</f>
        <v/>
      </c>
      <c r="B1239">
        <f>HYPERLINK("https://app.optiwise.ai/catalog/itemdetails/20119640", "Catalonia Swim Parka Kids with Hood, Lightweight Youth Surf Swim Jacket, Waterproof &amp; Warm Sherpa Lined Swim Coat for Boys Girls, Changing Poncho Robe for Pool Beach Stadium, Blue, 5-9 Years")</f>
        <v/>
      </c>
      <c r="C1239" t="inlineStr">
        <is>
          <t>1CTPKR202BL-0</t>
        </is>
      </c>
      <c r="D1239" t="inlineStr">
        <is>
          <t>Clothing</t>
        </is>
      </c>
      <c r="E1239" t="inlineStr">
        <is>
          <t>Swim Parkas</t>
        </is>
      </c>
      <c r="F1239" t="inlineStr">
        <is>
          <t>Catalonia</t>
        </is>
      </c>
      <c r="G1239" t="n">
        <v>0</v>
      </c>
      <c r="H1239" t="n">
        <v>0</v>
      </c>
      <c r="J1239" s="29" t="n">
        <v>0</v>
      </c>
      <c r="K1239" s="30" t="n"/>
      <c r="L1239" s="29" t="n">
        <v>0</v>
      </c>
      <c r="M1239" s="29" t="n">
        <v>0</v>
      </c>
      <c r="N1239" s="2" t="n">
        <v>0</v>
      </c>
      <c r="O1239" s="31" t="n">
        <v>0</v>
      </c>
      <c r="P1239" s="32" t="n"/>
      <c r="Q1239" s="32" t="n">
        <v>0</v>
      </c>
      <c r="R1239" s="32" t="n">
        <v>0</v>
      </c>
      <c r="S1239" s="31" t="n">
        <v>0</v>
      </c>
      <c r="T1239" s="32" t="n">
        <v>0</v>
      </c>
      <c r="U1239" s="31" t="n">
        <v>0</v>
      </c>
      <c r="V1239" s="31" t="n">
        <v>0</v>
      </c>
      <c r="W1239" s="3" t="n">
        <v>0</v>
      </c>
      <c r="X1239" s="3" t="n">
        <v>0</v>
      </c>
      <c r="Y1239" s="32" t="n">
        <v>0</v>
      </c>
      <c r="Z1239" s="3" t="n">
        <v>0</v>
      </c>
      <c r="AA1239" s="32" t="n">
        <v>0</v>
      </c>
      <c r="AB1239" s="3" t="n"/>
      <c r="AC1239" s="31" t="n">
        <v>0</v>
      </c>
      <c r="AD1239" s="2" t="n">
        <v>0</v>
      </c>
      <c r="AE1239" s="2" t="n">
        <v>0</v>
      </c>
      <c r="AF1239" s="4" t="n">
        <v>0</v>
      </c>
      <c r="AG1239" s="33" t="n">
        <v>0</v>
      </c>
      <c r="AH1239" s="4" t="n">
        <v>0</v>
      </c>
      <c r="AI1239" s="34" t="n"/>
      <c r="AJ1239" s="34" t="n">
        <v>0</v>
      </c>
      <c r="AK1239" s="2" t="n">
        <v>0</v>
      </c>
      <c r="AL1239" t="inlineStr">
        <is>
          <t>Published</t>
        </is>
      </c>
    </row>
    <row r="1240">
      <c r="A1240">
        <f>HYPERLINK("https://www.walmart.com/ip/15169814317", "15169814317")</f>
        <v/>
      </c>
      <c r="B1240">
        <f>HYPERLINK("https://app.optiwise.ai/catalog/itemdetails/18832551", "Catalonia Kids Mermaid Tail Blanket,Super Soft Plush Flannel Sleeping Snuggle Blanket for Girls,Rainbow Ombre,Fish Scale Pattern,Gift Idea")</f>
        <v/>
      </c>
      <c r="C1240" t="inlineStr">
        <is>
          <t>1CTMM510STARLIGHT</t>
        </is>
      </c>
      <c r="D1240" t="inlineStr">
        <is>
          <t>Bedding</t>
        </is>
      </c>
      <c r="E1240" t="inlineStr">
        <is>
          <t>Throws</t>
        </is>
      </c>
      <c r="F1240" t="inlineStr">
        <is>
          <t>Catalonia</t>
        </is>
      </c>
      <c r="G1240" t="n">
        <v>0</v>
      </c>
      <c r="H1240" t="n">
        <v>0</v>
      </c>
      <c r="J1240" s="29" t="n">
        <v>0</v>
      </c>
      <c r="K1240" s="30" t="n"/>
      <c r="L1240" s="29" t="n">
        <v>0</v>
      </c>
      <c r="M1240" s="29" t="n">
        <v>0</v>
      </c>
      <c r="N1240" s="2" t="n">
        <v>0</v>
      </c>
      <c r="O1240" s="31" t="n">
        <v>0</v>
      </c>
      <c r="P1240" s="32" t="n"/>
      <c r="Q1240" s="32" t="n">
        <v>0</v>
      </c>
      <c r="R1240" s="32" t="n">
        <v>0</v>
      </c>
      <c r="S1240" s="31" t="n">
        <v>0</v>
      </c>
      <c r="T1240" s="32" t="n">
        <v>0</v>
      </c>
      <c r="U1240" s="31" t="n">
        <v>0</v>
      </c>
      <c r="V1240" s="31" t="n">
        <v>0</v>
      </c>
      <c r="W1240" s="3" t="n">
        <v>0</v>
      </c>
      <c r="X1240" s="3" t="n">
        <v>0</v>
      </c>
      <c r="Y1240" s="32" t="n">
        <v>0</v>
      </c>
      <c r="Z1240" s="3" t="n">
        <v>0</v>
      </c>
      <c r="AA1240" s="32" t="n">
        <v>0</v>
      </c>
      <c r="AB1240" s="3" t="n"/>
      <c r="AC1240" s="31" t="n">
        <v>0</v>
      </c>
      <c r="AD1240" s="2" t="n">
        <v>0</v>
      </c>
      <c r="AE1240" s="2" t="n">
        <v>0</v>
      </c>
      <c r="AF1240" s="4" t="n">
        <v>0</v>
      </c>
      <c r="AG1240" s="33" t="n">
        <v>0</v>
      </c>
      <c r="AH1240" s="4" t="n">
        <v>0</v>
      </c>
      <c r="AI1240" s="34" t="n"/>
      <c r="AJ1240" s="34" t="n">
        <v>0</v>
      </c>
      <c r="AK1240" s="2" t="n">
        <v>0</v>
      </c>
      <c r="AL1240" t="inlineStr">
        <is>
          <t>Published</t>
        </is>
      </c>
    </row>
    <row r="1241">
      <c r="A1241">
        <f>HYPERLINK("https://www.walmart.com/ip/15190256647", "15190256647")</f>
        <v/>
      </c>
      <c r="B1241">
        <f>HYPERLINK("https://app.optiwise.ai/catalog/itemdetails/18832550", "Catalonia Kids Mermaid Tail Blanket,Super Soft Plush Flannel Sleeping Snuggle Blanket for Girls,Rainbow Ombre,Fish Scale Pattern,Gift Idea")</f>
        <v/>
      </c>
      <c r="C1241" t="inlineStr">
        <is>
          <t>1CTMM210STARLIGHT</t>
        </is>
      </c>
      <c r="D1241" t="inlineStr">
        <is>
          <t>Bedding</t>
        </is>
      </c>
      <c r="E1241" t="inlineStr">
        <is>
          <t>Throws</t>
        </is>
      </c>
      <c r="F1241" t="inlineStr">
        <is>
          <t>Catalonia</t>
        </is>
      </c>
      <c r="G1241" t="n">
        <v>0</v>
      </c>
      <c r="H1241" t="n">
        <v>0</v>
      </c>
      <c r="J1241" s="29" t="n">
        <v>0</v>
      </c>
      <c r="K1241" s="30" t="n"/>
      <c r="L1241" s="29" t="n">
        <v>0</v>
      </c>
      <c r="M1241" s="29" t="n">
        <v>0</v>
      </c>
      <c r="N1241" s="2" t="n">
        <v>0</v>
      </c>
      <c r="O1241" s="31" t="n">
        <v>0</v>
      </c>
      <c r="P1241" s="32" t="n"/>
      <c r="Q1241" s="32" t="n">
        <v>0</v>
      </c>
      <c r="R1241" s="32" t="n">
        <v>0</v>
      </c>
      <c r="S1241" s="31" t="n">
        <v>0</v>
      </c>
      <c r="T1241" s="32" t="n">
        <v>0</v>
      </c>
      <c r="U1241" s="31" t="n">
        <v>0</v>
      </c>
      <c r="V1241" s="31" t="n">
        <v>0</v>
      </c>
      <c r="W1241" s="3" t="n">
        <v>0</v>
      </c>
      <c r="X1241" s="3" t="n">
        <v>0</v>
      </c>
      <c r="Y1241" s="32" t="n">
        <v>0</v>
      </c>
      <c r="Z1241" s="3" t="n">
        <v>0</v>
      </c>
      <c r="AA1241" s="32" t="n">
        <v>0</v>
      </c>
      <c r="AB1241" s="3" t="n"/>
      <c r="AC1241" s="31" t="n">
        <v>0</v>
      </c>
      <c r="AD1241" s="2" t="n">
        <v>0</v>
      </c>
      <c r="AE1241" s="2" t="n">
        <v>0</v>
      </c>
      <c r="AF1241" s="4" t="n">
        <v>0</v>
      </c>
      <c r="AG1241" s="33" t="n">
        <v>0</v>
      </c>
      <c r="AH1241" s="4" t="n">
        <v>0</v>
      </c>
      <c r="AI1241" s="34" t="n"/>
      <c r="AJ1241" s="34" t="n">
        <v>0</v>
      </c>
      <c r="AK1241" s="2" t="n">
        <v>0</v>
      </c>
      <c r="AL1241" t="inlineStr">
        <is>
          <t>Published</t>
        </is>
      </c>
    </row>
    <row r="1242">
      <c r="A1242">
        <f>HYPERLINK("https://www.walmart.com/ip/14550674659", "14550674659")</f>
        <v/>
      </c>
      <c r="B1242">
        <f>HYPERLINK("https://app.optiwise.ai/catalog/itemdetails/13061822", "Solaris Womens Wigs Double Long Braid Plaits Costume Wigs Hairpiece Rainbow Shade")</f>
        <v/>
      </c>
      <c r="C1242" t="inlineStr">
        <is>
          <t>FZWIGHW1384-FS</t>
        </is>
      </c>
      <c r="D1242" t="inlineStr">
        <is>
          <t>Costumes</t>
        </is>
      </c>
      <c r="E1242" t="inlineStr">
        <is>
          <t>Costume Wigs</t>
        </is>
      </c>
      <c r="F1242" t="inlineStr">
        <is>
          <t>Solaris</t>
        </is>
      </c>
      <c r="G1242" t="n">
        <v>0</v>
      </c>
      <c r="H1242" t="n">
        <v>0</v>
      </c>
      <c r="J1242" s="29" t="n">
        <v>0</v>
      </c>
      <c r="K1242" s="30" t="n"/>
      <c r="L1242" s="29" t="n">
        <v>0</v>
      </c>
      <c r="M1242" s="29" t="n">
        <v>0</v>
      </c>
      <c r="N1242" s="2" t="n">
        <v>0</v>
      </c>
      <c r="O1242" s="31" t="n">
        <v>0</v>
      </c>
      <c r="P1242" s="32" t="n"/>
      <c r="Q1242" s="32" t="n">
        <v>0</v>
      </c>
      <c r="R1242" s="32" t="n">
        <v>0</v>
      </c>
      <c r="S1242" s="31" t="n">
        <v>0</v>
      </c>
      <c r="T1242" s="32" t="n">
        <v>0</v>
      </c>
      <c r="U1242" s="31" t="n">
        <v>0</v>
      </c>
      <c r="V1242" s="31" t="n">
        <v>0</v>
      </c>
      <c r="W1242" s="3" t="n">
        <v>0</v>
      </c>
      <c r="X1242" s="3" t="n">
        <v>0</v>
      </c>
      <c r="Y1242" s="32" t="n">
        <v>0</v>
      </c>
      <c r="Z1242" s="3" t="n">
        <v>0</v>
      </c>
      <c r="AA1242" s="32" t="n">
        <v>0</v>
      </c>
      <c r="AB1242" s="3" t="n"/>
      <c r="AC1242" s="31" t="n">
        <v>0</v>
      </c>
      <c r="AD1242" s="2" t="n">
        <v>0</v>
      </c>
      <c r="AE1242" s="2" t="n">
        <v>6</v>
      </c>
      <c r="AF1242" s="4" t="n">
        <v>6</v>
      </c>
      <c r="AG1242" s="33" t="n">
        <v>0</v>
      </c>
      <c r="AH1242" s="4" t="n">
        <v>0</v>
      </c>
      <c r="AI1242" s="34" t="n"/>
      <c r="AJ1242" s="34" t="n">
        <v>0</v>
      </c>
      <c r="AK1242" s="2" t="n">
        <v>0</v>
      </c>
      <c r="AL1242" t="inlineStr">
        <is>
          <t>Published</t>
        </is>
      </c>
    </row>
    <row r="1243">
      <c r="A1243">
        <f>HYPERLINK("https://www.walmart.com/ip/14531901789", "14531901789")</f>
        <v/>
      </c>
      <c r="B1243">
        <f>HYPERLINK("https://app.optiwise.ai/catalog/itemdetails/13061821", "Solaris Open Crotch Boyshort Panties Underwear Black Lace Lingerie Thong for Women with Ribbons Removable Garters 2XL")</f>
        <v/>
      </c>
      <c r="C1243" t="inlineStr">
        <is>
          <t>CCPT100BK-2XL-FS</t>
        </is>
      </c>
      <c r="D1243" t="inlineStr">
        <is>
          <t>Clothing</t>
        </is>
      </c>
      <c r="E1243" t="inlineStr">
        <is>
          <t>Panties</t>
        </is>
      </c>
      <c r="F1243" t="inlineStr">
        <is>
          <t>Solaris</t>
        </is>
      </c>
      <c r="G1243" t="n">
        <v>0</v>
      </c>
      <c r="H1243" t="n">
        <v>0</v>
      </c>
      <c r="J1243" s="29" t="n">
        <v>0</v>
      </c>
      <c r="K1243" s="30" t="n"/>
      <c r="L1243" s="29" t="n">
        <v>7.989999771118164</v>
      </c>
      <c r="M1243" s="29" t="n">
        <v>0</v>
      </c>
      <c r="N1243" s="2" t="n">
        <v>0</v>
      </c>
      <c r="O1243" s="31" t="n">
        <v>0</v>
      </c>
      <c r="P1243" s="32" t="n"/>
      <c r="Q1243" s="32" t="n">
        <v>0</v>
      </c>
      <c r="R1243" s="32" t="n">
        <v>0</v>
      </c>
      <c r="S1243" s="31" t="n">
        <v>0</v>
      </c>
      <c r="T1243" s="32" t="n">
        <v>0</v>
      </c>
      <c r="U1243" s="31" t="n">
        <v>0</v>
      </c>
      <c r="V1243" s="31" t="n">
        <v>0</v>
      </c>
      <c r="W1243" s="3" t="n">
        <v>0</v>
      </c>
      <c r="X1243" s="3" t="n">
        <v>0</v>
      </c>
      <c r="Y1243" s="32" t="n">
        <v>0</v>
      </c>
      <c r="Z1243" s="3" t="n">
        <v>0</v>
      </c>
      <c r="AA1243" s="32" t="n">
        <v>0</v>
      </c>
      <c r="AB1243" s="3" t="n"/>
      <c r="AC1243" s="31" t="n">
        <v>0</v>
      </c>
      <c r="AD1243" s="2" t="n">
        <v>0</v>
      </c>
      <c r="AE1243" s="2" t="n">
        <v>7</v>
      </c>
      <c r="AF1243" s="4" t="n">
        <v>7</v>
      </c>
      <c r="AG1243" s="33" t="n">
        <v>0</v>
      </c>
      <c r="AH1243" s="4" t="n">
        <v>0</v>
      </c>
      <c r="AI1243" s="34" t="n"/>
      <c r="AJ1243" s="34" t="n">
        <v>0</v>
      </c>
      <c r="AK1243" s="2" t="n">
        <v>0</v>
      </c>
      <c r="AL1243" t="inlineStr">
        <is>
          <t>Published</t>
        </is>
      </c>
    </row>
    <row r="1244">
      <c r="A1244">
        <f>HYPERLINK("https://www.walmart.com/ip/14560258399", "14560258399")</f>
        <v/>
      </c>
      <c r="B1244">
        <f>HYPERLINK("https://app.optiwise.ai/catalog/itemdetails/13061820", "Solaris Womens Wigs Two Tone Long Curly Wigs with Straight Bangs Pink Themed Party Lavender and Black")</f>
        <v/>
      </c>
      <c r="C1244" t="inlineStr">
        <is>
          <t>FZWIGHW-558-FS</t>
        </is>
      </c>
      <c r="D1244" t="inlineStr">
        <is>
          <t>Costumes</t>
        </is>
      </c>
      <c r="E1244" t="inlineStr">
        <is>
          <t>Costume Wigs</t>
        </is>
      </c>
      <c r="F1244" t="inlineStr">
        <is>
          <t>Solaris</t>
        </is>
      </c>
      <c r="G1244" t="n">
        <v>0</v>
      </c>
      <c r="H1244" t="n">
        <v>0</v>
      </c>
      <c r="J1244" s="29" t="n">
        <v>0</v>
      </c>
      <c r="K1244" s="30" t="n"/>
      <c r="L1244" s="29" t="n">
        <v>0</v>
      </c>
      <c r="M1244" s="29" t="n">
        <v>0</v>
      </c>
      <c r="N1244" s="2" t="n">
        <v>0</v>
      </c>
      <c r="O1244" s="31" t="n">
        <v>0</v>
      </c>
      <c r="P1244" s="32" t="n"/>
      <c r="Q1244" s="32" t="n">
        <v>0</v>
      </c>
      <c r="R1244" s="32" t="n">
        <v>0</v>
      </c>
      <c r="S1244" s="31" t="n">
        <v>0</v>
      </c>
      <c r="T1244" s="32" t="n">
        <v>0</v>
      </c>
      <c r="U1244" s="31" t="n">
        <v>0</v>
      </c>
      <c r="V1244" s="31" t="n">
        <v>0</v>
      </c>
      <c r="W1244" s="3" t="n">
        <v>0</v>
      </c>
      <c r="X1244" s="3" t="n">
        <v>0</v>
      </c>
      <c r="Y1244" s="32" t="n">
        <v>0</v>
      </c>
      <c r="Z1244" s="3" t="n">
        <v>0</v>
      </c>
      <c r="AA1244" s="32" t="n">
        <v>0</v>
      </c>
      <c r="AB1244" s="3" t="n"/>
      <c r="AC1244" s="31" t="n">
        <v>0</v>
      </c>
      <c r="AD1244" s="2" t="n">
        <v>0</v>
      </c>
      <c r="AE1244" s="2" t="n">
        <v>0</v>
      </c>
      <c r="AF1244" s="4" t="n">
        <v>0</v>
      </c>
      <c r="AG1244" s="33" t="n">
        <v>0</v>
      </c>
      <c r="AH1244" s="4" t="n">
        <v>0</v>
      </c>
      <c r="AI1244" s="34" t="n"/>
      <c r="AJ1244" s="34" t="n">
        <v>0</v>
      </c>
      <c r="AK1244" s="2" t="n">
        <v>0</v>
      </c>
      <c r="AL1244" t="inlineStr">
        <is>
          <t>Published</t>
        </is>
      </c>
    </row>
    <row r="1245">
      <c r="A1245">
        <f>HYPERLINK("https://www.walmart.com/ip/14554421927", "14554421927")</f>
        <v/>
      </c>
      <c r="B1245">
        <f>HYPERLINK("https://app.optiwise.ai/catalog/itemdetails/13061805", "Solaris Open Crotch Boyshort Panties Underwear Black Lace Lingerie Thong for Women with Ribbons Removable Garters M")</f>
        <v/>
      </c>
      <c r="C1245" t="inlineStr">
        <is>
          <t>CCPT100BK-M-FS</t>
        </is>
      </c>
      <c r="D1245" t="inlineStr">
        <is>
          <t>Clothing</t>
        </is>
      </c>
      <c r="E1245" t="inlineStr">
        <is>
          <t>Panties</t>
        </is>
      </c>
      <c r="F1245" t="inlineStr">
        <is>
          <t>Solaris</t>
        </is>
      </c>
      <c r="G1245" t="n">
        <v>0</v>
      </c>
      <c r="H1245" t="n">
        <v>0</v>
      </c>
      <c r="J1245" s="29" t="n">
        <v>0</v>
      </c>
      <c r="K1245" s="30" t="n"/>
      <c r="L1245" s="29" t="n">
        <v>8.979999542236328</v>
      </c>
      <c r="M1245" s="29" t="n">
        <v>0</v>
      </c>
      <c r="N1245" s="2" t="n">
        <v>0</v>
      </c>
      <c r="O1245" s="31" t="n">
        <v>0</v>
      </c>
      <c r="P1245" s="32" t="n"/>
      <c r="Q1245" s="32" t="n">
        <v>0</v>
      </c>
      <c r="R1245" s="32" t="n">
        <v>0</v>
      </c>
      <c r="S1245" s="31" t="n">
        <v>0</v>
      </c>
      <c r="T1245" s="32" t="n">
        <v>0</v>
      </c>
      <c r="U1245" s="31" t="n">
        <v>0</v>
      </c>
      <c r="V1245" s="31" t="n">
        <v>0</v>
      </c>
      <c r="W1245" s="3" t="n">
        <v>0</v>
      </c>
      <c r="X1245" s="3" t="n">
        <v>0</v>
      </c>
      <c r="Y1245" s="32" t="n">
        <v>0</v>
      </c>
      <c r="Z1245" s="3" t="n">
        <v>0</v>
      </c>
      <c r="AA1245" s="32" t="n">
        <v>0</v>
      </c>
      <c r="AB1245" s="3" t="n"/>
      <c r="AC1245" s="31" t="n">
        <v>0</v>
      </c>
      <c r="AD1245" s="2" t="n">
        <v>0</v>
      </c>
      <c r="AE1245" s="2" t="n">
        <v>5</v>
      </c>
      <c r="AF1245" s="4" t="n">
        <v>5</v>
      </c>
      <c r="AG1245" s="33" t="n">
        <v>0</v>
      </c>
      <c r="AH1245" s="4" t="n">
        <v>0</v>
      </c>
      <c r="AI1245" s="34" t="n"/>
      <c r="AJ1245" s="34" t="n">
        <v>0</v>
      </c>
      <c r="AK1245" s="2" t="n">
        <v>0</v>
      </c>
      <c r="AL1245" t="inlineStr">
        <is>
          <t>Published</t>
        </is>
      </c>
    </row>
    <row r="1246">
      <c r="A1246">
        <f>HYPERLINK("https://www.walmart.com/ip/14546152958", "14546152958")</f>
        <v/>
      </c>
      <c r="B1246">
        <f>HYPERLINK("https://app.optiwise.ai/catalog/itemdetails/13059614", "Aeropostale  Backpack for School, College, and Travel， Water Resistant Bookbag Black Aero")</f>
        <v/>
      </c>
      <c r="C1246" t="inlineStr">
        <is>
          <t>1AEBPK92029BKAERO</t>
        </is>
      </c>
      <c r="D1246" t="inlineStr">
        <is>
          <t>Cases &amp; Bags</t>
        </is>
      </c>
      <c r="E1246" t="inlineStr">
        <is>
          <t>Backpacks</t>
        </is>
      </c>
      <c r="F1246" t="inlineStr">
        <is>
          <t>Aeropostale</t>
        </is>
      </c>
      <c r="G1246" t="n">
        <v>0</v>
      </c>
      <c r="H1246" t="n">
        <v>0</v>
      </c>
      <c r="J1246" s="29" t="n">
        <v>0</v>
      </c>
      <c r="K1246" s="30" t="n"/>
      <c r="L1246" s="29" t="n">
        <v>0</v>
      </c>
      <c r="M1246" s="29" t="n">
        <v>0</v>
      </c>
      <c r="N1246" s="2" t="n">
        <v>0</v>
      </c>
      <c r="O1246" s="31" t="n">
        <v>0</v>
      </c>
      <c r="P1246" s="32" t="n"/>
      <c r="Q1246" s="32" t="n">
        <v>0</v>
      </c>
      <c r="R1246" s="32" t="n">
        <v>0</v>
      </c>
      <c r="S1246" s="31" t="n">
        <v>0</v>
      </c>
      <c r="T1246" s="32" t="n">
        <v>0</v>
      </c>
      <c r="U1246" s="31" t="n">
        <v>0</v>
      </c>
      <c r="V1246" s="31" t="n">
        <v>0</v>
      </c>
      <c r="W1246" s="3" t="n">
        <v>0</v>
      </c>
      <c r="X1246" s="3" t="n">
        <v>0</v>
      </c>
      <c r="Y1246" s="32" t="n">
        <v>0</v>
      </c>
      <c r="Z1246" s="3" t="n">
        <v>0</v>
      </c>
      <c r="AA1246" s="32" t="n">
        <v>0</v>
      </c>
      <c r="AB1246" s="3" t="n"/>
      <c r="AC1246" s="31" t="n">
        <v>0</v>
      </c>
      <c r="AD1246" s="2" t="n">
        <v>0</v>
      </c>
      <c r="AE1246" s="2" t="n">
        <v>11</v>
      </c>
      <c r="AF1246" s="4" t="n">
        <v>11</v>
      </c>
      <c r="AG1246" s="33" t="n">
        <v>0</v>
      </c>
      <c r="AH1246" s="4" t="n">
        <v>0</v>
      </c>
      <c r="AI1246" s="34" t="n"/>
      <c r="AJ1246" s="34" t="n">
        <v>0</v>
      </c>
      <c r="AK1246" s="2" t="n">
        <v>0</v>
      </c>
      <c r="AL1246" t="inlineStr">
        <is>
          <t>Published</t>
        </is>
      </c>
    </row>
    <row r="1247">
      <c r="A1247">
        <f>HYPERLINK("https://www.walmart.com/ip/14539058939", "14539058939")</f>
        <v/>
      </c>
      <c r="B1247">
        <f>HYPERLINK("https://app.optiwise.ai/catalog/itemdetails/13059613", "Aeropostale  Backpack for School, College, and Travel， Water Resistant Bookbag Hot Pink Cherry")</f>
        <v/>
      </c>
      <c r="C1247" t="inlineStr">
        <is>
          <t>1AEBPK92029HPCHERRY</t>
        </is>
      </c>
      <c r="D1247" t="inlineStr">
        <is>
          <t>Cases &amp; Bags</t>
        </is>
      </c>
      <c r="E1247" t="inlineStr">
        <is>
          <t>Backpacks</t>
        </is>
      </c>
      <c r="F1247" t="inlineStr">
        <is>
          <t>Aeropostale</t>
        </is>
      </c>
      <c r="G1247" t="n">
        <v>0</v>
      </c>
      <c r="H1247" t="n">
        <v>0</v>
      </c>
      <c r="J1247" s="29" t="n">
        <v>0</v>
      </c>
      <c r="K1247" s="30" t="n"/>
      <c r="L1247" s="29" t="n">
        <v>0</v>
      </c>
      <c r="M1247" s="29" t="n">
        <v>0</v>
      </c>
      <c r="N1247" s="2" t="n">
        <v>0</v>
      </c>
      <c r="O1247" s="31" t="n">
        <v>0</v>
      </c>
      <c r="P1247" s="32" t="n"/>
      <c r="Q1247" s="32" t="n">
        <v>0</v>
      </c>
      <c r="R1247" s="32" t="n">
        <v>0</v>
      </c>
      <c r="S1247" s="31" t="n">
        <v>0</v>
      </c>
      <c r="T1247" s="32" t="n">
        <v>0</v>
      </c>
      <c r="U1247" s="31" t="n">
        <v>0</v>
      </c>
      <c r="V1247" s="31" t="n">
        <v>0</v>
      </c>
      <c r="W1247" s="3" t="n">
        <v>0</v>
      </c>
      <c r="X1247" s="3" t="n">
        <v>0</v>
      </c>
      <c r="Y1247" s="32" t="n">
        <v>0</v>
      </c>
      <c r="Z1247" s="3" t="n">
        <v>0</v>
      </c>
      <c r="AA1247" s="32" t="n">
        <v>0</v>
      </c>
      <c r="AB1247" s="3" t="n"/>
      <c r="AC1247" s="31" t="n">
        <v>0</v>
      </c>
      <c r="AD1247" s="2" t="n">
        <v>0</v>
      </c>
      <c r="AE1247" s="2" t="n">
        <v>36</v>
      </c>
      <c r="AF1247" s="4" t="n">
        <v>36</v>
      </c>
      <c r="AG1247" s="33" t="n">
        <v>0</v>
      </c>
      <c r="AH1247" s="4" t="n">
        <v>0</v>
      </c>
      <c r="AI1247" s="34" t="n"/>
      <c r="AJ1247" s="34" t="n">
        <v>0</v>
      </c>
      <c r="AK1247" s="2" t="n">
        <v>0</v>
      </c>
      <c r="AL1247" t="inlineStr">
        <is>
          <t>Published</t>
        </is>
      </c>
    </row>
    <row r="1248">
      <c r="A1248">
        <f>HYPERLINK("https://www.walmart.com/ip/14544254613", "14544254613")</f>
        <v/>
      </c>
      <c r="B1248">
        <f>HYPERLINK("https://app.optiwise.ai/catalog/itemdetails/13059612", "Aeropostale  Backpack for School, College, and Travel， Water Resistant Bookbag Dark Green Smile")</f>
        <v/>
      </c>
      <c r="C1248" t="inlineStr">
        <is>
          <t>1AEBPK92029DGNSMILE</t>
        </is>
      </c>
      <c r="D1248" t="inlineStr">
        <is>
          <t>Cases &amp; Bags</t>
        </is>
      </c>
      <c r="E1248" t="inlineStr">
        <is>
          <t>Backpacks</t>
        </is>
      </c>
      <c r="F1248" t="inlineStr">
        <is>
          <t>Aeropostale</t>
        </is>
      </c>
      <c r="G1248" t="n">
        <v>0</v>
      </c>
      <c r="H1248" t="n">
        <v>0</v>
      </c>
      <c r="J1248" s="29" t="n">
        <v>0</v>
      </c>
      <c r="K1248" s="30" t="n"/>
      <c r="L1248" s="29" t="n">
        <v>0</v>
      </c>
      <c r="M1248" s="29" t="n">
        <v>0</v>
      </c>
      <c r="N1248" s="2" t="n">
        <v>0</v>
      </c>
      <c r="O1248" s="31" t="n">
        <v>0</v>
      </c>
      <c r="P1248" s="32" t="n"/>
      <c r="Q1248" s="32" t="n">
        <v>0</v>
      </c>
      <c r="R1248" s="32" t="n">
        <v>0</v>
      </c>
      <c r="S1248" s="31" t="n">
        <v>0</v>
      </c>
      <c r="T1248" s="32" t="n">
        <v>0</v>
      </c>
      <c r="U1248" s="31" t="n">
        <v>0</v>
      </c>
      <c r="V1248" s="31" t="n">
        <v>0</v>
      </c>
      <c r="W1248" s="3" t="n">
        <v>0</v>
      </c>
      <c r="X1248" s="3" t="n">
        <v>0</v>
      </c>
      <c r="Y1248" s="32" t="n">
        <v>0</v>
      </c>
      <c r="Z1248" s="3" t="n">
        <v>0</v>
      </c>
      <c r="AA1248" s="32" t="n">
        <v>0</v>
      </c>
      <c r="AB1248" s="3" t="n"/>
      <c r="AC1248" s="31" t="n">
        <v>0</v>
      </c>
      <c r="AD1248" s="2" t="n">
        <v>0</v>
      </c>
      <c r="AE1248" s="2" t="n">
        <v>11</v>
      </c>
      <c r="AF1248" s="4" t="n">
        <v>11</v>
      </c>
      <c r="AG1248" s="33" t="n">
        <v>0</v>
      </c>
      <c r="AH1248" s="4" t="n">
        <v>0</v>
      </c>
      <c r="AI1248" s="34" t="n"/>
      <c r="AJ1248" s="34" t="n">
        <v>0</v>
      </c>
      <c r="AK1248" s="2" t="n">
        <v>0</v>
      </c>
      <c r="AL1248" t="inlineStr">
        <is>
          <t>Published</t>
        </is>
      </c>
    </row>
    <row r="1249">
      <c r="A1249">
        <f>HYPERLINK("https://www.walmart.com/ip/14543512940", "14543512940")</f>
        <v/>
      </c>
      <c r="B1249">
        <f>HYPERLINK("https://app.optiwise.ai/catalog/itemdetails/13059611", "Aeropostale  Backpack for School, College, and Travel， Water Resistant Bookbag Taupe Marble")</f>
        <v/>
      </c>
      <c r="C1249" t="inlineStr">
        <is>
          <t>1AEBPK92029TPMARBLE</t>
        </is>
      </c>
      <c r="D1249" t="inlineStr">
        <is>
          <t>Cases &amp; Bags</t>
        </is>
      </c>
      <c r="E1249" t="inlineStr">
        <is>
          <t>Backpacks</t>
        </is>
      </c>
      <c r="F1249" t="inlineStr">
        <is>
          <t>Aeropostale</t>
        </is>
      </c>
      <c r="G1249" t="n">
        <v>0</v>
      </c>
      <c r="H1249" t="n">
        <v>0</v>
      </c>
      <c r="J1249" s="29" t="n">
        <v>0</v>
      </c>
      <c r="K1249" s="30" t="n"/>
      <c r="L1249" s="29" t="n">
        <v>0</v>
      </c>
      <c r="M1249" s="29" t="n">
        <v>0</v>
      </c>
      <c r="N1249" s="2" t="n">
        <v>0</v>
      </c>
      <c r="O1249" s="31" t="n">
        <v>0</v>
      </c>
      <c r="P1249" s="32" t="n"/>
      <c r="Q1249" s="32" t="n">
        <v>0</v>
      </c>
      <c r="R1249" s="32" t="n">
        <v>0</v>
      </c>
      <c r="S1249" s="31" t="n">
        <v>0</v>
      </c>
      <c r="T1249" s="32" t="n">
        <v>0</v>
      </c>
      <c r="U1249" s="31" t="n">
        <v>0</v>
      </c>
      <c r="V1249" s="31" t="n">
        <v>0</v>
      </c>
      <c r="W1249" s="3" t="n">
        <v>0</v>
      </c>
      <c r="X1249" s="3" t="n">
        <v>0</v>
      </c>
      <c r="Y1249" s="32" t="n">
        <v>0</v>
      </c>
      <c r="Z1249" s="3" t="n">
        <v>0</v>
      </c>
      <c r="AA1249" s="32" t="n">
        <v>0</v>
      </c>
      <c r="AB1249" s="3" t="n"/>
      <c r="AC1249" s="31" t="n">
        <v>0</v>
      </c>
      <c r="AD1249" s="2" t="n">
        <v>0</v>
      </c>
      <c r="AE1249" s="2" t="n">
        <v>11</v>
      </c>
      <c r="AF1249" s="4" t="n">
        <v>11</v>
      </c>
      <c r="AG1249" s="33" t="n">
        <v>0</v>
      </c>
      <c r="AH1249" s="4" t="n">
        <v>0</v>
      </c>
      <c r="AI1249" s="34" t="n"/>
      <c r="AJ1249" s="34" t="n">
        <v>0</v>
      </c>
      <c r="AK1249" s="2" t="n">
        <v>0</v>
      </c>
      <c r="AL1249" t="inlineStr">
        <is>
          <t>Published</t>
        </is>
      </c>
    </row>
    <row r="1250">
      <c r="A1250">
        <f>HYPERLINK("https://www.walmart.com/ip/14529374153", "14529374153")</f>
        <v/>
      </c>
      <c r="B1250">
        <f>HYPERLINK("https://app.optiwise.ai/catalog/itemdetails/13059610", "Aeropostale  Backpack for School, College, and Travel， Water Resistant Bookbag Navy Red")</f>
        <v/>
      </c>
      <c r="C1250" t="inlineStr">
        <is>
          <t>1AEBPK92029NYRD</t>
        </is>
      </c>
      <c r="D1250" t="inlineStr">
        <is>
          <t>Cases &amp; Bags</t>
        </is>
      </c>
      <c r="E1250" t="inlineStr">
        <is>
          <t>Backpacks</t>
        </is>
      </c>
      <c r="F1250" t="inlineStr">
        <is>
          <t>Aeropostale</t>
        </is>
      </c>
      <c r="G1250" t="n">
        <v>0</v>
      </c>
      <c r="H1250" t="n">
        <v>0</v>
      </c>
      <c r="J1250" s="29" t="n">
        <v>0</v>
      </c>
      <c r="K1250" s="30" t="n"/>
      <c r="L1250" s="29" t="n">
        <v>0</v>
      </c>
      <c r="M1250" s="29" t="n">
        <v>0</v>
      </c>
      <c r="N1250" s="2" t="n">
        <v>0</v>
      </c>
      <c r="O1250" s="31" t="n">
        <v>0</v>
      </c>
      <c r="P1250" s="32" t="n"/>
      <c r="Q1250" s="32" t="n">
        <v>0</v>
      </c>
      <c r="R1250" s="32" t="n">
        <v>0</v>
      </c>
      <c r="S1250" s="31" t="n">
        <v>0</v>
      </c>
      <c r="T1250" s="32" t="n">
        <v>0</v>
      </c>
      <c r="U1250" s="31" t="n">
        <v>0</v>
      </c>
      <c r="V1250" s="31" t="n">
        <v>0</v>
      </c>
      <c r="W1250" s="3" t="n">
        <v>0</v>
      </c>
      <c r="X1250" s="3" t="n">
        <v>0</v>
      </c>
      <c r="Y1250" s="32" t="n">
        <v>0</v>
      </c>
      <c r="Z1250" s="3" t="n">
        <v>0</v>
      </c>
      <c r="AA1250" s="32" t="n">
        <v>0</v>
      </c>
      <c r="AB1250" s="3" t="n"/>
      <c r="AC1250" s="31" t="n">
        <v>0</v>
      </c>
      <c r="AD1250" s="2" t="n">
        <v>0</v>
      </c>
      <c r="AE1250" s="2" t="n">
        <v>10</v>
      </c>
      <c r="AF1250" s="4" t="n">
        <v>10</v>
      </c>
      <c r="AG1250" s="33" t="n">
        <v>0</v>
      </c>
      <c r="AH1250" s="4" t="n">
        <v>0</v>
      </c>
      <c r="AI1250" s="34" t="n"/>
      <c r="AJ1250" s="34" t="n">
        <v>0</v>
      </c>
      <c r="AK1250" s="2" t="n">
        <v>0</v>
      </c>
      <c r="AL1250" t="inlineStr">
        <is>
          <t>Published</t>
        </is>
      </c>
    </row>
    <row r="1251">
      <c r="A1251">
        <f>HYPERLINK("https://www.walmart.com/ip/14511051595", "14511051595")</f>
        <v/>
      </c>
      <c r="B1251">
        <f>HYPERLINK("https://app.optiwise.ai/catalog/itemdetails/13059609", "Aeropostale  Backpack for School, College, and Travel， Water Resistant Bookbag Lilac BOBA")</f>
        <v/>
      </c>
      <c r="C1251" t="inlineStr">
        <is>
          <t>1AEBPK92029LLBOBA</t>
        </is>
      </c>
      <c r="D1251" t="inlineStr">
        <is>
          <t>Cases &amp; Bags</t>
        </is>
      </c>
      <c r="E1251" t="inlineStr">
        <is>
          <t>Backpacks</t>
        </is>
      </c>
      <c r="F1251" t="inlineStr">
        <is>
          <t>Aeropostale</t>
        </is>
      </c>
      <c r="G1251" t="n">
        <v>0</v>
      </c>
      <c r="H1251" t="n">
        <v>0</v>
      </c>
      <c r="J1251" s="29" t="n">
        <v>0</v>
      </c>
      <c r="K1251" s="30" t="n"/>
      <c r="L1251" s="29" t="n">
        <v>0</v>
      </c>
      <c r="M1251" s="29" t="n">
        <v>0</v>
      </c>
      <c r="N1251" s="2" t="n">
        <v>0</v>
      </c>
      <c r="O1251" s="31" t="n">
        <v>0</v>
      </c>
      <c r="P1251" s="32" t="n"/>
      <c r="Q1251" s="32" t="n">
        <v>0</v>
      </c>
      <c r="R1251" s="32" t="n">
        <v>0</v>
      </c>
      <c r="S1251" s="31" t="n">
        <v>0</v>
      </c>
      <c r="T1251" s="32" t="n">
        <v>0</v>
      </c>
      <c r="U1251" s="31" t="n">
        <v>0</v>
      </c>
      <c r="V1251" s="31" t="n">
        <v>0</v>
      </c>
      <c r="W1251" s="3" t="n">
        <v>0</v>
      </c>
      <c r="X1251" s="3" t="n">
        <v>0</v>
      </c>
      <c r="Y1251" s="32" t="n">
        <v>0</v>
      </c>
      <c r="Z1251" s="3" t="n">
        <v>0</v>
      </c>
      <c r="AA1251" s="32" t="n">
        <v>0</v>
      </c>
      <c r="AB1251" s="3" t="n"/>
      <c r="AC1251" s="31" t="n">
        <v>0</v>
      </c>
      <c r="AD1251" s="2" t="n">
        <v>0</v>
      </c>
      <c r="AE1251" s="2" t="n">
        <v>22</v>
      </c>
      <c r="AF1251" s="4" t="n">
        <v>22</v>
      </c>
      <c r="AG1251" s="33" t="n">
        <v>0</v>
      </c>
      <c r="AH1251" s="4" t="n">
        <v>0</v>
      </c>
      <c r="AI1251" s="34" t="n"/>
      <c r="AJ1251" s="34" t="n">
        <v>0</v>
      </c>
      <c r="AK1251" s="2" t="n">
        <v>0</v>
      </c>
      <c r="AL1251" t="inlineStr">
        <is>
          <t>Published</t>
        </is>
      </c>
    </row>
    <row r="1252">
      <c r="A1252">
        <f>HYPERLINK("https://www.walmart.com/ip/14564610338", "14564610338")</f>
        <v/>
      </c>
      <c r="B1252">
        <f>HYPERLINK("https://app.optiwise.ai/catalog/itemdetails/13059608", "Aeropostale  Backpack for School, College, and Travel， Water Resistant Bookbag Light Blue Egg")</f>
        <v/>
      </c>
      <c r="C1252" t="inlineStr">
        <is>
          <t>1AEBPK92029LBLEGG</t>
        </is>
      </c>
      <c r="D1252" t="inlineStr">
        <is>
          <t>Cases &amp; Bags</t>
        </is>
      </c>
      <c r="E1252" t="inlineStr">
        <is>
          <t>Backpacks</t>
        </is>
      </c>
      <c r="F1252" t="inlineStr">
        <is>
          <t>Aeropostale</t>
        </is>
      </c>
      <c r="G1252" t="n">
        <v>0</v>
      </c>
      <c r="H1252" t="n">
        <v>0</v>
      </c>
      <c r="J1252" s="29" t="n">
        <v>0</v>
      </c>
      <c r="K1252" s="30" t="n"/>
      <c r="L1252" s="29" t="n">
        <v>0</v>
      </c>
      <c r="M1252" s="29" t="n">
        <v>0</v>
      </c>
      <c r="N1252" s="2" t="n">
        <v>0</v>
      </c>
      <c r="O1252" s="31" t="n">
        <v>0</v>
      </c>
      <c r="P1252" s="32" t="n"/>
      <c r="Q1252" s="32" t="n">
        <v>0</v>
      </c>
      <c r="R1252" s="32" t="n">
        <v>0</v>
      </c>
      <c r="S1252" s="31" t="n">
        <v>0</v>
      </c>
      <c r="T1252" s="32" t="n">
        <v>0</v>
      </c>
      <c r="U1252" s="31" t="n">
        <v>0</v>
      </c>
      <c r="V1252" s="31" t="n">
        <v>0</v>
      </c>
      <c r="W1252" s="3" t="n">
        <v>0</v>
      </c>
      <c r="X1252" s="3" t="n">
        <v>0</v>
      </c>
      <c r="Y1252" s="32" t="n">
        <v>0</v>
      </c>
      <c r="Z1252" s="3" t="n">
        <v>0</v>
      </c>
      <c r="AA1252" s="32" t="n">
        <v>0</v>
      </c>
      <c r="AB1252" s="3" t="n"/>
      <c r="AC1252" s="31" t="n">
        <v>0</v>
      </c>
      <c r="AD1252" s="2" t="n">
        <v>0</v>
      </c>
      <c r="AE1252" s="2" t="n">
        <v>0</v>
      </c>
      <c r="AF1252" s="4" t="n">
        <v>0</v>
      </c>
      <c r="AG1252" s="33" t="n">
        <v>0</v>
      </c>
      <c r="AH1252" s="4" t="n">
        <v>0</v>
      </c>
      <c r="AI1252" s="34" t="n"/>
      <c r="AJ1252" s="34" t="n">
        <v>0</v>
      </c>
      <c r="AK1252" s="2" t="n">
        <v>0</v>
      </c>
      <c r="AL1252" t="inlineStr">
        <is>
          <t>Published</t>
        </is>
      </c>
    </row>
    <row r="1253">
      <c r="A1253">
        <f>HYPERLINK("https://www.walmart.com/ip/14546152960", "14546152960")</f>
        <v/>
      </c>
      <c r="B1253">
        <f>HYPERLINK("https://app.optiwise.ai/catalog/itemdetails/13059606", "Aeropostale  Backpack for School, College, and Travel， Water Resistant Bookbag Blue")</f>
        <v/>
      </c>
      <c r="C1253" t="inlineStr">
        <is>
          <t>1AEBPK92029BL</t>
        </is>
      </c>
      <c r="D1253" t="inlineStr">
        <is>
          <t>Cases &amp; Bags</t>
        </is>
      </c>
      <c r="E1253" t="inlineStr">
        <is>
          <t>Backpacks</t>
        </is>
      </c>
      <c r="F1253" t="inlineStr">
        <is>
          <t>Aeropostale</t>
        </is>
      </c>
      <c r="G1253" t="n">
        <v>0</v>
      </c>
      <c r="H1253" t="n">
        <v>0</v>
      </c>
      <c r="J1253" s="29" t="n">
        <v>0</v>
      </c>
      <c r="K1253" s="30" t="n"/>
      <c r="L1253" s="29" t="n">
        <v>0</v>
      </c>
      <c r="M1253" s="29" t="n">
        <v>0</v>
      </c>
      <c r="N1253" s="2" t="n">
        <v>0</v>
      </c>
      <c r="O1253" s="31" t="n">
        <v>0</v>
      </c>
      <c r="P1253" s="32" t="n"/>
      <c r="Q1253" s="32" t="n">
        <v>0</v>
      </c>
      <c r="R1253" s="32" t="n">
        <v>0</v>
      </c>
      <c r="S1253" s="31" t="n">
        <v>0</v>
      </c>
      <c r="T1253" s="32" t="n">
        <v>0</v>
      </c>
      <c r="U1253" s="31" t="n">
        <v>0</v>
      </c>
      <c r="V1253" s="31" t="n">
        <v>0</v>
      </c>
      <c r="W1253" s="3" t="n">
        <v>0</v>
      </c>
      <c r="X1253" s="3" t="n">
        <v>0</v>
      </c>
      <c r="Y1253" s="32" t="n">
        <v>0</v>
      </c>
      <c r="Z1253" s="3" t="n">
        <v>0</v>
      </c>
      <c r="AA1253" s="32" t="n">
        <v>0</v>
      </c>
      <c r="AB1253" s="3" t="n"/>
      <c r="AC1253" s="31" t="n">
        <v>0</v>
      </c>
      <c r="AD1253" s="2" t="n">
        <v>0</v>
      </c>
      <c r="AE1253" s="2" t="n">
        <v>14</v>
      </c>
      <c r="AF1253" s="4" t="n">
        <v>14</v>
      </c>
      <c r="AG1253" s="33" t="n">
        <v>0</v>
      </c>
      <c r="AH1253" s="4" t="n">
        <v>0</v>
      </c>
      <c r="AI1253" s="34" t="n"/>
      <c r="AJ1253" s="34" t="n">
        <v>0</v>
      </c>
      <c r="AK1253" s="2" t="n">
        <v>0</v>
      </c>
      <c r="AL1253" t="inlineStr">
        <is>
          <t>Published</t>
        </is>
      </c>
    </row>
    <row r="1254">
      <c r="A1254">
        <f>HYPERLINK("https://www.walmart.com/ip/13856751471", "13856751471")</f>
        <v/>
      </c>
      <c r="B1254">
        <f>HYPERLINK("https://app.optiwise.ai/catalog/itemdetails/13012952", "Every Day is Christmas Glass Blown Ornaments Cute Hand Made Figurines Tree Decoration, Suitcases Set of 2")</f>
        <v/>
      </c>
      <c r="C1254" t="inlineStr">
        <is>
          <t>EDC-FIGURINE-WP273</t>
        </is>
      </c>
      <c r="D1254" t="inlineStr">
        <is>
          <t>Home Decor, Kitchen, &amp; Other</t>
        </is>
      </c>
      <c r="E1254" t="inlineStr">
        <is>
          <t>Ornaments</t>
        </is>
      </c>
      <c r="F1254" t="inlineStr">
        <is>
          <t>Every Day is Christmas</t>
        </is>
      </c>
      <c r="G1254" t="n">
        <v>0</v>
      </c>
      <c r="H1254" t="n">
        <v>0</v>
      </c>
      <c r="J1254" s="29" t="n">
        <v>0</v>
      </c>
      <c r="K1254" s="30" t="n"/>
      <c r="L1254" s="29" t="n">
        <v>0</v>
      </c>
      <c r="M1254" s="29" t="n">
        <v>0</v>
      </c>
      <c r="N1254" s="2" t="n">
        <v>0</v>
      </c>
      <c r="O1254" s="31" t="n">
        <v>0</v>
      </c>
      <c r="P1254" s="32" t="n"/>
      <c r="Q1254" s="32" t="n">
        <v>0</v>
      </c>
      <c r="R1254" s="32" t="n">
        <v>0</v>
      </c>
      <c r="S1254" s="31" t="n">
        <v>0</v>
      </c>
      <c r="T1254" s="32" t="n">
        <v>0</v>
      </c>
      <c r="U1254" s="31" t="n">
        <v>0</v>
      </c>
      <c r="V1254" s="31" t="n">
        <v>0</v>
      </c>
      <c r="W1254" s="3" t="n">
        <v>0</v>
      </c>
      <c r="X1254" s="3" t="n">
        <v>0</v>
      </c>
      <c r="Y1254" s="32" t="n">
        <v>0</v>
      </c>
      <c r="Z1254" s="3" t="n">
        <v>0</v>
      </c>
      <c r="AA1254" s="32" t="n">
        <v>0</v>
      </c>
      <c r="AB1254" s="3" t="n"/>
      <c r="AC1254" s="31" t="n">
        <v>0</v>
      </c>
      <c r="AD1254" s="2" t="n">
        <v>0</v>
      </c>
      <c r="AE1254" s="2" t="n">
        <v>9</v>
      </c>
      <c r="AF1254" s="4" t="n">
        <v>9</v>
      </c>
      <c r="AG1254" s="33" t="n">
        <v>0</v>
      </c>
      <c r="AH1254" s="4" t="n">
        <v>0</v>
      </c>
      <c r="AI1254" s="34" t="n"/>
      <c r="AJ1254" s="34" t="n">
        <v>0</v>
      </c>
      <c r="AK1254" s="2" t="n">
        <v>0</v>
      </c>
      <c r="AL1254" t="inlineStr">
        <is>
          <t>Published</t>
        </is>
      </c>
    </row>
    <row r="1255">
      <c r="A1255">
        <f>HYPERLINK("https://www.walmart.com/ip/1928359443", "1928359443")</f>
        <v/>
      </c>
      <c r="B1255">
        <f>HYPERLINK("https://app.optiwise.ai/catalog/itemdetails/13012951", "Every Day is Christmas Glass Blown Ornaments Cute Hand Made Figurines Tree Decoration, Crayons")</f>
        <v/>
      </c>
      <c r="C1255" t="inlineStr">
        <is>
          <t>EDC-FIGURINE-CRAYONS</t>
        </is>
      </c>
      <c r="D1255" t="inlineStr">
        <is>
          <t>Decorations &amp; Favors</t>
        </is>
      </c>
      <c r="E1255" t="inlineStr">
        <is>
          <t>Ornaments</t>
        </is>
      </c>
      <c r="F1255" t="inlineStr">
        <is>
          <t>Every Day is Christmas</t>
        </is>
      </c>
      <c r="G1255" t="n">
        <v>0</v>
      </c>
      <c r="H1255" t="n">
        <v>0</v>
      </c>
      <c r="J1255" s="29" t="n">
        <v>0</v>
      </c>
      <c r="K1255" s="30" t="n"/>
      <c r="L1255" s="29" t="n">
        <v>0</v>
      </c>
      <c r="M1255" s="29" t="n">
        <v>0</v>
      </c>
      <c r="N1255" s="2" t="n">
        <v>0</v>
      </c>
      <c r="O1255" s="31" t="n">
        <v>0</v>
      </c>
      <c r="P1255" s="32" t="n"/>
      <c r="Q1255" s="32" t="n">
        <v>0</v>
      </c>
      <c r="R1255" s="32" t="n">
        <v>0</v>
      </c>
      <c r="S1255" s="31" t="n">
        <v>0</v>
      </c>
      <c r="T1255" s="32" t="n">
        <v>0</v>
      </c>
      <c r="U1255" s="31" t="n">
        <v>0</v>
      </c>
      <c r="V1255" s="31" t="n">
        <v>0</v>
      </c>
      <c r="W1255" s="3" t="n">
        <v>0</v>
      </c>
      <c r="X1255" s="3" t="n">
        <v>0</v>
      </c>
      <c r="Y1255" s="32" t="n">
        <v>0</v>
      </c>
      <c r="Z1255" s="3" t="n">
        <v>0</v>
      </c>
      <c r="AA1255" s="32" t="n">
        <v>0</v>
      </c>
      <c r="AB1255" s="3" t="n"/>
      <c r="AC1255" s="31" t="n">
        <v>0</v>
      </c>
      <c r="AD1255" s="2" t="n">
        <v>0</v>
      </c>
      <c r="AE1255" s="2" t="n">
        <v>9</v>
      </c>
      <c r="AF1255" s="4" t="n">
        <v>9</v>
      </c>
      <c r="AG1255" s="33" t="n">
        <v>0</v>
      </c>
      <c r="AH1255" s="4" t="n">
        <v>0</v>
      </c>
      <c r="AI1255" s="34" t="n"/>
      <c r="AJ1255" s="34" t="n">
        <v>0</v>
      </c>
      <c r="AK1255" s="2" t="n">
        <v>0</v>
      </c>
      <c r="AL1255" t="inlineStr">
        <is>
          <t>Published</t>
        </is>
      </c>
    </row>
    <row r="1256">
      <c r="A1256">
        <f>HYPERLINK("https://www.walmart.com/ip/13876207015", "13876207015")</f>
        <v/>
      </c>
      <c r="B1256">
        <f>HYPERLINK("https://app.optiwise.ai/catalog/itemdetails/13012154", "Every Day is Christmas Glass Blown Ornaments Cute Hand Made Figurines Tree Decoration, Coffee Set of 3")</f>
        <v/>
      </c>
      <c r="C1256" t="inlineStr">
        <is>
          <t>EDC-FIGURINE-BC339</t>
        </is>
      </c>
      <c r="D1256" t="inlineStr">
        <is>
          <t>Home Decor, Kitchen, &amp; Other</t>
        </is>
      </c>
      <c r="E1256" t="inlineStr">
        <is>
          <t>Ornaments</t>
        </is>
      </c>
      <c r="F1256" t="inlineStr">
        <is>
          <t>Every Day is Christmas</t>
        </is>
      </c>
      <c r="G1256" t="n">
        <v>0</v>
      </c>
      <c r="H1256" t="n">
        <v>0</v>
      </c>
      <c r="J1256" s="29" t="n">
        <v>0</v>
      </c>
      <c r="K1256" s="30" t="n"/>
      <c r="L1256" s="29" t="n">
        <v>0</v>
      </c>
      <c r="M1256" s="29" t="n">
        <v>0</v>
      </c>
      <c r="N1256" s="2" t="n">
        <v>0</v>
      </c>
      <c r="O1256" s="31" t="n">
        <v>0</v>
      </c>
      <c r="P1256" s="32" t="n"/>
      <c r="Q1256" s="32" t="n">
        <v>0</v>
      </c>
      <c r="R1256" s="32" t="n">
        <v>0</v>
      </c>
      <c r="S1256" s="31" t="n">
        <v>0</v>
      </c>
      <c r="T1256" s="32" t="n">
        <v>0</v>
      </c>
      <c r="U1256" s="31" t="n">
        <v>0</v>
      </c>
      <c r="V1256" s="31" t="n">
        <v>0</v>
      </c>
      <c r="W1256" s="3" t="n">
        <v>0</v>
      </c>
      <c r="X1256" s="3" t="n">
        <v>0</v>
      </c>
      <c r="Y1256" s="32" t="n">
        <v>0</v>
      </c>
      <c r="Z1256" s="3" t="n">
        <v>0</v>
      </c>
      <c r="AA1256" s="32" t="n">
        <v>0</v>
      </c>
      <c r="AB1256" s="3" t="n"/>
      <c r="AC1256" s="31" t="n">
        <v>0</v>
      </c>
      <c r="AD1256" s="2" t="n">
        <v>0</v>
      </c>
      <c r="AE1256" s="2" t="n">
        <v>17</v>
      </c>
      <c r="AF1256" s="4" t="n">
        <v>17</v>
      </c>
      <c r="AG1256" s="33" t="n">
        <v>0</v>
      </c>
      <c r="AH1256" s="4" t="n">
        <v>0</v>
      </c>
      <c r="AI1256" s="34" t="n"/>
      <c r="AJ1256" s="34" t="n">
        <v>0</v>
      </c>
      <c r="AK1256" s="2" t="n">
        <v>0</v>
      </c>
      <c r="AL1256" t="inlineStr">
        <is>
          <t>Published</t>
        </is>
      </c>
    </row>
    <row r="1257">
      <c r="A1257">
        <f>HYPERLINK("https://www.walmart.com/ip/5157375117", "5157375117")</f>
        <v/>
      </c>
      <c r="B1257">
        <f>HYPERLINK("https://app.optiwise.ai/catalog/itemdetails/7687620", "Tirrinia 2 Bottle Wine Gift Tote Carrier - Leakproof &amp; Insulated with large pockets Wine Cooler Bag for Travel, Wine Tasting, Party, Dinner, Great Christmas Gift for Wine Lover, Stripe")</f>
        <v/>
      </c>
      <c r="C1257" t="inlineStr">
        <is>
          <t>1TRWB222STR</t>
        </is>
      </c>
      <c r="D1257" t="inlineStr">
        <is>
          <t>Home Decor, Kitchen, &amp; Other</t>
        </is>
      </c>
      <c r="E1257" t="inlineStr">
        <is>
          <t>Wine Totes, Bags &amp; Backpacks</t>
        </is>
      </c>
      <c r="F1257" t="inlineStr">
        <is>
          <t>Tirrinia</t>
        </is>
      </c>
      <c r="G1257" t="n">
        <v>0</v>
      </c>
      <c r="H1257" t="n">
        <v>0</v>
      </c>
      <c r="J1257" s="29" t="n">
        <v>0</v>
      </c>
      <c r="K1257" s="30" t="n"/>
      <c r="L1257" s="29" t="n">
        <v>26.98999977111816</v>
      </c>
      <c r="M1257" s="29" t="n">
        <v>0</v>
      </c>
      <c r="N1257" s="2" t="n">
        <v>0</v>
      </c>
      <c r="O1257" s="31" t="n">
        <v>0</v>
      </c>
      <c r="P1257" s="32" t="n"/>
      <c r="Q1257" s="32" t="n">
        <v>0</v>
      </c>
      <c r="R1257" s="32" t="n">
        <v>0</v>
      </c>
      <c r="S1257" s="31" t="n">
        <v>0</v>
      </c>
      <c r="T1257" s="32" t="n">
        <v>0</v>
      </c>
      <c r="U1257" s="31" t="n">
        <v>0</v>
      </c>
      <c r="V1257" s="31" t="n">
        <v>0</v>
      </c>
      <c r="W1257" s="3" t="n">
        <v>0</v>
      </c>
      <c r="X1257" s="3" t="n">
        <v>0</v>
      </c>
      <c r="Y1257" s="32" t="n">
        <v>0</v>
      </c>
      <c r="Z1257" s="3" t="n">
        <v>0</v>
      </c>
      <c r="AA1257" s="32" t="n">
        <v>0</v>
      </c>
      <c r="AB1257" s="3" t="n"/>
      <c r="AC1257" s="31" t="n">
        <v>0</v>
      </c>
      <c r="AD1257" s="2" t="n">
        <v>0</v>
      </c>
      <c r="AE1257" s="2" t="n">
        <v>39</v>
      </c>
      <c r="AF1257" s="4" t="n">
        <v>39</v>
      </c>
      <c r="AG1257" s="33" t="n">
        <v>0</v>
      </c>
      <c r="AH1257" s="4" t="n">
        <v>0</v>
      </c>
      <c r="AI1257" s="34" t="n"/>
      <c r="AJ1257" s="34" t="n">
        <v>0</v>
      </c>
      <c r="AK1257" s="2" t="n">
        <v>0</v>
      </c>
      <c r="AL1257" t="inlineStr">
        <is>
          <t>Published</t>
        </is>
      </c>
    </row>
    <row r="1258">
      <c r="A1258">
        <f>HYPERLINK("https://www.walmart.com/ip/5342695765", "5342695765")</f>
        <v/>
      </c>
      <c r="B1258">
        <f>HYPERLINK("https://app.optiwise.ai/catalog/itemdetails/7957112", "Outdoor Wide Brim Sun Hats Blocking UV Protection Cap UPF 50+ Foldable Mesh Net for Finishing, Hiking, Camping by Solari")</f>
        <v/>
      </c>
      <c r="C1258" t="inlineStr">
        <is>
          <t>1SLSH912DIGIGY</t>
        </is>
      </c>
      <c r="D1258" t="inlineStr">
        <is>
          <t>Clothing</t>
        </is>
      </c>
      <c r="E1258" t="inlineStr">
        <is>
          <t>Hats</t>
        </is>
      </c>
      <c r="F1258" t="inlineStr">
        <is>
          <t>Solaris</t>
        </is>
      </c>
      <c r="G1258" t="n">
        <v>0</v>
      </c>
      <c r="H1258" t="n">
        <v>0</v>
      </c>
      <c r="J1258" s="29" t="n">
        <v>0</v>
      </c>
      <c r="K1258" s="30" t="n"/>
      <c r="L1258" s="29" t="n">
        <v>0</v>
      </c>
      <c r="M1258" s="29" t="n">
        <v>0</v>
      </c>
      <c r="N1258" s="2" t="n">
        <v>0</v>
      </c>
      <c r="O1258" s="31" t="n">
        <v>0.31</v>
      </c>
      <c r="P1258" s="32" t="n"/>
      <c r="Q1258" s="32" t="n">
        <v>0</v>
      </c>
      <c r="R1258" s="32" t="n">
        <v>0.2328</v>
      </c>
      <c r="S1258" s="31" t="n">
        <v>0</v>
      </c>
      <c r="T1258" s="32" t="n">
        <v>0</v>
      </c>
      <c r="U1258" s="31" t="n">
        <v>0</v>
      </c>
      <c r="V1258" s="31" t="n">
        <v>0</v>
      </c>
      <c r="W1258" s="3" t="n">
        <v>1365</v>
      </c>
      <c r="X1258" s="3" t="n">
        <v>1</v>
      </c>
      <c r="Y1258" s="32" t="n">
        <v>0.0007</v>
      </c>
      <c r="Z1258" s="3" t="n">
        <v>0</v>
      </c>
      <c r="AA1258" s="32" t="n">
        <v>0</v>
      </c>
      <c r="AB1258" s="3" t="inlineStr">
        <is>
          <t>All Items_Auto_Optiwise_24</t>
        </is>
      </c>
      <c r="AC1258" s="31" t="n">
        <v>0.31</v>
      </c>
      <c r="AD1258" s="2" t="n">
        <v>0</v>
      </c>
      <c r="AE1258" s="2" t="n">
        <v>12</v>
      </c>
      <c r="AF1258" s="4" t="n">
        <v>11</v>
      </c>
      <c r="AG1258" s="33" t="n">
        <v>0</v>
      </c>
      <c r="AH1258" s="4" t="n">
        <v>0</v>
      </c>
      <c r="AI1258" s="34" t="n"/>
      <c r="AJ1258" s="34" t="n">
        <v>0</v>
      </c>
      <c r="AK1258" s="2" t="n">
        <v>0</v>
      </c>
      <c r="AL1258" t="inlineStr">
        <is>
          <t>Published</t>
        </is>
      </c>
    </row>
    <row r="1259">
      <c r="A1259">
        <f>HYPERLINK("https://www.walmart.com/ip/5466654409", "5466654409")</f>
        <v/>
      </c>
      <c r="B1259">
        <f>HYPERLINK("https://app.optiwise.ai/catalog/itemdetails/7957111", "Outdoor Wide Brim Sun Hats Blocking UV Protection Cap UPF 50+ Foldable Mesh Net for Finishing, Hiking, Camping by Solari")</f>
        <v/>
      </c>
      <c r="C1259" t="inlineStr">
        <is>
          <t>1SLSH912CAMO-A</t>
        </is>
      </c>
      <c r="D1259" t="inlineStr">
        <is>
          <t>Clothing</t>
        </is>
      </c>
      <c r="E1259" t="inlineStr">
        <is>
          <t>Hats</t>
        </is>
      </c>
      <c r="F1259" t="inlineStr">
        <is>
          <t>Solaris</t>
        </is>
      </c>
      <c r="G1259" t="n">
        <v>0</v>
      </c>
      <c r="H1259" t="n">
        <v>0</v>
      </c>
      <c r="J1259" s="29" t="n">
        <v>0</v>
      </c>
      <c r="K1259" s="30" t="n"/>
      <c r="L1259" s="29" t="n">
        <v>0</v>
      </c>
      <c r="M1259" s="29" t="n">
        <v>0</v>
      </c>
      <c r="N1259" s="2" t="n">
        <v>0</v>
      </c>
      <c r="O1259" s="31" t="n">
        <v>0</v>
      </c>
      <c r="P1259" s="32" t="n"/>
      <c r="Q1259" s="32" t="n">
        <v>0</v>
      </c>
      <c r="R1259" s="32" t="n">
        <v>0</v>
      </c>
      <c r="S1259" s="31" t="n">
        <v>0</v>
      </c>
      <c r="T1259" s="32" t="n">
        <v>0</v>
      </c>
      <c r="U1259" s="31" t="n">
        <v>0</v>
      </c>
      <c r="V1259" s="31" t="n">
        <v>0</v>
      </c>
      <c r="W1259" s="3" t="n">
        <v>0</v>
      </c>
      <c r="X1259" s="3" t="n">
        <v>0</v>
      </c>
      <c r="Y1259" s="32" t="n">
        <v>0</v>
      </c>
      <c r="Z1259" s="3" t="n">
        <v>0</v>
      </c>
      <c r="AA1259" s="32" t="n">
        <v>0</v>
      </c>
      <c r="AB1259" s="3" t="n"/>
      <c r="AC1259" s="31" t="n">
        <v>0</v>
      </c>
      <c r="AD1259" s="2" t="n">
        <v>0</v>
      </c>
      <c r="AE1259" s="2" t="n">
        <v>9</v>
      </c>
      <c r="AF1259" s="4" t="n">
        <v>9</v>
      </c>
      <c r="AG1259" s="33" t="n">
        <v>0</v>
      </c>
      <c r="AH1259" s="4" t="n">
        <v>0</v>
      </c>
      <c r="AI1259" s="34" t="n"/>
      <c r="AJ1259" s="34" t="n">
        <v>0</v>
      </c>
      <c r="AK1259" s="2" t="n">
        <v>0</v>
      </c>
      <c r="AL1259" t="inlineStr">
        <is>
          <t>Published</t>
        </is>
      </c>
    </row>
    <row r="1260">
      <c r="A1260">
        <f>HYPERLINK("https://www.walmart.com/ip/5346646233", "5346646233")</f>
        <v/>
      </c>
      <c r="B1260">
        <f>HYPERLINK("https://app.optiwise.ai/catalog/itemdetails/7957110", "Outdoor Wide Brim Sun Hats Blocking UV Protection Cap UPF 50+ Foldable Mesh Net for Finishing, Hiking, Camping by Solari")</f>
        <v/>
      </c>
      <c r="C1260" t="inlineStr">
        <is>
          <t>1SLSH912CAMO-B</t>
        </is>
      </c>
      <c r="D1260" t="inlineStr">
        <is>
          <t>Clothing</t>
        </is>
      </c>
      <c r="E1260" t="inlineStr">
        <is>
          <t>Hats</t>
        </is>
      </c>
      <c r="F1260" t="inlineStr">
        <is>
          <t>Solaris</t>
        </is>
      </c>
      <c r="G1260" t="n">
        <v>0</v>
      </c>
      <c r="H1260" t="n">
        <v>0</v>
      </c>
      <c r="J1260" s="29" t="n">
        <v>0</v>
      </c>
      <c r="K1260" s="30" t="n"/>
      <c r="L1260" s="29" t="n">
        <v>0</v>
      </c>
      <c r="M1260" s="29" t="n">
        <v>0</v>
      </c>
      <c r="N1260" s="2" t="n">
        <v>0</v>
      </c>
      <c r="O1260" s="31" t="n">
        <v>0</v>
      </c>
      <c r="P1260" s="32" t="n"/>
      <c r="Q1260" s="32" t="n">
        <v>0</v>
      </c>
      <c r="R1260" s="32" t="n">
        <v>0</v>
      </c>
      <c r="S1260" s="31" t="n">
        <v>0</v>
      </c>
      <c r="T1260" s="32" t="n">
        <v>0</v>
      </c>
      <c r="U1260" s="31" t="n">
        <v>0</v>
      </c>
      <c r="V1260" s="31" t="n">
        <v>0</v>
      </c>
      <c r="W1260" s="3" t="n">
        <v>0</v>
      </c>
      <c r="X1260" s="3" t="n">
        <v>0</v>
      </c>
      <c r="Y1260" s="32" t="n">
        <v>0</v>
      </c>
      <c r="Z1260" s="3" t="n">
        <v>0</v>
      </c>
      <c r="AA1260" s="32" t="n">
        <v>0</v>
      </c>
      <c r="AB1260" s="3" t="n"/>
      <c r="AC1260" s="31" t="n">
        <v>0</v>
      </c>
      <c r="AD1260" s="2" t="n">
        <v>0</v>
      </c>
      <c r="AE1260" s="2" t="n">
        <v>10</v>
      </c>
      <c r="AF1260" s="4" t="n">
        <v>10</v>
      </c>
      <c r="AG1260" s="33" t="n">
        <v>0</v>
      </c>
      <c r="AH1260" s="4" t="n">
        <v>0</v>
      </c>
      <c r="AI1260" s="34" t="n"/>
      <c r="AJ1260" s="34" t="n">
        <v>0</v>
      </c>
      <c r="AK1260" s="2" t="n">
        <v>0</v>
      </c>
      <c r="AL1260" t="inlineStr">
        <is>
          <t>Published</t>
        </is>
      </c>
    </row>
    <row r="1261">
      <c r="A1261">
        <f>HYPERLINK("https://www.walmart.com/ip/5348029365", "5348029365")</f>
        <v/>
      </c>
      <c r="B1261">
        <f>HYPERLINK("https://app.optiwise.ai/catalog/itemdetails/7957109", "Outdoor Wide Brim Sun Hats Blocking UV Protection Cap UPF 50+ Foldable Mesh Net for Finishing, Hiking, Camping by Solari")</f>
        <v/>
      </c>
      <c r="C1261" t="inlineStr">
        <is>
          <t>1SLSH912CAMO-C</t>
        </is>
      </c>
      <c r="D1261" t="inlineStr">
        <is>
          <t>Clothing</t>
        </is>
      </c>
      <c r="E1261" t="inlineStr">
        <is>
          <t>Hats</t>
        </is>
      </c>
      <c r="F1261" t="inlineStr">
        <is>
          <t>Solaris</t>
        </is>
      </c>
      <c r="G1261" t="n">
        <v>0</v>
      </c>
      <c r="H1261" t="n">
        <v>0</v>
      </c>
      <c r="J1261" s="29" t="n">
        <v>0</v>
      </c>
      <c r="K1261" s="30" t="n"/>
      <c r="L1261" s="29" t="n">
        <v>0</v>
      </c>
      <c r="M1261" s="29" t="n">
        <v>0</v>
      </c>
      <c r="N1261" s="2" t="n">
        <v>0</v>
      </c>
      <c r="O1261" s="31" t="n">
        <v>0</v>
      </c>
      <c r="P1261" s="32" t="n"/>
      <c r="Q1261" s="32" t="n">
        <v>0</v>
      </c>
      <c r="R1261" s="32" t="n">
        <v>0</v>
      </c>
      <c r="S1261" s="31" t="n">
        <v>0</v>
      </c>
      <c r="T1261" s="32" t="n">
        <v>0</v>
      </c>
      <c r="U1261" s="31" t="n">
        <v>0</v>
      </c>
      <c r="V1261" s="31" t="n">
        <v>0</v>
      </c>
      <c r="W1261" s="3" t="n">
        <v>0</v>
      </c>
      <c r="X1261" s="3" t="n">
        <v>0</v>
      </c>
      <c r="Y1261" s="32" t="n">
        <v>0</v>
      </c>
      <c r="Z1261" s="3" t="n">
        <v>0</v>
      </c>
      <c r="AA1261" s="32" t="n">
        <v>0</v>
      </c>
      <c r="AB1261" s="3" t="n"/>
      <c r="AC1261" s="31" t="n">
        <v>0</v>
      </c>
      <c r="AD1261" s="2" t="n">
        <v>0</v>
      </c>
      <c r="AE1261" s="2" t="n">
        <v>12</v>
      </c>
      <c r="AF1261" s="4" t="n">
        <v>12</v>
      </c>
      <c r="AG1261" s="33" t="n">
        <v>0</v>
      </c>
      <c r="AH1261" s="4" t="n">
        <v>0</v>
      </c>
      <c r="AI1261" s="34" t="n"/>
      <c r="AJ1261" s="34" t="n">
        <v>0</v>
      </c>
      <c r="AK1261" s="2" t="n">
        <v>0</v>
      </c>
      <c r="AL1261" t="inlineStr">
        <is>
          <t>Published</t>
        </is>
      </c>
    </row>
    <row r="1262">
      <c r="A1262">
        <f>HYPERLINK("https://www.walmart.com/ip/5466618061", "5466618061")</f>
        <v/>
      </c>
      <c r="B1262">
        <f>HYPERLINK("https://app.optiwise.ai/catalog/itemdetails/7954394", "Tirrinia UV Protection Outdoor Hat Unisex Foldable Neck Flap Mesh Nets with Adjustable Drawstring")</f>
        <v/>
      </c>
      <c r="C1262" t="inlineStr">
        <is>
          <t>1TRSH923CAMO-C</t>
        </is>
      </c>
      <c r="D1262" t="inlineStr">
        <is>
          <t>Clothing</t>
        </is>
      </c>
      <c r="E1262" t="inlineStr">
        <is>
          <t>Hats</t>
        </is>
      </c>
      <c r="F1262" t="inlineStr">
        <is>
          <t>Tirrinia</t>
        </is>
      </c>
      <c r="G1262" t="n">
        <v>0</v>
      </c>
      <c r="H1262" t="n">
        <v>0</v>
      </c>
      <c r="J1262" s="29" t="n">
        <v>0</v>
      </c>
      <c r="K1262" s="30" t="n"/>
      <c r="L1262" s="29" t="n">
        <v>0</v>
      </c>
      <c r="M1262" s="29" t="n">
        <v>0</v>
      </c>
      <c r="N1262" s="2" t="n">
        <v>0</v>
      </c>
      <c r="O1262" s="31" t="n">
        <v>0</v>
      </c>
      <c r="P1262" s="32" t="n"/>
      <c r="Q1262" s="32" t="n">
        <v>0</v>
      </c>
      <c r="R1262" s="32" t="n">
        <v>0</v>
      </c>
      <c r="S1262" s="31" t="n">
        <v>0</v>
      </c>
      <c r="T1262" s="32" t="n">
        <v>0</v>
      </c>
      <c r="U1262" s="31" t="n">
        <v>0</v>
      </c>
      <c r="V1262" s="31" t="n">
        <v>0</v>
      </c>
      <c r="W1262" s="3" t="n">
        <v>0</v>
      </c>
      <c r="X1262" s="3" t="n">
        <v>0</v>
      </c>
      <c r="Y1262" s="32" t="n">
        <v>0</v>
      </c>
      <c r="Z1262" s="3" t="n">
        <v>0</v>
      </c>
      <c r="AA1262" s="32" t="n">
        <v>0</v>
      </c>
      <c r="AB1262" s="3" t="n"/>
      <c r="AC1262" s="31" t="n">
        <v>0</v>
      </c>
      <c r="AD1262" s="2" t="n">
        <v>0</v>
      </c>
      <c r="AE1262" s="2" t="n">
        <v>1</v>
      </c>
      <c r="AF1262" s="4" t="n">
        <v>1</v>
      </c>
      <c r="AG1262" s="33" t="n">
        <v>0</v>
      </c>
      <c r="AH1262" s="4" t="n">
        <v>0</v>
      </c>
      <c r="AI1262" s="34" t="n"/>
      <c r="AJ1262" s="34" t="n">
        <v>0</v>
      </c>
      <c r="AK1262" s="2" t="n">
        <v>0</v>
      </c>
      <c r="AL1262" t="inlineStr">
        <is>
          <t>Published</t>
        </is>
      </c>
    </row>
    <row r="1263">
      <c r="A1263">
        <f>HYPERLINK("https://www.walmart.com/ip/5440208933", "5440208933")</f>
        <v/>
      </c>
      <c r="B1263">
        <f>HYPERLINK("https://app.optiwise.ai/catalog/itemdetails/7947828", "Solaris Unisex Large Bill Flap Sun Hat Camping Hiking Hunting Fishing Cap")</f>
        <v/>
      </c>
      <c r="C1263" t="inlineStr">
        <is>
          <t>1SLSH911DIGIGN</t>
        </is>
      </c>
      <c r="D1263" t="inlineStr">
        <is>
          <t>Clothing</t>
        </is>
      </c>
      <c r="E1263" t="inlineStr">
        <is>
          <t>Hats</t>
        </is>
      </c>
      <c r="F1263" t="inlineStr">
        <is>
          <t>Solaris</t>
        </is>
      </c>
      <c r="G1263" t="n">
        <v>0</v>
      </c>
      <c r="H1263" t="n">
        <v>0</v>
      </c>
      <c r="J1263" s="29" t="n">
        <v>0</v>
      </c>
      <c r="K1263" s="30" t="n"/>
      <c r="L1263" s="29" t="n">
        <v>0</v>
      </c>
      <c r="M1263" s="29" t="n">
        <v>0</v>
      </c>
      <c r="N1263" s="2" t="n">
        <v>0</v>
      </c>
      <c r="O1263" s="31" t="n">
        <v>0</v>
      </c>
      <c r="P1263" s="32" t="n"/>
      <c r="Q1263" s="32" t="n">
        <v>0</v>
      </c>
      <c r="R1263" s="32" t="n">
        <v>0</v>
      </c>
      <c r="S1263" s="31" t="n">
        <v>0</v>
      </c>
      <c r="T1263" s="32" t="n">
        <v>0</v>
      </c>
      <c r="U1263" s="31" t="n">
        <v>0</v>
      </c>
      <c r="V1263" s="31" t="n">
        <v>0</v>
      </c>
      <c r="W1263" s="3" t="n">
        <v>0</v>
      </c>
      <c r="X1263" s="3" t="n">
        <v>0</v>
      </c>
      <c r="Y1263" s="32" t="n">
        <v>0</v>
      </c>
      <c r="Z1263" s="3" t="n">
        <v>0</v>
      </c>
      <c r="AA1263" s="32" t="n">
        <v>0</v>
      </c>
      <c r="AB1263" s="3" t="n"/>
      <c r="AC1263" s="31" t="n">
        <v>0</v>
      </c>
      <c r="AD1263" s="2" t="n">
        <v>0</v>
      </c>
      <c r="AE1263" s="2" t="n">
        <v>17</v>
      </c>
      <c r="AF1263" s="4" t="n">
        <v>17</v>
      </c>
      <c r="AG1263" s="33" t="n">
        <v>0</v>
      </c>
      <c r="AH1263" s="4" t="n">
        <v>0</v>
      </c>
      <c r="AI1263" s="34" t="n"/>
      <c r="AJ1263" s="34" t="n">
        <v>0</v>
      </c>
      <c r="AK1263" s="2" t="n">
        <v>0</v>
      </c>
      <c r="AL1263" t="inlineStr">
        <is>
          <t>Published</t>
        </is>
      </c>
    </row>
    <row r="1264">
      <c r="A1264">
        <f>HYPERLINK("https://www.walmart.com/ip/5337657455", "5337657455")</f>
        <v/>
      </c>
      <c r="B1264">
        <f>HYPERLINK("https://app.optiwise.ai/catalog/itemdetails/7797667", "Tirrinia 4-in-1 Travel Blanket Luxurious Premium Micro Fleece Lightweight 40” x 60” Pink")</f>
        <v/>
      </c>
      <c r="C1264" t="inlineStr">
        <is>
          <t>1TRTB100FP</t>
        </is>
      </c>
      <c r="D1264" t="inlineStr">
        <is>
          <t>Home Decor, Kitchen, &amp; Other</t>
        </is>
      </c>
      <c r="E1264" t="inlineStr">
        <is>
          <t>Throws</t>
        </is>
      </c>
      <c r="F1264" t="inlineStr">
        <is>
          <t>Tirrinia</t>
        </is>
      </c>
      <c r="G1264" t="n">
        <v>0</v>
      </c>
      <c r="H1264" t="n">
        <v>0</v>
      </c>
      <c r="J1264" s="29" t="n">
        <v>0</v>
      </c>
      <c r="K1264" s="30" t="n"/>
      <c r="L1264" s="29" t="n">
        <v>0</v>
      </c>
      <c r="M1264" s="29" t="n">
        <v>0</v>
      </c>
      <c r="N1264" s="2" t="n">
        <v>0</v>
      </c>
      <c r="O1264" s="31" t="n">
        <v>0</v>
      </c>
      <c r="P1264" s="32" t="n"/>
      <c r="Q1264" s="32" t="n">
        <v>0</v>
      </c>
      <c r="R1264" s="32" t="n">
        <v>0</v>
      </c>
      <c r="S1264" s="31" t="n">
        <v>0</v>
      </c>
      <c r="T1264" s="32" t="n">
        <v>0</v>
      </c>
      <c r="U1264" s="31" t="n">
        <v>0</v>
      </c>
      <c r="V1264" s="31" t="n">
        <v>0</v>
      </c>
      <c r="W1264" s="3" t="n">
        <v>0</v>
      </c>
      <c r="X1264" s="3" t="n">
        <v>0</v>
      </c>
      <c r="Y1264" s="32" t="n">
        <v>0</v>
      </c>
      <c r="Z1264" s="3" t="n">
        <v>0</v>
      </c>
      <c r="AA1264" s="32" t="n">
        <v>0</v>
      </c>
      <c r="AB1264" s="3" t="n"/>
      <c r="AC1264" s="31" t="n">
        <v>0</v>
      </c>
      <c r="AD1264" s="2" t="n">
        <v>0</v>
      </c>
      <c r="AE1264" s="2" t="n">
        <v>19</v>
      </c>
      <c r="AF1264" s="4" t="n">
        <v>19</v>
      </c>
      <c r="AG1264" s="33" t="n">
        <v>0</v>
      </c>
      <c r="AH1264" s="4" t="n">
        <v>0</v>
      </c>
      <c r="AI1264" s="34" t="n"/>
      <c r="AJ1264" s="34" t="n">
        <v>0</v>
      </c>
      <c r="AK1264" s="2" t="n">
        <v>0</v>
      </c>
      <c r="AL1264" t="inlineStr">
        <is>
          <t>Published</t>
        </is>
      </c>
    </row>
    <row r="1265">
      <c r="A1265">
        <f>HYPERLINK("https://www.walmart.com/ip/5276966448", "5276966448")</f>
        <v/>
      </c>
      <c r="B1265">
        <f>HYPERLINK("https://app.optiwise.ai/catalog/itemdetails/7776014", "Tirrinia Single Wine Cooler Bags - Insulated &amp; Padded Portable Wine Tote Carrier for Travel, BYOB Restaurant, Wine Tasting, Party, Great Christmas Gift for Wine Lover, Rainbow")</f>
        <v/>
      </c>
      <c r="C1265" t="inlineStr">
        <is>
          <t>1TRWB101RAINBOW</t>
        </is>
      </c>
      <c r="D1265" t="inlineStr">
        <is>
          <t>Home Decor, Kitchen, &amp; Other</t>
        </is>
      </c>
      <c r="E1265" t="inlineStr">
        <is>
          <t>Wine Totes, Bags &amp; Backpacks</t>
        </is>
      </c>
      <c r="F1265" t="inlineStr">
        <is>
          <t>Tirrinia</t>
        </is>
      </c>
      <c r="G1265" t="n">
        <v>0</v>
      </c>
      <c r="H1265" t="n">
        <v>0</v>
      </c>
      <c r="J1265" s="29" t="n">
        <v>0</v>
      </c>
      <c r="K1265" s="30" t="n"/>
      <c r="L1265" s="29" t="n">
        <v>0</v>
      </c>
      <c r="M1265" s="29" t="n">
        <v>0</v>
      </c>
      <c r="N1265" s="2" t="n">
        <v>0</v>
      </c>
      <c r="O1265" s="31" t="n">
        <v>0</v>
      </c>
      <c r="P1265" s="32" t="n"/>
      <c r="Q1265" s="32" t="n">
        <v>0</v>
      </c>
      <c r="R1265" s="32" t="n">
        <v>0</v>
      </c>
      <c r="S1265" s="31" t="n">
        <v>0</v>
      </c>
      <c r="T1265" s="32" t="n">
        <v>0</v>
      </c>
      <c r="U1265" s="31" t="n">
        <v>0</v>
      </c>
      <c r="V1265" s="31" t="n">
        <v>0</v>
      </c>
      <c r="W1265" s="3" t="n">
        <v>0</v>
      </c>
      <c r="X1265" s="3" t="n">
        <v>0</v>
      </c>
      <c r="Y1265" s="32" t="n">
        <v>0</v>
      </c>
      <c r="Z1265" s="3" t="n">
        <v>0</v>
      </c>
      <c r="AA1265" s="32" t="n">
        <v>0</v>
      </c>
      <c r="AB1265" s="3" t="n"/>
      <c r="AC1265" s="31" t="n">
        <v>0</v>
      </c>
      <c r="AD1265" s="2" t="n">
        <v>0</v>
      </c>
      <c r="AE1265" s="2" t="n">
        <v>14</v>
      </c>
      <c r="AF1265" s="4" t="n">
        <v>14</v>
      </c>
      <c r="AG1265" s="33" t="n">
        <v>0</v>
      </c>
      <c r="AH1265" s="4" t="n">
        <v>0</v>
      </c>
      <c r="AI1265" s="34" t="n"/>
      <c r="AJ1265" s="34" t="n">
        <v>0</v>
      </c>
      <c r="AK1265" s="2" t="n">
        <v>0</v>
      </c>
      <c r="AL1265" t="inlineStr">
        <is>
          <t>Published</t>
        </is>
      </c>
    </row>
    <row r="1266">
      <c r="A1266">
        <f>HYPERLINK("https://www.walmart.com/ip/5215743269", "5215743269")</f>
        <v/>
      </c>
      <c r="B1266">
        <f>HYPERLINK("https://app.optiwise.ai/catalog/itemdetails/7776011", "Tirrinia 2 Bottle Wine Tote Carrier, Leakproof, Insulated and Padded Versatile Cooler Bag for Travel, BYOB Restaurant, Wine Tasting, Party, Wine Gifts Bag, Cork")</f>
        <v/>
      </c>
      <c r="C1266" t="inlineStr">
        <is>
          <t>1TRWB220CORK</t>
        </is>
      </c>
      <c r="D1266" t="inlineStr">
        <is>
          <t>Home Decor, Kitchen, &amp; Other</t>
        </is>
      </c>
      <c r="E1266" t="inlineStr">
        <is>
          <t>Wine Totes, Bags &amp; Backpacks</t>
        </is>
      </c>
      <c r="F1266" t="inlineStr">
        <is>
          <t>Tirrinia</t>
        </is>
      </c>
      <c r="G1266" t="n">
        <v>0</v>
      </c>
      <c r="H1266" t="n">
        <v>0</v>
      </c>
      <c r="J1266" s="29" t="n">
        <v>0</v>
      </c>
      <c r="K1266" s="30" t="n"/>
      <c r="L1266" s="29" t="n">
        <v>0</v>
      </c>
      <c r="M1266" s="29" t="n">
        <v>0</v>
      </c>
      <c r="N1266" s="2" t="n">
        <v>0</v>
      </c>
      <c r="O1266" s="31" t="n">
        <v>0</v>
      </c>
      <c r="P1266" s="32" t="n"/>
      <c r="Q1266" s="32" t="n">
        <v>0</v>
      </c>
      <c r="R1266" s="32" t="n">
        <v>0</v>
      </c>
      <c r="S1266" s="31" t="n">
        <v>0</v>
      </c>
      <c r="T1266" s="32" t="n">
        <v>0</v>
      </c>
      <c r="U1266" s="31" t="n">
        <v>0</v>
      </c>
      <c r="V1266" s="31" t="n">
        <v>0</v>
      </c>
      <c r="W1266" s="3" t="n">
        <v>0</v>
      </c>
      <c r="X1266" s="3" t="n">
        <v>0</v>
      </c>
      <c r="Y1266" s="32" t="n">
        <v>0</v>
      </c>
      <c r="Z1266" s="3" t="n">
        <v>0</v>
      </c>
      <c r="AA1266" s="32" t="n">
        <v>0</v>
      </c>
      <c r="AB1266" s="3" t="n"/>
      <c r="AC1266" s="31" t="n">
        <v>0</v>
      </c>
      <c r="AD1266" s="2" t="n">
        <v>0</v>
      </c>
      <c r="AE1266" s="2" t="n">
        <v>48</v>
      </c>
      <c r="AF1266" s="4" t="n">
        <v>48</v>
      </c>
      <c r="AG1266" s="33" t="n">
        <v>0</v>
      </c>
      <c r="AH1266" s="4" t="n">
        <v>0</v>
      </c>
      <c r="AI1266" s="34" t="n"/>
      <c r="AJ1266" s="34" t="n">
        <v>0</v>
      </c>
      <c r="AK1266" s="2" t="n">
        <v>0</v>
      </c>
      <c r="AL1266" t="inlineStr">
        <is>
          <t>Published</t>
        </is>
      </c>
    </row>
    <row r="1267">
      <c r="A1267">
        <f>HYPERLINK("https://www.walmart.com/ip/5216276702", "5216276702")</f>
        <v/>
      </c>
      <c r="B1267">
        <f>HYPERLINK("https://app.optiwise.ai/catalog/itemdetails/7776010", "Tirrinia Large Insulated Cooler Bag - Outdoor Leakproof Grocery Cooling Carrier, 20 L Travel &amp; To-Go Food Containers, Wine Tote for Picnics, Camping, Parties")</f>
        <v/>
      </c>
      <c r="C1267" t="inlineStr">
        <is>
          <t>1TRCB10127BK</t>
        </is>
      </c>
      <c r="D1267" t="inlineStr">
        <is>
          <t>Home Decor, Kitchen, &amp; Other</t>
        </is>
      </c>
      <c r="E1267" t="inlineStr">
        <is>
          <t>Thermocoolers</t>
        </is>
      </c>
      <c r="F1267" t="inlineStr">
        <is>
          <t>Tirrinia</t>
        </is>
      </c>
      <c r="G1267" t="n">
        <v>0</v>
      </c>
      <c r="H1267" t="n">
        <v>0</v>
      </c>
      <c r="J1267" s="29" t="n">
        <v>0</v>
      </c>
      <c r="K1267" s="30" t="n"/>
      <c r="L1267" s="29" t="n">
        <v>0</v>
      </c>
      <c r="M1267" s="29" t="n">
        <v>0</v>
      </c>
      <c r="N1267" s="2" t="n">
        <v>0</v>
      </c>
      <c r="O1267" s="31" t="n">
        <v>0</v>
      </c>
      <c r="P1267" s="32" t="n"/>
      <c r="Q1267" s="32" t="n">
        <v>0</v>
      </c>
      <c r="R1267" s="32" t="n">
        <v>0</v>
      </c>
      <c r="S1267" s="31" t="n">
        <v>0</v>
      </c>
      <c r="T1267" s="32" t="n">
        <v>0</v>
      </c>
      <c r="U1267" s="31" t="n">
        <v>0</v>
      </c>
      <c r="V1267" s="31" t="n">
        <v>0</v>
      </c>
      <c r="W1267" s="3" t="n">
        <v>0</v>
      </c>
      <c r="X1267" s="3" t="n">
        <v>0</v>
      </c>
      <c r="Y1267" s="32" t="n">
        <v>0</v>
      </c>
      <c r="Z1267" s="3" t="n">
        <v>0</v>
      </c>
      <c r="AA1267" s="32" t="n">
        <v>0</v>
      </c>
      <c r="AB1267" s="3" t="n"/>
      <c r="AC1267" s="31" t="n">
        <v>0</v>
      </c>
      <c r="AD1267" s="2" t="n">
        <v>0</v>
      </c>
      <c r="AE1267" s="2" t="n">
        <v>22</v>
      </c>
      <c r="AF1267" s="4" t="n">
        <v>22</v>
      </c>
      <c r="AG1267" s="33" t="n">
        <v>0</v>
      </c>
      <c r="AH1267" s="4" t="n">
        <v>0</v>
      </c>
      <c r="AI1267" s="34" t="n"/>
      <c r="AJ1267" s="34" t="n">
        <v>0</v>
      </c>
      <c r="AK1267" s="2" t="n">
        <v>0</v>
      </c>
      <c r="AL1267" t="inlineStr">
        <is>
          <t>Published</t>
        </is>
      </c>
    </row>
    <row r="1268">
      <c r="A1268">
        <f>HYPERLINK("https://www.walmart.com/ip/5157833181", "5157833181")</f>
        <v/>
      </c>
      <c r="B1268">
        <f>HYPERLINK("https://app.optiwise.ai/catalog/itemdetails/7687635", "Tirrinia 2 Bottle Wine Gift Tote Carrier, Leakproof and Insulated with large pockets Wine Cooler Bag for Travel, Wine Tasting, Party, Dinner, Great Christmas Gift for Wine Lover, Beige")</f>
        <v/>
      </c>
      <c r="C1268" t="inlineStr">
        <is>
          <t>1TRWB222BG</t>
        </is>
      </c>
      <c r="D1268" t="inlineStr">
        <is>
          <t>Home Decor, Kitchen, &amp; Other</t>
        </is>
      </c>
      <c r="E1268" t="inlineStr">
        <is>
          <t>Wine Totes, Bags &amp; Backpacks</t>
        </is>
      </c>
      <c r="F1268" t="inlineStr">
        <is>
          <t>Tirrinia</t>
        </is>
      </c>
      <c r="G1268" t="n">
        <v>5</v>
      </c>
      <c r="H1268" t="n">
        <v>1</v>
      </c>
      <c r="J1268" s="29" t="n">
        <v>0</v>
      </c>
      <c r="K1268" s="30" t="n"/>
      <c r="L1268" s="29" t="n">
        <v>0</v>
      </c>
      <c r="M1268" s="29" t="n">
        <v>0</v>
      </c>
      <c r="N1268" s="2" t="n">
        <v>0</v>
      </c>
      <c r="O1268" s="31" t="n">
        <v>11.51</v>
      </c>
      <c r="P1268" s="32" t="n">
        <v>0.0014</v>
      </c>
      <c r="Q1268" s="32" t="n">
        <v>0</v>
      </c>
      <c r="R1268" s="32" t="n">
        <v>0.077</v>
      </c>
      <c r="S1268" s="31" t="n">
        <v>0</v>
      </c>
      <c r="T1268" s="32" t="n">
        <v>0</v>
      </c>
      <c r="U1268" s="31" t="n">
        <v>0</v>
      </c>
      <c r="V1268" s="31" t="n">
        <v>0</v>
      </c>
      <c r="W1268" s="3" t="n">
        <v>21553</v>
      </c>
      <c r="X1268" s="3" t="n">
        <v>23</v>
      </c>
      <c r="Y1268" s="32" t="n">
        <v>0.0011</v>
      </c>
      <c r="Z1268" s="3" t="n">
        <v>0</v>
      </c>
      <c r="AA1268" s="32" t="n">
        <v>0</v>
      </c>
      <c r="AB1268" s="3" t="inlineStr">
        <is>
          <t>All Items_Auto_Optiwise_24,Auto Campaign_Vinay</t>
        </is>
      </c>
      <c r="AC1268" s="31" t="n">
        <v>0.5</v>
      </c>
      <c r="AD1268" s="2" t="n">
        <v>0</v>
      </c>
      <c r="AE1268" s="2" t="n">
        <v>49</v>
      </c>
      <c r="AF1268" s="4" t="n">
        <v>26</v>
      </c>
      <c r="AG1268" s="33" t="n">
        <v>0</v>
      </c>
      <c r="AH1268" s="4" t="n">
        <v>0</v>
      </c>
      <c r="AI1268" s="34" t="n"/>
      <c r="AJ1268" s="34" t="n">
        <v>0</v>
      </c>
      <c r="AK1268" s="2" t="n">
        <v>0</v>
      </c>
      <c r="AL1268" t="inlineStr">
        <is>
          <t>Published</t>
        </is>
      </c>
    </row>
    <row r="1269">
      <c r="A1269">
        <f>HYPERLINK("https://www.walmart.com/ip/5185673782", "5185673782")</f>
        <v/>
      </c>
      <c r="B1269">
        <f>HYPERLINK("https://app.optiwise.ai/catalog/itemdetails/7686308", "Tirrinia 12pcs Wine Gift Bags, 4 Designs Silk Handles Recyclable Paper Wine Bottle Bags, Bags for Gifting, Parties, and Events")</f>
        <v/>
      </c>
      <c r="C1269" t="inlineStr">
        <is>
          <t>1TRWGB401BK-12</t>
        </is>
      </c>
      <c r="D1269" t="inlineStr">
        <is>
          <t>Home Decor, Kitchen, &amp; Other</t>
        </is>
      </c>
      <c r="E1269" t="inlineStr">
        <is>
          <t>Wine Totes, Bags &amp; Backpacks</t>
        </is>
      </c>
      <c r="F1269" t="inlineStr">
        <is>
          <t>Tirrinia</t>
        </is>
      </c>
      <c r="G1269" t="n">
        <v>0</v>
      </c>
      <c r="H1269" t="n">
        <v>0</v>
      </c>
      <c r="J1269" s="29" t="n">
        <v>0</v>
      </c>
      <c r="K1269" s="30" t="n"/>
      <c r="L1269" s="29" t="n">
        <v>0</v>
      </c>
      <c r="M1269" s="29" t="n">
        <v>0</v>
      </c>
      <c r="N1269" s="2" t="n">
        <v>0</v>
      </c>
      <c r="O1269" s="31" t="n">
        <v>0</v>
      </c>
      <c r="P1269" s="32" t="n"/>
      <c r="Q1269" s="32" t="n">
        <v>0</v>
      </c>
      <c r="R1269" s="32" t="n">
        <v>0</v>
      </c>
      <c r="S1269" s="31" t="n">
        <v>0</v>
      </c>
      <c r="T1269" s="32" t="n">
        <v>0</v>
      </c>
      <c r="U1269" s="31" t="n">
        <v>0</v>
      </c>
      <c r="V1269" s="31" t="n">
        <v>0</v>
      </c>
      <c r="W1269" s="3" t="n">
        <v>0</v>
      </c>
      <c r="X1269" s="3" t="n">
        <v>0</v>
      </c>
      <c r="Y1269" s="32" t="n">
        <v>0</v>
      </c>
      <c r="Z1269" s="3" t="n">
        <v>0</v>
      </c>
      <c r="AA1269" s="32" t="n">
        <v>0</v>
      </c>
      <c r="AB1269" s="3" t="n"/>
      <c r="AC1269" s="31" t="n">
        <v>0</v>
      </c>
      <c r="AD1269" s="2" t="n">
        <v>0</v>
      </c>
      <c r="AE1269" s="2" t="n">
        <v>18</v>
      </c>
      <c r="AF1269" s="4" t="n">
        <v>18</v>
      </c>
      <c r="AG1269" s="33" t="n">
        <v>0</v>
      </c>
      <c r="AH1269" s="4" t="n">
        <v>0</v>
      </c>
      <c r="AI1269" s="34" t="n"/>
      <c r="AJ1269" s="34" t="n">
        <v>0</v>
      </c>
      <c r="AK1269" s="2" t="n">
        <v>0</v>
      </c>
      <c r="AL1269" t="inlineStr">
        <is>
          <t>Published</t>
        </is>
      </c>
    </row>
    <row r="1270">
      <c r="A1270">
        <f>HYPERLINK("https://www.walmart.com/ip/5062686300", "5062686300")</f>
        <v/>
      </c>
      <c r="B1270">
        <f>HYPERLINK("https://app.optiwise.ai/catalog/itemdetails/7591721", "Catalonia Wearable Blanket with Sleeves and Pocket, Cozy Soft Fleece Micro Plush Wrap Adult Snuggie Blanket Robe for Women Men, Green Christmas Dwarf Pattern Makes a Great Gift for Holidays.")</f>
        <v/>
      </c>
      <c r="C1270" t="inlineStr">
        <is>
          <t>1CTSN100XMASDWARFGN</t>
        </is>
      </c>
      <c r="D1270" t="inlineStr">
        <is>
          <t>Bedding</t>
        </is>
      </c>
      <c r="E1270" t="inlineStr">
        <is>
          <t>Throws</t>
        </is>
      </c>
      <c r="F1270" t="inlineStr">
        <is>
          <t>Catalonia</t>
        </is>
      </c>
      <c r="G1270" t="n">
        <v>0</v>
      </c>
      <c r="H1270" t="n">
        <v>0</v>
      </c>
      <c r="J1270" s="29" t="n">
        <v>0</v>
      </c>
      <c r="K1270" s="30" t="n"/>
      <c r="L1270" s="29" t="n">
        <v>0</v>
      </c>
      <c r="M1270" s="29" t="n">
        <v>0</v>
      </c>
      <c r="N1270" s="2" t="n">
        <v>0</v>
      </c>
      <c r="O1270" s="31" t="n">
        <v>0</v>
      </c>
      <c r="P1270" s="32" t="n"/>
      <c r="Q1270" s="32" t="n">
        <v>0</v>
      </c>
      <c r="R1270" s="32" t="n">
        <v>0</v>
      </c>
      <c r="S1270" s="31" t="n">
        <v>0</v>
      </c>
      <c r="T1270" s="32" t="n">
        <v>0</v>
      </c>
      <c r="U1270" s="31" t="n">
        <v>0</v>
      </c>
      <c r="V1270" s="31" t="n">
        <v>0</v>
      </c>
      <c r="W1270" s="3" t="n">
        <v>0</v>
      </c>
      <c r="X1270" s="3" t="n">
        <v>0</v>
      </c>
      <c r="Y1270" s="32" t="n">
        <v>0</v>
      </c>
      <c r="Z1270" s="3" t="n">
        <v>0</v>
      </c>
      <c r="AA1270" s="32" t="n">
        <v>0</v>
      </c>
      <c r="AB1270" s="3" t="n"/>
      <c r="AC1270" s="31" t="n">
        <v>0</v>
      </c>
      <c r="AD1270" s="2" t="n">
        <v>22</v>
      </c>
      <c r="AE1270" s="2" t="n">
        <v>60</v>
      </c>
      <c r="AF1270" s="4" t="n">
        <v>60</v>
      </c>
      <c r="AG1270" s="33" t="n">
        <v>0</v>
      </c>
      <c r="AH1270" s="4" t="n">
        <v>0</v>
      </c>
      <c r="AI1270" s="34" t="n"/>
      <c r="AJ1270" s="34" t="n">
        <v>0</v>
      </c>
      <c r="AK1270" s="2" t="n">
        <v>0</v>
      </c>
      <c r="AL1270" t="inlineStr">
        <is>
          <t>Published</t>
        </is>
      </c>
    </row>
    <row r="1271">
      <c r="A1271">
        <f>HYPERLINK("https://www.walmart.com/ip/5133276632", "5133276632")</f>
        <v/>
      </c>
      <c r="B1271">
        <f>HYPERLINK("https://app.optiwise.ai/catalog/itemdetails/7669450", "Catalonia Plush Fleece Blanket Couch Throw Christmas Theme Shu Velveteen Lambswool Reversible Warm Super Soft 61” x 50“")</f>
        <v/>
      </c>
      <c r="C1271" t="inlineStr">
        <is>
          <t>1CTBF600PEPPIZ</t>
        </is>
      </c>
      <c r="D1271" t="inlineStr">
        <is>
          <t>Bedding</t>
        </is>
      </c>
      <c r="E1271" t="inlineStr">
        <is>
          <t>Throws</t>
        </is>
      </c>
      <c r="F1271" t="inlineStr">
        <is>
          <t>Catalonia</t>
        </is>
      </c>
      <c r="G1271" t="n">
        <v>0</v>
      </c>
      <c r="H1271" t="n">
        <v>0</v>
      </c>
      <c r="J1271" s="29" t="n">
        <v>0</v>
      </c>
      <c r="K1271" s="30" t="n"/>
      <c r="L1271" s="29" t="n">
        <v>0</v>
      </c>
      <c r="M1271" s="29" t="n">
        <v>0</v>
      </c>
      <c r="N1271" s="2" t="n">
        <v>0</v>
      </c>
      <c r="O1271" s="31" t="n">
        <v>0</v>
      </c>
      <c r="P1271" s="32" t="n"/>
      <c r="Q1271" s="32" t="n">
        <v>0</v>
      </c>
      <c r="R1271" s="32" t="n">
        <v>0.2909</v>
      </c>
      <c r="S1271" s="31" t="n">
        <v>0</v>
      </c>
      <c r="T1271" s="32" t="n">
        <v>0</v>
      </c>
      <c r="U1271" s="31" t="n">
        <v>0</v>
      </c>
      <c r="V1271" s="31" t="n">
        <v>0</v>
      </c>
      <c r="W1271" s="3" t="n">
        <v>0</v>
      </c>
      <c r="X1271" s="3" t="n">
        <v>0</v>
      </c>
      <c r="Y1271" s="32" t="n">
        <v>0</v>
      </c>
      <c r="Z1271" s="3" t="n">
        <v>0</v>
      </c>
      <c r="AA1271" s="32" t="n">
        <v>0</v>
      </c>
      <c r="AB1271" s="3" t="n"/>
      <c r="AC1271" s="31" t="n">
        <v>0</v>
      </c>
      <c r="AD1271" s="2" t="n">
        <v>0</v>
      </c>
      <c r="AE1271" s="2" t="n">
        <v>20</v>
      </c>
      <c r="AF1271" s="4" t="n">
        <v>20</v>
      </c>
      <c r="AG1271" s="33" t="n">
        <v>0</v>
      </c>
      <c r="AH1271" s="4" t="n">
        <v>0</v>
      </c>
      <c r="AI1271" s="34" t="n"/>
      <c r="AJ1271" s="34" t="n">
        <v>0</v>
      </c>
      <c r="AK1271" s="2" t="n">
        <v>0</v>
      </c>
      <c r="AL1271" t="inlineStr">
        <is>
          <t>Published</t>
        </is>
      </c>
    </row>
    <row r="1272">
      <c r="A1272">
        <f>HYPERLINK("https://www.walmart.com/ip/5122048897", "5122048897")</f>
        <v/>
      </c>
      <c r="B1272">
        <f>HYPERLINK("https://app.optiwise.ai/catalog/itemdetails/7623976", "Solaris Xmas Dwarf Print Sherpa Fleece Blanket, Super Soft Warm Cozy Flannel Reversible Throw Blanket for Couch Sofa Bed, Pink, 50 x 60")</f>
        <v/>
      </c>
      <c r="C1272" t="inlineStr">
        <is>
          <t>1SLBF300XMASDWARFPK</t>
        </is>
      </c>
      <c r="D1272" t="inlineStr">
        <is>
          <t>Bedding</t>
        </is>
      </c>
      <c r="E1272" t="inlineStr">
        <is>
          <t>Throws</t>
        </is>
      </c>
      <c r="F1272" t="inlineStr">
        <is>
          <t>Solaris</t>
        </is>
      </c>
      <c r="G1272" t="n">
        <v>0</v>
      </c>
      <c r="H1272" t="n">
        <v>0</v>
      </c>
      <c r="I1272" t="inlineStr">
        <is>
          <t>Q2-Target,Coupon_Discount</t>
        </is>
      </c>
      <c r="J1272" s="29" t="n">
        <v>0</v>
      </c>
      <c r="K1272" s="30" t="n"/>
      <c r="L1272" s="29" t="n">
        <v>0</v>
      </c>
      <c r="M1272" s="29" t="n">
        <v>0</v>
      </c>
      <c r="N1272" s="2" t="n">
        <v>0</v>
      </c>
      <c r="O1272" s="31" t="n">
        <v>0</v>
      </c>
      <c r="P1272" s="32" t="n"/>
      <c r="Q1272" s="32" t="n">
        <v>0</v>
      </c>
      <c r="R1272" s="32" t="n">
        <v>0</v>
      </c>
      <c r="S1272" s="31" t="n">
        <v>0</v>
      </c>
      <c r="T1272" s="32" t="n">
        <v>0</v>
      </c>
      <c r="U1272" s="31" t="n">
        <v>0</v>
      </c>
      <c r="V1272" s="31" t="n">
        <v>0</v>
      </c>
      <c r="W1272" s="3" t="n">
        <v>0</v>
      </c>
      <c r="X1272" s="3" t="n">
        <v>0</v>
      </c>
      <c r="Y1272" s="32" t="n">
        <v>0</v>
      </c>
      <c r="Z1272" s="3" t="n">
        <v>0</v>
      </c>
      <c r="AA1272" s="32" t="n">
        <v>0</v>
      </c>
      <c r="AB1272" s="3" t="n"/>
      <c r="AC1272" s="31" t="n">
        <v>0</v>
      </c>
      <c r="AD1272" s="2" t="n">
        <v>0</v>
      </c>
      <c r="AE1272" s="2" t="n">
        <v>5</v>
      </c>
      <c r="AF1272" s="4" t="n">
        <v>5</v>
      </c>
      <c r="AG1272" s="33" t="n">
        <v>0</v>
      </c>
      <c r="AH1272" s="4" t="n">
        <v>0</v>
      </c>
      <c r="AI1272" s="34" t="n"/>
      <c r="AJ1272" s="34" t="n">
        <v>0</v>
      </c>
      <c r="AK1272" s="2" t="n">
        <v>0</v>
      </c>
      <c r="AL1272" t="inlineStr">
        <is>
          <t>Published</t>
        </is>
      </c>
    </row>
    <row r="1273">
      <c r="A1273">
        <f>HYPERLINK("https://www.walmart.com/ip/5100707754", "5100707754")</f>
        <v/>
      </c>
      <c r="B1273">
        <f>HYPERLINK("https://app.optiwise.ai/catalog/itemdetails/7598629", "Tirrinia Women's Plush Soft Robe - Fluffy, Warm, and Fleece Sherpa Shaggy Bathrobe for Ultimate Comfort, Machine Washable, Large Size, Grey")</f>
        <v/>
      </c>
      <c r="C1273" t="inlineStr">
        <is>
          <t>1TRRB503GY-4</t>
        </is>
      </c>
      <c r="D1273" t="inlineStr">
        <is>
          <t>Clothing</t>
        </is>
      </c>
      <c r="E1273" t="inlineStr">
        <is>
          <t>Sleepwear Robes &amp; Bathrobes</t>
        </is>
      </c>
      <c r="F1273" t="inlineStr">
        <is>
          <t>Tirrinia</t>
        </is>
      </c>
      <c r="G1273" t="n">
        <v>0</v>
      </c>
      <c r="H1273" t="n">
        <v>0</v>
      </c>
      <c r="I1273" t="inlineStr">
        <is>
          <t>Bathrobe,Coupon_Discount</t>
        </is>
      </c>
      <c r="J1273" s="29" t="n">
        <v>0</v>
      </c>
      <c r="K1273" s="30" t="n"/>
      <c r="L1273" s="29" t="n">
        <v>0</v>
      </c>
      <c r="M1273" s="29" t="n">
        <v>0</v>
      </c>
      <c r="N1273" s="2" t="n">
        <v>0</v>
      </c>
      <c r="O1273" s="31" t="n">
        <v>0</v>
      </c>
      <c r="P1273" s="32" t="n"/>
      <c r="Q1273" s="32" t="n">
        <v>0</v>
      </c>
      <c r="R1273" s="32" t="n">
        <v>0</v>
      </c>
      <c r="S1273" s="31" t="n">
        <v>0</v>
      </c>
      <c r="T1273" s="32" t="n">
        <v>0</v>
      </c>
      <c r="U1273" s="31" t="n">
        <v>0</v>
      </c>
      <c r="V1273" s="31" t="n">
        <v>0</v>
      </c>
      <c r="W1273" s="3" t="n">
        <v>0</v>
      </c>
      <c r="X1273" s="3" t="n">
        <v>0</v>
      </c>
      <c r="Y1273" s="32" t="n">
        <v>0</v>
      </c>
      <c r="Z1273" s="3" t="n">
        <v>0</v>
      </c>
      <c r="AA1273" s="32" t="n">
        <v>0</v>
      </c>
      <c r="AB1273" s="3" t="n"/>
      <c r="AC1273" s="31" t="n">
        <v>0</v>
      </c>
      <c r="AD1273" s="2" t="n">
        <v>0</v>
      </c>
      <c r="AE1273" s="2" t="n">
        <v>19</v>
      </c>
      <c r="AF1273" s="4" t="n">
        <v>19</v>
      </c>
      <c r="AG1273" s="33" t="n">
        <v>0</v>
      </c>
      <c r="AH1273" s="4" t="n">
        <v>0</v>
      </c>
      <c r="AI1273" s="34" t="n"/>
      <c r="AJ1273" s="34" t="n">
        <v>0</v>
      </c>
      <c r="AK1273" s="2" t="n">
        <v>0</v>
      </c>
      <c r="AL1273" t="inlineStr">
        <is>
          <t>Published</t>
        </is>
      </c>
    </row>
    <row r="1274">
      <c r="A1274">
        <f>HYPERLINK("https://www.walmart.com/ip/5076325720", "5076325720")</f>
        <v/>
      </c>
      <c r="B1274">
        <f>HYPERLINK("https://app.optiwise.ai/catalog/itemdetails/7598625", "Tirrinia Women's Plush Soft Robe - Fluffy, Warm, and Fleece Sherpa Shaggy Bathrobe for Ultimate Comfort, Machine Washable, Large Size, Pink")</f>
        <v/>
      </c>
      <c r="C1274" t="inlineStr">
        <is>
          <t>1TRRB503PK-4</t>
        </is>
      </c>
      <c r="D1274" t="inlineStr">
        <is>
          <t>Clothing</t>
        </is>
      </c>
      <c r="E1274" t="inlineStr">
        <is>
          <t>Sleepwear Robes &amp; Bathrobes</t>
        </is>
      </c>
      <c r="F1274" t="inlineStr">
        <is>
          <t>Tirrinia</t>
        </is>
      </c>
      <c r="G1274" t="n">
        <v>0</v>
      </c>
      <c r="H1274" t="n">
        <v>0</v>
      </c>
      <c r="I1274" t="inlineStr">
        <is>
          <t>Bathrobe,Coupon_Discount</t>
        </is>
      </c>
      <c r="J1274" s="29" t="n">
        <v>0</v>
      </c>
      <c r="K1274" s="30" t="n"/>
      <c r="L1274" s="29" t="n">
        <v>0</v>
      </c>
      <c r="M1274" s="29" t="n">
        <v>0</v>
      </c>
      <c r="N1274" s="2" t="n">
        <v>0</v>
      </c>
      <c r="O1274" s="31" t="n">
        <v>0</v>
      </c>
      <c r="P1274" s="32" t="n"/>
      <c r="Q1274" s="32" t="n">
        <v>0</v>
      </c>
      <c r="R1274" s="32" t="n">
        <v>0</v>
      </c>
      <c r="S1274" s="31" t="n">
        <v>0</v>
      </c>
      <c r="T1274" s="32" t="n">
        <v>0</v>
      </c>
      <c r="U1274" s="31" t="n">
        <v>0</v>
      </c>
      <c r="V1274" s="31" t="n">
        <v>0</v>
      </c>
      <c r="W1274" s="3" t="n">
        <v>0</v>
      </c>
      <c r="X1274" s="3" t="n">
        <v>0</v>
      </c>
      <c r="Y1274" s="32" t="n">
        <v>0</v>
      </c>
      <c r="Z1274" s="3" t="n">
        <v>0</v>
      </c>
      <c r="AA1274" s="32" t="n">
        <v>0</v>
      </c>
      <c r="AB1274" s="3" t="n"/>
      <c r="AC1274" s="31" t="n">
        <v>0</v>
      </c>
      <c r="AD1274" s="2" t="n">
        <v>0</v>
      </c>
      <c r="AE1274" s="2" t="n">
        <v>19</v>
      </c>
      <c r="AF1274" s="4" t="n">
        <v>19</v>
      </c>
      <c r="AG1274" s="33" t="n">
        <v>0</v>
      </c>
      <c r="AH1274" s="4" t="n">
        <v>0</v>
      </c>
      <c r="AI1274" s="34" t="n"/>
      <c r="AJ1274" s="34" t="n">
        <v>0</v>
      </c>
      <c r="AK1274" s="2" t="n">
        <v>0</v>
      </c>
      <c r="AL1274" t="inlineStr">
        <is>
          <t>Published</t>
        </is>
      </c>
    </row>
    <row r="1275">
      <c r="A1275">
        <f>HYPERLINK("https://www.walmart.com/ip/5076079810", "5076079810")</f>
        <v/>
      </c>
      <c r="B1275">
        <f>HYPERLINK("https://app.optiwise.ai/catalog/itemdetails/7598624", "Tirrinia Women's Plush Soft Robe - Fluffy, Warm, and Fleece Sherpa Shaggy Bathrobe for Ultimate Comfort, Machine Washable, Medium Size, Grey")</f>
        <v/>
      </c>
      <c r="C1275" t="inlineStr">
        <is>
          <t>1TRRB503GY-2</t>
        </is>
      </c>
      <c r="D1275" t="inlineStr">
        <is>
          <t>Clothing</t>
        </is>
      </c>
      <c r="E1275" t="inlineStr">
        <is>
          <t>Sleepwear Robes &amp; Bathrobes</t>
        </is>
      </c>
      <c r="F1275" t="inlineStr">
        <is>
          <t>Tirrinia</t>
        </is>
      </c>
      <c r="G1275" t="n">
        <v>0</v>
      </c>
      <c r="H1275" t="n">
        <v>0</v>
      </c>
      <c r="I1275" t="inlineStr">
        <is>
          <t>Bathrobe,Coupon_Discount</t>
        </is>
      </c>
      <c r="J1275" s="29" t="n">
        <v>0</v>
      </c>
      <c r="K1275" s="30" t="n"/>
      <c r="L1275" s="29" t="n">
        <v>0</v>
      </c>
      <c r="M1275" s="29" t="n">
        <v>0</v>
      </c>
      <c r="N1275" s="2" t="n">
        <v>0</v>
      </c>
      <c r="O1275" s="31" t="n">
        <v>0</v>
      </c>
      <c r="P1275" s="32" t="n"/>
      <c r="Q1275" s="32" t="n">
        <v>0</v>
      </c>
      <c r="R1275" s="32" t="n">
        <v>0</v>
      </c>
      <c r="S1275" s="31" t="n">
        <v>0</v>
      </c>
      <c r="T1275" s="32" t="n">
        <v>0</v>
      </c>
      <c r="U1275" s="31" t="n">
        <v>0</v>
      </c>
      <c r="V1275" s="31" t="n">
        <v>0</v>
      </c>
      <c r="W1275" s="3" t="n">
        <v>0</v>
      </c>
      <c r="X1275" s="3" t="n">
        <v>0</v>
      </c>
      <c r="Y1275" s="32" t="n">
        <v>0</v>
      </c>
      <c r="Z1275" s="3" t="n">
        <v>0</v>
      </c>
      <c r="AA1275" s="32" t="n">
        <v>0</v>
      </c>
      <c r="AB1275" s="3" t="n"/>
      <c r="AC1275" s="31" t="n">
        <v>0</v>
      </c>
      <c r="AD1275" s="2" t="n">
        <v>0</v>
      </c>
      <c r="AE1275" s="2" t="n">
        <v>29</v>
      </c>
      <c r="AF1275" s="4" t="n">
        <v>29</v>
      </c>
      <c r="AG1275" s="33" t="n">
        <v>0</v>
      </c>
      <c r="AH1275" s="4" t="n">
        <v>0</v>
      </c>
      <c r="AI1275" s="34" t="n"/>
      <c r="AJ1275" s="34" t="n">
        <v>0</v>
      </c>
      <c r="AK1275" s="2" t="n">
        <v>0</v>
      </c>
      <c r="AL1275" t="inlineStr">
        <is>
          <t>Published</t>
        </is>
      </c>
    </row>
    <row r="1276">
      <c r="A1276">
        <f>HYPERLINK("https://www.walmart.com/ip/5100973684", "5100973684")</f>
        <v/>
      </c>
      <c r="B1276">
        <f>HYPERLINK("https://app.optiwise.ai/catalog/itemdetails/7598622", "Tirrinia Women's Plush Soft Robe, Fluffy, Warm, and Fleece Sherpa Shaggy Bathrobe for Ultimate Comfort, Machine Washable, Large Size, Purple")</f>
        <v/>
      </c>
      <c r="C1276" t="inlineStr">
        <is>
          <t>1TRRB503PP-4</t>
        </is>
      </c>
      <c r="D1276" t="inlineStr">
        <is>
          <t>Clothing</t>
        </is>
      </c>
      <c r="E1276" t="inlineStr">
        <is>
          <t>Sleepwear Robes &amp; Bathrobes</t>
        </is>
      </c>
      <c r="F1276" t="inlineStr">
        <is>
          <t>Tirrinia</t>
        </is>
      </c>
      <c r="G1276" t="n">
        <v>0</v>
      </c>
      <c r="H1276" t="n">
        <v>0</v>
      </c>
      <c r="I1276" t="inlineStr">
        <is>
          <t>Bathrobe,Coupon_Discount</t>
        </is>
      </c>
      <c r="J1276" s="29" t="n">
        <v>0</v>
      </c>
      <c r="K1276" s="30" t="n"/>
      <c r="L1276" s="29" t="n">
        <v>0</v>
      </c>
      <c r="M1276" s="29" t="n">
        <v>0</v>
      </c>
      <c r="N1276" s="2" t="n">
        <v>0</v>
      </c>
      <c r="O1276" s="31" t="n">
        <v>0</v>
      </c>
      <c r="P1276" s="32" t="n"/>
      <c r="Q1276" s="32" t="n">
        <v>0</v>
      </c>
      <c r="R1276" s="32" t="n">
        <v>0</v>
      </c>
      <c r="S1276" s="31" t="n">
        <v>0</v>
      </c>
      <c r="T1276" s="32" t="n">
        <v>0</v>
      </c>
      <c r="U1276" s="31" t="n">
        <v>0</v>
      </c>
      <c r="V1276" s="31" t="n">
        <v>0</v>
      </c>
      <c r="W1276" s="3" t="n">
        <v>0</v>
      </c>
      <c r="X1276" s="3" t="n">
        <v>0</v>
      </c>
      <c r="Y1276" s="32" t="n">
        <v>0</v>
      </c>
      <c r="Z1276" s="3" t="n">
        <v>0</v>
      </c>
      <c r="AA1276" s="32" t="n">
        <v>0</v>
      </c>
      <c r="AB1276" s="3" t="n"/>
      <c r="AC1276" s="31" t="n">
        <v>0</v>
      </c>
      <c r="AD1276" s="2" t="n">
        <v>0</v>
      </c>
      <c r="AE1276" s="2" t="n">
        <v>16</v>
      </c>
      <c r="AF1276" s="4" t="n">
        <v>16</v>
      </c>
      <c r="AG1276" s="33" t="n">
        <v>0</v>
      </c>
      <c r="AH1276" s="4" t="n">
        <v>0</v>
      </c>
      <c r="AI1276" s="34" t="n"/>
      <c r="AJ1276" s="34" t="n">
        <v>0</v>
      </c>
      <c r="AK1276" s="2" t="n">
        <v>0</v>
      </c>
      <c r="AL1276" t="inlineStr">
        <is>
          <t>Published</t>
        </is>
      </c>
    </row>
    <row r="1277">
      <c r="A1277">
        <f>HYPERLINK("https://www.walmart.com/ip/5076439930", "5076439930")</f>
        <v/>
      </c>
      <c r="B1277">
        <f>HYPERLINK("https://app.optiwise.ai/catalog/itemdetails/7598619", "Tirrinia Women's Plush Soft Robe, Fluffy, Warm, and Fleece Sherpa Shaggy Bathrobe for Ultimate Comfort, Machine Washable, Medium Size, Pink")</f>
        <v/>
      </c>
      <c r="C1277" t="inlineStr">
        <is>
          <t>1TRRB503PK-2</t>
        </is>
      </c>
      <c r="D1277" t="inlineStr">
        <is>
          <t>Clothing</t>
        </is>
      </c>
      <c r="E1277" t="inlineStr">
        <is>
          <t>Sleepwear Robes &amp; Bathrobes</t>
        </is>
      </c>
      <c r="F1277" t="inlineStr">
        <is>
          <t>Tirrinia</t>
        </is>
      </c>
      <c r="G1277" t="n">
        <v>0</v>
      </c>
      <c r="H1277" t="n">
        <v>0</v>
      </c>
      <c r="I1277" t="inlineStr">
        <is>
          <t>Bathrobe,Coupon_Discount</t>
        </is>
      </c>
      <c r="J1277" s="29" t="n">
        <v>0</v>
      </c>
      <c r="K1277" s="30" t="n"/>
      <c r="L1277" s="29" t="n">
        <v>0</v>
      </c>
      <c r="M1277" s="29" t="n">
        <v>0</v>
      </c>
      <c r="N1277" s="2" t="n">
        <v>0</v>
      </c>
      <c r="O1277" s="31" t="n">
        <v>0</v>
      </c>
      <c r="P1277" s="32" t="n"/>
      <c r="Q1277" s="32" t="n">
        <v>0</v>
      </c>
      <c r="R1277" s="32" t="n">
        <v>0</v>
      </c>
      <c r="S1277" s="31" t="n">
        <v>0</v>
      </c>
      <c r="T1277" s="32" t="n">
        <v>0</v>
      </c>
      <c r="U1277" s="31" t="n">
        <v>0</v>
      </c>
      <c r="V1277" s="31" t="n">
        <v>0</v>
      </c>
      <c r="W1277" s="3" t="n">
        <v>0</v>
      </c>
      <c r="X1277" s="3" t="n">
        <v>0</v>
      </c>
      <c r="Y1277" s="32" t="n">
        <v>0</v>
      </c>
      <c r="Z1277" s="3" t="n">
        <v>0</v>
      </c>
      <c r="AA1277" s="32" t="n">
        <v>0</v>
      </c>
      <c r="AB1277" s="3" t="n"/>
      <c r="AC1277" s="31" t="n">
        <v>0</v>
      </c>
      <c r="AD1277" s="2" t="n">
        <v>0</v>
      </c>
      <c r="AE1277" s="2" t="n">
        <v>30</v>
      </c>
      <c r="AF1277" s="4" t="n">
        <v>30</v>
      </c>
      <c r="AG1277" s="33" t="n">
        <v>0</v>
      </c>
      <c r="AH1277" s="4" t="n">
        <v>0</v>
      </c>
      <c r="AI1277" s="34" t="n"/>
      <c r="AJ1277" s="34" t="n">
        <v>0</v>
      </c>
      <c r="AK1277" s="2" t="n">
        <v>0</v>
      </c>
      <c r="AL1277" t="inlineStr">
        <is>
          <t>Published</t>
        </is>
      </c>
    </row>
    <row r="1278">
      <c r="A1278">
        <f>HYPERLINK("https://www.walmart.com/ip/5076439926", "5076439926")</f>
        <v/>
      </c>
      <c r="B1278">
        <f>HYPERLINK("https://app.optiwise.ai/catalog/itemdetails/7598618", "Tirrinia Women's Plush Soft Robe, Fluffy, Warm, and Fleece Sherpa Shaggy Bathrobe for Ultimate Comfort, Machine Washable, Medium Size, Purple")</f>
        <v/>
      </c>
      <c r="C1278" t="inlineStr">
        <is>
          <t>1TRRB503PP-2</t>
        </is>
      </c>
      <c r="D1278" t="inlineStr">
        <is>
          <t>Clothing</t>
        </is>
      </c>
      <c r="E1278" t="inlineStr">
        <is>
          <t>Sleepwear Robes &amp; Bathrobes</t>
        </is>
      </c>
      <c r="F1278" t="inlineStr">
        <is>
          <t>Tirrinia</t>
        </is>
      </c>
      <c r="G1278" t="n">
        <v>0</v>
      </c>
      <c r="H1278" t="n">
        <v>0</v>
      </c>
      <c r="I1278" t="inlineStr">
        <is>
          <t>Bathrobe,Coupon_Discount</t>
        </is>
      </c>
      <c r="J1278" s="29" t="n">
        <v>0</v>
      </c>
      <c r="K1278" s="30" t="n"/>
      <c r="L1278" s="29" t="n">
        <v>0</v>
      </c>
      <c r="M1278" s="29" t="n">
        <v>0</v>
      </c>
      <c r="N1278" s="2" t="n">
        <v>0</v>
      </c>
      <c r="O1278" s="31" t="n">
        <v>0</v>
      </c>
      <c r="P1278" s="32" t="n"/>
      <c r="Q1278" s="32" t="n">
        <v>0</v>
      </c>
      <c r="R1278" s="32" t="n">
        <v>0</v>
      </c>
      <c r="S1278" s="31" t="n">
        <v>0</v>
      </c>
      <c r="T1278" s="32" t="n">
        <v>0</v>
      </c>
      <c r="U1278" s="31" t="n">
        <v>0</v>
      </c>
      <c r="V1278" s="31" t="n">
        <v>0</v>
      </c>
      <c r="W1278" s="3" t="n">
        <v>0</v>
      </c>
      <c r="X1278" s="3" t="n">
        <v>0</v>
      </c>
      <c r="Y1278" s="32" t="n">
        <v>0</v>
      </c>
      <c r="Z1278" s="3" t="n">
        <v>0</v>
      </c>
      <c r="AA1278" s="32" t="n">
        <v>0</v>
      </c>
      <c r="AB1278" s="3" t="n"/>
      <c r="AC1278" s="31" t="n">
        <v>0</v>
      </c>
      <c r="AD1278" s="2" t="n">
        <v>0</v>
      </c>
      <c r="AE1278" s="2" t="n">
        <v>19</v>
      </c>
      <c r="AF1278" s="4" t="n">
        <v>19</v>
      </c>
      <c r="AG1278" s="33" t="n">
        <v>0</v>
      </c>
      <c r="AH1278" s="4" t="n">
        <v>0</v>
      </c>
      <c r="AI1278" s="34" t="n"/>
      <c r="AJ1278" s="34" t="n">
        <v>0</v>
      </c>
      <c r="AK1278" s="2" t="n">
        <v>0</v>
      </c>
      <c r="AL1278" t="inlineStr">
        <is>
          <t>Published</t>
        </is>
      </c>
    </row>
    <row r="1279">
      <c r="A1279">
        <f>HYPERLINK("https://www.walmart.com/ip/5082710735", "5082710735")</f>
        <v/>
      </c>
      <c r="B1279">
        <f>HYPERLINK("https://app.optiwise.ai/catalog/itemdetails/7591730", "Tirrinia Sherpa Wearable Blanket for Adult Women and Men, Super Soft Comfy Warm Plush Fleece Blanket with Sleeves, Wrap Robe Cover for Sofa and Couch, White ABS Tractface, 55 x 72''")</f>
        <v/>
      </c>
      <c r="C1279" t="inlineStr">
        <is>
          <t>1TRSN110ABSTRACTFACEWT</t>
        </is>
      </c>
      <c r="D1279" t="inlineStr">
        <is>
          <t>Bedding</t>
        </is>
      </c>
      <c r="E1279" t="inlineStr">
        <is>
          <t>Throws</t>
        </is>
      </c>
      <c r="F1279" t="inlineStr">
        <is>
          <t>Terrania</t>
        </is>
      </c>
      <c r="G1279" t="n">
        <v>0</v>
      </c>
      <c r="H1279" t="n">
        <v>0</v>
      </c>
      <c r="J1279" s="29" t="n">
        <v>0</v>
      </c>
      <c r="K1279" s="30" t="n"/>
      <c r="L1279" s="29" t="n">
        <v>0</v>
      </c>
      <c r="M1279" s="29" t="n">
        <v>0</v>
      </c>
      <c r="N1279" s="2" t="n">
        <v>0</v>
      </c>
      <c r="O1279" s="31" t="n">
        <v>0</v>
      </c>
      <c r="P1279" s="32" t="n"/>
      <c r="Q1279" s="32" t="n">
        <v>0</v>
      </c>
      <c r="R1279" s="32" t="n">
        <v>0</v>
      </c>
      <c r="S1279" s="31" t="n">
        <v>0</v>
      </c>
      <c r="T1279" s="32" t="n">
        <v>0</v>
      </c>
      <c r="U1279" s="31" t="n">
        <v>0</v>
      </c>
      <c r="V1279" s="31" t="n">
        <v>0</v>
      </c>
      <c r="W1279" s="3" t="n">
        <v>0</v>
      </c>
      <c r="X1279" s="3" t="n">
        <v>0</v>
      </c>
      <c r="Y1279" s="32" t="n">
        <v>0</v>
      </c>
      <c r="Z1279" s="3" t="n">
        <v>0</v>
      </c>
      <c r="AA1279" s="32" t="n">
        <v>0</v>
      </c>
      <c r="AB1279" s="3" t="n"/>
      <c r="AC1279" s="31" t="n">
        <v>0</v>
      </c>
      <c r="AD1279" s="2" t="n">
        <v>0</v>
      </c>
      <c r="AE1279" s="2" t="n">
        <v>65</v>
      </c>
      <c r="AF1279" s="4" t="n">
        <v>65</v>
      </c>
      <c r="AG1279" s="33" t="n">
        <v>0</v>
      </c>
      <c r="AH1279" s="4" t="n">
        <v>0</v>
      </c>
      <c r="AI1279" s="34" t="n"/>
      <c r="AJ1279" s="34" t="n">
        <v>0</v>
      </c>
      <c r="AK1279" s="2" t="n">
        <v>0</v>
      </c>
      <c r="AL1279" t="inlineStr">
        <is>
          <t>Published</t>
        </is>
      </c>
    </row>
    <row r="1280">
      <c r="A1280">
        <f>HYPERLINK("https://www.walmart.com/ip/5082710724", "5082710724")</f>
        <v/>
      </c>
      <c r="B1280">
        <f>HYPERLINK("https://app.optiwise.ai/catalog/itemdetails/7591729", "Tirrinia Sherpa Wearable Blanket for Adult Women and Men, Super Soft Comfy Warm Plush Throw with Sleeves TV Blanket Wrap Robe Cover for Sofa, Couch 72 x 55 Grey Avocado Cat")</f>
        <v/>
      </c>
      <c r="C1280" t="inlineStr">
        <is>
          <t>1TRSN110AVOCADOCATGY</t>
        </is>
      </c>
      <c r="D1280" t="inlineStr">
        <is>
          <t>Bedding</t>
        </is>
      </c>
      <c r="E1280" t="inlineStr">
        <is>
          <t>Throws</t>
        </is>
      </c>
      <c r="F1280" t="inlineStr">
        <is>
          <t>Terrania</t>
        </is>
      </c>
      <c r="G1280" t="n">
        <v>0</v>
      </c>
      <c r="H1280" t="n">
        <v>0</v>
      </c>
      <c r="J1280" s="29" t="n">
        <v>0</v>
      </c>
      <c r="K1280" s="30" t="n"/>
      <c r="L1280" s="29" t="n">
        <v>0</v>
      </c>
      <c r="M1280" s="29" t="n">
        <v>0</v>
      </c>
      <c r="N1280" s="2" t="n">
        <v>0</v>
      </c>
      <c r="O1280" s="31" t="n">
        <v>0</v>
      </c>
      <c r="P1280" s="32" t="n"/>
      <c r="Q1280" s="32" t="n">
        <v>0</v>
      </c>
      <c r="R1280" s="32" t="n">
        <v>0</v>
      </c>
      <c r="S1280" s="31" t="n">
        <v>0</v>
      </c>
      <c r="T1280" s="32" t="n">
        <v>0</v>
      </c>
      <c r="U1280" s="31" t="n">
        <v>0</v>
      </c>
      <c r="V1280" s="31" t="n">
        <v>0</v>
      </c>
      <c r="W1280" s="3" t="n">
        <v>0</v>
      </c>
      <c r="X1280" s="3" t="n">
        <v>0</v>
      </c>
      <c r="Y1280" s="32" t="n">
        <v>0</v>
      </c>
      <c r="Z1280" s="3" t="n">
        <v>0</v>
      </c>
      <c r="AA1280" s="32" t="n">
        <v>0</v>
      </c>
      <c r="AB1280" s="3" t="n"/>
      <c r="AC1280" s="31" t="n">
        <v>0</v>
      </c>
      <c r="AD1280" s="2" t="n">
        <v>0</v>
      </c>
      <c r="AE1280" s="2" t="n">
        <v>144</v>
      </c>
      <c r="AF1280" s="4" t="n">
        <v>144</v>
      </c>
      <c r="AG1280" s="33" t="n">
        <v>0</v>
      </c>
      <c r="AH1280" s="4" t="n">
        <v>0</v>
      </c>
      <c r="AI1280" s="34" t="n"/>
      <c r="AJ1280" s="34" t="n">
        <v>0</v>
      </c>
      <c r="AK1280" s="2" t="n">
        <v>0</v>
      </c>
      <c r="AL1280" t="inlineStr">
        <is>
          <t>Published</t>
        </is>
      </c>
    </row>
    <row r="1281">
      <c r="A1281">
        <f>HYPERLINK("https://www.walmart.com/ip/5081404597", "5081404597")</f>
        <v/>
      </c>
      <c r="B1281">
        <f>HYPERLINK("https://app.optiwise.ai/catalog/itemdetails/7591728", "Catalonia Wearable Blanket with Sleeves and Pocket, Cozy, Soft Fleece Blanket Robe for Adult Women and Men in Pink Christmas Dwarf Pattern, 73 x 51")</f>
        <v/>
      </c>
      <c r="C1281" t="inlineStr">
        <is>
          <t>1CTSN100XMASDWARFPK</t>
        </is>
      </c>
      <c r="D1281" t="inlineStr">
        <is>
          <t>Bedding</t>
        </is>
      </c>
      <c r="E1281" t="inlineStr">
        <is>
          <t>Throws</t>
        </is>
      </c>
      <c r="F1281" t="inlineStr">
        <is>
          <t>Catalonia</t>
        </is>
      </c>
      <c r="G1281" t="n">
        <v>0</v>
      </c>
      <c r="H1281" t="n">
        <v>0</v>
      </c>
      <c r="I1281" t="inlineStr">
        <is>
          <t>Q2-Target,Coupon_Discount</t>
        </is>
      </c>
      <c r="J1281" s="29" t="n">
        <v>0</v>
      </c>
      <c r="K1281" s="30" t="n"/>
      <c r="L1281" s="29" t="n">
        <v>0</v>
      </c>
      <c r="M1281" s="29" t="n">
        <v>0</v>
      </c>
      <c r="N1281" s="2" t="n">
        <v>0</v>
      </c>
      <c r="O1281" s="31" t="n">
        <v>0</v>
      </c>
      <c r="P1281" s="32" t="n"/>
      <c r="Q1281" s="32" t="n">
        <v>0</v>
      </c>
      <c r="R1281" s="32" t="n">
        <v>0</v>
      </c>
      <c r="S1281" s="31" t="n">
        <v>0</v>
      </c>
      <c r="T1281" s="32" t="n">
        <v>0</v>
      </c>
      <c r="U1281" s="31" t="n">
        <v>0</v>
      </c>
      <c r="V1281" s="31" t="n">
        <v>0</v>
      </c>
      <c r="W1281" s="3" t="n">
        <v>0</v>
      </c>
      <c r="X1281" s="3" t="n">
        <v>0</v>
      </c>
      <c r="Y1281" s="32" t="n">
        <v>0</v>
      </c>
      <c r="Z1281" s="3" t="n">
        <v>0</v>
      </c>
      <c r="AA1281" s="32" t="n">
        <v>0</v>
      </c>
      <c r="AB1281" s="3" t="n"/>
      <c r="AC1281" s="31" t="n">
        <v>0</v>
      </c>
      <c r="AD1281" s="2" t="n">
        <v>0</v>
      </c>
      <c r="AE1281" s="2" t="n">
        <v>20</v>
      </c>
      <c r="AF1281" s="4" t="n">
        <v>20</v>
      </c>
      <c r="AG1281" s="33" t="n">
        <v>0</v>
      </c>
      <c r="AH1281" s="4" t="n">
        <v>0</v>
      </c>
      <c r="AI1281" s="34" t="n"/>
      <c r="AJ1281" s="34" t="n">
        <v>0</v>
      </c>
      <c r="AK1281" s="2" t="n">
        <v>0</v>
      </c>
      <c r="AL1281" t="inlineStr">
        <is>
          <t>Published</t>
        </is>
      </c>
    </row>
    <row r="1282">
      <c r="A1282">
        <f>HYPERLINK("https://www.walmart.com/ip/5493422988", "5493422988")</f>
        <v/>
      </c>
      <c r="B1282">
        <f>HYPERLINK("https://app.optiwise.ai/catalog/itemdetails/8055320", "Catalonia Plush Fleece Blanket Couch Throw Christmas Theme Shu Velveteen Lambswool Reversible Warm Super Soft 61” x 50“")</f>
        <v/>
      </c>
      <c r="C1282" t="inlineStr">
        <is>
          <t>1CTBF600NAAN</t>
        </is>
      </c>
      <c r="D1282" t="inlineStr">
        <is>
          <t>Bedding</t>
        </is>
      </c>
      <c r="E1282" t="inlineStr">
        <is>
          <t>Throws</t>
        </is>
      </c>
      <c r="F1282" t="inlineStr">
        <is>
          <t>Catalonia</t>
        </is>
      </c>
      <c r="G1282" t="n">
        <v>0</v>
      </c>
      <c r="H1282" t="n">
        <v>0</v>
      </c>
      <c r="J1282" s="29" t="n">
        <v>0</v>
      </c>
      <c r="K1282" s="30" t="n"/>
      <c r="L1282" s="29" t="n">
        <v>0</v>
      </c>
      <c r="M1282" s="29" t="n">
        <v>0</v>
      </c>
      <c r="N1282" s="2" t="n">
        <v>0</v>
      </c>
      <c r="O1282" s="31" t="n">
        <v>0</v>
      </c>
      <c r="P1282" s="32" t="n"/>
      <c r="Q1282" s="32" t="n">
        <v>0</v>
      </c>
      <c r="R1282" s="32" t="n">
        <v>0</v>
      </c>
      <c r="S1282" s="31" t="n">
        <v>0</v>
      </c>
      <c r="T1282" s="32" t="n">
        <v>0</v>
      </c>
      <c r="U1282" s="31" t="n">
        <v>0</v>
      </c>
      <c r="V1282" s="31" t="n">
        <v>0</v>
      </c>
      <c r="W1282" s="3" t="n">
        <v>0</v>
      </c>
      <c r="X1282" s="3" t="n">
        <v>0</v>
      </c>
      <c r="Y1282" s="32" t="n">
        <v>0</v>
      </c>
      <c r="Z1282" s="3" t="n">
        <v>0</v>
      </c>
      <c r="AA1282" s="32" t="n">
        <v>0</v>
      </c>
      <c r="AB1282" s="3" t="n"/>
      <c r="AC1282" s="31" t="n">
        <v>0</v>
      </c>
      <c r="AD1282" s="2" t="n">
        <v>0</v>
      </c>
      <c r="AE1282" s="2" t="n">
        <v>16</v>
      </c>
      <c r="AF1282" s="4" t="n">
        <v>16</v>
      </c>
      <c r="AG1282" s="33" t="n">
        <v>0</v>
      </c>
      <c r="AH1282" s="4" t="n">
        <v>0</v>
      </c>
      <c r="AI1282" s="34" t="n"/>
      <c r="AJ1282" s="34" t="n">
        <v>0</v>
      </c>
      <c r="AK1282" s="2" t="n">
        <v>0</v>
      </c>
      <c r="AL1282" t="inlineStr">
        <is>
          <t>Published</t>
        </is>
      </c>
    </row>
    <row r="1283">
      <c r="A1283">
        <f>HYPERLINK("https://www.walmart.com/ip/5495967250", "5495967250")</f>
        <v/>
      </c>
      <c r="B1283">
        <f>HYPERLINK("https://app.optiwise.ai/catalog/itemdetails/8055322", "Catalonia Plush Fleece Blanket Couch Throw Christmas Theme Shu Velveteen Lambswool Reversible Warm Super Soft 61” x 50“")</f>
        <v/>
      </c>
      <c r="C1283" t="inlineStr">
        <is>
          <t>1CTBF600FRUITPIE</t>
        </is>
      </c>
      <c r="D1283" t="inlineStr">
        <is>
          <t>Bedding</t>
        </is>
      </c>
      <c r="E1283" t="inlineStr">
        <is>
          <t>Throws</t>
        </is>
      </c>
      <c r="F1283" t="inlineStr">
        <is>
          <t>Catalonia</t>
        </is>
      </c>
      <c r="G1283" t="n">
        <v>0</v>
      </c>
      <c r="H1283" t="n">
        <v>0</v>
      </c>
      <c r="J1283" s="29" t="n">
        <v>0</v>
      </c>
      <c r="K1283" s="30" t="n"/>
      <c r="L1283" s="29" t="n">
        <v>0</v>
      </c>
      <c r="M1283" s="29" t="n">
        <v>0</v>
      </c>
      <c r="N1283" s="2" t="n">
        <v>0</v>
      </c>
      <c r="O1283" s="31" t="n">
        <v>0</v>
      </c>
      <c r="P1283" s="32" t="n"/>
      <c r="Q1283" s="32" t="n">
        <v>0</v>
      </c>
      <c r="R1283" s="32" t="n">
        <v>0</v>
      </c>
      <c r="S1283" s="31" t="n">
        <v>0</v>
      </c>
      <c r="T1283" s="32" t="n">
        <v>0</v>
      </c>
      <c r="U1283" s="31" t="n">
        <v>0</v>
      </c>
      <c r="V1283" s="31" t="n">
        <v>0</v>
      </c>
      <c r="W1283" s="3" t="n">
        <v>0</v>
      </c>
      <c r="X1283" s="3" t="n">
        <v>0</v>
      </c>
      <c r="Y1283" s="32" t="n">
        <v>0</v>
      </c>
      <c r="Z1283" s="3" t="n">
        <v>0</v>
      </c>
      <c r="AA1283" s="32" t="n">
        <v>0</v>
      </c>
      <c r="AB1283" s="3" t="n"/>
      <c r="AC1283" s="31" t="n">
        <v>0</v>
      </c>
      <c r="AD1283" s="2" t="n">
        <v>0</v>
      </c>
      <c r="AE1283" s="2" t="n">
        <v>15</v>
      </c>
      <c r="AF1283" s="4" t="n">
        <v>15</v>
      </c>
      <c r="AG1283" s="33" t="n">
        <v>0</v>
      </c>
      <c r="AH1283" s="4" t="n">
        <v>0</v>
      </c>
      <c r="AI1283" s="34" t="n"/>
      <c r="AJ1283" s="34" t="n">
        <v>0</v>
      </c>
      <c r="AK1283" s="2" t="n">
        <v>0</v>
      </c>
      <c r="AL1283" t="inlineStr">
        <is>
          <t>Published</t>
        </is>
      </c>
    </row>
    <row r="1284">
      <c r="A1284">
        <f>HYPERLINK("https://www.walmart.com/ip/5371175429", "5371175429")</f>
        <v/>
      </c>
      <c r="B1284">
        <f>HYPERLINK("https://app.optiwise.ai/catalog/itemdetails/8055873", "Tirrinia Large Insulated Cooler Bag Outdoor Leakproof Cooler Tote Portable Freezer Bag with Adjustable Shoulder Strap for Picnic, Beach")</f>
        <v/>
      </c>
      <c r="C1284" t="inlineStr">
        <is>
          <t>1TRCB00224BLCAMO</t>
        </is>
      </c>
      <c r="D1284" t="inlineStr">
        <is>
          <t>Cases &amp; Bags</t>
        </is>
      </c>
      <c r="E1284" t="inlineStr">
        <is>
          <t>Soft-Sided Coolers</t>
        </is>
      </c>
      <c r="F1284" t="inlineStr">
        <is>
          <t>Tirrinia</t>
        </is>
      </c>
      <c r="G1284" t="n">
        <v>0</v>
      </c>
      <c r="H1284" t="n">
        <v>0</v>
      </c>
      <c r="J1284" s="29" t="n">
        <v>0</v>
      </c>
      <c r="K1284" s="30" t="n"/>
      <c r="L1284" s="29" t="n">
        <v>0</v>
      </c>
      <c r="M1284" s="29" t="n">
        <v>0</v>
      </c>
      <c r="N1284" s="2" t="n">
        <v>0</v>
      </c>
      <c r="O1284" s="31" t="n">
        <v>0</v>
      </c>
      <c r="P1284" s="32" t="n"/>
      <c r="Q1284" s="32" t="n">
        <v>0</v>
      </c>
      <c r="R1284" s="32" t="n">
        <v>0</v>
      </c>
      <c r="S1284" s="31" t="n">
        <v>0</v>
      </c>
      <c r="T1284" s="32" t="n">
        <v>0</v>
      </c>
      <c r="U1284" s="31" t="n">
        <v>0</v>
      </c>
      <c r="V1284" s="31" t="n">
        <v>0</v>
      </c>
      <c r="W1284" s="3" t="n">
        <v>0</v>
      </c>
      <c r="X1284" s="3" t="n">
        <v>0</v>
      </c>
      <c r="Y1284" s="32" t="n">
        <v>0</v>
      </c>
      <c r="Z1284" s="3" t="n">
        <v>0</v>
      </c>
      <c r="AA1284" s="32" t="n">
        <v>0</v>
      </c>
      <c r="AB1284" s="3" t="n"/>
      <c r="AC1284" s="31" t="n">
        <v>0</v>
      </c>
      <c r="AD1284" s="2" t="n">
        <v>0</v>
      </c>
      <c r="AE1284" s="2" t="n">
        <v>34</v>
      </c>
      <c r="AF1284" s="4" t="n">
        <v>34</v>
      </c>
      <c r="AG1284" s="33" t="n">
        <v>0</v>
      </c>
      <c r="AH1284" s="4" t="n">
        <v>0</v>
      </c>
      <c r="AI1284" s="34" t="n"/>
      <c r="AJ1284" s="34" t="n">
        <v>0</v>
      </c>
      <c r="AK1284" s="2" t="n">
        <v>0</v>
      </c>
      <c r="AL1284" t="inlineStr">
        <is>
          <t>Published</t>
        </is>
      </c>
    </row>
    <row r="1285">
      <c r="A1285">
        <f>HYPERLINK("https://www.walmart.com/ip/5364892569", "5364892569")</f>
        <v/>
      </c>
      <c r="B1285">
        <f>HYPERLINK("https://app.optiwise.ai/catalog/itemdetails/8055875", "Tirrinia Large Insulated Cooler Bag Outdoor Leakproof Cooler Tote Portable Freezer Bag with Adjustable Shoulder Strap for Picnic, Beach")</f>
        <v/>
      </c>
      <c r="C1285" t="inlineStr">
        <is>
          <t>1TRCB00224GNCAMO</t>
        </is>
      </c>
      <c r="D1285" t="inlineStr">
        <is>
          <t>Cases &amp; Bags</t>
        </is>
      </c>
      <c r="E1285" t="inlineStr">
        <is>
          <t>Thermocoolers</t>
        </is>
      </c>
      <c r="F1285" t="inlineStr">
        <is>
          <t>Tirrinia</t>
        </is>
      </c>
      <c r="G1285" t="n">
        <v>0</v>
      </c>
      <c r="H1285" t="n">
        <v>0</v>
      </c>
      <c r="J1285" s="29" t="n">
        <v>0</v>
      </c>
      <c r="K1285" s="30" t="n"/>
      <c r="L1285" s="29" t="n">
        <v>0</v>
      </c>
      <c r="M1285" s="29" t="n">
        <v>0</v>
      </c>
      <c r="N1285" s="2" t="n">
        <v>0</v>
      </c>
      <c r="O1285" s="31" t="n">
        <v>0</v>
      </c>
      <c r="P1285" s="32" t="n"/>
      <c r="Q1285" s="32" t="n">
        <v>0</v>
      </c>
      <c r="R1285" s="32" t="n">
        <v>0</v>
      </c>
      <c r="S1285" s="31" t="n">
        <v>0</v>
      </c>
      <c r="T1285" s="32" t="n">
        <v>0</v>
      </c>
      <c r="U1285" s="31" t="n">
        <v>0</v>
      </c>
      <c r="V1285" s="31" t="n">
        <v>0</v>
      </c>
      <c r="W1285" s="3" t="n">
        <v>0</v>
      </c>
      <c r="X1285" s="3" t="n">
        <v>0</v>
      </c>
      <c r="Y1285" s="32" t="n">
        <v>0</v>
      </c>
      <c r="Z1285" s="3" t="n">
        <v>0</v>
      </c>
      <c r="AA1285" s="32" t="n">
        <v>0</v>
      </c>
      <c r="AB1285" s="3" t="n"/>
      <c r="AC1285" s="31" t="n">
        <v>0</v>
      </c>
      <c r="AD1285" s="2" t="n">
        <v>0</v>
      </c>
      <c r="AE1285" s="2" t="n">
        <v>19</v>
      </c>
      <c r="AF1285" s="4" t="n">
        <v>19</v>
      </c>
      <c r="AG1285" s="33" t="n">
        <v>0</v>
      </c>
      <c r="AH1285" s="4" t="n">
        <v>0</v>
      </c>
      <c r="AI1285" s="34" t="n"/>
      <c r="AJ1285" s="34" t="n">
        <v>0</v>
      </c>
      <c r="AK1285" s="2" t="n">
        <v>0</v>
      </c>
      <c r="AL1285" t="inlineStr">
        <is>
          <t>Published</t>
        </is>
      </c>
    </row>
    <row r="1286">
      <c r="A1286">
        <f>HYPERLINK("https://www.walmart.com/ip/5798048545", "5798048545")</f>
        <v/>
      </c>
      <c r="B1286">
        <f>HYPERLINK("https://app.optiwise.ai/catalog/itemdetails/9588084", "Catalonia Cooling Blanket for Hot Sleepers, Summer Bed Blanket for Warm Night Sweat, Cool Sofa Throw Blanket for Hot Flashes, Soft Thin Lightweight Blanket for Adults Kids")</f>
        <v/>
      </c>
      <c r="C1286" t="inlineStr">
        <is>
          <t>1CTBQ10119BL</t>
        </is>
      </c>
      <c r="D1286" t="inlineStr">
        <is>
          <t>Bedding</t>
        </is>
      </c>
      <c r="E1286" t="inlineStr">
        <is>
          <t>Throws</t>
        </is>
      </c>
      <c r="F1286" t="inlineStr">
        <is>
          <t>Catalonia</t>
        </is>
      </c>
      <c r="G1286" t="n">
        <v>0</v>
      </c>
      <c r="H1286" t="n">
        <v>0</v>
      </c>
      <c r="J1286" s="29" t="n">
        <v>0</v>
      </c>
      <c r="K1286" s="30" t="n"/>
      <c r="L1286" s="29" t="n">
        <v>0</v>
      </c>
      <c r="M1286" s="29" t="n">
        <v>0</v>
      </c>
      <c r="N1286" s="2" t="n">
        <v>0</v>
      </c>
      <c r="O1286" s="31" t="n">
        <v>0</v>
      </c>
      <c r="P1286" s="32" t="n"/>
      <c r="Q1286" s="32" t="n">
        <v>0</v>
      </c>
      <c r="R1286" s="32" t="n">
        <v>0</v>
      </c>
      <c r="S1286" s="31" t="n">
        <v>0</v>
      </c>
      <c r="T1286" s="32" t="n">
        <v>0</v>
      </c>
      <c r="U1286" s="31" t="n">
        <v>0</v>
      </c>
      <c r="V1286" s="31" t="n">
        <v>0</v>
      </c>
      <c r="W1286" s="3" t="n">
        <v>0</v>
      </c>
      <c r="X1286" s="3" t="n">
        <v>0</v>
      </c>
      <c r="Y1286" s="32" t="n">
        <v>0</v>
      </c>
      <c r="Z1286" s="3" t="n">
        <v>0</v>
      </c>
      <c r="AA1286" s="32" t="n">
        <v>0</v>
      </c>
      <c r="AB1286" s="3" t="n"/>
      <c r="AC1286" s="31" t="n">
        <v>0</v>
      </c>
      <c r="AD1286" s="2" t="n">
        <v>0</v>
      </c>
      <c r="AE1286" s="2" t="n">
        <v>16</v>
      </c>
      <c r="AF1286" s="4" t="n">
        <v>16</v>
      </c>
      <c r="AG1286" s="33" t="n">
        <v>0</v>
      </c>
      <c r="AH1286" s="4" t="n">
        <v>0</v>
      </c>
      <c r="AI1286" s="34" t="n"/>
      <c r="AJ1286" s="34" t="n">
        <v>0</v>
      </c>
      <c r="AK1286" s="2" t="n">
        <v>0</v>
      </c>
      <c r="AL1286" t="inlineStr">
        <is>
          <t>Published</t>
        </is>
      </c>
    </row>
    <row r="1287">
      <c r="A1287">
        <f>HYPERLINK("https://www.walmart.com/ip/5796843750", "5796843750")</f>
        <v/>
      </c>
      <c r="B1287">
        <f>HYPERLINK("https://app.optiwise.ai/catalog/itemdetails/9588083", "Tirrinia Surf Poncho Changing Towel, Lightweight Surf Hooded Beach Towel Quick Dry, Portable Dressing Room for Surfing Beach Pool Summer Camping Adult Women Men Gift Shark")</f>
        <v/>
      </c>
      <c r="C1287" t="inlineStr">
        <is>
          <t>1TRBR101PLUMBLOSSOM</t>
        </is>
      </c>
      <c r="D1287" t="inlineStr">
        <is>
          <t>Clothing</t>
        </is>
      </c>
      <c r="E1287" t="inlineStr">
        <is>
          <t>Sleepwear Robes &amp; Bathrobes</t>
        </is>
      </c>
      <c r="F1287" t="inlineStr">
        <is>
          <t>Tirrinia</t>
        </is>
      </c>
      <c r="G1287" t="n">
        <v>0</v>
      </c>
      <c r="H1287" t="n">
        <v>0</v>
      </c>
      <c r="J1287" s="29" t="n">
        <v>0</v>
      </c>
      <c r="K1287" s="30" t="n"/>
      <c r="L1287" s="29" t="n">
        <v>0</v>
      </c>
      <c r="M1287" s="29" t="n">
        <v>0</v>
      </c>
      <c r="N1287" s="2" t="n">
        <v>0</v>
      </c>
      <c r="O1287" s="31" t="n">
        <v>0</v>
      </c>
      <c r="P1287" s="32" t="n"/>
      <c r="Q1287" s="32" t="n">
        <v>0</v>
      </c>
      <c r="R1287" s="32" t="n">
        <v>0</v>
      </c>
      <c r="S1287" s="31" t="n">
        <v>0</v>
      </c>
      <c r="T1287" s="32" t="n">
        <v>0</v>
      </c>
      <c r="U1287" s="31" t="n">
        <v>0</v>
      </c>
      <c r="V1287" s="31" t="n">
        <v>0</v>
      </c>
      <c r="W1287" s="3" t="n">
        <v>0</v>
      </c>
      <c r="X1287" s="3" t="n">
        <v>0</v>
      </c>
      <c r="Y1287" s="32" t="n">
        <v>0</v>
      </c>
      <c r="Z1287" s="3" t="n">
        <v>0</v>
      </c>
      <c r="AA1287" s="32" t="n">
        <v>0</v>
      </c>
      <c r="AB1287" s="3" t="n"/>
      <c r="AC1287" s="31" t="n">
        <v>0</v>
      </c>
      <c r="AD1287" s="2" t="n">
        <v>0</v>
      </c>
      <c r="AE1287" s="2" t="n">
        <v>18</v>
      </c>
      <c r="AF1287" s="4" t="n">
        <v>18</v>
      </c>
      <c r="AG1287" s="33" t="n">
        <v>0</v>
      </c>
      <c r="AH1287" s="4" t="n">
        <v>0</v>
      </c>
      <c r="AI1287" s="34" t="n"/>
      <c r="AJ1287" s="34" t="n">
        <v>0</v>
      </c>
      <c r="AK1287" s="2" t="n">
        <v>0</v>
      </c>
      <c r="AL1287" t="inlineStr">
        <is>
          <t>Published</t>
        </is>
      </c>
    </row>
    <row r="1288">
      <c r="A1288">
        <f>HYPERLINK("https://www.walmart.com/ip/5790944672", "5790944672")</f>
        <v/>
      </c>
      <c r="B1288">
        <f>HYPERLINK("https://app.optiwise.ai/catalog/itemdetails/9588082", "Catalonia Cooling Blanket for Hot Sleepers, Summer Bed Blanket for Warm Night Sweat, Cool Sofa Throw Blanket for Hot Flashes, Soft Thin Lightweight Blanket for Adults Kids")</f>
        <v/>
      </c>
      <c r="C1288" t="inlineStr">
        <is>
          <t>1CTBQ10199GY</t>
        </is>
      </c>
      <c r="D1288" t="inlineStr">
        <is>
          <t>Bedding</t>
        </is>
      </c>
      <c r="E1288" t="inlineStr">
        <is>
          <t>Throws</t>
        </is>
      </c>
      <c r="F1288" t="inlineStr">
        <is>
          <t>Catalonia</t>
        </is>
      </c>
      <c r="G1288" t="n">
        <v>0</v>
      </c>
      <c r="H1288" t="n">
        <v>0</v>
      </c>
      <c r="J1288" s="29" t="n">
        <v>0</v>
      </c>
      <c r="K1288" s="30" t="n"/>
      <c r="L1288" s="29" t="n">
        <v>0</v>
      </c>
      <c r="M1288" s="29" t="n">
        <v>0</v>
      </c>
      <c r="N1288" s="2" t="n">
        <v>0</v>
      </c>
      <c r="O1288" s="31" t="n">
        <v>0</v>
      </c>
      <c r="P1288" s="32" t="n"/>
      <c r="Q1288" s="32" t="n">
        <v>0</v>
      </c>
      <c r="R1288" s="32" t="n">
        <v>0</v>
      </c>
      <c r="S1288" s="31" t="n">
        <v>0</v>
      </c>
      <c r="T1288" s="32" t="n">
        <v>0</v>
      </c>
      <c r="U1288" s="31" t="n">
        <v>0</v>
      </c>
      <c r="V1288" s="31" t="n">
        <v>0</v>
      </c>
      <c r="W1288" s="3" t="n">
        <v>0</v>
      </c>
      <c r="X1288" s="3" t="n">
        <v>0</v>
      </c>
      <c r="Y1288" s="32" t="n">
        <v>0</v>
      </c>
      <c r="Z1288" s="3" t="n">
        <v>0</v>
      </c>
      <c r="AA1288" s="32" t="n">
        <v>0</v>
      </c>
      <c r="AB1288" s="3" t="n"/>
      <c r="AC1288" s="31" t="n">
        <v>0</v>
      </c>
      <c r="AD1288" s="2" t="n">
        <v>0</v>
      </c>
      <c r="AE1288" s="2" t="n">
        <v>15</v>
      </c>
      <c r="AF1288" s="4" t="n">
        <v>15</v>
      </c>
      <c r="AG1288" s="33" t="n">
        <v>0</v>
      </c>
      <c r="AH1288" s="4" t="n">
        <v>0</v>
      </c>
      <c r="AI1288" s="34" t="n"/>
      <c r="AJ1288" s="34" t="n">
        <v>0</v>
      </c>
      <c r="AK1288" s="2" t="n">
        <v>0</v>
      </c>
      <c r="AL1288" t="inlineStr">
        <is>
          <t>Published</t>
        </is>
      </c>
    </row>
    <row r="1289">
      <c r="A1289">
        <f>HYPERLINK("https://www.walmart.com/ip/6125451748", "6125451748")</f>
        <v/>
      </c>
      <c r="B1289">
        <f>HYPERLINK("https://app.optiwise.ai/catalog/itemdetails/9588081", "Tirrinia Surf Poncho Changing Towel, Lightweight Surf Hooded Beach Towel Quick Dry, Portable Dressing Room for Surfing Beach Pool Summer Camping Adult Women Men Gift Shark")</f>
        <v/>
      </c>
      <c r="C1289" t="inlineStr">
        <is>
          <t>1TRBR101SHARK</t>
        </is>
      </c>
      <c r="D1289" t="inlineStr">
        <is>
          <t>Clothing</t>
        </is>
      </c>
      <c r="E1289" t="inlineStr">
        <is>
          <t>Sleepwear Robes &amp; Bathrobes</t>
        </is>
      </c>
      <c r="F1289" t="inlineStr">
        <is>
          <t>Tirrinia</t>
        </is>
      </c>
      <c r="G1289" t="n">
        <v>0</v>
      </c>
      <c r="H1289" t="n">
        <v>0</v>
      </c>
      <c r="J1289" s="29" t="n">
        <v>0</v>
      </c>
      <c r="K1289" s="30" t="n"/>
      <c r="L1289" s="29" t="n">
        <v>0</v>
      </c>
      <c r="M1289" s="29" t="n">
        <v>0</v>
      </c>
      <c r="N1289" s="2" t="n">
        <v>0</v>
      </c>
      <c r="O1289" s="31" t="n">
        <v>0</v>
      </c>
      <c r="P1289" s="32" t="n"/>
      <c r="Q1289" s="32" t="n">
        <v>0</v>
      </c>
      <c r="R1289" s="32" t="n">
        <v>0</v>
      </c>
      <c r="S1289" s="31" t="n">
        <v>0</v>
      </c>
      <c r="T1289" s="32" t="n">
        <v>0</v>
      </c>
      <c r="U1289" s="31" t="n">
        <v>0</v>
      </c>
      <c r="V1289" s="31" t="n">
        <v>0</v>
      </c>
      <c r="W1289" s="3" t="n">
        <v>0</v>
      </c>
      <c r="X1289" s="3" t="n">
        <v>0</v>
      </c>
      <c r="Y1289" s="32" t="n">
        <v>0</v>
      </c>
      <c r="Z1289" s="3" t="n">
        <v>0</v>
      </c>
      <c r="AA1289" s="32" t="n">
        <v>0</v>
      </c>
      <c r="AB1289" s="3" t="n"/>
      <c r="AC1289" s="31" t="n">
        <v>0</v>
      </c>
      <c r="AD1289" s="2" t="n">
        <v>0</v>
      </c>
      <c r="AE1289" s="2" t="n">
        <v>14</v>
      </c>
      <c r="AF1289" s="4" t="n">
        <v>14</v>
      </c>
      <c r="AG1289" s="33" t="n">
        <v>0</v>
      </c>
      <c r="AH1289" s="4" t="n">
        <v>0</v>
      </c>
      <c r="AI1289" s="34" t="n"/>
      <c r="AJ1289" s="34" t="n">
        <v>0</v>
      </c>
      <c r="AK1289" s="2" t="n">
        <v>0</v>
      </c>
      <c r="AL1289" t="inlineStr">
        <is>
          <t>Published</t>
        </is>
      </c>
    </row>
    <row r="1290">
      <c r="A1290">
        <f>HYPERLINK("https://www.walmart.com/ip/6120910723", "6120910723")</f>
        <v/>
      </c>
      <c r="B1290">
        <f>HYPERLINK("https://app.optiwise.ai/catalog/itemdetails/9588079", "Tirrinia Surf Poncho Changing Towel, Lightweight Surf Hooded Beach Towel Quick Dry, Portable Dressing Room for Surfing Beach Pool Summer Camping Adult Women Men Gift Shark")</f>
        <v/>
      </c>
      <c r="C1290" t="inlineStr">
        <is>
          <t>1TRBR101STARFISH</t>
        </is>
      </c>
      <c r="D1290" t="inlineStr">
        <is>
          <t>Clothing</t>
        </is>
      </c>
      <c r="E1290" t="inlineStr">
        <is>
          <t>Sleepwear Robes &amp; Bathrobes</t>
        </is>
      </c>
      <c r="F1290" t="inlineStr">
        <is>
          <t>Tirrinia</t>
        </is>
      </c>
      <c r="G1290" t="n">
        <v>0</v>
      </c>
      <c r="H1290" t="n">
        <v>0</v>
      </c>
      <c r="J1290" s="29" t="n">
        <v>0</v>
      </c>
      <c r="K1290" s="30" t="n"/>
      <c r="L1290" s="29" t="n">
        <v>0</v>
      </c>
      <c r="M1290" s="29" t="n">
        <v>0</v>
      </c>
      <c r="N1290" s="2" t="n">
        <v>0</v>
      </c>
      <c r="O1290" s="31" t="n">
        <v>0</v>
      </c>
      <c r="P1290" s="32" t="n"/>
      <c r="Q1290" s="32" t="n">
        <v>0</v>
      </c>
      <c r="R1290" s="32" t="n">
        <v>0</v>
      </c>
      <c r="S1290" s="31" t="n">
        <v>0</v>
      </c>
      <c r="T1290" s="32" t="n">
        <v>0</v>
      </c>
      <c r="U1290" s="31" t="n">
        <v>0</v>
      </c>
      <c r="V1290" s="31" t="n">
        <v>0</v>
      </c>
      <c r="W1290" s="3" t="n">
        <v>0</v>
      </c>
      <c r="X1290" s="3" t="n">
        <v>0</v>
      </c>
      <c r="Y1290" s="32" t="n">
        <v>0</v>
      </c>
      <c r="Z1290" s="3" t="n">
        <v>0</v>
      </c>
      <c r="AA1290" s="32" t="n">
        <v>0</v>
      </c>
      <c r="AB1290" s="3" t="n"/>
      <c r="AC1290" s="31" t="n">
        <v>0</v>
      </c>
      <c r="AD1290" s="2" t="n">
        <v>0</v>
      </c>
      <c r="AE1290" s="2" t="n">
        <v>0</v>
      </c>
      <c r="AF1290" s="4" t="n">
        <v>0</v>
      </c>
      <c r="AG1290" s="33" t="n">
        <v>0</v>
      </c>
      <c r="AH1290" s="4" t="n">
        <v>0</v>
      </c>
      <c r="AI1290" s="34" t="n"/>
      <c r="AJ1290" s="34" t="n">
        <v>0</v>
      </c>
      <c r="AK1290" s="2" t="n">
        <v>0</v>
      </c>
      <c r="AL1290" t="inlineStr">
        <is>
          <t>Published</t>
        </is>
      </c>
    </row>
    <row r="1291">
      <c r="A1291">
        <f>HYPERLINK("https://www.walmart.com/ip/6117611260", "6117611260")</f>
        <v/>
      </c>
      <c r="B1291">
        <f>HYPERLINK("https://app.optiwise.ai/catalog/itemdetails/9588078", "Tirrinia 4-in-1 Travel Blanket Luxurious Premium Micro Fleece Lightweight 40” x 60” Grey")</f>
        <v/>
      </c>
      <c r="C1291" t="inlineStr">
        <is>
          <t>1TRTB103FP</t>
        </is>
      </c>
      <c r="D1291" t="inlineStr">
        <is>
          <t>Bedding</t>
        </is>
      </c>
      <c r="E1291" t="inlineStr">
        <is>
          <t>Throws</t>
        </is>
      </c>
      <c r="F1291" t="inlineStr">
        <is>
          <t>Tirrinia</t>
        </is>
      </c>
      <c r="G1291" t="n">
        <v>0</v>
      </c>
      <c r="H1291" t="n">
        <v>0</v>
      </c>
      <c r="J1291" s="29" t="n">
        <v>0</v>
      </c>
      <c r="K1291" s="30" t="n"/>
      <c r="L1291" s="29" t="n">
        <v>0</v>
      </c>
      <c r="M1291" s="29" t="n">
        <v>0</v>
      </c>
      <c r="N1291" s="2" t="n">
        <v>0</v>
      </c>
      <c r="O1291" s="31" t="n">
        <v>0</v>
      </c>
      <c r="P1291" s="32" t="n"/>
      <c r="Q1291" s="32" t="n">
        <v>0</v>
      </c>
      <c r="R1291" s="32" t="n">
        <v>0</v>
      </c>
      <c r="S1291" s="31" t="n">
        <v>0</v>
      </c>
      <c r="T1291" s="32" t="n">
        <v>0</v>
      </c>
      <c r="U1291" s="31" t="n">
        <v>0</v>
      </c>
      <c r="V1291" s="31" t="n">
        <v>0</v>
      </c>
      <c r="W1291" s="3" t="n">
        <v>0</v>
      </c>
      <c r="X1291" s="3" t="n">
        <v>0</v>
      </c>
      <c r="Y1291" s="32" t="n">
        <v>0</v>
      </c>
      <c r="Z1291" s="3" t="n">
        <v>0</v>
      </c>
      <c r="AA1291" s="32" t="n">
        <v>0</v>
      </c>
      <c r="AB1291" s="3" t="n"/>
      <c r="AC1291" s="31" t="n">
        <v>0</v>
      </c>
      <c r="AD1291" s="2" t="n">
        <v>0</v>
      </c>
      <c r="AE1291" s="2" t="n">
        <v>14</v>
      </c>
      <c r="AF1291" s="4" t="n">
        <v>14</v>
      </c>
      <c r="AG1291" s="33" t="n">
        <v>0</v>
      </c>
      <c r="AH1291" s="4" t="n">
        <v>0</v>
      </c>
      <c r="AI1291" s="34" t="n"/>
      <c r="AJ1291" s="34" t="n">
        <v>0</v>
      </c>
      <c r="AK1291" s="2" t="n">
        <v>0</v>
      </c>
      <c r="AL1291" t="inlineStr">
        <is>
          <t>Published</t>
        </is>
      </c>
    </row>
    <row r="1292">
      <c r="A1292">
        <f>HYPERLINK("https://www.walmart.com/ip/6108672448", "6108672448")</f>
        <v/>
      </c>
      <c r="B1292">
        <f>HYPERLINK("https://app.optiwise.ai/catalog/itemdetails/9588077", "Catalonia Cooling Blanket for Hot Sleepers, Summer Bed Blanket for Warm Night Sweat, Cool Sofa Throw Blanket for Hot Flashes, Soft Thin Lightweight Blanket for Adults Kids")</f>
        <v/>
      </c>
      <c r="C1292" t="inlineStr">
        <is>
          <t>1CTBQ10157BL</t>
        </is>
      </c>
      <c r="D1292" t="inlineStr">
        <is>
          <t>Bedding</t>
        </is>
      </c>
      <c r="E1292" t="inlineStr">
        <is>
          <t>Throws</t>
        </is>
      </c>
      <c r="F1292" t="inlineStr">
        <is>
          <t>Catalonia</t>
        </is>
      </c>
      <c r="G1292" t="n">
        <v>0</v>
      </c>
      <c r="H1292" t="n">
        <v>0</v>
      </c>
      <c r="J1292" s="29" t="n">
        <v>0</v>
      </c>
      <c r="K1292" s="30" t="n"/>
      <c r="L1292" s="29" t="n">
        <v>0</v>
      </c>
      <c r="M1292" s="29" t="n">
        <v>0</v>
      </c>
      <c r="N1292" s="2" t="n">
        <v>0</v>
      </c>
      <c r="O1292" s="31" t="n">
        <v>0</v>
      </c>
      <c r="P1292" s="32" t="n"/>
      <c r="Q1292" s="32" t="n">
        <v>0</v>
      </c>
      <c r="R1292" s="32" t="n">
        <v>0</v>
      </c>
      <c r="S1292" s="31" t="n">
        <v>0</v>
      </c>
      <c r="T1292" s="32" t="n">
        <v>0</v>
      </c>
      <c r="U1292" s="31" t="n">
        <v>0</v>
      </c>
      <c r="V1292" s="31" t="n">
        <v>0</v>
      </c>
      <c r="W1292" s="3" t="n">
        <v>0</v>
      </c>
      <c r="X1292" s="3" t="n">
        <v>0</v>
      </c>
      <c r="Y1292" s="32" t="n">
        <v>0</v>
      </c>
      <c r="Z1292" s="3" t="n">
        <v>0</v>
      </c>
      <c r="AA1292" s="32" t="n">
        <v>0</v>
      </c>
      <c r="AB1292" s="3" t="n"/>
      <c r="AC1292" s="31" t="n">
        <v>0</v>
      </c>
      <c r="AD1292" s="2" t="n">
        <v>0</v>
      </c>
      <c r="AE1292" s="2" t="n">
        <v>11</v>
      </c>
      <c r="AF1292" s="4" t="n">
        <v>11</v>
      </c>
      <c r="AG1292" s="33" t="n">
        <v>0</v>
      </c>
      <c r="AH1292" s="4" t="n">
        <v>0</v>
      </c>
      <c r="AI1292" s="34" t="n"/>
      <c r="AJ1292" s="34" t="n">
        <v>0</v>
      </c>
      <c r="AK1292" s="2" t="n">
        <v>0</v>
      </c>
      <c r="AL1292" t="inlineStr">
        <is>
          <t>Published</t>
        </is>
      </c>
    </row>
    <row r="1293">
      <c r="A1293">
        <f>HYPERLINK("https://www.walmart.com/ip/5789793931", "5789793931")</f>
        <v/>
      </c>
      <c r="B1293">
        <f>HYPERLINK("https://app.optiwise.ai/catalog/itemdetails/9588076", "Catalonia Cooling Blanket for Hot Sleepers, Summer Bed Blanket for Warm Night Sweat, Cool Sofa Throw Blanket for Hot Flashes, Soft Thin Lightweight Blanket for Adults Kids")</f>
        <v/>
      </c>
      <c r="C1293" t="inlineStr">
        <is>
          <t>1CTBQ10169BL</t>
        </is>
      </c>
      <c r="D1293" t="inlineStr">
        <is>
          <t>Bedding</t>
        </is>
      </c>
      <c r="E1293" t="inlineStr">
        <is>
          <t>Throws</t>
        </is>
      </c>
      <c r="F1293" t="inlineStr">
        <is>
          <t>Catalonia</t>
        </is>
      </c>
      <c r="G1293" t="n">
        <v>0</v>
      </c>
      <c r="H1293" t="n">
        <v>0</v>
      </c>
      <c r="J1293" s="29" t="n">
        <v>0</v>
      </c>
      <c r="K1293" s="30" t="n"/>
      <c r="L1293" s="29" t="n">
        <v>0</v>
      </c>
      <c r="M1293" s="29" t="n">
        <v>0</v>
      </c>
      <c r="N1293" s="2" t="n">
        <v>0</v>
      </c>
      <c r="O1293" s="31" t="n">
        <v>0</v>
      </c>
      <c r="P1293" s="32" t="n"/>
      <c r="Q1293" s="32" t="n">
        <v>0</v>
      </c>
      <c r="R1293" s="32" t="n">
        <v>0</v>
      </c>
      <c r="S1293" s="31" t="n">
        <v>0</v>
      </c>
      <c r="T1293" s="32" t="n">
        <v>0</v>
      </c>
      <c r="U1293" s="31" t="n">
        <v>0</v>
      </c>
      <c r="V1293" s="31" t="n">
        <v>0</v>
      </c>
      <c r="W1293" s="3" t="n">
        <v>0</v>
      </c>
      <c r="X1293" s="3" t="n">
        <v>0</v>
      </c>
      <c r="Y1293" s="32" t="n">
        <v>0</v>
      </c>
      <c r="Z1293" s="3" t="n">
        <v>0</v>
      </c>
      <c r="AA1293" s="32" t="n">
        <v>0</v>
      </c>
      <c r="AB1293" s="3" t="n"/>
      <c r="AC1293" s="31" t="n">
        <v>0</v>
      </c>
      <c r="AD1293" s="2" t="n">
        <v>0</v>
      </c>
      <c r="AE1293" s="2" t="n">
        <v>5</v>
      </c>
      <c r="AF1293" s="4" t="n">
        <v>5</v>
      </c>
      <c r="AG1293" s="33" t="n">
        <v>0</v>
      </c>
      <c r="AH1293" s="4" t="n">
        <v>0</v>
      </c>
      <c r="AI1293" s="34" t="n"/>
      <c r="AJ1293" s="34" t="n">
        <v>0</v>
      </c>
      <c r="AK1293" s="2" t="n">
        <v>0</v>
      </c>
      <c r="AL1293" t="inlineStr">
        <is>
          <t>Published</t>
        </is>
      </c>
    </row>
    <row r="1294">
      <c r="A1294">
        <f>HYPERLINK("https://www.walmart.com/ip/6116767703", "6116767703")</f>
        <v/>
      </c>
      <c r="B1294">
        <f>HYPERLINK("https://app.optiwise.ai/catalog/itemdetails/9588075", "Solaris Microfiber Beach Towel, 40”x71” Personalized Beach Towels for Adult Women, Sand-Resistant, Quick-Dry Soft Lightweight Compact Camping Towel, Ideal Travel Pool Beach Gifts")</f>
        <v/>
      </c>
      <c r="C1294" t="inlineStr">
        <is>
          <t>1SLBM20147TOTEM</t>
        </is>
      </c>
      <c r="D1294" t="inlineStr">
        <is>
          <t>Home Decor, Kitchen, &amp; Other</t>
        </is>
      </c>
      <c r="E1294" t="inlineStr">
        <is>
          <t>Towels &amp; Washcloths</t>
        </is>
      </c>
      <c r="F1294" t="inlineStr">
        <is>
          <t>Solaris</t>
        </is>
      </c>
      <c r="G1294" t="n">
        <v>0</v>
      </c>
      <c r="H1294" t="n">
        <v>0</v>
      </c>
      <c r="J1294" s="29" t="n">
        <v>0</v>
      </c>
      <c r="K1294" s="30" t="n"/>
      <c r="L1294" s="29" t="n">
        <v>0</v>
      </c>
      <c r="M1294" s="29" t="n">
        <v>0</v>
      </c>
      <c r="N1294" s="2" t="n">
        <v>0</v>
      </c>
      <c r="O1294" s="31" t="n">
        <v>0</v>
      </c>
      <c r="P1294" s="32" t="n"/>
      <c r="Q1294" s="32" t="n">
        <v>0</v>
      </c>
      <c r="R1294" s="32" t="n">
        <v>0</v>
      </c>
      <c r="S1294" s="31" t="n">
        <v>0</v>
      </c>
      <c r="T1294" s="32" t="n">
        <v>0</v>
      </c>
      <c r="U1294" s="31" t="n">
        <v>0</v>
      </c>
      <c r="V1294" s="31" t="n">
        <v>0</v>
      </c>
      <c r="W1294" s="3" t="n">
        <v>0</v>
      </c>
      <c r="X1294" s="3" t="n">
        <v>0</v>
      </c>
      <c r="Y1294" s="32" t="n">
        <v>0</v>
      </c>
      <c r="Z1294" s="3" t="n">
        <v>0</v>
      </c>
      <c r="AA1294" s="32" t="n">
        <v>0</v>
      </c>
      <c r="AB1294" s="3" t="n"/>
      <c r="AC1294" s="31" t="n">
        <v>0</v>
      </c>
      <c r="AD1294" s="2" t="n">
        <v>0</v>
      </c>
      <c r="AE1294" s="2" t="n">
        <v>9</v>
      </c>
      <c r="AF1294" s="4" t="n">
        <v>9</v>
      </c>
      <c r="AG1294" s="33" t="n">
        <v>0</v>
      </c>
      <c r="AH1294" s="4" t="n">
        <v>0</v>
      </c>
      <c r="AI1294" s="34" t="n"/>
      <c r="AJ1294" s="34" t="n">
        <v>0</v>
      </c>
      <c r="AK1294" s="2" t="n">
        <v>0</v>
      </c>
      <c r="AL1294" t="inlineStr">
        <is>
          <t>Published</t>
        </is>
      </c>
    </row>
    <row r="1295">
      <c r="A1295">
        <f>HYPERLINK("https://www.walmart.com/ip/6115651218", "6115651218")</f>
        <v/>
      </c>
      <c r="B1295">
        <f>HYPERLINK("https://app.optiwise.ai/catalog/itemdetails/9588074", "Catalonia Cooling Blanket for Hot Sleepers, Summer Bed Blanket for Warm Night Sweat, Cool Sofa Throw Blanket for Hot Flashes, Soft Thin Lightweight Blanket for Adults Kids")</f>
        <v/>
      </c>
      <c r="C1295" t="inlineStr">
        <is>
          <t>1CTBQ10199PP</t>
        </is>
      </c>
      <c r="D1295" t="inlineStr">
        <is>
          <t>Bedding</t>
        </is>
      </c>
      <c r="E1295" t="inlineStr">
        <is>
          <t>Throws</t>
        </is>
      </c>
      <c r="F1295" t="inlineStr">
        <is>
          <t>Catalonia</t>
        </is>
      </c>
      <c r="G1295" t="n">
        <v>0</v>
      </c>
      <c r="H1295" t="n">
        <v>0</v>
      </c>
      <c r="J1295" s="29" t="n">
        <v>0</v>
      </c>
      <c r="K1295" s="30" t="n"/>
      <c r="L1295" s="29" t="n">
        <v>0</v>
      </c>
      <c r="M1295" s="29" t="n">
        <v>0</v>
      </c>
      <c r="N1295" s="2" t="n">
        <v>0</v>
      </c>
      <c r="O1295" s="31" t="n">
        <v>0</v>
      </c>
      <c r="P1295" s="32" t="n"/>
      <c r="Q1295" s="32" t="n">
        <v>0</v>
      </c>
      <c r="R1295" s="32" t="n">
        <v>0</v>
      </c>
      <c r="S1295" s="31" t="n">
        <v>0</v>
      </c>
      <c r="T1295" s="32" t="n">
        <v>0</v>
      </c>
      <c r="U1295" s="31" t="n">
        <v>0</v>
      </c>
      <c r="V1295" s="31" t="n">
        <v>0</v>
      </c>
      <c r="W1295" s="3" t="n">
        <v>0</v>
      </c>
      <c r="X1295" s="3" t="n">
        <v>0</v>
      </c>
      <c r="Y1295" s="32" t="n">
        <v>0</v>
      </c>
      <c r="Z1295" s="3" t="n">
        <v>0</v>
      </c>
      <c r="AA1295" s="32" t="n">
        <v>0</v>
      </c>
      <c r="AB1295" s="3" t="n"/>
      <c r="AC1295" s="31" t="n">
        <v>0</v>
      </c>
      <c r="AD1295" s="2" t="n">
        <v>0</v>
      </c>
      <c r="AE1295" s="2" t="n">
        <v>9</v>
      </c>
      <c r="AF1295" s="4" t="n">
        <v>9</v>
      </c>
      <c r="AG1295" s="33" t="n">
        <v>0</v>
      </c>
      <c r="AH1295" s="4" t="n">
        <v>0</v>
      </c>
      <c r="AI1295" s="34" t="n"/>
      <c r="AJ1295" s="34" t="n">
        <v>0</v>
      </c>
      <c r="AK1295" s="2" t="n">
        <v>0</v>
      </c>
      <c r="AL1295" t="inlineStr">
        <is>
          <t>Published</t>
        </is>
      </c>
    </row>
    <row r="1296">
      <c r="A1296">
        <f>HYPERLINK("https://www.walmart.com/ip/6108672925", "6108672925")</f>
        <v/>
      </c>
      <c r="B1296">
        <f>HYPERLINK("https://app.optiwise.ai/catalog/itemdetails/9588073", "Catalonia Cooling Blanket for Hot Sleepers, Summer Bed Blanket for Warm Night Sweat, Cool Sofa Throw Blanket for Hot Flashes, Soft Thin Lightweight Blanket for Adults Kids")</f>
        <v/>
      </c>
      <c r="C1296" t="inlineStr">
        <is>
          <t>1CTBQ10169PP</t>
        </is>
      </c>
      <c r="D1296" t="inlineStr">
        <is>
          <t>Bedding</t>
        </is>
      </c>
      <c r="E1296" t="inlineStr">
        <is>
          <t>Throws</t>
        </is>
      </c>
      <c r="F1296" t="inlineStr">
        <is>
          <t>Catalonia</t>
        </is>
      </c>
      <c r="G1296" t="n">
        <v>0</v>
      </c>
      <c r="H1296" t="n">
        <v>0</v>
      </c>
      <c r="J1296" s="29" t="n">
        <v>0</v>
      </c>
      <c r="K1296" s="30" t="n"/>
      <c r="L1296" s="29" t="n">
        <v>0</v>
      </c>
      <c r="M1296" s="29" t="n">
        <v>0</v>
      </c>
      <c r="N1296" s="2" t="n">
        <v>0</v>
      </c>
      <c r="O1296" s="31" t="n">
        <v>0</v>
      </c>
      <c r="P1296" s="32" t="n"/>
      <c r="Q1296" s="32" t="n">
        <v>0</v>
      </c>
      <c r="R1296" s="32" t="n">
        <v>0</v>
      </c>
      <c r="S1296" s="31" t="n">
        <v>0</v>
      </c>
      <c r="T1296" s="32" t="n">
        <v>0</v>
      </c>
      <c r="U1296" s="31" t="n">
        <v>0</v>
      </c>
      <c r="V1296" s="31" t="n">
        <v>0</v>
      </c>
      <c r="W1296" s="3" t="n">
        <v>0</v>
      </c>
      <c r="X1296" s="3" t="n">
        <v>0</v>
      </c>
      <c r="Y1296" s="32" t="n">
        <v>0</v>
      </c>
      <c r="Z1296" s="3" t="n">
        <v>0</v>
      </c>
      <c r="AA1296" s="32" t="n">
        <v>0</v>
      </c>
      <c r="AB1296" s="3" t="n"/>
      <c r="AC1296" s="31" t="n">
        <v>0</v>
      </c>
      <c r="AD1296" s="2" t="n">
        <v>0</v>
      </c>
      <c r="AE1296" s="2" t="n">
        <v>6</v>
      </c>
      <c r="AF1296" s="4" t="n">
        <v>6</v>
      </c>
      <c r="AG1296" s="33" t="n">
        <v>0</v>
      </c>
      <c r="AH1296" s="4" t="n">
        <v>0</v>
      </c>
      <c r="AI1296" s="34" t="n"/>
      <c r="AJ1296" s="34" t="n">
        <v>0</v>
      </c>
      <c r="AK1296" s="2" t="n">
        <v>0</v>
      </c>
      <c r="AL1296" t="inlineStr">
        <is>
          <t>Published</t>
        </is>
      </c>
    </row>
    <row r="1297">
      <c r="A1297">
        <f>HYPERLINK("https://www.walmart.com/ip/6108672454", "6108672454")</f>
        <v/>
      </c>
      <c r="B1297">
        <f>HYPERLINK("https://app.optiwise.ai/catalog/itemdetails/9588072", "Catalonia Cooling Blanket for Hot Sleepers, Summer Bed Blanket for Warm Night Sweat, Cool Sofa Throw Blanket for Hot Flashes, Soft Thin Lightweight Blanket for Adults Kids")</f>
        <v/>
      </c>
      <c r="C1297" t="inlineStr">
        <is>
          <t>1CTBQ10199BL</t>
        </is>
      </c>
      <c r="D1297" t="inlineStr">
        <is>
          <t>Bedding</t>
        </is>
      </c>
      <c r="E1297" t="inlineStr">
        <is>
          <t>Throws</t>
        </is>
      </c>
      <c r="F1297" t="inlineStr">
        <is>
          <t>Catalonia</t>
        </is>
      </c>
      <c r="G1297" t="n">
        <v>0</v>
      </c>
      <c r="H1297" t="n">
        <v>0</v>
      </c>
      <c r="J1297" s="29" t="n">
        <v>0</v>
      </c>
      <c r="K1297" s="30" t="n"/>
      <c r="L1297" s="29" t="n">
        <v>0</v>
      </c>
      <c r="M1297" s="29" t="n">
        <v>0</v>
      </c>
      <c r="N1297" s="2" t="n">
        <v>0</v>
      </c>
      <c r="O1297" s="31" t="n">
        <v>0</v>
      </c>
      <c r="P1297" s="32" t="n"/>
      <c r="Q1297" s="32" t="n">
        <v>0</v>
      </c>
      <c r="R1297" s="32" t="n">
        <v>0</v>
      </c>
      <c r="S1297" s="31" t="n">
        <v>0</v>
      </c>
      <c r="T1297" s="32" t="n">
        <v>0</v>
      </c>
      <c r="U1297" s="31" t="n">
        <v>0</v>
      </c>
      <c r="V1297" s="31" t="n">
        <v>0</v>
      </c>
      <c r="W1297" s="3" t="n">
        <v>0</v>
      </c>
      <c r="X1297" s="3" t="n">
        <v>0</v>
      </c>
      <c r="Y1297" s="32" t="n">
        <v>0</v>
      </c>
      <c r="Z1297" s="3" t="n">
        <v>0</v>
      </c>
      <c r="AA1297" s="32" t="n">
        <v>0</v>
      </c>
      <c r="AB1297" s="3" t="n"/>
      <c r="AC1297" s="31" t="n">
        <v>0</v>
      </c>
      <c r="AD1297" s="2" t="n">
        <v>0</v>
      </c>
      <c r="AE1297" s="2" t="n">
        <v>5</v>
      </c>
      <c r="AF1297" s="4" t="n">
        <v>5</v>
      </c>
      <c r="AG1297" s="33" t="n">
        <v>0</v>
      </c>
      <c r="AH1297" s="4" t="n">
        <v>0</v>
      </c>
      <c r="AI1297" s="34" t="n"/>
      <c r="AJ1297" s="34" t="n">
        <v>0</v>
      </c>
      <c r="AK1297" s="2" t="n">
        <v>0</v>
      </c>
      <c r="AL1297" t="inlineStr">
        <is>
          <t>Published</t>
        </is>
      </c>
    </row>
    <row r="1298">
      <c r="A1298">
        <f>HYPERLINK("https://www.walmart.com/ip/5815896188", "5815896188")</f>
        <v/>
      </c>
      <c r="B1298">
        <f>HYPERLINK("https://app.optiwise.ai/catalog/itemdetails/9588071", "Tirrinia Surf Poncho Changing Towel Summer Swim Robe with Hood, Portable Dressing Room, Stylish &amp; Multi-Functional for Surfing Beach Adult Men Women")</f>
        <v/>
      </c>
      <c r="C1298" t="inlineStr">
        <is>
          <t>1TRBR131GL-4</t>
        </is>
      </c>
      <c r="D1298" t="inlineStr">
        <is>
          <t>Clothing</t>
        </is>
      </c>
      <c r="E1298" t="inlineStr">
        <is>
          <t>Sleepwear Robes &amp; Bathrobes</t>
        </is>
      </c>
      <c r="F1298" t="inlineStr">
        <is>
          <t>Tirrinia</t>
        </is>
      </c>
      <c r="G1298" t="n">
        <v>0</v>
      </c>
      <c r="H1298" t="n">
        <v>0</v>
      </c>
      <c r="J1298" s="29" t="n">
        <v>0</v>
      </c>
      <c r="K1298" s="30" t="n"/>
      <c r="L1298" s="29" t="n">
        <v>0</v>
      </c>
      <c r="M1298" s="29" t="n">
        <v>0</v>
      </c>
      <c r="N1298" s="2" t="n">
        <v>0</v>
      </c>
      <c r="O1298" s="31" t="n">
        <v>0</v>
      </c>
      <c r="P1298" s="32" t="n"/>
      <c r="Q1298" s="32" t="n">
        <v>0</v>
      </c>
      <c r="R1298" s="32" t="n">
        <v>0</v>
      </c>
      <c r="S1298" s="31" t="n">
        <v>0</v>
      </c>
      <c r="T1298" s="32" t="n">
        <v>0</v>
      </c>
      <c r="U1298" s="31" t="n">
        <v>0</v>
      </c>
      <c r="V1298" s="31" t="n">
        <v>0</v>
      </c>
      <c r="W1298" s="3" t="n">
        <v>0</v>
      </c>
      <c r="X1298" s="3" t="n">
        <v>0</v>
      </c>
      <c r="Y1298" s="32" t="n">
        <v>0</v>
      </c>
      <c r="Z1298" s="3" t="n">
        <v>0</v>
      </c>
      <c r="AA1298" s="32" t="n">
        <v>0</v>
      </c>
      <c r="AB1298" s="3" t="n"/>
      <c r="AC1298" s="31" t="n">
        <v>0</v>
      </c>
      <c r="AD1298" s="2" t="n">
        <v>0</v>
      </c>
      <c r="AE1298" s="2" t="n">
        <v>1</v>
      </c>
      <c r="AF1298" s="4" t="n">
        <v>1</v>
      </c>
      <c r="AG1298" s="33" t="n">
        <v>0</v>
      </c>
      <c r="AH1298" s="4" t="n">
        <v>0</v>
      </c>
      <c r="AI1298" s="34" t="n"/>
      <c r="AJ1298" s="34" t="n">
        <v>0</v>
      </c>
      <c r="AK1298" s="2" t="n">
        <v>0</v>
      </c>
      <c r="AL1298" t="inlineStr">
        <is>
          <t>Published</t>
        </is>
      </c>
    </row>
    <row r="1299">
      <c r="A1299">
        <f>HYPERLINK("https://www.walmart.com/ip/5798977265", "5798977265")</f>
        <v/>
      </c>
      <c r="B1299">
        <f>HYPERLINK("https://app.optiwise.ai/catalog/itemdetails/9588070", "Catalonia Cooling Blanket for Hot Sleepers, Summer Bed Blanket for Warm Night Sweat, Cool Sofa Throw Blanket for Hot Flashes, Soft Thin Lightweight Blanket for Adults Kids")</f>
        <v/>
      </c>
      <c r="C1299" t="inlineStr">
        <is>
          <t>1CTBQ10119GY</t>
        </is>
      </c>
      <c r="D1299" t="inlineStr">
        <is>
          <t>Bedding</t>
        </is>
      </c>
      <c r="E1299" t="inlineStr">
        <is>
          <t>Throws</t>
        </is>
      </c>
      <c r="F1299" t="inlineStr">
        <is>
          <t>Catalonia</t>
        </is>
      </c>
      <c r="G1299" t="n">
        <v>0</v>
      </c>
      <c r="H1299" t="n">
        <v>0</v>
      </c>
      <c r="J1299" s="29" t="n">
        <v>0</v>
      </c>
      <c r="K1299" s="30" t="n"/>
      <c r="L1299" s="29" t="n">
        <v>0</v>
      </c>
      <c r="M1299" s="29" t="n">
        <v>0</v>
      </c>
      <c r="N1299" s="2" t="n">
        <v>0</v>
      </c>
      <c r="O1299" s="31" t="n">
        <v>0</v>
      </c>
      <c r="P1299" s="32" t="n"/>
      <c r="Q1299" s="32" t="n">
        <v>0</v>
      </c>
      <c r="R1299" s="32" t="n">
        <v>0</v>
      </c>
      <c r="S1299" s="31" t="n">
        <v>0</v>
      </c>
      <c r="T1299" s="32" t="n">
        <v>0</v>
      </c>
      <c r="U1299" s="31" t="n">
        <v>0</v>
      </c>
      <c r="V1299" s="31" t="n">
        <v>0</v>
      </c>
      <c r="W1299" s="3" t="n">
        <v>0</v>
      </c>
      <c r="X1299" s="3" t="n">
        <v>0</v>
      </c>
      <c r="Y1299" s="32" t="n">
        <v>0</v>
      </c>
      <c r="Z1299" s="3" t="n">
        <v>0</v>
      </c>
      <c r="AA1299" s="32" t="n">
        <v>0</v>
      </c>
      <c r="AB1299" s="3" t="n"/>
      <c r="AC1299" s="31" t="n">
        <v>0</v>
      </c>
      <c r="AD1299" s="2" t="n">
        <v>0</v>
      </c>
      <c r="AE1299" s="2" t="n">
        <v>7</v>
      </c>
      <c r="AF1299" s="4" t="n">
        <v>7</v>
      </c>
      <c r="AG1299" s="33" t="n">
        <v>0</v>
      </c>
      <c r="AH1299" s="4" t="n">
        <v>0</v>
      </c>
      <c r="AI1299" s="34" t="n"/>
      <c r="AJ1299" s="34" t="n">
        <v>0</v>
      </c>
      <c r="AK1299" s="2" t="n">
        <v>0</v>
      </c>
      <c r="AL1299" t="inlineStr">
        <is>
          <t>Published</t>
        </is>
      </c>
    </row>
    <row r="1300">
      <c r="A1300">
        <f>HYPERLINK("https://www.walmart.com/ip/5851502515", "5851502515")</f>
        <v/>
      </c>
      <c r="B1300">
        <f>HYPERLINK("https://app.optiwise.ai/catalog/itemdetails/9493372", "Tirrinia Large Cooler Bag,48 Cans Insulated Leakproof Soft Ice Chest, Portable Beach Cooler with Heavy-Duty Handles for Picnic, Beach, Camping, Road Trips")</f>
        <v/>
      </c>
      <c r="C1300" t="inlineStr">
        <is>
          <t>1TRCB00148BK</t>
        </is>
      </c>
      <c r="D1300" t="inlineStr">
        <is>
          <t>Sport &amp; Recreation Other</t>
        </is>
      </c>
      <c r="E1300" t="inlineStr">
        <is>
          <t>Soft-Sided Coolers</t>
        </is>
      </c>
      <c r="F1300" t="inlineStr">
        <is>
          <t>Tirrinia</t>
        </is>
      </c>
      <c r="G1300" t="n">
        <v>0</v>
      </c>
      <c r="H1300" t="n">
        <v>0</v>
      </c>
      <c r="J1300" s="29" t="n">
        <v>0</v>
      </c>
      <c r="K1300" s="30" t="n"/>
      <c r="L1300" s="29" t="n">
        <v>59.97999954223633</v>
      </c>
      <c r="M1300" s="29" t="n">
        <v>0</v>
      </c>
      <c r="N1300" s="2" t="n">
        <v>0</v>
      </c>
      <c r="O1300" s="31" t="n">
        <v>0</v>
      </c>
      <c r="P1300" s="32" t="n"/>
      <c r="Q1300" s="32" t="n">
        <v>0</v>
      </c>
      <c r="R1300" s="32" t="n">
        <v>0</v>
      </c>
      <c r="S1300" s="31" t="n">
        <v>0</v>
      </c>
      <c r="T1300" s="32" t="n">
        <v>0</v>
      </c>
      <c r="U1300" s="31" t="n">
        <v>0</v>
      </c>
      <c r="V1300" s="31" t="n">
        <v>0</v>
      </c>
      <c r="W1300" s="3" t="n">
        <v>0</v>
      </c>
      <c r="X1300" s="3" t="n">
        <v>0</v>
      </c>
      <c r="Y1300" s="32" t="n">
        <v>0</v>
      </c>
      <c r="Z1300" s="3" t="n">
        <v>0</v>
      </c>
      <c r="AA1300" s="32" t="n">
        <v>0</v>
      </c>
      <c r="AB1300" s="3" t="n"/>
      <c r="AC1300" s="31" t="n">
        <v>0</v>
      </c>
      <c r="AD1300" s="2" t="n">
        <v>0</v>
      </c>
      <c r="AE1300" s="2" t="n">
        <v>32</v>
      </c>
      <c r="AF1300" s="4" t="n">
        <v>32</v>
      </c>
      <c r="AG1300" s="33" t="n">
        <v>0</v>
      </c>
      <c r="AH1300" s="4" t="n">
        <v>0</v>
      </c>
      <c r="AI1300" s="34" t="n"/>
      <c r="AJ1300" s="34" t="n">
        <v>0</v>
      </c>
      <c r="AK1300" s="2" t="n">
        <v>0</v>
      </c>
      <c r="AL1300" t="inlineStr">
        <is>
          <t>Published</t>
        </is>
      </c>
    </row>
    <row r="1301">
      <c r="A1301">
        <f>HYPERLINK("https://www.walmart.com/ip/5788717054", "5788717054")</f>
        <v/>
      </c>
      <c r="B1301">
        <f>HYPERLINK("https://app.optiwise.ai/catalog/itemdetails/9053830", "Tirrinia Camping Cooler Bag Insulated w/ Shoulder Strap and Bottle Opener 20 Cans Portable Ice Chest for Camping Hiking Picnic Beach")</f>
        <v/>
      </c>
      <c r="C1301" t="inlineStr">
        <is>
          <t>1TRCB00136GNBK</t>
        </is>
      </c>
      <c r="D1301" t="inlineStr">
        <is>
          <t>Sport &amp; Recreation Other</t>
        </is>
      </c>
      <c r="E1301" t="inlineStr">
        <is>
          <t>Soft-Sided Coolers</t>
        </is>
      </c>
      <c r="F1301" t="inlineStr">
        <is>
          <t>Tirrinia</t>
        </is>
      </c>
      <c r="G1301" t="n">
        <v>0</v>
      </c>
      <c r="H1301" t="n">
        <v>0</v>
      </c>
      <c r="J1301" s="29" t="n">
        <v>0</v>
      </c>
      <c r="K1301" s="30" t="n"/>
      <c r="L1301" s="29" t="n">
        <v>0</v>
      </c>
      <c r="M1301" s="29" t="n">
        <v>0</v>
      </c>
      <c r="N1301" s="2" t="n">
        <v>0</v>
      </c>
      <c r="O1301" s="31" t="n">
        <v>0</v>
      </c>
      <c r="P1301" s="32" t="n"/>
      <c r="Q1301" s="32" t="n">
        <v>0</v>
      </c>
      <c r="R1301" s="32" t="n">
        <v>0</v>
      </c>
      <c r="S1301" s="31" t="n">
        <v>0</v>
      </c>
      <c r="T1301" s="32" t="n">
        <v>0</v>
      </c>
      <c r="U1301" s="31" t="n">
        <v>0</v>
      </c>
      <c r="V1301" s="31" t="n">
        <v>0</v>
      </c>
      <c r="W1301" s="3" t="n">
        <v>0</v>
      </c>
      <c r="X1301" s="3" t="n">
        <v>0</v>
      </c>
      <c r="Y1301" s="32" t="n">
        <v>0</v>
      </c>
      <c r="Z1301" s="3" t="n">
        <v>0</v>
      </c>
      <c r="AA1301" s="32" t="n">
        <v>0</v>
      </c>
      <c r="AB1301" s="3" t="n"/>
      <c r="AC1301" s="31" t="n">
        <v>0</v>
      </c>
      <c r="AD1301" s="2" t="n">
        <v>0</v>
      </c>
      <c r="AE1301" s="2" t="n">
        <v>18</v>
      </c>
      <c r="AF1301" s="4" t="n">
        <v>18</v>
      </c>
      <c r="AG1301" s="33" t="n">
        <v>0</v>
      </c>
      <c r="AH1301" s="4" t="n">
        <v>0</v>
      </c>
      <c r="AI1301" s="34" t="n"/>
      <c r="AJ1301" s="34" t="n">
        <v>0</v>
      </c>
      <c r="AK1301" s="2" t="n">
        <v>0</v>
      </c>
      <c r="AL1301" t="inlineStr">
        <is>
          <t>Published</t>
        </is>
      </c>
    </row>
    <row r="1302">
      <c r="A1302">
        <f>HYPERLINK("https://www.walmart.com/ip/5562298567", "5562298567")</f>
        <v/>
      </c>
      <c r="B1302">
        <f>HYPERLINK("https://app.optiwise.ai/catalog/itemdetails/9052150", "Tirrinia Surf Poncho Changing Towel Summer Swim Robe with Hood, Portable Dressing Room, Stylish &amp; Multi-Functional for Surfing Beach Adult Men Women")</f>
        <v/>
      </c>
      <c r="C1302" t="inlineStr">
        <is>
          <t>1TRBR131GL-2</t>
        </is>
      </c>
      <c r="D1302" t="inlineStr">
        <is>
          <t>Clothing</t>
        </is>
      </c>
      <c r="E1302" t="inlineStr">
        <is>
          <t>default</t>
        </is>
      </c>
      <c r="F1302" t="inlineStr">
        <is>
          <t>Tirrinia</t>
        </is>
      </c>
      <c r="G1302" t="n">
        <v>0</v>
      </c>
      <c r="H1302" t="n">
        <v>0</v>
      </c>
      <c r="J1302" s="29" t="n">
        <v>0</v>
      </c>
      <c r="K1302" s="30" t="n"/>
      <c r="L1302" s="29" t="n">
        <v>0</v>
      </c>
      <c r="M1302" s="29" t="n">
        <v>0</v>
      </c>
      <c r="N1302" s="2" t="n">
        <v>0</v>
      </c>
      <c r="O1302" s="31" t="n">
        <v>0</v>
      </c>
      <c r="P1302" s="32" t="n"/>
      <c r="Q1302" s="32" t="n">
        <v>0</v>
      </c>
      <c r="R1302" s="32" t="n">
        <v>0</v>
      </c>
      <c r="S1302" s="31" t="n">
        <v>0</v>
      </c>
      <c r="T1302" s="32" t="n">
        <v>0</v>
      </c>
      <c r="U1302" s="31" t="n">
        <v>0</v>
      </c>
      <c r="V1302" s="31" t="n">
        <v>0</v>
      </c>
      <c r="W1302" s="3" t="n">
        <v>0</v>
      </c>
      <c r="X1302" s="3" t="n">
        <v>0</v>
      </c>
      <c r="Y1302" s="32" t="n">
        <v>0</v>
      </c>
      <c r="Z1302" s="3" t="n">
        <v>0</v>
      </c>
      <c r="AA1302" s="32" t="n">
        <v>0</v>
      </c>
      <c r="AB1302" s="3" t="n"/>
      <c r="AC1302" s="31" t="n">
        <v>0</v>
      </c>
      <c r="AD1302" s="2" t="n">
        <v>0</v>
      </c>
      <c r="AE1302" s="2" t="n">
        <v>16</v>
      </c>
      <c r="AF1302" s="4" t="n">
        <v>16</v>
      </c>
      <c r="AG1302" s="33" t="n">
        <v>0</v>
      </c>
      <c r="AH1302" s="4" t="n">
        <v>0</v>
      </c>
      <c r="AI1302" s="34" t="n"/>
      <c r="AJ1302" s="34" t="n">
        <v>0</v>
      </c>
      <c r="AK1302" s="2" t="n">
        <v>0</v>
      </c>
      <c r="AL1302" t="inlineStr">
        <is>
          <t>Published</t>
        </is>
      </c>
    </row>
    <row r="1303">
      <c r="A1303">
        <f>HYPERLINK("https://www.walmart.com/ip/5729771065", "5729771065")</f>
        <v/>
      </c>
      <c r="B1303">
        <f>HYPERLINK("https://app.optiwise.ai/catalog/itemdetails/9049280", "Tirrinia Surf Poncho Changing Towel Summer Swim Robe with Hood, Portable Dressing Room, Stylish &amp; Multi-Functional for Surfing Beach Adult Men Women")</f>
        <v/>
      </c>
      <c r="C1303" t="inlineStr">
        <is>
          <t>1TRBR131BK-2</t>
        </is>
      </c>
      <c r="D1303" t="inlineStr">
        <is>
          <t>Clothing</t>
        </is>
      </c>
      <c r="E1303" t="inlineStr">
        <is>
          <t>Towels &amp; Washcloths</t>
        </is>
      </c>
      <c r="F1303" t="inlineStr">
        <is>
          <t>Tirrinia</t>
        </is>
      </c>
      <c r="G1303" t="n">
        <v>0</v>
      </c>
      <c r="H1303" t="n">
        <v>0</v>
      </c>
      <c r="J1303" s="29" t="n">
        <v>0</v>
      </c>
      <c r="K1303" s="30" t="n"/>
      <c r="L1303" s="29" t="n">
        <v>0</v>
      </c>
      <c r="M1303" s="29" t="n">
        <v>0</v>
      </c>
      <c r="N1303" s="2" t="n">
        <v>0</v>
      </c>
      <c r="O1303" s="31" t="n">
        <v>0</v>
      </c>
      <c r="P1303" s="32" t="n"/>
      <c r="Q1303" s="32" t="n">
        <v>0</v>
      </c>
      <c r="R1303" s="32" t="n">
        <v>0</v>
      </c>
      <c r="S1303" s="31" t="n">
        <v>0</v>
      </c>
      <c r="T1303" s="32" t="n">
        <v>0</v>
      </c>
      <c r="U1303" s="31" t="n">
        <v>0</v>
      </c>
      <c r="V1303" s="31" t="n">
        <v>0</v>
      </c>
      <c r="W1303" s="3" t="n">
        <v>0</v>
      </c>
      <c r="X1303" s="3" t="n">
        <v>0</v>
      </c>
      <c r="Y1303" s="32" t="n">
        <v>0</v>
      </c>
      <c r="Z1303" s="3" t="n">
        <v>0</v>
      </c>
      <c r="AA1303" s="32" t="n">
        <v>0</v>
      </c>
      <c r="AB1303" s="3" t="n"/>
      <c r="AC1303" s="31" t="n">
        <v>0</v>
      </c>
      <c r="AD1303" s="2" t="n">
        <v>0</v>
      </c>
      <c r="AE1303" s="2" t="n">
        <v>19</v>
      </c>
      <c r="AF1303" s="4" t="n">
        <v>19</v>
      </c>
      <c r="AG1303" s="33" t="n">
        <v>0</v>
      </c>
      <c r="AH1303" s="4" t="n">
        <v>0</v>
      </c>
      <c r="AI1303" s="34" t="n"/>
      <c r="AJ1303" s="34" t="n">
        <v>0</v>
      </c>
      <c r="AK1303" s="2" t="n">
        <v>0</v>
      </c>
      <c r="AL1303" t="inlineStr">
        <is>
          <t>Published</t>
        </is>
      </c>
    </row>
    <row r="1304">
      <c r="A1304">
        <f>HYPERLINK("https://www.walmart.com/ip/5681022436", "5681022436")</f>
        <v/>
      </c>
      <c r="B1304">
        <f>HYPERLINK("https://app.optiwise.ai/catalog/itemdetails/9035204", "Tirrinia Camping Cooler Bag Insulated w/ Shoulder Strap and Bottle Opener 20 Cans Portable Ice Chest for Camping Hiking Picnic Beach")</f>
        <v/>
      </c>
      <c r="C1304" t="inlineStr">
        <is>
          <t>1TRCB00136GYBK</t>
        </is>
      </c>
      <c r="D1304" t="inlineStr">
        <is>
          <t>Sport &amp; Recreation Other</t>
        </is>
      </c>
      <c r="E1304" t="inlineStr">
        <is>
          <t>Soft-Sided Coolers</t>
        </is>
      </c>
      <c r="F1304" t="inlineStr">
        <is>
          <t>Tirrinia</t>
        </is>
      </c>
      <c r="G1304" t="n">
        <v>0</v>
      </c>
      <c r="H1304" t="n">
        <v>0</v>
      </c>
      <c r="J1304" s="29" t="n">
        <v>0</v>
      </c>
      <c r="K1304" s="30" t="n"/>
      <c r="L1304" s="29" t="n">
        <v>0</v>
      </c>
      <c r="M1304" s="29" t="n">
        <v>0</v>
      </c>
      <c r="N1304" s="2" t="n">
        <v>0</v>
      </c>
      <c r="O1304" s="31" t="n">
        <v>0</v>
      </c>
      <c r="P1304" s="32" t="n"/>
      <c r="Q1304" s="32" t="n">
        <v>0</v>
      </c>
      <c r="R1304" s="32" t="n">
        <v>0.0567</v>
      </c>
      <c r="S1304" s="31" t="n">
        <v>0</v>
      </c>
      <c r="T1304" s="32" t="n">
        <v>0</v>
      </c>
      <c r="U1304" s="31" t="n">
        <v>0</v>
      </c>
      <c r="V1304" s="31" t="n">
        <v>0</v>
      </c>
      <c r="W1304" s="3" t="n">
        <v>0</v>
      </c>
      <c r="X1304" s="3" t="n">
        <v>0</v>
      </c>
      <c r="Y1304" s="32" t="n">
        <v>0</v>
      </c>
      <c r="Z1304" s="3" t="n">
        <v>0</v>
      </c>
      <c r="AA1304" s="32" t="n">
        <v>0</v>
      </c>
      <c r="AB1304" s="3" t="n"/>
      <c r="AC1304" s="31" t="n">
        <v>0</v>
      </c>
      <c r="AD1304" s="2" t="n">
        <v>73</v>
      </c>
      <c r="AE1304" s="2" t="n">
        <v>33</v>
      </c>
      <c r="AF1304" s="4" t="n">
        <v>40</v>
      </c>
      <c r="AG1304" s="33" t="n">
        <v>0</v>
      </c>
      <c r="AH1304" s="4" t="n">
        <v>0</v>
      </c>
      <c r="AI1304" s="34" t="n"/>
      <c r="AJ1304" s="34" t="n">
        <v>0</v>
      </c>
      <c r="AK1304" s="2" t="n">
        <v>0</v>
      </c>
      <c r="AL1304" t="inlineStr">
        <is>
          <t>Published</t>
        </is>
      </c>
    </row>
    <row r="1305">
      <c r="A1305">
        <f>HYPERLINK("https://www.walmart.com/ip/5600420592", "5600420592")</f>
        <v/>
      </c>
      <c r="B1305">
        <f>HYPERLINK("https://app.optiwise.ai/catalog/itemdetails/9015959", "Tirrinia Bamboo Wine Picnic Table, Ideal Wine Lover Gift, Large Folding Portable Outdoor Snack &amp; Cheese Tray with 4 Wine Glasses Holder for Concerts at Park or Party, Beach")</f>
        <v/>
      </c>
      <c r="C1305" t="inlineStr">
        <is>
          <t>1TRPT402</t>
        </is>
      </c>
      <c r="D1305" t="inlineStr">
        <is>
          <t>Home Decor, Kitchen, &amp; Other</t>
        </is>
      </c>
      <c r="E1305" t="inlineStr">
        <is>
          <t>Wine Racks</t>
        </is>
      </c>
      <c r="F1305" t="inlineStr">
        <is>
          <t>Tirrinia</t>
        </is>
      </c>
      <c r="G1305" t="n">
        <v>0</v>
      </c>
      <c r="H1305" t="n">
        <v>0</v>
      </c>
      <c r="J1305" s="29" t="n">
        <v>0</v>
      </c>
      <c r="K1305" s="30" t="n"/>
      <c r="L1305" s="29" t="n">
        <v>0</v>
      </c>
      <c r="M1305" s="29" t="n">
        <v>0</v>
      </c>
      <c r="N1305" s="2" t="n">
        <v>0</v>
      </c>
      <c r="O1305" s="31" t="n">
        <v>0</v>
      </c>
      <c r="P1305" s="32" t="n"/>
      <c r="Q1305" s="32" t="n">
        <v>0</v>
      </c>
      <c r="R1305" s="32" t="n">
        <v>0</v>
      </c>
      <c r="S1305" s="31" t="n">
        <v>0</v>
      </c>
      <c r="T1305" s="32" t="n">
        <v>0</v>
      </c>
      <c r="U1305" s="31" t="n">
        <v>0</v>
      </c>
      <c r="V1305" s="31" t="n">
        <v>0</v>
      </c>
      <c r="W1305" s="3" t="n">
        <v>0</v>
      </c>
      <c r="X1305" s="3" t="n">
        <v>0</v>
      </c>
      <c r="Y1305" s="32" t="n">
        <v>0</v>
      </c>
      <c r="Z1305" s="3" t="n">
        <v>0</v>
      </c>
      <c r="AA1305" s="32" t="n">
        <v>0</v>
      </c>
      <c r="AB1305" s="3" t="n"/>
      <c r="AC1305" s="31" t="n">
        <v>0</v>
      </c>
      <c r="AD1305" s="2" t="n">
        <v>0</v>
      </c>
      <c r="AE1305" s="2" t="n">
        <v>20</v>
      </c>
      <c r="AF1305" s="4" t="n">
        <v>20</v>
      </c>
      <c r="AG1305" s="33" t="n">
        <v>0</v>
      </c>
      <c r="AH1305" s="4" t="n">
        <v>0</v>
      </c>
      <c r="AI1305" s="34" t="n"/>
      <c r="AJ1305" s="34" t="n">
        <v>0</v>
      </c>
      <c r="AK1305" s="2" t="n">
        <v>0</v>
      </c>
      <c r="AL1305" t="inlineStr">
        <is>
          <t>Published</t>
        </is>
      </c>
    </row>
    <row r="1306">
      <c r="A1306">
        <f>HYPERLINK("https://www.walmart.com/ip/5513752876", "5513752876")</f>
        <v/>
      </c>
      <c r="B1306">
        <f>HYPERLINK("https://app.optiwise.ai/catalog/itemdetails/8056324", "Insulated Cooler Bag, Leakproof Soft Cooler tote bag, Collapsible Waterproof Grocery Thermal Bag, Gift Ideas for Picnic")</f>
        <v/>
      </c>
      <c r="C1306" t="inlineStr">
        <is>
          <t>1SLCB00124STR</t>
        </is>
      </c>
      <c r="D1306" t="inlineStr">
        <is>
          <t>Sport &amp; Recreation Other</t>
        </is>
      </c>
      <c r="E1306" t="inlineStr">
        <is>
          <t>Soft-Sided Coolers</t>
        </is>
      </c>
      <c r="F1306" t="inlineStr">
        <is>
          <t>Solaris</t>
        </is>
      </c>
      <c r="G1306" t="n">
        <v>0</v>
      </c>
      <c r="H1306" t="n">
        <v>0</v>
      </c>
      <c r="J1306" s="29" t="n">
        <v>0</v>
      </c>
      <c r="K1306" s="30" t="n"/>
      <c r="L1306" s="29" t="n">
        <v>0</v>
      </c>
      <c r="M1306" s="29" t="n">
        <v>0</v>
      </c>
      <c r="N1306" s="2" t="n">
        <v>0</v>
      </c>
      <c r="O1306" s="31" t="n">
        <v>0</v>
      </c>
      <c r="P1306" s="32" t="n"/>
      <c r="Q1306" s="32" t="n">
        <v>0</v>
      </c>
      <c r="R1306" s="32" t="n">
        <v>0</v>
      </c>
      <c r="S1306" s="31" t="n">
        <v>0</v>
      </c>
      <c r="T1306" s="32" t="n">
        <v>0</v>
      </c>
      <c r="U1306" s="31" t="n">
        <v>0</v>
      </c>
      <c r="V1306" s="31" t="n">
        <v>0</v>
      </c>
      <c r="W1306" s="3" t="n">
        <v>0</v>
      </c>
      <c r="X1306" s="3" t="n">
        <v>0</v>
      </c>
      <c r="Y1306" s="32" t="n">
        <v>0</v>
      </c>
      <c r="Z1306" s="3" t="n">
        <v>0</v>
      </c>
      <c r="AA1306" s="32" t="n">
        <v>0</v>
      </c>
      <c r="AB1306" s="3" t="n"/>
      <c r="AC1306" s="31" t="n">
        <v>0</v>
      </c>
      <c r="AD1306" s="2" t="n">
        <v>0</v>
      </c>
      <c r="AE1306" s="2" t="n">
        <v>17</v>
      </c>
      <c r="AF1306" s="4" t="n">
        <v>17</v>
      </c>
      <c r="AG1306" s="33" t="n">
        <v>0</v>
      </c>
      <c r="AH1306" s="4" t="n">
        <v>0</v>
      </c>
      <c r="AI1306" s="34" t="n"/>
      <c r="AJ1306" s="34" t="n">
        <v>0</v>
      </c>
      <c r="AK1306" s="2" t="n">
        <v>0</v>
      </c>
      <c r="AL1306" t="inlineStr">
        <is>
          <t>Published</t>
        </is>
      </c>
    </row>
    <row r="1307">
      <c r="A1307">
        <f>HYPERLINK("https://www.walmart.com/ip/5505967232", "5505967232")</f>
        <v/>
      </c>
      <c r="B1307">
        <f>HYPERLINK("https://app.optiwise.ai/catalog/itemdetails/8056323", "Insulated Cooler Bag, Leakproof Soft Cooler tote bag, Collapsible Waterproof Grocery Thermal Bag, Gift Ideas for Picnic")</f>
        <v/>
      </c>
      <c r="C1307" t="inlineStr">
        <is>
          <t>1SLCB00124BK</t>
        </is>
      </c>
      <c r="D1307" t="inlineStr">
        <is>
          <t>Sport &amp; Recreation Other</t>
        </is>
      </c>
      <c r="E1307" t="inlineStr">
        <is>
          <t>Thermocoolers</t>
        </is>
      </c>
      <c r="F1307" t="inlineStr">
        <is>
          <t>Solaris</t>
        </is>
      </c>
      <c r="G1307" t="n">
        <v>0</v>
      </c>
      <c r="H1307" t="n">
        <v>0</v>
      </c>
      <c r="J1307" s="29" t="n">
        <v>0</v>
      </c>
      <c r="K1307" s="30" t="n"/>
      <c r="L1307" s="29" t="n">
        <v>0</v>
      </c>
      <c r="M1307" s="29" t="n">
        <v>0</v>
      </c>
      <c r="N1307" s="2" t="n">
        <v>0</v>
      </c>
      <c r="O1307" s="31" t="n">
        <v>0</v>
      </c>
      <c r="P1307" s="32" t="n"/>
      <c r="Q1307" s="32" t="n">
        <v>0</v>
      </c>
      <c r="R1307" s="32" t="n">
        <v>0</v>
      </c>
      <c r="S1307" s="31" t="n">
        <v>0</v>
      </c>
      <c r="T1307" s="32" t="n">
        <v>0</v>
      </c>
      <c r="U1307" s="31" t="n">
        <v>0</v>
      </c>
      <c r="V1307" s="31" t="n">
        <v>0</v>
      </c>
      <c r="W1307" s="3" t="n">
        <v>0</v>
      </c>
      <c r="X1307" s="3" t="n">
        <v>0</v>
      </c>
      <c r="Y1307" s="32" t="n">
        <v>0</v>
      </c>
      <c r="Z1307" s="3" t="n">
        <v>0</v>
      </c>
      <c r="AA1307" s="32" t="n">
        <v>0</v>
      </c>
      <c r="AB1307" s="3" t="n"/>
      <c r="AC1307" s="31" t="n">
        <v>0</v>
      </c>
      <c r="AD1307" s="2" t="n">
        <v>0</v>
      </c>
      <c r="AE1307" s="2" t="n">
        <v>48</v>
      </c>
      <c r="AF1307" s="4" t="n">
        <v>48</v>
      </c>
      <c r="AG1307" s="33" t="n">
        <v>0</v>
      </c>
      <c r="AH1307" s="4" t="n">
        <v>0</v>
      </c>
      <c r="AI1307" s="34" t="n"/>
      <c r="AJ1307" s="34" t="n">
        <v>0</v>
      </c>
      <c r="AK1307" s="2" t="n">
        <v>0</v>
      </c>
      <c r="AL1307" t="inlineStr">
        <is>
          <t>Published</t>
        </is>
      </c>
    </row>
    <row r="1308">
      <c r="A1308">
        <f>HYPERLINK("https://www.walmart.com/ip/5376149814", "5376149814")</f>
        <v/>
      </c>
      <c r="B1308">
        <f>HYPERLINK("https://app.optiwise.ai/catalog/itemdetails/8056322", "Tirrinia Golf Cooler Bag - Golf Accessories Small 5 Cans Insulated Cooler Sleeve with Storage Pocket")</f>
        <v/>
      </c>
      <c r="C1308" t="inlineStr">
        <is>
          <t>1TRCB00205GY</t>
        </is>
      </c>
      <c r="D1308" t="inlineStr">
        <is>
          <t>Sport &amp; Recreation Other</t>
        </is>
      </c>
      <c r="E1308" t="inlineStr">
        <is>
          <t>Thermocoolers</t>
        </is>
      </c>
      <c r="F1308" t="inlineStr">
        <is>
          <t>Tirrinia</t>
        </is>
      </c>
      <c r="G1308" t="n">
        <v>0</v>
      </c>
      <c r="H1308" t="n">
        <v>0</v>
      </c>
      <c r="J1308" s="29" t="n">
        <v>0</v>
      </c>
      <c r="K1308" s="30" t="n"/>
      <c r="L1308" s="29" t="n">
        <v>0</v>
      </c>
      <c r="M1308" s="29" t="n">
        <v>0</v>
      </c>
      <c r="N1308" s="2" t="n">
        <v>0</v>
      </c>
      <c r="O1308" s="31" t="n">
        <v>0</v>
      </c>
      <c r="P1308" s="32" t="n"/>
      <c r="Q1308" s="32" t="n">
        <v>0</v>
      </c>
      <c r="R1308" s="32" t="n">
        <v>0</v>
      </c>
      <c r="S1308" s="31" t="n">
        <v>0</v>
      </c>
      <c r="T1308" s="32" t="n">
        <v>0</v>
      </c>
      <c r="U1308" s="31" t="n">
        <v>0</v>
      </c>
      <c r="V1308" s="31" t="n">
        <v>0</v>
      </c>
      <c r="W1308" s="3" t="n">
        <v>0</v>
      </c>
      <c r="X1308" s="3" t="n">
        <v>0</v>
      </c>
      <c r="Y1308" s="32" t="n">
        <v>0</v>
      </c>
      <c r="Z1308" s="3" t="n">
        <v>0</v>
      </c>
      <c r="AA1308" s="32" t="n">
        <v>0</v>
      </c>
      <c r="AB1308" s="3" t="n"/>
      <c r="AC1308" s="31" t="n">
        <v>0</v>
      </c>
      <c r="AD1308" s="2" t="n">
        <v>0</v>
      </c>
      <c r="AE1308" s="2" t="n">
        <v>26</v>
      </c>
      <c r="AF1308" s="4" t="n">
        <v>26</v>
      </c>
      <c r="AG1308" s="33" t="n">
        <v>0</v>
      </c>
      <c r="AH1308" s="4" t="n">
        <v>0</v>
      </c>
      <c r="AI1308" s="34" t="n"/>
      <c r="AJ1308" s="34" t="n">
        <v>0</v>
      </c>
      <c r="AK1308" s="2" t="n">
        <v>0</v>
      </c>
      <c r="AL1308" t="inlineStr">
        <is>
          <t>Published</t>
        </is>
      </c>
    </row>
    <row r="1309">
      <c r="A1309">
        <f>HYPERLINK("https://www.walmart.com/ip/5077162262", "5077162262")</f>
        <v/>
      </c>
      <c r="B1309">
        <f>HYPERLINK("https://app.optiwise.ai/catalog/itemdetails/7591725", "Tirrinia Wearable Fleece Blanket for Women &amp; Men, Super-Soft Microplush TV Blanket Adult Wrap Full Body Robe for Lounge Couch, White Footbal Fiel, 73 x 51.")</f>
        <v/>
      </c>
      <c r="C1309" t="inlineStr">
        <is>
          <t>1TRSN100FOOTBALLFIELDWT</t>
        </is>
      </c>
      <c r="D1309" t="inlineStr">
        <is>
          <t>Bedding</t>
        </is>
      </c>
      <c r="E1309" t="inlineStr">
        <is>
          <t>Throws</t>
        </is>
      </c>
      <c r="F1309" t="inlineStr">
        <is>
          <t>Tirrinia</t>
        </is>
      </c>
      <c r="G1309" t="n">
        <v>0</v>
      </c>
      <c r="H1309" t="n">
        <v>0</v>
      </c>
      <c r="I1309" t="inlineStr">
        <is>
          <t>Q2-Target,Coupon_Discount</t>
        </is>
      </c>
      <c r="J1309" s="29" t="n">
        <v>0</v>
      </c>
      <c r="K1309" s="30" t="n"/>
      <c r="L1309" s="29" t="n">
        <v>0</v>
      </c>
      <c r="M1309" s="29" t="n">
        <v>0</v>
      </c>
      <c r="N1309" s="2" t="n">
        <v>0</v>
      </c>
      <c r="O1309" s="31" t="n">
        <v>0</v>
      </c>
      <c r="P1309" s="32" t="n"/>
      <c r="Q1309" s="32" t="n">
        <v>0</v>
      </c>
      <c r="R1309" s="32" t="n">
        <v>0</v>
      </c>
      <c r="S1309" s="31" t="n">
        <v>0</v>
      </c>
      <c r="T1309" s="32" t="n">
        <v>0</v>
      </c>
      <c r="U1309" s="31" t="n">
        <v>0</v>
      </c>
      <c r="V1309" s="31" t="n">
        <v>0</v>
      </c>
      <c r="W1309" s="3" t="n">
        <v>0</v>
      </c>
      <c r="X1309" s="3" t="n">
        <v>0</v>
      </c>
      <c r="Y1309" s="32" t="n">
        <v>0</v>
      </c>
      <c r="Z1309" s="3" t="n">
        <v>0</v>
      </c>
      <c r="AA1309" s="32" t="n">
        <v>0</v>
      </c>
      <c r="AB1309" s="3" t="n"/>
      <c r="AC1309" s="31" t="n">
        <v>0</v>
      </c>
      <c r="AD1309" s="2" t="n">
        <v>0</v>
      </c>
      <c r="AE1309" s="2" t="n">
        <v>23</v>
      </c>
      <c r="AF1309" s="4" t="n">
        <v>23</v>
      </c>
      <c r="AG1309" s="33" t="n">
        <v>0</v>
      </c>
      <c r="AH1309" s="4" t="n">
        <v>0</v>
      </c>
      <c r="AI1309" s="34" t="n"/>
      <c r="AJ1309" s="34" t="n">
        <v>0</v>
      </c>
      <c r="AK1309" s="2" t="n">
        <v>0</v>
      </c>
      <c r="AL1309" t="inlineStr">
        <is>
          <t>Published</t>
        </is>
      </c>
    </row>
    <row r="1310">
      <c r="A1310">
        <f>HYPERLINK("https://www.walmart.com/ip/5059449980", "5059449980")</f>
        <v/>
      </c>
      <c r="B1310">
        <f>HYPERLINK("https://app.optiwise.ai/catalog/itemdetails/7591720", "Tirrinia Sherpa Wearable Blanket for Adult Women and Men, Super Soft Comfy Warm Plush Throw with Sleeves TV Blanket Wrap Robe Cover for Sofa, Couch 72 x 55, Blue Wonder Cat")</f>
        <v/>
      </c>
      <c r="C1310" t="inlineStr">
        <is>
          <t>1TRSN110WONDERCATGY</t>
        </is>
      </c>
      <c r="D1310" t="inlineStr">
        <is>
          <t>Bedding</t>
        </is>
      </c>
      <c r="E1310" t="inlineStr">
        <is>
          <t>Throws</t>
        </is>
      </c>
      <c r="F1310" t="inlineStr">
        <is>
          <t>Terrania</t>
        </is>
      </c>
      <c r="G1310" t="n">
        <v>0</v>
      </c>
      <c r="H1310" t="n">
        <v>0</v>
      </c>
      <c r="J1310" s="29" t="n">
        <v>0</v>
      </c>
      <c r="K1310" s="30" t="n"/>
      <c r="L1310" s="29" t="n">
        <v>0</v>
      </c>
      <c r="M1310" s="29" t="n">
        <v>0</v>
      </c>
      <c r="N1310" s="2" t="n">
        <v>0</v>
      </c>
      <c r="O1310" s="31" t="n">
        <v>0</v>
      </c>
      <c r="P1310" s="32" t="n"/>
      <c r="Q1310" s="32" t="n">
        <v>0</v>
      </c>
      <c r="R1310" s="32" t="n">
        <v>0</v>
      </c>
      <c r="S1310" s="31" t="n">
        <v>0</v>
      </c>
      <c r="T1310" s="32" t="n">
        <v>0</v>
      </c>
      <c r="U1310" s="31" t="n">
        <v>0</v>
      </c>
      <c r="V1310" s="31" t="n">
        <v>0</v>
      </c>
      <c r="W1310" s="3" t="n">
        <v>0</v>
      </c>
      <c r="X1310" s="3" t="n">
        <v>0</v>
      </c>
      <c r="Y1310" s="32" t="n">
        <v>0</v>
      </c>
      <c r="Z1310" s="3" t="n">
        <v>0</v>
      </c>
      <c r="AA1310" s="32" t="n">
        <v>0</v>
      </c>
      <c r="AB1310" s="3" t="n"/>
      <c r="AC1310" s="31" t="n">
        <v>0</v>
      </c>
      <c r="AD1310" s="2" t="n">
        <v>0</v>
      </c>
      <c r="AE1310" s="2" t="n">
        <v>28</v>
      </c>
      <c r="AF1310" s="4" t="n">
        <v>28</v>
      </c>
      <c r="AG1310" s="33" t="n">
        <v>0</v>
      </c>
      <c r="AH1310" s="4" t="n">
        <v>0</v>
      </c>
      <c r="AI1310" s="34" t="n"/>
      <c r="AJ1310" s="34" t="n">
        <v>0</v>
      </c>
      <c r="AK1310" s="2" t="n">
        <v>0</v>
      </c>
      <c r="AL1310" t="inlineStr">
        <is>
          <t>Published</t>
        </is>
      </c>
    </row>
    <row r="1311">
      <c r="A1311">
        <f>HYPERLINK("https://www.walmart.com/ip/6099861551", "6099861551")</f>
        <v/>
      </c>
      <c r="B1311">
        <f>HYPERLINK("https://app.optiwise.ai/catalog/itemdetails/9588087", "Catalonia Cooling Blanket for Hot Sleepers, Summer Bed Blanket for Warm Night Sweat, Cool Sofa Throw Blanket for Hot Flashes, Soft Thin Lightweight Blanket for Adults Kids")</f>
        <v/>
      </c>
      <c r="C1311" t="inlineStr">
        <is>
          <t>1CTBQ10119PP</t>
        </is>
      </c>
      <c r="D1311" t="inlineStr">
        <is>
          <t>Bedding</t>
        </is>
      </c>
      <c r="E1311" t="inlineStr">
        <is>
          <t>Throws</t>
        </is>
      </c>
      <c r="F1311" t="inlineStr">
        <is>
          <t>Catalonia</t>
        </is>
      </c>
      <c r="G1311" t="n">
        <v>0</v>
      </c>
      <c r="H1311" t="n">
        <v>0</v>
      </c>
      <c r="J1311" s="29" t="n">
        <v>0</v>
      </c>
      <c r="K1311" s="30" t="n"/>
      <c r="L1311" s="29" t="n">
        <v>0</v>
      </c>
      <c r="M1311" s="29" t="n">
        <v>0</v>
      </c>
      <c r="N1311" s="2" t="n">
        <v>0</v>
      </c>
      <c r="O1311" s="31" t="n">
        <v>0</v>
      </c>
      <c r="P1311" s="32" t="n"/>
      <c r="Q1311" s="32" t="n">
        <v>0</v>
      </c>
      <c r="R1311" s="32" t="n">
        <v>0</v>
      </c>
      <c r="S1311" s="31" t="n">
        <v>0</v>
      </c>
      <c r="T1311" s="32" t="n">
        <v>0</v>
      </c>
      <c r="U1311" s="31" t="n">
        <v>0</v>
      </c>
      <c r="V1311" s="31" t="n">
        <v>0</v>
      </c>
      <c r="W1311" s="3" t="n">
        <v>0</v>
      </c>
      <c r="X1311" s="3" t="n">
        <v>0</v>
      </c>
      <c r="Y1311" s="32" t="n">
        <v>0</v>
      </c>
      <c r="Z1311" s="3" t="n">
        <v>0</v>
      </c>
      <c r="AA1311" s="32" t="n">
        <v>0</v>
      </c>
      <c r="AB1311" s="3" t="n"/>
      <c r="AC1311" s="31" t="n">
        <v>0</v>
      </c>
      <c r="AD1311" s="2" t="n">
        <v>0</v>
      </c>
      <c r="AE1311" s="2" t="n">
        <v>10</v>
      </c>
      <c r="AF1311" s="4" t="n">
        <v>10</v>
      </c>
      <c r="AG1311" s="33" t="n">
        <v>0</v>
      </c>
      <c r="AH1311" s="4" t="n">
        <v>0</v>
      </c>
      <c r="AI1311" s="34" t="n"/>
      <c r="AJ1311" s="34" t="n">
        <v>0</v>
      </c>
      <c r="AK1311" s="2" t="n">
        <v>0</v>
      </c>
      <c r="AL1311" t="inlineStr">
        <is>
          <t>Published</t>
        </is>
      </c>
    </row>
    <row r="1312">
      <c r="A1312">
        <f>HYPERLINK("https://www.walmart.com/ip/2918837766", "2918837766")</f>
        <v/>
      </c>
      <c r="B1312">
        <f>HYPERLINK("https://app.optiwise.ai/catalog/itemdetails/4971127", "Tirrinia Leakproof Thermal Reusable Lunch Box for Women Men, Insulated Lunch Cooler with Durable Side Pocket and multifunctional Strap for Adult &amp; Kids, Medium Size, Gray Checkered")</f>
        <v/>
      </c>
      <c r="C1312" t="inlineStr">
        <is>
          <t>1TRLB702P1GYCK</t>
        </is>
      </c>
      <c r="D1312" t="inlineStr">
        <is>
          <t>Home Decor, Kitchen, &amp; Other</t>
        </is>
      </c>
      <c r="E1312" t="inlineStr">
        <is>
          <t>Reusable Lunch Bags &amp; Boxes</t>
        </is>
      </c>
      <c r="F1312" t="inlineStr">
        <is>
          <t>Tirrinia</t>
        </is>
      </c>
      <c r="G1312" t="n">
        <v>4.6</v>
      </c>
      <c r="H1312" t="n">
        <v>9</v>
      </c>
      <c r="I1312" t="inlineStr">
        <is>
          <t>Brand Camp VD</t>
        </is>
      </c>
      <c r="J1312" s="29" t="n">
        <v>0</v>
      </c>
      <c r="K1312" s="30" t="n"/>
      <c r="L1312" s="29" t="n">
        <v>0</v>
      </c>
      <c r="M1312" s="29" t="n">
        <v>0</v>
      </c>
      <c r="N1312" s="2" t="n">
        <v>0</v>
      </c>
      <c r="O1312" s="31" t="n">
        <v>0</v>
      </c>
      <c r="P1312" s="32" t="n"/>
      <c r="Q1312" s="32" t="n">
        <v>0</v>
      </c>
      <c r="R1312" s="32" t="n">
        <v>0</v>
      </c>
      <c r="S1312" s="31" t="n">
        <v>0</v>
      </c>
      <c r="T1312" s="32" t="n">
        <v>0</v>
      </c>
      <c r="U1312" s="31" t="n">
        <v>0</v>
      </c>
      <c r="V1312" s="31" t="n">
        <v>0</v>
      </c>
      <c r="W1312" s="3" t="n">
        <v>0</v>
      </c>
      <c r="X1312" s="3" t="n">
        <v>0</v>
      </c>
      <c r="Y1312" s="32" t="n">
        <v>0</v>
      </c>
      <c r="Z1312" s="3" t="n">
        <v>0</v>
      </c>
      <c r="AA1312" s="32" t="n">
        <v>0</v>
      </c>
      <c r="AB1312" s="3" t="n"/>
      <c r="AC1312" s="31" t="n">
        <v>0</v>
      </c>
      <c r="AD1312" s="2" t="n">
        <v>0</v>
      </c>
      <c r="AE1312" s="2" t="n">
        <v>0</v>
      </c>
      <c r="AF1312" s="4" t="n">
        <v>0</v>
      </c>
      <c r="AG1312" s="33" t="n">
        <v>0</v>
      </c>
      <c r="AH1312" s="4" t="n">
        <v>0</v>
      </c>
      <c r="AI1312" s="34" t="n"/>
      <c r="AJ1312" s="34" t="n">
        <v>0</v>
      </c>
      <c r="AK1312" s="2" t="n">
        <v>0</v>
      </c>
      <c r="AL1312" t="inlineStr">
        <is>
          <t>Published</t>
        </is>
      </c>
    </row>
    <row r="1313">
      <c r="A1313">
        <f>HYPERLINK("https://www.walmart.com/ip/3102312104", "3102312104")</f>
        <v/>
      </c>
      <c r="B1313">
        <f>HYPERLINK("https://app.optiwise.ai/catalog/itemdetails/5655956", "Medium Pet Travel Backpack Carrier for Dogs Cat Animal Puppy, Breathable Mesh Net Removable Sherpa Bed Outdoor Carrier f")</f>
        <v/>
      </c>
      <c r="C1313" t="inlineStr">
        <is>
          <t>1TRPB200BL</t>
        </is>
      </c>
      <c r="D1313" t="inlineStr">
        <is>
          <t>Animal Other</t>
        </is>
      </c>
      <c r="E1313" t="inlineStr">
        <is>
          <t>Pet Carriers</t>
        </is>
      </c>
      <c r="F1313" t="inlineStr">
        <is>
          <t>Kato</t>
        </is>
      </c>
      <c r="G1313" t="n">
        <v>5</v>
      </c>
      <c r="H1313" t="n">
        <v>4</v>
      </c>
      <c r="J1313" s="29" t="n">
        <v>0</v>
      </c>
      <c r="K1313" s="30" t="n"/>
      <c r="L1313" s="29" t="n">
        <v>0</v>
      </c>
      <c r="M1313" s="29" t="n">
        <v>0</v>
      </c>
      <c r="N1313" s="2" t="n">
        <v>0</v>
      </c>
      <c r="O1313" s="31" t="n">
        <v>0</v>
      </c>
      <c r="P1313" s="32" t="n"/>
      <c r="Q1313" s="32" t="n">
        <v>0</v>
      </c>
      <c r="R1313" s="32" t="n">
        <v>0</v>
      </c>
      <c r="S1313" s="31" t="n">
        <v>0</v>
      </c>
      <c r="T1313" s="32" t="n">
        <v>0</v>
      </c>
      <c r="U1313" s="31" t="n">
        <v>0</v>
      </c>
      <c r="V1313" s="31" t="n">
        <v>0</v>
      </c>
      <c r="W1313" s="3" t="n">
        <v>0</v>
      </c>
      <c r="X1313" s="3" t="n">
        <v>0</v>
      </c>
      <c r="Y1313" s="32" t="n">
        <v>0</v>
      </c>
      <c r="Z1313" s="3" t="n">
        <v>0</v>
      </c>
      <c r="AA1313" s="32" t="n">
        <v>0</v>
      </c>
      <c r="AB1313" s="3" t="n"/>
      <c r="AC1313" s="31" t="n">
        <v>0</v>
      </c>
      <c r="AD1313" s="2" t="n">
        <v>0</v>
      </c>
      <c r="AE1313" s="2" t="n">
        <v>6</v>
      </c>
      <c r="AF1313" s="4" t="n">
        <v>6</v>
      </c>
      <c r="AG1313" s="33" t="n">
        <v>0</v>
      </c>
      <c r="AH1313" s="4" t="n">
        <v>0</v>
      </c>
      <c r="AI1313" s="34" t="n"/>
      <c r="AJ1313" s="34" t="n">
        <v>0</v>
      </c>
      <c r="AK1313" s="2" t="n">
        <v>0</v>
      </c>
      <c r="AL1313" t="inlineStr">
        <is>
          <t>Published</t>
        </is>
      </c>
    </row>
    <row r="1314">
      <c r="A1314">
        <f>HYPERLINK("https://www.walmart.com/ip/2059483253", "2059483253")</f>
        <v/>
      </c>
      <c r="B1314">
        <f>HYPERLINK("https://app.optiwise.ai/catalog/itemdetails/5655955", "Medium Pet Travel Backpack Carrier for Dogs Cat Animal Puppy, Breathable Mesh Net Removable Sherpa Bed Outdoor Carrier f")</f>
        <v/>
      </c>
      <c r="C1314" t="inlineStr">
        <is>
          <t>1TRPB200GN</t>
        </is>
      </c>
      <c r="D1314" t="inlineStr">
        <is>
          <t>Animal Other</t>
        </is>
      </c>
      <c r="E1314" t="inlineStr">
        <is>
          <t>Pet Carriers</t>
        </is>
      </c>
      <c r="F1314" t="inlineStr">
        <is>
          <t>Kato</t>
        </is>
      </c>
      <c r="G1314" t="n">
        <v>5</v>
      </c>
      <c r="H1314" t="n">
        <v>4</v>
      </c>
      <c r="J1314" s="29" t="n">
        <v>0</v>
      </c>
      <c r="K1314" s="30" t="n"/>
      <c r="L1314" s="29" t="n">
        <v>0</v>
      </c>
      <c r="M1314" s="29" t="n">
        <v>0</v>
      </c>
      <c r="N1314" s="2" t="n">
        <v>0</v>
      </c>
      <c r="O1314" s="31" t="n">
        <v>0</v>
      </c>
      <c r="P1314" s="32" t="n"/>
      <c r="Q1314" s="32" t="n">
        <v>0</v>
      </c>
      <c r="R1314" s="32" t="n">
        <v>0</v>
      </c>
      <c r="S1314" s="31" t="n">
        <v>0</v>
      </c>
      <c r="T1314" s="32" t="n">
        <v>0</v>
      </c>
      <c r="U1314" s="31" t="n">
        <v>0</v>
      </c>
      <c r="V1314" s="31" t="n">
        <v>0</v>
      </c>
      <c r="W1314" s="3" t="n">
        <v>0</v>
      </c>
      <c r="X1314" s="3" t="n">
        <v>0</v>
      </c>
      <c r="Y1314" s="32" t="n">
        <v>0</v>
      </c>
      <c r="Z1314" s="3" t="n">
        <v>0</v>
      </c>
      <c r="AA1314" s="32" t="n">
        <v>0</v>
      </c>
      <c r="AB1314" s="3" t="n"/>
      <c r="AC1314" s="31" t="n">
        <v>0</v>
      </c>
      <c r="AD1314" s="2" t="n">
        <v>0</v>
      </c>
      <c r="AE1314" s="2" t="n">
        <v>4</v>
      </c>
      <c r="AF1314" s="4" t="n">
        <v>4</v>
      </c>
      <c r="AG1314" s="33" t="n">
        <v>0</v>
      </c>
      <c r="AH1314" s="4" t="n">
        <v>0</v>
      </c>
      <c r="AI1314" s="34" t="n"/>
      <c r="AJ1314" s="34" t="n">
        <v>0</v>
      </c>
      <c r="AK1314" s="2" t="n">
        <v>0</v>
      </c>
      <c r="AL1314" t="inlineStr">
        <is>
          <t>Published</t>
        </is>
      </c>
    </row>
    <row r="1315">
      <c r="A1315">
        <f>HYPERLINK("https://www.walmart.com/ip/759888188", "759888188")</f>
        <v/>
      </c>
      <c r="B1315">
        <f>HYPERLINK("https://app.optiwise.ai/catalog/itemdetails/5617450", "Long Kinky Curly Wig Lace Front, Black Halloween Wigs for Women, Synthetic Fiber Deep Wave Hair Replacement Wig 19 Inch")</f>
        <v/>
      </c>
      <c r="C1315" t="inlineStr">
        <is>
          <t>1CTWIG001-2-ESCB</t>
        </is>
      </c>
      <c r="D1315" t="inlineStr">
        <is>
          <t>Clothing</t>
        </is>
      </c>
      <c r="E1315" t="inlineStr">
        <is>
          <t>Wigs &amp; Toupees</t>
        </is>
      </c>
      <c r="F1315" t="inlineStr">
        <is>
          <t>Catalonia</t>
        </is>
      </c>
      <c r="G1315" t="n">
        <v>0</v>
      </c>
      <c r="H1315" t="n">
        <v>0</v>
      </c>
      <c r="J1315" s="29" t="n">
        <v>0</v>
      </c>
      <c r="K1315" s="30" t="n"/>
      <c r="L1315" s="29" t="n">
        <v>0</v>
      </c>
      <c r="M1315" s="29" t="n">
        <v>0</v>
      </c>
      <c r="N1315" s="2" t="n">
        <v>0</v>
      </c>
      <c r="O1315" s="31" t="n">
        <v>0</v>
      </c>
      <c r="P1315" s="32" t="n"/>
      <c r="Q1315" s="32" t="n">
        <v>0</v>
      </c>
      <c r="R1315" s="32" t="n">
        <v>0</v>
      </c>
      <c r="S1315" s="31" t="n">
        <v>0</v>
      </c>
      <c r="T1315" s="32" t="n">
        <v>0</v>
      </c>
      <c r="U1315" s="31" t="n">
        <v>0</v>
      </c>
      <c r="V1315" s="31" t="n">
        <v>0</v>
      </c>
      <c r="W1315" s="3" t="n">
        <v>0</v>
      </c>
      <c r="X1315" s="3" t="n">
        <v>0</v>
      </c>
      <c r="Y1315" s="32" t="n">
        <v>0</v>
      </c>
      <c r="Z1315" s="3" t="n">
        <v>0</v>
      </c>
      <c r="AA1315" s="32" t="n">
        <v>0</v>
      </c>
      <c r="AB1315" s="3" t="n"/>
      <c r="AC1315" s="31" t="n">
        <v>0</v>
      </c>
      <c r="AD1315" s="2" t="n">
        <v>0</v>
      </c>
      <c r="AE1315" s="2" t="n">
        <v>1</v>
      </c>
      <c r="AF1315" s="4" t="n">
        <v>1</v>
      </c>
      <c r="AG1315" s="33" t="n">
        <v>0</v>
      </c>
      <c r="AH1315" s="4" t="n">
        <v>0</v>
      </c>
      <c r="AI1315" s="34" t="n"/>
      <c r="AJ1315" s="34" t="n">
        <v>0</v>
      </c>
      <c r="AK1315" s="2" t="n">
        <v>0</v>
      </c>
      <c r="AL1315" t="inlineStr">
        <is>
          <t>Published</t>
        </is>
      </c>
    </row>
    <row r="1316">
      <c r="A1316">
        <f>HYPERLINK("https://www.walmart.com/ip/677404672", "677404672")</f>
        <v/>
      </c>
      <c r="B1316">
        <f>HYPERLINK("https://app.optiwise.ai/catalog/itemdetails/5617439", "Long Kinky Curly Wig Lace Front,Synthetic Fiber Deep Wave Afro Hair Replacement Wig 19 Inch")</f>
        <v/>
      </c>
      <c r="C1316" t="inlineStr">
        <is>
          <t>1CTWIG001-1B-ESCB</t>
        </is>
      </c>
      <c r="D1316" t="inlineStr">
        <is>
          <t>Clothing</t>
        </is>
      </c>
      <c r="E1316" t="inlineStr">
        <is>
          <t>Wigs &amp; Toupees</t>
        </is>
      </c>
      <c r="F1316" t="inlineStr">
        <is>
          <t>Catalonia</t>
        </is>
      </c>
      <c r="G1316" t="n">
        <v>0</v>
      </c>
      <c r="H1316" t="n">
        <v>0</v>
      </c>
      <c r="J1316" s="29" t="n">
        <v>0</v>
      </c>
      <c r="K1316" s="30" t="n"/>
      <c r="L1316" s="29" t="n">
        <v>0</v>
      </c>
      <c r="M1316" s="29" t="n">
        <v>0</v>
      </c>
      <c r="N1316" s="2" t="n">
        <v>0</v>
      </c>
      <c r="O1316" s="31" t="n">
        <v>0</v>
      </c>
      <c r="P1316" s="32" t="n"/>
      <c r="Q1316" s="32" t="n">
        <v>0</v>
      </c>
      <c r="R1316" s="32" t="n">
        <v>0</v>
      </c>
      <c r="S1316" s="31" t="n">
        <v>0</v>
      </c>
      <c r="T1316" s="32" t="n">
        <v>0</v>
      </c>
      <c r="U1316" s="31" t="n">
        <v>0</v>
      </c>
      <c r="V1316" s="31" t="n">
        <v>0</v>
      </c>
      <c r="W1316" s="3" t="n">
        <v>0</v>
      </c>
      <c r="X1316" s="3" t="n">
        <v>0</v>
      </c>
      <c r="Y1316" s="32" t="n">
        <v>0</v>
      </c>
      <c r="Z1316" s="3" t="n">
        <v>0</v>
      </c>
      <c r="AA1316" s="32" t="n">
        <v>0</v>
      </c>
      <c r="AB1316" s="3" t="n"/>
      <c r="AC1316" s="31" t="n">
        <v>0</v>
      </c>
      <c r="AD1316" s="2" t="n">
        <v>0</v>
      </c>
      <c r="AE1316" s="2" t="n">
        <v>0</v>
      </c>
      <c r="AF1316" s="4" t="n">
        <v>0</v>
      </c>
      <c r="AG1316" s="33" t="n">
        <v>0</v>
      </c>
      <c r="AH1316" s="4" t="n">
        <v>0</v>
      </c>
      <c r="AI1316" s="34" t="n"/>
      <c r="AJ1316" s="34" t="n">
        <v>0</v>
      </c>
      <c r="AK1316" s="2" t="n">
        <v>0</v>
      </c>
      <c r="AL1316" t="inlineStr">
        <is>
          <t>Published</t>
        </is>
      </c>
    </row>
    <row r="1317">
      <c r="A1317">
        <f>HYPERLINK("https://www.walmart.com/ip/656544063", "656544063")</f>
        <v/>
      </c>
      <c r="B1317">
        <f>HYPERLINK("https://app.optiwise.ai/catalog/itemdetails/5617437", "Catalonia Brazilian Curly Wigs for African American Black Women,Kinky Lace Front Wig Heat Resistance Synthetic Fiber 16 Brown")</f>
        <v/>
      </c>
      <c r="C1317" t="inlineStr">
        <is>
          <t>1CTWIG386-2-ESCB</t>
        </is>
      </c>
      <c r="D1317" t="inlineStr">
        <is>
          <t>Clothing</t>
        </is>
      </c>
      <c r="E1317" t="inlineStr">
        <is>
          <t>Wigs &amp; Toupees</t>
        </is>
      </c>
      <c r="F1317" t="inlineStr">
        <is>
          <t>Catalonia</t>
        </is>
      </c>
      <c r="G1317" t="n">
        <v>0</v>
      </c>
      <c r="H1317" t="n">
        <v>0</v>
      </c>
      <c r="J1317" s="29" t="n">
        <v>0</v>
      </c>
      <c r="K1317" s="30" t="n"/>
      <c r="L1317" s="29" t="n">
        <v>0</v>
      </c>
      <c r="M1317" s="29" t="n">
        <v>0</v>
      </c>
      <c r="N1317" s="2" t="n">
        <v>0</v>
      </c>
      <c r="O1317" s="31" t="n">
        <v>0</v>
      </c>
      <c r="P1317" s="32" t="n"/>
      <c r="Q1317" s="32" t="n">
        <v>0</v>
      </c>
      <c r="R1317" s="32" t="n">
        <v>0</v>
      </c>
      <c r="S1317" s="31" t="n">
        <v>0</v>
      </c>
      <c r="T1317" s="32" t="n">
        <v>0</v>
      </c>
      <c r="U1317" s="31" t="n">
        <v>0</v>
      </c>
      <c r="V1317" s="31" t="n">
        <v>0</v>
      </c>
      <c r="W1317" s="3" t="n">
        <v>0</v>
      </c>
      <c r="X1317" s="3" t="n">
        <v>0</v>
      </c>
      <c r="Y1317" s="32" t="n">
        <v>0</v>
      </c>
      <c r="Z1317" s="3" t="n">
        <v>0</v>
      </c>
      <c r="AA1317" s="32" t="n">
        <v>0</v>
      </c>
      <c r="AB1317" s="3" t="n"/>
      <c r="AC1317" s="31" t="n">
        <v>0</v>
      </c>
      <c r="AD1317" s="2" t="n">
        <v>0</v>
      </c>
      <c r="AE1317" s="2" t="n">
        <v>5</v>
      </c>
      <c r="AF1317" s="4" t="n">
        <v>5</v>
      </c>
      <c r="AG1317" s="33" t="n">
        <v>0</v>
      </c>
      <c r="AH1317" s="4" t="n">
        <v>0</v>
      </c>
      <c r="AI1317" s="34" t="n"/>
      <c r="AJ1317" s="34" t="n">
        <v>0</v>
      </c>
      <c r="AK1317" s="2" t="n">
        <v>0</v>
      </c>
      <c r="AL1317" t="inlineStr">
        <is>
          <t>Published</t>
        </is>
      </c>
    </row>
    <row r="1318">
      <c r="A1318">
        <f>HYPERLINK("https://www.walmart.com/ip/537851876", "537851876")</f>
        <v/>
      </c>
      <c r="B1318">
        <f>HYPERLINK("https://app.optiwise.ai/catalog/itemdetails/5617433", "Catalonia Long Kinky Curly Lace Front Wigs,L Part Heat Resistance Synthetic Brazilian Hair Wig for African American Black Women 20")</f>
        <v/>
      </c>
      <c r="C1318" t="inlineStr">
        <is>
          <t>1CTWIG941-1B-ESCB</t>
        </is>
      </c>
      <c r="D1318" t="inlineStr">
        <is>
          <t>Clothing</t>
        </is>
      </c>
      <c r="E1318" t="inlineStr">
        <is>
          <t>Wigs &amp; Toupees</t>
        </is>
      </c>
      <c r="F1318" t="inlineStr">
        <is>
          <t>Catalonia</t>
        </is>
      </c>
      <c r="G1318" t="n">
        <v>0</v>
      </c>
      <c r="H1318" t="n">
        <v>0</v>
      </c>
      <c r="J1318" s="29" t="n">
        <v>0</v>
      </c>
      <c r="K1318" s="30" t="n"/>
      <c r="L1318" s="29" t="n">
        <v>0</v>
      </c>
      <c r="M1318" s="29" t="n">
        <v>0</v>
      </c>
      <c r="N1318" s="2" t="n">
        <v>0</v>
      </c>
      <c r="O1318" s="31" t="n">
        <v>0</v>
      </c>
      <c r="P1318" s="32" t="n"/>
      <c r="Q1318" s="32" t="n">
        <v>0</v>
      </c>
      <c r="R1318" s="32" t="n">
        <v>0</v>
      </c>
      <c r="S1318" s="31" t="n">
        <v>0</v>
      </c>
      <c r="T1318" s="32" t="n">
        <v>0</v>
      </c>
      <c r="U1318" s="31" t="n">
        <v>0</v>
      </c>
      <c r="V1318" s="31" t="n">
        <v>0</v>
      </c>
      <c r="W1318" s="3" t="n">
        <v>0</v>
      </c>
      <c r="X1318" s="3" t="n">
        <v>0</v>
      </c>
      <c r="Y1318" s="32" t="n">
        <v>0</v>
      </c>
      <c r="Z1318" s="3" t="n">
        <v>0</v>
      </c>
      <c r="AA1318" s="32" t="n">
        <v>0</v>
      </c>
      <c r="AB1318" s="3" t="n"/>
      <c r="AC1318" s="31" t="n">
        <v>0</v>
      </c>
      <c r="AD1318" s="2" t="n">
        <v>0</v>
      </c>
      <c r="AE1318" s="2" t="n">
        <v>8</v>
      </c>
      <c r="AF1318" s="4" t="n">
        <v>8</v>
      </c>
      <c r="AG1318" s="33" t="n">
        <v>0</v>
      </c>
      <c r="AH1318" s="4" t="n">
        <v>0</v>
      </c>
      <c r="AI1318" s="34" t="n"/>
      <c r="AJ1318" s="34" t="n">
        <v>0</v>
      </c>
      <c r="AK1318" s="2" t="n">
        <v>0</v>
      </c>
      <c r="AL1318" t="inlineStr">
        <is>
          <t>Published</t>
        </is>
      </c>
    </row>
    <row r="1319">
      <c r="A1319">
        <f>HYPERLINK("https://www.walmart.com/ip/233877568", "233877568")</f>
        <v/>
      </c>
      <c r="B1319">
        <f>HYPERLINK("https://app.optiwise.ai/catalog/itemdetails/5617419", "Catalonia Brazilian Curly Wigs, African American Black Women, Heat Resistance Fiber 16 Black")</f>
        <v/>
      </c>
      <c r="C1319" t="inlineStr">
        <is>
          <t>1CTWIG386-1B-ESCB</t>
        </is>
      </c>
      <c r="D1319" t="inlineStr">
        <is>
          <t>Clothing</t>
        </is>
      </c>
      <c r="E1319" t="inlineStr">
        <is>
          <t>Wigs &amp; Toupees</t>
        </is>
      </c>
      <c r="F1319" t="inlineStr">
        <is>
          <t>Catalonia</t>
        </is>
      </c>
      <c r="G1319" t="n">
        <v>0</v>
      </c>
      <c r="H1319" t="n">
        <v>0</v>
      </c>
      <c r="J1319" s="29" t="n">
        <v>0</v>
      </c>
      <c r="K1319" s="30" t="n"/>
      <c r="L1319" s="29" t="n">
        <v>0</v>
      </c>
      <c r="M1319" s="29" t="n">
        <v>0</v>
      </c>
      <c r="N1319" s="2" t="n">
        <v>0</v>
      </c>
      <c r="O1319" s="31" t="n">
        <v>0</v>
      </c>
      <c r="P1319" s="32" t="n"/>
      <c r="Q1319" s="32" t="n">
        <v>0</v>
      </c>
      <c r="R1319" s="32" t="n">
        <v>0</v>
      </c>
      <c r="S1319" s="31" t="n">
        <v>0</v>
      </c>
      <c r="T1319" s="32" t="n">
        <v>0</v>
      </c>
      <c r="U1319" s="31" t="n">
        <v>0</v>
      </c>
      <c r="V1319" s="31" t="n">
        <v>0</v>
      </c>
      <c r="W1319" s="3" t="n">
        <v>0</v>
      </c>
      <c r="X1319" s="3" t="n">
        <v>0</v>
      </c>
      <c r="Y1319" s="32" t="n">
        <v>0</v>
      </c>
      <c r="Z1319" s="3" t="n">
        <v>0</v>
      </c>
      <c r="AA1319" s="32" t="n">
        <v>0</v>
      </c>
      <c r="AB1319" s="3" t="n"/>
      <c r="AC1319" s="31" t="n">
        <v>0</v>
      </c>
      <c r="AD1319" s="2" t="n">
        <v>0</v>
      </c>
      <c r="AE1319" s="2" t="n">
        <v>4</v>
      </c>
      <c r="AF1319" s="4" t="n">
        <v>4</v>
      </c>
      <c r="AG1319" s="33" t="n">
        <v>0</v>
      </c>
      <c r="AH1319" s="4" t="n">
        <v>0</v>
      </c>
      <c r="AI1319" s="34" t="n"/>
      <c r="AJ1319" s="34" t="n">
        <v>0</v>
      </c>
      <c r="AK1319" s="2" t="n">
        <v>0</v>
      </c>
      <c r="AL1319" t="inlineStr">
        <is>
          <t>Published</t>
        </is>
      </c>
    </row>
    <row r="1320">
      <c r="A1320">
        <f>HYPERLINK("https://www.walmart.com/ip/233444548", "233444548")</f>
        <v/>
      </c>
      <c r="B1320">
        <f>HYPERLINK("https://app.optiwise.ai/catalog/itemdetails/5617418", "Catalonia Long Kinky Curly Wig Lace Front,Synthetic Fiber Deep Wave Hair Replacement Wig 19 Inch")</f>
        <v/>
      </c>
      <c r="C1320" t="inlineStr">
        <is>
          <t>1CTWIG001-4-ESCB</t>
        </is>
      </c>
      <c r="D1320" t="inlineStr">
        <is>
          <t>Clothing</t>
        </is>
      </c>
      <c r="E1320" t="inlineStr">
        <is>
          <t>Wigs &amp; Toupees</t>
        </is>
      </c>
      <c r="F1320" t="inlineStr">
        <is>
          <t>Catalonia</t>
        </is>
      </c>
      <c r="G1320" t="n">
        <v>0</v>
      </c>
      <c r="H1320" t="n">
        <v>0</v>
      </c>
      <c r="J1320" s="29" t="n">
        <v>0</v>
      </c>
      <c r="K1320" s="30" t="n"/>
      <c r="L1320" s="29" t="n">
        <v>0</v>
      </c>
      <c r="M1320" s="29" t="n">
        <v>0</v>
      </c>
      <c r="N1320" s="2" t="n">
        <v>0</v>
      </c>
      <c r="O1320" s="31" t="n">
        <v>0</v>
      </c>
      <c r="P1320" s="32" t="n"/>
      <c r="Q1320" s="32" t="n">
        <v>0</v>
      </c>
      <c r="R1320" s="32" t="n">
        <v>0</v>
      </c>
      <c r="S1320" s="31" t="n">
        <v>0</v>
      </c>
      <c r="T1320" s="32" t="n">
        <v>0</v>
      </c>
      <c r="U1320" s="31" t="n">
        <v>0</v>
      </c>
      <c r="V1320" s="31" t="n">
        <v>0</v>
      </c>
      <c r="W1320" s="3" t="n">
        <v>0</v>
      </c>
      <c r="X1320" s="3" t="n">
        <v>0</v>
      </c>
      <c r="Y1320" s="32" t="n">
        <v>0</v>
      </c>
      <c r="Z1320" s="3" t="n">
        <v>0</v>
      </c>
      <c r="AA1320" s="32" t="n">
        <v>0</v>
      </c>
      <c r="AB1320" s="3" t="n"/>
      <c r="AC1320" s="31" t="n">
        <v>0</v>
      </c>
      <c r="AD1320" s="2" t="n">
        <v>0</v>
      </c>
      <c r="AE1320" s="2" t="n">
        <v>0</v>
      </c>
      <c r="AF1320" s="4" t="n">
        <v>0</v>
      </c>
      <c r="AG1320" s="33" t="n">
        <v>0</v>
      </c>
      <c r="AH1320" s="4" t="n">
        <v>0</v>
      </c>
      <c r="AI1320" s="34" t="n"/>
      <c r="AJ1320" s="34" t="n">
        <v>0</v>
      </c>
      <c r="AK1320" s="2" t="n">
        <v>0</v>
      </c>
      <c r="AL1320" t="inlineStr">
        <is>
          <t>Published</t>
        </is>
      </c>
    </row>
    <row r="1321">
      <c r="A1321">
        <f>HYPERLINK("https://www.walmart.com/ip/3744744434", "3744744434")</f>
        <v/>
      </c>
      <c r="B1321">
        <f>HYPERLINK("https://app.optiwise.ai/catalog/itemdetails/5423738", "Tirrinia 2 In 1 Outdoors UPF 50+ UV Protection Sun Hat for Womens, One Size Female Sports Baseball Cap Gardening Fishing Hat with Neck Flap, Tan")</f>
        <v/>
      </c>
      <c r="C1321" t="inlineStr">
        <is>
          <t>1TRSH9153TN</t>
        </is>
      </c>
      <c r="D1321" t="inlineStr">
        <is>
          <t>Clothing</t>
        </is>
      </c>
      <c r="E1321" t="inlineStr">
        <is>
          <t>Hats</t>
        </is>
      </c>
      <c r="F1321" t="inlineStr">
        <is>
          <t>Tirrinia</t>
        </is>
      </c>
      <c r="G1321" t="n">
        <v>0</v>
      </c>
      <c r="H1321" t="n">
        <v>0</v>
      </c>
      <c r="J1321" s="29" t="n">
        <v>0</v>
      </c>
      <c r="K1321" s="30" t="n"/>
      <c r="L1321" s="29" t="n">
        <v>0</v>
      </c>
      <c r="M1321" s="29" t="n">
        <v>0</v>
      </c>
      <c r="N1321" s="2" t="n">
        <v>0</v>
      </c>
      <c r="O1321" s="31" t="n">
        <v>0</v>
      </c>
      <c r="P1321" s="32" t="n"/>
      <c r="Q1321" s="32" t="n">
        <v>0</v>
      </c>
      <c r="R1321" s="32" t="n">
        <v>0</v>
      </c>
      <c r="S1321" s="31" t="n">
        <v>0</v>
      </c>
      <c r="T1321" s="32" t="n">
        <v>0</v>
      </c>
      <c r="U1321" s="31" t="n">
        <v>0</v>
      </c>
      <c r="V1321" s="31" t="n">
        <v>0</v>
      </c>
      <c r="W1321" s="3" t="n">
        <v>0</v>
      </c>
      <c r="X1321" s="3" t="n">
        <v>0</v>
      </c>
      <c r="Y1321" s="32" t="n">
        <v>0</v>
      </c>
      <c r="Z1321" s="3" t="n">
        <v>0</v>
      </c>
      <c r="AA1321" s="32" t="n">
        <v>0</v>
      </c>
      <c r="AB1321" s="3" t="n"/>
      <c r="AC1321" s="31" t="n">
        <v>0</v>
      </c>
      <c r="AD1321" s="2" t="n">
        <v>0</v>
      </c>
      <c r="AE1321" s="2" t="n">
        <v>4</v>
      </c>
      <c r="AF1321" s="4" t="n">
        <v>4</v>
      </c>
      <c r="AG1321" s="33" t="n">
        <v>0</v>
      </c>
      <c r="AH1321" s="4" t="n">
        <v>0</v>
      </c>
      <c r="AI1321" s="34" t="n"/>
      <c r="AJ1321" s="34" t="n">
        <v>0</v>
      </c>
      <c r="AK1321" s="2" t="n">
        <v>0</v>
      </c>
      <c r="AL1321" t="inlineStr">
        <is>
          <t>Published</t>
        </is>
      </c>
    </row>
    <row r="1322">
      <c r="A1322">
        <f>HYPERLINK("https://www.walmart.com/ip/3160999535", "3160999535")</f>
        <v/>
      </c>
      <c r="B1322">
        <f>HYPERLINK("https://app.optiwise.ai/catalog/itemdetails/5423737", "Tirrinia 2 In 1 Outdoors UPF 50+ UV Protection Sun Hat for Womens, One Size Female Sports Baseball Cap Gardening Fishing Hat with Neck Flap, Gray")</f>
        <v/>
      </c>
      <c r="C1322" t="inlineStr">
        <is>
          <t>1TRSH9153GY</t>
        </is>
      </c>
      <c r="D1322" t="inlineStr">
        <is>
          <t>Clothing</t>
        </is>
      </c>
      <c r="E1322" t="inlineStr">
        <is>
          <t>Hats</t>
        </is>
      </c>
      <c r="F1322" t="inlineStr">
        <is>
          <t>Tirrinia</t>
        </is>
      </c>
      <c r="G1322" t="n">
        <v>0</v>
      </c>
      <c r="H1322" t="n">
        <v>0</v>
      </c>
      <c r="J1322" s="29" t="n">
        <v>0</v>
      </c>
      <c r="K1322" s="30" t="n"/>
      <c r="L1322" s="29" t="n">
        <v>0</v>
      </c>
      <c r="M1322" s="29" t="n">
        <v>0</v>
      </c>
      <c r="N1322" s="2" t="n">
        <v>0</v>
      </c>
      <c r="O1322" s="31" t="n">
        <v>0</v>
      </c>
      <c r="P1322" s="32" t="n"/>
      <c r="Q1322" s="32" t="n">
        <v>0</v>
      </c>
      <c r="R1322" s="32" t="n">
        <v>0</v>
      </c>
      <c r="S1322" s="31" t="n">
        <v>0</v>
      </c>
      <c r="T1322" s="32" t="n">
        <v>0</v>
      </c>
      <c r="U1322" s="31" t="n">
        <v>0</v>
      </c>
      <c r="V1322" s="31" t="n">
        <v>0</v>
      </c>
      <c r="W1322" s="3" t="n">
        <v>0</v>
      </c>
      <c r="X1322" s="3" t="n">
        <v>0</v>
      </c>
      <c r="Y1322" s="32" t="n">
        <v>0</v>
      </c>
      <c r="Z1322" s="3" t="n">
        <v>0</v>
      </c>
      <c r="AA1322" s="32" t="n">
        <v>0</v>
      </c>
      <c r="AB1322" s="3" t="n"/>
      <c r="AC1322" s="31" t="n">
        <v>0</v>
      </c>
      <c r="AD1322" s="2" t="n">
        <v>0</v>
      </c>
      <c r="AE1322" s="2" t="n">
        <v>7</v>
      </c>
      <c r="AF1322" s="4" t="n">
        <v>7</v>
      </c>
      <c r="AG1322" s="33" t="n">
        <v>0</v>
      </c>
      <c r="AH1322" s="4" t="n">
        <v>0</v>
      </c>
      <c r="AI1322" s="34" t="n"/>
      <c r="AJ1322" s="34" t="n">
        <v>0</v>
      </c>
      <c r="AK1322" s="2" t="n">
        <v>0</v>
      </c>
      <c r="AL1322" t="inlineStr">
        <is>
          <t>Published</t>
        </is>
      </c>
    </row>
    <row r="1323">
      <c r="A1323">
        <f>HYPERLINK("https://www.walmart.com/ip/2671026419", "2671026419")</f>
        <v/>
      </c>
      <c r="B1323">
        <f>HYPERLINK("https://app.optiwise.ai/catalog/itemdetails/5423736", "Tirrinia 2 In 1 Outdoors UPF 50+ UV Protection Sun Hat for Womens, One Size Female Sports Baseball Cap Gardening Fishing Hat with Neck Flap, Khaki")</f>
        <v/>
      </c>
      <c r="C1323" t="inlineStr">
        <is>
          <t>1TRSH9153KK</t>
        </is>
      </c>
      <c r="D1323" t="inlineStr">
        <is>
          <t>Clothing</t>
        </is>
      </c>
      <c r="E1323" t="inlineStr">
        <is>
          <t>Hats</t>
        </is>
      </c>
      <c r="F1323" t="inlineStr">
        <is>
          <t>Tirrinia</t>
        </is>
      </c>
      <c r="G1323" t="n">
        <v>0</v>
      </c>
      <c r="H1323" t="n">
        <v>0</v>
      </c>
      <c r="J1323" s="29" t="n">
        <v>0</v>
      </c>
      <c r="K1323" s="30" t="n"/>
      <c r="L1323" s="29" t="n">
        <v>0</v>
      </c>
      <c r="M1323" s="29" t="n">
        <v>0</v>
      </c>
      <c r="N1323" s="2" t="n">
        <v>0</v>
      </c>
      <c r="O1323" s="31" t="n">
        <v>0</v>
      </c>
      <c r="P1323" s="32" t="n"/>
      <c r="Q1323" s="32" t="n">
        <v>0</v>
      </c>
      <c r="R1323" s="32" t="n">
        <v>0</v>
      </c>
      <c r="S1323" s="31" t="n">
        <v>0</v>
      </c>
      <c r="T1323" s="32" t="n">
        <v>0</v>
      </c>
      <c r="U1323" s="31" t="n">
        <v>0</v>
      </c>
      <c r="V1323" s="31" t="n">
        <v>0</v>
      </c>
      <c r="W1323" s="3" t="n">
        <v>0</v>
      </c>
      <c r="X1323" s="3" t="n">
        <v>0</v>
      </c>
      <c r="Y1323" s="32" t="n">
        <v>0</v>
      </c>
      <c r="Z1323" s="3" t="n">
        <v>0</v>
      </c>
      <c r="AA1323" s="32" t="n">
        <v>0</v>
      </c>
      <c r="AB1323" s="3" t="n"/>
      <c r="AC1323" s="31" t="n">
        <v>0</v>
      </c>
      <c r="AD1323" s="2" t="n">
        <v>0</v>
      </c>
      <c r="AE1323" s="2" t="n">
        <v>12</v>
      </c>
      <c r="AF1323" s="4" t="n">
        <v>12</v>
      </c>
      <c r="AG1323" s="33" t="n">
        <v>0</v>
      </c>
      <c r="AH1323" s="4" t="n">
        <v>0</v>
      </c>
      <c r="AI1323" s="34" t="n"/>
      <c r="AJ1323" s="34" t="n">
        <v>0</v>
      </c>
      <c r="AK1323" s="2" t="n">
        <v>0</v>
      </c>
      <c r="AL1323" t="inlineStr">
        <is>
          <t>Published</t>
        </is>
      </c>
    </row>
    <row r="1324">
      <c r="A1324">
        <f>HYPERLINK("https://www.walmart.com/ip/432348972", "432348972")</f>
        <v/>
      </c>
      <c r="B1324">
        <f>HYPERLINK("https://app.optiwise.ai/catalog/itemdetails/4971126", "Tirrinia Leakproof Thermal Reusable Insulated Lunch Bag for Men with Leather Handle,Olive")</f>
        <v/>
      </c>
      <c r="C1324" t="inlineStr">
        <is>
          <t>1TRLB702P1KK</t>
        </is>
      </c>
      <c r="D1324" t="inlineStr">
        <is>
          <t>Home Decor, Kitchen, &amp; Other</t>
        </is>
      </c>
      <c r="E1324" t="inlineStr">
        <is>
          <t>Reusable Lunch Bags &amp; Boxes</t>
        </is>
      </c>
      <c r="F1324" t="inlineStr">
        <is>
          <t>Tirrinia</t>
        </is>
      </c>
      <c r="G1324" t="n">
        <v>0</v>
      </c>
      <c r="H1324" t="n">
        <v>0</v>
      </c>
      <c r="I1324" t="inlineStr">
        <is>
          <t>Brand Camp VD</t>
        </is>
      </c>
      <c r="J1324" s="29" t="n">
        <v>0</v>
      </c>
      <c r="K1324" s="30" t="n"/>
      <c r="L1324" s="29" t="n">
        <v>0</v>
      </c>
      <c r="M1324" s="29" t="n">
        <v>0</v>
      </c>
      <c r="N1324" s="2" t="n">
        <v>0</v>
      </c>
      <c r="O1324" s="31" t="n">
        <v>0</v>
      </c>
      <c r="P1324" s="32" t="n"/>
      <c r="Q1324" s="32" t="n">
        <v>0</v>
      </c>
      <c r="R1324" s="32" t="n">
        <v>0.015</v>
      </c>
      <c r="S1324" s="31" t="n">
        <v>0</v>
      </c>
      <c r="T1324" s="32" t="n">
        <v>0</v>
      </c>
      <c r="U1324" s="31" t="n">
        <v>0</v>
      </c>
      <c r="V1324" s="31" t="n">
        <v>0</v>
      </c>
      <c r="W1324" s="3" t="n">
        <v>0</v>
      </c>
      <c r="X1324" s="3" t="n">
        <v>0</v>
      </c>
      <c r="Y1324" s="32" t="n">
        <v>0</v>
      </c>
      <c r="Z1324" s="3" t="n">
        <v>0</v>
      </c>
      <c r="AA1324" s="32" t="n">
        <v>0</v>
      </c>
      <c r="AB1324" s="3" t="n"/>
      <c r="AC1324" s="31" t="n">
        <v>0</v>
      </c>
      <c r="AD1324" s="2" t="n">
        <v>0</v>
      </c>
      <c r="AE1324" s="2" t="n">
        <v>44</v>
      </c>
      <c r="AF1324" s="4" t="n">
        <v>44</v>
      </c>
      <c r="AG1324" s="33" t="n">
        <v>0</v>
      </c>
      <c r="AH1324" s="4" t="n">
        <v>0</v>
      </c>
      <c r="AI1324" s="34" t="n"/>
      <c r="AJ1324" s="34" t="n">
        <v>0</v>
      </c>
      <c r="AK1324" s="2" t="n">
        <v>0</v>
      </c>
      <c r="AL1324" t="inlineStr">
        <is>
          <t>Published</t>
        </is>
      </c>
    </row>
    <row r="1325">
      <c r="A1325">
        <f>HYPERLINK("https://www.walmart.com/ip/5057432466", "5057432466")</f>
        <v/>
      </c>
      <c r="B1325">
        <f>HYPERLINK("https://app.optiwise.ai/catalog/itemdetails/7591719", "Tirrinia Sherpa Wearable Blanket for Adult Women and Men, Super Soft Comfy Warm Plush Throw with Sleeves TV Blanket Wrap Robe Cover for Sofa, Couch 72 x 55 Pink Love Art")</f>
        <v/>
      </c>
      <c r="C1325" t="inlineStr">
        <is>
          <t>1TRSN110LOVEARTPK</t>
        </is>
      </c>
      <c r="D1325" t="inlineStr">
        <is>
          <t>Bedding</t>
        </is>
      </c>
      <c r="E1325" t="inlineStr">
        <is>
          <t>Throws</t>
        </is>
      </c>
      <c r="F1325" t="inlineStr">
        <is>
          <t>Terrania</t>
        </is>
      </c>
      <c r="G1325" t="n">
        <v>0</v>
      </c>
      <c r="H1325" t="n">
        <v>0</v>
      </c>
      <c r="J1325" s="29" t="n">
        <v>0</v>
      </c>
      <c r="K1325" s="30" t="n"/>
      <c r="L1325" s="29" t="n">
        <v>0</v>
      </c>
      <c r="M1325" s="29" t="n">
        <v>0</v>
      </c>
      <c r="N1325" s="2" t="n">
        <v>0</v>
      </c>
      <c r="O1325" s="31" t="n">
        <v>0</v>
      </c>
      <c r="P1325" s="32" t="n"/>
      <c r="Q1325" s="32" t="n">
        <v>0</v>
      </c>
      <c r="R1325" s="32" t="n">
        <v>0</v>
      </c>
      <c r="S1325" s="31" t="n">
        <v>0</v>
      </c>
      <c r="T1325" s="32" t="n">
        <v>0</v>
      </c>
      <c r="U1325" s="31" t="n">
        <v>0</v>
      </c>
      <c r="V1325" s="31" t="n">
        <v>0</v>
      </c>
      <c r="W1325" s="3" t="n">
        <v>0</v>
      </c>
      <c r="X1325" s="3" t="n">
        <v>0</v>
      </c>
      <c r="Y1325" s="32" t="n">
        <v>0</v>
      </c>
      <c r="Z1325" s="3" t="n">
        <v>0</v>
      </c>
      <c r="AA1325" s="32" t="n">
        <v>0</v>
      </c>
      <c r="AB1325" s="3" t="n"/>
      <c r="AC1325" s="31" t="n">
        <v>0</v>
      </c>
      <c r="AD1325" s="2" t="n">
        <v>0</v>
      </c>
      <c r="AE1325" s="2" t="n">
        <v>16</v>
      </c>
      <c r="AF1325" s="4" t="n">
        <v>16</v>
      </c>
      <c r="AG1325" s="33" t="n">
        <v>0</v>
      </c>
      <c r="AH1325" s="4" t="n">
        <v>0</v>
      </c>
      <c r="AI1325" s="34" t="n"/>
      <c r="AJ1325" s="34" t="n">
        <v>0</v>
      </c>
      <c r="AK1325" s="2" t="n">
        <v>0</v>
      </c>
      <c r="AL1325" t="inlineStr">
        <is>
          <t>Published</t>
        </is>
      </c>
    </row>
    <row r="1326">
      <c r="A1326">
        <f>HYPERLINK("https://www.walmart.com/ip/1573024516", "1573024516")</f>
        <v/>
      </c>
      <c r="B1326">
        <f>HYPERLINK("https://app.optiwise.ai/catalog/itemdetails/4857499", "Tirrinia Wearable Fleece Blanket for Women &amp; Men, Super-Soft Microplush TV Blanket Adult Wrap Full Body Robe for Lounge Couch, Red Christmas, 73 x 51.")</f>
        <v/>
      </c>
      <c r="C1326" t="inlineStr">
        <is>
          <t>1TRSN100RDDOT-TBCB</t>
        </is>
      </c>
      <c r="D1326" t="inlineStr">
        <is>
          <t>Bedding</t>
        </is>
      </c>
      <c r="E1326" t="inlineStr">
        <is>
          <t>Throws</t>
        </is>
      </c>
      <c r="F1326" t="inlineStr">
        <is>
          <t>Tirrinia</t>
        </is>
      </c>
      <c r="G1326" t="n">
        <v>0</v>
      </c>
      <c r="H1326" t="n">
        <v>0</v>
      </c>
      <c r="I1326" t="inlineStr">
        <is>
          <t>Q2-Target,Coupon_Discount,Fleece Blankets</t>
        </is>
      </c>
      <c r="J1326" s="29" t="n">
        <v>0</v>
      </c>
      <c r="K1326" s="30" t="n"/>
      <c r="L1326" s="29" t="n">
        <v>0</v>
      </c>
      <c r="M1326" s="29" t="n">
        <v>0</v>
      </c>
      <c r="N1326" s="2" t="n">
        <v>0</v>
      </c>
      <c r="O1326" s="31" t="n">
        <v>0</v>
      </c>
      <c r="P1326" s="32" t="n"/>
      <c r="Q1326" s="32" t="n">
        <v>0</v>
      </c>
      <c r="R1326" s="32" t="n">
        <v>1.1739</v>
      </c>
      <c r="S1326" s="31" t="n">
        <v>0</v>
      </c>
      <c r="T1326" s="32" t="n">
        <v>0</v>
      </c>
      <c r="U1326" s="31" t="n">
        <v>0</v>
      </c>
      <c r="V1326" s="31" t="n">
        <v>0</v>
      </c>
      <c r="W1326" s="3" t="n">
        <v>0</v>
      </c>
      <c r="X1326" s="3" t="n">
        <v>0</v>
      </c>
      <c r="Y1326" s="32" t="n">
        <v>0</v>
      </c>
      <c r="Z1326" s="3" t="n">
        <v>0</v>
      </c>
      <c r="AA1326" s="32" t="n">
        <v>0</v>
      </c>
      <c r="AB1326" s="3" t="n"/>
      <c r="AC1326" s="31" t="n">
        <v>0</v>
      </c>
      <c r="AD1326" s="2" t="n">
        <v>72</v>
      </c>
      <c r="AE1326" s="2" t="n">
        <v>17</v>
      </c>
      <c r="AF1326" s="4" t="n">
        <v>55</v>
      </c>
      <c r="AG1326" s="33" t="n">
        <v>0</v>
      </c>
      <c r="AH1326" s="4" t="n">
        <v>0</v>
      </c>
      <c r="AI1326" s="34" t="n"/>
      <c r="AJ1326" s="34" t="n">
        <v>0</v>
      </c>
      <c r="AK1326" s="2" t="n">
        <v>0</v>
      </c>
      <c r="AL1326" t="inlineStr">
        <is>
          <t>Published</t>
        </is>
      </c>
    </row>
    <row r="1327">
      <c r="A1327">
        <f>HYPERLINK("https://www.walmart.com/ip/2895742888", "2895742888")</f>
        <v/>
      </c>
      <c r="B1327">
        <f>HYPERLINK("https://app.optiwise.ai/catalog/itemdetails/4416516", "Catalonia Fleece Wearable Blanket with Sleeves and Pocket, Micro Plush Warm Sleeved TV Throw Sherpa Blanket Robe for Women and Men 72”X55”, Moose Red")</f>
        <v/>
      </c>
      <c r="C1327" t="inlineStr">
        <is>
          <t>1CTSN110RDMOOSE</t>
        </is>
      </c>
      <c r="D1327" t="inlineStr">
        <is>
          <t>Bedding</t>
        </is>
      </c>
      <c r="E1327" t="inlineStr">
        <is>
          <t>Throws</t>
        </is>
      </c>
      <c r="F1327" t="inlineStr">
        <is>
          <t>Catalonia</t>
        </is>
      </c>
      <c r="G1327" t="n">
        <v>5</v>
      </c>
      <c r="H1327" t="n">
        <v>4</v>
      </c>
      <c r="I1327" t="inlineStr">
        <is>
          <t>Q2-Target,Coupon_Discount,Batch 1 - TR</t>
        </is>
      </c>
      <c r="J1327" s="29" t="n">
        <v>0</v>
      </c>
      <c r="K1327" s="30" t="n"/>
      <c r="L1327" s="29" t="n">
        <v>0</v>
      </c>
      <c r="M1327" s="29" t="n">
        <v>0</v>
      </c>
      <c r="N1327" s="2" t="n">
        <v>0</v>
      </c>
      <c r="O1327" s="31" t="n">
        <v>0</v>
      </c>
      <c r="P1327" s="32" t="n"/>
      <c r="Q1327" s="32" t="n">
        <v>0</v>
      </c>
      <c r="R1327" s="32" t="n">
        <v>0</v>
      </c>
      <c r="S1327" s="31" t="n">
        <v>0</v>
      </c>
      <c r="T1327" s="32" t="n">
        <v>0</v>
      </c>
      <c r="U1327" s="31" t="n">
        <v>0</v>
      </c>
      <c r="V1327" s="31" t="n">
        <v>0</v>
      </c>
      <c r="W1327" s="3" t="n">
        <v>0</v>
      </c>
      <c r="X1327" s="3" t="n">
        <v>0</v>
      </c>
      <c r="Y1327" s="32" t="n">
        <v>0</v>
      </c>
      <c r="Z1327" s="3" t="n">
        <v>0</v>
      </c>
      <c r="AA1327" s="32" t="n">
        <v>0</v>
      </c>
      <c r="AB1327" s="3" t="n"/>
      <c r="AC1327" s="31" t="n">
        <v>0</v>
      </c>
      <c r="AD1327" s="2" t="n">
        <v>11</v>
      </c>
      <c r="AE1327" s="2" t="n">
        <v>31</v>
      </c>
      <c r="AF1327" s="4" t="n">
        <v>31</v>
      </c>
      <c r="AG1327" s="33" t="n">
        <v>0</v>
      </c>
      <c r="AH1327" s="4" t="n">
        <v>0</v>
      </c>
      <c r="AI1327" s="34" t="n"/>
      <c r="AJ1327" s="34" t="n">
        <v>0</v>
      </c>
      <c r="AK1327" s="2" t="n">
        <v>0</v>
      </c>
      <c r="AL1327" t="inlineStr">
        <is>
          <t>Published</t>
        </is>
      </c>
    </row>
    <row r="1328">
      <c r="A1328">
        <f>HYPERLINK("https://www.walmart.com/ip/2657795366", "2657795366")</f>
        <v/>
      </c>
      <c r="B1328">
        <f>HYPERLINK("https://app.optiwise.ai/catalog/itemdetails/4416515", "Catalonia Christmas Sherpa Fleece Throw Blanket, Cozy Fuzzy Jacquard Blanket for the Couch Bed | Fluffy Comfy Warm Heavy Throws | Red Xmas Gift, 50x60 inches")</f>
        <v/>
      </c>
      <c r="C1328" t="inlineStr">
        <is>
          <t>1CTBF573RDXMAS</t>
        </is>
      </c>
      <c r="D1328" t="inlineStr">
        <is>
          <t>Bedding</t>
        </is>
      </c>
      <c r="E1328" t="inlineStr">
        <is>
          <t>Throws</t>
        </is>
      </c>
      <c r="F1328" t="inlineStr">
        <is>
          <t>Catalonia</t>
        </is>
      </c>
      <c r="G1328" t="n">
        <v>0</v>
      </c>
      <c r="H1328" t="n">
        <v>0</v>
      </c>
      <c r="I1328" t="inlineStr">
        <is>
          <t>Q2-Target,Coupon_Discount,Batch 1 - TR</t>
        </is>
      </c>
      <c r="J1328" s="29" t="n">
        <v>0</v>
      </c>
      <c r="K1328" s="30" t="n"/>
      <c r="L1328" s="29" t="n">
        <v>0</v>
      </c>
      <c r="M1328" s="29" t="n">
        <v>0</v>
      </c>
      <c r="N1328" s="2" t="n">
        <v>0</v>
      </c>
      <c r="O1328" s="31" t="n">
        <v>0</v>
      </c>
      <c r="P1328" s="32" t="n"/>
      <c r="Q1328" s="32" t="n">
        <v>0</v>
      </c>
      <c r="R1328" s="32" t="n">
        <v>0</v>
      </c>
      <c r="S1328" s="31" t="n">
        <v>0</v>
      </c>
      <c r="T1328" s="32" t="n">
        <v>0</v>
      </c>
      <c r="U1328" s="31" t="n">
        <v>0</v>
      </c>
      <c r="V1328" s="31" t="n">
        <v>0</v>
      </c>
      <c r="W1328" s="3" t="n">
        <v>0</v>
      </c>
      <c r="X1328" s="3" t="n">
        <v>0</v>
      </c>
      <c r="Y1328" s="32" t="n">
        <v>0</v>
      </c>
      <c r="Z1328" s="3" t="n">
        <v>0</v>
      </c>
      <c r="AA1328" s="32" t="n">
        <v>0</v>
      </c>
      <c r="AB1328" s="3" t="n"/>
      <c r="AC1328" s="31" t="n">
        <v>0</v>
      </c>
      <c r="AD1328" s="2" t="n">
        <v>0</v>
      </c>
      <c r="AE1328" s="2" t="n">
        <v>2</v>
      </c>
      <c r="AF1328" s="4" t="n">
        <v>2</v>
      </c>
      <c r="AG1328" s="33" t="n">
        <v>0</v>
      </c>
      <c r="AH1328" s="4" t="n">
        <v>0</v>
      </c>
      <c r="AI1328" s="34" t="n"/>
      <c r="AJ1328" s="34" t="n">
        <v>0</v>
      </c>
      <c r="AK1328" s="2" t="n">
        <v>0</v>
      </c>
      <c r="AL1328" t="inlineStr">
        <is>
          <t>Published</t>
        </is>
      </c>
    </row>
    <row r="1329">
      <c r="A1329">
        <f>HYPERLINK("https://www.walmart.com/ip/2344360692", "2344360692")</f>
        <v/>
      </c>
      <c r="B1329">
        <f>HYPERLINK("https://app.optiwise.ai/catalog/itemdetails/4416514", "Catalonia Wearable Blanket with Sleeves, Soft, Cozy Plush Fleece Blanket Robe, One Size Fits All, Gray, 71 x 51")</f>
        <v/>
      </c>
      <c r="C1329" t="inlineStr">
        <is>
          <t>1CTSN150GY</t>
        </is>
      </c>
      <c r="D1329" t="inlineStr">
        <is>
          <t>Bedding</t>
        </is>
      </c>
      <c r="E1329" t="inlineStr">
        <is>
          <t>Throws</t>
        </is>
      </c>
      <c r="F1329" t="inlineStr">
        <is>
          <t>Catalonia</t>
        </is>
      </c>
      <c r="G1329" t="n">
        <v>5</v>
      </c>
      <c r="H1329" t="n">
        <v>1</v>
      </c>
      <c r="I1329" t="inlineStr">
        <is>
          <t>Batch 1 - TR</t>
        </is>
      </c>
      <c r="J1329" s="29" t="n">
        <v>0</v>
      </c>
      <c r="K1329" s="30" t="n"/>
      <c r="L1329" s="29" t="n">
        <v>0</v>
      </c>
      <c r="M1329" s="29" t="n">
        <v>0</v>
      </c>
      <c r="N1329" s="2" t="n">
        <v>0</v>
      </c>
      <c r="O1329" s="31" t="n">
        <v>0</v>
      </c>
      <c r="P1329" s="32" t="n"/>
      <c r="Q1329" s="32" t="n">
        <v>0</v>
      </c>
      <c r="R1329" s="32" t="n">
        <v>0</v>
      </c>
      <c r="S1329" s="31" t="n">
        <v>0</v>
      </c>
      <c r="T1329" s="32" t="n">
        <v>0</v>
      </c>
      <c r="U1329" s="31" t="n">
        <v>0</v>
      </c>
      <c r="V1329" s="31" t="n">
        <v>0</v>
      </c>
      <c r="W1329" s="3" t="n">
        <v>0</v>
      </c>
      <c r="X1329" s="3" t="n">
        <v>0</v>
      </c>
      <c r="Y1329" s="32" t="n">
        <v>0</v>
      </c>
      <c r="Z1329" s="3" t="n">
        <v>0</v>
      </c>
      <c r="AA1329" s="32" t="n">
        <v>0</v>
      </c>
      <c r="AB1329" s="3" t="n"/>
      <c r="AC1329" s="31" t="n">
        <v>0</v>
      </c>
      <c r="AD1329" s="2" t="n">
        <v>0</v>
      </c>
      <c r="AE1329" s="2" t="n">
        <v>3</v>
      </c>
      <c r="AF1329" s="4" t="n">
        <v>3</v>
      </c>
      <c r="AG1329" s="33" t="n">
        <v>0</v>
      </c>
      <c r="AH1329" s="4" t="n">
        <v>0</v>
      </c>
      <c r="AI1329" s="34" t="n"/>
      <c r="AJ1329" s="34" t="n">
        <v>0</v>
      </c>
      <c r="AK1329" s="2" t="n">
        <v>0</v>
      </c>
      <c r="AL1329" t="inlineStr">
        <is>
          <t>Published</t>
        </is>
      </c>
    </row>
    <row r="1330">
      <c r="A1330">
        <f>HYPERLINK("https://www.walmart.com/ip/2328124549", "2328124549")</f>
        <v/>
      </c>
      <c r="B1330">
        <f>HYPERLINK("https://app.optiwise.ai/catalog/itemdetails/4416513", "Catalonia Wearable TV Blanket with Sleeves Arms Micro Plush Fleece Wrap Throw Robe 73 x 51”")</f>
        <v/>
      </c>
      <c r="C1330" t="inlineStr">
        <is>
          <t>1CTSN150P2RD</t>
        </is>
      </c>
      <c r="D1330" t="inlineStr">
        <is>
          <t>Bedding</t>
        </is>
      </c>
      <c r="E1330" t="inlineStr">
        <is>
          <t>Throws</t>
        </is>
      </c>
      <c r="F1330" t="inlineStr">
        <is>
          <t>Catalonia</t>
        </is>
      </c>
      <c r="G1330" t="n">
        <v>0</v>
      </c>
      <c r="H1330" t="n">
        <v>0</v>
      </c>
      <c r="I1330" t="inlineStr">
        <is>
          <t>Batch 1 - TR</t>
        </is>
      </c>
      <c r="J1330" s="29" t="n">
        <v>0</v>
      </c>
      <c r="K1330" s="30" t="n"/>
      <c r="L1330" s="29" t="n">
        <v>0</v>
      </c>
      <c r="M1330" s="29" t="n">
        <v>0</v>
      </c>
      <c r="N1330" s="2" t="n">
        <v>0</v>
      </c>
      <c r="O1330" s="31" t="n">
        <v>0</v>
      </c>
      <c r="P1330" s="32" t="n"/>
      <c r="Q1330" s="32" t="n">
        <v>0</v>
      </c>
      <c r="R1330" s="32" t="n">
        <v>0</v>
      </c>
      <c r="S1330" s="31" t="n">
        <v>0</v>
      </c>
      <c r="T1330" s="32" t="n">
        <v>0</v>
      </c>
      <c r="U1330" s="31" t="n">
        <v>0</v>
      </c>
      <c r="V1330" s="31" t="n">
        <v>0</v>
      </c>
      <c r="W1330" s="3" t="n">
        <v>0</v>
      </c>
      <c r="X1330" s="3" t="n">
        <v>0</v>
      </c>
      <c r="Y1330" s="32" t="n">
        <v>0</v>
      </c>
      <c r="Z1330" s="3" t="n">
        <v>0</v>
      </c>
      <c r="AA1330" s="32" t="n">
        <v>0</v>
      </c>
      <c r="AB1330" s="3" t="n"/>
      <c r="AC1330" s="31" t="n">
        <v>0</v>
      </c>
      <c r="AD1330" s="2" t="n">
        <v>3</v>
      </c>
      <c r="AE1330" s="2" t="n">
        <v>10</v>
      </c>
      <c r="AF1330" s="4" t="n">
        <v>10</v>
      </c>
      <c r="AG1330" s="33" t="n">
        <v>0</v>
      </c>
      <c r="AH1330" s="4" t="n">
        <v>0</v>
      </c>
      <c r="AI1330" s="34" t="n"/>
      <c r="AJ1330" s="34" t="n">
        <v>0</v>
      </c>
      <c r="AK1330" s="2" t="n">
        <v>0</v>
      </c>
      <c r="AL1330" t="inlineStr">
        <is>
          <t>Published</t>
        </is>
      </c>
    </row>
    <row r="1331">
      <c r="A1331">
        <f>HYPERLINK("https://www.walmart.com/ip/2317257431", "2317257431")</f>
        <v/>
      </c>
      <c r="B1331">
        <f>HYPERLINK("https://app.optiwise.ai/catalog/itemdetails/4416512", "Catalonia Wearable Fleece Blanket with Sleeves and Pocket, Soft, Cozy Plush Fleece Wrap Throw Blanket Robe, One Size Fits All, Aqua, 71 x 51")</f>
        <v/>
      </c>
      <c r="C1331" t="inlineStr">
        <is>
          <t>1CTSN150AQ</t>
        </is>
      </c>
      <c r="D1331" t="inlineStr">
        <is>
          <t>Bedding</t>
        </is>
      </c>
      <c r="E1331" t="inlineStr">
        <is>
          <t>Throws</t>
        </is>
      </c>
      <c r="F1331" t="inlineStr">
        <is>
          <t>Catalonia</t>
        </is>
      </c>
      <c r="G1331" t="n">
        <v>0</v>
      </c>
      <c r="H1331" t="n">
        <v>0</v>
      </c>
      <c r="I1331" t="inlineStr">
        <is>
          <t>Batch 1 - TR</t>
        </is>
      </c>
      <c r="J1331" s="29" t="n">
        <v>0</v>
      </c>
      <c r="K1331" s="30" t="n"/>
      <c r="L1331" s="29" t="n">
        <v>0</v>
      </c>
      <c r="M1331" s="29" t="n">
        <v>0</v>
      </c>
      <c r="N1331" s="2" t="n">
        <v>0</v>
      </c>
      <c r="O1331" s="31" t="n">
        <v>0</v>
      </c>
      <c r="P1331" s="32" t="n"/>
      <c r="Q1331" s="32" t="n">
        <v>0</v>
      </c>
      <c r="R1331" s="32" t="n">
        <v>0</v>
      </c>
      <c r="S1331" s="31" t="n">
        <v>0</v>
      </c>
      <c r="T1331" s="32" t="n">
        <v>0</v>
      </c>
      <c r="U1331" s="31" t="n">
        <v>0</v>
      </c>
      <c r="V1331" s="31" t="n">
        <v>0</v>
      </c>
      <c r="W1331" s="3" t="n">
        <v>0</v>
      </c>
      <c r="X1331" s="3" t="n">
        <v>0</v>
      </c>
      <c r="Y1331" s="32" t="n">
        <v>0</v>
      </c>
      <c r="Z1331" s="3" t="n">
        <v>0</v>
      </c>
      <c r="AA1331" s="32" t="n">
        <v>0</v>
      </c>
      <c r="AB1331" s="3" t="n"/>
      <c r="AC1331" s="31" t="n">
        <v>0</v>
      </c>
      <c r="AD1331" s="2" t="n">
        <v>0</v>
      </c>
      <c r="AE1331" s="2" t="n">
        <v>2</v>
      </c>
      <c r="AF1331" s="4" t="n">
        <v>2</v>
      </c>
      <c r="AG1331" s="33" t="n">
        <v>0</v>
      </c>
      <c r="AH1331" s="4" t="n">
        <v>0</v>
      </c>
      <c r="AI1331" s="34" t="n"/>
      <c r="AJ1331" s="34" t="n">
        <v>0</v>
      </c>
      <c r="AK1331" s="2" t="n">
        <v>0</v>
      </c>
      <c r="AL1331" t="inlineStr">
        <is>
          <t>Published</t>
        </is>
      </c>
    </row>
    <row r="1332">
      <c r="A1332">
        <f>HYPERLINK("https://www.walmart.com/ip/2287101821", "2287101821")</f>
        <v/>
      </c>
      <c r="B1332">
        <f>HYPERLINK("https://app.optiwise.ai/catalog/itemdetails/4416511", "Catalonia Wearable TV Blanket with Sleeves Arms Micro Plush Fleece Wrap Throw Robe 73 x 51”")</f>
        <v/>
      </c>
      <c r="C1332" t="inlineStr">
        <is>
          <t>1CTSN150PP</t>
        </is>
      </c>
      <c r="D1332" t="inlineStr">
        <is>
          <t>Bedding</t>
        </is>
      </c>
      <c r="E1332" t="inlineStr">
        <is>
          <t>Throws</t>
        </is>
      </c>
      <c r="F1332" t="inlineStr">
        <is>
          <t>Catalonia</t>
        </is>
      </c>
      <c r="G1332" t="n">
        <v>0</v>
      </c>
      <c r="H1332" t="n">
        <v>0</v>
      </c>
      <c r="I1332" t="inlineStr">
        <is>
          <t>Batch 1 - TR</t>
        </is>
      </c>
      <c r="J1332" s="29" t="n">
        <v>0</v>
      </c>
      <c r="K1332" s="30" t="n"/>
      <c r="L1332" s="29" t="n">
        <v>0</v>
      </c>
      <c r="M1332" s="29" t="n">
        <v>0</v>
      </c>
      <c r="N1332" s="2" t="n">
        <v>0</v>
      </c>
      <c r="O1332" s="31" t="n">
        <v>0</v>
      </c>
      <c r="P1332" s="32" t="n"/>
      <c r="Q1332" s="32" t="n">
        <v>0</v>
      </c>
      <c r="R1332" s="32" t="n">
        <v>0</v>
      </c>
      <c r="S1332" s="31" t="n">
        <v>0</v>
      </c>
      <c r="T1332" s="32" t="n">
        <v>0</v>
      </c>
      <c r="U1332" s="31" t="n">
        <v>0</v>
      </c>
      <c r="V1332" s="31" t="n">
        <v>0</v>
      </c>
      <c r="W1332" s="3" t="n">
        <v>0</v>
      </c>
      <c r="X1332" s="3" t="n">
        <v>0</v>
      </c>
      <c r="Y1332" s="32" t="n">
        <v>0</v>
      </c>
      <c r="Z1332" s="3" t="n">
        <v>0</v>
      </c>
      <c r="AA1332" s="32" t="n">
        <v>0</v>
      </c>
      <c r="AB1332" s="3" t="n"/>
      <c r="AC1332" s="31" t="n">
        <v>0</v>
      </c>
      <c r="AD1332" s="2" t="n">
        <v>0</v>
      </c>
      <c r="AE1332" s="2" t="n">
        <v>6</v>
      </c>
      <c r="AF1332" s="4" t="n">
        <v>6</v>
      </c>
      <c r="AG1332" s="33" t="n">
        <v>0</v>
      </c>
      <c r="AH1332" s="4" t="n">
        <v>0</v>
      </c>
      <c r="AI1332" s="34" t="n"/>
      <c r="AJ1332" s="34" t="n">
        <v>0</v>
      </c>
      <c r="AK1332" s="2" t="n">
        <v>0</v>
      </c>
      <c r="AL1332" t="inlineStr">
        <is>
          <t>Published</t>
        </is>
      </c>
    </row>
    <row r="1333">
      <c r="A1333">
        <f>HYPERLINK("https://www.walmart.com/ip/2137232855", "2137232855")</f>
        <v/>
      </c>
      <c r="B1333">
        <f>HYPERLINK("https://app.optiwise.ai/catalog/itemdetails/4416510", "Catalonia Fleece Wearable Blanket with Sleeves and Pocket, Micro Plush Warm Sleeved TV Throw Sherpa Blanket Robe for Women and Men, Moose Green, 72” X 55”.")</f>
        <v/>
      </c>
      <c r="C1333" t="inlineStr">
        <is>
          <t>1CTSN110GNMOOSE</t>
        </is>
      </c>
      <c r="D1333" t="inlineStr">
        <is>
          <t>Bedding</t>
        </is>
      </c>
      <c r="E1333" t="inlineStr">
        <is>
          <t>Throws</t>
        </is>
      </c>
      <c r="F1333" t="inlineStr">
        <is>
          <t>Catalonia</t>
        </is>
      </c>
      <c r="G1333" t="n">
        <v>0</v>
      </c>
      <c r="H1333" t="n">
        <v>0</v>
      </c>
      <c r="I1333" t="inlineStr">
        <is>
          <t>Q2-Target,Coupon_Discount,Batch 1 - TR</t>
        </is>
      </c>
      <c r="J1333" s="29" t="n">
        <v>0</v>
      </c>
      <c r="K1333" s="30" t="n"/>
      <c r="L1333" s="29" t="n">
        <v>0</v>
      </c>
      <c r="M1333" s="29" t="n">
        <v>0</v>
      </c>
      <c r="N1333" s="2" t="n">
        <v>0</v>
      </c>
      <c r="O1333" s="31" t="n">
        <v>0</v>
      </c>
      <c r="P1333" s="32" t="n"/>
      <c r="Q1333" s="32" t="n">
        <v>0</v>
      </c>
      <c r="R1333" s="32" t="n">
        <v>0</v>
      </c>
      <c r="S1333" s="31" t="n">
        <v>0</v>
      </c>
      <c r="T1333" s="32" t="n">
        <v>0</v>
      </c>
      <c r="U1333" s="31" t="n">
        <v>0</v>
      </c>
      <c r="V1333" s="31" t="n">
        <v>0</v>
      </c>
      <c r="W1333" s="3" t="n">
        <v>0</v>
      </c>
      <c r="X1333" s="3" t="n">
        <v>0</v>
      </c>
      <c r="Y1333" s="32" t="n">
        <v>0</v>
      </c>
      <c r="Z1333" s="3" t="n">
        <v>0</v>
      </c>
      <c r="AA1333" s="32" t="n">
        <v>0</v>
      </c>
      <c r="AB1333" s="3" t="n"/>
      <c r="AC1333" s="31" t="n">
        <v>0</v>
      </c>
      <c r="AD1333" s="2" t="n">
        <v>25</v>
      </c>
      <c r="AE1333" s="2" t="n">
        <v>20</v>
      </c>
      <c r="AF1333" s="4" t="n">
        <v>20</v>
      </c>
      <c r="AG1333" s="33" t="n">
        <v>0</v>
      </c>
      <c r="AH1333" s="4" t="n">
        <v>0</v>
      </c>
      <c r="AI1333" s="34" t="n"/>
      <c r="AJ1333" s="34" t="n">
        <v>0</v>
      </c>
      <c r="AK1333" s="2" t="n">
        <v>0</v>
      </c>
      <c r="AL1333" t="inlineStr">
        <is>
          <t>Published</t>
        </is>
      </c>
    </row>
    <row r="1334">
      <c r="A1334">
        <f>HYPERLINK("https://www.walmart.com/ip/1727573612", "1727573612")</f>
        <v/>
      </c>
      <c r="B1334">
        <f>HYPERLINK("https://app.optiwise.ai/catalog/itemdetails/4416508", "Catalonia Fleece Wearable Blanket with Sleeves and Pocket, Micro Plush Warm Sleeved TV Throw Sherpa Blanket Robe for Women and Men 72”X55”, Dog Gray")</f>
        <v/>
      </c>
      <c r="C1334" t="inlineStr">
        <is>
          <t>1CTSN110GYDOG</t>
        </is>
      </c>
      <c r="D1334" t="inlineStr">
        <is>
          <t>Bedding</t>
        </is>
      </c>
      <c r="E1334" t="inlineStr">
        <is>
          <t>Throws</t>
        </is>
      </c>
      <c r="F1334" t="inlineStr">
        <is>
          <t>Catalonia</t>
        </is>
      </c>
      <c r="G1334" t="n">
        <v>4.6</v>
      </c>
      <c r="H1334" t="n">
        <v>18</v>
      </c>
      <c r="I1334" t="inlineStr">
        <is>
          <t>Coupon_Discount,Batch 1 - TR</t>
        </is>
      </c>
      <c r="J1334" s="29" t="n">
        <v>0</v>
      </c>
      <c r="K1334" s="30" t="n"/>
      <c r="L1334" s="29" t="n">
        <v>0</v>
      </c>
      <c r="M1334" s="29" t="n">
        <v>0</v>
      </c>
      <c r="N1334" s="2" t="n">
        <v>0</v>
      </c>
      <c r="O1334" s="31" t="n">
        <v>0</v>
      </c>
      <c r="P1334" s="32" t="n"/>
      <c r="Q1334" s="32" t="n">
        <v>0</v>
      </c>
      <c r="R1334" s="32" t="n">
        <v>0</v>
      </c>
      <c r="S1334" s="31" t="n">
        <v>0</v>
      </c>
      <c r="T1334" s="32" t="n">
        <v>0</v>
      </c>
      <c r="U1334" s="31" t="n">
        <v>0</v>
      </c>
      <c r="V1334" s="31" t="n">
        <v>0</v>
      </c>
      <c r="W1334" s="3" t="n">
        <v>0</v>
      </c>
      <c r="X1334" s="3" t="n">
        <v>0</v>
      </c>
      <c r="Y1334" s="32" t="n">
        <v>0</v>
      </c>
      <c r="Z1334" s="3" t="n">
        <v>0</v>
      </c>
      <c r="AA1334" s="32" t="n">
        <v>0</v>
      </c>
      <c r="AB1334" s="3" t="n"/>
      <c r="AC1334" s="31" t="n">
        <v>0</v>
      </c>
      <c r="AD1334" s="2" t="n">
        <v>0</v>
      </c>
      <c r="AE1334" s="2" t="n">
        <v>24</v>
      </c>
      <c r="AF1334" s="4" t="n">
        <v>24</v>
      </c>
      <c r="AG1334" s="33" t="n">
        <v>0</v>
      </c>
      <c r="AH1334" s="4" t="n">
        <v>0</v>
      </c>
      <c r="AI1334" s="34" t="n"/>
      <c r="AJ1334" s="34" t="n">
        <v>0</v>
      </c>
      <c r="AK1334" s="2" t="n">
        <v>0</v>
      </c>
      <c r="AL1334" t="inlineStr">
        <is>
          <t>Published</t>
        </is>
      </c>
    </row>
    <row r="1335">
      <c r="A1335">
        <f>HYPERLINK("https://www.walmart.com/ip/1212700000", "1212700000")</f>
        <v/>
      </c>
      <c r="B1335">
        <f>HYPERLINK("https://app.optiwise.ai/catalog/itemdetails/4416507", "Catalonia Fleece Wearable Blanket with Sleeves and Pocket, Micro Plush Warm Sleeved TV Throw Sherpa Blanket Robe for Women and Men, Cat Blue, 72” X 55”.")</f>
        <v/>
      </c>
      <c r="C1335" t="inlineStr">
        <is>
          <t>1CTSN110BLCAT</t>
        </is>
      </c>
      <c r="D1335" t="inlineStr">
        <is>
          <t>Bedding</t>
        </is>
      </c>
      <c r="E1335" t="inlineStr">
        <is>
          <t>Throws</t>
        </is>
      </c>
      <c r="F1335" t="inlineStr">
        <is>
          <t>Catalonia</t>
        </is>
      </c>
      <c r="G1335" t="n">
        <v>0</v>
      </c>
      <c r="H1335" t="n">
        <v>0</v>
      </c>
      <c r="I1335" t="inlineStr">
        <is>
          <t>Coupon_Discount,Batch 1 - TR</t>
        </is>
      </c>
      <c r="J1335" s="29" t="n">
        <v>0</v>
      </c>
      <c r="K1335" s="30" t="n"/>
      <c r="L1335" s="29" t="n">
        <v>0</v>
      </c>
      <c r="M1335" s="29" t="n">
        <v>0</v>
      </c>
      <c r="N1335" s="2" t="n">
        <v>0</v>
      </c>
      <c r="O1335" s="31" t="n">
        <v>0</v>
      </c>
      <c r="P1335" s="32" t="n"/>
      <c r="Q1335" s="32" t="n">
        <v>0</v>
      </c>
      <c r="R1335" s="32" t="n">
        <v>0</v>
      </c>
      <c r="S1335" s="31" t="n">
        <v>0</v>
      </c>
      <c r="T1335" s="32" t="n">
        <v>0</v>
      </c>
      <c r="U1335" s="31" t="n">
        <v>0</v>
      </c>
      <c r="V1335" s="31" t="n">
        <v>0</v>
      </c>
      <c r="W1335" s="3" t="n">
        <v>0</v>
      </c>
      <c r="X1335" s="3" t="n">
        <v>0</v>
      </c>
      <c r="Y1335" s="32" t="n">
        <v>0</v>
      </c>
      <c r="Z1335" s="3" t="n">
        <v>0</v>
      </c>
      <c r="AA1335" s="32" t="n">
        <v>0</v>
      </c>
      <c r="AB1335" s="3" t="n"/>
      <c r="AC1335" s="31" t="n">
        <v>0</v>
      </c>
      <c r="AD1335" s="2" t="n">
        <v>0</v>
      </c>
      <c r="AE1335" s="2" t="n">
        <v>36</v>
      </c>
      <c r="AF1335" s="4" t="n">
        <v>36</v>
      </c>
      <c r="AG1335" s="33" t="n">
        <v>0</v>
      </c>
      <c r="AH1335" s="4" t="n">
        <v>0</v>
      </c>
      <c r="AI1335" s="34" t="n"/>
      <c r="AJ1335" s="34" t="n">
        <v>0</v>
      </c>
      <c r="AK1335" s="2" t="n">
        <v>0</v>
      </c>
      <c r="AL1335" t="inlineStr">
        <is>
          <t>Published</t>
        </is>
      </c>
    </row>
    <row r="1336">
      <c r="A1336">
        <f>HYPERLINK("https://www.walmart.com/ip/1041777296", "1041777296")</f>
        <v/>
      </c>
      <c r="B1336">
        <f>HYPERLINK("https://app.optiwise.ai/catalog/itemdetails/4416506", "Catalonia Wearable TV Blanket with Sleeves Arms Micro Plush Fleece Wrap Throw Robe 73 x 51”")</f>
        <v/>
      </c>
      <c r="C1336" t="inlineStr">
        <is>
          <t>1CTSN150BK</t>
        </is>
      </c>
      <c r="D1336" t="inlineStr">
        <is>
          <t>Bedding</t>
        </is>
      </c>
      <c r="E1336" t="inlineStr">
        <is>
          <t>Throws</t>
        </is>
      </c>
      <c r="F1336" t="inlineStr">
        <is>
          <t>Catalonia</t>
        </is>
      </c>
      <c r="G1336" t="n">
        <v>0</v>
      </c>
      <c r="H1336" t="n">
        <v>0</v>
      </c>
      <c r="I1336" t="inlineStr">
        <is>
          <t>Batch 1 - TR</t>
        </is>
      </c>
      <c r="J1336" s="29" t="n">
        <v>0</v>
      </c>
      <c r="K1336" s="30" t="n"/>
      <c r="L1336" s="29" t="n">
        <v>0</v>
      </c>
      <c r="M1336" s="29" t="n">
        <v>0</v>
      </c>
      <c r="N1336" s="2" t="n">
        <v>0</v>
      </c>
      <c r="O1336" s="31" t="n">
        <v>0</v>
      </c>
      <c r="P1336" s="32" t="n"/>
      <c r="Q1336" s="32" t="n">
        <v>0</v>
      </c>
      <c r="R1336" s="32" t="n">
        <v>0</v>
      </c>
      <c r="S1336" s="31" t="n">
        <v>0</v>
      </c>
      <c r="T1336" s="32" t="n">
        <v>0</v>
      </c>
      <c r="U1336" s="31" t="n">
        <v>0</v>
      </c>
      <c r="V1336" s="31" t="n">
        <v>0</v>
      </c>
      <c r="W1336" s="3" t="n">
        <v>0</v>
      </c>
      <c r="X1336" s="3" t="n">
        <v>0</v>
      </c>
      <c r="Y1336" s="32" t="n">
        <v>0</v>
      </c>
      <c r="Z1336" s="3" t="n">
        <v>0</v>
      </c>
      <c r="AA1336" s="32" t="n">
        <v>0</v>
      </c>
      <c r="AB1336" s="3" t="n"/>
      <c r="AC1336" s="31" t="n">
        <v>0</v>
      </c>
      <c r="AD1336" s="2" t="n">
        <v>0</v>
      </c>
      <c r="AE1336" s="2" t="n">
        <v>1</v>
      </c>
      <c r="AF1336" s="4" t="n">
        <v>1</v>
      </c>
      <c r="AG1336" s="33" t="n">
        <v>0</v>
      </c>
      <c r="AH1336" s="4" t="n">
        <v>0</v>
      </c>
      <c r="AI1336" s="34" t="n"/>
      <c r="AJ1336" s="34" t="n">
        <v>0</v>
      </c>
      <c r="AK1336" s="2" t="n">
        <v>0</v>
      </c>
      <c r="AL1336" t="inlineStr">
        <is>
          <t>Published</t>
        </is>
      </c>
    </row>
    <row r="1337">
      <c r="A1337">
        <f>HYPERLINK("https://www.walmart.com/ip/-", "-")</f>
        <v/>
      </c>
      <c r="B1337">
        <f>HYPERLINK("https://app.optiwise.ai/catalog/itemdetails/5677948", "Tirrinia Outdoors Waterproof Throw Blanket, 51x 59 Sherpa Fleece Stadium Windproof Mat for Travel, Navy Blue")</f>
        <v/>
      </c>
      <c r="C1337" t="inlineStr">
        <is>
          <t>1TRBW506NYGY-CDGM</t>
        </is>
      </c>
      <c r="D1337" t="inlineStr">
        <is>
          <t>Bedding</t>
        </is>
      </c>
      <c r="H1337" t="n">
        <v>0</v>
      </c>
      <c r="J1337" s="29" t="n">
        <v>0</v>
      </c>
      <c r="K1337" s="30" t="n"/>
      <c r="L1337" s="29" t="n">
        <v>0</v>
      </c>
      <c r="M1337" s="29" t="n">
        <v>0</v>
      </c>
      <c r="N1337" s="2" t="n">
        <v>0</v>
      </c>
      <c r="O1337" s="31" t="n">
        <v>0</v>
      </c>
      <c r="P1337" s="32" t="n"/>
      <c r="Q1337" s="32" t="n">
        <v>0</v>
      </c>
      <c r="R1337" s="32" t="n">
        <v>0</v>
      </c>
      <c r="S1337" s="31" t="n">
        <v>0</v>
      </c>
      <c r="T1337" s="32" t="n">
        <v>0</v>
      </c>
      <c r="U1337" s="31" t="n">
        <v>0</v>
      </c>
      <c r="V1337" s="31" t="n">
        <v>0</v>
      </c>
      <c r="W1337" s="3" t="n">
        <v>0</v>
      </c>
      <c r="X1337" s="3" t="n">
        <v>0</v>
      </c>
      <c r="Y1337" s="32" t="n">
        <v>0</v>
      </c>
      <c r="Z1337" s="3" t="n">
        <v>0</v>
      </c>
      <c r="AA1337" s="32" t="n">
        <v>0</v>
      </c>
      <c r="AB1337" s="3" t="n"/>
      <c r="AC1337" s="31" t="n">
        <v>0</v>
      </c>
      <c r="AD1337" s="2" t="n">
        <v>0</v>
      </c>
      <c r="AE1337" s="2" t="n">
        <v>0</v>
      </c>
      <c r="AF1337" s="4" t="n">
        <v>0</v>
      </c>
      <c r="AG1337" s="33" t="n">
        <v>0</v>
      </c>
      <c r="AH1337" s="4" t="n">
        <v>0</v>
      </c>
      <c r="AI1337" s="34" t="n"/>
      <c r="AJ1337" s="34" t="n">
        <v>0</v>
      </c>
      <c r="AK1337" s="2" t="n">
        <v>0</v>
      </c>
      <c r="AL1337" t="inlineStr">
        <is>
          <t>Published</t>
        </is>
      </c>
    </row>
    <row r="1338">
      <c r="A1338">
        <f>HYPERLINK("https://www.walmart.com/ip/1136628377", "1136628377")</f>
        <v/>
      </c>
      <c r="B1338">
        <f>HYPERLINK("https://app.optiwise.ai/catalog/itemdetails/6051362", "Tirrinia Waterproof Outdoor Blanket with Sherpa Lining, Windproof Triple Layers Warm Comfy Foldable for Camping Stadium, Sports, Picnic, Grass, Concerts, Camo/Black, Pet, 51''X 59''.")</f>
        <v/>
      </c>
      <c r="C1338" t="inlineStr">
        <is>
          <t>1TRBW506CAMOBK</t>
        </is>
      </c>
      <c r="D1338" t="inlineStr">
        <is>
          <t>Sport &amp; Recreation Other</t>
        </is>
      </c>
      <c r="E1338" t="inlineStr">
        <is>
          <t>Picnic Blankets &amp; Mats</t>
        </is>
      </c>
      <c r="F1338" t="inlineStr">
        <is>
          <t>Tirrinia</t>
        </is>
      </c>
      <c r="G1338" t="n">
        <v>0</v>
      </c>
      <c r="H1338" t="n">
        <v>0</v>
      </c>
      <c r="I1338" t="inlineStr">
        <is>
          <t>Q2-Target</t>
        </is>
      </c>
      <c r="J1338" s="29" t="n">
        <v>0</v>
      </c>
      <c r="K1338" s="30" t="n"/>
      <c r="L1338" s="29" t="n">
        <v>0</v>
      </c>
      <c r="M1338" s="29" t="n">
        <v>0</v>
      </c>
      <c r="N1338" s="2" t="n">
        <v>0</v>
      </c>
      <c r="O1338" s="31" t="n">
        <v>21.55</v>
      </c>
      <c r="P1338" s="32" t="n">
        <v>0.0026</v>
      </c>
      <c r="Q1338" s="32" t="n">
        <v>0</v>
      </c>
      <c r="R1338" s="32" t="n">
        <v>0.0277</v>
      </c>
      <c r="S1338" s="31" t="n">
        <v>4.13</v>
      </c>
      <c r="T1338" s="32" t="n">
        <v>0.24</v>
      </c>
      <c r="U1338" s="31" t="n">
        <v>88.97</v>
      </c>
      <c r="V1338" s="31" t="n">
        <v>88.97</v>
      </c>
      <c r="W1338" s="3" t="n">
        <v>42411</v>
      </c>
      <c r="X1338" s="3" t="n">
        <v>56</v>
      </c>
      <c r="Y1338" s="32" t="n">
        <v>0.0013</v>
      </c>
      <c r="Z1338" s="3" t="n">
        <v>3</v>
      </c>
      <c r="AA1338" s="32" t="n">
        <v>0.0536</v>
      </c>
      <c r="AB1338" s="3" t="inlineStr">
        <is>
          <t>Picnic Blankets &amp; Mats_Manual_Optiwise_24,Throws_Auto_Optiwise_24</t>
        </is>
      </c>
      <c r="AC1338" s="31" t="n">
        <v>0.38</v>
      </c>
      <c r="AD1338" s="2" t="n">
        <v>0</v>
      </c>
      <c r="AE1338" s="2" t="n">
        <v>96</v>
      </c>
      <c r="AF1338" s="4" t="n">
        <v>40</v>
      </c>
      <c r="AG1338" s="33" t="n">
        <v>-88.97</v>
      </c>
      <c r="AH1338" s="4" t="n">
        <v>-3</v>
      </c>
      <c r="AI1338" s="34" t="n">
        <v>-0.075</v>
      </c>
      <c r="AJ1338" s="34" t="n">
        <v>0</v>
      </c>
      <c r="AK1338" s="2" t="n">
        <v>0</v>
      </c>
      <c r="AL1338" t="inlineStr">
        <is>
          <t>Published</t>
        </is>
      </c>
    </row>
    <row r="1339">
      <c r="A1339">
        <f>HYPERLINK("https://www.walmart.com/ip/2016172692", "2016172692")</f>
        <v/>
      </c>
      <c r="B1339">
        <f>HYPERLINK("https://app.optiwise.ai/catalog/itemdetails/6051364", "Tirrinia Outdoors Waterproof Throw Blanket, Stadium Windproof Sherpa Fleece Blanket for Traveling, Camping, Hiking, and Football, Machine Washable, Orange, 60'' x 80''")</f>
        <v/>
      </c>
      <c r="C1339" t="inlineStr">
        <is>
          <t>1TRBW608ORGY</t>
        </is>
      </c>
      <c r="D1339" t="inlineStr">
        <is>
          <t>Sport &amp; Recreation Other</t>
        </is>
      </c>
      <c r="E1339" t="inlineStr">
        <is>
          <t>Picnic Blankets &amp; Mats</t>
        </is>
      </c>
      <c r="F1339" t="inlineStr">
        <is>
          <t>Tirrinia</t>
        </is>
      </c>
      <c r="G1339" t="n">
        <v>0</v>
      </c>
      <c r="H1339" t="n">
        <v>0</v>
      </c>
      <c r="I1339" t="inlineStr">
        <is>
          <t>Q2-Target</t>
        </is>
      </c>
      <c r="J1339" s="29" t="n">
        <v>0</v>
      </c>
      <c r="K1339" s="30" t="n"/>
      <c r="L1339" s="29" t="n">
        <v>0</v>
      </c>
      <c r="M1339" s="29" t="n">
        <v>0</v>
      </c>
      <c r="N1339" s="2" t="n">
        <v>0</v>
      </c>
      <c r="O1339" s="31" t="n">
        <v>0</v>
      </c>
      <c r="P1339" s="32" t="n"/>
      <c r="Q1339" s="32" t="n">
        <v>0</v>
      </c>
      <c r="R1339" s="32" t="n">
        <v>0.0021</v>
      </c>
      <c r="S1339" s="31" t="n">
        <v>0</v>
      </c>
      <c r="T1339" s="32" t="n">
        <v>0</v>
      </c>
      <c r="U1339" s="31" t="n">
        <v>0</v>
      </c>
      <c r="V1339" s="31" t="n">
        <v>0</v>
      </c>
      <c r="W1339" s="3" t="n">
        <v>0</v>
      </c>
      <c r="X1339" s="3" t="n">
        <v>0</v>
      </c>
      <c r="Y1339" s="32" t="n">
        <v>0</v>
      </c>
      <c r="Z1339" s="3" t="n">
        <v>0</v>
      </c>
      <c r="AA1339" s="32" t="n">
        <v>0</v>
      </c>
      <c r="AB1339" s="3" t="n"/>
      <c r="AC1339" s="31" t="n">
        <v>0</v>
      </c>
      <c r="AD1339" s="2" t="n">
        <v>0</v>
      </c>
      <c r="AE1339" s="2" t="n">
        <v>36</v>
      </c>
      <c r="AF1339" s="4" t="n">
        <v>36</v>
      </c>
      <c r="AG1339" s="33" t="n">
        <v>0</v>
      </c>
      <c r="AH1339" s="4" t="n">
        <v>0</v>
      </c>
      <c r="AI1339" s="34" t="n"/>
      <c r="AJ1339" s="34" t="n">
        <v>0</v>
      </c>
      <c r="AK1339" s="2" t="n">
        <v>0</v>
      </c>
      <c r="AL1339" t="inlineStr">
        <is>
          <t>Published</t>
        </is>
      </c>
    </row>
    <row r="1340">
      <c r="A1340">
        <f>HYPERLINK("https://www.walmart.com/ip/2123737816", "2123737816")</f>
        <v/>
      </c>
      <c r="B1340">
        <f>HYPERLINK("https://app.optiwise.ai/catalog/itemdetails/6051365", "Tirrinia Waterproof Outdoor Blanket with Sherpa Lining, Windproof Triple Layers Warm Comfy Foldable for Camping Stadium, Sports, Picnic, Concerts, Pet, Orange/Grey, 51''X 59''.")</f>
        <v/>
      </c>
      <c r="C1340" t="inlineStr">
        <is>
          <t>1TRBW506ORGY</t>
        </is>
      </c>
      <c r="D1340" t="inlineStr">
        <is>
          <t>Sport &amp; Recreation Other</t>
        </is>
      </c>
      <c r="E1340" t="inlineStr">
        <is>
          <t>Picnic Blankets &amp; Mats</t>
        </is>
      </c>
      <c r="F1340" t="inlineStr">
        <is>
          <t>Tirrinia</t>
        </is>
      </c>
      <c r="G1340" t="n">
        <v>4.3</v>
      </c>
      <c r="H1340" t="n">
        <v>9</v>
      </c>
      <c r="I1340" t="inlineStr">
        <is>
          <t>Q2-Target</t>
        </is>
      </c>
      <c r="J1340" s="29" t="n">
        <v>0</v>
      </c>
      <c r="K1340" s="30" t="n"/>
      <c r="L1340" s="29" t="n">
        <v>0</v>
      </c>
      <c r="M1340" s="29" t="n">
        <v>0</v>
      </c>
      <c r="N1340" s="2" t="n">
        <v>0</v>
      </c>
      <c r="O1340" s="31" t="n">
        <v>0</v>
      </c>
      <c r="P1340" s="32" t="n"/>
      <c r="Q1340" s="32" t="n">
        <v>0</v>
      </c>
      <c r="R1340" s="32" t="n">
        <v>0.0055</v>
      </c>
      <c r="S1340" s="31" t="n">
        <v>0</v>
      </c>
      <c r="T1340" s="32" t="n">
        <v>0</v>
      </c>
      <c r="U1340" s="31" t="n">
        <v>0</v>
      </c>
      <c r="V1340" s="31" t="n">
        <v>0</v>
      </c>
      <c r="W1340" s="3" t="n">
        <v>0</v>
      </c>
      <c r="X1340" s="3" t="n">
        <v>0</v>
      </c>
      <c r="Y1340" s="32" t="n">
        <v>0</v>
      </c>
      <c r="Z1340" s="3" t="n">
        <v>0</v>
      </c>
      <c r="AA1340" s="32" t="n">
        <v>0</v>
      </c>
      <c r="AB1340" s="3" t="n"/>
      <c r="AC1340" s="31" t="n">
        <v>0</v>
      </c>
      <c r="AD1340" s="2" t="n">
        <v>0</v>
      </c>
      <c r="AE1340" s="2" t="n">
        <v>42</v>
      </c>
      <c r="AF1340" s="4" t="n">
        <v>42</v>
      </c>
      <c r="AG1340" s="33" t="n">
        <v>0</v>
      </c>
      <c r="AH1340" s="4" t="n">
        <v>0</v>
      </c>
      <c r="AI1340" s="34" t="n"/>
      <c r="AJ1340" s="34" t="n">
        <v>0</v>
      </c>
      <c r="AK1340" s="2" t="n">
        <v>0</v>
      </c>
      <c r="AL1340" t="inlineStr">
        <is>
          <t>Published</t>
        </is>
      </c>
    </row>
    <row r="1341">
      <c r="A1341">
        <f>HYPERLINK("https://www.walmart.com/ip/5056978682", "5056978682")</f>
        <v/>
      </c>
      <c r="B1341">
        <f>HYPERLINK("https://app.optiwise.ai/catalog/itemdetails/7591717", "Tirrinia Sherpa Blanket Plush Throw Blanket Size 50 x 60 Bedding Fleece Reversible Blanket for Bed and Couch, Super Soft Comfy Warm Fuzzy TV Blanket, Blue Wonder Cat")</f>
        <v/>
      </c>
      <c r="C1341" t="inlineStr">
        <is>
          <t>1TRBF300WONDERCATGY</t>
        </is>
      </c>
      <c r="D1341" t="inlineStr">
        <is>
          <t>Bedding</t>
        </is>
      </c>
      <c r="E1341" t="inlineStr">
        <is>
          <t>Throws</t>
        </is>
      </c>
      <c r="F1341" t="inlineStr">
        <is>
          <t>Tirrinia</t>
        </is>
      </c>
      <c r="G1341" t="n">
        <v>0</v>
      </c>
      <c r="H1341" t="n">
        <v>0</v>
      </c>
      <c r="J1341" s="29" t="n">
        <v>0</v>
      </c>
      <c r="K1341" s="30" t="n"/>
      <c r="L1341" s="29" t="n">
        <v>0</v>
      </c>
      <c r="M1341" s="29" t="n">
        <v>0</v>
      </c>
      <c r="N1341" s="2" t="n">
        <v>0</v>
      </c>
      <c r="O1341" s="31" t="n">
        <v>0</v>
      </c>
      <c r="P1341" s="32" t="n"/>
      <c r="Q1341" s="32" t="n">
        <v>0</v>
      </c>
      <c r="R1341" s="32" t="n">
        <v>0</v>
      </c>
      <c r="S1341" s="31" t="n">
        <v>0</v>
      </c>
      <c r="T1341" s="32" t="n">
        <v>0</v>
      </c>
      <c r="U1341" s="31" t="n">
        <v>0</v>
      </c>
      <c r="V1341" s="31" t="n">
        <v>0</v>
      </c>
      <c r="W1341" s="3" t="n">
        <v>0</v>
      </c>
      <c r="X1341" s="3" t="n">
        <v>0</v>
      </c>
      <c r="Y1341" s="32" t="n">
        <v>0</v>
      </c>
      <c r="Z1341" s="3" t="n">
        <v>0</v>
      </c>
      <c r="AA1341" s="32" t="n">
        <v>0</v>
      </c>
      <c r="AB1341" s="3" t="n"/>
      <c r="AC1341" s="31" t="n">
        <v>0</v>
      </c>
      <c r="AD1341" s="2" t="n">
        <v>0</v>
      </c>
      <c r="AE1341" s="2" t="n">
        <v>11</v>
      </c>
      <c r="AF1341" s="4" t="n">
        <v>11</v>
      </c>
      <c r="AG1341" s="33" t="n">
        <v>0</v>
      </c>
      <c r="AH1341" s="4" t="n">
        <v>0</v>
      </c>
      <c r="AI1341" s="34" t="n"/>
      <c r="AJ1341" s="34" t="n">
        <v>0</v>
      </c>
      <c r="AK1341" s="2" t="n">
        <v>0</v>
      </c>
      <c r="AL1341" t="inlineStr">
        <is>
          <t>Published</t>
        </is>
      </c>
    </row>
    <row r="1342">
      <c r="A1342">
        <f>HYPERLINK("https://www.walmart.com/ip/5080914928", "5080914928")</f>
        <v/>
      </c>
      <c r="B1342">
        <f>HYPERLINK("https://app.optiwise.ai/catalog/itemdetails/7591715", "Tirrinia Sherpa Wearable Blanket for Adult Women and Men, Super Soft Comfy Warm Plush Throw with Sleeves TV Blanket Wrap Robe Cover for Sofa, Couch 72 x 55 Blue Love Art")</f>
        <v/>
      </c>
      <c r="C1342" t="inlineStr">
        <is>
          <t>1TRSN110LOVEARTBL</t>
        </is>
      </c>
      <c r="D1342" t="inlineStr">
        <is>
          <t>Bedding</t>
        </is>
      </c>
      <c r="E1342" t="inlineStr">
        <is>
          <t>Throws</t>
        </is>
      </c>
      <c r="F1342" t="inlineStr">
        <is>
          <t>Terrania</t>
        </is>
      </c>
      <c r="G1342" t="n">
        <v>0</v>
      </c>
      <c r="H1342" t="n">
        <v>0</v>
      </c>
      <c r="J1342" s="29" t="n">
        <v>0</v>
      </c>
      <c r="K1342" s="30" t="n"/>
      <c r="L1342" s="29" t="n">
        <v>0</v>
      </c>
      <c r="M1342" s="29" t="n">
        <v>0</v>
      </c>
      <c r="N1342" s="2" t="n">
        <v>0</v>
      </c>
      <c r="O1342" s="31" t="n">
        <v>0</v>
      </c>
      <c r="P1342" s="32" t="n"/>
      <c r="Q1342" s="32" t="n">
        <v>0</v>
      </c>
      <c r="R1342" s="32" t="n">
        <v>0</v>
      </c>
      <c r="S1342" s="31" t="n">
        <v>0</v>
      </c>
      <c r="T1342" s="32" t="n">
        <v>0</v>
      </c>
      <c r="U1342" s="31" t="n">
        <v>0</v>
      </c>
      <c r="V1342" s="31" t="n">
        <v>0</v>
      </c>
      <c r="W1342" s="3" t="n">
        <v>0</v>
      </c>
      <c r="X1342" s="3" t="n">
        <v>0</v>
      </c>
      <c r="Y1342" s="32" t="n">
        <v>0</v>
      </c>
      <c r="Z1342" s="3" t="n">
        <v>0</v>
      </c>
      <c r="AA1342" s="32" t="n">
        <v>0</v>
      </c>
      <c r="AB1342" s="3" t="n"/>
      <c r="AC1342" s="31" t="n">
        <v>0</v>
      </c>
      <c r="AD1342" s="2" t="n">
        <v>0</v>
      </c>
      <c r="AE1342" s="2" t="n">
        <v>138</v>
      </c>
      <c r="AF1342" s="4" t="n">
        <v>138</v>
      </c>
      <c r="AG1342" s="33" t="n">
        <v>0</v>
      </c>
      <c r="AH1342" s="4" t="n">
        <v>0</v>
      </c>
      <c r="AI1342" s="34" t="n"/>
      <c r="AJ1342" s="34" t="n">
        <v>0</v>
      </c>
      <c r="AK1342" s="2" t="n">
        <v>0</v>
      </c>
      <c r="AL1342" t="inlineStr">
        <is>
          <t>Published</t>
        </is>
      </c>
    </row>
    <row r="1343">
      <c r="A1343">
        <f>HYPERLINK("https://www.walmart.com/ip/5082823363", "5082823363")</f>
        <v/>
      </c>
      <c r="B1343">
        <f>HYPERLINK("https://app.optiwise.ai/catalog/itemdetails/7591710", "Catalonia Wearable Blanket with Sleeves and Pocket, Cozy Soft Fleece Micro Plush Wrap Adult Snuggie Blanket Robe for Women Men, Grey Santa and Deer Pattern Makes a Great Gift for Holidays.")</f>
        <v/>
      </c>
      <c r="C1343" t="inlineStr">
        <is>
          <t>1CTSN100SANTAANDDEERGY</t>
        </is>
      </c>
      <c r="D1343" t="inlineStr">
        <is>
          <t>Bedding</t>
        </is>
      </c>
      <c r="E1343" t="inlineStr">
        <is>
          <t>Throws</t>
        </is>
      </c>
      <c r="F1343" t="inlineStr">
        <is>
          <t>Catalonia</t>
        </is>
      </c>
      <c r="G1343" t="n">
        <v>4.5</v>
      </c>
      <c r="H1343" t="n">
        <v>25</v>
      </c>
      <c r="J1343" s="29" t="n">
        <v>0</v>
      </c>
      <c r="K1343" s="30" t="n"/>
      <c r="L1343" s="29" t="n">
        <v>0</v>
      </c>
      <c r="M1343" s="29" t="n">
        <v>0</v>
      </c>
      <c r="N1343" s="2" t="n">
        <v>0</v>
      </c>
      <c r="O1343" s="31" t="n">
        <v>0</v>
      </c>
      <c r="P1343" s="32" t="n"/>
      <c r="Q1343" s="32" t="n">
        <v>0</v>
      </c>
      <c r="R1343" s="32" t="n">
        <v>0</v>
      </c>
      <c r="S1343" s="31" t="n">
        <v>0</v>
      </c>
      <c r="T1343" s="32" t="n">
        <v>0</v>
      </c>
      <c r="U1343" s="31" t="n">
        <v>0</v>
      </c>
      <c r="V1343" s="31" t="n">
        <v>0</v>
      </c>
      <c r="W1343" s="3" t="n">
        <v>0</v>
      </c>
      <c r="X1343" s="3" t="n">
        <v>0</v>
      </c>
      <c r="Y1343" s="32" t="n">
        <v>0</v>
      </c>
      <c r="Z1343" s="3" t="n">
        <v>0</v>
      </c>
      <c r="AA1343" s="32" t="n">
        <v>0</v>
      </c>
      <c r="AB1343" s="3" t="n"/>
      <c r="AC1343" s="31" t="n">
        <v>0</v>
      </c>
      <c r="AD1343" s="2" t="n">
        <v>13</v>
      </c>
      <c r="AE1343" s="2" t="n">
        <v>41</v>
      </c>
      <c r="AF1343" s="4" t="n">
        <v>41</v>
      </c>
      <c r="AG1343" s="33" t="n">
        <v>0</v>
      </c>
      <c r="AH1343" s="4" t="n">
        <v>0</v>
      </c>
      <c r="AI1343" s="34" t="n"/>
      <c r="AJ1343" s="34" t="n">
        <v>0</v>
      </c>
      <c r="AK1343" s="2" t="n">
        <v>0</v>
      </c>
      <c r="AL1343" t="inlineStr">
        <is>
          <t>Published</t>
        </is>
      </c>
    </row>
    <row r="1344">
      <c r="A1344">
        <f>HYPERLINK("https://www.walmart.com/ip/5079411444", "5079411444")</f>
        <v/>
      </c>
      <c r="B1344">
        <f>HYPERLINK("https://app.optiwise.ai/catalog/itemdetails/7591708", "Tirrinia Wearable Fleece Blanket for Women and Men, Super-Soft Microplush TV Blanket, Full Body Robe for Lounge Couch, Football Field, 51 x 73")</f>
        <v/>
      </c>
      <c r="C1344" t="inlineStr">
        <is>
          <t>1TRSN100FOOTBALLFIELDBL</t>
        </is>
      </c>
      <c r="D1344" t="inlineStr">
        <is>
          <t>Bedding</t>
        </is>
      </c>
      <c r="E1344" t="inlineStr">
        <is>
          <t>Throws</t>
        </is>
      </c>
      <c r="F1344" t="inlineStr">
        <is>
          <t>Tirrinia</t>
        </is>
      </c>
      <c r="G1344" t="n">
        <v>5</v>
      </c>
      <c r="H1344" t="n">
        <v>1</v>
      </c>
      <c r="I1344" t="inlineStr">
        <is>
          <t>Coupon_Discount</t>
        </is>
      </c>
      <c r="J1344" s="29" t="n">
        <v>0</v>
      </c>
      <c r="K1344" s="30" t="n"/>
      <c r="L1344" s="29" t="n">
        <v>0</v>
      </c>
      <c r="M1344" s="29" t="n">
        <v>0</v>
      </c>
      <c r="N1344" s="2" t="n">
        <v>0</v>
      </c>
      <c r="O1344" s="31" t="n">
        <v>0</v>
      </c>
      <c r="P1344" s="32" t="n"/>
      <c r="Q1344" s="32" t="n">
        <v>0</v>
      </c>
      <c r="R1344" s="32" t="n">
        <v>0</v>
      </c>
      <c r="S1344" s="31" t="n">
        <v>0</v>
      </c>
      <c r="T1344" s="32" t="n">
        <v>0</v>
      </c>
      <c r="U1344" s="31" t="n">
        <v>0</v>
      </c>
      <c r="V1344" s="31" t="n">
        <v>0</v>
      </c>
      <c r="W1344" s="3" t="n">
        <v>0</v>
      </c>
      <c r="X1344" s="3" t="n">
        <v>0</v>
      </c>
      <c r="Y1344" s="32" t="n">
        <v>0</v>
      </c>
      <c r="Z1344" s="3" t="n">
        <v>0</v>
      </c>
      <c r="AA1344" s="32" t="n">
        <v>0</v>
      </c>
      <c r="AB1344" s="3" t="n"/>
      <c r="AC1344" s="31" t="n">
        <v>0</v>
      </c>
      <c r="AD1344" s="2" t="n">
        <v>6</v>
      </c>
      <c r="AE1344" s="2" t="n">
        <v>26</v>
      </c>
      <c r="AF1344" s="4" t="n">
        <v>26</v>
      </c>
      <c r="AG1344" s="33" t="n">
        <v>0</v>
      </c>
      <c r="AH1344" s="4" t="n">
        <v>0</v>
      </c>
      <c r="AI1344" s="34" t="n"/>
      <c r="AJ1344" s="34" t="n">
        <v>0</v>
      </c>
      <c r="AK1344" s="2" t="n">
        <v>0</v>
      </c>
      <c r="AL1344" t="inlineStr">
        <is>
          <t>Published</t>
        </is>
      </c>
    </row>
    <row r="1345">
      <c r="A1345">
        <f>HYPERLINK("https://www.walmart.com/ip/5077112383", "5077112383")</f>
        <v/>
      </c>
      <c r="B1345">
        <f>HYPERLINK("https://app.optiwise.ai/catalog/itemdetails/7591707", "Catalonia Wearable Blanket with Sleeves and Pocket, Cozy, Soft Fleece Blanket Robe for Adult Women and Men, Green Santa and Deer Pattern, 73 x 51")</f>
        <v/>
      </c>
      <c r="C1345" t="inlineStr">
        <is>
          <t>1CTSN100SANTAANDDEERGN</t>
        </is>
      </c>
      <c r="D1345" t="inlineStr">
        <is>
          <t>Bedding</t>
        </is>
      </c>
      <c r="E1345" t="inlineStr">
        <is>
          <t>Throws</t>
        </is>
      </c>
      <c r="F1345" t="inlineStr">
        <is>
          <t>Catalonia</t>
        </is>
      </c>
      <c r="G1345" t="n">
        <v>0</v>
      </c>
      <c r="H1345" t="n">
        <v>0</v>
      </c>
      <c r="I1345" t="inlineStr">
        <is>
          <t>Q2-Target,Coupon_Discount</t>
        </is>
      </c>
      <c r="J1345" s="29" t="n">
        <v>0</v>
      </c>
      <c r="K1345" s="30" t="n"/>
      <c r="L1345" s="29" t="n">
        <v>0</v>
      </c>
      <c r="M1345" s="29" t="n">
        <v>0</v>
      </c>
      <c r="N1345" s="2" t="n">
        <v>0</v>
      </c>
      <c r="O1345" s="31" t="n">
        <v>0</v>
      </c>
      <c r="P1345" s="32" t="n"/>
      <c r="Q1345" s="32" t="n">
        <v>0</v>
      </c>
      <c r="R1345" s="32" t="n">
        <v>0</v>
      </c>
      <c r="S1345" s="31" t="n">
        <v>0</v>
      </c>
      <c r="T1345" s="32" t="n">
        <v>0</v>
      </c>
      <c r="U1345" s="31" t="n">
        <v>0</v>
      </c>
      <c r="V1345" s="31" t="n">
        <v>0</v>
      </c>
      <c r="W1345" s="3" t="n">
        <v>0</v>
      </c>
      <c r="X1345" s="3" t="n">
        <v>0</v>
      </c>
      <c r="Y1345" s="32" t="n">
        <v>0</v>
      </c>
      <c r="Z1345" s="3" t="n">
        <v>0</v>
      </c>
      <c r="AA1345" s="32" t="n">
        <v>0</v>
      </c>
      <c r="AB1345" s="3" t="n"/>
      <c r="AC1345" s="31" t="n">
        <v>0</v>
      </c>
      <c r="AD1345" s="2" t="n">
        <v>5</v>
      </c>
      <c r="AE1345" s="2" t="n">
        <v>39</v>
      </c>
      <c r="AF1345" s="4" t="n">
        <v>39</v>
      </c>
      <c r="AG1345" s="33" t="n">
        <v>0</v>
      </c>
      <c r="AH1345" s="4" t="n">
        <v>0</v>
      </c>
      <c r="AI1345" s="34" t="n"/>
      <c r="AJ1345" s="34" t="n">
        <v>0</v>
      </c>
      <c r="AK1345" s="2" t="n">
        <v>0</v>
      </c>
      <c r="AL1345" t="inlineStr">
        <is>
          <t>Published</t>
        </is>
      </c>
    </row>
    <row r="1346">
      <c r="A1346">
        <f>HYPERLINK("https://www.walmart.com/ip/5059499536", "5059499536")</f>
        <v/>
      </c>
      <c r="B1346">
        <f>HYPERLINK("https://app.optiwise.ai/catalog/itemdetails/7591706", "Tirrinia Sherpa Wearable Blanket for Adult Women and Men, Super Soft Comfy Warm Plush Throw with Sleeves, TV Blanket, Wrap Robe Cover for Sofa, Couch, Blue Avocado Dog, 55 x 72''")</f>
        <v/>
      </c>
      <c r="C1346" t="inlineStr">
        <is>
          <t>1TRSN110AVOCADODOGBL</t>
        </is>
      </c>
      <c r="D1346" t="inlineStr">
        <is>
          <t>Bedding</t>
        </is>
      </c>
      <c r="E1346" t="inlineStr">
        <is>
          <t>Throws</t>
        </is>
      </c>
      <c r="F1346" t="inlineStr">
        <is>
          <t>Terrania</t>
        </is>
      </c>
      <c r="G1346" t="n">
        <v>5</v>
      </c>
      <c r="H1346" t="n">
        <v>4</v>
      </c>
      <c r="I1346" t="inlineStr">
        <is>
          <t>Q2-Target,Coupon_Discount</t>
        </is>
      </c>
      <c r="J1346" s="29" t="n">
        <v>0</v>
      </c>
      <c r="K1346" s="30" t="n"/>
      <c r="L1346" s="29" t="n">
        <v>0</v>
      </c>
      <c r="M1346" s="29" t="n">
        <v>0</v>
      </c>
      <c r="N1346" s="2" t="n">
        <v>0</v>
      </c>
      <c r="O1346" s="31" t="n">
        <v>0</v>
      </c>
      <c r="P1346" s="32" t="n"/>
      <c r="Q1346" s="32" t="n">
        <v>0</v>
      </c>
      <c r="R1346" s="32" t="n">
        <v>0</v>
      </c>
      <c r="S1346" s="31" t="n">
        <v>0</v>
      </c>
      <c r="T1346" s="32" t="n">
        <v>0</v>
      </c>
      <c r="U1346" s="31" t="n">
        <v>0</v>
      </c>
      <c r="V1346" s="31" t="n">
        <v>0</v>
      </c>
      <c r="W1346" s="3" t="n">
        <v>0</v>
      </c>
      <c r="X1346" s="3" t="n">
        <v>0</v>
      </c>
      <c r="Y1346" s="32" t="n">
        <v>0</v>
      </c>
      <c r="Z1346" s="3" t="n">
        <v>0</v>
      </c>
      <c r="AA1346" s="32" t="n">
        <v>0</v>
      </c>
      <c r="AB1346" s="3" t="n"/>
      <c r="AC1346" s="31" t="n">
        <v>0</v>
      </c>
      <c r="AD1346" s="2" t="n">
        <v>0</v>
      </c>
      <c r="AE1346" s="2" t="n">
        <v>159</v>
      </c>
      <c r="AF1346" s="4" t="n">
        <v>159</v>
      </c>
      <c r="AG1346" s="33" t="n">
        <v>0</v>
      </c>
      <c r="AH1346" s="4" t="n">
        <v>0</v>
      </c>
      <c r="AI1346" s="34" t="n"/>
      <c r="AJ1346" s="34" t="n">
        <v>0</v>
      </c>
      <c r="AK1346" s="2" t="n">
        <v>0</v>
      </c>
      <c r="AL1346" t="inlineStr">
        <is>
          <t>Published</t>
        </is>
      </c>
    </row>
    <row r="1347">
      <c r="A1347">
        <f>HYPERLINK("https://www.walmart.com/ip/5052771579", "5052771579")</f>
        <v/>
      </c>
      <c r="B1347">
        <f>HYPERLINK("https://app.optiwise.ai/catalog/itemdetails/7486921", "Catalonia Wearable Blanket with Sleeves and Pocket, Cozy Soft Fleece Micro Plush Wrap Adult Blanket Robe for Women Men, Tortilla Pattern Makes a Great Gift for Holidays, 73 x 51.")</f>
        <v/>
      </c>
      <c r="C1347" t="inlineStr">
        <is>
          <t>1CTSN100TORTILLA</t>
        </is>
      </c>
      <c r="D1347" t="inlineStr">
        <is>
          <t>Bedding</t>
        </is>
      </c>
      <c r="E1347" t="inlineStr">
        <is>
          <t>Throws</t>
        </is>
      </c>
      <c r="F1347" t="inlineStr">
        <is>
          <t>Catalonia</t>
        </is>
      </c>
      <c r="G1347" t="n">
        <v>0</v>
      </c>
      <c r="H1347" t="n">
        <v>0</v>
      </c>
      <c r="I1347" t="inlineStr">
        <is>
          <t>Q2-Target</t>
        </is>
      </c>
      <c r="J1347" s="29" t="n">
        <v>0</v>
      </c>
      <c r="K1347" s="30" t="n"/>
      <c r="L1347" s="29" t="n">
        <v>0</v>
      </c>
      <c r="M1347" s="29" t="n">
        <v>0</v>
      </c>
      <c r="N1347" s="2" t="n">
        <v>0</v>
      </c>
      <c r="O1347" s="31" t="n">
        <v>0</v>
      </c>
      <c r="P1347" s="32" t="n"/>
      <c r="Q1347" s="32" t="n">
        <v>0</v>
      </c>
      <c r="R1347" s="32" t="n">
        <v>0</v>
      </c>
      <c r="S1347" s="31" t="n">
        <v>0</v>
      </c>
      <c r="T1347" s="32" t="n">
        <v>0</v>
      </c>
      <c r="U1347" s="31" t="n">
        <v>0</v>
      </c>
      <c r="V1347" s="31" t="n">
        <v>0</v>
      </c>
      <c r="W1347" s="3" t="n">
        <v>0</v>
      </c>
      <c r="X1347" s="3" t="n">
        <v>0</v>
      </c>
      <c r="Y1347" s="32" t="n">
        <v>0</v>
      </c>
      <c r="Z1347" s="3" t="n">
        <v>0</v>
      </c>
      <c r="AA1347" s="32" t="n">
        <v>0</v>
      </c>
      <c r="AB1347" s="3" t="n"/>
      <c r="AC1347" s="31" t="n">
        <v>0</v>
      </c>
      <c r="AD1347" s="2" t="n">
        <v>0</v>
      </c>
      <c r="AE1347" s="2" t="n">
        <v>27</v>
      </c>
      <c r="AF1347" s="4" t="n">
        <v>27</v>
      </c>
      <c r="AG1347" s="33" t="n">
        <v>0</v>
      </c>
      <c r="AH1347" s="4" t="n">
        <v>0</v>
      </c>
      <c r="AI1347" s="34" t="n"/>
      <c r="AJ1347" s="34" t="n">
        <v>0</v>
      </c>
      <c r="AK1347" s="2" t="n">
        <v>0</v>
      </c>
      <c r="AL1347" t="inlineStr">
        <is>
          <t>Published</t>
        </is>
      </c>
    </row>
    <row r="1348">
      <c r="A1348">
        <f>HYPERLINK("https://www.walmart.com/ip/1737269416", "1737269416")</f>
        <v/>
      </c>
      <c r="B1348">
        <f>HYPERLINK("https://app.optiwise.ai/catalog/itemdetails/7417719", "Tirrinia Bamboo Picnic Table with Carrying Bag &amp; Free Picnic Pad, Outdoor Portable All-Purpose Patio Tables for Concerts, Camping, Beach, Tailgating, Patio, Kitchen, Living Room")</f>
        <v/>
      </c>
      <c r="C1348" t="inlineStr">
        <is>
          <t>1TRPT300</t>
        </is>
      </c>
      <c r="D1348" t="inlineStr">
        <is>
          <t>Furniture</t>
        </is>
      </c>
      <c r="E1348" t="inlineStr">
        <is>
          <t>Picnic Tables</t>
        </is>
      </c>
      <c r="F1348" t="inlineStr">
        <is>
          <t>Tirrinia</t>
        </is>
      </c>
      <c r="G1348" t="n">
        <v>0</v>
      </c>
      <c r="H1348" t="n">
        <v>0</v>
      </c>
      <c r="J1348" s="29" t="n">
        <v>0</v>
      </c>
      <c r="K1348" s="30" t="n"/>
      <c r="L1348" s="29" t="n">
        <v>0</v>
      </c>
      <c r="M1348" s="29" t="n">
        <v>0</v>
      </c>
      <c r="N1348" s="2" t="n">
        <v>0</v>
      </c>
      <c r="O1348" s="31" t="n">
        <v>0</v>
      </c>
      <c r="P1348" s="32" t="n"/>
      <c r="Q1348" s="32" t="n">
        <v>0</v>
      </c>
      <c r="R1348" s="32" t="n">
        <v>0</v>
      </c>
      <c r="S1348" s="31" t="n">
        <v>0</v>
      </c>
      <c r="T1348" s="32" t="n">
        <v>0</v>
      </c>
      <c r="U1348" s="31" t="n">
        <v>0</v>
      </c>
      <c r="V1348" s="31" t="n">
        <v>0</v>
      </c>
      <c r="W1348" s="3" t="n">
        <v>0</v>
      </c>
      <c r="X1348" s="3" t="n">
        <v>0</v>
      </c>
      <c r="Y1348" s="32" t="n">
        <v>0</v>
      </c>
      <c r="Z1348" s="3" t="n">
        <v>0</v>
      </c>
      <c r="AA1348" s="32" t="n">
        <v>0</v>
      </c>
      <c r="AB1348" s="3" t="n"/>
      <c r="AC1348" s="31" t="n">
        <v>0</v>
      </c>
      <c r="AD1348" s="2" t="n">
        <v>0</v>
      </c>
      <c r="AE1348" s="2" t="n">
        <v>94</v>
      </c>
      <c r="AF1348" s="4" t="n">
        <v>94</v>
      </c>
      <c r="AG1348" s="33" t="n">
        <v>0</v>
      </c>
      <c r="AH1348" s="4" t="n">
        <v>0</v>
      </c>
      <c r="AI1348" s="34" t="n"/>
      <c r="AJ1348" s="34" t="n">
        <v>0</v>
      </c>
      <c r="AK1348" s="2" t="n">
        <v>0</v>
      </c>
      <c r="AL1348" t="inlineStr">
        <is>
          <t>Published</t>
        </is>
      </c>
    </row>
    <row r="1349">
      <c r="A1349">
        <f>HYPERLINK("https://www.walmart.com/ip/3188631665", "3188631665")</f>
        <v/>
      </c>
      <c r="B1349">
        <f>HYPERLINK("https://app.optiwise.ai/catalog/itemdetails/7406919", "Solaris Wearable Lounging Blanket,Super Soft Warm Cozy Reversible Fuzzy,Extra Soft for Sofa Warm Blanket,Lightweight, Red Plaid.")</f>
        <v/>
      </c>
      <c r="C1349" t="inlineStr">
        <is>
          <t>1SLSN201PRD</t>
        </is>
      </c>
      <c r="D1349" t="inlineStr">
        <is>
          <t>Bedding</t>
        </is>
      </c>
      <c r="E1349" t="inlineStr">
        <is>
          <t>Throws</t>
        </is>
      </c>
      <c r="F1349" t="inlineStr">
        <is>
          <t>Solaris</t>
        </is>
      </c>
      <c r="G1349" t="n">
        <v>0</v>
      </c>
      <c r="H1349" t="n">
        <v>0</v>
      </c>
      <c r="J1349" s="29" t="n">
        <v>0</v>
      </c>
      <c r="K1349" s="30" t="n"/>
      <c r="L1349" s="29" t="n">
        <v>0</v>
      </c>
      <c r="M1349" s="29" t="n">
        <v>0</v>
      </c>
      <c r="N1349" s="2" t="n">
        <v>0</v>
      </c>
      <c r="O1349" s="31" t="n">
        <v>0</v>
      </c>
      <c r="P1349" s="32" t="n"/>
      <c r="Q1349" s="32" t="n">
        <v>0</v>
      </c>
      <c r="R1349" s="32" t="n">
        <v>0</v>
      </c>
      <c r="S1349" s="31" t="n">
        <v>0</v>
      </c>
      <c r="T1349" s="32" t="n">
        <v>0</v>
      </c>
      <c r="U1349" s="31" t="n">
        <v>0</v>
      </c>
      <c r="V1349" s="31" t="n">
        <v>0</v>
      </c>
      <c r="W1349" s="3" t="n">
        <v>0</v>
      </c>
      <c r="X1349" s="3" t="n">
        <v>0</v>
      </c>
      <c r="Y1349" s="32" t="n">
        <v>0</v>
      </c>
      <c r="Z1349" s="3" t="n">
        <v>0</v>
      </c>
      <c r="AA1349" s="32" t="n">
        <v>0</v>
      </c>
      <c r="AB1349" s="3" t="n"/>
      <c r="AC1349" s="31" t="n">
        <v>0</v>
      </c>
      <c r="AD1349" s="2" t="n">
        <v>0</v>
      </c>
      <c r="AE1349" s="2" t="n">
        <v>1</v>
      </c>
      <c r="AF1349" s="4" t="n">
        <v>1</v>
      </c>
      <c r="AG1349" s="33" t="n">
        <v>0</v>
      </c>
      <c r="AH1349" s="4" t="n">
        <v>0</v>
      </c>
      <c r="AI1349" s="34" t="n"/>
      <c r="AJ1349" s="34" t="n">
        <v>0</v>
      </c>
      <c r="AK1349" s="2" t="n">
        <v>0</v>
      </c>
      <c r="AL1349" t="inlineStr">
        <is>
          <t>Published</t>
        </is>
      </c>
    </row>
    <row r="1350">
      <c r="A1350">
        <f>HYPERLINK("https://www.walmart.com/ip/3120306417", "3120306417")</f>
        <v/>
      </c>
      <c r="B1350">
        <f>HYPERLINK("https://app.optiwise.ai/catalog/itemdetails/7406918", "Tirrinia Hood Wearable Fleece Blanket with Sleeves for Adult Women Men, Super Soft Comfy Plush Functional TV Blanket Throw Cuddly Wrap Cover for Bed Sofa and Lounge Chair Couch, Gray")</f>
        <v/>
      </c>
      <c r="C1350" t="inlineStr">
        <is>
          <t>1TRSN400GY</t>
        </is>
      </c>
      <c r="D1350" t="inlineStr">
        <is>
          <t>Home Decor, Kitchen, &amp; Other</t>
        </is>
      </c>
      <c r="E1350" t="inlineStr">
        <is>
          <t>Throws</t>
        </is>
      </c>
      <c r="F1350" t="inlineStr">
        <is>
          <t>Tirrinia</t>
        </is>
      </c>
      <c r="G1350" t="n">
        <v>0</v>
      </c>
      <c r="H1350" t="n">
        <v>0</v>
      </c>
      <c r="I1350" t="inlineStr">
        <is>
          <t>Q2-Target,Coupon_Discount,Fleece Blankets</t>
        </is>
      </c>
      <c r="J1350" s="29" t="n">
        <v>0</v>
      </c>
      <c r="K1350" s="30" t="n"/>
      <c r="L1350" s="29" t="n">
        <v>0</v>
      </c>
      <c r="M1350" s="29" t="n">
        <v>0</v>
      </c>
      <c r="N1350" s="2" t="n">
        <v>0</v>
      </c>
      <c r="O1350" s="31" t="n">
        <v>0</v>
      </c>
      <c r="P1350" s="32" t="n"/>
      <c r="Q1350" s="32" t="n">
        <v>0</v>
      </c>
      <c r="R1350" s="32" t="n">
        <v>0</v>
      </c>
      <c r="S1350" s="31" t="n">
        <v>0</v>
      </c>
      <c r="T1350" s="32" t="n">
        <v>0</v>
      </c>
      <c r="U1350" s="31" t="n">
        <v>0</v>
      </c>
      <c r="V1350" s="31" t="n">
        <v>0</v>
      </c>
      <c r="W1350" s="3" t="n">
        <v>0</v>
      </c>
      <c r="X1350" s="3" t="n">
        <v>0</v>
      </c>
      <c r="Y1350" s="32" t="n">
        <v>0</v>
      </c>
      <c r="Z1350" s="3" t="n">
        <v>0</v>
      </c>
      <c r="AA1350" s="32" t="n">
        <v>0</v>
      </c>
      <c r="AB1350" s="3" t="n"/>
      <c r="AC1350" s="31" t="n">
        <v>0</v>
      </c>
      <c r="AD1350" s="2" t="n">
        <v>10</v>
      </c>
      <c r="AE1350" s="2" t="n">
        <v>26</v>
      </c>
      <c r="AF1350" s="4" t="n">
        <v>26</v>
      </c>
      <c r="AG1350" s="33" t="n">
        <v>0</v>
      </c>
      <c r="AH1350" s="4" t="n">
        <v>0</v>
      </c>
      <c r="AI1350" s="34" t="n"/>
      <c r="AJ1350" s="34" t="n">
        <v>0</v>
      </c>
      <c r="AK1350" s="2" t="n">
        <v>0</v>
      </c>
      <c r="AL1350" t="inlineStr">
        <is>
          <t>Published</t>
        </is>
      </c>
    </row>
    <row r="1351">
      <c r="A1351">
        <f>HYPERLINK("https://www.walmart.com/ip/3236946602", "3236946602")</f>
        <v/>
      </c>
      <c r="B1351">
        <f>HYPERLINK("https://app.optiwise.ai/catalog/itemdetails/7406786", "Catalonia Wearable TV Blanket with Sleeves Arms Micro Plush Fleece Wrap Throw Robe 73 x 51”")</f>
        <v/>
      </c>
      <c r="C1351" t="inlineStr">
        <is>
          <t>1CTSN100PRD</t>
        </is>
      </c>
      <c r="D1351" t="inlineStr">
        <is>
          <t>Bedding</t>
        </is>
      </c>
      <c r="E1351" t="inlineStr">
        <is>
          <t>Throws</t>
        </is>
      </c>
      <c r="F1351" t="inlineStr">
        <is>
          <t>Catalonia</t>
        </is>
      </c>
      <c r="G1351" t="n">
        <v>0</v>
      </c>
      <c r="H1351" t="n">
        <v>0</v>
      </c>
      <c r="J1351" s="29" t="n">
        <v>0</v>
      </c>
      <c r="K1351" s="30" t="n"/>
      <c r="L1351" s="29" t="n">
        <v>0</v>
      </c>
      <c r="M1351" s="29" t="n">
        <v>0</v>
      </c>
      <c r="N1351" s="2" t="n">
        <v>0</v>
      </c>
      <c r="O1351" s="31" t="n">
        <v>0</v>
      </c>
      <c r="P1351" s="32" t="n"/>
      <c r="Q1351" s="32" t="n">
        <v>0</v>
      </c>
      <c r="R1351" s="32" t="n">
        <v>0</v>
      </c>
      <c r="S1351" s="31" t="n">
        <v>0</v>
      </c>
      <c r="T1351" s="32" t="n">
        <v>0</v>
      </c>
      <c r="U1351" s="31" t="n">
        <v>0</v>
      </c>
      <c r="V1351" s="31" t="n">
        <v>0</v>
      </c>
      <c r="W1351" s="3" t="n">
        <v>0</v>
      </c>
      <c r="X1351" s="3" t="n">
        <v>0</v>
      </c>
      <c r="Y1351" s="32" t="n">
        <v>0</v>
      </c>
      <c r="Z1351" s="3" t="n">
        <v>0</v>
      </c>
      <c r="AA1351" s="32" t="n">
        <v>0</v>
      </c>
      <c r="AB1351" s="3" t="n"/>
      <c r="AC1351" s="31" t="n">
        <v>0</v>
      </c>
      <c r="AD1351" s="2" t="n">
        <v>0</v>
      </c>
      <c r="AE1351" s="2" t="n">
        <v>30</v>
      </c>
      <c r="AF1351" s="4" t="n">
        <v>30</v>
      </c>
      <c r="AG1351" s="33" t="n">
        <v>0</v>
      </c>
      <c r="AH1351" s="4" t="n">
        <v>0</v>
      </c>
      <c r="AI1351" s="34" t="n"/>
      <c r="AJ1351" s="34" t="n">
        <v>0</v>
      </c>
      <c r="AK1351" s="2" t="n">
        <v>0</v>
      </c>
      <c r="AL1351" t="inlineStr">
        <is>
          <t>Published</t>
        </is>
      </c>
    </row>
    <row r="1352">
      <c r="A1352">
        <f>HYPERLINK("https://www.walmart.com/ip/3348429071", "3348429071")</f>
        <v/>
      </c>
      <c r="B1352">
        <f>HYPERLINK("https://app.optiwise.ai/catalog/itemdetails/7386266", "Kato Outdoors Waterproof Throw Blanket, Sherpa Fleece Stadium Windproof Mat For Traveling, Camping, Hiking, Football - Machine Washable, Orange/Grey, 51x 59.")</f>
        <v/>
      </c>
      <c r="C1352" t="inlineStr">
        <is>
          <t>1KTBW506ORGY</t>
        </is>
      </c>
      <c r="D1352" t="inlineStr">
        <is>
          <t>Bedding</t>
        </is>
      </c>
      <c r="E1352" t="inlineStr">
        <is>
          <t>Throws</t>
        </is>
      </c>
      <c r="F1352" t="inlineStr">
        <is>
          <t>Kato</t>
        </is>
      </c>
      <c r="G1352" t="n">
        <v>0</v>
      </c>
      <c r="H1352" t="n">
        <v>0</v>
      </c>
      <c r="I1352" t="inlineStr">
        <is>
          <t>Q2-Target</t>
        </is>
      </c>
      <c r="J1352" s="29" t="n">
        <v>0</v>
      </c>
      <c r="K1352" s="30" t="n"/>
      <c r="L1352" s="29" t="n">
        <v>0</v>
      </c>
      <c r="M1352" s="29" t="n">
        <v>0</v>
      </c>
      <c r="N1352" s="2" t="n">
        <v>0</v>
      </c>
      <c r="O1352" s="31" t="n">
        <v>0</v>
      </c>
      <c r="P1352" s="32" t="n"/>
      <c r="Q1352" s="32" t="n">
        <v>0</v>
      </c>
      <c r="R1352" s="32" t="n">
        <v>0.1713</v>
      </c>
      <c r="S1352" s="31" t="n">
        <v>0</v>
      </c>
      <c r="T1352" s="32" t="n">
        <v>0</v>
      </c>
      <c r="U1352" s="31" t="n">
        <v>0</v>
      </c>
      <c r="V1352" s="31" t="n">
        <v>0</v>
      </c>
      <c r="W1352" s="3" t="n">
        <v>1455</v>
      </c>
      <c r="X1352" s="3" t="n">
        <v>0</v>
      </c>
      <c r="Y1352" s="32" t="n">
        <v>0</v>
      </c>
      <c r="Z1352" s="3" t="n">
        <v>0</v>
      </c>
      <c r="AA1352" s="32" t="n">
        <v>0</v>
      </c>
      <c r="AB1352" s="3" t="inlineStr">
        <is>
          <t>Throws_Auto_Optiwise_24</t>
        </is>
      </c>
      <c r="AC1352" s="31" t="n">
        <v>0</v>
      </c>
      <c r="AD1352" s="2" t="n">
        <v>68</v>
      </c>
      <c r="AE1352" s="2" t="n">
        <v>40</v>
      </c>
      <c r="AF1352" s="4" t="n">
        <v>40</v>
      </c>
      <c r="AG1352" s="33" t="n">
        <v>0</v>
      </c>
      <c r="AH1352" s="4" t="n">
        <v>0</v>
      </c>
      <c r="AI1352" s="34" t="n"/>
      <c r="AJ1352" s="34" t="n">
        <v>0</v>
      </c>
      <c r="AK1352" s="2" t="n">
        <v>0</v>
      </c>
      <c r="AL1352" t="inlineStr">
        <is>
          <t>Published</t>
        </is>
      </c>
    </row>
    <row r="1353">
      <c r="A1353">
        <f>HYPERLINK("https://www.walmart.com/ip/2470519658", "2470519658")</f>
        <v/>
      </c>
      <c r="B1353">
        <f>HYPERLINK("https://app.optiwise.ai/catalog/itemdetails/7386264", "Kato Outdoors Waterproof Throw Blanket, Sherpa Fleece Stadium Windproof Mat for Boat, Traveling, Camping, Hiking, and Football, Machine Washable, Green/Black, 66'' x 90''")</f>
        <v/>
      </c>
      <c r="C1353" t="inlineStr">
        <is>
          <t>1KTBW669GNBK</t>
        </is>
      </c>
      <c r="D1353" t="inlineStr">
        <is>
          <t>Bedding</t>
        </is>
      </c>
      <c r="E1353" t="inlineStr">
        <is>
          <t>Throws</t>
        </is>
      </c>
      <c r="F1353" t="inlineStr">
        <is>
          <t>Kato</t>
        </is>
      </c>
      <c r="G1353" t="n">
        <v>0</v>
      </c>
      <c r="H1353" t="n">
        <v>0</v>
      </c>
      <c r="I1353" t="inlineStr">
        <is>
          <t>Q2-Target</t>
        </is>
      </c>
      <c r="J1353" s="29" t="n">
        <v>0</v>
      </c>
      <c r="K1353" s="30" t="n"/>
      <c r="L1353" s="29" t="n">
        <v>0</v>
      </c>
      <c r="M1353" s="29" t="n">
        <v>0</v>
      </c>
      <c r="N1353" s="2" t="n">
        <v>0</v>
      </c>
      <c r="O1353" s="31" t="n">
        <v>8.069999999999999</v>
      </c>
      <c r="P1353" s="32" t="n">
        <v>0.001</v>
      </c>
      <c r="Q1353" s="32" t="n">
        <v>0</v>
      </c>
      <c r="R1353" s="32" t="n">
        <v>0</v>
      </c>
      <c r="S1353" s="31" t="n">
        <v>5.57</v>
      </c>
      <c r="T1353" s="32" t="n">
        <v>0.18</v>
      </c>
      <c r="U1353" s="31" t="n">
        <v>44.99</v>
      </c>
      <c r="V1353" s="31" t="n">
        <v>44.99</v>
      </c>
      <c r="W1353" s="3" t="n">
        <v>8713</v>
      </c>
      <c r="X1353" s="3" t="n">
        <v>28</v>
      </c>
      <c r="Y1353" s="32" t="n">
        <v>0.0032</v>
      </c>
      <c r="Z1353" s="3" t="n">
        <v>1</v>
      </c>
      <c r="AA1353" s="32" t="n">
        <v>0.0357</v>
      </c>
      <c r="AB1353" s="3" t="inlineStr">
        <is>
          <t>Throws_Auto_Optiwise_24</t>
        </is>
      </c>
      <c r="AC1353" s="31" t="n">
        <v>0.29</v>
      </c>
      <c r="AD1353" s="2" t="n">
        <v>0</v>
      </c>
      <c r="AE1353" s="2" t="n">
        <v>43</v>
      </c>
      <c r="AF1353" s="4" t="n">
        <v>15</v>
      </c>
      <c r="AG1353" s="33" t="n">
        <v>-44.99</v>
      </c>
      <c r="AH1353" s="4" t="n">
        <v>-1</v>
      </c>
      <c r="AI1353" s="34" t="n">
        <v>-0.0667</v>
      </c>
      <c r="AJ1353" s="34" t="n">
        <v>0</v>
      </c>
      <c r="AK1353" s="2" t="n">
        <v>0</v>
      </c>
      <c r="AL1353" t="inlineStr">
        <is>
          <t>Published</t>
        </is>
      </c>
    </row>
    <row r="1354">
      <c r="A1354">
        <f>HYPERLINK("https://www.walmart.com/ip/2384789693", "2384789693")</f>
        <v/>
      </c>
      <c r="B1354">
        <f>HYPERLINK("https://app.optiwise.ai/catalog/itemdetails/7386263", "Kato Outdoors Waterproof Throw Blanket, Sherpa Fleece Stadium Windproof Mat For Traveling, Camping, Hiking, Football - Machine Washable, Camo/Black, 51x 59.")</f>
        <v/>
      </c>
      <c r="C1354" t="inlineStr">
        <is>
          <t>1KTBW506CAMOBK</t>
        </is>
      </c>
      <c r="D1354" t="inlineStr">
        <is>
          <t>Bedding</t>
        </is>
      </c>
      <c r="E1354" t="inlineStr">
        <is>
          <t>Throws</t>
        </is>
      </c>
      <c r="F1354" t="inlineStr">
        <is>
          <t>Kato</t>
        </is>
      </c>
      <c r="G1354" t="n">
        <v>0</v>
      </c>
      <c r="H1354" t="n">
        <v>0</v>
      </c>
      <c r="I1354" t="inlineStr">
        <is>
          <t>Q2-Target</t>
        </is>
      </c>
      <c r="J1354" s="29" t="n">
        <v>0</v>
      </c>
      <c r="K1354" s="30" t="n"/>
      <c r="L1354" s="29" t="n">
        <v>0</v>
      </c>
      <c r="M1354" s="29" t="n">
        <v>0</v>
      </c>
      <c r="N1354" s="2" t="n">
        <v>0</v>
      </c>
      <c r="O1354" s="31" t="n">
        <v>0.62</v>
      </c>
      <c r="P1354" s="32" t="n">
        <v>0.0001</v>
      </c>
      <c r="Q1354" s="32" t="n">
        <v>0</v>
      </c>
      <c r="R1354" s="32" t="n">
        <v>0.0109</v>
      </c>
      <c r="S1354" s="31" t="n">
        <v>0</v>
      </c>
      <c r="T1354" s="32" t="n">
        <v>0</v>
      </c>
      <c r="U1354" s="31" t="n">
        <v>0</v>
      </c>
      <c r="V1354" s="31" t="n">
        <v>0</v>
      </c>
      <c r="W1354" s="3" t="n">
        <v>3999</v>
      </c>
      <c r="X1354" s="3" t="n">
        <v>2</v>
      </c>
      <c r="Y1354" s="32" t="n">
        <v>0.0005</v>
      </c>
      <c r="Z1354" s="3" t="n">
        <v>0</v>
      </c>
      <c r="AA1354" s="32" t="n">
        <v>0</v>
      </c>
      <c r="AB1354" s="3" t="inlineStr">
        <is>
          <t>Throws_Auto_Optiwise_24</t>
        </is>
      </c>
      <c r="AC1354" s="31" t="n">
        <v>0.31</v>
      </c>
      <c r="AD1354" s="2" t="n">
        <v>0</v>
      </c>
      <c r="AE1354" s="2" t="n">
        <v>32</v>
      </c>
      <c r="AF1354" s="4" t="n">
        <v>30</v>
      </c>
      <c r="AG1354" s="33" t="n">
        <v>0</v>
      </c>
      <c r="AH1354" s="4" t="n">
        <v>0</v>
      </c>
      <c r="AI1354" s="34" t="n"/>
      <c r="AJ1354" s="34" t="n">
        <v>0</v>
      </c>
      <c r="AK1354" s="2" t="n">
        <v>0</v>
      </c>
      <c r="AL1354" t="inlineStr">
        <is>
          <t>Published</t>
        </is>
      </c>
    </row>
    <row r="1355">
      <c r="A1355">
        <f>HYPERLINK("https://www.walmart.com/ip/2237238375", "2237238375")</f>
        <v/>
      </c>
      <c r="B1355">
        <f>HYPERLINK("https://app.optiwise.ai/catalog/itemdetails/7386262", "Kato Sherpa Fleece Blanket, Waterproof and Windproof Mat for Boat, Traveling, Camping, Hiking, and Football, Black/Grey, 66'' x 90''")</f>
        <v/>
      </c>
      <c r="C1355" t="inlineStr">
        <is>
          <t>1KTBW669BKGY</t>
        </is>
      </c>
      <c r="D1355" t="inlineStr">
        <is>
          <t>Bedding</t>
        </is>
      </c>
      <c r="E1355" t="inlineStr">
        <is>
          <t>Throws</t>
        </is>
      </c>
      <c r="F1355" t="inlineStr">
        <is>
          <t>Kato</t>
        </is>
      </c>
      <c r="G1355" t="n">
        <v>0</v>
      </c>
      <c r="H1355" t="n">
        <v>0</v>
      </c>
      <c r="J1355" s="29" t="n">
        <v>0</v>
      </c>
      <c r="K1355" s="30" t="n"/>
      <c r="L1355" s="29" t="n">
        <v>0</v>
      </c>
      <c r="M1355" s="29" t="n">
        <v>0</v>
      </c>
      <c r="N1355" s="2" t="n">
        <v>0</v>
      </c>
      <c r="O1355" s="31" t="n">
        <v>0</v>
      </c>
      <c r="P1355" s="32" t="n"/>
      <c r="Q1355" s="32" t="n">
        <v>0</v>
      </c>
      <c r="R1355" s="32" t="n">
        <v>0</v>
      </c>
      <c r="S1355" s="31" t="n">
        <v>0</v>
      </c>
      <c r="T1355" s="32" t="n">
        <v>0</v>
      </c>
      <c r="U1355" s="31" t="n">
        <v>0</v>
      </c>
      <c r="V1355" s="31" t="n">
        <v>0</v>
      </c>
      <c r="W1355" s="3" t="n">
        <v>0</v>
      </c>
      <c r="X1355" s="3" t="n">
        <v>0</v>
      </c>
      <c r="Y1355" s="32" t="n">
        <v>0</v>
      </c>
      <c r="Z1355" s="3" t="n">
        <v>0</v>
      </c>
      <c r="AA1355" s="32" t="n">
        <v>0</v>
      </c>
      <c r="AB1355" s="3" t="n"/>
      <c r="AC1355" s="31" t="n">
        <v>0</v>
      </c>
      <c r="AD1355" s="2" t="n">
        <v>0</v>
      </c>
      <c r="AE1355" s="2" t="n">
        <v>37</v>
      </c>
      <c r="AF1355" s="4" t="n">
        <v>37</v>
      </c>
      <c r="AG1355" s="33" t="n">
        <v>0</v>
      </c>
      <c r="AH1355" s="4" t="n">
        <v>0</v>
      </c>
      <c r="AI1355" s="34" t="n"/>
      <c r="AJ1355" s="34" t="n">
        <v>0</v>
      </c>
      <c r="AK1355" s="2" t="n">
        <v>0</v>
      </c>
      <c r="AL1355" t="inlineStr">
        <is>
          <t>Published</t>
        </is>
      </c>
    </row>
    <row r="1356">
      <c r="A1356">
        <f>HYPERLINK("https://www.walmart.com/ip/5002306608", "5002306608")</f>
        <v/>
      </c>
      <c r="B1356">
        <f>HYPERLINK("https://app.optiwise.ai/catalog/itemdetails/6070351", "Catalonia Wearable Blanket with Sleeves and Pocket, Cozy Soft Fleece Micro Plush Wrap Adult Blanket Robe for Women Men, Blue Cat Pattern Makes a Great Gift for Holidays.")</f>
        <v/>
      </c>
      <c r="C1356" t="inlineStr">
        <is>
          <t>1CTSN100BLCAT</t>
        </is>
      </c>
      <c r="D1356" t="inlineStr">
        <is>
          <t>Bedding</t>
        </is>
      </c>
      <c r="E1356" t="inlineStr">
        <is>
          <t>Throws</t>
        </is>
      </c>
      <c r="F1356" t="inlineStr">
        <is>
          <t>Catalonia</t>
        </is>
      </c>
      <c r="G1356" t="n">
        <v>0</v>
      </c>
      <c r="H1356" t="n">
        <v>0</v>
      </c>
      <c r="I1356" t="inlineStr">
        <is>
          <t>Q2-Target</t>
        </is>
      </c>
      <c r="J1356" s="29" t="n">
        <v>0</v>
      </c>
      <c r="K1356" s="30" t="n"/>
      <c r="L1356" s="29" t="n">
        <v>0</v>
      </c>
      <c r="M1356" s="29" t="n">
        <v>0</v>
      </c>
      <c r="N1356" s="2" t="n">
        <v>0</v>
      </c>
      <c r="O1356" s="31" t="n">
        <v>0</v>
      </c>
      <c r="P1356" s="32" t="n"/>
      <c r="Q1356" s="32" t="n">
        <v>0</v>
      </c>
      <c r="R1356" s="32" t="n">
        <v>0</v>
      </c>
      <c r="S1356" s="31" t="n">
        <v>0</v>
      </c>
      <c r="T1356" s="32" t="n">
        <v>0</v>
      </c>
      <c r="U1356" s="31" t="n">
        <v>0</v>
      </c>
      <c r="V1356" s="31" t="n">
        <v>0</v>
      </c>
      <c r="W1356" s="3" t="n">
        <v>0</v>
      </c>
      <c r="X1356" s="3" t="n">
        <v>0</v>
      </c>
      <c r="Y1356" s="32" t="n">
        <v>0</v>
      </c>
      <c r="Z1356" s="3" t="n">
        <v>0</v>
      </c>
      <c r="AA1356" s="32" t="n">
        <v>0</v>
      </c>
      <c r="AB1356" s="3" t="n"/>
      <c r="AC1356" s="31" t="n">
        <v>0</v>
      </c>
      <c r="AD1356" s="2" t="n">
        <v>0</v>
      </c>
      <c r="AE1356" s="2" t="n">
        <v>35</v>
      </c>
      <c r="AF1356" s="4" t="n">
        <v>35</v>
      </c>
      <c r="AG1356" s="33" t="n">
        <v>0</v>
      </c>
      <c r="AH1356" s="4" t="n">
        <v>0</v>
      </c>
      <c r="AI1356" s="34" t="n"/>
      <c r="AJ1356" s="34" t="n">
        <v>0</v>
      </c>
      <c r="AK1356" s="2" t="n">
        <v>0</v>
      </c>
      <c r="AL1356" t="inlineStr">
        <is>
          <t>Published</t>
        </is>
      </c>
    </row>
    <row r="1357">
      <c r="A1357">
        <f>HYPERLINK("https://www.walmart.com/ip/2716246624", "2716246624")</f>
        <v/>
      </c>
      <c r="B1357">
        <f>HYPERLINK("https://app.optiwise.ai/catalog/itemdetails/6070348", "Catalonia Wearable Fleece Blanket with Sleeves and Foot Pockets for Adult Women and Men, Micro Plush Comfy Wrap Sleeved Throw Blanket Robe, Large, Southwest Blue")</f>
        <v/>
      </c>
      <c r="C1357" t="inlineStr">
        <is>
          <t>1CTSN101SWBL</t>
        </is>
      </c>
      <c r="D1357" t="inlineStr">
        <is>
          <t>Bedding</t>
        </is>
      </c>
      <c r="E1357" t="inlineStr">
        <is>
          <t>Throws</t>
        </is>
      </c>
      <c r="F1357" t="inlineStr">
        <is>
          <t>Catalonia</t>
        </is>
      </c>
      <c r="G1357" t="n">
        <v>3.8</v>
      </c>
      <c r="H1357" t="n">
        <v>12</v>
      </c>
      <c r="I1357" t="inlineStr">
        <is>
          <t>Coupon_Discount,Fleece Blankets</t>
        </is>
      </c>
      <c r="J1357" s="29" t="n">
        <v>0</v>
      </c>
      <c r="K1357" s="30" t="n"/>
      <c r="L1357" s="29" t="n">
        <v>0</v>
      </c>
      <c r="M1357" s="29" t="n">
        <v>0</v>
      </c>
      <c r="N1357" s="2" t="n">
        <v>0</v>
      </c>
      <c r="O1357" s="31" t="n">
        <v>0</v>
      </c>
      <c r="P1357" s="32" t="n"/>
      <c r="Q1357" s="32" t="n">
        <v>0</v>
      </c>
      <c r="R1357" s="32" t="n">
        <v>0</v>
      </c>
      <c r="S1357" s="31" t="n">
        <v>0</v>
      </c>
      <c r="T1357" s="32" t="n">
        <v>0</v>
      </c>
      <c r="U1357" s="31" t="n">
        <v>0</v>
      </c>
      <c r="V1357" s="31" t="n">
        <v>0</v>
      </c>
      <c r="W1357" s="3" t="n">
        <v>0</v>
      </c>
      <c r="X1357" s="3" t="n">
        <v>0</v>
      </c>
      <c r="Y1357" s="32" t="n">
        <v>0</v>
      </c>
      <c r="Z1357" s="3" t="n">
        <v>0</v>
      </c>
      <c r="AA1357" s="32" t="n">
        <v>0</v>
      </c>
      <c r="AB1357" s="3" t="n"/>
      <c r="AC1357" s="31" t="n">
        <v>0</v>
      </c>
      <c r="AD1357" s="2" t="n">
        <v>43</v>
      </c>
      <c r="AE1357" s="2" t="n">
        <v>61</v>
      </c>
      <c r="AF1357" s="4" t="n">
        <v>61</v>
      </c>
      <c r="AG1357" s="33" t="n">
        <v>0</v>
      </c>
      <c r="AH1357" s="4" t="n">
        <v>0</v>
      </c>
      <c r="AI1357" s="34" t="n"/>
      <c r="AJ1357" s="34" t="n">
        <v>0</v>
      </c>
      <c r="AK1357" s="2" t="n">
        <v>0</v>
      </c>
      <c r="AL1357" t="inlineStr">
        <is>
          <t>Published</t>
        </is>
      </c>
    </row>
    <row r="1358">
      <c r="A1358">
        <f>HYPERLINK("https://www.walmart.com/ip/2489473756", "2489473756")</f>
        <v/>
      </c>
      <c r="B1358">
        <f>HYPERLINK("https://app.optiwise.ai/catalog/itemdetails/6070347", "Catalonia Wearable Fleece Blanket with Sleeves and Foot Pockets for Adult Women Men, Micro Plush Comfy Wrap Sleeved Throw Blanket Robe Large, Grey Dog")</f>
        <v/>
      </c>
      <c r="C1358" t="inlineStr">
        <is>
          <t>1CTSN101GYDOG</t>
        </is>
      </c>
      <c r="D1358" t="inlineStr">
        <is>
          <t>Bedding</t>
        </is>
      </c>
      <c r="E1358" t="inlineStr">
        <is>
          <t>Throws</t>
        </is>
      </c>
      <c r="F1358" t="inlineStr">
        <is>
          <t>Catalonia</t>
        </is>
      </c>
      <c r="G1358" t="n">
        <v>0</v>
      </c>
      <c r="H1358" t="n">
        <v>0</v>
      </c>
      <c r="I1358" t="inlineStr">
        <is>
          <t>Coupon_Discount,Fleece Blankets</t>
        </is>
      </c>
      <c r="J1358" s="29" t="n">
        <v>0</v>
      </c>
      <c r="K1358" s="30" t="n"/>
      <c r="L1358" s="29" t="n">
        <v>0</v>
      </c>
      <c r="M1358" s="29" t="n">
        <v>0</v>
      </c>
      <c r="N1358" s="2" t="n">
        <v>0</v>
      </c>
      <c r="O1358" s="31" t="n">
        <v>0</v>
      </c>
      <c r="P1358" s="32" t="n"/>
      <c r="Q1358" s="32" t="n">
        <v>0</v>
      </c>
      <c r="R1358" s="32" t="n">
        <v>0</v>
      </c>
      <c r="S1358" s="31" t="n">
        <v>0</v>
      </c>
      <c r="T1358" s="32" t="n">
        <v>0</v>
      </c>
      <c r="U1358" s="31" t="n">
        <v>0</v>
      </c>
      <c r="V1358" s="31" t="n">
        <v>0</v>
      </c>
      <c r="W1358" s="3" t="n">
        <v>0</v>
      </c>
      <c r="X1358" s="3" t="n">
        <v>0</v>
      </c>
      <c r="Y1358" s="32" t="n">
        <v>0</v>
      </c>
      <c r="Z1358" s="3" t="n">
        <v>0</v>
      </c>
      <c r="AA1358" s="32" t="n">
        <v>0</v>
      </c>
      <c r="AB1358" s="3" t="n"/>
      <c r="AC1358" s="31" t="n">
        <v>0</v>
      </c>
      <c r="AD1358" s="2" t="n">
        <v>3</v>
      </c>
      <c r="AE1358" s="2" t="n">
        <v>59</v>
      </c>
      <c r="AF1358" s="4" t="n">
        <v>59</v>
      </c>
      <c r="AG1358" s="33" t="n">
        <v>0</v>
      </c>
      <c r="AH1358" s="4" t="n">
        <v>0</v>
      </c>
      <c r="AI1358" s="34" t="n"/>
      <c r="AJ1358" s="34" t="n">
        <v>0</v>
      </c>
      <c r="AK1358" s="2" t="n">
        <v>0</v>
      </c>
      <c r="AL1358" t="inlineStr">
        <is>
          <t>Published</t>
        </is>
      </c>
    </row>
    <row r="1359">
      <c r="A1359">
        <f>HYPERLINK("https://www.walmart.com/ip/2294619630", "2294619630")</f>
        <v/>
      </c>
      <c r="B1359">
        <f>HYPERLINK("https://app.optiwise.ai/catalog/itemdetails/6070346", "Catalonia Wearable Fleece Blanket with Sleeves and Foot Pockets for Adult Women Men, Micro Plush Comfy Wrap Sleeved Throw Blanket Robe Large, Southwest Star")</f>
        <v/>
      </c>
      <c r="C1359" t="inlineStr">
        <is>
          <t>1CTSN101SWSTAR</t>
        </is>
      </c>
      <c r="D1359" t="inlineStr">
        <is>
          <t>Bedding</t>
        </is>
      </c>
      <c r="E1359" t="inlineStr">
        <is>
          <t>Throws</t>
        </is>
      </c>
      <c r="F1359" t="inlineStr">
        <is>
          <t>Catalonia</t>
        </is>
      </c>
      <c r="G1359" t="n">
        <v>0</v>
      </c>
      <c r="H1359" t="n">
        <v>0</v>
      </c>
      <c r="I1359" t="inlineStr">
        <is>
          <t>Fleece Blankets</t>
        </is>
      </c>
      <c r="J1359" s="29" t="n">
        <v>0</v>
      </c>
      <c r="K1359" s="30" t="n"/>
      <c r="L1359" s="29" t="n">
        <v>0</v>
      </c>
      <c r="M1359" s="29" t="n">
        <v>0</v>
      </c>
      <c r="N1359" s="2" t="n">
        <v>0</v>
      </c>
      <c r="O1359" s="31" t="n">
        <v>0</v>
      </c>
      <c r="P1359" s="32" t="n"/>
      <c r="Q1359" s="32" t="n">
        <v>0</v>
      </c>
      <c r="R1359" s="32" t="n">
        <v>0</v>
      </c>
      <c r="S1359" s="31" t="n">
        <v>0</v>
      </c>
      <c r="T1359" s="32" t="n">
        <v>0</v>
      </c>
      <c r="U1359" s="31" t="n">
        <v>0</v>
      </c>
      <c r="V1359" s="31" t="n">
        <v>0</v>
      </c>
      <c r="W1359" s="3" t="n">
        <v>0</v>
      </c>
      <c r="X1359" s="3" t="n">
        <v>0</v>
      </c>
      <c r="Y1359" s="32" t="n">
        <v>0</v>
      </c>
      <c r="Z1359" s="3" t="n">
        <v>0</v>
      </c>
      <c r="AA1359" s="32" t="n">
        <v>0</v>
      </c>
      <c r="AB1359" s="3" t="n"/>
      <c r="AC1359" s="31" t="n">
        <v>0</v>
      </c>
      <c r="AD1359" s="2" t="n">
        <v>0</v>
      </c>
      <c r="AE1359" s="2" t="n">
        <v>44</v>
      </c>
      <c r="AF1359" s="4" t="n">
        <v>44</v>
      </c>
      <c r="AG1359" s="33" t="n">
        <v>0</v>
      </c>
      <c r="AH1359" s="4" t="n">
        <v>0</v>
      </c>
      <c r="AI1359" s="34" t="n"/>
      <c r="AJ1359" s="34" t="n">
        <v>0</v>
      </c>
      <c r="AK1359" s="2" t="n">
        <v>0</v>
      </c>
      <c r="AL1359" t="inlineStr">
        <is>
          <t>Published</t>
        </is>
      </c>
    </row>
    <row r="1360">
      <c r="A1360">
        <f>HYPERLINK("https://www.walmart.com/ip/1081547339", "1081547339")</f>
        <v/>
      </c>
      <c r="B1360">
        <f>HYPERLINK("https://app.optiwise.ai/catalog/itemdetails/6057899", "Tirrinia Wearable Blanket with Foot Pockets for Women Men | Zippered Front Pocket | Super Soft &amp; Cozy Fleece Throw Snuggie for Adults, One Size Fits All, No Sleeve Travel Blanket, Light Grey")</f>
        <v/>
      </c>
      <c r="C1360" t="inlineStr">
        <is>
          <t>1TRTB102LG</t>
        </is>
      </c>
      <c r="D1360" t="inlineStr">
        <is>
          <t>Bedding</t>
        </is>
      </c>
      <c r="E1360" t="inlineStr">
        <is>
          <t>Throws</t>
        </is>
      </c>
      <c r="F1360" t="inlineStr">
        <is>
          <t>Tirrinia</t>
        </is>
      </c>
      <c r="G1360" t="n">
        <v>0</v>
      </c>
      <c r="H1360" t="n">
        <v>0</v>
      </c>
      <c r="I1360" t="inlineStr">
        <is>
          <t>Q2-Target</t>
        </is>
      </c>
      <c r="J1360" s="29" t="n">
        <v>0</v>
      </c>
      <c r="K1360" s="30" t="n"/>
      <c r="L1360" s="29" t="n">
        <v>0</v>
      </c>
      <c r="M1360" s="29" t="n">
        <v>0</v>
      </c>
      <c r="N1360" s="2" t="n">
        <v>0</v>
      </c>
      <c r="O1360" s="31" t="n">
        <v>0</v>
      </c>
      <c r="P1360" s="32" t="n"/>
      <c r="Q1360" s="32" t="n">
        <v>0</v>
      </c>
      <c r="R1360" s="32" t="n">
        <v>0</v>
      </c>
      <c r="S1360" s="31" t="n">
        <v>0</v>
      </c>
      <c r="T1360" s="32" t="n">
        <v>0</v>
      </c>
      <c r="U1360" s="31" t="n">
        <v>0</v>
      </c>
      <c r="V1360" s="31" t="n">
        <v>0</v>
      </c>
      <c r="W1360" s="3" t="n">
        <v>0</v>
      </c>
      <c r="X1360" s="3" t="n">
        <v>0</v>
      </c>
      <c r="Y1360" s="32" t="n">
        <v>0</v>
      </c>
      <c r="Z1360" s="3" t="n">
        <v>0</v>
      </c>
      <c r="AA1360" s="32" t="n">
        <v>0</v>
      </c>
      <c r="AB1360" s="3" t="n"/>
      <c r="AC1360" s="31" t="n">
        <v>0</v>
      </c>
      <c r="AD1360" s="2" t="n">
        <v>0</v>
      </c>
      <c r="AE1360" s="2" t="n">
        <v>8</v>
      </c>
      <c r="AF1360" s="4" t="n">
        <v>8</v>
      </c>
      <c r="AG1360" s="33" t="n">
        <v>0</v>
      </c>
      <c r="AH1360" s="4" t="n">
        <v>0</v>
      </c>
      <c r="AI1360" s="34" t="n"/>
      <c r="AJ1360" s="34" t="n">
        <v>0</v>
      </c>
      <c r="AK1360" s="2" t="n">
        <v>0</v>
      </c>
      <c r="AL1360" t="inlineStr">
        <is>
          <t>Published</t>
        </is>
      </c>
    </row>
    <row r="1361">
      <c r="A1361">
        <f>HYPERLINK("https://www.walmart.com/ip/409480013", "409480013")</f>
        <v/>
      </c>
      <c r="B1361">
        <f>HYPERLINK("https://app.optiwise.ai/catalog/itemdetails/6057897", "Tirrinia Single Wine Gift Tote Bag, Insulated Padded Thermal Wine Bottle Carrying Cooler Carrier for Travel, Picnic, Great Gift for Wine Lover, Red")</f>
        <v/>
      </c>
      <c r="C1361" t="inlineStr">
        <is>
          <t>1TRWB102RD</t>
        </is>
      </c>
      <c r="D1361" t="inlineStr">
        <is>
          <t>Home Decor, Kitchen, &amp; Other</t>
        </is>
      </c>
      <c r="E1361" t="inlineStr">
        <is>
          <t>Wine Totes, Bags &amp; Backpacks</t>
        </is>
      </c>
      <c r="F1361" t="inlineStr">
        <is>
          <t>Tirrinia</t>
        </is>
      </c>
      <c r="G1361" t="n">
        <v>0</v>
      </c>
      <c r="H1361" t="n">
        <v>0</v>
      </c>
      <c r="J1361" s="29" t="n">
        <v>0</v>
      </c>
      <c r="K1361" s="30" t="n"/>
      <c r="L1361" s="29" t="n">
        <v>0</v>
      </c>
      <c r="M1361" s="29" t="n">
        <v>0</v>
      </c>
      <c r="N1361" s="2" t="n">
        <v>0</v>
      </c>
      <c r="O1361" s="31" t="n">
        <v>0</v>
      </c>
      <c r="P1361" s="32" t="n"/>
      <c r="Q1361" s="32" t="n">
        <v>0</v>
      </c>
      <c r="R1361" s="32" t="n">
        <v>0</v>
      </c>
      <c r="S1361" s="31" t="n">
        <v>0</v>
      </c>
      <c r="T1361" s="32" t="n">
        <v>0</v>
      </c>
      <c r="U1361" s="31" t="n">
        <v>0</v>
      </c>
      <c r="V1361" s="31" t="n">
        <v>0</v>
      </c>
      <c r="W1361" s="3" t="n">
        <v>0</v>
      </c>
      <c r="X1361" s="3" t="n">
        <v>0</v>
      </c>
      <c r="Y1361" s="32" t="n">
        <v>0</v>
      </c>
      <c r="Z1361" s="3" t="n">
        <v>0</v>
      </c>
      <c r="AA1361" s="32" t="n">
        <v>0</v>
      </c>
      <c r="AB1361" s="3" t="n"/>
      <c r="AC1361" s="31" t="n">
        <v>0</v>
      </c>
      <c r="AD1361" s="2" t="n">
        <v>0</v>
      </c>
      <c r="AE1361" s="2" t="n">
        <v>23</v>
      </c>
      <c r="AF1361" s="4" t="n">
        <v>23</v>
      </c>
      <c r="AG1361" s="33" t="n">
        <v>0</v>
      </c>
      <c r="AH1361" s="4" t="n">
        <v>0</v>
      </c>
      <c r="AI1361" s="34" t="n"/>
      <c r="AJ1361" s="34" t="n">
        <v>0</v>
      </c>
      <c r="AK1361" s="2" t="n">
        <v>0</v>
      </c>
      <c r="AL1361" t="inlineStr">
        <is>
          <t>Published</t>
        </is>
      </c>
    </row>
    <row r="1362">
      <c r="A1362">
        <f>HYPERLINK("https://www.walmart.com/ip/3783505054", "3783505054")</f>
        <v/>
      </c>
      <c r="B1362">
        <f>HYPERLINK("https://app.optiwise.ai/catalog/itemdetails/6051372", "Tirrinia Corduroy Backpack Classic Travel Rucksack for Both Men and Women")</f>
        <v/>
      </c>
      <c r="C1362" t="inlineStr">
        <is>
          <t>1TRBPK001OR</t>
        </is>
      </c>
      <c r="D1362" t="inlineStr">
        <is>
          <t>Cases &amp; Bags</t>
        </is>
      </c>
      <c r="E1362" t="inlineStr">
        <is>
          <t>Backpacks</t>
        </is>
      </c>
      <c r="F1362" t="inlineStr">
        <is>
          <t>Tirrinia</t>
        </is>
      </c>
      <c r="G1362" t="n">
        <v>0</v>
      </c>
      <c r="H1362" t="n">
        <v>0</v>
      </c>
      <c r="J1362" s="29" t="n">
        <v>0</v>
      </c>
      <c r="K1362" s="30" t="n"/>
      <c r="L1362" s="29" t="n">
        <v>0</v>
      </c>
      <c r="M1362" s="29" t="n">
        <v>0</v>
      </c>
      <c r="N1362" s="2" t="n">
        <v>0</v>
      </c>
      <c r="O1362" s="31" t="n">
        <v>0</v>
      </c>
      <c r="P1362" s="32" t="n"/>
      <c r="Q1362" s="32" t="n">
        <v>0</v>
      </c>
      <c r="R1362" s="32" t="n">
        <v>0</v>
      </c>
      <c r="S1362" s="31" t="n">
        <v>0</v>
      </c>
      <c r="T1362" s="32" t="n">
        <v>0</v>
      </c>
      <c r="U1362" s="31" t="n">
        <v>0</v>
      </c>
      <c r="V1362" s="31" t="n">
        <v>0</v>
      </c>
      <c r="W1362" s="3" t="n">
        <v>0</v>
      </c>
      <c r="X1362" s="3" t="n">
        <v>0</v>
      </c>
      <c r="Y1362" s="32" t="n">
        <v>0</v>
      </c>
      <c r="Z1362" s="3" t="n">
        <v>0</v>
      </c>
      <c r="AA1362" s="32" t="n">
        <v>0</v>
      </c>
      <c r="AB1362" s="3" t="n"/>
      <c r="AC1362" s="31" t="n">
        <v>0</v>
      </c>
      <c r="AD1362" s="2" t="n">
        <v>0</v>
      </c>
      <c r="AE1362" s="2" t="n">
        <v>28</v>
      </c>
      <c r="AF1362" s="4" t="n">
        <v>28</v>
      </c>
      <c r="AG1362" s="33" t="n">
        <v>0</v>
      </c>
      <c r="AH1362" s="4" t="n">
        <v>0</v>
      </c>
      <c r="AI1362" s="34" t="n"/>
      <c r="AJ1362" s="34" t="n">
        <v>0</v>
      </c>
      <c r="AK1362" s="2" t="n">
        <v>0</v>
      </c>
      <c r="AL1362" t="inlineStr">
        <is>
          <t>Published</t>
        </is>
      </c>
    </row>
    <row r="1363">
      <c r="A1363">
        <f>HYPERLINK("https://www.walmart.com/ip/3336584723", "3336584723")</f>
        <v/>
      </c>
      <c r="B1363">
        <f>HYPERLINK("https://app.optiwise.ai/catalog/itemdetails/6051371", "Catalonia Waterproof Blanket for Outdoors, Hooded Blanket Poncho, Windproof, Warm, Wearable, Portable Fleece Blanket for Stadium, Picnics, Sports Events, Camping, Yoga, and Beach, Black/Wine")</f>
        <v/>
      </c>
      <c r="C1363" t="inlineStr">
        <is>
          <t>1CTBC200WNBK</t>
        </is>
      </c>
      <c r="D1363" t="inlineStr">
        <is>
          <t>Bedding</t>
        </is>
      </c>
      <c r="E1363" t="inlineStr">
        <is>
          <t>Throws</t>
        </is>
      </c>
      <c r="F1363" t="inlineStr">
        <is>
          <t>Catalonia</t>
        </is>
      </c>
      <c r="G1363" t="n">
        <v>0</v>
      </c>
      <c r="H1363" t="n">
        <v>0</v>
      </c>
      <c r="I1363" t="inlineStr">
        <is>
          <t>Wproof Blanket</t>
        </is>
      </c>
      <c r="J1363" s="29" t="n">
        <v>0</v>
      </c>
      <c r="K1363" s="30" t="n"/>
      <c r="L1363" s="29" t="n">
        <v>0</v>
      </c>
      <c r="M1363" s="29" t="n">
        <v>0</v>
      </c>
      <c r="N1363" s="2" t="n">
        <v>0</v>
      </c>
      <c r="O1363" s="31" t="n">
        <v>0</v>
      </c>
      <c r="P1363" s="32" t="n"/>
      <c r="Q1363" s="32" t="n">
        <v>0</v>
      </c>
      <c r="R1363" s="32" t="n">
        <v>0</v>
      </c>
      <c r="S1363" s="31" t="n">
        <v>0</v>
      </c>
      <c r="T1363" s="32" t="n">
        <v>0</v>
      </c>
      <c r="U1363" s="31" t="n">
        <v>0</v>
      </c>
      <c r="V1363" s="31" t="n">
        <v>0</v>
      </c>
      <c r="W1363" s="3" t="n">
        <v>0</v>
      </c>
      <c r="X1363" s="3" t="n">
        <v>0</v>
      </c>
      <c r="Y1363" s="32" t="n">
        <v>0</v>
      </c>
      <c r="Z1363" s="3" t="n">
        <v>0</v>
      </c>
      <c r="AA1363" s="32" t="n">
        <v>0</v>
      </c>
      <c r="AB1363" s="3" t="n"/>
      <c r="AC1363" s="31" t="n">
        <v>0</v>
      </c>
      <c r="AD1363" s="2" t="n">
        <v>0</v>
      </c>
      <c r="AE1363" s="2" t="n">
        <v>43</v>
      </c>
      <c r="AF1363" s="4" t="n">
        <v>43</v>
      </c>
      <c r="AG1363" s="33" t="n">
        <v>0</v>
      </c>
      <c r="AH1363" s="4" t="n">
        <v>0</v>
      </c>
      <c r="AI1363" s="34" t="n"/>
      <c r="AJ1363" s="34" t="n">
        <v>0</v>
      </c>
      <c r="AK1363" s="2" t="n">
        <v>0</v>
      </c>
      <c r="AL1363" t="inlineStr">
        <is>
          <t>Published</t>
        </is>
      </c>
    </row>
    <row r="1364">
      <c r="A1364">
        <f>HYPERLINK("https://www.walmart.com/ip/5808778267", "5808778267")</f>
        <v/>
      </c>
      <c r="B1364">
        <f>HYPERLINK("https://app.optiwise.ai/catalog/itemdetails/9588086", "Catalonia Cooling Blanket for Hot Sleepers, Summer Bed Blanket for Warm Night Sweat, Cool Sofa Throw Blanket for Hot Flashes, Soft Thin Lightweight Blanket for Adults Kids")</f>
        <v/>
      </c>
      <c r="C1364" t="inlineStr">
        <is>
          <t>1CTBQ10199GN</t>
        </is>
      </c>
      <c r="D1364" t="inlineStr">
        <is>
          <t>Bedding</t>
        </is>
      </c>
      <c r="E1364" t="inlineStr">
        <is>
          <t>Throws</t>
        </is>
      </c>
      <c r="F1364" t="inlineStr">
        <is>
          <t>Catalonia</t>
        </is>
      </c>
      <c r="G1364" t="n">
        <v>0</v>
      </c>
      <c r="H1364" t="n">
        <v>0</v>
      </c>
      <c r="J1364" s="29" t="n">
        <v>0</v>
      </c>
      <c r="K1364" s="30" t="n"/>
      <c r="L1364" s="29" t="n">
        <v>0</v>
      </c>
      <c r="M1364" s="29" t="n">
        <v>0</v>
      </c>
      <c r="N1364" s="2" t="n">
        <v>0</v>
      </c>
      <c r="O1364" s="31" t="n">
        <v>0</v>
      </c>
      <c r="P1364" s="32" t="n"/>
      <c r="Q1364" s="32" t="n">
        <v>0</v>
      </c>
      <c r="R1364" s="32" t="n">
        <v>0</v>
      </c>
      <c r="S1364" s="31" t="n">
        <v>0</v>
      </c>
      <c r="T1364" s="32" t="n">
        <v>0</v>
      </c>
      <c r="U1364" s="31" t="n">
        <v>0</v>
      </c>
      <c r="V1364" s="31" t="n">
        <v>0</v>
      </c>
      <c r="W1364" s="3" t="n">
        <v>0</v>
      </c>
      <c r="X1364" s="3" t="n">
        <v>0</v>
      </c>
      <c r="Y1364" s="32" t="n">
        <v>0</v>
      </c>
      <c r="Z1364" s="3" t="n">
        <v>0</v>
      </c>
      <c r="AA1364" s="32" t="n">
        <v>0</v>
      </c>
      <c r="AB1364" s="3" t="n"/>
      <c r="AC1364" s="31" t="n">
        <v>0</v>
      </c>
      <c r="AD1364" s="2" t="n">
        <v>0</v>
      </c>
      <c r="AE1364" s="2" t="n">
        <v>6</v>
      </c>
      <c r="AF1364" s="4" t="n">
        <v>6</v>
      </c>
      <c r="AG1364" s="33" t="n">
        <v>0</v>
      </c>
      <c r="AH1364" s="4" t="n">
        <v>0</v>
      </c>
      <c r="AI1364" s="34" t="n"/>
      <c r="AJ1364" s="34" t="n">
        <v>0</v>
      </c>
      <c r="AK1364" s="2" t="n">
        <v>0</v>
      </c>
      <c r="AL1364" t="inlineStr">
        <is>
          <t>Published</t>
        </is>
      </c>
    </row>
    <row r="1365">
      <c r="A1365">
        <f>HYPERLINK("https://www.walmart.com/ip/6100858060", "6100858060")</f>
        <v/>
      </c>
      <c r="B1365">
        <f>HYPERLINK("https://app.optiwise.ai/catalog/itemdetails/9588088", "Catalonia Cooling Blanket for Hot Sleepers, Summer Bed Blanket for Warm Night Sweat, Cool Sofa Throw Blanket for Hot Flashes, Soft Thin Lightweight Blanket for Adults Kids")</f>
        <v/>
      </c>
      <c r="C1365" t="inlineStr">
        <is>
          <t>1CTBQ10169GY</t>
        </is>
      </c>
      <c r="D1365" t="inlineStr">
        <is>
          <t>Bedding</t>
        </is>
      </c>
      <c r="E1365" t="inlineStr">
        <is>
          <t>Throws</t>
        </is>
      </c>
      <c r="F1365" t="inlineStr">
        <is>
          <t>Catalonia</t>
        </is>
      </c>
      <c r="G1365" t="n">
        <v>0</v>
      </c>
      <c r="H1365" t="n">
        <v>0</v>
      </c>
      <c r="I1365" t="inlineStr">
        <is>
          <t>High AUR Items</t>
        </is>
      </c>
      <c r="J1365" s="29" t="n">
        <v>0</v>
      </c>
      <c r="K1365" s="30" t="n"/>
      <c r="L1365" s="29" t="n">
        <v>0</v>
      </c>
      <c r="M1365" s="29" t="n">
        <v>0</v>
      </c>
      <c r="N1365" s="2" t="n">
        <v>0</v>
      </c>
      <c r="O1365" s="31" t="n">
        <v>0</v>
      </c>
      <c r="P1365" s="32" t="n"/>
      <c r="Q1365" s="32" t="n">
        <v>0</v>
      </c>
      <c r="R1365" s="32" t="n">
        <v>0</v>
      </c>
      <c r="S1365" s="31" t="n">
        <v>0</v>
      </c>
      <c r="T1365" s="32" t="n">
        <v>0</v>
      </c>
      <c r="U1365" s="31" t="n">
        <v>0</v>
      </c>
      <c r="V1365" s="31" t="n">
        <v>0</v>
      </c>
      <c r="W1365" s="3" t="n">
        <v>0</v>
      </c>
      <c r="X1365" s="3" t="n">
        <v>0</v>
      </c>
      <c r="Y1365" s="32" t="n">
        <v>0</v>
      </c>
      <c r="Z1365" s="3" t="n">
        <v>0</v>
      </c>
      <c r="AA1365" s="32" t="n">
        <v>0</v>
      </c>
      <c r="AB1365" s="3" t="n"/>
      <c r="AC1365" s="31" t="n">
        <v>0</v>
      </c>
      <c r="AD1365" s="2" t="n">
        <v>0</v>
      </c>
      <c r="AE1365" s="2" t="n">
        <v>14</v>
      </c>
      <c r="AF1365" s="4" t="n">
        <v>14</v>
      </c>
      <c r="AG1365" s="33" t="n">
        <v>0</v>
      </c>
      <c r="AH1365" s="4" t="n">
        <v>0</v>
      </c>
      <c r="AI1365" s="34" t="n"/>
      <c r="AJ1365" s="34" t="n">
        <v>0</v>
      </c>
      <c r="AK1365" s="2" t="n">
        <v>0</v>
      </c>
      <c r="AL1365" t="inlineStr">
        <is>
          <t>Published</t>
        </is>
      </c>
    </row>
    <row r="1366">
      <c r="A1366">
        <f>HYPERLINK("https://www.walmart.com/ip/13851317807", "13851317807")</f>
        <v/>
      </c>
      <c r="B1366">
        <f>HYPERLINK("https://app.optiwise.ai/catalog/itemdetails/13012153", "Every Day is Christmas Glass Blown Ornaments Cute Hand Made Figurines Tree Decoration, Ice Cream Set of 3")</f>
        <v/>
      </c>
      <c r="C1366" t="inlineStr">
        <is>
          <t>EDC-FIGURINE-BC336</t>
        </is>
      </c>
      <c r="D1366" t="inlineStr">
        <is>
          <t>Home Decor, Kitchen, &amp; Other</t>
        </is>
      </c>
      <c r="E1366" t="inlineStr">
        <is>
          <t>Ornaments</t>
        </is>
      </c>
      <c r="F1366" t="inlineStr">
        <is>
          <t>Every Day is Christmas</t>
        </is>
      </c>
      <c r="G1366" t="n">
        <v>0</v>
      </c>
      <c r="H1366" t="n">
        <v>0</v>
      </c>
      <c r="J1366" s="29" t="n">
        <v>0</v>
      </c>
      <c r="K1366" s="30" t="n"/>
      <c r="L1366" s="29" t="n">
        <v>0</v>
      </c>
      <c r="M1366" s="29" t="n">
        <v>0</v>
      </c>
      <c r="N1366" s="2" t="n">
        <v>0</v>
      </c>
      <c r="O1366" s="31" t="n">
        <v>0</v>
      </c>
      <c r="P1366" s="32" t="n"/>
      <c r="Q1366" s="32" t="n">
        <v>0</v>
      </c>
      <c r="R1366" s="32" t="n">
        <v>0</v>
      </c>
      <c r="S1366" s="31" t="n">
        <v>0</v>
      </c>
      <c r="T1366" s="32" t="n">
        <v>0</v>
      </c>
      <c r="U1366" s="31" t="n">
        <v>0</v>
      </c>
      <c r="V1366" s="31" t="n">
        <v>0</v>
      </c>
      <c r="W1366" s="3" t="n">
        <v>0</v>
      </c>
      <c r="X1366" s="3" t="n">
        <v>0</v>
      </c>
      <c r="Y1366" s="32" t="n">
        <v>0</v>
      </c>
      <c r="Z1366" s="3" t="n">
        <v>0</v>
      </c>
      <c r="AA1366" s="32" t="n">
        <v>0</v>
      </c>
      <c r="AB1366" s="3" t="n"/>
      <c r="AC1366" s="31" t="n">
        <v>0</v>
      </c>
      <c r="AD1366" s="2" t="n">
        <v>0</v>
      </c>
      <c r="AE1366" s="2" t="n">
        <v>9</v>
      </c>
      <c r="AF1366" s="4" t="n">
        <v>9</v>
      </c>
      <c r="AG1366" s="33" t="n">
        <v>0</v>
      </c>
      <c r="AH1366" s="4" t="n">
        <v>0</v>
      </c>
      <c r="AI1366" s="34" t="n"/>
      <c r="AJ1366" s="34" t="n">
        <v>0</v>
      </c>
      <c r="AK1366" s="2" t="n">
        <v>0</v>
      </c>
      <c r="AL1366" t="inlineStr">
        <is>
          <t>Published</t>
        </is>
      </c>
    </row>
    <row r="1367">
      <c r="A1367">
        <f>HYPERLINK("https://www.walmart.com/ip/13862613852", "13862613852")</f>
        <v/>
      </c>
      <c r="B1367">
        <f>HYPERLINK("https://app.optiwise.ai/catalog/itemdetails/13012110", "Every Day is Christmas Glass Blown Ornaments Cute Hand Made Figurines Tree Decoration, Set of 2 Whale")</f>
        <v/>
      </c>
      <c r="C1367" t="inlineStr">
        <is>
          <t>EDC-FIGURINE-WHALE-2PACK</t>
        </is>
      </c>
      <c r="D1367" t="inlineStr">
        <is>
          <t>Home Decor, Kitchen, &amp; Other</t>
        </is>
      </c>
      <c r="E1367" t="inlineStr">
        <is>
          <t>Ornaments</t>
        </is>
      </c>
      <c r="F1367" t="inlineStr">
        <is>
          <t>Every Day is Christmas</t>
        </is>
      </c>
      <c r="G1367" t="n">
        <v>0</v>
      </c>
      <c r="H1367" t="n">
        <v>0</v>
      </c>
      <c r="J1367" s="29" t="n">
        <v>0</v>
      </c>
      <c r="K1367" s="30" t="n"/>
      <c r="L1367" s="29" t="n">
        <v>0</v>
      </c>
      <c r="M1367" s="29" t="n">
        <v>0</v>
      </c>
      <c r="N1367" s="2" t="n">
        <v>0</v>
      </c>
      <c r="O1367" s="31" t="n">
        <v>0</v>
      </c>
      <c r="P1367" s="32" t="n"/>
      <c r="Q1367" s="32" t="n">
        <v>0</v>
      </c>
      <c r="R1367" s="32" t="n">
        <v>0</v>
      </c>
      <c r="S1367" s="31" t="n">
        <v>0</v>
      </c>
      <c r="T1367" s="32" t="n">
        <v>0</v>
      </c>
      <c r="U1367" s="31" t="n">
        <v>0</v>
      </c>
      <c r="V1367" s="31" t="n">
        <v>0</v>
      </c>
      <c r="W1367" s="3" t="n">
        <v>0</v>
      </c>
      <c r="X1367" s="3" t="n">
        <v>0</v>
      </c>
      <c r="Y1367" s="32" t="n">
        <v>0</v>
      </c>
      <c r="Z1367" s="3" t="n">
        <v>0</v>
      </c>
      <c r="AA1367" s="32" t="n">
        <v>0</v>
      </c>
      <c r="AB1367" s="3" t="n"/>
      <c r="AC1367" s="31" t="n">
        <v>0</v>
      </c>
      <c r="AD1367" s="2" t="n">
        <v>0</v>
      </c>
      <c r="AE1367" s="2" t="n">
        <v>185</v>
      </c>
      <c r="AF1367" s="4" t="n">
        <v>185</v>
      </c>
      <c r="AG1367" s="33" t="n">
        <v>0</v>
      </c>
      <c r="AH1367" s="4" t="n">
        <v>0</v>
      </c>
      <c r="AI1367" s="34" t="n"/>
      <c r="AJ1367" s="34" t="n">
        <v>0</v>
      </c>
      <c r="AK1367" s="2" t="n">
        <v>0</v>
      </c>
      <c r="AL1367" t="inlineStr">
        <is>
          <t>Published</t>
        </is>
      </c>
    </row>
    <row r="1368">
      <c r="A1368">
        <f>HYPERLINK("https://www.walmart.com/ip/1890457864", "1890457864")</f>
        <v/>
      </c>
      <c r="B1368">
        <f>HYPERLINK("https://app.optiwise.ai/catalog/itemdetails/13012123", "Every Day is Christmas Glass Blown Ornaments Cute Hand Made Figurines Tree Decoration, Bananas")</f>
        <v/>
      </c>
      <c r="C1368" t="inlineStr">
        <is>
          <t>EDC-FIGURINE-BANANAS</t>
        </is>
      </c>
      <c r="D1368" t="inlineStr">
        <is>
          <t>Decorations &amp; Favors</t>
        </is>
      </c>
      <c r="E1368" t="inlineStr">
        <is>
          <t>Ornaments</t>
        </is>
      </c>
      <c r="F1368" t="inlineStr">
        <is>
          <t>Every Day is Christmas</t>
        </is>
      </c>
      <c r="G1368" t="n">
        <v>0</v>
      </c>
      <c r="H1368" t="n">
        <v>0</v>
      </c>
      <c r="J1368" s="29" t="n">
        <v>0</v>
      </c>
      <c r="K1368" s="30" t="n"/>
      <c r="L1368" s="29" t="n">
        <v>0</v>
      </c>
      <c r="M1368" s="29" t="n">
        <v>0</v>
      </c>
      <c r="N1368" s="2" t="n">
        <v>0</v>
      </c>
      <c r="O1368" s="31" t="n">
        <v>0</v>
      </c>
      <c r="P1368" s="32" t="n"/>
      <c r="Q1368" s="32" t="n">
        <v>0</v>
      </c>
      <c r="R1368" s="32" t="n">
        <v>0.1707</v>
      </c>
      <c r="S1368" s="31" t="n">
        <v>0</v>
      </c>
      <c r="T1368" s="32" t="n">
        <v>0</v>
      </c>
      <c r="U1368" s="31" t="n">
        <v>0</v>
      </c>
      <c r="V1368" s="31" t="n">
        <v>0</v>
      </c>
      <c r="W1368" s="3" t="n">
        <v>0</v>
      </c>
      <c r="X1368" s="3" t="n">
        <v>0</v>
      </c>
      <c r="Y1368" s="32" t="n">
        <v>0</v>
      </c>
      <c r="Z1368" s="3" t="n">
        <v>0</v>
      </c>
      <c r="AA1368" s="32" t="n">
        <v>0</v>
      </c>
      <c r="AB1368" s="3" t="n"/>
      <c r="AC1368" s="31" t="n">
        <v>0</v>
      </c>
      <c r="AD1368" s="2" t="n">
        <v>0</v>
      </c>
      <c r="AE1368" s="2" t="n">
        <v>12</v>
      </c>
      <c r="AF1368" s="4" t="n">
        <v>12</v>
      </c>
      <c r="AG1368" s="33" t="n">
        <v>0</v>
      </c>
      <c r="AH1368" s="4" t="n">
        <v>0</v>
      </c>
      <c r="AI1368" s="34" t="n"/>
      <c r="AJ1368" s="34" t="n">
        <v>0</v>
      </c>
      <c r="AK1368" s="2" t="n">
        <v>0</v>
      </c>
      <c r="AL1368" t="inlineStr">
        <is>
          <t>Published</t>
        </is>
      </c>
    </row>
    <row r="1369">
      <c r="A1369">
        <f>HYPERLINK("https://www.walmart.com/ip/1884098981", "1884098981")</f>
        <v/>
      </c>
      <c r="B1369">
        <f>HYPERLINK("https://app.optiwise.ai/catalog/itemdetails/13012122", "Every Day is Christmas Glass Blown Ornaments Cute Hand Made Figurines Tree Decoration, Buddha")</f>
        <v/>
      </c>
      <c r="C1369" t="inlineStr">
        <is>
          <t>EDC-FIGURINE-BUDDHA</t>
        </is>
      </c>
      <c r="D1369" t="inlineStr">
        <is>
          <t>Decorations &amp; Favors</t>
        </is>
      </c>
      <c r="E1369" t="inlineStr">
        <is>
          <t>Ornaments</t>
        </is>
      </c>
      <c r="F1369" t="inlineStr">
        <is>
          <t>Every Day is Christmas</t>
        </is>
      </c>
      <c r="G1369" t="n">
        <v>0</v>
      </c>
      <c r="H1369" t="n">
        <v>0</v>
      </c>
      <c r="J1369" s="29" t="n">
        <v>0</v>
      </c>
      <c r="K1369" s="30" t="n"/>
      <c r="L1369" s="29" t="n">
        <v>0</v>
      </c>
      <c r="M1369" s="29" t="n">
        <v>0</v>
      </c>
      <c r="N1369" s="2" t="n">
        <v>0</v>
      </c>
      <c r="O1369" s="31" t="n">
        <v>0</v>
      </c>
      <c r="P1369" s="32" t="n"/>
      <c r="Q1369" s="32" t="n">
        <v>0</v>
      </c>
      <c r="R1369" s="32" t="n">
        <v>0</v>
      </c>
      <c r="S1369" s="31" t="n">
        <v>0</v>
      </c>
      <c r="T1369" s="32" t="n">
        <v>0</v>
      </c>
      <c r="U1369" s="31" t="n">
        <v>0</v>
      </c>
      <c r="V1369" s="31" t="n">
        <v>0</v>
      </c>
      <c r="W1369" s="3" t="n">
        <v>0</v>
      </c>
      <c r="X1369" s="3" t="n">
        <v>0</v>
      </c>
      <c r="Y1369" s="32" t="n">
        <v>0</v>
      </c>
      <c r="Z1369" s="3" t="n">
        <v>0</v>
      </c>
      <c r="AA1369" s="32" t="n">
        <v>0</v>
      </c>
      <c r="AB1369" s="3" t="n"/>
      <c r="AC1369" s="31" t="n">
        <v>0</v>
      </c>
      <c r="AD1369" s="2" t="n">
        <v>0</v>
      </c>
      <c r="AE1369" s="2" t="n">
        <v>10</v>
      </c>
      <c r="AF1369" s="4" t="n">
        <v>10</v>
      </c>
      <c r="AG1369" s="33" t="n">
        <v>0</v>
      </c>
      <c r="AH1369" s="4" t="n">
        <v>0</v>
      </c>
      <c r="AI1369" s="34" t="n"/>
      <c r="AJ1369" s="34" t="n">
        <v>0</v>
      </c>
      <c r="AK1369" s="2" t="n">
        <v>0</v>
      </c>
      <c r="AL1369" t="inlineStr">
        <is>
          <t>Published</t>
        </is>
      </c>
    </row>
    <row r="1370">
      <c r="A1370">
        <f>HYPERLINK("https://www.walmart.com/ip/1715618699", "1715618699")</f>
        <v/>
      </c>
      <c r="B1370">
        <f>HYPERLINK("https://app.optiwise.ai/catalog/itemdetails/13012121", "Every Day is Christmas Glass Blown Ornaments 2021 Cute Hand Made Figurines Tree Decoration, Chimney Santa")</f>
        <v/>
      </c>
      <c r="C1370" t="inlineStr">
        <is>
          <t>EDC-FIGURINE-CHIMNEYSANTA</t>
        </is>
      </c>
      <c r="D1370" t="inlineStr">
        <is>
          <t>Home Decor, Kitchen, &amp; Other</t>
        </is>
      </c>
      <c r="E1370" t="inlineStr">
        <is>
          <t>Ornaments</t>
        </is>
      </c>
      <c r="F1370" t="inlineStr">
        <is>
          <t>Every Day is Christmas</t>
        </is>
      </c>
      <c r="G1370" t="n">
        <v>0</v>
      </c>
      <c r="H1370" t="n">
        <v>0</v>
      </c>
      <c r="J1370" s="29" t="n">
        <v>0</v>
      </c>
      <c r="K1370" s="30" t="n"/>
      <c r="L1370" s="29" t="n">
        <v>0</v>
      </c>
      <c r="M1370" s="29" t="n">
        <v>0</v>
      </c>
      <c r="N1370" s="2" t="n">
        <v>0</v>
      </c>
      <c r="O1370" s="31" t="n">
        <v>0</v>
      </c>
      <c r="P1370" s="32" t="n"/>
      <c r="Q1370" s="32" t="n">
        <v>0</v>
      </c>
      <c r="R1370" s="32" t="n">
        <v>0</v>
      </c>
      <c r="S1370" s="31" t="n">
        <v>0</v>
      </c>
      <c r="T1370" s="32" t="n">
        <v>0</v>
      </c>
      <c r="U1370" s="31" t="n">
        <v>0</v>
      </c>
      <c r="V1370" s="31" t="n">
        <v>0</v>
      </c>
      <c r="W1370" s="3" t="n">
        <v>0</v>
      </c>
      <c r="X1370" s="3" t="n">
        <v>0</v>
      </c>
      <c r="Y1370" s="32" t="n">
        <v>0</v>
      </c>
      <c r="Z1370" s="3" t="n">
        <v>0</v>
      </c>
      <c r="AA1370" s="32" t="n">
        <v>0</v>
      </c>
      <c r="AB1370" s="3" t="n"/>
      <c r="AC1370" s="31" t="n">
        <v>0</v>
      </c>
      <c r="AD1370" s="2" t="n">
        <v>0</v>
      </c>
      <c r="AE1370" s="2" t="n">
        <v>11</v>
      </c>
      <c r="AF1370" s="4" t="n">
        <v>11</v>
      </c>
      <c r="AG1370" s="33" t="n">
        <v>0</v>
      </c>
      <c r="AH1370" s="4" t="n">
        <v>0</v>
      </c>
      <c r="AI1370" s="34" t="n"/>
      <c r="AJ1370" s="34" t="n">
        <v>0</v>
      </c>
      <c r="AK1370" s="2" t="n">
        <v>0</v>
      </c>
      <c r="AL1370" t="inlineStr">
        <is>
          <t>Published</t>
        </is>
      </c>
    </row>
    <row r="1371">
      <c r="A1371">
        <f>HYPERLINK("https://www.walmart.com/ip/1560127534", "1560127534")</f>
        <v/>
      </c>
      <c r="B1371">
        <f>HYPERLINK("https://app.optiwise.ai/catalog/itemdetails/13012120", "Every Day is Christmas Glass Blown Ornaments Cute Hand Made Figurines Tree Decoration, Calculator")</f>
        <v/>
      </c>
      <c r="C1371" t="inlineStr">
        <is>
          <t>EDC-FIGURINE-CALCULATOR</t>
        </is>
      </c>
      <c r="D1371" t="inlineStr">
        <is>
          <t>Decorations &amp; Favors</t>
        </is>
      </c>
      <c r="E1371" t="inlineStr">
        <is>
          <t>Ornaments</t>
        </is>
      </c>
      <c r="F1371" t="inlineStr">
        <is>
          <t>Every Day is Christmas</t>
        </is>
      </c>
      <c r="G1371" t="n">
        <v>0</v>
      </c>
      <c r="H1371" t="n">
        <v>0</v>
      </c>
      <c r="J1371" s="29" t="n">
        <v>0</v>
      </c>
      <c r="K1371" s="30" t="n"/>
      <c r="L1371" s="29" t="n">
        <v>0</v>
      </c>
      <c r="M1371" s="29" t="n">
        <v>0</v>
      </c>
      <c r="N1371" s="2" t="n">
        <v>0</v>
      </c>
      <c r="O1371" s="31" t="n">
        <v>0</v>
      </c>
      <c r="P1371" s="32" t="n"/>
      <c r="Q1371" s="32" t="n">
        <v>0</v>
      </c>
      <c r="R1371" s="32" t="n">
        <v>0</v>
      </c>
      <c r="S1371" s="31" t="n">
        <v>0</v>
      </c>
      <c r="T1371" s="32" t="n">
        <v>0</v>
      </c>
      <c r="U1371" s="31" t="n">
        <v>0</v>
      </c>
      <c r="V1371" s="31" t="n">
        <v>0</v>
      </c>
      <c r="W1371" s="3" t="n">
        <v>0</v>
      </c>
      <c r="X1371" s="3" t="n">
        <v>0</v>
      </c>
      <c r="Y1371" s="32" t="n">
        <v>0</v>
      </c>
      <c r="Z1371" s="3" t="n">
        <v>0</v>
      </c>
      <c r="AA1371" s="32" t="n">
        <v>0</v>
      </c>
      <c r="AB1371" s="3" t="n"/>
      <c r="AC1371" s="31" t="n">
        <v>0</v>
      </c>
      <c r="AD1371" s="2" t="n">
        <v>0</v>
      </c>
      <c r="AE1371" s="2" t="n">
        <v>14</v>
      </c>
      <c r="AF1371" s="4" t="n">
        <v>14</v>
      </c>
      <c r="AG1371" s="33" t="n">
        <v>0</v>
      </c>
      <c r="AH1371" s="4" t="n">
        <v>0</v>
      </c>
      <c r="AI1371" s="34" t="n"/>
      <c r="AJ1371" s="34" t="n">
        <v>0</v>
      </c>
      <c r="AK1371" s="2" t="n">
        <v>0</v>
      </c>
      <c r="AL1371" t="inlineStr">
        <is>
          <t>Published</t>
        </is>
      </c>
    </row>
    <row r="1372">
      <c r="A1372">
        <f>HYPERLINK("https://www.walmart.com/ip/1544312564", "1544312564")</f>
        <v/>
      </c>
      <c r="B1372">
        <f>HYPERLINK("https://app.optiwise.ai/catalog/itemdetails/13012119", "Every Day is Christmas Glass Blown Ornaments Cute Hand Made Figurines Tree Decoration, Rocket")</f>
        <v/>
      </c>
      <c r="C1372" t="inlineStr">
        <is>
          <t>EDC-FIGURINE-ROCKET</t>
        </is>
      </c>
      <c r="D1372" t="inlineStr">
        <is>
          <t>Decorations &amp; Favors</t>
        </is>
      </c>
      <c r="E1372" t="inlineStr">
        <is>
          <t>Ornaments</t>
        </is>
      </c>
      <c r="F1372" t="inlineStr">
        <is>
          <t>Every Day is Christmas</t>
        </is>
      </c>
      <c r="G1372" t="n">
        <v>0</v>
      </c>
      <c r="H1372" t="n">
        <v>0</v>
      </c>
      <c r="J1372" s="29" t="n">
        <v>0</v>
      </c>
      <c r="K1372" s="30" t="n"/>
      <c r="L1372" s="29" t="n">
        <v>0</v>
      </c>
      <c r="M1372" s="29" t="n">
        <v>0</v>
      </c>
      <c r="N1372" s="2" t="n">
        <v>0</v>
      </c>
      <c r="O1372" s="31" t="n">
        <v>0</v>
      </c>
      <c r="P1372" s="32" t="n"/>
      <c r="Q1372" s="32" t="n">
        <v>0</v>
      </c>
      <c r="R1372" s="32" t="n">
        <v>0.0483</v>
      </c>
      <c r="S1372" s="31" t="n">
        <v>0</v>
      </c>
      <c r="T1372" s="32" t="n">
        <v>0</v>
      </c>
      <c r="U1372" s="31" t="n">
        <v>0</v>
      </c>
      <c r="V1372" s="31" t="n">
        <v>0</v>
      </c>
      <c r="W1372" s="3" t="n">
        <v>0</v>
      </c>
      <c r="X1372" s="3" t="n">
        <v>0</v>
      </c>
      <c r="Y1372" s="32" t="n">
        <v>0</v>
      </c>
      <c r="Z1372" s="3" t="n">
        <v>0</v>
      </c>
      <c r="AA1372" s="32" t="n">
        <v>0</v>
      </c>
      <c r="AB1372" s="3" t="n"/>
      <c r="AC1372" s="31" t="n">
        <v>0</v>
      </c>
      <c r="AD1372" s="2" t="n">
        <v>0</v>
      </c>
      <c r="AE1372" s="2" t="n">
        <v>8</v>
      </c>
      <c r="AF1372" s="4" t="n">
        <v>8</v>
      </c>
      <c r="AG1372" s="33" t="n">
        <v>0</v>
      </c>
      <c r="AH1372" s="4" t="n">
        <v>0</v>
      </c>
      <c r="AI1372" s="34" t="n"/>
      <c r="AJ1372" s="34" t="n">
        <v>0</v>
      </c>
      <c r="AK1372" s="2" t="n">
        <v>0</v>
      </c>
      <c r="AL1372" t="inlineStr">
        <is>
          <t>Published</t>
        </is>
      </c>
    </row>
    <row r="1373">
      <c r="A1373">
        <f>HYPERLINK("https://www.walmart.com/ip/1502359239", "1502359239")</f>
        <v/>
      </c>
      <c r="B1373">
        <f>HYPERLINK("https://app.optiwise.ai/catalog/itemdetails/13012118", "Every Day is Christmas Glass Blown Ornaments Cute Hand Made Figurines Tree Decoration, Pineapple")</f>
        <v/>
      </c>
      <c r="C1373" t="inlineStr">
        <is>
          <t>EDC-FIGURINE-PINEAPPLE</t>
        </is>
      </c>
      <c r="D1373" t="inlineStr">
        <is>
          <t>Decorations &amp; Favors</t>
        </is>
      </c>
      <c r="E1373" t="inlineStr">
        <is>
          <t>Ornaments</t>
        </is>
      </c>
      <c r="F1373" t="inlineStr">
        <is>
          <t>Every Day is Christmas</t>
        </is>
      </c>
      <c r="G1373" t="n">
        <v>0</v>
      </c>
      <c r="H1373" t="n">
        <v>0</v>
      </c>
      <c r="J1373" s="29" t="n">
        <v>0</v>
      </c>
      <c r="K1373" s="30" t="n"/>
      <c r="L1373" s="29" t="n">
        <v>0</v>
      </c>
      <c r="M1373" s="29" t="n">
        <v>0</v>
      </c>
      <c r="N1373" s="2" t="n">
        <v>0</v>
      </c>
      <c r="O1373" s="31" t="n">
        <v>0</v>
      </c>
      <c r="P1373" s="32" t="n"/>
      <c r="Q1373" s="32" t="n">
        <v>0</v>
      </c>
      <c r="R1373" s="32" t="n">
        <v>0</v>
      </c>
      <c r="S1373" s="31" t="n">
        <v>0</v>
      </c>
      <c r="T1373" s="32" t="n">
        <v>0</v>
      </c>
      <c r="U1373" s="31" t="n">
        <v>0</v>
      </c>
      <c r="V1373" s="31" t="n">
        <v>0</v>
      </c>
      <c r="W1373" s="3" t="n">
        <v>0</v>
      </c>
      <c r="X1373" s="3" t="n">
        <v>0</v>
      </c>
      <c r="Y1373" s="32" t="n">
        <v>0</v>
      </c>
      <c r="Z1373" s="3" t="n">
        <v>0</v>
      </c>
      <c r="AA1373" s="32" t="n">
        <v>0</v>
      </c>
      <c r="AB1373" s="3" t="n"/>
      <c r="AC1373" s="31" t="n">
        <v>0</v>
      </c>
      <c r="AD1373" s="2" t="n">
        <v>0</v>
      </c>
      <c r="AE1373" s="2" t="n">
        <v>10</v>
      </c>
      <c r="AF1373" s="4" t="n">
        <v>10</v>
      </c>
      <c r="AG1373" s="33" t="n">
        <v>0</v>
      </c>
      <c r="AH1373" s="4" t="n">
        <v>0</v>
      </c>
      <c r="AI1373" s="34" t="n"/>
      <c r="AJ1373" s="34" t="n">
        <v>0</v>
      </c>
      <c r="AK1373" s="2" t="n">
        <v>0</v>
      </c>
      <c r="AL1373" t="inlineStr">
        <is>
          <t>Published</t>
        </is>
      </c>
    </row>
    <row r="1374">
      <c r="A1374">
        <f>HYPERLINK("https://www.walmart.com/ip/1491470197", "1491470197")</f>
        <v/>
      </c>
      <c r="B1374">
        <f>HYPERLINK("https://app.optiwise.ai/catalog/itemdetails/13012117", "Every Day is Christmas Glass Blown Ornaments Cute Hand Made Figurines Tree Decoration, Pagoda")</f>
        <v/>
      </c>
      <c r="C1374" t="inlineStr">
        <is>
          <t>EDC-FIGURINE-PAGODA</t>
        </is>
      </c>
      <c r="D1374" t="inlineStr">
        <is>
          <t>Decorations &amp; Favors</t>
        </is>
      </c>
      <c r="E1374" t="inlineStr">
        <is>
          <t>Ornaments</t>
        </is>
      </c>
      <c r="F1374" t="inlineStr">
        <is>
          <t>Every Day is Christmas</t>
        </is>
      </c>
      <c r="G1374" t="n">
        <v>0</v>
      </c>
      <c r="H1374" t="n">
        <v>0</v>
      </c>
      <c r="J1374" s="29" t="n">
        <v>0</v>
      </c>
      <c r="K1374" s="30" t="n"/>
      <c r="L1374" s="29" t="n">
        <v>0</v>
      </c>
      <c r="M1374" s="29" t="n">
        <v>0</v>
      </c>
      <c r="N1374" s="2" t="n">
        <v>0</v>
      </c>
      <c r="O1374" s="31" t="n">
        <v>0</v>
      </c>
      <c r="P1374" s="32" t="n"/>
      <c r="Q1374" s="32" t="n">
        <v>0</v>
      </c>
      <c r="R1374" s="32" t="n">
        <v>0</v>
      </c>
      <c r="S1374" s="31" t="n">
        <v>0</v>
      </c>
      <c r="T1374" s="32" t="n">
        <v>0</v>
      </c>
      <c r="U1374" s="31" t="n">
        <v>0</v>
      </c>
      <c r="V1374" s="31" t="n">
        <v>0</v>
      </c>
      <c r="W1374" s="3" t="n">
        <v>0</v>
      </c>
      <c r="X1374" s="3" t="n">
        <v>0</v>
      </c>
      <c r="Y1374" s="32" t="n">
        <v>0</v>
      </c>
      <c r="Z1374" s="3" t="n">
        <v>0</v>
      </c>
      <c r="AA1374" s="32" t="n">
        <v>0</v>
      </c>
      <c r="AB1374" s="3" t="n"/>
      <c r="AC1374" s="31" t="n">
        <v>0</v>
      </c>
      <c r="AD1374" s="2" t="n">
        <v>0</v>
      </c>
      <c r="AE1374" s="2" t="n">
        <v>14</v>
      </c>
      <c r="AF1374" s="4" t="n">
        <v>14</v>
      </c>
      <c r="AG1374" s="33" t="n">
        <v>0</v>
      </c>
      <c r="AH1374" s="4" t="n">
        <v>0</v>
      </c>
      <c r="AI1374" s="34" t="n"/>
      <c r="AJ1374" s="34" t="n">
        <v>0</v>
      </c>
      <c r="AK1374" s="2" t="n">
        <v>0</v>
      </c>
      <c r="AL1374" t="inlineStr">
        <is>
          <t>Published</t>
        </is>
      </c>
    </row>
    <row r="1375">
      <c r="A1375">
        <f>HYPERLINK("https://www.walmart.com/ip/1331723972", "1331723972")</f>
        <v/>
      </c>
      <c r="B1375">
        <f>HYPERLINK("https://app.optiwise.ai/catalog/itemdetails/13012116", "Every Day is Christmas Glass Blown Ornaments 2021 Cute Hand Made Figurines Tree Decoration, Santa American Face Mask")</f>
        <v/>
      </c>
      <c r="C1375" t="inlineStr">
        <is>
          <t>EDC-FIGURINE-DINOSAUR</t>
        </is>
      </c>
      <c r="D1375" t="inlineStr">
        <is>
          <t>Decorations &amp; Favors</t>
        </is>
      </c>
      <c r="E1375" t="inlineStr">
        <is>
          <t>Ornaments</t>
        </is>
      </c>
      <c r="F1375" t="inlineStr">
        <is>
          <t>Every Day is Christmas</t>
        </is>
      </c>
      <c r="G1375" t="n">
        <v>4.8</v>
      </c>
      <c r="H1375" t="n">
        <v>0</v>
      </c>
      <c r="J1375" s="29" t="n">
        <v>0</v>
      </c>
      <c r="K1375" s="30" t="n"/>
      <c r="L1375" s="29" t="n">
        <v>0</v>
      </c>
      <c r="M1375" s="29" t="n">
        <v>0</v>
      </c>
      <c r="N1375" s="2" t="n">
        <v>0</v>
      </c>
      <c r="O1375" s="31" t="n">
        <v>0</v>
      </c>
      <c r="P1375" s="32" t="n"/>
      <c r="Q1375" s="32" t="n">
        <v>0</v>
      </c>
      <c r="R1375" s="32" t="n">
        <v>0</v>
      </c>
      <c r="S1375" s="31" t="n">
        <v>0</v>
      </c>
      <c r="T1375" s="32" t="n">
        <v>0</v>
      </c>
      <c r="U1375" s="31" t="n">
        <v>0</v>
      </c>
      <c r="V1375" s="31" t="n">
        <v>0</v>
      </c>
      <c r="W1375" s="3" t="n">
        <v>0</v>
      </c>
      <c r="X1375" s="3" t="n">
        <v>0</v>
      </c>
      <c r="Y1375" s="32" t="n">
        <v>0</v>
      </c>
      <c r="Z1375" s="3" t="n">
        <v>0</v>
      </c>
      <c r="AA1375" s="32" t="n">
        <v>0</v>
      </c>
      <c r="AB1375" s="3" t="n"/>
      <c r="AC1375" s="31" t="n">
        <v>0</v>
      </c>
      <c r="AD1375" s="2" t="n">
        <v>0</v>
      </c>
      <c r="AE1375" s="2" t="n">
        <v>10</v>
      </c>
      <c r="AF1375" s="4" t="n">
        <v>10</v>
      </c>
      <c r="AG1375" s="33" t="n">
        <v>0</v>
      </c>
      <c r="AH1375" s="4" t="n">
        <v>0</v>
      </c>
      <c r="AI1375" s="34" t="n"/>
      <c r="AJ1375" s="34" t="n">
        <v>0</v>
      </c>
      <c r="AK1375" s="2" t="n">
        <v>0</v>
      </c>
      <c r="AL1375" t="inlineStr">
        <is>
          <t>Published</t>
        </is>
      </c>
    </row>
    <row r="1376">
      <c r="A1376">
        <f>HYPERLINK("https://www.walmart.com/ip/1264144525", "1264144525")</f>
        <v/>
      </c>
      <c r="B1376">
        <f>HYPERLINK("https://app.optiwise.ai/catalog/itemdetails/13012115", "Every Day is Christmas Glass Blown Ornaments 2021 Cute Hand Made Figurines Tree Decoration, Ski Santa")</f>
        <v/>
      </c>
      <c r="C1376" t="inlineStr">
        <is>
          <t>EDC-FIGURINE-SPACE</t>
        </is>
      </c>
      <c r="D1376" t="inlineStr">
        <is>
          <t>Decorations &amp; Favors</t>
        </is>
      </c>
      <c r="E1376" t="inlineStr">
        <is>
          <t>Ornaments</t>
        </is>
      </c>
      <c r="F1376" t="inlineStr">
        <is>
          <t>Every Day is Christmas</t>
        </is>
      </c>
      <c r="G1376" t="n">
        <v>0</v>
      </c>
      <c r="H1376" t="n">
        <v>0</v>
      </c>
      <c r="J1376" s="29" t="n">
        <v>0</v>
      </c>
      <c r="K1376" s="30" t="n"/>
      <c r="L1376" s="29" t="n">
        <v>0</v>
      </c>
      <c r="M1376" s="29" t="n">
        <v>0</v>
      </c>
      <c r="N1376" s="2" t="n">
        <v>0</v>
      </c>
      <c r="O1376" s="31" t="n">
        <v>0</v>
      </c>
      <c r="P1376" s="32" t="n"/>
      <c r="Q1376" s="32" t="n">
        <v>0</v>
      </c>
      <c r="R1376" s="32" t="n">
        <v>0</v>
      </c>
      <c r="S1376" s="31" t="n">
        <v>0</v>
      </c>
      <c r="T1376" s="32" t="n">
        <v>0</v>
      </c>
      <c r="U1376" s="31" t="n">
        <v>0</v>
      </c>
      <c r="V1376" s="31" t="n">
        <v>0</v>
      </c>
      <c r="W1376" s="3" t="n">
        <v>0</v>
      </c>
      <c r="X1376" s="3" t="n">
        <v>0</v>
      </c>
      <c r="Y1376" s="32" t="n">
        <v>0</v>
      </c>
      <c r="Z1376" s="3" t="n">
        <v>0</v>
      </c>
      <c r="AA1376" s="32" t="n">
        <v>0</v>
      </c>
      <c r="AB1376" s="3" t="n"/>
      <c r="AC1376" s="31" t="n">
        <v>0</v>
      </c>
      <c r="AD1376" s="2" t="n">
        <v>0</v>
      </c>
      <c r="AE1376" s="2" t="n">
        <v>13</v>
      </c>
      <c r="AF1376" s="4" t="n">
        <v>13</v>
      </c>
      <c r="AG1376" s="33" t="n">
        <v>0</v>
      </c>
      <c r="AH1376" s="4" t="n">
        <v>0</v>
      </c>
      <c r="AI1376" s="34" t="n"/>
      <c r="AJ1376" s="34" t="n">
        <v>0</v>
      </c>
      <c r="AK1376" s="2" t="n">
        <v>0</v>
      </c>
      <c r="AL1376" t="inlineStr">
        <is>
          <t>Published</t>
        </is>
      </c>
    </row>
    <row r="1377">
      <c r="A1377">
        <f>HYPERLINK("https://www.walmart.com/ip/1188666950", "1188666950")</f>
        <v/>
      </c>
      <c r="B1377">
        <f>HYPERLINK("https://app.optiwise.ai/catalog/itemdetails/13012113", "Every Day is Christmas Glass Blown Ornaments Cute Hand Made Figurines Tree Decoration, Banana Split")</f>
        <v/>
      </c>
      <c r="C1377" t="inlineStr">
        <is>
          <t>EDC-FIGURINE-BANANASPLIT</t>
        </is>
      </c>
      <c r="D1377" t="inlineStr">
        <is>
          <t>Decorations &amp; Favors</t>
        </is>
      </c>
      <c r="E1377" t="inlineStr">
        <is>
          <t>Ornaments</t>
        </is>
      </c>
      <c r="F1377" t="inlineStr">
        <is>
          <t>Every Day is Christmas</t>
        </is>
      </c>
      <c r="G1377" t="n">
        <v>0</v>
      </c>
      <c r="H1377" t="n">
        <v>0</v>
      </c>
      <c r="J1377" s="29" t="n">
        <v>0</v>
      </c>
      <c r="K1377" s="30" t="n"/>
      <c r="L1377" s="29" t="n">
        <v>0</v>
      </c>
      <c r="M1377" s="29" t="n">
        <v>0</v>
      </c>
      <c r="N1377" s="2" t="n">
        <v>0</v>
      </c>
      <c r="O1377" s="31" t="n">
        <v>0</v>
      </c>
      <c r="P1377" s="32" t="n"/>
      <c r="Q1377" s="32" t="n">
        <v>0</v>
      </c>
      <c r="R1377" s="32" t="n">
        <v>0</v>
      </c>
      <c r="S1377" s="31" t="n">
        <v>0</v>
      </c>
      <c r="T1377" s="32" t="n">
        <v>0</v>
      </c>
      <c r="U1377" s="31" t="n">
        <v>0</v>
      </c>
      <c r="V1377" s="31" t="n">
        <v>0</v>
      </c>
      <c r="W1377" s="3" t="n">
        <v>0</v>
      </c>
      <c r="X1377" s="3" t="n">
        <v>0</v>
      </c>
      <c r="Y1377" s="32" t="n">
        <v>0</v>
      </c>
      <c r="Z1377" s="3" t="n">
        <v>0</v>
      </c>
      <c r="AA1377" s="32" t="n">
        <v>0</v>
      </c>
      <c r="AB1377" s="3" t="n"/>
      <c r="AC1377" s="31" t="n">
        <v>0</v>
      </c>
      <c r="AD1377" s="2" t="n">
        <v>0</v>
      </c>
      <c r="AE1377" s="2" t="n">
        <v>11</v>
      </c>
      <c r="AF1377" s="4" t="n">
        <v>11</v>
      </c>
      <c r="AG1377" s="33" t="n">
        <v>0</v>
      </c>
      <c r="AH1377" s="4" t="n">
        <v>0</v>
      </c>
      <c r="AI1377" s="34" t="n"/>
      <c r="AJ1377" s="34" t="n">
        <v>0</v>
      </c>
      <c r="AK1377" s="2" t="n">
        <v>0</v>
      </c>
      <c r="AL1377" t="inlineStr">
        <is>
          <t>Published</t>
        </is>
      </c>
    </row>
    <row r="1378">
      <c r="A1378">
        <f>HYPERLINK("https://www.walmart.com/ip/13886865858", "13886865858")</f>
        <v/>
      </c>
      <c r="B1378">
        <f>HYPERLINK("https://app.optiwise.ai/catalog/itemdetails/13012111", "Every Day is Christmas Glass Blown Ornaments Cute Hand Made Figurines Tree Decoration, Cocktail Set of 3")</f>
        <v/>
      </c>
      <c r="C1378" t="inlineStr">
        <is>
          <t>EDC-FIGURINE-BC335</t>
        </is>
      </c>
      <c r="D1378" t="inlineStr">
        <is>
          <t>Home Decor, Kitchen, &amp; Other</t>
        </is>
      </c>
      <c r="E1378" t="inlineStr">
        <is>
          <t>Ornaments</t>
        </is>
      </c>
      <c r="F1378" t="inlineStr">
        <is>
          <t>Every Day is Christmas</t>
        </is>
      </c>
      <c r="G1378" t="n">
        <v>0</v>
      </c>
      <c r="H1378" t="n">
        <v>0</v>
      </c>
      <c r="J1378" s="29" t="n">
        <v>0</v>
      </c>
      <c r="K1378" s="30" t="n"/>
      <c r="L1378" s="29" t="n">
        <v>0</v>
      </c>
      <c r="M1378" s="29" t="n">
        <v>0</v>
      </c>
      <c r="N1378" s="2" t="n">
        <v>0</v>
      </c>
      <c r="O1378" s="31" t="n">
        <v>0</v>
      </c>
      <c r="P1378" s="32" t="n"/>
      <c r="Q1378" s="32" t="n">
        <v>0</v>
      </c>
      <c r="R1378" s="32" t="n">
        <v>0.0795</v>
      </c>
      <c r="S1378" s="31" t="n">
        <v>0</v>
      </c>
      <c r="T1378" s="32" t="n">
        <v>0</v>
      </c>
      <c r="U1378" s="31" t="n">
        <v>0</v>
      </c>
      <c r="V1378" s="31" t="n">
        <v>0</v>
      </c>
      <c r="W1378" s="3" t="n">
        <v>0</v>
      </c>
      <c r="X1378" s="3" t="n">
        <v>0</v>
      </c>
      <c r="Y1378" s="32" t="n">
        <v>0</v>
      </c>
      <c r="Z1378" s="3" t="n">
        <v>0</v>
      </c>
      <c r="AA1378" s="32" t="n">
        <v>0</v>
      </c>
      <c r="AB1378" s="3" t="n"/>
      <c r="AC1378" s="31" t="n">
        <v>0</v>
      </c>
      <c r="AD1378" s="2" t="n">
        <v>0</v>
      </c>
      <c r="AE1378" s="2" t="n">
        <v>18</v>
      </c>
      <c r="AF1378" s="4" t="n">
        <v>18</v>
      </c>
      <c r="AG1378" s="33" t="n">
        <v>0</v>
      </c>
      <c r="AH1378" s="4" t="n">
        <v>0</v>
      </c>
      <c r="AI1378" s="34" t="n"/>
      <c r="AJ1378" s="34" t="n">
        <v>0</v>
      </c>
      <c r="AK1378" s="2" t="n">
        <v>0</v>
      </c>
      <c r="AL1378" t="inlineStr">
        <is>
          <t>Published</t>
        </is>
      </c>
    </row>
    <row r="1379">
      <c r="A1379">
        <f>HYPERLINK("https://www.walmart.com/ip/13844750309", "13844750309")</f>
        <v/>
      </c>
      <c r="B1379">
        <f>HYPERLINK("https://app.optiwise.ai/catalog/itemdetails/13012109", "Every Day is Christmas Glass Blown Ornaments Cute Hand Made Figurines Tree Decoration, Bacon and Eggs Set of 2")</f>
        <v/>
      </c>
      <c r="C1379" t="inlineStr">
        <is>
          <t>EDC-FIGURINE-WP265</t>
        </is>
      </c>
      <c r="D1379" t="inlineStr">
        <is>
          <t>Home Decor, Kitchen, &amp; Other</t>
        </is>
      </c>
      <c r="E1379" t="inlineStr">
        <is>
          <t>Ornaments</t>
        </is>
      </c>
      <c r="F1379" t="inlineStr">
        <is>
          <t>Every Day is Christmas</t>
        </is>
      </c>
      <c r="G1379" t="n">
        <v>0</v>
      </c>
      <c r="H1379" t="n">
        <v>0</v>
      </c>
      <c r="J1379" s="29" t="n">
        <v>0</v>
      </c>
      <c r="K1379" s="30" t="n"/>
      <c r="L1379" s="29" t="n">
        <v>0</v>
      </c>
      <c r="M1379" s="29" t="n">
        <v>0</v>
      </c>
      <c r="N1379" s="2" t="n">
        <v>0</v>
      </c>
      <c r="O1379" s="31" t="n">
        <v>0</v>
      </c>
      <c r="P1379" s="32" t="n"/>
      <c r="Q1379" s="32" t="n">
        <v>0</v>
      </c>
      <c r="R1379" s="32" t="n">
        <v>0</v>
      </c>
      <c r="S1379" s="31" t="n">
        <v>0</v>
      </c>
      <c r="T1379" s="32" t="n">
        <v>0</v>
      </c>
      <c r="U1379" s="31" t="n">
        <v>0</v>
      </c>
      <c r="V1379" s="31" t="n">
        <v>0</v>
      </c>
      <c r="W1379" s="3" t="n">
        <v>0</v>
      </c>
      <c r="X1379" s="3" t="n">
        <v>0</v>
      </c>
      <c r="Y1379" s="32" t="n">
        <v>0</v>
      </c>
      <c r="Z1379" s="3" t="n">
        <v>0</v>
      </c>
      <c r="AA1379" s="32" t="n">
        <v>0</v>
      </c>
      <c r="AB1379" s="3" t="n"/>
      <c r="AC1379" s="31" t="n">
        <v>0</v>
      </c>
      <c r="AD1379" s="2" t="n">
        <v>0</v>
      </c>
      <c r="AE1379" s="2" t="n">
        <v>10</v>
      </c>
      <c r="AF1379" s="4" t="n">
        <v>10</v>
      </c>
      <c r="AG1379" s="33" t="n">
        <v>0</v>
      </c>
      <c r="AH1379" s="4" t="n">
        <v>0</v>
      </c>
      <c r="AI1379" s="34" t="n"/>
      <c r="AJ1379" s="34" t="n">
        <v>0</v>
      </c>
      <c r="AK1379" s="2" t="n">
        <v>0</v>
      </c>
      <c r="AL1379" t="inlineStr">
        <is>
          <t>Published</t>
        </is>
      </c>
    </row>
    <row r="1380">
      <c r="A1380">
        <f>HYPERLINK("https://www.walmart.com/ip/1892269532", "1892269532")</f>
        <v/>
      </c>
      <c r="B1380">
        <f>HYPERLINK("https://app.optiwise.ai/catalog/itemdetails/13009080", "Every Day is Christmas Glass Blown Ornaments Cute Hand Made Figurines Tree Decoration, Ambulance")</f>
        <v/>
      </c>
      <c r="C1380" t="inlineStr">
        <is>
          <t>EDC-FIGURINE-AMBULANCE</t>
        </is>
      </c>
      <c r="D1380" t="inlineStr">
        <is>
          <t>Decorations &amp; Favors</t>
        </is>
      </c>
      <c r="E1380" t="inlineStr">
        <is>
          <t>Ornaments</t>
        </is>
      </c>
      <c r="F1380" t="inlineStr">
        <is>
          <t>Every Day is Christmas</t>
        </is>
      </c>
      <c r="G1380" t="n">
        <v>0</v>
      </c>
      <c r="H1380" t="n">
        <v>0</v>
      </c>
      <c r="J1380" s="29" t="n">
        <v>0</v>
      </c>
      <c r="K1380" s="30" t="n"/>
      <c r="L1380" s="29" t="n">
        <v>0</v>
      </c>
      <c r="M1380" s="29" t="n">
        <v>0</v>
      </c>
      <c r="N1380" s="2" t="n">
        <v>0</v>
      </c>
      <c r="O1380" s="31" t="n">
        <v>0</v>
      </c>
      <c r="P1380" s="32" t="n"/>
      <c r="Q1380" s="32" t="n">
        <v>0</v>
      </c>
      <c r="R1380" s="32" t="n">
        <v>0.1611</v>
      </c>
      <c r="S1380" s="31" t="n">
        <v>0</v>
      </c>
      <c r="T1380" s="32" t="n">
        <v>0</v>
      </c>
      <c r="U1380" s="31" t="n">
        <v>0</v>
      </c>
      <c r="V1380" s="31" t="n">
        <v>0</v>
      </c>
      <c r="W1380" s="3" t="n">
        <v>0</v>
      </c>
      <c r="X1380" s="3" t="n">
        <v>0</v>
      </c>
      <c r="Y1380" s="32" t="n">
        <v>0</v>
      </c>
      <c r="Z1380" s="3" t="n">
        <v>0</v>
      </c>
      <c r="AA1380" s="32" t="n">
        <v>0</v>
      </c>
      <c r="AB1380" s="3" t="n"/>
      <c r="AC1380" s="31" t="n">
        <v>0</v>
      </c>
      <c r="AD1380" s="2" t="n">
        <v>0</v>
      </c>
      <c r="AE1380" s="2" t="n">
        <v>10</v>
      </c>
      <c r="AF1380" s="4" t="n">
        <v>10</v>
      </c>
      <c r="AG1380" s="33" t="n">
        <v>0</v>
      </c>
      <c r="AH1380" s="4" t="n">
        <v>0</v>
      </c>
      <c r="AI1380" s="34" t="n"/>
      <c r="AJ1380" s="34" t="n">
        <v>0</v>
      </c>
      <c r="AK1380" s="2" t="n">
        <v>0</v>
      </c>
      <c r="AL1380" t="inlineStr">
        <is>
          <t>Published</t>
        </is>
      </c>
    </row>
    <row r="1381">
      <c r="A1381">
        <f>HYPERLINK("https://www.walmart.com/ip/13844700682", "13844700682")</f>
        <v/>
      </c>
      <c r="B1381">
        <f>HYPERLINK("https://app.optiwise.ai/catalog/itemdetails/13012108", "Every Day is Christmas Glass Blown Ornaments Cute Hand Made Figurines Tree Decoration, Bananas Set of 2")</f>
        <v/>
      </c>
      <c r="C1381" t="inlineStr">
        <is>
          <t>EDC-FIGURINE-WP260</t>
        </is>
      </c>
      <c r="D1381" t="inlineStr">
        <is>
          <t>Home Decor, Kitchen, &amp; Other</t>
        </is>
      </c>
      <c r="E1381" t="inlineStr">
        <is>
          <t>Ornaments</t>
        </is>
      </c>
      <c r="F1381" t="inlineStr">
        <is>
          <t>Every Day is Christmas</t>
        </is>
      </c>
      <c r="G1381" t="n">
        <v>0</v>
      </c>
      <c r="H1381" t="n">
        <v>0</v>
      </c>
      <c r="J1381" s="29" t="n">
        <v>0</v>
      </c>
      <c r="K1381" s="30" t="n"/>
      <c r="L1381" s="29" t="n">
        <v>0</v>
      </c>
      <c r="M1381" s="29" t="n">
        <v>0</v>
      </c>
      <c r="N1381" s="2" t="n">
        <v>0</v>
      </c>
      <c r="O1381" s="31" t="n">
        <v>0</v>
      </c>
      <c r="P1381" s="32" t="n"/>
      <c r="Q1381" s="32" t="n">
        <v>0</v>
      </c>
      <c r="R1381" s="32" t="n">
        <v>0</v>
      </c>
      <c r="S1381" s="31" t="n">
        <v>0</v>
      </c>
      <c r="T1381" s="32" t="n">
        <v>0</v>
      </c>
      <c r="U1381" s="31" t="n">
        <v>0</v>
      </c>
      <c r="V1381" s="31" t="n">
        <v>0</v>
      </c>
      <c r="W1381" s="3" t="n">
        <v>0</v>
      </c>
      <c r="X1381" s="3" t="n">
        <v>0</v>
      </c>
      <c r="Y1381" s="32" t="n">
        <v>0</v>
      </c>
      <c r="Z1381" s="3" t="n">
        <v>0</v>
      </c>
      <c r="AA1381" s="32" t="n">
        <v>0</v>
      </c>
      <c r="AB1381" s="3" t="n"/>
      <c r="AC1381" s="31" t="n">
        <v>0</v>
      </c>
      <c r="AD1381" s="2" t="n">
        <v>0</v>
      </c>
      <c r="AE1381" s="2" t="n">
        <v>9</v>
      </c>
      <c r="AF1381" s="4" t="n">
        <v>9</v>
      </c>
      <c r="AG1381" s="33" t="n">
        <v>0</v>
      </c>
      <c r="AH1381" s="4" t="n">
        <v>0</v>
      </c>
      <c r="AI1381" s="34" t="n"/>
      <c r="AJ1381" s="34" t="n">
        <v>0</v>
      </c>
      <c r="AK1381" s="2" t="n">
        <v>0</v>
      </c>
      <c r="AL1381" t="inlineStr">
        <is>
          <t>Published</t>
        </is>
      </c>
    </row>
    <row r="1382">
      <c r="A1382">
        <f>HYPERLINK("https://www.walmart.com/ip/13843309130", "13843309130")</f>
        <v/>
      </c>
      <c r="B1382">
        <f>HYPERLINK("https://app.optiwise.ai/catalog/itemdetails/13012107", "Every Day is Christmas Glass Blown Ornaments Cute Hand Made Figurines Tree Decoration, Blue Whale Set of 2")</f>
        <v/>
      </c>
      <c r="C1382" t="inlineStr">
        <is>
          <t>EDC-FIGURINE-WP283</t>
        </is>
      </c>
      <c r="D1382" t="inlineStr">
        <is>
          <t>Home Decor, Kitchen, &amp; Other</t>
        </is>
      </c>
      <c r="E1382" t="inlineStr">
        <is>
          <t>Ornaments</t>
        </is>
      </c>
      <c r="F1382" t="inlineStr">
        <is>
          <t>Every Day is Christmas</t>
        </is>
      </c>
      <c r="G1382" t="n">
        <v>0</v>
      </c>
      <c r="H1382" t="n">
        <v>0</v>
      </c>
      <c r="J1382" s="29" t="n">
        <v>0</v>
      </c>
      <c r="K1382" s="30" t="n"/>
      <c r="L1382" s="29" t="n">
        <v>0</v>
      </c>
      <c r="M1382" s="29" t="n">
        <v>0</v>
      </c>
      <c r="N1382" s="2" t="n">
        <v>0</v>
      </c>
      <c r="O1382" s="31" t="n">
        <v>0</v>
      </c>
      <c r="P1382" s="32" t="n"/>
      <c r="Q1382" s="32" t="n">
        <v>0</v>
      </c>
      <c r="R1382" s="32" t="n">
        <v>0</v>
      </c>
      <c r="S1382" s="31" t="n">
        <v>0</v>
      </c>
      <c r="T1382" s="32" t="n">
        <v>0</v>
      </c>
      <c r="U1382" s="31" t="n">
        <v>0</v>
      </c>
      <c r="V1382" s="31" t="n">
        <v>0</v>
      </c>
      <c r="W1382" s="3" t="n">
        <v>0</v>
      </c>
      <c r="X1382" s="3" t="n">
        <v>0</v>
      </c>
      <c r="Y1382" s="32" t="n">
        <v>0</v>
      </c>
      <c r="Z1382" s="3" t="n">
        <v>0</v>
      </c>
      <c r="AA1382" s="32" t="n">
        <v>0</v>
      </c>
      <c r="AB1382" s="3" t="n"/>
      <c r="AC1382" s="31" t="n">
        <v>0</v>
      </c>
      <c r="AD1382" s="2" t="n">
        <v>0</v>
      </c>
      <c r="AE1382" s="2" t="n">
        <v>12</v>
      </c>
      <c r="AF1382" s="4" t="n">
        <v>12</v>
      </c>
      <c r="AG1382" s="33" t="n">
        <v>0</v>
      </c>
      <c r="AH1382" s="4" t="n">
        <v>0</v>
      </c>
      <c r="AI1382" s="34" t="n"/>
      <c r="AJ1382" s="34" t="n">
        <v>0</v>
      </c>
      <c r="AK1382" s="2" t="n">
        <v>0</v>
      </c>
      <c r="AL1382" t="inlineStr">
        <is>
          <t>Published</t>
        </is>
      </c>
    </row>
    <row r="1383">
      <c r="A1383">
        <f>HYPERLINK("https://www.walmart.com/ip/13821472703", "13821472703")</f>
        <v/>
      </c>
      <c r="B1383">
        <f>HYPERLINK("https://app.optiwise.ai/catalog/itemdetails/13012106", "Every Day is Christmas Glass Blown Ornaments Cute Hand Made Figurines Tree Decoration, Set of 2 Corn")</f>
        <v/>
      </c>
      <c r="C1383" t="inlineStr">
        <is>
          <t>EDC-FIGURINE-CORN-2PACK</t>
        </is>
      </c>
      <c r="D1383" t="inlineStr">
        <is>
          <t>Home Decor, Kitchen, &amp; Other</t>
        </is>
      </c>
      <c r="E1383" t="inlineStr">
        <is>
          <t>Ornaments</t>
        </is>
      </c>
      <c r="F1383" t="inlineStr">
        <is>
          <t>Every Day is Christmas</t>
        </is>
      </c>
      <c r="G1383" t="n">
        <v>0</v>
      </c>
      <c r="H1383" t="n">
        <v>0</v>
      </c>
      <c r="J1383" s="29" t="n">
        <v>0</v>
      </c>
      <c r="K1383" s="30" t="n"/>
      <c r="L1383" s="29" t="n">
        <v>0</v>
      </c>
      <c r="M1383" s="29" t="n">
        <v>0</v>
      </c>
      <c r="N1383" s="2" t="n">
        <v>0</v>
      </c>
      <c r="O1383" s="31" t="n">
        <v>0</v>
      </c>
      <c r="P1383" s="32" t="n"/>
      <c r="Q1383" s="32" t="n">
        <v>0</v>
      </c>
      <c r="R1383" s="32" t="n">
        <v>0</v>
      </c>
      <c r="S1383" s="31" t="n">
        <v>0</v>
      </c>
      <c r="T1383" s="32" t="n">
        <v>0</v>
      </c>
      <c r="U1383" s="31" t="n">
        <v>0</v>
      </c>
      <c r="V1383" s="31" t="n">
        <v>0</v>
      </c>
      <c r="W1383" s="3" t="n">
        <v>0</v>
      </c>
      <c r="X1383" s="3" t="n">
        <v>0</v>
      </c>
      <c r="Y1383" s="32" t="n">
        <v>0</v>
      </c>
      <c r="Z1383" s="3" t="n">
        <v>0</v>
      </c>
      <c r="AA1383" s="32" t="n">
        <v>0</v>
      </c>
      <c r="AB1383" s="3" t="n"/>
      <c r="AC1383" s="31" t="n">
        <v>0</v>
      </c>
      <c r="AD1383" s="2" t="n">
        <v>0</v>
      </c>
      <c r="AE1383" s="2" t="n">
        <v>150</v>
      </c>
      <c r="AF1383" s="4" t="n">
        <v>150</v>
      </c>
      <c r="AG1383" s="33" t="n">
        <v>0</v>
      </c>
      <c r="AH1383" s="4" t="n">
        <v>0</v>
      </c>
      <c r="AI1383" s="34" t="n"/>
      <c r="AJ1383" s="34" t="n">
        <v>0</v>
      </c>
      <c r="AK1383" s="2" t="n">
        <v>0</v>
      </c>
      <c r="AL1383" t="inlineStr">
        <is>
          <t>Published</t>
        </is>
      </c>
    </row>
    <row r="1384">
      <c r="A1384">
        <f>HYPERLINK("https://www.walmart.com/ip/10320160728", "10320160728")</f>
        <v/>
      </c>
      <c r="B1384">
        <f>HYPERLINK("https://app.optiwise.ai/catalog/itemdetails/13012105", "Every Day is Christmas Glass Blown Ornaments Cute Hand Made Figurines Tree Decoration, Limes Set of 3")</f>
        <v/>
      </c>
      <c r="C1384" t="inlineStr">
        <is>
          <t>EDC-FIGURINE-BC334</t>
        </is>
      </c>
      <c r="D1384" t="inlineStr">
        <is>
          <t>Home Decor, Kitchen, &amp; Other</t>
        </is>
      </c>
      <c r="E1384" t="inlineStr">
        <is>
          <t>Ornaments</t>
        </is>
      </c>
      <c r="F1384" t="inlineStr">
        <is>
          <t>Every Day is Christmas</t>
        </is>
      </c>
      <c r="G1384" t="n">
        <v>4.5</v>
      </c>
      <c r="H1384" t="n">
        <v>0</v>
      </c>
      <c r="J1384" s="29" t="n">
        <v>0</v>
      </c>
      <c r="K1384" s="30" t="n"/>
      <c r="L1384" s="29" t="n">
        <v>0</v>
      </c>
      <c r="M1384" s="29" t="n">
        <v>0</v>
      </c>
      <c r="N1384" s="2" t="n">
        <v>0</v>
      </c>
      <c r="O1384" s="31" t="n">
        <v>0</v>
      </c>
      <c r="P1384" s="32" t="n"/>
      <c r="Q1384" s="32" t="n">
        <v>0</v>
      </c>
      <c r="R1384" s="32" t="n">
        <v>0</v>
      </c>
      <c r="S1384" s="31" t="n">
        <v>0</v>
      </c>
      <c r="T1384" s="32" t="n">
        <v>0</v>
      </c>
      <c r="U1384" s="31" t="n">
        <v>0</v>
      </c>
      <c r="V1384" s="31" t="n">
        <v>0</v>
      </c>
      <c r="W1384" s="3" t="n">
        <v>0</v>
      </c>
      <c r="X1384" s="3" t="n">
        <v>0</v>
      </c>
      <c r="Y1384" s="32" t="n">
        <v>0</v>
      </c>
      <c r="Z1384" s="3" t="n">
        <v>0</v>
      </c>
      <c r="AA1384" s="32" t="n">
        <v>0</v>
      </c>
      <c r="AB1384" s="3" t="n"/>
      <c r="AC1384" s="31" t="n">
        <v>0</v>
      </c>
      <c r="AD1384" s="2" t="n">
        <v>0</v>
      </c>
      <c r="AE1384" s="2" t="n">
        <v>9</v>
      </c>
      <c r="AF1384" s="4" t="n">
        <v>9</v>
      </c>
      <c r="AG1384" s="33" t="n">
        <v>0</v>
      </c>
      <c r="AH1384" s="4" t="n">
        <v>0</v>
      </c>
      <c r="AI1384" s="34" t="n"/>
      <c r="AJ1384" s="34" t="n">
        <v>0</v>
      </c>
      <c r="AK1384" s="2" t="n">
        <v>0</v>
      </c>
      <c r="AL1384" t="inlineStr">
        <is>
          <t>Published</t>
        </is>
      </c>
    </row>
    <row r="1385">
      <c r="A1385">
        <f>HYPERLINK("https://www.walmart.com/ip/1995771365", "1995771365")</f>
        <v/>
      </c>
      <c r="B1385">
        <f>HYPERLINK("https://app.optiwise.ai/catalog/itemdetails/13012104", "Every Day is Christmas Glass Blown Ornaments 2022 Cute Hand Made Figurines Tree Decoration - 8cm glass set of 2 tennis ball ornament")</f>
        <v/>
      </c>
      <c r="C1385" t="inlineStr">
        <is>
          <t>EDC-FIGURINE-TENNIS</t>
        </is>
      </c>
      <c r="D1385" t="inlineStr">
        <is>
          <t>Home Decor, Kitchen, &amp; Other</t>
        </is>
      </c>
      <c r="E1385" t="inlineStr">
        <is>
          <t>Ornaments</t>
        </is>
      </c>
      <c r="F1385" t="inlineStr">
        <is>
          <t>Every Day is Christmas</t>
        </is>
      </c>
      <c r="G1385" t="n">
        <v>0</v>
      </c>
      <c r="H1385" t="n">
        <v>0</v>
      </c>
      <c r="J1385" s="29" t="n">
        <v>0</v>
      </c>
      <c r="K1385" s="30" t="n"/>
      <c r="L1385" s="29" t="n">
        <v>0</v>
      </c>
      <c r="M1385" s="29" t="n">
        <v>0</v>
      </c>
      <c r="N1385" s="2" t="n">
        <v>0</v>
      </c>
      <c r="O1385" s="31" t="n">
        <v>0</v>
      </c>
      <c r="P1385" s="32" t="n"/>
      <c r="Q1385" s="32" t="n">
        <v>0</v>
      </c>
      <c r="R1385" s="32" t="n">
        <v>0</v>
      </c>
      <c r="S1385" s="31" t="n">
        <v>0</v>
      </c>
      <c r="T1385" s="32" t="n">
        <v>0</v>
      </c>
      <c r="U1385" s="31" t="n">
        <v>0</v>
      </c>
      <c r="V1385" s="31" t="n">
        <v>0</v>
      </c>
      <c r="W1385" s="3" t="n">
        <v>0</v>
      </c>
      <c r="X1385" s="3" t="n">
        <v>0</v>
      </c>
      <c r="Y1385" s="32" t="n">
        <v>0</v>
      </c>
      <c r="Z1385" s="3" t="n">
        <v>0</v>
      </c>
      <c r="AA1385" s="32" t="n">
        <v>0</v>
      </c>
      <c r="AB1385" s="3" t="n"/>
      <c r="AC1385" s="31" t="n">
        <v>0</v>
      </c>
      <c r="AD1385" s="2" t="n">
        <v>0</v>
      </c>
      <c r="AE1385" s="2" t="n">
        <v>7</v>
      </c>
      <c r="AF1385" s="4" t="n">
        <v>7</v>
      </c>
      <c r="AG1385" s="33" t="n">
        <v>0</v>
      </c>
      <c r="AH1385" s="4" t="n">
        <v>0</v>
      </c>
      <c r="AI1385" s="34" t="n"/>
      <c r="AJ1385" s="34" t="n">
        <v>0</v>
      </c>
      <c r="AK1385" s="2" t="n">
        <v>0</v>
      </c>
      <c r="AL1385" t="inlineStr">
        <is>
          <t>Published</t>
        </is>
      </c>
    </row>
    <row r="1386">
      <c r="A1386">
        <f>HYPERLINK("https://www.walmart.com/ip/1927924589", "1927924589")</f>
        <v/>
      </c>
      <c r="B1386">
        <f>HYPERLINK("https://app.optiwise.ai/catalog/itemdetails/13012103", "Every Day is Christmas Glass Blown Ornaments Cute Hand Made Figurines Tree Decoration, Glass Fans")</f>
        <v/>
      </c>
      <c r="C1386" t="inlineStr">
        <is>
          <t>EDC-FIGURINE-FAN</t>
        </is>
      </c>
      <c r="D1386" t="inlineStr">
        <is>
          <t>Decorations &amp; Favors</t>
        </is>
      </c>
      <c r="E1386" t="inlineStr">
        <is>
          <t>Ornaments</t>
        </is>
      </c>
      <c r="F1386" t="inlineStr">
        <is>
          <t>Every Day is Christmas</t>
        </is>
      </c>
      <c r="G1386" t="n">
        <v>0</v>
      </c>
      <c r="H1386" t="n">
        <v>0</v>
      </c>
      <c r="J1386" s="29" t="n">
        <v>0</v>
      </c>
      <c r="K1386" s="30" t="n"/>
      <c r="L1386" s="29" t="n">
        <v>0</v>
      </c>
      <c r="M1386" s="29" t="n">
        <v>0</v>
      </c>
      <c r="N1386" s="2" t="n">
        <v>0</v>
      </c>
      <c r="O1386" s="31" t="n">
        <v>0</v>
      </c>
      <c r="P1386" s="32" t="n"/>
      <c r="Q1386" s="32" t="n">
        <v>0</v>
      </c>
      <c r="R1386" s="32" t="n">
        <v>0</v>
      </c>
      <c r="S1386" s="31" t="n">
        <v>0</v>
      </c>
      <c r="T1386" s="32" t="n">
        <v>0</v>
      </c>
      <c r="U1386" s="31" t="n">
        <v>0</v>
      </c>
      <c r="V1386" s="31" t="n">
        <v>0</v>
      </c>
      <c r="W1386" s="3" t="n">
        <v>0</v>
      </c>
      <c r="X1386" s="3" t="n">
        <v>0</v>
      </c>
      <c r="Y1386" s="32" t="n">
        <v>0</v>
      </c>
      <c r="Z1386" s="3" t="n">
        <v>0</v>
      </c>
      <c r="AA1386" s="32" t="n">
        <v>0</v>
      </c>
      <c r="AB1386" s="3" t="n"/>
      <c r="AC1386" s="31" t="n">
        <v>0</v>
      </c>
      <c r="AD1386" s="2" t="n">
        <v>0</v>
      </c>
      <c r="AE1386" s="2" t="n">
        <v>9</v>
      </c>
      <c r="AF1386" s="4" t="n">
        <v>9</v>
      </c>
      <c r="AG1386" s="33" t="n">
        <v>0</v>
      </c>
      <c r="AH1386" s="4" t="n">
        <v>0</v>
      </c>
      <c r="AI1386" s="34" t="n"/>
      <c r="AJ1386" s="34" t="n">
        <v>0</v>
      </c>
      <c r="AK1386" s="2" t="n">
        <v>0</v>
      </c>
      <c r="AL1386" t="inlineStr">
        <is>
          <t>Published</t>
        </is>
      </c>
    </row>
    <row r="1387">
      <c r="A1387">
        <f>HYPERLINK("https://www.walmart.com/ip/1672958313", "1672958313")</f>
        <v/>
      </c>
      <c r="B1387">
        <f>HYPERLINK("https://app.optiwise.ai/catalog/itemdetails/13012102", "Every Day is Christmas Glass Blown Ornaments Cute Hand Made Figurines Tree Decoration, Dolphin")</f>
        <v/>
      </c>
      <c r="C1387" t="inlineStr">
        <is>
          <t>EDC-FIGURINE-DOLPHIN</t>
        </is>
      </c>
      <c r="D1387" t="inlineStr">
        <is>
          <t>Decorations &amp; Favors</t>
        </is>
      </c>
      <c r="E1387" t="inlineStr">
        <is>
          <t>Ornaments</t>
        </is>
      </c>
      <c r="F1387" t="inlineStr">
        <is>
          <t>Every Day is Christmas</t>
        </is>
      </c>
      <c r="G1387" t="n">
        <v>0</v>
      </c>
      <c r="H1387" t="n">
        <v>0</v>
      </c>
      <c r="J1387" s="29" t="n">
        <v>0</v>
      </c>
      <c r="K1387" s="30" t="n"/>
      <c r="L1387" s="29" t="n">
        <v>0</v>
      </c>
      <c r="M1387" s="29" t="n">
        <v>0</v>
      </c>
      <c r="N1387" s="2" t="n">
        <v>0</v>
      </c>
      <c r="O1387" s="31" t="n">
        <v>0</v>
      </c>
      <c r="P1387" s="32" t="n"/>
      <c r="Q1387" s="32" t="n">
        <v>0</v>
      </c>
      <c r="R1387" s="32" t="n">
        <v>0.1039</v>
      </c>
      <c r="S1387" s="31" t="n">
        <v>0</v>
      </c>
      <c r="T1387" s="32" t="n">
        <v>0</v>
      </c>
      <c r="U1387" s="31" t="n">
        <v>0</v>
      </c>
      <c r="V1387" s="31" t="n">
        <v>0</v>
      </c>
      <c r="W1387" s="3" t="n">
        <v>0</v>
      </c>
      <c r="X1387" s="3" t="n">
        <v>0</v>
      </c>
      <c r="Y1387" s="32" t="n">
        <v>0</v>
      </c>
      <c r="Z1387" s="3" t="n">
        <v>0</v>
      </c>
      <c r="AA1387" s="32" t="n">
        <v>0</v>
      </c>
      <c r="AB1387" s="3" t="n"/>
      <c r="AC1387" s="31" t="n">
        <v>0</v>
      </c>
      <c r="AD1387" s="2" t="n">
        <v>0</v>
      </c>
      <c r="AE1387" s="2" t="n">
        <v>13</v>
      </c>
      <c r="AF1387" s="4" t="n">
        <v>13</v>
      </c>
      <c r="AG1387" s="33" t="n">
        <v>0</v>
      </c>
      <c r="AH1387" s="4" t="n">
        <v>0</v>
      </c>
      <c r="AI1387" s="34" t="n"/>
      <c r="AJ1387" s="34" t="n">
        <v>0</v>
      </c>
      <c r="AK1387" s="2" t="n">
        <v>0</v>
      </c>
      <c r="AL1387" t="inlineStr">
        <is>
          <t>Published</t>
        </is>
      </c>
    </row>
    <row r="1388">
      <c r="A1388">
        <f>HYPERLINK("https://www.walmart.com/ip/1552094819", "1552094819")</f>
        <v/>
      </c>
      <c r="B1388">
        <f>HYPERLINK("https://app.optiwise.ai/catalog/itemdetails/13012101", "Every Day is Christmas Glass Blown Ornaments Cute Hand Made Figurines Tree Decoration, Set of 2 Drill and Saw")</f>
        <v/>
      </c>
      <c r="C1388" t="inlineStr">
        <is>
          <t>EDC-FIGURINE-SAWDRILL</t>
        </is>
      </c>
      <c r="D1388" t="inlineStr">
        <is>
          <t>Decorations &amp; Favors</t>
        </is>
      </c>
      <c r="E1388" t="inlineStr">
        <is>
          <t>Ornaments</t>
        </is>
      </c>
      <c r="F1388" t="inlineStr">
        <is>
          <t>Every Day is Christmas</t>
        </is>
      </c>
      <c r="G1388" t="n">
        <v>0</v>
      </c>
      <c r="H1388" t="n">
        <v>0</v>
      </c>
      <c r="J1388" s="29" t="n">
        <v>0</v>
      </c>
      <c r="K1388" s="30" t="n"/>
      <c r="L1388" s="29" t="n">
        <v>0</v>
      </c>
      <c r="M1388" s="29" t="n">
        <v>0</v>
      </c>
      <c r="N1388" s="2" t="n">
        <v>0</v>
      </c>
      <c r="O1388" s="31" t="n">
        <v>0</v>
      </c>
      <c r="P1388" s="32" t="n"/>
      <c r="Q1388" s="32" t="n">
        <v>0</v>
      </c>
      <c r="R1388" s="32" t="n">
        <v>0</v>
      </c>
      <c r="S1388" s="31" t="n">
        <v>0</v>
      </c>
      <c r="T1388" s="32" t="n">
        <v>0</v>
      </c>
      <c r="U1388" s="31" t="n">
        <v>0</v>
      </c>
      <c r="V1388" s="31" t="n">
        <v>0</v>
      </c>
      <c r="W1388" s="3" t="n">
        <v>0</v>
      </c>
      <c r="X1388" s="3" t="n">
        <v>0</v>
      </c>
      <c r="Y1388" s="32" t="n">
        <v>0</v>
      </c>
      <c r="Z1388" s="3" t="n">
        <v>0</v>
      </c>
      <c r="AA1388" s="32" t="n">
        <v>0</v>
      </c>
      <c r="AB1388" s="3" t="n"/>
      <c r="AC1388" s="31" t="n">
        <v>0</v>
      </c>
      <c r="AD1388" s="2" t="n">
        <v>0</v>
      </c>
      <c r="AE1388" s="2" t="n">
        <v>11</v>
      </c>
      <c r="AF1388" s="4" t="n">
        <v>11</v>
      </c>
      <c r="AG1388" s="33" t="n">
        <v>0</v>
      </c>
      <c r="AH1388" s="4" t="n">
        <v>0</v>
      </c>
      <c r="AI1388" s="34" t="n"/>
      <c r="AJ1388" s="34" t="n">
        <v>0</v>
      </c>
      <c r="AK1388" s="2" t="n">
        <v>0</v>
      </c>
      <c r="AL1388" t="inlineStr">
        <is>
          <t>Published</t>
        </is>
      </c>
    </row>
    <row r="1389">
      <c r="A1389">
        <f>HYPERLINK("https://www.walmart.com/ip/1481775930", "1481775930")</f>
        <v/>
      </c>
      <c r="B1389">
        <f>HYPERLINK("https://app.optiwise.ai/catalog/itemdetails/13012100", "Every Day is Christmas Glass Blown Ornaments Cute Hand Made Figurines Tree Decoration, Bacon Eggs")</f>
        <v/>
      </c>
      <c r="C1389" t="inlineStr">
        <is>
          <t>EDC-FIGURINE-BACONEGGS</t>
        </is>
      </c>
      <c r="D1389" t="inlineStr">
        <is>
          <t>Decorations &amp; Favors</t>
        </is>
      </c>
      <c r="E1389" t="inlineStr">
        <is>
          <t>Ornaments</t>
        </is>
      </c>
      <c r="F1389" t="inlineStr">
        <is>
          <t>Every Day is Christmas</t>
        </is>
      </c>
      <c r="G1389" t="n">
        <v>0</v>
      </c>
      <c r="H1389" t="n">
        <v>0</v>
      </c>
      <c r="J1389" s="29" t="n">
        <v>0</v>
      </c>
      <c r="K1389" s="30" t="n"/>
      <c r="L1389" s="29" t="n">
        <v>0</v>
      </c>
      <c r="M1389" s="29" t="n">
        <v>0</v>
      </c>
      <c r="N1389" s="2" t="n">
        <v>0</v>
      </c>
      <c r="O1389" s="31" t="n">
        <v>0</v>
      </c>
      <c r="P1389" s="32" t="n"/>
      <c r="Q1389" s="32" t="n">
        <v>0</v>
      </c>
      <c r="R1389" s="32" t="n">
        <v>0.1107</v>
      </c>
      <c r="S1389" s="31" t="n">
        <v>0</v>
      </c>
      <c r="T1389" s="32" t="n">
        <v>0</v>
      </c>
      <c r="U1389" s="31" t="n">
        <v>0</v>
      </c>
      <c r="V1389" s="31" t="n">
        <v>0</v>
      </c>
      <c r="W1389" s="3" t="n">
        <v>0</v>
      </c>
      <c r="X1389" s="3" t="n">
        <v>0</v>
      </c>
      <c r="Y1389" s="32" t="n">
        <v>0</v>
      </c>
      <c r="Z1389" s="3" t="n">
        <v>0</v>
      </c>
      <c r="AA1389" s="32" t="n">
        <v>0</v>
      </c>
      <c r="AB1389" s="3" t="n"/>
      <c r="AC1389" s="31" t="n">
        <v>0</v>
      </c>
      <c r="AD1389" s="2" t="n">
        <v>0</v>
      </c>
      <c r="AE1389" s="2" t="n">
        <v>11</v>
      </c>
      <c r="AF1389" s="4" t="n">
        <v>11</v>
      </c>
      <c r="AG1389" s="33" t="n">
        <v>0</v>
      </c>
      <c r="AH1389" s="4" t="n">
        <v>0</v>
      </c>
      <c r="AI1389" s="34" t="n"/>
      <c r="AJ1389" s="34" t="n">
        <v>0</v>
      </c>
      <c r="AK1389" s="2" t="n">
        <v>0</v>
      </c>
      <c r="AL1389" t="inlineStr">
        <is>
          <t>Published</t>
        </is>
      </c>
    </row>
    <row r="1390">
      <c r="A1390">
        <f>HYPERLINK("https://www.walmart.com/ip/1227165846", "1227165846")</f>
        <v/>
      </c>
      <c r="B1390">
        <f>HYPERLINK("https://app.optiwise.ai/catalog/itemdetails/13012099", "Every Day is Christmas Glass Blown Ornaments Cute Hand Made Figurines Tree Decoration, Maneki")</f>
        <v/>
      </c>
      <c r="C1390" t="inlineStr">
        <is>
          <t>EDC-FIGURINE-MANEKI</t>
        </is>
      </c>
      <c r="D1390" t="inlineStr">
        <is>
          <t>Decorations &amp; Favors</t>
        </is>
      </c>
      <c r="E1390" t="inlineStr">
        <is>
          <t>Ornaments</t>
        </is>
      </c>
      <c r="F1390" t="inlineStr">
        <is>
          <t>Every Day is Christmas</t>
        </is>
      </c>
      <c r="G1390" t="n">
        <v>0</v>
      </c>
      <c r="H1390" t="n">
        <v>0</v>
      </c>
      <c r="J1390" s="29" t="n">
        <v>0</v>
      </c>
      <c r="K1390" s="30" t="n"/>
      <c r="L1390" s="29" t="n">
        <v>0</v>
      </c>
      <c r="M1390" s="29" t="n">
        <v>0</v>
      </c>
      <c r="N1390" s="2" t="n">
        <v>0</v>
      </c>
      <c r="O1390" s="31" t="n">
        <v>0</v>
      </c>
      <c r="P1390" s="32" t="n"/>
      <c r="Q1390" s="32" t="n">
        <v>0</v>
      </c>
      <c r="R1390" s="32" t="n">
        <v>0</v>
      </c>
      <c r="S1390" s="31" t="n">
        <v>0</v>
      </c>
      <c r="T1390" s="32" t="n">
        <v>0</v>
      </c>
      <c r="U1390" s="31" t="n">
        <v>0</v>
      </c>
      <c r="V1390" s="31" t="n">
        <v>0</v>
      </c>
      <c r="W1390" s="3" t="n">
        <v>0</v>
      </c>
      <c r="X1390" s="3" t="n">
        <v>0</v>
      </c>
      <c r="Y1390" s="32" t="n">
        <v>0</v>
      </c>
      <c r="Z1390" s="3" t="n">
        <v>0</v>
      </c>
      <c r="AA1390" s="32" t="n">
        <v>0</v>
      </c>
      <c r="AB1390" s="3" t="n"/>
      <c r="AC1390" s="31" t="n">
        <v>0</v>
      </c>
      <c r="AD1390" s="2" t="n">
        <v>0</v>
      </c>
      <c r="AE1390" s="2" t="n">
        <v>9</v>
      </c>
      <c r="AF1390" s="4" t="n">
        <v>9</v>
      </c>
      <c r="AG1390" s="33" t="n">
        <v>0</v>
      </c>
      <c r="AH1390" s="4" t="n">
        <v>0</v>
      </c>
      <c r="AI1390" s="34" t="n"/>
      <c r="AJ1390" s="34" t="n">
        <v>0</v>
      </c>
      <c r="AK1390" s="2" t="n">
        <v>0</v>
      </c>
      <c r="AL1390" t="inlineStr">
        <is>
          <t>Published</t>
        </is>
      </c>
    </row>
    <row r="1391">
      <c r="A1391">
        <f>HYPERLINK("https://www.walmart.com/ip/1179537793", "1179537793")</f>
        <v/>
      </c>
      <c r="B1391">
        <f>HYPERLINK("https://app.optiwise.ai/catalog/itemdetails/13012098", "Every Day is Christmas Glass Blown Ornaments Cute Hand Made Figurines Tree Decoration, Garbage Truck")</f>
        <v/>
      </c>
      <c r="C1391" t="inlineStr">
        <is>
          <t>EDC-FIGURINE-GARBAGETRUCK</t>
        </is>
      </c>
      <c r="D1391" t="inlineStr">
        <is>
          <t>Decorations &amp; Favors</t>
        </is>
      </c>
      <c r="E1391" t="inlineStr">
        <is>
          <t>Ornaments</t>
        </is>
      </c>
      <c r="F1391" t="inlineStr">
        <is>
          <t>Every Day is Christmas</t>
        </is>
      </c>
      <c r="G1391" t="n">
        <v>1</v>
      </c>
      <c r="H1391" t="n">
        <v>1</v>
      </c>
      <c r="J1391" s="29" t="n">
        <v>0</v>
      </c>
      <c r="K1391" s="30" t="n"/>
      <c r="L1391" s="29" t="n">
        <v>0</v>
      </c>
      <c r="M1391" s="29" t="n">
        <v>0</v>
      </c>
      <c r="N1391" s="2" t="n">
        <v>0</v>
      </c>
      <c r="O1391" s="31" t="n">
        <v>0</v>
      </c>
      <c r="P1391" s="32" t="n"/>
      <c r="Q1391" s="32" t="n">
        <v>0</v>
      </c>
      <c r="R1391" s="32" t="n">
        <v>0.0759</v>
      </c>
      <c r="S1391" s="31" t="n">
        <v>0</v>
      </c>
      <c r="T1391" s="32" t="n">
        <v>0</v>
      </c>
      <c r="U1391" s="31" t="n">
        <v>0</v>
      </c>
      <c r="V1391" s="31" t="n">
        <v>0</v>
      </c>
      <c r="W1391" s="3" t="n">
        <v>0</v>
      </c>
      <c r="X1391" s="3" t="n">
        <v>0</v>
      </c>
      <c r="Y1391" s="32" t="n">
        <v>0</v>
      </c>
      <c r="Z1391" s="3" t="n">
        <v>0</v>
      </c>
      <c r="AA1391" s="32" t="n">
        <v>0</v>
      </c>
      <c r="AB1391" s="3" t="n"/>
      <c r="AC1391" s="31" t="n">
        <v>0</v>
      </c>
      <c r="AD1391" s="2" t="n">
        <v>0</v>
      </c>
      <c r="AE1391" s="2" t="n">
        <v>4</v>
      </c>
      <c r="AF1391" s="4" t="n">
        <v>4</v>
      </c>
      <c r="AG1391" s="33" t="n">
        <v>0</v>
      </c>
      <c r="AH1391" s="4" t="n">
        <v>0</v>
      </c>
      <c r="AI1391" s="34" t="n"/>
      <c r="AJ1391" s="34" t="n">
        <v>0</v>
      </c>
      <c r="AK1391" s="2" t="n">
        <v>0</v>
      </c>
      <c r="AL1391" t="inlineStr">
        <is>
          <t>Published</t>
        </is>
      </c>
    </row>
    <row r="1392">
      <c r="A1392">
        <f>HYPERLINK("https://www.walmart.com/ip/1985753772", "1985753772")</f>
        <v/>
      </c>
      <c r="B1392">
        <f>HYPERLINK("https://app.optiwise.ai/catalog/itemdetails/13012124", "Every Day is Christmas Glass Blown Ornaments 2021 Cute Hand Made Figurines Tree Decoration, Yoga Santa")</f>
        <v/>
      </c>
      <c r="C1392" t="inlineStr">
        <is>
          <t>EDC-FIGURINE-LONDON</t>
        </is>
      </c>
      <c r="D1392" t="inlineStr">
        <is>
          <t>Decorations &amp; Favors</t>
        </is>
      </c>
      <c r="E1392" t="inlineStr">
        <is>
          <t>Ornaments</t>
        </is>
      </c>
      <c r="F1392" t="inlineStr">
        <is>
          <t>Every Day is Christmas</t>
        </is>
      </c>
      <c r="G1392" t="n">
        <v>0</v>
      </c>
      <c r="H1392" t="n">
        <v>0</v>
      </c>
      <c r="J1392" s="29" t="n">
        <v>0</v>
      </c>
      <c r="K1392" s="30" t="n"/>
      <c r="L1392" s="29" t="n">
        <v>0</v>
      </c>
      <c r="M1392" s="29" t="n">
        <v>0</v>
      </c>
      <c r="N1392" s="2" t="n">
        <v>0</v>
      </c>
      <c r="O1392" s="31" t="n">
        <v>0</v>
      </c>
      <c r="P1392" s="32" t="n"/>
      <c r="Q1392" s="32" t="n">
        <v>0</v>
      </c>
      <c r="R1392" s="32" t="n">
        <v>0</v>
      </c>
      <c r="S1392" s="31" t="n">
        <v>0</v>
      </c>
      <c r="T1392" s="32" t="n">
        <v>0</v>
      </c>
      <c r="U1392" s="31" t="n">
        <v>0</v>
      </c>
      <c r="V1392" s="31" t="n">
        <v>0</v>
      </c>
      <c r="W1392" s="3" t="n">
        <v>0</v>
      </c>
      <c r="X1392" s="3" t="n">
        <v>0</v>
      </c>
      <c r="Y1392" s="32" t="n">
        <v>0</v>
      </c>
      <c r="Z1392" s="3" t="n">
        <v>0</v>
      </c>
      <c r="AA1392" s="32" t="n">
        <v>0</v>
      </c>
      <c r="AB1392" s="3" t="n"/>
      <c r="AC1392" s="31" t="n">
        <v>0</v>
      </c>
      <c r="AD1392" s="2" t="n">
        <v>0</v>
      </c>
      <c r="AE1392" s="2" t="n">
        <v>10</v>
      </c>
      <c r="AF1392" s="4" t="n">
        <v>10</v>
      </c>
      <c r="AG1392" s="33" t="n">
        <v>0</v>
      </c>
      <c r="AH1392" s="4" t="n">
        <v>0</v>
      </c>
      <c r="AI1392" s="34" t="n"/>
      <c r="AJ1392" s="34" t="n">
        <v>0</v>
      </c>
      <c r="AK1392" s="2" t="n">
        <v>0</v>
      </c>
      <c r="AL1392" t="inlineStr">
        <is>
          <t>Published</t>
        </is>
      </c>
    </row>
    <row r="1393">
      <c r="A1393">
        <f>HYPERLINK("https://www.walmart.com/ip/1997657379", "1997657379")</f>
        <v/>
      </c>
      <c r="B1393">
        <f>HYPERLINK("https://app.optiwise.ai/catalog/itemdetails/13012125", "Every Day is Christmas Glass Blown Ornaments 2021 Cute Hand Made Figurines Tree Decoration, Rocket Santa")</f>
        <v/>
      </c>
      <c r="C1393" t="inlineStr">
        <is>
          <t>EDC-FIGURINE-GINGERBREAD</t>
        </is>
      </c>
      <c r="D1393" t="inlineStr">
        <is>
          <t>Decorations &amp; Favors</t>
        </is>
      </c>
      <c r="E1393" t="inlineStr">
        <is>
          <t>Ornaments</t>
        </is>
      </c>
      <c r="F1393" t="inlineStr">
        <is>
          <t>Every Day is Christmas</t>
        </is>
      </c>
      <c r="G1393" t="n">
        <v>0</v>
      </c>
      <c r="H1393" t="n">
        <v>0</v>
      </c>
      <c r="J1393" s="29" t="n">
        <v>0</v>
      </c>
      <c r="K1393" s="30" t="n"/>
      <c r="L1393" s="29" t="n">
        <v>0</v>
      </c>
      <c r="M1393" s="29" t="n">
        <v>0</v>
      </c>
      <c r="N1393" s="2" t="n">
        <v>0</v>
      </c>
      <c r="O1393" s="31" t="n">
        <v>0</v>
      </c>
      <c r="P1393" s="32" t="n"/>
      <c r="Q1393" s="32" t="n">
        <v>0</v>
      </c>
      <c r="R1393" s="32" t="n">
        <v>0</v>
      </c>
      <c r="S1393" s="31" t="n">
        <v>0</v>
      </c>
      <c r="T1393" s="32" t="n">
        <v>0</v>
      </c>
      <c r="U1393" s="31" t="n">
        <v>0</v>
      </c>
      <c r="V1393" s="31" t="n">
        <v>0</v>
      </c>
      <c r="W1393" s="3" t="n">
        <v>0</v>
      </c>
      <c r="X1393" s="3" t="n">
        <v>0</v>
      </c>
      <c r="Y1393" s="32" t="n">
        <v>0</v>
      </c>
      <c r="Z1393" s="3" t="n">
        <v>0</v>
      </c>
      <c r="AA1393" s="32" t="n">
        <v>0</v>
      </c>
      <c r="AB1393" s="3" t="n"/>
      <c r="AC1393" s="31" t="n">
        <v>0</v>
      </c>
      <c r="AD1393" s="2" t="n">
        <v>0</v>
      </c>
      <c r="AE1393" s="2" t="n">
        <v>13</v>
      </c>
      <c r="AF1393" s="4" t="n">
        <v>13</v>
      </c>
      <c r="AG1393" s="33" t="n">
        <v>0</v>
      </c>
      <c r="AH1393" s="4" t="n">
        <v>0</v>
      </c>
      <c r="AI1393" s="34" t="n"/>
      <c r="AJ1393" s="34" t="n">
        <v>0</v>
      </c>
      <c r="AK1393" s="2" t="n">
        <v>0</v>
      </c>
      <c r="AL1393" t="inlineStr">
        <is>
          <t>Published</t>
        </is>
      </c>
    </row>
    <row r="1394">
      <c r="A1394">
        <f>HYPERLINK("https://www.walmart.com/ip/10292804837", "10292804837")</f>
        <v/>
      </c>
      <c r="B1394">
        <f>HYPERLINK("https://app.optiwise.ai/catalog/itemdetails/13012126", "Every Day is Christmas Glass Blown Ornaments Cute Hand Made Figurines Tree Decoration, Set of 2 Strawberry")</f>
        <v/>
      </c>
      <c r="C1394" t="inlineStr">
        <is>
          <t>EDC-FIGURINE-STRAWBERRY-2PACK</t>
        </is>
      </c>
      <c r="D1394" t="inlineStr">
        <is>
          <t>Home Decor, Kitchen, &amp; Other</t>
        </is>
      </c>
      <c r="E1394" t="inlineStr">
        <is>
          <t>Ornaments</t>
        </is>
      </c>
      <c r="F1394" t="inlineStr">
        <is>
          <t>Every Day is Christmas</t>
        </is>
      </c>
      <c r="G1394" t="n">
        <v>4.7</v>
      </c>
      <c r="H1394" t="n">
        <v>0</v>
      </c>
      <c r="J1394" s="29" t="n">
        <v>0</v>
      </c>
      <c r="K1394" s="30" t="n"/>
      <c r="L1394" s="29" t="n">
        <v>101.9400024414062</v>
      </c>
      <c r="M1394" s="29" t="n">
        <v>0</v>
      </c>
      <c r="N1394" s="2" t="n">
        <v>0</v>
      </c>
      <c r="O1394" s="31" t="n">
        <v>0</v>
      </c>
      <c r="P1394" s="32" t="n"/>
      <c r="Q1394" s="32" t="n">
        <v>0</v>
      </c>
      <c r="R1394" s="32" t="n">
        <v>0</v>
      </c>
      <c r="S1394" s="31" t="n">
        <v>0</v>
      </c>
      <c r="T1394" s="32" t="n">
        <v>0</v>
      </c>
      <c r="U1394" s="31" t="n">
        <v>0</v>
      </c>
      <c r="V1394" s="31" t="n">
        <v>0</v>
      </c>
      <c r="W1394" s="3" t="n">
        <v>0</v>
      </c>
      <c r="X1394" s="3" t="n">
        <v>0</v>
      </c>
      <c r="Y1394" s="32" t="n">
        <v>0</v>
      </c>
      <c r="Z1394" s="3" t="n">
        <v>0</v>
      </c>
      <c r="AA1394" s="32" t="n">
        <v>0</v>
      </c>
      <c r="AB1394" s="3" t="n"/>
      <c r="AC1394" s="31" t="n">
        <v>0</v>
      </c>
      <c r="AD1394" s="2" t="n">
        <v>0</v>
      </c>
      <c r="AE1394" s="2" t="n">
        <v>15</v>
      </c>
      <c r="AF1394" s="4" t="n">
        <v>15</v>
      </c>
      <c r="AG1394" s="33" t="n">
        <v>0</v>
      </c>
      <c r="AH1394" s="4" t="n">
        <v>0</v>
      </c>
      <c r="AI1394" s="34" t="n"/>
      <c r="AJ1394" s="34" t="n">
        <v>0</v>
      </c>
      <c r="AK1394" s="2" t="n">
        <v>0</v>
      </c>
      <c r="AL1394" t="inlineStr">
        <is>
          <t>Published</t>
        </is>
      </c>
    </row>
    <row r="1395">
      <c r="A1395">
        <f>HYPERLINK("https://www.walmart.com/ip/13862613855", "13862613855")</f>
        <v/>
      </c>
      <c r="B1395">
        <f>HYPERLINK("https://app.optiwise.ai/catalog/itemdetails/13012127", "Every Day is Christmas Glass Blown Ornaments Cute Hand Made Figurines Tree Decoration (Cross Set)")</f>
        <v/>
      </c>
      <c r="C1395" t="inlineStr">
        <is>
          <t>EDC-FIGURINE-WP267</t>
        </is>
      </c>
      <c r="D1395" t="inlineStr">
        <is>
          <t>Home Decor, Kitchen, &amp; Other</t>
        </is>
      </c>
      <c r="E1395" t="inlineStr">
        <is>
          <t>Ornaments</t>
        </is>
      </c>
      <c r="F1395" t="inlineStr">
        <is>
          <t>Every Day is Christmas</t>
        </is>
      </c>
      <c r="G1395" t="n">
        <v>0</v>
      </c>
      <c r="H1395" t="n">
        <v>0</v>
      </c>
      <c r="J1395" s="29" t="n">
        <v>0</v>
      </c>
      <c r="K1395" s="30" t="n"/>
      <c r="L1395" s="29" t="n">
        <v>0</v>
      </c>
      <c r="M1395" s="29" t="n">
        <v>0</v>
      </c>
      <c r="N1395" s="2" t="n">
        <v>0</v>
      </c>
      <c r="O1395" s="31" t="n">
        <v>0</v>
      </c>
      <c r="P1395" s="32" t="n"/>
      <c r="Q1395" s="32" t="n">
        <v>0</v>
      </c>
      <c r="R1395" s="32" t="n">
        <v>0.0958</v>
      </c>
      <c r="S1395" s="31" t="n">
        <v>0</v>
      </c>
      <c r="T1395" s="32" t="n">
        <v>0</v>
      </c>
      <c r="U1395" s="31" t="n">
        <v>0</v>
      </c>
      <c r="V1395" s="31" t="n">
        <v>0</v>
      </c>
      <c r="W1395" s="3" t="n">
        <v>0</v>
      </c>
      <c r="X1395" s="3" t="n">
        <v>0</v>
      </c>
      <c r="Y1395" s="32" t="n">
        <v>0</v>
      </c>
      <c r="Z1395" s="3" t="n">
        <v>0</v>
      </c>
      <c r="AA1395" s="32" t="n">
        <v>0</v>
      </c>
      <c r="AB1395" s="3" t="n"/>
      <c r="AC1395" s="31" t="n">
        <v>0</v>
      </c>
      <c r="AD1395" s="2" t="n">
        <v>0</v>
      </c>
      <c r="AE1395" s="2" t="n">
        <v>10</v>
      </c>
      <c r="AF1395" s="4" t="n">
        <v>10</v>
      </c>
      <c r="AG1395" s="33" t="n">
        <v>0</v>
      </c>
      <c r="AH1395" s="4" t="n">
        <v>0</v>
      </c>
      <c r="AI1395" s="34" t="n"/>
      <c r="AJ1395" s="34" t="n">
        <v>0</v>
      </c>
      <c r="AK1395" s="2" t="n">
        <v>0</v>
      </c>
      <c r="AL1395" t="inlineStr">
        <is>
          <t>Published</t>
        </is>
      </c>
    </row>
    <row r="1396">
      <c r="A1396">
        <f>HYPERLINK("https://www.walmart.com/ip/13841424620", "13841424620")</f>
        <v/>
      </c>
      <c r="B1396">
        <f>HYPERLINK("https://app.optiwise.ai/catalog/itemdetails/13012152", "Every Day is Christmas Glass Blown Ornaments Cute Hand Made Figurines Tree Decoration, Honey Beehive Set of 2")</f>
        <v/>
      </c>
      <c r="C1396" t="inlineStr">
        <is>
          <t>EDC-FIGURINE-WP284</t>
        </is>
      </c>
      <c r="D1396" t="inlineStr">
        <is>
          <t>Home Decor, Kitchen, &amp; Other</t>
        </is>
      </c>
      <c r="E1396" t="inlineStr">
        <is>
          <t>Ornaments</t>
        </is>
      </c>
      <c r="F1396" t="inlineStr">
        <is>
          <t>Every Day is Christmas</t>
        </is>
      </c>
      <c r="G1396" t="n">
        <v>0</v>
      </c>
      <c r="H1396" t="n">
        <v>0</v>
      </c>
      <c r="J1396" s="29" t="n">
        <v>0</v>
      </c>
      <c r="K1396" s="30" t="n"/>
      <c r="L1396" s="29" t="n">
        <v>0</v>
      </c>
      <c r="M1396" s="29" t="n">
        <v>0</v>
      </c>
      <c r="N1396" s="2" t="n">
        <v>0</v>
      </c>
      <c r="O1396" s="31" t="n">
        <v>0</v>
      </c>
      <c r="P1396" s="32" t="n"/>
      <c r="Q1396" s="32" t="n">
        <v>0</v>
      </c>
      <c r="R1396" s="32" t="n">
        <v>0.0236</v>
      </c>
      <c r="S1396" s="31" t="n">
        <v>0</v>
      </c>
      <c r="T1396" s="32" t="n">
        <v>0</v>
      </c>
      <c r="U1396" s="31" t="n">
        <v>0</v>
      </c>
      <c r="V1396" s="31" t="n">
        <v>0</v>
      </c>
      <c r="W1396" s="3" t="n">
        <v>0</v>
      </c>
      <c r="X1396" s="3" t="n">
        <v>0</v>
      </c>
      <c r="Y1396" s="32" t="n">
        <v>0</v>
      </c>
      <c r="Z1396" s="3" t="n">
        <v>0</v>
      </c>
      <c r="AA1396" s="32" t="n">
        <v>0</v>
      </c>
      <c r="AB1396" s="3" t="n"/>
      <c r="AC1396" s="31" t="n">
        <v>0</v>
      </c>
      <c r="AD1396" s="2" t="n">
        <v>0</v>
      </c>
      <c r="AE1396" s="2" t="n">
        <v>195</v>
      </c>
      <c r="AF1396" s="4" t="n">
        <v>195</v>
      </c>
      <c r="AG1396" s="33" t="n">
        <v>0</v>
      </c>
      <c r="AH1396" s="4" t="n">
        <v>0</v>
      </c>
      <c r="AI1396" s="34" t="n"/>
      <c r="AJ1396" s="34" t="n">
        <v>0</v>
      </c>
      <c r="AK1396" s="2" t="n">
        <v>0</v>
      </c>
      <c r="AL1396" t="inlineStr">
        <is>
          <t>Published</t>
        </is>
      </c>
    </row>
    <row r="1397">
      <c r="A1397">
        <f>HYPERLINK("https://www.walmart.com/ip/1966935073", "1966935073")</f>
        <v/>
      </c>
      <c r="B1397">
        <f>HYPERLINK("https://app.optiwise.ai/catalog/itemdetails/13012150", "Every Day is Christmas Glass Blown Ornaments Cute Hand Made Figurines Tree Decoration, Snowfalke")</f>
        <v/>
      </c>
      <c r="C1397" t="inlineStr">
        <is>
          <t>EDC-FIGURINE-SNOWFLAKE</t>
        </is>
      </c>
      <c r="D1397" t="inlineStr">
        <is>
          <t>Decorations &amp; Favors</t>
        </is>
      </c>
      <c r="E1397" t="inlineStr">
        <is>
          <t>Ornaments</t>
        </is>
      </c>
      <c r="F1397" t="inlineStr">
        <is>
          <t>Every Day is Christmas</t>
        </is>
      </c>
      <c r="G1397" t="n">
        <v>0</v>
      </c>
      <c r="H1397" t="n">
        <v>0</v>
      </c>
      <c r="J1397" s="29" t="n">
        <v>0</v>
      </c>
      <c r="K1397" s="30" t="n"/>
      <c r="L1397" s="29" t="n">
        <v>0</v>
      </c>
      <c r="M1397" s="29" t="n">
        <v>0</v>
      </c>
      <c r="N1397" s="2" t="n">
        <v>0</v>
      </c>
      <c r="O1397" s="31" t="n">
        <v>0</v>
      </c>
      <c r="P1397" s="32" t="n"/>
      <c r="Q1397" s="32" t="n">
        <v>0</v>
      </c>
      <c r="R1397" s="32" t="n">
        <v>0</v>
      </c>
      <c r="S1397" s="31" t="n">
        <v>0</v>
      </c>
      <c r="T1397" s="32" t="n">
        <v>0</v>
      </c>
      <c r="U1397" s="31" t="n">
        <v>0</v>
      </c>
      <c r="V1397" s="31" t="n">
        <v>0</v>
      </c>
      <c r="W1397" s="3" t="n">
        <v>0</v>
      </c>
      <c r="X1397" s="3" t="n">
        <v>0</v>
      </c>
      <c r="Y1397" s="32" t="n">
        <v>0</v>
      </c>
      <c r="Z1397" s="3" t="n">
        <v>0</v>
      </c>
      <c r="AA1397" s="32" t="n">
        <v>0</v>
      </c>
      <c r="AB1397" s="3" t="n"/>
      <c r="AC1397" s="31" t="n">
        <v>0</v>
      </c>
      <c r="AD1397" s="2" t="n">
        <v>0</v>
      </c>
      <c r="AE1397" s="2" t="n">
        <v>10</v>
      </c>
      <c r="AF1397" s="4" t="n">
        <v>10</v>
      </c>
      <c r="AG1397" s="33" t="n">
        <v>0</v>
      </c>
      <c r="AH1397" s="4" t="n">
        <v>0</v>
      </c>
      <c r="AI1397" s="34" t="n"/>
      <c r="AJ1397" s="34" t="n">
        <v>0</v>
      </c>
      <c r="AK1397" s="2" t="n">
        <v>0</v>
      </c>
      <c r="AL1397" t="inlineStr">
        <is>
          <t>Published</t>
        </is>
      </c>
    </row>
    <row r="1398">
      <c r="A1398">
        <f>HYPERLINK("https://www.walmart.com/ip/1928765080", "1928765080")</f>
        <v/>
      </c>
      <c r="B1398">
        <f>HYPERLINK("https://app.optiwise.ai/catalog/itemdetails/13012149", "Every Day is Christmas Glass Blown Ornaments Cute Hand Made Figurines Tree Decoration, Takeaway")</f>
        <v/>
      </c>
      <c r="C1398" t="inlineStr">
        <is>
          <t>EDC-FIGURINE-TAKEAWAY</t>
        </is>
      </c>
      <c r="D1398" t="inlineStr">
        <is>
          <t>Decorations &amp; Favors</t>
        </is>
      </c>
      <c r="E1398" t="inlineStr">
        <is>
          <t>Ornaments</t>
        </is>
      </c>
      <c r="F1398" t="inlineStr">
        <is>
          <t>Every Day is Christmas</t>
        </is>
      </c>
      <c r="G1398" t="n">
        <v>0</v>
      </c>
      <c r="H1398" t="n">
        <v>0</v>
      </c>
      <c r="J1398" s="29" t="n">
        <v>0</v>
      </c>
      <c r="K1398" s="30" t="n"/>
      <c r="L1398" s="29" t="n">
        <v>0</v>
      </c>
      <c r="M1398" s="29" t="n">
        <v>0</v>
      </c>
      <c r="N1398" s="2" t="n">
        <v>0</v>
      </c>
      <c r="O1398" s="31" t="n">
        <v>0</v>
      </c>
      <c r="P1398" s="32" t="n"/>
      <c r="Q1398" s="32" t="n">
        <v>0</v>
      </c>
      <c r="R1398" s="32" t="n">
        <v>0</v>
      </c>
      <c r="S1398" s="31" t="n">
        <v>0</v>
      </c>
      <c r="T1398" s="32" t="n">
        <v>0</v>
      </c>
      <c r="U1398" s="31" t="n">
        <v>0</v>
      </c>
      <c r="V1398" s="31" t="n">
        <v>0</v>
      </c>
      <c r="W1398" s="3" t="n">
        <v>0</v>
      </c>
      <c r="X1398" s="3" t="n">
        <v>0</v>
      </c>
      <c r="Y1398" s="32" t="n">
        <v>0</v>
      </c>
      <c r="Z1398" s="3" t="n">
        <v>0</v>
      </c>
      <c r="AA1398" s="32" t="n">
        <v>0</v>
      </c>
      <c r="AB1398" s="3" t="n"/>
      <c r="AC1398" s="31" t="n">
        <v>0</v>
      </c>
      <c r="AD1398" s="2" t="n">
        <v>0</v>
      </c>
      <c r="AE1398" s="2" t="n">
        <v>18</v>
      </c>
      <c r="AF1398" s="4" t="n">
        <v>18</v>
      </c>
      <c r="AG1398" s="33" t="n">
        <v>0</v>
      </c>
      <c r="AH1398" s="4" t="n">
        <v>0</v>
      </c>
      <c r="AI1398" s="34" t="n"/>
      <c r="AJ1398" s="34" t="n">
        <v>0</v>
      </c>
      <c r="AK1398" s="2" t="n">
        <v>0</v>
      </c>
      <c r="AL1398" t="inlineStr">
        <is>
          <t>Published</t>
        </is>
      </c>
    </row>
    <row r="1399">
      <c r="A1399">
        <f>HYPERLINK("https://www.walmart.com/ip/1922799668", "1922799668")</f>
        <v/>
      </c>
      <c r="B1399">
        <f>HYPERLINK("https://app.optiwise.ai/catalog/itemdetails/13012148", "Every Day is Christmas Glass Blown Ornaments 2022 Cute Hand Made Figurines Tree Decoration - 12.7cm glass wrench and vice and hammer and screwdriver ornament")</f>
        <v/>
      </c>
      <c r="C1399" t="inlineStr">
        <is>
          <t>EDC-FIGURINE-PICKLE</t>
        </is>
      </c>
      <c r="D1399" t="inlineStr">
        <is>
          <t>Decorations &amp; Favors</t>
        </is>
      </c>
      <c r="E1399" t="inlineStr">
        <is>
          <t>Ornaments</t>
        </is>
      </c>
      <c r="F1399" t="inlineStr">
        <is>
          <t>Every Day is Christmas</t>
        </is>
      </c>
      <c r="G1399" t="n">
        <v>0</v>
      </c>
      <c r="H1399" t="n">
        <v>0</v>
      </c>
      <c r="J1399" s="29" t="n">
        <v>0</v>
      </c>
      <c r="K1399" s="30" t="n"/>
      <c r="L1399" s="29" t="n">
        <v>0</v>
      </c>
      <c r="M1399" s="29" t="n">
        <v>0</v>
      </c>
      <c r="N1399" s="2" t="n">
        <v>0</v>
      </c>
      <c r="O1399" s="31" t="n">
        <v>0</v>
      </c>
      <c r="P1399" s="32" t="n"/>
      <c r="Q1399" s="32" t="n">
        <v>0</v>
      </c>
      <c r="R1399" s="32" t="n">
        <v>0</v>
      </c>
      <c r="S1399" s="31" t="n">
        <v>0</v>
      </c>
      <c r="T1399" s="32" t="n">
        <v>0</v>
      </c>
      <c r="U1399" s="31" t="n">
        <v>0</v>
      </c>
      <c r="V1399" s="31" t="n">
        <v>0</v>
      </c>
      <c r="W1399" s="3" t="n">
        <v>0</v>
      </c>
      <c r="X1399" s="3" t="n">
        <v>0</v>
      </c>
      <c r="Y1399" s="32" t="n">
        <v>0</v>
      </c>
      <c r="Z1399" s="3" t="n">
        <v>0</v>
      </c>
      <c r="AA1399" s="32" t="n">
        <v>0</v>
      </c>
      <c r="AB1399" s="3" t="n"/>
      <c r="AC1399" s="31" t="n">
        <v>0</v>
      </c>
      <c r="AD1399" s="2" t="n">
        <v>0</v>
      </c>
      <c r="AE1399" s="2" t="n">
        <v>16</v>
      </c>
      <c r="AF1399" s="4" t="n">
        <v>16</v>
      </c>
      <c r="AG1399" s="33" t="n">
        <v>0</v>
      </c>
      <c r="AH1399" s="4" t="n">
        <v>0</v>
      </c>
      <c r="AI1399" s="34" t="n"/>
      <c r="AJ1399" s="34" t="n">
        <v>0</v>
      </c>
      <c r="AK1399" s="2" t="n">
        <v>0</v>
      </c>
      <c r="AL1399" t="inlineStr">
        <is>
          <t>Published</t>
        </is>
      </c>
    </row>
    <row r="1400">
      <c r="A1400">
        <f>HYPERLINK("https://www.walmart.com/ip/1882794861", "1882794861")</f>
        <v/>
      </c>
      <c r="B1400">
        <f>HYPERLINK("https://app.optiwise.ai/catalog/itemdetails/13012147", "Every Day is Christmas Glass Blown Ornaments 2022 Cute Hand Made Figurines Tree Decoration - 8.3cm glass set of 2 soccer ornament")</f>
        <v/>
      </c>
      <c r="C1400" t="inlineStr">
        <is>
          <t>EDC-FIGURINE-SOCCER</t>
        </is>
      </c>
      <c r="D1400" t="inlineStr">
        <is>
          <t>Home Decor, Kitchen, &amp; Other</t>
        </is>
      </c>
      <c r="E1400" t="inlineStr">
        <is>
          <t>Ornaments</t>
        </is>
      </c>
      <c r="F1400" t="inlineStr">
        <is>
          <t>Every Day is Christmas</t>
        </is>
      </c>
      <c r="G1400" t="n">
        <v>0</v>
      </c>
      <c r="H1400" t="n">
        <v>0</v>
      </c>
      <c r="J1400" s="29" t="n">
        <v>0</v>
      </c>
      <c r="K1400" s="30" t="n"/>
      <c r="L1400" s="29" t="n">
        <v>0</v>
      </c>
      <c r="M1400" s="29" t="n">
        <v>0</v>
      </c>
      <c r="N1400" s="2" t="n">
        <v>0</v>
      </c>
      <c r="O1400" s="31" t="n">
        <v>0</v>
      </c>
      <c r="P1400" s="32" t="n"/>
      <c r="Q1400" s="32" t="n">
        <v>0</v>
      </c>
      <c r="R1400" s="32" t="n">
        <v>0</v>
      </c>
      <c r="S1400" s="31" t="n">
        <v>0</v>
      </c>
      <c r="T1400" s="32" t="n">
        <v>0</v>
      </c>
      <c r="U1400" s="31" t="n">
        <v>0</v>
      </c>
      <c r="V1400" s="31" t="n">
        <v>0</v>
      </c>
      <c r="W1400" s="3" t="n">
        <v>0</v>
      </c>
      <c r="X1400" s="3" t="n">
        <v>0</v>
      </c>
      <c r="Y1400" s="32" t="n">
        <v>0</v>
      </c>
      <c r="Z1400" s="3" t="n">
        <v>0</v>
      </c>
      <c r="AA1400" s="32" t="n">
        <v>0</v>
      </c>
      <c r="AB1400" s="3" t="n"/>
      <c r="AC1400" s="31" t="n">
        <v>0</v>
      </c>
      <c r="AD1400" s="2" t="n">
        <v>0</v>
      </c>
      <c r="AE1400" s="2" t="n">
        <v>8</v>
      </c>
      <c r="AF1400" s="4" t="n">
        <v>8</v>
      </c>
      <c r="AG1400" s="33" t="n">
        <v>0</v>
      </c>
      <c r="AH1400" s="4" t="n">
        <v>0</v>
      </c>
      <c r="AI1400" s="34" t="n"/>
      <c r="AJ1400" s="34" t="n">
        <v>0</v>
      </c>
      <c r="AK1400" s="2" t="n">
        <v>0</v>
      </c>
      <c r="AL1400" t="inlineStr">
        <is>
          <t>Published</t>
        </is>
      </c>
    </row>
    <row r="1401">
      <c r="A1401">
        <f>HYPERLINK("https://www.walmart.com/ip/1599699725", "1599699725")</f>
        <v/>
      </c>
      <c r="B1401">
        <f>HYPERLINK("https://app.optiwise.ai/catalog/itemdetails/13012146", "Every Day is Christmas Glass Blown Ornaments 2022 Cute Hand Made Figurines Tree Decoration - 12.5cm glass set of 2 guitar ornament")</f>
        <v/>
      </c>
      <c r="C1401" t="inlineStr">
        <is>
          <t>EDC-FIGURINE-GUITAR</t>
        </is>
      </c>
      <c r="D1401" t="inlineStr">
        <is>
          <t>Home Decor, Kitchen, &amp; Other</t>
        </is>
      </c>
      <c r="E1401" t="inlineStr">
        <is>
          <t>Ornaments</t>
        </is>
      </c>
      <c r="F1401" t="inlineStr">
        <is>
          <t>Every Day is Christmas</t>
        </is>
      </c>
      <c r="G1401" t="n">
        <v>0</v>
      </c>
      <c r="H1401" t="n">
        <v>0</v>
      </c>
      <c r="J1401" s="29" t="n">
        <v>0</v>
      </c>
      <c r="K1401" s="30" t="n"/>
      <c r="L1401" s="29" t="n">
        <v>0</v>
      </c>
      <c r="M1401" s="29" t="n">
        <v>0</v>
      </c>
      <c r="N1401" s="2" t="n">
        <v>0</v>
      </c>
      <c r="O1401" s="31" t="n">
        <v>0</v>
      </c>
      <c r="P1401" s="32" t="n"/>
      <c r="Q1401" s="32" t="n">
        <v>0</v>
      </c>
      <c r="R1401" s="32" t="n">
        <v>0</v>
      </c>
      <c r="S1401" s="31" t="n">
        <v>0</v>
      </c>
      <c r="T1401" s="32" t="n">
        <v>0</v>
      </c>
      <c r="U1401" s="31" t="n">
        <v>0</v>
      </c>
      <c r="V1401" s="31" t="n">
        <v>0</v>
      </c>
      <c r="W1401" s="3" t="n">
        <v>0</v>
      </c>
      <c r="X1401" s="3" t="n">
        <v>0</v>
      </c>
      <c r="Y1401" s="32" t="n">
        <v>0</v>
      </c>
      <c r="Z1401" s="3" t="n">
        <v>0</v>
      </c>
      <c r="AA1401" s="32" t="n">
        <v>0</v>
      </c>
      <c r="AB1401" s="3" t="n"/>
      <c r="AC1401" s="31" t="n">
        <v>0</v>
      </c>
      <c r="AD1401" s="2" t="n">
        <v>0</v>
      </c>
      <c r="AE1401" s="2" t="n">
        <v>11</v>
      </c>
      <c r="AF1401" s="4" t="n">
        <v>11</v>
      </c>
      <c r="AG1401" s="33" t="n">
        <v>0</v>
      </c>
      <c r="AH1401" s="4" t="n">
        <v>0</v>
      </c>
      <c r="AI1401" s="34" t="n"/>
      <c r="AJ1401" s="34" t="n">
        <v>0</v>
      </c>
      <c r="AK1401" s="2" t="n">
        <v>0</v>
      </c>
      <c r="AL1401" t="inlineStr">
        <is>
          <t>Published</t>
        </is>
      </c>
    </row>
    <row r="1402">
      <c r="A1402">
        <f>HYPERLINK("https://www.walmart.com/ip/1559042104", "1559042104")</f>
        <v/>
      </c>
      <c r="B1402">
        <f>HYPERLINK("https://app.optiwise.ai/catalog/itemdetails/13012145", "Every Day is Christmas Glass Blown Ornaments 2021 Cute Hand Made Figurines Tree Decoration, Rocket Santa")</f>
        <v/>
      </c>
      <c r="C1402" t="inlineStr">
        <is>
          <t>EDC-FIGURINE-ROCKETSANTA</t>
        </is>
      </c>
      <c r="D1402" t="inlineStr">
        <is>
          <t>Home Decor, Kitchen, &amp; Other</t>
        </is>
      </c>
      <c r="E1402" t="inlineStr">
        <is>
          <t>Ornaments</t>
        </is>
      </c>
      <c r="F1402" t="inlineStr">
        <is>
          <t>Every Day is Christmas</t>
        </is>
      </c>
      <c r="G1402" t="n">
        <v>0</v>
      </c>
      <c r="H1402" t="n">
        <v>0</v>
      </c>
      <c r="J1402" s="29" t="n">
        <v>0</v>
      </c>
      <c r="K1402" s="30" t="n"/>
      <c r="L1402" s="29" t="n">
        <v>0</v>
      </c>
      <c r="M1402" s="29" t="n">
        <v>0</v>
      </c>
      <c r="N1402" s="2" t="n">
        <v>0</v>
      </c>
      <c r="O1402" s="31" t="n">
        <v>0</v>
      </c>
      <c r="P1402" s="32" t="n"/>
      <c r="Q1402" s="32" t="n">
        <v>0</v>
      </c>
      <c r="R1402" s="32" t="n">
        <v>0</v>
      </c>
      <c r="S1402" s="31" t="n">
        <v>0</v>
      </c>
      <c r="T1402" s="32" t="n">
        <v>0</v>
      </c>
      <c r="U1402" s="31" t="n">
        <v>0</v>
      </c>
      <c r="V1402" s="31" t="n">
        <v>0</v>
      </c>
      <c r="W1402" s="3" t="n">
        <v>0</v>
      </c>
      <c r="X1402" s="3" t="n">
        <v>0</v>
      </c>
      <c r="Y1402" s="32" t="n">
        <v>0</v>
      </c>
      <c r="Z1402" s="3" t="n">
        <v>0</v>
      </c>
      <c r="AA1402" s="32" t="n">
        <v>0</v>
      </c>
      <c r="AB1402" s="3" t="n"/>
      <c r="AC1402" s="31" t="n">
        <v>0</v>
      </c>
      <c r="AD1402" s="2" t="n">
        <v>0</v>
      </c>
      <c r="AE1402" s="2" t="n">
        <v>8</v>
      </c>
      <c r="AF1402" s="4" t="n">
        <v>8</v>
      </c>
      <c r="AG1402" s="33" t="n">
        <v>0</v>
      </c>
      <c r="AH1402" s="4" t="n">
        <v>0</v>
      </c>
      <c r="AI1402" s="34" t="n"/>
      <c r="AJ1402" s="34" t="n">
        <v>0</v>
      </c>
      <c r="AK1402" s="2" t="n">
        <v>0</v>
      </c>
      <c r="AL1402" t="inlineStr">
        <is>
          <t>Published</t>
        </is>
      </c>
    </row>
    <row r="1403">
      <c r="A1403">
        <f>HYPERLINK("https://www.walmart.com/ip/1517667797", "1517667797")</f>
        <v/>
      </c>
      <c r="B1403">
        <f>HYPERLINK("https://app.optiwise.ai/catalog/itemdetails/13012144", "Every Day is Christmas Glass Blown Ornaments 2021 Cute Hand Made Figurines Tree Decoration, Motorcyle Santa")</f>
        <v/>
      </c>
      <c r="C1403" t="inlineStr">
        <is>
          <t>EDC-FIGURINE-MOTORSANTA</t>
        </is>
      </c>
      <c r="D1403" t="inlineStr">
        <is>
          <t>Decorations &amp; Favors</t>
        </is>
      </c>
      <c r="E1403" t="inlineStr">
        <is>
          <t>Ornaments</t>
        </is>
      </c>
      <c r="F1403" t="inlineStr">
        <is>
          <t>Every Day is Christmas</t>
        </is>
      </c>
      <c r="G1403" t="n">
        <v>0</v>
      </c>
      <c r="H1403" t="n">
        <v>0</v>
      </c>
      <c r="J1403" s="29" t="n">
        <v>0</v>
      </c>
      <c r="K1403" s="30" t="n"/>
      <c r="L1403" s="29" t="n">
        <v>0</v>
      </c>
      <c r="M1403" s="29" t="n">
        <v>0</v>
      </c>
      <c r="N1403" s="2" t="n">
        <v>0</v>
      </c>
      <c r="O1403" s="31" t="n">
        <v>0</v>
      </c>
      <c r="P1403" s="32" t="n"/>
      <c r="Q1403" s="32" t="n">
        <v>0</v>
      </c>
      <c r="R1403" s="32" t="n">
        <v>0</v>
      </c>
      <c r="S1403" s="31" t="n">
        <v>0</v>
      </c>
      <c r="T1403" s="32" t="n">
        <v>0</v>
      </c>
      <c r="U1403" s="31" t="n">
        <v>0</v>
      </c>
      <c r="V1403" s="31" t="n">
        <v>0</v>
      </c>
      <c r="W1403" s="3" t="n">
        <v>0</v>
      </c>
      <c r="X1403" s="3" t="n">
        <v>0</v>
      </c>
      <c r="Y1403" s="32" t="n">
        <v>0</v>
      </c>
      <c r="Z1403" s="3" t="n">
        <v>0</v>
      </c>
      <c r="AA1403" s="32" t="n">
        <v>0</v>
      </c>
      <c r="AB1403" s="3" t="n"/>
      <c r="AC1403" s="31" t="n">
        <v>0</v>
      </c>
      <c r="AD1403" s="2" t="n">
        <v>0</v>
      </c>
      <c r="AE1403" s="2" t="n">
        <v>12</v>
      </c>
      <c r="AF1403" s="4" t="n">
        <v>12</v>
      </c>
      <c r="AG1403" s="33" t="n">
        <v>0</v>
      </c>
      <c r="AH1403" s="4" t="n">
        <v>0</v>
      </c>
      <c r="AI1403" s="34" t="n"/>
      <c r="AJ1403" s="34" t="n">
        <v>0</v>
      </c>
      <c r="AK1403" s="2" t="n">
        <v>0</v>
      </c>
      <c r="AL1403" t="inlineStr">
        <is>
          <t>Published</t>
        </is>
      </c>
    </row>
    <row r="1404">
      <c r="A1404">
        <f>HYPERLINK("https://www.walmart.com/ip/1442443725", "1442443725")</f>
        <v/>
      </c>
      <c r="B1404">
        <f>HYPERLINK("https://app.optiwise.ai/catalog/itemdetails/13012143", "Every Day is Christmas Glass Blown Ornaments 2022 Cute Hand Made Figurines Tree Decoration - 12.7cm glass wrench and vice and hammer and screwdriver ornament")</f>
        <v/>
      </c>
      <c r="C1404" t="inlineStr">
        <is>
          <t>EDC-FIGURINE-TOOLS</t>
        </is>
      </c>
      <c r="D1404" t="inlineStr">
        <is>
          <t>Home Decor, Kitchen, &amp; Other</t>
        </is>
      </c>
      <c r="E1404" t="inlineStr">
        <is>
          <t>Ornaments</t>
        </is>
      </c>
      <c r="F1404" t="inlineStr">
        <is>
          <t>Every Day is Christmas</t>
        </is>
      </c>
      <c r="G1404" t="n">
        <v>0</v>
      </c>
      <c r="H1404" t="n">
        <v>0</v>
      </c>
      <c r="J1404" s="29" t="n">
        <v>0</v>
      </c>
      <c r="K1404" s="30" t="n"/>
      <c r="L1404" s="29" t="n">
        <v>0</v>
      </c>
      <c r="M1404" s="29" t="n">
        <v>0</v>
      </c>
      <c r="N1404" s="2" t="n">
        <v>0</v>
      </c>
      <c r="O1404" s="31" t="n">
        <v>0</v>
      </c>
      <c r="P1404" s="32" t="n"/>
      <c r="Q1404" s="32" t="n">
        <v>0</v>
      </c>
      <c r="R1404" s="32" t="n">
        <v>0</v>
      </c>
      <c r="S1404" s="31" t="n">
        <v>0</v>
      </c>
      <c r="T1404" s="32" t="n">
        <v>0</v>
      </c>
      <c r="U1404" s="31" t="n">
        <v>0</v>
      </c>
      <c r="V1404" s="31" t="n">
        <v>0</v>
      </c>
      <c r="W1404" s="3" t="n">
        <v>0</v>
      </c>
      <c r="X1404" s="3" t="n">
        <v>0</v>
      </c>
      <c r="Y1404" s="32" t="n">
        <v>0</v>
      </c>
      <c r="Z1404" s="3" t="n">
        <v>0</v>
      </c>
      <c r="AA1404" s="32" t="n">
        <v>0</v>
      </c>
      <c r="AB1404" s="3" t="n"/>
      <c r="AC1404" s="31" t="n">
        <v>0</v>
      </c>
      <c r="AD1404" s="2" t="n">
        <v>0</v>
      </c>
      <c r="AE1404" s="2" t="n">
        <v>17</v>
      </c>
      <c r="AF1404" s="4" t="n">
        <v>17</v>
      </c>
      <c r="AG1404" s="33" t="n">
        <v>0</v>
      </c>
      <c r="AH1404" s="4" t="n">
        <v>0</v>
      </c>
      <c r="AI1404" s="34" t="n"/>
      <c r="AJ1404" s="34" t="n">
        <v>0</v>
      </c>
      <c r="AK1404" s="2" t="n">
        <v>0</v>
      </c>
      <c r="AL1404" t="inlineStr">
        <is>
          <t>Published</t>
        </is>
      </c>
    </row>
    <row r="1405">
      <c r="A1405">
        <f>HYPERLINK("https://www.walmart.com/ip/1385814978", "1385814978")</f>
        <v/>
      </c>
      <c r="B1405">
        <f>HYPERLINK("https://app.optiwise.ai/catalog/itemdetails/13012142", "Every Day is Christmas Glass Blown Ornaments Cute Hand Made Figurines Tree Decoration, Burger Fries")</f>
        <v/>
      </c>
      <c r="C1405" t="inlineStr">
        <is>
          <t>EDC-FIGURINE-BURGERFRIES</t>
        </is>
      </c>
      <c r="D1405" t="inlineStr">
        <is>
          <t>Decorations &amp; Favors</t>
        </is>
      </c>
      <c r="E1405" t="inlineStr">
        <is>
          <t>Ornaments</t>
        </is>
      </c>
      <c r="F1405" t="inlineStr">
        <is>
          <t>Every Day is Christmas</t>
        </is>
      </c>
      <c r="G1405" t="n">
        <v>0</v>
      </c>
      <c r="H1405" t="n">
        <v>0</v>
      </c>
      <c r="J1405" s="29" t="n">
        <v>0</v>
      </c>
      <c r="K1405" s="30" t="n"/>
      <c r="L1405" s="29" t="n">
        <v>0</v>
      </c>
      <c r="M1405" s="29" t="n">
        <v>0</v>
      </c>
      <c r="N1405" s="2" t="n">
        <v>0</v>
      </c>
      <c r="O1405" s="31" t="n">
        <v>0</v>
      </c>
      <c r="P1405" s="32" t="n"/>
      <c r="Q1405" s="32" t="n">
        <v>0</v>
      </c>
      <c r="R1405" s="32" t="n">
        <v>0</v>
      </c>
      <c r="S1405" s="31" t="n">
        <v>0</v>
      </c>
      <c r="T1405" s="32" t="n">
        <v>0</v>
      </c>
      <c r="U1405" s="31" t="n">
        <v>0</v>
      </c>
      <c r="V1405" s="31" t="n">
        <v>0</v>
      </c>
      <c r="W1405" s="3" t="n">
        <v>0</v>
      </c>
      <c r="X1405" s="3" t="n">
        <v>0</v>
      </c>
      <c r="Y1405" s="32" t="n">
        <v>0</v>
      </c>
      <c r="Z1405" s="3" t="n">
        <v>0</v>
      </c>
      <c r="AA1405" s="32" t="n">
        <v>0</v>
      </c>
      <c r="AB1405" s="3" t="n"/>
      <c r="AC1405" s="31" t="n">
        <v>0</v>
      </c>
      <c r="AD1405" s="2" t="n">
        <v>0</v>
      </c>
      <c r="AE1405" s="2" t="n">
        <v>146</v>
      </c>
      <c r="AF1405" s="4" t="n">
        <v>146</v>
      </c>
      <c r="AG1405" s="33" t="n">
        <v>0</v>
      </c>
      <c r="AH1405" s="4" t="n">
        <v>0</v>
      </c>
      <c r="AI1405" s="34" t="n"/>
      <c r="AJ1405" s="34" t="n">
        <v>0</v>
      </c>
      <c r="AK1405" s="2" t="n">
        <v>0</v>
      </c>
      <c r="AL1405" t="inlineStr">
        <is>
          <t>Published</t>
        </is>
      </c>
    </row>
    <row r="1406">
      <c r="A1406">
        <f>HYPERLINK("https://www.walmart.com/ip/1382387831", "1382387831")</f>
        <v/>
      </c>
      <c r="B1406">
        <f>HYPERLINK("https://app.optiwise.ai/catalog/itemdetails/13012141", "Every Day is Christmas Glass Blown Ornaments Cute Hand Made Figurines Tree Decoration, Excavator")</f>
        <v/>
      </c>
      <c r="C1406" t="inlineStr">
        <is>
          <t>EDC-FIGURINE-EXCAVATOR</t>
        </is>
      </c>
      <c r="D1406" t="inlineStr">
        <is>
          <t>Decorations &amp; Favors</t>
        </is>
      </c>
      <c r="E1406" t="inlineStr">
        <is>
          <t>Ornaments</t>
        </is>
      </c>
      <c r="F1406" t="inlineStr">
        <is>
          <t>Every Day is Christmas</t>
        </is>
      </c>
      <c r="G1406" t="n">
        <v>0</v>
      </c>
      <c r="H1406" t="n">
        <v>0</v>
      </c>
      <c r="J1406" s="29" t="n">
        <v>0</v>
      </c>
      <c r="K1406" s="30" t="n"/>
      <c r="L1406" s="29" t="n">
        <v>0</v>
      </c>
      <c r="M1406" s="29" t="n">
        <v>0</v>
      </c>
      <c r="N1406" s="2" t="n">
        <v>0</v>
      </c>
      <c r="O1406" s="31" t="n">
        <v>0</v>
      </c>
      <c r="P1406" s="32" t="n"/>
      <c r="Q1406" s="32" t="n">
        <v>0</v>
      </c>
      <c r="R1406" s="32" t="n">
        <v>0.09569999999999999</v>
      </c>
      <c r="S1406" s="31" t="n">
        <v>0</v>
      </c>
      <c r="T1406" s="32" t="n">
        <v>0</v>
      </c>
      <c r="U1406" s="31" t="n">
        <v>0</v>
      </c>
      <c r="V1406" s="31" t="n">
        <v>0</v>
      </c>
      <c r="W1406" s="3" t="n">
        <v>0</v>
      </c>
      <c r="X1406" s="3" t="n">
        <v>0</v>
      </c>
      <c r="Y1406" s="32" t="n">
        <v>0</v>
      </c>
      <c r="Z1406" s="3" t="n">
        <v>0</v>
      </c>
      <c r="AA1406" s="32" t="n">
        <v>0</v>
      </c>
      <c r="AB1406" s="3" t="n"/>
      <c r="AC1406" s="31" t="n">
        <v>0</v>
      </c>
      <c r="AD1406" s="2" t="n">
        <v>0</v>
      </c>
      <c r="AE1406" s="2" t="n">
        <v>18</v>
      </c>
      <c r="AF1406" s="4" t="n">
        <v>18</v>
      </c>
      <c r="AG1406" s="33" t="n">
        <v>0</v>
      </c>
      <c r="AH1406" s="4" t="n">
        <v>0</v>
      </c>
      <c r="AI1406" s="34" t="n"/>
      <c r="AJ1406" s="34" t="n">
        <v>0</v>
      </c>
      <c r="AK1406" s="2" t="n">
        <v>0</v>
      </c>
      <c r="AL1406" t="inlineStr">
        <is>
          <t>Published</t>
        </is>
      </c>
    </row>
    <row r="1407">
      <c r="A1407">
        <f>HYPERLINK("https://www.walmart.com/ip/1243315022", "1243315022")</f>
        <v/>
      </c>
      <c r="B1407">
        <f>HYPERLINK("https://app.optiwise.ai/catalog/itemdetails/13012140", "Every Day is Christmas Glass Blown Ornaments 2022 Cute Hand Made Figurines Tree Decoration - 13.7cm glass trumpet and 11.9cm glass saxophone ornament")</f>
        <v/>
      </c>
      <c r="C1407" t="inlineStr">
        <is>
          <t>EDC-FIGURINE-TRUMPETSAX</t>
        </is>
      </c>
      <c r="D1407" t="inlineStr">
        <is>
          <t>Home Decor, Kitchen, &amp; Other</t>
        </is>
      </c>
      <c r="E1407" t="inlineStr">
        <is>
          <t>Ornaments</t>
        </is>
      </c>
      <c r="F1407" t="inlineStr">
        <is>
          <t>Every Day is Christmas</t>
        </is>
      </c>
      <c r="G1407" t="n">
        <v>0</v>
      </c>
      <c r="H1407" t="n">
        <v>0</v>
      </c>
      <c r="J1407" s="29" t="n">
        <v>0</v>
      </c>
      <c r="K1407" s="30" t="n"/>
      <c r="L1407" s="29" t="n">
        <v>0</v>
      </c>
      <c r="M1407" s="29" t="n">
        <v>0</v>
      </c>
      <c r="N1407" s="2" t="n">
        <v>0</v>
      </c>
      <c r="O1407" s="31" t="n">
        <v>0</v>
      </c>
      <c r="P1407" s="32" t="n"/>
      <c r="Q1407" s="32" t="n">
        <v>0</v>
      </c>
      <c r="R1407" s="32" t="n">
        <v>0</v>
      </c>
      <c r="S1407" s="31" t="n">
        <v>0</v>
      </c>
      <c r="T1407" s="32" t="n">
        <v>0</v>
      </c>
      <c r="U1407" s="31" t="n">
        <v>0</v>
      </c>
      <c r="V1407" s="31" t="n">
        <v>0</v>
      </c>
      <c r="W1407" s="3" t="n">
        <v>0</v>
      </c>
      <c r="X1407" s="3" t="n">
        <v>0</v>
      </c>
      <c r="Y1407" s="32" t="n">
        <v>0</v>
      </c>
      <c r="Z1407" s="3" t="n">
        <v>0</v>
      </c>
      <c r="AA1407" s="32" t="n">
        <v>0</v>
      </c>
      <c r="AB1407" s="3" t="n"/>
      <c r="AC1407" s="31" t="n">
        <v>0</v>
      </c>
      <c r="AD1407" s="2" t="n">
        <v>0</v>
      </c>
      <c r="AE1407" s="2" t="n">
        <v>9</v>
      </c>
      <c r="AF1407" s="4" t="n">
        <v>9</v>
      </c>
      <c r="AG1407" s="33" t="n">
        <v>0</v>
      </c>
      <c r="AH1407" s="4" t="n">
        <v>0</v>
      </c>
      <c r="AI1407" s="34" t="n"/>
      <c r="AJ1407" s="34" t="n">
        <v>0</v>
      </c>
      <c r="AK1407" s="2" t="n">
        <v>0</v>
      </c>
      <c r="AL1407" t="inlineStr">
        <is>
          <t>Published</t>
        </is>
      </c>
    </row>
    <row r="1408">
      <c r="A1408">
        <f>HYPERLINK("https://www.walmart.com/ip/1042512843", "1042512843")</f>
        <v/>
      </c>
      <c r="B1408">
        <f>HYPERLINK("https://app.optiwise.ai/catalog/itemdetails/13012139", "Every Day is Christmas Glass Blown Ornaments 2022 Cute Hand Made Figurines Tree Decoration - 13.7cm glass trumpet and 11.9cm glass saxophone ornament")</f>
        <v/>
      </c>
      <c r="C1408" t="inlineStr">
        <is>
          <t>EDC-FIGURINE-BULLDOZER</t>
        </is>
      </c>
      <c r="D1408" t="inlineStr">
        <is>
          <t>Decorations &amp; Favors</t>
        </is>
      </c>
      <c r="E1408" t="inlineStr">
        <is>
          <t>Ornaments</t>
        </is>
      </c>
      <c r="F1408" t="inlineStr">
        <is>
          <t>Every Day is Christmas</t>
        </is>
      </c>
      <c r="G1408" t="n">
        <v>0</v>
      </c>
      <c r="H1408" t="n">
        <v>0</v>
      </c>
      <c r="J1408" s="29" t="n">
        <v>0</v>
      </c>
      <c r="K1408" s="30" t="n"/>
      <c r="L1408" s="29" t="n">
        <v>0</v>
      </c>
      <c r="M1408" s="29" t="n">
        <v>0</v>
      </c>
      <c r="N1408" s="2" t="n">
        <v>0</v>
      </c>
      <c r="O1408" s="31" t="n">
        <v>0</v>
      </c>
      <c r="P1408" s="32" t="n"/>
      <c r="Q1408" s="32" t="n">
        <v>0</v>
      </c>
      <c r="R1408" s="32" t="n">
        <v>0</v>
      </c>
      <c r="S1408" s="31" t="n">
        <v>0</v>
      </c>
      <c r="T1408" s="32" t="n">
        <v>0</v>
      </c>
      <c r="U1408" s="31" t="n">
        <v>0</v>
      </c>
      <c r="V1408" s="31" t="n">
        <v>0</v>
      </c>
      <c r="W1408" s="3" t="n">
        <v>0</v>
      </c>
      <c r="X1408" s="3" t="n">
        <v>0</v>
      </c>
      <c r="Y1408" s="32" t="n">
        <v>0</v>
      </c>
      <c r="Z1408" s="3" t="n">
        <v>0</v>
      </c>
      <c r="AA1408" s="32" t="n">
        <v>0</v>
      </c>
      <c r="AB1408" s="3" t="n"/>
      <c r="AC1408" s="31" t="n">
        <v>0</v>
      </c>
      <c r="AD1408" s="2" t="n">
        <v>0</v>
      </c>
      <c r="AE1408" s="2" t="n">
        <v>14</v>
      </c>
      <c r="AF1408" s="4" t="n">
        <v>14</v>
      </c>
      <c r="AG1408" s="33" t="n">
        <v>0</v>
      </c>
      <c r="AH1408" s="4" t="n">
        <v>0</v>
      </c>
      <c r="AI1408" s="34" t="n"/>
      <c r="AJ1408" s="34" t="n">
        <v>0</v>
      </c>
      <c r="AK1408" s="2" t="n">
        <v>0</v>
      </c>
      <c r="AL1408" t="inlineStr">
        <is>
          <t>Published</t>
        </is>
      </c>
    </row>
    <row r="1409">
      <c r="A1409">
        <f>HYPERLINK("https://www.walmart.com/ip/13886707079", "13886707079")</f>
        <v/>
      </c>
      <c r="B1409">
        <f>HYPERLINK("https://app.optiwise.ai/catalog/itemdetails/13012138", "Tirrinia Wearable Heated Blanket for Adults Women Sherpa Christmas Thanksgiving Gift,Ultra Soft Comfy Warm Plush Full Body Throw with Sleeves for Reading Wrap, TV Blanket, Robe Cover")</f>
        <v/>
      </c>
      <c r="C1409" t="inlineStr">
        <is>
          <t>1TRSNH110GY</t>
        </is>
      </c>
      <c r="D1409" t="inlineStr">
        <is>
          <t>Bedding</t>
        </is>
      </c>
      <c r="E1409" t="inlineStr">
        <is>
          <t>Throws</t>
        </is>
      </c>
      <c r="F1409" t="inlineStr">
        <is>
          <t>Tirrina</t>
        </is>
      </c>
      <c r="G1409" t="n">
        <v>0</v>
      </c>
      <c r="H1409" t="n">
        <v>0</v>
      </c>
      <c r="J1409" s="29" t="n">
        <v>0</v>
      </c>
      <c r="K1409" s="30" t="n"/>
      <c r="L1409" s="29" t="n">
        <v>0</v>
      </c>
      <c r="M1409" s="29" t="n">
        <v>0</v>
      </c>
      <c r="N1409" s="2" t="n">
        <v>0</v>
      </c>
      <c r="O1409" s="31" t="n">
        <v>0</v>
      </c>
      <c r="P1409" s="32" t="n"/>
      <c r="Q1409" s="32" t="n">
        <v>0</v>
      </c>
      <c r="R1409" s="32" t="n">
        <v>0.08400000000000001</v>
      </c>
      <c r="S1409" s="31" t="n">
        <v>0</v>
      </c>
      <c r="T1409" s="32" t="n">
        <v>0</v>
      </c>
      <c r="U1409" s="31" t="n">
        <v>0</v>
      </c>
      <c r="V1409" s="31" t="n">
        <v>0</v>
      </c>
      <c r="W1409" s="3" t="n">
        <v>0</v>
      </c>
      <c r="X1409" s="3" t="n">
        <v>0</v>
      </c>
      <c r="Y1409" s="32" t="n">
        <v>0</v>
      </c>
      <c r="Z1409" s="3" t="n">
        <v>0</v>
      </c>
      <c r="AA1409" s="32" t="n">
        <v>0</v>
      </c>
      <c r="AB1409" s="3" t="n"/>
      <c r="AC1409" s="31" t="n">
        <v>0</v>
      </c>
      <c r="AD1409" s="2" t="n">
        <v>0</v>
      </c>
      <c r="AE1409" s="2" t="n">
        <v>11</v>
      </c>
      <c r="AF1409" s="4" t="n">
        <v>11</v>
      </c>
      <c r="AG1409" s="33" t="n">
        <v>0</v>
      </c>
      <c r="AH1409" s="4" t="n">
        <v>0</v>
      </c>
      <c r="AI1409" s="34" t="n"/>
      <c r="AJ1409" s="34" t="n">
        <v>0</v>
      </c>
      <c r="AK1409" s="2" t="n">
        <v>0</v>
      </c>
      <c r="AL1409" t="inlineStr">
        <is>
          <t>Published</t>
        </is>
      </c>
    </row>
    <row r="1410">
      <c r="A1410">
        <f>HYPERLINK("https://www.walmart.com/ip/13861054097", "13861054097")</f>
        <v/>
      </c>
      <c r="B1410">
        <f>HYPERLINK("https://app.optiwise.ai/catalog/itemdetails/13012137", "Every Day is Christmas Glass Blown Ornaments Cute Hand Made Figurines Tree Decoration, Toilets Set of 2")</f>
        <v/>
      </c>
      <c r="C1410" t="inlineStr">
        <is>
          <t>EDC-FIGURINE-WP271</t>
        </is>
      </c>
      <c r="D1410" t="inlineStr">
        <is>
          <t>Home Decor, Kitchen, &amp; Other</t>
        </is>
      </c>
      <c r="E1410" t="inlineStr">
        <is>
          <t>Ornaments</t>
        </is>
      </c>
      <c r="F1410" t="inlineStr">
        <is>
          <t>Every Day is Christmas</t>
        </is>
      </c>
      <c r="G1410" t="n">
        <v>0</v>
      </c>
      <c r="H1410" t="n">
        <v>0</v>
      </c>
      <c r="J1410" s="29" t="n">
        <v>0</v>
      </c>
      <c r="K1410" s="30" t="n"/>
      <c r="L1410" s="29" t="n">
        <v>0</v>
      </c>
      <c r="M1410" s="29" t="n">
        <v>0</v>
      </c>
      <c r="N1410" s="2" t="n">
        <v>0</v>
      </c>
      <c r="O1410" s="31" t="n">
        <v>0</v>
      </c>
      <c r="P1410" s="32" t="n"/>
      <c r="Q1410" s="32" t="n">
        <v>0</v>
      </c>
      <c r="R1410" s="32" t="n">
        <v>0.308</v>
      </c>
      <c r="S1410" s="31" t="n">
        <v>0</v>
      </c>
      <c r="T1410" s="32" t="n">
        <v>0</v>
      </c>
      <c r="U1410" s="31" t="n">
        <v>0</v>
      </c>
      <c r="V1410" s="31" t="n">
        <v>0</v>
      </c>
      <c r="W1410" s="3" t="n">
        <v>0</v>
      </c>
      <c r="X1410" s="3" t="n">
        <v>0</v>
      </c>
      <c r="Y1410" s="32" t="n">
        <v>0</v>
      </c>
      <c r="Z1410" s="3" t="n">
        <v>0</v>
      </c>
      <c r="AA1410" s="32" t="n">
        <v>0</v>
      </c>
      <c r="AB1410" s="3" t="n"/>
      <c r="AC1410" s="31" t="n">
        <v>0</v>
      </c>
      <c r="AD1410" s="2" t="n">
        <v>0</v>
      </c>
      <c r="AE1410" s="2" t="n">
        <v>20</v>
      </c>
      <c r="AF1410" s="4" t="n">
        <v>20</v>
      </c>
      <c r="AG1410" s="33" t="n">
        <v>0</v>
      </c>
      <c r="AH1410" s="4" t="n">
        <v>0</v>
      </c>
      <c r="AI1410" s="34" t="n"/>
      <c r="AJ1410" s="34" t="n">
        <v>0</v>
      </c>
      <c r="AK1410" s="2" t="n">
        <v>0</v>
      </c>
      <c r="AL1410" t="inlineStr">
        <is>
          <t>Published</t>
        </is>
      </c>
    </row>
    <row r="1411">
      <c r="A1411">
        <f>HYPERLINK("https://www.walmart.com/ip/1765471240", "1765471240")</f>
        <v/>
      </c>
      <c r="B1411">
        <f>HYPERLINK("https://app.optiwise.ai/catalog/itemdetails/13012136", "Every Day is Christmas Glass Blown Ornaments Cute Hand Made Figurines Tree Decoration, set of 2 Basketball")</f>
        <v/>
      </c>
      <c r="C1411" t="inlineStr">
        <is>
          <t>EDC-FIGURINE-BASKETBALL</t>
        </is>
      </c>
      <c r="D1411" t="inlineStr">
        <is>
          <t>Decorations &amp; Favors</t>
        </is>
      </c>
      <c r="E1411" t="inlineStr">
        <is>
          <t>Ornaments</t>
        </is>
      </c>
      <c r="F1411" t="inlineStr">
        <is>
          <t>Every Day is Christmas</t>
        </is>
      </c>
      <c r="G1411" t="n">
        <v>0</v>
      </c>
      <c r="H1411" t="n">
        <v>0</v>
      </c>
      <c r="J1411" s="29" t="n">
        <v>0</v>
      </c>
      <c r="K1411" s="30" t="n"/>
      <c r="L1411" s="29" t="n">
        <v>0</v>
      </c>
      <c r="M1411" s="29" t="n">
        <v>0</v>
      </c>
      <c r="N1411" s="2" t="n">
        <v>0</v>
      </c>
      <c r="O1411" s="31" t="n">
        <v>0</v>
      </c>
      <c r="P1411" s="32" t="n"/>
      <c r="Q1411" s="32" t="n">
        <v>0</v>
      </c>
      <c r="R1411" s="32" t="n">
        <v>0</v>
      </c>
      <c r="S1411" s="31" t="n">
        <v>0</v>
      </c>
      <c r="T1411" s="32" t="n">
        <v>0</v>
      </c>
      <c r="U1411" s="31" t="n">
        <v>0</v>
      </c>
      <c r="V1411" s="31" t="n">
        <v>0</v>
      </c>
      <c r="W1411" s="3" t="n">
        <v>0</v>
      </c>
      <c r="X1411" s="3" t="n">
        <v>0</v>
      </c>
      <c r="Y1411" s="32" t="n">
        <v>0</v>
      </c>
      <c r="Z1411" s="3" t="n">
        <v>0</v>
      </c>
      <c r="AA1411" s="32" t="n">
        <v>0</v>
      </c>
      <c r="AB1411" s="3" t="n"/>
      <c r="AC1411" s="31" t="n">
        <v>0</v>
      </c>
      <c r="AD1411" s="2" t="n">
        <v>0</v>
      </c>
      <c r="AE1411" s="2" t="n">
        <v>9</v>
      </c>
      <c r="AF1411" s="4" t="n">
        <v>9</v>
      </c>
      <c r="AG1411" s="33" t="n">
        <v>0</v>
      </c>
      <c r="AH1411" s="4" t="n">
        <v>0</v>
      </c>
      <c r="AI1411" s="34" t="n"/>
      <c r="AJ1411" s="34" t="n">
        <v>0</v>
      </c>
      <c r="AK1411" s="2" t="n">
        <v>0</v>
      </c>
      <c r="AL1411" t="inlineStr">
        <is>
          <t>Published</t>
        </is>
      </c>
    </row>
    <row r="1412">
      <c r="A1412">
        <f>HYPERLINK("https://www.walmart.com/ip/1764539783", "1764539783")</f>
        <v/>
      </c>
      <c r="B1412">
        <f>HYPERLINK("https://app.optiwise.ai/catalog/itemdetails/13012135", "Every Day is Christmas Glass Blown Ornaments 2021 Cute Hand Made Figurines Tree Decoration, Ski Santa")</f>
        <v/>
      </c>
      <c r="C1412" t="inlineStr">
        <is>
          <t>EDC-FIGURINE-SKISANTA</t>
        </is>
      </c>
      <c r="D1412" t="inlineStr">
        <is>
          <t>Decorations &amp; Favors</t>
        </is>
      </c>
      <c r="E1412" t="inlineStr">
        <is>
          <t>Ornaments</t>
        </is>
      </c>
      <c r="F1412" t="inlineStr">
        <is>
          <t>Every Day is Christmas</t>
        </is>
      </c>
      <c r="G1412" t="n">
        <v>0</v>
      </c>
      <c r="H1412" t="n">
        <v>0</v>
      </c>
      <c r="J1412" s="29" t="n">
        <v>0</v>
      </c>
      <c r="K1412" s="30" t="n"/>
      <c r="L1412" s="29" t="n">
        <v>0</v>
      </c>
      <c r="M1412" s="29" t="n">
        <v>0</v>
      </c>
      <c r="N1412" s="2" t="n">
        <v>0</v>
      </c>
      <c r="O1412" s="31" t="n">
        <v>0</v>
      </c>
      <c r="P1412" s="32" t="n"/>
      <c r="Q1412" s="32" t="n">
        <v>0</v>
      </c>
      <c r="R1412" s="32" t="n">
        <v>0</v>
      </c>
      <c r="S1412" s="31" t="n">
        <v>0</v>
      </c>
      <c r="T1412" s="32" t="n">
        <v>0</v>
      </c>
      <c r="U1412" s="31" t="n">
        <v>0</v>
      </c>
      <c r="V1412" s="31" t="n">
        <v>0</v>
      </c>
      <c r="W1412" s="3" t="n">
        <v>0</v>
      </c>
      <c r="X1412" s="3" t="n">
        <v>0</v>
      </c>
      <c r="Y1412" s="32" t="n">
        <v>0</v>
      </c>
      <c r="Z1412" s="3" t="n">
        <v>0</v>
      </c>
      <c r="AA1412" s="32" t="n">
        <v>0</v>
      </c>
      <c r="AB1412" s="3" t="n"/>
      <c r="AC1412" s="31" t="n">
        <v>0</v>
      </c>
      <c r="AD1412" s="2" t="n">
        <v>0</v>
      </c>
      <c r="AE1412" s="2" t="n">
        <v>10</v>
      </c>
      <c r="AF1412" s="4" t="n">
        <v>10</v>
      </c>
      <c r="AG1412" s="33" t="n">
        <v>0</v>
      </c>
      <c r="AH1412" s="4" t="n">
        <v>0</v>
      </c>
      <c r="AI1412" s="34" t="n"/>
      <c r="AJ1412" s="34" t="n">
        <v>0</v>
      </c>
      <c r="AK1412" s="2" t="n">
        <v>0</v>
      </c>
      <c r="AL1412" t="inlineStr">
        <is>
          <t>Published</t>
        </is>
      </c>
    </row>
    <row r="1413">
      <c r="A1413">
        <f>HYPERLINK("https://www.walmart.com/ip/1679171554", "1679171554")</f>
        <v/>
      </c>
      <c r="B1413">
        <f>HYPERLINK("https://app.optiwise.ai/catalog/itemdetails/13012134", "Every Day is Christmas Glass Blown Ornaments Cute Hand Made Figurines Tree Decoration, set of 2 Football")</f>
        <v/>
      </c>
      <c r="C1413" t="inlineStr">
        <is>
          <t>EDC-FIGURINE-FOOTBALL</t>
        </is>
      </c>
      <c r="D1413" t="inlineStr">
        <is>
          <t>Decorations &amp; Favors</t>
        </is>
      </c>
      <c r="E1413" t="inlineStr">
        <is>
          <t>Ornaments</t>
        </is>
      </c>
      <c r="F1413" t="inlineStr">
        <is>
          <t>Every Day is Christmas</t>
        </is>
      </c>
      <c r="G1413" t="n">
        <v>0</v>
      </c>
      <c r="H1413" t="n">
        <v>0</v>
      </c>
      <c r="J1413" s="29" t="n">
        <v>0</v>
      </c>
      <c r="K1413" s="30" t="n"/>
      <c r="L1413" s="29" t="n">
        <v>0</v>
      </c>
      <c r="M1413" s="29" t="n">
        <v>0</v>
      </c>
      <c r="N1413" s="2" t="n">
        <v>0</v>
      </c>
      <c r="O1413" s="31" t="n">
        <v>0</v>
      </c>
      <c r="P1413" s="32" t="n"/>
      <c r="Q1413" s="32" t="n">
        <v>0</v>
      </c>
      <c r="R1413" s="32" t="n">
        <v>0</v>
      </c>
      <c r="S1413" s="31" t="n">
        <v>0</v>
      </c>
      <c r="T1413" s="32" t="n">
        <v>0</v>
      </c>
      <c r="U1413" s="31" t="n">
        <v>0</v>
      </c>
      <c r="V1413" s="31" t="n">
        <v>0</v>
      </c>
      <c r="W1413" s="3" t="n">
        <v>0</v>
      </c>
      <c r="X1413" s="3" t="n">
        <v>0</v>
      </c>
      <c r="Y1413" s="32" t="n">
        <v>0</v>
      </c>
      <c r="Z1413" s="3" t="n">
        <v>0</v>
      </c>
      <c r="AA1413" s="32" t="n">
        <v>0</v>
      </c>
      <c r="AB1413" s="3" t="n"/>
      <c r="AC1413" s="31" t="n">
        <v>0</v>
      </c>
      <c r="AD1413" s="2" t="n">
        <v>0</v>
      </c>
      <c r="AE1413" s="2" t="n">
        <v>10</v>
      </c>
      <c r="AF1413" s="4" t="n">
        <v>10</v>
      </c>
      <c r="AG1413" s="33" t="n">
        <v>0</v>
      </c>
      <c r="AH1413" s="4" t="n">
        <v>0</v>
      </c>
      <c r="AI1413" s="34" t="n"/>
      <c r="AJ1413" s="34" t="n">
        <v>0</v>
      </c>
      <c r="AK1413" s="2" t="n">
        <v>0</v>
      </c>
      <c r="AL1413" t="inlineStr">
        <is>
          <t>Published</t>
        </is>
      </c>
    </row>
    <row r="1414">
      <c r="A1414">
        <f>HYPERLINK("https://www.walmart.com/ip/1551280501", "1551280501")</f>
        <v/>
      </c>
      <c r="B1414">
        <f>HYPERLINK("https://app.optiwise.ai/catalog/itemdetails/13012133", "Every Day is Christmas Glass Blown Ornaments Cute Hand Made Figurines Tree Decoration, Books")</f>
        <v/>
      </c>
      <c r="C1414" t="inlineStr">
        <is>
          <t>EDC-FIGURINE-BOOKS</t>
        </is>
      </c>
      <c r="D1414" t="inlineStr">
        <is>
          <t>Decorations &amp; Favors</t>
        </is>
      </c>
      <c r="E1414" t="inlineStr">
        <is>
          <t>Ornaments</t>
        </is>
      </c>
      <c r="F1414" t="inlineStr">
        <is>
          <t>Every Day is Christmas</t>
        </is>
      </c>
      <c r="G1414" t="n">
        <v>0</v>
      </c>
      <c r="H1414" t="n">
        <v>0</v>
      </c>
      <c r="J1414" s="29" t="n">
        <v>0</v>
      </c>
      <c r="K1414" s="30" t="n"/>
      <c r="L1414" s="29" t="n">
        <v>0</v>
      </c>
      <c r="M1414" s="29" t="n">
        <v>0</v>
      </c>
      <c r="N1414" s="2" t="n">
        <v>0</v>
      </c>
      <c r="O1414" s="31" t="n">
        <v>0</v>
      </c>
      <c r="P1414" s="32" t="n"/>
      <c r="Q1414" s="32" t="n">
        <v>0</v>
      </c>
      <c r="R1414" s="32" t="n">
        <v>0</v>
      </c>
      <c r="S1414" s="31" t="n">
        <v>0</v>
      </c>
      <c r="T1414" s="32" t="n">
        <v>0</v>
      </c>
      <c r="U1414" s="31" t="n">
        <v>0</v>
      </c>
      <c r="V1414" s="31" t="n">
        <v>0</v>
      </c>
      <c r="W1414" s="3" t="n">
        <v>0</v>
      </c>
      <c r="X1414" s="3" t="n">
        <v>0</v>
      </c>
      <c r="Y1414" s="32" t="n">
        <v>0</v>
      </c>
      <c r="Z1414" s="3" t="n">
        <v>0</v>
      </c>
      <c r="AA1414" s="32" t="n">
        <v>0</v>
      </c>
      <c r="AB1414" s="3" t="n"/>
      <c r="AC1414" s="31" t="n">
        <v>0</v>
      </c>
      <c r="AD1414" s="2" t="n">
        <v>0</v>
      </c>
      <c r="AE1414" s="2" t="n">
        <v>1</v>
      </c>
      <c r="AF1414" s="4" t="n">
        <v>1</v>
      </c>
      <c r="AG1414" s="33" t="n">
        <v>0</v>
      </c>
      <c r="AH1414" s="4" t="n">
        <v>0</v>
      </c>
      <c r="AI1414" s="34" t="n"/>
      <c r="AJ1414" s="34" t="n">
        <v>0</v>
      </c>
      <c r="AK1414" s="2" t="n">
        <v>0</v>
      </c>
      <c r="AL1414" t="inlineStr">
        <is>
          <t>Published</t>
        </is>
      </c>
    </row>
    <row r="1415">
      <c r="A1415">
        <f>HYPERLINK("https://www.walmart.com/ip/1419593821", "1419593821")</f>
        <v/>
      </c>
      <c r="B1415">
        <f>HYPERLINK("https://app.optiwise.ai/catalog/itemdetails/13012132", "Every Day is Christmas Glass Blown Ornaments 2022 Cute Hand Made Figurines Tree Decoration - 12.7cm glass wrench and vice and hammer and screwdriver ornament")</f>
        <v/>
      </c>
      <c r="C1415" t="inlineStr">
        <is>
          <t>EDC-FIGURINE-SCHOOLBUS</t>
        </is>
      </c>
      <c r="D1415" t="inlineStr">
        <is>
          <t>Decorations &amp; Favors</t>
        </is>
      </c>
      <c r="E1415" t="inlineStr">
        <is>
          <t>Ornaments</t>
        </is>
      </c>
      <c r="F1415" t="inlineStr">
        <is>
          <t>Every Day is Christmas</t>
        </is>
      </c>
      <c r="G1415" t="n">
        <v>0</v>
      </c>
      <c r="H1415" t="n">
        <v>0</v>
      </c>
      <c r="J1415" s="29" t="n">
        <v>0</v>
      </c>
      <c r="K1415" s="30" t="n"/>
      <c r="L1415" s="29" t="n">
        <v>0</v>
      </c>
      <c r="M1415" s="29" t="n">
        <v>0</v>
      </c>
      <c r="N1415" s="2" t="n">
        <v>0</v>
      </c>
      <c r="O1415" s="31" t="n">
        <v>0</v>
      </c>
      <c r="P1415" s="32" t="n"/>
      <c r="Q1415" s="32" t="n">
        <v>0</v>
      </c>
      <c r="R1415" s="32" t="n">
        <v>0</v>
      </c>
      <c r="S1415" s="31" t="n">
        <v>0</v>
      </c>
      <c r="T1415" s="32" t="n">
        <v>0</v>
      </c>
      <c r="U1415" s="31" t="n">
        <v>0</v>
      </c>
      <c r="V1415" s="31" t="n">
        <v>0</v>
      </c>
      <c r="W1415" s="3" t="n">
        <v>0</v>
      </c>
      <c r="X1415" s="3" t="n">
        <v>0</v>
      </c>
      <c r="Y1415" s="32" t="n">
        <v>0</v>
      </c>
      <c r="Z1415" s="3" t="n">
        <v>0</v>
      </c>
      <c r="AA1415" s="32" t="n">
        <v>0</v>
      </c>
      <c r="AB1415" s="3" t="n"/>
      <c r="AC1415" s="31" t="n">
        <v>0</v>
      </c>
      <c r="AD1415" s="2" t="n">
        <v>0</v>
      </c>
      <c r="AE1415" s="2" t="n">
        <v>8</v>
      </c>
      <c r="AF1415" s="4" t="n">
        <v>8</v>
      </c>
      <c r="AG1415" s="33" t="n">
        <v>0</v>
      </c>
      <c r="AH1415" s="4" t="n">
        <v>0</v>
      </c>
      <c r="AI1415" s="34" t="n"/>
      <c r="AJ1415" s="34" t="n">
        <v>0</v>
      </c>
      <c r="AK1415" s="2" t="n">
        <v>0</v>
      </c>
      <c r="AL1415" t="inlineStr">
        <is>
          <t>Published</t>
        </is>
      </c>
    </row>
    <row r="1416">
      <c r="A1416">
        <f>HYPERLINK("https://www.walmart.com/ip/1231800917", "1231800917")</f>
        <v/>
      </c>
      <c r="B1416">
        <f>HYPERLINK("https://app.optiwise.ai/catalog/itemdetails/13012131", "Every Day is Christmas Glass Blown Ornaments Cute Hand Made Figurines Tree Decoration, Watermelon")</f>
        <v/>
      </c>
      <c r="C1416" t="inlineStr">
        <is>
          <t>EDC-FIGURINE-WATERMELON</t>
        </is>
      </c>
      <c r="D1416" t="inlineStr">
        <is>
          <t>Decorations &amp; Favors</t>
        </is>
      </c>
      <c r="E1416" t="inlineStr">
        <is>
          <t>Ornaments</t>
        </is>
      </c>
      <c r="F1416" t="inlineStr">
        <is>
          <t>Every Day is Christmas</t>
        </is>
      </c>
      <c r="G1416" t="n">
        <v>0</v>
      </c>
      <c r="H1416" t="n">
        <v>0</v>
      </c>
      <c r="J1416" s="29" t="n">
        <v>0</v>
      </c>
      <c r="K1416" s="30" t="n"/>
      <c r="L1416" s="29" t="n">
        <v>0</v>
      </c>
      <c r="M1416" s="29" t="n">
        <v>0</v>
      </c>
      <c r="N1416" s="2" t="n">
        <v>0</v>
      </c>
      <c r="O1416" s="31" t="n">
        <v>0</v>
      </c>
      <c r="P1416" s="32" t="n"/>
      <c r="Q1416" s="32" t="n">
        <v>0</v>
      </c>
      <c r="R1416" s="32" t="n">
        <v>0</v>
      </c>
      <c r="S1416" s="31" t="n">
        <v>0</v>
      </c>
      <c r="T1416" s="32" t="n">
        <v>0</v>
      </c>
      <c r="U1416" s="31" t="n">
        <v>0</v>
      </c>
      <c r="V1416" s="31" t="n">
        <v>0</v>
      </c>
      <c r="W1416" s="3" t="n">
        <v>0</v>
      </c>
      <c r="X1416" s="3" t="n">
        <v>0</v>
      </c>
      <c r="Y1416" s="32" t="n">
        <v>0</v>
      </c>
      <c r="Z1416" s="3" t="n">
        <v>0</v>
      </c>
      <c r="AA1416" s="32" t="n">
        <v>0</v>
      </c>
      <c r="AB1416" s="3" t="n"/>
      <c r="AC1416" s="31" t="n">
        <v>0</v>
      </c>
      <c r="AD1416" s="2" t="n">
        <v>0</v>
      </c>
      <c r="AE1416" s="2" t="n">
        <v>18</v>
      </c>
      <c r="AF1416" s="4" t="n">
        <v>18</v>
      </c>
      <c r="AG1416" s="33" t="n">
        <v>0</v>
      </c>
      <c r="AH1416" s="4" t="n">
        <v>0</v>
      </c>
      <c r="AI1416" s="34" t="n"/>
      <c r="AJ1416" s="34" t="n">
        <v>0</v>
      </c>
      <c r="AK1416" s="2" t="n">
        <v>0</v>
      </c>
      <c r="AL1416" t="inlineStr">
        <is>
          <t>Published</t>
        </is>
      </c>
    </row>
    <row r="1417">
      <c r="A1417">
        <f>HYPERLINK("https://www.walmart.com/ip/1218977585", "1218977585")</f>
        <v/>
      </c>
      <c r="B1417">
        <f>HYPERLINK("https://app.optiwise.ai/catalog/itemdetails/13012130", "Every Day is Christmas Glass Blown Ornaments Cute Hand Made Figurines Tree Decoration, Popcorn Soda")</f>
        <v/>
      </c>
      <c r="C1417" t="inlineStr">
        <is>
          <t>EDC-FIGURINE-POPCORNSODA</t>
        </is>
      </c>
      <c r="D1417" t="inlineStr">
        <is>
          <t>Decorations &amp; Favors</t>
        </is>
      </c>
      <c r="E1417" t="inlineStr">
        <is>
          <t>Ornaments</t>
        </is>
      </c>
      <c r="F1417" t="inlineStr">
        <is>
          <t>Every Day is Christmas</t>
        </is>
      </c>
      <c r="G1417" t="n">
        <v>3.7</v>
      </c>
      <c r="H1417" t="n">
        <v>3</v>
      </c>
      <c r="J1417" s="29" t="n">
        <v>0</v>
      </c>
      <c r="K1417" s="30" t="n"/>
      <c r="L1417" s="29" t="n">
        <v>0</v>
      </c>
      <c r="M1417" s="29" t="n">
        <v>0</v>
      </c>
      <c r="N1417" s="2" t="n">
        <v>0</v>
      </c>
      <c r="O1417" s="31" t="n">
        <v>0</v>
      </c>
      <c r="P1417" s="32" t="n"/>
      <c r="Q1417" s="32" t="n">
        <v>0</v>
      </c>
      <c r="R1417" s="32" t="n">
        <v>0</v>
      </c>
      <c r="S1417" s="31" t="n">
        <v>0</v>
      </c>
      <c r="T1417" s="32" t="n">
        <v>0</v>
      </c>
      <c r="U1417" s="31" t="n">
        <v>0</v>
      </c>
      <c r="V1417" s="31" t="n">
        <v>0</v>
      </c>
      <c r="W1417" s="3" t="n">
        <v>0</v>
      </c>
      <c r="X1417" s="3" t="n">
        <v>0</v>
      </c>
      <c r="Y1417" s="32" t="n">
        <v>0</v>
      </c>
      <c r="Z1417" s="3" t="n">
        <v>0</v>
      </c>
      <c r="AA1417" s="32" t="n">
        <v>0</v>
      </c>
      <c r="AB1417" s="3" t="n"/>
      <c r="AC1417" s="31" t="n">
        <v>0</v>
      </c>
      <c r="AD1417" s="2" t="n">
        <v>0</v>
      </c>
      <c r="AE1417" s="2" t="n">
        <v>16</v>
      </c>
      <c r="AF1417" s="4" t="n">
        <v>16</v>
      </c>
      <c r="AG1417" s="33" t="n">
        <v>0</v>
      </c>
      <c r="AH1417" s="4" t="n">
        <v>0</v>
      </c>
      <c r="AI1417" s="34" t="n"/>
      <c r="AJ1417" s="34" t="n">
        <v>0</v>
      </c>
      <c r="AK1417" s="2" t="n">
        <v>0</v>
      </c>
      <c r="AL1417" t="inlineStr">
        <is>
          <t>Published</t>
        </is>
      </c>
    </row>
    <row r="1418">
      <c r="A1418">
        <f>HYPERLINK("https://www.walmart.com/ip/1183180689", "1183180689")</f>
        <v/>
      </c>
      <c r="B1418">
        <f>HYPERLINK("https://app.optiwise.ai/catalog/itemdetails/13012129", "Every Day is Christmas Glass Blown Ornaments Cute Hand Made Figurines Tree Decoration, Set of 2 Forklift")</f>
        <v/>
      </c>
      <c r="C1418" t="inlineStr">
        <is>
          <t>EDC-FIGURINE-FORKLIFT</t>
        </is>
      </c>
      <c r="D1418" t="inlineStr">
        <is>
          <t>Decorations &amp; Favors</t>
        </is>
      </c>
      <c r="E1418" t="inlineStr">
        <is>
          <t>Ornaments</t>
        </is>
      </c>
      <c r="F1418" t="inlineStr">
        <is>
          <t>Every Day is Christmas</t>
        </is>
      </c>
      <c r="G1418" t="n">
        <v>0</v>
      </c>
      <c r="H1418" t="n">
        <v>0</v>
      </c>
      <c r="J1418" s="29" t="n">
        <v>0</v>
      </c>
      <c r="K1418" s="30" t="n"/>
      <c r="L1418" s="29" t="n">
        <v>0</v>
      </c>
      <c r="M1418" s="29" t="n">
        <v>0</v>
      </c>
      <c r="N1418" s="2" t="n">
        <v>0</v>
      </c>
      <c r="O1418" s="31" t="n">
        <v>0</v>
      </c>
      <c r="P1418" s="32" t="n"/>
      <c r="Q1418" s="32" t="n">
        <v>0</v>
      </c>
      <c r="R1418" s="32" t="n">
        <v>0.0255</v>
      </c>
      <c r="S1418" s="31" t="n">
        <v>0</v>
      </c>
      <c r="T1418" s="32" t="n">
        <v>0</v>
      </c>
      <c r="U1418" s="31" t="n">
        <v>0</v>
      </c>
      <c r="V1418" s="31" t="n">
        <v>0</v>
      </c>
      <c r="W1418" s="3" t="n">
        <v>0</v>
      </c>
      <c r="X1418" s="3" t="n">
        <v>0</v>
      </c>
      <c r="Y1418" s="32" t="n">
        <v>0</v>
      </c>
      <c r="Z1418" s="3" t="n">
        <v>0</v>
      </c>
      <c r="AA1418" s="32" t="n">
        <v>0</v>
      </c>
      <c r="AB1418" s="3" t="n"/>
      <c r="AC1418" s="31" t="n">
        <v>0</v>
      </c>
      <c r="AD1418" s="2" t="n">
        <v>0</v>
      </c>
      <c r="AE1418" s="2" t="n">
        <v>10</v>
      </c>
      <c r="AF1418" s="4" t="n">
        <v>10</v>
      </c>
      <c r="AG1418" s="33" t="n">
        <v>0</v>
      </c>
      <c r="AH1418" s="4" t="n">
        <v>0</v>
      </c>
      <c r="AI1418" s="34" t="n"/>
      <c r="AJ1418" s="34" t="n">
        <v>0</v>
      </c>
      <c r="AK1418" s="2" t="n">
        <v>0</v>
      </c>
      <c r="AL1418" t="inlineStr">
        <is>
          <t>Published</t>
        </is>
      </c>
    </row>
    <row r="1419">
      <c r="A1419">
        <f>HYPERLINK("https://www.walmart.com/ip/1788570066", "1788570066")</f>
        <v/>
      </c>
      <c r="B1419">
        <f>HYPERLINK("https://app.optiwise.ai/catalog/itemdetails/13009081", "Every Day is Christmas Glass Blown Ornaments Cute Hand Made Figurines Tree Decoration, Alpaca")</f>
        <v/>
      </c>
      <c r="C1419" t="inlineStr">
        <is>
          <t>EDC-FIGURINE-ALPACA</t>
        </is>
      </c>
      <c r="D1419" t="inlineStr">
        <is>
          <t>Decorations &amp; Favors</t>
        </is>
      </c>
      <c r="E1419" t="inlineStr">
        <is>
          <t>Ornaments</t>
        </is>
      </c>
      <c r="F1419" t="inlineStr">
        <is>
          <t>Every Day is Christmas</t>
        </is>
      </c>
      <c r="G1419" t="n">
        <v>0</v>
      </c>
      <c r="H1419" t="n">
        <v>0</v>
      </c>
      <c r="J1419" s="29" t="n">
        <v>0</v>
      </c>
      <c r="K1419" s="30" t="n"/>
      <c r="L1419" s="29" t="n">
        <v>0</v>
      </c>
      <c r="M1419" s="29" t="n">
        <v>0</v>
      </c>
      <c r="N1419" s="2" t="n">
        <v>0</v>
      </c>
      <c r="O1419" s="31" t="n">
        <v>0</v>
      </c>
      <c r="P1419" s="32" t="n"/>
      <c r="Q1419" s="32" t="n">
        <v>0</v>
      </c>
      <c r="R1419" s="32" t="n">
        <v>0</v>
      </c>
      <c r="S1419" s="31" t="n">
        <v>0</v>
      </c>
      <c r="T1419" s="32" t="n">
        <v>0</v>
      </c>
      <c r="U1419" s="31" t="n">
        <v>0</v>
      </c>
      <c r="V1419" s="31" t="n">
        <v>0</v>
      </c>
      <c r="W1419" s="3" t="n">
        <v>0</v>
      </c>
      <c r="X1419" s="3" t="n">
        <v>0</v>
      </c>
      <c r="Y1419" s="32" t="n">
        <v>0</v>
      </c>
      <c r="Z1419" s="3" t="n">
        <v>0</v>
      </c>
      <c r="AA1419" s="32" t="n">
        <v>0</v>
      </c>
      <c r="AB1419" s="3" t="n"/>
      <c r="AC1419" s="31" t="n">
        <v>0</v>
      </c>
      <c r="AD1419" s="2" t="n">
        <v>0</v>
      </c>
      <c r="AE1419" s="2" t="n">
        <v>0</v>
      </c>
      <c r="AF1419" s="4" t="n">
        <v>0</v>
      </c>
      <c r="AG1419" s="33" t="n">
        <v>0</v>
      </c>
      <c r="AH1419" s="4" t="n">
        <v>0</v>
      </c>
      <c r="AI1419" s="34" t="n"/>
      <c r="AJ1419" s="34" t="n">
        <v>0</v>
      </c>
      <c r="AK1419" s="2" t="n">
        <v>0</v>
      </c>
      <c r="AL1419" t="inlineStr">
        <is>
          <t>Published</t>
        </is>
      </c>
    </row>
    <row r="1420">
      <c r="A1420">
        <f>HYPERLINK("https://www.walmart.com/ip/13768219747", "13768219747")</f>
        <v/>
      </c>
      <c r="B1420">
        <f>HYPERLINK("https://app.optiwise.ai/catalog/itemdetails/13007286", "Tirrinia Hunting Camo Hat for Men Orange Safety Cap Adjustable Closure Fit Most People")</f>
        <v/>
      </c>
      <c r="C1420" t="inlineStr">
        <is>
          <t>1TRHT7121ORCAMO</t>
        </is>
      </c>
      <c r="D1420" t="inlineStr">
        <is>
          <t>Clothing</t>
        </is>
      </c>
      <c r="E1420" t="inlineStr">
        <is>
          <t>Hats</t>
        </is>
      </c>
      <c r="F1420" t="inlineStr">
        <is>
          <t>Tirrinia</t>
        </is>
      </c>
      <c r="G1420" t="n">
        <v>0</v>
      </c>
      <c r="H1420" t="n">
        <v>0</v>
      </c>
      <c r="J1420" s="29" t="n">
        <v>0</v>
      </c>
      <c r="K1420" s="30" t="n"/>
      <c r="L1420" s="29" t="n">
        <v>0</v>
      </c>
      <c r="M1420" s="29" t="n">
        <v>0</v>
      </c>
      <c r="N1420" s="2" t="n">
        <v>0</v>
      </c>
      <c r="O1420" s="31" t="n">
        <v>0</v>
      </c>
      <c r="P1420" s="32" t="n"/>
      <c r="Q1420" s="32" t="n">
        <v>0</v>
      </c>
      <c r="R1420" s="32" t="n">
        <v>0</v>
      </c>
      <c r="S1420" s="31" t="n">
        <v>0</v>
      </c>
      <c r="T1420" s="32" t="n">
        <v>0</v>
      </c>
      <c r="U1420" s="31" t="n">
        <v>0</v>
      </c>
      <c r="V1420" s="31" t="n">
        <v>0</v>
      </c>
      <c r="W1420" s="3" t="n">
        <v>0</v>
      </c>
      <c r="X1420" s="3" t="n">
        <v>0</v>
      </c>
      <c r="Y1420" s="32" t="n">
        <v>0</v>
      </c>
      <c r="Z1420" s="3" t="n">
        <v>0</v>
      </c>
      <c r="AA1420" s="32" t="n">
        <v>0</v>
      </c>
      <c r="AB1420" s="3" t="n"/>
      <c r="AC1420" s="31" t="n">
        <v>0</v>
      </c>
      <c r="AD1420" s="2" t="n">
        <v>0</v>
      </c>
      <c r="AE1420" s="2" t="n">
        <v>17</v>
      </c>
      <c r="AF1420" s="4" t="n">
        <v>17</v>
      </c>
      <c r="AG1420" s="33" t="n">
        <v>0</v>
      </c>
      <c r="AH1420" s="4" t="n">
        <v>0</v>
      </c>
      <c r="AI1420" s="34" t="n"/>
      <c r="AJ1420" s="34" t="n">
        <v>0</v>
      </c>
      <c r="AK1420" s="2" t="n">
        <v>0</v>
      </c>
      <c r="AL1420" t="inlineStr">
        <is>
          <t>Published</t>
        </is>
      </c>
    </row>
    <row r="1421">
      <c r="A1421">
        <f>HYPERLINK("https://www.walmart.com/ip/6108555323", "6108555323")</f>
        <v/>
      </c>
      <c r="B1421">
        <f>HYPERLINK("https://app.optiwise.ai/catalog/itemdetails/9588089", "Catalonia Cooling Blanket for Hot Sleepers, Summer Bed Blanket for Warm Night Sweat, Cool Sofa Throw Blanket for Hot Flashes, Soft Thin Lightweight Blanket for Adults Kids")</f>
        <v/>
      </c>
      <c r="C1421" t="inlineStr">
        <is>
          <t>1CTBQ10157PP</t>
        </is>
      </c>
      <c r="D1421" t="inlineStr">
        <is>
          <t>Bedding</t>
        </is>
      </c>
      <c r="E1421" t="inlineStr">
        <is>
          <t>Throws</t>
        </is>
      </c>
      <c r="F1421" t="inlineStr">
        <is>
          <t>Catalonia</t>
        </is>
      </c>
      <c r="G1421" t="n">
        <v>0</v>
      </c>
      <c r="H1421" t="n">
        <v>0</v>
      </c>
      <c r="J1421" s="29" t="n">
        <v>0</v>
      </c>
      <c r="K1421" s="30" t="n"/>
      <c r="L1421" s="29" t="n">
        <v>0</v>
      </c>
      <c r="M1421" s="29" t="n">
        <v>0</v>
      </c>
      <c r="N1421" s="2" t="n">
        <v>0</v>
      </c>
      <c r="O1421" s="31" t="n">
        <v>0</v>
      </c>
      <c r="P1421" s="32" t="n"/>
      <c r="Q1421" s="32" t="n">
        <v>0</v>
      </c>
      <c r="R1421" s="32" t="n">
        <v>0</v>
      </c>
      <c r="S1421" s="31" t="n">
        <v>0</v>
      </c>
      <c r="T1421" s="32" t="n">
        <v>0</v>
      </c>
      <c r="U1421" s="31" t="n">
        <v>0</v>
      </c>
      <c r="V1421" s="31" t="n">
        <v>0</v>
      </c>
      <c r="W1421" s="3" t="n">
        <v>0</v>
      </c>
      <c r="X1421" s="3" t="n">
        <v>0</v>
      </c>
      <c r="Y1421" s="32" t="n">
        <v>0</v>
      </c>
      <c r="Z1421" s="3" t="n">
        <v>0</v>
      </c>
      <c r="AA1421" s="32" t="n">
        <v>0</v>
      </c>
      <c r="AB1421" s="3" t="n"/>
      <c r="AC1421" s="31" t="n">
        <v>0</v>
      </c>
      <c r="AD1421" s="2" t="n">
        <v>0</v>
      </c>
      <c r="AE1421" s="2" t="n">
        <v>22</v>
      </c>
      <c r="AF1421" s="4" t="n">
        <v>22</v>
      </c>
      <c r="AG1421" s="33" t="n">
        <v>0</v>
      </c>
      <c r="AH1421" s="4" t="n">
        <v>0</v>
      </c>
      <c r="AI1421" s="34" t="n"/>
      <c r="AJ1421" s="34" t="n">
        <v>0</v>
      </c>
      <c r="AK1421" s="2" t="n">
        <v>0</v>
      </c>
      <c r="AL1421" t="inlineStr">
        <is>
          <t>Published</t>
        </is>
      </c>
    </row>
    <row r="1422">
      <c r="A1422">
        <f>HYPERLINK("https://www.walmart.com/ip/8166813267", "8166813267")</f>
        <v/>
      </c>
      <c r="B1422">
        <f>HYPERLINK("https://app.optiwise.ai/catalog/itemdetails/9840011", "Tirrinia Wearable Blanket Poncho, Cloak with hood, Women Mom Gift, Adult of All Ages, 1.68 lb")</f>
        <v/>
      </c>
      <c r="C1422" t="inlineStr">
        <is>
          <t>1TRBC101BKBARK</t>
        </is>
      </c>
      <c r="D1422" t="inlineStr">
        <is>
          <t>Bedding</t>
        </is>
      </c>
      <c r="E1422" t="inlineStr">
        <is>
          <t>Throws</t>
        </is>
      </c>
      <c r="F1422" t="inlineStr">
        <is>
          <t>Tirrinia</t>
        </is>
      </c>
      <c r="G1422" t="n">
        <v>0</v>
      </c>
      <c r="H1422" t="n">
        <v>0</v>
      </c>
      <c r="J1422" s="29" t="n">
        <v>0</v>
      </c>
      <c r="K1422" s="30" t="n"/>
      <c r="L1422" s="29" t="n">
        <v>0</v>
      </c>
      <c r="M1422" s="29" t="n">
        <v>0</v>
      </c>
      <c r="N1422" s="2" t="n">
        <v>0</v>
      </c>
      <c r="O1422" s="31" t="n">
        <v>0</v>
      </c>
      <c r="P1422" s="32" t="n"/>
      <c r="Q1422" s="32" t="n">
        <v>0</v>
      </c>
      <c r="R1422" s="32" t="n">
        <v>0</v>
      </c>
      <c r="S1422" s="31" t="n">
        <v>0</v>
      </c>
      <c r="T1422" s="32" t="n">
        <v>0</v>
      </c>
      <c r="U1422" s="31" t="n">
        <v>0</v>
      </c>
      <c r="V1422" s="31" t="n">
        <v>0</v>
      </c>
      <c r="W1422" s="3" t="n">
        <v>0</v>
      </c>
      <c r="X1422" s="3" t="n">
        <v>0</v>
      </c>
      <c r="Y1422" s="32" t="n">
        <v>0</v>
      </c>
      <c r="Z1422" s="3" t="n">
        <v>0</v>
      </c>
      <c r="AA1422" s="32" t="n">
        <v>0</v>
      </c>
      <c r="AB1422" s="3" t="n"/>
      <c r="AC1422" s="31" t="n">
        <v>0</v>
      </c>
      <c r="AD1422" s="2" t="n">
        <v>0</v>
      </c>
      <c r="AE1422" s="2" t="n">
        <v>31</v>
      </c>
      <c r="AF1422" s="4" t="n">
        <v>31</v>
      </c>
      <c r="AG1422" s="33" t="n">
        <v>0</v>
      </c>
      <c r="AH1422" s="4" t="n">
        <v>0</v>
      </c>
      <c r="AI1422" s="34" t="n"/>
      <c r="AJ1422" s="34" t="n">
        <v>0</v>
      </c>
      <c r="AK1422" s="2" t="n">
        <v>0</v>
      </c>
      <c r="AL1422" t="inlineStr">
        <is>
          <t>Published</t>
        </is>
      </c>
    </row>
    <row r="1423">
      <c r="A1423">
        <f>HYPERLINK("https://www.walmart.com/ip/9511207660", "9511207660")</f>
        <v/>
      </c>
      <c r="B1423">
        <f>HYPERLINK("https://app.optiwise.ai/catalog/itemdetails/9941256", "Wrangler Yellowstone Sturdy Laptop Backpack for Travel, Hiking Backpack with Classic Logo, Water Resistant Casual Daypack, Padded Sleeve College Backpack for Notebook, Brown Corduroy")</f>
        <v/>
      </c>
      <c r="C1423" t="inlineStr">
        <is>
          <t>WR-BACKPACK-16273-BRNCORD</t>
        </is>
      </c>
      <c r="D1423" t="inlineStr">
        <is>
          <t>Cases &amp; Bags</t>
        </is>
      </c>
      <c r="E1423" t="inlineStr">
        <is>
          <t>Backpacks</t>
        </is>
      </c>
      <c r="F1423" t="inlineStr">
        <is>
          <t>Wrangler</t>
        </is>
      </c>
      <c r="G1423" t="n">
        <v>5</v>
      </c>
      <c r="H1423" t="n">
        <v>1</v>
      </c>
      <c r="I1423" t="inlineStr">
        <is>
          <t>Backpack</t>
        </is>
      </c>
      <c r="J1423" s="29" t="n">
        <v>0</v>
      </c>
      <c r="K1423" s="30" t="n"/>
      <c r="L1423" s="29" t="n">
        <v>0</v>
      </c>
      <c r="M1423" s="29" t="n">
        <v>0</v>
      </c>
      <c r="N1423" s="2" t="n">
        <v>0</v>
      </c>
      <c r="O1423" s="31" t="n">
        <v>0</v>
      </c>
      <c r="P1423" s="32" t="n"/>
      <c r="Q1423" s="32" t="n">
        <v>0</v>
      </c>
      <c r="R1423" s="32" t="n">
        <v>0</v>
      </c>
      <c r="S1423" s="31" t="n">
        <v>0</v>
      </c>
      <c r="T1423" s="32" t="n">
        <v>0</v>
      </c>
      <c r="U1423" s="31" t="n">
        <v>0</v>
      </c>
      <c r="V1423" s="31" t="n">
        <v>0</v>
      </c>
      <c r="W1423" s="3" t="n">
        <v>0</v>
      </c>
      <c r="X1423" s="3" t="n">
        <v>0</v>
      </c>
      <c r="Y1423" s="32" t="n">
        <v>0</v>
      </c>
      <c r="Z1423" s="3" t="n">
        <v>0</v>
      </c>
      <c r="AA1423" s="32" t="n">
        <v>0</v>
      </c>
      <c r="AB1423" s="3" t="n"/>
      <c r="AC1423" s="31" t="n">
        <v>0</v>
      </c>
      <c r="AD1423" s="2" t="n">
        <v>0</v>
      </c>
      <c r="AE1423" s="2" t="n">
        <v>5</v>
      </c>
      <c r="AF1423" s="4" t="n">
        <v>5</v>
      </c>
      <c r="AG1423" s="33" t="n">
        <v>0</v>
      </c>
      <c r="AH1423" s="4" t="n">
        <v>0</v>
      </c>
      <c r="AI1423" s="34" t="n"/>
      <c r="AJ1423" s="34" t="n">
        <v>0</v>
      </c>
      <c r="AK1423" s="2" t="n">
        <v>0</v>
      </c>
      <c r="AL1423" t="inlineStr">
        <is>
          <t>Published</t>
        </is>
      </c>
    </row>
    <row r="1424">
      <c r="A1424">
        <f>HYPERLINK("https://www.walmart.com/ip/9511207654", "9511207654")</f>
        <v/>
      </c>
      <c r="B1424">
        <f>HYPERLINK("https://app.optiwise.ai/catalog/itemdetails/9941255", "Ocean Pacific Og Corduroy Backpack for Travel, Sports, and Work, Waterproof College Backpack, Laptop Backpack Fits 15.6” Devices, Casual Daypack Backpacks for Adults, Black")</f>
        <v/>
      </c>
      <c r="C1424" t="inlineStr">
        <is>
          <t>OP-BACKPACK-15381-BLACK</t>
        </is>
      </c>
      <c r="D1424" t="inlineStr">
        <is>
          <t>Cases &amp; Bags</t>
        </is>
      </c>
      <c r="E1424" t="inlineStr">
        <is>
          <t>Backpacks</t>
        </is>
      </c>
      <c r="F1424" t="inlineStr">
        <is>
          <t>Ocean Pacific</t>
        </is>
      </c>
      <c r="G1424" t="n">
        <v>0</v>
      </c>
      <c r="H1424" t="n">
        <v>0</v>
      </c>
      <c r="I1424" t="inlineStr">
        <is>
          <t>Backpack</t>
        </is>
      </c>
      <c r="J1424" s="29" t="n">
        <v>0</v>
      </c>
      <c r="K1424" s="30" t="n"/>
      <c r="L1424" s="29" t="n">
        <v>0</v>
      </c>
      <c r="M1424" s="29" t="n">
        <v>0</v>
      </c>
      <c r="N1424" s="2" t="n">
        <v>0</v>
      </c>
      <c r="O1424" s="31" t="n">
        <v>0</v>
      </c>
      <c r="P1424" s="32" t="n"/>
      <c r="Q1424" s="32" t="n">
        <v>0</v>
      </c>
      <c r="R1424" s="32" t="n">
        <v>0</v>
      </c>
      <c r="S1424" s="31" t="n">
        <v>0</v>
      </c>
      <c r="T1424" s="32" t="n">
        <v>0</v>
      </c>
      <c r="U1424" s="31" t="n">
        <v>0</v>
      </c>
      <c r="V1424" s="31" t="n">
        <v>0</v>
      </c>
      <c r="W1424" s="3" t="n">
        <v>0</v>
      </c>
      <c r="X1424" s="3" t="n">
        <v>0</v>
      </c>
      <c r="Y1424" s="32" t="n">
        <v>0</v>
      </c>
      <c r="Z1424" s="3" t="n">
        <v>0</v>
      </c>
      <c r="AA1424" s="32" t="n">
        <v>0</v>
      </c>
      <c r="AB1424" s="3" t="n"/>
      <c r="AC1424" s="31" t="n">
        <v>0</v>
      </c>
      <c r="AD1424" s="2" t="n">
        <v>0</v>
      </c>
      <c r="AE1424" s="2" t="n">
        <v>32</v>
      </c>
      <c r="AF1424" s="4" t="n">
        <v>32</v>
      </c>
      <c r="AG1424" s="33" t="n">
        <v>0</v>
      </c>
      <c r="AH1424" s="4" t="n">
        <v>0</v>
      </c>
      <c r="AI1424" s="34" t="n"/>
      <c r="AJ1424" s="34" t="n">
        <v>0</v>
      </c>
      <c r="AK1424" s="2" t="n">
        <v>0</v>
      </c>
      <c r="AL1424" t="inlineStr">
        <is>
          <t>Published</t>
        </is>
      </c>
    </row>
    <row r="1425">
      <c r="A1425">
        <f>HYPERLINK("https://www.walmart.com/ip/9523000918", "9523000918")</f>
        <v/>
      </c>
      <c r="B1425">
        <f>HYPERLINK("https://app.optiwise.ai/catalog/itemdetails/9941249", "Wrangler Yellowstone Sturdy Laptop Backpack for Travel, Hiking Backpack with Classic Logo, Water Resistant Casual Daypack, Padded Sleeve College Backpack for Notebook, Cream")</f>
        <v/>
      </c>
      <c r="C1425" t="inlineStr">
        <is>
          <t>WR-BACKPACK-16273-CREAM</t>
        </is>
      </c>
      <c r="D1425" t="inlineStr">
        <is>
          <t>Cases &amp; Bags</t>
        </is>
      </c>
      <c r="E1425" t="inlineStr">
        <is>
          <t>Backpacks</t>
        </is>
      </c>
      <c r="F1425" t="inlineStr">
        <is>
          <t>Wrangler</t>
        </is>
      </c>
      <c r="G1425" t="n">
        <v>0</v>
      </c>
      <c r="H1425" t="n">
        <v>0</v>
      </c>
      <c r="I1425" t="inlineStr">
        <is>
          <t>Backpack</t>
        </is>
      </c>
      <c r="J1425" s="29" t="n">
        <v>0</v>
      </c>
      <c r="K1425" s="30" t="n"/>
      <c r="L1425" s="29" t="n">
        <v>0</v>
      </c>
      <c r="M1425" s="29" t="n">
        <v>0</v>
      </c>
      <c r="N1425" s="2" t="n">
        <v>0</v>
      </c>
      <c r="O1425" s="31" t="n">
        <v>0</v>
      </c>
      <c r="P1425" s="32" t="n"/>
      <c r="Q1425" s="32" t="n">
        <v>0</v>
      </c>
      <c r="R1425" s="32" t="n">
        <v>0.1611</v>
      </c>
      <c r="S1425" s="31" t="n">
        <v>0</v>
      </c>
      <c r="T1425" s="32" t="n">
        <v>0</v>
      </c>
      <c r="U1425" s="31" t="n">
        <v>0</v>
      </c>
      <c r="V1425" s="31" t="n">
        <v>0</v>
      </c>
      <c r="W1425" s="3" t="n">
        <v>0</v>
      </c>
      <c r="X1425" s="3" t="n">
        <v>0</v>
      </c>
      <c r="Y1425" s="32" t="n">
        <v>0</v>
      </c>
      <c r="Z1425" s="3" t="n">
        <v>0</v>
      </c>
      <c r="AA1425" s="32" t="n">
        <v>0</v>
      </c>
      <c r="AB1425" s="3" t="n"/>
      <c r="AC1425" s="31" t="n">
        <v>0</v>
      </c>
      <c r="AD1425" s="2" t="n">
        <v>0</v>
      </c>
      <c r="AE1425" s="2" t="n">
        <v>72</v>
      </c>
      <c r="AF1425" s="4" t="n">
        <v>72</v>
      </c>
      <c r="AG1425" s="33" t="n">
        <v>0</v>
      </c>
      <c r="AH1425" s="4" t="n">
        <v>0</v>
      </c>
      <c r="AI1425" s="34" t="n"/>
      <c r="AJ1425" s="34" t="n">
        <v>0</v>
      </c>
      <c r="AK1425" s="2" t="n">
        <v>0</v>
      </c>
      <c r="AL1425" t="inlineStr">
        <is>
          <t>Published</t>
        </is>
      </c>
    </row>
    <row r="1426">
      <c r="A1426">
        <f>HYPERLINK("https://www.walmart.com/ip/9514014601", "9514014601")</f>
        <v/>
      </c>
      <c r="B1426">
        <f>HYPERLINK("https://app.optiwise.ai/catalog/itemdetails/9941246", "Wrangler Yellowstone Sturdy Laptop Backpack for Travel, Hiking Backpack with Classic Logo, Water Resistant Casual Daypack, Padded Sleeve College Backpack for Notebook, Tan Patterned")</f>
        <v/>
      </c>
      <c r="C1426" t="inlineStr">
        <is>
          <t>WR-BACKPACK-16273-TAN</t>
        </is>
      </c>
      <c r="D1426" t="inlineStr">
        <is>
          <t>Cases &amp; Bags</t>
        </is>
      </c>
      <c r="E1426" t="inlineStr">
        <is>
          <t>Backpacks</t>
        </is>
      </c>
      <c r="F1426" t="inlineStr">
        <is>
          <t>Wrangler</t>
        </is>
      </c>
      <c r="G1426" t="n">
        <v>0</v>
      </c>
      <c r="H1426" t="n">
        <v>0</v>
      </c>
      <c r="I1426" t="inlineStr">
        <is>
          <t>Backpack</t>
        </is>
      </c>
      <c r="J1426" s="29" t="n">
        <v>0</v>
      </c>
      <c r="K1426" s="30" t="n"/>
      <c r="L1426" s="29" t="n">
        <v>0</v>
      </c>
      <c r="M1426" s="29" t="n">
        <v>0</v>
      </c>
      <c r="N1426" s="2" t="n">
        <v>0</v>
      </c>
      <c r="O1426" s="31" t="n">
        <v>0</v>
      </c>
      <c r="P1426" s="32" t="n"/>
      <c r="Q1426" s="32" t="n">
        <v>0</v>
      </c>
      <c r="R1426" s="32" t="n">
        <v>0</v>
      </c>
      <c r="S1426" s="31" t="n">
        <v>0</v>
      </c>
      <c r="T1426" s="32" t="n">
        <v>0</v>
      </c>
      <c r="U1426" s="31" t="n">
        <v>0</v>
      </c>
      <c r="V1426" s="31" t="n">
        <v>0</v>
      </c>
      <c r="W1426" s="3" t="n">
        <v>0</v>
      </c>
      <c r="X1426" s="3" t="n">
        <v>0</v>
      </c>
      <c r="Y1426" s="32" t="n">
        <v>0</v>
      </c>
      <c r="Z1426" s="3" t="n">
        <v>0</v>
      </c>
      <c r="AA1426" s="32" t="n">
        <v>0</v>
      </c>
      <c r="AB1426" s="3" t="n"/>
      <c r="AC1426" s="31" t="n">
        <v>0</v>
      </c>
      <c r="AD1426" s="2" t="n">
        <v>0</v>
      </c>
      <c r="AE1426" s="2" t="n">
        <v>30</v>
      </c>
      <c r="AF1426" s="4" t="n">
        <v>30</v>
      </c>
      <c r="AG1426" s="33" t="n">
        <v>0</v>
      </c>
      <c r="AH1426" s="4" t="n">
        <v>0</v>
      </c>
      <c r="AI1426" s="34" t="n"/>
      <c r="AJ1426" s="34" t="n">
        <v>0</v>
      </c>
      <c r="AK1426" s="2" t="n">
        <v>0</v>
      </c>
      <c r="AL1426" t="inlineStr">
        <is>
          <t>Published</t>
        </is>
      </c>
    </row>
    <row r="1427">
      <c r="A1427">
        <f>HYPERLINK("https://www.walmart.com/ip/9505771386", "9505771386")</f>
        <v/>
      </c>
      <c r="B1427">
        <f>HYPERLINK("https://app.optiwise.ai/catalog/itemdetails/9941244", "Wrangler Yellowstone Sturdy Laptop Backpack for Travel, Hiking Backpack with Classic Logo, Water Resistant Casual Daypack, Padded Sleeve College Backpack for Notebook, Black Corduroy")</f>
        <v/>
      </c>
      <c r="C1427" t="inlineStr">
        <is>
          <t>WR-BACKPACK-16273-BLKCORD</t>
        </is>
      </c>
      <c r="D1427" t="inlineStr">
        <is>
          <t>Cases &amp; Bags</t>
        </is>
      </c>
      <c r="E1427" t="inlineStr">
        <is>
          <t>Laptop Bags</t>
        </is>
      </c>
      <c r="F1427" t="inlineStr">
        <is>
          <t>Wrangler</t>
        </is>
      </c>
      <c r="G1427" t="n">
        <v>0</v>
      </c>
      <c r="H1427" t="n">
        <v>0</v>
      </c>
      <c r="I1427" t="inlineStr">
        <is>
          <t>Backpack</t>
        </is>
      </c>
      <c r="J1427" s="29" t="n">
        <v>0</v>
      </c>
      <c r="K1427" s="30" t="n"/>
      <c r="L1427" s="29" t="n">
        <v>34.9900016784668</v>
      </c>
      <c r="M1427" s="29" t="n">
        <v>0</v>
      </c>
      <c r="N1427" s="2" t="n">
        <v>0</v>
      </c>
      <c r="O1427" s="31" t="n">
        <v>0</v>
      </c>
      <c r="P1427" s="32" t="n"/>
      <c r="Q1427" s="32" t="n">
        <v>0</v>
      </c>
      <c r="R1427" s="32" t="n">
        <v>0</v>
      </c>
      <c r="S1427" s="31" t="n">
        <v>0</v>
      </c>
      <c r="T1427" s="32" t="n">
        <v>0</v>
      </c>
      <c r="U1427" s="31" t="n">
        <v>0</v>
      </c>
      <c r="V1427" s="31" t="n">
        <v>0</v>
      </c>
      <c r="W1427" s="3" t="n">
        <v>0</v>
      </c>
      <c r="X1427" s="3" t="n">
        <v>0</v>
      </c>
      <c r="Y1427" s="32" t="n">
        <v>0</v>
      </c>
      <c r="Z1427" s="3" t="n">
        <v>0</v>
      </c>
      <c r="AA1427" s="32" t="n">
        <v>0</v>
      </c>
      <c r="AB1427" s="3" t="n"/>
      <c r="AC1427" s="31" t="n">
        <v>0</v>
      </c>
      <c r="AD1427" s="2" t="n">
        <v>0</v>
      </c>
      <c r="AE1427" s="2" t="n">
        <v>55</v>
      </c>
      <c r="AF1427" s="4" t="n">
        <v>55</v>
      </c>
      <c r="AG1427" s="33" t="n">
        <v>0</v>
      </c>
      <c r="AH1427" s="4" t="n">
        <v>0</v>
      </c>
      <c r="AI1427" s="34" t="n"/>
      <c r="AJ1427" s="34" t="n">
        <v>0</v>
      </c>
      <c r="AK1427" s="2" t="n">
        <v>0</v>
      </c>
      <c r="AL1427" t="inlineStr">
        <is>
          <t>Published</t>
        </is>
      </c>
    </row>
    <row r="1428">
      <c r="A1428">
        <f>HYPERLINK("https://www.walmart.com/ip/9504909126", "9504909126")</f>
        <v/>
      </c>
      <c r="B1428">
        <f>HYPERLINK("https://app.optiwise.ai/catalog/itemdetails/9941243", "Wrangler Yellowstone Sturdy Laptop Backpack for Travel, Hiking Backpack with Classic Logo, Water Resistant Casual Daypack, Padded Sleeve College Backpack for Notebook, Burgandy Patterned")</f>
        <v/>
      </c>
      <c r="C1428" t="inlineStr">
        <is>
          <t>WR-BACKPACK-16273-BURG</t>
        </is>
      </c>
      <c r="D1428" t="inlineStr">
        <is>
          <t>Cases &amp; Bags</t>
        </is>
      </c>
      <c r="E1428" t="inlineStr">
        <is>
          <t>Backpacks</t>
        </is>
      </c>
      <c r="F1428" t="inlineStr">
        <is>
          <t>Wrangler</t>
        </is>
      </c>
      <c r="G1428" t="n">
        <v>0</v>
      </c>
      <c r="H1428" t="n">
        <v>0</v>
      </c>
      <c r="I1428" t="inlineStr">
        <is>
          <t>Backpack</t>
        </is>
      </c>
      <c r="J1428" s="29" t="n">
        <v>0</v>
      </c>
      <c r="K1428" s="30" t="n"/>
      <c r="L1428" s="29" t="n">
        <v>0</v>
      </c>
      <c r="M1428" s="29" t="n">
        <v>0</v>
      </c>
      <c r="N1428" s="2" t="n">
        <v>0</v>
      </c>
      <c r="O1428" s="31" t="n">
        <v>0</v>
      </c>
      <c r="P1428" s="32" t="n"/>
      <c r="Q1428" s="32" t="n">
        <v>0</v>
      </c>
      <c r="R1428" s="32" t="n">
        <v>0.0031</v>
      </c>
      <c r="S1428" s="31" t="n">
        <v>0</v>
      </c>
      <c r="T1428" s="32" t="n">
        <v>0</v>
      </c>
      <c r="U1428" s="31" t="n">
        <v>0</v>
      </c>
      <c r="V1428" s="31" t="n">
        <v>0</v>
      </c>
      <c r="W1428" s="3" t="n">
        <v>0</v>
      </c>
      <c r="X1428" s="3" t="n">
        <v>0</v>
      </c>
      <c r="Y1428" s="32" t="n">
        <v>0</v>
      </c>
      <c r="Z1428" s="3" t="n">
        <v>0</v>
      </c>
      <c r="AA1428" s="32" t="n">
        <v>0</v>
      </c>
      <c r="AB1428" s="3" t="n"/>
      <c r="AC1428" s="31" t="n">
        <v>0</v>
      </c>
      <c r="AD1428" s="2" t="n">
        <v>0</v>
      </c>
      <c r="AE1428" s="2" t="n">
        <v>12</v>
      </c>
      <c r="AF1428" s="4" t="n">
        <v>12</v>
      </c>
      <c r="AG1428" s="33" t="n">
        <v>0</v>
      </c>
      <c r="AH1428" s="4" t="n">
        <v>0</v>
      </c>
      <c r="AI1428" s="34" t="n"/>
      <c r="AJ1428" s="34" t="n">
        <v>0</v>
      </c>
      <c r="AK1428" s="2" t="n">
        <v>0</v>
      </c>
      <c r="AL1428" t="inlineStr">
        <is>
          <t>Published</t>
        </is>
      </c>
    </row>
    <row r="1429">
      <c r="A1429">
        <f>HYPERLINK("https://www.walmart.com/ip/8164251345", "8164251345")</f>
        <v/>
      </c>
      <c r="B1429">
        <f>HYPERLINK("https://app.optiwise.ai/catalog/itemdetails/9842400", "Tirrinia Wearable Throws Blanket Poncho, Cloak with Hood, Poncho Capes, Women, 1.68 lb, 67 x 43")</f>
        <v/>
      </c>
      <c r="C1429" t="inlineStr">
        <is>
          <t>1TRBC101PKBARK</t>
        </is>
      </c>
      <c r="D1429" t="inlineStr">
        <is>
          <t>Bedding</t>
        </is>
      </c>
      <c r="E1429" t="inlineStr">
        <is>
          <t>Throws</t>
        </is>
      </c>
      <c r="F1429" t="inlineStr">
        <is>
          <t>Tirrinia</t>
        </is>
      </c>
      <c r="G1429" t="n">
        <v>0</v>
      </c>
      <c r="H1429" t="n">
        <v>0</v>
      </c>
      <c r="J1429" s="29" t="n">
        <v>0</v>
      </c>
      <c r="K1429" s="30" t="n"/>
      <c r="L1429" s="29" t="n">
        <v>0</v>
      </c>
      <c r="M1429" s="29" t="n">
        <v>0</v>
      </c>
      <c r="N1429" s="2" t="n">
        <v>0</v>
      </c>
      <c r="O1429" s="31" t="n">
        <v>0</v>
      </c>
      <c r="P1429" s="32" t="n"/>
      <c r="Q1429" s="32" t="n">
        <v>0</v>
      </c>
      <c r="R1429" s="32" t="n">
        <v>0</v>
      </c>
      <c r="S1429" s="31" t="n">
        <v>0</v>
      </c>
      <c r="T1429" s="32" t="n">
        <v>0</v>
      </c>
      <c r="U1429" s="31" t="n">
        <v>0</v>
      </c>
      <c r="V1429" s="31" t="n">
        <v>0</v>
      </c>
      <c r="W1429" s="3" t="n">
        <v>0</v>
      </c>
      <c r="X1429" s="3" t="n">
        <v>0</v>
      </c>
      <c r="Y1429" s="32" t="n">
        <v>0</v>
      </c>
      <c r="Z1429" s="3" t="n">
        <v>0</v>
      </c>
      <c r="AA1429" s="32" t="n">
        <v>0</v>
      </c>
      <c r="AB1429" s="3" t="n"/>
      <c r="AC1429" s="31" t="n">
        <v>0</v>
      </c>
      <c r="AD1429" s="2" t="n">
        <v>0</v>
      </c>
      <c r="AE1429" s="2" t="n">
        <v>8</v>
      </c>
      <c r="AF1429" s="4" t="n">
        <v>8</v>
      </c>
      <c r="AG1429" s="33" t="n">
        <v>0</v>
      </c>
      <c r="AH1429" s="4" t="n">
        <v>0</v>
      </c>
      <c r="AI1429" s="34" t="n"/>
      <c r="AJ1429" s="34" t="n">
        <v>0</v>
      </c>
      <c r="AK1429" s="2" t="n">
        <v>0</v>
      </c>
      <c r="AL1429" t="inlineStr">
        <is>
          <t>Published</t>
        </is>
      </c>
    </row>
    <row r="1430">
      <c r="A1430">
        <f>HYPERLINK("https://www.walmart.com/ip/8165519155", "8165519155")</f>
        <v/>
      </c>
      <c r="B1430">
        <f>HYPERLINK("https://app.optiwise.ai/catalog/itemdetails/9842399", "Tirrinia Wearable Throws Blanket Poncho, Cloak with Hood, Poncho Capes for Women, 1.68 lb")</f>
        <v/>
      </c>
      <c r="C1430" t="inlineStr">
        <is>
          <t>1TRBC101PPBARK</t>
        </is>
      </c>
      <c r="D1430" t="inlineStr">
        <is>
          <t>Bedding</t>
        </is>
      </c>
      <c r="E1430" t="inlineStr">
        <is>
          <t>Throws</t>
        </is>
      </c>
      <c r="F1430" t="inlineStr">
        <is>
          <t>Tirrinia</t>
        </is>
      </c>
      <c r="G1430" t="n">
        <v>0</v>
      </c>
      <c r="H1430" t="n">
        <v>0</v>
      </c>
      <c r="J1430" s="29" t="n">
        <v>0</v>
      </c>
      <c r="K1430" s="30" t="n"/>
      <c r="L1430" s="29" t="n">
        <v>0</v>
      </c>
      <c r="M1430" s="29" t="n">
        <v>0</v>
      </c>
      <c r="N1430" s="2" t="n">
        <v>0</v>
      </c>
      <c r="O1430" s="31" t="n">
        <v>0</v>
      </c>
      <c r="P1430" s="32" t="n"/>
      <c r="Q1430" s="32" t="n">
        <v>0</v>
      </c>
      <c r="R1430" s="32" t="n">
        <v>0</v>
      </c>
      <c r="S1430" s="31" t="n">
        <v>0</v>
      </c>
      <c r="T1430" s="32" t="n">
        <v>0</v>
      </c>
      <c r="U1430" s="31" t="n">
        <v>0</v>
      </c>
      <c r="V1430" s="31" t="n">
        <v>0</v>
      </c>
      <c r="W1430" s="3" t="n">
        <v>0</v>
      </c>
      <c r="X1430" s="3" t="n">
        <v>0</v>
      </c>
      <c r="Y1430" s="32" t="n">
        <v>0</v>
      </c>
      <c r="Z1430" s="3" t="n">
        <v>0</v>
      </c>
      <c r="AA1430" s="32" t="n">
        <v>0</v>
      </c>
      <c r="AB1430" s="3" t="n"/>
      <c r="AC1430" s="31" t="n">
        <v>0</v>
      </c>
      <c r="AD1430" s="2" t="n">
        <v>0</v>
      </c>
      <c r="AE1430" s="2" t="n">
        <v>9</v>
      </c>
      <c r="AF1430" s="4" t="n">
        <v>9</v>
      </c>
      <c r="AG1430" s="33" t="n">
        <v>0</v>
      </c>
      <c r="AH1430" s="4" t="n">
        <v>0</v>
      </c>
      <c r="AI1430" s="34" t="n"/>
      <c r="AJ1430" s="34" t="n">
        <v>0</v>
      </c>
      <c r="AK1430" s="2" t="n">
        <v>0</v>
      </c>
      <c r="AL1430" t="inlineStr">
        <is>
          <t>Published</t>
        </is>
      </c>
    </row>
    <row r="1431">
      <c r="A1431">
        <f>HYPERLINK("https://www.walmart.com/ip/8122819724", "8122819724")</f>
        <v/>
      </c>
      <c r="B1431">
        <f>HYPERLINK("https://app.optiwise.ai/catalog/itemdetails/9840014", "Catalonia Hooded Blanket Poncho | Wearable Blanket Wrap with Hand Pockets | Comfy Sherpa Fleece Throw Cape for Children and Adults, Christmas Thanksgiving Mother Gift, Blue Cat")</f>
        <v/>
      </c>
      <c r="C1431" t="inlineStr">
        <is>
          <t>1CTBC100BLCAT</t>
        </is>
      </c>
      <c r="D1431" t="inlineStr">
        <is>
          <t>Bedding</t>
        </is>
      </c>
      <c r="E1431" t="inlineStr">
        <is>
          <t>Throws</t>
        </is>
      </c>
      <c r="F1431" t="inlineStr">
        <is>
          <t>Catalonia</t>
        </is>
      </c>
      <c r="G1431" t="n">
        <v>0</v>
      </c>
      <c r="H1431" t="n">
        <v>0</v>
      </c>
      <c r="J1431" s="29" t="n">
        <v>0</v>
      </c>
      <c r="K1431" s="30" t="n"/>
      <c r="L1431" s="29" t="n">
        <v>0</v>
      </c>
      <c r="M1431" s="29" t="n">
        <v>0</v>
      </c>
      <c r="N1431" s="2" t="n">
        <v>0</v>
      </c>
      <c r="O1431" s="31" t="n">
        <v>0</v>
      </c>
      <c r="P1431" s="32" t="n"/>
      <c r="Q1431" s="32" t="n">
        <v>0</v>
      </c>
      <c r="R1431" s="32" t="n">
        <v>0</v>
      </c>
      <c r="S1431" s="31" t="n">
        <v>0</v>
      </c>
      <c r="T1431" s="32" t="n">
        <v>0</v>
      </c>
      <c r="U1431" s="31" t="n">
        <v>0</v>
      </c>
      <c r="V1431" s="31" t="n">
        <v>0</v>
      </c>
      <c r="W1431" s="3" t="n">
        <v>0</v>
      </c>
      <c r="X1431" s="3" t="n">
        <v>0</v>
      </c>
      <c r="Y1431" s="32" t="n">
        <v>0</v>
      </c>
      <c r="Z1431" s="3" t="n">
        <v>0</v>
      </c>
      <c r="AA1431" s="32" t="n">
        <v>0</v>
      </c>
      <c r="AB1431" s="3" t="n"/>
      <c r="AC1431" s="31" t="n">
        <v>0</v>
      </c>
      <c r="AD1431" s="2" t="n">
        <v>0</v>
      </c>
      <c r="AE1431" s="2" t="n">
        <v>11</v>
      </c>
      <c r="AF1431" s="4" t="n">
        <v>11</v>
      </c>
      <c r="AG1431" s="33" t="n">
        <v>0</v>
      </c>
      <c r="AH1431" s="4" t="n">
        <v>0</v>
      </c>
      <c r="AI1431" s="34" t="n"/>
      <c r="AJ1431" s="34" t="n">
        <v>0</v>
      </c>
      <c r="AK1431" s="2" t="n">
        <v>0</v>
      </c>
      <c r="AL1431" t="inlineStr">
        <is>
          <t>Published</t>
        </is>
      </c>
    </row>
    <row r="1432">
      <c r="A1432">
        <f>HYPERLINK("https://www.walmart.com/ip/8132070606", "8132070606")</f>
        <v/>
      </c>
      <c r="B1432">
        <f>HYPERLINK("https://app.optiwise.ai/catalog/itemdetails/9840013", "Catalonia Hooded Blanket Poncho | Wearable Blanket Wrap with Hand Pockets | Comfy Sherpa Fleece Throw Cape for Children and Adults, Christmas Thanksgiving Mother Gift, Horse")</f>
        <v/>
      </c>
      <c r="C1432" t="inlineStr">
        <is>
          <t>1CTBC100TPHORSE</t>
        </is>
      </c>
      <c r="D1432" t="inlineStr">
        <is>
          <t>Bedding</t>
        </is>
      </c>
      <c r="E1432" t="inlineStr">
        <is>
          <t>Throws</t>
        </is>
      </c>
      <c r="F1432" t="inlineStr">
        <is>
          <t>Catalonia</t>
        </is>
      </c>
      <c r="G1432" t="n">
        <v>0</v>
      </c>
      <c r="H1432" t="n">
        <v>0</v>
      </c>
      <c r="J1432" s="29" t="n">
        <v>0</v>
      </c>
      <c r="K1432" s="30" t="n"/>
      <c r="L1432" s="29" t="n">
        <v>0</v>
      </c>
      <c r="M1432" s="29" t="n">
        <v>0</v>
      </c>
      <c r="N1432" s="2" t="n">
        <v>0</v>
      </c>
      <c r="O1432" s="31" t="n">
        <v>0</v>
      </c>
      <c r="P1432" s="32" t="n"/>
      <c r="Q1432" s="32" t="n">
        <v>0</v>
      </c>
      <c r="R1432" s="32" t="n">
        <v>0</v>
      </c>
      <c r="S1432" s="31" t="n">
        <v>0</v>
      </c>
      <c r="T1432" s="32" t="n">
        <v>0</v>
      </c>
      <c r="U1432" s="31" t="n">
        <v>0</v>
      </c>
      <c r="V1432" s="31" t="n">
        <v>0</v>
      </c>
      <c r="W1432" s="3" t="n">
        <v>0</v>
      </c>
      <c r="X1432" s="3" t="n">
        <v>0</v>
      </c>
      <c r="Y1432" s="32" t="n">
        <v>0</v>
      </c>
      <c r="Z1432" s="3" t="n">
        <v>0</v>
      </c>
      <c r="AA1432" s="32" t="n">
        <v>0</v>
      </c>
      <c r="AB1432" s="3" t="n"/>
      <c r="AC1432" s="31" t="n">
        <v>0</v>
      </c>
      <c r="AD1432" s="2" t="n">
        <v>0</v>
      </c>
      <c r="AE1432" s="2" t="n">
        <v>14</v>
      </c>
      <c r="AF1432" s="4" t="n">
        <v>14</v>
      </c>
      <c r="AG1432" s="33" t="n">
        <v>0</v>
      </c>
      <c r="AH1432" s="4" t="n">
        <v>0</v>
      </c>
      <c r="AI1432" s="34" t="n"/>
      <c r="AJ1432" s="34" t="n">
        <v>0</v>
      </c>
      <c r="AK1432" s="2" t="n">
        <v>0</v>
      </c>
      <c r="AL1432" t="inlineStr">
        <is>
          <t>Published</t>
        </is>
      </c>
    </row>
    <row r="1433">
      <c r="A1433">
        <f>HYPERLINK("https://www.walmart.com/ip/8182168292", "8182168292")</f>
        <v/>
      </c>
      <c r="B1433">
        <f>HYPERLINK("https://app.optiwise.ai/catalog/itemdetails/9840012", "Tirrinia Wearable Blanket Poncho, Cloak with hood, Poncho capes for Women, Sherpa Wrap Shawl Blanket, Cozy Fluffy Lightweight Women Mom Gift")</f>
        <v/>
      </c>
      <c r="C1433" t="inlineStr">
        <is>
          <t>1TRBC101NYBARK</t>
        </is>
      </c>
      <c r="D1433" t="inlineStr">
        <is>
          <t>Bedding</t>
        </is>
      </c>
      <c r="E1433" t="inlineStr">
        <is>
          <t>Throws</t>
        </is>
      </c>
      <c r="F1433" t="inlineStr">
        <is>
          <t>Tirrinia</t>
        </is>
      </c>
      <c r="G1433" t="n">
        <v>0</v>
      </c>
      <c r="H1433" t="n">
        <v>0</v>
      </c>
      <c r="J1433" s="29" t="n">
        <v>0</v>
      </c>
      <c r="K1433" s="30" t="n"/>
      <c r="L1433" s="29" t="n">
        <v>0</v>
      </c>
      <c r="M1433" s="29" t="n">
        <v>0</v>
      </c>
      <c r="N1433" s="2" t="n">
        <v>0</v>
      </c>
      <c r="O1433" s="31" t="n">
        <v>0</v>
      </c>
      <c r="P1433" s="32" t="n"/>
      <c r="Q1433" s="32" t="n">
        <v>0</v>
      </c>
      <c r="R1433" s="32" t="n">
        <v>0</v>
      </c>
      <c r="S1433" s="31" t="n">
        <v>0</v>
      </c>
      <c r="T1433" s="32" t="n">
        <v>0</v>
      </c>
      <c r="U1433" s="31" t="n">
        <v>0</v>
      </c>
      <c r="V1433" s="31" t="n">
        <v>0</v>
      </c>
      <c r="W1433" s="3" t="n">
        <v>0</v>
      </c>
      <c r="X1433" s="3" t="n">
        <v>0</v>
      </c>
      <c r="Y1433" s="32" t="n">
        <v>0</v>
      </c>
      <c r="Z1433" s="3" t="n">
        <v>0</v>
      </c>
      <c r="AA1433" s="32" t="n">
        <v>0</v>
      </c>
      <c r="AB1433" s="3" t="n"/>
      <c r="AC1433" s="31" t="n">
        <v>0</v>
      </c>
      <c r="AD1433" s="2" t="n">
        <v>0</v>
      </c>
      <c r="AE1433" s="2" t="n">
        <v>5</v>
      </c>
      <c r="AF1433" s="4" t="n">
        <v>5</v>
      </c>
      <c r="AG1433" s="33" t="n">
        <v>0</v>
      </c>
      <c r="AH1433" s="4" t="n">
        <v>0</v>
      </c>
      <c r="AI1433" s="34" t="n"/>
      <c r="AJ1433" s="34" t="n">
        <v>0</v>
      </c>
      <c r="AK1433" s="2" t="n">
        <v>0</v>
      </c>
      <c r="AL1433" t="inlineStr">
        <is>
          <t>Published</t>
        </is>
      </c>
    </row>
    <row r="1434">
      <c r="A1434">
        <f>HYPERLINK("https://www.walmart.com/ip/6698168886", "6698168886")</f>
        <v/>
      </c>
      <c r="B1434">
        <f>HYPERLINK("https://app.optiwise.ai/catalog/itemdetails/9758507", "Tirrinia Comfort All-Season Robe, Ultra-Smooth Womens Robe, Breathable,Luxury for Everyday Indulgence, Skin-friendly")</f>
        <v/>
      </c>
      <c r="C1434" t="inlineStr">
        <is>
          <t>1TRRB505PP-3-1</t>
        </is>
      </c>
      <c r="D1434" t="inlineStr">
        <is>
          <t>Clothing</t>
        </is>
      </c>
      <c r="E1434" t="inlineStr">
        <is>
          <t>Sleepwear Robes &amp; Bathrobes</t>
        </is>
      </c>
      <c r="F1434" t="inlineStr">
        <is>
          <t>Tirrinia</t>
        </is>
      </c>
      <c r="G1434" t="n">
        <v>0</v>
      </c>
      <c r="H1434" t="n">
        <v>0</v>
      </c>
      <c r="J1434" s="29" t="n">
        <v>0</v>
      </c>
      <c r="K1434" s="30" t="n"/>
      <c r="L1434" s="29" t="n">
        <v>0</v>
      </c>
      <c r="M1434" s="29" t="n">
        <v>0</v>
      </c>
      <c r="N1434" s="2" t="n">
        <v>0</v>
      </c>
      <c r="O1434" s="31" t="n">
        <v>0</v>
      </c>
      <c r="P1434" s="32" t="n"/>
      <c r="Q1434" s="32" t="n">
        <v>0</v>
      </c>
      <c r="R1434" s="32" t="n">
        <v>0</v>
      </c>
      <c r="S1434" s="31" t="n">
        <v>0</v>
      </c>
      <c r="T1434" s="32" t="n">
        <v>0</v>
      </c>
      <c r="U1434" s="31" t="n">
        <v>0</v>
      </c>
      <c r="V1434" s="31" t="n">
        <v>0</v>
      </c>
      <c r="W1434" s="3" t="n">
        <v>0</v>
      </c>
      <c r="X1434" s="3" t="n">
        <v>0</v>
      </c>
      <c r="Y1434" s="32" t="n">
        <v>0</v>
      </c>
      <c r="Z1434" s="3" t="n">
        <v>0</v>
      </c>
      <c r="AA1434" s="32" t="n">
        <v>0</v>
      </c>
      <c r="AB1434" s="3" t="n"/>
      <c r="AC1434" s="31" t="n">
        <v>0</v>
      </c>
      <c r="AD1434" s="2" t="n">
        <v>0</v>
      </c>
      <c r="AE1434" s="2" t="n">
        <v>147</v>
      </c>
      <c r="AF1434" s="4" t="n">
        <v>147</v>
      </c>
      <c r="AG1434" s="33" t="n">
        <v>0</v>
      </c>
      <c r="AH1434" s="4" t="n">
        <v>0</v>
      </c>
      <c r="AI1434" s="34" t="n"/>
      <c r="AJ1434" s="34" t="n">
        <v>0</v>
      </c>
      <c r="AK1434" s="2" t="n">
        <v>0</v>
      </c>
      <c r="AL1434" t="inlineStr">
        <is>
          <t>Published</t>
        </is>
      </c>
    </row>
    <row r="1435">
      <c r="A1435">
        <f>HYPERLINK("https://www.walmart.com/ip/1002222629", "1002222629")</f>
        <v/>
      </c>
      <c r="B1435">
        <f>HYPERLINK("https://app.optiwise.ai/catalog/itemdetails/13007285", "Every Day is Christmas Glass Blown Ornaments Cute Hand Made Figurines Tree Decoration, $10,000 Stack")</f>
        <v/>
      </c>
      <c r="C1435" t="inlineStr">
        <is>
          <t>EDC-FIGURINE-10KSTACK</t>
        </is>
      </c>
      <c r="D1435" t="inlineStr">
        <is>
          <t>Decorations &amp; Favors</t>
        </is>
      </c>
      <c r="E1435" t="inlineStr">
        <is>
          <t>Ornaments</t>
        </is>
      </c>
      <c r="F1435" t="inlineStr">
        <is>
          <t>Every Day is Christmas</t>
        </is>
      </c>
      <c r="G1435" t="n">
        <v>0</v>
      </c>
      <c r="H1435" t="n">
        <v>0</v>
      </c>
      <c r="J1435" s="29" t="n">
        <v>0</v>
      </c>
      <c r="K1435" s="30" t="n"/>
      <c r="L1435" s="29" t="n">
        <v>0</v>
      </c>
      <c r="M1435" s="29" t="n">
        <v>0</v>
      </c>
      <c r="N1435" s="2" t="n">
        <v>0</v>
      </c>
      <c r="O1435" s="31" t="n">
        <v>0</v>
      </c>
      <c r="P1435" s="32" t="n"/>
      <c r="Q1435" s="32" t="n">
        <v>0</v>
      </c>
      <c r="R1435" s="32" t="n">
        <v>0</v>
      </c>
      <c r="S1435" s="31" t="n">
        <v>0</v>
      </c>
      <c r="T1435" s="32" t="n">
        <v>0</v>
      </c>
      <c r="U1435" s="31" t="n">
        <v>0</v>
      </c>
      <c r="V1435" s="31" t="n">
        <v>0</v>
      </c>
      <c r="W1435" s="3" t="n">
        <v>0</v>
      </c>
      <c r="X1435" s="3" t="n">
        <v>0</v>
      </c>
      <c r="Y1435" s="32" t="n">
        <v>0</v>
      </c>
      <c r="Z1435" s="3" t="n">
        <v>0</v>
      </c>
      <c r="AA1435" s="32" t="n">
        <v>0</v>
      </c>
      <c r="AB1435" s="3" t="n"/>
      <c r="AC1435" s="31" t="n">
        <v>0</v>
      </c>
      <c r="AD1435" s="2" t="n">
        <v>0</v>
      </c>
      <c r="AE1435" s="2" t="n">
        <v>10</v>
      </c>
      <c r="AF1435" s="4" t="n">
        <v>10</v>
      </c>
      <c r="AG1435" s="33" t="n">
        <v>0</v>
      </c>
      <c r="AH1435" s="4" t="n">
        <v>0</v>
      </c>
      <c r="AI1435" s="34" t="n"/>
      <c r="AJ1435" s="34" t="n">
        <v>0</v>
      </c>
      <c r="AK1435" s="2" t="n">
        <v>0</v>
      </c>
      <c r="AL1435" t="inlineStr">
        <is>
          <t>Published</t>
        </is>
      </c>
    </row>
    <row r="1436">
      <c r="A1436">
        <f>HYPERLINK("https://www.walmart.com/ip/6284809845", "6284809845")</f>
        <v/>
      </c>
      <c r="B1436">
        <f>HYPERLINK("https://app.optiwise.ai/catalog/itemdetails/9679551", "Tirrinia Lightweight Beach Poncho Towel with Hood for Adult Quick Dry Travel Surfer Pool Camping Beach Accessories Vacation Essential Summer")</f>
        <v/>
      </c>
      <c r="C1436" t="inlineStr">
        <is>
          <t>1TRBC201MM</t>
        </is>
      </c>
      <c r="D1436" t="inlineStr">
        <is>
          <t>Sport &amp; Recreation Other</t>
        </is>
      </c>
      <c r="E1436" t="inlineStr">
        <is>
          <t>Towels &amp; Washcloths</t>
        </is>
      </c>
      <c r="F1436" t="inlineStr">
        <is>
          <t>Tirrinia</t>
        </is>
      </c>
      <c r="G1436" t="n">
        <v>0</v>
      </c>
      <c r="H1436" t="n">
        <v>0</v>
      </c>
      <c r="J1436" s="29" t="n">
        <v>0</v>
      </c>
      <c r="K1436" s="30" t="n"/>
      <c r="L1436" s="29" t="n">
        <v>0</v>
      </c>
      <c r="M1436" s="29" t="n">
        <v>0</v>
      </c>
      <c r="N1436" s="2" t="n">
        <v>0</v>
      </c>
      <c r="O1436" s="31" t="n">
        <v>0</v>
      </c>
      <c r="P1436" s="32" t="n"/>
      <c r="Q1436" s="32" t="n">
        <v>0</v>
      </c>
      <c r="R1436" s="32" t="n">
        <v>0</v>
      </c>
      <c r="S1436" s="31" t="n">
        <v>0</v>
      </c>
      <c r="T1436" s="32" t="n">
        <v>0</v>
      </c>
      <c r="U1436" s="31" t="n">
        <v>0</v>
      </c>
      <c r="V1436" s="31" t="n">
        <v>0</v>
      </c>
      <c r="W1436" s="3" t="n">
        <v>0</v>
      </c>
      <c r="X1436" s="3" t="n">
        <v>0</v>
      </c>
      <c r="Y1436" s="32" t="n">
        <v>0</v>
      </c>
      <c r="Z1436" s="3" t="n">
        <v>0</v>
      </c>
      <c r="AA1436" s="32" t="n">
        <v>0</v>
      </c>
      <c r="AB1436" s="3" t="n"/>
      <c r="AC1436" s="31" t="n">
        <v>0</v>
      </c>
      <c r="AD1436" s="2" t="n">
        <v>0</v>
      </c>
      <c r="AE1436" s="2" t="n">
        <v>153</v>
      </c>
      <c r="AF1436" s="4" t="n">
        <v>153</v>
      </c>
      <c r="AG1436" s="33" t="n">
        <v>0</v>
      </c>
      <c r="AH1436" s="4" t="n">
        <v>0</v>
      </c>
      <c r="AI1436" s="34" t="n"/>
      <c r="AJ1436" s="34" t="n">
        <v>0</v>
      </c>
      <c r="AK1436" s="2" t="n">
        <v>0</v>
      </c>
      <c r="AL1436" t="inlineStr">
        <is>
          <t>Published</t>
        </is>
      </c>
    </row>
    <row r="1437">
      <c r="A1437">
        <f>HYPERLINK("https://www.walmart.com/ip/6281619506", "6281619506")</f>
        <v/>
      </c>
      <c r="B1437">
        <f>HYPERLINK("https://app.optiwise.ai/catalog/itemdetails/9679550", "Tirrinia Lightweight Beach Poncho Towel with Hood for Adult Quick Dry Travel Surfer Pool Camping Beach Accessories Vacation Essential Summer")</f>
        <v/>
      </c>
      <c r="C1437" t="inlineStr">
        <is>
          <t>1TRBC201STARFISH</t>
        </is>
      </c>
      <c r="D1437" t="inlineStr">
        <is>
          <t>Sport &amp; Recreation Other</t>
        </is>
      </c>
      <c r="E1437" t="inlineStr">
        <is>
          <t>Towels &amp; Washcloths</t>
        </is>
      </c>
      <c r="F1437" t="inlineStr">
        <is>
          <t>Tirrinia</t>
        </is>
      </c>
      <c r="G1437" t="n">
        <v>0</v>
      </c>
      <c r="H1437" t="n">
        <v>0</v>
      </c>
      <c r="J1437" s="29" t="n">
        <v>0</v>
      </c>
      <c r="K1437" s="30" t="n"/>
      <c r="L1437" s="29" t="n">
        <v>0</v>
      </c>
      <c r="M1437" s="29" t="n">
        <v>0</v>
      </c>
      <c r="N1437" s="2" t="n">
        <v>0</v>
      </c>
      <c r="O1437" s="31" t="n">
        <v>0</v>
      </c>
      <c r="P1437" s="32" t="n"/>
      <c r="Q1437" s="32" t="n">
        <v>0</v>
      </c>
      <c r="R1437" s="32" t="n">
        <v>0</v>
      </c>
      <c r="S1437" s="31" t="n">
        <v>0</v>
      </c>
      <c r="T1437" s="32" t="n">
        <v>0</v>
      </c>
      <c r="U1437" s="31" t="n">
        <v>0</v>
      </c>
      <c r="V1437" s="31" t="n">
        <v>0</v>
      </c>
      <c r="W1437" s="3" t="n">
        <v>0</v>
      </c>
      <c r="X1437" s="3" t="n">
        <v>0</v>
      </c>
      <c r="Y1437" s="32" t="n">
        <v>0</v>
      </c>
      <c r="Z1437" s="3" t="n">
        <v>0</v>
      </c>
      <c r="AA1437" s="32" t="n">
        <v>0</v>
      </c>
      <c r="AB1437" s="3" t="n"/>
      <c r="AC1437" s="31" t="n">
        <v>0</v>
      </c>
      <c r="AD1437" s="2" t="n">
        <v>0</v>
      </c>
      <c r="AE1437" s="2" t="n">
        <v>30</v>
      </c>
      <c r="AF1437" s="4" t="n">
        <v>30</v>
      </c>
      <c r="AG1437" s="33" t="n">
        <v>0</v>
      </c>
      <c r="AH1437" s="4" t="n">
        <v>0</v>
      </c>
      <c r="AI1437" s="34" t="n"/>
      <c r="AJ1437" s="34" t="n">
        <v>0</v>
      </c>
      <c r="AK1437" s="2" t="n">
        <v>0</v>
      </c>
      <c r="AL1437" t="inlineStr">
        <is>
          <t>Published</t>
        </is>
      </c>
    </row>
    <row r="1438">
      <c r="A1438">
        <f>HYPERLINK("https://www.walmart.com/ip/5839249780", "5839249780")</f>
        <v/>
      </c>
      <c r="B1438">
        <f>HYPERLINK("https://app.optiwise.ai/catalog/itemdetails/9594108", "Tirrinia Comfort All-Season Robe, Ultra-Smooth Womens Robe, Breathable,Luxury for Everyday Indulgence, Skin-friendly")</f>
        <v/>
      </c>
      <c r="C1438" t="inlineStr">
        <is>
          <t>1TRRB505GY-3</t>
        </is>
      </c>
      <c r="D1438" t="inlineStr">
        <is>
          <t>Clothing</t>
        </is>
      </c>
      <c r="E1438" t="inlineStr">
        <is>
          <t>Sleepwear Robes &amp; Bathrobes</t>
        </is>
      </c>
      <c r="F1438" t="inlineStr">
        <is>
          <t>Tirrinia</t>
        </is>
      </c>
      <c r="G1438" t="n">
        <v>0</v>
      </c>
      <c r="H1438" t="n">
        <v>0</v>
      </c>
      <c r="J1438" s="29" t="n">
        <v>0</v>
      </c>
      <c r="K1438" s="30" t="n"/>
      <c r="L1438" s="29" t="n">
        <v>0</v>
      </c>
      <c r="M1438" s="29" t="n">
        <v>0</v>
      </c>
      <c r="N1438" s="2" t="n">
        <v>0</v>
      </c>
      <c r="O1438" s="31" t="n">
        <v>0</v>
      </c>
      <c r="P1438" s="32" t="n"/>
      <c r="Q1438" s="32" t="n">
        <v>0</v>
      </c>
      <c r="R1438" s="32" t="n">
        <v>0</v>
      </c>
      <c r="S1438" s="31" t="n">
        <v>0</v>
      </c>
      <c r="T1438" s="32" t="n">
        <v>0</v>
      </c>
      <c r="U1438" s="31" t="n">
        <v>0</v>
      </c>
      <c r="V1438" s="31" t="n">
        <v>0</v>
      </c>
      <c r="W1438" s="3" t="n">
        <v>0</v>
      </c>
      <c r="X1438" s="3" t="n">
        <v>0</v>
      </c>
      <c r="Y1438" s="32" t="n">
        <v>0</v>
      </c>
      <c r="Z1438" s="3" t="n">
        <v>0</v>
      </c>
      <c r="AA1438" s="32" t="n">
        <v>0</v>
      </c>
      <c r="AB1438" s="3" t="n"/>
      <c r="AC1438" s="31" t="n">
        <v>0</v>
      </c>
      <c r="AD1438" s="2" t="n">
        <v>0</v>
      </c>
      <c r="AE1438" s="2" t="n">
        <v>25</v>
      </c>
      <c r="AF1438" s="4" t="n">
        <v>25</v>
      </c>
      <c r="AG1438" s="33" t="n">
        <v>0</v>
      </c>
      <c r="AH1438" s="4" t="n">
        <v>0</v>
      </c>
      <c r="AI1438" s="34" t="n"/>
      <c r="AJ1438" s="34" t="n">
        <v>0</v>
      </c>
      <c r="AK1438" s="2" t="n">
        <v>0</v>
      </c>
      <c r="AL1438" t="inlineStr">
        <is>
          <t>Published</t>
        </is>
      </c>
    </row>
    <row r="1439">
      <c r="A1439">
        <f>HYPERLINK("https://www.walmart.com/ip/6163367974", "6163367974")</f>
        <v/>
      </c>
      <c r="B1439">
        <f>HYPERLINK("https://app.optiwise.ai/catalog/itemdetails/9591766", "Tirrinia Comfort All-Season Robe, Ultra-Smooth Womens Robe, Breathable,Luxury for Everyday Indulgence, Skin-friendly")</f>
        <v/>
      </c>
      <c r="C1439" t="inlineStr">
        <is>
          <t>1TRRB505PK-3</t>
        </is>
      </c>
      <c r="D1439" t="inlineStr">
        <is>
          <t>Clothing</t>
        </is>
      </c>
      <c r="E1439" t="inlineStr">
        <is>
          <t>Sleepwear Robes &amp; Bathrobes</t>
        </is>
      </c>
      <c r="F1439" t="inlineStr">
        <is>
          <t>Tirrinia</t>
        </is>
      </c>
      <c r="G1439" t="n">
        <v>0</v>
      </c>
      <c r="H1439" t="n">
        <v>0</v>
      </c>
      <c r="J1439" s="29" t="n">
        <v>0</v>
      </c>
      <c r="K1439" s="30" t="n"/>
      <c r="L1439" s="29" t="n">
        <v>0</v>
      </c>
      <c r="M1439" s="29" t="n">
        <v>0</v>
      </c>
      <c r="N1439" s="2" t="n">
        <v>0</v>
      </c>
      <c r="O1439" s="31" t="n">
        <v>0</v>
      </c>
      <c r="P1439" s="32" t="n"/>
      <c r="Q1439" s="32" t="n">
        <v>0</v>
      </c>
      <c r="R1439" s="32" t="n">
        <v>0</v>
      </c>
      <c r="S1439" s="31" t="n">
        <v>0</v>
      </c>
      <c r="T1439" s="32" t="n">
        <v>0</v>
      </c>
      <c r="U1439" s="31" t="n">
        <v>0</v>
      </c>
      <c r="V1439" s="31" t="n">
        <v>0</v>
      </c>
      <c r="W1439" s="3" t="n">
        <v>0</v>
      </c>
      <c r="X1439" s="3" t="n">
        <v>0</v>
      </c>
      <c r="Y1439" s="32" t="n">
        <v>0</v>
      </c>
      <c r="Z1439" s="3" t="n">
        <v>0</v>
      </c>
      <c r="AA1439" s="32" t="n">
        <v>0</v>
      </c>
      <c r="AB1439" s="3" t="n"/>
      <c r="AC1439" s="31" t="n">
        <v>0</v>
      </c>
      <c r="AD1439" s="2" t="n">
        <v>0</v>
      </c>
      <c r="AE1439" s="2" t="n">
        <v>21</v>
      </c>
      <c r="AF1439" s="4" t="n">
        <v>21</v>
      </c>
      <c r="AG1439" s="33" t="n">
        <v>0</v>
      </c>
      <c r="AH1439" s="4" t="n">
        <v>0</v>
      </c>
      <c r="AI1439" s="34" t="n"/>
      <c r="AJ1439" s="34" t="n">
        <v>0</v>
      </c>
      <c r="AK1439" s="2" t="n">
        <v>0</v>
      </c>
      <c r="AL1439" t="inlineStr">
        <is>
          <t>Published</t>
        </is>
      </c>
    </row>
    <row r="1440">
      <c r="A1440">
        <f>HYPERLINK("https://www.walmart.com/ip/6121103620", "6121103620")</f>
        <v/>
      </c>
      <c r="B1440">
        <f>HYPERLINK("https://app.optiwise.ai/catalog/itemdetails/9588098", "Catalonia Cooling Blanket for Hot Sleepers, Summer Bed Blanket for Warm Night Sweat, Cool Sofa Throw Blanket for Hot Flashes, Soft Thin Lightweight Blanket for Adults Kids")</f>
        <v/>
      </c>
      <c r="C1440" t="inlineStr">
        <is>
          <t>1CTBQ10157GY</t>
        </is>
      </c>
      <c r="D1440" t="inlineStr">
        <is>
          <t>Bedding</t>
        </is>
      </c>
      <c r="E1440" t="inlineStr">
        <is>
          <t>Throws</t>
        </is>
      </c>
      <c r="F1440" t="inlineStr">
        <is>
          <t>Catalonia</t>
        </is>
      </c>
      <c r="G1440" t="n">
        <v>0</v>
      </c>
      <c r="H1440" t="n">
        <v>0</v>
      </c>
      <c r="J1440" s="29" t="n">
        <v>0</v>
      </c>
      <c r="K1440" s="30" t="n"/>
      <c r="L1440" s="29" t="n">
        <v>0</v>
      </c>
      <c r="M1440" s="29" t="n">
        <v>0</v>
      </c>
      <c r="N1440" s="2" t="n">
        <v>0</v>
      </c>
      <c r="O1440" s="31" t="n">
        <v>0</v>
      </c>
      <c r="P1440" s="32" t="n"/>
      <c r="Q1440" s="32" t="n">
        <v>0</v>
      </c>
      <c r="R1440" s="32" t="n">
        <v>0</v>
      </c>
      <c r="S1440" s="31" t="n">
        <v>0</v>
      </c>
      <c r="T1440" s="32" t="n">
        <v>0</v>
      </c>
      <c r="U1440" s="31" t="n">
        <v>0</v>
      </c>
      <c r="V1440" s="31" t="n">
        <v>0</v>
      </c>
      <c r="W1440" s="3" t="n">
        <v>0</v>
      </c>
      <c r="X1440" s="3" t="n">
        <v>0</v>
      </c>
      <c r="Y1440" s="32" t="n">
        <v>0</v>
      </c>
      <c r="Z1440" s="3" t="n">
        <v>0</v>
      </c>
      <c r="AA1440" s="32" t="n">
        <v>0</v>
      </c>
      <c r="AB1440" s="3" t="n"/>
      <c r="AC1440" s="31" t="n">
        <v>0</v>
      </c>
      <c r="AD1440" s="2" t="n">
        <v>0</v>
      </c>
      <c r="AE1440" s="2" t="n">
        <v>18</v>
      </c>
      <c r="AF1440" s="4" t="n">
        <v>18</v>
      </c>
      <c r="AG1440" s="33" t="n">
        <v>0</v>
      </c>
      <c r="AH1440" s="4" t="n">
        <v>0</v>
      </c>
      <c r="AI1440" s="34" t="n"/>
      <c r="AJ1440" s="34" t="n">
        <v>0</v>
      </c>
      <c r="AK1440" s="2" t="n">
        <v>0</v>
      </c>
      <c r="AL1440" t="inlineStr">
        <is>
          <t>Published</t>
        </is>
      </c>
    </row>
    <row r="1441">
      <c r="A1441">
        <f>HYPERLINK("https://www.walmart.com/ip/6117850950", "6117850950")</f>
        <v/>
      </c>
      <c r="B1441">
        <f>HYPERLINK("https://app.optiwise.ai/catalog/itemdetails/9588096", "Catalonia Cooling Blanket for Hot Sleepers, Summer Bed Blanket for Warm Night Sweat, Cool Sofa Throw Blanket for Hot Flashes, Soft Thin Lightweight Blanket for Adults Kids")</f>
        <v/>
      </c>
      <c r="C1441" t="inlineStr">
        <is>
          <t>1CTBQ10169GN</t>
        </is>
      </c>
      <c r="D1441" t="inlineStr">
        <is>
          <t>Bedding</t>
        </is>
      </c>
      <c r="E1441" t="inlineStr">
        <is>
          <t>Throws</t>
        </is>
      </c>
      <c r="F1441" t="inlineStr">
        <is>
          <t>Catalonia</t>
        </is>
      </c>
      <c r="G1441" t="n">
        <v>0</v>
      </c>
      <c r="H1441" t="n">
        <v>0</v>
      </c>
      <c r="J1441" s="29" t="n">
        <v>0</v>
      </c>
      <c r="K1441" s="30" t="n"/>
      <c r="L1441" s="29" t="n">
        <v>0</v>
      </c>
      <c r="M1441" s="29" t="n">
        <v>0</v>
      </c>
      <c r="N1441" s="2" t="n">
        <v>0</v>
      </c>
      <c r="O1441" s="31" t="n">
        <v>0</v>
      </c>
      <c r="P1441" s="32" t="n"/>
      <c r="Q1441" s="32" t="n">
        <v>0</v>
      </c>
      <c r="R1441" s="32" t="n">
        <v>0</v>
      </c>
      <c r="S1441" s="31" t="n">
        <v>0</v>
      </c>
      <c r="T1441" s="32" t="n">
        <v>0</v>
      </c>
      <c r="U1441" s="31" t="n">
        <v>0</v>
      </c>
      <c r="V1441" s="31" t="n">
        <v>0</v>
      </c>
      <c r="W1441" s="3" t="n">
        <v>0</v>
      </c>
      <c r="X1441" s="3" t="n">
        <v>0</v>
      </c>
      <c r="Y1441" s="32" t="n">
        <v>0</v>
      </c>
      <c r="Z1441" s="3" t="n">
        <v>0</v>
      </c>
      <c r="AA1441" s="32" t="n">
        <v>0</v>
      </c>
      <c r="AB1441" s="3" t="n"/>
      <c r="AC1441" s="31" t="n">
        <v>0</v>
      </c>
      <c r="AD1441" s="2" t="n">
        <v>0</v>
      </c>
      <c r="AE1441" s="2" t="n">
        <v>7</v>
      </c>
      <c r="AF1441" s="4" t="n">
        <v>7</v>
      </c>
      <c r="AG1441" s="33" t="n">
        <v>0</v>
      </c>
      <c r="AH1441" s="4" t="n">
        <v>0</v>
      </c>
      <c r="AI1441" s="34" t="n"/>
      <c r="AJ1441" s="34" t="n">
        <v>0</v>
      </c>
      <c r="AK1441" s="2" t="n">
        <v>0</v>
      </c>
      <c r="AL1441" t="inlineStr">
        <is>
          <t>Published</t>
        </is>
      </c>
    </row>
    <row r="1442">
      <c r="A1442">
        <f>HYPERLINK("https://www.walmart.com/ip/6105217432", "6105217432")</f>
        <v/>
      </c>
      <c r="B1442">
        <f>HYPERLINK("https://app.optiwise.ai/catalog/itemdetails/9588094", "Catalonia Cooling Blanket for Hot Sleepers, Summer Bed Blanket for Warm Night Sweat, Cool Sofa Throw Blanket for Hot Flashes, Soft Thin Lightweight Blanket for Adults Kids")</f>
        <v/>
      </c>
      <c r="C1442" t="inlineStr">
        <is>
          <t>1CTBQ10119GN</t>
        </is>
      </c>
      <c r="D1442" t="inlineStr">
        <is>
          <t>Bedding</t>
        </is>
      </c>
      <c r="E1442" t="inlineStr">
        <is>
          <t>Throws</t>
        </is>
      </c>
      <c r="F1442" t="inlineStr">
        <is>
          <t>Catalonia</t>
        </is>
      </c>
      <c r="G1442" t="n">
        <v>0</v>
      </c>
      <c r="H1442" t="n">
        <v>0</v>
      </c>
      <c r="J1442" s="29" t="n">
        <v>0</v>
      </c>
      <c r="K1442" s="30" t="n"/>
      <c r="L1442" s="29" t="n">
        <v>0</v>
      </c>
      <c r="M1442" s="29" t="n">
        <v>0</v>
      </c>
      <c r="N1442" s="2" t="n">
        <v>0</v>
      </c>
      <c r="O1442" s="31" t="n">
        <v>0</v>
      </c>
      <c r="P1442" s="32" t="n"/>
      <c r="Q1442" s="32" t="n">
        <v>0</v>
      </c>
      <c r="R1442" s="32" t="n">
        <v>0</v>
      </c>
      <c r="S1442" s="31" t="n">
        <v>0</v>
      </c>
      <c r="T1442" s="32" t="n">
        <v>0</v>
      </c>
      <c r="U1442" s="31" t="n">
        <v>0</v>
      </c>
      <c r="V1442" s="31" t="n">
        <v>0</v>
      </c>
      <c r="W1442" s="3" t="n">
        <v>0</v>
      </c>
      <c r="X1442" s="3" t="n">
        <v>0</v>
      </c>
      <c r="Y1442" s="32" t="n">
        <v>0</v>
      </c>
      <c r="Z1442" s="3" t="n">
        <v>0</v>
      </c>
      <c r="AA1442" s="32" t="n">
        <v>0</v>
      </c>
      <c r="AB1442" s="3" t="n"/>
      <c r="AC1442" s="31" t="n">
        <v>0</v>
      </c>
      <c r="AD1442" s="2" t="n">
        <v>0</v>
      </c>
      <c r="AE1442" s="2" t="n">
        <v>6</v>
      </c>
      <c r="AF1442" s="4" t="n">
        <v>6</v>
      </c>
      <c r="AG1442" s="33" t="n">
        <v>0</v>
      </c>
      <c r="AH1442" s="4" t="n">
        <v>0</v>
      </c>
      <c r="AI1442" s="34" t="n"/>
      <c r="AJ1442" s="34" t="n">
        <v>0</v>
      </c>
      <c r="AK1442" s="2" t="n">
        <v>0</v>
      </c>
      <c r="AL1442" t="inlineStr">
        <is>
          <t>Published</t>
        </is>
      </c>
    </row>
    <row r="1443">
      <c r="A1443">
        <f>HYPERLINK("https://www.walmart.com/ip/5796843752", "5796843752")</f>
        <v/>
      </c>
      <c r="B1443">
        <f>HYPERLINK("https://app.optiwise.ai/catalog/itemdetails/9588093", "Tirrinia Surf Poncho Changing Towel, Lightweight Surf Hooded Beach Towel Quick Dry, Portable Dressing Room for Surfing Beach Pool Summer Camping Adult Women Men Gift Shark")</f>
        <v/>
      </c>
      <c r="C1443" t="inlineStr">
        <is>
          <t>1TRBR101SURFBOARD</t>
        </is>
      </c>
      <c r="D1443" t="inlineStr">
        <is>
          <t>Clothing</t>
        </is>
      </c>
      <c r="E1443" t="inlineStr">
        <is>
          <t>Sleepwear Robes &amp; Bathrobes</t>
        </is>
      </c>
      <c r="F1443" t="inlineStr">
        <is>
          <t>Tirrinia</t>
        </is>
      </c>
      <c r="G1443" t="n">
        <v>0</v>
      </c>
      <c r="H1443" t="n">
        <v>0</v>
      </c>
      <c r="J1443" s="29" t="n">
        <v>0</v>
      </c>
      <c r="K1443" s="30" t="n"/>
      <c r="L1443" s="29" t="n">
        <v>0</v>
      </c>
      <c r="M1443" s="29" t="n">
        <v>0</v>
      </c>
      <c r="N1443" s="2" t="n">
        <v>0</v>
      </c>
      <c r="O1443" s="31" t="n">
        <v>0</v>
      </c>
      <c r="P1443" s="32" t="n"/>
      <c r="Q1443" s="32" t="n">
        <v>0</v>
      </c>
      <c r="R1443" s="32" t="n">
        <v>0</v>
      </c>
      <c r="S1443" s="31" t="n">
        <v>0</v>
      </c>
      <c r="T1443" s="32" t="n">
        <v>0</v>
      </c>
      <c r="U1443" s="31" t="n">
        <v>0</v>
      </c>
      <c r="V1443" s="31" t="n">
        <v>0</v>
      </c>
      <c r="W1443" s="3" t="n">
        <v>0</v>
      </c>
      <c r="X1443" s="3" t="n">
        <v>0</v>
      </c>
      <c r="Y1443" s="32" t="n">
        <v>0</v>
      </c>
      <c r="Z1443" s="3" t="n">
        <v>0</v>
      </c>
      <c r="AA1443" s="32" t="n">
        <v>0</v>
      </c>
      <c r="AB1443" s="3" t="n"/>
      <c r="AC1443" s="31" t="n">
        <v>0</v>
      </c>
      <c r="AD1443" s="2" t="n">
        <v>0</v>
      </c>
      <c r="AE1443" s="2" t="n">
        <v>20</v>
      </c>
      <c r="AF1443" s="4" t="n">
        <v>20</v>
      </c>
      <c r="AG1443" s="33" t="n">
        <v>0</v>
      </c>
      <c r="AH1443" s="4" t="n">
        <v>0</v>
      </c>
      <c r="AI1443" s="34" t="n"/>
      <c r="AJ1443" s="34" t="n">
        <v>0</v>
      </c>
      <c r="AK1443" s="2" t="n">
        <v>0</v>
      </c>
      <c r="AL1443" t="inlineStr">
        <is>
          <t>Published</t>
        </is>
      </c>
    </row>
    <row r="1444">
      <c r="A1444">
        <f>HYPERLINK("https://www.walmart.com/ip/6129366271", "6129366271")</f>
        <v/>
      </c>
      <c r="B1444">
        <f>HYPERLINK("https://app.optiwise.ai/catalog/itemdetails/9588092", "Tirrinia Surf Poncho Changing Towel Summer Swim Robe with Hood, Portable Dressing Room, Stylish &amp; Multi-Functional for Surfing Beach Adult Men Women")</f>
        <v/>
      </c>
      <c r="C1444" t="inlineStr">
        <is>
          <t>1TRBR131BK-4</t>
        </is>
      </c>
      <c r="D1444" t="inlineStr">
        <is>
          <t>Clothing</t>
        </is>
      </c>
      <c r="E1444" t="inlineStr">
        <is>
          <t>default</t>
        </is>
      </c>
      <c r="F1444" t="inlineStr">
        <is>
          <t>Tirrinia</t>
        </is>
      </c>
      <c r="G1444" t="n">
        <v>0</v>
      </c>
      <c r="H1444" t="n">
        <v>0</v>
      </c>
      <c r="J1444" s="29" t="n">
        <v>0</v>
      </c>
      <c r="K1444" s="30" t="n"/>
      <c r="L1444" s="29" t="n">
        <v>0</v>
      </c>
      <c r="M1444" s="29" t="n">
        <v>0</v>
      </c>
      <c r="N1444" s="2" t="n">
        <v>0</v>
      </c>
      <c r="O1444" s="31" t="n">
        <v>0</v>
      </c>
      <c r="P1444" s="32" t="n"/>
      <c r="Q1444" s="32" t="n">
        <v>0</v>
      </c>
      <c r="R1444" s="32" t="n">
        <v>0</v>
      </c>
      <c r="S1444" s="31" t="n">
        <v>0</v>
      </c>
      <c r="T1444" s="32" t="n">
        <v>0</v>
      </c>
      <c r="U1444" s="31" t="n">
        <v>0</v>
      </c>
      <c r="V1444" s="31" t="n">
        <v>0</v>
      </c>
      <c r="W1444" s="3" t="n">
        <v>0</v>
      </c>
      <c r="X1444" s="3" t="n">
        <v>0</v>
      </c>
      <c r="Y1444" s="32" t="n">
        <v>0</v>
      </c>
      <c r="Z1444" s="3" t="n">
        <v>0</v>
      </c>
      <c r="AA1444" s="32" t="n">
        <v>0</v>
      </c>
      <c r="AB1444" s="3" t="n"/>
      <c r="AC1444" s="31" t="n">
        <v>0</v>
      </c>
      <c r="AD1444" s="2" t="n">
        <v>0</v>
      </c>
      <c r="AE1444" s="2" t="n">
        <v>1</v>
      </c>
      <c r="AF1444" s="4" t="n">
        <v>1</v>
      </c>
      <c r="AG1444" s="33" t="n">
        <v>0</v>
      </c>
      <c r="AH1444" s="4" t="n">
        <v>0</v>
      </c>
      <c r="AI1444" s="34" t="n"/>
      <c r="AJ1444" s="34" t="n">
        <v>0</v>
      </c>
      <c r="AK1444" s="2" t="n">
        <v>0</v>
      </c>
      <c r="AL1444" t="inlineStr">
        <is>
          <t>Published</t>
        </is>
      </c>
    </row>
    <row r="1445">
      <c r="A1445">
        <f>HYPERLINK("https://www.walmart.com/ip/6125451747", "6125451747")</f>
        <v/>
      </c>
      <c r="B1445">
        <f>HYPERLINK("https://app.optiwise.ai/catalog/itemdetails/9588091", "Tirrinia 4-in-1 Travel Blanket Luxurious Premium Micro Fleece Lightweight 40” x 60” Grey")</f>
        <v/>
      </c>
      <c r="C1445" t="inlineStr">
        <is>
          <t>1TRTB103GY</t>
        </is>
      </c>
      <c r="D1445" t="inlineStr">
        <is>
          <t>Bedding</t>
        </is>
      </c>
      <c r="E1445" t="inlineStr">
        <is>
          <t>Other Travel Accessories</t>
        </is>
      </c>
      <c r="F1445" t="inlineStr">
        <is>
          <t>Tirrinia</t>
        </is>
      </c>
      <c r="G1445" t="n">
        <v>0</v>
      </c>
      <c r="H1445" t="n">
        <v>0</v>
      </c>
      <c r="J1445" s="29" t="n">
        <v>0</v>
      </c>
      <c r="K1445" s="30" t="n"/>
      <c r="L1445" s="29" t="n">
        <v>0</v>
      </c>
      <c r="M1445" s="29" t="n">
        <v>0</v>
      </c>
      <c r="N1445" s="2" t="n">
        <v>0</v>
      </c>
      <c r="O1445" s="31" t="n">
        <v>0</v>
      </c>
      <c r="P1445" s="32" t="n"/>
      <c r="Q1445" s="32" t="n">
        <v>0</v>
      </c>
      <c r="R1445" s="32" t="n">
        <v>0</v>
      </c>
      <c r="S1445" s="31" t="n">
        <v>0</v>
      </c>
      <c r="T1445" s="32" t="n">
        <v>0</v>
      </c>
      <c r="U1445" s="31" t="n">
        <v>0</v>
      </c>
      <c r="V1445" s="31" t="n">
        <v>0</v>
      </c>
      <c r="W1445" s="3" t="n">
        <v>0</v>
      </c>
      <c r="X1445" s="3" t="n">
        <v>0</v>
      </c>
      <c r="Y1445" s="32" t="n">
        <v>0</v>
      </c>
      <c r="Z1445" s="3" t="n">
        <v>0</v>
      </c>
      <c r="AA1445" s="32" t="n">
        <v>0</v>
      </c>
      <c r="AB1445" s="3" t="n"/>
      <c r="AC1445" s="31" t="n">
        <v>0</v>
      </c>
      <c r="AD1445" s="2" t="n">
        <v>0</v>
      </c>
      <c r="AE1445" s="2" t="n">
        <v>12</v>
      </c>
      <c r="AF1445" s="4" t="n">
        <v>12</v>
      </c>
      <c r="AG1445" s="33" t="n">
        <v>0</v>
      </c>
      <c r="AH1445" s="4" t="n">
        <v>0</v>
      </c>
      <c r="AI1445" s="34" t="n"/>
      <c r="AJ1445" s="34" t="n">
        <v>0</v>
      </c>
      <c r="AK1445" s="2" t="n">
        <v>0</v>
      </c>
      <c r="AL1445" t="inlineStr">
        <is>
          <t>Published</t>
        </is>
      </c>
    </row>
    <row r="1446">
      <c r="A1446">
        <f>HYPERLINK("https://www.walmart.com/ip/6109704781", "6109704781")</f>
        <v/>
      </c>
      <c r="B1446">
        <f>HYPERLINK("https://app.optiwise.ai/catalog/itemdetails/9588090", "Catalonia Cooling Blanket for Hot Sleepers, Summer Bed Blanket for Warm Night Sweat, Cool Sofa Throw Blanket for Hot Flashes, Soft Thin Lightweight Blanket for Adults Kids")</f>
        <v/>
      </c>
      <c r="C1446" t="inlineStr">
        <is>
          <t>1CTBQ10157GN</t>
        </is>
      </c>
      <c r="D1446" t="inlineStr">
        <is>
          <t>Bedding</t>
        </is>
      </c>
      <c r="E1446" t="inlineStr">
        <is>
          <t>Throws</t>
        </is>
      </c>
      <c r="F1446" t="inlineStr">
        <is>
          <t>Catalonia</t>
        </is>
      </c>
      <c r="G1446" t="n">
        <v>0</v>
      </c>
      <c r="H1446" t="n">
        <v>0</v>
      </c>
      <c r="J1446" s="29" t="n">
        <v>0</v>
      </c>
      <c r="K1446" s="30" t="n"/>
      <c r="L1446" s="29" t="n">
        <v>0</v>
      </c>
      <c r="M1446" s="29" t="n">
        <v>0</v>
      </c>
      <c r="N1446" s="2" t="n">
        <v>0</v>
      </c>
      <c r="O1446" s="31" t="n">
        <v>0</v>
      </c>
      <c r="P1446" s="32" t="n"/>
      <c r="Q1446" s="32" t="n">
        <v>0</v>
      </c>
      <c r="R1446" s="32" t="n">
        <v>0</v>
      </c>
      <c r="S1446" s="31" t="n">
        <v>0</v>
      </c>
      <c r="T1446" s="32" t="n">
        <v>0</v>
      </c>
      <c r="U1446" s="31" t="n">
        <v>0</v>
      </c>
      <c r="V1446" s="31" t="n">
        <v>0</v>
      </c>
      <c r="W1446" s="3" t="n">
        <v>0</v>
      </c>
      <c r="X1446" s="3" t="n">
        <v>0</v>
      </c>
      <c r="Y1446" s="32" t="n">
        <v>0</v>
      </c>
      <c r="Z1446" s="3" t="n">
        <v>0</v>
      </c>
      <c r="AA1446" s="32" t="n">
        <v>0</v>
      </c>
      <c r="AB1446" s="3" t="n"/>
      <c r="AC1446" s="31" t="n">
        <v>0</v>
      </c>
      <c r="AD1446" s="2" t="n">
        <v>0</v>
      </c>
      <c r="AE1446" s="2" t="n">
        <v>18</v>
      </c>
      <c r="AF1446" s="4" t="n">
        <v>18</v>
      </c>
      <c r="AG1446" s="33" t="n">
        <v>0</v>
      </c>
      <c r="AH1446" s="4" t="n">
        <v>0</v>
      </c>
      <c r="AI1446" s="34" t="n"/>
      <c r="AJ1446" s="34" t="n">
        <v>0</v>
      </c>
      <c r="AK1446" s="2" t="n">
        <v>0</v>
      </c>
      <c r="AL1446" t="inlineStr">
        <is>
          <t>Published</t>
        </is>
      </c>
    </row>
    <row r="1447">
      <c r="A1447">
        <f>HYPERLINK("https://www.walmart.com/ip/9528713966", "9528713966")</f>
        <v/>
      </c>
      <c r="B1447">
        <f>HYPERLINK("https://app.optiwise.ai/catalog/itemdetails/9941258", "Wrangler Yellowstone Sturdy Laptop Backpack for Travel, Hiking Backpack with Classic Logo, Water Resistant Casual Daypack, Padded Sleeve College Backpack for Notebook, Teal Patterned")</f>
        <v/>
      </c>
      <c r="C1447" t="inlineStr">
        <is>
          <t>WR-BACKPACK-16273-TEAL</t>
        </is>
      </c>
      <c r="D1447" t="inlineStr">
        <is>
          <t>Cases &amp; Bags</t>
        </is>
      </c>
      <c r="E1447" t="inlineStr">
        <is>
          <t>Backpacks</t>
        </is>
      </c>
      <c r="F1447" t="inlineStr">
        <is>
          <t>Wrangler</t>
        </is>
      </c>
      <c r="G1447" t="n">
        <v>0</v>
      </c>
      <c r="H1447" t="n">
        <v>0</v>
      </c>
      <c r="I1447" t="inlineStr">
        <is>
          <t>Backpack</t>
        </is>
      </c>
      <c r="J1447" s="29" t="n">
        <v>0</v>
      </c>
      <c r="K1447" s="30" t="n"/>
      <c r="L1447" s="29" t="n">
        <v>0</v>
      </c>
      <c r="M1447" s="29" t="n">
        <v>0</v>
      </c>
      <c r="N1447" s="2" t="n">
        <v>0</v>
      </c>
      <c r="O1447" s="31" t="n">
        <v>0</v>
      </c>
      <c r="P1447" s="32" t="n"/>
      <c r="Q1447" s="32" t="n">
        <v>0</v>
      </c>
      <c r="R1447" s="32" t="n">
        <v>0.0236</v>
      </c>
      <c r="S1447" s="31" t="n">
        <v>0</v>
      </c>
      <c r="T1447" s="32" t="n">
        <v>0</v>
      </c>
      <c r="U1447" s="31" t="n">
        <v>0</v>
      </c>
      <c r="V1447" s="31" t="n">
        <v>0</v>
      </c>
      <c r="W1447" s="3" t="n">
        <v>0</v>
      </c>
      <c r="X1447" s="3" t="n">
        <v>0</v>
      </c>
      <c r="Y1447" s="32" t="n">
        <v>0</v>
      </c>
      <c r="Z1447" s="3" t="n">
        <v>0</v>
      </c>
      <c r="AA1447" s="32" t="n">
        <v>0</v>
      </c>
      <c r="AB1447" s="3" t="n"/>
      <c r="AC1447" s="31" t="n">
        <v>0</v>
      </c>
      <c r="AD1447" s="2" t="n">
        <v>0</v>
      </c>
      <c r="AE1447" s="2" t="n">
        <v>25</v>
      </c>
      <c r="AF1447" s="4" t="n">
        <v>25</v>
      </c>
      <c r="AG1447" s="33" t="n">
        <v>0</v>
      </c>
      <c r="AH1447" s="4" t="n">
        <v>0</v>
      </c>
      <c r="AI1447" s="34" t="n"/>
      <c r="AJ1447" s="34" t="n">
        <v>0</v>
      </c>
      <c r="AK1447" s="2" t="n">
        <v>0</v>
      </c>
      <c r="AL1447" t="inlineStr">
        <is>
          <t>Published</t>
        </is>
      </c>
    </row>
    <row r="1448">
      <c r="A1448">
        <f>HYPERLINK("https://www.walmart.com/ip/9513964719", "9513964719")</f>
        <v/>
      </c>
      <c r="B1448">
        <f>HYPERLINK("https://app.optiwise.ai/catalog/itemdetails/9941264", "Wrangler Yellowstone Sturdy Laptop Backpack for Travel, Hiking Backpack with Classic Logo, Water Resistant Casual Daypack, Padded Sleeve College Backpack for Notebook, Navy Denim")</f>
        <v/>
      </c>
      <c r="C1448" t="inlineStr">
        <is>
          <t>WR-BACKPACK-16273-NVYDENIM</t>
        </is>
      </c>
      <c r="D1448" t="inlineStr">
        <is>
          <t>Cases &amp; Bags</t>
        </is>
      </c>
      <c r="E1448" t="inlineStr">
        <is>
          <t>Backpacks</t>
        </is>
      </c>
      <c r="F1448" t="inlineStr">
        <is>
          <t>Wrangler</t>
        </is>
      </c>
      <c r="G1448" t="n">
        <v>0</v>
      </c>
      <c r="H1448" t="n">
        <v>0</v>
      </c>
      <c r="I1448" t="inlineStr">
        <is>
          <t>Backpack</t>
        </is>
      </c>
      <c r="J1448" s="29" t="n">
        <v>0</v>
      </c>
      <c r="K1448" s="30" t="n"/>
      <c r="L1448" s="29" t="n">
        <v>0</v>
      </c>
      <c r="M1448" s="29" t="n">
        <v>0</v>
      </c>
      <c r="N1448" s="2" t="n">
        <v>0</v>
      </c>
      <c r="O1448" s="31" t="n">
        <v>0</v>
      </c>
      <c r="P1448" s="32" t="n"/>
      <c r="Q1448" s="32" t="n">
        <v>0</v>
      </c>
      <c r="R1448" s="32" t="n">
        <v>0</v>
      </c>
      <c r="S1448" s="31" t="n">
        <v>0</v>
      </c>
      <c r="T1448" s="32" t="n">
        <v>0</v>
      </c>
      <c r="U1448" s="31" t="n">
        <v>0</v>
      </c>
      <c r="V1448" s="31" t="n">
        <v>0</v>
      </c>
      <c r="W1448" s="3" t="n">
        <v>0</v>
      </c>
      <c r="X1448" s="3" t="n">
        <v>0</v>
      </c>
      <c r="Y1448" s="32" t="n">
        <v>0</v>
      </c>
      <c r="Z1448" s="3" t="n">
        <v>0</v>
      </c>
      <c r="AA1448" s="32" t="n">
        <v>0</v>
      </c>
      <c r="AB1448" s="3" t="n"/>
      <c r="AC1448" s="31" t="n">
        <v>0</v>
      </c>
      <c r="AD1448" s="2" t="n">
        <v>0</v>
      </c>
      <c r="AE1448" s="2" t="n">
        <v>5</v>
      </c>
      <c r="AF1448" s="4" t="n">
        <v>5</v>
      </c>
      <c r="AG1448" s="33" t="n">
        <v>0</v>
      </c>
      <c r="AH1448" s="4" t="n">
        <v>0</v>
      </c>
      <c r="AI1448" s="34" t="n"/>
      <c r="AJ1448" s="34" t="n">
        <v>0</v>
      </c>
      <c r="AK1448" s="2" t="n">
        <v>0</v>
      </c>
      <c r="AL1448" t="inlineStr">
        <is>
          <t>Published</t>
        </is>
      </c>
    </row>
    <row r="1449">
      <c r="A1449">
        <f>HYPERLINK("https://www.walmart.com/ip/9523620713", "9523620713")</f>
        <v/>
      </c>
      <c r="B1449">
        <f>HYPERLINK("https://app.optiwise.ai/catalog/itemdetails/9941266", "Wrangler Yellowstone Sturdy Laptop Backpack for Travel, Hiking Backpack with Classic Logo, Water Resistant Casual Daypack, Padded Sleeve College Backpack for Notebook, Wild West")</f>
        <v/>
      </c>
      <c r="C1449" t="inlineStr">
        <is>
          <t>WR-BACKPACK-16273-WILDWEST</t>
        </is>
      </c>
      <c r="D1449" t="inlineStr">
        <is>
          <t>Cases &amp; Bags</t>
        </is>
      </c>
      <c r="E1449" t="inlineStr">
        <is>
          <t>Backpacks</t>
        </is>
      </c>
      <c r="F1449" t="inlineStr">
        <is>
          <t>Wrangler</t>
        </is>
      </c>
      <c r="G1449" t="n">
        <v>0</v>
      </c>
      <c r="H1449" t="n">
        <v>0</v>
      </c>
      <c r="I1449" t="inlineStr">
        <is>
          <t>Backpack</t>
        </is>
      </c>
      <c r="J1449" s="29" t="n">
        <v>0</v>
      </c>
      <c r="K1449" s="30" t="n"/>
      <c r="L1449" s="29" t="n">
        <v>0</v>
      </c>
      <c r="M1449" s="29" t="n">
        <v>0</v>
      </c>
      <c r="N1449" s="2" t="n">
        <v>0</v>
      </c>
      <c r="O1449" s="31" t="n">
        <v>0</v>
      </c>
      <c r="P1449" s="32" t="n"/>
      <c r="Q1449" s="32" t="n">
        <v>0</v>
      </c>
      <c r="R1449" s="32" t="n">
        <v>0</v>
      </c>
      <c r="S1449" s="31" t="n">
        <v>0</v>
      </c>
      <c r="T1449" s="32" t="n">
        <v>0</v>
      </c>
      <c r="U1449" s="31" t="n">
        <v>0</v>
      </c>
      <c r="V1449" s="31" t="n">
        <v>0</v>
      </c>
      <c r="W1449" s="3" t="n">
        <v>0</v>
      </c>
      <c r="X1449" s="3" t="n">
        <v>0</v>
      </c>
      <c r="Y1449" s="32" t="n">
        <v>0</v>
      </c>
      <c r="Z1449" s="3" t="n">
        <v>0</v>
      </c>
      <c r="AA1449" s="32" t="n">
        <v>0</v>
      </c>
      <c r="AB1449" s="3" t="n"/>
      <c r="AC1449" s="31" t="n">
        <v>0</v>
      </c>
      <c r="AD1449" s="2" t="n">
        <v>0</v>
      </c>
      <c r="AE1449" s="2" t="n">
        <v>20</v>
      </c>
      <c r="AF1449" s="4" t="n">
        <v>20</v>
      </c>
      <c r="AG1449" s="33" t="n">
        <v>0</v>
      </c>
      <c r="AH1449" s="4" t="n">
        <v>0</v>
      </c>
      <c r="AI1449" s="34" t="n"/>
      <c r="AJ1449" s="34" t="n">
        <v>0</v>
      </c>
      <c r="AK1449" s="2" t="n">
        <v>0</v>
      </c>
      <c r="AL1449" t="inlineStr">
        <is>
          <t>Published</t>
        </is>
      </c>
    </row>
    <row r="1450">
      <c r="A1450">
        <f>HYPERLINK("https://www.walmart.com/ip/9526874803", "9526874803")</f>
        <v/>
      </c>
      <c r="B1450">
        <f>HYPERLINK("https://app.optiwise.ai/catalog/itemdetails/9941267", "Wrangler Yellowstone Sturdy Laptop Backpack for Travel, Hiking Backpack with Classic Logo, Water Resistant Casual Daypack, Padded Sleeve College Backpack for Notebook, Black Denim")</f>
        <v/>
      </c>
      <c r="C1450" t="inlineStr">
        <is>
          <t>WR-BACKPACK-16273-BLKDENIM</t>
        </is>
      </c>
      <c r="D1450" t="inlineStr">
        <is>
          <t>Cases &amp; Bags</t>
        </is>
      </c>
      <c r="E1450" t="inlineStr">
        <is>
          <t>Backpacks</t>
        </is>
      </c>
      <c r="F1450" t="inlineStr">
        <is>
          <t>Wrangler</t>
        </is>
      </c>
      <c r="G1450" t="n">
        <v>4.6</v>
      </c>
      <c r="H1450" t="n">
        <v>0</v>
      </c>
      <c r="I1450" t="inlineStr">
        <is>
          <t>Backpack</t>
        </is>
      </c>
      <c r="J1450" s="29" t="n">
        <v>0</v>
      </c>
      <c r="K1450" s="30" t="n"/>
      <c r="L1450" s="29" t="n">
        <v>0</v>
      </c>
      <c r="M1450" s="29" t="n">
        <v>0</v>
      </c>
      <c r="N1450" s="2" t="n">
        <v>0</v>
      </c>
      <c r="O1450" s="31" t="n">
        <v>0</v>
      </c>
      <c r="P1450" s="32" t="n"/>
      <c r="Q1450" s="32" t="n">
        <v>0</v>
      </c>
      <c r="R1450" s="32" t="n">
        <v>0</v>
      </c>
      <c r="S1450" s="31" t="n">
        <v>0</v>
      </c>
      <c r="T1450" s="32" t="n">
        <v>0</v>
      </c>
      <c r="U1450" s="31" t="n">
        <v>0</v>
      </c>
      <c r="V1450" s="31" t="n">
        <v>0</v>
      </c>
      <c r="W1450" s="3" t="n">
        <v>0</v>
      </c>
      <c r="X1450" s="3" t="n">
        <v>0</v>
      </c>
      <c r="Y1450" s="32" t="n">
        <v>0</v>
      </c>
      <c r="Z1450" s="3" t="n">
        <v>0</v>
      </c>
      <c r="AA1450" s="32" t="n">
        <v>0</v>
      </c>
      <c r="AB1450" s="3" t="n"/>
      <c r="AC1450" s="31" t="n">
        <v>0</v>
      </c>
      <c r="AD1450" s="2" t="n">
        <v>0</v>
      </c>
      <c r="AE1450" s="2" t="n">
        <v>10</v>
      </c>
      <c r="AF1450" s="4" t="n">
        <v>10</v>
      </c>
      <c r="AG1450" s="33" t="n">
        <v>0</v>
      </c>
      <c r="AH1450" s="4" t="n">
        <v>0</v>
      </c>
      <c r="AI1450" s="34" t="n"/>
      <c r="AJ1450" s="34" t="n">
        <v>0</v>
      </c>
      <c r="AK1450" s="2" t="n">
        <v>0</v>
      </c>
      <c r="AL1450" t="inlineStr">
        <is>
          <t>Published</t>
        </is>
      </c>
    </row>
    <row r="1451">
      <c r="A1451">
        <f>HYPERLINK("https://www.walmart.com/ip/13718917327", "13718917327")</f>
        <v/>
      </c>
      <c r="B1451">
        <f>HYPERLINK("https://app.optiwise.ai/catalog/itemdetails/13003124", "Catalonia Wearable Hoodie Blanket Quilted Outdoor Waterproof Hoodie for Women Men for Hiking Camping Picnic Oversized Soft Cozy Warm Hoodie Blanket Gifts with Giant Pocket and Long Sleeves Blue")</f>
        <v/>
      </c>
      <c r="C1451" t="inlineStr">
        <is>
          <t>1CTHD301BL</t>
        </is>
      </c>
      <c r="D1451" t="inlineStr">
        <is>
          <t>Clothing</t>
        </is>
      </c>
      <c r="E1451" t="inlineStr">
        <is>
          <t>Sweatshirts &amp; Hoodies</t>
        </is>
      </c>
      <c r="F1451" t="inlineStr">
        <is>
          <t>Catalonia</t>
        </is>
      </c>
      <c r="G1451" t="n">
        <v>0</v>
      </c>
      <c r="H1451" t="n">
        <v>0</v>
      </c>
      <c r="J1451" s="29" t="n">
        <v>0</v>
      </c>
      <c r="K1451" s="30" t="n"/>
      <c r="L1451" s="29" t="n">
        <v>0</v>
      </c>
      <c r="M1451" s="29" t="n">
        <v>0</v>
      </c>
      <c r="N1451" s="2" t="n">
        <v>0</v>
      </c>
      <c r="O1451" s="31" t="n">
        <v>2.9</v>
      </c>
      <c r="P1451" s="32" t="n">
        <v>0.0003</v>
      </c>
      <c r="Q1451" s="32" t="n">
        <v>0</v>
      </c>
      <c r="R1451" s="32" t="n">
        <v>0</v>
      </c>
      <c r="S1451" s="31" t="n">
        <v>0</v>
      </c>
      <c r="T1451" s="32" t="n">
        <v>0</v>
      </c>
      <c r="U1451" s="31" t="n">
        <v>0</v>
      </c>
      <c r="V1451" s="31" t="n">
        <v>0</v>
      </c>
      <c r="W1451" s="3" t="n">
        <v>3749</v>
      </c>
      <c r="X1451" s="3" t="n">
        <v>8</v>
      </c>
      <c r="Y1451" s="32" t="n">
        <v>0.0021</v>
      </c>
      <c r="Z1451" s="3" t="n">
        <v>0</v>
      </c>
      <c r="AA1451" s="32" t="n">
        <v>0</v>
      </c>
      <c r="AB1451" s="3" t="inlineStr">
        <is>
          <t>Hoodies_Auto</t>
        </is>
      </c>
      <c r="AC1451" s="31" t="n">
        <v>0.36</v>
      </c>
      <c r="AD1451" s="2" t="n">
        <v>0</v>
      </c>
      <c r="AE1451" s="2" t="n">
        <v>22</v>
      </c>
      <c r="AF1451" s="4" t="n">
        <v>14</v>
      </c>
      <c r="AG1451" s="33" t="n">
        <v>0</v>
      </c>
      <c r="AH1451" s="4" t="n">
        <v>0</v>
      </c>
      <c r="AI1451" s="34" t="n"/>
      <c r="AJ1451" s="34" t="n">
        <v>0</v>
      </c>
      <c r="AK1451" s="2" t="n">
        <v>0</v>
      </c>
      <c r="AL1451" t="inlineStr">
        <is>
          <t>Published</t>
        </is>
      </c>
    </row>
    <row r="1452">
      <c r="A1452">
        <f>HYPERLINK("https://www.walmart.com/ip/13656320276", "13656320276")</f>
        <v/>
      </c>
      <c r="B1452">
        <f>HYPERLINK("https://app.optiwise.ai/catalog/itemdetails/13000984", "Catalonia Wearable Hoodie Blanket Quilted Outdoor Waterproof Hoodie for Women Men for Hiking Camping Picnic Oversized Soft Cozy Warm Hoodie Blanket Gifts with Giant Pocket and Long Sleeves Black")</f>
        <v/>
      </c>
      <c r="C1452" t="inlineStr">
        <is>
          <t>1CTHD301BK</t>
        </is>
      </c>
      <c r="D1452" t="inlineStr">
        <is>
          <t>Clothing</t>
        </is>
      </c>
      <c r="E1452" t="inlineStr">
        <is>
          <t>Sweatshirts &amp; Hoodies</t>
        </is>
      </c>
      <c r="F1452" t="inlineStr">
        <is>
          <t>Catalonia</t>
        </is>
      </c>
      <c r="G1452" t="n">
        <v>0</v>
      </c>
      <c r="H1452" t="n">
        <v>0</v>
      </c>
      <c r="J1452" s="29" t="n">
        <v>0</v>
      </c>
      <c r="K1452" s="30" t="n"/>
      <c r="L1452" s="29" t="n">
        <v>0</v>
      </c>
      <c r="M1452" s="29" t="n">
        <v>0</v>
      </c>
      <c r="N1452" s="2" t="n">
        <v>0</v>
      </c>
      <c r="O1452" s="31" t="n">
        <v>0</v>
      </c>
      <c r="P1452" s="32" t="n"/>
      <c r="Q1452" s="32" t="n">
        <v>0</v>
      </c>
      <c r="R1452" s="32" t="n">
        <v>0</v>
      </c>
      <c r="S1452" s="31" t="n">
        <v>0</v>
      </c>
      <c r="T1452" s="32" t="n">
        <v>0</v>
      </c>
      <c r="U1452" s="31" t="n">
        <v>0</v>
      </c>
      <c r="V1452" s="31" t="n">
        <v>0</v>
      </c>
      <c r="W1452" s="3" t="n">
        <v>0</v>
      </c>
      <c r="X1452" s="3" t="n">
        <v>0</v>
      </c>
      <c r="Y1452" s="32" t="n">
        <v>0</v>
      </c>
      <c r="Z1452" s="3" t="n">
        <v>0</v>
      </c>
      <c r="AA1452" s="32" t="n">
        <v>0</v>
      </c>
      <c r="AB1452" s="3" t="n"/>
      <c r="AC1452" s="31" t="n">
        <v>0</v>
      </c>
      <c r="AD1452" s="2" t="n">
        <v>0</v>
      </c>
      <c r="AE1452" s="2" t="n">
        <v>16</v>
      </c>
      <c r="AF1452" s="4" t="n">
        <v>16</v>
      </c>
      <c r="AG1452" s="33" t="n">
        <v>0</v>
      </c>
      <c r="AH1452" s="4" t="n">
        <v>0</v>
      </c>
      <c r="AI1452" s="34" t="n"/>
      <c r="AJ1452" s="34" t="n">
        <v>0</v>
      </c>
      <c r="AK1452" s="2" t="n">
        <v>0</v>
      </c>
      <c r="AL1452" t="inlineStr">
        <is>
          <t>Published</t>
        </is>
      </c>
    </row>
    <row r="1453">
      <c r="A1453">
        <f>HYPERLINK("https://www.walmart.com/ip/13283657135", "13283657135")</f>
        <v/>
      </c>
      <c r="B1453">
        <f>HYPERLINK("https://app.optiwise.ai/catalog/itemdetails/12910885", "Tirrina Wine Opener Set  Corkscrew Opener Kit Seahorse Knife, Wine Stopper, Drip Stopper Ring, Decanter, Tin Knife in Novelty Champagne Bottle-Shaped  for Party Wedding Gift, Black")</f>
        <v/>
      </c>
      <c r="C1453" t="inlineStr">
        <is>
          <t>1TRWO503GDBK</t>
        </is>
      </c>
      <c r="D1453" t="inlineStr">
        <is>
          <t>Home Decor, Kitchen, &amp; Other</t>
        </is>
      </c>
      <c r="E1453" t="inlineStr">
        <is>
          <t>Barware Sets</t>
        </is>
      </c>
      <c r="F1453" t="inlineStr">
        <is>
          <t>Tirrinia</t>
        </is>
      </c>
      <c r="G1453" t="n">
        <v>0</v>
      </c>
      <c r="H1453" t="n">
        <v>0</v>
      </c>
      <c r="J1453" s="29" t="n">
        <v>0</v>
      </c>
      <c r="K1453" s="30" t="n"/>
      <c r="L1453" s="29" t="n">
        <v>0</v>
      </c>
      <c r="M1453" s="29" t="n">
        <v>0</v>
      </c>
      <c r="N1453" s="2" t="n">
        <v>0</v>
      </c>
      <c r="O1453" s="31" t="n">
        <v>0</v>
      </c>
      <c r="P1453" s="32" t="n"/>
      <c r="Q1453" s="32" t="n">
        <v>0</v>
      </c>
      <c r="R1453" s="32" t="n">
        <v>0</v>
      </c>
      <c r="S1453" s="31" t="n">
        <v>0</v>
      </c>
      <c r="T1453" s="32" t="n">
        <v>0</v>
      </c>
      <c r="U1453" s="31" t="n">
        <v>0</v>
      </c>
      <c r="V1453" s="31" t="n">
        <v>0</v>
      </c>
      <c r="W1453" s="3" t="n">
        <v>0</v>
      </c>
      <c r="X1453" s="3" t="n">
        <v>0</v>
      </c>
      <c r="Y1453" s="32" t="n">
        <v>0</v>
      </c>
      <c r="Z1453" s="3" t="n">
        <v>0</v>
      </c>
      <c r="AA1453" s="32" t="n">
        <v>0</v>
      </c>
      <c r="AB1453" s="3" t="n"/>
      <c r="AC1453" s="31" t="n">
        <v>0</v>
      </c>
      <c r="AD1453" s="2" t="n">
        <v>0</v>
      </c>
      <c r="AE1453" s="2" t="n">
        <v>24</v>
      </c>
      <c r="AF1453" s="4" t="n">
        <v>24</v>
      </c>
      <c r="AG1453" s="33" t="n">
        <v>0</v>
      </c>
      <c r="AH1453" s="4" t="n">
        <v>0</v>
      </c>
      <c r="AI1453" s="34" t="n"/>
      <c r="AJ1453" s="34" t="n">
        <v>0</v>
      </c>
      <c r="AK1453" s="2" t="n">
        <v>0</v>
      </c>
      <c r="AL1453" t="inlineStr">
        <is>
          <t>Published</t>
        </is>
      </c>
    </row>
    <row r="1454">
      <c r="A1454">
        <f>HYPERLINK("https://www.walmart.com/ip/13218868784", "13218868784")</f>
        <v/>
      </c>
      <c r="B1454">
        <f>HYPERLINK("https://app.optiwise.ai/catalog/itemdetails/12909179", "Wrangler Slim Genuine Leather AirTag Wallet for Men - Bifold RFID Blocking Design with Hidden AirTag Holder")</f>
        <v/>
      </c>
      <c r="C1454" t="inlineStr">
        <is>
          <t>WR-WA13705BLKNS</t>
        </is>
      </c>
      <c r="D1454" t="inlineStr">
        <is>
          <t>Cases &amp; Bags</t>
        </is>
      </c>
      <c r="E1454" t="inlineStr">
        <is>
          <t>Wallets</t>
        </is>
      </c>
      <c r="F1454" t="inlineStr">
        <is>
          <t>Wrangler</t>
        </is>
      </c>
      <c r="G1454" t="n">
        <v>0</v>
      </c>
      <c r="H1454" t="n">
        <v>0</v>
      </c>
      <c r="J1454" s="29" t="n">
        <v>0</v>
      </c>
      <c r="K1454" s="30" t="n"/>
      <c r="L1454" s="29" t="n">
        <v>0</v>
      </c>
      <c r="M1454" s="29" t="n">
        <v>0</v>
      </c>
      <c r="N1454" s="2" t="n">
        <v>0</v>
      </c>
      <c r="O1454" s="31" t="n">
        <v>0.44</v>
      </c>
      <c r="P1454" s="32" t="n">
        <v>0.0001</v>
      </c>
      <c r="Q1454" s="32" t="n">
        <v>0</v>
      </c>
      <c r="R1454" s="32" t="n">
        <v>0</v>
      </c>
      <c r="S1454" s="31" t="n">
        <v>0</v>
      </c>
      <c r="T1454" s="32" t="n">
        <v>0</v>
      </c>
      <c r="U1454" s="31" t="n">
        <v>0</v>
      </c>
      <c r="V1454" s="31" t="n">
        <v>0</v>
      </c>
      <c r="W1454" s="3" t="n">
        <v>444</v>
      </c>
      <c r="X1454" s="3" t="n">
        <v>1</v>
      </c>
      <c r="Y1454" s="32" t="n">
        <v>0.0023</v>
      </c>
      <c r="Z1454" s="3" t="n">
        <v>0</v>
      </c>
      <c r="AA1454" s="32" t="n">
        <v>0</v>
      </c>
      <c r="AB1454" s="3" t="inlineStr">
        <is>
          <t>Wallet Campaign</t>
        </is>
      </c>
      <c r="AC1454" s="31" t="n">
        <v>0.44</v>
      </c>
      <c r="AD1454" s="2" t="n">
        <v>0</v>
      </c>
      <c r="AE1454" s="2" t="n">
        <v>14</v>
      </c>
      <c r="AF1454" s="4" t="n">
        <v>13</v>
      </c>
      <c r="AG1454" s="33" t="n">
        <v>0</v>
      </c>
      <c r="AH1454" s="4" t="n">
        <v>0</v>
      </c>
      <c r="AI1454" s="34" t="n"/>
      <c r="AJ1454" s="34" t="n">
        <v>0</v>
      </c>
      <c r="AK1454" s="2" t="n">
        <v>0</v>
      </c>
      <c r="AL1454" t="inlineStr">
        <is>
          <t>Published</t>
        </is>
      </c>
    </row>
    <row r="1455">
      <c r="A1455">
        <f>HYPERLINK("https://www.walmart.com/ip/13218314453", "13218314453")</f>
        <v/>
      </c>
      <c r="B1455">
        <f>HYPERLINK("https://app.optiwise.ai/catalog/itemdetails/12909178", "Wrangler Slim Genuine Leather AirTag Wallet for Men - Bifold RFID Blocking Design with Hidden AirTag Holder")</f>
        <v/>
      </c>
      <c r="C1455" t="inlineStr">
        <is>
          <t>WR-WA13704BRNNS</t>
        </is>
      </c>
      <c r="D1455" t="inlineStr">
        <is>
          <t>Cases &amp; Bags</t>
        </is>
      </c>
      <c r="E1455" t="inlineStr">
        <is>
          <t>Wallets</t>
        </is>
      </c>
      <c r="F1455" t="inlineStr">
        <is>
          <t>Wrangler</t>
        </is>
      </c>
      <c r="G1455" t="n">
        <v>0</v>
      </c>
      <c r="H1455" t="n">
        <v>0</v>
      </c>
      <c r="J1455" s="29" t="n">
        <v>0</v>
      </c>
      <c r="K1455" s="30" t="n"/>
      <c r="L1455" s="29" t="n">
        <v>0</v>
      </c>
      <c r="M1455" s="29" t="n">
        <v>0</v>
      </c>
      <c r="N1455" s="2" t="n">
        <v>0</v>
      </c>
      <c r="O1455" s="31" t="n">
        <v>0</v>
      </c>
      <c r="P1455" s="32" t="n"/>
      <c r="Q1455" s="32" t="n">
        <v>0</v>
      </c>
      <c r="R1455" s="32" t="n">
        <v>0</v>
      </c>
      <c r="S1455" s="31" t="n">
        <v>0</v>
      </c>
      <c r="T1455" s="32" t="n">
        <v>0</v>
      </c>
      <c r="U1455" s="31" t="n">
        <v>0</v>
      </c>
      <c r="V1455" s="31" t="n">
        <v>0</v>
      </c>
      <c r="W1455" s="3" t="n">
        <v>0</v>
      </c>
      <c r="X1455" s="3" t="n">
        <v>0</v>
      </c>
      <c r="Y1455" s="32" t="n">
        <v>0</v>
      </c>
      <c r="Z1455" s="3" t="n">
        <v>0</v>
      </c>
      <c r="AA1455" s="32" t="n">
        <v>0</v>
      </c>
      <c r="AB1455" s="3" t="n"/>
      <c r="AC1455" s="31" t="n">
        <v>0</v>
      </c>
      <c r="AD1455" s="2" t="n">
        <v>0</v>
      </c>
      <c r="AE1455" s="2" t="n">
        <v>17</v>
      </c>
      <c r="AF1455" s="4" t="n">
        <v>17</v>
      </c>
      <c r="AG1455" s="33" t="n">
        <v>0</v>
      </c>
      <c r="AH1455" s="4" t="n">
        <v>0</v>
      </c>
      <c r="AI1455" s="34" t="n"/>
      <c r="AJ1455" s="34" t="n">
        <v>0</v>
      </c>
      <c r="AK1455" s="2" t="n">
        <v>0</v>
      </c>
      <c r="AL1455" t="inlineStr">
        <is>
          <t>Published</t>
        </is>
      </c>
    </row>
    <row r="1456">
      <c r="A1456">
        <f>HYPERLINK("https://www.walmart.com/ip/13234570365", "13234570365")</f>
        <v/>
      </c>
      <c r="B1456">
        <f>HYPERLINK("https://app.optiwise.ai/catalog/itemdetails/12909176", "Wrangler Slim Genuine Leather AirTag Wallet for Men - Bifold RFID Blocking Design with Hidden AirTag Holder")</f>
        <v/>
      </c>
      <c r="C1456" t="inlineStr">
        <is>
          <t>WR-WA49101BLKOS</t>
        </is>
      </c>
      <c r="D1456" t="inlineStr">
        <is>
          <t>Cases &amp; Bags</t>
        </is>
      </c>
      <c r="E1456" t="inlineStr">
        <is>
          <t>Wallets</t>
        </is>
      </c>
      <c r="F1456" t="inlineStr">
        <is>
          <t>Wrangler</t>
        </is>
      </c>
      <c r="G1456" t="n">
        <v>0</v>
      </c>
      <c r="H1456" t="n">
        <v>0</v>
      </c>
      <c r="J1456" s="29" t="n">
        <v>0</v>
      </c>
      <c r="K1456" s="30" t="n"/>
      <c r="L1456" s="29" t="n">
        <v>0</v>
      </c>
      <c r="M1456" s="29" t="n">
        <v>0</v>
      </c>
      <c r="N1456" s="2" t="n">
        <v>0</v>
      </c>
      <c r="O1456" s="31" t="n">
        <v>0</v>
      </c>
      <c r="P1456" s="32" t="n"/>
      <c r="Q1456" s="32" t="n">
        <v>0</v>
      </c>
      <c r="R1456" s="32" t="n">
        <v>0.546</v>
      </c>
      <c r="S1456" s="31" t="n">
        <v>0</v>
      </c>
      <c r="T1456" s="32" t="n">
        <v>0</v>
      </c>
      <c r="U1456" s="31" t="n">
        <v>0</v>
      </c>
      <c r="V1456" s="31" t="n">
        <v>0</v>
      </c>
      <c r="W1456" s="3" t="n">
        <v>0</v>
      </c>
      <c r="X1456" s="3" t="n">
        <v>0</v>
      </c>
      <c r="Y1456" s="32" t="n">
        <v>0</v>
      </c>
      <c r="Z1456" s="3" t="n">
        <v>0</v>
      </c>
      <c r="AA1456" s="32" t="n">
        <v>0</v>
      </c>
      <c r="AB1456" s="3" t="n"/>
      <c r="AC1456" s="31" t="n">
        <v>0</v>
      </c>
      <c r="AD1456" s="2" t="n">
        <v>0</v>
      </c>
      <c r="AE1456" s="2" t="n">
        <v>21</v>
      </c>
      <c r="AF1456" s="4" t="n">
        <v>21</v>
      </c>
      <c r="AG1456" s="33" t="n">
        <v>0</v>
      </c>
      <c r="AH1456" s="4" t="n">
        <v>0</v>
      </c>
      <c r="AI1456" s="34" t="n"/>
      <c r="AJ1456" s="34" t="n">
        <v>0</v>
      </c>
      <c r="AK1456" s="2" t="n">
        <v>0</v>
      </c>
      <c r="AL1456" t="inlineStr">
        <is>
          <t>Published</t>
        </is>
      </c>
    </row>
    <row r="1457">
      <c r="A1457">
        <f>HYPERLINK("https://www.walmart.com/ip/13120069162", "13120069162")</f>
        <v/>
      </c>
      <c r="B1457">
        <f>HYPERLINK("https://app.optiwise.ai/catalog/itemdetails/12908369", "Wrangler Slim Genuine Leather AirTag Wallet for Men - Bifold RFID Blocking Design with Hidden AirTag Holder")</f>
        <v/>
      </c>
      <c r="C1457" t="inlineStr">
        <is>
          <t>WR-WA49101DKBOS</t>
        </is>
      </c>
      <c r="D1457" t="inlineStr">
        <is>
          <t>Cases &amp; Bags</t>
        </is>
      </c>
      <c r="E1457" t="inlineStr">
        <is>
          <t>Wallets</t>
        </is>
      </c>
      <c r="F1457" t="inlineStr">
        <is>
          <t>Wrangler</t>
        </is>
      </c>
      <c r="G1457" t="n">
        <v>0</v>
      </c>
      <c r="H1457" t="n">
        <v>0</v>
      </c>
      <c r="J1457" s="29" t="n">
        <v>0</v>
      </c>
      <c r="K1457" s="30" t="n"/>
      <c r="L1457" s="29" t="n">
        <v>0</v>
      </c>
      <c r="M1457" s="29" t="n">
        <v>0</v>
      </c>
      <c r="N1457" s="2" t="n">
        <v>0</v>
      </c>
      <c r="O1457" s="31" t="n">
        <v>0</v>
      </c>
      <c r="P1457" s="32" t="n"/>
      <c r="Q1457" s="32" t="n">
        <v>0</v>
      </c>
      <c r="R1457" s="32" t="n">
        <v>0</v>
      </c>
      <c r="S1457" s="31" t="n">
        <v>0</v>
      </c>
      <c r="T1457" s="32" t="n">
        <v>0</v>
      </c>
      <c r="U1457" s="31" t="n">
        <v>0</v>
      </c>
      <c r="V1457" s="31" t="n">
        <v>0</v>
      </c>
      <c r="W1457" s="3" t="n">
        <v>0</v>
      </c>
      <c r="X1457" s="3" t="n">
        <v>0</v>
      </c>
      <c r="Y1457" s="32" t="n">
        <v>0</v>
      </c>
      <c r="Z1457" s="3" t="n">
        <v>0</v>
      </c>
      <c r="AA1457" s="32" t="n">
        <v>0</v>
      </c>
      <c r="AB1457" s="3" t="n"/>
      <c r="AC1457" s="31" t="n">
        <v>0</v>
      </c>
      <c r="AD1457" s="2" t="n">
        <v>0</v>
      </c>
      <c r="AE1457" s="2" t="n">
        <v>22</v>
      </c>
      <c r="AF1457" s="4" t="n">
        <v>22</v>
      </c>
      <c r="AG1457" s="33" t="n">
        <v>0</v>
      </c>
      <c r="AH1457" s="4" t="n">
        <v>0</v>
      </c>
      <c r="AI1457" s="34" t="n"/>
      <c r="AJ1457" s="34" t="n">
        <v>0</v>
      </c>
      <c r="AK1457" s="2" t="n">
        <v>0</v>
      </c>
      <c r="AL1457" t="inlineStr">
        <is>
          <t>Published</t>
        </is>
      </c>
    </row>
    <row r="1458">
      <c r="A1458">
        <f>HYPERLINK("https://www.walmart.com/ip/13114116358", "13114116358")</f>
        <v/>
      </c>
      <c r="B1458">
        <f>HYPERLINK("https://app.optiwise.ai/catalog/itemdetails/12908368", "Wrangler Slim Genuine Leather AirTag Wallet for Men Adult - Bifold RFID Blocking Design with Hidden AirTag Holder")</f>
        <v/>
      </c>
      <c r="C1458" t="inlineStr">
        <is>
          <t>WR-WA13704BLKNS</t>
        </is>
      </c>
      <c r="D1458" t="inlineStr">
        <is>
          <t>Cases &amp; Bags</t>
        </is>
      </c>
      <c r="E1458" t="inlineStr">
        <is>
          <t>Wallets</t>
        </is>
      </c>
      <c r="F1458" t="inlineStr">
        <is>
          <t>Wrangler</t>
        </is>
      </c>
      <c r="G1458" t="n">
        <v>0</v>
      </c>
      <c r="H1458" t="n">
        <v>0</v>
      </c>
      <c r="J1458" s="29" t="n">
        <v>0</v>
      </c>
      <c r="K1458" s="30" t="n"/>
      <c r="L1458" s="29" t="n">
        <v>0</v>
      </c>
      <c r="M1458" s="29" t="n">
        <v>0</v>
      </c>
      <c r="N1458" s="2" t="n">
        <v>0</v>
      </c>
      <c r="O1458" s="31" t="n">
        <v>0</v>
      </c>
      <c r="P1458" s="32" t="n"/>
      <c r="Q1458" s="32" t="n">
        <v>0</v>
      </c>
      <c r="R1458" s="32" t="n">
        <v>0</v>
      </c>
      <c r="S1458" s="31" t="n">
        <v>0</v>
      </c>
      <c r="T1458" s="32" t="n">
        <v>0</v>
      </c>
      <c r="U1458" s="31" t="n">
        <v>0</v>
      </c>
      <c r="V1458" s="31" t="n">
        <v>0</v>
      </c>
      <c r="W1458" s="3" t="n">
        <v>0</v>
      </c>
      <c r="X1458" s="3" t="n">
        <v>0</v>
      </c>
      <c r="Y1458" s="32" t="n">
        <v>0</v>
      </c>
      <c r="Z1458" s="3" t="n">
        <v>0</v>
      </c>
      <c r="AA1458" s="32" t="n">
        <v>0</v>
      </c>
      <c r="AB1458" s="3" t="n"/>
      <c r="AC1458" s="31" t="n">
        <v>0</v>
      </c>
      <c r="AD1458" s="2" t="n">
        <v>0</v>
      </c>
      <c r="AE1458" s="2" t="n">
        <v>68</v>
      </c>
      <c r="AF1458" s="4" t="n">
        <v>68</v>
      </c>
      <c r="AG1458" s="33" t="n">
        <v>0</v>
      </c>
      <c r="AH1458" s="4" t="n">
        <v>0</v>
      </c>
      <c r="AI1458" s="34" t="n"/>
      <c r="AJ1458" s="34" t="n">
        <v>0</v>
      </c>
      <c r="AK1458" s="2" t="n">
        <v>0</v>
      </c>
      <c r="AL1458" t="inlineStr">
        <is>
          <t>Published</t>
        </is>
      </c>
    </row>
    <row r="1459">
      <c r="A1459">
        <f>HYPERLINK("https://www.walmart.com/ip/13047168469", "13047168469")</f>
        <v/>
      </c>
      <c r="B1459">
        <f>HYPERLINK("https://app.optiwise.ai/catalog/itemdetails/12895491", "Tirrinia Neon Hunting Orange Safety Cap Closure")</f>
        <v/>
      </c>
      <c r="C1459" t="inlineStr">
        <is>
          <t>1TRHT8120GYOR</t>
        </is>
      </c>
      <c r="D1459" t="inlineStr">
        <is>
          <t>Clothing</t>
        </is>
      </c>
      <c r="E1459" t="inlineStr">
        <is>
          <t>Hats</t>
        </is>
      </c>
      <c r="F1459" t="inlineStr">
        <is>
          <t>Tirrinia</t>
        </is>
      </c>
      <c r="G1459" t="n">
        <v>0</v>
      </c>
      <c r="H1459" t="n">
        <v>0</v>
      </c>
      <c r="J1459" s="29" t="n">
        <v>0</v>
      </c>
      <c r="K1459" s="30" t="n"/>
      <c r="L1459" s="29" t="n">
        <v>0</v>
      </c>
      <c r="M1459" s="29" t="n">
        <v>0</v>
      </c>
      <c r="N1459" s="2" t="n">
        <v>0</v>
      </c>
      <c r="O1459" s="31" t="n">
        <v>0</v>
      </c>
      <c r="P1459" s="32" t="n"/>
      <c r="Q1459" s="32" t="n">
        <v>0</v>
      </c>
      <c r="R1459" s="32" t="n">
        <v>0</v>
      </c>
      <c r="S1459" s="31" t="n">
        <v>0</v>
      </c>
      <c r="T1459" s="32" t="n">
        <v>0</v>
      </c>
      <c r="U1459" s="31" t="n">
        <v>0</v>
      </c>
      <c r="V1459" s="31" t="n">
        <v>0</v>
      </c>
      <c r="W1459" s="3" t="n">
        <v>0</v>
      </c>
      <c r="X1459" s="3" t="n">
        <v>0</v>
      </c>
      <c r="Y1459" s="32" t="n">
        <v>0</v>
      </c>
      <c r="Z1459" s="3" t="n">
        <v>0</v>
      </c>
      <c r="AA1459" s="32" t="n">
        <v>0</v>
      </c>
      <c r="AB1459" s="3" t="n"/>
      <c r="AC1459" s="31" t="n">
        <v>0</v>
      </c>
      <c r="AD1459" s="2" t="n">
        <v>0</v>
      </c>
      <c r="AE1459" s="2" t="n">
        <v>4</v>
      </c>
      <c r="AF1459" s="4" t="n">
        <v>4</v>
      </c>
      <c r="AG1459" s="33" t="n">
        <v>0</v>
      </c>
      <c r="AH1459" s="4" t="n">
        <v>0</v>
      </c>
      <c r="AI1459" s="34" t="n"/>
      <c r="AJ1459" s="34" t="n">
        <v>0</v>
      </c>
      <c r="AK1459" s="2" t="n">
        <v>0</v>
      </c>
      <c r="AL1459" t="inlineStr">
        <is>
          <t>Published</t>
        </is>
      </c>
    </row>
    <row r="1460">
      <c r="A1460">
        <f>HYPERLINK("https://www.walmart.com/ip/13062905285", "13062905285")</f>
        <v/>
      </c>
      <c r="B1460">
        <f>HYPERLINK("https://app.optiwise.ai/catalog/itemdetails/12895490", "Tirrinia Neon Hunting Orange Safety Cap Closure")</f>
        <v/>
      </c>
      <c r="C1460" t="inlineStr">
        <is>
          <t>1TRHT8120ORBK</t>
        </is>
      </c>
      <c r="D1460" t="inlineStr">
        <is>
          <t>Clothing</t>
        </is>
      </c>
      <c r="E1460" t="inlineStr">
        <is>
          <t>Hats</t>
        </is>
      </c>
      <c r="F1460" t="inlineStr">
        <is>
          <t>Tirrinia</t>
        </is>
      </c>
      <c r="G1460" t="n">
        <v>0</v>
      </c>
      <c r="H1460" t="n">
        <v>0</v>
      </c>
      <c r="J1460" s="29" t="n">
        <v>0</v>
      </c>
      <c r="K1460" s="30" t="n"/>
      <c r="L1460" s="29" t="n">
        <v>0</v>
      </c>
      <c r="M1460" s="29" t="n">
        <v>0</v>
      </c>
      <c r="N1460" s="2" t="n">
        <v>0</v>
      </c>
      <c r="O1460" s="31" t="n">
        <v>0</v>
      </c>
      <c r="P1460" s="32" t="n"/>
      <c r="Q1460" s="32" t="n">
        <v>0</v>
      </c>
      <c r="R1460" s="32" t="n">
        <v>0</v>
      </c>
      <c r="S1460" s="31" t="n">
        <v>0</v>
      </c>
      <c r="T1460" s="32" t="n">
        <v>0</v>
      </c>
      <c r="U1460" s="31" t="n">
        <v>0</v>
      </c>
      <c r="V1460" s="31" t="n">
        <v>0</v>
      </c>
      <c r="W1460" s="3" t="n">
        <v>0</v>
      </c>
      <c r="X1460" s="3" t="n">
        <v>0</v>
      </c>
      <c r="Y1460" s="32" t="n">
        <v>0</v>
      </c>
      <c r="Z1460" s="3" t="n">
        <v>0</v>
      </c>
      <c r="AA1460" s="32" t="n">
        <v>0</v>
      </c>
      <c r="AB1460" s="3" t="n"/>
      <c r="AC1460" s="31" t="n">
        <v>0</v>
      </c>
      <c r="AD1460" s="2" t="n">
        <v>0</v>
      </c>
      <c r="AE1460" s="2" t="n">
        <v>5</v>
      </c>
      <c r="AF1460" s="4" t="n">
        <v>5</v>
      </c>
      <c r="AG1460" s="33" t="n">
        <v>0</v>
      </c>
      <c r="AH1460" s="4" t="n">
        <v>0</v>
      </c>
      <c r="AI1460" s="34" t="n"/>
      <c r="AJ1460" s="34" t="n">
        <v>0</v>
      </c>
      <c r="AK1460" s="2" t="n">
        <v>0</v>
      </c>
      <c r="AL1460" t="inlineStr">
        <is>
          <t>Published</t>
        </is>
      </c>
    </row>
    <row r="1461">
      <c r="A1461">
        <f>HYPERLINK("https://www.walmart.com/ip/10291650556", "10291650556")</f>
        <v/>
      </c>
      <c r="B1461">
        <f>HYPERLINK("https://app.optiwise.ai/catalog/itemdetails/10032007", "Wrangler Men’s Full Grain Genuine Leather 35mm Thick Casual Belt for Jeans, Pants - Black, 44")</f>
        <v/>
      </c>
      <c r="C1461" t="inlineStr">
        <is>
          <t>WR-BELT-MENS-35MM-BLACK-44</t>
        </is>
      </c>
      <c r="D1461" t="inlineStr">
        <is>
          <t>Clothing</t>
        </is>
      </c>
      <c r="E1461" t="inlineStr">
        <is>
          <t>Belts</t>
        </is>
      </c>
      <c r="F1461" t="inlineStr">
        <is>
          <t>Wrangler</t>
        </is>
      </c>
      <c r="G1461" t="n">
        <v>0</v>
      </c>
      <c r="H1461" t="n">
        <v>0</v>
      </c>
      <c r="I1461" t="inlineStr">
        <is>
          <t>Belts</t>
        </is>
      </c>
      <c r="J1461" s="29" t="n">
        <v>0</v>
      </c>
      <c r="K1461" s="30" t="n"/>
      <c r="L1461" s="29" t="n">
        <v>0</v>
      </c>
      <c r="M1461" s="29" t="n">
        <v>0</v>
      </c>
      <c r="N1461" s="2" t="n">
        <v>0</v>
      </c>
      <c r="O1461" s="31" t="n">
        <v>0</v>
      </c>
      <c r="P1461" s="32" t="n"/>
      <c r="Q1461" s="32" t="n">
        <v>0</v>
      </c>
      <c r="R1461" s="32" t="n">
        <v>0</v>
      </c>
      <c r="S1461" s="31" t="n">
        <v>0</v>
      </c>
      <c r="T1461" s="32" t="n">
        <v>0</v>
      </c>
      <c r="U1461" s="31" t="n">
        <v>0</v>
      </c>
      <c r="V1461" s="31" t="n">
        <v>0</v>
      </c>
      <c r="W1461" s="3" t="n">
        <v>0</v>
      </c>
      <c r="X1461" s="3" t="n">
        <v>0</v>
      </c>
      <c r="Y1461" s="32" t="n">
        <v>0</v>
      </c>
      <c r="Z1461" s="3" t="n">
        <v>0</v>
      </c>
      <c r="AA1461" s="32" t="n">
        <v>0</v>
      </c>
      <c r="AB1461" s="3" t="n"/>
      <c r="AC1461" s="31" t="n">
        <v>0</v>
      </c>
      <c r="AD1461" s="2" t="n">
        <v>0</v>
      </c>
      <c r="AE1461" s="2" t="n">
        <v>46</v>
      </c>
      <c r="AF1461" s="4" t="n">
        <v>46</v>
      </c>
      <c r="AG1461" s="33" t="n">
        <v>0</v>
      </c>
      <c r="AH1461" s="4" t="n">
        <v>0</v>
      </c>
      <c r="AI1461" s="34" t="n"/>
      <c r="AJ1461" s="34" t="n">
        <v>0</v>
      </c>
      <c r="AK1461" s="2" t="n">
        <v>0</v>
      </c>
      <c r="AL1461" t="inlineStr">
        <is>
          <t>Published</t>
        </is>
      </c>
    </row>
    <row r="1462">
      <c r="A1462">
        <f>HYPERLINK("https://www.walmart.com/ip/10303765088", "10303765088")</f>
        <v/>
      </c>
      <c r="B1462">
        <f>HYPERLINK("https://app.optiwise.ai/catalog/itemdetails/10031999", "Wrangler Men’s Full Grain Genuine Leather 35mm Thick Casual Belt for Jeans, Pants - Light Brown, 40")</f>
        <v/>
      </c>
      <c r="C1462" t="inlineStr">
        <is>
          <t>WR-BELT-MENS-35MM-LTBROWN-40</t>
        </is>
      </c>
      <c r="D1462" t="inlineStr">
        <is>
          <t>Clothing</t>
        </is>
      </c>
      <c r="E1462" t="inlineStr">
        <is>
          <t>Belts</t>
        </is>
      </c>
      <c r="F1462" t="inlineStr">
        <is>
          <t>Wrangler</t>
        </is>
      </c>
      <c r="G1462" t="n">
        <v>0</v>
      </c>
      <c r="H1462" t="n">
        <v>0</v>
      </c>
      <c r="I1462" t="inlineStr">
        <is>
          <t>Belts</t>
        </is>
      </c>
      <c r="J1462" s="29" t="n">
        <v>0</v>
      </c>
      <c r="K1462" s="30" t="n"/>
      <c r="L1462" s="29" t="n">
        <v>32.9900016784668</v>
      </c>
      <c r="M1462" s="29" t="n">
        <v>0</v>
      </c>
      <c r="N1462" s="2" t="n">
        <v>0</v>
      </c>
      <c r="O1462" s="31" t="n">
        <v>0</v>
      </c>
      <c r="P1462" s="32" t="n"/>
      <c r="Q1462" s="32" t="n">
        <v>0</v>
      </c>
      <c r="R1462" s="32" t="n">
        <v>0</v>
      </c>
      <c r="S1462" s="31" t="n">
        <v>0</v>
      </c>
      <c r="T1462" s="32" t="n">
        <v>0</v>
      </c>
      <c r="U1462" s="31" t="n">
        <v>0</v>
      </c>
      <c r="V1462" s="31" t="n">
        <v>0</v>
      </c>
      <c r="W1462" s="3" t="n">
        <v>0</v>
      </c>
      <c r="X1462" s="3" t="n">
        <v>0</v>
      </c>
      <c r="Y1462" s="32" t="n">
        <v>0</v>
      </c>
      <c r="Z1462" s="3" t="n">
        <v>0</v>
      </c>
      <c r="AA1462" s="32" t="n">
        <v>0</v>
      </c>
      <c r="AB1462" s="3" t="n"/>
      <c r="AC1462" s="31" t="n">
        <v>0</v>
      </c>
      <c r="AD1462" s="2" t="n">
        <v>0</v>
      </c>
      <c r="AE1462" s="2" t="n">
        <v>27</v>
      </c>
      <c r="AF1462" s="4" t="n">
        <v>27</v>
      </c>
      <c r="AG1462" s="33" t="n">
        <v>0</v>
      </c>
      <c r="AH1462" s="4" t="n">
        <v>0</v>
      </c>
      <c r="AI1462" s="34" t="n"/>
      <c r="AJ1462" s="34" t="n">
        <v>0</v>
      </c>
      <c r="AK1462" s="2" t="n">
        <v>0</v>
      </c>
      <c r="AL1462" t="inlineStr">
        <is>
          <t>Published</t>
        </is>
      </c>
    </row>
    <row r="1463">
      <c r="A1463">
        <f>HYPERLINK("https://www.walmart.com/ip/10282157245", "10282157245")</f>
        <v/>
      </c>
      <c r="B1463">
        <f>HYPERLINK("https://app.optiwise.ai/catalog/itemdetails/10031995", "Wrangler Men’s Full Grain Genuine Leather 35mm Thick Casual Belt for Jeans, Pants - Black, 32")</f>
        <v/>
      </c>
      <c r="C1463" t="inlineStr">
        <is>
          <t>WR-BELT-MENS-35MM-BLACK-32</t>
        </is>
      </c>
      <c r="D1463" t="inlineStr">
        <is>
          <t>Clothing</t>
        </is>
      </c>
      <c r="E1463" t="inlineStr">
        <is>
          <t>Belts</t>
        </is>
      </c>
      <c r="F1463" t="inlineStr">
        <is>
          <t>Wrangler</t>
        </is>
      </c>
      <c r="G1463" t="n">
        <v>0</v>
      </c>
      <c r="H1463" t="n">
        <v>0</v>
      </c>
      <c r="I1463" t="inlineStr">
        <is>
          <t>Belts</t>
        </is>
      </c>
      <c r="J1463" s="29" t="n">
        <v>0</v>
      </c>
      <c r="K1463" s="30" t="n"/>
      <c r="L1463" s="29" t="n">
        <v>0</v>
      </c>
      <c r="M1463" s="29" t="n">
        <v>0</v>
      </c>
      <c r="N1463" s="2" t="n">
        <v>0</v>
      </c>
      <c r="O1463" s="31" t="n">
        <v>0</v>
      </c>
      <c r="P1463" s="32" t="n"/>
      <c r="Q1463" s="32" t="n">
        <v>0</v>
      </c>
      <c r="R1463" s="32" t="n">
        <v>0</v>
      </c>
      <c r="S1463" s="31" t="n">
        <v>0</v>
      </c>
      <c r="T1463" s="32" t="n">
        <v>0</v>
      </c>
      <c r="U1463" s="31" t="n">
        <v>0</v>
      </c>
      <c r="V1463" s="31" t="n">
        <v>0</v>
      </c>
      <c r="W1463" s="3" t="n">
        <v>0</v>
      </c>
      <c r="X1463" s="3" t="n">
        <v>0</v>
      </c>
      <c r="Y1463" s="32" t="n">
        <v>0</v>
      </c>
      <c r="Z1463" s="3" t="n">
        <v>0</v>
      </c>
      <c r="AA1463" s="32" t="n">
        <v>0</v>
      </c>
      <c r="AB1463" s="3" t="n"/>
      <c r="AC1463" s="31" t="n">
        <v>0</v>
      </c>
      <c r="AD1463" s="2" t="n">
        <v>0</v>
      </c>
      <c r="AE1463" s="2" t="n">
        <v>57</v>
      </c>
      <c r="AF1463" s="4" t="n">
        <v>57</v>
      </c>
      <c r="AG1463" s="33" t="n">
        <v>0</v>
      </c>
      <c r="AH1463" s="4" t="n">
        <v>0</v>
      </c>
      <c r="AI1463" s="34" t="n"/>
      <c r="AJ1463" s="34" t="n">
        <v>0</v>
      </c>
      <c r="AK1463" s="2" t="n">
        <v>0</v>
      </c>
      <c r="AL1463" t="inlineStr">
        <is>
          <t>Published</t>
        </is>
      </c>
    </row>
    <row r="1464">
      <c r="A1464">
        <f>HYPERLINK("https://www.walmart.com/ip/10290901200", "10290901200")</f>
        <v/>
      </c>
      <c r="B1464">
        <f>HYPERLINK("https://app.optiwise.ai/catalog/itemdetails/10031975", "Wrangler Men’s Leather Country Casual Every Day Dress Belt for Jeans, Khakis Light Brown 32")</f>
        <v/>
      </c>
      <c r="C1464" t="inlineStr">
        <is>
          <t>WR-BELT-MENS-COUNTRY-LTBROWN-32</t>
        </is>
      </c>
      <c r="D1464" t="inlineStr">
        <is>
          <t>Clothing</t>
        </is>
      </c>
      <c r="E1464" t="inlineStr">
        <is>
          <t>Belts</t>
        </is>
      </c>
      <c r="F1464" t="inlineStr">
        <is>
          <t>Wrangler</t>
        </is>
      </c>
      <c r="G1464" t="n">
        <v>0</v>
      </c>
      <c r="H1464" t="n">
        <v>0</v>
      </c>
      <c r="I1464" t="inlineStr">
        <is>
          <t>Belts</t>
        </is>
      </c>
      <c r="J1464" s="29" t="n">
        <v>0</v>
      </c>
      <c r="K1464" s="30" t="n"/>
      <c r="L1464" s="29" t="n">
        <v>0</v>
      </c>
      <c r="M1464" s="29" t="n">
        <v>0</v>
      </c>
      <c r="N1464" s="2" t="n">
        <v>0</v>
      </c>
      <c r="O1464" s="31" t="n">
        <v>0</v>
      </c>
      <c r="P1464" s="32" t="n"/>
      <c r="Q1464" s="32" t="n">
        <v>0</v>
      </c>
      <c r="R1464" s="32" t="n">
        <v>0.0457</v>
      </c>
      <c r="S1464" s="31" t="n">
        <v>0</v>
      </c>
      <c r="T1464" s="32" t="n">
        <v>0</v>
      </c>
      <c r="U1464" s="31" t="n">
        <v>0</v>
      </c>
      <c r="V1464" s="31" t="n">
        <v>0</v>
      </c>
      <c r="W1464" s="3" t="n">
        <v>0</v>
      </c>
      <c r="X1464" s="3" t="n">
        <v>0</v>
      </c>
      <c r="Y1464" s="32" t="n">
        <v>0</v>
      </c>
      <c r="Z1464" s="3" t="n">
        <v>0</v>
      </c>
      <c r="AA1464" s="32" t="n">
        <v>0</v>
      </c>
      <c r="AB1464" s="3" t="n"/>
      <c r="AC1464" s="31" t="n">
        <v>0</v>
      </c>
      <c r="AD1464" s="2" t="n">
        <v>0</v>
      </c>
      <c r="AE1464" s="2" t="n">
        <v>39</v>
      </c>
      <c r="AF1464" s="4" t="n">
        <v>39</v>
      </c>
      <c r="AG1464" s="33" t="n">
        <v>0</v>
      </c>
      <c r="AH1464" s="4" t="n">
        <v>0</v>
      </c>
      <c r="AI1464" s="34" t="n"/>
      <c r="AJ1464" s="34" t="n">
        <v>0</v>
      </c>
      <c r="AK1464" s="2" t="n">
        <v>0</v>
      </c>
      <c r="AL1464" t="inlineStr">
        <is>
          <t>Published</t>
        </is>
      </c>
    </row>
    <row r="1465">
      <c r="A1465">
        <f>HYPERLINK("https://www.walmart.com/ip/10217567126", "10217567126")</f>
        <v/>
      </c>
      <c r="B1465">
        <f>HYPERLINK("https://app.optiwise.ai/catalog/itemdetails/10031972", "Wrangler Men’s Leather Country Casual Every Day Dress Belt for Jeans, Khakis Light Brown 44")</f>
        <v/>
      </c>
      <c r="C1465" t="inlineStr">
        <is>
          <t>WR-BELT-MENS-COUNTRY-LTBROWN-44</t>
        </is>
      </c>
      <c r="D1465" t="inlineStr">
        <is>
          <t>Clothing</t>
        </is>
      </c>
      <c r="E1465" t="inlineStr">
        <is>
          <t>Belts</t>
        </is>
      </c>
      <c r="F1465" t="inlineStr">
        <is>
          <t>Wrangler</t>
        </is>
      </c>
      <c r="G1465" t="n">
        <v>0</v>
      </c>
      <c r="H1465" t="n">
        <v>0</v>
      </c>
      <c r="I1465" t="inlineStr">
        <is>
          <t>Belts</t>
        </is>
      </c>
      <c r="J1465" s="29" t="n">
        <v>0</v>
      </c>
      <c r="K1465" s="30" t="n"/>
      <c r="L1465" s="29" t="n">
        <v>0</v>
      </c>
      <c r="M1465" s="29" t="n">
        <v>0</v>
      </c>
      <c r="N1465" s="2" t="n">
        <v>0</v>
      </c>
      <c r="O1465" s="31" t="n">
        <v>12.04</v>
      </c>
      <c r="P1465" s="32" t="n">
        <v>0.0014</v>
      </c>
      <c r="Q1465" s="32" t="n">
        <v>0</v>
      </c>
      <c r="R1465" s="32" t="n">
        <v>0.1841</v>
      </c>
      <c r="S1465" s="31" t="n">
        <v>1.66</v>
      </c>
      <c r="T1465" s="32" t="n">
        <v>0.6</v>
      </c>
      <c r="U1465" s="31" t="n">
        <v>19.99</v>
      </c>
      <c r="V1465" s="31" t="n">
        <v>19.99</v>
      </c>
      <c r="W1465" s="3" t="n">
        <v>2360</v>
      </c>
      <c r="X1465" s="3" t="n">
        <v>21</v>
      </c>
      <c r="Y1465" s="32" t="n">
        <v>0.0089</v>
      </c>
      <c r="Z1465" s="3" t="n">
        <v>1</v>
      </c>
      <c r="AA1465" s="32" t="n">
        <v>0.0476</v>
      </c>
      <c r="AB1465" s="3" t="inlineStr">
        <is>
          <t>Belts Manual_Optiwise,Belts_Auto_Optiwise</t>
        </is>
      </c>
      <c r="AC1465" s="31" t="n">
        <v>0.57</v>
      </c>
      <c r="AD1465" s="2" t="n">
        <v>0</v>
      </c>
      <c r="AE1465" s="2" t="n">
        <v>45</v>
      </c>
      <c r="AF1465" s="4" t="n">
        <v>24</v>
      </c>
      <c r="AG1465" s="33" t="n">
        <v>-19.99</v>
      </c>
      <c r="AH1465" s="4" t="n">
        <v>-1</v>
      </c>
      <c r="AI1465" s="34" t="n">
        <v>-0.0417</v>
      </c>
      <c r="AJ1465" s="34" t="n">
        <v>0</v>
      </c>
      <c r="AK1465" s="2" t="n">
        <v>0</v>
      </c>
      <c r="AL1465" t="inlineStr">
        <is>
          <t>Published</t>
        </is>
      </c>
    </row>
    <row r="1466">
      <c r="A1466">
        <f>HYPERLINK("https://www.walmart.com/ip/9673001935", "9673001935")</f>
        <v/>
      </c>
      <c r="B1466">
        <f>HYPERLINK("https://app.optiwise.ai/catalog/itemdetails/9955471", "Tirrinia Wearable Fleece Blanket for Women and Men, Super-Soft Microplush TV Blanket, Adult Wrap, Full Body Robe for Lounge Couch, Dalmation, 73 x 51")</f>
        <v/>
      </c>
      <c r="C1466" t="inlineStr">
        <is>
          <t>1TRSN100TPHORSE</t>
        </is>
      </c>
      <c r="D1466" t="inlineStr">
        <is>
          <t>Bedding</t>
        </is>
      </c>
      <c r="E1466" t="inlineStr">
        <is>
          <t>Throws</t>
        </is>
      </c>
      <c r="F1466" t="inlineStr">
        <is>
          <t>Tirrinia</t>
        </is>
      </c>
      <c r="G1466" t="n">
        <v>0</v>
      </c>
      <c r="H1466" t="n">
        <v>0</v>
      </c>
      <c r="J1466" s="29" t="n">
        <v>0</v>
      </c>
      <c r="K1466" s="30" t="n"/>
      <c r="L1466" s="29" t="n">
        <v>26.98999977111816</v>
      </c>
      <c r="M1466" s="29" t="n">
        <v>0</v>
      </c>
      <c r="N1466" s="2" t="n">
        <v>0</v>
      </c>
      <c r="O1466" s="31" t="n">
        <v>0</v>
      </c>
      <c r="P1466" s="32" t="n"/>
      <c r="Q1466" s="32" t="n">
        <v>0</v>
      </c>
      <c r="R1466" s="32" t="n">
        <v>0</v>
      </c>
      <c r="S1466" s="31" t="n">
        <v>0</v>
      </c>
      <c r="T1466" s="32" t="n">
        <v>0</v>
      </c>
      <c r="U1466" s="31" t="n">
        <v>0</v>
      </c>
      <c r="V1466" s="31" t="n">
        <v>0</v>
      </c>
      <c r="W1466" s="3" t="n">
        <v>0</v>
      </c>
      <c r="X1466" s="3" t="n">
        <v>0</v>
      </c>
      <c r="Y1466" s="32" t="n">
        <v>0</v>
      </c>
      <c r="Z1466" s="3" t="n">
        <v>0</v>
      </c>
      <c r="AA1466" s="32" t="n">
        <v>0</v>
      </c>
      <c r="AB1466" s="3" t="n"/>
      <c r="AC1466" s="31" t="n">
        <v>0</v>
      </c>
      <c r="AD1466" s="2" t="n">
        <v>8</v>
      </c>
      <c r="AE1466" s="2" t="n">
        <v>143</v>
      </c>
      <c r="AF1466" s="4" t="n">
        <v>143</v>
      </c>
      <c r="AG1466" s="33" t="n">
        <v>0</v>
      </c>
      <c r="AH1466" s="4" t="n">
        <v>0</v>
      </c>
      <c r="AI1466" s="34" t="n"/>
      <c r="AJ1466" s="34" t="n">
        <v>0</v>
      </c>
      <c r="AK1466" s="2" t="n">
        <v>0</v>
      </c>
      <c r="AL1466" t="inlineStr">
        <is>
          <t>Published</t>
        </is>
      </c>
    </row>
    <row r="1467">
      <c r="A1467">
        <f>HYPERLINK("https://www.walmart.com/ip/9592558660", "9592558660")</f>
        <v/>
      </c>
      <c r="B1467">
        <f>HYPERLINK("https://app.optiwise.ai/catalog/itemdetails/9954989", "National Park Foundation Hydration Backpack with 2L Hydro Water Bladder Bag, Lightweight Hiking Backpack, Travel Backpack for Cycling, Running, and Climbing, 18L, Mustard")</f>
        <v/>
      </c>
      <c r="C1467" t="inlineStr">
        <is>
          <t>NPF-BACKPACK-HYDRATION-MUSTARD</t>
        </is>
      </c>
      <c r="D1467" t="inlineStr">
        <is>
          <t>Cases &amp; Bags</t>
        </is>
      </c>
      <c r="E1467" t="inlineStr">
        <is>
          <t>Backpacks</t>
        </is>
      </c>
      <c r="F1467" t="inlineStr">
        <is>
          <t>National Park Foundation</t>
        </is>
      </c>
      <c r="G1467" t="n">
        <v>0</v>
      </c>
      <c r="H1467" t="n">
        <v>0</v>
      </c>
      <c r="I1467" t="inlineStr">
        <is>
          <t>Backpack</t>
        </is>
      </c>
      <c r="J1467" s="29" t="n">
        <v>0</v>
      </c>
      <c r="K1467" s="30" t="n"/>
      <c r="L1467" s="29" t="n">
        <v>0</v>
      </c>
      <c r="M1467" s="29" t="n">
        <v>0</v>
      </c>
      <c r="N1467" s="2" t="n">
        <v>0</v>
      </c>
      <c r="O1467" s="31" t="n">
        <v>0</v>
      </c>
      <c r="P1467" s="32" t="n"/>
      <c r="Q1467" s="32" t="n">
        <v>0</v>
      </c>
      <c r="R1467" s="32" t="n">
        <v>0</v>
      </c>
      <c r="S1467" s="31" t="n">
        <v>0</v>
      </c>
      <c r="T1467" s="32" t="n">
        <v>0</v>
      </c>
      <c r="U1467" s="31" t="n">
        <v>0</v>
      </c>
      <c r="V1467" s="31" t="n">
        <v>0</v>
      </c>
      <c r="W1467" s="3" t="n">
        <v>0</v>
      </c>
      <c r="X1467" s="3" t="n">
        <v>0</v>
      </c>
      <c r="Y1467" s="32" t="n">
        <v>0</v>
      </c>
      <c r="Z1467" s="3" t="n">
        <v>0</v>
      </c>
      <c r="AA1467" s="32" t="n">
        <v>0</v>
      </c>
      <c r="AB1467" s="3" t="n"/>
      <c r="AC1467" s="31" t="n">
        <v>0</v>
      </c>
      <c r="AD1467" s="2" t="n">
        <v>0</v>
      </c>
      <c r="AE1467" s="2" t="n">
        <v>18</v>
      </c>
      <c r="AF1467" s="4" t="n">
        <v>18</v>
      </c>
      <c r="AG1467" s="33" t="n">
        <v>0</v>
      </c>
      <c r="AH1467" s="4" t="n">
        <v>0</v>
      </c>
      <c r="AI1467" s="34" t="n"/>
      <c r="AJ1467" s="34" t="n">
        <v>0</v>
      </c>
      <c r="AK1467" s="2" t="n">
        <v>0</v>
      </c>
      <c r="AL1467" t="inlineStr">
        <is>
          <t>Published</t>
        </is>
      </c>
    </row>
    <row r="1468">
      <c r="A1468">
        <f>HYPERLINK("https://www.walmart.com/ip/9605755115", "9605755115")</f>
        <v/>
      </c>
      <c r="B1468">
        <f>HYPERLINK("https://app.optiwise.ai/catalog/itemdetails/9954988", "National Park Foundation Hydration Backpack with 2L Hydro Water Bladder Bag, Lightweight Hiking Backpack, Travel Backpack for Cycling, Running, and Climbing, 18L,Blue")</f>
        <v/>
      </c>
      <c r="C1468" t="inlineStr">
        <is>
          <t>NPF-BACKPACK-HYDRATION-BLUE</t>
        </is>
      </c>
      <c r="D1468" t="inlineStr">
        <is>
          <t>Cases &amp; Bags</t>
        </is>
      </c>
      <c r="E1468" t="inlineStr">
        <is>
          <t>Backpacks</t>
        </is>
      </c>
      <c r="F1468" t="inlineStr">
        <is>
          <t>National Park Foundation</t>
        </is>
      </c>
      <c r="G1468" t="n">
        <v>0</v>
      </c>
      <c r="H1468" t="n">
        <v>0</v>
      </c>
      <c r="I1468" t="inlineStr">
        <is>
          <t>Backpack</t>
        </is>
      </c>
      <c r="J1468" s="29" t="n">
        <v>0</v>
      </c>
      <c r="K1468" s="30" t="n"/>
      <c r="L1468" s="29" t="n">
        <v>0</v>
      </c>
      <c r="M1468" s="29" t="n">
        <v>0</v>
      </c>
      <c r="N1468" s="2" t="n">
        <v>0</v>
      </c>
      <c r="O1468" s="31" t="n">
        <v>0</v>
      </c>
      <c r="P1468" s="32" t="n"/>
      <c r="Q1468" s="32" t="n">
        <v>0</v>
      </c>
      <c r="R1468" s="32" t="n">
        <v>0</v>
      </c>
      <c r="S1468" s="31" t="n">
        <v>0</v>
      </c>
      <c r="T1468" s="32" t="n">
        <v>0</v>
      </c>
      <c r="U1468" s="31" t="n">
        <v>0</v>
      </c>
      <c r="V1468" s="31" t="n">
        <v>0</v>
      </c>
      <c r="W1468" s="3" t="n">
        <v>0</v>
      </c>
      <c r="X1468" s="3" t="n">
        <v>0</v>
      </c>
      <c r="Y1468" s="32" t="n">
        <v>0</v>
      </c>
      <c r="Z1468" s="3" t="n">
        <v>0</v>
      </c>
      <c r="AA1468" s="32" t="n">
        <v>0</v>
      </c>
      <c r="AB1468" s="3" t="n"/>
      <c r="AC1468" s="31" t="n">
        <v>0</v>
      </c>
      <c r="AD1468" s="2" t="n">
        <v>0</v>
      </c>
      <c r="AE1468" s="2" t="n">
        <v>19</v>
      </c>
      <c r="AF1468" s="4" t="n">
        <v>19</v>
      </c>
      <c r="AG1468" s="33" t="n">
        <v>0</v>
      </c>
      <c r="AH1468" s="4" t="n">
        <v>0</v>
      </c>
      <c r="AI1468" s="34" t="n"/>
      <c r="AJ1468" s="34" t="n">
        <v>0</v>
      </c>
      <c r="AK1468" s="2" t="n">
        <v>0</v>
      </c>
      <c r="AL1468" t="inlineStr">
        <is>
          <t>Published</t>
        </is>
      </c>
    </row>
    <row r="1469">
      <c r="A1469">
        <f>HYPERLINK("https://www.walmart.com/ip/9584573351", "9584573351")</f>
        <v/>
      </c>
      <c r="B1469">
        <f>HYPERLINK("https://app.optiwise.ai/catalog/itemdetails/9954987", "National Park Foundation Hydration Backpack with 2L Hydro Water Bladder Bag, Lightweight Hiking Backpack, Travel Backpack for Cycling, Running, and Climbing, 18L, Black")</f>
        <v/>
      </c>
      <c r="C1469" t="inlineStr">
        <is>
          <t>NPF-BACKPACK-HYDRATION-BLACK</t>
        </is>
      </c>
      <c r="D1469" t="inlineStr">
        <is>
          <t>Cases &amp; Bags</t>
        </is>
      </c>
      <c r="E1469" t="inlineStr">
        <is>
          <t>Backpacks</t>
        </is>
      </c>
      <c r="F1469" t="inlineStr">
        <is>
          <t>National Park Foundation</t>
        </is>
      </c>
      <c r="G1469" t="n">
        <v>0</v>
      </c>
      <c r="H1469" t="n">
        <v>0</v>
      </c>
      <c r="I1469" t="inlineStr">
        <is>
          <t>Backpack</t>
        </is>
      </c>
      <c r="J1469" s="29" t="n">
        <v>0</v>
      </c>
      <c r="K1469" s="30" t="n"/>
      <c r="L1469" s="29" t="n">
        <v>0</v>
      </c>
      <c r="M1469" s="29" t="n">
        <v>0</v>
      </c>
      <c r="N1469" s="2" t="n">
        <v>0</v>
      </c>
      <c r="O1469" s="31" t="n">
        <v>0</v>
      </c>
      <c r="P1469" s="32" t="n"/>
      <c r="Q1469" s="32" t="n">
        <v>0</v>
      </c>
      <c r="R1469" s="32" t="n">
        <v>0</v>
      </c>
      <c r="S1469" s="31" t="n">
        <v>0</v>
      </c>
      <c r="T1469" s="32" t="n">
        <v>0</v>
      </c>
      <c r="U1469" s="31" t="n">
        <v>0</v>
      </c>
      <c r="V1469" s="31" t="n">
        <v>0</v>
      </c>
      <c r="W1469" s="3" t="n">
        <v>0</v>
      </c>
      <c r="X1469" s="3" t="n">
        <v>0</v>
      </c>
      <c r="Y1469" s="32" t="n">
        <v>0</v>
      </c>
      <c r="Z1469" s="3" t="n">
        <v>0</v>
      </c>
      <c r="AA1469" s="32" t="n">
        <v>0</v>
      </c>
      <c r="AB1469" s="3" t="n"/>
      <c r="AC1469" s="31" t="n">
        <v>0</v>
      </c>
      <c r="AD1469" s="2" t="n">
        <v>0</v>
      </c>
      <c r="AE1469" s="2" t="n">
        <v>28</v>
      </c>
      <c r="AF1469" s="4" t="n">
        <v>28</v>
      </c>
      <c r="AG1469" s="33" t="n">
        <v>0</v>
      </c>
      <c r="AH1469" s="4" t="n">
        <v>0</v>
      </c>
      <c r="AI1469" s="34" t="n"/>
      <c r="AJ1469" s="34" t="n">
        <v>0</v>
      </c>
      <c r="AK1469" s="2" t="n">
        <v>0</v>
      </c>
      <c r="AL1469" t="inlineStr">
        <is>
          <t>Published</t>
        </is>
      </c>
    </row>
    <row r="1470">
      <c r="A1470">
        <f>HYPERLINK("https://www.walmart.com/ip/9576372791", "9576372791")</f>
        <v/>
      </c>
      <c r="B1470">
        <f>HYPERLINK("https://app.optiwise.ai/catalog/itemdetails/9954986", "National Park Foundation Hydration Backpack with 2L Hydro Water Bladder Bag, Lightweight Hiking Backpack, Travel Backpack for Cycling, Running, and Climbing, 18L")</f>
        <v/>
      </c>
      <c r="C1470" t="inlineStr">
        <is>
          <t>NPF-BACKPACK-HYDRATION-OLIVE</t>
        </is>
      </c>
      <c r="D1470" t="inlineStr">
        <is>
          <t>Cases &amp; Bags</t>
        </is>
      </c>
      <c r="E1470" t="inlineStr">
        <is>
          <t>Hydration Packs</t>
        </is>
      </c>
      <c r="F1470" t="inlineStr">
        <is>
          <t>National Park Foundation</t>
        </is>
      </c>
      <c r="G1470" t="n">
        <v>4.5</v>
      </c>
      <c r="H1470" t="n">
        <v>0</v>
      </c>
      <c r="I1470" t="inlineStr">
        <is>
          <t>Backpack</t>
        </is>
      </c>
      <c r="J1470" s="29" t="n">
        <v>0</v>
      </c>
      <c r="K1470" s="30" t="n"/>
      <c r="L1470" s="29" t="n">
        <v>0</v>
      </c>
      <c r="M1470" s="29" t="n">
        <v>0</v>
      </c>
      <c r="N1470" s="2" t="n">
        <v>0</v>
      </c>
      <c r="O1470" s="31" t="n">
        <v>0</v>
      </c>
      <c r="P1470" s="32" t="n"/>
      <c r="Q1470" s="32" t="n">
        <v>0</v>
      </c>
      <c r="R1470" s="32" t="n">
        <v>0</v>
      </c>
      <c r="S1470" s="31" t="n">
        <v>0</v>
      </c>
      <c r="T1470" s="32" t="n">
        <v>0</v>
      </c>
      <c r="U1470" s="31" t="n">
        <v>0</v>
      </c>
      <c r="V1470" s="31" t="n">
        <v>0</v>
      </c>
      <c r="W1470" s="3" t="n">
        <v>0</v>
      </c>
      <c r="X1470" s="3" t="n">
        <v>0</v>
      </c>
      <c r="Y1470" s="32" t="n">
        <v>0</v>
      </c>
      <c r="Z1470" s="3" t="n">
        <v>0</v>
      </c>
      <c r="AA1470" s="32" t="n">
        <v>0</v>
      </c>
      <c r="AB1470" s="3" t="n"/>
      <c r="AC1470" s="31" t="n">
        <v>0</v>
      </c>
      <c r="AD1470" s="2" t="n">
        <v>0</v>
      </c>
      <c r="AE1470" s="2" t="n">
        <v>22</v>
      </c>
      <c r="AF1470" s="4" t="n">
        <v>22</v>
      </c>
      <c r="AG1470" s="33" t="n">
        <v>0</v>
      </c>
      <c r="AH1470" s="4" t="n">
        <v>0</v>
      </c>
      <c r="AI1470" s="34" t="n"/>
      <c r="AJ1470" s="34" t="n">
        <v>0</v>
      </c>
      <c r="AK1470" s="2" t="n">
        <v>0</v>
      </c>
      <c r="AL1470" t="inlineStr">
        <is>
          <t>Published</t>
        </is>
      </c>
    </row>
    <row r="1471">
      <c r="A1471">
        <f>HYPERLINK("https://www.walmart.com/ip/9536168360", "9536168360")</f>
        <v/>
      </c>
      <c r="B1471">
        <f>HYPERLINK("https://app.optiwise.ai/catalog/itemdetails/9941271", "Wrangler Yellowstone Sturdy Laptop Backpack for Travel, Hiking Backpack with Classic Logo, Water Resistant Casual Daypack, Padded Sleeve College Backpack for Notebook, SSG")</f>
        <v/>
      </c>
      <c r="C1471" t="inlineStr">
        <is>
          <t>WR-BACKPACK-16273-SGG</t>
        </is>
      </c>
      <c r="D1471" t="inlineStr">
        <is>
          <t>Cases &amp; Bags</t>
        </is>
      </c>
      <c r="E1471" t="inlineStr">
        <is>
          <t>Laptop Bags</t>
        </is>
      </c>
      <c r="F1471" t="inlineStr">
        <is>
          <t>Wrangler</t>
        </is>
      </c>
      <c r="G1471" t="n">
        <v>4.6</v>
      </c>
      <c r="H1471" t="n">
        <v>0</v>
      </c>
      <c r="I1471" t="inlineStr">
        <is>
          <t>Backpack</t>
        </is>
      </c>
      <c r="J1471" s="29" t="n">
        <v>0</v>
      </c>
      <c r="K1471" s="30" t="n"/>
      <c r="L1471" s="29" t="n">
        <v>0</v>
      </c>
      <c r="M1471" s="29" t="n">
        <v>0</v>
      </c>
      <c r="N1471" s="2" t="n">
        <v>0</v>
      </c>
      <c r="O1471" s="31" t="n">
        <v>0</v>
      </c>
      <c r="P1471" s="32" t="n"/>
      <c r="Q1471" s="32" t="n">
        <v>0</v>
      </c>
      <c r="R1471" s="32" t="n">
        <v>0</v>
      </c>
      <c r="S1471" s="31" t="n">
        <v>0</v>
      </c>
      <c r="T1471" s="32" t="n">
        <v>0</v>
      </c>
      <c r="U1471" s="31" t="n">
        <v>0</v>
      </c>
      <c r="V1471" s="31" t="n">
        <v>0</v>
      </c>
      <c r="W1471" s="3" t="n">
        <v>0</v>
      </c>
      <c r="X1471" s="3" t="n">
        <v>0</v>
      </c>
      <c r="Y1471" s="32" t="n">
        <v>0</v>
      </c>
      <c r="Z1471" s="3" t="n">
        <v>0</v>
      </c>
      <c r="AA1471" s="32" t="n">
        <v>0</v>
      </c>
      <c r="AB1471" s="3" t="n"/>
      <c r="AC1471" s="31" t="n">
        <v>0</v>
      </c>
      <c r="AD1471" s="2" t="n">
        <v>0</v>
      </c>
      <c r="AE1471" s="2" t="n">
        <v>54</v>
      </c>
      <c r="AF1471" s="4" t="n">
        <v>54</v>
      </c>
      <c r="AG1471" s="33" t="n">
        <v>0</v>
      </c>
      <c r="AH1471" s="4" t="n">
        <v>0</v>
      </c>
      <c r="AI1471" s="34" t="n"/>
      <c r="AJ1471" s="34" t="n">
        <v>0</v>
      </c>
      <c r="AK1471" s="2" t="n">
        <v>0</v>
      </c>
      <c r="AL1471" t="inlineStr">
        <is>
          <t>Published</t>
        </is>
      </c>
    </row>
    <row r="1472">
      <c r="A1472">
        <f>HYPERLINK("https://www.walmart.com/ip/9528713025", "9528713025")</f>
        <v/>
      </c>
      <c r="B1472">
        <f>HYPERLINK("https://app.optiwise.ai/catalog/itemdetails/9941269", "Wrangler Yellowstone Sturdy Laptop Backpack for Travel, Hiking Backpack with Classic Logo, Water Resistant Casual Daypack, Padded Sleeve College Backpack for Notebook, New Retro")</f>
        <v/>
      </c>
      <c r="C1472" t="inlineStr">
        <is>
          <t>WR-BACKPACK-16273-NEWRETRO</t>
        </is>
      </c>
      <c r="D1472" t="inlineStr">
        <is>
          <t>Cases &amp; Bags</t>
        </is>
      </c>
      <c r="E1472" t="inlineStr">
        <is>
          <t>Backpacks</t>
        </is>
      </c>
      <c r="F1472" t="inlineStr">
        <is>
          <t>Wrangler</t>
        </is>
      </c>
      <c r="G1472" t="n">
        <v>0</v>
      </c>
      <c r="H1472" t="n">
        <v>0</v>
      </c>
      <c r="I1472" t="inlineStr">
        <is>
          <t>Backpack</t>
        </is>
      </c>
      <c r="J1472" s="29" t="n">
        <v>0</v>
      </c>
      <c r="K1472" s="30" t="n"/>
      <c r="L1472" s="29" t="n">
        <v>0</v>
      </c>
      <c r="M1472" s="29" t="n">
        <v>0</v>
      </c>
      <c r="N1472" s="2" t="n">
        <v>0</v>
      </c>
      <c r="O1472" s="31" t="n">
        <v>0</v>
      </c>
      <c r="P1472" s="32" t="n"/>
      <c r="Q1472" s="32" t="n">
        <v>0</v>
      </c>
      <c r="R1472" s="32" t="n">
        <v>0</v>
      </c>
      <c r="S1472" s="31" t="n">
        <v>0</v>
      </c>
      <c r="T1472" s="32" t="n">
        <v>0</v>
      </c>
      <c r="U1472" s="31" t="n">
        <v>0</v>
      </c>
      <c r="V1472" s="31" t="n">
        <v>0</v>
      </c>
      <c r="W1472" s="3" t="n">
        <v>0</v>
      </c>
      <c r="X1472" s="3" t="n">
        <v>0</v>
      </c>
      <c r="Y1472" s="32" t="n">
        <v>0</v>
      </c>
      <c r="Z1472" s="3" t="n">
        <v>0</v>
      </c>
      <c r="AA1472" s="32" t="n">
        <v>0</v>
      </c>
      <c r="AB1472" s="3" t="n"/>
      <c r="AC1472" s="31" t="n">
        <v>0</v>
      </c>
      <c r="AD1472" s="2" t="n">
        <v>0</v>
      </c>
      <c r="AE1472" s="2" t="n">
        <v>2</v>
      </c>
      <c r="AF1472" s="4" t="n">
        <v>2</v>
      </c>
      <c r="AG1472" s="33" t="n">
        <v>0</v>
      </c>
      <c r="AH1472" s="4" t="n">
        <v>0</v>
      </c>
      <c r="AI1472" s="34" t="n"/>
      <c r="AJ1472" s="34" t="n">
        <v>0</v>
      </c>
      <c r="AK1472" s="2" t="n">
        <v>0</v>
      </c>
      <c r="AL1472" t="inlineStr">
        <is>
          <t>Published</t>
        </is>
      </c>
    </row>
    <row r="1473">
      <c r="A1473">
        <f>HYPERLINK("https://www.walmart.com/ip/9528705714", "9528705714")</f>
        <v/>
      </c>
      <c r="B1473">
        <f>HYPERLINK("https://app.optiwise.ai/catalog/itemdetails/9941268", "Wrangler Yellowstone Sturdy Laptop Backpack for Travel, Hiking Backpack with Classic Logo, Water Resistant Casual Daypack, Padded Sleeve College Backpack for Notebook, Grey")</f>
        <v/>
      </c>
      <c r="C1473" t="inlineStr">
        <is>
          <t>WR-BACKPACK-16273-GREY</t>
        </is>
      </c>
      <c r="D1473" t="inlineStr">
        <is>
          <t>Cases &amp; Bags</t>
        </is>
      </c>
      <c r="E1473" t="inlineStr">
        <is>
          <t>Backpacks</t>
        </is>
      </c>
      <c r="F1473" t="inlineStr">
        <is>
          <t>Wrangler</t>
        </is>
      </c>
      <c r="G1473" t="n">
        <v>0</v>
      </c>
      <c r="H1473" t="n">
        <v>0</v>
      </c>
      <c r="I1473" t="inlineStr">
        <is>
          <t>Backpack</t>
        </is>
      </c>
      <c r="J1473" s="29" t="n">
        <v>0</v>
      </c>
      <c r="K1473" s="30" t="n"/>
      <c r="L1473" s="29" t="n">
        <v>0</v>
      </c>
      <c r="M1473" s="29" t="n">
        <v>0</v>
      </c>
      <c r="N1473" s="2" t="n">
        <v>0</v>
      </c>
      <c r="O1473" s="31" t="n">
        <v>0</v>
      </c>
      <c r="P1473" s="32" t="n"/>
      <c r="Q1473" s="32" t="n">
        <v>0</v>
      </c>
      <c r="R1473" s="32" t="n">
        <v>0</v>
      </c>
      <c r="S1473" s="31" t="n">
        <v>0</v>
      </c>
      <c r="T1473" s="32" t="n">
        <v>0</v>
      </c>
      <c r="U1473" s="31" t="n">
        <v>0</v>
      </c>
      <c r="V1473" s="31" t="n">
        <v>0</v>
      </c>
      <c r="W1473" s="3" t="n">
        <v>0</v>
      </c>
      <c r="X1473" s="3" t="n">
        <v>0</v>
      </c>
      <c r="Y1473" s="32" t="n">
        <v>0</v>
      </c>
      <c r="Z1473" s="3" t="n">
        <v>0</v>
      </c>
      <c r="AA1473" s="32" t="n">
        <v>0</v>
      </c>
      <c r="AB1473" s="3" t="n"/>
      <c r="AC1473" s="31" t="n">
        <v>0</v>
      </c>
      <c r="AD1473" s="2" t="n">
        <v>0</v>
      </c>
      <c r="AE1473" s="2" t="n">
        <v>20</v>
      </c>
      <c r="AF1473" s="4" t="n">
        <v>20</v>
      </c>
      <c r="AG1473" s="33" t="n">
        <v>0</v>
      </c>
      <c r="AH1473" s="4" t="n">
        <v>0</v>
      </c>
      <c r="AI1473" s="34" t="n"/>
      <c r="AJ1473" s="34" t="n">
        <v>0</v>
      </c>
      <c r="AK1473" s="2" t="n">
        <v>0</v>
      </c>
      <c r="AL1473" t="inlineStr">
        <is>
          <t>Published</t>
        </is>
      </c>
    </row>
    <row r="1474">
      <c r="A1474">
        <f>HYPERLINK("https://www.walmart.com/ip/766256676", "766256676")</f>
        <v/>
      </c>
      <c r="B1474">
        <f>HYPERLINK("https://app.optiwise.ai/catalog/itemdetails/380744", "Solaris Men Winter Ski Snow Gloves with Breathable Face Mask The Warmest 3M Insulation Waterproof Outdoor Snowboard Mitt")</f>
        <v/>
      </c>
      <c r="C1474" t="inlineStr">
        <is>
          <t>1SLWG301BKBK-M</t>
        </is>
      </c>
      <c r="D1474" t="inlineStr">
        <is>
          <t>Clothing</t>
        </is>
      </c>
      <c r="E1474" t="inlineStr">
        <is>
          <t>Gloves &amp; Mittens</t>
        </is>
      </c>
      <c r="F1474" t="inlineStr">
        <is>
          <t>Solaris</t>
        </is>
      </c>
      <c r="G1474" t="n">
        <v>0</v>
      </c>
      <c r="H1474" t="n">
        <v>0</v>
      </c>
      <c r="I1474" t="inlineStr">
        <is>
          <t>Optimized</t>
        </is>
      </c>
      <c r="J1474" s="29" t="n">
        <v>0</v>
      </c>
      <c r="K1474" s="30" t="n"/>
      <c r="L1474" s="29" t="n">
        <v>0</v>
      </c>
      <c r="M1474" s="29" t="n">
        <v>0</v>
      </c>
      <c r="N1474" s="2" t="n">
        <v>0</v>
      </c>
      <c r="O1474" s="31" t="n">
        <v>0</v>
      </c>
      <c r="P1474" s="32" t="n"/>
      <c r="Q1474" s="32" t="n">
        <v>0</v>
      </c>
      <c r="R1474" s="32" t="n">
        <v>0</v>
      </c>
      <c r="S1474" s="31" t="n">
        <v>0</v>
      </c>
      <c r="T1474" s="32" t="n">
        <v>0</v>
      </c>
      <c r="U1474" s="31" t="n">
        <v>0</v>
      </c>
      <c r="V1474" s="31" t="n">
        <v>0</v>
      </c>
      <c r="W1474" s="3" t="n">
        <v>0</v>
      </c>
      <c r="X1474" s="3" t="n">
        <v>0</v>
      </c>
      <c r="Y1474" s="32" t="n">
        <v>0</v>
      </c>
      <c r="Z1474" s="3" t="n">
        <v>0</v>
      </c>
      <c r="AA1474" s="32" t="n">
        <v>0</v>
      </c>
      <c r="AB1474" s="3" t="n"/>
      <c r="AC1474" s="31" t="n">
        <v>0</v>
      </c>
      <c r="AD1474" s="2" t="n">
        <v>0</v>
      </c>
      <c r="AE1474" s="2" t="n">
        <v>14</v>
      </c>
      <c r="AF1474" s="4" t="n">
        <v>14</v>
      </c>
      <c r="AG1474" s="33" t="n">
        <v>0</v>
      </c>
      <c r="AH1474" s="4" t="n">
        <v>0</v>
      </c>
      <c r="AI1474" s="34" t="n"/>
      <c r="AJ1474" s="34" t="n">
        <v>0</v>
      </c>
      <c r="AK1474" s="2" t="n">
        <v>0</v>
      </c>
      <c r="AL1474" t="inlineStr">
        <is>
          <t>Published</t>
        </is>
      </c>
    </row>
    <row r="1475">
      <c r="A1475">
        <f>HYPERLINK("https://www.walmart.com/ip/314644360", "314644360")</f>
        <v/>
      </c>
      <c r="B1475">
        <f>HYPERLINK("https://app.optiwise.ai/catalog/itemdetails/362353", "Kato Wine Opener Accessories Gift Set - 5 Pcs Wine Bottle Corkscrew Screwpull Kit by Kato, Great Wedding and Birthday Gifts for Wine Lovers, Silver &amp; Black")</f>
        <v/>
      </c>
      <c r="C1475" t="inlineStr">
        <is>
          <t>1KTWO502SLBK</t>
        </is>
      </c>
      <c r="D1475" t="inlineStr">
        <is>
          <t>Home Decor, Kitchen, &amp; Other</t>
        </is>
      </c>
      <c r="E1475" t="inlineStr">
        <is>
          <t>Corkscrews &amp; Wine Bottle Openers</t>
        </is>
      </c>
      <c r="F1475" t="inlineStr">
        <is>
          <t>Kato</t>
        </is>
      </c>
      <c r="G1475" t="n">
        <v>0</v>
      </c>
      <c r="H1475" t="n">
        <v>0</v>
      </c>
      <c r="I1475" t="inlineStr">
        <is>
          <t>Wine,Christmas,Valentine</t>
        </is>
      </c>
      <c r="J1475" s="29" t="n">
        <v>0</v>
      </c>
      <c r="K1475" s="30" t="n"/>
      <c r="L1475" s="29" t="n">
        <v>0</v>
      </c>
      <c r="M1475" s="29" t="n">
        <v>0</v>
      </c>
      <c r="N1475" s="2" t="n">
        <v>0</v>
      </c>
      <c r="O1475" s="31" t="n">
        <v>0</v>
      </c>
      <c r="P1475" s="32" t="n"/>
      <c r="Q1475" s="32" t="n">
        <v>0</v>
      </c>
      <c r="R1475" s="32" t="n">
        <v>0</v>
      </c>
      <c r="S1475" s="31" t="n">
        <v>0</v>
      </c>
      <c r="T1475" s="32" t="n">
        <v>0</v>
      </c>
      <c r="U1475" s="31" t="n">
        <v>0</v>
      </c>
      <c r="V1475" s="31" t="n">
        <v>0</v>
      </c>
      <c r="W1475" s="3" t="n">
        <v>0</v>
      </c>
      <c r="X1475" s="3" t="n">
        <v>0</v>
      </c>
      <c r="Y1475" s="32" t="n">
        <v>0</v>
      </c>
      <c r="Z1475" s="3" t="n">
        <v>0</v>
      </c>
      <c r="AA1475" s="32" t="n">
        <v>0</v>
      </c>
      <c r="AB1475" s="3" t="n"/>
      <c r="AC1475" s="31" t="n">
        <v>0</v>
      </c>
      <c r="AD1475" s="2" t="n">
        <v>0</v>
      </c>
      <c r="AE1475" s="2" t="n">
        <v>5</v>
      </c>
      <c r="AF1475" s="4" t="n">
        <v>5</v>
      </c>
      <c r="AG1475" s="33" t="n">
        <v>0</v>
      </c>
      <c r="AH1475" s="4" t="n">
        <v>0</v>
      </c>
      <c r="AI1475" s="34" t="n"/>
      <c r="AJ1475" s="34" t="n">
        <v>0</v>
      </c>
      <c r="AK1475" s="2" t="n">
        <v>0</v>
      </c>
      <c r="AL1475" t="inlineStr">
        <is>
          <t>Published</t>
        </is>
      </c>
    </row>
    <row r="1476">
      <c r="A1476">
        <f>HYPERLINK("https://www.walmart.com/ip/917761016", "917761016")</f>
        <v/>
      </c>
      <c r="B1476">
        <f>HYPERLINK("https://app.optiwise.ai/catalog/itemdetails/380741", "Catalonia Sherpa Throw Blanket, Fuzzy Snuggle Blanket for Camping Traveling Couch Bed, Super Soft, Light Weight, Reversible, All Season Use, 50x60 inches, Gray")</f>
        <v/>
      </c>
      <c r="C1476" t="inlineStr">
        <is>
          <t>1CTBF579GY</t>
        </is>
      </c>
      <c r="D1476" t="inlineStr">
        <is>
          <t>Bedding</t>
        </is>
      </c>
      <c r="E1476" t="inlineStr">
        <is>
          <t>Throws</t>
        </is>
      </c>
      <c r="F1476" t="inlineStr">
        <is>
          <t>Catalonia</t>
        </is>
      </c>
      <c r="G1476" t="n">
        <v>4.2</v>
      </c>
      <c r="H1476" t="n">
        <v>6</v>
      </c>
      <c r="I1476" t="inlineStr">
        <is>
          <t>WFS,WFS Item</t>
        </is>
      </c>
      <c r="J1476" s="29" t="n">
        <v>0</v>
      </c>
      <c r="K1476" s="30" t="n"/>
      <c r="L1476" s="29" t="n">
        <v>0</v>
      </c>
      <c r="M1476" s="29" t="n">
        <v>0</v>
      </c>
      <c r="N1476" s="2" t="n">
        <v>0</v>
      </c>
      <c r="O1476" s="31" t="n">
        <v>0</v>
      </c>
      <c r="P1476" s="32" t="n"/>
      <c r="Q1476" s="32" t="n">
        <v>0</v>
      </c>
      <c r="R1476" s="32" t="n">
        <v>0</v>
      </c>
      <c r="S1476" s="31" t="n">
        <v>0</v>
      </c>
      <c r="T1476" s="32" t="n">
        <v>0</v>
      </c>
      <c r="U1476" s="31" t="n">
        <v>0</v>
      </c>
      <c r="V1476" s="31" t="n">
        <v>0</v>
      </c>
      <c r="W1476" s="3" t="n">
        <v>0</v>
      </c>
      <c r="X1476" s="3" t="n">
        <v>0</v>
      </c>
      <c r="Y1476" s="32" t="n">
        <v>0</v>
      </c>
      <c r="Z1476" s="3" t="n">
        <v>0</v>
      </c>
      <c r="AA1476" s="32" t="n">
        <v>0</v>
      </c>
      <c r="AB1476" s="3" t="n"/>
      <c r="AC1476" s="31" t="n">
        <v>0</v>
      </c>
      <c r="AD1476" s="2" t="n">
        <v>0</v>
      </c>
      <c r="AE1476" s="2" t="n">
        <v>19</v>
      </c>
      <c r="AF1476" s="4" t="n">
        <v>19</v>
      </c>
      <c r="AG1476" s="33" t="n">
        <v>0</v>
      </c>
      <c r="AH1476" s="4" t="n">
        <v>0</v>
      </c>
      <c r="AI1476" s="34" t="n"/>
      <c r="AJ1476" s="34" t="n">
        <v>0</v>
      </c>
      <c r="AK1476" s="2" t="n">
        <v>0</v>
      </c>
      <c r="AL1476" t="inlineStr">
        <is>
          <t>Published</t>
        </is>
      </c>
    </row>
    <row r="1477">
      <c r="A1477">
        <f>HYPERLINK("https://www.walmart.com/ip/129741644", "129741644")</f>
        <v/>
      </c>
      <c r="B1477">
        <f>HYPERLINK("https://app.optiwise.ai/catalog/itemdetails/360715", "Adjustable Buckle Closure USA Flag Embroidered Cap")</f>
        <v/>
      </c>
      <c r="C1477" t="inlineStr">
        <is>
          <t>kc-aeflag-wt</t>
        </is>
      </c>
      <c r="D1477" t="inlineStr">
        <is>
          <t>Clothing</t>
        </is>
      </c>
      <c r="E1477" t="inlineStr">
        <is>
          <t>Hats</t>
        </is>
      </c>
      <c r="F1477" t="inlineStr">
        <is>
          <t>KC Caps</t>
        </is>
      </c>
      <c r="G1477" t="n">
        <v>0</v>
      </c>
      <c r="H1477" t="n">
        <v>0</v>
      </c>
      <c r="I1477" t="inlineStr">
        <is>
          <t>Optimized</t>
        </is>
      </c>
      <c r="J1477" s="29" t="n">
        <v>0</v>
      </c>
      <c r="K1477" s="30" t="n"/>
      <c r="L1477" s="29" t="n">
        <v>0</v>
      </c>
      <c r="M1477" s="29" t="n">
        <v>0</v>
      </c>
      <c r="N1477" s="2" t="n">
        <v>0</v>
      </c>
      <c r="O1477" s="31" t="n">
        <v>0</v>
      </c>
      <c r="P1477" s="32" t="n"/>
      <c r="Q1477" s="32" t="n">
        <v>0</v>
      </c>
      <c r="R1477" s="32" t="n">
        <v>0</v>
      </c>
      <c r="S1477" s="31" t="n">
        <v>0</v>
      </c>
      <c r="T1477" s="32" t="n">
        <v>0</v>
      </c>
      <c r="U1477" s="31" t="n">
        <v>0</v>
      </c>
      <c r="V1477" s="31" t="n">
        <v>0</v>
      </c>
      <c r="W1477" s="3" t="n">
        <v>0</v>
      </c>
      <c r="X1477" s="3" t="n">
        <v>0</v>
      </c>
      <c r="Y1477" s="32" t="n">
        <v>0</v>
      </c>
      <c r="Z1477" s="3" t="n">
        <v>0</v>
      </c>
      <c r="AA1477" s="32" t="n">
        <v>0</v>
      </c>
      <c r="AB1477" s="3" t="n"/>
      <c r="AC1477" s="31" t="n">
        <v>0</v>
      </c>
      <c r="AD1477" s="2" t="n">
        <v>0</v>
      </c>
      <c r="AE1477" s="2" t="n">
        <v>2</v>
      </c>
      <c r="AF1477" s="4" t="n">
        <v>2</v>
      </c>
      <c r="AG1477" s="33" t="n">
        <v>0</v>
      </c>
      <c r="AH1477" s="4" t="n">
        <v>0</v>
      </c>
      <c r="AI1477" s="34" t="n"/>
      <c r="AJ1477" s="34" t="n">
        <v>0</v>
      </c>
      <c r="AK1477" s="2" t="n">
        <v>0</v>
      </c>
      <c r="AL1477" t="inlineStr">
        <is>
          <t>Published</t>
        </is>
      </c>
    </row>
    <row r="1478">
      <c r="A1478">
        <f>HYPERLINK("https://www.walmart.com/ip/172245618", "172245618")</f>
        <v/>
      </c>
      <c r="B1478">
        <f>HYPERLINK("https://app.optiwise.ai/catalog/itemdetails/360998", "JenniWears® Women's Plus Size Stretch Lace Gartered Chemise and G-string Set")</f>
        <v/>
      </c>
      <c r="C1478" t="inlineStr">
        <is>
          <t>JWBD01LE-XL</t>
        </is>
      </c>
      <c r="D1478" t="inlineStr">
        <is>
          <t>Clothing</t>
        </is>
      </c>
      <c r="E1478" t="inlineStr">
        <is>
          <t>Lingerie Sets</t>
        </is>
      </c>
      <c r="F1478" t="inlineStr">
        <is>
          <t>JenniWears</t>
        </is>
      </c>
      <c r="G1478" t="n">
        <v>0</v>
      </c>
      <c r="H1478" t="n">
        <v>0</v>
      </c>
      <c r="I1478" t="inlineStr">
        <is>
          <t>Valentine</t>
        </is>
      </c>
      <c r="J1478" s="29" t="n">
        <v>0</v>
      </c>
      <c r="K1478" s="30" t="n"/>
      <c r="L1478" s="29" t="n">
        <v>0</v>
      </c>
      <c r="M1478" s="29" t="n">
        <v>0</v>
      </c>
      <c r="N1478" s="2" t="n">
        <v>0</v>
      </c>
      <c r="O1478" s="31" t="n">
        <v>0</v>
      </c>
      <c r="P1478" s="32" t="n"/>
      <c r="Q1478" s="32" t="n">
        <v>0</v>
      </c>
      <c r="R1478" s="32" t="n">
        <v>0</v>
      </c>
      <c r="S1478" s="31" t="n">
        <v>0</v>
      </c>
      <c r="T1478" s="32" t="n">
        <v>0</v>
      </c>
      <c r="U1478" s="31" t="n">
        <v>0</v>
      </c>
      <c r="V1478" s="31" t="n">
        <v>0</v>
      </c>
      <c r="W1478" s="3" t="n">
        <v>0</v>
      </c>
      <c r="X1478" s="3" t="n">
        <v>0</v>
      </c>
      <c r="Y1478" s="32" t="n">
        <v>0</v>
      </c>
      <c r="Z1478" s="3" t="n">
        <v>0</v>
      </c>
      <c r="AA1478" s="32" t="n">
        <v>0</v>
      </c>
      <c r="AB1478" s="3" t="n"/>
      <c r="AC1478" s="31" t="n">
        <v>0</v>
      </c>
      <c r="AD1478" s="2" t="n">
        <v>0</v>
      </c>
      <c r="AE1478" s="2" t="n">
        <v>7</v>
      </c>
      <c r="AF1478" s="4" t="n">
        <v>7</v>
      </c>
      <c r="AG1478" s="33" t="n">
        <v>0</v>
      </c>
      <c r="AH1478" s="4" t="n">
        <v>0</v>
      </c>
      <c r="AI1478" s="34" t="n"/>
      <c r="AJ1478" s="34" t="n">
        <v>0</v>
      </c>
      <c r="AK1478" s="2" t="n">
        <v>0</v>
      </c>
      <c r="AL1478" t="inlineStr">
        <is>
          <t>Published</t>
        </is>
      </c>
    </row>
    <row r="1479">
      <c r="A1479">
        <f>HYPERLINK("https://www.walmart.com/ip/786288651", "786288651")</f>
        <v/>
      </c>
      <c r="B1479">
        <f>HYPERLINK("https://app.optiwise.ai/catalog/itemdetails/360996", "Catalonia Snuggie Tails Toddlers Blanket Kids Sleep Bag Warm Plush Super Soft for Baby Children Teen Boy Girl")</f>
        <v/>
      </c>
      <c r="C1479" t="inlineStr">
        <is>
          <t>1CTMM200NM</t>
        </is>
      </c>
      <c r="D1479" t="inlineStr">
        <is>
          <t>Bedding</t>
        </is>
      </c>
      <c r="E1479" t="inlineStr">
        <is>
          <t>Throws</t>
        </is>
      </c>
      <c r="F1479" t="inlineStr">
        <is>
          <t>Catalonia</t>
        </is>
      </c>
      <c r="G1479" t="n">
        <v>4.2</v>
      </c>
      <c r="H1479" t="n">
        <v>22</v>
      </c>
      <c r="I1479" t="inlineStr">
        <is>
          <t>Baby days,WFS,WFS Item</t>
        </is>
      </c>
      <c r="J1479" s="29" t="n">
        <v>0</v>
      </c>
      <c r="K1479" s="30" t="n"/>
      <c r="L1479" s="29" t="n">
        <v>0</v>
      </c>
      <c r="M1479" s="29" t="n">
        <v>0</v>
      </c>
      <c r="N1479" s="2" t="n">
        <v>0</v>
      </c>
      <c r="O1479" s="31" t="n">
        <v>0</v>
      </c>
      <c r="P1479" s="32" t="n"/>
      <c r="Q1479" s="32" t="n">
        <v>0</v>
      </c>
      <c r="R1479" s="32" t="n">
        <v>0</v>
      </c>
      <c r="S1479" s="31" t="n">
        <v>0</v>
      </c>
      <c r="T1479" s="32" t="n">
        <v>0</v>
      </c>
      <c r="U1479" s="31" t="n">
        <v>0</v>
      </c>
      <c r="V1479" s="31" t="n">
        <v>0</v>
      </c>
      <c r="W1479" s="3" t="n">
        <v>0</v>
      </c>
      <c r="X1479" s="3" t="n">
        <v>0</v>
      </c>
      <c r="Y1479" s="32" t="n">
        <v>0</v>
      </c>
      <c r="Z1479" s="3" t="n">
        <v>0</v>
      </c>
      <c r="AA1479" s="32" t="n">
        <v>0</v>
      </c>
      <c r="AB1479" s="3" t="n"/>
      <c r="AC1479" s="31" t="n">
        <v>0</v>
      </c>
      <c r="AD1479" s="2" t="n">
        <v>0</v>
      </c>
      <c r="AE1479" s="2" t="n">
        <v>24</v>
      </c>
      <c r="AF1479" s="4" t="n">
        <v>24</v>
      </c>
      <c r="AG1479" s="33" t="n">
        <v>0</v>
      </c>
      <c r="AH1479" s="4" t="n">
        <v>0</v>
      </c>
      <c r="AI1479" s="34" t="n"/>
      <c r="AJ1479" s="34" t="n">
        <v>0</v>
      </c>
      <c r="AK1479" s="2" t="n">
        <v>0</v>
      </c>
      <c r="AL1479" t="inlineStr">
        <is>
          <t>Published</t>
        </is>
      </c>
    </row>
    <row r="1480">
      <c r="A1480">
        <f>HYPERLINK("https://www.walmart.com/ip/107194664", "107194664")</f>
        <v/>
      </c>
      <c r="B1480">
        <f>HYPERLINK("https://app.optiwise.ai/catalog/itemdetails/360987", "Jenniwears Sexy See Through Lace Lingerie Jacket Babydoll Camisole G String 3 Pieces Sleepwear Set")</f>
        <v/>
      </c>
      <c r="C1480" t="inlineStr">
        <is>
          <t>JWND05PP</t>
        </is>
      </c>
      <c r="D1480" t="inlineStr">
        <is>
          <t>Clothing</t>
        </is>
      </c>
      <c r="E1480" t="inlineStr">
        <is>
          <t>Lingerie Sets</t>
        </is>
      </c>
      <c r="F1480" t="inlineStr">
        <is>
          <t>JenniWears</t>
        </is>
      </c>
      <c r="G1480" t="n">
        <v>2</v>
      </c>
      <c r="H1480" t="n">
        <v>1</v>
      </c>
      <c r="I1480" t="inlineStr">
        <is>
          <t>Optimized,Valentine</t>
        </is>
      </c>
      <c r="J1480" s="29" t="n">
        <v>0</v>
      </c>
      <c r="K1480" s="30" t="n"/>
      <c r="L1480" s="29" t="n">
        <v>0</v>
      </c>
      <c r="M1480" s="29" t="n">
        <v>0</v>
      </c>
      <c r="N1480" s="2" t="n">
        <v>0</v>
      </c>
      <c r="O1480" s="31" t="n">
        <v>0</v>
      </c>
      <c r="P1480" s="32" t="n"/>
      <c r="Q1480" s="32" t="n">
        <v>0</v>
      </c>
      <c r="R1480" s="32" t="n">
        <v>0</v>
      </c>
      <c r="S1480" s="31" t="n">
        <v>0</v>
      </c>
      <c r="T1480" s="32" t="n">
        <v>0</v>
      </c>
      <c r="U1480" s="31" t="n">
        <v>0</v>
      </c>
      <c r="V1480" s="31" t="n">
        <v>0</v>
      </c>
      <c r="W1480" s="3" t="n">
        <v>0</v>
      </c>
      <c r="X1480" s="3" t="n">
        <v>0</v>
      </c>
      <c r="Y1480" s="32" t="n">
        <v>0</v>
      </c>
      <c r="Z1480" s="3" t="n">
        <v>0</v>
      </c>
      <c r="AA1480" s="32" t="n">
        <v>0</v>
      </c>
      <c r="AB1480" s="3" t="n"/>
      <c r="AC1480" s="31" t="n">
        <v>0</v>
      </c>
      <c r="AD1480" s="2" t="n">
        <v>0</v>
      </c>
      <c r="AE1480" s="2" t="n">
        <v>13</v>
      </c>
      <c r="AF1480" s="4" t="n">
        <v>13</v>
      </c>
      <c r="AG1480" s="33" t="n">
        <v>0</v>
      </c>
      <c r="AH1480" s="4" t="n">
        <v>0</v>
      </c>
      <c r="AI1480" s="34" t="n"/>
      <c r="AJ1480" s="34" t="n">
        <v>0</v>
      </c>
      <c r="AK1480" s="2" t="n">
        <v>0</v>
      </c>
      <c r="AL1480" t="inlineStr">
        <is>
          <t>Published</t>
        </is>
      </c>
    </row>
    <row r="1481">
      <c r="A1481">
        <f>HYPERLINK("https://www.walmart.com/ip/365573628", "365573628")</f>
        <v/>
      </c>
      <c r="B1481">
        <f>HYPERLINK("https://app.optiwise.ai/catalog/itemdetails/360986", "Catalonia Sherpa Furry Throw Blanket Reversible Fuzzy Fleece Blanket 50x60, Polyester Super Soft Plush for Sofa Couch Bed")</f>
        <v/>
      </c>
      <c r="C1481" t="inlineStr">
        <is>
          <t>1CTBN110LT</t>
        </is>
      </c>
      <c r="D1481" t="inlineStr">
        <is>
          <t>Bedding</t>
        </is>
      </c>
      <c r="E1481" t="inlineStr">
        <is>
          <t>Throws</t>
        </is>
      </c>
      <c r="F1481" t="inlineStr">
        <is>
          <t>Catalonia</t>
        </is>
      </c>
      <c r="G1481" t="n">
        <v>0</v>
      </c>
      <c r="H1481" t="n">
        <v>0</v>
      </c>
      <c r="I1481" t="inlineStr">
        <is>
          <t>Q2-Target,Optimized,WFS,Coupon_Discount,WFS Item,Fleece Blankets</t>
        </is>
      </c>
      <c r="J1481" s="29" t="n">
        <v>0</v>
      </c>
      <c r="K1481" s="30" t="n"/>
      <c r="L1481" s="29" t="n">
        <v>0</v>
      </c>
      <c r="M1481" s="29" t="n">
        <v>0</v>
      </c>
      <c r="N1481" s="2" t="n">
        <v>0</v>
      </c>
      <c r="O1481" s="31" t="n">
        <v>0</v>
      </c>
      <c r="P1481" s="32" t="n"/>
      <c r="Q1481" s="32" t="n">
        <v>0</v>
      </c>
      <c r="R1481" s="32" t="n">
        <v>0</v>
      </c>
      <c r="S1481" s="31" t="n">
        <v>0</v>
      </c>
      <c r="T1481" s="32" t="n">
        <v>0</v>
      </c>
      <c r="U1481" s="31" t="n">
        <v>0</v>
      </c>
      <c r="V1481" s="31" t="n">
        <v>0</v>
      </c>
      <c r="W1481" s="3" t="n">
        <v>0</v>
      </c>
      <c r="X1481" s="3" t="n">
        <v>0</v>
      </c>
      <c r="Y1481" s="32" t="n">
        <v>0</v>
      </c>
      <c r="Z1481" s="3" t="n">
        <v>0</v>
      </c>
      <c r="AA1481" s="32" t="n">
        <v>0</v>
      </c>
      <c r="AB1481" s="3" t="n"/>
      <c r="AC1481" s="31" t="n">
        <v>0</v>
      </c>
      <c r="AD1481" s="2" t="n">
        <v>0</v>
      </c>
      <c r="AE1481" s="2" t="n">
        <v>22</v>
      </c>
      <c r="AF1481" s="4" t="n">
        <v>22</v>
      </c>
      <c r="AG1481" s="33" t="n">
        <v>0</v>
      </c>
      <c r="AH1481" s="4" t="n">
        <v>0</v>
      </c>
      <c r="AI1481" s="34" t="n"/>
      <c r="AJ1481" s="34" t="n">
        <v>0</v>
      </c>
      <c r="AK1481" s="2" t="n">
        <v>0</v>
      </c>
      <c r="AL1481" t="inlineStr">
        <is>
          <t>Published</t>
        </is>
      </c>
    </row>
    <row r="1482">
      <c r="A1482">
        <f>HYPERLINK("https://www.walmart.com/ip/979279232", "979279232")</f>
        <v/>
      </c>
      <c r="B1482">
        <f>HYPERLINK("https://app.optiwise.ai/catalog/itemdetails/360984", "KritterWorld 2 in 1 Front Car Seat Covers Pet Travel Protector Basket for Dog Cat Scratch Resistant Waterproof and Non-slip Black")</f>
        <v/>
      </c>
      <c r="C1482" t="inlineStr">
        <is>
          <t>KWPETCSC02-BK</t>
        </is>
      </c>
      <c r="D1482" t="inlineStr">
        <is>
          <t>Animal Other</t>
        </is>
      </c>
      <c r="E1482" t="inlineStr">
        <is>
          <t>Pet Car Seat Covers</t>
        </is>
      </c>
      <c r="F1482" t="inlineStr">
        <is>
          <t>KritterWorld</t>
        </is>
      </c>
      <c r="G1482" t="n">
        <v>4</v>
      </c>
      <c r="H1482" t="n">
        <v>2</v>
      </c>
      <c r="I1482" t="inlineStr">
        <is>
          <t>Batch 1 - TR</t>
        </is>
      </c>
      <c r="J1482" s="29" t="n">
        <v>0</v>
      </c>
      <c r="K1482" s="30" t="n"/>
      <c r="L1482" s="29" t="n">
        <v>0</v>
      </c>
      <c r="M1482" s="29" t="n">
        <v>0</v>
      </c>
      <c r="N1482" s="2" t="n">
        <v>0</v>
      </c>
      <c r="O1482" s="31" t="n">
        <v>0</v>
      </c>
      <c r="P1482" s="32" t="n"/>
      <c r="Q1482" s="32" t="n">
        <v>0</v>
      </c>
      <c r="R1482" s="32" t="n">
        <v>0</v>
      </c>
      <c r="S1482" s="31" t="n">
        <v>0</v>
      </c>
      <c r="T1482" s="32" t="n">
        <v>0</v>
      </c>
      <c r="U1482" s="31" t="n">
        <v>0</v>
      </c>
      <c r="V1482" s="31" t="n">
        <v>0</v>
      </c>
      <c r="W1482" s="3" t="n">
        <v>0</v>
      </c>
      <c r="X1482" s="3" t="n">
        <v>0</v>
      </c>
      <c r="Y1482" s="32" t="n">
        <v>0</v>
      </c>
      <c r="Z1482" s="3" t="n">
        <v>0</v>
      </c>
      <c r="AA1482" s="32" t="n">
        <v>0</v>
      </c>
      <c r="AB1482" s="3" t="n"/>
      <c r="AC1482" s="31" t="n">
        <v>0</v>
      </c>
      <c r="AD1482" s="2" t="n">
        <v>0</v>
      </c>
      <c r="AE1482" s="2" t="n">
        <v>24</v>
      </c>
      <c r="AF1482" s="4" t="n">
        <v>24</v>
      </c>
      <c r="AG1482" s="33" t="n">
        <v>0</v>
      </c>
      <c r="AH1482" s="4" t="n">
        <v>0</v>
      </c>
      <c r="AI1482" s="34" t="n"/>
      <c r="AJ1482" s="34" t="n">
        <v>0</v>
      </c>
      <c r="AK1482" s="2" t="n">
        <v>0</v>
      </c>
      <c r="AL1482" t="inlineStr">
        <is>
          <t>Published</t>
        </is>
      </c>
    </row>
    <row r="1483">
      <c r="A1483">
        <f>HYPERLINK("https://www.walmart.com/ip/195868779", "195868779")</f>
        <v/>
      </c>
      <c r="B1483">
        <f>HYPERLINK("https://app.optiwise.ai/catalog/itemdetails/360983", "Women Lingerie Net Garter Belt Stretch Thigh Stocking Pantyhose")</f>
        <v/>
      </c>
      <c r="C1483" t="inlineStr">
        <is>
          <t>JWBLSPH3052</t>
        </is>
      </c>
      <c r="D1483" t="inlineStr">
        <is>
          <t>Clothing</t>
        </is>
      </c>
      <c r="E1483" t="inlineStr">
        <is>
          <t>Pantyhose &amp; Tights</t>
        </is>
      </c>
      <c r="F1483" t="inlineStr">
        <is>
          <t>JenniWears</t>
        </is>
      </c>
      <c r="G1483" t="n">
        <v>3</v>
      </c>
      <c r="H1483" t="n">
        <v>2</v>
      </c>
      <c r="I1483" t="inlineStr">
        <is>
          <t>WFS,Valentine,WFS Item</t>
        </is>
      </c>
      <c r="J1483" s="29" t="n">
        <v>0</v>
      </c>
      <c r="K1483" s="30" t="n"/>
      <c r="L1483" s="29" t="n">
        <v>0</v>
      </c>
      <c r="M1483" s="29" t="n">
        <v>0</v>
      </c>
      <c r="N1483" s="2" t="n">
        <v>0</v>
      </c>
      <c r="O1483" s="31" t="n">
        <v>0</v>
      </c>
      <c r="P1483" s="32" t="n"/>
      <c r="Q1483" s="32" t="n">
        <v>0</v>
      </c>
      <c r="R1483" s="32" t="n">
        <v>0</v>
      </c>
      <c r="S1483" s="31" t="n">
        <v>0</v>
      </c>
      <c r="T1483" s="32" t="n">
        <v>0</v>
      </c>
      <c r="U1483" s="31" t="n">
        <v>0</v>
      </c>
      <c r="V1483" s="31" t="n">
        <v>0</v>
      </c>
      <c r="W1483" s="3" t="n">
        <v>0</v>
      </c>
      <c r="X1483" s="3" t="n">
        <v>0</v>
      </c>
      <c r="Y1483" s="32" t="n">
        <v>0</v>
      </c>
      <c r="Z1483" s="3" t="n">
        <v>0</v>
      </c>
      <c r="AA1483" s="32" t="n">
        <v>0</v>
      </c>
      <c r="AB1483" s="3" t="n"/>
      <c r="AC1483" s="31" t="n">
        <v>0</v>
      </c>
      <c r="AD1483" s="2" t="n">
        <v>0</v>
      </c>
      <c r="AE1483" s="2" t="n">
        <v>7</v>
      </c>
      <c r="AF1483" s="4" t="n">
        <v>7</v>
      </c>
      <c r="AG1483" s="33" t="n">
        <v>0</v>
      </c>
      <c r="AH1483" s="4" t="n">
        <v>0</v>
      </c>
      <c r="AI1483" s="34" t="n"/>
      <c r="AJ1483" s="34" t="n">
        <v>0</v>
      </c>
      <c r="AK1483" s="2" t="n">
        <v>0</v>
      </c>
      <c r="AL1483" t="inlineStr">
        <is>
          <t>Published</t>
        </is>
      </c>
    </row>
    <row r="1484">
      <c r="A1484">
        <f>HYPERLINK("https://www.walmart.com/ip/111065430", "111065430")</f>
        <v/>
      </c>
      <c r="B1484">
        <f>HYPERLINK("https://app.optiwise.ai/catalog/itemdetails/360981", "KC Caps Race Collection Caps with High Quality USA Fag Racing Graphic")</f>
        <v/>
      </c>
      <c r="C1484" t="inlineStr">
        <is>
          <t>KC-AS09</t>
        </is>
      </c>
      <c r="D1484" t="inlineStr">
        <is>
          <t>Clothing</t>
        </is>
      </c>
      <c r="E1484" t="inlineStr">
        <is>
          <t>Hats</t>
        </is>
      </c>
      <c r="F1484" t="inlineStr">
        <is>
          <t>KC Caps</t>
        </is>
      </c>
      <c r="G1484" t="n">
        <v>0</v>
      </c>
      <c r="H1484" t="n">
        <v>0</v>
      </c>
      <c r="I1484" t="inlineStr">
        <is>
          <t>Optimized</t>
        </is>
      </c>
      <c r="J1484" s="29" t="n">
        <v>0</v>
      </c>
      <c r="K1484" s="30" t="n"/>
      <c r="L1484" s="29" t="n">
        <v>0</v>
      </c>
      <c r="M1484" s="29" t="n">
        <v>0</v>
      </c>
      <c r="N1484" s="2" t="n">
        <v>0</v>
      </c>
      <c r="O1484" s="31" t="n">
        <v>0</v>
      </c>
      <c r="P1484" s="32" t="n"/>
      <c r="Q1484" s="32" t="n">
        <v>0</v>
      </c>
      <c r="R1484" s="32" t="n">
        <v>0</v>
      </c>
      <c r="S1484" s="31" t="n">
        <v>0</v>
      </c>
      <c r="T1484" s="32" t="n">
        <v>0</v>
      </c>
      <c r="U1484" s="31" t="n">
        <v>0</v>
      </c>
      <c r="V1484" s="31" t="n">
        <v>0</v>
      </c>
      <c r="W1484" s="3" t="n">
        <v>0</v>
      </c>
      <c r="X1484" s="3" t="n">
        <v>0</v>
      </c>
      <c r="Y1484" s="32" t="n">
        <v>0</v>
      </c>
      <c r="Z1484" s="3" t="n">
        <v>0</v>
      </c>
      <c r="AA1484" s="32" t="n">
        <v>0</v>
      </c>
      <c r="AB1484" s="3" t="n"/>
      <c r="AC1484" s="31" t="n">
        <v>0</v>
      </c>
      <c r="AD1484" s="2" t="n">
        <v>0</v>
      </c>
      <c r="AE1484" s="2" t="n">
        <v>1</v>
      </c>
      <c r="AF1484" s="4" t="n">
        <v>1</v>
      </c>
      <c r="AG1484" s="33" t="n">
        <v>0</v>
      </c>
      <c r="AH1484" s="4" t="n">
        <v>0</v>
      </c>
      <c r="AI1484" s="34" t="n"/>
      <c r="AJ1484" s="34" t="n">
        <v>0</v>
      </c>
      <c r="AK1484" s="2" t="n">
        <v>0</v>
      </c>
      <c r="AL1484" t="inlineStr">
        <is>
          <t>Published</t>
        </is>
      </c>
    </row>
    <row r="1485">
      <c r="A1485">
        <f>HYPERLINK("https://www.walmart.com/ip/332569783", "332569783")</f>
        <v/>
      </c>
      <c r="B1485">
        <f>HYPERLINK("https://app.optiwise.ai/catalog/itemdetails/360980", "Catalonia King Size Quilt Set, Lightweight Bedspread for Summer and Spring, 3 Pieces Bedding Coverlet-1 Quilt and 2 Pillow Shams, Grey Dimond Pattern,100x106 inches")</f>
        <v/>
      </c>
      <c r="C1485" t="inlineStr">
        <is>
          <t>1CTBQ203KI-GYWT</t>
        </is>
      </c>
      <c r="D1485" t="inlineStr">
        <is>
          <t>Bedding</t>
        </is>
      </c>
      <c r="E1485" t="inlineStr">
        <is>
          <t>Bedding Sets</t>
        </is>
      </c>
      <c r="F1485" t="inlineStr">
        <is>
          <t>Catalonia</t>
        </is>
      </c>
      <c r="G1485" t="n">
        <v>4.1</v>
      </c>
      <c r="H1485" t="n">
        <v>28</v>
      </c>
      <c r="I1485" t="inlineStr">
        <is>
          <t>Optimized,Quilt_Vinay</t>
        </is>
      </c>
      <c r="J1485" s="29" t="n">
        <v>0</v>
      </c>
      <c r="K1485" s="30" t="n"/>
      <c r="L1485" s="29" t="n">
        <v>0</v>
      </c>
      <c r="M1485" s="29" t="n">
        <v>0</v>
      </c>
      <c r="N1485" s="2" t="n">
        <v>0</v>
      </c>
      <c r="O1485" s="31" t="n">
        <v>0</v>
      </c>
      <c r="P1485" s="32" t="n"/>
      <c r="Q1485" s="32" t="n">
        <v>0</v>
      </c>
      <c r="R1485" s="32" t="n">
        <v>0</v>
      </c>
      <c r="S1485" s="31" t="n">
        <v>0</v>
      </c>
      <c r="T1485" s="32" t="n">
        <v>0</v>
      </c>
      <c r="U1485" s="31" t="n">
        <v>0</v>
      </c>
      <c r="V1485" s="31" t="n">
        <v>0</v>
      </c>
      <c r="W1485" s="3" t="n">
        <v>0</v>
      </c>
      <c r="X1485" s="3" t="n">
        <v>0</v>
      </c>
      <c r="Y1485" s="32" t="n">
        <v>0</v>
      </c>
      <c r="Z1485" s="3" t="n">
        <v>0</v>
      </c>
      <c r="AA1485" s="32" t="n">
        <v>0</v>
      </c>
      <c r="AB1485" s="3" t="n"/>
      <c r="AC1485" s="31" t="n">
        <v>0</v>
      </c>
      <c r="AD1485" s="2" t="n">
        <v>0</v>
      </c>
      <c r="AE1485" s="2" t="n">
        <v>19</v>
      </c>
      <c r="AF1485" s="4" t="n">
        <v>19</v>
      </c>
      <c r="AG1485" s="33" t="n">
        <v>0</v>
      </c>
      <c r="AH1485" s="4" t="n">
        <v>0</v>
      </c>
      <c r="AI1485" s="34" t="n"/>
      <c r="AJ1485" s="34" t="n">
        <v>0</v>
      </c>
      <c r="AK1485" s="2" t="n">
        <v>0</v>
      </c>
      <c r="AL1485" t="inlineStr">
        <is>
          <t>Published</t>
        </is>
      </c>
    </row>
    <row r="1486">
      <c r="A1486">
        <f>HYPERLINK("https://www.walmart.com/ip/882189571", "882189571")</f>
        <v/>
      </c>
      <c r="B1486">
        <f>HYPERLINK("https://app.optiwise.ai/catalog/itemdetails/360977", "Ski Gloves for Women &amp; Men 3M Winter Snow Gloves Mittens Insulation Waterproof for Outdoors Sports")</f>
        <v/>
      </c>
      <c r="C1486" t="inlineStr">
        <is>
          <t>1SLWG100BLXL</t>
        </is>
      </c>
      <c r="D1486" t="inlineStr">
        <is>
          <t>Clothing</t>
        </is>
      </c>
      <c r="E1486" t="inlineStr">
        <is>
          <t>Gloves &amp; Mittens</t>
        </is>
      </c>
      <c r="F1486" t="inlineStr">
        <is>
          <t>Solaris</t>
        </is>
      </c>
      <c r="G1486" t="n">
        <v>0</v>
      </c>
      <c r="H1486" t="n">
        <v>0</v>
      </c>
      <c r="I1486" t="inlineStr">
        <is>
          <t>Gloves,Batch 1 - TR</t>
        </is>
      </c>
      <c r="J1486" s="29" t="n">
        <v>0</v>
      </c>
      <c r="K1486" s="30" t="n"/>
      <c r="L1486" s="29" t="n">
        <v>0</v>
      </c>
      <c r="M1486" s="29" t="n">
        <v>0</v>
      </c>
      <c r="N1486" s="2" t="n">
        <v>0</v>
      </c>
      <c r="O1486" s="31" t="n">
        <v>0</v>
      </c>
      <c r="P1486" s="32" t="n"/>
      <c r="Q1486" s="32" t="n">
        <v>0</v>
      </c>
      <c r="R1486" s="32" t="n">
        <v>0</v>
      </c>
      <c r="S1486" s="31" t="n">
        <v>0</v>
      </c>
      <c r="T1486" s="32" t="n">
        <v>0</v>
      </c>
      <c r="U1486" s="31" t="n">
        <v>0</v>
      </c>
      <c r="V1486" s="31" t="n">
        <v>0</v>
      </c>
      <c r="W1486" s="3" t="n">
        <v>0</v>
      </c>
      <c r="X1486" s="3" t="n">
        <v>0</v>
      </c>
      <c r="Y1486" s="32" t="n">
        <v>0</v>
      </c>
      <c r="Z1486" s="3" t="n">
        <v>0</v>
      </c>
      <c r="AA1486" s="32" t="n">
        <v>0</v>
      </c>
      <c r="AB1486" s="3" t="n"/>
      <c r="AC1486" s="31" t="n">
        <v>0</v>
      </c>
      <c r="AD1486" s="2" t="n">
        <v>0</v>
      </c>
      <c r="AE1486" s="2" t="n">
        <v>6</v>
      </c>
      <c r="AF1486" s="4" t="n">
        <v>6</v>
      </c>
      <c r="AG1486" s="33" t="n">
        <v>0</v>
      </c>
      <c r="AH1486" s="4" t="n">
        <v>0</v>
      </c>
      <c r="AI1486" s="34" t="n"/>
      <c r="AJ1486" s="34" t="n">
        <v>0</v>
      </c>
      <c r="AK1486" s="2" t="n">
        <v>0</v>
      </c>
      <c r="AL1486" t="inlineStr">
        <is>
          <t>Published</t>
        </is>
      </c>
    </row>
    <row r="1487">
      <c r="A1487">
        <f>HYPERLINK("https://www.walmart.com/ip/327835938", "327835938")</f>
        <v/>
      </c>
      <c r="B1487">
        <f>HYPERLINK("https://app.optiwise.ai/catalog/itemdetails/360964", "Mermaid Tail Blanket for Teen Girls with Anti-slip Neck Strap Wave Pattern | Soft Sleeping Bag for All Seasons")</f>
        <v/>
      </c>
      <c r="C1487" t="inlineStr">
        <is>
          <t>1CTMM100GY-TPB</t>
        </is>
      </c>
      <c r="D1487" t="inlineStr">
        <is>
          <t>Bedding</t>
        </is>
      </c>
      <c r="E1487" t="inlineStr">
        <is>
          <t>Throws</t>
        </is>
      </c>
      <c r="F1487" t="inlineStr">
        <is>
          <t>Catalonia</t>
        </is>
      </c>
      <c r="G1487" t="n">
        <v>0</v>
      </c>
      <c r="H1487" t="n">
        <v>0</v>
      </c>
      <c r="I1487" t="inlineStr">
        <is>
          <t>Batch 1 - TR</t>
        </is>
      </c>
      <c r="J1487" s="29" t="n">
        <v>0</v>
      </c>
      <c r="K1487" s="30" t="n"/>
      <c r="L1487" s="29" t="n">
        <v>17.98999977111816</v>
      </c>
      <c r="M1487" s="29" t="n">
        <v>0</v>
      </c>
      <c r="N1487" s="2" t="n">
        <v>0</v>
      </c>
      <c r="O1487" s="31" t="n">
        <v>19.63</v>
      </c>
      <c r="P1487" s="32" t="n">
        <v>0.0024</v>
      </c>
      <c r="Q1487" s="32" t="n">
        <v>0</v>
      </c>
      <c r="R1487" s="32" t="n">
        <v>1.0456</v>
      </c>
      <c r="S1487" s="31" t="n">
        <v>2.75</v>
      </c>
      <c r="T1487" s="32" t="n">
        <v>0.36</v>
      </c>
      <c r="U1487" s="31" t="n">
        <v>53.97</v>
      </c>
      <c r="V1487" s="31" t="n">
        <v>35.98</v>
      </c>
      <c r="W1487" s="3" t="n">
        <v>11660</v>
      </c>
      <c r="X1487" s="3" t="n">
        <v>40</v>
      </c>
      <c r="Y1487" s="32" t="n">
        <v>0.0034</v>
      </c>
      <c r="Z1487" s="3" t="n">
        <v>3</v>
      </c>
      <c r="AA1487" s="32" t="n">
        <v>0.075</v>
      </c>
      <c r="AB1487" s="3" t="inlineStr">
        <is>
          <t>All Items_Auto_Optiwise_24</t>
        </is>
      </c>
      <c r="AC1487" s="31" t="n">
        <v>0.49</v>
      </c>
      <c r="AD1487" s="2" t="n">
        <v>19</v>
      </c>
      <c r="AE1487" s="2" t="n">
        <v>28</v>
      </c>
      <c r="AF1487" s="4" t="inlineStr">
        <is>
          <t>NA</t>
        </is>
      </c>
      <c r="AG1487" s="33" t="n">
        <v>-53.97</v>
      </c>
      <c r="AH1487" s="4" t="n">
        <v>-3</v>
      </c>
      <c r="AI1487" s="34" t="inlineStr">
        <is>
          <t>NA</t>
        </is>
      </c>
      <c r="AJ1487" s="34" t="n">
        <v>0</v>
      </c>
      <c r="AK1487" s="2" t="n">
        <v>0</v>
      </c>
      <c r="AL1487" t="inlineStr">
        <is>
          <t>Published</t>
        </is>
      </c>
    </row>
    <row r="1488">
      <c r="A1488">
        <f>HYPERLINK("https://www.walmart.com/ip/169949128", "169949128")</f>
        <v/>
      </c>
      <c r="B1488">
        <f>HYPERLINK("https://app.optiwise.ai/catalog/itemdetails/360962", "Women's High Waist Yoga Pants Workout Running Capri Legging Inner Pocket")</f>
        <v/>
      </c>
      <c r="C1488" t="inlineStr">
        <is>
          <t>1TRYP105GY-LXL</t>
        </is>
      </c>
      <c r="D1488" t="inlineStr">
        <is>
          <t>Clothing</t>
        </is>
      </c>
      <c r="E1488" t="inlineStr">
        <is>
          <t>Leggings</t>
        </is>
      </c>
      <c r="F1488" t="inlineStr">
        <is>
          <t>Tirrinia</t>
        </is>
      </c>
      <c r="G1488" t="n">
        <v>0</v>
      </c>
      <c r="H1488" t="n">
        <v>0</v>
      </c>
      <c r="I1488" t="inlineStr">
        <is>
          <t>Optimized</t>
        </is>
      </c>
      <c r="J1488" s="29" t="n">
        <v>0</v>
      </c>
      <c r="K1488" s="30" t="n"/>
      <c r="L1488" s="29" t="n">
        <v>0</v>
      </c>
      <c r="M1488" s="29" t="n">
        <v>0</v>
      </c>
      <c r="N1488" s="2" t="n">
        <v>0</v>
      </c>
      <c r="O1488" s="31" t="n">
        <v>0</v>
      </c>
      <c r="P1488" s="32" t="n"/>
      <c r="Q1488" s="32" t="n">
        <v>0</v>
      </c>
      <c r="R1488" s="32" t="n">
        <v>0</v>
      </c>
      <c r="S1488" s="31" t="n">
        <v>0</v>
      </c>
      <c r="T1488" s="32" t="n">
        <v>0</v>
      </c>
      <c r="U1488" s="31" t="n">
        <v>0</v>
      </c>
      <c r="V1488" s="31" t="n">
        <v>0</v>
      </c>
      <c r="W1488" s="3" t="n">
        <v>0</v>
      </c>
      <c r="X1488" s="3" t="n">
        <v>0</v>
      </c>
      <c r="Y1488" s="32" t="n">
        <v>0</v>
      </c>
      <c r="Z1488" s="3" t="n">
        <v>0</v>
      </c>
      <c r="AA1488" s="32" t="n">
        <v>0</v>
      </c>
      <c r="AB1488" s="3" t="n"/>
      <c r="AC1488" s="31" t="n">
        <v>0</v>
      </c>
      <c r="AD1488" s="2" t="n">
        <v>0</v>
      </c>
      <c r="AE1488" s="2" t="n">
        <v>11</v>
      </c>
      <c r="AF1488" s="4" t="n">
        <v>11</v>
      </c>
      <c r="AG1488" s="33" t="n">
        <v>0</v>
      </c>
      <c r="AH1488" s="4" t="n">
        <v>0</v>
      </c>
      <c r="AI1488" s="34" t="n"/>
      <c r="AJ1488" s="34" t="n">
        <v>0</v>
      </c>
      <c r="AK1488" s="2" t="n">
        <v>0</v>
      </c>
      <c r="AL1488" t="inlineStr">
        <is>
          <t>Published</t>
        </is>
      </c>
    </row>
    <row r="1489">
      <c r="A1489">
        <f>HYPERLINK("https://www.walmart.com/ip/179405705", "179405705")</f>
        <v/>
      </c>
      <c r="B1489">
        <f>HYPERLINK("https://app.optiwise.ai/catalog/itemdetails/360960", "Fashion Light Up LED Luminous Sequin Neck Ties Changeable Colors Necktie Led Fiber Tie Flashing Tie For Male/Female")</f>
        <v/>
      </c>
      <c r="C1489" t="inlineStr">
        <is>
          <t>LEDTIE01- PK</t>
        </is>
      </c>
      <c r="D1489" t="inlineStr">
        <is>
          <t>Decorations &amp; Favors</t>
        </is>
      </c>
      <c r="E1489" t="inlineStr">
        <is>
          <t>Neckties</t>
        </is>
      </c>
      <c r="F1489" t="inlineStr">
        <is>
          <t>JenniWears</t>
        </is>
      </c>
      <c r="G1489" t="n">
        <v>0</v>
      </c>
      <c r="H1489" t="n">
        <v>0</v>
      </c>
      <c r="I1489" t="inlineStr">
        <is>
          <t>Batch 1 - TR</t>
        </is>
      </c>
      <c r="J1489" s="29" t="n">
        <v>0</v>
      </c>
      <c r="K1489" s="30" t="n"/>
      <c r="L1489" s="29" t="n">
        <v>0</v>
      </c>
      <c r="M1489" s="29" t="n">
        <v>0</v>
      </c>
      <c r="N1489" s="2" t="n">
        <v>0</v>
      </c>
      <c r="O1489" s="31" t="n">
        <v>0</v>
      </c>
      <c r="P1489" s="32" t="n"/>
      <c r="Q1489" s="32" t="n">
        <v>0</v>
      </c>
      <c r="R1489" s="32" t="n">
        <v>0</v>
      </c>
      <c r="S1489" s="31" t="n">
        <v>0</v>
      </c>
      <c r="T1489" s="32" t="n">
        <v>0</v>
      </c>
      <c r="U1489" s="31" t="n">
        <v>0</v>
      </c>
      <c r="V1489" s="31" t="n">
        <v>0</v>
      </c>
      <c r="W1489" s="3" t="n">
        <v>0</v>
      </c>
      <c r="X1489" s="3" t="n">
        <v>0</v>
      </c>
      <c r="Y1489" s="32" t="n">
        <v>0</v>
      </c>
      <c r="Z1489" s="3" t="n">
        <v>0</v>
      </c>
      <c r="AA1489" s="32" t="n">
        <v>0</v>
      </c>
      <c r="AB1489" s="3" t="n"/>
      <c r="AC1489" s="31" t="n">
        <v>0</v>
      </c>
      <c r="AD1489" s="2" t="n">
        <v>0</v>
      </c>
      <c r="AE1489" s="2" t="n">
        <v>3</v>
      </c>
      <c r="AF1489" s="4" t="n">
        <v>3</v>
      </c>
      <c r="AG1489" s="33" t="n">
        <v>0</v>
      </c>
      <c r="AH1489" s="4" t="n">
        <v>0</v>
      </c>
      <c r="AI1489" s="34" t="n"/>
      <c r="AJ1489" s="34" t="n">
        <v>0</v>
      </c>
      <c r="AK1489" s="2" t="n">
        <v>0</v>
      </c>
      <c r="AL1489" t="inlineStr">
        <is>
          <t>Published</t>
        </is>
      </c>
    </row>
    <row r="1490">
      <c r="A1490">
        <f>HYPERLINK("https://www.walmart.com/ip/892738848", "892738848")</f>
        <v/>
      </c>
      <c r="B1490">
        <f>HYPERLINK("https://app.optiwise.ai/catalog/itemdetails/360958", "Microplush Sherpa Blanket with Sleeves for Women and Men")</f>
        <v/>
      </c>
      <c r="C1490" t="inlineStr">
        <is>
          <t>1TRSN410P2RD</t>
        </is>
      </c>
      <c r="D1490" t="inlineStr">
        <is>
          <t>Bedding</t>
        </is>
      </c>
      <c r="E1490" t="inlineStr">
        <is>
          <t>Throws</t>
        </is>
      </c>
      <c r="F1490" t="inlineStr">
        <is>
          <t>Tirrinia</t>
        </is>
      </c>
      <c r="G1490" t="n">
        <v>0</v>
      </c>
      <c r="H1490" t="n">
        <v>0</v>
      </c>
      <c r="I1490" t="inlineStr">
        <is>
          <t>WFS,WFS Item</t>
        </is>
      </c>
      <c r="J1490" s="29" t="n">
        <v>0</v>
      </c>
      <c r="K1490" s="30" t="n"/>
      <c r="L1490" s="29" t="n">
        <v>0</v>
      </c>
      <c r="M1490" s="29" t="n">
        <v>0</v>
      </c>
      <c r="N1490" s="2" t="n">
        <v>0</v>
      </c>
      <c r="O1490" s="31" t="n">
        <v>0</v>
      </c>
      <c r="P1490" s="32" t="n"/>
      <c r="Q1490" s="32" t="n">
        <v>0</v>
      </c>
      <c r="R1490" s="32" t="n">
        <v>0</v>
      </c>
      <c r="S1490" s="31" t="n">
        <v>0</v>
      </c>
      <c r="T1490" s="32" t="n">
        <v>0</v>
      </c>
      <c r="U1490" s="31" t="n">
        <v>0</v>
      </c>
      <c r="V1490" s="31" t="n">
        <v>0</v>
      </c>
      <c r="W1490" s="3" t="n">
        <v>0</v>
      </c>
      <c r="X1490" s="3" t="n">
        <v>0</v>
      </c>
      <c r="Y1490" s="32" t="n">
        <v>0</v>
      </c>
      <c r="Z1490" s="3" t="n">
        <v>0</v>
      </c>
      <c r="AA1490" s="32" t="n">
        <v>0</v>
      </c>
      <c r="AB1490" s="3" t="n"/>
      <c r="AC1490" s="31" t="n">
        <v>0</v>
      </c>
      <c r="AD1490" s="2" t="n">
        <v>0</v>
      </c>
      <c r="AE1490" s="2" t="n">
        <v>35</v>
      </c>
      <c r="AF1490" s="4" t="n">
        <v>35</v>
      </c>
      <c r="AG1490" s="33" t="n">
        <v>0</v>
      </c>
      <c r="AH1490" s="4" t="n">
        <v>0</v>
      </c>
      <c r="AI1490" s="34" t="n"/>
      <c r="AJ1490" s="34" t="n">
        <v>0</v>
      </c>
      <c r="AK1490" s="2" t="n">
        <v>0</v>
      </c>
      <c r="AL1490" t="inlineStr">
        <is>
          <t>Published</t>
        </is>
      </c>
    </row>
    <row r="1491">
      <c r="A1491">
        <f>HYPERLINK("https://www.walmart.com/ip/128738586", "128738586")</f>
        <v/>
      </c>
      <c r="B1491">
        <f>HYPERLINK("https://app.optiwise.ai/catalog/itemdetails/360952", "KC Caps® Cotton Twill Deluxe Super Soft Mesh Adjustable Snapback Low Profile Trucker Baseball Cap")</f>
        <v/>
      </c>
      <c r="C1491" t="inlineStr">
        <is>
          <t>KCCAPSSZK641ST/ST</t>
        </is>
      </c>
      <c r="D1491" t="inlineStr">
        <is>
          <t>Clothing</t>
        </is>
      </c>
      <c r="E1491" t="inlineStr">
        <is>
          <t>Hats</t>
        </is>
      </c>
      <c r="F1491" t="inlineStr">
        <is>
          <t>KC Caps</t>
        </is>
      </c>
      <c r="G1491" t="n">
        <v>0</v>
      </c>
      <c r="H1491" t="n">
        <v>0</v>
      </c>
      <c r="I1491" t="inlineStr">
        <is>
          <t>Optimized</t>
        </is>
      </c>
      <c r="J1491" s="29" t="n">
        <v>0</v>
      </c>
      <c r="K1491" s="30" t="n"/>
      <c r="L1491" s="29" t="n">
        <v>0</v>
      </c>
      <c r="M1491" s="29" t="n">
        <v>0</v>
      </c>
      <c r="N1491" s="2" t="n">
        <v>0</v>
      </c>
      <c r="O1491" s="31" t="n">
        <v>0</v>
      </c>
      <c r="P1491" s="32" t="n"/>
      <c r="Q1491" s="32" t="n">
        <v>0</v>
      </c>
      <c r="R1491" s="32" t="n">
        <v>0</v>
      </c>
      <c r="S1491" s="31" t="n">
        <v>0</v>
      </c>
      <c r="T1491" s="32" t="n">
        <v>0</v>
      </c>
      <c r="U1491" s="31" t="n">
        <v>0</v>
      </c>
      <c r="V1491" s="31" t="n">
        <v>0</v>
      </c>
      <c r="W1491" s="3" t="n">
        <v>0</v>
      </c>
      <c r="X1491" s="3" t="n">
        <v>0</v>
      </c>
      <c r="Y1491" s="32" t="n">
        <v>0</v>
      </c>
      <c r="Z1491" s="3" t="n">
        <v>0</v>
      </c>
      <c r="AA1491" s="32" t="n">
        <v>0</v>
      </c>
      <c r="AB1491" s="3" t="n"/>
      <c r="AC1491" s="31" t="n">
        <v>0</v>
      </c>
      <c r="AD1491" s="2" t="n">
        <v>0</v>
      </c>
      <c r="AE1491" s="2" t="n">
        <v>1</v>
      </c>
      <c r="AF1491" s="4" t="n">
        <v>1</v>
      </c>
      <c r="AG1491" s="33" t="n">
        <v>0</v>
      </c>
      <c r="AH1491" s="4" t="n">
        <v>0</v>
      </c>
      <c r="AI1491" s="34" t="n"/>
      <c r="AJ1491" s="34" t="n">
        <v>0</v>
      </c>
      <c r="AK1491" s="2" t="n">
        <v>0</v>
      </c>
      <c r="AL1491" t="inlineStr">
        <is>
          <t>Published</t>
        </is>
      </c>
    </row>
    <row r="1492">
      <c r="A1492">
        <f>HYPERLINK("https://www.walmart.com/ip/448385210", "448385210")</f>
        <v/>
      </c>
      <c r="B1492">
        <f>HYPERLINK("https://app.optiwise.ai/catalog/itemdetails/360934", "Sherpa Slipper Socks for Women,Winter Indoor Home Non Skid Booties")</f>
        <v/>
      </c>
      <c r="C1492" t="inlineStr">
        <is>
          <t>1CTST200BL-1</t>
        </is>
      </c>
      <c r="D1492" t="inlineStr">
        <is>
          <t>Clothing</t>
        </is>
      </c>
      <c r="E1492" t="inlineStr">
        <is>
          <t>Socks</t>
        </is>
      </c>
      <c r="F1492" t="inlineStr">
        <is>
          <t>Catalonia</t>
        </is>
      </c>
      <c r="G1492" t="n">
        <v>0</v>
      </c>
      <c r="H1492" t="n">
        <v>0</v>
      </c>
      <c r="I1492" t="inlineStr">
        <is>
          <t>WFS,WFS Item</t>
        </is>
      </c>
      <c r="J1492" s="29" t="n">
        <v>0</v>
      </c>
      <c r="K1492" s="30" t="n"/>
      <c r="L1492" s="29" t="n">
        <v>0</v>
      </c>
      <c r="M1492" s="29" t="n">
        <v>0</v>
      </c>
      <c r="N1492" s="2" t="n">
        <v>0</v>
      </c>
      <c r="O1492" s="31" t="n">
        <v>0</v>
      </c>
      <c r="P1492" s="32" t="n"/>
      <c r="Q1492" s="32" t="n">
        <v>0</v>
      </c>
      <c r="R1492" s="32" t="n">
        <v>0</v>
      </c>
      <c r="S1492" s="31" t="n">
        <v>0</v>
      </c>
      <c r="T1492" s="32" t="n">
        <v>0</v>
      </c>
      <c r="U1492" s="31" t="n">
        <v>0</v>
      </c>
      <c r="V1492" s="31" t="n">
        <v>0</v>
      </c>
      <c r="W1492" s="3" t="n">
        <v>0</v>
      </c>
      <c r="X1492" s="3" t="n">
        <v>0</v>
      </c>
      <c r="Y1492" s="32" t="n">
        <v>0</v>
      </c>
      <c r="Z1492" s="3" t="n">
        <v>0</v>
      </c>
      <c r="AA1492" s="32" t="n">
        <v>0</v>
      </c>
      <c r="AB1492" s="3" t="n"/>
      <c r="AC1492" s="31" t="n">
        <v>0</v>
      </c>
      <c r="AD1492" s="2" t="n">
        <v>0</v>
      </c>
      <c r="AE1492" s="2" t="n">
        <v>4</v>
      </c>
      <c r="AF1492" s="4" t="n">
        <v>4</v>
      </c>
      <c r="AG1492" s="33" t="n">
        <v>0</v>
      </c>
      <c r="AH1492" s="4" t="n">
        <v>0</v>
      </c>
      <c r="AI1492" s="34" t="n"/>
      <c r="AJ1492" s="34" t="n">
        <v>0</v>
      </c>
      <c r="AK1492" s="2" t="n">
        <v>0</v>
      </c>
      <c r="AL1492" t="inlineStr">
        <is>
          <t>Published</t>
        </is>
      </c>
    </row>
    <row r="1493">
      <c r="A1493">
        <f>HYPERLINK("https://www.walmart.com/ip/892569675", "892569675")</f>
        <v/>
      </c>
      <c r="B1493">
        <f>HYPERLINK("https://app.optiwise.ai/catalog/itemdetails/360932", "Fleece Blanket Wearable with Sleeves &amp; Foot pockets for Men and Women, Micro Plush Wrap Sleeved Throw Blanket Robe Multi-Colors 75”x53” by Catalonia")</f>
        <v/>
      </c>
      <c r="C1493" t="inlineStr">
        <is>
          <t>1CTSN101BL</t>
        </is>
      </c>
      <c r="D1493" t="inlineStr">
        <is>
          <t>Bedding</t>
        </is>
      </c>
      <c r="E1493" t="inlineStr">
        <is>
          <t>Throws</t>
        </is>
      </c>
      <c r="F1493" t="inlineStr">
        <is>
          <t>Catalonia</t>
        </is>
      </c>
      <c r="G1493" t="n">
        <v>4.3</v>
      </c>
      <c r="H1493" t="n">
        <v>42</v>
      </c>
      <c r="I1493" t="inlineStr">
        <is>
          <t>WFS,Coupon_Discount,WFS Item,Fleece Blankets</t>
        </is>
      </c>
      <c r="J1493" s="29" t="n">
        <v>0</v>
      </c>
      <c r="K1493" s="30" t="n"/>
      <c r="L1493" s="29" t="n">
        <v>0</v>
      </c>
      <c r="M1493" s="29" t="n">
        <v>0</v>
      </c>
      <c r="N1493" s="2" t="n">
        <v>0</v>
      </c>
      <c r="O1493" s="31" t="n">
        <v>0</v>
      </c>
      <c r="P1493" s="32" t="n"/>
      <c r="Q1493" s="32" t="n">
        <v>0</v>
      </c>
      <c r="R1493" s="32" t="n">
        <v>0</v>
      </c>
      <c r="S1493" s="31" t="n">
        <v>0</v>
      </c>
      <c r="T1493" s="32" t="n">
        <v>0</v>
      </c>
      <c r="U1493" s="31" t="n">
        <v>0</v>
      </c>
      <c r="V1493" s="31" t="n">
        <v>0</v>
      </c>
      <c r="W1493" s="3" t="n">
        <v>0</v>
      </c>
      <c r="X1493" s="3" t="n">
        <v>0</v>
      </c>
      <c r="Y1493" s="32" t="n">
        <v>0</v>
      </c>
      <c r="Z1493" s="3" t="n">
        <v>0</v>
      </c>
      <c r="AA1493" s="32" t="n">
        <v>0</v>
      </c>
      <c r="AB1493" s="3" t="n"/>
      <c r="AC1493" s="31" t="n">
        <v>0</v>
      </c>
      <c r="AD1493" s="2" t="n">
        <v>0</v>
      </c>
      <c r="AE1493" s="2" t="n">
        <v>55</v>
      </c>
      <c r="AF1493" s="4" t="n">
        <v>55</v>
      </c>
      <c r="AG1493" s="33" t="n">
        <v>0</v>
      </c>
      <c r="AH1493" s="4" t="n">
        <v>0</v>
      </c>
      <c r="AI1493" s="34" t="n"/>
      <c r="AJ1493" s="34" t="n">
        <v>0</v>
      </c>
      <c r="AK1493" s="2" t="n">
        <v>0</v>
      </c>
      <c r="AL1493" t="inlineStr">
        <is>
          <t>Published</t>
        </is>
      </c>
    </row>
    <row r="1494">
      <c r="A1494">
        <f>HYPERLINK("https://www.walmart.com/ip/159002752", "159002752")</f>
        <v/>
      </c>
      <c r="B1494">
        <f>HYPERLINK("https://app.optiwise.ai/catalog/itemdetails/360931", "Terra Wide Brim Sun Hat with Neck Flap, Adjustable Strap Fishing Camping Cap for Unisex Adult, Khak")</f>
        <v/>
      </c>
      <c r="C1494" t="inlineStr">
        <is>
          <t>TR-S9152KK-JWCB</t>
        </is>
      </c>
      <c r="D1494" t="inlineStr">
        <is>
          <t>Clothing</t>
        </is>
      </c>
      <c r="E1494" t="inlineStr">
        <is>
          <t>Hats</t>
        </is>
      </c>
      <c r="F1494" t="inlineStr">
        <is>
          <t>Terra</t>
        </is>
      </c>
      <c r="G1494" t="n">
        <v>0</v>
      </c>
      <c r="H1494" t="n">
        <v>0</v>
      </c>
      <c r="I1494" t="inlineStr">
        <is>
          <t>Optimized</t>
        </is>
      </c>
      <c r="J1494" s="29" t="n">
        <v>0</v>
      </c>
      <c r="K1494" s="30" t="n"/>
      <c r="L1494" s="29" t="n">
        <v>0</v>
      </c>
      <c r="M1494" s="29" t="n">
        <v>0</v>
      </c>
      <c r="N1494" s="2" t="n">
        <v>0</v>
      </c>
      <c r="O1494" s="31" t="n">
        <v>0</v>
      </c>
      <c r="P1494" s="32" t="n"/>
      <c r="Q1494" s="32" t="n">
        <v>0</v>
      </c>
      <c r="R1494" s="32" t="n">
        <v>0</v>
      </c>
      <c r="S1494" s="31" t="n">
        <v>0</v>
      </c>
      <c r="T1494" s="32" t="n">
        <v>0</v>
      </c>
      <c r="U1494" s="31" t="n">
        <v>0</v>
      </c>
      <c r="V1494" s="31" t="n">
        <v>0</v>
      </c>
      <c r="W1494" s="3" t="n">
        <v>0</v>
      </c>
      <c r="X1494" s="3" t="n">
        <v>0</v>
      </c>
      <c r="Y1494" s="32" t="n">
        <v>0</v>
      </c>
      <c r="Z1494" s="3" t="n">
        <v>0</v>
      </c>
      <c r="AA1494" s="32" t="n">
        <v>0</v>
      </c>
      <c r="AB1494" s="3" t="n"/>
      <c r="AC1494" s="31" t="n">
        <v>0</v>
      </c>
      <c r="AD1494" s="2" t="n">
        <v>0</v>
      </c>
      <c r="AE1494" s="2" t="n">
        <v>1</v>
      </c>
      <c r="AF1494" s="4" t="n">
        <v>1</v>
      </c>
      <c r="AG1494" s="33" t="n">
        <v>0</v>
      </c>
      <c r="AH1494" s="4" t="n">
        <v>0</v>
      </c>
      <c r="AI1494" s="34" t="n"/>
      <c r="AJ1494" s="34" t="n">
        <v>0</v>
      </c>
      <c r="AK1494" s="2" t="n">
        <v>0</v>
      </c>
      <c r="AL1494" t="inlineStr">
        <is>
          <t>Published</t>
        </is>
      </c>
    </row>
    <row r="1495">
      <c r="A1495">
        <f>HYPERLINK("https://www.walmart.com/ip/801604952", "801604952")</f>
        <v/>
      </c>
      <c r="B1495">
        <f>HYPERLINK("https://app.optiwise.ai/catalog/itemdetails/360930", "Sherpa Fleece Throw Blanket, Cozy Fuzzy Jacquard Blanket for the Couch Bed | Fluffy Comfy Warm Heavy Throws | Comfort Caring Gift, 50x60 inches")</f>
        <v/>
      </c>
      <c r="C1495" t="inlineStr">
        <is>
          <t>1CTBF573CASOLE</t>
        </is>
      </c>
      <c r="D1495" t="inlineStr">
        <is>
          <t>Bedding</t>
        </is>
      </c>
      <c r="E1495" t="inlineStr">
        <is>
          <t>Throws</t>
        </is>
      </c>
      <c r="F1495" t="inlineStr">
        <is>
          <t>Catalonia</t>
        </is>
      </c>
      <c r="G1495" t="n">
        <v>0</v>
      </c>
      <c r="H1495" t="n">
        <v>0</v>
      </c>
      <c r="I1495" t="inlineStr">
        <is>
          <t>Q2-Target,Coupon_Discount,Batch 1 - TR</t>
        </is>
      </c>
      <c r="J1495" s="29" t="n">
        <v>0</v>
      </c>
      <c r="K1495" s="30" t="n"/>
      <c r="L1495" s="29" t="n">
        <v>0</v>
      </c>
      <c r="M1495" s="29" t="n">
        <v>0</v>
      </c>
      <c r="N1495" s="2" t="n">
        <v>0</v>
      </c>
      <c r="O1495" s="31" t="n">
        <v>0</v>
      </c>
      <c r="P1495" s="32" t="n"/>
      <c r="Q1495" s="32" t="n">
        <v>0</v>
      </c>
      <c r="R1495" s="32" t="n">
        <v>0</v>
      </c>
      <c r="S1495" s="31" t="n">
        <v>0</v>
      </c>
      <c r="T1495" s="32" t="n">
        <v>0</v>
      </c>
      <c r="U1495" s="31" t="n">
        <v>0</v>
      </c>
      <c r="V1495" s="31" t="n">
        <v>0</v>
      </c>
      <c r="W1495" s="3" t="n">
        <v>0</v>
      </c>
      <c r="X1495" s="3" t="n">
        <v>0</v>
      </c>
      <c r="Y1495" s="32" t="n">
        <v>0</v>
      </c>
      <c r="Z1495" s="3" t="n">
        <v>0</v>
      </c>
      <c r="AA1495" s="32" t="n">
        <v>0</v>
      </c>
      <c r="AB1495" s="3" t="n"/>
      <c r="AC1495" s="31" t="n">
        <v>0</v>
      </c>
      <c r="AD1495" s="2" t="n">
        <v>0</v>
      </c>
      <c r="AE1495" s="2" t="n">
        <v>23</v>
      </c>
      <c r="AF1495" s="4" t="n">
        <v>23</v>
      </c>
      <c r="AG1495" s="33" t="n">
        <v>0</v>
      </c>
      <c r="AH1495" s="4" t="n">
        <v>0</v>
      </c>
      <c r="AI1495" s="34" t="n"/>
      <c r="AJ1495" s="34" t="n">
        <v>0</v>
      </c>
      <c r="AK1495" s="2" t="n">
        <v>0</v>
      </c>
      <c r="AL1495" t="inlineStr">
        <is>
          <t>Published</t>
        </is>
      </c>
    </row>
    <row r="1496">
      <c r="A1496">
        <f>HYPERLINK("https://www.walmart.com/ip/414716667", "414716667")</f>
        <v/>
      </c>
      <c r="B1496">
        <f>HYPERLINK("https://app.optiwise.ai/catalog/itemdetails/360928", "Luxury Sherpa Knit Throw Blanket 50 x 60, Home Decorative Blanket for Sofa Couch Chair All Season TV Blanket | Super Soft, Warm, Waffle Weave Knit | Catalonia series by Tirrinia, Grey")</f>
        <v/>
      </c>
      <c r="C1496" t="inlineStr">
        <is>
          <t>1TRBN300GY-TBCB</t>
        </is>
      </c>
      <c r="D1496" t="inlineStr">
        <is>
          <t>Bedding</t>
        </is>
      </c>
      <c r="E1496" t="inlineStr">
        <is>
          <t>Throws</t>
        </is>
      </c>
      <c r="F1496" t="inlineStr">
        <is>
          <t>Tirrinia</t>
        </is>
      </c>
      <c r="G1496" t="n">
        <v>5</v>
      </c>
      <c r="H1496" t="n">
        <v>1</v>
      </c>
      <c r="I1496" t="inlineStr">
        <is>
          <t>Batch 1 - TR</t>
        </is>
      </c>
      <c r="J1496" s="29" t="n">
        <v>0</v>
      </c>
      <c r="K1496" s="30" t="n"/>
      <c r="L1496" s="29" t="n">
        <v>0</v>
      </c>
      <c r="M1496" s="29" t="n">
        <v>0</v>
      </c>
      <c r="N1496" s="2" t="n">
        <v>0</v>
      </c>
      <c r="O1496" s="31" t="n">
        <v>0</v>
      </c>
      <c r="P1496" s="32" t="n"/>
      <c r="Q1496" s="32" t="n">
        <v>0</v>
      </c>
      <c r="R1496" s="32" t="n">
        <v>0</v>
      </c>
      <c r="S1496" s="31" t="n">
        <v>0</v>
      </c>
      <c r="T1496" s="32" t="n">
        <v>0</v>
      </c>
      <c r="U1496" s="31" t="n">
        <v>0</v>
      </c>
      <c r="V1496" s="31" t="n">
        <v>0</v>
      </c>
      <c r="W1496" s="3" t="n">
        <v>0</v>
      </c>
      <c r="X1496" s="3" t="n">
        <v>0</v>
      </c>
      <c r="Y1496" s="32" t="n">
        <v>0</v>
      </c>
      <c r="Z1496" s="3" t="n">
        <v>0</v>
      </c>
      <c r="AA1496" s="32" t="n">
        <v>0</v>
      </c>
      <c r="AB1496" s="3" t="n"/>
      <c r="AC1496" s="31" t="n">
        <v>0</v>
      </c>
      <c r="AD1496" s="2" t="n">
        <v>0</v>
      </c>
      <c r="AE1496" s="2" t="n">
        <v>12</v>
      </c>
      <c r="AF1496" s="4" t="n">
        <v>12</v>
      </c>
      <c r="AG1496" s="33" t="n">
        <v>0</v>
      </c>
      <c r="AH1496" s="4" t="n">
        <v>0</v>
      </c>
      <c r="AI1496" s="34" t="n"/>
      <c r="AJ1496" s="34" t="n">
        <v>0</v>
      </c>
      <c r="AK1496" s="2" t="n">
        <v>0</v>
      </c>
      <c r="AL1496" t="inlineStr">
        <is>
          <t>Published</t>
        </is>
      </c>
    </row>
    <row r="1497">
      <c r="A1497">
        <f>HYPERLINK("https://www.walmart.com/ip/657989120", "657989120")</f>
        <v/>
      </c>
      <c r="B1497">
        <f>HYPERLINK("https://app.optiwise.ai/catalog/itemdetails/360926", "Tirrinia Insulated 2 Bottle Wine Carrier Tote Cooler Bag for Travel Picnic Padded Champagne Glass")</f>
        <v/>
      </c>
      <c r="C1497" t="inlineStr">
        <is>
          <t>1WMWB231BLSTR</t>
        </is>
      </c>
      <c r="D1497" t="inlineStr">
        <is>
          <t>Home Decor, Kitchen, &amp; Other</t>
        </is>
      </c>
      <c r="E1497" t="inlineStr">
        <is>
          <t>Wine Totes, Bags &amp; Backpacks</t>
        </is>
      </c>
      <c r="F1497" t="inlineStr">
        <is>
          <t>Flyingstar</t>
        </is>
      </c>
      <c r="G1497" t="n">
        <v>0</v>
      </c>
      <c r="H1497" t="n">
        <v>0</v>
      </c>
      <c r="I1497" t="inlineStr">
        <is>
          <t>Wine,Christmas,Valentine</t>
        </is>
      </c>
      <c r="J1497" s="29" t="n">
        <v>0</v>
      </c>
      <c r="K1497" s="30" t="n"/>
      <c r="L1497" s="29" t="n">
        <v>0</v>
      </c>
      <c r="M1497" s="29" t="n">
        <v>0</v>
      </c>
      <c r="N1497" s="2" t="n">
        <v>0</v>
      </c>
      <c r="O1497" s="31" t="n">
        <v>0</v>
      </c>
      <c r="P1497" s="32" t="n"/>
      <c r="Q1497" s="32" t="n">
        <v>0</v>
      </c>
      <c r="R1497" s="32" t="n">
        <v>0</v>
      </c>
      <c r="S1497" s="31" t="n">
        <v>0</v>
      </c>
      <c r="T1497" s="32" t="n">
        <v>0</v>
      </c>
      <c r="U1497" s="31" t="n">
        <v>0</v>
      </c>
      <c r="V1497" s="31" t="n">
        <v>0</v>
      </c>
      <c r="W1497" s="3" t="n">
        <v>0</v>
      </c>
      <c r="X1497" s="3" t="n">
        <v>0</v>
      </c>
      <c r="Y1497" s="32" t="n">
        <v>0</v>
      </c>
      <c r="Z1497" s="3" t="n">
        <v>0</v>
      </c>
      <c r="AA1497" s="32" t="n">
        <v>0</v>
      </c>
      <c r="AB1497" s="3" t="n"/>
      <c r="AC1497" s="31" t="n">
        <v>0</v>
      </c>
      <c r="AD1497" s="2" t="n">
        <v>0</v>
      </c>
      <c r="AE1497" s="2" t="n">
        <v>3</v>
      </c>
      <c r="AF1497" s="4" t="n">
        <v>3</v>
      </c>
      <c r="AG1497" s="33" t="n">
        <v>0</v>
      </c>
      <c r="AH1497" s="4" t="n">
        <v>0</v>
      </c>
      <c r="AI1497" s="34" t="n"/>
      <c r="AJ1497" s="34" t="n">
        <v>0</v>
      </c>
      <c r="AK1497" s="2" t="n">
        <v>0</v>
      </c>
      <c r="AL1497" t="inlineStr">
        <is>
          <t>Published</t>
        </is>
      </c>
    </row>
    <row r="1498">
      <c r="A1498">
        <f>HYPERLINK("https://www.walmart.com/ip/256633069", "256633069")</f>
        <v/>
      </c>
      <c r="B1498">
        <f>HYPERLINK("https://app.optiwise.ai/catalog/itemdetails/360920", "Two Pieces Double up Tankini Swimsuit for Women Bathing Suits Set by Tirrinia")</f>
        <v/>
      </c>
      <c r="C1498" t="inlineStr">
        <is>
          <t>1TRSS002BK-M</t>
        </is>
      </c>
      <c r="D1498" t="inlineStr">
        <is>
          <t>Clothing</t>
        </is>
      </c>
      <c r="E1498" t="inlineStr">
        <is>
          <t>Swimsuit Sets</t>
        </is>
      </c>
      <c r="F1498" t="inlineStr">
        <is>
          <t>Tirrinia</t>
        </is>
      </c>
      <c r="G1498" t="n">
        <v>0</v>
      </c>
      <c r="H1498" t="n">
        <v>0</v>
      </c>
      <c r="J1498" s="29" t="n">
        <v>0</v>
      </c>
      <c r="K1498" s="30" t="n"/>
      <c r="L1498" s="29" t="n">
        <v>0</v>
      </c>
      <c r="M1498" s="29" t="n">
        <v>0</v>
      </c>
      <c r="N1498" s="2" t="n">
        <v>0</v>
      </c>
      <c r="O1498" s="31" t="n">
        <v>0</v>
      </c>
      <c r="P1498" s="32" t="n"/>
      <c r="Q1498" s="32" t="n">
        <v>0</v>
      </c>
      <c r="R1498" s="32" t="n">
        <v>0</v>
      </c>
      <c r="S1498" s="31" t="n">
        <v>0</v>
      </c>
      <c r="T1498" s="32" t="n">
        <v>0</v>
      </c>
      <c r="U1498" s="31" t="n">
        <v>0</v>
      </c>
      <c r="V1498" s="31" t="n">
        <v>0</v>
      </c>
      <c r="W1498" s="3" t="n">
        <v>0</v>
      </c>
      <c r="X1498" s="3" t="n">
        <v>0</v>
      </c>
      <c r="Y1498" s="32" t="n">
        <v>0</v>
      </c>
      <c r="Z1498" s="3" t="n">
        <v>0</v>
      </c>
      <c r="AA1498" s="32" t="n">
        <v>0</v>
      </c>
      <c r="AB1498" s="3" t="n"/>
      <c r="AC1498" s="31" t="n">
        <v>0</v>
      </c>
      <c r="AD1498" s="2" t="n">
        <v>0</v>
      </c>
      <c r="AE1498" s="2" t="n">
        <v>3</v>
      </c>
      <c r="AF1498" s="4" t="n">
        <v>3</v>
      </c>
      <c r="AG1498" s="33" t="n">
        <v>0</v>
      </c>
      <c r="AH1498" s="4" t="n">
        <v>0</v>
      </c>
      <c r="AI1498" s="34" t="n"/>
      <c r="AJ1498" s="34" t="n">
        <v>0</v>
      </c>
      <c r="AK1498" s="2" t="n">
        <v>0</v>
      </c>
      <c r="AL1498" t="inlineStr">
        <is>
          <t>Published</t>
        </is>
      </c>
    </row>
    <row r="1499">
      <c r="A1499">
        <f>HYPERLINK("https://www.walmart.com/ip/444384518", "444384518")</f>
        <v/>
      </c>
      <c r="B1499">
        <f>HYPERLINK("https://app.optiwise.ai/catalog/itemdetails/360914", "KC Caps Men's Deluxe Washed Chino Cotton Surplus Cap")</f>
        <v/>
      </c>
      <c r="C1499" t="inlineStr">
        <is>
          <t>8320-Kahaki</t>
        </is>
      </c>
      <c r="D1499" t="inlineStr">
        <is>
          <t>Clothing</t>
        </is>
      </c>
      <c r="E1499" t="inlineStr">
        <is>
          <t>Hats</t>
        </is>
      </c>
      <c r="F1499" t="inlineStr">
        <is>
          <t>KC Caps</t>
        </is>
      </c>
      <c r="G1499" t="n">
        <v>0</v>
      </c>
      <c r="H1499" t="n">
        <v>0</v>
      </c>
      <c r="I1499" t="inlineStr">
        <is>
          <t>Optimized</t>
        </is>
      </c>
      <c r="J1499" s="29" t="n">
        <v>0</v>
      </c>
      <c r="K1499" s="30" t="n"/>
      <c r="L1499" s="29" t="n">
        <v>0</v>
      </c>
      <c r="M1499" s="29" t="n">
        <v>0</v>
      </c>
      <c r="N1499" s="2" t="n">
        <v>0</v>
      </c>
      <c r="O1499" s="31" t="n">
        <v>0</v>
      </c>
      <c r="P1499" s="32" t="n"/>
      <c r="Q1499" s="32" t="n">
        <v>0</v>
      </c>
      <c r="R1499" s="32" t="n">
        <v>0</v>
      </c>
      <c r="S1499" s="31" t="n">
        <v>0</v>
      </c>
      <c r="T1499" s="32" t="n">
        <v>0</v>
      </c>
      <c r="U1499" s="31" t="n">
        <v>0</v>
      </c>
      <c r="V1499" s="31" t="n">
        <v>0</v>
      </c>
      <c r="W1499" s="3" t="n">
        <v>0</v>
      </c>
      <c r="X1499" s="3" t="n">
        <v>0</v>
      </c>
      <c r="Y1499" s="32" t="n">
        <v>0</v>
      </c>
      <c r="Z1499" s="3" t="n">
        <v>0</v>
      </c>
      <c r="AA1499" s="32" t="n">
        <v>0</v>
      </c>
      <c r="AB1499" s="3" t="n"/>
      <c r="AC1499" s="31" t="n">
        <v>0</v>
      </c>
      <c r="AD1499" s="2" t="n">
        <v>0</v>
      </c>
      <c r="AE1499" s="2" t="n">
        <v>5</v>
      </c>
      <c r="AF1499" s="4" t="n">
        <v>5</v>
      </c>
      <c r="AG1499" s="33" t="n">
        <v>0</v>
      </c>
      <c r="AH1499" s="4" t="n">
        <v>0</v>
      </c>
      <c r="AI1499" s="34" t="n"/>
      <c r="AJ1499" s="34" t="n">
        <v>0</v>
      </c>
      <c r="AK1499" s="2" t="n">
        <v>0</v>
      </c>
      <c r="AL1499" t="inlineStr">
        <is>
          <t>Published</t>
        </is>
      </c>
    </row>
    <row r="1500">
      <c r="A1500">
        <f>HYPERLINK("https://www.walmart.com/ip/733855921", "733855921")</f>
        <v/>
      </c>
      <c r="B1500">
        <f>HYPERLINK("https://app.optiwise.ai/catalog/itemdetails/360911", "sun blocker women's sun hat upf 50+ bucket cap packable outdoor travel hat")</f>
        <v/>
      </c>
      <c r="C1500" t="inlineStr">
        <is>
          <t>KC-S9200-BL</t>
        </is>
      </c>
      <c r="D1500" t="inlineStr">
        <is>
          <t>Clothing</t>
        </is>
      </c>
      <c r="E1500" t="inlineStr">
        <is>
          <t>Hats</t>
        </is>
      </c>
      <c r="F1500" t="inlineStr">
        <is>
          <t>Sun Blocker</t>
        </is>
      </c>
      <c r="G1500" t="n">
        <v>5</v>
      </c>
      <c r="H1500" t="n">
        <v>6</v>
      </c>
      <c r="I1500" t="inlineStr">
        <is>
          <t>Batch 1 - TR</t>
        </is>
      </c>
      <c r="J1500" s="29" t="n">
        <v>0</v>
      </c>
      <c r="K1500" s="30" t="n"/>
      <c r="L1500" s="29" t="n">
        <v>0</v>
      </c>
      <c r="M1500" s="29" t="n">
        <v>0</v>
      </c>
      <c r="N1500" s="2" t="n">
        <v>0</v>
      </c>
      <c r="O1500" s="31" t="n">
        <v>0</v>
      </c>
      <c r="P1500" s="32" t="n"/>
      <c r="Q1500" s="32" t="n">
        <v>0</v>
      </c>
      <c r="R1500" s="32" t="n">
        <v>0</v>
      </c>
      <c r="S1500" s="31" t="n">
        <v>0</v>
      </c>
      <c r="T1500" s="32" t="n">
        <v>0</v>
      </c>
      <c r="U1500" s="31" t="n">
        <v>0</v>
      </c>
      <c r="V1500" s="31" t="n">
        <v>0</v>
      </c>
      <c r="W1500" s="3" t="n">
        <v>0</v>
      </c>
      <c r="X1500" s="3" t="n">
        <v>0</v>
      </c>
      <c r="Y1500" s="32" t="n">
        <v>0</v>
      </c>
      <c r="Z1500" s="3" t="n">
        <v>0</v>
      </c>
      <c r="AA1500" s="32" t="n">
        <v>0</v>
      </c>
      <c r="AB1500" s="3" t="n"/>
      <c r="AC1500" s="31" t="n">
        <v>0</v>
      </c>
      <c r="AD1500" s="2" t="n">
        <v>0</v>
      </c>
      <c r="AE1500" s="2" t="n">
        <v>19</v>
      </c>
      <c r="AF1500" s="4" t="n">
        <v>19</v>
      </c>
      <c r="AG1500" s="33" t="n">
        <v>0</v>
      </c>
      <c r="AH1500" s="4" t="n">
        <v>0</v>
      </c>
      <c r="AI1500" s="34" t="n"/>
      <c r="AJ1500" s="34" t="n">
        <v>0</v>
      </c>
      <c r="AK1500" s="2" t="n">
        <v>0</v>
      </c>
      <c r="AL1500" t="inlineStr">
        <is>
          <t>Published</t>
        </is>
      </c>
    </row>
    <row r="1501">
      <c r="A1501">
        <f>HYPERLINK("https://www.walmart.com/ip/866476168", "866476168")</f>
        <v/>
      </c>
      <c r="B1501">
        <f>HYPERLINK("https://app.optiwise.ai/catalog/itemdetails/360910", "Tirrinia Leggings for Women,Workout Yoga Leggings with High Waist, Tummy Control and 4-Way Stretch, Grey")</f>
        <v/>
      </c>
      <c r="C1501" t="inlineStr">
        <is>
          <t>1TRYP105GY-XXL</t>
        </is>
      </c>
      <c r="D1501" t="inlineStr">
        <is>
          <t>Clothing</t>
        </is>
      </c>
      <c r="E1501" t="inlineStr">
        <is>
          <t>Leggings</t>
        </is>
      </c>
      <c r="F1501" t="inlineStr">
        <is>
          <t>Tirrinia</t>
        </is>
      </c>
      <c r="G1501" t="n">
        <v>0</v>
      </c>
      <c r="H1501" t="n">
        <v>0</v>
      </c>
      <c r="I1501" t="inlineStr">
        <is>
          <t>Optimized</t>
        </is>
      </c>
      <c r="J1501" s="29" t="n">
        <v>0</v>
      </c>
      <c r="K1501" s="30" t="n"/>
      <c r="L1501" s="29" t="n">
        <v>7.980000019073486</v>
      </c>
      <c r="M1501" s="29" t="n">
        <v>0</v>
      </c>
      <c r="N1501" s="2" t="n">
        <v>0</v>
      </c>
      <c r="O1501" s="31" t="n">
        <v>0</v>
      </c>
      <c r="P1501" s="32" t="n"/>
      <c r="Q1501" s="32" t="n">
        <v>0</v>
      </c>
      <c r="R1501" s="32" t="n">
        <v>0</v>
      </c>
      <c r="S1501" s="31" t="n">
        <v>0</v>
      </c>
      <c r="T1501" s="32" t="n">
        <v>0</v>
      </c>
      <c r="U1501" s="31" t="n">
        <v>0</v>
      </c>
      <c r="V1501" s="31" t="n">
        <v>0</v>
      </c>
      <c r="W1501" s="3" t="n">
        <v>0</v>
      </c>
      <c r="X1501" s="3" t="n">
        <v>0</v>
      </c>
      <c r="Y1501" s="32" t="n">
        <v>0</v>
      </c>
      <c r="Z1501" s="3" t="n">
        <v>0</v>
      </c>
      <c r="AA1501" s="32" t="n">
        <v>0</v>
      </c>
      <c r="AB1501" s="3" t="n"/>
      <c r="AC1501" s="31" t="n">
        <v>0</v>
      </c>
      <c r="AD1501" s="2" t="n">
        <v>7</v>
      </c>
      <c r="AE1501" s="2" t="n">
        <v>78</v>
      </c>
      <c r="AF1501" s="4" t="n">
        <v>78</v>
      </c>
      <c r="AG1501" s="33" t="n">
        <v>0</v>
      </c>
      <c r="AH1501" s="4" t="n">
        <v>0</v>
      </c>
      <c r="AI1501" s="34" t="n"/>
      <c r="AJ1501" s="34" t="n">
        <v>0</v>
      </c>
      <c r="AK1501" s="2" t="n">
        <v>0</v>
      </c>
      <c r="AL1501" t="inlineStr">
        <is>
          <t>Published</t>
        </is>
      </c>
    </row>
    <row r="1502">
      <c r="A1502">
        <f>HYPERLINK("https://www.walmart.com/ip/477258145", "477258145")</f>
        <v/>
      </c>
      <c r="B1502">
        <f>HYPERLINK("https://app.optiwise.ai/catalog/itemdetails/360909", "Flyingstar Mermaid Tail Blanket, Soft Flannel Fleece All Seasons Sleeping Blanket for Kids Adults, Rainbow Ombre Fish Scale Design Snuggle Blanket, Best Gifts")</f>
        <v/>
      </c>
      <c r="C1502" t="inlineStr">
        <is>
          <t>00791315385431</t>
        </is>
      </c>
      <c r="D1502" t="inlineStr">
        <is>
          <t>Bedding</t>
        </is>
      </c>
      <c r="E1502" t="inlineStr">
        <is>
          <t>Throws</t>
        </is>
      </c>
      <c r="F1502" t="inlineStr">
        <is>
          <t>Flyingstar</t>
        </is>
      </c>
      <c r="G1502" t="n">
        <v>4.7</v>
      </c>
      <c r="H1502" t="n">
        <v>14</v>
      </c>
      <c r="I1502" t="inlineStr">
        <is>
          <t>Q2-Target,Baby days,Optimized,Hero 5 Holidays</t>
        </is>
      </c>
      <c r="J1502" s="29" t="n">
        <v>0</v>
      </c>
      <c r="K1502" s="30" t="n"/>
      <c r="L1502" s="29" t="n">
        <v>0</v>
      </c>
      <c r="M1502" s="29" t="n">
        <v>0</v>
      </c>
      <c r="N1502" s="2" t="n">
        <v>0</v>
      </c>
      <c r="O1502" s="31" t="n">
        <v>29.61999999999999</v>
      </c>
      <c r="P1502" s="32" t="n">
        <v>0.0036</v>
      </c>
      <c r="Q1502" s="32" t="n">
        <v>0</v>
      </c>
      <c r="R1502" s="32" t="n">
        <v>0.0769</v>
      </c>
      <c r="S1502" s="31" t="n">
        <v>0.67</v>
      </c>
      <c r="T1502" s="32" t="n">
        <v>1.48</v>
      </c>
      <c r="U1502" s="31" t="n">
        <v>19.99</v>
      </c>
      <c r="V1502" s="31" t="n">
        <v>19.99</v>
      </c>
      <c r="W1502" s="3" t="n">
        <v>72219</v>
      </c>
      <c r="X1502" s="3" t="n">
        <v>71</v>
      </c>
      <c r="Y1502" s="32" t="n">
        <v>0.001</v>
      </c>
      <c r="Z1502" s="3" t="n">
        <v>1</v>
      </c>
      <c r="AA1502" s="32" t="n">
        <v>0.0141</v>
      </c>
      <c r="AB1502" s="3" t="inlineStr">
        <is>
          <t>WFS Inventory</t>
        </is>
      </c>
      <c r="AC1502" s="31" t="n">
        <v>0.42</v>
      </c>
      <c r="AD1502" s="2" t="n">
        <v>11</v>
      </c>
      <c r="AE1502" s="2" t="n">
        <v>55</v>
      </c>
      <c r="AF1502" s="4" t="inlineStr">
        <is>
          <t>NA</t>
        </is>
      </c>
      <c r="AG1502" s="33" t="n">
        <v>-19.99</v>
      </c>
      <c r="AH1502" s="4" t="n">
        <v>-1</v>
      </c>
      <c r="AI1502" s="34" t="inlineStr">
        <is>
          <t>NA</t>
        </is>
      </c>
      <c r="AJ1502" s="34" t="n">
        <v>0</v>
      </c>
      <c r="AK1502" s="2" t="n">
        <v>0</v>
      </c>
      <c r="AL1502" t="inlineStr">
        <is>
          <t>Published</t>
        </is>
      </c>
    </row>
    <row r="1503">
      <c r="A1503">
        <f>HYPERLINK("https://www.walmart.com/ip/567389230", "567389230")</f>
        <v/>
      </c>
      <c r="B1503">
        <f>HYPERLINK("https://app.optiwise.ai/catalog/itemdetails/361000", "Women’s Swim Bathing Suit Cover Up, Summer Chiffon Backless Beach Dress Skirt")</f>
        <v/>
      </c>
      <c r="C1503" t="inlineStr">
        <is>
          <t>1WMDS110ND</t>
        </is>
      </c>
      <c r="D1503" t="inlineStr">
        <is>
          <t>Dresses</t>
        </is>
      </c>
      <c r="E1503" t="inlineStr">
        <is>
          <t>Dresses</t>
        </is>
      </c>
      <c r="F1503" t="inlineStr">
        <is>
          <t>Flyingstar</t>
        </is>
      </c>
      <c r="G1503" t="n">
        <v>0</v>
      </c>
      <c r="H1503" t="n">
        <v>0</v>
      </c>
      <c r="I1503" t="inlineStr">
        <is>
          <t>Optimized</t>
        </is>
      </c>
      <c r="J1503" s="29" t="n">
        <v>0</v>
      </c>
      <c r="K1503" s="30" t="n"/>
      <c r="L1503" s="29" t="n">
        <v>0</v>
      </c>
      <c r="M1503" s="29" t="n">
        <v>0</v>
      </c>
      <c r="N1503" s="2" t="n">
        <v>0</v>
      </c>
      <c r="O1503" s="31" t="n">
        <v>0</v>
      </c>
      <c r="P1503" s="32" t="n"/>
      <c r="Q1503" s="32" t="n">
        <v>0</v>
      </c>
      <c r="R1503" s="32" t="n">
        <v>0</v>
      </c>
      <c r="S1503" s="31" t="n">
        <v>0</v>
      </c>
      <c r="T1503" s="32" t="n">
        <v>0</v>
      </c>
      <c r="U1503" s="31" t="n">
        <v>0</v>
      </c>
      <c r="V1503" s="31" t="n">
        <v>0</v>
      </c>
      <c r="W1503" s="3" t="n">
        <v>0</v>
      </c>
      <c r="X1503" s="3" t="n">
        <v>0</v>
      </c>
      <c r="Y1503" s="32" t="n">
        <v>0</v>
      </c>
      <c r="Z1503" s="3" t="n">
        <v>0</v>
      </c>
      <c r="AA1503" s="32" t="n">
        <v>0</v>
      </c>
      <c r="AB1503" s="3" t="n"/>
      <c r="AC1503" s="31" t="n">
        <v>0</v>
      </c>
      <c r="AD1503" s="2" t="n">
        <v>0</v>
      </c>
      <c r="AE1503" s="2" t="n">
        <v>1</v>
      </c>
      <c r="AF1503" s="4" t="n">
        <v>1</v>
      </c>
      <c r="AG1503" s="33" t="n">
        <v>0</v>
      </c>
      <c r="AH1503" s="4" t="n">
        <v>0</v>
      </c>
      <c r="AI1503" s="34" t="n"/>
      <c r="AJ1503" s="34" t="n">
        <v>0</v>
      </c>
      <c r="AK1503" s="2" t="n">
        <v>0</v>
      </c>
      <c r="AL1503" t="inlineStr">
        <is>
          <t>Published</t>
        </is>
      </c>
    </row>
    <row r="1504">
      <c r="A1504">
        <f>HYPERLINK("https://www.walmart.com/ip/600412098", "600412098")</f>
        <v/>
      </c>
      <c r="B1504">
        <f>HYPERLINK("https://app.optiwise.ai/catalog/itemdetails/361007", "Ski Gloves, Winter Warm 3M Insulation Waterproof Snow Gloves for Skiing, Snowboarding, Motorcycling,Cycling, Outdoor Sports, Gifts for Men, Size Run Small")</f>
        <v/>
      </c>
      <c r="C1504" t="inlineStr">
        <is>
          <t>1SLWG300PKXL</t>
        </is>
      </c>
      <c r="D1504" t="inlineStr">
        <is>
          <t>Clothing</t>
        </is>
      </c>
      <c r="E1504" t="inlineStr">
        <is>
          <t>Gloves &amp; Mittens</t>
        </is>
      </c>
      <c r="F1504" t="inlineStr">
        <is>
          <t>Solaris</t>
        </is>
      </c>
      <c r="G1504" t="n">
        <v>0</v>
      </c>
      <c r="H1504" t="n">
        <v>0</v>
      </c>
      <c r="I1504" t="inlineStr">
        <is>
          <t>Gloves</t>
        </is>
      </c>
      <c r="J1504" s="29" t="n">
        <v>0</v>
      </c>
      <c r="K1504" s="30" t="n"/>
      <c r="L1504" s="29" t="n">
        <v>0</v>
      </c>
      <c r="M1504" s="29" t="n">
        <v>0</v>
      </c>
      <c r="N1504" s="2" t="n">
        <v>0</v>
      </c>
      <c r="O1504" s="31" t="n">
        <v>0</v>
      </c>
      <c r="P1504" s="32" t="n"/>
      <c r="Q1504" s="32" t="n">
        <v>0</v>
      </c>
      <c r="R1504" s="32" t="n">
        <v>0</v>
      </c>
      <c r="S1504" s="31" t="n">
        <v>0</v>
      </c>
      <c r="T1504" s="32" t="n">
        <v>0</v>
      </c>
      <c r="U1504" s="31" t="n">
        <v>0</v>
      </c>
      <c r="V1504" s="31" t="n">
        <v>0</v>
      </c>
      <c r="W1504" s="3" t="n">
        <v>0</v>
      </c>
      <c r="X1504" s="3" t="n">
        <v>0</v>
      </c>
      <c r="Y1504" s="32" t="n">
        <v>0</v>
      </c>
      <c r="Z1504" s="3" t="n">
        <v>0</v>
      </c>
      <c r="AA1504" s="32" t="n">
        <v>0</v>
      </c>
      <c r="AB1504" s="3" t="n"/>
      <c r="AC1504" s="31" t="n">
        <v>0</v>
      </c>
      <c r="AD1504" s="2" t="n">
        <v>0</v>
      </c>
      <c r="AE1504" s="2" t="n">
        <v>25</v>
      </c>
      <c r="AF1504" s="4" t="n">
        <v>25</v>
      </c>
      <c r="AG1504" s="33" t="n">
        <v>0</v>
      </c>
      <c r="AH1504" s="4" t="n">
        <v>0</v>
      </c>
      <c r="AI1504" s="34" t="n"/>
      <c r="AJ1504" s="34" t="n">
        <v>0</v>
      </c>
      <c r="AK1504" s="2" t="n">
        <v>0</v>
      </c>
      <c r="AL1504" t="inlineStr">
        <is>
          <t>Published</t>
        </is>
      </c>
    </row>
    <row r="1505">
      <c r="A1505">
        <f>HYPERLINK("https://www.walmart.com/ip/494462402", "494462402")</f>
        <v/>
      </c>
      <c r="B1505">
        <f>HYPERLINK("https://app.optiwise.ai/catalog/itemdetails/361009", "Tirrinia Super Soft Fluffy Hooded Robe Long Plush Fuzzy Bathrobe for Women with Hood Sherpa Lined, Machine Washable, Grey")</f>
        <v/>
      </c>
      <c r="C1505" t="inlineStr">
        <is>
          <t>1TRRB100GY</t>
        </is>
      </c>
      <c r="D1505" t="inlineStr">
        <is>
          <t>Clothing</t>
        </is>
      </c>
      <c r="E1505" t="inlineStr">
        <is>
          <t>Sleepwear Robes &amp; Bathrobes</t>
        </is>
      </c>
      <c r="F1505" t="inlineStr">
        <is>
          <t>Tirrinia</t>
        </is>
      </c>
      <c r="G1505" t="n">
        <v>4.1</v>
      </c>
      <c r="H1505" t="n">
        <v>16</v>
      </c>
      <c r="I1505" t="inlineStr">
        <is>
          <t>WFS,Bathrobe,Coupon_Discount,WFS Item</t>
        </is>
      </c>
      <c r="J1505" s="29" t="n">
        <v>0</v>
      </c>
      <c r="K1505" s="30" t="n"/>
      <c r="L1505" s="29" t="n">
        <v>0</v>
      </c>
      <c r="M1505" s="29" t="n">
        <v>0</v>
      </c>
      <c r="N1505" s="2" t="n">
        <v>0</v>
      </c>
      <c r="O1505" s="31" t="n">
        <v>0</v>
      </c>
      <c r="P1505" s="32" t="n"/>
      <c r="Q1505" s="32" t="n">
        <v>0</v>
      </c>
      <c r="R1505" s="32" t="n">
        <v>0</v>
      </c>
      <c r="S1505" s="31" t="n">
        <v>0</v>
      </c>
      <c r="T1505" s="32" t="n">
        <v>0</v>
      </c>
      <c r="U1505" s="31" t="n">
        <v>0</v>
      </c>
      <c r="V1505" s="31" t="n">
        <v>0</v>
      </c>
      <c r="W1505" s="3" t="n">
        <v>0</v>
      </c>
      <c r="X1505" s="3" t="n">
        <v>0</v>
      </c>
      <c r="Y1505" s="32" t="n">
        <v>0</v>
      </c>
      <c r="Z1505" s="3" t="n">
        <v>0</v>
      </c>
      <c r="AA1505" s="32" t="n">
        <v>0</v>
      </c>
      <c r="AB1505" s="3" t="n"/>
      <c r="AC1505" s="31" t="n">
        <v>0</v>
      </c>
      <c r="AD1505" s="2" t="n">
        <v>7</v>
      </c>
      <c r="AE1505" s="2" t="n">
        <v>31</v>
      </c>
      <c r="AF1505" s="4" t="n">
        <v>31</v>
      </c>
      <c r="AG1505" s="33" t="n">
        <v>0</v>
      </c>
      <c r="AH1505" s="4" t="n">
        <v>0</v>
      </c>
      <c r="AI1505" s="34" t="n"/>
      <c r="AJ1505" s="34" t="n">
        <v>0</v>
      </c>
      <c r="AK1505" s="2" t="n">
        <v>0</v>
      </c>
      <c r="AL1505" t="inlineStr">
        <is>
          <t>Published</t>
        </is>
      </c>
    </row>
    <row r="1506">
      <c r="A1506">
        <f>HYPERLINK("https://www.walmart.com/ip/497159576", "497159576")</f>
        <v/>
      </c>
      <c r="B1506">
        <f>HYPERLINK("https://app.optiwise.ai/catalog/itemdetails/361042", "Fleece Blanket Wearable with Sleeves and Pocket, Micro Plush Warm Comfy Sleeved TV Throw Blanket Robe for Women and Men Multi-Colors 72”X55” by Catalonia")</f>
        <v/>
      </c>
      <c r="C1506" t="inlineStr">
        <is>
          <t>1CTSN110PRD</t>
        </is>
      </c>
      <c r="D1506" t="inlineStr">
        <is>
          <t>Bedding</t>
        </is>
      </c>
      <c r="E1506" t="inlineStr">
        <is>
          <t>Throws</t>
        </is>
      </c>
      <c r="F1506" t="inlineStr">
        <is>
          <t>Catalonia</t>
        </is>
      </c>
      <c r="G1506" t="n">
        <v>5</v>
      </c>
      <c r="H1506" t="n">
        <v>6</v>
      </c>
      <c r="I1506" t="inlineStr">
        <is>
          <t>Q2-Target,WFS,Coupon_Discount,WFS Item,Fleece Blankets</t>
        </is>
      </c>
      <c r="J1506" s="29" t="n">
        <v>0</v>
      </c>
      <c r="K1506" s="30" t="n"/>
      <c r="L1506" s="29" t="n">
        <v>0</v>
      </c>
      <c r="M1506" s="29" t="n">
        <v>0</v>
      </c>
      <c r="N1506" s="2" t="n">
        <v>0</v>
      </c>
      <c r="O1506" s="31" t="n">
        <v>0</v>
      </c>
      <c r="P1506" s="32" t="n"/>
      <c r="Q1506" s="32" t="n">
        <v>0</v>
      </c>
      <c r="R1506" s="32" t="n">
        <v>0</v>
      </c>
      <c r="S1506" s="31" t="n">
        <v>0</v>
      </c>
      <c r="T1506" s="32" t="n">
        <v>0</v>
      </c>
      <c r="U1506" s="31" t="n">
        <v>0</v>
      </c>
      <c r="V1506" s="31" t="n">
        <v>0</v>
      </c>
      <c r="W1506" s="3" t="n">
        <v>0</v>
      </c>
      <c r="X1506" s="3" t="n">
        <v>0</v>
      </c>
      <c r="Y1506" s="32" t="n">
        <v>0</v>
      </c>
      <c r="Z1506" s="3" t="n">
        <v>0</v>
      </c>
      <c r="AA1506" s="32" t="n">
        <v>0</v>
      </c>
      <c r="AB1506" s="3" t="n"/>
      <c r="AC1506" s="31" t="n">
        <v>0</v>
      </c>
      <c r="AD1506" s="2" t="n">
        <v>10</v>
      </c>
      <c r="AE1506" s="2" t="n">
        <v>63</v>
      </c>
      <c r="AF1506" s="4" t="n">
        <v>63</v>
      </c>
      <c r="AG1506" s="33" t="n">
        <v>0</v>
      </c>
      <c r="AH1506" s="4" t="n">
        <v>0</v>
      </c>
      <c r="AI1506" s="34" t="n"/>
      <c r="AJ1506" s="34" t="n">
        <v>0</v>
      </c>
      <c r="AK1506" s="2" t="n">
        <v>0</v>
      </c>
      <c r="AL1506" t="inlineStr">
        <is>
          <t>Published</t>
        </is>
      </c>
    </row>
    <row r="1507">
      <c r="A1507">
        <f>HYPERLINK("https://www.walmart.com/ip/167804199", "167804199")</f>
        <v/>
      </c>
      <c r="B1507">
        <f>HYPERLINK("https://app.optiwise.ai/catalog/itemdetails/361079", "Napa Super Soft Micro Fleece Sherpa Bed Throw TV Blanket 50 x 60 Reversible Wine")</f>
        <v/>
      </c>
      <c r="C1507" t="inlineStr">
        <is>
          <t>K8010WINE</t>
        </is>
      </c>
      <c r="D1507" t="inlineStr">
        <is>
          <t>Bedding</t>
        </is>
      </c>
      <c r="E1507" t="inlineStr">
        <is>
          <t>Throws</t>
        </is>
      </c>
      <c r="F1507" t="inlineStr">
        <is>
          <t>NAPA</t>
        </is>
      </c>
      <c r="G1507" t="n">
        <v>4.4</v>
      </c>
      <c r="H1507" t="n">
        <v>9</v>
      </c>
      <c r="I1507" t="inlineStr">
        <is>
          <t>Batch 1 - TR</t>
        </is>
      </c>
      <c r="J1507" s="29" t="n">
        <v>0</v>
      </c>
      <c r="K1507" s="30" t="n"/>
      <c r="L1507" s="29" t="n">
        <v>0</v>
      </c>
      <c r="M1507" s="29" t="n">
        <v>0</v>
      </c>
      <c r="N1507" s="2" t="n">
        <v>0</v>
      </c>
      <c r="O1507" s="31" t="n">
        <v>0</v>
      </c>
      <c r="P1507" s="32" t="n"/>
      <c r="Q1507" s="32" t="n">
        <v>0</v>
      </c>
      <c r="R1507" s="32" t="n">
        <v>0</v>
      </c>
      <c r="S1507" s="31" t="n">
        <v>0</v>
      </c>
      <c r="T1507" s="32" t="n">
        <v>0</v>
      </c>
      <c r="U1507" s="31" t="n">
        <v>0</v>
      </c>
      <c r="V1507" s="31" t="n">
        <v>0</v>
      </c>
      <c r="W1507" s="3" t="n">
        <v>0</v>
      </c>
      <c r="X1507" s="3" t="n">
        <v>0</v>
      </c>
      <c r="Y1507" s="32" t="n">
        <v>0</v>
      </c>
      <c r="Z1507" s="3" t="n">
        <v>0</v>
      </c>
      <c r="AA1507" s="32" t="n">
        <v>0</v>
      </c>
      <c r="AB1507" s="3" t="n"/>
      <c r="AC1507" s="31" t="n">
        <v>0</v>
      </c>
      <c r="AD1507" s="2" t="n">
        <v>0</v>
      </c>
      <c r="AE1507" s="2" t="n">
        <v>1</v>
      </c>
      <c r="AF1507" s="4" t="n">
        <v>1</v>
      </c>
      <c r="AG1507" s="33" t="n">
        <v>0</v>
      </c>
      <c r="AH1507" s="4" t="n">
        <v>0</v>
      </c>
      <c r="AI1507" s="34" t="n"/>
      <c r="AJ1507" s="34" t="n">
        <v>0</v>
      </c>
      <c r="AK1507" s="2" t="n">
        <v>0</v>
      </c>
      <c r="AL1507" t="inlineStr">
        <is>
          <t>Published</t>
        </is>
      </c>
    </row>
    <row r="1508">
      <c r="A1508">
        <f>HYPERLINK("https://www.walmart.com/ip/139817363", "139817363")</f>
        <v/>
      </c>
      <c r="B1508">
        <f>HYPERLINK("https://app.optiwise.ai/catalog/itemdetails/361073", "JenniWears® Women's Sexy Lace Nightgown Sleepwear Bathrobe 2 Piece Set")</f>
        <v/>
      </c>
      <c r="C1508" t="inlineStr">
        <is>
          <t>JWRS02BK-M</t>
        </is>
      </c>
      <c r="D1508" t="inlineStr">
        <is>
          <t>Clothing</t>
        </is>
      </c>
      <c r="E1508" t="inlineStr">
        <is>
          <t>Nightgowns &amp; Sleepshirts</t>
        </is>
      </c>
      <c r="F1508" t="inlineStr">
        <is>
          <t>JenniWears</t>
        </is>
      </c>
      <c r="G1508" t="n">
        <v>2.7</v>
      </c>
      <c r="H1508" t="n">
        <v>3</v>
      </c>
      <c r="I1508" t="inlineStr">
        <is>
          <t>Optimized,Valentine,Bathrobe</t>
        </is>
      </c>
      <c r="J1508" s="29" t="n">
        <v>0</v>
      </c>
      <c r="K1508" s="30" t="n"/>
      <c r="L1508" s="29" t="n">
        <v>0</v>
      </c>
      <c r="M1508" s="29" t="n">
        <v>0</v>
      </c>
      <c r="N1508" s="2" t="n">
        <v>0</v>
      </c>
      <c r="O1508" s="31" t="n">
        <v>0</v>
      </c>
      <c r="P1508" s="32" t="n"/>
      <c r="Q1508" s="32" t="n">
        <v>0</v>
      </c>
      <c r="R1508" s="32" t="n">
        <v>0</v>
      </c>
      <c r="S1508" s="31" t="n">
        <v>0</v>
      </c>
      <c r="T1508" s="32" t="n">
        <v>0</v>
      </c>
      <c r="U1508" s="31" t="n">
        <v>0</v>
      </c>
      <c r="V1508" s="31" t="n">
        <v>0</v>
      </c>
      <c r="W1508" s="3" t="n">
        <v>0</v>
      </c>
      <c r="X1508" s="3" t="n">
        <v>0</v>
      </c>
      <c r="Y1508" s="32" t="n">
        <v>0</v>
      </c>
      <c r="Z1508" s="3" t="n">
        <v>0</v>
      </c>
      <c r="AA1508" s="32" t="n">
        <v>0</v>
      </c>
      <c r="AB1508" s="3" t="n"/>
      <c r="AC1508" s="31" t="n">
        <v>0</v>
      </c>
      <c r="AD1508" s="2" t="n">
        <v>0</v>
      </c>
      <c r="AE1508" s="2" t="n">
        <v>1</v>
      </c>
      <c r="AF1508" s="4" t="n">
        <v>1</v>
      </c>
      <c r="AG1508" s="33" t="n">
        <v>0</v>
      </c>
      <c r="AH1508" s="4" t="n">
        <v>0</v>
      </c>
      <c r="AI1508" s="34" t="n"/>
      <c r="AJ1508" s="34" t="n">
        <v>0</v>
      </c>
      <c r="AK1508" s="2" t="n">
        <v>0</v>
      </c>
      <c r="AL1508" t="inlineStr">
        <is>
          <t>Published</t>
        </is>
      </c>
    </row>
    <row r="1509">
      <c r="A1509">
        <f>HYPERLINK("https://www.walmart.com/ip/182862346", "182862346")</f>
        <v/>
      </c>
      <c r="B1509">
        <f>HYPERLINK("https://app.optiwise.ai/catalog/itemdetails/361071", "KC Caps® Cotton Twill Deluxe Super Soft Mesh Adjustable Snapback Low Profile Trucker Baseball Cap")</f>
        <v/>
      </c>
      <c r="C1509" t="inlineStr">
        <is>
          <t>KCCAPSSZK641GY/ST</t>
        </is>
      </c>
      <c r="D1509" t="inlineStr">
        <is>
          <t>Clothing</t>
        </is>
      </c>
      <c r="E1509" t="inlineStr">
        <is>
          <t>Hats</t>
        </is>
      </c>
      <c r="F1509" t="inlineStr">
        <is>
          <t>KC Caps</t>
        </is>
      </c>
      <c r="G1509" t="n">
        <v>0</v>
      </c>
      <c r="H1509" t="n">
        <v>0</v>
      </c>
      <c r="I1509" t="inlineStr">
        <is>
          <t>Optimized</t>
        </is>
      </c>
      <c r="J1509" s="29" t="n">
        <v>0</v>
      </c>
      <c r="K1509" s="30" t="n"/>
      <c r="L1509" s="29" t="n">
        <v>0</v>
      </c>
      <c r="M1509" s="29" t="n">
        <v>0</v>
      </c>
      <c r="N1509" s="2" t="n">
        <v>0</v>
      </c>
      <c r="O1509" s="31" t="n">
        <v>0</v>
      </c>
      <c r="P1509" s="32" t="n"/>
      <c r="Q1509" s="32" t="n">
        <v>0</v>
      </c>
      <c r="R1509" s="32" t="n">
        <v>0</v>
      </c>
      <c r="S1509" s="31" t="n">
        <v>0</v>
      </c>
      <c r="T1509" s="32" t="n">
        <v>0</v>
      </c>
      <c r="U1509" s="31" t="n">
        <v>0</v>
      </c>
      <c r="V1509" s="31" t="n">
        <v>0</v>
      </c>
      <c r="W1509" s="3" t="n">
        <v>0</v>
      </c>
      <c r="X1509" s="3" t="n">
        <v>0</v>
      </c>
      <c r="Y1509" s="32" t="n">
        <v>0</v>
      </c>
      <c r="Z1509" s="3" t="n">
        <v>0</v>
      </c>
      <c r="AA1509" s="32" t="n">
        <v>0</v>
      </c>
      <c r="AB1509" s="3" t="n"/>
      <c r="AC1509" s="31" t="n">
        <v>0</v>
      </c>
      <c r="AD1509" s="2" t="n">
        <v>0</v>
      </c>
      <c r="AE1509" s="2" t="n">
        <v>2</v>
      </c>
      <c r="AF1509" s="4" t="n">
        <v>2</v>
      </c>
      <c r="AG1509" s="33" t="n">
        <v>0</v>
      </c>
      <c r="AH1509" s="4" t="n">
        <v>0</v>
      </c>
      <c r="AI1509" s="34" t="n"/>
      <c r="AJ1509" s="34" t="n">
        <v>0</v>
      </c>
      <c r="AK1509" s="2" t="n">
        <v>0</v>
      </c>
      <c r="AL1509" t="inlineStr">
        <is>
          <t>Published</t>
        </is>
      </c>
    </row>
    <row r="1510">
      <c r="A1510">
        <f>HYPERLINK("https://www.walmart.com/ip/551981396", "551981396")</f>
        <v/>
      </c>
      <c r="B1510">
        <f>HYPERLINK("https://app.optiwise.ai/catalog/itemdetails/361063", "Fleece Blanket Wearable with Sleeves &amp; Foot pockets for Men and Women, Micro Plush Wrap Sleeved Throw Blanket Robe Multi-Colors 75”x53” by Catalonia")</f>
        <v/>
      </c>
      <c r="C1510" t="inlineStr">
        <is>
          <t>1CTSN101LG</t>
        </is>
      </c>
      <c r="D1510" t="inlineStr">
        <is>
          <t>Bedding</t>
        </is>
      </c>
      <c r="E1510" t="inlineStr">
        <is>
          <t>Throws</t>
        </is>
      </c>
      <c r="F1510" t="inlineStr">
        <is>
          <t>Catalonia</t>
        </is>
      </c>
      <c r="G1510" t="n">
        <v>0</v>
      </c>
      <c r="H1510" t="n">
        <v>0</v>
      </c>
      <c r="I1510" t="inlineStr">
        <is>
          <t>WFS,Coupon_Discount,WFS Item,Fleece Blankets</t>
        </is>
      </c>
      <c r="J1510" s="29" t="n">
        <v>0</v>
      </c>
      <c r="K1510" s="30" t="n"/>
      <c r="L1510" s="29" t="n">
        <v>0</v>
      </c>
      <c r="M1510" s="29" t="n">
        <v>0</v>
      </c>
      <c r="N1510" s="2" t="n">
        <v>0</v>
      </c>
      <c r="O1510" s="31" t="n">
        <v>0</v>
      </c>
      <c r="P1510" s="32" t="n"/>
      <c r="Q1510" s="32" t="n">
        <v>0</v>
      </c>
      <c r="R1510" s="32" t="n">
        <v>0</v>
      </c>
      <c r="S1510" s="31" t="n">
        <v>0</v>
      </c>
      <c r="T1510" s="32" t="n">
        <v>0</v>
      </c>
      <c r="U1510" s="31" t="n">
        <v>0</v>
      </c>
      <c r="V1510" s="31" t="n">
        <v>0</v>
      </c>
      <c r="W1510" s="3" t="n">
        <v>0</v>
      </c>
      <c r="X1510" s="3" t="n">
        <v>0</v>
      </c>
      <c r="Y1510" s="32" t="n">
        <v>0</v>
      </c>
      <c r="Z1510" s="3" t="n">
        <v>0</v>
      </c>
      <c r="AA1510" s="32" t="n">
        <v>0</v>
      </c>
      <c r="AB1510" s="3" t="n"/>
      <c r="AC1510" s="31" t="n">
        <v>0</v>
      </c>
      <c r="AD1510" s="2" t="n">
        <v>21</v>
      </c>
      <c r="AE1510" s="2" t="n">
        <v>70</v>
      </c>
      <c r="AF1510" s="4" t="n">
        <v>70</v>
      </c>
      <c r="AG1510" s="33" t="n">
        <v>0</v>
      </c>
      <c r="AH1510" s="4" t="n">
        <v>0</v>
      </c>
      <c r="AI1510" s="34" t="n"/>
      <c r="AJ1510" s="34" t="n">
        <v>0</v>
      </c>
      <c r="AK1510" s="2" t="n">
        <v>0</v>
      </c>
      <c r="AL1510" t="inlineStr">
        <is>
          <t>Published</t>
        </is>
      </c>
    </row>
    <row r="1511">
      <c r="A1511">
        <f>HYPERLINK("https://www.walmart.com/ip/420710678", "420710678")</f>
        <v/>
      </c>
      <c r="B1511">
        <f>HYPERLINK("https://app.optiwise.ai/catalog/itemdetails/361060", "Tirrinia Large Insulated Picnic Basket and Foldable Grocery Bag, 28L Leakproof Collapsible Portable Cooler Basket Set with Aluminium Handle for Travel, Shopping and Camping, Black")</f>
        <v/>
      </c>
      <c r="C1511" t="inlineStr">
        <is>
          <t>1TRPB100-BK</t>
        </is>
      </c>
      <c r="D1511" t="inlineStr">
        <is>
          <t>Home Decor, Kitchen, &amp; Other</t>
        </is>
      </c>
      <c r="E1511" t="inlineStr">
        <is>
          <t>Picnic Baskets &amp; Bags</t>
        </is>
      </c>
      <c r="F1511" t="inlineStr">
        <is>
          <t>Tirrinia</t>
        </is>
      </c>
      <c r="G1511" t="n">
        <v>4.5</v>
      </c>
      <c r="H1511" t="n">
        <v>2</v>
      </c>
      <c r="I1511" t="inlineStr">
        <is>
          <t>Batch 1 - TR</t>
        </is>
      </c>
      <c r="J1511" s="29" t="n">
        <v>0</v>
      </c>
      <c r="K1511" s="30" t="n"/>
      <c r="L1511" s="29" t="n">
        <v>0</v>
      </c>
      <c r="M1511" s="29" t="n">
        <v>0</v>
      </c>
      <c r="N1511" s="2" t="n">
        <v>0</v>
      </c>
      <c r="O1511" s="31" t="n">
        <v>0</v>
      </c>
      <c r="P1511" s="32" t="n"/>
      <c r="Q1511" s="32" t="n">
        <v>0</v>
      </c>
      <c r="R1511" s="32" t="n">
        <v>0.0303</v>
      </c>
      <c r="S1511" s="31" t="n">
        <v>0</v>
      </c>
      <c r="T1511" s="32" t="n">
        <v>0</v>
      </c>
      <c r="U1511" s="31" t="n">
        <v>0</v>
      </c>
      <c r="V1511" s="31" t="n">
        <v>0</v>
      </c>
      <c r="W1511" s="3" t="n">
        <v>108</v>
      </c>
      <c r="X1511" s="3" t="n">
        <v>0</v>
      </c>
      <c r="Y1511" s="32" t="n">
        <v>0</v>
      </c>
      <c r="Z1511" s="3" t="n">
        <v>0</v>
      </c>
      <c r="AA1511" s="32" t="n">
        <v>0</v>
      </c>
      <c r="AB1511" s="3" t="inlineStr">
        <is>
          <t>Top Selling Last Year 2023</t>
        </is>
      </c>
      <c r="AC1511" s="31" t="n">
        <v>0</v>
      </c>
      <c r="AD1511" s="2" t="n">
        <v>0</v>
      </c>
      <c r="AE1511" s="2" t="n">
        <v>10</v>
      </c>
      <c r="AF1511" s="4" t="n">
        <v>10</v>
      </c>
      <c r="AG1511" s="33" t="n">
        <v>0</v>
      </c>
      <c r="AH1511" s="4" t="n">
        <v>0</v>
      </c>
      <c r="AI1511" s="34" t="n"/>
      <c r="AJ1511" s="34" t="n">
        <v>0</v>
      </c>
      <c r="AK1511" s="2" t="n">
        <v>0</v>
      </c>
      <c r="AL1511" t="inlineStr">
        <is>
          <t>Published</t>
        </is>
      </c>
    </row>
    <row r="1512">
      <c r="A1512">
        <f>HYPERLINK("https://www.walmart.com/ip/878930058", "878930058")</f>
        <v/>
      </c>
      <c r="B1512">
        <f>HYPERLINK("https://app.optiwise.ai/catalog/itemdetails/361058", "Flyingstar Sherpa Throws Blanket, Fleece Soft Cozy Blanket Throws for Sofa Bed 50x60")</f>
        <v/>
      </c>
      <c r="C1512" t="inlineStr">
        <is>
          <t>1WMBF573BLTILE</t>
        </is>
      </c>
      <c r="D1512" t="inlineStr">
        <is>
          <t>Bedding</t>
        </is>
      </c>
      <c r="E1512" t="inlineStr">
        <is>
          <t>Throws</t>
        </is>
      </c>
      <c r="F1512" t="inlineStr">
        <is>
          <t>Flyingstar</t>
        </is>
      </c>
      <c r="G1512" t="n">
        <v>0</v>
      </c>
      <c r="H1512" t="n">
        <v>0</v>
      </c>
      <c r="I1512" t="inlineStr">
        <is>
          <t>Optimized</t>
        </is>
      </c>
      <c r="J1512" s="29" t="n">
        <v>0</v>
      </c>
      <c r="K1512" s="30" t="n"/>
      <c r="L1512" s="29" t="n">
        <v>0</v>
      </c>
      <c r="M1512" s="29" t="n">
        <v>0</v>
      </c>
      <c r="N1512" s="2" t="n">
        <v>0</v>
      </c>
      <c r="O1512" s="31" t="n">
        <v>0</v>
      </c>
      <c r="P1512" s="32" t="n"/>
      <c r="Q1512" s="32" t="n">
        <v>0</v>
      </c>
      <c r="R1512" s="32" t="n">
        <v>0</v>
      </c>
      <c r="S1512" s="31" t="n">
        <v>0</v>
      </c>
      <c r="T1512" s="32" t="n">
        <v>0</v>
      </c>
      <c r="U1512" s="31" t="n">
        <v>0</v>
      </c>
      <c r="V1512" s="31" t="n">
        <v>0</v>
      </c>
      <c r="W1512" s="3" t="n">
        <v>0</v>
      </c>
      <c r="X1512" s="3" t="n">
        <v>0</v>
      </c>
      <c r="Y1512" s="32" t="n">
        <v>0</v>
      </c>
      <c r="Z1512" s="3" t="n">
        <v>0</v>
      </c>
      <c r="AA1512" s="32" t="n">
        <v>0</v>
      </c>
      <c r="AB1512" s="3" t="n"/>
      <c r="AC1512" s="31" t="n">
        <v>0</v>
      </c>
      <c r="AD1512" s="2" t="n">
        <v>0</v>
      </c>
      <c r="AE1512" s="2" t="n">
        <v>1</v>
      </c>
      <c r="AF1512" s="4" t="n">
        <v>1</v>
      </c>
      <c r="AG1512" s="33" t="n">
        <v>0</v>
      </c>
      <c r="AH1512" s="4" t="n">
        <v>0</v>
      </c>
      <c r="AI1512" s="34" t="n"/>
      <c r="AJ1512" s="34" t="n">
        <v>0</v>
      </c>
      <c r="AK1512" s="2" t="n">
        <v>0</v>
      </c>
      <c r="AL1512" t="inlineStr">
        <is>
          <t>Published</t>
        </is>
      </c>
    </row>
    <row r="1513">
      <c r="A1513">
        <f>HYPERLINK("https://www.walmart.com/ip/183113730", "183113730")</f>
        <v/>
      </c>
      <c r="B1513">
        <f>HYPERLINK("https://app.optiwise.ai/catalog/itemdetails/361054", "Runner Waist Pack - Hip Hug Running Fuel Belt with 2 Pockets - NO BOUNCE Runner's Fanny Pack - Storage Pouch Bag Runners")</f>
        <v/>
      </c>
      <c r="C1513" t="inlineStr">
        <is>
          <t>TERRA-3BL-L-ZJ</t>
        </is>
      </c>
      <c r="D1513" t="inlineStr">
        <is>
          <t>Cases &amp; Bags</t>
        </is>
      </c>
      <c r="E1513" t="inlineStr">
        <is>
          <t>Fanny Packs</t>
        </is>
      </c>
      <c r="F1513" t="inlineStr">
        <is>
          <t>Terra</t>
        </is>
      </c>
      <c r="G1513" t="n">
        <v>0</v>
      </c>
      <c r="H1513" t="n">
        <v>0</v>
      </c>
      <c r="I1513" t="inlineStr">
        <is>
          <t>Batch 1 - TR</t>
        </is>
      </c>
      <c r="J1513" s="29" t="n">
        <v>0</v>
      </c>
      <c r="K1513" s="30" t="n"/>
      <c r="L1513" s="29" t="n">
        <v>0</v>
      </c>
      <c r="M1513" s="29" t="n">
        <v>0</v>
      </c>
      <c r="N1513" s="2" t="n">
        <v>0</v>
      </c>
      <c r="O1513" s="31" t="n">
        <v>0</v>
      </c>
      <c r="P1513" s="32" t="n"/>
      <c r="Q1513" s="32" t="n">
        <v>0</v>
      </c>
      <c r="R1513" s="32" t="n">
        <v>0</v>
      </c>
      <c r="S1513" s="31" t="n">
        <v>0</v>
      </c>
      <c r="T1513" s="32" t="n">
        <v>0</v>
      </c>
      <c r="U1513" s="31" t="n">
        <v>0</v>
      </c>
      <c r="V1513" s="31" t="n">
        <v>0</v>
      </c>
      <c r="W1513" s="3" t="n">
        <v>0</v>
      </c>
      <c r="X1513" s="3" t="n">
        <v>0</v>
      </c>
      <c r="Y1513" s="32" t="n">
        <v>0</v>
      </c>
      <c r="Z1513" s="3" t="n">
        <v>0</v>
      </c>
      <c r="AA1513" s="32" t="n">
        <v>0</v>
      </c>
      <c r="AB1513" s="3" t="n"/>
      <c r="AC1513" s="31" t="n">
        <v>0</v>
      </c>
      <c r="AD1513" s="2" t="n">
        <v>0</v>
      </c>
      <c r="AE1513" s="2" t="n">
        <v>6</v>
      </c>
      <c r="AF1513" s="4" t="n">
        <v>6</v>
      </c>
      <c r="AG1513" s="33" t="n">
        <v>0</v>
      </c>
      <c r="AH1513" s="4" t="n">
        <v>0</v>
      </c>
      <c r="AI1513" s="34" t="n"/>
      <c r="AJ1513" s="34" t="n">
        <v>0</v>
      </c>
      <c r="AK1513" s="2" t="n">
        <v>0</v>
      </c>
      <c r="AL1513" t="inlineStr">
        <is>
          <t>Published</t>
        </is>
      </c>
    </row>
    <row r="1514">
      <c r="A1514">
        <f>HYPERLINK("https://www.walmart.com/ip/158898316", "158898316")</f>
        <v/>
      </c>
      <c r="B1514">
        <f>HYPERLINK("https://app.optiwise.ai/catalog/itemdetails/361053", "KC Caps Pom Pom Toque Beanie")</f>
        <v/>
      </c>
      <c r="C1514" t="inlineStr">
        <is>
          <t>KCW1711NV</t>
        </is>
      </c>
      <c r="D1514" t="inlineStr">
        <is>
          <t>Clothing</t>
        </is>
      </c>
      <c r="E1514" t="inlineStr">
        <is>
          <t>Hats</t>
        </is>
      </c>
      <c r="F1514" t="inlineStr">
        <is>
          <t>KC Caps</t>
        </is>
      </c>
      <c r="G1514" t="n">
        <v>0</v>
      </c>
      <c r="H1514" t="n">
        <v>0</v>
      </c>
      <c r="I1514" t="inlineStr">
        <is>
          <t>Optimized</t>
        </is>
      </c>
      <c r="J1514" s="29" t="n">
        <v>0</v>
      </c>
      <c r="K1514" s="30" t="n"/>
      <c r="L1514" s="29" t="n">
        <v>0</v>
      </c>
      <c r="M1514" s="29" t="n">
        <v>0</v>
      </c>
      <c r="N1514" s="2" t="n">
        <v>0</v>
      </c>
      <c r="O1514" s="31" t="n">
        <v>0</v>
      </c>
      <c r="P1514" s="32" t="n"/>
      <c r="Q1514" s="32" t="n">
        <v>0</v>
      </c>
      <c r="R1514" s="32" t="n">
        <v>0</v>
      </c>
      <c r="S1514" s="31" t="n">
        <v>0</v>
      </c>
      <c r="T1514" s="32" t="n">
        <v>0</v>
      </c>
      <c r="U1514" s="31" t="n">
        <v>0</v>
      </c>
      <c r="V1514" s="31" t="n">
        <v>0</v>
      </c>
      <c r="W1514" s="3" t="n">
        <v>0</v>
      </c>
      <c r="X1514" s="3" t="n">
        <v>0</v>
      </c>
      <c r="Y1514" s="32" t="n">
        <v>0</v>
      </c>
      <c r="Z1514" s="3" t="n">
        <v>0</v>
      </c>
      <c r="AA1514" s="32" t="n">
        <v>0</v>
      </c>
      <c r="AB1514" s="3" t="n"/>
      <c r="AC1514" s="31" t="n">
        <v>0</v>
      </c>
      <c r="AD1514" s="2" t="n">
        <v>0</v>
      </c>
      <c r="AE1514" s="2" t="n">
        <v>1</v>
      </c>
      <c r="AF1514" s="4" t="n">
        <v>1</v>
      </c>
      <c r="AG1514" s="33" t="n">
        <v>0</v>
      </c>
      <c r="AH1514" s="4" t="n">
        <v>0</v>
      </c>
      <c r="AI1514" s="34" t="n"/>
      <c r="AJ1514" s="34" t="n">
        <v>0</v>
      </c>
      <c r="AK1514" s="2" t="n">
        <v>0</v>
      </c>
      <c r="AL1514" t="inlineStr">
        <is>
          <t>Published</t>
        </is>
      </c>
    </row>
    <row r="1515">
      <c r="A1515">
        <f>HYPERLINK("https://www.walmart.com/ip/753873695", "753873695")</f>
        <v/>
      </c>
      <c r="B1515">
        <f>HYPERLINK("https://app.optiwise.ai/catalog/itemdetails/361050", "Tirrinia Sherpa Wearable Snuggle Blanket, Unisex Soft Warm Blanket with Sleeves 72 x 55 Cheetah")</f>
        <v/>
      </c>
      <c r="C1515" t="inlineStr">
        <is>
          <t>1TRSN110CHEETAH</t>
        </is>
      </c>
      <c r="D1515" t="inlineStr">
        <is>
          <t>Bedding</t>
        </is>
      </c>
      <c r="E1515" t="inlineStr">
        <is>
          <t>Throws</t>
        </is>
      </c>
      <c r="F1515" t="inlineStr">
        <is>
          <t>Terrania</t>
        </is>
      </c>
      <c r="G1515" t="n">
        <v>0</v>
      </c>
      <c r="H1515" t="n">
        <v>0</v>
      </c>
      <c r="I1515" t="inlineStr">
        <is>
          <t>Coupon_Discount,Batch 1 - TR</t>
        </is>
      </c>
      <c r="J1515" s="29" t="n">
        <v>0</v>
      </c>
      <c r="K1515" s="30" t="n"/>
      <c r="L1515" s="29" t="n">
        <v>0</v>
      </c>
      <c r="M1515" s="29" t="n">
        <v>0</v>
      </c>
      <c r="N1515" s="2" t="n">
        <v>0</v>
      </c>
      <c r="O1515" s="31" t="n">
        <v>0</v>
      </c>
      <c r="P1515" s="32" t="n"/>
      <c r="Q1515" s="32" t="n">
        <v>0</v>
      </c>
      <c r="R1515" s="32" t="n">
        <v>0</v>
      </c>
      <c r="S1515" s="31" t="n">
        <v>0</v>
      </c>
      <c r="T1515" s="32" t="n">
        <v>0</v>
      </c>
      <c r="U1515" s="31" t="n">
        <v>0</v>
      </c>
      <c r="V1515" s="31" t="n">
        <v>0</v>
      </c>
      <c r="W1515" s="3" t="n">
        <v>0</v>
      </c>
      <c r="X1515" s="3" t="n">
        <v>0</v>
      </c>
      <c r="Y1515" s="32" t="n">
        <v>0</v>
      </c>
      <c r="Z1515" s="3" t="n">
        <v>0</v>
      </c>
      <c r="AA1515" s="32" t="n">
        <v>0</v>
      </c>
      <c r="AB1515" s="3" t="n"/>
      <c r="AC1515" s="31" t="n">
        <v>0</v>
      </c>
      <c r="AD1515" s="2" t="n">
        <v>0</v>
      </c>
      <c r="AE1515" s="2" t="n">
        <v>19</v>
      </c>
      <c r="AF1515" s="4" t="n">
        <v>19</v>
      </c>
      <c r="AG1515" s="33" t="n">
        <v>0</v>
      </c>
      <c r="AH1515" s="4" t="n">
        <v>0</v>
      </c>
      <c r="AI1515" s="34" t="n"/>
      <c r="AJ1515" s="34" t="n">
        <v>0</v>
      </c>
      <c r="AK1515" s="2" t="n">
        <v>0</v>
      </c>
      <c r="AL1515" t="inlineStr">
        <is>
          <t>Published</t>
        </is>
      </c>
    </row>
    <row r="1516">
      <c r="A1516">
        <f>HYPERLINK("https://www.walmart.com/ip/363481715", "363481715")</f>
        <v/>
      </c>
      <c r="B1516">
        <f>HYPERLINK("https://app.optiwise.ai/catalog/itemdetails/361045", "Waterproof Blanket for Bed, Reversible Baby Pet Doggy Pee Proof Fleece Blankets, Large Couch Sofa Cover Furniture Boat Mattress Protector, King Size 80x90 inches")</f>
        <v/>
      </c>
      <c r="C1516" t="inlineStr">
        <is>
          <t>1CTBW982TPTP</t>
        </is>
      </c>
      <c r="D1516" t="inlineStr">
        <is>
          <t>Bedding</t>
        </is>
      </c>
      <c r="E1516" t="inlineStr">
        <is>
          <t>Throws</t>
        </is>
      </c>
      <c r="F1516" t="inlineStr">
        <is>
          <t>Catalonia</t>
        </is>
      </c>
      <c r="G1516" t="n">
        <v>4.2</v>
      </c>
      <c r="H1516" t="n">
        <v>21</v>
      </c>
      <c r="I1516" t="inlineStr">
        <is>
          <t>Wproof Blanket,Fleece Blankets,Batch 1 - TR</t>
        </is>
      </c>
      <c r="J1516" s="29" t="n">
        <v>0</v>
      </c>
      <c r="K1516" s="30" t="n"/>
      <c r="L1516" s="29" t="n">
        <v>0</v>
      </c>
      <c r="M1516" s="29" t="n">
        <v>59.9900016784668</v>
      </c>
      <c r="N1516" s="2" t="n">
        <v>0</v>
      </c>
      <c r="O1516" s="31" t="n">
        <v>2.39</v>
      </c>
      <c r="P1516" s="32" t="n">
        <v>0.0003</v>
      </c>
      <c r="Q1516" s="32" t="n">
        <v>0</v>
      </c>
      <c r="R1516" s="32" t="n">
        <v>0.0398</v>
      </c>
      <c r="S1516" s="31" t="n">
        <v>16.73</v>
      </c>
      <c r="T1516" s="32" t="n">
        <v>0.06</v>
      </c>
      <c r="U1516" s="31" t="n">
        <v>39.99</v>
      </c>
      <c r="V1516" s="31" t="n">
        <v>39.99</v>
      </c>
      <c r="W1516" s="3" t="n">
        <v>11179</v>
      </c>
      <c r="X1516" s="3" t="n">
        <v>8</v>
      </c>
      <c r="Y1516" s="32" t="n">
        <v>0.0007</v>
      </c>
      <c r="Z1516" s="3" t="n">
        <v>1</v>
      </c>
      <c r="AA1516" s="32" t="n">
        <v>0.125</v>
      </c>
      <c r="AB1516" s="3" t="inlineStr">
        <is>
          <t>Auto for BW Indoor,Auto for Top sale---Rachel,Throws_Manual_Optiwise_24</t>
        </is>
      </c>
      <c r="AC1516" s="31" t="n">
        <v>0.3</v>
      </c>
      <c r="AD1516" s="2" t="n">
        <v>0</v>
      </c>
      <c r="AE1516" s="2" t="n">
        <v>185</v>
      </c>
      <c r="AF1516" s="4" t="n">
        <v>177</v>
      </c>
      <c r="AG1516" s="33" t="n">
        <v>-39.99</v>
      </c>
      <c r="AH1516" s="4" t="n">
        <v>-1</v>
      </c>
      <c r="AI1516" s="34" t="n">
        <v>-0.0056</v>
      </c>
      <c r="AJ1516" s="34" t="n">
        <v>0</v>
      </c>
      <c r="AK1516" s="2" t="n">
        <v>0</v>
      </c>
      <c r="AL1516" t="inlineStr">
        <is>
          <t>Published</t>
        </is>
      </c>
    </row>
    <row r="1517">
      <c r="A1517">
        <f>HYPERLINK("https://www.walmart.com/ip/518895262", "518895262")</f>
        <v/>
      </c>
      <c r="B1517">
        <f>HYPERLINK("https://app.optiwise.ai/catalog/itemdetails/361044", "Women's Sherpa Bathrobe, Soft Warm Fleece Long Robe, Shawl Collar, Comfy, Full Length")</f>
        <v/>
      </c>
      <c r="C1517" t="inlineStr">
        <is>
          <t>1CTRB510BL-01</t>
        </is>
      </c>
      <c r="D1517" t="inlineStr">
        <is>
          <t>Clothing</t>
        </is>
      </c>
      <c r="E1517" t="inlineStr">
        <is>
          <t>Sleepwear Robes &amp; Bathrobes</t>
        </is>
      </c>
      <c r="F1517" t="inlineStr">
        <is>
          <t>Catalonia</t>
        </is>
      </c>
      <c r="G1517" t="n">
        <v>0</v>
      </c>
      <c r="H1517" t="n">
        <v>0</v>
      </c>
      <c r="I1517" t="inlineStr">
        <is>
          <t>WFS,Bathrobe,WFS Item</t>
        </is>
      </c>
      <c r="J1517" s="29" t="n">
        <v>0</v>
      </c>
      <c r="K1517" s="30" t="n"/>
      <c r="L1517" s="29" t="n">
        <v>0</v>
      </c>
      <c r="M1517" s="29" t="n">
        <v>0</v>
      </c>
      <c r="N1517" s="2" t="n">
        <v>0</v>
      </c>
      <c r="O1517" s="31" t="n">
        <v>0</v>
      </c>
      <c r="P1517" s="32" t="n"/>
      <c r="Q1517" s="32" t="n">
        <v>0</v>
      </c>
      <c r="R1517" s="32" t="n">
        <v>0</v>
      </c>
      <c r="S1517" s="31" t="n">
        <v>0</v>
      </c>
      <c r="T1517" s="32" t="n">
        <v>0</v>
      </c>
      <c r="U1517" s="31" t="n">
        <v>0</v>
      </c>
      <c r="V1517" s="31" t="n">
        <v>0</v>
      </c>
      <c r="W1517" s="3" t="n">
        <v>0</v>
      </c>
      <c r="X1517" s="3" t="n">
        <v>0</v>
      </c>
      <c r="Y1517" s="32" t="n">
        <v>0</v>
      </c>
      <c r="Z1517" s="3" t="n">
        <v>0</v>
      </c>
      <c r="AA1517" s="32" t="n">
        <v>0</v>
      </c>
      <c r="AB1517" s="3" t="n"/>
      <c r="AC1517" s="31" t="n">
        <v>0</v>
      </c>
      <c r="AD1517" s="2" t="n">
        <v>0</v>
      </c>
      <c r="AE1517" s="2" t="n">
        <v>1</v>
      </c>
      <c r="AF1517" s="4" t="n">
        <v>1</v>
      </c>
      <c r="AG1517" s="33" t="n">
        <v>0</v>
      </c>
      <c r="AH1517" s="4" t="n">
        <v>0</v>
      </c>
      <c r="AI1517" s="34" t="n"/>
      <c r="AJ1517" s="34" t="n">
        <v>0</v>
      </c>
      <c r="AK1517" s="2" t="n">
        <v>0</v>
      </c>
      <c r="AL1517" t="inlineStr">
        <is>
          <t>Published</t>
        </is>
      </c>
    </row>
    <row r="1518">
      <c r="A1518">
        <f>HYPERLINK("https://www.walmart.com/ip/935279484", "935279484")</f>
        <v/>
      </c>
      <c r="B1518">
        <f>HYPERLINK("https://app.optiwise.ai/catalog/itemdetails/361037", "Tirrinia Unisex Surf Poncho Changing Towel Robe for Adult Surfer Swimmer Outdoor Beach Black")</f>
        <v/>
      </c>
      <c r="C1518" t="inlineStr">
        <is>
          <t>1WMBR100-BK</t>
        </is>
      </c>
      <c r="D1518" t="inlineStr">
        <is>
          <t>Clothing</t>
        </is>
      </c>
      <c r="E1518" t="inlineStr">
        <is>
          <t>Sleepwear Robes &amp; Bathrobes</t>
        </is>
      </c>
      <c r="F1518" t="inlineStr">
        <is>
          <t>Flyingstar</t>
        </is>
      </c>
      <c r="G1518" t="n">
        <v>5</v>
      </c>
      <c r="H1518" t="n">
        <v>1</v>
      </c>
      <c r="I1518" t="inlineStr">
        <is>
          <t>Optimized,Beach Robe Camp</t>
        </is>
      </c>
      <c r="J1518" s="29" t="n">
        <v>0</v>
      </c>
      <c r="K1518" s="30" t="n"/>
      <c r="L1518" s="29" t="n">
        <v>0</v>
      </c>
      <c r="M1518" s="29" t="n">
        <v>0</v>
      </c>
      <c r="N1518" s="2" t="n">
        <v>0</v>
      </c>
      <c r="O1518" s="31" t="n">
        <v>0</v>
      </c>
      <c r="P1518" s="32" t="n"/>
      <c r="Q1518" s="32" t="n">
        <v>0</v>
      </c>
      <c r="R1518" s="32" t="n">
        <v>0</v>
      </c>
      <c r="S1518" s="31" t="n">
        <v>0</v>
      </c>
      <c r="T1518" s="32" t="n">
        <v>0</v>
      </c>
      <c r="U1518" s="31" t="n">
        <v>0</v>
      </c>
      <c r="V1518" s="31" t="n">
        <v>0</v>
      </c>
      <c r="W1518" s="3" t="n">
        <v>0</v>
      </c>
      <c r="X1518" s="3" t="n">
        <v>0</v>
      </c>
      <c r="Y1518" s="32" t="n">
        <v>0</v>
      </c>
      <c r="Z1518" s="3" t="n">
        <v>0</v>
      </c>
      <c r="AA1518" s="32" t="n">
        <v>0</v>
      </c>
      <c r="AB1518" s="3" t="n"/>
      <c r="AC1518" s="31" t="n">
        <v>0</v>
      </c>
      <c r="AD1518" s="2" t="n">
        <v>0</v>
      </c>
      <c r="AE1518" s="2" t="n">
        <v>2</v>
      </c>
      <c r="AF1518" s="4" t="n">
        <v>2</v>
      </c>
      <c r="AG1518" s="33" t="n">
        <v>0</v>
      </c>
      <c r="AH1518" s="4" t="n">
        <v>0</v>
      </c>
      <c r="AI1518" s="34" t="n"/>
      <c r="AJ1518" s="34" t="n">
        <v>0</v>
      </c>
      <c r="AK1518" s="2" t="n">
        <v>0</v>
      </c>
      <c r="AL1518" t="inlineStr">
        <is>
          <t>Published</t>
        </is>
      </c>
    </row>
    <row r="1519">
      <c r="A1519">
        <f>HYPERLINK("https://www.walmart.com/ip/113394835", "113394835")</f>
        <v/>
      </c>
      <c r="B1519">
        <f>HYPERLINK("https://app.optiwise.ai/catalog/itemdetails/361013", "KC Caps® Cotton Twill Deluxe Super Soft Mesh Adjustable Snapback Low Profile Trucker Baseball Cap")</f>
        <v/>
      </c>
      <c r="C1519" t="inlineStr">
        <is>
          <t>KCCAPSSZK641CB/ST</t>
        </is>
      </c>
      <c r="D1519" t="inlineStr">
        <is>
          <t>Clothing</t>
        </is>
      </c>
      <c r="E1519" t="inlineStr">
        <is>
          <t>Hats</t>
        </is>
      </c>
      <c r="F1519" t="inlineStr">
        <is>
          <t>KC Caps</t>
        </is>
      </c>
      <c r="G1519" t="n">
        <v>0</v>
      </c>
      <c r="H1519" t="n">
        <v>0</v>
      </c>
      <c r="I1519" t="inlineStr">
        <is>
          <t>Optimized</t>
        </is>
      </c>
      <c r="J1519" s="29" t="n">
        <v>0</v>
      </c>
      <c r="K1519" s="30" t="n"/>
      <c r="L1519" s="29" t="n">
        <v>0</v>
      </c>
      <c r="M1519" s="29" t="n">
        <v>0</v>
      </c>
      <c r="N1519" s="2" t="n">
        <v>0</v>
      </c>
      <c r="O1519" s="31" t="n">
        <v>0</v>
      </c>
      <c r="P1519" s="32" t="n"/>
      <c r="Q1519" s="32" t="n">
        <v>0</v>
      </c>
      <c r="R1519" s="32" t="n">
        <v>0</v>
      </c>
      <c r="S1519" s="31" t="n">
        <v>0</v>
      </c>
      <c r="T1519" s="32" t="n">
        <v>0</v>
      </c>
      <c r="U1519" s="31" t="n">
        <v>0</v>
      </c>
      <c r="V1519" s="31" t="n">
        <v>0</v>
      </c>
      <c r="W1519" s="3" t="n">
        <v>0</v>
      </c>
      <c r="X1519" s="3" t="n">
        <v>0</v>
      </c>
      <c r="Y1519" s="32" t="n">
        <v>0</v>
      </c>
      <c r="Z1519" s="3" t="n">
        <v>0</v>
      </c>
      <c r="AA1519" s="32" t="n">
        <v>0</v>
      </c>
      <c r="AB1519" s="3" t="n"/>
      <c r="AC1519" s="31" t="n">
        <v>0</v>
      </c>
      <c r="AD1519" s="2" t="n">
        <v>0</v>
      </c>
      <c r="AE1519" s="2" t="n">
        <v>1</v>
      </c>
      <c r="AF1519" s="4" t="n">
        <v>1</v>
      </c>
      <c r="AG1519" s="33" t="n">
        <v>0</v>
      </c>
      <c r="AH1519" s="4" t="n">
        <v>0</v>
      </c>
      <c r="AI1519" s="34" t="n"/>
      <c r="AJ1519" s="34" t="n">
        <v>0</v>
      </c>
      <c r="AK1519" s="2" t="n">
        <v>0</v>
      </c>
      <c r="AL1519" t="inlineStr">
        <is>
          <t>Published</t>
        </is>
      </c>
    </row>
    <row r="1520">
      <c r="A1520">
        <f>HYPERLINK("https://www.walmart.com/ip/504587551", "504587551")</f>
        <v/>
      </c>
      <c r="B1520">
        <f>HYPERLINK("https://app.optiwise.ai/catalog/itemdetails/361035", "Tirrinia Insulated 2 Bottle Wine Carrier Tote Cooler Bag for Travel Picnic Padded Champagne Glass")</f>
        <v/>
      </c>
      <c r="C1520" t="inlineStr">
        <is>
          <t>1WMWB231DBL</t>
        </is>
      </c>
      <c r="D1520" t="inlineStr">
        <is>
          <t>Home Decor, Kitchen, &amp; Other</t>
        </is>
      </c>
      <c r="E1520" t="inlineStr">
        <is>
          <t>Wine Totes, Bags &amp; Backpacks</t>
        </is>
      </c>
      <c r="F1520" t="inlineStr">
        <is>
          <t>Flyingstar</t>
        </is>
      </c>
      <c r="G1520" t="n">
        <v>0</v>
      </c>
      <c r="H1520" t="n">
        <v>0</v>
      </c>
      <c r="I1520" t="inlineStr">
        <is>
          <t>Wine,Christmas,Valentine</t>
        </is>
      </c>
      <c r="J1520" s="29" t="n">
        <v>0</v>
      </c>
      <c r="K1520" s="30" t="n"/>
      <c r="L1520" s="29" t="n">
        <v>0</v>
      </c>
      <c r="M1520" s="29" t="n">
        <v>0</v>
      </c>
      <c r="N1520" s="2" t="n">
        <v>0</v>
      </c>
      <c r="O1520" s="31" t="n">
        <v>0</v>
      </c>
      <c r="P1520" s="32" t="n"/>
      <c r="Q1520" s="32" t="n">
        <v>0</v>
      </c>
      <c r="R1520" s="32" t="n">
        <v>0</v>
      </c>
      <c r="S1520" s="31" t="n">
        <v>0</v>
      </c>
      <c r="T1520" s="32" t="n">
        <v>0</v>
      </c>
      <c r="U1520" s="31" t="n">
        <v>0</v>
      </c>
      <c r="V1520" s="31" t="n">
        <v>0</v>
      </c>
      <c r="W1520" s="3" t="n">
        <v>0</v>
      </c>
      <c r="X1520" s="3" t="n">
        <v>0</v>
      </c>
      <c r="Y1520" s="32" t="n">
        <v>0</v>
      </c>
      <c r="Z1520" s="3" t="n">
        <v>0</v>
      </c>
      <c r="AA1520" s="32" t="n">
        <v>0</v>
      </c>
      <c r="AB1520" s="3" t="n"/>
      <c r="AC1520" s="31" t="n">
        <v>0</v>
      </c>
      <c r="AD1520" s="2" t="n">
        <v>0</v>
      </c>
      <c r="AE1520" s="2" t="n">
        <v>0</v>
      </c>
      <c r="AF1520" s="4" t="n">
        <v>0</v>
      </c>
      <c r="AG1520" s="33" t="n">
        <v>0</v>
      </c>
      <c r="AH1520" s="4" t="n">
        <v>0</v>
      </c>
      <c r="AI1520" s="34" t="n"/>
      <c r="AJ1520" s="34" t="n">
        <v>0</v>
      </c>
      <c r="AK1520" s="2" t="n">
        <v>0</v>
      </c>
      <c r="AL1520" t="inlineStr">
        <is>
          <t>Published</t>
        </is>
      </c>
    </row>
    <row r="1521">
      <c r="A1521">
        <f>HYPERLINK("https://www.walmart.com/ip/731972430", "731972430")</f>
        <v/>
      </c>
      <c r="B1521">
        <f>HYPERLINK("https://app.optiwise.ai/catalog/itemdetails/361032", "Canadian Flag Sherpa Throw Blanket, Super Cozy Fleece Plush Bed Throw TV Blankets Reversible for Bed or Couch  50 x 60 | Catalonia series by Terrania | Canadian Flag")</f>
        <v/>
      </c>
      <c r="C1521" t="inlineStr">
        <is>
          <t>1TRBF300CAD-TPCB</t>
        </is>
      </c>
      <c r="D1521" t="inlineStr">
        <is>
          <t>Bedding</t>
        </is>
      </c>
      <c r="E1521" t="inlineStr">
        <is>
          <t>Throws</t>
        </is>
      </c>
      <c r="F1521" t="inlineStr">
        <is>
          <t>Tirrinia</t>
        </is>
      </c>
      <c r="G1521" t="n">
        <v>5</v>
      </c>
      <c r="H1521" t="n">
        <v>2</v>
      </c>
      <c r="I1521" t="inlineStr">
        <is>
          <t>Batch 1 - TR</t>
        </is>
      </c>
      <c r="J1521" s="29" t="n">
        <v>0</v>
      </c>
      <c r="K1521" s="30" t="n"/>
      <c r="L1521" s="29" t="n">
        <v>0</v>
      </c>
      <c r="M1521" s="29" t="n">
        <v>0</v>
      </c>
      <c r="N1521" s="2" t="n">
        <v>0</v>
      </c>
      <c r="O1521" s="31" t="n">
        <v>0</v>
      </c>
      <c r="P1521" s="32" t="n"/>
      <c r="Q1521" s="32" t="n">
        <v>0</v>
      </c>
      <c r="R1521" s="32" t="n">
        <v>0</v>
      </c>
      <c r="S1521" s="31" t="n">
        <v>0</v>
      </c>
      <c r="T1521" s="32" t="n">
        <v>0</v>
      </c>
      <c r="U1521" s="31" t="n">
        <v>0</v>
      </c>
      <c r="V1521" s="31" t="n">
        <v>0</v>
      </c>
      <c r="W1521" s="3" t="n">
        <v>0</v>
      </c>
      <c r="X1521" s="3" t="n">
        <v>0</v>
      </c>
      <c r="Y1521" s="32" t="n">
        <v>0</v>
      </c>
      <c r="Z1521" s="3" t="n">
        <v>0</v>
      </c>
      <c r="AA1521" s="32" t="n">
        <v>0</v>
      </c>
      <c r="AB1521" s="3" t="n"/>
      <c r="AC1521" s="31" t="n">
        <v>0</v>
      </c>
      <c r="AD1521" s="2" t="n">
        <v>0</v>
      </c>
      <c r="AE1521" s="2" t="n">
        <v>9</v>
      </c>
      <c r="AF1521" s="4" t="n">
        <v>9</v>
      </c>
      <c r="AG1521" s="33" t="n">
        <v>0</v>
      </c>
      <c r="AH1521" s="4" t="n">
        <v>0</v>
      </c>
      <c r="AI1521" s="34" t="n"/>
      <c r="AJ1521" s="34" t="n">
        <v>0</v>
      </c>
      <c r="AK1521" s="2" t="n">
        <v>0</v>
      </c>
      <c r="AL1521" t="inlineStr">
        <is>
          <t>Published</t>
        </is>
      </c>
    </row>
    <row r="1522">
      <c r="A1522">
        <f>HYPERLINK("https://www.walmart.com/ip/662884176", "662884176")</f>
        <v/>
      </c>
      <c r="B1522">
        <f>HYPERLINK("https://app.optiwise.ai/catalog/itemdetails/361030", "Two-Piece Tankini Swimsuit for Women Open Back Swimwear Suits Bathing Set by Tirrinia")</f>
        <v/>
      </c>
      <c r="C1522" t="inlineStr">
        <is>
          <t>1TRSS005BK-M</t>
        </is>
      </c>
      <c r="D1522" t="inlineStr">
        <is>
          <t>Clothing</t>
        </is>
      </c>
      <c r="E1522" t="inlineStr">
        <is>
          <t>Bikini &amp; Tankini Tops</t>
        </is>
      </c>
      <c r="F1522" t="inlineStr">
        <is>
          <t>Tirrinia</t>
        </is>
      </c>
      <c r="G1522" t="n">
        <v>0</v>
      </c>
      <c r="H1522" t="n">
        <v>0</v>
      </c>
      <c r="I1522" t="inlineStr">
        <is>
          <t>Optimized</t>
        </is>
      </c>
      <c r="J1522" s="29" t="n">
        <v>0</v>
      </c>
      <c r="K1522" s="30" t="n"/>
      <c r="L1522" s="29" t="n">
        <v>0</v>
      </c>
      <c r="M1522" s="29" t="n">
        <v>0</v>
      </c>
      <c r="N1522" s="2" t="n">
        <v>0</v>
      </c>
      <c r="O1522" s="31" t="n">
        <v>0</v>
      </c>
      <c r="P1522" s="32" t="n"/>
      <c r="Q1522" s="32" t="n">
        <v>0</v>
      </c>
      <c r="R1522" s="32" t="n">
        <v>0</v>
      </c>
      <c r="S1522" s="31" t="n">
        <v>0</v>
      </c>
      <c r="T1522" s="32" t="n">
        <v>0</v>
      </c>
      <c r="U1522" s="31" t="n">
        <v>0</v>
      </c>
      <c r="V1522" s="31" t="n">
        <v>0</v>
      </c>
      <c r="W1522" s="3" t="n">
        <v>0</v>
      </c>
      <c r="X1522" s="3" t="n">
        <v>0</v>
      </c>
      <c r="Y1522" s="32" t="n">
        <v>0</v>
      </c>
      <c r="Z1522" s="3" t="n">
        <v>0</v>
      </c>
      <c r="AA1522" s="32" t="n">
        <v>0</v>
      </c>
      <c r="AB1522" s="3" t="n"/>
      <c r="AC1522" s="31" t="n">
        <v>0</v>
      </c>
      <c r="AD1522" s="2" t="n">
        <v>0</v>
      </c>
      <c r="AE1522" s="2" t="n">
        <v>1</v>
      </c>
      <c r="AF1522" s="4" t="n">
        <v>1</v>
      </c>
      <c r="AG1522" s="33" t="n">
        <v>0</v>
      </c>
      <c r="AH1522" s="4" t="n">
        <v>0</v>
      </c>
      <c r="AI1522" s="34" t="n"/>
      <c r="AJ1522" s="34" t="n">
        <v>0</v>
      </c>
      <c r="AK1522" s="2" t="n">
        <v>0</v>
      </c>
      <c r="AL1522" t="inlineStr">
        <is>
          <t>Published</t>
        </is>
      </c>
    </row>
    <row r="1523">
      <c r="A1523">
        <f>HYPERLINK("https://www.walmart.com/ip/798889565", "798889565")</f>
        <v/>
      </c>
      <c r="B1523">
        <f>HYPERLINK("https://app.optiwise.ai/catalog/itemdetails/361028", "Terra Cool Mens Baseball Cap Hat Camo Pattern Printed Flat Bill Buckle Closure")</f>
        <v/>
      </c>
      <c r="C1523" t="inlineStr">
        <is>
          <t>TERRACAP-B010</t>
        </is>
      </c>
      <c r="D1523" t="inlineStr">
        <is>
          <t>Clothing</t>
        </is>
      </c>
      <c r="E1523" t="inlineStr">
        <is>
          <t>Hats</t>
        </is>
      </c>
      <c r="F1523" t="inlineStr">
        <is>
          <t>Terra</t>
        </is>
      </c>
      <c r="G1523" t="n">
        <v>0</v>
      </c>
      <c r="H1523" t="n">
        <v>0</v>
      </c>
      <c r="I1523" t="inlineStr">
        <is>
          <t>Optimized</t>
        </is>
      </c>
      <c r="J1523" s="29" t="n">
        <v>0</v>
      </c>
      <c r="K1523" s="30" t="n"/>
      <c r="L1523" s="29" t="n">
        <v>0</v>
      </c>
      <c r="M1523" s="29" t="n">
        <v>0</v>
      </c>
      <c r="N1523" s="2" t="n">
        <v>0</v>
      </c>
      <c r="O1523" s="31" t="n">
        <v>0</v>
      </c>
      <c r="P1523" s="32" t="n"/>
      <c r="Q1523" s="32" t="n">
        <v>0</v>
      </c>
      <c r="R1523" s="32" t="n">
        <v>0</v>
      </c>
      <c r="S1523" s="31" t="n">
        <v>0</v>
      </c>
      <c r="T1523" s="32" t="n">
        <v>0</v>
      </c>
      <c r="U1523" s="31" t="n">
        <v>0</v>
      </c>
      <c r="V1523" s="31" t="n">
        <v>0</v>
      </c>
      <c r="W1523" s="3" t="n">
        <v>0</v>
      </c>
      <c r="X1523" s="3" t="n">
        <v>0</v>
      </c>
      <c r="Y1523" s="32" t="n">
        <v>0</v>
      </c>
      <c r="Z1523" s="3" t="n">
        <v>0</v>
      </c>
      <c r="AA1523" s="32" t="n">
        <v>0</v>
      </c>
      <c r="AB1523" s="3" t="n"/>
      <c r="AC1523" s="31" t="n">
        <v>0</v>
      </c>
      <c r="AD1523" s="2" t="n">
        <v>0</v>
      </c>
      <c r="AE1523" s="2" t="n">
        <v>1</v>
      </c>
      <c r="AF1523" s="4" t="n">
        <v>1</v>
      </c>
      <c r="AG1523" s="33" t="n">
        <v>0</v>
      </c>
      <c r="AH1523" s="4" t="n">
        <v>0</v>
      </c>
      <c r="AI1523" s="34" t="n"/>
      <c r="AJ1523" s="34" t="n">
        <v>0</v>
      </c>
      <c r="AK1523" s="2" t="n">
        <v>0</v>
      </c>
      <c r="AL1523" t="inlineStr">
        <is>
          <t>Published</t>
        </is>
      </c>
    </row>
    <row r="1524">
      <c r="A1524">
        <f>HYPERLINK("https://www.walmart.com/ip/166213689", "166213689")</f>
        <v/>
      </c>
      <c r="B1524">
        <f>HYPERLINK("https://app.optiwise.ai/catalog/itemdetails/361027", "Tirrinia Insulated 2 Bottle Wine Carrier Tote Cooler Bag for Travel Picnic Padded Champagne Glass")</f>
        <v/>
      </c>
      <c r="C1524" t="inlineStr">
        <is>
          <t>1WMWB231RD</t>
        </is>
      </c>
      <c r="D1524" t="inlineStr">
        <is>
          <t>Home Decor, Kitchen, &amp; Other</t>
        </is>
      </c>
      <c r="E1524" t="inlineStr">
        <is>
          <t>Wine Totes, Bags &amp; Backpacks</t>
        </is>
      </c>
      <c r="F1524" t="inlineStr">
        <is>
          <t>Flyingstar</t>
        </is>
      </c>
      <c r="G1524" t="n">
        <v>0</v>
      </c>
      <c r="H1524" t="n">
        <v>0</v>
      </c>
      <c r="I1524" t="inlineStr">
        <is>
          <t>Wine,Christmas,Valentine,SEM</t>
        </is>
      </c>
      <c r="J1524" s="29" t="n">
        <v>0</v>
      </c>
      <c r="K1524" s="30" t="n"/>
      <c r="L1524" s="29" t="n">
        <v>0</v>
      </c>
      <c r="M1524" s="29" t="n">
        <v>0</v>
      </c>
      <c r="N1524" s="2" t="n">
        <v>0</v>
      </c>
      <c r="O1524" s="31" t="n">
        <v>0</v>
      </c>
      <c r="P1524" s="32" t="n"/>
      <c r="Q1524" s="32" t="n">
        <v>0</v>
      </c>
      <c r="R1524" s="32" t="n">
        <v>0</v>
      </c>
      <c r="S1524" s="31" t="n">
        <v>0</v>
      </c>
      <c r="T1524" s="32" t="n">
        <v>0</v>
      </c>
      <c r="U1524" s="31" t="n">
        <v>0</v>
      </c>
      <c r="V1524" s="31" t="n">
        <v>0</v>
      </c>
      <c r="W1524" s="3" t="n">
        <v>0</v>
      </c>
      <c r="X1524" s="3" t="n">
        <v>0</v>
      </c>
      <c r="Y1524" s="32" t="n">
        <v>0</v>
      </c>
      <c r="Z1524" s="3" t="n">
        <v>0</v>
      </c>
      <c r="AA1524" s="32" t="n">
        <v>0</v>
      </c>
      <c r="AB1524" s="3" t="n"/>
      <c r="AC1524" s="31" t="n">
        <v>0</v>
      </c>
      <c r="AD1524" s="2" t="n">
        <v>0</v>
      </c>
      <c r="AE1524" s="2" t="n">
        <v>1</v>
      </c>
      <c r="AF1524" s="4" t="n">
        <v>1</v>
      </c>
      <c r="AG1524" s="33" t="n">
        <v>0</v>
      </c>
      <c r="AH1524" s="4" t="n">
        <v>0</v>
      </c>
      <c r="AI1524" s="34" t="n"/>
      <c r="AJ1524" s="34" t="n">
        <v>0</v>
      </c>
      <c r="AK1524" s="2" t="n">
        <v>0</v>
      </c>
      <c r="AL1524" t="inlineStr">
        <is>
          <t>Published</t>
        </is>
      </c>
    </row>
    <row r="1525">
      <c r="A1525">
        <f>HYPERLINK("https://www.walmart.com/ip/166351340", "166351340")</f>
        <v/>
      </c>
      <c r="B1525">
        <f>HYPERLINK("https://app.optiwise.ai/catalog/itemdetails/361024", "KC Caps Washed Cotton Twill Hat")</f>
        <v/>
      </c>
      <c r="C1525" t="inlineStr">
        <is>
          <t>KCS4130LIME</t>
        </is>
      </c>
      <c r="D1525" t="inlineStr">
        <is>
          <t>Clothing</t>
        </is>
      </c>
      <c r="E1525" t="inlineStr">
        <is>
          <t>Hats</t>
        </is>
      </c>
      <c r="F1525" t="inlineStr">
        <is>
          <t>KC Caps</t>
        </is>
      </c>
      <c r="G1525" t="n">
        <v>0</v>
      </c>
      <c r="H1525" t="n">
        <v>0</v>
      </c>
      <c r="I1525" t="inlineStr">
        <is>
          <t>Optimized</t>
        </is>
      </c>
      <c r="J1525" s="29" t="n">
        <v>0</v>
      </c>
      <c r="K1525" s="30" t="n"/>
      <c r="L1525" s="29" t="n">
        <v>0</v>
      </c>
      <c r="M1525" s="29" t="n">
        <v>0</v>
      </c>
      <c r="N1525" s="2" t="n">
        <v>0</v>
      </c>
      <c r="O1525" s="31" t="n">
        <v>0</v>
      </c>
      <c r="P1525" s="32" t="n"/>
      <c r="Q1525" s="32" t="n">
        <v>0</v>
      </c>
      <c r="R1525" s="32" t="n">
        <v>0</v>
      </c>
      <c r="S1525" s="31" t="n">
        <v>0</v>
      </c>
      <c r="T1525" s="32" t="n">
        <v>0</v>
      </c>
      <c r="U1525" s="31" t="n">
        <v>0</v>
      </c>
      <c r="V1525" s="31" t="n">
        <v>0</v>
      </c>
      <c r="W1525" s="3" t="n">
        <v>0</v>
      </c>
      <c r="X1525" s="3" t="n">
        <v>0</v>
      </c>
      <c r="Y1525" s="32" t="n">
        <v>0</v>
      </c>
      <c r="Z1525" s="3" t="n">
        <v>0</v>
      </c>
      <c r="AA1525" s="32" t="n">
        <v>0</v>
      </c>
      <c r="AB1525" s="3" t="n"/>
      <c r="AC1525" s="31" t="n">
        <v>0</v>
      </c>
      <c r="AD1525" s="2" t="n">
        <v>0</v>
      </c>
      <c r="AE1525" s="2" t="n">
        <v>2</v>
      </c>
      <c r="AF1525" s="4" t="n">
        <v>2</v>
      </c>
      <c r="AG1525" s="33" t="n">
        <v>0</v>
      </c>
      <c r="AH1525" s="4" t="n">
        <v>0</v>
      </c>
      <c r="AI1525" s="34" t="n"/>
      <c r="AJ1525" s="34" t="n">
        <v>0</v>
      </c>
      <c r="AK1525" s="2" t="n">
        <v>0</v>
      </c>
      <c r="AL1525" t="inlineStr">
        <is>
          <t>Published</t>
        </is>
      </c>
    </row>
    <row r="1526">
      <c r="A1526">
        <f>HYPERLINK("https://www.walmart.com/ip/383776855", "383776855")</f>
        <v/>
      </c>
      <c r="B1526">
        <f>HYPERLINK("https://app.optiwise.ai/catalog/itemdetails/361023", "Tirrinia Super Soft Fluffy Hooded Robe Long Plush Fuzzy Bathrobe for Women with Hood Sherpa Lined, Machine Washable, Black")</f>
        <v/>
      </c>
      <c r="C1526" t="inlineStr">
        <is>
          <t>1TRRB100BK</t>
        </is>
      </c>
      <c r="D1526" t="inlineStr">
        <is>
          <t>Clothing</t>
        </is>
      </c>
      <c r="E1526" t="inlineStr">
        <is>
          <t>Sleepwear Robes &amp; Bathrobes</t>
        </is>
      </c>
      <c r="F1526" t="inlineStr">
        <is>
          <t>Tirrinia</t>
        </is>
      </c>
      <c r="G1526" t="n">
        <v>0</v>
      </c>
      <c r="H1526" t="n">
        <v>0</v>
      </c>
      <c r="I1526" t="inlineStr">
        <is>
          <t>WFS,Bathrobe,Coupon_Discount,WFS Item</t>
        </is>
      </c>
      <c r="J1526" s="29" t="n">
        <v>0</v>
      </c>
      <c r="K1526" s="30" t="n"/>
      <c r="L1526" s="29" t="n">
        <v>0</v>
      </c>
      <c r="M1526" s="29" t="n">
        <v>0</v>
      </c>
      <c r="N1526" s="2" t="n">
        <v>0</v>
      </c>
      <c r="O1526" s="31" t="n">
        <v>0</v>
      </c>
      <c r="P1526" s="32" t="n"/>
      <c r="Q1526" s="32" t="n">
        <v>0</v>
      </c>
      <c r="R1526" s="32" t="n">
        <v>0</v>
      </c>
      <c r="S1526" s="31" t="n">
        <v>0</v>
      </c>
      <c r="T1526" s="32" t="n">
        <v>0</v>
      </c>
      <c r="U1526" s="31" t="n">
        <v>0</v>
      </c>
      <c r="V1526" s="31" t="n">
        <v>0</v>
      </c>
      <c r="W1526" s="3" t="n">
        <v>0</v>
      </c>
      <c r="X1526" s="3" t="n">
        <v>0</v>
      </c>
      <c r="Y1526" s="32" t="n">
        <v>0</v>
      </c>
      <c r="Z1526" s="3" t="n">
        <v>0</v>
      </c>
      <c r="AA1526" s="32" t="n">
        <v>0</v>
      </c>
      <c r="AB1526" s="3" t="n"/>
      <c r="AC1526" s="31" t="n">
        <v>0</v>
      </c>
      <c r="AD1526" s="2" t="n">
        <v>9</v>
      </c>
      <c r="AE1526" s="2" t="n">
        <v>58</v>
      </c>
      <c r="AF1526" s="4" t="n">
        <v>58</v>
      </c>
      <c r="AG1526" s="33" t="n">
        <v>0</v>
      </c>
      <c r="AH1526" s="4" t="n">
        <v>0</v>
      </c>
      <c r="AI1526" s="34" t="n"/>
      <c r="AJ1526" s="34" t="n">
        <v>0</v>
      </c>
      <c r="AK1526" s="2" t="n">
        <v>0</v>
      </c>
      <c r="AL1526" t="inlineStr">
        <is>
          <t>Published</t>
        </is>
      </c>
    </row>
    <row r="1527">
      <c r="A1527">
        <f>HYPERLINK("https://www.walmart.com/ip/258019827", "258019827")</f>
        <v/>
      </c>
      <c r="B1527">
        <f>HYPERLINK("https://app.optiwise.ai/catalog/itemdetails/361021", "Summer Outdoor UV Protection Sun Hats Unisex Caps Wide Brim Removable Crown Mesh Net Adjustable Drawstring")</f>
        <v/>
      </c>
      <c r="C1527" t="inlineStr">
        <is>
          <t>1SLSH895OL</t>
        </is>
      </c>
      <c r="D1527" t="inlineStr">
        <is>
          <t>Clothing</t>
        </is>
      </c>
      <c r="E1527" t="inlineStr">
        <is>
          <t>Hats</t>
        </is>
      </c>
      <c r="F1527" t="inlineStr">
        <is>
          <t>Solaris</t>
        </is>
      </c>
      <c r="G1527" t="n">
        <v>0</v>
      </c>
      <c r="H1527" t="n">
        <v>0</v>
      </c>
      <c r="I1527" t="inlineStr">
        <is>
          <t>Optimized</t>
        </is>
      </c>
      <c r="J1527" s="29" t="n">
        <v>0</v>
      </c>
      <c r="K1527" s="30" t="n"/>
      <c r="L1527" s="29" t="n">
        <v>0</v>
      </c>
      <c r="M1527" s="29" t="n">
        <v>0</v>
      </c>
      <c r="N1527" s="2" t="n">
        <v>0</v>
      </c>
      <c r="O1527" s="31" t="n">
        <v>0</v>
      </c>
      <c r="P1527" s="32" t="n"/>
      <c r="Q1527" s="32" t="n">
        <v>0</v>
      </c>
      <c r="R1527" s="32" t="n">
        <v>0</v>
      </c>
      <c r="S1527" s="31" t="n">
        <v>0</v>
      </c>
      <c r="T1527" s="32" t="n">
        <v>0</v>
      </c>
      <c r="U1527" s="31" t="n">
        <v>0</v>
      </c>
      <c r="V1527" s="31" t="n">
        <v>0</v>
      </c>
      <c r="W1527" s="3" t="n">
        <v>0</v>
      </c>
      <c r="X1527" s="3" t="n">
        <v>0</v>
      </c>
      <c r="Y1527" s="32" t="n">
        <v>0</v>
      </c>
      <c r="Z1527" s="3" t="n">
        <v>0</v>
      </c>
      <c r="AA1527" s="32" t="n">
        <v>0</v>
      </c>
      <c r="AB1527" s="3" t="n"/>
      <c r="AC1527" s="31" t="n">
        <v>0</v>
      </c>
      <c r="AD1527" s="2" t="n">
        <v>0</v>
      </c>
      <c r="AE1527" s="2" t="n">
        <v>9</v>
      </c>
      <c r="AF1527" s="4" t="n">
        <v>9</v>
      </c>
      <c r="AG1527" s="33" t="n">
        <v>0</v>
      </c>
      <c r="AH1527" s="4" t="n">
        <v>0</v>
      </c>
      <c r="AI1527" s="34" t="n"/>
      <c r="AJ1527" s="34" t="n">
        <v>0</v>
      </c>
      <c r="AK1527" s="2" t="n">
        <v>0</v>
      </c>
      <c r="AL1527" t="inlineStr">
        <is>
          <t>Published</t>
        </is>
      </c>
    </row>
    <row r="1528">
      <c r="A1528">
        <f>HYPERLINK("https://www.walmart.com/ip/121774049", "121774049")</f>
        <v/>
      </c>
      <c r="B1528">
        <f>HYPERLINK("https://app.optiwise.ai/catalog/itemdetails/361017", "KC Caps Youth Washed Bucket Hat One Size Fit Most")</f>
        <v/>
      </c>
      <c r="C1528" t="inlineStr">
        <is>
          <t>KC9180GN-Y</t>
        </is>
      </c>
      <c r="D1528" t="inlineStr">
        <is>
          <t>Clothing</t>
        </is>
      </c>
      <c r="E1528" t="inlineStr">
        <is>
          <t>Hats</t>
        </is>
      </c>
      <c r="F1528" t="inlineStr">
        <is>
          <t>KC Caps</t>
        </is>
      </c>
      <c r="G1528" t="n">
        <v>0</v>
      </c>
      <c r="H1528" t="n">
        <v>0</v>
      </c>
      <c r="I1528" t="inlineStr">
        <is>
          <t>Batch 1 - TR</t>
        </is>
      </c>
      <c r="J1528" s="29" t="n">
        <v>0</v>
      </c>
      <c r="K1528" s="30" t="n"/>
      <c r="L1528" s="29" t="n">
        <v>0</v>
      </c>
      <c r="M1528" s="29" t="n">
        <v>0</v>
      </c>
      <c r="N1528" s="2" t="n">
        <v>0</v>
      </c>
      <c r="O1528" s="31" t="n">
        <v>0</v>
      </c>
      <c r="P1528" s="32" t="n"/>
      <c r="Q1528" s="32" t="n">
        <v>0</v>
      </c>
      <c r="R1528" s="32" t="n">
        <v>0</v>
      </c>
      <c r="S1528" s="31" t="n">
        <v>0</v>
      </c>
      <c r="T1528" s="32" t="n">
        <v>0</v>
      </c>
      <c r="U1528" s="31" t="n">
        <v>0</v>
      </c>
      <c r="V1528" s="31" t="n">
        <v>0</v>
      </c>
      <c r="W1528" s="3" t="n">
        <v>0</v>
      </c>
      <c r="X1528" s="3" t="n">
        <v>0</v>
      </c>
      <c r="Y1528" s="32" t="n">
        <v>0</v>
      </c>
      <c r="Z1528" s="3" t="n">
        <v>0</v>
      </c>
      <c r="AA1528" s="32" t="n">
        <v>0</v>
      </c>
      <c r="AB1528" s="3" t="n"/>
      <c r="AC1528" s="31" t="n">
        <v>0</v>
      </c>
      <c r="AD1528" s="2" t="n">
        <v>0</v>
      </c>
      <c r="AE1528" s="2" t="n">
        <v>2</v>
      </c>
      <c r="AF1528" s="4" t="n">
        <v>2</v>
      </c>
      <c r="AG1528" s="33" t="n">
        <v>0</v>
      </c>
      <c r="AH1528" s="4" t="n">
        <v>0</v>
      </c>
      <c r="AI1528" s="34" t="n"/>
      <c r="AJ1528" s="34" t="n">
        <v>0</v>
      </c>
      <c r="AK1528" s="2" t="n">
        <v>0</v>
      </c>
      <c r="AL1528" t="inlineStr">
        <is>
          <t>Published</t>
        </is>
      </c>
    </row>
    <row r="1529">
      <c r="A1529">
        <f>HYPERLINK("https://www.walmart.com/ip/363932916", "363932916")</f>
        <v/>
      </c>
      <c r="B1529">
        <f>HYPERLINK("https://app.optiwise.ai/catalog/itemdetails/361015", "KC Caps® Large 2 Pocket Bib Cooking Restaurant Kitchen Chef Apron Dress Canvas")</f>
        <v/>
      </c>
      <c r="C1529" t="inlineStr">
        <is>
          <t>KC-A9324-NATURL</t>
        </is>
      </c>
      <c r="D1529" t="inlineStr">
        <is>
          <t>Home Decor, Kitchen, &amp; Other</t>
        </is>
      </c>
      <c r="E1529" t="inlineStr">
        <is>
          <t>Cooking Aprons</t>
        </is>
      </c>
      <c r="F1529" t="inlineStr">
        <is>
          <t>KC Caps</t>
        </is>
      </c>
      <c r="G1529" t="n">
        <v>0</v>
      </c>
      <c r="H1529" t="n">
        <v>0</v>
      </c>
      <c r="I1529" t="inlineStr">
        <is>
          <t>Batch 1 - TR</t>
        </is>
      </c>
      <c r="J1529" s="29" t="n">
        <v>0</v>
      </c>
      <c r="K1529" s="30" t="n"/>
      <c r="L1529" s="29" t="n">
        <v>0</v>
      </c>
      <c r="M1529" s="29" t="n">
        <v>0</v>
      </c>
      <c r="N1529" s="2" t="n">
        <v>0</v>
      </c>
      <c r="O1529" s="31" t="n">
        <v>0</v>
      </c>
      <c r="P1529" s="32" t="n"/>
      <c r="Q1529" s="32" t="n">
        <v>0</v>
      </c>
      <c r="R1529" s="32" t="n">
        <v>0</v>
      </c>
      <c r="S1529" s="31" t="n">
        <v>0</v>
      </c>
      <c r="T1529" s="32" t="n">
        <v>0</v>
      </c>
      <c r="U1529" s="31" t="n">
        <v>0</v>
      </c>
      <c r="V1529" s="31" t="n">
        <v>0</v>
      </c>
      <c r="W1529" s="3" t="n">
        <v>0</v>
      </c>
      <c r="X1529" s="3" t="n">
        <v>0</v>
      </c>
      <c r="Y1529" s="32" t="n">
        <v>0</v>
      </c>
      <c r="Z1529" s="3" t="n">
        <v>0</v>
      </c>
      <c r="AA1529" s="32" t="n">
        <v>0</v>
      </c>
      <c r="AB1529" s="3" t="n"/>
      <c r="AC1529" s="31" t="n">
        <v>0</v>
      </c>
      <c r="AD1529" s="2" t="n">
        <v>0</v>
      </c>
      <c r="AE1529" s="2" t="n">
        <v>6</v>
      </c>
      <c r="AF1529" s="4" t="n">
        <v>6</v>
      </c>
      <c r="AG1529" s="33" t="n">
        <v>0</v>
      </c>
      <c r="AH1529" s="4" t="n">
        <v>0</v>
      </c>
      <c r="AI1529" s="34" t="n"/>
      <c r="AJ1529" s="34" t="n">
        <v>0</v>
      </c>
      <c r="AK1529" s="2" t="n">
        <v>0</v>
      </c>
      <c r="AL1529" t="inlineStr">
        <is>
          <t>Published</t>
        </is>
      </c>
    </row>
    <row r="1530">
      <c r="A1530">
        <f>HYPERLINK("https://www.walmart.com/ip/128775917", "128775917")</f>
        <v/>
      </c>
      <c r="B1530">
        <f>HYPERLINK("https://app.optiwise.ai/catalog/itemdetails/361014", "Deluxe Classic Suede Bill Baseball Cap with Leather Strap Closure")</f>
        <v/>
      </c>
      <c r="C1530" t="inlineStr">
        <is>
          <t>KC-S6300-NT/DG</t>
        </is>
      </c>
      <c r="D1530" t="inlineStr">
        <is>
          <t>Clothing</t>
        </is>
      </c>
      <c r="E1530" t="inlineStr">
        <is>
          <t>Hats</t>
        </is>
      </c>
      <c r="F1530" t="inlineStr">
        <is>
          <t>KC Caps</t>
        </is>
      </c>
      <c r="G1530" t="n">
        <v>0</v>
      </c>
      <c r="H1530" t="n">
        <v>0</v>
      </c>
      <c r="I1530" t="inlineStr">
        <is>
          <t>Optimized</t>
        </is>
      </c>
      <c r="J1530" s="29" t="n">
        <v>0</v>
      </c>
      <c r="K1530" s="30" t="n"/>
      <c r="L1530" s="29" t="n">
        <v>0</v>
      </c>
      <c r="M1530" s="29" t="n">
        <v>0</v>
      </c>
      <c r="N1530" s="2" t="n">
        <v>0</v>
      </c>
      <c r="O1530" s="31" t="n">
        <v>0</v>
      </c>
      <c r="P1530" s="32" t="n"/>
      <c r="Q1530" s="32" t="n">
        <v>0</v>
      </c>
      <c r="R1530" s="32" t="n">
        <v>0</v>
      </c>
      <c r="S1530" s="31" t="n">
        <v>0</v>
      </c>
      <c r="T1530" s="32" t="n">
        <v>0</v>
      </c>
      <c r="U1530" s="31" t="n">
        <v>0</v>
      </c>
      <c r="V1530" s="31" t="n">
        <v>0</v>
      </c>
      <c r="W1530" s="3" t="n">
        <v>0</v>
      </c>
      <c r="X1530" s="3" t="n">
        <v>0</v>
      </c>
      <c r="Y1530" s="32" t="n">
        <v>0</v>
      </c>
      <c r="Z1530" s="3" t="n">
        <v>0</v>
      </c>
      <c r="AA1530" s="32" t="n">
        <v>0</v>
      </c>
      <c r="AB1530" s="3" t="n"/>
      <c r="AC1530" s="31" t="n">
        <v>0</v>
      </c>
      <c r="AD1530" s="2" t="n">
        <v>0</v>
      </c>
      <c r="AE1530" s="2" t="n">
        <v>1</v>
      </c>
      <c r="AF1530" s="4" t="n">
        <v>1</v>
      </c>
      <c r="AG1530" s="33" t="n">
        <v>0</v>
      </c>
      <c r="AH1530" s="4" t="n">
        <v>0</v>
      </c>
      <c r="AI1530" s="34" t="n"/>
      <c r="AJ1530" s="34" t="n">
        <v>0</v>
      </c>
      <c r="AK1530" s="2" t="n">
        <v>0</v>
      </c>
      <c r="AL1530" t="inlineStr">
        <is>
          <t>Published</t>
        </is>
      </c>
    </row>
    <row r="1531">
      <c r="A1531">
        <f>HYPERLINK("https://www.walmart.com/ip/228305261", "228305261")</f>
        <v/>
      </c>
      <c r="B1531">
        <f>HYPERLINK("https://app.optiwise.ai/catalog/itemdetails/360908", "Runner Waist Pack - Hip Hug Running Fuel Belt with 2 Pockets - NO BOUNCE Runner's Fanny Pack - Storage Pouch Bag Runners")</f>
        <v/>
      </c>
      <c r="C1531" t="inlineStr">
        <is>
          <t>TERRA-3NG-L-ZJ</t>
        </is>
      </c>
      <c r="D1531" t="inlineStr">
        <is>
          <t>Cases &amp; Bags</t>
        </is>
      </c>
      <c r="E1531" t="inlineStr">
        <is>
          <t>Fanny Packs</t>
        </is>
      </c>
      <c r="F1531" t="inlineStr">
        <is>
          <t>Terra</t>
        </is>
      </c>
      <c r="G1531" t="n">
        <v>0</v>
      </c>
      <c r="H1531" t="n">
        <v>0</v>
      </c>
      <c r="I1531" t="inlineStr">
        <is>
          <t>Optimized</t>
        </is>
      </c>
      <c r="J1531" s="29" t="n">
        <v>0</v>
      </c>
      <c r="K1531" s="30" t="n"/>
      <c r="L1531" s="29" t="n">
        <v>0</v>
      </c>
      <c r="M1531" s="29" t="n">
        <v>0</v>
      </c>
      <c r="N1531" s="2" t="n">
        <v>0</v>
      </c>
      <c r="O1531" s="31" t="n">
        <v>0</v>
      </c>
      <c r="P1531" s="32" t="n"/>
      <c r="Q1531" s="32" t="n">
        <v>0</v>
      </c>
      <c r="R1531" s="32" t="n">
        <v>0</v>
      </c>
      <c r="S1531" s="31" t="n">
        <v>0</v>
      </c>
      <c r="T1531" s="32" t="n">
        <v>0</v>
      </c>
      <c r="U1531" s="31" t="n">
        <v>0</v>
      </c>
      <c r="V1531" s="31" t="n">
        <v>0</v>
      </c>
      <c r="W1531" s="3" t="n">
        <v>0</v>
      </c>
      <c r="X1531" s="3" t="n">
        <v>0</v>
      </c>
      <c r="Y1531" s="32" t="n">
        <v>0</v>
      </c>
      <c r="Z1531" s="3" t="n">
        <v>0</v>
      </c>
      <c r="AA1531" s="32" t="n">
        <v>0</v>
      </c>
      <c r="AB1531" s="3" t="n"/>
      <c r="AC1531" s="31" t="n">
        <v>0</v>
      </c>
      <c r="AD1531" s="2" t="n">
        <v>0</v>
      </c>
      <c r="AE1531" s="2" t="n">
        <v>5</v>
      </c>
      <c r="AF1531" s="4" t="n">
        <v>5</v>
      </c>
      <c r="AG1531" s="33" t="n">
        <v>0</v>
      </c>
      <c r="AH1531" s="4" t="n">
        <v>0</v>
      </c>
      <c r="AI1531" s="34" t="n"/>
      <c r="AJ1531" s="34" t="n">
        <v>0</v>
      </c>
      <c r="AK1531" s="2" t="n">
        <v>0</v>
      </c>
      <c r="AL1531" t="inlineStr">
        <is>
          <t>Published</t>
        </is>
      </c>
    </row>
    <row r="1532">
      <c r="A1532">
        <f>HYPERLINK("https://www.walmart.com/ip/155786211", "155786211")</f>
        <v/>
      </c>
      <c r="B1532">
        <f>HYPERLINK("https://app.optiwise.ai/catalog/itemdetails/360902", "JenniWears Sexy Sheer Black Fishnet Suspender Crotchless Pantyhose, Stockings for Women, One size, Waist 33, Hip 42 and Leg Length 32-40")</f>
        <v/>
      </c>
      <c r="C1532" t="inlineStr">
        <is>
          <t>JWBLSPH2029</t>
        </is>
      </c>
      <c r="D1532" t="inlineStr">
        <is>
          <t>Clothing</t>
        </is>
      </c>
      <c r="E1532" t="inlineStr">
        <is>
          <t>Pantyhose &amp; Tights</t>
        </is>
      </c>
      <c r="F1532" t="inlineStr">
        <is>
          <t>JenniWears</t>
        </is>
      </c>
      <c r="G1532" t="n">
        <v>0</v>
      </c>
      <c r="H1532" t="n">
        <v>0</v>
      </c>
      <c r="I1532" t="inlineStr">
        <is>
          <t>Valentine</t>
        </is>
      </c>
      <c r="J1532" s="29" t="n">
        <v>0</v>
      </c>
      <c r="K1532" s="30" t="n"/>
      <c r="L1532" s="29" t="n">
        <v>0</v>
      </c>
      <c r="M1532" s="29" t="n">
        <v>0</v>
      </c>
      <c r="N1532" s="2" t="n">
        <v>0</v>
      </c>
      <c r="O1532" s="31" t="n">
        <v>0</v>
      </c>
      <c r="P1532" s="32" t="n"/>
      <c r="Q1532" s="32" t="n">
        <v>0</v>
      </c>
      <c r="R1532" s="32" t="n">
        <v>0</v>
      </c>
      <c r="S1532" s="31" t="n">
        <v>0</v>
      </c>
      <c r="T1532" s="32" t="n">
        <v>0</v>
      </c>
      <c r="U1532" s="31" t="n">
        <v>0</v>
      </c>
      <c r="V1532" s="31" t="n">
        <v>0</v>
      </c>
      <c r="W1532" s="3" t="n">
        <v>0</v>
      </c>
      <c r="X1532" s="3" t="n">
        <v>0</v>
      </c>
      <c r="Y1532" s="32" t="n">
        <v>0</v>
      </c>
      <c r="Z1532" s="3" t="n">
        <v>0</v>
      </c>
      <c r="AA1532" s="32" t="n">
        <v>0</v>
      </c>
      <c r="AB1532" s="3" t="n"/>
      <c r="AC1532" s="31" t="n">
        <v>0</v>
      </c>
      <c r="AD1532" s="2" t="n">
        <v>6</v>
      </c>
      <c r="AE1532" s="2" t="n">
        <v>46</v>
      </c>
      <c r="AF1532" s="4" t="n">
        <v>46</v>
      </c>
      <c r="AG1532" s="33" t="n">
        <v>0</v>
      </c>
      <c r="AH1532" s="4" t="n">
        <v>0</v>
      </c>
      <c r="AI1532" s="34" t="n"/>
      <c r="AJ1532" s="34" t="n">
        <v>0</v>
      </c>
      <c r="AK1532" s="2" t="n">
        <v>0</v>
      </c>
      <c r="AL1532" t="inlineStr">
        <is>
          <t>Published</t>
        </is>
      </c>
    </row>
    <row r="1533">
      <c r="A1533">
        <f>HYPERLINK("https://www.walmart.com/ip/618025979", "618025979")</f>
        <v/>
      </c>
      <c r="B1533">
        <f>HYPERLINK("https://app.optiwise.ai/catalog/itemdetails/360901", "Napa Plush  Throw Blanket Mocha, Twin 60x90, Striped Reversible Velvet Luxury Fleece Warm Bed Couch Blanket, Super Soft and Cozy")</f>
        <v/>
      </c>
      <c r="C1533" t="inlineStr">
        <is>
          <t>K8030TW-MOC</t>
        </is>
      </c>
      <c r="D1533" t="inlineStr">
        <is>
          <t>Bedding</t>
        </is>
      </c>
      <c r="E1533" t="inlineStr">
        <is>
          <t>Throws</t>
        </is>
      </c>
      <c r="F1533" t="inlineStr">
        <is>
          <t>NAPA</t>
        </is>
      </c>
      <c r="G1533" t="n">
        <v>3.7</v>
      </c>
      <c r="H1533" t="n">
        <v>3</v>
      </c>
      <c r="I1533" t="inlineStr">
        <is>
          <t>Optimized</t>
        </is>
      </c>
      <c r="J1533" s="29" t="n">
        <v>0</v>
      </c>
      <c r="K1533" s="30" t="n"/>
      <c r="L1533" s="29" t="n">
        <v>0</v>
      </c>
      <c r="M1533" s="29" t="n">
        <v>0</v>
      </c>
      <c r="N1533" s="2" t="n">
        <v>0</v>
      </c>
      <c r="O1533" s="31" t="n">
        <v>0</v>
      </c>
      <c r="P1533" s="32" t="n"/>
      <c r="Q1533" s="32" t="n">
        <v>0</v>
      </c>
      <c r="R1533" s="32" t="n">
        <v>0</v>
      </c>
      <c r="S1533" s="31" t="n">
        <v>0</v>
      </c>
      <c r="T1533" s="32" t="n">
        <v>0</v>
      </c>
      <c r="U1533" s="31" t="n">
        <v>0</v>
      </c>
      <c r="V1533" s="31" t="n">
        <v>0</v>
      </c>
      <c r="W1533" s="3" t="n">
        <v>0</v>
      </c>
      <c r="X1533" s="3" t="n">
        <v>0</v>
      </c>
      <c r="Y1533" s="32" t="n">
        <v>0</v>
      </c>
      <c r="Z1533" s="3" t="n">
        <v>0</v>
      </c>
      <c r="AA1533" s="32" t="n">
        <v>0</v>
      </c>
      <c r="AB1533" s="3" t="n"/>
      <c r="AC1533" s="31" t="n">
        <v>0</v>
      </c>
      <c r="AD1533" s="2" t="n">
        <v>0</v>
      </c>
      <c r="AE1533" s="2" t="n">
        <v>7</v>
      </c>
      <c r="AF1533" s="4" t="n">
        <v>7</v>
      </c>
      <c r="AG1533" s="33" t="n">
        <v>0</v>
      </c>
      <c r="AH1533" s="4" t="n">
        <v>0</v>
      </c>
      <c r="AI1533" s="34" t="n"/>
      <c r="AJ1533" s="34" t="n">
        <v>0</v>
      </c>
      <c r="AK1533" s="2" t="n">
        <v>0</v>
      </c>
      <c r="AL1533" t="inlineStr">
        <is>
          <t>Published</t>
        </is>
      </c>
    </row>
    <row r="1534">
      <c r="A1534">
        <f>HYPERLINK("https://www.walmart.com/ip/451338028", "451338028")</f>
        <v/>
      </c>
      <c r="B1534">
        <f>HYPERLINK("https://app.optiwise.ai/catalog/itemdetails/360759", "Terra Men Boxer Brief Underwear Best 3 Pack Most Comfortable Cotton Trunk Short")</f>
        <v/>
      </c>
      <c r="C1534" t="inlineStr">
        <is>
          <t>TERRA-BOXER11-M</t>
        </is>
      </c>
      <c r="D1534" t="inlineStr">
        <is>
          <t>Clothing</t>
        </is>
      </c>
      <c r="E1534" t="inlineStr">
        <is>
          <t>Underpants</t>
        </is>
      </c>
      <c r="F1534" t="inlineStr">
        <is>
          <t>Terra</t>
        </is>
      </c>
      <c r="G1534" t="n">
        <v>5</v>
      </c>
      <c r="H1534" t="n">
        <v>1</v>
      </c>
      <c r="I1534" t="inlineStr">
        <is>
          <t>Batch 1 - TR</t>
        </is>
      </c>
      <c r="J1534" s="29" t="n">
        <v>0</v>
      </c>
      <c r="K1534" s="30" t="n"/>
      <c r="L1534" s="29" t="n">
        <v>0</v>
      </c>
      <c r="M1534" s="29" t="n">
        <v>0</v>
      </c>
      <c r="N1534" s="2" t="n">
        <v>0</v>
      </c>
      <c r="O1534" s="31" t="n">
        <v>0</v>
      </c>
      <c r="P1534" s="32" t="n"/>
      <c r="Q1534" s="32" t="n">
        <v>0</v>
      </c>
      <c r="R1534" s="32" t="n">
        <v>0</v>
      </c>
      <c r="S1534" s="31" t="n">
        <v>0</v>
      </c>
      <c r="T1534" s="32" t="n">
        <v>0</v>
      </c>
      <c r="U1534" s="31" t="n">
        <v>0</v>
      </c>
      <c r="V1534" s="31" t="n">
        <v>0</v>
      </c>
      <c r="W1534" s="3" t="n">
        <v>0</v>
      </c>
      <c r="X1534" s="3" t="n">
        <v>0</v>
      </c>
      <c r="Y1534" s="32" t="n">
        <v>0</v>
      </c>
      <c r="Z1534" s="3" t="n">
        <v>0</v>
      </c>
      <c r="AA1534" s="32" t="n">
        <v>0</v>
      </c>
      <c r="AB1534" s="3" t="n"/>
      <c r="AC1534" s="31" t="n">
        <v>0</v>
      </c>
      <c r="AD1534" s="2" t="n">
        <v>0</v>
      </c>
      <c r="AE1534" s="2" t="n">
        <v>26</v>
      </c>
      <c r="AF1534" s="4" t="n">
        <v>26</v>
      </c>
      <c r="AG1534" s="33" t="n">
        <v>0</v>
      </c>
      <c r="AH1534" s="4" t="n">
        <v>0</v>
      </c>
      <c r="AI1534" s="34" t="n"/>
      <c r="AJ1534" s="34" t="n">
        <v>0</v>
      </c>
      <c r="AK1534" s="2" t="n">
        <v>0</v>
      </c>
      <c r="AL1534" t="inlineStr">
        <is>
          <t>Published</t>
        </is>
      </c>
    </row>
    <row r="1535">
      <c r="A1535">
        <f>HYPERLINK("https://www.walmart.com/ip/200390181", "200390181")</f>
        <v/>
      </c>
      <c r="B1535">
        <f>HYPERLINK("https://app.optiwise.ai/catalog/itemdetails/360806", "Tirrinia Unisex Outdoor Sun Protection Fishing Cap with Neck Flap Wide Brim Mesh Hat for Travel Camping Hiking Hunting")</f>
        <v/>
      </c>
      <c r="C1535" t="inlineStr">
        <is>
          <t>1WMSH910OL</t>
        </is>
      </c>
      <c r="D1535" t="inlineStr">
        <is>
          <t>Clothing</t>
        </is>
      </c>
      <c r="E1535" t="inlineStr">
        <is>
          <t>Hats</t>
        </is>
      </c>
      <c r="F1535" t="inlineStr">
        <is>
          <t>Tirrinia</t>
        </is>
      </c>
      <c r="G1535" t="n">
        <v>0</v>
      </c>
      <c r="H1535" t="n">
        <v>0</v>
      </c>
      <c r="I1535" t="inlineStr">
        <is>
          <t>Optimized</t>
        </is>
      </c>
      <c r="J1535" s="29" t="n">
        <v>0</v>
      </c>
      <c r="K1535" s="30" t="n"/>
      <c r="L1535" s="29" t="n">
        <v>0</v>
      </c>
      <c r="M1535" s="29" t="n">
        <v>0</v>
      </c>
      <c r="N1535" s="2" t="n">
        <v>0</v>
      </c>
      <c r="O1535" s="31" t="n">
        <v>0</v>
      </c>
      <c r="P1535" s="32" t="n"/>
      <c r="Q1535" s="32" t="n">
        <v>0</v>
      </c>
      <c r="R1535" s="32" t="n">
        <v>0</v>
      </c>
      <c r="S1535" s="31" t="n">
        <v>0</v>
      </c>
      <c r="T1535" s="32" t="n">
        <v>0</v>
      </c>
      <c r="U1535" s="31" t="n">
        <v>0</v>
      </c>
      <c r="V1535" s="31" t="n">
        <v>0</v>
      </c>
      <c r="W1535" s="3" t="n">
        <v>0</v>
      </c>
      <c r="X1535" s="3" t="n">
        <v>0</v>
      </c>
      <c r="Y1535" s="32" t="n">
        <v>0</v>
      </c>
      <c r="Z1535" s="3" t="n">
        <v>0</v>
      </c>
      <c r="AA1535" s="32" t="n">
        <v>0</v>
      </c>
      <c r="AB1535" s="3" t="n"/>
      <c r="AC1535" s="31" t="n">
        <v>0</v>
      </c>
      <c r="AD1535" s="2" t="n">
        <v>0</v>
      </c>
      <c r="AE1535" s="2" t="n">
        <v>3</v>
      </c>
      <c r="AF1535" s="4" t="n">
        <v>3</v>
      </c>
      <c r="AG1535" s="33" t="n">
        <v>0</v>
      </c>
      <c r="AH1535" s="4" t="n">
        <v>0</v>
      </c>
      <c r="AI1535" s="34" t="n"/>
      <c r="AJ1535" s="34" t="n">
        <v>0</v>
      </c>
      <c r="AK1535" s="2" t="n">
        <v>0</v>
      </c>
      <c r="AL1535" t="inlineStr">
        <is>
          <t>Published</t>
        </is>
      </c>
    </row>
    <row r="1536">
      <c r="A1536">
        <f>HYPERLINK("https://www.walmart.com/ip/445400019", "445400019")</f>
        <v/>
      </c>
      <c r="B1536">
        <f>HYPERLINK("https://app.optiwise.ai/catalog/itemdetails/360805", "Women’s Swim Bathing Suit Cover Up, Summer Chiffon Backless Beach Dress Skirt")</f>
        <v/>
      </c>
      <c r="C1536" t="inlineStr">
        <is>
          <t>1WMDS110BL</t>
        </is>
      </c>
      <c r="D1536" t="inlineStr">
        <is>
          <t>Dresses</t>
        </is>
      </c>
      <c r="E1536" t="inlineStr">
        <is>
          <t>Dresses</t>
        </is>
      </c>
      <c r="F1536" t="inlineStr">
        <is>
          <t>Flyingstar</t>
        </is>
      </c>
      <c r="G1536" t="n">
        <v>0</v>
      </c>
      <c r="H1536" t="n">
        <v>0</v>
      </c>
      <c r="I1536" t="inlineStr">
        <is>
          <t>Optimized</t>
        </is>
      </c>
      <c r="J1536" s="29" t="n">
        <v>0</v>
      </c>
      <c r="K1536" s="30" t="n"/>
      <c r="L1536" s="29" t="n">
        <v>0</v>
      </c>
      <c r="M1536" s="29" t="n">
        <v>0</v>
      </c>
      <c r="N1536" s="2" t="n">
        <v>0</v>
      </c>
      <c r="O1536" s="31" t="n">
        <v>0</v>
      </c>
      <c r="P1536" s="32" t="n"/>
      <c r="Q1536" s="32" t="n">
        <v>0</v>
      </c>
      <c r="R1536" s="32" t="n">
        <v>0</v>
      </c>
      <c r="S1536" s="31" t="n">
        <v>0</v>
      </c>
      <c r="T1536" s="32" t="n">
        <v>0</v>
      </c>
      <c r="U1536" s="31" t="n">
        <v>0</v>
      </c>
      <c r="V1536" s="31" t="n">
        <v>0</v>
      </c>
      <c r="W1536" s="3" t="n">
        <v>0</v>
      </c>
      <c r="X1536" s="3" t="n">
        <v>0</v>
      </c>
      <c r="Y1536" s="32" t="n">
        <v>0</v>
      </c>
      <c r="Z1536" s="3" t="n">
        <v>0</v>
      </c>
      <c r="AA1536" s="32" t="n">
        <v>0</v>
      </c>
      <c r="AB1536" s="3" t="n"/>
      <c r="AC1536" s="31" t="n">
        <v>0</v>
      </c>
      <c r="AD1536" s="2" t="n">
        <v>0</v>
      </c>
      <c r="AE1536" s="2" t="n">
        <v>3</v>
      </c>
      <c r="AF1536" s="4" t="n">
        <v>3</v>
      </c>
      <c r="AG1536" s="33" t="n">
        <v>0</v>
      </c>
      <c r="AH1536" s="4" t="n">
        <v>0</v>
      </c>
      <c r="AI1536" s="34" t="n"/>
      <c r="AJ1536" s="34" t="n">
        <v>0</v>
      </c>
      <c r="AK1536" s="2" t="n">
        <v>0</v>
      </c>
      <c r="AL1536" t="inlineStr">
        <is>
          <t>Published</t>
        </is>
      </c>
    </row>
    <row r="1537">
      <c r="A1537">
        <f>HYPERLINK("https://www.walmart.com/ip/126202442", "126202442")</f>
        <v/>
      </c>
      <c r="B1537">
        <f>HYPERLINK("https://app.optiwise.ai/catalog/itemdetails/360797", "JenniWears Women's Adjustable Sexy Lace Garter Belt, High Waisted Suspender for Party Cosplay Activity, Black")</f>
        <v/>
      </c>
      <c r="C1537" t="inlineStr">
        <is>
          <t>JWBLSPH5003</t>
        </is>
      </c>
      <c r="D1537" t="inlineStr">
        <is>
          <t>Clothing</t>
        </is>
      </c>
      <c r="E1537" t="inlineStr">
        <is>
          <t>Garters</t>
        </is>
      </c>
      <c r="F1537" t="inlineStr">
        <is>
          <t>JenniWears</t>
        </is>
      </c>
      <c r="G1537" t="n">
        <v>0</v>
      </c>
      <c r="H1537" t="n">
        <v>0</v>
      </c>
      <c r="I1537" t="inlineStr">
        <is>
          <t>WFS,Valentine,WFS Item</t>
        </is>
      </c>
      <c r="J1537" s="29" t="n">
        <v>0</v>
      </c>
      <c r="K1537" s="30" t="n"/>
      <c r="L1537" s="29" t="n">
        <v>0</v>
      </c>
      <c r="M1537" s="29" t="n">
        <v>0</v>
      </c>
      <c r="N1537" s="2" t="n">
        <v>0</v>
      </c>
      <c r="O1537" s="31" t="n">
        <v>0</v>
      </c>
      <c r="P1537" s="32" t="n"/>
      <c r="Q1537" s="32" t="n">
        <v>0</v>
      </c>
      <c r="R1537" s="32" t="n">
        <v>0</v>
      </c>
      <c r="S1537" s="31" t="n">
        <v>0</v>
      </c>
      <c r="T1537" s="32" t="n">
        <v>0</v>
      </c>
      <c r="U1537" s="31" t="n">
        <v>0</v>
      </c>
      <c r="V1537" s="31" t="n">
        <v>0</v>
      </c>
      <c r="W1537" s="3" t="n">
        <v>0</v>
      </c>
      <c r="X1537" s="3" t="n">
        <v>0</v>
      </c>
      <c r="Y1537" s="32" t="n">
        <v>0</v>
      </c>
      <c r="Z1537" s="3" t="n">
        <v>0</v>
      </c>
      <c r="AA1537" s="32" t="n">
        <v>0</v>
      </c>
      <c r="AB1537" s="3" t="n"/>
      <c r="AC1537" s="31" t="n">
        <v>0</v>
      </c>
      <c r="AD1537" s="2" t="n">
        <v>0</v>
      </c>
      <c r="AE1537" s="2" t="n">
        <v>113</v>
      </c>
      <c r="AF1537" s="4" t="n">
        <v>113</v>
      </c>
      <c r="AG1537" s="33" t="n">
        <v>0</v>
      </c>
      <c r="AH1537" s="4" t="n">
        <v>0</v>
      </c>
      <c r="AI1537" s="34" t="n"/>
      <c r="AJ1537" s="34" t="n">
        <v>0</v>
      </c>
      <c r="AK1537" s="2" t="n">
        <v>0</v>
      </c>
      <c r="AL1537" t="inlineStr">
        <is>
          <t>Published</t>
        </is>
      </c>
    </row>
    <row r="1538">
      <c r="A1538">
        <f>HYPERLINK("https://www.walmart.com/ip/168709229", "168709229")</f>
        <v/>
      </c>
      <c r="B1538">
        <f>HYPERLINK("https://app.optiwise.ai/catalog/itemdetails/360792", "Jenniwears Sexy Lace Lingerie Jacket Babydoll G String 3 Pieces Sleepwear Set")</f>
        <v/>
      </c>
      <c r="C1538" t="inlineStr">
        <is>
          <t>JWND05WT</t>
        </is>
      </c>
      <c r="D1538" t="inlineStr">
        <is>
          <t>Clothing</t>
        </is>
      </c>
      <c r="E1538" t="inlineStr">
        <is>
          <t>Lingerie Sets</t>
        </is>
      </c>
      <c r="F1538" t="inlineStr">
        <is>
          <t>JenniWears</t>
        </is>
      </c>
      <c r="G1538" t="n">
        <v>0</v>
      </c>
      <c r="H1538" t="n">
        <v>0</v>
      </c>
      <c r="I1538" t="inlineStr">
        <is>
          <t>Optimized,Valentine</t>
        </is>
      </c>
      <c r="J1538" s="29" t="n">
        <v>0</v>
      </c>
      <c r="K1538" s="30" t="n"/>
      <c r="L1538" s="29" t="n">
        <v>0</v>
      </c>
      <c r="M1538" s="29" t="n">
        <v>0</v>
      </c>
      <c r="N1538" s="2" t="n">
        <v>0</v>
      </c>
      <c r="O1538" s="31" t="n">
        <v>0</v>
      </c>
      <c r="P1538" s="32" t="n"/>
      <c r="Q1538" s="32" t="n">
        <v>0</v>
      </c>
      <c r="R1538" s="32" t="n">
        <v>0</v>
      </c>
      <c r="S1538" s="31" t="n">
        <v>0</v>
      </c>
      <c r="T1538" s="32" t="n">
        <v>0</v>
      </c>
      <c r="U1538" s="31" t="n">
        <v>0</v>
      </c>
      <c r="V1538" s="31" t="n">
        <v>0</v>
      </c>
      <c r="W1538" s="3" t="n">
        <v>0</v>
      </c>
      <c r="X1538" s="3" t="n">
        <v>0</v>
      </c>
      <c r="Y1538" s="32" t="n">
        <v>0</v>
      </c>
      <c r="Z1538" s="3" t="n">
        <v>0</v>
      </c>
      <c r="AA1538" s="32" t="n">
        <v>0</v>
      </c>
      <c r="AB1538" s="3" t="n"/>
      <c r="AC1538" s="31" t="n">
        <v>0</v>
      </c>
      <c r="AD1538" s="2" t="n">
        <v>0</v>
      </c>
      <c r="AE1538" s="2" t="n">
        <v>1</v>
      </c>
      <c r="AF1538" s="4" t="n">
        <v>1</v>
      </c>
      <c r="AG1538" s="33" t="n">
        <v>0</v>
      </c>
      <c r="AH1538" s="4" t="n">
        <v>0</v>
      </c>
      <c r="AI1538" s="34" t="n"/>
      <c r="AJ1538" s="34" t="n">
        <v>0</v>
      </c>
      <c r="AK1538" s="2" t="n">
        <v>0</v>
      </c>
      <c r="AL1538" t="inlineStr">
        <is>
          <t>Published</t>
        </is>
      </c>
    </row>
    <row r="1539">
      <c r="A1539">
        <f>HYPERLINK("https://www.walmart.com/ip/183022929", "183022929")</f>
        <v/>
      </c>
      <c r="B1539">
        <f>HYPERLINK("https://app.optiwise.ai/catalog/itemdetails/360790", "Terra Active Wrap- Stylish Running workout travel waist belt w/ hidden pocket")</f>
        <v/>
      </c>
      <c r="C1539" t="inlineStr">
        <is>
          <t>TERRA-3NG-M</t>
        </is>
      </c>
      <c r="D1539" t="inlineStr">
        <is>
          <t>Cases &amp; Bags</t>
        </is>
      </c>
      <c r="E1539" t="inlineStr">
        <is>
          <t>Running Belts</t>
        </is>
      </c>
      <c r="F1539" t="inlineStr">
        <is>
          <t>Terra</t>
        </is>
      </c>
      <c r="G1539" t="n">
        <v>0</v>
      </c>
      <c r="H1539" t="n">
        <v>0</v>
      </c>
      <c r="I1539" t="inlineStr">
        <is>
          <t>Batch 1 - TR</t>
        </is>
      </c>
      <c r="J1539" s="29" t="n">
        <v>0</v>
      </c>
      <c r="K1539" s="30" t="n"/>
      <c r="L1539" s="29" t="n">
        <v>0</v>
      </c>
      <c r="M1539" s="29" t="n">
        <v>0</v>
      </c>
      <c r="N1539" s="2" t="n">
        <v>0</v>
      </c>
      <c r="O1539" s="31" t="n">
        <v>0</v>
      </c>
      <c r="P1539" s="32" t="n"/>
      <c r="Q1539" s="32" t="n">
        <v>0</v>
      </c>
      <c r="R1539" s="32" t="n">
        <v>0</v>
      </c>
      <c r="S1539" s="31" t="n">
        <v>0</v>
      </c>
      <c r="T1539" s="32" t="n">
        <v>0</v>
      </c>
      <c r="U1539" s="31" t="n">
        <v>0</v>
      </c>
      <c r="V1539" s="31" t="n">
        <v>0</v>
      </c>
      <c r="W1539" s="3" t="n">
        <v>0</v>
      </c>
      <c r="X1539" s="3" t="n">
        <v>0</v>
      </c>
      <c r="Y1539" s="32" t="n">
        <v>0</v>
      </c>
      <c r="Z1539" s="3" t="n">
        <v>0</v>
      </c>
      <c r="AA1539" s="32" t="n">
        <v>0</v>
      </c>
      <c r="AB1539" s="3" t="n"/>
      <c r="AC1539" s="31" t="n">
        <v>0</v>
      </c>
      <c r="AD1539" s="2" t="n">
        <v>0</v>
      </c>
      <c r="AE1539" s="2" t="n">
        <v>7</v>
      </c>
      <c r="AF1539" s="4" t="n">
        <v>7</v>
      </c>
      <c r="AG1539" s="33" t="n">
        <v>0</v>
      </c>
      <c r="AH1539" s="4" t="n">
        <v>0</v>
      </c>
      <c r="AI1539" s="34" t="n"/>
      <c r="AJ1539" s="34" t="n">
        <v>0</v>
      </c>
      <c r="AK1539" s="2" t="n">
        <v>0</v>
      </c>
      <c r="AL1539" t="inlineStr">
        <is>
          <t>Published</t>
        </is>
      </c>
    </row>
    <row r="1540">
      <c r="A1540">
        <f>HYPERLINK("https://www.walmart.com/ip/851096138", "851096138")</f>
        <v/>
      </c>
      <c r="B1540">
        <f>HYPERLINK("https://app.optiwise.ai/catalog/itemdetails/360789", "Sherpa Furry Throw Blanket, Reversible Super Soft Plush Fuzzy Fleece Blanket for Sofa Couch Bed 50x60")</f>
        <v/>
      </c>
      <c r="C1540" t="inlineStr">
        <is>
          <t>1CTBN110BL</t>
        </is>
      </c>
      <c r="D1540" t="inlineStr">
        <is>
          <t>Bedding</t>
        </is>
      </c>
      <c r="E1540" t="inlineStr">
        <is>
          <t>Throws</t>
        </is>
      </c>
      <c r="F1540" t="inlineStr">
        <is>
          <t>Catalonia</t>
        </is>
      </c>
      <c r="G1540" t="n">
        <v>4.8</v>
      </c>
      <c r="H1540" t="n">
        <v>5</v>
      </c>
      <c r="I1540" t="inlineStr">
        <is>
          <t>WFS,WFS Item,Fleece Blankets</t>
        </is>
      </c>
      <c r="J1540" s="29" t="n">
        <v>0</v>
      </c>
      <c r="K1540" s="30" t="n"/>
      <c r="L1540" s="29" t="n">
        <v>0</v>
      </c>
      <c r="M1540" s="29" t="n">
        <v>0</v>
      </c>
      <c r="N1540" s="2" t="n">
        <v>0</v>
      </c>
      <c r="O1540" s="31" t="n">
        <v>0</v>
      </c>
      <c r="P1540" s="32" t="n"/>
      <c r="Q1540" s="32" t="n">
        <v>0</v>
      </c>
      <c r="R1540" s="32" t="n">
        <v>0</v>
      </c>
      <c r="S1540" s="31" t="n">
        <v>0</v>
      </c>
      <c r="T1540" s="32" t="n">
        <v>0</v>
      </c>
      <c r="U1540" s="31" t="n">
        <v>0</v>
      </c>
      <c r="V1540" s="31" t="n">
        <v>0</v>
      </c>
      <c r="W1540" s="3" t="n">
        <v>0</v>
      </c>
      <c r="X1540" s="3" t="n">
        <v>0</v>
      </c>
      <c r="Y1540" s="32" t="n">
        <v>0</v>
      </c>
      <c r="Z1540" s="3" t="n">
        <v>0</v>
      </c>
      <c r="AA1540" s="32" t="n">
        <v>0</v>
      </c>
      <c r="AB1540" s="3" t="n"/>
      <c r="AC1540" s="31" t="n">
        <v>0</v>
      </c>
      <c r="AD1540" s="2" t="n">
        <v>0</v>
      </c>
      <c r="AE1540" s="2" t="n">
        <v>26</v>
      </c>
      <c r="AF1540" s="4" t="n">
        <v>26</v>
      </c>
      <c r="AG1540" s="33" t="n">
        <v>0</v>
      </c>
      <c r="AH1540" s="4" t="n">
        <v>0</v>
      </c>
      <c r="AI1540" s="34" t="n"/>
      <c r="AJ1540" s="34" t="n">
        <v>0</v>
      </c>
      <c r="AK1540" s="2" t="n">
        <v>0</v>
      </c>
      <c r="AL1540" t="inlineStr">
        <is>
          <t>Published</t>
        </is>
      </c>
    </row>
    <row r="1541">
      <c r="A1541">
        <f>HYPERLINK("https://www.walmart.com/ip/936465595", "936465595")</f>
        <v/>
      </c>
      <c r="B1541">
        <f>HYPERLINK("https://app.optiwise.ai/catalog/itemdetails/360784", "Flyingstar Sherpa Throws Blanket, Fleece Soft Cozy Blanket Throws for Sofa Bed 50x60")</f>
        <v/>
      </c>
      <c r="C1541" t="inlineStr">
        <is>
          <t>1WMBF301PK-ESGM</t>
        </is>
      </c>
      <c r="D1541" t="inlineStr">
        <is>
          <t>Bedding</t>
        </is>
      </c>
      <c r="E1541" t="inlineStr">
        <is>
          <t>Throws</t>
        </is>
      </c>
      <c r="F1541" t="inlineStr">
        <is>
          <t>Flyingstar</t>
        </is>
      </c>
      <c r="G1541" t="n">
        <v>0</v>
      </c>
      <c r="H1541" t="n">
        <v>0</v>
      </c>
      <c r="I1541" t="inlineStr">
        <is>
          <t>Optimized</t>
        </is>
      </c>
      <c r="J1541" s="29" t="n">
        <v>0</v>
      </c>
      <c r="K1541" s="30" t="n"/>
      <c r="L1541" s="29" t="n">
        <v>0</v>
      </c>
      <c r="M1541" s="29" t="n">
        <v>0</v>
      </c>
      <c r="N1541" s="2" t="n">
        <v>0</v>
      </c>
      <c r="O1541" s="31" t="n">
        <v>0</v>
      </c>
      <c r="P1541" s="32" t="n"/>
      <c r="Q1541" s="32" t="n">
        <v>0</v>
      </c>
      <c r="R1541" s="32" t="n">
        <v>0</v>
      </c>
      <c r="S1541" s="31" t="n">
        <v>0</v>
      </c>
      <c r="T1541" s="32" t="n">
        <v>0</v>
      </c>
      <c r="U1541" s="31" t="n">
        <v>0</v>
      </c>
      <c r="V1541" s="31" t="n">
        <v>0</v>
      </c>
      <c r="W1541" s="3" t="n">
        <v>0</v>
      </c>
      <c r="X1541" s="3" t="n">
        <v>0</v>
      </c>
      <c r="Y1541" s="32" t="n">
        <v>0</v>
      </c>
      <c r="Z1541" s="3" t="n">
        <v>0</v>
      </c>
      <c r="AA1541" s="32" t="n">
        <v>0</v>
      </c>
      <c r="AB1541" s="3" t="n"/>
      <c r="AC1541" s="31" t="n">
        <v>0</v>
      </c>
      <c r="AD1541" s="2" t="n">
        <v>0</v>
      </c>
      <c r="AE1541" s="2" t="n">
        <v>1</v>
      </c>
      <c r="AF1541" s="4" t="n">
        <v>1</v>
      </c>
      <c r="AG1541" s="33" t="n">
        <v>0</v>
      </c>
      <c r="AH1541" s="4" t="n">
        <v>0</v>
      </c>
      <c r="AI1541" s="34" t="n"/>
      <c r="AJ1541" s="34" t="n">
        <v>0</v>
      </c>
      <c r="AK1541" s="2" t="n">
        <v>0</v>
      </c>
      <c r="AL1541" t="inlineStr">
        <is>
          <t>Published</t>
        </is>
      </c>
    </row>
    <row r="1542">
      <c r="A1542">
        <f>HYPERLINK("https://www.walmart.com/ip/818876677", "818876677")</f>
        <v/>
      </c>
      <c r="B1542">
        <f>HYPERLINK("https://app.optiwise.ai/catalog/itemdetails/360778", "Bucket Sun Hat Cute Cap for Women Fashion Fold-up Brim Packable Summer Beach by Solaris")</f>
        <v/>
      </c>
      <c r="C1542" t="inlineStr">
        <is>
          <t>1SLSH9200FLWPK-FSCB</t>
        </is>
      </c>
      <c r="D1542" t="inlineStr">
        <is>
          <t>Clothing</t>
        </is>
      </c>
      <c r="E1542" t="inlineStr">
        <is>
          <t>Hats</t>
        </is>
      </c>
      <c r="F1542" t="inlineStr">
        <is>
          <t>Solaris</t>
        </is>
      </c>
      <c r="G1542" t="n">
        <v>0</v>
      </c>
      <c r="H1542" t="n">
        <v>0</v>
      </c>
      <c r="J1542" s="29" t="n">
        <v>0</v>
      </c>
      <c r="K1542" s="30" t="n"/>
      <c r="L1542" s="29" t="n">
        <v>0</v>
      </c>
      <c r="M1542" s="29" t="n">
        <v>0</v>
      </c>
      <c r="N1542" s="2" t="n">
        <v>0</v>
      </c>
      <c r="O1542" s="31" t="n">
        <v>0</v>
      </c>
      <c r="P1542" s="32" t="n"/>
      <c r="Q1542" s="32" t="n">
        <v>0</v>
      </c>
      <c r="R1542" s="32" t="n">
        <v>0</v>
      </c>
      <c r="S1542" s="31" t="n">
        <v>0</v>
      </c>
      <c r="T1542" s="32" t="n">
        <v>0</v>
      </c>
      <c r="U1542" s="31" t="n">
        <v>0</v>
      </c>
      <c r="V1542" s="31" t="n">
        <v>0</v>
      </c>
      <c r="W1542" s="3" t="n">
        <v>0</v>
      </c>
      <c r="X1542" s="3" t="n">
        <v>0</v>
      </c>
      <c r="Y1542" s="32" t="n">
        <v>0</v>
      </c>
      <c r="Z1542" s="3" t="n">
        <v>0</v>
      </c>
      <c r="AA1542" s="32" t="n">
        <v>0</v>
      </c>
      <c r="AB1542" s="3" t="n"/>
      <c r="AC1542" s="31" t="n">
        <v>0</v>
      </c>
      <c r="AD1542" s="2" t="n">
        <v>0</v>
      </c>
      <c r="AE1542" s="2" t="n">
        <v>4</v>
      </c>
      <c r="AF1542" s="4" t="n">
        <v>4</v>
      </c>
      <c r="AG1542" s="33" t="n">
        <v>0</v>
      </c>
      <c r="AH1542" s="4" t="n">
        <v>0</v>
      </c>
      <c r="AI1542" s="34" t="n"/>
      <c r="AJ1542" s="34" t="n">
        <v>0</v>
      </c>
      <c r="AK1542" s="2" t="n">
        <v>0</v>
      </c>
      <c r="AL1542" t="inlineStr">
        <is>
          <t>Published</t>
        </is>
      </c>
    </row>
    <row r="1543">
      <c r="A1543">
        <f>HYPERLINK("https://www.walmart.com/ip/410899618", "410899618")</f>
        <v/>
      </c>
      <c r="B1543">
        <f>HYPERLINK("https://app.optiwise.ai/catalog/itemdetails/360776", "Tirrinia US Flag Patriotic Sherpa Throw Blanket, Super Cozy Fleece Blanket, Reversible for Bed or Couch, US Flag Print, 50 x 60")</f>
        <v/>
      </c>
      <c r="C1543" t="inlineStr">
        <is>
          <t>1TRBF300USA</t>
        </is>
      </c>
      <c r="D1543" t="inlineStr">
        <is>
          <t>Bedding</t>
        </is>
      </c>
      <c r="E1543" t="inlineStr">
        <is>
          <t>Throws</t>
        </is>
      </c>
      <c r="F1543" t="inlineStr">
        <is>
          <t>Tirrinia</t>
        </is>
      </c>
      <c r="G1543" t="n">
        <v>5</v>
      </c>
      <c r="H1543" t="n">
        <v>4</v>
      </c>
      <c r="I1543" t="inlineStr">
        <is>
          <t>WFS,WFS Item</t>
        </is>
      </c>
      <c r="J1543" s="29" t="n">
        <v>0</v>
      </c>
      <c r="K1543" s="30" t="n"/>
      <c r="L1543" s="29" t="n">
        <v>0</v>
      </c>
      <c r="M1543" s="29" t="n">
        <v>0</v>
      </c>
      <c r="N1543" s="2" t="n">
        <v>0</v>
      </c>
      <c r="O1543" s="31" t="n">
        <v>8.050000000000001</v>
      </c>
      <c r="P1543" s="32" t="n">
        <v>0.001</v>
      </c>
      <c r="Q1543" s="32" t="n">
        <v>0</v>
      </c>
      <c r="R1543" s="32" t="n">
        <v>0.613</v>
      </c>
      <c r="S1543" s="31" t="n">
        <v>3.23</v>
      </c>
      <c r="T1543" s="32" t="n">
        <v>0.31</v>
      </c>
      <c r="U1543" s="31" t="n">
        <v>25.99</v>
      </c>
      <c r="V1543" s="31" t="n">
        <v>25.99</v>
      </c>
      <c r="W1543" s="3" t="n">
        <v>15987</v>
      </c>
      <c r="X1543" s="3" t="n">
        <v>20</v>
      </c>
      <c r="Y1543" s="32" t="n">
        <v>0.0013</v>
      </c>
      <c r="Z1543" s="3" t="n">
        <v>1</v>
      </c>
      <c r="AA1543" s="32" t="n">
        <v>0.05</v>
      </c>
      <c r="AB1543" s="3" t="inlineStr">
        <is>
          <t>Throws_Auto_Optiwise_24,Throws_Manual_Optiwise_24</t>
        </is>
      </c>
      <c r="AC1543" s="31" t="n">
        <v>0.4</v>
      </c>
      <c r="AD1543" s="2" t="n">
        <v>11</v>
      </c>
      <c r="AE1543" s="2" t="n">
        <v>28</v>
      </c>
      <c r="AF1543" s="4" t="n">
        <v>8</v>
      </c>
      <c r="AG1543" s="33" t="n">
        <v>-25.99</v>
      </c>
      <c r="AH1543" s="4" t="n">
        <v>-1</v>
      </c>
      <c r="AI1543" s="34" t="n">
        <v>-0.125</v>
      </c>
      <c r="AJ1543" s="34" t="n">
        <v>0</v>
      </c>
      <c r="AK1543" s="2" t="n">
        <v>0</v>
      </c>
      <c r="AL1543" t="inlineStr">
        <is>
          <t>Published</t>
        </is>
      </c>
    </row>
    <row r="1544">
      <c r="A1544">
        <f>HYPERLINK("https://www.walmart.com/ip/171946676", "171946676")</f>
        <v/>
      </c>
      <c r="B1544">
        <f>HYPERLINK("https://app.optiwise.ai/catalog/itemdetails/360775", "Adjustable Buckle Closure USA Flag Embroidered Cap")</f>
        <v/>
      </c>
      <c r="C1544" t="inlineStr">
        <is>
          <t>kc-aeflag-nv</t>
        </is>
      </c>
      <c r="D1544" t="inlineStr">
        <is>
          <t>Clothing</t>
        </is>
      </c>
      <c r="E1544" t="inlineStr">
        <is>
          <t>Hats</t>
        </is>
      </c>
      <c r="F1544" t="inlineStr">
        <is>
          <t>KC Caps</t>
        </is>
      </c>
      <c r="G1544" t="n">
        <v>0</v>
      </c>
      <c r="H1544" t="n">
        <v>0</v>
      </c>
      <c r="I1544" t="inlineStr">
        <is>
          <t>Optimized</t>
        </is>
      </c>
      <c r="J1544" s="29" t="n">
        <v>0</v>
      </c>
      <c r="K1544" s="30" t="n"/>
      <c r="L1544" s="29" t="n">
        <v>0</v>
      </c>
      <c r="M1544" s="29" t="n">
        <v>0</v>
      </c>
      <c r="N1544" s="2" t="n">
        <v>0</v>
      </c>
      <c r="O1544" s="31" t="n">
        <v>0</v>
      </c>
      <c r="P1544" s="32" t="n"/>
      <c r="Q1544" s="32" t="n">
        <v>0</v>
      </c>
      <c r="R1544" s="32" t="n">
        <v>0</v>
      </c>
      <c r="S1544" s="31" t="n">
        <v>0</v>
      </c>
      <c r="T1544" s="32" t="n">
        <v>0</v>
      </c>
      <c r="U1544" s="31" t="n">
        <v>0</v>
      </c>
      <c r="V1544" s="31" t="n">
        <v>0</v>
      </c>
      <c r="W1544" s="3" t="n">
        <v>0</v>
      </c>
      <c r="X1544" s="3" t="n">
        <v>0</v>
      </c>
      <c r="Y1544" s="32" t="n">
        <v>0</v>
      </c>
      <c r="Z1544" s="3" t="n">
        <v>0</v>
      </c>
      <c r="AA1544" s="32" t="n">
        <v>0</v>
      </c>
      <c r="AB1544" s="3" t="n"/>
      <c r="AC1544" s="31" t="n">
        <v>0</v>
      </c>
      <c r="AD1544" s="2" t="n">
        <v>0</v>
      </c>
      <c r="AE1544" s="2" t="n">
        <v>7</v>
      </c>
      <c r="AF1544" s="4" t="n">
        <v>7</v>
      </c>
      <c r="AG1544" s="33" t="n">
        <v>0</v>
      </c>
      <c r="AH1544" s="4" t="n">
        <v>0</v>
      </c>
      <c r="AI1544" s="34" t="n"/>
      <c r="AJ1544" s="34" t="n">
        <v>0</v>
      </c>
      <c r="AK1544" s="2" t="n">
        <v>0</v>
      </c>
      <c r="AL1544" t="inlineStr">
        <is>
          <t>Published</t>
        </is>
      </c>
    </row>
    <row r="1545">
      <c r="A1545">
        <f>HYPERLINK("https://www.walmart.com/ip/117539586", "117539586")</f>
        <v/>
      </c>
      <c r="B1545">
        <f>HYPERLINK("https://app.optiwise.ai/catalog/itemdetails/360762", "Unisex Outdoor Sun Hat Protection Fishing Cap Boonie Hat with Neck Flap Wide Brim for Safari Camping Hiking Hunting Boating and Outdoor Adventures by Sun Blocker, Olive")</f>
        <v/>
      </c>
      <c r="C1545" t="inlineStr">
        <is>
          <t>KC-S9150-OLIVE-ZFH</t>
        </is>
      </c>
      <c r="D1545" t="inlineStr">
        <is>
          <t>Clothing</t>
        </is>
      </c>
      <c r="E1545" t="inlineStr">
        <is>
          <t>Hats</t>
        </is>
      </c>
      <c r="F1545" t="inlineStr">
        <is>
          <t>Sun Blocker</t>
        </is>
      </c>
      <c r="G1545" t="n">
        <v>0</v>
      </c>
      <c r="H1545" t="n">
        <v>0</v>
      </c>
      <c r="I1545" t="inlineStr">
        <is>
          <t>Optimized</t>
        </is>
      </c>
      <c r="J1545" s="29" t="n">
        <v>0</v>
      </c>
      <c r="K1545" s="30" t="n"/>
      <c r="L1545" s="29" t="n">
        <v>0</v>
      </c>
      <c r="M1545" s="29" t="n">
        <v>0</v>
      </c>
      <c r="N1545" s="2" t="n">
        <v>0</v>
      </c>
      <c r="O1545" s="31" t="n">
        <v>0</v>
      </c>
      <c r="P1545" s="32" t="n"/>
      <c r="Q1545" s="32" t="n">
        <v>0</v>
      </c>
      <c r="R1545" s="32" t="n">
        <v>0</v>
      </c>
      <c r="S1545" s="31" t="n">
        <v>0</v>
      </c>
      <c r="T1545" s="32" t="n">
        <v>0</v>
      </c>
      <c r="U1545" s="31" t="n">
        <v>0</v>
      </c>
      <c r="V1545" s="31" t="n">
        <v>0</v>
      </c>
      <c r="W1545" s="3" t="n">
        <v>0</v>
      </c>
      <c r="X1545" s="3" t="n">
        <v>0</v>
      </c>
      <c r="Y1545" s="32" t="n">
        <v>0</v>
      </c>
      <c r="Z1545" s="3" t="n">
        <v>0</v>
      </c>
      <c r="AA1545" s="32" t="n">
        <v>0</v>
      </c>
      <c r="AB1545" s="3" t="n"/>
      <c r="AC1545" s="31" t="n">
        <v>0</v>
      </c>
      <c r="AD1545" s="2" t="n">
        <v>0</v>
      </c>
      <c r="AE1545" s="2" t="n">
        <v>3</v>
      </c>
      <c r="AF1545" s="4" t="n">
        <v>3</v>
      </c>
      <c r="AG1545" s="33" t="n">
        <v>0</v>
      </c>
      <c r="AH1545" s="4" t="n">
        <v>0</v>
      </c>
      <c r="AI1545" s="34" t="n"/>
      <c r="AJ1545" s="34" t="n">
        <v>0</v>
      </c>
      <c r="AK1545" s="2" t="n">
        <v>0</v>
      </c>
      <c r="AL1545" t="inlineStr">
        <is>
          <t>Published</t>
        </is>
      </c>
    </row>
    <row r="1546">
      <c r="A1546">
        <f>HYPERLINK("https://www.walmart.com/ip/396482858", "396482858")</f>
        <v/>
      </c>
      <c r="B1546">
        <f>HYPERLINK("https://app.optiwise.ai/catalog/itemdetails/360751", "Catalonia Fleece Wearable Blanket Poncho for Adult Women Men, Wrap Blanket Cape with Pocket | Warm, Soft, Cozy, Snuggly, Comfort Gift, No Sleeves | All-Season, Cheetah")</f>
        <v/>
      </c>
      <c r="C1546" t="inlineStr">
        <is>
          <t>1CTBP100CHEETAH</t>
        </is>
      </c>
      <c r="D1546" t="inlineStr">
        <is>
          <t>Clothing - Clothing</t>
        </is>
      </c>
      <c r="E1546" t="inlineStr">
        <is>
          <t>Throws</t>
        </is>
      </c>
      <c r="F1546" t="inlineStr">
        <is>
          <t>Catalonia</t>
        </is>
      </c>
      <c r="G1546" t="n">
        <v>0</v>
      </c>
      <c r="H1546" t="n">
        <v>0</v>
      </c>
      <c r="I1546" t="inlineStr">
        <is>
          <t>Hero 5 Holidays,WFS,Coupon_Discount,WFS Item</t>
        </is>
      </c>
      <c r="J1546" s="29" t="n">
        <v>0</v>
      </c>
      <c r="K1546" s="30" t="n"/>
      <c r="L1546" s="29" t="n">
        <v>0</v>
      </c>
      <c r="M1546" s="29" t="n">
        <v>0</v>
      </c>
      <c r="N1546" s="2" t="n">
        <v>0</v>
      </c>
      <c r="O1546" s="31" t="n">
        <v>0</v>
      </c>
      <c r="P1546" s="32" t="n"/>
      <c r="Q1546" s="32" t="n">
        <v>0</v>
      </c>
      <c r="R1546" s="32" t="n">
        <v>0</v>
      </c>
      <c r="S1546" s="31" t="n">
        <v>0</v>
      </c>
      <c r="T1546" s="32" t="n">
        <v>0</v>
      </c>
      <c r="U1546" s="31" t="n">
        <v>0</v>
      </c>
      <c r="V1546" s="31" t="n">
        <v>0</v>
      </c>
      <c r="W1546" s="3" t="n">
        <v>0</v>
      </c>
      <c r="X1546" s="3" t="n">
        <v>0</v>
      </c>
      <c r="Y1546" s="32" t="n">
        <v>0</v>
      </c>
      <c r="Z1546" s="3" t="n">
        <v>0</v>
      </c>
      <c r="AA1546" s="32" t="n">
        <v>0</v>
      </c>
      <c r="AB1546" s="3" t="n"/>
      <c r="AC1546" s="31" t="n">
        <v>0</v>
      </c>
      <c r="AD1546" s="2" t="n">
        <v>0</v>
      </c>
      <c r="AE1546" s="2" t="n">
        <v>4</v>
      </c>
      <c r="AF1546" s="4" t="n">
        <v>4</v>
      </c>
      <c r="AG1546" s="33" t="n">
        <v>0</v>
      </c>
      <c r="AH1546" s="4" t="n">
        <v>0</v>
      </c>
      <c r="AI1546" s="34" t="n"/>
      <c r="AJ1546" s="34" t="n">
        <v>0</v>
      </c>
      <c r="AK1546" s="2" t="n">
        <v>0</v>
      </c>
      <c r="AL1546" t="inlineStr">
        <is>
          <t>Published</t>
        </is>
      </c>
    </row>
    <row r="1547">
      <c r="A1547">
        <f>HYPERLINK("https://www.walmart.com/ip/122909337", "122909337")</f>
        <v/>
      </c>
      <c r="B1547">
        <f>HYPERLINK("https://app.optiwise.ai/catalog/itemdetails/360812", "KC Caps® Unisex Cotton Baseball Cap Adjustable Plain Hat (21 Styles/Colors)")</f>
        <v/>
      </c>
      <c r="C1547" t="inlineStr">
        <is>
          <t>KC8010GN</t>
        </is>
      </c>
      <c r="D1547" t="inlineStr">
        <is>
          <t>Clothing</t>
        </is>
      </c>
      <c r="E1547" t="inlineStr">
        <is>
          <t>Hats</t>
        </is>
      </c>
      <c r="F1547" t="inlineStr">
        <is>
          <t>KC Caps</t>
        </is>
      </c>
      <c r="G1547" t="n">
        <v>0</v>
      </c>
      <c r="H1547" t="n">
        <v>0</v>
      </c>
      <c r="I1547" t="inlineStr">
        <is>
          <t>Optimized</t>
        </is>
      </c>
      <c r="J1547" s="29" t="n">
        <v>0</v>
      </c>
      <c r="K1547" s="30" t="n"/>
      <c r="L1547" s="29" t="n">
        <v>0</v>
      </c>
      <c r="M1547" s="29" t="n">
        <v>0</v>
      </c>
      <c r="N1547" s="2" t="n">
        <v>0</v>
      </c>
      <c r="O1547" s="31" t="n">
        <v>0</v>
      </c>
      <c r="P1547" s="32" t="n"/>
      <c r="Q1547" s="32" t="n">
        <v>0</v>
      </c>
      <c r="R1547" s="32" t="n">
        <v>0</v>
      </c>
      <c r="S1547" s="31" t="n">
        <v>0</v>
      </c>
      <c r="T1547" s="32" t="n">
        <v>0</v>
      </c>
      <c r="U1547" s="31" t="n">
        <v>0</v>
      </c>
      <c r="V1547" s="31" t="n">
        <v>0</v>
      </c>
      <c r="W1547" s="3" t="n">
        <v>0</v>
      </c>
      <c r="X1547" s="3" t="n">
        <v>0</v>
      </c>
      <c r="Y1547" s="32" t="n">
        <v>0</v>
      </c>
      <c r="Z1547" s="3" t="n">
        <v>0</v>
      </c>
      <c r="AA1547" s="32" t="n">
        <v>0</v>
      </c>
      <c r="AB1547" s="3" t="n"/>
      <c r="AC1547" s="31" t="n">
        <v>0</v>
      </c>
      <c r="AD1547" s="2" t="n">
        <v>0</v>
      </c>
      <c r="AE1547" s="2" t="n">
        <v>13</v>
      </c>
      <c r="AF1547" s="4" t="n">
        <v>13</v>
      </c>
      <c r="AG1547" s="33" t="n">
        <v>0</v>
      </c>
      <c r="AH1547" s="4" t="n">
        <v>0</v>
      </c>
      <c r="AI1547" s="34" t="n"/>
      <c r="AJ1547" s="34" t="n">
        <v>0</v>
      </c>
      <c r="AK1547" s="2" t="n">
        <v>0</v>
      </c>
      <c r="AL1547" t="inlineStr">
        <is>
          <t>Published</t>
        </is>
      </c>
    </row>
    <row r="1548">
      <c r="A1548">
        <f>HYPERLINK("https://www.walmart.com/ip/614508217", "614508217")</f>
        <v/>
      </c>
      <c r="B1548">
        <f>HYPERLINK("https://app.optiwise.ai/catalog/itemdetails/360750", "Wearable Blanket with Sleeves and Kangaroo Pocket for Adult Soft Warm Comfy Throws Wrap Robe Blanket in Green.")</f>
        <v/>
      </c>
      <c r="C1548" t="inlineStr">
        <is>
          <t>1CTSN200GN</t>
        </is>
      </c>
      <c r="D1548" t="inlineStr">
        <is>
          <t>Bedding</t>
        </is>
      </c>
      <c r="E1548" t="inlineStr">
        <is>
          <t>Throws</t>
        </is>
      </c>
      <c r="F1548" t="inlineStr">
        <is>
          <t>Catalonia</t>
        </is>
      </c>
      <c r="G1548" t="n">
        <v>0</v>
      </c>
      <c r="H1548" t="n">
        <v>0</v>
      </c>
      <c r="I1548" t="inlineStr">
        <is>
          <t>WFS,Coupon_Discount,WFS Item,ST Patrick Day</t>
        </is>
      </c>
      <c r="J1548" s="29" t="n">
        <v>0</v>
      </c>
      <c r="K1548" s="30" t="n"/>
      <c r="L1548" s="29" t="n">
        <v>0</v>
      </c>
      <c r="M1548" s="29" t="n">
        <v>0</v>
      </c>
      <c r="N1548" s="2" t="n">
        <v>0</v>
      </c>
      <c r="O1548" s="31" t="n">
        <v>0</v>
      </c>
      <c r="P1548" s="32" t="n"/>
      <c r="Q1548" s="32" t="n">
        <v>0</v>
      </c>
      <c r="R1548" s="32" t="n">
        <v>0</v>
      </c>
      <c r="S1548" s="31" t="n">
        <v>0</v>
      </c>
      <c r="T1548" s="32" t="n">
        <v>0</v>
      </c>
      <c r="U1548" s="31" t="n">
        <v>0</v>
      </c>
      <c r="V1548" s="31" t="n">
        <v>0</v>
      </c>
      <c r="W1548" s="3" t="n">
        <v>0</v>
      </c>
      <c r="X1548" s="3" t="n">
        <v>0</v>
      </c>
      <c r="Y1548" s="32" t="n">
        <v>0</v>
      </c>
      <c r="Z1548" s="3" t="n">
        <v>0</v>
      </c>
      <c r="AA1548" s="32" t="n">
        <v>0</v>
      </c>
      <c r="AB1548" s="3" t="n"/>
      <c r="AC1548" s="31" t="n">
        <v>0</v>
      </c>
      <c r="AD1548" s="2" t="n">
        <v>0</v>
      </c>
      <c r="AE1548" s="2" t="n">
        <v>0</v>
      </c>
      <c r="AF1548" s="4" t="n">
        <v>0</v>
      </c>
      <c r="AG1548" s="33" t="n">
        <v>0</v>
      </c>
      <c r="AH1548" s="4" t="n">
        <v>0</v>
      </c>
      <c r="AI1548" s="34" t="n"/>
      <c r="AJ1548" s="34" t="n">
        <v>0</v>
      </c>
      <c r="AK1548" s="2" t="n">
        <v>0</v>
      </c>
      <c r="AL1548" t="inlineStr">
        <is>
          <t>Published</t>
        </is>
      </c>
    </row>
    <row r="1549">
      <c r="A1549">
        <f>HYPERLINK("https://www.walmart.com/ip/139176708", "139176708")</f>
        <v/>
      </c>
      <c r="B1549">
        <f>HYPERLINK("https://app.optiwise.ai/catalog/itemdetails/360749", "Napa® Luxury Shu Velveteen Throw Blanket, Soft Blankets for Adults, All Seasons Plush Blanket, Cozy Reversible Fuzzy Blanket, Best Gift for Women, Blue, 50 x 60")</f>
        <v/>
      </c>
      <c r="C1549" t="inlineStr">
        <is>
          <t>K9000BLUE</t>
        </is>
      </c>
      <c r="D1549" t="inlineStr">
        <is>
          <t>Bedding</t>
        </is>
      </c>
      <c r="E1549" t="inlineStr">
        <is>
          <t>Throws</t>
        </is>
      </c>
      <c r="F1549" t="inlineStr">
        <is>
          <t>NAPA</t>
        </is>
      </c>
      <c r="G1549" t="n">
        <v>0</v>
      </c>
      <c r="H1549" t="n">
        <v>0</v>
      </c>
      <c r="I1549" t="inlineStr">
        <is>
          <t>Optimized</t>
        </is>
      </c>
      <c r="J1549" s="29" t="n">
        <v>0</v>
      </c>
      <c r="K1549" s="30" t="n"/>
      <c r="L1549" s="29" t="n">
        <v>0</v>
      </c>
      <c r="M1549" s="29" t="n">
        <v>0</v>
      </c>
      <c r="N1549" s="2" t="n">
        <v>0</v>
      </c>
      <c r="O1549" s="31" t="n">
        <v>0</v>
      </c>
      <c r="P1549" s="32" t="n"/>
      <c r="Q1549" s="32" t="n">
        <v>0</v>
      </c>
      <c r="R1549" s="32" t="n">
        <v>0</v>
      </c>
      <c r="S1549" s="31" t="n">
        <v>0</v>
      </c>
      <c r="T1549" s="32" t="n">
        <v>0</v>
      </c>
      <c r="U1549" s="31" t="n">
        <v>0</v>
      </c>
      <c r="V1549" s="31" t="n">
        <v>0</v>
      </c>
      <c r="W1549" s="3" t="n">
        <v>0</v>
      </c>
      <c r="X1549" s="3" t="n">
        <v>0</v>
      </c>
      <c r="Y1549" s="32" t="n">
        <v>0</v>
      </c>
      <c r="Z1549" s="3" t="n">
        <v>0</v>
      </c>
      <c r="AA1549" s="32" t="n">
        <v>0</v>
      </c>
      <c r="AB1549" s="3" t="n"/>
      <c r="AC1549" s="31" t="n">
        <v>0</v>
      </c>
      <c r="AD1549" s="2" t="n">
        <v>0</v>
      </c>
      <c r="AE1549" s="2" t="n">
        <v>7</v>
      </c>
      <c r="AF1549" s="4" t="n">
        <v>7</v>
      </c>
      <c r="AG1549" s="33" t="n">
        <v>0</v>
      </c>
      <c r="AH1549" s="4" t="n">
        <v>0</v>
      </c>
      <c r="AI1549" s="34" t="n"/>
      <c r="AJ1549" s="34" t="n">
        <v>0</v>
      </c>
      <c r="AK1549" s="2" t="n">
        <v>0</v>
      </c>
      <c r="AL1549" t="inlineStr">
        <is>
          <t>Published</t>
        </is>
      </c>
    </row>
    <row r="1550">
      <c r="A1550">
        <f>HYPERLINK("https://www.walmart.com/ip/902012738", "902012738")</f>
        <v/>
      </c>
      <c r="B1550">
        <f>HYPERLINK("https://app.optiwise.ai/catalog/itemdetails/360746", "Unisex Fishing Hat with Foldable Neck Flap Cover Wide Brim Sun UV Protection Hiking Safari Bucket Cap for Bug Free(Olive)")</f>
        <v/>
      </c>
      <c r="C1550" t="inlineStr">
        <is>
          <t>1SLSH060OL</t>
        </is>
      </c>
      <c r="D1550" t="inlineStr">
        <is>
          <t>Clothing</t>
        </is>
      </c>
      <c r="E1550" t="inlineStr">
        <is>
          <t>Hats</t>
        </is>
      </c>
      <c r="F1550" t="inlineStr">
        <is>
          <t>Solaris</t>
        </is>
      </c>
      <c r="G1550" t="n">
        <v>4.5</v>
      </c>
      <c r="H1550" t="n">
        <v>6</v>
      </c>
      <c r="I1550" t="inlineStr">
        <is>
          <t>Optimized,Hats</t>
        </is>
      </c>
      <c r="J1550" s="29" t="n">
        <v>0</v>
      </c>
      <c r="K1550" s="30" t="n"/>
      <c r="L1550" s="29" t="n">
        <v>0</v>
      </c>
      <c r="M1550" s="29" t="n">
        <v>0</v>
      </c>
      <c r="N1550" s="2" t="n">
        <v>0</v>
      </c>
      <c r="O1550" s="31" t="n">
        <v>0</v>
      </c>
      <c r="P1550" s="32" t="n"/>
      <c r="Q1550" s="32" t="n">
        <v>0</v>
      </c>
      <c r="R1550" s="32" t="n">
        <v>0</v>
      </c>
      <c r="S1550" s="31" t="n">
        <v>0</v>
      </c>
      <c r="T1550" s="32" t="n">
        <v>0</v>
      </c>
      <c r="U1550" s="31" t="n">
        <v>0</v>
      </c>
      <c r="V1550" s="31" t="n">
        <v>0</v>
      </c>
      <c r="W1550" s="3" t="n">
        <v>0</v>
      </c>
      <c r="X1550" s="3" t="n">
        <v>0</v>
      </c>
      <c r="Y1550" s="32" t="n">
        <v>0</v>
      </c>
      <c r="Z1550" s="3" t="n">
        <v>0</v>
      </c>
      <c r="AA1550" s="32" t="n">
        <v>0</v>
      </c>
      <c r="AB1550" s="3" t="n"/>
      <c r="AC1550" s="31" t="n">
        <v>0</v>
      </c>
      <c r="AD1550" s="2" t="n">
        <v>0</v>
      </c>
      <c r="AE1550" s="2" t="n">
        <v>1</v>
      </c>
      <c r="AF1550" s="4" t="n">
        <v>1</v>
      </c>
      <c r="AG1550" s="33" t="n">
        <v>0</v>
      </c>
      <c r="AH1550" s="4" t="n">
        <v>0</v>
      </c>
      <c r="AI1550" s="34" t="n"/>
      <c r="AJ1550" s="34" t="n">
        <v>0</v>
      </c>
      <c r="AK1550" s="2" t="n">
        <v>0</v>
      </c>
      <c r="AL1550" t="inlineStr">
        <is>
          <t>Published</t>
        </is>
      </c>
    </row>
    <row r="1551">
      <c r="A1551">
        <f>HYPERLINK("https://www.walmart.com/ip/123177199", "123177199")</f>
        <v/>
      </c>
      <c r="B1551">
        <f>HYPERLINK("https://app.optiwise.ai/catalog/itemdetails/360743", "Catalonia Snuggie Tails Toddlers Blanket Kids Sleep Bag Warm Plush Super Soft for Baby Children Teen Boy Girl")</f>
        <v/>
      </c>
      <c r="C1551" t="inlineStr">
        <is>
          <t>1WMMM200PG</t>
        </is>
      </c>
      <c r="D1551" t="inlineStr">
        <is>
          <t>Home Decor, Kitchen, &amp; Other</t>
        </is>
      </c>
      <c r="E1551" t="inlineStr">
        <is>
          <t>Baby Sleepsacks</t>
        </is>
      </c>
      <c r="F1551" t="inlineStr">
        <is>
          <t>Flyingstar</t>
        </is>
      </c>
      <c r="G1551" t="n">
        <v>0</v>
      </c>
      <c r="H1551" t="n">
        <v>0</v>
      </c>
      <c r="I1551" t="inlineStr">
        <is>
          <t>Baby days,Optimized</t>
        </is>
      </c>
      <c r="J1551" s="29" t="n">
        <v>0</v>
      </c>
      <c r="K1551" s="30" t="n"/>
      <c r="L1551" s="29" t="n">
        <v>0</v>
      </c>
      <c r="M1551" s="29" t="n">
        <v>0</v>
      </c>
      <c r="N1551" s="2" t="n">
        <v>0</v>
      </c>
      <c r="O1551" s="31" t="n">
        <v>0</v>
      </c>
      <c r="P1551" s="32" t="n"/>
      <c r="Q1551" s="32" t="n">
        <v>0</v>
      </c>
      <c r="R1551" s="32" t="n">
        <v>0</v>
      </c>
      <c r="S1551" s="31" t="n">
        <v>0</v>
      </c>
      <c r="T1551" s="32" t="n">
        <v>0</v>
      </c>
      <c r="U1551" s="31" t="n">
        <v>0</v>
      </c>
      <c r="V1551" s="31" t="n">
        <v>0</v>
      </c>
      <c r="W1551" s="3" t="n">
        <v>0</v>
      </c>
      <c r="X1551" s="3" t="n">
        <v>0</v>
      </c>
      <c r="Y1551" s="32" t="n">
        <v>0</v>
      </c>
      <c r="Z1551" s="3" t="n">
        <v>0</v>
      </c>
      <c r="AA1551" s="32" t="n">
        <v>0</v>
      </c>
      <c r="AB1551" s="3" t="n"/>
      <c r="AC1551" s="31" t="n">
        <v>0</v>
      </c>
      <c r="AD1551" s="2" t="n">
        <v>0</v>
      </c>
      <c r="AE1551" s="2" t="n">
        <v>3</v>
      </c>
      <c r="AF1551" s="4" t="n">
        <v>3</v>
      </c>
      <c r="AG1551" s="33" t="n">
        <v>0</v>
      </c>
      <c r="AH1551" s="4" t="n">
        <v>0</v>
      </c>
      <c r="AI1551" s="34" t="n"/>
      <c r="AJ1551" s="34" t="n">
        <v>0</v>
      </c>
      <c r="AK1551" s="2" t="n">
        <v>0</v>
      </c>
      <c r="AL1551" t="inlineStr">
        <is>
          <t>Published</t>
        </is>
      </c>
    </row>
    <row r="1552">
      <c r="A1552">
        <f>HYPERLINK("https://www.walmart.com/ip/317039034", "317039034")</f>
        <v/>
      </c>
      <c r="B1552">
        <f>HYPERLINK("https://app.optiwise.ai/catalog/itemdetails/360741", "Vina Electric Gravity Salt Pepper Grinder Set, Adjustable Grinding Coarseness Automatic Shaker Mills with Ceramic Core, Free Garlic Roller Included, Pack of 2, White")</f>
        <v/>
      </c>
      <c r="C1552" t="inlineStr">
        <is>
          <t>VINASPEG521-WH2PK</t>
        </is>
      </c>
      <c r="D1552" t="inlineStr">
        <is>
          <t>Home Decor, Kitchen, &amp; Other</t>
        </is>
      </c>
      <c r="E1552" t="inlineStr">
        <is>
          <t>Salt &amp; Pepper Mills</t>
        </is>
      </c>
      <c r="F1552" t="inlineStr">
        <is>
          <t>Vina</t>
        </is>
      </c>
      <c r="G1552" t="n">
        <v>2.8</v>
      </c>
      <c r="H1552" t="n">
        <v>12</v>
      </c>
      <c r="I1552" t="inlineStr">
        <is>
          <t>Batch 1 - TR</t>
        </is>
      </c>
      <c r="J1552" s="29" t="n">
        <v>0</v>
      </c>
      <c r="K1552" s="30" t="n"/>
      <c r="L1552" s="29" t="n">
        <v>0</v>
      </c>
      <c r="M1552" s="29" t="n">
        <v>0</v>
      </c>
      <c r="N1552" s="2" t="n">
        <v>0</v>
      </c>
      <c r="O1552" s="31" t="n">
        <v>0</v>
      </c>
      <c r="P1552" s="32" t="n"/>
      <c r="Q1552" s="32" t="n">
        <v>0</v>
      </c>
      <c r="R1552" s="32" t="n">
        <v>0</v>
      </c>
      <c r="S1552" s="31" t="n">
        <v>0</v>
      </c>
      <c r="T1552" s="32" t="n">
        <v>0</v>
      </c>
      <c r="U1552" s="31" t="n">
        <v>0</v>
      </c>
      <c r="V1552" s="31" t="n">
        <v>0</v>
      </c>
      <c r="W1552" s="3" t="n">
        <v>0</v>
      </c>
      <c r="X1552" s="3" t="n">
        <v>0</v>
      </c>
      <c r="Y1552" s="32" t="n">
        <v>0</v>
      </c>
      <c r="Z1552" s="3" t="n">
        <v>0</v>
      </c>
      <c r="AA1552" s="32" t="n">
        <v>0</v>
      </c>
      <c r="AB1552" s="3" t="n"/>
      <c r="AC1552" s="31" t="n">
        <v>0</v>
      </c>
      <c r="AD1552" s="2" t="n">
        <v>1</v>
      </c>
      <c r="AE1552" s="2" t="n">
        <v>3</v>
      </c>
      <c r="AF1552" s="4" t="n">
        <v>3</v>
      </c>
      <c r="AG1552" s="33" t="n">
        <v>0</v>
      </c>
      <c r="AH1552" s="4" t="n">
        <v>0</v>
      </c>
      <c r="AI1552" s="34" t="n"/>
      <c r="AJ1552" s="34" t="n">
        <v>0</v>
      </c>
      <c r="AK1552" s="2" t="n">
        <v>0</v>
      </c>
      <c r="AL1552" t="inlineStr">
        <is>
          <t>Published</t>
        </is>
      </c>
    </row>
    <row r="1553">
      <c r="A1553">
        <f>HYPERLINK("https://www.walmart.com/ip/103163689", "103163689")</f>
        <v/>
      </c>
      <c r="B1553">
        <f>HYPERLINK("https://app.optiwise.ai/catalog/itemdetails/360740", "KC Caps Race Collection Caps with High Quality USA Fag Racing Graphic")</f>
        <v/>
      </c>
      <c r="C1553" t="inlineStr">
        <is>
          <t>KC-AS05</t>
        </is>
      </c>
      <c r="D1553" t="inlineStr">
        <is>
          <t>Clothing</t>
        </is>
      </c>
      <c r="E1553" t="inlineStr">
        <is>
          <t>Hats</t>
        </is>
      </c>
      <c r="F1553" t="inlineStr">
        <is>
          <t>KC Caps</t>
        </is>
      </c>
      <c r="G1553" t="n">
        <v>0</v>
      </c>
      <c r="H1553" t="n">
        <v>0</v>
      </c>
      <c r="I1553" t="inlineStr">
        <is>
          <t>Optimized</t>
        </is>
      </c>
      <c r="J1553" s="29" t="n">
        <v>0</v>
      </c>
      <c r="K1553" s="30" t="n"/>
      <c r="L1553" s="29" t="n">
        <v>0</v>
      </c>
      <c r="M1553" s="29" t="n">
        <v>0</v>
      </c>
      <c r="N1553" s="2" t="n">
        <v>0</v>
      </c>
      <c r="O1553" s="31" t="n">
        <v>0</v>
      </c>
      <c r="P1553" s="32" t="n"/>
      <c r="Q1553" s="32" t="n">
        <v>0</v>
      </c>
      <c r="R1553" s="32" t="n">
        <v>0</v>
      </c>
      <c r="S1553" s="31" t="n">
        <v>0</v>
      </c>
      <c r="T1553" s="32" t="n">
        <v>0</v>
      </c>
      <c r="U1553" s="31" t="n">
        <v>0</v>
      </c>
      <c r="V1553" s="31" t="n">
        <v>0</v>
      </c>
      <c r="W1553" s="3" t="n">
        <v>0</v>
      </c>
      <c r="X1553" s="3" t="n">
        <v>0</v>
      </c>
      <c r="Y1553" s="32" t="n">
        <v>0</v>
      </c>
      <c r="Z1553" s="3" t="n">
        <v>0</v>
      </c>
      <c r="AA1553" s="32" t="n">
        <v>0</v>
      </c>
      <c r="AB1553" s="3" t="n"/>
      <c r="AC1553" s="31" t="n">
        <v>0</v>
      </c>
      <c r="AD1553" s="2" t="n">
        <v>0</v>
      </c>
      <c r="AE1553" s="2" t="n">
        <v>1</v>
      </c>
      <c r="AF1553" s="4" t="n">
        <v>1</v>
      </c>
      <c r="AG1553" s="33" t="n">
        <v>0</v>
      </c>
      <c r="AH1553" s="4" t="n">
        <v>0</v>
      </c>
      <c r="AI1553" s="34" t="n"/>
      <c r="AJ1553" s="34" t="n">
        <v>0</v>
      </c>
      <c r="AK1553" s="2" t="n">
        <v>0</v>
      </c>
      <c r="AL1553" t="inlineStr">
        <is>
          <t>Published</t>
        </is>
      </c>
    </row>
    <row r="1554">
      <c r="A1554">
        <f>HYPERLINK("https://www.walmart.com/ip/581851318", "581851318")</f>
        <v/>
      </c>
      <c r="B1554">
        <f>HYPERLINK("https://app.optiwise.ai/catalog/itemdetails/360735", "KC Caps Sports Unisex Plain Golf Flex Sandwich Baseball Cap, Fitted Cotton Bill Hat, White")</f>
        <v/>
      </c>
      <c r="C1554" t="inlineStr">
        <is>
          <t>KC Caps 8313 white</t>
        </is>
      </c>
      <c r="D1554" t="inlineStr">
        <is>
          <t>Sport &amp; Recreation Other</t>
        </is>
      </c>
      <c r="E1554" t="inlineStr">
        <is>
          <t>Golf Hats</t>
        </is>
      </c>
      <c r="F1554" t="inlineStr">
        <is>
          <t>KC Caps</t>
        </is>
      </c>
      <c r="G1554" t="n">
        <v>0</v>
      </c>
      <c r="H1554" t="n">
        <v>0</v>
      </c>
      <c r="I1554" t="inlineStr">
        <is>
          <t>Optimized</t>
        </is>
      </c>
      <c r="J1554" s="29" t="n">
        <v>0</v>
      </c>
      <c r="K1554" s="30" t="n"/>
      <c r="L1554" s="29" t="n">
        <v>0</v>
      </c>
      <c r="M1554" s="29" t="n">
        <v>0</v>
      </c>
      <c r="N1554" s="2" t="n">
        <v>0</v>
      </c>
      <c r="O1554" s="31" t="n">
        <v>0</v>
      </c>
      <c r="P1554" s="32" t="n"/>
      <c r="Q1554" s="32" t="n">
        <v>0</v>
      </c>
      <c r="R1554" s="32" t="n">
        <v>0</v>
      </c>
      <c r="S1554" s="31" t="n">
        <v>0</v>
      </c>
      <c r="T1554" s="32" t="n">
        <v>0</v>
      </c>
      <c r="U1554" s="31" t="n">
        <v>0</v>
      </c>
      <c r="V1554" s="31" t="n">
        <v>0</v>
      </c>
      <c r="W1554" s="3" t="n">
        <v>0</v>
      </c>
      <c r="X1554" s="3" t="n">
        <v>0</v>
      </c>
      <c r="Y1554" s="32" t="n">
        <v>0</v>
      </c>
      <c r="Z1554" s="3" t="n">
        <v>0</v>
      </c>
      <c r="AA1554" s="32" t="n">
        <v>0</v>
      </c>
      <c r="AB1554" s="3" t="n"/>
      <c r="AC1554" s="31" t="n">
        <v>0</v>
      </c>
      <c r="AD1554" s="2" t="n">
        <v>0</v>
      </c>
      <c r="AE1554" s="2" t="n">
        <v>13</v>
      </c>
      <c r="AF1554" s="4" t="n">
        <v>13</v>
      </c>
      <c r="AG1554" s="33" t="n">
        <v>0</v>
      </c>
      <c r="AH1554" s="4" t="n">
        <v>0</v>
      </c>
      <c r="AI1554" s="34" t="n"/>
      <c r="AJ1554" s="34" t="n">
        <v>0</v>
      </c>
      <c r="AK1554" s="2" t="n">
        <v>0</v>
      </c>
      <c r="AL1554" t="inlineStr">
        <is>
          <t>Published</t>
        </is>
      </c>
    </row>
    <row r="1555">
      <c r="A1555">
        <f>HYPERLINK("https://www.walmart.com/ip/163231293", "163231293")</f>
        <v/>
      </c>
      <c r="B1555">
        <f>HYPERLINK("https://app.optiwise.ai/catalog/itemdetails/360731", "Unisex Realtree Hunting Cap KC Caps® Camouflage Jungle Sports Hat")</f>
        <v/>
      </c>
      <c r="C1555" t="inlineStr">
        <is>
          <t>4730-Hardwood</t>
        </is>
      </c>
      <c r="D1555" t="inlineStr">
        <is>
          <t>Clothing</t>
        </is>
      </c>
      <c r="E1555" t="inlineStr">
        <is>
          <t>Hats</t>
        </is>
      </c>
      <c r="F1555" t="inlineStr">
        <is>
          <t>KC Caps</t>
        </is>
      </c>
      <c r="G1555" t="n">
        <v>0</v>
      </c>
      <c r="H1555" t="n">
        <v>0</v>
      </c>
      <c r="I1555" t="inlineStr">
        <is>
          <t>Batch 1 - TR</t>
        </is>
      </c>
      <c r="J1555" s="29" t="n">
        <v>0</v>
      </c>
      <c r="K1555" s="30" t="n"/>
      <c r="L1555" s="29" t="n">
        <v>0</v>
      </c>
      <c r="M1555" s="29" t="n">
        <v>0</v>
      </c>
      <c r="N1555" s="2" t="n">
        <v>0</v>
      </c>
      <c r="O1555" s="31" t="n">
        <v>0</v>
      </c>
      <c r="P1555" s="32" t="n"/>
      <c r="Q1555" s="32" t="n">
        <v>0</v>
      </c>
      <c r="R1555" s="32" t="n">
        <v>0</v>
      </c>
      <c r="S1555" s="31" t="n">
        <v>0</v>
      </c>
      <c r="T1555" s="32" t="n">
        <v>0</v>
      </c>
      <c r="U1555" s="31" t="n">
        <v>0</v>
      </c>
      <c r="V1555" s="31" t="n">
        <v>0</v>
      </c>
      <c r="W1555" s="3" t="n">
        <v>0</v>
      </c>
      <c r="X1555" s="3" t="n">
        <v>0</v>
      </c>
      <c r="Y1555" s="32" t="n">
        <v>0</v>
      </c>
      <c r="Z1555" s="3" t="n">
        <v>0</v>
      </c>
      <c r="AA1555" s="32" t="n">
        <v>0</v>
      </c>
      <c r="AB1555" s="3" t="n"/>
      <c r="AC1555" s="31" t="n">
        <v>0</v>
      </c>
      <c r="AD1555" s="2" t="n">
        <v>0</v>
      </c>
      <c r="AE1555" s="2" t="n">
        <v>3</v>
      </c>
      <c r="AF1555" s="4" t="n">
        <v>3</v>
      </c>
      <c r="AG1555" s="33" t="n">
        <v>0</v>
      </c>
      <c r="AH1555" s="4" t="n">
        <v>0</v>
      </c>
      <c r="AI1555" s="34" t="n"/>
      <c r="AJ1555" s="34" t="n">
        <v>0</v>
      </c>
      <c r="AK1555" s="2" t="n">
        <v>0</v>
      </c>
      <c r="AL1555" t="inlineStr">
        <is>
          <t>Published</t>
        </is>
      </c>
    </row>
    <row r="1556">
      <c r="A1556">
        <f>HYPERLINK("https://www.walmart.com/ip/195053035", "195053035")</f>
        <v/>
      </c>
      <c r="B1556">
        <f>HYPERLINK("https://app.optiwise.ai/catalog/itemdetails/360730", "KC Caps Men's Military Mesh Cap")</f>
        <v/>
      </c>
      <c r="C1556" t="inlineStr">
        <is>
          <t>7140-Shadow</t>
        </is>
      </c>
      <c r="D1556" t="inlineStr">
        <is>
          <t>Clothing</t>
        </is>
      </c>
      <c r="E1556" t="inlineStr">
        <is>
          <t>Hats</t>
        </is>
      </c>
      <c r="F1556" t="inlineStr">
        <is>
          <t>KC Caps</t>
        </is>
      </c>
      <c r="G1556" t="n">
        <v>0</v>
      </c>
      <c r="H1556" t="n">
        <v>0</v>
      </c>
      <c r="I1556" t="inlineStr">
        <is>
          <t>Optimized</t>
        </is>
      </c>
      <c r="J1556" s="29" t="n">
        <v>0</v>
      </c>
      <c r="K1556" s="30" t="n"/>
      <c r="L1556" s="29" t="n">
        <v>0</v>
      </c>
      <c r="M1556" s="29" t="n">
        <v>0</v>
      </c>
      <c r="N1556" s="2" t="n">
        <v>0</v>
      </c>
      <c r="O1556" s="31" t="n">
        <v>0</v>
      </c>
      <c r="P1556" s="32" t="n"/>
      <c r="Q1556" s="32" t="n">
        <v>0</v>
      </c>
      <c r="R1556" s="32" t="n">
        <v>0</v>
      </c>
      <c r="S1556" s="31" t="n">
        <v>0</v>
      </c>
      <c r="T1556" s="32" t="n">
        <v>0</v>
      </c>
      <c r="U1556" s="31" t="n">
        <v>0</v>
      </c>
      <c r="V1556" s="31" t="n">
        <v>0</v>
      </c>
      <c r="W1556" s="3" t="n">
        <v>0</v>
      </c>
      <c r="X1556" s="3" t="n">
        <v>0</v>
      </c>
      <c r="Y1556" s="32" t="n">
        <v>0</v>
      </c>
      <c r="Z1556" s="3" t="n">
        <v>0</v>
      </c>
      <c r="AA1556" s="32" t="n">
        <v>0</v>
      </c>
      <c r="AB1556" s="3" t="n"/>
      <c r="AC1556" s="31" t="n">
        <v>0</v>
      </c>
      <c r="AD1556" s="2" t="n">
        <v>0</v>
      </c>
      <c r="AE1556" s="2" t="n">
        <v>4</v>
      </c>
      <c r="AF1556" s="4" t="n">
        <v>4</v>
      </c>
      <c r="AG1556" s="33" t="n">
        <v>0</v>
      </c>
      <c r="AH1556" s="4" t="n">
        <v>0</v>
      </c>
      <c r="AI1556" s="34" t="n"/>
      <c r="AJ1556" s="34" t="n">
        <v>0</v>
      </c>
      <c r="AK1556" s="2" t="n">
        <v>0</v>
      </c>
      <c r="AL1556" t="inlineStr">
        <is>
          <t>Published</t>
        </is>
      </c>
    </row>
    <row r="1557">
      <c r="A1557">
        <f>HYPERLINK("https://www.walmart.com/ip/100883042", "100883042")</f>
        <v/>
      </c>
      <c r="B1557">
        <f>HYPERLINK("https://app.optiwise.ai/catalog/itemdetails/360729", "Vina® Premium Bamboo Cheese Board Set with Storage Drawer &amp; 4 Piece Cheese Knife")</f>
        <v/>
      </c>
      <c r="C1557" t="inlineStr">
        <is>
          <t>VINABCB07-4T</t>
        </is>
      </c>
      <c r="D1557" t="inlineStr">
        <is>
          <t>Home Decor, Kitchen, &amp; Other</t>
        </is>
      </c>
      <c r="E1557" t="inlineStr">
        <is>
          <t>Cheese Board Sets</t>
        </is>
      </c>
      <c r="F1557" t="inlineStr">
        <is>
          <t>Tirrinia</t>
        </is>
      </c>
      <c r="G1557" t="n">
        <v>4.4</v>
      </c>
      <c r="H1557" t="n">
        <v>11</v>
      </c>
      <c r="I1557" t="inlineStr">
        <is>
          <t>WFS Item</t>
        </is>
      </c>
      <c r="J1557" s="29" t="n">
        <v>0</v>
      </c>
      <c r="K1557" s="30" t="n"/>
      <c r="L1557" s="29" t="n">
        <v>0</v>
      </c>
      <c r="M1557" s="29" t="n">
        <v>0</v>
      </c>
      <c r="N1557" s="2" t="n">
        <v>0</v>
      </c>
      <c r="O1557" s="31" t="n">
        <v>0</v>
      </c>
      <c r="P1557" s="32" t="n"/>
      <c r="Q1557" s="32" t="n">
        <v>0</v>
      </c>
      <c r="R1557" s="32" t="n">
        <v>0</v>
      </c>
      <c r="S1557" s="31" t="n">
        <v>0</v>
      </c>
      <c r="T1557" s="32" t="n">
        <v>0</v>
      </c>
      <c r="U1557" s="31" t="n">
        <v>0</v>
      </c>
      <c r="V1557" s="31" t="n">
        <v>0</v>
      </c>
      <c r="W1557" s="3" t="n">
        <v>0</v>
      </c>
      <c r="X1557" s="3" t="n">
        <v>0</v>
      </c>
      <c r="Y1557" s="32" t="n">
        <v>0</v>
      </c>
      <c r="Z1557" s="3" t="n">
        <v>0</v>
      </c>
      <c r="AA1557" s="32" t="n">
        <v>0</v>
      </c>
      <c r="AB1557" s="3" t="n"/>
      <c r="AC1557" s="31" t="n">
        <v>0</v>
      </c>
      <c r="AD1557" s="2" t="n">
        <v>0</v>
      </c>
      <c r="AE1557" s="2" t="n">
        <v>0</v>
      </c>
      <c r="AF1557" s="4" t="n">
        <v>0</v>
      </c>
      <c r="AG1557" s="33" t="n">
        <v>0</v>
      </c>
      <c r="AH1557" s="4" t="n">
        <v>0</v>
      </c>
      <c r="AI1557" s="34" t="n"/>
      <c r="AJ1557" s="34" t="n">
        <v>0</v>
      </c>
      <c r="AK1557" s="2" t="n">
        <v>0</v>
      </c>
      <c r="AL1557" t="inlineStr">
        <is>
          <t>Published</t>
        </is>
      </c>
    </row>
    <row r="1558">
      <c r="A1558">
        <f>HYPERLINK("https://www.walmart.com/ip/124762062", "124762062")</f>
        <v/>
      </c>
      <c r="B1558">
        <f>HYPERLINK("https://app.optiwise.ai/catalog/itemdetails/360727", "Women's Chemise Nightgown Full Slip Lace Lounge Dress Teddy Outfits")</f>
        <v/>
      </c>
      <c r="C1558" t="inlineStr">
        <is>
          <t>JWBD011PP-XL</t>
        </is>
      </c>
      <c r="D1558" t="inlineStr">
        <is>
          <t>Clothing</t>
        </is>
      </c>
      <c r="E1558" t="inlineStr">
        <is>
          <t>Nightgowns &amp; Sleepshirts</t>
        </is>
      </c>
      <c r="F1558" t="inlineStr">
        <is>
          <t>JenniWears</t>
        </is>
      </c>
      <c r="G1558" t="n">
        <v>1</v>
      </c>
      <c r="H1558" t="n">
        <v>1</v>
      </c>
      <c r="I1558" t="inlineStr">
        <is>
          <t>Optimized,Valentine</t>
        </is>
      </c>
      <c r="J1558" s="29" t="n">
        <v>0</v>
      </c>
      <c r="K1558" s="30" t="n"/>
      <c r="L1558" s="29" t="n">
        <v>0</v>
      </c>
      <c r="M1558" s="29" t="n">
        <v>0</v>
      </c>
      <c r="N1558" s="2" t="n">
        <v>0</v>
      </c>
      <c r="O1558" s="31" t="n">
        <v>0</v>
      </c>
      <c r="P1558" s="32" t="n"/>
      <c r="Q1558" s="32" t="n">
        <v>0</v>
      </c>
      <c r="R1558" s="32" t="n">
        <v>0</v>
      </c>
      <c r="S1558" s="31" t="n">
        <v>0</v>
      </c>
      <c r="T1558" s="32" t="n">
        <v>0</v>
      </c>
      <c r="U1558" s="31" t="n">
        <v>0</v>
      </c>
      <c r="V1558" s="31" t="n">
        <v>0</v>
      </c>
      <c r="W1558" s="3" t="n">
        <v>0</v>
      </c>
      <c r="X1558" s="3" t="n">
        <v>0</v>
      </c>
      <c r="Y1558" s="32" t="n">
        <v>0</v>
      </c>
      <c r="Z1558" s="3" t="n">
        <v>0</v>
      </c>
      <c r="AA1558" s="32" t="n">
        <v>0</v>
      </c>
      <c r="AB1558" s="3" t="n"/>
      <c r="AC1558" s="31" t="n">
        <v>0</v>
      </c>
      <c r="AD1558" s="2" t="n">
        <v>0</v>
      </c>
      <c r="AE1558" s="2" t="n">
        <v>6</v>
      </c>
      <c r="AF1558" s="4" t="n">
        <v>6</v>
      </c>
      <c r="AG1558" s="33" t="n">
        <v>0</v>
      </c>
      <c r="AH1558" s="4" t="n">
        <v>0</v>
      </c>
      <c r="AI1558" s="34" t="n"/>
      <c r="AJ1558" s="34" t="n">
        <v>0</v>
      </c>
      <c r="AK1558" s="2" t="n">
        <v>0</v>
      </c>
      <c r="AL1558" t="inlineStr">
        <is>
          <t>Published</t>
        </is>
      </c>
    </row>
    <row r="1559">
      <c r="A1559">
        <f>HYPERLINK("https://www.walmart.com/ip/815916743", "815916743")</f>
        <v/>
      </c>
      <c r="B1559">
        <f>HYPERLINK("https://app.optiwise.ai/catalog/itemdetails/360810", "Kato Wine Bottle Opener Set 5 Pcs – Corkscrew, Stopper, Aerator Pourer, Foil Cutter, Sliver Glass Paint Marker With Free")</f>
        <v/>
      </c>
      <c r="C1559" t="inlineStr">
        <is>
          <t>1KTWO51SLBK</t>
        </is>
      </c>
      <c r="D1559" t="inlineStr">
        <is>
          <t>Home Decor, Kitchen, &amp; Other</t>
        </is>
      </c>
      <c r="E1559" t="inlineStr">
        <is>
          <t>Barware Sets</t>
        </is>
      </c>
      <c r="F1559" t="inlineStr">
        <is>
          <t>Kato</t>
        </is>
      </c>
      <c r="G1559" t="n">
        <v>5</v>
      </c>
      <c r="H1559" t="n">
        <v>5</v>
      </c>
      <c r="I1559" t="inlineStr">
        <is>
          <t>Wine,Christmas,WFS,Valentine,WFS Item</t>
        </is>
      </c>
      <c r="J1559" s="29" t="n">
        <v>0</v>
      </c>
      <c r="K1559" s="30" t="n"/>
      <c r="L1559" s="29" t="n">
        <v>0</v>
      </c>
      <c r="M1559" s="29" t="n">
        <v>0</v>
      </c>
      <c r="N1559" s="2" t="n">
        <v>0</v>
      </c>
      <c r="O1559" s="31" t="n">
        <v>0</v>
      </c>
      <c r="P1559" s="32" t="n"/>
      <c r="Q1559" s="32" t="n">
        <v>0</v>
      </c>
      <c r="R1559" s="32" t="n">
        <v>0</v>
      </c>
      <c r="S1559" s="31" t="n">
        <v>0</v>
      </c>
      <c r="T1559" s="32" t="n">
        <v>0</v>
      </c>
      <c r="U1559" s="31" t="n">
        <v>0</v>
      </c>
      <c r="V1559" s="31" t="n">
        <v>0</v>
      </c>
      <c r="W1559" s="3" t="n">
        <v>0</v>
      </c>
      <c r="X1559" s="3" t="n">
        <v>0</v>
      </c>
      <c r="Y1559" s="32" t="n">
        <v>0</v>
      </c>
      <c r="Z1559" s="3" t="n">
        <v>0</v>
      </c>
      <c r="AA1559" s="32" t="n">
        <v>0</v>
      </c>
      <c r="AB1559" s="3" t="n"/>
      <c r="AC1559" s="31" t="n">
        <v>0</v>
      </c>
      <c r="AD1559" s="2" t="n">
        <v>0</v>
      </c>
      <c r="AE1559" s="2" t="n">
        <v>22</v>
      </c>
      <c r="AF1559" s="4" t="n">
        <v>22</v>
      </c>
      <c r="AG1559" s="33" t="n">
        <v>0</v>
      </c>
      <c r="AH1559" s="4" t="n">
        <v>0</v>
      </c>
      <c r="AI1559" s="34" t="n"/>
      <c r="AJ1559" s="34" t="n">
        <v>0</v>
      </c>
      <c r="AK1559" s="2" t="n">
        <v>0</v>
      </c>
      <c r="AL1559" t="inlineStr">
        <is>
          <t>Published</t>
        </is>
      </c>
    </row>
    <row r="1560">
      <c r="A1560">
        <f>HYPERLINK("https://www.walmart.com/ip/605603462", "605603462")</f>
        <v/>
      </c>
      <c r="B1560">
        <f>HYPERLINK("https://app.optiwise.ai/catalog/itemdetails/360819", "Catalonia Wearable TV Blanket with Sleeves Arms &amp; Feet pockets for Adult Micro Plush Fleece Large Wrap Throw Robe 75 x 5")</f>
        <v/>
      </c>
      <c r="C1560" t="inlineStr">
        <is>
          <t>1CTSN101ZEBRA</t>
        </is>
      </c>
      <c r="D1560" t="inlineStr">
        <is>
          <t>Bedding</t>
        </is>
      </c>
      <c r="E1560" t="inlineStr">
        <is>
          <t>Throws</t>
        </is>
      </c>
      <c r="F1560" t="inlineStr">
        <is>
          <t>Catalonia</t>
        </is>
      </c>
      <c r="G1560" t="n">
        <v>0</v>
      </c>
      <c r="H1560" t="n">
        <v>0</v>
      </c>
      <c r="I1560" t="inlineStr">
        <is>
          <t>WFS,WFS Item,Fleece Blankets</t>
        </is>
      </c>
      <c r="J1560" s="29" t="n">
        <v>0</v>
      </c>
      <c r="K1560" s="30" t="n"/>
      <c r="L1560" s="29" t="n">
        <v>0</v>
      </c>
      <c r="M1560" s="29" t="n">
        <v>0</v>
      </c>
      <c r="N1560" s="2" t="n">
        <v>0</v>
      </c>
      <c r="O1560" s="31" t="n">
        <v>0</v>
      </c>
      <c r="P1560" s="32" t="n"/>
      <c r="Q1560" s="32" t="n">
        <v>0</v>
      </c>
      <c r="R1560" s="32" t="n">
        <v>0</v>
      </c>
      <c r="S1560" s="31" t="n">
        <v>0</v>
      </c>
      <c r="T1560" s="32" t="n">
        <v>0</v>
      </c>
      <c r="U1560" s="31" t="n">
        <v>0</v>
      </c>
      <c r="V1560" s="31" t="n">
        <v>0</v>
      </c>
      <c r="W1560" s="3" t="n">
        <v>0</v>
      </c>
      <c r="X1560" s="3" t="n">
        <v>0</v>
      </c>
      <c r="Y1560" s="32" t="n">
        <v>0</v>
      </c>
      <c r="Z1560" s="3" t="n">
        <v>0</v>
      </c>
      <c r="AA1560" s="32" t="n">
        <v>0</v>
      </c>
      <c r="AB1560" s="3" t="n"/>
      <c r="AC1560" s="31" t="n">
        <v>0</v>
      </c>
      <c r="AD1560" s="2" t="n">
        <v>0</v>
      </c>
      <c r="AE1560" s="2" t="n">
        <v>8</v>
      </c>
      <c r="AF1560" s="4" t="n">
        <v>8</v>
      </c>
      <c r="AG1560" s="33" t="n">
        <v>0</v>
      </c>
      <c r="AH1560" s="4" t="n">
        <v>0</v>
      </c>
      <c r="AI1560" s="34" t="n"/>
      <c r="AJ1560" s="34" t="n">
        <v>0</v>
      </c>
      <c r="AK1560" s="2" t="n">
        <v>0</v>
      </c>
      <c r="AL1560" t="inlineStr">
        <is>
          <t>Published</t>
        </is>
      </c>
    </row>
    <row r="1561">
      <c r="A1561">
        <f>HYPERLINK("https://www.walmart.com/ip/181957073", "181957073")</f>
        <v/>
      </c>
      <c r="B1561">
        <f>HYPERLINK("https://app.optiwise.ai/catalog/itemdetails/360897", "Deluxe Stylish Microplush Sleeved Fleece Blanket Soft Home Sofa Snuggie")</f>
        <v/>
      </c>
      <c r="C1561" t="inlineStr">
        <is>
          <t>k3000-wine</t>
        </is>
      </c>
      <c r="D1561" t="inlineStr">
        <is>
          <t>Clothing</t>
        </is>
      </c>
      <c r="E1561" t="inlineStr">
        <is>
          <t>Throws</t>
        </is>
      </c>
      <c r="F1561" t="inlineStr">
        <is>
          <t>NAPA</t>
        </is>
      </c>
      <c r="G1561" t="n">
        <v>5</v>
      </c>
      <c r="H1561" t="n">
        <v>2</v>
      </c>
      <c r="I1561" t="inlineStr">
        <is>
          <t>Fleece Blankets,Batch 1 - TR</t>
        </is>
      </c>
      <c r="J1561" s="29" t="n">
        <v>0</v>
      </c>
      <c r="K1561" s="30" t="n"/>
      <c r="L1561" s="29" t="n">
        <v>0</v>
      </c>
      <c r="M1561" s="29" t="n">
        <v>0</v>
      </c>
      <c r="N1561" s="2" t="n">
        <v>0</v>
      </c>
      <c r="O1561" s="31" t="n">
        <v>0</v>
      </c>
      <c r="P1561" s="32" t="n"/>
      <c r="Q1561" s="32" t="n">
        <v>0</v>
      </c>
      <c r="R1561" s="32" t="n">
        <v>0</v>
      </c>
      <c r="S1561" s="31" t="n">
        <v>0</v>
      </c>
      <c r="T1561" s="32" t="n">
        <v>0</v>
      </c>
      <c r="U1561" s="31" t="n">
        <v>0</v>
      </c>
      <c r="V1561" s="31" t="n">
        <v>0</v>
      </c>
      <c r="W1561" s="3" t="n">
        <v>0</v>
      </c>
      <c r="X1561" s="3" t="n">
        <v>0</v>
      </c>
      <c r="Y1561" s="32" t="n">
        <v>0</v>
      </c>
      <c r="Z1561" s="3" t="n">
        <v>0</v>
      </c>
      <c r="AA1561" s="32" t="n">
        <v>0</v>
      </c>
      <c r="AB1561" s="3" t="n"/>
      <c r="AC1561" s="31" t="n">
        <v>0</v>
      </c>
      <c r="AD1561" s="2" t="n">
        <v>0</v>
      </c>
      <c r="AE1561" s="2" t="n">
        <v>0</v>
      </c>
      <c r="AF1561" s="4" t="n">
        <v>0</v>
      </c>
      <c r="AG1561" s="33" t="n">
        <v>0</v>
      </c>
      <c r="AH1561" s="4" t="n">
        <v>0</v>
      </c>
      <c r="AI1561" s="34" t="n"/>
      <c r="AJ1561" s="34" t="n">
        <v>0</v>
      </c>
      <c r="AK1561" s="2" t="n">
        <v>0</v>
      </c>
      <c r="AL1561" t="inlineStr">
        <is>
          <t>Published</t>
        </is>
      </c>
    </row>
    <row r="1562">
      <c r="A1562">
        <f>HYPERLINK("https://www.walmart.com/ip/603198106", "603198106")</f>
        <v/>
      </c>
      <c r="B1562">
        <f>HYPERLINK("https://app.optiwise.ai/catalog/itemdetails/360856", "Two Pieces Double up Tankini Swimsuit for Women Bathing Suits Set by Tirrinia")</f>
        <v/>
      </c>
      <c r="C1562" t="inlineStr">
        <is>
          <t>1TRSS002WH-XL</t>
        </is>
      </c>
      <c r="D1562" t="inlineStr">
        <is>
          <t>Clothing</t>
        </is>
      </c>
      <c r="E1562" t="inlineStr">
        <is>
          <t>Swimsuit Sets</t>
        </is>
      </c>
      <c r="F1562" t="inlineStr">
        <is>
          <t>Tirrinia</t>
        </is>
      </c>
      <c r="G1562" t="n">
        <v>0</v>
      </c>
      <c r="H1562" t="n">
        <v>0</v>
      </c>
      <c r="I1562" t="inlineStr">
        <is>
          <t>Batch 1 - TR</t>
        </is>
      </c>
      <c r="J1562" s="29" t="n">
        <v>0</v>
      </c>
      <c r="K1562" s="30" t="n"/>
      <c r="L1562" s="29" t="n">
        <v>0</v>
      </c>
      <c r="M1562" s="29" t="n">
        <v>0</v>
      </c>
      <c r="N1562" s="2" t="n">
        <v>0</v>
      </c>
      <c r="O1562" s="31" t="n">
        <v>0</v>
      </c>
      <c r="P1562" s="32" t="n"/>
      <c r="Q1562" s="32" t="n">
        <v>0</v>
      </c>
      <c r="R1562" s="32" t="n">
        <v>0</v>
      </c>
      <c r="S1562" s="31" t="n">
        <v>0</v>
      </c>
      <c r="T1562" s="32" t="n">
        <v>0</v>
      </c>
      <c r="U1562" s="31" t="n">
        <v>0</v>
      </c>
      <c r="V1562" s="31" t="n">
        <v>0</v>
      </c>
      <c r="W1562" s="3" t="n">
        <v>0</v>
      </c>
      <c r="X1562" s="3" t="n">
        <v>0</v>
      </c>
      <c r="Y1562" s="32" t="n">
        <v>0</v>
      </c>
      <c r="Z1562" s="3" t="n">
        <v>0</v>
      </c>
      <c r="AA1562" s="32" t="n">
        <v>0</v>
      </c>
      <c r="AB1562" s="3" t="n"/>
      <c r="AC1562" s="31" t="n">
        <v>0</v>
      </c>
      <c r="AD1562" s="2" t="n">
        <v>0</v>
      </c>
      <c r="AE1562" s="2" t="n">
        <v>3</v>
      </c>
      <c r="AF1562" s="4" t="n">
        <v>3</v>
      </c>
      <c r="AG1562" s="33" t="n">
        <v>0</v>
      </c>
      <c r="AH1562" s="4" t="n">
        <v>0</v>
      </c>
      <c r="AI1562" s="34" t="n"/>
      <c r="AJ1562" s="34" t="n">
        <v>0</v>
      </c>
      <c r="AK1562" s="2" t="n">
        <v>0</v>
      </c>
      <c r="AL1562" t="inlineStr">
        <is>
          <t>Published</t>
        </is>
      </c>
    </row>
    <row r="1563">
      <c r="A1563">
        <f>HYPERLINK("https://www.walmart.com/ip/931708208", "931708208")</f>
        <v/>
      </c>
      <c r="B1563">
        <f>HYPERLINK("https://app.optiwise.ai/catalog/itemdetails/360892", "Ski Gloves for Women &amp; Men 3M Winter Snow Gloves Mittens Insulation Waterproof for Outdoors Sports")</f>
        <v/>
      </c>
      <c r="C1563" t="inlineStr">
        <is>
          <t>1SLWG100BKXL</t>
        </is>
      </c>
      <c r="D1563" t="inlineStr">
        <is>
          <t>Clothing</t>
        </is>
      </c>
      <c r="E1563" t="inlineStr">
        <is>
          <t>Gloves &amp; Mittens</t>
        </is>
      </c>
      <c r="F1563" t="inlineStr">
        <is>
          <t>Solaris</t>
        </is>
      </c>
      <c r="G1563" t="n">
        <v>0</v>
      </c>
      <c r="H1563" t="n">
        <v>0</v>
      </c>
      <c r="I1563" t="inlineStr">
        <is>
          <t>Gloves,WFS,WFS Item</t>
        </is>
      </c>
      <c r="J1563" s="29" t="n">
        <v>0</v>
      </c>
      <c r="K1563" s="30" t="n"/>
      <c r="L1563" s="29" t="n">
        <v>0</v>
      </c>
      <c r="M1563" s="29" t="n">
        <v>0</v>
      </c>
      <c r="N1563" s="2" t="n">
        <v>0</v>
      </c>
      <c r="O1563" s="31" t="n">
        <v>0</v>
      </c>
      <c r="P1563" s="32" t="n"/>
      <c r="Q1563" s="32" t="n">
        <v>0</v>
      </c>
      <c r="R1563" s="32" t="n">
        <v>0</v>
      </c>
      <c r="S1563" s="31" t="n">
        <v>0</v>
      </c>
      <c r="T1563" s="32" t="n">
        <v>0</v>
      </c>
      <c r="U1563" s="31" t="n">
        <v>0</v>
      </c>
      <c r="V1563" s="31" t="n">
        <v>0</v>
      </c>
      <c r="W1563" s="3" t="n">
        <v>0</v>
      </c>
      <c r="X1563" s="3" t="n">
        <v>0</v>
      </c>
      <c r="Y1563" s="32" t="n">
        <v>0</v>
      </c>
      <c r="Z1563" s="3" t="n">
        <v>0</v>
      </c>
      <c r="AA1563" s="32" t="n">
        <v>0</v>
      </c>
      <c r="AB1563" s="3" t="n"/>
      <c r="AC1563" s="31" t="n">
        <v>0</v>
      </c>
      <c r="AD1563" s="2" t="n">
        <v>0</v>
      </c>
      <c r="AE1563" s="2" t="n">
        <v>9</v>
      </c>
      <c r="AF1563" s="4" t="n">
        <v>9</v>
      </c>
      <c r="AG1563" s="33" t="n">
        <v>0</v>
      </c>
      <c r="AH1563" s="4" t="n">
        <v>0</v>
      </c>
      <c r="AI1563" s="34" t="n"/>
      <c r="AJ1563" s="34" t="n">
        <v>0</v>
      </c>
      <c r="AK1563" s="2" t="n">
        <v>0</v>
      </c>
      <c r="AL1563" t="inlineStr">
        <is>
          <t>Published</t>
        </is>
      </c>
    </row>
    <row r="1564">
      <c r="A1564">
        <f>HYPERLINK("https://www.walmart.com/ip/559993924", "559993924")</f>
        <v/>
      </c>
      <c r="B1564">
        <f>HYPERLINK("https://app.optiwise.ai/catalog/itemdetails/360881", "Catalonia Coral Fleece Throw Blanket for Couch, All Seasons Lightweight Soft Cozy Throws for Home Living Room Decoration, 50'' x 60'', Blue")</f>
        <v/>
      </c>
      <c r="C1564" t="inlineStr">
        <is>
          <t>1CTBF577BL</t>
        </is>
      </c>
      <c r="D1564" t="inlineStr">
        <is>
          <t>Bedding</t>
        </is>
      </c>
      <c r="E1564" t="inlineStr">
        <is>
          <t>Throws</t>
        </is>
      </c>
      <c r="F1564" t="inlineStr">
        <is>
          <t>Catalonia</t>
        </is>
      </c>
      <c r="G1564" t="n">
        <v>4.5</v>
      </c>
      <c r="H1564" t="n">
        <v>2</v>
      </c>
      <c r="I1564" t="inlineStr">
        <is>
          <t>Q2-Target,WFS,Coupon_Discount,cost-added,WFS Item</t>
        </is>
      </c>
      <c r="J1564" s="29" t="n">
        <v>0</v>
      </c>
      <c r="K1564" s="30" t="n"/>
      <c r="L1564" s="29" t="n">
        <v>0</v>
      </c>
      <c r="M1564" s="29" t="n">
        <v>0</v>
      </c>
      <c r="N1564" s="2" t="n">
        <v>0</v>
      </c>
      <c r="O1564" s="31" t="n">
        <v>0</v>
      </c>
      <c r="P1564" s="32" t="n"/>
      <c r="Q1564" s="32" t="n">
        <v>0</v>
      </c>
      <c r="R1564" s="32" t="n">
        <v>0</v>
      </c>
      <c r="S1564" s="31" t="n">
        <v>0</v>
      </c>
      <c r="T1564" s="32" t="n">
        <v>0</v>
      </c>
      <c r="U1564" s="31" t="n">
        <v>0</v>
      </c>
      <c r="V1564" s="31" t="n">
        <v>0</v>
      </c>
      <c r="W1564" s="3" t="n">
        <v>0</v>
      </c>
      <c r="X1564" s="3" t="n">
        <v>0</v>
      </c>
      <c r="Y1564" s="32" t="n">
        <v>0</v>
      </c>
      <c r="Z1564" s="3" t="n">
        <v>0</v>
      </c>
      <c r="AA1564" s="32" t="n">
        <v>0</v>
      </c>
      <c r="AB1564" s="3" t="n"/>
      <c r="AC1564" s="31" t="n">
        <v>0</v>
      </c>
      <c r="AD1564" s="2" t="n">
        <v>0</v>
      </c>
      <c r="AE1564" s="2" t="n">
        <v>29</v>
      </c>
      <c r="AF1564" s="4" t="n">
        <v>29</v>
      </c>
      <c r="AG1564" s="33" t="n">
        <v>0</v>
      </c>
      <c r="AH1564" s="4" t="n">
        <v>0</v>
      </c>
      <c r="AI1564" s="34" t="n"/>
      <c r="AJ1564" s="34" t="n">
        <v>0</v>
      </c>
      <c r="AK1564" s="2" t="n">
        <v>0</v>
      </c>
      <c r="AL1564" t="inlineStr">
        <is>
          <t>Published</t>
        </is>
      </c>
    </row>
    <row r="1565">
      <c r="A1565">
        <f>HYPERLINK("https://www.walmart.com/ip/815510126", "815510126")</f>
        <v/>
      </c>
      <c r="B1565">
        <f>HYPERLINK("https://app.optiwise.ai/catalog/itemdetails/360878", "Fleece Blanket Wearable with Sleeves &amp; Foot pockets for Men and Women, Micro Plush Wrap Sleeved Throw Blanket Robe Multi-Colors 75”x53” by Catalonia")</f>
        <v/>
      </c>
      <c r="C1565" t="inlineStr">
        <is>
          <t>1CTSN101GY</t>
        </is>
      </c>
      <c r="D1565" t="inlineStr">
        <is>
          <t>Bedding</t>
        </is>
      </c>
      <c r="E1565" t="inlineStr">
        <is>
          <t>Throws</t>
        </is>
      </c>
      <c r="F1565" t="inlineStr">
        <is>
          <t>Catalonia</t>
        </is>
      </c>
      <c r="G1565" t="n">
        <v>5</v>
      </c>
      <c r="H1565" t="n">
        <v>5</v>
      </c>
      <c r="I1565" t="inlineStr">
        <is>
          <t>WFS,Coupon_Discount,WFS Item,Fleece Blankets</t>
        </is>
      </c>
      <c r="J1565" s="29" t="n">
        <v>0</v>
      </c>
      <c r="K1565" s="30" t="n"/>
      <c r="L1565" s="29" t="n">
        <v>0</v>
      </c>
      <c r="M1565" s="29" t="n">
        <v>0</v>
      </c>
      <c r="N1565" s="2" t="n">
        <v>0</v>
      </c>
      <c r="O1565" s="31" t="n">
        <v>0</v>
      </c>
      <c r="P1565" s="32" t="n"/>
      <c r="Q1565" s="32" t="n">
        <v>0</v>
      </c>
      <c r="R1565" s="32" t="n">
        <v>0</v>
      </c>
      <c r="S1565" s="31" t="n">
        <v>0</v>
      </c>
      <c r="T1565" s="32" t="n">
        <v>0</v>
      </c>
      <c r="U1565" s="31" t="n">
        <v>0</v>
      </c>
      <c r="V1565" s="31" t="n">
        <v>0</v>
      </c>
      <c r="W1565" s="3" t="n">
        <v>0</v>
      </c>
      <c r="X1565" s="3" t="n">
        <v>0</v>
      </c>
      <c r="Y1565" s="32" t="n">
        <v>0</v>
      </c>
      <c r="Z1565" s="3" t="n">
        <v>0</v>
      </c>
      <c r="AA1565" s="32" t="n">
        <v>0</v>
      </c>
      <c r="AB1565" s="3" t="n"/>
      <c r="AC1565" s="31" t="n">
        <v>0</v>
      </c>
      <c r="AD1565" s="2" t="n">
        <v>37</v>
      </c>
      <c r="AE1565" s="2" t="n">
        <v>78</v>
      </c>
      <c r="AF1565" s="4" t="n">
        <v>78</v>
      </c>
      <c r="AG1565" s="33" t="n">
        <v>0</v>
      </c>
      <c r="AH1565" s="4" t="n">
        <v>0</v>
      </c>
      <c r="AI1565" s="34" t="n"/>
      <c r="AJ1565" s="34" t="n">
        <v>0</v>
      </c>
      <c r="AK1565" s="2" t="n">
        <v>0</v>
      </c>
      <c r="AL1565" t="inlineStr">
        <is>
          <t>Published</t>
        </is>
      </c>
    </row>
    <row r="1566">
      <c r="A1566">
        <f>HYPERLINK("https://www.walmart.com/ip/250956807", "250956807")</f>
        <v/>
      </c>
      <c r="B1566">
        <f>HYPERLINK("https://app.optiwise.ai/catalog/itemdetails/360873", "Tirrinia Snowflake Sherpa Throw Blanket 50 x 60, Super Soft Fluffy Sherpa Throw TV Blanket Decorative Blanket for Bed Couch Holidays | Catalonia series | Blue")</f>
        <v/>
      </c>
      <c r="C1566" t="inlineStr">
        <is>
          <t>1TRBF390BL-TBCB</t>
        </is>
      </c>
      <c r="D1566" t="inlineStr">
        <is>
          <t>Bedding</t>
        </is>
      </c>
      <c r="E1566" t="inlineStr">
        <is>
          <t>Throws</t>
        </is>
      </c>
      <c r="F1566" t="inlineStr">
        <is>
          <t>Tirrinia</t>
        </is>
      </c>
      <c r="G1566" t="n">
        <v>4.9</v>
      </c>
      <c r="H1566" t="n">
        <v>7</v>
      </c>
      <c r="I1566" t="inlineStr">
        <is>
          <t>Batch 1 - TR</t>
        </is>
      </c>
      <c r="J1566" s="29" t="n">
        <v>0</v>
      </c>
      <c r="K1566" s="30" t="n"/>
      <c r="L1566" s="29" t="n">
        <v>0</v>
      </c>
      <c r="M1566" s="29" t="n">
        <v>0</v>
      </c>
      <c r="N1566" s="2" t="n">
        <v>0</v>
      </c>
      <c r="O1566" s="31" t="n">
        <v>0</v>
      </c>
      <c r="P1566" s="32" t="n"/>
      <c r="Q1566" s="32" t="n">
        <v>0</v>
      </c>
      <c r="R1566" s="32" t="n">
        <v>0</v>
      </c>
      <c r="S1566" s="31" t="n">
        <v>0</v>
      </c>
      <c r="T1566" s="32" t="n">
        <v>0</v>
      </c>
      <c r="U1566" s="31" t="n">
        <v>0</v>
      </c>
      <c r="V1566" s="31" t="n">
        <v>0</v>
      </c>
      <c r="W1566" s="3" t="n">
        <v>0</v>
      </c>
      <c r="X1566" s="3" t="n">
        <v>0</v>
      </c>
      <c r="Y1566" s="32" t="n">
        <v>0</v>
      </c>
      <c r="Z1566" s="3" t="n">
        <v>0</v>
      </c>
      <c r="AA1566" s="32" t="n">
        <v>0</v>
      </c>
      <c r="AB1566" s="3" t="n"/>
      <c r="AC1566" s="31" t="n">
        <v>0</v>
      </c>
      <c r="AD1566" s="2" t="n">
        <v>0</v>
      </c>
      <c r="AE1566" s="2" t="n">
        <v>3</v>
      </c>
      <c r="AF1566" s="4" t="n">
        <v>3</v>
      </c>
      <c r="AG1566" s="33" t="n">
        <v>0</v>
      </c>
      <c r="AH1566" s="4" t="n">
        <v>0</v>
      </c>
      <c r="AI1566" s="34" t="n"/>
      <c r="AJ1566" s="34" t="n">
        <v>0</v>
      </c>
      <c r="AK1566" s="2" t="n">
        <v>0</v>
      </c>
      <c r="AL1566" t="inlineStr">
        <is>
          <t>Published</t>
        </is>
      </c>
    </row>
    <row r="1567">
      <c r="A1567">
        <f>HYPERLINK("https://www.walmart.com/ip/714263261", "714263261")</f>
        <v/>
      </c>
      <c r="B1567">
        <f>HYPERLINK("https://app.optiwise.ai/catalog/itemdetails/360872", "Brazilian Body Wave Lace Front Wig,Natural Looking Synthetic Fiber Curly Long Hair Wig for Black Women African American")</f>
        <v/>
      </c>
      <c r="C1567" t="inlineStr">
        <is>
          <t>1CTWIG272-2-ESCB</t>
        </is>
      </c>
      <c r="D1567" t="inlineStr">
        <is>
          <t>Clothing</t>
        </is>
      </c>
      <c r="E1567" t="inlineStr">
        <is>
          <t>Wigs &amp; Toupees</t>
        </is>
      </c>
      <c r="F1567" t="inlineStr">
        <is>
          <t>Catalonia</t>
        </is>
      </c>
      <c r="G1567" t="n">
        <v>0</v>
      </c>
      <c r="H1567" t="n">
        <v>0</v>
      </c>
      <c r="I1567" t="inlineStr">
        <is>
          <t>Batch 1 - TR</t>
        </is>
      </c>
      <c r="J1567" s="29" t="n">
        <v>0</v>
      </c>
      <c r="K1567" s="30" t="n"/>
      <c r="L1567" s="29" t="n">
        <v>0</v>
      </c>
      <c r="M1567" s="29" t="n">
        <v>0</v>
      </c>
      <c r="N1567" s="2" t="n">
        <v>0</v>
      </c>
      <c r="O1567" s="31" t="n">
        <v>0</v>
      </c>
      <c r="P1567" s="32" t="n"/>
      <c r="Q1567" s="32" t="n">
        <v>0</v>
      </c>
      <c r="R1567" s="32" t="n">
        <v>0</v>
      </c>
      <c r="S1567" s="31" t="n">
        <v>0</v>
      </c>
      <c r="T1567" s="32" t="n">
        <v>0</v>
      </c>
      <c r="U1567" s="31" t="n">
        <v>0</v>
      </c>
      <c r="V1567" s="31" t="n">
        <v>0</v>
      </c>
      <c r="W1567" s="3" t="n">
        <v>0</v>
      </c>
      <c r="X1567" s="3" t="n">
        <v>0</v>
      </c>
      <c r="Y1567" s="32" t="n">
        <v>0</v>
      </c>
      <c r="Z1567" s="3" t="n">
        <v>0</v>
      </c>
      <c r="AA1567" s="32" t="n">
        <v>0</v>
      </c>
      <c r="AB1567" s="3" t="n"/>
      <c r="AC1567" s="31" t="n">
        <v>0</v>
      </c>
      <c r="AD1567" s="2" t="n">
        <v>0</v>
      </c>
      <c r="AE1567" s="2" t="n">
        <v>2</v>
      </c>
      <c r="AF1567" s="4" t="n">
        <v>2</v>
      </c>
      <c r="AG1567" s="33" t="n">
        <v>0</v>
      </c>
      <c r="AH1567" s="4" t="n">
        <v>0</v>
      </c>
      <c r="AI1567" s="34" t="n"/>
      <c r="AJ1567" s="34" t="n">
        <v>0</v>
      </c>
      <c r="AK1567" s="2" t="n">
        <v>0</v>
      </c>
      <c r="AL1567" t="inlineStr">
        <is>
          <t>Published</t>
        </is>
      </c>
    </row>
    <row r="1568">
      <c r="A1568">
        <f>HYPERLINK("https://www.walmart.com/ip/116168425", "116168425")</f>
        <v/>
      </c>
      <c r="B1568">
        <f>HYPERLINK("https://app.optiwise.ai/catalog/itemdetails/360871", "Male Female Adjustable Buckle Closure USA Flag Embroidered Cap")</f>
        <v/>
      </c>
      <c r="C1568" t="inlineStr">
        <is>
          <t>kc-ae8010-kk</t>
        </is>
      </c>
      <c r="D1568" t="inlineStr">
        <is>
          <t>Clothing</t>
        </is>
      </c>
      <c r="E1568" t="inlineStr">
        <is>
          <t>Hats</t>
        </is>
      </c>
      <c r="F1568" t="inlineStr">
        <is>
          <t>KC Caps</t>
        </is>
      </c>
      <c r="G1568" t="n">
        <v>0</v>
      </c>
      <c r="H1568" t="n">
        <v>0</v>
      </c>
      <c r="I1568" t="inlineStr">
        <is>
          <t>Optimized</t>
        </is>
      </c>
      <c r="J1568" s="29" t="n">
        <v>0</v>
      </c>
      <c r="K1568" s="30" t="n"/>
      <c r="L1568" s="29" t="n">
        <v>0</v>
      </c>
      <c r="M1568" s="29" t="n">
        <v>0</v>
      </c>
      <c r="N1568" s="2" t="n">
        <v>0</v>
      </c>
      <c r="O1568" s="31" t="n">
        <v>0</v>
      </c>
      <c r="P1568" s="32" t="n"/>
      <c r="Q1568" s="32" t="n">
        <v>0</v>
      </c>
      <c r="R1568" s="32" t="n">
        <v>0</v>
      </c>
      <c r="S1568" s="31" t="n">
        <v>0</v>
      </c>
      <c r="T1568" s="32" t="n">
        <v>0</v>
      </c>
      <c r="U1568" s="31" t="n">
        <v>0</v>
      </c>
      <c r="V1568" s="31" t="n">
        <v>0</v>
      </c>
      <c r="W1568" s="3" t="n">
        <v>0</v>
      </c>
      <c r="X1568" s="3" t="n">
        <v>0</v>
      </c>
      <c r="Y1568" s="32" t="n">
        <v>0</v>
      </c>
      <c r="Z1568" s="3" t="n">
        <v>0</v>
      </c>
      <c r="AA1568" s="32" t="n">
        <v>0</v>
      </c>
      <c r="AB1568" s="3" t="n"/>
      <c r="AC1568" s="31" t="n">
        <v>0</v>
      </c>
      <c r="AD1568" s="2" t="n">
        <v>0</v>
      </c>
      <c r="AE1568" s="2" t="n">
        <v>5</v>
      </c>
      <c r="AF1568" s="4" t="n">
        <v>5</v>
      </c>
      <c r="AG1568" s="33" t="n">
        <v>0</v>
      </c>
      <c r="AH1568" s="4" t="n">
        <v>0</v>
      </c>
      <c r="AI1568" s="34" t="n"/>
      <c r="AJ1568" s="34" t="n">
        <v>0</v>
      </c>
      <c r="AK1568" s="2" t="n">
        <v>0</v>
      </c>
      <c r="AL1568" t="inlineStr">
        <is>
          <t>Published</t>
        </is>
      </c>
    </row>
    <row r="1569">
      <c r="A1569">
        <f>HYPERLINK("https://www.walmart.com/ip/105096970", "105096970")</f>
        <v/>
      </c>
      <c r="B1569">
        <f>HYPERLINK("https://app.optiwise.ai/catalog/itemdetails/360869", "Fashion Ladies Beileise Sexy Fishnet Crotchless Suspender Pantyhose Stockings Black - 3 Packs")</f>
        <v/>
      </c>
      <c r="C1569" t="inlineStr">
        <is>
          <t>JWBLSPH2029-3pcs</t>
        </is>
      </c>
      <c r="D1569" t="inlineStr">
        <is>
          <t>Clothing</t>
        </is>
      </c>
      <c r="E1569" t="inlineStr">
        <is>
          <t>Pantyhose &amp; Tights</t>
        </is>
      </c>
      <c r="F1569" t="inlineStr">
        <is>
          <t>JenniWears</t>
        </is>
      </c>
      <c r="G1569" t="n">
        <v>0</v>
      </c>
      <c r="H1569" t="n">
        <v>0</v>
      </c>
      <c r="I1569" t="inlineStr">
        <is>
          <t>Optimized,WFS,Valentine,WFS Item</t>
        </is>
      </c>
      <c r="J1569" s="29" t="n">
        <v>0</v>
      </c>
      <c r="K1569" s="30" t="n"/>
      <c r="L1569" s="29" t="n">
        <v>0</v>
      </c>
      <c r="M1569" s="29" t="n">
        <v>0</v>
      </c>
      <c r="N1569" s="2" t="n">
        <v>0</v>
      </c>
      <c r="O1569" s="31" t="n">
        <v>0</v>
      </c>
      <c r="P1569" s="32" t="n"/>
      <c r="Q1569" s="32" t="n">
        <v>0</v>
      </c>
      <c r="R1569" s="32" t="n">
        <v>0</v>
      </c>
      <c r="S1569" s="31" t="n">
        <v>0</v>
      </c>
      <c r="T1569" s="32" t="n">
        <v>0</v>
      </c>
      <c r="U1569" s="31" t="n">
        <v>0</v>
      </c>
      <c r="V1569" s="31" t="n">
        <v>0</v>
      </c>
      <c r="W1569" s="3" t="n">
        <v>0</v>
      </c>
      <c r="X1569" s="3" t="n">
        <v>0</v>
      </c>
      <c r="Y1569" s="32" t="n">
        <v>0</v>
      </c>
      <c r="Z1569" s="3" t="n">
        <v>0</v>
      </c>
      <c r="AA1569" s="32" t="n">
        <v>0</v>
      </c>
      <c r="AB1569" s="3" t="n"/>
      <c r="AC1569" s="31" t="n">
        <v>0</v>
      </c>
      <c r="AD1569" s="2" t="n">
        <v>0</v>
      </c>
      <c r="AE1569" s="2" t="n">
        <v>9</v>
      </c>
      <c r="AF1569" s="4" t="n">
        <v>9</v>
      </c>
      <c r="AG1569" s="33" t="n">
        <v>0</v>
      </c>
      <c r="AH1569" s="4" t="n">
        <v>0</v>
      </c>
      <c r="AI1569" s="34" t="n"/>
      <c r="AJ1569" s="34" t="n">
        <v>0</v>
      </c>
      <c r="AK1569" s="2" t="n">
        <v>0</v>
      </c>
      <c r="AL1569" t="inlineStr">
        <is>
          <t>Published</t>
        </is>
      </c>
    </row>
    <row r="1570">
      <c r="A1570">
        <f>HYPERLINK("https://www.walmart.com/ip/758938048", "758938048")</f>
        <v/>
      </c>
      <c r="B1570">
        <f>HYPERLINK("https://app.optiwise.ai/catalog/itemdetails/360865", "Terra Men Boxer Brief Underwear Best 3 Pack Most Comfortable Cotton Trunk Short")</f>
        <v/>
      </c>
      <c r="C1570" t="inlineStr">
        <is>
          <t>TERRA-BOXER6-L</t>
        </is>
      </c>
      <c r="D1570" t="inlineStr">
        <is>
          <t>Clothing</t>
        </is>
      </c>
      <c r="E1570" t="inlineStr">
        <is>
          <t>Underpants</t>
        </is>
      </c>
      <c r="F1570" t="inlineStr">
        <is>
          <t>Terra</t>
        </is>
      </c>
      <c r="G1570" t="n">
        <v>0</v>
      </c>
      <c r="H1570" t="n">
        <v>0</v>
      </c>
      <c r="I1570" t="inlineStr">
        <is>
          <t>Batch 1 - TR</t>
        </is>
      </c>
      <c r="J1570" s="29" t="n">
        <v>0</v>
      </c>
      <c r="K1570" s="30" t="n"/>
      <c r="L1570" s="29" t="n">
        <v>0</v>
      </c>
      <c r="M1570" s="29" t="n">
        <v>0</v>
      </c>
      <c r="N1570" s="2" t="n">
        <v>0</v>
      </c>
      <c r="O1570" s="31" t="n">
        <v>0</v>
      </c>
      <c r="P1570" s="32" t="n"/>
      <c r="Q1570" s="32" t="n">
        <v>0</v>
      </c>
      <c r="R1570" s="32" t="n">
        <v>0</v>
      </c>
      <c r="S1570" s="31" t="n">
        <v>0</v>
      </c>
      <c r="T1570" s="32" t="n">
        <v>0</v>
      </c>
      <c r="U1570" s="31" t="n">
        <v>0</v>
      </c>
      <c r="V1570" s="31" t="n">
        <v>0</v>
      </c>
      <c r="W1570" s="3" t="n">
        <v>0</v>
      </c>
      <c r="X1570" s="3" t="n">
        <v>0</v>
      </c>
      <c r="Y1570" s="32" t="n">
        <v>0</v>
      </c>
      <c r="Z1570" s="3" t="n">
        <v>0</v>
      </c>
      <c r="AA1570" s="32" t="n">
        <v>0</v>
      </c>
      <c r="AB1570" s="3" t="n"/>
      <c r="AC1570" s="31" t="n">
        <v>0</v>
      </c>
      <c r="AD1570" s="2" t="n">
        <v>0</v>
      </c>
      <c r="AE1570" s="2" t="n">
        <v>10</v>
      </c>
      <c r="AF1570" s="4" t="n">
        <v>10</v>
      </c>
      <c r="AG1570" s="33" t="n">
        <v>0</v>
      </c>
      <c r="AH1570" s="4" t="n">
        <v>0</v>
      </c>
      <c r="AI1570" s="34" t="n"/>
      <c r="AJ1570" s="34" t="n">
        <v>0</v>
      </c>
      <c r="AK1570" s="2" t="n">
        <v>0</v>
      </c>
      <c r="AL1570" t="inlineStr">
        <is>
          <t>Published</t>
        </is>
      </c>
    </row>
    <row r="1571">
      <c r="A1571">
        <f>HYPERLINK("https://www.walmart.com/ip/815484125", "815484125")</f>
        <v/>
      </c>
      <c r="B1571">
        <f>HYPERLINK("https://app.optiwise.ai/catalog/itemdetails/360864", "Unisex Fishing Hat with Foldable Neck Flap Cover Wide Brim Sun UV Protection Hiking Safari Bucket Cap for Bug Free (Khaki)")</f>
        <v/>
      </c>
      <c r="C1571" t="inlineStr">
        <is>
          <t>1SLSH060KK</t>
        </is>
      </c>
      <c r="D1571" t="inlineStr">
        <is>
          <t>Clothing</t>
        </is>
      </c>
      <c r="E1571" t="inlineStr">
        <is>
          <t>Hats</t>
        </is>
      </c>
      <c r="F1571" t="inlineStr">
        <is>
          <t>Solaris</t>
        </is>
      </c>
      <c r="G1571" t="n">
        <v>4.5</v>
      </c>
      <c r="H1571" t="n">
        <v>6</v>
      </c>
      <c r="I1571" t="inlineStr">
        <is>
          <t>Hats,Batch 1 - TR</t>
        </is>
      </c>
      <c r="J1571" s="29" t="n">
        <v>0</v>
      </c>
      <c r="K1571" s="30" t="n"/>
      <c r="L1571" s="29" t="n">
        <v>0</v>
      </c>
      <c r="M1571" s="29" t="n">
        <v>0</v>
      </c>
      <c r="N1571" s="2" t="n">
        <v>0</v>
      </c>
      <c r="O1571" s="31" t="n">
        <v>0</v>
      </c>
      <c r="P1571" s="32" t="n"/>
      <c r="Q1571" s="32" t="n">
        <v>0</v>
      </c>
      <c r="R1571" s="32" t="n">
        <v>0</v>
      </c>
      <c r="S1571" s="31" t="n">
        <v>0</v>
      </c>
      <c r="T1571" s="32" t="n">
        <v>0</v>
      </c>
      <c r="U1571" s="31" t="n">
        <v>0</v>
      </c>
      <c r="V1571" s="31" t="n">
        <v>0</v>
      </c>
      <c r="W1571" s="3" t="n">
        <v>0</v>
      </c>
      <c r="X1571" s="3" t="n">
        <v>0</v>
      </c>
      <c r="Y1571" s="32" t="n">
        <v>0</v>
      </c>
      <c r="Z1571" s="3" t="n">
        <v>0</v>
      </c>
      <c r="AA1571" s="32" t="n">
        <v>0</v>
      </c>
      <c r="AB1571" s="3" t="n"/>
      <c r="AC1571" s="31" t="n">
        <v>0</v>
      </c>
      <c r="AD1571" s="2" t="n">
        <v>0</v>
      </c>
      <c r="AE1571" s="2" t="n">
        <v>1</v>
      </c>
      <c r="AF1571" s="4" t="n">
        <v>1</v>
      </c>
      <c r="AG1571" s="33" t="n">
        <v>0</v>
      </c>
      <c r="AH1571" s="4" t="n">
        <v>0</v>
      </c>
      <c r="AI1571" s="34" t="n"/>
      <c r="AJ1571" s="34" t="n">
        <v>0</v>
      </c>
      <c r="AK1571" s="2" t="n">
        <v>0</v>
      </c>
      <c r="AL1571" t="inlineStr">
        <is>
          <t>Published</t>
        </is>
      </c>
    </row>
    <row r="1572">
      <c r="A1572">
        <f>HYPERLINK("https://www.walmart.com/ip/536649546", "536649546")</f>
        <v/>
      </c>
      <c r="B1572">
        <f>HYPERLINK("https://app.optiwise.ai/catalog/itemdetails/360863", "Catalonia Snuggie Tails Toddlers Blanket Kids Sleep Bag Warm Plush Super Soft for Baby Children Teen Boy Girl")</f>
        <v/>
      </c>
      <c r="C1572" t="inlineStr">
        <is>
          <t>1WMMM200NM</t>
        </is>
      </c>
      <c r="D1572" t="inlineStr">
        <is>
          <t>Bedding</t>
        </is>
      </c>
      <c r="E1572" t="inlineStr">
        <is>
          <t>Bed Blankets</t>
        </is>
      </c>
      <c r="F1572" t="inlineStr">
        <is>
          <t>Flyingstar</t>
        </is>
      </c>
      <c r="G1572" t="n">
        <v>0</v>
      </c>
      <c r="H1572" t="n">
        <v>0</v>
      </c>
      <c r="I1572" t="inlineStr">
        <is>
          <t>Baby days,Optimized</t>
        </is>
      </c>
      <c r="J1572" s="29" t="n">
        <v>0</v>
      </c>
      <c r="K1572" s="30" t="n"/>
      <c r="L1572" s="29" t="n">
        <v>0</v>
      </c>
      <c r="M1572" s="29" t="n">
        <v>0</v>
      </c>
      <c r="N1572" s="2" t="n">
        <v>0</v>
      </c>
      <c r="O1572" s="31" t="n">
        <v>0</v>
      </c>
      <c r="P1572" s="32" t="n"/>
      <c r="Q1572" s="32" t="n">
        <v>0</v>
      </c>
      <c r="R1572" s="32" t="n">
        <v>0</v>
      </c>
      <c r="S1572" s="31" t="n">
        <v>0</v>
      </c>
      <c r="T1572" s="32" t="n">
        <v>0</v>
      </c>
      <c r="U1572" s="31" t="n">
        <v>0</v>
      </c>
      <c r="V1572" s="31" t="n">
        <v>0</v>
      </c>
      <c r="W1572" s="3" t="n">
        <v>0</v>
      </c>
      <c r="X1572" s="3" t="n">
        <v>0</v>
      </c>
      <c r="Y1572" s="32" t="n">
        <v>0</v>
      </c>
      <c r="Z1572" s="3" t="n">
        <v>0</v>
      </c>
      <c r="AA1572" s="32" t="n">
        <v>0</v>
      </c>
      <c r="AB1572" s="3" t="n"/>
      <c r="AC1572" s="31" t="n">
        <v>0</v>
      </c>
      <c r="AD1572" s="2" t="n">
        <v>0</v>
      </c>
      <c r="AE1572" s="2" t="n">
        <v>3</v>
      </c>
      <c r="AF1572" s="4" t="n">
        <v>3</v>
      </c>
      <c r="AG1572" s="33" t="n">
        <v>0</v>
      </c>
      <c r="AH1572" s="4" t="n">
        <v>0</v>
      </c>
      <c r="AI1572" s="34" t="n"/>
      <c r="AJ1572" s="34" t="n">
        <v>0</v>
      </c>
      <c r="AK1572" s="2" t="n">
        <v>0</v>
      </c>
      <c r="AL1572" t="inlineStr">
        <is>
          <t>Published</t>
        </is>
      </c>
    </row>
    <row r="1573">
      <c r="A1573">
        <f>HYPERLINK("https://www.walmart.com/ip/173384840", "173384840")</f>
        <v/>
      </c>
      <c r="B1573">
        <f>HYPERLINK("https://app.optiwise.ai/catalog/itemdetails/360857", "Sherpa Throw Blanket Fleece, Super Cozy Warm TV Blankets for Bed or Couch Reversible 50 x 60")</f>
        <v/>
      </c>
      <c r="C1573" t="inlineStr">
        <is>
          <t>1TNBF300WN-TPB</t>
        </is>
      </c>
      <c r="D1573" t="inlineStr">
        <is>
          <t>Bedding</t>
        </is>
      </c>
      <c r="E1573" t="inlineStr">
        <is>
          <t>Throws</t>
        </is>
      </c>
      <c r="F1573" t="inlineStr">
        <is>
          <t>Tirrinia</t>
        </is>
      </c>
      <c r="G1573" t="n">
        <v>0</v>
      </c>
      <c r="H1573" t="n">
        <v>0</v>
      </c>
      <c r="J1573" s="29" t="n">
        <v>0</v>
      </c>
      <c r="K1573" s="30" t="n"/>
      <c r="L1573" s="29" t="n">
        <v>0</v>
      </c>
      <c r="M1573" s="29" t="n">
        <v>0</v>
      </c>
      <c r="N1573" s="2" t="n">
        <v>0</v>
      </c>
      <c r="O1573" s="31" t="n">
        <v>0</v>
      </c>
      <c r="P1573" s="32" t="n"/>
      <c r="Q1573" s="32" t="n">
        <v>0</v>
      </c>
      <c r="R1573" s="32" t="n">
        <v>0</v>
      </c>
      <c r="S1573" s="31" t="n">
        <v>0</v>
      </c>
      <c r="T1573" s="32" t="n">
        <v>0</v>
      </c>
      <c r="U1573" s="31" t="n">
        <v>0</v>
      </c>
      <c r="V1573" s="31" t="n">
        <v>0</v>
      </c>
      <c r="W1573" s="3" t="n">
        <v>0</v>
      </c>
      <c r="X1573" s="3" t="n">
        <v>0</v>
      </c>
      <c r="Y1573" s="32" t="n">
        <v>0</v>
      </c>
      <c r="Z1573" s="3" t="n">
        <v>0</v>
      </c>
      <c r="AA1573" s="32" t="n">
        <v>0</v>
      </c>
      <c r="AB1573" s="3" t="n"/>
      <c r="AC1573" s="31" t="n">
        <v>0</v>
      </c>
      <c r="AD1573" s="2" t="n">
        <v>0</v>
      </c>
      <c r="AE1573" s="2" t="n">
        <v>8</v>
      </c>
      <c r="AF1573" s="4" t="n">
        <v>8</v>
      </c>
      <c r="AG1573" s="33" t="n">
        <v>0</v>
      </c>
      <c r="AH1573" s="4" t="n">
        <v>0</v>
      </c>
      <c r="AI1573" s="34" t="n"/>
      <c r="AJ1573" s="34" t="n">
        <v>0</v>
      </c>
      <c r="AK1573" s="2" t="n">
        <v>0</v>
      </c>
      <c r="AL1573" t="inlineStr">
        <is>
          <t>Published</t>
        </is>
      </c>
    </row>
    <row r="1574">
      <c r="A1574">
        <f>HYPERLINK("https://www.walmart.com/ip/970092222", "970092222")</f>
        <v/>
      </c>
      <c r="B1574">
        <f>HYPERLINK("https://app.optiwise.ai/catalog/itemdetails/360854", "Flyingstar Wearable Blanket with Sleeves and Pocket, Fleece Micro Plush Throws Blanket, Robe for Women and Men 73” x 51” Purple")</f>
        <v/>
      </c>
      <c r="C1574" t="inlineStr">
        <is>
          <t>1WMSN100PP</t>
        </is>
      </c>
      <c r="D1574" t="inlineStr">
        <is>
          <t>Bedding</t>
        </is>
      </c>
      <c r="E1574" t="inlineStr">
        <is>
          <t>Throws</t>
        </is>
      </c>
      <c r="F1574" t="inlineStr">
        <is>
          <t>Flyingstar</t>
        </is>
      </c>
      <c r="G1574" t="n">
        <v>0</v>
      </c>
      <c r="H1574" t="n">
        <v>0</v>
      </c>
      <c r="I1574" t="inlineStr">
        <is>
          <t>Batch 1 - TR</t>
        </is>
      </c>
      <c r="J1574" s="29" t="n">
        <v>0</v>
      </c>
      <c r="K1574" s="30" t="n"/>
      <c r="L1574" s="29" t="n">
        <v>0</v>
      </c>
      <c r="M1574" s="29" t="n">
        <v>0</v>
      </c>
      <c r="N1574" s="2" t="n">
        <v>0</v>
      </c>
      <c r="O1574" s="31" t="n">
        <v>0</v>
      </c>
      <c r="P1574" s="32" t="n"/>
      <c r="Q1574" s="32" t="n">
        <v>0</v>
      </c>
      <c r="R1574" s="32" t="n">
        <v>0</v>
      </c>
      <c r="S1574" s="31" t="n">
        <v>0</v>
      </c>
      <c r="T1574" s="32" t="n">
        <v>0</v>
      </c>
      <c r="U1574" s="31" t="n">
        <v>0</v>
      </c>
      <c r="V1574" s="31" t="n">
        <v>0</v>
      </c>
      <c r="W1574" s="3" t="n">
        <v>0</v>
      </c>
      <c r="X1574" s="3" t="n">
        <v>0</v>
      </c>
      <c r="Y1574" s="32" t="n">
        <v>0</v>
      </c>
      <c r="Z1574" s="3" t="n">
        <v>0</v>
      </c>
      <c r="AA1574" s="32" t="n">
        <v>0</v>
      </c>
      <c r="AB1574" s="3" t="n"/>
      <c r="AC1574" s="31" t="n">
        <v>0</v>
      </c>
      <c r="AD1574" s="2" t="n">
        <v>0</v>
      </c>
      <c r="AE1574" s="2" t="n">
        <v>2</v>
      </c>
      <c r="AF1574" s="4" t="n">
        <v>2</v>
      </c>
      <c r="AG1574" s="33" t="n">
        <v>0</v>
      </c>
      <c r="AH1574" s="4" t="n">
        <v>0</v>
      </c>
      <c r="AI1574" s="34" t="n"/>
      <c r="AJ1574" s="34" t="n">
        <v>0</v>
      </c>
      <c r="AK1574" s="2" t="n">
        <v>0</v>
      </c>
      <c r="AL1574" t="inlineStr">
        <is>
          <t>Published</t>
        </is>
      </c>
    </row>
    <row r="1575">
      <c r="A1575">
        <f>HYPERLINK("https://www.walmart.com/ip/300696654", "300696654")</f>
        <v/>
      </c>
      <c r="B1575">
        <f>HYPERLINK("https://app.optiwise.ai/catalog/itemdetails/360820", "Tirrinia Unisex Outdoor Sun Protection Fishing Cap with Neck Flap Wide Brim Mesh Hat for Travel Camping Hiking Hunting")</f>
        <v/>
      </c>
      <c r="C1575" t="inlineStr">
        <is>
          <t>1WMSH9150DIGIGY</t>
        </is>
      </c>
      <c r="D1575" t="inlineStr">
        <is>
          <t>Clothing</t>
        </is>
      </c>
      <c r="E1575" t="inlineStr">
        <is>
          <t>Hats</t>
        </is>
      </c>
      <c r="F1575" t="inlineStr">
        <is>
          <t>Tirrinia</t>
        </is>
      </c>
      <c r="G1575" t="n">
        <v>0</v>
      </c>
      <c r="H1575" t="n">
        <v>0</v>
      </c>
      <c r="I1575" t="inlineStr">
        <is>
          <t>Optimized</t>
        </is>
      </c>
      <c r="J1575" s="29" t="n">
        <v>0</v>
      </c>
      <c r="K1575" s="30" t="n"/>
      <c r="L1575" s="29" t="n">
        <v>0</v>
      </c>
      <c r="M1575" s="29" t="n">
        <v>0</v>
      </c>
      <c r="N1575" s="2" t="n">
        <v>0</v>
      </c>
      <c r="O1575" s="31" t="n">
        <v>0</v>
      </c>
      <c r="P1575" s="32" t="n"/>
      <c r="Q1575" s="32" t="n">
        <v>0</v>
      </c>
      <c r="R1575" s="32" t="n">
        <v>0</v>
      </c>
      <c r="S1575" s="31" t="n">
        <v>0</v>
      </c>
      <c r="T1575" s="32" t="n">
        <v>0</v>
      </c>
      <c r="U1575" s="31" t="n">
        <v>0</v>
      </c>
      <c r="V1575" s="31" t="n">
        <v>0</v>
      </c>
      <c r="W1575" s="3" t="n">
        <v>0</v>
      </c>
      <c r="X1575" s="3" t="n">
        <v>0</v>
      </c>
      <c r="Y1575" s="32" t="n">
        <v>0</v>
      </c>
      <c r="Z1575" s="3" t="n">
        <v>0</v>
      </c>
      <c r="AA1575" s="32" t="n">
        <v>0</v>
      </c>
      <c r="AB1575" s="3" t="n"/>
      <c r="AC1575" s="31" t="n">
        <v>0</v>
      </c>
      <c r="AD1575" s="2" t="n">
        <v>0</v>
      </c>
      <c r="AE1575" s="2" t="n">
        <v>3</v>
      </c>
      <c r="AF1575" s="4" t="n">
        <v>3</v>
      </c>
      <c r="AG1575" s="33" t="n">
        <v>0</v>
      </c>
      <c r="AH1575" s="4" t="n">
        <v>0</v>
      </c>
      <c r="AI1575" s="34" t="n"/>
      <c r="AJ1575" s="34" t="n">
        <v>0</v>
      </c>
      <c r="AK1575" s="2" t="n">
        <v>0</v>
      </c>
      <c r="AL1575" t="inlineStr">
        <is>
          <t>Published</t>
        </is>
      </c>
    </row>
    <row r="1576">
      <c r="A1576">
        <f>HYPERLINK("https://www.walmart.com/ip/447116159", "447116159")</f>
        <v/>
      </c>
      <c r="B1576">
        <f>HYPERLINK("https://app.optiwise.ai/catalog/itemdetails/360853", "Sun Hat UV Protection Wide Brim Boonie Safari Fishing Cap Adjustable Drawstring")</f>
        <v/>
      </c>
      <c r="C1576" t="inlineStr">
        <is>
          <t>1WMSH911TN</t>
        </is>
      </c>
      <c r="D1576" t="inlineStr">
        <is>
          <t>Clothing</t>
        </is>
      </c>
      <c r="E1576" t="inlineStr">
        <is>
          <t>Hats</t>
        </is>
      </c>
      <c r="F1576" t="inlineStr">
        <is>
          <t>Flyingstar</t>
        </is>
      </c>
      <c r="G1576" t="n">
        <v>5</v>
      </c>
      <c r="H1576" t="n">
        <v>1</v>
      </c>
      <c r="I1576" t="inlineStr">
        <is>
          <t>Optimized</t>
        </is>
      </c>
      <c r="J1576" s="29" t="n">
        <v>0</v>
      </c>
      <c r="K1576" s="30" t="n"/>
      <c r="L1576" s="29" t="n">
        <v>0</v>
      </c>
      <c r="M1576" s="29" t="n">
        <v>0</v>
      </c>
      <c r="N1576" s="2" t="n">
        <v>0</v>
      </c>
      <c r="O1576" s="31" t="n">
        <v>0</v>
      </c>
      <c r="P1576" s="32" t="n"/>
      <c r="Q1576" s="32" t="n">
        <v>0</v>
      </c>
      <c r="R1576" s="32" t="n">
        <v>0</v>
      </c>
      <c r="S1576" s="31" t="n">
        <v>0</v>
      </c>
      <c r="T1576" s="32" t="n">
        <v>0</v>
      </c>
      <c r="U1576" s="31" t="n">
        <v>0</v>
      </c>
      <c r="V1576" s="31" t="n">
        <v>0</v>
      </c>
      <c r="W1576" s="3" t="n">
        <v>0</v>
      </c>
      <c r="X1576" s="3" t="n">
        <v>0</v>
      </c>
      <c r="Y1576" s="32" t="n">
        <v>0</v>
      </c>
      <c r="Z1576" s="3" t="n">
        <v>0</v>
      </c>
      <c r="AA1576" s="32" t="n">
        <v>0</v>
      </c>
      <c r="AB1576" s="3" t="n"/>
      <c r="AC1576" s="31" t="n">
        <v>0</v>
      </c>
      <c r="AD1576" s="2" t="n">
        <v>0</v>
      </c>
      <c r="AE1576" s="2" t="n">
        <v>4</v>
      </c>
      <c r="AF1576" s="4" t="n">
        <v>4</v>
      </c>
      <c r="AG1576" s="33" t="n">
        <v>0</v>
      </c>
      <c r="AH1576" s="4" t="n">
        <v>0</v>
      </c>
      <c r="AI1576" s="34" t="n"/>
      <c r="AJ1576" s="34" t="n">
        <v>0</v>
      </c>
      <c r="AK1576" s="2" t="n">
        <v>0</v>
      </c>
      <c r="AL1576" t="inlineStr">
        <is>
          <t>Published</t>
        </is>
      </c>
    </row>
    <row r="1577">
      <c r="A1577">
        <f>HYPERLINK("https://www.walmart.com/ip/785071963", "785071963")</f>
        <v/>
      </c>
      <c r="B1577">
        <f>HYPERLINK("https://app.optiwise.ai/catalog/itemdetails/360852", "Sherpa Slipper Socks for Women,Winter Indoor Home Non Skid Booties")</f>
        <v/>
      </c>
      <c r="C1577" t="inlineStr">
        <is>
          <t>1CTST200DBL-1</t>
        </is>
      </c>
      <c r="D1577" t="inlineStr">
        <is>
          <t>Clothing</t>
        </is>
      </c>
      <c r="E1577" t="inlineStr">
        <is>
          <t>Socks</t>
        </is>
      </c>
      <c r="F1577" t="inlineStr">
        <is>
          <t>Catalonia</t>
        </is>
      </c>
      <c r="G1577" t="n">
        <v>0</v>
      </c>
      <c r="H1577" t="n">
        <v>0</v>
      </c>
      <c r="I1577" t="inlineStr">
        <is>
          <t>WFS,WFS Item</t>
        </is>
      </c>
      <c r="J1577" s="29" t="n">
        <v>0</v>
      </c>
      <c r="K1577" s="30" t="n"/>
      <c r="L1577" s="29" t="n">
        <v>0</v>
      </c>
      <c r="M1577" s="29" t="n">
        <v>0</v>
      </c>
      <c r="N1577" s="2" t="n">
        <v>0</v>
      </c>
      <c r="O1577" s="31" t="n">
        <v>0</v>
      </c>
      <c r="P1577" s="32" t="n"/>
      <c r="Q1577" s="32" t="n">
        <v>0</v>
      </c>
      <c r="R1577" s="32" t="n">
        <v>0</v>
      </c>
      <c r="S1577" s="31" t="n">
        <v>0</v>
      </c>
      <c r="T1577" s="32" t="n">
        <v>0</v>
      </c>
      <c r="U1577" s="31" t="n">
        <v>0</v>
      </c>
      <c r="V1577" s="31" t="n">
        <v>0</v>
      </c>
      <c r="W1577" s="3" t="n">
        <v>0</v>
      </c>
      <c r="X1577" s="3" t="n">
        <v>0</v>
      </c>
      <c r="Y1577" s="32" t="n">
        <v>0</v>
      </c>
      <c r="Z1577" s="3" t="n">
        <v>0</v>
      </c>
      <c r="AA1577" s="32" t="n">
        <v>0</v>
      </c>
      <c r="AB1577" s="3" t="n"/>
      <c r="AC1577" s="31" t="n">
        <v>0</v>
      </c>
      <c r="AD1577" s="2" t="n">
        <v>0</v>
      </c>
      <c r="AE1577" s="2" t="n">
        <v>7</v>
      </c>
      <c r="AF1577" s="4" t="n">
        <v>7</v>
      </c>
      <c r="AG1577" s="33" t="n">
        <v>0</v>
      </c>
      <c r="AH1577" s="4" t="n">
        <v>0</v>
      </c>
      <c r="AI1577" s="34" t="n"/>
      <c r="AJ1577" s="34" t="n">
        <v>0</v>
      </c>
      <c r="AK1577" s="2" t="n">
        <v>0</v>
      </c>
      <c r="AL1577" t="inlineStr">
        <is>
          <t>Published</t>
        </is>
      </c>
    </row>
    <row r="1578">
      <c r="A1578">
        <f>HYPERLINK("https://www.walmart.com/ip/550319306", "550319306")</f>
        <v/>
      </c>
      <c r="B1578">
        <f>HYPERLINK("https://app.optiwise.ai/catalog/itemdetails/360849", "Solaris Winter Cable Knit Beanie Hats with Fur Pom Pom for Women Ski Cap")</f>
        <v/>
      </c>
      <c r="C1578" t="inlineStr">
        <is>
          <t>1SLPPH01BL</t>
        </is>
      </c>
      <c r="D1578" t="inlineStr">
        <is>
          <t>Clothing</t>
        </is>
      </c>
      <c r="E1578" t="inlineStr">
        <is>
          <t>Hats</t>
        </is>
      </c>
      <c r="F1578" t="inlineStr">
        <is>
          <t>Solaris</t>
        </is>
      </c>
      <c r="G1578" t="n">
        <v>0</v>
      </c>
      <c r="H1578" t="n">
        <v>0</v>
      </c>
      <c r="I1578" t="inlineStr">
        <is>
          <t>Batch 1 - TR</t>
        </is>
      </c>
      <c r="J1578" s="29" t="n">
        <v>0</v>
      </c>
      <c r="K1578" s="30" t="n"/>
      <c r="L1578" s="29" t="n">
        <v>0</v>
      </c>
      <c r="M1578" s="29" t="n">
        <v>0</v>
      </c>
      <c r="N1578" s="2" t="n">
        <v>0</v>
      </c>
      <c r="O1578" s="31" t="n">
        <v>0</v>
      </c>
      <c r="P1578" s="32" t="n"/>
      <c r="Q1578" s="32" t="n">
        <v>0</v>
      </c>
      <c r="R1578" s="32" t="n">
        <v>0</v>
      </c>
      <c r="S1578" s="31" t="n">
        <v>0</v>
      </c>
      <c r="T1578" s="32" t="n">
        <v>0</v>
      </c>
      <c r="U1578" s="31" t="n">
        <v>0</v>
      </c>
      <c r="V1578" s="31" t="n">
        <v>0</v>
      </c>
      <c r="W1578" s="3" t="n">
        <v>0</v>
      </c>
      <c r="X1578" s="3" t="n">
        <v>0</v>
      </c>
      <c r="Y1578" s="32" t="n">
        <v>0</v>
      </c>
      <c r="Z1578" s="3" t="n">
        <v>0</v>
      </c>
      <c r="AA1578" s="32" t="n">
        <v>0</v>
      </c>
      <c r="AB1578" s="3" t="n"/>
      <c r="AC1578" s="31" t="n">
        <v>0</v>
      </c>
      <c r="AD1578" s="2" t="n">
        <v>0</v>
      </c>
      <c r="AE1578" s="2" t="n">
        <v>6</v>
      </c>
      <c r="AF1578" s="4" t="n">
        <v>6</v>
      </c>
      <c r="AG1578" s="33" t="n">
        <v>0</v>
      </c>
      <c r="AH1578" s="4" t="n">
        <v>0</v>
      </c>
      <c r="AI1578" s="34" t="n"/>
      <c r="AJ1578" s="34" t="n">
        <v>0</v>
      </c>
      <c r="AK1578" s="2" t="n">
        <v>0</v>
      </c>
      <c r="AL1578" t="inlineStr">
        <is>
          <t>Published</t>
        </is>
      </c>
    </row>
    <row r="1579">
      <c r="A1579">
        <f>HYPERLINK("https://www.walmart.com/ip/310966083", "310966083")</f>
        <v/>
      </c>
      <c r="B1579">
        <f>HYPERLINK("https://app.optiwise.ai/catalog/itemdetails/360844", "Catalonia Hooded Blanket Poncho | Wearable Blanket Wrap with Hand Pockets | Comfy Sherpa Fleece Throw Cape for Children and Adults, Christmas Thanksgiving Mother Gift, Camel")</f>
        <v/>
      </c>
      <c r="C1579" t="inlineStr">
        <is>
          <t>1CTBC100CA</t>
        </is>
      </c>
      <c r="D1579" t="inlineStr">
        <is>
          <t>Bedding</t>
        </is>
      </c>
      <c r="E1579" t="inlineStr">
        <is>
          <t>Throws</t>
        </is>
      </c>
      <c r="F1579" t="inlineStr">
        <is>
          <t>Catalonia</t>
        </is>
      </c>
      <c r="G1579" t="n">
        <v>0</v>
      </c>
      <c r="H1579" t="n">
        <v>0</v>
      </c>
      <c r="I1579" t="inlineStr">
        <is>
          <t>Batch 1 - TR</t>
        </is>
      </c>
      <c r="J1579" s="29" t="n">
        <v>0</v>
      </c>
      <c r="K1579" s="30" t="n"/>
      <c r="L1579" s="29" t="n">
        <v>0</v>
      </c>
      <c r="M1579" s="29" t="n">
        <v>0</v>
      </c>
      <c r="N1579" s="2" t="n">
        <v>0</v>
      </c>
      <c r="O1579" s="31" t="n">
        <v>0</v>
      </c>
      <c r="P1579" s="32" t="n"/>
      <c r="Q1579" s="32" t="n">
        <v>0</v>
      </c>
      <c r="R1579" s="32" t="n">
        <v>0</v>
      </c>
      <c r="S1579" s="31" t="n">
        <v>0</v>
      </c>
      <c r="T1579" s="32" t="n">
        <v>0</v>
      </c>
      <c r="U1579" s="31" t="n">
        <v>0</v>
      </c>
      <c r="V1579" s="31" t="n">
        <v>0</v>
      </c>
      <c r="W1579" s="3" t="n">
        <v>0</v>
      </c>
      <c r="X1579" s="3" t="n">
        <v>0</v>
      </c>
      <c r="Y1579" s="32" t="n">
        <v>0</v>
      </c>
      <c r="Z1579" s="3" t="n">
        <v>0</v>
      </c>
      <c r="AA1579" s="32" t="n">
        <v>0</v>
      </c>
      <c r="AB1579" s="3" t="n"/>
      <c r="AC1579" s="31" t="n">
        <v>0</v>
      </c>
      <c r="AD1579" s="2" t="n">
        <v>2</v>
      </c>
      <c r="AE1579" s="2" t="n">
        <v>53</v>
      </c>
      <c r="AF1579" s="4" t="n">
        <v>53</v>
      </c>
      <c r="AG1579" s="33" t="n">
        <v>0</v>
      </c>
      <c r="AH1579" s="4" t="n">
        <v>0</v>
      </c>
      <c r="AI1579" s="34" t="n"/>
      <c r="AJ1579" s="34" t="n">
        <v>0</v>
      </c>
      <c r="AK1579" s="2" t="n">
        <v>0</v>
      </c>
      <c r="AL1579" t="inlineStr">
        <is>
          <t>Published</t>
        </is>
      </c>
    </row>
    <row r="1580">
      <c r="A1580">
        <f>HYPERLINK("https://www.walmart.com/ip/328760075", "328760075")</f>
        <v/>
      </c>
      <c r="B1580">
        <f>HYPERLINK("https://app.optiwise.ai/catalog/itemdetails/360843", "Terra Youth Reflective Knit Hat High Visibility Cold Weather Running Beanie Cool")</f>
        <v/>
      </c>
      <c r="C1580" t="inlineStr">
        <is>
          <t>TERRABN01-RO</t>
        </is>
      </c>
      <c r="D1580" t="inlineStr">
        <is>
          <t>Clothing</t>
        </is>
      </c>
      <c r="E1580" t="inlineStr">
        <is>
          <t>Hats</t>
        </is>
      </c>
      <c r="F1580" t="inlineStr">
        <is>
          <t>Terra</t>
        </is>
      </c>
      <c r="G1580" t="n">
        <v>0</v>
      </c>
      <c r="H1580" t="n">
        <v>0</v>
      </c>
      <c r="J1580" s="29" t="n">
        <v>0</v>
      </c>
      <c r="K1580" s="30" t="n"/>
      <c r="L1580" s="29" t="n">
        <v>0</v>
      </c>
      <c r="M1580" s="29" t="n">
        <v>0</v>
      </c>
      <c r="N1580" s="2" t="n">
        <v>0</v>
      </c>
      <c r="O1580" s="31" t="n">
        <v>0</v>
      </c>
      <c r="P1580" s="32" t="n"/>
      <c r="Q1580" s="32" t="n">
        <v>0</v>
      </c>
      <c r="R1580" s="32" t="n">
        <v>0</v>
      </c>
      <c r="S1580" s="31" t="n">
        <v>0</v>
      </c>
      <c r="T1580" s="32" t="n">
        <v>0</v>
      </c>
      <c r="U1580" s="31" t="n">
        <v>0</v>
      </c>
      <c r="V1580" s="31" t="n">
        <v>0</v>
      </c>
      <c r="W1580" s="3" t="n">
        <v>0</v>
      </c>
      <c r="X1580" s="3" t="n">
        <v>0</v>
      </c>
      <c r="Y1580" s="32" t="n">
        <v>0</v>
      </c>
      <c r="Z1580" s="3" t="n">
        <v>0</v>
      </c>
      <c r="AA1580" s="32" t="n">
        <v>0</v>
      </c>
      <c r="AB1580" s="3" t="n"/>
      <c r="AC1580" s="31" t="n">
        <v>0</v>
      </c>
      <c r="AD1580" s="2" t="n">
        <v>0</v>
      </c>
      <c r="AE1580" s="2" t="n">
        <v>5</v>
      </c>
      <c r="AF1580" s="4" t="n">
        <v>5</v>
      </c>
      <c r="AG1580" s="33" t="n">
        <v>0</v>
      </c>
      <c r="AH1580" s="4" t="n">
        <v>0</v>
      </c>
      <c r="AI1580" s="34" t="n"/>
      <c r="AJ1580" s="34" t="n">
        <v>0</v>
      </c>
      <c r="AK1580" s="2" t="n">
        <v>0</v>
      </c>
      <c r="AL1580" t="inlineStr">
        <is>
          <t>Published</t>
        </is>
      </c>
    </row>
    <row r="1581">
      <c r="A1581">
        <f>HYPERLINK("https://www.walmart.com/ip/101677245", "101677245")</f>
        <v/>
      </c>
      <c r="B1581">
        <f>HYPERLINK("https://app.optiwise.ai/catalog/itemdetails/360838", "JenniWears Women's Beileise Sexy Net Pantyhose Stockings Sheer Ultrathin Socks - 6 Packs")</f>
        <v/>
      </c>
      <c r="C1581" t="inlineStr">
        <is>
          <t>JWBLSPH2086-6pcs</t>
        </is>
      </c>
      <c r="D1581" t="inlineStr">
        <is>
          <t>Clothing</t>
        </is>
      </c>
      <c r="E1581" t="inlineStr">
        <is>
          <t>Pantyhose &amp; Tights</t>
        </is>
      </c>
      <c r="F1581" t="inlineStr">
        <is>
          <t>JenniWears</t>
        </is>
      </c>
      <c r="G1581" t="n">
        <v>0</v>
      </c>
      <c r="H1581" t="n">
        <v>0</v>
      </c>
      <c r="I1581" t="inlineStr">
        <is>
          <t>Optimized,Valentine</t>
        </is>
      </c>
      <c r="J1581" s="29" t="n">
        <v>0</v>
      </c>
      <c r="K1581" s="30" t="n"/>
      <c r="L1581" s="29" t="n">
        <v>0</v>
      </c>
      <c r="M1581" s="29" t="n">
        <v>0</v>
      </c>
      <c r="N1581" s="2" t="n">
        <v>0</v>
      </c>
      <c r="O1581" s="31" t="n">
        <v>0</v>
      </c>
      <c r="P1581" s="32" t="n"/>
      <c r="Q1581" s="32" t="n">
        <v>0</v>
      </c>
      <c r="R1581" s="32" t="n">
        <v>0</v>
      </c>
      <c r="S1581" s="31" t="n">
        <v>0</v>
      </c>
      <c r="T1581" s="32" t="n">
        <v>0</v>
      </c>
      <c r="U1581" s="31" t="n">
        <v>0</v>
      </c>
      <c r="V1581" s="31" t="n">
        <v>0</v>
      </c>
      <c r="W1581" s="3" t="n">
        <v>0</v>
      </c>
      <c r="X1581" s="3" t="n">
        <v>0</v>
      </c>
      <c r="Y1581" s="32" t="n">
        <v>0</v>
      </c>
      <c r="Z1581" s="3" t="n">
        <v>0</v>
      </c>
      <c r="AA1581" s="32" t="n">
        <v>0</v>
      </c>
      <c r="AB1581" s="3" t="n"/>
      <c r="AC1581" s="31" t="n">
        <v>0</v>
      </c>
      <c r="AD1581" s="2" t="n">
        <v>0</v>
      </c>
      <c r="AE1581" s="2" t="n">
        <v>3</v>
      </c>
      <c r="AF1581" s="4" t="n">
        <v>3</v>
      </c>
      <c r="AG1581" s="33" t="n">
        <v>0</v>
      </c>
      <c r="AH1581" s="4" t="n">
        <v>0</v>
      </c>
      <c r="AI1581" s="34" t="n"/>
      <c r="AJ1581" s="34" t="n">
        <v>0</v>
      </c>
      <c r="AK1581" s="2" t="n">
        <v>0</v>
      </c>
      <c r="AL1581" t="inlineStr">
        <is>
          <t>Published</t>
        </is>
      </c>
    </row>
    <row r="1582">
      <c r="A1582">
        <f>HYPERLINK("https://www.walmart.com/ip/924510521", "924510521")</f>
        <v/>
      </c>
      <c r="B1582">
        <f>HYPERLINK("https://app.optiwise.ai/catalog/itemdetails/360835", "Solaris Adventure hat UPF 50+ rated Outdoor hat Wide brim with Back flap")</f>
        <v/>
      </c>
      <c r="C1582" t="inlineStr">
        <is>
          <t>TR-S9152TN-JWCB</t>
        </is>
      </c>
      <c r="D1582" t="inlineStr">
        <is>
          <t>Clothing</t>
        </is>
      </c>
      <c r="E1582" t="inlineStr">
        <is>
          <t>Hats</t>
        </is>
      </c>
      <c r="F1582" t="inlineStr">
        <is>
          <t>Terra</t>
        </is>
      </c>
      <c r="G1582" t="n">
        <v>0</v>
      </c>
      <c r="H1582" t="n">
        <v>0</v>
      </c>
      <c r="I1582" t="inlineStr">
        <is>
          <t>Optimized</t>
        </is>
      </c>
      <c r="J1582" s="29" t="n">
        <v>0</v>
      </c>
      <c r="K1582" s="30" t="n"/>
      <c r="L1582" s="29" t="n">
        <v>0</v>
      </c>
      <c r="M1582" s="29" t="n">
        <v>0</v>
      </c>
      <c r="N1582" s="2" t="n">
        <v>0</v>
      </c>
      <c r="O1582" s="31" t="n">
        <v>0</v>
      </c>
      <c r="P1582" s="32" t="n"/>
      <c r="Q1582" s="32" t="n">
        <v>0</v>
      </c>
      <c r="R1582" s="32" t="n">
        <v>0</v>
      </c>
      <c r="S1582" s="31" t="n">
        <v>0</v>
      </c>
      <c r="T1582" s="32" t="n">
        <v>0</v>
      </c>
      <c r="U1582" s="31" t="n">
        <v>0</v>
      </c>
      <c r="V1582" s="31" t="n">
        <v>0</v>
      </c>
      <c r="W1582" s="3" t="n">
        <v>0</v>
      </c>
      <c r="X1582" s="3" t="n">
        <v>0</v>
      </c>
      <c r="Y1582" s="32" t="n">
        <v>0</v>
      </c>
      <c r="Z1582" s="3" t="n">
        <v>0</v>
      </c>
      <c r="AA1582" s="32" t="n">
        <v>0</v>
      </c>
      <c r="AB1582" s="3" t="n"/>
      <c r="AC1582" s="31" t="n">
        <v>0</v>
      </c>
      <c r="AD1582" s="2" t="n">
        <v>0</v>
      </c>
      <c r="AE1582" s="2" t="n">
        <v>5</v>
      </c>
      <c r="AF1582" s="4" t="n">
        <v>5</v>
      </c>
      <c r="AG1582" s="33" t="n">
        <v>0</v>
      </c>
      <c r="AH1582" s="4" t="n">
        <v>0</v>
      </c>
      <c r="AI1582" s="34" t="n"/>
      <c r="AJ1582" s="34" t="n">
        <v>0</v>
      </c>
      <c r="AK1582" s="2" t="n">
        <v>0</v>
      </c>
      <c r="AL1582" t="inlineStr">
        <is>
          <t>Published</t>
        </is>
      </c>
    </row>
    <row r="1583">
      <c r="A1583">
        <f>HYPERLINK("https://www.walmart.com/ip/113647065", "113647065")</f>
        <v/>
      </c>
      <c r="B1583">
        <f>HYPERLINK("https://app.optiwise.ai/catalog/itemdetails/360831", "KC Caps Washed Cotton Twill Hat")</f>
        <v/>
      </c>
      <c r="C1583" t="inlineStr">
        <is>
          <t>KCS4130RD</t>
        </is>
      </c>
      <c r="D1583" t="inlineStr">
        <is>
          <t>Clothing</t>
        </is>
      </c>
      <c r="E1583" t="inlineStr">
        <is>
          <t>Hats</t>
        </is>
      </c>
      <c r="F1583" t="inlineStr">
        <is>
          <t>KC Caps</t>
        </is>
      </c>
      <c r="G1583" t="n">
        <v>0</v>
      </c>
      <c r="H1583" t="n">
        <v>0</v>
      </c>
      <c r="I1583" t="inlineStr">
        <is>
          <t>Optimized</t>
        </is>
      </c>
      <c r="J1583" s="29" t="n">
        <v>0</v>
      </c>
      <c r="K1583" s="30" t="n"/>
      <c r="L1583" s="29" t="n">
        <v>0</v>
      </c>
      <c r="M1583" s="29" t="n">
        <v>0</v>
      </c>
      <c r="N1583" s="2" t="n">
        <v>0</v>
      </c>
      <c r="O1583" s="31" t="n">
        <v>0</v>
      </c>
      <c r="P1583" s="32" t="n"/>
      <c r="Q1583" s="32" t="n">
        <v>0</v>
      </c>
      <c r="R1583" s="32" t="n">
        <v>0</v>
      </c>
      <c r="S1583" s="31" t="n">
        <v>0</v>
      </c>
      <c r="T1583" s="32" t="n">
        <v>0</v>
      </c>
      <c r="U1583" s="31" t="n">
        <v>0</v>
      </c>
      <c r="V1583" s="31" t="n">
        <v>0</v>
      </c>
      <c r="W1583" s="3" t="n">
        <v>0</v>
      </c>
      <c r="X1583" s="3" t="n">
        <v>0</v>
      </c>
      <c r="Y1583" s="32" t="n">
        <v>0</v>
      </c>
      <c r="Z1583" s="3" t="n">
        <v>0</v>
      </c>
      <c r="AA1583" s="32" t="n">
        <v>0</v>
      </c>
      <c r="AB1583" s="3" t="n"/>
      <c r="AC1583" s="31" t="n">
        <v>0</v>
      </c>
      <c r="AD1583" s="2" t="n">
        <v>0</v>
      </c>
      <c r="AE1583" s="2" t="n">
        <v>3</v>
      </c>
      <c r="AF1583" s="4" t="n">
        <v>3</v>
      </c>
      <c r="AG1583" s="33" t="n">
        <v>0</v>
      </c>
      <c r="AH1583" s="4" t="n">
        <v>0</v>
      </c>
      <c r="AI1583" s="34" t="n"/>
      <c r="AJ1583" s="34" t="n">
        <v>0</v>
      </c>
      <c r="AK1583" s="2" t="n">
        <v>0</v>
      </c>
      <c r="AL1583" t="inlineStr">
        <is>
          <t>Published</t>
        </is>
      </c>
    </row>
    <row r="1584">
      <c r="A1584">
        <f>HYPERLINK("https://www.walmart.com/ip/327737588", "327737588")</f>
        <v/>
      </c>
      <c r="B1584">
        <f>HYPERLINK("https://app.optiwise.ai/catalog/itemdetails/360825", "Tirrinia Sherpa Wearable Blanket, Ultra Soft Comfy Warm Plush Full Body Throw with Sleeves, Reading Wrap, TV Blanket, Robe Cover for Grandma, Women, and Men, Grey")</f>
        <v/>
      </c>
      <c r="C1584" t="inlineStr">
        <is>
          <t>1TRSN110GY</t>
        </is>
      </c>
      <c r="D1584" t="inlineStr">
        <is>
          <t>Home Decor, Kitchen, &amp; Other</t>
        </is>
      </c>
      <c r="E1584" t="inlineStr">
        <is>
          <t>Throws</t>
        </is>
      </c>
      <c r="F1584" t="inlineStr">
        <is>
          <t>Tirrinia</t>
        </is>
      </c>
      <c r="G1584" t="n">
        <v>5</v>
      </c>
      <c r="H1584" t="n">
        <v>2</v>
      </c>
      <c r="I1584" t="inlineStr">
        <is>
          <t>WFS,Coupon_Discount,WFS Item</t>
        </is>
      </c>
      <c r="J1584" s="29" t="n">
        <v>0</v>
      </c>
      <c r="K1584" s="30" t="n"/>
      <c r="L1584" s="29" t="n">
        <v>0</v>
      </c>
      <c r="M1584" s="29" t="n">
        <v>0</v>
      </c>
      <c r="N1584" s="2" t="n">
        <v>0</v>
      </c>
      <c r="O1584" s="31" t="n">
        <v>0</v>
      </c>
      <c r="P1584" s="32" t="n"/>
      <c r="Q1584" s="32" t="n">
        <v>0</v>
      </c>
      <c r="R1584" s="32" t="n">
        <v>0</v>
      </c>
      <c r="S1584" s="31" t="n">
        <v>0</v>
      </c>
      <c r="T1584" s="32" t="n">
        <v>0</v>
      </c>
      <c r="U1584" s="31" t="n">
        <v>0</v>
      </c>
      <c r="V1584" s="31" t="n">
        <v>0</v>
      </c>
      <c r="W1584" s="3" t="n">
        <v>0</v>
      </c>
      <c r="X1584" s="3" t="n">
        <v>0</v>
      </c>
      <c r="Y1584" s="32" t="n">
        <v>0</v>
      </c>
      <c r="Z1584" s="3" t="n">
        <v>0</v>
      </c>
      <c r="AA1584" s="32" t="n">
        <v>0</v>
      </c>
      <c r="AB1584" s="3" t="n"/>
      <c r="AC1584" s="31" t="n">
        <v>0</v>
      </c>
      <c r="AD1584" s="2" t="n">
        <v>0</v>
      </c>
      <c r="AE1584" s="2" t="n">
        <v>6</v>
      </c>
      <c r="AF1584" s="4" t="n">
        <v>6</v>
      </c>
      <c r="AG1584" s="33" t="n">
        <v>0</v>
      </c>
      <c r="AH1584" s="4" t="n">
        <v>0</v>
      </c>
      <c r="AI1584" s="34" t="n"/>
      <c r="AJ1584" s="34" t="n">
        <v>0</v>
      </c>
      <c r="AK1584" s="2" t="n">
        <v>0</v>
      </c>
      <c r="AL1584" t="inlineStr">
        <is>
          <t>Published</t>
        </is>
      </c>
    </row>
    <row r="1585">
      <c r="A1585">
        <f>HYPERLINK("https://www.walmart.com/ip/109360952", "109360952")</f>
        <v/>
      </c>
      <c r="B1585">
        <f>HYPERLINK("https://app.optiwise.ai/catalog/itemdetails/360824", "Napa Super Soft Micro Mink Fleece Sherpa Bed Throw TV Blanket, Reversible, Grey, 50 x 60")</f>
        <v/>
      </c>
      <c r="C1585" t="inlineStr">
        <is>
          <t>K8010GRAY</t>
        </is>
      </c>
      <c r="D1585" t="inlineStr">
        <is>
          <t>Home - Home Decor, Kitchen, &amp; Other</t>
        </is>
      </c>
      <c r="E1585" t="inlineStr">
        <is>
          <t>Throws</t>
        </is>
      </c>
      <c r="F1585" t="inlineStr">
        <is>
          <t>NAPA</t>
        </is>
      </c>
      <c r="G1585" t="n">
        <v>0</v>
      </c>
      <c r="H1585" t="n">
        <v>0</v>
      </c>
      <c r="I1585" t="inlineStr">
        <is>
          <t>Q2-Target,Coupon_Discount,Batch 1 - TR</t>
        </is>
      </c>
      <c r="J1585" s="29" t="n">
        <v>0</v>
      </c>
      <c r="K1585" s="30" t="n"/>
      <c r="L1585" s="29" t="n">
        <v>0</v>
      </c>
      <c r="M1585" s="29" t="n">
        <v>0</v>
      </c>
      <c r="N1585" s="2" t="n">
        <v>0</v>
      </c>
      <c r="O1585" s="31" t="n">
        <v>0</v>
      </c>
      <c r="P1585" s="32" t="n"/>
      <c r="Q1585" s="32" t="n">
        <v>0</v>
      </c>
      <c r="R1585" s="32" t="n">
        <v>0</v>
      </c>
      <c r="S1585" s="31" t="n">
        <v>0</v>
      </c>
      <c r="T1585" s="32" t="n">
        <v>0</v>
      </c>
      <c r="U1585" s="31" t="n">
        <v>0</v>
      </c>
      <c r="V1585" s="31" t="n">
        <v>0</v>
      </c>
      <c r="W1585" s="3" t="n">
        <v>0</v>
      </c>
      <c r="X1585" s="3" t="n">
        <v>0</v>
      </c>
      <c r="Y1585" s="32" t="n">
        <v>0</v>
      </c>
      <c r="Z1585" s="3" t="n">
        <v>0</v>
      </c>
      <c r="AA1585" s="32" t="n">
        <v>0</v>
      </c>
      <c r="AB1585" s="3" t="n"/>
      <c r="AC1585" s="31" t="n">
        <v>0</v>
      </c>
      <c r="AD1585" s="2" t="n">
        <v>0</v>
      </c>
      <c r="AE1585" s="2" t="n">
        <v>11</v>
      </c>
      <c r="AF1585" s="4" t="n">
        <v>11</v>
      </c>
      <c r="AG1585" s="33" t="n">
        <v>0</v>
      </c>
      <c r="AH1585" s="4" t="n">
        <v>0</v>
      </c>
      <c r="AI1585" s="34" t="n"/>
      <c r="AJ1585" s="34" t="n">
        <v>0</v>
      </c>
      <c r="AK1585" s="2" t="n">
        <v>0</v>
      </c>
      <c r="AL1585" t="inlineStr">
        <is>
          <t>Published</t>
        </is>
      </c>
    </row>
    <row r="1586">
      <c r="A1586">
        <f>HYPERLINK("https://www.walmart.com/ip/169828455", "169828455")</f>
        <v/>
      </c>
      <c r="B1586">
        <f>HYPERLINK("https://app.optiwise.ai/catalog/itemdetails/360823", "KC Caps® Unisex Cotton Baseball Cap Adjustable Plain Hat (21 Styles/Colors)")</f>
        <v/>
      </c>
      <c r="C1586" t="inlineStr">
        <is>
          <t>KC8010OFFWTBK</t>
        </is>
      </c>
      <c r="D1586" t="inlineStr">
        <is>
          <t>Clothing</t>
        </is>
      </c>
      <c r="E1586" t="inlineStr">
        <is>
          <t>Hats</t>
        </is>
      </c>
      <c r="F1586" t="inlineStr">
        <is>
          <t>KC Caps</t>
        </is>
      </c>
      <c r="G1586" t="n">
        <v>0</v>
      </c>
      <c r="H1586" t="n">
        <v>0</v>
      </c>
      <c r="I1586" t="inlineStr">
        <is>
          <t>Optimized</t>
        </is>
      </c>
      <c r="J1586" s="29" t="n">
        <v>0</v>
      </c>
      <c r="K1586" s="30" t="n"/>
      <c r="L1586" s="29" t="n">
        <v>0</v>
      </c>
      <c r="M1586" s="29" t="n">
        <v>0</v>
      </c>
      <c r="N1586" s="2" t="n">
        <v>0</v>
      </c>
      <c r="O1586" s="31" t="n">
        <v>0</v>
      </c>
      <c r="P1586" s="32" t="n"/>
      <c r="Q1586" s="32" t="n">
        <v>0</v>
      </c>
      <c r="R1586" s="32" t="n">
        <v>0</v>
      </c>
      <c r="S1586" s="31" t="n">
        <v>0</v>
      </c>
      <c r="T1586" s="32" t="n">
        <v>0</v>
      </c>
      <c r="U1586" s="31" t="n">
        <v>0</v>
      </c>
      <c r="V1586" s="31" t="n">
        <v>0</v>
      </c>
      <c r="W1586" s="3" t="n">
        <v>0</v>
      </c>
      <c r="X1586" s="3" t="n">
        <v>0</v>
      </c>
      <c r="Y1586" s="32" t="n">
        <v>0</v>
      </c>
      <c r="Z1586" s="3" t="n">
        <v>0</v>
      </c>
      <c r="AA1586" s="32" t="n">
        <v>0</v>
      </c>
      <c r="AB1586" s="3" t="n"/>
      <c r="AC1586" s="31" t="n">
        <v>0</v>
      </c>
      <c r="AD1586" s="2" t="n">
        <v>0</v>
      </c>
      <c r="AE1586" s="2" t="n">
        <v>19</v>
      </c>
      <c r="AF1586" s="4" t="n">
        <v>19</v>
      </c>
      <c r="AG1586" s="33" t="n">
        <v>0</v>
      </c>
      <c r="AH1586" s="4" t="n">
        <v>0</v>
      </c>
      <c r="AI1586" s="34" t="n"/>
      <c r="AJ1586" s="34" t="n">
        <v>0</v>
      </c>
      <c r="AK1586" s="2" t="n">
        <v>0</v>
      </c>
      <c r="AL1586" t="inlineStr">
        <is>
          <t>Published</t>
        </is>
      </c>
    </row>
    <row r="1587">
      <c r="A1587">
        <f>HYPERLINK("https://www.walmart.com/ip/251834877", "251834877")</f>
        <v/>
      </c>
      <c r="B1587">
        <f>HYPERLINK("https://app.optiwise.ai/catalog/itemdetails/361081", "Sherpa Furry Throw Blanket, Reversible Super Soft Plush Fuzzy Fleece Blanket for Sofa Couch Bed 50x60")</f>
        <v/>
      </c>
      <c r="C1587" t="inlineStr">
        <is>
          <t>1CTBN110DG</t>
        </is>
      </c>
      <c r="D1587" t="inlineStr">
        <is>
          <t>Bedding</t>
        </is>
      </c>
      <c r="E1587" t="inlineStr">
        <is>
          <t>Throws</t>
        </is>
      </c>
      <c r="F1587" t="inlineStr">
        <is>
          <t>Catalonia</t>
        </is>
      </c>
      <c r="G1587" t="n">
        <v>0</v>
      </c>
      <c r="H1587" t="n">
        <v>0</v>
      </c>
      <c r="I1587" t="inlineStr">
        <is>
          <t>WFS,WFS Item,Fleece Blankets</t>
        </is>
      </c>
      <c r="J1587" s="29" t="n">
        <v>0</v>
      </c>
      <c r="K1587" s="30" t="n"/>
      <c r="L1587" s="29" t="n">
        <v>0</v>
      </c>
      <c r="M1587" s="29" t="n">
        <v>0</v>
      </c>
      <c r="N1587" s="2" t="n">
        <v>0</v>
      </c>
      <c r="O1587" s="31" t="n">
        <v>0</v>
      </c>
      <c r="P1587" s="32" t="n"/>
      <c r="Q1587" s="32" t="n">
        <v>0</v>
      </c>
      <c r="R1587" s="32" t="n">
        <v>0</v>
      </c>
      <c r="S1587" s="31" t="n">
        <v>0</v>
      </c>
      <c r="T1587" s="32" t="n">
        <v>0</v>
      </c>
      <c r="U1587" s="31" t="n">
        <v>0</v>
      </c>
      <c r="V1587" s="31" t="n">
        <v>0</v>
      </c>
      <c r="W1587" s="3" t="n">
        <v>0</v>
      </c>
      <c r="X1587" s="3" t="n">
        <v>0</v>
      </c>
      <c r="Y1587" s="32" t="n">
        <v>0</v>
      </c>
      <c r="Z1587" s="3" t="n">
        <v>0</v>
      </c>
      <c r="AA1587" s="32" t="n">
        <v>0</v>
      </c>
      <c r="AB1587" s="3" t="n"/>
      <c r="AC1587" s="31" t="n">
        <v>0</v>
      </c>
      <c r="AD1587" s="2" t="n">
        <v>0</v>
      </c>
      <c r="AE1587" s="2" t="n">
        <v>20</v>
      </c>
      <c r="AF1587" s="4" t="n">
        <v>20</v>
      </c>
      <c r="AG1587" s="33" t="n">
        <v>0</v>
      </c>
      <c r="AH1587" s="4" t="n">
        <v>0</v>
      </c>
      <c r="AI1587" s="34" t="n"/>
      <c r="AJ1587" s="34" t="n">
        <v>0</v>
      </c>
      <c r="AK1587" s="2" t="n">
        <v>0</v>
      </c>
      <c r="AL1587" t="inlineStr">
        <is>
          <t>Published</t>
        </is>
      </c>
    </row>
    <row r="1588">
      <c r="A1588">
        <f>HYPERLINK("https://www.walmart.com/ip/390468618", "390468618")</f>
        <v/>
      </c>
      <c r="B1588">
        <f>HYPERLINK("https://app.optiwise.ai/catalog/itemdetails/361086", "KC Caps® Sports Unisex plain Golf Flex Sandwich Baseball Cap Fitted Cotton")</f>
        <v/>
      </c>
      <c r="C1588" t="inlineStr">
        <is>
          <t>KC Caps 8313 putty</t>
        </is>
      </c>
      <c r="D1588" t="inlineStr">
        <is>
          <t>Sport &amp; Recreation Other</t>
        </is>
      </c>
      <c r="E1588" t="inlineStr">
        <is>
          <t>Golf Hats</t>
        </is>
      </c>
      <c r="F1588" t="inlineStr">
        <is>
          <t>KC Caps</t>
        </is>
      </c>
      <c r="G1588" t="n">
        <v>0</v>
      </c>
      <c r="H1588" t="n">
        <v>0</v>
      </c>
      <c r="I1588" t="inlineStr">
        <is>
          <t>Optimized</t>
        </is>
      </c>
      <c r="J1588" s="29" t="n">
        <v>0</v>
      </c>
      <c r="K1588" s="30" t="n"/>
      <c r="L1588" s="29" t="n">
        <v>0</v>
      </c>
      <c r="M1588" s="29" t="n">
        <v>0</v>
      </c>
      <c r="N1588" s="2" t="n">
        <v>0</v>
      </c>
      <c r="O1588" s="31" t="n">
        <v>0</v>
      </c>
      <c r="P1588" s="32" t="n"/>
      <c r="Q1588" s="32" t="n">
        <v>0</v>
      </c>
      <c r="R1588" s="32" t="n">
        <v>0</v>
      </c>
      <c r="S1588" s="31" t="n">
        <v>0</v>
      </c>
      <c r="T1588" s="32" t="n">
        <v>0</v>
      </c>
      <c r="U1588" s="31" t="n">
        <v>0</v>
      </c>
      <c r="V1588" s="31" t="n">
        <v>0</v>
      </c>
      <c r="W1588" s="3" t="n">
        <v>0</v>
      </c>
      <c r="X1588" s="3" t="n">
        <v>0</v>
      </c>
      <c r="Y1588" s="32" t="n">
        <v>0</v>
      </c>
      <c r="Z1588" s="3" t="n">
        <v>0</v>
      </c>
      <c r="AA1588" s="32" t="n">
        <v>0</v>
      </c>
      <c r="AB1588" s="3" t="n"/>
      <c r="AC1588" s="31" t="n">
        <v>0</v>
      </c>
      <c r="AD1588" s="2" t="n">
        <v>0</v>
      </c>
      <c r="AE1588" s="2" t="n">
        <v>14</v>
      </c>
      <c r="AF1588" s="4" t="n">
        <v>14</v>
      </c>
      <c r="AG1588" s="33" t="n">
        <v>0</v>
      </c>
      <c r="AH1588" s="4" t="n">
        <v>0</v>
      </c>
      <c r="AI1588" s="34" t="n"/>
      <c r="AJ1588" s="34" t="n">
        <v>0</v>
      </c>
      <c r="AK1588" s="2" t="n">
        <v>0</v>
      </c>
      <c r="AL1588" t="inlineStr">
        <is>
          <t>Published</t>
        </is>
      </c>
    </row>
    <row r="1589">
      <c r="A1589">
        <f>HYPERLINK("https://www.walmart.com/ip/143730342", "143730342")</f>
        <v/>
      </c>
      <c r="B1589">
        <f>HYPERLINK("https://app.optiwise.ai/catalog/itemdetails/361087", "Male Female Adjustable Buckle Closure USA Flag Embroidered Cap")</f>
        <v/>
      </c>
      <c r="C1589" t="inlineStr">
        <is>
          <t>kc-ae8010-nv</t>
        </is>
      </c>
      <c r="D1589" t="inlineStr">
        <is>
          <t>Clothing</t>
        </is>
      </c>
      <c r="E1589" t="inlineStr">
        <is>
          <t>Hats</t>
        </is>
      </c>
      <c r="F1589" t="inlineStr">
        <is>
          <t>KC Caps</t>
        </is>
      </c>
      <c r="G1589" t="n">
        <v>0</v>
      </c>
      <c r="H1589" t="n">
        <v>0</v>
      </c>
      <c r="I1589" t="inlineStr">
        <is>
          <t>Optimized</t>
        </is>
      </c>
      <c r="J1589" s="29" t="n">
        <v>0</v>
      </c>
      <c r="K1589" s="30" t="n"/>
      <c r="L1589" s="29" t="n">
        <v>0</v>
      </c>
      <c r="M1589" s="29" t="n">
        <v>0</v>
      </c>
      <c r="N1589" s="2" t="n">
        <v>0</v>
      </c>
      <c r="O1589" s="31" t="n">
        <v>0</v>
      </c>
      <c r="P1589" s="32" t="n"/>
      <c r="Q1589" s="32" t="n">
        <v>0</v>
      </c>
      <c r="R1589" s="32" t="n">
        <v>0</v>
      </c>
      <c r="S1589" s="31" t="n">
        <v>0</v>
      </c>
      <c r="T1589" s="32" t="n">
        <v>0</v>
      </c>
      <c r="U1589" s="31" t="n">
        <v>0</v>
      </c>
      <c r="V1589" s="31" t="n">
        <v>0</v>
      </c>
      <c r="W1589" s="3" t="n">
        <v>0</v>
      </c>
      <c r="X1589" s="3" t="n">
        <v>0</v>
      </c>
      <c r="Y1589" s="32" t="n">
        <v>0</v>
      </c>
      <c r="Z1589" s="3" t="n">
        <v>0</v>
      </c>
      <c r="AA1589" s="32" t="n">
        <v>0</v>
      </c>
      <c r="AB1589" s="3" t="n"/>
      <c r="AC1589" s="31" t="n">
        <v>0</v>
      </c>
      <c r="AD1589" s="2" t="n">
        <v>0</v>
      </c>
      <c r="AE1589" s="2" t="n">
        <v>4</v>
      </c>
      <c r="AF1589" s="4" t="n">
        <v>4</v>
      </c>
      <c r="AG1589" s="33" t="n">
        <v>0</v>
      </c>
      <c r="AH1589" s="4" t="n">
        <v>0</v>
      </c>
      <c r="AI1589" s="34" t="n"/>
      <c r="AJ1589" s="34" t="n">
        <v>0</v>
      </c>
      <c r="AK1589" s="2" t="n">
        <v>0</v>
      </c>
      <c r="AL1589" t="inlineStr">
        <is>
          <t>Published</t>
        </is>
      </c>
    </row>
    <row r="1590">
      <c r="A1590">
        <f>HYPERLINK("https://www.walmart.com/ip/142622275", "142622275")</f>
        <v/>
      </c>
      <c r="B1590">
        <f>HYPERLINK("https://app.optiwise.ai/catalog/itemdetails/361287", "Napa Women's Super Soft Warm Sherpa Bathrobe Micro Fleece Kimono Collar Plush Thick Spa Robe Sleepwear with Side Pockets Blue")</f>
        <v/>
      </c>
      <c r="C1590" t="inlineStr">
        <is>
          <t>R5010COBLUE-01</t>
        </is>
      </c>
      <c r="D1590" t="inlineStr">
        <is>
          <t>Clothing</t>
        </is>
      </c>
      <c r="E1590" t="inlineStr">
        <is>
          <t>Sleepwear Robes &amp; Bathrobes</t>
        </is>
      </c>
      <c r="F1590" t="inlineStr">
        <is>
          <t>NAPA</t>
        </is>
      </c>
      <c r="G1590" t="n">
        <v>0</v>
      </c>
      <c r="H1590" t="n">
        <v>0</v>
      </c>
      <c r="I1590" t="inlineStr">
        <is>
          <t>Optimized,Bathrobe</t>
        </is>
      </c>
      <c r="J1590" s="29" t="n">
        <v>0</v>
      </c>
      <c r="K1590" s="30" t="n"/>
      <c r="L1590" s="29" t="n">
        <v>0</v>
      </c>
      <c r="M1590" s="29" t="n">
        <v>0</v>
      </c>
      <c r="N1590" s="2" t="n">
        <v>0</v>
      </c>
      <c r="O1590" s="31" t="n">
        <v>0</v>
      </c>
      <c r="P1590" s="32" t="n"/>
      <c r="Q1590" s="32" t="n">
        <v>0</v>
      </c>
      <c r="R1590" s="32" t="n">
        <v>0</v>
      </c>
      <c r="S1590" s="31" t="n">
        <v>0</v>
      </c>
      <c r="T1590" s="32" t="n">
        <v>0</v>
      </c>
      <c r="U1590" s="31" t="n">
        <v>0</v>
      </c>
      <c r="V1590" s="31" t="n">
        <v>0</v>
      </c>
      <c r="W1590" s="3" t="n">
        <v>0</v>
      </c>
      <c r="X1590" s="3" t="n">
        <v>0</v>
      </c>
      <c r="Y1590" s="32" t="n">
        <v>0</v>
      </c>
      <c r="Z1590" s="3" t="n">
        <v>0</v>
      </c>
      <c r="AA1590" s="32" t="n">
        <v>0</v>
      </c>
      <c r="AB1590" s="3" t="n"/>
      <c r="AC1590" s="31" t="n">
        <v>0</v>
      </c>
      <c r="AD1590" s="2" t="n">
        <v>0</v>
      </c>
      <c r="AE1590" s="2" t="n">
        <v>3</v>
      </c>
      <c r="AF1590" s="4" t="n">
        <v>3</v>
      </c>
      <c r="AG1590" s="33" t="n">
        <v>0</v>
      </c>
      <c r="AH1590" s="4" t="n">
        <v>0</v>
      </c>
      <c r="AI1590" s="34" t="n"/>
      <c r="AJ1590" s="34" t="n">
        <v>0</v>
      </c>
      <c r="AK1590" s="2" t="n">
        <v>0</v>
      </c>
      <c r="AL1590" t="inlineStr">
        <is>
          <t>Published</t>
        </is>
      </c>
    </row>
    <row r="1591">
      <c r="A1591">
        <f>HYPERLINK("https://www.walmart.com/ip/538275788", "538275788")</f>
        <v/>
      </c>
      <c r="B1591">
        <f>HYPERLINK("https://app.optiwise.ai/catalog/itemdetails/361330", "NAPA Sherpa Throw Blanket Snow 50 x 70, Plush Bed Throw TV Decorative Fluffy")</f>
        <v/>
      </c>
      <c r="C1591" t="inlineStr">
        <is>
          <t>K8022-LBL</t>
        </is>
      </c>
      <c r="D1591" t="inlineStr">
        <is>
          <t>Bedding</t>
        </is>
      </c>
      <c r="E1591" t="inlineStr">
        <is>
          <t>Throws</t>
        </is>
      </c>
      <c r="F1591" t="inlineStr">
        <is>
          <t>NAPA</t>
        </is>
      </c>
      <c r="G1591" t="n">
        <v>4.8</v>
      </c>
      <c r="H1591" t="n">
        <v>5</v>
      </c>
      <c r="I1591" t="inlineStr">
        <is>
          <t>Optimized</t>
        </is>
      </c>
      <c r="J1591" s="29" t="n">
        <v>0</v>
      </c>
      <c r="K1591" s="30" t="n"/>
      <c r="L1591" s="29" t="n">
        <v>0</v>
      </c>
      <c r="M1591" s="29" t="n">
        <v>0</v>
      </c>
      <c r="N1591" s="2" t="n">
        <v>0</v>
      </c>
      <c r="O1591" s="31" t="n">
        <v>0</v>
      </c>
      <c r="P1591" s="32" t="n"/>
      <c r="Q1591" s="32" t="n">
        <v>0</v>
      </c>
      <c r="R1591" s="32" t="n">
        <v>0</v>
      </c>
      <c r="S1591" s="31" t="n">
        <v>0</v>
      </c>
      <c r="T1591" s="32" t="n">
        <v>0</v>
      </c>
      <c r="U1591" s="31" t="n">
        <v>0</v>
      </c>
      <c r="V1591" s="31" t="n">
        <v>0</v>
      </c>
      <c r="W1591" s="3" t="n">
        <v>0</v>
      </c>
      <c r="X1591" s="3" t="n">
        <v>0</v>
      </c>
      <c r="Y1591" s="32" t="n">
        <v>0</v>
      </c>
      <c r="Z1591" s="3" t="n">
        <v>0</v>
      </c>
      <c r="AA1591" s="32" t="n">
        <v>0</v>
      </c>
      <c r="AB1591" s="3" t="n"/>
      <c r="AC1591" s="31" t="n">
        <v>0</v>
      </c>
      <c r="AD1591" s="2" t="n">
        <v>0</v>
      </c>
      <c r="AE1591" s="2" t="n">
        <v>1</v>
      </c>
      <c r="AF1591" s="4" t="n">
        <v>1</v>
      </c>
      <c r="AG1591" s="33" t="n">
        <v>0</v>
      </c>
      <c r="AH1591" s="4" t="n">
        <v>0</v>
      </c>
      <c r="AI1591" s="34" t="n"/>
      <c r="AJ1591" s="34" t="n">
        <v>0</v>
      </c>
      <c r="AK1591" s="2" t="n">
        <v>0</v>
      </c>
      <c r="AL1591" t="inlineStr">
        <is>
          <t>Published</t>
        </is>
      </c>
    </row>
    <row r="1592">
      <c r="A1592">
        <f>HYPERLINK("https://www.walmart.com/ip/948200760", "948200760")</f>
        <v/>
      </c>
      <c r="B1592">
        <f>HYPERLINK("https://app.optiwise.ai/catalog/itemdetails/361328", "Tirrinia Wide Brim Sun Hat UPF 50 Foldable Bucket Summer Hat for Women Girls")</f>
        <v/>
      </c>
      <c r="C1592" t="inlineStr">
        <is>
          <t>1TRSHF065BEI-TBCB</t>
        </is>
      </c>
      <c r="D1592" t="inlineStr">
        <is>
          <t>Clothing</t>
        </is>
      </c>
      <c r="E1592" t="inlineStr">
        <is>
          <t>Hats</t>
        </is>
      </c>
      <c r="F1592" t="inlineStr">
        <is>
          <t>Tirrinia</t>
        </is>
      </c>
      <c r="G1592" t="n">
        <v>0</v>
      </c>
      <c r="H1592" t="n">
        <v>0</v>
      </c>
      <c r="I1592" t="inlineStr">
        <is>
          <t>Batch 1 - TR</t>
        </is>
      </c>
      <c r="J1592" s="29" t="n">
        <v>0</v>
      </c>
      <c r="K1592" s="30" t="n"/>
      <c r="L1592" s="29" t="n">
        <v>0</v>
      </c>
      <c r="M1592" s="29" t="n">
        <v>0</v>
      </c>
      <c r="N1592" s="2" t="n">
        <v>0</v>
      </c>
      <c r="O1592" s="31" t="n">
        <v>0</v>
      </c>
      <c r="P1592" s="32" t="n"/>
      <c r="Q1592" s="32" t="n">
        <v>0</v>
      </c>
      <c r="R1592" s="32" t="n">
        <v>0</v>
      </c>
      <c r="S1592" s="31" t="n">
        <v>0</v>
      </c>
      <c r="T1592" s="32" t="n">
        <v>0</v>
      </c>
      <c r="U1592" s="31" t="n">
        <v>0</v>
      </c>
      <c r="V1592" s="31" t="n">
        <v>0</v>
      </c>
      <c r="W1592" s="3" t="n">
        <v>0</v>
      </c>
      <c r="X1592" s="3" t="n">
        <v>0</v>
      </c>
      <c r="Y1592" s="32" t="n">
        <v>0</v>
      </c>
      <c r="Z1592" s="3" t="n">
        <v>0</v>
      </c>
      <c r="AA1592" s="32" t="n">
        <v>0</v>
      </c>
      <c r="AB1592" s="3" t="n"/>
      <c r="AC1592" s="31" t="n">
        <v>0</v>
      </c>
      <c r="AD1592" s="2" t="n">
        <v>0</v>
      </c>
      <c r="AE1592" s="2" t="n">
        <v>2</v>
      </c>
      <c r="AF1592" s="4" t="n">
        <v>2</v>
      </c>
      <c r="AG1592" s="33" t="n">
        <v>0</v>
      </c>
      <c r="AH1592" s="4" t="n">
        <v>0</v>
      </c>
      <c r="AI1592" s="34" t="n"/>
      <c r="AJ1592" s="34" t="n">
        <v>0</v>
      </c>
      <c r="AK1592" s="2" t="n">
        <v>0</v>
      </c>
      <c r="AL1592" t="inlineStr">
        <is>
          <t>Published</t>
        </is>
      </c>
    </row>
    <row r="1593">
      <c r="A1593">
        <f>HYPERLINK("https://www.walmart.com/ip/411332148", "411332148")</f>
        <v/>
      </c>
      <c r="B1593">
        <f>HYPERLINK("https://app.optiwise.ai/catalog/itemdetails/361322", "KritterWorld® Pet Dog Cat Puppy Kitten Microplush Sherpa Snuggle Blanket for Couch, Car, Trunk, Cage, Kennel, Dog House, 45 x30 Wine/Tan")</f>
        <v/>
      </c>
      <c r="C1593" t="inlineStr">
        <is>
          <t>DOG3045-WNTA</t>
        </is>
      </c>
      <c r="D1593" t="inlineStr">
        <is>
          <t>Animal Accessories</t>
        </is>
      </c>
      <c r="E1593" t="inlineStr">
        <is>
          <t>Pet Blankets</t>
        </is>
      </c>
      <c r="F1593" t="inlineStr">
        <is>
          <t>KritterWorld</t>
        </is>
      </c>
      <c r="G1593" t="n">
        <v>0</v>
      </c>
      <c r="H1593" t="n">
        <v>0</v>
      </c>
      <c r="I1593" t="inlineStr">
        <is>
          <t>Batch 1 - TR</t>
        </is>
      </c>
      <c r="J1593" s="29" t="n">
        <v>0</v>
      </c>
      <c r="K1593" s="30" t="n"/>
      <c r="L1593" s="29" t="n">
        <v>0</v>
      </c>
      <c r="M1593" s="29" t="n">
        <v>0</v>
      </c>
      <c r="N1593" s="2" t="n">
        <v>0</v>
      </c>
      <c r="O1593" s="31" t="n">
        <v>0</v>
      </c>
      <c r="P1593" s="32" t="n"/>
      <c r="Q1593" s="32" t="n">
        <v>0</v>
      </c>
      <c r="R1593" s="32" t="n">
        <v>0</v>
      </c>
      <c r="S1593" s="31" t="n">
        <v>0</v>
      </c>
      <c r="T1593" s="32" t="n">
        <v>0</v>
      </c>
      <c r="U1593" s="31" t="n">
        <v>0</v>
      </c>
      <c r="V1593" s="31" t="n">
        <v>0</v>
      </c>
      <c r="W1593" s="3" t="n">
        <v>0</v>
      </c>
      <c r="X1593" s="3" t="n">
        <v>0</v>
      </c>
      <c r="Y1593" s="32" t="n">
        <v>0</v>
      </c>
      <c r="Z1593" s="3" t="n">
        <v>0</v>
      </c>
      <c r="AA1593" s="32" t="n">
        <v>0</v>
      </c>
      <c r="AB1593" s="3" t="n"/>
      <c r="AC1593" s="31" t="n">
        <v>0</v>
      </c>
      <c r="AD1593" s="2" t="n">
        <v>0</v>
      </c>
      <c r="AE1593" s="2" t="n">
        <v>6</v>
      </c>
      <c r="AF1593" s="4" t="n">
        <v>6</v>
      </c>
      <c r="AG1593" s="33" t="n">
        <v>0</v>
      </c>
      <c r="AH1593" s="4" t="n">
        <v>0</v>
      </c>
      <c r="AI1593" s="34" t="n"/>
      <c r="AJ1593" s="34" t="n">
        <v>0</v>
      </c>
      <c r="AK1593" s="2" t="n">
        <v>0</v>
      </c>
      <c r="AL1593" t="inlineStr">
        <is>
          <t>Published</t>
        </is>
      </c>
    </row>
    <row r="1594">
      <c r="A1594">
        <f>HYPERLINK("https://www.walmart.com/ip/154366253", "154366253")</f>
        <v/>
      </c>
      <c r="B1594">
        <f>HYPERLINK("https://app.optiwise.ai/catalog/itemdetails/361321", "Jenniwears Women's Sexy Lingerie Lace Mesh 2-Piece Bowknot Halter Chemise with G-String")</f>
        <v/>
      </c>
      <c r="C1594" t="inlineStr">
        <is>
          <t>JWND03WT</t>
        </is>
      </c>
      <c r="D1594" t="inlineStr">
        <is>
          <t>Clothing</t>
        </is>
      </c>
      <c r="E1594" t="inlineStr">
        <is>
          <t>Lingerie Sets</t>
        </is>
      </c>
      <c r="F1594" t="inlineStr">
        <is>
          <t>JenniWears</t>
        </is>
      </c>
      <c r="G1594" t="n">
        <v>0</v>
      </c>
      <c r="H1594" t="n">
        <v>0</v>
      </c>
      <c r="I1594" t="inlineStr">
        <is>
          <t>Optimized,Valentine</t>
        </is>
      </c>
      <c r="J1594" s="29" t="n">
        <v>0</v>
      </c>
      <c r="K1594" s="30" t="n"/>
      <c r="L1594" s="29" t="n">
        <v>0</v>
      </c>
      <c r="M1594" s="29" t="n">
        <v>0</v>
      </c>
      <c r="N1594" s="2" t="n">
        <v>0</v>
      </c>
      <c r="O1594" s="31" t="n">
        <v>0</v>
      </c>
      <c r="P1594" s="32" t="n"/>
      <c r="Q1594" s="32" t="n">
        <v>0</v>
      </c>
      <c r="R1594" s="32" t="n">
        <v>0</v>
      </c>
      <c r="S1594" s="31" t="n">
        <v>0</v>
      </c>
      <c r="T1594" s="32" t="n">
        <v>0</v>
      </c>
      <c r="U1594" s="31" t="n">
        <v>0</v>
      </c>
      <c r="V1594" s="31" t="n">
        <v>0</v>
      </c>
      <c r="W1594" s="3" t="n">
        <v>0</v>
      </c>
      <c r="X1594" s="3" t="n">
        <v>0</v>
      </c>
      <c r="Y1594" s="32" t="n">
        <v>0</v>
      </c>
      <c r="Z1594" s="3" t="n">
        <v>0</v>
      </c>
      <c r="AA1594" s="32" t="n">
        <v>0</v>
      </c>
      <c r="AB1594" s="3" t="n"/>
      <c r="AC1594" s="31" t="n">
        <v>0</v>
      </c>
      <c r="AD1594" s="2" t="n">
        <v>0</v>
      </c>
      <c r="AE1594" s="2" t="n">
        <v>6</v>
      </c>
      <c r="AF1594" s="4" t="n">
        <v>6</v>
      </c>
      <c r="AG1594" s="33" t="n">
        <v>0</v>
      </c>
      <c r="AH1594" s="4" t="n">
        <v>0</v>
      </c>
      <c r="AI1594" s="34" t="n"/>
      <c r="AJ1594" s="34" t="n">
        <v>0</v>
      </c>
      <c r="AK1594" s="2" t="n">
        <v>0</v>
      </c>
      <c r="AL1594" t="inlineStr">
        <is>
          <t>Published</t>
        </is>
      </c>
    </row>
    <row r="1595">
      <c r="A1595">
        <f>HYPERLINK("https://www.walmart.com/ip/656441278", "656441278")</f>
        <v/>
      </c>
      <c r="B1595">
        <f>HYPERLINK("https://app.optiwise.ai/catalog/itemdetails/361317", "American Flag Sun Cap Patriotic Sports Baseball Tennis Golf Dad Hats for Men Women by Solaris")</f>
        <v/>
      </c>
      <c r="C1595" t="inlineStr">
        <is>
          <t>1SLBC100NV</t>
        </is>
      </c>
      <c r="D1595" t="inlineStr">
        <is>
          <t>Sport &amp; Recreation Other</t>
        </is>
      </c>
      <c r="E1595" t="inlineStr">
        <is>
          <t>Golf Hats</t>
        </is>
      </c>
      <c r="F1595" t="inlineStr">
        <is>
          <t>Solaris</t>
        </is>
      </c>
      <c r="G1595" t="n">
        <v>0</v>
      </c>
      <c r="H1595" t="n">
        <v>0</v>
      </c>
      <c r="I1595" t="inlineStr">
        <is>
          <t>Batch 1 - TR</t>
        </is>
      </c>
      <c r="J1595" s="29" t="n">
        <v>0</v>
      </c>
      <c r="K1595" s="30" t="n"/>
      <c r="L1595" s="29" t="n">
        <v>0</v>
      </c>
      <c r="M1595" s="29" t="n">
        <v>0</v>
      </c>
      <c r="N1595" s="2" t="n">
        <v>0</v>
      </c>
      <c r="O1595" s="31" t="n">
        <v>0</v>
      </c>
      <c r="P1595" s="32" t="n"/>
      <c r="Q1595" s="32" t="n">
        <v>0</v>
      </c>
      <c r="R1595" s="32" t="n">
        <v>0</v>
      </c>
      <c r="S1595" s="31" t="n">
        <v>0</v>
      </c>
      <c r="T1595" s="32" t="n">
        <v>0</v>
      </c>
      <c r="U1595" s="31" t="n">
        <v>0</v>
      </c>
      <c r="V1595" s="31" t="n">
        <v>0</v>
      </c>
      <c r="W1595" s="3" t="n">
        <v>0</v>
      </c>
      <c r="X1595" s="3" t="n">
        <v>0</v>
      </c>
      <c r="Y1595" s="32" t="n">
        <v>0</v>
      </c>
      <c r="Z1595" s="3" t="n">
        <v>0</v>
      </c>
      <c r="AA1595" s="32" t="n">
        <v>0</v>
      </c>
      <c r="AB1595" s="3" t="n"/>
      <c r="AC1595" s="31" t="n">
        <v>0</v>
      </c>
      <c r="AD1595" s="2" t="n">
        <v>0</v>
      </c>
      <c r="AE1595" s="2" t="n">
        <v>15</v>
      </c>
      <c r="AF1595" s="4" t="n">
        <v>15</v>
      </c>
      <c r="AG1595" s="33" t="n">
        <v>0</v>
      </c>
      <c r="AH1595" s="4" t="n">
        <v>0</v>
      </c>
      <c r="AI1595" s="34" t="n"/>
      <c r="AJ1595" s="34" t="n">
        <v>0</v>
      </c>
      <c r="AK1595" s="2" t="n">
        <v>0</v>
      </c>
      <c r="AL1595" t="inlineStr">
        <is>
          <t>Published</t>
        </is>
      </c>
    </row>
    <row r="1596">
      <c r="A1596">
        <f>HYPERLINK("https://www.walmart.com/ip/184302994", "184302994")</f>
        <v/>
      </c>
      <c r="B1596">
        <f>HYPERLINK("https://app.optiwise.ai/catalog/itemdetails/361314", "Terra Outdoor Flexible Running Fuel Belt &amp; Fitness Workout Belt for Women and Men - Best Exercise Waist Pack - Sports Travel Money Belt - Fanny Pack Runner Safety Reflective Waist Belt with Pockets")</f>
        <v/>
      </c>
      <c r="C1596" t="inlineStr">
        <is>
          <t>TERRA-5NG-M</t>
        </is>
      </c>
      <c r="D1596" t="inlineStr">
        <is>
          <t>Cases &amp; Bags</t>
        </is>
      </c>
      <c r="E1596" t="inlineStr">
        <is>
          <t>Running Belts</t>
        </is>
      </c>
      <c r="F1596" t="inlineStr">
        <is>
          <t>Terra</t>
        </is>
      </c>
      <c r="G1596" t="n">
        <v>0</v>
      </c>
      <c r="H1596" t="n">
        <v>0</v>
      </c>
      <c r="I1596" t="inlineStr">
        <is>
          <t>Optimized</t>
        </is>
      </c>
      <c r="J1596" s="29" t="n">
        <v>0</v>
      </c>
      <c r="K1596" s="30" t="n"/>
      <c r="L1596" s="29" t="n">
        <v>0</v>
      </c>
      <c r="M1596" s="29" t="n">
        <v>0</v>
      </c>
      <c r="N1596" s="2" t="n">
        <v>0</v>
      </c>
      <c r="O1596" s="31" t="n">
        <v>0</v>
      </c>
      <c r="P1596" s="32" t="n"/>
      <c r="Q1596" s="32" t="n">
        <v>0</v>
      </c>
      <c r="R1596" s="32" t="n">
        <v>0</v>
      </c>
      <c r="S1596" s="31" t="n">
        <v>0</v>
      </c>
      <c r="T1596" s="32" t="n">
        <v>0</v>
      </c>
      <c r="U1596" s="31" t="n">
        <v>0</v>
      </c>
      <c r="V1596" s="31" t="n">
        <v>0</v>
      </c>
      <c r="W1596" s="3" t="n">
        <v>0</v>
      </c>
      <c r="X1596" s="3" t="n">
        <v>0</v>
      </c>
      <c r="Y1596" s="32" t="n">
        <v>0</v>
      </c>
      <c r="Z1596" s="3" t="n">
        <v>0</v>
      </c>
      <c r="AA1596" s="32" t="n">
        <v>0</v>
      </c>
      <c r="AB1596" s="3" t="n"/>
      <c r="AC1596" s="31" t="n">
        <v>0</v>
      </c>
      <c r="AD1596" s="2" t="n">
        <v>0</v>
      </c>
      <c r="AE1596" s="2" t="n">
        <v>0</v>
      </c>
      <c r="AF1596" s="4" t="n">
        <v>0</v>
      </c>
      <c r="AG1596" s="33" t="n">
        <v>0</v>
      </c>
      <c r="AH1596" s="4" t="n">
        <v>0</v>
      </c>
      <c r="AI1596" s="34" t="n"/>
      <c r="AJ1596" s="34" t="n">
        <v>0</v>
      </c>
      <c r="AK1596" s="2" t="n">
        <v>0</v>
      </c>
      <c r="AL1596" t="inlineStr">
        <is>
          <t>Published</t>
        </is>
      </c>
    </row>
    <row r="1597">
      <c r="A1597">
        <f>HYPERLINK("https://www.walmart.com/ip/371292642", "371292642")</f>
        <v/>
      </c>
      <c r="B1597">
        <f>HYPERLINK("https://app.optiwise.ai/catalog/itemdetails/361306", "Stemless Insulated Wine Tumbler with Lid, 12oz 2 Pack Stainless Steel Double Walled Metal Wine &amp; Champagne Tumbler, Silver")</f>
        <v/>
      </c>
      <c r="C1597" t="inlineStr">
        <is>
          <t>1WMWT120SL-2PK</t>
        </is>
      </c>
      <c r="D1597" t="inlineStr">
        <is>
          <t>Home Decor, Kitchen, &amp; Other</t>
        </is>
      </c>
      <c r="E1597" t="inlineStr">
        <is>
          <t>Tumblers</t>
        </is>
      </c>
      <c r="F1597" t="inlineStr">
        <is>
          <t>Flyingstar</t>
        </is>
      </c>
      <c r="G1597" t="n">
        <v>5</v>
      </c>
      <c r="H1597" t="n">
        <v>1</v>
      </c>
      <c r="I1597" t="inlineStr">
        <is>
          <t>Wine,Christmas,Valentine</t>
        </is>
      </c>
      <c r="J1597" s="29" t="n">
        <v>0</v>
      </c>
      <c r="K1597" s="30" t="n"/>
      <c r="L1597" s="29" t="n">
        <v>0</v>
      </c>
      <c r="M1597" s="29" t="n">
        <v>0</v>
      </c>
      <c r="N1597" s="2" t="n">
        <v>0</v>
      </c>
      <c r="O1597" s="31" t="n">
        <v>0</v>
      </c>
      <c r="P1597" s="32" t="n"/>
      <c r="Q1597" s="32" t="n">
        <v>0</v>
      </c>
      <c r="R1597" s="32" t="n">
        <v>0</v>
      </c>
      <c r="S1597" s="31" t="n">
        <v>0</v>
      </c>
      <c r="T1597" s="32" t="n">
        <v>0</v>
      </c>
      <c r="U1597" s="31" t="n">
        <v>0</v>
      </c>
      <c r="V1597" s="31" t="n">
        <v>0</v>
      </c>
      <c r="W1597" s="3" t="n">
        <v>0</v>
      </c>
      <c r="X1597" s="3" t="n">
        <v>0</v>
      </c>
      <c r="Y1597" s="32" t="n">
        <v>0</v>
      </c>
      <c r="Z1597" s="3" t="n">
        <v>0</v>
      </c>
      <c r="AA1597" s="32" t="n">
        <v>0</v>
      </c>
      <c r="AB1597" s="3" t="n"/>
      <c r="AC1597" s="31" t="n">
        <v>0</v>
      </c>
      <c r="AD1597" s="2" t="n">
        <v>0</v>
      </c>
      <c r="AE1597" s="2" t="n">
        <v>1</v>
      </c>
      <c r="AF1597" s="4" t="n">
        <v>1</v>
      </c>
      <c r="AG1597" s="33" t="n">
        <v>0</v>
      </c>
      <c r="AH1597" s="4" t="n">
        <v>0</v>
      </c>
      <c r="AI1597" s="34" t="n"/>
      <c r="AJ1597" s="34" t="n">
        <v>0</v>
      </c>
      <c r="AK1597" s="2" t="n">
        <v>0</v>
      </c>
      <c r="AL1597" t="inlineStr">
        <is>
          <t>Published</t>
        </is>
      </c>
    </row>
    <row r="1598">
      <c r="A1598">
        <f>HYPERLINK("https://www.walmart.com/ip/275667727", "275667727")</f>
        <v/>
      </c>
      <c r="B1598">
        <f>HYPERLINK("https://app.optiwise.ai/catalog/itemdetails/361303", "Sherpa Slipper Socks for Women,Winter Indoor Home Non Skid Booties")</f>
        <v/>
      </c>
      <c r="C1598" t="inlineStr">
        <is>
          <t>1CTST200HP-2</t>
        </is>
      </c>
      <c r="D1598" t="inlineStr">
        <is>
          <t>Clothing</t>
        </is>
      </c>
      <c r="E1598" t="inlineStr">
        <is>
          <t>Socks</t>
        </is>
      </c>
      <c r="F1598" t="inlineStr">
        <is>
          <t>Catalonia</t>
        </is>
      </c>
      <c r="G1598" t="n">
        <v>0</v>
      </c>
      <c r="H1598" t="n">
        <v>0</v>
      </c>
      <c r="I1598" t="inlineStr">
        <is>
          <t>WFS,WFS Item</t>
        </is>
      </c>
      <c r="J1598" s="29" t="n">
        <v>0</v>
      </c>
      <c r="K1598" s="30" t="n"/>
      <c r="L1598" s="29" t="n">
        <v>0</v>
      </c>
      <c r="M1598" s="29" t="n">
        <v>0</v>
      </c>
      <c r="N1598" s="2" t="n">
        <v>0</v>
      </c>
      <c r="O1598" s="31" t="n">
        <v>0</v>
      </c>
      <c r="P1598" s="32" t="n"/>
      <c r="Q1598" s="32" t="n">
        <v>0</v>
      </c>
      <c r="R1598" s="32" t="n">
        <v>0</v>
      </c>
      <c r="S1598" s="31" t="n">
        <v>0</v>
      </c>
      <c r="T1598" s="32" t="n">
        <v>0</v>
      </c>
      <c r="U1598" s="31" t="n">
        <v>0</v>
      </c>
      <c r="V1598" s="31" t="n">
        <v>0</v>
      </c>
      <c r="W1598" s="3" t="n">
        <v>0</v>
      </c>
      <c r="X1598" s="3" t="n">
        <v>0</v>
      </c>
      <c r="Y1598" s="32" t="n">
        <v>0</v>
      </c>
      <c r="Z1598" s="3" t="n">
        <v>0</v>
      </c>
      <c r="AA1598" s="32" t="n">
        <v>0</v>
      </c>
      <c r="AB1598" s="3" t="n"/>
      <c r="AC1598" s="31" t="n">
        <v>0</v>
      </c>
      <c r="AD1598" s="2" t="n">
        <v>0</v>
      </c>
      <c r="AE1598" s="2" t="n">
        <v>6</v>
      </c>
      <c r="AF1598" s="4" t="n">
        <v>6</v>
      </c>
      <c r="AG1598" s="33" t="n">
        <v>0</v>
      </c>
      <c r="AH1598" s="4" t="n">
        <v>0</v>
      </c>
      <c r="AI1598" s="34" t="n"/>
      <c r="AJ1598" s="34" t="n">
        <v>0</v>
      </c>
      <c r="AK1598" s="2" t="n">
        <v>0</v>
      </c>
      <c r="AL1598" t="inlineStr">
        <is>
          <t>Published</t>
        </is>
      </c>
    </row>
    <row r="1599">
      <c r="A1599">
        <f>HYPERLINK("https://www.walmart.com/ip/328349027", "328349027")</f>
        <v/>
      </c>
      <c r="B1599">
        <f>HYPERLINK("https://app.optiwise.ai/catalog/itemdetails/361294", "Solaris Winter Cable Knit Beanie Hats with Fur Pom Pom for Women Ski Cap")</f>
        <v/>
      </c>
      <c r="C1599" t="inlineStr">
        <is>
          <t>1SLPPH01GN</t>
        </is>
      </c>
      <c r="D1599" t="inlineStr">
        <is>
          <t>Clothing</t>
        </is>
      </c>
      <c r="E1599" t="inlineStr">
        <is>
          <t>Hats</t>
        </is>
      </c>
      <c r="F1599" t="inlineStr">
        <is>
          <t>Solaris</t>
        </is>
      </c>
      <c r="G1599" t="n">
        <v>0</v>
      </c>
      <c r="H1599" t="n">
        <v>0</v>
      </c>
      <c r="I1599" t="inlineStr">
        <is>
          <t>Batch 1 - TR</t>
        </is>
      </c>
      <c r="J1599" s="29" t="n">
        <v>0</v>
      </c>
      <c r="K1599" s="30" t="n"/>
      <c r="L1599" s="29" t="n">
        <v>0</v>
      </c>
      <c r="M1599" s="29" t="n">
        <v>0</v>
      </c>
      <c r="N1599" s="2" t="n">
        <v>0</v>
      </c>
      <c r="O1599" s="31" t="n">
        <v>0</v>
      </c>
      <c r="P1599" s="32" t="n"/>
      <c r="Q1599" s="32" t="n">
        <v>0</v>
      </c>
      <c r="R1599" s="32" t="n">
        <v>0</v>
      </c>
      <c r="S1599" s="31" t="n">
        <v>0</v>
      </c>
      <c r="T1599" s="32" t="n">
        <v>0</v>
      </c>
      <c r="U1599" s="31" t="n">
        <v>0</v>
      </c>
      <c r="V1599" s="31" t="n">
        <v>0</v>
      </c>
      <c r="W1599" s="3" t="n">
        <v>0</v>
      </c>
      <c r="X1599" s="3" t="n">
        <v>0</v>
      </c>
      <c r="Y1599" s="32" t="n">
        <v>0</v>
      </c>
      <c r="Z1599" s="3" t="n">
        <v>0</v>
      </c>
      <c r="AA1599" s="32" t="n">
        <v>0</v>
      </c>
      <c r="AB1599" s="3" t="n"/>
      <c r="AC1599" s="31" t="n">
        <v>0</v>
      </c>
      <c r="AD1599" s="2" t="n">
        <v>0</v>
      </c>
      <c r="AE1599" s="2" t="n">
        <v>1</v>
      </c>
      <c r="AF1599" s="4" t="n">
        <v>1</v>
      </c>
      <c r="AG1599" s="33" t="n">
        <v>0</v>
      </c>
      <c r="AH1599" s="4" t="n">
        <v>0</v>
      </c>
      <c r="AI1599" s="34" t="n"/>
      <c r="AJ1599" s="34" t="n">
        <v>0</v>
      </c>
      <c r="AK1599" s="2" t="n">
        <v>0</v>
      </c>
      <c r="AL1599" t="inlineStr">
        <is>
          <t>Published</t>
        </is>
      </c>
    </row>
    <row r="1600">
      <c r="A1600">
        <f>HYPERLINK("https://www.walmart.com/ip/621862689", "621862689")</f>
        <v/>
      </c>
      <c r="B1600">
        <f>HYPERLINK("https://app.optiwise.ai/catalog/itemdetails/361293", "Catalonia Plaid Sherpa Throw Blanket 50 x 60, for Couch and Bed, Super Soft Reversible, Comfy Caring Gift")</f>
        <v/>
      </c>
      <c r="C1600" t="inlineStr">
        <is>
          <t>1CTBF565PPK</t>
        </is>
      </c>
      <c r="D1600" t="inlineStr">
        <is>
          <t>Bedding</t>
        </is>
      </c>
      <c r="E1600" t="inlineStr">
        <is>
          <t>Throws</t>
        </is>
      </c>
      <c r="F1600" t="inlineStr">
        <is>
          <t>Catalonia</t>
        </is>
      </c>
      <c r="G1600" t="n">
        <v>4.7</v>
      </c>
      <c r="H1600" t="n">
        <v>16</v>
      </c>
      <c r="I1600" t="inlineStr">
        <is>
          <t>Optimized,WFS,Coupon_Discount,WFS Item</t>
        </is>
      </c>
      <c r="J1600" s="29" t="n">
        <v>0</v>
      </c>
      <c r="K1600" s="30" t="n"/>
      <c r="L1600" s="29" t="n">
        <v>0</v>
      </c>
      <c r="M1600" s="29" t="n">
        <v>0</v>
      </c>
      <c r="N1600" s="2" t="n">
        <v>0</v>
      </c>
      <c r="O1600" s="31" t="n">
        <v>0</v>
      </c>
      <c r="P1600" s="32" t="n"/>
      <c r="Q1600" s="32" t="n">
        <v>0</v>
      </c>
      <c r="R1600" s="32" t="n">
        <v>0.2801</v>
      </c>
      <c r="S1600" s="31" t="n">
        <v>0</v>
      </c>
      <c r="T1600" s="32" t="n">
        <v>0</v>
      </c>
      <c r="U1600" s="31" t="n">
        <v>0</v>
      </c>
      <c r="V1600" s="31" t="n">
        <v>0</v>
      </c>
      <c r="W1600" s="3" t="n">
        <v>1</v>
      </c>
      <c r="X1600" s="3" t="n">
        <v>0</v>
      </c>
      <c r="Y1600" s="32" t="n">
        <v>0</v>
      </c>
      <c r="Z1600" s="3" t="n">
        <v>0</v>
      </c>
      <c r="AA1600" s="32" t="n">
        <v>0</v>
      </c>
      <c r="AB1600" s="3" t="inlineStr">
        <is>
          <t>Christmas Products_Optiwise</t>
        </is>
      </c>
      <c r="AC1600" s="31" t="n">
        <v>0</v>
      </c>
      <c r="AD1600" s="2" t="n">
        <v>0</v>
      </c>
      <c r="AE1600" s="2" t="n">
        <v>25</v>
      </c>
      <c r="AF1600" s="4" t="n">
        <v>25</v>
      </c>
      <c r="AG1600" s="33" t="n">
        <v>0</v>
      </c>
      <c r="AH1600" s="4" t="n">
        <v>0</v>
      </c>
      <c r="AI1600" s="34" t="n"/>
      <c r="AJ1600" s="34" t="n">
        <v>0</v>
      </c>
      <c r="AK1600" s="2" t="n">
        <v>0</v>
      </c>
      <c r="AL1600" t="inlineStr">
        <is>
          <t>Published</t>
        </is>
      </c>
    </row>
    <row r="1601">
      <c r="A1601">
        <f>HYPERLINK("https://www.walmart.com/ip/617000595", "617000595")</f>
        <v/>
      </c>
      <c r="B1601">
        <f>HYPERLINK("https://app.optiwise.ai/catalog/itemdetails/361289", "Tirrinia Insulated Lunch Bag for Women, Men and Kids, Leakproof Thermal Reusable Insulated Cooler Bag for Office Work and Back to School, Black and Blue")</f>
        <v/>
      </c>
      <c r="C1601" t="inlineStr">
        <is>
          <t>1KTLB600BKBL</t>
        </is>
      </c>
      <c r="D1601" t="inlineStr">
        <is>
          <t>Home Decor, Kitchen, &amp; Other</t>
        </is>
      </c>
      <c r="E1601" t="inlineStr">
        <is>
          <t>Reusable Lunch Bags &amp; Boxes</t>
        </is>
      </c>
      <c r="F1601" t="inlineStr">
        <is>
          <t>Tirrinia</t>
        </is>
      </c>
      <c r="G1601" t="n">
        <v>4.6</v>
      </c>
      <c r="H1601" t="n">
        <v>52</v>
      </c>
      <c r="I1601" t="inlineStr">
        <is>
          <t>Q2-Target,Brand Camp VD,Lunch Bag,Optimized,WFS,Lunch Bags,SEM,WFS Item</t>
        </is>
      </c>
      <c r="J1601" s="29" t="n">
        <v>0</v>
      </c>
      <c r="K1601" s="30" t="n"/>
      <c r="L1601" s="29" t="n">
        <v>0</v>
      </c>
      <c r="M1601" s="29" t="n">
        <v>0</v>
      </c>
      <c r="N1601" s="2" t="n">
        <v>0</v>
      </c>
      <c r="O1601" s="31" t="n">
        <v>0</v>
      </c>
      <c r="P1601" s="32" t="n"/>
      <c r="Q1601" s="32" t="n">
        <v>0</v>
      </c>
      <c r="R1601" s="32" t="n">
        <v>0.1628</v>
      </c>
      <c r="S1601" s="31" t="n">
        <v>0</v>
      </c>
      <c r="T1601" s="32" t="n">
        <v>0</v>
      </c>
      <c r="U1601" s="31" t="n">
        <v>0</v>
      </c>
      <c r="V1601" s="31" t="n">
        <v>0</v>
      </c>
      <c r="W1601" s="3" t="n">
        <v>0</v>
      </c>
      <c r="X1601" s="3" t="n">
        <v>0</v>
      </c>
      <c r="Y1601" s="32" t="n">
        <v>0</v>
      </c>
      <c r="Z1601" s="3" t="n">
        <v>0</v>
      </c>
      <c r="AA1601" s="32" t="n">
        <v>0</v>
      </c>
      <c r="AB1601" s="3" t="n"/>
      <c r="AC1601" s="31" t="n">
        <v>0</v>
      </c>
      <c r="AD1601" s="2" t="n">
        <v>0</v>
      </c>
      <c r="AE1601" s="2" t="n">
        <v>39</v>
      </c>
      <c r="AF1601" s="4" t="n">
        <v>39</v>
      </c>
      <c r="AG1601" s="33" t="n">
        <v>0</v>
      </c>
      <c r="AH1601" s="4" t="n">
        <v>0</v>
      </c>
      <c r="AI1601" s="34" t="n"/>
      <c r="AJ1601" s="34" t="n">
        <v>0</v>
      </c>
      <c r="AK1601" s="2" t="n">
        <v>0</v>
      </c>
      <c r="AL1601" t="inlineStr">
        <is>
          <t>Published</t>
        </is>
      </c>
    </row>
    <row r="1602">
      <c r="A1602">
        <f>HYPERLINK("https://www.walmart.com/ip/774962388", "774962388")</f>
        <v/>
      </c>
      <c r="B1602">
        <f>HYPERLINK("https://app.optiwise.ai/catalog/itemdetails/361283", "Women Floppy Sun Bucket Hats w/ Wide Brim Straw Edge Summer Beach UV Protection Foldable Gardening Hiking Cap")</f>
        <v/>
      </c>
      <c r="C1602" t="inlineStr">
        <is>
          <t>1TRSH031WH-TBCB01</t>
        </is>
      </c>
      <c r="D1602" t="inlineStr">
        <is>
          <t>Clothing</t>
        </is>
      </c>
      <c r="E1602" t="inlineStr">
        <is>
          <t>Hats</t>
        </is>
      </c>
      <c r="F1602" t="inlineStr">
        <is>
          <t>Tirrinia</t>
        </is>
      </c>
      <c r="G1602" t="n">
        <v>3</v>
      </c>
      <c r="H1602" t="n">
        <v>1</v>
      </c>
      <c r="I1602" t="inlineStr">
        <is>
          <t>Batch 1 - TR</t>
        </is>
      </c>
      <c r="J1602" s="29" t="n">
        <v>0</v>
      </c>
      <c r="K1602" s="30" t="n"/>
      <c r="L1602" s="29" t="n">
        <v>0</v>
      </c>
      <c r="M1602" s="29" t="n">
        <v>0</v>
      </c>
      <c r="N1602" s="2" t="n">
        <v>0</v>
      </c>
      <c r="O1602" s="31" t="n">
        <v>0</v>
      </c>
      <c r="P1602" s="32" t="n"/>
      <c r="Q1602" s="32" t="n">
        <v>0</v>
      </c>
      <c r="R1602" s="32" t="n">
        <v>0</v>
      </c>
      <c r="S1602" s="31" t="n">
        <v>0</v>
      </c>
      <c r="T1602" s="32" t="n">
        <v>0</v>
      </c>
      <c r="U1602" s="31" t="n">
        <v>0</v>
      </c>
      <c r="V1602" s="31" t="n">
        <v>0</v>
      </c>
      <c r="W1602" s="3" t="n">
        <v>0</v>
      </c>
      <c r="X1602" s="3" t="n">
        <v>0</v>
      </c>
      <c r="Y1602" s="32" t="n">
        <v>0</v>
      </c>
      <c r="Z1602" s="3" t="n">
        <v>0</v>
      </c>
      <c r="AA1602" s="32" t="n">
        <v>0</v>
      </c>
      <c r="AB1602" s="3" t="n"/>
      <c r="AC1602" s="31" t="n">
        <v>0</v>
      </c>
      <c r="AD1602" s="2" t="n">
        <v>0</v>
      </c>
      <c r="AE1602" s="2" t="n">
        <v>0</v>
      </c>
      <c r="AF1602" s="4" t="n">
        <v>0</v>
      </c>
      <c r="AG1602" s="33" t="n">
        <v>0</v>
      </c>
      <c r="AH1602" s="4" t="n">
        <v>0</v>
      </c>
      <c r="AI1602" s="34" t="n"/>
      <c r="AJ1602" s="34" t="n">
        <v>0</v>
      </c>
      <c r="AK1602" s="2" t="n">
        <v>0</v>
      </c>
      <c r="AL1602" t="inlineStr">
        <is>
          <t>Published</t>
        </is>
      </c>
    </row>
    <row r="1603">
      <c r="A1603">
        <f>HYPERLINK("https://www.walmart.com/ip/947664366", "947664366")</f>
        <v/>
      </c>
      <c r="B1603">
        <f>HYPERLINK("https://app.optiwise.ai/catalog/itemdetails/361337", "Catalonia Wearable TV Blanket with Sleeves Arms Micro Plush Fleece Wrap Throw Robe 73 x 51”")</f>
        <v/>
      </c>
      <c r="C1603" t="inlineStr">
        <is>
          <t>1CTSN100AQ</t>
        </is>
      </c>
      <c r="D1603" t="inlineStr">
        <is>
          <t>Bedding</t>
        </is>
      </c>
      <c r="E1603" t="inlineStr">
        <is>
          <t>Throws</t>
        </is>
      </c>
      <c r="F1603" t="inlineStr">
        <is>
          <t>Catalonia</t>
        </is>
      </c>
      <c r="G1603" t="n">
        <v>0</v>
      </c>
      <c r="H1603" t="n">
        <v>0</v>
      </c>
      <c r="I1603" t="inlineStr">
        <is>
          <t>Optimized,WFS,WFS Item</t>
        </is>
      </c>
      <c r="J1603" s="29" t="n">
        <v>0</v>
      </c>
      <c r="K1603" s="30" t="n"/>
      <c r="L1603" s="29" t="n">
        <v>0</v>
      </c>
      <c r="M1603" s="29" t="n">
        <v>0</v>
      </c>
      <c r="N1603" s="2" t="n">
        <v>0</v>
      </c>
      <c r="O1603" s="31" t="n">
        <v>0</v>
      </c>
      <c r="P1603" s="32" t="n"/>
      <c r="Q1603" s="32" t="n">
        <v>0</v>
      </c>
      <c r="R1603" s="32" t="n">
        <v>0</v>
      </c>
      <c r="S1603" s="31" t="n">
        <v>0</v>
      </c>
      <c r="T1603" s="32" t="n">
        <v>0</v>
      </c>
      <c r="U1603" s="31" t="n">
        <v>0</v>
      </c>
      <c r="V1603" s="31" t="n">
        <v>0</v>
      </c>
      <c r="W1603" s="3" t="n">
        <v>0</v>
      </c>
      <c r="X1603" s="3" t="n">
        <v>0</v>
      </c>
      <c r="Y1603" s="32" t="n">
        <v>0</v>
      </c>
      <c r="Z1603" s="3" t="n">
        <v>0</v>
      </c>
      <c r="AA1603" s="32" t="n">
        <v>0</v>
      </c>
      <c r="AB1603" s="3" t="n"/>
      <c r="AC1603" s="31" t="n">
        <v>0</v>
      </c>
      <c r="AD1603" s="2" t="n">
        <v>5</v>
      </c>
      <c r="AE1603" s="2" t="n">
        <v>45</v>
      </c>
      <c r="AF1603" s="4" t="n">
        <v>45</v>
      </c>
      <c r="AG1603" s="33" t="n">
        <v>0</v>
      </c>
      <c r="AH1603" s="4" t="n">
        <v>0</v>
      </c>
      <c r="AI1603" s="34" t="n"/>
      <c r="AJ1603" s="34" t="n">
        <v>0</v>
      </c>
      <c r="AK1603" s="2" t="n">
        <v>0</v>
      </c>
      <c r="AL1603" t="inlineStr">
        <is>
          <t>Published</t>
        </is>
      </c>
    </row>
    <row r="1604">
      <c r="A1604">
        <f>HYPERLINK("https://www.walmart.com/ip/411330252", "411330252")</f>
        <v/>
      </c>
      <c r="B1604">
        <f>HYPERLINK("https://app.optiwise.ai/catalog/itemdetails/361278", "Ski Gloves for Women &amp; Men 3M Winter Snow Gloves Mittens Insulation Waterproof for Outdoors Sports")</f>
        <v/>
      </c>
      <c r="C1604" t="inlineStr">
        <is>
          <t>1SLWG100PKL</t>
        </is>
      </c>
      <c r="D1604" t="inlineStr">
        <is>
          <t>Clothing</t>
        </is>
      </c>
      <c r="E1604" t="inlineStr">
        <is>
          <t>Gloves &amp; Mittens</t>
        </is>
      </c>
      <c r="F1604" t="inlineStr">
        <is>
          <t>Solaris</t>
        </is>
      </c>
      <c r="G1604" t="n">
        <v>0</v>
      </c>
      <c r="H1604" t="n">
        <v>0</v>
      </c>
      <c r="I1604" t="inlineStr">
        <is>
          <t>Gloves,Batch 1 - TR</t>
        </is>
      </c>
      <c r="J1604" s="29" t="n">
        <v>0</v>
      </c>
      <c r="K1604" s="30" t="n"/>
      <c r="L1604" s="29" t="n">
        <v>0</v>
      </c>
      <c r="M1604" s="29" t="n">
        <v>0</v>
      </c>
      <c r="N1604" s="2" t="n">
        <v>0</v>
      </c>
      <c r="O1604" s="31" t="n">
        <v>0</v>
      </c>
      <c r="P1604" s="32" t="n"/>
      <c r="Q1604" s="32" t="n">
        <v>0</v>
      </c>
      <c r="R1604" s="32" t="n">
        <v>0</v>
      </c>
      <c r="S1604" s="31" t="n">
        <v>0</v>
      </c>
      <c r="T1604" s="32" t="n">
        <v>0</v>
      </c>
      <c r="U1604" s="31" t="n">
        <v>0</v>
      </c>
      <c r="V1604" s="31" t="n">
        <v>0</v>
      </c>
      <c r="W1604" s="3" t="n">
        <v>0</v>
      </c>
      <c r="X1604" s="3" t="n">
        <v>0</v>
      </c>
      <c r="Y1604" s="32" t="n">
        <v>0</v>
      </c>
      <c r="Z1604" s="3" t="n">
        <v>0</v>
      </c>
      <c r="AA1604" s="32" t="n">
        <v>0</v>
      </c>
      <c r="AB1604" s="3" t="n"/>
      <c r="AC1604" s="31" t="n">
        <v>0</v>
      </c>
      <c r="AD1604" s="2" t="n">
        <v>0</v>
      </c>
      <c r="AE1604" s="2" t="n">
        <v>9</v>
      </c>
      <c r="AF1604" s="4" t="n">
        <v>9</v>
      </c>
      <c r="AG1604" s="33" t="n">
        <v>0</v>
      </c>
      <c r="AH1604" s="4" t="n">
        <v>0</v>
      </c>
      <c r="AI1604" s="34" t="n"/>
      <c r="AJ1604" s="34" t="n">
        <v>0</v>
      </c>
      <c r="AK1604" s="2" t="n">
        <v>0</v>
      </c>
      <c r="AL1604" t="inlineStr">
        <is>
          <t>Published</t>
        </is>
      </c>
    </row>
    <row r="1605">
      <c r="A1605">
        <f>HYPERLINK("https://www.walmart.com/ip/429298427", "429298427")</f>
        <v/>
      </c>
      <c r="B1605">
        <f>HYPERLINK("https://app.optiwise.ai/catalog/itemdetails/361272", "Tirrinia Super Soft Fluffy Hooded Robe Long Plush Fuzzy Bathrobe for Women with Hood Sherpa Lined, Machine Washable, Cheetah")</f>
        <v/>
      </c>
      <c r="C1605" t="inlineStr">
        <is>
          <t>1TRRB100CHEETAH</t>
        </is>
      </c>
      <c r="D1605" t="inlineStr">
        <is>
          <t>Clothing</t>
        </is>
      </c>
      <c r="E1605" t="inlineStr">
        <is>
          <t>Sleepwear Robes &amp; Bathrobes</t>
        </is>
      </c>
      <c r="F1605" t="inlineStr">
        <is>
          <t>Tirrinia</t>
        </is>
      </c>
      <c r="G1605" t="n">
        <v>4.4</v>
      </c>
      <c r="H1605" t="n">
        <v>8</v>
      </c>
      <c r="I1605" t="inlineStr">
        <is>
          <t>WFS,Bathrobe,Coupon_Discount,WFS Item</t>
        </is>
      </c>
      <c r="J1605" s="29" t="n">
        <v>0</v>
      </c>
      <c r="K1605" s="30" t="n"/>
      <c r="L1605" s="29" t="n">
        <v>0</v>
      </c>
      <c r="M1605" s="29" t="n">
        <v>0</v>
      </c>
      <c r="N1605" s="2" t="n">
        <v>0</v>
      </c>
      <c r="O1605" s="31" t="n">
        <v>0</v>
      </c>
      <c r="P1605" s="32" t="n"/>
      <c r="Q1605" s="32" t="n">
        <v>0</v>
      </c>
      <c r="R1605" s="32" t="n">
        <v>0</v>
      </c>
      <c r="S1605" s="31" t="n">
        <v>0</v>
      </c>
      <c r="T1605" s="32" t="n">
        <v>0</v>
      </c>
      <c r="U1605" s="31" t="n">
        <v>0</v>
      </c>
      <c r="V1605" s="31" t="n">
        <v>0</v>
      </c>
      <c r="W1605" s="3" t="n">
        <v>0</v>
      </c>
      <c r="X1605" s="3" t="n">
        <v>0</v>
      </c>
      <c r="Y1605" s="32" t="n">
        <v>0</v>
      </c>
      <c r="Z1605" s="3" t="n">
        <v>0</v>
      </c>
      <c r="AA1605" s="32" t="n">
        <v>0</v>
      </c>
      <c r="AB1605" s="3" t="n"/>
      <c r="AC1605" s="31" t="n">
        <v>0</v>
      </c>
      <c r="AD1605" s="2" t="n">
        <v>0</v>
      </c>
      <c r="AE1605" s="2" t="n">
        <v>51</v>
      </c>
      <c r="AF1605" s="4" t="n">
        <v>51</v>
      </c>
      <c r="AG1605" s="33" t="n">
        <v>0</v>
      </c>
      <c r="AH1605" s="4" t="n">
        <v>0</v>
      </c>
      <c r="AI1605" s="34" t="n"/>
      <c r="AJ1605" s="34" t="n">
        <v>0</v>
      </c>
      <c r="AK1605" s="2" t="n">
        <v>0</v>
      </c>
      <c r="AL1605" t="inlineStr">
        <is>
          <t>Published</t>
        </is>
      </c>
    </row>
    <row r="1606">
      <c r="A1606">
        <f>HYPERLINK("https://www.walmart.com/ip/367461877", "367461877")</f>
        <v/>
      </c>
      <c r="B1606">
        <f>HYPERLINK("https://app.optiwise.ai/catalog/itemdetails/361271", "KC Caps® Hunting Hiking Camping Camo Military Mesh Cap Travel Hat")</f>
        <v/>
      </c>
      <c r="C1606" t="inlineStr">
        <is>
          <t>KC7140-Break</t>
        </is>
      </c>
      <c r="D1606" t="inlineStr">
        <is>
          <t>Clothing</t>
        </is>
      </c>
      <c r="E1606" t="inlineStr">
        <is>
          <t>Hats</t>
        </is>
      </c>
      <c r="F1606" t="inlineStr">
        <is>
          <t>KC Caps</t>
        </is>
      </c>
      <c r="G1606" t="n">
        <v>0</v>
      </c>
      <c r="H1606" t="n">
        <v>0</v>
      </c>
      <c r="I1606" t="inlineStr">
        <is>
          <t>Optimized</t>
        </is>
      </c>
      <c r="J1606" s="29" t="n">
        <v>0</v>
      </c>
      <c r="K1606" s="30" t="n"/>
      <c r="L1606" s="29" t="n">
        <v>0</v>
      </c>
      <c r="M1606" s="29" t="n">
        <v>0</v>
      </c>
      <c r="N1606" s="2" t="n">
        <v>0</v>
      </c>
      <c r="O1606" s="31" t="n">
        <v>0</v>
      </c>
      <c r="P1606" s="32" t="n"/>
      <c r="Q1606" s="32" t="n">
        <v>0</v>
      </c>
      <c r="R1606" s="32" t="n">
        <v>0</v>
      </c>
      <c r="S1606" s="31" t="n">
        <v>0</v>
      </c>
      <c r="T1606" s="32" t="n">
        <v>0</v>
      </c>
      <c r="U1606" s="31" t="n">
        <v>0</v>
      </c>
      <c r="V1606" s="31" t="n">
        <v>0</v>
      </c>
      <c r="W1606" s="3" t="n">
        <v>0</v>
      </c>
      <c r="X1606" s="3" t="n">
        <v>0</v>
      </c>
      <c r="Y1606" s="32" t="n">
        <v>0</v>
      </c>
      <c r="Z1606" s="3" t="n">
        <v>0</v>
      </c>
      <c r="AA1606" s="32" t="n">
        <v>0</v>
      </c>
      <c r="AB1606" s="3" t="n"/>
      <c r="AC1606" s="31" t="n">
        <v>0</v>
      </c>
      <c r="AD1606" s="2" t="n">
        <v>0</v>
      </c>
      <c r="AE1606" s="2" t="n">
        <v>4</v>
      </c>
      <c r="AF1606" s="4" t="n">
        <v>4</v>
      </c>
      <c r="AG1606" s="33" t="n">
        <v>0</v>
      </c>
      <c r="AH1606" s="4" t="n">
        <v>0</v>
      </c>
      <c r="AI1606" s="34" t="n"/>
      <c r="AJ1606" s="34" t="n">
        <v>0</v>
      </c>
      <c r="AK1606" s="2" t="n">
        <v>0</v>
      </c>
      <c r="AL1606" t="inlineStr">
        <is>
          <t>Published</t>
        </is>
      </c>
    </row>
    <row r="1607">
      <c r="A1607">
        <f>HYPERLINK("https://www.walmart.com/ip/667681681", "667681681")</f>
        <v/>
      </c>
      <c r="B1607">
        <f>HYPERLINK("https://app.optiwise.ai/catalog/itemdetails/361268", "Jennis Women's Sexy See-through Lingerie Lace Fishnet Suspender")</f>
        <v/>
      </c>
      <c r="C1607" t="inlineStr">
        <is>
          <t>JWBD01LE-3XL</t>
        </is>
      </c>
      <c r="D1607" t="inlineStr">
        <is>
          <t>Clothing</t>
        </is>
      </c>
      <c r="E1607" t="inlineStr">
        <is>
          <t>Teddies &amp; Bodystockings</t>
        </is>
      </c>
      <c r="F1607" t="inlineStr">
        <is>
          <t>Jennis</t>
        </is>
      </c>
      <c r="G1607" t="n">
        <v>0</v>
      </c>
      <c r="H1607" t="n">
        <v>0</v>
      </c>
      <c r="I1607" t="inlineStr">
        <is>
          <t>Valentine</t>
        </is>
      </c>
      <c r="J1607" s="29" t="n">
        <v>0</v>
      </c>
      <c r="K1607" s="30" t="n"/>
      <c r="L1607" s="29" t="n">
        <v>0</v>
      </c>
      <c r="M1607" s="29" t="n">
        <v>0</v>
      </c>
      <c r="N1607" s="2" t="n">
        <v>0</v>
      </c>
      <c r="O1607" s="31" t="n">
        <v>0</v>
      </c>
      <c r="P1607" s="32" t="n"/>
      <c r="Q1607" s="32" t="n">
        <v>0</v>
      </c>
      <c r="R1607" s="32" t="n">
        <v>0</v>
      </c>
      <c r="S1607" s="31" t="n">
        <v>0</v>
      </c>
      <c r="T1607" s="32" t="n">
        <v>0</v>
      </c>
      <c r="U1607" s="31" t="n">
        <v>0</v>
      </c>
      <c r="V1607" s="31" t="n">
        <v>0</v>
      </c>
      <c r="W1607" s="3" t="n">
        <v>0</v>
      </c>
      <c r="X1607" s="3" t="n">
        <v>0</v>
      </c>
      <c r="Y1607" s="32" t="n">
        <v>0</v>
      </c>
      <c r="Z1607" s="3" t="n">
        <v>0</v>
      </c>
      <c r="AA1607" s="32" t="n">
        <v>0</v>
      </c>
      <c r="AB1607" s="3" t="n"/>
      <c r="AC1607" s="31" t="n">
        <v>0</v>
      </c>
      <c r="AD1607" s="2" t="n">
        <v>0</v>
      </c>
      <c r="AE1607" s="2" t="n">
        <v>9</v>
      </c>
      <c r="AF1607" s="4" t="n">
        <v>9</v>
      </c>
      <c r="AG1607" s="33" t="n">
        <v>0</v>
      </c>
      <c r="AH1607" s="4" t="n">
        <v>0</v>
      </c>
      <c r="AI1607" s="34" t="n"/>
      <c r="AJ1607" s="34" t="n">
        <v>0</v>
      </c>
      <c r="AK1607" s="2" t="n">
        <v>0</v>
      </c>
      <c r="AL1607" t="inlineStr">
        <is>
          <t>Published</t>
        </is>
      </c>
    </row>
    <row r="1608">
      <c r="A1608">
        <f>HYPERLINK("https://www.walmart.com/ip/120589079", "120589079")</f>
        <v/>
      </c>
      <c r="B1608">
        <f>HYPERLINK("https://app.optiwise.ai/catalog/itemdetails/361267", "KC Caps Race Collection Caps with High Quality USA Fag Racing Graphic")</f>
        <v/>
      </c>
      <c r="C1608" t="inlineStr">
        <is>
          <t>KC-AS04</t>
        </is>
      </c>
      <c r="D1608" t="inlineStr">
        <is>
          <t>Clothing</t>
        </is>
      </c>
      <c r="E1608" t="inlineStr">
        <is>
          <t>Hats</t>
        </is>
      </c>
      <c r="F1608" t="inlineStr">
        <is>
          <t>KC Caps</t>
        </is>
      </c>
      <c r="G1608" t="n">
        <v>0</v>
      </c>
      <c r="H1608" t="n">
        <v>0</v>
      </c>
      <c r="I1608" t="inlineStr">
        <is>
          <t>Batch 1 - TR</t>
        </is>
      </c>
      <c r="J1608" s="29" t="n">
        <v>0</v>
      </c>
      <c r="K1608" s="30" t="n"/>
      <c r="L1608" s="29" t="n">
        <v>0</v>
      </c>
      <c r="M1608" s="29" t="n">
        <v>0</v>
      </c>
      <c r="N1608" s="2" t="n">
        <v>0</v>
      </c>
      <c r="O1608" s="31" t="n">
        <v>0</v>
      </c>
      <c r="P1608" s="32" t="n"/>
      <c r="Q1608" s="32" t="n">
        <v>0</v>
      </c>
      <c r="R1608" s="32" t="n">
        <v>0</v>
      </c>
      <c r="S1608" s="31" t="n">
        <v>0</v>
      </c>
      <c r="T1608" s="32" t="n">
        <v>0</v>
      </c>
      <c r="U1608" s="31" t="n">
        <v>0</v>
      </c>
      <c r="V1608" s="31" t="n">
        <v>0</v>
      </c>
      <c r="W1608" s="3" t="n">
        <v>0</v>
      </c>
      <c r="X1608" s="3" t="n">
        <v>0</v>
      </c>
      <c r="Y1608" s="32" t="n">
        <v>0</v>
      </c>
      <c r="Z1608" s="3" t="n">
        <v>0</v>
      </c>
      <c r="AA1608" s="32" t="n">
        <v>0</v>
      </c>
      <c r="AB1608" s="3" t="n"/>
      <c r="AC1608" s="31" t="n">
        <v>0</v>
      </c>
      <c r="AD1608" s="2" t="n">
        <v>0</v>
      </c>
      <c r="AE1608" s="2" t="n">
        <v>1</v>
      </c>
      <c r="AF1608" s="4" t="n">
        <v>1</v>
      </c>
      <c r="AG1608" s="33" t="n">
        <v>0</v>
      </c>
      <c r="AH1608" s="4" t="n">
        <v>0</v>
      </c>
      <c r="AI1608" s="34" t="n"/>
      <c r="AJ1608" s="34" t="n">
        <v>0</v>
      </c>
      <c r="AK1608" s="2" t="n">
        <v>0</v>
      </c>
      <c r="AL1608" t="inlineStr">
        <is>
          <t>Published</t>
        </is>
      </c>
    </row>
    <row r="1609">
      <c r="A1609">
        <f>HYPERLINK("https://www.walmart.com/ip/802198021", "802198021")</f>
        <v/>
      </c>
      <c r="B1609">
        <f>HYPERLINK("https://app.optiwise.ai/catalog/itemdetails/361265", "Bear Oversized Sherpa Hoodie Blanket Sweatshirt for Women")</f>
        <v/>
      </c>
      <c r="C1609" t="inlineStr">
        <is>
          <t>1WMHD201BEA</t>
        </is>
      </c>
      <c r="D1609" t="inlineStr">
        <is>
          <t>Clothing</t>
        </is>
      </c>
      <c r="E1609" t="inlineStr">
        <is>
          <t>Sweatshirts &amp; Hoodies</t>
        </is>
      </c>
      <c r="F1609" t="inlineStr">
        <is>
          <t>Flyingstar</t>
        </is>
      </c>
      <c r="G1609" t="n">
        <v>0</v>
      </c>
      <c r="H1609" t="n">
        <v>0</v>
      </c>
      <c r="I1609" t="inlineStr">
        <is>
          <t>Hoodie ForAdult,Optimized</t>
        </is>
      </c>
      <c r="J1609" s="29" t="n">
        <v>0</v>
      </c>
      <c r="K1609" s="30" t="n"/>
      <c r="L1609" s="29" t="n">
        <v>0</v>
      </c>
      <c r="M1609" s="29" t="n">
        <v>0</v>
      </c>
      <c r="N1609" s="2" t="n">
        <v>0</v>
      </c>
      <c r="O1609" s="31" t="n">
        <v>3.56</v>
      </c>
      <c r="P1609" s="32" t="n">
        <v>0.0004</v>
      </c>
      <c r="Q1609" s="32" t="n">
        <v>0</v>
      </c>
      <c r="R1609" s="32" t="n">
        <v>0</v>
      </c>
      <c r="S1609" s="31" t="n">
        <v>0</v>
      </c>
      <c r="T1609" s="32" t="n">
        <v>0</v>
      </c>
      <c r="U1609" s="31" t="n">
        <v>0</v>
      </c>
      <c r="V1609" s="31" t="n">
        <v>0</v>
      </c>
      <c r="W1609" s="3" t="n">
        <v>18735</v>
      </c>
      <c r="X1609" s="3" t="n">
        <v>10</v>
      </c>
      <c r="Y1609" s="32" t="n">
        <v>0.0005</v>
      </c>
      <c r="Z1609" s="3" t="n">
        <v>0</v>
      </c>
      <c r="AA1609" s="32" t="n">
        <v>0</v>
      </c>
      <c r="AB1609" s="3" t="inlineStr">
        <is>
          <t>Hoodies_Auto</t>
        </is>
      </c>
      <c r="AC1609" s="31" t="n">
        <v>0.36</v>
      </c>
      <c r="AD1609" s="2" t="n">
        <v>0</v>
      </c>
      <c r="AE1609" s="2" t="n">
        <v>16</v>
      </c>
      <c r="AF1609" s="4" t="n">
        <v>6</v>
      </c>
      <c r="AG1609" s="33" t="n">
        <v>0</v>
      </c>
      <c r="AH1609" s="4" t="n">
        <v>0</v>
      </c>
      <c r="AI1609" s="34" t="n"/>
      <c r="AJ1609" s="34" t="n">
        <v>0</v>
      </c>
      <c r="AK1609" s="2" t="n">
        <v>0</v>
      </c>
      <c r="AL1609" t="inlineStr">
        <is>
          <t>Published</t>
        </is>
      </c>
    </row>
    <row r="1610">
      <c r="A1610">
        <f>HYPERLINK("https://www.walmart.com/ip/484675016", "484675016")</f>
        <v/>
      </c>
      <c r="B1610">
        <f>HYPERLINK("https://app.optiwise.ai/catalog/itemdetails/361262", "Catalonia Microfiber Plush Throw Blanket for Couch and Bed, Holiday Theme Sherpa Fleece Throw Christmas Gift Blanket, Super Soft, Comfy, Cozy, Fluffy, and Warm, Dalmatian, 90'' x 90''")</f>
        <v/>
      </c>
      <c r="C1610" t="inlineStr">
        <is>
          <t>1CTBF399DMT</t>
        </is>
      </c>
      <c r="D1610" t="inlineStr">
        <is>
          <t>Bedding</t>
        </is>
      </c>
      <c r="E1610" t="inlineStr">
        <is>
          <t>Throws</t>
        </is>
      </c>
      <c r="F1610" t="inlineStr">
        <is>
          <t>Catalonia</t>
        </is>
      </c>
      <c r="G1610" t="n">
        <v>4.7</v>
      </c>
      <c r="H1610" t="n">
        <v>0</v>
      </c>
      <c r="I1610" t="inlineStr">
        <is>
          <t>WFS,Coupon_Discount,WFS Item</t>
        </is>
      </c>
      <c r="J1610" s="29" t="n">
        <v>0</v>
      </c>
      <c r="K1610" s="30" t="n"/>
      <c r="L1610" s="29" t="n">
        <v>0</v>
      </c>
      <c r="M1610" s="29" t="n">
        <v>0</v>
      </c>
      <c r="N1610" s="2" t="n">
        <v>0</v>
      </c>
      <c r="O1610" s="31" t="n">
        <v>0</v>
      </c>
      <c r="P1610" s="32" t="n"/>
      <c r="Q1610" s="32" t="n">
        <v>0</v>
      </c>
      <c r="R1610" s="32" t="n">
        <v>0</v>
      </c>
      <c r="S1610" s="31" t="n">
        <v>0</v>
      </c>
      <c r="T1610" s="32" t="n">
        <v>0</v>
      </c>
      <c r="U1610" s="31" t="n">
        <v>0</v>
      </c>
      <c r="V1610" s="31" t="n">
        <v>0</v>
      </c>
      <c r="W1610" s="3" t="n">
        <v>0</v>
      </c>
      <c r="X1610" s="3" t="n">
        <v>0</v>
      </c>
      <c r="Y1610" s="32" t="n">
        <v>0</v>
      </c>
      <c r="Z1610" s="3" t="n">
        <v>0</v>
      </c>
      <c r="AA1610" s="32" t="n">
        <v>0</v>
      </c>
      <c r="AB1610" s="3" t="n"/>
      <c r="AC1610" s="31" t="n">
        <v>0</v>
      </c>
      <c r="AD1610" s="2" t="n">
        <v>0</v>
      </c>
      <c r="AE1610" s="2" t="n">
        <v>18</v>
      </c>
      <c r="AF1610" s="4" t="n">
        <v>18</v>
      </c>
      <c r="AG1610" s="33" t="n">
        <v>0</v>
      </c>
      <c r="AH1610" s="4" t="n">
        <v>0</v>
      </c>
      <c r="AI1610" s="34" t="n"/>
      <c r="AJ1610" s="34" t="n">
        <v>0</v>
      </c>
      <c r="AK1610" s="2" t="n">
        <v>0</v>
      </c>
      <c r="AL1610" t="inlineStr">
        <is>
          <t>Published</t>
        </is>
      </c>
    </row>
    <row r="1611">
      <c r="A1611">
        <f>HYPERLINK("https://www.walmart.com/ip/196984130", "196984130")</f>
        <v/>
      </c>
      <c r="B1611">
        <f>HYPERLINK("https://app.optiwise.ai/catalog/itemdetails/361260", "JenniWears Women Beileise Sexy Top Thigh High Stockings+ Garter Belt Suspender - 3 Packs")</f>
        <v/>
      </c>
      <c r="C1611" t="inlineStr">
        <is>
          <t>JWBLSPH2011-3pcs</t>
        </is>
      </c>
      <c r="D1611" t="inlineStr">
        <is>
          <t>Clothing</t>
        </is>
      </c>
      <c r="E1611" t="inlineStr">
        <is>
          <t>Pantyhose &amp; Tights</t>
        </is>
      </c>
      <c r="F1611" t="inlineStr">
        <is>
          <t>JenniWears</t>
        </is>
      </c>
      <c r="G1611" t="n">
        <v>0</v>
      </c>
      <c r="H1611" t="n">
        <v>0</v>
      </c>
      <c r="I1611" t="inlineStr">
        <is>
          <t>Optimized,Valentine</t>
        </is>
      </c>
      <c r="J1611" s="29" t="n">
        <v>0</v>
      </c>
      <c r="K1611" s="30" t="n"/>
      <c r="L1611" s="29" t="n">
        <v>0</v>
      </c>
      <c r="M1611" s="29" t="n">
        <v>0</v>
      </c>
      <c r="N1611" s="2" t="n">
        <v>0</v>
      </c>
      <c r="O1611" s="31" t="n">
        <v>0</v>
      </c>
      <c r="P1611" s="32" t="n"/>
      <c r="Q1611" s="32" t="n">
        <v>0</v>
      </c>
      <c r="R1611" s="32" t="n">
        <v>0</v>
      </c>
      <c r="S1611" s="31" t="n">
        <v>0</v>
      </c>
      <c r="T1611" s="32" t="n">
        <v>0</v>
      </c>
      <c r="U1611" s="31" t="n">
        <v>0</v>
      </c>
      <c r="V1611" s="31" t="n">
        <v>0</v>
      </c>
      <c r="W1611" s="3" t="n">
        <v>0</v>
      </c>
      <c r="X1611" s="3" t="n">
        <v>0</v>
      </c>
      <c r="Y1611" s="32" t="n">
        <v>0</v>
      </c>
      <c r="Z1611" s="3" t="n">
        <v>0</v>
      </c>
      <c r="AA1611" s="32" t="n">
        <v>0</v>
      </c>
      <c r="AB1611" s="3" t="n"/>
      <c r="AC1611" s="31" t="n">
        <v>0</v>
      </c>
      <c r="AD1611" s="2" t="n">
        <v>0</v>
      </c>
      <c r="AE1611" s="2" t="n">
        <v>7</v>
      </c>
      <c r="AF1611" s="4" t="n">
        <v>7</v>
      </c>
      <c r="AG1611" s="33" t="n">
        <v>0</v>
      </c>
      <c r="AH1611" s="4" t="n">
        <v>0</v>
      </c>
      <c r="AI1611" s="34" t="n"/>
      <c r="AJ1611" s="34" t="n">
        <v>0</v>
      </c>
      <c r="AK1611" s="2" t="n">
        <v>0</v>
      </c>
      <c r="AL1611" t="inlineStr">
        <is>
          <t>Published</t>
        </is>
      </c>
    </row>
    <row r="1612">
      <c r="A1612">
        <f>HYPERLINK("https://www.walmart.com/ip/144108904", "144108904")</f>
        <v/>
      </c>
      <c r="B1612">
        <f>HYPERLINK("https://app.optiwise.ai/catalog/itemdetails/361250", "KC Caps Washed Denim Bucket Hat, Summer Fishing Hat for Women and Men, Red")</f>
        <v/>
      </c>
      <c r="C1612" t="inlineStr">
        <is>
          <t>KC9120RD-L</t>
        </is>
      </c>
      <c r="D1612" t="inlineStr">
        <is>
          <t>Clothing</t>
        </is>
      </c>
      <c r="E1612" t="inlineStr">
        <is>
          <t>Hats</t>
        </is>
      </c>
      <c r="F1612" t="inlineStr">
        <is>
          <t>KC Caps</t>
        </is>
      </c>
      <c r="G1612" t="n">
        <v>5</v>
      </c>
      <c r="H1612" t="n">
        <v>2</v>
      </c>
      <c r="I1612" t="inlineStr">
        <is>
          <t>Optimized</t>
        </is>
      </c>
      <c r="J1612" s="29" t="n">
        <v>0</v>
      </c>
      <c r="K1612" s="30" t="n"/>
      <c r="L1612" s="29" t="n">
        <v>0</v>
      </c>
      <c r="M1612" s="29" t="n">
        <v>0</v>
      </c>
      <c r="N1612" s="2" t="n">
        <v>0</v>
      </c>
      <c r="O1612" s="31" t="n">
        <v>0</v>
      </c>
      <c r="P1612" s="32" t="n"/>
      <c r="Q1612" s="32" t="n">
        <v>0</v>
      </c>
      <c r="R1612" s="32" t="n">
        <v>0</v>
      </c>
      <c r="S1612" s="31" t="n">
        <v>0</v>
      </c>
      <c r="T1612" s="32" t="n">
        <v>0</v>
      </c>
      <c r="U1612" s="31" t="n">
        <v>0</v>
      </c>
      <c r="V1612" s="31" t="n">
        <v>0</v>
      </c>
      <c r="W1612" s="3" t="n">
        <v>0</v>
      </c>
      <c r="X1612" s="3" t="n">
        <v>0</v>
      </c>
      <c r="Y1612" s="32" t="n">
        <v>0</v>
      </c>
      <c r="Z1612" s="3" t="n">
        <v>0</v>
      </c>
      <c r="AA1612" s="32" t="n">
        <v>0</v>
      </c>
      <c r="AB1612" s="3" t="n"/>
      <c r="AC1612" s="31" t="n">
        <v>0</v>
      </c>
      <c r="AD1612" s="2" t="n">
        <v>0</v>
      </c>
      <c r="AE1612" s="2" t="n">
        <v>0</v>
      </c>
      <c r="AF1612" s="4" t="n">
        <v>0</v>
      </c>
      <c r="AG1612" s="33" t="n">
        <v>0</v>
      </c>
      <c r="AH1612" s="4" t="n">
        <v>0</v>
      </c>
      <c r="AI1612" s="34" t="n"/>
      <c r="AJ1612" s="34" t="n">
        <v>0</v>
      </c>
      <c r="AK1612" s="2" t="n">
        <v>0</v>
      </c>
      <c r="AL1612" t="inlineStr">
        <is>
          <t>Published</t>
        </is>
      </c>
    </row>
    <row r="1613">
      <c r="A1613">
        <f>HYPERLINK("https://www.walmart.com/ip/309842148", "309842148")</f>
        <v/>
      </c>
      <c r="B1613">
        <f>HYPERLINK("https://app.optiwise.ai/catalog/itemdetails/361249", "Oversized Hoodie Blanket Sweatshirt,Super Soft Warm Comfortable Fleece Giant Pullover with Large Front Pocket,for Adults Men Women Teenagers Kids Wife Girlfriend")</f>
        <v/>
      </c>
      <c r="C1613" t="inlineStr">
        <is>
          <t>1WMHD300LT</t>
        </is>
      </c>
      <c r="D1613" t="inlineStr">
        <is>
          <t>Clothing</t>
        </is>
      </c>
      <c r="E1613" t="inlineStr">
        <is>
          <t>Sweatshirts &amp; Hoodies</t>
        </is>
      </c>
      <c r="F1613" t="inlineStr">
        <is>
          <t>Flyingstar</t>
        </is>
      </c>
      <c r="G1613" t="n">
        <v>0</v>
      </c>
      <c r="H1613" t="n">
        <v>0</v>
      </c>
      <c r="I1613" t="inlineStr">
        <is>
          <t>Hoodie ForAdult,Optimized</t>
        </is>
      </c>
      <c r="J1613" s="29" t="n">
        <v>0</v>
      </c>
      <c r="K1613" s="30" t="n"/>
      <c r="L1613" s="29" t="n">
        <v>0</v>
      </c>
      <c r="M1613" s="29" t="n">
        <v>0</v>
      </c>
      <c r="N1613" s="2" t="n">
        <v>0</v>
      </c>
      <c r="O1613" s="31" t="n">
        <v>0</v>
      </c>
      <c r="P1613" s="32" t="n"/>
      <c r="Q1613" s="32" t="n">
        <v>0</v>
      </c>
      <c r="R1613" s="32" t="n">
        <v>0</v>
      </c>
      <c r="S1613" s="31" t="n">
        <v>0</v>
      </c>
      <c r="T1613" s="32" t="n">
        <v>0</v>
      </c>
      <c r="U1613" s="31" t="n">
        <v>0</v>
      </c>
      <c r="V1613" s="31" t="n">
        <v>0</v>
      </c>
      <c r="W1613" s="3" t="n">
        <v>0</v>
      </c>
      <c r="X1613" s="3" t="n">
        <v>0</v>
      </c>
      <c r="Y1613" s="32" t="n">
        <v>0</v>
      </c>
      <c r="Z1613" s="3" t="n">
        <v>0</v>
      </c>
      <c r="AA1613" s="32" t="n">
        <v>0</v>
      </c>
      <c r="AB1613" s="3" t="n"/>
      <c r="AC1613" s="31" t="n">
        <v>0</v>
      </c>
      <c r="AD1613" s="2" t="n">
        <v>0</v>
      </c>
      <c r="AE1613" s="2" t="n">
        <v>3</v>
      </c>
      <c r="AF1613" s="4" t="n">
        <v>3</v>
      </c>
      <c r="AG1613" s="33" t="n">
        <v>0</v>
      </c>
      <c r="AH1613" s="4" t="n">
        <v>0</v>
      </c>
      <c r="AI1613" s="34" t="n"/>
      <c r="AJ1613" s="34" t="n">
        <v>0</v>
      </c>
      <c r="AK1613" s="2" t="n">
        <v>0</v>
      </c>
      <c r="AL1613" t="inlineStr">
        <is>
          <t>Published</t>
        </is>
      </c>
    </row>
    <row r="1614">
      <c r="A1614">
        <f>HYPERLINK("https://www.walmart.com/ip/113717558", "113717558")</f>
        <v/>
      </c>
      <c r="B1614">
        <f>HYPERLINK("https://app.optiwise.ai/catalog/itemdetails/361239", "Deluxe Stylish Microplush Sleeved Fleece Blanket Soft Home Sofa Snuggie")</f>
        <v/>
      </c>
      <c r="C1614" t="inlineStr">
        <is>
          <t>k3000-Latte</t>
        </is>
      </c>
      <c r="D1614" t="inlineStr">
        <is>
          <t>Clothing</t>
        </is>
      </c>
      <c r="E1614" t="inlineStr">
        <is>
          <t>Bed Blankets</t>
        </is>
      </c>
      <c r="F1614" t="inlineStr">
        <is>
          <t>NAPA</t>
        </is>
      </c>
      <c r="G1614" t="n">
        <v>5</v>
      </c>
      <c r="H1614" t="n">
        <v>2</v>
      </c>
      <c r="I1614" t="inlineStr">
        <is>
          <t>Fleece Blankets,Batch 1 - TR</t>
        </is>
      </c>
      <c r="J1614" s="29" t="n">
        <v>0</v>
      </c>
      <c r="K1614" s="30" t="n"/>
      <c r="L1614" s="29" t="n">
        <v>0</v>
      </c>
      <c r="M1614" s="29" t="n">
        <v>0</v>
      </c>
      <c r="N1614" s="2" t="n">
        <v>0</v>
      </c>
      <c r="O1614" s="31" t="n">
        <v>0</v>
      </c>
      <c r="P1614" s="32" t="n"/>
      <c r="Q1614" s="32" t="n">
        <v>0</v>
      </c>
      <c r="R1614" s="32" t="n">
        <v>0</v>
      </c>
      <c r="S1614" s="31" t="n">
        <v>0</v>
      </c>
      <c r="T1614" s="32" t="n">
        <v>0</v>
      </c>
      <c r="U1614" s="31" t="n">
        <v>0</v>
      </c>
      <c r="V1614" s="31" t="n">
        <v>0</v>
      </c>
      <c r="W1614" s="3" t="n">
        <v>0</v>
      </c>
      <c r="X1614" s="3" t="n">
        <v>0</v>
      </c>
      <c r="Y1614" s="32" t="n">
        <v>0</v>
      </c>
      <c r="Z1614" s="3" t="n">
        <v>0</v>
      </c>
      <c r="AA1614" s="32" t="n">
        <v>0</v>
      </c>
      <c r="AB1614" s="3" t="n"/>
      <c r="AC1614" s="31" t="n">
        <v>0</v>
      </c>
      <c r="AD1614" s="2" t="n">
        <v>0</v>
      </c>
      <c r="AE1614" s="2" t="n">
        <v>8</v>
      </c>
      <c r="AF1614" s="4" t="n">
        <v>8</v>
      </c>
      <c r="AG1614" s="33" t="n">
        <v>0</v>
      </c>
      <c r="AH1614" s="4" t="n">
        <v>0</v>
      </c>
      <c r="AI1614" s="34" t="n"/>
      <c r="AJ1614" s="34" t="n">
        <v>0</v>
      </c>
      <c r="AK1614" s="2" t="n">
        <v>0</v>
      </c>
      <c r="AL1614" t="inlineStr">
        <is>
          <t>Published</t>
        </is>
      </c>
    </row>
    <row r="1615">
      <c r="A1615">
        <f>HYPERLINK("https://www.walmart.com/ip/331913877", "331913877")</f>
        <v/>
      </c>
      <c r="B1615">
        <f>HYPERLINK("https://app.optiwise.ai/catalog/itemdetails/361334", "KC Caps Men's Neon Orange Turkey Cap")</f>
        <v/>
      </c>
      <c r="C1615" t="inlineStr">
        <is>
          <t>ht25-turkey</t>
        </is>
      </c>
      <c r="D1615" t="inlineStr">
        <is>
          <t>Clothing</t>
        </is>
      </c>
      <c r="E1615" t="inlineStr">
        <is>
          <t>Hats</t>
        </is>
      </c>
      <c r="F1615" t="inlineStr">
        <is>
          <t>KC Caps</t>
        </is>
      </c>
      <c r="G1615" t="n">
        <v>0</v>
      </c>
      <c r="H1615" t="n">
        <v>0</v>
      </c>
      <c r="I1615" t="inlineStr">
        <is>
          <t>Batch 1 - TR</t>
        </is>
      </c>
      <c r="J1615" s="29" t="n">
        <v>0</v>
      </c>
      <c r="K1615" s="30" t="n"/>
      <c r="L1615" s="29" t="n">
        <v>0</v>
      </c>
      <c r="M1615" s="29" t="n">
        <v>0</v>
      </c>
      <c r="N1615" s="2" t="n">
        <v>0</v>
      </c>
      <c r="O1615" s="31" t="n">
        <v>0</v>
      </c>
      <c r="P1615" s="32" t="n"/>
      <c r="Q1615" s="32" t="n">
        <v>0</v>
      </c>
      <c r="R1615" s="32" t="n">
        <v>0</v>
      </c>
      <c r="S1615" s="31" t="n">
        <v>0</v>
      </c>
      <c r="T1615" s="32" t="n">
        <v>0</v>
      </c>
      <c r="U1615" s="31" t="n">
        <v>0</v>
      </c>
      <c r="V1615" s="31" t="n">
        <v>0</v>
      </c>
      <c r="W1615" s="3" t="n">
        <v>0</v>
      </c>
      <c r="X1615" s="3" t="n">
        <v>0</v>
      </c>
      <c r="Y1615" s="32" t="n">
        <v>0</v>
      </c>
      <c r="Z1615" s="3" t="n">
        <v>0</v>
      </c>
      <c r="AA1615" s="32" t="n">
        <v>0</v>
      </c>
      <c r="AB1615" s="3" t="n"/>
      <c r="AC1615" s="31" t="n">
        <v>0</v>
      </c>
      <c r="AD1615" s="2" t="n">
        <v>0</v>
      </c>
      <c r="AE1615" s="2" t="n">
        <v>3</v>
      </c>
      <c r="AF1615" s="4" t="n">
        <v>3</v>
      </c>
      <c r="AG1615" s="33" t="n">
        <v>0</v>
      </c>
      <c r="AH1615" s="4" t="n">
        <v>0</v>
      </c>
      <c r="AI1615" s="34" t="n"/>
      <c r="AJ1615" s="34" t="n">
        <v>0</v>
      </c>
      <c r="AK1615" s="2" t="n">
        <v>0</v>
      </c>
      <c r="AL1615" t="inlineStr">
        <is>
          <t>Published</t>
        </is>
      </c>
    </row>
    <row r="1616">
      <c r="A1616">
        <f>HYPERLINK("https://www.walmart.com/ip/653774365", "653774365")</f>
        <v/>
      </c>
      <c r="B1616">
        <f>HYPERLINK("https://app.optiwise.ai/catalog/itemdetails/361341", "Catalonia Sherpa Fleece Throw Cozy Fuzzy Jacquard Fluffy Blanket 50x60 inches, for the Couch Bed | Comfy Warm Heavy | Comfort Caring Gift0")</f>
        <v/>
      </c>
      <c r="C1616" t="inlineStr">
        <is>
          <t>1CTBF573BLTILE</t>
        </is>
      </c>
      <c r="D1616" t="inlineStr">
        <is>
          <t>Bedding</t>
        </is>
      </c>
      <c r="E1616" t="inlineStr">
        <is>
          <t>Throws</t>
        </is>
      </c>
      <c r="F1616" t="inlineStr">
        <is>
          <t>Catalonia</t>
        </is>
      </c>
      <c r="G1616" t="n">
        <v>0</v>
      </c>
      <c r="H1616" t="n">
        <v>0</v>
      </c>
      <c r="I1616" t="inlineStr">
        <is>
          <t>Q2-Target,Optimized,WFS,WFS Item</t>
        </is>
      </c>
      <c r="J1616" s="29" t="n">
        <v>0</v>
      </c>
      <c r="K1616" s="30" t="n"/>
      <c r="L1616" s="29" t="n">
        <v>0</v>
      </c>
      <c r="M1616" s="29" t="n">
        <v>0</v>
      </c>
      <c r="N1616" s="2" t="n">
        <v>0</v>
      </c>
      <c r="O1616" s="31" t="n">
        <v>0</v>
      </c>
      <c r="P1616" s="32" t="n"/>
      <c r="Q1616" s="32" t="n">
        <v>0</v>
      </c>
      <c r="R1616" s="32" t="n">
        <v>0</v>
      </c>
      <c r="S1616" s="31" t="n">
        <v>0</v>
      </c>
      <c r="T1616" s="32" t="n">
        <v>0</v>
      </c>
      <c r="U1616" s="31" t="n">
        <v>0</v>
      </c>
      <c r="V1616" s="31" t="n">
        <v>0</v>
      </c>
      <c r="W1616" s="3" t="n">
        <v>0</v>
      </c>
      <c r="X1616" s="3" t="n">
        <v>0</v>
      </c>
      <c r="Y1616" s="32" t="n">
        <v>0</v>
      </c>
      <c r="Z1616" s="3" t="n">
        <v>0</v>
      </c>
      <c r="AA1616" s="32" t="n">
        <v>0</v>
      </c>
      <c r="AB1616" s="3" t="n"/>
      <c r="AC1616" s="31" t="n">
        <v>0</v>
      </c>
      <c r="AD1616" s="2" t="n">
        <v>0</v>
      </c>
      <c r="AE1616" s="2" t="n">
        <v>6</v>
      </c>
      <c r="AF1616" s="4" t="n">
        <v>6</v>
      </c>
      <c r="AG1616" s="33" t="n">
        <v>0</v>
      </c>
      <c r="AH1616" s="4" t="n">
        <v>0</v>
      </c>
      <c r="AI1616" s="34" t="n"/>
      <c r="AJ1616" s="34" t="n">
        <v>0</v>
      </c>
      <c r="AK1616" s="2" t="n">
        <v>0</v>
      </c>
      <c r="AL1616" t="inlineStr">
        <is>
          <t>Published</t>
        </is>
      </c>
    </row>
    <row r="1617">
      <c r="A1617">
        <f>HYPERLINK("https://www.walmart.com/ip/125079678", "125079678")</f>
        <v/>
      </c>
      <c r="B1617">
        <f>HYPERLINK("https://app.optiwise.ai/catalog/itemdetails/361233", "Scarfs for Men, Winter Scarf, Fall Scarf with Warm Cozy Fleece Pocket and Hat Set by KC Caps")</f>
        <v/>
      </c>
      <c r="C1617" t="inlineStr">
        <is>
          <t>KC-W1810-W1850-ZBR</t>
        </is>
      </c>
      <c r="D1617" t="inlineStr">
        <is>
          <t>Clothing</t>
        </is>
      </c>
      <c r="E1617" t="inlineStr">
        <is>
          <t>Hat, Scarf &amp; Glove Sets</t>
        </is>
      </c>
      <c r="F1617" t="inlineStr">
        <is>
          <t>KC Caps</t>
        </is>
      </c>
      <c r="G1617" t="n">
        <v>0</v>
      </c>
      <c r="H1617" t="n">
        <v>0</v>
      </c>
      <c r="I1617" t="inlineStr">
        <is>
          <t>Optimized</t>
        </is>
      </c>
      <c r="J1617" s="29" t="n">
        <v>0</v>
      </c>
      <c r="K1617" s="30" t="n"/>
      <c r="L1617" s="29" t="n">
        <v>0</v>
      </c>
      <c r="M1617" s="29" t="n">
        <v>0</v>
      </c>
      <c r="N1617" s="2" t="n">
        <v>0</v>
      </c>
      <c r="O1617" s="31" t="n">
        <v>0</v>
      </c>
      <c r="P1617" s="32" t="n"/>
      <c r="Q1617" s="32" t="n">
        <v>0</v>
      </c>
      <c r="R1617" s="32" t="n">
        <v>0</v>
      </c>
      <c r="S1617" s="31" t="n">
        <v>0</v>
      </c>
      <c r="T1617" s="32" t="n">
        <v>0</v>
      </c>
      <c r="U1617" s="31" t="n">
        <v>0</v>
      </c>
      <c r="V1617" s="31" t="n">
        <v>0</v>
      </c>
      <c r="W1617" s="3" t="n">
        <v>0</v>
      </c>
      <c r="X1617" s="3" t="n">
        <v>0</v>
      </c>
      <c r="Y1617" s="32" t="n">
        <v>0</v>
      </c>
      <c r="Z1617" s="3" t="n">
        <v>0</v>
      </c>
      <c r="AA1617" s="32" t="n">
        <v>0</v>
      </c>
      <c r="AB1617" s="3" t="n"/>
      <c r="AC1617" s="31" t="n">
        <v>0</v>
      </c>
      <c r="AD1617" s="2" t="n">
        <v>0</v>
      </c>
      <c r="AE1617" s="2" t="n">
        <v>14</v>
      </c>
      <c r="AF1617" s="4" t="n">
        <v>14</v>
      </c>
      <c r="AG1617" s="33" t="n">
        <v>0</v>
      </c>
      <c r="AH1617" s="4" t="n">
        <v>0</v>
      </c>
      <c r="AI1617" s="34" t="n"/>
      <c r="AJ1617" s="34" t="n">
        <v>0</v>
      </c>
      <c r="AK1617" s="2" t="n">
        <v>0</v>
      </c>
      <c r="AL1617" t="inlineStr">
        <is>
          <t>Published</t>
        </is>
      </c>
    </row>
    <row r="1618">
      <c r="A1618">
        <f>HYPERLINK("https://www.walmart.com/ip/789179888", "789179888")</f>
        <v/>
      </c>
      <c r="B1618">
        <f>HYPERLINK("https://app.optiwise.ai/catalog/itemdetails/361383", "Pawsse Pet Sherpa Throw Blanket, Fleece Snuggle Dog Blanket Cushion Mat for Puppy Cat Small Animals 45”x30”")</f>
        <v/>
      </c>
      <c r="C1618" t="inlineStr">
        <is>
          <t>1PSBF345LTLT</t>
        </is>
      </c>
      <c r="D1618" t="inlineStr">
        <is>
          <t>Animal Accessories</t>
        </is>
      </c>
      <c r="E1618" t="inlineStr">
        <is>
          <t>Pet Blankets</t>
        </is>
      </c>
      <c r="F1618" t="inlineStr">
        <is>
          <t>Pawsse</t>
        </is>
      </c>
      <c r="G1618" t="n">
        <v>0</v>
      </c>
      <c r="H1618" t="n">
        <v>0</v>
      </c>
      <c r="I1618" t="inlineStr">
        <is>
          <t>WFS,WFS Item</t>
        </is>
      </c>
      <c r="J1618" s="29" t="n">
        <v>0</v>
      </c>
      <c r="K1618" s="30" t="n"/>
      <c r="L1618" s="29" t="n">
        <v>0</v>
      </c>
      <c r="M1618" s="29" t="n">
        <v>0</v>
      </c>
      <c r="N1618" s="2" t="n">
        <v>0</v>
      </c>
      <c r="O1618" s="31" t="n">
        <v>0</v>
      </c>
      <c r="P1618" s="32" t="n"/>
      <c r="Q1618" s="32" t="n">
        <v>0</v>
      </c>
      <c r="R1618" s="32" t="n">
        <v>0</v>
      </c>
      <c r="S1618" s="31" t="n">
        <v>0</v>
      </c>
      <c r="T1618" s="32" t="n">
        <v>0</v>
      </c>
      <c r="U1618" s="31" t="n">
        <v>0</v>
      </c>
      <c r="V1618" s="31" t="n">
        <v>0</v>
      </c>
      <c r="W1618" s="3" t="n">
        <v>0</v>
      </c>
      <c r="X1618" s="3" t="n">
        <v>0</v>
      </c>
      <c r="Y1618" s="32" t="n">
        <v>0</v>
      </c>
      <c r="Z1618" s="3" t="n">
        <v>0</v>
      </c>
      <c r="AA1618" s="32" t="n">
        <v>0</v>
      </c>
      <c r="AB1618" s="3" t="n"/>
      <c r="AC1618" s="31" t="n">
        <v>0</v>
      </c>
      <c r="AD1618" s="2" t="n">
        <v>0</v>
      </c>
      <c r="AE1618" s="2" t="n">
        <v>10</v>
      </c>
      <c r="AF1618" s="4" t="n">
        <v>10</v>
      </c>
      <c r="AG1618" s="33" t="n">
        <v>0</v>
      </c>
      <c r="AH1618" s="4" t="n">
        <v>0</v>
      </c>
      <c r="AI1618" s="34" t="n"/>
      <c r="AJ1618" s="34" t="n">
        <v>0</v>
      </c>
      <c r="AK1618" s="2" t="n">
        <v>0</v>
      </c>
      <c r="AL1618" t="inlineStr">
        <is>
          <t>Published</t>
        </is>
      </c>
    </row>
    <row r="1619">
      <c r="A1619">
        <f>HYPERLINK("https://www.walmart.com/ip/712836022", "712836022")</f>
        <v/>
      </c>
      <c r="B1619">
        <f>HYPERLINK("https://app.optiwise.ai/catalog/itemdetails/361413", "Solaris Men Winter Ski Snow Gloves with Breathable Face Mask The Warmest 3M Insulation Waterproof Outdoor Snowboard Mitt")</f>
        <v/>
      </c>
      <c r="C1619" t="inlineStr">
        <is>
          <t>1SLWG301GYBK-L</t>
        </is>
      </c>
      <c r="D1619" t="inlineStr">
        <is>
          <t>Clothing</t>
        </is>
      </c>
      <c r="E1619" t="inlineStr">
        <is>
          <t>Gloves &amp; Mittens</t>
        </is>
      </c>
      <c r="F1619" t="inlineStr">
        <is>
          <t>Solaris</t>
        </is>
      </c>
      <c r="G1619" t="n">
        <v>0</v>
      </c>
      <c r="H1619" t="n">
        <v>0</v>
      </c>
      <c r="I1619" t="inlineStr">
        <is>
          <t>Gloves,WFS,WFS Item</t>
        </is>
      </c>
      <c r="J1619" s="29" t="n">
        <v>0</v>
      </c>
      <c r="K1619" s="30" t="n"/>
      <c r="L1619" s="29" t="n">
        <v>0</v>
      </c>
      <c r="M1619" s="29" t="n">
        <v>0</v>
      </c>
      <c r="N1619" s="2" t="n">
        <v>0</v>
      </c>
      <c r="O1619" s="31" t="n">
        <v>0</v>
      </c>
      <c r="P1619" s="32" t="n"/>
      <c r="Q1619" s="32" t="n">
        <v>0</v>
      </c>
      <c r="R1619" s="32" t="n">
        <v>0</v>
      </c>
      <c r="S1619" s="31" t="n">
        <v>0</v>
      </c>
      <c r="T1619" s="32" t="n">
        <v>0</v>
      </c>
      <c r="U1619" s="31" t="n">
        <v>0</v>
      </c>
      <c r="V1619" s="31" t="n">
        <v>0</v>
      </c>
      <c r="W1619" s="3" t="n">
        <v>0</v>
      </c>
      <c r="X1619" s="3" t="n">
        <v>0</v>
      </c>
      <c r="Y1619" s="32" t="n">
        <v>0</v>
      </c>
      <c r="Z1619" s="3" t="n">
        <v>0</v>
      </c>
      <c r="AA1619" s="32" t="n">
        <v>0</v>
      </c>
      <c r="AB1619" s="3" t="n"/>
      <c r="AC1619" s="31" t="n">
        <v>0</v>
      </c>
      <c r="AD1619" s="2" t="n">
        <v>0</v>
      </c>
      <c r="AE1619" s="2" t="n">
        <v>9</v>
      </c>
      <c r="AF1619" s="4" t="n">
        <v>9</v>
      </c>
      <c r="AG1619" s="33" t="n">
        <v>0</v>
      </c>
      <c r="AH1619" s="4" t="n">
        <v>0</v>
      </c>
      <c r="AI1619" s="34" t="n"/>
      <c r="AJ1619" s="34" t="n">
        <v>0</v>
      </c>
      <c r="AK1619" s="2" t="n">
        <v>0</v>
      </c>
      <c r="AL1619" t="inlineStr">
        <is>
          <t>Published</t>
        </is>
      </c>
    </row>
    <row r="1620">
      <c r="A1620">
        <f>HYPERLINK("https://www.walmart.com/ip/109986935", "109986935")</f>
        <v/>
      </c>
      <c r="B1620">
        <f>HYPERLINK("https://app.optiwise.ai/catalog/itemdetails/361411", "JenniWears® Women V Neck Babydoll Strap Lingerie Lace Chemise Teddy Outfits")</f>
        <v/>
      </c>
      <c r="C1620" t="inlineStr">
        <is>
          <t>JWBD011PP-M</t>
        </is>
      </c>
      <c r="D1620" t="inlineStr">
        <is>
          <t>Clothing</t>
        </is>
      </c>
      <c r="E1620" t="inlineStr">
        <is>
          <t>Nightgowns &amp; Sleepshirts</t>
        </is>
      </c>
      <c r="F1620" t="inlineStr">
        <is>
          <t>JenniWears</t>
        </is>
      </c>
      <c r="G1620" t="n">
        <v>0</v>
      </c>
      <c r="H1620" t="n">
        <v>0</v>
      </c>
      <c r="I1620" t="inlineStr">
        <is>
          <t>Optimized,Valentine</t>
        </is>
      </c>
      <c r="J1620" s="29" t="n">
        <v>0</v>
      </c>
      <c r="K1620" s="30" t="n"/>
      <c r="L1620" s="29" t="n">
        <v>0</v>
      </c>
      <c r="M1620" s="29" t="n">
        <v>0</v>
      </c>
      <c r="N1620" s="2" t="n">
        <v>0</v>
      </c>
      <c r="O1620" s="31" t="n">
        <v>0</v>
      </c>
      <c r="P1620" s="32" t="n"/>
      <c r="Q1620" s="32" t="n">
        <v>0</v>
      </c>
      <c r="R1620" s="32" t="n">
        <v>0</v>
      </c>
      <c r="S1620" s="31" t="n">
        <v>0</v>
      </c>
      <c r="T1620" s="32" t="n">
        <v>0</v>
      </c>
      <c r="U1620" s="31" t="n">
        <v>0</v>
      </c>
      <c r="V1620" s="31" t="n">
        <v>0</v>
      </c>
      <c r="W1620" s="3" t="n">
        <v>0</v>
      </c>
      <c r="X1620" s="3" t="n">
        <v>0</v>
      </c>
      <c r="Y1620" s="32" t="n">
        <v>0</v>
      </c>
      <c r="Z1620" s="3" t="n">
        <v>0</v>
      </c>
      <c r="AA1620" s="32" t="n">
        <v>0</v>
      </c>
      <c r="AB1620" s="3" t="n"/>
      <c r="AC1620" s="31" t="n">
        <v>0</v>
      </c>
      <c r="AD1620" s="2" t="n">
        <v>0</v>
      </c>
      <c r="AE1620" s="2" t="n">
        <v>1</v>
      </c>
      <c r="AF1620" s="4" t="n">
        <v>1</v>
      </c>
      <c r="AG1620" s="33" t="n">
        <v>0</v>
      </c>
      <c r="AH1620" s="4" t="n">
        <v>0</v>
      </c>
      <c r="AI1620" s="34" t="n"/>
      <c r="AJ1620" s="34" t="n">
        <v>0</v>
      </c>
      <c r="AK1620" s="2" t="n">
        <v>0</v>
      </c>
      <c r="AL1620" t="inlineStr">
        <is>
          <t>Published</t>
        </is>
      </c>
    </row>
    <row r="1621">
      <c r="A1621">
        <f>HYPERLINK("https://www.walmart.com/ip/253341724", "253341724")</f>
        <v/>
      </c>
      <c r="B1621">
        <f>HYPERLINK("https://app.optiwise.ai/catalog/itemdetails/380739", "Solaris Men Winter Ski Snow Gloves with Breathable Face Mask The Warmest 3M Insulation Waterproof Outdoor Snowboard Mitt")</f>
        <v/>
      </c>
      <c r="C1621" t="inlineStr">
        <is>
          <t>1SLWG301BKBK-S</t>
        </is>
      </c>
      <c r="D1621" t="inlineStr">
        <is>
          <t>Clothing</t>
        </is>
      </c>
      <c r="E1621" t="inlineStr">
        <is>
          <t>Gloves &amp; Mittens</t>
        </is>
      </c>
      <c r="F1621" t="inlineStr">
        <is>
          <t>Solaris</t>
        </is>
      </c>
      <c r="G1621" t="n">
        <v>0</v>
      </c>
      <c r="H1621" t="n">
        <v>0</v>
      </c>
      <c r="I1621" t="inlineStr">
        <is>
          <t>Optimized,Gloves</t>
        </is>
      </c>
      <c r="J1621" s="29" t="n">
        <v>0</v>
      </c>
      <c r="K1621" s="30" t="n"/>
      <c r="L1621" s="29" t="n">
        <v>0</v>
      </c>
      <c r="M1621" s="29" t="n">
        <v>0</v>
      </c>
      <c r="N1621" s="2" t="n">
        <v>0</v>
      </c>
      <c r="O1621" s="31" t="n">
        <v>0</v>
      </c>
      <c r="P1621" s="32" t="n"/>
      <c r="Q1621" s="32" t="n">
        <v>0</v>
      </c>
      <c r="R1621" s="32" t="n">
        <v>0</v>
      </c>
      <c r="S1621" s="31" t="n">
        <v>0</v>
      </c>
      <c r="T1621" s="32" t="n">
        <v>0</v>
      </c>
      <c r="U1621" s="31" t="n">
        <v>0</v>
      </c>
      <c r="V1621" s="31" t="n">
        <v>0</v>
      </c>
      <c r="W1621" s="3" t="n">
        <v>0</v>
      </c>
      <c r="X1621" s="3" t="n">
        <v>0</v>
      </c>
      <c r="Y1621" s="32" t="n">
        <v>0</v>
      </c>
      <c r="Z1621" s="3" t="n">
        <v>0</v>
      </c>
      <c r="AA1621" s="32" t="n">
        <v>0</v>
      </c>
      <c r="AB1621" s="3" t="n"/>
      <c r="AC1621" s="31" t="n">
        <v>0</v>
      </c>
      <c r="AD1621" s="2" t="n">
        <v>0</v>
      </c>
      <c r="AE1621" s="2" t="n">
        <v>10</v>
      </c>
      <c r="AF1621" s="4" t="n">
        <v>10</v>
      </c>
      <c r="AG1621" s="33" t="n">
        <v>0</v>
      </c>
      <c r="AH1621" s="4" t="n">
        <v>0</v>
      </c>
      <c r="AI1621" s="34" t="n"/>
      <c r="AJ1621" s="34" t="n">
        <v>0</v>
      </c>
      <c r="AK1621" s="2" t="n">
        <v>0</v>
      </c>
      <c r="AL1621" t="inlineStr">
        <is>
          <t>Published</t>
        </is>
      </c>
    </row>
    <row r="1622">
      <c r="A1622">
        <f>HYPERLINK("https://www.walmart.com/ip/180458782", "180458782")</f>
        <v/>
      </c>
      <c r="B1622">
        <f>HYPERLINK("https://app.optiwise.ai/catalog/itemdetails/361409", "KC Caps® Cotton Twill Deluxe Super Soft Mesh Adjustable Snapback Low Profile Trucker Baseball Cap")</f>
        <v/>
      </c>
      <c r="C1622" t="inlineStr">
        <is>
          <t>KCCAPSSZK641CA/ST</t>
        </is>
      </c>
      <c r="D1622" t="inlineStr">
        <is>
          <t>Clothing</t>
        </is>
      </c>
      <c r="E1622" t="inlineStr">
        <is>
          <t>Hats</t>
        </is>
      </c>
      <c r="F1622" t="inlineStr">
        <is>
          <t>KC Caps</t>
        </is>
      </c>
      <c r="G1622" t="n">
        <v>0</v>
      </c>
      <c r="H1622" t="n">
        <v>0</v>
      </c>
      <c r="I1622" t="inlineStr">
        <is>
          <t>Optimized</t>
        </is>
      </c>
      <c r="J1622" s="29" t="n">
        <v>0</v>
      </c>
      <c r="K1622" s="30" t="n"/>
      <c r="L1622" s="29" t="n">
        <v>0</v>
      </c>
      <c r="M1622" s="29" t="n">
        <v>0</v>
      </c>
      <c r="N1622" s="2" t="n">
        <v>0</v>
      </c>
      <c r="O1622" s="31" t="n">
        <v>0</v>
      </c>
      <c r="P1622" s="32" t="n"/>
      <c r="Q1622" s="32" t="n">
        <v>0</v>
      </c>
      <c r="R1622" s="32" t="n">
        <v>0</v>
      </c>
      <c r="S1622" s="31" t="n">
        <v>0</v>
      </c>
      <c r="T1622" s="32" t="n">
        <v>0</v>
      </c>
      <c r="U1622" s="31" t="n">
        <v>0</v>
      </c>
      <c r="V1622" s="31" t="n">
        <v>0</v>
      </c>
      <c r="W1622" s="3" t="n">
        <v>0</v>
      </c>
      <c r="X1622" s="3" t="n">
        <v>0</v>
      </c>
      <c r="Y1622" s="32" t="n">
        <v>0</v>
      </c>
      <c r="Z1622" s="3" t="n">
        <v>0</v>
      </c>
      <c r="AA1622" s="32" t="n">
        <v>0</v>
      </c>
      <c r="AB1622" s="3" t="n"/>
      <c r="AC1622" s="31" t="n">
        <v>0</v>
      </c>
      <c r="AD1622" s="2" t="n">
        <v>0</v>
      </c>
      <c r="AE1622" s="2" t="n">
        <v>3</v>
      </c>
      <c r="AF1622" s="4" t="n">
        <v>3</v>
      </c>
      <c r="AG1622" s="33" t="n">
        <v>0</v>
      </c>
      <c r="AH1622" s="4" t="n">
        <v>0</v>
      </c>
      <c r="AI1622" s="34" t="n"/>
      <c r="AJ1622" s="34" t="n">
        <v>0</v>
      </c>
      <c r="AK1622" s="2" t="n">
        <v>0</v>
      </c>
      <c r="AL1622" t="inlineStr">
        <is>
          <t>Published</t>
        </is>
      </c>
    </row>
    <row r="1623">
      <c r="A1623">
        <f>HYPERLINK("https://www.walmart.com/ip/534542732", "534542732")</f>
        <v/>
      </c>
      <c r="B1623">
        <f>HYPERLINK("https://app.optiwise.ai/catalog/itemdetails/361398", "Flyingstar Unisex Surf Poncho Changing Towel Robe for Adult Surfer Swimmer Outdoor Beach")</f>
        <v/>
      </c>
      <c r="C1623" t="inlineStr">
        <is>
          <t>1WMBR102-BK</t>
        </is>
      </c>
      <c r="D1623" t="inlineStr">
        <is>
          <t>Clothing</t>
        </is>
      </c>
      <c r="E1623" t="inlineStr">
        <is>
          <t>Towels &amp; Washcloths</t>
        </is>
      </c>
      <c r="F1623" t="inlineStr">
        <is>
          <t>Flyingstar</t>
        </is>
      </c>
      <c r="G1623" t="n">
        <v>0</v>
      </c>
      <c r="H1623" t="n">
        <v>0</v>
      </c>
      <c r="I1623" t="inlineStr">
        <is>
          <t>Batch 1 - TR</t>
        </is>
      </c>
      <c r="J1623" s="29" t="n">
        <v>0</v>
      </c>
      <c r="K1623" s="30" t="n"/>
      <c r="L1623" s="29" t="n">
        <v>0</v>
      </c>
      <c r="M1623" s="29" t="n">
        <v>0</v>
      </c>
      <c r="N1623" s="2" t="n">
        <v>0</v>
      </c>
      <c r="O1623" s="31" t="n">
        <v>0</v>
      </c>
      <c r="P1623" s="32" t="n"/>
      <c r="Q1623" s="32" t="n">
        <v>0</v>
      </c>
      <c r="R1623" s="32" t="n">
        <v>0</v>
      </c>
      <c r="S1623" s="31" t="n">
        <v>0</v>
      </c>
      <c r="T1623" s="32" t="n">
        <v>0</v>
      </c>
      <c r="U1623" s="31" t="n">
        <v>0</v>
      </c>
      <c r="V1623" s="31" t="n">
        <v>0</v>
      </c>
      <c r="W1623" s="3" t="n">
        <v>0</v>
      </c>
      <c r="X1623" s="3" t="n">
        <v>0</v>
      </c>
      <c r="Y1623" s="32" t="n">
        <v>0</v>
      </c>
      <c r="Z1623" s="3" t="n">
        <v>0</v>
      </c>
      <c r="AA1623" s="32" t="n">
        <v>0</v>
      </c>
      <c r="AB1623" s="3" t="n"/>
      <c r="AC1623" s="31" t="n">
        <v>0</v>
      </c>
      <c r="AD1623" s="2" t="n">
        <v>0</v>
      </c>
      <c r="AE1623" s="2" t="n">
        <v>0</v>
      </c>
      <c r="AF1623" s="4" t="n">
        <v>0</v>
      </c>
      <c r="AG1623" s="33" t="n">
        <v>0</v>
      </c>
      <c r="AH1623" s="4" t="n">
        <v>0</v>
      </c>
      <c r="AI1623" s="34" t="n"/>
      <c r="AJ1623" s="34" t="n">
        <v>0</v>
      </c>
      <c r="AK1623" s="2" t="n">
        <v>0</v>
      </c>
      <c r="AL1623" t="inlineStr">
        <is>
          <t>Published</t>
        </is>
      </c>
    </row>
    <row r="1624">
      <c r="A1624">
        <f>HYPERLINK("https://www.walmart.com/ip/296299193", "296299193")</f>
        <v/>
      </c>
      <c r="B1624">
        <f>HYPERLINK("https://app.optiwise.ai/catalog/itemdetails/361395", "Terra Men Boxer Brief Underwear Best 3 Pack Most Comfortable Cotton Trunk Short")</f>
        <v/>
      </c>
      <c r="C1624" t="inlineStr">
        <is>
          <t>TERRA-BOXER7-M</t>
        </is>
      </c>
      <c r="D1624" t="inlineStr">
        <is>
          <t>Clothing</t>
        </is>
      </c>
      <c r="E1624" t="inlineStr">
        <is>
          <t>Underpants</t>
        </is>
      </c>
      <c r="F1624" t="inlineStr">
        <is>
          <t>Terra</t>
        </is>
      </c>
      <c r="G1624" t="n">
        <v>0</v>
      </c>
      <c r="H1624" t="n">
        <v>0</v>
      </c>
      <c r="I1624" t="inlineStr">
        <is>
          <t>Batch 1 - TR</t>
        </is>
      </c>
      <c r="J1624" s="29" t="n">
        <v>0</v>
      </c>
      <c r="K1624" s="30" t="n"/>
      <c r="L1624" s="29" t="n">
        <v>0</v>
      </c>
      <c r="M1624" s="29" t="n">
        <v>0</v>
      </c>
      <c r="N1624" s="2" t="n">
        <v>0</v>
      </c>
      <c r="O1624" s="31" t="n">
        <v>0</v>
      </c>
      <c r="P1624" s="32" t="n"/>
      <c r="Q1624" s="32" t="n">
        <v>0</v>
      </c>
      <c r="R1624" s="32" t="n">
        <v>0</v>
      </c>
      <c r="S1624" s="31" t="n">
        <v>0</v>
      </c>
      <c r="T1624" s="32" t="n">
        <v>0</v>
      </c>
      <c r="U1624" s="31" t="n">
        <v>0</v>
      </c>
      <c r="V1624" s="31" t="n">
        <v>0</v>
      </c>
      <c r="W1624" s="3" t="n">
        <v>0</v>
      </c>
      <c r="X1624" s="3" t="n">
        <v>0</v>
      </c>
      <c r="Y1624" s="32" t="n">
        <v>0</v>
      </c>
      <c r="Z1624" s="3" t="n">
        <v>0</v>
      </c>
      <c r="AA1624" s="32" t="n">
        <v>0</v>
      </c>
      <c r="AB1624" s="3" t="n"/>
      <c r="AC1624" s="31" t="n">
        <v>0</v>
      </c>
      <c r="AD1624" s="2" t="n">
        <v>0</v>
      </c>
      <c r="AE1624" s="2" t="n">
        <v>10</v>
      </c>
      <c r="AF1624" s="4" t="n">
        <v>10</v>
      </c>
      <c r="AG1624" s="33" t="n">
        <v>0</v>
      </c>
      <c r="AH1624" s="4" t="n">
        <v>0</v>
      </c>
      <c r="AI1624" s="34" t="n"/>
      <c r="AJ1624" s="34" t="n">
        <v>0</v>
      </c>
      <c r="AK1624" s="2" t="n">
        <v>0</v>
      </c>
      <c r="AL1624" t="inlineStr">
        <is>
          <t>Published</t>
        </is>
      </c>
    </row>
    <row r="1625">
      <c r="A1625">
        <f>HYPERLINK("https://www.walmart.com/ip/158512208", "158512208")</f>
        <v/>
      </c>
      <c r="B1625">
        <f>HYPERLINK("https://app.optiwise.ai/catalog/itemdetails/361394", "Jenniwears Women's Sexy Lingerie Lace Mesh 2-Piece Bowknot Halter Chemise with G-String")</f>
        <v/>
      </c>
      <c r="C1625" t="inlineStr">
        <is>
          <t>JWND03LP</t>
        </is>
      </c>
      <c r="D1625" t="inlineStr">
        <is>
          <t>Clothing</t>
        </is>
      </c>
      <c r="E1625" t="inlineStr">
        <is>
          <t>Lingerie Sets</t>
        </is>
      </c>
      <c r="F1625" t="inlineStr">
        <is>
          <t>JenniWears</t>
        </is>
      </c>
      <c r="G1625" t="n">
        <v>0</v>
      </c>
      <c r="H1625" t="n">
        <v>0</v>
      </c>
      <c r="I1625" t="inlineStr">
        <is>
          <t>Valentine</t>
        </is>
      </c>
      <c r="J1625" s="29" t="n">
        <v>0</v>
      </c>
      <c r="K1625" s="30" t="n"/>
      <c r="L1625" s="29" t="n">
        <v>0</v>
      </c>
      <c r="M1625" s="29" t="n">
        <v>0</v>
      </c>
      <c r="N1625" s="2" t="n">
        <v>0</v>
      </c>
      <c r="O1625" s="31" t="n">
        <v>0</v>
      </c>
      <c r="P1625" s="32" t="n"/>
      <c r="Q1625" s="32" t="n">
        <v>0</v>
      </c>
      <c r="R1625" s="32" t="n">
        <v>0</v>
      </c>
      <c r="S1625" s="31" t="n">
        <v>0</v>
      </c>
      <c r="T1625" s="32" t="n">
        <v>0</v>
      </c>
      <c r="U1625" s="31" t="n">
        <v>0</v>
      </c>
      <c r="V1625" s="31" t="n">
        <v>0</v>
      </c>
      <c r="W1625" s="3" t="n">
        <v>0</v>
      </c>
      <c r="X1625" s="3" t="n">
        <v>0</v>
      </c>
      <c r="Y1625" s="32" t="n">
        <v>0</v>
      </c>
      <c r="Z1625" s="3" t="n">
        <v>0</v>
      </c>
      <c r="AA1625" s="32" t="n">
        <v>0</v>
      </c>
      <c r="AB1625" s="3" t="n"/>
      <c r="AC1625" s="31" t="n">
        <v>0</v>
      </c>
      <c r="AD1625" s="2" t="n">
        <v>0</v>
      </c>
      <c r="AE1625" s="2" t="n">
        <v>3</v>
      </c>
      <c r="AF1625" s="4" t="n">
        <v>3</v>
      </c>
      <c r="AG1625" s="33" t="n">
        <v>0</v>
      </c>
      <c r="AH1625" s="4" t="n">
        <v>0</v>
      </c>
      <c r="AI1625" s="34" t="n"/>
      <c r="AJ1625" s="34" t="n">
        <v>0</v>
      </c>
      <c r="AK1625" s="2" t="n">
        <v>0</v>
      </c>
      <c r="AL1625" t="inlineStr">
        <is>
          <t>Published</t>
        </is>
      </c>
    </row>
    <row r="1626">
      <c r="A1626">
        <f>HYPERLINK("https://www.walmart.com/ip/929491612", "929491612")</f>
        <v/>
      </c>
      <c r="B1626">
        <f>HYPERLINK("https://app.optiwise.ai/catalog/itemdetails/361391", "Tirrinia Women's Halter Tankini Set, Two-Piece Padded Women's Swimsuit, Black, Large")</f>
        <v/>
      </c>
      <c r="C1626" t="inlineStr">
        <is>
          <t>1TRSS006BKWH-L</t>
        </is>
      </c>
      <c r="D1626" t="inlineStr">
        <is>
          <t>Clothing</t>
        </is>
      </c>
      <c r="E1626" t="inlineStr">
        <is>
          <t>Swimsuit Sets</t>
        </is>
      </c>
      <c r="F1626" t="inlineStr">
        <is>
          <t>Tirrinia</t>
        </is>
      </c>
      <c r="G1626" t="n">
        <v>0</v>
      </c>
      <c r="H1626" t="n">
        <v>0</v>
      </c>
      <c r="I1626" t="inlineStr">
        <is>
          <t>Optimized,WFS,Valentine,WFS Item</t>
        </is>
      </c>
      <c r="J1626" s="29" t="n">
        <v>0</v>
      </c>
      <c r="K1626" s="30" t="n"/>
      <c r="L1626" s="29" t="n">
        <v>0</v>
      </c>
      <c r="M1626" s="29" t="n">
        <v>0</v>
      </c>
      <c r="N1626" s="2" t="n">
        <v>0</v>
      </c>
      <c r="O1626" s="31" t="n">
        <v>0</v>
      </c>
      <c r="P1626" s="32" t="n"/>
      <c r="Q1626" s="32" t="n">
        <v>0</v>
      </c>
      <c r="R1626" s="32" t="n">
        <v>0</v>
      </c>
      <c r="S1626" s="31" t="n">
        <v>0</v>
      </c>
      <c r="T1626" s="32" t="n">
        <v>0</v>
      </c>
      <c r="U1626" s="31" t="n">
        <v>0</v>
      </c>
      <c r="V1626" s="31" t="n">
        <v>0</v>
      </c>
      <c r="W1626" s="3" t="n">
        <v>0</v>
      </c>
      <c r="X1626" s="3" t="n">
        <v>0</v>
      </c>
      <c r="Y1626" s="32" t="n">
        <v>0</v>
      </c>
      <c r="Z1626" s="3" t="n">
        <v>0</v>
      </c>
      <c r="AA1626" s="32" t="n">
        <v>0</v>
      </c>
      <c r="AB1626" s="3" t="n"/>
      <c r="AC1626" s="31" t="n">
        <v>0</v>
      </c>
      <c r="AD1626" s="2" t="n">
        <v>0</v>
      </c>
      <c r="AE1626" s="2" t="n">
        <v>20</v>
      </c>
      <c r="AF1626" s="4" t="n">
        <v>20</v>
      </c>
      <c r="AG1626" s="33" t="n">
        <v>0</v>
      </c>
      <c r="AH1626" s="4" t="n">
        <v>0</v>
      </c>
      <c r="AI1626" s="34" t="n"/>
      <c r="AJ1626" s="34" t="n">
        <v>0</v>
      </c>
      <c r="AK1626" s="2" t="n">
        <v>0</v>
      </c>
      <c r="AL1626" t="inlineStr">
        <is>
          <t>Published</t>
        </is>
      </c>
    </row>
    <row r="1627">
      <c r="A1627">
        <f>HYPERLINK("https://www.walmart.com/ip/143242589", "143242589")</f>
        <v/>
      </c>
      <c r="B1627">
        <f>HYPERLINK("https://app.optiwise.ai/catalog/itemdetails/361388", "Real Tree Unisex Real Tree Hunting Mesh Cap trucker hat")</f>
        <v/>
      </c>
      <c r="C1627" t="inlineStr">
        <is>
          <t>7140-Break</t>
        </is>
      </c>
      <c r="D1627" t="inlineStr">
        <is>
          <t>Clothing</t>
        </is>
      </c>
      <c r="E1627" t="inlineStr">
        <is>
          <t>Hats</t>
        </is>
      </c>
      <c r="F1627" t="inlineStr">
        <is>
          <t>KC Caps</t>
        </is>
      </c>
      <c r="G1627" t="n">
        <v>0</v>
      </c>
      <c r="H1627" t="n">
        <v>0</v>
      </c>
      <c r="I1627" t="inlineStr">
        <is>
          <t>Optimized</t>
        </is>
      </c>
      <c r="J1627" s="29" t="n">
        <v>0</v>
      </c>
      <c r="K1627" s="30" t="n"/>
      <c r="L1627" s="29" t="n">
        <v>0</v>
      </c>
      <c r="M1627" s="29" t="n">
        <v>0</v>
      </c>
      <c r="N1627" s="2" t="n">
        <v>0</v>
      </c>
      <c r="O1627" s="31" t="n">
        <v>0</v>
      </c>
      <c r="P1627" s="32" t="n"/>
      <c r="Q1627" s="32" t="n">
        <v>0</v>
      </c>
      <c r="R1627" s="32" t="n">
        <v>0</v>
      </c>
      <c r="S1627" s="31" t="n">
        <v>0</v>
      </c>
      <c r="T1627" s="32" t="n">
        <v>0</v>
      </c>
      <c r="U1627" s="31" t="n">
        <v>0</v>
      </c>
      <c r="V1627" s="31" t="n">
        <v>0</v>
      </c>
      <c r="W1627" s="3" t="n">
        <v>0</v>
      </c>
      <c r="X1627" s="3" t="n">
        <v>0</v>
      </c>
      <c r="Y1627" s="32" t="n">
        <v>0</v>
      </c>
      <c r="Z1627" s="3" t="n">
        <v>0</v>
      </c>
      <c r="AA1627" s="32" t="n">
        <v>0</v>
      </c>
      <c r="AB1627" s="3" t="n"/>
      <c r="AC1627" s="31" t="n">
        <v>0</v>
      </c>
      <c r="AD1627" s="2" t="n">
        <v>0</v>
      </c>
      <c r="AE1627" s="2" t="n">
        <v>6</v>
      </c>
      <c r="AF1627" s="4" t="n">
        <v>6</v>
      </c>
      <c r="AG1627" s="33" t="n">
        <v>0</v>
      </c>
      <c r="AH1627" s="4" t="n">
        <v>0</v>
      </c>
      <c r="AI1627" s="34" t="n"/>
      <c r="AJ1627" s="34" t="n">
        <v>0</v>
      </c>
      <c r="AK1627" s="2" t="n">
        <v>0</v>
      </c>
      <c r="AL1627" t="inlineStr">
        <is>
          <t>Published</t>
        </is>
      </c>
    </row>
    <row r="1628">
      <c r="A1628">
        <f>HYPERLINK("https://www.walmart.com/ip/597594664", "597594664")</f>
        <v/>
      </c>
      <c r="B1628">
        <f>HYPERLINK("https://app.optiwise.ai/catalog/itemdetails/361387", "Tirrinia Stemless Insulated Wine Tumbler with Lid, Stainless Steel Double Walled Metal Wine and Champagne Tumbler, Rose Gold, 12oz, 2-Pack")</f>
        <v/>
      </c>
      <c r="C1628" t="inlineStr">
        <is>
          <t>1WMWT120RG -2PK</t>
        </is>
      </c>
      <c r="D1628" t="inlineStr">
        <is>
          <t>Home Decor, Kitchen, &amp; Other</t>
        </is>
      </c>
      <c r="E1628" t="inlineStr">
        <is>
          <t>Tumblers</t>
        </is>
      </c>
      <c r="F1628" t="inlineStr">
        <is>
          <t>Flyingstar</t>
        </is>
      </c>
      <c r="G1628" t="n">
        <v>5</v>
      </c>
      <c r="H1628" t="n">
        <v>3</v>
      </c>
      <c r="I1628" t="inlineStr">
        <is>
          <t>Wine,Christmas,Wine WFS,Valentine</t>
        </is>
      </c>
      <c r="J1628" s="29" t="n">
        <v>0</v>
      </c>
      <c r="K1628" s="30" t="n"/>
      <c r="L1628" s="29" t="n">
        <v>0</v>
      </c>
      <c r="M1628" s="29" t="n">
        <v>0</v>
      </c>
      <c r="N1628" s="2" t="n">
        <v>0</v>
      </c>
      <c r="O1628" s="31" t="n">
        <v>0</v>
      </c>
      <c r="P1628" s="32" t="n"/>
      <c r="Q1628" s="32" t="n">
        <v>0</v>
      </c>
      <c r="R1628" s="32" t="n">
        <v>0</v>
      </c>
      <c r="S1628" s="31" t="n">
        <v>0</v>
      </c>
      <c r="T1628" s="32" t="n">
        <v>0</v>
      </c>
      <c r="U1628" s="31" t="n">
        <v>0</v>
      </c>
      <c r="V1628" s="31" t="n">
        <v>0</v>
      </c>
      <c r="W1628" s="3" t="n">
        <v>0</v>
      </c>
      <c r="X1628" s="3" t="n">
        <v>0</v>
      </c>
      <c r="Y1628" s="32" t="n">
        <v>0</v>
      </c>
      <c r="Z1628" s="3" t="n">
        <v>0</v>
      </c>
      <c r="AA1628" s="32" t="n">
        <v>0</v>
      </c>
      <c r="AB1628" s="3" t="n"/>
      <c r="AC1628" s="31" t="n">
        <v>0</v>
      </c>
      <c r="AD1628" s="2" t="n">
        <v>0</v>
      </c>
      <c r="AE1628" s="2" t="n">
        <v>0</v>
      </c>
      <c r="AF1628" s="4" t="n">
        <v>0</v>
      </c>
      <c r="AG1628" s="33" t="n">
        <v>0</v>
      </c>
      <c r="AH1628" s="4" t="n">
        <v>0</v>
      </c>
      <c r="AI1628" s="34" t="n"/>
      <c r="AJ1628" s="34" t="n">
        <v>0</v>
      </c>
      <c r="AK1628" s="2" t="n">
        <v>0</v>
      </c>
      <c r="AL1628" t="inlineStr">
        <is>
          <t>Published</t>
        </is>
      </c>
    </row>
    <row r="1629">
      <c r="A1629">
        <f>HYPERLINK("https://www.walmart.com/ip/321545865", "321545865")</f>
        <v/>
      </c>
      <c r="B1629">
        <f>HYPERLINK("https://app.optiwise.ai/catalog/itemdetails/361385", "Pawsse Dog Throw Blanket, Pet Blanket, Puppy Cat Dog Fleece Blanket Cushion Mat for Puppy Cat Small Animals, Wine &amp; Tan, 45 X 30.")</f>
        <v/>
      </c>
      <c r="C1629" t="inlineStr">
        <is>
          <t>1PSBF345WNTA</t>
        </is>
      </c>
      <c r="D1629" t="inlineStr">
        <is>
          <t>Animal Accessories</t>
        </is>
      </c>
      <c r="E1629" t="inlineStr">
        <is>
          <t>Pet Blankets</t>
        </is>
      </c>
      <c r="F1629" t="inlineStr">
        <is>
          <t>Pawsse</t>
        </is>
      </c>
      <c r="G1629" t="n">
        <v>3.6</v>
      </c>
      <c r="H1629" t="n">
        <v>5</v>
      </c>
      <c r="I1629" t="inlineStr">
        <is>
          <t>Q2-Target,WFS,WFS Item</t>
        </is>
      </c>
      <c r="J1629" s="29" t="n">
        <v>0</v>
      </c>
      <c r="K1629" s="30" t="n"/>
      <c r="L1629" s="29" t="n">
        <v>0</v>
      </c>
      <c r="M1629" s="29" t="n">
        <v>0</v>
      </c>
      <c r="N1629" s="2" t="n">
        <v>0</v>
      </c>
      <c r="O1629" s="31" t="n">
        <v>0</v>
      </c>
      <c r="P1629" s="32" t="n"/>
      <c r="Q1629" s="32" t="n">
        <v>0</v>
      </c>
      <c r="R1629" s="32" t="n">
        <v>0</v>
      </c>
      <c r="S1629" s="31" t="n">
        <v>0</v>
      </c>
      <c r="T1629" s="32" t="n">
        <v>0</v>
      </c>
      <c r="U1629" s="31" t="n">
        <v>0</v>
      </c>
      <c r="V1629" s="31" t="n">
        <v>0</v>
      </c>
      <c r="W1629" s="3" t="n">
        <v>0</v>
      </c>
      <c r="X1629" s="3" t="n">
        <v>0</v>
      </c>
      <c r="Y1629" s="32" t="n">
        <v>0</v>
      </c>
      <c r="Z1629" s="3" t="n">
        <v>0</v>
      </c>
      <c r="AA1629" s="32" t="n">
        <v>0</v>
      </c>
      <c r="AB1629" s="3" t="n"/>
      <c r="AC1629" s="31" t="n">
        <v>0</v>
      </c>
      <c r="AD1629" s="2" t="n">
        <v>0</v>
      </c>
      <c r="AE1629" s="2" t="n">
        <v>18</v>
      </c>
      <c r="AF1629" s="4" t="n">
        <v>18</v>
      </c>
      <c r="AG1629" s="33" t="n">
        <v>0</v>
      </c>
      <c r="AH1629" s="4" t="n">
        <v>0</v>
      </c>
      <c r="AI1629" s="34" t="n"/>
      <c r="AJ1629" s="34" t="n">
        <v>0</v>
      </c>
      <c r="AK1629" s="2" t="n">
        <v>0</v>
      </c>
      <c r="AL1629" t="inlineStr">
        <is>
          <t>Published</t>
        </is>
      </c>
    </row>
    <row r="1630">
      <c r="A1630">
        <f>HYPERLINK("https://www.walmart.com/ip/974944335", "974944335")</f>
        <v/>
      </c>
      <c r="B1630">
        <f>HYPERLINK("https://app.optiwise.ai/catalog/itemdetails/361382", "Terra Cool Mens Baseball Cap Hat Snake Skin Printed Flat Bill Buckle Closure Brown")</f>
        <v/>
      </c>
      <c r="C1630" t="inlineStr">
        <is>
          <t>TERRACAP-B006</t>
        </is>
      </c>
      <c r="D1630" t="inlineStr">
        <is>
          <t>Clothing</t>
        </is>
      </c>
      <c r="E1630" t="inlineStr">
        <is>
          <t>Hats</t>
        </is>
      </c>
      <c r="F1630" t="inlineStr">
        <is>
          <t>Terra</t>
        </is>
      </c>
      <c r="G1630" t="n">
        <v>0</v>
      </c>
      <c r="H1630" t="n">
        <v>0</v>
      </c>
      <c r="I1630" t="inlineStr">
        <is>
          <t>Optimized</t>
        </is>
      </c>
      <c r="J1630" s="29" t="n">
        <v>0</v>
      </c>
      <c r="K1630" s="30" t="n"/>
      <c r="L1630" s="29" t="n">
        <v>0</v>
      </c>
      <c r="M1630" s="29" t="n">
        <v>0</v>
      </c>
      <c r="N1630" s="2" t="n">
        <v>0</v>
      </c>
      <c r="O1630" s="31" t="n">
        <v>0</v>
      </c>
      <c r="P1630" s="32" t="n"/>
      <c r="Q1630" s="32" t="n">
        <v>0</v>
      </c>
      <c r="R1630" s="32" t="n">
        <v>0</v>
      </c>
      <c r="S1630" s="31" t="n">
        <v>0</v>
      </c>
      <c r="T1630" s="32" t="n">
        <v>0</v>
      </c>
      <c r="U1630" s="31" t="n">
        <v>0</v>
      </c>
      <c r="V1630" s="31" t="n">
        <v>0</v>
      </c>
      <c r="W1630" s="3" t="n">
        <v>0</v>
      </c>
      <c r="X1630" s="3" t="n">
        <v>0</v>
      </c>
      <c r="Y1630" s="32" t="n">
        <v>0</v>
      </c>
      <c r="Z1630" s="3" t="n">
        <v>0</v>
      </c>
      <c r="AA1630" s="32" t="n">
        <v>0</v>
      </c>
      <c r="AB1630" s="3" t="n"/>
      <c r="AC1630" s="31" t="n">
        <v>0</v>
      </c>
      <c r="AD1630" s="2" t="n">
        <v>0</v>
      </c>
      <c r="AE1630" s="2" t="n">
        <v>10</v>
      </c>
      <c r="AF1630" s="4" t="n">
        <v>10</v>
      </c>
      <c r="AG1630" s="33" t="n">
        <v>0</v>
      </c>
      <c r="AH1630" s="4" t="n">
        <v>0</v>
      </c>
      <c r="AI1630" s="34" t="n"/>
      <c r="AJ1630" s="34" t="n">
        <v>0</v>
      </c>
      <c r="AK1630" s="2" t="n">
        <v>0</v>
      </c>
      <c r="AL1630" t="inlineStr">
        <is>
          <t>Published</t>
        </is>
      </c>
    </row>
    <row r="1631">
      <c r="A1631">
        <f>HYPERLINK("https://www.walmart.com/ip/443518733", "443518733")</f>
        <v/>
      </c>
      <c r="B1631">
        <f>HYPERLINK("https://app.optiwise.ai/catalog/itemdetails/361345", "Tirrinia Sherpa Wearable Blanket Ultra Soft Comfy Warm Plush Full Body Throw with Sleeves, Reading Wrap TV Blankets Robe Cover for Adult Grandma Women and Men, Camel")</f>
        <v/>
      </c>
      <c r="C1631" t="inlineStr">
        <is>
          <t>1TRSN110CA</t>
        </is>
      </c>
      <c r="D1631" t="inlineStr">
        <is>
          <t>Home Decor, Kitchen, &amp; Other</t>
        </is>
      </c>
      <c r="E1631" t="inlineStr">
        <is>
          <t>Throws</t>
        </is>
      </c>
      <c r="F1631" t="inlineStr">
        <is>
          <t>Tirrinia</t>
        </is>
      </c>
      <c r="G1631" t="n">
        <v>0</v>
      </c>
      <c r="H1631" t="n">
        <v>0</v>
      </c>
      <c r="I1631" t="inlineStr">
        <is>
          <t>WFS,Coupon_Discount,WFS Item</t>
        </is>
      </c>
      <c r="J1631" s="29" t="n">
        <v>0</v>
      </c>
      <c r="K1631" s="30" t="n"/>
      <c r="L1631" s="29" t="n">
        <v>0</v>
      </c>
      <c r="M1631" s="29" t="n">
        <v>0</v>
      </c>
      <c r="N1631" s="2" t="n">
        <v>0</v>
      </c>
      <c r="O1631" s="31" t="n">
        <v>0</v>
      </c>
      <c r="P1631" s="32" t="n"/>
      <c r="Q1631" s="32" t="n">
        <v>0</v>
      </c>
      <c r="R1631" s="32" t="n">
        <v>0</v>
      </c>
      <c r="S1631" s="31" t="n">
        <v>0</v>
      </c>
      <c r="T1631" s="32" t="n">
        <v>0</v>
      </c>
      <c r="U1631" s="31" t="n">
        <v>0</v>
      </c>
      <c r="V1631" s="31" t="n">
        <v>0</v>
      </c>
      <c r="W1631" s="3" t="n">
        <v>0</v>
      </c>
      <c r="X1631" s="3" t="n">
        <v>0</v>
      </c>
      <c r="Y1631" s="32" t="n">
        <v>0</v>
      </c>
      <c r="Z1631" s="3" t="n">
        <v>0</v>
      </c>
      <c r="AA1631" s="32" t="n">
        <v>0</v>
      </c>
      <c r="AB1631" s="3" t="n"/>
      <c r="AC1631" s="31" t="n">
        <v>0</v>
      </c>
      <c r="AD1631" s="2" t="n">
        <v>0</v>
      </c>
      <c r="AE1631" s="2" t="n">
        <v>3</v>
      </c>
      <c r="AF1631" s="4" t="n">
        <v>3</v>
      </c>
      <c r="AG1631" s="33" t="n">
        <v>0</v>
      </c>
      <c r="AH1631" s="4" t="n">
        <v>0</v>
      </c>
      <c r="AI1631" s="34" t="n"/>
      <c r="AJ1631" s="34" t="n">
        <v>0</v>
      </c>
      <c r="AK1631" s="2" t="n">
        <v>0</v>
      </c>
      <c r="AL1631" t="inlineStr">
        <is>
          <t>Published</t>
        </is>
      </c>
    </row>
    <row r="1632">
      <c r="A1632">
        <f>HYPERLINK("https://www.walmart.com/ip/986246942", "986246942")</f>
        <v/>
      </c>
      <c r="B1632">
        <f>HYPERLINK("https://app.optiwise.ai/catalog/itemdetails/361378", "Tirrinia Women Floppy Straw Sun Hat Foldable Wide Brim Striped Beach Cap for Female, Great Gifts for Mother's Day, Beige")</f>
        <v/>
      </c>
      <c r="C1632" t="inlineStr">
        <is>
          <t>1TRSH371BE-TBCB</t>
        </is>
      </c>
      <c r="D1632" t="inlineStr">
        <is>
          <t>Clothing</t>
        </is>
      </c>
      <c r="E1632" t="inlineStr">
        <is>
          <t>Hats</t>
        </is>
      </c>
      <c r="F1632" t="inlineStr">
        <is>
          <t>Tirrinia</t>
        </is>
      </c>
      <c r="G1632" t="n">
        <v>4.3</v>
      </c>
      <c r="H1632" t="n">
        <v>16</v>
      </c>
      <c r="I1632" t="inlineStr">
        <is>
          <t>Q2-Target,Hats,Batch 1 - TR</t>
        </is>
      </c>
      <c r="J1632" s="29" t="n">
        <v>0</v>
      </c>
      <c r="K1632" s="30" t="n"/>
      <c r="L1632" s="29" t="n">
        <v>0</v>
      </c>
      <c r="M1632" s="29" t="n">
        <v>0</v>
      </c>
      <c r="N1632" s="2" t="n">
        <v>0</v>
      </c>
      <c r="O1632" s="31" t="n">
        <v>0</v>
      </c>
      <c r="P1632" s="32" t="n"/>
      <c r="Q1632" s="32" t="n">
        <v>0</v>
      </c>
      <c r="R1632" s="32" t="n">
        <v>0</v>
      </c>
      <c r="S1632" s="31" t="n">
        <v>0</v>
      </c>
      <c r="T1632" s="32" t="n">
        <v>0</v>
      </c>
      <c r="U1632" s="31" t="n">
        <v>0</v>
      </c>
      <c r="V1632" s="31" t="n">
        <v>0</v>
      </c>
      <c r="W1632" s="3" t="n">
        <v>0</v>
      </c>
      <c r="X1632" s="3" t="n">
        <v>0</v>
      </c>
      <c r="Y1632" s="32" t="n">
        <v>0</v>
      </c>
      <c r="Z1632" s="3" t="n">
        <v>0</v>
      </c>
      <c r="AA1632" s="32" t="n">
        <v>0</v>
      </c>
      <c r="AB1632" s="3" t="n"/>
      <c r="AC1632" s="31" t="n">
        <v>0</v>
      </c>
      <c r="AD1632" s="2" t="n">
        <v>0</v>
      </c>
      <c r="AE1632" s="2" t="n">
        <v>23</v>
      </c>
      <c r="AF1632" s="4" t="n">
        <v>23</v>
      </c>
      <c r="AG1632" s="33" t="n">
        <v>0</v>
      </c>
      <c r="AH1632" s="4" t="n">
        <v>0</v>
      </c>
      <c r="AI1632" s="34" t="n"/>
      <c r="AJ1632" s="34" t="n">
        <v>0</v>
      </c>
      <c r="AK1632" s="2" t="n">
        <v>0</v>
      </c>
      <c r="AL1632" t="inlineStr">
        <is>
          <t>Published</t>
        </is>
      </c>
    </row>
    <row r="1633">
      <c r="A1633">
        <f>HYPERLINK("https://www.walmart.com/ip/131154871", "131154871")</f>
        <v/>
      </c>
      <c r="B1633">
        <f>HYPERLINK("https://app.optiwise.ai/catalog/itemdetails/361377", "JenniWears Women Beileise Sexy Top Thigh High Stockings+ Garter Belt Suspender - 6 Packs")</f>
        <v/>
      </c>
      <c r="C1633" t="inlineStr">
        <is>
          <t>JWBLSPH2011-6pcs</t>
        </is>
      </c>
      <c r="D1633" t="inlineStr">
        <is>
          <t>Clothing</t>
        </is>
      </c>
      <c r="E1633" t="inlineStr">
        <is>
          <t>Garter Belts</t>
        </is>
      </c>
      <c r="F1633" t="inlineStr">
        <is>
          <t>JenniWears</t>
        </is>
      </c>
      <c r="G1633" t="n">
        <v>0</v>
      </c>
      <c r="H1633" t="n">
        <v>0</v>
      </c>
      <c r="I1633" t="inlineStr">
        <is>
          <t>Optimized,Valentine</t>
        </is>
      </c>
      <c r="J1633" s="29" t="n">
        <v>0</v>
      </c>
      <c r="K1633" s="30" t="n"/>
      <c r="L1633" s="29" t="n">
        <v>0</v>
      </c>
      <c r="M1633" s="29" t="n">
        <v>0</v>
      </c>
      <c r="N1633" s="2" t="n">
        <v>0</v>
      </c>
      <c r="O1633" s="31" t="n">
        <v>0</v>
      </c>
      <c r="P1633" s="32" t="n"/>
      <c r="Q1633" s="32" t="n">
        <v>0</v>
      </c>
      <c r="R1633" s="32" t="n">
        <v>0</v>
      </c>
      <c r="S1633" s="31" t="n">
        <v>0</v>
      </c>
      <c r="T1633" s="32" t="n">
        <v>0</v>
      </c>
      <c r="U1633" s="31" t="n">
        <v>0</v>
      </c>
      <c r="V1633" s="31" t="n">
        <v>0</v>
      </c>
      <c r="W1633" s="3" t="n">
        <v>0</v>
      </c>
      <c r="X1633" s="3" t="n">
        <v>0</v>
      </c>
      <c r="Y1633" s="32" t="n">
        <v>0</v>
      </c>
      <c r="Z1633" s="3" t="n">
        <v>0</v>
      </c>
      <c r="AA1633" s="32" t="n">
        <v>0</v>
      </c>
      <c r="AB1633" s="3" t="n"/>
      <c r="AC1633" s="31" t="n">
        <v>0</v>
      </c>
      <c r="AD1633" s="2" t="n">
        <v>0</v>
      </c>
      <c r="AE1633" s="2" t="n">
        <v>3</v>
      </c>
      <c r="AF1633" s="4" t="n">
        <v>3</v>
      </c>
      <c r="AG1633" s="33" t="n">
        <v>0</v>
      </c>
      <c r="AH1633" s="4" t="n">
        <v>0</v>
      </c>
      <c r="AI1633" s="34" t="n"/>
      <c r="AJ1633" s="34" t="n">
        <v>0</v>
      </c>
      <c r="AK1633" s="2" t="n">
        <v>0</v>
      </c>
      <c r="AL1633" t="inlineStr">
        <is>
          <t>Published</t>
        </is>
      </c>
    </row>
    <row r="1634">
      <c r="A1634">
        <f>HYPERLINK("https://www.walmart.com/ip/101797775", "101797775")</f>
        <v/>
      </c>
      <c r="B1634">
        <f>HYPERLINK("https://app.optiwise.ai/catalog/itemdetails/361376", "JenniWears Light-Up Sequin Fedora LED Hat, Sparkly Sequin Black Fedora Hat for Women and Men, Neon Green")</f>
        <v/>
      </c>
      <c r="C1634" t="inlineStr">
        <is>
          <t>JWLEDHAT01-GN</t>
        </is>
      </c>
      <c r="D1634" t="inlineStr">
        <is>
          <t>Decorations &amp; Favors</t>
        </is>
      </c>
      <c r="E1634" t="inlineStr">
        <is>
          <t>Party Hats</t>
        </is>
      </c>
      <c r="F1634" t="inlineStr">
        <is>
          <t>JenniWears</t>
        </is>
      </c>
      <c r="G1634" t="n">
        <v>0</v>
      </c>
      <c r="H1634" t="n">
        <v>0</v>
      </c>
      <c r="I1634" t="inlineStr">
        <is>
          <t>Halloween</t>
        </is>
      </c>
      <c r="J1634" s="29" t="n">
        <v>0</v>
      </c>
      <c r="K1634" s="30" t="n"/>
      <c r="L1634" s="29" t="n">
        <v>0</v>
      </c>
      <c r="M1634" s="29" t="n">
        <v>0</v>
      </c>
      <c r="N1634" s="2" t="n">
        <v>0</v>
      </c>
      <c r="O1634" s="31" t="n">
        <v>0</v>
      </c>
      <c r="P1634" s="32" t="n"/>
      <c r="Q1634" s="32" t="n">
        <v>0</v>
      </c>
      <c r="R1634" s="32" t="n">
        <v>0</v>
      </c>
      <c r="S1634" s="31" t="n">
        <v>0</v>
      </c>
      <c r="T1634" s="32" t="n">
        <v>0</v>
      </c>
      <c r="U1634" s="31" t="n">
        <v>0</v>
      </c>
      <c r="V1634" s="31" t="n">
        <v>0</v>
      </c>
      <c r="W1634" s="3" t="n">
        <v>0</v>
      </c>
      <c r="X1634" s="3" t="n">
        <v>0</v>
      </c>
      <c r="Y1634" s="32" t="n">
        <v>0</v>
      </c>
      <c r="Z1634" s="3" t="n">
        <v>0</v>
      </c>
      <c r="AA1634" s="32" t="n">
        <v>0</v>
      </c>
      <c r="AB1634" s="3" t="n"/>
      <c r="AC1634" s="31" t="n">
        <v>0</v>
      </c>
      <c r="AD1634" s="2" t="n">
        <v>0</v>
      </c>
      <c r="AE1634" s="2" t="n">
        <v>14</v>
      </c>
      <c r="AF1634" s="4" t="n">
        <v>14</v>
      </c>
      <c r="AG1634" s="33" t="n">
        <v>0</v>
      </c>
      <c r="AH1634" s="4" t="n">
        <v>0</v>
      </c>
      <c r="AI1634" s="34" t="n"/>
      <c r="AJ1634" s="34" t="n">
        <v>0</v>
      </c>
      <c r="AK1634" s="2" t="n">
        <v>0</v>
      </c>
      <c r="AL1634" t="inlineStr">
        <is>
          <t>Published</t>
        </is>
      </c>
    </row>
    <row r="1635">
      <c r="A1635">
        <f>HYPERLINK("https://www.walmart.com/ip/653030869", "653030869")</f>
        <v/>
      </c>
      <c r="B1635">
        <f>HYPERLINK("https://app.optiwise.ai/catalog/itemdetails/361372", "Flyingstar Wearable Blanket with Sleeves and Pocket, Fleece Micro Plush Throws Blanket, Robe for Women and Men 73” x 51” Wine")</f>
        <v/>
      </c>
      <c r="C1635" t="inlineStr">
        <is>
          <t>1WMSN100WN</t>
        </is>
      </c>
      <c r="D1635" t="inlineStr">
        <is>
          <t>Bedding</t>
        </is>
      </c>
      <c r="E1635" t="inlineStr">
        <is>
          <t>Throws</t>
        </is>
      </c>
      <c r="F1635" t="inlineStr">
        <is>
          <t>Flyingstar</t>
        </is>
      </c>
      <c r="G1635" t="n">
        <v>0</v>
      </c>
      <c r="H1635" t="n">
        <v>0</v>
      </c>
      <c r="I1635" t="inlineStr">
        <is>
          <t>Batch 1 - TR</t>
        </is>
      </c>
      <c r="J1635" s="29" t="n">
        <v>0</v>
      </c>
      <c r="K1635" s="30" t="n"/>
      <c r="L1635" s="29" t="n">
        <v>0</v>
      </c>
      <c r="M1635" s="29" t="n">
        <v>0</v>
      </c>
      <c r="N1635" s="2" t="n">
        <v>0</v>
      </c>
      <c r="O1635" s="31" t="n">
        <v>0</v>
      </c>
      <c r="P1635" s="32" t="n"/>
      <c r="Q1635" s="32" t="n">
        <v>0</v>
      </c>
      <c r="R1635" s="32" t="n">
        <v>0</v>
      </c>
      <c r="S1635" s="31" t="n">
        <v>0</v>
      </c>
      <c r="T1635" s="32" t="n">
        <v>0</v>
      </c>
      <c r="U1635" s="31" t="n">
        <v>0</v>
      </c>
      <c r="V1635" s="31" t="n">
        <v>0</v>
      </c>
      <c r="W1635" s="3" t="n">
        <v>0</v>
      </c>
      <c r="X1635" s="3" t="n">
        <v>0</v>
      </c>
      <c r="Y1635" s="32" t="n">
        <v>0</v>
      </c>
      <c r="Z1635" s="3" t="n">
        <v>0</v>
      </c>
      <c r="AA1635" s="32" t="n">
        <v>0</v>
      </c>
      <c r="AB1635" s="3" t="n"/>
      <c r="AC1635" s="31" t="n">
        <v>0</v>
      </c>
      <c r="AD1635" s="2" t="n">
        <v>0</v>
      </c>
      <c r="AE1635" s="2" t="n">
        <v>0</v>
      </c>
      <c r="AF1635" s="4" t="n">
        <v>0</v>
      </c>
      <c r="AG1635" s="33" t="n">
        <v>0</v>
      </c>
      <c r="AH1635" s="4" t="n">
        <v>0</v>
      </c>
      <c r="AI1635" s="34" t="n"/>
      <c r="AJ1635" s="34" t="n">
        <v>0</v>
      </c>
      <c r="AK1635" s="2" t="n">
        <v>0</v>
      </c>
      <c r="AL1635" t="inlineStr">
        <is>
          <t>Published</t>
        </is>
      </c>
    </row>
    <row r="1636">
      <c r="A1636">
        <f>HYPERLINK("https://www.walmart.com/ip/145984059", "145984059")</f>
        <v/>
      </c>
      <c r="B1636">
        <f>HYPERLINK("https://app.optiwise.ai/catalog/itemdetails/361371", "JenniWears® Women's Ultra Sheer Lace Top Thigh High Pantyhose - 3 Packs")</f>
        <v/>
      </c>
      <c r="C1636" t="inlineStr">
        <is>
          <t>JWBLSPH2015-3pcs</t>
        </is>
      </c>
      <c r="D1636" t="inlineStr">
        <is>
          <t>Clothing</t>
        </is>
      </c>
      <c r="E1636" t="inlineStr">
        <is>
          <t>Pantyhose &amp; Tights</t>
        </is>
      </c>
      <c r="F1636" t="inlineStr">
        <is>
          <t>JenniWears</t>
        </is>
      </c>
      <c r="G1636" t="n">
        <v>0</v>
      </c>
      <c r="H1636" t="n">
        <v>0</v>
      </c>
      <c r="I1636" t="inlineStr">
        <is>
          <t>Optimized,Valentine</t>
        </is>
      </c>
      <c r="J1636" s="29" t="n">
        <v>0</v>
      </c>
      <c r="K1636" s="30" t="n"/>
      <c r="L1636" s="29" t="n">
        <v>0</v>
      </c>
      <c r="M1636" s="29" t="n">
        <v>0</v>
      </c>
      <c r="N1636" s="2" t="n">
        <v>0</v>
      </c>
      <c r="O1636" s="31" t="n">
        <v>0</v>
      </c>
      <c r="P1636" s="32" t="n"/>
      <c r="Q1636" s="32" t="n">
        <v>0</v>
      </c>
      <c r="R1636" s="32" t="n">
        <v>0</v>
      </c>
      <c r="S1636" s="31" t="n">
        <v>0</v>
      </c>
      <c r="T1636" s="32" t="n">
        <v>0</v>
      </c>
      <c r="U1636" s="31" t="n">
        <v>0</v>
      </c>
      <c r="V1636" s="31" t="n">
        <v>0</v>
      </c>
      <c r="W1636" s="3" t="n">
        <v>0</v>
      </c>
      <c r="X1636" s="3" t="n">
        <v>0</v>
      </c>
      <c r="Y1636" s="32" t="n">
        <v>0</v>
      </c>
      <c r="Z1636" s="3" t="n">
        <v>0</v>
      </c>
      <c r="AA1636" s="32" t="n">
        <v>0</v>
      </c>
      <c r="AB1636" s="3" t="n"/>
      <c r="AC1636" s="31" t="n">
        <v>0</v>
      </c>
      <c r="AD1636" s="2" t="n">
        <v>0</v>
      </c>
      <c r="AE1636" s="2" t="n">
        <v>4</v>
      </c>
      <c r="AF1636" s="4" t="n">
        <v>4</v>
      </c>
      <c r="AG1636" s="33" t="n">
        <v>0</v>
      </c>
      <c r="AH1636" s="4" t="n">
        <v>0</v>
      </c>
      <c r="AI1636" s="34" t="n"/>
      <c r="AJ1636" s="34" t="n">
        <v>0</v>
      </c>
      <c r="AK1636" s="2" t="n">
        <v>0</v>
      </c>
      <c r="AL1636" t="inlineStr">
        <is>
          <t>Published</t>
        </is>
      </c>
    </row>
    <row r="1637">
      <c r="A1637">
        <f>HYPERLINK("https://www.walmart.com/ip/112690273", "112690273")</f>
        <v/>
      </c>
      <c r="B1637">
        <f>HYPERLINK("https://app.optiwise.ai/catalog/itemdetails/361369", "KC Caps Blank Cuff Hat Knit Beanie")</f>
        <v/>
      </c>
      <c r="C1637" t="inlineStr">
        <is>
          <t>KCW1720RD</t>
        </is>
      </c>
      <c r="D1637" t="inlineStr">
        <is>
          <t>Clothing</t>
        </is>
      </c>
      <c r="E1637" t="inlineStr">
        <is>
          <t>Hats</t>
        </is>
      </c>
      <c r="F1637" t="inlineStr">
        <is>
          <t>KC Caps</t>
        </is>
      </c>
      <c r="G1637" t="n">
        <v>0</v>
      </c>
      <c r="H1637" t="n">
        <v>0</v>
      </c>
      <c r="I1637" t="inlineStr">
        <is>
          <t>Optimized</t>
        </is>
      </c>
      <c r="J1637" s="29" t="n">
        <v>0</v>
      </c>
      <c r="K1637" s="30" t="n"/>
      <c r="L1637" s="29" t="n">
        <v>0</v>
      </c>
      <c r="M1637" s="29" t="n">
        <v>0</v>
      </c>
      <c r="N1637" s="2" t="n">
        <v>0</v>
      </c>
      <c r="O1637" s="31" t="n">
        <v>0</v>
      </c>
      <c r="P1637" s="32" t="n"/>
      <c r="Q1637" s="32" t="n">
        <v>0</v>
      </c>
      <c r="R1637" s="32" t="n">
        <v>0</v>
      </c>
      <c r="S1637" s="31" t="n">
        <v>0</v>
      </c>
      <c r="T1637" s="32" t="n">
        <v>0</v>
      </c>
      <c r="U1637" s="31" t="n">
        <v>0</v>
      </c>
      <c r="V1637" s="31" t="n">
        <v>0</v>
      </c>
      <c r="W1637" s="3" t="n">
        <v>0</v>
      </c>
      <c r="X1637" s="3" t="n">
        <v>0</v>
      </c>
      <c r="Y1637" s="32" t="n">
        <v>0</v>
      </c>
      <c r="Z1637" s="3" t="n">
        <v>0</v>
      </c>
      <c r="AA1637" s="32" t="n">
        <v>0</v>
      </c>
      <c r="AB1637" s="3" t="n"/>
      <c r="AC1637" s="31" t="n">
        <v>0</v>
      </c>
      <c r="AD1637" s="2" t="n">
        <v>0</v>
      </c>
      <c r="AE1637" s="2" t="n">
        <v>1</v>
      </c>
      <c r="AF1637" s="4" t="n">
        <v>1</v>
      </c>
      <c r="AG1637" s="33" t="n">
        <v>0</v>
      </c>
      <c r="AH1637" s="4" t="n">
        <v>0</v>
      </c>
      <c r="AI1637" s="34" t="n"/>
      <c r="AJ1637" s="34" t="n">
        <v>0</v>
      </c>
      <c r="AK1637" s="2" t="n">
        <v>0</v>
      </c>
      <c r="AL1637" t="inlineStr">
        <is>
          <t>Published</t>
        </is>
      </c>
    </row>
    <row r="1638">
      <c r="A1638">
        <f>HYPERLINK("https://www.walmart.com/ip/159343795", "159343795")</f>
        <v/>
      </c>
      <c r="B1638">
        <f>HYPERLINK("https://app.optiwise.ai/catalog/itemdetails/361365", "KC Caps Pom Pom Toque Beanie")</f>
        <v/>
      </c>
      <c r="C1638" t="inlineStr">
        <is>
          <t>KCW1711PK</t>
        </is>
      </c>
      <c r="D1638" t="inlineStr">
        <is>
          <t>Clothing</t>
        </is>
      </c>
      <c r="E1638" t="inlineStr">
        <is>
          <t>Hats</t>
        </is>
      </c>
      <c r="F1638" t="inlineStr">
        <is>
          <t>KC Caps</t>
        </is>
      </c>
      <c r="G1638" t="n">
        <v>0</v>
      </c>
      <c r="H1638" t="n">
        <v>0</v>
      </c>
      <c r="I1638" t="inlineStr">
        <is>
          <t>Optimized</t>
        </is>
      </c>
      <c r="J1638" s="29" t="n">
        <v>0</v>
      </c>
      <c r="K1638" s="30" t="n"/>
      <c r="L1638" s="29" t="n">
        <v>0</v>
      </c>
      <c r="M1638" s="29" t="n">
        <v>0</v>
      </c>
      <c r="N1638" s="2" t="n">
        <v>0</v>
      </c>
      <c r="O1638" s="31" t="n">
        <v>0</v>
      </c>
      <c r="P1638" s="32" t="n"/>
      <c r="Q1638" s="32" t="n">
        <v>0</v>
      </c>
      <c r="R1638" s="32" t="n">
        <v>0</v>
      </c>
      <c r="S1638" s="31" t="n">
        <v>0</v>
      </c>
      <c r="T1638" s="32" t="n">
        <v>0</v>
      </c>
      <c r="U1638" s="31" t="n">
        <v>0</v>
      </c>
      <c r="V1638" s="31" t="n">
        <v>0</v>
      </c>
      <c r="W1638" s="3" t="n">
        <v>0</v>
      </c>
      <c r="X1638" s="3" t="n">
        <v>0</v>
      </c>
      <c r="Y1638" s="32" t="n">
        <v>0</v>
      </c>
      <c r="Z1638" s="3" t="n">
        <v>0</v>
      </c>
      <c r="AA1638" s="32" t="n">
        <v>0</v>
      </c>
      <c r="AB1638" s="3" t="n"/>
      <c r="AC1638" s="31" t="n">
        <v>0</v>
      </c>
      <c r="AD1638" s="2" t="n">
        <v>0</v>
      </c>
      <c r="AE1638" s="2" t="n">
        <v>2</v>
      </c>
      <c r="AF1638" s="4" t="n">
        <v>2</v>
      </c>
      <c r="AG1638" s="33" t="n">
        <v>0</v>
      </c>
      <c r="AH1638" s="4" t="n">
        <v>0</v>
      </c>
      <c r="AI1638" s="34" t="n"/>
      <c r="AJ1638" s="34" t="n">
        <v>0</v>
      </c>
      <c r="AK1638" s="2" t="n">
        <v>0</v>
      </c>
      <c r="AL1638" t="inlineStr">
        <is>
          <t>Published</t>
        </is>
      </c>
    </row>
    <row r="1639">
      <c r="A1639">
        <f>HYPERLINK("https://www.walmart.com/ip/283845243", "283845243")</f>
        <v/>
      </c>
      <c r="B1639">
        <f>HYPERLINK("https://app.optiwise.ai/catalog/itemdetails/361359", "Catalonia Sherpa Throws Blanket, Super Soft Comfy Fluffy Fuzzy Fleece Plush Blanket for Sofa Couch Bed Reversible All Season for Adults Children 50”x60”, Chevron Latte")</f>
        <v/>
      </c>
      <c r="C1639" t="inlineStr">
        <is>
          <t>1CTBF320LT</t>
        </is>
      </c>
      <c r="D1639" t="inlineStr">
        <is>
          <t>Bedding</t>
        </is>
      </c>
      <c r="E1639" t="inlineStr">
        <is>
          <t>Throws</t>
        </is>
      </c>
      <c r="F1639" t="inlineStr">
        <is>
          <t>Catalonia</t>
        </is>
      </c>
      <c r="G1639" t="n">
        <v>0</v>
      </c>
      <c r="H1639" t="n">
        <v>0</v>
      </c>
      <c r="I1639" t="inlineStr">
        <is>
          <t>WFS,WFS Item</t>
        </is>
      </c>
      <c r="J1639" s="29" t="n">
        <v>0</v>
      </c>
      <c r="K1639" s="30" t="n"/>
      <c r="L1639" s="29" t="n">
        <v>0</v>
      </c>
      <c r="M1639" s="29" t="n">
        <v>0</v>
      </c>
      <c r="N1639" s="2" t="n">
        <v>0</v>
      </c>
      <c r="O1639" s="31" t="n">
        <v>0</v>
      </c>
      <c r="P1639" s="32" t="n"/>
      <c r="Q1639" s="32" t="n">
        <v>0</v>
      </c>
      <c r="R1639" s="32" t="n">
        <v>0</v>
      </c>
      <c r="S1639" s="31" t="n">
        <v>0</v>
      </c>
      <c r="T1639" s="32" t="n">
        <v>0</v>
      </c>
      <c r="U1639" s="31" t="n">
        <v>0</v>
      </c>
      <c r="V1639" s="31" t="n">
        <v>0</v>
      </c>
      <c r="W1639" s="3" t="n">
        <v>0</v>
      </c>
      <c r="X1639" s="3" t="n">
        <v>0</v>
      </c>
      <c r="Y1639" s="32" t="n">
        <v>0</v>
      </c>
      <c r="Z1639" s="3" t="n">
        <v>0</v>
      </c>
      <c r="AA1639" s="32" t="n">
        <v>0</v>
      </c>
      <c r="AB1639" s="3" t="n"/>
      <c r="AC1639" s="31" t="n">
        <v>0</v>
      </c>
      <c r="AD1639" s="2" t="n">
        <v>0</v>
      </c>
      <c r="AE1639" s="2" t="n">
        <v>15</v>
      </c>
      <c r="AF1639" s="4" t="n">
        <v>15</v>
      </c>
      <c r="AG1639" s="33" t="n">
        <v>0</v>
      </c>
      <c r="AH1639" s="4" t="n">
        <v>0</v>
      </c>
      <c r="AI1639" s="34" t="n"/>
      <c r="AJ1639" s="34" t="n">
        <v>0</v>
      </c>
      <c r="AK1639" s="2" t="n">
        <v>0</v>
      </c>
      <c r="AL1639" t="inlineStr">
        <is>
          <t>Published</t>
        </is>
      </c>
    </row>
    <row r="1640">
      <c r="A1640">
        <f>HYPERLINK("https://www.walmart.com/ip/192876782", "192876782")</f>
        <v/>
      </c>
      <c r="B1640">
        <f>HYPERLINK("https://app.optiwise.ai/catalog/itemdetails/361357", "Tirrinia Soft Sherpa Chevron Throw Blanket for Sofa or Couch Grey Reversible Fuzzy Micro Plush All Season Fleece TV Blanket 50 x 60")</f>
        <v/>
      </c>
      <c r="C1640" t="inlineStr">
        <is>
          <t>1TRBF320GY-TBGM</t>
        </is>
      </c>
      <c r="D1640" t="inlineStr">
        <is>
          <t>Bedding</t>
        </is>
      </c>
      <c r="E1640" t="inlineStr">
        <is>
          <t>Throws</t>
        </is>
      </c>
      <c r="F1640" t="inlineStr">
        <is>
          <t>Tirrinia</t>
        </is>
      </c>
      <c r="G1640" t="n">
        <v>5</v>
      </c>
      <c r="H1640" t="n">
        <v>1</v>
      </c>
      <c r="I1640" t="inlineStr">
        <is>
          <t>Batch 1 - TR</t>
        </is>
      </c>
      <c r="J1640" s="29" t="n">
        <v>0</v>
      </c>
      <c r="K1640" s="30" t="n"/>
      <c r="L1640" s="29" t="n">
        <v>0</v>
      </c>
      <c r="M1640" s="29" t="n">
        <v>0</v>
      </c>
      <c r="N1640" s="2" t="n">
        <v>0</v>
      </c>
      <c r="O1640" s="31" t="n">
        <v>0</v>
      </c>
      <c r="P1640" s="32" t="n"/>
      <c r="Q1640" s="32" t="n">
        <v>0</v>
      </c>
      <c r="R1640" s="32" t="n">
        <v>0</v>
      </c>
      <c r="S1640" s="31" t="n">
        <v>0</v>
      </c>
      <c r="T1640" s="32" t="n">
        <v>0</v>
      </c>
      <c r="U1640" s="31" t="n">
        <v>0</v>
      </c>
      <c r="V1640" s="31" t="n">
        <v>0</v>
      </c>
      <c r="W1640" s="3" t="n">
        <v>0</v>
      </c>
      <c r="X1640" s="3" t="n">
        <v>0</v>
      </c>
      <c r="Y1640" s="32" t="n">
        <v>0</v>
      </c>
      <c r="Z1640" s="3" t="n">
        <v>0</v>
      </c>
      <c r="AA1640" s="32" t="n">
        <v>0</v>
      </c>
      <c r="AB1640" s="3" t="n"/>
      <c r="AC1640" s="31" t="n">
        <v>0</v>
      </c>
      <c r="AD1640" s="2" t="n">
        <v>0</v>
      </c>
      <c r="AE1640" s="2" t="n">
        <v>6</v>
      </c>
      <c r="AF1640" s="4" t="n">
        <v>6</v>
      </c>
      <c r="AG1640" s="33" t="n">
        <v>0</v>
      </c>
      <c r="AH1640" s="4" t="n">
        <v>0</v>
      </c>
      <c r="AI1640" s="34" t="n"/>
      <c r="AJ1640" s="34" t="n">
        <v>0</v>
      </c>
      <c r="AK1640" s="2" t="n">
        <v>0</v>
      </c>
      <c r="AL1640" t="inlineStr">
        <is>
          <t>Published</t>
        </is>
      </c>
    </row>
    <row r="1641">
      <c r="A1641">
        <f>HYPERLINK("https://www.walmart.com/ip/761838379", "761838379")</f>
        <v/>
      </c>
      <c r="B1641">
        <f>HYPERLINK("https://app.optiwise.ai/catalog/itemdetails/361350", "KC Caps® Unisex Realtree Hunting Cap Camouflage Jungle Sports Hat")</f>
        <v/>
      </c>
      <c r="C1641" t="inlineStr">
        <is>
          <t>KC Caps 4730</t>
        </is>
      </c>
      <c r="D1641" t="inlineStr">
        <is>
          <t>Clothing</t>
        </is>
      </c>
      <c r="E1641" t="inlineStr">
        <is>
          <t>Hats</t>
        </is>
      </c>
      <c r="F1641" t="inlineStr">
        <is>
          <t>KC Caps</t>
        </is>
      </c>
      <c r="G1641" t="n">
        <v>0</v>
      </c>
      <c r="H1641" t="n">
        <v>0</v>
      </c>
      <c r="I1641" t="inlineStr">
        <is>
          <t>Batch 1 - TR</t>
        </is>
      </c>
      <c r="J1641" s="29" t="n">
        <v>0</v>
      </c>
      <c r="K1641" s="30" t="n"/>
      <c r="L1641" s="29" t="n">
        <v>0</v>
      </c>
      <c r="M1641" s="29" t="n">
        <v>0</v>
      </c>
      <c r="N1641" s="2" t="n">
        <v>0</v>
      </c>
      <c r="O1641" s="31" t="n">
        <v>0</v>
      </c>
      <c r="P1641" s="32" t="n"/>
      <c r="Q1641" s="32" t="n">
        <v>0</v>
      </c>
      <c r="R1641" s="32" t="n">
        <v>0</v>
      </c>
      <c r="S1641" s="31" t="n">
        <v>0</v>
      </c>
      <c r="T1641" s="32" t="n">
        <v>0</v>
      </c>
      <c r="U1641" s="31" t="n">
        <v>0</v>
      </c>
      <c r="V1641" s="31" t="n">
        <v>0</v>
      </c>
      <c r="W1641" s="3" t="n">
        <v>0</v>
      </c>
      <c r="X1641" s="3" t="n">
        <v>0</v>
      </c>
      <c r="Y1641" s="32" t="n">
        <v>0</v>
      </c>
      <c r="Z1641" s="3" t="n">
        <v>0</v>
      </c>
      <c r="AA1641" s="32" t="n">
        <v>0</v>
      </c>
      <c r="AB1641" s="3" t="n"/>
      <c r="AC1641" s="31" t="n">
        <v>0</v>
      </c>
      <c r="AD1641" s="2" t="n">
        <v>0</v>
      </c>
      <c r="AE1641" s="2" t="n">
        <v>2</v>
      </c>
      <c r="AF1641" s="4" t="n">
        <v>2</v>
      </c>
      <c r="AG1641" s="33" t="n">
        <v>0</v>
      </c>
      <c r="AH1641" s="4" t="n">
        <v>0</v>
      </c>
      <c r="AI1641" s="34" t="n"/>
      <c r="AJ1641" s="34" t="n">
        <v>0</v>
      </c>
      <c r="AK1641" s="2" t="n">
        <v>0</v>
      </c>
      <c r="AL1641" t="inlineStr">
        <is>
          <t>Published</t>
        </is>
      </c>
    </row>
    <row r="1642">
      <c r="A1642">
        <f>HYPERLINK("https://www.walmart.com/ip/329006795", "329006795")</f>
        <v/>
      </c>
      <c r="B1642">
        <f>HYPERLINK("https://app.optiwise.ai/catalog/itemdetails/361347", "Solaris Men Winter Ski Snow Gloves with Breathable Face Mask The Warmest 3M Insulation Waterproof Outdoor Snowboard Mitt")</f>
        <v/>
      </c>
      <c r="C1642" t="inlineStr">
        <is>
          <t>1SLWG302BKGY-M</t>
        </is>
      </c>
      <c r="D1642" t="inlineStr">
        <is>
          <t>Clothing</t>
        </is>
      </c>
      <c r="E1642" t="inlineStr">
        <is>
          <t>Gloves &amp; Mittens</t>
        </is>
      </c>
      <c r="F1642" t="inlineStr">
        <is>
          <t>Solaris</t>
        </is>
      </c>
      <c r="G1642" t="n">
        <v>3</v>
      </c>
      <c r="H1642" t="n">
        <v>5</v>
      </c>
      <c r="I1642" t="inlineStr">
        <is>
          <t>Gloves,WFS,WFS Item</t>
        </is>
      </c>
      <c r="J1642" s="29" t="n">
        <v>0</v>
      </c>
      <c r="K1642" s="30" t="n"/>
      <c r="L1642" s="29" t="n">
        <v>0</v>
      </c>
      <c r="M1642" s="29" t="n">
        <v>0</v>
      </c>
      <c r="N1642" s="2" t="n">
        <v>0</v>
      </c>
      <c r="O1642" s="31" t="n">
        <v>0</v>
      </c>
      <c r="P1642" s="32" t="n"/>
      <c r="Q1642" s="32" t="n">
        <v>0</v>
      </c>
      <c r="R1642" s="32" t="n">
        <v>0</v>
      </c>
      <c r="S1642" s="31" t="n">
        <v>0</v>
      </c>
      <c r="T1642" s="32" t="n">
        <v>0</v>
      </c>
      <c r="U1642" s="31" t="n">
        <v>0</v>
      </c>
      <c r="V1642" s="31" t="n">
        <v>0</v>
      </c>
      <c r="W1642" s="3" t="n">
        <v>0</v>
      </c>
      <c r="X1642" s="3" t="n">
        <v>0</v>
      </c>
      <c r="Y1642" s="32" t="n">
        <v>0</v>
      </c>
      <c r="Z1642" s="3" t="n">
        <v>0</v>
      </c>
      <c r="AA1642" s="32" t="n">
        <v>0</v>
      </c>
      <c r="AB1642" s="3" t="n"/>
      <c r="AC1642" s="31" t="n">
        <v>0</v>
      </c>
      <c r="AD1642" s="2" t="n">
        <v>29</v>
      </c>
      <c r="AE1642" s="2" t="n">
        <v>17</v>
      </c>
      <c r="AF1642" s="4" t="n">
        <v>17</v>
      </c>
      <c r="AG1642" s="33" t="n">
        <v>0</v>
      </c>
      <c r="AH1642" s="4" t="n">
        <v>0</v>
      </c>
      <c r="AI1642" s="34" t="n"/>
      <c r="AJ1642" s="34" t="n">
        <v>0</v>
      </c>
      <c r="AK1642" s="2" t="n">
        <v>0</v>
      </c>
      <c r="AL1642" t="inlineStr">
        <is>
          <t>Published</t>
        </is>
      </c>
    </row>
    <row r="1643">
      <c r="A1643">
        <f>HYPERLINK("https://www.walmart.com/ip/301875046", "301875046")</f>
        <v/>
      </c>
      <c r="B1643">
        <f>HYPERLINK("https://app.optiwise.ai/catalog/itemdetails/361235", "Terra Youth Reflective Knit Hat High Visibility Cold Weather Running Beanie Cool")</f>
        <v/>
      </c>
      <c r="C1643" t="inlineStr">
        <is>
          <t>TERRABN01-OR</t>
        </is>
      </c>
      <c r="D1643" t="inlineStr">
        <is>
          <t>Clothing</t>
        </is>
      </c>
      <c r="E1643" t="inlineStr">
        <is>
          <t>Hats</t>
        </is>
      </c>
      <c r="F1643" t="inlineStr">
        <is>
          <t>Terra</t>
        </is>
      </c>
      <c r="G1643" t="n">
        <v>0</v>
      </c>
      <c r="H1643" t="n">
        <v>0</v>
      </c>
      <c r="J1643" s="29" t="n">
        <v>0</v>
      </c>
      <c r="K1643" s="30" t="n"/>
      <c r="L1643" s="29" t="n">
        <v>0</v>
      </c>
      <c r="M1643" s="29" t="n">
        <v>0</v>
      </c>
      <c r="N1643" s="2" t="n">
        <v>0</v>
      </c>
      <c r="O1643" s="31" t="n">
        <v>0</v>
      </c>
      <c r="P1643" s="32" t="n"/>
      <c r="Q1643" s="32" t="n">
        <v>0</v>
      </c>
      <c r="R1643" s="32" t="n">
        <v>0</v>
      </c>
      <c r="S1643" s="31" t="n">
        <v>0</v>
      </c>
      <c r="T1643" s="32" t="n">
        <v>0</v>
      </c>
      <c r="U1643" s="31" t="n">
        <v>0</v>
      </c>
      <c r="V1643" s="31" t="n">
        <v>0</v>
      </c>
      <c r="W1643" s="3" t="n">
        <v>0</v>
      </c>
      <c r="X1643" s="3" t="n">
        <v>0</v>
      </c>
      <c r="Y1643" s="32" t="n">
        <v>0</v>
      </c>
      <c r="Z1643" s="3" t="n">
        <v>0</v>
      </c>
      <c r="AA1643" s="32" t="n">
        <v>0</v>
      </c>
      <c r="AB1643" s="3" t="n"/>
      <c r="AC1643" s="31" t="n">
        <v>0</v>
      </c>
      <c r="AD1643" s="2" t="n">
        <v>0</v>
      </c>
      <c r="AE1643" s="2" t="n">
        <v>0</v>
      </c>
      <c r="AF1643" s="4" t="n">
        <v>0</v>
      </c>
      <c r="AG1643" s="33" t="n">
        <v>0</v>
      </c>
      <c r="AH1643" s="4" t="n">
        <v>0</v>
      </c>
      <c r="AI1643" s="34" t="n"/>
      <c r="AJ1643" s="34" t="n">
        <v>0</v>
      </c>
      <c r="AK1643" s="2" t="n">
        <v>0</v>
      </c>
      <c r="AL1643" t="inlineStr">
        <is>
          <t>Published</t>
        </is>
      </c>
    </row>
    <row r="1644">
      <c r="A1644">
        <f>HYPERLINK("https://www.walmart.com/ip/644251416", "644251416")</f>
        <v/>
      </c>
      <c r="B1644">
        <f>HYPERLINK("https://app.optiwise.ai/catalog/itemdetails/361226", "Terra Men Boxer Brief Underwear Best 3 Pack Most Comfortable Cotton Trunk Short")</f>
        <v/>
      </c>
      <c r="C1644" t="inlineStr">
        <is>
          <t>TERRA-BOXER9-L</t>
        </is>
      </c>
      <c r="D1644" t="inlineStr">
        <is>
          <t>Clothing</t>
        </is>
      </c>
      <c r="E1644" t="inlineStr">
        <is>
          <t>Underpants</t>
        </is>
      </c>
      <c r="F1644" t="inlineStr">
        <is>
          <t>Terra</t>
        </is>
      </c>
      <c r="G1644" t="n">
        <v>0</v>
      </c>
      <c r="H1644" t="n">
        <v>0</v>
      </c>
      <c r="I1644" t="inlineStr">
        <is>
          <t>Batch 1 - TR</t>
        </is>
      </c>
      <c r="J1644" s="29" t="n">
        <v>0</v>
      </c>
      <c r="K1644" s="30" t="n"/>
      <c r="L1644" s="29" t="n">
        <v>0</v>
      </c>
      <c r="M1644" s="29" t="n">
        <v>0</v>
      </c>
      <c r="N1644" s="2" t="n">
        <v>0</v>
      </c>
      <c r="O1644" s="31" t="n">
        <v>0</v>
      </c>
      <c r="P1644" s="32" t="n"/>
      <c r="Q1644" s="32" t="n">
        <v>0</v>
      </c>
      <c r="R1644" s="32" t="n">
        <v>0</v>
      </c>
      <c r="S1644" s="31" t="n">
        <v>0</v>
      </c>
      <c r="T1644" s="32" t="n">
        <v>0</v>
      </c>
      <c r="U1644" s="31" t="n">
        <v>0</v>
      </c>
      <c r="V1644" s="31" t="n">
        <v>0</v>
      </c>
      <c r="W1644" s="3" t="n">
        <v>0</v>
      </c>
      <c r="X1644" s="3" t="n">
        <v>0</v>
      </c>
      <c r="Y1644" s="32" t="n">
        <v>0</v>
      </c>
      <c r="Z1644" s="3" t="n">
        <v>0</v>
      </c>
      <c r="AA1644" s="32" t="n">
        <v>0</v>
      </c>
      <c r="AB1644" s="3" t="n"/>
      <c r="AC1644" s="31" t="n">
        <v>0</v>
      </c>
      <c r="AD1644" s="2" t="n">
        <v>0</v>
      </c>
      <c r="AE1644" s="2" t="n">
        <v>14</v>
      </c>
      <c r="AF1644" s="4" t="n">
        <v>14</v>
      </c>
      <c r="AG1644" s="33" t="n">
        <v>0</v>
      </c>
      <c r="AH1644" s="4" t="n">
        <v>0</v>
      </c>
      <c r="AI1644" s="34" t="n"/>
      <c r="AJ1644" s="34" t="n">
        <v>0</v>
      </c>
      <c r="AK1644" s="2" t="n">
        <v>0</v>
      </c>
      <c r="AL1644" t="inlineStr">
        <is>
          <t>Published</t>
        </is>
      </c>
    </row>
    <row r="1645">
      <c r="A1645">
        <f>HYPERLINK("https://www.walmart.com/ip/407186152", "407186152")</f>
        <v/>
      </c>
      <c r="B1645">
        <f>HYPERLINK("https://app.optiwise.ai/catalog/itemdetails/361088", "Catalonia Sherpa Fleece Throw Blanket, Super Soft Mink Plush Couch Blanket, TV Bed Fuzzy Blanket, Fluffy Comfy Warm Heavy Throws, Comfort Caring Gift, 50x60 inches")</f>
        <v/>
      </c>
      <c r="C1645" t="inlineStr">
        <is>
          <t>1CTBF300STF</t>
        </is>
      </c>
      <c r="D1645" t="inlineStr">
        <is>
          <t>Bedding</t>
        </is>
      </c>
      <c r="E1645" t="inlineStr">
        <is>
          <t>Throws</t>
        </is>
      </c>
      <c r="F1645" t="inlineStr">
        <is>
          <t>Catalonia</t>
        </is>
      </c>
      <c r="G1645" t="n">
        <v>0</v>
      </c>
      <c r="H1645" t="n">
        <v>0</v>
      </c>
      <c r="I1645" t="inlineStr">
        <is>
          <t>WFS,WFS Item</t>
        </is>
      </c>
      <c r="J1645" s="29" t="n">
        <v>0</v>
      </c>
      <c r="K1645" s="30" t="n"/>
      <c r="L1645" s="29" t="n">
        <v>0</v>
      </c>
      <c r="M1645" s="29" t="n">
        <v>0</v>
      </c>
      <c r="N1645" s="2" t="n">
        <v>0</v>
      </c>
      <c r="O1645" s="31" t="n">
        <v>0</v>
      </c>
      <c r="P1645" s="32" t="n"/>
      <c r="Q1645" s="32" t="n">
        <v>0</v>
      </c>
      <c r="R1645" s="32" t="n">
        <v>0</v>
      </c>
      <c r="S1645" s="31" t="n">
        <v>0</v>
      </c>
      <c r="T1645" s="32" t="n">
        <v>0</v>
      </c>
      <c r="U1645" s="31" t="n">
        <v>0</v>
      </c>
      <c r="V1645" s="31" t="n">
        <v>0</v>
      </c>
      <c r="W1645" s="3" t="n">
        <v>0</v>
      </c>
      <c r="X1645" s="3" t="n">
        <v>0</v>
      </c>
      <c r="Y1645" s="32" t="n">
        <v>0</v>
      </c>
      <c r="Z1645" s="3" t="n">
        <v>0</v>
      </c>
      <c r="AA1645" s="32" t="n">
        <v>0</v>
      </c>
      <c r="AB1645" s="3" t="n"/>
      <c r="AC1645" s="31" t="n">
        <v>0</v>
      </c>
      <c r="AD1645" s="2" t="n">
        <v>5</v>
      </c>
      <c r="AE1645" s="2" t="n">
        <v>42</v>
      </c>
      <c r="AF1645" s="4" t="n">
        <v>42</v>
      </c>
      <c r="AG1645" s="33" t="n">
        <v>0</v>
      </c>
      <c r="AH1645" s="4" t="n">
        <v>0</v>
      </c>
      <c r="AI1645" s="34" t="n"/>
      <c r="AJ1645" s="34" t="n">
        <v>0</v>
      </c>
      <c r="AK1645" s="2" t="n">
        <v>0</v>
      </c>
      <c r="AL1645" t="inlineStr">
        <is>
          <t>Published</t>
        </is>
      </c>
    </row>
    <row r="1646">
      <c r="A1646">
        <f>HYPERLINK("https://www.walmart.com/ip/856387561", "856387561")</f>
        <v/>
      </c>
      <c r="B1646">
        <f>HYPERLINK("https://app.optiwise.ai/catalog/itemdetails/361119", "Flyingstar Oversized Wearable Blanket with Large Front Pocket, Microfiber Faux Shearling Comfy Sweatshirt Blanket for Adults Women Men Teenagers, Pink")</f>
        <v/>
      </c>
      <c r="C1646" t="inlineStr">
        <is>
          <t>1WMHD300PK</t>
        </is>
      </c>
      <c r="D1646" t="inlineStr">
        <is>
          <t>Clothing</t>
        </is>
      </c>
      <c r="E1646" t="inlineStr">
        <is>
          <t>Throws</t>
        </is>
      </c>
      <c r="F1646" t="inlineStr">
        <is>
          <t>Flyingstar</t>
        </is>
      </c>
      <c r="G1646" t="n">
        <v>0</v>
      </c>
      <c r="H1646" t="n">
        <v>0</v>
      </c>
      <c r="I1646" t="inlineStr">
        <is>
          <t>Hoodie ForAdult,Optimized</t>
        </is>
      </c>
      <c r="J1646" s="29" t="n">
        <v>0</v>
      </c>
      <c r="K1646" s="30" t="n"/>
      <c r="L1646" s="29" t="n">
        <v>0</v>
      </c>
      <c r="M1646" s="29" t="n">
        <v>0</v>
      </c>
      <c r="N1646" s="2" t="n">
        <v>0</v>
      </c>
      <c r="O1646" s="31" t="n">
        <v>0</v>
      </c>
      <c r="P1646" s="32" t="n"/>
      <c r="Q1646" s="32" t="n">
        <v>0</v>
      </c>
      <c r="R1646" s="32" t="n">
        <v>0</v>
      </c>
      <c r="S1646" s="31" t="n">
        <v>0</v>
      </c>
      <c r="T1646" s="32" t="n">
        <v>0</v>
      </c>
      <c r="U1646" s="31" t="n">
        <v>0</v>
      </c>
      <c r="V1646" s="31" t="n">
        <v>0</v>
      </c>
      <c r="W1646" s="3" t="n">
        <v>0</v>
      </c>
      <c r="X1646" s="3" t="n">
        <v>0</v>
      </c>
      <c r="Y1646" s="32" t="n">
        <v>0</v>
      </c>
      <c r="Z1646" s="3" t="n">
        <v>0</v>
      </c>
      <c r="AA1646" s="32" t="n">
        <v>0</v>
      </c>
      <c r="AB1646" s="3" t="n"/>
      <c r="AC1646" s="31" t="n">
        <v>0</v>
      </c>
      <c r="AD1646" s="2" t="n">
        <v>0</v>
      </c>
      <c r="AE1646" s="2" t="n">
        <v>3</v>
      </c>
      <c r="AF1646" s="4" t="n">
        <v>3</v>
      </c>
      <c r="AG1646" s="33" t="n">
        <v>0</v>
      </c>
      <c r="AH1646" s="4" t="n">
        <v>0</v>
      </c>
      <c r="AI1646" s="34" t="n"/>
      <c r="AJ1646" s="34" t="n">
        <v>0</v>
      </c>
      <c r="AK1646" s="2" t="n">
        <v>0</v>
      </c>
      <c r="AL1646" t="inlineStr">
        <is>
          <t>Published</t>
        </is>
      </c>
    </row>
    <row r="1647">
      <c r="A1647">
        <f>HYPERLINK("https://www.walmart.com/ip/447669349", "447669349")</f>
        <v/>
      </c>
      <c r="B1647">
        <f>HYPERLINK("https://app.optiwise.ai/catalog/itemdetails/361149", "Tirrinia Single Wine Tote Bag, Insulated Padded Thermal Wine Bottle Carrying Cooler Carrier for Travel, Picnic, Perfect Gift for Wine Lover, Blue")</f>
        <v/>
      </c>
      <c r="C1647" t="inlineStr">
        <is>
          <t>1KTWB100BL</t>
        </is>
      </c>
      <c r="D1647" t="inlineStr">
        <is>
          <t>Home Decor, Kitchen, &amp; Other</t>
        </is>
      </c>
      <c r="E1647" t="inlineStr">
        <is>
          <t>Wine Totes, Bags &amp; Backpacks</t>
        </is>
      </c>
      <c r="F1647" t="inlineStr">
        <is>
          <t>Tirrinia</t>
        </is>
      </c>
      <c r="G1647" t="n">
        <v>5</v>
      </c>
      <c r="H1647" t="n">
        <v>4</v>
      </c>
      <c r="I1647" t="inlineStr">
        <is>
          <t>Wine,Christmas,Valentine,SEM</t>
        </is>
      </c>
      <c r="J1647" s="29" t="n">
        <v>0</v>
      </c>
      <c r="K1647" s="30" t="n"/>
      <c r="L1647" s="29" t="n">
        <v>0</v>
      </c>
      <c r="M1647" s="29" t="n">
        <v>0</v>
      </c>
      <c r="N1647" s="2" t="n">
        <v>0</v>
      </c>
      <c r="O1647" s="31" t="n">
        <v>0.65</v>
      </c>
      <c r="P1647" s="32" t="n">
        <v>0.0001</v>
      </c>
      <c r="Q1647" s="32" t="n">
        <v>0</v>
      </c>
      <c r="R1647" s="32" t="n">
        <v>0.3528</v>
      </c>
      <c r="S1647" s="31" t="n">
        <v>0</v>
      </c>
      <c r="T1647" s="32" t="n">
        <v>0</v>
      </c>
      <c r="U1647" s="31" t="n">
        <v>0</v>
      </c>
      <c r="V1647" s="31" t="n">
        <v>0</v>
      </c>
      <c r="W1647" s="3" t="n">
        <v>2138</v>
      </c>
      <c r="X1647" s="3" t="n">
        <v>2</v>
      </c>
      <c r="Y1647" s="32" t="n">
        <v>0.0009</v>
      </c>
      <c r="Z1647" s="3" t="n">
        <v>0</v>
      </c>
      <c r="AA1647" s="32" t="n">
        <v>0</v>
      </c>
      <c r="AB1647" s="3" t="inlineStr">
        <is>
          <t>Auto Campaign_Vinay</t>
        </is>
      </c>
      <c r="AC1647" s="31" t="n">
        <v>0.33</v>
      </c>
      <c r="AD1647" s="2" t="n">
        <v>0</v>
      </c>
      <c r="AE1647" s="2" t="n">
        <v>33</v>
      </c>
      <c r="AF1647" s="4" t="n">
        <v>31</v>
      </c>
      <c r="AG1647" s="33" t="n">
        <v>0</v>
      </c>
      <c r="AH1647" s="4" t="n">
        <v>0</v>
      </c>
      <c r="AI1647" s="34" t="n"/>
      <c r="AJ1647" s="34" t="n">
        <v>0</v>
      </c>
      <c r="AK1647" s="2" t="n">
        <v>0</v>
      </c>
      <c r="AL1647" t="inlineStr">
        <is>
          <t>Published</t>
        </is>
      </c>
    </row>
    <row r="1648">
      <c r="A1648">
        <f>HYPERLINK("https://www.walmart.com/ip/536999791", "536999791")</f>
        <v/>
      </c>
      <c r="B1648">
        <f>HYPERLINK("https://app.optiwise.ai/catalog/itemdetails/361148", "Sun Blocker Adventure hat UPF 50+ rated Outdoor hat Wide brim with Back flap")</f>
        <v/>
      </c>
      <c r="C1648" t="inlineStr">
        <is>
          <t>kc-s9150-pk</t>
        </is>
      </c>
      <c r="D1648" t="inlineStr">
        <is>
          <t>Clothing</t>
        </is>
      </c>
      <c r="E1648" t="inlineStr">
        <is>
          <t>Hats</t>
        </is>
      </c>
      <c r="F1648" t="inlineStr">
        <is>
          <t>Sun Blocker</t>
        </is>
      </c>
      <c r="G1648" t="n">
        <v>0</v>
      </c>
      <c r="H1648" t="n">
        <v>0</v>
      </c>
      <c r="I1648" t="inlineStr">
        <is>
          <t>Optimized</t>
        </is>
      </c>
      <c r="J1648" s="29" t="n">
        <v>0</v>
      </c>
      <c r="K1648" s="30" t="n"/>
      <c r="L1648" s="29" t="n">
        <v>0</v>
      </c>
      <c r="M1648" s="29" t="n">
        <v>0</v>
      </c>
      <c r="N1648" s="2" t="n">
        <v>0</v>
      </c>
      <c r="O1648" s="31" t="n">
        <v>0</v>
      </c>
      <c r="P1648" s="32" t="n"/>
      <c r="Q1648" s="32" t="n">
        <v>0</v>
      </c>
      <c r="R1648" s="32" t="n">
        <v>0</v>
      </c>
      <c r="S1648" s="31" t="n">
        <v>0</v>
      </c>
      <c r="T1648" s="32" t="n">
        <v>0</v>
      </c>
      <c r="U1648" s="31" t="n">
        <v>0</v>
      </c>
      <c r="V1648" s="31" t="n">
        <v>0</v>
      </c>
      <c r="W1648" s="3" t="n">
        <v>0</v>
      </c>
      <c r="X1648" s="3" t="n">
        <v>0</v>
      </c>
      <c r="Y1648" s="32" t="n">
        <v>0</v>
      </c>
      <c r="Z1648" s="3" t="n">
        <v>0</v>
      </c>
      <c r="AA1648" s="32" t="n">
        <v>0</v>
      </c>
      <c r="AB1648" s="3" t="n"/>
      <c r="AC1648" s="31" t="n">
        <v>0</v>
      </c>
      <c r="AD1648" s="2" t="n">
        <v>0</v>
      </c>
      <c r="AE1648" s="2" t="n">
        <v>0</v>
      </c>
      <c r="AF1648" s="4" t="n">
        <v>0</v>
      </c>
      <c r="AG1648" s="33" t="n">
        <v>0</v>
      </c>
      <c r="AH1648" s="4" t="n">
        <v>0</v>
      </c>
      <c r="AI1648" s="34" t="n"/>
      <c r="AJ1648" s="34" t="n">
        <v>0</v>
      </c>
      <c r="AK1648" s="2" t="n">
        <v>0</v>
      </c>
      <c r="AL1648" t="inlineStr">
        <is>
          <t>Published</t>
        </is>
      </c>
    </row>
    <row r="1649">
      <c r="A1649">
        <f>HYPERLINK("https://www.walmart.com/ip/465137321", "465137321")</f>
        <v/>
      </c>
      <c r="B1649">
        <f>HYPERLINK("https://app.optiwise.ai/catalog/itemdetails/361146", "100% Polar Fleece Skull Cap Warm and Cozy Beanie")</f>
        <v/>
      </c>
      <c r="C1649" t="inlineStr">
        <is>
          <t>1SLW1810GY-FSCB</t>
        </is>
      </c>
      <c r="D1649" t="inlineStr">
        <is>
          <t>Clothing</t>
        </is>
      </c>
      <c r="E1649" t="inlineStr">
        <is>
          <t>Hats</t>
        </is>
      </c>
      <c r="F1649" t="inlineStr">
        <is>
          <t>Solaris</t>
        </is>
      </c>
      <c r="G1649" t="n">
        <v>0</v>
      </c>
      <c r="H1649" t="n">
        <v>0</v>
      </c>
      <c r="I1649" t="inlineStr">
        <is>
          <t>Batch 1 - TR</t>
        </is>
      </c>
      <c r="J1649" s="29" t="n">
        <v>0</v>
      </c>
      <c r="K1649" s="30" t="n"/>
      <c r="L1649" s="29" t="n">
        <v>0</v>
      </c>
      <c r="M1649" s="29" t="n">
        <v>0</v>
      </c>
      <c r="N1649" s="2" t="n">
        <v>0</v>
      </c>
      <c r="O1649" s="31" t="n">
        <v>0</v>
      </c>
      <c r="P1649" s="32" t="n"/>
      <c r="Q1649" s="32" t="n">
        <v>0</v>
      </c>
      <c r="R1649" s="32" t="n">
        <v>0</v>
      </c>
      <c r="S1649" s="31" t="n">
        <v>0</v>
      </c>
      <c r="T1649" s="32" t="n">
        <v>0</v>
      </c>
      <c r="U1649" s="31" t="n">
        <v>0</v>
      </c>
      <c r="V1649" s="31" t="n">
        <v>0</v>
      </c>
      <c r="W1649" s="3" t="n">
        <v>0</v>
      </c>
      <c r="X1649" s="3" t="n">
        <v>0</v>
      </c>
      <c r="Y1649" s="32" t="n">
        <v>0</v>
      </c>
      <c r="Z1649" s="3" t="n">
        <v>0</v>
      </c>
      <c r="AA1649" s="32" t="n">
        <v>0</v>
      </c>
      <c r="AB1649" s="3" t="n"/>
      <c r="AC1649" s="31" t="n">
        <v>0</v>
      </c>
      <c r="AD1649" s="2" t="n">
        <v>0</v>
      </c>
      <c r="AE1649" s="2" t="n">
        <v>5</v>
      </c>
      <c r="AF1649" s="4" t="n">
        <v>5</v>
      </c>
      <c r="AG1649" s="33" t="n">
        <v>0</v>
      </c>
      <c r="AH1649" s="4" t="n">
        <v>0</v>
      </c>
      <c r="AI1649" s="34" t="n"/>
      <c r="AJ1649" s="34" t="n">
        <v>0</v>
      </c>
      <c r="AK1649" s="2" t="n">
        <v>0</v>
      </c>
      <c r="AL1649" t="inlineStr">
        <is>
          <t>Published</t>
        </is>
      </c>
    </row>
    <row r="1650">
      <c r="A1650">
        <f>HYPERLINK("https://www.walmart.com/ip/922410648", "922410648")</f>
        <v/>
      </c>
      <c r="B1650">
        <f>HYPERLINK("https://app.optiwise.ai/catalog/itemdetails/361137", "Catalonia Sherpa Throw Blanket, Fluffy Fuzzy Fleece Super Soft Blanket 50”x60”, Comfy Plush for Sofa Couch Bed Reversible All Season for Adults Children")</f>
        <v/>
      </c>
      <c r="C1650" t="inlineStr">
        <is>
          <t>1CTBF320MO</t>
        </is>
      </c>
      <c r="D1650" t="inlineStr">
        <is>
          <t>Bedding</t>
        </is>
      </c>
      <c r="E1650" t="inlineStr">
        <is>
          <t>Throws</t>
        </is>
      </c>
      <c r="F1650" t="inlineStr">
        <is>
          <t>Catalonia</t>
        </is>
      </c>
      <c r="G1650" t="n">
        <v>0</v>
      </c>
      <c r="H1650" t="n">
        <v>0</v>
      </c>
      <c r="I1650" t="inlineStr">
        <is>
          <t>Q2-Target,Optimized,WFS,Coupon_Discount,WFS Item</t>
        </is>
      </c>
      <c r="J1650" s="29" t="n">
        <v>0</v>
      </c>
      <c r="K1650" s="30" t="n"/>
      <c r="L1650" s="29" t="n">
        <v>0</v>
      </c>
      <c r="M1650" s="29" t="n">
        <v>0</v>
      </c>
      <c r="N1650" s="2" t="n">
        <v>0</v>
      </c>
      <c r="O1650" s="31" t="n">
        <v>0</v>
      </c>
      <c r="P1650" s="32" t="n"/>
      <c r="Q1650" s="32" t="n">
        <v>0</v>
      </c>
      <c r="R1650" s="32" t="n">
        <v>0</v>
      </c>
      <c r="S1650" s="31" t="n">
        <v>0</v>
      </c>
      <c r="T1650" s="32" t="n">
        <v>0</v>
      </c>
      <c r="U1650" s="31" t="n">
        <v>0</v>
      </c>
      <c r="V1650" s="31" t="n">
        <v>0</v>
      </c>
      <c r="W1650" s="3" t="n">
        <v>0</v>
      </c>
      <c r="X1650" s="3" t="n">
        <v>0</v>
      </c>
      <c r="Y1650" s="32" t="n">
        <v>0</v>
      </c>
      <c r="Z1650" s="3" t="n">
        <v>0</v>
      </c>
      <c r="AA1650" s="32" t="n">
        <v>0</v>
      </c>
      <c r="AB1650" s="3" t="n"/>
      <c r="AC1650" s="31" t="n">
        <v>0</v>
      </c>
      <c r="AD1650" s="2" t="n">
        <v>0</v>
      </c>
      <c r="AE1650" s="2" t="n">
        <v>33</v>
      </c>
      <c r="AF1650" s="4" t="n">
        <v>33</v>
      </c>
      <c r="AG1650" s="33" t="n">
        <v>0</v>
      </c>
      <c r="AH1650" s="4" t="n">
        <v>0</v>
      </c>
      <c r="AI1650" s="34" t="n"/>
      <c r="AJ1650" s="34" t="n">
        <v>0</v>
      </c>
      <c r="AK1650" s="2" t="n">
        <v>0</v>
      </c>
      <c r="AL1650" t="inlineStr">
        <is>
          <t>Published</t>
        </is>
      </c>
    </row>
    <row r="1651">
      <c r="A1651">
        <f>HYPERLINK("https://www.walmart.com/ip/528591524", "528591524")</f>
        <v/>
      </c>
      <c r="B1651">
        <f>HYPERLINK("https://app.optiwise.ai/catalog/itemdetails/361136", "Pawsse Waterproof Blanket, Pet Blanket, Pee Urine Proof Dog Blanket for Couch Bed Furniture Protector, Reversible Dog Fleece Blanket for Small Medium Large Dogs, Wine/Taupe, 80 X 60 Inches")</f>
        <v/>
      </c>
      <c r="C1651" t="inlineStr">
        <is>
          <t>1PSBW681WNTP</t>
        </is>
      </c>
      <c r="D1651" t="inlineStr">
        <is>
          <t>Animal Accessories</t>
        </is>
      </c>
      <c r="E1651" t="inlineStr">
        <is>
          <t>Pet Blankets</t>
        </is>
      </c>
      <c r="F1651" t="inlineStr">
        <is>
          <t>Pawsse</t>
        </is>
      </c>
      <c r="G1651" t="n">
        <v>5</v>
      </c>
      <c r="H1651" t="n">
        <v>2</v>
      </c>
      <c r="I1651" t="inlineStr">
        <is>
          <t>Q2-Target,Wproof Blanket,Batch 1 - TR</t>
        </is>
      </c>
      <c r="J1651" s="29" t="n">
        <v>0</v>
      </c>
      <c r="K1651" s="30" t="n"/>
      <c r="L1651" s="29" t="n">
        <v>0</v>
      </c>
      <c r="M1651" s="29" t="n">
        <v>0</v>
      </c>
      <c r="N1651" s="2" t="n">
        <v>0</v>
      </c>
      <c r="O1651" s="31" t="n">
        <v>7.279999999999999</v>
      </c>
      <c r="P1651" s="32" t="n">
        <v>0.0009</v>
      </c>
      <c r="Q1651" s="32" t="n">
        <v>0</v>
      </c>
      <c r="R1651" s="32" t="n">
        <v>0.17</v>
      </c>
      <c r="S1651" s="31" t="n">
        <v>12.91</v>
      </c>
      <c r="T1651" s="32" t="n">
        <v>0.08</v>
      </c>
      <c r="U1651" s="31" t="n">
        <v>93.98</v>
      </c>
      <c r="V1651" s="31" t="n">
        <v>93.98</v>
      </c>
      <c r="W1651" s="3" t="n">
        <v>8099</v>
      </c>
      <c r="X1651" s="3" t="n">
        <v>25</v>
      </c>
      <c r="Y1651" s="32" t="n">
        <v>0.0031</v>
      </c>
      <c r="Z1651" s="3" t="n">
        <v>2</v>
      </c>
      <c r="AA1651" s="32" t="n">
        <v>0.08</v>
      </c>
      <c r="AB1651" s="3" t="inlineStr">
        <is>
          <t>Auto for BW PET 2 ---Rachel,Pet Blankets_Auto_Optiwise_24</t>
        </is>
      </c>
      <c r="AC1651" s="31" t="n">
        <v>0.29</v>
      </c>
      <c r="AD1651" s="2" t="n">
        <v>0</v>
      </c>
      <c r="AE1651" s="2" t="n">
        <v>44</v>
      </c>
      <c r="AF1651" s="4" t="n">
        <v>19</v>
      </c>
      <c r="AG1651" s="33" t="n">
        <v>-93.98</v>
      </c>
      <c r="AH1651" s="4" t="n">
        <v>-2</v>
      </c>
      <c r="AI1651" s="34" t="n">
        <v>-0.1053</v>
      </c>
      <c r="AJ1651" s="34" t="n">
        <v>0</v>
      </c>
      <c r="AK1651" s="2" t="n">
        <v>0</v>
      </c>
      <c r="AL1651" t="inlineStr">
        <is>
          <t>Published</t>
        </is>
      </c>
    </row>
    <row r="1652">
      <c r="A1652">
        <f>HYPERLINK("https://www.walmart.com/ip/349093030", "349093030")</f>
        <v/>
      </c>
      <c r="B1652">
        <f>HYPERLINK("https://app.optiwise.ai/catalog/itemdetails/361134", "Women's High Waist Yoga Pants Workout Running Capri Legging Inner Pocket")</f>
        <v/>
      </c>
      <c r="C1652" t="inlineStr">
        <is>
          <t>1TRYP102BK-XXL</t>
        </is>
      </c>
      <c r="D1652" t="inlineStr">
        <is>
          <t>Clothing</t>
        </is>
      </c>
      <c r="E1652" t="inlineStr">
        <is>
          <t>Leggings</t>
        </is>
      </c>
      <c r="F1652" t="inlineStr">
        <is>
          <t>Tirrinia</t>
        </is>
      </c>
      <c r="G1652" t="n">
        <v>0</v>
      </c>
      <c r="H1652" t="n">
        <v>0</v>
      </c>
      <c r="I1652" t="inlineStr">
        <is>
          <t>Optimized</t>
        </is>
      </c>
      <c r="J1652" s="29" t="n">
        <v>0</v>
      </c>
      <c r="K1652" s="30" t="n"/>
      <c r="L1652" s="29" t="n">
        <v>0</v>
      </c>
      <c r="M1652" s="29" t="n">
        <v>0</v>
      </c>
      <c r="N1652" s="2" t="n">
        <v>0</v>
      </c>
      <c r="O1652" s="31" t="n">
        <v>0</v>
      </c>
      <c r="P1652" s="32" t="n"/>
      <c r="Q1652" s="32" t="n">
        <v>0</v>
      </c>
      <c r="R1652" s="32" t="n">
        <v>0</v>
      </c>
      <c r="S1652" s="31" t="n">
        <v>0</v>
      </c>
      <c r="T1652" s="32" t="n">
        <v>0</v>
      </c>
      <c r="U1652" s="31" t="n">
        <v>0</v>
      </c>
      <c r="V1652" s="31" t="n">
        <v>0</v>
      </c>
      <c r="W1652" s="3" t="n">
        <v>0</v>
      </c>
      <c r="X1652" s="3" t="n">
        <v>0</v>
      </c>
      <c r="Y1652" s="32" t="n">
        <v>0</v>
      </c>
      <c r="Z1652" s="3" t="n">
        <v>0</v>
      </c>
      <c r="AA1652" s="32" t="n">
        <v>0</v>
      </c>
      <c r="AB1652" s="3" t="n"/>
      <c r="AC1652" s="31" t="n">
        <v>0</v>
      </c>
      <c r="AD1652" s="2" t="n">
        <v>0</v>
      </c>
      <c r="AE1652" s="2" t="n">
        <v>13</v>
      </c>
      <c r="AF1652" s="4" t="n">
        <v>13</v>
      </c>
      <c r="AG1652" s="33" t="n">
        <v>0</v>
      </c>
      <c r="AH1652" s="4" t="n">
        <v>0</v>
      </c>
      <c r="AI1652" s="34" t="n"/>
      <c r="AJ1652" s="34" t="n">
        <v>0</v>
      </c>
      <c r="AK1652" s="2" t="n">
        <v>0</v>
      </c>
      <c r="AL1652" t="inlineStr">
        <is>
          <t>Published</t>
        </is>
      </c>
    </row>
    <row r="1653">
      <c r="A1653">
        <f>HYPERLINK("https://www.walmart.com/ip/840311591", "840311591")</f>
        <v/>
      </c>
      <c r="B1653">
        <f>HYPERLINK("https://app.optiwise.ai/catalog/itemdetails/361133", "Catalonia Wearable Fleece Blanket with Sleeves and Foot Pockets for Adult Women Men, Micro Plush Comfy Wrap Sleeved Throw Blanket Robe Large, Cow Print")</f>
        <v/>
      </c>
      <c r="C1653" t="inlineStr">
        <is>
          <t>1CTSN101DMT</t>
        </is>
      </c>
      <c r="D1653" t="inlineStr">
        <is>
          <t>Bedding</t>
        </is>
      </c>
      <c r="E1653" t="inlineStr">
        <is>
          <t>Throws</t>
        </is>
      </c>
      <c r="F1653" t="inlineStr">
        <is>
          <t>Catalonia</t>
        </is>
      </c>
      <c r="G1653" t="n">
        <v>0</v>
      </c>
      <c r="H1653" t="n">
        <v>0</v>
      </c>
      <c r="I1653" t="inlineStr">
        <is>
          <t>WFS,WFS Item,Fleece Blankets</t>
        </is>
      </c>
      <c r="J1653" s="29" t="n">
        <v>0</v>
      </c>
      <c r="K1653" s="30" t="n"/>
      <c r="L1653" s="29" t="n">
        <v>0</v>
      </c>
      <c r="M1653" s="29" t="n">
        <v>0</v>
      </c>
      <c r="N1653" s="2" t="n">
        <v>0</v>
      </c>
      <c r="O1653" s="31" t="n">
        <v>0</v>
      </c>
      <c r="P1653" s="32" t="n"/>
      <c r="Q1653" s="32" t="n">
        <v>0</v>
      </c>
      <c r="R1653" s="32" t="n">
        <v>0</v>
      </c>
      <c r="S1653" s="31" t="n">
        <v>0</v>
      </c>
      <c r="T1653" s="32" t="n">
        <v>0</v>
      </c>
      <c r="U1653" s="31" t="n">
        <v>0</v>
      </c>
      <c r="V1653" s="31" t="n">
        <v>0</v>
      </c>
      <c r="W1653" s="3" t="n">
        <v>0</v>
      </c>
      <c r="X1653" s="3" t="n">
        <v>0</v>
      </c>
      <c r="Y1653" s="32" t="n">
        <v>0</v>
      </c>
      <c r="Z1653" s="3" t="n">
        <v>0</v>
      </c>
      <c r="AA1653" s="32" t="n">
        <v>0</v>
      </c>
      <c r="AB1653" s="3" t="n"/>
      <c r="AC1653" s="31" t="n">
        <v>0</v>
      </c>
      <c r="AD1653" s="2" t="n">
        <v>0</v>
      </c>
      <c r="AE1653" s="2" t="n">
        <v>18</v>
      </c>
      <c r="AF1653" s="4" t="n">
        <v>18</v>
      </c>
      <c r="AG1653" s="33" t="n">
        <v>0</v>
      </c>
      <c r="AH1653" s="4" t="n">
        <v>0</v>
      </c>
      <c r="AI1653" s="34" t="n"/>
      <c r="AJ1653" s="34" t="n">
        <v>0</v>
      </c>
      <c r="AK1653" s="2" t="n">
        <v>0</v>
      </c>
      <c r="AL1653" t="inlineStr">
        <is>
          <t>Published</t>
        </is>
      </c>
    </row>
    <row r="1654">
      <c r="A1654">
        <f>HYPERLINK("https://www.walmart.com/ip/816816275", "816816275")</f>
        <v/>
      </c>
      <c r="B1654">
        <f>HYPERLINK("https://app.optiwise.ai/catalog/itemdetails/361128", "Catalonia Wine Colored Sherpa Throws Blanket,Super Soft Comfy Fuzzy Micro Plush Fleece Snuggle Blanket for TV Bed Sofa Couch Reversible Match Color All Season 50x60")</f>
        <v/>
      </c>
      <c r="C1654" t="inlineStr">
        <is>
          <t>1CTBF301RD</t>
        </is>
      </c>
      <c r="D1654" t="inlineStr">
        <is>
          <t>Bedding</t>
        </is>
      </c>
      <c r="E1654" t="inlineStr">
        <is>
          <t>Throws</t>
        </is>
      </c>
      <c r="F1654" t="inlineStr">
        <is>
          <t>Catalonia</t>
        </is>
      </c>
      <c r="G1654" t="n">
        <v>4.6</v>
      </c>
      <c r="H1654" t="n">
        <v>9</v>
      </c>
      <c r="I1654" t="inlineStr">
        <is>
          <t>WFS,WFS Item</t>
        </is>
      </c>
      <c r="J1654" s="29" t="n">
        <v>0</v>
      </c>
      <c r="K1654" s="30" t="n"/>
      <c r="L1654" s="29" t="n">
        <v>0</v>
      </c>
      <c r="M1654" s="29" t="n">
        <v>0</v>
      </c>
      <c r="N1654" s="2" t="n">
        <v>0</v>
      </c>
      <c r="O1654" s="31" t="n">
        <v>0</v>
      </c>
      <c r="P1654" s="32" t="n"/>
      <c r="Q1654" s="32" t="n">
        <v>0</v>
      </c>
      <c r="R1654" s="32" t="n">
        <v>0</v>
      </c>
      <c r="S1654" s="31" t="n">
        <v>0</v>
      </c>
      <c r="T1654" s="32" t="n">
        <v>0</v>
      </c>
      <c r="U1654" s="31" t="n">
        <v>0</v>
      </c>
      <c r="V1654" s="31" t="n">
        <v>0</v>
      </c>
      <c r="W1654" s="3" t="n">
        <v>0</v>
      </c>
      <c r="X1654" s="3" t="n">
        <v>0</v>
      </c>
      <c r="Y1654" s="32" t="n">
        <v>0</v>
      </c>
      <c r="Z1654" s="3" t="n">
        <v>0</v>
      </c>
      <c r="AA1654" s="32" t="n">
        <v>0</v>
      </c>
      <c r="AB1654" s="3" t="n"/>
      <c r="AC1654" s="31" t="n">
        <v>0</v>
      </c>
      <c r="AD1654" s="2" t="n">
        <v>0</v>
      </c>
      <c r="AE1654" s="2" t="n">
        <v>0</v>
      </c>
      <c r="AF1654" s="4" t="n">
        <v>0</v>
      </c>
      <c r="AG1654" s="33" t="n">
        <v>0</v>
      </c>
      <c r="AH1654" s="4" t="n">
        <v>0</v>
      </c>
      <c r="AI1654" s="34" t="n"/>
      <c r="AJ1654" s="34" t="n">
        <v>0</v>
      </c>
      <c r="AK1654" s="2" t="n">
        <v>0</v>
      </c>
      <c r="AL1654" t="inlineStr">
        <is>
          <t>Published</t>
        </is>
      </c>
    </row>
    <row r="1655">
      <c r="A1655">
        <f>HYPERLINK("https://www.walmart.com/ip/445550072", "445550072")</f>
        <v/>
      </c>
      <c r="B1655">
        <f>HYPERLINK("https://app.optiwise.ai/catalog/itemdetails/361126", "Catalonia Coral Fleece Throw Blanket for Couch, All Seasons Lightweight Soft Cozy Throws for Home Living Room Decoration, Brown, 50'' x 60''.")</f>
        <v/>
      </c>
      <c r="C1655" t="inlineStr">
        <is>
          <t>1CTBF577BR</t>
        </is>
      </c>
      <c r="D1655" t="inlineStr">
        <is>
          <t>Bedding</t>
        </is>
      </c>
      <c r="E1655" t="inlineStr">
        <is>
          <t>Throws</t>
        </is>
      </c>
      <c r="F1655" t="inlineStr">
        <is>
          <t>Catalonia</t>
        </is>
      </c>
      <c r="G1655" t="n">
        <v>0</v>
      </c>
      <c r="H1655" t="n">
        <v>0</v>
      </c>
      <c r="I1655" t="inlineStr">
        <is>
          <t>Q2-Target,WFS,Coupon_Discount,SeePriceInCart,cost-added,WFS Item</t>
        </is>
      </c>
      <c r="J1655" s="29" t="n">
        <v>0</v>
      </c>
      <c r="K1655" s="30" t="n"/>
      <c r="L1655" s="29" t="n">
        <v>0</v>
      </c>
      <c r="M1655" s="29" t="n">
        <v>0</v>
      </c>
      <c r="N1655" s="2" t="n">
        <v>0</v>
      </c>
      <c r="O1655" s="31" t="n">
        <v>0</v>
      </c>
      <c r="P1655" s="32" t="n"/>
      <c r="Q1655" s="32" t="n">
        <v>0</v>
      </c>
      <c r="R1655" s="32" t="n">
        <v>0</v>
      </c>
      <c r="S1655" s="31" t="n">
        <v>0</v>
      </c>
      <c r="T1655" s="32" t="n">
        <v>0</v>
      </c>
      <c r="U1655" s="31" t="n">
        <v>0</v>
      </c>
      <c r="V1655" s="31" t="n">
        <v>0</v>
      </c>
      <c r="W1655" s="3" t="n">
        <v>0</v>
      </c>
      <c r="X1655" s="3" t="n">
        <v>0</v>
      </c>
      <c r="Y1655" s="32" t="n">
        <v>0</v>
      </c>
      <c r="Z1655" s="3" t="n">
        <v>0</v>
      </c>
      <c r="AA1655" s="32" t="n">
        <v>0</v>
      </c>
      <c r="AB1655" s="3" t="n"/>
      <c r="AC1655" s="31" t="n">
        <v>0</v>
      </c>
      <c r="AD1655" s="2" t="n">
        <v>0</v>
      </c>
      <c r="AE1655" s="2" t="n">
        <v>45</v>
      </c>
      <c r="AF1655" s="4" t="n">
        <v>45</v>
      </c>
      <c r="AG1655" s="33" t="n">
        <v>0</v>
      </c>
      <c r="AH1655" s="4" t="n">
        <v>0</v>
      </c>
      <c r="AI1655" s="34" t="n"/>
      <c r="AJ1655" s="34" t="n">
        <v>0</v>
      </c>
      <c r="AK1655" s="2" t="n">
        <v>0</v>
      </c>
      <c r="AL1655" t="inlineStr">
        <is>
          <t>Published</t>
        </is>
      </c>
    </row>
    <row r="1656">
      <c r="A1656">
        <f>HYPERLINK("https://www.walmart.com/ip/188993152", "188993152")</f>
        <v/>
      </c>
      <c r="B1656">
        <f>HYPERLINK("https://app.optiwise.ai/catalog/itemdetails/361124", "Women’s Swim Bathing Suit Cover Up, Summer Chiffon Maxi Beach Dress Skirt")</f>
        <v/>
      </c>
      <c r="C1656" t="inlineStr">
        <is>
          <t>1WMDS100RD</t>
        </is>
      </c>
      <c r="D1656" t="inlineStr">
        <is>
          <t>Clothing</t>
        </is>
      </c>
      <c r="E1656" t="inlineStr">
        <is>
          <t>Dresses</t>
        </is>
      </c>
      <c r="F1656" t="inlineStr">
        <is>
          <t>Flyingstar</t>
        </is>
      </c>
      <c r="G1656" t="n">
        <v>0</v>
      </c>
      <c r="H1656" t="n">
        <v>0</v>
      </c>
      <c r="I1656" t="inlineStr">
        <is>
          <t>Batch 1 - TR</t>
        </is>
      </c>
      <c r="J1656" s="29" t="n">
        <v>0</v>
      </c>
      <c r="K1656" s="30" t="n"/>
      <c r="L1656" s="29" t="n">
        <v>0</v>
      </c>
      <c r="M1656" s="29" t="n">
        <v>0</v>
      </c>
      <c r="N1656" s="2" t="n">
        <v>0</v>
      </c>
      <c r="O1656" s="31" t="n">
        <v>0</v>
      </c>
      <c r="P1656" s="32" t="n"/>
      <c r="Q1656" s="32" t="n">
        <v>0</v>
      </c>
      <c r="R1656" s="32" t="n">
        <v>0</v>
      </c>
      <c r="S1656" s="31" t="n">
        <v>0</v>
      </c>
      <c r="T1656" s="32" t="n">
        <v>0</v>
      </c>
      <c r="U1656" s="31" t="n">
        <v>0</v>
      </c>
      <c r="V1656" s="31" t="n">
        <v>0</v>
      </c>
      <c r="W1656" s="3" t="n">
        <v>0</v>
      </c>
      <c r="X1656" s="3" t="n">
        <v>0</v>
      </c>
      <c r="Y1656" s="32" t="n">
        <v>0</v>
      </c>
      <c r="Z1656" s="3" t="n">
        <v>0</v>
      </c>
      <c r="AA1656" s="32" t="n">
        <v>0</v>
      </c>
      <c r="AB1656" s="3" t="n"/>
      <c r="AC1656" s="31" t="n">
        <v>0</v>
      </c>
      <c r="AD1656" s="2" t="n">
        <v>0</v>
      </c>
      <c r="AE1656" s="2" t="n">
        <v>1</v>
      </c>
      <c r="AF1656" s="4" t="n">
        <v>1</v>
      </c>
      <c r="AG1656" s="33" t="n">
        <v>0</v>
      </c>
      <c r="AH1656" s="4" t="n">
        <v>0</v>
      </c>
      <c r="AI1656" s="34" t="n"/>
      <c r="AJ1656" s="34" t="n">
        <v>0</v>
      </c>
      <c r="AK1656" s="2" t="n">
        <v>0</v>
      </c>
      <c r="AL1656" t="inlineStr">
        <is>
          <t>Published</t>
        </is>
      </c>
    </row>
    <row r="1657">
      <c r="A1657">
        <f>HYPERLINK("https://www.walmart.com/ip/114176686", "114176686")</f>
        <v/>
      </c>
      <c r="B1657">
        <f>HYPERLINK("https://app.optiwise.ai/catalog/itemdetails/361120", "Terra Faux Fur Pom Pom Beanie Hat Thick Slouchy Cable Knit Soft Warm Micro Fleece Lined Unisex Stretches to Fit Most")</f>
        <v/>
      </c>
      <c r="C1657" t="inlineStr">
        <is>
          <t>TERRAPPH01RD</t>
        </is>
      </c>
      <c r="D1657" t="inlineStr">
        <is>
          <t>Clothing</t>
        </is>
      </c>
      <c r="E1657" t="inlineStr">
        <is>
          <t>Hats</t>
        </is>
      </c>
      <c r="F1657" t="inlineStr">
        <is>
          <t>Terra</t>
        </is>
      </c>
      <c r="G1657" t="n">
        <v>0</v>
      </c>
      <c r="H1657" t="n">
        <v>0</v>
      </c>
      <c r="I1657" t="inlineStr">
        <is>
          <t>Optimized</t>
        </is>
      </c>
      <c r="J1657" s="29" t="n">
        <v>0</v>
      </c>
      <c r="K1657" s="30" t="n"/>
      <c r="L1657" s="29" t="n">
        <v>0</v>
      </c>
      <c r="M1657" s="29" t="n">
        <v>0</v>
      </c>
      <c r="N1657" s="2" t="n">
        <v>0</v>
      </c>
      <c r="O1657" s="31" t="n">
        <v>0</v>
      </c>
      <c r="P1657" s="32" t="n"/>
      <c r="Q1657" s="32" t="n">
        <v>0</v>
      </c>
      <c r="R1657" s="32" t="n">
        <v>0</v>
      </c>
      <c r="S1657" s="31" t="n">
        <v>0</v>
      </c>
      <c r="T1657" s="32" t="n">
        <v>0</v>
      </c>
      <c r="U1657" s="31" t="n">
        <v>0</v>
      </c>
      <c r="V1657" s="31" t="n">
        <v>0</v>
      </c>
      <c r="W1657" s="3" t="n">
        <v>0</v>
      </c>
      <c r="X1657" s="3" t="n">
        <v>0</v>
      </c>
      <c r="Y1657" s="32" t="n">
        <v>0</v>
      </c>
      <c r="Z1657" s="3" t="n">
        <v>0</v>
      </c>
      <c r="AA1657" s="32" t="n">
        <v>0</v>
      </c>
      <c r="AB1657" s="3" t="n"/>
      <c r="AC1657" s="31" t="n">
        <v>0</v>
      </c>
      <c r="AD1657" s="2" t="n">
        <v>0</v>
      </c>
      <c r="AE1657" s="2" t="n">
        <v>16</v>
      </c>
      <c r="AF1657" s="4" t="n">
        <v>16</v>
      </c>
      <c r="AG1657" s="33" t="n">
        <v>0</v>
      </c>
      <c r="AH1657" s="4" t="n">
        <v>0</v>
      </c>
      <c r="AI1657" s="34" t="n"/>
      <c r="AJ1657" s="34" t="n">
        <v>0</v>
      </c>
      <c r="AK1657" s="2" t="n">
        <v>0</v>
      </c>
      <c r="AL1657" t="inlineStr">
        <is>
          <t>Published</t>
        </is>
      </c>
    </row>
    <row r="1658">
      <c r="A1658">
        <f>HYPERLINK("https://www.walmart.com/ip/194732898", "194732898")</f>
        <v/>
      </c>
      <c r="B1658">
        <f>HYPERLINK("https://app.optiwise.ai/catalog/itemdetails/361118", "Women's Plus Size Floral Lace Mesh Chemise Sleepwear and G-string")</f>
        <v/>
      </c>
      <c r="C1658" t="inlineStr">
        <is>
          <t>JWBD05RD-XL</t>
        </is>
      </c>
      <c r="D1658" t="inlineStr">
        <is>
          <t>Clothing</t>
        </is>
      </c>
      <c r="E1658" t="inlineStr">
        <is>
          <t>Lingerie Sets</t>
        </is>
      </c>
      <c r="F1658" t="inlineStr">
        <is>
          <t>JenniWears</t>
        </is>
      </c>
      <c r="G1658" t="n">
        <v>0</v>
      </c>
      <c r="H1658" t="n">
        <v>0</v>
      </c>
      <c r="I1658" t="inlineStr">
        <is>
          <t>Valentine</t>
        </is>
      </c>
      <c r="J1658" s="29" t="n">
        <v>0</v>
      </c>
      <c r="K1658" s="30" t="n"/>
      <c r="L1658" s="29" t="n">
        <v>0</v>
      </c>
      <c r="M1658" s="29" t="n">
        <v>0</v>
      </c>
      <c r="N1658" s="2" t="n">
        <v>0</v>
      </c>
      <c r="O1658" s="31" t="n">
        <v>0</v>
      </c>
      <c r="P1658" s="32" t="n"/>
      <c r="Q1658" s="32" t="n">
        <v>0</v>
      </c>
      <c r="R1658" s="32" t="n">
        <v>0</v>
      </c>
      <c r="S1658" s="31" t="n">
        <v>0</v>
      </c>
      <c r="T1658" s="32" t="n">
        <v>0</v>
      </c>
      <c r="U1658" s="31" t="n">
        <v>0</v>
      </c>
      <c r="V1658" s="31" t="n">
        <v>0</v>
      </c>
      <c r="W1658" s="3" t="n">
        <v>0</v>
      </c>
      <c r="X1658" s="3" t="n">
        <v>0</v>
      </c>
      <c r="Y1658" s="32" t="n">
        <v>0</v>
      </c>
      <c r="Z1658" s="3" t="n">
        <v>0</v>
      </c>
      <c r="AA1658" s="32" t="n">
        <v>0</v>
      </c>
      <c r="AB1658" s="3" t="n"/>
      <c r="AC1658" s="31" t="n">
        <v>0</v>
      </c>
      <c r="AD1658" s="2" t="n">
        <v>0</v>
      </c>
      <c r="AE1658" s="2" t="n">
        <v>39</v>
      </c>
      <c r="AF1658" s="4" t="n">
        <v>39</v>
      </c>
      <c r="AG1658" s="33" t="n">
        <v>0</v>
      </c>
      <c r="AH1658" s="4" t="n">
        <v>0</v>
      </c>
      <c r="AI1658" s="34" t="n"/>
      <c r="AJ1658" s="34" t="n">
        <v>0</v>
      </c>
      <c r="AK1658" s="2" t="n">
        <v>0</v>
      </c>
      <c r="AL1658" t="inlineStr">
        <is>
          <t>Published</t>
        </is>
      </c>
    </row>
    <row r="1659">
      <c r="A1659">
        <f>HYPERLINK("https://www.walmart.com/ip/952136370", "952136370")</f>
        <v/>
      </c>
      <c r="B1659">
        <f>HYPERLINK("https://app.optiwise.ai/catalog/itemdetails/361153", "Catalonia Fleece Throw Blanket for Couch, Super Soft Fuzzy Plush Blanket for Adults and Kids, All Seasons Home Decor Blanket, Machine Washable, 50x60, Yellow")</f>
        <v/>
      </c>
      <c r="C1659" t="inlineStr">
        <is>
          <t>1CTBF575YL</t>
        </is>
      </c>
      <c r="D1659" t="inlineStr">
        <is>
          <t>Bedding</t>
        </is>
      </c>
      <c r="E1659" t="inlineStr">
        <is>
          <t>Throws</t>
        </is>
      </c>
      <c r="F1659" t="inlineStr">
        <is>
          <t>Catalonia</t>
        </is>
      </c>
      <c r="G1659" t="n">
        <v>3.9</v>
      </c>
      <c r="H1659" t="n">
        <v>8</v>
      </c>
      <c r="I1659" t="inlineStr">
        <is>
          <t>Q2-Target,Optimized,WFS,WFS Item</t>
        </is>
      </c>
      <c r="J1659" s="29" t="n">
        <v>0</v>
      </c>
      <c r="K1659" s="30" t="n"/>
      <c r="L1659" s="29" t="n">
        <v>0</v>
      </c>
      <c r="M1659" s="29" t="n">
        <v>0</v>
      </c>
      <c r="N1659" s="2" t="n">
        <v>0</v>
      </c>
      <c r="O1659" s="31" t="n">
        <v>0</v>
      </c>
      <c r="P1659" s="32" t="n"/>
      <c r="Q1659" s="32" t="n">
        <v>0</v>
      </c>
      <c r="R1659" s="32" t="n">
        <v>0</v>
      </c>
      <c r="S1659" s="31" t="n">
        <v>0</v>
      </c>
      <c r="T1659" s="32" t="n">
        <v>0</v>
      </c>
      <c r="U1659" s="31" t="n">
        <v>0</v>
      </c>
      <c r="V1659" s="31" t="n">
        <v>0</v>
      </c>
      <c r="W1659" s="3" t="n">
        <v>0</v>
      </c>
      <c r="X1659" s="3" t="n">
        <v>0</v>
      </c>
      <c r="Y1659" s="32" t="n">
        <v>0</v>
      </c>
      <c r="Z1659" s="3" t="n">
        <v>0</v>
      </c>
      <c r="AA1659" s="32" t="n">
        <v>0</v>
      </c>
      <c r="AB1659" s="3" t="n"/>
      <c r="AC1659" s="31" t="n">
        <v>0</v>
      </c>
      <c r="AD1659" s="2" t="n">
        <v>0</v>
      </c>
      <c r="AE1659" s="2" t="n">
        <v>16</v>
      </c>
      <c r="AF1659" s="4" t="n">
        <v>16</v>
      </c>
      <c r="AG1659" s="33" t="n">
        <v>0</v>
      </c>
      <c r="AH1659" s="4" t="n">
        <v>0</v>
      </c>
      <c r="AI1659" s="34" t="n"/>
      <c r="AJ1659" s="34" t="n">
        <v>0</v>
      </c>
      <c r="AK1659" s="2" t="n">
        <v>0</v>
      </c>
      <c r="AL1659" t="inlineStr">
        <is>
          <t>Published</t>
        </is>
      </c>
    </row>
    <row r="1660">
      <c r="A1660">
        <f>HYPERLINK("https://www.walmart.com/ip/759178264", "759178264")</f>
        <v/>
      </c>
      <c r="B1660">
        <f>HYPERLINK("https://app.optiwise.ai/catalog/itemdetails/361117", "Wearable Fleece Blanket with Sleeves and Pocket for Women Men, Super Soft Microplush Adult Wrap Full Body Blanket Robe for Lounge Couch As Seen On TV 73 x 51 | Catalonia series by Terrania | Black")</f>
        <v/>
      </c>
      <c r="C1660" t="inlineStr">
        <is>
          <t>1TRSN100BK-TBCB</t>
        </is>
      </c>
      <c r="D1660" t="inlineStr">
        <is>
          <t>Bedding</t>
        </is>
      </c>
      <c r="E1660" t="inlineStr">
        <is>
          <t>Throws</t>
        </is>
      </c>
      <c r="F1660" t="inlineStr">
        <is>
          <t>Tirrinia</t>
        </is>
      </c>
      <c r="G1660" t="n">
        <v>3.9</v>
      </c>
      <c r="H1660" t="n">
        <v>14</v>
      </c>
      <c r="I1660" t="inlineStr">
        <is>
          <t>Optimized,WFS,WFS Item,Fleece Blankets</t>
        </is>
      </c>
      <c r="J1660" s="29" t="n">
        <v>0</v>
      </c>
      <c r="K1660" s="30" t="n"/>
      <c r="L1660" s="29" t="n">
        <v>0</v>
      </c>
      <c r="M1660" s="29" t="n">
        <v>0</v>
      </c>
      <c r="N1660" s="2" t="n">
        <v>0</v>
      </c>
      <c r="O1660" s="31" t="n">
        <v>0</v>
      </c>
      <c r="P1660" s="32" t="n"/>
      <c r="Q1660" s="32" t="n">
        <v>0</v>
      </c>
      <c r="R1660" s="32" t="n">
        <v>0</v>
      </c>
      <c r="S1660" s="31" t="n">
        <v>0</v>
      </c>
      <c r="T1660" s="32" t="n">
        <v>0</v>
      </c>
      <c r="U1660" s="31" t="n">
        <v>0</v>
      </c>
      <c r="V1660" s="31" t="n">
        <v>0</v>
      </c>
      <c r="W1660" s="3" t="n">
        <v>0</v>
      </c>
      <c r="X1660" s="3" t="n">
        <v>0</v>
      </c>
      <c r="Y1660" s="32" t="n">
        <v>0</v>
      </c>
      <c r="Z1660" s="3" t="n">
        <v>0</v>
      </c>
      <c r="AA1660" s="32" t="n">
        <v>0</v>
      </c>
      <c r="AB1660" s="3" t="n"/>
      <c r="AC1660" s="31" t="n">
        <v>0</v>
      </c>
      <c r="AD1660" s="2" t="n">
        <v>1</v>
      </c>
      <c r="AE1660" s="2" t="n">
        <v>45</v>
      </c>
      <c r="AF1660" s="4" t="n">
        <v>45</v>
      </c>
      <c r="AG1660" s="33" t="n">
        <v>0</v>
      </c>
      <c r="AH1660" s="4" t="n">
        <v>0</v>
      </c>
      <c r="AI1660" s="34" t="n"/>
      <c r="AJ1660" s="34" t="n">
        <v>0</v>
      </c>
      <c r="AK1660" s="2" t="n">
        <v>0</v>
      </c>
      <c r="AL1660" t="inlineStr">
        <is>
          <t>Published</t>
        </is>
      </c>
    </row>
    <row r="1661">
      <c r="A1661">
        <f>HYPERLINK("https://www.walmart.com/ip/830377534", "830377534")</f>
        <v/>
      </c>
      <c r="B1661">
        <f>HYPERLINK("https://app.optiwise.ai/catalog/itemdetails/361113", "Flyingstar Sherpa Throws Blanket, Fleece Soft Cozy Blanket Throws for Sofa Bed 50x60")</f>
        <v/>
      </c>
      <c r="C1661" t="inlineStr">
        <is>
          <t>1WMBF573RDDENTE</t>
        </is>
      </c>
      <c r="D1661" t="inlineStr">
        <is>
          <t>Bedding</t>
        </is>
      </c>
      <c r="E1661" t="inlineStr">
        <is>
          <t>Throws</t>
        </is>
      </c>
      <c r="F1661" t="inlineStr">
        <is>
          <t>Flyingstar</t>
        </is>
      </c>
      <c r="G1661" t="n">
        <v>0</v>
      </c>
      <c r="H1661" t="n">
        <v>0</v>
      </c>
      <c r="I1661" t="inlineStr">
        <is>
          <t>Optimized</t>
        </is>
      </c>
      <c r="J1661" s="29" t="n">
        <v>0</v>
      </c>
      <c r="K1661" s="30" t="n"/>
      <c r="L1661" s="29" t="n">
        <v>0</v>
      </c>
      <c r="M1661" s="29" t="n">
        <v>0</v>
      </c>
      <c r="N1661" s="2" t="n">
        <v>0</v>
      </c>
      <c r="O1661" s="31" t="n">
        <v>0</v>
      </c>
      <c r="P1661" s="32" t="n"/>
      <c r="Q1661" s="32" t="n">
        <v>0</v>
      </c>
      <c r="R1661" s="32" t="n">
        <v>0</v>
      </c>
      <c r="S1661" s="31" t="n">
        <v>0</v>
      </c>
      <c r="T1661" s="32" t="n">
        <v>0</v>
      </c>
      <c r="U1661" s="31" t="n">
        <v>0</v>
      </c>
      <c r="V1661" s="31" t="n">
        <v>0</v>
      </c>
      <c r="W1661" s="3" t="n">
        <v>0</v>
      </c>
      <c r="X1661" s="3" t="n">
        <v>0</v>
      </c>
      <c r="Y1661" s="32" t="n">
        <v>0</v>
      </c>
      <c r="Z1661" s="3" t="n">
        <v>0</v>
      </c>
      <c r="AA1661" s="32" t="n">
        <v>0</v>
      </c>
      <c r="AB1661" s="3" t="n"/>
      <c r="AC1661" s="31" t="n">
        <v>0</v>
      </c>
      <c r="AD1661" s="2" t="n">
        <v>0</v>
      </c>
      <c r="AE1661" s="2" t="n">
        <v>1</v>
      </c>
      <c r="AF1661" s="4" t="n">
        <v>1</v>
      </c>
      <c r="AG1661" s="33" t="n">
        <v>0</v>
      </c>
      <c r="AH1661" s="4" t="n">
        <v>0</v>
      </c>
      <c r="AI1661" s="34" t="n"/>
      <c r="AJ1661" s="34" t="n">
        <v>0</v>
      </c>
      <c r="AK1661" s="2" t="n">
        <v>0</v>
      </c>
      <c r="AL1661" t="inlineStr">
        <is>
          <t>Published</t>
        </is>
      </c>
    </row>
    <row r="1662">
      <c r="A1662">
        <f>HYPERLINK("https://www.walmart.com/ip/354973845", "354973845")</f>
        <v/>
      </c>
      <c r="B1662">
        <f>HYPERLINK("https://app.optiwise.ai/catalog/itemdetails/361108", "Tirrinia Large Insulated Picnic Basket, 26L Leakproof Collapsible Portable Cooler Basket Set with Aluminium Handle for Travel, Shopping, Camping, Attach with a Free Foldable Grocery Bag, Grey")</f>
        <v/>
      </c>
      <c r="C1662" t="inlineStr">
        <is>
          <t>1WMPB100-GY</t>
        </is>
      </c>
      <c r="D1662" t="inlineStr">
        <is>
          <t>Home Decor, Kitchen, &amp; Other</t>
        </is>
      </c>
      <c r="E1662" t="inlineStr">
        <is>
          <t>Picnic Baskets &amp; Bags</t>
        </is>
      </c>
      <c r="F1662" t="inlineStr">
        <is>
          <t>Tirrinia</t>
        </is>
      </c>
      <c r="G1662" t="n">
        <v>0</v>
      </c>
      <c r="H1662" t="n">
        <v>0</v>
      </c>
      <c r="I1662" t="inlineStr">
        <is>
          <t>Optimized</t>
        </is>
      </c>
      <c r="J1662" s="29" t="n">
        <v>0</v>
      </c>
      <c r="K1662" s="30" t="n"/>
      <c r="L1662" s="29" t="n">
        <v>0</v>
      </c>
      <c r="M1662" s="29" t="n">
        <v>0</v>
      </c>
      <c r="N1662" s="2" t="n">
        <v>0</v>
      </c>
      <c r="O1662" s="31" t="n">
        <v>0</v>
      </c>
      <c r="P1662" s="32" t="n"/>
      <c r="Q1662" s="32" t="n">
        <v>0</v>
      </c>
      <c r="R1662" s="32" t="n">
        <v>0</v>
      </c>
      <c r="S1662" s="31" t="n">
        <v>0</v>
      </c>
      <c r="T1662" s="32" t="n">
        <v>0</v>
      </c>
      <c r="U1662" s="31" t="n">
        <v>0</v>
      </c>
      <c r="V1662" s="31" t="n">
        <v>0</v>
      </c>
      <c r="W1662" s="3" t="n">
        <v>0</v>
      </c>
      <c r="X1662" s="3" t="n">
        <v>0</v>
      </c>
      <c r="Y1662" s="32" t="n">
        <v>0</v>
      </c>
      <c r="Z1662" s="3" t="n">
        <v>0</v>
      </c>
      <c r="AA1662" s="32" t="n">
        <v>0</v>
      </c>
      <c r="AB1662" s="3" t="n"/>
      <c r="AC1662" s="31" t="n">
        <v>0</v>
      </c>
      <c r="AD1662" s="2" t="n">
        <v>0</v>
      </c>
      <c r="AE1662" s="2" t="n">
        <v>4</v>
      </c>
      <c r="AF1662" s="4" t="n">
        <v>4</v>
      </c>
      <c r="AG1662" s="33" t="n">
        <v>0</v>
      </c>
      <c r="AH1662" s="4" t="n">
        <v>0</v>
      </c>
      <c r="AI1662" s="34" t="n"/>
      <c r="AJ1662" s="34" t="n">
        <v>0</v>
      </c>
      <c r="AK1662" s="2" t="n">
        <v>0</v>
      </c>
      <c r="AL1662" t="inlineStr">
        <is>
          <t>Published</t>
        </is>
      </c>
    </row>
    <row r="1663">
      <c r="A1663">
        <f>HYPERLINK("https://www.walmart.com/ip/113817246", "113817246")</f>
        <v/>
      </c>
      <c r="B1663">
        <f>HYPERLINK("https://app.optiwise.ai/catalog/itemdetails/361107", "KC Caps Unisex Adjustable Snap Closure USA Flag Embroidered Cap Hat")</f>
        <v/>
      </c>
      <c r="C1663" t="inlineStr">
        <is>
          <t>kc-ae-6100-ry</t>
        </is>
      </c>
      <c r="D1663" t="inlineStr">
        <is>
          <t>Clothing</t>
        </is>
      </c>
      <c r="E1663" t="inlineStr">
        <is>
          <t>Hats</t>
        </is>
      </c>
      <c r="F1663" t="inlineStr">
        <is>
          <t>KC Caps</t>
        </is>
      </c>
      <c r="G1663" t="n">
        <v>0</v>
      </c>
      <c r="H1663" t="n">
        <v>0</v>
      </c>
      <c r="I1663" t="inlineStr">
        <is>
          <t>Optimized</t>
        </is>
      </c>
      <c r="J1663" s="29" t="n">
        <v>0</v>
      </c>
      <c r="K1663" s="30" t="n"/>
      <c r="L1663" s="29" t="n">
        <v>0</v>
      </c>
      <c r="M1663" s="29" t="n">
        <v>0</v>
      </c>
      <c r="N1663" s="2" t="n">
        <v>0</v>
      </c>
      <c r="O1663" s="31" t="n">
        <v>0</v>
      </c>
      <c r="P1663" s="32" t="n"/>
      <c r="Q1663" s="32" t="n">
        <v>0</v>
      </c>
      <c r="R1663" s="32" t="n">
        <v>0</v>
      </c>
      <c r="S1663" s="31" t="n">
        <v>0</v>
      </c>
      <c r="T1663" s="32" t="n">
        <v>0</v>
      </c>
      <c r="U1663" s="31" t="n">
        <v>0</v>
      </c>
      <c r="V1663" s="31" t="n">
        <v>0</v>
      </c>
      <c r="W1663" s="3" t="n">
        <v>0</v>
      </c>
      <c r="X1663" s="3" t="n">
        <v>0</v>
      </c>
      <c r="Y1663" s="32" t="n">
        <v>0</v>
      </c>
      <c r="Z1663" s="3" t="n">
        <v>0</v>
      </c>
      <c r="AA1663" s="32" t="n">
        <v>0</v>
      </c>
      <c r="AB1663" s="3" t="n"/>
      <c r="AC1663" s="31" t="n">
        <v>0</v>
      </c>
      <c r="AD1663" s="2" t="n">
        <v>0</v>
      </c>
      <c r="AE1663" s="2" t="n">
        <v>2</v>
      </c>
      <c r="AF1663" s="4" t="n">
        <v>2</v>
      </c>
      <c r="AG1663" s="33" t="n">
        <v>0</v>
      </c>
      <c r="AH1663" s="4" t="n">
        <v>0</v>
      </c>
      <c r="AI1663" s="34" t="n"/>
      <c r="AJ1663" s="34" t="n">
        <v>0</v>
      </c>
      <c r="AK1663" s="2" t="n">
        <v>0</v>
      </c>
      <c r="AL1663" t="inlineStr">
        <is>
          <t>Published</t>
        </is>
      </c>
    </row>
    <row r="1664">
      <c r="A1664">
        <f>HYPERLINK("https://www.walmart.com/ip/385094315", "385094315")</f>
        <v/>
      </c>
      <c r="B1664">
        <f>HYPERLINK("https://app.optiwise.ai/catalog/itemdetails/361105", "Catalonia Wearable Blanket with Sleeves and Pocket, Cozy Soft Fleece Micro Plush Wrap Adult Blanket Robe for Women Men, Red Dot Pattern Makes a Great Gift for Holidays.")</f>
        <v/>
      </c>
      <c r="C1664" t="inlineStr">
        <is>
          <t>1CTSN100RDDOT</t>
        </is>
      </c>
      <c r="D1664" t="inlineStr">
        <is>
          <t>Bedding</t>
        </is>
      </c>
      <c r="E1664" t="inlineStr">
        <is>
          <t>Throws</t>
        </is>
      </c>
      <c r="F1664" t="inlineStr">
        <is>
          <t>Catalonia</t>
        </is>
      </c>
      <c r="G1664" t="n">
        <v>4.4</v>
      </c>
      <c r="H1664" t="n">
        <v>15</v>
      </c>
      <c r="I1664" t="inlineStr">
        <is>
          <t>WFS,WFS Item</t>
        </is>
      </c>
      <c r="J1664" s="29" t="n">
        <v>0</v>
      </c>
      <c r="K1664" s="30" t="n"/>
      <c r="L1664" s="29" t="n">
        <v>0</v>
      </c>
      <c r="M1664" s="29" t="n">
        <v>0</v>
      </c>
      <c r="N1664" s="2" t="n">
        <v>0</v>
      </c>
      <c r="O1664" s="31" t="n">
        <v>0</v>
      </c>
      <c r="P1664" s="32" t="n"/>
      <c r="Q1664" s="32" t="n">
        <v>0</v>
      </c>
      <c r="R1664" s="32" t="n">
        <v>0</v>
      </c>
      <c r="S1664" s="31" t="n">
        <v>0</v>
      </c>
      <c r="T1664" s="32" t="n">
        <v>0</v>
      </c>
      <c r="U1664" s="31" t="n">
        <v>0</v>
      </c>
      <c r="V1664" s="31" t="n">
        <v>0</v>
      </c>
      <c r="W1664" s="3" t="n">
        <v>0</v>
      </c>
      <c r="X1664" s="3" t="n">
        <v>0</v>
      </c>
      <c r="Y1664" s="32" t="n">
        <v>0</v>
      </c>
      <c r="Z1664" s="3" t="n">
        <v>0</v>
      </c>
      <c r="AA1664" s="32" t="n">
        <v>0</v>
      </c>
      <c r="AB1664" s="3" t="n"/>
      <c r="AC1664" s="31" t="n">
        <v>0</v>
      </c>
      <c r="AD1664" s="2" t="n">
        <v>0</v>
      </c>
      <c r="AE1664" s="2" t="n">
        <v>22</v>
      </c>
      <c r="AF1664" s="4" t="n">
        <v>22</v>
      </c>
      <c r="AG1664" s="33" t="n">
        <v>0</v>
      </c>
      <c r="AH1664" s="4" t="n">
        <v>0</v>
      </c>
      <c r="AI1664" s="34" t="n"/>
      <c r="AJ1664" s="34" t="n">
        <v>0</v>
      </c>
      <c r="AK1664" s="2" t="n">
        <v>0</v>
      </c>
      <c r="AL1664" t="inlineStr">
        <is>
          <t>Published</t>
        </is>
      </c>
    </row>
    <row r="1665">
      <c r="A1665">
        <f>HYPERLINK("https://www.walmart.com/ip/703461091", "703461091")</f>
        <v/>
      </c>
      <c r="B1665">
        <f>HYPERLINK("https://app.optiwise.ai/catalog/itemdetails/361100", "Terra Men Boxer Brief Underwear Best 3 Pack Most Comfortable Cotton Trunk Short")</f>
        <v/>
      </c>
      <c r="C1665" t="inlineStr">
        <is>
          <t>TERRA-BOXER8-L</t>
        </is>
      </c>
      <c r="D1665" t="inlineStr">
        <is>
          <t>Clothing</t>
        </is>
      </c>
      <c r="E1665" t="inlineStr">
        <is>
          <t>Underpants</t>
        </is>
      </c>
      <c r="F1665" t="inlineStr">
        <is>
          <t>Terra</t>
        </is>
      </c>
      <c r="G1665" t="n">
        <v>0</v>
      </c>
      <c r="H1665" t="n">
        <v>0</v>
      </c>
      <c r="I1665" t="inlineStr">
        <is>
          <t>Batch 1 - TR</t>
        </is>
      </c>
      <c r="J1665" s="29" t="n">
        <v>0</v>
      </c>
      <c r="K1665" s="30" t="n"/>
      <c r="L1665" s="29" t="n">
        <v>0</v>
      </c>
      <c r="M1665" s="29" t="n">
        <v>0</v>
      </c>
      <c r="N1665" s="2" t="n">
        <v>0</v>
      </c>
      <c r="O1665" s="31" t="n">
        <v>0</v>
      </c>
      <c r="P1665" s="32" t="n"/>
      <c r="Q1665" s="32" t="n">
        <v>0</v>
      </c>
      <c r="R1665" s="32" t="n">
        <v>0</v>
      </c>
      <c r="S1665" s="31" t="n">
        <v>0</v>
      </c>
      <c r="T1665" s="32" t="n">
        <v>0</v>
      </c>
      <c r="U1665" s="31" t="n">
        <v>0</v>
      </c>
      <c r="V1665" s="31" t="n">
        <v>0</v>
      </c>
      <c r="W1665" s="3" t="n">
        <v>0</v>
      </c>
      <c r="X1665" s="3" t="n">
        <v>0</v>
      </c>
      <c r="Y1665" s="32" t="n">
        <v>0</v>
      </c>
      <c r="Z1665" s="3" t="n">
        <v>0</v>
      </c>
      <c r="AA1665" s="32" t="n">
        <v>0</v>
      </c>
      <c r="AB1665" s="3" t="n"/>
      <c r="AC1665" s="31" t="n">
        <v>0</v>
      </c>
      <c r="AD1665" s="2" t="n">
        <v>0</v>
      </c>
      <c r="AE1665" s="2" t="n">
        <v>6</v>
      </c>
      <c r="AF1665" s="4" t="n">
        <v>6</v>
      </c>
      <c r="AG1665" s="33" t="n">
        <v>0</v>
      </c>
      <c r="AH1665" s="4" t="n">
        <v>0</v>
      </c>
      <c r="AI1665" s="34" t="n"/>
      <c r="AJ1665" s="34" t="n">
        <v>0</v>
      </c>
      <c r="AK1665" s="2" t="n">
        <v>0</v>
      </c>
      <c r="AL1665" t="inlineStr">
        <is>
          <t>Published</t>
        </is>
      </c>
    </row>
    <row r="1666">
      <c r="A1666">
        <f>HYPERLINK("https://www.walmart.com/ip/161250267", "161250267")</f>
        <v/>
      </c>
      <c r="B1666">
        <f>HYPERLINK("https://app.optiwise.ai/catalog/itemdetails/361096", "KC Caps Unisex Adjustable Ring Buckle Closure USA Flag Embroidered Cap Hat")</f>
        <v/>
      </c>
      <c r="C1666" t="inlineStr">
        <is>
          <t>kc-aeemb-rd</t>
        </is>
      </c>
      <c r="D1666" t="inlineStr">
        <is>
          <t>Clothing</t>
        </is>
      </c>
      <c r="E1666" t="inlineStr">
        <is>
          <t>Hats</t>
        </is>
      </c>
      <c r="F1666" t="inlineStr">
        <is>
          <t>KC Caps</t>
        </is>
      </c>
      <c r="G1666" t="n">
        <v>0</v>
      </c>
      <c r="H1666" t="n">
        <v>0</v>
      </c>
      <c r="I1666" t="inlineStr">
        <is>
          <t>Optimized</t>
        </is>
      </c>
      <c r="J1666" s="29" t="n">
        <v>0</v>
      </c>
      <c r="K1666" s="30" t="n"/>
      <c r="L1666" s="29" t="n">
        <v>0</v>
      </c>
      <c r="M1666" s="29" t="n">
        <v>0</v>
      </c>
      <c r="N1666" s="2" t="n">
        <v>0</v>
      </c>
      <c r="O1666" s="31" t="n">
        <v>0</v>
      </c>
      <c r="P1666" s="32" t="n"/>
      <c r="Q1666" s="32" t="n">
        <v>0</v>
      </c>
      <c r="R1666" s="32" t="n">
        <v>0</v>
      </c>
      <c r="S1666" s="31" t="n">
        <v>0</v>
      </c>
      <c r="T1666" s="32" t="n">
        <v>0</v>
      </c>
      <c r="U1666" s="31" t="n">
        <v>0</v>
      </c>
      <c r="V1666" s="31" t="n">
        <v>0</v>
      </c>
      <c r="W1666" s="3" t="n">
        <v>0</v>
      </c>
      <c r="X1666" s="3" t="n">
        <v>0</v>
      </c>
      <c r="Y1666" s="32" t="n">
        <v>0</v>
      </c>
      <c r="Z1666" s="3" t="n">
        <v>0</v>
      </c>
      <c r="AA1666" s="32" t="n">
        <v>0</v>
      </c>
      <c r="AB1666" s="3" t="n"/>
      <c r="AC1666" s="31" t="n">
        <v>0</v>
      </c>
      <c r="AD1666" s="2" t="n">
        <v>0</v>
      </c>
      <c r="AE1666" s="2" t="n">
        <v>4</v>
      </c>
      <c r="AF1666" s="4" t="n">
        <v>4</v>
      </c>
      <c r="AG1666" s="33" t="n">
        <v>0</v>
      </c>
      <c r="AH1666" s="4" t="n">
        <v>0</v>
      </c>
      <c r="AI1666" s="34" t="n"/>
      <c r="AJ1666" s="34" t="n">
        <v>0</v>
      </c>
      <c r="AK1666" s="2" t="n">
        <v>0</v>
      </c>
      <c r="AL1666" t="inlineStr">
        <is>
          <t>Published</t>
        </is>
      </c>
    </row>
    <row r="1667">
      <c r="A1667">
        <f>HYPERLINK("https://www.walmart.com/ip/171507321", "171507321")</f>
        <v/>
      </c>
      <c r="B1667">
        <f>HYPERLINK("https://app.optiwise.ai/catalog/itemdetails/361095", "KC Baseball Cap USA American Flag Embroidered Racing Cap Trucker Snapback Sport Hat for Men Women")</f>
        <v/>
      </c>
      <c r="C1667" t="inlineStr">
        <is>
          <t>KC-AS06</t>
        </is>
      </c>
      <c r="D1667" t="inlineStr">
        <is>
          <t>Clothing</t>
        </is>
      </c>
      <c r="E1667" t="inlineStr">
        <is>
          <t>Hats</t>
        </is>
      </c>
      <c r="F1667" t="inlineStr">
        <is>
          <t>KC Caps</t>
        </is>
      </c>
      <c r="G1667" t="n">
        <v>0</v>
      </c>
      <c r="H1667" t="n">
        <v>0</v>
      </c>
      <c r="I1667" t="inlineStr">
        <is>
          <t>Optimized</t>
        </is>
      </c>
      <c r="J1667" s="29" t="n">
        <v>0</v>
      </c>
      <c r="K1667" s="30" t="n"/>
      <c r="L1667" s="29" t="n">
        <v>0</v>
      </c>
      <c r="M1667" s="29" t="n">
        <v>0</v>
      </c>
      <c r="N1667" s="2" t="n">
        <v>0</v>
      </c>
      <c r="O1667" s="31" t="n">
        <v>0</v>
      </c>
      <c r="P1667" s="32" t="n"/>
      <c r="Q1667" s="32" t="n">
        <v>0</v>
      </c>
      <c r="R1667" s="32" t="n">
        <v>0</v>
      </c>
      <c r="S1667" s="31" t="n">
        <v>0</v>
      </c>
      <c r="T1667" s="32" t="n">
        <v>0</v>
      </c>
      <c r="U1667" s="31" t="n">
        <v>0</v>
      </c>
      <c r="V1667" s="31" t="n">
        <v>0</v>
      </c>
      <c r="W1667" s="3" t="n">
        <v>0</v>
      </c>
      <c r="X1667" s="3" t="n">
        <v>0</v>
      </c>
      <c r="Y1667" s="32" t="n">
        <v>0</v>
      </c>
      <c r="Z1667" s="3" t="n">
        <v>0</v>
      </c>
      <c r="AA1667" s="32" t="n">
        <v>0</v>
      </c>
      <c r="AB1667" s="3" t="n"/>
      <c r="AC1667" s="31" t="n">
        <v>0</v>
      </c>
      <c r="AD1667" s="2" t="n">
        <v>0</v>
      </c>
      <c r="AE1667" s="2" t="n">
        <v>2</v>
      </c>
      <c r="AF1667" s="4" t="n">
        <v>2</v>
      </c>
      <c r="AG1667" s="33" t="n">
        <v>0</v>
      </c>
      <c r="AH1667" s="4" t="n">
        <v>0</v>
      </c>
      <c r="AI1667" s="34" t="n"/>
      <c r="AJ1667" s="34" t="n">
        <v>0</v>
      </c>
      <c r="AK1667" s="2" t="n">
        <v>0</v>
      </c>
      <c r="AL1667" t="inlineStr">
        <is>
          <t>Published</t>
        </is>
      </c>
    </row>
    <row r="1668">
      <c r="A1668">
        <f>HYPERLINK("https://www.walmart.com/ip/414280005", "414280005")</f>
        <v/>
      </c>
      <c r="B1668">
        <f>HYPERLINK("https://app.optiwise.ai/catalog/itemdetails/361094", "Catalonia Tirrinia Plush Fleece Long Robes for Women, Warm, Comfy, Fluffy Ladies Bathrobe With Hood, Machine Washable, One Size, Gray")</f>
        <v/>
      </c>
      <c r="C1668" t="inlineStr">
        <is>
          <t>1CTRB100GY-LDCB</t>
        </is>
      </c>
      <c r="D1668" t="inlineStr">
        <is>
          <t>Clothing</t>
        </is>
      </c>
      <c r="E1668" t="inlineStr">
        <is>
          <t>Sleepwear Robes &amp; Bathrobes</t>
        </is>
      </c>
      <c r="F1668" t="inlineStr">
        <is>
          <t>Catalonia</t>
        </is>
      </c>
      <c r="G1668" t="n">
        <v>0</v>
      </c>
      <c r="H1668" t="n">
        <v>0</v>
      </c>
      <c r="I1668" t="inlineStr">
        <is>
          <t>Hero 5 Holidays,WFS,Bathrobe,Coupon_Discount,WFS Item</t>
        </is>
      </c>
      <c r="J1668" s="29" t="n">
        <v>0</v>
      </c>
      <c r="K1668" s="30" t="n"/>
      <c r="L1668" s="29" t="n">
        <v>0</v>
      </c>
      <c r="M1668" s="29" t="n">
        <v>0</v>
      </c>
      <c r="N1668" s="2" t="n">
        <v>0</v>
      </c>
      <c r="O1668" s="31" t="n">
        <v>0</v>
      </c>
      <c r="P1668" s="32" t="n"/>
      <c r="Q1668" s="32" t="n">
        <v>0</v>
      </c>
      <c r="R1668" s="32" t="n">
        <v>0</v>
      </c>
      <c r="S1668" s="31" t="n">
        <v>0</v>
      </c>
      <c r="T1668" s="32" t="n">
        <v>0</v>
      </c>
      <c r="U1668" s="31" t="n">
        <v>0</v>
      </c>
      <c r="V1668" s="31" t="n">
        <v>0</v>
      </c>
      <c r="W1668" s="3" t="n">
        <v>0</v>
      </c>
      <c r="X1668" s="3" t="n">
        <v>0</v>
      </c>
      <c r="Y1668" s="32" t="n">
        <v>0</v>
      </c>
      <c r="Z1668" s="3" t="n">
        <v>0</v>
      </c>
      <c r="AA1668" s="32" t="n">
        <v>0</v>
      </c>
      <c r="AB1668" s="3" t="n"/>
      <c r="AC1668" s="31" t="n">
        <v>0</v>
      </c>
      <c r="AD1668" s="2" t="n">
        <v>19</v>
      </c>
      <c r="AE1668" s="2" t="n">
        <v>41</v>
      </c>
      <c r="AF1668" s="4" t="n">
        <v>41</v>
      </c>
      <c r="AG1668" s="33" t="n">
        <v>0</v>
      </c>
      <c r="AH1668" s="4" t="n">
        <v>0</v>
      </c>
      <c r="AI1668" s="34" t="n"/>
      <c r="AJ1668" s="34" t="n">
        <v>0</v>
      </c>
      <c r="AK1668" s="2" t="n">
        <v>0</v>
      </c>
      <c r="AL1668" t="inlineStr">
        <is>
          <t>Published</t>
        </is>
      </c>
    </row>
    <row r="1669">
      <c r="A1669">
        <f>HYPERLINK("https://www.walmart.com/ip/125616970", "125616970")</f>
        <v/>
      </c>
      <c r="B1669">
        <f>HYPERLINK("https://app.optiwise.ai/catalog/itemdetails/361090", "Tirrinia Insulated 4 Bottle Wine Carrier Tote Cooler Bag for Travel Picnic Padded Champagne Glass Carrying Case Leather")</f>
        <v/>
      </c>
      <c r="C1669" t="inlineStr">
        <is>
          <t>1WMWB421KK</t>
        </is>
      </c>
      <c r="D1669" t="inlineStr">
        <is>
          <t>Home Decor, Kitchen, &amp; Other</t>
        </is>
      </c>
      <c r="E1669" t="inlineStr">
        <is>
          <t>Wine Totes, Bags &amp; Backpacks</t>
        </is>
      </c>
      <c r="F1669" t="inlineStr">
        <is>
          <t>Flyingstar</t>
        </is>
      </c>
      <c r="G1669" t="n">
        <v>0</v>
      </c>
      <c r="H1669" t="n">
        <v>0</v>
      </c>
      <c r="I1669" t="inlineStr">
        <is>
          <t>Wine,Christmas,Optimized,Valentine</t>
        </is>
      </c>
      <c r="J1669" s="29" t="n">
        <v>0</v>
      </c>
      <c r="K1669" s="30" t="n"/>
      <c r="L1669" s="29" t="n">
        <v>0</v>
      </c>
      <c r="M1669" s="29" t="n">
        <v>0</v>
      </c>
      <c r="N1669" s="2" t="n">
        <v>0</v>
      </c>
      <c r="O1669" s="31" t="n">
        <v>0</v>
      </c>
      <c r="P1669" s="32" t="n"/>
      <c r="Q1669" s="32" t="n">
        <v>0</v>
      </c>
      <c r="R1669" s="32" t="n">
        <v>0</v>
      </c>
      <c r="S1669" s="31" t="n">
        <v>0</v>
      </c>
      <c r="T1669" s="32" t="n">
        <v>0</v>
      </c>
      <c r="U1669" s="31" t="n">
        <v>0</v>
      </c>
      <c r="V1669" s="31" t="n">
        <v>0</v>
      </c>
      <c r="W1669" s="3" t="n">
        <v>0</v>
      </c>
      <c r="X1669" s="3" t="n">
        <v>0</v>
      </c>
      <c r="Y1669" s="32" t="n">
        <v>0</v>
      </c>
      <c r="Z1669" s="3" t="n">
        <v>0</v>
      </c>
      <c r="AA1669" s="32" t="n">
        <v>0</v>
      </c>
      <c r="AB1669" s="3" t="n"/>
      <c r="AC1669" s="31" t="n">
        <v>0</v>
      </c>
      <c r="AD1669" s="2" t="n">
        <v>0</v>
      </c>
      <c r="AE1669" s="2" t="n">
        <v>10</v>
      </c>
      <c r="AF1669" s="4" t="n">
        <v>10</v>
      </c>
      <c r="AG1669" s="33" t="n">
        <v>0</v>
      </c>
      <c r="AH1669" s="4" t="n">
        <v>0</v>
      </c>
      <c r="AI1669" s="34" t="n"/>
      <c r="AJ1669" s="34" t="n">
        <v>0</v>
      </c>
      <c r="AK1669" s="2" t="n">
        <v>0</v>
      </c>
      <c r="AL1669" t="inlineStr">
        <is>
          <t>Published</t>
        </is>
      </c>
    </row>
    <row r="1670">
      <c r="A1670">
        <f>HYPERLINK("https://www.walmart.com/ip/330511157", "330511157")</f>
        <v/>
      </c>
      <c r="B1670">
        <f>HYPERLINK("https://app.optiwise.ai/catalog/itemdetails/361089", "Fleece Blanket Wearable with Sleeves and Pocket, Micro Plush Warm Comfy Sleeved TV Throw Blanket Robe for Women and Men Multi-Colors 72”X55” by Catalonia")</f>
        <v/>
      </c>
      <c r="C1670" t="inlineStr">
        <is>
          <t>1CTSN110GY-ESGM</t>
        </is>
      </c>
      <c r="D1670" t="inlineStr">
        <is>
          <t>Bedding</t>
        </is>
      </c>
      <c r="E1670" t="inlineStr">
        <is>
          <t>Throws</t>
        </is>
      </c>
      <c r="F1670" t="inlineStr">
        <is>
          <t>Catalonia</t>
        </is>
      </c>
      <c r="G1670" t="n">
        <v>5</v>
      </c>
      <c r="H1670" t="n">
        <v>2</v>
      </c>
      <c r="I1670" t="inlineStr">
        <is>
          <t>Optimized,Fleece Blankets</t>
        </is>
      </c>
      <c r="J1670" s="29" t="n">
        <v>0</v>
      </c>
      <c r="K1670" s="30" t="n"/>
      <c r="L1670" s="29" t="n">
        <v>0</v>
      </c>
      <c r="M1670" s="29" t="n">
        <v>0</v>
      </c>
      <c r="N1670" s="2" t="n">
        <v>0</v>
      </c>
      <c r="O1670" s="31" t="n">
        <v>0</v>
      </c>
      <c r="P1670" s="32" t="n"/>
      <c r="Q1670" s="32" t="n">
        <v>0</v>
      </c>
      <c r="R1670" s="32" t="n">
        <v>0</v>
      </c>
      <c r="S1670" s="31" t="n">
        <v>0</v>
      </c>
      <c r="T1670" s="32" t="n">
        <v>0</v>
      </c>
      <c r="U1670" s="31" t="n">
        <v>0</v>
      </c>
      <c r="V1670" s="31" t="n">
        <v>0</v>
      </c>
      <c r="W1670" s="3" t="n">
        <v>0</v>
      </c>
      <c r="X1670" s="3" t="n">
        <v>0</v>
      </c>
      <c r="Y1670" s="32" t="n">
        <v>0</v>
      </c>
      <c r="Z1670" s="3" t="n">
        <v>0</v>
      </c>
      <c r="AA1670" s="32" t="n">
        <v>0</v>
      </c>
      <c r="AB1670" s="3" t="n"/>
      <c r="AC1670" s="31" t="n">
        <v>0</v>
      </c>
      <c r="AD1670" s="2" t="n">
        <v>0</v>
      </c>
      <c r="AE1670" s="2" t="n">
        <v>9</v>
      </c>
      <c r="AF1670" s="4" t="n">
        <v>9</v>
      </c>
      <c r="AG1670" s="33" t="n">
        <v>0</v>
      </c>
      <c r="AH1670" s="4" t="n">
        <v>0</v>
      </c>
      <c r="AI1670" s="34" t="n"/>
      <c r="AJ1670" s="34" t="n">
        <v>0</v>
      </c>
      <c r="AK1670" s="2" t="n">
        <v>0</v>
      </c>
      <c r="AL1670" t="inlineStr">
        <is>
          <t>Published</t>
        </is>
      </c>
    </row>
    <row r="1671">
      <c r="A1671">
        <f>HYPERLINK("https://www.walmart.com/ip/622124362", "622124362")</f>
        <v/>
      </c>
      <c r="B1671">
        <f>HYPERLINK("https://app.optiwise.ai/catalog/itemdetails/361151", "Catalonia Sherpa Fleece Blanket for Bed, Super Soft  Plush Sofa Couch Throw Blanket, TV Bed Blanket, Comfy Cozy Fluffy Warm Comforter, Caring Gift(Wine, 60x80 inches)")</f>
        <v/>
      </c>
      <c r="C1671" t="inlineStr">
        <is>
          <t>1CTBF368WN</t>
        </is>
      </c>
      <c r="D1671" t="inlineStr">
        <is>
          <t>Bedding</t>
        </is>
      </c>
      <c r="E1671" t="inlineStr">
        <is>
          <t>Throws</t>
        </is>
      </c>
      <c r="F1671" t="inlineStr">
        <is>
          <t>Catalonia</t>
        </is>
      </c>
      <c r="G1671" t="n">
        <v>3.5</v>
      </c>
      <c r="H1671" t="n">
        <v>2</v>
      </c>
      <c r="I1671" t="inlineStr">
        <is>
          <t>WFS,WFS Item,Fleece Blankets</t>
        </is>
      </c>
      <c r="J1671" s="29" t="n">
        <v>0</v>
      </c>
      <c r="K1671" s="30" t="n"/>
      <c r="L1671" s="29" t="n">
        <v>0</v>
      </c>
      <c r="M1671" s="29" t="n">
        <v>0</v>
      </c>
      <c r="N1671" s="2" t="n">
        <v>0</v>
      </c>
      <c r="O1671" s="31" t="n">
        <v>0</v>
      </c>
      <c r="P1671" s="32" t="n"/>
      <c r="Q1671" s="32" t="n">
        <v>0</v>
      </c>
      <c r="R1671" s="32" t="n">
        <v>0</v>
      </c>
      <c r="S1671" s="31" t="n">
        <v>0</v>
      </c>
      <c r="T1671" s="32" t="n">
        <v>0</v>
      </c>
      <c r="U1671" s="31" t="n">
        <v>0</v>
      </c>
      <c r="V1671" s="31" t="n">
        <v>0</v>
      </c>
      <c r="W1671" s="3" t="n">
        <v>0</v>
      </c>
      <c r="X1671" s="3" t="n">
        <v>0</v>
      </c>
      <c r="Y1671" s="32" t="n">
        <v>0</v>
      </c>
      <c r="Z1671" s="3" t="n">
        <v>0</v>
      </c>
      <c r="AA1671" s="32" t="n">
        <v>0</v>
      </c>
      <c r="AB1671" s="3" t="n"/>
      <c r="AC1671" s="31" t="n">
        <v>0</v>
      </c>
      <c r="AD1671" s="2" t="n">
        <v>0</v>
      </c>
      <c r="AE1671" s="2" t="n">
        <v>4</v>
      </c>
      <c r="AF1671" s="4" t="n">
        <v>4</v>
      </c>
      <c r="AG1671" s="33" t="n">
        <v>0</v>
      </c>
      <c r="AH1671" s="4" t="n">
        <v>0</v>
      </c>
      <c r="AI1671" s="34" t="n"/>
      <c r="AJ1671" s="34" t="n">
        <v>0</v>
      </c>
      <c r="AK1671" s="2" t="n">
        <v>0</v>
      </c>
      <c r="AL1671" t="inlineStr">
        <is>
          <t>Published</t>
        </is>
      </c>
    </row>
    <row r="1672">
      <c r="A1672">
        <f>HYPERLINK("https://www.walmart.com/ip/563027004", "563027004")</f>
        <v/>
      </c>
      <c r="B1672">
        <f>HYPERLINK("https://app.optiwise.ai/catalog/itemdetails/361154", "sun blocker women's sun hat upf 50+ bucket cap packable outdoor travel hat")</f>
        <v/>
      </c>
      <c r="C1672" t="inlineStr">
        <is>
          <t>KC-S9200-PK</t>
        </is>
      </c>
      <c r="D1672" t="inlineStr">
        <is>
          <t>Clothing</t>
        </is>
      </c>
      <c r="E1672" t="inlineStr">
        <is>
          <t>Hats</t>
        </is>
      </c>
      <c r="F1672" t="inlineStr">
        <is>
          <t>Sun Blocker</t>
        </is>
      </c>
      <c r="G1672" t="n">
        <v>4.7</v>
      </c>
      <c r="H1672" t="n">
        <v>24</v>
      </c>
      <c r="I1672" t="inlineStr">
        <is>
          <t>Batch 1 - TR</t>
        </is>
      </c>
      <c r="J1672" s="29" t="n">
        <v>0</v>
      </c>
      <c r="K1672" s="30" t="n"/>
      <c r="L1672" s="29" t="n">
        <v>9.989999771118164</v>
      </c>
      <c r="M1672" s="29" t="n">
        <v>0</v>
      </c>
      <c r="N1672" s="2" t="n">
        <v>0</v>
      </c>
      <c r="O1672" s="31" t="n">
        <v>0</v>
      </c>
      <c r="P1672" s="32" t="n"/>
      <c r="Q1672" s="32" t="n">
        <v>0</v>
      </c>
      <c r="R1672" s="32" t="n">
        <v>0</v>
      </c>
      <c r="S1672" s="31" t="n">
        <v>0</v>
      </c>
      <c r="T1672" s="32" t="n">
        <v>0</v>
      </c>
      <c r="U1672" s="31" t="n">
        <v>0</v>
      </c>
      <c r="V1672" s="31" t="n">
        <v>0</v>
      </c>
      <c r="W1672" s="3" t="n">
        <v>0</v>
      </c>
      <c r="X1672" s="3" t="n">
        <v>0</v>
      </c>
      <c r="Y1672" s="32" t="n">
        <v>0</v>
      </c>
      <c r="Z1672" s="3" t="n">
        <v>0</v>
      </c>
      <c r="AA1672" s="32" t="n">
        <v>0</v>
      </c>
      <c r="AB1672" s="3" t="n"/>
      <c r="AC1672" s="31" t="n">
        <v>0</v>
      </c>
      <c r="AD1672" s="2" t="n">
        <v>0</v>
      </c>
      <c r="AE1672" s="2" t="n">
        <v>19</v>
      </c>
      <c r="AF1672" s="4" t="n">
        <v>19</v>
      </c>
      <c r="AG1672" s="33" t="n">
        <v>0</v>
      </c>
      <c r="AH1672" s="4" t="n">
        <v>0</v>
      </c>
      <c r="AI1672" s="34" t="n"/>
      <c r="AJ1672" s="34" t="n">
        <v>0</v>
      </c>
      <c r="AK1672" s="2" t="n">
        <v>0</v>
      </c>
      <c r="AL1672" t="inlineStr">
        <is>
          <t>Published</t>
        </is>
      </c>
    </row>
    <row r="1673">
      <c r="A1673">
        <f>HYPERLINK("https://www.walmart.com/ip/215534410", "215534410")</f>
        <v/>
      </c>
      <c r="B1673">
        <f>HYPERLINK("https://app.optiwise.ai/catalog/itemdetails/361224", "Wearable Blanket with Sleeves and Kangaroo Pocket for Adult Soft Warm Comfy Throws Wrap Robe Blanket in Latte.")</f>
        <v/>
      </c>
      <c r="C1673" t="inlineStr">
        <is>
          <t>1CTSN200LT</t>
        </is>
      </c>
      <c r="D1673" t="inlineStr">
        <is>
          <t>Bedding</t>
        </is>
      </c>
      <c r="E1673" t="inlineStr">
        <is>
          <t>Throws</t>
        </is>
      </c>
      <c r="F1673" t="inlineStr">
        <is>
          <t>Catalonia</t>
        </is>
      </c>
      <c r="G1673" t="n">
        <v>0</v>
      </c>
      <c r="H1673" t="n">
        <v>0</v>
      </c>
      <c r="I1673" t="inlineStr">
        <is>
          <t>Coupon_Discount</t>
        </is>
      </c>
      <c r="J1673" s="29" t="n">
        <v>0</v>
      </c>
      <c r="K1673" s="30" t="n"/>
      <c r="L1673" s="29" t="n">
        <v>0</v>
      </c>
      <c r="M1673" s="29" t="n">
        <v>0</v>
      </c>
      <c r="N1673" s="2" t="n">
        <v>0</v>
      </c>
      <c r="O1673" s="31" t="n">
        <v>0</v>
      </c>
      <c r="P1673" s="32" t="n"/>
      <c r="Q1673" s="32" t="n">
        <v>0</v>
      </c>
      <c r="R1673" s="32" t="n">
        <v>0</v>
      </c>
      <c r="S1673" s="31" t="n">
        <v>0</v>
      </c>
      <c r="T1673" s="32" t="n">
        <v>0</v>
      </c>
      <c r="U1673" s="31" t="n">
        <v>0</v>
      </c>
      <c r="V1673" s="31" t="n">
        <v>0</v>
      </c>
      <c r="W1673" s="3" t="n">
        <v>0</v>
      </c>
      <c r="X1673" s="3" t="n">
        <v>0</v>
      </c>
      <c r="Y1673" s="32" t="n">
        <v>0</v>
      </c>
      <c r="Z1673" s="3" t="n">
        <v>0</v>
      </c>
      <c r="AA1673" s="32" t="n">
        <v>0</v>
      </c>
      <c r="AB1673" s="3" t="n"/>
      <c r="AC1673" s="31" t="n">
        <v>0</v>
      </c>
      <c r="AD1673" s="2" t="n">
        <v>0</v>
      </c>
      <c r="AE1673" s="2" t="n">
        <v>0</v>
      </c>
      <c r="AF1673" s="4" t="n">
        <v>0</v>
      </c>
      <c r="AG1673" s="33" t="n">
        <v>0</v>
      </c>
      <c r="AH1673" s="4" t="n">
        <v>0</v>
      </c>
      <c r="AI1673" s="34" t="n"/>
      <c r="AJ1673" s="34" t="n">
        <v>0</v>
      </c>
      <c r="AK1673" s="2" t="n">
        <v>0</v>
      </c>
      <c r="AL1673" t="inlineStr">
        <is>
          <t>Published</t>
        </is>
      </c>
    </row>
    <row r="1674">
      <c r="A1674">
        <f>HYPERLINK("https://www.walmart.com/ip/705345484", "705345484")</f>
        <v/>
      </c>
      <c r="B1674">
        <f>HYPERLINK("https://app.optiwise.ai/catalog/itemdetails/361184", "Catalonia Microfiber Plush Blanket for Couch and Bed, Holiday Theme Sherpa Fleece Throw Christmas Gift Blanket | Super Soft, Comfy, Cozy, Fluffy, Warm | 90x90 inch, Camel")</f>
        <v/>
      </c>
      <c r="C1674" t="inlineStr">
        <is>
          <t>1CTBF399CA</t>
        </is>
      </c>
      <c r="D1674" t="inlineStr">
        <is>
          <t>Bedding</t>
        </is>
      </c>
      <c r="E1674" t="inlineStr">
        <is>
          <t>Throws</t>
        </is>
      </c>
      <c r="F1674" t="inlineStr">
        <is>
          <t>Catalonia</t>
        </is>
      </c>
      <c r="G1674" t="n">
        <v>5</v>
      </c>
      <c r="H1674" t="n">
        <v>3</v>
      </c>
      <c r="I1674" t="inlineStr">
        <is>
          <t>Q2-Target,WFS,Coupon_Discount,WFS Item</t>
        </is>
      </c>
      <c r="J1674" s="29" t="n">
        <v>0</v>
      </c>
      <c r="K1674" s="30" t="n"/>
      <c r="L1674" s="29" t="n">
        <v>0</v>
      </c>
      <c r="M1674" s="29" t="n">
        <v>0</v>
      </c>
      <c r="N1674" s="2" t="n">
        <v>0</v>
      </c>
      <c r="O1674" s="31" t="n">
        <v>0</v>
      </c>
      <c r="P1674" s="32" t="n"/>
      <c r="Q1674" s="32" t="n">
        <v>0</v>
      </c>
      <c r="R1674" s="32" t="n">
        <v>0</v>
      </c>
      <c r="S1674" s="31" t="n">
        <v>0</v>
      </c>
      <c r="T1674" s="32" t="n">
        <v>0</v>
      </c>
      <c r="U1674" s="31" t="n">
        <v>0</v>
      </c>
      <c r="V1674" s="31" t="n">
        <v>0</v>
      </c>
      <c r="W1674" s="3" t="n">
        <v>0</v>
      </c>
      <c r="X1674" s="3" t="n">
        <v>0</v>
      </c>
      <c r="Y1674" s="32" t="n">
        <v>0</v>
      </c>
      <c r="Z1674" s="3" t="n">
        <v>0</v>
      </c>
      <c r="AA1674" s="32" t="n">
        <v>0</v>
      </c>
      <c r="AB1674" s="3" t="n"/>
      <c r="AC1674" s="31" t="n">
        <v>0</v>
      </c>
      <c r="AD1674" s="2" t="n">
        <v>0</v>
      </c>
      <c r="AE1674" s="2" t="n">
        <v>19</v>
      </c>
      <c r="AF1674" s="4" t="n">
        <v>19</v>
      </c>
      <c r="AG1674" s="33" t="n">
        <v>0</v>
      </c>
      <c r="AH1674" s="4" t="n">
        <v>0</v>
      </c>
      <c r="AI1674" s="34" t="n"/>
      <c r="AJ1674" s="34" t="n">
        <v>0</v>
      </c>
      <c r="AK1674" s="2" t="n">
        <v>0</v>
      </c>
      <c r="AL1674" t="inlineStr">
        <is>
          <t>Published</t>
        </is>
      </c>
    </row>
    <row r="1675">
      <c r="A1675">
        <f>HYPERLINK("https://www.walmart.com/ip/153765024", "153765024")</f>
        <v/>
      </c>
      <c r="B1675">
        <f>HYPERLINK("https://app.optiwise.ai/catalog/itemdetails/361219", "JenniWears Women Beileise Sexy Garter Belt Suspender - 3 Packs")</f>
        <v/>
      </c>
      <c r="C1675" t="inlineStr">
        <is>
          <t>JWBLSPH5002-3pcs</t>
        </is>
      </c>
      <c r="D1675" t="inlineStr">
        <is>
          <t>Clothing</t>
        </is>
      </c>
      <c r="E1675" t="inlineStr">
        <is>
          <t>Garter Belts</t>
        </is>
      </c>
      <c r="F1675" t="inlineStr">
        <is>
          <t>JenniWears</t>
        </is>
      </c>
      <c r="G1675" t="n">
        <v>0</v>
      </c>
      <c r="H1675" t="n">
        <v>0</v>
      </c>
      <c r="I1675" t="inlineStr">
        <is>
          <t>Optimized,Valentine</t>
        </is>
      </c>
      <c r="J1675" s="29" t="n">
        <v>0</v>
      </c>
      <c r="K1675" s="30" t="n"/>
      <c r="L1675" s="29" t="n">
        <v>0</v>
      </c>
      <c r="M1675" s="29" t="n">
        <v>0</v>
      </c>
      <c r="N1675" s="2" t="n">
        <v>0</v>
      </c>
      <c r="O1675" s="31" t="n">
        <v>0</v>
      </c>
      <c r="P1675" s="32" t="n"/>
      <c r="Q1675" s="32" t="n">
        <v>0</v>
      </c>
      <c r="R1675" s="32" t="n">
        <v>0</v>
      </c>
      <c r="S1675" s="31" t="n">
        <v>0</v>
      </c>
      <c r="T1675" s="32" t="n">
        <v>0</v>
      </c>
      <c r="U1675" s="31" t="n">
        <v>0</v>
      </c>
      <c r="V1675" s="31" t="n">
        <v>0</v>
      </c>
      <c r="W1675" s="3" t="n">
        <v>0</v>
      </c>
      <c r="X1675" s="3" t="n">
        <v>0</v>
      </c>
      <c r="Y1675" s="32" t="n">
        <v>0</v>
      </c>
      <c r="Z1675" s="3" t="n">
        <v>0</v>
      </c>
      <c r="AA1675" s="32" t="n">
        <v>0</v>
      </c>
      <c r="AB1675" s="3" t="n"/>
      <c r="AC1675" s="31" t="n">
        <v>0</v>
      </c>
      <c r="AD1675" s="2" t="n">
        <v>0</v>
      </c>
      <c r="AE1675" s="2" t="n">
        <v>3</v>
      </c>
      <c r="AF1675" s="4" t="n">
        <v>3</v>
      </c>
      <c r="AG1675" s="33" t="n">
        <v>0</v>
      </c>
      <c r="AH1675" s="4" t="n">
        <v>0</v>
      </c>
      <c r="AI1675" s="34" t="n"/>
      <c r="AJ1675" s="34" t="n">
        <v>0</v>
      </c>
      <c r="AK1675" s="2" t="n">
        <v>0</v>
      </c>
      <c r="AL1675" t="inlineStr">
        <is>
          <t>Published</t>
        </is>
      </c>
    </row>
    <row r="1676">
      <c r="A1676">
        <f>HYPERLINK("https://www.walmart.com/ip/197385546", "197385546")</f>
        <v/>
      </c>
      <c r="B1676">
        <f>HYPERLINK("https://app.optiwise.ai/catalog/itemdetails/361218", "KC Caps® Cotton Twill Deluxe Super Soft Mesh Adjustable Snapback Low Profile Trucker Baseball Cap")</f>
        <v/>
      </c>
      <c r="C1676" t="inlineStr">
        <is>
          <t>KCCAPSSZK641FG/ST</t>
        </is>
      </c>
      <c r="D1676" t="inlineStr">
        <is>
          <t>Clothing</t>
        </is>
      </c>
      <c r="E1676" t="inlineStr">
        <is>
          <t>Hats</t>
        </is>
      </c>
      <c r="F1676" t="inlineStr">
        <is>
          <t>KC Caps</t>
        </is>
      </c>
      <c r="G1676" t="n">
        <v>0</v>
      </c>
      <c r="H1676" t="n">
        <v>0</v>
      </c>
      <c r="I1676" t="inlineStr">
        <is>
          <t>Optimized</t>
        </is>
      </c>
      <c r="J1676" s="29" t="n">
        <v>0</v>
      </c>
      <c r="K1676" s="30" t="n"/>
      <c r="L1676" s="29" t="n">
        <v>0</v>
      </c>
      <c r="M1676" s="29" t="n">
        <v>0</v>
      </c>
      <c r="N1676" s="2" t="n">
        <v>0</v>
      </c>
      <c r="O1676" s="31" t="n">
        <v>0</v>
      </c>
      <c r="P1676" s="32" t="n"/>
      <c r="Q1676" s="32" t="n">
        <v>0</v>
      </c>
      <c r="R1676" s="32" t="n">
        <v>0</v>
      </c>
      <c r="S1676" s="31" t="n">
        <v>0</v>
      </c>
      <c r="T1676" s="32" t="n">
        <v>0</v>
      </c>
      <c r="U1676" s="31" t="n">
        <v>0</v>
      </c>
      <c r="V1676" s="31" t="n">
        <v>0</v>
      </c>
      <c r="W1676" s="3" t="n">
        <v>0</v>
      </c>
      <c r="X1676" s="3" t="n">
        <v>0</v>
      </c>
      <c r="Y1676" s="32" t="n">
        <v>0</v>
      </c>
      <c r="Z1676" s="3" t="n">
        <v>0</v>
      </c>
      <c r="AA1676" s="32" t="n">
        <v>0</v>
      </c>
      <c r="AB1676" s="3" t="n"/>
      <c r="AC1676" s="31" t="n">
        <v>0</v>
      </c>
      <c r="AD1676" s="2" t="n">
        <v>0</v>
      </c>
      <c r="AE1676" s="2" t="n">
        <v>2</v>
      </c>
      <c r="AF1676" s="4" t="n">
        <v>2</v>
      </c>
      <c r="AG1676" s="33" t="n">
        <v>0</v>
      </c>
      <c r="AH1676" s="4" t="n">
        <v>0</v>
      </c>
      <c r="AI1676" s="34" t="n"/>
      <c r="AJ1676" s="34" t="n">
        <v>0</v>
      </c>
      <c r="AK1676" s="2" t="n">
        <v>0</v>
      </c>
      <c r="AL1676" t="inlineStr">
        <is>
          <t>Published</t>
        </is>
      </c>
    </row>
    <row r="1677">
      <c r="A1677">
        <f>HYPERLINK("https://www.walmart.com/ip/981535425", "981535425")</f>
        <v/>
      </c>
      <c r="B1677">
        <f>HYPERLINK("https://app.optiwise.ai/catalog/itemdetails/361215", "Flyingstar Sherpa Throws Blanket, Fleece Soft Cozy Blanket Throws for Sofa Bed 50x60")</f>
        <v/>
      </c>
      <c r="C1677" t="inlineStr">
        <is>
          <t>1WMBF571SNOWMAN</t>
        </is>
      </c>
      <c r="D1677" t="inlineStr">
        <is>
          <t>Bedding</t>
        </is>
      </c>
      <c r="E1677" t="inlineStr">
        <is>
          <t>Throws</t>
        </is>
      </c>
      <c r="F1677" t="inlineStr">
        <is>
          <t>Flyingstar</t>
        </is>
      </c>
      <c r="G1677" t="n">
        <v>0</v>
      </c>
      <c r="H1677" t="n">
        <v>0</v>
      </c>
      <c r="I1677" t="inlineStr">
        <is>
          <t>Christmas,Optimized</t>
        </is>
      </c>
      <c r="J1677" s="29" t="n">
        <v>0</v>
      </c>
      <c r="K1677" s="30" t="n"/>
      <c r="L1677" s="29" t="n">
        <v>0</v>
      </c>
      <c r="M1677" s="29" t="n">
        <v>0</v>
      </c>
      <c r="N1677" s="2" t="n">
        <v>0</v>
      </c>
      <c r="O1677" s="31" t="n">
        <v>0</v>
      </c>
      <c r="P1677" s="32" t="n"/>
      <c r="Q1677" s="32" t="n">
        <v>0</v>
      </c>
      <c r="R1677" s="32" t="n">
        <v>0</v>
      </c>
      <c r="S1677" s="31" t="n">
        <v>0</v>
      </c>
      <c r="T1677" s="32" t="n">
        <v>0</v>
      </c>
      <c r="U1677" s="31" t="n">
        <v>0</v>
      </c>
      <c r="V1677" s="31" t="n">
        <v>0</v>
      </c>
      <c r="W1677" s="3" t="n">
        <v>0</v>
      </c>
      <c r="X1677" s="3" t="n">
        <v>0</v>
      </c>
      <c r="Y1677" s="32" t="n">
        <v>0</v>
      </c>
      <c r="Z1677" s="3" t="n">
        <v>0</v>
      </c>
      <c r="AA1677" s="32" t="n">
        <v>0</v>
      </c>
      <c r="AB1677" s="3" t="n"/>
      <c r="AC1677" s="31" t="n">
        <v>0</v>
      </c>
      <c r="AD1677" s="2" t="n">
        <v>0</v>
      </c>
      <c r="AE1677" s="2" t="n">
        <v>1</v>
      </c>
      <c r="AF1677" s="4" t="n">
        <v>1</v>
      </c>
      <c r="AG1677" s="33" t="n">
        <v>0</v>
      </c>
      <c r="AH1677" s="4" t="n">
        <v>0</v>
      </c>
      <c r="AI1677" s="34" t="n"/>
      <c r="AJ1677" s="34" t="n">
        <v>0</v>
      </c>
      <c r="AK1677" s="2" t="n">
        <v>0</v>
      </c>
      <c r="AL1677" t="inlineStr">
        <is>
          <t>Published</t>
        </is>
      </c>
    </row>
    <row r="1678">
      <c r="A1678">
        <f>HYPERLINK("https://www.walmart.com/ip/879065777", "879065777")</f>
        <v/>
      </c>
      <c r="B1678">
        <f>HYPERLINK("https://app.optiwise.ai/catalog/itemdetails/361209", "Tirrinia Insulated Wine Carrier Tote - Travel Padded 2 Bottle Wine/ Champagne Cooler Bag with Handle and Adjustable Shoulder Strap + Free Corkscrew, Great Wine Lover Gift, White")</f>
        <v/>
      </c>
      <c r="C1678" t="inlineStr">
        <is>
          <t>1KTWB210WTX</t>
        </is>
      </c>
      <c r="D1678" t="inlineStr">
        <is>
          <t>Home Decor, Kitchen, &amp; Other</t>
        </is>
      </c>
      <c r="E1678" t="inlineStr">
        <is>
          <t>Wine Totes, Bags &amp; Backpacks</t>
        </is>
      </c>
      <c r="F1678" t="inlineStr">
        <is>
          <t>Tirrinia</t>
        </is>
      </c>
      <c r="G1678" t="n">
        <v>4.4</v>
      </c>
      <c r="H1678" t="n">
        <v>7</v>
      </c>
      <c r="I1678" t="inlineStr">
        <is>
          <t>Wine,Wine WFS,Batch 1 - TR,Lily Brand Camp</t>
        </is>
      </c>
      <c r="J1678" s="29" t="n">
        <v>0</v>
      </c>
      <c r="K1678" s="30" t="n"/>
      <c r="L1678" s="29" t="n">
        <v>0</v>
      </c>
      <c r="M1678" s="29" t="n">
        <v>0</v>
      </c>
      <c r="N1678" s="2" t="n">
        <v>0</v>
      </c>
      <c r="O1678" s="31" t="n">
        <v>4.58</v>
      </c>
      <c r="P1678" s="32" t="n">
        <v>0.0005</v>
      </c>
      <c r="Q1678" s="32" t="n">
        <v>0</v>
      </c>
      <c r="R1678" s="32" t="n">
        <v>0.0272</v>
      </c>
      <c r="S1678" s="31" t="n">
        <v>0</v>
      </c>
      <c r="T1678" s="32" t="n">
        <v>0</v>
      </c>
      <c r="U1678" s="31" t="n">
        <v>0</v>
      </c>
      <c r="V1678" s="31" t="n">
        <v>0</v>
      </c>
      <c r="W1678" s="3" t="n">
        <v>7972</v>
      </c>
      <c r="X1678" s="3" t="n">
        <v>9</v>
      </c>
      <c r="Y1678" s="32" t="n">
        <v>0.0011</v>
      </c>
      <c r="Z1678" s="3" t="n">
        <v>0</v>
      </c>
      <c r="AA1678" s="32" t="n">
        <v>0</v>
      </c>
      <c r="AB1678" s="3" t="inlineStr">
        <is>
          <t>Auto Campaign_Vinay</t>
        </is>
      </c>
      <c r="AC1678" s="31" t="n">
        <v>0.51</v>
      </c>
      <c r="AD1678" s="2" t="n">
        <v>8</v>
      </c>
      <c r="AE1678" s="2" t="n">
        <v>29</v>
      </c>
      <c r="AF1678" s="4" t="n">
        <v>20</v>
      </c>
      <c r="AG1678" s="33" t="n">
        <v>0</v>
      </c>
      <c r="AH1678" s="4" t="n">
        <v>0</v>
      </c>
      <c r="AI1678" s="34" t="n"/>
      <c r="AJ1678" s="34" t="n">
        <v>0</v>
      </c>
      <c r="AK1678" s="2" t="n">
        <v>0</v>
      </c>
      <c r="AL1678" t="inlineStr">
        <is>
          <t>Published</t>
        </is>
      </c>
    </row>
    <row r="1679">
      <c r="A1679">
        <f>HYPERLINK("https://www.walmart.com/ip/802408755", "802408755")</f>
        <v/>
      </c>
      <c r="B1679">
        <f>HYPERLINK("https://app.optiwise.ai/catalog/itemdetails/361197", "KC Caps® Realtree Mesh Baseball Cap Outdoor Sports Embroidery Duck Hunting Hat")</f>
        <v/>
      </c>
      <c r="C1679" t="inlineStr">
        <is>
          <t>KC Caps HT02</t>
        </is>
      </c>
      <c r="D1679" t="inlineStr">
        <is>
          <t>Clothing</t>
        </is>
      </c>
      <c r="E1679" t="inlineStr">
        <is>
          <t>Hats</t>
        </is>
      </c>
      <c r="F1679" t="inlineStr">
        <is>
          <t>KC Caps</t>
        </is>
      </c>
      <c r="G1679" t="n">
        <v>0</v>
      </c>
      <c r="H1679" t="n">
        <v>0</v>
      </c>
      <c r="I1679" t="inlineStr">
        <is>
          <t>Optimized</t>
        </is>
      </c>
      <c r="J1679" s="29" t="n">
        <v>0</v>
      </c>
      <c r="K1679" s="30" t="n"/>
      <c r="L1679" s="29" t="n">
        <v>0</v>
      </c>
      <c r="M1679" s="29" t="n">
        <v>0</v>
      </c>
      <c r="N1679" s="2" t="n">
        <v>0</v>
      </c>
      <c r="O1679" s="31" t="n">
        <v>0</v>
      </c>
      <c r="P1679" s="32" t="n"/>
      <c r="Q1679" s="32" t="n">
        <v>0</v>
      </c>
      <c r="R1679" s="32" t="n">
        <v>0</v>
      </c>
      <c r="S1679" s="31" t="n">
        <v>0</v>
      </c>
      <c r="T1679" s="32" t="n">
        <v>0</v>
      </c>
      <c r="U1679" s="31" t="n">
        <v>0</v>
      </c>
      <c r="V1679" s="31" t="n">
        <v>0</v>
      </c>
      <c r="W1679" s="3" t="n">
        <v>0</v>
      </c>
      <c r="X1679" s="3" t="n">
        <v>0</v>
      </c>
      <c r="Y1679" s="32" t="n">
        <v>0</v>
      </c>
      <c r="Z1679" s="3" t="n">
        <v>0</v>
      </c>
      <c r="AA1679" s="32" t="n">
        <v>0</v>
      </c>
      <c r="AB1679" s="3" t="n"/>
      <c r="AC1679" s="31" t="n">
        <v>0</v>
      </c>
      <c r="AD1679" s="2" t="n">
        <v>0</v>
      </c>
      <c r="AE1679" s="2" t="n">
        <v>5</v>
      </c>
      <c r="AF1679" s="4" t="n">
        <v>5</v>
      </c>
      <c r="AG1679" s="33" t="n">
        <v>0</v>
      </c>
      <c r="AH1679" s="4" t="n">
        <v>0</v>
      </c>
      <c r="AI1679" s="34" t="n"/>
      <c r="AJ1679" s="34" t="n">
        <v>0</v>
      </c>
      <c r="AK1679" s="2" t="n">
        <v>0</v>
      </c>
      <c r="AL1679" t="inlineStr">
        <is>
          <t>Published</t>
        </is>
      </c>
    </row>
    <row r="1680">
      <c r="A1680">
        <f>HYPERLINK("https://www.walmart.com/ip/772250682", "772250682")</f>
        <v/>
      </c>
      <c r="B1680">
        <f>HYPERLINK("https://app.optiwise.ai/catalog/itemdetails/361195", "Napa Plush  Throw Blanket Dark Blue, 90x90 Queen/Full, Striped Reversible Velvet Luxury Fleece Warm Bed Couch Blanket, Super Soft and Cozy")</f>
        <v/>
      </c>
      <c r="C1680" t="inlineStr">
        <is>
          <t>K8030QF-DBL</t>
        </is>
      </c>
      <c r="D1680" t="inlineStr">
        <is>
          <t>Bedding</t>
        </is>
      </c>
      <c r="E1680" t="inlineStr">
        <is>
          <t>Throws</t>
        </is>
      </c>
      <c r="F1680" t="inlineStr">
        <is>
          <t>NAPA</t>
        </is>
      </c>
      <c r="G1680" t="n">
        <v>0</v>
      </c>
      <c r="H1680" t="n">
        <v>0</v>
      </c>
      <c r="I1680" t="inlineStr">
        <is>
          <t>Optimized</t>
        </is>
      </c>
      <c r="J1680" s="29" t="n">
        <v>0</v>
      </c>
      <c r="K1680" s="30" t="n"/>
      <c r="L1680" s="29" t="n">
        <v>0</v>
      </c>
      <c r="M1680" s="29" t="n">
        <v>0</v>
      </c>
      <c r="N1680" s="2" t="n">
        <v>0</v>
      </c>
      <c r="O1680" s="31" t="n">
        <v>0</v>
      </c>
      <c r="P1680" s="32" t="n"/>
      <c r="Q1680" s="32" t="n">
        <v>0</v>
      </c>
      <c r="R1680" s="32" t="n">
        <v>0</v>
      </c>
      <c r="S1680" s="31" t="n">
        <v>0</v>
      </c>
      <c r="T1680" s="32" t="n">
        <v>0</v>
      </c>
      <c r="U1680" s="31" t="n">
        <v>0</v>
      </c>
      <c r="V1680" s="31" t="n">
        <v>0</v>
      </c>
      <c r="W1680" s="3" t="n">
        <v>0</v>
      </c>
      <c r="X1680" s="3" t="n">
        <v>0</v>
      </c>
      <c r="Y1680" s="32" t="n">
        <v>0</v>
      </c>
      <c r="Z1680" s="3" t="n">
        <v>0</v>
      </c>
      <c r="AA1680" s="32" t="n">
        <v>0</v>
      </c>
      <c r="AB1680" s="3" t="n"/>
      <c r="AC1680" s="31" t="n">
        <v>0</v>
      </c>
      <c r="AD1680" s="2" t="n">
        <v>0</v>
      </c>
      <c r="AE1680" s="2" t="n">
        <v>14</v>
      </c>
      <c r="AF1680" s="4" t="n">
        <v>14</v>
      </c>
      <c r="AG1680" s="33" t="n">
        <v>0</v>
      </c>
      <c r="AH1680" s="4" t="n">
        <v>0</v>
      </c>
      <c r="AI1680" s="34" t="n"/>
      <c r="AJ1680" s="34" t="n">
        <v>0</v>
      </c>
      <c r="AK1680" s="2" t="n">
        <v>0</v>
      </c>
      <c r="AL1680" t="inlineStr">
        <is>
          <t>Published</t>
        </is>
      </c>
    </row>
    <row r="1681">
      <c r="A1681">
        <f>HYPERLINK("https://www.walmart.com/ip/118001985", "118001985")</f>
        <v/>
      </c>
      <c r="B1681">
        <f>HYPERLINK("https://app.optiwise.ai/catalog/itemdetails/361194", "Tirrinia Women Tankini Swimsuit Flyaway Swimdress Top Two Pieces Bathing Suits Set, Black, X Large")</f>
        <v/>
      </c>
      <c r="C1681" t="inlineStr">
        <is>
          <t>1TRSS006BKBK-XL</t>
        </is>
      </c>
      <c r="D1681" t="inlineStr">
        <is>
          <t>Clothing</t>
        </is>
      </c>
      <c r="E1681" t="inlineStr">
        <is>
          <t>Swimsuit Sets</t>
        </is>
      </c>
      <c r="F1681" t="inlineStr">
        <is>
          <t>Tirrinia</t>
        </is>
      </c>
      <c r="G1681" t="n">
        <v>0</v>
      </c>
      <c r="H1681" t="n">
        <v>0</v>
      </c>
      <c r="I1681" t="inlineStr">
        <is>
          <t>Batch 1 - TR</t>
        </is>
      </c>
      <c r="J1681" s="29" t="n">
        <v>0</v>
      </c>
      <c r="K1681" s="30" t="n"/>
      <c r="L1681" s="29" t="n">
        <v>0</v>
      </c>
      <c r="M1681" s="29" t="n">
        <v>0</v>
      </c>
      <c r="N1681" s="2" t="n">
        <v>0</v>
      </c>
      <c r="O1681" s="31" t="n">
        <v>0</v>
      </c>
      <c r="P1681" s="32" t="n"/>
      <c r="Q1681" s="32" t="n">
        <v>0</v>
      </c>
      <c r="R1681" s="32" t="n">
        <v>0</v>
      </c>
      <c r="S1681" s="31" t="n">
        <v>0</v>
      </c>
      <c r="T1681" s="32" t="n">
        <v>0</v>
      </c>
      <c r="U1681" s="31" t="n">
        <v>0</v>
      </c>
      <c r="V1681" s="31" t="n">
        <v>0</v>
      </c>
      <c r="W1681" s="3" t="n">
        <v>0</v>
      </c>
      <c r="X1681" s="3" t="n">
        <v>0</v>
      </c>
      <c r="Y1681" s="32" t="n">
        <v>0</v>
      </c>
      <c r="Z1681" s="3" t="n">
        <v>0</v>
      </c>
      <c r="AA1681" s="32" t="n">
        <v>0</v>
      </c>
      <c r="AB1681" s="3" t="n"/>
      <c r="AC1681" s="31" t="n">
        <v>0</v>
      </c>
      <c r="AD1681" s="2" t="n">
        <v>0</v>
      </c>
      <c r="AE1681" s="2" t="n">
        <v>0</v>
      </c>
      <c r="AF1681" s="4" t="n">
        <v>0</v>
      </c>
      <c r="AG1681" s="33" t="n">
        <v>0</v>
      </c>
      <c r="AH1681" s="4" t="n">
        <v>0</v>
      </c>
      <c r="AI1681" s="34" t="n"/>
      <c r="AJ1681" s="34" t="n">
        <v>0</v>
      </c>
      <c r="AK1681" s="2" t="n">
        <v>0</v>
      </c>
      <c r="AL1681" t="inlineStr">
        <is>
          <t>Published</t>
        </is>
      </c>
    </row>
    <row r="1682">
      <c r="A1682">
        <f>HYPERLINK("https://www.walmart.com/ip/276127615", "276127615")</f>
        <v/>
      </c>
      <c r="B1682">
        <f>HYPERLINK("https://app.optiwise.ai/catalog/itemdetails/361193", "Kato Outdoor Wine Picnic Folding Portable Bamboo Table 17 x 12.6, Camping with Glasses &amp;amp; Bottle Holder for Concerts at Park beach")</f>
        <v/>
      </c>
      <c r="C1682" t="inlineStr">
        <is>
          <t>1TRPT200</t>
        </is>
      </c>
      <c r="D1682" t="inlineStr">
        <is>
          <t>Home Decor, Kitchen, &amp; Other</t>
        </is>
      </c>
      <c r="E1682" t="inlineStr">
        <is>
          <t>Camping Tables</t>
        </is>
      </c>
      <c r="F1682" t="inlineStr">
        <is>
          <t>Tirrinia</t>
        </is>
      </c>
      <c r="G1682" t="n">
        <v>4.7</v>
      </c>
      <c r="H1682" t="n">
        <v>6</v>
      </c>
      <c r="I1682" t="inlineStr">
        <is>
          <t>Optimized,WFS,Valentine,WFS Item,AMZ Bestsellers</t>
        </is>
      </c>
      <c r="J1682" s="29" t="n">
        <v>0</v>
      </c>
      <c r="K1682" s="30" t="n"/>
      <c r="L1682" s="29" t="n">
        <v>0</v>
      </c>
      <c r="M1682" s="29" t="n">
        <v>0</v>
      </c>
      <c r="N1682" s="2" t="n">
        <v>0</v>
      </c>
      <c r="O1682" s="31" t="n">
        <v>0</v>
      </c>
      <c r="P1682" s="32" t="n"/>
      <c r="Q1682" s="32" t="n">
        <v>0</v>
      </c>
      <c r="R1682" s="32" t="n">
        <v>0</v>
      </c>
      <c r="S1682" s="31" t="n">
        <v>0</v>
      </c>
      <c r="T1682" s="32" t="n">
        <v>0</v>
      </c>
      <c r="U1682" s="31" t="n">
        <v>0</v>
      </c>
      <c r="V1682" s="31" t="n">
        <v>0</v>
      </c>
      <c r="W1682" s="3" t="n">
        <v>0</v>
      </c>
      <c r="X1682" s="3" t="n">
        <v>0</v>
      </c>
      <c r="Y1682" s="32" t="n">
        <v>0</v>
      </c>
      <c r="Z1682" s="3" t="n">
        <v>0</v>
      </c>
      <c r="AA1682" s="32" t="n">
        <v>0</v>
      </c>
      <c r="AB1682" s="3" t="n"/>
      <c r="AC1682" s="31" t="n">
        <v>0</v>
      </c>
      <c r="AD1682" s="2" t="n">
        <v>0</v>
      </c>
      <c r="AE1682" s="2" t="n">
        <v>48</v>
      </c>
      <c r="AF1682" s="4" t="n">
        <v>48</v>
      </c>
      <c r="AG1682" s="33" t="n">
        <v>0</v>
      </c>
      <c r="AH1682" s="4" t="n">
        <v>0</v>
      </c>
      <c r="AI1682" s="34" t="n"/>
      <c r="AJ1682" s="34" t="n">
        <v>0</v>
      </c>
      <c r="AK1682" s="2" t="n">
        <v>0</v>
      </c>
      <c r="AL1682" t="inlineStr">
        <is>
          <t>Published</t>
        </is>
      </c>
    </row>
    <row r="1683">
      <c r="A1683">
        <f>HYPERLINK("https://www.walmart.com/ip/159298222", "159298222")</f>
        <v/>
      </c>
      <c r="B1683">
        <f>HYPERLINK("https://app.optiwise.ai/catalog/itemdetails/361192", "Tirrinia Insulated 2 Bottle Wine Carrier Tote Cooler Bag for Travel Picnic Padded Champagne Glass")</f>
        <v/>
      </c>
      <c r="C1683" t="inlineStr">
        <is>
          <t>1WMWB230GY</t>
        </is>
      </c>
      <c r="D1683" t="inlineStr">
        <is>
          <t>Home Decor, Kitchen, &amp; Other</t>
        </is>
      </c>
      <c r="E1683" t="inlineStr">
        <is>
          <t>Wine Totes, Bags &amp; Backpacks</t>
        </is>
      </c>
      <c r="F1683" t="inlineStr">
        <is>
          <t>Flyingstar</t>
        </is>
      </c>
      <c r="G1683" t="n">
        <v>0</v>
      </c>
      <c r="H1683" t="n">
        <v>0</v>
      </c>
      <c r="I1683" t="inlineStr">
        <is>
          <t>Wine,Christmas,Valentine</t>
        </is>
      </c>
      <c r="J1683" s="29" t="n">
        <v>0</v>
      </c>
      <c r="K1683" s="30" t="n"/>
      <c r="L1683" s="29" t="n">
        <v>0</v>
      </c>
      <c r="M1683" s="29" t="n">
        <v>0</v>
      </c>
      <c r="N1683" s="2" t="n">
        <v>0</v>
      </c>
      <c r="O1683" s="31" t="n">
        <v>0</v>
      </c>
      <c r="P1683" s="32" t="n"/>
      <c r="Q1683" s="32" t="n">
        <v>0</v>
      </c>
      <c r="R1683" s="32" t="n">
        <v>0</v>
      </c>
      <c r="S1683" s="31" t="n">
        <v>0</v>
      </c>
      <c r="T1683" s="32" t="n">
        <v>0</v>
      </c>
      <c r="U1683" s="31" t="n">
        <v>0</v>
      </c>
      <c r="V1683" s="31" t="n">
        <v>0</v>
      </c>
      <c r="W1683" s="3" t="n">
        <v>0</v>
      </c>
      <c r="X1683" s="3" t="n">
        <v>0</v>
      </c>
      <c r="Y1683" s="32" t="n">
        <v>0</v>
      </c>
      <c r="Z1683" s="3" t="n">
        <v>0</v>
      </c>
      <c r="AA1683" s="32" t="n">
        <v>0</v>
      </c>
      <c r="AB1683" s="3" t="n"/>
      <c r="AC1683" s="31" t="n">
        <v>0</v>
      </c>
      <c r="AD1683" s="2" t="n">
        <v>0</v>
      </c>
      <c r="AE1683" s="2" t="n">
        <v>0</v>
      </c>
      <c r="AF1683" s="4" t="n">
        <v>0</v>
      </c>
      <c r="AG1683" s="33" t="n">
        <v>0</v>
      </c>
      <c r="AH1683" s="4" t="n">
        <v>0</v>
      </c>
      <c r="AI1683" s="34" t="n"/>
      <c r="AJ1683" s="34" t="n">
        <v>0</v>
      </c>
      <c r="AK1683" s="2" t="n">
        <v>0</v>
      </c>
      <c r="AL1683" t="inlineStr">
        <is>
          <t>Published</t>
        </is>
      </c>
    </row>
    <row r="1684">
      <c r="A1684">
        <f>HYPERLINK("https://www.walmart.com/ip/964410174", "964410174")</f>
        <v/>
      </c>
      <c r="B1684">
        <f>HYPERLINK("https://app.optiwise.ai/catalog/itemdetails/361190", "Wearable Lounging Blanket,Super Soft Warm Cozy Reversible Fuzzy,Extra Soft for Sofa Warm Blanket,Lightweight,Grey.")</f>
        <v/>
      </c>
      <c r="C1684" t="inlineStr">
        <is>
          <t>1CTSN201GY</t>
        </is>
      </c>
      <c r="D1684" t="inlineStr">
        <is>
          <t>Bedding</t>
        </is>
      </c>
      <c r="E1684" t="inlineStr">
        <is>
          <t>Throws</t>
        </is>
      </c>
      <c r="F1684" t="inlineStr">
        <is>
          <t>Catalonia</t>
        </is>
      </c>
      <c r="G1684" t="n">
        <v>0</v>
      </c>
      <c r="H1684" t="n">
        <v>0</v>
      </c>
      <c r="I1684" t="inlineStr">
        <is>
          <t>Q2-Target,Optimized,WFS,Valentine,Coupon_Discount,WFS Item</t>
        </is>
      </c>
      <c r="J1684" s="29" t="n">
        <v>0</v>
      </c>
      <c r="K1684" s="30" t="n"/>
      <c r="L1684" s="29" t="n">
        <v>0</v>
      </c>
      <c r="M1684" s="29" t="n">
        <v>0</v>
      </c>
      <c r="N1684" s="2" t="n">
        <v>0</v>
      </c>
      <c r="O1684" s="31" t="n">
        <v>0</v>
      </c>
      <c r="P1684" s="32" t="n"/>
      <c r="Q1684" s="32" t="n">
        <v>0</v>
      </c>
      <c r="R1684" s="32" t="n">
        <v>0</v>
      </c>
      <c r="S1684" s="31" t="n">
        <v>0</v>
      </c>
      <c r="T1684" s="32" t="n">
        <v>0</v>
      </c>
      <c r="U1684" s="31" t="n">
        <v>0</v>
      </c>
      <c r="V1684" s="31" t="n">
        <v>0</v>
      </c>
      <c r="W1684" s="3" t="n">
        <v>0</v>
      </c>
      <c r="X1684" s="3" t="n">
        <v>0</v>
      </c>
      <c r="Y1684" s="32" t="n">
        <v>0</v>
      </c>
      <c r="Z1684" s="3" t="n">
        <v>0</v>
      </c>
      <c r="AA1684" s="32" t="n">
        <v>0</v>
      </c>
      <c r="AB1684" s="3" t="n"/>
      <c r="AC1684" s="31" t="n">
        <v>0</v>
      </c>
      <c r="AD1684" s="2" t="n">
        <v>0</v>
      </c>
      <c r="AE1684" s="2" t="n">
        <v>8</v>
      </c>
      <c r="AF1684" s="4" t="n">
        <v>8</v>
      </c>
      <c r="AG1684" s="33" t="n">
        <v>0</v>
      </c>
      <c r="AH1684" s="4" t="n">
        <v>0</v>
      </c>
      <c r="AI1684" s="34" t="n"/>
      <c r="AJ1684" s="34" t="n">
        <v>0</v>
      </c>
      <c r="AK1684" s="2" t="n">
        <v>0</v>
      </c>
      <c r="AL1684" t="inlineStr">
        <is>
          <t>Published</t>
        </is>
      </c>
    </row>
    <row r="1685">
      <c r="A1685">
        <f>HYPERLINK("https://www.walmart.com/ip/181370792", "181370792")</f>
        <v/>
      </c>
      <c r="B1685">
        <f>HYPERLINK("https://app.optiwise.ai/catalog/itemdetails/361189", "KC Caps Unisex Youth Washed Cotton Fun Denim Bucket Hat for Women and Men, Blue")</f>
        <v/>
      </c>
      <c r="C1685" t="inlineStr">
        <is>
          <t>KC9180BL-Y</t>
        </is>
      </c>
      <c r="D1685" t="inlineStr">
        <is>
          <t>Clothing</t>
        </is>
      </c>
      <c r="E1685" t="inlineStr">
        <is>
          <t>Hats</t>
        </is>
      </c>
      <c r="F1685" t="inlineStr">
        <is>
          <t>KC Caps</t>
        </is>
      </c>
      <c r="G1685" t="n">
        <v>0</v>
      </c>
      <c r="H1685" t="n">
        <v>0</v>
      </c>
      <c r="I1685" t="inlineStr">
        <is>
          <t>Q2-Target,Batch 1 - TR</t>
        </is>
      </c>
      <c r="J1685" s="29" t="n">
        <v>0</v>
      </c>
      <c r="K1685" s="30" t="n"/>
      <c r="L1685" s="29" t="n">
        <v>0</v>
      </c>
      <c r="M1685" s="29" t="n">
        <v>0</v>
      </c>
      <c r="N1685" s="2" t="n">
        <v>0</v>
      </c>
      <c r="O1685" s="31" t="n">
        <v>0</v>
      </c>
      <c r="P1685" s="32" t="n"/>
      <c r="Q1685" s="32" t="n">
        <v>0</v>
      </c>
      <c r="R1685" s="32" t="n">
        <v>0</v>
      </c>
      <c r="S1685" s="31" t="n">
        <v>0</v>
      </c>
      <c r="T1685" s="32" t="n">
        <v>0</v>
      </c>
      <c r="U1685" s="31" t="n">
        <v>0</v>
      </c>
      <c r="V1685" s="31" t="n">
        <v>0</v>
      </c>
      <c r="W1685" s="3" t="n">
        <v>0</v>
      </c>
      <c r="X1685" s="3" t="n">
        <v>0</v>
      </c>
      <c r="Y1685" s="32" t="n">
        <v>0</v>
      </c>
      <c r="Z1685" s="3" t="n">
        <v>0</v>
      </c>
      <c r="AA1685" s="32" t="n">
        <v>0</v>
      </c>
      <c r="AB1685" s="3" t="n"/>
      <c r="AC1685" s="31" t="n">
        <v>0</v>
      </c>
      <c r="AD1685" s="2" t="n">
        <v>0</v>
      </c>
      <c r="AE1685" s="2" t="n">
        <v>1</v>
      </c>
      <c r="AF1685" s="4" t="n">
        <v>1</v>
      </c>
      <c r="AG1685" s="33" t="n">
        <v>0</v>
      </c>
      <c r="AH1685" s="4" t="n">
        <v>0</v>
      </c>
      <c r="AI1685" s="34" t="n"/>
      <c r="AJ1685" s="34" t="n">
        <v>0</v>
      </c>
      <c r="AK1685" s="2" t="n">
        <v>0</v>
      </c>
      <c r="AL1685" t="inlineStr">
        <is>
          <t>Published</t>
        </is>
      </c>
    </row>
    <row r="1686">
      <c r="A1686">
        <f>HYPERLINK("https://www.walmart.com/ip/598197106", "598197106")</f>
        <v/>
      </c>
      <c r="B1686">
        <f>HYPERLINK("https://app.optiwise.ai/catalog/itemdetails/361182", "Terra Boxer Briefs Mens 3 Pack Underwear Elastic Waistband Solid New Classic Fit")</f>
        <v/>
      </c>
      <c r="C1686" t="inlineStr">
        <is>
          <t>TERRA-BOXER6-M</t>
        </is>
      </c>
      <c r="D1686" t="inlineStr">
        <is>
          <t>Clothing</t>
        </is>
      </c>
      <c r="E1686" t="inlineStr">
        <is>
          <t>Underpants</t>
        </is>
      </c>
      <c r="F1686" t="inlineStr">
        <is>
          <t>Terra</t>
        </is>
      </c>
      <c r="G1686" t="n">
        <v>0</v>
      </c>
      <c r="H1686" t="n">
        <v>0</v>
      </c>
      <c r="I1686" t="inlineStr">
        <is>
          <t>Batch 1 - TR</t>
        </is>
      </c>
      <c r="J1686" s="29" t="n">
        <v>0</v>
      </c>
      <c r="K1686" s="30" t="n"/>
      <c r="L1686" s="29" t="n">
        <v>0</v>
      </c>
      <c r="M1686" s="29" t="n">
        <v>0</v>
      </c>
      <c r="N1686" s="2" t="n">
        <v>0</v>
      </c>
      <c r="O1686" s="31" t="n">
        <v>0</v>
      </c>
      <c r="P1686" s="32" t="n"/>
      <c r="Q1686" s="32" t="n">
        <v>0</v>
      </c>
      <c r="R1686" s="32" t="n">
        <v>0</v>
      </c>
      <c r="S1686" s="31" t="n">
        <v>0</v>
      </c>
      <c r="T1686" s="32" t="n">
        <v>0</v>
      </c>
      <c r="U1686" s="31" t="n">
        <v>0</v>
      </c>
      <c r="V1686" s="31" t="n">
        <v>0</v>
      </c>
      <c r="W1686" s="3" t="n">
        <v>0</v>
      </c>
      <c r="X1686" s="3" t="n">
        <v>0</v>
      </c>
      <c r="Y1686" s="32" t="n">
        <v>0</v>
      </c>
      <c r="Z1686" s="3" t="n">
        <v>0</v>
      </c>
      <c r="AA1686" s="32" t="n">
        <v>0</v>
      </c>
      <c r="AB1686" s="3" t="n"/>
      <c r="AC1686" s="31" t="n">
        <v>0</v>
      </c>
      <c r="AD1686" s="2" t="n">
        <v>0</v>
      </c>
      <c r="AE1686" s="2" t="n">
        <v>23</v>
      </c>
      <c r="AF1686" s="4" t="n">
        <v>23</v>
      </c>
      <c r="AG1686" s="33" t="n">
        <v>0</v>
      </c>
      <c r="AH1686" s="4" t="n">
        <v>0</v>
      </c>
      <c r="AI1686" s="34" t="n"/>
      <c r="AJ1686" s="34" t="n">
        <v>0</v>
      </c>
      <c r="AK1686" s="2" t="n">
        <v>0</v>
      </c>
      <c r="AL1686" t="inlineStr">
        <is>
          <t>Published</t>
        </is>
      </c>
    </row>
    <row r="1687">
      <c r="A1687">
        <f>HYPERLINK("https://www.walmart.com/ip/334138081", "334138081")</f>
        <v/>
      </c>
      <c r="B1687">
        <f>HYPERLINK("https://app.optiwise.ai/catalog/itemdetails/361155", "Terra Boxer Briefs Mens 3 Pack Underwear Elastic Waistband Solid New Classic Fit")</f>
        <v/>
      </c>
      <c r="C1687" t="inlineStr">
        <is>
          <t>TERRA-BOXER5-L</t>
        </is>
      </c>
      <c r="D1687" t="inlineStr">
        <is>
          <t>Clothing</t>
        </is>
      </c>
      <c r="E1687" t="inlineStr">
        <is>
          <t>Underpants</t>
        </is>
      </c>
      <c r="F1687" t="inlineStr">
        <is>
          <t>Terra</t>
        </is>
      </c>
      <c r="G1687" t="n">
        <v>0</v>
      </c>
      <c r="H1687" t="n">
        <v>0</v>
      </c>
      <c r="I1687" t="inlineStr">
        <is>
          <t>Batch 1 - TR</t>
        </is>
      </c>
      <c r="J1687" s="29" t="n">
        <v>0</v>
      </c>
      <c r="K1687" s="30" t="n"/>
      <c r="L1687" s="29" t="n">
        <v>0</v>
      </c>
      <c r="M1687" s="29" t="n">
        <v>0</v>
      </c>
      <c r="N1687" s="2" t="n">
        <v>0</v>
      </c>
      <c r="O1687" s="31" t="n">
        <v>0</v>
      </c>
      <c r="P1687" s="32" t="n"/>
      <c r="Q1687" s="32" t="n">
        <v>0</v>
      </c>
      <c r="R1687" s="32" t="n">
        <v>0</v>
      </c>
      <c r="S1687" s="31" t="n">
        <v>0</v>
      </c>
      <c r="T1687" s="32" t="n">
        <v>0</v>
      </c>
      <c r="U1687" s="31" t="n">
        <v>0</v>
      </c>
      <c r="V1687" s="31" t="n">
        <v>0</v>
      </c>
      <c r="W1687" s="3" t="n">
        <v>0</v>
      </c>
      <c r="X1687" s="3" t="n">
        <v>0</v>
      </c>
      <c r="Y1687" s="32" t="n">
        <v>0</v>
      </c>
      <c r="Z1687" s="3" t="n">
        <v>0</v>
      </c>
      <c r="AA1687" s="32" t="n">
        <v>0</v>
      </c>
      <c r="AB1687" s="3" t="n"/>
      <c r="AC1687" s="31" t="n">
        <v>0</v>
      </c>
      <c r="AD1687" s="2" t="n">
        <v>0</v>
      </c>
      <c r="AE1687" s="2" t="n">
        <v>9</v>
      </c>
      <c r="AF1687" s="4" t="n">
        <v>9</v>
      </c>
      <c r="AG1687" s="33" t="n">
        <v>0</v>
      </c>
      <c r="AH1687" s="4" t="n">
        <v>0</v>
      </c>
      <c r="AI1687" s="34" t="n"/>
      <c r="AJ1687" s="34" t="n">
        <v>0</v>
      </c>
      <c r="AK1687" s="2" t="n">
        <v>0</v>
      </c>
      <c r="AL1687" t="inlineStr">
        <is>
          <t>Published</t>
        </is>
      </c>
    </row>
    <row r="1688">
      <c r="A1688">
        <f>HYPERLINK("https://www.walmart.com/ip/702937282", "702937282")</f>
        <v/>
      </c>
      <c r="B1688">
        <f>HYPERLINK("https://app.optiwise.ai/catalog/itemdetails/361181", "Catalonia Red Plaid Sherpa Throw Blanket, Super Soft Throw for Sofa Couch Bed, TV Blanket, Micro Mink Fleece Plush, Comfy Cozy Fluffy Warm, Holiday Gift (60x50 Inches, Buffalo)")</f>
        <v/>
      </c>
      <c r="C1688" t="inlineStr">
        <is>
          <t>1CTBF568PRDGN</t>
        </is>
      </c>
      <c r="D1688" t="inlineStr">
        <is>
          <t>Bedding</t>
        </is>
      </c>
      <c r="E1688" t="inlineStr">
        <is>
          <t>Throws</t>
        </is>
      </c>
      <c r="F1688" t="inlineStr">
        <is>
          <t>Catalonia</t>
        </is>
      </c>
      <c r="G1688" t="n">
        <v>0</v>
      </c>
      <c r="H1688" t="n">
        <v>0</v>
      </c>
      <c r="I1688" t="inlineStr">
        <is>
          <t>Q2-Target,WFS,Coupon_Discount,WFS Item</t>
        </is>
      </c>
      <c r="J1688" s="29" t="n">
        <v>0</v>
      </c>
      <c r="K1688" s="30" t="n"/>
      <c r="L1688" s="29" t="n">
        <v>0</v>
      </c>
      <c r="M1688" s="29" t="n">
        <v>0</v>
      </c>
      <c r="N1688" s="2" t="n">
        <v>0</v>
      </c>
      <c r="O1688" s="31" t="n">
        <v>0</v>
      </c>
      <c r="P1688" s="32" t="n"/>
      <c r="Q1688" s="32" t="n">
        <v>0</v>
      </c>
      <c r="R1688" s="32" t="n">
        <v>0</v>
      </c>
      <c r="S1688" s="31" t="n">
        <v>0</v>
      </c>
      <c r="T1688" s="32" t="n">
        <v>0</v>
      </c>
      <c r="U1688" s="31" t="n">
        <v>0</v>
      </c>
      <c r="V1688" s="31" t="n">
        <v>0</v>
      </c>
      <c r="W1688" s="3" t="n">
        <v>0</v>
      </c>
      <c r="X1688" s="3" t="n">
        <v>0</v>
      </c>
      <c r="Y1688" s="32" t="n">
        <v>0</v>
      </c>
      <c r="Z1688" s="3" t="n">
        <v>0</v>
      </c>
      <c r="AA1688" s="32" t="n">
        <v>0</v>
      </c>
      <c r="AB1688" s="3" t="n"/>
      <c r="AC1688" s="31" t="n">
        <v>0</v>
      </c>
      <c r="AD1688" s="2" t="n">
        <v>0</v>
      </c>
      <c r="AE1688" s="2" t="n">
        <v>24</v>
      </c>
      <c r="AF1688" s="4" t="n">
        <v>24</v>
      </c>
      <c r="AG1688" s="33" t="n">
        <v>0</v>
      </c>
      <c r="AH1688" s="4" t="n">
        <v>0</v>
      </c>
      <c r="AI1688" s="34" t="n"/>
      <c r="AJ1688" s="34" t="n">
        <v>0</v>
      </c>
      <c r="AK1688" s="2" t="n">
        <v>0</v>
      </c>
      <c r="AL1688" t="inlineStr">
        <is>
          <t>Published</t>
        </is>
      </c>
    </row>
    <row r="1689">
      <c r="A1689">
        <f>HYPERLINK("https://www.walmart.com/ip/608391601", "608391601")</f>
        <v/>
      </c>
      <c r="B1689">
        <f>HYPERLINK("https://app.optiwise.ai/catalog/itemdetails/361178", "Luxury Sherpa Knit Throw Blanket 50 x 60, Home Decorative Blanket for Sofa Couch Chair All Season TV Blanket | Super Soft, Warm, Waffle Weave Knit | Catalonia series by Tirrinia")</f>
        <v/>
      </c>
      <c r="C1689" t="inlineStr">
        <is>
          <t>1TRBN300PK-TBCB</t>
        </is>
      </c>
      <c r="D1689" t="inlineStr">
        <is>
          <t>Bedding</t>
        </is>
      </c>
      <c r="E1689" t="inlineStr">
        <is>
          <t>Throws</t>
        </is>
      </c>
      <c r="F1689" t="inlineStr">
        <is>
          <t>Tirrinia</t>
        </is>
      </c>
      <c r="G1689" t="n">
        <v>0</v>
      </c>
      <c r="H1689" t="n">
        <v>0</v>
      </c>
      <c r="I1689" t="inlineStr">
        <is>
          <t>Batch 1 - TR</t>
        </is>
      </c>
      <c r="J1689" s="29" t="n">
        <v>0</v>
      </c>
      <c r="K1689" s="30" t="n"/>
      <c r="L1689" s="29" t="n">
        <v>47.97999954223633</v>
      </c>
      <c r="M1689" s="29" t="n">
        <v>0</v>
      </c>
      <c r="N1689" s="2" t="n">
        <v>0</v>
      </c>
      <c r="O1689" s="31" t="n">
        <v>0</v>
      </c>
      <c r="P1689" s="32" t="n"/>
      <c r="Q1689" s="32" t="n">
        <v>0</v>
      </c>
      <c r="R1689" s="32" t="n">
        <v>0</v>
      </c>
      <c r="S1689" s="31" t="n">
        <v>0</v>
      </c>
      <c r="T1689" s="32" t="n">
        <v>0</v>
      </c>
      <c r="U1689" s="31" t="n">
        <v>0</v>
      </c>
      <c r="V1689" s="31" t="n">
        <v>0</v>
      </c>
      <c r="W1689" s="3" t="n">
        <v>0</v>
      </c>
      <c r="X1689" s="3" t="n">
        <v>0</v>
      </c>
      <c r="Y1689" s="32" t="n">
        <v>0</v>
      </c>
      <c r="Z1689" s="3" t="n">
        <v>0</v>
      </c>
      <c r="AA1689" s="32" t="n">
        <v>0</v>
      </c>
      <c r="AB1689" s="3" t="n"/>
      <c r="AC1689" s="31" t="n">
        <v>0</v>
      </c>
      <c r="AD1689" s="2" t="n">
        <v>0</v>
      </c>
      <c r="AE1689" s="2" t="n">
        <v>8</v>
      </c>
      <c r="AF1689" s="4" t="n">
        <v>8</v>
      </c>
      <c r="AG1689" s="33" t="n">
        <v>0</v>
      </c>
      <c r="AH1689" s="4" t="n">
        <v>0</v>
      </c>
      <c r="AI1689" s="34" t="n"/>
      <c r="AJ1689" s="34" t="n">
        <v>0</v>
      </c>
      <c r="AK1689" s="2" t="n">
        <v>0</v>
      </c>
      <c r="AL1689" t="inlineStr">
        <is>
          <t>Published</t>
        </is>
      </c>
    </row>
    <row r="1690">
      <c r="A1690">
        <f>HYPERLINK("https://www.walmart.com/ip/805161387", "805161387")</f>
        <v/>
      </c>
      <c r="B1690">
        <f>HYPERLINK("https://app.optiwise.ai/catalog/itemdetails/361177", "Tirrinia Insulated 2 Bottle Wine Carrier Tote Cooler Bag for Travel Picnic Padded Champagne Glass")</f>
        <v/>
      </c>
      <c r="C1690" t="inlineStr">
        <is>
          <t>1WMWB231RDSTR</t>
        </is>
      </c>
      <c r="D1690" t="inlineStr">
        <is>
          <t>Home Decor, Kitchen, &amp; Other</t>
        </is>
      </c>
      <c r="E1690" t="inlineStr">
        <is>
          <t>Wine Totes, Bags &amp; Backpacks</t>
        </is>
      </c>
      <c r="F1690" t="inlineStr">
        <is>
          <t>Flyingstar</t>
        </is>
      </c>
      <c r="G1690" t="n">
        <v>0</v>
      </c>
      <c r="H1690" t="n">
        <v>0</v>
      </c>
      <c r="I1690" t="inlineStr">
        <is>
          <t>Wine,Christmas,Valentine</t>
        </is>
      </c>
      <c r="J1690" s="29" t="n">
        <v>0</v>
      </c>
      <c r="K1690" s="30" t="n"/>
      <c r="L1690" s="29" t="n">
        <v>0</v>
      </c>
      <c r="M1690" s="29" t="n">
        <v>0</v>
      </c>
      <c r="N1690" s="2" t="n">
        <v>0</v>
      </c>
      <c r="O1690" s="31" t="n">
        <v>0</v>
      </c>
      <c r="P1690" s="32" t="n"/>
      <c r="Q1690" s="32" t="n">
        <v>0</v>
      </c>
      <c r="R1690" s="32" t="n">
        <v>0</v>
      </c>
      <c r="S1690" s="31" t="n">
        <v>0</v>
      </c>
      <c r="T1690" s="32" t="n">
        <v>0</v>
      </c>
      <c r="U1690" s="31" t="n">
        <v>0</v>
      </c>
      <c r="V1690" s="31" t="n">
        <v>0</v>
      </c>
      <c r="W1690" s="3" t="n">
        <v>0</v>
      </c>
      <c r="X1690" s="3" t="n">
        <v>0</v>
      </c>
      <c r="Y1690" s="32" t="n">
        <v>0</v>
      </c>
      <c r="Z1690" s="3" t="n">
        <v>0</v>
      </c>
      <c r="AA1690" s="32" t="n">
        <v>0</v>
      </c>
      <c r="AB1690" s="3" t="n"/>
      <c r="AC1690" s="31" t="n">
        <v>0</v>
      </c>
      <c r="AD1690" s="2" t="n">
        <v>0</v>
      </c>
      <c r="AE1690" s="2" t="n">
        <v>5</v>
      </c>
      <c r="AF1690" s="4" t="n">
        <v>5</v>
      </c>
      <c r="AG1690" s="33" t="n">
        <v>0</v>
      </c>
      <c r="AH1690" s="4" t="n">
        <v>0</v>
      </c>
      <c r="AI1690" s="34" t="n"/>
      <c r="AJ1690" s="34" t="n">
        <v>0</v>
      </c>
      <c r="AK1690" s="2" t="n">
        <v>0</v>
      </c>
      <c r="AL1690" t="inlineStr">
        <is>
          <t>Published</t>
        </is>
      </c>
    </row>
    <row r="1691">
      <c r="A1691">
        <f>HYPERLINK("https://www.walmart.com/ip/106336287", "106336287")</f>
        <v/>
      </c>
      <c r="B1691">
        <f>HYPERLINK("https://app.optiwise.ai/catalog/itemdetails/361173", "Terra Faux Fur Pom Pom Beanie Hat Thick Slouchy Cable Knit Unisex Stretches to Fit Most")</f>
        <v/>
      </c>
      <c r="C1691" t="inlineStr">
        <is>
          <t>TERRAPPH02BL</t>
        </is>
      </c>
      <c r="D1691" t="inlineStr">
        <is>
          <t>Clothing</t>
        </is>
      </c>
      <c r="E1691" t="inlineStr">
        <is>
          <t>Hats</t>
        </is>
      </c>
      <c r="F1691" t="inlineStr">
        <is>
          <t>Terra</t>
        </is>
      </c>
      <c r="G1691" t="n">
        <v>0</v>
      </c>
      <c r="H1691" t="n">
        <v>0</v>
      </c>
      <c r="I1691" t="inlineStr">
        <is>
          <t>Optimized</t>
        </is>
      </c>
      <c r="J1691" s="29" t="n">
        <v>0</v>
      </c>
      <c r="K1691" s="30" t="n"/>
      <c r="L1691" s="29" t="n">
        <v>0</v>
      </c>
      <c r="M1691" s="29" t="n">
        <v>0</v>
      </c>
      <c r="N1691" s="2" t="n">
        <v>0</v>
      </c>
      <c r="O1691" s="31" t="n">
        <v>0</v>
      </c>
      <c r="P1691" s="32" t="n"/>
      <c r="Q1691" s="32" t="n">
        <v>0</v>
      </c>
      <c r="R1691" s="32" t="n">
        <v>0</v>
      </c>
      <c r="S1691" s="31" t="n">
        <v>0</v>
      </c>
      <c r="T1691" s="32" t="n">
        <v>0</v>
      </c>
      <c r="U1691" s="31" t="n">
        <v>0</v>
      </c>
      <c r="V1691" s="31" t="n">
        <v>0</v>
      </c>
      <c r="W1691" s="3" t="n">
        <v>0</v>
      </c>
      <c r="X1691" s="3" t="n">
        <v>0</v>
      </c>
      <c r="Y1691" s="32" t="n">
        <v>0</v>
      </c>
      <c r="Z1691" s="3" t="n">
        <v>0</v>
      </c>
      <c r="AA1691" s="32" t="n">
        <v>0</v>
      </c>
      <c r="AB1691" s="3" t="n"/>
      <c r="AC1691" s="31" t="n">
        <v>0</v>
      </c>
      <c r="AD1691" s="2" t="n">
        <v>0</v>
      </c>
      <c r="AE1691" s="2" t="n">
        <v>8</v>
      </c>
      <c r="AF1691" s="4" t="n">
        <v>8</v>
      </c>
      <c r="AG1691" s="33" t="n">
        <v>0</v>
      </c>
      <c r="AH1691" s="4" t="n">
        <v>0</v>
      </c>
      <c r="AI1691" s="34" t="n"/>
      <c r="AJ1691" s="34" t="n">
        <v>0</v>
      </c>
      <c r="AK1691" s="2" t="n">
        <v>0</v>
      </c>
      <c r="AL1691" t="inlineStr">
        <is>
          <t>Published</t>
        </is>
      </c>
    </row>
    <row r="1692">
      <c r="A1692">
        <f>HYPERLINK("https://www.walmart.com/ip/988194071", "988194071")</f>
        <v/>
      </c>
      <c r="B1692">
        <f>HYPERLINK("https://app.optiwise.ai/catalog/itemdetails/361171", "Women’s Swim Bathing Suit Cover Up, Summer Chiffon Maxi Beach Dress Skirt")</f>
        <v/>
      </c>
      <c r="C1692" t="inlineStr">
        <is>
          <t>1WMDS100GN</t>
        </is>
      </c>
      <c r="D1692" t="inlineStr">
        <is>
          <t>Dresses</t>
        </is>
      </c>
      <c r="E1692" t="inlineStr">
        <is>
          <t>Swimwear Cover-Ups</t>
        </is>
      </c>
      <c r="F1692" t="inlineStr">
        <is>
          <t>Flyingstar</t>
        </is>
      </c>
      <c r="G1692" t="n">
        <v>0</v>
      </c>
      <c r="H1692" t="n">
        <v>0</v>
      </c>
      <c r="I1692" t="inlineStr">
        <is>
          <t>Batch 1 - TR</t>
        </is>
      </c>
      <c r="J1692" s="29" t="n">
        <v>0</v>
      </c>
      <c r="K1692" s="30" t="n"/>
      <c r="L1692" s="29" t="n">
        <v>0</v>
      </c>
      <c r="M1692" s="29" t="n">
        <v>0</v>
      </c>
      <c r="N1692" s="2" t="n">
        <v>0</v>
      </c>
      <c r="O1692" s="31" t="n">
        <v>0</v>
      </c>
      <c r="P1692" s="32" t="n"/>
      <c r="Q1692" s="32" t="n">
        <v>0</v>
      </c>
      <c r="R1692" s="32" t="n">
        <v>0</v>
      </c>
      <c r="S1692" s="31" t="n">
        <v>0</v>
      </c>
      <c r="T1692" s="32" t="n">
        <v>0</v>
      </c>
      <c r="U1692" s="31" t="n">
        <v>0</v>
      </c>
      <c r="V1692" s="31" t="n">
        <v>0</v>
      </c>
      <c r="W1692" s="3" t="n">
        <v>0</v>
      </c>
      <c r="X1692" s="3" t="n">
        <v>0</v>
      </c>
      <c r="Y1692" s="32" t="n">
        <v>0</v>
      </c>
      <c r="Z1692" s="3" t="n">
        <v>0</v>
      </c>
      <c r="AA1692" s="32" t="n">
        <v>0</v>
      </c>
      <c r="AB1692" s="3" t="n"/>
      <c r="AC1692" s="31" t="n">
        <v>0</v>
      </c>
      <c r="AD1692" s="2" t="n">
        <v>0</v>
      </c>
      <c r="AE1692" s="2" t="n">
        <v>1</v>
      </c>
      <c r="AF1692" s="4" t="n">
        <v>1</v>
      </c>
      <c r="AG1692" s="33" t="n">
        <v>0</v>
      </c>
      <c r="AH1692" s="4" t="n">
        <v>0</v>
      </c>
      <c r="AI1692" s="34" t="n"/>
      <c r="AJ1692" s="34" t="n">
        <v>0</v>
      </c>
      <c r="AK1692" s="2" t="n">
        <v>0</v>
      </c>
      <c r="AL1692" t="inlineStr">
        <is>
          <t>Published</t>
        </is>
      </c>
    </row>
    <row r="1693">
      <c r="A1693">
        <f>HYPERLINK("https://www.walmart.com/ip/878891906", "878891906")</f>
        <v/>
      </c>
      <c r="B1693">
        <f>HYPERLINK("https://app.optiwise.ai/catalog/itemdetails/361169", "Flyingstar Sherpa Throws Blanket, Fleece Soft Cozy Blanket Throws for Sofa Bed 50x60")</f>
        <v/>
      </c>
      <c r="C1693" t="inlineStr">
        <is>
          <t>1WMBF301RD-ESGM</t>
        </is>
      </c>
      <c r="D1693" t="inlineStr">
        <is>
          <t>Bedding</t>
        </is>
      </c>
      <c r="E1693" t="inlineStr">
        <is>
          <t>Throws</t>
        </is>
      </c>
      <c r="F1693" t="inlineStr">
        <is>
          <t>Flyingstar</t>
        </is>
      </c>
      <c r="G1693" t="n">
        <v>0</v>
      </c>
      <c r="H1693" t="n">
        <v>0</v>
      </c>
      <c r="I1693" t="inlineStr">
        <is>
          <t>Optimized</t>
        </is>
      </c>
      <c r="J1693" s="29" t="n">
        <v>0</v>
      </c>
      <c r="K1693" s="30" t="n"/>
      <c r="L1693" s="29" t="n">
        <v>0</v>
      </c>
      <c r="M1693" s="29" t="n">
        <v>0</v>
      </c>
      <c r="N1693" s="2" t="n">
        <v>0</v>
      </c>
      <c r="O1693" s="31" t="n">
        <v>0</v>
      </c>
      <c r="P1693" s="32" t="n"/>
      <c r="Q1693" s="32" t="n">
        <v>0</v>
      </c>
      <c r="R1693" s="32" t="n">
        <v>0</v>
      </c>
      <c r="S1693" s="31" t="n">
        <v>0</v>
      </c>
      <c r="T1693" s="32" t="n">
        <v>0</v>
      </c>
      <c r="U1693" s="31" t="n">
        <v>0</v>
      </c>
      <c r="V1693" s="31" t="n">
        <v>0</v>
      </c>
      <c r="W1693" s="3" t="n">
        <v>0</v>
      </c>
      <c r="X1693" s="3" t="n">
        <v>0</v>
      </c>
      <c r="Y1693" s="32" t="n">
        <v>0</v>
      </c>
      <c r="Z1693" s="3" t="n">
        <v>0</v>
      </c>
      <c r="AA1693" s="32" t="n">
        <v>0</v>
      </c>
      <c r="AB1693" s="3" t="n"/>
      <c r="AC1693" s="31" t="n">
        <v>0</v>
      </c>
      <c r="AD1693" s="2" t="n">
        <v>0</v>
      </c>
      <c r="AE1693" s="2" t="n">
        <v>0</v>
      </c>
      <c r="AF1693" s="4" t="n">
        <v>0</v>
      </c>
      <c r="AG1693" s="33" t="n">
        <v>0</v>
      </c>
      <c r="AH1693" s="4" t="n">
        <v>0</v>
      </c>
      <c r="AI1693" s="34" t="n"/>
      <c r="AJ1693" s="34" t="n">
        <v>0</v>
      </c>
      <c r="AK1693" s="2" t="n">
        <v>0</v>
      </c>
      <c r="AL1693" t="inlineStr">
        <is>
          <t>Published</t>
        </is>
      </c>
    </row>
    <row r="1694">
      <c r="A1694">
        <f>HYPERLINK("https://www.walmart.com/ip/887328241", "887328241")</f>
        <v/>
      </c>
      <c r="B1694">
        <f>HYPERLINK("https://app.optiwise.ai/catalog/itemdetails/361168", "Sherpa Fleece Throw Blanket for Kids,Super Soft Light Weight Reversible Fuzzy Snuggle Blanket for Camping Couch Bed All Season 50”x 60”")</f>
        <v/>
      </c>
      <c r="C1694" t="inlineStr">
        <is>
          <t>1CTBF566BL</t>
        </is>
      </c>
      <c r="D1694" t="inlineStr">
        <is>
          <t>Bedding</t>
        </is>
      </c>
      <c r="E1694" t="inlineStr">
        <is>
          <t>Throws</t>
        </is>
      </c>
      <c r="F1694" t="inlineStr">
        <is>
          <t>Catalonia</t>
        </is>
      </c>
      <c r="G1694" t="n">
        <v>4.6</v>
      </c>
      <c r="H1694" t="n">
        <v>8</v>
      </c>
      <c r="I1694" t="inlineStr">
        <is>
          <t>WFS,WFS Item</t>
        </is>
      </c>
      <c r="J1694" s="29" t="n">
        <v>0</v>
      </c>
      <c r="K1694" s="30" t="n"/>
      <c r="L1694" s="29" t="n">
        <v>0</v>
      </c>
      <c r="M1694" s="29" t="n">
        <v>0</v>
      </c>
      <c r="N1694" s="2" t="n">
        <v>0</v>
      </c>
      <c r="O1694" s="31" t="n">
        <v>0</v>
      </c>
      <c r="P1694" s="32" t="n"/>
      <c r="Q1694" s="32" t="n">
        <v>0</v>
      </c>
      <c r="R1694" s="32" t="n">
        <v>0</v>
      </c>
      <c r="S1694" s="31" t="n">
        <v>0</v>
      </c>
      <c r="T1694" s="32" t="n">
        <v>0</v>
      </c>
      <c r="U1694" s="31" t="n">
        <v>0</v>
      </c>
      <c r="V1694" s="31" t="n">
        <v>0</v>
      </c>
      <c r="W1694" s="3" t="n">
        <v>0</v>
      </c>
      <c r="X1694" s="3" t="n">
        <v>0</v>
      </c>
      <c r="Y1694" s="32" t="n">
        <v>0</v>
      </c>
      <c r="Z1694" s="3" t="n">
        <v>0</v>
      </c>
      <c r="AA1694" s="32" t="n">
        <v>0</v>
      </c>
      <c r="AB1694" s="3" t="n"/>
      <c r="AC1694" s="31" t="n">
        <v>0</v>
      </c>
      <c r="AD1694" s="2" t="n">
        <v>0</v>
      </c>
      <c r="AE1694" s="2" t="n">
        <v>26</v>
      </c>
      <c r="AF1694" s="4" t="n">
        <v>26</v>
      </c>
      <c r="AG1694" s="33" t="n">
        <v>0</v>
      </c>
      <c r="AH1694" s="4" t="n">
        <v>0</v>
      </c>
      <c r="AI1694" s="34" t="n"/>
      <c r="AJ1694" s="34" t="n">
        <v>0</v>
      </c>
      <c r="AK1694" s="2" t="n">
        <v>0</v>
      </c>
      <c r="AL1694" t="inlineStr">
        <is>
          <t>Published</t>
        </is>
      </c>
    </row>
    <row r="1695">
      <c r="A1695">
        <f>HYPERLINK("https://www.walmart.com/ip/198503118", "198503118")</f>
        <v/>
      </c>
      <c r="B1695">
        <f>HYPERLINK("https://app.optiwise.ai/catalog/itemdetails/361167", "JenniWears Women's Beileise  Sexy Crotchless Suspender Pantyhose Stockings Black - 3 Packs")</f>
        <v/>
      </c>
      <c r="C1695" t="inlineStr">
        <is>
          <t>JWBLSPH2028-3pcs</t>
        </is>
      </c>
      <c r="D1695" t="inlineStr">
        <is>
          <t>Clothing</t>
        </is>
      </c>
      <c r="E1695" t="inlineStr">
        <is>
          <t>Pantyhose &amp; Tights</t>
        </is>
      </c>
      <c r="F1695" t="inlineStr">
        <is>
          <t>JenniWears</t>
        </is>
      </c>
      <c r="G1695" t="n">
        <v>0</v>
      </c>
      <c r="H1695" t="n">
        <v>0</v>
      </c>
      <c r="I1695" t="inlineStr">
        <is>
          <t>Optimized,Valentine</t>
        </is>
      </c>
      <c r="J1695" s="29" t="n">
        <v>0</v>
      </c>
      <c r="K1695" s="30" t="n"/>
      <c r="L1695" s="29" t="n">
        <v>0</v>
      </c>
      <c r="M1695" s="29" t="n">
        <v>0</v>
      </c>
      <c r="N1695" s="2" t="n">
        <v>0</v>
      </c>
      <c r="O1695" s="31" t="n">
        <v>0</v>
      </c>
      <c r="P1695" s="32" t="n"/>
      <c r="Q1695" s="32" t="n">
        <v>0</v>
      </c>
      <c r="R1695" s="32" t="n">
        <v>0</v>
      </c>
      <c r="S1695" s="31" t="n">
        <v>0</v>
      </c>
      <c r="T1695" s="32" t="n">
        <v>0</v>
      </c>
      <c r="U1695" s="31" t="n">
        <v>0</v>
      </c>
      <c r="V1695" s="31" t="n">
        <v>0</v>
      </c>
      <c r="W1695" s="3" t="n">
        <v>0</v>
      </c>
      <c r="X1695" s="3" t="n">
        <v>0</v>
      </c>
      <c r="Y1695" s="32" t="n">
        <v>0</v>
      </c>
      <c r="Z1695" s="3" t="n">
        <v>0</v>
      </c>
      <c r="AA1695" s="32" t="n">
        <v>0</v>
      </c>
      <c r="AB1695" s="3" t="n"/>
      <c r="AC1695" s="31" t="n">
        <v>0</v>
      </c>
      <c r="AD1695" s="2" t="n">
        <v>0</v>
      </c>
      <c r="AE1695" s="2" t="n">
        <v>2</v>
      </c>
      <c r="AF1695" s="4" t="n">
        <v>2</v>
      </c>
      <c r="AG1695" s="33" t="n">
        <v>0</v>
      </c>
      <c r="AH1695" s="4" t="n">
        <v>0</v>
      </c>
      <c r="AI1695" s="34" t="n"/>
      <c r="AJ1695" s="34" t="n">
        <v>0</v>
      </c>
      <c r="AK1695" s="2" t="n">
        <v>0</v>
      </c>
      <c r="AL1695" t="inlineStr">
        <is>
          <t>Published</t>
        </is>
      </c>
    </row>
    <row r="1696">
      <c r="A1696">
        <f>HYPERLINK("https://www.walmart.com/ip/996864768", "996864768")</f>
        <v/>
      </c>
      <c r="B1696">
        <f>HYPERLINK("https://app.optiwise.ai/catalog/itemdetails/361166", "Flyingstar Cat Oversized Sherpa Hoodie Sweatshirt for Women, Pockets, Hooded, Black Cat")</f>
        <v/>
      </c>
      <c r="C1696" t="inlineStr">
        <is>
          <t>1WMHD201CAT-BK</t>
        </is>
      </c>
      <c r="D1696" t="inlineStr">
        <is>
          <t>Clothing</t>
        </is>
      </c>
      <c r="E1696" t="inlineStr">
        <is>
          <t>Sweatshirts &amp; Hoodies</t>
        </is>
      </c>
      <c r="F1696" t="inlineStr">
        <is>
          <t>Flyingstar</t>
        </is>
      </c>
      <c r="G1696" t="n">
        <v>0</v>
      </c>
      <c r="H1696" t="n">
        <v>0</v>
      </c>
      <c r="I1696" t="inlineStr">
        <is>
          <t>Hoodie ForAdult,Optimized</t>
        </is>
      </c>
      <c r="J1696" s="29" t="n">
        <v>0</v>
      </c>
      <c r="K1696" s="30" t="n"/>
      <c r="L1696" s="29" t="n">
        <v>0</v>
      </c>
      <c r="M1696" s="29" t="n">
        <v>0</v>
      </c>
      <c r="N1696" s="2" t="n">
        <v>0</v>
      </c>
      <c r="O1696" s="31" t="n">
        <v>0.39</v>
      </c>
      <c r="P1696" s="32" t="n"/>
      <c r="Q1696" s="32" t="n">
        <v>0</v>
      </c>
      <c r="R1696" s="32" t="n">
        <v>0.0126</v>
      </c>
      <c r="S1696" s="31" t="n">
        <v>0</v>
      </c>
      <c r="T1696" s="32" t="n">
        <v>0</v>
      </c>
      <c r="U1696" s="31" t="n">
        <v>0</v>
      </c>
      <c r="V1696" s="31" t="n">
        <v>0</v>
      </c>
      <c r="W1696" s="3" t="n">
        <v>2125</v>
      </c>
      <c r="X1696" s="3" t="n">
        <v>1</v>
      </c>
      <c r="Y1696" s="32" t="n">
        <v>0.0005</v>
      </c>
      <c r="Z1696" s="3" t="n">
        <v>0</v>
      </c>
      <c r="AA1696" s="32" t="n">
        <v>0</v>
      </c>
      <c r="AB1696" s="3" t="inlineStr">
        <is>
          <t>Hoodies_Auto</t>
        </is>
      </c>
      <c r="AC1696" s="31" t="n">
        <v>0.39</v>
      </c>
      <c r="AD1696" s="2" t="n">
        <v>0</v>
      </c>
      <c r="AE1696" s="2" t="n">
        <v>10</v>
      </c>
      <c r="AF1696" s="4" t="n">
        <v>9</v>
      </c>
      <c r="AG1696" s="33" t="n">
        <v>0</v>
      </c>
      <c r="AH1696" s="4" t="n">
        <v>0</v>
      </c>
      <c r="AI1696" s="34" t="n"/>
      <c r="AJ1696" s="34" t="n">
        <v>0</v>
      </c>
      <c r="AK1696" s="2" t="n">
        <v>0</v>
      </c>
      <c r="AL1696" t="inlineStr">
        <is>
          <t>Published</t>
        </is>
      </c>
    </row>
    <row r="1697">
      <c r="A1697">
        <f>HYPERLINK("https://www.walmart.com/ip/139877519", "139877519")</f>
        <v/>
      </c>
      <c r="B1697">
        <f>HYPERLINK("https://app.optiwise.ai/catalog/itemdetails/361165", "JenniWears® Women's 3-Pack Leopard Lace Garter Belt Stretch Stocking Suspender")</f>
        <v/>
      </c>
      <c r="C1697" t="inlineStr">
        <is>
          <t>JWBLSPH2108-3pcs</t>
        </is>
      </c>
      <c r="D1697" t="inlineStr">
        <is>
          <t>Clothing</t>
        </is>
      </c>
      <c r="E1697" t="inlineStr">
        <is>
          <t>Garter Belts</t>
        </is>
      </c>
      <c r="F1697" t="inlineStr">
        <is>
          <t>JenniWears</t>
        </is>
      </c>
      <c r="G1697" t="n">
        <v>0</v>
      </c>
      <c r="H1697" t="n">
        <v>0</v>
      </c>
      <c r="I1697" t="inlineStr">
        <is>
          <t>Optimized,Valentine</t>
        </is>
      </c>
      <c r="J1697" s="29" t="n">
        <v>0</v>
      </c>
      <c r="K1697" s="30" t="n"/>
      <c r="L1697" s="29" t="n">
        <v>0</v>
      </c>
      <c r="M1697" s="29" t="n">
        <v>0</v>
      </c>
      <c r="N1697" s="2" t="n">
        <v>0</v>
      </c>
      <c r="O1697" s="31" t="n">
        <v>0</v>
      </c>
      <c r="P1697" s="32" t="n"/>
      <c r="Q1697" s="32" t="n">
        <v>0</v>
      </c>
      <c r="R1697" s="32" t="n">
        <v>0</v>
      </c>
      <c r="S1697" s="31" t="n">
        <v>0</v>
      </c>
      <c r="T1697" s="32" t="n">
        <v>0</v>
      </c>
      <c r="U1697" s="31" t="n">
        <v>0</v>
      </c>
      <c r="V1697" s="31" t="n">
        <v>0</v>
      </c>
      <c r="W1697" s="3" t="n">
        <v>0</v>
      </c>
      <c r="X1697" s="3" t="n">
        <v>0</v>
      </c>
      <c r="Y1697" s="32" t="n">
        <v>0</v>
      </c>
      <c r="Z1697" s="3" t="n">
        <v>0</v>
      </c>
      <c r="AA1697" s="32" t="n">
        <v>0</v>
      </c>
      <c r="AB1697" s="3" t="n"/>
      <c r="AC1697" s="31" t="n">
        <v>0</v>
      </c>
      <c r="AD1697" s="2" t="n">
        <v>0</v>
      </c>
      <c r="AE1697" s="2" t="n">
        <v>10</v>
      </c>
      <c r="AF1697" s="4" t="n">
        <v>10</v>
      </c>
      <c r="AG1697" s="33" t="n">
        <v>0</v>
      </c>
      <c r="AH1697" s="4" t="n">
        <v>0</v>
      </c>
      <c r="AI1697" s="34" t="n"/>
      <c r="AJ1697" s="34" t="n">
        <v>0</v>
      </c>
      <c r="AK1697" s="2" t="n">
        <v>0</v>
      </c>
      <c r="AL1697" t="inlineStr">
        <is>
          <t>Published</t>
        </is>
      </c>
    </row>
    <row r="1698">
      <c r="A1698">
        <f>HYPERLINK("https://www.walmart.com/ip/982844237", "982844237")</f>
        <v/>
      </c>
      <c r="B1698">
        <f>HYPERLINK("https://app.optiwise.ai/catalog/itemdetails/361162", "Tirrina Unisex Outdoor Sun Protection Fishing Cap with Neck Flap Wide Brim Mesh Hat for Travel Camping Hiking Hunting")</f>
        <v/>
      </c>
      <c r="C1698" t="inlineStr">
        <is>
          <t>1WMSH910GN</t>
        </is>
      </c>
      <c r="D1698" t="inlineStr">
        <is>
          <t>Clothing</t>
        </is>
      </c>
      <c r="E1698" t="inlineStr">
        <is>
          <t>Hats</t>
        </is>
      </c>
      <c r="F1698" t="inlineStr">
        <is>
          <t>Tirrinia</t>
        </is>
      </c>
      <c r="G1698" t="n">
        <v>0</v>
      </c>
      <c r="H1698" t="n">
        <v>0</v>
      </c>
      <c r="I1698" t="inlineStr">
        <is>
          <t>Optimized</t>
        </is>
      </c>
      <c r="J1698" s="29" t="n">
        <v>0</v>
      </c>
      <c r="K1698" s="30" t="n"/>
      <c r="L1698" s="29" t="n">
        <v>0</v>
      </c>
      <c r="M1698" s="29" t="n">
        <v>0</v>
      </c>
      <c r="N1698" s="2" t="n">
        <v>0</v>
      </c>
      <c r="O1698" s="31" t="n">
        <v>0</v>
      </c>
      <c r="P1698" s="32" t="n"/>
      <c r="Q1698" s="32" t="n">
        <v>0</v>
      </c>
      <c r="R1698" s="32" t="n">
        <v>0</v>
      </c>
      <c r="S1698" s="31" t="n">
        <v>0</v>
      </c>
      <c r="T1698" s="32" t="n">
        <v>0</v>
      </c>
      <c r="U1698" s="31" t="n">
        <v>0</v>
      </c>
      <c r="V1698" s="31" t="n">
        <v>0</v>
      </c>
      <c r="W1698" s="3" t="n">
        <v>0</v>
      </c>
      <c r="X1698" s="3" t="n">
        <v>0</v>
      </c>
      <c r="Y1698" s="32" t="n">
        <v>0</v>
      </c>
      <c r="Z1698" s="3" t="n">
        <v>0</v>
      </c>
      <c r="AA1698" s="32" t="n">
        <v>0</v>
      </c>
      <c r="AB1698" s="3" t="n"/>
      <c r="AC1698" s="31" t="n">
        <v>0</v>
      </c>
      <c r="AD1698" s="2" t="n">
        <v>0</v>
      </c>
      <c r="AE1698" s="2" t="n">
        <v>2</v>
      </c>
      <c r="AF1698" s="4" t="n">
        <v>2</v>
      </c>
      <c r="AG1698" s="33" t="n">
        <v>0</v>
      </c>
      <c r="AH1698" s="4" t="n">
        <v>0</v>
      </c>
      <c r="AI1698" s="34" t="n"/>
      <c r="AJ1698" s="34" t="n">
        <v>0</v>
      </c>
      <c r="AK1698" s="2" t="n">
        <v>0</v>
      </c>
      <c r="AL1698" t="inlineStr">
        <is>
          <t>Published</t>
        </is>
      </c>
    </row>
    <row r="1699">
      <c r="A1699">
        <f>HYPERLINK("https://www.walmart.com/ip/416219452", "416219452")</f>
        <v/>
      </c>
      <c r="B1699">
        <f>HYPERLINK("https://app.optiwise.ai/catalog/itemdetails/360725", "Jennis 2 Women's Beileise  Sexy Net Pantyhose  Stockings Black Sheer Socks")</f>
        <v/>
      </c>
      <c r="C1699" t="inlineStr">
        <is>
          <t>JWBLSPH2085-2 Packs</t>
        </is>
      </c>
      <c r="D1699" t="inlineStr">
        <is>
          <t>Clothing</t>
        </is>
      </c>
      <c r="E1699" t="inlineStr">
        <is>
          <t>Pantyhose &amp; Tights</t>
        </is>
      </c>
      <c r="F1699" t="inlineStr">
        <is>
          <t>JenniWears</t>
        </is>
      </c>
      <c r="G1699" t="n">
        <v>0</v>
      </c>
      <c r="H1699" t="n">
        <v>0</v>
      </c>
      <c r="I1699" t="inlineStr">
        <is>
          <t>Optimized,Valentine</t>
        </is>
      </c>
      <c r="J1699" s="29" t="n">
        <v>0</v>
      </c>
      <c r="K1699" s="30" t="n"/>
      <c r="L1699" s="29" t="n">
        <v>0</v>
      </c>
      <c r="M1699" s="29" t="n">
        <v>0</v>
      </c>
      <c r="N1699" s="2" t="n">
        <v>0</v>
      </c>
      <c r="O1699" s="31" t="n">
        <v>0</v>
      </c>
      <c r="P1699" s="32" t="n"/>
      <c r="Q1699" s="32" t="n">
        <v>0</v>
      </c>
      <c r="R1699" s="32" t="n">
        <v>0</v>
      </c>
      <c r="S1699" s="31" t="n">
        <v>0</v>
      </c>
      <c r="T1699" s="32" t="n">
        <v>0</v>
      </c>
      <c r="U1699" s="31" t="n">
        <v>0</v>
      </c>
      <c r="V1699" s="31" t="n">
        <v>0</v>
      </c>
      <c r="W1699" s="3" t="n">
        <v>0</v>
      </c>
      <c r="X1699" s="3" t="n">
        <v>0</v>
      </c>
      <c r="Y1699" s="32" t="n">
        <v>0</v>
      </c>
      <c r="Z1699" s="3" t="n">
        <v>0</v>
      </c>
      <c r="AA1699" s="32" t="n">
        <v>0</v>
      </c>
      <c r="AB1699" s="3" t="n"/>
      <c r="AC1699" s="31" t="n">
        <v>0</v>
      </c>
      <c r="AD1699" s="2" t="n">
        <v>0</v>
      </c>
      <c r="AE1699" s="2" t="n">
        <v>1</v>
      </c>
      <c r="AF1699" s="4" t="n">
        <v>1</v>
      </c>
      <c r="AG1699" s="33" t="n">
        <v>0</v>
      </c>
      <c r="AH1699" s="4" t="n">
        <v>0</v>
      </c>
      <c r="AI1699" s="34" t="n"/>
      <c r="AJ1699" s="34" t="n">
        <v>0</v>
      </c>
      <c r="AK1699" s="2" t="n">
        <v>0</v>
      </c>
      <c r="AL1699" t="inlineStr">
        <is>
          <t>Published</t>
        </is>
      </c>
    </row>
    <row r="1700">
      <c r="A1700">
        <f>HYPERLINK("https://www.walmart.com/ip/336796060", "336796060")</f>
        <v/>
      </c>
      <c r="B1700">
        <f>HYPERLINK("https://app.optiwise.ai/catalog/itemdetails/360714", "Womens  5'' Super Wide Brim Sun Hats Summer Reversible UPF 50+ Beach Hat Foldable Floppy Rose Cap Red")</f>
        <v/>
      </c>
      <c r="C1700" t="inlineStr">
        <is>
          <t>1TRSH069RD-TBCB</t>
        </is>
      </c>
      <c r="D1700" t="inlineStr">
        <is>
          <t>Clothing</t>
        </is>
      </c>
      <c r="E1700" t="inlineStr">
        <is>
          <t>Hats</t>
        </is>
      </c>
      <c r="F1700" t="inlineStr">
        <is>
          <t>Tirrinia</t>
        </is>
      </c>
      <c r="G1700" t="n">
        <v>0</v>
      </c>
      <c r="H1700" t="n">
        <v>0</v>
      </c>
      <c r="J1700" s="29" t="n">
        <v>0</v>
      </c>
      <c r="K1700" s="30" t="n"/>
      <c r="L1700" s="29" t="n">
        <v>0</v>
      </c>
      <c r="M1700" s="29" t="n">
        <v>0</v>
      </c>
      <c r="N1700" s="2" t="n">
        <v>0</v>
      </c>
      <c r="O1700" s="31" t="n">
        <v>0</v>
      </c>
      <c r="P1700" s="32" t="n"/>
      <c r="Q1700" s="32" t="n">
        <v>0</v>
      </c>
      <c r="R1700" s="32" t="n">
        <v>0</v>
      </c>
      <c r="S1700" s="31" t="n">
        <v>0</v>
      </c>
      <c r="T1700" s="32" t="n">
        <v>0</v>
      </c>
      <c r="U1700" s="31" t="n">
        <v>0</v>
      </c>
      <c r="V1700" s="31" t="n">
        <v>0</v>
      </c>
      <c r="W1700" s="3" t="n">
        <v>0</v>
      </c>
      <c r="X1700" s="3" t="n">
        <v>0</v>
      </c>
      <c r="Y1700" s="32" t="n">
        <v>0</v>
      </c>
      <c r="Z1700" s="3" t="n">
        <v>0</v>
      </c>
      <c r="AA1700" s="32" t="n">
        <v>0</v>
      </c>
      <c r="AB1700" s="3" t="n"/>
      <c r="AC1700" s="31" t="n">
        <v>0</v>
      </c>
      <c r="AD1700" s="2" t="n">
        <v>0</v>
      </c>
      <c r="AE1700" s="2" t="n">
        <v>2</v>
      </c>
      <c r="AF1700" s="4" t="n">
        <v>2</v>
      </c>
      <c r="AG1700" s="33" t="n">
        <v>0</v>
      </c>
      <c r="AH1700" s="4" t="n">
        <v>0</v>
      </c>
      <c r="AI1700" s="34" t="n"/>
      <c r="AJ1700" s="34" t="n">
        <v>0</v>
      </c>
      <c r="AK1700" s="2" t="n">
        <v>0</v>
      </c>
      <c r="AL1700" t="inlineStr">
        <is>
          <t>Published</t>
        </is>
      </c>
    </row>
    <row r="1701">
      <c r="A1701">
        <f>HYPERLINK("https://www.walmart.com/ip/645515358", "645515358")</f>
        <v/>
      </c>
      <c r="B1701">
        <f>HYPERLINK("https://app.optiwise.ai/catalog/itemdetails/361417", "Medium Pet Travel Backpack Carrier for Dogs Cat Animal Puppy, Breathable Mesh Net Removable Sherpa Bed Outdoor Carrier f")</f>
        <v/>
      </c>
      <c r="C1701" t="inlineStr">
        <is>
          <t>1WMPB200BK</t>
        </is>
      </c>
      <c r="D1701" t="inlineStr">
        <is>
          <t>Animal Other</t>
        </is>
      </c>
      <c r="E1701" t="inlineStr">
        <is>
          <t>Pet Carriers</t>
        </is>
      </c>
      <c r="F1701" t="inlineStr">
        <is>
          <t>Flyingstar</t>
        </is>
      </c>
      <c r="G1701" t="n">
        <v>4.8</v>
      </c>
      <c r="H1701" t="n">
        <v>6</v>
      </c>
      <c r="I1701" t="inlineStr">
        <is>
          <t>Optimized</t>
        </is>
      </c>
      <c r="J1701" s="29" t="n">
        <v>0</v>
      </c>
      <c r="K1701" s="30" t="n"/>
      <c r="L1701" s="29" t="n">
        <v>0</v>
      </c>
      <c r="M1701" s="29" t="n">
        <v>0</v>
      </c>
      <c r="N1701" s="2" t="n">
        <v>0</v>
      </c>
      <c r="O1701" s="31" t="n">
        <v>0</v>
      </c>
      <c r="P1701" s="32" t="n"/>
      <c r="Q1701" s="32" t="n">
        <v>0</v>
      </c>
      <c r="R1701" s="32" t="n">
        <v>0</v>
      </c>
      <c r="S1701" s="31" t="n">
        <v>0</v>
      </c>
      <c r="T1701" s="32" t="n">
        <v>0</v>
      </c>
      <c r="U1701" s="31" t="n">
        <v>0</v>
      </c>
      <c r="V1701" s="31" t="n">
        <v>0</v>
      </c>
      <c r="W1701" s="3" t="n">
        <v>0</v>
      </c>
      <c r="X1701" s="3" t="n">
        <v>0</v>
      </c>
      <c r="Y1701" s="32" t="n">
        <v>0</v>
      </c>
      <c r="Z1701" s="3" t="n">
        <v>0</v>
      </c>
      <c r="AA1701" s="32" t="n">
        <v>0</v>
      </c>
      <c r="AB1701" s="3" t="n"/>
      <c r="AC1701" s="31" t="n">
        <v>0</v>
      </c>
      <c r="AD1701" s="2" t="n">
        <v>0</v>
      </c>
      <c r="AE1701" s="2" t="n">
        <v>70</v>
      </c>
      <c r="AF1701" s="4" t="n">
        <v>70</v>
      </c>
      <c r="AG1701" s="33" t="n">
        <v>0</v>
      </c>
      <c r="AH1701" s="4" t="n">
        <v>0</v>
      </c>
      <c r="AI1701" s="34" t="n"/>
      <c r="AJ1701" s="34" t="n">
        <v>0</v>
      </c>
      <c r="AK1701" s="2" t="n">
        <v>0</v>
      </c>
      <c r="AL1701" t="inlineStr">
        <is>
          <t>Published</t>
        </is>
      </c>
    </row>
    <row r="1702">
      <c r="A1702">
        <f>HYPERLINK("https://www.walmart.com/ip/431906531", "431906531")</f>
        <v/>
      </c>
      <c r="B1702">
        <f>HYPERLINK("https://app.optiwise.ai/catalog/itemdetails/360713", "Jennis Halloween, Masquerades, Carnivals LED Necktie Light Up Tie LED Glow Dark,Upgrade USB Rechargeable Luminous Novelty Necktie Unisex LED Tie for Party Costume Men Women Boys")</f>
        <v/>
      </c>
      <c r="C1702" t="inlineStr">
        <is>
          <t>LEDTIE02-RD</t>
        </is>
      </c>
      <c r="D1702" t="inlineStr">
        <is>
          <t>Clothing</t>
        </is>
      </c>
      <c r="E1702" t="inlineStr">
        <is>
          <t>Neckties</t>
        </is>
      </c>
      <c r="F1702" t="inlineStr">
        <is>
          <t>JenniWears</t>
        </is>
      </c>
      <c r="G1702" t="n">
        <v>0</v>
      </c>
      <c r="H1702" t="n">
        <v>0</v>
      </c>
      <c r="I1702" t="inlineStr">
        <is>
          <t>Optimized,Halloween</t>
        </is>
      </c>
      <c r="J1702" s="29" t="n">
        <v>0</v>
      </c>
      <c r="K1702" s="30" t="n"/>
      <c r="L1702" s="29" t="n">
        <v>0</v>
      </c>
      <c r="M1702" s="29" t="n">
        <v>0</v>
      </c>
      <c r="N1702" s="2" t="n">
        <v>0</v>
      </c>
      <c r="O1702" s="31" t="n">
        <v>0</v>
      </c>
      <c r="P1702" s="32" t="n"/>
      <c r="Q1702" s="32" t="n">
        <v>0</v>
      </c>
      <c r="R1702" s="32" t="n">
        <v>0</v>
      </c>
      <c r="S1702" s="31" t="n">
        <v>0</v>
      </c>
      <c r="T1702" s="32" t="n">
        <v>0</v>
      </c>
      <c r="U1702" s="31" t="n">
        <v>0</v>
      </c>
      <c r="V1702" s="31" t="n">
        <v>0</v>
      </c>
      <c r="W1702" s="3" t="n">
        <v>0</v>
      </c>
      <c r="X1702" s="3" t="n">
        <v>0</v>
      </c>
      <c r="Y1702" s="32" t="n">
        <v>0</v>
      </c>
      <c r="Z1702" s="3" t="n">
        <v>0</v>
      </c>
      <c r="AA1702" s="32" t="n">
        <v>0</v>
      </c>
      <c r="AB1702" s="3" t="n"/>
      <c r="AC1702" s="31" t="n">
        <v>0</v>
      </c>
      <c r="AD1702" s="2" t="n">
        <v>0</v>
      </c>
      <c r="AE1702" s="2" t="n">
        <v>1</v>
      </c>
      <c r="AF1702" s="4" t="n">
        <v>1</v>
      </c>
      <c r="AG1702" s="33" t="n">
        <v>0</v>
      </c>
      <c r="AH1702" s="4" t="n">
        <v>0</v>
      </c>
      <c r="AI1702" s="34" t="n"/>
      <c r="AJ1702" s="34" t="n">
        <v>0</v>
      </c>
      <c r="AK1702" s="2" t="n">
        <v>0</v>
      </c>
      <c r="AL1702" t="inlineStr">
        <is>
          <t>Published</t>
        </is>
      </c>
    </row>
    <row r="1703">
      <c r="A1703">
        <f>HYPERLINK("https://www.walmart.com/ip/587208547", "587208547")</f>
        <v/>
      </c>
      <c r="B1703">
        <f>HYPERLINK("https://app.optiwise.ai/catalog/itemdetails/359311", "Flyingstar Casual Cropped Oversized Hoodie for Women, Black Crop Top Sweatshirt, 3/4 Sleeve, One Size")</f>
        <v/>
      </c>
      <c r="C1703" t="inlineStr">
        <is>
          <t>1WMHD520S1BK</t>
        </is>
      </c>
      <c r="D1703" t="inlineStr">
        <is>
          <t>Clothing</t>
        </is>
      </c>
      <c r="E1703" t="inlineStr">
        <is>
          <t>Sweatshirts &amp; Hoodies</t>
        </is>
      </c>
      <c r="F1703" t="inlineStr">
        <is>
          <t>Flyingstar</t>
        </is>
      </c>
      <c r="G1703" t="n">
        <v>0</v>
      </c>
      <c r="H1703" t="n">
        <v>0</v>
      </c>
      <c r="I1703" t="inlineStr">
        <is>
          <t>Hoodie ForAdult,Optimized</t>
        </is>
      </c>
      <c r="J1703" s="29" t="n">
        <v>0</v>
      </c>
      <c r="K1703" s="30" t="n"/>
      <c r="L1703" s="29" t="n">
        <v>0</v>
      </c>
      <c r="M1703" s="29" t="n">
        <v>0</v>
      </c>
      <c r="N1703" s="2" t="n">
        <v>0</v>
      </c>
      <c r="O1703" s="31" t="n">
        <v>3.360000000000001</v>
      </c>
      <c r="P1703" s="32" t="n">
        <v>0.0004</v>
      </c>
      <c r="Q1703" s="32" t="n">
        <v>0</v>
      </c>
      <c r="R1703" s="32" t="n">
        <v>0.2531</v>
      </c>
      <c r="S1703" s="31" t="n">
        <v>0</v>
      </c>
      <c r="T1703" s="32" t="n">
        <v>0</v>
      </c>
      <c r="U1703" s="31" t="n">
        <v>0</v>
      </c>
      <c r="V1703" s="31" t="n">
        <v>0</v>
      </c>
      <c r="W1703" s="3" t="n">
        <v>13583</v>
      </c>
      <c r="X1703" s="3" t="n">
        <v>10</v>
      </c>
      <c r="Y1703" s="32" t="n">
        <v>0.0007</v>
      </c>
      <c r="Z1703" s="3" t="n">
        <v>0</v>
      </c>
      <c r="AA1703" s="32" t="n">
        <v>0</v>
      </c>
      <c r="AB1703" s="3" t="inlineStr">
        <is>
          <t>Hoodies_Auto</t>
        </is>
      </c>
      <c r="AC1703" s="31" t="n">
        <v>0.34</v>
      </c>
      <c r="AD1703" s="2" t="n">
        <v>0</v>
      </c>
      <c r="AE1703" s="2" t="n">
        <v>4</v>
      </c>
      <c r="AF1703" s="4" t="inlineStr">
        <is>
          <t>NA</t>
        </is>
      </c>
      <c r="AG1703" s="33" t="n">
        <v>0</v>
      </c>
      <c r="AH1703" s="4" t="n">
        <v>0</v>
      </c>
      <c r="AI1703" s="34" t="inlineStr">
        <is>
          <t>NA</t>
        </is>
      </c>
      <c r="AJ1703" s="34" t="n">
        <v>0</v>
      </c>
      <c r="AK1703" s="2" t="n">
        <v>0</v>
      </c>
      <c r="AL1703" t="inlineStr">
        <is>
          <t>Published</t>
        </is>
      </c>
    </row>
    <row r="1704">
      <c r="A1704">
        <f>HYPERLINK("https://www.walmart.com/ip/111893217", "111893217")</f>
        <v/>
      </c>
      <c r="B1704">
        <f>HYPERLINK("https://app.optiwise.ai/catalog/itemdetails/359310", "Pawsse Water Resistant Dog Blanket, Premium Pet Puppy Furniture Protector Cover, Large 80 x 60, Gray")</f>
        <v/>
      </c>
      <c r="C1704" t="inlineStr">
        <is>
          <t>1PSBW681GYTP</t>
        </is>
      </c>
      <c r="D1704" t="inlineStr">
        <is>
          <t>Animal Accessories</t>
        </is>
      </c>
      <c r="E1704" t="inlineStr">
        <is>
          <t>Pet Blankets</t>
        </is>
      </c>
      <c r="F1704" t="inlineStr">
        <is>
          <t>Pawsse</t>
        </is>
      </c>
      <c r="G1704" t="n">
        <v>0</v>
      </c>
      <c r="H1704" t="n">
        <v>0</v>
      </c>
      <c r="I1704" t="inlineStr">
        <is>
          <t>Optimized,WFS,WFS Item</t>
        </is>
      </c>
      <c r="J1704" s="29" t="n">
        <v>0</v>
      </c>
      <c r="K1704" s="30" t="n"/>
      <c r="L1704" s="29" t="n">
        <v>0</v>
      </c>
      <c r="M1704" s="29" t="n">
        <v>0</v>
      </c>
      <c r="N1704" s="2" t="n">
        <v>0</v>
      </c>
      <c r="O1704" s="31" t="n">
        <v>0</v>
      </c>
      <c r="P1704" s="32" t="n"/>
      <c r="Q1704" s="32" t="n">
        <v>0</v>
      </c>
      <c r="R1704" s="32" t="n">
        <v>0.06</v>
      </c>
      <c r="S1704" s="31" t="n">
        <v>0</v>
      </c>
      <c r="T1704" s="32" t="n">
        <v>0</v>
      </c>
      <c r="U1704" s="31" t="n">
        <v>0</v>
      </c>
      <c r="V1704" s="31" t="n">
        <v>0</v>
      </c>
      <c r="W1704" s="3" t="n">
        <v>0</v>
      </c>
      <c r="X1704" s="3" t="n">
        <v>0</v>
      </c>
      <c r="Y1704" s="32" t="n">
        <v>0</v>
      </c>
      <c r="Z1704" s="3" t="n">
        <v>0</v>
      </c>
      <c r="AA1704" s="32" t="n">
        <v>0</v>
      </c>
      <c r="AB1704" s="3" t="n"/>
      <c r="AC1704" s="31" t="n">
        <v>0</v>
      </c>
      <c r="AD1704" s="2" t="n">
        <v>0</v>
      </c>
      <c r="AE1704" s="2" t="n">
        <v>28</v>
      </c>
      <c r="AF1704" s="4" t="n">
        <v>28</v>
      </c>
      <c r="AG1704" s="33" t="n">
        <v>0</v>
      </c>
      <c r="AH1704" s="4" t="n">
        <v>0</v>
      </c>
      <c r="AI1704" s="34" t="n"/>
      <c r="AJ1704" s="34" t="n">
        <v>0</v>
      </c>
      <c r="AK1704" s="2" t="n">
        <v>0</v>
      </c>
      <c r="AL1704" t="inlineStr">
        <is>
          <t>Published</t>
        </is>
      </c>
    </row>
    <row r="1705">
      <c r="A1705">
        <f>HYPERLINK("https://www.walmart.com/ip/158908102", "158908102")</f>
        <v/>
      </c>
      <c r="B1705">
        <f>HYPERLINK("https://app.optiwise.ai/catalog/itemdetails/359304", "Flyingstar 2 Bottle Insulated Wine Tote Carrier, Wine Cooler Bag for Travel, Beige")</f>
        <v/>
      </c>
      <c r="C1705" t="inlineStr">
        <is>
          <t>1WMWB220BG</t>
        </is>
      </c>
      <c r="D1705" t="inlineStr">
        <is>
          <t>Home Decor, Kitchen, &amp; Other</t>
        </is>
      </c>
      <c r="E1705" t="inlineStr">
        <is>
          <t>Wine Totes, Bags &amp; Backpacks</t>
        </is>
      </c>
      <c r="F1705" t="inlineStr">
        <is>
          <t>Flyingstar</t>
        </is>
      </c>
      <c r="G1705" t="n">
        <v>0</v>
      </c>
      <c r="H1705" t="n">
        <v>0</v>
      </c>
      <c r="I1705" t="inlineStr">
        <is>
          <t>Wine,Christmas,Optimized,Valentine,SEM</t>
        </is>
      </c>
      <c r="J1705" s="29" t="n">
        <v>0</v>
      </c>
      <c r="K1705" s="30" t="n"/>
      <c r="L1705" s="29" t="n">
        <v>0</v>
      </c>
      <c r="M1705" s="29" t="n">
        <v>0</v>
      </c>
      <c r="N1705" s="2" t="n">
        <v>0</v>
      </c>
      <c r="O1705" s="31" t="n">
        <v>0</v>
      </c>
      <c r="P1705" s="32" t="n"/>
      <c r="Q1705" s="32" t="n">
        <v>0</v>
      </c>
      <c r="R1705" s="32" t="n">
        <v>0</v>
      </c>
      <c r="S1705" s="31" t="n">
        <v>0</v>
      </c>
      <c r="T1705" s="32" t="n">
        <v>0</v>
      </c>
      <c r="U1705" s="31" t="n">
        <v>0</v>
      </c>
      <c r="V1705" s="31" t="n">
        <v>0</v>
      </c>
      <c r="W1705" s="3" t="n">
        <v>0</v>
      </c>
      <c r="X1705" s="3" t="n">
        <v>0</v>
      </c>
      <c r="Y1705" s="32" t="n">
        <v>0</v>
      </c>
      <c r="Z1705" s="3" t="n">
        <v>0</v>
      </c>
      <c r="AA1705" s="32" t="n">
        <v>0</v>
      </c>
      <c r="AB1705" s="3" t="n"/>
      <c r="AC1705" s="31" t="n">
        <v>0</v>
      </c>
      <c r="AD1705" s="2" t="n">
        <v>0</v>
      </c>
      <c r="AE1705" s="2" t="n">
        <v>9</v>
      </c>
      <c r="AF1705" s="4" t="n">
        <v>9</v>
      </c>
      <c r="AG1705" s="33" t="n">
        <v>0</v>
      </c>
      <c r="AH1705" s="4" t="n">
        <v>0</v>
      </c>
      <c r="AI1705" s="34" t="n"/>
      <c r="AJ1705" s="34" t="n">
        <v>0</v>
      </c>
      <c r="AK1705" s="2" t="n">
        <v>0</v>
      </c>
      <c r="AL1705" t="inlineStr">
        <is>
          <t>Published</t>
        </is>
      </c>
    </row>
    <row r="1706">
      <c r="A1706">
        <f>HYPERLINK("https://www.walmart.com/ip/527484062", "527484062")</f>
        <v/>
      </c>
      <c r="B1706">
        <f>HYPERLINK("https://app.optiwise.ai/catalog/itemdetails/359302", "Catalonia Fuzzy Snuggle Sherpa Throw Blanket for Camping Traveling Couch Bed, 50x60 inches, Purple")</f>
        <v/>
      </c>
      <c r="C1706" t="inlineStr">
        <is>
          <t>1CTBF566PP</t>
        </is>
      </c>
      <c r="D1706" t="inlineStr">
        <is>
          <t>Bedding</t>
        </is>
      </c>
      <c r="E1706" t="inlineStr">
        <is>
          <t>Throws</t>
        </is>
      </c>
      <c r="F1706" t="inlineStr">
        <is>
          <t>Catalonia</t>
        </is>
      </c>
      <c r="G1706" t="n">
        <v>3</v>
      </c>
      <c r="H1706" t="n">
        <v>1</v>
      </c>
      <c r="I1706" t="inlineStr">
        <is>
          <t>Optimized,WFS,WFS Item</t>
        </is>
      </c>
      <c r="J1706" s="29" t="n">
        <v>0</v>
      </c>
      <c r="K1706" s="30" t="n"/>
      <c r="L1706" s="29" t="n">
        <v>0</v>
      </c>
      <c r="M1706" s="29" t="n">
        <v>0</v>
      </c>
      <c r="N1706" s="2" t="n">
        <v>0</v>
      </c>
      <c r="O1706" s="31" t="n">
        <v>0</v>
      </c>
      <c r="P1706" s="32" t="n"/>
      <c r="Q1706" s="32" t="n">
        <v>0</v>
      </c>
      <c r="R1706" s="32" t="n">
        <v>0</v>
      </c>
      <c r="S1706" s="31" t="n">
        <v>0</v>
      </c>
      <c r="T1706" s="32" t="n">
        <v>0</v>
      </c>
      <c r="U1706" s="31" t="n">
        <v>0</v>
      </c>
      <c r="V1706" s="31" t="n">
        <v>0</v>
      </c>
      <c r="W1706" s="3" t="n">
        <v>0</v>
      </c>
      <c r="X1706" s="3" t="n">
        <v>0</v>
      </c>
      <c r="Y1706" s="32" t="n">
        <v>0</v>
      </c>
      <c r="Z1706" s="3" t="n">
        <v>0</v>
      </c>
      <c r="AA1706" s="32" t="n">
        <v>0</v>
      </c>
      <c r="AB1706" s="3" t="n"/>
      <c r="AC1706" s="31" t="n">
        <v>0</v>
      </c>
      <c r="AD1706" s="2" t="n">
        <v>0</v>
      </c>
      <c r="AE1706" s="2" t="n">
        <v>13</v>
      </c>
      <c r="AF1706" s="4" t="n">
        <v>13</v>
      </c>
      <c r="AG1706" s="33" t="n">
        <v>0</v>
      </c>
      <c r="AH1706" s="4" t="n">
        <v>0</v>
      </c>
      <c r="AI1706" s="34" t="n"/>
      <c r="AJ1706" s="34" t="n">
        <v>0</v>
      </c>
      <c r="AK1706" s="2" t="n">
        <v>0</v>
      </c>
      <c r="AL1706" t="inlineStr">
        <is>
          <t>Published</t>
        </is>
      </c>
    </row>
    <row r="1707">
      <c r="A1707">
        <f>HYPERLINK("https://www.walmart.com/ip/413859906", "413859906")</f>
        <v/>
      </c>
      <c r="B1707">
        <f>HYPERLINK("https://app.optiwise.ai/catalog/itemdetails/359298", "Flyingstar Monkey Blanket for Kids, Hooded Wearable Snuggle Tail Blanket, Super Soft Plush Slumber Bags for Toddlers and Children, All Seasons")</f>
        <v/>
      </c>
      <c r="C1707" t="inlineStr">
        <is>
          <t>1WMMM200MK</t>
        </is>
      </c>
      <c r="D1707" t="inlineStr">
        <is>
          <t>Home Decor, Kitchen, &amp; Other</t>
        </is>
      </c>
      <c r="E1707" t="inlineStr">
        <is>
          <t>Baby Blankets</t>
        </is>
      </c>
      <c r="F1707" t="inlineStr">
        <is>
          <t>Flyingstar</t>
        </is>
      </c>
      <c r="G1707" t="n">
        <v>3.5</v>
      </c>
      <c r="H1707" t="n">
        <v>2</v>
      </c>
      <c r="I1707" t="inlineStr">
        <is>
          <t>Baby days,Optimized</t>
        </is>
      </c>
      <c r="J1707" s="29" t="n">
        <v>0</v>
      </c>
      <c r="K1707" s="30" t="n"/>
      <c r="L1707" s="29" t="n">
        <v>0</v>
      </c>
      <c r="M1707" s="29" t="n">
        <v>0</v>
      </c>
      <c r="N1707" s="2" t="n">
        <v>0</v>
      </c>
      <c r="O1707" s="31" t="n">
        <v>0</v>
      </c>
      <c r="P1707" s="32" t="n"/>
      <c r="Q1707" s="32" t="n">
        <v>0</v>
      </c>
      <c r="R1707" s="32" t="n">
        <v>0</v>
      </c>
      <c r="S1707" s="31" t="n">
        <v>0</v>
      </c>
      <c r="T1707" s="32" t="n">
        <v>0</v>
      </c>
      <c r="U1707" s="31" t="n">
        <v>0</v>
      </c>
      <c r="V1707" s="31" t="n">
        <v>0</v>
      </c>
      <c r="W1707" s="3" t="n">
        <v>0</v>
      </c>
      <c r="X1707" s="3" t="n">
        <v>0</v>
      </c>
      <c r="Y1707" s="32" t="n">
        <v>0</v>
      </c>
      <c r="Z1707" s="3" t="n">
        <v>0</v>
      </c>
      <c r="AA1707" s="32" t="n">
        <v>0</v>
      </c>
      <c r="AB1707" s="3" t="n"/>
      <c r="AC1707" s="31" t="n">
        <v>0</v>
      </c>
      <c r="AD1707" s="2" t="n">
        <v>0</v>
      </c>
      <c r="AE1707" s="2" t="n">
        <v>1</v>
      </c>
      <c r="AF1707" s="4" t="n">
        <v>1</v>
      </c>
      <c r="AG1707" s="33" t="n">
        <v>0</v>
      </c>
      <c r="AH1707" s="4" t="n">
        <v>0</v>
      </c>
      <c r="AI1707" s="34" t="n"/>
      <c r="AJ1707" s="34" t="n">
        <v>0</v>
      </c>
      <c r="AK1707" s="2" t="n">
        <v>0</v>
      </c>
      <c r="AL1707" t="inlineStr">
        <is>
          <t>Published</t>
        </is>
      </c>
    </row>
    <row r="1708">
      <c r="A1708">
        <f>HYPERLINK("https://www.walmart.com/ip/891778101", "891778101")</f>
        <v/>
      </c>
      <c r="B1708">
        <f>HYPERLINK("https://app.optiwise.ai/catalog/itemdetails/359297", "Baby Bag for Mom or Dad, Backpack Diaper Bag Organizer with Stroller Straps and Changing Pad, Large, Grey")</f>
        <v/>
      </c>
      <c r="C1708" t="inlineStr">
        <is>
          <t>TRBP400GY</t>
        </is>
      </c>
      <c r="D1708" t="inlineStr">
        <is>
          <t>Baby Diapering, Care, &amp; Other</t>
        </is>
      </c>
      <c r="E1708" t="inlineStr">
        <is>
          <t>Diaper Bags</t>
        </is>
      </c>
      <c r="F1708" t="inlineStr">
        <is>
          <t>Terrania</t>
        </is>
      </c>
      <c r="G1708" t="n">
        <v>1</v>
      </c>
      <c r="H1708" t="n">
        <v>1</v>
      </c>
      <c r="I1708" t="inlineStr">
        <is>
          <t>Baby days,Optimized</t>
        </is>
      </c>
      <c r="J1708" s="29" t="n">
        <v>0</v>
      </c>
      <c r="K1708" s="30" t="n"/>
      <c r="L1708" s="29" t="n">
        <v>0</v>
      </c>
      <c r="M1708" s="29" t="n">
        <v>0</v>
      </c>
      <c r="N1708" s="2" t="n">
        <v>0</v>
      </c>
      <c r="O1708" s="31" t="n">
        <v>0</v>
      </c>
      <c r="P1708" s="32" t="n"/>
      <c r="Q1708" s="32" t="n">
        <v>0</v>
      </c>
      <c r="R1708" s="32" t="n">
        <v>0</v>
      </c>
      <c r="S1708" s="31" t="n">
        <v>0</v>
      </c>
      <c r="T1708" s="32" t="n">
        <v>0</v>
      </c>
      <c r="U1708" s="31" t="n">
        <v>0</v>
      </c>
      <c r="V1708" s="31" t="n">
        <v>0</v>
      </c>
      <c r="W1708" s="3" t="n">
        <v>0</v>
      </c>
      <c r="X1708" s="3" t="n">
        <v>0</v>
      </c>
      <c r="Y1708" s="32" t="n">
        <v>0</v>
      </c>
      <c r="Z1708" s="3" t="n">
        <v>0</v>
      </c>
      <c r="AA1708" s="32" t="n">
        <v>0</v>
      </c>
      <c r="AB1708" s="3" t="n"/>
      <c r="AC1708" s="31" t="n">
        <v>0</v>
      </c>
      <c r="AD1708" s="2" t="n">
        <v>0</v>
      </c>
      <c r="AE1708" s="2" t="n">
        <v>7</v>
      </c>
      <c r="AF1708" s="4" t="n">
        <v>7</v>
      </c>
      <c r="AG1708" s="33" t="n">
        <v>0</v>
      </c>
      <c r="AH1708" s="4" t="n">
        <v>0</v>
      </c>
      <c r="AI1708" s="34" t="n"/>
      <c r="AJ1708" s="34" t="n">
        <v>0</v>
      </c>
      <c r="AK1708" s="2" t="n">
        <v>0</v>
      </c>
      <c r="AL1708" t="inlineStr">
        <is>
          <t>Published</t>
        </is>
      </c>
    </row>
    <row r="1709">
      <c r="A1709">
        <f>HYPERLINK("https://www.walmart.com/ip/542705229", "542705229")</f>
        <v/>
      </c>
      <c r="B1709">
        <f>HYPERLINK("https://app.optiwise.ai/catalog/itemdetails/359293", "Flyingstar Blanket with Sleeves and Pocket, Wearable Throws Blanket, Robe for Women and Men 73” x 51” Gray")</f>
        <v/>
      </c>
      <c r="C1709" t="inlineStr">
        <is>
          <t>1WMSN100GY-ESGM</t>
        </is>
      </c>
      <c r="D1709" t="inlineStr">
        <is>
          <t>Bedding</t>
        </is>
      </c>
      <c r="E1709" t="inlineStr">
        <is>
          <t>Throws</t>
        </is>
      </c>
      <c r="F1709" t="inlineStr">
        <is>
          <t>Flyingstar</t>
        </is>
      </c>
      <c r="G1709" t="n">
        <v>5</v>
      </c>
      <c r="H1709" t="n">
        <v>1</v>
      </c>
      <c r="I1709" t="inlineStr">
        <is>
          <t>Batch 1 - TR</t>
        </is>
      </c>
      <c r="J1709" s="29" t="n">
        <v>0</v>
      </c>
      <c r="K1709" s="30" t="n"/>
      <c r="L1709" s="29" t="n">
        <v>0</v>
      </c>
      <c r="M1709" s="29" t="n">
        <v>0</v>
      </c>
      <c r="N1709" s="2" t="n">
        <v>0</v>
      </c>
      <c r="O1709" s="31" t="n">
        <v>0</v>
      </c>
      <c r="P1709" s="32" t="n"/>
      <c r="Q1709" s="32" t="n">
        <v>0</v>
      </c>
      <c r="R1709" s="32" t="n">
        <v>0</v>
      </c>
      <c r="S1709" s="31" t="n">
        <v>0</v>
      </c>
      <c r="T1709" s="32" t="n">
        <v>0</v>
      </c>
      <c r="U1709" s="31" t="n">
        <v>0</v>
      </c>
      <c r="V1709" s="31" t="n">
        <v>0</v>
      </c>
      <c r="W1709" s="3" t="n">
        <v>0</v>
      </c>
      <c r="X1709" s="3" t="n">
        <v>0</v>
      </c>
      <c r="Y1709" s="32" t="n">
        <v>0</v>
      </c>
      <c r="Z1709" s="3" t="n">
        <v>0</v>
      </c>
      <c r="AA1709" s="32" t="n">
        <v>0</v>
      </c>
      <c r="AB1709" s="3" t="n"/>
      <c r="AC1709" s="31" t="n">
        <v>0</v>
      </c>
      <c r="AD1709" s="2" t="n">
        <v>0</v>
      </c>
      <c r="AE1709" s="2" t="n">
        <v>1</v>
      </c>
      <c r="AF1709" s="4" t="n">
        <v>1</v>
      </c>
      <c r="AG1709" s="33" t="n">
        <v>0</v>
      </c>
      <c r="AH1709" s="4" t="n">
        <v>0</v>
      </c>
      <c r="AI1709" s="34" t="n"/>
      <c r="AJ1709" s="34" t="n">
        <v>0</v>
      </c>
      <c r="AK1709" s="2" t="n">
        <v>0</v>
      </c>
      <c r="AL1709" t="inlineStr">
        <is>
          <t>Published</t>
        </is>
      </c>
    </row>
    <row r="1710">
      <c r="A1710">
        <f>HYPERLINK("https://www.walmart.com/ip/988235552", "988235552")</f>
        <v/>
      </c>
      <c r="B1710">
        <f>HYPERLINK("https://app.optiwise.ai/catalog/itemdetails/359287", "Two-Piece Ladies Tankini Swimsuit for Women Swimsuits by Tirrinia")</f>
        <v/>
      </c>
      <c r="C1710" t="inlineStr">
        <is>
          <t>1TRSS003BL-L</t>
        </is>
      </c>
      <c r="D1710" t="inlineStr">
        <is>
          <t>Clothing</t>
        </is>
      </c>
      <c r="E1710" t="inlineStr">
        <is>
          <t>Swimsuit Sets</t>
        </is>
      </c>
      <c r="F1710" t="inlineStr">
        <is>
          <t>Tirrinia</t>
        </is>
      </c>
      <c r="G1710" t="n">
        <v>4</v>
      </c>
      <c r="H1710" t="n">
        <v>2</v>
      </c>
      <c r="J1710" s="29" t="n">
        <v>0</v>
      </c>
      <c r="K1710" s="30" t="n"/>
      <c r="L1710" s="29" t="n">
        <v>0</v>
      </c>
      <c r="M1710" s="29" t="n">
        <v>0</v>
      </c>
      <c r="N1710" s="2" t="n">
        <v>0</v>
      </c>
      <c r="O1710" s="31" t="n">
        <v>0</v>
      </c>
      <c r="P1710" s="32" t="n"/>
      <c r="Q1710" s="32" t="n">
        <v>0</v>
      </c>
      <c r="R1710" s="32" t="n">
        <v>0</v>
      </c>
      <c r="S1710" s="31" t="n">
        <v>0</v>
      </c>
      <c r="T1710" s="32" t="n">
        <v>0</v>
      </c>
      <c r="U1710" s="31" t="n">
        <v>0</v>
      </c>
      <c r="V1710" s="31" t="n">
        <v>0</v>
      </c>
      <c r="W1710" s="3" t="n">
        <v>0</v>
      </c>
      <c r="X1710" s="3" t="n">
        <v>0</v>
      </c>
      <c r="Y1710" s="32" t="n">
        <v>0</v>
      </c>
      <c r="Z1710" s="3" t="n">
        <v>0</v>
      </c>
      <c r="AA1710" s="32" t="n">
        <v>0</v>
      </c>
      <c r="AB1710" s="3" t="n"/>
      <c r="AC1710" s="31" t="n">
        <v>0</v>
      </c>
      <c r="AD1710" s="2" t="n">
        <v>0</v>
      </c>
      <c r="AE1710" s="2" t="n">
        <v>2</v>
      </c>
      <c r="AF1710" s="4" t="n">
        <v>2</v>
      </c>
      <c r="AG1710" s="33" t="n">
        <v>0</v>
      </c>
      <c r="AH1710" s="4" t="n">
        <v>0</v>
      </c>
      <c r="AI1710" s="34" t="n"/>
      <c r="AJ1710" s="34" t="n">
        <v>0</v>
      </c>
      <c r="AK1710" s="2" t="n">
        <v>0</v>
      </c>
      <c r="AL1710" t="inlineStr">
        <is>
          <t>Published</t>
        </is>
      </c>
    </row>
    <row r="1711">
      <c r="A1711">
        <f>HYPERLINK("https://www.walmart.com/ip/696086917", "696086917")</f>
        <v/>
      </c>
      <c r="B1711">
        <f>HYPERLINK("https://app.optiwise.ai/catalog/itemdetails/359283", "Kato 5 Pcs Deluxe Wine Accessory Gift Set - Wine Bottle Corkscrew Opener, Stopper, Drip Ring, Foil Cutter")</f>
        <v/>
      </c>
      <c r="C1711" t="inlineStr">
        <is>
          <t>1KTWO500BK</t>
        </is>
      </c>
      <c r="D1711" t="inlineStr">
        <is>
          <t>Home Decor, Kitchen, &amp; Other</t>
        </is>
      </c>
      <c r="E1711" t="inlineStr">
        <is>
          <t>Corkscrews &amp; Wine Bottle Openers</t>
        </is>
      </c>
      <c r="F1711" t="inlineStr">
        <is>
          <t>Kato</t>
        </is>
      </c>
      <c r="G1711" t="n">
        <v>0</v>
      </c>
      <c r="H1711" t="n">
        <v>0</v>
      </c>
      <c r="I1711" t="inlineStr">
        <is>
          <t>Wine,Christmas,WFS,Valentine,WFS Item</t>
        </is>
      </c>
      <c r="J1711" s="29" t="n">
        <v>0</v>
      </c>
      <c r="K1711" s="30" t="n"/>
      <c r="L1711" s="29" t="n">
        <v>0</v>
      </c>
      <c r="M1711" s="29" t="n">
        <v>0</v>
      </c>
      <c r="N1711" s="2" t="n">
        <v>0</v>
      </c>
      <c r="O1711" s="31" t="n">
        <v>11.91</v>
      </c>
      <c r="P1711" s="32" t="n">
        <v>0.0014</v>
      </c>
      <c r="Q1711" s="32" t="n">
        <v>0</v>
      </c>
      <c r="R1711" s="32" t="n">
        <v>0.1099</v>
      </c>
      <c r="S1711" s="31" t="n">
        <v>0</v>
      </c>
      <c r="T1711" s="32" t="n">
        <v>0</v>
      </c>
      <c r="U1711" s="31" t="n">
        <v>0</v>
      </c>
      <c r="V1711" s="31" t="n">
        <v>0</v>
      </c>
      <c r="W1711" s="3" t="n">
        <v>17179</v>
      </c>
      <c r="X1711" s="3" t="n">
        <v>24</v>
      </c>
      <c r="Y1711" s="32" t="n">
        <v>0.0014</v>
      </c>
      <c r="Z1711" s="3" t="n">
        <v>0</v>
      </c>
      <c r="AA1711" s="32" t="n">
        <v>0</v>
      </c>
      <c r="AB1711" s="3" t="inlineStr">
        <is>
          <t>Auto Campaign_Vinay</t>
        </is>
      </c>
      <c r="AC1711" s="31" t="n">
        <v>0.5</v>
      </c>
      <c r="AD1711" s="2" t="n">
        <v>0</v>
      </c>
      <c r="AE1711" s="2" t="n">
        <v>28</v>
      </c>
      <c r="AF1711" s="4" t="n">
        <v>4</v>
      </c>
      <c r="AG1711" s="33" t="n">
        <v>0</v>
      </c>
      <c r="AH1711" s="4" t="n">
        <v>0</v>
      </c>
      <c r="AI1711" s="34" t="n"/>
      <c r="AJ1711" s="34" t="n">
        <v>0</v>
      </c>
      <c r="AK1711" s="2" t="n">
        <v>0</v>
      </c>
      <c r="AL1711" t="inlineStr">
        <is>
          <t>Published</t>
        </is>
      </c>
    </row>
    <row r="1712">
      <c r="A1712">
        <f>HYPERLINK("https://www.walmart.com/ip/534793727", "534793727")</f>
        <v/>
      </c>
      <c r="B1712">
        <f>HYPERLINK("https://app.optiwise.ai/catalog/itemdetails/359281", "New Camo Break Up Heavy Duty Backpack Shoulder Bag for Hunting Fishing Camping")</f>
        <v/>
      </c>
      <c r="C1712" t="inlineStr">
        <is>
          <t>b1818-Backpack</t>
        </is>
      </c>
      <c r="D1712" t="inlineStr">
        <is>
          <t>Cases &amp; Bags</t>
        </is>
      </c>
      <c r="E1712" t="inlineStr">
        <is>
          <t>Backpacks</t>
        </is>
      </c>
      <c r="F1712" t="inlineStr">
        <is>
          <t>KC Caps</t>
        </is>
      </c>
      <c r="G1712" t="n">
        <v>0</v>
      </c>
      <c r="H1712" t="n">
        <v>0</v>
      </c>
      <c r="I1712" t="inlineStr">
        <is>
          <t>Backpack,Optimized</t>
        </is>
      </c>
      <c r="J1712" s="29" t="n">
        <v>0</v>
      </c>
      <c r="K1712" s="30" t="n"/>
      <c r="L1712" s="29" t="n">
        <v>0</v>
      </c>
      <c r="M1712" s="29" t="n">
        <v>0</v>
      </c>
      <c r="N1712" s="2" t="n">
        <v>0</v>
      </c>
      <c r="O1712" s="31" t="n">
        <v>0</v>
      </c>
      <c r="P1712" s="32" t="n"/>
      <c r="Q1712" s="32" t="n">
        <v>0</v>
      </c>
      <c r="R1712" s="32" t="n">
        <v>0</v>
      </c>
      <c r="S1712" s="31" t="n">
        <v>0</v>
      </c>
      <c r="T1712" s="32" t="n">
        <v>0</v>
      </c>
      <c r="U1712" s="31" t="n">
        <v>0</v>
      </c>
      <c r="V1712" s="31" t="n">
        <v>0</v>
      </c>
      <c r="W1712" s="3" t="n">
        <v>0</v>
      </c>
      <c r="X1712" s="3" t="n">
        <v>0</v>
      </c>
      <c r="Y1712" s="32" t="n">
        <v>0</v>
      </c>
      <c r="Z1712" s="3" t="n">
        <v>0</v>
      </c>
      <c r="AA1712" s="32" t="n">
        <v>0</v>
      </c>
      <c r="AB1712" s="3" t="n"/>
      <c r="AC1712" s="31" t="n">
        <v>0</v>
      </c>
      <c r="AD1712" s="2" t="n">
        <v>0</v>
      </c>
      <c r="AE1712" s="2" t="n">
        <v>1</v>
      </c>
      <c r="AF1712" s="4" t="n">
        <v>1</v>
      </c>
      <c r="AG1712" s="33" t="n">
        <v>0</v>
      </c>
      <c r="AH1712" s="4" t="n">
        <v>0</v>
      </c>
      <c r="AI1712" s="34" t="n"/>
      <c r="AJ1712" s="34" t="n">
        <v>0</v>
      </c>
      <c r="AK1712" s="2" t="n">
        <v>0</v>
      </c>
      <c r="AL1712" t="inlineStr">
        <is>
          <t>Published</t>
        </is>
      </c>
    </row>
    <row r="1713">
      <c r="A1713">
        <f>HYPERLINK("https://www.walmart.com/ip/158840453", "158840453")</f>
        <v/>
      </c>
      <c r="B1713">
        <f>HYPERLINK("https://app.optiwise.ai/catalog/itemdetails/359280", "Vina® Wine Accessory Set,Stainless Steel Wine Bottle Opener Hippocampal Knife Corkscrew + Vacuum Wine Stopper")</f>
        <v/>
      </c>
      <c r="C1713" t="inlineStr">
        <is>
          <t>VinaWO004SL</t>
        </is>
      </c>
      <c r="D1713" t="inlineStr">
        <is>
          <t>Home Decor, Kitchen, &amp; Other</t>
        </is>
      </c>
      <c r="E1713" t="inlineStr">
        <is>
          <t>Corkscrews &amp; Wine Bottle Openers</t>
        </is>
      </c>
      <c r="F1713" t="inlineStr">
        <is>
          <t>Vina</t>
        </is>
      </c>
      <c r="G1713" t="n">
        <v>0</v>
      </c>
      <c r="H1713" t="n">
        <v>0</v>
      </c>
      <c r="I1713" t="inlineStr">
        <is>
          <t>Wine,Christmas,Optimized</t>
        </is>
      </c>
      <c r="J1713" s="29" t="n">
        <v>0</v>
      </c>
      <c r="K1713" s="30" t="n"/>
      <c r="L1713" s="29" t="n">
        <v>0</v>
      </c>
      <c r="M1713" s="29" t="n">
        <v>0</v>
      </c>
      <c r="N1713" s="2" t="n">
        <v>0</v>
      </c>
      <c r="O1713" s="31" t="n">
        <v>0</v>
      </c>
      <c r="P1713" s="32" t="n"/>
      <c r="Q1713" s="32" t="n">
        <v>0</v>
      </c>
      <c r="R1713" s="32" t="n">
        <v>0</v>
      </c>
      <c r="S1713" s="31" t="n">
        <v>0</v>
      </c>
      <c r="T1713" s="32" t="n">
        <v>0</v>
      </c>
      <c r="U1713" s="31" t="n">
        <v>0</v>
      </c>
      <c r="V1713" s="31" t="n">
        <v>0</v>
      </c>
      <c r="W1713" s="3" t="n">
        <v>0</v>
      </c>
      <c r="X1713" s="3" t="n">
        <v>0</v>
      </c>
      <c r="Y1713" s="32" t="n">
        <v>0</v>
      </c>
      <c r="Z1713" s="3" t="n">
        <v>0</v>
      </c>
      <c r="AA1713" s="32" t="n">
        <v>0</v>
      </c>
      <c r="AB1713" s="3" t="n"/>
      <c r="AC1713" s="31" t="n">
        <v>0</v>
      </c>
      <c r="AD1713" s="2" t="n">
        <v>0</v>
      </c>
      <c r="AE1713" s="2" t="n">
        <v>0</v>
      </c>
      <c r="AF1713" s="4" t="n">
        <v>0</v>
      </c>
      <c r="AG1713" s="33" t="n">
        <v>0</v>
      </c>
      <c r="AH1713" s="4" t="n">
        <v>0</v>
      </c>
      <c r="AI1713" s="34" t="n"/>
      <c r="AJ1713" s="34" t="n">
        <v>0</v>
      </c>
      <c r="AK1713" s="2" t="n">
        <v>0</v>
      </c>
      <c r="AL1713" t="inlineStr">
        <is>
          <t>Published</t>
        </is>
      </c>
    </row>
    <row r="1714">
      <c r="A1714">
        <f>HYPERLINK("https://www.walmart.com/ip/563978241", "563978241")</f>
        <v/>
      </c>
      <c r="B1714">
        <f>HYPERLINK("https://app.optiwise.ai/catalog/itemdetails/359274", "Catalonia Sherpa Fleece Throw Blanket, Soft Plush Couch Blanket, TV Bed Blanket, Comfy Warm Heavy Throws, Comfort Caring Gift, 50 x 60")</f>
        <v/>
      </c>
      <c r="C1714" t="inlineStr">
        <is>
          <t>1CTBF300CHEETAH</t>
        </is>
      </c>
      <c r="D1714" t="inlineStr">
        <is>
          <t>Bedding</t>
        </is>
      </c>
      <c r="E1714" t="inlineStr">
        <is>
          <t>Throws</t>
        </is>
      </c>
      <c r="F1714" t="inlineStr">
        <is>
          <t>Catalonia</t>
        </is>
      </c>
      <c r="G1714" t="n">
        <v>4.2</v>
      </c>
      <c r="H1714" t="n">
        <v>9</v>
      </c>
      <c r="I1714" t="inlineStr">
        <is>
          <t>WFS,Coupon_Discount,WFS Item</t>
        </is>
      </c>
      <c r="J1714" s="29" t="n">
        <v>0</v>
      </c>
      <c r="K1714" s="30" t="n"/>
      <c r="L1714" s="29" t="n">
        <v>0</v>
      </c>
      <c r="M1714" s="29" t="n">
        <v>0</v>
      </c>
      <c r="N1714" s="2" t="n">
        <v>0</v>
      </c>
      <c r="O1714" s="31" t="n">
        <v>0</v>
      </c>
      <c r="P1714" s="32" t="n"/>
      <c r="Q1714" s="32" t="n">
        <v>0</v>
      </c>
      <c r="R1714" s="32" t="n">
        <v>0</v>
      </c>
      <c r="S1714" s="31" t="n">
        <v>0</v>
      </c>
      <c r="T1714" s="32" t="n">
        <v>0</v>
      </c>
      <c r="U1714" s="31" t="n">
        <v>0</v>
      </c>
      <c r="V1714" s="31" t="n">
        <v>0</v>
      </c>
      <c r="W1714" s="3" t="n">
        <v>0</v>
      </c>
      <c r="X1714" s="3" t="n">
        <v>0</v>
      </c>
      <c r="Y1714" s="32" t="n">
        <v>0</v>
      </c>
      <c r="Z1714" s="3" t="n">
        <v>0</v>
      </c>
      <c r="AA1714" s="32" t="n">
        <v>0</v>
      </c>
      <c r="AB1714" s="3" t="n"/>
      <c r="AC1714" s="31" t="n">
        <v>0</v>
      </c>
      <c r="AD1714" s="2" t="n">
        <v>0</v>
      </c>
      <c r="AE1714" s="2" t="n">
        <v>10</v>
      </c>
      <c r="AF1714" s="4" t="n">
        <v>10</v>
      </c>
      <c r="AG1714" s="33" t="n">
        <v>0</v>
      </c>
      <c r="AH1714" s="4" t="n">
        <v>0</v>
      </c>
      <c r="AI1714" s="34" t="n"/>
      <c r="AJ1714" s="34" t="n">
        <v>0</v>
      </c>
      <c r="AK1714" s="2" t="n">
        <v>0</v>
      </c>
      <c r="AL1714" t="inlineStr">
        <is>
          <t>Published</t>
        </is>
      </c>
    </row>
    <row r="1715">
      <c r="A1715">
        <f>HYPERLINK("https://www.walmart.com/ip/240851800", "240851800")</f>
        <v/>
      </c>
      <c r="B1715">
        <f>HYPERLINK("https://app.optiwise.ai/catalog/itemdetails/359268", "Catalonia Black Sherpa Hooded Winter Coats for Women, Super Soft Comfy Foxy Plush Reversible Casual, Jackets for Women, Black")</f>
        <v/>
      </c>
      <c r="C1715" t="inlineStr">
        <is>
          <t>1CTJK200BK</t>
        </is>
      </c>
      <c r="D1715" t="inlineStr">
        <is>
          <t>Clothing</t>
        </is>
      </c>
      <c r="E1715" t="inlineStr">
        <is>
          <t>Sweatshirts &amp; Hoodies</t>
        </is>
      </c>
      <c r="F1715" t="inlineStr">
        <is>
          <t>Catalonia</t>
        </is>
      </c>
      <c r="G1715" t="n">
        <v>3</v>
      </c>
      <c r="H1715" t="n">
        <v>4</v>
      </c>
      <c r="I1715" t="inlineStr">
        <is>
          <t>Jacket ForAdult,Optimized,WFS,Coupon_Discount,WFS Item</t>
        </is>
      </c>
      <c r="J1715" s="29" t="n">
        <v>0</v>
      </c>
      <c r="K1715" s="30" t="n"/>
      <c r="L1715" s="29" t="n">
        <v>0</v>
      </c>
      <c r="M1715" s="29" t="n">
        <v>0</v>
      </c>
      <c r="N1715" s="2" t="n">
        <v>0</v>
      </c>
      <c r="O1715" s="31" t="n">
        <v>0</v>
      </c>
      <c r="P1715" s="32" t="n"/>
      <c r="Q1715" s="32" t="n">
        <v>0</v>
      </c>
      <c r="R1715" s="32" t="n">
        <v>0</v>
      </c>
      <c r="S1715" s="31" t="n">
        <v>0</v>
      </c>
      <c r="T1715" s="32" t="n">
        <v>0</v>
      </c>
      <c r="U1715" s="31" t="n">
        <v>0</v>
      </c>
      <c r="V1715" s="31" t="n">
        <v>0</v>
      </c>
      <c r="W1715" s="3" t="n">
        <v>0</v>
      </c>
      <c r="X1715" s="3" t="n">
        <v>0</v>
      </c>
      <c r="Y1715" s="32" t="n">
        <v>0</v>
      </c>
      <c r="Z1715" s="3" t="n">
        <v>0</v>
      </c>
      <c r="AA1715" s="32" t="n">
        <v>0</v>
      </c>
      <c r="AB1715" s="3" t="n"/>
      <c r="AC1715" s="31" t="n">
        <v>0</v>
      </c>
      <c r="AD1715" s="2" t="n">
        <v>0</v>
      </c>
      <c r="AE1715" s="2" t="n">
        <v>27</v>
      </c>
      <c r="AF1715" s="4" t="n">
        <v>27</v>
      </c>
      <c r="AG1715" s="33" t="n">
        <v>0</v>
      </c>
      <c r="AH1715" s="4" t="n">
        <v>0</v>
      </c>
      <c r="AI1715" s="34" t="n"/>
      <c r="AJ1715" s="34" t="n">
        <v>0</v>
      </c>
      <c r="AK1715" s="2" t="n">
        <v>0</v>
      </c>
      <c r="AL1715" t="inlineStr">
        <is>
          <t>Published</t>
        </is>
      </c>
    </row>
    <row r="1716">
      <c r="A1716">
        <f>HYPERLINK("https://www.walmart.com/ip/194547645", "194547645")</f>
        <v/>
      </c>
      <c r="B1716">
        <f>HYPERLINK("https://app.optiwise.ai/catalog/itemdetails/359263", "Deluxe Stylish Microplush Sleeved Fleece Blanket Soft Home Sofa Snuggie")</f>
        <v/>
      </c>
      <c r="C1716" t="inlineStr">
        <is>
          <t>k3000-gray</t>
        </is>
      </c>
      <c r="D1716" t="inlineStr">
        <is>
          <t>Clothing</t>
        </is>
      </c>
      <c r="E1716" t="inlineStr">
        <is>
          <t>Throws</t>
        </is>
      </c>
      <c r="F1716" t="inlineStr">
        <is>
          <t>NAPA</t>
        </is>
      </c>
      <c r="G1716" t="n">
        <v>4.9</v>
      </c>
      <c r="H1716" t="n">
        <v>8</v>
      </c>
      <c r="I1716" t="inlineStr">
        <is>
          <t>Batch 1 - TR</t>
        </is>
      </c>
      <c r="J1716" s="29" t="n">
        <v>0</v>
      </c>
      <c r="K1716" s="30" t="n"/>
      <c r="L1716" s="29" t="n">
        <v>0</v>
      </c>
      <c r="M1716" s="29" t="n">
        <v>0</v>
      </c>
      <c r="N1716" s="2" t="n">
        <v>0</v>
      </c>
      <c r="O1716" s="31" t="n">
        <v>0</v>
      </c>
      <c r="P1716" s="32" t="n"/>
      <c r="Q1716" s="32" t="n">
        <v>0</v>
      </c>
      <c r="R1716" s="32" t="n">
        <v>0</v>
      </c>
      <c r="S1716" s="31" t="n">
        <v>0</v>
      </c>
      <c r="T1716" s="32" t="n">
        <v>0</v>
      </c>
      <c r="U1716" s="31" t="n">
        <v>0</v>
      </c>
      <c r="V1716" s="31" t="n">
        <v>0</v>
      </c>
      <c r="W1716" s="3" t="n">
        <v>0</v>
      </c>
      <c r="X1716" s="3" t="n">
        <v>0</v>
      </c>
      <c r="Y1716" s="32" t="n">
        <v>0</v>
      </c>
      <c r="Z1716" s="3" t="n">
        <v>0</v>
      </c>
      <c r="AA1716" s="32" t="n">
        <v>0</v>
      </c>
      <c r="AB1716" s="3" t="n"/>
      <c r="AC1716" s="31" t="n">
        <v>0</v>
      </c>
      <c r="AD1716" s="2" t="n">
        <v>0</v>
      </c>
      <c r="AE1716" s="2" t="n">
        <v>0</v>
      </c>
      <c r="AF1716" s="4" t="n">
        <v>0</v>
      </c>
      <c r="AG1716" s="33" t="n">
        <v>0</v>
      </c>
      <c r="AH1716" s="4" t="n">
        <v>0</v>
      </c>
      <c r="AI1716" s="34" t="n"/>
      <c r="AJ1716" s="34" t="n">
        <v>0</v>
      </c>
      <c r="AK1716" s="2" t="n">
        <v>0</v>
      </c>
      <c r="AL1716" t="inlineStr">
        <is>
          <t>Published</t>
        </is>
      </c>
    </row>
    <row r="1717">
      <c r="A1717">
        <f>HYPERLINK("https://www.walmart.com/ip/109086491", "109086491")</f>
        <v/>
      </c>
      <c r="B1717">
        <f>HYPERLINK("https://app.optiwise.ai/catalog/itemdetails/359262", "Light up Sequin Fedora LED Hat Neon Rave Costumes Glow in Dark Party")</f>
        <v/>
      </c>
      <c r="C1717" t="inlineStr">
        <is>
          <t>SLLEDHATWT</t>
        </is>
      </c>
      <c r="D1717" t="inlineStr">
        <is>
          <t>Decorations &amp; Favors</t>
        </is>
      </c>
      <c r="E1717" t="inlineStr">
        <is>
          <t>Hats</t>
        </is>
      </c>
      <c r="F1717" t="inlineStr">
        <is>
          <t>Solaris</t>
        </is>
      </c>
      <c r="G1717" t="n">
        <v>0</v>
      </c>
      <c r="H1717" t="n">
        <v>0</v>
      </c>
      <c r="I1717" t="inlineStr">
        <is>
          <t>Optimized,Halloween</t>
        </is>
      </c>
      <c r="J1717" s="29" t="n">
        <v>0</v>
      </c>
      <c r="K1717" s="30" t="n"/>
      <c r="L1717" s="29" t="n">
        <v>15.97999954223633</v>
      </c>
      <c r="M1717" s="29" t="n">
        <v>0</v>
      </c>
      <c r="N1717" s="2" t="n">
        <v>0</v>
      </c>
      <c r="O1717" s="31" t="n">
        <v>0</v>
      </c>
      <c r="P1717" s="32" t="n"/>
      <c r="Q1717" s="32" t="n">
        <v>0</v>
      </c>
      <c r="R1717" s="32" t="n">
        <v>0</v>
      </c>
      <c r="S1717" s="31" t="n">
        <v>0</v>
      </c>
      <c r="T1717" s="32" t="n">
        <v>0</v>
      </c>
      <c r="U1717" s="31" t="n">
        <v>0</v>
      </c>
      <c r="V1717" s="31" t="n">
        <v>0</v>
      </c>
      <c r="W1717" s="3" t="n">
        <v>0</v>
      </c>
      <c r="X1717" s="3" t="n">
        <v>0</v>
      </c>
      <c r="Y1717" s="32" t="n">
        <v>0</v>
      </c>
      <c r="Z1717" s="3" t="n">
        <v>0</v>
      </c>
      <c r="AA1717" s="32" t="n">
        <v>0</v>
      </c>
      <c r="AB1717" s="3" t="n"/>
      <c r="AC1717" s="31" t="n">
        <v>0</v>
      </c>
      <c r="AD1717" s="2" t="n">
        <v>0</v>
      </c>
      <c r="AE1717" s="2" t="n">
        <v>10</v>
      </c>
      <c r="AF1717" s="4" t="n">
        <v>10</v>
      </c>
      <c r="AG1717" s="33" t="n">
        <v>0</v>
      </c>
      <c r="AH1717" s="4" t="n">
        <v>0</v>
      </c>
      <c r="AI1717" s="34" t="n"/>
      <c r="AJ1717" s="34" t="n">
        <v>0</v>
      </c>
      <c r="AK1717" s="2" t="n">
        <v>0</v>
      </c>
      <c r="AL1717" t="inlineStr">
        <is>
          <t>Published</t>
        </is>
      </c>
    </row>
    <row r="1718">
      <c r="A1718">
        <f>HYPERLINK("https://www.walmart.com/ip/310588244", "310588244")</f>
        <v/>
      </c>
      <c r="B1718">
        <f>HYPERLINK("https://app.optiwise.ai/catalog/itemdetails/359261", "Flyingstar Oversized Hoodie Blanket Sweatshirt, Super Soft, Warm, Comfortable Fleece Giant Pullover with Large Front Pocket, for Adults, Teenagers, and Kids, Gray")</f>
        <v/>
      </c>
      <c r="C1718" t="inlineStr">
        <is>
          <t>1WMHD300GY</t>
        </is>
      </c>
      <c r="D1718" t="inlineStr">
        <is>
          <t>Clothing</t>
        </is>
      </c>
      <c r="E1718" t="inlineStr">
        <is>
          <t>Sweatshirts &amp; Hoodies</t>
        </is>
      </c>
      <c r="F1718" t="inlineStr">
        <is>
          <t>Flyingstar</t>
        </is>
      </c>
      <c r="G1718" t="n">
        <v>4.4</v>
      </c>
      <c r="H1718" t="n">
        <v>30</v>
      </c>
      <c r="I1718" t="inlineStr">
        <is>
          <t>Hoodie ForAdult,Optimized,WFS,WFS Item</t>
        </is>
      </c>
      <c r="J1718" s="29" t="n">
        <v>0</v>
      </c>
      <c r="K1718" s="30" t="n"/>
      <c r="L1718" s="29" t="n">
        <v>0</v>
      </c>
      <c r="M1718" s="29" t="n">
        <v>0</v>
      </c>
      <c r="N1718" s="2" t="n">
        <v>0</v>
      </c>
      <c r="O1718" s="31" t="n">
        <v>0</v>
      </c>
      <c r="P1718" s="32" t="n"/>
      <c r="Q1718" s="32" t="n">
        <v>0</v>
      </c>
      <c r="R1718" s="32" t="n">
        <v>0</v>
      </c>
      <c r="S1718" s="31" t="n">
        <v>0</v>
      </c>
      <c r="T1718" s="32" t="n">
        <v>0</v>
      </c>
      <c r="U1718" s="31" t="n">
        <v>0</v>
      </c>
      <c r="V1718" s="31" t="n">
        <v>0</v>
      </c>
      <c r="W1718" s="3" t="n">
        <v>0</v>
      </c>
      <c r="X1718" s="3" t="n">
        <v>0</v>
      </c>
      <c r="Y1718" s="32" t="n">
        <v>0</v>
      </c>
      <c r="Z1718" s="3" t="n">
        <v>0</v>
      </c>
      <c r="AA1718" s="32" t="n">
        <v>0</v>
      </c>
      <c r="AB1718" s="3" t="n"/>
      <c r="AC1718" s="31" t="n">
        <v>0</v>
      </c>
      <c r="AD1718" s="2" t="n">
        <v>0</v>
      </c>
      <c r="AE1718" s="2" t="n">
        <v>16</v>
      </c>
      <c r="AF1718" s="4" t="n">
        <v>16</v>
      </c>
      <c r="AG1718" s="33" t="n">
        <v>0</v>
      </c>
      <c r="AH1718" s="4" t="n">
        <v>0</v>
      </c>
      <c r="AI1718" s="34" t="n"/>
      <c r="AJ1718" s="34" t="n">
        <v>0</v>
      </c>
      <c r="AK1718" s="2" t="n">
        <v>0</v>
      </c>
      <c r="AL1718" t="inlineStr">
        <is>
          <t>Published</t>
        </is>
      </c>
    </row>
    <row r="1719">
      <c r="A1719">
        <f>HYPERLINK("https://www.walmart.com/ip/943090625", "943090625")</f>
        <v/>
      </c>
      <c r="B1719">
        <f>HYPERLINK("https://app.optiwise.ai/catalog/itemdetails/359260", "Catalonia Sherpa Throw Blanket Velvet Plush Fleece Melange Blue  50”x60” For Adults Child, Super Soft Fluffy Fuzzy Comfy TV and Throws for Sofa Couch Bed by Catalonia")</f>
        <v/>
      </c>
      <c r="C1719" t="inlineStr">
        <is>
          <t>1CTBF321BL</t>
        </is>
      </c>
      <c r="D1719" t="inlineStr">
        <is>
          <t>Bedding</t>
        </is>
      </c>
      <c r="E1719" t="inlineStr">
        <is>
          <t>Throws</t>
        </is>
      </c>
      <c r="F1719" t="inlineStr">
        <is>
          <t>Catalonia</t>
        </is>
      </c>
      <c r="G1719" t="n">
        <v>4.9</v>
      </c>
      <c r="H1719" t="n">
        <v>18</v>
      </c>
      <c r="I1719" t="inlineStr">
        <is>
          <t>Q2-Target,Optimized,WFS,Coupon_Discount,SeePriceInCart,WFS Item</t>
        </is>
      </c>
      <c r="J1719" s="29" t="n">
        <v>0</v>
      </c>
      <c r="K1719" s="30" t="n"/>
      <c r="L1719" s="29" t="n">
        <v>0</v>
      </c>
      <c r="M1719" s="29" t="n">
        <v>0</v>
      </c>
      <c r="N1719" s="2" t="n">
        <v>0</v>
      </c>
      <c r="O1719" s="31" t="n">
        <v>0</v>
      </c>
      <c r="P1719" s="32" t="n"/>
      <c r="Q1719" s="32" t="n">
        <v>0</v>
      </c>
      <c r="R1719" s="32" t="n">
        <v>0</v>
      </c>
      <c r="S1719" s="31" t="n">
        <v>0</v>
      </c>
      <c r="T1719" s="32" t="n">
        <v>0</v>
      </c>
      <c r="U1719" s="31" t="n">
        <v>0</v>
      </c>
      <c r="V1719" s="31" t="n">
        <v>0</v>
      </c>
      <c r="W1719" s="3" t="n">
        <v>0</v>
      </c>
      <c r="X1719" s="3" t="n">
        <v>0</v>
      </c>
      <c r="Y1719" s="32" t="n">
        <v>0</v>
      </c>
      <c r="Z1719" s="3" t="n">
        <v>0</v>
      </c>
      <c r="AA1719" s="32" t="n">
        <v>0</v>
      </c>
      <c r="AB1719" s="3" t="n"/>
      <c r="AC1719" s="31" t="n">
        <v>0</v>
      </c>
      <c r="AD1719" s="2" t="n">
        <v>2</v>
      </c>
      <c r="AE1719" s="2" t="n">
        <v>25</v>
      </c>
      <c r="AF1719" s="4" t="n">
        <v>25</v>
      </c>
      <c r="AG1719" s="33" t="n">
        <v>0</v>
      </c>
      <c r="AH1719" s="4" t="n">
        <v>0</v>
      </c>
      <c r="AI1719" s="34" t="n"/>
      <c r="AJ1719" s="34" t="n">
        <v>0</v>
      </c>
      <c r="AK1719" s="2" t="n">
        <v>0</v>
      </c>
      <c r="AL1719" t="inlineStr">
        <is>
          <t>Published</t>
        </is>
      </c>
    </row>
    <row r="1720">
      <c r="A1720">
        <f>HYPERLINK("https://www.walmart.com/ip/839480370", "839480370")</f>
        <v/>
      </c>
      <c r="B1720">
        <f>HYPERLINK("https://app.optiwise.ai/catalog/itemdetails/359259", "100% Polar Fleece Skull Cap Warm and Cozy Beanie")</f>
        <v/>
      </c>
      <c r="C1720" t="inlineStr">
        <is>
          <t>1SLW1810RY-FSCB</t>
        </is>
      </c>
      <c r="D1720" t="inlineStr">
        <is>
          <t>Clothing</t>
        </is>
      </c>
      <c r="E1720" t="inlineStr">
        <is>
          <t>Hats</t>
        </is>
      </c>
      <c r="F1720" t="inlineStr">
        <is>
          <t>Solaris</t>
        </is>
      </c>
      <c r="G1720" t="n">
        <v>0</v>
      </c>
      <c r="H1720" t="n">
        <v>0</v>
      </c>
      <c r="I1720" t="inlineStr">
        <is>
          <t>Optimized</t>
        </is>
      </c>
      <c r="J1720" s="29" t="n">
        <v>0</v>
      </c>
      <c r="K1720" s="30" t="n"/>
      <c r="L1720" s="29" t="n">
        <v>0</v>
      </c>
      <c r="M1720" s="29" t="n">
        <v>0</v>
      </c>
      <c r="N1720" s="2" t="n">
        <v>0</v>
      </c>
      <c r="O1720" s="31" t="n">
        <v>0</v>
      </c>
      <c r="P1720" s="32" t="n"/>
      <c r="Q1720" s="32" t="n">
        <v>0</v>
      </c>
      <c r="R1720" s="32" t="n">
        <v>0</v>
      </c>
      <c r="S1720" s="31" t="n">
        <v>0</v>
      </c>
      <c r="T1720" s="32" t="n">
        <v>0</v>
      </c>
      <c r="U1720" s="31" t="n">
        <v>0</v>
      </c>
      <c r="V1720" s="31" t="n">
        <v>0</v>
      </c>
      <c r="W1720" s="3" t="n">
        <v>0</v>
      </c>
      <c r="X1720" s="3" t="n">
        <v>0</v>
      </c>
      <c r="Y1720" s="32" t="n">
        <v>0</v>
      </c>
      <c r="Z1720" s="3" t="n">
        <v>0</v>
      </c>
      <c r="AA1720" s="32" t="n">
        <v>0</v>
      </c>
      <c r="AB1720" s="3" t="n"/>
      <c r="AC1720" s="31" t="n">
        <v>0</v>
      </c>
      <c r="AD1720" s="2" t="n">
        <v>0</v>
      </c>
      <c r="AE1720" s="2" t="n">
        <v>5</v>
      </c>
      <c r="AF1720" s="4" t="n">
        <v>5</v>
      </c>
      <c r="AG1720" s="33" t="n">
        <v>0</v>
      </c>
      <c r="AH1720" s="4" t="n">
        <v>0</v>
      </c>
      <c r="AI1720" s="34" t="n"/>
      <c r="AJ1720" s="34" t="n">
        <v>0</v>
      </c>
      <c r="AK1720" s="2" t="n">
        <v>0</v>
      </c>
      <c r="AL1720" t="inlineStr">
        <is>
          <t>Published</t>
        </is>
      </c>
    </row>
    <row r="1721">
      <c r="A1721">
        <f>HYPERLINK("https://www.walmart.com/ip/485727982", "485727982")</f>
        <v/>
      </c>
      <c r="B1721">
        <f>HYPERLINK("https://app.optiwise.ai/catalog/itemdetails/359252", "Mermaid Tail Blanket for Teen Girls with Anti-slip Neck Strap Wave Pattern | Soft Sleeping Bag for All Season")</f>
        <v/>
      </c>
      <c r="C1721" t="inlineStr">
        <is>
          <t>1CTMM100GN-TPB</t>
        </is>
      </c>
      <c r="D1721" t="inlineStr">
        <is>
          <t>Home Decor, Kitchen, &amp; Other</t>
        </is>
      </c>
      <c r="E1721" t="inlineStr">
        <is>
          <t>Bed Blankets</t>
        </is>
      </c>
      <c r="F1721" t="inlineStr">
        <is>
          <t>Catalonia</t>
        </is>
      </c>
      <c r="G1721" t="n">
        <v>4.5</v>
      </c>
      <c r="H1721" t="n">
        <v>6</v>
      </c>
      <c r="I1721" t="inlineStr">
        <is>
          <t>Batch 1 - TR</t>
        </is>
      </c>
      <c r="J1721" s="29" t="n">
        <v>0</v>
      </c>
      <c r="K1721" s="30" t="n"/>
      <c r="L1721" s="29" t="n">
        <v>0</v>
      </c>
      <c r="M1721" s="29" t="n">
        <v>0</v>
      </c>
      <c r="N1721" s="2" t="n">
        <v>0</v>
      </c>
      <c r="O1721" s="31" t="n">
        <v>0</v>
      </c>
      <c r="P1721" s="32" t="n"/>
      <c r="Q1721" s="32" t="n">
        <v>0</v>
      </c>
      <c r="R1721" s="32" t="n">
        <v>0</v>
      </c>
      <c r="S1721" s="31" t="n">
        <v>0</v>
      </c>
      <c r="T1721" s="32" t="n">
        <v>0</v>
      </c>
      <c r="U1721" s="31" t="n">
        <v>0</v>
      </c>
      <c r="V1721" s="31" t="n">
        <v>0</v>
      </c>
      <c r="W1721" s="3" t="n">
        <v>0</v>
      </c>
      <c r="X1721" s="3" t="n">
        <v>0</v>
      </c>
      <c r="Y1721" s="32" t="n">
        <v>0</v>
      </c>
      <c r="Z1721" s="3" t="n">
        <v>0</v>
      </c>
      <c r="AA1721" s="32" t="n">
        <v>0</v>
      </c>
      <c r="AB1721" s="3" t="n"/>
      <c r="AC1721" s="31" t="n">
        <v>0</v>
      </c>
      <c r="AD1721" s="2" t="n">
        <v>0</v>
      </c>
      <c r="AE1721" s="2" t="n">
        <v>24</v>
      </c>
      <c r="AF1721" s="4" t="n">
        <v>24</v>
      </c>
      <c r="AG1721" s="33" t="n">
        <v>0</v>
      </c>
      <c r="AH1721" s="4" t="n">
        <v>0</v>
      </c>
      <c r="AI1721" s="34" t="n"/>
      <c r="AJ1721" s="34" t="n">
        <v>0</v>
      </c>
      <c r="AK1721" s="2" t="n">
        <v>0</v>
      </c>
      <c r="AL1721" t="inlineStr">
        <is>
          <t>Published</t>
        </is>
      </c>
    </row>
    <row r="1722">
      <c r="A1722">
        <f>HYPERLINK("https://www.walmart.com/ip/300905636", "300905636")</f>
        <v/>
      </c>
      <c r="B1722">
        <f>HYPERLINK("https://app.optiwise.ai/catalog/itemdetails/359251", "Women’s Casual Hoodie Sweatshirt, Solid Cropped Jumper Tops, 3/4 Sleeve Oversized Pullover")</f>
        <v/>
      </c>
      <c r="C1722" t="inlineStr">
        <is>
          <t>1WMHD520S1WT</t>
        </is>
      </c>
      <c r="D1722" t="inlineStr">
        <is>
          <t>Clothing</t>
        </is>
      </c>
      <c r="E1722" t="inlineStr">
        <is>
          <t>Sweatshirts &amp; Hoodies</t>
        </is>
      </c>
      <c r="F1722" t="inlineStr">
        <is>
          <t>Flyingstar</t>
        </is>
      </c>
      <c r="G1722" t="n">
        <v>0</v>
      </c>
      <c r="H1722" t="n">
        <v>0</v>
      </c>
      <c r="I1722" t="inlineStr">
        <is>
          <t>Hoodie ForAdult,Optimized</t>
        </is>
      </c>
      <c r="J1722" s="29" t="n">
        <v>0</v>
      </c>
      <c r="K1722" s="30" t="n"/>
      <c r="L1722" s="29" t="n">
        <v>0</v>
      </c>
      <c r="M1722" s="29" t="n">
        <v>0</v>
      </c>
      <c r="N1722" s="2" t="n">
        <v>0</v>
      </c>
      <c r="O1722" s="31" t="n">
        <v>9.41</v>
      </c>
      <c r="P1722" s="32" t="n">
        <v>0.0011</v>
      </c>
      <c r="Q1722" s="32" t="n">
        <v>0</v>
      </c>
      <c r="R1722" s="32" t="n">
        <v>0</v>
      </c>
      <c r="S1722" s="31" t="n">
        <v>1.38</v>
      </c>
      <c r="T1722" s="32" t="n">
        <v>0.72</v>
      </c>
      <c r="U1722" s="31" t="n">
        <v>12.99</v>
      </c>
      <c r="V1722" s="31" t="n">
        <v>12.99</v>
      </c>
      <c r="W1722" s="3" t="n">
        <v>17275</v>
      </c>
      <c r="X1722" s="3" t="n">
        <v>26</v>
      </c>
      <c r="Y1722" s="32" t="n">
        <v>0.0015</v>
      </c>
      <c r="Z1722" s="3" t="n">
        <v>1</v>
      </c>
      <c r="AA1722" s="32" t="n">
        <v>0.0385</v>
      </c>
      <c r="AB1722" s="3" t="inlineStr">
        <is>
          <t>Hoodies_Auto</t>
        </is>
      </c>
      <c r="AC1722" s="31" t="n">
        <v>0.36</v>
      </c>
      <c r="AD1722" s="2" t="n">
        <v>0</v>
      </c>
      <c r="AE1722" s="2" t="n">
        <v>13</v>
      </c>
      <c r="AF1722" s="4" t="inlineStr">
        <is>
          <t>NA</t>
        </is>
      </c>
      <c r="AG1722" s="33" t="n">
        <v>-12.99</v>
      </c>
      <c r="AH1722" s="4" t="n">
        <v>-1</v>
      </c>
      <c r="AI1722" s="34" t="inlineStr">
        <is>
          <t>NA</t>
        </is>
      </c>
      <c r="AJ1722" s="34" t="n">
        <v>0</v>
      </c>
      <c r="AK1722" s="2" t="n">
        <v>0</v>
      </c>
      <c r="AL1722" t="inlineStr">
        <is>
          <t>Published</t>
        </is>
      </c>
    </row>
    <row r="1723">
      <c r="A1723">
        <f>HYPERLINK("https://www.walmart.com/ip/159895923", "159895923")</f>
        <v/>
      </c>
      <c r="B1723">
        <f>HYPERLINK("https://app.optiwise.ai/catalog/itemdetails/359247", "JenniWears Women Beileise Sexy Garter Belt Suspender - 6 Packs")</f>
        <v/>
      </c>
      <c r="C1723" t="inlineStr">
        <is>
          <t>JWBLSPH2073-6pcs</t>
        </is>
      </c>
      <c r="D1723" t="inlineStr">
        <is>
          <t>Clothing</t>
        </is>
      </c>
      <c r="E1723" t="inlineStr">
        <is>
          <t>Garter Belts</t>
        </is>
      </c>
      <c r="F1723" t="inlineStr">
        <is>
          <t>JenniWears</t>
        </is>
      </c>
      <c r="G1723" t="n">
        <v>0</v>
      </c>
      <c r="H1723" t="n">
        <v>0</v>
      </c>
      <c r="J1723" s="29" t="n">
        <v>0</v>
      </c>
      <c r="K1723" s="30" t="n"/>
      <c r="L1723" s="29" t="n">
        <v>0</v>
      </c>
      <c r="M1723" s="29" t="n">
        <v>0</v>
      </c>
      <c r="N1723" s="2" t="n">
        <v>0</v>
      </c>
      <c r="O1723" s="31" t="n">
        <v>0</v>
      </c>
      <c r="P1723" s="32" t="n"/>
      <c r="Q1723" s="32" t="n">
        <v>0</v>
      </c>
      <c r="R1723" s="32" t="n">
        <v>0</v>
      </c>
      <c r="S1723" s="31" t="n">
        <v>0</v>
      </c>
      <c r="T1723" s="32" t="n">
        <v>0</v>
      </c>
      <c r="U1723" s="31" t="n">
        <v>0</v>
      </c>
      <c r="V1723" s="31" t="n">
        <v>0</v>
      </c>
      <c r="W1723" s="3" t="n">
        <v>0</v>
      </c>
      <c r="X1723" s="3" t="n">
        <v>0</v>
      </c>
      <c r="Y1723" s="32" t="n">
        <v>0</v>
      </c>
      <c r="Z1723" s="3" t="n">
        <v>0</v>
      </c>
      <c r="AA1723" s="32" t="n">
        <v>0</v>
      </c>
      <c r="AB1723" s="3" t="n"/>
      <c r="AC1723" s="31" t="n">
        <v>0</v>
      </c>
      <c r="AD1723" s="2" t="n">
        <v>0</v>
      </c>
      <c r="AE1723" s="2" t="n">
        <v>1</v>
      </c>
      <c r="AF1723" s="4" t="n">
        <v>1</v>
      </c>
      <c r="AG1723" s="33" t="n">
        <v>0</v>
      </c>
      <c r="AH1723" s="4" t="n">
        <v>0</v>
      </c>
      <c r="AI1723" s="34" t="n"/>
      <c r="AJ1723" s="34" t="n">
        <v>0</v>
      </c>
      <c r="AK1723" s="2" t="n">
        <v>0</v>
      </c>
      <c r="AL1723" t="inlineStr">
        <is>
          <t>Published</t>
        </is>
      </c>
    </row>
    <row r="1724">
      <c r="A1724">
        <f>HYPERLINK("https://www.walmart.com/ip/185396814", "185396814")</f>
        <v/>
      </c>
      <c r="B1724">
        <f>HYPERLINK("https://app.optiwise.ai/catalog/itemdetails/359243", "JenniWears Women Beileise Sexy Top Thigh High Stockings+ Garter Belt Suspender")</f>
        <v/>
      </c>
      <c r="C1724" t="inlineStr">
        <is>
          <t>JWBLSPH2011</t>
        </is>
      </c>
      <c r="D1724" t="inlineStr">
        <is>
          <t>Clothing</t>
        </is>
      </c>
      <c r="E1724" t="inlineStr">
        <is>
          <t>Pantyhose &amp; Tights</t>
        </is>
      </c>
      <c r="F1724" t="inlineStr">
        <is>
          <t>JenniWears</t>
        </is>
      </c>
      <c r="G1724" t="n">
        <v>1</v>
      </c>
      <c r="H1724" t="n">
        <v>1</v>
      </c>
      <c r="I1724" t="inlineStr">
        <is>
          <t>Optimized,Valentine</t>
        </is>
      </c>
      <c r="J1724" s="29" t="n">
        <v>0</v>
      </c>
      <c r="K1724" s="30" t="n"/>
      <c r="L1724" s="29" t="n">
        <v>0</v>
      </c>
      <c r="M1724" s="29" t="n">
        <v>0</v>
      </c>
      <c r="N1724" s="2" t="n">
        <v>0</v>
      </c>
      <c r="O1724" s="31" t="n">
        <v>0</v>
      </c>
      <c r="P1724" s="32" t="n"/>
      <c r="Q1724" s="32" t="n">
        <v>0</v>
      </c>
      <c r="R1724" s="32" t="n">
        <v>0</v>
      </c>
      <c r="S1724" s="31" t="n">
        <v>0</v>
      </c>
      <c r="T1724" s="32" t="n">
        <v>0</v>
      </c>
      <c r="U1724" s="31" t="n">
        <v>0</v>
      </c>
      <c r="V1724" s="31" t="n">
        <v>0</v>
      </c>
      <c r="W1724" s="3" t="n">
        <v>0</v>
      </c>
      <c r="X1724" s="3" t="n">
        <v>0</v>
      </c>
      <c r="Y1724" s="32" t="n">
        <v>0</v>
      </c>
      <c r="Z1724" s="3" t="n">
        <v>0</v>
      </c>
      <c r="AA1724" s="32" t="n">
        <v>0</v>
      </c>
      <c r="AB1724" s="3" t="n"/>
      <c r="AC1724" s="31" t="n">
        <v>0</v>
      </c>
      <c r="AD1724" s="2" t="n">
        <v>0</v>
      </c>
      <c r="AE1724" s="2" t="n">
        <v>5</v>
      </c>
      <c r="AF1724" s="4" t="n">
        <v>5</v>
      </c>
      <c r="AG1724" s="33" t="n">
        <v>0</v>
      </c>
      <c r="AH1724" s="4" t="n">
        <v>0</v>
      </c>
      <c r="AI1724" s="34" t="n"/>
      <c r="AJ1724" s="34" t="n">
        <v>0</v>
      </c>
      <c r="AK1724" s="2" t="n">
        <v>0</v>
      </c>
      <c r="AL1724" t="inlineStr">
        <is>
          <t>Published</t>
        </is>
      </c>
    </row>
    <row r="1725">
      <c r="A1725">
        <f>HYPERLINK("https://www.walmart.com/ip/197908816", "197908816")</f>
        <v/>
      </c>
      <c r="B1725">
        <f>HYPERLINK("https://app.optiwise.ai/catalog/itemdetails/359242", "Two-Piece Tankini Swimsuit for Women Open Back Swimwear Suits Bathing Set by Tirrinia")</f>
        <v/>
      </c>
      <c r="C1725" t="inlineStr">
        <is>
          <t>1TRSS005BK-L</t>
        </is>
      </c>
      <c r="D1725" t="inlineStr">
        <is>
          <t>Clothing</t>
        </is>
      </c>
      <c r="E1725" t="inlineStr">
        <is>
          <t>Bikini &amp; Tankini Tops</t>
        </is>
      </c>
      <c r="F1725" t="inlineStr">
        <is>
          <t>Tirrinia</t>
        </is>
      </c>
      <c r="G1725" t="n">
        <v>2.3</v>
      </c>
      <c r="H1725" t="n">
        <v>3</v>
      </c>
      <c r="I1725" t="inlineStr">
        <is>
          <t>Optimized</t>
        </is>
      </c>
      <c r="J1725" s="29" t="n">
        <v>0</v>
      </c>
      <c r="K1725" s="30" t="n"/>
      <c r="L1725" s="29" t="n">
        <v>0</v>
      </c>
      <c r="M1725" s="29" t="n">
        <v>0</v>
      </c>
      <c r="N1725" s="2" t="n">
        <v>0</v>
      </c>
      <c r="O1725" s="31" t="n">
        <v>0</v>
      </c>
      <c r="P1725" s="32" t="n"/>
      <c r="Q1725" s="32" t="n">
        <v>0</v>
      </c>
      <c r="R1725" s="32" t="n">
        <v>0</v>
      </c>
      <c r="S1725" s="31" t="n">
        <v>0</v>
      </c>
      <c r="T1725" s="32" t="n">
        <v>0</v>
      </c>
      <c r="U1725" s="31" t="n">
        <v>0</v>
      </c>
      <c r="V1725" s="31" t="n">
        <v>0</v>
      </c>
      <c r="W1725" s="3" t="n">
        <v>0</v>
      </c>
      <c r="X1725" s="3" t="n">
        <v>0</v>
      </c>
      <c r="Y1725" s="32" t="n">
        <v>0</v>
      </c>
      <c r="Z1725" s="3" t="n">
        <v>0</v>
      </c>
      <c r="AA1725" s="32" t="n">
        <v>0</v>
      </c>
      <c r="AB1725" s="3" t="n"/>
      <c r="AC1725" s="31" t="n">
        <v>0</v>
      </c>
      <c r="AD1725" s="2" t="n">
        <v>0</v>
      </c>
      <c r="AE1725" s="2" t="n">
        <v>16</v>
      </c>
      <c r="AF1725" s="4" t="n">
        <v>16</v>
      </c>
      <c r="AG1725" s="33" t="n">
        <v>0</v>
      </c>
      <c r="AH1725" s="4" t="n">
        <v>0</v>
      </c>
      <c r="AI1725" s="34" t="n"/>
      <c r="AJ1725" s="34" t="n">
        <v>0</v>
      </c>
      <c r="AK1725" s="2" t="n">
        <v>0</v>
      </c>
      <c r="AL1725" t="inlineStr">
        <is>
          <t>Published</t>
        </is>
      </c>
    </row>
    <row r="1726">
      <c r="A1726">
        <f>HYPERLINK("https://www.walmart.com/ip/150486317", "150486317")</f>
        <v/>
      </c>
      <c r="B1726">
        <f>HYPERLINK("https://app.optiwise.ai/catalog/itemdetails/359156", "Catalonia Wearable Blanket with Sleeves and Pocket, Cozy Soft Fleece Micro Plush Wrap Adult Blanket Robe for Women Men, Cow Pattern Makes a Great Gift for Holidays, 73 x 51.")</f>
        <v/>
      </c>
      <c r="C1726" t="inlineStr">
        <is>
          <t>1CTSN100DMT</t>
        </is>
      </c>
      <c r="D1726" t="inlineStr">
        <is>
          <t>Bedding</t>
        </is>
      </c>
      <c r="E1726" t="inlineStr">
        <is>
          <t>Throws</t>
        </is>
      </c>
      <c r="F1726" t="inlineStr">
        <is>
          <t>Catalonia</t>
        </is>
      </c>
      <c r="G1726" t="n">
        <v>4.3</v>
      </c>
      <c r="H1726" t="n">
        <v>12</v>
      </c>
      <c r="I1726" t="inlineStr">
        <is>
          <t>Q2-Target,WFS,WFS Item</t>
        </is>
      </c>
      <c r="J1726" s="29" t="n">
        <v>0</v>
      </c>
      <c r="K1726" s="30" t="n"/>
      <c r="L1726" s="29" t="n">
        <v>0</v>
      </c>
      <c r="M1726" s="29" t="n">
        <v>0</v>
      </c>
      <c r="N1726" s="2" t="n">
        <v>0</v>
      </c>
      <c r="O1726" s="31" t="n">
        <v>0.21</v>
      </c>
      <c r="P1726" s="32" t="n"/>
      <c r="Q1726" s="32" t="n">
        <v>0</v>
      </c>
      <c r="R1726" s="32" t="n">
        <v>0.2213</v>
      </c>
      <c r="S1726" s="31" t="n">
        <v>0</v>
      </c>
      <c r="T1726" s="32" t="n">
        <v>0</v>
      </c>
      <c r="U1726" s="31" t="n">
        <v>0</v>
      </c>
      <c r="V1726" s="31" t="n">
        <v>0</v>
      </c>
      <c r="W1726" s="3" t="n">
        <v>1254</v>
      </c>
      <c r="X1726" s="3" t="n">
        <v>1</v>
      </c>
      <c r="Y1726" s="32" t="n">
        <v>0.0008</v>
      </c>
      <c r="Z1726" s="3" t="n">
        <v>0</v>
      </c>
      <c r="AA1726" s="32" t="n">
        <v>0</v>
      </c>
      <c r="AB1726" s="3" t="inlineStr">
        <is>
          <t>Throws_Auto_Optiwise_24,Throws_Manual_Optiwise_24</t>
        </is>
      </c>
      <c r="AC1726" s="31" t="n">
        <v>0.21</v>
      </c>
      <c r="AD1726" s="2" t="n">
        <v>10</v>
      </c>
      <c r="AE1726" s="2" t="n">
        <v>41</v>
      </c>
      <c r="AF1726" s="4" t="n">
        <v>40</v>
      </c>
      <c r="AG1726" s="33" t="n">
        <v>0</v>
      </c>
      <c r="AH1726" s="4" t="n">
        <v>0</v>
      </c>
      <c r="AI1726" s="34" t="n"/>
      <c r="AJ1726" s="34" t="n">
        <v>0</v>
      </c>
      <c r="AK1726" s="2" t="n">
        <v>0</v>
      </c>
      <c r="AL1726" t="inlineStr">
        <is>
          <t>Published</t>
        </is>
      </c>
    </row>
    <row r="1727">
      <c r="A1727">
        <f>HYPERLINK("https://www.walmart.com/ip/738735577", "738735577")</f>
        <v/>
      </c>
      <c r="B1727">
        <f>HYPERLINK("https://app.optiwise.ai/catalog/itemdetails/359155", "Catalonia 15lb Weighted Blanket for Kids Adult, Premium Heavy Blanket with Removable Cover, 60×80, Cotton, Grey")</f>
        <v/>
      </c>
      <c r="C1727" t="inlineStr">
        <is>
          <t>1CTBG806GY-15M+C</t>
        </is>
      </c>
      <c r="D1727" t="inlineStr">
        <is>
          <t>Bedding</t>
        </is>
      </c>
      <c r="E1727" t="inlineStr">
        <is>
          <t>Bed Blankets</t>
        </is>
      </c>
      <c r="F1727" t="inlineStr">
        <is>
          <t>Catalonia</t>
        </is>
      </c>
      <c r="G1727" t="n">
        <v>0</v>
      </c>
      <c r="H1727" t="n">
        <v>0</v>
      </c>
      <c r="I1727" t="inlineStr">
        <is>
          <t>WFS,Valentine,WFS Item</t>
        </is>
      </c>
      <c r="J1727" s="29" t="n">
        <v>0</v>
      </c>
      <c r="K1727" s="30" t="n"/>
      <c r="L1727" s="29" t="n">
        <v>0</v>
      </c>
      <c r="M1727" s="29" t="n">
        <v>0</v>
      </c>
      <c r="N1727" s="2" t="n">
        <v>0</v>
      </c>
      <c r="O1727" s="31" t="n">
        <v>0</v>
      </c>
      <c r="P1727" s="32" t="n"/>
      <c r="Q1727" s="32" t="n">
        <v>0</v>
      </c>
      <c r="R1727" s="32" t="n">
        <v>0.1607</v>
      </c>
      <c r="S1727" s="31" t="n">
        <v>0</v>
      </c>
      <c r="T1727" s="32" t="n">
        <v>0</v>
      </c>
      <c r="U1727" s="31" t="n">
        <v>0</v>
      </c>
      <c r="V1727" s="31" t="n">
        <v>0</v>
      </c>
      <c r="W1727" s="3" t="n">
        <v>0</v>
      </c>
      <c r="X1727" s="3" t="n">
        <v>0</v>
      </c>
      <c r="Y1727" s="32" t="n">
        <v>0</v>
      </c>
      <c r="Z1727" s="3" t="n">
        <v>0</v>
      </c>
      <c r="AA1727" s="32" t="n">
        <v>0</v>
      </c>
      <c r="AB1727" s="3" t="n"/>
      <c r="AC1727" s="31" t="n">
        <v>0</v>
      </c>
      <c r="AD1727" s="2" t="n">
        <v>2</v>
      </c>
      <c r="AE1727" s="2" t="n">
        <v>20</v>
      </c>
      <c r="AF1727" s="4" t="n">
        <v>20</v>
      </c>
      <c r="AG1727" s="33" t="n">
        <v>0</v>
      </c>
      <c r="AH1727" s="4" t="n">
        <v>0</v>
      </c>
      <c r="AI1727" s="34" t="n"/>
      <c r="AJ1727" s="34" t="n">
        <v>0</v>
      </c>
      <c r="AK1727" s="2" t="n">
        <v>0</v>
      </c>
      <c r="AL1727" t="inlineStr">
        <is>
          <t>Published</t>
        </is>
      </c>
    </row>
    <row r="1728">
      <c r="A1728">
        <f>HYPERLINK("https://www.walmart.com/ip/247284414", "247284414")</f>
        <v/>
      </c>
      <c r="B1728">
        <f>HYPERLINK("https://app.optiwise.ai/catalog/itemdetails/359314", "Catalonia Warm and Cozy Sherpa Wearable Blanket Poncho for Adult, Pink, Snuggly Fleece Blanket with Pocket, No Sleeves")</f>
        <v/>
      </c>
      <c r="C1728" t="inlineStr">
        <is>
          <t>1CTBP110HP</t>
        </is>
      </c>
      <c r="D1728" t="inlineStr">
        <is>
          <t>Clothing</t>
        </is>
      </c>
      <c r="E1728" t="inlineStr">
        <is>
          <t>Throws</t>
        </is>
      </c>
      <c r="F1728" t="inlineStr">
        <is>
          <t>Catalonia</t>
        </is>
      </c>
      <c r="G1728" t="n">
        <v>4.9</v>
      </c>
      <c r="H1728" t="n">
        <v>16</v>
      </c>
      <c r="I1728" t="inlineStr">
        <is>
          <t>Optimized,Hero 5 Holidays,Coupon_Discount</t>
        </is>
      </c>
      <c r="J1728" s="29" t="n">
        <v>0</v>
      </c>
      <c r="K1728" s="30" t="n"/>
      <c r="L1728" s="29" t="n">
        <v>0</v>
      </c>
      <c r="M1728" s="29" t="n">
        <v>0</v>
      </c>
      <c r="N1728" s="2" t="n">
        <v>0</v>
      </c>
      <c r="O1728" s="31" t="n">
        <v>2.620000000000001</v>
      </c>
      <c r="P1728" s="32" t="n">
        <v>0.0003</v>
      </c>
      <c r="Q1728" s="32" t="n">
        <v>0</v>
      </c>
      <c r="R1728" s="32" t="n">
        <v>0.1003</v>
      </c>
      <c r="S1728" s="31" t="n">
        <v>19.84</v>
      </c>
      <c r="T1728" s="32" t="n">
        <v>0.05</v>
      </c>
      <c r="U1728" s="31" t="n">
        <v>51.98</v>
      </c>
      <c r="V1728" s="31" t="n">
        <v>51.98</v>
      </c>
      <c r="W1728" s="3" t="n">
        <v>6749</v>
      </c>
      <c r="X1728" s="3" t="n">
        <v>10</v>
      </c>
      <c r="Y1728" s="32" t="n">
        <v>0.0015</v>
      </c>
      <c r="Z1728" s="3" t="n">
        <v>2</v>
      </c>
      <c r="AA1728" s="32" t="n">
        <v>0.2</v>
      </c>
      <c r="AB1728" s="3" t="inlineStr">
        <is>
          <t>Snuggly_Auto</t>
        </is>
      </c>
      <c r="AC1728" s="31" t="n">
        <v>0.26</v>
      </c>
      <c r="AD1728" s="2" t="n">
        <v>0</v>
      </c>
      <c r="AE1728" s="2" t="n">
        <v>25</v>
      </c>
      <c r="AF1728" s="4" t="n">
        <v>15</v>
      </c>
      <c r="AG1728" s="33" t="n">
        <v>-51.98</v>
      </c>
      <c r="AH1728" s="4" t="n">
        <v>-2</v>
      </c>
      <c r="AI1728" s="34" t="n">
        <v>-0.1333</v>
      </c>
      <c r="AJ1728" s="34" t="n">
        <v>0</v>
      </c>
      <c r="AK1728" s="2" t="n">
        <v>0</v>
      </c>
      <c r="AL1728" t="inlineStr">
        <is>
          <t>Published</t>
        </is>
      </c>
    </row>
    <row r="1729">
      <c r="A1729">
        <f>HYPERLINK("https://www.walmart.com/ip/805607895", "805607895")</f>
        <v/>
      </c>
      <c r="B1729">
        <f>HYPERLINK("https://app.optiwise.ai/catalog/itemdetails/359316", "Catalonia Knit Throw Blanket with Pom-Pom Fringes, Soft and Warm Decorative Throws, 60 x 50, Brown")</f>
        <v/>
      </c>
      <c r="C1729" t="inlineStr">
        <is>
          <t>1CTBN200BN</t>
        </is>
      </c>
      <c r="D1729" t="inlineStr">
        <is>
          <t>Bedding</t>
        </is>
      </c>
      <c r="E1729" t="inlineStr">
        <is>
          <t>Throws</t>
        </is>
      </c>
      <c r="F1729" t="inlineStr">
        <is>
          <t>Catalonia</t>
        </is>
      </c>
      <c r="G1729" t="n">
        <v>4.7</v>
      </c>
      <c r="H1729" t="n">
        <v>10</v>
      </c>
      <c r="I1729" t="inlineStr">
        <is>
          <t>Q2-Target,Optimized</t>
        </is>
      </c>
      <c r="J1729" s="29" t="n">
        <v>0</v>
      </c>
      <c r="K1729" s="30" t="n"/>
      <c r="L1729" s="29" t="n">
        <v>0</v>
      </c>
      <c r="M1729" s="29" t="n">
        <v>0</v>
      </c>
      <c r="N1729" s="2" t="n">
        <v>0</v>
      </c>
      <c r="O1729" s="31" t="n">
        <v>0</v>
      </c>
      <c r="P1729" s="32" t="n"/>
      <c r="Q1729" s="32" t="n">
        <v>0</v>
      </c>
      <c r="R1729" s="32" t="n">
        <v>0</v>
      </c>
      <c r="S1729" s="31" t="n">
        <v>0</v>
      </c>
      <c r="T1729" s="32" t="n">
        <v>0</v>
      </c>
      <c r="U1729" s="31" t="n">
        <v>0</v>
      </c>
      <c r="V1729" s="31" t="n">
        <v>0</v>
      </c>
      <c r="W1729" s="3" t="n">
        <v>0</v>
      </c>
      <c r="X1729" s="3" t="n">
        <v>0</v>
      </c>
      <c r="Y1729" s="32" t="n">
        <v>0</v>
      </c>
      <c r="Z1729" s="3" t="n">
        <v>0</v>
      </c>
      <c r="AA1729" s="32" t="n">
        <v>0</v>
      </c>
      <c r="AB1729" s="3" t="n"/>
      <c r="AC1729" s="31" t="n">
        <v>0</v>
      </c>
      <c r="AD1729" s="2" t="n">
        <v>0</v>
      </c>
      <c r="AE1729" s="2" t="n">
        <v>25</v>
      </c>
      <c r="AF1729" s="4" t="n">
        <v>25</v>
      </c>
      <c r="AG1729" s="33" t="n">
        <v>0</v>
      </c>
      <c r="AH1729" s="4" t="n">
        <v>0</v>
      </c>
      <c r="AI1729" s="34" t="n"/>
      <c r="AJ1729" s="34" t="n">
        <v>0</v>
      </c>
      <c r="AK1729" s="2" t="n">
        <v>0</v>
      </c>
      <c r="AL1729" t="inlineStr">
        <is>
          <t>Published</t>
        </is>
      </c>
    </row>
    <row r="1730">
      <c r="A1730">
        <f>HYPERLINK("https://www.walmart.com/ip/574579169", "574579169")</f>
        <v/>
      </c>
      <c r="B1730">
        <f>HYPERLINK("https://app.optiwise.ai/catalog/itemdetails/359327", "Women Floppy Sun Beach Hats w/ Wide Brim Straw Edge Summer UV Protection Foldable Gardening Hiking Cap by Solaris")</f>
        <v/>
      </c>
      <c r="C1730" t="inlineStr">
        <is>
          <t>1SLSH371NV</t>
        </is>
      </c>
      <c r="D1730" t="inlineStr">
        <is>
          <t>Clothing</t>
        </is>
      </c>
      <c r="E1730" t="inlineStr">
        <is>
          <t>Hats</t>
        </is>
      </c>
      <c r="F1730" t="inlineStr">
        <is>
          <t>Solaris</t>
        </is>
      </c>
      <c r="G1730" t="n">
        <v>4.1</v>
      </c>
      <c r="H1730" t="n">
        <v>15</v>
      </c>
      <c r="I1730" t="inlineStr">
        <is>
          <t>Batch 1 - TR</t>
        </is>
      </c>
      <c r="J1730" s="29" t="n">
        <v>0</v>
      </c>
      <c r="K1730" s="30" t="n"/>
      <c r="L1730" s="29" t="n">
        <v>0</v>
      </c>
      <c r="M1730" s="29" t="n">
        <v>0</v>
      </c>
      <c r="N1730" s="2" t="n">
        <v>0</v>
      </c>
      <c r="O1730" s="31" t="n">
        <v>0</v>
      </c>
      <c r="P1730" s="32" t="n"/>
      <c r="Q1730" s="32" t="n">
        <v>0</v>
      </c>
      <c r="R1730" s="32" t="n">
        <v>0</v>
      </c>
      <c r="S1730" s="31" t="n">
        <v>0</v>
      </c>
      <c r="T1730" s="32" t="n">
        <v>0</v>
      </c>
      <c r="U1730" s="31" t="n">
        <v>0</v>
      </c>
      <c r="V1730" s="31" t="n">
        <v>0</v>
      </c>
      <c r="W1730" s="3" t="n">
        <v>0</v>
      </c>
      <c r="X1730" s="3" t="n">
        <v>0</v>
      </c>
      <c r="Y1730" s="32" t="n">
        <v>0</v>
      </c>
      <c r="Z1730" s="3" t="n">
        <v>0</v>
      </c>
      <c r="AA1730" s="32" t="n">
        <v>0</v>
      </c>
      <c r="AB1730" s="3" t="n"/>
      <c r="AC1730" s="31" t="n">
        <v>0</v>
      </c>
      <c r="AD1730" s="2" t="n">
        <v>0</v>
      </c>
      <c r="AE1730" s="2" t="n">
        <v>38</v>
      </c>
      <c r="AF1730" s="4" t="n">
        <v>38</v>
      </c>
      <c r="AG1730" s="33" t="n">
        <v>0</v>
      </c>
      <c r="AH1730" s="4" t="n">
        <v>0</v>
      </c>
      <c r="AI1730" s="34" t="n"/>
      <c r="AJ1730" s="34" t="n">
        <v>0</v>
      </c>
      <c r="AK1730" s="2" t="n">
        <v>0</v>
      </c>
      <c r="AL1730" t="inlineStr">
        <is>
          <t>Published</t>
        </is>
      </c>
    </row>
    <row r="1731">
      <c r="A1731">
        <f>HYPERLINK("https://www.walmart.com/ip/660768837", "660768837")</f>
        <v/>
      </c>
      <c r="B1731">
        <f>HYPERLINK("https://app.optiwise.ai/catalog/itemdetails/360292", "Catalonia Queen Size Quilt Set, Lightweight Bedspread for Summer and Spring, 2 Pieces Bedding Coverlet, 1 Quilt and 1 Pillow Sham, Blue Wave Pattern, 90 X 96")</f>
        <v/>
      </c>
      <c r="C1731" t="inlineStr">
        <is>
          <t>1CTBQ201QF-BLWT</t>
        </is>
      </c>
      <c r="D1731" t="inlineStr">
        <is>
          <t>Bedding</t>
        </is>
      </c>
      <c r="E1731" t="inlineStr">
        <is>
          <t>Quilts</t>
        </is>
      </c>
      <c r="F1731" t="inlineStr">
        <is>
          <t>Catalonia</t>
        </is>
      </c>
      <c r="G1731" t="n">
        <v>0</v>
      </c>
      <c r="H1731" t="n">
        <v>0</v>
      </c>
      <c r="I1731" t="inlineStr">
        <is>
          <t>Optimized,SEM,Quilt_Vinay</t>
        </is>
      </c>
      <c r="J1731" s="29" t="n">
        <v>0</v>
      </c>
      <c r="K1731" s="30" t="n"/>
      <c r="L1731" s="29" t="n">
        <v>0</v>
      </c>
      <c r="M1731" s="29" t="n">
        <v>0</v>
      </c>
      <c r="N1731" s="2" t="n">
        <v>0</v>
      </c>
      <c r="O1731" s="31" t="n">
        <v>0</v>
      </c>
      <c r="P1731" s="32" t="n"/>
      <c r="Q1731" s="32" t="n">
        <v>0</v>
      </c>
      <c r="R1731" s="32" t="n">
        <v>0</v>
      </c>
      <c r="S1731" s="31" t="n">
        <v>0</v>
      </c>
      <c r="T1731" s="32" t="n">
        <v>0</v>
      </c>
      <c r="U1731" s="31" t="n">
        <v>0</v>
      </c>
      <c r="V1731" s="31" t="n">
        <v>0</v>
      </c>
      <c r="W1731" s="3" t="n">
        <v>0</v>
      </c>
      <c r="X1731" s="3" t="n">
        <v>0</v>
      </c>
      <c r="Y1731" s="32" t="n">
        <v>0</v>
      </c>
      <c r="Z1731" s="3" t="n">
        <v>0</v>
      </c>
      <c r="AA1731" s="32" t="n">
        <v>0</v>
      </c>
      <c r="AB1731" s="3" t="n"/>
      <c r="AC1731" s="31" t="n">
        <v>0</v>
      </c>
      <c r="AD1731" s="2" t="n">
        <v>0</v>
      </c>
      <c r="AE1731" s="2" t="n">
        <v>15</v>
      </c>
      <c r="AF1731" s="4" t="n">
        <v>15</v>
      </c>
      <c r="AG1731" s="33" t="n">
        <v>0</v>
      </c>
      <c r="AH1731" s="4" t="n">
        <v>0</v>
      </c>
      <c r="AI1731" s="34" t="n"/>
      <c r="AJ1731" s="34" t="n">
        <v>0</v>
      </c>
      <c r="AK1731" s="2" t="n">
        <v>0</v>
      </c>
      <c r="AL1731" t="inlineStr">
        <is>
          <t>Published</t>
        </is>
      </c>
    </row>
    <row r="1732">
      <c r="A1732">
        <f>HYPERLINK("https://www.walmart.com/ip/780933748", "780933748")</f>
        <v/>
      </c>
      <c r="B1732">
        <f>HYPERLINK("https://app.optiwise.ai/catalog/itemdetails/360324", "Flyingstar Sherpa Throws Blanket, Fleece Soft Cozy Blanket Throws for Sofa Bed 50x60")</f>
        <v/>
      </c>
      <c r="C1732" t="inlineStr">
        <is>
          <t>1WMBF571TRIBE</t>
        </is>
      </c>
      <c r="D1732" t="inlineStr">
        <is>
          <t>Bedding</t>
        </is>
      </c>
      <c r="E1732" t="inlineStr">
        <is>
          <t>Throws</t>
        </is>
      </c>
      <c r="F1732" t="inlineStr">
        <is>
          <t>Flyingstar</t>
        </is>
      </c>
      <c r="G1732" t="n">
        <v>0</v>
      </c>
      <c r="H1732" t="n">
        <v>0</v>
      </c>
      <c r="I1732" t="inlineStr">
        <is>
          <t>Christmas,Optimized</t>
        </is>
      </c>
      <c r="J1732" s="29" t="n">
        <v>0</v>
      </c>
      <c r="K1732" s="30" t="n"/>
      <c r="L1732" s="29" t="n">
        <v>0</v>
      </c>
      <c r="M1732" s="29" t="n">
        <v>0</v>
      </c>
      <c r="N1732" s="2" t="n">
        <v>0</v>
      </c>
      <c r="O1732" s="31" t="n">
        <v>0</v>
      </c>
      <c r="P1732" s="32" t="n"/>
      <c r="Q1732" s="32" t="n">
        <v>0</v>
      </c>
      <c r="R1732" s="32" t="n">
        <v>0</v>
      </c>
      <c r="S1732" s="31" t="n">
        <v>0</v>
      </c>
      <c r="T1732" s="32" t="n">
        <v>0</v>
      </c>
      <c r="U1732" s="31" t="n">
        <v>0</v>
      </c>
      <c r="V1732" s="31" t="n">
        <v>0</v>
      </c>
      <c r="W1732" s="3" t="n">
        <v>0</v>
      </c>
      <c r="X1732" s="3" t="n">
        <v>0</v>
      </c>
      <c r="Y1732" s="32" t="n">
        <v>0</v>
      </c>
      <c r="Z1732" s="3" t="n">
        <v>0</v>
      </c>
      <c r="AA1732" s="32" t="n">
        <v>0</v>
      </c>
      <c r="AB1732" s="3" t="n"/>
      <c r="AC1732" s="31" t="n">
        <v>0</v>
      </c>
      <c r="AD1732" s="2" t="n">
        <v>0</v>
      </c>
      <c r="AE1732" s="2" t="n">
        <v>0</v>
      </c>
      <c r="AF1732" s="4" t="n">
        <v>0</v>
      </c>
      <c r="AG1732" s="33" t="n">
        <v>0</v>
      </c>
      <c r="AH1732" s="4" t="n">
        <v>0</v>
      </c>
      <c r="AI1732" s="34" t="n"/>
      <c r="AJ1732" s="34" t="n">
        <v>0</v>
      </c>
      <c r="AK1732" s="2" t="n">
        <v>0</v>
      </c>
      <c r="AL1732" t="inlineStr">
        <is>
          <t>Published</t>
        </is>
      </c>
    </row>
    <row r="1733">
      <c r="A1733">
        <f>HYPERLINK("https://www.walmart.com/ip/432191290", "432191290")</f>
        <v/>
      </c>
      <c r="B1733">
        <f>HYPERLINK("https://app.optiwise.ai/catalog/itemdetails/360323", "Flyingstar Sherpa Throws Blanket, Fleece Soft Cozy Blanket Throws for Sofa Bed 50x60")</f>
        <v/>
      </c>
      <c r="C1733" t="inlineStr">
        <is>
          <t>1WMBF573ZEBRA</t>
        </is>
      </c>
      <c r="D1733" t="inlineStr">
        <is>
          <t>Bedding</t>
        </is>
      </c>
      <c r="E1733" t="inlineStr">
        <is>
          <t>Throws</t>
        </is>
      </c>
      <c r="F1733" t="inlineStr">
        <is>
          <t>Flyingstar</t>
        </is>
      </c>
      <c r="G1733" t="n">
        <v>0</v>
      </c>
      <c r="H1733" t="n">
        <v>0</v>
      </c>
      <c r="I1733" t="inlineStr">
        <is>
          <t>Optimized</t>
        </is>
      </c>
      <c r="J1733" s="29" t="n">
        <v>0</v>
      </c>
      <c r="K1733" s="30" t="n"/>
      <c r="L1733" s="29" t="n">
        <v>0</v>
      </c>
      <c r="M1733" s="29" t="n">
        <v>0</v>
      </c>
      <c r="N1733" s="2" t="n">
        <v>0</v>
      </c>
      <c r="O1733" s="31" t="n">
        <v>0</v>
      </c>
      <c r="P1733" s="32" t="n"/>
      <c r="Q1733" s="32" t="n">
        <v>0</v>
      </c>
      <c r="R1733" s="32" t="n">
        <v>0</v>
      </c>
      <c r="S1733" s="31" t="n">
        <v>0</v>
      </c>
      <c r="T1733" s="32" t="n">
        <v>0</v>
      </c>
      <c r="U1733" s="31" t="n">
        <v>0</v>
      </c>
      <c r="V1733" s="31" t="n">
        <v>0</v>
      </c>
      <c r="W1733" s="3" t="n">
        <v>0</v>
      </c>
      <c r="X1733" s="3" t="n">
        <v>0</v>
      </c>
      <c r="Y1733" s="32" t="n">
        <v>0</v>
      </c>
      <c r="Z1733" s="3" t="n">
        <v>0</v>
      </c>
      <c r="AA1733" s="32" t="n">
        <v>0</v>
      </c>
      <c r="AB1733" s="3" t="n"/>
      <c r="AC1733" s="31" t="n">
        <v>0</v>
      </c>
      <c r="AD1733" s="2" t="n">
        <v>0</v>
      </c>
      <c r="AE1733" s="2" t="n">
        <v>1</v>
      </c>
      <c r="AF1733" s="4" t="n">
        <v>1</v>
      </c>
      <c r="AG1733" s="33" t="n">
        <v>0</v>
      </c>
      <c r="AH1733" s="4" t="n">
        <v>0</v>
      </c>
      <c r="AI1733" s="34" t="n"/>
      <c r="AJ1733" s="34" t="n">
        <v>0</v>
      </c>
      <c r="AK1733" s="2" t="n">
        <v>0</v>
      </c>
      <c r="AL1733" t="inlineStr">
        <is>
          <t>Published</t>
        </is>
      </c>
    </row>
    <row r="1734">
      <c r="A1734">
        <f>HYPERLINK("https://www.walmart.com/ip/152513714", "152513714")</f>
        <v/>
      </c>
      <c r="B1734">
        <f>HYPERLINK("https://app.optiwise.ai/catalog/itemdetails/360321", "KC Caps Thick Weave Waffle Knit Beanie")</f>
        <v/>
      </c>
      <c r="C1734" t="inlineStr">
        <is>
          <t>KCW1600GY</t>
        </is>
      </c>
      <c r="D1734" t="inlineStr">
        <is>
          <t>Clothing</t>
        </is>
      </c>
      <c r="E1734" t="inlineStr">
        <is>
          <t>Hats</t>
        </is>
      </c>
      <c r="F1734" t="inlineStr">
        <is>
          <t>KC Caps</t>
        </is>
      </c>
      <c r="G1734" t="n">
        <v>0</v>
      </c>
      <c r="H1734" t="n">
        <v>0</v>
      </c>
      <c r="I1734" t="inlineStr">
        <is>
          <t>Optimized</t>
        </is>
      </c>
      <c r="J1734" s="29" t="n">
        <v>0</v>
      </c>
      <c r="K1734" s="30" t="n"/>
      <c r="L1734" s="29" t="n">
        <v>6.989999771118164</v>
      </c>
      <c r="M1734" s="29" t="n">
        <v>0</v>
      </c>
      <c r="N1734" s="2" t="n">
        <v>0</v>
      </c>
      <c r="O1734" s="31" t="n">
        <v>0</v>
      </c>
      <c r="P1734" s="32" t="n"/>
      <c r="Q1734" s="32" t="n">
        <v>0</v>
      </c>
      <c r="R1734" s="32" t="n">
        <v>0</v>
      </c>
      <c r="S1734" s="31" t="n">
        <v>0</v>
      </c>
      <c r="T1734" s="32" t="n">
        <v>0</v>
      </c>
      <c r="U1734" s="31" t="n">
        <v>0</v>
      </c>
      <c r="V1734" s="31" t="n">
        <v>0</v>
      </c>
      <c r="W1734" s="3" t="n">
        <v>0</v>
      </c>
      <c r="X1734" s="3" t="n">
        <v>0</v>
      </c>
      <c r="Y1734" s="32" t="n">
        <v>0</v>
      </c>
      <c r="Z1734" s="3" t="n">
        <v>0</v>
      </c>
      <c r="AA1734" s="32" t="n">
        <v>0</v>
      </c>
      <c r="AB1734" s="3" t="n"/>
      <c r="AC1734" s="31" t="n">
        <v>0</v>
      </c>
      <c r="AD1734" s="2" t="n">
        <v>0</v>
      </c>
      <c r="AE1734" s="2" t="n">
        <v>8</v>
      </c>
      <c r="AF1734" s="4" t="n">
        <v>8</v>
      </c>
      <c r="AG1734" s="33" t="n">
        <v>0</v>
      </c>
      <c r="AH1734" s="4" t="n">
        <v>0</v>
      </c>
      <c r="AI1734" s="34" t="n"/>
      <c r="AJ1734" s="34" t="n">
        <v>0</v>
      </c>
      <c r="AK1734" s="2" t="n">
        <v>0</v>
      </c>
      <c r="AL1734" t="inlineStr">
        <is>
          <t>Published</t>
        </is>
      </c>
    </row>
    <row r="1735">
      <c r="A1735">
        <f>HYPERLINK("https://www.walmart.com/ip/519879220", "519879220")</f>
        <v/>
      </c>
      <c r="B1735">
        <f>HYPERLINK("https://app.optiwise.ai/catalog/itemdetails/360318", "Microplush Sherpa Blanket with Sleeves for Women and Men Wine")</f>
        <v/>
      </c>
      <c r="C1735" t="inlineStr">
        <is>
          <t>1TNSN110WN-TPB</t>
        </is>
      </c>
      <c r="D1735" t="inlineStr">
        <is>
          <t>Bedding</t>
        </is>
      </c>
      <c r="E1735" t="inlineStr">
        <is>
          <t>Throws</t>
        </is>
      </c>
      <c r="F1735" t="inlineStr">
        <is>
          <t>Terrania</t>
        </is>
      </c>
      <c r="G1735" t="n">
        <v>0</v>
      </c>
      <c r="H1735" t="n">
        <v>0</v>
      </c>
      <c r="J1735" s="29" t="n">
        <v>0</v>
      </c>
      <c r="K1735" s="30" t="n"/>
      <c r="L1735" s="29" t="n">
        <v>0</v>
      </c>
      <c r="M1735" s="29" t="n">
        <v>0</v>
      </c>
      <c r="N1735" s="2" t="n">
        <v>0</v>
      </c>
      <c r="O1735" s="31" t="n">
        <v>0</v>
      </c>
      <c r="P1735" s="32" t="n"/>
      <c r="Q1735" s="32" t="n">
        <v>0</v>
      </c>
      <c r="R1735" s="32" t="n">
        <v>0</v>
      </c>
      <c r="S1735" s="31" t="n">
        <v>0</v>
      </c>
      <c r="T1735" s="32" t="n">
        <v>0</v>
      </c>
      <c r="U1735" s="31" t="n">
        <v>0</v>
      </c>
      <c r="V1735" s="31" t="n">
        <v>0</v>
      </c>
      <c r="W1735" s="3" t="n">
        <v>0</v>
      </c>
      <c r="X1735" s="3" t="n">
        <v>0</v>
      </c>
      <c r="Y1735" s="32" t="n">
        <v>0</v>
      </c>
      <c r="Z1735" s="3" t="n">
        <v>0</v>
      </c>
      <c r="AA1735" s="32" t="n">
        <v>0</v>
      </c>
      <c r="AB1735" s="3" t="n"/>
      <c r="AC1735" s="31" t="n">
        <v>0</v>
      </c>
      <c r="AD1735" s="2" t="n">
        <v>0</v>
      </c>
      <c r="AE1735" s="2" t="n">
        <v>5</v>
      </c>
      <c r="AF1735" s="4" t="n">
        <v>5</v>
      </c>
      <c r="AG1735" s="33" t="n">
        <v>0</v>
      </c>
      <c r="AH1735" s="4" t="n">
        <v>0</v>
      </c>
      <c r="AI1735" s="34" t="n"/>
      <c r="AJ1735" s="34" t="n">
        <v>0</v>
      </c>
      <c r="AK1735" s="2" t="n">
        <v>0</v>
      </c>
      <c r="AL1735" t="inlineStr">
        <is>
          <t>Published</t>
        </is>
      </c>
    </row>
    <row r="1736">
      <c r="A1736">
        <f>HYPERLINK("https://www.walmart.com/ip/103895689", "103895689")</f>
        <v/>
      </c>
      <c r="B1736">
        <f>HYPERLINK("https://app.optiwise.ai/catalog/itemdetails/360316", "JenniWears® Women's Plus Size Sexy Lingeri Darque Babydoll And G-string")</f>
        <v/>
      </c>
      <c r="C1736" t="inlineStr">
        <is>
          <t>JWBD07BK-3XL</t>
        </is>
      </c>
      <c r="D1736" t="inlineStr">
        <is>
          <t>Clothing</t>
        </is>
      </c>
      <c r="E1736" t="inlineStr">
        <is>
          <t>Lingerie Sets</t>
        </is>
      </c>
      <c r="F1736" t="inlineStr">
        <is>
          <t>JenniWears</t>
        </is>
      </c>
      <c r="G1736" t="n">
        <v>0</v>
      </c>
      <c r="H1736" t="n">
        <v>0</v>
      </c>
      <c r="I1736" t="inlineStr">
        <is>
          <t>Optimized,Valentine</t>
        </is>
      </c>
      <c r="J1736" s="29" t="n">
        <v>0</v>
      </c>
      <c r="K1736" s="30" t="n"/>
      <c r="L1736" s="29" t="n">
        <v>0</v>
      </c>
      <c r="M1736" s="29" t="n">
        <v>0</v>
      </c>
      <c r="N1736" s="2" t="n">
        <v>0</v>
      </c>
      <c r="O1736" s="31" t="n">
        <v>0</v>
      </c>
      <c r="P1736" s="32" t="n"/>
      <c r="Q1736" s="32" t="n">
        <v>0</v>
      </c>
      <c r="R1736" s="32" t="n">
        <v>0</v>
      </c>
      <c r="S1736" s="31" t="n">
        <v>0</v>
      </c>
      <c r="T1736" s="32" t="n">
        <v>0</v>
      </c>
      <c r="U1736" s="31" t="n">
        <v>0</v>
      </c>
      <c r="V1736" s="31" t="n">
        <v>0</v>
      </c>
      <c r="W1736" s="3" t="n">
        <v>0</v>
      </c>
      <c r="X1736" s="3" t="n">
        <v>0</v>
      </c>
      <c r="Y1736" s="32" t="n">
        <v>0</v>
      </c>
      <c r="Z1736" s="3" t="n">
        <v>0</v>
      </c>
      <c r="AA1736" s="32" t="n">
        <v>0</v>
      </c>
      <c r="AB1736" s="3" t="n"/>
      <c r="AC1736" s="31" t="n">
        <v>0</v>
      </c>
      <c r="AD1736" s="2" t="n">
        <v>0</v>
      </c>
      <c r="AE1736" s="2" t="n">
        <v>3</v>
      </c>
      <c r="AF1736" s="4" t="n">
        <v>3</v>
      </c>
      <c r="AG1736" s="33" t="n">
        <v>0</v>
      </c>
      <c r="AH1736" s="4" t="n">
        <v>0</v>
      </c>
      <c r="AI1736" s="34" t="n"/>
      <c r="AJ1736" s="34" t="n">
        <v>0</v>
      </c>
      <c r="AK1736" s="2" t="n">
        <v>0</v>
      </c>
      <c r="AL1736" t="inlineStr">
        <is>
          <t>Published</t>
        </is>
      </c>
    </row>
    <row r="1737">
      <c r="A1737">
        <f>HYPERLINK("https://www.walmart.com/ip/899281465", "899281465")</f>
        <v/>
      </c>
      <c r="B1737">
        <f>HYPERLINK("https://app.optiwise.ai/catalog/itemdetails/360310", "Tirrinia 6 Bottle Wine cooler bag -  Insulated &amp; Padded
Versatile Wine Carrier Tote Bag for Travel, BYOB Restaurant, Wine Tasting, Party, Christmas Gift for Wine Lover, Grey")</f>
        <v/>
      </c>
      <c r="C1737" t="inlineStr">
        <is>
          <t>1WMWB603GY</t>
        </is>
      </c>
      <c r="D1737" t="inlineStr">
        <is>
          <t>Home Decor, Kitchen, &amp; Other</t>
        </is>
      </c>
      <c r="E1737" t="inlineStr">
        <is>
          <t>Wine Totes, Bags &amp; Backpacks</t>
        </is>
      </c>
      <c r="F1737" t="inlineStr">
        <is>
          <t>Flyingstar</t>
        </is>
      </c>
      <c r="G1737" t="n">
        <v>0</v>
      </c>
      <c r="H1737" t="n">
        <v>0</v>
      </c>
      <c r="I1737" t="inlineStr">
        <is>
          <t>Wine,Christmas,Optimized,Valentine</t>
        </is>
      </c>
      <c r="J1737" s="29" t="n">
        <v>0</v>
      </c>
      <c r="K1737" s="30" t="n"/>
      <c r="L1737" s="29" t="n">
        <v>0</v>
      </c>
      <c r="M1737" s="29" t="n">
        <v>0</v>
      </c>
      <c r="N1737" s="2" t="n">
        <v>0</v>
      </c>
      <c r="O1737" s="31" t="n">
        <v>0</v>
      </c>
      <c r="P1737" s="32" t="n"/>
      <c r="Q1737" s="32" t="n">
        <v>0</v>
      </c>
      <c r="R1737" s="32" t="n">
        <v>0</v>
      </c>
      <c r="S1737" s="31" t="n">
        <v>0</v>
      </c>
      <c r="T1737" s="32" t="n">
        <v>0</v>
      </c>
      <c r="U1737" s="31" t="n">
        <v>0</v>
      </c>
      <c r="V1737" s="31" t="n">
        <v>0</v>
      </c>
      <c r="W1737" s="3" t="n">
        <v>0</v>
      </c>
      <c r="X1737" s="3" t="n">
        <v>0</v>
      </c>
      <c r="Y1737" s="32" t="n">
        <v>0</v>
      </c>
      <c r="Z1737" s="3" t="n">
        <v>0</v>
      </c>
      <c r="AA1737" s="32" t="n">
        <v>0</v>
      </c>
      <c r="AB1737" s="3" t="n"/>
      <c r="AC1737" s="31" t="n">
        <v>0</v>
      </c>
      <c r="AD1737" s="2" t="n">
        <v>0</v>
      </c>
      <c r="AE1737" s="2" t="n">
        <v>13</v>
      </c>
      <c r="AF1737" s="4" t="n">
        <v>13</v>
      </c>
      <c r="AG1737" s="33" t="n">
        <v>0</v>
      </c>
      <c r="AH1737" s="4" t="n">
        <v>0</v>
      </c>
      <c r="AI1737" s="34" t="n"/>
      <c r="AJ1737" s="34" t="n">
        <v>0</v>
      </c>
      <c r="AK1737" s="2" t="n">
        <v>0</v>
      </c>
      <c r="AL1737" t="inlineStr">
        <is>
          <t>Published</t>
        </is>
      </c>
    </row>
    <row r="1738">
      <c r="A1738">
        <f>HYPERLINK("https://www.walmart.com/ip/910034340", "910034340")</f>
        <v/>
      </c>
      <c r="B1738">
        <f>HYPERLINK("https://app.optiwise.ai/catalog/itemdetails/360309", "KC Caps Unisex Hunting Hiking Camping Camo Military Mesh Cap for Adults, Travel Outdoor Sports Hat")</f>
        <v/>
      </c>
      <c r="C1738" t="inlineStr">
        <is>
          <t>KC Caps 7140 Break up</t>
        </is>
      </c>
      <c r="D1738" t="inlineStr">
        <is>
          <t>Clothing</t>
        </is>
      </c>
      <c r="E1738" t="inlineStr">
        <is>
          <t>Hats</t>
        </is>
      </c>
      <c r="F1738" t="inlineStr">
        <is>
          <t>KC Caps</t>
        </is>
      </c>
      <c r="G1738" t="n">
        <v>0</v>
      </c>
      <c r="H1738" t="n">
        <v>0</v>
      </c>
      <c r="I1738" t="inlineStr">
        <is>
          <t>Optimized</t>
        </is>
      </c>
      <c r="J1738" s="29" t="n">
        <v>0</v>
      </c>
      <c r="K1738" s="30" t="n"/>
      <c r="L1738" s="29" t="n">
        <v>0</v>
      </c>
      <c r="M1738" s="29" t="n">
        <v>0</v>
      </c>
      <c r="N1738" s="2" t="n">
        <v>0</v>
      </c>
      <c r="O1738" s="31" t="n">
        <v>0</v>
      </c>
      <c r="P1738" s="32" t="n"/>
      <c r="Q1738" s="32" t="n">
        <v>0</v>
      </c>
      <c r="R1738" s="32" t="n">
        <v>0</v>
      </c>
      <c r="S1738" s="31" t="n">
        <v>0</v>
      </c>
      <c r="T1738" s="32" t="n">
        <v>0</v>
      </c>
      <c r="U1738" s="31" t="n">
        <v>0</v>
      </c>
      <c r="V1738" s="31" t="n">
        <v>0</v>
      </c>
      <c r="W1738" s="3" t="n">
        <v>0</v>
      </c>
      <c r="X1738" s="3" t="n">
        <v>0</v>
      </c>
      <c r="Y1738" s="32" t="n">
        <v>0</v>
      </c>
      <c r="Z1738" s="3" t="n">
        <v>0</v>
      </c>
      <c r="AA1738" s="32" t="n">
        <v>0</v>
      </c>
      <c r="AB1738" s="3" t="n"/>
      <c r="AC1738" s="31" t="n">
        <v>0</v>
      </c>
      <c r="AD1738" s="2" t="n">
        <v>0</v>
      </c>
      <c r="AE1738" s="2" t="n">
        <v>0</v>
      </c>
      <c r="AF1738" s="4" t="n">
        <v>0</v>
      </c>
      <c r="AG1738" s="33" t="n">
        <v>0</v>
      </c>
      <c r="AH1738" s="4" t="n">
        <v>0</v>
      </c>
      <c r="AI1738" s="34" t="n"/>
      <c r="AJ1738" s="34" t="n">
        <v>0</v>
      </c>
      <c r="AK1738" s="2" t="n">
        <v>0</v>
      </c>
      <c r="AL1738" t="inlineStr">
        <is>
          <t>Published</t>
        </is>
      </c>
    </row>
    <row r="1739">
      <c r="A1739">
        <f>HYPERLINK("https://www.walmart.com/ip/124319683", "124319683")</f>
        <v/>
      </c>
      <c r="B1739">
        <f>HYPERLINK("https://app.optiwise.ai/catalog/itemdetails/360307", "JenniWears Women Beileise Sexy Garter Belt Suspender - 6 Packs")</f>
        <v/>
      </c>
      <c r="C1739" t="inlineStr">
        <is>
          <t>JWBLSPH5002-6pcs</t>
        </is>
      </c>
      <c r="D1739" t="inlineStr">
        <is>
          <t>Clothing</t>
        </is>
      </c>
      <c r="E1739" t="inlineStr">
        <is>
          <t>Garter Belts</t>
        </is>
      </c>
      <c r="F1739" t="inlineStr">
        <is>
          <t>JenniWears</t>
        </is>
      </c>
      <c r="G1739" t="n">
        <v>0</v>
      </c>
      <c r="H1739" t="n">
        <v>0</v>
      </c>
      <c r="I1739" t="inlineStr">
        <is>
          <t>Optimized,Valentine</t>
        </is>
      </c>
      <c r="J1739" s="29" t="n">
        <v>0</v>
      </c>
      <c r="K1739" s="30" t="n"/>
      <c r="L1739" s="29" t="n">
        <v>0</v>
      </c>
      <c r="M1739" s="29" t="n">
        <v>0</v>
      </c>
      <c r="N1739" s="2" t="n">
        <v>0</v>
      </c>
      <c r="O1739" s="31" t="n">
        <v>0</v>
      </c>
      <c r="P1739" s="32" t="n"/>
      <c r="Q1739" s="32" t="n">
        <v>0</v>
      </c>
      <c r="R1739" s="32" t="n">
        <v>0</v>
      </c>
      <c r="S1739" s="31" t="n">
        <v>0</v>
      </c>
      <c r="T1739" s="32" t="n">
        <v>0</v>
      </c>
      <c r="U1739" s="31" t="n">
        <v>0</v>
      </c>
      <c r="V1739" s="31" t="n">
        <v>0</v>
      </c>
      <c r="W1739" s="3" t="n">
        <v>0</v>
      </c>
      <c r="X1739" s="3" t="n">
        <v>0</v>
      </c>
      <c r="Y1739" s="32" t="n">
        <v>0</v>
      </c>
      <c r="Z1739" s="3" t="n">
        <v>0</v>
      </c>
      <c r="AA1739" s="32" t="n">
        <v>0</v>
      </c>
      <c r="AB1739" s="3" t="n"/>
      <c r="AC1739" s="31" t="n">
        <v>0</v>
      </c>
      <c r="AD1739" s="2" t="n">
        <v>0</v>
      </c>
      <c r="AE1739" s="2" t="n">
        <v>4</v>
      </c>
      <c r="AF1739" s="4" t="n">
        <v>4</v>
      </c>
      <c r="AG1739" s="33" t="n">
        <v>0</v>
      </c>
      <c r="AH1739" s="4" t="n">
        <v>0</v>
      </c>
      <c r="AI1739" s="34" t="n"/>
      <c r="AJ1739" s="34" t="n">
        <v>0</v>
      </c>
      <c r="AK1739" s="2" t="n">
        <v>0</v>
      </c>
      <c r="AL1739" t="inlineStr">
        <is>
          <t>Published</t>
        </is>
      </c>
    </row>
    <row r="1740">
      <c r="A1740">
        <f>HYPERLINK("https://www.walmart.com/ip/568941794", "568941794")</f>
        <v/>
      </c>
      <c r="B1740">
        <f>HYPERLINK("https://app.optiwise.ai/catalog/itemdetails/360305", "Solaris Women Floppy Sun Beach Hats with Wide Brim Straw Edge Summer UV Protection Foldable Gardening Hiking Cap, Tan")</f>
        <v/>
      </c>
      <c r="C1740" t="inlineStr">
        <is>
          <t>1SLSH371TN</t>
        </is>
      </c>
      <c r="D1740" t="inlineStr">
        <is>
          <t>Clothing</t>
        </is>
      </c>
      <c r="E1740" t="inlineStr">
        <is>
          <t>Hats</t>
        </is>
      </c>
      <c r="F1740" t="inlineStr">
        <is>
          <t>Solaris</t>
        </is>
      </c>
      <c r="G1740" t="n">
        <v>4</v>
      </c>
      <c r="H1740" t="n">
        <v>11</v>
      </c>
      <c r="I1740" t="inlineStr">
        <is>
          <t>Batch 1 - TR</t>
        </is>
      </c>
      <c r="J1740" s="29" t="n">
        <v>0</v>
      </c>
      <c r="K1740" s="30" t="n"/>
      <c r="L1740" s="29" t="n">
        <v>0</v>
      </c>
      <c r="M1740" s="29" t="n">
        <v>0</v>
      </c>
      <c r="N1740" s="2" t="n">
        <v>0</v>
      </c>
      <c r="O1740" s="31" t="n">
        <v>0</v>
      </c>
      <c r="P1740" s="32" t="n"/>
      <c r="Q1740" s="32" t="n">
        <v>0</v>
      </c>
      <c r="R1740" s="32" t="n">
        <v>0</v>
      </c>
      <c r="S1740" s="31" t="n">
        <v>0</v>
      </c>
      <c r="T1740" s="32" t="n">
        <v>0</v>
      </c>
      <c r="U1740" s="31" t="n">
        <v>0</v>
      </c>
      <c r="V1740" s="31" t="n">
        <v>0</v>
      </c>
      <c r="W1740" s="3" t="n">
        <v>0</v>
      </c>
      <c r="X1740" s="3" t="n">
        <v>0</v>
      </c>
      <c r="Y1740" s="32" t="n">
        <v>0</v>
      </c>
      <c r="Z1740" s="3" t="n">
        <v>0</v>
      </c>
      <c r="AA1740" s="32" t="n">
        <v>0</v>
      </c>
      <c r="AB1740" s="3" t="n"/>
      <c r="AC1740" s="31" t="n">
        <v>0</v>
      </c>
      <c r="AD1740" s="2" t="n">
        <v>0</v>
      </c>
      <c r="AE1740" s="2" t="n">
        <v>13</v>
      </c>
      <c r="AF1740" s="4" t="n">
        <v>13</v>
      </c>
      <c r="AG1740" s="33" t="n">
        <v>0</v>
      </c>
      <c r="AH1740" s="4" t="n">
        <v>0</v>
      </c>
      <c r="AI1740" s="34" t="n"/>
      <c r="AJ1740" s="34" t="n">
        <v>0</v>
      </c>
      <c r="AK1740" s="2" t="n">
        <v>0</v>
      </c>
      <c r="AL1740" t="inlineStr">
        <is>
          <t>Published</t>
        </is>
      </c>
    </row>
    <row r="1741">
      <c r="A1741">
        <f>HYPERLINK("https://www.walmart.com/ip/440878931", "440878931")</f>
        <v/>
      </c>
      <c r="B1741">
        <f>HYPERLINK("https://app.optiwise.ai/catalog/itemdetails/360302", "Catalonia Sherpa Blanket for Bed, Super Soft Fleece Plush Sofa Couch Throw Blanket, TV Bed Blanket, Comfy Cozy Fluffy Warm Comforter, Caring Gift(Grey,60x80 inches)")</f>
        <v/>
      </c>
      <c r="C1741" t="inlineStr">
        <is>
          <t>1CTBF368GY</t>
        </is>
      </c>
      <c r="D1741" t="inlineStr">
        <is>
          <t>Bedding</t>
        </is>
      </c>
      <c r="E1741" t="inlineStr">
        <is>
          <t>Throws</t>
        </is>
      </c>
      <c r="F1741" t="inlineStr">
        <is>
          <t>Catalonia</t>
        </is>
      </c>
      <c r="G1741" t="n">
        <v>4.4</v>
      </c>
      <c r="H1741" t="n">
        <v>5</v>
      </c>
      <c r="I1741" t="inlineStr">
        <is>
          <t>WFS,WFS Item</t>
        </is>
      </c>
      <c r="J1741" s="29" t="n">
        <v>0</v>
      </c>
      <c r="K1741" s="30" t="n"/>
      <c r="L1741" s="29" t="n">
        <v>0</v>
      </c>
      <c r="M1741" s="29" t="n">
        <v>0</v>
      </c>
      <c r="N1741" s="2" t="n">
        <v>0</v>
      </c>
      <c r="O1741" s="31" t="n">
        <v>0</v>
      </c>
      <c r="P1741" s="32" t="n"/>
      <c r="Q1741" s="32" t="n">
        <v>0</v>
      </c>
      <c r="R1741" s="32" t="n">
        <v>0</v>
      </c>
      <c r="S1741" s="31" t="n">
        <v>0</v>
      </c>
      <c r="T1741" s="32" t="n">
        <v>0</v>
      </c>
      <c r="U1741" s="31" t="n">
        <v>0</v>
      </c>
      <c r="V1741" s="31" t="n">
        <v>0</v>
      </c>
      <c r="W1741" s="3" t="n">
        <v>0</v>
      </c>
      <c r="X1741" s="3" t="n">
        <v>0</v>
      </c>
      <c r="Y1741" s="32" t="n">
        <v>0</v>
      </c>
      <c r="Z1741" s="3" t="n">
        <v>0</v>
      </c>
      <c r="AA1741" s="32" t="n">
        <v>0</v>
      </c>
      <c r="AB1741" s="3" t="n"/>
      <c r="AC1741" s="31" t="n">
        <v>0</v>
      </c>
      <c r="AD1741" s="2" t="n">
        <v>0</v>
      </c>
      <c r="AE1741" s="2" t="n">
        <v>27</v>
      </c>
      <c r="AF1741" s="4" t="n">
        <v>27</v>
      </c>
      <c r="AG1741" s="33" t="n">
        <v>0</v>
      </c>
      <c r="AH1741" s="4" t="n">
        <v>0</v>
      </c>
      <c r="AI1741" s="34" t="n"/>
      <c r="AJ1741" s="34" t="n">
        <v>0</v>
      </c>
      <c r="AK1741" s="2" t="n">
        <v>0</v>
      </c>
      <c r="AL1741" t="inlineStr">
        <is>
          <t>Published</t>
        </is>
      </c>
    </row>
    <row r="1742">
      <c r="A1742">
        <f>HYPERLINK("https://www.walmart.com/ip/592822483", "592822483")</f>
        <v/>
      </c>
      <c r="B1742">
        <f>HYPERLINK("https://app.optiwise.ai/catalog/itemdetails/360295", "Catalonia Sherpa Throws Blanket, Super Soft Comfy Fluffy Fuzzy Fleece Plush Blanket for Sofa Couch Bed Reversible All Season for Adults Children 50”x60”, Chevron Black")</f>
        <v/>
      </c>
      <c r="C1742" t="inlineStr">
        <is>
          <t>1CTBF320BK</t>
        </is>
      </c>
      <c r="D1742" t="inlineStr">
        <is>
          <t>Bedding</t>
        </is>
      </c>
      <c r="E1742" t="inlineStr">
        <is>
          <t>Throws</t>
        </is>
      </c>
      <c r="F1742" t="inlineStr">
        <is>
          <t>Catalonia</t>
        </is>
      </c>
      <c r="G1742" t="n">
        <v>0</v>
      </c>
      <c r="H1742" t="n">
        <v>0</v>
      </c>
      <c r="I1742" t="inlineStr">
        <is>
          <t>Q2-Target,Optimized,Coupon_Discount</t>
        </is>
      </c>
      <c r="J1742" s="29" t="n">
        <v>0</v>
      </c>
      <c r="K1742" s="30" t="n"/>
      <c r="L1742" s="29" t="n">
        <v>0</v>
      </c>
      <c r="M1742" s="29" t="n">
        <v>0</v>
      </c>
      <c r="N1742" s="2" t="n">
        <v>0</v>
      </c>
      <c r="O1742" s="31" t="n">
        <v>0</v>
      </c>
      <c r="P1742" s="32" t="n"/>
      <c r="Q1742" s="32" t="n">
        <v>0</v>
      </c>
      <c r="R1742" s="32" t="n">
        <v>0</v>
      </c>
      <c r="S1742" s="31" t="n">
        <v>0</v>
      </c>
      <c r="T1742" s="32" t="n">
        <v>0</v>
      </c>
      <c r="U1742" s="31" t="n">
        <v>0</v>
      </c>
      <c r="V1742" s="31" t="n">
        <v>0</v>
      </c>
      <c r="W1742" s="3" t="n">
        <v>0</v>
      </c>
      <c r="X1742" s="3" t="n">
        <v>0</v>
      </c>
      <c r="Y1742" s="32" t="n">
        <v>0</v>
      </c>
      <c r="Z1742" s="3" t="n">
        <v>0</v>
      </c>
      <c r="AA1742" s="32" t="n">
        <v>0</v>
      </c>
      <c r="AB1742" s="3" t="n"/>
      <c r="AC1742" s="31" t="n">
        <v>0</v>
      </c>
      <c r="AD1742" s="2" t="n">
        <v>0</v>
      </c>
      <c r="AE1742" s="2" t="n">
        <v>14</v>
      </c>
      <c r="AF1742" s="4" t="n">
        <v>14</v>
      </c>
      <c r="AG1742" s="33" t="n">
        <v>0</v>
      </c>
      <c r="AH1742" s="4" t="n">
        <v>0</v>
      </c>
      <c r="AI1742" s="34" t="n"/>
      <c r="AJ1742" s="34" t="n">
        <v>0</v>
      </c>
      <c r="AK1742" s="2" t="n">
        <v>0</v>
      </c>
      <c r="AL1742" t="inlineStr">
        <is>
          <t>Published</t>
        </is>
      </c>
    </row>
    <row r="1743">
      <c r="A1743">
        <f>HYPERLINK("https://www.walmart.com/ip/421303790", "421303790")</f>
        <v/>
      </c>
      <c r="B1743">
        <f>HYPERLINK("https://app.optiwise.ai/catalog/itemdetails/360282", "Catalonia Hooded Blanket Poncho | Wearable Blanket Wrap with Hand Pockets | Comfy Sherpa Fleece Throw Cape for Children and Adults, Christmas Thanksgiving Mother Gift, Cheetah")</f>
        <v/>
      </c>
      <c r="C1743" t="inlineStr">
        <is>
          <t>1CTBC100CHEETAH</t>
        </is>
      </c>
      <c r="D1743" t="inlineStr">
        <is>
          <t>Bedding</t>
        </is>
      </c>
      <c r="E1743" t="inlineStr">
        <is>
          <t>Throws</t>
        </is>
      </c>
      <c r="F1743" t="inlineStr">
        <is>
          <t>Catalonia</t>
        </is>
      </c>
      <c r="G1743" t="n">
        <v>0</v>
      </c>
      <c r="H1743" t="n">
        <v>0</v>
      </c>
      <c r="I1743" t="inlineStr">
        <is>
          <t>Batch 1 - TR</t>
        </is>
      </c>
      <c r="J1743" s="29" t="n">
        <v>0</v>
      </c>
      <c r="K1743" s="30" t="n"/>
      <c r="L1743" s="29" t="n">
        <v>0</v>
      </c>
      <c r="M1743" s="29" t="n">
        <v>0</v>
      </c>
      <c r="N1743" s="2" t="n">
        <v>0</v>
      </c>
      <c r="O1743" s="31" t="n">
        <v>0</v>
      </c>
      <c r="P1743" s="32" t="n"/>
      <c r="Q1743" s="32" t="n">
        <v>0</v>
      </c>
      <c r="R1743" s="32" t="n">
        <v>0</v>
      </c>
      <c r="S1743" s="31" t="n">
        <v>0</v>
      </c>
      <c r="T1743" s="32" t="n">
        <v>0</v>
      </c>
      <c r="U1743" s="31" t="n">
        <v>0</v>
      </c>
      <c r="V1743" s="31" t="n">
        <v>0</v>
      </c>
      <c r="W1743" s="3" t="n">
        <v>0</v>
      </c>
      <c r="X1743" s="3" t="n">
        <v>0</v>
      </c>
      <c r="Y1743" s="32" t="n">
        <v>0</v>
      </c>
      <c r="Z1743" s="3" t="n">
        <v>0</v>
      </c>
      <c r="AA1743" s="32" t="n">
        <v>0</v>
      </c>
      <c r="AB1743" s="3" t="n"/>
      <c r="AC1743" s="31" t="n">
        <v>0</v>
      </c>
      <c r="AD1743" s="2" t="n">
        <v>0</v>
      </c>
      <c r="AE1743" s="2" t="n">
        <v>28</v>
      </c>
      <c r="AF1743" s="4" t="n">
        <v>28</v>
      </c>
      <c r="AG1743" s="33" t="n">
        <v>0</v>
      </c>
      <c r="AH1743" s="4" t="n">
        <v>0</v>
      </c>
      <c r="AI1743" s="34" t="n"/>
      <c r="AJ1743" s="34" t="n">
        <v>0</v>
      </c>
      <c r="AK1743" s="2" t="n">
        <v>0</v>
      </c>
      <c r="AL1743" t="inlineStr">
        <is>
          <t>Published</t>
        </is>
      </c>
    </row>
    <row r="1744">
      <c r="A1744">
        <f>HYPERLINK("https://www.walmart.com/ip/777666039", "777666039")</f>
        <v/>
      </c>
      <c r="B1744">
        <f>HYPERLINK("https://app.optiwise.ai/catalog/itemdetails/359330", "Tirrinia Pressure Pump Opener Set Corkscrew+foil cutter+wine pourer+Vacuum Stopper, Pink")</f>
        <v/>
      </c>
      <c r="C1744" t="inlineStr">
        <is>
          <t>1KTWO400PK</t>
        </is>
      </c>
      <c r="D1744" t="inlineStr">
        <is>
          <t>Home Decor, Kitchen, &amp; Other</t>
        </is>
      </c>
      <c r="E1744" t="inlineStr">
        <is>
          <t>Barware Sets</t>
        </is>
      </c>
      <c r="F1744" t="inlineStr">
        <is>
          <t>Tirrinia</t>
        </is>
      </c>
      <c r="G1744" t="n">
        <v>4.4</v>
      </c>
      <c r="H1744" t="n">
        <v>14</v>
      </c>
      <c r="I1744" t="inlineStr">
        <is>
          <t>Wine,Christmas,Optimized,WFS,Valentine,WFS Item</t>
        </is>
      </c>
      <c r="J1744" s="29" t="n">
        <v>0</v>
      </c>
      <c r="K1744" s="30" t="n"/>
      <c r="L1744" s="29" t="n">
        <v>0</v>
      </c>
      <c r="M1744" s="29" t="n">
        <v>0</v>
      </c>
      <c r="N1744" s="2" t="n">
        <v>0</v>
      </c>
      <c r="O1744" s="31" t="n">
        <v>0</v>
      </c>
      <c r="P1744" s="32" t="n"/>
      <c r="Q1744" s="32" t="n">
        <v>0</v>
      </c>
      <c r="R1744" s="32" t="n">
        <v>0</v>
      </c>
      <c r="S1744" s="31" t="n">
        <v>0</v>
      </c>
      <c r="T1744" s="32" t="n">
        <v>0</v>
      </c>
      <c r="U1744" s="31" t="n">
        <v>0</v>
      </c>
      <c r="V1744" s="31" t="n">
        <v>0</v>
      </c>
      <c r="W1744" s="3" t="n">
        <v>0</v>
      </c>
      <c r="X1744" s="3" t="n">
        <v>0</v>
      </c>
      <c r="Y1744" s="32" t="n">
        <v>0</v>
      </c>
      <c r="Z1744" s="3" t="n">
        <v>0</v>
      </c>
      <c r="AA1744" s="32" t="n">
        <v>0</v>
      </c>
      <c r="AB1744" s="3" t="n"/>
      <c r="AC1744" s="31" t="n">
        <v>0</v>
      </c>
      <c r="AD1744" s="2" t="n">
        <v>0</v>
      </c>
      <c r="AE1744" s="2" t="n">
        <v>1</v>
      </c>
      <c r="AF1744" s="4" t="n">
        <v>1</v>
      </c>
      <c r="AG1744" s="33" t="n">
        <v>0</v>
      </c>
      <c r="AH1744" s="4" t="n">
        <v>0</v>
      </c>
      <c r="AI1744" s="34" t="n"/>
      <c r="AJ1744" s="34" t="n">
        <v>0</v>
      </c>
      <c r="AK1744" s="2" t="n">
        <v>0</v>
      </c>
      <c r="AL1744" t="inlineStr">
        <is>
          <t>Published</t>
        </is>
      </c>
    </row>
    <row r="1745">
      <c r="A1745">
        <f>HYPERLINK("https://www.walmart.com/ip/233540626", "233540626")</f>
        <v/>
      </c>
      <c r="B1745">
        <f>HYPERLINK("https://app.optiwise.ai/catalog/itemdetails/360276", "Two-Piece Ladies Tankini Swimsuit for Women Swimsuits by Tirrinia")</f>
        <v/>
      </c>
      <c r="C1745" t="inlineStr">
        <is>
          <t>1TRSS003BL-XL</t>
        </is>
      </c>
      <c r="D1745" t="inlineStr">
        <is>
          <t>Clothing</t>
        </is>
      </c>
      <c r="E1745" t="inlineStr">
        <is>
          <t>Swimsuit Sets</t>
        </is>
      </c>
      <c r="F1745" t="inlineStr">
        <is>
          <t>Tirrinia</t>
        </is>
      </c>
      <c r="G1745" t="n">
        <v>0</v>
      </c>
      <c r="H1745" t="n">
        <v>0</v>
      </c>
      <c r="J1745" s="29" t="n">
        <v>0</v>
      </c>
      <c r="K1745" s="30" t="n"/>
      <c r="L1745" s="29" t="n">
        <v>0</v>
      </c>
      <c r="M1745" s="29" t="n">
        <v>0</v>
      </c>
      <c r="N1745" s="2" t="n">
        <v>0</v>
      </c>
      <c r="O1745" s="31" t="n">
        <v>0</v>
      </c>
      <c r="P1745" s="32" t="n"/>
      <c r="Q1745" s="32" t="n">
        <v>0</v>
      </c>
      <c r="R1745" s="32" t="n">
        <v>0</v>
      </c>
      <c r="S1745" s="31" t="n">
        <v>0</v>
      </c>
      <c r="T1745" s="32" t="n">
        <v>0</v>
      </c>
      <c r="U1745" s="31" t="n">
        <v>0</v>
      </c>
      <c r="V1745" s="31" t="n">
        <v>0</v>
      </c>
      <c r="W1745" s="3" t="n">
        <v>0</v>
      </c>
      <c r="X1745" s="3" t="n">
        <v>0</v>
      </c>
      <c r="Y1745" s="32" t="n">
        <v>0</v>
      </c>
      <c r="Z1745" s="3" t="n">
        <v>0</v>
      </c>
      <c r="AA1745" s="32" t="n">
        <v>0</v>
      </c>
      <c r="AB1745" s="3" t="n"/>
      <c r="AC1745" s="31" t="n">
        <v>0</v>
      </c>
      <c r="AD1745" s="2" t="n">
        <v>0</v>
      </c>
      <c r="AE1745" s="2" t="n">
        <v>0</v>
      </c>
      <c r="AF1745" s="4" t="n">
        <v>0</v>
      </c>
      <c r="AG1745" s="33" t="n">
        <v>0</v>
      </c>
      <c r="AH1745" s="4" t="n">
        <v>0</v>
      </c>
      <c r="AI1745" s="34" t="n"/>
      <c r="AJ1745" s="34" t="n">
        <v>0</v>
      </c>
      <c r="AK1745" s="2" t="n">
        <v>0</v>
      </c>
      <c r="AL1745" t="inlineStr">
        <is>
          <t>Published</t>
        </is>
      </c>
    </row>
    <row r="1746">
      <c r="A1746">
        <f>HYPERLINK("https://www.walmart.com/ip/131607386", "131607386")</f>
        <v/>
      </c>
      <c r="B1746">
        <f>HYPERLINK("https://app.optiwise.ai/catalog/itemdetails/360274", "Oversized Hoodie Blanket Sweatshirt,Super Soft Warm Comfortable Fleece Giant Pullover with Large Front Pocket,for Adults Men Women Teenagers Kids Wife Girlfriend")</f>
        <v/>
      </c>
      <c r="C1746" t="inlineStr">
        <is>
          <t>1WMHD300LGY</t>
        </is>
      </c>
      <c r="D1746" t="inlineStr">
        <is>
          <t>Clothing</t>
        </is>
      </c>
      <c r="E1746" t="inlineStr">
        <is>
          <t>Sweatshirts &amp; Hoodies</t>
        </is>
      </c>
      <c r="F1746" t="inlineStr">
        <is>
          <t>Flyingstar</t>
        </is>
      </c>
      <c r="G1746" t="n">
        <v>0</v>
      </c>
      <c r="H1746" t="n">
        <v>0</v>
      </c>
      <c r="I1746" t="inlineStr">
        <is>
          <t>Hoodie ForAdult,Optimized</t>
        </is>
      </c>
      <c r="J1746" s="29" t="n">
        <v>0</v>
      </c>
      <c r="K1746" s="30" t="n"/>
      <c r="L1746" s="29" t="n">
        <v>0</v>
      </c>
      <c r="M1746" s="29" t="n">
        <v>0</v>
      </c>
      <c r="N1746" s="2" t="n">
        <v>0</v>
      </c>
      <c r="O1746" s="31" t="n">
        <v>0</v>
      </c>
      <c r="P1746" s="32" t="n"/>
      <c r="Q1746" s="32" t="n">
        <v>0</v>
      </c>
      <c r="R1746" s="32" t="n">
        <v>0.0689</v>
      </c>
      <c r="S1746" s="31" t="n">
        <v>0</v>
      </c>
      <c r="T1746" s="32" t="n">
        <v>0</v>
      </c>
      <c r="U1746" s="31" t="n">
        <v>0</v>
      </c>
      <c r="V1746" s="31" t="n">
        <v>0</v>
      </c>
      <c r="W1746" s="3" t="n">
        <v>0</v>
      </c>
      <c r="X1746" s="3" t="n">
        <v>0</v>
      </c>
      <c r="Y1746" s="32" t="n">
        <v>0</v>
      </c>
      <c r="Z1746" s="3" t="n">
        <v>0</v>
      </c>
      <c r="AA1746" s="32" t="n">
        <v>0</v>
      </c>
      <c r="AB1746" s="3" t="n"/>
      <c r="AC1746" s="31" t="n">
        <v>0</v>
      </c>
      <c r="AD1746" s="2" t="n">
        <v>49</v>
      </c>
      <c r="AE1746" s="2" t="n">
        <v>60</v>
      </c>
      <c r="AF1746" s="4" t="n">
        <v>60</v>
      </c>
      <c r="AG1746" s="33" t="n">
        <v>0</v>
      </c>
      <c r="AH1746" s="4" t="n">
        <v>0</v>
      </c>
      <c r="AI1746" s="34" t="n"/>
      <c r="AJ1746" s="34" t="n">
        <v>0</v>
      </c>
      <c r="AK1746" s="2" t="n">
        <v>0</v>
      </c>
      <c r="AL1746" t="inlineStr">
        <is>
          <t>Published</t>
        </is>
      </c>
    </row>
    <row r="1747">
      <c r="A1747">
        <f>HYPERLINK("https://www.walmart.com/ip/730982909", "730982909")</f>
        <v/>
      </c>
      <c r="B1747">
        <f>HYPERLINK("https://app.optiwise.ai/catalog/itemdetails/360269", "Solaris Winter Cable Knit Beanie Hats with Fur Pom Pom for Women Ski Cap")</f>
        <v/>
      </c>
      <c r="C1747" t="inlineStr">
        <is>
          <t>1SLPPH01RD</t>
        </is>
      </c>
      <c r="D1747" t="inlineStr">
        <is>
          <t>Clothing</t>
        </is>
      </c>
      <c r="E1747" t="inlineStr">
        <is>
          <t>Hats</t>
        </is>
      </c>
      <c r="F1747" t="inlineStr">
        <is>
          <t>Solaris</t>
        </is>
      </c>
      <c r="G1747" t="n">
        <v>0</v>
      </c>
      <c r="H1747" t="n">
        <v>0</v>
      </c>
      <c r="I1747" t="inlineStr">
        <is>
          <t>Batch 1 - TR</t>
        </is>
      </c>
      <c r="J1747" s="29" t="n">
        <v>0</v>
      </c>
      <c r="K1747" s="30" t="n"/>
      <c r="L1747" s="29" t="n">
        <v>0</v>
      </c>
      <c r="M1747" s="29" t="n">
        <v>0</v>
      </c>
      <c r="N1747" s="2" t="n">
        <v>0</v>
      </c>
      <c r="O1747" s="31" t="n">
        <v>0</v>
      </c>
      <c r="P1747" s="32" t="n"/>
      <c r="Q1747" s="32" t="n">
        <v>0</v>
      </c>
      <c r="R1747" s="32" t="n">
        <v>0</v>
      </c>
      <c r="S1747" s="31" t="n">
        <v>0</v>
      </c>
      <c r="T1747" s="32" t="n">
        <v>0</v>
      </c>
      <c r="U1747" s="31" t="n">
        <v>0</v>
      </c>
      <c r="V1747" s="31" t="n">
        <v>0</v>
      </c>
      <c r="W1747" s="3" t="n">
        <v>0</v>
      </c>
      <c r="X1747" s="3" t="n">
        <v>0</v>
      </c>
      <c r="Y1747" s="32" t="n">
        <v>0</v>
      </c>
      <c r="Z1747" s="3" t="n">
        <v>0</v>
      </c>
      <c r="AA1747" s="32" t="n">
        <v>0</v>
      </c>
      <c r="AB1747" s="3" t="n"/>
      <c r="AC1747" s="31" t="n">
        <v>0</v>
      </c>
      <c r="AD1747" s="2" t="n">
        <v>0</v>
      </c>
      <c r="AE1747" s="2" t="n">
        <v>4</v>
      </c>
      <c r="AF1747" s="4" t="n">
        <v>4</v>
      </c>
      <c r="AG1747" s="33" t="n">
        <v>0</v>
      </c>
      <c r="AH1747" s="4" t="n">
        <v>0</v>
      </c>
      <c r="AI1747" s="34" t="n"/>
      <c r="AJ1747" s="34" t="n">
        <v>0</v>
      </c>
      <c r="AK1747" s="2" t="n">
        <v>0</v>
      </c>
      <c r="AL1747" t="inlineStr">
        <is>
          <t>Published</t>
        </is>
      </c>
    </row>
    <row r="1748">
      <c r="A1748">
        <f>HYPERLINK("https://www.walmart.com/ip/198876951", "198876951")</f>
        <v/>
      </c>
      <c r="B1748">
        <f>HYPERLINK("https://app.optiwise.ai/catalog/itemdetails/360268", "JenniWears® Women Intimate Night Babydoll Robe w/ Satin Ribbon Belt G-string Set")</f>
        <v/>
      </c>
      <c r="C1748" t="inlineStr">
        <is>
          <t>JWRS03BK-M</t>
        </is>
      </c>
      <c r="D1748" t="inlineStr">
        <is>
          <t>Clothing</t>
        </is>
      </c>
      <c r="E1748" t="inlineStr">
        <is>
          <t>Lingerie Sets</t>
        </is>
      </c>
      <c r="F1748" t="inlineStr">
        <is>
          <t>JenniWears</t>
        </is>
      </c>
      <c r="G1748" t="n">
        <v>1</v>
      </c>
      <c r="H1748" t="n">
        <v>1</v>
      </c>
      <c r="I1748" t="inlineStr">
        <is>
          <t>Optimized,Valentine</t>
        </is>
      </c>
      <c r="J1748" s="29" t="n">
        <v>0</v>
      </c>
      <c r="K1748" s="30" t="n"/>
      <c r="L1748" s="29" t="n">
        <v>9.989999771118164</v>
      </c>
      <c r="M1748" s="29" t="n">
        <v>0</v>
      </c>
      <c r="N1748" s="2" t="n">
        <v>0</v>
      </c>
      <c r="O1748" s="31" t="n">
        <v>0</v>
      </c>
      <c r="P1748" s="32" t="n"/>
      <c r="Q1748" s="32" t="n">
        <v>0</v>
      </c>
      <c r="R1748" s="32" t="n">
        <v>0</v>
      </c>
      <c r="S1748" s="31" t="n">
        <v>0</v>
      </c>
      <c r="T1748" s="32" t="n">
        <v>0</v>
      </c>
      <c r="U1748" s="31" t="n">
        <v>0</v>
      </c>
      <c r="V1748" s="31" t="n">
        <v>0</v>
      </c>
      <c r="W1748" s="3" t="n">
        <v>0</v>
      </c>
      <c r="X1748" s="3" t="n">
        <v>0</v>
      </c>
      <c r="Y1748" s="32" t="n">
        <v>0</v>
      </c>
      <c r="Z1748" s="3" t="n">
        <v>0</v>
      </c>
      <c r="AA1748" s="32" t="n">
        <v>0</v>
      </c>
      <c r="AB1748" s="3" t="n"/>
      <c r="AC1748" s="31" t="n">
        <v>0</v>
      </c>
      <c r="AD1748" s="2" t="n">
        <v>0</v>
      </c>
      <c r="AE1748" s="2" t="n">
        <v>7</v>
      </c>
      <c r="AF1748" s="4" t="n">
        <v>7</v>
      </c>
      <c r="AG1748" s="33" t="n">
        <v>0</v>
      </c>
      <c r="AH1748" s="4" t="n">
        <v>0</v>
      </c>
      <c r="AI1748" s="34" t="n"/>
      <c r="AJ1748" s="34" t="n">
        <v>0</v>
      </c>
      <c r="AK1748" s="2" t="n">
        <v>0</v>
      </c>
      <c r="AL1748" t="inlineStr">
        <is>
          <t>Published</t>
        </is>
      </c>
    </row>
    <row r="1749">
      <c r="A1749">
        <f>HYPERLINK("https://www.walmart.com/ip/414477883", "414477883")</f>
        <v/>
      </c>
      <c r="B1749">
        <f>HYPERLINK("https://app.optiwise.ai/catalog/itemdetails/360266", "Catalonia Women's Plush Fleece Long Robe, Warm Comfy Fluffy Female Bathrobe with Hood, Machine Washable, One Size, Pink")</f>
        <v/>
      </c>
      <c r="C1749" t="inlineStr">
        <is>
          <t>1CTRB100PK-LDCB</t>
        </is>
      </c>
      <c r="D1749" t="inlineStr">
        <is>
          <t>Clothing</t>
        </is>
      </c>
      <c r="E1749" t="inlineStr">
        <is>
          <t>Sleepwear Robes &amp; Bathrobes</t>
        </is>
      </c>
      <c r="F1749" t="inlineStr">
        <is>
          <t>Catalonia</t>
        </is>
      </c>
      <c r="G1749" t="n">
        <v>0</v>
      </c>
      <c r="H1749" t="n">
        <v>0</v>
      </c>
      <c r="I1749" t="inlineStr">
        <is>
          <t>Hero 5 Holidays,Bathrobe,Batch 1 - TR</t>
        </is>
      </c>
      <c r="J1749" s="29" t="n">
        <v>0</v>
      </c>
      <c r="K1749" s="30" t="n"/>
      <c r="L1749" s="29" t="n">
        <v>0</v>
      </c>
      <c r="M1749" s="29" t="n">
        <v>0</v>
      </c>
      <c r="N1749" s="2" t="n">
        <v>0</v>
      </c>
      <c r="O1749" s="31" t="n">
        <v>0</v>
      </c>
      <c r="P1749" s="32" t="n"/>
      <c r="Q1749" s="32" t="n">
        <v>0</v>
      </c>
      <c r="R1749" s="32" t="n">
        <v>0</v>
      </c>
      <c r="S1749" s="31" t="n">
        <v>0</v>
      </c>
      <c r="T1749" s="32" t="n">
        <v>0</v>
      </c>
      <c r="U1749" s="31" t="n">
        <v>0</v>
      </c>
      <c r="V1749" s="31" t="n">
        <v>0</v>
      </c>
      <c r="W1749" s="3" t="n">
        <v>0</v>
      </c>
      <c r="X1749" s="3" t="n">
        <v>0</v>
      </c>
      <c r="Y1749" s="32" t="n">
        <v>0</v>
      </c>
      <c r="Z1749" s="3" t="n">
        <v>0</v>
      </c>
      <c r="AA1749" s="32" t="n">
        <v>0</v>
      </c>
      <c r="AB1749" s="3" t="n"/>
      <c r="AC1749" s="31" t="n">
        <v>0</v>
      </c>
      <c r="AD1749" s="2" t="n">
        <v>5</v>
      </c>
      <c r="AE1749" s="2" t="n">
        <v>12</v>
      </c>
      <c r="AF1749" s="4" t="n">
        <v>12</v>
      </c>
      <c r="AG1749" s="33" t="n">
        <v>0</v>
      </c>
      <c r="AH1749" s="4" t="n">
        <v>0</v>
      </c>
      <c r="AI1749" s="34" t="n"/>
      <c r="AJ1749" s="34" t="n">
        <v>0</v>
      </c>
      <c r="AK1749" s="2" t="n">
        <v>0</v>
      </c>
      <c r="AL1749" t="inlineStr">
        <is>
          <t>Published</t>
        </is>
      </c>
    </row>
    <row r="1750">
      <c r="A1750">
        <f>HYPERLINK("https://www.walmart.com/ip/322827178", "322827178")</f>
        <v/>
      </c>
      <c r="B1750">
        <f>HYPERLINK("https://app.optiwise.ai/catalog/itemdetails/360259", "Catalonia Wearable TV Blanket with Sleeves Arms Warm Micro Plush Sherpa Fleece for Adult Large Wrap Throw Robe 72 x 55”")</f>
        <v/>
      </c>
      <c r="C1750" t="inlineStr">
        <is>
          <t>1CTSN110WN</t>
        </is>
      </c>
      <c r="D1750" t="inlineStr">
        <is>
          <t>Bedding</t>
        </is>
      </c>
      <c r="E1750" t="inlineStr">
        <is>
          <t>Throws</t>
        </is>
      </c>
      <c r="F1750" t="inlineStr">
        <is>
          <t>Catalonia</t>
        </is>
      </c>
      <c r="G1750" t="n">
        <v>0</v>
      </c>
      <c r="H1750" t="n">
        <v>0</v>
      </c>
      <c r="I1750" t="inlineStr">
        <is>
          <t>Optimized,WFS,SEM,WFS Item</t>
        </is>
      </c>
      <c r="J1750" s="29" t="n">
        <v>0</v>
      </c>
      <c r="K1750" s="30" t="n"/>
      <c r="L1750" s="29" t="n">
        <v>0</v>
      </c>
      <c r="M1750" s="29" t="n">
        <v>0</v>
      </c>
      <c r="N1750" s="2" t="n">
        <v>0</v>
      </c>
      <c r="O1750" s="31" t="n">
        <v>0</v>
      </c>
      <c r="P1750" s="32" t="n"/>
      <c r="Q1750" s="32" t="n">
        <v>0</v>
      </c>
      <c r="R1750" s="32" t="n">
        <v>0</v>
      </c>
      <c r="S1750" s="31" t="n">
        <v>0</v>
      </c>
      <c r="T1750" s="32" t="n">
        <v>0</v>
      </c>
      <c r="U1750" s="31" t="n">
        <v>0</v>
      </c>
      <c r="V1750" s="31" t="n">
        <v>0</v>
      </c>
      <c r="W1750" s="3" t="n">
        <v>0</v>
      </c>
      <c r="X1750" s="3" t="n">
        <v>0</v>
      </c>
      <c r="Y1750" s="32" t="n">
        <v>0</v>
      </c>
      <c r="Z1750" s="3" t="n">
        <v>0</v>
      </c>
      <c r="AA1750" s="32" t="n">
        <v>0</v>
      </c>
      <c r="AB1750" s="3" t="n"/>
      <c r="AC1750" s="31" t="n">
        <v>0</v>
      </c>
      <c r="AD1750" s="2" t="n">
        <v>0</v>
      </c>
      <c r="AE1750" s="2" t="n">
        <v>42</v>
      </c>
      <c r="AF1750" s="4" t="n">
        <v>42</v>
      </c>
      <c r="AG1750" s="33" t="n">
        <v>0</v>
      </c>
      <c r="AH1750" s="4" t="n">
        <v>0</v>
      </c>
      <c r="AI1750" s="34" t="n"/>
      <c r="AJ1750" s="34" t="n">
        <v>0</v>
      </c>
      <c r="AK1750" s="2" t="n">
        <v>0</v>
      </c>
      <c r="AL1750" t="inlineStr">
        <is>
          <t>Published</t>
        </is>
      </c>
    </row>
    <row r="1751">
      <c r="A1751">
        <f>HYPERLINK("https://www.walmart.com/ip/969165683", "969165683")</f>
        <v/>
      </c>
      <c r="B1751">
        <f>HYPERLINK("https://app.optiwise.ai/catalog/itemdetails/360256", "Tirrinia Insulated 2 Bottle Wine Carrier Tote Cooler Bag for Travel Picnic Padded Champagne Glass Carrying Case")</f>
        <v/>
      </c>
      <c r="C1751" t="inlineStr">
        <is>
          <t>1WMWB221DBL</t>
        </is>
      </c>
      <c r="D1751" t="inlineStr">
        <is>
          <t>Home Decor, Kitchen, &amp; Other</t>
        </is>
      </c>
      <c r="E1751" t="inlineStr">
        <is>
          <t>Wine Totes, Bags &amp; Backpacks</t>
        </is>
      </c>
      <c r="F1751" t="inlineStr">
        <is>
          <t>Flyingstar</t>
        </is>
      </c>
      <c r="G1751" t="n">
        <v>0</v>
      </c>
      <c r="H1751" t="n">
        <v>0</v>
      </c>
      <c r="I1751" t="inlineStr">
        <is>
          <t>Wine,Christmas,Valentine</t>
        </is>
      </c>
      <c r="J1751" s="29" t="n">
        <v>0</v>
      </c>
      <c r="K1751" s="30" t="n"/>
      <c r="L1751" s="29" t="n">
        <v>0</v>
      </c>
      <c r="M1751" s="29" t="n">
        <v>0</v>
      </c>
      <c r="N1751" s="2" t="n">
        <v>0</v>
      </c>
      <c r="O1751" s="31" t="n">
        <v>0</v>
      </c>
      <c r="P1751" s="32" t="n"/>
      <c r="Q1751" s="32" t="n">
        <v>0</v>
      </c>
      <c r="R1751" s="32" t="n">
        <v>0</v>
      </c>
      <c r="S1751" s="31" t="n">
        <v>0</v>
      </c>
      <c r="T1751" s="32" t="n">
        <v>0</v>
      </c>
      <c r="U1751" s="31" t="n">
        <v>0</v>
      </c>
      <c r="V1751" s="31" t="n">
        <v>0</v>
      </c>
      <c r="W1751" s="3" t="n">
        <v>0</v>
      </c>
      <c r="X1751" s="3" t="n">
        <v>0</v>
      </c>
      <c r="Y1751" s="32" t="n">
        <v>0</v>
      </c>
      <c r="Z1751" s="3" t="n">
        <v>0</v>
      </c>
      <c r="AA1751" s="32" t="n">
        <v>0</v>
      </c>
      <c r="AB1751" s="3" t="n"/>
      <c r="AC1751" s="31" t="n">
        <v>0</v>
      </c>
      <c r="AD1751" s="2" t="n">
        <v>0</v>
      </c>
      <c r="AE1751" s="2" t="n">
        <v>8</v>
      </c>
      <c r="AF1751" s="4" t="n">
        <v>8</v>
      </c>
      <c r="AG1751" s="33" t="n">
        <v>0</v>
      </c>
      <c r="AH1751" s="4" t="n">
        <v>0</v>
      </c>
      <c r="AI1751" s="34" t="n"/>
      <c r="AJ1751" s="34" t="n">
        <v>0</v>
      </c>
      <c r="AK1751" s="2" t="n">
        <v>0</v>
      </c>
      <c r="AL1751" t="inlineStr">
        <is>
          <t>Published</t>
        </is>
      </c>
    </row>
    <row r="1752">
      <c r="A1752">
        <f>HYPERLINK("https://www.walmart.com/ip/118436957", "118436957")</f>
        <v/>
      </c>
      <c r="B1752">
        <f>HYPERLINK("https://app.optiwise.ai/catalog/itemdetails/360253", "KC Caps Unisex Khaki Sports Baseball Flat Top Cap, Outdoor Travel Washed Canvas Hat, Casual Military Style")</f>
        <v/>
      </c>
      <c r="C1752" t="inlineStr">
        <is>
          <t>KC Caps 8320 Khaki</t>
        </is>
      </c>
      <c r="D1752" t="inlineStr">
        <is>
          <t>Clothing</t>
        </is>
      </c>
      <c r="E1752" t="inlineStr">
        <is>
          <t>Hats</t>
        </is>
      </c>
      <c r="F1752" t="inlineStr">
        <is>
          <t>KC Caps</t>
        </is>
      </c>
      <c r="G1752" t="n">
        <v>0</v>
      </c>
      <c r="H1752" t="n">
        <v>0</v>
      </c>
      <c r="I1752" t="inlineStr">
        <is>
          <t>Batch 1 - TR</t>
        </is>
      </c>
      <c r="J1752" s="29" t="n">
        <v>0</v>
      </c>
      <c r="K1752" s="30" t="n"/>
      <c r="L1752" s="29" t="n">
        <v>0</v>
      </c>
      <c r="M1752" s="29" t="n">
        <v>0</v>
      </c>
      <c r="N1752" s="2" t="n">
        <v>0</v>
      </c>
      <c r="O1752" s="31" t="n">
        <v>0</v>
      </c>
      <c r="P1752" s="32" t="n"/>
      <c r="Q1752" s="32" t="n">
        <v>0</v>
      </c>
      <c r="R1752" s="32" t="n">
        <v>0</v>
      </c>
      <c r="S1752" s="31" t="n">
        <v>0</v>
      </c>
      <c r="T1752" s="32" t="n">
        <v>0</v>
      </c>
      <c r="U1752" s="31" t="n">
        <v>0</v>
      </c>
      <c r="V1752" s="31" t="n">
        <v>0</v>
      </c>
      <c r="W1752" s="3" t="n">
        <v>0</v>
      </c>
      <c r="X1752" s="3" t="n">
        <v>0</v>
      </c>
      <c r="Y1752" s="32" t="n">
        <v>0</v>
      </c>
      <c r="Z1752" s="3" t="n">
        <v>0</v>
      </c>
      <c r="AA1752" s="32" t="n">
        <v>0</v>
      </c>
      <c r="AB1752" s="3" t="n"/>
      <c r="AC1752" s="31" t="n">
        <v>0</v>
      </c>
      <c r="AD1752" s="2" t="n">
        <v>0</v>
      </c>
      <c r="AE1752" s="2" t="n">
        <v>4</v>
      </c>
      <c r="AF1752" s="4" t="n">
        <v>4</v>
      </c>
      <c r="AG1752" s="33" t="n">
        <v>0</v>
      </c>
      <c r="AH1752" s="4" t="n">
        <v>0</v>
      </c>
      <c r="AI1752" s="34" t="n"/>
      <c r="AJ1752" s="34" t="n">
        <v>0</v>
      </c>
      <c r="AK1752" s="2" t="n">
        <v>0</v>
      </c>
      <c r="AL1752" t="inlineStr">
        <is>
          <t>Published</t>
        </is>
      </c>
    </row>
    <row r="1753">
      <c r="A1753">
        <f>HYPERLINK("https://www.walmart.com/ip/544771597", "544771597")</f>
        <v/>
      </c>
      <c r="B1753">
        <f>HYPERLINK("https://app.optiwise.ai/catalog/itemdetails/360247", "E27 9W LED Bulb Corn Lights 2800-3200K Warm White Light Lamp Super Bright (100w brightness) 810-900lm 58-SMD 2835 (AC 100~240V)")</f>
        <v/>
      </c>
      <c r="C1753" t="inlineStr">
        <is>
          <t>ST-HZT-1006X-WWT</t>
        </is>
      </c>
      <c r="D1753" t="inlineStr">
        <is>
          <t>Home Decor, Kitchen, &amp; Other</t>
        </is>
      </c>
      <c r="E1753" t="inlineStr">
        <is>
          <t>Light Bulbs</t>
        </is>
      </c>
      <c r="F1753" t="inlineStr">
        <is>
          <t>Surjtech</t>
        </is>
      </c>
      <c r="G1753" t="n">
        <v>0</v>
      </c>
      <c r="H1753" t="n">
        <v>0</v>
      </c>
      <c r="I1753" t="inlineStr">
        <is>
          <t>Optimized</t>
        </is>
      </c>
      <c r="J1753" s="29" t="n">
        <v>0</v>
      </c>
      <c r="K1753" s="30" t="n"/>
      <c r="L1753" s="29" t="n">
        <v>0</v>
      </c>
      <c r="M1753" s="29" t="n">
        <v>0</v>
      </c>
      <c r="N1753" s="2" t="n">
        <v>0</v>
      </c>
      <c r="O1753" s="31" t="n">
        <v>0</v>
      </c>
      <c r="P1753" s="32" t="n"/>
      <c r="Q1753" s="32" t="n">
        <v>0</v>
      </c>
      <c r="R1753" s="32" t="n">
        <v>0</v>
      </c>
      <c r="S1753" s="31" t="n">
        <v>0</v>
      </c>
      <c r="T1753" s="32" t="n">
        <v>0</v>
      </c>
      <c r="U1753" s="31" t="n">
        <v>0</v>
      </c>
      <c r="V1753" s="31" t="n">
        <v>0</v>
      </c>
      <c r="W1753" s="3" t="n">
        <v>0</v>
      </c>
      <c r="X1753" s="3" t="n">
        <v>0</v>
      </c>
      <c r="Y1753" s="32" t="n">
        <v>0</v>
      </c>
      <c r="Z1753" s="3" t="n">
        <v>0</v>
      </c>
      <c r="AA1753" s="32" t="n">
        <v>0</v>
      </c>
      <c r="AB1753" s="3" t="n"/>
      <c r="AC1753" s="31" t="n">
        <v>0</v>
      </c>
      <c r="AD1753" s="2" t="n">
        <v>0</v>
      </c>
      <c r="AE1753" s="2" t="n">
        <v>1</v>
      </c>
      <c r="AF1753" s="4" t="n">
        <v>1</v>
      </c>
      <c r="AG1753" s="33" t="n">
        <v>0</v>
      </c>
      <c r="AH1753" s="4" t="n">
        <v>0</v>
      </c>
      <c r="AI1753" s="34" t="n"/>
      <c r="AJ1753" s="34" t="n">
        <v>0</v>
      </c>
      <c r="AK1753" s="2" t="n">
        <v>0</v>
      </c>
      <c r="AL1753" t="inlineStr">
        <is>
          <t>Published</t>
        </is>
      </c>
    </row>
    <row r="1754">
      <c r="A1754">
        <f>HYPERLINK("https://www.walmart.com/ip/857254662", "857254662")</f>
        <v/>
      </c>
      <c r="B1754">
        <f>HYPERLINK("https://app.optiwise.ai/catalog/itemdetails/360244", "Ski Gloves for Women &amp; Men 3M Winter Snow Gloves Mittens Insulation Waterproof for Outdoors Sports")</f>
        <v/>
      </c>
      <c r="C1754" t="inlineStr">
        <is>
          <t>1SLWG100PKM</t>
        </is>
      </c>
      <c r="D1754" t="inlineStr">
        <is>
          <t>Clothing</t>
        </is>
      </c>
      <c r="E1754" t="inlineStr">
        <is>
          <t>Gloves &amp; Mittens</t>
        </is>
      </c>
      <c r="F1754" t="inlineStr">
        <is>
          <t>Solaris</t>
        </is>
      </c>
      <c r="G1754" t="n">
        <v>0</v>
      </c>
      <c r="H1754" t="n">
        <v>0</v>
      </c>
      <c r="I1754" t="inlineStr">
        <is>
          <t>Gloves,WFS,WFS Item</t>
        </is>
      </c>
      <c r="J1754" s="29" t="n">
        <v>0</v>
      </c>
      <c r="K1754" s="30" t="n"/>
      <c r="L1754" s="29" t="n">
        <v>0</v>
      </c>
      <c r="M1754" s="29" t="n">
        <v>0</v>
      </c>
      <c r="N1754" s="2" t="n">
        <v>0</v>
      </c>
      <c r="O1754" s="31" t="n">
        <v>0</v>
      </c>
      <c r="P1754" s="32" t="n"/>
      <c r="Q1754" s="32" t="n">
        <v>0</v>
      </c>
      <c r="R1754" s="32" t="n">
        <v>0</v>
      </c>
      <c r="S1754" s="31" t="n">
        <v>0</v>
      </c>
      <c r="T1754" s="32" t="n">
        <v>0</v>
      </c>
      <c r="U1754" s="31" t="n">
        <v>0</v>
      </c>
      <c r="V1754" s="31" t="n">
        <v>0</v>
      </c>
      <c r="W1754" s="3" t="n">
        <v>0</v>
      </c>
      <c r="X1754" s="3" t="n">
        <v>0</v>
      </c>
      <c r="Y1754" s="32" t="n">
        <v>0</v>
      </c>
      <c r="Z1754" s="3" t="n">
        <v>0</v>
      </c>
      <c r="AA1754" s="32" t="n">
        <v>0</v>
      </c>
      <c r="AB1754" s="3" t="n"/>
      <c r="AC1754" s="31" t="n">
        <v>0</v>
      </c>
      <c r="AD1754" s="2" t="n">
        <v>0</v>
      </c>
      <c r="AE1754" s="2" t="n">
        <v>7</v>
      </c>
      <c r="AF1754" s="4" t="n">
        <v>7</v>
      </c>
      <c r="AG1754" s="33" t="n">
        <v>0</v>
      </c>
      <c r="AH1754" s="4" t="n">
        <v>0</v>
      </c>
      <c r="AI1754" s="34" t="n"/>
      <c r="AJ1754" s="34" t="n">
        <v>0</v>
      </c>
      <c r="AK1754" s="2" t="n">
        <v>0</v>
      </c>
      <c r="AL1754" t="inlineStr">
        <is>
          <t>Published</t>
        </is>
      </c>
    </row>
    <row r="1755">
      <c r="A1755">
        <f>HYPERLINK("https://www.walmart.com/ip/834217535", "834217535")</f>
        <v/>
      </c>
      <c r="B1755">
        <f>HYPERLINK("https://app.optiwise.ai/catalog/itemdetails/359331", "Catalonia Penguin Tails Blanket, Super Soft Plush Kids Sleeping Blanket Bag for Children Teens Boys Girls,Gift Idea")</f>
        <v/>
      </c>
      <c r="C1755" t="inlineStr">
        <is>
          <t>1CTMM200PG</t>
        </is>
      </c>
      <c r="D1755" t="inlineStr">
        <is>
          <t>Bedding</t>
        </is>
      </c>
      <c r="E1755" t="inlineStr">
        <is>
          <t>Throws</t>
        </is>
      </c>
      <c r="F1755" t="inlineStr">
        <is>
          <t>Catalonia</t>
        </is>
      </c>
      <c r="G1755" t="n">
        <v>4.3</v>
      </c>
      <c r="H1755" t="n">
        <v>27</v>
      </c>
      <c r="I1755" t="inlineStr">
        <is>
          <t>Baby days,WFS,WFS Item</t>
        </is>
      </c>
      <c r="J1755" s="29" t="n">
        <v>0</v>
      </c>
      <c r="K1755" s="30" t="n"/>
      <c r="L1755" s="29" t="n">
        <v>0</v>
      </c>
      <c r="M1755" s="29" t="n">
        <v>0</v>
      </c>
      <c r="N1755" s="2" t="n">
        <v>0</v>
      </c>
      <c r="O1755" s="31" t="n">
        <v>0</v>
      </c>
      <c r="P1755" s="32" t="n"/>
      <c r="Q1755" s="32" t="n">
        <v>0</v>
      </c>
      <c r="R1755" s="32" t="n">
        <v>0</v>
      </c>
      <c r="S1755" s="31" t="n">
        <v>0</v>
      </c>
      <c r="T1755" s="32" t="n">
        <v>0</v>
      </c>
      <c r="U1755" s="31" t="n">
        <v>0</v>
      </c>
      <c r="V1755" s="31" t="n">
        <v>0</v>
      </c>
      <c r="W1755" s="3" t="n">
        <v>0</v>
      </c>
      <c r="X1755" s="3" t="n">
        <v>0</v>
      </c>
      <c r="Y1755" s="32" t="n">
        <v>0</v>
      </c>
      <c r="Z1755" s="3" t="n">
        <v>0</v>
      </c>
      <c r="AA1755" s="32" t="n">
        <v>0</v>
      </c>
      <c r="AB1755" s="3" t="n"/>
      <c r="AC1755" s="31" t="n">
        <v>0</v>
      </c>
      <c r="AD1755" s="2" t="n">
        <v>0</v>
      </c>
      <c r="AE1755" s="2" t="n">
        <v>13</v>
      </c>
      <c r="AF1755" s="4" t="n">
        <v>13</v>
      </c>
      <c r="AG1755" s="33" t="n">
        <v>0</v>
      </c>
      <c r="AH1755" s="4" t="n">
        <v>0</v>
      </c>
      <c r="AI1755" s="34" t="n"/>
      <c r="AJ1755" s="34" t="n">
        <v>0</v>
      </c>
      <c r="AK1755" s="2" t="n">
        <v>0</v>
      </c>
      <c r="AL1755" t="inlineStr">
        <is>
          <t>Published</t>
        </is>
      </c>
    </row>
    <row r="1756">
      <c r="A1756">
        <f>HYPERLINK("https://www.walmart.com/ip/956472718", "956472718")</f>
        <v/>
      </c>
      <c r="B1756">
        <f>HYPERLINK("https://app.optiwise.ai/catalog/itemdetails/359154", "Catalonia 15lb Weighted Blanket for Kids Adult, Premium Heavy Blanket with Removable Cover, 48×72, Cotton, Grey")</f>
        <v/>
      </c>
      <c r="C1756" t="inlineStr">
        <is>
          <t>1CTBG724GY-15M+C</t>
        </is>
      </c>
      <c r="D1756" t="inlineStr">
        <is>
          <t>Bedding</t>
        </is>
      </c>
      <c r="E1756" t="inlineStr">
        <is>
          <t>Bed Blankets</t>
        </is>
      </c>
      <c r="F1756" t="inlineStr">
        <is>
          <t>Catalonia</t>
        </is>
      </c>
      <c r="G1756" t="n">
        <v>4.5</v>
      </c>
      <c r="H1756" t="n">
        <v>0</v>
      </c>
      <c r="I1756" t="inlineStr">
        <is>
          <t>WFS,Valentine,WFS Item</t>
        </is>
      </c>
      <c r="J1756" s="29" t="n">
        <v>0</v>
      </c>
      <c r="K1756" s="30" t="n"/>
      <c r="L1756" s="29" t="n">
        <v>0</v>
      </c>
      <c r="M1756" s="29" t="n">
        <v>0</v>
      </c>
      <c r="N1756" s="2" t="n">
        <v>0</v>
      </c>
      <c r="O1756" s="31" t="n">
        <v>0</v>
      </c>
      <c r="P1756" s="32" t="n"/>
      <c r="Q1756" s="32" t="n">
        <v>0</v>
      </c>
      <c r="R1756" s="32" t="n">
        <v>0</v>
      </c>
      <c r="S1756" s="31" t="n">
        <v>0</v>
      </c>
      <c r="T1756" s="32" t="n">
        <v>0</v>
      </c>
      <c r="U1756" s="31" t="n">
        <v>0</v>
      </c>
      <c r="V1756" s="31" t="n">
        <v>0</v>
      </c>
      <c r="W1756" s="3" t="n">
        <v>0</v>
      </c>
      <c r="X1756" s="3" t="n">
        <v>0</v>
      </c>
      <c r="Y1756" s="32" t="n">
        <v>0</v>
      </c>
      <c r="Z1756" s="3" t="n">
        <v>0</v>
      </c>
      <c r="AA1756" s="32" t="n">
        <v>0</v>
      </c>
      <c r="AB1756" s="3" t="n"/>
      <c r="AC1756" s="31" t="n">
        <v>0</v>
      </c>
      <c r="AD1756" s="2" t="n">
        <v>0</v>
      </c>
      <c r="AE1756" s="2" t="n">
        <v>2</v>
      </c>
      <c r="AF1756" s="4" t="n">
        <v>2</v>
      </c>
      <c r="AG1756" s="33" t="n">
        <v>0</v>
      </c>
      <c r="AH1756" s="4" t="n">
        <v>0</v>
      </c>
      <c r="AI1756" s="34" t="n"/>
      <c r="AJ1756" s="34" t="n">
        <v>0</v>
      </c>
      <c r="AK1756" s="2" t="n">
        <v>0</v>
      </c>
      <c r="AL1756" t="inlineStr">
        <is>
          <t>Published</t>
        </is>
      </c>
    </row>
    <row r="1757">
      <c r="A1757">
        <f>HYPERLINK("https://www.walmart.com/ip/277298217", "277298217")</f>
        <v/>
      </c>
      <c r="B1757">
        <f>HYPERLINK("https://app.optiwise.ai/catalog/itemdetails/359146", "Catalonia Sherpa Blanket, National Flag Print Patriotic Plush Super Soft Warm Reversible Polar Fleece Throws for Living Room Derocation, 50x60 inches")</f>
        <v/>
      </c>
      <c r="C1757" t="inlineStr">
        <is>
          <t>1CTBF300CAD</t>
        </is>
      </c>
      <c r="D1757" t="inlineStr">
        <is>
          <t>Bedding</t>
        </is>
      </c>
      <c r="E1757" t="inlineStr">
        <is>
          <t>Throws</t>
        </is>
      </c>
      <c r="F1757" t="inlineStr">
        <is>
          <t>Catalonia</t>
        </is>
      </c>
      <c r="G1757" t="n">
        <v>0</v>
      </c>
      <c r="H1757" t="n">
        <v>0</v>
      </c>
      <c r="I1757" t="inlineStr">
        <is>
          <t>WFS,WFS Item</t>
        </is>
      </c>
      <c r="J1757" s="29" t="n">
        <v>0</v>
      </c>
      <c r="K1757" s="30" t="n"/>
      <c r="L1757" s="29" t="n">
        <v>0</v>
      </c>
      <c r="M1757" s="29" t="n">
        <v>0</v>
      </c>
      <c r="N1757" s="2" t="n">
        <v>0</v>
      </c>
      <c r="O1757" s="31" t="n">
        <v>0</v>
      </c>
      <c r="P1757" s="32" t="n"/>
      <c r="Q1757" s="32" t="n">
        <v>0</v>
      </c>
      <c r="R1757" s="32" t="n">
        <v>0</v>
      </c>
      <c r="S1757" s="31" t="n">
        <v>0</v>
      </c>
      <c r="T1757" s="32" t="n">
        <v>0</v>
      </c>
      <c r="U1757" s="31" t="n">
        <v>0</v>
      </c>
      <c r="V1757" s="31" t="n">
        <v>0</v>
      </c>
      <c r="W1757" s="3" t="n">
        <v>0</v>
      </c>
      <c r="X1757" s="3" t="n">
        <v>0</v>
      </c>
      <c r="Y1757" s="32" t="n">
        <v>0</v>
      </c>
      <c r="Z1757" s="3" t="n">
        <v>0</v>
      </c>
      <c r="AA1757" s="32" t="n">
        <v>0</v>
      </c>
      <c r="AB1757" s="3" t="n"/>
      <c r="AC1757" s="31" t="n">
        <v>0</v>
      </c>
      <c r="AD1757" s="2" t="n">
        <v>0</v>
      </c>
      <c r="AE1757" s="2" t="n">
        <v>10</v>
      </c>
      <c r="AF1757" s="4" t="n">
        <v>10</v>
      </c>
      <c r="AG1757" s="33" t="n">
        <v>0</v>
      </c>
      <c r="AH1757" s="4" t="n">
        <v>0</v>
      </c>
      <c r="AI1757" s="34" t="n"/>
      <c r="AJ1757" s="34" t="n">
        <v>0</v>
      </c>
      <c r="AK1757" s="2" t="n">
        <v>0</v>
      </c>
      <c r="AL1757" t="inlineStr">
        <is>
          <t>Published</t>
        </is>
      </c>
    </row>
    <row r="1758">
      <c r="A1758">
        <f>HYPERLINK("https://www.walmart.com/ip/911302345", "911302345")</f>
        <v/>
      </c>
      <c r="B1758">
        <f>HYPERLINK("https://app.optiwise.ai/catalog/itemdetails/359145", "Catalonia Sherpa Fleece Blanket, Super Soft Warm Fuzzy Snowflake Throw Blanket for Family,  Reversible, Blue, 60 x 50")</f>
        <v/>
      </c>
      <c r="C1758" t="inlineStr">
        <is>
          <t>1CTBF390BL</t>
        </is>
      </c>
      <c r="D1758" t="inlineStr">
        <is>
          <t>Bedding</t>
        </is>
      </c>
      <c r="E1758" t="inlineStr">
        <is>
          <t>Throws</t>
        </is>
      </c>
      <c r="F1758" t="inlineStr">
        <is>
          <t>Catalonia</t>
        </is>
      </c>
      <c r="G1758" t="n">
        <v>5</v>
      </c>
      <c r="H1758" t="n">
        <v>2</v>
      </c>
      <c r="I1758" t="inlineStr">
        <is>
          <t>Coupon_Discount,Batch 1 - TR</t>
        </is>
      </c>
      <c r="J1758" s="29" t="n">
        <v>0</v>
      </c>
      <c r="K1758" s="30" t="n"/>
      <c r="L1758" s="29" t="n">
        <v>0</v>
      </c>
      <c r="M1758" s="29" t="n">
        <v>0</v>
      </c>
      <c r="N1758" s="2" t="n">
        <v>0</v>
      </c>
      <c r="O1758" s="31" t="n">
        <v>0</v>
      </c>
      <c r="P1758" s="32" t="n"/>
      <c r="Q1758" s="32" t="n">
        <v>0</v>
      </c>
      <c r="R1758" s="32" t="n">
        <v>0</v>
      </c>
      <c r="S1758" s="31" t="n">
        <v>0</v>
      </c>
      <c r="T1758" s="32" t="n">
        <v>0</v>
      </c>
      <c r="U1758" s="31" t="n">
        <v>0</v>
      </c>
      <c r="V1758" s="31" t="n">
        <v>0</v>
      </c>
      <c r="W1758" s="3" t="n">
        <v>0</v>
      </c>
      <c r="X1758" s="3" t="n">
        <v>0</v>
      </c>
      <c r="Y1758" s="32" t="n">
        <v>0</v>
      </c>
      <c r="Z1758" s="3" t="n">
        <v>0</v>
      </c>
      <c r="AA1758" s="32" t="n">
        <v>0</v>
      </c>
      <c r="AB1758" s="3" t="n"/>
      <c r="AC1758" s="31" t="n">
        <v>0</v>
      </c>
      <c r="AD1758" s="2" t="n">
        <v>0</v>
      </c>
      <c r="AE1758" s="2" t="n">
        <v>1</v>
      </c>
      <c r="AF1758" s="4" t="n">
        <v>1</v>
      </c>
      <c r="AG1758" s="33" t="n">
        <v>0</v>
      </c>
      <c r="AH1758" s="4" t="n">
        <v>0</v>
      </c>
      <c r="AI1758" s="34" t="n"/>
      <c r="AJ1758" s="34" t="n">
        <v>0</v>
      </c>
      <c r="AK1758" s="2" t="n">
        <v>0</v>
      </c>
      <c r="AL1758" t="inlineStr">
        <is>
          <t>Published</t>
        </is>
      </c>
    </row>
    <row r="1759">
      <c r="A1759">
        <f>HYPERLINK("https://www.walmart.com/ip/500345659", "500345659")</f>
        <v/>
      </c>
      <c r="B1759">
        <f>HYPERLINK("https://app.optiwise.ai/catalog/itemdetails/358783", "Tirrinia Sun Hat for Women with Wide Brim Neck Flap, Fishing Safari Hat for Outdoor Hiking Camping, Tan")</f>
        <v/>
      </c>
      <c r="C1759" t="inlineStr">
        <is>
          <t>1TRSH9152TN-TBGM</t>
        </is>
      </c>
      <c r="D1759" t="inlineStr">
        <is>
          <t>Clothing</t>
        </is>
      </c>
      <c r="E1759" t="inlineStr">
        <is>
          <t>Hats</t>
        </is>
      </c>
      <c r="F1759" t="inlineStr">
        <is>
          <t>Tirrinia</t>
        </is>
      </c>
      <c r="G1759" t="n">
        <v>4</v>
      </c>
      <c r="H1759" t="n">
        <v>6</v>
      </c>
      <c r="I1759" t="inlineStr">
        <is>
          <t>Q2-Target,Optimized</t>
        </is>
      </c>
      <c r="J1759" s="29" t="n">
        <v>0</v>
      </c>
      <c r="K1759" s="30" t="n"/>
      <c r="L1759" s="29" t="n">
        <v>0</v>
      </c>
      <c r="M1759" s="29" t="n">
        <v>0</v>
      </c>
      <c r="N1759" s="2" t="n">
        <v>0</v>
      </c>
      <c r="O1759" s="31" t="n">
        <v>0</v>
      </c>
      <c r="P1759" s="32" t="n"/>
      <c r="Q1759" s="32" t="n">
        <v>0</v>
      </c>
      <c r="R1759" s="32" t="n">
        <v>0</v>
      </c>
      <c r="S1759" s="31" t="n">
        <v>0</v>
      </c>
      <c r="T1759" s="32" t="n">
        <v>0</v>
      </c>
      <c r="U1759" s="31" t="n">
        <v>0</v>
      </c>
      <c r="V1759" s="31" t="n">
        <v>0</v>
      </c>
      <c r="W1759" s="3" t="n">
        <v>200</v>
      </c>
      <c r="X1759" s="3" t="n">
        <v>0</v>
      </c>
      <c r="Y1759" s="32" t="n">
        <v>0</v>
      </c>
      <c r="Z1759" s="3" t="n">
        <v>0</v>
      </c>
      <c r="AA1759" s="32" t="n">
        <v>0</v>
      </c>
      <c r="AB1759" s="3" t="inlineStr">
        <is>
          <t>Need to sell these SKUs by 15th Feb</t>
        </is>
      </c>
      <c r="AC1759" s="31" t="n">
        <v>0</v>
      </c>
      <c r="AD1759" s="2" t="n">
        <v>0</v>
      </c>
      <c r="AE1759" s="2" t="n">
        <v>13</v>
      </c>
      <c r="AF1759" s="4" t="n">
        <v>13</v>
      </c>
      <c r="AG1759" s="33" t="n">
        <v>0</v>
      </c>
      <c r="AH1759" s="4" t="n">
        <v>0</v>
      </c>
      <c r="AI1759" s="34" t="n"/>
      <c r="AJ1759" s="34" t="n">
        <v>0</v>
      </c>
      <c r="AK1759" s="2" t="n">
        <v>0</v>
      </c>
      <c r="AL1759" t="inlineStr">
        <is>
          <t>Published</t>
        </is>
      </c>
    </row>
    <row r="1760">
      <c r="A1760">
        <f>HYPERLINK("https://www.walmart.com/ip/730795864", "730795864")</f>
        <v/>
      </c>
      <c r="B1760">
        <f>HYPERLINK("https://app.optiwise.ai/catalog/itemdetails/358821", "Solaris Waterproof Snow Gloves for Men and Women, 100-Gram 3M Thinsulate Cold Weather Protection, Gray and Black, Large")</f>
        <v/>
      </c>
      <c r="C1760" t="inlineStr">
        <is>
          <t>1SLWG302BKGY-L</t>
        </is>
      </c>
      <c r="D1760" t="inlineStr">
        <is>
          <t>Clothing</t>
        </is>
      </c>
      <c r="E1760" t="inlineStr">
        <is>
          <t>Gloves &amp; Mittens</t>
        </is>
      </c>
      <c r="F1760" t="inlineStr">
        <is>
          <t>Solaris</t>
        </is>
      </c>
      <c r="G1760" t="n">
        <v>3.6</v>
      </c>
      <c r="H1760" t="n">
        <v>12</v>
      </c>
      <c r="I1760" t="inlineStr">
        <is>
          <t>Optimized,Gloves,WFS,WFS Item</t>
        </is>
      </c>
      <c r="J1760" s="29" t="n">
        <v>0</v>
      </c>
      <c r="K1760" s="30" t="n"/>
      <c r="L1760" s="29" t="n">
        <v>0</v>
      </c>
      <c r="M1760" s="29" t="n">
        <v>0</v>
      </c>
      <c r="N1760" s="2" t="n">
        <v>0</v>
      </c>
      <c r="O1760" s="31" t="n">
        <v>0</v>
      </c>
      <c r="P1760" s="32" t="n"/>
      <c r="Q1760" s="32" t="n">
        <v>0</v>
      </c>
      <c r="R1760" s="32" t="n">
        <v>0</v>
      </c>
      <c r="S1760" s="31" t="n">
        <v>0</v>
      </c>
      <c r="T1760" s="32" t="n">
        <v>0</v>
      </c>
      <c r="U1760" s="31" t="n">
        <v>0</v>
      </c>
      <c r="V1760" s="31" t="n">
        <v>0</v>
      </c>
      <c r="W1760" s="3" t="n">
        <v>0</v>
      </c>
      <c r="X1760" s="3" t="n">
        <v>0</v>
      </c>
      <c r="Y1760" s="32" t="n">
        <v>0</v>
      </c>
      <c r="Z1760" s="3" t="n">
        <v>0</v>
      </c>
      <c r="AA1760" s="32" t="n">
        <v>0</v>
      </c>
      <c r="AB1760" s="3" t="n"/>
      <c r="AC1760" s="31" t="n">
        <v>0</v>
      </c>
      <c r="AD1760" s="2" t="n">
        <v>67</v>
      </c>
      <c r="AE1760" s="2" t="n">
        <v>90</v>
      </c>
      <c r="AF1760" s="4" t="n">
        <v>90</v>
      </c>
      <c r="AG1760" s="33" t="n">
        <v>0</v>
      </c>
      <c r="AH1760" s="4" t="n">
        <v>0</v>
      </c>
      <c r="AI1760" s="34" t="n"/>
      <c r="AJ1760" s="34" t="n">
        <v>0</v>
      </c>
      <c r="AK1760" s="2" t="n">
        <v>0</v>
      </c>
      <c r="AL1760" t="inlineStr">
        <is>
          <t>Published</t>
        </is>
      </c>
    </row>
    <row r="1761">
      <c r="A1761">
        <f>HYPERLINK("https://www.walmart.com/ip/993473978", "993473978")</f>
        <v/>
      </c>
      <c r="B1761">
        <f>HYPERLINK("https://app.optiwise.ai/catalog/itemdetails/358814", "Flyingstar 3 Bottle Insulated Wine Carrier, Travel Wine Cooler Tote Bag, Blue Stripe")</f>
        <v/>
      </c>
      <c r="C1761" t="inlineStr">
        <is>
          <t>1WMWB300STR</t>
        </is>
      </c>
      <c r="D1761" t="inlineStr">
        <is>
          <t>Home Decor, Kitchen, &amp; Other</t>
        </is>
      </c>
      <c r="E1761" t="inlineStr">
        <is>
          <t>Wine Totes, Bags &amp; Backpacks</t>
        </is>
      </c>
      <c r="F1761" t="inlineStr">
        <is>
          <t>Flyingstar</t>
        </is>
      </c>
      <c r="G1761" t="n">
        <v>0</v>
      </c>
      <c r="H1761" t="n">
        <v>0</v>
      </c>
      <c r="I1761" t="inlineStr">
        <is>
          <t>Wine,Christmas,Optimized,Valentine,SEM</t>
        </is>
      </c>
      <c r="J1761" s="29" t="n">
        <v>0</v>
      </c>
      <c r="K1761" s="30" t="n"/>
      <c r="L1761" s="29" t="n">
        <v>35.97999954223633</v>
      </c>
      <c r="M1761" s="29" t="n">
        <v>0</v>
      </c>
      <c r="N1761" s="2" t="n">
        <v>0</v>
      </c>
      <c r="O1761" s="31" t="n">
        <v>0</v>
      </c>
      <c r="P1761" s="32" t="n"/>
      <c r="Q1761" s="32" t="n">
        <v>0</v>
      </c>
      <c r="R1761" s="32" t="n">
        <v>0</v>
      </c>
      <c r="S1761" s="31" t="n">
        <v>0</v>
      </c>
      <c r="T1761" s="32" t="n">
        <v>0</v>
      </c>
      <c r="U1761" s="31" t="n">
        <v>0</v>
      </c>
      <c r="V1761" s="31" t="n">
        <v>0</v>
      </c>
      <c r="W1761" s="3" t="n">
        <v>0</v>
      </c>
      <c r="X1761" s="3" t="n">
        <v>0</v>
      </c>
      <c r="Y1761" s="32" t="n">
        <v>0</v>
      </c>
      <c r="Z1761" s="3" t="n">
        <v>0</v>
      </c>
      <c r="AA1761" s="32" t="n">
        <v>0</v>
      </c>
      <c r="AB1761" s="3" t="n"/>
      <c r="AC1761" s="31" t="n">
        <v>0</v>
      </c>
      <c r="AD1761" s="2" t="n">
        <v>0</v>
      </c>
      <c r="AE1761" s="2" t="n">
        <v>15</v>
      </c>
      <c r="AF1761" s="4" t="n">
        <v>15</v>
      </c>
      <c r="AG1761" s="33" t="n">
        <v>0</v>
      </c>
      <c r="AH1761" s="4" t="n">
        <v>0</v>
      </c>
      <c r="AI1761" s="34" t="n"/>
      <c r="AJ1761" s="34" t="n">
        <v>0</v>
      </c>
      <c r="AK1761" s="2" t="n">
        <v>0</v>
      </c>
      <c r="AL1761" t="inlineStr">
        <is>
          <t>Published</t>
        </is>
      </c>
    </row>
    <row r="1762">
      <c r="A1762">
        <f>HYPERLINK("https://www.walmart.com/ip/574683747", "574683747")</f>
        <v/>
      </c>
      <c r="B1762">
        <f>HYPERLINK("https://app.optiwise.ai/catalog/itemdetails/358813", "Flyingstar 3 Bottle Insulated Wine Carrier, Travel Wine Cooler Tote Bag, Gray")</f>
        <v/>
      </c>
      <c r="C1762" t="inlineStr">
        <is>
          <t>1WMWB310GY</t>
        </is>
      </c>
      <c r="D1762" t="inlineStr">
        <is>
          <t>Home Decor, Kitchen, &amp; Other</t>
        </is>
      </c>
      <c r="E1762" t="inlineStr">
        <is>
          <t>Wine Totes, Bags &amp; Backpacks</t>
        </is>
      </c>
      <c r="F1762" t="inlineStr">
        <is>
          <t>Flyingstar</t>
        </is>
      </c>
      <c r="G1762" t="n">
        <v>3</v>
      </c>
      <c r="H1762" t="n">
        <v>1</v>
      </c>
      <c r="I1762" t="inlineStr">
        <is>
          <t>Wine,Christmas,Optimized,Valentine</t>
        </is>
      </c>
      <c r="J1762" s="29" t="n">
        <v>0</v>
      </c>
      <c r="K1762" s="30" t="n"/>
      <c r="L1762" s="29" t="n">
        <v>0</v>
      </c>
      <c r="M1762" s="29" t="n">
        <v>0</v>
      </c>
      <c r="N1762" s="2" t="n">
        <v>0</v>
      </c>
      <c r="O1762" s="31" t="n">
        <v>0</v>
      </c>
      <c r="P1762" s="32" t="n"/>
      <c r="Q1762" s="32" t="n">
        <v>0</v>
      </c>
      <c r="R1762" s="32" t="n">
        <v>0</v>
      </c>
      <c r="S1762" s="31" t="n">
        <v>0</v>
      </c>
      <c r="T1762" s="32" t="n">
        <v>0</v>
      </c>
      <c r="U1762" s="31" t="n">
        <v>0</v>
      </c>
      <c r="V1762" s="31" t="n">
        <v>0</v>
      </c>
      <c r="W1762" s="3" t="n">
        <v>0</v>
      </c>
      <c r="X1762" s="3" t="n">
        <v>0</v>
      </c>
      <c r="Y1762" s="32" t="n">
        <v>0</v>
      </c>
      <c r="Z1762" s="3" t="n">
        <v>0</v>
      </c>
      <c r="AA1762" s="32" t="n">
        <v>0</v>
      </c>
      <c r="AB1762" s="3" t="n"/>
      <c r="AC1762" s="31" t="n">
        <v>0</v>
      </c>
      <c r="AD1762" s="2" t="n">
        <v>0</v>
      </c>
      <c r="AE1762" s="2" t="n">
        <v>8</v>
      </c>
      <c r="AF1762" s="4" t="n">
        <v>8</v>
      </c>
      <c r="AG1762" s="33" t="n">
        <v>0</v>
      </c>
      <c r="AH1762" s="4" t="n">
        <v>0</v>
      </c>
      <c r="AI1762" s="34" t="n"/>
      <c r="AJ1762" s="34" t="n">
        <v>0</v>
      </c>
      <c r="AK1762" s="2" t="n">
        <v>0</v>
      </c>
      <c r="AL1762" t="inlineStr">
        <is>
          <t>Published</t>
        </is>
      </c>
    </row>
    <row r="1763">
      <c r="A1763">
        <f>HYPERLINK("https://www.walmart.com/ip/143098345", "143098345")</f>
        <v/>
      </c>
      <c r="B1763">
        <f>HYPERLINK("https://app.optiwise.ai/catalog/itemdetails/358811", "KC Caps Unisex Two-Tone Cotton Twill Adjustable Baseball Cap with Suede Bill, White/Black")</f>
        <v/>
      </c>
      <c r="C1763" t="inlineStr">
        <is>
          <t>KC-S6300-WH/BK</t>
        </is>
      </c>
      <c r="D1763" t="inlineStr">
        <is>
          <t>Clothing</t>
        </is>
      </c>
      <c r="E1763" t="inlineStr">
        <is>
          <t>Hats</t>
        </is>
      </c>
      <c r="F1763" t="inlineStr">
        <is>
          <t>KC Caps</t>
        </is>
      </c>
      <c r="G1763" t="n">
        <v>0</v>
      </c>
      <c r="H1763" t="n">
        <v>0</v>
      </c>
      <c r="J1763" s="29" t="n">
        <v>0</v>
      </c>
      <c r="K1763" s="30" t="n"/>
      <c r="L1763" s="29" t="n">
        <v>0</v>
      </c>
      <c r="M1763" s="29" t="n">
        <v>0</v>
      </c>
      <c r="N1763" s="2" t="n">
        <v>0</v>
      </c>
      <c r="O1763" s="31" t="n">
        <v>0</v>
      </c>
      <c r="P1763" s="32" t="n"/>
      <c r="Q1763" s="32" t="n">
        <v>0</v>
      </c>
      <c r="R1763" s="32" t="n">
        <v>0</v>
      </c>
      <c r="S1763" s="31" t="n">
        <v>0</v>
      </c>
      <c r="T1763" s="32" t="n">
        <v>0</v>
      </c>
      <c r="U1763" s="31" t="n">
        <v>0</v>
      </c>
      <c r="V1763" s="31" t="n">
        <v>0</v>
      </c>
      <c r="W1763" s="3" t="n">
        <v>0</v>
      </c>
      <c r="X1763" s="3" t="n">
        <v>0</v>
      </c>
      <c r="Y1763" s="32" t="n">
        <v>0</v>
      </c>
      <c r="Z1763" s="3" t="n">
        <v>0</v>
      </c>
      <c r="AA1763" s="32" t="n">
        <v>0</v>
      </c>
      <c r="AB1763" s="3" t="n"/>
      <c r="AC1763" s="31" t="n">
        <v>0</v>
      </c>
      <c r="AD1763" s="2" t="n">
        <v>0</v>
      </c>
      <c r="AE1763" s="2" t="n">
        <v>3</v>
      </c>
      <c r="AF1763" s="4" t="n">
        <v>3</v>
      </c>
      <c r="AG1763" s="33" t="n">
        <v>0</v>
      </c>
      <c r="AH1763" s="4" t="n">
        <v>0</v>
      </c>
      <c r="AI1763" s="34" t="n"/>
      <c r="AJ1763" s="34" t="n">
        <v>0</v>
      </c>
      <c r="AK1763" s="2" t="n">
        <v>0</v>
      </c>
      <c r="AL1763" t="inlineStr">
        <is>
          <t>Published</t>
        </is>
      </c>
    </row>
    <row r="1764">
      <c r="A1764">
        <f>HYPERLINK("https://www.walmart.com/ip/286141891", "286141891")</f>
        <v/>
      </c>
      <c r="B1764">
        <f>HYPERLINK("https://app.optiwise.ai/catalog/itemdetails/358809", "Catalonia Bedding Quilt Set,Lightweight Bedspread for Summer and Spring, Bedding Coverlet - Quilt and Pillow Shams, Queen, Grey/White")</f>
        <v/>
      </c>
      <c r="C1764" t="inlineStr">
        <is>
          <t>1CTBQ202QF-GYWT</t>
        </is>
      </c>
      <c r="D1764" t="inlineStr">
        <is>
          <t>Bedding</t>
        </is>
      </c>
      <c r="E1764" t="inlineStr">
        <is>
          <t>Bedding Sets</t>
        </is>
      </c>
      <c r="F1764" t="inlineStr">
        <is>
          <t>Catalonia</t>
        </is>
      </c>
      <c r="G1764" t="n">
        <v>0</v>
      </c>
      <c r="H1764" t="n">
        <v>0</v>
      </c>
      <c r="I1764" t="inlineStr">
        <is>
          <t>Optimized,SEM,Quilt_Vinay</t>
        </is>
      </c>
      <c r="J1764" s="29" t="n">
        <v>0</v>
      </c>
      <c r="K1764" s="30" t="n"/>
      <c r="L1764" s="29" t="n">
        <v>0</v>
      </c>
      <c r="M1764" s="29" t="n">
        <v>0</v>
      </c>
      <c r="N1764" s="2" t="n">
        <v>0</v>
      </c>
      <c r="O1764" s="31" t="n">
        <v>0</v>
      </c>
      <c r="P1764" s="32" t="n"/>
      <c r="Q1764" s="32" t="n">
        <v>0</v>
      </c>
      <c r="R1764" s="32" t="n">
        <v>0</v>
      </c>
      <c r="S1764" s="31" t="n">
        <v>0</v>
      </c>
      <c r="T1764" s="32" t="n">
        <v>0</v>
      </c>
      <c r="U1764" s="31" t="n">
        <v>0</v>
      </c>
      <c r="V1764" s="31" t="n">
        <v>0</v>
      </c>
      <c r="W1764" s="3" t="n">
        <v>0</v>
      </c>
      <c r="X1764" s="3" t="n">
        <v>0</v>
      </c>
      <c r="Y1764" s="32" t="n">
        <v>0</v>
      </c>
      <c r="Z1764" s="3" t="n">
        <v>0</v>
      </c>
      <c r="AA1764" s="32" t="n">
        <v>0</v>
      </c>
      <c r="AB1764" s="3" t="n"/>
      <c r="AC1764" s="31" t="n">
        <v>0</v>
      </c>
      <c r="AD1764" s="2" t="n">
        <v>0</v>
      </c>
      <c r="AE1764" s="2" t="n">
        <v>17</v>
      </c>
      <c r="AF1764" s="4" t="n">
        <v>17</v>
      </c>
      <c r="AG1764" s="33" t="n">
        <v>0</v>
      </c>
      <c r="AH1764" s="4" t="n">
        <v>0</v>
      </c>
      <c r="AI1764" s="34" t="n"/>
      <c r="AJ1764" s="34" t="n">
        <v>0</v>
      </c>
      <c r="AK1764" s="2" t="n">
        <v>0</v>
      </c>
      <c r="AL1764" t="inlineStr">
        <is>
          <t>Published</t>
        </is>
      </c>
    </row>
    <row r="1765">
      <c r="A1765">
        <f>HYPERLINK("https://www.walmart.com/ip/454804063", "454804063")</f>
        <v/>
      </c>
      <c r="B1765">
        <f>HYPERLINK("https://app.optiwise.ai/catalog/itemdetails/358804", "Flyingstar Women's Ponytail Sun Hat for Hiking Gardening Safari, Breathable Mesh and Ponytail Hole Opening, Gray")</f>
        <v/>
      </c>
      <c r="C1765" t="inlineStr">
        <is>
          <t>1WMSH912GY</t>
        </is>
      </c>
      <c r="D1765" t="inlineStr">
        <is>
          <t>Clothing</t>
        </is>
      </c>
      <c r="E1765" t="inlineStr">
        <is>
          <t>Hats</t>
        </is>
      </c>
      <c r="F1765" t="inlineStr">
        <is>
          <t>Flyingstar</t>
        </is>
      </c>
      <c r="G1765" t="n">
        <v>3</v>
      </c>
      <c r="H1765" t="n">
        <v>4</v>
      </c>
      <c r="I1765" t="inlineStr">
        <is>
          <t>Optimized</t>
        </is>
      </c>
      <c r="J1765" s="29" t="n">
        <v>0</v>
      </c>
      <c r="K1765" s="30" t="n"/>
      <c r="L1765" s="29" t="n">
        <v>0</v>
      </c>
      <c r="M1765" s="29" t="n">
        <v>0</v>
      </c>
      <c r="N1765" s="2" t="n">
        <v>0</v>
      </c>
      <c r="O1765" s="31" t="n">
        <v>0</v>
      </c>
      <c r="P1765" s="32" t="n"/>
      <c r="Q1765" s="32" t="n">
        <v>0</v>
      </c>
      <c r="R1765" s="32" t="n">
        <v>0</v>
      </c>
      <c r="S1765" s="31" t="n">
        <v>0</v>
      </c>
      <c r="T1765" s="32" t="n">
        <v>0</v>
      </c>
      <c r="U1765" s="31" t="n">
        <v>0</v>
      </c>
      <c r="V1765" s="31" t="n">
        <v>0</v>
      </c>
      <c r="W1765" s="3" t="n">
        <v>0</v>
      </c>
      <c r="X1765" s="3" t="n">
        <v>0</v>
      </c>
      <c r="Y1765" s="32" t="n">
        <v>0</v>
      </c>
      <c r="Z1765" s="3" t="n">
        <v>0</v>
      </c>
      <c r="AA1765" s="32" t="n">
        <v>0</v>
      </c>
      <c r="AB1765" s="3" t="n"/>
      <c r="AC1765" s="31" t="n">
        <v>0</v>
      </c>
      <c r="AD1765" s="2" t="n">
        <v>0</v>
      </c>
      <c r="AE1765" s="2" t="n">
        <v>4</v>
      </c>
      <c r="AF1765" s="4" t="n">
        <v>4</v>
      </c>
      <c r="AG1765" s="33" t="n">
        <v>0</v>
      </c>
      <c r="AH1765" s="4" t="n">
        <v>0</v>
      </c>
      <c r="AI1765" s="34" t="n"/>
      <c r="AJ1765" s="34" t="n">
        <v>0</v>
      </c>
      <c r="AK1765" s="2" t="n">
        <v>0</v>
      </c>
      <c r="AL1765" t="inlineStr">
        <is>
          <t>Published</t>
        </is>
      </c>
    </row>
    <row r="1766">
      <c r="A1766">
        <f>HYPERLINK("https://www.walmart.com/ip/575137724", "575137724")</f>
        <v/>
      </c>
      <c r="B1766">
        <f>HYPERLINK("https://app.optiwise.ai/catalog/itemdetails/358796", "Tirrinia Women's Tankini Swimsuit Flyaway Swimdress Top, 2-Piece Bathing Suits, Pink, Small")</f>
        <v/>
      </c>
      <c r="C1766" t="inlineStr">
        <is>
          <t>1TRSS006PK-M</t>
        </is>
      </c>
      <c r="D1766" t="inlineStr">
        <is>
          <t>Clothing</t>
        </is>
      </c>
      <c r="E1766" t="inlineStr">
        <is>
          <t>Swimsuit Sets</t>
        </is>
      </c>
      <c r="F1766" t="inlineStr">
        <is>
          <t>Tirrinia</t>
        </is>
      </c>
      <c r="G1766" t="n">
        <v>0</v>
      </c>
      <c r="H1766" t="n">
        <v>0</v>
      </c>
      <c r="J1766" s="29" t="n">
        <v>0</v>
      </c>
      <c r="K1766" s="30" t="n"/>
      <c r="L1766" s="29" t="n">
        <v>0</v>
      </c>
      <c r="M1766" s="29" t="n">
        <v>0</v>
      </c>
      <c r="N1766" s="2" t="n">
        <v>0</v>
      </c>
      <c r="O1766" s="31" t="n">
        <v>0</v>
      </c>
      <c r="P1766" s="32" t="n"/>
      <c r="Q1766" s="32" t="n">
        <v>0</v>
      </c>
      <c r="R1766" s="32" t="n">
        <v>0</v>
      </c>
      <c r="S1766" s="31" t="n">
        <v>0</v>
      </c>
      <c r="T1766" s="32" t="n">
        <v>0</v>
      </c>
      <c r="U1766" s="31" t="n">
        <v>0</v>
      </c>
      <c r="V1766" s="31" t="n">
        <v>0</v>
      </c>
      <c r="W1766" s="3" t="n">
        <v>0</v>
      </c>
      <c r="X1766" s="3" t="n">
        <v>0</v>
      </c>
      <c r="Y1766" s="32" t="n">
        <v>0</v>
      </c>
      <c r="Z1766" s="3" t="n">
        <v>0</v>
      </c>
      <c r="AA1766" s="32" t="n">
        <v>0</v>
      </c>
      <c r="AB1766" s="3" t="n"/>
      <c r="AC1766" s="31" t="n">
        <v>0</v>
      </c>
      <c r="AD1766" s="2" t="n">
        <v>0</v>
      </c>
      <c r="AE1766" s="2" t="n">
        <v>2</v>
      </c>
      <c r="AF1766" s="4" t="n">
        <v>2</v>
      </c>
      <c r="AG1766" s="33" t="n">
        <v>0</v>
      </c>
      <c r="AH1766" s="4" t="n">
        <v>0</v>
      </c>
      <c r="AI1766" s="34" t="n"/>
      <c r="AJ1766" s="34" t="n">
        <v>0</v>
      </c>
      <c r="AK1766" s="2" t="n">
        <v>0</v>
      </c>
      <c r="AL1766" t="inlineStr">
        <is>
          <t>Published</t>
        </is>
      </c>
    </row>
    <row r="1767">
      <c r="A1767">
        <f>HYPERLINK("https://www.walmart.com/ip/829040273", "829040273")</f>
        <v/>
      </c>
      <c r="B1767">
        <f>HYPERLINK("https://app.optiwise.ai/catalog/itemdetails/358795", "Tirrinia Women's Tankini Swimsuit Flyaway Swimdress Top, 2-Piece Bathing Suits, Black, Small")</f>
        <v/>
      </c>
      <c r="C1767" t="inlineStr">
        <is>
          <t>1TRSS006BKBK-M</t>
        </is>
      </c>
      <c r="D1767" t="inlineStr">
        <is>
          <t>Clothing</t>
        </is>
      </c>
      <c r="E1767" t="inlineStr">
        <is>
          <t>Swimsuit Sets</t>
        </is>
      </c>
      <c r="F1767" t="inlineStr">
        <is>
          <t>Tirrinia</t>
        </is>
      </c>
      <c r="G1767" t="n">
        <v>0</v>
      </c>
      <c r="H1767" t="n">
        <v>0</v>
      </c>
      <c r="I1767" t="inlineStr">
        <is>
          <t>Batch 1 - TR</t>
        </is>
      </c>
      <c r="J1767" s="29" t="n">
        <v>0</v>
      </c>
      <c r="K1767" s="30" t="n"/>
      <c r="L1767" s="29" t="n">
        <v>0</v>
      </c>
      <c r="M1767" s="29" t="n">
        <v>0</v>
      </c>
      <c r="N1767" s="2" t="n">
        <v>0</v>
      </c>
      <c r="O1767" s="31" t="n">
        <v>0</v>
      </c>
      <c r="P1767" s="32" t="n"/>
      <c r="Q1767" s="32" t="n">
        <v>0</v>
      </c>
      <c r="R1767" s="32" t="n">
        <v>0</v>
      </c>
      <c r="S1767" s="31" t="n">
        <v>0</v>
      </c>
      <c r="T1767" s="32" t="n">
        <v>0</v>
      </c>
      <c r="U1767" s="31" t="n">
        <v>0</v>
      </c>
      <c r="V1767" s="31" t="n">
        <v>0</v>
      </c>
      <c r="W1767" s="3" t="n">
        <v>0</v>
      </c>
      <c r="X1767" s="3" t="n">
        <v>0</v>
      </c>
      <c r="Y1767" s="32" t="n">
        <v>0</v>
      </c>
      <c r="Z1767" s="3" t="n">
        <v>0</v>
      </c>
      <c r="AA1767" s="32" t="n">
        <v>0</v>
      </c>
      <c r="AB1767" s="3" t="n"/>
      <c r="AC1767" s="31" t="n">
        <v>0</v>
      </c>
      <c r="AD1767" s="2" t="n">
        <v>0</v>
      </c>
      <c r="AE1767" s="2" t="n">
        <v>18</v>
      </c>
      <c r="AF1767" s="4" t="n">
        <v>18</v>
      </c>
      <c r="AG1767" s="33" t="n">
        <v>0</v>
      </c>
      <c r="AH1767" s="4" t="n">
        <v>0</v>
      </c>
      <c r="AI1767" s="34" t="n"/>
      <c r="AJ1767" s="34" t="n">
        <v>0</v>
      </c>
      <c r="AK1767" s="2" t="n">
        <v>0</v>
      </c>
      <c r="AL1767" t="inlineStr">
        <is>
          <t>Published</t>
        </is>
      </c>
    </row>
    <row r="1768">
      <c r="A1768">
        <f>HYPERLINK("https://www.walmart.com/ip/238844874", "238844874")</f>
        <v/>
      </c>
      <c r="B1768">
        <f>HYPERLINK("https://app.optiwise.ai/catalog/itemdetails/358791", "Solaris Women's Tankini Swimsuit, Two-Piece Swimwear Bikini Set, Summer Bathing Suits, Medium, Black/White")</f>
        <v/>
      </c>
      <c r="C1768" t="inlineStr">
        <is>
          <t>1SLSS006BKWH-M</t>
        </is>
      </c>
      <c r="D1768" t="inlineStr">
        <is>
          <t>Clothing</t>
        </is>
      </c>
      <c r="E1768" t="inlineStr">
        <is>
          <t>Swimsuit Sets</t>
        </is>
      </c>
      <c r="F1768" t="inlineStr">
        <is>
          <t>Solaris</t>
        </is>
      </c>
      <c r="G1768" t="n">
        <v>0</v>
      </c>
      <c r="H1768" t="n">
        <v>0</v>
      </c>
      <c r="I1768" t="inlineStr">
        <is>
          <t>Optimized</t>
        </is>
      </c>
      <c r="J1768" s="29" t="n">
        <v>0</v>
      </c>
      <c r="K1768" s="30" t="n"/>
      <c r="L1768" s="29" t="n">
        <v>0</v>
      </c>
      <c r="M1768" s="29" t="n">
        <v>0</v>
      </c>
      <c r="N1768" s="2" t="n">
        <v>0</v>
      </c>
      <c r="O1768" s="31" t="n">
        <v>0</v>
      </c>
      <c r="P1768" s="32" t="n"/>
      <c r="Q1768" s="32" t="n">
        <v>0</v>
      </c>
      <c r="R1768" s="32" t="n">
        <v>0</v>
      </c>
      <c r="S1768" s="31" t="n">
        <v>0</v>
      </c>
      <c r="T1768" s="32" t="n">
        <v>0</v>
      </c>
      <c r="U1768" s="31" t="n">
        <v>0</v>
      </c>
      <c r="V1768" s="31" t="n">
        <v>0</v>
      </c>
      <c r="W1768" s="3" t="n">
        <v>0</v>
      </c>
      <c r="X1768" s="3" t="n">
        <v>0</v>
      </c>
      <c r="Y1768" s="32" t="n">
        <v>0</v>
      </c>
      <c r="Z1768" s="3" t="n">
        <v>0</v>
      </c>
      <c r="AA1768" s="32" t="n">
        <v>0</v>
      </c>
      <c r="AB1768" s="3" t="n"/>
      <c r="AC1768" s="31" t="n">
        <v>0</v>
      </c>
      <c r="AD1768" s="2" t="n">
        <v>0</v>
      </c>
      <c r="AE1768" s="2" t="n">
        <v>17</v>
      </c>
      <c r="AF1768" s="4" t="n">
        <v>17</v>
      </c>
      <c r="AG1768" s="33" t="n">
        <v>0</v>
      </c>
      <c r="AH1768" s="4" t="n">
        <v>0</v>
      </c>
      <c r="AI1768" s="34" t="n"/>
      <c r="AJ1768" s="34" t="n">
        <v>0</v>
      </c>
      <c r="AK1768" s="2" t="n">
        <v>0</v>
      </c>
      <c r="AL1768" t="inlineStr">
        <is>
          <t>Published</t>
        </is>
      </c>
    </row>
    <row r="1769">
      <c r="A1769">
        <f>HYPERLINK("https://www.walmart.com/ip/459502324", "459502324")</f>
        <v/>
      </c>
      <c r="B1769">
        <f>HYPERLINK("https://app.optiwise.ai/catalog/itemdetails/358790", "Solaris Women's Tankini Swimsuit, Two-Piece Swimwear Bikini Set, Summer Bathing Suits, Large, Black/White")</f>
        <v/>
      </c>
      <c r="C1769" t="inlineStr">
        <is>
          <t>1SLSS006BKWH-L</t>
        </is>
      </c>
      <c r="D1769" t="inlineStr">
        <is>
          <t>Clothing</t>
        </is>
      </c>
      <c r="E1769" t="inlineStr">
        <is>
          <t>Swimsuit Sets</t>
        </is>
      </c>
      <c r="F1769" t="inlineStr">
        <is>
          <t>Solaris</t>
        </is>
      </c>
      <c r="G1769" t="n">
        <v>0</v>
      </c>
      <c r="H1769" t="n">
        <v>0</v>
      </c>
      <c r="I1769" t="inlineStr">
        <is>
          <t>Optimized</t>
        </is>
      </c>
      <c r="J1769" s="29" t="n">
        <v>0</v>
      </c>
      <c r="K1769" s="30" t="n"/>
      <c r="L1769" s="29" t="n">
        <v>0</v>
      </c>
      <c r="M1769" s="29" t="n">
        <v>0</v>
      </c>
      <c r="N1769" s="2" t="n">
        <v>0</v>
      </c>
      <c r="O1769" s="31" t="n">
        <v>0</v>
      </c>
      <c r="P1769" s="32" t="n"/>
      <c r="Q1769" s="32" t="n">
        <v>0</v>
      </c>
      <c r="R1769" s="32" t="n">
        <v>0</v>
      </c>
      <c r="S1769" s="31" t="n">
        <v>0</v>
      </c>
      <c r="T1769" s="32" t="n">
        <v>0</v>
      </c>
      <c r="U1769" s="31" t="n">
        <v>0</v>
      </c>
      <c r="V1769" s="31" t="n">
        <v>0</v>
      </c>
      <c r="W1769" s="3" t="n">
        <v>0</v>
      </c>
      <c r="X1769" s="3" t="n">
        <v>0</v>
      </c>
      <c r="Y1769" s="32" t="n">
        <v>0</v>
      </c>
      <c r="Z1769" s="3" t="n">
        <v>0</v>
      </c>
      <c r="AA1769" s="32" t="n">
        <v>0</v>
      </c>
      <c r="AB1769" s="3" t="n"/>
      <c r="AC1769" s="31" t="n">
        <v>0</v>
      </c>
      <c r="AD1769" s="2" t="n">
        <v>0</v>
      </c>
      <c r="AE1769" s="2" t="n">
        <v>14</v>
      </c>
      <c r="AF1769" s="4" t="n">
        <v>14</v>
      </c>
      <c r="AG1769" s="33" t="n">
        <v>0</v>
      </c>
      <c r="AH1769" s="4" t="n">
        <v>0</v>
      </c>
      <c r="AI1769" s="34" t="n"/>
      <c r="AJ1769" s="34" t="n">
        <v>0</v>
      </c>
      <c r="AK1769" s="2" t="n">
        <v>0</v>
      </c>
      <c r="AL1769" t="inlineStr">
        <is>
          <t>Published</t>
        </is>
      </c>
    </row>
    <row r="1770">
      <c r="A1770">
        <f>HYPERLINK("https://www.walmart.com/ip/333065779", "333065779")</f>
        <v/>
      </c>
      <c r="B1770">
        <f>HYPERLINK("https://app.optiwise.ai/catalog/itemdetails/358789", "Solaris Women's Tankini Swimsuit, Two-Piece Swimwear Bikini Set, Summer Bathing Suits, X-Large, Black")</f>
        <v/>
      </c>
      <c r="C1770" t="inlineStr">
        <is>
          <t>1SLSS006BKBK-XL</t>
        </is>
      </c>
      <c r="D1770" t="inlineStr">
        <is>
          <t>Clothing</t>
        </is>
      </c>
      <c r="E1770" t="inlineStr">
        <is>
          <t>Swimsuit Sets</t>
        </is>
      </c>
      <c r="F1770" t="inlineStr">
        <is>
          <t>Solaris</t>
        </is>
      </c>
      <c r="G1770" t="n">
        <v>0</v>
      </c>
      <c r="H1770" t="n">
        <v>0</v>
      </c>
      <c r="J1770" s="29" t="n">
        <v>0</v>
      </c>
      <c r="K1770" s="30" t="n"/>
      <c r="L1770" s="29" t="n">
        <v>0</v>
      </c>
      <c r="M1770" s="29" t="n">
        <v>0</v>
      </c>
      <c r="N1770" s="2" t="n">
        <v>0</v>
      </c>
      <c r="O1770" s="31" t="n">
        <v>0</v>
      </c>
      <c r="P1770" s="32" t="n"/>
      <c r="Q1770" s="32" t="n">
        <v>0</v>
      </c>
      <c r="R1770" s="32" t="n">
        <v>0</v>
      </c>
      <c r="S1770" s="31" t="n">
        <v>0</v>
      </c>
      <c r="T1770" s="32" t="n">
        <v>0</v>
      </c>
      <c r="U1770" s="31" t="n">
        <v>0</v>
      </c>
      <c r="V1770" s="31" t="n">
        <v>0</v>
      </c>
      <c r="W1770" s="3" t="n">
        <v>0</v>
      </c>
      <c r="X1770" s="3" t="n">
        <v>0</v>
      </c>
      <c r="Y1770" s="32" t="n">
        <v>0</v>
      </c>
      <c r="Z1770" s="3" t="n">
        <v>0</v>
      </c>
      <c r="AA1770" s="32" t="n">
        <v>0</v>
      </c>
      <c r="AB1770" s="3" t="n"/>
      <c r="AC1770" s="31" t="n">
        <v>0</v>
      </c>
      <c r="AD1770" s="2" t="n">
        <v>0</v>
      </c>
      <c r="AE1770" s="2" t="n">
        <v>0</v>
      </c>
      <c r="AF1770" s="4" t="n">
        <v>0</v>
      </c>
      <c r="AG1770" s="33" t="n">
        <v>0</v>
      </c>
      <c r="AH1770" s="4" t="n">
        <v>0</v>
      </c>
      <c r="AI1770" s="34" t="n"/>
      <c r="AJ1770" s="34" t="n">
        <v>0</v>
      </c>
      <c r="AK1770" s="2" t="n">
        <v>0</v>
      </c>
      <c r="AL1770" t="inlineStr">
        <is>
          <t>Published</t>
        </is>
      </c>
    </row>
    <row r="1771">
      <c r="A1771">
        <f>HYPERLINK("https://www.walmart.com/ip/370524398", "370524398")</f>
        <v/>
      </c>
      <c r="B1771">
        <f>HYPERLINK("https://app.optiwise.ai/catalog/itemdetails/358780", "Tirrinia Hooded Sherpa Bathrobe for Women, Long Plush Fuzzy Robe, Blue")</f>
        <v/>
      </c>
      <c r="C1771" t="inlineStr">
        <is>
          <t>1TRRB100BL</t>
        </is>
      </c>
      <c r="D1771" t="inlineStr">
        <is>
          <t>Clothing</t>
        </is>
      </c>
      <c r="E1771" t="inlineStr">
        <is>
          <t>Sleepwear Robes &amp; Bathrobes</t>
        </is>
      </c>
      <c r="F1771" t="inlineStr">
        <is>
          <t>Tirrinia</t>
        </is>
      </c>
      <c r="G1771" t="n">
        <v>0</v>
      </c>
      <c r="H1771" t="n">
        <v>0</v>
      </c>
      <c r="I1771" t="inlineStr">
        <is>
          <t>Optimized,WFS,Bathrobe,Coupon_Discount,WFS Item</t>
        </is>
      </c>
      <c r="J1771" s="29" t="n">
        <v>0</v>
      </c>
      <c r="K1771" s="30" t="n"/>
      <c r="L1771" s="29" t="n">
        <v>0</v>
      </c>
      <c r="M1771" s="29" t="n">
        <v>0</v>
      </c>
      <c r="N1771" s="2" t="n">
        <v>0</v>
      </c>
      <c r="O1771" s="31" t="n">
        <v>0</v>
      </c>
      <c r="P1771" s="32" t="n"/>
      <c r="Q1771" s="32" t="n">
        <v>0</v>
      </c>
      <c r="R1771" s="32" t="n">
        <v>0</v>
      </c>
      <c r="S1771" s="31" t="n">
        <v>0</v>
      </c>
      <c r="T1771" s="32" t="n">
        <v>0</v>
      </c>
      <c r="U1771" s="31" t="n">
        <v>0</v>
      </c>
      <c r="V1771" s="31" t="n">
        <v>0</v>
      </c>
      <c r="W1771" s="3" t="n">
        <v>0</v>
      </c>
      <c r="X1771" s="3" t="n">
        <v>0</v>
      </c>
      <c r="Y1771" s="32" t="n">
        <v>0</v>
      </c>
      <c r="Z1771" s="3" t="n">
        <v>0</v>
      </c>
      <c r="AA1771" s="32" t="n">
        <v>0</v>
      </c>
      <c r="AB1771" s="3" t="n"/>
      <c r="AC1771" s="31" t="n">
        <v>0</v>
      </c>
      <c r="AD1771" s="2" t="n">
        <v>0</v>
      </c>
      <c r="AE1771" s="2" t="n">
        <v>32</v>
      </c>
      <c r="AF1771" s="4" t="n">
        <v>32</v>
      </c>
      <c r="AG1771" s="33" t="n">
        <v>0</v>
      </c>
      <c r="AH1771" s="4" t="n">
        <v>0</v>
      </c>
      <c r="AI1771" s="34" t="n"/>
      <c r="AJ1771" s="34" t="n">
        <v>0</v>
      </c>
      <c r="AK1771" s="2" t="n">
        <v>0</v>
      </c>
      <c r="AL1771" t="inlineStr">
        <is>
          <t>Published</t>
        </is>
      </c>
    </row>
    <row r="1772">
      <c r="A1772">
        <f>HYPERLINK("https://www.walmart.com/ip/471187667", "471187667")</f>
        <v/>
      </c>
      <c r="B1772">
        <f>HYPERLINK("https://app.optiwise.ai/catalog/itemdetails/359033", "Catalonia Hooded Wearable Blanket Sherpa Fleece Throw Blanket 73x47 Poncho | Wrap with Hand Pockets | Comfy Cape for Children and Adults,Womans Gift")</f>
        <v/>
      </c>
      <c r="C1772" t="inlineStr">
        <is>
          <t>1CTBC100GY</t>
        </is>
      </c>
      <c r="D1772" t="inlineStr">
        <is>
          <t>Bedding</t>
        </is>
      </c>
      <c r="E1772" t="inlineStr">
        <is>
          <t>Throws</t>
        </is>
      </c>
      <c r="F1772" t="inlineStr">
        <is>
          <t>Catalonia</t>
        </is>
      </c>
      <c r="G1772" t="n">
        <v>0</v>
      </c>
      <c r="H1772" t="n">
        <v>0</v>
      </c>
      <c r="I1772" t="inlineStr">
        <is>
          <t>Optimized,WFS,Coupon_Discount,WFS Item</t>
        </is>
      </c>
      <c r="J1772" s="29" t="n">
        <v>0</v>
      </c>
      <c r="K1772" s="30" t="n"/>
      <c r="L1772" s="29" t="n">
        <v>0</v>
      </c>
      <c r="M1772" s="29" t="n">
        <v>0</v>
      </c>
      <c r="N1772" s="2" t="n">
        <v>0</v>
      </c>
      <c r="O1772" s="31" t="n">
        <v>0</v>
      </c>
      <c r="P1772" s="32" t="n"/>
      <c r="Q1772" s="32" t="n">
        <v>0</v>
      </c>
      <c r="R1772" s="32" t="n">
        <v>0</v>
      </c>
      <c r="S1772" s="31" t="n">
        <v>0</v>
      </c>
      <c r="T1772" s="32" t="n">
        <v>0</v>
      </c>
      <c r="U1772" s="31" t="n">
        <v>0</v>
      </c>
      <c r="V1772" s="31" t="n">
        <v>0</v>
      </c>
      <c r="W1772" s="3" t="n">
        <v>0</v>
      </c>
      <c r="X1772" s="3" t="n">
        <v>0</v>
      </c>
      <c r="Y1772" s="32" t="n">
        <v>0</v>
      </c>
      <c r="Z1772" s="3" t="n">
        <v>0</v>
      </c>
      <c r="AA1772" s="32" t="n">
        <v>0</v>
      </c>
      <c r="AB1772" s="3" t="n"/>
      <c r="AC1772" s="31" t="n">
        <v>0</v>
      </c>
      <c r="AD1772" s="2" t="n">
        <v>38</v>
      </c>
      <c r="AE1772" s="2" t="n">
        <v>71</v>
      </c>
      <c r="AF1772" s="4" t="n">
        <v>71</v>
      </c>
      <c r="AG1772" s="33" t="n">
        <v>0</v>
      </c>
      <c r="AH1772" s="4" t="n">
        <v>0</v>
      </c>
      <c r="AI1772" s="34" t="n"/>
      <c r="AJ1772" s="34" t="n">
        <v>0</v>
      </c>
      <c r="AK1772" s="2" t="n">
        <v>0</v>
      </c>
      <c r="AL1772" t="inlineStr">
        <is>
          <t>Published</t>
        </is>
      </c>
    </row>
    <row r="1773">
      <c r="A1773">
        <f>HYPERLINK("https://www.walmart.com/ip/997619642", "997619642")</f>
        <v/>
      </c>
      <c r="B1773">
        <f>HYPERLINK("https://app.optiwise.ai/catalog/itemdetails/358774", "Solaris Women's Two Piece V Neck Bathing Suit, 5% Spandex, Black, Extra Large")</f>
        <v/>
      </c>
      <c r="C1773" t="inlineStr">
        <is>
          <t>1SLSS005BK-XL</t>
        </is>
      </c>
      <c r="D1773" t="inlineStr">
        <is>
          <t>Clothing</t>
        </is>
      </c>
      <c r="E1773" t="inlineStr">
        <is>
          <t>Swimsuit Sets</t>
        </is>
      </c>
      <c r="F1773" t="inlineStr">
        <is>
          <t>Solaris</t>
        </is>
      </c>
      <c r="G1773" t="n">
        <v>0</v>
      </c>
      <c r="H1773" t="n">
        <v>0</v>
      </c>
      <c r="I1773" t="inlineStr">
        <is>
          <t>Optimized</t>
        </is>
      </c>
      <c r="J1773" s="29" t="n">
        <v>0</v>
      </c>
      <c r="K1773" s="30" t="n"/>
      <c r="L1773" s="29" t="n">
        <v>0</v>
      </c>
      <c r="M1773" s="29" t="n">
        <v>0</v>
      </c>
      <c r="N1773" s="2" t="n">
        <v>0</v>
      </c>
      <c r="O1773" s="31" t="n">
        <v>0</v>
      </c>
      <c r="P1773" s="32" t="n"/>
      <c r="Q1773" s="32" t="n">
        <v>0</v>
      </c>
      <c r="R1773" s="32" t="n">
        <v>0</v>
      </c>
      <c r="S1773" s="31" t="n">
        <v>0</v>
      </c>
      <c r="T1773" s="32" t="n">
        <v>0</v>
      </c>
      <c r="U1773" s="31" t="n">
        <v>0</v>
      </c>
      <c r="V1773" s="31" t="n">
        <v>0</v>
      </c>
      <c r="W1773" s="3" t="n">
        <v>0</v>
      </c>
      <c r="X1773" s="3" t="n">
        <v>0</v>
      </c>
      <c r="Y1773" s="32" t="n">
        <v>0</v>
      </c>
      <c r="Z1773" s="3" t="n">
        <v>0</v>
      </c>
      <c r="AA1773" s="32" t="n">
        <v>0</v>
      </c>
      <c r="AB1773" s="3" t="n"/>
      <c r="AC1773" s="31" t="n">
        <v>0</v>
      </c>
      <c r="AD1773" s="2" t="n">
        <v>0</v>
      </c>
      <c r="AE1773" s="2" t="n">
        <v>18</v>
      </c>
      <c r="AF1773" s="4" t="n">
        <v>18</v>
      </c>
      <c r="AG1773" s="33" t="n">
        <v>0</v>
      </c>
      <c r="AH1773" s="4" t="n">
        <v>0</v>
      </c>
      <c r="AI1773" s="34" t="n"/>
      <c r="AJ1773" s="34" t="n">
        <v>0</v>
      </c>
      <c r="AK1773" s="2" t="n">
        <v>0</v>
      </c>
      <c r="AL1773" t="inlineStr">
        <is>
          <t>Published</t>
        </is>
      </c>
    </row>
    <row r="1774">
      <c r="A1774">
        <f>HYPERLINK("https://www.walmart.com/ip/771364230", "771364230")</f>
        <v/>
      </c>
      <c r="B1774">
        <f>HYPERLINK("https://app.optiwise.ai/catalog/itemdetails/358771", "Flyingstar High SPF Men's Sun Hat,UV Protection Wide-Brimmed with Air Panels, Olive")</f>
        <v/>
      </c>
      <c r="C1774" t="inlineStr">
        <is>
          <t>1WMSH911OL</t>
        </is>
      </c>
      <c r="D1774" t="inlineStr">
        <is>
          <t>Clothing</t>
        </is>
      </c>
      <c r="E1774" t="inlineStr">
        <is>
          <t>Hats</t>
        </is>
      </c>
      <c r="F1774" t="inlineStr">
        <is>
          <t>Flyingstar</t>
        </is>
      </c>
      <c r="G1774" t="n">
        <v>5</v>
      </c>
      <c r="H1774" t="n">
        <v>1</v>
      </c>
      <c r="I1774" t="inlineStr">
        <is>
          <t>Optimized</t>
        </is>
      </c>
      <c r="J1774" s="29" t="n">
        <v>0</v>
      </c>
      <c r="K1774" s="30" t="n"/>
      <c r="L1774" s="29" t="n">
        <v>0</v>
      </c>
      <c r="M1774" s="29" t="n">
        <v>0</v>
      </c>
      <c r="N1774" s="2" t="n">
        <v>0</v>
      </c>
      <c r="O1774" s="31" t="n">
        <v>0</v>
      </c>
      <c r="P1774" s="32" t="n"/>
      <c r="Q1774" s="32" t="n">
        <v>0</v>
      </c>
      <c r="R1774" s="32" t="n">
        <v>0</v>
      </c>
      <c r="S1774" s="31" t="n">
        <v>0</v>
      </c>
      <c r="T1774" s="32" t="n">
        <v>0</v>
      </c>
      <c r="U1774" s="31" t="n">
        <v>0</v>
      </c>
      <c r="V1774" s="31" t="n">
        <v>0</v>
      </c>
      <c r="W1774" s="3" t="n">
        <v>0</v>
      </c>
      <c r="X1774" s="3" t="n">
        <v>0</v>
      </c>
      <c r="Y1774" s="32" t="n">
        <v>0</v>
      </c>
      <c r="Z1774" s="3" t="n">
        <v>0</v>
      </c>
      <c r="AA1774" s="32" t="n">
        <v>0</v>
      </c>
      <c r="AB1774" s="3" t="n"/>
      <c r="AC1774" s="31" t="n">
        <v>0</v>
      </c>
      <c r="AD1774" s="2" t="n">
        <v>0</v>
      </c>
      <c r="AE1774" s="2" t="n">
        <v>0</v>
      </c>
      <c r="AF1774" s="4" t="n">
        <v>0</v>
      </c>
      <c r="AG1774" s="33" t="n">
        <v>0</v>
      </c>
      <c r="AH1774" s="4" t="n">
        <v>0</v>
      </c>
      <c r="AI1774" s="34" t="n"/>
      <c r="AJ1774" s="34" t="n">
        <v>0</v>
      </c>
      <c r="AK1774" s="2" t="n">
        <v>0</v>
      </c>
      <c r="AL1774" t="inlineStr">
        <is>
          <t>Published</t>
        </is>
      </c>
    </row>
    <row r="1775">
      <c r="A1775">
        <f>HYPERLINK("https://www.walmart.com/ip/184938055", "184938055")</f>
        <v/>
      </c>
      <c r="B1775">
        <f>HYPERLINK("https://app.optiwise.ai/catalog/itemdetails/358768", "Vina 2-Bottle Wine Tote Carrier, Insulated Travel Wine Cooler Bag with Leather Handles, Grey")</f>
        <v/>
      </c>
      <c r="C1775" t="inlineStr">
        <is>
          <t>VINAWB007GY</t>
        </is>
      </c>
      <c r="D1775" t="inlineStr">
        <is>
          <t>Home Decor, Kitchen, &amp; Other</t>
        </is>
      </c>
      <c r="E1775" t="inlineStr">
        <is>
          <t>Wine Totes, Bags &amp; Backpacks</t>
        </is>
      </c>
      <c r="F1775" t="inlineStr">
        <is>
          <t>Vina</t>
        </is>
      </c>
      <c r="G1775" t="n">
        <v>1</v>
      </c>
      <c r="H1775" t="n">
        <v>1</v>
      </c>
      <c r="I1775" t="inlineStr">
        <is>
          <t>Wine,Christmas,Optimized,Valentine</t>
        </is>
      </c>
      <c r="J1775" s="29" t="n">
        <v>0</v>
      </c>
      <c r="K1775" s="30" t="n"/>
      <c r="L1775" s="29" t="n">
        <v>0</v>
      </c>
      <c r="M1775" s="29" t="n">
        <v>0</v>
      </c>
      <c r="N1775" s="2" t="n">
        <v>0</v>
      </c>
      <c r="O1775" s="31" t="n">
        <v>0</v>
      </c>
      <c r="P1775" s="32" t="n"/>
      <c r="Q1775" s="32" t="n">
        <v>0</v>
      </c>
      <c r="R1775" s="32" t="n">
        <v>0</v>
      </c>
      <c r="S1775" s="31" t="n">
        <v>0</v>
      </c>
      <c r="T1775" s="32" t="n">
        <v>0</v>
      </c>
      <c r="U1775" s="31" t="n">
        <v>0</v>
      </c>
      <c r="V1775" s="31" t="n">
        <v>0</v>
      </c>
      <c r="W1775" s="3" t="n">
        <v>0</v>
      </c>
      <c r="X1775" s="3" t="n">
        <v>0</v>
      </c>
      <c r="Y1775" s="32" t="n">
        <v>0</v>
      </c>
      <c r="Z1775" s="3" t="n">
        <v>0</v>
      </c>
      <c r="AA1775" s="32" t="n">
        <v>0</v>
      </c>
      <c r="AB1775" s="3" t="n"/>
      <c r="AC1775" s="31" t="n">
        <v>0</v>
      </c>
      <c r="AD1775" s="2" t="n">
        <v>0</v>
      </c>
      <c r="AE1775" s="2" t="n">
        <v>4</v>
      </c>
      <c r="AF1775" s="4" t="n">
        <v>4</v>
      </c>
      <c r="AG1775" s="33" t="n">
        <v>0</v>
      </c>
      <c r="AH1775" s="4" t="n">
        <v>0</v>
      </c>
      <c r="AI1775" s="34" t="n"/>
      <c r="AJ1775" s="34" t="n">
        <v>0</v>
      </c>
      <c r="AK1775" s="2" t="n">
        <v>0</v>
      </c>
      <c r="AL1775" t="inlineStr">
        <is>
          <t>Published</t>
        </is>
      </c>
    </row>
    <row r="1776">
      <c r="A1776">
        <f>HYPERLINK("https://www.walmart.com/ip/570357815", "570357815")</f>
        <v/>
      </c>
      <c r="B1776">
        <f>HYPERLINK("https://app.optiwise.ai/catalog/itemdetails/358762", "Flyingstar Unisex Bath Towelling Robe in Navy Blue, Perfect for Surf and Swim, Quick Dry")</f>
        <v/>
      </c>
      <c r="C1776" t="inlineStr">
        <is>
          <t>1WMBR100-NY</t>
        </is>
      </c>
      <c r="D1776" t="inlineStr">
        <is>
          <t>Clothing</t>
        </is>
      </c>
      <c r="E1776" t="inlineStr">
        <is>
          <t>default</t>
        </is>
      </c>
      <c r="F1776" t="inlineStr">
        <is>
          <t>Flyingstar</t>
        </is>
      </c>
      <c r="G1776" t="n">
        <v>0</v>
      </c>
      <c r="H1776" t="n">
        <v>0</v>
      </c>
      <c r="I1776" t="inlineStr">
        <is>
          <t>Optimized,Beach Robe Camp</t>
        </is>
      </c>
      <c r="J1776" s="29" t="n">
        <v>0</v>
      </c>
      <c r="K1776" s="30" t="n"/>
      <c r="L1776" s="29" t="n">
        <v>0</v>
      </c>
      <c r="M1776" s="29" t="n">
        <v>0</v>
      </c>
      <c r="N1776" s="2" t="n">
        <v>0</v>
      </c>
      <c r="O1776" s="31" t="n">
        <v>0</v>
      </c>
      <c r="P1776" s="32" t="n"/>
      <c r="Q1776" s="32" t="n">
        <v>0</v>
      </c>
      <c r="R1776" s="32" t="n">
        <v>0</v>
      </c>
      <c r="S1776" s="31" t="n">
        <v>0</v>
      </c>
      <c r="T1776" s="32" t="n">
        <v>0</v>
      </c>
      <c r="U1776" s="31" t="n">
        <v>0</v>
      </c>
      <c r="V1776" s="31" t="n">
        <v>0</v>
      </c>
      <c r="W1776" s="3" t="n">
        <v>0</v>
      </c>
      <c r="X1776" s="3" t="n">
        <v>0</v>
      </c>
      <c r="Y1776" s="32" t="n">
        <v>0</v>
      </c>
      <c r="Z1776" s="3" t="n">
        <v>0</v>
      </c>
      <c r="AA1776" s="32" t="n">
        <v>0</v>
      </c>
      <c r="AB1776" s="3" t="n"/>
      <c r="AC1776" s="31" t="n">
        <v>0</v>
      </c>
      <c r="AD1776" s="2" t="n">
        <v>0</v>
      </c>
      <c r="AE1776" s="2" t="n">
        <v>4</v>
      </c>
      <c r="AF1776" s="4" t="n">
        <v>4</v>
      </c>
      <c r="AG1776" s="33" t="n">
        <v>0</v>
      </c>
      <c r="AH1776" s="4" t="n">
        <v>0</v>
      </c>
      <c r="AI1776" s="34" t="n"/>
      <c r="AJ1776" s="34" t="n">
        <v>0</v>
      </c>
      <c r="AK1776" s="2" t="n">
        <v>0</v>
      </c>
      <c r="AL1776" t="inlineStr">
        <is>
          <t>Published</t>
        </is>
      </c>
    </row>
    <row r="1777">
      <c r="A1777">
        <f>HYPERLINK("https://www.walmart.com/ip/361725265", "361725265")</f>
        <v/>
      </c>
      <c r="B1777">
        <f>HYPERLINK("https://app.optiwise.ai/catalog/itemdetails/358761", "Catalonia Sherpa Throw Blanket, Super Soft Comfy Micro Fleece Couch Blanket, Reversible Bed Throw TV Blanket, Comfort Caring Gift, Pink, 50 x 60")</f>
        <v/>
      </c>
      <c r="C1777" t="inlineStr">
        <is>
          <t>1CTBF300PK</t>
        </is>
      </c>
      <c r="D1777" t="inlineStr">
        <is>
          <t>Bedding</t>
        </is>
      </c>
      <c r="E1777" t="inlineStr">
        <is>
          <t>Throws</t>
        </is>
      </c>
      <c r="F1777" t="inlineStr">
        <is>
          <t>Catalonia</t>
        </is>
      </c>
      <c r="G1777" t="n">
        <v>4.8</v>
      </c>
      <c r="H1777" t="n">
        <v>13</v>
      </c>
      <c r="I1777" t="inlineStr">
        <is>
          <t>Q2-Target,Optimized,WFS,Coupon_Discount,WFS Item</t>
        </is>
      </c>
      <c r="J1777" s="29" t="n">
        <v>0</v>
      </c>
      <c r="K1777" s="30" t="n"/>
      <c r="L1777" s="29" t="n">
        <v>0</v>
      </c>
      <c r="M1777" s="29" t="n">
        <v>0</v>
      </c>
      <c r="N1777" s="2" t="n">
        <v>0</v>
      </c>
      <c r="O1777" s="31" t="n">
        <v>0</v>
      </c>
      <c r="P1777" s="32" t="n"/>
      <c r="Q1777" s="32" t="n">
        <v>0</v>
      </c>
      <c r="R1777" s="32" t="n">
        <v>0</v>
      </c>
      <c r="S1777" s="31" t="n">
        <v>0</v>
      </c>
      <c r="T1777" s="32" t="n">
        <v>0</v>
      </c>
      <c r="U1777" s="31" t="n">
        <v>0</v>
      </c>
      <c r="V1777" s="31" t="n">
        <v>0</v>
      </c>
      <c r="W1777" s="3" t="n">
        <v>0</v>
      </c>
      <c r="X1777" s="3" t="n">
        <v>0</v>
      </c>
      <c r="Y1777" s="32" t="n">
        <v>0</v>
      </c>
      <c r="Z1777" s="3" t="n">
        <v>0</v>
      </c>
      <c r="AA1777" s="32" t="n">
        <v>0</v>
      </c>
      <c r="AB1777" s="3" t="n"/>
      <c r="AC1777" s="31" t="n">
        <v>0</v>
      </c>
      <c r="AD1777" s="2" t="n">
        <v>0</v>
      </c>
      <c r="AE1777" s="2" t="n">
        <v>10</v>
      </c>
      <c r="AF1777" s="4" t="n">
        <v>10</v>
      </c>
      <c r="AG1777" s="33" t="n">
        <v>0</v>
      </c>
      <c r="AH1777" s="4" t="n">
        <v>0</v>
      </c>
      <c r="AI1777" s="34" t="n"/>
      <c r="AJ1777" s="34" t="n">
        <v>0</v>
      </c>
      <c r="AK1777" s="2" t="n">
        <v>0</v>
      </c>
      <c r="AL1777" t="inlineStr">
        <is>
          <t>Published</t>
        </is>
      </c>
    </row>
    <row r="1778">
      <c r="A1778">
        <f>HYPERLINK("https://www.walmart.com/ip/992966413", "992966413")</f>
        <v/>
      </c>
      <c r="B1778">
        <f>HYPERLINK("https://app.optiwise.ai/catalog/itemdetails/358758", "Catalonia Wearable Blanket, 100% Super Micro Plush Polyester, Unisex, Pink, 73 x 51")</f>
        <v/>
      </c>
      <c r="C1778" t="inlineStr">
        <is>
          <t>1CTSN100PK</t>
        </is>
      </c>
      <c r="D1778" t="inlineStr">
        <is>
          <t>Bedding</t>
        </is>
      </c>
      <c r="E1778" t="inlineStr">
        <is>
          <t>Throws</t>
        </is>
      </c>
      <c r="F1778" t="inlineStr">
        <is>
          <t>Catalonia</t>
        </is>
      </c>
      <c r="G1778" t="n">
        <v>4.1</v>
      </c>
      <c r="H1778" t="n">
        <v>40</v>
      </c>
      <c r="I1778" t="inlineStr">
        <is>
          <t>Optimized</t>
        </is>
      </c>
      <c r="J1778" s="29" t="n">
        <v>0</v>
      </c>
      <c r="K1778" s="30" t="n"/>
      <c r="L1778" s="29" t="n">
        <v>0</v>
      </c>
      <c r="M1778" s="29" t="n">
        <v>0</v>
      </c>
      <c r="N1778" s="2" t="n">
        <v>0</v>
      </c>
      <c r="O1778" s="31" t="n">
        <v>0</v>
      </c>
      <c r="P1778" s="32" t="n"/>
      <c r="Q1778" s="32" t="n">
        <v>0</v>
      </c>
      <c r="R1778" s="32" t="n">
        <v>0</v>
      </c>
      <c r="S1778" s="31" t="n">
        <v>0</v>
      </c>
      <c r="T1778" s="32" t="n">
        <v>0</v>
      </c>
      <c r="U1778" s="31" t="n">
        <v>0</v>
      </c>
      <c r="V1778" s="31" t="n">
        <v>0</v>
      </c>
      <c r="W1778" s="3" t="n">
        <v>0</v>
      </c>
      <c r="X1778" s="3" t="n">
        <v>0</v>
      </c>
      <c r="Y1778" s="32" t="n">
        <v>0</v>
      </c>
      <c r="Z1778" s="3" t="n">
        <v>0</v>
      </c>
      <c r="AA1778" s="32" t="n">
        <v>0</v>
      </c>
      <c r="AB1778" s="3" t="n"/>
      <c r="AC1778" s="31" t="n">
        <v>0</v>
      </c>
      <c r="AD1778" s="2" t="n">
        <v>8</v>
      </c>
      <c r="AE1778" s="2" t="n">
        <v>20</v>
      </c>
      <c r="AF1778" s="4" t="n">
        <v>20</v>
      </c>
      <c r="AG1778" s="33" t="n">
        <v>0</v>
      </c>
      <c r="AH1778" s="4" t="n">
        <v>0</v>
      </c>
      <c r="AI1778" s="34" t="n"/>
      <c r="AJ1778" s="34" t="n">
        <v>0</v>
      </c>
      <c r="AK1778" s="2" t="n">
        <v>0</v>
      </c>
      <c r="AL1778" t="inlineStr">
        <is>
          <t>Published</t>
        </is>
      </c>
    </row>
    <row r="1779">
      <c r="A1779">
        <f>HYPERLINK("https://www.walmart.com/ip/226335077", "226335077")</f>
        <v/>
      </c>
      <c r="B1779">
        <f>HYPERLINK("https://app.optiwise.ai/catalog/itemdetails/358756", "Flyingstar 3 Bottle Insulated Wine Carrier, Travel Wine Cooler Tote Bag, Black")</f>
        <v/>
      </c>
      <c r="C1779" t="inlineStr">
        <is>
          <t>1WMWB300BK</t>
        </is>
      </c>
      <c r="D1779" t="inlineStr">
        <is>
          <t>Home Decor, Kitchen, &amp; Other</t>
        </is>
      </c>
      <c r="E1779" t="inlineStr">
        <is>
          <t>Wine Totes, Bags &amp; Backpacks</t>
        </is>
      </c>
      <c r="F1779" t="inlineStr">
        <is>
          <t>Flyingstar</t>
        </is>
      </c>
      <c r="G1779" t="n">
        <v>0</v>
      </c>
      <c r="H1779" t="n">
        <v>0</v>
      </c>
      <c r="I1779" t="inlineStr">
        <is>
          <t>Christmas,Optimized,Valentine</t>
        </is>
      </c>
      <c r="J1779" s="29" t="n">
        <v>0</v>
      </c>
      <c r="K1779" s="30" t="n"/>
      <c r="L1779" s="29" t="n">
        <v>0</v>
      </c>
      <c r="M1779" s="29" t="n">
        <v>0</v>
      </c>
      <c r="N1779" s="2" t="n">
        <v>0</v>
      </c>
      <c r="O1779" s="31" t="n">
        <v>0</v>
      </c>
      <c r="P1779" s="32" t="n"/>
      <c r="Q1779" s="32" t="n">
        <v>0</v>
      </c>
      <c r="R1779" s="32" t="n">
        <v>0</v>
      </c>
      <c r="S1779" s="31" t="n">
        <v>0</v>
      </c>
      <c r="T1779" s="32" t="n">
        <v>0</v>
      </c>
      <c r="U1779" s="31" t="n">
        <v>0</v>
      </c>
      <c r="V1779" s="31" t="n">
        <v>0</v>
      </c>
      <c r="W1779" s="3" t="n">
        <v>0</v>
      </c>
      <c r="X1779" s="3" t="n">
        <v>0</v>
      </c>
      <c r="Y1779" s="32" t="n">
        <v>0</v>
      </c>
      <c r="Z1779" s="3" t="n">
        <v>0</v>
      </c>
      <c r="AA1779" s="32" t="n">
        <v>0</v>
      </c>
      <c r="AB1779" s="3" t="n"/>
      <c r="AC1779" s="31" t="n">
        <v>0</v>
      </c>
      <c r="AD1779" s="2" t="n">
        <v>0</v>
      </c>
      <c r="AE1779" s="2" t="n">
        <v>13</v>
      </c>
      <c r="AF1779" s="4" t="n">
        <v>13</v>
      </c>
      <c r="AG1779" s="33" t="n">
        <v>0</v>
      </c>
      <c r="AH1779" s="4" t="n">
        <v>0</v>
      </c>
      <c r="AI1779" s="34" t="n"/>
      <c r="AJ1779" s="34" t="n">
        <v>0</v>
      </c>
      <c r="AK1779" s="2" t="n">
        <v>0</v>
      </c>
      <c r="AL1779" t="inlineStr">
        <is>
          <t>Published</t>
        </is>
      </c>
    </row>
    <row r="1780">
      <c r="A1780">
        <f>HYPERLINK("https://www.walmart.com/ip/815170101", "815170101")</f>
        <v/>
      </c>
      <c r="B1780">
        <f>HYPERLINK("https://app.optiwise.ai/catalog/itemdetails/358745", "Kato 6 Bottle Insulated Portable Wine Tote Bag for Travel/Picnic/Party, Black")</f>
        <v/>
      </c>
      <c r="C1780" t="inlineStr">
        <is>
          <t>1KTWB600BK-CDGM</t>
        </is>
      </c>
      <c r="D1780" t="inlineStr">
        <is>
          <t>Home Decor, Kitchen, &amp; Other</t>
        </is>
      </c>
      <c r="E1780" t="inlineStr">
        <is>
          <t>Wine Totes, Bags &amp; Backpacks</t>
        </is>
      </c>
      <c r="F1780" t="inlineStr">
        <is>
          <t>Kato</t>
        </is>
      </c>
      <c r="G1780" t="n">
        <v>0</v>
      </c>
      <c r="H1780" t="n">
        <v>0</v>
      </c>
      <c r="J1780" s="29" t="n">
        <v>0</v>
      </c>
      <c r="K1780" s="30" t="n"/>
      <c r="L1780" s="29" t="n">
        <v>0</v>
      </c>
      <c r="M1780" s="29" t="n">
        <v>0</v>
      </c>
      <c r="N1780" s="2" t="n">
        <v>0</v>
      </c>
      <c r="O1780" s="31" t="n">
        <v>0</v>
      </c>
      <c r="P1780" s="32" t="n"/>
      <c r="Q1780" s="32" t="n">
        <v>0</v>
      </c>
      <c r="R1780" s="32" t="n">
        <v>0</v>
      </c>
      <c r="S1780" s="31" t="n">
        <v>0</v>
      </c>
      <c r="T1780" s="32" t="n">
        <v>0</v>
      </c>
      <c r="U1780" s="31" t="n">
        <v>0</v>
      </c>
      <c r="V1780" s="31" t="n">
        <v>0</v>
      </c>
      <c r="W1780" s="3" t="n">
        <v>0</v>
      </c>
      <c r="X1780" s="3" t="n">
        <v>0</v>
      </c>
      <c r="Y1780" s="32" t="n">
        <v>0</v>
      </c>
      <c r="Z1780" s="3" t="n">
        <v>0</v>
      </c>
      <c r="AA1780" s="32" t="n">
        <v>0</v>
      </c>
      <c r="AB1780" s="3" t="n"/>
      <c r="AC1780" s="31" t="n">
        <v>0</v>
      </c>
      <c r="AD1780" s="2" t="n">
        <v>0</v>
      </c>
      <c r="AE1780" s="2" t="n">
        <v>4</v>
      </c>
      <c r="AF1780" s="4" t="n">
        <v>4</v>
      </c>
      <c r="AG1780" s="33" t="n">
        <v>0</v>
      </c>
      <c r="AH1780" s="4" t="n">
        <v>0</v>
      </c>
      <c r="AI1780" s="34" t="n"/>
      <c r="AJ1780" s="34" t="n">
        <v>0</v>
      </c>
      <c r="AK1780" s="2" t="n">
        <v>0</v>
      </c>
      <c r="AL1780" t="inlineStr">
        <is>
          <t>Published</t>
        </is>
      </c>
    </row>
    <row r="1781">
      <c r="A1781">
        <f>HYPERLINK("https://www.walmart.com/ip/102441654", "102441654")</f>
        <v/>
      </c>
      <c r="B1781">
        <f>HYPERLINK("https://app.optiwise.ai/catalog/itemdetails/358744", "KC Caps Unisex Two-Tone Cotton Twill Adjustable Baseball Cap with Suede Bill, Black/Brown")</f>
        <v/>
      </c>
      <c r="C1781" t="inlineStr">
        <is>
          <t>KC-S6300-BK/BR</t>
        </is>
      </c>
      <c r="D1781" t="inlineStr">
        <is>
          <t>Clothing</t>
        </is>
      </c>
      <c r="E1781" t="inlineStr">
        <is>
          <t>Hats</t>
        </is>
      </c>
      <c r="F1781" t="inlineStr">
        <is>
          <t>KC Caps</t>
        </is>
      </c>
      <c r="G1781" t="n">
        <v>0</v>
      </c>
      <c r="H1781" t="n">
        <v>0</v>
      </c>
      <c r="I1781" t="inlineStr">
        <is>
          <t>Optimized</t>
        </is>
      </c>
      <c r="J1781" s="29" t="n">
        <v>0</v>
      </c>
      <c r="K1781" s="30" t="n"/>
      <c r="L1781" s="29" t="n">
        <v>0</v>
      </c>
      <c r="M1781" s="29" t="n">
        <v>0</v>
      </c>
      <c r="N1781" s="2" t="n">
        <v>0</v>
      </c>
      <c r="O1781" s="31" t="n">
        <v>0</v>
      </c>
      <c r="P1781" s="32" t="n"/>
      <c r="Q1781" s="32" t="n">
        <v>0</v>
      </c>
      <c r="R1781" s="32" t="n">
        <v>0</v>
      </c>
      <c r="S1781" s="31" t="n">
        <v>0</v>
      </c>
      <c r="T1781" s="32" t="n">
        <v>0</v>
      </c>
      <c r="U1781" s="31" t="n">
        <v>0</v>
      </c>
      <c r="V1781" s="31" t="n">
        <v>0</v>
      </c>
      <c r="W1781" s="3" t="n">
        <v>0</v>
      </c>
      <c r="X1781" s="3" t="n">
        <v>0</v>
      </c>
      <c r="Y1781" s="32" t="n">
        <v>0</v>
      </c>
      <c r="Z1781" s="3" t="n">
        <v>0</v>
      </c>
      <c r="AA1781" s="32" t="n">
        <v>0</v>
      </c>
      <c r="AB1781" s="3" t="n"/>
      <c r="AC1781" s="31" t="n">
        <v>0</v>
      </c>
      <c r="AD1781" s="2" t="n">
        <v>0</v>
      </c>
      <c r="AE1781" s="2" t="n">
        <v>5</v>
      </c>
      <c r="AF1781" s="4" t="n">
        <v>5</v>
      </c>
      <c r="AG1781" s="33" t="n">
        <v>0</v>
      </c>
      <c r="AH1781" s="4" t="n">
        <v>0</v>
      </c>
      <c r="AI1781" s="34" t="n"/>
      <c r="AJ1781" s="34" t="n">
        <v>0</v>
      </c>
      <c r="AK1781" s="2" t="n">
        <v>0</v>
      </c>
      <c r="AL1781" t="inlineStr">
        <is>
          <t>Published</t>
        </is>
      </c>
    </row>
    <row r="1782">
      <c r="A1782">
        <f>HYPERLINK("https://www.walmart.com/ip/336399157", "336399157")</f>
        <v/>
      </c>
      <c r="B1782">
        <f>HYPERLINK("https://app.optiwise.ai/catalog/itemdetails/358729", "Vina 5-Piece Rabbit Wine Bottle Opener Set with Bamboo Stand, Ideal Gift for Wine Lover")</f>
        <v/>
      </c>
      <c r="C1782" t="inlineStr">
        <is>
          <t>VINAWO010-SR</t>
        </is>
      </c>
      <c r="D1782" t="inlineStr">
        <is>
          <t>Home Decor, Kitchen, &amp; Other</t>
        </is>
      </c>
      <c r="E1782" t="inlineStr">
        <is>
          <t>Corkscrews &amp; Wine Bottle Openers</t>
        </is>
      </c>
      <c r="F1782" t="inlineStr">
        <is>
          <t>Vina</t>
        </is>
      </c>
      <c r="G1782" t="n">
        <v>2</v>
      </c>
      <c r="H1782" t="n">
        <v>9</v>
      </c>
      <c r="I1782" t="inlineStr">
        <is>
          <t>Wine,Optimized</t>
        </is>
      </c>
      <c r="J1782" s="29" t="n">
        <v>0</v>
      </c>
      <c r="K1782" s="30" t="n"/>
      <c r="L1782" s="29" t="n">
        <v>0</v>
      </c>
      <c r="M1782" s="29" t="n">
        <v>0</v>
      </c>
      <c r="N1782" s="2" t="n">
        <v>0</v>
      </c>
      <c r="O1782" s="31" t="n">
        <v>0</v>
      </c>
      <c r="P1782" s="32" t="n"/>
      <c r="Q1782" s="32" t="n">
        <v>0</v>
      </c>
      <c r="R1782" s="32" t="n">
        <v>0</v>
      </c>
      <c r="S1782" s="31" t="n">
        <v>0</v>
      </c>
      <c r="T1782" s="32" t="n">
        <v>0</v>
      </c>
      <c r="U1782" s="31" t="n">
        <v>0</v>
      </c>
      <c r="V1782" s="31" t="n">
        <v>0</v>
      </c>
      <c r="W1782" s="3" t="n">
        <v>0</v>
      </c>
      <c r="X1782" s="3" t="n">
        <v>0</v>
      </c>
      <c r="Y1782" s="32" t="n">
        <v>0</v>
      </c>
      <c r="Z1782" s="3" t="n">
        <v>0</v>
      </c>
      <c r="AA1782" s="32" t="n">
        <v>0</v>
      </c>
      <c r="AB1782" s="3" t="n"/>
      <c r="AC1782" s="31" t="n">
        <v>0</v>
      </c>
      <c r="AD1782" s="2" t="n">
        <v>0</v>
      </c>
      <c r="AE1782" s="2" t="n">
        <v>0</v>
      </c>
      <c r="AF1782" s="4" t="n">
        <v>0</v>
      </c>
      <c r="AG1782" s="33" t="n">
        <v>0</v>
      </c>
      <c r="AH1782" s="4" t="n">
        <v>0</v>
      </c>
      <c r="AI1782" s="34" t="n"/>
      <c r="AJ1782" s="34" t="n">
        <v>0</v>
      </c>
      <c r="AK1782" s="2" t="n">
        <v>0</v>
      </c>
      <c r="AL1782" t="inlineStr">
        <is>
          <t>Published</t>
        </is>
      </c>
    </row>
    <row r="1783">
      <c r="A1783">
        <f>HYPERLINK("https://www.walmart.com/ip/934428968", "934428968")</f>
        <v/>
      </c>
      <c r="B1783">
        <f>HYPERLINK("https://app.optiwise.ai/catalog/itemdetails/358725", "Solaris Women's Tankini Swimsuit, Two-Piece Swimwear Bikini Set, Summer Bathing Suits, Large, Black")</f>
        <v/>
      </c>
      <c r="C1783" t="inlineStr">
        <is>
          <t>1SLSS006BKBK-L</t>
        </is>
      </c>
      <c r="D1783" t="inlineStr">
        <is>
          <t>Clothing</t>
        </is>
      </c>
      <c r="E1783" t="inlineStr">
        <is>
          <t>Swimsuit Sets</t>
        </is>
      </c>
      <c r="F1783" t="inlineStr">
        <is>
          <t>Solaris</t>
        </is>
      </c>
      <c r="G1783" t="n">
        <v>0</v>
      </c>
      <c r="H1783" t="n">
        <v>0</v>
      </c>
      <c r="I1783" t="inlineStr">
        <is>
          <t>Optimized,WFS,Valentine,WFS Item</t>
        </is>
      </c>
      <c r="J1783" s="29" t="n">
        <v>0</v>
      </c>
      <c r="K1783" s="30" t="n"/>
      <c r="L1783" s="29" t="n">
        <v>0</v>
      </c>
      <c r="M1783" s="29" t="n">
        <v>0</v>
      </c>
      <c r="N1783" s="2" t="n">
        <v>0</v>
      </c>
      <c r="O1783" s="31" t="n">
        <v>0</v>
      </c>
      <c r="P1783" s="32" t="n"/>
      <c r="Q1783" s="32" t="n">
        <v>0</v>
      </c>
      <c r="R1783" s="32" t="n">
        <v>0</v>
      </c>
      <c r="S1783" s="31" t="n">
        <v>0</v>
      </c>
      <c r="T1783" s="32" t="n">
        <v>0</v>
      </c>
      <c r="U1783" s="31" t="n">
        <v>0</v>
      </c>
      <c r="V1783" s="31" t="n">
        <v>0</v>
      </c>
      <c r="W1783" s="3" t="n">
        <v>0</v>
      </c>
      <c r="X1783" s="3" t="n">
        <v>0</v>
      </c>
      <c r="Y1783" s="32" t="n">
        <v>0</v>
      </c>
      <c r="Z1783" s="3" t="n">
        <v>0</v>
      </c>
      <c r="AA1783" s="32" t="n">
        <v>0</v>
      </c>
      <c r="AB1783" s="3" t="n"/>
      <c r="AC1783" s="31" t="n">
        <v>0</v>
      </c>
      <c r="AD1783" s="2" t="n">
        <v>0</v>
      </c>
      <c r="AE1783" s="2" t="n">
        <v>0</v>
      </c>
      <c r="AF1783" s="4" t="n">
        <v>0</v>
      </c>
      <c r="AG1783" s="33" t="n">
        <v>0</v>
      </c>
      <c r="AH1783" s="4" t="n">
        <v>0</v>
      </c>
      <c r="AI1783" s="34" t="n"/>
      <c r="AJ1783" s="34" t="n">
        <v>0</v>
      </c>
      <c r="AK1783" s="2" t="n">
        <v>0</v>
      </c>
      <c r="AL1783" t="inlineStr">
        <is>
          <t>Published</t>
        </is>
      </c>
    </row>
    <row r="1784">
      <c r="A1784">
        <f>HYPERLINK("https://www.walmart.com/ip/186948574", "186948574")</f>
        <v/>
      </c>
      <c r="B1784">
        <f>HYPERLINK("https://app.optiwise.ai/catalog/itemdetails/359031", "Catalonia Sherpa Throws Blanket, Super Soft Comfy Fluffy Fuzzy Fleece Plush Blanket for Sofa Couch Bed Reversible All Season for Adults Children 50”x60”, Dark Blue")</f>
        <v/>
      </c>
      <c r="C1784" t="inlineStr">
        <is>
          <t>1CTBF320DBL</t>
        </is>
      </c>
      <c r="D1784" t="inlineStr">
        <is>
          <t>Bedding</t>
        </is>
      </c>
      <c r="E1784" t="inlineStr">
        <is>
          <t>Throws</t>
        </is>
      </c>
      <c r="F1784" t="inlineStr">
        <is>
          <t>Catalonia</t>
        </is>
      </c>
      <c r="G1784" t="n">
        <v>0</v>
      </c>
      <c r="H1784" t="n">
        <v>0</v>
      </c>
      <c r="I1784" t="inlineStr">
        <is>
          <t>Q2-Target,Optimized,WFS,Coupon_Discount,WFS Item</t>
        </is>
      </c>
      <c r="J1784" s="29" t="n">
        <v>0</v>
      </c>
      <c r="K1784" s="30" t="n"/>
      <c r="L1784" s="29" t="n">
        <v>20.98999977111816</v>
      </c>
      <c r="M1784" s="29" t="n">
        <v>0</v>
      </c>
      <c r="N1784" s="2" t="n">
        <v>0</v>
      </c>
      <c r="O1784" s="31" t="n">
        <v>0</v>
      </c>
      <c r="P1784" s="32" t="n"/>
      <c r="Q1784" s="32" t="n">
        <v>0</v>
      </c>
      <c r="R1784" s="32" t="n">
        <v>0</v>
      </c>
      <c r="S1784" s="31" t="n">
        <v>0</v>
      </c>
      <c r="T1784" s="32" t="n">
        <v>0</v>
      </c>
      <c r="U1784" s="31" t="n">
        <v>0</v>
      </c>
      <c r="V1784" s="31" t="n">
        <v>0</v>
      </c>
      <c r="W1784" s="3" t="n">
        <v>0</v>
      </c>
      <c r="X1784" s="3" t="n">
        <v>0</v>
      </c>
      <c r="Y1784" s="32" t="n">
        <v>0</v>
      </c>
      <c r="Z1784" s="3" t="n">
        <v>0</v>
      </c>
      <c r="AA1784" s="32" t="n">
        <v>0</v>
      </c>
      <c r="AB1784" s="3" t="n"/>
      <c r="AC1784" s="31" t="n">
        <v>0</v>
      </c>
      <c r="AD1784" s="2" t="n">
        <v>0</v>
      </c>
      <c r="AE1784" s="2" t="n">
        <v>20</v>
      </c>
      <c r="AF1784" s="4" t="n">
        <v>20</v>
      </c>
      <c r="AG1784" s="33" t="n">
        <v>0</v>
      </c>
      <c r="AH1784" s="4" t="n">
        <v>0</v>
      </c>
      <c r="AI1784" s="34" t="n"/>
      <c r="AJ1784" s="34" t="n">
        <v>0</v>
      </c>
      <c r="AK1784" s="2" t="n">
        <v>0</v>
      </c>
      <c r="AL1784" t="inlineStr">
        <is>
          <t>Published</t>
        </is>
      </c>
    </row>
    <row r="1785">
      <c r="A1785">
        <f>HYPERLINK("https://www.walmart.com/ip/328113538", "328113538")</f>
        <v/>
      </c>
      <c r="B1785">
        <f>HYPERLINK("https://app.optiwise.ai/catalog/itemdetails/359034", "Catalonia Wearable TV Blanket with Sleeves Arms Warm Micro Plush Sherpa Fleece for Adult Large Wrap Throw Robe 72 x 55”")</f>
        <v/>
      </c>
      <c r="C1785" t="inlineStr">
        <is>
          <t>1CTSN110GY</t>
        </is>
      </c>
      <c r="D1785" t="inlineStr">
        <is>
          <t>Bedding</t>
        </is>
      </c>
      <c r="E1785" t="inlineStr">
        <is>
          <t>Throws</t>
        </is>
      </c>
      <c r="F1785" t="inlineStr">
        <is>
          <t>Catalonia</t>
        </is>
      </c>
      <c r="G1785" t="n">
        <v>3.8</v>
      </c>
      <c r="H1785" t="n">
        <v>8</v>
      </c>
      <c r="I1785" t="inlineStr">
        <is>
          <t>Optimized,WFS,WFS Item</t>
        </is>
      </c>
      <c r="J1785" s="29" t="n">
        <v>0</v>
      </c>
      <c r="K1785" s="30" t="n"/>
      <c r="L1785" s="29" t="n">
        <v>0</v>
      </c>
      <c r="M1785" s="29" t="n">
        <v>0</v>
      </c>
      <c r="N1785" s="2" t="n">
        <v>0</v>
      </c>
      <c r="O1785" s="31" t="n">
        <v>0</v>
      </c>
      <c r="P1785" s="32" t="n"/>
      <c r="Q1785" s="32" t="n">
        <v>0</v>
      </c>
      <c r="R1785" s="32" t="n">
        <v>0</v>
      </c>
      <c r="S1785" s="31" t="n">
        <v>0</v>
      </c>
      <c r="T1785" s="32" t="n">
        <v>0</v>
      </c>
      <c r="U1785" s="31" t="n">
        <v>0</v>
      </c>
      <c r="V1785" s="31" t="n">
        <v>0</v>
      </c>
      <c r="W1785" s="3" t="n">
        <v>0</v>
      </c>
      <c r="X1785" s="3" t="n">
        <v>0</v>
      </c>
      <c r="Y1785" s="32" t="n">
        <v>0</v>
      </c>
      <c r="Z1785" s="3" t="n">
        <v>0</v>
      </c>
      <c r="AA1785" s="32" t="n">
        <v>0</v>
      </c>
      <c r="AB1785" s="3" t="n"/>
      <c r="AC1785" s="31" t="n">
        <v>0</v>
      </c>
      <c r="AD1785" s="2" t="n">
        <v>0</v>
      </c>
      <c r="AE1785" s="2" t="n">
        <v>34</v>
      </c>
      <c r="AF1785" s="4" t="n">
        <v>34</v>
      </c>
      <c r="AG1785" s="33" t="n">
        <v>0</v>
      </c>
      <c r="AH1785" s="4" t="n">
        <v>0</v>
      </c>
      <c r="AI1785" s="34" t="n"/>
      <c r="AJ1785" s="34" t="n">
        <v>0</v>
      </c>
      <c r="AK1785" s="2" t="n">
        <v>0</v>
      </c>
      <c r="AL1785" t="inlineStr">
        <is>
          <t>Published</t>
        </is>
      </c>
    </row>
    <row r="1786">
      <c r="A1786">
        <f>HYPERLINK("https://www.walmart.com/ip/372816254", "372816254")</f>
        <v/>
      </c>
      <c r="B1786">
        <f>HYPERLINK("https://app.optiwise.ai/catalog/itemdetails/359144", "Catalonia Red Buffalo Plaid Sherpa Throw Blanket, Reversible Super Soft Warm Comfy Fuzzy Snuggle Micro Fleece Plush Throws for Bed Couch Sofa TV, 60x50 Inches")</f>
        <v/>
      </c>
      <c r="C1786" t="inlineStr">
        <is>
          <t>1CTBF561PRD</t>
        </is>
      </c>
      <c r="D1786" t="inlineStr">
        <is>
          <t>Bedding</t>
        </is>
      </c>
      <c r="E1786" t="inlineStr">
        <is>
          <t>Throws</t>
        </is>
      </c>
      <c r="F1786" t="inlineStr">
        <is>
          <t>Catalonia</t>
        </is>
      </c>
      <c r="G1786" t="n">
        <v>4.7</v>
      </c>
      <c r="H1786" t="n">
        <v>16</v>
      </c>
      <c r="I1786" t="inlineStr">
        <is>
          <t>WFS,Coupon_Discount,WFS Item</t>
        </is>
      </c>
      <c r="J1786" s="29" t="n">
        <v>0</v>
      </c>
      <c r="K1786" s="30" t="n"/>
      <c r="L1786" s="29" t="n">
        <v>0</v>
      </c>
      <c r="M1786" s="29" t="n">
        <v>0</v>
      </c>
      <c r="N1786" s="2" t="n">
        <v>0</v>
      </c>
      <c r="O1786" s="31" t="n">
        <v>0</v>
      </c>
      <c r="P1786" s="32" t="n"/>
      <c r="Q1786" s="32" t="n">
        <v>0</v>
      </c>
      <c r="R1786" s="32" t="n">
        <v>0.2238</v>
      </c>
      <c r="S1786" s="31" t="n">
        <v>0</v>
      </c>
      <c r="T1786" s="32" t="n">
        <v>0</v>
      </c>
      <c r="U1786" s="31" t="n">
        <v>0</v>
      </c>
      <c r="V1786" s="31" t="n">
        <v>0</v>
      </c>
      <c r="W1786" s="3" t="n">
        <v>0</v>
      </c>
      <c r="X1786" s="3" t="n">
        <v>0</v>
      </c>
      <c r="Y1786" s="32" t="n">
        <v>0</v>
      </c>
      <c r="Z1786" s="3" t="n">
        <v>0</v>
      </c>
      <c r="AA1786" s="32" t="n">
        <v>0</v>
      </c>
      <c r="AB1786" s="3" t="n"/>
      <c r="AC1786" s="31" t="n">
        <v>0</v>
      </c>
      <c r="AD1786" s="2" t="n">
        <v>0</v>
      </c>
      <c r="AE1786" s="2" t="n">
        <v>22</v>
      </c>
      <c r="AF1786" s="4" t="n">
        <v>22</v>
      </c>
      <c r="AG1786" s="33" t="n">
        <v>0</v>
      </c>
      <c r="AH1786" s="4" t="n">
        <v>0</v>
      </c>
      <c r="AI1786" s="34" t="n"/>
      <c r="AJ1786" s="34" t="n">
        <v>0</v>
      </c>
      <c r="AK1786" s="2" t="n">
        <v>0</v>
      </c>
      <c r="AL1786" t="inlineStr">
        <is>
          <t>Published</t>
        </is>
      </c>
    </row>
    <row r="1787">
      <c r="A1787">
        <f>HYPERLINK("https://www.walmart.com/ip/569808871", "569808871")</f>
        <v/>
      </c>
      <c r="B1787">
        <f>HYPERLINK("https://app.optiwise.ai/catalog/itemdetails/359109", "Pawsse Microfleece Snuggle Pet Blanket, Plush Sherpa Cat Blanket, Dog Throw Blanket Cushion Mat for Small Animals, Large Size, Brown, 60'' x 49''")</f>
        <v/>
      </c>
      <c r="C1787" t="inlineStr">
        <is>
          <t>1PSBF560BRLT</t>
        </is>
      </c>
      <c r="D1787" t="inlineStr">
        <is>
          <t>Animal Accessories</t>
        </is>
      </c>
      <c r="E1787" t="inlineStr">
        <is>
          <t>Pet Blankets</t>
        </is>
      </c>
      <c r="F1787" t="inlineStr">
        <is>
          <t>Pawsse</t>
        </is>
      </c>
      <c r="G1787" t="n">
        <v>5</v>
      </c>
      <c r="H1787" t="n">
        <v>5</v>
      </c>
      <c r="I1787" t="inlineStr">
        <is>
          <t>WFS,WFS Item</t>
        </is>
      </c>
      <c r="J1787" s="29" t="n">
        <v>0</v>
      </c>
      <c r="K1787" s="30" t="n"/>
      <c r="L1787" s="29" t="n">
        <v>0</v>
      </c>
      <c r="M1787" s="29" t="n">
        <v>0</v>
      </c>
      <c r="N1787" s="2" t="n">
        <v>0</v>
      </c>
      <c r="O1787" s="31" t="n">
        <v>0</v>
      </c>
      <c r="P1787" s="32" t="n"/>
      <c r="Q1787" s="32" t="n">
        <v>0</v>
      </c>
      <c r="R1787" s="32" t="n">
        <v>0</v>
      </c>
      <c r="S1787" s="31" t="n">
        <v>0</v>
      </c>
      <c r="T1787" s="32" t="n">
        <v>0</v>
      </c>
      <c r="U1787" s="31" t="n">
        <v>0</v>
      </c>
      <c r="V1787" s="31" t="n">
        <v>0</v>
      </c>
      <c r="W1787" s="3" t="n">
        <v>0</v>
      </c>
      <c r="X1787" s="3" t="n">
        <v>0</v>
      </c>
      <c r="Y1787" s="32" t="n">
        <v>0</v>
      </c>
      <c r="Z1787" s="3" t="n">
        <v>0</v>
      </c>
      <c r="AA1787" s="32" t="n">
        <v>0</v>
      </c>
      <c r="AB1787" s="3" t="n"/>
      <c r="AC1787" s="31" t="n">
        <v>0</v>
      </c>
      <c r="AD1787" s="2" t="n">
        <v>0</v>
      </c>
      <c r="AE1787" s="2" t="n">
        <v>27</v>
      </c>
      <c r="AF1787" s="4" t="n">
        <v>27</v>
      </c>
      <c r="AG1787" s="33" t="n">
        <v>0</v>
      </c>
      <c r="AH1787" s="4" t="n">
        <v>0</v>
      </c>
      <c r="AI1787" s="34" t="n"/>
      <c r="AJ1787" s="34" t="n">
        <v>0</v>
      </c>
      <c r="AK1787" s="2" t="n">
        <v>0</v>
      </c>
      <c r="AL1787" t="inlineStr">
        <is>
          <t>Published</t>
        </is>
      </c>
    </row>
    <row r="1788">
      <c r="A1788">
        <f>HYPERLINK("https://www.walmart.com/ip/292117288", "292117288")</f>
        <v/>
      </c>
      <c r="B1788">
        <f>HYPERLINK("https://app.optiwise.ai/catalog/itemdetails/359143", "Catalonia Red Plaid Sherpa Throw Blanket, Reversible Super Soft Warm Comfy Fuzzy Snuggle Micro Fleece Plush Throws for Bedding Couch TV 60x50 Buffalo Checkered")</f>
        <v/>
      </c>
      <c r="C1788" t="inlineStr">
        <is>
          <t>1CTBF564PRD</t>
        </is>
      </c>
      <c r="D1788" t="inlineStr">
        <is>
          <t>Bedding</t>
        </is>
      </c>
      <c r="E1788" t="inlineStr">
        <is>
          <t>Throws</t>
        </is>
      </c>
      <c r="F1788" t="inlineStr">
        <is>
          <t>Catalonia</t>
        </is>
      </c>
      <c r="G1788" t="n">
        <v>4</v>
      </c>
      <c r="H1788" t="n">
        <v>3</v>
      </c>
      <c r="I1788" t="inlineStr">
        <is>
          <t>Q2-Target,WFS,Coupon_Discount,WFS Item</t>
        </is>
      </c>
      <c r="J1788" s="29" t="n">
        <v>0</v>
      </c>
      <c r="K1788" s="30" t="n"/>
      <c r="L1788" s="29" t="n">
        <v>0</v>
      </c>
      <c r="M1788" s="29" t="n">
        <v>0</v>
      </c>
      <c r="N1788" s="2" t="n">
        <v>0</v>
      </c>
      <c r="O1788" s="31" t="n">
        <v>0</v>
      </c>
      <c r="P1788" s="32" t="n"/>
      <c r="Q1788" s="32" t="n">
        <v>0</v>
      </c>
      <c r="R1788" s="32" t="n">
        <v>0.1261</v>
      </c>
      <c r="S1788" s="31" t="n">
        <v>0</v>
      </c>
      <c r="T1788" s="32" t="n">
        <v>0</v>
      </c>
      <c r="U1788" s="31" t="n">
        <v>0</v>
      </c>
      <c r="V1788" s="31" t="n">
        <v>0</v>
      </c>
      <c r="W1788" s="3" t="n">
        <v>1</v>
      </c>
      <c r="X1788" s="3" t="n">
        <v>0</v>
      </c>
      <c r="Y1788" s="32" t="n">
        <v>0</v>
      </c>
      <c r="Z1788" s="3" t="n">
        <v>0</v>
      </c>
      <c r="AA1788" s="32" t="n">
        <v>0</v>
      </c>
      <c r="AB1788" s="3" t="inlineStr">
        <is>
          <t>Christmas Products_Optiwise</t>
        </is>
      </c>
      <c r="AC1788" s="31" t="n">
        <v>0</v>
      </c>
      <c r="AD1788" s="2" t="n">
        <v>0</v>
      </c>
      <c r="AE1788" s="2" t="n">
        <v>18</v>
      </c>
      <c r="AF1788" s="4" t="n">
        <v>18</v>
      </c>
      <c r="AG1788" s="33" t="n">
        <v>0</v>
      </c>
      <c r="AH1788" s="4" t="n">
        <v>0</v>
      </c>
      <c r="AI1788" s="34" t="n"/>
      <c r="AJ1788" s="34" t="n">
        <v>0</v>
      </c>
      <c r="AK1788" s="2" t="n">
        <v>0</v>
      </c>
      <c r="AL1788" t="inlineStr">
        <is>
          <t>Published</t>
        </is>
      </c>
    </row>
    <row r="1789">
      <c r="A1789">
        <f>HYPERLINK("https://www.walmart.com/ip/814050622", "814050622")</f>
        <v/>
      </c>
      <c r="B1789">
        <f>HYPERLINK("https://app.optiwise.ai/catalog/itemdetails/359142", "&lt;span style=color: #46474a; font-family: BogleWeb, Helvetica Neue, Helvetica, Arial, sans-serif;&gt;&lt;span style=background-color: #ffffff;&gt;Catalonia &lt;/span&gt;&lt;/span&gt;Plaid Sherpa Throw Blanket 50 x 60, for Couch and Bed, Super Soft Comfort Caring Gift")</f>
        <v/>
      </c>
      <c r="C1789" t="inlineStr">
        <is>
          <t>1CTBF565PGY</t>
        </is>
      </c>
      <c r="D1789" t="inlineStr">
        <is>
          <t>Bedding</t>
        </is>
      </c>
      <c r="E1789" t="inlineStr">
        <is>
          <t>Throws</t>
        </is>
      </c>
      <c r="F1789" t="inlineStr">
        <is>
          <t>Catalonia</t>
        </is>
      </c>
      <c r="G1789" t="n">
        <v>4.5</v>
      </c>
      <c r="H1789" t="n">
        <v>4</v>
      </c>
      <c r="I1789" t="inlineStr">
        <is>
          <t>Optimized,WFS,WFS Item</t>
        </is>
      </c>
      <c r="J1789" s="29" t="n">
        <v>0</v>
      </c>
      <c r="K1789" s="30" t="n"/>
      <c r="L1789" s="29" t="n">
        <v>0</v>
      </c>
      <c r="M1789" s="29" t="n">
        <v>0</v>
      </c>
      <c r="N1789" s="2" t="n">
        <v>0</v>
      </c>
      <c r="O1789" s="31" t="n">
        <v>0</v>
      </c>
      <c r="P1789" s="32" t="n"/>
      <c r="Q1789" s="32" t="n">
        <v>0</v>
      </c>
      <c r="R1789" s="32" t="n">
        <v>0</v>
      </c>
      <c r="S1789" s="31" t="n">
        <v>0</v>
      </c>
      <c r="T1789" s="32" t="n">
        <v>0</v>
      </c>
      <c r="U1789" s="31" t="n">
        <v>0</v>
      </c>
      <c r="V1789" s="31" t="n">
        <v>0</v>
      </c>
      <c r="W1789" s="3" t="n">
        <v>0</v>
      </c>
      <c r="X1789" s="3" t="n">
        <v>0</v>
      </c>
      <c r="Y1789" s="32" t="n">
        <v>0</v>
      </c>
      <c r="Z1789" s="3" t="n">
        <v>0</v>
      </c>
      <c r="AA1789" s="32" t="n">
        <v>0</v>
      </c>
      <c r="AB1789" s="3" t="n"/>
      <c r="AC1789" s="31" t="n">
        <v>0</v>
      </c>
      <c r="AD1789" s="2" t="n">
        <v>0</v>
      </c>
      <c r="AE1789" s="2" t="n">
        <v>17</v>
      </c>
      <c r="AF1789" s="4" t="n">
        <v>17</v>
      </c>
      <c r="AG1789" s="33" t="n">
        <v>0</v>
      </c>
      <c r="AH1789" s="4" t="n">
        <v>0</v>
      </c>
      <c r="AI1789" s="34" t="n"/>
      <c r="AJ1789" s="34" t="n">
        <v>0</v>
      </c>
      <c r="AK1789" s="2" t="n">
        <v>0</v>
      </c>
      <c r="AL1789" t="inlineStr">
        <is>
          <t>Published</t>
        </is>
      </c>
    </row>
    <row r="1790">
      <c r="A1790">
        <f>HYPERLINK("https://www.walmart.com/ip/969996874", "969996874")</f>
        <v/>
      </c>
      <c r="B1790">
        <f>HYPERLINK("https://app.optiwise.ai/catalog/itemdetails/359141", "Sherpa Throw Blanket, Super Soft Fleece Plush Sofa Couch Blanket, TV Bed Blanket, Comfy Cozy Fluffy Warm, Christmas Theme Throws, Holiday Gift, Red, 50 X 60.")</f>
        <v/>
      </c>
      <c r="C1790" t="inlineStr">
        <is>
          <t>1CTBF570RDBK</t>
        </is>
      </c>
      <c r="D1790" t="inlineStr">
        <is>
          <t>Bedding</t>
        </is>
      </c>
      <c r="E1790" t="inlineStr">
        <is>
          <t>Throws</t>
        </is>
      </c>
      <c r="F1790" t="inlineStr">
        <is>
          <t>Catalonia</t>
        </is>
      </c>
      <c r="G1790" t="n">
        <v>4.8</v>
      </c>
      <c r="H1790" t="n">
        <v>15</v>
      </c>
      <c r="I1790" t="inlineStr">
        <is>
          <t>Q2-Target,WFS,Coupon_Discount,WFS Item</t>
        </is>
      </c>
      <c r="J1790" s="29" t="n">
        <v>0</v>
      </c>
      <c r="K1790" s="30" t="n"/>
      <c r="L1790" s="29" t="n">
        <v>0</v>
      </c>
      <c r="M1790" s="29" t="n">
        <v>0</v>
      </c>
      <c r="N1790" s="2" t="n">
        <v>0</v>
      </c>
      <c r="O1790" s="31" t="n">
        <v>0</v>
      </c>
      <c r="P1790" s="32" t="n"/>
      <c r="Q1790" s="32" t="n">
        <v>0</v>
      </c>
      <c r="R1790" s="32" t="n">
        <v>0.1913</v>
      </c>
      <c r="S1790" s="31" t="n">
        <v>0</v>
      </c>
      <c r="T1790" s="32" t="n">
        <v>0</v>
      </c>
      <c r="U1790" s="31" t="n">
        <v>0</v>
      </c>
      <c r="V1790" s="31" t="n">
        <v>0</v>
      </c>
      <c r="W1790" s="3" t="n">
        <v>0</v>
      </c>
      <c r="X1790" s="3" t="n">
        <v>0</v>
      </c>
      <c r="Y1790" s="32" t="n">
        <v>0</v>
      </c>
      <c r="Z1790" s="3" t="n">
        <v>0</v>
      </c>
      <c r="AA1790" s="32" t="n">
        <v>0</v>
      </c>
      <c r="AB1790" s="3" t="n"/>
      <c r="AC1790" s="31" t="n">
        <v>0</v>
      </c>
      <c r="AD1790" s="2" t="n">
        <v>0</v>
      </c>
      <c r="AE1790" s="2" t="n">
        <v>1</v>
      </c>
      <c r="AF1790" s="4" t="n">
        <v>1</v>
      </c>
      <c r="AG1790" s="33" t="n">
        <v>0</v>
      </c>
      <c r="AH1790" s="4" t="n">
        <v>0</v>
      </c>
      <c r="AI1790" s="34" t="n"/>
      <c r="AJ1790" s="34" t="n">
        <v>0</v>
      </c>
      <c r="AK1790" s="2" t="n">
        <v>0</v>
      </c>
      <c r="AL1790" t="inlineStr">
        <is>
          <t>Published</t>
        </is>
      </c>
    </row>
    <row r="1791">
      <c r="A1791">
        <f>HYPERLINK("https://www.walmart.com/ip/460351771", "460351771")</f>
        <v/>
      </c>
      <c r="B1791">
        <f>HYPERLINK("https://app.optiwise.ai/catalog/itemdetails/359139", "Women's Sherpa Bathrobe, Soft Warm Fleece Long Robe, Shawl Collar, Comfy, Full Length")</f>
        <v/>
      </c>
      <c r="C1791" t="inlineStr">
        <is>
          <t>1CTRB510WN-01</t>
        </is>
      </c>
      <c r="D1791" t="inlineStr">
        <is>
          <t>Clothing</t>
        </is>
      </c>
      <c r="E1791" t="inlineStr">
        <is>
          <t>Sleepwear Robes &amp; Bathrobes</t>
        </is>
      </c>
      <c r="F1791" t="inlineStr">
        <is>
          <t>Catalonia</t>
        </is>
      </c>
      <c r="G1791" t="n">
        <v>0</v>
      </c>
      <c r="H1791" t="n">
        <v>0</v>
      </c>
      <c r="I1791" t="inlineStr">
        <is>
          <t>Optimized,Bathrobe,WFS Item</t>
        </is>
      </c>
      <c r="J1791" s="29" t="n">
        <v>0</v>
      </c>
      <c r="K1791" s="30" t="n"/>
      <c r="L1791" s="29" t="n">
        <v>0</v>
      </c>
      <c r="M1791" s="29" t="n">
        <v>0</v>
      </c>
      <c r="N1791" s="2" t="n">
        <v>0</v>
      </c>
      <c r="O1791" s="31" t="n">
        <v>0</v>
      </c>
      <c r="P1791" s="32" t="n"/>
      <c r="Q1791" s="32" t="n">
        <v>0</v>
      </c>
      <c r="R1791" s="32" t="n">
        <v>0</v>
      </c>
      <c r="S1791" s="31" t="n">
        <v>0</v>
      </c>
      <c r="T1791" s="32" t="n">
        <v>0</v>
      </c>
      <c r="U1791" s="31" t="n">
        <v>0</v>
      </c>
      <c r="V1791" s="31" t="n">
        <v>0</v>
      </c>
      <c r="W1791" s="3" t="n">
        <v>0</v>
      </c>
      <c r="X1791" s="3" t="n">
        <v>0</v>
      </c>
      <c r="Y1791" s="32" t="n">
        <v>0</v>
      </c>
      <c r="Z1791" s="3" t="n">
        <v>0</v>
      </c>
      <c r="AA1791" s="32" t="n">
        <v>0</v>
      </c>
      <c r="AB1791" s="3" t="n"/>
      <c r="AC1791" s="31" t="n">
        <v>0</v>
      </c>
      <c r="AD1791" s="2" t="n">
        <v>0</v>
      </c>
      <c r="AE1791" s="2" t="n">
        <v>0</v>
      </c>
      <c r="AF1791" s="4" t="n">
        <v>0</v>
      </c>
      <c r="AG1791" s="33" t="n">
        <v>0</v>
      </c>
      <c r="AH1791" s="4" t="n">
        <v>0</v>
      </c>
      <c r="AI1791" s="34" t="n"/>
      <c r="AJ1791" s="34" t="n">
        <v>0</v>
      </c>
      <c r="AK1791" s="2" t="n">
        <v>0</v>
      </c>
      <c r="AL1791" t="inlineStr">
        <is>
          <t>Published</t>
        </is>
      </c>
    </row>
    <row r="1792">
      <c r="A1792">
        <f>HYPERLINK("https://www.walmart.com/ip/160338746", "160338746")</f>
        <v/>
      </c>
      <c r="B1792">
        <f>HYPERLINK("https://app.optiwise.ai/catalog/itemdetails/359137", "Tirrinia 6 Bottle Wine Cooler Bag - Insulated Padded Portable Versatile Wine Carrier Tote Bag for Travel, BYOB Restaurant, Wine Tasting, Party, Pecfect Gift for Wine Lover, Blue Stripe")</f>
        <v/>
      </c>
      <c r="C1792" t="inlineStr">
        <is>
          <t>1TRWB602STR</t>
        </is>
      </c>
      <c r="D1792" t="inlineStr">
        <is>
          <t>Home Decor, Kitchen, &amp; Other</t>
        </is>
      </c>
      <c r="E1792" t="inlineStr">
        <is>
          <t>Wine Totes, Bags &amp; Backpacks</t>
        </is>
      </c>
      <c r="F1792" t="inlineStr">
        <is>
          <t>Tirrinia</t>
        </is>
      </c>
      <c r="G1792" t="n">
        <v>3</v>
      </c>
      <c r="H1792" t="n">
        <v>1</v>
      </c>
      <c r="I1792" t="inlineStr">
        <is>
          <t>Wine,Christmas,WFS,Wine WFS,Valentine,SEM,WFS Item,Lily Brand Camp</t>
        </is>
      </c>
      <c r="J1792" s="29" t="n">
        <v>0</v>
      </c>
      <c r="K1792" s="30" t="n"/>
      <c r="L1792" s="29" t="n">
        <v>0</v>
      </c>
      <c r="M1792" s="29" t="n">
        <v>0</v>
      </c>
      <c r="N1792" s="2" t="n">
        <v>0</v>
      </c>
      <c r="O1792" s="31" t="n">
        <v>0.34</v>
      </c>
      <c r="P1792" s="32" t="n"/>
      <c r="Q1792" s="32" t="n">
        <v>0</v>
      </c>
      <c r="R1792" s="32" t="n">
        <v>0.1551</v>
      </c>
      <c r="S1792" s="31" t="n">
        <v>0</v>
      </c>
      <c r="T1792" s="32" t="n">
        <v>0</v>
      </c>
      <c r="U1792" s="31" t="n">
        <v>0</v>
      </c>
      <c r="V1792" s="31" t="n">
        <v>0</v>
      </c>
      <c r="W1792" s="3" t="n">
        <v>3321</v>
      </c>
      <c r="X1792" s="3" t="n">
        <v>1</v>
      </c>
      <c r="Y1792" s="32" t="n">
        <v>0.0003</v>
      </c>
      <c r="Z1792" s="3" t="n">
        <v>0</v>
      </c>
      <c r="AA1792" s="32" t="n">
        <v>0</v>
      </c>
      <c r="AB1792" s="3" t="inlineStr">
        <is>
          <t>Auto Campaign_Vinay</t>
        </is>
      </c>
      <c r="AC1792" s="31" t="n">
        <v>0.34</v>
      </c>
      <c r="AD1792" s="2" t="n">
        <v>0</v>
      </c>
      <c r="AE1792" s="2" t="n">
        <v>27</v>
      </c>
      <c r="AF1792" s="4" t="n">
        <v>26</v>
      </c>
      <c r="AG1792" s="33" t="n">
        <v>0</v>
      </c>
      <c r="AH1792" s="4" t="n">
        <v>0</v>
      </c>
      <c r="AI1792" s="34" t="n"/>
      <c r="AJ1792" s="34" t="n">
        <v>0</v>
      </c>
      <c r="AK1792" s="2" t="n">
        <v>0</v>
      </c>
      <c r="AL1792" t="inlineStr">
        <is>
          <t>Published</t>
        </is>
      </c>
    </row>
    <row r="1793">
      <c r="A1793">
        <f>HYPERLINK("https://www.walmart.com/ip/540052747", "540052747")</f>
        <v/>
      </c>
      <c r="B1793">
        <f>HYPERLINK("https://app.optiwise.ai/catalog/itemdetails/359134", "Tirrinia Single Wine Cooler Bags - Insulated &amp; Padded Portable Wine Tote Carrier for Travel, BYOB Restaurant, Wine Tasting, Party, Great Christmas Gift for Wine Lover, Wine Stripe")</f>
        <v/>
      </c>
      <c r="C1793" t="inlineStr">
        <is>
          <t>1TRWB101WNSTR</t>
        </is>
      </c>
      <c r="D1793" t="inlineStr">
        <is>
          <t>Home Decor, Kitchen, &amp; Other</t>
        </is>
      </c>
      <c r="E1793" t="inlineStr">
        <is>
          <t>Wine Totes, Bags &amp; Backpacks</t>
        </is>
      </c>
      <c r="F1793" t="inlineStr">
        <is>
          <t>Tirrinia</t>
        </is>
      </c>
      <c r="G1793" t="n">
        <v>0</v>
      </c>
      <c r="H1793" t="n">
        <v>0</v>
      </c>
      <c r="I1793" t="inlineStr">
        <is>
          <t>Wine,Christmas,WFS,Wine WFS,Valentine,SEM,WFS Item</t>
        </is>
      </c>
      <c r="J1793" s="29" t="n">
        <v>0</v>
      </c>
      <c r="K1793" s="30" t="n"/>
      <c r="L1793" s="29" t="n">
        <v>0</v>
      </c>
      <c r="M1793" s="29" t="n">
        <v>0</v>
      </c>
      <c r="N1793" s="2" t="n">
        <v>0</v>
      </c>
      <c r="O1793" s="31" t="n">
        <v>0</v>
      </c>
      <c r="P1793" s="32" t="n"/>
      <c r="Q1793" s="32" t="n">
        <v>0</v>
      </c>
      <c r="R1793" s="32" t="n">
        <v>0</v>
      </c>
      <c r="S1793" s="31" t="n">
        <v>0</v>
      </c>
      <c r="T1793" s="32" t="n">
        <v>0</v>
      </c>
      <c r="U1793" s="31" t="n">
        <v>0</v>
      </c>
      <c r="V1793" s="31" t="n">
        <v>0</v>
      </c>
      <c r="W1793" s="3" t="n">
        <v>0</v>
      </c>
      <c r="X1793" s="3" t="n">
        <v>0</v>
      </c>
      <c r="Y1793" s="32" t="n">
        <v>0</v>
      </c>
      <c r="Z1793" s="3" t="n">
        <v>0</v>
      </c>
      <c r="AA1793" s="32" t="n">
        <v>0</v>
      </c>
      <c r="AB1793" s="3" t="n"/>
      <c r="AC1793" s="31" t="n">
        <v>0</v>
      </c>
      <c r="AD1793" s="2" t="n">
        <v>0</v>
      </c>
      <c r="AE1793" s="2" t="n">
        <v>0</v>
      </c>
      <c r="AF1793" s="4" t="n">
        <v>0</v>
      </c>
      <c r="AG1793" s="33" t="n">
        <v>0</v>
      </c>
      <c r="AH1793" s="4" t="n">
        <v>0</v>
      </c>
      <c r="AI1793" s="34" t="n"/>
      <c r="AJ1793" s="34" t="n">
        <v>0</v>
      </c>
      <c r="AK1793" s="2" t="n">
        <v>0</v>
      </c>
      <c r="AL1793" t="inlineStr">
        <is>
          <t>Published</t>
        </is>
      </c>
    </row>
    <row r="1794">
      <c r="A1794">
        <f>HYPERLINK("https://www.walmart.com/ip/504996733", "504996733")</f>
        <v/>
      </c>
      <c r="B1794">
        <f>HYPERLINK("https://app.optiwise.ai/catalog/itemdetails/359130", "Terrania Fleece Wearable Blanket with Sleeves for Adult Women and Men, Super Soft Comfy Plush TV Blanket Throw Wrap Cover for Lounge, Couch, Reading, and Watching TV, Green, 73 x 51")</f>
        <v/>
      </c>
      <c r="C1794" t="inlineStr">
        <is>
          <t>1TRSN100GN</t>
        </is>
      </c>
      <c r="D1794" t="inlineStr">
        <is>
          <t>Bedding</t>
        </is>
      </c>
      <c r="E1794" t="inlineStr">
        <is>
          <t>Throws</t>
        </is>
      </c>
      <c r="F1794" t="inlineStr">
        <is>
          <t>Tirrinia</t>
        </is>
      </c>
      <c r="G1794" t="n">
        <v>4.6</v>
      </c>
      <c r="H1794" t="n">
        <v>20</v>
      </c>
      <c r="I1794" t="inlineStr">
        <is>
          <t>WFS,WFS Item,ST Patrick Day</t>
        </is>
      </c>
      <c r="J1794" s="29" t="n">
        <v>0</v>
      </c>
      <c r="K1794" s="30" t="n"/>
      <c r="L1794" s="29" t="n">
        <v>0</v>
      </c>
      <c r="M1794" s="29" t="n">
        <v>0</v>
      </c>
      <c r="N1794" s="2" t="n">
        <v>0</v>
      </c>
      <c r="O1794" s="31" t="n">
        <v>0</v>
      </c>
      <c r="P1794" s="32" t="n"/>
      <c r="Q1794" s="32" t="n">
        <v>0</v>
      </c>
      <c r="R1794" s="32" t="n">
        <v>0.0242</v>
      </c>
      <c r="S1794" s="31" t="n">
        <v>0</v>
      </c>
      <c r="T1794" s="32" t="n">
        <v>0</v>
      </c>
      <c r="U1794" s="31" t="n">
        <v>0</v>
      </c>
      <c r="V1794" s="31" t="n">
        <v>0</v>
      </c>
      <c r="W1794" s="3" t="n">
        <v>0</v>
      </c>
      <c r="X1794" s="3" t="n">
        <v>0</v>
      </c>
      <c r="Y1794" s="32" t="n">
        <v>0</v>
      </c>
      <c r="Z1794" s="3" t="n">
        <v>0</v>
      </c>
      <c r="AA1794" s="32" t="n">
        <v>0</v>
      </c>
      <c r="AB1794" s="3" t="n"/>
      <c r="AC1794" s="31" t="n">
        <v>0</v>
      </c>
      <c r="AD1794" s="2" t="n">
        <v>2</v>
      </c>
      <c r="AE1794" s="2" t="n">
        <v>27</v>
      </c>
      <c r="AF1794" s="4" t="n">
        <v>27</v>
      </c>
      <c r="AG1794" s="33" t="n">
        <v>0</v>
      </c>
      <c r="AH1794" s="4" t="n">
        <v>0</v>
      </c>
      <c r="AI1794" s="34" t="n"/>
      <c r="AJ1794" s="34" t="n">
        <v>0</v>
      </c>
      <c r="AK1794" s="2" t="n">
        <v>0</v>
      </c>
      <c r="AL1794" t="inlineStr">
        <is>
          <t>Published</t>
        </is>
      </c>
    </row>
    <row r="1795">
      <c r="A1795">
        <f>HYPERLINK("https://www.walmart.com/ip/419719505", "419719505")</f>
        <v/>
      </c>
      <c r="B1795">
        <f>HYPERLINK("https://app.optiwise.ai/catalog/itemdetails/359127", "Catalonia Throw Blanket, Super Soft Plush Blanket, Sofa Couch Fleece Blanket, TV Bed Blanket, Comfy Cozy Fluffy Warm, Christmas Theme Throws, Holiday Gift Blanket 50x60 inch - Reindeer")</f>
        <v/>
      </c>
      <c r="C1795" t="inlineStr">
        <is>
          <t>1CTBF571XMAS</t>
        </is>
      </c>
      <c r="D1795" t="inlineStr">
        <is>
          <t>Bedding</t>
        </is>
      </c>
      <c r="E1795" t="inlineStr">
        <is>
          <t>Throws</t>
        </is>
      </c>
      <c r="F1795" t="inlineStr">
        <is>
          <t>Catalonia</t>
        </is>
      </c>
      <c r="G1795" t="n">
        <v>4.9</v>
      </c>
      <c r="H1795" t="n">
        <v>19</v>
      </c>
      <c r="I1795" t="inlineStr">
        <is>
          <t>Q2-Target,Christmas,Optimized,Hero 5 Holidays,WFS Item</t>
        </is>
      </c>
      <c r="J1795" s="29" t="n">
        <v>0</v>
      </c>
      <c r="K1795" s="30" t="n"/>
      <c r="L1795" s="29" t="n">
        <v>0</v>
      </c>
      <c r="M1795" s="29" t="n">
        <v>0</v>
      </c>
      <c r="N1795" s="2" t="n">
        <v>0</v>
      </c>
      <c r="O1795" s="31" t="n">
        <v>0</v>
      </c>
      <c r="P1795" s="32" t="n"/>
      <c r="Q1795" s="32" t="n">
        <v>0</v>
      </c>
      <c r="R1795" s="32" t="n">
        <v>0.2217</v>
      </c>
      <c r="S1795" s="31" t="n">
        <v>0</v>
      </c>
      <c r="T1795" s="32" t="n">
        <v>0</v>
      </c>
      <c r="U1795" s="31" t="n">
        <v>0</v>
      </c>
      <c r="V1795" s="31" t="n">
        <v>0</v>
      </c>
      <c r="W1795" s="3" t="n">
        <v>0</v>
      </c>
      <c r="X1795" s="3" t="n">
        <v>0</v>
      </c>
      <c r="Y1795" s="32" t="n">
        <v>0</v>
      </c>
      <c r="Z1795" s="3" t="n">
        <v>0</v>
      </c>
      <c r="AA1795" s="32" t="n">
        <v>0</v>
      </c>
      <c r="AB1795" s="3" t="n"/>
      <c r="AC1795" s="31" t="n">
        <v>0</v>
      </c>
      <c r="AD1795" s="2" t="n">
        <v>24</v>
      </c>
      <c r="AE1795" s="2" t="n">
        <v>62</v>
      </c>
      <c r="AF1795" s="4" t="n">
        <v>62</v>
      </c>
      <c r="AG1795" s="33" t="n">
        <v>0</v>
      </c>
      <c r="AH1795" s="4" t="n">
        <v>0</v>
      </c>
      <c r="AI1795" s="34" t="n"/>
      <c r="AJ1795" s="34" t="n">
        <v>0</v>
      </c>
      <c r="AK1795" s="2" t="n">
        <v>0</v>
      </c>
      <c r="AL1795" t="inlineStr">
        <is>
          <t>Published</t>
        </is>
      </c>
    </row>
    <row r="1796">
      <c r="A1796">
        <f>HYPERLINK("https://www.walmart.com/ip/352073228", "352073228")</f>
        <v/>
      </c>
      <c r="B1796">
        <f>HYPERLINK("https://app.optiwise.ai/catalog/itemdetails/359122", "Catalonia Sherpa Throw Blanket, Super Soft Warm Fuzzy Comfy Micro Plush Fleece Blanket for All Seasons, Reversible, Match Color, 50 x 60")</f>
        <v/>
      </c>
      <c r="C1796" t="inlineStr">
        <is>
          <t>1CTBF301DG</t>
        </is>
      </c>
      <c r="D1796" t="inlineStr">
        <is>
          <t>Bedding</t>
        </is>
      </c>
      <c r="E1796" t="inlineStr">
        <is>
          <t>Throws</t>
        </is>
      </c>
      <c r="F1796" t="inlineStr">
        <is>
          <t>Catalonia</t>
        </is>
      </c>
      <c r="G1796" t="n">
        <v>4.6</v>
      </c>
      <c r="H1796" t="n">
        <v>10</v>
      </c>
      <c r="I1796" t="inlineStr">
        <is>
          <t>WFS,Valentine,Coupon_Discount,WFS Item,Fleece Blankets</t>
        </is>
      </c>
      <c r="J1796" s="29" t="n">
        <v>0</v>
      </c>
      <c r="K1796" s="30" t="n"/>
      <c r="L1796" s="29" t="n">
        <v>0</v>
      </c>
      <c r="M1796" s="29" t="n">
        <v>0</v>
      </c>
      <c r="N1796" s="2" t="n">
        <v>0</v>
      </c>
      <c r="O1796" s="31" t="n">
        <v>0</v>
      </c>
      <c r="P1796" s="32" t="n"/>
      <c r="Q1796" s="32" t="n">
        <v>0</v>
      </c>
      <c r="R1796" s="32" t="n">
        <v>0</v>
      </c>
      <c r="S1796" s="31" t="n">
        <v>0</v>
      </c>
      <c r="T1796" s="32" t="n">
        <v>0</v>
      </c>
      <c r="U1796" s="31" t="n">
        <v>0</v>
      </c>
      <c r="V1796" s="31" t="n">
        <v>0</v>
      </c>
      <c r="W1796" s="3" t="n">
        <v>0</v>
      </c>
      <c r="X1796" s="3" t="n">
        <v>0</v>
      </c>
      <c r="Y1796" s="32" t="n">
        <v>0</v>
      </c>
      <c r="Z1796" s="3" t="n">
        <v>0</v>
      </c>
      <c r="AA1796" s="32" t="n">
        <v>0</v>
      </c>
      <c r="AB1796" s="3" t="n"/>
      <c r="AC1796" s="31" t="n">
        <v>0</v>
      </c>
      <c r="AD1796" s="2" t="n">
        <v>0</v>
      </c>
      <c r="AE1796" s="2" t="n">
        <v>6</v>
      </c>
      <c r="AF1796" s="4" t="n">
        <v>6</v>
      </c>
      <c r="AG1796" s="33" t="n">
        <v>0</v>
      </c>
      <c r="AH1796" s="4" t="n">
        <v>0</v>
      </c>
      <c r="AI1796" s="34" t="n"/>
      <c r="AJ1796" s="34" t="n">
        <v>0</v>
      </c>
      <c r="AK1796" s="2" t="n">
        <v>0</v>
      </c>
      <c r="AL1796" t="inlineStr">
        <is>
          <t>Published</t>
        </is>
      </c>
    </row>
    <row r="1797">
      <c r="A1797">
        <f>HYPERLINK("https://www.walmart.com/ip/602025223", "602025223")</f>
        <v/>
      </c>
      <c r="B1797">
        <f>HYPERLINK("https://app.optiwise.ai/catalog/itemdetails/359121", "Catalonia Sherpa Reversible Print Patriotic American Flag Blanket 60x50 Plush Super Soft Warm Polar Fleece Throws for Couch, Sofa, Bed")</f>
        <v/>
      </c>
      <c r="C1797" t="inlineStr">
        <is>
          <t>1CTBF300USA</t>
        </is>
      </c>
      <c r="D1797" t="inlineStr">
        <is>
          <t>Bedding</t>
        </is>
      </c>
      <c r="E1797" t="inlineStr">
        <is>
          <t>Throws</t>
        </is>
      </c>
      <c r="F1797" t="inlineStr">
        <is>
          <t>Catalonia</t>
        </is>
      </c>
      <c r="G1797" t="n">
        <v>4.8</v>
      </c>
      <c r="H1797" t="n">
        <v>4</v>
      </c>
      <c r="I1797" t="inlineStr">
        <is>
          <t>Optimized,WFS,WFS Item</t>
        </is>
      </c>
      <c r="J1797" s="29" t="n">
        <v>0</v>
      </c>
      <c r="K1797" s="30" t="n"/>
      <c r="L1797" s="29" t="n">
        <v>0</v>
      </c>
      <c r="M1797" s="29" t="n">
        <v>0</v>
      </c>
      <c r="N1797" s="2" t="n">
        <v>0</v>
      </c>
      <c r="O1797" s="31" t="n">
        <v>0</v>
      </c>
      <c r="P1797" s="32" t="n"/>
      <c r="Q1797" s="32" t="n">
        <v>0</v>
      </c>
      <c r="R1797" s="32" t="n">
        <v>0</v>
      </c>
      <c r="S1797" s="31" t="n">
        <v>0</v>
      </c>
      <c r="T1797" s="32" t="n">
        <v>0</v>
      </c>
      <c r="U1797" s="31" t="n">
        <v>0</v>
      </c>
      <c r="V1797" s="31" t="n">
        <v>0</v>
      </c>
      <c r="W1797" s="3" t="n">
        <v>0</v>
      </c>
      <c r="X1797" s="3" t="n">
        <v>0</v>
      </c>
      <c r="Y1797" s="32" t="n">
        <v>0</v>
      </c>
      <c r="Z1797" s="3" t="n">
        <v>0</v>
      </c>
      <c r="AA1797" s="32" t="n">
        <v>0</v>
      </c>
      <c r="AB1797" s="3" t="n"/>
      <c r="AC1797" s="31" t="n">
        <v>0</v>
      </c>
      <c r="AD1797" s="2" t="n">
        <v>0</v>
      </c>
      <c r="AE1797" s="2" t="n">
        <v>4</v>
      </c>
      <c r="AF1797" s="4" t="n">
        <v>4</v>
      </c>
      <c r="AG1797" s="33" t="n">
        <v>0</v>
      </c>
      <c r="AH1797" s="4" t="n">
        <v>0</v>
      </c>
      <c r="AI1797" s="34" t="n"/>
      <c r="AJ1797" s="34" t="n">
        <v>0</v>
      </c>
      <c r="AK1797" s="2" t="n">
        <v>0</v>
      </c>
      <c r="AL1797" t="inlineStr">
        <is>
          <t>Published</t>
        </is>
      </c>
    </row>
    <row r="1798">
      <c r="A1798">
        <f>HYPERLINK("https://www.walmart.com/ip/479114181", "479114181")</f>
        <v/>
      </c>
      <c r="B1798">
        <f>HYPERLINK("https://app.optiwise.ai/catalog/itemdetails/359120", "Catalonia Melange Sherpa Throw Blanket Velvet Plush Fleece 50” x 60”, Super Soft Fuzzy Comfy TV Sofa Couch Bed for Adults Child, Wine")</f>
        <v/>
      </c>
      <c r="C1798" t="inlineStr">
        <is>
          <t>1CTBF321WN</t>
        </is>
      </c>
      <c r="D1798" t="inlineStr">
        <is>
          <t>Bedding</t>
        </is>
      </c>
      <c r="E1798" t="inlineStr">
        <is>
          <t>Throws</t>
        </is>
      </c>
      <c r="F1798" t="inlineStr">
        <is>
          <t>Catalonia</t>
        </is>
      </c>
      <c r="G1798" t="n">
        <v>4.9</v>
      </c>
      <c r="H1798" t="n">
        <v>23</v>
      </c>
      <c r="I1798" t="inlineStr">
        <is>
          <t>Q2-Target,Optimized,WFS,Coupon_Discount,WFS Item</t>
        </is>
      </c>
      <c r="J1798" s="29" t="n">
        <v>0</v>
      </c>
      <c r="K1798" s="30" t="n"/>
      <c r="L1798" s="29" t="n">
        <v>0</v>
      </c>
      <c r="M1798" s="29" t="n">
        <v>0</v>
      </c>
      <c r="N1798" s="2" t="n">
        <v>0</v>
      </c>
      <c r="O1798" s="31" t="n">
        <v>0</v>
      </c>
      <c r="P1798" s="32" t="n"/>
      <c r="Q1798" s="32" t="n">
        <v>0</v>
      </c>
      <c r="R1798" s="32" t="n">
        <v>0</v>
      </c>
      <c r="S1798" s="31" t="n">
        <v>0</v>
      </c>
      <c r="T1798" s="32" t="n">
        <v>0</v>
      </c>
      <c r="U1798" s="31" t="n">
        <v>0</v>
      </c>
      <c r="V1798" s="31" t="n">
        <v>0</v>
      </c>
      <c r="W1798" s="3" t="n">
        <v>0</v>
      </c>
      <c r="X1798" s="3" t="n">
        <v>0</v>
      </c>
      <c r="Y1798" s="32" t="n">
        <v>0</v>
      </c>
      <c r="Z1798" s="3" t="n">
        <v>0</v>
      </c>
      <c r="AA1798" s="32" t="n">
        <v>0</v>
      </c>
      <c r="AB1798" s="3" t="n"/>
      <c r="AC1798" s="31" t="n">
        <v>0</v>
      </c>
      <c r="AD1798" s="2" t="n">
        <v>0</v>
      </c>
      <c r="AE1798" s="2" t="n">
        <v>15</v>
      </c>
      <c r="AF1798" s="4" t="n">
        <v>15</v>
      </c>
      <c r="AG1798" s="33" t="n">
        <v>0</v>
      </c>
      <c r="AH1798" s="4" t="n">
        <v>0</v>
      </c>
      <c r="AI1798" s="34" t="n"/>
      <c r="AJ1798" s="34" t="n">
        <v>0</v>
      </c>
      <c r="AK1798" s="2" t="n">
        <v>0</v>
      </c>
      <c r="AL1798" t="inlineStr">
        <is>
          <t>Published</t>
        </is>
      </c>
    </row>
    <row r="1799">
      <c r="A1799">
        <f>HYPERLINK("https://www.walmart.com/ip/462974958", "462974958")</f>
        <v/>
      </c>
      <c r="B1799">
        <f>HYPERLINK("https://app.optiwise.ai/catalog/itemdetails/359106", "Catalonia Wearable TV Blanket with Sleeves Arms &amp; Feet pockets for Adult Micro Plush Fleece Large Wrap Throw Robe 75 x 5")</f>
        <v/>
      </c>
      <c r="C1799" t="inlineStr">
        <is>
          <t>1CTSN310PP</t>
        </is>
      </c>
      <c r="D1799" t="inlineStr">
        <is>
          <t>Bedding</t>
        </is>
      </c>
      <c r="E1799" t="inlineStr">
        <is>
          <t>Throws</t>
        </is>
      </c>
      <c r="F1799" t="inlineStr">
        <is>
          <t>Catalonia</t>
        </is>
      </c>
      <c r="G1799" t="n">
        <v>3.5</v>
      </c>
      <c r="H1799" t="n">
        <v>4</v>
      </c>
      <c r="I1799" t="inlineStr">
        <is>
          <t>WFS,Coupon_Discount,WFS Item</t>
        </is>
      </c>
      <c r="J1799" s="29" t="n">
        <v>0</v>
      </c>
      <c r="K1799" s="30" t="n"/>
      <c r="L1799" s="29" t="n">
        <v>0</v>
      </c>
      <c r="M1799" s="29" t="n">
        <v>0</v>
      </c>
      <c r="N1799" s="2" t="n">
        <v>0</v>
      </c>
      <c r="O1799" s="31" t="n">
        <v>6.16</v>
      </c>
      <c r="P1799" s="32" t="n">
        <v>0.0007</v>
      </c>
      <c r="Q1799" s="32" t="n">
        <v>0</v>
      </c>
      <c r="R1799" s="32" t="n">
        <v>0</v>
      </c>
      <c r="S1799" s="31" t="n">
        <v>6.98</v>
      </c>
      <c r="T1799" s="32" t="n">
        <v>0.14</v>
      </c>
      <c r="U1799" s="31" t="n">
        <v>42.99</v>
      </c>
      <c r="V1799" s="31" t="n">
        <v>42.99</v>
      </c>
      <c r="W1799" s="3" t="n">
        <v>3666</v>
      </c>
      <c r="X1799" s="3" t="n">
        <v>16</v>
      </c>
      <c r="Y1799" s="32" t="n">
        <v>0.0044</v>
      </c>
      <c r="Z1799" s="3" t="n">
        <v>1</v>
      </c>
      <c r="AA1799" s="32" t="n">
        <v>0.0625</v>
      </c>
      <c r="AB1799" s="3" t="inlineStr">
        <is>
          <t>Auto for Top sale---Rachel</t>
        </is>
      </c>
      <c r="AC1799" s="31" t="n">
        <v>0.39</v>
      </c>
      <c r="AD1799" s="2" t="n">
        <v>23</v>
      </c>
      <c r="AE1799" s="2" t="n">
        <v>98</v>
      </c>
      <c r="AF1799" s="4" t="n">
        <v>82</v>
      </c>
      <c r="AG1799" s="33" t="n">
        <v>-42.99</v>
      </c>
      <c r="AH1799" s="4" t="n">
        <v>-1</v>
      </c>
      <c r="AI1799" s="34" t="n">
        <v>-0.0122</v>
      </c>
      <c r="AJ1799" s="34" t="n">
        <v>0</v>
      </c>
      <c r="AK1799" s="2" t="n">
        <v>0</v>
      </c>
      <c r="AL1799" t="inlineStr">
        <is>
          <t>Published</t>
        </is>
      </c>
    </row>
    <row r="1800">
      <c r="A1800">
        <f>HYPERLINK("https://www.walmart.com/ip/424789136", "424789136")</f>
        <v/>
      </c>
      <c r="B1800">
        <f>HYPERLINK("https://app.optiwise.ai/catalog/itemdetails/359036", "Houndstooth Sherpa Fleece Throw Blanket, Cozy Fuzzy Jacquard Blanket for the Couch Bed | Fluffy Comfy Warm Heavy Throws | Comfort Caring Gift, 50x60 inches")</f>
        <v/>
      </c>
      <c r="C1800" t="inlineStr">
        <is>
          <t>1CTBF573BKDENTE</t>
        </is>
      </c>
      <c r="D1800" t="inlineStr">
        <is>
          <t>Bedding</t>
        </is>
      </c>
      <c r="E1800" t="inlineStr">
        <is>
          <t>Throws</t>
        </is>
      </c>
      <c r="F1800" t="inlineStr">
        <is>
          <t>Catalonia</t>
        </is>
      </c>
      <c r="G1800" t="n">
        <v>5</v>
      </c>
      <c r="H1800" t="n">
        <v>2</v>
      </c>
      <c r="I1800" t="inlineStr">
        <is>
          <t>Q2-Target,Optimized</t>
        </is>
      </c>
      <c r="J1800" s="29" t="n">
        <v>0</v>
      </c>
      <c r="K1800" s="30" t="n"/>
      <c r="L1800" s="29" t="n">
        <v>0</v>
      </c>
      <c r="M1800" s="29" t="n">
        <v>0</v>
      </c>
      <c r="N1800" s="2" t="n">
        <v>0</v>
      </c>
      <c r="O1800" s="31" t="n">
        <v>0</v>
      </c>
      <c r="P1800" s="32" t="n"/>
      <c r="Q1800" s="32" t="n">
        <v>0</v>
      </c>
      <c r="R1800" s="32" t="n">
        <v>0</v>
      </c>
      <c r="S1800" s="31" t="n">
        <v>0</v>
      </c>
      <c r="T1800" s="32" t="n">
        <v>0</v>
      </c>
      <c r="U1800" s="31" t="n">
        <v>0</v>
      </c>
      <c r="V1800" s="31" t="n">
        <v>0</v>
      </c>
      <c r="W1800" s="3" t="n">
        <v>0</v>
      </c>
      <c r="X1800" s="3" t="n">
        <v>0</v>
      </c>
      <c r="Y1800" s="32" t="n">
        <v>0</v>
      </c>
      <c r="Z1800" s="3" t="n">
        <v>0</v>
      </c>
      <c r="AA1800" s="32" t="n">
        <v>0</v>
      </c>
      <c r="AB1800" s="3" t="n"/>
      <c r="AC1800" s="31" t="n">
        <v>0</v>
      </c>
      <c r="AD1800" s="2" t="n">
        <v>0</v>
      </c>
      <c r="AE1800" s="2" t="n">
        <v>19</v>
      </c>
      <c r="AF1800" s="4" t="n">
        <v>19</v>
      </c>
      <c r="AG1800" s="33" t="n">
        <v>0</v>
      </c>
      <c r="AH1800" s="4" t="n">
        <v>0</v>
      </c>
      <c r="AI1800" s="34" t="n"/>
      <c r="AJ1800" s="34" t="n">
        <v>0</v>
      </c>
      <c r="AK1800" s="2" t="n">
        <v>0</v>
      </c>
      <c r="AL1800" t="inlineStr">
        <is>
          <t>Published</t>
        </is>
      </c>
    </row>
    <row r="1801">
      <c r="A1801">
        <f>HYPERLINK("https://www.walmart.com/ip/896951293", "896951293")</f>
        <v/>
      </c>
      <c r="B1801">
        <f>HYPERLINK("https://app.optiwise.ai/catalog/itemdetails/359104", "Wearable Blanket with Sleeves and Kangaroo Pocket for Adult Soft Warm Comfy Throws Wrap Robe Blanket in Little PlaidRed.")</f>
        <v/>
      </c>
      <c r="C1801" t="inlineStr">
        <is>
          <t>1CTSN200P2RD</t>
        </is>
      </c>
      <c r="D1801" t="inlineStr">
        <is>
          <t>Bedding</t>
        </is>
      </c>
      <c r="E1801" t="inlineStr">
        <is>
          <t>Throws</t>
        </is>
      </c>
      <c r="F1801" t="inlineStr">
        <is>
          <t>Catalonia</t>
        </is>
      </c>
      <c r="G1801" t="n">
        <v>4</v>
      </c>
      <c r="H1801" t="n">
        <v>7</v>
      </c>
      <c r="I1801" t="inlineStr">
        <is>
          <t>WFS,Coupon_Discount,WFS Item</t>
        </is>
      </c>
      <c r="J1801" s="29" t="n">
        <v>0</v>
      </c>
      <c r="K1801" s="30" t="n"/>
      <c r="L1801" s="29" t="n">
        <v>0</v>
      </c>
      <c r="M1801" s="29" t="n">
        <v>0</v>
      </c>
      <c r="N1801" s="2" t="n">
        <v>0</v>
      </c>
      <c r="O1801" s="31" t="n">
        <v>0</v>
      </c>
      <c r="P1801" s="32" t="n"/>
      <c r="Q1801" s="32" t="n">
        <v>0</v>
      </c>
      <c r="R1801" s="32" t="n">
        <v>0</v>
      </c>
      <c r="S1801" s="31" t="n">
        <v>0</v>
      </c>
      <c r="T1801" s="32" t="n">
        <v>0</v>
      </c>
      <c r="U1801" s="31" t="n">
        <v>0</v>
      </c>
      <c r="V1801" s="31" t="n">
        <v>0</v>
      </c>
      <c r="W1801" s="3" t="n">
        <v>0</v>
      </c>
      <c r="X1801" s="3" t="n">
        <v>0</v>
      </c>
      <c r="Y1801" s="32" t="n">
        <v>0</v>
      </c>
      <c r="Z1801" s="3" t="n">
        <v>0</v>
      </c>
      <c r="AA1801" s="32" t="n">
        <v>0</v>
      </c>
      <c r="AB1801" s="3" t="n"/>
      <c r="AC1801" s="31" t="n">
        <v>0</v>
      </c>
      <c r="AD1801" s="2" t="n">
        <v>0</v>
      </c>
      <c r="AE1801" s="2" t="n">
        <v>2</v>
      </c>
      <c r="AF1801" s="4" t="n">
        <v>2</v>
      </c>
      <c r="AG1801" s="33" t="n">
        <v>0</v>
      </c>
      <c r="AH1801" s="4" t="n">
        <v>0</v>
      </c>
      <c r="AI1801" s="34" t="n"/>
      <c r="AJ1801" s="34" t="n">
        <v>0</v>
      </c>
      <c r="AK1801" s="2" t="n">
        <v>0</v>
      </c>
      <c r="AL1801" t="inlineStr">
        <is>
          <t>Published</t>
        </is>
      </c>
    </row>
    <row r="1802">
      <c r="A1802">
        <f>HYPERLINK("https://www.walmart.com/ip/959188663", "959188663")</f>
        <v/>
      </c>
      <c r="B1802">
        <f>HYPERLINK("https://app.optiwise.ai/catalog/itemdetails/359103", "Wearable Lounging Blanket,Super Soft Warm Cozy Reversible Fuzzy,Extra Soft for Sofa Warm Blanket,Lightweight,Wine.")</f>
        <v/>
      </c>
      <c r="C1802" t="inlineStr">
        <is>
          <t>1CTSN201WN</t>
        </is>
      </c>
      <c r="D1802" t="inlineStr">
        <is>
          <t>Bedding</t>
        </is>
      </c>
      <c r="E1802" t="inlineStr">
        <is>
          <t>Throws</t>
        </is>
      </c>
      <c r="F1802" t="inlineStr">
        <is>
          <t>Catalonia</t>
        </is>
      </c>
      <c r="G1802" t="n">
        <v>5</v>
      </c>
      <c r="H1802" t="n">
        <v>2</v>
      </c>
      <c r="I1802" t="inlineStr">
        <is>
          <t>Q2-Target,WFS,Coupon_Discount,WFS Item</t>
        </is>
      </c>
      <c r="J1802" s="29" t="n">
        <v>0</v>
      </c>
      <c r="K1802" s="30" t="n"/>
      <c r="L1802" s="29" t="n">
        <v>0</v>
      </c>
      <c r="M1802" s="29" t="n">
        <v>0</v>
      </c>
      <c r="N1802" s="2" t="n">
        <v>0</v>
      </c>
      <c r="O1802" s="31" t="n">
        <v>0</v>
      </c>
      <c r="P1802" s="32" t="n"/>
      <c r="Q1802" s="32" t="n">
        <v>0</v>
      </c>
      <c r="R1802" s="32" t="n">
        <v>0</v>
      </c>
      <c r="S1802" s="31" t="n">
        <v>0</v>
      </c>
      <c r="T1802" s="32" t="n">
        <v>0</v>
      </c>
      <c r="U1802" s="31" t="n">
        <v>0</v>
      </c>
      <c r="V1802" s="31" t="n">
        <v>0</v>
      </c>
      <c r="W1802" s="3" t="n">
        <v>0</v>
      </c>
      <c r="X1802" s="3" t="n">
        <v>0</v>
      </c>
      <c r="Y1802" s="32" t="n">
        <v>0</v>
      </c>
      <c r="Z1802" s="3" t="n">
        <v>0</v>
      </c>
      <c r="AA1802" s="32" t="n">
        <v>0</v>
      </c>
      <c r="AB1802" s="3" t="n"/>
      <c r="AC1802" s="31" t="n">
        <v>0</v>
      </c>
      <c r="AD1802" s="2" t="n">
        <v>0</v>
      </c>
      <c r="AE1802" s="2" t="n">
        <v>6</v>
      </c>
      <c r="AF1802" s="4" t="n">
        <v>6</v>
      </c>
      <c r="AG1802" s="33" t="n">
        <v>0</v>
      </c>
      <c r="AH1802" s="4" t="n">
        <v>0</v>
      </c>
      <c r="AI1802" s="34" t="n"/>
      <c r="AJ1802" s="34" t="n">
        <v>0</v>
      </c>
      <c r="AK1802" s="2" t="n">
        <v>0</v>
      </c>
      <c r="AL1802" t="inlineStr">
        <is>
          <t>Published</t>
        </is>
      </c>
    </row>
    <row r="1803">
      <c r="A1803">
        <f>HYPERLINK("https://www.walmart.com/ip/837714023", "837714023")</f>
        <v/>
      </c>
      <c r="B1803">
        <f>HYPERLINK("https://app.optiwise.ai/catalog/itemdetails/359102", "Tirrinia Sherpa Wearable Blanket for Adult Women and Men, Super Soft Comfy Warm Plush Throw with Sleeves TV Blanket Wrap Robe Cover for Sofa and Couch, Red Plaid, 72 x 55")</f>
        <v/>
      </c>
      <c r="C1803" t="inlineStr">
        <is>
          <t>1TRSN110P2RD</t>
        </is>
      </c>
      <c r="D1803" t="inlineStr">
        <is>
          <t>Bedding</t>
        </is>
      </c>
      <c r="E1803" t="inlineStr">
        <is>
          <t>Throws</t>
        </is>
      </c>
      <c r="F1803" t="inlineStr">
        <is>
          <t>Terrania</t>
        </is>
      </c>
      <c r="G1803" t="n">
        <v>5</v>
      </c>
      <c r="H1803" t="n">
        <v>2</v>
      </c>
      <c r="I1803" t="inlineStr">
        <is>
          <t>Q2-Target,Coupon_Discount,Batch 1 - TR</t>
        </is>
      </c>
      <c r="J1803" s="29" t="n">
        <v>0</v>
      </c>
      <c r="K1803" s="30" t="n"/>
      <c r="L1803" s="29" t="n">
        <v>0</v>
      </c>
      <c r="M1803" s="29" t="n">
        <v>0</v>
      </c>
      <c r="N1803" s="2" t="n">
        <v>0</v>
      </c>
      <c r="O1803" s="31" t="n">
        <v>0</v>
      </c>
      <c r="P1803" s="32" t="n"/>
      <c r="Q1803" s="32" t="n">
        <v>0</v>
      </c>
      <c r="R1803" s="32" t="n">
        <v>0</v>
      </c>
      <c r="S1803" s="31" t="n">
        <v>0</v>
      </c>
      <c r="T1803" s="32" t="n">
        <v>0</v>
      </c>
      <c r="U1803" s="31" t="n">
        <v>0</v>
      </c>
      <c r="V1803" s="31" t="n">
        <v>0</v>
      </c>
      <c r="W1803" s="3" t="n">
        <v>0</v>
      </c>
      <c r="X1803" s="3" t="n">
        <v>0</v>
      </c>
      <c r="Y1803" s="32" t="n">
        <v>0</v>
      </c>
      <c r="Z1803" s="3" t="n">
        <v>0</v>
      </c>
      <c r="AA1803" s="32" t="n">
        <v>0</v>
      </c>
      <c r="AB1803" s="3" t="n"/>
      <c r="AC1803" s="31" t="n">
        <v>0</v>
      </c>
      <c r="AD1803" s="2" t="n">
        <v>0</v>
      </c>
      <c r="AE1803" s="2" t="n">
        <v>7</v>
      </c>
      <c r="AF1803" s="4" t="n">
        <v>7</v>
      </c>
      <c r="AG1803" s="33" t="n">
        <v>0</v>
      </c>
      <c r="AH1803" s="4" t="n">
        <v>0</v>
      </c>
      <c r="AI1803" s="34" t="n"/>
      <c r="AJ1803" s="34" t="n">
        <v>0</v>
      </c>
      <c r="AK1803" s="2" t="n">
        <v>0</v>
      </c>
      <c r="AL1803" t="inlineStr">
        <is>
          <t>Published</t>
        </is>
      </c>
    </row>
    <row r="1804">
      <c r="A1804">
        <f>HYPERLINK("https://www.walmart.com/ip/254291308", "254291308")</f>
        <v/>
      </c>
      <c r="B1804">
        <f>HYPERLINK("https://app.optiwise.ai/catalog/itemdetails/359092", "Tirrinia Insulated 2 Bottle Wine Carrier Tote Cooler Bag for Travel Picnic Padded Champagne Glass")</f>
        <v/>
      </c>
      <c r="C1804" t="inlineStr">
        <is>
          <t>1TRWB231DBL</t>
        </is>
      </c>
      <c r="D1804" t="inlineStr">
        <is>
          <t>Home Decor, Kitchen, &amp; Other</t>
        </is>
      </c>
      <c r="E1804" t="inlineStr">
        <is>
          <t>Wine Totes, Bags &amp; Backpacks</t>
        </is>
      </c>
      <c r="F1804" t="inlineStr">
        <is>
          <t>Tirrinia</t>
        </is>
      </c>
      <c r="G1804" t="n">
        <v>0</v>
      </c>
      <c r="H1804" t="n">
        <v>0</v>
      </c>
      <c r="I1804" t="inlineStr">
        <is>
          <t>Wine,Christmas,WFS,Wine WFS,Valentine,WFS Item</t>
        </is>
      </c>
      <c r="J1804" s="29" t="n">
        <v>0</v>
      </c>
      <c r="K1804" s="30" t="n"/>
      <c r="L1804" s="29" t="n">
        <v>0</v>
      </c>
      <c r="M1804" s="29" t="n">
        <v>0</v>
      </c>
      <c r="N1804" s="2" t="n">
        <v>0</v>
      </c>
      <c r="O1804" s="31" t="n">
        <v>0</v>
      </c>
      <c r="P1804" s="32" t="n"/>
      <c r="Q1804" s="32" t="n">
        <v>0</v>
      </c>
      <c r="R1804" s="32" t="n">
        <v>0</v>
      </c>
      <c r="S1804" s="31" t="n">
        <v>0</v>
      </c>
      <c r="T1804" s="32" t="n">
        <v>0</v>
      </c>
      <c r="U1804" s="31" t="n">
        <v>0</v>
      </c>
      <c r="V1804" s="31" t="n">
        <v>0</v>
      </c>
      <c r="W1804" s="3" t="n">
        <v>0</v>
      </c>
      <c r="X1804" s="3" t="n">
        <v>0</v>
      </c>
      <c r="Y1804" s="32" t="n">
        <v>0</v>
      </c>
      <c r="Z1804" s="3" t="n">
        <v>0</v>
      </c>
      <c r="AA1804" s="32" t="n">
        <v>0</v>
      </c>
      <c r="AB1804" s="3" t="n"/>
      <c r="AC1804" s="31" t="n">
        <v>0</v>
      </c>
      <c r="AD1804" s="2" t="n">
        <v>0</v>
      </c>
      <c r="AE1804" s="2" t="n">
        <v>0</v>
      </c>
      <c r="AF1804" s="4" t="n">
        <v>0</v>
      </c>
      <c r="AG1804" s="33" t="n">
        <v>0</v>
      </c>
      <c r="AH1804" s="4" t="n">
        <v>0</v>
      </c>
      <c r="AI1804" s="34" t="n"/>
      <c r="AJ1804" s="34" t="n">
        <v>0</v>
      </c>
      <c r="AK1804" s="2" t="n">
        <v>0</v>
      </c>
      <c r="AL1804" t="inlineStr">
        <is>
          <t>Published</t>
        </is>
      </c>
    </row>
    <row r="1805">
      <c r="A1805">
        <f>HYPERLINK("https://www.walmart.com/ip/929728542", "929728542")</f>
        <v/>
      </c>
      <c r="B1805">
        <f>HYPERLINK("https://app.optiwise.ai/catalog/itemdetails/359085", "Tirrinia 6 Bottle Insulated Wine Carrier Bag Best Large Travel Cooler Totes with Detachable Divider and Adjustable Strap")</f>
        <v/>
      </c>
      <c r="C1805" t="inlineStr">
        <is>
          <t>1TRWB620BL</t>
        </is>
      </c>
      <c r="D1805" t="inlineStr">
        <is>
          <t>Home Decor, Kitchen, &amp; Other</t>
        </is>
      </c>
      <c r="E1805" t="inlineStr">
        <is>
          <t>Wine Totes, Bags &amp; Backpacks</t>
        </is>
      </c>
      <c r="F1805" t="inlineStr">
        <is>
          <t>Tirrinia</t>
        </is>
      </c>
      <c r="G1805" t="n">
        <v>5</v>
      </c>
      <c r="H1805" t="n">
        <v>1</v>
      </c>
      <c r="I1805" t="inlineStr">
        <is>
          <t>Wine,Christmas,WFS,Valentine,SEM,WFS Item,Lily Brand Camp</t>
        </is>
      </c>
      <c r="J1805" s="29" t="n">
        <v>0</v>
      </c>
      <c r="K1805" s="30" t="n"/>
      <c r="L1805" s="29" t="n">
        <v>0</v>
      </c>
      <c r="M1805" s="29" t="n">
        <v>0</v>
      </c>
      <c r="N1805" s="2" t="n">
        <v>0</v>
      </c>
      <c r="O1805" s="31" t="n">
        <v>0</v>
      </c>
      <c r="P1805" s="32" t="n"/>
      <c r="Q1805" s="32" t="n">
        <v>0</v>
      </c>
      <c r="R1805" s="32" t="n">
        <v>0.0329</v>
      </c>
      <c r="S1805" s="31" t="n">
        <v>0</v>
      </c>
      <c r="T1805" s="32" t="n">
        <v>0</v>
      </c>
      <c r="U1805" s="31" t="n">
        <v>0</v>
      </c>
      <c r="V1805" s="31" t="n">
        <v>0</v>
      </c>
      <c r="W1805" s="3" t="n">
        <v>30</v>
      </c>
      <c r="X1805" s="3" t="n">
        <v>0</v>
      </c>
      <c r="Y1805" s="32" t="n">
        <v>0</v>
      </c>
      <c r="Z1805" s="3" t="n">
        <v>0</v>
      </c>
      <c r="AA1805" s="32" t="n">
        <v>0</v>
      </c>
      <c r="AB1805" s="3" t="inlineStr">
        <is>
          <t>Auto Campaign_Vinay</t>
        </is>
      </c>
      <c r="AC1805" s="31" t="n">
        <v>0</v>
      </c>
      <c r="AD1805" s="2" t="n">
        <v>0</v>
      </c>
      <c r="AE1805" s="2" t="n">
        <v>16</v>
      </c>
      <c r="AF1805" s="4" t="n">
        <v>16</v>
      </c>
      <c r="AG1805" s="33" t="n">
        <v>0</v>
      </c>
      <c r="AH1805" s="4" t="n">
        <v>0</v>
      </c>
      <c r="AI1805" s="34" t="n"/>
      <c r="AJ1805" s="34" t="n">
        <v>0</v>
      </c>
      <c r="AK1805" s="2" t="n">
        <v>0</v>
      </c>
      <c r="AL1805" t="inlineStr">
        <is>
          <t>Published</t>
        </is>
      </c>
    </row>
    <row r="1806">
      <c r="A1806">
        <f>HYPERLINK("https://www.walmart.com/ip/370017645", "370017645")</f>
        <v/>
      </c>
      <c r="B1806">
        <f>HYPERLINK("https://app.optiwise.ai/catalog/itemdetails/359073", "Catalonia Hooded Blanket Wearable Sherpa Fleece Wrap Hand Pockets Poncho | Comfy Throw Cape for Children and Adults, Women Gift")</f>
        <v/>
      </c>
      <c r="C1806" t="inlineStr">
        <is>
          <t>1CTBC100PP</t>
        </is>
      </c>
      <c r="D1806" t="inlineStr">
        <is>
          <t>Bedding</t>
        </is>
      </c>
      <c r="E1806" t="inlineStr">
        <is>
          <t>Throws</t>
        </is>
      </c>
      <c r="F1806" t="inlineStr">
        <is>
          <t>Catalonia</t>
        </is>
      </c>
      <c r="G1806" t="n">
        <v>0</v>
      </c>
      <c r="H1806" t="n">
        <v>0</v>
      </c>
      <c r="I1806" t="inlineStr">
        <is>
          <t>Optimized,WFS,WFS Item</t>
        </is>
      </c>
      <c r="J1806" s="29" t="n">
        <v>0</v>
      </c>
      <c r="K1806" s="30" t="n"/>
      <c r="L1806" s="29" t="n">
        <v>0</v>
      </c>
      <c r="M1806" s="29" t="n">
        <v>0</v>
      </c>
      <c r="N1806" s="2" t="n">
        <v>0</v>
      </c>
      <c r="O1806" s="31" t="n">
        <v>0</v>
      </c>
      <c r="P1806" s="32" t="n"/>
      <c r="Q1806" s="32" t="n">
        <v>0</v>
      </c>
      <c r="R1806" s="32" t="n">
        <v>0</v>
      </c>
      <c r="S1806" s="31" t="n">
        <v>0</v>
      </c>
      <c r="T1806" s="32" t="n">
        <v>0</v>
      </c>
      <c r="U1806" s="31" t="n">
        <v>0</v>
      </c>
      <c r="V1806" s="31" t="n">
        <v>0</v>
      </c>
      <c r="W1806" s="3" t="n">
        <v>0</v>
      </c>
      <c r="X1806" s="3" t="n">
        <v>0</v>
      </c>
      <c r="Y1806" s="32" t="n">
        <v>0</v>
      </c>
      <c r="Z1806" s="3" t="n">
        <v>0</v>
      </c>
      <c r="AA1806" s="32" t="n">
        <v>0</v>
      </c>
      <c r="AB1806" s="3" t="n"/>
      <c r="AC1806" s="31" t="n">
        <v>0</v>
      </c>
      <c r="AD1806" s="2" t="n">
        <v>19</v>
      </c>
      <c r="AE1806" s="2" t="n">
        <v>51</v>
      </c>
      <c r="AF1806" s="4" t="n">
        <v>51</v>
      </c>
      <c r="AG1806" s="33" t="n">
        <v>0</v>
      </c>
      <c r="AH1806" s="4" t="n">
        <v>0</v>
      </c>
      <c r="AI1806" s="34" t="n"/>
      <c r="AJ1806" s="34" t="n">
        <v>0</v>
      </c>
      <c r="AK1806" s="2" t="n">
        <v>0</v>
      </c>
      <c r="AL1806" t="inlineStr">
        <is>
          <t>Published</t>
        </is>
      </c>
    </row>
    <row r="1807">
      <c r="A1807">
        <f>HYPERLINK("https://www.walmart.com/ip/152145176", "152145176")</f>
        <v/>
      </c>
      <c r="B1807">
        <f>HYPERLINK("https://app.optiwise.ai/catalog/itemdetails/359051", "Jenniwears Women's Leopard Print Bodysuit Jumpsuit")</f>
        <v/>
      </c>
      <c r="C1807" t="inlineStr">
        <is>
          <t>JWND04LE</t>
        </is>
      </c>
      <c r="D1807" t="inlineStr">
        <is>
          <t>Clothing</t>
        </is>
      </c>
      <c r="E1807" t="inlineStr">
        <is>
          <t>Lingerie Sets</t>
        </is>
      </c>
      <c r="F1807" t="inlineStr">
        <is>
          <t>JenniWears</t>
        </is>
      </c>
      <c r="G1807" t="n">
        <v>0</v>
      </c>
      <c r="H1807" t="n">
        <v>0</v>
      </c>
      <c r="I1807" t="inlineStr">
        <is>
          <t>Optimized,Valentine</t>
        </is>
      </c>
      <c r="J1807" s="29" t="n">
        <v>0</v>
      </c>
      <c r="K1807" s="30" t="n"/>
      <c r="L1807" s="29" t="n">
        <v>0</v>
      </c>
      <c r="M1807" s="29" t="n">
        <v>0</v>
      </c>
      <c r="N1807" s="2" t="n">
        <v>0</v>
      </c>
      <c r="O1807" s="31" t="n">
        <v>0</v>
      </c>
      <c r="P1807" s="32" t="n"/>
      <c r="Q1807" s="32" t="n">
        <v>0</v>
      </c>
      <c r="R1807" s="32" t="n">
        <v>0</v>
      </c>
      <c r="S1807" s="31" t="n">
        <v>0</v>
      </c>
      <c r="T1807" s="32" t="n">
        <v>0</v>
      </c>
      <c r="U1807" s="31" t="n">
        <v>0</v>
      </c>
      <c r="V1807" s="31" t="n">
        <v>0</v>
      </c>
      <c r="W1807" s="3" t="n">
        <v>0</v>
      </c>
      <c r="X1807" s="3" t="n">
        <v>0</v>
      </c>
      <c r="Y1807" s="32" t="n">
        <v>0</v>
      </c>
      <c r="Z1807" s="3" t="n">
        <v>0</v>
      </c>
      <c r="AA1807" s="32" t="n">
        <v>0</v>
      </c>
      <c r="AB1807" s="3" t="n"/>
      <c r="AC1807" s="31" t="n">
        <v>0</v>
      </c>
      <c r="AD1807" s="2" t="n">
        <v>0</v>
      </c>
      <c r="AE1807" s="2" t="n">
        <v>4</v>
      </c>
      <c r="AF1807" s="4" t="n">
        <v>4</v>
      </c>
      <c r="AG1807" s="33" t="n">
        <v>0</v>
      </c>
      <c r="AH1807" s="4" t="n">
        <v>0</v>
      </c>
      <c r="AI1807" s="34" t="n"/>
      <c r="AJ1807" s="34" t="n">
        <v>0</v>
      </c>
      <c r="AK1807" s="2" t="n">
        <v>0</v>
      </c>
      <c r="AL1807" t="inlineStr">
        <is>
          <t>Published</t>
        </is>
      </c>
    </row>
    <row r="1808">
      <c r="A1808">
        <f>HYPERLINK("https://www.walmart.com/ip/111627641", "111627641")</f>
        <v/>
      </c>
      <c r="B1808">
        <f>HYPERLINK("https://app.optiwise.ai/catalog/itemdetails/359047", "JenniWears Women Beileise Sexy Garter Belt Suspender - 3 Packs")</f>
        <v/>
      </c>
      <c r="C1808" t="inlineStr">
        <is>
          <t>JWBLSPH2073-3pcs</t>
        </is>
      </c>
      <c r="D1808" t="inlineStr">
        <is>
          <t>Clothing</t>
        </is>
      </c>
      <c r="E1808" t="inlineStr">
        <is>
          <t>Garter Belts</t>
        </is>
      </c>
      <c r="F1808" t="inlineStr">
        <is>
          <t>JenniWears</t>
        </is>
      </c>
      <c r="G1808" t="n">
        <v>0</v>
      </c>
      <c r="H1808" t="n">
        <v>0</v>
      </c>
      <c r="I1808" t="inlineStr">
        <is>
          <t>Optimized,Valentine</t>
        </is>
      </c>
      <c r="J1808" s="29" t="n">
        <v>0</v>
      </c>
      <c r="K1808" s="30" t="n"/>
      <c r="L1808" s="29" t="n">
        <v>0</v>
      </c>
      <c r="M1808" s="29" t="n">
        <v>0</v>
      </c>
      <c r="N1808" s="2" t="n">
        <v>0</v>
      </c>
      <c r="O1808" s="31" t="n">
        <v>0</v>
      </c>
      <c r="P1808" s="32" t="n"/>
      <c r="Q1808" s="32" t="n">
        <v>0</v>
      </c>
      <c r="R1808" s="32" t="n">
        <v>0</v>
      </c>
      <c r="S1808" s="31" t="n">
        <v>0</v>
      </c>
      <c r="T1808" s="32" t="n">
        <v>0</v>
      </c>
      <c r="U1808" s="31" t="n">
        <v>0</v>
      </c>
      <c r="V1808" s="31" t="n">
        <v>0</v>
      </c>
      <c r="W1808" s="3" t="n">
        <v>0</v>
      </c>
      <c r="X1808" s="3" t="n">
        <v>0</v>
      </c>
      <c r="Y1808" s="32" t="n">
        <v>0</v>
      </c>
      <c r="Z1808" s="3" t="n">
        <v>0</v>
      </c>
      <c r="AA1808" s="32" t="n">
        <v>0</v>
      </c>
      <c r="AB1808" s="3" t="n"/>
      <c r="AC1808" s="31" t="n">
        <v>0</v>
      </c>
      <c r="AD1808" s="2" t="n">
        <v>0</v>
      </c>
      <c r="AE1808" s="2" t="n">
        <v>14</v>
      </c>
      <c r="AF1808" s="4" t="n">
        <v>14</v>
      </c>
      <c r="AG1808" s="33" t="n">
        <v>0</v>
      </c>
      <c r="AH1808" s="4" t="n">
        <v>0</v>
      </c>
      <c r="AI1808" s="34" t="n"/>
      <c r="AJ1808" s="34" t="n">
        <v>0</v>
      </c>
      <c r="AK1808" s="2" t="n">
        <v>0</v>
      </c>
      <c r="AL1808" t="inlineStr">
        <is>
          <t>Published</t>
        </is>
      </c>
    </row>
    <row r="1809">
      <c r="A1809">
        <f>HYPERLINK("https://www.walmart.com/ip/852622178", "852622178")</f>
        <v/>
      </c>
      <c r="B1809">
        <f>HYPERLINK("https://app.optiwise.ai/catalog/itemdetails/359040", "Catalonia Patriotic US Flag Sherpa Fleece Throw Blanket, American Eagle National Flag Throws, Plush Super Soft Cozy Warm Reversible Blanket for Couch Bed 60 x 50")</f>
        <v/>
      </c>
      <c r="C1809" t="inlineStr">
        <is>
          <t>1CTBF300USA3</t>
        </is>
      </c>
      <c r="D1809" t="inlineStr">
        <is>
          <t>Bedding</t>
        </is>
      </c>
      <c r="E1809" t="inlineStr">
        <is>
          <t>Throws</t>
        </is>
      </c>
      <c r="F1809" t="inlineStr">
        <is>
          <t>Catalonia</t>
        </is>
      </c>
      <c r="G1809" t="n">
        <v>4.9</v>
      </c>
      <c r="H1809" t="n">
        <v>9</v>
      </c>
      <c r="I1809" t="inlineStr">
        <is>
          <t>Optimized</t>
        </is>
      </c>
      <c r="J1809" s="29" t="n">
        <v>0</v>
      </c>
      <c r="K1809" s="30" t="n"/>
      <c r="L1809" s="29" t="n">
        <v>0</v>
      </c>
      <c r="M1809" s="29" t="n">
        <v>0</v>
      </c>
      <c r="N1809" s="2" t="n">
        <v>0</v>
      </c>
      <c r="O1809" s="31" t="n">
        <v>0</v>
      </c>
      <c r="P1809" s="32" t="n"/>
      <c r="Q1809" s="32" t="n">
        <v>0</v>
      </c>
      <c r="R1809" s="32" t="n">
        <v>0</v>
      </c>
      <c r="S1809" s="31" t="n">
        <v>0</v>
      </c>
      <c r="T1809" s="32" t="n">
        <v>0</v>
      </c>
      <c r="U1809" s="31" t="n">
        <v>0</v>
      </c>
      <c r="V1809" s="31" t="n">
        <v>0</v>
      </c>
      <c r="W1809" s="3" t="n">
        <v>0</v>
      </c>
      <c r="X1809" s="3" t="n">
        <v>0</v>
      </c>
      <c r="Y1809" s="32" t="n">
        <v>0</v>
      </c>
      <c r="Z1809" s="3" t="n">
        <v>0</v>
      </c>
      <c r="AA1809" s="32" t="n">
        <v>0</v>
      </c>
      <c r="AB1809" s="3" t="n"/>
      <c r="AC1809" s="31" t="n">
        <v>0</v>
      </c>
      <c r="AD1809" s="2" t="n">
        <v>0</v>
      </c>
      <c r="AE1809" s="2" t="n">
        <v>22</v>
      </c>
      <c r="AF1809" s="4" t="n">
        <v>22</v>
      </c>
      <c r="AG1809" s="33" t="n">
        <v>0</v>
      </c>
      <c r="AH1809" s="4" t="n">
        <v>0</v>
      </c>
      <c r="AI1809" s="34" t="n"/>
      <c r="AJ1809" s="34" t="n">
        <v>0</v>
      </c>
      <c r="AK1809" s="2" t="n">
        <v>0</v>
      </c>
      <c r="AL1809" t="inlineStr">
        <is>
          <t>Published</t>
        </is>
      </c>
    </row>
    <row r="1810">
      <c r="A1810">
        <f>HYPERLINK("https://www.walmart.com/ip/961035708", "961035708")</f>
        <v/>
      </c>
      <c r="B1810">
        <f>HYPERLINK("https://app.optiwise.ai/catalog/itemdetails/359039", "Catalonia Sherpa Throws Blanket, Super Soft Comfy Fluffy Fuzzy Fleece Plush Blanket for Sofa Couch Bed Reversible All Season for Adults Children 50”x60”, Chevron Wine")</f>
        <v/>
      </c>
      <c r="C1810" t="inlineStr">
        <is>
          <t>1CTBF320WN</t>
        </is>
      </c>
      <c r="D1810" t="inlineStr">
        <is>
          <t>Bedding</t>
        </is>
      </c>
      <c r="E1810" t="inlineStr">
        <is>
          <t>Throws</t>
        </is>
      </c>
      <c r="F1810" t="inlineStr">
        <is>
          <t>Catalonia</t>
        </is>
      </c>
      <c r="G1810" t="n">
        <v>4.8</v>
      </c>
      <c r="H1810" t="n">
        <v>4</v>
      </c>
      <c r="I1810" t="inlineStr">
        <is>
          <t>Q2-Target,WFS,Coupon_Discount,WFS Item</t>
        </is>
      </c>
      <c r="J1810" s="29" t="n">
        <v>0</v>
      </c>
      <c r="K1810" s="30" t="n"/>
      <c r="L1810" s="29" t="n">
        <v>0</v>
      </c>
      <c r="M1810" s="29" t="n">
        <v>0</v>
      </c>
      <c r="N1810" s="2" t="n">
        <v>0</v>
      </c>
      <c r="O1810" s="31" t="n">
        <v>0</v>
      </c>
      <c r="P1810" s="32" t="n"/>
      <c r="Q1810" s="32" t="n">
        <v>0</v>
      </c>
      <c r="R1810" s="32" t="n">
        <v>0</v>
      </c>
      <c r="S1810" s="31" t="n">
        <v>0</v>
      </c>
      <c r="T1810" s="32" t="n">
        <v>0</v>
      </c>
      <c r="U1810" s="31" t="n">
        <v>0</v>
      </c>
      <c r="V1810" s="31" t="n">
        <v>0</v>
      </c>
      <c r="W1810" s="3" t="n">
        <v>0</v>
      </c>
      <c r="X1810" s="3" t="n">
        <v>0</v>
      </c>
      <c r="Y1810" s="32" t="n">
        <v>0</v>
      </c>
      <c r="Z1810" s="3" t="n">
        <v>0</v>
      </c>
      <c r="AA1810" s="32" t="n">
        <v>0</v>
      </c>
      <c r="AB1810" s="3" t="n"/>
      <c r="AC1810" s="31" t="n">
        <v>0</v>
      </c>
      <c r="AD1810" s="2" t="n">
        <v>0</v>
      </c>
      <c r="AE1810" s="2" t="n">
        <v>21</v>
      </c>
      <c r="AF1810" s="4" t="n">
        <v>21</v>
      </c>
      <c r="AG1810" s="33" t="n">
        <v>0</v>
      </c>
      <c r="AH1810" s="4" t="n">
        <v>0</v>
      </c>
      <c r="AI1810" s="34" t="n"/>
      <c r="AJ1810" s="34" t="n">
        <v>0</v>
      </c>
      <c r="AK1810" s="2" t="n">
        <v>0</v>
      </c>
      <c r="AL1810" t="inlineStr">
        <is>
          <t>Published</t>
        </is>
      </c>
    </row>
    <row r="1811">
      <c r="A1811">
        <f>HYPERLINK("https://www.walmart.com/ip/911477249", "911477249")</f>
        <v/>
      </c>
      <c r="B1811">
        <f>HYPERLINK("https://app.optiwise.ai/catalog/itemdetails/359037", "Catalonia Buffalo Plaid Sherpa Throw TV Blanket 50 x 60 Super Soft Reversible Fleece Blanket for Cabin Bed or Couch | Cabin Plaid Check, Black Plaid")</f>
        <v/>
      </c>
      <c r="C1811" t="inlineStr">
        <is>
          <t>1CTBF300PBK</t>
        </is>
      </c>
      <c r="D1811" t="inlineStr">
        <is>
          <t>Bedding</t>
        </is>
      </c>
      <c r="E1811" t="inlineStr">
        <is>
          <t>Throws</t>
        </is>
      </c>
      <c r="F1811" t="inlineStr">
        <is>
          <t>Catalonia</t>
        </is>
      </c>
      <c r="G1811" t="n">
        <v>4.7</v>
      </c>
      <c r="H1811" t="n">
        <v>19</v>
      </c>
      <c r="I1811" t="inlineStr">
        <is>
          <t>Q2-Target,WFS,Coupon_Discount,WFS Item,Fleece Blankets</t>
        </is>
      </c>
      <c r="J1811" s="29" t="n">
        <v>0</v>
      </c>
      <c r="K1811" s="30" t="n"/>
      <c r="L1811" s="29" t="n">
        <v>0</v>
      </c>
      <c r="M1811" s="29" t="n">
        <v>0</v>
      </c>
      <c r="N1811" s="2" t="n">
        <v>0</v>
      </c>
      <c r="O1811" s="31" t="n">
        <v>0</v>
      </c>
      <c r="P1811" s="32" t="n"/>
      <c r="Q1811" s="32" t="n">
        <v>0</v>
      </c>
      <c r="R1811" s="32" t="n">
        <v>0</v>
      </c>
      <c r="S1811" s="31" t="n">
        <v>0</v>
      </c>
      <c r="T1811" s="32" t="n">
        <v>0</v>
      </c>
      <c r="U1811" s="31" t="n">
        <v>0</v>
      </c>
      <c r="V1811" s="31" t="n">
        <v>0</v>
      </c>
      <c r="W1811" s="3" t="n">
        <v>0</v>
      </c>
      <c r="X1811" s="3" t="n">
        <v>0</v>
      </c>
      <c r="Y1811" s="32" t="n">
        <v>0</v>
      </c>
      <c r="Z1811" s="3" t="n">
        <v>0</v>
      </c>
      <c r="AA1811" s="32" t="n">
        <v>0</v>
      </c>
      <c r="AB1811" s="3" t="n"/>
      <c r="AC1811" s="31" t="n">
        <v>0</v>
      </c>
      <c r="AD1811" s="2" t="n">
        <v>0</v>
      </c>
      <c r="AE1811" s="2" t="n">
        <v>22</v>
      </c>
      <c r="AF1811" s="4" t="n">
        <v>22</v>
      </c>
      <c r="AG1811" s="33" t="n">
        <v>0</v>
      </c>
      <c r="AH1811" s="4" t="n">
        <v>0</v>
      </c>
      <c r="AI1811" s="34" t="n"/>
      <c r="AJ1811" s="34" t="n">
        <v>0</v>
      </c>
      <c r="AK1811" s="2" t="n">
        <v>0</v>
      </c>
      <c r="AL1811" t="inlineStr">
        <is>
          <t>Published</t>
        </is>
      </c>
    </row>
    <row r="1812">
      <c r="A1812">
        <f>HYPERLINK("https://www.walmart.com/ip/108428499", "108428499")</f>
        <v/>
      </c>
      <c r="B1812">
        <f>HYPERLINK("https://app.optiwise.ai/catalog/itemdetails/360326", "JenniWears Girls Tulle Tutu Skirt, Ballet Dance Fluffy Skirt, Assorted Colors for Night Clubs, Party, Cosplay, and Halloween, Pink")</f>
        <v/>
      </c>
      <c r="C1812" t="inlineStr">
        <is>
          <t>tutus-pink</t>
        </is>
      </c>
      <c r="D1812" t="inlineStr">
        <is>
          <t>Skirts</t>
        </is>
      </c>
      <c r="E1812" t="inlineStr">
        <is>
          <t>Skirts</t>
        </is>
      </c>
      <c r="F1812" t="inlineStr">
        <is>
          <t>JenniWears</t>
        </is>
      </c>
      <c r="G1812" t="n">
        <v>3</v>
      </c>
      <c r="H1812" t="n">
        <v>1</v>
      </c>
      <c r="J1812" s="29" t="n">
        <v>0</v>
      </c>
      <c r="K1812" s="30" t="n"/>
      <c r="L1812" s="29" t="n">
        <v>0</v>
      </c>
      <c r="M1812" s="29" t="n">
        <v>0</v>
      </c>
      <c r="N1812" s="2" t="n">
        <v>0</v>
      </c>
      <c r="O1812" s="31" t="n">
        <v>0</v>
      </c>
      <c r="P1812" s="32" t="n"/>
      <c r="Q1812" s="32" t="n">
        <v>0</v>
      </c>
      <c r="R1812" s="32" t="n">
        <v>0</v>
      </c>
      <c r="S1812" s="31" t="n">
        <v>0</v>
      </c>
      <c r="T1812" s="32" t="n">
        <v>0</v>
      </c>
      <c r="U1812" s="31" t="n">
        <v>0</v>
      </c>
      <c r="V1812" s="31" t="n">
        <v>0</v>
      </c>
      <c r="W1812" s="3" t="n">
        <v>0</v>
      </c>
      <c r="X1812" s="3" t="n">
        <v>0</v>
      </c>
      <c r="Y1812" s="32" t="n">
        <v>0</v>
      </c>
      <c r="Z1812" s="3" t="n">
        <v>0</v>
      </c>
      <c r="AA1812" s="32" t="n">
        <v>0</v>
      </c>
      <c r="AB1812" s="3" t="n"/>
      <c r="AC1812" s="31" t="n">
        <v>0</v>
      </c>
      <c r="AD1812" s="2" t="n">
        <v>0</v>
      </c>
      <c r="AE1812" s="2" t="n">
        <v>8</v>
      </c>
      <c r="AF1812" s="4" t="n">
        <v>8</v>
      </c>
      <c r="AG1812" s="33" t="n">
        <v>0</v>
      </c>
      <c r="AH1812" s="4" t="n">
        <v>0</v>
      </c>
      <c r="AI1812" s="34" t="n"/>
      <c r="AJ1812" s="34" t="n">
        <v>0</v>
      </c>
      <c r="AK1812" s="2" t="n">
        <v>0</v>
      </c>
      <c r="AL1812" t="inlineStr">
        <is>
          <t>Published</t>
        </is>
      </c>
    </row>
    <row r="1813">
      <c r="A1813">
        <f>HYPERLINK("https://www.walmart.com/ip/865250796", "865250796")</f>
        <v/>
      </c>
      <c r="B1813">
        <f>HYPERLINK("https://app.optiwise.ai/catalog/itemdetails/360327", "Tirrinia Surf Poncho Changing Towel with Hood, Quick Dry Microfiber Wetsuit Changing Robe for Surfing Beach Swim Pool Water Sports, Oversized, Black")</f>
        <v/>
      </c>
      <c r="C1813" t="inlineStr">
        <is>
          <t>1TRBR100-BK</t>
        </is>
      </c>
      <c r="D1813" t="inlineStr">
        <is>
          <t>Clothing</t>
        </is>
      </c>
      <c r="E1813" t="inlineStr">
        <is>
          <t>default</t>
        </is>
      </c>
      <c r="F1813" t="inlineStr">
        <is>
          <t>Tirrinia</t>
        </is>
      </c>
      <c r="G1813" t="n">
        <v>5</v>
      </c>
      <c r="H1813" t="n">
        <v>2</v>
      </c>
      <c r="I1813" t="inlineStr">
        <is>
          <t>Batch 1 - TR</t>
        </is>
      </c>
      <c r="J1813" s="29" t="n">
        <v>0</v>
      </c>
      <c r="K1813" s="30" t="n"/>
      <c r="L1813" s="29" t="n">
        <v>0</v>
      </c>
      <c r="M1813" s="29" t="n">
        <v>0</v>
      </c>
      <c r="N1813" s="2" t="n">
        <v>0</v>
      </c>
      <c r="O1813" s="31" t="n">
        <v>0</v>
      </c>
      <c r="P1813" s="32" t="n"/>
      <c r="Q1813" s="32" t="n">
        <v>0</v>
      </c>
      <c r="R1813" s="32" t="n">
        <v>0</v>
      </c>
      <c r="S1813" s="31" t="n">
        <v>0</v>
      </c>
      <c r="T1813" s="32" t="n">
        <v>0</v>
      </c>
      <c r="U1813" s="31" t="n">
        <v>0</v>
      </c>
      <c r="V1813" s="31" t="n">
        <v>0</v>
      </c>
      <c r="W1813" s="3" t="n">
        <v>0</v>
      </c>
      <c r="X1813" s="3" t="n">
        <v>0</v>
      </c>
      <c r="Y1813" s="32" t="n">
        <v>0</v>
      </c>
      <c r="Z1813" s="3" t="n">
        <v>0</v>
      </c>
      <c r="AA1813" s="32" t="n">
        <v>0</v>
      </c>
      <c r="AB1813" s="3" t="n"/>
      <c r="AC1813" s="31" t="n">
        <v>0</v>
      </c>
      <c r="AD1813" s="2" t="n">
        <v>0</v>
      </c>
      <c r="AE1813" s="2" t="n">
        <v>9</v>
      </c>
      <c r="AF1813" s="4" t="n">
        <v>9</v>
      </c>
      <c r="AG1813" s="33" t="n">
        <v>0</v>
      </c>
      <c r="AH1813" s="4" t="n">
        <v>0</v>
      </c>
      <c r="AI1813" s="34" t="n"/>
      <c r="AJ1813" s="34" t="n">
        <v>0</v>
      </c>
      <c r="AK1813" s="2" t="n">
        <v>0</v>
      </c>
      <c r="AL1813" t="inlineStr">
        <is>
          <t>Published</t>
        </is>
      </c>
    </row>
    <row r="1814">
      <c r="A1814">
        <f>HYPERLINK("https://www.walmart.com/ip/169423090", "169423090")</f>
        <v/>
      </c>
      <c r="B1814">
        <f>HYPERLINK("https://app.optiwise.ai/catalog/itemdetails/360331", "Tirrinia Wearable Fleece Blanket with Sleeves and Pocket for Women and Men, Super-Soft Microplush Full Body Robe for Lounge Couch, Grey, 51 x 73")</f>
        <v/>
      </c>
      <c r="C1814" t="inlineStr">
        <is>
          <t>1TRSN100GY-TBCB</t>
        </is>
      </c>
      <c r="D1814" t="inlineStr">
        <is>
          <t>Bedding</t>
        </is>
      </c>
      <c r="E1814" t="inlineStr">
        <is>
          <t>Throws</t>
        </is>
      </c>
      <c r="F1814" t="inlineStr">
        <is>
          <t>Tirrinia</t>
        </is>
      </c>
      <c r="G1814" t="n">
        <v>4.5</v>
      </c>
      <c r="H1814" t="n">
        <v>37</v>
      </c>
      <c r="I1814" t="inlineStr">
        <is>
          <t>Optimized,WFS Item</t>
        </is>
      </c>
      <c r="J1814" s="29" t="n">
        <v>0</v>
      </c>
      <c r="K1814" s="30" t="n"/>
      <c r="L1814" s="29" t="n">
        <v>0</v>
      </c>
      <c r="M1814" s="29" t="n">
        <v>0</v>
      </c>
      <c r="N1814" s="2" t="n">
        <v>0</v>
      </c>
      <c r="O1814" s="31" t="n">
        <v>0</v>
      </c>
      <c r="P1814" s="32" t="n"/>
      <c r="Q1814" s="32" t="n">
        <v>0</v>
      </c>
      <c r="R1814" s="32" t="n">
        <v>3.0859</v>
      </c>
      <c r="S1814" s="31" t="n">
        <v>0</v>
      </c>
      <c r="T1814" s="32" t="n">
        <v>0</v>
      </c>
      <c r="U1814" s="31" t="n">
        <v>0</v>
      </c>
      <c r="V1814" s="31" t="n">
        <v>0</v>
      </c>
      <c r="W1814" s="3" t="n">
        <v>0</v>
      </c>
      <c r="X1814" s="3" t="n">
        <v>0</v>
      </c>
      <c r="Y1814" s="32" t="n">
        <v>0</v>
      </c>
      <c r="Z1814" s="3" t="n">
        <v>0</v>
      </c>
      <c r="AA1814" s="32" t="n">
        <v>0</v>
      </c>
      <c r="AB1814" s="3" t="n"/>
      <c r="AC1814" s="31" t="n">
        <v>0</v>
      </c>
      <c r="AD1814" s="2" t="n">
        <v>0</v>
      </c>
      <c r="AE1814" s="2" t="n">
        <v>19</v>
      </c>
      <c r="AF1814" s="4" t="n">
        <v>19</v>
      </c>
      <c r="AG1814" s="33" t="n">
        <v>0</v>
      </c>
      <c r="AH1814" s="4" t="n">
        <v>0</v>
      </c>
      <c r="AI1814" s="34" t="n"/>
      <c r="AJ1814" s="34" t="n">
        <v>0</v>
      </c>
      <c r="AK1814" s="2" t="n">
        <v>0</v>
      </c>
      <c r="AL1814" t="inlineStr">
        <is>
          <t>Published</t>
        </is>
      </c>
    </row>
    <row r="1815">
      <c r="A1815">
        <f>HYPERLINK("https://www.walmart.com/ip/699140737", "699140737")</f>
        <v/>
      </c>
      <c r="B1815">
        <f>HYPERLINK("https://app.optiwise.ai/catalog/itemdetails/360585", "KC Caps Thick Weave Waffle Knit Beanie")</f>
        <v/>
      </c>
      <c r="C1815" t="inlineStr">
        <is>
          <t>KCW1600NV</t>
        </is>
      </c>
      <c r="D1815" t="inlineStr">
        <is>
          <t>Clothing</t>
        </is>
      </c>
      <c r="E1815" t="inlineStr">
        <is>
          <t>Hats</t>
        </is>
      </c>
      <c r="F1815" t="inlineStr">
        <is>
          <t>KC Caps</t>
        </is>
      </c>
      <c r="G1815" t="n">
        <v>0</v>
      </c>
      <c r="H1815" t="n">
        <v>0</v>
      </c>
      <c r="I1815" t="inlineStr">
        <is>
          <t>Optimized</t>
        </is>
      </c>
      <c r="J1815" s="29" t="n">
        <v>0</v>
      </c>
      <c r="K1815" s="30" t="n"/>
      <c r="L1815" s="29" t="n">
        <v>6.989999771118164</v>
      </c>
      <c r="M1815" s="29" t="n">
        <v>0</v>
      </c>
      <c r="N1815" s="2" t="n">
        <v>0</v>
      </c>
      <c r="O1815" s="31" t="n">
        <v>0</v>
      </c>
      <c r="P1815" s="32" t="n"/>
      <c r="Q1815" s="32" t="n">
        <v>0</v>
      </c>
      <c r="R1815" s="32" t="n">
        <v>0</v>
      </c>
      <c r="S1815" s="31" t="n">
        <v>0</v>
      </c>
      <c r="T1815" s="32" t="n">
        <v>0</v>
      </c>
      <c r="U1815" s="31" t="n">
        <v>0</v>
      </c>
      <c r="V1815" s="31" t="n">
        <v>0</v>
      </c>
      <c r="W1815" s="3" t="n">
        <v>0</v>
      </c>
      <c r="X1815" s="3" t="n">
        <v>0</v>
      </c>
      <c r="Y1815" s="32" t="n">
        <v>0</v>
      </c>
      <c r="Z1815" s="3" t="n">
        <v>0</v>
      </c>
      <c r="AA1815" s="32" t="n">
        <v>0</v>
      </c>
      <c r="AB1815" s="3" t="n"/>
      <c r="AC1815" s="31" t="n">
        <v>0</v>
      </c>
      <c r="AD1815" s="2" t="n">
        <v>0</v>
      </c>
      <c r="AE1815" s="2" t="n">
        <v>4</v>
      </c>
      <c r="AF1815" s="4" t="n">
        <v>4</v>
      </c>
      <c r="AG1815" s="33" t="n">
        <v>0</v>
      </c>
      <c r="AH1815" s="4" t="n">
        <v>0</v>
      </c>
      <c r="AI1815" s="34" t="n"/>
      <c r="AJ1815" s="34" t="n">
        <v>0</v>
      </c>
      <c r="AK1815" s="2" t="n">
        <v>0</v>
      </c>
      <c r="AL1815" t="inlineStr">
        <is>
          <t>Published</t>
        </is>
      </c>
    </row>
    <row r="1816">
      <c r="A1816">
        <f>HYPERLINK("https://www.walmart.com/ip/155182167", "155182167")</f>
        <v/>
      </c>
      <c r="B1816">
        <f>HYPERLINK("https://app.optiwise.ai/catalog/itemdetails/360634", "JenniWears® Women's Plus Size Sexy Lingerie Lace Babydolls 2 Pieces Mesh Chemises and G-string for Halloween")</f>
        <v/>
      </c>
      <c r="C1816" t="inlineStr">
        <is>
          <t>JWBD06BKPP-M</t>
        </is>
      </c>
      <c r="D1816" t="inlineStr">
        <is>
          <t>Clothing</t>
        </is>
      </c>
      <c r="E1816" t="inlineStr">
        <is>
          <t>Lingerie Sets</t>
        </is>
      </c>
      <c r="F1816" t="inlineStr">
        <is>
          <t>JenniWears</t>
        </is>
      </c>
      <c r="G1816" t="n">
        <v>0</v>
      </c>
      <c r="H1816" t="n">
        <v>0</v>
      </c>
      <c r="I1816" t="inlineStr">
        <is>
          <t>Valentine</t>
        </is>
      </c>
      <c r="J1816" s="29" t="n">
        <v>0</v>
      </c>
      <c r="K1816" s="30" t="n"/>
      <c r="L1816" s="29" t="n">
        <v>15.97999954223633</v>
      </c>
      <c r="M1816" s="29" t="n">
        <v>0</v>
      </c>
      <c r="N1816" s="2" t="n">
        <v>0</v>
      </c>
      <c r="O1816" s="31" t="n">
        <v>0</v>
      </c>
      <c r="P1816" s="32" t="n"/>
      <c r="Q1816" s="32" t="n">
        <v>0</v>
      </c>
      <c r="R1816" s="32" t="n">
        <v>0</v>
      </c>
      <c r="S1816" s="31" t="n">
        <v>0</v>
      </c>
      <c r="T1816" s="32" t="n">
        <v>0</v>
      </c>
      <c r="U1816" s="31" t="n">
        <v>0</v>
      </c>
      <c r="V1816" s="31" t="n">
        <v>0</v>
      </c>
      <c r="W1816" s="3" t="n">
        <v>0</v>
      </c>
      <c r="X1816" s="3" t="n">
        <v>0</v>
      </c>
      <c r="Y1816" s="32" t="n">
        <v>0</v>
      </c>
      <c r="Z1816" s="3" t="n">
        <v>0</v>
      </c>
      <c r="AA1816" s="32" t="n">
        <v>0</v>
      </c>
      <c r="AB1816" s="3" t="n"/>
      <c r="AC1816" s="31" t="n">
        <v>0</v>
      </c>
      <c r="AD1816" s="2" t="n">
        <v>0</v>
      </c>
      <c r="AE1816" s="2" t="n">
        <v>10</v>
      </c>
      <c r="AF1816" s="4" t="n">
        <v>10</v>
      </c>
      <c r="AG1816" s="33" t="n">
        <v>0</v>
      </c>
      <c r="AH1816" s="4" t="n">
        <v>0</v>
      </c>
      <c r="AI1816" s="34" t="n"/>
      <c r="AJ1816" s="34" t="n">
        <v>0</v>
      </c>
      <c r="AK1816" s="2" t="n">
        <v>0</v>
      </c>
      <c r="AL1816" t="inlineStr">
        <is>
          <t>Published</t>
        </is>
      </c>
    </row>
    <row r="1817">
      <c r="A1817">
        <f>HYPERLINK("https://www.walmart.com/ip/342298154", "342298154")</f>
        <v/>
      </c>
      <c r="B1817">
        <f>HYPERLINK("https://app.optiwise.ai/catalog/itemdetails/360631", "Insulated Expandable Lunch Bags Tote Thermal Cooler Leak Proof Travel Container Food Case for Adults Adjustable Shoulder")</f>
        <v/>
      </c>
      <c r="C1817" t="inlineStr">
        <is>
          <t>1KTLB110GR</t>
        </is>
      </c>
      <c r="D1817" t="inlineStr">
        <is>
          <t>Cases &amp; Bags</t>
        </is>
      </c>
      <c r="E1817" t="inlineStr">
        <is>
          <t>Reusable Lunch Bags &amp; Boxes</t>
        </is>
      </c>
      <c r="F1817" t="inlineStr">
        <is>
          <t>Kato</t>
        </is>
      </c>
      <c r="G1817" t="n">
        <v>0</v>
      </c>
      <c r="H1817" t="n">
        <v>0</v>
      </c>
      <c r="I1817" t="inlineStr">
        <is>
          <t>Lunch Bag,Optimized,SEM</t>
        </is>
      </c>
      <c r="J1817" s="29" t="n">
        <v>0</v>
      </c>
      <c r="K1817" s="30" t="n"/>
      <c r="L1817" s="29" t="n">
        <v>0</v>
      </c>
      <c r="M1817" s="29" t="n">
        <v>0</v>
      </c>
      <c r="N1817" s="2" t="n">
        <v>0</v>
      </c>
      <c r="O1817" s="31" t="n">
        <v>0</v>
      </c>
      <c r="P1817" s="32" t="n"/>
      <c r="Q1817" s="32" t="n">
        <v>0</v>
      </c>
      <c r="R1817" s="32" t="n">
        <v>0</v>
      </c>
      <c r="S1817" s="31" t="n">
        <v>0</v>
      </c>
      <c r="T1817" s="32" t="n">
        <v>0</v>
      </c>
      <c r="U1817" s="31" t="n">
        <v>0</v>
      </c>
      <c r="V1817" s="31" t="n">
        <v>0</v>
      </c>
      <c r="W1817" s="3" t="n">
        <v>0</v>
      </c>
      <c r="X1817" s="3" t="n">
        <v>0</v>
      </c>
      <c r="Y1817" s="32" t="n">
        <v>0</v>
      </c>
      <c r="Z1817" s="3" t="n">
        <v>0</v>
      </c>
      <c r="AA1817" s="32" t="n">
        <v>0</v>
      </c>
      <c r="AB1817" s="3" t="n"/>
      <c r="AC1817" s="31" t="n">
        <v>0</v>
      </c>
      <c r="AD1817" s="2" t="n">
        <v>0</v>
      </c>
      <c r="AE1817" s="2" t="n">
        <v>13</v>
      </c>
      <c r="AF1817" s="4" t="n">
        <v>13</v>
      </c>
      <c r="AG1817" s="33" t="n">
        <v>0</v>
      </c>
      <c r="AH1817" s="4" t="n">
        <v>0</v>
      </c>
      <c r="AI1817" s="34" t="n"/>
      <c r="AJ1817" s="34" t="n">
        <v>0</v>
      </c>
      <c r="AK1817" s="2" t="n">
        <v>0</v>
      </c>
      <c r="AL1817" t="inlineStr">
        <is>
          <t>Published</t>
        </is>
      </c>
    </row>
    <row r="1818">
      <c r="A1818">
        <f>HYPERLINK("https://www.walmart.com/ip/689835417", "689835417")</f>
        <v/>
      </c>
      <c r="B1818">
        <f>HYPERLINK("https://app.optiwise.ai/catalog/itemdetails/360629", "KritterWorld Pet Dog Cat Puppy Kitten Reversible  Blanket Throw 45 x30 Latte/Brown")</f>
        <v/>
      </c>
      <c r="C1818" t="inlineStr">
        <is>
          <t>DOG3045-LTBR</t>
        </is>
      </c>
      <c r="D1818" t="inlineStr">
        <is>
          <t>Animal Accessories</t>
        </is>
      </c>
      <c r="E1818" t="inlineStr">
        <is>
          <t>Pet Blankets</t>
        </is>
      </c>
      <c r="F1818" t="inlineStr">
        <is>
          <t>KritterWorld</t>
        </is>
      </c>
      <c r="G1818" t="n">
        <v>0</v>
      </c>
      <c r="H1818" t="n">
        <v>0</v>
      </c>
      <c r="J1818" s="29" t="n">
        <v>0</v>
      </c>
      <c r="K1818" s="30" t="n"/>
      <c r="L1818" s="29" t="n">
        <v>0</v>
      </c>
      <c r="M1818" s="29" t="n">
        <v>0</v>
      </c>
      <c r="N1818" s="2" t="n">
        <v>0</v>
      </c>
      <c r="O1818" s="31" t="n">
        <v>0</v>
      </c>
      <c r="P1818" s="32" t="n"/>
      <c r="Q1818" s="32" t="n">
        <v>0</v>
      </c>
      <c r="R1818" s="32" t="n">
        <v>0</v>
      </c>
      <c r="S1818" s="31" t="n">
        <v>0</v>
      </c>
      <c r="T1818" s="32" t="n">
        <v>0</v>
      </c>
      <c r="U1818" s="31" t="n">
        <v>0</v>
      </c>
      <c r="V1818" s="31" t="n">
        <v>0</v>
      </c>
      <c r="W1818" s="3" t="n">
        <v>0</v>
      </c>
      <c r="X1818" s="3" t="n">
        <v>0</v>
      </c>
      <c r="Y1818" s="32" t="n">
        <v>0</v>
      </c>
      <c r="Z1818" s="3" t="n">
        <v>0</v>
      </c>
      <c r="AA1818" s="32" t="n">
        <v>0</v>
      </c>
      <c r="AB1818" s="3" t="n"/>
      <c r="AC1818" s="31" t="n">
        <v>0</v>
      </c>
      <c r="AD1818" s="2" t="n">
        <v>0</v>
      </c>
      <c r="AE1818" s="2" t="n">
        <v>5</v>
      </c>
      <c r="AF1818" s="4" t="n">
        <v>5</v>
      </c>
      <c r="AG1818" s="33" t="n">
        <v>0</v>
      </c>
      <c r="AH1818" s="4" t="n">
        <v>0</v>
      </c>
      <c r="AI1818" s="34" t="n"/>
      <c r="AJ1818" s="34" t="n">
        <v>0</v>
      </c>
      <c r="AK1818" s="2" t="n">
        <v>0</v>
      </c>
      <c r="AL1818" t="inlineStr">
        <is>
          <t>Published</t>
        </is>
      </c>
    </row>
    <row r="1819">
      <c r="A1819">
        <f>HYPERLINK("https://www.walmart.com/ip/225498817", "225498817")</f>
        <v/>
      </c>
      <c r="B1819">
        <f>HYPERLINK("https://app.optiwise.ai/catalog/itemdetails/360623", "Bucket Summer Mens Sun Hat Water Repel Mesh Net Light Weight UV Protection Outdoor Cap by Solaris")</f>
        <v/>
      </c>
      <c r="C1819" t="inlineStr">
        <is>
          <t>1SLSH191GN</t>
        </is>
      </c>
      <c r="D1819" t="inlineStr">
        <is>
          <t>Clothing</t>
        </is>
      </c>
      <c r="E1819" t="inlineStr">
        <is>
          <t>Hats</t>
        </is>
      </c>
      <c r="F1819" t="inlineStr">
        <is>
          <t>Solaris</t>
        </is>
      </c>
      <c r="G1819" t="n">
        <v>4.7</v>
      </c>
      <c r="H1819" t="n">
        <v>3</v>
      </c>
      <c r="I1819" t="inlineStr">
        <is>
          <t>Hats,Batch 1 - TR</t>
        </is>
      </c>
      <c r="J1819" s="29" t="n">
        <v>0</v>
      </c>
      <c r="K1819" s="30" t="n"/>
      <c r="L1819" s="29" t="n">
        <v>0</v>
      </c>
      <c r="M1819" s="29" t="n">
        <v>0</v>
      </c>
      <c r="N1819" s="2" t="n">
        <v>0</v>
      </c>
      <c r="O1819" s="31" t="n">
        <v>0</v>
      </c>
      <c r="P1819" s="32" t="n"/>
      <c r="Q1819" s="32" t="n">
        <v>0</v>
      </c>
      <c r="R1819" s="32" t="n">
        <v>0</v>
      </c>
      <c r="S1819" s="31" t="n">
        <v>0</v>
      </c>
      <c r="T1819" s="32" t="n">
        <v>0</v>
      </c>
      <c r="U1819" s="31" t="n">
        <v>0</v>
      </c>
      <c r="V1819" s="31" t="n">
        <v>0</v>
      </c>
      <c r="W1819" s="3" t="n">
        <v>0</v>
      </c>
      <c r="X1819" s="3" t="n">
        <v>0</v>
      </c>
      <c r="Y1819" s="32" t="n">
        <v>0</v>
      </c>
      <c r="Z1819" s="3" t="n">
        <v>0</v>
      </c>
      <c r="AA1819" s="32" t="n">
        <v>0</v>
      </c>
      <c r="AB1819" s="3" t="n"/>
      <c r="AC1819" s="31" t="n">
        <v>0</v>
      </c>
      <c r="AD1819" s="2" t="n">
        <v>0</v>
      </c>
      <c r="AE1819" s="2" t="n">
        <v>9</v>
      </c>
      <c r="AF1819" s="4" t="n">
        <v>9</v>
      </c>
      <c r="AG1819" s="33" t="n">
        <v>0</v>
      </c>
      <c r="AH1819" s="4" t="n">
        <v>0</v>
      </c>
      <c r="AI1819" s="34" t="n"/>
      <c r="AJ1819" s="34" t="n">
        <v>0</v>
      </c>
      <c r="AK1819" s="2" t="n">
        <v>0</v>
      </c>
      <c r="AL1819" t="inlineStr">
        <is>
          <t>Published</t>
        </is>
      </c>
    </row>
    <row r="1820">
      <c r="A1820">
        <f>HYPERLINK("https://www.walmart.com/ip/695590866", "695590866")</f>
        <v/>
      </c>
      <c r="B1820">
        <f>HYPERLINK("https://app.optiwise.ai/catalog/itemdetails/360622", "Two Pieces Tankini Swimsuit for Women Shoulder Strap Swimwear Bikini Bottom Bathing Suits Set by Tirrinia")</f>
        <v/>
      </c>
      <c r="C1820" t="inlineStr">
        <is>
          <t>1TRSS006BKBK-L</t>
        </is>
      </c>
      <c r="D1820" t="inlineStr">
        <is>
          <t>Clothing</t>
        </is>
      </c>
      <c r="E1820" t="inlineStr">
        <is>
          <t>Swimsuit Sets</t>
        </is>
      </c>
      <c r="F1820" t="inlineStr">
        <is>
          <t>Tirrinia</t>
        </is>
      </c>
      <c r="G1820" t="n">
        <v>0</v>
      </c>
      <c r="H1820" t="n">
        <v>0</v>
      </c>
      <c r="I1820" t="inlineStr">
        <is>
          <t>Batch 1 - TR</t>
        </is>
      </c>
      <c r="J1820" s="29" t="n">
        <v>0</v>
      </c>
      <c r="K1820" s="30" t="n"/>
      <c r="L1820" s="29" t="n">
        <v>0</v>
      </c>
      <c r="M1820" s="29" t="n">
        <v>0</v>
      </c>
      <c r="N1820" s="2" t="n">
        <v>0</v>
      </c>
      <c r="O1820" s="31" t="n">
        <v>0</v>
      </c>
      <c r="P1820" s="32" t="n"/>
      <c r="Q1820" s="32" t="n">
        <v>0</v>
      </c>
      <c r="R1820" s="32" t="n">
        <v>0</v>
      </c>
      <c r="S1820" s="31" t="n">
        <v>0</v>
      </c>
      <c r="T1820" s="32" t="n">
        <v>0</v>
      </c>
      <c r="U1820" s="31" t="n">
        <v>0</v>
      </c>
      <c r="V1820" s="31" t="n">
        <v>0</v>
      </c>
      <c r="W1820" s="3" t="n">
        <v>0</v>
      </c>
      <c r="X1820" s="3" t="n">
        <v>0</v>
      </c>
      <c r="Y1820" s="32" t="n">
        <v>0</v>
      </c>
      <c r="Z1820" s="3" t="n">
        <v>0</v>
      </c>
      <c r="AA1820" s="32" t="n">
        <v>0</v>
      </c>
      <c r="AB1820" s="3" t="n"/>
      <c r="AC1820" s="31" t="n">
        <v>0</v>
      </c>
      <c r="AD1820" s="2" t="n">
        <v>0</v>
      </c>
      <c r="AE1820" s="2" t="n">
        <v>15</v>
      </c>
      <c r="AF1820" s="4" t="n">
        <v>15</v>
      </c>
      <c r="AG1820" s="33" t="n">
        <v>0</v>
      </c>
      <c r="AH1820" s="4" t="n">
        <v>0</v>
      </c>
      <c r="AI1820" s="34" t="n"/>
      <c r="AJ1820" s="34" t="n">
        <v>0</v>
      </c>
      <c r="AK1820" s="2" t="n">
        <v>0</v>
      </c>
      <c r="AL1820" t="inlineStr">
        <is>
          <t>Published</t>
        </is>
      </c>
    </row>
    <row r="1821">
      <c r="A1821">
        <f>HYPERLINK("https://www.walmart.com/ip/149457462", "149457462")</f>
        <v/>
      </c>
      <c r="B1821">
        <f>HYPERLINK("https://app.optiwise.ai/catalog/itemdetails/360612", "Napa® Mens Super Soft Warm Microfiber Fleece Plush Bathrobe Spa Robe with Pockets Latte")</f>
        <v/>
      </c>
      <c r="C1821" t="inlineStr">
        <is>
          <t>R5000LATTE-02</t>
        </is>
      </c>
      <c r="D1821" t="inlineStr">
        <is>
          <t>Clothing</t>
        </is>
      </c>
      <c r="E1821" t="inlineStr">
        <is>
          <t>Sleepwear Robes &amp; Bathrobes</t>
        </is>
      </c>
      <c r="F1821" t="inlineStr">
        <is>
          <t>NAPA</t>
        </is>
      </c>
      <c r="G1821" t="n">
        <v>5</v>
      </c>
      <c r="H1821" t="n">
        <v>2</v>
      </c>
      <c r="J1821" s="29" t="n">
        <v>0</v>
      </c>
      <c r="K1821" s="30" t="n"/>
      <c r="L1821" s="29" t="n">
        <v>0</v>
      </c>
      <c r="M1821" s="29" t="n">
        <v>0</v>
      </c>
      <c r="N1821" s="2" t="n">
        <v>0</v>
      </c>
      <c r="O1821" s="31" t="n">
        <v>0</v>
      </c>
      <c r="P1821" s="32" t="n"/>
      <c r="Q1821" s="32" t="n">
        <v>0</v>
      </c>
      <c r="R1821" s="32" t="n">
        <v>0</v>
      </c>
      <c r="S1821" s="31" t="n">
        <v>0</v>
      </c>
      <c r="T1821" s="32" t="n">
        <v>0</v>
      </c>
      <c r="U1821" s="31" t="n">
        <v>0</v>
      </c>
      <c r="V1821" s="31" t="n">
        <v>0</v>
      </c>
      <c r="W1821" s="3" t="n">
        <v>0</v>
      </c>
      <c r="X1821" s="3" t="n">
        <v>0</v>
      </c>
      <c r="Y1821" s="32" t="n">
        <v>0</v>
      </c>
      <c r="Z1821" s="3" t="n">
        <v>0</v>
      </c>
      <c r="AA1821" s="32" t="n">
        <v>0</v>
      </c>
      <c r="AB1821" s="3" t="n"/>
      <c r="AC1821" s="31" t="n">
        <v>0</v>
      </c>
      <c r="AD1821" s="2" t="n">
        <v>0</v>
      </c>
      <c r="AE1821" s="2" t="n">
        <v>3</v>
      </c>
      <c r="AF1821" s="4" t="n">
        <v>3</v>
      </c>
      <c r="AG1821" s="33" t="n">
        <v>0</v>
      </c>
      <c r="AH1821" s="4" t="n">
        <v>0</v>
      </c>
      <c r="AI1821" s="34" t="n"/>
      <c r="AJ1821" s="34" t="n">
        <v>0</v>
      </c>
      <c r="AK1821" s="2" t="n">
        <v>0</v>
      </c>
      <c r="AL1821" t="inlineStr">
        <is>
          <t>Published</t>
        </is>
      </c>
    </row>
    <row r="1822">
      <c r="A1822">
        <f>HYPERLINK("https://www.walmart.com/ip/298770903", "298770903")</f>
        <v/>
      </c>
      <c r="B1822">
        <f>HYPERLINK("https://app.optiwise.ai/catalog/itemdetails/360610", "Women’s Crop Top Hoodie Sweatshirt Oversized Casual 3/4 Sleeve One Size Cheetah")</f>
        <v/>
      </c>
      <c r="C1822" t="inlineStr">
        <is>
          <t>1WMHD520S1CHEETAH</t>
        </is>
      </c>
      <c r="D1822" t="inlineStr">
        <is>
          <t>Clothing</t>
        </is>
      </c>
      <c r="E1822" t="inlineStr">
        <is>
          <t>Sweatshirts &amp; Hoodies</t>
        </is>
      </c>
      <c r="F1822" t="inlineStr">
        <is>
          <t>Flyingstar</t>
        </is>
      </c>
      <c r="G1822" t="n">
        <v>0</v>
      </c>
      <c r="H1822" t="n">
        <v>0</v>
      </c>
      <c r="I1822" t="inlineStr">
        <is>
          <t>Batch 1 - TR</t>
        </is>
      </c>
      <c r="J1822" s="29" t="n">
        <v>0</v>
      </c>
      <c r="K1822" s="30" t="n"/>
      <c r="L1822" s="29" t="n">
        <v>0</v>
      </c>
      <c r="M1822" s="29" t="n">
        <v>0</v>
      </c>
      <c r="N1822" s="2" t="n">
        <v>0</v>
      </c>
      <c r="O1822" s="31" t="n">
        <v>13.76</v>
      </c>
      <c r="P1822" s="32" t="n">
        <v>0.0016</v>
      </c>
      <c r="Q1822" s="32" t="n">
        <v>0</v>
      </c>
      <c r="R1822" s="32" t="n">
        <v>0</v>
      </c>
      <c r="S1822" s="31" t="n">
        <v>0</v>
      </c>
      <c r="T1822" s="32" t="n">
        <v>0</v>
      </c>
      <c r="U1822" s="31" t="n">
        <v>0</v>
      </c>
      <c r="V1822" s="31" t="n">
        <v>0</v>
      </c>
      <c r="W1822" s="3" t="n">
        <v>19104</v>
      </c>
      <c r="X1822" s="3" t="n">
        <v>37</v>
      </c>
      <c r="Y1822" s="32" t="n">
        <v>0.0019</v>
      </c>
      <c r="Z1822" s="3" t="n">
        <v>0</v>
      </c>
      <c r="AA1822" s="32" t="n">
        <v>0</v>
      </c>
      <c r="AB1822" s="3" t="inlineStr">
        <is>
          <t>Hoodies_Auto</t>
        </is>
      </c>
      <c r="AC1822" s="31" t="n">
        <v>0.37</v>
      </c>
      <c r="AD1822" s="2" t="n">
        <v>0</v>
      </c>
      <c r="AE1822" s="2" t="n">
        <v>18</v>
      </c>
      <c r="AF1822" s="4" t="inlineStr">
        <is>
          <t>NA</t>
        </is>
      </c>
      <c r="AG1822" s="33" t="n">
        <v>0</v>
      </c>
      <c r="AH1822" s="4" t="n">
        <v>0</v>
      </c>
      <c r="AI1822" s="34" t="inlineStr">
        <is>
          <t>NA</t>
        </is>
      </c>
      <c r="AJ1822" s="34" t="n">
        <v>0</v>
      </c>
      <c r="AK1822" s="2" t="n">
        <v>0</v>
      </c>
      <c r="AL1822" t="inlineStr">
        <is>
          <t>Published</t>
        </is>
      </c>
    </row>
    <row r="1823">
      <c r="A1823">
        <f>HYPERLINK("https://www.walmart.com/ip/869555940", "869555940")</f>
        <v/>
      </c>
      <c r="B1823">
        <f>HYPERLINK("https://app.optiwise.ai/catalog/itemdetails/360607", "Catalonia Wearable TV Blanket with Sleeves Arms &amp; Feet pockets for Adult Micro Plush Fleece Large Wrap Throw Robe 75 x 5")</f>
        <v/>
      </c>
      <c r="C1823" t="inlineStr">
        <is>
          <t>1CTSN101CHEETAH</t>
        </is>
      </c>
      <c r="D1823" t="inlineStr">
        <is>
          <t>Bedding</t>
        </is>
      </c>
      <c r="E1823" t="inlineStr">
        <is>
          <t>Throws</t>
        </is>
      </c>
      <c r="F1823" t="inlineStr">
        <is>
          <t>Catalonia</t>
        </is>
      </c>
      <c r="G1823" t="n">
        <v>0</v>
      </c>
      <c r="H1823" t="n">
        <v>0</v>
      </c>
      <c r="I1823" t="inlineStr">
        <is>
          <t>WFS,WFS Item,Fleece Blankets</t>
        </is>
      </c>
      <c r="J1823" s="29" t="n">
        <v>0</v>
      </c>
      <c r="K1823" s="30" t="n"/>
      <c r="L1823" s="29" t="n">
        <v>0</v>
      </c>
      <c r="M1823" s="29" t="n">
        <v>0</v>
      </c>
      <c r="N1823" s="2" t="n">
        <v>0</v>
      </c>
      <c r="O1823" s="31" t="n">
        <v>0</v>
      </c>
      <c r="P1823" s="32" t="n"/>
      <c r="Q1823" s="32" t="n">
        <v>0</v>
      </c>
      <c r="R1823" s="32" t="n">
        <v>0</v>
      </c>
      <c r="S1823" s="31" t="n">
        <v>0</v>
      </c>
      <c r="T1823" s="32" t="n">
        <v>0</v>
      </c>
      <c r="U1823" s="31" t="n">
        <v>0</v>
      </c>
      <c r="V1823" s="31" t="n">
        <v>0</v>
      </c>
      <c r="W1823" s="3" t="n">
        <v>0</v>
      </c>
      <c r="X1823" s="3" t="n">
        <v>0</v>
      </c>
      <c r="Y1823" s="32" t="n">
        <v>0</v>
      </c>
      <c r="Z1823" s="3" t="n">
        <v>0</v>
      </c>
      <c r="AA1823" s="32" t="n">
        <v>0</v>
      </c>
      <c r="AB1823" s="3" t="n"/>
      <c r="AC1823" s="31" t="n">
        <v>0</v>
      </c>
      <c r="AD1823" s="2" t="n">
        <v>5</v>
      </c>
      <c r="AE1823" s="2" t="n">
        <v>43</v>
      </c>
      <c r="AF1823" s="4" t="n">
        <v>43</v>
      </c>
      <c r="AG1823" s="33" t="n">
        <v>0</v>
      </c>
      <c r="AH1823" s="4" t="n">
        <v>0</v>
      </c>
      <c r="AI1823" s="34" t="n"/>
      <c r="AJ1823" s="34" t="n">
        <v>0</v>
      </c>
      <c r="AK1823" s="2" t="n">
        <v>0</v>
      </c>
      <c r="AL1823" t="inlineStr">
        <is>
          <t>Published</t>
        </is>
      </c>
    </row>
    <row r="1824">
      <c r="A1824">
        <f>HYPERLINK("https://www.walmart.com/ip/191690313", "191690313")</f>
        <v/>
      </c>
      <c r="B1824">
        <f>HYPERLINK("https://app.optiwise.ai/catalog/itemdetails/360603", "KC Caps Sun Flare Racing Cap Black with Red Flames")</f>
        <v/>
      </c>
      <c r="C1824" t="inlineStr">
        <is>
          <t>KC-FL12</t>
        </is>
      </c>
      <c r="D1824" t="inlineStr">
        <is>
          <t>Clothing</t>
        </is>
      </c>
      <c r="E1824" t="inlineStr">
        <is>
          <t>Hats</t>
        </is>
      </c>
      <c r="F1824" t="inlineStr">
        <is>
          <t>KC Caps</t>
        </is>
      </c>
      <c r="G1824" t="n">
        <v>0</v>
      </c>
      <c r="H1824" t="n">
        <v>0</v>
      </c>
      <c r="I1824" t="inlineStr">
        <is>
          <t>Optimized</t>
        </is>
      </c>
      <c r="J1824" s="29" t="n">
        <v>0</v>
      </c>
      <c r="K1824" s="30" t="n"/>
      <c r="L1824" s="29" t="n">
        <v>0</v>
      </c>
      <c r="M1824" s="29" t="n">
        <v>0</v>
      </c>
      <c r="N1824" s="2" t="n">
        <v>0</v>
      </c>
      <c r="O1824" s="31" t="n">
        <v>0</v>
      </c>
      <c r="P1824" s="32" t="n"/>
      <c r="Q1824" s="32" t="n">
        <v>0</v>
      </c>
      <c r="R1824" s="32" t="n">
        <v>0</v>
      </c>
      <c r="S1824" s="31" t="n">
        <v>0</v>
      </c>
      <c r="T1824" s="32" t="n">
        <v>0</v>
      </c>
      <c r="U1824" s="31" t="n">
        <v>0</v>
      </c>
      <c r="V1824" s="31" t="n">
        <v>0</v>
      </c>
      <c r="W1824" s="3" t="n">
        <v>0</v>
      </c>
      <c r="X1824" s="3" t="n">
        <v>0</v>
      </c>
      <c r="Y1824" s="32" t="n">
        <v>0</v>
      </c>
      <c r="Z1824" s="3" t="n">
        <v>0</v>
      </c>
      <c r="AA1824" s="32" t="n">
        <v>0</v>
      </c>
      <c r="AB1824" s="3" t="n"/>
      <c r="AC1824" s="31" t="n">
        <v>0</v>
      </c>
      <c r="AD1824" s="2" t="n">
        <v>0</v>
      </c>
      <c r="AE1824" s="2" t="n">
        <v>4</v>
      </c>
      <c r="AF1824" s="4" t="n">
        <v>4</v>
      </c>
      <c r="AG1824" s="33" t="n">
        <v>0</v>
      </c>
      <c r="AH1824" s="4" t="n">
        <v>0</v>
      </c>
      <c r="AI1824" s="34" t="n"/>
      <c r="AJ1824" s="34" t="n">
        <v>0</v>
      </c>
      <c r="AK1824" s="2" t="n">
        <v>0</v>
      </c>
      <c r="AL1824" t="inlineStr">
        <is>
          <t>Published</t>
        </is>
      </c>
    </row>
    <row r="1825">
      <c r="A1825">
        <f>HYPERLINK("https://www.walmart.com/ip/795260720", "795260720")</f>
        <v/>
      </c>
      <c r="B1825">
        <f>HYPERLINK("https://app.optiwise.ai/catalog/itemdetails/360602", "Tirrinia Sherpa Wearable Blanket for Adult Women and Men, Super Soft Comfy Warm Plush Throw with Sleeves TV Blanket Wrap Robe Cover for  Sofa, Couch 72 x 55 Zebra")</f>
        <v/>
      </c>
      <c r="C1825" t="inlineStr">
        <is>
          <t>1TRSN110ZEBRA</t>
        </is>
      </c>
      <c r="D1825" t="inlineStr">
        <is>
          <t>Bedding</t>
        </is>
      </c>
      <c r="E1825" t="inlineStr">
        <is>
          <t>Throws</t>
        </is>
      </c>
      <c r="F1825" t="inlineStr">
        <is>
          <t>Terrania</t>
        </is>
      </c>
      <c r="G1825" t="n">
        <v>0</v>
      </c>
      <c r="H1825" t="n">
        <v>0</v>
      </c>
      <c r="I1825" t="inlineStr">
        <is>
          <t>Q2-Target,Coupon_Discount</t>
        </is>
      </c>
      <c r="J1825" s="29" t="n">
        <v>0</v>
      </c>
      <c r="K1825" s="30" t="n"/>
      <c r="L1825" s="29" t="n">
        <v>0</v>
      </c>
      <c r="M1825" s="29" t="n">
        <v>0</v>
      </c>
      <c r="N1825" s="2" t="n">
        <v>0</v>
      </c>
      <c r="O1825" s="31" t="n">
        <v>0</v>
      </c>
      <c r="P1825" s="32" t="n"/>
      <c r="Q1825" s="32" t="n">
        <v>0</v>
      </c>
      <c r="R1825" s="32" t="n">
        <v>0</v>
      </c>
      <c r="S1825" s="31" t="n">
        <v>0</v>
      </c>
      <c r="T1825" s="32" t="n">
        <v>0</v>
      </c>
      <c r="U1825" s="31" t="n">
        <v>0</v>
      </c>
      <c r="V1825" s="31" t="n">
        <v>0</v>
      </c>
      <c r="W1825" s="3" t="n">
        <v>0</v>
      </c>
      <c r="X1825" s="3" t="n">
        <v>0</v>
      </c>
      <c r="Y1825" s="32" t="n">
        <v>0</v>
      </c>
      <c r="Z1825" s="3" t="n">
        <v>0</v>
      </c>
      <c r="AA1825" s="32" t="n">
        <v>0</v>
      </c>
      <c r="AB1825" s="3" t="n"/>
      <c r="AC1825" s="31" t="n">
        <v>0</v>
      </c>
      <c r="AD1825" s="2" t="n">
        <v>0</v>
      </c>
      <c r="AE1825" s="2" t="n">
        <v>13</v>
      </c>
      <c r="AF1825" s="4" t="n">
        <v>13</v>
      </c>
      <c r="AG1825" s="33" t="n">
        <v>0</v>
      </c>
      <c r="AH1825" s="4" t="n">
        <v>0</v>
      </c>
      <c r="AI1825" s="34" t="n"/>
      <c r="AJ1825" s="34" t="n">
        <v>0</v>
      </c>
      <c r="AK1825" s="2" t="n">
        <v>0</v>
      </c>
      <c r="AL1825" t="inlineStr">
        <is>
          <t>Published</t>
        </is>
      </c>
    </row>
    <row r="1826">
      <c r="A1826">
        <f>HYPERLINK("https://www.walmart.com/ip/890059500", "890059500")</f>
        <v/>
      </c>
      <c r="B1826">
        <f>HYPERLINK("https://app.optiwise.ai/catalog/itemdetails/360588", "Summer Caps for Men and Women Patriotic Independence Day USA Flag UV Protect  Adjustable Unisex Hats for Sports")</f>
        <v/>
      </c>
      <c r="C1826" t="inlineStr">
        <is>
          <t>1WMBC100WH</t>
        </is>
      </c>
      <c r="D1826" t="inlineStr">
        <is>
          <t>Sport &amp; Recreation Other</t>
        </is>
      </c>
      <c r="E1826" t="inlineStr">
        <is>
          <t>Hats</t>
        </is>
      </c>
      <c r="F1826" t="inlineStr">
        <is>
          <t>Flyingstar</t>
        </is>
      </c>
      <c r="G1826" t="n">
        <v>5</v>
      </c>
      <c r="H1826" t="n">
        <v>2</v>
      </c>
      <c r="I1826" t="inlineStr">
        <is>
          <t>Hats,Batch 1 - TR</t>
        </is>
      </c>
      <c r="J1826" s="29" t="n">
        <v>0</v>
      </c>
      <c r="K1826" s="30" t="n"/>
      <c r="L1826" s="29" t="n">
        <v>0</v>
      </c>
      <c r="M1826" s="29" t="n">
        <v>0</v>
      </c>
      <c r="N1826" s="2" t="n">
        <v>0</v>
      </c>
      <c r="O1826" s="31" t="n">
        <v>0</v>
      </c>
      <c r="P1826" s="32" t="n"/>
      <c r="Q1826" s="32" t="n">
        <v>0</v>
      </c>
      <c r="R1826" s="32" t="n">
        <v>0</v>
      </c>
      <c r="S1826" s="31" t="n">
        <v>0</v>
      </c>
      <c r="T1826" s="32" t="n">
        <v>0</v>
      </c>
      <c r="U1826" s="31" t="n">
        <v>0</v>
      </c>
      <c r="V1826" s="31" t="n">
        <v>0</v>
      </c>
      <c r="W1826" s="3" t="n">
        <v>0</v>
      </c>
      <c r="X1826" s="3" t="n">
        <v>0</v>
      </c>
      <c r="Y1826" s="32" t="n">
        <v>0</v>
      </c>
      <c r="Z1826" s="3" t="n">
        <v>0</v>
      </c>
      <c r="AA1826" s="32" t="n">
        <v>0</v>
      </c>
      <c r="AB1826" s="3" t="n"/>
      <c r="AC1826" s="31" t="n">
        <v>0</v>
      </c>
      <c r="AD1826" s="2" t="n">
        <v>0</v>
      </c>
      <c r="AE1826" s="2" t="n">
        <v>1</v>
      </c>
      <c r="AF1826" s="4" t="n">
        <v>1</v>
      </c>
      <c r="AG1826" s="33" t="n">
        <v>0</v>
      </c>
      <c r="AH1826" s="4" t="n">
        <v>0</v>
      </c>
      <c r="AI1826" s="34" t="n"/>
      <c r="AJ1826" s="34" t="n">
        <v>0</v>
      </c>
      <c r="AK1826" s="2" t="n">
        <v>0</v>
      </c>
      <c r="AL1826" t="inlineStr">
        <is>
          <t>Published</t>
        </is>
      </c>
    </row>
    <row r="1827">
      <c r="A1827">
        <f>HYPERLINK("https://www.walmart.com/ip/777545397", "777545397")</f>
        <v/>
      </c>
      <c r="B1827">
        <f>HYPERLINK("https://app.optiwise.ai/catalog/itemdetails/360584", "Bucket Sun Hat Cute Cap for Women Fashion Fold-up Brim Packable Summer Beach by Solaris")</f>
        <v/>
      </c>
      <c r="C1827" t="inlineStr">
        <is>
          <t>1SLSH9200FLWGR-FSCB</t>
        </is>
      </c>
      <c r="D1827" t="inlineStr">
        <is>
          <t>Clothing</t>
        </is>
      </c>
      <c r="E1827" t="inlineStr">
        <is>
          <t>Hats</t>
        </is>
      </c>
      <c r="F1827" t="inlineStr">
        <is>
          <t>Solaris</t>
        </is>
      </c>
      <c r="G1827" t="n">
        <v>0</v>
      </c>
      <c r="H1827" t="n">
        <v>0</v>
      </c>
      <c r="J1827" s="29" t="n">
        <v>0</v>
      </c>
      <c r="K1827" s="30" t="n"/>
      <c r="L1827" s="29" t="n">
        <v>0</v>
      </c>
      <c r="M1827" s="29" t="n">
        <v>0</v>
      </c>
      <c r="N1827" s="2" t="n">
        <v>0</v>
      </c>
      <c r="O1827" s="31" t="n">
        <v>0</v>
      </c>
      <c r="P1827" s="32" t="n"/>
      <c r="Q1827" s="32" t="n">
        <v>0</v>
      </c>
      <c r="R1827" s="32" t="n">
        <v>0</v>
      </c>
      <c r="S1827" s="31" t="n">
        <v>0</v>
      </c>
      <c r="T1827" s="32" t="n">
        <v>0</v>
      </c>
      <c r="U1827" s="31" t="n">
        <v>0</v>
      </c>
      <c r="V1827" s="31" t="n">
        <v>0</v>
      </c>
      <c r="W1827" s="3" t="n">
        <v>0</v>
      </c>
      <c r="X1827" s="3" t="n">
        <v>0</v>
      </c>
      <c r="Y1827" s="32" t="n">
        <v>0</v>
      </c>
      <c r="Z1827" s="3" t="n">
        <v>0</v>
      </c>
      <c r="AA1827" s="32" t="n">
        <v>0</v>
      </c>
      <c r="AB1827" s="3" t="n"/>
      <c r="AC1827" s="31" t="n">
        <v>0</v>
      </c>
      <c r="AD1827" s="2" t="n">
        <v>0</v>
      </c>
      <c r="AE1827" s="2" t="n">
        <v>5</v>
      </c>
      <c r="AF1827" s="4" t="n">
        <v>5</v>
      </c>
      <c r="AG1827" s="33" t="n">
        <v>0</v>
      </c>
      <c r="AH1827" s="4" t="n">
        <v>0</v>
      </c>
      <c r="AI1827" s="34" t="n"/>
      <c r="AJ1827" s="34" t="n">
        <v>0</v>
      </c>
      <c r="AK1827" s="2" t="n">
        <v>0</v>
      </c>
      <c r="AL1827" t="inlineStr">
        <is>
          <t>Published</t>
        </is>
      </c>
    </row>
    <row r="1828">
      <c r="A1828">
        <f>HYPERLINK("https://www.walmart.com/ip/759415807", "759415807")</f>
        <v/>
      </c>
      <c r="B1828">
        <f>HYPERLINK("https://app.optiwise.ai/catalog/itemdetails/360636", "Tirrinia Women Floppy Straw Sun Hat Wide Brim Striped Beach Cap Foldable, Black, Head Circumference Measures 22.5”, Brim Measures 3.5”.")</f>
        <v/>
      </c>
      <c r="C1828" t="inlineStr">
        <is>
          <t>1TRSH101BK-TBCB</t>
        </is>
      </c>
      <c r="D1828" t="inlineStr">
        <is>
          <t>Clothing</t>
        </is>
      </c>
      <c r="E1828" t="inlineStr">
        <is>
          <t>Hats</t>
        </is>
      </c>
      <c r="F1828" t="inlineStr">
        <is>
          <t>Tirrinia</t>
        </is>
      </c>
      <c r="G1828" t="n">
        <v>3.3</v>
      </c>
      <c r="H1828" t="n">
        <v>3</v>
      </c>
      <c r="I1828" t="inlineStr">
        <is>
          <t>Q2-Target</t>
        </is>
      </c>
      <c r="J1828" s="29" t="n">
        <v>0</v>
      </c>
      <c r="K1828" s="30" t="n"/>
      <c r="L1828" s="29" t="n">
        <v>0</v>
      </c>
      <c r="M1828" s="29" t="n">
        <v>0</v>
      </c>
      <c r="N1828" s="2" t="n">
        <v>0</v>
      </c>
      <c r="O1828" s="31" t="n">
        <v>0</v>
      </c>
      <c r="P1828" s="32" t="n"/>
      <c r="Q1828" s="32" t="n">
        <v>0</v>
      </c>
      <c r="R1828" s="32" t="n">
        <v>0</v>
      </c>
      <c r="S1828" s="31" t="n">
        <v>0</v>
      </c>
      <c r="T1828" s="32" t="n">
        <v>0</v>
      </c>
      <c r="U1828" s="31" t="n">
        <v>0</v>
      </c>
      <c r="V1828" s="31" t="n">
        <v>0</v>
      </c>
      <c r="W1828" s="3" t="n">
        <v>0</v>
      </c>
      <c r="X1828" s="3" t="n">
        <v>0</v>
      </c>
      <c r="Y1828" s="32" t="n">
        <v>0</v>
      </c>
      <c r="Z1828" s="3" t="n">
        <v>0</v>
      </c>
      <c r="AA1828" s="32" t="n">
        <v>0</v>
      </c>
      <c r="AB1828" s="3" t="n"/>
      <c r="AC1828" s="31" t="n">
        <v>0</v>
      </c>
      <c r="AD1828" s="2" t="n">
        <v>0</v>
      </c>
      <c r="AE1828" s="2" t="n">
        <v>13</v>
      </c>
      <c r="AF1828" s="4" t="n">
        <v>13</v>
      </c>
      <c r="AG1828" s="33" t="n">
        <v>0</v>
      </c>
      <c r="AH1828" s="4" t="n">
        <v>0</v>
      </c>
      <c r="AI1828" s="34" t="n"/>
      <c r="AJ1828" s="34" t="n">
        <v>0</v>
      </c>
      <c r="AK1828" s="2" t="n">
        <v>0</v>
      </c>
      <c r="AL1828" t="inlineStr">
        <is>
          <t>Published</t>
        </is>
      </c>
    </row>
    <row r="1829">
      <c r="A1829">
        <f>HYPERLINK("https://www.walmart.com/ip/599654251", "599654251")</f>
        <v/>
      </c>
      <c r="B1829">
        <f>HYPERLINK("https://app.optiwise.ai/catalog/itemdetails/360582", "Terra Boxer Briefs Mens 3 Pack Underwear Elastic Waistband Solid New Classic Fit")</f>
        <v/>
      </c>
      <c r="C1829" t="inlineStr">
        <is>
          <t>TERRA-BOXER7-L</t>
        </is>
      </c>
      <c r="D1829" t="inlineStr">
        <is>
          <t>Clothing</t>
        </is>
      </c>
      <c r="E1829" t="inlineStr">
        <is>
          <t>Underpants</t>
        </is>
      </c>
      <c r="F1829" t="inlineStr">
        <is>
          <t>Terra</t>
        </is>
      </c>
      <c r="G1829" t="n">
        <v>3.3</v>
      </c>
      <c r="H1829" t="n">
        <v>6</v>
      </c>
      <c r="I1829" t="inlineStr">
        <is>
          <t>Batch 1 - TR</t>
        </is>
      </c>
      <c r="J1829" s="29" t="n">
        <v>0</v>
      </c>
      <c r="K1829" s="30" t="n"/>
      <c r="L1829" s="29" t="n">
        <v>0</v>
      </c>
      <c r="M1829" s="29" t="n">
        <v>0</v>
      </c>
      <c r="N1829" s="2" t="n">
        <v>0</v>
      </c>
      <c r="O1829" s="31" t="n">
        <v>0</v>
      </c>
      <c r="P1829" s="32" t="n"/>
      <c r="Q1829" s="32" t="n">
        <v>0</v>
      </c>
      <c r="R1829" s="32" t="n">
        <v>0</v>
      </c>
      <c r="S1829" s="31" t="n">
        <v>0</v>
      </c>
      <c r="T1829" s="32" t="n">
        <v>0</v>
      </c>
      <c r="U1829" s="31" t="n">
        <v>0</v>
      </c>
      <c r="V1829" s="31" t="n">
        <v>0</v>
      </c>
      <c r="W1829" s="3" t="n">
        <v>0</v>
      </c>
      <c r="X1829" s="3" t="n">
        <v>0</v>
      </c>
      <c r="Y1829" s="32" t="n">
        <v>0</v>
      </c>
      <c r="Z1829" s="3" t="n">
        <v>0</v>
      </c>
      <c r="AA1829" s="32" t="n">
        <v>0</v>
      </c>
      <c r="AB1829" s="3" t="n"/>
      <c r="AC1829" s="31" t="n">
        <v>0</v>
      </c>
      <c r="AD1829" s="2" t="n">
        <v>0</v>
      </c>
      <c r="AE1829" s="2" t="n">
        <v>16</v>
      </c>
      <c r="AF1829" s="4" t="n">
        <v>16</v>
      </c>
      <c r="AG1829" s="33" t="n">
        <v>0</v>
      </c>
      <c r="AH1829" s="4" t="n">
        <v>0</v>
      </c>
      <c r="AI1829" s="34" t="n"/>
      <c r="AJ1829" s="34" t="n">
        <v>0</v>
      </c>
      <c r="AK1829" s="2" t="n">
        <v>0</v>
      </c>
      <c r="AL1829" t="inlineStr">
        <is>
          <t>Published</t>
        </is>
      </c>
    </row>
    <row r="1830">
      <c r="A1830">
        <f>HYPERLINK("https://www.walmart.com/ip/133994242", "133994242")</f>
        <v/>
      </c>
      <c r="B1830">
        <f>HYPERLINK("https://app.optiwise.ai/catalog/itemdetails/360572", "KC Caps Sun Flare Racing Cap Black")</f>
        <v/>
      </c>
      <c r="C1830" t="inlineStr">
        <is>
          <t>KC-FL01</t>
        </is>
      </c>
      <c r="D1830" t="inlineStr">
        <is>
          <t>Clothing</t>
        </is>
      </c>
      <c r="E1830" t="inlineStr">
        <is>
          <t>Hats</t>
        </is>
      </c>
      <c r="F1830" t="inlineStr">
        <is>
          <t>KC Caps</t>
        </is>
      </c>
      <c r="G1830" t="n">
        <v>0</v>
      </c>
      <c r="H1830" t="n">
        <v>0</v>
      </c>
      <c r="I1830" t="inlineStr">
        <is>
          <t>Optimized</t>
        </is>
      </c>
      <c r="J1830" s="29" t="n">
        <v>0</v>
      </c>
      <c r="K1830" s="30" t="n"/>
      <c r="L1830" s="29" t="n">
        <v>0</v>
      </c>
      <c r="M1830" s="29" t="n">
        <v>0</v>
      </c>
      <c r="N1830" s="2" t="n">
        <v>0</v>
      </c>
      <c r="O1830" s="31" t="n">
        <v>0</v>
      </c>
      <c r="P1830" s="32" t="n"/>
      <c r="Q1830" s="32" t="n">
        <v>0</v>
      </c>
      <c r="R1830" s="32" t="n">
        <v>0</v>
      </c>
      <c r="S1830" s="31" t="n">
        <v>0</v>
      </c>
      <c r="T1830" s="32" t="n">
        <v>0</v>
      </c>
      <c r="U1830" s="31" t="n">
        <v>0</v>
      </c>
      <c r="V1830" s="31" t="n">
        <v>0</v>
      </c>
      <c r="W1830" s="3" t="n">
        <v>0</v>
      </c>
      <c r="X1830" s="3" t="n">
        <v>0</v>
      </c>
      <c r="Y1830" s="32" t="n">
        <v>0</v>
      </c>
      <c r="Z1830" s="3" t="n">
        <v>0</v>
      </c>
      <c r="AA1830" s="32" t="n">
        <v>0</v>
      </c>
      <c r="AB1830" s="3" t="n"/>
      <c r="AC1830" s="31" t="n">
        <v>0</v>
      </c>
      <c r="AD1830" s="2" t="n">
        <v>0</v>
      </c>
      <c r="AE1830" s="2" t="n">
        <v>4</v>
      </c>
      <c r="AF1830" s="4" t="n">
        <v>4</v>
      </c>
      <c r="AG1830" s="33" t="n">
        <v>0</v>
      </c>
      <c r="AH1830" s="4" t="n">
        <v>0</v>
      </c>
      <c r="AI1830" s="34" t="n"/>
      <c r="AJ1830" s="34" t="n">
        <v>0</v>
      </c>
      <c r="AK1830" s="2" t="n">
        <v>0</v>
      </c>
      <c r="AL1830" t="inlineStr">
        <is>
          <t>Published</t>
        </is>
      </c>
    </row>
    <row r="1831">
      <c r="A1831">
        <f>HYPERLINK("https://www.walmart.com/ip/936528233", "936528233")</f>
        <v/>
      </c>
      <c r="B1831">
        <f>HYPERLINK("https://app.optiwise.ai/catalog/itemdetails/360569", "Sun Blocker Outdoor Sun Protection Fishing Cap with Neck Flap, Wide Brim Sun Hat for Travel Camping Hiking Hunting Boating Safari Cap with Adjustable Drawstring, Digital Gray")</f>
        <v/>
      </c>
      <c r="C1831" t="inlineStr">
        <is>
          <t>kc-s9150-digigy-ZFH</t>
        </is>
      </c>
      <c r="D1831" t="inlineStr">
        <is>
          <t>Clothing</t>
        </is>
      </c>
      <c r="E1831" t="inlineStr">
        <is>
          <t>Hats</t>
        </is>
      </c>
      <c r="F1831" t="inlineStr">
        <is>
          <t>Sun Blocker</t>
        </is>
      </c>
      <c r="G1831" t="n">
        <v>4.5</v>
      </c>
      <c r="H1831" t="n">
        <v>11</v>
      </c>
      <c r="I1831" t="inlineStr">
        <is>
          <t>Optimized</t>
        </is>
      </c>
      <c r="J1831" s="29" t="n">
        <v>0</v>
      </c>
      <c r="K1831" s="30" t="n"/>
      <c r="L1831" s="29" t="n">
        <v>0</v>
      </c>
      <c r="M1831" s="29" t="n">
        <v>0</v>
      </c>
      <c r="N1831" s="2" t="n">
        <v>0</v>
      </c>
      <c r="O1831" s="31" t="n">
        <v>0</v>
      </c>
      <c r="P1831" s="32" t="n"/>
      <c r="Q1831" s="32" t="n">
        <v>0</v>
      </c>
      <c r="R1831" s="32" t="n">
        <v>0</v>
      </c>
      <c r="S1831" s="31" t="n">
        <v>0</v>
      </c>
      <c r="T1831" s="32" t="n">
        <v>0</v>
      </c>
      <c r="U1831" s="31" t="n">
        <v>0</v>
      </c>
      <c r="V1831" s="31" t="n">
        <v>0</v>
      </c>
      <c r="W1831" s="3" t="n">
        <v>0</v>
      </c>
      <c r="X1831" s="3" t="n">
        <v>0</v>
      </c>
      <c r="Y1831" s="32" t="n">
        <v>0</v>
      </c>
      <c r="Z1831" s="3" t="n">
        <v>0</v>
      </c>
      <c r="AA1831" s="32" t="n">
        <v>0</v>
      </c>
      <c r="AB1831" s="3" t="n"/>
      <c r="AC1831" s="31" t="n">
        <v>0</v>
      </c>
      <c r="AD1831" s="2" t="n">
        <v>0</v>
      </c>
      <c r="AE1831" s="2" t="n">
        <v>2</v>
      </c>
      <c r="AF1831" s="4" t="n">
        <v>2</v>
      </c>
      <c r="AG1831" s="33" t="n">
        <v>0</v>
      </c>
      <c r="AH1831" s="4" t="n">
        <v>0</v>
      </c>
      <c r="AI1831" s="34" t="n"/>
      <c r="AJ1831" s="34" t="n">
        <v>0</v>
      </c>
      <c r="AK1831" s="2" t="n">
        <v>0</v>
      </c>
      <c r="AL1831" t="inlineStr">
        <is>
          <t>Published</t>
        </is>
      </c>
    </row>
    <row r="1832">
      <c r="A1832">
        <f>HYPERLINK("https://www.walmart.com/ip/181224146", "181224146")</f>
        <v/>
      </c>
      <c r="B1832">
        <f>HYPERLINK("https://app.optiwise.ai/catalog/itemdetails/360568", "KC Caps Youth Washed Bucket Hat One Size Fit Most")</f>
        <v/>
      </c>
      <c r="C1832" t="inlineStr">
        <is>
          <t>KC9180BK-Y</t>
        </is>
      </c>
      <c r="D1832" t="inlineStr">
        <is>
          <t>Clothing</t>
        </is>
      </c>
      <c r="E1832" t="inlineStr">
        <is>
          <t>Hats</t>
        </is>
      </c>
      <c r="F1832" t="inlineStr">
        <is>
          <t>KC Caps</t>
        </is>
      </c>
      <c r="G1832" t="n">
        <v>1</v>
      </c>
      <c r="H1832" t="n">
        <v>1</v>
      </c>
      <c r="I1832" t="inlineStr">
        <is>
          <t>Batch 1 - TR</t>
        </is>
      </c>
      <c r="J1832" s="29" t="n">
        <v>0</v>
      </c>
      <c r="K1832" s="30" t="n"/>
      <c r="L1832" s="29" t="n">
        <v>0</v>
      </c>
      <c r="M1832" s="29" t="n">
        <v>0</v>
      </c>
      <c r="N1832" s="2" t="n">
        <v>0</v>
      </c>
      <c r="O1832" s="31" t="n">
        <v>0</v>
      </c>
      <c r="P1832" s="32" t="n"/>
      <c r="Q1832" s="32" t="n">
        <v>0</v>
      </c>
      <c r="R1832" s="32" t="n">
        <v>0</v>
      </c>
      <c r="S1832" s="31" t="n">
        <v>0</v>
      </c>
      <c r="T1832" s="32" t="n">
        <v>0</v>
      </c>
      <c r="U1832" s="31" t="n">
        <v>0</v>
      </c>
      <c r="V1832" s="31" t="n">
        <v>0</v>
      </c>
      <c r="W1832" s="3" t="n">
        <v>0</v>
      </c>
      <c r="X1832" s="3" t="n">
        <v>0</v>
      </c>
      <c r="Y1832" s="32" t="n">
        <v>0</v>
      </c>
      <c r="Z1832" s="3" t="n">
        <v>0</v>
      </c>
      <c r="AA1832" s="32" t="n">
        <v>0</v>
      </c>
      <c r="AB1832" s="3" t="n"/>
      <c r="AC1832" s="31" t="n">
        <v>0</v>
      </c>
      <c r="AD1832" s="2" t="n">
        <v>0</v>
      </c>
      <c r="AE1832" s="2" t="n">
        <v>1</v>
      </c>
      <c r="AF1832" s="4" t="n">
        <v>1</v>
      </c>
      <c r="AG1832" s="33" t="n">
        <v>0</v>
      </c>
      <c r="AH1832" s="4" t="n">
        <v>0</v>
      </c>
      <c r="AI1832" s="34" t="n"/>
      <c r="AJ1832" s="34" t="n">
        <v>0</v>
      </c>
      <c r="AK1832" s="2" t="n">
        <v>0</v>
      </c>
      <c r="AL1832" t="inlineStr">
        <is>
          <t>Published</t>
        </is>
      </c>
    </row>
    <row r="1833">
      <c r="A1833">
        <f>HYPERLINK("https://www.walmart.com/ip/837207100", "837207100")</f>
        <v/>
      </c>
      <c r="B1833">
        <f>HYPERLINK("https://app.optiwise.ai/catalog/itemdetails/360567", "Grey Sherpa Throw Blanket, Super Soft Fluffy Fuzzy Comfy Velvet Plush Fleece TV Blankets and Throws for Sofa Couch Bed for Adults Child, 50”x60”, Melange, by Catalonia")</f>
        <v/>
      </c>
      <c r="C1833" t="inlineStr">
        <is>
          <t>1CTBF321DG</t>
        </is>
      </c>
      <c r="D1833" t="inlineStr">
        <is>
          <t>Bedding</t>
        </is>
      </c>
      <c r="E1833" t="inlineStr">
        <is>
          <t>Throws</t>
        </is>
      </c>
      <c r="F1833" t="inlineStr">
        <is>
          <t>Catalonia</t>
        </is>
      </c>
      <c r="G1833" t="n">
        <v>0</v>
      </c>
      <c r="H1833" t="n">
        <v>0</v>
      </c>
      <c r="I1833" t="inlineStr">
        <is>
          <t>Q2-Target,WFS,Coupon_Discount,WFS Item</t>
        </is>
      </c>
      <c r="J1833" s="29" t="n">
        <v>0</v>
      </c>
      <c r="K1833" s="30" t="n"/>
      <c r="L1833" s="29" t="n">
        <v>0</v>
      </c>
      <c r="M1833" s="29" t="n">
        <v>0</v>
      </c>
      <c r="N1833" s="2" t="n">
        <v>0</v>
      </c>
      <c r="O1833" s="31" t="n">
        <v>0</v>
      </c>
      <c r="P1833" s="32" t="n"/>
      <c r="Q1833" s="32" t="n">
        <v>0</v>
      </c>
      <c r="R1833" s="32" t="n">
        <v>0</v>
      </c>
      <c r="S1833" s="31" t="n">
        <v>0</v>
      </c>
      <c r="T1833" s="32" t="n">
        <v>0</v>
      </c>
      <c r="U1833" s="31" t="n">
        <v>0</v>
      </c>
      <c r="V1833" s="31" t="n">
        <v>0</v>
      </c>
      <c r="W1833" s="3" t="n">
        <v>0</v>
      </c>
      <c r="X1833" s="3" t="n">
        <v>0</v>
      </c>
      <c r="Y1833" s="32" t="n">
        <v>0</v>
      </c>
      <c r="Z1833" s="3" t="n">
        <v>0</v>
      </c>
      <c r="AA1833" s="32" t="n">
        <v>0</v>
      </c>
      <c r="AB1833" s="3" t="n"/>
      <c r="AC1833" s="31" t="n">
        <v>0</v>
      </c>
      <c r="AD1833" s="2" t="n">
        <v>0</v>
      </c>
      <c r="AE1833" s="2" t="n">
        <v>177</v>
      </c>
      <c r="AF1833" s="4" t="n">
        <v>177</v>
      </c>
      <c r="AG1833" s="33" t="n">
        <v>0</v>
      </c>
      <c r="AH1833" s="4" t="n">
        <v>0</v>
      </c>
      <c r="AI1833" s="34" t="n"/>
      <c r="AJ1833" s="34" t="n">
        <v>0</v>
      </c>
      <c r="AK1833" s="2" t="n">
        <v>0</v>
      </c>
      <c r="AL1833" t="inlineStr">
        <is>
          <t>Published</t>
        </is>
      </c>
    </row>
    <row r="1834">
      <c r="A1834">
        <f>HYPERLINK("https://www.walmart.com/ip/739132543", "739132543")</f>
        <v/>
      </c>
      <c r="B1834">
        <f>HYPERLINK("https://app.optiwise.ai/catalog/itemdetails/360566", "Catalonia Sherpa Throw Blanket, Reversible Cozy Waffle Pattern Knitted Blanket Throw for Couch Bed 60x50")</f>
        <v/>
      </c>
      <c r="C1834" t="inlineStr">
        <is>
          <t>1CTBN300GY</t>
        </is>
      </c>
      <c r="D1834" t="inlineStr">
        <is>
          <t>Bedding</t>
        </is>
      </c>
      <c r="E1834" t="inlineStr">
        <is>
          <t>Throws</t>
        </is>
      </c>
      <c r="F1834" t="inlineStr">
        <is>
          <t>Catalonia</t>
        </is>
      </c>
      <c r="G1834" t="n">
        <v>0</v>
      </c>
      <c r="H1834" t="n">
        <v>0</v>
      </c>
      <c r="I1834" t="inlineStr">
        <is>
          <t>Q2-Target,WFS,Coupon_Discount,WFS Item</t>
        </is>
      </c>
      <c r="J1834" s="29" t="n">
        <v>0</v>
      </c>
      <c r="K1834" s="30" t="n"/>
      <c r="L1834" s="29" t="n">
        <v>0</v>
      </c>
      <c r="M1834" s="29" t="n">
        <v>0</v>
      </c>
      <c r="N1834" s="2" t="n">
        <v>0</v>
      </c>
      <c r="O1834" s="31" t="n">
        <v>0</v>
      </c>
      <c r="P1834" s="32" t="n"/>
      <c r="Q1834" s="32" t="n">
        <v>0</v>
      </c>
      <c r="R1834" s="32" t="n">
        <v>0</v>
      </c>
      <c r="S1834" s="31" t="n">
        <v>0</v>
      </c>
      <c r="T1834" s="32" t="n">
        <v>0</v>
      </c>
      <c r="U1834" s="31" t="n">
        <v>0</v>
      </c>
      <c r="V1834" s="31" t="n">
        <v>0</v>
      </c>
      <c r="W1834" s="3" t="n">
        <v>0</v>
      </c>
      <c r="X1834" s="3" t="n">
        <v>0</v>
      </c>
      <c r="Y1834" s="32" t="n">
        <v>0</v>
      </c>
      <c r="Z1834" s="3" t="n">
        <v>0</v>
      </c>
      <c r="AA1834" s="32" t="n">
        <v>0</v>
      </c>
      <c r="AB1834" s="3" t="n"/>
      <c r="AC1834" s="31" t="n">
        <v>0</v>
      </c>
      <c r="AD1834" s="2" t="n">
        <v>0</v>
      </c>
      <c r="AE1834" s="2" t="n">
        <v>23</v>
      </c>
      <c r="AF1834" s="4" t="n">
        <v>23</v>
      </c>
      <c r="AG1834" s="33" t="n">
        <v>0</v>
      </c>
      <c r="AH1834" s="4" t="n">
        <v>0</v>
      </c>
      <c r="AI1834" s="34" t="n"/>
      <c r="AJ1834" s="34" t="n">
        <v>0</v>
      </c>
      <c r="AK1834" s="2" t="n">
        <v>0</v>
      </c>
      <c r="AL1834" t="inlineStr">
        <is>
          <t>Published</t>
        </is>
      </c>
    </row>
    <row r="1835">
      <c r="A1835">
        <f>HYPERLINK("https://www.walmart.com/ip/147549406", "147549406")</f>
        <v/>
      </c>
      <c r="B1835">
        <f>HYPERLINK("https://app.optiwise.ai/catalog/itemdetails/360559", "JenniWears® Women's Ultra Sheer Lace Top Thigh High Pantyhose - 6 Packs")</f>
        <v/>
      </c>
      <c r="C1835" t="inlineStr">
        <is>
          <t>JWBLSPH2015-6pcs</t>
        </is>
      </c>
      <c r="D1835" t="inlineStr">
        <is>
          <t>Clothing</t>
        </is>
      </c>
      <c r="E1835" t="inlineStr">
        <is>
          <t>Pantyhose &amp; Tights</t>
        </is>
      </c>
      <c r="F1835" t="inlineStr">
        <is>
          <t>JenniWears</t>
        </is>
      </c>
      <c r="G1835" t="n">
        <v>0</v>
      </c>
      <c r="H1835" t="n">
        <v>0</v>
      </c>
      <c r="I1835" t="inlineStr">
        <is>
          <t>Optimized,Valentine</t>
        </is>
      </c>
      <c r="J1835" s="29" t="n">
        <v>0</v>
      </c>
      <c r="K1835" s="30" t="n"/>
      <c r="L1835" s="29" t="n">
        <v>0</v>
      </c>
      <c r="M1835" s="29" t="n">
        <v>0</v>
      </c>
      <c r="N1835" s="2" t="n">
        <v>0</v>
      </c>
      <c r="O1835" s="31" t="n">
        <v>0</v>
      </c>
      <c r="P1835" s="32" t="n"/>
      <c r="Q1835" s="32" t="n">
        <v>0</v>
      </c>
      <c r="R1835" s="32" t="n">
        <v>0</v>
      </c>
      <c r="S1835" s="31" t="n">
        <v>0</v>
      </c>
      <c r="T1835" s="32" t="n">
        <v>0</v>
      </c>
      <c r="U1835" s="31" t="n">
        <v>0</v>
      </c>
      <c r="V1835" s="31" t="n">
        <v>0</v>
      </c>
      <c r="W1835" s="3" t="n">
        <v>0</v>
      </c>
      <c r="X1835" s="3" t="n">
        <v>0</v>
      </c>
      <c r="Y1835" s="32" t="n">
        <v>0</v>
      </c>
      <c r="Z1835" s="3" t="n">
        <v>0</v>
      </c>
      <c r="AA1835" s="32" t="n">
        <v>0</v>
      </c>
      <c r="AB1835" s="3" t="n"/>
      <c r="AC1835" s="31" t="n">
        <v>0</v>
      </c>
      <c r="AD1835" s="2" t="n">
        <v>0</v>
      </c>
      <c r="AE1835" s="2" t="n">
        <v>1</v>
      </c>
      <c r="AF1835" s="4" t="n">
        <v>1</v>
      </c>
      <c r="AG1835" s="33" t="n">
        <v>0</v>
      </c>
      <c r="AH1835" s="4" t="n">
        <v>0</v>
      </c>
      <c r="AI1835" s="34" t="n"/>
      <c r="AJ1835" s="34" t="n">
        <v>0</v>
      </c>
      <c r="AK1835" s="2" t="n">
        <v>0</v>
      </c>
      <c r="AL1835" t="inlineStr">
        <is>
          <t>Published</t>
        </is>
      </c>
    </row>
    <row r="1836">
      <c r="A1836">
        <f>HYPERLINK("https://www.walmart.com/ip/998009042", "998009042")</f>
        <v/>
      </c>
      <c r="B1836">
        <f>HYPERLINK("https://app.optiwise.ai/catalog/itemdetails/360558", "Tirrinia Insulated 2 Bottle Wine Carrier Tote Cooler Bag for Travel Picnic Padded Champagne Glass")</f>
        <v/>
      </c>
      <c r="C1836" t="inlineStr">
        <is>
          <t>1WMWB231WTFL</t>
        </is>
      </c>
      <c r="D1836" t="inlineStr">
        <is>
          <t>Home Decor, Kitchen, &amp; Other</t>
        </is>
      </c>
      <c r="E1836" t="inlineStr">
        <is>
          <t>Wine Totes, Bags &amp; Backpacks</t>
        </is>
      </c>
      <c r="F1836" t="inlineStr">
        <is>
          <t>Flyingstar</t>
        </is>
      </c>
      <c r="G1836" t="n">
        <v>0</v>
      </c>
      <c r="H1836" t="n">
        <v>0</v>
      </c>
      <c r="I1836" t="inlineStr">
        <is>
          <t>Wine,Christmas,Valentine</t>
        </is>
      </c>
      <c r="J1836" s="29" t="n">
        <v>0</v>
      </c>
      <c r="K1836" s="30" t="n"/>
      <c r="L1836" s="29" t="n">
        <v>0</v>
      </c>
      <c r="M1836" s="29" t="n">
        <v>0</v>
      </c>
      <c r="N1836" s="2" t="n">
        <v>0</v>
      </c>
      <c r="O1836" s="31" t="n">
        <v>0</v>
      </c>
      <c r="P1836" s="32" t="n"/>
      <c r="Q1836" s="32" t="n">
        <v>0</v>
      </c>
      <c r="R1836" s="32" t="n">
        <v>0</v>
      </c>
      <c r="S1836" s="31" t="n">
        <v>0</v>
      </c>
      <c r="T1836" s="32" t="n">
        <v>0</v>
      </c>
      <c r="U1836" s="31" t="n">
        <v>0</v>
      </c>
      <c r="V1836" s="31" t="n">
        <v>0</v>
      </c>
      <c r="W1836" s="3" t="n">
        <v>0</v>
      </c>
      <c r="X1836" s="3" t="n">
        <v>0</v>
      </c>
      <c r="Y1836" s="32" t="n">
        <v>0</v>
      </c>
      <c r="Z1836" s="3" t="n">
        <v>0</v>
      </c>
      <c r="AA1836" s="32" t="n">
        <v>0</v>
      </c>
      <c r="AB1836" s="3" t="n"/>
      <c r="AC1836" s="31" t="n">
        <v>0</v>
      </c>
      <c r="AD1836" s="2" t="n">
        <v>0</v>
      </c>
      <c r="AE1836" s="2" t="n">
        <v>2</v>
      </c>
      <c r="AF1836" s="4" t="n">
        <v>2</v>
      </c>
      <c r="AG1836" s="33" t="n">
        <v>0</v>
      </c>
      <c r="AH1836" s="4" t="n">
        <v>0</v>
      </c>
      <c r="AI1836" s="34" t="n"/>
      <c r="AJ1836" s="34" t="n">
        <v>0</v>
      </c>
      <c r="AK1836" s="2" t="n">
        <v>0</v>
      </c>
      <c r="AL1836" t="inlineStr">
        <is>
          <t>Published</t>
        </is>
      </c>
    </row>
    <row r="1837">
      <c r="A1837">
        <f>HYPERLINK("https://www.walmart.com/ip/516249825", "516249825")</f>
        <v/>
      </c>
      <c r="B1837">
        <f>HYPERLINK("https://app.optiwise.ai/catalog/itemdetails/360555", "Pawse Pet Carrier Foldable Backpack for Small Cats Dogs And Puppies Upto 18 LBS, Airline-Approved Two-Sided Entry Padded Back Support Travel Carrier for Hiking, Walking, Cycling &amp; Outdoor")</f>
        <v/>
      </c>
      <c r="C1837" t="inlineStr">
        <is>
          <t>1TRPB200NV</t>
        </is>
      </c>
      <c r="D1837" t="inlineStr">
        <is>
          <t>Animal Other</t>
        </is>
      </c>
      <c r="E1837" t="inlineStr">
        <is>
          <t>Pet Carriers</t>
        </is>
      </c>
      <c r="F1837" t="inlineStr">
        <is>
          <t>Kato</t>
        </is>
      </c>
      <c r="G1837" t="n">
        <v>0</v>
      </c>
      <c r="H1837" t="n">
        <v>0</v>
      </c>
      <c r="I1837" t="inlineStr">
        <is>
          <t>Optimized,WFS,WFS Item</t>
        </is>
      </c>
      <c r="J1837" s="29" t="n">
        <v>0</v>
      </c>
      <c r="K1837" s="30" t="n"/>
      <c r="L1837" s="29" t="n">
        <v>0</v>
      </c>
      <c r="M1837" s="29" t="n">
        <v>0</v>
      </c>
      <c r="N1837" s="2" t="n">
        <v>0</v>
      </c>
      <c r="O1837" s="31" t="n">
        <v>0</v>
      </c>
      <c r="P1837" s="32" t="n"/>
      <c r="Q1837" s="32" t="n">
        <v>0</v>
      </c>
      <c r="R1837" s="32" t="n">
        <v>0</v>
      </c>
      <c r="S1837" s="31" t="n">
        <v>0</v>
      </c>
      <c r="T1837" s="32" t="n">
        <v>0</v>
      </c>
      <c r="U1837" s="31" t="n">
        <v>0</v>
      </c>
      <c r="V1837" s="31" t="n">
        <v>0</v>
      </c>
      <c r="W1837" s="3" t="n">
        <v>0</v>
      </c>
      <c r="X1837" s="3" t="n">
        <v>0</v>
      </c>
      <c r="Y1837" s="32" t="n">
        <v>0</v>
      </c>
      <c r="Z1837" s="3" t="n">
        <v>0</v>
      </c>
      <c r="AA1837" s="32" t="n">
        <v>0</v>
      </c>
      <c r="AB1837" s="3" t="n"/>
      <c r="AC1837" s="31" t="n">
        <v>0</v>
      </c>
      <c r="AD1837" s="2" t="n">
        <v>0</v>
      </c>
      <c r="AE1837" s="2" t="n">
        <v>21</v>
      </c>
      <c r="AF1837" s="4" t="n">
        <v>21</v>
      </c>
      <c r="AG1837" s="33" t="n">
        <v>0</v>
      </c>
      <c r="AH1837" s="4" t="n">
        <v>0</v>
      </c>
      <c r="AI1837" s="34" t="n"/>
      <c r="AJ1837" s="34" t="n">
        <v>0</v>
      </c>
      <c r="AK1837" s="2" t="n">
        <v>0</v>
      </c>
      <c r="AL1837" t="inlineStr">
        <is>
          <t>Published</t>
        </is>
      </c>
    </row>
    <row r="1838">
      <c r="A1838">
        <f>HYPERLINK("https://www.walmart.com/ip/149892132", "149892132")</f>
        <v/>
      </c>
      <c r="B1838">
        <f>HYPERLINK("https://app.optiwise.ai/catalog/itemdetails/360552", "Men's Boxer Briefs Assorted Mens Underwear with Cotton Classic Stretch , 3-Pack by Terra")</f>
        <v/>
      </c>
      <c r="C1838" t="inlineStr">
        <is>
          <t>TERRABOXERSET2-S</t>
        </is>
      </c>
      <c r="D1838" t="inlineStr">
        <is>
          <t>Clothing</t>
        </is>
      </c>
      <c r="E1838" t="inlineStr">
        <is>
          <t>Underpants</t>
        </is>
      </c>
      <c r="F1838" t="inlineStr">
        <is>
          <t>Terra</t>
        </is>
      </c>
      <c r="G1838" t="n">
        <v>0</v>
      </c>
      <c r="H1838" t="n">
        <v>0</v>
      </c>
      <c r="I1838" t="inlineStr">
        <is>
          <t>WFS,WFS Item</t>
        </is>
      </c>
      <c r="J1838" s="29" t="n">
        <v>0</v>
      </c>
      <c r="K1838" s="30" t="n"/>
      <c r="L1838" s="29" t="n">
        <v>0</v>
      </c>
      <c r="M1838" s="29" t="n">
        <v>0</v>
      </c>
      <c r="N1838" s="2" t="n">
        <v>0</v>
      </c>
      <c r="O1838" s="31" t="n">
        <v>0</v>
      </c>
      <c r="P1838" s="32" t="n"/>
      <c r="Q1838" s="32" t="n">
        <v>0</v>
      </c>
      <c r="R1838" s="32" t="n">
        <v>0</v>
      </c>
      <c r="S1838" s="31" t="n">
        <v>0</v>
      </c>
      <c r="T1838" s="32" t="n">
        <v>0</v>
      </c>
      <c r="U1838" s="31" t="n">
        <v>0</v>
      </c>
      <c r="V1838" s="31" t="n">
        <v>0</v>
      </c>
      <c r="W1838" s="3" t="n">
        <v>0</v>
      </c>
      <c r="X1838" s="3" t="n">
        <v>0</v>
      </c>
      <c r="Y1838" s="32" t="n">
        <v>0</v>
      </c>
      <c r="Z1838" s="3" t="n">
        <v>0</v>
      </c>
      <c r="AA1838" s="32" t="n">
        <v>0</v>
      </c>
      <c r="AB1838" s="3" t="n"/>
      <c r="AC1838" s="31" t="n">
        <v>0</v>
      </c>
      <c r="AD1838" s="2" t="n">
        <v>0</v>
      </c>
      <c r="AE1838" s="2" t="n">
        <v>5</v>
      </c>
      <c r="AF1838" s="4" t="n">
        <v>5</v>
      </c>
      <c r="AG1838" s="33" t="n">
        <v>0</v>
      </c>
      <c r="AH1838" s="4" t="n">
        <v>0</v>
      </c>
      <c r="AI1838" s="34" t="n"/>
      <c r="AJ1838" s="34" t="n">
        <v>0</v>
      </c>
      <c r="AK1838" s="2" t="n">
        <v>0</v>
      </c>
      <c r="AL1838" t="inlineStr">
        <is>
          <t>Published</t>
        </is>
      </c>
    </row>
    <row r="1839">
      <c r="A1839">
        <f>HYPERLINK("https://www.walmart.com/ip/121146422", "121146422")</f>
        <v/>
      </c>
      <c r="B1839">
        <f>HYPERLINK("https://app.optiwise.ai/catalog/itemdetails/360545", "Catalonia Fleece Wearable Blanket Poncho for Adult Women Men, Wrap Blanket Cape with Pocket | Warm, Soft, Cozy, Snuggly, Comfort Gift, No Sleeves | All-Season, Camel")</f>
        <v/>
      </c>
      <c r="C1839" t="inlineStr">
        <is>
          <t>1CTBP100CA</t>
        </is>
      </c>
      <c r="D1839" t="inlineStr">
        <is>
          <t>Clothing - Clothing</t>
        </is>
      </c>
      <c r="E1839" t="inlineStr">
        <is>
          <t>Throws</t>
        </is>
      </c>
      <c r="F1839" t="inlineStr">
        <is>
          <t>Catalonia</t>
        </is>
      </c>
      <c r="G1839" t="n">
        <v>0</v>
      </c>
      <c r="H1839" t="n">
        <v>0</v>
      </c>
      <c r="I1839" t="inlineStr">
        <is>
          <t>Hero 5 Holidays,WFS,Coupon_Discount,WFS Item</t>
        </is>
      </c>
      <c r="J1839" s="29" t="n">
        <v>0</v>
      </c>
      <c r="K1839" s="30" t="n"/>
      <c r="L1839" s="29" t="n">
        <v>0</v>
      </c>
      <c r="M1839" s="29" t="n">
        <v>0</v>
      </c>
      <c r="N1839" s="2" t="n">
        <v>0</v>
      </c>
      <c r="O1839" s="31" t="n">
        <v>0</v>
      </c>
      <c r="P1839" s="32" t="n"/>
      <c r="Q1839" s="32" t="n">
        <v>0</v>
      </c>
      <c r="R1839" s="32" t="n">
        <v>0.4018</v>
      </c>
      <c r="S1839" s="31" t="n">
        <v>0</v>
      </c>
      <c r="T1839" s="32" t="n">
        <v>0</v>
      </c>
      <c r="U1839" s="31" t="n">
        <v>0</v>
      </c>
      <c r="V1839" s="31" t="n">
        <v>0</v>
      </c>
      <c r="W1839" s="3" t="n">
        <v>0</v>
      </c>
      <c r="X1839" s="3" t="n">
        <v>0</v>
      </c>
      <c r="Y1839" s="32" t="n">
        <v>0</v>
      </c>
      <c r="Z1839" s="3" t="n">
        <v>0</v>
      </c>
      <c r="AA1839" s="32" t="n">
        <v>0</v>
      </c>
      <c r="AB1839" s="3" t="n"/>
      <c r="AC1839" s="31" t="n">
        <v>0</v>
      </c>
      <c r="AD1839" s="2" t="n">
        <v>15</v>
      </c>
      <c r="AE1839" s="2" t="n">
        <v>23</v>
      </c>
      <c r="AF1839" s="4" t="n">
        <v>23</v>
      </c>
      <c r="AG1839" s="33" t="n">
        <v>0</v>
      </c>
      <c r="AH1839" s="4" t="n">
        <v>0</v>
      </c>
      <c r="AI1839" s="34" t="n"/>
      <c r="AJ1839" s="34" t="n">
        <v>0</v>
      </c>
      <c r="AK1839" s="2" t="n">
        <v>0</v>
      </c>
      <c r="AL1839" t="inlineStr">
        <is>
          <t>Published</t>
        </is>
      </c>
    </row>
    <row r="1840">
      <c r="A1840">
        <f>HYPERLINK("https://www.walmart.com/ip/137793803", "137793803")</f>
        <v/>
      </c>
      <c r="B1840">
        <f>HYPERLINK("https://app.optiwise.ai/catalog/itemdetails/360635", "JenniWears Women's Sexy Crotchless Suspender Pantyhose Stockings Black Sheer Socks - 6 Packs")</f>
        <v/>
      </c>
      <c r="C1840" t="inlineStr">
        <is>
          <t>JWBLSPH6001-6pcs</t>
        </is>
      </c>
      <c r="D1840" t="inlineStr">
        <is>
          <t>Clothing</t>
        </is>
      </c>
      <c r="E1840" t="inlineStr">
        <is>
          <t>Pantyhose &amp; Tights</t>
        </is>
      </c>
      <c r="F1840" t="inlineStr">
        <is>
          <t>JenniWears</t>
        </is>
      </c>
      <c r="G1840" t="n">
        <v>0</v>
      </c>
      <c r="H1840" t="n">
        <v>0</v>
      </c>
      <c r="I1840" t="inlineStr">
        <is>
          <t>Optimized,WFS,Valentine,WFS Item</t>
        </is>
      </c>
      <c r="J1840" s="29" t="n">
        <v>0</v>
      </c>
      <c r="K1840" s="30" t="n"/>
      <c r="L1840" s="29" t="n">
        <v>0</v>
      </c>
      <c r="M1840" s="29" t="n">
        <v>0</v>
      </c>
      <c r="N1840" s="2" t="n">
        <v>0</v>
      </c>
      <c r="O1840" s="31" t="n">
        <v>0</v>
      </c>
      <c r="P1840" s="32" t="n"/>
      <c r="Q1840" s="32" t="n">
        <v>0</v>
      </c>
      <c r="R1840" s="32" t="n">
        <v>0</v>
      </c>
      <c r="S1840" s="31" t="n">
        <v>0</v>
      </c>
      <c r="T1840" s="32" t="n">
        <v>0</v>
      </c>
      <c r="U1840" s="31" t="n">
        <v>0</v>
      </c>
      <c r="V1840" s="31" t="n">
        <v>0</v>
      </c>
      <c r="W1840" s="3" t="n">
        <v>0</v>
      </c>
      <c r="X1840" s="3" t="n">
        <v>0</v>
      </c>
      <c r="Y1840" s="32" t="n">
        <v>0</v>
      </c>
      <c r="Z1840" s="3" t="n">
        <v>0</v>
      </c>
      <c r="AA1840" s="32" t="n">
        <v>0</v>
      </c>
      <c r="AB1840" s="3" t="n"/>
      <c r="AC1840" s="31" t="n">
        <v>0</v>
      </c>
      <c r="AD1840" s="2" t="n">
        <v>0</v>
      </c>
      <c r="AE1840" s="2" t="n">
        <v>16</v>
      </c>
      <c r="AF1840" s="4" t="n">
        <v>16</v>
      </c>
      <c r="AG1840" s="33" t="n">
        <v>0</v>
      </c>
      <c r="AH1840" s="4" t="n">
        <v>0</v>
      </c>
      <c r="AI1840" s="34" t="n"/>
      <c r="AJ1840" s="34" t="n">
        <v>0</v>
      </c>
      <c r="AK1840" s="2" t="n">
        <v>0</v>
      </c>
      <c r="AL1840" t="inlineStr">
        <is>
          <t>Published</t>
        </is>
      </c>
    </row>
    <row r="1841">
      <c r="A1841">
        <f>HYPERLINK("https://www.walmart.com/ip/972879374", "972879374")</f>
        <v/>
      </c>
      <c r="B1841">
        <f>HYPERLINK("https://app.optiwise.ai/catalog/itemdetails/360637", "Women Floppy Sun Bucket Hats w/ Wide Brim Straw Edge Summer Beach UV Protection Foldable Gardening Hiking Cap by Solaris")</f>
        <v/>
      </c>
      <c r="C1841" t="inlineStr">
        <is>
          <t>1SLSH031WH</t>
        </is>
      </c>
      <c r="D1841" t="inlineStr">
        <is>
          <t>Clothing</t>
        </is>
      </c>
      <c r="E1841" t="inlineStr">
        <is>
          <t>Hats</t>
        </is>
      </c>
      <c r="F1841" t="inlineStr">
        <is>
          <t>Solaris</t>
        </is>
      </c>
      <c r="G1841" t="n">
        <v>3</v>
      </c>
      <c r="H1841" t="n">
        <v>4</v>
      </c>
      <c r="I1841" t="inlineStr">
        <is>
          <t>WFS,Hats,WFS Item</t>
        </is>
      </c>
      <c r="J1841" s="29" t="n">
        <v>0</v>
      </c>
      <c r="K1841" s="30" t="n"/>
      <c r="L1841" s="29" t="n">
        <v>0</v>
      </c>
      <c r="M1841" s="29" t="n">
        <v>0</v>
      </c>
      <c r="N1841" s="2" t="n">
        <v>0</v>
      </c>
      <c r="O1841" s="31" t="n">
        <v>0</v>
      </c>
      <c r="P1841" s="32" t="n"/>
      <c r="Q1841" s="32" t="n">
        <v>0</v>
      </c>
      <c r="R1841" s="32" t="n">
        <v>0</v>
      </c>
      <c r="S1841" s="31" t="n">
        <v>0</v>
      </c>
      <c r="T1841" s="32" t="n">
        <v>0</v>
      </c>
      <c r="U1841" s="31" t="n">
        <v>0</v>
      </c>
      <c r="V1841" s="31" t="n">
        <v>0</v>
      </c>
      <c r="W1841" s="3" t="n">
        <v>0</v>
      </c>
      <c r="X1841" s="3" t="n">
        <v>0</v>
      </c>
      <c r="Y1841" s="32" t="n">
        <v>0</v>
      </c>
      <c r="Z1841" s="3" t="n">
        <v>0</v>
      </c>
      <c r="AA1841" s="32" t="n">
        <v>0</v>
      </c>
      <c r="AB1841" s="3" t="n"/>
      <c r="AC1841" s="31" t="n">
        <v>0</v>
      </c>
      <c r="AD1841" s="2" t="n">
        <v>0</v>
      </c>
      <c r="AE1841" s="2" t="n">
        <v>3</v>
      </c>
      <c r="AF1841" s="4" t="n">
        <v>3</v>
      </c>
      <c r="AG1841" s="33" t="n">
        <v>0</v>
      </c>
      <c r="AH1841" s="4" t="n">
        <v>0</v>
      </c>
      <c r="AI1841" s="34" t="n"/>
      <c r="AJ1841" s="34" t="n">
        <v>0</v>
      </c>
      <c r="AK1841" s="2" t="n">
        <v>0</v>
      </c>
      <c r="AL1841" t="inlineStr">
        <is>
          <t>Published</t>
        </is>
      </c>
    </row>
    <row r="1842">
      <c r="A1842">
        <f>HYPERLINK("https://www.walmart.com/ip/966175424", "966175424")</f>
        <v/>
      </c>
      <c r="B1842">
        <f>HYPERLINK("https://app.optiwise.ai/catalog/itemdetails/360537", "Flyingstar Sherpa Throws Blanket, Fleece Soft Cozy Blanket Throws for Sofa Bed 50x60")</f>
        <v/>
      </c>
      <c r="C1842" t="inlineStr">
        <is>
          <t>1WMBF301GN-ESGM</t>
        </is>
      </c>
      <c r="D1842" t="inlineStr">
        <is>
          <t>Bedding</t>
        </is>
      </c>
      <c r="E1842" t="inlineStr">
        <is>
          <t>Throws</t>
        </is>
      </c>
      <c r="F1842" t="inlineStr">
        <is>
          <t>Flyingstar</t>
        </is>
      </c>
      <c r="G1842" t="n">
        <v>0</v>
      </c>
      <c r="H1842" t="n">
        <v>0</v>
      </c>
      <c r="I1842" t="inlineStr">
        <is>
          <t>Optimized</t>
        </is>
      </c>
      <c r="J1842" s="29" t="n">
        <v>0</v>
      </c>
      <c r="K1842" s="30" t="n"/>
      <c r="L1842" s="29" t="n">
        <v>0</v>
      </c>
      <c r="M1842" s="29" t="n">
        <v>0</v>
      </c>
      <c r="N1842" s="2" t="n">
        <v>0</v>
      </c>
      <c r="O1842" s="31" t="n">
        <v>0</v>
      </c>
      <c r="P1842" s="32" t="n"/>
      <c r="Q1842" s="32" t="n">
        <v>0</v>
      </c>
      <c r="R1842" s="32" t="n">
        <v>0</v>
      </c>
      <c r="S1842" s="31" t="n">
        <v>0</v>
      </c>
      <c r="T1842" s="32" t="n">
        <v>0</v>
      </c>
      <c r="U1842" s="31" t="n">
        <v>0</v>
      </c>
      <c r="V1842" s="31" t="n">
        <v>0</v>
      </c>
      <c r="W1842" s="3" t="n">
        <v>0</v>
      </c>
      <c r="X1842" s="3" t="n">
        <v>0</v>
      </c>
      <c r="Y1842" s="32" t="n">
        <v>0</v>
      </c>
      <c r="Z1842" s="3" t="n">
        <v>0</v>
      </c>
      <c r="AA1842" s="32" t="n">
        <v>0</v>
      </c>
      <c r="AB1842" s="3" t="n"/>
      <c r="AC1842" s="31" t="n">
        <v>0</v>
      </c>
      <c r="AD1842" s="2" t="n">
        <v>0</v>
      </c>
      <c r="AE1842" s="2" t="n">
        <v>4</v>
      </c>
      <c r="AF1842" s="4" t="n">
        <v>4</v>
      </c>
      <c r="AG1842" s="33" t="n">
        <v>0</v>
      </c>
      <c r="AH1842" s="4" t="n">
        <v>0</v>
      </c>
      <c r="AI1842" s="34" t="n"/>
      <c r="AJ1842" s="34" t="n">
        <v>0</v>
      </c>
      <c r="AK1842" s="2" t="n">
        <v>0</v>
      </c>
      <c r="AL1842" t="inlineStr">
        <is>
          <t>Published</t>
        </is>
      </c>
    </row>
    <row r="1843">
      <c r="A1843">
        <f>HYPERLINK("https://www.walmart.com/ip/817140249", "817140249")</f>
        <v/>
      </c>
      <c r="B1843">
        <f>HYPERLINK("https://app.optiwise.ai/catalog/itemdetails/360679", "Waterproof 3M Thinsulate Ski Gloves for Men Women, Winter Warm Cozy Snowboard Gloves with Half Ski Mask for Skiing, Snowboarding, Shoveling &amp; Outdoor Sports, with Pocket &amp; Wrist Leashes")</f>
        <v/>
      </c>
      <c r="C1843" t="inlineStr">
        <is>
          <t>1SLWG301GYBK-XL</t>
        </is>
      </c>
      <c r="D1843" t="inlineStr">
        <is>
          <t>Clothing</t>
        </is>
      </c>
      <c r="E1843" t="inlineStr">
        <is>
          <t>Gloves &amp; Mittens</t>
        </is>
      </c>
      <c r="F1843" t="inlineStr">
        <is>
          <t>Solaris</t>
        </is>
      </c>
      <c r="G1843" t="n">
        <v>0</v>
      </c>
      <c r="H1843" t="n">
        <v>0</v>
      </c>
      <c r="I1843" t="inlineStr">
        <is>
          <t>Gloves,WFS,WFS Item</t>
        </is>
      </c>
      <c r="J1843" s="29" t="n">
        <v>0</v>
      </c>
      <c r="K1843" s="30" t="n"/>
      <c r="L1843" s="29" t="n">
        <v>0</v>
      </c>
      <c r="M1843" s="29" t="n">
        <v>0</v>
      </c>
      <c r="N1843" s="2" t="n">
        <v>0</v>
      </c>
      <c r="O1843" s="31" t="n">
        <v>0</v>
      </c>
      <c r="P1843" s="32" t="n"/>
      <c r="Q1843" s="32" t="n">
        <v>0</v>
      </c>
      <c r="R1843" s="32" t="n">
        <v>0</v>
      </c>
      <c r="S1843" s="31" t="n">
        <v>0</v>
      </c>
      <c r="T1843" s="32" t="n">
        <v>0</v>
      </c>
      <c r="U1843" s="31" t="n">
        <v>0</v>
      </c>
      <c r="V1843" s="31" t="n">
        <v>0</v>
      </c>
      <c r="W1843" s="3" t="n">
        <v>0</v>
      </c>
      <c r="X1843" s="3" t="n">
        <v>0</v>
      </c>
      <c r="Y1843" s="32" t="n">
        <v>0</v>
      </c>
      <c r="Z1843" s="3" t="n">
        <v>0</v>
      </c>
      <c r="AA1843" s="32" t="n">
        <v>0</v>
      </c>
      <c r="AB1843" s="3" t="n"/>
      <c r="AC1843" s="31" t="n">
        <v>0</v>
      </c>
      <c r="AD1843" s="2" t="n">
        <v>0</v>
      </c>
      <c r="AE1843" s="2" t="n">
        <v>20</v>
      </c>
      <c r="AF1843" s="4" t="n">
        <v>20</v>
      </c>
      <c r="AG1843" s="33" t="n">
        <v>0</v>
      </c>
      <c r="AH1843" s="4" t="n">
        <v>0</v>
      </c>
      <c r="AI1843" s="34" t="n"/>
      <c r="AJ1843" s="34" t="n">
        <v>0</v>
      </c>
      <c r="AK1843" s="2" t="n">
        <v>0</v>
      </c>
      <c r="AL1843" t="inlineStr">
        <is>
          <t>Published</t>
        </is>
      </c>
    </row>
    <row r="1844">
      <c r="A1844">
        <f>HYPERLINK("https://www.walmart.com/ip/464874688", "464874688")</f>
        <v/>
      </c>
      <c r="B1844">
        <f>HYPERLINK("https://app.optiwise.ai/catalog/itemdetails/360709", "Pawsse Waterproof Pet Fleece Blanket Throw Soft Warm Sherpa for Dog Cat Puppy Animals Indoor Outdoor Lawn Use")</f>
        <v/>
      </c>
      <c r="C1844" t="inlineStr">
        <is>
          <t>1PSBW561WNTP</t>
        </is>
      </c>
      <c r="D1844" t="inlineStr">
        <is>
          <t>Animal Accessories</t>
        </is>
      </c>
      <c r="E1844" t="inlineStr">
        <is>
          <t>Pet Blankets</t>
        </is>
      </c>
      <c r="F1844" t="inlineStr">
        <is>
          <t>Pawsse</t>
        </is>
      </c>
      <c r="G1844" t="n">
        <v>0</v>
      </c>
      <c r="H1844" t="n">
        <v>0</v>
      </c>
      <c r="I1844" t="inlineStr">
        <is>
          <t>Fleece Blankets,Batch 1 - TR</t>
        </is>
      </c>
      <c r="J1844" s="29" t="n">
        <v>0</v>
      </c>
      <c r="K1844" s="30" t="n"/>
      <c r="L1844" s="29" t="n">
        <v>0</v>
      </c>
      <c r="M1844" s="29" t="n">
        <v>0</v>
      </c>
      <c r="N1844" s="2" t="n">
        <v>0</v>
      </c>
      <c r="O1844" s="31" t="n">
        <v>0</v>
      </c>
      <c r="P1844" s="32" t="n"/>
      <c r="Q1844" s="32" t="n">
        <v>0</v>
      </c>
      <c r="R1844" s="32" t="n">
        <v>0.0191</v>
      </c>
      <c r="S1844" s="31" t="n">
        <v>0</v>
      </c>
      <c r="T1844" s="32" t="n">
        <v>0</v>
      </c>
      <c r="U1844" s="31" t="n">
        <v>0</v>
      </c>
      <c r="V1844" s="31" t="n">
        <v>0</v>
      </c>
      <c r="W1844" s="3" t="n">
        <v>0</v>
      </c>
      <c r="X1844" s="3" t="n">
        <v>0</v>
      </c>
      <c r="Y1844" s="32" t="n">
        <v>0</v>
      </c>
      <c r="Z1844" s="3" t="n">
        <v>0</v>
      </c>
      <c r="AA1844" s="32" t="n">
        <v>0</v>
      </c>
      <c r="AB1844" s="3" t="n"/>
      <c r="AC1844" s="31" t="n">
        <v>0</v>
      </c>
      <c r="AD1844" s="2" t="n">
        <v>0</v>
      </c>
      <c r="AE1844" s="2" t="n">
        <v>56</v>
      </c>
      <c r="AF1844" s="4" t="n">
        <v>56</v>
      </c>
      <c r="AG1844" s="33" t="n">
        <v>0</v>
      </c>
      <c r="AH1844" s="4" t="n">
        <v>0</v>
      </c>
      <c r="AI1844" s="34" t="n"/>
      <c r="AJ1844" s="34" t="n">
        <v>0</v>
      </c>
      <c r="AK1844" s="2" t="n">
        <v>0</v>
      </c>
      <c r="AL1844" t="inlineStr">
        <is>
          <t>Published</t>
        </is>
      </c>
    </row>
    <row r="1845">
      <c r="A1845">
        <f>HYPERLINK("https://www.walmart.com/ip/188086751", "188086751")</f>
        <v/>
      </c>
      <c r="B1845">
        <f>HYPERLINK("https://app.optiwise.ai/catalog/itemdetails/360700", "Sun Hat UV Protection Wide Brim Boonie Safari Fishing Cap Adjustable Drawstring")</f>
        <v/>
      </c>
      <c r="C1845" t="inlineStr">
        <is>
          <t>1WMSH911GN</t>
        </is>
      </c>
      <c r="D1845" t="inlineStr">
        <is>
          <t>Clothing</t>
        </is>
      </c>
      <c r="E1845" t="inlineStr">
        <is>
          <t>Hats</t>
        </is>
      </c>
      <c r="F1845" t="inlineStr">
        <is>
          <t>Flyingstar</t>
        </is>
      </c>
      <c r="G1845" t="n">
        <v>0</v>
      </c>
      <c r="H1845" t="n">
        <v>0</v>
      </c>
      <c r="I1845" t="inlineStr">
        <is>
          <t>Optimized</t>
        </is>
      </c>
      <c r="J1845" s="29" t="n">
        <v>0</v>
      </c>
      <c r="K1845" s="30" t="n"/>
      <c r="L1845" s="29" t="n">
        <v>0</v>
      </c>
      <c r="M1845" s="29" t="n">
        <v>0</v>
      </c>
      <c r="N1845" s="2" t="n">
        <v>0</v>
      </c>
      <c r="O1845" s="31" t="n">
        <v>0</v>
      </c>
      <c r="P1845" s="32" t="n"/>
      <c r="Q1845" s="32" t="n">
        <v>0</v>
      </c>
      <c r="R1845" s="32" t="n">
        <v>0</v>
      </c>
      <c r="S1845" s="31" t="n">
        <v>0</v>
      </c>
      <c r="T1845" s="32" t="n">
        <v>0</v>
      </c>
      <c r="U1845" s="31" t="n">
        <v>0</v>
      </c>
      <c r="V1845" s="31" t="n">
        <v>0</v>
      </c>
      <c r="W1845" s="3" t="n">
        <v>0</v>
      </c>
      <c r="X1845" s="3" t="n">
        <v>0</v>
      </c>
      <c r="Y1845" s="32" t="n">
        <v>0</v>
      </c>
      <c r="Z1845" s="3" t="n">
        <v>0</v>
      </c>
      <c r="AA1845" s="32" t="n">
        <v>0</v>
      </c>
      <c r="AB1845" s="3" t="n"/>
      <c r="AC1845" s="31" t="n">
        <v>0</v>
      </c>
      <c r="AD1845" s="2" t="n">
        <v>0</v>
      </c>
      <c r="AE1845" s="2" t="n">
        <v>4</v>
      </c>
      <c r="AF1845" s="4" t="n">
        <v>4</v>
      </c>
      <c r="AG1845" s="33" t="n">
        <v>0</v>
      </c>
      <c r="AH1845" s="4" t="n">
        <v>0</v>
      </c>
      <c r="AI1845" s="34" t="n"/>
      <c r="AJ1845" s="34" t="n">
        <v>0</v>
      </c>
      <c r="AK1845" s="2" t="n">
        <v>0</v>
      </c>
      <c r="AL1845" t="inlineStr">
        <is>
          <t>Published</t>
        </is>
      </c>
    </row>
    <row r="1846">
      <c r="A1846">
        <f>HYPERLINK("https://www.walmart.com/ip/179328417", "179328417")</f>
        <v/>
      </c>
      <c r="B1846">
        <f>HYPERLINK("https://app.optiwise.ai/catalog/itemdetails/360699", "Medium Pet Travel Backpack Carrier for Dogs Cat Animal Puppy, Breathable Mesh Net Removable Sherpa Bed Outdoor Carrier f")</f>
        <v/>
      </c>
      <c r="C1846" t="inlineStr">
        <is>
          <t>1WMPB200BL</t>
        </is>
      </c>
      <c r="D1846" t="inlineStr">
        <is>
          <t>Animal Other</t>
        </is>
      </c>
      <c r="E1846" t="inlineStr">
        <is>
          <t>Pet Carriers</t>
        </is>
      </c>
      <c r="F1846" t="inlineStr">
        <is>
          <t>Flyingstar</t>
        </is>
      </c>
      <c r="G1846" t="n">
        <v>0</v>
      </c>
      <c r="H1846" t="n">
        <v>0</v>
      </c>
      <c r="I1846" t="inlineStr">
        <is>
          <t>Optimized</t>
        </is>
      </c>
      <c r="J1846" s="29" t="n">
        <v>0</v>
      </c>
      <c r="K1846" s="30" t="n"/>
      <c r="L1846" s="29" t="n">
        <v>0</v>
      </c>
      <c r="M1846" s="29" t="n">
        <v>0</v>
      </c>
      <c r="N1846" s="2" t="n">
        <v>0</v>
      </c>
      <c r="O1846" s="31" t="n">
        <v>0</v>
      </c>
      <c r="P1846" s="32" t="n"/>
      <c r="Q1846" s="32" t="n">
        <v>0</v>
      </c>
      <c r="R1846" s="32" t="n">
        <v>0</v>
      </c>
      <c r="S1846" s="31" t="n">
        <v>0</v>
      </c>
      <c r="T1846" s="32" t="n">
        <v>0</v>
      </c>
      <c r="U1846" s="31" t="n">
        <v>0</v>
      </c>
      <c r="V1846" s="31" t="n">
        <v>0</v>
      </c>
      <c r="W1846" s="3" t="n">
        <v>0</v>
      </c>
      <c r="X1846" s="3" t="n">
        <v>0</v>
      </c>
      <c r="Y1846" s="32" t="n">
        <v>0</v>
      </c>
      <c r="Z1846" s="3" t="n">
        <v>0</v>
      </c>
      <c r="AA1846" s="32" t="n">
        <v>0</v>
      </c>
      <c r="AB1846" s="3" t="n"/>
      <c r="AC1846" s="31" t="n">
        <v>0</v>
      </c>
      <c r="AD1846" s="2" t="n">
        <v>0</v>
      </c>
      <c r="AE1846" s="2" t="n">
        <v>22</v>
      </c>
      <c r="AF1846" s="4" t="n">
        <v>22</v>
      </c>
      <c r="AG1846" s="33" t="n">
        <v>0</v>
      </c>
      <c r="AH1846" s="4" t="n">
        <v>0</v>
      </c>
      <c r="AI1846" s="34" t="n"/>
      <c r="AJ1846" s="34" t="n">
        <v>0</v>
      </c>
      <c r="AK1846" s="2" t="n">
        <v>0</v>
      </c>
      <c r="AL1846" t="inlineStr">
        <is>
          <t>Published</t>
        </is>
      </c>
    </row>
    <row r="1847">
      <c r="A1847">
        <f>HYPERLINK("https://www.walmart.com/ip/505348990", "505348990")</f>
        <v/>
      </c>
      <c r="B1847">
        <f>HYPERLINK("https://app.optiwise.ai/catalog/itemdetails/360698", "Catalonia Mermaid Tail Blanket, Knitted Lambswool Blankets for Bed, Oversized Crochet Fleece Blanket for Adult Teens, Purple")</f>
        <v/>
      </c>
      <c r="C1847" t="inlineStr">
        <is>
          <t>1CTMM300PP</t>
        </is>
      </c>
      <c r="D1847" t="inlineStr">
        <is>
          <t>Bedding</t>
        </is>
      </c>
      <c r="E1847" t="inlineStr">
        <is>
          <t>Throws</t>
        </is>
      </c>
      <c r="F1847" t="inlineStr">
        <is>
          <t>Catalonia</t>
        </is>
      </c>
      <c r="G1847" t="n">
        <v>4.5</v>
      </c>
      <c r="H1847" t="n">
        <v>6</v>
      </c>
      <c r="I1847" t="inlineStr">
        <is>
          <t>WFS,WFS Item</t>
        </is>
      </c>
      <c r="J1847" s="29" t="n">
        <v>0</v>
      </c>
      <c r="K1847" s="30" t="n"/>
      <c r="L1847" s="29" t="n">
        <v>0</v>
      </c>
      <c r="M1847" s="29" t="n">
        <v>0</v>
      </c>
      <c r="N1847" s="2" t="n">
        <v>0</v>
      </c>
      <c r="O1847" s="31" t="n">
        <v>0</v>
      </c>
      <c r="P1847" s="32" t="n"/>
      <c r="Q1847" s="32" t="n">
        <v>0</v>
      </c>
      <c r="R1847" s="32" t="n">
        <v>0</v>
      </c>
      <c r="S1847" s="31" t="n">
        <v>0</v>
      </c>
      <c r="T1847" s="32" t="n">
        <v>0</v>
      </c>
      <c r="U1847" s="31" t="n">
        <v>0</v>
      </c>
      <c r="V1847" s="31" t="n">
        <v>0</v>
      </c>
      <c r="W1847" s="3" t="n">
        <v>0</v>
      </c>
      <c r="X1847" s="3" t="n">
        <v>0</v>
      </c>
      <c r="Y1847" s="32" t="n">
        <v>0</v>
      </c>
      <c r="Z1847" s="3" t="n">
        <v>0</v>
      </c>
      <c r="AA1847" s="32" t="n">
        <v>0</v>
      </c>
      <c r="AB1847" s="3" t="n"/>
      <c r="AC1847" s="31" t="n">
        <v>0</v>
      </c>
      <c r="AD1847" s="2" t="n">
        <v>10</v>
      </c>
      <c r="AE1847" s="2" t="n">
        <v>48</v>
      </c>
      <c r="AF1847" s="4" t="n">
        <v>48</v>
      </c>
      <c r="AG1847" s="33" t="n">
        <v>0</v>
      </c>
      <c r="AH1847" s="4" t="n">
        <v>0</v>
      </c>
      <c r="AI1847" s="34" t="n"/>
      <c r="AJ1847" s="34" t="n">
        <v>0</v>
      </c>
      <c r="AK1847" s="2" t="n">
        <v>0</v>
      </c>
      <c r="AL1847" t="inlineStr">
        <is>
          <t>Published</t>
        </is>
      </c>
    </row>
    <row r="1848">
      <c r="A1848">
        <f>HYPERLINK("https://www.walmart.com/ip/884723929", "884723929")</f>
        <v/>
      </c>
      <c r="B1848">
        <f>HYPERLINK("https://app.optiwise.ai/catalog/itemdetails/360696", "Catalonia Sherpa Throw Blanket 50 x 60, Micro Plush Mink Fleece")</f>
        <v/>
      </c>
      <c r="C1848" t="inlineStr">
        <is>
          <t>1CTBF300LT</t>
        </is>
      </c>
      <c r="D1848" t="inlineStr">
        <is>
          <t>Bedding</t>
        </is>
      </c>
      <c r="E1848" t="inlineStr">
        <is>
          <t>Throws</t>
        </is>
      </c>
      <c r="F1848" t="inlineStr">
        <is>
          <t>Catalonia</t>
        </is>
      </c>
      <c r="G1848" t="n">
        <v>5</v>
      </c>
      <c r="H1848" t="n">
        <v>3</v>
      </c>
      <c r="I1848" t="inlineStr">
        <is>
          <t>Q2-Target,Optimized,WFS,Coupon_Discount,WFS Item</t>
        </is>
      </c>
      <c r="J1848" s="29" t="n">
        <v>0</v>
      </c>
      <c r="K1848" s="30" t="n"/>
      <c r="L1848" s="29" t="n">
        <v>0</v>
      </c>
      <c r="M1848" s="29" t="n">
        <v>0</v>
      </c>
      <c r="N1848" s="2" t="n">
        <v>0</v>
      </c>
      <c r="O1848" s="31" t="n">
        <v>0</v>
      </c>
      <c r="P1848" s="32" t="n"/>
      <c r="Q1848" s="32" t="n">
        <v>0</v>
      </c>
      <c r="R1848" s="32" t="n">
        <v>0</v>
      </c>
      <c r="S1848" s="31" t="n">
        <v>0</v>
      </c>
      <c r="T1848" s="32" t="n">
        <v>0</v>
      </c>
      <c r="U1848" s="31" t="n">
        <v>0</v>
      </c>
      <c r="V1848" s="31" t="n">
        <v>0</v>
      </c>
      <c r="W1848" s="3" t="n">
        <v>0</v>
      </c>
      <c r="X1848" s="3" t="n">
        <v>0</v>
      </c>
      <c r="Y1848" s="32" t="n">
        <v>0</v>
      </c>
      <c r="Z1848" s="3" t="n">
        <v>0</v>
      </c>
      <c r="AA1848" s="32" t="n">
        <v>0</v>
      </c>
      <c r="AB1848" s="3" t="n"/>
      <c r="AC1848" s="31" t="n">
        <v>0</v>
      </c>
      <c r="AD1848" s="2" t="n">
        <v>0</v>
      </c>
      <c r="AE1848" s="2" t="n">
        <v>51</v>
      </c>
      <c r="AF1848" s="4" t="n">
        <v>51</v>
      </c>
      <c r="AG1848" s="33" t="n">
        <v>0</v>
      </c>
      <c r="AH1848" s="4" t="n">
        <v>0</v>
      </c>
      <c r="AI1848" s="34" t="n"/>
      <c r="AJ1848" s="34" t="n">
        <v>0</v>
      </c>
      <c r="AK1848" s="2" t="n">
        <v>0</v>
      </c>
      <c r="AL1848" t="inlineStr">
        <is>
          <t>Published</t>
        </is>
      </c>
    </row>
    <row r="1849">
      <c r="A1849">
        <f>HYPERLINK("https://www.walmart.com/ip/330287338", "330287338")</f>
        <v/>
      </c>
      <c r="B1849">
        <f>HYPERLINK("https://app.optiwise.ai/catalog/itemdetails/360693", "Wearable Fleece Blanket with Sleeves and Pocket for Women Men, Super Soft Microplush Adult Wrap Full Body Blanket Robe for Lounge Couch As Seen On TV 73 x 51 | Catalonia series by Terrania | Latte")</f>
        <v/>
      </c>
      <c r="C1849" t="inlineStr">
        <is>
          <t>1TRSN100LT-TBCB</t>
        </is>
      </c>
      <c r="D1849" t="inlineStr">
        <is>
          <t>Bedding</t>
        </is>
      </c>
      <c r="E1849" t="inlineStr">
        <is>
          <t>Throws</t>
        </is>
      </c>
      <c r="F1849" t="inlineStr">
        <is>
          <t>Tirrinia</t>
        </is>
      </c>
      <c r="G1849" t="n">
        <v>0</v>
      </c>
      <c r="H1849" t="n">
        <v>0</v>
      </c>
      <c r="I1849" t="inlineStr">
        <is>
          <t>WFS,WFS Item,Fleece Blankets</t>
        </is>
      </c>
      <c r="J1849" s="29" t="n">
        <v>0</v>
      </c>
      <c r="K1849" s="30" t="n"/>
      <c r="L1849" s="29" t="n">
        <v>0</v>
      </c>
      <c r="M1849" s="29" t="n">
        <v>0</v>
      </c>
      <c r="N1849" s="2" t="n">
        <v>0</v>
      </c>
      <c r="O1849" s="31" t="n">
        <v>0</v>
      </c>
      <c r="P1849" s="32" t="n"/>
      <c r="Q1849" s="32" t="n">
        <v>0</v>
      </c>
      <c r="R1849" s="32" t="n">
        <v>0</v>
      </c>
      <c r="S1849" s="31" t="n">
        <v>0</v>
      </c>
      <c r="T1849" s="32" t="n">
        <v>0</v>
      </c>
      <c r="U1849" s="31" t="n">
        <v>0</v>
      </c>
      <c r="V1849" s="31" t="n">
        <v>0</v>
      </c>
      <c r="W1849" s="3" t="n">
        <v>0</v>
      </c>
      <c r="X1849" s="3" t="n">
        <v>0</v>
      </c>
      <c r="Y1849" s="32" t="n">
        <v>0</v>
      </c>
      <c r="Z1849" s="3" t="n">
        <v>0</v>
      </c>
      <c r="AA1849" s="32" t="n">
        <v>0</v>
      </c>
      <c r="AB1849" s="3" t="n"/>
      <c r="AC1849" s="31" t="n">
        <v>0</v>
      </c>
      <c r="AD1849" s="2" t="n">
        <v>0</v>
      </c>
      <c r="AE1849" s="2" t="n">
        <v>20</v>
      </c>
      <c r="AF1849" s="4" t="n">
        <v>20</v>
      </c>
      <c r="AG1849" s="33" t="n">
        <v>0</v>
      </c>
      <c r="AH1849" s="4" t="n">
        <v>0</v>
      </c>
      <c r="AI1849" s="34" t="n"/>
      <c r="AJ1849" s="34" t="n">
        <v>0</v>
      </c>
      <c r="AK1849" s="2" t="n">
        <v>0</v>
      </c>
      <c r="AL1849" t="inlineStr">
        <is>
          <t>Published</t>
        </is>
      </c>
    </row>
    <row r="1850">
      <c r="A1850">
        <f>HYPERLINK("https://www.walmart.com/ip/172904320", "172904320")</f>
        <v/>
      </c>
      <c r="B1850">
        <f>HYPERLINK("https://app.optiwise.ai/catalog/itemdetails/360692", "Catalonia Sherpa Fleece Throw Blanket, Super Soft Mink Plush Couch Blanket,TV Bed Fuzzy Blanket, Fluffy Comfy Warm Heavy Throws, Comfort Caring Gift, 50x60 inches, Mistletoe")</f>
        <v/>
      </c>
      <c r="C1850" t="inlineStr">
        <is>
          <t>1CTBF300MST</t>
        </is>
      </c>
      <c r="D1850" t="inlineStr">
        <is>
          <t>Bedding</t>
        </is>
      </c>
      <c r="E1850" t="inlineStr">
        <is>
          <t>Throws</t>
        </is>
      </c>
      <c r="F1850" t="inlineStr">
        <is>
          <t>Catalonia</t>
        </is>
      </c>
      <c r="G1850" t="n">
        <v>0</v>
      </c>
      <c r="H1850" t="n">
        <v>0</v>
      </c>
      <c r="I1850" t="inlineStr">
        <is>
          <t>WFS,cost-added,WFS Item</t>
        </is>
      </c>
      <c r="J1850" s="29" t="n">
        <v>0</v>
      </c>
      <c r="K1850" s="30" t="n"/>
      <c r="L1850" s="29" t="n">
        <v>0</v>
      </c>
      <c r="M1850" s="29" t="n">
        <v>0</v>
      </c>
      <c r="N1850" s="2" t="n">
        <v>0</v>
      </c>
      <c r="O1850" s="31" t="n">
        <v>0</v>
      </c>
      <c r="P1850" s="32" t="n"/>
      <c r="Q1850" s="32" t="n">
        <v>0</v>
      </c>
      <c r="R1850" s="32" t="n">
        <v>0</v>
      </c>
      <c r="S1850" s="31" t="n">
        <v>0</v>
      </c>
      <c r="T1850" s="32" t="n">
        <v>0</v>
      </c>
      <c r="U1850" s="31" t="n">
        <v>0</v>
      </c>
      <c r="V1850" s="31" t="n">
        <v>0</v>
      </c>
      <c r="W1850" s="3" t="n">
        <v>0</v>
      </c>
      <c r="X1850" s="3" t="n">
        <v>0</v>
      </c>
      <c r="Y1850" s="32" t="n">
        <v>0</v>
      </c>
      <c r="Z1850" s="3" t="n">
        <v>0</v>
      </c>
      <c r="AA1850" s="32" t="n">
        <v>0</v>
      </c>
      <c r="AB1850" s="3" t="n"/>
      <c r="AC1850" s="31" t="n">
        <v>0</v>
      </c>
      <c r="AD1850" s="2" t="n">
        <v>0</v>
      </c>
      <c r="AE1850" s="2" t="n">
        <v>24</v>
      </c>
      <c r="AF1850" s="4" t="n">
        <v>24</v>
      </c>
      <c r="AG1850" s="33" t="n">
        <v>0</v>
      </c>
      <c r="AH1850" s="4" t="n">
        <v>0</v>
      </c>
      <c r="AI1850" s="34" t="n"/>
      <c r="AJ1850" s="34" t="n">
        <v>0</v>
      </c>
      <c r="AK1850" s="2" t="n">
        <v>0</v>
      </c>
      <c r="AL1850" t="inlineStr">
        <is>
          <t>Published</t>
        </is>
      </c>
    </row>
    <row r="1851">
      <c r="A1851">
        <f>HYPERLINK("https://www.walmart.com/ip/244149121", "244149121")</f>
        <v/>
      </c>
      <c r="B1851">
        <f>HYPERLINK("https://app.optiwise.ai/catalog/itemdetails/360691", "Catalonia Comfy Blanket 50x60, Micro Plush Fleece Throws for Couch Sofa TV Bed, Reversible, Comfy, Fuzzy")</f>
        <v/>
      </c>
      <c r="C1851" t="inlineStr">
        <is>
          <t>1CTBF560GY</t>
        </is>
      </c>
      <c r="D1851" t="inlineStr">
        <is>
          <t>Bedding</t>
        </is>
      </c>
      <c r="E1851" t="inlineStr">
        <is>
          <t>Throws</t>
        </is>
      </c>
      <c r="F1851" t="inlineStr">
        <is>
          <t>Catalonia</t>
        </is>
      </c>
      <c r="G1851" t="n">
        <v>4.4</v>
      </c>
      <c r="H1851" t="n">
        <v>11</v>
      </c>
      <c r="I1851" t="inlineStr">
        <is>
          <t>Q2-Target,Optimized,WFS,Coupon_Discount,WFS Item</t>
        </is>
      </c>
      <c r="J1851" s="29" t="n">
        <v>0</v>
      </c>
      <c r="K1851" s="30" t="n"/>
      <c r="L1851" s="29" t="n">
        <v>0</v>
      </c>
      <c r="M1851" s="29" t="n">
        <v>0</v>
      </c>
      <c r="N1851" s="2" t="n">
        <v>0</v>
      </c>
      <c r="O1851" s="31" t="n">
        <v>0</v>
      </c>
      <c r="P1851" s="32" t="n"/>
      <c r="Q1851" s="32" t="n">
        <v>0</v>
      </c>
      <c r="R1851" s="32" t="n">
        <v>0</v>
      </c>
      <c r="S1851" s="31" t="n">
        <v>0</v>
      </c>
      <c r="T1851" s="32" t="n">
        <v>0</v>
      </c>
      <c r="U1851" s="31" t="n">
        <v>0</v>
      </c>
      <c r="V1851" s="31" t="n">
        <v>0</v>
      </c>
      <c r="W1851" s="3" t="n">
        <v>0</v>
      </c>
      <c r="X1851" s="3" t="n">
        <v>0</v>
      </c>
      <c r="Y1851" s="32" t="n">
        <v>0</v>
      </c>
      <c r="Z1851" s="3" t="n">
        <v>0</v>
      </c>
      <c r="AA1851" s="32" t="n">
        <v>0</v>
      </c>
      <c r="AB1851" s="3" t="n"/>
      <c r="AC1851" s="31" t="n">
        <v>0</v>
      </c>
      <c r="AD1851" s="2" t="n">
        <v>0</v>
      </c>
      <c r="AE1851" s="2" t="n">
        <v>9</v>
      </c>
      <c r="AF1851" s="4" t="n">
        <v>9</v>
      </c>
      <c r="AG1851" s="33" t="n">
        <v>0</v>
      </c>
      <c r="AH1851" s="4" t="n">
        <v>0</v>
      </c>
      <c r="AI1851" s="34" t="n"/>
      <c r="AJ1851" s="34" t="n">
        <v>0</v>
      </c>
      <c r="AK1851" s="2" t="n">
        <v>0</v>
      </c>
      <c r="AL1851" t="inlineStr">
        <is>
          <t>Published</t>
        </is>
      </c>
    </row>
    <row r="1852">
      <c r="A1852">
        <f>HYPERLINK("https://www.walmart.com/ip/350322988", "350322988")</f>
        <v/>
      </c>
      <c r="B1852">
        <f>HYPERLINK("https://app.optiwise.ai/catalog/itemdetails/360686", "Jennis Halloween, Masquerades, Carnivals LED Necktie Light Up Tie LED Glow Dark,Upgrade USB Rechargeable Luminous Novelty Necktie Unisex LED Tie for Party Costume Men Women Boys")</f>
        <v/>
      </c>
      <c r="C1852" t="inlineStr">
        <is>
          <t>LEDTIE02-DBL</t>
        </is>
      </c>
      <c r="D1852" t="inlineStr">
        <is>
          <t>Clothing</t>
        </is>
      </c>
      <c r="E1852" t="inlineStr">
        <is>
          <t>Neckties</t>
        </is>
      </c>
      <c r="F1852" t="inlineStr">
        <is>
          <t>JenniWears</t>
        </is>
      </c>
      <c r="G1852" t="n">
        <v>0</v>
      </c>
      <c r="H1852" t="n">
        <v>0</v>
      </c>
      <c r="I1852" t="inlineStr">
        <is>
          <t>Optimized,Halloween</t>
        </is>
      </c>
      <c r="J1852" s="29" t="n">
        <v>0</v>
      </c>
      <c r="K1852" s="30" t="n"/>
      <c r="L1852" s="29" t="n">
        <v>0</v>
      </c>
      <c r="M1852" s="29" t="n">
        <v>0</v>
      </c>
      <c r="N1852" s="2" t="n">
        <v>0</v>
      </c>
      <c r="O1852" s="31" t="n">
        <v>0</v>
      </c>
      <c r="P1852" s="32" t="n"/>
      <c r="Q1852" s="32" t="n">
        <v>0</v>
      </c>
      <c r="R1852" s="32" t="n">
        <v>0</v>
      </c>
      <c r="S1852" s="31" t="n">
        <v>0</v>
      </c>
      <c r="T1852" s="32" t="n">
        <v>0</v>
      </c>
      <c r="U1852" s="31" t="n">
        <v>0</v>
      </c>
      <c r="V1852" s="31" t="n">
        <v>0</v>
      </c>
      <c r="W1852" s="3" t="n">
        <v>0</v>
      </c>
      <c r="X1852" s="3" t="n">
        <v>0</v>
      </c>
      <c r="Y1852" s="32" t="n">
        <v>0</v>
      </c>
      <c r="Z1852" s="3" t="n">
        <v>0</v>
      </c>
      <c r="AA1852" s="32" t="n">
        <v>0</v>
      </c>
      <c r="AB1852" s="3" t="n"/>
      <c r="AC1852" s="31" t="n">
        <v>0</v>
      </c>
      <c r="AD1852" s="2" t="n">
        <v>0</v>
      </c>
      <c r="AE1852" s="2" t="n">
        <v>1</v>
      </c>
      <c r="AF1852" s="4" t="n">
        <v>1</v>
      </c>
      <c r="AG1852" s="33" t="n">
        <v>0</v>
      </c>
      <c r="AH1852" s="4" t="n">
        <v>0</v>
      </c>
      <c r="AI1852" s="34" t="n"/>
      <c r="AJ1852" s="34" t="n">
        <v>0</v>
      </c>
      <c r="AK1852" s="2" t="n">
        <v>0</v>
      </c>
      <c r="AL1852" t="inlineStr">
        <is>
          <t>Published</t>
        </is>
      </c>
    </row>
    <row r="1853">
      <c r="A1853">
        <f>HYPERLINK("https://www.walmart.com/ip/318503537", "318503537")</f>
        <v/>
      </c>
      <c r="B1853">
        <f>HYPERLINK("https://app.optiwise.ai/catalog/itemdetails/360683", "Tirrinia Women's Wide Brim Bucket Hats Breathable Outdoor Beach Gardening Hat One Size Fits All Adult, Pink")</f>
        <v/>
      </c>
      <c r="C1853" t="inlineStr">
        <is>
          <t>1TRSH9200PK-TBGM</t>
        </is>
      </c>
      <c r="D1853" t="inlineStr">
        <is>
          <t>Clothing</t>
        </is>
      </c>
      <c r="E1853" t="inlineStr">
        <is>
          <t>Hats</t>
        </is>
      </c>
      <c r="F1853" t="inlineStr">
        <is>
          <t>Tirrinia</t>
        </is>
      </c>
      <c r="G1853" t="n">
        <v>5</v>
      </c>
      <c r="H1853" t="n">
        <v>1</v>
      </c>
      <c r="I1853" t="inlineStr">
        <is>
          <t>Optimized</t>
        </is>
      </c>
      <c r="J1853" s="29" t="n">
        <v>0</v>
      </c>
      <c r="K1853" s="30" t="n"/>
      <c r="L1853" s="29" t="n">
        <v>0</v>
      </c>
      <c r="M1853" s="29" t="n">
        <v>0</v>
      </c>
      <c r="N1853" s="2" t="n">
        <v>0</v>
      </c>
      <c r="O1853" s="31" t="n">
        <v>0</v>
      </c>
      <c r="P1853" s="32" t="n"/>
      <c r="Q1853" s="32" t="n">
        <v>0</v>
      </c>
      <c r="R1853" s="32" t="n">
        <v>0</v>
      </c>
      <c r="S1853" s="31" t="n">
        <v>0</v>
      </c>
      <c r="T1853" s="32" t="n">
        <v>0</v>
      </c>
      <c r="U1853" s="31" t="n">
        <v>0</v>
      </c>
      <c r="V1853" s="31" t="n">
        <v>0</v>
      </c>
      <c r="W1853" s="3" t="n">
        <v>0</v>
      </c>
      <c r="X1853" s="3" t="n">
        <v>0</v>
      </c>
      <c r="Y1853" s="32" t="n">
        <v>0</v>
      </c>
      <c r="Z1853" s="3" t="n">
        <v>0</v>
      </c>
      <c r="AA1853" s="32" t="n">
        <v>0</v>
      </c>
      <c r="AB1853" s="3" t="n"/>
      <c r="AC1853" s="31" t="n">
        <v>0</v>
      </c>
      <c r="AD1853" s="2" t="n">
        <v>0</v>
      </c>
      <c r="AE1853" s="2" t="n">
        <v>15</v>
      </c>
      <c r="AF1853" s="4" t="n">
        <v>15</v>
      </c>
      <c r="AG1853" s="33" t="n">
        <v>0</v>
      </c>
      <c r="AH1853" s="4" t="n">
        <v>0</v>
      </c>
      <c r="AI1853" s="34" t="n"/>
      <c r="AJ1853" s="34" t="n">
        <v>0</v>
      </c>
      <c r="AK1853" s="2" t="n">
        <v>0</v>
      </c>
      <c r="AL1853" t="inlineStr">
        <is>
          <t>Published</t>
        </is>
      </c>
    </row>
    <row r="1854">
      <c r="A1854">
        <f>HYPERLINK("https://www.walmart.com/ip/380108659", "380108659")</f>
        <v/>
      </c>
      <c r="B1854">
        <f>HYPERLINK("https://app.optiwise.ai/catalog/itemdetails/360682", "Sherpa Blanket, Throw Blanket, Sherpa Blanket Super Soft Warm Fuzzy Snowflake Blanket Reversible for Family 60x50 by Catalonia")</f>
        <v/>
      </c>
      <c r="C1854" t="inlineStr">
        <is>
          <t>1CTBF390RD</t>
        </is>
      </c>
      <c r="D1854" t="inlineStr">
        <is>
          <t>Bedding</t>
        </is>
      </c>
      <c r="E1854" t="inlineStr">
        <is>
          <t>Throws</t>
        </is>
      </c>
      <c r="F1854" t="inlineStr">
        <is>
          <t>Catalonia</t>
        </is>
      </c>
      <c r="G1854" t="n">
        <v>5</v>
      </c>
      <c r="H1854" t="n">
        <v>1</v>
      </c>
      <c r="I1854" t="inlineStr">
        <is>
          <t>Batch 1 - TR</t>
        </is>
      </c>
      <c r="J1854" s="29" t="n">
        <v>0</v>
      </c>
      <c r="K1854" s="30" t="n"/>
      <c r="L1854" s="29" t="n">
        <v>0</v>
      </c>
      <c r="M1854" s="29" t="n">
        <v>0</v>
      </c>
      <c r="N1854" s="2" t="n">
        <v>0</v>
      </c>
      <c r="O1854" s="31" t="n">
        <v>0</v>
      </c>
      <c r="P1854" s="32" t="n"/>
      <c r="Q1854" s="32" t="n">
        <v>0</v>
      </c>
      <c r="R1854" s="32" t="n">
        <v>0</v>
      </c>
      <c r="S1854" s="31" t="n">
        <v>0</v>
      </c>
      <c r="T1854" s="32" t="n">
        <v>0</v>
      </c>
      <c r="U1854" s="31" t="n">
        <v>0</v>
      </c>
      <c r="V1854" s="31" t="n">
        <v>0</v>
      </c>
      <c r="W1854" s="3" t="n">
        <v>0</v>
      </c>
      <c r="X1854" s="3" t="n">
        <v>0</v>
      </c>
      <c r="Y1854" s="32" t="n">
        <v>0</v>
      </c>
      <c r="Z1854" s="3" t="n">
        <v>0</v>
      </c>
      <c r="AA1854" s="32" t="n">
        <v>0</v>
      </c>
      <c r="AB1854" s="3" t="n"/>
      <c r="AC1854" s="31" t="n">
        <v>0</v>
      </c>
      <c r="AD1854" s="2" t="n">
        <v>0</v>
      </c>
      <c r="AE1854" s="2" t="n">
        <v>5</v>
      </c>
      <c r="AF1854" s="4" t="n">
        <v>5</v>
      </c>
      <c r="AG1854" s="33" t="n">
        <v>0</v>
      </c>
      <c r="AH1854" s="4" t="n">
        <v>0</v>
      </c>
      <c r="AI1854" s="34" t="n"/>
      <c r="AJ1854" s="34" t="n">
        <v>0</v>
      </c>
      <c r="AK1854" s="2" t="n">
        <v>0</v>
      </c>
      <c r="AL1854" t="inlineStr">
        <is>
          <t>Published</t>
        </is>
      </c>
    </row>
    <row r="1855">
      <c r="A1855">
        <f>HYPERLINK("https://www.walmart.com/ip/111420113", "111420113")</f>
        <v/>
      </c>
      <c r="B1855">
        <f>HYPERLINK("https://app.optiwise.ai/catalog/itemdetails/360678", "Dog Blankets for Large Dogs,Super Soft Warm Sherpa Fleece Plush Doggie Blankets and Throws for Small Medium Puppy Doggy Pet Cats")</f>
        <v/>
      </c>
      <c r="C1855" t="inlineStr">
        <is>
          <t>1PSBF301MK</t>
        </is>
      </c>
      <c r="D1855" t="inlineStr">
        <is>
          <t>Animal Accessories</t>
        </is>
      </c>
      <c r="E1855" t="inlineStr">
        <is>
          <t>Pet Blankets</t>
        </is>
      </c>
      <c r="F1855" t="inlineStr">
        <is>
          <t>Pawsse</t>
        </is>
      </c>
      <c r="G1855" t="n">
        <v>0</v>
      </c>
      <c r="H1855" t="n">
        <v>0</v>
      </c>
      <c r="I1855" t="inlineStr">
        <is>
          <t>Batch 1 - TR</t>
        </is>
      </c>
      <c r="J1855" s="29" t="n">
        <v>0</v>
      </c>
      <c r="K1855" s="30" t="n"/>
      <c r="L1855" s="29" t="n">
        <v>0</v>
      </c>
      <c r="M1855" s="29" t="n">
        <v>0</v>
      </c>
      <c r="N1855" s="2" t="n">
        <v>0</v>
      </c>
      <c r="O1855" s="31" t="n">
        <v>0</v>
      </c>
      <c r="P1855" s="32" t="n"/>
      <c r="Q1855" s="32" t="n">
        <v>0</v>
      </c>
      <c r="R1855" s="32" t="n">
        <v>0</v>
      </c>
      <c r="S1855" s="31" t="n">
        <v>0</v>
      </c>
      <c r="T1855" s="32" t="n">
        <v>0</v>
      </c>
      <c r="U1855" s="31" t="n">
        <v>0</v>
      </c>
      <c r="V1855" s="31" t="n">
        <v>0</v>
      </c>
      <c r="W1855" s="3" t="n">
        <v>0</v>
      </c>
      <c r="X1855" s="3" t="n">
        <v>0</v>
      </c>
      <c r="Y1855" s="32" t="n">
        <v>0</v>
      </c>
      <c r="Z1855" s="3" t="n">
        <v>0</v>
      </c>
      <c r="AA1855" s="32" t="n">
        <v>0</v>
      </c>
      <c r="AB1855" s="3" t="n"/>
      <c r="AC1855" s="31" t="n">
        <v>0</v>
      </c>
      <c r="AD1855" s="2" t="n">
        <v>0</v>
      </c>
      <c r="AE1855" s="2" t="n">
        <v>2</v>
      </c>
      <c r="AF1855" s="4" t="n">
        <v>2</v>
      </c>
      <c r="AG1855" s="33" t="n">
        <v>0</v>
      </c>
      <c r="AH1855" s="4" t="n">
        <v>0</v>
      </c>
      <c r="AI1855" s="34" t="n"/>
      <c r="AJ1855" s="34" t="n">
        <v>0</v>
      </c>
      <c r="AK1855" s="2" t="n">
        <v>0</v>
      </c>
      <c r="AL1855" t="inlineStr">
        <is>
          <t>Published</t>
        </is>
      </c>
    </row>
    <row r="1856">
      <c r="A1856">
        <f>HYPERLINK("https://www.walmart.com/ip/112681610", "112681610")</f>
        <v/>
      </c>
      <c r="B1856">
        <f>HYPERLINK("https://app.optiwise.ai/catalog/itemdetails/360644", "Male Female Adjustable Buckle Closure USA Flag Embroidered Cap")</f>
        <v/>
      </c>
      <c r="C1856" t="inlineStr">
        <is>
          <t>kc-ae8010-rd</t>
        </is>
      </c>
      <c r="D1856" t="inlineStr">
        <is>
          <t>Clothing</t>
        </is>
      </c>
      <c r="E1856" t="inlineStr">
        <is>
          <t>Hats</t>
        </is>
      </c>
      <c r="F1856" t="inlineStr">
        <is>
          <t>KC Caps</t>
        </is>
      </c>
      <c r="G1856" t="n">
        <v>0</v>
      </c>
      <c r="H1856" t="n">
        <v>0</v>
      </c>
      <c r="I1856" t="inlineStr">
        <is>
          <t>Optimized</t>
        </is>
      </c>
      <c r="J1856" s="29" t="n">
        <v>0</v>
      </c>
      <c r="K1856" s="30" t="n"/>
      <c r="L1856" s="29" t="n">
        <v>0</v>
      </c>
      <c r="M1856" s="29" t="n">
        <v>0</v>
      </c>
      <c r="N1856" s="2" t="n">
        <v>0</v>
      </c>
      <c r="O1856" s="31" t="n">
        <v>0</v>
      </c>
      <c r="P1856" s="32" t="n"/>
      <c r="Q1856" s="32" t="n">
        <v>0</v>
      </c>
      <c r="R1856" s="32" t="n">
        <v>0</v>
      </c>
      <c r="S1856" s="31" t="n">
        <v>0</v>
      </c>
      <c r="T1856" s="32" t="n">
        <v>0</v>
      </c>
      <c r="U1856" s="31" t="n">
        <v>0</v>
      </c>
      <c r="V1856" s="31" t="n">
        <v>0</v>
      </c>
      <c r="W1856" s="3" t="n">
        <v>0</v>
      </c>
      <c r="X1856" s="3" t="n">
        <v>0</v>
      </c>
      <c r="Y1856" s="32" t="n">
        <v>0</v>
      </c>
      <c r="Z1856" s="3" t="n">
        <v>0</v>
      </c>
      <c r="AA1856" s="32" t="n">
        <v>0</v>
      </c>
      <c r="AB1856" s="3" t="n"/>
      <c r="AC1856" s="31" t="n">
        <v>0</v>
      </c>
      <c r="AD1856" s="2" t="n">
        <v>0</v>
      </c>
      <c r="AE1856" s="2" t="n">
        <v>2</v>
      </c>
      <c r="AF1856" s="4" t="n">
        <v>2</v>
      </c>
      <c r="AG1856" s="33" t="n">
        <v>0</v>
      </c>
      <c r="AH1856" s="4" t="n">
        <v>0</v>
      </c>
      <c r="AI1856" s="34" t="n"/>
      <c r="AJ1856" s="34" t="n">
        <v>0</v>
      </c>
      <c r="AK1856" s="2" t="n">
        <v>0</v>
      </c>
      <c r="AL1856" t="inlineStr">
        <is>
          <t>Published</t>
        </is>
      </c>
    </row>
    <row r="1857">
      <c r="A1857">
        <f>HYPERLINK("https://www.walmart.com/ip/308261754", "308261754")</f>
        <v/>
      </c>
      <c r="B1857">
        <f>HYPERLINK("https://app.optiwise.ai/catalog/itemdetails/360677", "Tirrinia Insulated 2 Bottle Wine Carrier Tote Cooler Bag for Travel Picnic Padded Champagne Glass Carrying Case")</f>
        <v/>
      </c>
      <c r="C1857" t="inlineStr">
        <is>
          <t>1WMWB221GY</t>
        </is>
      </c>
      <c r="D1857" t="inlineStr">
        <is>
          <t>Home Decor, Kitchen, &amp; Other</t>
        </is>
      </c>
      <c r="E1857" t="inlineStr">
        <is>
          <t>Wine Totes, Bags &amp; Backpacks</t>
        </is>
      </c>
      <c r="F1857" t="inlineStr">
        <is>
          <t>Flyingstar</t>
        </is>
      </c>
      <c r="G1857" t="n">
        <v>0</v>
      </c>
      <c r="H1857" t="n">
        <v>0</v>
      </c>
      <c r="I1857" t="inlineStr">
        <is>
          <t>Wine,Christmas,Valentine</t>
        </is>
      </c>
      <c r="J1857" s="29" t="n">
        <v>0</v>
      </c>
      <c r="K1857" s="30" t="n"/>
      <c r="L1857" s="29" t="n">
        <v>0</v>
      </c>
      <c r="M1857" s="29" t="n">
        <v>0</v>
      </c>
      <c r="N1857" s="2" t="n">
        <v>0</v>
      </c>
      <c r="O1857" s="31" t="n">
        <v>0</v>
      </c>
      <c r="P1857" s="32" t="n"/>
      <c r="Q1857" s="32" t="n">
        <v>0</v>
      </c>
      <c r="R1857" s="32" t="n">
        <v>0</v>
      </c>
      <c r="S1857" s="31" t="n">
        <v>0</v>
      </c>
      <c r="T1857" s="32" t="n">
        <v>0</v>
      </c>
      <c r="U1857" s="31" t="n">
        <v>0</v>
      </c>
      <c r="V1857" s="31" t="n">
        <v>0</v>
      </c>
      <c r="W1857" s="3" t="n">
        <v>0</v>
      </c>
      <c r="X1857" s="3" t="n">
        <v>0</v>
      </c>
      <c r="Y1857" s="32" t="n">
        <v>0</v>
      </c>
      <c r="Z1857" s="3" t="n">
        <v>0</v>
      </c>
      <c r="AA1857" s="32" t="n">
        <v>0</v>
      </c>
      <c r="AB1857" s="3" t="n"/>
      <c r="AC1857" s="31" t="n">
        <v>0</v>
      </c>
      <c r="AD1857" s="2" t="n">
        <v>0</v>
      </c>
      <c r="AE1857" s="2" t="n">
        <v>3</v>
      </c>
      <c r="AF1857" s="4" t="n">
        <v>3</v>
      </c>
      <c r="AG1857" s="33" t="n">
        <v>0</v>
      </c>
      <c r="AH1857" s="4" t="n">
        <v>0</v>
      </c>
      <c r="AI1857" s="34" t="n"/>
      <c r="AJ1857" s="34" t="n">
        <v>0</v>
      </c>
      <c r="AK1857" s="2" t="n">
        <v>0</v>
      </c>
      <c r="AL1857" t="inlineStr">
        <is>
          <t>Published</t>
        </is>
      </c>
    </row>
    <row r="1858">
      <c r="A1858">
        <f>HYPERLINK("https://www.walmart.com/ip/185265469", "185265469")</f>
        <v/>
      </c>
      <c r="B1858">
        <f>HYPERLINK("https://app.optiwise.ai/catalog/itemdetails/360676", "JenniWears Women's Beileise Sexy Net Pantyhose Stockings Sheer Ultrathin Socks")</f>
        <v/>
      </c>
      <c r="C1858" t="inlineStr">
        <is>
          <t>JWBLSPH2086</t>
        </is>
      </c>
      <c r="D1858" t="inlineStr">
        <is>
          <t>Clothing</t>
        </is>
      </c>
      <c r="E1858" t="inlineStr">
        <is>
          <t>Pantyhose &amp; Tights</t>
        </is>
      </c>
      <c r="F1858" t="inlineStr">
        <is>
          <t>JenniWears</t>
        </is>
      </c>
      <c r="G1858" t="n">
        <v>0</v>
      </c>
      <c r="H1858" t="n">
        <v>0</v>
      </c>
      <c r="I1858" t="inlineStr">
        <is>
          <t>Optimized,Valentine</t>
        </is>
      </c>
      <c r="J1858" s="29" t="n">
        <v>0</v>
      </c>
      <c r="K1858" s="30" t="n"/>
      <c r="L1858" s="29" t="n">
        <v>0</v>
      </c>
      <c r="M1858" s="29" t="n">
        <v>0</v>
      </c>
      <c r="N1858" s="2" t="n">
        <v>0</v>
      </c>
      <c r="O1858" s="31" t="n">
        <v>0</v>
      </c>
      <c r="P1858" s="32" t="n"/>
      <c r="Q1858" s="32" t="n">
        <v>0</v>
      </c>
      <c r="R1858" s="32" t="n">
        <v>0</v>
      </c>
      <c r="S1858" s="31" t="n">
        <v>0</v>
      </c>
      <c r="T1858" s="32" t="n">
        <v>0</v>
      </c>
      <c r="U1858" s="31" t="n">
        <v>0</v>
      </c>
      <c r="V1858" s="31" t="n">
        <v>0</v>
      </c>
      <c r="W1858" s="3" t="n">
        <v>0</v>
      </c>
      <c r="X1858" s="3" t="n">
        <v>0</v>
      </c>
      <c r="Y1858" s="32" t="n">
        <v>0</v>
      </c>
      <c r="Z1858" s="3" t="n">
        <v>0</v>
      </c>
      <c r="AA1858" s="32" t="n">
        <v>0</v>
      </c>
      <c r="AB1858" s="3" t="n"/>
      <c r="AC1858" s="31" t="n">
        <v>0</v>
      </c>
      <c r="AD1858" s="2" t="n">
        <v>0</v>
      </c>
      <c r="AE1858" s="2" t="n">
        <v>21</v>
      </c>
      <c r="AF1858" s="4" t="n">
        <v>21</v>
      </c>
      <c r="AG1858" s="33" t="n">
        <v>0</v>
      </c>
      <c r="AH1858" s="4" t="n">
        <v>0</v>
      </c>
      <c r="AI1858" s="34" t="n"/>
      <c r="AJ1858" s="34" t="n">
        <v>0</v>
      </c>
      <c r="AK1858" s="2" t="n">
        <v>0</v>
      </c>
      <c r="AL1858" t="inlineStr">
        <is>
          <t>Published</t>
        </is>
      </c>
    </row>
    <row r="1859">
      <c r="A1859">
        <f>HYPERLINK("https://www.walmart.com/ip/139794494", "139794494")</f>
        <v/>
      </c>
      <c r="B1859">
        <f>HYPERLINK("https://app.optiwise.ai/catalog/itemdetails/360673", "Catalonia Super Soft Sherpa Throw Blanket 50 x 60 Reversible Match Color Fuzzy Micro Plush All Season Fleece TV Blanke")</f>
        <v/>
      </c>
      <c r="C1859" t="inlineStr">
        <is>
          <t>1CTBF301LT</t>
        </is>
      </c>
      <c r="D1859" t="inlineStr">
        <is>
          <t>Bedding</t>
        </is>
      </c>
      <c r="E1859" t="inlineStr">
        <is>
          <t>Throws</t>
        </is>
      </c>
      <c r="F1859" t="inlineStr">
        <is>
          <t>Catalonia</t>
        </is>
      </c>
      <c r="G1859" t="n">
        <v>0</v>
      </c>
      <c r="H1859" t="n">
        <v>0</v>
      </c>
      <c r="I1859" t="inlineStr">
        <is>
          <t>WFS,WFS Item</t>
        </is>
      </c>
      <c r="J1859" s="29" t="n">
        <v>0</v>
      </c>
      <c r="K1859" s="30" t="n"/>
      <c r="L1859" s="29" t="n">
        <v>0</v>
      </c>
      <c r="M1859" s="29" t="n">
        <v>0</v>
      </c>
      <c r="N1859" s="2" t="n">
        <v>0</v>
      </c>
      <c r="O1859" s="31" t="n">
        <v>0</v>
      </c>
      <c r="P1859" s="32" t="n"/>
      <c r="Q1859" s="32" t="n">
        <v>0</v>
      </c>
      <c r="R1859" s="32" t="n">
        <v>0</v>
      </c>
      <c r="S1859" s="31" t="n">
        <v>0</v>
      </c>
      <c r="T1859" s="32" t="n">
        <v>0</v>
      </c>
      <c r="U1859" s="31" t="n">
        <v>0</v>
      </c>
      <c r="V1859" s="31" t="n">
        <v>0</v>
      </c>
      <c r="W1859" s="3" t="n">
        <v>0</v>
      </c>
      <c r="X1859" s="3" t="n">
        <v>0</v>
      </c>
      <c r="Y1859" s="32" t="n">
        <v>0</v>
      </c>
      <c r="Z1859" s="3" t="n">
        <v>0</v>
      </c>
      <c r="AA1859" s="32" t="n">
        <v>0</v>
      </c>
      <c r="AB1859" s="3" t="n"/>
      <c r="AC1859" s="31" t="n">
        <v>0</v>
      </c>
      <c r="AD1859" s="2" t="n">
        <v>0</v>
      </c>
      <c r="AE1859" s="2" t="n">
        <v>3</v>
      </c>
      <c r="AF1859" s="4" t="n">
        <v>3</v>
      </c>
      <c r="AG1859" s="33" t="n">
        <v>0</v>
      </c>
      <c r="AH1859" s="4" t="n">
        <v>0</v>
      </c>
      <c r="AI1859" s="34" t="n"/>
      <c r="AJ1859" s="34" t="n">
        <v>0</v>
      </c>
      <c r="AK1859" s="2" t="n">
        <v>0</v>
      </c>
      <c r="AL1859" t="inlineStr">
        <is>
          <t>Published</t>
        </is>
      </c>
    </row>
    <row r="1860">
      <c r="A1860">
        <f>HYPERLINK("https://www.walmart.com/ip/284000882", "284000882")</f>
        <v/>
      </c>
      <c r="B1860">
        <f>HYPERLINK("https://app.optiwise.ai/catalog/itemdetails/360659", "Catalonia Sherpa Throw Blanket 50 x 60, Micro Mink Flush Couch Reversible Bed Throw Comfort Caring Gift")</f>
        <v/>
      </c>
      <c r="C1860" t="inlineStr">
        <is>
          <t>1CTBF300BK</t>
        </is>
      </c>
      <c r="D1860" t="inlineStr">
        <is>
          <t>Bedding</t>
        </is>
      </c>
      <c r="E1860" t="inlineStr">
        <is>
          <t>Throws</t>
        </is>
      </c>
      <c r="F1860" t="inlineStr">
        <is>
          <t>Catalonia</t>
        </is>
      </c>
      <c r="G1860" t="n">
        <v>4.7</v>
      </c>
      <c r="H1860" t="n">
        <v>15</v>
      </c>
      <c r="I1860" t="inlineStr">
        <is>
          <t>Q2-Target,Optimized,WFS,Coupon_Discount,WFS Item</t>
        </is>
      </c>
      <c r="J1860" s="29" t="n">
        <v>0</v>
      </c>
      <c r="K1860" s="30" t="n"/>
      <c r="L1860" s="29" t="n">
        <v>0</v>
      </c>
      <c r="M1860" s="29" t="n">
        <v>0</v>
      </c>
      <c r="N1860" s="2" t="n">
        <v>0</v>
      </c>
      <c r="O1860" s="31" t="n">
        <v>0</v>
      </c>
      <c r="P1860" s="32" t="n"/>
      <c r="Q1860" s="32" t="n">
        <v>0</v>
      </c>
      <c r="R1860" s="32" t="n">
        <v>0</v>
      </c>
      <c r="S1860" s="31" t="n">
        <v>0</v>
      </c>
      <c r="T1860" s="32" t="n">
        <v>0</v>
      </c>
      <c r="U1860" s="31" t="n">
        <v>0</v>
      </c>
      <c r="V1860" s="31" t="n">
        <v>0</v>
      </c>
      <c r="W1860" s="3" t="n">
        <v>0</v>
      </c>
      <c r="X1860" s="3" t="n">
        <v>0</v>
      </c>
      <c r="Y1860" s="32" t="n">
        <v>0</v>
      </c>
      <c r="Z1860" s="3" t="n">
        <v>0</v>
      </c>
      <c r="AA1860" s="32" t="n">
        <v>0</v>
      </c>
      <c r="AB1860" s="3" t="n"/>
      <c r="AC1860" s="31" t="n">
        <v>0</v>
      </c>
      <c r="AD1860" s="2" t="n">
        <v>0</v>
      </c>
      <c r="AE1860" s="2" t="n">
        <v>27</v>
      </c>
      <c r="AF1860" s="4" t="n">
        <v>27</v>
      </c>
      <c r="AG1860" s="33" t="n">
        <v>0</v>
      </c>
      <c r="AH1860" s="4" t="n">
        <v>0</v>
      </c>
      <c r="AI1860" s="34" t="n"/>
      <c r="AJ1860" s="34" t="n">
        <v>0</v>
      </c>
      <c r="AK1860" s="2" t="n">
        <v>0</v>
      </c>
      <c r="AL1860" t="inlineStr">
        <is>
          <t>Published</t>
        </is>
      </c>
    </row>
    <row r="1861">
      <c r="A1861">
        <f>HYPERLINK("https://www.walmart.com/ip/833037681", "833037681")</f>
        <v/>
      </c>
      <c r="B1861">
        <f>HYPERLINK("https://app.optiwise.ai/catalog/itemdetails/360657", "Deluxe Pet Carrier Backpack for Small Cats and Dogs |Two-Sided Entry Airline-Approved, Padded Back Support Travel Carrier for Hiking, Walking, Cycling &amp; Outdoor")</f>
        <v/>
      </c>
      <c r="C1861" t="inlineStr">
        <is>
          <t>1TRPB200CH</t>
        </is>
      </c>
      <c r="D1861" t="inlineStr">
        <is>
          <t>Animal Other</t>
        </is>
      </c>
      <c r="E1861" t="inlineStr">
        <is>
          <t>Pet Carriers</t>
        </is>
      </c>
      <c r="F1861" t="inlineStr">
        <is>
          <t>Kato</t>
        </is>
      </c>
      <c r="G1861" t="n">
        <v>4.3</v>
      </c>
      <c r="H1861" t="n">
        <v>4</v>
      </c>
      <c r="I1861" t="inlineStr">
        <is>
          <t>Optimized</t>
        </is>
      </c>
      <c r="J1861" s="29" t="n">
        <v>0</v>
      </c>
      <c r="K1861" s="30" t="n"/>
      <c r="L1861" s="29" t="n">
        <v>0</v>
      </c>
      <c r="M1861" s="29" t="n">
        <v>0</v>
      </c>
      <c r="N1861" s="2" t="n">
        <v>0</v>
      </c>
      <c r="O1861" s="31" t="n">
        <v>0</v>
      </c>
      <c r="P1861" s="32" t="n"/>
      <c r="Q1861" s="32" t="n">
        <v>0</v>
      </c>
      <c r="R1861" s="32" t="n">
        <v>0</v>
      </c>
      <c r="S1861" s="31" t="n">
        <v>0</v>
      </c>
      <c r="T1861" s="32" t="n">
        <v>0</v>
      </c>
      <c r="U1861" s="31" t="n">
        <v>0</v>
      </c>
      <c r="V1861" s="31" t="n">
        <v>0</v>
      </c>
      <c r="W1861" s="3" t="n">
        <v>0</v>
      </c>
      <c r="X1861" s="3" t="n">
        <v>0</v>
      </c>
      <c r="Y1861" s="32" t="n">
        <v>0</v>
      </c>
      <c r="Z1861" s="3" t="n">
        <v>0</v>
      </c>
      <c r="AA1861" s="32" t="n">
        <v>0</v>
      </c>
      <c r="AB1861" s="3" t="n"/>
      <c r="AC1861" s="31" t="n">
        <v>0</v>
      </c>
      <c r="AD1861" s="2" t="n">
        <v>0</v>
      </c>
      <c r="AE1861" s="2" t="n">
        <v>22</v>
      </c>
      <c r="AF1861" s="4" t="n">
        <v>22</v>
      </c>
      <c r="AG1861" s="33" t="n">
        <v>0</v>
      </c>
      <c r="AH1861" s="4" t="n">
        <v>0</v>
      </c>
      <c r="AI1861" s="34" t="n"/>
      <c r="AJ1861" s="34" t="n">
        <v>0</v>
      </c>
      <c r="AK1861" s="2" t="n">
        <v>0</v>
      </c>
      <c r="AL1861" t="inlineStr">
        <is>
          <t>Published</t>
        </is>
      </c>
    </row>
    <row r="1862">
      <c r="A1862">
        <f>HYPERLINK("https://www.walmart.com/ip/269600083", "269600083")</f>
        <v/>
      </c>
      <c r="B1862">
        <f>HYPERLINK("https://app.optiwise.ai/catalog/itemdetails/360654", "Tirrinia Running Belt for iPhone 8, X, 7 Plus and 6S, Waist Fanny Pack Phone Pouch for Fitness, Walking and Workout, Travel Waistband for Women and Men Black/Medium")</f>
        <v/>
      </c>
      <c r="C1862" t="inlineStr">
        <is>
          <t>TRWB100BK-M</t>
        </is>
      </c>
      <c r="D1862" t="inlineStr">
        <is>
          <t>Cases &amp; Bags</t>
        </is>
      </c>
      <c r="E1862" t="inlineStr">
        <is>
          <t>Running Belts</t>
        </is>
      </c>
      <c r="F1862" t="inlineStr">
        <is>
          <t>Terrania</t>
        </is>
      </c>
      <c r="G1862" t="n">
        <v>0</v>
      </c>
      <c r="H1862" t="n">
        <v>0</v>
      </c>
      <c r="I1862" t="inlineStr">
        <is>
          <t>Batch 1 - TR</t>
        </is>
      </c>
      <c r="J1862" s="29" t="n">
        <v>0</v>
      </c>
      <c r="K1862" s="30" t="n"/>
      <c r="L1862" s="29" t="n">
        <v>0</v>
      </c>
      <c r="M1862" s="29" t="n">
        <v>0</v>
      </c>
      <c r="N1862" s="2" t="n">
        <v>0</v>
      </c>
      <c r="O1862" s="31" t="n">
        <v>0</v>
      </c>
      <c r="P1862" s="32" t="n"/>
      <c r="Q1862" s="32" t="n">
        <v>0</v>
      </c>
      <c r="R1862" s="32" t="n">
        <v>0</v>
      </c>
      <c r="S1862" s="31" t="n">
        <v>0</v>
      </c>
      <c r="T1862" s="32" t="n">
        <v>0</v>
      </c>
      <c r="U1862" s="31" t="n">
        <v>0</v>
      </c>
      <c r="V1862" s="31" t="n">
        <v>0</v>
      </c>
      <c r="W1862" s="3" t="n">
        <v>0</v>
      </c>
      <c r="X1862" s="3" t="n">
        <v>0</v>
      </c>
      <c r="Y1862" s="32" t="n">
        <v>0</v>
      </c>
      <c r="Z1862" s="3" t="n">
        <v>0</v>
      </c>
      <c r="AA1862" s="32" t="n">
        <v>0</v>
      </c>
      <c r="AB1862" s="3" t="n"/>
      <c r="AC1862" s="31" t="n">
        <v>0</v>
      </c>
      <c r="AD1862" s="2" t="n">
        <v>0</v>
      </c>
      <c r="AE1862" s="2" t="n">
        <v>18</v>
      </c>
      <c r="AF1862" s="4" t="n">
        <v>18</v>
      </c>
      <c r="AG1862" s="33" t="n">
        <v>0</v>
      </c>
      <c r="AH1862" s="4" t="n">
        <v>0</v>
      </c>
      <c r="AI1862" s="34" t="n"/>
      <c r="AJ1862" s="34" t="n">
        <v>0</v>
      </c>
      <c r="AK1862" s="2" t="n">
        <v>0</v>
      </c>
      <c r="AL1862" t="inlineStr">
        <is>
          <t>Published</t>
        </is>
      </c>
    </row>
    <row r="1863">
      <c r="A1863">
        <f>HYPERLINK("https://www.walmart.com/ip/900825897", "900825897")</f>
        <v/>
      </c>
      <c r="B1863">
        <f>HYPERLINK("https://app.optiwise.ai/catalog/itemdetails/360653", "Pawsse Pet Blankets, Super Soft Warm Sherpa Dog Fleece Blanket, Large Dog Blankets, and Dog Throw Blanket for Small Medium Puppy Doggy Pet Cats, Red, 60 X 49 Inches")</f>
        <v/>
      </c>
      <c r="C1863" t="inlineStr">
        <is>
          <t>1PSBF301RD</t>
        </is>
      </c>
      <c r="D1863" t="inlineStr">
        <is>
          <t>Animal Accessories</t>
        </is>
      </c>
      <c r="E1863" t="inlineStr">
        <is>
          <t>Pet Blankets</t>
        </is>
      </c>
      <c r="F1863" t="inlineStr">
        <is>
          <t>Pawsse</t>
        </is>
      </c>
      <c r="G1863" t="n">
        <v>0</v>
      </c>
      <c r="H1863" t="n">
        <v>0</v>
      </c>
      <c r="I1863" t="inlineStr">
        <is>
          <t>Coupon_Discount,Batch 1 - TR</t>
        </is>
      </c>
      <c r="J1863" s="29" t="n">
        <v>0</v>
      </c>
      <c r="K1863" s="30" t="n"/>
      <c r="L1863" s="29" t="n">
        <v>0</v>
      </c>
      <c r="M1863" s="29" t="n">
        <v>0</v>
      </c>
      <c r="N1863" s="2" t="n">
        <v>0</v>
      </c>
      <c r="O1863" s="31" t="n">
        <v>0</v>
      </c>
      <c r="P1863" s="32" t="n"/>
      <c r="Q1863" s="32" t="n">
        <v>0</v>
      </c>
      <c r="R1863" s="32" t="n">
        <v>0</v>
      </c>
      <c r="S1863" s="31" t="n">
        <v>0</v>
      </c>
      <c r="T1863" s="32" t="n">
        <v>0</v>
      </c>
      <c r="U1863" s="31" t="n">
        <v>0</v>
      </c>
      <c r="V1863" s="31" t="n">
        <v>0</v>
      </c>
      <c r="W1863" s="3" t="n">
        <v>0</v>
      </c>
      <c r="X1863" s="3" t="n">
        <v>0</v>
      </c>
      <c r="Y1863" s="32" t="n">
        <v>0</v>
      </c>
      <c r="Z1863" s="3" t="n">
        <v>0</v>
      </c>
      <c r="AA1863" s="32" t="n">
        <v>0</v>
      </c>
      <c r="AB1863" s="3" t="n"/>
      <c r="AC1863" s="31" t="n">
        <v>0</v>
      </c>
      <c r="AD1863" s="2" t="n">
        <v>0</v>
      </c>
      <c r="AE1863" s="2" t="n">
        <v>11</v>
      </c>
      <c r="AF1863" s="4" t="n">
        <v>11</v>
      </c>
      <c r="AG1863" s="33" t="n">
        <v>0</v>
      </c>
      <c r="AH1863" s="4" t="n">
        <v>0</v>
      </c>
      <c r="AI1863" s="34" t="n"/>
      <c r="AJ1863" s="34" t="n">
        <v>0</v>
      </c>
      <c r="AK1863" s="2" t="n">
        <v>0</v>
      </c>
      <c r="AL1863" t="inlineStr">
        <is>
          <t>Published</t>
        </is>
      </c>
    </row>
    <row r="1864">
      <c r="A1864">
        <f>HYPERLINK("https://www.walmart.com/ip/706620053", "706620053")</f>
        <v/>
      </c>
      <c r="B1864">
        <f>HYPERLINK("https://app.optiwise.ai/catalog/itemdetails/360651", "Flyingstar Blanket with Sleeves and Pocket, Wearable Throws Blanket, Robe for Women and Men 73” x 51” Blue")</f>
        <v/>
      </c>
      <c r="C1864" t="inlineStr">
        <is>
          <t>1WMSN100BL-ESGM</t>
        </is>
      </c>
      <c r="D1864" t="inlineStr">
        <is>
          <t>Bedding</t>
        </is>
      </c>
      <c r="E1864" t="inlineStr">
        <is>
          <t>Throws</t>
        </is>
      </c>
      <c r="F1864" t="inlineStr">
        <is>
          <t>Flyingstar</t>
        </is>
      </c>
      <c r="G1864" t="n">
        <v>0</v>
      </c>
      <c r="H1864" t="n">
        <v>0</v>
      </c>
      <c r="I1864" t="inlineStr">
        <is>
          <t>Batch 1 - TR</t>
        </is>
      </c>
      <c r="J1864" s="29" t="n">
        <v>0</v>
      </c>
      <c r="K1864" s="30" t="n"/>
      <c r="L1864" s="29" t="n">
        <v>0</v>
      </c>
      <c r="M1864" s="29" t="n">
        <v>0</v>
      </c>
      <c r="N1864" s="2" t="n">
        <v>0</v>
      </c>
      <c r="O1864" s="31" t="n">
        <v>0</v>
      </c>
      <c r="P1864" s="32" t="n"/>
      <c r="Q1864" s="32" t="n">
        <v>0</v>
      </c>
      <c r="R1864" s="32" t="n">
        <v>0</v>
      </c>
      <c r="S1864" s="31" t="n">
        <v>0</v>
      </c>
      <c r="T1864" s="32" t="n">
        <v>0</v>
      </c>
      <c r="U1864" s="31" t="n">
        <v>0</v>
      </c>
      <c r="V1864" s="31" t="n">
        <v>0</v>
      </c>
      <c r="W1864" s="3" t="n">
        <v>0</v>
      </c>
      <c r="X1864" s="3" t="n">
        <v>0</v>
      </c>
      <c r="Y1864" s="32" t="n">
        <v>0</v>
      </c>
      <c r="Z1864" s="3" t="n">
        <v>0</v>
      </c>
      <c r="AA1864" s="32" t="n">
        <v>0</v>
      </c>
      <c r="AB1864" s="3" t="n"/>
      <c r="AC1864" s="31" t="n">
        <v>0</v>
      </c>
      <c r="AD1864" s="2" t="n">
        <v>0</v>
      </c>
      <c r="AE1864" s="2" t="n">
        <v>3</v>
      </c>
      <c r="AF1864" s="4" t="n">
        <v>3</v>
      </c>
      <c r="AG1864" s="33" t="n">
        <v>0</v>
      </c>
      <c r="AH1864" s="4" t="n">
        <v>0</v>
      </c>
      <c r="AI1864" s="34" t="n"/>
      <c r="AJ1864" s="34" t="n">
        <v>0</v>
      </c>
      <c r="AK1864" s="2" t="n">
        <v>0</v>
      </c>
      <c r="AL1864" t="inlineStr">
        <is>
          <t>Published</t>
        </is>
      </c>
    </row>
    <row r="1865">
      <c r="A1865">
        <f>HYPERLINK("https://www.walmart.com/ip/103851347", "103851347")</f>
        <v/>
      </c>
      <c r="B1865">
        <f>HYPERLINK("https://app.optiwise.ai/catalog/itemdetails/360649", "Catalonia Super Soft Micro Fleece Reversible Sherpa Plush Bed Throw TV Blanket 50 x 60")</f>
        <v/>
      </c>
      <c r="C1865" t="inlineStr">
        <is>
          <t>K8021GRAY</t>
        </is>
      </c>
      <c r="D1865" t="inlineStr">
        <is>
          <t>Bedding</t>
        </is>
      </c>
      <c r="E1865" t="inlineStr">
        <is>
          <t>Throws</t>
        </is>
      </c>
      <c r="F1865" t="inlineStr">
        <is>
          <t>Catalonia</t>
        </is>
      </c>
      <c r="G1865" t="n">
        <v>4.8</v>
      </c>
      <c r="H1865" t="n">
        <v>9</v>
      </c>
      <c r="I1865" t="inlineStr">
        <is>
          <t>Batch 1 - TR</t>
        </is>
      </c>
      <c r="J1865" s="29" t="n">
        <v>0</v>
      </c>
      <c r="K1865" s="30" t="n"/>
      <c r="L1865" s="29" t="n">
        <v>0</v>
      </c>
      <c r="M1865" s="29" t="n">
        <v>0</v>
      </c>
      <c r="N1865" s="2" t="n">
        <v>0</v>
      </c>
      <c r="O1865" s="31" t="n">
        <v>0</v>
      </c>
      <c r="P1865" s="32" t="n"/>
      <c r="Q1865" s="32" t="n">
        <v>0</v>
      </c>
      <c r="R1865" s="32" t="n">
        <v>0</v>
      </c>
      <c r="S1865" s="31" t="n">
        <v>0</v>
      </c>
      <c r="T1865" s="32" t="n">
        <v>0</v>
      </c>
      <c r="U1865" s="31" t="n">
        <v>0</v>
      </c>
      <c r="V1865" s="31" t="n">
        <v>0</v>
      </c>
      <c r="W1865" s="3" t="n">
        <v>0</v>
      </c>
      <c r="X1865" s="3" t="n">
        <v>0</v>
      </c>
      <c r="Y1865" s="32" t="n">
        <v>0</v>
      </c>
      <c r="Z1865" s="3" t="n">
        <v>0</v>
      </c>
      <c r="AA1865" s="32" t="n">
        <v>0</v>
      </c>
      <c r="AB1865" s="3" t="n"/>
      <c r="AC1865" s="31" t="n">
        <v>0</v>
      </c>
      <c r="AD1865" s="2" t="n">
        <v>0</v>
      </c>
      <c r="AE1865" s="2" t="n">
        <v>6</v>
      </c>
      <c r="AF1865" s="4" t="n">
        <v>6</v>
      </c>
      <c r="AG1865" s="33" t="n">
        <v>0</v>
      </c>
      <c r="AH1865" s="4" t="n">
        <v>0</v>
      </c>
      <c r="AI1865" s="34" t="n"/>
      <c r="AJ1865" s="34" t="n">
        <v>0</v>
      </c>
      <c r="AK1865" s="2" t="n">
        <v>0</v>
      </c>
      <c r="AL1865" t="inlineStr">
        <is>
          <t>Published</t>
        </is>
      </c>
    </row>
    <row r="1866">
      <c r="A1866">
        <f>HYPERLINK("https://www.walmart.com/ip/948676061", "948676061")</f>
        <v/>
      </c>
      <c r="B1866">
        <f>HYPERLINK("https://app.optiwise.ai/catalog/itemdetails/360646", "Terra Boxer Briefs Mens 3 Pack Underwear Elastic Waistband Solid New Classic Fit")</f>
        <v/>
      </c>
      <c r="C1866" t="inlineStr">
        <is>
          <t>TERRA-BOXER8-M</t>
        </is>
      </c>
      <c r="D1866" t="inlineStr">
        <is>
          <t>Clothing</t>
        </is>
      </c>
      <c r="E1866" t="inlineStr">
        <is>
          <t>Underpants</t>
        </is>
      </c>
      <c r="F1866" t="inlineStr">
        <is>
          <t>Terra</t>
        </is>
      </c>
      <c r="G1866" t="n">
        <v>0</v>
      </c>
      <c r="H1866" t="n">
        <v>0</v>
      </c>
      <c r="I1866" t="inlineStr">
        <is>
          <t>Batch 1 - TR</t>
        </is>
      </c>
      <c r="J1866" s="29" t="n">
        <v>0</v>
      </c>
      <c r="K1866" s="30" t="n"/>
      <c r="L1866" s="29" t="n">
        <v>0</v>
      </c>
      <c r="M1866" s="29" t="n">
        <v>0</v>
      </c>
      <c r="N1866" s="2" t="n">
        <v>0</v>
      </c>
      <c r="O1866" s="31" t="n">
        <v>0</v>
      </c>
      <c r="P1866" s="32" t="n"/>
      <c r="Q1866" s="32" t="n">
        <v>0</v>
      </c>
      <c r="R1866" s="32" t="n">
        <v>0</v>
      </c>
      <c r="S1866" s="31" t="n">
        <v>0</v>
      </c>
      <c r="T1866" s="32" t="n">
        <v>0</v>
      </c>
      <c r="U1866" s="31" t="n">
        <v>0</v>
      </c>
      <c r="V1866" s="31" t="n">
        <v>0</v>
      </c>
      <c r="W1866" s="3" t="n">
        <v>0</v>
      </c>
      <c r="X1866" s="3" t="n">
        <v>0</v>
      </c>
      <c r="Y1866" s="32" t="n">
        <v>0</v>
      </c>
      <c r="Z1866" s="3" t="n">
        <v>0</v>
      </c>
      <c r="AA1866" s="32" t="n">
        <v>0</v>
      </c>
      <c r="AB1866" s="3" t="n"/>
      <c r="AC1866" s="31" t="n">
        <v>0</v>
      </c>
      <c r="AD1866" s="2" t="n">
        <v>0</v>
      </c>
      <c r="AE1866" s="2" t="n">
        <v>11</v>
      </c>
      <c r="AF1866" s="4" t="n">
        <v>11</v>
      </c>
      <c r="AG1866" s="33" t="n">
        <v>0</v>
      </c>
      <c r="AH1866" s="4" t="n">
        <v>0</v>
      </c>
      <c r="AI1866" s="34" t="n"/>
      <c r="AJ1866" s="34" t="n">
        <v>0</v>
      </c>
      <c r="AK1866" s="2" t="n">
        <v>0</v>
      </c>
      <c r="AL1866" t="inlineStr">
        <is>
          <t>Published</t>
        </is>
      </c>
    </row>
    <row r="1867">
      <c r="A1867">
        <f>HYPERLINK("https://www.walmart.com/ip/896978644", "896978644")</f>
        <v/>
      </c>
      <c r="B1867">
        <f>HYPERLINK("https://app.optiwise.ai/catalog/itemdetails/360645", "Kato Deluxe Pet Carrier Backpack for Small Cats and Dogs, Two-Sided Entry Airline-Approved, Padded Back Support Travel Carrier for Hiking, Walking, Cycling and Outdoor, Light Grey")</f>
        <v/>
      </c>
      <c r="C1867" t="inlineStr">
        <is>
          <t>1TRPB200LGY</t>
        </is>
      </c>
      <c r="D1867" t="inlineStr">
        <is>
          <t>Animal Other</t>
        </is>
      </c>
      <c r="E1867" t="inlineStr">
        <is>
          <t>Pet Carriers</t>
        </is>
      </c>
      <c r="F1867" t="inlineStr">
        <is>
          <t>Kato</t>
        </is>
      </c>
      <c r="G1867" t="n">
        <v>4.8</v>
      </c>
      <c r="H1867" t="n">
        <v>6</v>
      </c>
      <c r="I1867" t="inlineStr">
        <is>
          <t>Optimized,WFS,WFS Item</t>
        </is>
      </c>
      <c r="J1867" s="29" t="n">
        <v>0</v>
      </c>
      <c r="K1867" s="30" t="n"/>
      <c r="L1867" s="29" t="n">
        <v>0</v>
      </c>
      <c r="M1867" s="29" t="n">
        <v>0</v>
      </c>
      <c r="N1867" s="2" t="n">
        <v>0</v>
      </c>
      <c r="O1867" s="31" t="n">
        <v>0</v>
      </c>
      <c r="P1867" s="32" t="n"/>
      <c r="Q1867" s="32" t="n">
        <v>0</v>
      </c>
      <c r="R1867" s="32" t="n">
        <v>0</v>
      </c>
      <c r="S1867" s="31" t="n">
        <v>0</v>
      </c>
      <c r="T1867" s="32" t="n">
        <v>0</v>
      </c>
      <c r="U1867" s="31" t="n">
        <v>0</v>
      </c>
      <c r="V1867" s="31" t="n">
        <v>0</v>
      </c>
      <c r="W1867" s="3" t="n">
        <v>0</v>
      </c>
      <c r="X1867" s="3" t="n">
        <v>0</v>
      </c>
      <c r="Y1867" s="32" t="n">
        <v>0</v>
      </c>
      <c r="Z1867" s="3" t="n">
        <v>0</v>
      </c>
      <c r="AA1867" s="32" t="n">
        <v>0</v>
      </c>
      <c r="AB1867" s="3" t="n"/>
      <c r="AC1867" s="31" t="n">
        <v>0</v>
      </c>
      <c r="AD1867" s="2" t="n">
        <v>0</v>
      </c>
      <c r="AE1867" s="2" t="n">
        <v>35</v>
      </c>
      <c r="AF1867" s="4" t="n">
        <v>35</v>
      </c>
      <c r="AG1867" s="33" t="n">
        <v>0</v>
      </c>
      <c r="AH1867" s="4" t="n">
        <v>0</v>
      </c>
      <c r="AI1867" s="34" t="n"/>
      <c r="AJ1867" s="34" t="n">
        <v>0</v>
      </c>
      <c r="AK1867" s="2" t="n">
        <v>0</v>
      </c>
      <c r="AL1867" t="inlineStr">
        <is>
          <t>Published</t>
        </is>
      </c>
    </row>
    <row r="1868">
      <c r="A1868">
        <f>HYPERLINK("https://www.walmart.com/ip/783068964", "783068964")</f>
        <v/>
      </c>
      <c r="B1868">
        <f>HYPERLINK("https://app.optiwise.ai/catalog/itemdetails/360541", "Catalonia Wearable Fleece Blanket with Sleeves and Foot Pockets for Adult Women Men, Micro Plush Comfy Wrap Sleeved Throw Blanket Robe Large, Dalmatian")</f>
        <v/>
      </c>
      <c r="C1868" t="inlineStr">
        <is>
          <t>1CTSN101RDDOT</t>
        </is>
      </c>
      <c r="D1868" t="inlineStr">
        <is>
          <t>Bedding</t>
        </is>
      </c>
      <c r="E1868" t="inlineStr">
        <is>
          <t>Throws</t>
        </is>
      </c>
      <c r="F1868" t="inlineStr">
        <is>
          <t>Catalonia</t>
        </is>
      </c>
      <c r="G1868" t="n">
        <v>0</v>
      </c>
      <c r="H1868" t="n">
        <v>0</v>
      </c>
      <c r="I1868" t="inlineStr">
        <is>
          <t>Fleece Blankets,Batch 1 - TR</t>
        </is>
      </c>
      <c r="J1868" s="29" t="n">
        <v>0</v>
      </c>
      <c r="K1868" s="30" t="n"/>
      <c r="L1868" s="29" t="n">
        <v>0</v>
      </c>
      <c r="M1868" s="29" t="n">
        <v>0</v>
      </c>
      <c r="N1868" s="2" t="n">
        <v>0</v>
      </c>
      <c r="O1868" s="31" t="n">
        <v>0</v>
      </c>
      <c r="P1868" s="32" t="n"/>
      <c r="Q1868" s="32" t="n">
        <v>0</v>
      </c>
      <c r="R1868" s="32" t="n">
        <v>0</v>
      </c>
      <c r="S1868" s="31" t="n">
        <v>0</v>
      </c>
      <c r="T1868" s="32" t="n">
        <v>0</v>
      </c>
      <c r="U1868" s="31" t="n">
        <v>0</v>
      </c>
      <c r="V1868" s="31" t="n">
        <v>0</v>
      </c>
      <c r="W1868" s="3" t="n">
        <v>0</v>
      </c>
      <c r="X1868" s="3" t="n">
        <v>0</v>
      </c>
      <c r="Y1868" s="32" t="n">
        <v>0</v>
      </c>
      <c r="Z1868" s="3" t="n">
        <v>0</v>
      </c>
      <c r="AA1868" s="32" t="n">
        <v>0</v>
      </c>
      <c r="AB1868" s="3" t="n"/>
      <c r="AC1868" s="31" t="n">
        <v>0</v>
      </c>
      <c r="AD1868" s="2" t="n">
        <v>0</v>
      </c>
      <c r="AE1868" s="2" t="n">
        <v>25</v>
      </c>
      <c r="AF1868" s="4" t="n">
        <v>25</v>
      </c>
      <c r="AG1868" s="33" t="n">
        <v>0</v>
      </c>
      <c r="AH1868" s="4" t="n">
        <v>0</v>
      </c>
      <c r="AI1868" s="34" t="n"/>
      <c r="AJ1868" s="34" t="n">
        <v>0</v>
      </c>
      <c r="AK1868" s="2" t="n">
        <v>0</v>
      </c>
      <c r="AL1868" t="inlineStr">
        <is>
          <t>Published</t>
        </is>
      </c>
    </row>
    <row r="1869">
      <c r="A1869">
        <f>HYPERLINK("https://www.walmart.com/ip/276329221", "276329221")</f>
        <v/>
      </c>
      <c r="B1869">
        <f>HYPERLINK("https://app.optiwise.ai/catalog/itemdetails/360530", "Catalonia Knit Throw Blanket with Decorative PomPom Fringe 60 x 50 for sofa or bed")</f>
        <v/>
      </c>
      <c r="C1869" t="inlineStr">
        <is>
          <t>1CTBN200BK</t>
        </is>
      </c>
      <c r="D1869" t="inlineStr">
        <is>
          <t>Bedding</t>
        </is>
      </c>
      <c r="E1869" t="inlineStr">
        <is>
          <t>Throws</t>
        </is>
      </c>
      <c r="F1869" t="inlineStr">
        <is>
          <t>Catalonia</t>
        </is>
      </c>
      <c r="G1869" t="n">
        <v>4.7</v>
      </c>
      <c r="H1869" t="n">
        <v>10</v>
      </c>
      <c r="I1869" t="inlineStr">
        <is>
          <t>Q2-Target,Optimized,WFS,WFS Item</t>
        </is>
      </c>
      <c r="J1869" s="29" t="n">
        <v>0</v>
      </c>
      <c r="K1869" s="30" t="n"/>
      <c r="L1869" s="29" t="n">
        <v>0</v>
      </c>
      <c r="M1869" s="29" t="n">
        <v>0</v>
      </c>
      <c r="N1869" s="2" t="n">
        <v>0</v>
      </c>
      <c r="O1869" s="31" t="n">
        <v>0</v>
      </c>
      <c r="P1869" s="32" t="n"/>
      <c r="Q1869" s="32" t="n">
        <v>0</v>
      </c>
      <c r="R1869" s="32" t="n">
        <v>0</v>
      </c>
      <c r="S1869" s="31" t="n">
        <v>0</v>
      </c>
      <c r="T1869" s="32" t="n">
        <v>0</v>
      </c>
      <c r="U1869" s="31" t="n">
        <v>0</v>
      </c>
      <c r="V1869" s="31" t="n">
        <v>0</v>
      </c>
      <c r="W1869" s="3" t="n">
        <v>0</v>
      </c>
      <c r="X1869" s="3" t="n">
        <v>0</v>
      </c>
      <c r="Y1869" s="32" t="n">
        <v>0</v>
      </c>
      <c r="Z1869" s="3" t="n">
        <v>0</v>
      </c>
      <c r="AA1869" s="32" t="n">
        <v>0</v>
      </c>
      <c r="AB1869" s="3" t="n"/>
      <c r="AC1869" s="31" t="n">
        <v>0</v>
      </c>
      <c r="AD1869" s="2" t="n">
        <v>0</v>
      </c>
      <c r="AE1869" s="2" t="n">
        <v>141</v>
      </c>
      <c r="AF1869" s="4" t="n">
        <v>141</v>
      </c>
      <c r="AG1869" s="33" t="n">
        <v>0</v>
      </c>
      <c r="AH1869" s="4" t="n">
        <v>0</v>
      </c>
      <c r="AI1869" s="34" t="n"/>
      <c r="AJ1869" s="34" t="n">
        <v>0</v>
      </c>
      <c r="AK1869" s="2" t="n">
        <v>0</v>
      </c>
      <c r="AL1869" t="inlineStr">
        <is>
          <t>Published</t>
        </is>
      </c>
    </row>
    <row r="1870">
      <c r="A1870">
        <f>HYPERLINK("https://www.walmart.com/ip/195150638", "195150638")</f>
        <v/>
      </c>
      <c r="B1870">
        <f>HYPERLINK("https://app.optiwise.ai/catalog/itemdetails/360334", "JenniWears Unisex LED Light Up Fedora Hat Glow Cap Sparkly Sequin Black Fabric El Wire With Controller Pink")</f>
        <v/>
      </c>
      <c r="C1870" t="inlineStr">
        <is>
          <t>JWLEDHTA01-PK</t>
        </is>
      </c>
      <c r="D1870" t="inlineStr">
        <is>
          <t>Decorations &amp; Favors</t>
        </is>
      </c>
      <c r="E1870" t="inlineStr">
        <is>
          <t>Party Hats</t>
        </is>
      </c>
      <c r="F1870" t="inlineStr">
        <is>
          <t>JenniWears</t>
        </is>
      </c>
      <c r="G1870" t="n">
        <v>0</v>
      </c>
      <c r="H1870" t="n">
        <v>0</v>
      </c>
      <c r="I1870" t="inlineStr">
        <is>
          <t>Batch 1 - TR</t>
        </is>
      </c>
      <c r="J1870" s="29" t="n">
        <v>0</v>
      </c>
      <c r="K1870" s="30" t="n"/>
      <c r="L1870" s="29" t="n">
        <v>0</v>
      </c>
      <c r="M1870" s="29" t="n">
        <v>0</v>
      </c>
      <c r="N1870" s="2" t="n">
        <v>0</v>
      </c>
      <c r="O1870" s="31" t="n">
        <v>0</v>
      </c>
      <c r="P1870" s="32" t="n"/>
      <c r="Q1870" s="32" t="n">
        <v>0</v>
      </c>
      <c r="R1870" s="32" t="n">
        <v>0</v>
      </c>
      <c r="S1870" s="31" t="n">
        <v>0</v>
      </c>
      <c r="T1870" s="32" t="n">
        <v>0</v>
      </c>
      <c r="U1870" s="31" t="n">
        <v>0</v>
      </c>
      <c r="V1870" s="31" t="n">
        <v>0</v>
      </c>
      <c r="W1870" s="3" t="n">
        <v>0</v>
      </c>
      <c r="X1870" s="3" t="n">
        <v>0</v>
      </c>
      <c r="Y1870" s="32" t="n">
        <v>0</v>
      </c>
      <c r="Z1870" s="3" t="n">
        <v>0</v>
      </c>
      <c r="AA1870" s="32" t="n">
        <v>0</v>
      </c>
      <c r="AB1870" s="3" t="n"/>
      <c r="AC1870" s="31" t="n">
        <v>0</v>
      </c>
      <c r="AD1870" s="2" t="n">
        <v>0</v>
      </c>
      <c r="AE1870" s="2" t="n">
        <v>11</v>
      </c>
      <c r="AF1870" s="4" t="n">
        <v>11</v>
      </c>
      <c r="AG1870" s="33" t="n">
        <v>0</v>
      </c>
      <c r="AH1870" s="4" t="n">
        <v>0</v>
      </c>
      <c r="AI1870" s="34" t="n"/>
      <c r="AJ1870" s="34" t="n">
        <v>0</v>
      </c>
      <c r="AK1870" s="2" t="n">
        <v>0</v>
      </c>
      <c r="AL1870" t="inlineStr">
        <is>
          <t>Published</t>
        </is>
      </c>
    </row>
    <row r="1871">
      <c r="A1871">
        <f>HYPERLINK("https://www.walmart.com/ip/687361170", "687361170")</f>
        <v/>
      </c>
      <c r="B1871">
        <f>HYPERLINK("https://app.optiwise.ai/catalog/itemdetails/360380", "JenniWears® Women Strap Backless Sleepwear Lace Nightwear Mesh Babydoll Wire")</f>
        <v/>
      </c>
      <c r="C1871" t="inlineStr">
        <is>
          <t>JWBD010BL-3XL</t>
        </is>
      </c>
      <c r="D1871" t="inlineStr">
        <is>
          <t>Clothing</t>
        </is>
      </c>
      <c r="E1871" t="inlineStr">
        <is>
          <t>Lingerie Sets</t>
        </is>
      </c>
      <c r="F1871" t="inlineStr">
        <is>
          <t>JenniWears</t>
        </is>
      </c>
      <c r="G1871" t="n">
        <v>0</v>
      </c>
      <c r="H1871" t="n">
        <v>0</v>
      </c>
      <c r="J1871" s="29" t="n">
        <v>0</v>
      </c>
      <c r="K1871" s="30" t="n"/>
      <c r="L1871" s="29" t="n">
        <v>0</v>
      </c>
      <c r="M1871" s="29" t="n">
        <v>0</v>
      </c>
      <c r="N1871" s="2" t="n">
        <v>0</v>
      </c>
      <c r="O1871" s="31" t="n">
        <v>0</v>
      </c>
      <c r="P1871" s="32" t="n"/>
      <c r="Q1871" s="32" t="n">
        <v>0</v>
      </c>
      <c r="R1871" s="32" t="n">
        <v>0</v>
      </c>
      <c r="S1871" s="31" t="n">
        <v>0</v>
      </c>
      <c r="T1871" s="32" t="n">
        <v>0</v>
      </c>
      <c r="U1871" s="31" t="n">
        <v>0</v>
      </c>
      <c r="V1871" s="31" t="n">
        <v>0</v>
      </c>
      <c r="W1871" s="3" t="n">
        <v>0</v>
      </c>
      <c r="X1871" s="3" t="n">
        <v>0</v>
      </c>
      <c r="Y1871" s="32" t="n">
        <v>0</v>
      </c>
      <c r="Z1871" s="3" t="n">
        <v>0</v>
      </c>
      <c r="AA1871" s="32" t="n">
        <v>0</v>
      </c>
      <c r="AB1871" s="3" t="n"/>
      <c r="AC1871" s="31" t="n">
        <v>0</v>
      </c>
      <c r="AD1871" s="2" t="n">
        <v>0</v>
      </c>
      <c r="AE1871" s="2" t="n">
        <v>17</v>
      </c>
      <c r="AF1871" s="4" t="n">
        <v>17</v>
      </c>
      <c r="AG1871" s="33" t="n">
        <v>0</v>
      </c>
      <c r="AH1871" s="4" t="n">
        <v>0</v>
      </c>
      <c r="AI1871" s="34" t="n"/>
      <c r="AJ1871" s="34" t="n">
        <v>0</v>
      </c>
      <c r="AK1871" s="2" t="n">
        <v>0</v>
      </c>
      <c r="AL1871" t="inlineStr">
        <is>
          <t>Published</t>
        </is>
      </c>
    </row>
    <row r="1872">
      <c r="A1872">
        <f>HYPERLINK("https://www.walmart.com/ip/362424578", "362424578")</f>
        <v/>
      </c>
      <c r="B1872">
        <f>HYPERLINK("https://app.optiwise.ai/catalog/itemdetails/360405", "Jennis Women's Sexy Lace Nightgown Sleepwear Bathrobe 2 Piece Set ( XXXL=US 12-14 )")</f>
        <v/>
      </c>
      <c r="C1872" t="inlineStr">
        <is>
          <t>JWRS02BK-3XL</t>
        </is>
      </c>
      <c r="D1872" t="inlineStr">
        <is>
          <t>Clothing</t>
        </is>
      </c>
      <c r="E1872" t="inlineStr">
        <is>
          <t>Nightgowns &amp; Sleepshirts</t>
        </is>
      </c>
      <c r="F1872" t="inlineStr">
        <is>
          <t>JenniWears</t>
        </is>
      </c>
      <c r="G1872" t="n">
        <v>0</v>
      </c>
      <c r="H1872" t="n">
        <v>0</v>
      </c>
      <c r="I1872" t="inlineStr">
        <is>
          <t>Optimized,Valentine,Bathrobe</t>
        </is>
      </c>
      <c r="J1872" s="29" t="n">
        <v>0</v>
      </c>
      <c r="K1872" s="30" t="n"/>
      <c r="L1872" s="29" t="n">
        <v>0</v>
      </c>
      <c r="M1872" s="29" t="n">
        <v>0</v>
      </c>
      <c r="N1872" s="2" t="n">
        <v>0</v>
      </c>
      <c r="O1872" s="31" t="n">
        <v>0</v>
      </c>
      <c r="P1872" s="32" t="n"/>
      <c r="Q1872" s="32" t="n">
        <v>0</v>
      </c>
      <c r="R1872" s="32" t="n">
        <v>0</v>
      </c>
      <c r="S1872" s="31" t="n">
        <v>0</v>
      </c>
      <c r="T1872" s="32" t="n">
        <v>0</v>
      </c>
      <c r="U1872" s="31" t="n">
        <v>0</v>
      </c>
      <c r="V1872" s="31" t="n">
        <v>0</v>
      </c>
      <c r="W1872" s="3" t="n">
        <v>0</v>
      </c>
      <c r="X1872" s="3" t="n">
        <v>0</v>
      </c>
      <c r="Y1872" s="32" t="n">
        <v>0</v>
      </c>
      <c r="Z1872" s="3" t="n">
        <v>0</v>
      </c>
      <c r="AA1872" s="32" t="n">
        <v>0</v>
      </c>
      <c r="AB1872" s="3" t="n"/>
      <c r="AC1872" s="31" t="n">
        <v>0</v>
      </c>
      <c r="AD1872" s="2" t="n">
        <v>0</v>
      </c>
      <c r="AE1872" s="2" t="n">
        <v>4</v>
      </c>
      <c r="AF1872" s="4" t="n">
        <v>4</v>
      </c>
      <c r="AG1872" s="33" t="n">
        <v>0</v>
      </c>
      <c r="AH1872" s="4" t="n">
        <v>0</v>
      </c>
      <c r="AI1872" s="34" t="n"/>
      <c r="AJ1872" s="34" t="n">
        <v>0</v>
      </c>
      <c r="AK1872" s="2" t="n">
        <v>0</v>
      </c>
      <c r="AL1872" t="inlineStr">
        <is>
          <t>Published</t>
        </is>
      </c>
    </row>
    <row r="1873">
      <c r="A1873">
        <f>HYPERLINK("https://www.walmart.com/ip/913159325", "913159325")</f>
        <v/>
      </c>
      <c r="B1873">
        <f>HYPERLINK("https://app.optiwise.ai/catalog/itemdetails/360404", "Tirrinia Unisex Surf Poncho Changing Towel Robe for Adult Surfer Swimmer Outdoor Beach")</f>
        <v/>
      </c>
      <c r="C1873" t="inlineStr">
        <is>
          <t>1WMBR100LBL</t>
        </is>
      </c>
      <c r="D1873" t="inlineStr">
        <is>
          <t>Clothing</t>
        </is>
      </c>
      <c r="E1873" t="inlineStr">
        <is>
          <t>Towels &amp; Washcloths</t>
        </is>
      </c>
      <c r="F1873" t="inlineStr">
        <is>
          <t>Flyingstar</t>
        </is>
      </c>
      <c r="G1873" t="n">
        <v>0</v>
      </c>
      <c r="H1873" t="n">
        <v>0</v>
      </c>
      <c r="I1873" t="inlineStr">
        <is>
          <t>Beach Robe Camp,Batch 1 - TR</t>
        </is>
      </c>
      <c r="J1873" s="29" t="n">
        <v>0</v>
      </c>
      <c r="K1873" s="30" t="n"/>
      <c r="L1873" s="29" t="n">
        <v>0</v>
      </c>
      <c r="M1873" s="29" t="n">
        <v>0</v>
      </c>
      <c r="N1873" s="2" t="n">
        <v>0</v>
      </c>
      <c r="O1873" s="31" t="n">
        <v>0</v>
      </c>
      <c r="P1873" s="32" t="n"/>
      <c r="Q1873" s="32" t="n">
        <v>0</v>
      </c>
      <c r="R1873" s="32" t="n">
        <v>0</v>
      </c>
      <c r="S1873" s="31" t="n">
        <v>0</v>
      </c>
      <c r="T1873" s="32" t="n">
        <v>0</v>
      </c>
      <c r="U1873" s="31" t="n">
        <v>0</v>
      </c>
      <c r="V1873" s="31" t="n">
        <v>0</v>
      </c>
      <c r="W1873" s="3" t="n">
        <v>0</v>
      </c>
      <c r="X1873" s="3" t="n">
        <v>0</v>
      </c>
      <c r="Y1873" s="32" t="n">
        <v>0</v>
      </c>
      <c r="Z1873" s="3" t="n">
        <v>0</v>
      </c>
      <c r="AA1873" s="32" t="n">
        <v>0</v>
      </c>
      <c r="AB1873" s="3" t="n"/>
      <c r="AC1873" s="31" t="n">
        <v>0</v>
      </c>
      <c r="AD1873" s="2" t="n">
        <v>0</v>
      </c>
      <c r="AE1873" s="2" t="n">
        <v>3</v>
      </c>
      <c r="AF1873" s="4" t="n">
        <v>3</v>
      </c>
      <c r="AG1873" s="33" t="n">
        <v>0</v>
      </c>
      <c r="AH1873" s="4" t="n">
        <v>0</v>
      </c>
      <c r="AI1873" s="34" t="n"/>
      <c r="AJ1873" s="34" t="n">
        <v>0</v>
      </c>
      <c r="AK1873" s="2" t="n">
        <v>0</v>
      </c>
      <c r="AL1873" t="inlineStr">
        <is>
          <t>Published</t>
        </is>
      </c>
    </row>
    <row r="1874">
      <c r="A1874">
        <f>HYPERLINK("https://www.walmart.com/ip/630377346", "630377346")</f>
        <v/>
      </c>
      <c r="B1874">
        <f>HYPERLINK("https://app.optiwise.ai/catalog/itemdetails/360401", "Sun Blocker Outdoor Sun Protection Fishing Cap with Neck Flap, Wide Brim Sun Hat for Travel Camping Hiking Hunting Boating Safari Cap with Adjustable Drawstring, Blue")</f>
        <v/>
      </c>
      <c r="C1874" t="inlineStr">
        <is>
          <t>KC-S9150-BL</t>
        </is>
      </c>
      <c r="D1874" t="inlineStr">
        <is>
          <t>Clothing</t>
        </is>
      </c>
      <c r="E1874" t="inlineStr">
        <is>
          <t>Hats</t>
        </is>
      </c>
      <c r="F1874" t="inlineStr">
        <is>
          <t>Sun Blocker</t>
        </is>
      </c>
      <c r="G1874" t="n">
        <v>4.6</v>
      </c>
      <c r="H1874" t="n">
        <v>15</v>
      </c>
      <c r="I1874" t="inlineStr">
        <is>
          <t>Hats,Batch 1 - TR</t>
        </is>
      </c>
      <c r="J1874" s="29" t="n">
        <v>0</v>
      </c>
      <c r="K1874" s="30" t="n"/>
      <c r="L1874" s="29" t="n">
        <v>0</v>
      </c>
      <c r="M1874" s="29" t="n">
        <v>0</v>
      </c>
      <c r="N1874" s="2" t="n">
        <v>0</v>
      </c>
      <c r="O1874" s="31" t="n">
        <v>0</v>
      </c>
      <c r="P1874" s="32" t="n"/>
      <c r="Q1874" s="32" t="n">
        <v>0</v>
      </c>
      <c r="R1874" s="32" t="n">
        <v>0</v>
      </c>
      <c r="S1874" s="31" t="n">
        <v>0</v>
      </c>
      <c r="T1874" s="32" t="n">
        <v>0</v>
      </c>
      <c r="U1874" s="31" t="n">
        <v>0</v>
      </c>
      <c r="V1874" s="31" t="n">
        <v>0</v>
      </c>
      <c r="W1874" s="3" t="n">
        <v>0</v>
      </c>
      <c r="X1874" s="3" t="n">
        <v>0</v>
      </c>
      <c r="Y1874" s="32" t="n">
        <v>0</v>
      </c>
      <c r="Z1874" s="3" t="n">
        <v>0</v>
      </c>
      <c r="AA1874" s="32" t="n">
        <v>0</v>
      </c>
      <c r="AB1874" s="3" t="n"/>
      <c r="AC1874" s="31" t="n">
        <v>0</v>
      </c>
      <c r="AD1874" s="2" t="n">
        <v>0</v>
      </c>
      <c r="AE1874" s="2" t="n">
        <v>5</v>
      </c>
      <c r="AF1874" s="4" t="n">
        <v>5</v>
      </c>
      <c r="AG1874" s="33" t="n">
        <v>0</v>
      </c>
      <c r="AH1874" s="4" t="n">
        <v>0</v>
      </c>
      <c r="AI1874" s="34" t="n"/>
      <c r="AJ1874" s="34" t="n">
        <v>0</v>
      </c>
      <c r="AK1874" s="2" t="n">
        <v>0</v>
      </c>
      <c r="AL1874" t="inlineStr">
        <is>
          <t>Published</t>
        </is>
      </c>
    </row>
    <row r="1875">
      <c r="A1875">
        <f>HYPERLINK("https://www.walmart.com/ip/164074904", "164074904")</f>
        <v/>
      </c>
      <c r="B1875">
        <f>HYPERLINK("https://app.optiwise.ai/catalog/itemdetails/360395", "JenniWears Women's Black Mesh Hollow Chemise Lingerie Mini Tube Chemise Lingerie")</f>
        <v/>
      </c>
      <c r="C1875" t="inlineStr">
        <is>
          <t>JWBS8815</t>
        </is>
      </c>
      <c r="D1875" t="inlineStr">
        <is>
          <t>Clothing</t>
        </is>
      </c>
      <c r="E1875" t="inlineStr">
        <is>
          <t>Lingerie Sets</t>
        </is>
      </c>
      <c r="F1875" t="inlineStr">
        <is>
          <t>JenniWears</t>
        </is>
      </c>
      <c r="G1875" t="n">
        <v>0</v>
      </c>
      <c r="H1875" t="n">
        <v>0</v>
      </c>
      <c r="I1875" t="inlineStr">
        <is>
          <t>Valentine</t>
        </is>
      </c>
      <c r="J1875" s="29" t="n">
        <v>0</v>
      </c>
      <c r="K1875" s="30" t="n"/>
      <c r="L1875" s="29" t="n">
        <v>0</v>
      </c>
      <c r="M1875" s="29" t="n">
        <v>0</v>
      </c>
      <c r="N1875" s="2" t="n">
        <v>0</v>
      </c>
      <c r="O1875" s="31" t="n">
        <v>0</v>
      </c>
      <c r="P1875" s="32" t="n"/>
      <c r="Q1875" s="32" t="n">
        <v>0</v>
      </c>
      <c r="R1875" s="32" t="n">
        <v>0</v>
      </c>
      <c r="S1875" s="31" t="n">
        <v>0</v>
      </c>
      <c r="T1875" s="32" t="n">
        <v>0</v>
      </c>
      <c r="U1875" s="31" t="n">
        <v>0</v>
      </c>
      <c r="V1875" s="31" t="n">
        <v>0</v>
      </c>
      <c r="W1875" s="3" t="n">
        <v>0</v>
      </c>
      <c r="X1875" s="3" t="n">
        <v>0</v>
      </c>
      <c r="Y1875" s="32" t="n">
        <v>0</v>
      </c>
      <c r="Z1875" s="3" t="n">
        <v>0</v>
      </c>
      <c r="AA1875" s="32" t="n">
        <v>0</v>
      </c>
      <c r="AB1875" s="3" t="n"/>
      <c r="AC1875" s="31" t="n">
        <v>0</v>
      </c>
      <c r="AD1875" s="2" t="n">
        <v>0</v>
      </c>
      <c r="AE1875" s="2" t="n">
        <v>28</v>
      </c>
      <c r="AF1875" s="4" t="n">
        <v>28</v>
      </c>
      <c r="AG1875" s="33" t="n">
        <v>0</v>
      </c>
      <c r="AH1875" s="4" t="n">
        <v>0</v>
      </c>
      <c r="AI1875" s="34" t="n"/>
      <c r="AJ1875" s="34" t="n">
        <v>0</v>
      </c>
      <c r="AK1875" s="2" t="n">
        <v>0</v>
      </c>
      <c r="AL1875" t="inlineStr">
        <is>
          <t>Published</t>
        </is>
      </c>
    </row>
    <row r="1876">
      <c r="A1876">
        <f>HYPERLINK("https://www.walmart.com/ip/212612688", "212612688")</f>
        <v/>
      </c>
      <c r="B1876">
        <f>HYPERLINK("https://app.optiwise.ai/catalog/itemdetails/360393", "Knit Beanie Hat for Women and Men, Faux Fuzzy Pom Pom Winter Ski Skullies Cap, Purple")</f>
        <v/>
      </c>
      <c r="C1876" t="inlineStr">
        <is>
          <t>1SLPPH02PP</t>
        </is>
      </c>
      <c r="D1876" t="inlineStr">
        <is>
          <t>Clothing</t>
        </is>
      </c>
      <c r="E1876" t="inlineStr">
        <is>
          <t>Hats</t>
        </is>
      </c>
      <c r="F1876" t="inlineStr">
        <is>
          <t>Solaris</t>
        </is>
      </c>
      <c r="G1876" t="n">
        <v>0</v>
      </c>
      <c r="H1876" t="n">
        <v>0</v>
      </c>
      <c r="I1876" t="inlineStr">
        <is>
          <t>Batch 1 - TR</t>
        </is>
      </c>
      <c r="J1876" s="29" t="n">
        <v>0</v>
      </c>
      <c r="K1876" s="30" t="n"/>
      <c r="L1876" s="29" t="n">
        <v>0</v>
      </c>
      <c r="M1876" s="29" t="n">
        <v>0</v>
      </c>
      <c r="N1876" s="2" t="n">
        <v>0</v>
      </c>
      <c r="O1876" s="31" t="n">
        <v>0</v>
      </c>
      <c r="P1876" s="32" t="n"/>
      <c r="Q1876" s="32" t="n">
        <v>0</v>
      </c>
      <c r="R1876" s="32" t="n">
        <v>0</v>
      </c>
      <c r="S1876" s="31" t="n">
        <v>0</v>
      </c>
      <c r="T1876" s="32" t="n">
        <v>0</v>
      </c>
      <c r="U1876" s="31" t="n">
        <v>0</v>
      </c>
      <c r="V1876" s="31" t="n">
        <v>0</v>
      </c>
      <c r="W1876" s="3" t="n">
        <v>0</v>
      </c>
      <c r="X1876" s="3" t="n">
        <v>0</v>
      </c>
      <c r="Y1876" s="32" t="n">
        <v>0</v>
      </c>
      <c r="Z1876" s="3" t="n">
        <v>0</v>
      </c>
      <c r="AA1876" s="32" t="n">
        <v>0</v>
      </c>
      <c r="AB1876" s="3" t="n"/>
      <c r="AC1876" s="31" t="n">
        <v>0</v>
      </c>
      <c r="AD1876" s="2" t="n">
        <v>0</v>
      </c>
      <c r="AE1876" s="2" t="n">
        <v>7</v>
      </c>
      <c r="AF1876" s="4" t="n">
        <v>7</v>
      </c>
      <c r="AG1876" s="33" t="n">
        <v>0</v>
      </c>
      <c r="AH1876" s="4" t="n">
        <v>0</v>
      </c>
      <c r="AI1876" s="34" t="n"/>
      <c r="AJ1876" s="34" t="n">
        <v>0</v>
      </c>
      <c r="AK1876" s="2" t="n">
        <v>0</v>
      </c>
      <c r="AL1876" t="inlineStr">
        <is>
          <t>Published</t>
        </is>
      </c>
    </row>
    <row r="1877">
      <c r="A1877">
        <f>HYPERLINK("https://www.walmart.com/ip/493530227", "493530227")</f>
        <v/>
      </c>
      <c r="B1877">
        <f>HYPERLINK("https://app.optiwise.ai/catalog/itemdetails/360391", "JenniWears® Women's Plue Size Flower laced Sexy Babydoll")</f>
        <v/>
      </c>
      <c r="C1877" t="inlineStr">
        <is>
          <t>JWBD05RD-3XL</t>
        </is>
      </c>
      <c r="D1877" t="inlineStr">
        <is>
          <t>Clothing</t>
        </is>
      </c>
      <c r="E1877" t="inlineStr">
        <is>
          <t>Lingerie Sets</t>
        </is>
      </c>
      <c r="F1877" t="inlineStr">
        <is>
          <t>JenniWears</t>
        </is>
      </c>
      <c r="G1877" t="n">
        <v>0</v>
      </c>
      <c r="H1877" t="n">
        <v>0</v>
      </c>
      <c r="I1877" t="inlineStr">
        <is>
          <t>Valentine</t>
        </is>
      </c>
      <c r="J1877" s="29" t="n">
        <v>0</v>
      </c>
      <c r="K1877" s="30" t="n"/>
      <c r="L1877" s="29" t="n">
        <v>0</v>
      </c>
      <c r="M1877" s="29" t="n">
        <v>0</v>
      </c>
      <c r="N1877" s="2" t="n">
        <v>0</v>
      </c>
      <c r="O1877" s="31" t="n">
        <v>0</v>
      </c>
      <c r="P1877" s="32" t="n"/>
      <c r="Q1877" s="32" t="n">
        <v>0</v>
      </c>
      <c r="R1877" s="32" t="n">
        <v>0</v>
      </c>
      <c r="S1877" s="31" t="n">
        <v>0</v>
      </c>
      <c r="T1877" s="32" t="n">
        <v>0</v>
      </c>
      <c r="U1877" s="31" t="n">
        <v>0</v>
      </c>
      <c r="V1877" s="31" t="n">
        <v>0</v>
      </c>
      <c r="W1877" s="3" t="n">
        <v>0</v>
      </c>
      <c r="X1877" s="3" t="n">
        <v>0</v>
      </c>
      <c r="Y1877" s="32" t="n">
        <v>0</v>
      </c>
      <c r="Z1877" s="3" t="n">
        <v>0</v>
      </c>
      <c r="AA1877" s="32" t="n">
        <v>0</v>
      </c>
      <c r="AB1877" s="3" t="n"/>
      <c r="AC1877" s="31" t="n">
        <v>0</v>
      </c>
      <c r="AD1877" s="2" t="n">
        <v>0</v>
      </c>
      <c r="AE1877" s="2" t="n">
        <v>16</v>
      </c>
      <c r="AF1877" s="4" t="n">
        <v>16</v>
      </c>
      <c r="AG1877" s="33" t="n">
        <v>0</v>
      </c>
      <c r="AH1877" s="4" t="n">
        <v>0</v>
      </c>
      <c r="AI1877" s="34" t="n"/>
      <c r="AJ1877" s="34" t="n">
        <v>0</v>
      </c>
      <c r="AK1877" s="2" t="n">
        <v>0</v>
      </c>
      <c r="AL1877" t="inlineStr">
        <is>
          <t>Published</t>
        </is>
      </c>
    </row>
    <row r="1878">
      <c r="A1878">
        <f>HYPERLINK("https://www.walmart.com/ip/221045406", "221045406")</f>
        <v/>
      </c>
      <c r="B1878">
        <f>HYPERLINK("https://app.optiwise.ai/catalog/itemdetails/360390", "Terra Mens Boxer Briefs, Elastic Waistband, Solid New Classic Fit, Black/Gray, 3 Pack")</f>
        <v/>
      </c>
      <c r="C1878" t="inlineStr">
        <is>
          <t>TERRA-BOXER11-L</t>
        </is>
      </c>
      <c r="D1878" t="inlineStr">
        <is>
          <t>Clothing</t>
        </is>
      </c>
      <c r="E1878" t="inlineStr">
        <is>
          <t>Underpants</t>
        </is>
      </c>
      <c r="F1878" t="inlineStr">
        <is>
          <t>Terra</t>
        </is>
      </c>
      <c r="G1878" t="n">
        <v>0</v>
      </c>
      <c r="H1878" t="n">
        <v>0</v>
      </c>
      <c r="I1878" t="inlineStr">
        <is>
          <t>Batch 1 - TR</t>
        </is>
      </c>
      <c r="J1878" s="29" t="n">
        <v>0</v>
      </c>
      <c r="K1878" s="30" t="n"/>
      <c r="L1878" s="29" t="n">
        <v>0</v>
      </c>
      <c r="M1878" s="29" t="n">
        <v>0</v>
      </c>
      <c r="N1878" s="2" t="n">
        <v>0</v>
      </c>
      <c r="O1878" s="31" t="n">
        <v>0</v>
      </c>
      <c r="P1878" s="32" t="n"/>
      <c r="Q1878" s="32" t="n">
        <v>0</v>
      </c>
      <c r="R1878" s="32" t="n">
        <v>0</v>
      </c>
      <c r="S1878" s="31" t="n">
        <v>0</v>
      </c>
      <c r="T1878" s="32" t="n">
        <v>0</v>
      </c>
      <c r="U1878" s="31" t="n">
        <v>0</v>
      </c>
      <c r="V1878" s="31" t="n">
        <v>0</v>
      </c>
      <c r="W1878" s="3" t="n">
        <v>0</v>
      </c>
      <c r="X1878" s="3" t="n">
        <v>0</v>
      </c>
      <c r="Y1878" s="32" t="n">
        <v>0</v>
      </c>
      <c r="Z1878" s="3" t="n">
        <v>0</v>
      </c>
      <c r="AA1878" s="32" t="n">
        <v>0</v>
      </c>
      <c r="AB1878" s="3" t="n"/>
      <c r="AC1878" s="31" t="n">
        <v>0</v>
      </c>
      <c r="AD1878" s="2" t="n">
        <v>0</v>
      </c>
      <c r="AE1878" s="2" t="n">
        <v>8</v>
      </c>
      <c r="AF1878" s="4" t="n">
        <v>8</v>
      </c>
      <c r="AG1878" s="33" t="n">
        <v>0</v>
      </c>
      <c r="AH1878" s="4" t="n">
        <v>0</v>
      </c>
      <c r="AI1878" s="34" t="n"/>
      <c r="AJ1878" s="34" t="n">
        <v>0</v>
      </c>
      <c r="AK1878" s="2" t="n">
        <v>0</v>
      </c>
      <c r="AL1878" t="inlineStr">
        <is>
          <t>Published</t>
        </is>
      </c>
    </row>
    <row r="1879">
      <c r="A1879">
        <f>HYPERLINK("https://www.walmart.com/ip/915377193", "915377193")</f>
        <v/>
      </c>
      <c r="B1879">
        <f>HYPERLINK("https://app.optiwise.ai/catalog/itemdetails/360388", "Flyingstar Surf Beach Changing Towel With Hood, Super Absorbent Microfiber Swim Robe Poncho for Men Women Bath Shower Pool,Navy")</f>
        <v/>
      </c>
      <c r="C1879" t="inlineStr">
        <is>
          <t>1WMBR102-NY</t>
        </is>
      </c>
      <c r="D1879" t="inlineStr">
        <is>
          <t>Home Decor, Kitchen, &amp; Other</t>
        </is>
      </c>
      <c r="E1879" t="inlineStr">
        <is>
          <t>Towels &amp; Washcloths</t>
        </is>
      </c>
      <c r="F1879" t="inlineStr">
        <is>
          <t>Flyingstar</t>
        </is>
      </c>
      <c r="G1879" t="n">
        <v>0</v>
      </c>
      <c r="H1879" t="n">
        <v>0</v>
      </c>
      <c r="I1879" t="inlineStr">
        <is>
          <t>Batch 1 - TR</t>
        </is>
      </c>
      <c r="J1879" s="29" t="n">
        <v>0</v>
      </c>
      <c r="K1879" s="30" t="n"/>
      <c r="L1879" s="29" t="n">
        <v>0</v>
      </c>
      <c r="M1879" s="29" t="n">
        <v>0</v>
      </c>
      <c r="N1879" s="2" t="n">
        <v>0</v>
      </c>
      <c r="O1879" s="31" t="n">
        <v>0</v>
      </c>
      <c r="P1879" s="32" t="n"/>
      <c r="Q1879" s="32" t="n">
        <v>0</v>
      </c>
      <c r="R1879" s="32" t="n">
        <v>0</v>
      </c>
      <c r="S1879" s="31" t="n">
        <v>0</v>
      </c>
      <c r="T1879" s="32" t="n">
        <v>0</v>
      </c>
      <c r="U1879" s="31" t="n">
        <v>0</v>
      </c>
      <c r="V1879" s="31" t="n">
        <v>0</v>
      </c>
      <c r="W1879" s="3" t="n">
        <v>0</v>
      </c>
      <c r="X1879" s="3" t="n">
        <v>0</v>
      </c>
      <c r="Y1879" s="32" t="n">
        <v>0</v>
      </c>
      <c r="Z1879" s="3" t="n">
        <v>0</v>
      </c>
      <c r="AA1879" s="32" t="n">
        <v>0</v>
      </c>
      <c r="AB1879" s="3" t="n"/>
      <c r="AC1879" s="31" t="n">
        <v>0</v>
      </c>
      <c r="AD1879" s="2" t="n">
        <v>0</v>
      </c>
      <c r="AE1879" s="2" t="n">
        <v>5</v>
      </c>
      <c r="AF1879" s="4" t="n">
        <v>5</v>
      </c>
      <c r="AG1879" s="33" t="n">
        <v>0</v>
      </c>
      <c r="AH1879" s="4" t="n">
        <v>0</v>
      </c>
      <c r="AI1879" s="34" t="n"/>
      <c r="AJ1879" s="34" t="n">
        <v>0</v>
      </c>
      <c r="AK1879" s="2" t="n">
        <v>0</v>
      </c>
      <c r="AL1879" t="inlineStr">
        <is>
          <t>Published</t>
        </is>
      </c>
    </row>
    <row r="1880">
      <c r="A1880">
        <f>HYPERLINK("https://www.walmart.com/ip/836878530", "836878530")</f>
        <v/>
      </c>
      <c r="B1880">
        <f>HYPERLINK("https://app.optiwise.ai/catalog/itemdetails/360387", "home comforts blanket Blanket with Sleeves, Super Soft Wearable TV Blanket Robe Fleece for Adults 73 x 51”| Cozy Warm, Lightweigh")</f>
        <v/>
      </c>
      <c r="C1880" t="inlineStr">
        <is>
          <t>1TRSN100GN-TBCB</t>
        </is>
      </c>
      <c r="D1880" t="inlineStr">
        <is>
          <t>Bedding</t>
        </is>
      </c>
      <c r="E1880" t="inlineStr">
        <is>
          <t>Throws</t>
        </is>
      </c>
      <c r="F1880" t="inlineStr">
        <is>
          <t>Tirrinia</t>
        </is>
      </c>
      <c r="G1880" t="n">
        <v>0</v>
      </c>
      <c r="H1880" t="n">
        <v>0</v>
      </c>
      <c r="I1880" t="inlineStr">
        <is>
          <t>WFS Item,Fleece Blankets,ST Patrick Day</t>
        </is>
      </c>
      <c r="J1880" s="29" t="n">
        <v>0</v>
      </c>
      <c r="K1880" s="30" t="n"/>
      <c r="L1880" s="29" t="n">
        <v>0</v>
      </c>
      <c r="M1880" s="29" t="n">
        <v>0</v>
      </c>
      <c r="N1880" s="2" t="n">
        <v>0</v>
      </c>
      <c r="O1880" s="31" t="n">
        <v>0</v>
      </c>
      <c r="P1880" s="32" t="n"/>
      <c r="Q1880" s="32" t="n">
        <v>0</v>
      </c>
      <c r="R1880" s="32" t="n">
        <v>0</v>
      </c>
      <c r="S1880" s="31" t="n">
        <v>0</v>
      </c>
      <c r="T1880" s="32" t="n">
        <v>0</v>
      </c>
      <c r="U1880" s="31" t="n">
        <v>0</v>
      </c>
      <c r="V1880" s="31" t="n">
        <v>0</v>
      </c>
      <c r="W1880" s="3" t="n">
        <v>0</v>
      </c>
      <c r="X1880" s="3" t="n">
        <v>0</v>
      </c>
      <c r="Y1880" s="32" t="n">
        <v>0</v>
      </c>
      <c r="Z1880" s="3" t="n">
        <v>0</v>
      </c>
      <c r="AA1880" s="32" t="n">
        <v>0</v>
      </c>
      <c r="AB1880" s="3" t="n"/>
      <c r="AC1880" s="31" t="n">
        <v>0</v>
      </c>
      <c r="AD1880" s="2" t="n">
        <v>9</v>
      </c>
      <c r="AE1880" s="2" t="n">
        <v>19</v>
      </c>
      <c r="AF1880" s="4" t="n">
        <v>19</v>
      </c>
      <c r="AG1880" s="33" t="n">
        <v>0</v>
      </c>
      <c r="AH1880" s="4" t="n">
        <v>0</v>
      </c>
      <c r="AI1880" s="34" t="n"/>
      <c r="AJ1880" s="34" t="n">
        <v>0</v>
      </c>
      <c r="AK1880" s="2" t="n">
        <v>0</v>
      </c>
      <c r="AL1880" t="inlineStr">
        <is>
          <t>Published</t>
        </is>
      </c>
    </row>
    <row r="1881">
      <c r="A1881">
        <f>HYPERLINK("https://www.walmart.com/ip/916273017", "916273017")</f>
        <v/>
      </c>
      <c r="B1881">
        <f>HYPERLINK("https://app.optiwise.ai/catalog/itemdetails/360385", "Catalonia Microfiber Plush Throw Blanket for Couch and Bed, Holiday Theme Sherpa Fleece Throw Christmas Gift Blanket, Super Soft, Comfy, Cozy, Fluffy, and Warm, Blue, 90'' x 90''")</f>
        <v/>
      </c>
      <c r="C1881" t="inlineStr">
        <is>
          <t>1CTBF399BL</t>
        </is>
      </c>
      <c r="D1881" t="inlineStr">
        <is>
          <t>Bedding</t>
        </is>
      </c>
      <c r="E1881" t="inlineStr">
        <is>
          <t>Throws</t>
        </is>
      </c>
      <c r="F1881" t="inlineStr">
        <is>
          <t>Catalonia</t>
        </is>
      </c>
      <c r="G1881" t="n">
        <v>0</v>
      </c>
      <c r="H1881" t="n">
        <v>0</v>
      </c>
      <c r="I1881" t="inlineStr">
        <is>
          <t>WFS,Coupon_Discount,WFS Item</t>
        </is>
      </c>
      <c r="J1881" s="29" t="n">
        <v>0</v>
      </c>
      <c r="K1881" s="30" t="n"/>
      <c r="L1881" s="29" t="n">
        <v>0</v>
      </c>
      <c r="M1881" s="29" t="n">
        <v>0</v>
      </c>
      <c r="N1881" s="2" t="n">
        <v>0</v>
      </c>
      <c r="O1881" s="31" t="n">
        <v>0</v>
      </c>
      <c r="P1881" s="32" t="n"/>
      <c r="Q1881" s="32" t="n">
        <v>0</v>
      </c>
      <c r="R1881" s="32" t="n">
        <v>0</v>
      </c>
      <c r="S1881" s="31" t="n">
        <v>0</v>
      </c>
      <c r="T1881" s="32" t="n">
        <v>0</v>
      </c>
      <c r="U1881" s="31" t="n">
        <v>0</v>
      </c>
      <c r="V1881" s="31" t="n">
        <v>0</v>
      </c>
      <c r="W1881" s="3" t="n">
        <v>0</v>
      </c>
      <c r="X1881" s="3" t="n">
        <v>0</v>
      </c>
      <c r="Y1881" s="32" t="n">
        <v>0</v>
      </c>
      <c r="Z1881" s="3" t="n">
        <v>0</v>
      </c>
      <c r="AA1881" s="32" t="n">
        <v>0</v>
      </c>
      <c r="AB1881" s="3" t="n"/>
      <c r="AC1881" s="31" t="n">
        <v>0</v>
      </c>
      <c r="AD1881" s="2" t="n">
        <v>0</v>
      </c>
      <c r="AE1881" s="2" t="n">
        <v>27</v>
      </c>
      <c r="AF1881" s="4" t="n">
        <v>27</v>
      </c>
      <c r="AG1881" s="33" t="n">
        <v>0</v>
      </c>
      <c r="AH1881" s="4" t="n">
        <v>0</v>
      </c>
      <c r="AI1881" s="34" t="n"/>
      <c r="AJ1881" s="34" t="n">
        <v>0</v>
      </c>
      <c r="AK1881" s="2" t="n">
        <v>0</v>
      </c>
      <c r="AL1881" t="inlineStr">
        <is>
          <t>Published</t>
        </is>
      </c>
    </row>
    <row r="1882">
      <c r="A1882">
        <f>HYPERLINK("https://www.walmart.com/ip/742084694", "742084694")</f>
        <v/>
      </c>
      <c r="B1882">
        <f>HYPERLINK("https://app.optiwise.ai/catalog/itemdetails/360382", "Tirrinia Wearable Fleece Blanket with Sleeves for Adult Women and Men, Super Soft Comfy Plush TV Blanket, Throw Wrap Cover for Lounge Couch, Red Buffalo Plaid, 73 x 51")</f>
        <v/>
      </c>
      <c r="C1882" t="inlineStr">
        <is>
          <t>1TRSN100P2RD</t>
        </is>
      </c>
      <c r="D1882" t="inlineStr">
        <is>
          <t>Bedding</t>
        </is>
      </c>
      <c r="E1882" t="inlineStr">
        <is>
          <t>Throws</t>
        </is>
      </c>
      <c r="F1882" t="inlineStr">
        <is>
          <t>Tirrinia</t>
        </is>
      </c>
      <c r="G1882" t="n">
        <v>5</v>
      </c>
      <c r="H1882" t="n">
        <v>1</v>
      </c>
      <c r="I1882" t="inlineStr">
        <is>
          <t>WFS,WFS Item,Fleece Blankets</t>
        </is>
      </c>
      <c r="J1882" s="29" t="n">
        <v>0</v>
      </c>
      <c r="K1882" s="30" t="n"/>
      <c r="L1882" s="29" t="n">
        <v>0</v>
      </c>
      <c r="M1882" s="29" t="n">
        <v>0</v>
      </c>
      <c r="N1882" s="2" t="n">
        <v>0</v>
      </c>
      <c r="O1882" s="31" t="n">
        <v>0.71</v>
      </c>
      <c r="P1882" s="32" t="n">
        <v>0.0001</v>
      </c>
      <c r="Q1882" s="32" t="n">
        <v>0</v>
      </c>
      <c r="R1882" s="32" t="n">
        <v>0.1089</v>
      </c>
      <c r="S1882" s="31" t="n">
        <v>0</v>
      </c>
      <c r="T1882" s="32" t="n">
        <v>0</v>
      </c>
      <c r="U1882" s="31" t="n">
        <v>0</v>
      </c>
      <c r="V1882" s="31" t="n">
        <v>0</v>
      </c>
      <c r="W1882" s="3" t="n">
        <v>8595</v>
      </c>
      <c r="X1882" s="3" t="n">
        <v>2</v>
      </c>
      <c r="Y1882" s="32" t="n">
        <v>0.0002</v>
      </c>
      <c r="Z1882" s="3" t="n">
        <v>0</v>
      </c>
      <c r="AA1882" s="32" t="n">
        <v>0</v>
      </c>
      <c r="AB1882" s="3" t="inlineStr">
        <is>
          <t>Throws_Manual_Optiwise_24</t>
        </is>
      </c>
      <c r="AC1882" s="31" t="n">
        <v>0.35</v>
      </c>
      <c r="AD1882" s="2" t="n">
        <v>19</v>
      </c>
      <c r="AE1882" s="2" t="n">
        <v>15</v>
      </c>
      <c r="AF1882" s="4" t="n">
        <v>13</v>
      </c>
      <c r="AG1882" s="33" t="n">
        <v>0</v>
      </c>
      <c r="AH1882" s="4" t="n">
        <v>0</v>
      </c>
      <c r="AI1882" s="34" t="n"/>
      <c r="AJ1882" s="34" t="n">
        <v>0</v>
      </c>
      <c r="AK1882" s="2" t="n">
        <v>0</v>
      </c>
      <c r="AL1882" t="inlineStr">
        <is>
          <t>Published</t>
        </is>
      </c>
    </row>
    <row r="1883">
      <c r="A1883">
        <f>HYPERLINK("https://www.walmart.com/ip/790807870", "790807870")</f>
        <v/>
      </c>
      <c r="B1883">
        <f>HYPERLINK("https://app.optiwise.ai/catalog/itemdetails/360376", "Flyingstar Sherpa Throws Blanket, Fleece Soft Cozy Blanket Throws for Sofa Bed 50x60")</f>
        <v/>
      </c>
      <c r="C1883" t="inlineStr">
        <is>
          <t>1WMBF573CASOLE</t>
        </is>
      </c>
      <c r="D1883" t="inlineStr">
        <is>
          <t>Bedding</t>
        </is>
      </c>
      <c r="E1883" t="inlineStr">
        <is>
          <t>Throws</t>
        </is>
      </c>
      <c r="F1883" t="inlineStr">
        <is>
          <t>Flyingstar</t>
        </is>
      </c>
      <c r="G1883" t="n">
        <v>0</v>
      </c>
      <c r="H1883" t="n">
        <v>0</v>
      </c>
      <c r="I1883" t="inlineStr">
        <is>
          <t>Optimized</t>
        </is>
      </c>
      <c r="J1883" s="29" t="n">
        <v>0</v>
      </c>
      <c r="K1883" s="30" t="n"/>
      <c r="L1883" s="29" t="n">
        <v>0</v>
      </c>
      <c r="M1883" s="29" t="n">
        <v>0</v>
      </c>
      <c r="N1883" s="2" t="n">
        <v>0</v>
      </c>
      <c r="O1883" s="31" t="n">
        <v>0</v>
      </c>
      <c r="P1883" s="32" t="n"/>
      <c r="Q1883" s="32" t="n">
        <v>0</v>
      </c>
      <c r="R1883" s="32" t="n">
        <v>0</v>
      </c>
      <c r="S1883" s="31" t="n">
        <v>0</v>
      </c>
      <c r="T1883" s="32" t="n">
        <v>0</v>
      </c>
      <c r="U1883" s="31" t="n">
        <v>0</v>
      </c>
      <c r="V1883" s="31" t="n">
        <v>0</v>
      </c>
      <c r="W1883" s="3" t="n">
        <v>0</v>
      </c>
      <c r="X1883" s="3" t="n">
        <v>0</v>
      </c>
      <c r="Y1883" s="32" t="n">
        <v>0</v>
      </c>
      <c r="Z1883" s="3" t="n">
        <v>0</v>
      </c>
      <c r="AA1883" s="32" t="n">
        <v>0</v>
      </c>
      <c r="AB1883" s="3" t="n"/>
      <c r="AC1883" s="31" t="n">
        <v>0</v>
      </c>
      <c r="AD1883" s="2" t="n">
        <v>0</v>
      </c>
      <c r="AE1883" s="2" t="n">
        <v>1</v>
      </c>
      <c r="AF1883" s="4" t="n">
        <v>1</v>
      </c>
      <c r="AG1883" s="33" t="n">
        <v>0</v>
      </c>
      <c r="AH1883" s="4" t="n">
        <v>0</v>
      </c>
      <c r="AI1883" s="34" t="n"/>
      <c r="AJ1883" s="34" t="n">
        <v>0</v>
      </c>
      <c r="AK1883" s="2" t="n">
        <v>0</v>
      </c>
      <c r="AL1883" t="inlineStr">
        <is>
          <t>Published</t>
        </is>
      </c>
    </row>
    <row r="1884">
      <c r="A1884">
        <f>HYPERLINK("https://www.walmart.com/ip/107627638", "107627638")</f>
        <v/>
      </c>
      <c r="B1884">
        <f>HYPERLINK("https://app.optiwise.ai/catalog/itemdetails/360411", "Sun Blocker Outdoor Sun Protection Fishing Cap with Neck Flap, Wide Brim Sun Hat for Travel Camping Hiking Hunting Boating Safari Cap with Adjustable Drawstring, Tan")</f>
        <v/>
      </c>
      <c r="C1884" t="inlineStr">
        <is>
          <t>KC-S9150-TAN</t>
        </is>
      </c>
      <c r="D1884" t="inlineStr">
        <is>
          <t>Clothing</t>
        </is>
      </c>
      <c r="E1884" t="inlineStr">
        <is>
          <t>Hats</t>
        </is>
      </c>
      <c r="F1884" t="inlineStr">
        <is>
          <t>Sun Blocker</t>
        </is>
      </c>
      <c r="G1884" t="n">
        <v>4</v>
      </c>
      <c r="H1884" t="n">
        <v>1</v>
      </c>
      <c r="I1884" t="inlineStr">
        <is>
          <t>Batch 1 - TR</t>
        </is>
      </c>
      <c r="J1884" s="29" t="n">
        <v>0</v>
      </c>
      <c r="K1884" s="30" t="n"/>
      <c r="L1884" s="29" t="n">
        <v>0</v>
      </c>
      <c r="M1884" s="29" t="n">
        <v>0</v>
      </c>
      <c r="N1884" s="2" t="n">
        <v>0</v>
      </c>
      <c r="O1884" s="31" t="n">
        <v>0</v>
      </c>
      <c r="P1884" s="32" t="n"/>
      <c r="Q1884" s="32" t="n">
        <v>0</v>
      </c>
      <c r="R1884" s="32" t="n">
        <v>0</v>
      </c>
      <c r="S1884" s="31" t="n">
        <v>0</v>
      </c>
      <c r="T1884" s="32" t="n">
        <v>0</v>
      </c>
      <c r="U1884" s="31" t="n">
        <v>0</v>
      </c>
      <c r="V1884" s="31" t="n">
        <v>0</v>
      </c>
      <c r="W1884" s="3" t="n">
        <v>0</v>
      </c>
      <c r="X1884" s="3" t="n">
        <v>0</v>
      </c>
      <c r="Y1884" s="32" t="n">
        <v>0</v>
      </c>
      <c r="Z1884" s="3" t="n">
        <v>0</v>
      </c>
      <c r="AA1884" s="32" t="n">
        <v>0</v>
      </c>
      <c r="AB1884" s="3" t="n"/>
      <c r="AC1884" s="31" t="n">
        <v>0</v>
      </c>
      <c r="AD1884" s="2" t="n">
        <v>0</v>
      </c>
      <c r="AE1884" s="2" t="n">
        <v>10</v>
      </c>
      <c r="AF1884" s="4" t="n">
        <v>10</v>
      </c>
      <c r="AG1884" s="33" t="n">
        <v>0</v>
      </c>
      <c r="AH1884" s="4" t="n">
        <v>0</v>
      </c>
      <c r="AI1884" s="34" t="n"/>
      <c r="AJ1884" s="34" t="n">
        <v>0</v>
      </c>
      <c r="AK1884" s="2" t="n">
        <v>0</v>
      </c>
      <c r="AL1884" t="inlineStr">
        <is>
          <t>Published</t>
        </is>
      </c>
    </row>
    <row r="1885">
      <c r="A1885">
        <f>HYPERLINK("https://www.walmart.com/ip/885770103", "885770103")</f>
        <v/>
      </c>
      <c r="B1885">
        <f>HYPERLINK("https://app.optiwise.ai/catalog/itemdetails/360371", "Extra Large Lunch Bag - 13L/ 22 Can, Insulated &amp; Leakproof Adult Reusable Meal Prep Bento Box Cooler Tote for Men &amp; Women with Dual Compartment, Canvas Blue")</f>
        <v/>
      </c>
      <c r="C1885" t="inlineStr">
        <is>
          <t>1KTLB410BL-6D</t>
        </is>
      </c>
      <c r="D1885" t="inlineStr">
        <is>
          <t>Home Decor, Kitchen, &amp; Other</t>
        </is>
      </c>
      <c r="E1885" t="inlineStr">
        <is>
          <t>Reusable Lunch Bags &amp; Boxes</t>
        </is>
      </c>
      <c r="F1885" t="inlineStr">
        <is>
          <t>Tirrinia</t>
        </is>
      </c>
      <c r="G1885" t="n">
        <v>4.5</v>
      </c>
      <c r="H1885" t="n">
        <v>203</v>
      </c>
      <c r="I1885" t="inlineStr">
        <is>
          <t>Q2-Target,Brand Camp VD,Lunch Bag,WFS,Lunch Bags,SEM,WFS Item</t>
        </is>
      </c>
      <c r="J1885" s="29" t="n">
        <v>0</v>
      </c>
      <c r="K1885" s="30" t="n"/>
      <c r="L1885" s="29" t="n">
        <v>0</v>
      </c>
      <c r="M1885" s="29" t="n">
        <v>0</v>
      </c>
      <c r="N1885" s="2" t="n">
        <v>0</v>
      </c>
      <c r="O1885" s="31" t="n">
        <v>0</v>
      </c>
      <c r="P1885" s="32" t="n"/>
      <c r="Q1885" s="32" t="n">
        <v>0</v>
      </c>
      <c r="R1885" s="32" t="n">
        <v>0.3091</v>
      </c>
      <c r="S1885" s="31" t="n">
        <v>0</v>
      </c>
      <c r="T1885" s="32" t="n">
        <v>0</v>
      </c>
      <c r="U1885" s="31" t="n">
        <v>0</v>
      </c>
      <c r="V1885" s="31" t="n">
        <v>0</v>
      </c>
      <c r="W1885" s="3" t="n">
        <v>0</v>
      </c>
      <c r="X1885" s="3" t="n">
        <v>0</v>
      </c>
      <c r="Y1885" s="32" t="n">
        <v>0</v>
      </c>
      <c r="Z1885" s="3" t="n">
        <v>0</v>
      </c>
      <c r="AA1885" s="32" t="n">
        <v>0</v>
      </c>
      <c r="AB1885" s="3" t="n"/>
      <c r="AC1885" s="31" t="n">
        <v>0</v>
      </c>
      <c r="AD1885" s="2" t="n">
        <v>0</v>
      </c>
      <c r="AE1885" s="2" t="n">
        <v>42</v>
      </c>
      <c r="AF1885" s="4" t="n">
        <v>42</v>
      </c>
      <c r="AG1885" s="33" t="n">
        <v>0</v>
      </c>
      <c r="AH1885" s="4" t="n">
        <v>0</v>
      </c>
      <c r="AI1885" s="34" t="n"/>
      <c r="AJ1885" s="34" t="n">
        <v>0</v>
      </c>
      <c r="AK1885" s="2" t="n">
        <v>0</v>
      </c>
      <c r="AL1885" t="inlineStr">
        <is>
          <t>Published</t>
        </is>
      </c>
    </row>
    <row r="1886">
      <c r="A1886">
        <f>HYPERLINK("https://www.walmart.com/ip/951107799", "951107799")</f>
        <v/>
      </c>
      <c r="B1886">
        <f>HYPERLINK("https://app.optiwise.ai/catalog/itemdetails/360367", "Camouflage Military Wine Bag, Insulated 2 Bottle Travel Padded Wine Carrying Cooler Carrier Tote with Handle and Shoulder Strap, 8.6 x 7.1 x 12.5.")</f>
        <v/>
      </c>
      <c r="C1886" t="inlineStr">
        <is>
          <t>1KTWB420DC</t>
        </is>
      </c>
      <c r="D1886" t="inlineStr">
        <is>
          <t>Home Decor, Kitchen, &amp; Other</t>
        </is>
      </c>
      <c r="E1886" t="inlineStr">
        <is>
          <t>Wine Totes, Bags &amp; Backpacks</t>
        </is>
      </c>
      <c r="F1886" t="inlineStr">
        <is>
          <t>Kato</t>
        </is>
      </c>
      <c r="G1886" t="n">
        <v>5</v>
      </c>
      <c r="H1886" t="n">
        <v>1</v>
      </c>
      <c r="I1886" t="inlineStr">
        <is>
          <t>Wine,Christmas,Optimized,Valentine</t>
        </is>
      </c>
      <c r="J1886" s="29" t="n">
        <v>0</v>
      </c>
      <c r="K1886" s="30" t="n"/>
      <c r="L1886" s="29" t="n">
        <v>0</v>
      </c>
      <c r="M1886" s="29" t="n">
        <v>0</v>
      </c>
      <c r="N1886" s="2" t="n">
        <v>0</v>
      </c>
      <c r="O1886" s="31" t="n">
        <v>7.210000000000001</v>
      </c>
      <c r="P1886" s="32" t="n">
        <v>0.0009</v>
      </c>
      <c r="Q1886" s="32" t="n">
        <v>0</v>
      </c>
      <c r="R1886" s="32" t="n">
        <v>0</v>
      </c>
      <c r="S1886" s="31" t="n">
        <v>0</v>
      </c>
      <c r="T1886" s="32" t="n">
        <v>0</v>
      </c>
      <c r="U1886" s="31" t="n">
        <v>0</v>
      </c>
      <c r="V1886" s="31" t="n">
        <v>0</v>
      </c>
      <c r="W1886" s="3" t="n">
        <v>14713</v>
      </c>
      <c r="X1886" s="3" t="n">
        <v>16</v>
      </c>
      <c r="Y1886" s="32" t="n">
        <v>0.0011</v>
      </c>
      <c r="Z1886" s="3" t="n">
        <v>0</v>
      </c>
      <c r="AA1886" s="32" t="n">
        <v>0</v>
      </c>
      <c r="AB1886" s="3" t="inlineStr">
        <is>
          <t>Auto Campaign_Vinay,WFS Inventory</t>
        </is>
      </c>
      <c r="AC1886" s="31" t="n">
        <v>0.45</v>
      </c>
      <c r="AD1886" s="2" t="n">
        <v>0</v>
      </c>
      <c r="AE1886" s="2" t="n">
        <v>29</v>
      </c>
      <c r="AF1886" s="4" t="n">
        <v>13</v>
      </c>
      <c r="AG1886" s="33" t="n">
        <v>0</v>
      </c>
      <c r="AH1886" s="4" t="n">
        <v>0</v>
      </c>
      <c r="AI1886" s="34" t="n"/>
      <c r="AJ1886" s="34" t="n">
        <v>0</v>
      </c>
      <c r="AK1886" s="2" t="n">
        <v>0</v>
      </c>
      <c r="AL1886" t="inlineStr">
        <is>
          <t>Published</t>
        </is>
      </c>
    </row>
    <row r="1887">
      <c r="A1887">
        <f>HYPERLINK("https://www.walmart.com/ip/120850786", "120850786")</f>
        <v/>
      </c>
      <c r="B1887">
        <f>HYPERLINK("https://app.optiwise.ai/catalog/itemdetails/360366", "KC Caps Washed Cotton Twill Hat")</f>
        <v/>
      </c>
      <c r="C1887" t="inlineStr">
        <is>
          <t>KCS4130DKGN</t>
        </is>
      </c>
      <c r="D1887" t="inlineStr">
        <is>
          <t>Clothing</t>
        </is>
      </c>
      <c r="E1887" t="inlineStr">
        <is>
          <t>Hats</t>
        </is>
      </c>
      <c r="F1887" t="inlineStr">
        <is>
          <t>KC Caps</t>
        </is>
      </c>
      <c r="G1887" t="n">
        <v>0</v>
      </c>
      <c r="H1887" t="n">
        <v>0</v>
      </c>
      <c r="I1887" t="inlineStr">
        <is>
          <t>Optimized,ST Patrick Day</t>
        </is>
      </c>
      <c r="J1887" s="29" t="n">
        <v>0</v>
      </c>
      <c r="K1887" s="30" t="n"/>
      <c r="L1887" s="29" t="n">
        <v>0</v>
      </c>
      <c r="M1887" s="29" t="n">
        <v>0</v>
      </c>
      <c r="N1887" s="2" t="n">
        <v>0</v>
      </c>
      <c r="O1887" s="31" t="n">
        <v>0</v>
      </c>
      <c r="P1887" s="32" t="n"/>
      <c r="Q1887" s="32" t="n">
        <v>0</v>
      </c>
      <c r="R1887" s="32" t="n">
        <v>0</v>
      </c>
      <c r="S1887" s="31" t="n">
        <v>0</v>
      </c>
      <c r="T1887" s="32" t="n">
        <v>0</v>
      </c>
      <c r="U1887" s="31" t="n">
        <v>0</v>
      </c>
      <c r="V1887" s="31" t="n">
        <v>0</v>
      </c>
      <c r="W1887" s="3" t="n">
        <v>0</v>
      </c>
      <c r="X1887" s="3" t="n">
        <v>0</v>
      </c>
      <c r="Y1887" s="32" t="n">
        <v>0</v>
      </c>
      <c r="Z1887" s="3" t="n">
        <v>0</v>
      </c>
      <c r="AA1887" s="32" t="n">
        <v>0</v>
      </c>
      <c r="AB1887" s="3" t="n"/>
      <c r="AC1887" s="31" t="n">
        <v>0</v>
      </c>
      <c r="AD1887" s="2" t="n">
        <v>0</v>
      </c>
      <c r="AE1887" s="2" t="n">
        <v>6</v>
      </c>
      <c r="AF1887" s="4" t="n">
        <v>6</v>
      </c>
      <c r="AG1887" s="33" t="n">
        <v>0</v>
      </c>
      <c r="AH1887" s="4" t="n">
        <v>0</v>
      </c>
      <c r="AI1887" s="34" t="n"/>
      <c r="AJ1887" s="34" t="n">
        <v>0</v>
      </c>
      <c r="AK1887" s="2" t="n">
        <v>0</v>
      </c>
      <c r="AL1887" t="inlineStr">
        <is>
          <t>Published</t>
        </is>
      </c>
    </row>
    <row r="1888">
      <c r="A1888">
        <f>HYPERLINK("https://www.walmart.com/ip/968336375", "968336375")</f>
        <v/>
      </c>
      <c r="B1888">
        <f>HYPERLINK("https://app.optiwise.ai/catalog/itemdetails/360363", "Catalonia Coral Fleece Throw Blanket for Couch, All Seasons Lightweight Soft Cozy Throws for Home Living Room Decoration, 50'' x 60'', Pink")</f>
        <v/>
      </c>
      <c r="C1888" t="inlineStr">
        <is>
          <t>1CTBF577PK</t>
        </is>
      </c>
      <c r="D1888" t="inlineStr">
        <is>
          <t>Bedding</t>
        </is>
      </c>
      <c r="E1888" t="inlineStr">
        <is>
          <t>Throws</t>
        </is>
      </c>
      <c r="F1888" t="inlineStr">
        <is>
          <t>Catalonia</t>
        </is>
      </c>
      <c r="G1888" t="n">
        <v>0</v>
      </c>
      <c r="H1888" t="n">
        <v>0</v>
      </c>
      <c r="I1888" t="inlineStr">
        <is>
          <t>Q2-Target,WFS,Coupon_Discount,cost-added,WFS Item</t>
        </is>
      </c>
      <c r="J1888" s="29" t="n">
        <v>0</v>
      </c>
      <c r="K1888" s="30" t="n"/>
      <c r="L1888" s="29" t="n">
        <v>0</v>
      </c>
      <c r="M1888" s="29" t="n">
        <v>0</v>
      </c>
      <c r="N1888" s="2" t="n">
        <v>0</v>
      </c>
      <c r="O1888" s="31" t="n">
        <v>0</v>
      </c>
      <c r="P1888" s="32" t="n"/>
      <c r="Q1888" s="32" t="n">
        <v>0</v>
      </c>
      <c r="R1888" s="32" t="n">
        <v>0</v>
      </c>
      <c r="S1888" s="31" t="n">
        <v>0</v>
      </c>
      <c r="T1888" s="32" t="n">
        <v>0</v>
      </c>
      <c r="U1888" s="31" t="n">
        <v>0</v>
      </c>
      <c r="V1888" s="31" t="n">
        <v>0</v>
      </c>
      <c r="W1888" s="3" t="n">
        <v>0</v>
      </c>
      <c r="X1888" s="3" t="n">
        <v>0</v>
      </c>
      <c r="Y1888" s="32" t="n">
        <v>0</v>
      </c>
      <c r="Z1888" s="3" t="n">
        <v>0</v>
      </c>
      <c r="AA1888" s="32" t="n">
        <v>0</v>
      </c>
      <c r="AB1888" s="3" t="n"/>
      <c r="AC1888" s="31" t="n">
        <v>0</v>
      </c>
      <c r="AD1888" s="2" t="n">
        <v>0</v>
      </c>
      <c r="AE1888" s="2" t="n">
        <v>99</v>
      </c>
      <c r="AF1888" s="4" t="n">
        <v>99</v>
      </c>
      <c r="AG1888" s="33" t="n">
        <v>0</v>
      </c>
      <c r="AH1888" s="4" t="n">
        <v>0</v>
      </c>
      <c r="AI1888" s="34" t="n"/>
      <c r="AJ1888" s="34" t="n">
        <v>0</v>
      </c>
      <c r="AK1888" s="2" t="n">
        <v>0</v>
      </c>
      <c r="AL1888" t="inlineStr">
        <is>
          <t>Published</t>
        </is>
      </c>
    </row>
    <row r="1889">
      <c r="A1889">
        <f>HYPERLINK("https://www.walmart.com/ip/182324726", "182324726")</f>
        <v/>
      </c>
      <c r="B1889">
        <f>HYPERLINK("https://app.optiwise.ai/catalog/itemdetails/360362", "JenniWears Women's Beileise  Sexy Net Pantyhose  Stockings Black Sheer Socks - 3 Packs")</f>
        <v/>
      </c>
      <c r="C1889" t="inlineStr">
        <is>
          <t>JWBLSPH2085-3pcs</t>
        </is>
      </c>
      <c r="D1889" t="inlineStr">
        <is>
          <t>Clothing</t>
        </is>
      </c>
      <c r="E1889" t="inlineStr">
        <is>
          <t>Pantyhose &amp; Tights</t>
        </is>
      </c>
      <c r="F1889" t="inlineStr">
        <is>
          <t>JenniWears</t>
        </is>
      </c>
      <c r="G1889" t="n">
        <v>0</v>
      </c>
      <c r="H1889" t="n">
        <v>0</v>
      </c>
      <c r="I1889" t="inlineStr">
        <is>
          <t>Optimized,Valentine</t>
        </is>
      </c>
      <c r="J1889" s="29" t="n">
        <v>0</v>
      </c>
      <c r="K1889" s="30" t="n"/>
      <c r="L1889" s="29" t="n">
        <v>0</v>
      </c>
      <c r="M1889" s="29" t="n">
        <v>0</v>
      </c>
      <c r="N1889" s="2" t="n">
        <v>0</v>
      </c>
      <c r="O1889" s="31" t="n">
        <v>0</v>
      </c>
      <c r="P1889" s="32" t="n"/>
      <c r="Q1889" s="32" t="n">
        <v>0</v>
      </c>
      <c r="R1889" s="32" t="n">
        <v>0</v>
      </c>
      <c r="S1889" s="31" t="n">
        <v>0</v>
      </c>
      <c r="T1889" s="32" t="n">
        <v>0</v>
      </c>
      <c r="U1889" s="31" t="n">
        <v>0</v>
      </c>
      <c r="V1889" s="31" t="n">
        <v>0</v>
      </c>
      <c r="W1889" s="3" t="n">
        <v>0</v>
      </c>
      <c r="X1889" s="3" t="n">
        <v>0</v>
      </c>
      <c r="Y1889" s="32" t="n">
        <v>0</v>
      </c>
      <c r="Z1889" s="3" t="n">
        <v>0</v>
      </c>
      <c r="AA1889" s="32" t="n">
        <v>0</v>
      </c>
      <c r="AB1889" s="3" t="n"/>
      <c r="AC1889" s="31" t="n">
        <v>0</v>
      </c>
      <c r="AD1889" s="2" t="n">
        <v>0</v>
      </c>
      <c r="AE1889" s="2" t="n">
        <v>7</v>
      </c>
      <c r="AF1889" s="4" t="n">
        <v>7</v>
      </c>
      <c r="AG1889" s="33" t="n">
        <v>0</v>
      </c>
      <c r="AH1889" s="4" t="n">
        <v>0</v>
      </c>
      <c r="AI1889" s="34" t="n"/>
      <c r="AJ1889" s="34" t="n">
        <v>0</v>
      </c>
      <c r="AK1889" s="2" t="n">
        <v>0</v>
      </c>
      <c r="AL1889" t="inlineStr">
        <is>
          <t>Published</t>
        </is>
      </c>
    </row>
    <row r="1890">
      <c r="A1890">
        <f>HYPERLINK("https://www.walmart.com/ip/568915147", "568915147")</f>
        <v/>
      </c>
      <c r="B1890">
        <f>HYPERLINK("https://app.optiwise.ai/catalog/itemdetails/360361", "Solaris Men Winter Ski Snow Gloves with Breathable Face Mask The Warmest 3M Insulation Waterproof Outdoor Snowboard Mitt")</f>
        <v/>
      </c>
      <c r="C1890" t="inlineStr">
        <is>
          <t>1SLWG301GYBK-M</t>
        </is>
      </c>
      <c r="D1890" t="inlineStr">
        <is>
          <t>Clothing</t>
        </is>
      </c>
      <c r="E1890" t="inlineStr">
        <is>
          <t>Gloves &amp; Mittens</t>
        </is>
      </c>
      <c r="F1890" t="inlineStr">
        <is>
          <t>Solaris</t>
        </is>
      </c>
      <c r="G1890" t="n">
        <v>0</v>
      </c>
      <c r="H1890" t="n">
        <v>0</v>
      </c>
      <c r="I1890" t="inlineStr">
        <is>
          <t>Gloves,WFS,WFS Item</t>
        </is>
      </c>
      <c r="J1890" s="29" t="n">
        <v>0</v>
      </c>
      <c r="K1890" s="30" t="n"/>
      <c r="L1890" s="29" t="n">
        <v>0</v>
      </c>
      <c r="M1890" s="29" t="n">
        <v>0</v>
      </c>
      <c r="N1890" s="2" t="n">
        <v>0</v>
      </c>
      <c r="O1890" s="31" t="n">
        <v>0</v>
      </c>
      <c r="P1890" s="32" t="n"/>
      <c r="Q1890" s="32" t="n">
        <v>0</v>
      </c>
      <c r="R1890" s="32" t="n">
        <v>0</v>
      </c>
      <c r="S1890" s="31" t="n">
        <v>0</v>
      </c>
      <c r="T1890" s="32" t="n">
        <v>0</v>
      </c>
      <c r="U1890" s="31" t="n">
        <v>0</v>
      </c>
      <c r="V1890" s="31" t="n">
        <v>0</v>
      </c>
      <c r="W1890" s="3" t="n">
        <v>0</v>
      </c>
      <c r="X1890" s="3" t="n">
        <v>0</v>
      </c>
      <c r="Y1890" s="32" t="n">
        <v>0</v>
      </c>
      <c r="Z1890" s="3" t="n">
        <v>0</v>
      </c>
      <c r="AA1890" s="32" t="n">
        <v>0</v>
      </c>
      <c r="AB1890" s="3" t="n"/>
      <c r="AC1890" s="31" t="n">
        <v>0</v>
      </c>
      <c r="AD1890" s="2" t="n">
        <v>0</v>
      </c>
      <c r="AE1890" s="2" t="n">
        <v>9</v>
      </c>
      <c r="AF1890" s="4" t="n">
        <v>9</v>
      </c>
      <c r="AG1890" s="33" t="n">
        <v>0</v>
      </c>
      <c r="AH1890" s="4" t="n">
        <v>0</v>
      </c>
      <c r="AI1890" s="34" t="n"/>
      <c r="AJ1890" s="34" t="n">
        <v>0</v>
      </c>
      <c r="AK1890" s="2" t="n">
        <v>0</v>
      </c>
      <c r="AL1890" t="inlineStr">
        <is>
          <t>Published</t>
        </is>
      </c>
    </row>
    <row r="1891">
      <c r="A1891">
        <f>HYPERLINK("https://www.walmart.com/ip/823917465", "823917465")</f>
        <v/>
      </c>
      <c r="B1891">
        <f>HYPERLINK("https://app.optiwise.ai/catalog/itemdetails/360356", "Wearable Blanket with Sleeves and Kangaroo Pocket for Adult Soft Warm Comfy Throws Wrap Robe Blanket in Black.")</f>
        <v/>
      </c>
      <c r="C1891" t="inlineStr">
        <is>
          <t>1CTSN200BK</t>
        </is>
      </c>
      <c r="D1891" t="inlineStr">
        <is>
          <t>Bedding</t>
        </is>
      </c>
      <c r="E1891" t="inlineStr">
        <is>
          <t>Throws</t>
        </is>
      </c>
      <c r="F1891" t="inlineStr">
        <is>
          <t>Catalonia</t>
        </is>
      </c>
      <c r="G1891" t="n">
        <v>0</v>
      </c>
      <c r="H1891" t="n">
        <v>0</v>
      </c>
      <c r="I1891" t="inlineStr">
        <is>
          <t>WFS,WFS Item</t>
        </is>
      </c>
      <c r="J1891" s="29" t="n">
        <v>0</v>
      </c>
      <c r="K1891" s="30" t="n"/>
      <c r="L1891" s="29" t="n">
        <v>0</v>
      </c>
      <c r="M1891" s="29" t="n">
        <v>0</v>
      </c>
      <c r="N1891" s="2" t="n">
        <v>0</v>
      </c>
      <c r="O1891" s="31" t="n">
        <v>0</v>
      </c>
      <c r="P1891" s="32" t="n"/>
      <c r="Q1891" s="32" t="n">
        <v>0</v>
      </c>
      <c r="R1891" s="32" t="n">
        <v>0</v>
      </c>
      <c r="S1891" s="31" t="n">
        <v>0</v>
      </c>
      <c r="T1891" s="32" t="n">
        <v>0</v>
      </c>
      <c r="U1891" s="31" t="n">
        <v>0</v>
      </c>
      <c r="V1891" s="31" t="n">
        <v>0</v>
      </c>
      <c r="W1891" s="3" t="n">
        <v>0</v>
      </c>
      <c r="X1891" s="3" t="n">
        <v>0</v>
      </c>
      <c r="Y1891" s="32" t="n">
        <v>0</v>
      </c>
      <c r="Z1891" s="3" t="n">
        <v>0</v>
      </c>
      <c r="AA1891" s="32" t="n">
        <v>0</v>
      </c>
      <c r="AB1891" s="3" t="n"/>
      <c r="AC1891" s="31" t="n">
        <v>0</v>
      </c>
      <c r="AD1891" s="2" t="n">
        <v>0</v>
      </c>
      <c r="AE1891" s="2" t="n">
        <v>0</v>
      </c>
      <c r="AF1891" s="4" t="n">
        <v>0</v>
      </c>
      <c r="AG1891" s="33" t="n">
        <v>0</v>
      </c>
      <c r="AH1891" s="4" t="n">
        <v>0</v>
      </c>
      <c r="AI1891" s="34" t="n"/>
      <c r="AJ1891" s="34" t="n">
        <v>0</v>
      </c>
      <c r="AK1891" s="2" t="n">
        <v>0</v>
      </c>
      <c r="AL1891" t="inlineStr">
        <is>
          <t>Published</t>
        </is>
      </c>
    </row>
    <row r="1892">
      <c r="A1892">
        <f>HYPERLINK("https://www.walmart.com/ip/519184826", "519184826")</f>
        <v/>
      </c>
      <c r="B1892">
        <f>HYPERLINK("https://app.optiwise.ai/catalog/itemdetails/360350", "Catalonia Mermaid Tail Blanket, Adult Mermaid Blanket with Anti-Slip Neck Strap, Silky Hand Knitted Sleeping Blanket for Adults All Season Sleeping Bag Multi-Colors 66.5x22.5 Green")</f>
        <v/>
      </c>
      <c r="C1892" t="inlineStr">
        <is>
          <t>1CTMM100GN</t>
        </is>
      </c>
      <c r="D1892" t="inlineStr">
        <is>
          <t>Bedding</t>
        </is>
      </c>
      <c r="E1892" t="inlineStr">
        <is>
          <t>Throws</t>
        </is>
      </c>
      <c r="F1892" t="inlineStr">
        <is>
          <t>Catalonia</t>
        </is>
      </c>
      <c r="G1892" t="n">
        <v>0</v>
      </c>
      <c r="H1892" t="n">
        <v>0</v>
      </c>
      <c r="I1892" t="inlineStr">
        <is>
          <t>WFS,WFS Item</t>
        </is>
      </c>
      <c r="J1892" s="29" t="n">
        <v>0</v>
      </c>
      <c r="K1892" s="30" t="n"/>
      <c r="L1892" s="29" t="n">
        <v>0</v>
      </c>
      <c r="M1892" s="29" t="n">
        <v>0</v>
      </c>
      <c r="N1892" s="2" t="n">
        <v>0</v>
      </c>
      <c r="O1892" s="31" t="n">
        <v>0</v>
      </c>
      <c r="P1892" s="32" t="n"/>
      <c r="Q1892" s="32" t="n">
        <v>0</v>
      </c>
      <c r="R1892" s="32" t="n">
        <v>0</v>
      </c>
      <c r="S1892" s="31" t="n">
        <v>0</v>
      </c>
      <c r="T1892" s="32" t="n">
        <v>0</v>
      </c>
      <c r="U1892" s="31" t="n">
        <v>0</v>
      </c>
      <c r="V1892" s="31" t="n">
        <v>0</v>
      </c>
      <c r="W1892" s="3" t="n">
        <v>0</v>
      </c>
      <c r="X1892" s="3" t="n">
        <v>0</v>
      </c>
      <c r="Y1892" s="32" t="n">
        <v>0</v>
      </c>
      <c r="Z1892" s="3" t="n">
        <v>0</v>
      </c>
      <c r="AA1892" s="32" t="n">
        <v>0</v>
      </c>
      <c r="AB1892" s="3" t="n"/>
      <c r="AC1892" s="31" t="n">
        <v>0</v>
      </c>
      <c r="AD1892" s="2" t="n">
        <v>0</v>
      </c>
      <c r="AE1892" s="2" t="n">
        <v>16</v>
      </c>
      <c r="AF1892" s="4" t="n">
        <v>16</v>
      </c>
      <c r="AG1892" s="33" t="n">
        <v>0</v>
      </c>
      <c r="AH1892" s="4" t="n">
        <v>0</v>
      </c>
      <c r="AI1892" s="34" t="n"/>
      <c r="AJ1892" s="34" t="n">
        <v>0</v>
      </c>
      <c r="AK1892" s="2" t="n">
        <v>0</v>
      </c>
      <c r="AL1892" t="inlineStr">
        <is>
          <t>Published</t>
        </is>
      </c>
    </row>
    <row r="1893">
      <c r="A1893">
        <f>HYPERLINK("https://www.walmart.com/ip/186964556", "186964556")</f>
        <v/>
      </c>
      <c r="B1893">
        <f>HYPERLINK("https://app.optiwise.ai/catalog/itemdetails/360349", "JenniWears® Women's Sexy Strappy Lace Mesh Chemise Lingerie with G-string")</f>
        <v/>
      </c>
      <c r="C1893" t="inlineStr">
        <is>
          <t>JWBD03BKRD-M</t>
        </is>
      </c>
      <c r="D1893" t="inlineStr">
        <is>
          <t>Clothing</t>
        </is>
      </c>
      <c r="E1893" t="inlineStr">
        <is>
          <t>Lingerie Sets</t>
        </is>
      </c>
      <c r="F1893" t="inlineStr">
        <is>
          <t>JenniWears</t>
        </is>
      </c>
      <c r="G1893" t="n">
        <v>0</v>
      </c>
      <c r="H1893" t="n">
        <v>0</v>
      </c>
      <c r="I1893" t="inlineStr">
        <is>
          <t>Optimized,Valentine</t>
        </is>
      </c>
      <c r="J1893" s="29" t="n">
        <v>0</v>
      </c>
      <c r="K1893" s="30" t="n"/>
      <c r="L1893" s="29" t="n">
        <v>0</v>
      </c>
      <c r="M1893" s="29" t="n">
        <v>0</v>
      </c>
      <c r="N1893" s="2" t="n">
        <v>0</v>
      </c>
      <c r="O1893" s="31" t="n">
        <v>0</v>
      </c>
      <c r="P1893" s="32" t="n"/>
      <c r="Q1893" s="32" t="n">
        <v>0</v>
      </c>
      <c r="R1893" s="32" t="n">
        <v>0</v>
      </c>
      <c r="S1893" s="31" t="n">
        <v>0</v>
      </c>
      <c r="T1893" s="32" t="n">
        <v>0</v>
      </c>
      <c r="U1893" s="31" t="n">
        <v>0</v>
      </c>
      <c r="V1893" s="31" t="n">
        <v>0</v>
      </c>
      <c r="W1893" s="3" t="n">
        <v>0</v>
      </c>
      <c r="X1893" s="3" t="n">
        <v>0</v>
      </c>
      <c r="Y1893" s="32" t="n">
        <v>0</v>
      </c>
      <c r="Z1893" s="3" t="n">
        <v>0</v>
      </c>
      <c r="AA1893" s="32" t="n">
        <v>0</v>
      </c>
      <c r="AB1893" s="3" t="n"/>
      <c r="AC1893" s="31" t="n">
        <v>0</v>
      </c>
      <c r="AD1893" s="2" t="n">
        <v>0</v>
      </c>
      <c r="AE1893" s="2" t="n">
        <v>38</v>
      </c>
      <c r="AF1893" s="4" t="n">
        <v>38</v>
      </c>
      <c r="AG1893" s="33" t="n">
        <v>0</v>
      </c>
      <c r="AH1893" s="4" t="n">
        <v>0</v>
      </c>
      <c r="AI1893" s="34" t="n"/>
      <c r="AJ1893" s="34" t="n">
        <v>0</v>
      </c>
      <c r="AK1893" s="2" t="n">
        <v>0</v>
      </c>
      <c r="AL1893" t="inlineStr">
        <is>
          <t>Published</t>
        </is>
      </c>
    </row>
    <row r="1894">
      <c r="A1894">
        <f>HYPERLINK("https://www.walmart.com/ip/974951081", "974951081")</f>
        <v/>
      </c>
      <c r="B1894">
        <f>HYPERLINK("https://app.optiwise.ai/catalog/itemdetails/360346", "Hooded Blanket Poncho | Wearable Blanket Wrap with Hand Pockets | Comfy Sherpa Fleece Throw Cape for Children and Adults, Women Gift")</f>
        <v/>
      </c>
      <c r="C1894" t="inlineStr">
        <is>
          <t>1CTBC100PK</t>
        </is>
      </c>
      <c r="D1894" t="inlineStr">
        <is>
          <t>Bedding</t>
        </is>
      </c>
      <c r="E1894" t="inlineStr">
        <is>
          <t>Throws</t>
        </is>
      </c>
      <c r="F1894" t="inlineStr">
        <is>
          <t>Catalonia</t>
        </is>
      </c>
      <c r="G1894" t="n">
        <v>0</v>
      </c>
      <c r="H1894" t="n">
        <v>0</v>
      </c>
      <c r="I1894" t="inlineStr">
        <is>
          <t>Q2-Target,WFS,WFS Item</t>
        </is>
      </c>
      <c r="J1894" s="29" t="n">
        <v>0</v>
      </c>
      <c r="K1894" s="30" t="n"/>
      <c r="L1894" s="29" t="n">
        <v>0</v>
      </c>
      <c r="M1894" s="29" t="n">
        <v>0</v>
      </c>
      <c r="N1894" s="2" t="n">
        <v>0</v>
      </c>
      <c r="O1894" s="31" t="n">
        <v>0</v>
      </c>
      <c r="P1894" s="32" t="n"/>
      <c r="Q1894" s="32" t="n">
        <v>0</v>
      </c>
      <c r="R1894" s="32" t="n">
        <v>0</v>
      </c>
      <c r="S1894" s="31" t="n">
        <v>0</v>
      </c>
      <c r="T1894" s="32" t="n">
        <v>0</v>
      </c>
      <c r="U1894" s="31" t="n">
        <v>0</v>
      </c>
      <c r="V1894" s="31" t="n">
        <v>0</v>
      </c>
      <c r="W1894" s="3" t="n">
        <v>0</v>
      </c>
      <c r="X1894" s="3" t="n">
        <v>0</v>
      </c>
      <c r="Y1894" s="32" t="n">
        <v>0</v>
      </c>
      <c r="Z1894" s="3" t="n">
        <v>0</v>
      </c>
      <c r="AA1894" s="32" t="n">
        <v>0</v>
      </c>
      <c r="AB1894" s="3" t="n"/>
      <c r="AC1894" s="31" t="n">
        <v>0</v>
      </c>
      <c r="AD1894" s="2" t="n">
        <v>9</v>
      </c>
      <c r="AE1894" s="2" t="n">
        <v>35</v>
      </c>
      <c r="AF1894" s="4" t="n">
        <v>35</v>
      </c>
      <c r="AG1894" s="33" t="n">
        <v>0</v>
      </c>
      <c r="AH1894" s="4" t="n">
        <v>0</v>
      </c>
      <c r="AI1894" s="34" t="n"/>
      <c r="AJ1894" s="34" t="n">
        <v>0</v>
      </c>
      <c r="AK1894" s="2" t="n">
        <v>0</v>
      </c>
      <c r="AL1894" t="inlineStr">
        <is>
          <t>Published</t>
        </is>
      </c>
    </row>
    <row r="1895">
      <c r="A1895">
        <f>HYPERLINK("https://www.walmart.com/ip/673271822", "673271822")</f>
        <v/>
      </c>
      <c r="B1895">
        <f>HYPERLINK("https://app.optiwise.ai/catalog/itemdetails/360335", "Terra Youth Reflective Knit Hat High Visibility Cold Weather Running Beanie Cool")</f>
        <v/>
      </c>
      <c r="C1895" t="inlineStr">
        <is>
          <t>TERRABN01-PP</t>
        </is>
      </c>
      <c r="D1895" t="inlineStr">
        <is>
          <t>Clothing</t>
        </is>
      </c>
      <c r="E1895" t="inlineStr">
        <is>
          <t>Hats</t>
        </is>
      </c>
      <c r="F1895" t="inlineStr">
        <is>
          <t>Terra</t>
        </is>
      </c>
      <c r="G1895" t="n">
        <v>0</v>
      </c>
      <c r="H1895" t="n">
        <v>0</v>
      </c>
      <c r="J1895" s="29" t="n">
        <v>0</v>
      </c>
      <c r="K1895" s="30" t="n"/>
      <c r="L1895" s="29" t="n">
        <v>0</v>
      </c>
      <c r="M1895" s="29" t="n">
        <v>0</v>
      </c>
      <c r="N1895" s="2" t="n">
        <v>0</v>
      </c>
      <c r="O1895" s="31" t="n">
        <v>0</v>
      </c>
      <c r="P1895" s="32" t="n"/>
      <c r="Q1895" s="32" t="n">
        <v>0</v>
      </c>
      <c r="R1895" s="32" t="n">
        <v>0</v>
      </c>
      <c r="S1895" s="31" t="n">
        <v>0</v>
      </c>
      <c r="T1895" s="32" t="n">
        <v>0</v>
      </c>
      <c r="U1895" s="31" t="n">
        <v>0</v>
      </c>
      <c r="V1895" s="31" t="n">
        <v>0</v>
      </c>
      <c r="W1895" s="3" t="n">
        <v>0</v>
      </c>
      <c r="X1895" s="3" t="n">
        <v>0</v>
      </c>
      <c r="Y1895" s="32" t="n">
        <v>0</v>
      </c>
      <c r="Z1895" s="3" t="n">
        <v>0</v>
      </c>
      <c r="AA1895" s="32" t="n">
        <v>0</v>
      </c>
      <c r="AB1895" s="3" t="n"/>
      <c r="AC1895" s="31" t="n">
        <v>0</v>
      </c>
      <c r="AD1895" s="2" t="n">
        <v>0</v>
      </c>
      <c r="AE1895" s="2" t="n">
        <v>6</v>
      </c>
      <c r="AF1895" s="4" t="n">
        <v>6</v>
      </c>
      <c r="AG1895" s="33" t="n">
        <v>0</v>
      </c>
      <c r="AH1895" s="4" t="n">
        <v>0</v>
      </c>
      <c r="AI1895" s="34" t="n"/>
      <c r="AJ1895" s="34" t="n">
        <v>0</v>
      </c>
      <c r="AK1895" s="2" t="n">
        <v>0</v>
      </c>
      <c r="AL1895" t="inlineStr">
        <is>
          <t>Published</t>
        </is>
      </c>
    </row>
    <row r="1896">
      <c r="A1896">
        <f>HYPERLINK("https://www.walmart.com/ip/535341508", "535341508")</f>
        <v/>
      </c>
      <c r="B1896">
        <f>HYPERLINK("https://app.optiwise.ai/catalog/itemdetails/360406", "100% Polar Fleece Skull Cap Warm and Cozy Beanie")</f>
        <v/>
      </c>
      <c r="C1896" t="inlineStr">
        <is>
          <t>1SLW1810NV-FSCB</t>
        </is>
      </c>
      <c r="D1896" t="inlineStr">
        <is>
          <t>Clothing</t>
        </is>
      </c>
      <c r="E1896" t="inlineStr">
        <is>
          <t>Hats</t>
        </is>
      </c>
      <c r="F1896" t="inlineStr">
        <is>
          <t>Solaris</t>
        </is>
      </c>
      <c r="G1896" t="n">
        <v>0</v>
      </c>
      <c r="H1896" t="n">
        <v>0</v>
      </c>
      <c r="I1896" t="inlineStr">
        <is>
          <t>Optimized</t>
        </is>
      </c>
      <c r="J1896" s="29" t="n">
        <v>0</v>
      </c>
      <c r="K1896" s="30" t="n"/>
      <c r="L1896" s="29" t="n">
        <v>0</v>
      </c>
      <c r="M1896" s="29" t="n">
        <v>0</v>
      </c>
      <c r="N1896" s="2" t="n">
        <v>0</v>
      </c>
      <c r="O1896" s="31" t="n">
        <v>0</v>
      </c>
      <c r="P1896" s="32" t="n"/>
      <c r="Q1896" s="32" t="n">
        <v>0</v>
      </c>
      <c r="R1896" s="32" t="n">
        <v>0</v>
      </c>
      <c r="S1896" s="31" t="n">
        <v>0</v>
      </c>
      <c r="T1896" s="32" t="n">
        <v>0</v>
      </c>
      <c r="U1896" s="31" t="n">
        <v>0</v>
      </c>
      <c r="V1896" s="31" t="n">
        <v>0</v>
      </c>
      <c r="W1896" s="3" t="n">
        <v>0</v>
      </c>
      <c r="X1896" s="3" t="n">
        <v>0</v>
      </c>
      <c r="Y1896" s="32" t="n">
        <v>0</v>
      </c>
      <c r="Z1896" s="3" t="n">
        <v>0</v>
      </c>
      <c r="AA1896" s="32" t="n">
        <v>0</v>
      </c>
      <c r="AB1896" s="3" t="n"/>
      <c r="AC1896" s="31" t="n">
        <v>0</v>
      </c>
      <c r="AD1896" s="2" t="n">
        <v>0</v>
      </c>
      <c r="AE1896" s="2" t="n">
        <v>13</v>
      </c>
      <c r="AF1896" s="4" t="n">
        <v>13</v>
      </c>
      <c r="AG1896" s="33" t="n">
        <v>0</v>
      </c>
      <c r="AH1896" s="4" t="n">
        <v>0</v>
      </c>
      <c r="AI1896" s="34" t="n"/>
      <c r="AJ1896" s="34" t="n">
        <v>0</v>
      </c>
      <c r="AK1896" s="2" t="n">
        <v>0</v>
      </c>
      <c r="AL1896" t="inlineStr">
        <is>
          <t>Published</t>
        </is>
      </c>
    </row>
    <row r="1897">
      <c r="A1897">
        <f>HYPERLINK("https://www.walmart.com/ip/353232887", "353232887")</f>
        <v/>
      </c>
      <c r="B1897">
        <f>HYPERLINK("https://app.optiwise.ai/catalog/itemdetails/360415", "Catalonia Sherpa Fleece Throw Blanket, Super Soft Mink Plush Couch Blanket, TV Bed Fuzzy Blanket, Fluffy Comfy Warm Heavy Throws, Comfort Caring Gift, 50x60 inches, Stella")</f>
        <v/>
      </c>
      <c r="C1897" t="inlineStr">
        <is>
          <t>1CTBF300STL</t>
        </is>
      </c>
      <c r="D1897" t="inlineStr">
        <is>
          <t>Bedding</t>
        </is>
      </c>
      <c r="E1897" t="inlineStr">
        <is>
          <t>Throws</t>
        </is>
      </c>
      <c r="F1897" t="inlineStr">
        <is>
          <t>Catalonia</t>
        </is>
      </c>
      <c r="G1897" t="n">
        <v>0</v>
      </c>
      <c r="H1897" t="n">
        <v>0</v>
      </c>
      <c r="I1897" t="inlineStr">
        <is>
          <t>WFS,cost-added,WFS Item</t>
        </is>
      </c>
      <c r="J1897" s="29" t="n">
        <v>0</v>
      </c>
      <c r="K1897" s="30" t="n"/>
      <c r="L1897" s="29" t="n">
        <v>0</v>
      </c>
      <c r="M1897" s="29" t="n">
        <v>0</v>
      </c>
      <c r="N1897" s="2" t="n">
        <v>0</v>
      </c>
      <c r="O1897" s="31" t="n">
        <v>0</v>
      </c>
      <c r="P1897" s="32" t="n"/>
      <c r="Q1897" s="32" t="n">
        <v>0</v>
      </c>
      <c r="R1897" s="32" t="n">
        <v>0</v>
      </c>
      <c r="S1897" s="31" t="n">
        <v>0</v>
      </c>
      <c r="T1897" s="32" t="n">
        <v>0</v>
      </c>
      <c r="U1897" s="31" t="n">
        <v>0</v>
      </c>
      <c r="V1897" s="31" t="n">
        <v>0</v>
      </c>
      <c r="W1897" s="3" t="n">
        <v>0</v>
      </c>
      <c r="X1897" s="3" t="n">
        <v>0</v>
      </c>
      <c r="Y1897" s="32" t="n">
        <v>0</v>
      </c>
      <c r="Z1897" s="3" t="n">
        <v>0</v>
      </c>
      <c r="AA1897" s="32" t="n">
        <v>0</v>
      </c>
      <c r="AB1897" s="3" t="n"/>
      <c r="AC1897" s="31" t="n">
        <v>0</v>
      </c>
      <c r="AD1897" s="2" t="n">
        <v>0</v>
      </c>
      <c r="AE1897" s="2" t="n">
        <v>30</v>
      </c>
      <c r="AF1897" s="4" t="n">
        <v>30</v>
      </c>
      <c r="AG1897" s="33" t="n">
        <v>0</v>
      </c>
      <c r="AH1897" s="4" t="n">
        <v>0</v>
      </c>
      <c r="AI1897" s="34" t="n"/>
      <c r="AJ1897" s="34" t="n">
        <v>0</v>
      </c>
      <c r="AK1897" s="2" t="n">
        <v>0</v>
      </c>
      <c r="AL1897" t="inlineStr">
        <is>
          <t>Published</t>
        </is>
      </c>
    </row>
    <row r="1898">
      <c r="A1898">
        <f>HYPERLINK("https://www.walmart.com/ip/252128142", "252128142")</f>
        <v/>
      </c>
      <c r="B1898">
        <f>HYPERLINK("https://app.optiwise.ai/catalog/itemdetails/360529", "Sherpa Slipper Socks for Women,Winter Indoor Home Non Skid Booties")</f>
        <v/>
      </c>
      <c r="C1898" t="inlineStr">
        <is>
          <t>1CTST200BK-1</t>
        </is>
      </c>
      <c r="D1898" t="inlineStr">
        <is>
          <t>Clothing</t>
        </is>
      </c>
      <c r="E1898" t="inlineStr">
        <is>
          <t>Socks</t>
        </is>
      </c>
      <c r="F1898" t="inlineStr">
        <is>
          <t>Catalonia</t>
        </is>
      </c>
      <c r="G1898" t="n">
        <v>0</v>
      </c>
      <c r="H1898" t="n">
        <v>0</v>
      </c>
      <c r="I1898" t="inlineStr">
        <is>
          <t>WFS,WFS Item</t>
        </is>
      </c>
      <c r="J1898" s="29" t="n">
        <v>0</v>
      </c>
      <c r="K1898" s="30" t="n"/>
      <c r="L1898" s="29" t="n">
        <v>0</v>
      </c>
      <c r="M1898" s="29" t="n">
        <v>0</v>
      </c>
      <c r="N1898" s="2" t="n">
        <v>0</v>
      </c>
      <c r="O1898" s="31" t="n">
        <v>0</v>
      </c>
      <c r="P1898" s="32" t="n"/>
      <c r="Q1898" s="32" t="n">
        <v>0</v>
      </c>
      <c r="R1898" s="32" t="n">
        <v>0</v>
      </c>
      <c r="S1898" s="31" t="n">
        <v>0</v>
      </c>
      <c r="T1898" s="32" t="n">
        <v>0</v>
      </c>
      <c r="U1898" s="31" t="n">
        <v>0</v>
      </c>
      <c r="V1898" s="31" t="n">
        <v>0</v>
      </c>
      <c r="W1898" s="3" t="n">
        <v>0</v>
      </c>
      <c r="X1898" s="3" t="n">
        <v>0</v>
      </c>
      <c r="Y1898" s="32" t="n">
        <v>0</v>
      </c>
      <c r="Z1898" s="3" t="n">
        <v>0</v>
      </c>
      <c r="AA1898" s="32" t="n">
        <v>0</v>
      </c>
      <c r="AB1898" s="3" t="n"/>
      <c r="AC1898" s="31" t="n">
        <v>0</v>
      </c>
      <c r="AD1898" s="2" t="n">
        <v>0</v>
      </c>
      <c r="AE1898" s="2" t="n">
        <v>14</v>
      </c>
      <c r="AF1898" s="4" t="n">
        <v>14</v>
      </c>
      <c r="AG1898" s="33" t="n">
        <v>0</v>
      </c>
      <c r="AH1898" s="4" t="n">
        <v>0</v>
      </c>
      <c r="AI1898" s="34" t="n"/>
      <c r="AJ1898" s="34" t="n">
        <v>0</v>
      </c>
      <c r="AK1898" s="2" t="n">
        <v>0</v>
      </c>
      <c r="AL1898" t="inlineStr">
        <is>
          <t>Published</t>
        </is>
      </c>
    </row>
    <row r="1899">
      <c r="A1899">
        <f>HYPERLINK("https://www.walmart.com/ip/122909870", "122909870")</f>
        <v/>
      </c>
      <c r="B1899">
        <f>HYPERLINK("https://app.optiwise.ai/catalog/itemdetails/360468", "KC Caps Unisex Adjustable Snap Closure USA Flag Embroidered Cap Hat")</f>
        <v/>
      </c>
      <c r="C1899" t="inlineStr">
        <is>
          <t>kc-ae-6100-rd</t>
        </is>
      </c>
      <c r="D1899" t="inlineStr">
        <is>
          <t>Clothing</t>
        </is>
      </c>
      <c r="E1899" t="inlineStr">
        <is>
          <t>Hats</t>
        </is>
      </c>
      <c r="F1899" t="inlineStr">
        <is>
          <t>KC Caps</t>
        </is>
      </c>
      <c r="G1899" t="n">
        <v>0</v>
      </c>
      <c r="H1899" t="n">
        <v>0</v>
      </c>
      <c r="I1899" t="inlineStr">
        <is>
          <t>Optimized</t>
        </is>
      </c>
      <c r="J1899" s="29" t="n">
        <v>0</v>
      </c>
      <c r="K1899" s="30" t="n"/>
      <c r="L1899" s="29" t="n">
        <v>0</v>
      </c>
      <c r="M1899" s="29" t="n">
        <v>0</v>
      </c>
      <c r="N1899" s="2" t="n">
        <v>0</v>
      </c>
      <c r="O1899" s="31" t="n">
        <v>0</v>
      </c>
      <c r="P1899" s="32" t="n"/>
      <c r="Q1899" s="32" t="n">
        <v>0</v>
      </c>
      <c r="R1899" s="32" t="n">
        <v>0</v>
      </c>
      <c r="S1899" s="31" t="n">
        <v>0</v>
      </c>
      <c r="T1899" s="32" t="n">
        <v>0</v>
      </c>
      <c r="U1899" s="31" t="n">
        <v>0</v>
      </c>
      <c r="V1899" s="31" t="n">
        <v>0</v>
      </c>
      <c r="W1899" s="3" t="n">
        <v>0</v>
      </c>
      <c r="X1899" s="3" t="n">
        <v>0</v>
      </c>
      <c r="Y1899" s="32" t="n">
        <v>0</v>
      </c>
      <c r="Z1899" s="3" t="n">
        <v>0</v>
      </c>
      <c r="AA1899" s="32" t="n">
        <v>0</v>
      </c>
      <c r="AB1899" s="3" t="n"/>
      <c r="AC1899" s="31" t="n">
        <v>0</v>
      </c>
      <c r="AD1899" s="2" t="n">
        <v>0</v>
      </c>
      <c r="AE1899" s="2" t="n">
        <v>1</v>
      </c>
      <c r="AF1899" s="4" t="n">
        <v>1</v>
      </c>
      <c r="AG1899" s="33" t="n">
        <v>0</v>
      </c>
      <c r="AH1899" s="4" t="n">
        <v>0</v>
      </c>
      <c r="AI1899" s="34" t="n"/>
      <c r="AJ1899" s="34" t="n">
        <v>0</v>
      </c>
      <c r="AK1899" s="2" t="n">
        <v>0</v>
      </c>
      <c r="AL1899" t="inlineStr">
        <is>
          <t>Published</t>
        </is>
      </c>
    </row>
    <row r="1900">
      <c r="A1900">
        <f>HYPERLINK("https://www.walmart.com/ip/128704352", "128704352")</f>
        <v/>
      </c>
      <c r="B1900">
        <f>HYPERLINK("https://app.optiwise.ai/catalog/itemdetails/360528", "KC Caps Fleece Shawl Wrap Scarf with Pockets, Cozy and Beanie Hats Set, Adult Women Men, 1.87 lbs")</f>
        <v/>
      </c>
      <c r="C1900" t="inlineStr">
        <is>
          <t>KC-W1810-W1850-CHT</t>
        </is>
      </c>
      <c r="D1900" t="inlineStr">
        <is>
          <t>Clothing</t>
        </is>
      </c>
      <c r="E1900" t="inlineStr">
        <is>
          <t>Scarves</t>
        </is>
      </c>
      <c r="F1900" t="inlineStr">
        <is>
          <t>KC Caps</t>
        </is>
      </c>
      <c r="G1900" t="n">
        <v>0</v>
      </c>
      <c r="H1900" t="n">
        <v>0</v>
      </c>
      <c r="I1900" t="inlineStr">
        <is>
          <t>Batch 1 - TR</t>
        </is>
      </c>
      <c r="J1900" s="29" t="n">
        <v>0</v>
      </c>
      <c r="K1900" s="30" t="n"/>
      <c r="L1900" s="29" t="n">
        <v>104.7000045776367</v>
      </c>
      <c r="M1900" s="29" t="n">
        <v>0</v>
      </c>
      <c r="N1900" s="2" t="n">
        <v>0</v>
      </c>
      <c r="O1900" s="31" t="n">
        <v>0</v>
      </c>
      <c r="P1900" s="32" t="n"/>
      <c r="Q1900" s="32" t="n">
        <v>0</v>
      </c>
      <c r="R1900" s="32" t="n">
        <v>0</v>
      </c>
      <c r="S1900" s="31" t="n">
        <v>0</v>
      </c>
      <c r="T1900" s="32" t="n">
        <v>0</v>
      </c>
      <c r="U1900" s="31" t="n">
        <v>0</v>
      </c>
      <c r="V1900" s="31" t="n">
        <v>0</v>
      </c>
      <c r="W1900" s="3" t="n">
        <v>0</v>
      </c>
      <c r="X1900" s="3" t="n">
        <v>0</v>
      </c>
      <c r="Y1900" s="32" t="n">
        <v>0</v>
      </c>
      <c r="Z1900" s="3" t="n">
        <v>0</v>
      </c>
      <c r="AA1900" s="32" t="n">
        <v>0</v>
      </c>
      <c r="AB1900" s="3" t="n"/>
      <c r="AC1900" s="31" t="n">
        <v>0</v>
      </c>
      <c r="AD1900" s="2" t="n">
        <v>8</v>
      </c>
      <c r="AE1900" s="2" t="n">
        <v>22</v>
      </c>
      <c r="AF1900" s="4" t="n">
        <v>22</v>
      </c>
      <c r="AG1900" s="33" t="n">
        <v>0</v>
      </c>
      <c r="AH1900" s="4" t="n">
        <v>0</v>
      </c>
      <c r="AI1900" s="34" t="n"/>
      <c r="AJ1900" s="34" t="n">
        <v>0</v>
      </c>
      <c r="AK1900" s="2" t="n">
        <v>0</v>
      </c>
      <c r="AL1900" t="inlineStr">
        <is>
          <t>Published</t>
        </is>
      </c>
    </row>
    <row r="1901">
      <c r="A1901">
        <f>HYPERLINK("https://www.walmart.com/ip/912169867", "912169867")</f>
        <v/>
      </c>
      <c r="B1901">
        <f>HYPERLINK("https://app.optiwise.ai/catalog/itemdetails/360525", "UV Protection Fishing Hat, Wide Brim Sun Hats for Men Women Cooling Hat")</f>
        <v/>
      </c>
      <c r="C1901" t="inlineStr">
        <is>
          <t>1WMCH100TN</t>
        </is>
      </c>
      <c r="D1901" t="inlineStr">
        <is>
          <t>Clothing</t>
        </is>
      </c>
      <c r="E1901" t="inlineStr">
        <is>
          <t>Hats</t>
        </is>
      </c>
      <c r="F1901" t="inlineStr">
        <is>
          <t>Flyingstar</t>
        </is>
      </c>
      <c r="G1901" t="n">
        <v>4.7</v>
      </c>
      <c r="H1901" t="n">
        <v>12</v>
      </c>
      <c r="I1901" t="inlineStr">
        <is>
          <t>Optimized,Hats</t>
        </is>
      </c>
      <c r="J1901" s="29" t="n">
        <v>0</v>
      </c>
      <c r="K1901" s="30" t="n"/>
      <c r="L1901" s="29" t="n">
        <v>0</v>
      </c>
      <c r="M1901" s="29" t="n">
        <v>0</v>
      </c>
      <c r="N1901" s="2" t="n">
        <v>0</v>
      </c>
      <c r="O1901" s="31" t="n">
        <v>0</v>
      </c>
      <c r="P1901" s="32" t="n"/>
      <c r="Q1901" s="32" t="n">
        <v>0</v>
      </c>
      <c r="R1901" s="32" t="n">
        <v>0</v>
      </c>
      <c r="S1901" s="31" t="n">
        <v>0</v>
      </c>
      <c r="T1901" s="32" t="n">
        <v>0</v>
      </c>
      <c r="U1901" s="31" t="n">
        <v>0</v>
      </c>
      <c r="V1901" s="31" t="n">
        <v>0</v>
      </c>
      <c r="W1901" s="3" t="n">
        <v>0</v>
      </c>
      <c r="X1901" s="3" t="n">
        <v>0</v>
      </c>
      <c r="Y1901" s="32" t="n">
        <v>0</v>
      </c>
      <c r="Z1901" s="3" t="n">
        <v>0</v>
      </c>
      <c r="AA1901" s="32" t="n">
        <v>0</v>
      </c>
      <c r="AB1901" s="3" t="n"/>
      <c r="AC1901" s="31" t="n">
        <v>0</v>
      </c>
      <c r="AD1901" s="2" t="n">
        <v>0</v>
      </c>
      <c r="AE1901" s="2" t="n">
        <v>17</v>
      </c>
      <c r="AF1901" s="4" t="n">
        <v>17</v>
      </c>
      <c r="AG1901" s="33" t="n">
        <v>0</v>
      </c>
      <c r="AH1901" s="4" t="n">
        <v>0</v>
      </c>
      <c r="AI1901" s="34" t="n"/>
      <c r="AJ1901" s="34" t="n">
        <v>0</v>
      </c>
      <c r="AK1901" s="2" t="n">
        <v>0</v>
      </c>
      <c r="AL1901" t="inlineStr">
        <is>
          <t>Published</t>
        </is>
      </c>
    </row>
    <row r="1902">
      <c r="A1902">
        <f>HYPERLINK("https://www.walmart.com/ip/281280916", "281280916")</f>
        <v/>
      </c>
      <c r="B1902">
        <f>HYPERLINK("https://app.optiwise.ai/catalog/itemdetails/360516", "Sherpa Throw Blanket Fleece, Super Cozy Warm TV Blankets for Bed or Couch Reversible 50 x 60")</f>
        <v/>
      </c>
      <c r="C1902" t="inlineStr">
        <is>
          <t>1TNBF300BR-TPB</t>
        </is>
      </c>
      <c r="D1902" t="inlineStr">
        <is>
          <t>Bedding</t>
        </is>
      </c>
      <c r="E1902" t="inlineStr">
        <is>
          <t>Throws</t>
        </is>
      </c>
      <c r="F1902" t="inlineStr">
        <is>
          <t>Tirrinia</t>
        </is>
      </c>
      <c r="G1902" t="n">
        <v>4</v>
      </c>
      <c r="H1902" t="n">
        <v>3</v>
      </c>
      <c r="J1902" s="29" t="n">
        <v>0</v>
      </c>
      <c r="K1902" s="30" t="n"/>
      <c r="L1902" s="29" t="n">
        <v>0</v>
      </c>
      <c r="M1902" s="29" t="n">
        <v>0</v>
      </c>
      <c r="N1902" s="2" t="n">
        <v>0</v>
      </c>
      <c r="O1902" s="31" t="n">
        <v>0</v>
      </c>
      <c r="P1902" s="32" t="n"/>
      <c r="Q1902" s="32" t="n">
        <v>0</v>
      </c>
      <c r="R1902" s="32" t="n">
        <v>0</v>
      </c>
      <c r="S1902" s="31" t="n">
        <v>0</v>
      </c>
      <c r="T1902" s="32" t="n">
        <v>0</v>
      </c>
      <c r="U1902" s="31" t="n">
        <v>0</v>
      </c>
      <c r="V1902" s="31" t="n">
        <v>0</v>
      </c>
      <c r="W1902" s="3" t="n">
        <v>0</v>
      </c>
      <c r="X1902" s="3" t="n">
        <v>0</v>
      </c>
      <c r="Y1902" s="32" t="n">
        <v>0</v>
      </c>
      <c r="Z1902" s="3" t="n">
        <v>0</v>
      </c>
      <c r="AA1902" s="32" t="n">
        <v>0</v>
      </c>
      <c r="AB1902" s="3" t="n"/>
      <c r="AC1902" s="31" t="n">
        <v>0</v>
      </c>
      <c r="AD1902" s="2" t="n">
        <v>0</v>
      </c>
      <c r="AE1902" s="2" t="n">
        <v>9</v>
      </c>
      <c r="AF1902" s="4" t="n">
        <v>9</v>
      </c>
      <c r="AG1902" s="33" t="n">
        <v>0</v>
      </c>
      <c r="AH1902" s="4" t="n">
        <v>0</v>
      </c>
      <c r="AI1902" s="34" t="n"/>
      <c r="AJ1902" s="34" t="n">
        <v>0</v>
      </c>
      <c r="AK1902" s="2" t="n">
        <v>0</v>
      </c>
      <c r="AL1902" t="inlineStr">
        <is>
          <t>Published</t>
        </is>
      </c>
    </row>
    <row r="1903">
      <c r="A1903">
        <f>HYPERLINK("https://www.walmart.com/ip/638255663", "638255663")</f>
        <v/>
      </c>
      <c r="B1903">
        <f>HYPERLINK("https://app.optiwise.ai/catalog/itemdetails/360511", "Terra Men Boxer Brief Underwear Best 3 Pack Most Comfortable Cotton Trunk Short")</f>
        <v/>
      </c>
      <c r="C1903" t="inlineStr">
        <is>
          <t>TERRA-BOXER3-M</t>
        </is>
      </c>
      <c r="D1903" t="inlineStr">
        <is>
          <t>Clothing</t>
        </is>
      </c>
      <c r="E1903" t="inlineStr">
        <is>
          <t>Underpants</t>
        </is>
      </c>
      <c r="F1903" t="inlineStr">
        <is>
          <t>Terra</t>
        </is>
      </c>
      <c r="G1903" t="n">
        <v>0</v>
      </c>
      <c r="H1903" t="n">
        <v>0</v>
      </c>
      <c r="I1903" t="inlineStr">
        <is>
          <t>Batch 1 - TR</t>
        </is>
      </c>
      <c r="J1903" s="29" t="n">
        <v>0</v>
      </c>
      <c r="K1903" s="30" t="n"/>
      <c r="L1903" s="29" t="n">
        <v>0</v>
      </c>
      <c r="M1903" s="29" t="n">
        <v>0</v>
      </c>
      <c r="N1903" s="2" t="n">
        <v>0</v>
      </c>
      <c r="O1903" s="31" t="n">
        <v>0</v>
      </c>
      <c r="P1903" s="32" t="n"/>
      <c r="Q1903" s="32" t="n">
        <v>0</v>
      </c>
      <c r="R1903" s="32" t="n">
        <v>0</v>
      </c>
      <c r="S1903" s="31" t="n">
        <v>0</v>
      </c>
      <c r="T1903" s="32" t="n">
        <v>0</v>
      </c>
      <c r="U1903" s="31" t="n">
        <v>0</v>
      </c>
      <c r="V1903" s="31" t="n">
        <v>0</v>
      </c>
      <c r="W1903" s="3" t="n">
        <v>0</v>
      </c>
      <c r="X1903" s="3" t="n">
        <v>0</v>
      </c>
      <c r="Y1903" s="32" t="n">
        <v>0</v>
      </c>
      <c r="Z1903" s="3" t="n">
        <v>0</v>
      </c>
      <c r="AA1903" s="32" t="n">
        <v>0</v>
      </c>
      <c r="AB1903" s="3" t="n"/>
      <c r="AC1903" s="31" t="n">
        <v>0</v>
      </c>
      <c r="AD1903" s="2" t="n">
        <v>0</v>
      </c>
      <c r="AE1903" s="2" t="n">
        <v>19</v>
      </c>
      <c r="AF1903" s="4" t="n">
        <v>19</v>
      </c>
      <c r="AG1903" s="33" t="n">
        <v>0</v>
      </c>
      <c r="AH1903" s="4" t="n">
        <v>0</v>
      </c>
      <c r="AI1903" s="34" t="n"/>
      <c r="AJ1903" s="34" t="n">
        <v>0</v>
      </c>
      <c r="AK1903" s="2" t="n">
        <v>0</v>
      </c>
      <c r="AL1903" t="inlineStr">
        <is>
          <t>Published</t>
        </is>
      </c>
    </row>
    <row r="1904">
      <c r="A1904">
        <f>HYPERLINK("https://www.walmart.com/ip/212399897", "212399897")</f>
        <v/>
      </c>
      <c r="B1904">
        <f>HYPERLINK("https://app.optiwise.ai/catalog/itemdetails/360506", "Luxury Sherpa Knit Throw Blanket 50 x 60, Home Decorative Blanket for Sofa Couch Chair All Season TV Blanket | Super Soft, Warm, Waffle Weave Knit | Catalonia series by Tirrinia, Blue")</f>
        <v/>
      </c>
      <c r="C1904" t="inlineStr">
        <is>
          <t>1TRBN300BL-TBCB</t>
        </is>
      </c>
      <c r="D1904" t="inlineStr">
        <is>
          <t>Bedding</t>
        </is>
      </c>
      <c r="E1904" t="inlineStr">
        <is>
          <t>Throws</t>
        </is>
      </c>
      <c r="F1904" t="inlineStr">
        <is>
          <t>Tirrinia</t>
        </is>
      </c>
      <c r="G1904" t="n">
        <v>0</v>
      </c>
      <c r="H1904" t="n">
        <v>0</v>
      </c>
      <c r="I1904" t="inlineStr">
        <is>
          <t>Batch 1 - TR</t>
        </is>
      </c>
      <c r="J1904" s="29" t="n">
        <v>0</v>
      </c>
      <c r="K1904" s="30" t="n"/>
      <c r="L1904" s="29" t="n">
        <v>0</v>
      </c>
      <c r="M1904" s="29" t="n">
        <v>0</v>
      </c>
      <c r="N1904" s="2" t="n">
        <v>0</v>
      </c>
      <c r="O1904" s="31" t="n">
        <v>0</v>
      </c>
      <c r="P1904" s="32" t="n"/>
      <c r="Q1904" s="32" t="n">
        <v>0</v>
      </c>
      <c r="R1904" s="32" t="n">
        <v>0</v>
      </c>
      <c r="S1904" s="31" t="n">
        <v>0</v>
      </c>
      <c r="T1904" s="32" t="n">
        <v>0</v>
      </c>
      <c r="U1904" s="31" t="n">
        <v>0</v>
      </c>
      <c r="V1904" s="31" t="n">
        <v>0</v>
      </c>
      <c r="W1904" s="3" t="n">
        <v>0</v>
      </c>
      <c r="X1904" s="3" t="n">
        <v>0</v>
      </c>
      <c r="Y1904" s="32" t="n">
        <v>0</v>
      </c>
      <c r="Z1904" s="3" t="n">
        <v>0</v>
      </c>
      <c r="AA1904" s="32" t="n">
        <v>0</v>
      </c>
      <c r="AB1904" s="3" t="n"/>
      <c r="AC1904" s="31" t="n">
        <v>0</v>
      </c>
      <c r="AD1904" s="2" t="n">
        <v>0</v>
      </c>
      <c r="AE1904" s="2" t="n">
        <v>18</v>
      </c>
      <c r="AF1904" s="4" t="n">
        <v>18</v>
      </c>
      <c r="AG1904" s="33" t="n">
        <v>0</v>
      </c>
      <c r="AH1904" s="4" t="n">
        <v>0</v>
      </c>
      <c r="AI1904" s="34" t="n"/>
      <c r="AJ1904" s="34" t="n">
        <v>0</v>
      </c>
      <c r="AK1904" s="2" t="n">
        <v>0</v>
      </c>
      <c r="AL1904" t="inlineStr">
        <is>
          <t>Published</t>
        </is>
      </c>
    </row>
    <row r="1905">
      <c r="A1905">
        <f>HYPERLINK("https://www.walmart.com/ip/306725543", "306725543")</f>
        <v/>
      </c>
      <c r="B1905">
        <f>HYPERLINK("https://app.optiwise.ai/catalog/itemdetails/360492", "Catalonia Snowman Sherpa Throw Blanket, Super Soft Fleece Plush Sofa Couch Blanket, TV Bed Blanket, Comfy Cozy Fluffy Warm, Christmas Theme Throws, Holiday Gift( 50x60 inch, Grey)")</f>
        <v/>
      </c>
      <c r="C1905" t="inlineStr">
        <is>
          <t>1CTBF571SNOWMAN</t>
        </is>
      </c>
      <c r="D1905" t="inlineStr">
        <is>
          <t>Bedding</t>
        </is>
      </c>
      <c r="E1905" t="inlineStr">
        <is>
          <t>Throws</t>
        </is>
      </c>
      <c r="F1905" t="inlineStr">
        <is>
          <t>Catalonia</t>
        </is>
      </c>
      <c r="G1905" t="n">
        <v>4.9</v>
      </c>
      <c r="H1905" t="n">
        <v>12</v>
      </c>
      <c r="I1905" t="inlineStr">
        <is>
          <t>Christmas,Optimized,Hero 5 Holidays</t>
        </is>
      </c>
      <c r="J1905" s="29" t="n">
        <v>0</v>
      </c>
      <c r="K1905" s="30" t="n"/>
      <c r="L1905" s="29" t="n">
        <v>0</v>
      </c>
      <c r="M1905" s="29" t="n">
        <v>0</v>
      </c>
      <c r="N1905" s="2" t="n">
        <v>0</v>
      </c>
      <c r="O1905" s="31" t="n">
        <v>0.41</v>
      </c>
      <c r="P1905" s="32" t="n"/>
      <c r="Q1905" s="32" t="n">
        <v>0</v>
      </c>
      <c r="R1905" s="32" t="n">
        <v>1.319</v>
      </c>
      <c r="S1905" s="31" t="n">
        <v>0</v>
      </c>
      <c r="T1905" s="32" t="n">
        <v>0</v>
      </c>
      <c r="U1905" s="31" t="n">
        <v>0</v>
      </c>
      <c r="V1905" s="31" t="n">
        <v>0</v>
      </c>
      <c r="W1905" s="3" t="n">
        <v>348</v>
      </c>
      <c r="X1905" s="3" t="n">
        <v>1</v>
      </c>
      <c r="Y1905" s="32" t="n">
        <v>0.0029</v>
      </c>
      <c r="Z1905" s="3" t="n">
        <v>0</v>
      </c>
      <c r="AA1905" s="32" t="n">
        <v>0</v>
      </c>
      <c r="AB1905" s="3" t="inlineStr">
        <is>
          <t>Christmas Products_Optiwise,Top Selling Last Year 2023</t>
        </is>
      </c>
      <c r="AC1905" s="31" t="n">
        <v>0.41</v>
      </c>
      <c r="AD1905" s="2" t="n">
        <v>44</v>
      </c>
      <c r="AE1905" s="2" t="n">
        <v>28</v>
      </c>
      <c r="AF1905" s="4" t="n">
        <v>27</v>
      </c>
      <c r="AG1905" s="33" t="n">
        <v>0</v>
      </c>
      <c r="AH1905" s="4" t="n">
        <v>0</v>
      </c>
      <c r="AI1905" s="34" t="n"/>
      <c r="AJ1905" s="34" t="n">
        <v>0</v>
      </c>
      <c r="AK1905" s="2" t="n">
        <v>0</v>
      </c>
      <c r="AL1905" t="inlineStr">
        <is>
          <t>Published</t>
        </is>
      </c>
    </row>
    <row r="1906">
      <c r="A1906">
        <f>HYPERLINK("https://www.walmart.com/ip/205303820", "205303820")</f>
        <v/>
      </c>
      <c r="B1906">
        <f>HYPERLINK("https://app.optiwise.ai/catalog/itemdetails/360488", "Pawsse Dog Cat Puppy Snuggle Blanket Plush Sherpa Micro Fleece Pet Throws Cushion Mat for Small Animals, 60'' x 50'', Wine")</f>
        <v/>
      </c>
      <c r="C1906" t="inlineStr">
        <is>
          <t>1PSBF560WNLT</t>
        </is>
      </c>
      <c r="D1906" t="inlineStr">
        <is>
          <t>Animal Accessories</t>
        </is>
      </c>
      <c r="E1906" t="inlineStr">
        <is>
          <t>Pet Blankets</t>
        </is>
      </c>
      <c r="F1906" t="inlineStr">
        <is>
          <t>Pawsse</t>
        </is>
      </c>
      <c r="G1906" t="n">
        <v>5</v>
      </c>
      <c r="H1906" t="n">
        <v>4</v>
      </c>
      <c r="I1906" t="inlineStr">
        <is>
          <t>Batch 1 - TR</t>
        </is>
      </c>
      <c r="J1906" s="29" t="n">
        <v>0</v>
      </c>
      <c r="K1906" s="30" t="n"/>
      <c r="L1906" s="29" t="n">
        <v>0</v>
      </c>
      <c r="M1906" s="29" t="n">
        <v>0</v>
      </c>
      <c r="N1906" s="2" t="n">
        <v>0</v>
      </c>
      <c r="O1906" s="31" t="n">
        <v>0</v>
      </c>
      <c r="P1906" s="32" t="n"/>
      <c r="Q1906" s="32" t="n">
        <v>0</v>
      </c>
      <c r="R1906" s="32" t="n">
        <v>0</v>
      </c>
      <c r="S1906" s="31" t="n">
        <v>0</v>
      </c>
      <c r="T1906" s="32" t="n">
        <v>0</v>
      </c>
      <c r="U1906" s="31" t="n">
        <v>0</v>
      </c>
      <c r="V1906" s="31" t="n">
        <v>0</v>
      </c>
      <c r="W1906" s="3" t="n">
        <v>0</v>
      </c>
      <c r="X1906" s="3" t="n">
        <v>0</v>
      </c>
      <c r="Y1906" s="32" t="n">
        <v>0</v>
      </c>
      <c r="Z1906" s="3" t="n">
        <v>0</v>
      </c>
      <c r="AA1906" s="32" t="n">
        <v>0</v>
      </c>
      <c r="AB1906" s="3" t="n"/>
      <c r="AC1906" s="31" t="n">
        <v>0</v>
      </c>
      <c r="AD1906" s="2" t="n">
        <v>0</v>
      </c>
      <c r="AE1906" s="2" t="n">
        <v>8</v>
      </c>
      <c r="AF1906" s="4" t="n">
        <v>8</v>
      </c>
      <c r="AG1906" s="33" t="n">
        <v>0</v>
      </c>
      <c r="AH1906" s="4" t="n">
        <v>0</v>
      </c>
      <c r="AI1906" s="34" t="n"/>
      <c r="AJ1906" s="34" t="n">
        <v>0</v>
      </c>
      <c r="AK1906" s="2" t="n">
        <v>0</v>
      </c>
      <c r="AL1906" t="inlineStr">
        <is>
          <t>Published</t>
        </is>
      </c>
    </row>
    <row r="1907">
      <c r="A1907">
        <f>HYPERLINK("https://www.walmart.com/ip/945452259", "945452259")</f>
        <v/>
      </c>
      <c r="B1907">
        <f>HYPERLINK("https://app.optiwise.ai/catalog/itemdetails/360475", "Tirrinia Pressure Pump Opener Set Corkscrew, Foil Cutter, Wine Pourer, Vacuum Stopper, Gray")</f>
        <v/>
      </c>
      <c r="C1907" t="inlineStr">
        <is>
          <t>1KTWO400GY</t>
        </is>
      </c>
      <c r="D1907" t="inlineStr">
        <is>
          <t>Home Decor, Kitchen, &amp; Other</t>
        </is>
      </c>
      <c r="E1907" t="inlineStr">
        <is>
          <t>Barware Sets</t>
        </is>
      </c>
      <c r="F1907" t="inlineStr">
        <is>
          <t>Tirrinia</t>
        </is>
      </c>
      <c r="G1907" t="n">
        <v>0</v>
      </c>
      <c r="H1907" t="n">
        <v>0</v>
      </c>
      <c r="I1907" t="inlineStr">
        <is>
          <t>Wine,Christmas,Optimized,WFS,Wine WFS,Valentine,WFS Item</t>
        </is>
      </c>
      <c r="J1907" s="29" t="n">
        <v>0</v>
      </c>
      <c r="K1907" s="30" t="n"/>
      <c r="L1907" s="29" t="n">
        <v>0</v>
      </c>
      <c r="M1907" s="29" t="n">
        <v>0</v>
      </c>
      <c r="N1907" s="2" t="n">
        <v>0</v>
      </c>
      <c r="O1907" s="31" t="n">
        <v>0</v>
      </c>
      <c r="P1907" s="32" t="n"/>
      <c r="Q1907" s="32" t="n">
        <v>0</v>
      </c>
      <c r="R1907" s="32" t="n">
        <v>0</v>
      </c>
      <c r="S1907" s="31" t="n">
        <v>0</v>
      </c>
      <c r="T1907" s="32" t="n">
        <v>0</v>
      </c>
      <c r="U1907" s="31" t="n">
        <v>0</v>
      </c>
      <c r="V1907" s="31" t="n">
        <v>0</v>
      </c>
      <c r="W1907" s="3" t="n">
        <v>0</v>
      </c>
      <c r="X1907" s="3" t="n">
        <v>0</v>
      </c>
      <c r="Y1907" s="32" t="n">
        <v>0</v>
      </c>
      <c r="Z1907" s="3" t="n">
        <v>0</v>
      </c>
      <c r="AA1907" s="32" t="n">
        <v>0</v>
      </c>
      <c r="AB1907" s="3" t="n"/>
      <c r="AC1907" s="31" t="n">
        <v>0</v>
      </c>
      <c r="AD1907" s="2" t="n">
        <v>0</v>
      </c>
      <c r="AE1907" s="2" t="n">
        <v>0</v>
      </c>
      <c r="AF1907" s="4" t="n">
        <v>0</v>
      </c>
      <c r="AG1907" s="33" t="n">
        <v>0</v>
      </c>
      <c r="AH1907" s="4" t="n">
        <v>0</v>
      </c>
      <c r="AI1907" s="34" t="n"/>
      <c r="AJ1907" s="34" t="n">
        <v>0</v>
      </c>
      <c r="AK1907" s="2" t="n">
        <v>0</v>
      </c>
      <c r="AL1907" t="inlineStr">
        <is>
          <t>Published</t>
        </is>
      </c>
    </row>
    <row r="1908">
      <c r="A1908">
        <f>HYPERLINK("https://www.walmart.com/ip/614230216", "614230216")</f>
        <v/>
      </c>
      <c r="B1908">
        <f>HYPERLINK("https://app.optiwise.ai/catalog/itemdetails/360473", "Jennis Women's Sexy Lace Nightgown Sleepwear Bathrobe 2 Piece Set ( XXXL=US 12-14 )")</f>
        <v/>
      </c>
      <c r="C1908" t="inlineStr">
        <is>
          <t>JWRS02RD-3XL</t>
        </is>
      </c>
      <c r="D1908" t="inlineStr">
        <is>
          <t>Clothing</t>
        </is>
      </c>
      <c r="E1908" t="inlineStr">
        <is>
          <t>Nightgowns &amp; Sleepshirts</t>
        </is>
      </c>
      <c r="F1908" t="inlineStr">
        <is>
          <t>JenniWears</t>
        </is>
      </c>
      <c r="G1908" t="n">
        <v>0</v>
      </c>
      <c r="H1908" t="n">
        <v>0</v>
      </c>
      <c r="I1908" t="inlineStr">
        <is>
          <t>Optimized,Valentine,Bathrobe</t>
        </is>
      </c>
      <c r="J1908" s="29" t="n">
        <v>0</v>
      </c>
      <c r="K1908" s="30" t="n"/>
      <c r="L1908" s="29" t="n">
        <v>0</v>
      </c>
      <c r="M1908" s="29" t="n">
        <v>0</v>
      </c>
      <c r="N1908" s="2" t="n">
        <v>0</v>
      </c>
      <c r="O1908" s="31" t="n">
        <v>0</v>
      </c>
      <c r="P1908" s="32" t="n"/>
      <c r="Q1908" s="32" t="n">
        <v>0</v>
      </c>
      <c r="R1908" s="32" t="n">
        <v>0</v>
      </c>
      <c r="S1908" s="31" t="n">
        <v>0</v>
      </c>
      <c r="T1908" s="32" t="n">
        <v>0</v>
      </c>
      <c r="U1908" s="31" t="n">
        <v>0</v>
      </c>
      <c r="V1908" s="31" t="n">
        <v>0</v>
      </c>
      <c r="W1908" s="3" t="n">
        <v>0</v>
      </c>
      <c r="X1908" s="3" t="n">
        <v>0</v>
      </c>
      <c r="Y1908" s="32" t="n">
        <v>0</v>
      </c>
      <c r="Z1908" s="3" t="n">
        <v>0</v>
      </c>
      <c r="AA1908" s="32" t="n">
        <v>0</v>
      </c>
      <c r="AB1908" s="3" t="n"/>
      <c r="AC1908" s="31" t="n">
        <v>0</v>
      </c>
      <c r="AD1908" s="2" t="n">
        <v>0</v>
      </c>
      <c r="AE1908" s="2" t="n">
        <v>36</v>
      </c>
      <c r="AF1908" s="4" t="n">
        <v>36</v>
      </c>
      <c r="AG1908" s="33" t="n">
        <v>0</v>
      </c>
      <c r="AH1908" s="4" t="n">
        <v>0</v>
      </c>
      <c r="AI1908" s="34" t="n"/>
      <c r="AJ1908" s="34" t="n">
        <v>0</v>
      </c>
      <c r="AK1908" s="2" t="n">
        <v>0</v>
      </c>
      <c r="AL1908" t="inlineStr">
        <is>
          <t>Published</t>
        </is>
      </c>
    </row>
    <row r="1909">
      <c r="A1909">
        <f>HYPERLINK("https://www.walmart.com/ip/191815443", "191815443")</f>
        <v/>
      </c>
      <c r="B1909">
        <f>HYPERLINK("https://app.optiwise.ai/catalog/itemdetails/360471", "KC Caps® Unisex Cotton Baseball Cap Adjustable Plain Hat (21 Styles/Colors)")</f>
        <v/>
      </c>
      <c r="C1909" t="inlineStr">
        <is>
          <t>KC8010CRE</t>
        </is>
      </c>
      <c r="D1909" t="inlineStr">
        <is>
          <t>Clothing</t>
        </is>
      </c>
      <c r="E1909" t="inlineStr">
        <is>
          <t>Hats</t>
        </is>
      </c>
      <c r="F1909" t="inlineStr">
        <is>
          <t>KC Caps</t>
        </is>
      </c>
      <c r="G1909" t="n">
        <v>0</v>
      </c>
      <c r="H1909" t="n">
        <v>0</v>
      </c>
      <c r="I1909" t="inlineStr">
        <is>
          <t>Optimized</t>
        </is>
      </c>
      <c r="J1909" s="29" t="n">
        <v>0</v>
      </c>
      <c r="K1909" s="30" t="n"/>
      <c r="L1909" s="29" t="n">
        <v>0</v>
      </c>
      <c r="M1909" s="29" t="n">
        <v>0</v>
      </c>
      <c r="N1909" s="2" t="n">
        <v>0</v>
      </c>
      <c r="O1909" s="31" t="n">
        <v>0</v>
      </c>
      <c r="P1909" s="32" t="n"/>
      <c r="Q1909" s="32" t="n">
        <v>0</v>
      </c>
      <c r="R1909" s="32" t="n">
        <v>0</v>
      </c>
      <c r="S1909" s="31" t="n">
        <v>0</v>
      </c>
      <c r="T1909" s="32" t="n">
        <v>0</v>
      </c>
      <c r="U1909" s="31" t="n">
        <v>0</v>
      </c>
      <c r="V1909" s="31" t="n">
        <v>0</v>
      </c>
      <c r="W1909" s="3" t="n">
        <v>0</v>
      </c>
      <c r="X1909" s="3" t="n">
        <v>0</v>
      </c>
      <c r="Y1909" s="32" t="n">
        <v>0</v>
      </c>
      <c r="Z1909" s="3" t="n">
        <v>0</v>
      </c>
      <c r="AA1909" s="32" t="n">
        <v>0</v>
      </c>
      <c r="AB1909" s="3" t="n"/>
      <c r="AC1909" s="31" t="n">
        <v>0</v>
      </c>
      <c r="AD1909" s="2" t="n">
        <v>0</v>
      </c>
      <c r="AE1909" s="2" t="n">
        <v>1</v>
      </c>
      <c r="AF1909" s="4" t="n">
        <v>1</v>
      </c>
      <c r="AG1909" s="33" t="n">
        <v>0</v>
      </c>
      <c r="AH1909" s="4" t="n">
        <v>0</v>
      </c>
      <c r="AI1909" s="34" t="n"/>
      <c r="AJ1909" s="34" t="n">
        <v>0</v>
      </c>
      <c r="AK1909" s="2" t="n">
        <v>0</v>
      </c>
      <c r="AL1909" t="inlineStr">
        <is>
          <t>Published</t>
        </is>
      </c>
    </row>
    <row r="1910">
      <c r="A1910">
        <f>HYPERLINK("https://www.walmart.com/ip/135460967", "135460967")</f>
        <v/>
      </c>
      <c r="B1910">
        <f>HYPERLINK("https://app.optiwise.ai/catalog/itemdetails/360469", "Light up Sequin Fedora LED Hat Neon Rave Costumes Glow in Dark Party music concerts,night clubs,holiday,parties,festival")</f>
        <v/>
      </c>
      <c r="C1910" t="inlineStr">
        <is>
          <t>JWLEDHAT01-BL</t>
        </is>
      </c>
      <c r="D1910" t="inlineStr">
        <is>
          <t>Decorations &amp; Favors</t>
        </is>
      </c>
      <c r="E1910" t="inlineStr">
        <is>
          <t>Party Hats</t>
        </is>
      </c>
      <c r="F1910" t="inlineStr">
        <is>
          <t>JenniWears</t>
        </is>
      </c>
      <c r="G1910" t="n">
        <v>5</v>
      </c>
      <c r="H1910" t="n">
        <v>2</v>
      </c>
      <c r="I1910" t="inlineStr">
        <is>
          <t>Halloween</t>
        </is>
      </c>
      <c r="J1910" s="29" t="n">
        <v>0</v>
      </c>
      <c r="K1910" s="30" t="n"/>
      <c r="L1910" s="29" t="n">
        <v>0</v>
      </c>
      <c r="M1910" s="29" t="n">
        <v>0</v>
      </c>
      <c r="N1910" s="2" t="n">
        <v>0</v>
      </c>
      <c r="O1910" s="31" t="n">
        <v>0</v>
      </c>
      <c r="P1910" s="32" t="n"/>
      <c r="Q1910" s="32" t="n">
        <v>0</v>
      </c>
      <c r="R1910" s="32" t="n">
        <v>0</v>
      </c>
      <c r="S1910" s="31" t="n">
        <v>0</v>
      </c>
      <c r="T1910" s="32" t="n">
        <v>0</v>
      </c>
      <c r="U1910" s="31" t="n">
        <v>0</v>
      </c>
      <c r="V1910" s="31" t="n">
        <v>0</v>
      </c>
      <c r="W1910" s="3" t="n">
        <v>0</v>
      </c>
      <c r="X1910" s="3" t="n">
        <v>0</v>
      </c>
      <c r="Y1910" s="32" t="n">
        <v>0</v>
      </c>
      <c r="Z1910" s="3" t="n">
        <v>0</v>
      </c>
      <c r="AA1910" s="32" t="n">
        <v>0</v>
      </c>
      <c r="AB1910" s="3" t="n"/>
      <c r="AC1910" s="31" t="n">
        <v>0</v>
      </c>
      <c r="AD1910" s="2" t="n">
        <v>0</v>
      </c>
      <c r="AE1910" s="2" t="n">
        <v>5</v>
      </c>
      <c r="AF1910" s="4" t="n">
        <v>5</v>
      </c>
      <c r="AG1910" s="33" t="n">
        <v>0</v>
      </c>
      <c r="AH1910" s="4" t="n">
        <v>0</v>
      </c>
      <c r="AI1910" s="34" t="n"/>
      <c r="AJ1910" s="34" t="n">
        <v>0</v>
      </c>
      <c r="AK1910" s="2" t="n">
        <v>0</v>
      </c>
      <c r="AL1910" t="inlineStr">
        <is>
          <t>Published</t>
        </is>
      </c>
    </row>
    <row r="1911">
      <c r="A1911">
        <f>HYPERLINK("https://www.walmart.com/ip/348595969", "348595969")</f>
        <v/>
      </c>
      <c r="B1911">
        <f>HYPERLINK("https://app.optiwise.ai/catalog/itemdetails/360465", "KC Caps® Large 2 Pocket Bib Cooking Restaurant Kitchen Chef Apron Dress Canvas")</f>
        <v/>
      </c>
      <c r="C1911" t="inlineStr">
        <is>
          <t>KC-A9324-ROYAL</t>
        </is>
      </c>
      <c r="D1911" t="inlineStr">
        <is>
          <t>Home Decor, Kitchen, &amp; Other</t>
        </is>
      </c>
      <c r="E1911" t="inlineStr">
        <is>
          <t>Cooking Aprons</t>
        </is>
      </c>
      <c r="F1911" t="inlineStr">
        <is>
          <t>KC Caps</t>
        </is>
      </c>
      <c r="G1911" t="n">
        <v>0</v>
      </c>
      <c r="H1911" t="n">
        <v>0</v>
      </c>
      <c r="I1911" t="inlineStr">
        <is>
          <t>Batch 1 - TR</t>
        </is>
      </c>
      <c r="J1911" s="29" t="n">
        <v>0</v>
      </c>
      <c r="K1911" s="30" t="n"/>
      <c r="L1911" s="29" t="n">
        <v>0</v>
      </c>
      <c r="M1911" s="29" t="n">
        <v>0</v>
      </c>
      <c r="N1911" s="2" t="n">
        <v>0</v>
      </c>
      <c r="O1911" s="31" t="n">
        <v>0</v>
      </c>
      <c r="P1911" s="32" t="n"/>
      <c r="Q1911" s="32" t="n">
        <v>0</v>
      </c>
      <c r="R1911" s="32" t="n">
        <v>0</v>
      </c>
      <c r="S1911" s="31" t="n">
        <v>0</v>
      </c>
      <c r="T1911" s="32" t="n">
        <v>0</v>
      </c>
      <c r="U1911" s="31" t="n">
        <v>0</v>
      </c>
      <c r="V1911" s="31" t="n">
        <v>0</v>
      </c>
      <c r="W1911" s="3" t="n">
        <v>0</v>
      </c>
      <c r="X1911" s="3" t="n">
        <v>0</v>
      </c>
      <c r="Y1911" s="32" t="n">
        <v>0</v>
      </c>
      <c r="Z1911" s="3" t="n">
        <v>0</v>
      </c>
      <c r="AA1911" s="32" t="n">
        <v>0</v>
      </c>
      <c r="AB1911" s="3" t="n"/>
      <c r="AC1911" s="31" t="n">
        <v>0</v>
      </c>
      <c r="AD1911" s="2" t="n">
        <v>0</v>
      </c>
      <c r="AE1911" s="2" t="n">
        <v>4</v>
      </c>
      <c r="AF1911" s="4" t="n">
        <v>4</v>
      </c>
      <c r="AG1911" s="33" t="n">
        <v>0</v>
      </c>
      <c r="AH1911" s="4" t="n">
        <v>0</v>
      </c>
      <c r="AI1911" s="34" t="n"/>
      <c r="AJ1911" s="34" t="n">
        <v>0</v>
      </c>
      <c r="AK1911" s="2" t="n">
        <v>0</v>
      </c>
      <c r="AL1911" t="inlineStr">
        <is>
          <t>Published</t>
        </is>
      </c>
    </row>
    <row r="1912">
      <c r="A1912">
        <f>HYPERLINK("https://www.walmart.com/ip/382529532", "382529532")</f>
        <v/>
      </c>
      <c r="B1912">
        <f>HYPERLINK("https://app.optiwise.ai/catalog/itemdetails/360418", "Ski Gloves 3M Waterproof Insulated Winter Snow Mittens Gloves for Women &amp; Men Winter Sports")</f>
        <v/>
      </c>
      <c r="C1912" t="inlineStr">
        <is>
          <t>1SLWG300BLM</t>
        </is>
      </c>
      <c r="D1912" t="inlineStr">
        <is>
          <t>Clothing</t>
        </is>
      </c>
      <c r="E1912" t="inlineStr">
        <is>
          <t>Gloves &amp; Mittens</t>
        </is>
      </c>
      <c r="F1912" t="inlineStr">
        <is>
          <t>Solaris</t>
        </is>
      </c>
      <c r="G1912" t="n">
        <v>0</v>
      </c>
      <c r="H1912" t="n">
        <v>0</v>
      </c>
      <c r="I1912" t="inlineStr">
        <is>
          <t>WFS,WFS Item</t>
        </is>
      </c>
      <c r="J1912" s="29" t="n">
        <v>0</v>
      </c>
      <c r="K1912" s="30" t="n"/>
      <c r="L1912" s="29" t="n">
        <v>0</v>
      </c>
      <c r="M1912" s="29" t="n">
        <v>0</v>
      </c>
      <c r="N1912" s="2" t="n">
        <v>0</v>
      </c>
      <c r="O1912" s="31" t="n">
        <v>0</v>
      </c>
      <c r="P1912" s="32" t="n"/>
      <c r="Q1912" s="32" t="n">
        <v>0</v>
      </c>
      <c r="R1912" s="32" t="n">
        <v>0</v>
      </c>
      <c r="S1912" s="31" t="n">
        <v>0</v>
      </c>
      <c r="T1912" s="32" t="n">
        <v>0</v>
      </c>
      <c r="U1912" s="31" t="n">
        <v>0</v>
      </c>
      <c r="V1912" s="31" t="n">
        <v>0</v>
      </c>
      <c r="W1912" s="3" t="n">
        <v>0</v>
      </c>
      <c r="X1912" s="3" t="n">
        <v>0</v>
      </c>
      <c r="Y1912" s="32" t="n">
        <v>0</v>
      </c>
      <c r="Z1912" s="3" t="n">
        <v>0</v>
      </c>
      <c r="AA1912" s="32" t="n">
        <v>0</v>
      </c>
      <c r="AB1912" s="3" t="n"/>
      <c r="AC1912" s="31" t="n">
        <v>0</v>
      </c>
      <c r="AD1912" s="2" t="n">
        <v>0</v>
      </c>
      <c r="AE1912" s="2" t="n">
        <v>10</v>
      </c>
      <c r="AF1912" s="4" t="n">
        <v>10</v>
      </c>
      <c r="AG1912" s="33" t="n">
        <v>0</v>
      </c>
      <c r="AH1912" s="4" t="n">
        <v>0</v>
      </c>
      <c r="AI1912" s="34" t="n"/>
      <c r="AJ1912" s="34" t="n">
        <v>0</v>
      </c>
      <c r="AK1912" s="2" t="n">
        <v>0</v>
      </c>
      <c r="AL1912" t="inlineStr">
        <is>
          <t>Published</t>
        </is>
      </c>
    </row>
    <row r="1913">
      <c r="A1913">
        <f>HYPERLINK("https://www.walmart.com/ip/113714018", "113714018")</f>
        <v/>
      </c>
      <c r="B1913">
        <f>HYPERLINK("https://app.optiwise.ai/catalog/itemdetails/360450", "KC Caps® Unstructured Low-profile Two-Tone Denim Garment Washed Baseball Cap")</f>
        <v/>
      </c>
      <c r="C1913" t="inlineStr">
        <is>
          <t>KC8080JEANKK</t>
        </is>
      </c>
      <c r="D1913" t="inlineStr">
        <is>
          <t>Clothing</t>
        </is>
      </c>
      <c r="E1913" t="inlineStr">
        <is>
          <t>Hats</t>
        </is>
      </c>
      <c r="F1913" t="inlineStr">
        <is>
          <t>KC Caps</t>
        </is>
      </c>
      <c r="G1913" t="n">
        <v>0</v>
      </c>
      <c r="H1913" t="n">
        <v>0</v>
      </c>
      <c r="I1913" t="inlineStr">
        <is>
          <t>Optimized</t>
        </is>
      </c>
      <c r="J1913" s="29" t="n">
        <v>0</v>
      </c>
      <c r="K1913" s="30" t="n"/>
      <c r="L1913" s="29" t="n">
        <v>0</v>
      </c>
      <c r="M1913" s="29" t="n">
        <v>0</v>
      </c>
      <c r="N1913" s="2" t="n">
        <v>0</v>
      </c>
      <c r="O1913" s="31" t="n">
        <v>0</v>
      </c>
      <c r="P1913" s="32" t="n"/>
      <c r="Q1913" s="32" t="n">
        <v>0</v>
      </c>
      <c r="R1913" s="32" t="n">
        <v>0</v>
      </c>
      <c r="S1913" s="31" t="n">
        <v>0</v>
      </c>
      <c r="T1913" s="32" t="n">
        <v>0</v>
      </c>
      <c r="U1913" s="31" t="n">
        <v>0</v>
      </c>
      <c r="V1913" s="31" t="n">
        <v>0</v>
      </c>
      <c r="W1913" s="3" t="n">
        <v>0</v>
      </c>
      <c r="X1913" s="3" t="n">
        <v>0</v>
      </c>
      <c r="Y1913" s="32" t="n">
        <v>0</v>
      </c>
      <c r="Z1913" s="3" t="n">
        <v>0</v>
      </c>
      <c r="AA1913" s="32" t="n">
        <v>0</v>
      </c>
      <c r="AB1913" s="3" t="n"/>
      <c r="AC1913" s="31" t="n">
        <v>0</v>
      </c>
      <c r="AD1913" s="2" t="n">
        <v>0</v>
      </c>
      <c r="AE1913" s="2" t="n">
        <v>8</v>
      </c>
      <c r="AF1913" s="4" t="n">
        <v>8</v>
      </c>
      <c r="AG1913" s="33" t="n">
        <v>0</v>
      </c>
      <c r="AH1913" s="4" t="n">
        <v>0</v>
      </c>
      <c r="AI1913" s="34" t="n"/>
      <c r="AJ1913" s="34" t="n">
        <v>0</v>
      </c>
      <c r="AK1913" s="2" t="n">
        <v>0</v>
      </c>
      <c r="AL1913" t="inlineStr">
        <is>
          <t>Published</t>
        </is>
      </c>
    </row>
    <row r="1914">
      <c r="A1914">
        <f>HYPERLINK("https://www.walmart.com/ip/779483691", "779483691")</f>
        <v/>
      </c>
      <c r="B1914">
        <f>HYPERLINK("https://app.optiwise.ai/catalog/itemdetails/360448", "Sun Hat for Women, Summer Beach UPF 50+ Packable Wide Brim Bucket Hat, Line Stripe Pattern Design")</f>
        <v/>
      </c>
      <c r="C1914" t="inlineStr">
        <is>
          <t>TERRACAP-F065-BLK</t>
        </is>
      </c>
      <c r="D1914" t="inlineStr">
        <is>
          <t>Clothing</t>
        </is>
      </c>
      <c r="E1914" t="inlineStr">
        <is>
          <t>Hats</t>
        </is>
      </c>
      <c r="F1914" t="inlineStr">
        <is>
          <t>Terra</t>
        </is>
      </c>
      <c r="G1914" t="n">
        <v>1</v>
      </c>
      <c r="H1914" t="n">
        <v>1</v>
      </c>
      <c r="I1914" t="inlineStr">
        <is>
          <t>Optimized,Hats</t>
        </is>
      </c>
      <c r="J1914" s="29" t="n">
        <v>0</v>
      </c>
      <c r="K1914" s="30" t="n"/>
      <c r="L1914" s="29" t="n">
        <v>0</v>
      </c>
      <c r="M1914" s="29" t="n">
        <v>0</v>
      </c>
      <c r="N1914" s="2" t="n">
        <v>0</v>
      </c>
      <c r="O1914" s="31" t="n">
        <v>0</v>
      </c>
      <c r="P1914" s="32" t="n"/>
      <c r="Q1914" s="32" t="n">
        <v>0</v>
      </c>
      <c r="R1914" s="32" t="n">
        <v>0</v>
      </c>
      <c r="S1914" s="31" t="n">
        <v>0</v>
      </c>
      <c r="T1914" s="32" t="n">
        <v>0</v>
      </c>
      <c r="U1914" s="31" t="n">
        <v>0</v>
      </c>
      <c r="V1914" s="31" t="n">
        <v>0</v>
      </c>
      <c r="W1914" s="3" t="n">
        <v>0</v>
      </c>
      <c r="X1914" s="3" t="n">
        <v>0</v>
      </c>
      <c r="Y1914" s="32" t="n">
        <v>0</v>
      </c>
      <c r="Z1914" s="3" t="n">
        <v>0</v>
      </c>
      <c r="AA1914" s="32" t="n">
        <v>0</v>
      </c>
      <c r="AB1914" s="3" t="n"/>
      <c r="AC1914" s="31" t="n">
        <v>0</v>
      </c>
      <c r="AD1914" s="2" t="n">
        <v>0</v>
      </c>
      <c r="AE1914" s="2" t="n">
        <v>28</v>
      </c>
      <c r="AF1914" s="4" t="n">
        <v>28</v>
      </c>
      <c r="AG1914" s="33" t="n">
        <v>0</v>
      </c>
      <c r="AH1914" s="4" t="n">
        <v>0</v>
      </c>
      <c r="AI1914" s="34" t="n"/>
      <c r="AJ1914" s="34" t="n">
        <v>0</v>
      </c>
      <c r="AK1914" s="2" t="n">
        <v>0</v>
      </c>
      <c r="AL1914" t="inlineStr">
        <is>
          <t>Published</t>
        </is>
      </c>
    </row>
    <row r="1915">
      <c r="A1915">
        <f>HYPERLINK("https://www.walmart.com/ip/141299301", "141299301")</f>
        <v/>
      </c>
      <c r="B1915">
        <f>HYPERLINK("https://app.optiwise.ai/catalog/itemdetails/360445", "KC Caps Vintage Style Cotton Gatsby Ivy Newsboy Hat Cap")</f>
        <v/>
      </c>
      <c r="C1915" t="inlineStr">
        <is>
          <t>KC 8080GATSBY-BL-M</t>
        </is>
      </c>
      <c r="D1915" t="inlineStr">
        <is>
          <t>Clothing</t>
        </is>
      </c>
      <c r="E1915" t="inlineStr">
        <is>
          <t>Hats</t>
        </is>
      </c>
      <c r="F1915" t="inlineStr">
        <is>
          <t>KC Caps</t>
        </is>
      </c>
      <c r="G1915" t="n">
        <v>0</v>
      </c>
      <c r="H1915" t="n">
        <v>0</v>
      </c>
      <c r="I1915" t="inlineStr">
        <is>
          <t>Hats,WFS Item</t>
        </is>
      </c>
      <c r="J1915" s="29" t="n">
        <v>0</v>
      </c>
      <c r="K1915" s="30" t="n"/>
      <c r="L1915" s="29" t="n">
        <v>0</v>
      </c>
      <c r="M1915" s="29" t="n">
        <v>0</v>
      </c>
      <c r="N1915" s="2" t="n">
        <v>0</v>
      </c>
      <c r="O1915" s="31" t="n">
        <v>0</v>
      </c>
      <c r="P1915" s="32" t="n"/>
      <c r="Q1915" s="32" t="n">
        <v>0</v>
      </c>
      <c r="R1915" s="32" t="n">
        <v>0</v>
      </c>
      <c r="S1915" s="31" t="n">
        <v>0</v>
      </c>
      <c r="T1915" s="32" t="n">
        <v>0</v>
      </c>
      <c r="U1915" s="31" t="n">
        <v>0</v>
      </c>
      <c r="V1915" s="31" t="n">
        <v>0</v>
      </c>
      <c r="W1915" s="3" t="n">
        <v>0</v>
      </c>
      <c r="X1915" s="3" t="n">
        <v>0</v>
      </c>
      <c r="Y1915" s="32" t="n">
        <v>0</v>
      </c>
      <c r="Z1915" s="3" t="n">
        <v>0</v>
      </c>
      <c r="AA1915" s="32" t="n">
        <v>0</v>
      </c>
      <c r="AB1915" s="3" t="n"/>
      <c r="AC1915" s="31" t="n">
        <v>0</v>
      </c>
      <c r="AD1915" s="2" t="n">
        <v>0</v>
      </c>
      <c r="AE1915" s="2" t="n">
        <v>3</v>
      </c>
      <c r="AF1915" s="4" t="n">
        <v>3</v>
      </c>
      <c r="AG1915" s="33" t="n">
        <v>0</v>
      </c>
      <c r="AH1915" s="4" t="n">
        <v>0</v>
      </c>
      <c r="AI1915" s="34" t="n"/>
      <c r="AJ1915" s="34" t="n">
        <v>0</v>
      </c>
      <c r="AK1915" s="2" t="n">
        <v>0</v>
      </c>
      <c r="AL1915" t="inlineStr">
        <is>
          <t>Published</t>
        </is>
      </c>
    </row>
    <row r="1916">
      <c r="A1916">
        <f>HYPERLINK("https://www.walmart.com/ip/527482974", "527482974")</f>
        <v/>
      </c>
      <c r="B1916">
        <f>HYPERLINK("https://app.optiwise.ai/catalog/itemdetails/360444", "Catalonia Pink Sherpa Throw Blanket, Snuggle Super Soft Blanket for Girls 50x60, Comfy Fuzzy Micro Plush Fleece for Sofa Couch TV Bed Reversible Match Color All Season")</f>
        <v/>
      </c>
      <c r="C1916" t="inlineStr">
        <is>
          <t>1CTBF301PK</t>
        </is>
      </c>
      <c r="D1916" t="inlineStr">
        <is>
          <t>Bedding</t>
        </is>
      </c>
      <c r="E1916" t="inlineStr">
        <is>
          <t>Throws</t>
        </is>
      </c>
      <c r="F1916" t="inlineStr">
        <is>
          <t>Catalonia</t>
        </is>
      </c>
      <c r="G1916" t="n">
        <v>5</v>
      </c>
      <c r="H1916" t="n">
        <v>3</v>
      </c>
      <c r="I1916" t="inlineStr">
        <is>
          <t>Optimized,WFS,Valentine,WFS Item</t>
        </is>
      </c>
      <c r="J1916" s="29" t="n">
        <v>0</v>
      </c>
      <c r="K1916" s="30" t="n"/>
      <c r="L1916" s="29" t="n">
        <v>0</v>
      </c>
      <c r="M1916" s="29" t="n">
        <v>0</v>
      </c>
      <c r="N1916" s="2" t="n">
        <v>0</v>
      </c>
      <c r="O1916" s="31" t="n">
        <v>0</v>
      </c>
      <c r="P1916" s="32" t="n"/>
      <c r="Q1916" s="32" t="n">
        <v>0</v>
      </c>
      <c r="R1916" s="32" t="n">
        <v>0</v>
      </c>
      <c r="S1916" s="31" t="n">
        <v>0</v>
      </c>
      <c r="T1916" s="32" t="n">
        <v>0</v>
      </c>
      <c r="U1916" s="31" t="n">
        <v>0</v>
      </c>
      <c r="V1916" s="31" t="n">
        <v>0</v>
      </c>
      <c r="W1916" s="3" t="n">
        <v>0</v>
      </c>
      <c r="X1916" s="3" t="n">
        <v>0</v>
      </c>
      <c r="Y1916" s="32" t="n">
        <v>0</v>
      </c>
      <c r="Z1916" s="3" t="n">
        <v>0</v>
      </c>
      <c r="AA1916" s="32" t="n">
        <v>0</v>
      </c>
      <c r="AB1916" s="3" t="n"/>
      <c r="AC1916" s="31" t="n">
        <v>0</v>
      </c>
      <c r="AD1916" s="2" t="n">
        <v>0</v>
      </c>
      <c r="AE1916" s="2" t="n">
        <v>11</v>
      </c>
      <c r="AF1916" s="4" t="n">
        <v>11</v>
      </c>
      <c r="AG1916" s="33" t="n">
        <v>0</v>
      </c>
      <c r="AH1916" s="4" t="n">
        <v>0</v>
      </c>
      <c r="AI1916" s="34" t="n"/>
      <c r="AJ1916" s="34" t="n">
        <v>0</v>
      </c>
      <c r="AK1916" s="2" t="n">
        <v>0</v>
      </c>
      <c r="AL1916" t="inlineStr">
        <is>
          <t>Published</t>
        </is>
      </c>
    </row>
    <row r="1917">
      <c r="A1917">
        <f>HYPERLINK("https://www.walmart.com/ip/157792900", "157792900")</f>
        <v/>
      </c>
      <c r="B1917">
        <f>HYPERLINK("https://app.optiwise.ai/catalog/itemdetails/360438", "Headshots Fishing Hats with Anti-Mosquito Facemask, UV Protection Sun Hat for Men Women Unisex Adult Multicolor")</f>
        <v/>
      </c>
      <c r="C1917" t="inlineStr">
        <is>
          <t>kc-s9198-forgn</t>
        </is>
      </c>
      <c r="D1917" t="inlineStr">
        <is>
          <t>Clothing</t>
        </is>
      </c>
      <c r="E1917" t="inlineStr">
        <is>
          <t>Hats</t>
        </is>
      </c>
      <c r="F1917" t="inlineStr">
        <is>
          <t>Headshots</t>
        </is>
      </c>
      <c r="G1917" t="n">
        <v>0</v>
      </c>
      <c r="H1917" t="n">
        <v>0</v>
      </c>
      <c r="I1917" t="inlineStr">
        <is>
          <t>Batch 1 - TR</t>
        </is>
      </c>
      <c r="J1917" s="29" t="n">
        <v>0</v>
      </c>
      <c r="K1917" s="30" t="n"/>
      <c r="L1917" s="29" t="n">
        <v>0</v>
      </c>
      <c r="M1917" s="29" t="n">
        <v>0</v>
      </c>
      <c r="N1917" s="2" t="n">
        <v>0</v>
      </c>
      <c r="O1917" s="31" t="n">
        <v>0</v>
      </c>
      <c r="P1917" s="32" t="n"/>
      <c r="Q1917" s="32" t="n">
        <v>0</v>
      </c>
      <c r="R1917" s="32" t="n">
        <v>0</v>
      </c>
      <c r="S1917" s="31" t="n">
        <v>0</v>
      </c>
      <c r="T1917" s="32" t="n">
        <v>0</v>
      </c>
      <c r="U1917" s="31" t="n">
        <v>0</v>
      </c>
      <c r="V1917" s="31" t="n">
        <v>0</v>
      </c>
      <c r="W1917" s="3" t="n">
        <v>0</v>
      </c>
      <c r="X1917" s="3" t="n">
        <v>0</v>
      </c>
      <c r="Y1917" s="32" t="n">
        <v>0</v>
      </c>
      <c r="Z1917" s="3" t="n">
        <v>0</v>
      </c>
      <c r="AA1917" s="32" t="n">
        <v>0</v>
      </c>
      <c r="AB1917" s="3" t="n"/>
      <c r="AC1917" s="31" t="n">
        <v>0</v>
      </c>
      <c r="AD1917" s="2" t="n">
        <v>0</v>
      </c>
      <c r="AE1917" s="2" t="n">
        <v>8</v>
      </c>
      <c r="AF1917" s="4" t="n">
        <v>8</v>
      </c>
      <c r="AG1917" s="33" t="n">
        <v>0</v>
      </c>
      <c r="AH1917" s="4" t="n">
        <v>0</v>
      </c>
      <c r="AI1917" s="34" t="n"/>
      <c r="AJ1917" s="34" t="n">
        <v>0</v>
      </c>
      <c r="AK1917" s="2" t="n">
        <v>0</v>
      </c>
      <c r="AL1917" t="inlineStr">
        <is>
          <t>Published</t>
        </is>
      </c>
    </row>
    <row r="1918">
      <c r="A1918">
        <f>HYPERLINK("https://www.walmart.com/ip/404931694", "404931694")</f>
        <v/>
      </c>
      <c r="B1918">
        <f>HYPERLINK("https://app.optiwise.ai/catalog/itemdetails/360436", "Zebra Sherpa Fleece Throw Blanket, Cozy Fuzzy Jacquard Blanket for the Couch Bed | Fluffy Comfy Warm Heavy Throws | Comfort Caring Gift, 50x60 inches")</f>
        <v/>
      </c>
      <c r="C1918" t="inlineStr">
        <is>
          <t>1CTBF573ZEBRA</t>
        </is>
      </c>
      <c r="D1918" t="inlineStr">
        <is>
          <t>Bedding</t>
        </is>
      </c>
      <c r="E1918" t="inlineStr">
        <is>
          <t>Throws</t>
        </is>
      </c>
      <c r="F1918" t="inlineStr">
        <is>
          <t>Catalonia</t>
        </is>
      </c>
      <c r="G1918" t="n">
        <v>0</v>
      </c>
      <c r="H1918" t="n">
        <v>0</v>
      </c>
      <c r="I1918" t="inlineStr">
        <is>
          <t>Q2-Target,WFS,WFS Item</t>
        </is>
      </c>
      <c r="J1918" s="29" t="n">
        <v>0</v>
      </c>
      <c r="K1918" s="30" t="n"/>
      <c r="L1918" s="29" t="n">
        <v>0</v>
      </c>
      <c r="M1918" s="29" t="n">
        <v>0</v>
      </c>
      <c r="N1918" s="2" t="n">
        <v>0</v>
      </c>
      <c r="O1918" s="31" t="n">
        <v>0</v>
      </c>
      <c r="P1918" s="32" t="n"/>
      <c r="Q1918" s="32" t="n">
        <v>0</v>
      </c>
      <c r="R1918" s="32" t="n">
        <v>0</v>
      </c>
      <c r="S1918" s="31" t="n">
        <v>0</v>
      </c>
      <c r="T1918" s="32" t="n">
        <v>0</v>
      </c>
      <c r="U1918" s="31" t="n">
        <v>0</v>
      </c>
      <c r="V1918" s="31" t="n">
        <v>0</v>
      </c>
      <c r="W1918" s="3" t="n">
        <v>0</v>
      </c>
      <c r="X1918" s="3" t="n">
        <v>0</v>
      </c>
      <c r="Y1918" s="32" t="n">
        <v>0</v>
      </c>
      <c r="Z1918" s="3" t="n">
        <v>0</v>
      </c>
      <c r="AA1918" s="32" t="n">
        <v>0</v>
      </c>
      <c r="AB1918" s="3" t="n"/>
      <c r="AC1918" s="31" t="n">
        <v>0</v>
      </c>
      <c r="AD1918" s="2" t="n">
        <v>0</v>
      </c>
      <c r="AE1918" s="2" t="n">
        <v>30</v>
      </c>
      <c r="AF1918" s="4" t="n">
        <v>30</v>
      </c>
      <c r="AG1918" s="33" t="n">
        <v>0</v>
      </c>
      <c r="AH1918" s="4" t="n">
        <v>0</v>
      </c>
      <c r="AI1918" s="34" t="n"/>
      <c r="AJ1918" s="34" t="n">
        <v>0</v>
      </c>
      <c r="AK1918" s="2" t="n">
        <v>0</v>
      </c>
      <c r="AL1918" t="inlineStr">
        <is>
          <t>Published</t>
        </is>
      </c>
    </row>
    <row r="1919">
      <c r="A1919">
        <f>HYPERLINK("https://www.walmart.com/ip/556839284", "556839284")</f>
        <v/>
      </c>
      <c r="B1919">
        <f>HYPERLINK("https://app.optiwise.ai/catalog/itemdetails/360430", "Flyingstar Woman Sweatshirt Dress, Casual Ladies Pullover, Juniors Hoodie Dress with Kangaroo Pocket, One Size, Black")</f>
        <v/>
      </c>
      <c r="C1919" t="inlineStr">
        <is>
          <t>1WMHD530S1BK</t>
        </is>
      </c>
      <c r="D1919" t="inlineStr">
        <is>
          <t>Clothing</t>
        </is>
      </c>
      <c r="E1919" t="inlineStr">
        <is>
          <t>Sweatshirts &amp; Hoodies</t>
        </is>
      </c>
      <c r="F1919" t="inlineStr">
        <is>
          <t>Flyingstar</t>
        </is>
      </c>
      <c r="G1919" t="n">
        <v>5</v>
      </c>
      <c r="H1919" t="n">
        <v>3</v>
      </c>
      <c r="I1919" t="inlineStr">
        <is>
          <t>Hoodie ForAdult,Optimized</t>
        </is>
      </c>
      <c r="J1919" s="29" t="n">
        <v>0</v>
      </c>
      <c r="K1919" s="30" t="n"/>
      <c r="L1919" s="29" t="n">
        <v>0</v>
      </c>
      <c r="M1919" s="29" t="n">
        <v>0</v>
      </c>
      <c r="N1919" s="2" t="n">
        <v>0</v>
      </c>
      <c r="O1919" s="31" t="n">
        <v>0</v>
      </c>
      <c r="P1919" s="32" t="n"/>
      <c r="Q1919" s="32" t="n">
        <v>0</v>
      </c>
      <c r="R1919" s="32" t="n">
        <v>0</v>
      </c>
      <c r="S1919" s="31" t="n">
        <v>0</v>
      </c>
      <c r="T1919" s="32" t="n">
        <v>0</v>
      </c>
      <c r="U1919" s="31" t="n">
        <v>0</v>
      </c>
      <c r="V1919" s="31" t="n">
        <v>0</v>
      </c>
      <c r="W1919" s="3" t="n">
        <v>0</v>
      </c>
      <c r="X1919" s="3" t="n">
        <v>0</v>
      </c>
      <c r="Y1919" s="32" t="n">
        <v>0</v>
      </c>
      <c r="Z1919" s="3" t="n">
        <v>0</v>
      </c>
      <c r="AA1919" s="32" t="n">
        <v>0</v>
      </c>
      <c r="AB1919" s="3" t="n"/>
      <c r="AC1919" s="31" t="n">
        <v>0</v>
      </c>
      <c r="AD1919" s="2" t="n">
        <v>0</v>
      </c>
      <c r="AE1919" s="2" t="n">
        <v>3</v>
      </c>
      <c r="AF1919" s="4" t="n">
        <v>3</v>
      </c>
      <c r="AG1919" s="33" t="n">
        <v>0</v>
      </c>
      <c r="AH1919" s="4" t="n">
        <v>0</v>
      </c>
      <c r="AI1919" s="34" t="n"/>
      <c r="AJ1919" s="34" t="n">
        <v>0</v>
      </c>
      <c r="AK1919" s="2" t="n">
        <v>0</v>
      </c>
      <c r="AL1919" t="inlineStr">
        <is>
          <t>Published</t>
        </is>
      </c>
    </row>
    <row r="1920">
      <c r="A1920">
        <f>HYPERLINK("https://www.walmart.com/ip/248204253", "248204253")</f>
        <v/>
      </c>
      <c r="B1920">
        <f>HYPERLINK("https://app.optiwise.ai/catalog/itemdetails/360429", "Catalonia Weighted Blanket for Kids and Adults, 20lb Heavy Blanket, Cotton, Grey, 60 × 80 Inches")</f>
        <v/>
      </c>
      <c r="C1920" t="inlineStr">
        <is>
          <t>1CTBG806GY-20C</t>
        </is>
      </c>
      <c r="D1920" t="inlineStr">
        <is>
          <t>Bedding</t>
        </is>
      </c>
      <c r="E1920" t="inlineStr">
        <is>
          <t>Bed Blankets</t>
        </is>
      </c>
      <c r="F1920" t="inlineStr">
        <is>
          <t>Catalonia</t>
        </is>
      </c>
      <c r="G1920" t="n">
        <v>0</v>
      </c>
      <c r="H1920" t="n">
        <v>0</v>
      </c>
      <c r="I1920" t="inlineStr">
        <is>
          <t>Optimized,Valentine</t>
        </is>
      </c>
      <c r="J1920" s="29" t="n">
        <v>0</v>
      </c>
      <c r="K1920" s="30" t="n"/>
      <c r="L1920" s="29" t="n">
        <v>0</v>
      </c>
      <c r="M1920" s="29" t="n">
        <v>0</v>
      </c>
      <c r="N1920" s="2" t="n">
        <v>0</v>
      </c>
      <c r="O1920" s="31" t="n">
        <v>0</v>
      </c>
      <c r="P1920" s="32" t="n"/>
      <c r="Q1920" s="32" t="n">
        <v>0</v>
      </c>
      <c r="R1920" s="32" t="n">
        <v>0</v>
      </c>
      <c r="S1920" s="31" t="n">
        <v>0</v>
      </c>
      <c r="T1920" s="32" t="n">
        <v>0</v>
      </c>
      <c r="U1920" s="31" t="n">
        <v>0</v>
      </c>
      <c r="V1920" s="31" t="n">
        <v>0</v>
      </c>
      <c r="W1920" s="3" t="n">
        <v>0</v>
      </c>
      <c r="X1920" s="3" t="n">
        <v>0</v>
      </c>
      <c r="Y1920" s="32" t="n">
        <v>0</v>
      </c>
      <c r="Z1920" s="3" t="n">
        <v>0</v>
      </c>
      <c r="AA1920" s="32" t="n">
        <v>0</v>
      </c>
      <c r="AB1920" s="3" t="n"/>
      <c r="AC1920" s="31" t="n">
        <v>0</v>
      </c>
      <c r="AD1920" s="2" t="n">
        <v>0</v>
      </c>
      <c r="AE1920" s="2" t="n">
        <v>5</v>
      </c>
      <c r="AF1920" s="4" t="n">
        <v>5</v>
      </c>
      <c r="AG1920" s="33" t="n">
        <v>0</v>
      </c>
      <c r="AH1920" s="4" t="n">
        <v>0</v>
      </c>
      <c r="AI1920" s="34" t="n"/>
      <c r="AJ1920" s="34" t="n">
        <v>0</v>
      </c>
      <c r="AK1920" s="2" t="n">
        <v>0</v>
      </c>
      <c r="AL1920" t="inlineStr">
        <is>
          <t>Published</t>
        </is>
      </c>
    </row>
    <row r="1921">
      <c r="A1921">
        <f>HYPERLINK("https://www.walmart.com/ip/836841405", "836841405")</f>
        <v/>
      </c>
      <c r="B1921">
        <f>HYPERLINK("https://app.optiwise.ai/catalog/itemdetails/360428", "Oversized Hoodie Blanket Sweatshirt Sherpa")</f>
        <v/>
      </c>
      <c r="C1921" t="inlineStr">
        <is>
          <t>1CTHD201CAT-BK</t>
        </is>
      </c>
      <c r="D1921" t="inlineStr">
        <is>
          <t>Clothing</t>
        </is>
      </c>
      <c r="E1921" t="inlineStr">
        <is>
          <t>Sweatshirts &amp; Hoodies</t>
        </is>
      </c>
      <c r="F1921" t="inlineStr">
        <is>
          <t>Catalonia</t>
        </is>
      </c>
      <c r="G1921" t="n">
        <v>0</v>
      </c>
      <c r="H1921" t="n">
        <v>0</v>
      </c>
      <c r="I1921" t="inlineStr">
        <is>
          <t>Hoodie For Kids,WFS,Coupon_Discount,WFS Item</t>
        </is>
      </c>
      <c r="J1921" s="29" t="n">
        <v>0</v>
      </c>
      <c r="K1921" s="30" t="n"/>
      <c r="L1921" s="29" t="n">
        <v>0</v>
      </c>
      <c r="M1921" s="29" t="n">
        <v>0</v>
      </c>
      <c r="N1921" s="2" t="n">
        <v>0</v>
      </c>
      <c r="O1921" s="31" t="n">
        <v>0.4</v>
      </c>
      <c r="P1921" s="32" t="n"/>
      <c r="Q1921" s="32" t="n">
        <v>0</v>
      </c>
      <c r="R1921" s="32" t="n">
        <v>0</v>
      </c>
      <c r="S1921" s="31" t="n">
        <v>0</v>
      </c>
      <c r="T1921" s="32" t="n">
        <v>0</v>
      </c>
      <c r="U1921" s="31" t="n">
        <v>0</v>
      </c>
      <c r="V1921" s="31" t="n">
        <v>0</v>
      </c>
      <c r="W1921" s="3" t="n">
        <v>6476</v>
      </c>
      <c r="X1921" s="3" t="n">
        <v>1</v>
      </c>
      <c r="Y1921" s="32" t="n">
        <v>0.0002</v>
      </c>
      <c r="Z1921" s="3" t="n">
        <v>0</v>
      </c>
      <c r="AA1921" s="32" t="n">
        <v>0</v>
      </c>
      <c r="AB1921" s="3" t="inlineStr">
        <is>
          <t>Hoodies_Auto</t>
        </is>
      </c>
      <c r="AC1921" s="31" t="n">
        <v>0.4</v>
      </c>
      <c r="AD1921" s="2" t="n">
        <v>0</v>
      </c>
      <c r="AE1921" s="2" t="n">
        <v>11</v>
      </c>
      <c r="AF1921" s="4" t="n">
        <v>10</v>
      </c>
      <c r="AG1921" s="33" t="n">
        <v>0</v>
      </c>
      <c r="AH1921" s="4" t="n">
        <v>0</v>
      </c>
      <c r="AI1921" s="34" t="n"/>
      <c r="AJ1921" s="34" t="n">
        <v>0</v>
      </c>
      <c r="AK1921" s="2" t="n">
        <v>0</v>
      </c>
      <c r="AL1921" t="inlineStr">
        <is>
          <t>Published</t>
        </is>
      </c>
    </row>
    <row r="1922">
      <c r="A1922">
        <f>HYPERLINK("https://www.walmart.com/ip/129416493", "129416493")</f>
        <v/>
      </c>
      <c r="B1922">
        <f>HYPERLINK("https://app.optiwise.ai/catalog/itemdetails/360421", "Napa Premium Chevron Micro Plush Fleece Sherpa Bed Throw TV Blanket 50” x 60” Latte,  All Ages")</f>
        <v/>
      </c>
      <c r="C1922" t="inlineStr">
        <is>
          <t>K8020LATTE</t>
        </is>
      </c>
      <c r="D1922" t="inlineStr">
        <is>
          <t>Home Decor, Kitchen, &amp; Other</t>
        </is>
      </c>
      <c r="E1922" t="inlineStr">
        <is>
          <t>Throws</t>
        </is>
      </c>
      <c r="F1922" t="inlineStr">
        <is>
          <t>NAPA</t>
        </is>
      </c>
      <c r="G1922" t="n">
        <v>5</v>
      </c>
      <c r="H1922" t="n">
        <v>1</v>
      </c>
      <c r="I1922" t="inlineStr">
        <is>
          <t>Batch 1 - TR</t>
        </is>
      </c>
      <c r="J1922" s="29" t="n">
        <v>0</v>
      </c>
      <c r="K1922" s="30" t="n"/>
      <c r="L1922" s="29" t="n">
        <v>0</v>
      </c>
      <c r="M1922" s="29" t="n">
        <v>0</v>
      </c>
      <c r="N1922" s="2" t="n">
        <v>0</v>
      </c>
      <c r="O1922" s="31" t="n">
        <v>0</v>
      </c>
      <c r="P1922" s="32" t="n"/>
      <c r="Q1922" s="32" t="n">
        <v>0</v>
      </c>
      <c r="R1922" s="32" t="n">
        <v>0</v>
      </c>
      <c r="S1922" s="31" t="n">
        <v>0</v>
      </c>
      <c r="T1922" s="32" t="n">
        <v>0</v>
      </c>
      <c r="U1922" s="31" t="n">
        <v>0</v>
      </c>
      <c r="V1922" s="31" t="n">
        <v>0</v>
      </c>
      <c r="W1922" s="3" t="n">
        <v>0</v>
      </c>
      <c r="X1922" s="3" t="n">
        <v>0</v>
      </c>
      <c r="Y1922" s="32" t="n">
        <v>0</v>
      </c>
      <c r="Z1922" s="3" t="n">
        <v>0</v>
      </c>
      <c r="AA1922" s="32" t="n">
        <v>0</v>
      </c>
      <c r="AB1922" s="3" t="n"/>
      <c r="AC1922" s="31" t="n">
        <v>0</v>
      </c>
      <c r="AD1922" s="2" t="n">
        <v>0</v>
      </c>
      <c r="AE1922" s="2" t="n">
        <v>1</v>
      </c>
      <c r="AF1922" s="4" t="n">
        <v>1</v>
      </c>
      <c r="AG1922" s="33" t="n">
        <v>0</v>
      </c>
      <c r="AH1922" s="4" t="n">
        <v>0</v>
      </c>
      <c r="AI1922" s="34" t="n"/>
      <c r="AJ1922" s="34" t="n">
        <v>0</v>
      </c>
      <c r="AK1922" s="2" t="n">
        <v>0</v>
      </c>
      <c r="AL1922" t="inlineStr">
        <is>
          <t>Published</t>
        </is>
      </c>
    </row>
    <row r="1923">
      <c r="A1923">
        <f>HYPERLINK("https://www.walmart.com/ip/939851965", "939851965")</f>
        <v/>
      </c>
      <c r="B1923">
        <f>HYPERLINK("https://app.optiwise.ai/catalog/itemdetails/360420", "Microplush Sherpa Blanket with Sleeves for Women and Men Camel")</f>
        <v/>
      </c>
      <c r="C1923" t="inlineStr">
        <is>
          <t>1TNSN110CA-TPB</t>
        </is>
      </c>
      <c r="D1923" t="inlineStr">
        <is>
          <t>Bedding</t>
        </is>
      </c>
      <c r="E1923" t="inlineStr">
        <is>
          <t>Throws</t>
        </is>
      </c>
      <c r="F1923" t="inlineStr">
        <is>
          <t>Terrania</t>
        </is>
      </c>
      <c r="G1923" t="n">
        <v>0</v>
      </c>
      <c r="H1923" t="n">
        <v>0</v>
      </c>
      <c r="J1923" s="29" t="n">
        <v>0</v>
      </c>
      <c r="K1923" s="30" t="n"/>
      <c r="L1923" s="29" t="n">
        <v>0</v>
      </c>
      <c r="M1923" s="29" t="n">
        <v>0</v>
      </c>
      <c r="N1923" s="2" t="n">
        <v>0</v>
      </c>
      <c r="O1923" s="31" t="n">
        <v>0</v>
      </c>
      <c r="P1923" s="32" t="n"/>
      <c r="Q1923" s="32" t="n">
        <v>0</v>
      </c>
      <c r="R1923" s="32" t="n">
        <v>0</v>
      </c>
      <c r="S1923" s="31" t="n">
        <v>0</v>
      </c>
      <c r="T1923" s="32" t="n">
        <v>0</v>
      </c>
      <c r="U1923" s="31" t="n">
        <v>0</v>
      </c>
      <c r="V1923" s="31" t="n">
        <v>0</v>
      </c>
      <c r="W1923" s="3" t="n">
        <v>0</v>
      </c>
      <c r="X1923" s="3" t="n">
        <v>0</v>
      </c>
      <c r="Y1923" s="32" t="n">
        <v>0</v>
      </c>
      <c r="Z1923" s="3" t="n">
        <v>0</v>
      </c>
      <c r="AA1923" s="32" t="n">
        <v>0</v>
      </c>
      <c r="AB1923" s="3" t="n"/>
      <c r="AC1923" s="31" t="n">
        <v>0</v>
      </c>
      <c r="AD1923" s="2" t="n">
        <v>0</v>
      </c>
      <c r="AE1923" s="2" t="n">
        <v>8</v>
      </c>
      <c r="AF1923" s="4" t="n">
        <v>8</v>
      </c>
      <c r="AG1923" s="33" t="n">
        <v>0</v>
      </c>
      <c r="AH1923" s="4" t="n">
        <v>0</v>
      </c>
      <c r="AI1923" s="34" t="n"/>
      <c r="AJ1923" s="34" t="n">
        <v>0</v>
      </c>
      <c r="AK1923" s="2" t="n">
        <v>0</v>
      </c>
      <c r="AL1923" t="inlineStr">
        <is>
          <t>Published</t>
        </is>
      </c>
    </row>
    <row r="1924">
      <c r="A1924">
        <f>HYPERLINK("https://www.walmart.com/ip/116106539", "116106539")</f>
        <v/>
      </c>
      <c r="B1924">
        <f>HYPERLINK("https://app.optiwise.ai/catalog/itemdetails/361416", "Sherpa Slipper Socks for Women,Winter Indoor Home Non Skid Booties")</f>
        <v/>
      </c>
      <c r="C1924" t="inlineStr">
        <is>
          <t>1CTST200PP-1</t>
        </is>
      </c>
      <c r="D1924" t="inlineStr">
        <is>
          <t>Clothing</t>
        </is>
      </c>
      <c r="E1924" t="inlineStr">
        <is>
          <t>Socks</t>
        </is>
      </c>
      <c r="F1924" t="inlineStr">
        <is>
          <t>Catalonia</t>
        </is>
      </c>
      <c r="G1924" t="n">
        <v>0</v>
      </c>
      <c r="H1924" t="n">
        <v>0</v>
      </c>
      <c r="I1924" t="inlineStr">
        <is>
          <t>WFS,WFS Item</t>
        </is>
      </c>
      <c r="J1924" s="29" t="n">
        <v>0</v>
      </c>
      <c r="K1924" s="30" t="n"/>
      <c r="L1924" s="29" t="n">
        <v>0</v>
      </c>
      <c r="M1924" s="29" t="n">
        <v>0</v>
      </c>
      <c r="N1924" s="2" t="n">
        <v>0</v>
      </c>
      <c r="O1924" s="31" t="n">
        <v>0</v>
      </c>
      <c r="P1924" s="32" t="n"/>
      <c r="Q1924" s="32" t="n">
        <v>0</v>
      </c>
      <c r="R1924" s="32" t="n">
        <v>0</v>
      </c>
      <c r="S1924" s="31" t="n">
        <v>0</v>
      </c>
      <c r="T1924" s="32" t="n">
        <v>0</v>
      </c>
      <c r="U1924" s="31" t="n">
        <v>0</v>
      </c>
      <c r="V1924" s="31" t="n">
        <v>0</v>
      </c>
      <c r="W1924" s="3" t="n">
        <v>0</v>
      </c>
      <c r="X1924" s="3" t="n">
        <v>0</v>
      </c>
      <c r="Y1924" s="32" t="n">
        <v>0</v>
      </c>
      <c r="Z1924" s="3" t="n">
        <v>0</v>
      </c>
      <c r="AA1924" s="32" t="n">
        <v>0</v>
      </c>
      <c r="AB1924" s="3" t="n"/>
      <c r="AC1924" s="31" t="n">
        <v>0</v>
      </c>
      <c r="AD1924" s="2" t="n">
        <v>0</v>
      </c>
      <c r="AE1924" s="2" t="n">
        <v>8</v>
      </c>
      <c r="AF1924" s="4" t="n">
        <v>8</v>
      </c>
      <c r="AG1924" s="33" t="n">
        <v>0</v>
      </c>
      <c r="AH1924" s="4" t="n">
        <v>0</v>
      </c>
      <c r="AI1924" s="34" t="n"/>
      <c r="AJ1924" s="34" t="n">
        <v>0</v>
      </c>
      <c r="AK1924" s="2" t="n">
        <v>0</v>
      </c>
      <c r="AL1924" t="inlineStr">
        <is>
          <t>Published</t>
        </is>
      </c>
    </row>
    <row r="1925">
      <c r="A1925">
        <f>HYPERLINK("https://www.walmart.com/ip/145663992", "145663992")</f>
        <v/>
      </c>
      <c r="B1925">
        <f>HYPERLINK("https://app.optiwise.ai/catalog/itemdetails/361410", "Terra Faux Fur Pom Pom Beanie Hat Thick Slouchy Cable Knit Soft Warm Micro Fleece Lined Unisex Stretches to Fit Most")</f>
        <v/>
      </c>
      <c r="C1925" t="inlineStr">
        <is>
          <t>TERRAPPH01PK</t>
        </is>
      </c>
      <c r="D1925" t="inlineStr">
        <is>
          <t>Clothing</t>
        </is>
      </c>
      <c r="E1925" t="inlineStr">
        <is>
          <t>Hats</t>
        </is>
      </c>
      <c r="F1925" t="inlineStr">
        <is>
          <t>Terra</t>
        </is>
      </c>
      <c r="G1925" t="n">
        <v>0</v>
      </c>
      <c r="H1925" t="n">
        <v>0</v>
      </c>
      <c r="I1925" t="inlineStr">
        <is>
          <t>Optimized</t>
        </is>
      </c>
      <c r="J1925" s="29" t="n">
        <v>0</v>
      </c>
      <c r="K1925" s="30" t="n"/>
      <c r="L1925" s="29" t="n">
        <v>0</v>
      </c>
      <c r="M1925" s="29" t="n">
        <v>0</v>
      </c>
      <c r="N1925" s="2" t="n">
        <v>0</v>
      </c>
      <c r="O1925" s="31" t="n">
        <v>0</v>
      </c>
      <c r="P1925" s="32" t="n"/>
      <c r="Q1925" s="32" t="n">
        <v>0</v>
      </c>
      <c r="R1925" s="32" t="n">
        <v>0</v>
      </c>
      <c r="S1925" s="31" t="n">
        <v>0</v>
      </c>
      <c r="T1925" s="32" t="n">
        <v>0</v>
      </c>
      <c r="U1925" s="31" t="n">
        <v>0</v>
      </c>
      <c r="V1925" s="31" t="n">
        <v>0</v>
      </c>
      <c r="W1925" s="3" t="n">
        <v>0</v>
      </c>
      <c r="X1925" s="3" t="n">
        <v>0</v>
      </c>
      <c r="Y1925" s="32" t="n">
        <v>0</v>
      </c>
      <c r="Z1925" s="3" t="n">
        <v>0</v>
      </c>
      <c r="AA1925" s="32" t="n">
        <v>0</v>
      </c>
      <c r="AB1925" s="3" t="n"/>
      <c r="AC1925" s="31" t="n">
        <v>0</v>
      </c>
      <c r="AD1925" s="2" t="n">
        <v>0</v>
      </c>
      <c r="AE1925" s="2" t="n">
        <v>11</v>
      </c>
      <c r="AF1925" s="4" t="n">
        <v>11</v>
      </c>
      <c r="AG1925" s="33" t="n">
        <v>0</v>
      </c>
      <c r="AH1925" s="4" t="n">
        <v>0</v>
      </c>
      <c r="AI1925" s="34" t="n"/>
      <c r="AJ1925" s="34" t="n">
        <v>0</v>
      </c>
      <c r="AK1925" s="2" t="n">
        <v>0</v>
      </c>
      <c r="AL1925" t="inlineStr">
        <is>
          <t>Published</t>
        </is>
      </c>
    </row>
    <row r="1926">
      <c r="A1926">
        <f>HYPERLINK("https://www.walmart.com/ip/944645543", "944645543")</f>
        <v/>
      </c>
      <c r="B1926">
        <f>HYPERLINK("https://app.optiwise.ai/catalog/itemdetails/361420", "Sherpa Slipper Socks for Women,Winter Indoor Home Non Skid Booties")</f>
        <v/>
      </c>
      <c r="C1926" t="inlineStr">
        <is>
          <t>1CTST200HP-1</t>
        </is>
      </c>
      <c r="D1926" t="inlineStr">
        <is>
          <t>Clothing</t>
        </is>
      </c>
      <c r="E1926" t="inlineStr">
        <is>
          <t>Socks</t>
        </is>
      </c>
      <c r="F1926" t="inlineStr">
        <is>
          <t>Catalonia</t>
        </is>
      </c>
      <c r="G1926" t="n">
        <v>0</v>
      </c>
      <c r="H1926" t="n">
        <v>0</v>
      </c>
      <c r="I1926" t="inlineStr">
        <is>
          <t>WFS,WFS Item</t>
        </is>
      </c>
      <c r="J1926" s="29" t="n">
        <v>0</v>
      </c>
      <c r="K1926" s="30" t="n"/>
      <c r="L1926" s="29" t="n">
        <v>0</v>
      </c>
      <c r="M1926" s="29" t="n">
        <v>0</v>
      </c>
      <c r="N1926" s="2" t="n">
        <v>0</v>
      </c>
      <c r="O1926" s="31" t="n">
        <v>0</v>
      </c>
      <c r="P1926" s="32" t="n"/>
      <c r="Q1926" s="32" t="n">
        <v>0</v>
      </c>
      <c r="R1926" s="32" t="n">
        <v>0</v>
      </c>
      <c r="S1926" s="31" t="n">
        <v>0</v>
      </c>
      <c r="T1926" s="32" t="n">
        <v>0</v>
      </c>
      <c r="U1926" s="31" t="n">
        <v>0</v>
      </c>
      <c r="V1926" s="31" t="n">
        <v>0</v>
      </c>
      <c r="W1926" s="3" t="n">
        <v>0</v>
      </c>
      <c r="X1926" s="3" t="n">
        <v>0</v>
      </c>
      <c r="Y1926" s="32" t="n">
        <v>0</v>
      </c>
      <c r="Z1926" s="3" t="n">
        <v>0</v>
      </c>
      <c r="AA1926" s="32" t="n">
        <v>0</v>
      </c>
      <c r="AB1926" s="3" t="n"/>
      <c r="AC1926" s="31" t="n">
        <v>0</v>
      </c>
      <c r="AD1926" s="2" t="n">
        <v>0</v>
      </c>
      <c r="AE1926" s="2" t="n">
        <v>7</v>
      </c>
      <c r="AF1926" s="4" t="n">
        <v>7</v>
      </c>
      <c r="AG1926" s="33" t="n">
        <v>0</v>
      </c>
      <c r="AH1926" s="4" t="n">
        <v>0</v>
      </c>
      <c r="AI1926" s="34" t="n"/>
      <c r="AJ1926" s="34" t="n">
        <v>0</v>
      </c>
      <c r="AK1926" s="2" t="n">
        <v>0</v>
      </c>
      <c r="AL1926" t="inlineStr">
        <is>
          <t>Published</t>
        </is>
      </c>
    </row>
    <row r="1927">
      <c r="A1927">
        <f>HYPERLINK("https://www.walmart.com/ip/187281448", "187281448")</f>
        <v/>
      </c>
      <c r="B1927">
        <f>HYPERLINK("https://app.optiwise.ai/catalog/itemdetails/362382", "KC Caps® Unisex Cotton Baseball Cap Adjustable Plain Hat (21 Styles/Colors)")</f>
        <v/>
      </c>
      <c r="C1927" t="inlineStr">
        <is>
          <t>KC8010OFFWTGN</t>
        </is>
      </c>
      <c r="D1927" t="inlineStr">
        <is>
          <t>Clothing</t>
        </is>
      </c>
      <c r="E1927" t="inlineStr">
        <is>
          <t>Hats</t>
        </is>
      </c>
      <c r="F1927" t="inlineStr">
        <is>
          <t>KC Caps</t>
        </is>
      </c>
      <c r="G1927" t="n">
        <v>0</v>
      </c>
      <c r="H1927" t="n">
        <v>0</v>
      </c>
      <c r="I1927" t="inlineStr">
        <is>
          <t>Optimized</t>
        </is>
      </c>
      <c r="J1927" s="29" t="n">
        <v>0</v>
      </c>
      <c r="K1927" s="30" t="n"/>
      <c r="L1927" s="29" t="n">
        <v>6.989999771118164</v>
      </c>
      <c r="M1927" s="29" t="n">
        <v>0</v>
      </c>
      <c r="N1927" s="2" t="n">
        <v>0</v>
      </c>
      <c r="O1927" s="31" t="n">
        <v>0</v>
      </c>
      <c r="P1927" s="32" t="n"/>
      <c r="Q1927" s="32" t="n">
        <v>0</v>
      </c>
      <c r="R1927" s="32" t="n">
        <v>0</v>
      </c>
      <c r="S1927" s="31" t="n">
        <v>0</v>
      </c>
      <c r="T1927" s="32" t="n">
        <v>0</v>
      </c>
      <c r="U1927" s="31" t="n">
        <v>0</v>
      </c>
      <c r="V1927" s="31" t="n">
        <v>0</v>
      </c>
      <c r="W1927" s="3" t="n">
        <v>0</v>
      </c>
      <c r="X1927" s="3" t="n">
        <v>0</v>
      </c>
      <c r="Y1927" s="32" t="n">
        <v>0</v>
      </c>
      <c r="Z1927" s="3" t="n">
        <v>0</v>
      </c>
      <c r="AA1927" s="32" t="n">
        <v>0</v>
      </c>
      <c r="AB1927" s="3" t="n"/>
      <c r="AC1927" s="31" t="n">
        <v>0</v>
      </c>
      <c r="AD1927" s="2" t="n">
        <v>0</v>
      </c>
      <c r="AE1927" s="2" t="n">
        <v>6</v>
      </c>
      <c r="AF1927" s="4" t="n">
        <v>6</v>
      </c>
      <c r="AG1927" s="33" t="n">
        <v>0</v>
      </c>
      <c r="AH1927" s="4" t="n">
        <v>0</v>
      </c>
      <c r="AI1927" s="34" t="n"/>
      <c r="AJ1927" s="34" t="n">
        <v>0</v>
      </c>
      <c r="AK1927" s="2" t="n">
        <v>0</v>
      </c>
      <c r="AL1927" t="inlineStr">
        <is>
          <t>Published</t>
        </is>
      </c>
    </row>
    <row r="1928">
      <c r="A1928">
        <f>HYPERLINK("https://www.walmart.com/ip/199203186", "199203186")</f>
        <v/>
      </c>
      <c r="B1928">
        <f>HYPERLINK("https://app.optiwise.ai/catalog/itemdetails/362423", "Terra Active Wrap- Stylish Running workout travel waist belt w/ hidden pocket")</f>
        <v/>
      </c>
      <c r="C1928" t="inlineStr">
        <is>
          <t>TERRA-3BL-L</t>
        </is>
      </c>
      <c r="D1928" t="inlineStr">
        <is>
          <t>Cases &amp; Bags</t>
        </is>
      </c>
      <c r="E1928" t="inlineStr">
        <is>
          <t>Running Belts</t>
        </is>
      </c>
      <c r="F1928" t="inlineStr">
        <is>
          <t>Terra</t>
        </is>
      </c>
      <c r="G1928" t="n">
        <v>0</v>
      </c>
      <c r="H1928" t="n">
        <v>0</v>
      </c>
      <c r="I1928" t="inlineStr">
        <is>
          <t>Batch 1 - TR</t>
        </is>
      </c>
      <c r="J1928" s="29" t="n">
        <v>0</v>
      </c>
      <c r="K1928" s="30" t="n"/>
      <c r="L1928" s="29" t="n">
        <v>7.980000019073486</v>
      </c>
      <c r="M1928" s="29" t="n">
        <v>0</v>
      </c>
      <c r="N1928" s="2" t="n">
        <v>0</v>
      </c>
      <c r="O1928" s="31" t="n">
        <v>0</v>
      </c>
      <c r="P1928" s="32" t="n"/>
      <c r="Q1928" s="32" t="n">
        <v>0</v>
      </c>
      <c r="R1928" s="32" t="n">
        <v>0</v>
      </c>
      <c r="S1928" s="31" t="n">
        <v>0</v>
      </c>
      <c r="T1928" s="32" t="n">
        <v>0</v>
      </c>
      <c r="U1928" s="31" t="n">
        <v>0</v>
      </c>
      <c r="V1928" s="31" t="n">
        <v>0</v>
      </c>
      <c r="W1928" s="3" t="n">
        <v>0</v>
      </c>
      <c r="X1928" s="3" t="n">
        <v>0</v>
      </c>
      <c r="Y1928" s="32" t="n">
        <v>0</v>
      </c>
      <c r="Z1928" s="3" t="n">
        <v>0</v>
      </c>
      <c r="AA1928" s="32" t="n">
        <v>0</v>
      </c>
      <c r="AB1928" s="3" t="n"/>
      <c r="AC1928" s="31" t="n">
        <v>0</v>
      </c>
      <c r="AD1928" s="2" t="n">
        <v>0</v>
      </c>
      <c r="AE1928" s="2" t="n">
        <v>13</v>
      </c>
      <c r="AF1928" s="4" t="n">
        <v>13</v>
      </c>
      <c r="AG1928" s="33" t="n">
        <v>0</v>
      </c>
      <c r="AH1928" s="4" t="n">
        <v>0</v>
      </c>
      <c r="AI1928" s="34" t="n"/>
      <c r="AJ1928" s="34" t="n">
        <v>0</v>
      </c>
      <c r="AK1928" s="2" t="n">
        <v>0</v>
      </c>
      <c r="AL1928" t="inlineStr">
        <is>
          <t>Published</t>
        </is>
      </c>
    </row>
    <row r="1929">
      <c r="A1929">
        <f>HYPERLINK("https://www.walmart.com/ip/842958823", "842958823")</f>
        <v/>
      </c>
      <c r="B1929">
        <f>HYPERLINK("https://app.optiwise.ai/catalog/itemdetails/362421", "Flyingstar Surf Towel Robe, Quick Dry Beach Wetsuit Changing/Bath Robe Poncho for Surfing, Swimming and Bathing, Unisex, Light Blue")</f>
        <v/>
      </c>
      <c r="C1929" t="inlineStr">
        <is>
          <t>1WMBR100-LBL</t>
        </is>
      </c>
      <c r="D1929" t="inlineStr">
        <is>
          <t>Clothing - Clothing</t>
        </is>
      </c>
      <c r="E1929" t="inlineStr">
        <is>
          <t>Towels &amp; Washcloths</t>
        </is>
      </c>
      <c r="F1929" t="inlineStr">
        <is>
          <t>Flyingstar</t>
        </is>
      </c>
      <c r="G1929" t="n">
        <v>0</v>
      </c>
      <c r="H1929" t="n">
        <v>0</v>
      </c>
      <c r="I1929" t="inlineStr">
        <is>
          <t>Optimized,Beach Robe Camp</t>
        </is>
      </c>
      <c r="J1929" s="29" t="n">
        <v>0</v>
      </c>
      <c r="K1929" s="30" t="n"/>
      <c r="L1929" s="29" t="n">
        <v>22.98999977111816</v>
      </c>
      <c r="M1929" s="29" t="n">
        <v>0</v>
      </c>
      <c r="N1929" s="2" t="n">
        <v>0</v>
      </c>
      <c r="O1929" s="31" t="n">
        <v>0</v>
      </c>
      <c r="P1929" s="32" t="n"/>
      <c r="Q1929" s="32" t="n">
        <v>0</v>
      </c>
      <c r="R1929" s="32" t="n">
        <v>0</v>
      </c>
      <c r="S1929" s="31" t="n">
        <v>0</v>
      </c>
      <c r="T1929" s="32" t="n">
        <v>0</v>
      </c>
      <c r="U1929" s="31" t="n">
        <v>0</v>
      </c>
      <c r="V1929" s="31" t="n">
        <v>0</v>
      </c>
      <c r="W1929" s="3" t="n">
        <v>0</v>
      </c>
      <c r="X1929" s="3" t="n">
        <v>0</v>
      </c>
      <c r="Y1929" s="32" t="n">
        <v>0</v>
      </c>
      <c r="Z1929" s="3" t="n">
        <v>0</v>
      </c>
      <c r="AA1929" s="32" t="n">
        <v>0</v>
      </c>
      <c r="AB1929" s="3" t="n"/>
      <c r="AC1929" s="31" t="n">
        <v>0</v>
      </c>
      <c r="AD1929" s="2" t="n">
        <v>0</v>
      </c>
      <c r="AE1929" s="2" t="n">
        <v>6</v>
      </c>
      <c r="AF1929" s="4" t="n">
        <v>6</v>
      </c>
      <c r="AG1929" s="33" t="n">
        <v>0</v>
      </c>
      <c r="AH1929" s="4" t="n">
        <v>0</v>
      </c>
      <c r="AI1929" s="34" t="n"/>
      <c r="AJ1929" s="34" t="n">
        <v>0</v>
      </c>
      <c r="AK1929" s="2" t="n">
        <v>0</v>
      </c>
      <c r="AL1929" t="inlineStr">
        <is>
          <t>Published</t>
        </is>
      </c>
    </row>
    <row r="1930">
      <c r="A1930">
        <f>HYPERLINK("https://www.walmart.com/ip/485205296", "485205296")</f>
        <v/>
      </c>
      <c r="B1930">
        <f>HYPERLINK("https://app.optiwise.ai/catalog/itemdetails/362415", "KC Caps®Women's Men's Beanie Unisex Warm Winter Knit Hat Fashion cap Beanie Hats")</f>
        <v/>
      </c>
      <c r="C1930" t="inlineStr">
        <is>
          <t>KC-W1740-OR</t>
        </is>
      </c>
      <c r="D1930" t="inlineStr">
        <is>
          <t>Clothing</t>
        </is>
      </c>
      <c r="E1930" t="inlineStr">
        <is>
          <t>Hats</t>
        </is>
      </c>
      <c r="F1930" t="inlineStr">
        <is>
          <t>KC Caps</t>
        </is>
      </c>
      <c r="G1930" t="n">
        <v>0</v>
      </c>
      <c r="H1930" t="n">
        <v>0</v>
      </c>
      <c r="I1930" t="inlineStr">
        <is>
          <t>Optimized</t>
        </is>
      </c>
      <c r="J1930" s="29" t="n">
        <v>0</v>
      </c>
      <c r="K1930" s="30" t="n"/>
      <c r="L1930" s="29" t="n">
        <v>0</v>
      </c>
      <c r="M1930" s="29" t="n">
        <v>0</v>
      </c>
      <c r="N1930" s="2" t="n">
        <v>0</v>
      </c>
      <c r="O1930" s="31" t="n">
        <v>0</v>
      </c>
      <c r="P1930" s="32" t="n"/>
      <c r="Q1930" s="32" t="n">
        <v>0</v>
      </c>
      <c r="R1930" s="32" t="n">
        <v>0</v>
      </c>
      <c r="S1930" s="31" t="n">
        <v>0</v>
      </c>
      <c r="T1930" s="32" t="n">
        <v>0</v>
      </c>
      <c r="U1930" s="31" t="n">
        <v>0</v>
      </c>
      <c r="V1930" s="31" t="n">
        <v>0</v>
      </c>
      <c r="W1930" s="3" t="n">
        <v>0</v>
      </c>
      <c r="X1930" s="3" t="n">
        <v>0</v>
      </c>
      <c r="Y1930" s="32" t="n">
        <v>0</v>
      </c>
      <c r="Z1930" s="3" t="n">
        <v>0</v>
      </c>
      <c r="AA1930" s="32" t="n">
        <v>0</v>
      </c>
      <c r="AB1930" s="3" t="n"/>
      <c r="AC1930" s="31" t="n">
        <v>0</v>
      </c>
      <c r="AD1930" s="2" t="n">
        <v>0</v>
      </c>
      <c r="AE1930" s="2" t="n">
        <v>1</v>
      </c>
      <c r="AF1930" s="4" t="n">
        <v>1</v>
      </c>
      <c r="AG1930" s="33" t="n">
        <v>0</v>
      </c>
      <c r="AH1930" s="4" t="n">
        <v>0</v>
      </c>
      <c r="AI1930" s="34" t="n"/>
      <c r="AJ1930" s="34" t="n">
        <v>0</v>
      </c>
      <c r="AK1930" s="2" t="n">
        <v>0</v>
      </c>
      <c r="AL1930" t="inlineStr">
        <is>
          <t>Published</t>
        </is>
      </c>
    </row>
    <row r="1931">
      <c r="A1931">
        <f>HYPERLINK("https://www.walmart.com/ip/152283264", "152283264")</f>
        <v/>
      </c>
      <c r="B1931">
        <f>HYPERLINK("https://app.optiwise.ai/catalog/itemdetails/362409", "Catalonia Wearable TV Blanket with Sleeves Arms Warm Micro Plush Sherpa Fleece for Adult Large Wrap Throw Robe 72 x 55”")</f>
        <v/>
      </c>
      <c r="C1931" t="inlineStr">
        <is>
          <t>1CTSN110CA</t>
        </is>
      </c>
      <c r="D1931" t="inlineStr">
        <is>
          <t>Bedding</t>
        </is>
      </c>
      <c r="E1931" t="inlineStr">
        <is>
          <t>Throws</t>
        </is>
      </c>
      <c r="F1931" t="inlineStr">
        <is>
          <t>Catalonia</t>
        </is>
      </c>
      <c r="G1931" t="n">
        <v>0</v>
      </c>
      <c r="H1931" t="n">
        <v>0</v>
      </c>
      <c r="I1931" t="inlineStr">
        <is>
          <t>Optimized,WFS,WFS Item</t>
        </is>
      </c>
      <c r="J1931" s="29" t="n">
        <v>0</v>
      </c>
      <c r="K1931" s="30" t="n"/>
      <c r="L1931" s="29" t="n">
        <v>0</v>
      </c>
      <c r="M1931" s="29" t="n">
        <v>0</v>
      </c>
      <c r="N1931" s="2" t="n">
        <v>0</v>
      </c>
      <c r="O1931" s="31" t="n">
        <v>0</v>
      </c>
      <c r="P1931" s="32" t="n"/>
      <c r="Q1931" s="32" t="n">
        <v>0</v>
      </c>
      <c r="R1931" s="32" t="n">
        <v>0</v>
      </c>
      <c r="S1931" s="31" t="n">
        <v>0</v>
      </c>
      <c r="T1931" s="32" t="n">
        <v>0</v>
      </c>
      <c r="U1931" s="31" t="n">
        <v>0</v>
      </c>
      <c r="V1931" s="31" t="n">
        <v>0</v>
      </c>
      <c r="W1931" s="3" t="n">
        <v>0</v>
      </c>
      <c r="X1931" s="3" t="n">
        <v>0</v>
      </c>
      <c r="Y1931" s="32" t="n">
        <v>0</v>
      </c>
      <c r="Z1931" s="3" t="n">
        <v>0</v>
      </c>
      <c r="AA1931" s="32" t="n">
        <v>0</v>
      </c>
      <c r="AB1931" s="3" t="n"/>
      <c r="AC1931" s="31" t="n">
        <v>0</v>
      </c>
      <c r="AD1931" s="2" t="n">
        <v>0</v>
      </c>
      <c r="AE1931" s="2" t="n">
        <v>31</v>
      </c>
      <c r="AF1931" s="4" t="n">
        <v>31</v>
      </c>
      <c r="AG1931" s="33" t="n">
        <v>0</v>
      </c>
      <c r="AH1931" s="4" t="n">
        <v>0</v>
      </c>
      <c r="AI1931" s="34" t="n"/>
      <c r="AJ1931" s="34" t="n">
        <v>0</v>
      </c>
      <c r="AK1931" s="2" t="n">
        <v>0</v>
      </c>
      <c r="AL1931" t="inlineStr">
        <is>
          <t>Published</t>
        </is>
      </c>
    </row>
    <row r="1932">
      <c r="A1932">
        <f>HYPERLINK("https://www.walmart.com/ip/123858430", "123858430")</f>
        <v/>
      </c>
      <c r="B1932">
        <f>HYPERLINK("https://app.optiwise.ai/catalog/itemdetails/362407", "KC Caps® Unisex Two-Tone Washed Cotton Bucket Hat Cap Headwear, Medium/Large")</f>
        <v/>
      </c>
      <c r="C1932" t="inlineStr">
        <is>
          <t>KC9120GN-L</t>
        </is>
      </c>
      <c r="D1932" t="inlineStr">
        <is>
          <t>Clothing</t>
        </is>
      </c>
      <c r="E1932" t="inlineStr">
        <is>
          <t>Hats</t>
        </is>
      </c>
      <c r="F1932" t="inlineStr">
        <is>
          <t>KC Caps</t>
        </is>
      </c>
      <c r="G1932" t="n">
        <v>4.8</v>
      </c>
      <c r="H1932" t="n">
        <v>5</v>
      </c>
      <c r="I1932" t="inlineStr">
        <is>
          <t>Optimized</t>
        </is>
      </c>
      <c r="J1932" s="29" t="n">
        <v>0</v>
      </c>
      <c r="K1932" s="30" t="n"/>
      <c r="L1932" s="29" t="n">
        <v>0</v>
      </c>
      <c r="M1932" s="29" t="n">
        <v>0</v>
      </c>
      <c r="N1932" s="2" t="n">
        <v>0</v>
      </c>
      <c r="O1932" s="31" t="n">
        <v>0</v>
      </c>
      <c r="P1932" s="32" t="n"/>
      <c r="Q1932" s="32" t="n">
        <v>0</v>
      </c>
      <c r="R1932" s="32" t="n">
        <v>0</v>
      </c>
      <c r="S1932" s="31" t="n">
        <v>0</v>
      </c>
      <c r="T1932" s="32" t="n">
        <v>0</v>
      </c>
      <c r="U1932" s="31" t="n">
        <v>0</v>
      </c>
      <c r="V1932" s="31" t="n">
        <v>0</v>
      </c>
      <c r="W1932" s="3" t="n">
        <v>0</v>
      </c>
      <c r="X1932" s="3" t="n">
        <v>0</v>
      </c>
      <c r="Y1932" s="32" t="n">
        <v>0</v>
      </c>
      <c r="Z1932" s="3" t="n">
        <v>0</v>
      </c>
      <c r="AA1932" s="32" t="n">
        <v>0</v>
      </c>
      <c r="AB1932" s="3" t="n"/>
      <c r="AC1932" s="31" t="n">
        <v>0</v>
      </c>
      <c r="AD1932" s="2" t="n">
        <v>0</v>
      </c>
      <c r="AE1932" s="2" t="n">
        <v>3</v>
      </c>
      <c r="AF1932" s="4" t="n">
        <v>3</v>
      </c>
      <c r="AG1932" s="33" t="n">
        <v>0</v>
      </c>
      <c r="AH1932" s="4" t="n">
        <v>0</v>
      </c>
      <c r="AI1932" s="34" t="n"/>
      <c r="AJ1932" s="34" t="n">
        <v>0</v>
      </c>
      <c r="AK1932" s="2" t="n">
        <v>0</v>
      </c>
      <c r="AL1932" t="inlineStr">
        <is>
          <t>Published</t>
        </is>
      </c>
    </row>
    <row r="1933">
      <c r="A1933">
        <f>HYPERLINK("https://www.walmart.com/ip/816840346", "816840346")</f>
        <v/>
      </c>
      <c r="B1933">
        <f>HYPERLINK("https://app.optiwise.ai/catalog/itemdetails/362406", "Two-Piece Ladies Tankini Swimsuit for Women Swimsuits by Tirrinia")</f>
        <v/>
      </c>
      <c r="C1933" t="inlineStr">
        <is>
          <t>1TRSS003BL-M</t>
        </is>
      </c>
      <c r="D1933" t="inlineStr">
        <is>
          <t>Clothing</t>
        </is>
      </c>
      <c r="E1933" t="inlineStr">
        <is>
          <t>Swimsuit Sets</t>
        </is>
      </c>
      <c r="F1933" t="inlineStr">
        <is>
          <t>Tirrinia</t>
        </is>
      </c>
      <c r="G1933" t="n">
        <v>0</v>
      </c>
      <c r="H1933" t="n">
        <v>0</v>
      </c>
      <c r="J1933" s="29" t="n">
        <v>0</v>
      </c>
      <c r="K1933" s="30" t="n"/>
      <c r="L1933" s="29" t="n">
        <v>0</v>
      </c>
      <c r="M1933" s="29" t="n">
        <v>0</v>
      </c>
      <c r="N1933" s="2" t="n">
        <v>0</v>
      </c>
      <c r="O1933" s="31" t="n">
        <v>0</v>
      </c>
      <c r="P1933" s="32" t="n"/>
      <c r="Q1933" s="32" t="n">
        <v>0</v>
      </c>
      <c r="R1933" s="32" t="n">
        <v>0</v>
      </c>
      <c r="S1933" s="31" t="n">
        <v>0</v>
      </c>
      <c r="T1933" s="32" t="n">
        <v>0</v>
      </c>
      <c r="U1933" s="31" t="n">
        <v>0</v>
      </c>
      <c r="V1933" s="31" t="n">
        <v>0</v>
      </c>
      <c r="W1933" s="3" t="n">
        <v>0</v>
      </c>
      <c r="X1933" s="3" t="n">
        <v>0</v>
      </c>
      <c r="Y1933" s="32" t="n">
        <v>0</v>
      </c>
      <c r="Z1933" s="3" t="n">
        <v>0</v>
      </c>
      <c r="AA1933" s="32" t="n">
        <v>0</v>
      </c>
      <c r="AB1933" s="3" t="n"/>
      <c r="AC1933" s="31" t="n">
        <v>0</v>
      </c>
      <c r="AD1933" s="2" t="n">
        <v>0</v>
      </c>
      <c r="AE1933" s="2" t="n">
        <v>1</v>
      </c>
      <c r="AF1933" s="4" t="n">
        <v>1</v>
      </c>
      <c r="AG1933" s="33" t="n">
        <v>0</v>
      </c>
      <c r="AH1933" s="4" t="n">
        <v>0</v>
      </c>
      <c r="AI1933" s="34" t="n"/>
      <c r="AJ1933" s="34" t="n">
        <v>0</v>
      </c>
      <c r="AK1933" s="2" t="n">
        <v>0</v>
      </c>
      <c r="AL1933" t="inlineStr">
        <is>
          <t>Published</t>
        </is>
      </c>
    </row>
    <row r="1934">
      <c r="A1934">
        <f>HYPERLINK("https://www.walmart.com/ip/195647139", "195647139")</f>
        <v/>
      </c>
      <c r="B1934">
        <f>HYPERLINK("https://app.optiwise.ai/catalog/itemdetails/362396", "KC Caps Super Soft and Comfy Neon Orange Knit Beanie Winter Cap")</f>
        <v/>
      </c>
      <c r="C1934" t="inlineStr">
        <is>
          <t>KC-W1700-OR</t>
        </is>
      </c>
      <c r="D1934" t="inlineStr">
        <is>
          <t>Clothing</t>
        </is>
      </c>
      <c r="E1934" t="inlineStr">
        <is>
          <t>Hats</t>
        </is>
      </c>
      <c r="F1934" t="inlineStr">
        <is>
          <t>KC Caps</t>
        </is>
      </c>
      <c r="G1934" t="n">
        <v>0</v>
      </c>
      <c r="H1934" t="n">
        <v>0</v>
      </c>
      <c r="I1934" t="inlineStr">
        <is>
          <t>Optimized</t>
        </is>
      </c>
      <c r="J1934" s="29" t="n">
        <v>0</v>
      </c>
      <c r="K1934" s="30" t="n"/>
      <c r="L1934" s="29" t="n">
        <v>0</v>
      </c>
      <c r="M1934" s="29" t="n">
        <v>0</v>
      </c>
      <c r="N1934" s="2" t="n">
        <v>0</v>
      </c>
      <c r="O1934" s="31" t="n">
        <v>0</v>
      </c>
      <c r="P1934" s="32" t="n"/>
      <c r="Q1934" s="32" t="n">
        <v>0</v>
      </c>
      <c r="R1934" s="32" t="n">
        <v>0</v>
      </c>
      <c r="S1934" s="31" t="n">
        <v>0</v>
      </c>
      <c r="T1934" s="32" t="n">
        <v>0</v>
      </c>
      <c r="U1934" s="31" t="n">
        <v>0</v>
      </c>
      <c r="V1934" s="31" t="n">
        <v>0</v>
      </c>
      <c r="W1934" s="3" t="n">
        <v>0</v>
      </c>
      <c r="X1934" s="3" t="n">
        <v>0</v>
      </c>
      <c r="Y1934" s="32" t="n">
        <v>0</v>
      </c>
      <c r="Z1934" s="3" t="n">
        <v>0</v>
      </c>
      <c r="AA1934" s="32" t="n">
        <v>0</v>
      </c>
      <c r="AB1934" s="3" t="n"/>
      <c r="AC1934" s="31" t="n">
        <v>0</v>
      </c>
      <c r="AD1934" s="2" t="n">
        <v>0</v>
      </c>
      <c r="AE1934" s="2" t="n">
        <v>2</v>
      </c>
      <c r="AF1934" s="4" t="n">
        <v>2</v>
      </c>
      <c r="AG1934" s="33" t="n">
        <v>0</v>
      </c>
      <c r="AH1934" s="4" t="n">
        <v>0</v>
      </c>
      <c r="AI1934" s="34" t="n"/>
      <c r="AJ1934" s="34" t="n">
        <v>0</v>
      </c>
      <c r="AK1934" s="2" t="n">
        <v>0</v>
      </c>
      <c r="AL1934" t="inlineStr">
        <is>
          <t>Published</t>
        </is>
      </c>
    </row>
    <row r="1935">
      <c r="A1935">
        <f>HYPERLINK("https://www.walmart.com/ip/117100856", "117100856")</f>
        <v/>
      </c>
      <c r="B1935">
        <f>HYPERLINK("https://app.optiwise.ai/catalog/itemdetails/362393", "Catalonia Adult Knitted Mermaid Tail Blanket with Anti-Slip Neck Strap Soft Snuggie Throw All Seasons Sleep Bag 66.5” x")</f>
        <v/>
      </c>
      <c r="C1935" t="inlineStr">
        <is>
          <t>1CTMM100PK</t>
        </is>
      </c>
      <c r="D1935" t="inlineStr">
        <is>
          <t>Bedding</t>
        </is>
      </c>
      <c r="E1935" t="inlineStr">
        <is>
          <t>Throws</t>
        </is>
      </c>
      <c r="F1935" t="inlineStr">
        <is>
          <t>Catalonia</t>
        </is>
      </c>
      <c r="G1935" t="n">
        <v>3</v>
      </c>
      <c r="H1935" t="n">
        <v>2</v>
      </c>
      <c r="I1935" t="inlineStr">
        <is>
          <t>Optimized</t>
        </is>
      </c>
      <c r="J1935" s="29" t="n">
        <v>0</v>
      </c>
      <c r="K1935" s="30" t="n"/>
      <c r="L1935" s="29" t="n">
        <v>0</v>
      </c>
      <c r="M1935" s="29" t="n">
        <v>0</v>
      </c>
      <c r="N1935" s="2" t="n">
        <v>0</v>
      </c>
      <c r="O1935" s="31" t="n">
        <v>0</v>
      </c>
      <c r="P1935" s="32" t="n"/>
      <c r="Q1935" s="32" t="n">
        <v>0</v>
      </c>
      <c r="R1935" s="32" t="n">
        <v>0</v>
      </c>
      <c r="S1935" s="31" t="n">
        <v>0</v>
      </c>
      <c r="T1935" s="32" t="n">
        <v>0</v>
      </c>
      <c r="U1935" s="31" t="n">
        <v>0</v>
      </c>
      <c r="V1935" s="31" t="n">
        <v>0</v>
      </c>
      <c r="W1935" s="3" t="n">
        <v>0</v>
      </c>
      <c r="X1935" s="3" t="n">
        <v>0</v>
      </c>
      <c r="Y1935" s="32" t="n">
        <v>0</v>
      </c>
      <c r="Z1935" s="3" t="n">
        <v>0</v>
      </c>
      <c r="AA1935" s="32" t="n">
        <v>0</v>
      </c>
      <c r="AB1935" s="3" t="n"/>
      <c r="AC1935" s="31" t="n">
        <v>0</v>
      </c>
      <c r="AD1935" s="2" t="n">
        <v>0</v>
      </c>
      <c r="AE1935" s="2" t="n">
        <v>16</v>
      </c>
      <c r="AF1935" s="4" t="n">
        <v>16</v>
      </c>
      <c r="AG1935" s="33" t="n">
        <v>0</v>
      </c>
      <c r="AH1935" s="4" t="n">
        <v>0</v>
      </c>
      <c r="AI1935" s="34" t="n"/>
      <c r="AJ1935" s="34" t="n">
        <v>0</v>
      </c>
      <c r="AK1935" s="2" t="n">
        <v>0</v>
      </c>
      <c r="AL1935" t="inlineStr">
        <is>
          <t>Published</t>
        </is>
      </c>
    </row>
    <row r="1936">
      <c r="A1936">
        <f>HYPERLINK("https://www.walmart.com/ip/206726785", "206726785")</f>
        <v/>
      </c>
      <c r="B1936">
        <f>HYPERLINK("https://app.optiwise.ai/catalog/itemdetails/362390", "Tirrinia Snowflake Sherpa Throw Blanket 50 x 60, Super Soft Fluffy Sherpa Throw TV Blanket Decorative Blanket for Bed Couch Holidays | Catalonia series | Beige")</f>
        <v/>
      </c>
      <c r="C1936" t="inlineStr">
        <is>
          <t>1TRBF390BG-TBCB</t>
        </is>
      </c>
      <c r="D1936" t="inlineStr">
        <is>
          <t>Bedding</t>
        </is>
      </c>
      <c r="E1936" t="inlineStr">
        <is>
          <t>Throws</t>
        </is>
      </c>
      <c r="F1936" t="inlineStr">
        <is>
          <t>Tirrinia</t>
        </is>
      </c>
      <c r="G1936" t="n">
        <v>4.8</v>
      </c>
      <c r="H1936" t="n">
        <v>5</v>
      </c>
      <c r="I1936" t="inlineStr">
        <is>
          <t>Batch 1 - TR</t>
        </is>
      </c>
      <c r="J1936" s="29" t="n">
        <v>0</v>
      </c>
      <c r="K1936" s="30" t="n"/>
      <c r="L1936" s="29" t="n">
        <v>0</v>
      </c>
      <c r="M1936" s="29" t="n">
        <v>0</v>
      </c>
      <c r="N1936" s="2" t="n">
        <v>0</v>
      </c>
      <c r="O1936" s="31" t="n">
        <v>0</v>
      </c>
      <c r="P1936" s="32" t="n"/>
      <c r="Q1936" s="32" t="n">
        <v>0</v>
      </c>
      <c r="R1936" s="32" t="n">
        <v>0</v>
      </c>
      <c r="S1936" s="31" t="n">
        <v>0</v>
      </c>
      <c r="T1936" s="32" t="n">
        <v>0</v>
      </c>
      <c r="U1936" s="31" t="n">
        <v>0</v>
      </c>
      <c r="V1936" s="31" t="n">
        <v>0</v>
      </c>
      <c r="W1936" s="3" t="n">
        <v>0</v>
      </c>
      <c r="X1936" s="3" t="n">
        <v>0</v>
      </c>
      <c r="Y1936" s="32" t="n">
        <v>0</v>
      </c>
      <c r="Z1936" s="3" t="n">
        <v>0</v>
      </c>
      <c r="AA1936" s="32" t="n">
        <v>0</v>
      </c>
      <c r="AB1936" s="3" t="n"/>
      <c r="AC1936" s="31" t="n">
        <v>0</v>
      </c>
      <c r="AD1936" s="2" t="n">
        <v>0</v>
      </c>
      <c r="AE1936" s="2" t="n">
        <v>1</v>
      </c>
      <c r="AF1936" s="4" t="n">
        <v>1</v>
      </c>
      <c r="AG1936" s="33" t="n">
        <v>0</v>
      </c>
      <c r="AH1936" s="4" t="n">
        <v>0</v>
      </c>
      <c r="AI1936" s="34" t="n"/>
      <c r="AJ1936" s="34" t="n">
        <v>0</v>
      </c>
      <c r="AK1936" s="2" t="n">
        <v>0</v>
      </c>
      <c r="AL1936" t="inlineStr">
        <is>
          <t>Published</t>
        </is>
      </c>
    </row>
    <row r="1937">
      <c r="A1937">
        <f>HYPERLINK("https://www.walmart.com/ip/273815087", "273815087")</f>
        <v/>
      </c>
      <c r="B1937">
        <f>HYPERLINK("https://app.optiwise.ai/catalog/itemdetails/362387", "Sherpa Throw Blanket Snowflake Pattern, Reversible Micro Fleece TV Blanket All Season for Bed or Couch 50 x 60")</f>
        <v/>
      </c>
      <c r="C1937" t="inlineStr">
        <is>
          <t>1TRBF390RD-TBCB</t>
        </is>
      </c>
      <c r="D1937" t="inlineStr">
        <is>
          <t>Bedding</t>
        </is>
      </c>
      <c r="E1937" t="inlineStr">
        <is>
          <t>Throws</t>
        </is>
      </c>
      <c r="F1937" t="inlineStr">
        <is>
          <t>Tirrinia</t>
        </is>
      </c>
      <c r="G1937" t="n">
        <v>4.9</v>
      </c>
      <c r="H1937" t="n">
        <v>8</v>
      </c>
      <c r="I1937" t="inlineStr">
        <is>
          <t>Coupon_Discount,Batch 1 - TR</t>
        </is>
      </c>
      <c r="J1937" s="29" t="n">
        <v>0</v>
      </c>
      <c r="K1937" s="30" t="n"/>
      <c r="L1937" s="29" t="n">
        <v>0</v>
      </c>
      <c r="M1937" s="29" t="n">
        <v>0</v>
      </c>
      <c r="N1937" s="2" t="n">
        <v>0</v>
      </c>
      <c r="O1937" s="31" t="n">
        <v>0</v>
      </c>
      <c r="P1937" s="32" t="n"/>
      <c r="Q1937" s="32" t="n">
        <v>0</v>
      </c>
      <c r="R1937" s="32" t="n">
        <v>0</v>
      </c>
      <c r="S1937" s="31" t="n">
        <v>0</v>
      </c>
      <c r="T1937" s="32" t="n">
        <v>0</v>
      </c>
      <c r="U1937" s="31" t="n">
        <v>0</v>
      </c>
      <c r="V1937" s="31" t="n">
        <v>0</v>
      </c>
      <c r="W1937" s="3" t="n">
        <v>0</v>
      </c>
      <c r="X1937" s="3" t="n">
        <v>0</v>
      </c>
      <c r="Y1937" s="32" t="n">
        <v>0</v>
      </c>
      <c r="Z1937" s="3" t="n">
        <v>0</v>
      </c>
      <c r="AA1937" s="32" t="n">
        <v>0</v>
      </c>
      <c r="AB1937" s="3" t="n"/>
      <c r="AC1937" s="31" t="n">
        <v>0</v>
      </c>
      <c r="AD1937" s="2" t="n">
        <v>0</v>
      </c>
      <c r="AE1937" s="2" t="n">
        <v>31</v>
      </c>
      <c r="AF1937" s="4" t="n">
        <v>31</v>
      </c>
      <c r="AG1937" s="33" t="n">
        <v>0</v>
      </c>
      <c r="AH1937" s="4" t="n">
        <v>0</v>
      </c>
      <c r="AI1937" s="34" t="n"/>
      <c r="AJ1937" s="34" t="n">
        <v>0</v>
      </c>
      <c r="AK1937" s="2" t="n">
        <v>0</v>
      </c>
      <c r="AL1937" t="inlineStr">
        <is>
          <t>Published</t>
        </is>
      </c>
    </row>
    <row r="1938">
      <c r="A1938">
        <f>HYPERLINK("https://www.walmart.com/ip/670578162", "670578162")</f>
        <v/>
      </c>
      <c r="B1938">
        <f>HYPERLINK("https://app.optiwise.ai/catalog/itemdetails/362383", "Catalonia Cow Print Sherpa Fleece Blanket, Super Soft Warm Cozy Flannel Reversible Throw Blanket for Couch Sofa Bed, 50 x 60")</f>
        <v/>
      </c>
      <c r="C1938" t="inlineStr">
        <is>
          <t>1CTBF300DMT</t>
        </is>
      </c>
      <c r="D1938" t="inlineStr">
        <is>
          <t>Bedding</t>
        </is>
      </c>
      <c r="E1938" t="inlineStr">
        <is>
          <t>Throws</t>
        </is>
      </c>
      <c r="F1938" t="inlineStr">
        <is>
          <t>Catalonia</t>
        </is>
      </c>
      <c r="G1938" t="n">
        <v>0</v>
      </c>
      <c r="H1938" t="n">
        <v>0</v>
      </c>
      <c r="I1938" t="inlineStr">
        <is>
          <t>Q2-Target,WFS,SeePriceInCart,WFS Item,Fleece Blankets</t>
        </is>
      </c>
      <c r="J1938" s="29" t="n">
        <v>0</v>
      </c>
      <c r="K1938" s="30" t="n"/>
      <c r="L1938" s="29" t="n">
        <v>0</v>
      </c>
      <c r="M1938" s="29" t="n">
        <v>0</v>
      </c>
      <c r="N1938" s="2" t="n">
        <v>0</v>
      </c>
      <c r="O1938" s="31" t="n">
        <v>0</v>
      </c>
      <c r="P1938" s="32" t="n"/>
      <c r="Q1938" s="32" t="n">
        <v>0</v>
      </c>
      <c r="R1938" s="32" t="n">
        <v>0.1913</v>
      </c>
      <c r="S1938" s="31" t="n">
        <v>0</v>
      </c>
      <c r="T1938" s="32" t="n">
        <v>0</v>
      </c>
      <c r="U1938" s="31" t="n">
        <v>0</v>
      </c>
      <c r="V1938" s="31" t="n">
        <v>0</v>
      </c>
      <c r="W1938" s="3" t="n">
        <v>1052</v>
      </c>
      <c r="X1938" s="3" t="n">
        <v>0</v>
      </c>
      <c r="Y1938" s="32" t="n">
        <v>0</v>
      </c>
      <c r="Z1938" s="3" t="n">
        <v>0</v>
      </c>
      <c r="AA1938" s="32" t="n">
        <v>0</v>
      </c>
      <c r="AB1938" s="3" t="inlineStr">
        <is>
          <t>Top Selling Last Year 2023</t>
        </is>
      </c>
      <c r="AC1938" s="31" t="n">
        <v>0</v>
      </c>
      <c r="AD1938" s="2" t="n">
        <v>17</v>
      </c>
      <c r="AE1938" s="2" t="n">
        <v>16</v>
      </c>
      <c r="AF1938" s="4" t="n">
        <v>16</v>
      </c>
      <c r="AG1938" s="33" t="n">
        <v>0</v>
      </c>
      <c r="AH1938" s="4" t="n">
        <v>0</v>
      </c>
      <c r="AI1938" s="34" t="n"/>
      <c r="AJ1938" s="34" t="n">
        <v>0</v>
      </c>
      <c r="AK1938" s="2" t="n">
        <v>0</v>
      </c>
      <c r="AL1938" t="inlineStr">
        <is>
          <t>Published</t>
        </is>
      </c>
    </row>
    <row r="1939">
      <c r="A1939">
        <f>HYPERLINK("https://www.walmart.com/ip/417731551", "417731551")</f>
        <v/>
      </c>
      <c r="B1939">
        <f>HYPERLINK("https://app.optiwise.ai/catalog/itemdetails/362380", "Women's High Waist Yoga Pants Workout Running Capri Legging Inner Pocket")</f>
        <v/>
      </c>
      <c r="C1939" t="inlineStr">
        <is>
          <t>1TRYP102PK-XXL</t>
        </is>
      </c>
      <c r="D1939" t="inlineStr">
        <is>
          <t>Clothing</t>
        </is>
      </c>
      <c r="E1939" t="inlineStr">
        <is>
          <t>Leggings</t>
        </is>
      </c>
      <c r="F1939" t="inlineStr">
        <is>
          <t>Tirrinia</t>
        </is>
      </c>
      <c r="G1939" t="n">
        <v>0</v>
      </c>
      <c r="H1939" t="n">
        <v>0</v>
      </c>
      <c r="I1939" t="inlineStr">
        <is>
          <t>Optimized</t>
        </is>
      </c>
      <c r="J1939" s="29" t="n">
        <v>0</v>
      </c>
      <c r="K1939" s="30" t="n"/>
      <c r="L1939" s="29" t="n">
        <v>0</v>
      </c>
      <c r="M1939" s="29" t="n">
        <v>0</v>
      </c>
      <c r="N1939" s="2" t="n">
        <v>0</v>
      </c>
      <c r="O1939" s="31" t="n">
        <v>0</v>
      </c>
      <c r="P1939" s="32" t="n"/>
      <c r="Q1939" s="32" t="n">
        <v>0</v>
      </c>
      <c r="R1939" s="32" t="n">
        <v>0</v>
      </c>
      <c r="S1939" s="31" t="n">
        <v>0</v>
      </c>
      <c r="T1939" s="32" t="n">
        <v>0</v>
      </c>
      <c r="U1939" s="31" t="n">
        <v>0</v>
      </c>
      <c r="V1939" s="31" t="n">
        <v>0</v>
      </c>
      <c r="W1939" s="3" t="n">
        <v>0</v>
      </c>
      <c r="X1939" s="3" t="n">
        <v>0</v>
      </c>
      <c r="Y1939" s="32" t="n">
        <v>0</v>
      </c>
      <c r="Z1939" s="3" t="n">
        <v>0</v>
      </c>
      <c r="AA1939" s="32" t="n">
        <v>0</v>
      </c>
      <c r="AB1939" s="3" t="n"/>
      <c r="AC1939" s="31" t="n">
        <v>0</v>
      </c>
      <c r="AD1939" s="2" t="n">
        <v>0</v>
      </c>
      <c r="AE1939" s="2" t="n">
        <v>2</v>
      </c>
      <c r="AF1939" s="4" t="n">
        <v>2</v>
      </c>
      <c r="AG1939" s="33" t="n">
        <v>0</v>
      </c>
      <c r="AH1939" s="4" t="n">
        <v>0</v>
      </c>
      <c r="AI1939" s="34" t="n"/>
      <c r="AJ1939" s="34" t="n">
        <v>0</v>
      </c>
      <c r="AK1939" s="2" t="n">
        <v>0</v>
      </c>
      <c r="AL1939" t="inlineStr">
        <is>
          <t>Published</t>
        </is>
      </c>
    </row>
    <row r="1940">
      <c r="A1940">
        <f>HYPERLINK("https://www.walmart.com/ip/197824713", "197824713")</f>
        <v/>
      </c>
      <c r="B1940">
        <f>HYPERLINK("https://app.optiwise.ai/catalog/itemdetails/362431", "KC Caps Super Soft and Comfy Knit Beanie Winter Cap Pink")</f>
        <v/>
      </c>
      <c r="C1940" t="inlineStr">
        <is>
          <t>kc-w1600pk</t>
        </is>
      </c>
      <c r="D1940" t="inlineStr">
        <is>
          <t>Clothing</t>
        </is>
      </c>
      <c r="E1940" t="inlineStr">
        <is>
          <t>Hats</t>
        </is>
      </c>
      <c r="F1940" t="inlineStr">
        <is>
          <t>KC Caps</t>
        </is>
      </c>
      <c r="G1940" t="n">
        <v>0</v>
      </c>
      <c r="H1940" t="n">
        <v>0</v>
      </c>
      <c r="I1940" t="inlineStr">
        <is>
          <t>Optimized</t>
        </is>
      </c>
      <c r="J1940" s="29" t="n">
        <v>0</v>
      </c>
      <c r="K1940" s="30" t="n"/>
      <c r="L1940" s="29" t="n">
        <v>0</v>
      </c>
      <c r="M1940" s="29" t="n">
        <v>0</v>
      </c>
      <c r="N1940" s="2" t="n">
        <v>0</v>
      </c>
      <c r="O1940" s="31" t="n">
        <v>0</v>
      </c>
      <c r="P1940" s="32" t="n"/>
      <c r="Q1940" s="32" t="n">
        <v>0</v>
      </c>
      <c r="R1940" s="32" t="n">
        <v>0</v>
      </c>
      <c r="S1940" s="31" t="n">
        <v>0</v>
      </c>
      <c r="T1940" s="32" t="n">
        <v>0</v>
      </c>
      <c r="U1940" s="31" t="n">
        <v>0</v>
      </c>
      <c r="V1940" s="31" t="n">
        <v>0</v>
      </c>
      <c r="W1940" s="3" t="n">
        <v>0</v>
      </c>
      <c r="X1940" s="3" t="n">
        <v>0</v>
      </c>
      <c r="Y1940" s="32" t="n">
        <v>0</v>
      </c>
      <c r="Z1940" s="3" t="n">
        <v>0</v>
      </c>
      <c r="AA1940" s="32" t="n">
        <v>0</v>
      </c>
      <c r="AB1940" s="3" t="n"/>
      <c r="AC1940" s="31" t="n">
        <v>0</v>
      </c>
      <c r="AD1940" s="2" t="n">
        <v>0</v>
      </c>
      <c r="AE1940" s="2" t="n">
        <v>2</v>
      </c>
      <c r="AF1940" s="4" t="n">
        <v>2</v>
      </c>
      <c r="AG1940" s="33" t="n">
        <v>0</v>
      </c>
      <c r="AH1940" s="4" t="n">
        <v>0</v>
      </c>
      <c r="AI1940" s="34" t="n"/>
      <c r="AJ1940" s="34" t="n">
        <v>0</v>
      </c>
      <c r="AK1940" s="2" t="n">
        <v>0</v>
      </c>
      <c r="AL1940" t="inlineStr">
        <is>
          <t>Published</t>
        </is>
      </c>
    </row>
    <row r="1941">
      <c r="A1941">
        <f>HYPERLINK("https://www.walmart.com/ip/991629663", "991629663")</f>
        <v/>
      </c>
      <c r="B1941">
        <f>HYPERLINK("https://app.optiwise.ai/catalog/itemdetails/362378", "Tirrinia Wine Cooler bag - 3 Bottle Travel Insulated Padded Wine Carrier Tote Bag with Handle and Adjustable Shoulder Strap")</f>
        <v/>
      </c>
      <c r="C1941" t="inlineStr">
        <is>
          <t>1WMWB310RD</t>
        </is>
      </c>
      <c r="D1941" t="inlineStr">
        <is>
          <t>Home Decor, Kitchen, &amp; Other</t>
        </is>
      </c>
      <c r="E1941" t="inlineStr">
        <is>
          <t>Wine Totes, Bags &amp; Backpacks</t>
        </is>
      </c>
      <c r="F1941" t="inlineStr">
        <is>
          <t>Flyingstar</t>
        </is>
      </c>
      <c r="G1941" t="n">
        <v>0</v>
      </c>
      <c r="H1941" t="n">
        <v>0</v>
      </c>
      <c r="I1941" t="inlineStr">
        <is>
          <t>Wine,Christmas,Valentine</t>
        </is>
      </c>
      <c r="J1941" s="29" t="n">
        <v>0</v>
      </c>
      <c r="K1941" s="30" t="n"/>
      <c r="L1941" s="29" t="n">
        <v>0</v>
      </c>
      <c r="M1941" s="29" t="n">
        <v>0</v>
      </c>
      <c r="N1941" s="2" t="n">
        <v>0</v>
      </c>
      <c r="O1941" s="31" t="n">
        <v>0</v>
      </c>
      <c r="P1941" s="32" t="n"/>
      <c r="Q1941" s="32" t="n">
        <v>0</v>
      </c>
      <c r="R1941" s="32" t="n">
        <v>0</v>
      </c>
      <c r="S1941" s="31" t="n">
        <v>0</v>
      </c>
      <c r="T1941" s="32" t="n">
        <v>0</v>
      </c>
      <c r="U1941" s="31" t="n">
        <v>0</v>
      </c>
      <c r="V1941" s="31" t="n">
        <v>0</v>
      </c>
      <c r="W1941" s="3" t="n">
        <v>0</v>
      </c>
      <c r="X1941" s="3" t="n">
        <v>0</v>
      </c>
      <c r="Y1941" s="32" t="n">
        <v>0</v>
      </c>
      <c r="Z1941" s="3" t="n">
        <v>0</v>
      </c>
      <c r="AA1941" s="32" t="n">
        <v>0</v>
      </c>
      <c r="AB1941" s="3" t="n"/>
      <c r="AC1941" s="31" t="n">
        <v>0</v>
      </c>
      <c r="AD1941" s="2" t="n">
        <v>0</v>
      </c>
      <c r="AE1941" s="2" t="n">
        <v>16</v>
      </c>
      <c r="AF1941" s="4" t="n">
        <v>16</v>
      </c>
      <c r="AG1941" s="33" t="n">
        <v>0</v>
      </c>
      <c r="AH1941" s="4" t="n">
        <v>0</v>
      </c>
      <c r="AI1941" s="34" t="n"/>
      <c r="AJ1941" s="34" t="n">
        <v>0</v>
      </c>
      <c r="AK1941" s="2" t="n">
        <v>0</v>
      </c>
      <c r="AL1941" t="inlineStr">
        <is>
          <t>Published</t>
        </is>
      </c>
    </row>
    <row r="1942">
      <c r="A1942">
        <f>HYPERLINK("https://www.walmart.com/ip/483192747", "483192747")</f>
        <v/>
      </c>
      <c r="B1942">
        <f>HYPERLINK("https://app.optiwise.ai/catalog/itemdetails/362376", "Sherpa Throws Blanket Plaid Design Super Soft Flannel Micro Mink Fleece Plush Couch Blanket Reversible Bed Throw TV Blan")</f>
        <v/>
      </c>
      <c r="C1942" t="inlineStr">
        <is>
          <t>1TRBF563PRD-TBCB</t>
        </is>
      </c>
      <c r="D1942" t="inlineStr">
        <is>
          <t>Bedding</t>
        </is>
      </c>
      <c r="E1942" t="inlineStr">
        <is>
          <t>Throws</t>
        </is>
      </c>
      <c r="F1942" t="inlineStr">
        <is>
          <t>Tirrinia</t>
        </is>
      </c>
      <c r="G1942" t="n">
        <v>5</v>
      </c>
      <c r="H1942" t="n">
        <v>2</v>
      </c>
      <c r="I1942" t="inlineStr">
        <is>
          <t>cost-added</t>
        </is>
      </c>
      <c r="J1942" s="29" t="n">
        <v>0</v>
      </c>
      <c r="K1942" s="30" t="n"/>
      <c r="L1942" s="29" t="n">
        <v>0</v>
      </c>
      <c r="M1942" s="29" t="n">
        <v>0</v>
      </c>
      <c r="N1942" s="2" t="n">
        <v>0</v>
      </c>
      <c r="O1942" s="31" t="n">
        <v>0</v>
      </c>
      <c r="P1942" s="32" t="n"/>
      <c r="Q1942" s="32" t="n">
        <v>0</v>
      </c>
      <c r="R1942" s="32" t="n">
        <v>0</v>
      </c>
      <c r="S1942" s="31" t="n">
        <v>0</v>
      </c>
      <c r="T1942" s="32" t="n">
        <v>0</v>
      </c>
      <c r="U1942" s="31" t="n">
        <v>0</v>
      </c>
      <c r="V1942" s="31" t="n">
        <v>0</v>
      </c>
      <c r="W1942" s="3" t="n">
        <v>0</v>
      </c>
      <c r="X1942" s="3" t="n">
        <v>0</v>
      </c>
      <c r="Y1942" s="32" t="n">
        <v>0</v>
      </c>
      <c r="Z1942" s="3" t="n">
        <v>0</v>
      </c>
      <c r="AA1942" s="32" t="n">
        <v>0</v>
      </c>
      <c r="AB1942" s="3" t="n"/>
      <c r="AC1942" s="31" t="n">
        <v>0</v>
      </c>
      <c r="AD1942" s="2" t="n">
        <v>0</v>
      </c>
      <c r="AE1942" s="2" t="n">
        <v>5</v>
      </c>
      <c r="AF1942" s="4" t="n">
        <v>5</v>
      </c>
      <c r="AG1942" s="33" t="n">
        <v>0</v>
      </c>
      <c r="AH1942" s="4" t="n">
        <v>0</v>
      </c>
      <c r="AI1942" s="34" t="n"/>
      <c r="AJ1942" s="34" t="n">
        <v>0</v>
      </c>
      <c r="AK1942" s="2" t="n">
        <v>0</v>
      </c>
      <c r="AL1942" t="inlineStr">
        <is>
          <t>Published</t>
        </is>
      </c>
    </row>
    <row r="1943">
      <c r="A1943">
        <f>HYPERLINK("https://www.walmart.com/ip/757558691", "757558691")</f>
        <v/>
      </c>
      <c r="B1943">
        <f>HYPERLINK("https://app.optiwise.ai/catalog/itemdetails/362375", "Women’s Crop Top Hoodie Sweatshirt Oversized Casual 3/4 Sleeve One Size Grey")</f>
        <v/>
      </c>
      <c r="C1943" t="inlineStr">
        <is>
          <t>1WMHD520S1GY</t>
        </is>
      </c>
      <c r="D1943" t="inlineStr">
        <is>
          <t>Clothing</t>
        </is>
      </c>
      <c r="E1943" t="inlineStr">
        <is>
          <t>Sweatshirts &amp; Hoodies</t>
        </is>
      </c>
      <c r="F1943" t="inlineStr">
        <is>
          <t>Flyingstar</t>
        </is>
      </c>
      <c r="G1943" t="n">
        <v>0</v>
      </c>
      <c r="H1943" t="n">
        <v>0</v>
      </c>
      <c r="I1943" t="inlineStr">
        <is>
          <t>Hoodie ForAdult,Optimized</t>
        </is>
      </c>
      <c r="J1943" s="29" t="n">
        <v>0</v>
      </c>
      <c r="K1943" s="30" t="n"/>
      <c r="L1943" s="29" t="n">
        <v>12.98999977111816</v>
      </c>
      <c r="M1943" s="29" t="n">
        <v>0</v>
      </c>
      <c r="N1943" s="2" t="n">
        <v>0</v>
      </c>
      <c r="O1943" s="31" t="n">
        <v>2.68</v>
      </c>
      <c r="P1943" s="32" t="n">
        <v>0.0003</v>
      </c>
      <c r="Q1943" s="32" t="n">
        <v>0</v>
      </c>
      <c r="R1943" s="32" t="n">
        <v>0</v>
      </c>
      <c r="S1943" s="31" t="n">
        <v>0</v>
      </c>
      <c r="T1943" s="32" t="n">
        <v>0</v>
      </c>
      <c r="U1943" s="31" t="n">
        <v>0</v>
      </c>
      <c r="V1943" s="31" t="n">
        <v>0</v>
      </c>
      <c r="W1943" s="3" t="n">
        <v>9240</v>
      </c>
      <c r="X1943" s="3" t="n">
        <v>7</v>
      </c>
      <c r="Y1943" s="32" t="n">
        <v>0.0008</v>
      </c>
      <c r="Z1943" s="3" t="n">
        <v>0</v>
      </c>
      <c r="AA1943" s="32" t="n">
        <v>0</v>
      </c>
      <c r="AB1943" s="3" t="inlineStr">
        <is>
          <t>Hoodies_Auto</t>
        </is>
      </c>
      <c r="AC1943" s="31" t="n">
        <v>0.38</v>
      </c>
      <c r="AD1943" s="2" t="n">
        <v>0</v>
      </c>
      <c r="AE1943" s="2" t="n">
        <v>5</v>
      </c>
      <c r="AF1943" s="4" t="inlineStr">
        <is>
          <t>NA</t>
        </is>
      </c>
      <c r="AG1943" s="33" t="n">
        <v>0</v>
      </c>
      <c r="AH1943" s="4" t="n">
        <v>0</v>
      </c>
      <c r="AI1943" s="34" t="inlineStr">
        <is>
          <t>NA</t>
        </is>
      </c>
      <c r="AJ1943" s="34" t="n">
        <v>0</v>
      </c>
      <c r="AK1943" s="2" t="n">
        <v>0</v>
      </c>
      <c r="AL1943" t="inlineStr">
        <is>
          <t>Published</t>
        </is>
      </c>
    </row>
    <row r="1944">
      <c r="A1944">
        <f>HYPERLINK("https://www.walmart.com/ip/935225656", "935225656")</f>
        <v/>
      </c>
      <c r="B1944">
        <f>HYPERLINK("https://app.optiwise.ai/catalog/itemdetails/362374", "Tirrinia Soft Velvet Plush Throw Blanket 50”x 70” Microfiber Lightweight Warm Home Bed Sofa Couch")</f>
        <v/>
      </c>
      <c r="C1944" t="inlineStr">
        <is>
          <t>1TRBF8023GY-TBGM</t>
        </is>
      </c>
      <c r="D1944" t="inlineStr">
        <is>
          <t>Bedding</t>
        </is>
      </c>
      <c r="E1944" t="inlineStr">
        <is>
          <t>Throws</t>
        </is>
      </c>
      <c r="F1944" t="inlineStr">
        <is>
          <t>Tirrinia</t>
        </is>
      </c>
      <c r="G1944" t="n">
        <v>5</v>
      </c>
      <c r="H1944" t="n">
        <v>1</v>
      </c>
      <c r="I1944" t="inlineStr">
        <is>
          <t>Optimized</t>
        </is>
      </c>
      <c r="J1944" s="29" t="n">
        <v>0</v>
      </c>
      <c r="K1944" s="30" t="n"/>
      <c r="L1944" s="29" t="n">
        <v>0</v>
      </c>
      <c r="M1944" s="29" t="n">
        <v>0</v>
      </c>
      <c r="N1944" s="2" t="n">
        <v>0</v>
      </c>
      <c r="O1944" s="31" t="n">
        <v>0</v>
      </c>
      <c r="P1944" s="32" t="n"/>
      <c r="Q1944" s="32" t="n">
        <v>0</v>
      </c>
      <c r="R1944" s="32" t="n">
        <v>0</v>
      </c>
      <c r="S1944" s="31" t="n">
        <v>0</v>
      </c>
      <c r="T1944" s="32" t="n">
        <v>0</v>
      </c>
      <c r="U1944" s="31" t="n">
        <v>0</v>
      </c>
      <c r="V1944" s="31" t="n">
        <v>0</v>
      </c>
      <c r="W1944" s="3" t="n">
        <v>0</v>
      </c>
      <c r="X1944" s="3" t="n">
        <v>0</v>
      </c>
      <c r="Y1944" s="32" t="n">
        <v>0</v>
      </c>
      <c r="Z1944" s="3" t="n">
        <v>0</v>
      </c>
      <c r="AA1944" s="32" t="n">
        <v>0</v>
      </c>
      <c r="AB1944" s="3" t="n"/>
      <c r="AC1944" s="31" t="n">
        <v>0</v>
      </c>
      <c r="AD1944" s="2" t="n">
        <v>0</v>
      </c>
      <c r="AE1944" s="2" t="n">
        <v>10</v>
      </c>
      <c r="AF1944" s="4" t="n">
        <v>10</v>
      </c>
      <c r="AG1944" s="33" t="n">
        <v>0</v>
      </c>
      <c r="AH1944" s="4" t="n">
        <v>0</v>
      </c>
      <c r="AI1944" s="34" t="n"/>
      <c r="AJ1944" s="34" t="n">
        <v>0</v>
      </c>
      <c r="AK1944" s="2" t="n">
        <v>0</v>
      </c>
      <c r="AL1944" t="inlineStr">
        <is>
          <t>Published</t>
        </is>
      </c>
    </row>
    <row r="1945">
      <c r="A1945">
        <f>HYPERLINK("https://www.walmart.com/ip/989796392", "989796392")</f>
        <v/>
      </c>
      <c r="B1945">
        <f>HYPERLINK("https://app.optiwise.ai/catalog/itemdetails/362369", "3 Pack Wine Purse Replacement Bags - 3L, BPA Free Reusable Refillable Wine Replacement Storage Pouch with Spout, Portable Wine/Drink Disposable Beverage Bladders, Perfect for Travel Camping Hiking")</f>
        <v/>
      </c>
      <c r="C1945" t="inlineStr">
        <is>
          <t>1TRLSB300SL-3PK</t>
        </is>
      </c>
      <c r="D1945" t="inlineStr">
        <is>
          <t>Home Decor, Kitchen, &amp; Other</t>
        </is>
      </c>
      <c r="E1945" t="inlineStr">
        <is>
          <t>Wine Totes, Bags &amp; Backpacks</t>
        </is>
      </c>
      <c r="F1945" t="inlineStr">
        <is>
          <t>Tirrinia</t>
        </is>
      </c>
      <c r="G1945" t="n">
        <v>0</v>
      </c>
      <c r="H1945" t="n">
        <v>0</v>
      </c>
      <c r="I1945" t="inlineStr">
        <is>
          <t>Optimized</t>
        </is>
      </c>
      <c r="J1945" s="29" t="n">
        <v>0</v>
      </c>
      <c r="K1945" s="30" t="n"/>
      <c r="L1945" s="29" t="n">
        <v>0</v>
      </c>
      <c r="M1945" s="29" t="n">
        <v>0</v>
      </c>
      <c r="N1945" s="2" t="n">
        <v>0</v>
      </c>
      <c r="O1945" s="31" t="n">
        <v>0</v>
      </c>
      <c r="P1945" s="32" t="n"/>
      <c r="Q1945" s="32" t="n">
        <v>0</v>
      </c>
      <c r="R1945" s="32" t="n">
        <v>0.1038</v>
      </c>
      <c r="S1945" s="31" t="n">
        <v>0</v>
      </c>
      <c r="T1945" s="32" t="n">
        <v>0</v>
      </c>
      <c r="U1945" s="31" t="n">
        <v>0</v>
      </c>
      <c r="V1945" s="31" t="n">
        <v>0</v>
      </c>
      <c r="W1945" s="3" t="n">
        <v>8</v>
      </c>
      <c r="X1945" s="3" t="n">
        <v>0</v>
      </c>
      <c r="Y1945" s="32" t="n">
        <v>0</v>
      </c>
      <c r="Z1945" s="3" t="n">
        <v>0</v>
      </c>
      <c r="AA1945" s="32" t="n">
        <v>0</v>
      </c>
      <c r="AB1945" s="3" t="inlineStr">
        <is>
          <t>All Items_Auto_Optiwise_24,Auto Campaign_Vinay</t>
        </is>
      </c>
      <c r="AC1945" s="31" t="n">
        <v>0</v>
      </c>
      <c r="AD1945" s="2" t="n">
        <v>0</v>
      </c>
      <c r="AE1945" s="2" t="n">
        <v>9</v>
      </c>
      <c r="AF1945" s="4" t="n">
        <v>9</v>
      </c>
      <c r="AG1945" s="33" t="n">
        <v>0</v>
      </c>
      <c r="AH1945" s="4" t="n">
        <v>0</v>
      </c>
      <c r="AI1945" s="34" t="n"/>
      <c r="AJ1945" s="34" t="n">
        <v>0</v>
      </c>
      <c r="AK1945" s="2" t="n">
        <v>0</v>
      </c>
      <c r="AL1945" t="inlineStr">
        <is>
          <t>Published</t>
        </is>
      </c>
    </row>
    <row r="1946">
      <c r="A1946">
        <f>HYPERLINK("https://www.walmart.com/ip/729422112", "729422112")</f>
        <v/>
      </c>
      <c r="B1946">
        <f>HYPERLINK("https://app.optiwise.ai/catalog/itemdetails/362362", "Oversized Hoodie Blanket Sweatshirt,Super Soft Warm Comfortable Fleece Giant Pullover with Large Front Pocket,for Adults Men Women Teenagers Kids Wife Girlfriend")</f>
        <v/>
      </c>
      <c r="C1946" t="inlineStr">
        <is>
          <t>1WMHD300IVR</t>
        </is>
      </c>
      <c r="D1946" t="inlineStr">
        <is>
          <t>Clothing</t>
        </is>
      </c>
      <c r="E1946" t="inlineStr">
        <is>
          <t>Sweatshirts &amp; Hoodies</t>
        </is>
      </c>
      <c r="F1946" t="inlineStr">
        <is>
          <t>Flyingstar</t>
        </is>
      </c>
      <c r="G1946" t="n">
        <v>0</v>
      </c>
      <c r="H1946" t="n">
        <v>0</v>
      </c>
      <c r="I1946" t="inlineStr">
        <is>
          <t>Hoodie ForAdult,Optimized</t>
        </is>
      </c>
      <c r="J1946" s="29" t="n">
        <v>0</v>
      </c>
      <c r="K1946" s="30" t="n"/>
      <c r="L1946" s="29" t="n">
        <v>0</v>
      </c>
      <c r="M1946" s="29" t="n">
        <v>0</v>
      </c>
      <c r="N1946" s="2" t="n">
        <v>0</v>
      </c>
      <c r="O1946" s="31" t="n">
        <v>0</v>
      </c>
      <c r="P1946" s="32" t="n"/>
      <c r="Q1946" s="32" t="n">
        <v>0</v>
      </c>
      <c r="R1946" s="32" t="n">
        <v>0</v>
      </c>
      <c r="S1946" s="31" t="n">
        <v>0</v>
      </c>
      <c r="T1946" s="32" t="n">
        <v>0</v>
      </c>
      <c r="U1946" s="31" t="n">
        <v>0</v>
      </c>
      <c r="V1946" s="31" t="n">
        <v>0</v>
      </c>
      <c r="W1946" s="3" t="n">
        <v>0</v>
      </c>
      <c r="X1946" s="3" t="n">
        <v>0</v>
      </c>
      <c r="Y1946" s="32" t="n">
        <v>0</v>
      </c>
      <c r="Z1946" s="3" t="n">
        <v>0</v>
      </c>
      <c r="AA1946" s="32" t="n">
        <v>0</v>
      </c>
      <c r="AB1946" s="3" t="n"/>
      <c r="AC1946" s="31" t="n">
        <v>0</v>
      </c>
      <c r="AD1946" s="2" t="n">
        <v>0</v>
      </c>
      <c r="AE1946" s="2" t="n">
        <v>2</v>
      </c>
      <c r="AF1946" s="4" t="n">
        <v>2</v>
      </c>
      <c r="AG1946" s="33" t="n">
        <v>0</v>
      </c>
      <c r="AH1946" s="4" t="n">
        <v>0</v>
      </c>
      <c r="AI1946" s="34" t="n"/>
      <c r="AJ1946" s="34" t="n">
        <v>0</v>
      </c>
      <c r="AK1946" s="2" t="n">
        <v>0</v>
      </c>
      <c r="AL1946" t="inlineStr">
        <is>
          <t>Published</t>
        </is>
      </c>
    </row>
    <row r="1947">
      <c r="A1947">
        <f>HYPERLINK("https://www.walmart.com/ip/360185924", "360185924")</f>
        <v/>
      </c>
      <c r="B1947">
        <f>HYPERLINK("https://app.optiwise.ai/catalog/itemdetails/362359", "Tirrinia Wide Brim Sun Hat UPF 50 Foldable Bucket Summer Hat for Women Girls")</f>
        <v/>
      </c>
      <c r="C1947" t="inlineStr">
        <is>
          <t>1TRSHF065TAN-TBCB</t>
        </is>
      </c>
      <c r="D1947" t="inlineStr">
        <is>
          <t>Clothing</t>
        </is>
      </c>
      <c r="E1947" t="inlineStr">
        <is>
          <t>Hats</t>
        </is>
      </c>
      <c r="F1947" t="inlineStr">
        <is>
          <t>Tirrinia</t>
        </is>
      </c>
      <c r="G1947" t="n">
        <v>0</v>
      </c>
      <c r="H1947" t="n">
        <v>0</v>
      </c>
      <c r="I1947" t="inlineStr">
        <is>
          <t>Batch 1 - TR</t>
        </is>
      </c>
      <c r="J1947" s="29" t="n">
        <v>0</v>
      </c>
      <c r="K1947" s="30" t="n"/>
      <c r="L1947" s="29" t="n">
        <v>0</v>
      </c>
      <c r="M1947" s="29" t="n">
        <v>0</v>
      </c>
      <c r="N1947" s="2" t="n">
        <v>0</v>
      </c>
      <c r="O1947" s="31" t="n">
        <v>0</v>
      </c>
      <c r="P1947" s="32" t="n"/>
      <c r="Q1947" s="32" t="n">
        <v>0</v>
      </c>
      <c r="R1947" s="32" t="n">
        <v>0</v>
      </c>
      <c r="S1947" s="31" t="n">
        <v>0</v>
      </c>
      <c r="T1947" s="32" t="n">
        <v>0</v>
      </c>
      <c r="U1947" s="31" t="n">
        <v>0</v>
      </c>
      <c r="V1947" s="31" t="n">
        <v>0</v>
      </c>
      <c r="W1947" s="3" t="n">
        <v>0</v>
      </c>
      <c r="X1947" s="3" t="n">
        <v>0</v>
      </c>
      <c r="Y1947" s="32" t="n">
        <v>0</v>
      </c>
      <c r="Z1947" s="3" t="n">
        <v>0</v>
      </c>
      <c r="AA1947" s="32" t="n">
        <v>0</v>
      </c>
      <c r="AB1947" s="3" t="n"/>
      <c r="AC1947" s="31" t="n">
        <v>0</v>
      </c>
      <c r="AD1947" s="2" t="n">
        <v>0</v>
      </c>
      <c r="AE1947" s="2" t="n">
        <v>7</v>
      </c>
      <c r="AF1947" s="4" t="n">
        <v>7</v>
      </c>
      <c r="AG1947" s="33" t="n">
        <v>0</v>
      </c>
      <c r="AH1947" s="4" t="n">
        <v>0</v>
      </c>
      <c r="AI1947" s="34" t="n"/>
      <c r="AJ1947" s="34" t="n">
        <v>0</v>
      </c>
      <c r="AK1947" s="2" t="n">
        <v>0</v>
      </c>
      <c r="AL1947" t="inlineStr">
        <is>
          <t>Published</t>
        </is>
      </c>
    </row>
    <row r="1948">
      <c r="A1948">
        <f>HYPERLINK("https://www.walmart.com/ip/912234757", "912234757")</f>
        <v/>
      </c>
      <c r="B1948">
        <f>HYPERLINK("https://app.optiwise.ai/catalog/itemdetails/362357", "100% Polar Fleece Skull Cap Warm and Cozy Beanie")</f>
        <v/>
      </c>
      <c r="C1948" t="inlineStr">
        <is>
          <t>1SLW1810WN-FSCB</t>
        </is>
      </c>
      <c r="D1948" t="inlineStr">
        <is>
          <t>Clothing</t>
        </is>
      </c>
      <c r="E1948" t="inlineStr">
        <is>
          <t>Hats</t>
        </is>
      </c>
      <c r="F1948" t="inlineStr">
        <is>
          <t>Solaris</t>
        </is>
      </c>
      <c r="G1948" t="n">
        <v>0</v>
      </c>
      <c r="H1948" t="n">
        <v>0</v>
      </c>
      <c r="I1948" t="inlineStr">
        <is>
          <t>Batch 1 - TR</t>
        </is>
      </c>
      <c r="J1948" s="29" t="n">
        <v>0</v>
      </c>
      <c r="K1948" s="30" t="n"/>
      <c r="L1948" s="29" t="n">
        <v>0</v>
      </c>
      <c r="M1948" s="29" t="n">
        <v>0</v>
      </c>
      <c r="N1948" s="2" t="n">
        <v>0</v>
      </c>
      <c r="O1948" s="31" t="n">
        <v>0</v>
      </c>
      <c r="P1948" s="32" t="n"/>
      <c r="Q1948" s="32" t="n">
        <v>0</v>
      </c>
      <c r="R1948" s="32" t="n">
        <v>0</v>
      </c>
      <c r="S1948" s="31" t="n">
        <v>0</v>
      </c>
      <c r="T1948" s="32" t="n">
        <v>0</v>
      </c>
      <c r="U1948" s="31" t="n">
        <v>0</v>
      </c>
      <c r="V1948" s="31" t="n">
        <v>0</v>
      </c>
      <c r="W1948" s="3" t="n">
        <v>0</v>
      </c>
      <c r="X1948" s="3" t="n">
        <v>0</v>
      </c>
      <c r="Y1948" s="32" t="n">
        <v>0</v>
      </c>
      <c r="Z1948" s="3" t="n">
        <v>0</v>
      </c>
      <c r="AA1948" s="32" t="n">
        <v>0</v>
      </c>
      <c r="AB1948" s="3" t="n"/>
      <c r="AC1948" s="31" t="n">
        <v>0</v>
      </c>
      <c r="AD1948" s="2" t="n">
        <v>0</v>
      </c>
      <c r="AE1948" s="2" t="n">
        <v>3</v>
      </c>
      <c r="AF1948" s="4" t="n">
        <v>3</v>
      </c>
      <c r="AG1948" s="33" t="n">
        <v>0</v>
      </c>
      <c r="AH1948" s="4" t="n">
        <v>0</v>
      </c>
      <c r="AI1948" s="34" t="n"/>
      <c r="AJ1948" s="34" t="n">
        <v>0</v>
      </c>
      <c r="AK1948" s="2" t="n">
        <v>0</v>
      </c>
      <c r="AL1948" t="inlineStr">
        <is>
          <t>Published</t>
        </is>
      </c>
    </row>
    <row r="1949">
      <c r="A1949">
        <f>HYPERLINK("https://www.walmart.com/ip/296629837", "296629837")</f>
        <v/>
      </c>
      <c r="B1949">
        <f>HYPERLINK("https://app.optiwise.ai/catalog/itemdetails/362356", "Tirrinia Insulated Lunch Bag for Women Men, Leakproof Thermal Reusable Lunch Box for Adult, Kids, Student, Lunch Cooler Tote for Office Work, Back to School, Medium, Light Blue")</f>
        <v/>
      </c>
      <c r="C1949" t="inlineStr">
        <is>
          <t>1TRLB701LBL-N</t>
        </is>
      </c>
      <c r="D1949" t="inlineStr">
        <is>
          <t>Home Decor, Kitchen, &amp; Other</t>
        </is>
      </c>
      <c r="E1949" t="inlineStr">
        <is>
          <t>Reusable Lunch Bags &amp; Boxes</t>
        </is>
      </c>
      <c r="F1949" t="inlineStr">
        <is>
          <t>Tirrinia</t>
        </is>
      </c>
      <c r="G1949" t="n">
        <v>0</v>
      </c>
      <c r="H1949" t="n">
        <v>0</v>
      </c>
      <c r="I1949" t="inlineStr">
        <is>
          <t>Q2-Target,Brand Camp VD,Lunch Bag,WFS,Lunch Bags,WFS Item</t>
        </is>
      </c>
      <c r="J1949" s="29" t="n">
        <v>0</v>
      </c>
      <c r="K1949" s="30" t="n"/>
      <c r="L1949" s="29" t="n">
        <v>0</v>
      </c>
      <c r="M1949" s="29" t="n">
        <v>0</v>
      </c>
      <c r="N1949" s="2" t="n">
        <v>0</v>
      </c>
      <c r="O1949" s="31" t="n">
        <v>0</v>
      </c>
      <c r="P1949" s="32" t="n"/>
      <c r="Q1949" s="32" t="n">
        <v>0</v>
      </c>
      <c r="R1949" s="32" t="n">
        <v>0.0059</v>
      </c>
      <c r="S1949" s="31" t="n">
        <v>0</v>
      </c>
      <c r="T1949" s="32" t="n">
        <v>0</v>
      </c>
      <c r="U1949" s="31" t="n">
        <v>0</v>
      </c>
      <c r="V1949" s="31" t="n">
        <v>0</v>
      </c>
      <c r="W1949" s="3" t="n">
        <v>0</v>
      </c>
      <c r="X1949" s="3" t="n">
        <v>0</v>
      </c>
      <c r="Y1949" s="32" t="n">
        <v>0</v>
      </c>
      <c r="Z1949" s="3" t="n">
        <v>0</v>
      </c>
      <c r="AA1949" s="32" t="n">
        <v>0</v>
      </c>
      <c r="AB1949" s="3" t="n"/>
      <c r="AC1949" s="31" t="n">
        <v>0</v>
      </c>
      <c r="AD1949" s="2" t="n">
        <v>0</v>
      </c>
      <c r="AE1949" s="2" t="n">
        <v>39</v>
      </c>
      <c r="AF1949" s="4" t="n">
        <v>39</v>
      </c>
      <c r="AG1949" s="33" t="n">
        <v>0</v>
      </c>
      <c r="AH1949" s="4" t="n">
        <v>0</v>
      </c>
      <c r="AI1949" s="34" t="n"/>
      <c r="AJ1949" s="34" t="n">
        <v>0</v>
      </c>
      <c r="AK1949" s="2" t="n">
        <v>0</v>
      </c>
      <c r="AL1949" t="inlineStr">
        <is>
          <t>Published</t>
        </is>
      </c>
    </row>
    <row r="1950">
      <c r="A1950">
        <f>HYPERLINK("https://www.walmart.com/ip/947602244", "947602244")</f>
        <v/>
      </c>
      <c r="B1950">
        <f>HYPERLINK("https://app.optiwise.ai/catalog/itemdetails/362344", "Wine Tote Bag with Hidden Dispenser, Insulated Large Wine Carrying Carrier Set with Wine Bladder, Perfect Wine Gift for Byob, Movie Theater, Concert, Sport Events, Pool &amp; Beach, Black")</f>
        <v/>
      </c>
      <c r="C1950" t="inlineStr">
        <is>
          <t>1TRWT100BK</t>
        </is>
      </c>
      <c r="D1950" t="inlineStr">
        <is>
          <t>Home Decor, Kitchen, &amp; Other</t>
        </is>
      </c>
      <c r="E1950" t="inlineStr">
        <is>
          <t>Wine Totes, Bags &amp; Backpacks</t>
        </is>
      </c>
      <c r="F1950" t="inlineStr">
        <is>
          <t>Tirrinia</t>
        </is>
      </c>
      <c r="G1950" t="n">
        <v>4</v>
      </c>
      <c r="H1950" t="n">
        <v>4</v>
      </c>
      <c r="I1950" t="inlineStr">
        <is>
          <t>Wine,WFS,Wine WFS,SEM,WFS Item</t>
        </is>
      </c>
      <c r="J1950" s="29" t="n">
        <v>0</v>
      </c>
      <c r="K1950" s="30" t="n"/>
      <c r="L1950" s="29" t="n">
        <v>0</v>
      </c>
      <c r="M1950" s="29" t="n">
        <v>0</v>
      </c>
      <c r="N1950" s="2" t="n">
        <v>0</v>
      </c>
      <c r="O1950" s="31" t="n">
        <v>0</v>
      </c>
      <c r="P1950" s="32" t="n"/>
      <c r="Q1950" s="32" t="n">
        <v>0</v>
      </c>
      <c r="R1950" s="32" t="n">
        <v>0</v>
      </c>
      <c r="S1950" s="31" t="n">
        <v>0</v>
      </c>
      <c r="T1950" s="32" t="n">
        <v>0</v>
      </c>
      <c r="U1950" s="31" t="n">
        <v>0</v>
      </c>
      <c r="V1950" s="31" t="n">
        <v>0</v>
      </c>
      <c r="W1950" s="3" t="n">
        <v>0</v>
      </c>
      <c r="X1950" s="3" t="n">
        <v>0</v>
      </c>
      <c r="Y1950" s="32" t="n">
        <v>0</v>
      </c>
      <c r="Z1950" s="3" t="n">
        <v>0</v>
      </c>
      <c r="AA1950" s="32" t="n">
        <v>0</v>
      </c>
      <c r="AB1950" s="3" t="n"/>
      <c r="AC1950" s="31" t="n">
        <v>0</v>
      </c>
      <c r="AD1950" s="2" t="n">
        <v>0</v>
      </c>
      <c r="AE1950" s="2" t="n">
        <v>15</v>
      </c>
      <c r="AF1950" s="4" t="n">
        <v>15</v>
      </c>
      <c r="AG1950" s="33" t="n">
        <v>0</v>
      </c>
      <c r="AH1950" s="4" t="n">
        <v>0</v>
      </c>
      <c r="AI1950" s="34" t="n"/>
      <c r="AJ1950" s="34" t="n">
        <v>0</v>
      </c>
      <c r="AK1950" s="2" t="n">
        <v>0</v>
      </c>
      <c r="AL1950" t="inlineStr">
        <is>
          <t>Published</t>
        </is>
      </c>
    </row>
    <row r="1951">
      <c r="A1951">
        <f>HYPERLINK("https://www.walmart.com/ip/191385187", "191385187")</f>
        <v/>
      </c>
      <c r="B1951">
        <f>HYPERLINK("https://app.optiwise.ai/catalog/itemdetails/362339", "Jenniwears Women's Sexy Lingerie Lace Mesh 2-Piece Bowknot Halter Chemise with G-String")</f>
        <v/>
      </c>
      <c r="C1951" t="inlineStr">
        <is>
          <t>JWND03BK</t>
        </is>
      </c>
      <c r="D1951" t="inlineStr">
        <is>
          <t>Clothing</t>
        </is>
      </c>
      <c r="E1951" t="inlineStr">
        <is>
          <t>Lingerie Sets</t>
        </is>
      </c>
      <c r="F1951" t="inlineStr">
        <is>
          <t>JenniWears</t>
        </is>
      </c>
      <c r="G1951" t="n">
        <v>0</v>
      </c>
      <c r="H1951" t="n">
        <v>0</v>
      </c>
      <c r="I1951" t="inlineStr">
        <is>
          <t>Optimized,Valentine</t>
        </is>
      </c>
      <c r="J1951" s="29" t="n">
        <v>0</v>
      </c>
      <c r="K1951" s="30" t="n"/>
      <c r="L1951" s="29" t="n">
        <v>0</v>
      </c>
      <c r="M1951" s="29" t="n">
        <v>0</v>
      </c>
      <c r="N1951" s="2" t="n">
        <v>0</v>
      </c>
      <c r="O1951" s="31" t="n">
        <v>0</v>
      </c>
      <c r="P1951" s="32" t="n"/>
      <c r="Q1951" s="32" t="n">
        <v>0</v>
      </c>
      <c r="R1951" s="32" t="n">
        <v>0</v>
      </c>
      <c r="S1951" s="31" t="n">
        <v>0</v>
      </c>
      <c r="T1951" s="32" t="n">
        <v>0</v>
      </c>
      <c r="U1951" s="31" t="n">
        <v>0</v>
      </c>
      <c r="V1951" s="31" t="n">
        <v>0</v>
      </c>
      <c r="W1951" s="3" t="n">
        <v>0</v>
      </c>
      <c r="X1951" s="3" t="n">
        <v>0</v>
      </c>
      <c r="Y1951" s="32" t="n">
        <v>0</v>
      </c>
      <c r="Z1951" s="3" t="n">
        <v>0</v>
      </c>
      <c r="AA1951" s="32" t="n">
        <v>0</v>
      </c>
      <c r="AB1951" s="3" t="n"/>
      <c r="AC1951" s="31" t="n">
        <v>0</v>
      </c>
      <c r="AD1951" s="2" t="n">
        <v>0</v>
      </c>
      <c r="AE1951" s="2" t="n">
        <v>4</v>
      </c>
      <c r="AF1951" s="4" t="n">
        <v>4</v>
      </c>
      <c r="AG1951" s="33" t="n">
        <v>0</v>
      </c>
      <c r="AH1951" s="4" t="n">
        <v>0</v>
      </c>
      <c r="AI1951" s="34" t="n"/>
      <c r="AJ1951" s="34" t="n">
        <v>0</v>
      </c>
      <c r="AK1951" s="2" t="n">
        <v>0</v>
      </c>
      <c r="AL1951" t="inlineStr">
        <is>
          <t>Published</t>
        </is>
      </c>
    </row>
    <row r="1952">
      <c r="A1952">
        <f>HYPERLINK("https://www.walmart.com/ip/142062899", "142062899")</f>
        <v/>
      </c>
      <c r="B1952">
        <f>HYPERLINK("https://app.optiwise.ai/catalog/itemdetails/362424", "KC Caps Thick Weave Waffle Knit Beanie")</f>
        <v/>
      </c>
      <c r="C1952" t="inlineStr">
        <is>
          <t>KCW1600ROY</t>
        </is>
      </c>
      <c r="D1952" t="inlineStr">
        <is>
          <t>Clothing</t>
        </is>
      </c>
      <c r="E1952" t="inlineStr">
        <is>
          <t>Hats</t>
        </is>
      </c>
      <c r="F1952" t="inlineStr">
        <is>
          <t>KC Caps</t>
        </is>
      </c>
      <c r="G1952" t="n">
        <v>0</v>
      </c>
      <c r="H1952" t="n">
        <v>0</v>
      </c>
      <c r="I1952" t="inlineStr">
        <is>
          <t>Optimized</t>
        </is>
      </c>
      <c r="J1952" s="29" t="n">
        <v>0</v>
      </c>
      <c r="K1952" s="30" t="n"/>
      <c r="L1952" s="29" t="n">
        <v>0</v>
      </c>
      <c r="M1952" s="29" t="n">
        <v>0</v>
      </c>
      <c r="N1952" s="2" t="n">
        <v>0</v>
      </c>
      <c r="O1952" s="31" t="n">
        <v>0</v>
      </c>
      <c r="P1952" s="32" t="n"/>
      <c r="Q1952" s="32" t="n">
        <v>0</v>
      </c>
      <c r="R1952" s="32" t="n">
        <v>0</v>
      </c>
      <c r="S1952" s="31" t="n">
        <v>0</v>
      </c>
      <c r="T1952" s="32" t="n">
        <v>0</v>
      </c>
      <c r="U1952" s="31" t="n">
        <v>0</v>
      </c>
      <c r="V1952" s="31" t="n">
        <v>0</v>
      </c>
      <c r="W1952" s="3" t="n">
        <v>0</v>
      </c>
      <c r="X1952" s="3" t="n">
        <v>0</v>
      </c>
      <c r="Y1952" s="32" t="n">
        <v>0</v>
      </c>
      <c r="Z1952" s="3" t="n">
        <v>0</v>
      </c>
      <c r="AA1952" s="32" t="n">
        <v>0</v>
      </c>
      <c r="AB1952" s="3" t="n"/>
      <c r="AC1952" s="31" t="n">
        <v>0</v>
      </c>
      <c r="AD1952" s="2" t="n">
        <v>0</v>
      </c>
      <c r="AE1952" s="2" t="n">
        <v>5</v>
      </c>
      <c r="AF1952" s="4" t="n">
        <v>5</v>
      </c>
      <c r="AG1952" s="33" t="n">
        <v>0</v>
      </c>
      <c r="AH1952" s="4" t="n">
        <v>0</v>
      </c>
      <c r="AI1952" s="34" t="n"/>
      <c r="AJ1952" s="34" t="n">
        <v>0</v>
      </c>
      <c r="AK1952" s="2" t="n">
        <v>0</v>
      </c>
      <c r="AL1952" t="inlineStr">
        <is>
          <t>Published</t>
        </is>
      </c>
    </row>
    <row r="1953">
      <c r="A1953">
        <f>HYPERLINK("https://www.walmart.com/ip/858115979", "858115979")</f>
        <v/>
      </c>
      <c r="B1953">
        <f>HYPERLINK("https://app.optiwise.ai/catalog/itemdetails/362432", "Catalonia Fleece Throw Blanket for Couch, Super Soft Fuzzy Plush Blanket for Adults and Kids, All Seasons Home Decor Blanket, Machine Washable, 50x60, Navy")</f>
        <v/>
      </c>
      <c r="C1953" t="inlineStr">
        <is>
          <t>1CTBF575BL</t>
        </is>
      </c>
      <c r="D1953" t="inlineStr">
        <is>
          <t>Bedding</t>
        </is>
      </c>
      <c r="E1953" t="inlineStr">
        <is>
          <t>Throws</t>
        </is>
      </c>
      <c r="F1953" t="inlineStr">
        <is>
          <t>Catalonia</t>
        </is>
      </c>
      <c r="G1953" t="n">
        <v>5</v>
      </c>
      <c r="H1953" t="n">
        <v>6</v>
      </c>
      <c r="I1953" t="inlineStr">
        <is>
          <t>Q2-Target,WFS,Coupon_Discount,WFS Item</t>
        </is>
      </c>
      <c r="J1953" s="29" t="n">
        <v>0</v>
      </c>
      <c r="K1953" s="30" t="n"/>
      <c r="L1953" s="29" t="n">
        <v>0</v>
      </c>
      <c r="M1953" s="29" t="n">
        <v>0</v>
      </c>
      <c r="N1953" s="2" t="n">
        <v>0</v>
      </c>
      <c r="O1953" s="31" t="n">
        <v>0</v>
      </c>
      <c r="P1953" s="32" t="n"/>
      <c r="Q1953" s="32" t="n">
        <v>0</v>
      </c>
      <c r="R1953" s="32" t="n">
        <v>0</v>
      </c>
      <c r="S1953" s="31" t="n">
        <v>0</v>
      </c>
      <c r="T1953" s="32" t="n">
        <v>0</v>
      </c>
      <c r="U1953" s="31" t="n">
        <v>0</v>
      </c>
      <c r="V1953" s="31" t="n">
        <v>0</v>
      </c>
      <c r="W1953" s="3" t="n">
        <v>0</v>
      </c>
      <c r="X1953" s="3" t="n">
        <v>0</v>
      </c>
      <c r="Y1953" s="32" t="n">
        <v>0</v>
      </c>
      <c r="Z1953" s="3" t="n">
        <v>0</v>
      </c>
      <c r="AA1953" s="32" t="n">
        <v>0</v>
      </c>
      <c r="AB1953" s="3" t="n"/>
      <c r="AC1953" s="31" t="n">
        <v>0</v>
      </c>
      <c r="AD1953" s="2" t="n">
        <v>0</v>
      </c>
      <c r="AE1953" s="2" t="n">
        <v>30</v>
      </c>
      <c r="AF1953" s="4" t="n">
        <v>30</v>
      </c>
      <c r="AG1953" s="33" t="n">
        <v>0</v>
      </c>
      <c r="AH1953" s="4" t="n">
        <v>0</v>
      </c>
      <c r="AI1953" s="34" t="n"/>
      <c r="AJ1953" s="34" t="n">
        <v>0</v>
      </c>
      <c r="AK1953" s="2" t="n">
        <v>0</v>
      </c>
      <c r="AL1953" t="inlineStr">
        <is>
          <t>Published</t>
        </is>
      </c>
    </row>
    <row r="1954">
      <c r="A1954">
        <f>HYPERLINK("https://www.walmart.com/ip/152494455", "152494455")</f>
        <v/>
      </c>
      <c r="B1954">
        <f>HYPERLINK("https://app.optiwise.ai/catalog/itemdetails/362333", "JenniWears® Women's Sexy See-through Lingerie Lace Fishnet Suspender")</f>
        <v/>
      </c>
      <c r="C1954" t="inlineStr">
        <is>
          <t>JWBD01BKPK-XL</t>
        </is>
      </c>
      <c r="D1954" t="inlineStr">
        <is>
          <t>Clothing</t>
        </is>
      </c>
      <c r="E1954" t="inlineStr">
        <is>
          <t>Lingerie Camisoles</t>
        </is>
      </c>
      <c r="F1954" t="inlineStr">
        <is>
          <t>JenniWears</t>
        </is>
      </c>
      <c r="G1954" t="n">
        <v>0</v>
      </c>
      <c r="H1954" t="n">
        <v>0</v>
      </c>
      <c r="I1954" t="inlineStr">
        <is>
          <t>Valentine</t>
        </is>
      </c>
      <c r="J1954" s="29" t="n">
        <v>0</v>
      </c>
      <c r="K1954" s="30" t="n"/>
      <c r="L1954" s="29" t="n">
        <v>0</v>
      </c>
      <c r="M1954" s="29" t="n">
        <v>0</v>
      </c>
      <c r="N1954" s="2" t="n">
        <v>0</v>
      </c>
      <c r="O1954" s="31" t="n">
        <v>0</v>
      </c>
      <c r="P1954" s="32" t="n"/>
      <c r="Q1954" s="32" t="n">
        <v>0</v>
      </c>
      <c r="R1954" s="32" t="n">
        <v>0</v>
      </c>
      <c r="S1954" s="31" t="n">
        <v>0</v>
      </c>
      <c r="T1954" s="32" t="n">
        <v>0</v>
      </c>
      <c r="U1954" s="31" t="n">
        <v>0</v>
      </c>
      <c r="V1954" s="31" t="n">
        <v>0</v>
      </c>
      <c r="W1954" s="3" t="n">
        <v>0</v>
      </c>
      <c r="X1954" s="3" t="n">
        <v>0</v>
      </c>
      <c r="Y1954" s="32" t="n">
        <v>0</v>
      </c>
      <c r="Z1954" s="3" t="n">
        <v>0</v>
      </c>
      <c r="AA1954" s="32" t="n">
        <v>0</v>
      </c>
      <c r="AB1954" s="3" t="n"/>
      <c r="AC1954" s="31" t="n">
        <v>0</v>
      </c>
      <c r="AD1954" s="2" t="n">
        <v>0</v>
      </c>
      <c r="AE1954" s="2" t="n">
        <v>4</v>
      </c>
      <c r="AF1954" s="4" t="n">
        <v>4</v>
      </c>
      <c r="AG1954" s="33" t="n">
        <v>0</v>
      </c>
      <c r="AH1954" s="4" t="n">
        <v>0</v>
      </c>
      <c r="AI1954" s="34" t="n"/>
      <c r="AJ1954" s="34" t="n">
        <v>0</v>
      </c>
      <c r="AK1954" s="2" t="n">
        <v>0</v>
      </c>
      <c r="AL1954" t="inlineStr">
        <is>
          <t>Published</t>
        </is>
      </c>
    </row>
    <row r="1955">
      <c r="A1955">
        <f>HYPERLINK("https://www.walmart.com/ip/500709074", "500709074")</f>
        <v/>
      </c>
      <c r="B1955">
        <f>HYPERLINK("https://app.optiwise.ai/catalog/itemdetails/362489", "Catalonia Wearable Fleece Blanket with Sleeves and Foot Pockets for Adult Women Men, Micro Plush Comfy Wrap Sleeved Throw Blanket Robe Large, Pink")</f>
        <v/>
      </c>
      <c r="C1955" t="inlineStr">
        <is>
          <t>1CTSN101PK</t>
        </is>
      </c>
      <c r="D1955" t="inlineStr">
        <is>
          <t>Bedding</t>
        </is>
      </c>
      <c r="E1955" t="inlineStr">
        <is>
          <t>Throws</t>
        </is>
      </c>
      <c r="F1955" t="inlineStr">
        <is>
          <t>Catalonia</t>
        </is>
      </c>
      <c r="G1955" t="n">
        <v>0</v>
      </c>
      <c r="H1955" t="n">
        <v>0</v>
      </c>
      <c r="I1955" t="inlineStr">
        <is>
          <t>WFS,Coupon_Discount,WFS Item,Fleece Blankets</t>
        </is>
      </c>
      <c r="J1955" s="29" t="n">
        <v>0</v>
      </c>
      <c r="K1955" s="30" t="n"/>
      <c r="L1955" s="29" t="n">
        <v>0</v>
      </c>
      <c r="M1955" s="29" t="n">
        <v>0</v>
      </c>
      <c r="N1955" s="2" t="n">
        <v>0</v>
      </c>
      <c r="O1955" s="31" t="n">
        <v>0</v>
      </c>
      <c r="P1955" s="32" t="n"/>
      <c r="Q1955" s="32" t="n">
        <v>0</v>
      </c>
      <c r="R1955" s="32" t="n">
        <v>0</v>
      </c>
      <c r="S1955" s="31" t="n">
        <v>0</v>
      </c>
      <c r="T1955" s="32" t="n">
        <v>0</v>
      </c>
      <c r="U1955" s="31" t="n">
        <v>0</v>
      </c>
      <c r="V1955" s="31" t="n">
        <v>0</v>
      </c>
      <c r="W1955" s="3" t="n">
        <v>0</v>
      </c>
      <c r="X1955" s="3" t="n">
        <v>0</v>
      </c>
      <c r="Y1955" s="32" t="n">
        <v>0</v>
      </c>
      <c r="Z1955" s="3" t="n">
        <v>0</v>
      </c>
      <c r="AA1955" s="32" t="n">
        <v>0</v>
      </c>
      <c r="AB1955" s="3" t="n"/>
      <c r="AC1955" s="31" t="n">
        <v>0</v>
      </c>
      <c r="AD1955" s="2" t="n">
        <v>7</v>
      </c>
      <c r="AE1955" s="2" t="n">
        <v>43</v>
      </c>
      <c r="AF1955" s="4" t="n">
        <v>43</v>
      </c>
      <c r="AG1955" s="33" t="n">
        <v>0</v>
      </c>
      <c r="AH1955" s="4" t="n">
        <v>0</v>
      </c>
      <c r="AI1955" s="34" t="n"/>
      <c r="AJ1955" s="34" t="n">
        <v>0</v>
      </c>
      <c r="AK1955" s="2" t="n">
        <v>0</v>
      </c>
      <c r="AL1955" t="inlineStr">
        <is>
          <t>Published</t>
        </is>
      </c>
    </row>
    <row r="1956">
      <c r="A1956">
        <f>HYPERLINK("https://www.walmart.com/ip/516890359", "516890359")</f>
        <v/>
      </c>
      <c r="B1956">
        <f>HYPERLINK("https://app.optiwise.ai/catalog/itemdetails/362533", "Kato Drying Rack Wine Glass Holder and Wooden Wine Rack Countertop, Hook Stand Organizer Tray with a Free Wooden Corkscrew Opener")</f>
        <v/>
      </c>
      <c r="C1956" t="inlineStr">
        <is>
          <t>1KTWR160</t>
        </is>
      </c>
      <c r="D1956" t="inlineStr">
        <is>
          <t>Home Decor, Kitchen, &amp; Other</t>
        </is>
      </c>
      <c r="E1956" t="inlineStr">
        <is>
          <t>Wine Racks</t>
        </is>
      </c>
      <c r="F1956" t="inlineStr">
        <is>
          <t>Kato</t>
        </is>
      </c>
      <c r="G1956" t="n">
        <v>0</v>
      </c>
      <c r="H1956" t="n">
        <v>0</v>
      </c>
      <c r="I1956" t="inlineStr">
        <is>
          <t>Wine,Christmas,WFS,Wine WFS,Valentine,WFS Item</t>
        </is>
      </c>
      <c r="J1956" s="29" t="n">
        <v>0</v>
      </c>
      <c r="K1956" s="30" t="n"/>
      <c r="L1956" s="29" t="n">
        <v>0</v>
      </c>
      <c r="M1956" s="29" t="n">
        <v>0</v>
      </c>
      <c r="N1956" s="2" t="n">
        <v>0</v>
      </c>
      <c r="O1956" s="31" t="n">
        <v>0</v>
      </c>
      <c r="P1956" s="32" t="n"/>
      <c r="Q1956" s="32" t="n">
        <v>0</v>
      </c>
      <c r="R1956" s="32" t="n">
        <v>0</v>
      </c>
      <c r="S1956" s="31" t="n">
        <v>0</v>
      </c>
      <c r="T1956" s="32" t="n">
        <v>0</v>
      </c>
      <c r="U1956" s="31" t="n">
        <v>0</v>
      </c>
      <c r="V1956" s="31" t="n">
        <v>0</v>
      </c>
      <c r="W1956" s="3" t="n">
        <v>0</v>
      </c>
      <c r="X1956" s="3" t="n">
        <v>0</v>
      </c>
      <c r="Y1956" s="32" t="n">
        <v>0</v>
      </c>
      <c r="Z1956" s="3" t="n">
        <v>0</v>
      </c>
      <c r="AA1956" s="32" t="n">
        <v>0</v>
      </c>
      <c r="AB1956" s="3" t="n"/>
      <c r="AC1956" s="31" t="n">
        <v>0</v>
      </c>
      <c r="AD1956" s="2" t="n">
        <v>0</v>
      </c>
      <c r="AE1956" s="2" t="n">
        <v>15</v>
      </c>
      <c r="AF1956" s="4" t="n">
        <v>15</v>
      </c>
      <c r="AG1956" s="33" t="n">
        <v>0</v>
      </c>
      <c r="AH1956" s="4" t="n">
        <v>0</v>
      </c>
      <c r="AI1956" s="34" t="n"/>
      <c r="AJ1956" s="34" t="n">
        <v>0</v>
      </c>
      <c r="AK1956" s="2" t="n">
        <v>0</v>
      </c>
      <c r="AL1956" t="inlineStr">
        <is>
          <t>Published</t>
        </is>
      </c>
    </row>
    <row r="1957">
      <c r="A1957">
        <f>HYPERLINK("https://www.walmart.com/ip/806688161", "806688161")</f>
        <v/>
      </c>
      <c r="B1957">
        <f>HYPERLINK("https://app.optiwise.ai/catalog/itemdetails/362524", "Tirrinia Womens Super Soft Warm Microfiber Fleece Plush Bathrobe Spa Robe with Pockets Large")</f>
        <v/>
      </c>
      <c r="C1957" t="inlineStr">
        <is>
          <t>1TRRB510GY-01</t>
        </is>
      </c>
      <c r="D1957" t="inlineStr">
        <is>
          <t>Clothing</t>
        </is>
      </c>
      <c r="E1957" t="inlineStr">
        <is>
          <t>Sleepwear Robes &amp; Bathrobes</t>
        </is>
      </c>
      <c r="F1957" t="inlineStr">
        <is>
          <t>Tirrinia</t>
        </is>
      </c>
      <c r="G1957" t="n">
        <v>0</v>
      </c>
      <c r="H1957" t="n">
        <v>0</v>
      </c>
      <c r="I1957" t="inlineStr">
        <is>
          <t>WFS,Bathrobe</t>
        </is>
      </c>
      <c r="J1957" s="29" t="n">
        <v>0</v>
      </c>
      <c r="K1957" s="30" t="n"/>
      <c r="L1957" s="29" t="n">
        <v>0</v>
      </c>
      <c r="M1957" s="29" t="n">
        <v>0</v>
      </c>
      <c r="N1957" s="2" t="n">
        <v>0</v>
      </c>
      <c r="O1957" s="31" t="n">
        <v>0</v>
      </c>
      <c r="P1957" s="32" t="n"/>
      <c r="Q1957" s="32" t="n">
        <v>0</v>
      </c>
      <c r="R1957" s="32" t="n">
        <v>0</v>
      </c>
      <c r="S1957" s="31" t="n">
        <v>0</v>
      </c>
      <c r="T1957" s="32" t="n">
        <v>0</v>
      </c>
      <c r="U1957" s="31" t="n">
        <v>0</v>
      </c>
      <c r="V1957" s="31" t="n">
        <v>0</v>
      </c>
      <c r="W1957" s="3" t="n">
        <v>0</v>
      </c>
      <c r="X1957" s="3" t="n">
        <v>0</v>
      </c>
      <c r="Y1957" s="32" t="n">
        <v>0</v>
      </c>
      <c r="Z1957" s="3" t="n">
        <v>0</v>
      </c>
      <c r="AA1957" s="32" t="n">
        <v>0</v>
      </c>
      <c r="AB1957" s="3" t="n"/>
      <c r="AC1957" s="31" t="n">
        <v>0</v>
      </c>
      <c r="AD1957" s="2" t="n">
        <v>0</v>
      </c>
      <c r="AE1957" s="2" t="n">
        <v>1</v>
      </c>
      <c r="AF1957" s="4" t="n">
        <v>1</v>
      </c>
      <c r="AG1957" s="33" t="n">
        <v>0</v>
      </c>
      <c r="AH1957" s="4" t="n">
        <v>0</v>
      </c>
      <c r="AI1957" s="34" t="n"/>
      <c r="AJ1957" s="34" t="n">
        <v>0</v>
      </c>
      <c r="AK1957" s="2" t="n">
        <v>0</v>
      </c>
      <c r="AL1957" t="inlineStr">
        <is>
          <t>Published</t>
        </is>
      </c>
    </row>
    <row r="1958">
      <c r="A1958">
        <f>HYPERLINK("https://www.walmart.com/ip/146774668", "146774668")</f>
        <v/>
      </c>
      <c r="B1958">
        <f>HYPERLINK("https://app.optiwise.ai/catalog/itemdetails/362523", "Sun Blocker Adventure hat UPF 50+ rated Outdoor hat Wide brim with Back flap")</f>
        <v/>
      </c>
      <c r="C1958" t="inlineStr">
        <is>
          <t>kc-s9150-gy</t>
        </is>
      </c>
      <c r="D1958" t="inlineStr">
        <is>
          <t>Clothing</t>
        </is>
      </c>
      <c r="E1958" t="inlineStr">
        <is>
          <t>Hats</t>
        </is>
      </c>
      <c r="F1958" t="inlineStr">
        <is>
          <t>Sun Blocker</t>
        </is>
      </c>
      <c r="G1958" t="n">
        <v>5</v>
      </c>
      <c r="H1958" t="n">
        <v>7</v>
      </c>
      <c r="J1958" s="29" t="n">
        <v>0</v>
      </c>
      <c r="K1958" s="30" t="n"/>
      <c r="L1958" s="29" t="n">
        <v>0</v>
      </c>
      <c r="M1958" s="29" t="n">
        <v>0</v>
      </c>
      <c r="N1958" s="2" t="n">
        <v>0</v>
      </c>
      <c r="O1958" s="31" t="n">
        <v>0</v>
      </c>
      <c r="P1958" s="32" t="n"/>
      <c r="Q1958" s="32" t="n">
        <v>0</v>
      </c>
      <c r="R1958" s="32" t="n">
        <v>0</v>
      </c>
      <c r="S1958" s="31" t="n">
        <v>0</v>
      </c>
      <c r="T1958" s="32" t="n">
        <v>0</v>
      </c>
      <c r="U1958" s="31" t="n">
        <v>0</v>
      </c>
      <c r="V1958" s="31" t="n">
        <v>0</v>
      </c>
      <c r="W1958" s="3" t="n">
        <v>0</v>
      </c>
      <c r="X1958" s="3" t="n">
        <v>0</v>
      </c>
      <c r="Y1958" s="32" t="n">
        <v>0</v>
      </c>
      <c r="Z1958" s="3" t="n">
        <v>0</v>
      </c>
      <c r="AA1958" s="32" t="n">
        <v>0</v>
      </c>
      <c r="AB1958" s="3" t="n"/>
      <c r="AC1958" s="31" t="n">
        <v>0</v>
      </c>
      <c r="AD1958" s="2" t="n">
        <v>0</v>
      </c>
      <c r="AE1958" s="2" t="n">
        <v>8</v>
      </c>
      <c r="AF1958" s="4" t="n">
        <v>8</v>
      </c>
      <c r="AG1958" s="33" t="n">
        <v>0</v>
      </c>
      <c r="AH1958" s="4" t="n">
        <v>0</v>
      </c>
      <c r="AI1958" s="34" t="n"/>
      <c r="AJ1958" s="34" t="n">
        <v>0</v>
      </c>
      <c r="AK1958" s="2" t="n">
        <v>0</v>
      </c>
      <c r="AL1958" t="inlineStr">
        <is>
          <t>Published</t>
        </is>
      </c>
    </row>
    <row r="1959">
      <c r="A1959">
        <f>HYPERLINK("https://www.walmart.com/ip/785813879", "785813879")</f>
        <v/>
      </c>
      <c r="B1959">
        <f>HYPERLINK("https://app.optiwise.ai/catalog/itemdetails/362511", "Women’s Swim Bathing Suit Cover Up, Summer Chiffon Maxi Beach Dress Skirt")</f>
        <v/>
      </c>
      <c r="C1959" t="inlineStr">
        <is>
          <t>1WMDS100BG</t>
        </is>
      </c>
      <c r="D1959" t="inlineStr">
        <is>
          <t>Dresses</t>
        </is>
      </c>
      <c r="E1959" t="inlineStr">
        <is>
          <t>Dresses</t>
        </is>
      </c>
      <c r="F1959" t="inlineStr">
        <is>
          <t>Flyingstar</t>
        </is>
      </c>
      <c r="G1959" t="n">
        <v>0</v>
      </c>
      <c r="H1959" t="n">
        <v>0</v>
      </c>
      <c r="I1959" t="inlineStr">
        <is>
          <t>Batch 1 - TR</t>
        </is>
      </c>
      <c r="J1959" s="29" t="n">
        <v>0</v>
      </c>
      <c r="K1959" s="30" t="n"/>
      <c r="L1959" s="29" t="n">
        <v>0</v>
      </c>
      <c r="M1959" s="29" t="n">
        <v>0</v>
      </c>
      <c r="N1959" s="2" t="n">
        <v>0</v>
      </c>
      <c r="O1959" s="31" t="n">
        <v>0</v>
      </c>
      <c r="P1959" s="32" t="n"/>
      <c r="Q1959" s="32" t="n">
        <v>0</v>
      </c>
      <c r="R1959" s="32" t="n">
        <v>0</v>
      </c>
      <c r="S1959" s="31" t="n">
        <v>0</v>
      </c>
      <c r="T1959" s="32" t="n">
        <v>0</v>
      </c>
      <c r="U1959" s="31" t="n">
        <v>0</v>
      </c>
      <c r="V1959" s="31" t="n">
        <v>0</v>
      </c>
      <c r="W1959" s="3" t="n">
        <v>0</v>
      </c>
      <c r="X1959" s="3" t="n">
        <v>0</v>
      </c>
      <c r="Y1959" s="32" t="n">
        <v>0</v>
      </c>
      <c r="Z1959" s="3" t="n">
        <v>0</v>
      </c>
      <c r="AA1959" s="32" t="n">
        <v>0</v>
      </c>
      <c r="AB1959" s="3" t="n"/>
      <c r="AC1959" s="31" t="n">
        <v>0</v>
      </c>
      <c r="AD1959" s="2" t="n">
        <v>0</v>
      </c>
      <c r="AE1959" s="2" t="n">
        <v>0</v>
      </c>
      <c r="AF1959" s="4" t="n">
        <v>0</v>
      </c>
      <c r="AG1959" s="33" t="n">
        <v>0</v>
      </c>
      <c r="AH1959" s="4" t="n">
        <v>0</v>
      </c>
      <c r="AI1959" s="34" t="n"/>
      <c r="AJ1959" s="34" t="n">
        <v>0</v>
      </c>
      <c r="AK1959" s="2" t="n">
        <v>0</v>
      </c>
      <c r="AL1959" t="inlineStr">
        <is>
          <t>Published</t>
        </is>
      </c>
    </row>
    <row r="1960">
      <c r="A1960">
        <f>HYPERLINK("https://www.walmart.com/ip/613444135", "613444135")</f>
        <v/>
      </c>
      <c r="B1960">
        <f>HYPERLINK("https://app.optiwise.ai/catalog/itemdetails/362510", "Red Green Plaid Decorative Throw TV Sherpa Blanket, Soft, Warm, Comfy, Plush Fleece for Bedding, Couch and Cabin, Red Blue Buffalo Throw Blanket, 50 x 60.")</f>
        <v/>
      </c>
      <c r="C1960" t="inlineStr">
        <is>
          <t>1CTBF569PRD</t>
        </is>
      </c>
      <c r="D1960" t="inlineStr">
        <is>
          <t>Bedding</t>
        </is>
      </c>
      <c r="E1960" t="inlineStr">
        <is>
          <t>Throws</t>
        </is>
      </c>
      <c r="F1960" t="inlineStr">
        <is>
          <t>Catalonia</t>
        </is>
      </c>
      <c r="G1960" t="n">
        <v>5</v>
      </c>
      <c r="H1960" t="n">
        <v>3</v>
      </c>
      <c r="I1960" t="inlineStr">
        <is>
          <t>Q2-Target,WFS,Valentine,Coupon_Discount,WFS Item</t>
        </is>
      </c>
      <c r="J1960" s="29" t="n">
        <v>0</v>
      </c>
      <c r="K1960" s="30" t="n"/>
      <c r="L1960" s="29" t="n">
        <v>0</v>
      </c>
      <c r="M1960" s="29" t="n">
        <v>0</v>
      </c>
      <c r="N1960" s="2" t="n">
        <v>0</v>
      </c>
      <c r="O1960" s="31" t="n">
        <v>0</v>
      </c>
      <c r="P1960" s="32" t="n"/>
      <c r="Q1960" s="32" t="n">
        <v>0</v>
      </c>
      <c r="R1960" s="32" t="n">
        <v>0</v>
      </c>
      <c r="S1960" s="31" t="n">
        <v>0</v>
      </c>
      <c r="T1960" s="32" t="n">
        <v>0</v>
      </c>
      <c r="U1960" s="31" t="n">
        <v>0</v>
      </c>
      <c r="V1960" s="31" t="n">
        <v>0</v>
      </c>
      <c r="W1960" s="3" t="n">
        <v>0</v>
      </c>
      <c r="X1960" s="3" t="n">
        <v>0</v>
      </c>
      <c r="Y1960" s="32" t="n">
        <v>0</v>
      </c>
      <c r="Z1960" s="3" t="n">
        <v>0</v>
      </c>
      <c r="AA1960" s="32" t="n">
        <v>0</v>
      </c>
      <c r="AB1960" s="3" t="n"/>
      <c r="AC1960" s="31" t="n">
        <v>0</v>
      </c>
      <c r="AD1960" s="2" t="n">
        <v>0</v>
      </c>
      <c r="AE1960" s="2" t="n">
        <v>19</v>
      </c>
      <c r="AF1960" s="4" t="n">
        <v>19</v>
      </c>
      <c r="AG1960" s="33" t="n">
        <v>0</v>
      </c>
      <c r="AH1960" s="4" t="n">
        <v>0</v>
      </c>
      <c r="AI1960" s="34" t="n"/>
      <c r="AJ1960" s="34" t="n">
        <v>0</v>
      </c>
      <c r="AK1960" s="2" t="n">
        <v>0</v>
      </c>
      <c r="AL1960" t="inlineStr">
        <is>
          <t>Published</t>
        </is>
      </c>
    </row>
    <row r="1961">
      <c r="A1961">
        <f>HYPERLINK("https://www.walmart.com/ip/453756272", "453756272")</f>
        <v/>
      </c>
      <c r="B1961">
        <f>HYPERLINK("https://app.optiwise.ai/catalog/itemdetails/362507", "Catalonia Sherpa Throw Blanket, Reversible Cozy Waffle Pattern Knitted Blanket Throw for Couch Bed 60x50")</f>
        <v/>
      </c>
      <c r="C1961" t="inlineStr">
        <is>
          <t>1CTBN300BL</t>
        </is>
      </c>
      <c r="D1961" t="inlineStr">
        <is>
          <t>Bedding</t>
        </is>
      </c>
      <c r="E1961" t="inlineStr">
        <is>
          <t>Throws</t>
        </is>
      </c>
      <c r="F1961" t="inlineStr">
        <is>
          <t>Catalonia</t>
        </is>
      </c>
      <c r="G1961" t="n">
        <v>0</v>
      </c>
      <c r="H1961" t="n">
        <v>0</v>
      </c>
      <c r="I1961" t="inlineStr">
        <is>
          <t>Q2-Target,WFS,Coupon_Discount,WFS Item</t>
        </is>
      </c>
      <c r="J1961" s="29" t="n">
        <v>0</v>
      </c>
      <c r="K1961" s="30" t="n"/>
      <c r="L1961" s="29" t="n">
        <v>0</v>
      </c>
      <c r="M1961" s="29" t="n">
        <v>0</v>
      </c>
      <c r="N1961" s="2" t="n">
        <v>0</v>
      </c>
      <c r="O1961" s="31" t="n">
        <v>0</v>
      </c>
      <c r="P1961" s="32" t="n"/>
      <c r="Q1961" s="32" t="n">
        <v>0</v>
      </c>
      <c r="R1961" s="32" t="n">
        <v>0</v>
      </c>
      <c r="S1961" s="31" t="n">
        <v>0</v>
      </c>
      <c r="T1961" s="32" t="n">
        <v>0</v>
      </c>
      <c r="U1961" s="31" t="n">
        <v>0</v>
      </c>
      <c r="V1961" s="31" t="n">
        <v>0</v>
      </c>
      <c r="W1961" s="3" t="n">
        <v>0</v>
      </c>
      <c r="X1961" s="3" t="n">
        <v>0</v>
      </c>
      <c r="Y1961" s="32" t="n">
        <v>0</v>
      </c>
      <c r="Z1961" s="3" t="n">
        <v>0</v>
      </c>
      <c r="AA1961" s="32" t="n">
        <v>0</v>
      </c>
      <c r="AB1961" s="3" t="n"/>
      <c r="AC1961" s="31" t="n">
        <v>0</v>
      </c>
      <c r="AD1961" s="2" t="n">
        <v>0</v>
      </c>
      <c r="AE1961" s="2" t="n">
        <v>267</v>
      </c>
      <c r="AF1961" s="4" t="n">
        <v>267</v>
      </c>
      <c r="AG1961" s="33" t="n">
        <v>0</v>
      </c>
      <c r="AH1961" s="4" t="n">
        <v>0</v>
      </c>
      <c r="AI1961" s="34" t="n"/>
      <c r="AJ1961" s="34" t="n">
        <v>0</v>
      </c>
      <c r="AK1961" s="2" t="n">
        <v>0</v>
      </c>
      <c r="AL1961" t="inlineStr">
        <is>
          <t>Published</t>
        </is>
      </c>
    </row>
    <row r="1962">
      <c r="A1962">
        <f>HYPERLINK("https://www.walmart.com/ip/728436396", "728436396")</f>
        <v/>
      </c>
      <c r="B1962">
        <f>HYPERLINK("https://app.optiwise.ai/catalog/itemdetails/362506", "Sherpa jackie Mink Fleece for Adults 73 x 51”| Cozy Warm")</f>
        <v/>
      </c>
      <c r="C1962" t="inlineStr">
        <is>
          <t>1CTJK200BR</t>
        </is>
      </c>
      <c r="D1962" t="inlineStr">
        <is>
          <t>Clothing</t>
        </is>
      </c>
      <c r="E1962" t="inlineStr">
        <is>
          <t>Sweatshirts &amp; Hoodies</t>
        </is>
      </c>
      <c r="F1962" t="inlineStr">
        <is>
          <t>Catalonia</t>
        </is>
      </c>
      <c r="G1962" t="n">
        <v>0</v>
      </c>
      <c r="H1962" t="n">
        <v>0</v>
      </c>
      <c r="I1962" t="inlineStr">
        <is>
          <t>Jacket ForAdult,WFS,WFS Item</t>
        </is>
      </c>
      <c r="J1962" s="29" t="n">
        <v>0</v>
      </c>
      <c r="K1962" s="30" t="n"/>
      <c r="L1962" s="29" t="n">
        <v>0</v>
      </c>
      <c r="M1962" s="29" t="n">
        <v>0</v>
      </c>
      <c r="N1962" s="2" t="n">
        <v>0</v>
      </c>
      <c r="O1962" s="31" t="n">
        <v>0</v>
      </c>
      <c r="P1962" s="32" t="n"/>
      <c r="Q1962" s="32" t="n">
        <v>0</v>
      </c>
      <c r="R1962" s="32" t="n">
        <v>0</v>
      </c>
      <c r="S1962" s="31" t="n">
        <v>0</v>
      </c>
      <c r="T1962" s="32" t="n">
        <v>0</v>
      </c>
      <c r="U1962" s="31" t="n">
        <v>0</v>
      </c>
      <c r="V1962" s="31" t="n">
        <v>0</v>
      </c>
      <c r="W1962" s="3" t="n">
        <v>0</v>
      </c>
      <c r="X1962" s="3" t="n">
        <v>0</v>
      </c>
      <c r="Y1962" s="32" t="n">
        <v>0</v>
      </c>
      <c r="Z1962" s="3" t="n">
        <v>0</v>
      </c>
      <c r="AA1962" s="32" t="n">
        <v>0</v>
      </c>
      <c r="AB1962" s="3" t="n"/>
      <c r="AC1962" s="31" t="n">
        <v>0</v>
      </c>
      <c r="AD1962" s="2" t="n">
        <v>0</v>
      </c>
      <c r="AE1962" s="2" t="n">
        <v>38</v>
      </c>
      <c r="AF1962" s="4" t="n">
        <v>38</v>
      </c>
      <c r="AG1962" s="33" t="n">
        <v>0</v>
      </c>
      <c r="AH1962" s="4" t="n">
        <v>0</v>
      </c>
      <c r="AI1962" s="34" t="n"/>
      <c r="AJ1962" s="34" t="n">
        <v>0</v>
      </c>
      <c r="AK1962" s="2" t="n">
        <v>0</v>
      </c>
      <c r="AL1962" t="inlineStr">
        <is>
          <t>Published</t>
        </is>
      </c>
    </row>
    <row r="1963">
      <c r="A1963">
        <f>HYPERLINK("https://www.walmart.com/ip/624075240", "624075240")</f>
        <v/>
      </c>
      <c r="B1963">
        <f>HYPERLINK("https://app.optiwise.ai/catalog/itemdetails/362502", "Tirrinia Insulated 4 Bottle Wine Carrier Tote Cooler Bag for Travel Picnic Padded Champagne Glass Carrying Case Leather")</f>
        <v/>
      </c>
      <c r="C1963" t="inlineStr">
        <is>
          <t>1WMWB421STR</t>
        </is>
      </c>
      <c r="D1963" t="inlineStr">
        <is>
          <t>Home Decor, Kitchen, &amp; Other</t>
        </is>
      </c>
      <c r="E1963" t="inlineStr">
        <is>
          <t>Wine Totes, Bags &amp; Backpacks</t>
        </is>
      </c>
      <c r="F1963" t="inlineStr">
        <is>
          <t>Flyingstar</t>
        </is>
      </c>
      <c r="G1963" t="n">
        <v>0</v>
      </c>
      <c r="H1963" t="n">
        <v>0</v>
      </c>
      <c r="I1963" t="inlineStr">
        <is>
          <t>Wine,Christmas,Optimized,Valentine,SEM</t>
        </is>
      </c>
      <c r="J1963" s="29" t="n">
        <v>0</v>
      </c>
      <c r="K1963" s="30" t="n"/>
      <c r="L1963" s="29" t="n">
        <v>0</v>
      </c>
      <c r="M1963" s="29" t="n">
        <v>0</v>
      </c>
      <c r="N1963" s="2" t="n">
        <v>0</v>
      </c>
      <c r="O1963" s="31" t="n">
        <v>0</v>
      </c>
      <c r="P1963" s="32" t="n"/>
      <c r="Q1963" s="32" t="n">
        <v>0</v>
      </c>
      <c r="R1963" s="32" t="n">
        <v>0</v>
      </c>
      <c r="S1963" s="31" t="n">
        <v>0</v>
      </c>
      <c r="T1963" s="32" t="n">
        <v>0</v>
      </c>
      <c r="U1963" s="31" t="n">
        <v>0</v>
      </c>
      <c r="V1963" s="31" t="n">
        <v>0</v>
      </c>
      <c r="W1963" s="3" t="n">
        <v>0</v>
      </c>
      <c r="X1963" s="3" t="n">
        <v>0</v>
      </c>
      <c r="Y1963" s="32" t="n">
        <v>0</v>
      </c>
      <c r="Z1963" s="3" t="n">
        <v>0</v>
      </c>
      <c r="AA1963" s="32" t="n">
        <v>0</v>
      </c>
      <c r="AB1963" s="3" t="n"/>
      <c r="AC1963" s="31" t="n">
        <v>0</v>
      </c>
      <c r="AD1963" s="2" t="n">
        <v>0</v>
      </c>
      <c r="AE1963" s="2" t="n">
        <v>8</v>
      </c>
      <c r="AF1963" s="4" t="n">
        <v>8</v>
      </c>
      <c r="AG1963" s="33" t="n">
        <v>0</v>
      </c>
      <c r="AH1963" s="4" t="n">
        <v>0</v>
      </c>
      <c r="AI1963" s="34" t="n"/>
      <c r="AJ1963" s="34" t="n">
        <v>0</v>
      </c>
      <c r="AK1963" s="2" t="n">
        <v>0</v>
      </c>
      <c r="AL1963" t="inlineStr">
        <is>
          <t>Published</t>
        </is>
      </c>
    </row>
    <row r="1964">
      <c r="A1964">
        <f>HYPERLINK("https://www.walmart.com/ip/188442701", "188442701")</f>
        <v/>
      </c>
      <c r="B1964">
        <f>HYPERLINK("https://app.optiwise.ai/catalog/itemdetails/362501", "Tirrinia Wooden Cutting Board, Kitchen Chopping Board Serving Platter with both sides handle, Extra Large 16 x 11.5")</f>
        <v/>
      </c>
      <c r="C1964" t="inlineStr">
        <is>
          <t>VINABCB04</t>
        </is>
      </c>
      <c r="D1964" t="inlineStr">
        <is>
          <t>Home Decor, Kitchen, &amp; Other</t>
        </is>
      </c>
      <c r="E1964" t="inlineStr">
        <is>
          <t>Cutting Boards &amp; Butcher Blocks</t>
        </is>
      </c>
      <c r="F1964" t="inlineStr">
        <is>
          <t>Tirrinia</t>
        </is>
      </c>
      <c r="G1964" t="n">
        <v>4.1</v>
      </c>
      <c r="H1964" t="n">
        <v>18</v>
      </c>
      <c r="I1964" t="inlineStr">
        <is>
          <t>Optimized</t>
        </is>
      </c>
      <c r="J1964" s="29" t="n">
        <v>0</v>
      </c>
      <c r="K1964" s="30" t="n"/>
      <c r="L1964" s="29" t="n">
        <v>0</v>
      </c>
      <c r="M1964" s="29" t="n">
        <v>0</v>
      </c>
      <c r="N1964" s="2" t="n">
        <v>0</v>
      </c>
      <c r="O1964" s="31" t="n">
        <v>0</v>
      </c>
      <c r="P1964" s="32" t="n"/>
      <c r="Q1964" s="32" t="n">
        <v>0</v>
      </c>
      <c r="R1964" s="32" t="n">
        <v>0</v>
      </c>
      <c r="S1964" s="31" t="n">
        <v>0</v>
      </c>
      <c r="T1964" s="32" t="n">
        <v>0</v>
      </c>
      <c r="U1964" s="31" t="n">
        <v>0</v>
      </c>
      <c r="V1964" s="31" t="n">
        <v>0</v>
      </c>
      <c r="W1964" s="3" t="n">
        <v>0</v>
      </c>
      <c r="X1964" s="3" t="n">
        <v>0</v>
      </c>
      <c r="Y1964" s="32" t="n">
        <v>0</v>
      </c>
      <c r="Z1964" s="3" t="n">
        <v>0</v>
      </c>
      <c r="AA1964" s="32" t="n">
        <v>0</v>
      </c>
      <c r="AB1964" s="3" t="n"/>
      <c r="AC1964" s="31" t="n">
        <v>0</v>
      </c>
      <c r="AD1964" s="2" t="n">
        <v>0</v>
      </c>
      <c r="AE1964" s="2" t="n">
        <v>2</v>
      </c>
      <c r="AF1964" s="4" t="n">
        <v>2</v>
      </c>
      <c r="AG1964" s="33" t="n">
        <v>0</v>
      </c>
      <c r="AH1964" s="4" t="n">
        <v>0</v>
      </c>
      <c r="AI1964" s="34" t="n"/>
      <c r="AJ1964" s="34" t="n">
        <v>0</v>
      </c>
      <c r="AK1964" s="2" t="n">
        <v>0</v>
      </c>
      <c r="AL1964" t="inlineStr">
        <is>
          <t>Published</t>
        </is>
      </c>
    </row>
    <row r="1965">
      <c r="A1965">
        <f>HYPERLINK("https://www.walmart.com/ip/484996593", "484996593")</f>
        <v/>
      </c>
      <c r="B1965">
        <f>HYPERLINK("https://app.optiwise.ai/catalog/itemdetails/362498", "Mermaid Tail Blanket Super Soft Fleece Sleeping Bag Mermaid Blanket Tail with Pillow/Cusion Gift for Kids Girls 3-12")</f>
        <v/>
      </c>
      <c r="C1965" t="inlineStr">
        <is>
          <t>1TRMP100LB-TBCB</t>
        </is>
      </c>
      <c r="D1965" t="inlineStr">
        <is>
          <t>Bedding</t>
        </is>
      </c>
      <c r="E1965" t="inlineStr">
        <is>
          <t>Throws</t>
        </is>
      </c>
      <c r="F1965" t="inlineStr">
        <is>
          <t>Tirrinia</t>
        </is>
      </c>
      <c r="G1965" t="n">
        <v>0</v>
      </c>
      <c r="H1965" t="n">
        <v>0</v>
      </c>
      <c r="J1965" s="29" t="n">
        <v>0</v>
      </c>
      <c r="K1965" s="30" t="n"/>
      <c r="L1965" s="29" t="n">
        <v>0</v>
      </c>
      <c r="M1965" s="29" t="n">
        <v>0</v>
      </c>
      <c r="N1965" s="2" t="n">
        <v>0</v>
      </c>
      <c r="O1965" s="31" t="n">
        <v>0</v>
      </c>
      <c r="P1965" s="32" t="n"/>
      <c r="Q1965" s="32" t="n">
        <v>0</v>
      </c>
      <c r="R1965" s="32" t="n">
        <v>0</v>
      </c>
      <c r="S1965" s="31" t="n">
        <v>0</v>
      </c>
      <c r="T1965" s="32" t="n">
        <v>0</v>
      </c>
      <c r="U1965" s="31" t="n">
        <v>0</v>
      </c>
      <c r="V1965" s="31" t="n">
        <v>0</v>
      </c>
      <c r="W1965" s="3" t="n">
        <v>0</v>
      </c>
      <c r="X1965" s="3" t="n">
        <v>0</v>
      </c>
      <c r="Y1965" s="32" t="n">
        <v>0</v>
      </c>
      <c r="Z1965" s="3" t="n">
        <v>0</v>
      </c>
      <c r="AA1965" s="32" t="n">
        <v>0</v>
      </c>
      <c r="AB1965" s="3" t="n"/>
      <c r="AC1965" s="31" t="n">
        <v>0</v>
      </c>
      <c r="AD1965" s="2" t="n">
        <v>0</v>
      </c>
      <c r="AE1965" s="2" t="n">
        <v>13</v>
      </c>
      <c r="AF1965" s="4" t="n">
        <v>13</v>
      </c>
      <c r="AG1965" s="33" t="n">
        <v>0</v>
      </c>
      <c r="AH1965" s="4" t="n">
        <v>0</v>
      </c>
      <c r="AI1965" s="34" t="n"/>
      <c r="AJ1965" s="34" t="n">
        <v>0</v>
      </c>
      <c r="AK1965" s="2" t="n">
        <v>0</v>
      </c>
      <c r="AL1965" t="inlineStr">
        <is>
          <t>Published</t>
        </is>
      </c>
    </row>
    <row r="1966">
      <c r="A1966">
        <f>HYPERLINK("https://www.walmart.com/ip/234904496", "234904496")</f>
        <v/>
      </c>
      <c r="B1966">
        <f>HYPERLINK("https://app.optiwise.ai/catalog/itemdetails/362492", "Unisex Sun Fire Flame Racing Cap, Flare Race Day Running Outdoor Sports Hat, Summer Sun Blocker Hat")</f>
        <v/>
      </c>
      <c r="C1966" t="inlineStr">
        <is>
          <t>KC-FL04-ZFH</t>
        </is>
      </c>
      <c r="D1966" t="inlineStr">
        <is>
          <t>Clothing</t>
        </is>
      </c>
      <c r="E1966" t="inlineStr">
        <is>
          <t>Hats</t>
        </is>
      </c>
      <c r="F1966" t="inlineStr">
        <is>
          <t>KC Caps</t>
        </is>
      </c>
      <c r="G1966" t="n">
        <v>5</v>
      </c>
      <c r="H1966" t="n">
        <v>1</v>
      </c>
      <c r="I1966" t="inlineStr">
        <is>
          <t>Batch 1 - TR</t>
        </is>
      </c>
      <c r="J1966" s="29" t="n">
        <v>0</v>
      </c>
      <c r="K1966" s="30" t="n"/>
      <c r="L1966" s="29" t="n">
        <v>0</v>
      </c>
      <c r="M1966" s="29" t="n">
        <v>0</v>
      </c>
      <c r="N1966" s="2" t="n">
        <v>0</v>
      </c>
      <c r="O1966" s="31" t="n">
        <v>0</v>
      </c>
      <c r="P1966" s="32" t="n"/>
      <c r="Q1966" s="32" t="n">
        <v>0</v>
      </c>
      <c r="R1966" s="32" t="n">
        <v>0</v>
      </c>
      <c r="S1966" s="31" t="n">
        <v>0</v>
      </c>
      <c r="T1966" s="32" t="n">
        <v>0</v>
      </c>
      <c r="U1966" s="31" t="n">
        <v>0</v>
      </c>
      <c r="V1966" s="31" t="n">
        <v>0</v>
      </c>
      <c r="W1966" s="3" t="n">
        <v>0</v>
      </c>
      <c r="X1966" s="3" t="n">
        <v>0</v>
      </c>
      <c r="Y1966" s="32" t="n">
        <v>0</v>
      </c>
      <c r="Z1966" s="3" t="n">
        <v>0</v>
      </c>
      <c r="AA1966" s="32" t="n">
        <v>0</v>
      </c>
      <c r="AB1966" s="3" t="n"/>
      <c r="AC1966" s="31" t="n">
        <v>0</v>
      </c>
      <c r="AD1966" s="2" t="n">
        <v>0</v>
      </c>
      <c r="AE1966" s="2" t="n">
        <v>3</v>
      </c>
      <c r="AF1966" s="4" t="n">
        <v>3</v>
      </c>
      <c r="AG1966" s="33" t="n">
        <v>0</v>
      </c>
      <c r="AH1966" s="4" t="n">
        <v>0</v>
      </c>
      <c r="AI1966" s="34" t="n"/>
      <c r="AJ1966" s="34" t="n">
        <v>0</v>
      </c>
      <c r="AK1966" s="2" t="n">
        <v>0</v>
      </c>
      <c r="AL1966" t="inlineStr">
        <is>
          <t>Published</t>
        </is>
      </c>
    </row>
    <row r="1967">
      <c r="A1967">
        <f>HYPERLINK("https://www.walmart.com/ip/460411151", "460411151")</f>
        <v/>
      </c>
      <c r="B1967">
        <f>HYPERLINK("https://app.optiwise.ai/catalog/itemdetails/362486", "Solaris Youth Tulle Tutu, 3-Layered Princess Girls Skirt for Ballet, Dress Up Costume Party, and Running, Light Purple")</f>
        <v/>
      </c>
      <c r="C1967" t="inlineStr">
        <is>
          <t>SLTUTULP</t>
        </is>
      </c>
      <c r="D1967" t="inlineStr">
        <is>
          <t>Costumes</t>
        </is>
      </c>
      <c r="E1967" t="inlineStr">
        <is>
          <t>Skirts</t>
        </is>
      </c>
      <c r="F1967" t="inlineStr">
        <is>
          <t>Solaris</t>
        </is>
      </c>
      <c r="G1967" t="n">
        <v>0</v>
      </c>
      <c r="H1967" t="n">
        <v>0</v>
      </c>
      <c r="I1967" t="inlineStr">
        <is>
          <t>Optimized</t>
        </is>
      </c>
      <c r="J1967" s="29" t="n">
        <v>0</v>
      </c>
      <c r="K1967" s="30" t="n"/>
      <c r="L1967" s="29" t="n">
        <v>0</v>
      </c>
      <c r="M1967" s="29" t="n">
        <v>0</v>
      </c>
      <c r="N1967" s="2" t="n">
        <v>0</v>
      </c>
      <c r="O1967" s="31" t="n">
        <v>0</v>
      </c>
      <c r="P1967" s="32" t="n"/>
      <c r="Q1967" s="32" t="n">
        <v>0</v>
      </c>
      <c r="R1967" s="32" t="n">
        <v>0</v>
      </c>
      <c r="S1967" s="31" t="n">
        <v>0</v>
      </c>
      <c r="T1967" s="32" t="n">
        <v>0</v>
      </c>
      <c r="U1967" s="31" t="n">
        <v>0</v>
      </c>
      <c r="V1967" s="31" t="n">
        <v>0</v>
      </c>
      <c r="W1967" s="3" t="n">
        <v>0</v>
      </c>
      <c r="X1967" s="3" t="n">
        <v>0</v>
      </c>
      <c r="Y1967" s="32" t="n">
        <v>0</v>
      </c>
      <c r="Z1967" s="3" t="n">
        <v>0</v>
      </c>
      <c r="AA1967" s="32" t="n">
        <v>0</v>
      </c>
      <c r="AB1967" s="3" t="n"/>
      <c r="AC1967" s="31" t="n">
        <v>0</v>
      </c>
      <c r="AD1967" s="2" t="n">
        <v>0</v>
      </c>
      <c r="AE1967" s="2" t="n">
        <v>23</v>
      </c>
      <c r="AF1967" s="4" t="n">
        <v>23</v>
      </c>
      <c r="AG1967" s="33" t="n">
        <v>0</v>
      </c>
      <c r="AH1967" s="4" t="n">
        <v>0</v>
      </c>
      <c r="AI1967" s="34" t="n"/>
      <c r="AJ1967" s="34" t="n">
        <v>0</v>
      </c>
      <c r="AK1967" s="2" t="n">
        <v>0</v>
      </c>
      <c r="AL1967" t="inlineStr">
        <is>
          <t>Published</t>
        </is>
      </c>
    </row>
    <row r="1968">
      <c r="A1968">
        <f>HYPERLINK("https://www.walmart.com/ip/284382176", "284382176")</f>
        <v/>
      </c>
      <c r="B1968">
        <f>HYPERLINK("https://app.optiwise.ai/catalog/itemdetails/362438", "Tirrinia Insulated Wine Carrier Tote - Travel Padded 2 Bottle Wine/ Champagne Cooler Bag with Handle and Adjustable Shoulder Strap, Great Wine Lover Gift, Purple, 8.2 x 4.6 x 13.")</f>
        <v/>
      </c>
      <c r="C1968" t="inlineStr">
        <is>
          <t>1TRWB211PP</t>
        </is>
      </c>
      <c r="D1968" t="inlineStr">
        <is>
          <t>Home Decor, Kitchen, &amp; Other</t>
        </is>
      </c>
      <c r="E1968" t="inlineStr">
        <is>
          <t>Wine Totes, Bags &amp; Backpacks</t>
        </is>
      </c>
      <c r="F1968" t="inlineStr">
        <is>
          <t>Tirrinia</t>
        </is>
      </c>
      <c r="G1968" t="n">
        <v>0</v>
      </c>
      <c r="H1968" t="n">
        <v>0</v>
      </c>
      <c r="I1968" t="inlineStr">
        <is>
          <t>Wine,Christmas,Valentine,Lily Brand Camp</t>
        </is>
      </c>
      <c r="J1968" s="29" t="n">
        <v>0</v>
      </c>
      <c r="K1968" s="30" t="n"/>
      <c r="L1968" s="29" t="n">
        <v>0</v>
      </c>
      <c r="M1968" s="29" t="n">
        <v>0</v>
      </c>
      <c r="N1968" s="2" t="n">
        <v>0</v>
      </c>
      <c r="O1968" s="31" t="n">
        <v>0</v>
      </c>
      <c r="P1968" s="32" t="n"/>
      <c r="Q1968" s="32" t="n">
        <v>0</v>
      </c>
      <c r="R1968" s="32" t="n">
        <v>0.0885</v>
      </c>
      <c r="S1968" s="31" t="n">
        <v>0</v>
      </c>
      <c r="T1968" s="32" t="n">
        <v>0</v>
      </c>
      <c r="U1968" s="31" t="n">
        <v>0</v>
      </c>
      <c r="V1968" s="31" t="n">
        <v>0</v>
      </c>
      <c r="W1968" s="3" t="n">
        <v>0</v>
      </c>
      <c r="X1968" s="3" t="n">
        <v>0</v>
      </c>
      <c r="Y1968" s="32" t="n">
        <v>0</v>
      </c>
      <c r="Z1968" s="3" t="n">
        <v>0</v>
      </c>
      <c r="AA1968" s="32" t="n">
        <v>0</v>
      </c>
      <c r="AB1968" s="3" t="n"/>
      <c r="AC1968" s="31" t="n">
        <v>0</v>
      </c>
      <c r="AD1968" s="2" t="n">
        <v>1</v>
      </c>
      <c r="AE1968" s="2" t="n">
        <v>30</v>
      </c>
      <c r="AF1968" s="4" t="n">
        <v>30</v>
      </c>
      <c r="AG1968" s="33" t="n">
        <v>0</v>
      </c>
      <c r="AH1968" s="4" t="n">
        <v>0</v>
      </c>
      <c r="AI1968" s="34" t="n"/>
      <c r="AJ1968" s="34" t="n">
        <v>0</v>
      </c>
      <c r="AK1968" s="2" t="n">
        <v>0</v>
      </c>
      <c r="AL1968" t="inlineStr">
        <is>
          <t>Published</t>
        </is>
      </c>
    </row>
    <row r="1969">
      <c r="A1969">
        <f>HYPERLINK("https://www.walmart.com/ip/994532554", "994532554")</f>
        <v/>
      </c>
      <c r="B1969">
        <f>HYPERLINK("https://app.optiwise.ai/catalog/itemdetails/362478", "Tirrinia Insulated 2 Bottle Wine Carrier Tote Cooler Bag for Travel Picnic Padded Champagne Glass")</f>
        <v/>
      </c>
      <c r="C1969" t="inlineStr">
        <is>
          <t>1TRWB230GY</t>
        </is>
      </c>
      <c r="D1969" t="inlineStr">
        <is>
          <t>Home Decor, Kitchen, &amp; Other</t>
        </is>
      </c>
      <c r="E1969" t="inlineStr">
        <is>
          <t>Wine Totes, Bags &amp; Backpacks</t>
        </is>
      </c>
      <c r="F1969" t="inlineStr">
        <is>
          <t>Tirrinia</t>
        </is>
      </c>
      <c r="G1969" t="n">
        <v>0</v>
      </c>
      <c r="H1969" t="n">
        <v>0</v>
      </c>
      <c r="I1969" t="inlineStr">
        <is>
          <t>Wine,Wine Bag Camp,Christmas,WFS,Wine WFS,Valentine,SEM,WFS Item</t>
        </is>
      </c>
      <c r="J1969" s="29" t="n">
        <v>0</v>
      </c>
      <c r="K1969" s="30" t="n"/>
      <c r="L1969" s="29" t="n">
        <v>0</v>
      </c>
      <c r="M1969" s="29" t="n">
        <v>0</v>
      </c>
      <c r="N1969" s="2" t="n">
        <v>0</v>
      </c>
      <c r="O1969" s="31" t="n">
        <v>0</v>
      </c>
      <c r="P1969" s="32" t="n"/>
      <c r="Q1969" s="32" t="n">
        <v>0</v>
      </c>
      <c r="R1969" s="32" t="n">
        <v>0</v>
      </c>
      <c r="S1969" s="31" t="n">
        <v>0</v>
      </c>
      <c r="T1969" s="32" t="n">
        <v>0</v>
      </c>
      <c r="U1969" s="31" t="n">
        <v>0</v>
      </c>
      <c r="V1969" s="31" t="n">
        <v>0</v>
      </c>
      <c r="W1969" s="3" t="n">
        <v>0</v>
      </c>
      <c r="X1969" s="3" t="n">
        <v>0</v>
      </c>
      <c r="Y1969" s="32" t="n">
        <v>0</v>
      </c>
      <c r="Z1969" s="3" t="n">
        <v>0</v>
      </c>
      <c r="AA1969" s="32" t="n">
        <v>0</v>
      </c>
      <c r="AB1969" s="3" t="n"/>
      <c r="AC1969" s="31" t="n">
        <v>0</v>
      </c>
      <c r="AD1969" s="2" t="n">
        <v>0</v>
      </c>
      <c r="AE1969" s="2" t="n">
        <v>14</v>
      </c>
      <c r="AF1969" s="4" t="n">
        <v>14</v>
      </c>
      <c r="AG1969" s="33" t="n">
        <v>0</v>
      </c>
      <c r="AH1969" s="4" t="n">
        <v>0</v>
      </c>
      <c r="AI1969" s="34" t="n"/>
      <c r="AJ1969" s="34" t="n">
        <v>0</v>
      </c>
      <c r="AK1969" s="2" t="n">
        <v>0</v>
      </c>
      <c r="AL1969" t="inlineStr">
        <is>
          <t>Published</t>
        </is>
      </c>
    </row>
    <row r="1970">
      <c r="A1970">
        <f>HYPERLINK("https://www.walmart.com/ip/735913253", "735913253")</f>
        <v/>
      </c>
      <c r="B1970">
        <f>HYPERLINK("https://app.optiwise.ai/catalog/itemdetails/362468", "Sherpa Fleece Throw Blanket, Cozy Fuzzy Jacquard Blanket for the Couch Bed | Fluffy Comfy Warm Heavy Throws | Comfort Caring Gift, 50x60 inches")</f>
        <v/>
      </c>
      <c r="C1970" t="inlineStr">
        <is>
          <t>1CTBF573GYTILE</t>
        </is>
      </c>
      <c r="D1970" t="inlineStr">
        <is>
          <t>Bedding</t>
        </is>
      </c>
      <c r="E1970" t="inlineStr">
        <is>
          <t>Throws</t>
        </is>
      </c>
      <c r="F1970" t="inlineStr">
        <is>
          <t>Catalonia</t>
        </is>
      </c>
      <c r="G1970" t="n">
        <v>5</v>
      </c>
      <c r="H1970" t="n">
        <v>1</v>
      </c>
      <c r="I1970" t="inlineStr">
        <is>
          <t>Q2-Target,WFS,WFS Item</t>
        </is>
      </c>
      <c r="J1970" s="29" t="n">
        <v>0</v>
      </c>
      <c r="K1970" s="30" t="n"/>
      <c r="L1970" s="29" t="n">
        <v>0</v>
      </c>
      <c r="M1970" s="29" t="n">
        <v>0</v>
      </c>
      <c r="N1970" s="2" t="n">
        <v>0</v>
      </c>
      <c r="O1970" s="31" t="n">
        <v>0</v>
      </c>
      <c r="P1970" s="32" t="n"/>
      <c r="Q1970" s="32" t="n">
        <v>0</v>
      </c>
      <c r="R1970" s="32" t="n">
        <v>0</v>
      </c>
      <c r="S1970" s="31" t="n">
        <v>0</v>
      </c>
      <c r="T1970" s="32" t="n">
        <v>0</v>
      </c>
      <c r="U1970" s="31" t="n">
        <v>0</v>
      </c>
      <c r="V1970" s="31" t="n">
        <v>0</v>
      </c>
      <c r="W1970" s="3" t="n">
        <v>0</v>
      </c>
      <c r="X1970" s="3" t="n">
        <v>0</v>
      </c>
      <c r="Y1970" s="32" t="n">
        <v>0</v>
      </c>
      <c r="Z1970" s="3" t="n">
        <v>0</v>
      </c>
      <c r="AA1970" s="32" t="n">
        <v>0</v>
      </c>
      <c r="AB1970" s="3" t="n"/>
      <c r="AC1970" s="31" t="n">
        <v>0</v>
      </c>
      <c r="AD1970" s="2" t="n">
        <v>0</v>
      </c>
      <c r="AE1970" s="2" t="n">
        <v>30</v>
      </c>
      <c r="AF1970" s="4" t="n">
        <v>30</v>
      </c>
      <c r="AG1970" s="33" t="n">
        <v>0</v>
      </c>
      <c r="AH1970" s="4" t="n">
        <v>0</v>
      </c>
      <c r="AI1970" s="34" t="n"/>
      <c r="AJ1970" s="34" t="n">
        <v>0</v>
      </c>
      <c r="AK1970" s="2" t="n">
        <v>0</v>
      </c>
      <c r="AL1970" t="inlineStr">
        <is>
          <t>Published</t>
        </is>
      </c>
    </row>
    <row r="1971">
      <c r="A1971">
        <f>HYPERLINK("https://www.walmart.com/ip/620836851", "620836851")</f>
        <v/>
      </c>
      <c r="B1971">
        <f>HYPERLINK("https://app.optiwise.ai/catalog/itemdetails/362466", "Flyingstar Insulated Lunch Bag for Women Men, Leakproof Thermal Reusable Lunch Box Tote for Adult &amp; Kids Lunch Cooler for Office Work, Red")</f>
        <v/>
      </c>
      <c r="C1971" t="inlineStr">
        <is>
          <t>1WMLB701P1RD</t>
        </is>
      </c>
      <c r="D1971" t="inlineStr">
        <is>
          <t>Home Decor, Kitchen, &amp; Other</t>
        </is>
      </c>
      <c r="E1971" t="inlineStr">
        <is>
          <t>Reusable Lunch Bags &amp; Boxes</t>
        </is>
      </c>
      <c r="F1971" t="inlineStr">
        <is>
          <t>Flyingstar</t>
        </is>
      </c>
      <c r="G1971" t="n">
        <v>0</v>
      </c>
      <c r="H1971" t="n">
        <v>0</v>
      </c>
      <c r="I1971" t="inlineStr">
        <is>
          <t>Q2-Target,Lunch Bag,Lunch Bags</t>
        </is>
      </c>
      <c r="J1971" s="29" t="n">
        <v>0</v>
      </c>
      <c r="K1971" s="30" t="n"/>
      <c r="L1971" s="29" t="n">
        <v>0</v>
      </c>
      <c r="M1971" s="29" t="n">
        <v>0</v>
      </c>
      <c r="N1971" s="2" t="n">
        <v>0</v>
      </c>
      <c r="O1971" s="31" t="n">
        <v>0</v>
      </c>
      <c r="P1971" s="32" t="n"/>
      <c r="Q1971" s="32" t="n">
        <v>0</v>
      </c>
      <c r="R1971" s="32" t="n">
        <v>0.0424</v>
      </c>
      <c r="S1971" s="31" t="n">
        <v>0</v>
      </c>
      <c r="T1971" s="32" t="n">
        <v>0</v>
      </c>
      <c r="U1971" s="31" t="n">
        <v>0</v>
      </c>
      <c r="V1971" s="31" t="n">
        <v>0</v>
      </c>
      <c r="W1971" s="3" t="n">
        <v>0</v>
      </c>
      <c r="X1971" s="3" t="n">
        <v>0</v>
      </c>
      <c r="Y1971" s="32" t="n">
        <v>0</v>
      </c>
      <c r="Z1971" s="3" t="n">
        <v>0</v>
      </c>
      <c r="AA1971" s="32" t="n">
        <v>0</v>
      </c>
      <c r="AB1971" s="3" t="n"/>
      <c r="AC1971" s="31" t="n">
        <v>0</v>
      </c>
      <c r="AD1971" s="2" t="n">
        <v>0</v>
      </c>
      <c r="AE1971" s="2" t="n">
        <v>8</v>
      </c>
      <c r="AF1971" s="4" t="n">
        <v>8</v>
      </c>
      <c r="AG1971" s="33" t="n">
        <v>0</v>
      </c>
      <c r="AH1971" s="4" t="n">
        <v>0</v>
      </c>
      <c r="AI1971" s="34" t="n"/>
      <c r="AJ1971" s="34" t="n">
        <v>0</v>
      </c>
      <c r="AK1971" s="2" t="n">
        <v>0</v>
      </c>
      <c r="AL1971" t="inlineStr">
        <is>
          <t>Published</t>
        </is>
      </c>
    </row>
    <row r="1972">
      <c r="A1972">
        <f>HYPERLINK("https://www.walmart.com/ip/908736024", "908736024")</f>
        <v/>
      </c>
      <c r="B1972">
        <f>HYPERLINK("https://app.optiwise.ai/catalog/itemdetails/362463", "Sun Hat Wide Brim, Summer Outdoor Bucket  Boonie Hat for Hiking Safari Gardening")</f>
        <v/>
      </c>
      <c r="C1972" t="inlineStr">
        <is>
          <t>1SLSH191GY</t>
        </is>
      </c>
      <c r="D1972" t="inlineStr">
        <is>
          <t>Clothing</t>
        </is>
      </c>
      <c r="E1972" t="inlineStr">
        <is>
          <t>Hats</t>
        </is>
      </c>
      <c r="F1972" t="inlineStr">
        <is>
          <t>Solaris</t>
        </is>
      </c>
      <c r="G1972" t="n">
        <v>0</v>
      </c>
      <c r="H1972" t="n">
        <v>0</v>
      </c>
      <c r="I1972" t="inlineStr">
        <is>
          <t>Optimized</t>
        </is>
      </c>
      <c r="J1972" s="29" t="n">
        <v>0</v>
      </c>
      <c r="K1972" s="30" t="n"/>
      <c r="L1972" s="29" t="n">
        <v>0</v>
      </c>
      <c r="M1972" s="29" t="n">
        <v>0</v>
      </c>
      <c r="N1972" s="2" t="n">
        <v>0</v>
      </c>
      <c r="O1972" s="31" t="n">
        <v>0</v>
      </c>
      <c r="P1972" s="32" t="n"/>
      <c r="Q1972" s="32" t="n">
        <v>0</v>
      </c>
      <c r="R1972" s="32" t="n">
        <v>0</v>
      </c>
      <c r="S1972" s="31" t="n">
        <v>0</v>
      </c>
      <c r="T1972" s="32" t="n">
        <v>0</v>
      </c>
      <c r="U1972" s="31" t="n">
        <v>0</v>
      </c>
      <c r="V1972" s="31" t="n">
        <v>0</v>
      </c>
      <c r="W1972" s="3" t="n">
        <v>0</v>
      </c>
      <c r="X1972" s="3" t="n">
        <v>0</v>
      </c>
      <c r="Y1972" s="32" t="n">
        <v>0</v>
      </c>
      <c r="Z1972" s="3" t="n">
        <v>0</v>
      </c>
      <c r="AA1972" s="32" t="n">
        <v>0</v>
      </c>
      <c r="AB1972" s="3" t="n"/>
      <c r="AC1972" s="31" t="n">
        <v>0</v>
      </c>
      <c r="AD1972" s="2" t="n">
        <v>0</v>
      </c>
      <c r="AE1972" s="2" t="n">
        <v>1</v>
      </c>
      <c r="AF1972" s="4" t="n">
        <v>1</v>
      </c>
      <c r="AG1972" s="33" t="n">
        <v>0</v>
      </c>
      <c r="AH1972" s="4" t="n">
        <v>0</v>
      </c>
      <c r="AI1972" s="34" t="n"/>
      <c r="AJ1972" s="34" t="n">
        <v>0</v>
      </c>
      <c r="AK1972" s="2" t="n">
        <v>0</v>
      </c>
      <c r="AL1972" t="inlineStr">
        <is>
          <t>Published</t>
        </is>
      </c>
    </row>
    <row r="1973">
      <c r="A1973">
        <f>HYPERLINK("https://www.walmart.com/ip/773830545", "773830545")</f>
        <v/>
      </c>
      <c r="B1973">
        <f>HYPERLINK("https://app.optiwise.ai/catalog/itemdetails/362462", "Napa Plush  Throw Blanket Mocha, 90x90 Queen/Full, Striped Reversible Velvet Luxury Fleece Warm Bed Couch Blanket, Super Soft and Cozy")</f>
        <v/>
      </c>
      <c r="C1973" t="inlineStr">
        <is>
          <t>K8030QF-MOC</t>
        </is>
      </c>
      <c r="D1973" t="inlineStr">
        <is>
          <t>Bedding</t>
        </is>
      </c>
      <c r="E1973" t="inlineStr">
        <is>
          <t>Throws</t>
        </is>
      </c>
      <c r="F1973" t="inlineStr">
        <is>
          <t>NAPA</t>
        </is>
      </c>
      <c r="G1973" t="n">
        <v>0</v>
      </c>
      <c r="H1973" t="n">
        <v>0</v>
      </c>
      <c r="I1973" t="inlineStr">
        <is>
          <t>Optimized,cost-added</t>
        </is>
      </c>
      <c r="J1973" s="29" t="n">
        <v>0</v>
      </c>
      <c r="K1973" s="30" t="n"/>
      <c r="L1973" s="29" t="n">
        <v>0</v>
      </c>
      <c r="M1973" s="29" t="n">
        <v>0</v>
      </c>
      <c r="N1973" s="2" t="n">
        <v>0</v>
      </c>
      <c r="O1973" s="31" t="n">
        <v>0</v>
      </c>
      <c r="P1973" s="32" t="n"/>
      <c r="Q1973" s="32" t="n">
        <v>0</v>
      </c>
      <c r="R1973" s="32" t="n">
        <v>0</v>
      </c>
      <c r="S1973" s="31" t="n">
        <v>0</v>
      </c>
      <c r="T1973" s="32" t="n">
        <v>0</v>
      </c>
      <c r="U1973" s="31" t="n">
        <v>0</v>
      </c>
      <c r="V1973" s="31" t="n">
        <v>0</v>
      </c>
      <c r="W1973" s="3" t="n">
        <v>0</v>
      </c>
      <c r="X1973" s="3" t="n">
        <v>0</v>
      </c>
      <c r="Y1973" s="32" t="n">
        <v>0</v>
      </c>
      <c r="Z1973" s="3" t="n">
        <v>0</v>
      </c>
      <c r="AA1973" s="32" t="n">
        <v>0</v>
      </c>
      <c r="AB1973" s="3" t="n"/>
      <c r="AC1973" s="31" t="n">
        <v>0</v>
      </c>
      <c r="AD1973" s="2" t="n">
        <v>0</v>
      </c>
      <c r="AE1973" s="2" t="n">
        <v>6</v>
      </c>
      <c r="AF1973" s="4" t="n">
        <v>6</v>
      </c>
      <c r="AG1973" s="33" t="n">
        <v>0</v>
      </c>
      <c r="AH1973" s="4" t="n">
        <v>0</v>
      </c>
      <c r="AI1973" s="34" t="n"/>
      <c r="AJ1973" s="34" t="n">
        <v>0</v>
      </c>
      <c r="AK1973" s="2" t="n">
        <v>0</v>
      </c>
      <c r="AL1973" t="inlineStr">
        <is>
          <t>Published</t>
        </is>
      </c>
    </row>
    <row r="1974">
      <c r="A1974">
        <f>HYPERLINK("https://www.walmart.com/ip/768083940", "768083940")</f>
        <v/>
      </c>
      <c r="B1974">
        <f>HYPERLINK("https://app.optiwise.ai/catalog/itemdetails/362461", "Microplush Sherpa Blanket with Sleeves for Women and Men Blue")</f>
        <v/>
      </c>
      <c r="C1974" t="inlineStr">
        <is>
          <t>1TRSN110BL</t>
        </is>
      </c>
      <c r="D1974" t="inlineStr">
        <is>
          <t>Bedding</t>
        </is>
      </c>
      <c r="E1974" t="inlineStr">
        <is>
          <t>Throws</t>
        </is>
      </c>
      <c r="F1974" t="inlineStr">
        <is>
          <t>Tirrinia</t>
        </is>
      </c>
      <c r="G1974" t="n">
        <v>0</v>
      </c>
      <c r="H1974" t="n">
        <v>0</v>
      </c>
      <c r="I1974" t="inlineStr">
        <is>
          <t>WFS,Coupon_Discount,WFS Item</t>
        </is>
      </c>
      <c r="J1974" s="29" t="n">
        <v>0</v>
      </c>
      <c r="K1974" s="30" t="n"/>
      <c r="L1974" s="29" t="n">
        <v>0</v>
      </c>
      <c r="M1974" s="29" t="n">
        <v>0</v>
      </c>
      <c r="N1974" s="2" t="n">
        <v>0</v>
      </c>
      <c r="O1974" s="31" t="n">
        <v>0</v>
      </c>
      <c r="P1974" s="32" t="n"/>
      <c r="Q1974" s="32" t="n">
        <v>0</v>
      </c>
      <c r="R1974" s="32" t="n">
        <v>0</v>
      </c>
      <c r="S1974" s="31" t="n">
        <v>0</v>
      </c>
      <c r="T1974" s="32" t="n">
        <v>0</v>
      </c>
      <c r="U1974" s="31" t="n">
        <v>0</v>
      </c>
      <c r="V1974" s="31" t="n">
        <v>0</v>
      </c>
      <c r="W1974" s="3" t="n">
        <v>0</v>
      </c>
      <c r="X1974" s="3" t="n">
        <v>0</v>
      </c>
      <c r="Y1974" s="32" t="n">
        <v>0</v>
      </c>
      <c r="Z1974" s="3" t="n">
        <v>0</v>
      </c>
      <c r="AA1974" s="32" t="n">
        <v>0</v>
      </c>
      <c r="AB1974" s="3" t="n"/>
      <c r="AC1974" s="31" t="n">
        <v>0</v>
      </c>
      <c r="AD1974" s="2" t="n">
        <v>0</v>
      </c>
      <c r="AE1974" s="2" t="n">
        <v>1</v>
      </c>
      <c r="AF1974" s="4" t="n">
        <v>1</v>
      </c>
      <c r="AG1974" s="33" t="n">
        <v>0</v>
      </c>
      <c r="AH1974" s="4" t="n">
        <v>0</v>
      </c>
      <c r="AI1974" s="34" t="n"/>
      <c r="AJ1974" s="34" t="n">
        <v>0</v>
      </c>
      <c r="AK1974" s="2" t="n">
        <v>0</v>
      </c>
      <c r="AL1974" t="inlineStr">
        <is>
          <t>Published</t>
        </is>
      </c>
    </row>
    <row r="1975">
      <c r="A1975">
        <f>HYPERLINK("https://www.walmart.com/ip/185750230", "185750230")</f>
        <v/>
      </c>
      <c r="B1975">
        <f>HYPERLINK("https://app.optiwise.ai/catalog/itemdetails/362457", "Terra Active Wrap- Stylish Running workout travel waist belt w/ hidden pocket")</f>
        <v/>
      </c>
      <c r="C1975" t="inlineStr">
        <is>
          <t>TERRA-5NG-L</t>
        </is>
      </c>
      <c r="D1975" t="inlineStr">
        <is>
          <t>Cases &amp; Bags</t>
        </is>
      </c>
      <c r="E1975" t="inlineStr">
        <is>
          <t>Running Belts</t>
        </is>
      </c>
      <c r="F1975" t="inlineStr">
        <is>
          <t>Terra</t>
        </is>
      </c>
      <c r="G1975" t="n">
        <v>0</v>
      </c>
      <c r="H1975" t="n">
        <v>0</v>
      </c>
      <c r="I1975" t="inlineStr">
        <is>
          <t>Optimized</t>
        </is>
      </c>
      <c r="J1975" s="29" t="n">
        <v>0</v>
      </c>
      <c r="K1975" s="30" t="n"/>
      <c r="L1975" s="29" t="n">
        <v>0</v>
      </c>
      <c r="M1975" s="29" t="n">
        <v>0</v>
      </c>
      <c r="N1975" s="2" t="n">
        <v>0</v>
      </c>
      <c r="O1975" s="31" t="n">
        <v>0</v>
      </c>
      <c r="P1975" s="32" t="n"/>
      <c r="Q1975" s="32" t="n">
        <v>0</v>
      </c>
      <c r="R1975" s="32" t="n">
        <v>0</v>
      </c>
      <c r="S1975" s="31" t="n">
        <v>0</v>
      </c>
      <c r="T1975" s="32" t="n">
        <v>0</v>
      </c>
      <c r="U1975" s="31" t="n">
        <v>0</v>
      </c>
      <c r="V1975" s="31" t="n">
        <v>0</v>
      </c>
      <c r="W1975" s="3" t="n">
        <v>0</v>
      </c>
      <c r="X1975" s="3" t="n">
        <v>0</v>
      </c>
      <c r="Y1975" s="32" t="n">
        <v>0</v>
      </c>
      <c r="Z1975" s="3" t="n">
        <v>0</v>
      </c>
      <c r="AA1975" s="32" t="n">
        <v>0</v>
      </c>
      <c r="AB1975" s="3" t="n"/>
      <c r="AC1975" s="31" t="n">
        <v>0</v>
      </c>
      <c r="AD1975" s="2" t="n">
        <v>0</v>
      </c>
      <c r="AE1975" s="2" t="n">
        <v>1</v>
      </c>
      <c r="AF1975" s="4" t="n">
        <v>1</v>
      </c>
      <c r="AG1975" s="33" t="n">
        <v>0</v>
      </c>
      <c r="AH1975" s="4" t="n">
        <v>0</v>
      </c>
      <c r="AI1975" s="34" t="n"/>
      <c r="AJ1975" s="34" t="n">
        <v>0</v>
      </c>
      <c r="AK1975" s="2" t="n">
        <v>0</v>
      </c>
      <c r="AL1975" t="inlineStr">
        <is>
          <t>Published</t>
        </is>
      </c>
    </row>
    <row r="1976">
      <c r="A1976">
        <f>HYPERLINK("https://www.walmart.com/ip/124212611", "124212611")</f>
        <v/>
      </c>
      <c r="B1976">
        <f>HYPERLINK("https://app.optiwise.ai/catalog/itemdetails/362456", "Deluxe Stylish Microplush Sleeved Fleece Blanket Soft Home Sofa Snuggie")</f>
        <v/>
      </c>
      <c r="C1976" t="inlineStr">
        <is>
          <t>k3000-emgreen</t>
        </is>
      </c>
      <c r="D1976" t="inlineStr">
        <is>
          <t>Clothing</t>
        </is>
      </c>
      <c r="E1976" t="inlineStr">
        <is>
          <t>Throws</t>
        </is>
      </c>
      <c r="F1976" t="inlineStr">
        <is>
          <t>NAPA</t>
        </is>
      </c>
      <c r="G1976" t="n">
        <v>0</v>
      </c>
      <c r="H1976" t="n">
        <v>0</v>
      </c>
      <c r="I1976" t="inlineStr">
        <is>
          <t>ST Patrick Day</t>
        </is>
      </c>
      <c r="J1976" s="29" t="n">
        <v>0</v>
      </c>
      <c r="K1976" s="30" t="n"/>
      <c r="L1976" s="29" t="n">
        <v>0</v>
      </c>
      <c r="M1976" s="29" t="n">
        <v>0</v>
      </c>
      <c r="N1976" s="2" t="n">
        <v>0</v>
      </c>
      <c r="O1976" s="31" t="n">
        <v>0</v>
      </c>
      <c r="P1976" s="32" t="n"/>
      <c r="Q1976" s="32" t="n">
        <v>0</v>
      </c>
      <c r="R1976" s="32" t="n">
        <v>0</v>
      </c>
      <c r="S1976" s="31" t="n">
        <v>0</v>
      </c>
      <c r="T1976" s="32" t="n">
        <v>0</v>
      </c>
      <c r="U1976" s="31" t="n">
        <v>0</v>
      </c>
      <c r="V1976" s="31" t="n">
        <v>0</v>
      </c>
      <c r="W1976" s="3" t="n">
        <v>0</v>
      </c>
      <c r="X1976" s="3" t="n">
        <v>0</v>
      </c>
      <c r="Y1976" s="32" t="n">
        <v>0</v>
      </c>
      <c r="Z1976" s="3" t="n">
        <v>0</v>
      </c>
      <c r="AA1976" s="32" t="n">
        <v>0</v>
      </c>
      <c r="AB1976" s="3" t="n"/>
      <c r="AC1976" s="31" t="n">
        <v>0</v>
      </c>
      <c r="AD1976" s="2" t="n">
        <v>0</v>
      </c>
      <c r="AE1976" s="2" t="n">
        <v>9</v>
      </c>
      <c r="AF1976" s="4" t="n">
        <v>9</v>
      </c>
      <c r="AG1976" s="33" t="n">
        <v>0</v>
      </c>
      <c r="AH1976" s="4" t="n">
        <v>0</v>
      </c>
      <c r="AI1976" s="34" t="n"/>
      <c r="AJ1976" s="34" t="n">
        <v>0</v>
      </c>
      <c r="AK1976" s="2" t="n">
        <v>0</v>
      </c>
      <c r="AL1976" t="inlineStr">
        <is>
          <t>Published</t>
        </is>
      </c>
    </row>
    <row r="1977">
      <c r="A1977">
        <f>HYPERLINK("https://www.walmart.com/ip/274616053", "274616053")</f>
        <v/>
      </c>
      <c r="B1977">
        <f>HYPERLINK("https://app.optiwise.ai/catalog/itemdetails/362455", "Unisex Sun Fire Flame Racing Cap, Flare Race Day Running Outdoor Sports Hat, Summer Sun Blocker Hat")</f>
        <v/>
      </c>
      <c r="C1977" t="inlineStr">
        <is>
          <t>KC-FL08-ZFH</t>
        </is>
      </c>
      <c r="D1977" t="inlineStr">
        <is>
          <t>Clothing</t>
        </is>
      </c>
      <c r="E1977" t="inlineStr">
        <is>
          <t>Hats</t>
        </is>
      </c>
      <c r="F1977" t="inlineStr">
        <is>
          <t>KC Caps</t>
        </is>
      </c>
      <c r="G1977" t="n">
        <v>0</v>
      </c>
      <c r="H1977" t="n">
        <v>0</v>
      </c>
      <c r="I1977" t="inlineStr">
        <is>
          <t>Batch 1 - TR</t>
        </is>
      </c>
      <c r="J1977" s="29" t="n">
        <v>0</v>
      </c>
      <c r="K1977" s="30" t="n"/>
      <c r="L1977" s="29" t="n">
        <v>0</v>
      </c>
      <c r="M1977" s="29" t="n">
        <v>0</v>
      </c>
      <c r="N1977" s="2" t="n">
        <v>0</v>
      </c>
      <c r="O1977" s="31" t="n">
        <v>0</v>
      </c>
      <c r="P1977" s="32" t="n"/>
      <c r="Q1977" s="32" t="n">
        <v>0</v>
      </c>
      <c r="R1977" s="32" t="n">
        <v>0</v>
      </c>
      <c r="S1977" s="31" t="n">
        <v>0</v>
      </c>
      <c r="T1977" s="32" t="n">
        <v>0</v>
      </c>
      <c r="U1977" s="31" t="n">
        <v>0</v>
      </c>
      <c r="V1977" s="31" t="n">
        <v>0</v>
      </c>
      <c r="W1977" s="3" t="n">
        <v>0</v>
      </c>
      <c r="X1977" s="3" t="n">
        <v>0</v>
      </c>
      <c r="Y1977" s="32" t="n">
        <v>0</v>
      </c>
      <c r="Z1977" s="3" t="n">
        <v>0</v>
      </c>
      <c r="AA1977" s="32" t="n">
        <v>0</v>
      </c>
      <c r="AB1977" s="3" t="n"/>
      <c r="AC1977" s="31" t="n">
        <v>0</v>
      </c>
      <c r="AD1977" s="2" t="n">
        <v>0</v>
      </c>
      <c r="AE1977" s="2" t="n">
        <v>0</v>
      </c>
      <c r="AF1977" s="4" t="n">
        <v>0</v>
      </c>
      <c r="AG1977" s="33" t="n">
        <v>0</v>
      </c>
      <c r="AH1977" s="4" t="n">
        <v>0</v>
      </c>
      <c r="AI1977" s="34" t="n"/>
      <c r="AJ1977" s="34" t="n">
        <v>0</v>
      </c>
      <c r="AK1977" s="2" t="n">
        <v>0</v>
      </c>
      <c r="AL1977" t="inlineStr">
        <is>
          <t>Published</t>
        </is>
      </c>
    </row>
    <row r="1978">
      <c r="A1978">
        <f>HYPERLINK("https://www.walmart.com/ip/595303714", "595303714")</f>
        <v/>
      </c>
      <c r="B1978">
        <f>HYPERLINK("https://app.optiwise.ai/catalog/itemdetails/362452", "Catalonia Sherpa Throw Blanket, Super Soft Fluffy Fuzzy Comfy Velvet Plush Fleece TV Blankets and Throws for Sofa, Couch, and Bed, Melange Grey, 50” x 60”")</f>
        <v/>
      </c>
      <c r="C1978" t="inlineStr">
        <is>
          <t>1CTBF321LG</t>
        </is>
      </c>
      <c r="D1978" t="inlineStr">
        <is>
          <t>Bedding</t>
        </is>
      </c>
      <c r="E1978" t="inlineStr">
        <is>
          <t>Throws</t>
        </is>
      </c>
      <c r="F1978" t="inlineStr">
        <is>
          <t>Catalonia</t>
        </is>
      </c>
      <c r="G1978" t="n">
        <v>4.9</v>
      </c>
      <c r="H1978" t="n">
        <v>26</v>
      </c>
      <c r="I1978" t="inlineStr">
        <is>
          <t>Q2-Target,WFS,Coupon_Discount,WFS Item</t>
        </is>
      </c>
      <c r="J1978" s="29" t="n">
        <v>0</v>
      </c>
      <c r="K1978" s="30" t="n"/>
      <c r="L1978" s="29" t="n">
        <v>0</v>
      </c>
      <c r="M1978" s="29" t="n">
        <v>0</v>
      </c>
      <c r="N1978" s="2" t="n">
        <v>0</v>
      </c>
      <c r="O1978" s="31" t="n">
        <v>0</v>
      </c>
      <c r="P1978" s="32" t="n"/>
      <c r="Q1978" s="32" t="n">
        <v>0</v>
      </c>
      <c r="R1978" s="32" t="n">
        <v>0</v>
      </c>
      <c r="S1978" s="31" t="n">
        <v>0</v>
      </c>
      <c r="T1978" s="32" t="n">
        <v>0</v>
      </c>
      <c r="U1978" s="31" t="n">
        <v>0</v>
      </c>
      <c r="V1978" s="31" t="n">
        <v>0</v>
      </c>
      <c r="W1978" s="3" t="n">
        <v>0</v>
      </c>
      <c r="X1978" s="3" t="n">
        <v>0</v>
      </c>
      <c r="Y1978" s="32" t="n">
        <v>0</v>
      </c>
      <c r="Z1978" s="3" t="n">
        <v>0</v>
      </c>
      <c r="AA1978" s="32" t="n">
        <v>0</v>
      </c>
      <c r="AB1978" s="3" t="n"/>
      <c r="AC1978" s="31" t="n">
        <v>0</v>
      </c>
      <c r="AD1978" s="2" t="n">
        <v>0</v>
      </c>
      <c r="AE1978" s="2" t="n">
        <v>30</v>
      </c>
      <c r="AF1978" s="4" t="n">
        <v>30</v>
      </c>
      <c r="AG1978" s="33" t="n">
        <v>0</v>
      </c>
      <c r="AH1978" s="4" t="n">
        <v>0</v>
      </c>
      <c r="AI1978" s="34" t="n"/>
      <c r="AJ1978" s="34" t="n">
        <v>0</v>
      </c>
      <c r="AK1978" s="2" t="n">
        <v>0</v>
      </c>
      <c r="AL1978" t="inlineStr">
        <is>
          <t>Published</t>
        </is>
      </c>
    </row>
    <row r="1979">
      <c r="A1979">
        <f>HYPERLINK("https://www.walmart.com/ip/117134027", "117134027")</f>
        <v/>
      </c>
      <c r="B1979">
        <f>HYPERLINK("https://app.optiwise.ai/catalog/itemdetails/362445", "Terra Faux Fur Pom Pom Beanie Hat Slouchy Solid Plain Knit Unisex Stretches to Fit Most")</f>
        <v/>
      </c>
      <c r="C1979" t="inlineStr">
        <is>
          <t>TERRAPPH03PK</t>
        </is>
      </c>
      <c r="D1979" t="inlineStr">
        <is>
          <t>Clothing</t>
        </is>
      </c>
      <c r="E1979" t="inlineStr">
        <is>
          <t>Hats</t>
        </is>
      </c>
      <c r="F1979" t="inlineStr">
        <is>
          <t>Terra</t>
        </is>
      </c>
      <c r="G1979" t="n">
        <v>3</v>
      </c>
      <c r="H1979" t="n">
        <v>1</v>
      </c>
      <c r="I1979" t="inlineStr">
        <is>
          <t>Batch 1 - TR</t>
        </is>
      </c>
      <c r="J1979" s="29" t="n">
        <v>0</v>
      </c>
      <c r="K1979" s="30" t="n"/>
      <c r="L1979" s="29" t="n">
        <v>0</v>
      </c>
      <c r="M1979" s="29" t="n">
        <v>0</v>
      </c>
      <c r="N1979" s="2" t="n">
        <v>0</v>
      </c>
      <c r="O1979" s="31" t="n">
        <v>0</v>
      </c>
      <c r="P1979" s="32" t="n"/>
      <c r="Q1979" s="32" t="n">
        <v>0</v>
      </c>
      <c r="R1979" s="32" t="n">
        <v>0</v>
      </c>
      <c r="S1979" s="31" t="n">
        <v>0</v>
      </c>
      <c r="T1979" s="32" t="n">
        <v>0</v>
      </c>
      <c r="U1979" s="31" t="n">
        <v>0</v>
      </c>
      <c r="V1979" s="31" t="n">
        <v>0</v>
      </c>
      <c r="W1979" s="3" t="n">
        <v>0</v>
      </c>
      <c r="X1979" s="3" t="n">
        <v>0</v>
      </c>
      <c r="Y1979" s="32" t="n">
        <v>0</v>
      </c>
      <c r="Z1979" s="3" t="n">
        <v>0</v>
      </c>
      <c r="AA1979" s="32" t="n">
        <v>0</v>
      </c>
      <c r="AB1979" s="3" t="n"/>
      <c r="AC1979" s="31" t="n">
        <v>0</v>
      </c>
      <c r="AD1979" s="2" t="n">
        <v>0</v>
      </c>
      <c r="AE1979" s="2" t="n">
        <v>1</v>
      </c>
      <c r="AF1979" s="4" t="n">
        <v>1</v>
      </c>
      <c r="AG1979" s="33" t="n">
        <v>0</v>
      </c>
      <c r="AH1979" s="4" t="n">
        <v>0</v>
      </c>
      <c r="AI1979" s="34" t="n"/>
      <c r="AJ1979" s="34" t="n">
        <v>0</v>
      </c>
      <c r="AK1979" s="2" t="n">
        <v>0</v>
      </c>
      <c r="AL1979" t="inlineStr">
        <is>
          <t>Published</t>
        </is>
      </c>
    </row>
    <row r="1980">
      <c r="A1980">
        <f>HYPERLINK("https://www.walmart.com/ip/870353713", "870353713")</f>
        <v/>
      </c>
      <c r="B1980">
        <f>HYPERLINK("https://app.optiwise.ai/catalog/itemdetails/362336", "Flyingstar Blanket with Sleeves and Pocket, Wearable Throws Blanket, Robe for Women and Men 73” x 51” Latte")</f>
        <v/>
      </c>
      <c r="C1980" t="inlineStr">
        <is>
          <t>1WMSN100LT-ESGM</t>
        </is>
      </c>
      <c r="D1980" t="inlineStr">
        <is>
          <t>Bedding</t>
        </is>
      </c>
      <c r="E1980" t="inlineStr">
        <is>
          <t>Throws</t>
        </is>
      </c>
      <c r="F1980" t="inlineStr">
        <is>
          <t>Flyingstar</t>
        </is>
      </c>
      <c r="G1980" t="n">
        <v>0</v>
      </c>
      <c r="H1980" t="n">
        <v>0</v>
      </c>
      <c r="I1980" t="inlineStr">
        <is>
          <t>Batch 1 - TR</t>
        </is>
      </c>
      <c r="J1980" s="29" t="n">
        <v>0</v>
      </c>
      <c r="K1980" s="30" t="n"/>
      <c r="L1980" s="29" t="n">
        <v>0</v>
      </c>
      <c r="M1980" s="29" t="n">
        <v>0</v>
      </c>
      <c r="N1980" s="2" t="n">
        <v>0</v>
      </c>
      <c r="O1980" s="31" t="n">
        <v>0</v>
      </c>
      <c r="P1980" s="32" t="n"/>
      <c r="Q1980" s="32" t="n">
        <v>0</v>
      </c>
      <c r="R1980" s="32" t="n">
        <v>0</v>
      </c>
      <c r="S1980" s="31" t="n">
        <v>0</v>
      </c>
      <c r="T1980" s="32" t="n">
        <v>0</v>
      </c>
      <c r="U1980" s="31" t="n">
        <v>0</v>
      </c>
      <c r="V1980" s="31" t="n">
        <v>0</v>
      </c>
      <c r="W1980" s="3" t="n">
        <v>0</v>
      </c>
      <c r="X1980" s="3" t="n">
        <v>0</v>
      </c>
      <c r="Y1980" s="32" t="n">
        <v>0</v>
      </c>
      <c r="Z1980" s="3" t="n">
        <v>0</v>
      </c>
      <c r="AA1980" s="32" t="n">
        <v>0</v>
      </c>
      <c r="AB1980" s="3" t="n"/>
      <c r="AC1980" s="31" t="n">
        <v>0</v>
      </c>
      <c r="AD1980" s="2" t="n">
        <v>0</v>
      </c>
      <c r="AE1980" s="2" t="n">
        <v>2</v>
      </c>
      <c r="AF1980" s="4" t="n">
        <v>2</v>
      </c>
      <c r="AG1980" s="33" t="n">
        <v>0</v>
      </c>
      <c r="AH1980" s="4" t="n">
        <v>0</v>
      </c>
      <c r="AI1980" s="34" t="n"/>
      <c r="AJ1980" s="34" t="n">
        <v>0</v>
      </c>
      <c r="AK1980" s="2" t="n">
        <v>0</v>
      </c>
      <c r="AL1980" t="inlineStr">
        <is>
          <t>Published</t>
        </is>
      </c>
    </row>
    <row r="1981">
      <c r="A1981">
        <f>HYPERLINK("https://www.walmart.com/ip/429846144", "429846144")</f>
        <v/>
      </c>
      <c r="B1981">
        <f>HYPERLINK("https://app.optiwise.ai/catalog/itemdetails/362329", "Unisex Hunting Cap Orange Polyester Embroidery Animal Outdoor Wildlife Sport Cap")</f>
        <v/>
      </c>
      <c r="C1981" t="inlineStr">
        <is>
          <t>KC Caps ht22</t>
        </is>
      </c>
      <c r="D1981" t="inlineStr">
        <is>
          <t>Clothing</t>
        </is>
      </c>
      <c r="E1981" t="inlineStr">
        <is>
          <t>Hats</t>
        </is>
      </c>
      <c r="F1981" t="inlineStr">
        <is>
          <t>KC Caps</t>
        </is>
      </c>
      <c r="G1981" t="n">
        <v>5</v>
      </c>
      <c r="H1981" t="n">
        <v>1</v>
      </c>
      <c r="I1981" t="inlineStr">
        <is>
          <t>Optimized</t>
        </is>
      </c>
      <c r="J1981" s="29" t="n">
        <v>0</v>
      </c>
      <c r="K1981" s="30" t="n"/>
      <c r="L1981" s="29" t="n">
        <v>0</v>
      </c>
      <c r="M1981" s="29" t="n">
        <v>0</v>
      </c>
      <c r="N1981" s="2" t="n">
        <v>0</v>
      </c>
      <c r="O1981" s="31" t="n">
        <v>0</v>
      </c>
      <c r="P1981" s="32" t="n"/>
      <c r="Q1981" s="32" t="n">
        <v>0</v>
      </c>
      <c r="R1981" s="32" t="n">
        <v>0</v>
      </c>
      <c r="S1981" s="31" t="n">
        <v>0</v>
      </c>
      <c r="T1981" s="32" t="n">
        <v>0</v>
      </c>
      <c r="U1981" s="31" t="n">
        <v>0</v>
      </c>
      <c r="V1981" s="31" t="n">
        <v>0</v>
      </c>
      <c r="W1981" s="3" t="n">
        <v>0</v>
      </c>
      <c r="X1981" s="3" t="n">
        <v>0</v>
      </c>
      <c r="Y1981" s="32" t="n">
        <v>0</v>
      </c>
      <c r="Z1981" s="3" t="n">
        <v>0</v>
      </c>
      <c r="AA1981" s="32" t="n">
        <v>0</v>
      </c>
      <c r="AB1981" s="3" t="n"/>
      <c r="AC1981" s="31" t="n">
        <v>0</v>
      </c>
      <c r="AD1981" s="2" t="n">
        <v>0</v>
      </c>
      <c r="AE1981" s="2" t="n">
        <v>6</v>
      </c>
      <c r="AF1981" s="4" t="n">
        <v>6</v>
      </c>
      <c r="AG1981" s="33" t="n">
        <v>0</v>
      </c>
      <c r="AH1981" s="4" t="n">
        <v>0</v>
      </c>
      <c r="AI1981" s="34" t="n"/>
      <c r="AJ1981" s="34" t="n">
        <v>0</v>
      </c>
      <c r="AK1981" s="2" t="n">
        <v>0</v>
      </c>
      <c r="AL1981" t="inlineStr">
        <is>
          <t>Published</t>
        </is>
      </c>
    </row>
    <row r="1982">
      <c r="A1982">
        <f>HYPERLINK("https://www.walmart.com/ip/537523593", "537523593")</f>
        <v/>
      </c>
      <c r="B1982">
        <f>HYPERLINK("https://app.optiwise.ai/catalog/itemdetails/362167", "Catalonia Mermaid Tail Blanket, Super Soft Blanket Sherpa Lined Knit with Non-slip Neck Strap, Fleece Blanket for Adult Women or Teen Girls, Pink, 67'' x 22.5''")</f>
        <v/>
      </c>
      <c r="C1982" t="inlineStr">
        <is>
          <t>1CTMM300PK</t>
        </is>
      </c>
      <c r="D1982" t="inlineStr">
        <is>
          <t>Bedding</t>
        </is>
      </c>
      <c r="E1982" t="inlineStr">
        <is>
          <t>Throws</t>
        </is>
      </c>
      <c r="F1982" t="inlineStr">
        <is>
          <t>Catalonia</t>
        </is>
      </c>
      <c r="G1982" t="n">
        <v>5</v>
      </c>
      <c r="H1982" t="n">
        <v>14</v>
      </c>
      <c r="I1982" t="inlineStr">
        <is>
          <t>WFS,WFS Item</t>
        </is>
      </c>
      <c r="J1982" s="29" t="n">
        <v>0</v>
      </c>
      <c r="K1982" s="30" t="n"/>
      <c r="L1982" s="29" t="n">
        <v>0</v>
      </c>
      <c r="M1982" s="29" t="n">
        <v>0</v>
      </c>
      <c r="N1982" s="2" t="n">
        <v>0</v>
      </c>
      <c r="O1982" s="31" t="n">
        <v>0</v>
      </c>
      <c r="P1982" s="32" t="n"/>
      <c r="Q1982" s="32" t="n">
        <v>0</v>
      </c>
      <c r="R1982" s="32" t="n">
        <v>0.0389</v>
      </c>
      <c r="S1982" s="31" t="n">
        <v>0</v>
      </c>
      <c r="T1982" s="32" t="n">
        <v>0</v>
      </c>
      <c r="U1982" s="31" t="n">
        <v>0</v>
      </c>
      <c r="V1982" s="31" t="n">
        <v>0</v>
      </c>
      <c r="W1982" s="3" t="n">
        <v>6</v>
      </c>
      <c r="X1982" s="3" t="n">
        <v>0</v>
      </c>
      <c r="Y1982" s="32" t="n">
        <v>0</v>
      </c>
      <c r="Z1982" s="3" t="n">
        <v>0</v>
      </c>
      <c r="AA1982" s="32" t="n">
        <v>0</v>
      </c>
      <c r="AB1982" s="3" t="inlineStr">
        <is>
          <t>Throws_Auto_Optiwise_24</t>
        </is>
      </c>
      <c r="AC1982" s="31" t="n">
        <v>0</v>
      </c>
      <c r="AD1982" s="2" t="n">
        <v>9</v>
      </c>
      <c r="AE1982" s="2" t="n">
        <v>8</v>
      </c>
      <c r="AF1982" s="4" t="n">
        <v>8</v>
      </c>
      <c r="AG1982" s="33" t="n">
        <v>0</v>
      </c>
      <c r="AH1982" s="4" t="n">
        <v>0</v>
      </c>
      <c r="AI1982" s="34" t="n"/>
      <c r="AJ1982" s="34" t="n">
        <v>0</v>
      </c>
      <c r="AK1982" s="2" t="n">
        <v>0</v>
      </c>
      <c r="AL1982" t="inlineStr">
        <is>
          <t>Published</t>
        </is>
      </c>
    </row>
    <row r="1983">
      <c r="A1983">
        <f>HYPERLINK("https://www.walmart.com/ip/193794600", "193794600")</f>
        <v/>
      </c>
      <c r="B1983">
        <f>HYPERLINK("https://app.optiwise.ai/catalog/itemdetails/362220", "Napa Super Soft Micro Fleece Sherpa Bed Throw TV Blanket 50 x 60 Reversible Blue")</f>
        <v/>
      </c>
      <c r="C1983" t="inlineStr">
        <is>
          <t>K8010BLUE</t>
        </is>
      </c>
      <c r="D1983" t="inlineStr">
        <is>
          <t>Bedding</t>
        </is>
      </c>
      <c r="E1983" t="inlineStr">
        <is>
          <t>Throws</t>
        </is>
      </c>
      <c r="F1983" t="inlineStr">
        <is>
          <t>NAPA</t>
        </is>
      </c>
      <c r="G1983" t="n">
        <v>5</v>
      </c>
      <c r="H1983" t="n">
        <v>2</v>
      </c>
      <c r="I1983" t="inlineStr">
        <is>
          <t>Batch 1 - TR</t>
        </is>
      </c>
      <c r="J1983" s="29" t="n">
        <v>0</v>
      </c>
      <c r="K1983" s="30" t="n"/>
      <c r="L1983" s="29" t="n">
        <v>0</v>
      </c>
      <c r="M1983" s="29" t="n">
        <v>0</v>
      </c>
      <c r="N1983" s="2" t="n">
        <v>0</v>
      </c>
      <c r="O1983" s="31" t="n">
        <v>0</v>
      </c>
      <c r="P1983" s="32" t="n"/>
      <c r="Q1983" s="32" t="n">
        <v>0</v>
      </c>
      <c r="R1983" s="32" t="n">
        <v>0</v>
      </c>
      <c r="S1983" s="31" t="n">
        <v>0</v>
      </c>
      <c r="T1983" s="32" t="n">
        <v>0</v>
      </c>
      <c r="U1983" s="31" t="n">
        <v>0</v>
      </c>
      <c r="V1983" s="31" t="n">
        <v>0</v>
      </c>
      <c r="W1983" s="3" t="n">
        <v>0</v>
      </c>
      <c r="X1983" s="3" t="n">
        <v>0</v>
      </c>
      <c r="Y1983" s="32" t="n">
        <v>0</v>
      </c>
      <c r="Z1983" s="3" t="n">
        <v>0</v>
      </c>
      <c r="AA1983" s="32" t="n">
        <v>0</v>
      </c>
      <c r="AB1983" s="3" t="n"/>
      <c r="AC1983" s="31" t="n">
        <v>0</v>
      </c>
      <c r="AD1983" s="2" t="n">
        <v>0</v>
      </c>
      <c r="AE1983" s="2" t="n">
        <v>8</v>
      </c>
      <c r="AF1983" s="4" t="n">
        <v>8</v>
      </c>
      <c r="AG1983" s="33" t="n">
        <v>0</v>
      </c>
      <c r="AH1983" s="4" t="n">
        <v>0</v>
      </c>
      <c r="AI1983" s="34" t="n"/>
      <c r="AJ1983" s="34" t="n">
        <v>0</v>
      </c>
      <c r="AK1983" s="2" t="n">
        <v>0</v>
      </c>
      <c r="AL1983" t="inlineStr">
        <is>
          <t>Published</t>
        </is>
      </c>
    </row>
    <row r="1984">
      <c r="A1984">
        <f>HYPERLINK("https://www.walmart.com/ip/977973294", "977973294")</f>
        <v/>
      </c>
      <c r="B1984">
        <f>HYPERLINK("https://app.optiwise.ai/catalog/itemdetails/362244", "Home Comforts Blanket with Sleeves, Super Soft Wearable TV Blanket Robe Fleece for Adults 73 x 51”| Cozy Warm, Lightweight")</f>
        <v/>
      </c>
      <c r="C1984" t="inlineStr">
        <is>
          <t>1TRSN100BK</t>
        </is>
      </c>
      <c r="D1984" t="inlineStr">
        <is>
          <t>Bedding</t>
        </is>
      </c>
      <c r="E1984" t="inlineStr">
        <is>
          <t>Throws</t>
        </is>
      </c>
      <c r="F1984" t="inlineStr">
        <is>
          <t>Tirrinia</t>
        </is>
      </c>
      <c r="G1984" t="n">
        <v>0</v>
      </c>
      <c r="H1984" t="n">
        <v>0</v>
      </c>
      <c r="I1984" t="inlineStr">
        <is>
          <t>WFS,WFS Item,Fleece Blankets</t>
        </is>
      </c>
      <c r="J1984" s="29" t="n">
        <v>0</v>
      </c>
      <c r="K1984" s="30" t="n"/>
      <c r="L1984" s="29" t="n">
        <v>0</v>
      </c>
      <c r="M1984" s="29" t="n">
        <v>0</v>
      </c>
      <c r="N1984" s="2" t="n">
        <v>0</v>
      </c>
      <c r="O1984" s="31" t="n">
        <v>0</v>
      </c>
      <c r="P1984" s="32" t="n"/>
      <c r="Q1984" s="32" t="n">
        <v>0</v>
      </c>
      <c r="R1984" s="32" t="n">
        <v>0</v>
      </c>
      <c r="S1984" s="31" t="n">
        <v>0</v>
      </c>
      <c r="T1984" s="32" t="n">
        <v>0</v>
      </c>
      <c r="U1984" s="31" t="n">
        <v>0</v>
      </c>
      <c r="V1984" s="31" t="n">
        <v>0</v>
      </c>
      <c r="W1984" s="3" t="n">
        <v>0</v>
      </c>
      <c r="X1984" s="3" t="n">
        <v>0</v>
      </c>
      <c r="Y1984" s="32" t="n">
        <v>0</v>
      </c>
      <c r="Z1984" s="3" t="n">
        <v>0</v>
      </c>
      <c r="AA1984" s="32" t="n">
        <v>0</v>
      </c>
      <c r="AB1984" s="3" t="n"/>
      <c r="AC1984" s="31" t="n">
        <v>0</v>
      </c>
      <c r="AD1984" s="2" t="n">
        <v>0</v>
      </c>
      <c r="AE1984" s="2" t="n">
        <v>13</v>
      </c>
      <c r="AF1984" s="4" t="n">
        <v>13</v>
      </c>
      <c r="AG1984" s="33" t="n">
        <v>0</v>
      </c>
      <c r="AH1984" s="4" t="n">
        <v>0</v>
      </c>
      <c r="AI1984" s="34" t="n"/>
      <c r="AJ1984" s="34" t="n">
        <v>0</v>
      </c>
      <c r="AK1984" s="2" t="n">
        <v>0</v>
      </c>
      <c r="AL1984" t="inlineStr">
        <is>
          <t>Published</t>
        </is>
      </c>
    </row>
    <row r="1985">
      <c r="A1985">
        <f>HYPERLINK("https://www.walmart.com/ip/103455495", "103455495")</f>
        <v/>
      </c>
      <c r="B1985">
        <f>HYPERLINK("https://app.optiwise.ai/catalog/itemdetails/362242", "JenniWears Women Lingerie Plus Size Stretch Lace Nightwear Gartered Chemise w/G-String Set")</f>
        <v/>
      </c>
      <c r="C1985" t="inlineStr">
        <is>
          <t>JWBD01BKPP-XL</t>
        </is>
      </c>
      <c r="D1985" t="inlineStr">
        <is>
          <t>Clothing</t>
        </is>
      </c>
      <c r="E1985" t="inlineStr">
        <is>
          <t>Lingerie Sets</t>
        </is>
      </c>
      <c r="F1985" t="inlineStr">
        <is>
          <t>JenniWears</t>
        </is>
      </c>
      <c r="G1985" t="n">
        <v>0</v>
      </c>
      <c r="H1985" t="n">
        <v>0</v>
      </c>
      <c r="I1985" t="inlineStr">
        <is>
          <t>Valentine</t>
        </is>
      </c>
      <c r="J1985" s="29" t="n">
        <v>0</v>
      </c>
      <c r="K1985" s="30" t="n"/>
      <c r="L1985" s="29" t="n">
        <v>0</v>
      </c>
      <c r="M1985" s="29" t="n">
        <v>0</v>
      </c>
      <c r="N1985" s="2" t="n">
        <v>0</v>
      </c>
      <c r="O1985" s="31" t="n">
        <v>0</v>
      </c>
      <c r="P1985" s="32" t="n"/>
      <c r="Q1985" s="32" t="n">
        <v>0</v>
      </c>
      <c r="R1985" s="32" t="n">
        <v>0</v>
      </c>
      <c r="S1985" s="31" t="n">
        <v>0</v>
      </c>
      <c r="T1985" s="32" t="n">
        <v>0</v>
      </c>
      <c r="U1985" s="31" t="n">
        <v>0</v>
      </c>
      <c r="V1985" s="31" t="n">
        <v>0</v>
      </c>
      <c r="W1985" s="3" t="n">
        <v>0</v>
      </c>
      <c r="X1985" s="3" t="n">
        <v>0</v>
      </c>
      <c r="Y1985" s="32" t="n">
        <v>0</v>
      </c>
      <c r="Z1985" s="3" t="n">
        <v>0</v>
      </c>
      <c r="AA1985" s="32" t="n">
        <v>0</v>
      </c>
      <c r="AB1985" s="3" t="n"/>
      <c r="AC1985" s="31" t="n">
        <v>0</v>
      </c>
      <c r="AD1985" s="2" t="n">
        <v>0</v>
      </c>
      <c r="AE1985" s="2" t="n">
        <v>11</v>
      </c>
      <c r="AF1985" s="4" t="n">
        <v>11</v>
      </c>
      <c r="AG1985" s="33" t="n">
        <v>0</v>
      </c>
      <c r="AH1985" s="4" t="n">
        <v>0</v>
      </c>
      <c r="AI1985" s="34" t="n"/>
      <c r="AJ1985" s="34" t="n">
        <v>0</v>
      </c>
      <c r="AK1985" s="2" t="n">
        <v>0</v>
      </c>
      <c r="AL1985" t="inlineStr">
        <is>
          <t>Published</t>
        </is>
      </c>
    </row>
    <row r="1986">
      <c r="A1986">
        <f>HYPERLINK("https://www.walmart.com/ip/700944003", "700944003")</f>
        <v/>
      </c>
      <c r="B1986">
        <f>HYPERLINK("https://app.optiwise.ai/catalog/itemdetails/362241", "Catalonia Sherpa Fleece Blanket&lt;strong&gt; &lt;/strong&gt;60 x 80, for Bed Sofa Couch, Plush Throw TV Cozy Warm Comforter Caring Gift")</f>
        <v/>
      </c>
      <c r="C1986" t="inlineStr">
        <is>
          <t>1CTBF368GN</t>
        </is>
      </c>
      <c r="D1986" t="inlineStr">
        <is>
          <t>Bedding</t>
        </is>
      </c>
      <c r="E1986" t="inlineStr">
        <is>
          <t>Throws</t>
        </is>
      </c>
      <c r="F1986" t="inlineStr">
        <is>
          <t>Catalonia</t>
        </is>
      </c>
      <c r="G1986" t="n">
        <v>0</v>
      </c>
      <c r="H1986" t="n">
        <v>0</v>
      </c>
      <c r="I1986" t="inlineStr">
        <is>
          <t>Q2-Target,Optimized,WFS,Coupon_Discount,WFS Item,Fleece Blankets</t>
        </is>
      </c>
      <c r="J1986" s="29" t="n">
        <v>0</v>
      </c>
      <c r="K1986" s="30" t="n"/>
      <c r="L1986" s="29" t="n">
        <v>0</v>
      </c>
      <c r="M1986" s="29" t="n">
        <v>0</v>
      </c>
      <c r="N1986" s="2" t="n">
        <v>0</v>
      </c>
      <c r="O1986" s="31" t="n">
        <v>0</v>
      </c>
      <c r="P1986" s="32" t="n"/>
      <c r="Q1986" s="32" t="n">
        <v>0</v>
      </c>
      <c r="R1986" s="32" t="n">
        <v>0</v>
      </c>
      <c r="S1986" s="31" t="n">
        <v>0</v>
      </c>
      <c r="T1986" s="32" t="n">
        <v>0</v>
      </c>
      <c r="U1986" s="31" t="n">
        <v>0</v>
      </c>
      <c r="V1986" s="31" t="n">
        <v>0</v>
      </c>
      <c r="W1986" s="3" t="n">
        <v>0</v>
      </c>
      <c r="X1986" s="3" t="n">
        <v>0</v>
      </c>
      <c r="Y1986" s="32" t="n">
        <v>0</v>
      </c>
      <c r="Z1986" s="3" t="n">
        <v>0</v>
      </c>
      <c r="AA1986" s="32" t="n">
        <v>0</v>
      </c>
      <c r="AB1986" s="3" t="n"/>
      <c r="AC1986" s="31" t="n">
        <v>0</v>
      </c>
      <c r="AD1986" s="2" t="n">
        <v>0</v>
      </c>
      <c r="AE1986" s="2" t="n">
        <v>27</v>
      </c>
      <c r="AF1986" s="4" t="n">
        <v>27</v>
      </c>
      <c r="AG1986" s="33" t="n">
        <v>0</v>
      </c>
      <c r="AH1986" s="4" t="n">
        <v>0</v>
      </c>
      <c r="AI1986" s="34" t="n"/>
      <c r="AJ1986" s="34" t="n">
        <v>0</v>
      </c>
      <c r="AK1986" s="2" t="n">
        <v>0</v>
      </c>
      <c r="AL1986" t="inlineStr">
        <is>
          <t>Published</t>
        </is>
      </c>
    </row>
    <row r="1987">
      <c r="A1987">
        <f>HYPERLINK("https://www.walmart.com/ip/976189174", "976189174")</f>
        <v/>
      </c>
      <c r="B1987">
        <f>HYPERLINK("https://app.optiwise.ai/catalog/itemdetails/362238", "Tirrinia Pet Carrier Backpack for Dogs and Cats up to 15 LBS Comfort Dog Cat Carrier Travel Bag Breathable for Hiking, Walking, Cycling &amp; Outdoor Use 16H x13.2L x12W Blue")</f>
        <v/>
      </c>
      <c r="C1987" t="inlineStr">
        <is>
          <t>1PSPB200BL</t>
        </is>
      </c>
      <c r="D1987" t="inlineStr">
        <is>
          <t>Animal Other</t>
        </is>
      </c>
      <c r="E1987" t="inlineStr">
        <is>
          <t>Pet Carriers</t>
        </is>
      </c>
      <c r="F1987" t="inlineStr">
        <is>
          <t>Pawsse</t>
        </is>
      </c>
      <c r="G1987" t="n">
        <v>4.4</v>
      </c>
      <c r="H1987" t="n">
        <v>8</v>
      </c>
      <c r="I1987" t="inlineStr">
        <is>
          <t>Batch 1 - TR</t>
        </is>
      </c>
      <c r="J1987" s="29" t="n">
        <v>0</v>
      </c>
      <c r="K1987" s="30" t="n"/>
      <c r="L1987" s="29" t="n">
        <v>0</v>
      </c>
      <c r="M1987" s="29" t="n">
        <v>0</v>
      </c>
      <c r="N1987" s="2" t="n">
        <v>0</v>
      </c>
      <c r="O1987" s="31" t="n">
        <v>0</v>
      </c>
      <c r="P1987" s="32" t="n"/>
      <c r="Q1987" s="32" t="n">
        <v>0</v>
      </c>
      <c r="R1987" s="32" t="n">
        <v>0</v>
      </c>
      <c r="S1987" s="31" t="n">
        <v>0</v>
      </c>
      <c r="T1987" s="32" t="n">
        <v>0</v>
      </c>
      <c r="U1987" s="31" t="n">
        <v>0</v>
      </c>
      <c r="V1987" s="31" t="n">
        <v>0</v>
      </c>
      <c r="W1987" s="3" t="n">
        <v>0</v>
      </c>
      <c r="X1987" s="3" t="n">
        <v>0</v>
      </c>
      <c r="Y1987" s="32" t="n">
        <v>0</v>
      </c>
      <c r="Z1987" s="3" t="n">
        <v>0</v>
      </c>
      <c r="AA1987" s="32" t="n">
        <v>0</v>
      </c>
      <c r="AB1987" s="3" t="n"/>
      <c r="AC1987" s="31" t="n">
        <v>0</v>
      </c>
      <c r="AD1987" s="2" t="n">
        <v>0</v>
      </c>
      <c r="AE1987" s="2" t="n">
        <v>26</v>
      </c>
      <c r="AF1987" s="4" t="n">
        <v>26</v>
      </c>
      <c r="AG1987" s="33" t="n">
        <v>0</v>
      </c>
      <c r="AH1987" s="4" t="n">
        <v>0</v>
      </c>
      <c r="AI1987" s="34" t="n"/>
      <c r="AJ1987" s="34" t="n">
        <v>0</v>
      </c>
      <c r="AK1987" s="2" t="n">
        <v>0</v>
      </c>
      <c r="AL1987" t="inlineStr">
        <is>
          <t>Published</t>
        </is>
      </c>
    </row>
    <row r="1988">
      <c r="A1988">
        <f>HYPERLINK("https://www.walmart.com/ip/157648196", "157648196")</f>
        <v/>
      </c>
      <c r="B1988">
        <f>HYPERLINK("https://app.optiwise.ai/catalog/itemdetails/362237", "Jenniwears Women's Sexy Lingerie Lace Mesh 2-Piece Bowknot Halter Chemise with G-String")</f>
        <v/>
      </c>
      <c r="C1988" t="inlineStr">
        <is>
          <t>JWND03GN</t>
        </is>
      </c>
      <c r="D1988" t="inlineStr">
        <is>
          <t>Clothing</t>
        </is>
      </c>
      <c r="E1988" t="inlineStr">
        <is>
          <t>Lingerie Sets</t>
        </is>
      </c>
      <c r="F1988" t="inlineStr">
        <is>
          <t>JenniWears</t>
        </is>
      </c>
      <c r="G1988" t="n">
        <v>0</v>
      </c>
      <c r="H1988" t="n">
        <v>0</v>
      </c>
      <c r="I1988" t="inlineStr">
        <is>
          <t>Optimized,Valentine</t>
        </is>
      </c>
      <c r="J1988" s="29" t="n">
        <v>0</v>
      </c>
      <c r="K1988" s="30" t="n"/>
      <c r="L1988" s="29" t="n">
        <v>0</v>
      </c>
      <c r="M1988" s="29" t="n">
        <v>0</v>
      </c>
      <c r="N1988" s="2" t="n">
        <v>0</v>
      </c>
      <c r="O1988" s="31" t="n">
        <v>0</v>
      </c>
      <c r="P1988" s="32" t="n"/>
      <c r="Q1988" s="32" t="n">
        <v>0</v>
      </c>
      <c r="R1988" s="32" t="n">
        <v>0</v>
      </c>
      <c r="S1988" s="31" t="n">
        <v>0</v>
      </c>
      <c r="T1988" s="32" t="n">
        <v>0</v>
      </c>
      <c r="U1988" s="31" t="n">
        <v>0</v>
      </c>
      <c r="V1988" s="31" t="n">
        <v>0</v>
      </c>
      <c r="W1988" s="3" t="n">
        <v>0</v>
      </c>
      <c r="X1988" s="3" t="n">
        <v>0</v>
      </c>
      <c r="Y1988" s="32" t="n">
        <v>0</v>
      </c>
      <c r="Z1988" s="3" t="n">
        <v>0</v>
      </c>
      <c r="AA1988" s="32" t="n">
        <v>0</v>
      </c>
      <c r="AB1988" s="3" t="n"/>
      <c r="AC1988" s="31" t="n">
        <v>0</v>
      </c>
      <c r="AD1988" s="2" t="n">
        <v>0</v>
      </c>
      <c r="AE1988" s="2" t="n">
        <v>23</v>
      </c>
      <c r="AF1988" s="4" t="n">
        <v>23</v>
      </c>
      <c r="AG1988" s="33" t="n">
        <v>0</v>
      </c>
      <c r="AH1988" s="4" t="n">
        <v>0</v>
      </c>
      <c r="AI1988" s="34" t="n"/>
      <c r="AJ1988" s="34" t="n">
        <v>0</v>
      </c>
      <c r="AK1988" s="2" t="n">
        <v>0</v>
      </c>
      <c r="AL1988" t="inlineStr">
        <is>
          <t>Published</t>
        </is>
      </c>
    </row>
    <row r="1989">
      <c r="A1989">
        <f>HYPERLINK("https://www.walmart.com/ip/223551191", "223551191")</f>
        <v/>
      </c>
      <c r="B1989">
        <f>HYPERLINK("https://app.optiwise.ai/catalog/itemdetails/362236", "Two-Piece Ladies Tankini Swimsuit for Women Swimsuits by Tirrinia")</f>
        <v/>
      </c>
      <c r="C1989" t="inlineStr">
        <is>
          <t>1TRSS003WH-M</t>
        </is>
      </c>
      <c r="D1989" t="inlineStr">
        <is>
          <t>Clothing</t>
        </is>
      </c>
      <c r="E1989" t="inlineStr">
        <is>
          <t>Swimsuit Sets</t>
        </is>
      </c>
      <c r="F1989" t="inlineStr">
        <is>
          <t>Tirrinia</t>
        </is>
      </c>
      <c r="G1989" t="n">
        <v>0</v>
      </c>
      <c r="H1989" t="n">
        <v>0</v>
      </c>
      <c r="J1989" s="29" t="n">
        <v>0</v>
      </c>
      <c r="K1989" s="30" t="n"/>
      <c r="L1989" s="29" t="n">
        <v>0</v>
      </c>
      <c r="M1989" s="29" t="n">
        <v>0</v>
      </c>
      <c r="N1989" s="2" t="n">
        <v>0</v>
      </c>
      <c r="O1989" s="31" t="n">
        <v>0</v>
      </c>
      <c r="P1989" s="32" t="n"/>
      <c r="Q1989" s="32" t="n">
        <v>0</v>
      </c>
      <c r="R1989" s="32" t="n">
        <v>0</v>
      </c>
      <c r="S1989" s="31" t="n">
        <v>0</v>
      </c>
      <c r="T1989" s="32" t="n">
        <v>0</v>
      </c>
      <c r="U1989" s="31" t="n">
        <v>0</v>
      </c>
      <c r="V1989" s="31" t="n">
        <v>0</v>
      </c>
      <c r="W1989" s="3" t="n">
        <v>0</v>
      </c>
      <c r="X1989" s="3" t="n">
        <v>0</v>
      </c>
      <c r="Y1989" s="32" t="n">
        <v>0</v>
      </c>
      <c r="Z1989" s="3" t="n">
        <v>0</v>
      </c>
      <c r="AA1989" s="32" t="n">
        <v>0</v>
      </c>
      <c r="AB1989" s="3" t="n"/>
      <c r="AC1989" s="31" t="n">
        <v>0</v>
      </c>
      <c r="AD1989" s="2" t="n">
        <v>0</v>
      </c>
      <c r="AE1989" s="2" t="n">
        <v>2</v>
      </c>
      <c r="AF1989" s="4" t="n">
        <v>2</v>
      </c>
      <c r="AG1989" s="33" t="n">
        <v>0</v>
      </c>
      <c r="AH1989" s="4" t="n">
        <v>0</v>
      </c>
      <c r="AI1989" s="34" t="n"/>
      <c r="AJ1989" s="34" t="n">
        <v>0</v>
      </c>
      <c r="AK1989" s="2" t="n">
        <v>0</v>
      </c>
      <c r="AL1989" t="inlineStr">
        <is>
          <t>Published</t>
        </is>
      </c>
    </row>
    <row r="1990">
      <c r="A1990">
        <f>HYPERLINK("https://www.walmart.com/ip/279409714", "279409714")</f>
        <v/>
      </c>
      <c r="B1990">
        <f>HYPERLINK("https://app.optiwise.ai/catalog/itemdetails/362232", "Terra Mens Boxer Briefs with Elastic Waistband, Solid New Classic Fit Men's Underwear, Gray/Stripe, 3-Pack")</f>
        <v/>
      </c>
      <c r="C1990" t="inlineStr">
        <is>
          <t>TERRA-BOXER4-L</t>
        </is>
      </c>
      <c r="D1990" t="inlineStr">
        <is>
          <t>Clothing</t>
        </is>
      </c>
      <c r="E1990" t="inlineStr">
        <is>
          <t>Underpants</t>
        </is>
      </c>
      <c r="F1990" t="inlineStr">
        <is>
          <t>Terra</t>
        </is>
      </c>
      <c r="G1990" t="n">
        <v>0</v>
      </c>
      <c r="H1990" t="n">
        <v>0</v>
      </c>
      <c r="I1990" t="inlineStr">
        <is>
          <t>Batch 1 - TR</t>
        </is>
      </c>
      <c r="J1990" s="29" t="n">
        <v>0</v>
      </c>
      <c r="K1990" s="30" t="n"/>
      <c r="L1990" s="29" t="n">
        <v>0</v>
      </c>
      <c r="M1990" s="29" t="n">
        <v>0</v>
      </c>
      <c r="N1990" s="2" t="n">
        <v>0</v>
      </c>
      <c r="O1990" s="31" t="n">
        <v>0</v>
      </c>
      <c r="P1990" s="32" t="n"/>
      <c r="Q1990" s="32" t="n">
        <v>0</v>
      </c>
      <c r="R1990" s="32" t="n">
        <v>0</v>
      </c>
      <c r="S1990" s="31" t="n">
        <v>0</v>
      </c>
      <c r="T1990" s="32" t="n">
        <v>0</v>
      </c>
      <c r="U1990" s="31" t="n">
        <v>0</v>
      </c>
      <c r="V1990" s="31" t="n">
        <v>0</v>
      </c>
      <c r="W1990" s="3" t="n">
        <v>0</v>
      </c>
      <c r="X1990" s="3" t="n">
        <v>0</v>
      </c>
      <c r="Y1990" s="32" t="n">
        <v>0</v>
      </c>
      <c r="Z1990" s="3" t="n">
        <v>0</v>
      </c>
      <c r="AA1990" s="32" t="n">
        <v>0</v>
      </c>
      <c r="AB1990" s="3" t="n"/>
      <c r="AC1990" s="31" t="n">
        <v>0</v>
      </c>
      <c r="AD1990" s="2" t="n">
        <v>0</v>
      </c>
      <c r="AE1990" s="2" t="n">
        <v>11</v>
      </c>
      <c r="AF1990" s="4" t="n">
        <v>11</v>
      </c>
      <c r="AG1990" s="33" t="n">
        <v>0</v>
      </c>
      <c r="AH1990" s="4" t="n">
        <v>0</v>
      </c>
      <c r="AI1990" s="34" t="n"/>
      <c r="AJ1990" s="34" t="n">
        <v>0</v>
      </c>
      <c r="AK1990" s="2" t="n">
        <v>0</v>
      </c>
      <c r="AL1990" t="inlineStr">
        <is>
          <t>Published</t>
        </is>
      </c>
    </row>
    <row r="1991">
      <c r="A1991">
        <f>HYPERLINK("https://www.walmart.com/ip/851739692", "851739692")</f>
        <v/>
      </c>
      <c r="B1991">
        <f>HYPERLINK("https://app.optiwise.ai/catalog/itemdetails/362229", "Women's High Waist Yoga Pants Workout Running Capri Legging Inner Pocket")</f>
        <v/>
      </c>
      <c r="C1991" t="inlineStr">
        <is>
          <t>1TRYP102PK- LXL</t>
        </is>
      </c>
      <c r="D1991" t="inlineStr">
        <is>
          <t>Clothing</t>
        </is>
      </c>
      <c r="E1991" t="inlineStr">
        <is>
          <t>Leggings</t>
        </is>
      </c>
      <c r="F1991" t="inlineStr">
        <is>
          <t>Tirrinia</t>
        </is>
      </c>
      <c r="G1991" t="n">
        <v>0</v>
      </c>
      <c r="H1991" t="n">
        <v>0</v>
      </c>
      <c r="I1991" t="inlineStr">
        <is>
          <t>Optimized</t>
        </is>
      </c>
      <c r="J1991" s="29" t="n">
        <v>0</v>
      </c>
      <c r="K1991" s="30" t="n"/>
      <c r="L1991" s="29" t="n">
        <v>0</v>
      </c>
      <c r="M1991" s="29" t="n">
        <v>0</v>
      </c>
      <c r="N1991" s="2" t="n">
        <v>0</v>
      </c>
      <c r="O1991" s="31" t="n">
        <v>0</v>
      </c>
      <c r="P1991" s="32" t="n"/>
      <c r="Q1991" s="32" t="n">
        <v>0</v>
      </c>
      <c r="R1991" s="32" t="n">
        <v>0</v>
      </c>
      <c r="S1991" s="31" t="n">
        <v>0</v>
      </c>
      <c r="T1991" s="32" t="n">
        <v>0</v>
      </c>
      <c r="U1991" s="31" t="n">
        <v>0</v>
      </c>
      <c r="V1991" s="31" t="n">
        <v>0</v>
      </c>
      <c r="W1991" s="3" t="n">
        <v>0</v>
      </c>
      <c r="X1991" s="3" t="n">
        <v>0</v>
      </c>
      <c r="Y1991" s="32" t="n">
        <v>0</v>
      </c>
      <c r="Z1991" s="3" t="n">
        <v>0</v>
      </c>
      <c r="AA1991" s="32" t="n">
        <v>0</v>
      </c>
      <c r="AB1991" s="3" t="n"/>
      <c r="AC1991" s="31" t="n">
        <v>0</v>
      </c>
      <c r="AD1991" s="2" t="n">
        <v>0</v>
      </c>
      <c r="AE1991" s="2" t="n">
        <v>6</v>
      </c>
      <c r="AF1991" s="4" t="n">
        <v>6</v>
      </c>
      <c r="AG1991" s="33" t="n">
        <v>0</v>
      </c>
      <c r="AH1991" s="4" t="n">
        <v>0</v>
      </c>
      <c r="AI1991" s="34" t="n"/>
      <c r="AJ1991" s="34" t="n">
        <v>0</v>
      </c>
      <c r="AK1991" s="2" t="n">
        <v>0</v>
      </c>
      <c r="AL1991" t="inlineStr">
        <is>
          <t>Published</t>
        </is>
      </c>
    </row>
    <row r="1992">
      <c r="A1992">
        <f>HYPERLINK("https://www.walmart.com/ip/273678207", "273678207")</f>
        <v/>
      </c>
      <c r="B1992">
        <f>HYPERLINK("https://app.optiwise.ai/catalog/itemdetails/362226", "Flyingstar Baseball Cap, American Flag Embroidered Adjustable Sports, Golf and Tennis Cap, Sun Hat for Women and Men, Navy")</f>
        <v/>
      </c>
      <c r="C1992" t="inlineStr">
        <is>
          <t>1WMBC100NV</t>
        </is>
      </c>
      <c r="D1992" t="inlineStr">
        <is>
          <t>Sport &amp; Recreation Other</t>
        </is>
      </c>
      <c r="E1992" t="inlineStr">
        <is>
          <t>Golf Hats</t>
        </is>
      </c>
      <c r="F1992" t="inlineStr">
        <is>
          <t>Flyingstar</t>
        </is>
      </c>
      <c r="G1992" t="n">
        <v>0</v>
      </c>
      <c r="H1992" t="n">
        <v>0</v>
      </c>
      <c r="I1992" t="inlineStr">
        <is>
          <t>Batch 1 - TR</t>
        </is>
      </c>
      <c r="J1992" s="29" t="n">
        <v>0</v>
      </c>
      <c r="K1992" s="30" t="n"/>
      <c r="L1992" s="29" t="n">
        <v>0</v>
      </c>
      <c r="M1992" s="29" t="n">
        <v>0</v>
      </c>
      <c r="N1992" s="2" t="n">
        <v>0</v>
      </c>
      <c r="O1992" s="31" t="n">
        <v>0</v>
      </c>
      <c r="P1992" s="32" t="n"/>
      <c r="Q1992" s="32" t="n">
        <v>0</v>
      </c>
      <c r="R1992" s="32" t="n">
        <v>0</v>
      </c>
      <c r="S1992" s="31" t="n">
        <v>0</v>
      </c>
      <c r="T1992" s="32" t="n">
        <v>0</v>
      </c>
      <c r="U1992" s="31" t="n">
        <v>0</v>
      </c>
      <c r="V1992" s="31" t="n">
        <v>0</v>
      </c>
      <c r="W1992" s="3" t="n">
        <v>0</v>
      </c>
      <c r="X1992" s="3" t="n">
        <v>0</v>
      </c>
      <c r="Y1992" s="32" t="n">
        <v>0</v>
      </c>
      <c r="Z1992" s="3" t="n">
        <v>0</v>
      </c>
      <c r="AA1992" s="32" t="n">
        <v>0</v>
      </c>
      <c r="AB1992" s="3" t="n"/>
      <c r="AC1992" s="31" t="n">
        <v>0</v>
      </c>
      <c r="AD1992" s="2" t="n">
        <v>0</v>
      </c>
      <c r="AE1992" s="2" t="n">
        <v>39</v>
      </c>
      <c r="AF1992" s="4" t="n">
        <v>39</v>
      </c>
      <c r="AG1992" s="33" t="n">
        <v>0</v>
      </c>
      <c r="AH1992" s="4" t="n">
        <v>0</v>
      </c>
      <c r="AI1992" s="34" t="n"/>
      <c r="AJ1992" s="34" t="n">
        <v>0</v>
      </c>
      <c r="AK1992" s="2" t="n">
        <v>0</v>
      </c>
      <c r="AL1992" t="inlineStr">
        <is>
          <t>Published</t>
        </is>
      </c>
    </row>
    <row r="1993">
      <c r="A1993">
        <f>HYPERLINK("https://www.walmart.com/ip/184202798", "184202798")</f>
        <v/>
      </c>
      <c r="B1993">
        <f>HYPERLINK("https://app.optiwise.ai/catalog/itemdetails/362225", "Oversized Hoodie Blanket Sweatshirt,Super Soft Warm Comfortable Fleece Giant Pullover with Large Front Pocket,for Adults Men Women Teenagers Kids Wife Girlfriend")</f>
        <v/>
      </c>
      <c r="C1993" t="inlineStr">
        <is>
          <t>1WMHD300WN</t>
        </is>
      </c>
      <c r="D1993" t="inlineStr">
        <is>
          <t>Clothing</t>
        </is>
      </c>
      <c r="E1993" t="inlineStr">
        <is>
          <t>Sweatshirts &amp; Hoodies</t>
        </is>
      </c>
      <c r="F1993" t="inlineStr">
        <is>
          <t>Flyingstar</t>
        </is>
      </c>
      <c r="G1993" t="n">
        <v>0</v>
      </c>
      <c r="H1993" t="n">
        <v>0</v>
      </c>
      <c r="I1993" t="inlineStr">
        <is>
          <t>Hoodie ForAdult,Optimized</t>
        </is>
      </c>
      <c r="J1993" s="29" t="n">
        <v>0</v>
      </c>
      <c r="K1993" s="30" t="n"/>
      <c r="L1993" s="29" t="n">
        <v>0</v>
      </c>
      <c r="M1993" s="29" t="n">
        <v>0</v>
      </c>
      <c r="N1993" s="2" t="n">
        <v>0</v>
      </c>
      <c r="O1993" s="31" t="n">
        <v>0</v>
      </c>
      <c r="P1993" s="32" t="n"/>
      <c r="Q1993" s="32" t="n">
        <v>0</v>
      </c>
      <c r="R1993" s="32" t="n">
        <v>0</v>
      </c>
      <c r="S1993" s="31" t="n">
        <v>0</v>
      </c>
      <c r="T1993" s="32" t="n">
        <v>0</v>
      </c>
      <c r="U1993" s="31" t="n">
        <v>0</v>
      </c>
      <c r="V1993" s="31" t="n">
        <v>0</v>
      </c>
      <c r="W1993" s="3" t="n">
        <v>0</v>
      </c>
      <c r="X1993" s="3" t="n">
        <v>0</v>
      </c>
      <c r="Y1993" s="32" t="n">
        <v>0</v>
      </c>
      <c r="Z1993" s="3" t="n">
        <v>0</v>
      </c>
      <c r="AA1993" s="32" t="n">
        <v>0</v>
      </c>
      <c r="AB1993" s="3" t="n"/>
      <c r="AC1993" s="31" t="n">
        <v>0</v>
      </c>
      <c r="AD1993" s="2" t="n">
        <v>0</v>
      </c>
      <c r="AE1993" s="2" t="n">
        <v>2</v>
      </c>
      <c r="AF1993" s="4" t="n">
        <v>2</v>
      </c>
      <c r="AG1993" s="33" t="n">
        <v>0</v>
      </c>
      <c r="AH1993" s="4" t="n">
        <v>0</v>
      </c>
      <c r="AI1993" s="34" t="n"/>
      <c r="AJ1993" s="34" t="n">
        <v>0</v>
      </c>
      <c r="AK1993" s="2" t="n">
        <v>0</v>
      </c>
      <c r="AL1993" t="inlineStr">
        <is>
          <t>Published</t>
        </is>
      </c>
    </row>
    <row r="1994">
      <c r="A1994">
        <f>HYPERLINK("https://www.walmart.com/ip/189439981", "189439981")</f>
        <v/>
      </c>
      <c r="B1994">
        <f>HYPERLINK("https://app.optiwise.ai/catalog/itemdetails/362222", "KC Caps Unisex Adjustable Snap Closure USA Flag Embroidered Unconstructed Cap Hat")</f>
        <v/>
      </c>
      <c r="C1994" t="inlineStr">
        <is>
          <t>kc-ae-6110-wt</t>
        </is>
      </c>
      <c r="D1994" t="inlineStr">
        <is>
          <t>Clothing</t>
        </is>
      </c>
      <c r="E1994" t="inlineStr">
        <is>
          <t>Hats</t>
        </is>
      </c>
      <c r="F1994" t="inlineStr">
        <is>
          <t>KC Caps</t>
        </is>
      </c>
      <c r="G1994" t="n">
        <v>0</v>
      </c>
      <c r="H1994" t="n">
        <v>0</v>
      </c>
      <c r="I1994" t="inlineStr">
        <is>
          <t>Optimized,Hats</t>
        </is>
      </c>
      <c r="J1994" s="29" t="n">
        <v>0</v>
      </c>
      <c r="K1994" s="30" t="n"/>
      <c r="L1994" s="29" t="n">
        <v>0</v>
      </c>
      <c r="M1994" s="29" t="n">
        <v>0</v>
      </c>
      <c r="N1994" s="2" t="n">
        <v>0</v>
      </c>
      <c r="O1994" s="31" t="n">
        <v>0</v>
      </c>
      <c r="P1994" s="32" t="n"/>
      <c r="Q1994" s="32" t="n">
        <v>0</v>
      </c>
      <c r="R1994" s="32" t="n">
        <v>0</v>
      </c>
      <c r="S1994" s="31" t="n">
        <v>0</v>
      </c>
      <c r="T1994" s="32" t="n">
        <v>0</v>
      </c>
      <c r="U1994" s="31" t="n">
        <v>0</v>
      </c>
      <c r="V1994" s="31" t="n">
        <v>0</v>
      </c>
      <c r="W1994" s="3" t="n">
        <v>0</v>
      </c>
      <c r="X1994" s="3" t="n">
        <v>0</v>
      </c>
      <c r="Y1994" s="32" t="n">
        <v>0</v>
      </c>
      <c r="Z1994" s="3" t="n">
        <v>0</v>
      </c>
      <c r="AA1994" s="32" t="n">
        <v>0</v>
      </c>
      <c r="AB1994" s="3" t="n"/>
      <c r="AC1994" s="31" t="n">
        <v>0</v>
      </c>
      <c r="AD1994" s="2" t="n">
        <v>0</v>
      </c>
      <c r="AE1994" s="2" t="n">
        <v>9</v>
      </c>
      <c r="AF1994" s="4" t="n">
        <v>9</v>
      </c>
      <c r="AG1994" s="33" t="n">
        <v>0</v>
      </c>
      <c r="AH1994" s="4" t="n">
        <v>0</v>
      </c>
      <c r="AI1994" s="34" t="n"/>
      <c r="AJ1994" s="34" t="n">
        <v>0</v>
      </c>
      <c r="AK1994" s="2" t="n">
        <v>0</v>
      </c>
      <c r="AL1994" t="inlineStr">
        <is>
          <t>Published</t>
        </is>
      </c>
    </row>
    <row r="1995">
      <c r="A1995">
        <f>HYPERLINK("https://www.walmart.com/ip/489915943", "489915943")</f>
        <v/>
      </c>
      <c r="B1995">
        <f>HYPERLINK("https://app.optiwise.ai/catalog/itemdetails/362217", "Catalonia Wearable TV Blanket with Sleeves Arms Warm Micro Plush Sherpa Fleece for Adult Large Wrap Throw Robe 72 x 55”")</f>
        <v/>
      </c>
      <c r="C1995" t="inlineStr">
        <is>
          <t>1CTSN110BL</t>
        </is>
      </c>
      <c r="D1995" t="inlineStr">
        <is>
          <t>Bedding</t>
        </is>
      </c>
      <c r="E1995" t="inlineStr">
        <is>
          <t>Throws</t>
        </is>
      </c>
      <c r="F1995" t="inlineStr">
        <is>
          <t>Catalonia</t>
        </is>
      </c>
      <c r="G1995" t="n">
        <v>0</v>
      </c>
      <c r="H1995" t="n">
        <v>0</v>
      </c>
      <c r="I1995" t="inlineStr">
        <is>
          <t>Optimized,WFS,WFS Item</t>
        </is>
      </c>
      <c r="J1995" s="29" t="n">
        <v>0</v>
      </c>
      <c r="K1995" s="30" t="n"/>
      <c r="L1995" s="29" t="n">
        <v>0</v>
      </c>
      <c r="M1995" s="29" t="n">
        <v>0</v>
      </c>
      <c r="N1995" s="2" t="n">
        <v>0</v>
      </c>
      <c r="O1995" s="31" t="n">
        <v>0</v>
      </c>
      <c r="P1995" s="32" t="n"/>
      <c r="Q1995" s="32" t="n">
        <v>0</v>
      </c>
      <c r="R1995" s="32" t="n">
        <v>0</v>
      </c>
      <c r="S1995" s="31" t="n">
        <v>0</v>
      </c>
      <c r="T1995" s="32" t="n">
        <v>0</v>
      </c>
      <c r="U1995" s="31" t="n">
        <v>0</v>
      </c>
      <c r="V1995" s="31" t="n">
        <v>0</v>
      </c>
      <c r="W1995" s="3" t="n">
        <v>0</v>
      </c>
      <c r="X1995" s="3" t="n">
        <v>0</v>
      </c>
      <c r="Y1995" s="32" t="n">
        <v>0</v>
      </c>
      <c r="Z1995" s="3" t="n">
        <v>0</v>
      </c>
      <c r="AA1995" s="32" t="n">
        <v>0</v>
      </c>
      <c r="AB1995" s="3" t="n"/>
      <c r="AC1995" s="31" t="n">
        <v>0</v>
      </c>
      <c r="AD1995" s="2" t="n">
        <v>0</v>
      </c>
      <c r="AE1995" s="2" t="n">
        <v>52</v>
      </c>
      <c r="AF1995" s="4" t="n">
        <v>52</v>
      </c>
      <c r="AG1995" s="33" t="n">
        <v>0</v>
      </c>
      <c r="AH1995" s="4" t="n">
        <v>0</v>
      </c>
      <c r="AI1995" s="34" t="n"/>
      <c r="AJ1995" s="34" t="n">
        <v>0</v>
      </c>
      <c r="AK1995" s="2" t="n">
        <v>0</v>
      </c>
      <c r="AL1995" t="inlineStr">
        <is>
          <t>Published</t>
        </is>
      </c>
    </row>
    <row r="1996">
      <c r="A1996">
        <f>HYPERLINK("https://www.walmart.com/ip/776370550", "776370550")</f>
        <v/>
      </c>
      <c r="B1996">
        <f>HYPERLINK("https://app.optiwise.ai/catalog/itemdetails/362246", "Cable Knit Sherpa Blanket, Throw Blanket, Reversible Ultra-Soft Sherpa Sweater Blanket Warm Cozy 60x50 Multi-Color By Catalonia")</f>
        <v/>
      </c>
      <c r="C1996" t="inlineStr">
        <is>
          <t>1CTBN100BL</t>
        </is>
      </c>
      <c r="D1996" t="inlineStr">
        <is>
          <t>Bedding</t>
        </is>
      </c>
      <c r="E1996" t="inlineStr">
        <is>
          <t>Throws</t>
        </is>
      </c>
      <c r="F1996" t="inlineStr">
        <is>
          <t>Catalonia</t>
        </is>
      </c>
      <c r="G1996" t="n">
        <v>4.7</v>
      </c>
      <c r="H1996" t="n">
        <v>9</v>
      </c>
      <c r="J1996" s="29" t="n">
        <v>0</v>
      </c>
      <c r="K1996" s="30" t="n"/>
      <c r="L1996" s="29" t="n">
        <v>0</v>
      </c>
      <c r="M1996" s="29" t="n">
        <v>0</v>
      </c>
      <c r="N1996" s="2" t="n">
        <v>0</v>
      </c>
      <c r="O1996" s="31" t="n">
        <v>0</v>
      </c>
      <c r="P1996" s="32" t="n"/>
      <c r="Q1996" s="32" t="n">
        <v>0</v>
      </c>
      <c r="R1996" s="32" t="n">
        <v>0</v>
      </c>
      <c r="S1996" s="31" t="n">
        <v>0</v>
      </c>
      <c r="T1996" s="32" t="n">
        <v>0</v>
      </c>
      <c r="U1996" s="31" t="n">
        <v>0</v>
      </c>
      <c r="V1996" s="31" t="n">
        <v>0</v>
      </c>
      <c r="W1996" s="3" t="n">
        <v>0</v>
      </c>
      <c r="X1996" s="3" t="n">
        <v>0</v>
      </c>
      <c r="Y1996" s="32" t="n">
        <v>0</v>
      </c>
      <c r="Z1996" s="3" t="n">
        <v>0</v>
      </c>
      <c r="AA1996" s="32" t="n">
        <v>0</v>
      </c>
      <c r="AB1996" s="3" t="n"/>
      <c r="AC1996" s="31" t="n">
        <v>0</v>
      </c>
      <c r="AD1996" s="2" t="n">
        <v>0</v>
      </c>
      <c r="AE1996" s="2" t="n">
        <v>10</v>
      </c>
      <c r="AF1996" s="4" t="n">
        <v>10</v>
      </c>
      <c r="AG1996" s="33" t="n">
        <v>0</v>
      </c>
      <c r="AH1996" s="4" t="n">
        <v>0</v>
      </c>
      <c r="AI1996" s="34" t="n"/>
      <c r="AJ1996" s="34" t="n">
        <v>0</v>
      </c>
      <c r="AK1996" s="2" t="n">
        <v>0</v>
      </c>
      <c r="AL1996" t="inlineStr">
        <is>
          <t>Published</t>
        </is>
      </c>
    </row>
    <row r="1997">
      <c r="A1997">
        <f>HYPERLINK("https://www.walmart.com/ip/149357126", "149357126")</f>
        <v/>
      </c>
      <c r="B1997">
        <f>HYPERLINK("https://app.optiwise.ai/catalog/itemdetails/362213", "Tirrinia Snow Micro Fleece Sherpa Plush Bed Throw TV Blanket 50” x 60”")</f>
        <v/>
      </c>
      <c r="C1997" t="inlineStr">
        <is>
          <t>1TRBF321BL-TBGM</t>
        </is>
      </c>
      <c r="D1997" t="inlineStr">
        <is>
          <t>Bedding</t>
        </is>
      </c>
      <c r="E1997" t="inlineStr">
        <is>
          <t>Throws</t>
        </is>
      </c>
      <c r="F1997" t="inlineStr">
        <is>
          <t>Tirrinia</t>
        </is>
      </c>
      <c r="G1997" t="n">
        <v>5</v>
      </c>
      <c r="H1997" t="n">
        <v>1</v>
      </c>
      <c r="I1997" t="inlineStr">
        <is>
          <t>Batch 1 - TR</t>
        </is>
      </c>
      <c r="J1997" s="29" t="n">
        <v>0</v>
      </c>
      <c r="K1997" s="30" t="n"/>
      <c r="L1997" s="29" t="n">
        <v>0</v>
      </c>
      <c r="M1997" s="29" t="n">
        <v>0</v>
      </c>
      <c r="N1997" s="2" t="n">
        <v>0</v>
      </c>
      <c r="O1997" s="31" t="n">
        <v>0</v>
      </c>
      <c r="P1997" s="32" t="n"/>
      <c r="Q1997" s="32" t="n">
        <v>0</v>
      </c>
      <c r="R1997" s="32" t="n">
        <v>0</v>
      </c>
      <c r="S1997" s="31" t="n">
        <v>0</v>
      </c>
      <c r="T1997" s="32" t="n">
        <v>0</v>
      </c>
      <c r="U1997" s="31" t="n">
        <v>0</v>
      </c>
      <c r="V1997" s="31" t="n">
        <v>0</v>
      </c>
      <c r="W1997" s="3" t="n">
        <v>0</v>
      </c>
      <c r="X1997" s="3" t="n">
        <v>0</v>
      </c>
      <c r="Y1997" s="32" t="n">
        <v>0</v>
      </c>
      <c r="Z1997" s="3" t="n">
        <v>0</v>
      </c>
      <c r="AA1997" s="32" t="n">
        <v>0</v>
      </c>
      <c r="AB1997" s="3" t="n"/>
      <c r="AC1997" s="31" t="n">
        <v>0</v>
      </c>
      <c r="AD1997" s="2" t="n">
        <v>0</v>
      </c>
      <c r="AE1997" s="2" t="n">
        <v>6</v>
      </c>
      <c r="AF1997" s="4" t="n">
        <v>6</v>
      </c>
      <c r="AG1997" s="33" t="n">
        <v>0</v>
      </c>
      <c r="AH1997" s="4" t="n">
        <v>0</v>
      </c>
      <c r="AI1997" s="34" t="n"/>
      <c r="AJ1997" s="34" t="n">
        <v>0</v>
      </c>
      <c r="AK1997" s="2" t="n">
        <v>0</v>
      </c>
      <c r="AL1997" t="inlineStr">
        <is>
          <t>Published</t>
        </is>
      </c>
    </row>
    <row r="1998">
      <c r="A1998">
        <f>HYPERLINK("https://www.walmart.com/ip/283644087", "283644087")</f>
        <v/>
      </c>
      <c r="B1998">
        <f>HYPERLINK("https://app.optiwise.ai/catalog/itemdetails/362212", "Flyingstar Surf Towel Robe, Quick Dry Beach Wetsuit, Bath Poncho, Surfing Swimming Bathing Unisex")</f>
        <v/>
      </c>
      <c r="C1998" t="inlineStr">
        <is>
          <t>1WMBR100-GL</t>
        </is>
      </c>
      <c r="D1998" t="inlineStr">
        <is>
          <t>Clothing</t>
        </is>
      </c>
      <c r="E1998" t="inlineStr">
        <is>
          <t>Towels &amp; Washcloths</t>
        </is>
      </c>
      <c r="F1998" t="inlineStr">
        <is>
          <t>Flyingstar</t>
        </is>
      </c>
      <c r="G1998" t="n">
        <v>0</v>
      </c>
      <c r="H1998" t="n">
        <v>0</v>
      </c>
      <c r="I1998" t="inlineStr">
        <is>
          <t>Optimized,Beach Robe Camp</t>
        </is>
      </c>
      <c r="J1998" s="29" t="n">
        <v>0</v>
      </c>
      <c r="K1998" s="30" t="n"/>
      <c r="L1998" s="29" t="n">
        <v>0</v>
      </c>
      <c r="M1998" s="29" t="n">
        <v>0</v>
      </c>
      <c r="N1998" s="2" t="n">
        <v>0</v>
      </c>
      <c r="O1998" s="31" t="n">
        <v>0</v>
      </c>
      <c r="P1998" s="32" t="n"/>
      <c r="Q1998" s="32" t="n">
        <v>0</v>
      </c>
      <c r="R1998" s="32" t="n">
        <v>0</v>
      </c>
      <c r="S1998" s="31" t="n">
        <v>0</v>
      </c>
      <c r="T1998" s="32" t="n">
        <v>0</v>
      </c>
      <c r="U1998" s="31" t="n">
        <v>0</v>
      </c>
      <c r="V1998" s="31" t="n">
        <v>0</v>
      </c>
      <c r="W1998" s="3" t="n">
        <v>0</v>
      </c>
      <c r="X1998" s="3" t="n">
        <v>0</v>
      </c>
      <c r="Y1998" s="32" t="n">
        <v>0</v>
      </c>
      <c r="Z1998" s="3" t="n">
        <v>0</v>
      </c>
      <c r="AA1998" s="32" t="n">
        <v>0</v>
      </c>
      <c r="AB1998" s="3" t="n"/>
      <c r="AC1998" s="31" t="n">
        <v>0</v>
      </c>
      <c r="AD1998" s="2" t="n">
        <v>0</v>
      </c>
      <c r="AE1998" s="2" t="n">
        <v>0</v>
      </c>
      <c r="AF1998" s="4" t="n">
        <v>0</v>
      </c>
      <c r="AG1998" s="33" t="n">
        <v>0</v>
      </c>
      <c r="AH1998" s="4" t="n">
        <v>0</v>
      </c>
      <c r="AI1998" s="34" t="n"/>
      <c r="AJ1998" s="34" t="n">
        <v>0</v>
      </c>
      <c r="AK1998" s="2" t="n">
        <v>0</v>
      </c>
      <c r="AL1998" t="inlineStr">
        <is>
          <t>Published</t>
        </is>
      </c>
    </row>
    <row r="1999">
      <c r="A1999">
        <f>HYPERLINK("https://www.walmart.com/ip/873055827", "873055827")</f>
        <v/>
      </c>
      <c r="B1999">
        <f>HYPERLINK("https://app.optiwise.ai/catalog/itemdetails/362209", "Sherpa Blanket, Throw Blanket, Sherpa Blanket Super Soft Warm Fuzzy Snowflake Blanket Reversible for Family 60x50 by Catalonia")</f>
        <v/>
      </c>
      <c r="C1999" t="inlineStr">
        <is>
          <t>1CTBF390BG</t>
        </is>
      </c>
      <c r="D1999" t="inlineStr">
        <is>
          <t>Bedding</t>
        </is>
      </c>
      <c r="E1999" t="inlineStr">
        <is>
          <t>Throws</t>
        </is>
      </c>
      <c r="F1999" t="inlineStr">
        <is>
          <t>Catalonia</t>
        </is>
      </c>
      <c r="G1999" t="n">
        <v>5</v>
      </c>
      <c r="H1999" t="n">
        <v>2</v>
      </c>
      <c r="I1999" t="inlineStr">
        <is>
          <t>Batch 1 - TR</t>
        </is>
      </c>
      <c r="J1999" s="29" t="n">
        <v>0</v>
      </c>
      <c r="K1999" s="30" t="n"/>
      <c r="L1999" s="29" t="n">
        <v>0</v>
      </c>
      <c r="M1999" s="29" t="n">
        <v>0</v>
      </c>
      <c r="N1999" s="2" t="n">
        <v>0</v>
      </c>
      <c r="O1999" s="31" t="n">
        <v>0</v>
      </c>
      <c r="P1999" s="32" t="n"/>
      <c r="Q1999" s="32" t="n">
        <v>0</v>
      </c>
      <c r="R1999" s="32" t="n">
        <v>0</v>
      </c>
      <c r="S1999" s="31" t="n">
        <v>0</v>
      </c>
      <c r="T1999" s="32" t="n">
        <v>0</v>
      </c>
      <c r="U1999" s="31" t="n">
        <v>0</v>
      </c>
      <c r="V1999" s="31" t="n">
        <v>0</v>
      </c>
      <c r="W1999" s="3" t="n">
        <v>0</v>
      </c>
      <c r="X1999" s="3" t="n">
        <v>0</v>
      </c>
      <c r="Y1999" s="32" t="n">
        <v>0</v>
      </c>
      <c r="Z1999" s="3" t="n">
        <v>0</v>
      </c>
      <c r="AA1999" s="32" t="n">
        <v>0</v>
      </c>
      <c r="AB1999" s="3" t="n"/>
      <c r="AC1999" s="31" t="n">
        <v>0</v>
      </c>
      <c r="AD1999" s="2" t="n">
        <v>0</v>
      </c>
      <c r="AE1999" s="2" t="n">
        <v>2</v>
      </c>
      <c r="AF1999" s="4" t="n">
        <v>2</v>
      </c>
      <c r="AG1999" s="33" t="n">
        <v>0</v>
      </c>
      <c r="AH1999" s="4" t="n">
        <v>0</v>
      </c>
      <c r="AI1999" s="34" t="n"/>
      <c r="AJ1999" s="34" t="n">
        <v>0</v>
      </c>
      <c r="AK1999" s="2" t="n">
        <v>0</v>
      </c>
      <c r="AL1999" t="inlineStr">
        <is>
          <t>Published</t>
        </is>
      </c>
    </row>
    <row r="2000">
      <c r="A2000">
        <f>HYPERLINK("https://www.walmart.com/ip/994633914", "994633914")</f>
        <v/>
      </c>
      <c r="B2000">
        <f>HYPERLINK("https://app.optiwise.ai/catalog/itemdetails/362203", "Catalonia Fleece Wearable Blanket Poncho for Adult Women Men, Wrap Blanket Cape with Pocket | Warm, Soft, Cozy, Snuggly, Comfort Gift, No Sleeves | All-Season, Navy")</f>
        <v/>
      </c>
      <c r="C2000" t="inlineStr">
        <is>
          <t>1CTBP100NY</t>
        </is>
      </c>
      <c r="D2000" t="inlineStr">
        <is>
          <t>Clothing</t>
        </is>
      </c>
      <c r="E2000" t="inlineStr">
        <is>
          <t>Throws</t>
        </is>
      </c>
      <c r="F2000" t="inlineStr">
        <is>
          <t>Catalonia</t>
        </is>
      </c>
      <c r="G2000" t="n">
        <v>4.6</v>
      </c>
      <c r="H2000" t="n">
        <v>38</v>
      </c>
      <c r="I2000" t="inlineStr">
        <is>
          <t>Hero 5 Holidays,WFS,Wal-Exl-Price,WFS Item</t>
        </is>
      </c>
      <c r="J2000" s="29" t="n">
        <v>0</v>
      </c>
      <c r="K2000" s="30" t="n"/>
      <c r="L2000" s="29" t="n">
        <v>0</v>
      </c>
      <c r="M2000" s="29" t="n">
        <v>0</v>
      </c>
      <c r="N2000" s="2" t="n">
        <v>0</v>
      </c>
      <c r="O2000" s="31" t="n">
        <v>0</v>
      </c>
      <c r="P2000" s="32" t="n"/>
      <c r="Q2000" s="32" t="n">
        <v>0</v>
      </c>
      <c r="R2000" s="32" t="n">
        <v>0.1505</v>
      </c>
      <c r="S2000" s="31" t="n">
        <v>0</v>
      </c>
      <c r="T2000" s="32" t="n">
        <v>0</v>
      </c>
      <c r="U2000" s="31" t="n">
        <v>0</v>
      </c>
      <c r="V2000" s="31" t="n">
        <v>0</v>
      </c>
      <c r="W2000" s="3" t="n">
        <v>381</v>
      </c>
      <c r="X2000" s="3" t="n">
        <v>0</v>
      </c>
      <c r="Y2000" s="32" t="n">
        <v>0</v>
      </c>
      <c r="Z2000" s="3" t="n">
        <v>0</v>
      </c>
      <c r="AA2000" s="32" t="n">
        <v>0</v>
      </c>
      <c r="AB2000" s="3" t="inlineStr">
        <is>
          <t>Snuggly_Auto</t>
        </is>
      </c>
      <c r="AC2000" s="31" t="n">
        <v>0</v>
      </c>
      <c r="AD2000" s="2" t="n">
        <v>40</v>
      </c>
      <c r="AE2000" s="2" t="n">
        <v>37</v>
      </c>
      <c r="AF2000" s="4" t="n">
        <v>37</v>
      </c>
      <c r="AG2000" s="33" t="n">
        <v>0</v>
      </c>
      <c r="AH2000" s="4" t="n">
        <v>0</v>
      </c>
      <c r="AI2000" s="34" t="n"/>
      <c r="AJ2000" s="34" t="n">
        <v>0</v>
      </c>
      <c r="AK2000" s="2" t="n">
        <v>0</v>
      </c>
      <c r="AL2000" t="inlineStr">
        <is>
          <t>Published</t>
        </is>
      </c>
    </row>
    <row r="2001">
      <c r="A2001">
        <f>HYPERLINK("https://www.walmart.com/ip/123734194", "123734194")</f>
        <v/>
      </c>
      <c r="B2001">
        <f>HYPERLINK("https://app.optiwise.ai/catalog/itemdetails/362193", "KC Caps Sun Flare Racing Cap Red")</f>
        <v/>
      </c>
      <c r="C2001" t="inlineStr">
        <is>
          <t>KC-FL11</t>
        </is>
      </c>
      <c r="D2001" t="inlineStr">
        <is>
          <t>Clothing</t>
        </is>
      </c>
      <c r="E2001" t="inlineStr">
        <is>
          <t>Hats</t>
        </is>
      </c>
      <c r="F2001" t="inlineStr">
        <is>
          <t>KC Caps</t>
        </is>
      </c>
      <c r="G2001" t="n">
        <v>0</v>
      </c>
      <c r="H2001" t="n">
        <v>0</v>
      </c>
      <c r="I2001" t="inlineStr">
        <is>
          <t>Optimized</t>
        </is>
      </c>
      <c r="J2001" s="29" t="n">
        <v>0</v>
      </c>
      <c r="K2001" s="30" t="n"/>
      <c r="L2001" s="29" t="n">
        <v>0</v>
      </c>
      <c r="M2001" s="29" t="n">
        <v>0</v>
      </c>
      <c r="N2001" s="2" t="n">
        <v>0</v>
      </c>
      <c r="O2001" s="31" t="n">
        <v>0</v>
      </c>
      <c r="P2001" s="32" t="n"/>
      <c r="Q2001" s="32" t="n">
        <v>0</v>
      </c>
      <c r="R2001" s="32" t="n">
        <v>0</v>
      </c>
      <c r="S2001" s="31" t="n">
        <v>0</v>
      </c>
      <c r="T2001" s="32" t="n">
        <v>0</v>
      </c>
      <c r="U2001" s="31" t="n">
        <v>0</v>
      </c>
      <c r="V2001" s="31" t="n">
        <v>0</v>
      </c>
      <c r="W2001" s="3" t="n">
        <v>0</v>
      </c>
      <c r="X2001" s="3" t="n">
        <v>0</v>
      </c>
      <c r="Y2001" s="32" t="n">
        <v>0</v>
      </c>
      <c r="Z2001" s="3" t="n">
        <v>0</v>
      </c>
      <c r="AA2001" s="32" t="n">
        <v>0</v>
      </c>
      <c r="AB2001" s="3" t="n"/>
      <c r="AC2001" s="31" t="n">
        <v>0</v>
      </c>
      <c r="AD2001" s="2" t="n">
        <v>0</v>
      </c>
      <c r="AE2001" s="2" t="n">
        <v>2</v>
      </c>
      <c r="AF2001" s="4" t="n">
        <v>2</v>
      </c>
      <c r="AG2001" s="33" t="n">
        <v>0</v>
      </c>
      <c r="AH2001" s="4" t="n">
        <v>0</v>
      </c>
      <c r="AI2001" s="34" t="n"/>
      <c r="AJ2001" s="34" t="n">
        <v>0</v>
      </c>
      <c r="AK2001" s="2" t="n">
        <v>0</v>
      </c>
      <c r="AL2001" t="inlineStr">
        <is>
          <t>Published</t>
        </is>
      </c>
    </row>
    <row r="2002">
      <c r="A2002">
        <f>HYPERLINK("https://www.walmart.com/ip/714436708", "714436708")</f>
        <v/>
      </c>
      <c r="B2002">
        <f>HYPERLINK("https://app.optiwise.ai/catalog/itemdetails/362191", "Tirrinia Insulated Wine Carrier Tote - Travel Padded 2 Bottle Wine/Champagne Cooler Bag with Handle and Adjustable Shoulder Strap + Free Corkscrew, Great Wine Lover Gift, Red")</f>
        <v/>
      </c>
      <c r="C2002" t="inlineStr">
        <is>
          <t>1KTWB210RD</t>
        </is>
      </c>
      <c r="D2002" t="inlineStr">
        <is>
          <t>Home Decor, Kitchen, &amp; Other</t>
        </is>
      </c>
      <c r="E2002" t="inlineStr">
        <is>
          <t>Wine Totes, Bags &amp; Backpacks</t>
        </is>
      </c>
      <c r="F2002" t="inlineStr">
        <is>
          <t>Tirrinia</t>
        </is>
      </c>
      <c r="G2002" t="n">
        <v>0</v>
      </c>
      <c r="H2002" t="n">
        <v>0</v>
      </c>
      <c r="I2002" t="inlineStr">
        <is>
          <t>Wine,Christmas,WFS,Wine WFS,Valentine,WFS Item,Lily Brand Camp</t>
        </is>
      </c>
      <c r="J2002" s="29" t="n">
        <v>0</v>
      </c>
      <c r="K2002" s="30" t="n"/>
      <c r="L2002" s="29" t="n">
        <v>0</v>
      </c>
      <c r="M2002" s="29" t="n">
        <v>0</v>
      </c>
      <c r="N2002" s="2" t="n">
        <v>0</v>
      </c>
      <c r="O2002" s="31" t="n">
        <v>0</v>
      </c>
      <c r="P2002" s="32" t="n"/>
      <c r="Q2002" s="32" t="n">
        <v>0</v>
      </c>
      <c r="R2002" s="32" t="n">
        <v>0.07920000000000001</v>
      </c>
      <c r="S2002" s="31" t="n">
        <v>0</v>
      </c>
      <c r="T2002" s="32" t="n">
        <v>0</v>
      </c>
      <c r="U2002" s="31" t="n">
        <v>0</v>
      </c>
      <c r="V2002" s="31" t="n">
        <v>0</v>
      </c>
      <c r="W2002" s="3" t="n">
        <v>4</v>
      </c>
      <c r="X2002" s="3" t="n">
        <v>0</v>
      </c>
      <c r="Y2002" s="32" t="n">
        <v>0</v>
      </c>
      <c r="Z2002" s="3" t="n">
        <v>0</v>
      </c>
      <c r="AA2002" s="32" t="n">
        <v>0</v>
      </c>
      <c r="AB2002" s="3" t="inlineStr">
        <is>
          <t>Auto Campaign_Vinay</t>
        </is>
      </c>
      <c r="AC2002" s="31" t="n">
        <v>0</v>
      </c>
      <c r="AD2002" s="2" t="n">
        <v>0</v>
      </c>
      <c r="AE2002" s="2" t="n">
        <v>27</v>
      </c>
      <c r="AF2002" s="4" t="n">
        <v>27</v>
      </c>
      <c r="AG2002" s="33" t="n">
        <v>0</v>
      </c>
      <c r="AH2002" s="4" t="n">
        <v>0</v>
      </c>
      <c r="AI2002" s="34" t="n"/>
      <c r="AJ2002" s="34" t="n">
        <v>0</v>
      </c>
      <c r="AK2002" s="2" t="n">
        <v>0</v>
      </c>
      <c r="AL2002" t="inlineStr">
        <is>
          <t>Published</t>
        </is>
      </c>
    </row>
    <row r="2003">
      <c r="A2003">
        <f>HYPERLINK("https://www.walmart.com/ip/588250967", "588250967")</f>
        <v/>
      </c>
      <c r="B2003">
        <f>HYPERLINK("https://app.optiwise.ai/catalog/itemdetails/362187", "Flyingstar Blanket with Sleeves and Pocket, Wearable Throws Blanket, Robe for Women and Men 73” x 51” Black")</f>
        <v/>
      </c>
      <c r="C2003" t="inlineStr">
        <is>
          <t>1WMSN100BK-ESGM</t>
        </is>
      </c>
      <c r="D2003" t="inlineStr">
        <is>
          <t>Bedding</t>
        </is>
      </c>
      <c r="E2003" t="inlineStr">
        <is>
          <t>Throws</t>
        </is>
      </c>
      <c r="F2003" t="inlineStr">
        <is>
          <t>Flyingstar</t>
        </is>
      </c>
      <c r="G2003" t="n">
        <v>0</v>
      </c>
      <c r="H2003" t="n">
        <v>0</v>
      </c>
      <c r="I2003" t="inlineStr">
        <is>
          <t>Batch 1 - TR</t>
        </is>
      </c>
      <c r="J2003" s="29" t="n">
        <v>0</v>
      </c>
      <c r="K2003" s="30" t="n"/>
      <c r="L2003" s="29" t="n">
        <v>0</v>
      </c>
      <c r="M2003" s="29" t="n">
        <v>0</v>
      </c>
      <c r="N2003" s="2" t="n">
        <v>0</v>
      </c>
      <c r="O2003" s="31" t="n">
        <v>0</v>
      </c>
      <c r="P2003" s="32" t="n"/>
      <c r="Q2003" s="32" t="n">
        <v>0</v>
      </c>
      <c r="R2003" s="32" t="n">
        <v>0</v>
      </c>
      <c r="S2003" s="31" t="n">
        <v>0</v>
      </c>
      <c r="T2003" s="32" t="n">
        <v>0</v>
      </c>
      <c r="U2003" s="31" t="n">
        <v>0</v>
      </c>
      <c r="V2003" s="31" t="n">
        <v>0</v>
      </c>
      <c r="W2003" s="3" t="n">
        <v>0</v>
      </c>
      <c r="X2003" s="3" t="n">
        <v>0</v>
      </c>
      <c r="Y2003" s="32" t="n">
        <v>0</v>
      </c>
      <c r="Z2003" s="3" t="n">
        <v>0</v>
      </c>
      <c r="AA2003" s="32" t="n">
        <v>0</v>
      </c>
      <c r="AB2003" s="3" t="n"/>
      <c r="AC2003" s="31" t="n">
        <v>0</v>
      </c>
      <c r="AD2003" s="2" t="n">
        <v>0</v>
      </c>
      <c r="AE2003" s="2" t="n">
        <v>4</v>
      </c>
      <c r="AF2003" s="4" t="n">
        <v>4</v>
      </c>
      <c r="AG2003" s="33" t="n">
        <v>0</v>
      </c>
      <c r="AH2003" s="4" t="n">
        <v>0</v>
      </c>
      <c r="AI2003" s="34" t="n"/>
      <c r="AJ2003" s="34" t="n">
        <v>0</v>
      </c>
      <c r="AK2003" s="2" t="n">
        <v>0</v>
      </c>
      <c r="AL2003" t="inlineStr">
        <is>
          <t>Published</t>
        </is>
      </c>
    </row>
    <row r="2004">
      <c r="A2004">
        <f>HYPERLINK("https://www.walmart.com/ip/431661217", "431661217")</f>
        <v/>
      </c>
      <c r="B2004">
        <f>HYPERLINK("https://app.optiwise.ai/catalog/itemdetails/361422", "Jennis Women's Sexy See-through Lingerie Lace Fishnet Suspender")</f>
        <v/>
      </c>
      <c r="C2004" t="inlineStr">
        <is>
          <t>JWBD01BKPP-3XL</t>
        </is>
      </c>
      <c r="D2004" t="inlineStr">
        <is>
          <t>Clothing</t>
        </is>
      </c>
      <c r="E2004" t="inlineStr">
        <is>
          <t>Teddies &amp; Bodystockings</t>
        </is>
      </c>
      <c r="F2004" t="inlineStr">
        <is>
          <t>Jennis</t>
        </is>
      </c>
      <c r="G2004" t="n">
        <v>0</v>
      </c>
      <c r="H2004" t="n">
        <v>0</v>
      </c>
      <c r="I2004" t="inlineStr">
        <is>
          <t>Valentine</t>
        </is>
      </c>
      <c r="J2004" s="29" t="n">
        <v>0</v>
      </c>
      <c r="K2004" s="30" t="n"/>
      <c r="L2004" s="29" t="n">
        <v>0</v>
      </c>
      <c r="M2004" s="29" t="n">
        <v>0</v>
      </c>
      <c r="N2004" s="2" t="n">
        <v>0</v>
      </c>
      <c r="O2004" s="31" t="n">
        <v>0</v>
      </c>
      <c r="P2004" s="32" t="n"/>
      <c r="Q2004" s="32" t="n">
        <v>0</v>
      </c>
      <c r="R2004" s="32" t="n">
        <v>0</v>
      </c>
      <c r="S2004" s="31" t="n">
        <v>0</v>
      </c>
      <c r="T2004" s="32" t="n">
        <v>0</v>
      </c>
      <c r="U2004" s="31" t="n">
        <v>0</v>
      </c>
      <c r="V2004" s="31" t="n">
        <v>0</v>
      </c>
      <c r="W2004" s="3" t="n">
        <v>0</v>
      </c>
      <c r="X2004" s="3" t="n">
        <v>0</v>
      </c>
      <c r="Y2004" s="32" t="n">
        <v>0</v>
      </c>
      <c r="Z2004" s="3" t="n">
        <v>0</v>
      </c>
      <c r="AA2004" s="32" t="n">
        <v>0</v>
      </c>
      <c r="AB2004" s="3" t="n"/>
      <c r="AC2004" s="31" t="n">
        <v>0</v>
      </c>
      <c r="AD2004" s="2" t="n">
        <v>0</v>
      </c>
      <c r="AE2004" s="2" t="n">
        <v>10</v>
      </c>
      <c r="AF2004" s="4" t="n">
        <v>10</v>
      </c>
      <c r="AG2004" s="33" t="n">
        <v>0</v>
      </c>
      <c r="AH2004" s="4" t="n">
        <v>0</v>
      </c>
      <c r="AI2004" s="34" t="n"/>
      <c r="AJ2004" s="34" t="n">
        <v>0</v>
      </c>
      <c r="AK2004" s="2" t="n">
        <v>0</v>
      </c>
      <c r="AL2004" t="inlineStr">
        <is>
          <t>Published</t>
        </is>
      </c>
    </row>
    <row r="2005">
      <c r="A2005">
        <f>HYPERLINK("https://www.walmart.com/ip/615365342", "615365342")</f>
        <v/>
      </c>
      <c r="B2005">
        <f>HYPERLINK("https://app.optiwise.ai/catalog/itemdetails/362185", "Flyingstar Wine Tote Carrier, 2-Bottle Insulated Versatile Cooler Bag for Travel and BYOB, Wine Gift Bag, Black Stripe")</f>
        <v/>
      </c>
      <c r="C2005" t="inlineStr">
        <is>
          <t>1WMWB221BKSTR</t>
        </is>
      </c>
      <c r="D2005" t="inlineStr">
        <is>
          <t>Home Decor, Kitchen, &amp; Other</t>
        </is>
      </c>
      <c r="E2005" t="inlineStr">
        <is>
          <t>Wine Totes, Bags &amp; Backpacks</t>
        </is>
      </c>
      <c r="F2005" t="inlineStr">
        <is>
          <t>Flyingstar</t>
        </is>
      </c>
      <c r="G2005" t="n">
        <v>0</v>
      </c>
      <c r="H2005" t="n">
        <v>0</v>
      </c>
      <c r="I2005" t="inlineStr">
        <is>
          <t>Wine,Christmas,Valentine</t>
        </is>
      </c>
      <c r="J2005" s="29" t="n">
        <v>0</v>
      </c>
      <c r="K2005" s="30" t="n"/>
      <c r="L2005" s="29" t="n">
        <v>0</v>
      </c>
      <c r="M2005" s="29" t="n">
        <v>0</v>
      </c>
      <c r="N2005" s="2" t="n">
        <v>0</v>
      </c>
      <c r="O2005" s="31" t="n">
        <v>0</v>
      </c>
      <c r="P2005" s="32" t="n"/>
      <c r="Q2005" s="32" t="n">
        <v>0</v>
      </c>
      <c r="R2005" s="32" t="n">
        <v>0</v>
      </c>
      <c r="S2005" s="31" t="n">
        <v>0</v>
      </c>
      <c r="T2005" s="32" t="n">
        <v>0</v>
      </c>
      <c r="U2005" s="31" t="n">
        <v>0</v>
      </c>
      <c r="V2005" s="31" t="n">
        <v>0</v>
      </c>
      <c r="W2005" s="3" t="n">
        <v>0</v>
      </c>
      <c r="X2005" s="3" t="n">
        <v>0</v>
      </c>
      <c r="Y2005" s="32" t="n">
        <v>0</v>
      </c>
      <c r="Z2005" s="3" t="n">
        <v>0</v>
      </c>
      <c r="AA2005" s="32" t="n">
        <v>0</v>
      </c>
      <c r="AB2005" s="3" t="n"/>
      <c r="AC2005" s="31" t="n">
        <v>0</v>
      </c>
      <c r="AD2005" s="2" t="n">
        <v>0</v>
      </c>
      <c r="AE2005" s="2" t="n">
        <v>7</v>
      </c>
      <c r="AF2005" s="4" t="n">
        <v>7</v>
      </c>
      <c r="AG2005" s="33" t="n">
        <v>0</v>
      </c>
      <c r="AH2005" s="4" t="n">
        <v>0</v>
      </c>
      <c r="AI2005" s="34" t="n"/>
      <c r="AJ2005" s="34" t="n">
        <v>0</v>
      </c>
      <c r="AK2005" s="2" t="n">
        <v>0</v>
      </c>
      <c r="AL2005" t="inlineStr">
        <is>
          <t>Published</t>
        </is>
      </c>
    </row>
    <row r="2006">
      <c r="A2006">
        <f>HYPERLINK("https://www.walmart.com/ip/725168068", "725168068")</f>
        <v/>
      </c>
      <c r="B2006">
        <f>HYPERLINK("https://app.optiwise.ai/catalog/itemdetails/362184", "Tirrinia Large Insulated Picnic Basket, Foldable Bag, 28L Leakproof Portable Basket Set, Blue")</f>
        <v/>
      </c>
      <c r="C2006" t="inlineStr">
        <is>
          <t>1TRPB100-BL</t>
        </is>
      </c>
      <c r="D2006" t="inlineStr">
        <is>
          <t>Home Decor, Kitchen, &amp; Other</t>
        </is>
      </c>
      <c r="E2006" t="inlineStr">
        <is>
          <t>Picnic Baskets &amp; Bags</t>
        </is>
      </c>
      <c r="F2006" t="inlineStr">
        <is>
          <t>Tirrinia</t>
        </is>
      </c>
      <c r="G2006" t="n">
        <v>3.8</v>
      </c>
      <c r="H2006" t="n">
        <v>13</v>
      </c>
      <c r="I2006" t="inlineStr">
        <is>
          <t>Batch 1 - TR</t>
        </is>
      </c>
      <c r="J2006" s="29" t="n">
        <v>0</v>
      </c>
      <c r="K2006" s="30" t="n"/>
      <c r="L2006" s="29" t="n">
        <v>27.98999977111816</v>
      </c>
      <c r="M2006" s="29" t="n">
        <v>0</v>
      </c>
      <c r="N2006" s="2" t="n">
        <v>0</v>
      </c>
      <c r="O2006" s="31" t="n">
        <v>0</v>
      </c>
      <c r="P2006" s="32" t="n"/>
      <c r="Q2006" s="32" t="n">
        <v>0</v>
      </c>
      <c r="R2006" s="32" t="n">
        <v>0.4768</v>
      </c>
      <c r="S2006" s="31" t="n">
        <v>0</v>
      </c>
      <c r="T2006" s="32" t="n">
        <v>0</v>
      </c>
      <c r="U2006" s="31" t="n">
        <v>0</v>
      </c>
      <c r="V2006" s="31" t="n">
        <v>0</v>
      </c>
      <c r="W2006" s="3" t="n">
        <v>57</v>
      </c>
      <c r="X2006" s="3" t="n">
        <v>0</v>
      </c>
      <c r="Y2006" s="32" t="n">
        <v>0</v>
      </c>
      <c r="Z2006" s="3" t="n">
        <v>0</v>
      </c>
      <c r="AA2006" s="32" t="n">
        <v>0</v>
      </c>
      <c r="AB2006" s="3" t="inlineStr">
        <is>
          <t>Top Selling Last Year 2023</t>
        </is>
      </c>
      <c r="AC2006" s="31" t="n">
        <v>0</v>
      </c>
      <c r="AD2006" s="2" t="n">
        <v>0</v>
      </c>
      <c r="AE2006" s="2" t="n">
        <v>35</v>
      </c>
      <c r="AF2006" s="4" t="n">
        <v>35</v>
      </c>
      <c r="AG2006" s="33" t="n">
        <v>0</v>
      </c>
      <c r="AH2006" s="4" t="n">
        <v>0</v>
      </c>
      <c r="AI2006" s="34" t="n"/>
      <c r="AJ2006" s="34" t="n">
        <v>0</v>
      </c>
      <c r="AK2006" s="2" t="n">
        <v>0</v>
      </c>
      <c r="AL2006" t="inlineStr">
        <is>
          <t>Published</t>
        </is>
      </c>
    </row>
    <row r="2007">
      <c r="A2007">
        <f>HYPERLINK("https://www.walmart.com/ip/198314685", "198314685")</f>
        <v/>
      </c>
      <c r="B2007">
        <f>HYPERLINK("https://app.optiwise.ai/catalog/itemdetails/362183", "JenniWears Women's 3-Pack High Waist Control Top Reinforced Seamless Pantyhose")</f>
        <v/>
      </c>
      <c r="C2007" t="inlineStr">
        <is>
          <t>JWBLSPH6001-3pcs</t>
        </is>
      </c>
      <c r="D2007" t="inlineStr">
        <is>
          <t>Clothing</t>
        </is>
      </c>
      <c r="E2007" t="inlineStr">
        <is>
          <t>Pantyhose &amp; Tights</t>
        </is>
      </c>
      <c r="F2007" t="inlineStr">
        <is>
          <t>JenniWears</t>
        </is>
      </c>
      <c r="G2007" t="n">
        <v>0</v>
      </c>
      <c r="H2007" t="n">
        <v>0</v>
      </c>
      <c r="I2007" t="inlineStr">
        <is>
          <t>Optimized,Valentine</t>
        </is>
      </c>
      <c r="J2007" s="29" t="n">
        <v>0</v>
      </c>
      <c r="K2007" s="30" t="n"/>
      <c r="L2007" s="29" t="n">
        <v>0</v>
      </c>
      <c r="M2007" s="29" t="n">
        <v>0</v>
      </c>
      <c r="N2007" s="2" t="n">
        <v>0</v>
      </c>
      <c r="O2007" s="31" t="n">
        <v>0</v>
      </c>
      <c r="P2007" s="32" t="n"/>
      <c r="Q2007" s="32" t="n">
        <v>0</v>
      </c>
      <c r="R2007" s="32" t="n">
        <v>0</v>
      </c>
      <c r="S2007" s="31" t="n">
        <v>0</v>
      </c>
      <c r="T2007" s="32" t="n">
        <v>0</v>
      </c>
      <c r="U2007" s="31" t="n">
        <v>0</v>
      </c>
      <c r="V2007" s="31" t="n">
        <v>0</v>
      </c>
      <c r="W2007" s="3" t="n">
        <v>0</v>
      </c>
      <c r="X2007" s="3" t="n">
        <v>0</v>
      </c>
      <c r="Y2007" s="32" t="n">
        <v>0</v>
      </c>
      <c r="Z2007" s="3" t="n">
        <v>0</v>
      </c>
      <c r="AA2007" s="32" t="n">
        <v>0</v>
      </c>
      <c r="AB2007" s="3" t="n"/>
      <c r="AC2007" s="31" t="n">
        <v>0</v>
      </c>
      <c r="AD2007" s="2" t="n">
        <v>0</v>
      </c>
      <c r="AE2007" s="2" t="n">
        <v>14</v>
      </c>
      <c r="AF2007" s="4" t="n">
        <v>14</v>
      </c>
      <c r="AG2007" s="33" t="n">
        <v>0</v>
      </c>
      <c r="AH2007" s="4" t="n">
        <v>0</v>
      </c>
      <c r="AI2007" s="34" t="n"/>
      <c r="AJ2007" s="34" t="n">
        <v>0</v>
      </c>
      <c r="AK2007" s="2" t="n">
        <v>0</v>
      </c>
      <c r="AL2007" t="inlineStr">
        <is>
          <t>Published</t>
        </is>
      </c>
    </row>
    <row r="2008">
      <c r="A2008">
        <f>HYPERLINK("https://www.walmart.com/ip/537345676", "537345676")</f>
        <v/>
      </c>
      <c r="B2008">
        <f>HYPERLINK("https://app.optiwise.ai/catalog/itemdetails/362245", "Catalonia Sherpa Wearable Blanket Poncho for Adult Women Men, Wrap Blanket Cape with Pocket, Warm, Soft, Cozy, Snuggly, Comfort Gift, No Sleeves, Cheetah")</f>
        <v/>
      </c>
      <c r="C2008" t="inlineStr">
        <is>
          <t>1CTBP110CHEETAH</t>
        </is>
      </c>
      <c r="D2008" t="inlineStr">
        <is>
          <t>Bedding</t>
        </is>
      </c>
      <c r="E2008" t="inlineStr">
        <is>
          <t>Throws</t>
        </is>
      </c>
      <c r="F2008" t="inlineStr">
        <is>
          <t>Catalonia</t>
        </is>
      </c>
      <c r="G2008" t="n">
        <v>0</v>
      </c>
      <c r="H2008" t="n">
        <v>0</v>
      </c>
      <c r="I2008" t="inlineStr">
        <is>
          <t>Hero 5 Holidays,Coupon_Discount,Batch 1 - TR</t>
        </is>
      </c>
      <c r="J2008" s="29" t="n">
        <v>0</v>
      </c>
      <c r="K2008" s="30" t="n"/>
      <c r="L2008" s="29" t="n">
        <v>0</v>
      </c>
      <c r="M2008" s="29" t="n">
        <v>0</v>
      </c>
      <c r="N2008" s="2" t="n">
        <v>0</v>
      </c>
      <c r="O2008" s="31" t="n">
        <v>0</v>
      </c>
      <c r="P2008" s="32" t="n"/>
      <c r="Q2008" s="32" t="n">
        <v>0</v>
      </c>
      <c r="R2008" s="32" t="n">
        <v>0</v>
      </c>
      <c r="S2008" s="31" t="n">
        <v>0</v>
      </c>
      <c r="T2008" s="32" t="n">
        <v>0</v>
      </c>
      <c r="U2008" s="31" t="n">
        <v>0</v>
      </c>
      <c r="V2008" s="31" t="n">
        <v>0</v>
      </c>
      <c r="W2008" s="3" t="n">
        <v>14</v>
      </c>
      <c r="X2008" s="3" t="n">
        <v>0</v>
      </c>
      <c r="Y2008" s="32" t="n">
        <v>0</v>
      </c>
      <c r="Z2008" s="3" t="n">
        <v>0</v>
      </c>
      <c r="AA2008" s="32" t="n">
        <v>0</v>
      </c>
      <c r="AB2008" s="3" t="inlineStr">
        <is>
          <t>Snuggly_Auto</t>
        </is>
      </c>
      <c r="AC2008" s="31" t="n">
        <v>0</v>
      </c>
      <c r="AD2008" s="2" t="n">
        <v>0</v>
      </c>
      <c r="AE2008" s="2" t="n">
        <v>9</v>
      </c>
      <c r="AF2008" s="4" t="n">
        <v>9</v>
      </c>
      <c r="AG2008" s="33" t="n">
        <v>0</v>
      </c>
      <c r="AH2008" s="4" t="n">
        <v>0</v>
      </c>
      <c r="AI2008" s="34" t="n"/>
      <c r="AJ2008" s="34" t="n">
        <v>0</v>
      </c>
      <c r="AK2008" s="2" t="n">
        <v>0</v>
      </c>
      <c r="AL2008" t="inlineStr">
        <is>
          <t>Published</t>
        </is>
      </c>
    </row>
    <row r="2009">
      <c r="A2009">
        <f>HYPERLINK("https://www.walmart.com/ip/134725282", "134725282")</f>
        <v/>
      </c>
      <c r="B2009">
        <f>HYPERLINK("https://app.optiwise.ai/catalog/itemdetails/362249", "Catalonia Sherpa Fleece Blanket for Bed, Super Soft  Plush Sofa Couch Throw Blanket, TV Bed Blanket, Comfy Cozy Fluffy Warm Comforter, Caring Gift(Cow, 60x80 inches)")</f>
        <v/>
      </c>
      <c r="C2009" t="inlineStr">
        <is>
          <t>1CTBF368DMT</t>
        </is>
      </c>
      <c r="D2009" t="inlineStr">
        <is>
          <t>Bedding</t>
        </is>
      </c>
      <c r="E2009" t="inlineStr">
        <is>
          <t>Throws</t>
        </is>
      </c>
      <c r="F2009" t="inlineStr">
        <is>
          <t>Catalonia</t>
        </is>
      </c>
      <c r="G2009" t="n">
        <v>0</v>
      </c>
      <c r="H2009" t="n">
        <v>0</v>
      </c>
      <c r="I2009" t="inlineStr">
        <is>
          <t>WFS,WFS Item,Fleece Blankets</t>
        </is>
      </c>
      <c r="J2009" s="29" t="n">
        <v>0</v>
      </c>
      <c r="K2009" s="30" t="n"/>
      <c r="L2009" s="29" t="n">
        <v>0</v>
      </c>
      <c r="M2009" s="29" t="n">
        <v>0</v>
      </c>
      <c r="N2009" s="2" t="n">
        <v>0</v>
      </c>
      <c r="O2009" s="31" t="n">
        <v>0</v>
      </c>
      <c r="P2009" s="32" t="n"/>
      <c r="Q2009" s="32" t="n">
        <v>0</v>
      </c>
      <c r="R2009" s="32" t="n">
        <v>0</v>
      </c>
      <c r="S2009" s="31" t="n">
        <v>0</v>
      </c>
      <c r="T2009" s="32" t="n">
        <v>0</v>
      </c>
      <c r="U2009" s="31" t="n">
        <v>0</v>
      </c>
      <c r="V2009" s="31" t="n">
        <v>0</v>
      </c>
      <c r="W2009" s="3" t="n">
        <v>0</v>
      </c>
      <c r="X2009" s="3" t="n">
        <v>0</v>
      </c>
      <c r="Y2009" s="32" t="n">
        <v>0</v>
      </c>
      <c r="Z2009" s="3" t="n">
        <v>0</v>
      </c>
      <c r="AA2009" s="32" t="n">
        <v>0</v>
      </c>
      <c r="AB2009" s="3" t="n"/>
      <c r="AC2009" s="31" t="n">
        <v>0</v>
      </c>
      <c r="AD2009" s="2" t="n">
        <v>0</v>
      </c>
      <c r="AE2009" s="2" t="n">
        <v>22</v>
      </c>
      <c r="AF2009" s="4" t="n">
        <v>22</v>
      </c>
      <c r="AG2009" s="33" t="n">
        <v>0</v>
      </c>
      <c r="AH2009" s="4" t="n">
        <v>0</v>
      </c>
      <c r="AI2009" s="34" t="n"/>
      <c r="AJ2009" s="34" t="n">
        <v>0</v>
      </c>
      <c r="AK2009" s="2" t="n">
        <v>0</v>
      </c>
      <c r="AL2009" t="inlineStr">
        <is>
          <t>Published</t>
        </is>
      </c>
    </row>
    <row r="2010">
      <c r="A2010">
        <f>HYPERLINK("https://www.walmart.com/ip/595649723", "595649723")</f>
        <v/>
      </c>
      <c r="B2010">
        <f>HYPERLINK("https://app.optiwise.ai/catalog/itemdetails/362326", "Two Pieces Double up Tankini Swimsuit for Women Bathing Suits Set by Tirrinia")</f>
        <v/>
      </c>
      <c r="C2010" t="inlineStr">
        <is>
          <t>1TRSS002WH-M</t>
        </is>
      </c>
      <c r="D2010" t="inlineStr">
        <is>
          <t>Clothing</t>
        </is>
      </c>
      <c r="E2010" t="inlineStr">
        <is>
          <t>Swimsuit Sets</t>
        </is>
      </c>
      <c r="F2010" t="inlineStr">
        <is>
          <t>Tirrinia</t>
        </is>
      </c>
      <c r="G2010" t="n">
        <v>1</v>
      </c>
      <c r="H2010" t="n">
        <v>1</v>
      </c>
      <c r="I2010" t="inlineStr">
        <is>
          <t>Batch 1 - TR</t>
        </is>
      </c>
      <c r="J2010" s="29" t="n">
        <v>0</v>
      </c>
      <c r="K2010" s="30" t="n"/>
      <c r="L2010" s="29" t="n">
        <v>0</v>
      </c>
      <c r="M2010" s="29" t="n">
        <v>0</v>
      </c>
      <c r="N2010" s="2" t="n">
        <v>0</v>
      </c>
      <c r="O2010" s="31" t="n">
        <v>0</v>
      </c>
      <c r="P2010" s="32" t="n"/>
      <c r="Q2010" s="32" t="n">
        <v>0</v>
      </c>
      <c r="R2010" s="32" t="n">
        <v>0</v>
      </c>
      <c r="S2010" s="31" t="n">
        <v>0</v>
      </c>
      <c r="T2010" s="32" t="n">
        <v>0</v>
      </c>
      <c r="U2010" s="31" t="n">
        <v>0</v>
      </c>
      <c r="V2010" s="31" t="n">
        <v>0</v>
      </c>
      <c r="W2010" s="3" t="n">
        <v>0</v>
      </c>
      <c r="X2010" s="3" t="n">
        <v>0</v>
      </c>
      <c r="Y2010" s="32" t="n">
        <v>0</v>
      </c>
      <c r="Z2010" s="3" t="n">
        <v>0</v>
      </c>
      <c r="AA2010" s="32" t="n">
        <v>0</v>
      </c>
      <c r="AB2010" s="3" t="n"/>
      <c r="AC2010" s="31" t="n">
        <v>0</v>
      </c>
      <c r="AD2010" s="2" t="n">
        <v>0</v>
      </c>
      <c r="AE2010" s="2" t="n">
        <v>3</v>
      </c>
      <c r="AF2010" s="4" t="n">
        <v>3</v>
      </c>
      <c r="AG2010" s="33" t="n">
        <v>0</v>
      </c>
      <c r="AH2010" s="4" t="n">
        <v>0</v>
      </c>
      <c r="AI2010" s="34" t="n"/>
      <c r="AJ2010" s="34" t="n">
        <v>0</v>
      </c>
      <c r="AK2010" s="2" t="n">
        <v>0</v>
      </c>
      <c r="AL2010" t="inlineStr">
        <is>
          <t>Published</t>
        </is>
      </c>
    </row>
    <row r="2011">
      <c r="A2011">
        <f>HYPERLINK("https://www.walmart.com/ip/143469985", "143469985")</f>
        <v/>
      </c>
      <c r="B2011">
        <f>HYPERLINK("https://app.optiwise.ai/catalog/itemdetails/362285", "Catalonia Cheetah Fluffy Sherpa Throw Blanket, Super Soft Mink Fleece Couch Blanket, TV Bed Fuzzy Blanket, Fluffy Comfy Warm Heavy Throws, Comfort Caring Gift,50x60 inches")</f>
        <v/>
      </c>
      <c r="C2011" t="inlineStr">
        <is>
          <t>1CTBF300CHEETAHMUL</t>
        </is>
      </c>
      <c r="D2011" t="inlineStr">
        <is>
          <t>Bedding</t>
        </is>
      </c>
      <c r="E2011" t="inlineStr">
        <is>
          <t>Throws</t>
        </is>
      </c>
      <c r="F2011" t="inlineStr">
        <is>
          <t>Catalonia</t>
        </is>
      </c>
      <c r="G2011" t="n">
        <v>2</v>
      </c>
      <c r="H2011" t="n">
        <v>1</v>
      </c>
      <c r="I2011" t="inlineStr">
        <is>
          <t>WFS,WFS Item</t>
        </is>
      </c>
      <c r="J2011" s="29" t="n">
        <v>0</v>
      </c>
      <c r="K2011" s="30" t="n"/>
      <c r="L2011" s="29" t="n">
        <v>0</v>
      </c>
      <c r="M2011" s="29" t="n">
        <v>0</v>
      </c>
      <c r="N2011" s="2" t="n">
        <v>0</v>
      </c>
      <c r="O2011" s="31" t="n">
        <v>0</v>
      </c>
      <c r="P2011" s="32" t="n"/>
      <c r="Q2011" s="32" t="n">
        <v>0</v>
      </c>
      <c r="R2011" s="32" t="n">
        <v>0</v>
      </c>
      <c r="S2011" s="31" t="n">
        <v>0</v>
      </c>
      <c r="T2011" s="32" t="n">
        <v>0</v>
      </c>
      <c r="U2011" s="31" t="n">
        <v>0</v>
      </c>
      <c r="V2011" s="31" t="n">
        <v>0</v>
      </c>
      <c r="W2011" s="3" t="n">
        <v>0</v>
      </c>
      <c r="X2011" s="3" t="n">
        <v>0</v>
      </c>
      <c r="Y2011" s="32" t="n">
        <v>0</v>
      </c>
      <c r="Z2011" s="3" t="n">
        <v>0</v>
      </c>
      <c r="AA2011" s="32" t="n">
        <v>0</v>
      </c>
      <c r="AB2011" s="3" t="n"/>
      <c r="AC2011" s="31" t="n">
        <v>0</v>
      </c>
      <c r="AD2011" s="2" t="n">
        <v>0</v>
      </c>
      <c r="AE2011" s="2" t="n">
        <v>31</v>
      </c>
      <c r="AF2011" s="4" t="n">
        <v>31</v>
      </c>
      <c r="AG2011" s="33" t="n">
        <v>0</v>
      </c>
      <c r="AH2011" s="4" t="n">
        <v>0</v>
      </c>
      <c r="AI2011" s="34" t="n"/>
      <c r="AJ2011" s="34" t="n">
        <v>0</v>
      </c>
      <c r="AK2011" s="2" t="n">
        <v>0</v>
      </c>
      <c r="AL2011" t="inlineStr">
        <is>
          <t>Published</t>
        </is>
      </c>
    </row>
    <row r="2012">
      <c r="A2012">
        <f>HYPERLINK("https://www.walmart.com/ip/772452784", "772452784")</f>
        <v/>
      </c>
      <c r="B2012">
        <f>HYPERLINK("https://app.optiwise.ai/catalog/itemdetails/362321", "Tirrinia Super Soft Fluffy Hooded Robe Long Plush Fuzzy Bathrobe for Women with Hood Sherpa Lined, Machine Washable, Dalmation")</f>
        <v/>
      </c>
      <c r="C2012" t="inlineStr">
        <is>
          <t>1TRRB100DMT</t>
        </is>
      </c>
      <c r="D2012" t="inlineStr">
        <is>
          <t>Clothing</t>
        </is>
      </c>
      <c r="E2012" t="inlineStr">
        <is>
          <t>Sleepwear Robes &amp; Bathrobes</t>
        </is>
      </c>
      <c r="F2012" t="inlineStr">
        <is>
          <t>Tirrinia</t>
        </is>
      </c>
      <c r="G2012" t="n">
        <v>4.1</v>
      </c>
      <c r="H2012" t="n">
        <v>16</v>
      </c>
      <c r="I2012" t="inlineStr">
        <is>
          <t>WFS,Bathrobe,Coupon_Discount,WFS Item</t>
        </is>
      </c>
      <c r="J2012" s="29" t="n">
        <v>0</v>
      </c>
      <c r="K2012" s="30" t="n"/>
      <c r="L2012" s="29" t="n">
        <v>0</v>
      </c>
      <c r="M2012" s="29" t="n">
        <v>0</v>
      </c>
      <c r="N2012" s="2" t="n">
        <v>0</v>
      </c>
      <c r="O2012" s="31" t="n">
        <v>0</v>
      </c>
      <c r="P2012" s="32" t="n"/>
      <c r="Q2012" s="32" t="n">
        <v>0</v>
      </c>
      <c r="R2012" s="32" t="n">
        <v>0</v>
      </c>
      <c r="S2012" s="31" t="n">
        <v>0</v>
      </c>
      <c r="T2012" s="32" t="n">
        <v>0</v>
      </c>
      <c r="U2012" s="31" t="n">
        <v>0</v>
      </c>
      <c r="V2012" s="31" t="n">
        <v>0</v>
      </c>
      <c r="W2012" s="3" t="n">
        <v>0</v>
      </c>
      <c r="X2012" s="3" t="n">
        <v>0</v>
      </c>
      <c r="Y2012" s="32" t="n">
        <v>0</v>
      </c>
      <c r="Z2012" s="3" t="n">
        <v>0</v>
      </c>
      <c r="AA2012" s="32" t="n">
        <v>0</v>
      </c>
      <c r="AB2012" s="3" t="n"/>
      <c r="AC2012" s="31" t="n">
        <v>0</v>
      </c>
      <c r="AD2012" s="2" t="n">
        <v>0</v>
      </c>
      <c r="AE2012" s="2" t="n">
        <v>115</v>
      </c>
      <c r="AF2012" s="4" t="n">
        <v>115</v>
      </c>
      <c r="AG2012" s="33" t="n">
        <v>0</v>
      </c>
      <c r="AH2012" s="4" t="n">
        <v>0</v>
      </c>
      <c r="AI2012" s="34" t="n"/>
      <c r="AJ2012" s="34" t="n">
        <v>0</v>
      </c>
      <c r="AK2012" s="2" t="n">
        <v>0</v>
      </c>
      <c r="AL2012" t="inlineStr">
        <is>
          <t>Published</t>
        </is>
      </c>
    </row>
    <row r="2013">
      <c r="A2013">
        <f>HYPERLINK("https://www.walmart.com/ip/707295024", "707295024")</f>
        <v/>
      </c>
      <c r="B2013">
        <f>HYPERLINK("https://app.optiwise.ai/catalog/itemdetails/362310", "Tirrinia Insulated 2 Bottle Wine Carrier Tote Cooler Bag for Travel Picnic Padded Champagne Glass Carrying Case")</f>
        <v/>
      </c>
      <c r="C2013" t="inlineStr">
        <is>
          <t>1WMWB221RD</t>
        </is>
      </c>
      <c r="D2013" t="inlineStr">
        <is>
          <t>Home Decor, Kitchen, &amp; Other</t>
        </is>
      </c>
      <c r="E2013" t="inlineStr">
        <is>
          <t>Wine Totes, Bags &amp; Backpacks</t>
        </is>
      </c>
      <c r="F2013" t="inlineStr">
        <is>
          <t>Flyingstar</t>
        </is>
      </c>
      <c r="G2013" t="n">
        <v>0</v>
      </c>
      <c r="H2013" t="n">
        <v>0</v>
      </c>
      <c r="I2013" t="inlineStr">
        <is>
          <t>Wine,Christmas,Valentine</t>
        </is>
      </c>
      <c r="J2013" s="29" t="n">
        <v>0</v>
      </c>
      <c r="K2013" s="30" t="n"/>
      <c r="L2013" s="29" t="n">
        <v>0</v>
      </c>
      <c r="M2013" s="29" t="n">
        <v>0</v>
      </c>
      <c r="N2013" s="2" t="n">
        <v>0</v>
      </c>
      <c r="O2013" s="31" t="n">
        <v>0</v>
      </c>
      <c r="P2013" s="32" t="n"/>
      <c r="Q2013" s="32" t="n">
        <v>0</v>
      </c>
      <c r="R2013" s="32" t="n">
        <v>0</v>
      </c>
      <c r="S2013" s="31" t="n">
        <v>0</v>
      </c>
      <c r="T2013" s="32" t="n">
        <v>0</v>
      </c>
      <c r="U2013" s="31" t="n">
        <v>0</v>
      </c>
      <c r="V2013" s="31" t="n">
        <v>0</v>
      </c>
      <c r="W2013" s="3" t="n">
        <v>0</v>
      </c>
      <c r="X2013" s="3" t="n">
        <v>0</v>
      </c>
      <c r="Y2013" s="32" t="n">
        <v>0</v>
      </c>
      <c r="Z2013" s="3" t="n">
        <v>0</v>
      </c>
      <c r="AA2013" s="32" t="n">
        <v>0</v>
      </c>
      <c r="AB2013" s="3" t="n"/>
      <c r="AC2013" s="31" t="n">
        <v>0</v>
      </c>
      <c r="AD2013" s="2" t="n">
        <v>0</v>
      </c>
      <c r="AE2013" s="2" t="n">
        <v>4</v>
      </c>
      <c r="AF2013" s="4" t="n">
        <v>4</v>
      </c>
      <c r="AG2013" s="33" t="n">
        <v>0</v>
      </c>
      <c r="AH2013" s="4" t="n">
        <v>0</v>
      </c>
      <c r="AI2013" s="34" t="n"/>
      <c r="AJ2013" s="34" t="n">
        <v>0</v>
      </c>
      <c r="AK2013" s="2" t="n">
        <v>0</v>
      </c>
      <c r="AL2013" t="inlineStr">
        <is>
          <t>Published</t>
        </is>
      </c>
    </row>
    <row r="2014">
      <c r="A2014">
        <f>HYPERLINK("https://www.walmart.com/ip/138080004", "138080004")</f>
        <v/>
      </c>
      <c r="B2014">
        <f>HYPERLINK("https://app.optiwise.ai/catalog/itemdetails/362306", "KC Caps Super Soft and Comfy Knit Beanie Winter Cap Pink")</f>
        <v/>
      </c>
      <c r="C2014" t="inlineStr">
        <is>
          <t>kc-w1700pk</t>
        </is>
      </c>
      <c r="D2014" t="inlineStr">
        <is>
          <t>Clothing</t>
        </is>
      </c>
      <c r="E2014" t="inlineStr">
        <is>
          <t>Hats</t>
        </is>
      </c>
      <c r="F2014" t="inlineStr">
        <is>
          <t>KC Caps</t>
        </is>
      </c>
      <c r="G2014" t="n">
        <v>0</v>
      </c>
      <c r="H2014" t="n">
        <v>0</v>
      </c>
      <c r="I2014" t="inlineStr">
        <is>
          <t>Optimized</t>
        </is>
      </c>
      <c r="J2014" s="29" t="n">
        <v>0</v>
      </c>
      <c r="K2014" s="30" t="n"/>
      <c r="L2014" s="29" t="n">
        <v>0</v>
      </c>
      <c r="M2014" s="29" t="n">
        <v>0</v>
      </c>
      <c r="N2014" s="2" t="n">
        <v>0</v>
      </c>
      <c r="O2014" s="31" t="n">
        <v>0</v>
      </c>
      <c r="P2014" s="32" t="n"/>
      <c r="Q2014" s="32" t="n">
        <v>0</v>
      </c>
      <c r="R2014" s="32" t="n">
        <v>0</v>
      </c>
      <c r="S2014" s="31" t="n">
        <v>0</v>
      </c>
      <c r="T2014" s="32" t="n">
        <v>0</v>
      </c>
      <c r="U2014" s="31" t="n">
        <v>0</v>
      </c>
      <c r="V2014" s="31" t="n">
        <v>0</v>
      </c>
      <c r="W2014" s="3" t="n">
        <v>0</v>
      </c>
      <c r="X2014" s="3" t="n">
        <v>0</v>
      </c>
      <c r="Y2014" s="32" t="n">
        <v>0</v>
      </c>
      <c r="Z2014" s="3" t="n">
        <v>0</v>
      </c>
      <c r="AA2014" s="32" t="n">
        <v>0</v>
      </c>
      <c r="AB2014" s="3" t="n"/>
      <c r="AC2014" s="31" t="n">
        <v>0</v>
      </c>
      <c r="AD2014" s="2" t="n">
        <v>0</v>
      </c>
      <c r="AE2014" s="2" t="n">
        <v>1</v>
      </c>
      <c r="AF2014" s="4" t="n">
        <v>1</v>
      </c>
      <c r="AG2014" s="33" t="n">
        <v>0</v>
      </c>
      <c r="AH2014" s="4" t="n">
        <v>0</v>
      </c>
      <c r="AI2014" s="34" t="n"/>
      <c r="AJ2014" s="34" t="n">
        <v>0</v>
      </c>
      <c r="AK2014" s="2" t="n">
        <v>0</v>
      </c>
      <c r="AL2014" t="inlineStr">
        <is>
          <t>Published</t>
        </is>
      </c>
    </row>
    <row r="2015">
      <c r="A2015">
        <f>HYPERLINK("https://www.walmart.com/ip/305581641", "305581641")</f>
        <v/>
      </c>
      <c r="B2015">
        <f>HYPERLINK("https://app.optiwise.ai/catalog/itemdetails/362305", "Tirrinia Bamboo Wine Picnic Table, Ideal Wine Lover Gift, Large Folding Portable Outdoor Snack and Cheese Tray with 4 Wine Glasses Holder for Concerts at Park, Party, or Beach, 17 x 12.6 x 7''")</f>
        <v/>
      </c>
      <c r="C2015" t="inlineStr">
        <is>
          <t>1TRPT140</t>
        </is>
      </c>
      <c r="D2015" t="inlineStr">
        <is>
          <t>Home Decor, Kitchen, &amp; Other</t>
        </is>
      </c>
      <c r="E2015" t="inlineStr">
        <is>
          <t>Wine Glasses</t>
        </is>
      </c>
      <c r="F2015" t="inlineStr">
        <is>
          <t>Tirrinia</t>
        </is>
      </c>
      <c r="G2015" t="n">
        <v>4.5</v>
      </c>
      <c r="H2015" t="n">
        <v>2</v>
      </c>
      <c r="I2015" t="inlineStr">
        <is>
          <t>Wine,Optimized,WFS,Valentine,SEM,WFS Item</t>
        </is>
      </c>
      <c r="J2015" s="29" t="n">
        <v>0</v>
      </c>
      <c r="K2015" s="30" t="n"/>
      <c r="L2015" s="29" t="n">
        <v>0</v>
      </c>
      <c r="M2015" s="29" t="n">
        <v>0</v>
      </c>
      <c r="N2015" s="2" t="n">
        <v>0</v>
      </c>
      <c r="O2015" s="31" t="n">
        <v>0</v>
      </c>
      <c r="P2015" s="32" t="n"/>
      <c r="Q2015" s="32" t="n">
        <v>0</v>
      </c>
      <c r="R2015" s="32" t="n">
        <v>0</v>
      </c>
      <c r="S2015" s="31" t="n">
        <v>0</v>
      </c>
      <c r="T2015" s="32" t="n">
        <v>0</v>
      </c>
      <c r="U2015" s="31" t="n">
        <v>0</v>
      </c>
      <c r="V2015" s="31" t="n">
        <v>0</v>
      </c>
      <c r="W2015" s="3" t="n">
        <v>0</v>
      </c>
      <c r="X2015" s="3" t="n">
        <v>0</v>
      </c>
      <c r="Y2015" s="32" t="n">
        <v>0</v>
      </c>
      <c r="Z2015" s="3" t="n">
        <v>0</v>
      </c>
      <c r="AA2015" s="32" t="n">
        <v>0</v>
      </c>
      <c r="AB2015" s="3" t="n"/>
      <c r="AC2015" s="31" t="n">
        <v>0</v>
      </c>
      <c r="AD2015" s="2" t="n">
        <v>0</v>
      </c>
      <c r="AE2015" s="2" t="n">
        <v>55</v>
      </c>
      <c r="AF2015" s="4" t="n">
        <v>55</v>
      </c>
      <c r="AG2015" s="33" t="n">
        <v>0</v>
      </c>
      <c r="AH2015" s="4" t="n">
        <v>0</v>
      </c>
      <c r="AI2015" s="34" t="n"/>
      <c r="AJ2015" s="34" t="n">
        <v>0</v>
      </c>
      <c r="AK2015" s="2" t="n">
        <v>0</v>
      </c>
      <c r="AL2015" t="inlineStr">
        <is>
          <t>Published</t>
        </is>
      </c>
    </row>
    <row r="2016">
      <c r="A2016">
        <f>HYPERLINK("https://www.walmart.com/ip/895498156", "895498156")</f>
        <v/>
      </c>
      <c r="B2016">
        <f>HYPERLINK("https://app.optiwise.ai/catalog/itemdetails/362304", "Oversized Hoodie Blanket Sweatshirt Sherpa")</f>
        <v/>
      </c>
      <c r="C2016" t="inlineStr">
        <is>
          <t>1CTHD201CAT-DG</t>
        </is>
      </c>
      <c r="D2016" t="inlineStr">
        <is>
          <t>Clothing</t>
        </is>
      </c>
      <c r="E2016" t="inlineStr">
        <is>
          <t>Sweatshirts &amp; Hoodies</t>
        </is>
      </c>
      <c r="F2016" t="inlineStr">
        <is>
          <t>Catalonia</t>
        </is>
      </c>
      <c r="G2016" t="n">
        <v>0</v>
      </c>
      <c r="H2016" t="n">
        <v>0</v>
      </c>
      <c r="I2016" t="inlineStr">
        <is>
          <t>Hoodie For Kids,Optimized,WFS,WFS Item</t>
        </is>
      </c>
      <c r="J2016" s="29" t="n">
        <v>0</v>
      </c>
      <c r="K2016" s="30" t="n"/>
      <c r="L2016" s="29" t="n">
        <v>0</v>
      </c>
      <c r="M2016" s="29" t="n">
        <v>0</v>
      </c>
      <c r="N2016" s="2" t="n">
        <v>0</v>
      </c>
      <c r="O2016" s="31" t="n">
        <v>1.2</v>
      </c>
      <c r="P2016" s="32" t="n">
        <v>0.0001</v>
      </c>
      <c r="Q2016" s="32" t="n">
        <v>0</v>
      </c>
      <c r="R2016" s="32" t="n">
        <v>0</v>
      </c>
      <c r="S2016" s="31" t="n">
        <v>0</v>
      </c>
      <c r="T2016" s="32" t="n">
        <v>0</v>
      </c>
      <c r="U2016" s="31" t="n">
        <v>0</v>
      </c>
      <c r="V2016" s="31" t="n">
        <v>0</v>
      </c>
      <c r="W2016" s="3" t="n">
        <v>8082</v>
      </c>
      <c r="X2016" s="3" t="n">
        <v>3</v>
      </c>
      <c r="Y2016" s="32" t="n">
        <v>0.0004</v>
      </c>
      <c r="Z2016" s="3" t="n">
        <v>0</v>
      </c>
      <c r="AA2016" s="32" t="n">
        <v>0</v>
      </c>
      <c r="AB2016" s="3" t="inlineStr">
        <is>
          <t>Hoodies_Auto</t>
        </is>
      </c>
      <c r="AC2016" s="31" t="n">
        <v>0.4</v>
      </c>
      <c r="AD2016" s="2" t="n">
        <v>0</v>
      </c>
      <c r="AE2016" s="2" t="n">
        <v>7</v>
      </c>
      <c r="AF2016" s="4" t="n">
        <v>4</v>
      </c>
      <c r="AG2016" s="33" t="n">
        <v>0</v>
      </c>
      <c r="AH2016" s="4" t="n">
        <v>0</v>
      </c>
      <c r="AI2016" s="34" t="n"/>
      <c r="AJ2016" s="34" t="n">
        <v>0</v>
      </c>
      <c r="AK2016" s="2" t="n">
        <v>0</v>
      </c>
      <c r="AL2016" t="inlineStr">
        <is>
          <t>Published</t>
        </is>
      </c>
    </row>
    <row r="2017">
      <c r="A2017">
        <f>HYPERLINK("https://www.walmart.com/ip/677316411", "677316411")</f>
        <v/>
      </c>
      <c r="B2017">
        <f>HYPERLINK("https://app.optiwise.ai/catalog/itemdetails/362302", "Tirrinia Buffalo Plaid Fleece Blanket, Super Soft Warm Comfy Flannel Fleece for Bedding, Couch Cabin Throw, Decorative Blanket, Plaid Red, 50 x 60")</f>
        <v/>
      </c>
      <c r="C2017" t="inlineStr">
        <is>
          <t>1TRBF576PRD</t>
        </is>
      </c>
      <c r="D2017" t="inlineStr">
        <is>
          <t>Bedding</t>
        </is>
      </c>
      <c r="E2017" t="inlineStr">
        <is>
          <t>Throws</t>
        </is>
      </c>
      <c r="F2017" t="inlineStr">
        <is>
          <t>Tirrinia</t>
        </is>
      </c>
      <c r="G2017" t="n">
        <v>4.3</v>
      </c>
      <c r="H2017" t="n">
        <v>6</v>
      </c>
      <c r="I2017" t="inlineStr">
        <is>
          <t>Q2-Target,WFS,Coupon_Discount,WFS Item,Fleece Blankets</t>
        </is>
      </c>
      <c r="J2017" s="29" t="n">
        <v>0</v>
      </c>
      <c r="K2017" s="30" t="n"/>
      <c r="L2017" s="29" t="n">
        <v>0</v>
      </c>
      <c r="M2017" s="29" t="n">
        <v>0</v>
      </c>
      <c r="N2017" s="2" t="n">
        <v>0</v>
      </c>
      <c r="O2017" s="31" t="n">
        <v>0</v>
      </c>
      <c r="P2017" s="32" t="n"/>
      <c r="Q2017" s="32" t="n">
        <v>0</v>
      </c>
      <c r="R2017" s="32" t="n">
        <v>0</v>
      </c>
      <c r="S2017" s="31" t="n">
        <v>0</v>
      </c>
      <c r="T2017" s="32" t="n">
        <v>0</v>
      </c>
      <c r="U2017" s="31" t="n">
        <v>0</v>
      </c>
      <c r="V2017" s="31" t="n">
        <v>0</v>
      </c>
      <c r="W2017" s="3" t="n">
        <v>0</v>
      </c>
      <c r="X2017" s="3" t="n">
        <v>0</v>
      </c>
      <c r="Y2017" s="32" t="n">
        <v>0</v>
      </c>
      <c r="Z2017" s="3" t="n">
        <v>0</v>
      </c>
      <c r="AA2017" s="32" t="n">
        <v>0</v>
      </c>
      <c r="AB2017" s="3" t="n"/>
      <c r="AC2017" s="31" t="n">
        <v>0</v>
      </c>
      <c r="AD2017" s="2" t="n">
        <v>0</v>
      </c>
      <c r="AE2017" s="2" t="n">
        <v>47</v>
      </c>
      <c r="AF2017" s="4" t="n">
        <v>47</v>
      </c>
      <c r="AG2017" s="33" t="n">
        <v>0</v>
      </c>
      <c r="AH2017" s="4" t="n">
        <v>0</v>
      </c>
      <c r="AI2017" s="34" t="n"/>
      <c r="AJ2017" s="34" t="n">
        <v>0</v>
      </c>
      <c r="AK2017" s="2" t="n">
        <v>0</v>
      </c>
      <c r="AL2017" t="inlineStr">
        <is>
          <t>Published</t>
        </is>
      </c>
    </row>
    <row r="2018">
      <c r="A2018">
        <f>HYPERLINK("https://www.walmart.com/ip/183866106", "183866106")</f>
        <v/>
      </c>
      <c r="B2018">
        <f>HYPERLINK("https://app.optiwise.ai/catalog/itemdetails/362298", "Terra Faux Fur Pom Pom Beanie Hat Slouchy Solid Plain Knit Unisex Stretches to Fit Most")</f>
        <v/>
      </c>
      <c r="C2018" t="inlineStr">
        <is>
          <t>TERRAPPH03LATTE</t>
        </is>
      </c>
      <c r="D2018" t="inlineStr">
        <is>
          <t>Clothing</t>
        </is>
      </c>
      <c r="E2018" t="inlineStr">
        <is>
          <t>Hats</t>
        </is>
      </c>
      <c r="F2018" t="inlineStr">
        <is>
          <t>Terra</t>
        </is>
      </c>
      <c r="G2018" t="n">
        <v>2.5</v>
      </c>
      <c r="H2018" t="n">
        <v>2</v>
      </c>
      <c r="I2018" t="inlineStr">
        <is>
          <t>Batch 1 - TR</t>
        </is>
      </c>
      <c r="J2018" s="29" t="n">
        <v>0</v>
      </c>
      <c r="K2018" s="30" t="n"/>
      <c r="L2018" s="29" t="n">
        <v>0</v>
      </c>
      <c r="M2018" s="29" t="n">
        <v>0</v>
      </c>
      <c r="N2018" s="2" t="n">
        <v>0</v>
      </c>
      <c r="O2018" s="31" t="n">
        <v>0</v>
      </c>
      <c r="P2018" s="32" t="n"/>
      <c r="Q2018" s="32" t="n">
        <v>0</v>
      </c>
      <c r="R2018" s="32" t="n">
        <v>0</v>
      </c>
      <c r="S2018" s="31" t="n">
        <v>0</v>
      </c>
      <c r="T2018" s="32" t="n">
        <v>0</v>
      </c>
      <c r="U2018" s="31" t="n">
        <v>0</v>
      </c>
      <c r="V2018" s="31" t="n">
        <v>0</v>
      </c>
      <c r="W2018" s="3" t="n">
        <v>0</v>
      </c>
      <c r="X2018" s="3" t="n">
        <v>0</v>
      </c>
      <c r="Y2018" s="32" t="n">
        <v>0</v>
      </c>
      <c r="Z2018" s="3" t="n">
        <v>0</v>
      </c>
      <c r="AA2018" s="32" t="n">
        <v>0</v>
      </c>
      <c r="AB2018" s="3" t="n"/>
      <c r="AC2018" s="31" t="n">
        <v>0</v>
      </c>
      <c r="AD2018" s="2" t="n">
        <v>0</v>
      </c>
      <c r="AE2018" s="2" t="n">
        <v>2</v>
      </c>
      <c r="AF2018" s="4" t="n">
        <v>2</v>
      </c>
      <c r="AG2018" s="33" t="n">
        <v>0</v>
      </c>
      <c r="AH2018" s="4" t="n">
        <v>0</v>
      </c>
      <c r="AI2018" s="34" t="n"/>
      <c r="AJ2018" s="34" t="n">
        <v>0</v>
      </c>
      <c r="AK2018" s="2" t="n">
        <v>0</v>
      </c>
      <c r="AL2018" t="inlineStr">
        <is>
          <t>Published</t>
        </is>
      </c>
    </row>
    <row r="2019">
      <c r="A2019">
        <f>HYPERLINK("https://www.walmart.com/ip/701571669", "701571669")</f>
        <v/>
      </c>
      <c r="B2019">
        <f>HYPERLINK("https://app.optiwise.ai/catalog/itemdetails/362291", "Kato Wine Accessories Gift Set - Wine Bottle Corkscrew Opener Kit, Drip Ring, Foil Cutter and Wine Pourer and Stopper in Novelty Bottle-Shaped Case for Wine Lover Gift, Red")</f>
        <v/>
      </c>
      <c r="C2019" t="inlineStr">
        <is>
          <t>1KTWO500RD</t>
        </is>
      </c>
      <c r="D2019" t="inlineStr">
        <is>
          <t>Home Decor, Kitchen, &amp; Other</t>
        </is>
      </c>
      <c r="E2019" t="inlineStr">
        <is>
          <t>Corkscrews &amp; Wine Bottle Openers</t>
        </is>
      </c>
      <c r="F2019" t="inlineStr">
        <is>
          <t>Kato</t>
        </is>
      </c>
      <c r="G2019" t="n">
        <v>5</v>
      </c>
      <c r="H2019" t="n">
        <v>1</v>
      </c>
      <c r="I2019" t="inlineStr">
        <is>
          <t>Wine,Christmas,WFS,Wine WFS,Valentine,WFS Item</t>
        </is>
      </c>
      <c r="J2019" s="29" t="n">
        <v>0</v>
      </c>
      <c r="K2019" s="30" t="n"/>
      <c r="L2019" s="29" t="n">
        <v>0</v>
      </c>
      <c r="M2019" s="29" t="n">
        <v>0</v>
      </c>
      <c r="N2019" s="2" t="n">
        <v>0</v>
      </c>
      <c r="O2019" s="31" t="n">
        <v>2.83</v>
      </c>
      <c r="P2019" s="32" t="n">
        <v>0.0003</v>
      </c>
      <c r="Q2019" s="32" t="n">
        <v>0</v>
      </c>
      <c r="R2019" s="32" t="n">
        <v>0.213</v>
      </c>
      <c r="S2019" s="31" t="n">
        <v>0</v>
      </c>
      <c r="T2019" s="32" t="n">
        <v>0</v>
      </c>
      <c r="U2019" s="31" t="n">
        <v>0</v>
      </c>
      <c r="V2019" s="31" t="n">
        <v>0</v>
      </c>
      <c r="W2019" s="3" t="n">
        <v>7750</v>
      </c>
      <c r="X2019" s="3" t="n">
        <v>9</v>
      </c>
      <c r="Y2019" s="32" t="n">
        <v>0.0012</v>
      </c>
      <c r="Z2019" s="3" t="n">
        <v>0</v>
      </c>
      <c r="AA2019" s="32" t="n">
        <v>0</v>
      </c>
      <c r="AB2019" s="3" t="inlineStr">
        <is>
          <t>Auto Campaign_Vinay</t>
        </is>
      </c>
      <c r="AC2019" s="31" t="n">
        <v>0.31</v>
      </c>
      <c r="AD2019" s="2" t="n">
        <v>5</v>
      </c>
      <c r="AE2019" s="2" t="n">
        <v>33</v>
      </c>
      <c r="AF2019" s="4" t="n">
        <v>24</v>
      </c>
      <c r="AG2019" s="33" t="n">
        <v>0</v>
      </c>
      <c r="AH2019" s="4" t="n">
        <v>0</v>
      </c>
      <c r="AI2019" s="34" t="n"/>
      <c r="AJ2019" s="34" t="n">
        <v>0</v>
      </c>
      <c r="AK2019" s="2" t="n">
        <v>0</v>
      </c>
      <c r="AL2019" t="inlineStr">
        <is>
          <t>Published</t>
        </is>
      </c>
    </row>
    <row r="2020">
      <c r="A2020">
        <f>HYPERLINK("https://www.walmart.com/ip/729259105", "729259105")</f>
        <v/>
      </c>
      <c r="B2020">
        <f>HYPERLINK("https://app.optiwise.ai/catalog/itemdetails/362290", "Tirrinia Leggings for Women,Workout Yoga Leggings with High Waist, Tummy Control and 4-Way Stretch, Grey")</f>
        <v/>
      </c>
      <c r="C2020" t="inlineStr">
        <is>
          <t>1TRYP105GY-SM</t>
        </is>
      </c>
      <c r="D2020" t="inlineStr">
        <is>
          <t>Clothing</t>
        </is>
      </c>
      <c r="E2020" t="inlineStr">
        <is>
          <t>Leggings</t>
        </is>
      </c>
      <c r="F2020" t="inlineStr">
        <is>
          <t>Tirrinia</t>
        </is>
      </c>
      <c r="G2020" t="n">
        <v>0</v>
      </c>
      <c r="H2020" t="n">
        <v>0</v>
      </c>
      <c r="I2020" t="inlineStr">
        <is>
          <t>Optimized</t>
        </is>
      </c>
      <c r="J2020" s="29" t="n">
        <v>0</v>
      </c>
      <c r="K2020" s="30" t="n"/>
      <c r="L2020" s="29" t="n">
        <v>0</v>
      </c>
      <c r="M2020" s="29" t="n">
        <v>0</v>
      </c>
      <c r="N2020" s="2" t="n">
        <v>0</v>
      </c>
      <c r="O2020" s="31" t="n">
        <v>0</v>
      </c>
      <c r="P2020" s="32" t="n"/>
      <c r="Q2020" s="32" t="n">
        <v>0</v>
      </c>
      <c r="R2020" s="32" t="n">
        <v>0</v>
      </c>
      <c r="S2020" s="31" t="n">
        <v>0</v>
      </c>
      <c r="T2020" s="32" t="n">
        <v>0</v>
      </c>
      <c r="U2020" s="31" t="n">
        <v>0</v>
      </c>
      <c r="V2020" s="31" t="n">
        <v>0</v>
      </c>
      <c r="W2020" s="3" t="n">
        <v>0</v>
      </c>
      <c r="X2020" s="3" t="n">
        <v>0</v>
      </c>
      <c r="Y2020" s="32" t="n">
        <v>0</v>
      </c>
      <c r="Z2020" s="3" t="n">
        <v>0</v>
      </c>
      <c r="AA2020" s="32" t="n">
        <v>0</v>
      </c>
      <c r="AB2020" s="3" t="n"/>
      <c r="AC2020" s="31" t="n">
        <v>0</v>
      </c>
      <c r="AD2020" s="2" t="n">
        <v>0</v>
      </c>
      <c r="AE2020" s="2" t="n">
        <v>8</v>
      </c>
      <c r="AF2020" s="4" t="n">
        <v>8</v>
      </c>
      <c r="AG2020" s="33" t="n">
        <v>0</v>
      </c>
      <c r="AH2020" s="4" t="n">
        <v>0</v>
      </c>
      <c r="AI2020" s="34" t="n"/>
      <c r="AJ2020" s="34" t="n">
        <v>0</v>
      </c>
      <c r="AK2020" s="2" t="n">
        <v>0</v>
      </c>
      <c r="AL2020" t="inlineStr">
        <is>
          <t>Published</t>
        </is>
      </c>
    </row>
    <row r="2021">
      <c r="A2021">
        <f>HYPERLINK("https://www.walmart.com/ip/642206749", "642206749")</f>
        <v/>
      </c>
      <c r="B2021">
        <f>HYPERLINK("https://app.optiwise.ai/catalog/itemdetails/362289", "Waterproof Blanket, Pee Proof Couch Sofa Bed Protector Cover for Baby, Super Cozy Plush Fleece Warm Sherpa Lining Throws and Blankets for Boating Camping")</f>
        <v/>
      </c>
      <c r="C2021" t="inlineStr">
        <is>
          <t>1CTBW682BNTP</t>
        </is>
      </c>
      <c r="D2021" t="inlineStr">
        <is>
          <t>Bedding</t>
        </is>
      </c>
      <c r="E2021" t="inlineStr">
        <is>
          <t>Throws</t>
        </is>
      </c>
      <c r="F2021" t="inlineStr">
        <is>
          <t>Catalonia</t>
        </is>
      </c>
      <c r="G2021" t="n">
        <v>0</v>
      </c>
      <c r="H2021" t="n">
        <v>0</v>
      </c>
      <c r="I2021" t="inlineStr">
        <is>
          <t>Q2-Target,Optimized,Wproof Blanket,SEM</t>
        </is>
      </c>
      <c r="J2021" s="29" t="n">
        <v>0</v>
      </c>
      <c r="K2021" s="30" t="n"/>
      <c r="L2021" s="29" t="n">
        <v>0</v>
      </c>
      <c r="M2021" s="29" t="n">
        <v>0</v>
      </c>
      <c r="N2021" s="2" t="n">
        <v>0</v>
      </c>
      <c r="O2021" s="31" t="n">
        <v>0</v>
      </c>
      <c r="P2021" s="32" t="n"/>
      <c r="Q2021" s="32" t="n">
        <v>0</v>
      </c>
      <c r="R2021" s="32" t="n">
        <v>0</v>
      </c>
      <c r="S2021" s="31" t="n">
        <v>0</v>
      </c>
      <c r="T2021" s="32" t="n">
        <v>0</v>
      </c>
      <c r="U2021" s="31" t="n">
        <v>0</v>
      </c>
      <c r="V2021" s="31" t="n">
        <v>0</v>
      </c>
      <c r="W2021" s="3" t="n">
        <v>3</v>
      </c>
      <c r="X2021" s="3" t="n">
        <v>0</v>
      </c>
      <c r="Y2021" s="32" t="n">
        <v>0</v>
      </c>
      <c r="Z2021" s="3" t="n">
        <v>0</v>
      </c>
      <c r="AA2021" s="32" t="n">
        <v>0</v>
      </c>
      <c r="AB2021" s="3" t="inlineStr">
        <is>
          <t>Auto for BW Indoor</t>
        </is>
      </c>
      <c r="AC2021" s="31" t="n">
        <v>0</v>
      </c>
      <c r="AD2021" s="2" t="n">
        <v>0</v>
      </c>
      <c r="AE2021" s="2" t="n">
        <v>24</v>
      </c>
      <c r="AF2021" s="4" t="n">
        <v>24</v>
      </c>
      <c r="AG2021" s="33" t="n">
        <v>0</v>
      </c>
      <c r="AH2021" s="4" t="n">
        <v>0</v>
      </c>
      <c r="AI2021" s="34" t="n"/>
      <c r="AJ2021" s="34" t="n">
        <v>0</v>
      </c>
      <c r="AK2021" s="2" t="n">
        <v>0</v>
      </c>
      <c r="AL2021" t="inlineStr">
        <is>
          <t>Published</t>
        </is>
      </c>
    </row>
    <row r="2022">
      <c r="A2022">
        <f>HYPERLINK("https://www.walmart.com/ip/866962891", "866962891")</f>
        <v/>
      </c>
      <c r="B2022">
        <f>HYPERLINK("https://app.optiwise.ai/catalog/itemdetails/362288", "Napa Plush Throw Blanket Multicolor, 66x90 Twin, Striped Reversible Velvet Luxury Fleece Warm Bed Couch Blanket, Super Soft and Cozy")</f>
        <v/>
      </c>
      <c r="C2022" t="inlineStr">
        <is>
          <t>K8030TW-LTT</t>
        </is>
      </c>
      <c r="D2022" t="inlineStr">
        <is>
          <t>Bedding</t>
        </is>
      </c>
      <c r="E2022" t="inlineStr">
        <is>
          <t>Throws</t>
        </is>
      </c>
      <c r="F2022" t="inlineStr">
        <is>
          <t>NAPA</t>
        </is>
      </c>
      <c r="G2022" t="n">
        <v>4.3</v>
      </c>
      <c r="H2022" t="n">
        <v>6</v>
      </c>
      <c r="I2022" t="inlineStr">
        <is>
          <t>Q2-Target,Optimized</t>
        </is>
      </c>
      <c r="J2022" s="29" t="n">
        <v>0</v>
      </c>
      <c r="K2022" s="30" t="n"/>
      <c r="L2022" s="29" t="n">
        <v>0</v>
      </c>
      <c r="M2022" s="29" t="n">
        <v>0</v>
      </c>
      <c r="N2022" s="2" t="n">
        <v>0</v>
      </c>
      <c r="O2022" s="31" t="n">
        <v>0</v>
      </c>
      <c r="P2022" s="32" t="n"/>
      <c r="Q2022" s="32" t="n">
        <v>0</v>
      </c>
      <c r="R2022" s="32" t="n">
        <v>0</v>
      </c>
      <c r="S2022" s="31" t="n">
        <v>0</v>
      </c>
      <c r="T2022" s="32" t="n">
        <v>0</v>
      </c>
      <c r="U2022" s="31" t="n">
        <v>0</v>
      </c>
      <c r="V2022" s="31" t="n">
        <v>0</v>
      </c>
      <c r="W2022" s="3" t="n">
        <v>0</v>
      </c>
      <c r="X2022" s="3" t="n">
        <v>0</v>
      </c>
      <c r="Y2022" s="32" t="n">
        <v>0</v>
      </c>
      <c r="Z2022" s="3" t="n">
        <v>0</v>
      </c>
      <c r="AA2022" s="32" t="n">
        <v>0</v>
      </c>
      <c r="AB2022" s="3" t="n"/>
      <c r="AC2022" s="31" t="n">
        <v>0</v>
      </c>
      <c r="AD2022" s="2" t="n">
        <v>0</v>
      </c>
      <c r="AE2022" s="2" t="n">
        <v>6</v>
      </c>
      <c r="AF2022" s="4" t="n">
        <v>6</v>
      </c>
      <c r="AG2022" s="33" t="n">
        <v>0</v>
      </c>
      <c r="AH2022" s="4" t="n">
        <v>0</v>
      </c>
      <c r="AI2022" s="34" t="n"/>
      <c r="AJ2022" s="34" t="n">
        <v>0</v>
      </c>
      <c r="AK2022" s="2" t="n">
        <v>0</v>
      </c>
      <c r="AL2022" t="inlineStr">
        <is>
          <t>Published</t>
        </is>
      </c>
    </row>
    <row r="2023">
      <c r="A2023">
        <f>HYPERLINK("https://www.walmart.com/ip/328339956", "328339956")</f>
        <v/>
      </c>
      <c r="B2023">
        <f>HYPERLINK("https://app.optiwise.ai/catalog/itemdetails/362283", "Sherpa Fleece Throw Blanket for Kids,Super Soft Light Weight Reversible Fuzzy Snuggle Blanket for Camping Couch Bed All")</f>
        <v/>
      </c>
      <c r="C2023" t="inlineStr">
        <is>
          <t>1CTBF566BR</t>
        </is>
      </c>
      <c r="D2023" t="inlineStr">
        <is>
          <t>Bedding</t>
        </is>
      </c>
      <c r="E2023" t="inlineStr">
        <is>
          <t>Throws</t>
        </is>
      </c>
      <c r="F2023" t="inlineStr">
        <is>
          <t>Catalonia</t>
        </is>
      </c>
      <c r="G2023" t="n">
        <v>0</v>
      </c>
      <c r="H2023" t="n">
        <v>0</v>
      </c>
      <c r="I2023" t="inlineStr">
        <is>
          <t>Optimized,WFS,WFS Item</t>
        </is>
      </c>
      <c r="J2023" s="29" t="n">
        <v>0</v>
      </c>
      <c r="K2023" s="30" t="n"/>
      <c r="L2023" s="29" t="n">
        <v>0</v>
      </c>
      <c r="M2023" s="29" t="n">
        <v>0</v>
      </c>
      <c r="N2023" s="2" t="n">
        <v>0</v>
      </c>
      <c r="O2023" s="31" t="n">
        <v>0</v>
      </c>
      <c r="P2023" s="32" t="n"/>
      <c r="Q2023" s="32" t="n">
        <v>0</v>
      </c>
      <c r="R2023" s="32" t="n">
        <v>0</v>
      </c>
      <c r="S2023" s="31" t="n">
        <v>0</v>
      </c>
      <c r="T2023" s="32" t="n">
        <v>0</v>
      </c>
      <c r="U2023" s="31" t="n">
        <v>0</v>
      </c>
      <c r="V2023" s="31" t="n">
        <v>0</v>
      </c>
      <c r="W2023" s="3" t="n">
        <v>0</v>
      </c>
      <c r="X2023" s="3" t="n">
        <v>0</v>
      </c>
      <c r="Y2023" s="32" t="n">
        <v>0</v>
      </c>
      <c r="Z2023" s="3" t="n">
        <v>0</v>
      </c>
      <c r="AA2023" s="32" t="n">
        <v>0</v>
      </c>
      <c r="AB2023" s="3" t="n"/>
      <c r="AC2023" s="31" t="n">
        <v>0</v>
      </c>
      <c r="AD2023" s="2" t="n">
        <v>0</v>
      </c>
      <c r="AE2023" s="2" t="n">
        <v>19</v>
      </c>
      <c r="AF2023" s="4" t="n">
        <v>19</v>
      </c>
      <c r="AG2023" s="33" t="n">
        <v>0</v>
      </c>
      <c r="AH2023" s="4" t="n">
        <v>0</v>
      </c>
      <c r="AI2023" s="34" t="n"/>
      <c r="AJ2023" s="34" t="n">
        <v>0</v>
      </c>
      <c r="AK2023" s="2" t="n">
        <v>0</v>
      </c>
      <c r="AL2023" t="inlineStr">
        <is>
          <t>Published</t>
        </is>
      </c>
    </row>
    <row r="2024">
      <c r="A2024">
        <f>HYPERLINK("https://www.walmart.com/ip/109273590", "109273590")</f>
        <v/>
      </c>
      <c r="B2024">
        <f>HYPERLINK("https://app.optiwise.ai/catalog/itemdetails/362257", "Vina® Premium Bamboo Cutting Board – Medium 12 x 9 Kitchen Chopping board with")</f>
        <v/>
      </c>
      <c r="C2024" t="inlineStr">
        <is>
          <t>VINABCB05</t>
        </is>
      </c>
      <c r="D2024" t="inlineStr">
        <is>
          <t>Home Decor, Kitchen, &amp; Other</t>
        </is>
      </c>
      <c r="E2024" t="inlineStr">
        <is>
          <t>Cutting Boards &amp; Butcher Blocks</t>
        </is>
      </c>
      <c r="F2024" t="inlineStr">
        <is>
          <t>Vina</t>
        </is>
      </c>
      <c r="G2024" t="n">
        <v>0</v>
      </c>
      <c r="H2024" t="n">
        <v>0</v>
      </c>
      <c r="J2024" s="29" t="n">
        <v>0</v>
      </c>
      <c r="K2024" s="30" t="n"/>
      <c r="L2024" s="29" t="n">
        <v>0</v>
      </c>
      <c r="M2024" s="29" t="n">
        <v>0</v>
      </c>
      <c r="N2024" s="2" t="n">
        <v>0</v>
      </c>
      <c r="O2024" s="31" t="n">
        <v>0</v>
      </c>
      <c r="P2024" s="32" t="n"/>
      <c r="Q2024" s="32" t="n">
        <v>0</v>
      </c>
      <c r="R2024" s="32" t="n">
        <v>0</v>
      </c>
      <c r="S2024" s="31" t="n">
        <v>0</v>
      </c>
      <c r="T2024" s="32" t="n">
        <v>0</v>
      </c>
      <c r="U2024" s="31" t="n">
        <v>0</v>
      </c>
      <c r="V2024" s="31" t="n">
        <v>0</v>
      </c>
      <c r="W2024" s="3" t="n">
        <v>0</v>
      </c>
      <c r="X2024" s="3" t="n">
        <v>0</v>
      </c>
      <c r="Y2024" s="32" t="n">
        <v>0</v>
      </c>
      <c r="Z2024" s="3" t="n">
        <v>0</v>
      </c>
      <c r="AA2024" s="32" t="n">
        <v>0</v>
      </c>
      <c r="AB2024" s="3" t="n"/>
      <c r="AC2024" s="31" t="n">
        <v>0</v>
      </c>
      <c r="AD2024" s="2" t="n">
        <v>0</v>
      </c>
      <c r="AE2024" s="2" t="n">
        <v>0</v>
      </c>
      <c r="AF2024" s="4" t="n">
        <v>0</v>
      </c>
      <c r="AG2024" s="33" t="n">
        <v>0</v>
      </c>
      <c r="AH2024" s="4" t="n">
        <v>0</v>
      </c>
      <c r="AI2024" s="34" t="n"/>
      <c r="AJ2024" s="34" t="n">
        <v>0</v>
      </c>
      <c r="AK2024" s="2" t="n">
        <v>0</v>
      </c>
      <c r="AL2024" t="inlineStr">
        <is>
          <t>Published</t>
        </is>
      </c>
    </row>
    <row r="2025">
      <c r="A2025">
        <f>HYPERLINK("https://www.walmart.com/ip/990640353", "990640353")</f>
        <v/>
      </c>
      <c r="B2025">
        <f>HYPERLINK("https://app.optiwise.ai/catalog/itemdetails/362281", "Tirrina Unisex Outdoor Sun Protection Fishing Cap with Neck Flap Wide Brim Mesh Hat for Travel Camping Hiking Hunting")</f>
        <v/>
      </c>
      <c r="C2025" t="inlineStr">
        <is>
          <t>1TRSH9150DIGIGN-TBCB</t>
        </is>
      </c>
      <c r="D2025" t="inlineStr">
        <is>
          <t>Clothing</t>
        </is>
      </c>
      <c r="E2025" t="inlineStr">
        <is>
          <t>Hats</t>
        </is>
      </c>
      <c r="F2025" t="inlineStr">
        <is>
          <t>Tirrinia</t>
        </is>
      </c>
      <c r="G2025" t="n">
        <v>4.7</v>
      </c>
      <c r="H2025" t="n">
        <v>42</v>
      </c>
      <c r="I2025" t="inlineStr">
        <is>
          <t>Hats,ST Patrick Day</t>
        </is>
      </c>
      <c r="J2025" s="29" t="n">
        <v>0</v>
      </c>
      <c r="K2025" s="30" t="n"/>
      <c r="L2025" s="29" t="n">
        <v>0</v>
      </c>
      <c r="M2025" s="29" t="n">
        <v>0</v>
      </c>
      <c r="N2025" s="2" t="n">
        <v>0</v>
      </c>
      <c r="O2025" s="31" t="n">
        <v>0</v>
      </c>
      <c r="P2025" s="32" t="n"/>
      <c r="Q2025" s="32" t="n">
        <v>0</v>
      </c>
      <c r="R2025" s="32" t="n">
        <v>0.2885</v>
      </c>
      <c r="S2025" s="31" t="n">
        <v>0</v>
      </c>
      <c r="T2025" s="32" t="n">
        <v>0</v>
      </c>
      <c r="U2025" s="31" t="n">
        <v>0</v>
      </c>
      <c r="V2025" s="31" t="n">
        <v>0</v>
      </c>
      <c r="W2025" s="3" t="n">
        <v>0</v>
      </c>
      <c r="X2025" s="3" t="n">
        <v>0</v>
      </c>
      <c r="Y2025" s="32" t="n">
        <v>0</v>
      </c>
      <c r="Z2025" s="3" t="n">
        <v>0</v>
      </c>
      <c r="AA2025" s="32" t="n">
        <v>0</v>
      </c>
      <c r="AB2025" s="3" t="n"/>
      <c r="AC2025" s="31" t="n">
        <v>0</v>
      </c>
      <c r="AD2025" s="2" t="n">
        <v>0</v>
      </c>
      <c r="AE2025" s="2" t="n">
        <v>27</v>
      </c>
      <c r="AF2025" s="4" t="n">
        <v>27</v>
      </c>
      <c r="AG2025" s="33" t="n">
        <v>0</v>
      </c>
      <c r="AH2025" s="4" t="n">
        <v>0</v>
      </c>
      <c r="AI2025" s="34" t="n"/>
      <c r="AJ2025" s="34" t="n">
        <v>0</v>
      </c>
      <c r="AK2025" s="2" t="n">
        <v>0</v>
      </c>
      <c r="AL2025" t="inlineStr">
        <is>
          <t>Published</t>
        </is>
      </c>
    </row>
    <row r="2026">
      <c r="A2026">
        <f>HYPERLINK("https://www.walmart.com/ip/697880843", "697880843")</f>
        <v/>
      </c>
      <c r="B2026">
        <f>HYPERLINK("https://app.optiwise.ai/catalog/itemdetails/362277", "Napa Super Soft Velvet Plush Throw Blanket, Reversible Fuzzy Solid Blanket, All Season Bed Throw TV Blanket, Wine, 50'' x 70''")</f>
        <v/>
      </c>
      <c r="C2026" t="inlineStr">
        <is>
          <t>K8023WN</t>
        </is>
      </c>
      <c r="D2026" t="inlineStr">
        <is>
          <t>Bedding</t>
        </is>
      </c>
      <c r="E2026" t="inlineStr">
        <is>
          <t>Throws</t>
        </is>
      </c>
      <c r="F2026" t="inlineStr">
        <is>
          <t>NAPA</t>
        </is>
      </c>
      <c r="G2026" t="n">
        <v>5</v>
      </c>
      <c r="H2026" t="n">
        <v>2</v>
      </c>
      <c r="I2026" t="inlineStr">
        <is>
          <t>Optimized</t>
        </is>
      </c>
      <c r="J2026" s="29" t="n">
        <v>0</v>
      </c>
      <c r="K2026" s="30" t="n"/>
      <c r="L2026" s="29" t="n">
        <v>0</v>
      </c>
      <c r="M2026" s="29" t="n">
        <v>0</v>
      </c>
      <c r="N2026" s="2" t="n">
        <v>0</v>
      </c>
      <c r="O2026" s="31" t="n">
        <v>0</v>
      </c>
      <c r="P2026" s="32" t="n"/>
      <c r="Q2026" s="32" t="n">
        <v>0</v>
      </c>
      <c r="R2026" s="32" t="n">
        <v>0</v>
      </c>
      <c r="S2026" s="31" t="n">
        <v>0</v>
      </c>
      <c r="T2026" s="32" t="n">
        <v>0</v>
      </c>
      <c r="U2026" s="31" t="n">
        <v>0</v>
      </c>
      <c r="V2026" s="31" t="n">
        <v>0</v>
      </c>
      <c r="W2026" s="3" t="n">
        <v>0</v>
      </c>
      <c r="X2026" s="3" t="n">
        <v>0</v>
      </c>
      <c r="Y2026" s="32" t="n">
        <v>0</v>
      </c>
      <c r="Z2026" s="3" t="n">
        <v>0</v>
      </c>
      <c r="AA2026" s="32" t="n">
        <v>0</v>
      </c>
      <c r="AB2026" s="3" t="n"/>
      <c r="AC2026" s="31" t="n">
        <v>0</v>
      </c>
      <c r="AD2026" s="2" t="n">
        <v>0</v>
      </c>
      <c r="AE2026" s="2" t="n">
        <v>16</v>
      </c>
      <c r="AF2026" s="4" t="n">
        <v>16</v>
      </c>
      <c r="AG2026" s="33" t="n">
        <v>0</v>
      </c>
      <c r="AH2026" s="4" t="n">
        <v>0</v>
      </c>
      <c r="AI2026" s="34" t="n"/>
      <c r="AJ2026" s="34" t="n">
        <v>0</v>
      </c>
      <c r="AK2026" s="2" t="n">
        <v>0</v>
      </c>
      <c r="AL2026" t="inlineStr">
        <is>
          <t>Published</t>
        </is>
      </c>
    </row>
    <row r="2027">
      <c r="A2027">
        <f>HYPERLINK("https://www.walmart.com/ip/545152348", "545152348")</f>
        <v/>
      </c>
      <c r="B2027">
        <f>HYPERLINK("https://app.optiwise.ai/catalog/itemdetails/362275", "Catalonia Mermaid Tail Fleece Blanket, Mermaid Blankets for Beds, Super Soft Coral Plush Snuggle Sleeping Bag for Teen Girls, Green, 60'' x 21''")</f>
        <v/>
      </c>
      <c r="C2027" t="inlineStr">
        <is>
          <t>1CTMP100GN</t>
        </is>
      </c>
      <c r="D2027" t="inlineStr">
        <is>
          <t>Bedding</t>
        </is>
      </c>
      <c r="E2027" t="inlineStr">
        <is>
          <t>Mermaid Tails</t>
        </is>
      </c>
      <c r="F2027" t="inlineStr">
        <is>
          <t>Catalonia</t>
        </is>
      </c>
      <c r="G2027" t="n">
        <v>5</v>
      </c>
      <c r="H2027" t="n">
        <v>2</v>
      </c>
      <c r="I2027" t="inlineStr">
        <is>
          <t>Baby days,WFS,Coupon_Discount,WFS Item</t>
        </is>
      </c>
      <c r="J2027" s="29" t="n">
        <v>0</v>
      </c>
      <c r="K2027" s="30" t="n"/>
      <c r="L2027" s="29" t="n">
        <v>0</v>
      </c>
      <c r="M2027" s="29" t="n">
        <v>0</v>
      </c>
      <c r="N2027" s="2" t="n">
        <v>0</v>
      </c>
      <c r="O2027" s="31" t="n">
        <v>0</v>
      </c>
      <c r="P2027" s="32" t="n"/>
      <c r="Q2027" s="32" t="n">
        <v>0</v>
      </c>
      <c r="R2027" s="32" t="n">
        <v>0</v>
      </c>
      <c r="S2027" s="31" t="n">
        <v>0</v>
      </c>
      <c r="T2027" s="32" t="n">
        <v>0</v>
      </c>
      <c r="U2027" s="31" t="n">
        <v>0</v>
      </c>
      <c r="V2027" s="31" t="n">
        <v>0</v>
      </c>
      <c r="W2027" s="3" t="n">
        <v>0</v>
      </c>
      <c r="X2027" s="3" t="n">
        <v>0</v>
      </c>
      <c r="Y2027" s="32" t="n">
        <v>0</v>
      </c>
      <c r="Z2027" s="3" t="n">
        <v>0</v>
      </c>
      <c r="AA2027" s="32" t="n">
        <v>0</v>
      </c>
      <c r="AB2027" s="3" t="n"/>
      <c r="AC2027" s="31" t="n">
        <v>0</v>
      </c>
      <c r="AD2027" s="2" t="n">
        <v>0</v>
      </c>
      <c r="AE2027" s="2" t="n">
        <v>53</v>
      </c>
      <c r="AF2027" s="4" t="n">
        <v>53</v>
      </c>
      <c r="AG2027" s="33" t="n">
        <v>0</v>
      </c>
      <c r="AH2027" s="4" t="n">
        <v>0</v>
      </c>
      <c r="AI2027" s="34" t="n"/>
      <c r="AJ2027" s="34" t="n">
        <v>0</v>
      </c>
      <c r="AK2027" s="2" t="n">
        <v>0</v>
      </c>
      <c r="AL2027" t="inlineStr">
        <is>
          <t>Published</t>
        </is>
      </c>
    </row>
    <row r="2028">
      <c r="A2028">
        <f>HYPERLINK("https://www.walmart.com/ip/915647808", "915647808")</f>
        <v/>
      </c>
      <c r="B2028">
        <f>HYPERLINK("https://app.optiwise.ai/catalog/itemdetails/362271", "Wearable Fleece Blanket with Sleeves for Adult Women Men, Super Soft Comfy Plush TV Blanket Throw Wrap Cover for Lounge Couch Reading Watching TV 73 x 51 Latte/Beige")</f>
        <v/>
      </c>
      <c r="C2028" t="inlineStr">
        <is>
          <t>1TRSN100LT</t>
        </is>
      </c>
      <c r="D2028" t="inlineStr">
        <is>
          <t>Bedding</t>
        </is>
      </c>
      <c r="E2028" t="inlineStr">
        <is>
          <t>Throws</t>
        </is>
      </c>
      <c r="F2028" t="inlineStr">
        <is>
          <t>Tirrinia</t>
        </is>
      </c>
      <c r="G2028" t="n">
        <v>4</v>
      </c>
      <c r="H2028" t="n">
        <v>2</v>
      </c>
      <c r="I2028" t="inlineStr">
        <is>
          <t>WFS,WFS Item,Fleece Blankets</t>
        </is>
      </c>
      <c r="J2028" s="29" t="n">
        <v>0</v>
      </c>
      <c r="K2028" s="30" t="n"/>
      <c r="L2028" s="29" t="n">
        <v>0</v>
      </c>
      <c r="M2028" s="29" t="n">
        <v>0</v>
      </c>
      <c r="N2028" s="2" t="n">
        <v>0</v>
      </c>
      <c r="O2028" s="31" t="n">
        <v>0</v>
      </c>
      <c r="P2028" s="32" t="n"/>
      <c r="Q2028" s="32" t="n">
        <v>0</v>
      </c>
      <c r="R2028" s="32" t="n">
        <v>0</v>
      </c>
      <c r="S2028" s="31" t="n">
        <v>0</v>
      </c>
      <c r="T2028" s="32" t="n">
        <v>0</v>
      </c>
      <c r="U2028" s="31" t="n">
        <v>0</v>
      </c>
      <c r="V2028" s="31" t="n">
        <v>0</v>
      </c>
      <c r="W2028" s="3" t="n">
        <v>0</v>
      </c>
      <c r="X2028" s="3" t="n">
        <v>0</v>
      </c>
      <c r="Y2028" s="32" t="n">
        <v>0</v>
      </c>
      <c r="Z2028" s="3" t="n">
        <v>0</v>
      </c>
      <c r="AA2028" s="32" t="n">
        <v>0</v>
      </c>
      <c r="AB2028" s="3" t="n"/>
      <c r="AC2028" s="31" t="n">
        <v>0</v>
      </c>
      <c r="AD2028" s="2" t="n">
        <v>0</v>
      </c>
      <c r="AE2028" s="2" t="n">
        <v>10</v>
      </c>
      <c r="AF2028" s="4" t="n">
        <v>10</v>
      </c>
      <c r="AG2028" s="33" t="n">
        <v>0</v>
      </c>
      <c r="AH2028" s="4" t="n">
        <v>0</v>
      </c>
      <c r="AI2028" s="34" t="n"/>
      <c r="AJ2028" s="34" t="n">
        <v>0</v>
      </c>
      <c r="AK2028" s="2" t="n">
        <v>0</v>
      </c>
      <c r="AL2028" t="inlineStr">
        <is>
          <t>Published</t>
        </is>
      </c>
    </row>
    <row r="2029">
      <c r="A2029">
        <f>HYPERLINK("https://www.walmart.com/ip/128287456", "128287456")</f>
        <v/>
      </c>
      <c r="B2029">
        <f>HYPERLINK("https://app.optiwise.ai/catalog/itemdetails/362270", "Jenniwears Lingerie For Women Lace Chemise Translucent Babydoll Sleepwear Strappy Dress With G-String")</f>
        <v/>
      </c>
      <c r="C2029" t="inlineStr">
        <is>
          <t>JWND03PP</t>
        </is>
      </c>
      <c r="D2029" t="inlineStr">
        <is>
          <t>Clothing</t>
        </is>
      </c>
      <c r="E2029" t="inlineStr">
        <is>
          <t>Lingerie Sets</t>
        </is>
      </c>
      <c r="F2029" t="inlineStr">
        <is>
          <t>JenniWears</t>
        </is>
      </c>
      <c r="G2029" t="n">
        <v>0</v>
      </c>
      <c r="H2029" t="n">
        <v>0</v>
      </c>
      <c r="I2029" t="inlineStr">
        <is>
          <t>Optimized,Valentine</t>
        </is>
      </c>
      <c r="J2029" s="29" t="n">
        <v>0</v>
      </c>
      <c r="K2029" s="30" t="n"/>
      <c r="L2029" s="29" t="n">
        <v>0</v>
      </c>
      <c r="M2029" s="29" t="n">
        <v>0</v>
      </c>
      <c r="N2029" s="2" t="n">
        <v>0</v>
      </c>
      <c r="O2029" s="31" t="n">
        <v>0</v>
      </c>
      <c r="P2029" s="32" t="n"/>
      <c r="Q2029" s="32" t="n">
        <v>0</v>
      </c>
      <c r="R2029" s="32" t="n">
        <v>0</v>
      </c>
      <c r="S2029" s="31" t="n">
        <v>0</v>
      </c>
      <c r="T2029" s="32" t="n">
        <v>0</v>
      </c>
      <c r="U2029" s="31" t="n">
        <v>0</v>
      </c>
      <c r="V2029" s="31" t="n">
        <v>0</v>
      </c>
      <c r="W2029" s="3" t="n">
        <v>0</v>
      </c>
      <c r="X2029" s="3" t="n">
        <v>0</v>
      </c>
      <c r="Y2029" s="32" t="n">
        <v>0</v>
      </c>
      <c r="Z2029" s="3" t="n">
        <v>0</v>
      </c>
      <c r="AA2029" s="32" t="n">
        <v>0</v>
      </c>
      <c r="AB2029" s="3" t="n"/>
      <c r="AC2029" s="31" t="n">
        <v>0</v>
      </c>
      <c r="AD2029" s="2" t="n">
        <v>0</v>
      </c>
      <c r="AE2029" s="2" t="n">
        <v>4</v>
      </c>
      <c r="AF2029" s="4" t="n">
        <v>4</v>
      </c>
      <c r="AG2029" s="33" t="n">
        <v>0</v>
      </c>
      <c r="AH2029" s="4" t="n">
        <v>0</v>
      </c>
      <c r="AI2029" s="34" t="n"/>
      <c r="AJ2029" s="34" t="n">
        <v>0</v>
      </c>
      <c r="AK2029" s="2" t="n">
        <v>0</v>
      </c>
      <c r="AL2029" t="inlineStr">
        <is>
          <t>Published</t>
        </is>
      </c>
    </row>
    <row r="2030">
      <c r="A2030">
        <f>HYPERLINK("https://www.walmart.com/ip/146084848", "146084848")</f>
        <v/>
      </c>
      <c r="B2030">
        <f>HYPERLINK("https://app.optiwise.ai/catalog/itemdetails/362267", "KC Caps Race Collection Caps Navy with Flame Flare Graphics")</f>
        <v/>
      </c>
      <c r="C2030" t="inlineStr">
        <is>
          <t>KC-HR06</t>
        </is>
      </c>
      <c r="D2030" t="inlineStr">
        <is>
          <t>Clothing</t>
        </is>
      </c>
      <c r="E2030" t="inlineStr">
        <is>
          <t>Hats</t>
        </is>
      </c>
      <c r="F2030" t="inlineStr">
        <is>
          <t>KC Caps</t>
        </is>
      </c>
      <c r="G2030" t="n">
        <v>0</v>
      </c>
      <c r="H2030" t="n">
        <v>0</v>
      </c>
      <c r="I2030" t="inlineStr">
        <is>
          <t>Optimized</t>
        </is>
      </c>
      <c r="J2030" s="29" t="n">
        <v>0</v>
      </c>
      <c r="K2030" s="30" t="n"/>
      <c r="L2030" s="29" t="n">
        <v>0</v>
      </c>
      <c r="M2030" s="29" t="n">
        <v>0</v>
      </c>
      <c r="N2030" s="2" t="n">
        <v>0</v>
      </c>
      <c r="O2030" s="31" t="n">
        <v>0</v>
      </c>
      <c r="P2030" s="32" t="n"/>
      <c r="Q2030" s="32" t="n">
        <v>0</v>
      </c>
      <c r="R2030" s="32" t="n">
        <v>0</v>
      </c>
      <c r="S2030" s="31" t="n">
        <v>0</v>
      </c>
      <c r="T2030" s="32" t="n">
        <v>0</v>
      </c>
      <c r="U2030" s="31" t="n">
        <v>0</v>
      </c>
      <c r="V2030" s="31" t="n">
        <v>0</v>
      </c>
      <c r="W2030" s="3" t="n">
        <v>0</v>
      </c>
      <c r="X2030" s="3" t="n">
        <v>0</v>
      </c>
      <c r="Y2030" s="32" t="n">
        <v>0</v>
      </c>
      <c r="Z2030" s="3" t="n">
        <v>0</v>
      </c>
      <c r="AA2030" s="32" t="n">
        <v>0</v>
      </c>
      <c r="AB2030" s="3" t="n"/>
      <c r="AC2030" s="31" t="n">
        <v>0</v>
      </c>
      <c r="AD2030" s="2" t="n">
        <v>0</v>
      </c>
      <c r="AE2030" s="2" t="n">
        <v>0</v>
      </c>
      <c r="AF2030" s="4" t="n">
        <v>0</v>
      </c>
      <c r="AG2030" s="33" t="n">
        <v>0</v>
      </c>
      <c r="AH2030" s="4" t="n">
        <v>0</v>
      </c>
      <c r="AI2030" s="34" t="n"/>
      <c r="AJ2030" s="34" t="n">
        <v>0</v>
      </c>
      <c r="AK2030" s="2" t="n">
        <v>0</v>
      </c>
      <c r="AL2030" t="inlineStr">
        <is>
          <t>Published</t>
        </is>
      </c>
    </row>
    <row r="2031">
      <c r="A2031">
        <f>HYPERLINK("https://www.walmart.com/ip/816638440", "816638440")</f>
        <v/>
      </c>
      <c r="B2031">
        <f>HYPERLINK("https://app.optiwise.ai/catalog/itemdetails/362264", "Ski Gloves for Women &amp; Men 3M Winter Snow Gloves Mittens Insulation Waterproof for Outdoors Sports")</f>
        <v/>
      </c>
      <c r="C2031" t="inlineStr">
        <is>
          <t>1SLWG100BLL</t>
        </is>
      </c>
      <c r="D2031" t="inlineStr">
        <is>
          <t>Clothing</t>
        </is>
      </c>
      <c r="E2031" t="inlineStr">
        <is>
          <t>Gloves &amp; Mittens</t>
        </is>
      </c>
      <c r="F2031" t="inlineStr">
        <is>
          <t>Solaris</t>
        </is>
      </c>
      <c r="G2031" t="n">
        <v>0</v>
      </c>
      <c r="H2031" t="n">
        <v>0</v>
      </c>
      <c r="J2031" s="29" t="n">
        <v>0</v>
      </c>
      <c r="K2031" s="30" t="n"/>
      <c r="L2031" s="29" t="n">
        <v>0</v>
      </c>
      <c r="M2031" s="29" t="n">
        <v>0</v>
      </c>
      <c r="N2031" s="2" t="n">
        <v>0</v>
      </c>
      <c r="O2031" s="31" t="n">
        <v>0</v>
      </c>
      <c r="P2031" s="32" t="n"/>
      <c r="Q2031" s="32" t="n">
        <v>0</v>
      </c>
      <c r="R2031" s="32" t="n">
        <v>0</v>
      </c>
      <c r="S2031" s="31" t="n">
        <v>0</v>
      </c>
      <c r="T2031" s="32" t="n">
        <v>0</v>
      </c>
      <c r="U2031" s="31" t="n">
        <v>0</v>
      </c>
      <c r="V2031" s="31" t="n">
        <v>0</v>
      </c>
      <c r="W2031" s="3" t="n">
        <v>0</v>
      </c>
      <c r="X2031" s="3" t="n">
        <v>0</v>
      </c>
      <c r="Y2031" s="32" t="n">
        <v>0</v>
      </c>
      <c r="Z2031" s="3" t="n">
        <v>0</v>
      </c>
      <c r="AA2031" s="32" t="n">
        <v>0</v>
      </c>
      <c r="AB2031" s="3" t="n"/>
      <c r="AC2031" s="31" t="n">
        <v>0</v>
      </c>
      <c r="AD2031" s="2" t="n">
        <v>0</v>
      </c>
      <c r="AE2031" s="2" t="n">
        <v>2</v>
      </c>
      <c r="AF2031" s="4" t="n">
        <v>2</v>
      </c>
      <c r="AG2031" s="33" t="n">
        <v>0</v>
      </c>
      <c r="AH2031" s="4" t="n">
        <v>0</v>
      </c>
      <c r="AI2031" s="34" t="n"/>
      <c r="AJ2031" s="34" t="n">
        <v>0</v>
      </c>
      <c r="AK2031" s="2" t="n">
        <v>0</v>
      </c>
      <c r="AL2031" t="inlineStr">
        <is>
          <t>Published</t>
        </is>
      </c>
    </row>
    <row r="2032">
      <c r="A2032">
        <f>HYPERLINK("https://www.walmart.com/ip/748854832", "748854832")</f>
        <v/>
      </c>
      <c r="B2032">
        <f>HYPERLINK("https://app.optiwise.ai/catalog/itemdetails/362263", "Napa Plush Throw Blanket Dark Blue, 108x90 King, Striped Reversible Velvet Luxury Fleece Warm Bed Couch Blanket, Super Soft and Cozy")</f>
        <v/>
      </c>
      <c r="C2032" t="inlineStr">
        <is>
          <t>K8030KI-LTT</t>
        </is>
      </c>
      <c r="D2032" t="inlineStr">
        <is>
          <t>Bedding</t>
        </is>
      </c>
      <c r="E2032" t="inlineStr">
        <is>
          <t>Throws</t>
        </is>
      </c>
      <c r="F2032" t="inlineStr">
        <is>
          <t>NAPA</t>
        </is>
      </c>
      <c r="G2032" t="n">
        <v>0</v>
      </c>
      <c r="H2032" t="n">
        <v>0</v>
      </c>
      <c r="I2032" t="inlineStr">
        <is>
          <t>Optimized</t>
        </is>
      </c>
      <c r="J2032" s="29" t="n">
        <v>0</v>
      </c>
      <c r="K2032" s="30" t="n"/>
      <c r="L2032" s="29" t="n">
        <v>0</v>
      </c>
      <c r="M2032" s="29" t="n">
        <v>0</v>
      </c>
      <c r="N2032" s="2" t="n">
        <v>0</v>
      </c>
      <c r="O2032" s="31" t="n">
        <v>0</v>
      </c>
      <c r="P2032" s="32" t="n"/>
      <c r="Q2032" s="32" t="n">
        <v>0</v>
      </c>
      <c r="R2032" s="32" t="n">
        <v>0</v>
      </c>
      <c r="S2032" s="31" t="n">
        <v>0</v>
      </c>
      <c r="T2032" s="32" t="n">
        <v>0</v>
      </c>
      <c r="U2032" s="31" t="n">
        <v>0</v>
      </c>
      <c r="V2032" s="31" t="n">
        <v>0</v>
      </c>
      <c r="W2032" s="3" t="n">
        <v>0</v>
      </c>
      <c r="X2032" s="3" t="n">
        <v>0</v>
      </c>
      <c r="Y2032" s="32" t="n">
        <v>0</v>
      </c>
      <c r="Z2032" s="3" t="n">
        <v>0</v>
      </c>
      <c r="AA2032" s="32" t="n">
        <v>0</v>
      </c>
      <c r="AB2032" s="3" t="n"/>
      <c r="AC2032" s="31" t="n">
        <v>0</v>
      </c>
      <c r="AD2032" s="2" t="n">
        <v>0</v>
      </c>
      <c r="AE2032" s="2" t="n">
        <v>4</v>
      </c>
      <c r="AF2032" s="4" t="n">
        <v>4</v>
      </c>
      <c r="AG2032" s="33" t="n">
        <v>0</v>
      </c>
      <c r="AH2032" s="4" t="n">
        <v>0</v>
      </c>
      <c r="AI2032" s="34" t="n"/>
      <c r="AJ2032" s="34" t="n">
        <v>0</v>
      </c>
      <c r="AK2032" s="2" t="n">
        <v>0</v>
      </c>
      <c r="AL2032" t="inlineStr">
        <is>
          <t>Published</t>
        </is>
      </c>
    </row>
    <row r="2033">
      <c r="A2033">
        <f>HYPERLINK("https://www.walmart.com/ip/144430959", "144430959")</f>
        <v/>
      </c>
      <c r="B2033">
        <f>HYPERLINK("https://app.optiwise.ai/catalog/itemdetails/362261", "Orange Adjustable Embroidery Cap Sports baseball Hat personalized Unisex Hat")</f>
        <v/>
      </c>
      <c r="C2033" t="inlineStr">
        <is>
          <t>ht22-Neonquail</t>
        </is>
      </c>
      <c r="D2033" t="inlineStr">
        <is>
          <t>Clothing</t>
        </is>
      </c>
      <c r="E2033" t="inlineStr">
        <is>
          <t>Hats</t>
        </is>
      </c>
      <c r="F2033" t="inlineStr">
        <is>
          <t>Tirrinia</t>
        </is>
      </c>
      <c r="G2033" t="n">
        <v>3.6</v>
      </c>
      <c r="H2033" t="n">
        <v>5</v>
      </c>
      <c r="I2033" t="inlineStr">
        <is>
          <t>WFS,WFS Item</t>
        </is>
      </c>
      <c r="J2033" s="29" t="n">
        <v>0</v>
      </c>
      <c r="K2033" s="30" t="n"/>
      <c r="L2033" s="29" t="n">
        <v>0</v>
      </c>
      <c r="M2033" s="29" t="n">
        <v>0</v>
      </c>
      <c r="N2033" s="2" t="n">
        <v>0</v>
      </c>
      <c r="O2033" s="31" t="n">
        <v>0</v>
      </c>
      <c r="P2033" s="32" t="n"/>
      <c r="Q2033" s="32" t="n">
        <v>0</v>
      </c>
      <c r="R2033" s="32" t="n">
        <v>0</v>
      </c>
      <c r="S2033" s="31" t="n">
        <v>0</v>
      </c>
      <c r="T2033" s="32" t="n">
        <v>0</v>
      </c>
      <c r="U2033" s="31" t="n">
        <v>0</v>
      </c>
      <c r="V2033" s="31" t="n">
        <v>0</v>
      </c>
      <c r="W2033" s="3" t="n">
        <v>0</v>
      </c>
      <c r="X2033" s="3" t="n">
        <v>0</v>
      </c>
      <c r="Y2033" s="32" t="n">
        <v>0</v>
      </c>
      <c r="Z2033" s="3" t="n">
        <v>0</v>
      </c>
      <c r="AA2033" s="32" t="n">
        <v>0</v>
      </c>
      <c r="AB2033" s="3" t="n"/>
      <c r="AC2033" s="31" t="n">
        <v>0</v>
      </c>
      <c r="AD2033" s="2" t="n">
        <v>0</v>
      </c>
      <c r="AE2033" s="2" t="n">
        <v>27</v>
      </c>
      <c r="AF2033" s="4" t="n">
        <v>27</v>
      </c>
      <c r="AG2033" s="33" t="n">
        <v>0</v>
      </c>
      <c r="AH2033" s="4" t="n">
        <v>0</v>
      </c>
      <c r="AI2033" s="34" t="n"/>
      <c r="AJ2033" s="34" t="n">
        <v>0</v>
      </c>
      <c r="AK2033" s="2" t="n">
        <v>0</v>
      </c>
      <c r="AL2033" t="inlineStr">
        <is>
          <t>Published</t>
        </is>
      </c>
    </row>
    <row r="2034">
      <c r="A2034">
        <f>HYPERLINK("https://www.walmart.com/ip/938876883", "938876883")</f>
        <v/>
      </c>
      <c r="B2034">
        <f>HYPERLINK("https://app.optiwise.ai/catalog/itemdetails/362259", "Pawsse Waterproof Dog Blanket, Super Soft Warm Sherpa Fleece Plush Pet Blankets and Throws for Small, Medium, and Large Dogs and Cats")</f>
        <v/>
      </c>
      <c r="C2034" t="inlineStr">
        <is>
          <t>1PSBF301GN</t>
        </is>
      </c>
      <c r="D2034" t="inlineStr">
        <is>
          <t>Animal Accessories</t>
        </is>
      </c>
      <c r="E2034" t="inlineStr">
        <is>
          <t>Pet Blankets</t>
        </is>
      </c>
      <c r="F2034" t="inlineStr">
        <is>
          <t>Pawsse</t>
        </is>
      </c>
      <c r="G2034" t="n">
        <v>0</v>
      </c>
      <c r="H2034" t="n">
        <v>0</v>
      </c>
      <c r="I2034" t="inlineStr">
        <is>
          <t>WFS,Coupon_Discount,WFS Item</t>
        </is>
      </c>
      <c r="J2034" s="29" t="n">
        <v>0</v>
      </c>
      <c r="K2034" s="30" t="n"/>
      <c r="L2034" s="29" t="n">
        <v>0</v>
      </c>
      <c r="M2034" s="29" t="n">
        <v>0</v>
      </c>
      <c r="N2034" s="2" t="n">
        <v>0</v>
      </c>
      <c r="O2034" s="31" t="n">
        <v>0</v>
      </c>
      <c r="P2034" s="32" t="n"/>
      <c r="Q2034" s="32" t="n">
        <v>0</v>
      </c>
      <c r="R2034" s="32" t="n">
        <v>0</v>
      </c>
      <c r="S2034" s="31" t="n">
        <v>0</v>
      </c>
      <c r="T2034" s="32" t="n">
        <v>0</v>
      </c>
      <c r="U2034" s="31" t="n">
        <v>0</v>
      </c>
      <c r="V2034" s="31" t="n">
        <v>0</v>
      </c>
      <c r="W2034" s="3" t="n">
        <v>0</v>
      </c>
      <c r="X2034" s="3" t="n">
        <v>0</v>
      </c>
      <c r="Y2034" s="32" t="n">
        <v>0</v>
      </c>
      <c r="Z2034" s="3" t="n">
        <v>0</v>
      </c>
      <c r="AA2034" s="32" t="n">
        <v>0</v>
      </c>
      <c r="AB2034" s="3" t="n"/>
      <c r="AC2034" s="31" t="n">
        <v>0</v>
      </c>
      <c r="AD2034" s="2" t="n">
        <v>0</v>
      </c>
      <c r="AE2034" s="2" t="n">
        <v>8</v>
      </c>
      <c r="AF2034" s="4" t="n">
        <v>8</v>
      </c>
      <c r="AG2034" s="33" t="n">
        <v>0</v>
      </c>
      <c r="AH2034" s="4" t="n">
        <v>0</v>
      </c>
      <c r="AI2034" s="34" t="n"/>
      <c r="AJ2034" s="34" t="n">
        <v>0</v>
      </c>
      <c r="AK2034" s="2" t="n">
        <v>0</v>
      </c>
      <c r="AL2034" t="inlineStr">
        <is>
          <t>Published</t>
        </is>
      </c>
    </row>
    <row r="2035">
      <c r="A2035">
        <f>HYPERLINK("https://www.walmart.com/ip/126315308", "126315308")</f>
        <v/>
      </c>
      <c r="B2035">
        <f>HYPERLINK("https://app.optiwise.ai/catalog/itemdetails/362258", "Terra Faux Fur Pom Pom Beanie Hat Slouchy Solid Plain Knit Unisex Stretches to Fit Most")</f>
        <v/>
      </c>
      <c r="C2035" t="inlineStr">
        <is>
          <t>TERRAPPH03WT</t>
        </is>
      </c>
      <c r="D2035" t="inlineStr">
        <is>
          <t>Clothing</t>
        </is>
      </c>
      <c r="E2035" t="inlineStr">
        <is>
          <t>Hats</t>
        </is>
      </c>
      <c r="F2035" t="inlineStr">
        <is>
          <t>Terra</t>
        </is>
      </c>
      <c r="G2035" t="n">
        <v>2</v>
      </c>
      <c r="H2035" t="n">
        <v>1</v>
      </c>
      <c r="I2035" t="inlineStr">
        <is>
          <t>Batch 1 - TR</t>
        </is>
      </c>
      <c r="J2035" s="29" t="n">
        <v>0</v>
      </c>
      <c r="K2035" s="30" t="n"/>
      <c r="L2035" s="29" t="n">
        <v>0</v>
      </c>
      <c r="M2035" s="29" t="n">
        <v>0</v>
      </c>
      <c r="N2035" s="2" t="n">
        <v>0</v>
      </c>
      <c r="O2035" s="31" t="n">
        <v>0</v>
      </c>
      <c r="P2035" s="32" t="n"/>
      <c r="Q2035" s="32" t="n">
        <v>0</v>
      </c>
      <c r="R2035" s="32" t="n">
        <v>0</v>
      </c>
      <c r="S2035" s="31" t="n">
        <v>0</v>
      </c>
      <c r="T2035" s="32" t="n">
        <v>0</v>
      </c>
      <c r="U2035" s="31" t="n">
        <v>0</v>
      </c>
      <c r="V2035" s="31" t="n">
        <v>0</v>
      </c>
      <c r="W2035" s="3" t="n">
        <v>0</v>
      </c>
      <c r="X2035" s="3" t="n">
        <v>0</v>
      </c>
      <c r="Y2035" s="32" t="n">
        <v>0</v>
      </c>
      <c r="Z2035" s="3" t="n">
        <v>0</v>
      </c>
      <c r="AA2035" s="32" t="n">
        <v>0</v>
      </c>
      <c r="AB2035" s="3" t="n"/>
      <c r="AC2035" s="31" t="n">
        <v>0</v>
      </c>
      <c r="AD2035" s="2" t="n">
        <v>0</v>
      </c>
      <c r="AE2035" s="2" t="n">
        <v>2</v>
      </c>
      <c r="AF2035" s="4" t="n">
        <v>2</v>
      </c>
      <c r="AG2035" s="33" t="n">
        <v>0</v>
      </c>
      <c r="AH2035" s="4" t="n">
        <v>0</v>
      </c>
      <c r="AI2035" s="34" t="n"/>
      <c r="AJ2035" s="34" t="n">
        <v>0</v>
      </c>
      <c r="AK2035" s="2" t="n">
        <v>0</v>
      </c>
      <c r="AL2035" t="inlineStr">
        <is>
          <t>Published</t>
        </is>
      </c>
    </row>
    <row r="2036">
      <c r="A2036">
        <f>HYPERLINK("https://www.walmart.com/ip/554846099", "554846099")</f>
        <v/>
      </c>
      <c r="B2036">
        <f>HYPERLINK("https://app.optiwise.ai/catalog/itemdetails/362534", "Wine Tote Bag with Hidden Dispenser, Insulated Large Wine Carrying Carrier Set with Wine Bladder, Perfect Wine Gift for Byob, Movie Theater, Concert, Sport Events, Pool &amp; Beach")</f>
        <v/>
      </c>
      <c r="C2036" t="inlineStr">
        <is>
          <t>1TRWT100GY</t>
        </is>
      </c>
      <c r="D2036" t="inlineStr">
        <is>
          <t>Home Decor, Kitchen, &amp; Other</t>
        </is>
      </c>
      <c r="E2036" t="inlineStr">
        <is>
          <t>Wine Totes, Bags &amp; Backpacks</t>
        </is>
      </c>
      <c r="F2036" t="inlineStr">
        <is>
          <t>Tirrinia</t>
        </is>
      </c>
      <c r="G2036" t="n">
        <v>1</v>
      </c>
      <c r="H2036" t="n">
        <v>1</v>
      </c>
      <c r="I2036" t="inlineStr">
        <is>
          <t>Wine,Optimized,Wine WFS</t>
        </is>
      </c>
      <c r="J2036" s="29" t="n">
        <v>0</v>
      </c>
      <c r="K2036" s="30" t="n"/>
      <c r="L2036" s="29" t="n">
        <v>0</v>
      </c>
      <c r="M2036" s="29" t="n">
        <v>0</v>
      </c>
      <c r="N2036" s="2" t="n">
        <v>0</v>
      </c>
      <c r="O2036" s="31" t="n">
        <v>0</v>
      </c>
      <c r="P2036" s="32" t="n"/>
      <c r="Q2036" s="32" t="n">
        <v>0</v>
      </c>
      <c r="R2036" s="32" t="n">
        <v>0</v>
      </c>
      <c r="S2036" s="31" t="n">
        <v>0</v>
      </c>
      <c r="T2036" s="32" t="n">
        <v>0</v>
      </c>
      <c r="U2036" s="31" t="n">
        <v>0</v>
      </c>
      <c r="V2036" s="31" t="n">
        <v>0</v>
      </c>
      <c r="W2036" s="3" t="n">
        <v>0</v>
      </c>
      <c r="X2036" s="3" t="n">
        <v>0</v>
      </c>
      <c r="Y2036" s="32" t="n">
        <v>0</v>
      </c>
      <c r="Z2036" s="3" t="n">
        <v>0</v>
      </c>
      <c r="AA2036" s="32" t="n">
        <v>0</v>
      </c>
      <c r="AB2036" s="3" t="n"/>
      <c r="AC2036" s="31" t="n">
        <v>0</v>
      </c>
      <c r="AD2036" s="2" t="n">
        <v>0</v>
      </c>
      <c r="AE2036" s="2" t="n">
        <v>54</v>
      </c>
      <c r="AF2036" s="4" t="n">
        <v>54</v>
      </c>
      <c r="AG2036" s="33" t="n">
        <v>0</v>
      </c>
      <c r="AH2036" s="4" t="n">
        <v>0</v>
      </c>
      <c r="AI2036" s="34" t="n"/>
      <c r="AJ2036" s="34" t="n">
        <v>0</v>
      </c>
      <c r="AK2036" s="2" t="n">
        <v>0</v>
      </c>
      <c r="AL2036" t="inlineStr">
        <is>
          <t>Published</t>
        </is>
      </c>
    </row>
    <row r="2037">
      <c r="A2037">
        <f>HYPERLINK("https://www.walmart.com/ip/490918008", "490918008")</f>
        <v/>
      </c>
      <c r="B2037">
        <f>HYPERLINK("https://app.optiwise.ai/catalog/itemdetails/362542", "Tirrinia Unisex Surf Poncho Changing Towel Robe for Adult Surfer Swimmer Outdoor Beach")</f>
        <v/>
      </c>
      <c r="C2037" t="inlineStr">
        <is>
          <t>1TRBR100-GL</t>
        </is>
      </c>
      <c r="D2037" t="inlineStr">
        <is>
          <t>Clothing</t>
        </is>
      </c>
      <c r="E2037" t="inlineStr">
        <is>
          <t>Towels &amp; Washcloths</t>
        </is>
      </c>
      <c r="F2037" t="inlineStr">
        <is>
          <t>Tirrinia</t>
        </is>
      </c>
      <c r="G2037" t="n">
        <v>5</v>
      </c>
      <c r="H2037" t="n">
        <v>1</v>
      </c>
      <c r="I2037" t="inlineStr">
        <is>
          <t>Batch 1 - TR</t>
        </is>
      </c>
      <c r="J2037" s="29" t="n">
        <v>0</v>
      </c>
      <c r="K2037" s="30" t="n"/>
      <c r="L2037" s="29" t="n">
        <v>0</v>
      </c>
      <c r="M2037" s="29" t="n">
        <v>0</v>
      </c>
      <c r="N2037" s="2" t="n">
        <v>0</v>
      </c>
      <c r="O2037" s="31" t="n">
        <v>0</v>
      </c>
      <c r="P2037" s="32" t="n"/>
      <c r="Q2037" s="32" t="n">
        <v>0</v>
      </c>
      <c r="R2037" s="32" t="n">
        <v>0</v>
      </c>
      <c r="S2037" s="31" t="n">
        <v>0</v>
      </c>
      <c r="T2037" s="32" t="n">
        <v>0</v>
      </c>
      <c r="U2037" s="31" t="n">
        <v>0</v>
      </c>
      <c r="V2037" s="31" t="n">
        <v>0</v>
      </c>
      <c r="W2037" s="3" t="n">
        <v>0</v>
      </c>
      <c r="X2037" s="3" t="n">
        <v>0</v>
      </c>
      <c r="Y2037" s="32" t="n">
        <v>0</v>
      </c>
      <c r="Z2037" s="3" t="n">
        <v>0</v>
      </c>
      <c r="AA2037" s="32" t="n">
        <v>0</v>
      </c>
      <c r="AB2037" s="3" t="n"/>
      <c r="AC2037" s="31" t="n">
        <v>0</v>
      </c>
      <c r="AD2037" s="2" t="n">
        <v>0</v>
      </c>
      <c r="AE2037" s="2" t="n">
        <v>0</v>
      </c>
      <c r="AF2037" s="4" t="n">
        <v>0</v>
      </c>
      <c r="AG2037" s="33" t="n">
        <v>0</v>
      </c>
      <c r="AH2037" s="4" t="n">
        <v>0</v>
      </c>
      <c r="AI2037" s="34" t="n"/>
      <c r="AJ2037" s="34" t="n">
        <v>0</v>
      </c>
      <c r="AK2037" s="2" t="n">
        <v>0</v>
      </c>
      <c r="AL2037" t="inlineStr">
        <is>
          <t>Published</t>
        </is>
      </c>
    </row>
    <row r="2038">
      <c r="A2038">
        <f>HYPERLINK("https://www.walmart.com/ip/208932020", "208932020")</f>
        <v/>
      </c>
      <c r="B2038">
        <f>HYPERLINK("https://app.optiwise.ai/catalog/itemdetails/362543", "Bucket Sun Hat Cute Cap for Women Fashion Fold-up Brim Packable Summer Beach by Solaris")</f>
        <v/>
      </c>
      <c r="C2038" t="inlineStr">
        <is>
          <t>1SLSH9200GR-FSCB</t>
        </is>
      </c>
      <c r="D2038" t="inlineStr">
        <is>
          <t>Clothing</t>
        </is>
      </c>
      <c r="E2038" t="inlineStr">
        <is>
          <t>Hats</t>
        </is>
      </c>
      <c r="F2038" t="inlineStr">
        <is>
          <t>Solaris</t>
        </is>
      </c>
      <c r="G2038" t="n">
        <v>0</v>
      </c>
      <c r="H2038" t="n">
        <v>0</v>
      </c>
      <c r="J2038" s="29" t="n">
        <v>0</v>
      </c>
      <c r="K2038" s="30" t="n"/>
      <c r="L2038" s="29" t="n">
        <v>0</v>
      </c>
      <c r="M2038" s="29" t="n">
        <v>0</v>
      </c>
      <c r="N2038" s="2" t="n">
        <v>0</v>
      </c>
      <c r="O2038" s="31" t="n">
        <v>0</v>
      </c>
      <c r="P2038" s="32" t="n"/>
      <c r="Q2038" s="32" t="n">
        <v>0</v>
      </c>
      <c r="R2038" s="32" t="n">
        <v>0</v>
      </c>
      <c r="S2038" s="31" t="n">
        <v>0</v>
      </c>
      <c r="T2038" s="32" t="n">
        <v>0</v>
      </c>
      <c r="U2038" s="31" t="n">
        <v>0</v>
      </c>
      <c r="V2038" s="31" t="n">
        <v>0</v>
      </c>
      <c r="W2038" s="3" t="n">
        <v>0</v>
      </c>
      <c r="X2038" s="3" t="n">
        <v>0</v>
      </c>
      <c r="Y2038" s="32" t="n">
        <v>0</v>
      </c>
      <c r="Z2038" s="3" t="n">
        <v>0</v>
      </c>
      <c r="AA2038" s="32" t="n">
        <v>0</v>
      </c>
      <c r="AB2038" s="3" t="n"/>
      <c r="AC2038" s="31" t="n">
        <v>0</v>
      </c>
      <c r="AD2038" s="2" t="n">
        <v>0</v>
      </c>
      <c r="AE2038" s="2" t="n">
        <v>10</v>
      </c>
      <c r="AF2038" s="4" t="n">
        <v>10</v>
      </c>
      <c r="AG2038" s="33" t="n">
        <v>0</v>
      </c>
      <c r="AH2038" s="4" t="n">
        <v>0</v>
      </c>
      <c r="AI2038" s="34" t="n"/>
      <c r="AJ2038" s="34" t="n">
        <v>0</v>
      </c>
      <c r="AK2038" s="2" t="n">
        <v>0</v>
      </c>
      <c r="AL2038" t="inlineStr">
        <is>
          <t>Published</t>
        </is>
      </c>
    </row>
    <row r="2039">
      <c r="A2039">
        <f>HYPERLINK("https://www.walmart.com/ip/190246992", "190246992")</f>
        <v/>
      </c>
      <c r="B2039">
        <f>HYPERLINK("https://app.optiwise.ai/catalog/itemdetails/362755", "KC Caps Blank Cuff Hat Knit Beanie")</f>
        <v/>
      </c>
      <c r="C2039" t="inlineStr">
        <is>
          <t>KCW1720NV</t>
        </is>
      </c>
      <c r="D2039" t="inlineStr">
        <is>
          <t>Clothing</t>
        </is>
      </c>
      <c r="E2039" t="inlineStr">
        <is>
          <t>Hats</t>
        </is>
      </c>
      <c r="F2039" t="inlineStr">
        <is>
          <t>KC Caps</t>
        </is>
      </c>
      <c r="G2039" t="n">
        <v>0</v>
      </c>
      <c r="H2039" t="n">
        <v>0</v>
      </c>
      <c r="I2039" t="inlineStr">
        <is>
          <t>Optimized</t>
        </is>
      </c>
      <c r="J2039" s="29" t="n">
        <v>0</v>
      </c>
      <c r="K2039" s="30" t="n"/>
      <c r="L2039" s="29" t="n">
        <v>0</v>
      </c>
      <c r="M2039" s="29" t="n">
        <v>0</v>
      </c>
      <c r="N2039" s="2" t="n">
        <v>0</v>
      </c>
      <c r="O2039" s="31" t="n">
        <v>0</v>
      </c>
      <c r="P2039" s="32" t="n"/>
      <c r="Q2039" s="32" t="n">
        <v>0</v>
      </c>
      <c r="R2039" s="32" t="n">
        <v>0</v>
      </c>
      <c r="S2039" s="31" t="n">
        <v>0</v>
      </c>
      <c r="T2039" s="32" t="n">
        <v>0</v>
      </c>
      <c r="U2039" s="31" t="n">
        <v>0</v>
      </c>
      <c r="V2039" s="31" t="n">
        <v>0</v>
      </c>
      <c r="W2039" s="3" t="n">
        <v>0</v>
      </c>
      <c r="X2039" s="3" t="n">
        <v>0</v>
      </c>
      <c r="Y2039" s="32" t="n">
        <v>0</v>
      </c>
      <c r="Z2039" s="3" t="n">
        <v>0</v>
      </c>
      <c r="AA2039" s="32" t="n">
        <v>0</v>
      </c>
      <c r="AB2039" s="3" t="n"/>
      <c r="AC2039" s="31" t="n">
        <v>0</v>
      </c>
      <c r="AD2039" s="2" t="n">
        <v>0</v>
      </c>
      <c r="AE2039" s="2" t="n">
        <v>3</v>
      </c>
      <c r="AF2039" s="4" t="n">
        <v>3</v>
      </c>
      <c r="AG2039" s="33" t="n">
        <v>0</v>
      </c>
      <c r="AH2039" s="4" t="n">
        <v>0</v>
      </c>
      <c r="AI2039" s="34" t="n"/>
      <c r="AJ2039" s="34" t="n">
        <v>0</v>
      </c>
      <c r="AK2039" s="2" t="n">
        <v>0</v>
      </c>
      <c r="AL2039" t="inlineStr">
        <is>
          <t>Published</t>
        </is>
      </c>
    </row>
    <row r="2040">
      <c r="A2040">
        <f>HYPERLINK("https://www.walmart.com/ip/144091535", "144091535")</f>
        <v/>
      </c>
      <c r="B2040">
        <f>HYPERLINK("https://app.optiwise.ai/catalog/itemdetails/362804", "Tirrinia Insulated Wine Carrier Tote - Travel Padded 2 Bottle Wine/Champagne Cooler Bag with Handle and Adjustable Shoulder Strap + Free Corkscrew, Great Wine Lover Gift, Grey")</f>
        <v/>
      </c>
      <c r="C2040" t="inlineStr">
        <is>
          <t>1KTWB210GY</t>
        </is>
      </c>
      <c r="D2040" t="inlineStr">
        <is>
          <t>Home Decor, Kitchen, &amp; Other</t>
        </is>
      </c>
      <c r="E2040" t="inlineStr">
        <is>
          <t>Wine Totes, Bags &amp; Backpacks</t>
        </is>
      </c>
      <c r="F2040" t="inlineStr">
        <is>
          <t>Tirrinia</t>
        </is>
      </c>
      <c r="G2040" t="n">
        <v>4.8</v>
      </c>
      <c r="H2040" t="n">
        <v>4</v>
      </c>
      <c r="I2040" t="inlineStr">
        <is>
          <t>Wine,Christmas,Valentine,Lily Brand Camp</t>
        </is>
      </c>
      <c r="J2040" s="29" t="n">
        <v>0</v>
      </c>
      <c r="K2040" s="30" t="n"/>
      <c r="L2040" s="29" t="n">
        <v>0</v>
      </c>
      <c r="M2040" s="29" t="n">
        <v>0</v>
      </c>
      <c r="N2040" s="2" t="n">
        <v>0</v>
      </c>
      <c r="O2040" s="31" t="n">
        <v>8.269999999999998</v>
      </c>
      <c r="P2040" s="32" t="n">
        <v>0.001</v>
      </c>
      <c r="Q2040" s="32" t="n">
        <v>0</v>
      </c>
      <c r="R2040" s="32" t="n">
        <v>0.06370000000000001</v>
      </c>
      <c r="S2040" s="31" t="n">
        <v>4.35</v>
      </c>
      <c r="T2040" s="32" t="n">
        <v>0.23</v>
      </c>
      <c r="U2040" s="31" t="n">
        <v>35.98</v>
      </c>
      <c r="V2040" s="31" t="n">
        <v>21.99</v>
      </c>
      <c r="W2040" s="3" t="n">
        <v>17845</v>
      </c>
      <c r="X2040" s="3" t="n">
        <v>23</v>
      </c>
      <c r="Y2040" s="32" t="n">
        <v>0.0013</v>
      </c>
      <c r="Z2040" s="3" t="n">
        <v>2</v>
      </c>
      <c r="AA2040" s="32" t="n">
        <v>0.08699999999999999</v>
      </c>
      <c r="AB2040" s="3" t="inlineStr">
        <is>
          <t>Auto Campaign_Vinay</t>
        </is>
      </c>
      <c r="AC2040" s="31" t="n">
        <v>0.36</v>
      </c>
      <c r="AD2040" s="2" t="n">
        <v>11</v>
      </c>
      <c r="AE2040" s="2" t="n">
        <v>42</v>
      </c>
      <c r="AF2040" s="4" t="n">
        <v>19</v>
      </c>
      <c r="AG2040" s="33" t="n">
        <v>-35.98</v>
      </c>
      <c r="AH2040" s="4" t="n">
        <v>-2</v>
      </c>
      <c r="AI2040" s="34" t="n">
        <v>-0.1053</v>
      </c>
      <c r="AJ2040" s="34" t="n">
        <v>0</v>
      </c>
      <c r="AK2040" s="2" t="n">
        <v>0</v>
      </c>
      <c r="AL2040" t="inlineStr">
        <is>
          <t>Published</t>
        </is>
      </c>
    </row>
    <row r="2041">
      <c r="A2041">
        <f>HYPERLINK("https://www.walmart.com/ip/782469893", "782469893")</f>
        <v/>
      </c>
      <c r="B2041">
        <f>HYPERLINK("https://app.optiwise.ai/catalog/itemdetails/362801", "Fleece Blanket Wearable with Sleeves and Pocket, Micro Plush Warm Comfy Sleeved TV Throw Blanket Robe for Women and Men Multi-Colors 72”X55” by Catalonia")</f>
        <v/>
      </c>
      <c r="C2041" t="inlineStr">
        <is>
          <t>1CTSN110BR-ESGM</t>
        </is>
      </c>
      <c r="D2041" t="inlineStr">
        <is>
          <t>Bedding</t>
        </is>
      </c>
      <c r="E2041" t="inlineStr">
        <is>
          <t>Throws</t>
        </is>
      </c>
      <c r="F2041" t="inlineStr">
        <is>
          <t>Catalonia</t>
        </is>
      </c>
      <c r="G2041" t="n">
        <v>0</v>
      </c>
      <c r="H2041" t="n">
        <v>0</v>
      </c>
      <c r="I2041" t="inlineStr">
        <is>
          <t>Fleece Blankets,Batch 1 - TR</t>
        </is>
      </c>
      <c r="J2041" s="29" t="n">
        <v>0</v>
      </c>
      <c r="K2041" s="30" t="n"/>
      <c r="L2041" s="29" t="n">
        <v>0</v>
      </c>
      <c r="M2041" s="29" t="n">
        <v>0</v>
      </c>
      <c r="N2041" s="2" t="n">
        <v>0</v>
      </c>
      <c r="O2041" s="31" t="n">
        <v>0</v>
      </c>
      <c r="P2041" s="32" t="n"/>
      <c r="Q2041" s="32" t="n">
        <v>0</v>
      </c>
      <c r="R2041" s="32" t="n">
        <v>0</v>
      </c>
      <c r="S2041" s="31" t="n">
        <v>0</v>
      </c>
      <c r="T2041" s="32" t="n">
        <v>0</v>
      </c>
      <c r="U2041" s="31" t="n">
        <v>0</v>
      </c>
      <c r="V2041" s="31" t="n">
        <v>0</v>
      </c>
      <c r="W2041" s="3" t="n">
        <v>0</v>
      </c>
      <c r="X2041" s="3" t="n">
        <v>0</v>
      </c>
      <c r="Y2041" s="32" t="n">
        <v>0</v>
      </c>
      <c r="Z2041" s="3" t="n">
        <v>0</v>
      </c>
      <c r="AA2041" s="32" t="n">
        <v>0</v>
      </c>
      <c r="AB2041" s="3" t="n"/>
      <c r="AC2041" s="31" t="n">
        <v>0</v>
      </c>
      <c r="AD2041" s="2" t="n">
        <v>0</v>
      </c>
      <c r="AE2041" s="2" t="n">
        <v>27</v>
      </c>
      <c r="AF2041" s="4" t="n">
        <v>27</v>
      </c>
      <c r="AG2041" s="33" t="n">
        <v>0</v>
      </c>
      <c r="AH2041" s="4" t="n">
        <v>0</v>
      </c>
      <c r="AI2041" s="34" t="n"/>
      <c r="AJ2041" s="34" t="n">
        <v>0</v>
      </c>
      <c r="AK2041" s="2" t="n">
        <v>0</v>
      </c>
      <c r="AL2041" t="inlineStr">
        <is>
          <t>Published</t>
        </is>
      </c>
    </row>
    <row r="2042">
      <c r="A2042">
        <f>HYPERLINK("https://www.walmart.com/ip/189801233", "189801233")</f>
        <v/>
      </c>
      <c r="B2042">
        <f>HYPERLINK("https://app.optiwise.ai/catalog/itemdetails/362798", "KC Caps® Unisex Cotton Baseball Cap Adjustable Plain Hat (21 Styles/Colors)")</f>
        <v/>
      </c>
      <c r="C2042" t="inlineStr">
        <is>
          <t>KC8010RD</t>
        </is>
      </c>
      <c r="D2042" t="inlineStr">
        <is>
          <t>Clothing</t>
        </is>
      </c>
      <c r="E2042" t="inlineStr">
        <is>
          <t>Hats</t>
        </is>
      </c>
      <c r="F2042" t="inlineStr">
        <is>
          <t>KC Caps</t>
        </is>
      </c>
      <c r="G2042" t="n">
        <v>0</v>
      </c>
      <c r="H2042" t="n">
        <v>0</v>
      </c>
      <c r="I2042" t="inlineStr">
        <is>
          <t>Optimized</t>
        </is>
      </c>
      <c r="J2042" s="29" t="n">
        <v>0</v>
      </c>
      <c r="K2042" s="30" t="n"/>
      <c r="L2042" s="29" t="n">
        <v>0</v>
      </c>
      <c r="M2042" s="29" t="n">
        <v>0</v>
      </c>
      <c r="N2042" s="2" t="n">
        <v>0</v>
      </c>
      <c r="O2042" s="31" t="n">
        <v>0</v>
      </c>
      <c r="P2042" s="32" t="n"/>
      <c r="Q2042" s="32" t="n">
        <v>0</v>
      </c>
      <c r="R2042" s="32" t="n">
        <v>0</v>
      </c>
      <c r="S2042" s="31" t="n">
        <v>0</v>
      </c>
      <c r="T2042" s="32" t="n">
        <v>0</v>
      </c>
      <c r="U2042" s="31" t="n">
        <v>0</v>
      </c>
      <c r="V2042" s="31" t="n">
        <v>0</v>
      </c>
      <c r="W2042" s="3" t="n">
        <v>0</v>
      </c>
      <c r="X2042" s="3" t="n">
        <v>0</v>
      </c>
      <c r="Y2042" s="32" t="n">
        <v>0</v>
      </c>
      <c r="Z2042" s="3" t="n">
        <v>0</v>
      </c>
      <c r="AA2042" s="32" t="n">
        <v>0</v>
      </c>
      <c r="AB2042" s="3" t="n"/>
      <c r="AC2042" s="31" t="n">
        <v>0</v>
      </c>
      <c r="AD2042" s="2" t="n">
        <v>0</v>
      </c>
      <c r="AE2042" s="2" t="n">
        <v>5</v>
      </c>
      <c r="AF2042" s="4" t="n">
        <v>5</v>
      </c>
      <c r="AG2042" s="33" t="n">
        <v>0</v>
      </c>
      <c r="AH2042" s="4" t="n">
        <v>0</v>
      </c>
      <c r="AI2042" s="34" t="n"/>
      <c r="AJ2042" s="34" t="n">
        <v>0</v>
      </c>
      <c r="AK2042" s="2" t="n">
        <v>0</v>
      </c>
      <c r="AL2042" t="inlineStr">
        <is>
          <t>Published</t>
        </is>
      </c>
    </row>
    <row r="2043">
      <c r="A2043">
        <f>HYPERLINK("https://www.walmart.com/ip/173150573", "173150573")</f>
        <v/>
      </c>
      <c r="B2043">
        <f>HYPERLINK("https://app.optiwise.ai/catalog/itemdetails/362796", "Napa Super Soft Warm Micro Plush TV Blanket with Sleeves for Women and Men, Sherpa Mink Fleece Blanket, Wearable Throw Robe, Cobalt Blue, 72 x 50")</f>
        <v/>
      </c>
      <c r="C2043" t="inlineStr">
        <is>
          <t>K3080COBLUE</t>
        </is>
      </c>
      <c r="D2043" t="inlineStr">
        <is>
          <t>Clothing - Clothing</t>
        </is>
      </c>
      <c r="E2043" t="inlineStr">
        <is>
          <t>Throws</t>
        </is>
      </c>
      <c r="F2043" t="inlineStr">
        <is>
          <t>NAPA</t>
        </is>
      </c>
      <c r="G2043" t="n">
        <v>4.6</v>
      </c>
      <c r="H2043" t="n">
        <v>12</v>
      </c>
      <c r="I2043" t="inlineStr">
        <is>
          <t>Batch 1 - TR</t>
        </is>
      </c>
      <c r="J2043" s="29" t="n">
        <v>0</v>
      </c>
      <c r="K2043" s="30" t="n"/>
      <c r="L2043" s="29" t="n">
        <v>0</v>
      </c>
      <c r="M2043" s="29" t="n">
        <v>0</v>
      </c>
      <c r="N2043" s="2" t="n">
        <v>0</v>
      </c>
      <c r="O2043" s="31" t="n">
        <v>0</v>
      </c>
      <c r="P2043" s="32" t="n"/>
      <c r="Q2043" s="32" t="n">
        <v>0</v>
      </c>
      <c r="R2043" s="32" t="n">
        <v>0</v>
      </c>
      <c r="S2043" s="31" t="n">
        <v>0</v>
      </c>
      <c r="T2043" s="32" t="n">
        <v>0</v>
      </c>
      <c r="U2043" s="31" t="n">
        <v>0</v>
      </c>
      <c r="V2043" s="31" t="n">
        <v>0</v>
      </c>
      <c r="W2043" s="3" t="n">
        <v>0</v>
      </c>
      <c r="X2043" s="3" t="n">
        <v>0</v>
      </c>
      <c r="Y2043" s="32" t="n">
        <v>0</v>
      </c>
      <c r="Z2043" s="3" t="n">
        <v>0</v>
      </c>
      <c r="AA2043" s="32" t="n">
        <v>0</v>
      </c>
      <c r="AB2043" s="3" t="n"/>
      <c r="AC2043" s="31" t="n">
        <v>0</v>
      </c>
      <c r="AD2043" s="2" t="n">
        <v>0</v>
      </c>
      <c r="AE2043" s="2" t="n">
        <v>3</v>
      </c>
      <c r="AF2043" s="4" t="n">
        <v>3</v>
      </c>
      <c r="AG2043" s="33" t="n">
        <v>0</v>
      </c>
      <c r="AH2043" s="4" t="n">
        <v>0</v>
      </c>
      <c r="AI2043" s="34" t="n"/>
      <c r="AJ2043" s="34" t="n">
        <v>0</v>
      </c>
      <c r="AK2043" s="2" t="n">
        <v>0</v>
      </c>
      <c r="AL2043" t="inlineStr">
        <is>
          <t>Published</t>
        </is>
      </c>
    </row>
    <row r="2044">
      <c r="A2044">
        <f>HYPERLINK("https://www.walmart.com/ip/175458702", "175458702")</f>
        <v/>
      </c>
      <c r="B2044">
        <f>HYPERLINK("https://app.optiwise.ai/catalog/itemdetails/362792", "Solaris Sun Hats UV Protection Wide Brim Hat Unisex Adult Multicolor")</f>
        <v/>
      </c>
      <c r="C2044" t="inlineStr">
        <is>
          <t>1SLSH910-digigy</t>
        </is>
      </c>
      <c r="D2044" t="inlineStr">
        <is>
          <t>Clothing</t>
        </is>
      </c>
      <c r="E2044" t="inlineStr">
        <is>
          <t>Hats</t>
        </is>
      </c>
      <c r="F2044" t="inlineStr">
        <is>
          <t>Solaris</t>
        </is>
      </c>
      <c r="G2044" t="n">
        <v>4.7</v>
      </c>
      <c r="H2044" t="n">
        <v>7</v>
      </c>
      <c r="I2044" t="inlineStr">
        <is>
          <t>Batch 1 - TR</t>
        </is>
      </c>
      <c r="J2044" s="29" t="n">
        <v>0</v>
      </c>
      <c r="K2044" s="30" t="n"/>
      <c r="L2044" s="29" t="n">
        <v>0</v>
      </c>
      <c r="M2044" s="29" t="n">
        <v>0</v>
      </c>
      <c r="N2044" s="2" t="n">
        <v>0</v>
      </c>
      <c r="O2044" s="31" t="n">
        <v>0</v>
      </c>
      <c r="P2044" s="32" t="n"/>
      <c r="Q2044" s="32" t="n">
        <v>0</v>
      </c>
      <c r="R2044" s="32" t="n">
        <v>0</v>
      </c>
      <c r="S2044" s="31" t="n">
        <v>0</v>
      </c>
      <c r="T2044" s="32" t="n">
        <v>0</v>
      </c>
      <c r="U2044" s="31" t="n">
        <v>0</v>
      </c>
      <c r="V2044" s="31" t="n">
        <v>0</v>
      </c>
      <c r="W2044" s="3" t="n">
        <v>0</v>
      </c>
      <c r="X2044" s="3" t="n">
        <v>0</v>
      </c>
      <c r="Y2044" s="32" t="n">
        <v>0</v>
      </c>
      <c r="Z2044" s="3" t="n">
        <v>0</v>
      </c>
      <c r="AA2044" s="32" t="n">
        <v>0</v>
      </c>
      <c r="AB2044" s="3" t="n"/>
      <c r="AC2044" s="31" t="n">
        <v>0</v>
      </c>
      <c r="AD2044" s="2" t="n">
        <v>0</v>
      </c>
      <c r="AE2044" s="2" t="n">
        <v>15</v>
      </c>
      <c r="AF2044" s="4" t="n">
        <v>15</v>
      </c>
      <c r="AG2044" s="33" t="n">
        <v>0</v>
      </c>
      <c r="AH2044" s="4" t="n">
        <v>0</v>
      </c>
      <c r="AI2044" s="34" t="n"/>
      <c r="AJ2044" s="34" t="n">
        <v>0</v>
      </c>
      <c r="AK2044" s="2" t="n">
        <v>0</v>
      </c>
      <c r="AL2044" t="inlineStr">
        <is>
          <t>Published</t>
        </is>
      </c>
    </row>
    <row r="2045">
      <c r="A2045">
        <f>HYPERLINK("https://www.walmart.com/ip/712622757", "712622757")</f>
        <v/>
      </c>
      <c r="B2045">
        <f>HYPERLINK("https://app.optiwise.ai/catalog/itemdetails/362785", "Tirrinia Insulated 2 Bottle Wine Carrier Tote Cooler Bag for Travel Picnic Padded Champagne Glass Carrying Case")</f>
        <v/>
      </c>
      <c r="C2045" t="inlineStr">
        <is>
          <t>1WMWB221PP</t>
        </is>
      </c>
      <c r="D2045" t="inlineStr">
        <is>
          <t>Home Decor, Kitchen, &amp; Other</t>
        </is>
      </c>
      <c r="E2045" t="inlineStr">
        <is>
          <t>Wine Totes, Bags &amp; Backpacks</t>
        </is>
      </c>
      <c r="F2045" t="inlineStr">
        <is>
          <t>Flyingstar</t>
        </is>
      </c>
      <c r="G2045" t="n">
        <v>0</v>
      </c>
      <c r="H2045" t="n">
        <v>0</v>
      </c>
      <c r="I2045" t="inlineStr">
        <is>
          <t>Wine,Christmas,Valentine,SEM</t>
        </is>
      </c>
      <c r="J2045" s="29" t="n">
        <v>0</v>
      </c>
      <c r="K2045" s="30" t="n"/>
      <c r="L2045" s="29" t="n">
        <v>0</v>
      </c>
      <c r="M2045" s="29" t="n">
        <v>0</v>
      </c>
      <c r="N2045" s="2" t="n">
        <v>0</v>
      </c>
      <c r="O2045" s="31" t="n">
        <v>0</v>
      </c>
      <c r="P2045" s="32" t="n"/>
      <c r="Q2045" s="32" t="n">
        <v>0</v>
      </c>
      <c r="R2045" s="32" t="n">
        <v>0</v>
      </c>
      <c r="S2045" s="31" t="n">
        <v>0</v>
      </c>
      <c r="T2045" s="32" t="n">
        <v>0</v>
      </c>
      <c r="U2045" s="31" t="n">
        <v>0</v>
      </c>
      <c r="V2045" s="31" t="n">
        <v>0</v>
      </c>
      <c r="W2045" s="3" t="n">
        <v>0</v>
      </c>
      <c r="X2045" s="3" t="n">
        <v>0</v>
      </c>
      <c r="Y2045" s="32" t="n">
        <v>0</v>
      </c>
      <c r="Z2045" s="3" t="n">
        <v>0</v>
      </c>
      <c r="AA2045" s="32" t="n">
        <v>0</v>
      </c>
      <c r="AB2045" s="3" t="n"/>
      <c r="AC2045" s="31" t="n">
        <v>0</v>
      </c>
      <c r="AD2045" s="2" t="n">
        <v>0</v>
      </c>
      <c r="AE2045" s="2" t="n">
        <v>5</v>
      </c>
      <c r="AF2045" s="4" t="n">
        <v>5</v>
      </c>
      <c r="AG2045" s="33" t="n">
        <v>0</v>
      </c>
      <c r="AH2045" s="4" t="n">
        <v>0</v>
      </c>
      <c r="AI2045" s="34" t="n"/>
      <c r="AJ2045" s="34" t="n">
        <v>0</v>
      </c>
      <c r="AK2045" s="2" t="n">
        <v>0</v>
      </c>
      <c r="AL2045" t="inlineStr">
        <is>
          <t>Published</t>
        </is>
      </c>
    </row>
    <row r="2046">
      <c r="A2046">
        <f>HYPERLINK("https://www.walmart.com/ip/738154224", "738154224")</f>
        <v/>
      </c>
      <c r="B2046">
        <f>HYPERLINK("https://app.optiwise.ai/catalog/itemdetails/362784", "Catalonia Wearable TV Blanket with Sleeves Arms &amp; Feet pockets for Adult Micro Plush Fleece Large Wrap Throw Robe 75 x 5")</f>
        <v/>
      </c>
      <c r="C2046" t="inlineStr">
        <is>
          <t>1CTSN101P2RD</t>
        </is>
      </c>
      <c r="D2046" t="inlineStr">
        <is>
          <t>Bedding</t>
        </is>
      </c>
      <c r="E2046" t="inlineStr">
        <is>
          <t>Throws</t>
        </is>
      </c>
      <c r="F2046" t="inlineStr">
        <is>
          <t>Catalonia</t>
        </is>
      </c>
      <c r="G2046" t="n">
        <v>0</v>
      </c>
      <c r="H2046" t="n">
        <v>0</v>
      </c>
      <c r="I2046" t="inlineStr">
        <is>
          <t>WFS,WFS Item,Fleece Blankets</t>
        </is>
      </c>
      <c r="J2046" s="29" t="n">
        <v>0</v>
      </c>
      <c r="K2046" s="30" t="n"/>
      <c r="L2046" s="29" t="n">
        <v>0</v>
      </c>
      <c r="M2046" s="29" t="n">
        <v>0</v>
      </c>
      <c r="N2046" s="2" t="n">
        <v>0</v>
      </c>
      <c r="O2046" s="31" t="n">
        <v>0</v>
      </c>
      <c r="P2046" s="32" t="n"/>
      <c r="Q2046" s="32" t="n">
        <v>0</v>
      </c>
      <c r="R2046" s="32" t="n">
        <v>0</v>
      </c>
      <c r="S2046" s="31" t="n">
        <v>0</v>
      </c>
      <c r="T2046" s="32" t="n">
        <v>0</v>
      </c>
      <c r="U2046" s="31" t="n">
        <v>0</v>
      </c>
      <c r="V2046" s="31" t="n">
        <v>0</v>
      </c>
      <c r="W2046" s="3" t="n">
        <v>0</v>
      </c>
      <c r="X2046" s="3" t="n">
        <v>0</v>
      </c>
      <c r="Y2046" s="32" t="n">
        <v>0</v>
      </c>
      <c r="Z2046" s="3" t="n">
        <v>0</v>
      </c>
      <c r="AA2046" s="32" t="n">
        <v>0</v>
      </c>
      <c r="AB2046" s="3" t="n"/>
      <c r="AC2046" s="31" t="n">
        <v>0</v>
      </c>
      <c r="AD2046" s="2" t="n">
        <v>1</v>
      </c>
      <c r="AE2046" s="2" t="n">
        <v>59</v>
      </c>
      <c r="AF2046" s="4" t="n">
        <v>59</v>
      </c>
      <c r="AG2046" s="33" t="n">
        <v>0</v>
      </c>
      <c r="AH2046" s="4" t="n">
        <v>0</v>
      </c>
      <c r="AI2046" s="34" t="n"/>
      <c r="AJ2046" s="34" t="n">
        <v>0</v>
      </c>
      <c r="AK2046" s="2" t="n">
        <v>0</v>
      </c>
      <c r="AL2046" t="inlineStr">
        <is>
          <t>Published</t>
        </is>
      </c>
    </row>
    <row r="2047">
      <c r="A2047">
        <f>HYPERLINK("https://www.walmart.com/ip/297663861", "297663861")</f>
        <v/>
      </c>
      <c r="B2047">
        <f>HYPERLINK("https://app.optiwise.ai/catalog/itemdetails/362777", "Sherpa Fuzzy Blanket 50 x 60, Mink Plush for TV Bed, Comfy Warm Heavy Comfort Caring Gift:")</f>
        <v/>
      </c>
      <c r="C2047" t="inlineStr">
        <is>
          <t>1CTBF300CA</t>
        </is>
      </c>
      <c r="D2047" t="inlineStr">
        <is>
          <t>Bedding</t>
        </is>
      </c>
      <c r="E2047" t="inlineStr">
        <is>
          <t>Throws</t>
        </is>
      </c>
      <c r="F2047" t="inlineStr">
        <is>
          <t>Catalonia</t>
        </is>
      </c>
      <c r="G2047" t="n">
        <v>4.8</v>
      </c>
      <c r="H2047" t="n">
        <v>12</v>
      </c>
      <c r="I2047" t="inlineStr">
        <is>
          <t>Q2-Target,Optimized,WFS,Coupon_Discount,WFS Item</t>
        </is>
      </c>
      <c r="J2047" s="29" t="n">
        <v>0</v>
      </c>
      <c r="K2047" s="30" t="n"/>
      <c r="L2047" s="29" t="n">
        <v>0</v>
      </c>
      <c r="M2047" s="29" t="n">
        <v>0</v>
      </c>
      <c r="N2047" s="2" t="n">
        <v>0</v>
      </c>
      <c r="O2047" s="31" t="n">
        <v>0</v>
      </c>
      <c r="P2047" s="32" t="n"/>
      <c r="Q2047" s="32" t="n">
        <v>0</v>
      </c>
      <c r="R2047" s="32" t="n">
        <v>0</v>
      </c>
      <c r="S2047" s="31" t="n">
        <v>0</v>
      </c>
      <c r="T2047" s="32" t="n">
        <v>0</v>
      </c>
      <c r="U2047" s="31" t="n">
        <v>0</v>
      </c>
      <c r="V2047" s="31" t="n">
        <v>0</v>
      </c>
      <c r="W2047" s="3" t="n">
        <v>0</v>
      </c>
      <c r="X2047" s="3" t="n">
        <v>0</v>
      </c>
      <c r="Y2047" s="32" t="n">
        <v>0</v>
      </c>
      <c r="Z2047" s="3" t="n">
        <v>0</v>
      </c>
      <c r="AA2047" s="32" t="n">
        <v>0</v>
      </c>
      <c r="AB2047" s="3" t="n"/>
      <c r="AC2047" s="31" t="n">
        <v>0</v>
      </c>
      <c r="AD2047" s="2" t="n">
        <v>0</v>
      </c>
      <c r="AE2047" s="2" t="n">
        <v>19</v>
      </c>
      <c r="AF2047" s="4" t="n">
        <v>19</v>
      </c>
      <c r="AG2047" s="33" t="n">
        <v>0</v>
      </c>
      <c r="AH2047" s="4" t="n">
        <v>0</v>
      </c>
      <c r="AI2047" s="34" t="n"/>
      <c r="AJ2047" s="34" t="n">
        <v>0</v>
      </c>
      <c r="AK2047" s="2" t="n">
        <v>0</v>
      </c>
      <c r="AL2047" t="inlineStr">
        <is>
          <t>Published</t>
        </is>
      </c>
    </row>
    <row r="2048">
      <c r="A2048">
        <f>HYPERLINK("https://www.walmart.com/ip/768292431", "768292431")</f>
        <v/>
      </c>
      <c r="B2048">
        <f>HYPERLINK("https://app.optiwise.ai/catalog/itemdetails/362774", "Catalonia King Size Bed Quilt Set, Summer Bedspread Coverlet, 100x106 inches, Grey/White, Forest Pattern")</f>
        <v/>
      </c>
      <c r="C2048" t="inlineStr">
        <is>
          <t>1CTBQ202KI-GYWT</t>
        </is>
      </c>
      <c r="D2048" t="inlineStr">
        <is>
          <t>Bedding</t>
        </is>
      </c>
      <c r="E2048" t="inlineStr">
        <is>
          <t>Bedding Sets</t>
        </is>
      </c>
      <c r="F2048" t="inlineStr">
        <is>
          <t>Catalonia</t>
        </is>
      </c>
      <c r="G2048" t="n">
        <v>0</v>
      </c>
      <c r="H2048" t="n">
        <v>0</v>
      </c>
      <c r="I2048" t="inlineStr">
        <is>
          <t>Optimized,Quilt_Vinay</t>
        </is>
      </c>
      <c r="J2048" s="29" t="n">
        <v>0</v>
      </c>
      <c r="K2048" s="30" t="n"/>
      <c r="L2048" s="29" t="n">
        <v>0</v>
      </c>
      <c r="M2048" s="29" t="n">
        <v>0</v>
      </c>
      <c r="N2048" s="2" t="n">
        <v>0</v>
      </c>
      <c r="O2048" s="31" t="n">
        <v>0</v>
      </c>
      <c r="P2048" s="32" t="n"/>
      <c r="Q2048" s="32" t="n">
        <v>0</v>
      </c>
      <c r="R2048" s="32" t="n">
        <v>0</v>
      </c>
      <c r="S2048" s="31" t="n">
        <v>0</v>
      </c>
      <c r="T2048" s="32" t="n">
        <v>0</v>
      </c>
      <c r="U2048" s="31" t="n">
        <v>0</v>
      </c>
      <c r="V2048" s="31" t="n">
        <v>0</v>
      </c>
      <c r="W2048" s="3" t="n">
        <v>0</v>
      </c>
      <c r="X2048" s="3" t="n">
        <v>0</v>
      </c>
      <c r="Y2048" s="32" t="n">
        <v>0</v>
      </c>
      <c r="Z2048" s="3" t="n">
        <v>0</v>
      </c>
      <c r="AA2048" s="32" t="n">
        <v>0</v>
      </c>
      <c r="AB2048" s="3" t="n"/>
      <c r="AC2048" s="31" t="n">
        <v>0</v>
      </c>
      <c r="AD2048" s="2" t="n">
        <v>0</v>
      </c>
      <c r="AE2048" s="2" t="n">
        <v>11</v>
      </c>
      <c r="AF2048" s="4" t="n">
        <v>11</v>
      </c>
      <c r="AG2048" s="33" t="n">
        <v>0</v>
      </c>
      <c r="AH2048" s="4" t="n">
        <v>0</v>
      </c>
      <c r="AI2048" s="34" t="n"/>
      <c r="AJ2048" s="34" t="n">
        <v>0</v>
      </c>
      <c r="AK2048" s="2" t="n">
        <v>0</v>
      </c>
      <c r="AL2048" t="inlineStr">
        <is>
          <t>Published</t>
        </is>
      </c>
    </row>
    <row r="2049">
      <c r="A2049">
        <f>HYPERLINK("https://www.walmart.com/ip/793040786", "793040786")</f>
        <v/>
      </c>
      <c r="B2049">
        <f>HYPERLINK("https://app.optiwise.ai/catalog/itemdetails/362767", "Women Floppy Sun Bucket Hats w/ Wide Brim Straw Edge Summer Beach UV Protection Foldable Gardening Hiking Cap")</f>
        <v/>
      </c>
      <c r="C2049" t="inlineStr">
        <is>
          <t>1TRSH031BE-TBCB</t>
        </is>
      </c>
      <c r="D2049" t="inlineStr">
        <is>
          <t>Clothing</t>
        </is>
      </c>
      <c r="E2049" t="inlineStr">
        <is>
          <t>Hats</t>
        </is>
      </c>
      <c r="F2049" t="inlineStr">
        <is>
          <t>Tirrinia</t>
        </is>
      </c>
      <c r="G2049" t="n">
        <v>3.5</v>
      </c>
      <c r="H2049" t="n">
        <v>2</v>
      </c>
      <c r="I2049" t="inlineStr">
        <is>
          <t>Batch 1 - TR</t>
        </is>
      </c>
      <c r="J2049" s="29" t="n">
        <v>0</v>
      </c>
      <c r="K2049" s="30" t="n"/>
      <c r="L2049" s="29" t="n">
        <v>0</v>
      </c>
      <c r="M2049" s="29" t="n">
        <v>0</v>
      </c>
      <c r="N2049" s="2" t="n">
        <v>0</v>
      </c>
      <c r="O2049" s="31" t="n">
        <v>0</v>
      </c>
      <c r="P2049" s="32" t="n"/>
      <c r="Q2049" s="32" t="n">
        <v>0</v>
      </c>
      <c r="R2049" s="32" t="n">
        <v>0</v>
      </c>
      <c r="S2049" s="31" t="n">
        <v>0</v>
      </c>
      <c r="T2049" s="32" t="n">
        <v>0</v>
      </c>
      <c r="U2049" s="31" t="n">
        <v>0</v>
      </c>
      <c r="V2049" s="31" t="n">
        <v>0</v>
      </c>
      <c r="W2049" s="3" t="n">
        <v>0</v>
      </c>
      <c r="X2049" s="3" t="n">
        <v>0</v>
      </c>
      <c r="Y2049" s="32" t="n">
        <v>0</v>
      </c>
      <c r="Z2049" s="3" t="n">
        <v>0</v>
      </c>
      <c r="AA2049" s="32" t="n">
        <v>0</v>
      </c>
      <c r="AB2049" s="3" t="n"/>
      <c r="AC2049" s="31" t="n">
        <v>0</v>
      </c>
      <c r="AD2049" s="2" t="n">
        <v>0</v>
      </c>
      <c r="AE2049" s="2" t="n">
        <v>7</v>
      </c>
      <c r="AF2049" s="4" t="n">
        <v>7</v>
      </c>
      <c r="AG2049" s="33" t="n">
        <v>0</v>
      </c>
      <c r="AH2049" s="4" t="n">
        <v>0</v>
      </c>
      <c r="AI2049" s="34" t="n"/>
      <c r="AJ2049" s="34" t="n">
        <v>0</v>
      </c>
      <c r="AK2049" s="2" t="n">
        <v>0</v>
      </c>
      <c r="AL2049" t="inlineStr">
        <is>
          <t>Published</t>
        </is>
      </c>
    </row>
    <row r="2050">
      <c r="A2050">
        <f>HYPERLINK("https://www.walmart.com/ip/759590349", "759590349")</f>
        <v/>
      </c>
      <c r="B2050">
        <f>HYPERLINK("https://app.optiwise.ai/catalog/itemdetails/362761", "UK/ England Flag Sherpa Throw Blanket Polar Fleece, Super Cozy Warm TV Blankets for Bed or Couch Reversible 50 x 60")</f>
        <v/>
      </c>
      <c r="C2050" t="inlineStr">
        <is>
          <t>1TRBF300UK-TPCB</t>
        </is>
      </c>
      <c r="D2050" t="inlineStr">
        <is>
          <t>Bedding</t>
        </is>
      </c>
      <c r="E2050" t="inlineStr">
        <is>
          <t>Throws</t>
        </is>
      </c>
      <c r="F2050" t="inlineStr">
        <is>
          <t>Tirrinia</t>
        </is>
      </c>
      <c r="G2050" t="n">
        <v>0</v>
      </c>
      <c r="H2050" t="n">
        <v>0</v>
      </c>
      <c r="I2050" t="inlineStr">
        <is>
          <t>Batch 1 - TR</t>
        </is>
      </c>
      <c r="J2050" s="29" t="n">
        <v>0</v>
      </c>
      <c r="K2050" s="30" t="n"/>
      <c r="L2050" s="29" t="n">
        <v>0</v>
      </c>
      <c r="M2050" s="29" t="n">
        <v>0</v>
      </c>
      <c r="N2050" s="2" t="n">
        <v>0</v>
      </c>
      <c r="O2050" s="31" t="n">
        <v>0</v>
      </c>
      <c r="P2050" s="32" t="n"/>
      <c r="Q2050" s="32" t="n">
        <v>0</v>
      </c>
      <c r="R2050" s="32" t="n">
        <v>0</v>
      </c>
      <c r="S2050" s="31" t="n">
        <v>0</v>
      </c>
      <c r="T2050" s="32" t="n">
        <v>0</v>
      </c>
      <c r="U2050" s="31" t="n">
        <v>0</v>
      </c>
      <c r="V2050" s="31" t="n">
        <v>0</v>
      </c>
      <c r="W2050" s="3" t="n">
        <v>0</v>
      </c>
      <c r="X2050" s="3" t="n">
        <v>0</v>
      </c>
      <c r="Y2050" s="32" t="n">
        <v>0</v>
      </c>
      <c r="Z2050" s="3" t="n">
        <v>0</v>
      </c>
      <c r="AA2050" s="32" t="n">
        <v>0</v>
      </c>
      <c r="AB2050" s="3" t="n"/>
      <c r="AC2050" s="31" t="n">
        <v>0</v>
      </c>
      <c r="AD2050" s="2" t="n">
        <v>0</v>
      </c>
      <c r="AE2050" s="2" t="n">
        <v>12</v>
      </c>
      <c r="AF2050" s="4" t="n">
        <v>12</v>
      </c>
      <c r="AG2050" s="33" t="n">
        <v>0</v>
      </c>
      <c r="AH2050" s="4" t="n">
        <v>0</v>
      </c>
      <c r="AI2050" s="34" t="n"/>
      <c r="AJ2050" s="34" t="n">
        <v>0</v>
      </c>
      <c r="AK2050" s="2" t="n">
        <v>0</v>
      </c>
      <c r="AL2050" t="inlineStr">
        <is>
          <t>Published</t>
        </is>
      </c>
    </row>
    <row r="2051">
      <c r="A2051">
        <f>HYPERLINK("https://www.walmart.com/ip/149596874", "149596874")</f>
        <v/>
      </c>
      <c r="B2051">
        <f>HYPERLINK("https://app.optiwise.ai/catalog/itemdetails/362754", "KC Caps Casual Unisex Adjustable Snap Closure USA Flag Embroidered Unconstructed Cap Hat (US SHIP)")</f>
        <v/>
      </c>
      <c r="C2051" t="inlineStr">
        <is>
          <t>kc-ae-6110-kk</t>
        </is>
      </c>
      <c r="D2051" t="inlineStr">
        <is>
          <t>Clothing</t>
        </is>
      </c>
      <c r="E2051" t="inlineStr">
        <is>
          <t>Hats</t>
        </is>
      </c>
      <c r="F2051" t="inlineStr">
        <is>
          <t>KC Caps</t>
        </is>
      </c>
      <c r="G2051" t="n">
        <v>0</v>
      </c>
      <c r="H2051" t="n">
        <v>0</v>
      </c>
      <c r="J2051" s="29" t="n">
        <v>0</v>
      </c>
      <c r="K2051" s="30" t="n"/>
      <c r="L2051" s="29" t="n">
        <v>0</v>
      </c>
      <c r="M2051" s="29" t="n">
        <v>0</v>
      </c>
      <c r="N2051" s="2" t="n">
        <v>0</v>
      </c>
      <c r="O2051" s="31" t="n">
        <v>0</v>
      </c>
      <c r="P2051" s="32" t="n"/>
      <c r="Q2051" s="32" t="n">
        <v>0</v>
      </c>
      <c r="R2051" s="32" t="n">
        <v>0</v>
      </c>
      <c r="S2051" s="31" t="n">
        <v>0</v>
      </c>
      <c r="T2051" s="32" t="n">
        <v>0</v>
      </c>
      <c r="U2051" s="31" t="n">
        <v>0</v>
      </c>
      <c r="V2051" s="31" t="n">
        <v>0</v>
      </c>
      <c r="W2051" s="3" t="n">
        <v>0</v>
      </c>
      <c r="X2051" s="3" t="n">
        <v>0</v>
      </c>
      <c r="Y2051" s="32" t="n">
        <v>0</v>
      </c>
      <c r="Z2051" s="3" t="n">
        <v>0</v>
      </c>
      <c r="AA2051" s="32" t="n">
        <v>0</v>
      </c>
      <c r="AB2051" s="3" t="n"/>
      <c r="AC2051" s="31" t="n">
        <v>0</v>
      </c>
      <c r="AD2051" s="2" t="n">
        <v>0</v>
      </c>
      <c r="AE2051" s="2" t="n">
        <v>1</v>
      </c>
      <c r="AF2051" s="4" t="n">
        <v>1</v>
      </c>
      <c r="AG2051" s="33" t="n">
        <v>0</v>
      </c>
      <c r="AH2051" s="4" t="n">
        <v>0</v>
      </c>
      <c r="AI2051" s="34" t="n"/>
      <c r="AJ2051" s="34" t="n">
        <v>0</v>
      </c>
      <c r="AK2051" s="2" t="n">
        <v>0</v>
      </c>
      <c r="AL2051" t="inlineStr">
        <is>
          <t>Published</t>
        </is>
      </c>
    </row>
    <row r="2052">
      <c r="A2052">
        <f>HYPERLINK("https://www.walmart.com/ip/811317492", "811317492")</f>
        <v/>
      </c>
      <c r="B2052">
        <f>HYPERLINK("https://app.optiwise.ai/catalog/itemdetails/362808", "Silky Soft Sherpa Throw Blanket, Flannel Chevron Micro Plush Fleece Throws for Couch Sofa TV Bed, Reversible, Comfy, Fuzzy, 50x60  Charcoal")</f>
        <v/>
      </c>
      <c r="C2052" t="inlineStr">
        <is>
          <t>1CTBF560CH</t>
        </is>
      </c>
      <c r="D2052" t="inlineStr">
        <is>
          <t>Bedding</t>
        </is>
      </c>
      <c r="E2052" t="inlineStr">
        <is>
          <t>Throws</t>
        </is>
      </c>
      <c r="F2052" t="inlineStr">
        <is>
          <t>Catalonia</t>
        </is>
      </c>
      <c r="G2052" t="n">
        <v>0</v>
      </c>
      <c r="H2052" t="n">
        <v>0</v>
      </c>
      <c r="I2052" t="inlineStr">
        <is>
          <t>Q2-Target,WFS,Coupon_Discount,WFS Item</t>
        </is>
      </c>
      <c r="J2052" s="29" t="n">
        <v>0</v>
      </c>
      <c r="K2052" s="30" t="n"/>
      <c r="L2052" s="29" t="n">
        <v>0</v>
      </c>
      <c r="M2052" s="29" t="n">
        <v>0</v>
      </c>
      <c r="N2052" s="2" t="n">
        <v>0</v>
      </c>
      <c r="O2052" s="31" t="n">
        <v>0</v>
      </c>
      <c r="P2052" s="32" t="n"/>
      <c r="Q2052" s="32" t="n">
        <v>0</v>
      </c>
      <c r="R2052" s="32" t="n">
        <v>0</v>
      </c>
      <c r="S2052" s="31" t="n">
        <v>0</v>
      </c>
      <c r="T2052" s="32" t="n">
        <v>0</v>
      </c>
      <c r="U2052" s="31" t="n">
        <v>0</v>
      </c>
      <c r="V2052" s="31" t="n">
        <v>0</v>
      </c>
      <c r="W2052" s="3" t="n">
        <v>0</v>
      </c>
      <c r="X2052" s="3" t="n">
        <v>0</v>
      </c>
      <c r="Y2052" s="32" t="n">
        <v>0</v>
      </c>
      <c r="Z2052" s="3" t="n">
        <v>0</v>
      </c>
      <c r="AA2052" s="32" t="n">
        <v>0</v>
      </c>
      <c r="AB2052" s="3" t="n"/>
      <c r="AC2052" s="31" t="n">
        <v>0</v>
      </c>
      <c r="AD2052" s="2" t="n">
        <v>0</v>
      </c>
      <c r="AE2052" s="2" t="n">
        <v>20</v>
      </c>
      <c r="AF2052" s="4" t="n">
        <v>20</v>
      </c>
      <c r="AG2052" s="33" t="n">
        <v>0</v>
      </c>
      <c r="AH2052" s="4" t="n">
        <v>0</v>
      </c>
      <c r="AI2052" s="34" t="n"/>
      <c r="AJ2052" s="34" t="n">
        <v>0</v>
      </c>
      <c r="AK2052" s="2" t="n">
        <v>0</v>
      </c>
      <c r="AL2052" t="inlineStr">
        <is>
          <t>Published</t>
        </is>
      </c>
    </row>
    <row r="2053">
      <c r="A2053">
        <f>HYPERLINK("https://www.walmart.com/ip/790379186", "790379186")</f>
        <v/>
      </c>
      <c r="B2053">
        <f>HYPERLINK("https://app.optiwise.ai/catalog/itemdetails/362751", "Sherpa Throw Blanket Fleece, Super Cozy Warm TV Blankets for Bed or Couch Reversible 50 x 60")</f>
        <v/>
      </c>
      <c r="C2053" t="inlineStr">
        <is>
          <t>1TNBF300LA-TPB</t>
        </is>
      </c>
      <c r="D2053" t="inlineStr">
        <is>
          <t>Bedding</t>
        </is>
      </c>
      <c r="E2053" t="inlineStr">
        <is>
          <t>Throws</t>
        </is>
      </c>
      <c r="F2053" t="inlineStr">
        <is>
          <t>Tirrinia</t>
        </is>
      </c>
      <c r="G2053" t="n">
        <v>0</v>
      </c>
      <c r="H2053" t="n">
        <v>0</v>
      </c>
      <c r="J2053" s="29" t="n">
        <v>0</v>
      </c>
      <c r="K2053" s="30" t="n"/>
      <c r="L2053" s="29" t="n">
        <v>0</v>
      </c>
      <c r="M2053" s="29" t="n">
        <v>0</v>
      </c>
      <c r="N2053" s="2" t="n">
        <v>0</v>
      </c>
      <c r="O2053" s="31" t="n">
        <v>0</v>
      </c>
      <c r="P2053" s="32" t="n"/>
      <c r="Q2053" s="32" t="n">
        <v>0</v>
      </c>
      <c r="R2053" s="32" t="n">
        <v>0</v>
      </c>
      <c r="S2053" s="31" t="n">
        <v>0</v>
      </c>
      <c r="T2053" s="32" t="n">
        <v>0</v>
      </c>
      <c r="U2053" s="31" t="n">
        <v>0</v>
      </c>
      <c r="V2053" s="31" t="n">
        <v>0</v>
      </c>
      <c r="W2053" s="3" t="n">
        <v>0</v>
      </c>
      <c r="X2053" s="3" t="n">
        <v>0</v>
      </c>
      <c r="Y2053" s="32" t="n">
        <v>0</v>
      </c>
      <c r="Z2053" s="3" t="n">
        <v>0</v>
      </c>
      <c r="AA2053" s="32" t="n">
        <v>0</v>
      </c>
      <c r="AB2053" s="3" t="n"/>
      <c r="AC2053" s="31" t="n">
        <v>0</v>
      </c>
      <c r="AD2053" s="2" t="n">
        <v>0</v>
      </c>
      <c r="AE2053" s="2" t="n">
        <v>9</v>
      </c>
      <c r="AF2053" s="4" t="n">
        <v>9</v>
      </c>
      <c r="AG2053" s="33" t="n">
        <v>0</v>
      </c>
      <c r="AH2053" s="4" t="n">
        <v>0</v>
      </c>
      <c r="AI2053" s="34" t="n"/>
      <c r="AJ2053" s="34" t="n">
        <v>0</v>
      </c>
      <c r="AK2053" s="2" t="n">
        <v>0</v>
      </c>
      <c r="AL2053" t="inlineStr">
        <is>
          <t>Published</t>
        </is>
      </c>
    </row>
    <row r="2054">
      <c r="A2054">
        <f>HYPERLINK("https://www.walmart.com/ip/867863632", "867863632")</f>
        <v/>
      </c>
      <c r="B2054">
        <f>HYPERLINK("https://app.optiwise.ai/catalog/itemdetails/362749", "Sports Travel Money Belt - Unisex Fitness Fanny &amp; Waist Pack -Reflective Running Belt Flip Belt - Runners waist pack &amp; M")</f>
        <v/>
      </c>
      <c r="C2054" t="inlineStr">
        <is>
          <t>TERRA-5NG-L-ZJ</t>
        </is>
      </c>
      <c r="D2054" t="inlineStr">
        <is>
          <t>Cases &amp; Bags</t>
        </is>
      </c>
      <c r="E2054" t="inlineStr">
        <is>
          <t>Running Belts</t>
        </is>
      </c>
      <c r="F2054" t="inlineStr">
        <is>
          <t>Terra</t>
        </is>
      </c>
      <c r="G2054" t="n">
        <v>0</v>
      </c>
      <c r="H2054" t="n">
        <v>0</v>
      </c>
      <c r="I2054" t="inlineStr">
        <is>
          <t>Batch 1 - TR</t>
        </is>
      </c>
      <c r="J2054" s="29" t="n">
        <v>0</v>
      </c>
      <c r="K2054" s="30" t="n"/>
      <c r="L2054" s="29" t="n">
        <v>0</v>
      </c>
      <c r="M2054" s="29" t="n">
        <v>0</v>
      </c>
      <c r="N2054" s="2" t="n">
        <v>0</v>
      </c>
      <c r="O2054" s="31" t="n">
        <v>0</v>
      </c>
      <c r="P2054" s="32" t="n"/>
      <c r="Q2054" s="32" t="n">
        <v>0</v>
      </c>
      <c r="R2054" s="32" t="n">
        <v>0</v>
      </c>
      <c r="S2054" s="31" t="n">
        <v>0</v>
      </c>
      <c r="T2054" s="32" t="n">
        <v>0</v>
      </c>
      <c r="U2054" s="31" t="n">
        <v>0</v>
      </c>
      <c r="V2054" s="31" t="n">
        <v>0</v>
      </c>
      <c r="W2054" s="3" t="n">
        <v>0</v>
      </c>
      <c r="X2054" s="3" t="n">
        <v>0</v>
      </c>
      <c r="Y2054" s="32" t="n">
        <v>0</v>
      </c>
      <c r="Z2054" s="3" t="n">
        <v>0</v>
      </c>
      <c r="AA2054" s="32" t="n">
        <v>0</v>
      </c>
      <c r="AB2054" s="3" t="n"/>
      <c r="AC2054" s="31" t="n">
        <v>0</v>
      </c>
      <c r="AD2054" s="2" t="n">
        <v>0</v>
      </c>
      <c r="AE2054" s="2" t="n">
        <v>15</v>
      </c>
      <c r="AF2054" s="4" t="n">
        <v>15</v>
      </c>
      <c r="AG2054" s="33" t="n">
        <v>0</v>
      </c>
      <c r="AH2054" s="4" t="n">
        <v>0</v>
      </c>
      <c r="AI2054" s="34" t="n"/>
      <c r="AJ2054" s="34" t="n">
        <v>0</v>
      </c>
      <c r="AK2054" s="2" t="n">
        <v>0</v>
      </c>
      <c r="AL2054" t="inlineStr">
        <is>
          <t>Published</t>
        </is>
      </c>
    </row>
    <row r="2055">
      <c r="A2055">
        <f>HYPERLINK("https://www.walmart.com/ip/172851444", "172851444")</f>
        <v/>
      </c>
      <c r="B2055">
        <f>HYPERLINK("https://app.optiwise.ai/catalog/itemdetails/362747", "JenniWears® Women Intimate Night Babydoll Robe w/ Satin Ribbon Belt G-string Set")</f>
        <v/>
      </c>
      <c r="C2055" t="inlineStr">
        <is>
          <t>JWRS03PK-M</t>
        </is>
      </c>
      <c r="D2055" t="inlineStr">
        <is>
          <t>Clothing</t>
        </is>
      </c>
      <c r="E2055" t="inlineStr">
        <is>
          <t>Lingerie Sets</t>
        </is>
      </c>
      <c r="F2055" t="inlineStr">
        <is>
          <t>JenniWears</t>
        </is>
      </c>
      <c r="G2055" t="n">
        <v>1</v>
      </c>
      <c r="H2055" t="n">
        <v>1</v>
      </c>
      <c r="I2055" t="inlineStr">
        <is>
          <t>Optimized,Valentine</t>
        </is>
      </c>
      <c r="J2055" s="29" t="n">
        <v>0</v>
      </c>
      <c r="K2055" s="30" t="n"/>
      <c r="L2055" s="29" t="n">
        <v>0</v>
      </c>
      <c r="M2055" s="29" t="n">
        <v>0</v>
      </c>
      <c r="N2055" s="2" t="n">
        <v>0</v>
      </c>
      <c r="O2055" s="31" t="n">
        <v>0</v>
      </c>
      <c r="P2055" s="32" t="n"/>
      <c r="Q2055" s="32" t="n">
        <v>0</v>
      </c>
      <c r="R2055" s="32" t="n">
        <v>0</v>
      </c>
      <c r="S2055" s="31" t="n">
        <v>0</v>
      </c>
      <c r="T2055" s="32" t="n">
        <v>0</v>
      </c>
      <c r="U2055" s="31" t="n">
        <v>0</v>
      </c>
      <c r="V2055" s="31" t="n">
        <v>0</v>
      </c>
      <c r="W2055" s="3" t="n">
        <v>0</v>
      </c>
      <c r="X2055" s="3" t="n">
        <v>0</v>
      </c>
      <c r="Y2055" s="32" t="n">
        <v>0</v>
      </c>
      <c r="Z2055" s="3" t="n">
        <v>0</v>
      </c>
      <c r="AA2055" s="32" t="n">
        <v>0</v>
      </c>
      <c r="AB2055" s="3" t="n"/>
      <c r="AC2055" s="31" t="n">
        <v>0</v>
      </c>
      <c r="AD2055" s="2" t="n">
        <v>0</v>
      </c>
      <c r="AE2055" s="2" t="n">
        <v>1</v>
      </c>
      <c r="AF2055" s="4" t="n">
        <v>1</v>
      </c>
      <c r="AG2055" s="33" t="n">
        <v>0</v>
      </c>
      <c r="AH2055" s="4" t="n">
        <v>0</v>
      </c>
      <c r="AI2055" s="34" t="n"/>
      <c r="AJ2055" s="34" t="n">
        <v>0</v>
      </c>
      <c r="AK2055" s="2" t="n">
        <v>0</v>
      </c>
      <c r="AL2055" t="inlineStr">
        <is>
          <t>Published</t>
        </is>
      </c>
    </row>
    <row r="2056">
      <c r="A2056">
        <f>HYPERLINK("https://www.walmart.com/ip/191240069", "191240069")</f>
        <v/>
      </c>
      <c r="B2056">
        <f>HYPERLINK("https://app.optiwise.ai/catalog/itemdetails/362746", "Men's Boxer Briefs Assorted Mens Underwear with Cotton Classic Stretch , 3-Pack by Terra")</f>
        <v/>
      </c>
      <c r="C2056" t="inlineStr">
        <is>
          <t>TERRABOXERSET1-L</t>
        </is>
      </c>
      <c r="D2056" t="inlineStr">
        <is>
          <t>Clothing</t>
        </is>
      </c>
      <c r="E2056" t="inlineStr">
        <is>
          <t>Underpants</t>
        </is>
      </c>
      <c r="F2056" t="inlineStr">
        <is>
          <t>Terra</t>
        </is>
      </c>
      <c r="G2056" t="n">
        <v>0</v>
      </c>
      <c r="H2056" t="n">
        <v>0</v>
      </c>
      <c r="I2056" t="inlineStr">
        <is>
          <t>WFS,WFS Item</t>
        </is>
      </c>
      <c r="J2056" s="29" t="n">
        <v>0</v>
      </c>
      <c r="K2056" s="30" t="n"/>
      <c r="L2056" s="29" t="n">
        <v>0</v>
      </c>
      <c r="M2056" s="29" t="n">
        <v>0</v>
      </c>
      <c r="N2056" s="2" t="n">
        <v>0</v>
      </c>
      <c r="O2056" s="31" t="n">
        <v>0</v>
      </c>
      <c r="P2056" s="32" t="n"/>
      <c r="Q2056" s="32" t="n">
        <v>0</v>
      </c>
      <c r="R2056" s="32" t="n">
        <v>0</v>
      </c>
      <c r="S2056" s="31" t="n">
        <v>0</v>
      </c>
      <c r="T2056" s="32" t="n">
        <v>0</v>
      </c>
      <c r="U2056" s="31" t="n">
        <v>0</v>
      </c>
      <c r="V2056" s="31" t="n">
        <v>0</v>
      </c>
      <c r="W2056" s="3" t="n">
        <v>0</v>
      </c>
      <c r="X2056" s="3" t="n">
        <v>0</v>
      </c>
      <c r="Y2056" s="32" t="n">
        <v>0</v>
      </c>
      <c r="Z2056" s="3" t="n">
        <v>0</v>
      </c>
      <c r="AA2056" s="32" t="n">
        <v>0</v>
      </c>
      <c r="AB2056" s="3" t="n"/>
      <c r="AC2056" s="31" t="n">
        <v>0</v>
      </c>
      <c r="AD2056" s="2" t="n">
        <v>0</v>
      </c>
      <c r="AE2056" s="2" t="n">
        <v>4</v>
      </c>
      <c r="AF2056" s="4" t="n">
        <v>4</v>
      </c>
      <c r="AG2056" s="33" t="n">
        <v>0</v>
      </c>
      <c r="AH2056" s="4" t="n">
        <v>0</v>
      </c>
      <c r="AI2056" s="34" t="n"/>
      <c r="AJ2056" s="34" t="n">
        <v>0</v>
      </c>
      <c r="AK2056" s="2" t="n">
        <v>0</v>
      </c>
      <c r="AL2056" t="inlineStr">
        <is>
          <t>Published</t>
        </is>
      </c>
    </row>
    <row r="2057">
      <c r="A2057">
        <f>HYPERLINK("https://www.walmart.com/ip/264860479", "264860479")</f>
        <v/>
      </c>
      <c r="B2057">
        <f>HYPERLINK("https://app.optiwise.ai/catalog/itemdetails/362743", "Tirrinia Unisex Surf Poncho Changing Towel Robe for Adult Surfer Swimmer Outdoor Beach")</f>
        <v/>
      </c>
      <c r="C2057" t="inlineStr">
        <is>
          <t>1WMBR100NY</t>
        </is>
      </c>
      <c r="D2057" t="inlineStr">
        <is>
          <t>Clothing</t>
        </is>
      </c>
      <c r="E2057" t="inlineStr">
        <is>
          <t>Towels &amp; Washcloths</t>
        </is>
      </c>
      <c r="F2057" t="inlineStr">
        <is>
          <t>Flyingstar</t>
        </is>
      </c>
      <c r="G2057" t="n">
        <v>4.5</v>
      </c>
      <c r="H2057" t="n">
        <v>2</v>
      </c>
      <c r="I2057" t="inlineStr">
        <is>
          <t>Beach Robe Camp,Batch 1 - TR</t>
        </is>
      </c>
      <c r="J2057" s="29" t="n">
        <v>0</v>
      </c>
      <c r="K2057" s="30" t="n"/>
      <c r="L2057" s="29" t="n">
        <v>0</v>
      </c>
      <c r="M2057" s="29" t="n">
        <v>0</v>
      </c>
      <c r="N2057" s="2" t="n">
        <v>0</v>
      </c>
      <c r="O2057" s="31" t="n">
        <v>0</v>
      </c>
      <c r="P2057" s="32" t="n"/>
      <c r="Q2057" s="32" t="n">
        <v>0</v>
      </c>
      <c r="R2057" s="32" t="n">
        <v>0</v>
      </c>
      <c r="S2057" s="31" t="n">
        <v>0</v>
      </c>
      <c r="T2057" s="32" t="n">
        <v>0</v>
      </c>
      <c r="U2057" s="31" t="n">
        <v>0</v>
      </c>
      <c r="V2057" s="31" t="n">
        <v>0</v>
      </c>
      <c r="W2057" s="3" t="n">
        <v>0</v>
      </c>
      <c r="X2057" s="3" t="n">
        <v>0</v>
      </c>
      <c r="Y2057" s="32" t="n">
        <v>0</v>
      </c>
      <c r="Z2057" s="3" t="n">
        <v>0</v>
      </c>
      <c r="AA2057" s="32" t="n">
        <v>0</v>
      </c>
      <c r="AB2057" s="3" t="n"/>
      <c r="AC2057" s="31" t="n">
        <v>0</v>
      </c>
      <c r="AD2057" s="2" t="n">
        <v>0</v>
      </c>
      <c r="AE2057" s="2" t="n">
        <v>3</v>
      </c>
      <c r="AF2057" s="4" t="n">
        <v>3</v>
      </c>
      <c r="AG2057" s="33" t="n">
        <v>0</v>
      </c>
      <c r="AH2057" s="4" t="n">
        <v>0</v>
      </c>
      <c r="AI2057" s="34" t="n"/>
      <c r="AJ2057" s="34" t="n">
        <v>0</v>
      </c>
      <c r="AK2057" s="2" t="n">
        <v>0</v>
      </c>
      <c r="AL2057" t="inlineStr">
        <is>
          <t>Published</t>
        </is>
      </c>
    </row>
    <row r="2058">
      <c r="A2058">
        <f>HYPERLINK("https://www.walmart.com/ip/885342309", "885342309")</f>
        <v/>
      </c>
      <c r="B2058">
        <f>HYPERLINK("https://app.optiwise.ai/catalog/itemdetails/362741", "Microplush Sherpa Blanket with Sleeves for Women and Men Grey")</f>
        <v/>
      </c>
      <c r="C2058" t="inlineStr">
        <is>
          <t>1TNSN110GY-TPB</t>
        </is>
      </c>
      <c r="D2058" t="inlineStr">
        <is>
          <t>Bedding</t>
        </is>
      </c>
      <c r="E2058" t="inlineStr">
        <is>
          <t>Throws</t>
        </is>
      </c>
      <c r="F2058" t="inlineStr">
        <is>
          <t>Terrania</t>
        </is>
      </c>
      <c r="G2058" t="n">
        <v>5</v>
      </c>
      <c r="H2058" t="n">
        <v>1</v>
      </c>
      <c r="J2058" s="29" t="n">
        <v>0</v>
      </c>
      <c r="K2058" s="30" t="n"/>
      <c r="L2058" s="29" t="n">
        <v>0</v>
      </c>
      <c r="M2058" s="29" t="n">
        <v>0</v>
      </c>
      <c r="N2058" s="2" t="n">
        <v>0</v>
      </c>
      <c r="O2058" s="31" t="n">
        <v>0</v>
      </c>
      <c r="P2058" s="32" t="n"/>
      <c r="Q2058" s="32" t="n">
        <v>0</v>
      </c>
      <c r="R2058" s="32" t="n">
        <v>0</v>
      </c>
      <c r="S2058" s="31" t="n">
        <v>0</v>
      </c>
      <c r="T2058" s="32" t="n">
        <v>0</v>
      </c>
      <c r="U2058" s="31" t="n">
        <v>0</v>
      </c>
      <c r="V2058" s="31" t="n">
        <v>0</v>
      </c>
      <c r="W2058" s="3" t="n">
        <v>0</v>
      </c>
      <c r="X2058" s="3" t="n">
        <v>0</v>
      </c>
      <c r="Y2058" s="32" t="n">
        <v>0</v>
      </c>
      <c r="Z2058" s="3" t="n">
        <v>0</v>
      </c>
      <c r="AA2058" s="32" t="n">
        <v>0</v>
      </c>
      <c r="AB2058" s="3" t="n"/>
      <c r="AC2058" s="31" t="n">
        <v>0</v>
      </c>
      <c r="AD2058" s="2" t="n">
        <v>0</v>
      </c>
      <c r="AE2058" s="2" t="n">
        <v>7</v>
      </c>
      <c r="AF2058" s="4" t="n">
        <v>7</v>
      </c>
      <c r="AG2058" s="33" t="n">
        <v>0</v>
      </c>
      <c r="AH2058" s="4" t="n">
        <v>0</v>
      </c>
      <c r="AI2058" s="34" t="n"/>
      <c r="AJ2058" s="34" t="n">
        <v>0</v>
      </c>
      <c r="AK2058" s="2" t="n">
        <v>0</v>
      </c>
      <c r="AL2058" t="inlineStr">
        <is>
          <t>Published</t>
        </is>
      </c>
    </row>
    <row r="2059">
      <c r="A2059">
        <f>HYPERLINK("https://www.walmart.com/ip/167474030", "167474030")</f>
        <v/>
      </c>
      <c r="B2059">
        <f>HYPERLINK("https://app.optiwise.ai/catalog/itemdetails/362736", "Catalonia Patriotic US Flag Blanket, Sherpa Fleece Plush Super Soft Cozy Warm Reversible Blanket for Couch Bed, 4th of July Citizenship Veteran Labor Day Gift, 50x60 inches")</f>
        <v/>
      </c>
      <c r="C2059" t="inlineStr">
        <is>
          <t>1CTBF300USA4</t>
        </is>
      </c>
      <c r="D2059" t="inlineStr">
        <is>
          <t>Bedding</t>
        </is>
      </c>
      <c r="E2059" t="inlineStr">
        <is>
          <t>Throws</t>
        </is>
      </c>
      <c r="F2059" t="inlineStr">
        <is>
          <t>Catalonia</t>
        </is>
      </c>
      <c r="G2059" t="n">
        <v>0</v>
      </c>
      <c r="H2059" t="n">
        <v>0</v>
      </c>
      <c r="I2059" t="inlineStr">
        <is>
          <t>WFS,WFS Item</t>
        </is>
      </c>
      <c r="J2059" s="29" t="n">
        <v>0</v>
      </c>
      <c r="K2059" s="30" t="n"/>
      <c r="L2059" s="29" t="n">
        <v>0</v>
      </c>
      <c r="M2059" s="29" t="n">
        <v>0</v>
      </c>
      <c r="N2059" s="2" t="n">
        <v>0</v>
      </c>
      <c r="O2059" s="31" t="n">
        <v>0</v>
      </c>
      <c r="P2059" s="32" t="n"/>
      <c r="Q2059" s="32" t="n">
        <v>0</v>
      </c>
      <c r="R2059" s="32" t="n">
        <v>0</v>
      </c>
      <c r="S2059" s="31" t="n">
        <v>0</v>
      </c>
      <c r="T2059" s="32" t="n">
        <v>0</v>
      </c>
      <c r="U2059" s="31" t="n">
        <v>0</v>
      </c>
      <c r="V2059" s="31" t="n">
        <v>0</v>
      </c>
      <c r="W2059" s="3" t="n">
        <v>0</v>
      </c>
      <c r="X2059" s="3" t="n">
        <v>0</v>
      </c>
      <c r="Y2059" s="32" t="n">
        <v>0</v>
      </c>
      <c r="Z2059" s="3" t="n">
        <v>0</v>
      </c>
      <c r="AA2059" s="32" t="n">
        <v>0</v>
      </c>
      <c r="AB2059" s="3" t="n"/>
      <c r="AC2059" s="31" t="n">
        <v>0</v>
      </c>
      <c r="AD2059" s="2" t="n">
        <v>0</v>
      </c>
      <c r="AE2059" s="2" t="n">
        <v>1</v>
      </c>
      <c r="AF2059" s="4" t="n">
        <v>1</v>
      </c>
      <c r="AG2059" s="33" t="n">
        <v>0</v>
      </c>
      <c r="AH2059" s="4" t="n">
        <v>0</v>
      </c>
      <c r="AI2059" s="34" t="n"/>
      <c r="AJ2059" s="34" t="n">
        <v>0</v>
      </c>
      <c r="AK2059" s="2" t="n">
        <v>0</v>
      </c>
      <c r="AL2059" t="inlineStr">
        <is>
          <t>Published</t>
        </is>
      </c>
    </row>
    <row r="2060">
      <c r="A2060">
        <f>HYPERLINK("https://www.walmart.com/ip/660689445", "660689445")</f>
        <v/>
      </c>
      <c r="B2060">
        <f>HYPERLINK("https://app.optiwise.ai/catalog/itemdetails/362734", "Tirrinia Wearable Fleece Blanket with Sleeves for Adult Women Men, Super Soft Comfy Plush TV Blanket Throw Wrap Cover for Lounge Couch Reading Watching TV 73 x 51 Grey")</f>
        <v/>
      </c>
      <c r="C2060" t="inlineStr">
        <is>
          <t>1TRSN100GY</t>
        </is>
      </c>
      <c r="D2060" t="inlineStr">
        <is>
          <t>Bedding</t>
        </is>
      </c>
      <c r="E2060" t="inlineStr">
        <is>
          <t>Throws</t>
        </is>
      </c>
      <c r="F2060" t="inlineStr">
        <is>
          <t>Tirrinia</t>
        </is>
      </c>
      <c r="G2060" t="n">
        <v>0</v>
      </c>
      <c r="H2060" t="n">
        <v>0</v>
      </c>
      <c r="I2060" t="inlineStr">
        <is>
          <t>WFS,WFS Item,Fleece Blankets</t>
        </is>
      </c>
      <c r="J2060" s="29" t="n">
        <v>0</v>
      </c>
      <c r="K2060" s="30" t="n"/>
      <c r="L2060" s="29" t="n">
        <v>0</v>
      </c>
      <c r="M2060" s="29" t="n">
        <v>0</v>
      </c>
      <c r="N2060" s="2" t="n">
        <v>0</v>
      </c>
      <c r="O2060" s="31" t="n">
        <v>0</v>
      </c>
      <c r="P2060" s="32" t="n"/>
      <c r="Q2060" s="32" t="n">
        <v>0</v>
      </c>
      <c r="R2060" s="32" t="n">
        <v>0</v>
      </c>
      <c r="S2060" s="31" t="n">
        <v>0</v>
      </c>
      <c r="T2060" s="32" t="n">
        <v>0</v>
      </c>
      <c r="U2060" s="31" t="n">
        <v>0</v>
      </c>
      <c r="V2060" s="31" t="n">
        <v>0</v>
      </c>
      <c r="W2060" s="3" t="n">
        <v>0</v>
      </c>
      <c r="X2060" s="3" t="n">
        <v>0</v>
      </c>
      <c r="Y2060" s="32" t="n">
        <v>0</v>
      </c>
      <c r="Z2060" s="3" t="n">
        <v>0</v>
      </c>
      <c r="AA2060" s="32" t="n">
        <v>0</v>
      </c>
      <c r="AB2060" s="3" t="n"/>
      <c r="AC2060" s="31" t="n">
        <v>0</v>
      </c>
      <c r="AD2060" s="2" t="n">
        <v>0</v>
      </c>
      <c r="AE2060" s="2" t="n">
        <v>2</v>
      </c>
      <c r="AF2060" s="4" t="n">
        <v>2</v>
      </c>
      <c r="AG2060" s="33" t="n">
        <v>0</v>
      </c>
      <c r="AH2060" s="4" t="n">
        <v>0</v>
      </c>
      <c r="AI2060" s="34" t="n"/>
      <c r="AJ2060" s="34" t="n">
        <v>0</v>
      </c>
      <c r="AK2060" s="2" t="n">
        <v>0</v>
      </c>
      <c r="AL2060" t="inlineStr">
        <is>
          <t>Published</t>
        </is>
      </c>
    </row>
    <row r="2061">
      <c r="A2061">
        <f>HYPERLINK("https://www.walmart.com/ip/604881836", "604881836")</f>
        <v/>
      </c>
      <c r="B2061">
        <f>HYPERLINK("https://app.optiwise.ai/catalog/itemdetails/362731", "Catalonia Sherpa Slipper Socks for Women &amp; Teen, Winter Indoor Non-Skid House Booties 11 Colors")</f>
        <v/>
      </c>
      <c r="C2061" t="inlineStr">
        <is>
          <t>1CTST200RD-2</t>
        </is>
      </c>
      <c r="D2061" t="inlineStr">
        <is>
          <t>Clothing</t>
        </is>
      </c>
      <c r="E2061" t="inlineStr">
        <is>
          <t>Socks</t>
        </is>
      </c>
      <c r="F2061" t="inlineStr">
        <is>
          <t>Catalonia</t>
        </is>
      </c>
      <c r="G2061" t="n">
        <v>0</v>
      </c>
      <c r="H2061" t="n">
        <v>0</v>
      </c>
      <c r="I2061" t="inlineStr">
        <is>
          <t>WFS,WFS Item</t>
        </is>
      </c>
      <c r="J2061" s="29" t="n">
        <v>0</v>
      </c>
      <c r="K2061" s="30" t="n"/>
      <c r="L2061" s="29" t="n">
        <v>0</v>
      </c>
      <c r="M2061" s="29" t="n">
        <v>0</v>
      </c>
      <c r="N2061" s="2" t="n">
        <v>0</v>
      </c>
      <c r="O2061" s="31" t="n">
        <v>0</v>
      </c>
      <c r="P2061" s="32" t="n"/>
      <c r="Q2061" s="32" t="n">
        <v>0</v>
      </c>
      <c r="R2061" s="32" t="n">
        <v>0</v>
      </c>
      <c r="S2061" s="31" t="n">
        <v>0</v>
      </c>
      <c r="T2061" s="32" t="n">
        <v>0</v>
      </c>
      <c r="U2061" s="31" t="n">
        <v>0</v>
      </c>
      <c r="V2061" s="31" t="n">
        <v>0</v>
      </c>
      <c r="W2061" s="3" t="n">
        <v>0</v>
      </c>
      <c r="X2061" s="3" t="n">
        <v>0</v>
      </c>
      <c r="Y2061" s="32" t="n">
        <v>0</v>
      </c>
      <c r="Z2061" s="3" t="n">
        <v>0</v>
      </c>
      <c r="AA2061" s="32" t="n">
        <v>0</v>
      </c>
      <c r="AB2061" s="3" t="n"/>
      <c r="AC2061" s="31" t="n">
        <v>0</v>
      </c>
      <c r="AD2061" s="2" t="n">
        <v>0</v>
      </c>
      <c r="AE2061" s="2" t="n">
        <v>10</v>
      </c>
      <c r="AF2061" s="4" t="n">
        <v>10</v>
      </c>
      <c r="AG2061" s="33" t="n">
        <v>0</v>
      </c>
      <c r="AH2061" s="4" t="n">
        <v>0</v>
      </c>
      <c r="AI2061" s="34" t="n"/>
      <c r="AJ2061" s="34" t="n">
        <v>0</v>
      </c>
      <c r="AK2061" s="2" t="n">
        <v>0</v>
      </c>
      <c r="AL2061" t="inlineStr">
        <is>
          <t>Published</t>
        </is>
      </c>
    </row>
    <row r="2062">
      <c r="A2062">
        <f>HYPERLINK("https://www.walmart.com/ip/189604473", "189604473")</f>
        <v/>
      </c>
      <c r="B2062">
        <f>HYPERLINK("https://app.optiwise.ai/catalog/itemdetails/362728", "Flyingstar Sherpa Throws Blanket, Fleece Soft Cozy Blanket Throws for Sofa Bed 50x60")</f>
        <v/>
      </c>
      <c r="C2062" t="inlineStr">
        <is>
          <t>1WMBF301MK-ESGM</t>
        </is>
      </c>
      <c r="D2062" t="inlineStr">
        <is>
          <t>Bedding</t>
        </is>
      </c>
      <c r="E2062" t="inlineStr">
        <is>
          <t>Throws</t>
        </is>
      </c>
      <c r="F2062" t="inlineStr">
        <is>
          <t>Flyingstar</t>
        </is>
      </c>
      <c r="G2062" t="n">
        <v>0</v>
      </c>
      <c r="H2062" t="n">
        <v>0</v>
      </c>
      <c r="I2062" t="inlineStr">
        <is>
          <t>Optimized</t>
        </is>
      </c>
      <c r="J2062" s="29" t="n">
        <v>0</v>
      </c>
      <c r="K2062" s="30" t="n"/>
      <c r="L2062" s="29" t="n">
        <v>0</v>
      </c>
      <c r="M2062" s="29" t="n">
        <v>0</v>
      </c>
      <c r="N2062" s="2" t="n">
        <v>0</v>
      </c>
      <c r="O2062" s="31" t="n">
        <v>0</v>
      </c>
      <c r="P2062" s="32" t="n"/>
      <c r="Q2062" s="32" t="n">
        <v>0</v>
      </c>
      <c r="R2062" s="32" t="n">
        <v>0</v>
      </c>
      <c r="S2062" s="31" t="n">
        <v>0</v>
      </c>
      <c r="T2062" s="32" t="n">
        <v>0</v>
      </c>
      <c r="U2062" s="31" t="n">
        <v>0</v>
      </c>
      <c r="V2062" s="31" t="n">
        <v>0</v>
      </c>
      <c r="W2062" s="3" t="n">
        <v>0</v>
      </c>
      <c r="X2062" s="3" t="n">
        <v>0</v>
      </c>
      <c r="Y2062" s="32" t="n">
        <v>0</v>
      </c>
      <c r="Z2062" s="3" t="n">
        <v>0</v>
      </c>
      <c r="AA2062" s="32" t="n">
        <v>0</v>
      </c>
      <c r="AB2062" s="3" t="n"/>
      <c r="AC2062" s="31" t="n">
        <v>0</v>
      </c>
      <c r="AD2062" s="2" t="n">
        <v>0</v>
      </c>
      <c r="AE2062" s="2" t="n">
        <v>1</v>
      </c>
      <c r="AF2062" s="4" t="n">
        <v>1</v>
      </c>
      <c r="AG2062" s="33" t="n">
        <v>0</v>
      </c>
      <c r="AH2062" s="4" t="n">
        <v>0</v>
      </c>
      <c r="AI2062" s="34" t="n"/>
      <c r="AJ2062" s="34" t="n">
        <v>0</v>
      </c>
      <c r="AK2062" s="2" t="n">
        <v>0</v>
      </c>
      <c r="AL2062" t="inlineStr">
        <is>
          <t>Published</t>
        </is>
      </c>
    </row>
    <row r="2063">
      <c r="A2063">
        <f>HYPERLINK("https://www.walmart.com/ip/689089955", "689089955")</f>
        <v/>
      </c>
      <c r="B2063">
        <f>HYPERLINK("https://app.optiwise.ai/catalog/itemdetails/362712", "Catalonia Beach Changing Poncho Towel with Hood, Super Absorbent Microfiber Swim Robe for Men Women Surfing Bath Shower Pool, Quick Drying, Grey")</f>
        <v/>
      </c>
      <c r="C2063" t="inlineStr">
        <is>
          <t>1CTBR100-GY-ES</t>
        </is>
      </c>
      <c r="D2063" t="inlineStr">
        <is>
          <t>Clothing</t>
        </is>
      </c>
      <c r="E2063" t="inlineStr">
        <is>
          <t>default</t>
        </is>
      </c>
      <c r="F2063" t="inlineStr">
        <is>
          <t>Catalonia</t>
        </is>
      </c>
      <c r="G2063" t="n">
        <v>0</v>
      </c>
      <c r="H2063" t="n">
        <v>0</v>
      </c>
      <c r="I2063" t="inlineStr">
        <is>
          <t>Optimized</t>
        </is>
      </c>
      <c r="J2063" s="29" t="n">
        <v>0</v>
      </c>
      <c r="K2063" s="30" t="n"/>
      <c r="L2063" s="29" t="n">
        <v>0</v>
      </c>
      <c r="M2063" s="29" t="n">
        <v>0</v>
      </c>
      <c r="N2063" s="2" t="n">
        <v>0</v>
      </c>
      <c r="O2063" s="31" t="n">
        <v>0</v>
      </c>
      <c r="P2063" s="32" t="n"/>
      <c r="Q2063" s="32" t="n">
        <v>0</v>
      </c>
      <c r="R2063" s="32" t="n">
        <v>0</v>
      </c>
      <c r="S2063" s="31" t="n">
        <v>0</v>
      </c>
      <c r="T2063" s="32" t="n">
        <v>0</v>
      </c>
      <c r="U2063" s="31" t="n">
        <v>0</v>
      </c>
      <c r="V2063" s="31" t="n">
        <v>0</v>
      </c>
      <c r="W2063" s="3" t="n">
        <v>0</v>
      </c>
      <c r="X2063" s="3" t="n">
        <v>0</v>
      </c>
      <c r="Y2063" s="32" t="n">
        <v>0</v>
      </c>
      <c r="Z2063" s="3" t="n">
        <v>0</v>
      </c>
      <c r="AA2063" s="32" t="n">
        <v>0</v>
      </c>
      <c r="AB2063" s="3" t="n"/>
      <c r="AC2063" s="31" t="n">
        <v>0</v>
      </c>
      <c r="AD2063" s="2" t="n">
        <v>0</v>
      </c>
      <c r="AE2063" s="2" t="n">
        <v>21</v>
      </c>
      <c r="AF2063" s="4" t="n">
        <v>21</v>
      </c>
      <c r="AG2063" s="33" t="n">
        <v>0</v>
      </c>
      <c r="AH2063" s="4" t="n">
        <v>0</v>
      </c>
      <c r="AI2063" s="34" t="n"/>
      <c r="AJ2063" s="34" t="n">
        <v>0</v>
      </c>
      <c r="AK2063" s="2" t="n">
        <v>0</v>
      </c>
      <c r="AL2063" t="inlineStr">
        <is>
          <t>Published</t>
        </is>
      </c>
    </row>
    <row r="2064">
      <c r="A2064">
        <f>HYPERLINK("https://www.walmart.com/ip/954491761", "954491761")</f>
        <v/>
      </c>
      <c r="B2064">
        <f>HYPERLINK("https://app.optiwise.ai/catalog/itemdetails/362805", "Flyingstar Blanket with Sleeves and Pocket, Wearable Throws Blanket, Robe for Women and Men 73” x 51” Green")</f>
        <v/>
      </c>
      <c r="C2064" t="inlineStr">
        <is>
          <t>1WMSN100GN-ESGM</t>
        </is>
      </c>
      <c r="D2064" t="inlineStr">
        <is>
          <t>Bedding</t>
        </is>
      </c>
      <c r="E2064" t="inlineStr">
        <is>
          <t>Throws</t>
        </is>
      </c>
      <c r="F2064" t="inlineStr">
        <is>
          <t>Flyingstar</t>
        </is>
      </c>
      <c r="G2064" t="n">
        <v>0</v>
      </c>
      <c r="H2064" t="n">
        <v>0</v>
      </c>
      <c r="I2064" t="inlineStr">
        <is>
          <t>ST Patrick Day</t>
        </is>
      </c>
      <c r="J2064" s="29" t="n">
        <v>0</v>
      </c>
      <c r="K2064" s="30" t="n"/>
      <c r="L2064" s="29" t="n">
        <v>0</v>
      </c>
      <c r="M2064" s="29" t="n">
        <v>0</v>
      </c>
      <c r="N2064" s="2" t="n">
        <v>0</v>
      </c>
      <c r="O2064" s="31" t="n">
        <v>0</v>
      </c>
      <c r="P2064" s="32" t="n"/>
      <c r="Q2064" s="32" t="n">
        <v>0</v>
      </c>
      <c r="R2064" s="32" t="n">
        <v>0</v>
      </c>
      <c r="S2064" s="31" t="n">
        <v>0</v>
      </c>
      <c r="T2064" s="32" t="n">
        <v>0</v>
      </c>
      <c r="U2064" s="31" t="n">
        <v>0</v>
      </c>
      <c r="V2064" s="31" t="n">
        <v>0</v>
      </c>
      <c r="W2064" s="3" t="n">
        <v>0</v>
      </c>
      <c r="X2064" s="3" t="n">
        <v>0</v>
      </c>
      <c r="Y2064" s="32" t="n">
        <v>0</v>
      </c>
      <c r="Z2064" s="3" t="n">
        <v>0</v>
      </c>
      <c r="AA2064" s="32" t="n">
        <v>0</v>
      </c>
      <c r="AB2064" s="3" t="n"/>
      <c r="AC2064" s="31" t="n">
        <v>0</v>
      </c>
      <c r="AD2064" s="2" t="n">
        <v>0</v>
      </c>
      <c r="AE2064" s="2" t="n">
        <v>1</v>
      </c>
      <c r="AF2064" s="4" t="n">
        <v>1</v>
      </c>
      <c r="AG2064" s="33" t="n">
        <v>0</v>
      </c>
      <c r="AH2064" s="4" t="n">
        <v>0</v>
      </c>
      <c r="AI2064" s="34" t="n"/>
      <c r="AJ2064" s="34" t="n">
        <v>0</v>
      </c>
      <c r="AK2064" s="2" t="n">
        <v>0</v>
      </c>
      <c r="AL2064" t="inlineStr">
        <is>
          <t>Published</t>
        </is>
      </c>
    </row>
    <row r="2065">
      <c r="A2065">
        <f>HYPERLINK("https://www.walmart.com/ip/901154057", "901154057")</f>
        <v/>
      </c>
      <c r="B2065">
        <f>HYPERLINK("https://app.optiwise.ai/catalog/itemdetails/362810", "Tirrinia Insulated Wine Tumbler, Silver")</f>
        <v/>
      </c>
      <c r="C2065" t="inlineStr">
        <is>
          <t>1TRWT120SL</t>
        </is>
      </c>
      <c r="D2065" t="inlineStr">
        <is>
          <t>Home Decor, Kitchen, &amp; Other</t>
        </is>
      </c>
      <c r="E2065" t="inlineStr">
        <is>
          <t>Tumblers</t>
        </is>
      </c>
      <c r="F2065" t="inlineStr">
        <is>
          <t>Tirrinia</t>
        </is>
      </c>
      <c r="G2065" t="n">
        <v>4.5</v>
      </c>
      <c r="H2065" t="n">
        <v>2</v>
      </c>
      <c r="I2065" t="inlineStr">
        <is>
          <t>Wine,Christmas,Optimized,Valentine</t>
        </is>
      </c>
      <c r="J2065" s="29" t="n">
        <v>0</v>
      </c>
      <c r="K2065" s="30" t="n"/>
      <c r="L2065" s="29" t="n">
        <v>0</v>
      </c>
      <c r="M2065" s="29" t="n">
        <v>0</v>
      </c>
      <c r="N2065" s="2" t="n">
        <v>0</v>
      </c>
      <c r="O2065" s="31" t="n">
        <v>0</v>
      </c>
      <c r="P2065" s="32" t="n"/>
      <c r="Q2065" s="32" t="n">
        <v>0</v>
      </c>
      <c r="R2065" s="32" t="n">
        <v>0</v>
      </c>
      <c r="S2065" s="31" t="n">
        <v>0</v>
      </c>
      <c r="T2065" s="32" t="n">
        <v>0</v>
      </c>
      <c r="U2065" s="31" t="n">
        <v>0</v>
      </c>
      <c r="V2065" s="31" t="n">
        <v>0</v>
      </c>
      <c r="W2065" s="3" t="n">
        <v>0</v>
      </c>
      <c r="X2065" s="3" t="n">
        <v>0</v>
      </c>
      <c r="Y2065" s="32" t="n">
        <v>0</v>
      </c>
      <c r="Z2065" s="3" t="n">
        <v>0</v>
      </c>
      <c r="AA2065" s="32" t="n">
        <v>0</v>
      </c>
      <c r="AB2065" s="3" t="n"/>
      <c r="AC2065" s="31" t="n">
        <v>0</v>
      </c>
      <c r="AD2065" s="2" t="n">
        <v>0</v>
      </c>
      <c r="AE2065" s="2" t="n">
        <v>74</v>
      </c>
      <c r="AF2065" s="4" t="n">
        <v>74</v>
      </c>
      <c r="AG2065" s="33" t="n">
        <v>0</v>
      </c>
      <c r="AH2065" s="4" t="n">
        <v>0</v>
      </c>
      <c r="AI2065" s="34" t="n"/>
      <c r="AJ2065" s="34" t="n">
        <v>0</v>
      </c>
      <c r="AK2065" s="2" t="n">
        <v>0</v>
      </c>
      <c r="AL2065" t="inlineStr">
        <is>
          <t>Published</t>
        </is>
      </c>
    </row>
    <row r="2066">
      <c r="A2066">
        <f>HYPERLINK("https://www.walmart.com/ip/142905199", "142905199")</f>
        <v/>
      </c>
      <c r="B2066">
        <f>HYPERLINK("https://app.optiwise.ai/catalog/itemdetails/362544", "KC Caps Washed Cotton Twill Hat")</f>
        <v/>
      </c>
      <c r="C2066" t="inlineStr">
        <is>
          <t>KCS4130ROY</t>
        </is>
      </c>
      <c r="D2066" t="inlineStr">
        <is>
          <t>Clothing</t>
        </is>
      </c>
      <c r="E2066" t="inlineStr">
        <is>
          <t>Hats</t>
        </is>
      </c>
      <c r="F2066" t="inlineStr">
        <is>
          <t>KC Caps</t>
        </is>
      </c>
      <c r="G2066" t="n">
        <v>0</v>
      </c>
      <c r="H2066" t="n">
        <v>0</v>
      </c>
      <c r="I2066" t="inlineStr">
        <is>
          <t>Optimized</t>
        </is>
      </c>
      <c r="J2066" s="29" t="n">
        <v>0</v>
      </c>
      <c r="K2066" s="30" t="n"/>
      <c r="L2066" s="29" t="n">
        <v>0</v>
      </c>
      <c r="M2066" s="29" t="n">
        <v>0</v>
      </c>
      <c r="N2066" s="2" t="n">
        <v>0</v>
      </c>
      <c r="O2066" s="31" t="n">
        <v>0</v>
      </c>
      <c r="P2066" s="32" t="n"/>
      <c r="Q2066" s="32" t="n">
        <v>0</v>
      </c>
      <c r="R2066" s="32" t="n">
        <v>0</v>
      </c>
      <c r="S2066" s="31" t="n">
        <v>0</v>
      </c>
      <c r="T2066" s="32" t="n">
        <v>0</v>
      </c>
      <c r="U2066" s="31" t="n">
        <v>0</v>
      </c>
      <c r="V2066" s="31" t="n">
        <v>0</v>
      </c>
      <c r="W2066" s="3" t="n">
        <v>0</v>
      </c>
      <c r="X2066" s="3" t="n">
        <v>0</v>
      </c>
      <c r="Y2066" s="32" t="n">
        <v>0</v>
      </c>
      <c r="Z2066" s="3" t="n">
        <v>0</v>
      </c>
      <c r="AA2066" s="32" t="n">
        <v>0</v>
      </c>
      <c r="AB2066" s="3" t="n"/>
      <c r="AC2066" s="31" t="n">
        <v>0</v>
      </c>
      <c r="AD2066" s="2" t="n">
        <v>0</v>
      </c>
      <c r="AE2066" s="2" t="n">
        <v>2</v>
      </c>
      <c r="AF2066" s="4" t="n">
        <v>2</v>
      </c>
      <c r="AG2066" s="33" t="n">
        <v>0</v>
      </c>
      <c r="AH2066" s="4" t="n">
        <v>0</v>
      </c>
      <c r="AI2066" s="34" t="n"/>
      <c r="AJ2066" s="34" t="n">
        <v>0</v>
      </c>
      <c r="AK2066" s="2" t="n">
        <v>0</v>
      </c>
      <c r="AL2066" t="inlineStr">
        <is>
          <t>Published</t>
        </is>
      </c>
    </row>
    <row r="2067">
      <c r="A2067">
        <f>HYPERLINK("https://www.walmart.com/ip/574476832", "574476832")</f>
        <v/>
      </c>
      <c r="B2067">
        <f>HYPERLINK("https://app.optiwise.ai/catalog/itemdetails/373678", "Catalonia Wearable TV Blanket with Sleeves Arms Warm Micro Plush Sherpa Fleece for Adult Large Wrap Throw Robe 72 x 55”")</f>
        <v/>
      </c>
      <c r="C2067" t="inlineStr">
        <is>
          <t>1CTSN110PK</t>
        </is>
      </c>
      <c r="D2067" t="inlineStr">
        <is>
          <t>Bedding</t>
        </is>
      </c>
      <c r="E2067" t="inlineStr">
        <is>
          <t>Throws</t>
        </is>
      </c>
      <c r="F2067" t="inlineStr">
        <is>
          <t>Catalonia</t>
        </is>
      </c>
      <c r="G2067" t="n">
        <v>0</v>
      </c>
      <c r="H2067" t="n">
        <v>0</v>
      </c>
      <c r="I2067" t="inlineStr">
        <is>
          <t>WFS,WFS Item</t>
        </is>
      </c>
      <c r="J2067" s="29" t="n">
        <v>0</v>
      </c>
      <c r="K2067" s="30" t="n"/>
      <c r="L2067" s="29" t="n">
        <v>0</v>
      </c>
      <c r="M2067" s="29" t="n">
        <v>0</v>
      </c>
      <c r="N2067" s="2" t="n">
        <v>0</v>
      </c>
      <c r="O2067" s="31" t="n">
        <v>0</v>
      </c>
      <c r="P2067" s="32" t="n"/>
      <c r="Q2067" s="32" t="n">
        <v>0</v>
      </c>
      <c r="R2067" s="32" t="n">
        <v>0</v>
      </c>
      <c r="S2067" s="31" t="n">
        <v>0</v>
      </c>
      <c r="T2067" s="32" t="n">
        <v>0</v>
      </c>
      <c r="U2067" s="31" t="n">
        <v>0</v>
      </c>
      <c r="V2067" s="31" t="n">
        <v>0</v>
      </c>
      <c r="W2067" s="3" t="n">
        <v>0</v>
      </c>
      <c r="X2067" s="3" t="n">
        <v>0</v>
      </c>
      <c r="Y2067" s="32" t="n">
        <v>0</v>
      </c>
      <c r="Z2067" s="3" t="n">
        <v>0</v>
      </c>
      <c r="AA2067" s="32" t="n">
        <v>0</v>
      </c>
      <c r="AB2067" s="3" t="n"/>
      <c r="AC2067" s="31" t="n">
        <v>0</v>
      </c>
      <c r="AD2067" s="2" t="n">
        <v>0</v>
      </c>
      <c r="AE2067" s="2" t="n">
        <v>16</v>
      </c>
      <c r="AF2067" s="4" t="n">
        <v>16</v>
      </c>
      <c r="AG2067" s="33" t="n">
        <v>0</v>
      </c>
      <c r="AH2067" s="4" t="n">
        <v>0</v>
      </c>
      <c r="AI2067" s="34" t="n"/>
      <c r="AJ2067" s="34" t="n">
        <v>0</v>
      </c>
      <c r="AK2067" s="2" t="n">
        <v>0</v>
      </c>
      <c r="AL2067" t="inlineStr">
        <is>
          <t>Published</t>
        </is>
      </c>
    </row>
    <row r="2068">
      <c r="A2068">
        <f>HYPERLINK("https://www.walmart.com/ip/493813539", "493813539")</f>
        <v/>
      </c>
      <c r="B2068">
        <f>HYPERLINK("https://app.optiwise.ai/catalog/itemdetails/380732", "Catalonia Fleece Throw Blanket for Couch, Lightweight All Seasons Soft Cozy Moroccan Blanket for Home Living Room Decorative, 50'' x 60'', Blue")</f>
        <v/>
      </c>
      <c r="C2068" t="inlineStr">
        <is>
          <t>1CTBF580LTSBL</t>
        </is>
      </c>
      <c r="D2068" t="inlineStr">
        <is>
          <t>Bedding</t>
        </is>
      </c>
      <c r="E2068" t="inlineStr">
        <is>
          <t>Throws</t>
        </is>
      </c>
      <c r="F2068" t="inlineStr">
        <is>
          <t>Catalonia</t>
        </is>
      </c>
      <c r="G2068" t="n">
        <v>5</v>
      </c>
      <c r="H2068" t="n">
        <v>3</v>
      </c>
      <c r="I2068" t="inlineStr">
        <is>
          <t>WFS,WFS Item</t>
        </is>
      </c>
      <c r="J2068" s="29" t="n">
        <v>0</v>
      </c>
      <c r="K2068" s="30" t="n"/>
      <c r="L2068" s="29" t="n">
        <v>0</v>
      </c>
      <c r="M2068" s="29" t="n">
        <v>0</v>
      </c>
      <c r="N2068" s="2" t="n">
        <v>0</v>
      </c>
      <c r="O2068" s="31" t="n">
        <v>0</v>
      </c>
      <c r="P2068" s="32" t="n"/>
      <c r="Q2068" s="32" t="n">
        <v>0</v>
      </c>
      <c r="R2068" s="32" t="n">
        <v>0</v>
      </c>
      <c r="S2068" s="31" t="n">
        <v>0</v>
      </c>
      <c r="T2068" s="32" t="n">
        <v>0</v>
      </c>
      <c r="U2068" s="31" t="n">
        <v>0</v>
      </c>
      <c r="V2068" s="31" t="n">
        <v>0</v>
      </c>
      <c r="W2068" s="3" t="n">
        <v>0</v>
      </c>
      <c r="X2068" s="3" t="n">
        <v>0</v>
      </c>
      <c r="Y2068" s="32" t="n">
        <v>0</v>
      </c>
      <c r="Z2068" s="3" t="n">
        <v>0</v>
      </c>
      <c r="AA2068" s="32" t="n">
        <v>0</v>
      </c>
      <c r="AB2068" s="3" t="n"/>
      <c r="AC2068" s="31" t="n">
        <v>0</v>
      </c>
      <c r="AD2068" s="2" t="n">
        <v>0</v>
      </c>
      <c r="AE2068" s="2" t="n">
        <v>140</v>
      </c>
      <c r="AF2068" s="4" t="n">
        <v>140</v>
      </c>
      <c r="AG2068" s="33" t="n">
        <v>0</v>
      </c>
      <c r="AH2068" s="4" t="n">
        <v>0</v>
      </c>
      <c r="AI2068" s="34" t="n"/>
      <c r="AJ2068" s="34" t="n">
        <v>0</v>
      </c>
      <c r="AK2068" s="2" t="n">
        <v>0</v>
      </c>
      <c r="AL2068" t="inlineStr">
        <is>
          <t>Published</t>
        </is>
      </c>
    </row>
    <row r="2069">
      <c r="A2069">
        <f>HYPERLINK("https://www.walmart.com/ip/330630738", "330630738")</f>
        <v/>
      </c>
      <c r="B2069">
        <f>HYPERLINK("https://app.optiwise.ai/catalog/itemdetails/380731", "Sherpa Fleece Throw Blanket for Kids,Super Soft Light Weight Reversible Fuzzy Snuggle Blanket for Camping Couch Bed All")</f>
        <v/>
      </c>
      <c r="C2069" t="inlineStr">
        <is>
          <t>1CTBF579GN</t>
        </is>
      </c>
      <c r="D2069" t="inlineStr">
        <is>
          <t>Bedding</t>
        </is>
      </c>
      <c r="E2069" t="inlineStr">
        <is>
          <t>Throws</t>
        </is>
      </c>
      <c r="F2069" t="inlineStr">
        <is>
          <t>Catalonia</t>
        </is>
      </c>
      <c r="G2069" t="n">
        <v>3.8</v>
      </c>
      <c r="H2069" t="n">
        <v>4</v>
      </c>
      <c r="I2069" t="inlineStr">
        <is>
          <t>WFS,WFS Item</t>
        </is>
      </c>
      <c r="J2069" s="29" t="n">
        <v>0</v>
      </c>
      <c r="K2069" s="30" t="n"/>
      <c r="L2069" s="29" t="n">
        <v>0</v>
      </c>
      <c r="M2069" s="29" t="n">
        <v>0</v>
      </c>
      <c r="N2069" s="2" t="n">
        <v>0</v>
      </c>
      <c r="O2069" s="31" t="n">
        <v>0</v>
      </c>
      <c r="P2069" s="32" t="n"/>
      <c r="Q2069" s="32" t="n">
        <v>0</v>
      </c>
      <c r="R2069" s="32" t="n">
        <v>0</v>
      </c>
      <c r="S2069" s="31" t="n">
        <v>0</v>
      </c>
      <c r="T2069" s="32" t="n">
        <v>0</v>
      </c>
      <c r="U2069" s="31" t="n">
        <v>0</v>
      </c>
      <c r="V2069" s="31" t="n">
        <v>0</v>
      </c>
      <c r="W2069" s="3" t="n">
        <v>0</v>
      </c>
      <c r="X2069" s="3" t="n">
        <v>0</v>
      </c>
      <c r="Y2069" s="32" t="n">
        <v>0</v>
      </c>
      <c r="Z2069" s="3" t="n">
        <v>0</v>
      </c>
      <c r="AA2069" s="32" t="n">
        <v>0</v>
      </c>
      <c r="AB2069" s="3" t="n"/>
      <c r="AC2069" s="31" t="n">
        <v>0</v>
      </c>
      <c r="AD2069" s="2" t="n">
        <v>0</v>
      </c>
      <c r="AE2069" s="2" t="n">
        <v>17</v>
      </c>
      <c r="AF2069" s="4" t="n">
        <v>17</v>
      </c>
      <c r="AG2069" s="33" t="n">
        <v>0</v>
      </c>
      <c r="AH2069" s="4" t="n">
        <v>0</v>
      </c>
      <c r="AI2069" s="34" t="n"/>
      <c r="AJ2069" s="34" t="n">
        <v>0</v>
      </c>
      <c r="AK2069" s="2" t="n">
        <v>0</v>
      </c>
      <c r="AL2069" t="inlineStr">
        <is>
          <t>Published</t>
        </is>
      </c>
    </row>
    <row r="2070">
      <c r="A2070">
        <f>HYPERLINK("https://www.walmart.com/ip/458546927", "458546927")</f>
        <v/>
      </c>
      <c r="B2070">
        <f>HYPERLINK("https://app.optiwise.ai/catalog/itemdetails/380727", "Women's Poncho with Cheetah Faux Fur Collar, Fleece Cloak Coat, Soft Warm Snuggly  Cape, Gift Idea for Adults and Teen Girls")</f>
        <v/>
      </c>
      <c r="C2070" t="inlineStr">
        <is>
          <t>1CTBC301BK</t>
        </is>
      </c>
      <c r="D2070" t="inlineStr">
        <is>
          <t>Clothing</t>
        </is>
      </c>
      <c r="E2070" t="inlineStr">
        <is>
          <t>default</t>
        </is>
      </c>
      <c r="F2070" t="inlineStr">
        <is>
          <t>Catalonia</t>
        </is>
      </c>
      <c r="G2070" t="n">
        <v>0</v>
      </c>
      <c r="H2070" t="n">
        <v>0</v>
      </c>
      <c r="I2070" t="inlineStr">
        <is>
          <t>Batch 1 - TR</t>
        </is>
      </c>
      <c r="J2070" s="29" t="n">
        <v>0</v>
      </c>
      <c r="K2070" s="30" t="n"/>
      <c r="L2070" s="29" t="n">
        <v>0</v>
      </c>
      <c r="M2070" s="29" t="n">
        <v>0</v>
      </c>
      <c r="N2070" s="2" t="n">
        <v>0</v>
      </c>
      <c r="O2070" s="31" t="n">
        <v>0</v>
      </c>
      <c r="P2070" s="32" t="n"/>
      <c r="Q2070" s="32" t="n">
        <v>0</v>
      </c>
      <c r="R2070" s="32" t="n">
        <v>0</v>
      </c>
      <c r="S2070" s="31" t="n">
        <v>0</v>
      </c>
      <c r="T2070" s="32" t="n">
        <v>0</v>
      </c>
      <c r="U2070" s="31" t="n">
        <v>0</v>
      </c>
      <c r="V2070" s="31" t="n">
        <v>0</v>
      </c>
      <c r="W2070" s="3" t="n">
        <v>0</v>
      </c>
      <c r="X2070" s="3" t="n">
        <v>0</v>
      </c>
      <c r="Y2070" s="32" t="n">
        <v>0</v>
      </c>
      <c r="Z2070" s="3" t="n">
        <v>0</v>
      </c>
      <c r="AA2070" s="32" t="n">
        <v>0</v>
      </c>
      <c r="AB2070" s="3" t="n"/>
      <c r="AC2070" s="31" t="n">
        <v>0</v>
      </c>
      <c r="AD2070" s="2" t="n">
        <v>2</v>
      </c>
      <c r="AE2070" s="2" t="n">
        <v>83</v>
      </c>
      <c r="AF2070" s="4" t="n">
        <v>83</v>
      </c>
      <c r="AG2070" s="33" t="n">
        <v>0</v>
      </c>
      <c r="AH2070" s="4" t="n">
        <v>0</v>
      </c>
      <c r="AI2070" s="34" t="n"/>
      <c r="AJ2070" s="34" t="n">
        <v>0</v>
      </c>
      <c r="AK2070" s="2" t="n">
        <v>0</v>
      </c>
      <c r="AL2070" t="inlineStr">
        <is>
          <t>Published</t>
        </is>
      </c>
    </row>
    <row r="2071">
      <c r="A2071">
        <f>HYPERLINK("https://www.walmart.com/ip/732723404", "732723404")</f>
        <v/>
      </c>
      <c r="B2071">
        <f>HYPERLINK("https://app.optiwise.ai/catalog/itemdetails/380726", "Tirrinia Portable Travel Blanket for Airplane and Office, 4-in-1 Fleece Poncho Blanket, Folable with Pocket and Built-in Bag-Great for Airplane, Car, Train, Travel and Camping, Dark Blue, 60 x 40")</f>
        <v/>
      </c>
      <c r="C2071" t="inlineStr">
        <is>
          <t>1TRTB100DBL</t>
        </is>
      </c>
      <c r="D2071" t="inlineStr">
        <is>
          <t>Bedding</t>
        </is>
      </c>
      <c r="E2071" t="inlineStr">
        <is>
          <t>Throws</t>
        </is>
      </c>
      <c r="F2071" t="inlineStr">
        <is>
          <t>Tirrinia</t>
        </is>
      </c>
      <c r="G2071" t="n">
        <v>4.1</v>
      </c>
      <c r="H2071" t="n">
        <v>9</v>
      </c>
      <c r="I2071" t="inlineStr">
        <is>
          <t>WFS,SEM,WFS Item</t>
        </is>
      </c>
      <c r="J2071" s="29" t="n">
        <v>0</v>
      </c>
      <c r="K2071" s="30" t="n"/>
      <c r="L2071" s="29" t="n">
        <v>0</v>
      </c>
      <c r="M2071" s="29" t="n">
        <v>0</v>
      </c>
      <c r="N2071" s="2" t="n">
        <v>0</v>
      </c>
      <c r="O2071" s="31" t="n">
        <v>0</v>
      </c>
      <c r="P2071" s="32" t="n"/>
      <c r="Q2071" s="32" t="n">
        <v>0</v>
      </c>
      <c r="R2071" s="32" t="n">
        <v>0</v>
      </c>
      <c r="S2071" s="31" t="n">
        <v>0</v>
      </c>
      <c r="T2071" s="32" t="n">
        <v>0</v>
      </c>
      <c r="U2071" s="31" t="n">
        <v>0</v>
      </c>
      <c r="V2071" s="31" t="n">
        <v>0</v>
      </c>
      <c r="W2071" s="3" t="n">
        <v>0</v>
      </c>
      <c r="X2071" s="3" t="n">
        <v>0</v>
      </c>
      <c r="Y2071" s="32" t="n">
        <v>0</v>
      </c>
      <c r="Z2071" s="3" t="n">
        <v>0</v>
      </c>
      <c r="AA2071" s="32" t="n">
        <v>0</v>
      </c>
      <c r="AB2071" s="3" t="n"/>
      <c r="AC2071" s="31" t="n">
        <v>0</v>
      </c>
      <c r="AD2071" s="2" t="n">
        <v>0</v>
      </c>
      <c r="AE2071" s="2" t="n">
        <v>26</v>
      </c>
      <c r="AF2071" s="4" t="n">
        <v>26</v>
      </c>
      <c r="AG2071" s="33" t="n">
        <v>0</v>
      </c>
      <c r="AH2071" s="4" t="n">
        <v>0</v>
      </c>
      <c r="AI2071" s="34" t="n"/>
      <c r="AJ2071" s="34" t="n">
        <v>0</v>
      </c>
      <c r="AK2071" s="2" t="n">
        <v>0</v>
      </c>
      <c r="AL2071" t="inlineStr">
        <is>
          <t>Published</t>
        </is>
      </c>
    </row>
    <row r="2072">
      <c r="A2072">
        <f>HYPERLINK("https://www.walmart.com/ip/372688321", "372688321")</f>
        <v/>
      </c>
      <c r="B2072">
        <f>HYPERLINK("https://app.optiwise.ai/catalog/itemdetails/380725", "Microplush Sherpa Blanket with Sleeves for Women and Men")</f>
        <v/>
      </c>
      <c r="C2072" t="inlineStr">
        <is>
          <t>1TRSN410BL</t>
        </is>
      </c>
      <c r="D2072" t="inlineStr">
        <is>
          <t>Home Decor, Kitchen, &amp; Other</t>
        </is>
      </c>
      <c r="E2072" t="inlineStr">
        <is>
          <t>Throws</t>
        </is>
      </c>
      <c r="F2072" t="inlineStr">
        <is>
          <t>Tirrinia</t>
        </is>
      </c>
      <c r="G2072" t="n">
        <v>5</v>
      </c>
      <c r="H2072" t="n">
        <v>2</v>
      </c>
      <c r="I2072" t="inlineStr">
        <is>
          <t>WFS,WFS Item</t>
        </is>
      </c>
      <c r="J2072" s="29" t="n">
        <v>0</v>
      </c>
      <c r="K2072" s="30" t="n"/>
      <c r="L2072" s="29" t="n">
        <v>0</v>
      </c>
      <c r="M2072" s="29" t="n">
        <v>0</v>
      </c>
      <c r="N2072" s="2" t="n">
        <v>0</v>
      </c>
      <c r="O2072" s="31" t="n">
        <v>0</v>
      </c>
      <c r="P2072" s="32" t="n"/>
      <c r="Q2072" s="32" t="n">
        <v>0</v>
      </c>
      <c r="R2072" s="32" t="n">
        <v>0</v>
      </c>
      <c r="S2072" s="31" t="n">
        <v>0</v>
      </c>
      <c r="T2072" s="32" t="n">
        <v>0</v>
      </c>
      <c r="U2072" s="31" t="n">
        <v>0</v>
      </c>
      <c r="V2072" s="31" t="n">
        <v>0</v>
      </c>
      <c r="W2072" s="3" t="n">
        <v>0</v>
      </c>
      <c r="X2072" s="3" t="n">
        <v>0</v>
      </c>
      <c r="Y2072" s="32" t="n">
        <v>0</v>
      </c>
      <c r="Z2072" s="3" t="n">
        <v>0</v>
      </c>
      <c r="AA2072" s="32" t="n">
        <v>0</v>
      </c>
      <c r="AB2072" s="3" t="n"/>
      <c r="AC2072" s="31" t="n">
        <v>0</v>
      </c>
      <c r="AD2072" s="2" t="n">
        <v>0</v>
      </c>
      <c r="AE2072" s="2" t="n">
        <v>48</v>
      </c>
      <c r="AF2072" s="4" t="n">
        <v>48</v>
      </c>
      <c r="AG2072" s="33" t="n">
        <v>0</v>
      </c>
      <c r="AH2072" s="4" t="n">
        <v>0</v>
      </c>
      <c r="AI2072" s="34" t="n"/>
      <c r="AJ2072" s="34" t="n">
        <v>0</v>
      </c>
      <c r="AK2072" s="2" t="n">
        <v>0</v>
      </c>
      <c r="AL2072" t="inlineStr">
        <is>
          <t>Published</t>
        </is>
      </c>
    </row>
    <row r="2073">
      <c r="A2073">
        <f>HYPERLINK("https://www.walmart.com/ip/299623790", "299623790")</f>
        <v/>
      </c>
      <c r="B2073">
        <f>HYPERLINK("https://app.optiwise.ai/catalog/itemdetails/380723", "Catalonia Fleece Throw Blanket for Couch, Lightweight All Seasons Soft Cozy Moroccan Blanket for Home Living Room Decorative, 50'' x 60'', Wine")</f>
        <v/>
      </c>
      <c r="C2073" t="inlineStr">
        <is>
          <t>1CTBF580KATWN</t>
        </is>
      </c>
      <c r="D2073" t="inlineStr">
        <is>
          <t>Bedding</t>
        </is>
      </c>
      <c r="E2073" t="inlineStr">
        <is>
          <t>Throws</t>
        </is>
      </c>
      <c r="F2073" t="inlineStr">
        <is>
          <t>Catalonia</t>
        </is>
      </c>
      <c r="G2073" t="n">
        <v>5</v>
      </c>
      <c r="H2073" t="n">
        <v>3</v>
      </c>
      <c r="I2073" t="inlineStr">
        <is>
          <t>WFS,WFS Item</t>
        </is>
      </c>
      <c r="J2073" s="29" t="n">
        <v>0</v>
      </c>
      <c r="K2073" s="30" t="n"/>
      <c r="L2073" s="29" t="n">
        <v>0</v>
      </c>
      <c r="M2073" s="29" t="n">
        <v>0</v>
      </c>
      <c r="N2073" s="2" t="n">
        <v>0</v>
      </c>
      <c r="O2073" s="31" t="n">
        <v>0</v>
      </c>
      <c r="P2073" s="32" t="n"/>
      <c r="Q2073" s="32" t="n">
        <v>0</v>
      </c>
      <c r="R2073" s="32" t="n">
        <v>0</v>
      </c>
      <c r="S2073" s="31" t="n">
        <v>0</v>
      </c>
      <c r="T2073" s="32" t="n">
        <v>0</v>
      </c>
      <c r="U2073" s="31" t="n">
        <v>0</v>
      </c>
      <c r="V2073" s="31" t="n">
        <v>0</v>
      </c>
      <c r="W2073" s="3" t="n">
        <v>0</v>
      </c>
      <c r="X2073" s="3" t="n">
        <v>0</v>
      </c>
      <c r="Y2073" s="32" t="n">
        <v>0</v>
      </c>
      <c r="Z2073" s="3" t="n">
        <v>0</v>
      </c>
      <c r="AA2073" s="32" t="n">
        <v>0</v>
      </c>
      <c r="AB2073" s="3" t="n"/>
      <c r="AC2073" s="31" t="n">
        <v>0</v>
      </c>
      <c r="AD2073" s="2" t="n">
        <v>0</v>
      </c>
      <c r="AE2073" s="2" t="n">
        <v>92</v>
      </c>
      <c r="AF2073" s="4" t="n">
        <v>92</v>
      </c>
      <c r="AG2073" s="33" t="n">
        <v>0</v>
      </c>
      <c r="AH2073" s="4" t="n">
        <v>0</v>
      </c>
      <c r="AI2073" s="34" t="n"/>
      <c r="AJ2073" s="34" t="n">
        <v>0</v>
      </c>
      <c r="AK2073" s="2" t="n">
        <v>0</v>
      </c>
      <c r="AL2073" t="inlineStr">
        <is>
          <t>Published</t>
        </is>
      </c>
    </row>
    <row r="2074">
      <c r="A2074">
        <f>HYPERLINK("https://www.walmart.com/ip/630847130", "630847130")</f>
        <v/>
      </c>
      <c r="B2074">
        <f>HYPERLINK("https://app.optiwise.ai/catalog/itemdetails/380718", "Catalonia Sherpa Throw Blanket, Fuzzy Snuggle Blanket for Camping Traveling Couch Bed, Super Soft, Light Weight, Reversible, All Season Use, 50x60 inches, Gray Camo")</f>
        <v/>
      </c>
      <c r="C2074" t="inlineStr">
        <is>
          <t>1CTBF579GYCAMO</t>
        </is>
      </c>
      <c r="D2074" t="inlineStr">
        <is>
          <t>Bedding</t>
        </is>
      </c>
      <c r="E2074" t="inlineStr">
        <is>
          <t>Throws</t>
        </is>
      </c>
      <c r="F2074" t="inlineStr">
        <is>
          <t>Catalonia</t>
        </is>
      </c>
      <c r="G2074" t="n">
        <v>4.1</v>
      </c>
      <c r="H2074" t="n">
        <v>8</v>
      </c>
      <c r="I2074" t="inlineStr">
        <is>
          <t>WFS,WFS Item</t>
        </is>
      </c>
      <c r="J2074" s="29" t="n">
        <v>0</v>
      </c>
      <c r="K2074" s="30" t="n"/>
      <c r="L2074" s="29" t="n">
        <v>0</v>
      </c>
      <c r="M2074" s="29" t="n">
        <v>0</v>
      </c>
      <c r="N2074" s="2" t="n">
        <v>0</v>
      </c>
      <c r="O2074" s="31" t="n">
        <v>0</v>
      </c>
      <c r="P2074" s="32" t="n"/>
      <c r="Q2074" s="32" t="n">
        <v>0</v>
      </c>
      <c r="R2074" s="32" t="n">
        <v>0</v>
      </c>
      <c r="S2074" s="31" t="n">
        <v>0</v>
      </c>
      <c r="T2074" s="32" t="n">
        <v>0</v>
      </c>
      <c r="U2074" s="31" t="n">
        <v>0</v>
      </c>
      <c r="V2074" s="31" t="n">
        <v>0</v>
      </c>
      <c r="W2074" s="3" t="n">
        <v>0</v>
      </c>
      <c r="X2074" s="3" t="n">
        <v>0</v>
      </c>
      <c r="Y2074" s="32" t="n">
        <v>0</v>
      </c>
      <c r="Z2074" s="3" t="n">
        <v>0</v>
      </c>
      <c r="AA2074" s="32" t="n">
        <v>0</v>
      </c>
      <c r="AB2074" s="3" t="n"/>
      <c r="AC2074" s="31" t="n">
        <v>0</v>
      </c>
      <c r="AD2074" s="2" t="n">
        <v>0</v>
      </c>
      <c r="AE2074" s="2" t="n">
        <v>93</v>
      </c>
      <c r="AF2074" s="4" t="n">
        <v>93</v>
      </c>
      <c r="AG2074" s="33" t="n">
        <v>0</v>
      </c>
      <c r="AH2074" s="4" t="n">
        <v>0</v>
      </c>
      <c r="AI2074" s="34" t="n"/>
      <c r="AJ2074" s="34" t="n">
        <v>0</v>
      </c>
      <c r="AK2074" s="2" t="n">
        <v>0</v>
      </c>
      <c r="AL2074" t="inlineStr">
        <is>
          <t>Published</t>
        </is>
      </c>
    </row>
    <row r="2075">
      <c r="A2075">
        <f>HYPERLINK("https://www.walmart.com/ip/892513651", "892513651")</f>
        <v/>
      </c>
      <c r="B2075">
        <f>HYPERLINK("https://app.optiwise.ai/catalog/itemdetails/380715", "Catalonia Fleece Throw Blanket for Couch, Lightweight All Seasons Soft Cozy Moroccan Blanket for Home Living Room Decorative, 50'' x 60'', Blue")</f>
        <v/>
      </c>
      <c r="C2075" t="inlineStr">
        <is>
          <t>1CTBF580LPABL</t>
        </is>
      </c>
      <c r="D2075" t="inlineStr">
        <is>
          <t>Bedding</t>
        </is>
      </c>
      <c r="E2075" t="inlineStr">
        <is>
          <t>Throws</t>
        </is>
      </c>
      <c r="F2075" t="inlineStr">
        <is>
          <t>Catalonia</t>
        </is>
      </c>
      <c r="G2075" t="n">
        <v>5</v>
      </c>
      <c r="H2075" t="n">
        <v>3</v>
      </c>
      <c r="I2075" t="inlineStr">
        <is>
          <t>WFS,WFS Item</t>
        </is>
      </c>
      <c r="J2075" s="29" t="n">
        <v>0</v>
      </c>
      <c r="K2075" s="30" t="n"/>
      <c r="L2075" s="29" t="n">
        <v>0</v>
      </c>
      <c r="M2075" s="29" t="n">
        <v>0</v>
      </c>
      <c r="N2075" s="2" t="n">
        <v>0</v>
      </c>
      <c r="O2075" s="31" t="n">
        <v>0</v>
      </c>
      <c r="P2075" s="32" t="n"/>
      <c r="Q2075" s="32" t="n">
        <v>0</v>
      </c>
      <c r="R2075" s="32" t="n">
        <v>0</v>
      </c>
      <c r="S2075" s="31" t="n">
        <v>0</v>
      </c>
      <c r="T2075" s="32" t="n">
        <v>0</v>
      </c>
      <c r="U2075" s="31" t="n">
        <v>0</v>
      </c>
      <c r="V2075" s="31" t="n">
        <v>0</v>
      </c>
      <c r="W2075" s="3" t="n">
        <v>0</v>
      </c>
      <c r="X2075" s="3" t="n">
        <v>0</v>
      </c>
      <c r="Y2075" s="32" t="n">
        <v>0</v>
      </c>
      <c r="Z2075" s="3" t="n">
        <v>0</v>
      </c>
      <c r="AA2075" s="32" t="n">
        <v>0</v>
      </c>
      <c r="AB2075" s="3" t="n"/>
      <c r="AC2075" s="31" t="n">
        <v>0</v>
      </c>
      <c r="AD2075" s="2" t="n">
        <v>0</v>
      </c>
      <c r="AE2075" s="2" t="n">
        <v>21</v>
      </c>
      <c r="AF2075" s="4" t="n">
        <v>21</v>
      </c>
      <c r="AG2075" s="33" t="n">
        <v>0</v>
      </c>
      <c r="AH2075" s="4" t="n">
        <v>0</v>
      </c>
      <c r="AI2075" s="34" t="n"/>
      <c r="AJ2075" s="34" t="n">
        <v>0</v>
      </c>
      <c r="AK2075" s="2" t="n">
        <v>0</v>
      </c>
      <c r="AL2075" t="inlineStr">
        <is>
          <t>Published</t>
        </is>
      </c>
    </row>
    <row r="2076">
      <c r="A2076">
        <f>HYPERLINK("https://www.walmart.com/ip/187616823", "187616823")</f>
        <v/>
      </c>
      <c r="B2076">
        <f>HYPERLINK("https://app.optiwise.ai/catalog/itemdetails/380710", "Women's Poncho Cape, Sherpa Fleece Cloak Coat, Snuggly Hooded Wearable Blanket, Gift Idea for Adults and Teen Girls")</f>
        <v/>
      </c>
      <c r="C2076" t="inlineStr">
        <is>
          <t>1CTBC300PK</t>
        </is>
      </c>
      <c r="D2076" t="inlineStr">
        <is>
          <t>Bedding</t>
        </is>
      </c>
      <c r="E2076" t="inlineStr">
        <is>
          <t>Throws</t>
        </is>
      </c>
      <c r="F2076" t="inlineStr">
        <is>
          <t>Catalonia</t>
        </is>
      </c>
      <c r="G2076" t="n">
        <v>0</v>
      </c>
      <c r="H2076" t="n">
        <v>0</v>
      </c>
      <c r="I2076" t="inlineStr">
        <is>
          <t>WFS,High AUR Items,WFS Item</t>
        </is>
      </c>
      <c r="J2076" s="29" t="n">
        <v>0</v>
      </c>
      <c r="K2076" s="30" t="n"/>
      <c r="L2076" s="29" t="n">
        <v>0</v>
      </c>
      <c r="M2076" s="29" t="n">
        <v>0</v>
      </c>
      <c r="N2076" s="2" t="n">
        <v>0</v>
      </c>
      <c r="O2076" s="31" t="n">
        <v>0</v>
      </c>
      <c r="P2076" s="32" t="n"/>
      <c r="Q2076" s="32" t="n">
        <v>0</v>
      </c>
      <c r="R2076" s="32" t="n">
        <v>0</v>
      </c>
      <c r="S2076" s="31" t="n">
        <v>0</v>
      </c>
      <c r="T2076" s="32" t="n">
        <v>0</v>
      </c>
      <c r="U2076" s="31" t="n">
        <v>0</v>
      </c>
      <c r="V2076" s="31" t="n">
        <v>0</v>
      </c>
      <c r="W2076" s="3" t="n">
        <v>0</v>
      </c>
      <c r="X2076" s="3" t="n">
        <v>0</v>
      </c>
      <c r="Y2076" s="32" t="n">
        <v>0</v>
      </c>
      <c r="Z2076" s="3" t="n">
        <v>0</v>
      </c>
      <c r="AA2076" s="32" t="n">
        <v>0</v>
      </c>
      <c r="AB2076" s="3" t="n"/>
      <c r="AC2076" s="31" t="n">
        <v>0</v>
      </c>
      <c r="AD2076" s="2" t="n">
        <v>76</v>
      </c>
      <c r="AE2076" s="2" t="n">
        <v>103</v>
      </c>
      <c r="AF2076" s="4" t="n">
        <v>103</v>
      </c>
      <c r="AG2076" s="33" t="n">
        <v>0</v>
      </c>
      <c r="AH2076" s="4" t="n">
        <v>0</v>
      </c>
      <c r="AI2076" s="34" t="n"/>
      <c r="AJ2076" s="34" t="n">
        <v>0</v>
      </c>
      <c r="AK2076" s="2" t="n">
        <v>0</v>
      </c>
      <c r="AL2076" t="inlineStr">
        <is>
          <t>Published</t>
        </is>
      </c>
    </row>
    <row r="2077">
      <c r="A2077">
        <f>HYPERLINK("https://www.walmart.com/ip/533440148", "533440148")</f>
        <v/>
      </c>
      <c r="B2077">
        <f>HYPERLINK("https://app.optiwise.ai/catalog/itemdetails/380709", "Catalonia Fleece Throw Blanket for Couch, Lightweight All Seasons Soft Cozy Moroccan Blanket for Home Living Room Decorative, 50'' x 60'', Black")</f>
        <v/>
      </c>
      <c r="C2077" t="inlineStr">
        <is>
          <t>1CTBF580LTSBK</t>
        </is>
      </c>
      <c r="D2077" t="inlineStr">
        <is>
          <t>Bedding</t>
        </is>
      </c>
      <c r="E2077" t="inlineStr">
        <is>
          <t>Throws</t>
        </is>
      </c>
      <c r="F2077" t="inlineStr">
        <is>
          <t>Catalonia</t>
        </is>
      </c>
      <c r="G2077" t="n">
        <v>5</v>
      </c>
      <c r="H2077" t="n">
        <v>3</v>
      </c>
      <c r="I2077" t="inlineStr">
        <is>
          <t>WFS,WFS Item</t>
        </is>
      </c>
      <c r="J2077" s="29" t="n">
        <v>0</v>
      </c>
      <c r="K2077" s="30" t="n"/>
      <c r="L2077" s="29" t="n">
        <v>0</v>
      </c>
      <c r="M2077" s="29" t="n">
        <v>0</v>
      </c>
      <c r="N2077" s="2" t="n">
        <v>0</v>
      </c>
      <c r="O2077" s="31" t="n">
        <v>0</v>
      </c>
      <c r="P2077" s="32" t="n"/>
      <c r="Q2077" s="32" t="n">
        <v>0</v>
      </c>
      <c r="R2077" s="32" t="n">
        <v>0</v>
      </c>
      <c r="S2077" s="31" t="n">
        <v>0</v>
      </c>
      <c r="T2077" s="32" t="n">
        <v>0</v>
      </c>
      <c r="U2077" s="31" t="n">
        <v>0</v>
      </c>
      <c r="V2077" s="31" t="n">
        <v>0</v>
      </c>
      <c r="W2077" s="3" t="n">
        <v>0</v>
      </c>
      <c r="X2077" s="3" t="n">
        <v>0</v>
      </c>
      <c r="Y2077" s="32" t="n">
        <v>0</v>
      </c>
      <c r="Z2077" s="3" t="n">
        <v>0</v>
      </c>
      <c r="AA2077" s="32" t="n">
        <v>0</v>
      </c>
      <c r="AB2077" s="3" t="n"/>
      <c r="AC2077" s="31" t="n">
        <v>0</v>
      </c>
      <c r="AD2077" s="2" t="n">
        <v>0</v>
      </c>
      <c r="AE2077" s="2" t="n">
        <v>87</v>
      </c>
      <c r="AF2077" s="4" t="n">
        <v>87</v>
      </c>
      <c r="AG2077" s="33" t="n">
        <v>0</v>
      </c>
      <c r="AH2077" s="4" t="n">
        <v>0</v>
      </c>
      <c r="AI2077" s="34" t="n"/>
      <c r="AJ2077" s="34" t="n">
        <v>0</v>
      </c>
      <c r="AK2077" s="2" t="n">
        <v>0</v>
      </c>
      <c r="AL2077" t="inlineStr">
        <is>
          <t>Published</t>
        </is>
      </c>
    </row>
    <row r="2078">
      <c r="A2078">
        <f>HYPERLINK("https://www.walmart.com/ip/938317779", "938317779")</f>
        <v/>
      </c>
      <c r="B2078">
        <f>HYPERLINK("https://app.optiwise.ai/catalog/itemdetails/380707", "Sherpa Fleece Throw Blanket for Kids,Super Soft Light Weight Reversible Fuzzy Snuggle Blanket for Camping Couch Bed All")</f>
        <v/>
      </c>
      <c r="C2078" t="inlineStr">
        <is>
          <t>1CTBF579PP</t>
        </is>
      </c>
      <c r="D2078" t="inlineStr">
        <is>
          <t>Bedding</t>
        </is>
      </c>
      <c r="E2078" t="inlineStr">
        <is>
          <t>Throws</t>
        </is>
      </c>
      <c r="F2078" t="inlineStr">
        <is>
          <t>Catalonia</t>
        </is>
      </c>
      <c r="G2078" t="n">
        <v>4.1</v>
      </c>
      <c r="H2078" t="n">
        <v>7</v>
      </c>
      <c r="I2078" t="inlineStr">
        <is>
          <t>WFS,WFS Item</t>
        </is>
      </c>
      <c r="J2078" s="29" t="n">
        <v>0</v>
      </c>
      <c r="K2078" s="30" t="n"/>
      <c r="L2078" s="29" t="n">
        <v>0</v>
      </c>
      <c r="M2078" s="29" t="n">
        <v>0</v>
      </c>
      <c r="N2078" s="2" t="n">
        <v>0</v>
      </c>
      <c r="O2078" s="31" t="n">
        <v>0</v>
      </c>
      <c r="P2078" s="32" t="n"/>
      <c r="Q2078" s="32" t="n">
        <v>0</v>
      </c>
      <c r="R2078" s="32" t="n">
        <v>0</v>
      </c>
      <c r="S2078" s="31" t="n">
        <v>0</v>
      </c>
      <c r="T2078" s="32" t="n">
        <v>0</v>
      </c>
      <c r="U2078" s="31" t="n">
        <v>0</v>
      </c>
      <c r="V2078" s="31" t="n">
        <v>0</v>
      </c>
      <c r="W2078" s="3" t="n">
        <v>0</v>
      </c>
      <c r="X2078" s="3" t="n">
        <v>0</v>
      </c>
      <c r="Y2078" s="32" t="n">
        <v>0</v>
      </c>
      <c r="Z2078" s="3" t="n">
        <v>0</v>
      </c>
      <c r="AA2078" s="32" t="n">
        <v>0</v>
      </c>
      <c r="AB2078" s="3" t="n"/>
      <c r="AC2078" s="31" t="n">
        <v>0</v>
      </c>
      <c r="AD2078" s="2" t="n">
        <v>0</v>
      </c>
      <c r="AE2078" s="2" t="n">
        <v>241</v>
      </c>
      <c r="AF2078" s="4" t="n">
        <v>241</v>
      </c>
      <c r="AG2078" s="33" t="n">
        <v>0</v>
      </c>
      <c r="AH2078" s="4" t="n">
        <v>0</v>
      </c>
      <c r="AI2078" s="34" t="n"/>
      <c r="AJ2078" s="34" t="n">
        <v>0</v>
      </c>
      <c r="AK2078" s="2" t="n">
        <v>0</v>
      </c>
      <c r="AL2078" t="inlineStr">
        <is>
          <t>Published</t>
        </is>
      </c>
    </row>
    <row r="2079">
      <c r="A2079">
        <f>HYPERLINK("https://www.walmart.com/ip/412174153", "412174153")</f>
        <v/>
      </c>
      <c r="B2079">
        <f>HYPERLINK("https://app.optiwise.ai/catalog/itemdetails/373329", "Sherpa Wearable Blanket with Sleeves Arms, Super Soft Warm Comfy Large Fleece Plush Sleeved TV Throws Wrap Robe Blanket for Adult Women and Men by Catalonia, Wine, 72 x 55”.")</f>
        <v/>
      </c>
      <c r="C2079" t="inlineStr">
        <is>
          <t>1CTSN210WN</t>
        </is>
      </c>
      <c r="D2079" t="inlineStr">
        <is>
          <t>Bedding</t>
        </is>
      </c>
      <c r="E2079" t="inlineStr">
        <is>
          <t>Throws</t>
        </is>
      </c>
      <c r="F2079" t="inlineStr">
        <is>
          <t>Catalonia</t>
        </is>
      </c>
      <c r="G2079" t="n">
        <v>5</v>
      </c>
      <c r="H2079" t="n">
        <v>1</v>
      </c>
      <c r="I2079" t="inlineStr">
        <is>
          <t>Q2-Target,WFS,Coupon_Discount,WFS Item</t>
        </is>
      </c>
      <c r="J2079" s="29" t="n">
        <v>0</v>
      </c>
      <c r="K2079" s="30" t="n"/>
      <c r="L2079" s="29" t="n">
        <v>0</v>
      </c>
      <c r="M2079" s="29" t="n">
        <v>0</v>
      </c>
      <c r="N2079" s="2" t="n">
        <v>0</v>
      </c>
      <c r="O2079" s="31" t="n">
        <v>0</v>
      </c>
      <c r="P2079" s="32" t="n"/>
      <c r="Q2079" s="32" t="n">
        <v>0</v>
      </c>
      <c r="R2079" s="32" t="n">
        <v>0</v>
      </c>
      <c r="S2079" s="31" t="n">
        <v>0</v>
      </c>
      <c r="T2079" s="32" t="n">
        <v>0</v>
      </c>
      <c r="U2079" s="31" t="n">
        <v>0</v>
      </c>
      <c r="V2079" s="31" t="n">
        <v>0</v>
      </c>
      <c r="W2079" s="3" t="n">
        <v>0</v>
      </c>
      <c r="X2079" s="3" t="n">
        <v>0</v>
      </c>
      <c r="Y2079" s="32" t="n">
        <v>0</v>
      </c>
      <c r="Z2079" s="3" t="n">
        <v>0</v>
      </c>
      <c r="AA2079" s="32" t="n">
        <v>0</v>
      </c>
      <c r="AB2079" s="3" t="n"/>
      <c r="AC2079" s="31" t="n">
        <v>0</v>
      </c>
      <c r="AD2079" s="2" t="n">
        <v>0</v>
      </c>
      <c r="AE2079" s="2" t="n">
        <v>16</v>
      </c>
      <c r="AF2079" s="4" t="n">
        <v>16</v>
      </c>
      <c r="AG2079" s="33" t="n">
        <v>0</v>
      </c>
      <c r="AH2079" s="4" t="n">
        <v>0</v>
      </c>
      <c r="AI2079" s="34" t="n"/>
      <c r="AJ2079" s="34" t="n">
        <v>0</v>
      </c>
      <c r="AK2079" s="2" t="n">
        <v>0</v>
      </c>
      <c r="AL2079" t="inlineStr">
        <is>
          <t>Published</t>
        </is>
      </c>
    </row>
    <row r="2080">
      <c r="A2080">
        <f>HYPERLINK("https://www.walmart.com/ip/225225218", "225225218")</f>
        <v/>
      </c>
      <c r="B2080">
        <f>HYPERLINK("https://app.optiwise.ai/catalog/itemdetails/362817", "Flyingstar Oversized Hoodie Throws Blanket Sweatshirt, Super Soft,  Adults Men Women Teenagers")</f>
        <v/>
      </c>
      <c r="C2080" t="inlineStr">
        <is>
          <t>1WMHD300PP</t>
        </is>
      </c>
      <c r="D2080" t="inlineStr">
        <is>
          <t>Clothing</t>
        </is>
      </c>
      <c r="E2080" t="inlineStr">
        <is>
          <t>Sweatshirts &amp; Hoodies</t>
        </is>
      </c>
      <c r="F2080" t="inlineStr">
        <is>
          <t>Flyingstar</t>
        </is>
      </c>
      <c r="G2080" t="n">
        <v>0</v>
      </c>
      <c r="H2080" t="n">
        <v>0</v>
      </c>
      <c r="I2080" t="inlineStr">
        <is>
          <t>Hoodie ForAdult,Optimized</t>
        </is>
      </c>
      <c r="J2080" s="29" t="n">
        <v>0</v>
      </c>
      <c r="K2080" s="30" t="n"/>
      <c r="L2080" s="29" t="n">
        <v>0</v>
      </c>
      <c r="M2080" s="29" t="n">
        <v>0</v>
      </c>
      <c r="N2080" s="2" t="n">
        <v>0</v>
      </c>
      <c r="O2080" s="31" t="n">
        <v>0</v>
      </c>
      <c r="P2080" s="32" t="n"/>
      <c r="Q2080" s="32" t="n">
        <v>0</v>
      </c>
      <c r="R2080" s="32" t="n">
        <v>0</v>
      </c>
      <c r="S2080" s="31" t="n">
        <v>0</v>
      </c>
      <c r="T2080" s="32" t="n">
        <v>0</v>
      </c>
      <c r="U2080" s="31" t="n">
        <v>0</v>
      </c>
      <c r="V2080" s="31" t="n">
        <v>0</v>
      </c>
      <c r="W2080" s="3" t="n">
        <v>0</v>
      </c>
      <c r="X2080" s="3" t="n">
        <v>0</v>
      </c>
      <c r="Y2080" s="32" t="n">
        <v>0</v>
      </c>
      <c r="Z2080" s="3" t="n">
        <v>0</v>
      </c>
      <c r="AA2080" s="32" t="n">
        <v>0</v>
      </c>
      <c r="AB2080" s="3" t="n"/>
      <c r="AC2080" s="31" t="n">
        <v>0</v>
      </c>
      <c r="AD2080" s="2" t="n">
        <v>0</v>
      </c>
      <c r="AE2080" s="2" t="n">
        <v>5</v>
      </c>
      <c r="AF2080" s="4" t="n">
        <v>5</v>
      </c>
      <c r="AG2080" s="33" t="n">
        <v>0</v>
      </c>
      <c r="AH2080" s="4" t="n">
        <v>0</v>
      </c>
      <c r="AI2080" s="34" t="n"/>
      <c r="AJ2080" s="34" t="n">
        <v>0</v>
      </c>
      <c r="AK2080" s="2" t="n">
        <v>0</v>
      </c>
      <c r="AL2080" t="inlineStr">
        <is>
          <t>Published</t>
        </is>
      </c>
    </row>
    <row r="2081">
      <c r="A2081">
        <f>HYPERLINK("https://www.walmart.com/ip/924821429", "924821429")</f>
        <v/>
      </c>
      <c r="B2081">
        <f>HYPERLINK("https://app.optiwise.ai/catalog/itemdetails/373328", "Sherpa Wearable Blanket with Sleeves Arms, Super Soft Warm Comfy Large Fleece Plush Sleeved TV Throws Wrap Robe Blanket for Adult Women and Men, Dot")</f>
        <v/>
      </c>
      <c r="C2081" t="inlineStr">
        <is>
          <t>1CTSN110RDDOT</t>
        </is>
      </c>
      <c r="D2081" t="inlineStr">
        <is>
          <t>Bedding</t>
        </is>
      </c>
      <c r="E2081" t="inlineStr">
        <is>
          <t>Throws</t>
        </is>
      </c>
      <c r="F2081" t="inlineStr">
        <is>
          <t>Catalonia</t>
        </is>
      </c>
      <c r="G2081" t="n">
        <v>0</v>
      </c>
      <c r="H2081" t="n">
        <v>0</v>
      </c>
      <c r="I2081" t="inlineStr">
        <is>
          <t>Q2-Target,WFS,Coupon_Discount,WFS Item</t>
        </is>
      </c>
      <c r="J2081" s="29" t="n">
        <v>0</v>
      </c>
      <c r="K2081" s="30" t="n"/>
      <c r="L2081" s="29" t="n">
        <v>0</v>
      </c>
      <c r="M2081" s="29" t="n">
        <v>0</v>
      </c>
      <c r="N2081" s="2" t="n">
        <v>0</v>
      </c>
      <c r="O2081" s="31" t="n">
        <v>0</v>
      </c>
      <c r="P2081" s="32" t="n"/>
      <c r="Q2081" s="32" t="n">
        <v>0</v>
      </c>
      <c r="R2081" s="32" t="n">
        <v>0</v>
      </c>
      <c r="S2081" s="31" t="n">
        <v>0</v>
      </c>
      <c r="T2081" s="32" t="n">
        <v>0</v>
      </c>
      <c r="U2081" s="31" t="n">
        <v>0</v>
      </c>
      <c r="V2081" s="31" t="n">
        <v>0</v>
      </c>
      <c r="W2081" s="3" t="n">
        <v>0</v>
      </c>
      <c r="X2081" s="3" t="n">
        <v>0</v>
      </c>
      <c r="Y2081" s="32" t="n">
        <v>0</v>
      </c>
      <c r="Z2081" s="3" t="n">
        <v>0</v>
      </c>
      <c r="AA2081" s="32" t="n">
        <v>0</v>
      </c>
      <c r="AB2081" s="3" t="n"/>
      <c r="AC2081" s="31" t="n">
        <v>0</v>
      </c>
      <c r="AD2081" s="2" t="n">
        <v>0</v>
      </c>
      <c r="AE2081" s="2" t="n">
        <v>29</v>
      </c>
      <c r="AF2081" s="4" t="n">
        <v>29</v>
      </c>
      <c r="AG2081" s="33" t="n">
        <v>0</v>
      </c>
      <c r="AH2081" s="4" t="n">
        <v>0</v>
      </c>
      <c r="AI2081" s="34" t="n"/>
      <c r="AJ2081" s="34" t="n">
        <v>0</v>
      </c>
      <c r="AK2081" s="2" t="n">
        <v>0</v>
      </c>
      <c r="AL2081" t="inlineStr">
        <is>
          <t>Published</t>
        </is>
      </c>
    </row>
    <row r="2082">
      <c r="A2082">
        <f>HYPERLINK("https://www.walmart.com/ip/998038481", "998038481")</f>
        <v/>
      </c>
      <c r="B2082">
        <f>HYPERLINK("https://app.optiwise.ai/catalog/itemdetails/373325", "Sherpa Wearable Blanket with Sleeves Arms, Super Soft Warm Comfy Large Fleece Plush Sleeved TV Throws Wrap Robe Blanket for Adult Women and Men by Catalonia")</f>
        <v/>
      </c>
      <c r="C2082" t="inlineStr">
        <is>
          <t>1CTSN210CA</t>
        </is>
      </c>
      <c r="D2082" t="inlineStr">
        <is>
          <t>Bedding</t>
        </is>
      </c>
      <c r="E2082" t="inlineStr">
        <is>
          <t>Throws</t>
        </is>
      </c>
      <c r="F2082" t="inlineStr">
        <is>
          <t>Catalonia</t>
        </is>
      </c>
      <c r="G2082" t="n">
        <v>0</v>
      </c>
      <c r="H2082" t="n">
        <v>0</v>
      </c>
      <c r="I2082" t="inlineStr">
        <is>
          <t>Coupon_Discount,Batch 1 - TR</t>
        </is>
      </c>
      <c r="J2082" s="29" t="n">
        <v>0</v>
      </c>
      <c r="K2082" s="30" t="n"/>
      <c r="L2082" s="29" t="n">
        <v>0</v>
      </c>
      <c r="M2082" s="29" t="n">
        <v>0</v>
      </c>
      <c r="N2082" s="2" t="n">
        <v>0</v>
      </c>
      <c r="O2082" s="31" t="n">
        <v>0</v>
      </c>
      <c r="P2082" s="32" t="n"/>
      <c r="Q2082" s="32" t="n">
        <v>0</v>
      </c>
      <c r="R2082" s="32" t="n">
        <v>0</v>
      </c>
      <c r="S2082" s="31" t="n">
        <v>0</v>
      </c>
      <c r="T2082" s="32" t="n">
        <v>0</v>
      </c>
      <c r="U2082" s="31" t="n">
        <v>0</v>
      </c>
      <c r="V2082" s="31" t="n">
        <v>0</v>
      </c>
      <c r="W2082" s="3" t="n">
        <v>0</v>
      </c>
      <c r="X2082" s="3" t="n">
        <v>0</v>
      </c>
      <c r="Y2082" s="32" t="n">
        <v>0</v>
      </c>
      <c r="Z2082" s="3" t="n">
        <v>0</v>
      </c>
      <c r="AA2082" s="32" t="n">
        <v>0</v>
      </c>
      <c r="AB2082" s="3" t="n"/>
      <c r="AC2082" s="31" t="n">
        <v>0</v>
      </c>
      <c r="AD2082" s="2" t="n">
        <v>0</v>
      </c>
      <c r="AE2082" s="2" t="n">
        <v>31</v>
      </c>
      <c r="AF2082" s="4" t="n">
        <v>31</v>
      </c>
      <c r="AG2082" s="33" t="n">
        <v>0</v>
      </c>
      <c r="AH2082" s="4" t="n">
        <v>0</v>
      </c>
      <c r="AI2082" s="34" t="n"/>
      <c r="AJ2082" s="34" t="n">
        <v>0</v>
      </c>
      <c r="AK2082" s="2" t="n">
        <v>0</v>
      </c>
      <c r="AL2082" t="inlineStr">
        <is>
          <t>Published</t>
        </is>
      </c>
    </row>
    <row r="2083">
      <c r="A2083">
        <f>HYPERLINK("https://www.walmart.com/ip/800195774", "800195774")</f>
        <v/>
      </c>
      <c r="B2083">
        <f>HYPERLINK("https://app.optiwise.ai/catalog/itemdetails/373324", "Sherpa Wearable Blanket with Sleeves Arms, Super Soft Warm Comfy Large Fleece Plush Sleeved TV Throws Wrap Robe Blanket for Adult Women and Men, Zebra")</f>
        <v/>
      </c>
      <c r="C2083" t="inlineStr">
        <is>
          <t>1CTSN110ZEBRA</t>
        </is>
      </c>
      <c r="D2083" t="inlineStr">
        <is>
          <t>Bedding</t>
        </is>
      </c>
      <c r="E2083" t="inlineStr">
        <is>
          <t>Throws</t>
        </is>
      </c>
      <c r="F2083" t="inlineStr">
        <is>
          <t>Catalonia</t>
        </is>
      </c>
      <c r="G2083" t="n">
        <v>0</v>
      </c>
      <c r="H2083" t="n">
        <v>0</v>
      </c>
      <c r="I2083" t="inlineStr">
        <is>
          <t>Q2-Target,Coupon_Discount,Batch 1 - TR</t>
        </is>
      </c>
      <c r="J2083" s="29" t="n">
        <v>0</v>
      </c>
      <c r="K2083" s="30" t="n"/>
      <c r="L2083" s="29" t="n">
        <v>0</v>
      </c>
      <c r="M2083" s="29" t="n">
        <v>0</v>
      </c>
      <c r="N2083" s="2" t="n">
        <v>0</v>
      </c>
      <c r="O2083" s="31" t="n">
        <v>0</v>
      </c>
      <c r="P2083" s="32" t="n"/>
      <c r="Q2083" s="32" t="n">
        <v>0</v>
      </c>
      <c r="R2083" s="32" t="n">
        <v>0</v>
      </c>
      <c r="S2083" s="31" t="n">
        <v>0</v>
      </c>
      <c r="T2083" s="32" t="n">
        <v>0</v>
      </c>
      <c r="U2083" s="31" t="n">
        <v>0</v>
      </c>
      <c r="V2083" s="31" t="n">
        <v>0</v>
      </c>
      <c r="W2083" s="3" t="n">
        <v>0</v>
      </c>
      <c r="X2083" s="3" t="n">
        <v>0</v>
      </c>
      <c r="Y2083" s="32" t="n">
        <v>0</v>
      </c>
      <c r="Z2083" s="3" t="n">
        <v>0</v>
      </c>
      <c r="AA2083" s="32" t="n">
        <v>0</v>
      </c>
      <c r="AB2083" s="3" t="n"/>
      <c r="AC2083" s="31" t="n">
        <v>0</v>
      </c>
      <c r="AD2083" s="2" t="n">
        <v>0</v>
      </c>
      <c r="AE2083" s="2" t="n">
        <v>5</v>
      </c>
      <c r="AF2083" s="4" t="n">
        <v>5</v>
      </c>
      <c r="AG2083" s="33" t="n">
        <v>0</v>
      </c>
      <c r="AH2083" s="4" t="n">
        <v>0</v>
      </c>
      <c r="AI2083" s="34" t="n"/>
      <c r="AJ2083" s="34" t="n">
        <v>0</v>
      </c>
      <c r="AK2083" s="2" t="n">
        <v>0</v>
      </c>
      <c r="AL2083" t="inlineStr">
        <is>
          <t>Published</t>
        </is>
      </c>
    </row>
    <row r="2084">
      <c r="A2084">
        <f>HYPERLINK("https://www.walmart.com/ip/300408320", "300408320")</f>
        <v/>
      </c>
      <c r="B2084">
        <f>HYPERLINK("https://app.optiwise.ai/catalog/itemdetails/373319", "Sherpa Wearable Blanket with Sleeves Arms, Super Soft Warm Comfy Large Fleece Plush Sleeved TV Throws Wrap Robe Blanket for Adult Women and Men, Cheetah")</f>
        <v/>
      </c>
      <c r="C2084" t="inlineStr">
        <is>
          <t>1CTSN110CHEETAH</t>
        </is>
      </c>
      <c r="D2084" t="inlineStr">
        <is>
          <t>Bedding</t>
        </is>
      </c>
      <c r="E2084" t="inlineStr">
        <is>
          <t>Throws</t>
        </is>
      </c>
      <c r="F2084" t="inlineStr">
        <is>
          <t>Catalonia</t>
        </is>
      </c>
      <c r="G2084" t="n">
        <v>5</v>
      </c>
      <c r="H2084" t="n">
        <v>1</v>
      </c>
      <c r="I2084" t="inlineStr">
        <is>
          <t>Q2-Target,WFS,Coupon_Discount,WFS Item</t>
        </is>
      </c>
      <c r="J2084" s="29" t="n">
        <v>0</v>
      </c>
      <c r="K2084" s="30" t="n"/>
      <c r="L2084" s="29" t="n">
        <v>0</v>
      </c>
      <c r="M2084" s="29" t="n">
        <v>0</v>
      </c>
      <c r="N2084" s="2" t="n">
        <v>0</v>
      </c>
      <c r="O2084" s="31" t="n">
        <v>0</v>
      </c>
      <c r="P2084" s="32" t="n"/>
      <c r="Q2084" s="32" t="n">
        <v>0</v>
      </c>
      <c r="R2084" s="32" t="n">
        <v>0</v>
      </c>
      <c r="S2084" s="31" t="n">
        <v>0</v>
      </c>
      <c r="T2084" s="32" t="n">
        <v>0</v>
      </c>
      <c r="U2084" s="31" t="n">
        <v>0</v>
      </c>
      <c r="V2084" s="31" t="n">
        <v>0</v>
      </c>
      <c r="W2084" s="3" t="n">
        <v>0</v>
      </c>
      <c r="X2084" s="3" t="n">
        <v>0</v>
      </c>
      <c r="Y2084" s="32" t="n">
        <v>0</v>
      </c>
      <c r="Z2084" s="3" t="n">
        <v>0</v>
      </c>
      <c r="AA2084" s="32" t="n">
        <v>0</v>
      </c>
      <c r="AB2084" s="3" t="n"/>
      <c r="AC2084" s="31" t="n">
        <v>0</v>
      </c>
      <c r="AD2084" s="2" t="n">
        <v>0</v>
      </c>
      <c r="AE2084" s="2" t="n">
        <v>5</v>
      </c>
      <c r="AF2084" s="4" t="n">
        <v>5</v>
      </c>
      <c r="AG2084" s="33" t="n">
        <v>0</v>
      </c>
      <c r="AH2084" s="4" t="n">
        <v>0</v>
      </c>
      <c r="AI2084" s="34" t="n"/>
      <c r="AJ2084" s="34" t="n">
        <v>0</v>
      </c>
      <c r="AK2084" s="2" t="n">
        <v>0</v>
      </c>
      <c r="AL2084" t="inlineStr">
        <is>
          <t>Published</t>
        </is>
      </c>
    </row>
    <row r="2085">
      <c r="A2085">
        <f>HYPERLINK("https://www.walmart.com/ip/868651793", "868651793")</f>
        <v/>
      </c>
      <c r="B2085">
        <f>HYPERLINK("https://app.optiwise.ai/catalog/itemdetails/373318", "Sherpa Wearable Blanket with Sleeves Arms, Super Soft Warm Comfy Large Fleece Plush Sleeved TV Throws Wrap Robe Blanket for Adult Women and Men by Catalonia")</f>
        <v/>
      </c>
      <c r="C2085" t="inlineStr">
        <is>
          <t>1CTSN210BL</t>
        </is>
      </c>
      <c r="D2085" t="inlineStr">
        <is>
          <t>Bedding</t>
        </is>
      </c>
      <c r="E2085" t="inlineStr">
        <is>
          <t>Throws</t>
        </is>
      </c>
      <c r="F2085" t="inlineStr">
        <is>
          <t>Catalonia</t>
        </is>
      </c>
      <c r="G2085" t="n">
        <v>0</v>
      </c>
      <c r="H2085" t="n">
        <v>0</v>
      </c>
      <c r="I2085" t="inlineStr">
        <is>
          <t>Q2-Target,Coupon_Discount,Batch 1 - TR</t>
        </is>
      </c>
      <c r="J2085" s="29" t="n">
        <v>0</v>
      </c>
      <c r="K2085" s="30" t="n"/>
      <c r="L2085" s="29" t="n">
        <v>0</v>
      </c>
      <c r="M2085" s="29" t="n">
        <v>0</v>
      </c>
      <c r="N2085" s="2" t="n">
        <v>0</v>
      </c>
      <c r="O2085" s="31" t="n">
        <v>0</v>
      </c>
      <c r="P2085" s="32" t="n"/>
      <c r="Q2085" s="32" t="n">
        <v>0</v>
      </c>
      <c r="R2085" s="32" t="n">
        <v>0</v>
      </c>
      <c r="S2085" s="31" t="n">
        <v>0</v>
      </c>
      <c r="T2085" s="32" t="n">
        <v>0</v>
      </c>
      <c r="U2085" s="31" t="n">
        <v>0</v>
      </c>
      <c r="V2085" s="31" t="n">
        <v>0</v>
      </c>
      <c r="W2085" s="3" t="n">
        <v>0</v>
      </c>
      <c r="X2085" s="3" t="n">
        <v>0</v>
      </c>
      <c r="Y2085" s="32" t="n">
        <v>0</v>
      </c>
      <c r="Z2085" s="3" t="n">
        <v>0</v>
      </c>
      <c r="AA2085" s="32" t="n">
        <v>0</v>
      </c>
      <c r="AB2085" s="3" t="n"/>
      <c r="AC2085" s="31" t="n">
        <v>0</v>
      </c>
      <c r="AD2085" s="2" t="n">
        <v>0</v>
      </c>
      <c r="AE2085" s="2" t="n">
        <v>11</v>
      </c>
      <c r="AF2085" s="4" t="n">
        <v>11</v>
      </c>
      <c r="AG2085" s="33" t="n">
        <v>0</v>
      </c>
      <c r="AH2085" s="4" t="n">
        <v>0</v>
      </c>
      <c r="AI2085" s="34" t="n"/>
      <c r="AJ2085" s="34" t="n">
        <v>0</v>
      </c>
      <c r="AK2085" s="2" t="n">
        <v>0</v>
      </c>
      <c r="AL2085" t="inlineStr">
        <is>
          <t>Published</t>
        </is>
      </c>
    </row>
    <row r="2086">
      <c r="A2086">
        <f>HYPERLINK("https://www.walmart.com/ip/748394104", "748394104")</f>
        <v/>
      </c>
      <c r="B2086">
        <f>HYPERLINK("https://app.optiwise.ai/catalog/itemdetails/373317", "Sherpa Wearable Blanket with Sleeves Arms, Super Soft Warm Comfy Large Fleece Plush Sleeved TV Throws Wrap Robe Blanket for Adult Women and Men by Catalonia")</f>
        <v/>
      </c>
      <c r="C2086" t="inlineStr">
        <is>
          <t>1CTSN210GY</t>
        </is>
      </c>
      <c r="D2086" t="inlineStr">
        <is>
          <t>Bedding</t>
        </is>
      </c>
      <c r="E2086" t="inlineStr">
        <is>
          <t>Throws</t>
        </is>
      </c>
      <c r="F2086" t="inlineStr">
        <is>
          <t>Catalonia</t>
        </is>
      </c>
      <c r="G2086" t="n">
        <v>0</v>
      </c>
      <c r="H2086" t="n">
        <v>0</v>
      </c>
      <c r="I2086" t="inlineStr">
        <is>
          <t>Optimized,Coupon_Discount</t>
        </is>
      </c>
      <c r="J2086" s="29" t="n">
        <v>0</v>
      </c>
      <c r="K2086" s="30" t="n"/>
      <c r="L2086" s="29" t="n">
        <v>0</v>
      </c>
      <c r="M2086" s="29" t="n">
        <v>0</v>
      </c>
      <c r="N2086" s="2" t="n">
        <v>0</v>
      </c>
      <c r="O2086" s="31" t="n">
        <v>0</v>
      </c>
      <c r="P2086" s="32" t="n"/>
      <c r="Q2086" s="32" t="n">
        <v>0</v>
      </c>
      <c r="R2086" s="32" t="n">
        <v>0</v>
      </c>
      <c r="S2086" s="31" t="n">
        <v>0</v>
      </c>
      <c r="T2086" s="32" t="n">
        <v>0</v>
      </c>
      <c r="U2086" s="31" t="n">
        <v>0</v>
      </c>
      <c r="V2086" s="31" t="n">
        <v>0</v>
      </c>
      <c r="W2086" s="3" t="n">
        <v>0</v>
      </c>
      <c r="X2086" s="3" t="n">
        <v>0</v>
      </c>
      <c r="Y2086" s="32" t="n">
        <v>0</v>
      </c>
      <c r="Z2086" s="3" t="n">
        <v>0</v>
      </c>
      <c r="AA2086" s="32" t="n">
        <v>0</v>
      </c>
      <c r="AB2086" s="3" t="n"/>
      <c r="AC2086" s="31" t="n">
        <v>0</v>
      </c>
      <c r="AD2086" s="2" t="n">
        <v>0</v>
      </c>
      <c r="AE2086" s="2" t="n">
        <v>20</v>
      </c>
      <c r="AF2086" s="4" t="n">
        <v>20</v>
      </c>
      <c r="AG2086" s="33" t="n">
        <v>0</v>
      </c>
      <c r="AH2086" s="4" t="n">
        <v>0</v>
      </c>
      <c r="AI2086" s="34" t="n"/>
      <c r="AJ2086" s="34" t="n">
        <v>0</v>
      </c>
      <c r="AK2086" s="2" t="n">
        <v>0</v>
      </c>
      <c r="AL2086" t="inlineStr">
        <is>
          <t>Published</t>
        </is>
      </c>
    </row>
    <row r="2087">
      <c r="A2087">
        <f>HYPERLINK("https://www.walmart.com/ip/710463986", "710463986")</f>
        <v/>
      </c>
      <c r="B2087">
        <f>HYPERLINK("https://app.optiwise.ai/catalog/itemdetails/373313", "Sherpa Wearable Blanket with Sleeves Arms, Super Soft Warm Comfy Large Fleece Plush Sleeved TV Throws Wrap Robe Blanket for Adult Women and Men, Tiger")</f>
        <v/>
      </c>
      <c r="C2087" t="inlineStr">
        <is>
          <t>1CTSN110TG</t>
        </is>
      </c>
      <c r="D2087" t="inlineStr">
        <is>
          <t>Bedding</t>
        </is>
      </c>
      <c r="E2087" t="inlineStr">
        <is>
          <t>Throws</t>
        </is>
      </c>
      <c r="F2087" t="inlineStr">
        <is>
          <t>Catalonia</t>
        </is>
      </c>
      <c r="G2087" t="n">
        <v>5</v>
      </c>
      <c r="H2087" t="n">
        <v>3</v>
      </c>
      <c r="I2087" t="inlineStr">
        <is>
          <t>Q2-Target,Coupon_Discount,Batch 1 - TR</t>
        </is>
      </c>
      <c r="J2087" s="29" t="n">
        <v>0</v>
      </c>
      <c r="K2087" s="30" t="n"/>
      <c r="L2087" s="29" t="n">
        <v>0</v>
      </c>
      <c r="M2087" s="29" t="n">
        <v>0</v>
      </c>
      <c r="N2087" s="2" t="n">
        <v>0</v>
      </c>
      <c r="O2087" s="31" t="n">
        <v>0</v>
      </c>
      <c r="P2087" s="32" t="n"/>
      <c r="Q2087" s="32" t="n">
        <v>0</v>
      </c>
      <c r="R2087" s="32" t="n">
        <v>0</v>
      </c>
      <c r="S2087" s="31" t="n">
        <v>0</v>
      </c>
      <c r="T2087" s="32" t="n">
        <v>0</v>
      </c>
      <c r="U2087" s="31" t="n">
        <v>0</v>
      </c>
      <c r="V2087" s="31" t="n">
        <v>0</v>
      </c>
      <c r="W2087" s="3" t="n">
        <v>0</v>
      </c>
      <c r="X2087" s="3" t="n">
        <v>0</v>
      </c>
      <c r="Y2087" s="32" t="n">
        <v>0</v>
      </c>
      <c r="Z2087" s="3" t="n">
        <v>0</v>
      </c>
      <c r="AA2087" s="32" t="n">
        <v>0</v>
      </c>
      <c r="AB2087" s="3" t="n"/>
      <c r="AC2087" s="31" t="n">
        <v>0</v>
      </c>
      <c r="AD2087" s="2" t="n">
        <v>0</v>
      </c>
      <c r="AE2087" s="2" t="n">
        <v>19</v>
      </c>
      <c r="AF2087" s="4" t="n">
        <v>19</v>
      </c>
      <c r="AG2087" s="33" t="n">
        <v>0</v>
      </c>
      <c r="AH2087" s="4" t="n">
        <v>0</v>
      </c>
      <c r="AI2087" s="34" t="n"/>
      <c r="AJ2087" s="34" t="n">
        <v>0</v>
      </c>
      <c r="AK2087" s="2" t="n">
        <v>0</v>
      </c>
      <c r="AL2087" t="inlineStr">
        <is>
          <t>Published</t>
        </is>
      </c>
    </row>
    <row r="2088">
      <c r="A2088">
        <f>HYPERLINK("https://www.walmart.com/ip/379187851", "379187851")</f>
        <v/>
      </c>
      <c r="B2088">
        <f>HYPERLINK("https://app.optiwise.ai/catalog/itemdetails/373311", "Sherpa jackie Mink Fleece for Adults 73 x 51”| Cozy Warm")</f>
        <v/>
      </c>
      <c r="C2088" t="inlineStr">
        <is>
          <t>1CTJK200CHEETAH</t>
        </is>
      </c>
      <c r="D2088" t="inlineStr">
        <is>
          <t>Clothing</t>
        </is>
      </c>
      <c r="E2088" t="inlineStr">
        <is>
          <t>Sweatshirts &amp; Hoodies</t>
        </is>
      </c>
      <c r="F2088" t="inlineStr">
        <is>
          <t>Catalonia</t>
        </is>
      </c>
      <c r="G2088" t="n">
        <v>0</v>
      </c>
      <c r="H2088" t="n">
        <v>0</v>
      </c>
      <c r="I2088" t="inlineStr">
        <is>
          <t>Jacket ForAdult,WFS,WFS Item</t>
        </is>
      </c>
      <c r="J2088" s="29" t="n">
        <v>0</v>
      </c>
      <c r="K2088" s="30" t="n"/>
      <c r="L2088" s="29" t="n">
        <v>0</v>
      </c>
      <c r="M2088" s="29" t="n">
        <v>0</v>
      </c>
      <c r="N2088" s="2" t="n">
        <v>0</v>
      </c>
      <c r="O2088" s="31" t="n">
        <v>0</v>
      </c>
      <c r="P2088" s="32" t="n"/>
      <c r="Q2088" s="32" t="n">
        <v>0</v>
      </c>
      <c r="R2088" s="32" t="n">
        <v>0</v>
      </c>
      <c r="S2088" s="31" t="n">
        <v>0</v>
      </c>
      <c r="T2088" s="32" t="n">
        <v>0</v>
      </c>
      <c r="U2088" s="31" t="n">
        <v>0</v>
      </c>
      <c r="V2088" s="31" t="n">
        <v>0</v>
      </c>
      <c r="W2088" s="3" t="n">
        <v>0</v>
      </c>
      <c r="X2088" s="3" t="n">
        <v>0</v>
      </c>
      <c r="Y2088" s="32" t="n">
        <v>0</v>
      </c>
      <c r="Z2088" s="3" t="n">
        <v>0</v>
      </c>
      <c r="AA2088" s="32" t="n">
        <v>0</v>
      </c>
      <c r="AB2088" s="3" t="n"/>
      <c r="AC2088" s="31" t="n">
        <v>0</v>
      </c>
      <c r="AD2088" s="2" t="n">
        <v>0</v>
      </c>
      <c r="AE2088" s="2" t="n">
        <v>11</v>
      </c>
      <c r="AF2088" s="4" t="n">
        <v>11</v>
      </c>
      <c r="AG2088" s="33" t="n">
        <v>0</v>
      </c>
      <c r="AH2088" s="4" t="n">
        <v>0</v>
      </c>
      <c r="AI2088" s="34" t="n"/>
      <c r="AJ2088" s="34" t="n">
        <v>0</v>
      </c>
      <c r="AK2088" s="2" t="n">
        <v>0</v>
      </c>
      <c r="AL2088" t="inlineStr">
        <is>
          <t>Published</t>
        </is>
      </c>
    </row>
    <row r="2089">
      <c r="A2089">
        <f>HYPERLINK("https://www.walmart.com/ip/525890877", "525890877")</f>
        <v/>
      </c>
      <c r="B2089">
        <f>HYPERLINK("https://app.optiwise.ai/catalog/itemdetails/362832", "Women’s Crop Top Hoodie Sweatshirt Oversized Casual 3/4 Sleeve One Size Pink Cheetah")</f>
        <v/>
      </c>
      <c r="C2089" t="inlineStr">
        <is>
          <t>1WMHD520S1PKCHEETAH</t>
        </is>
      </c>
      <c r="D2089" t="inlineStr">
        <is>
          <t>Clothing</t>
        </is>
      </c>
      <c r="E2089" t="inlineStr">
        <is>
          <t>Sweatshirts &amp; Hoodies</t>
        </is>
      </c>
      <c r="F2089" t="inlineStr">
        <is>
          <t>Flyingstar</t>
        </is>
      </c>
      <c r="G2089" t="n">
        <v>5</v>
      </c>
      <c r="H2089" t="n">
        <v>4</v>
      </c>
      <c r="I2089" t="inlineStr">
        <is>
          <t>Batch 1 - TR</t>
        </is>
      </c>
      <c r="J2089" s="29" t="n">
        <v>0</v>
      </c>
      <c r="K2089" s="30" t="n"/>
      <c r="L2089" s="29" t="n">
        <v>0</v>
      </c>
      <c r="M2089" s="29" t="n">
        <v>0</v>
      </c>
      <c r="N2089" s="2" t="n">
        <v>0</v>
      </c>
      <c r="O2089" s="31" t="n">
        <v>2.15</v>
      </c>
      <c r="P2089" s="32" t="n">
        <v>0.0003</v>
      </c>
      <c r="Q2089" s="32" t="n">
        <v>0</v>
      </c>
      <c r="R2089" s="32" t="n">
        <v>0</v>
      </c>
      <c r="S2089" s="31" t="n">
        <v>0</v>
      </c>
      <c r="T2089" s="32" t="n">
        <v>0</v>
      </c>
      <c r="U2089" s="31" t="n">
        <v>0</v>
      </c>
      <c r="V2089" s="31" t="n">
        <v>0</v>
      </c>
      <c r="W2089" s="3" t="n">
        <v>7352</v>
      </c>
      <c r="X2089" s="3" t="n">
        <v>6</v>
      </c>
      <c r="Y2089" s="32" t="n">
        <v>0.0008</v>
      </c>
      <c r="Z2089" s="3" t="n">
        <v>0</v>
      </c>
      <c r="AA2089" s="32" t="n">
        <v>0</v>
      </c>
      <c r="AB2089" s="3" t="inlineStr">
        <is>
          <t>Hoodies_Auto</t>
        </is>
      </c>
      <c r="AC2089" s="31" t="n">
        <v>0.36</v>
      </c>
      <c r="AD2089" s="2" t="n">
        <v>0</v>
      </c>
      <c r="AE2089" s="2" t="n">
        <v>9</v>
      </c>
      <c r="AF2089" s="4" t="n">
        <v>3</v>
      </c>
      <c r="AG2089" s="33" t="n">
        <v>0</v>
      </c>
      <c r="AH2089" s="4" t="n">
        <v>0</v>
      </c>
      <c r="AI2089" s="34" t="n"/>
      <c r="AJ2089" s="34" t="n">
        <v>0</v>
      </c>
      <c r="AK2089" s="2" t="n">
        <v>0</v>
      </c>
      <c r="AL2089" t="inlineStr">
        <is>
          <t>Published</t>
        </is>
      </c>
    </row>
    <row r="2090">
      <c r="A2090">
        <f>HYPERLINK("https://www.walmart.com/ip/556234919", "556234919")</f>
        <v/>
      </c>
      <c r="B2090">
        <f>HYPERLINK("https://app.optiwise.ai/catalog/itemdetails/362825", "Catalonia Fleece Wearable Blanket Poncho for Adult Women Men, Wrap Blanket Cape with Pocket | Warm, Soft, Cozy, Snuggly, Comfort Gift, No Sleeves | All-Season, Gift Idea")</f>
        <v/>
      </c>
      <c r="C2090" t="inlineStr">
        <is>
          <t>1CTBP200WN</t>
        </is>
      </c>
      <c r="D2090" t="inlineStr">
        <is>
          <t>Bedding</t>
        </is>
      </c>
      <c r="E2090" t="inlineStr">
        <is>
          <t>Throws</t>
        </is>
      </c>
      <c r="F2090" t="inlineStr">
        <is>
          <t>Catalonia</t>
        </is>
      </c>
      <c r="G2090" t="n">
        <v>0</v>
      </c>
      <c r="H2090" t="n">
        <v>0</v>
      </c>
      <c r="I2090" t="inlineStr">
        <is>
          <t>Hero 5 Holidays,WFS,WFS Item</t>
        </is>
      </c>
      <c r="J2090" s="29" t="n">
        <v>0</v>
      </c>
      <c r="K2090" s="30" t="n"/>
      <c r="L2090" s="29" t="n">
        <v>0</v>
      </c>
      <c r="M2090" s="29" t="n">
        <v>0</v>
      </c>
      <c r="N2090" s="2" t="n">
        <v>0</v>
      </c>
      <c r="O2090" s="31" t="n">
        <v>0</v>
      </c>
      <c r="P2090" s="32" t="n"/>
      <c r="Q2090" s="32" t="n">
        <v>0</v>
      </c>
      <c r="R2090" s="32" t="n">
        <v>0</v>
      </c>
      <c r="S2090" s="31" t="n">
        <v>0</v>
      </c>
      <c r="T2090" s="32" t="n">
        <v>0</v>
      </c>
      <c r="U2090" s="31" t="n">
        <v>0</v>
      </c>
      <c r="V2090" s="31" t="n">
        <v>0</v>
      </c>
      <c r="W2090" s="3" t="n">
        <v>11</v>
      </c>
      <c r="X2090" s="3" t="n">
        <v>0</v>
      </c>
      <c r="Y2090" s="32" t="n">
        <v>0</v>
      </c>
      <c r="Z2090" s="3" t="n">
        <v>0</v>
      </c>
      <c r="AA2090" s="32" t="n">
        <v>0</v>
      </c>
      <c r="AB2090" s="3" t="inlineStr">
        <is>
          <t>Snuggly_Auto,Throws_Manual_Optiwise_24</t>
        </is>
      </c>
      <c r="AC2090" s="31" t="n">
        <v>0</v>
      </c>
      <c r="AD2090" s="2" t="n">
        <v>6</v>
      </c>
      <c r="AE2090" s="2" t="n">
        <v>15</v>
      </c>
      <c r="AF2090" s="4" t="n">
        <v>15</v>
      </c>
      <c r="AG2090" s="33" t="n">
        <v>0</v>
      </c>
      <c r="AH2090" s="4" t="n">
        <v>0</v>
      </c>
      <c r="AI2090" s="34" t="n"/>
      <c r="AJ2090" s="34" t="n">
        <v>0</v>
      </c>
      <c r="AK2090" s="2" t="n">
        <v>0</v>
      </c>
      <c r="AL2090" t="inlineStr">
        <is>
          <t>Published</t>
        </is>
      </c>
    </row>
    <row r="2091">
      <c r="A2091">
        <f>HYPERLINK("https://www.walmart.com/ip/141921360", "141921360")</f>
        <v/>
      </c>
      <c r="B2091">
        <f>HYPERLINK("https://app.optiwise.ai/catalog/itemdetails/362822", "Napa Super Soft Warm Micro Plush TV Blanket with Sleeves for Women and Men, Fleece Sherpa Cozy Wrap Warm Wearable Throw Robe 72 x 50 - Brown")</f>
        <v/>
      </c>
      <c r="C2091" t="inlineStr">
        <is>
          <t>K3080BROWN</t>
        </is>
      </c>
      <c r="D2091" t="inlineStr">
        <is>
          <t>Bedding</t>
        </is>
      </c>
      <c r="E2091" t="inlineStr">
        <is>
          <t>Throws</t>
        </is>
      </c>
      <c r="F2091" t="inlineStr">
        <is>
          <t>NAPA</t>
        </is>
      </c>
      <c r="G2091" t="n">
        <v>5</v>
      </c>
      <c r="H2091" t="n">
        <v>1</v>
      </c>
      <c r="I2091" t="inlineStr">
        <is>
          <t>Batch 1 - TR</t>
        </is>
      </c>
      <c r="J2091" s="29" t="n">
        <v>0</v>
      </c>
      <c r="K2091" s="30" t="n"/>
      <c r="L2091" s="29" t="n">
        <v>0</v>
      </c>
      <c r="M2091" s="29" t="n">
        <v>0</v>
      </c>
      <c r="N2091" s="2" t="n">
        <v>0</v>
      </c>
      <c r="O2091" s="31" t="n">
        <v>0</v>
      </c>
      <c r="P2091" s="32" t="n"/>
      <c r="Q2091" s="32" t="n">
        <v>0</v>
      </c>
      <c r="R2091" s="32" t="n">
        <v>0</v>
      </c>
      <c r="S2091" s="31" t="n">
        <v>0</v>
      </c>
      <c r="T2091" s="32" t="n">
        <v>0</v>
      </c>
      <c r="U2091" s="31" t="n">
        <v>0</v>
      </c>
      <c r="V2091" s="31" t="n">
        <v>0</v>
      </c>
      <c r="W2091" s="3" t="n">
        <v>0</v>
      </c>
      <c r="X2091" s="3" t="n">
        <v>0</v>
      </c>
      <c r="Y2091" s="32" t="n">
        <v>0</v>
      </c>
      <c r="Z2091" s="3" t="n">
        <v>0</v>
      </c>
      <c r="AA2091" s="32" t="n">
        <v>0</v>
      </c>
      <c r="AB2091" s="3" t="n"/>
      <c r="AC2091" s="31" t="n">
        <v>0</v>
      </c>
      <c r="AD2091" s="2" t="n">
        <v>0</v>
      </c>
      <c r="AE2091" s="2" t="n">
        <v>2</v>
      </c>
      <c r="AF2091" s="4" t="n">
        <v>2</v>
      </c>
      <c r="AG2091" s="33" t="n">
        <v>0</v>
      </c>
      <c r="AH2091" s="4" t="n">
        <v>0</v>
      </c>
      <c r="AI2091" s="34" t="n"/>
      <c r="AJ2091" s="34" t="n">
        <v>0</v>
      </c>
      <c r="AK2091" s="2" t="n">
        <v>0</v>
      </c>
      <c r="AL2091" t="inlineStr">
        <is>
          <t>Published</t>
        </is>
      </c>
    </row>
    <row r="2092">
      <c r="A2092">
        <f>HYPERLINK("https://www.walmart.com/ip/314705553", "314705553")</f>
        <v/>
      </c>
      <c r="B2092">
        <f>HYPERLINK("https://app.optiwise.ai/catalog/itemdetails/362710", "Catalonia Sherpa Wearable Blanket Poncho for Adult Women Men, Wrap Blanket Cape with Pocket, Warm, Soft, Cozy, Snuggly, Comfort Gift, No Sleeves, Camel")</f>
        <v/>
      </c>
      <c r="C2092" t="inlineStr">
        <is>
          <t>1CTBP110CA</t>
        </is>
      </c>
      <c r="D2092" t="inlineStr">
        <is>
          <t>Bedding</t>
        </is>
      </c>
      <c r="E2092" t="inlineStr">
        <is>
          <t>Throws</t>
        </is>
      </c>
      <c r="F2092" t="inlineStr">
        <is>
          <t>Catalonia</t>
        </is>
      </c>
      <c r="G2092" t="n">
        <v>0</v>
      </c>
      <c r="H2092" t="n">
        <v>0</v>
      </c>
      <c r="I2092" t="inlineStr">
        <is>
          <t>Hero 5 Holidays,Coupon_Discount,Batch 1 - TR</t>
        </is>
      </c>
      <c r="J2092" s="29" t="n">
        <v>0</v>
      </c>
      <c r="K2092" s="30" t="n"/>
      <c r="L2092" s="29" t="n">
        <v>32.9900016784668</v>
      </c>
      <c r="M2092" s="29" t="n">
        <v>0</v>
      </c>
      <c r="N2092" s="2" t="n">
        <v>0</v>
      </c>
      <c r="O2092" s="31" t="n">
        <v>0</v>
      </c>
      <c r="P2092" s="32" t="n"/>
      <c r="Q2092" s="32" t="n">
        <v>0</v>
      </c>
      <c r="R2092" s="32" t="n">
        <v>0</v>
      </c>
      <c r="S2092" s="31" t="n">
        <v>0</v>
      </c>
      <c r="T2092" s="32" t="n">
        <v>0</v>
      </c>
      <c r="U2092" s="31" t="n">
        <v>0</v>
      </c>
      <c r="V2092" s="31" t="n">
        <v>0</v>
      </c>
      <c r="W2092" s="3" t="n">
        <v>0</v>
      </c>
      <c r="X2092" s="3" t="n">
        <v>0</v>
      </c>
      <c r="Y2092" s="32" t="n">
        <v>0</v>
      </c>
      <c r="Z2092" s="3" t="n">
        <v>0</v>
      </c>
      <c r="AA2092" s="32" t="n">
        <v>0</v>
      </c>
      <c r="AB2092" s="3" t="n"/>
      <c r="AC2092" s="31" t="n">
        <v>0</v>
      </c>
      <c r="AD2092" s="2" t="n">
        <v>19</v>
      </c>
      <c r="AE2092" s="2" t="n">
        <v>27</v>
      </c>
      <c r="AF2092" s="4" t="n">
        <v>27</v>
      </c>
      <c r="AG2092" s="33" t="n">
        <v>0</v>
      </c>
      <c r="AH2092" s="4" t="n">
        <v>0</v>
      </c>
      <c r="AI2092" s="34" t="n"/>
      <c r="AJ2092" s="34" t="n">
        <v>0</v>
      </c>
      <c r="AK2092" s="2" t="n">
        <v>0</v>
      </c>
      <c r="AL2092" t="inlineStr">
        <is>
          <t>Published</t>
        </is>
      </c>
    </row>
    <row r="2093">
      <c r="A2093">
        <f>HYPERLINK("https://www.walmart.com/ip/736569751", "736569751")</f>
        <v/>
      </c>
      <c r="B2093">
        <f>HYPERLINK("https://app.optiwise.ai/catalog/itemdetails/362709", "Tirrinia Insulated 2 Bottle Wine Carrier Tote Cooler Bag for Travel Picnic Padded Champagne Glass")</f>
        <v/>
      </c>
      <c r="C2093" t="inlineStr">
        <is>
          <t>1TRWB230STR</t>
        </is>
      </c>
      <c r="D2093" t="inlineStr">
        <is>
          <t>Home Decor, Kitchen, &amp; Other</t>
        </is>
      </c>
      <c r="E2093" t="inlineStr">
        <is>
          <t>Wine Totes, Bags &amp; Backpacks</t>
        </is>
      </c>
      <c r="F2093" t="inlineStr">
        <is>
          <t>Tirrinia</t>
        </is>
      </c>
      <c r="G2093" t="n">
        <v>0</v>
      </c>
      <c r="H2093" t="n">
        <v>0</v>
      </c>
      <c r="I2093" t="inlineStr">
        <is>
          <t>Wine,Christmas,WFS,Wine WFS,Valentine,SEM,WFS Item</t>
        </is>
      </c>
      <c r="J2093" s="29" t="n">
        <v>0</v>
      </c>
      <c r="K2093" s="30" t="n"/>
      <c r="L2093" s="29" t="n">
        <v>0</v>
      </c>
      <c r="M2093" s="29" t="n">
        <v>0</v>
      </c>
      <c r="N2093" s="2" t="n">
        <v>0</v>
      </c>
      <c r="O2093" s="31" t="n">
        <v>0</v>
      </c>
      <c r="P2093" s="32" t="n"/>
      <c r="Q2093" s="32" t="n">
        <v>0</v>
      </c>
      <c r="R2093" s="32" t="n">
        <v>0</v>
      </c>
      <c r="S2093" s="31" t="n">
        <v>0</v>
      </c>
      <c r="T2093" s="32" t="n">
        <v>0</v>
      </c>
      <c r="U2093" s="31" t="n">
        <v>0</v>
      </c>
      <c r="V2093" s="31" t="n">
        <v>0</v>
      </c>
      <c r="W2093" s="3" t="n">
        <v>0</v>
      </c>
      <c r="X2093" s="3" t="n">
        <v>0</v>
      </c>
      <c r="Y2093" s="32" t="n">
        <v>0</v>
      </c>
      <c r="Z2093" s="3" t="n">
        <v>0</v>
      </c>
      <c r="AA2093" s="32" t="n">
        <v>0</v>
      </c>
      <c r="AB2093" s="3" t="n"/>
      <c r="AC2093" s="31" t="n">
        <v>0</v>
      </c>
      <c r="AD2093" s="2" t="n">
        <v>0</v>
      </c>
      <c r="AE2093" s="2" t="n">
        <v>27</v>
      </c>
      <c r="AF2093" s="4" t="n">
        <v>27</v>
      </c>
      <c r="AG2093" s="33" t="n">
        <v>0</v>
      </c>
      <c r="AH2093" s="4" t="n">
        <v>0</v>
      </c>
      <c r="AI2093" s="34" t="n"/>
      <c r="AJ2093" s="34" t="n">
        <v>0</v>
      </c>
      <c r="AK2093" s="2" t="n">
        <v>0</v>
      </c>
      <c r="AL2093" t="inlineStr">
        <is>
          <t>Published</t>
        </is>
      </c>
    </row>
    <row r="2094">
      <c r="A2094">
        <f>HYPERLINK("https://www.walmart.com/ip/143619828", "143619828")</f>
        <v/>
      </c>
      <c r="B2094">
        <f>HYPERLINK("https://app.optiwise.ai/catalog/itemdetails/362708", "Women's High Waist Yoga Pants Workout Running Capri Legging Inner Pocket")</f>
        <v/>
      </c>
      <c r="C2094" t="inlineStr">
        <is>
          <t>1TRYP102PK-SM</t>
        </is>
      </c>
      <c r="D2094" t="inlineStr">
        <is>
          <t>Clothing</t>
        </is>
      </c>
      <c r="E2094" t="inlineStr">
        <is>
          <t>Leggings</t>
        </is>
      </c>
      <c r="F2094" t="inlineStr">
        <is>
          <t>Tirrinia</t>
        </is>
      </c>
      <c r="G2094" t="n">
        <v>0</v>
      </c>
      <c r="H2094" t="n">
        <v>0</v>
      </c>
      <c r="I2094" t="inlineStr">
        <is>
          <t>Optimized</t>
        </is>
      </c>
      <c r="J2094" s="29" t="n">
        <v>0</v>
      </c>
      <c r="K2094" s="30" t="n"/>
      <c r="L2094" s="29" t="n">
        <v>0</v>
      </c>
      <c r="M2094" s="29" t="n">
        <v>0</v>
      </c>
      <c r="N2094" s="2" t="n">
        <v>0</v>
      </c>
      <c r="O2094" s="31" t="n">
        <v>0</v>
      </c>
      <c r="P2094" s="32" t="n"/>
      <c r="Q2094" s="32" t="n">
        <v>0</v>
      </c>
      <c r="R2094" s="32" t="n">
        <v>0</v>
      </c>
      <c r="S2094" s="31" t="n">
        <v>0</v>
      </c>
      <c r="T2094" s="32" t="n">
        <v>0</v>
      </c>
      <c r="U2094" s="31" t="n">
        <v>0</v>
      </c>
      <c r="V2094" s="31" t="n">
        <v>0</v>
      </c>
      <c r="W2094" s="3" t="n">
        <v>0</v>
      </c>
      <c r="X2094" s="3" t="n">
        <v>0</v>
      </c>
      <c r="Y2094" s="32" t="n">
        <v>0</v>
      </c>
      <c r="Z2094" s="3" t="n">
        <v>0</v>
      </c>
      <c r="AA2094" s="32" t="n">
        <v>0</v>
      </c>
      <c r="AB2094" s="3" t="n"/>
      <c r="AC2094" s="31" t="n">
        <v>0</v>
      </c>
      <c r="AD2094" s="2" t="n">
        <v>0</v>
      </c>
      <c r="AE2094" s="2" t="n">
        <v>1</v>
      </c>
      <c r="AF2094" s="4" t="n">
        <v>1</v>
      </c>
      <c r="AG2094" s="33" t="n">
        <v>0</v>
      </c>
      <c r="AH2094" s="4" t="n">
        <v>0</v>
      </c>
      <c r="AI2094" s="34" t="n"/>
      <c r="AJ2094" s="34" t="n">
        <v>0</v>
      </c>
      <c r="AK2094" s="2" t="n">
        <v>0</v>
      </c>
      <c r="AL2094" t="inlineStr">
        <is>
          <t>Published</t>
        </is>
      </c>
    </row>
    <row r="2095">
      <c r="A2095">
        <f>HYPERLINK("https://www.walmart.com/ip/229712908", "229712908")</f>
        <v/>
      </c>
      <c r="B2095">
        <f>HYPERLINK("https://app.optiwise.ai/catalog/itemdetails/362596", "Kato Insulated Lunch Bag for Women and Men, Leakproof Portable Cooler with Dual Compartments, Double Deck, Front Pockets, Zipper Closure for School, Office Work, Outdoor Activities, Medium Size, Black")</f>
        <v/>
      </c>
      <c r="C2095" t="inlineStr">
        <is>
          <t>1KTLB300BKBK</t>
        </is>
      </c>
      <c r="D2095" t="inlineStr">
        <is>
          <t>Home Decor, Kitchen, &amp; Other</t>
        </is>
      </c>
      <c r="E2095" t="inlineStr">
        <is>
          <t>Reusable Lunch Bags &amp; Boxes</t>
        </is>
      </c>
      <c r="F2095" t="inlineStr">
        <is>
          <t>Kato</t>
        </is>
      </c>
      <c r="G2095" t="n">
        <v>3.8</v>
      </c>
      <c r="H2095" t="n">
        <v>31</v>
      </c>
      <c r="I2095" t="inlineStr">
        <is>
          <t>Lunch Bag,WFS,Lunch Bags,SEM,WFS Item</t>
        </is>
      </c>
      <c r="J2095" s="29" t="n">
        <v>0</v>
      </c>
      <c r="K2095" s="30" t="n"/>
      <c r="L2095" s="29" t="n">
        <v>0</v>
      </c>
      <c r="M2095" s="29" t="n">
        <v>0</v>
      </c>
      <c r="N2095" s="2" t="n">
        <v>0</v>
      </c>
      <c r="O2095" s="31" t="n">
        <v>0</v>
      </c>
      <c r="P2095" s="32" t="n"/>
      <c r="Q2095" s="32" t="n">
        <v>0</v>
      </c>
      <c r="R2095" s="32" t="n">
        <v>0</v>
      </c>
      <c r="S2095" s="31" t="n">
        <v>0</v>
      </c>
      <c r="T2095" s="32" t="n">
        <v>0</v>
      </c>
      <c r="U2095" s="31" t="n">
        <v>0</v>
      </c>
      <c r="V2095" s="31" t="n">
        <v>0</v>
      </c>
      <c r="W2095" s="3" t="n">
        <v>0</v>
      </c>
      <c r="X2095" s="3" t="n">
        <v>0</v>
      </c>
      <c r="Y2095" s="32" t="n">
        <v>0</v>
      </c>
      <c r="Z2095" s="3" t="n">
        <v>0</v>
      </c>
      <c r="AA2095" s="32" t="n">
        <v>0</v>
      </c>
      <c r="AB2095" s="3" t="n"/>
      <c r="AC2095" s="31" t="n">
        <v>0</v>
      </c>
      <c r="AD2095" s="2" t="n">
        <v>0</v>
      </c>
      <c r="AE2095" s="2" t="n">
        <v>0</v>
      </c>
      <c r="AF2095" s="4" t="n">
        <v>0</v>
      </c>
      <c r="AG2095" s="33" t="n">
        <v>0</v>
      </c>
      <c r="AH2095" s="4" t="n">
        <v>0</v>
      </c>
      <c r="AI2095" s="34" t="n"/>
      <c r="AJ2095" s="34" t="n">
        <v>0</v>
      </c>
      <c r="AK2095" s="2" t="n">
        <v>0</v>
      </c>
      <c r="AL2095" t="inlineStr">
        <is>
          <t>Published</t>
        </is>
      </c>
    </row>
    <row r="2096">
      <c r="A2096">
        <f>HYPERLINK("https://www.walmart.com/ip/145739849", "145739849")</f>
        <v/>
      </c>
      <c r="B2096">
        <f>HYPERLINK("https://app.optiwise.ai/catalog/itemdetails/362627", "Deluxe Stylish Microplush Sleeved Fleece Blanket Soft Home Sofa Snuggie")</f>
        <v/>
      </c>
      <c r="C2096" t="inlineStr">
        <is>
          <t>k3000-Brown</t>
        </is>
      </c>
      <c r="D2096" t="inlineStr">
        <is>
          <t>Clothing</t>
        </is>
      </c>
      <c r="E2096" t="inlineStr">
        <is>
          <t>Sleepwear Robes &amp; Bathrobes</t>
        </is>
      </c>
      <c r="F2096" t="inlineStr">
        <is>
          <t>NAPA</t>
        </is>
      </c>
      <c r="G2096" t="n">
        <v>0</v>
      </c>
      <c r="H2096" t="n">
        <v>0</v>
      </c>
      <c r="I2096" t="inlineStr">
        <is>
          <t>Optimized,Fleece Blankets</t>
        </is>
      </c>
      <c r="J2096" s="29" t="n">
        <v>0</v>
      </c>
      <c r="K2096" s="30" t="n"/>
      <c r="L2096" s="29" t="n">
        <v>0</v>
      </c>
      <c r="M2096" s="29" t="n">
        <v>0</v>
      </c>
      <c r="N2096" s="2" t="n">
        <v>0</v>
      </c>
      <c r="O2096" s="31" t="n">
        <v>0</v>
      </c>
      <c r="P2096" s="32" t="n"/>
      <c r="Q2096" s="32" t="n">
        <v>0</v>
      </c>
      <c r="R2096" s="32" t="n">
        <v>0</v>
      </c>
      <c r="S2096" s="31" t="n">
        <v>0</v>
      </c>
      <c r="T2096" s="32" t="n">
        <v>0</v>
      </c>
      <c r="U2096" s="31" t="n">
        <v>0</v>
      </c>
      <c r="V2096" s="31" t="n">
        <v>0</v>
      </c>
      <c r="W2096" s="3" t="n">
        <v>0</v>
      </c>
      <c r="X2096" s="3" t="n">
        <v>0</v>
      </c>
      <c r="Y2096" s="32" t="n">
        <v>0</v>
      </c>
      <c r="Z2096" s="3" t="n">
        <v>0</v>
      </c>
      <c r="AA2096" s="32" t="n">
        <v>0</v>
      </c>
      <c r="AB2096" s="3" t="n"/>
      <c r="AC2096" s="31" t="n">
        <v>0</v>
      </c>
      <c r="AD2096" s="2" t="n">
        <v>0</v>
      </c>
      <c r="AE2096" s="2" t="n">
        <v>1</v>
      </c>
      <c r="AF2096" s="4" t="n">
        <v>1</v>
      </c>
      <c r="AG2096" s="33" t="n">
        <v>0</v>
      </c>
      <c r="AH2096" s="4" t="n">
        <v>0</v>
      </c>
      <c r="AI2096" s="34" t="n"/>
      <c r="AJ2096" s="34" t="n">
        <v>0</v>
      </c>
      <c r="AK2096" s="2" t="n">
        <v>0</v>
      </c>
      <c r="AL2096" t="inlineStr">
        <is>
          <t>Published</t>
        </is>
      </c>
    </row>
    <row r="2097">
      <c r="A2097">
        <f>HYPERLINK("https://www.walmart.com/ip/486342462", "486342462")</f>
        <v/>
      </c>
      <c r="B2097">
        <f>HYPERLINK("https://app.optiwise.ai/catalog/itemdetails/362626", "Catalonia Waterproof Blanket Pee Proof Couch Sofa Bed Protector Cover for Baby, Super Cozy Plush Fleece Warm Throws for Boating Camping")</f>
        <v/>
      </c>
      <c r="C2097" t="inlineStr">
        <is>
          <t>1CTBW681WNTP</t>
        </is>
      </c>
      <c r="D2097" t="inlineStr">
        <is>
          <t>Bedding</t>
        </is>
      </c>
      <c r="E2097" t="inlineStr">
        <is>
          <t>Throws</t>
        </is>
      </c>
      <c r="F2097" t="inlineStr">
        <is>
          <t>Catalonia</t>
        </is>
      </c>
      <c r="G2097" t="n">
        <v>3.3</v>
      </c>
      <c r="H2097" t="n">
        <v>4</v>
      </c>
      <c r="I2097" t="inlineStr">
        <is>
          <t>Optimized,Wproof Blanket</t>
        </is>
      </c>
      <c r="J2097" s="29" t="n">
        <v>0</v>
      </c>
      <c r="K2097" s="30" t="n"/>
      <c r="L2097" s="29" t="n">
        <v>0</v>
      </c>
      <c r="M2097" s="29" t="n">
        <v>0</v>
      </c>
      <c r="N2097" s="2" t="n">
        <v>0</v>
      </c>
      <c r="O2097" s="31" t="n">
        <v>3.34</v>
      </c>
      <c r="P2097" s="32" t="n">
        <v>0.0004</v>
      </c>
      <c r="Q2097" s="32" t="n">
        <v>0</v>
      </c>
      <c r="R2097" s="32" t="n">
        <v>0.0834</v>
      </c>
      <c r="S2097" s="31" t="n">
        <v>0</v>
      </c>
      <c r="T2097" s="32" t="n">
        <v>0</v>
      </c>
      <c r="U2097" s="31" t="n">
        <v>0</v>
      </c>
      <c r="V2097" s="31" t="n">
        <v>0</v>
      </c>
      <c r="W2097" s="3" t="n">
        <v>4795</v>
      </c>
      <c r="X2097" s="3" t="n">
        <v>8</v>
      </c>
      <c r="Y2097" s="32" t="n">
        <v>0.0017</v>
      </c>
      <c r="Z2097" s="3" t="n">
        <v>0</v>
      </c>
      <c r="AA2097" s="32" t="n">
        <v>0</v>
      </c>
      <c r="AB2097" s="3" t="inlineStr">
        <is>
          <t>Auto for BW Indoor</t>
        </is>
      </c>
      <c r="AC2097" s="31" t="n">
        <v>0.42</v>
      </c>
      <c r="AD2097" s="2" t="n">
        <v>0</v>
      </c>
      <c r="AE2097" s="2" t="n">
        <v>98</v>
      </c>
      <c r="AF2097" s="4" t="n">
        <v>90</v>
      </c>
      <c r="AG2097" s="33" t="n">
        <v>0</v>
      </c>
      <c r="AH2097" s="4" t="n">
        <v>0</v>
      </c>
      <c r="AI2097" s="34" t="n"/>
      <c r="AJ2097" s="34" t="n">
        <v>0</v>
      </c>
      <c r="AK2097" s="2" t="n">
        <v>0</v>
      </c>
      <c r="AL2097" t="inlineStr">
        <is>
          <t>Published</t>
        </is>
      </c>
    </row>
    <row r="2098">
      <c r="A2098">
        <f>HYPERLINK("https://www.walmart.com/ip/814209589", "814209589")</f>
        <v/>
      </c>
      <c r="B2098">
        <f>HYPERLINK("https://app.optiwise.ai/catalog/itemdetails/362620", "Tirrinia Surf Poncho Changing Towel with Hood, Quick Dry Oversized Fits All Adult, Black")</f>
        <v/>
      </c>
      <c r="C2098" t="inlineStr">
        <is>
          <t>1TRBR100-BK-TB01</t>
        </is>
      </c>
      <c r="D2098" t="inlineStr">
        <is>
          <t>Clothing</t>
        </is>
      </c>
      <c r="E2098" t="inlineStr">
        <is>
          <t>Towels &amp; Washcloths</t>
        </is>
      </c>
      <c r="F2098" t="inlineStr">
        <is>
          <t>Tirrinia</t>
        </is>
      </c>
      <c r="G2098" t="n">
        <v>5</v>
      </c>
      <c r="H2098" t="n">
        <v>1</v>
      </c>
      <c r="I2098" t="inlineStr">
        <is>
          <t>Batch 1 - TR</t>
        </is>
      </c>
      <c r="J2098" s="29" t="n">
        <v>0</v>
      </c>
      <c r="K2098" s="30" t="n"/>
      <c r="L2098" s="29" t="n">
        <v>0</v>
      </c>
      <c r="M2098" s="29" t="n">
        <v>0</v>
      </c>
      <c r="N2098" s="2" t="n">
        <v>0</v>
      </c>
      <c r="O2098" s="31" t="n">
        <v>0</v>
      </c>
      <c r="P2098" s="32" t="n"/>
      <c r="Q2098" s="32" t="n">
        <v>0</v>
      </c>
      <c r="R2098" s="32" t="n">
        <v>0</v>
      </c>
      <c r="S2098" s="31" t="n">
        <v>0</v>
      </c>
      <c r="T2098" s="32" t="n">
        <v>0</v>
      </c>
      <c r="U2098" s="31" t="n">
        <v>0</v>
      </c>
      <c r="V2098" s="31" t="n">
        <v>0</v>
      </c>
      <c r="W2098" s="3" t="n">
        <v>0</v>
      </c>
      <c r="X2098" s="3" t="n">
        <v>0</v>
      </c>
      <c r="Y2098" s="32" t="n">
        <v>0</v>
      </c>
      <c r="Z2098" s="3" t="n">
        <v>0</v>
      </c>
      <c r="AA2098" s="32" t="n">
        <v>0</v>
      </c>
      <c r="AB2098" s="3" t="n"/>
      <c r="AC2098" s="31" t="n">
        <v>0</v>
      </c>
      <c r="AD2098" s="2" t="n">
        <v>0</v>
      </c>
      <c r="AE2098" s="2" t="n">
        <v>0</v>
      </c>
      <c r="AF2098" s="4" t="n">
        <v>0</v>
      </c>
      <c r="AG2098" s="33" t="n">
        <v>0</v>
      </c>
      <c r="AH2098" s="4" t="n">
        <v>0</v>
      </c>
      <c r="AI2098" s="34" t="n"/>
      <c r="AJ2098" s="34" t="n">
        <v>0</v>
      </c>
      <c r="AK2098" s="2" t="n">
        <v>0</v>
      </c>
      <c r="AL2098" t="inlineStr">
        <is>
          <t>Published</t>
        </is>
      </c>
    </row>
    <row r="2099">
      <c r="A2099">
        <f>HYPERLINK("https://www.walmart.com/ip/196284818", "196284818")</f>
        <v/>
      </c>
      <c r="B2099">
        <f>HYPERLINK("https://app.optiwise.ai/catalog/itemdetails/362619", "KC Caps Blank Cuff Hat Knit Beanie")</f>
        <v/>
      </c>
      <c r="C2099" t="inlineStr">
        <is>
          <t>KCW1720WH</t>
        </is>
      </c>
      <c r="D2099" t="inlineStr">
        <is>
          <t>Clothing</t>
        </is>
      </c>
      <c r="E2099" t="inlineStr">
        <is>
          <t>Hats</t>
        </is>
      </c>
      <c r="F2099" t="inlineStr">
        <is>
          <t>KC Caps</t>
        </is>
      </c>
      <c r="G2099" t="n">
        <v>0</v>
      </c>
      <c r="H2099" t="n">
        <v>0</v>
      </c>
      <c r="I2099" t="inlineStr">
        <is>
          <t>Optimized</t>
        </is>
      </c>
      <c r="J2099" s="29" t="n">
        <v>0</v>
      </c>
      <c r="K2099" s="30" t="n"/>
      <c r="L2099" s="29" t="n">
        <v>0</v>
      </c>
      <c r="M2099" s="29" t="n">
        <v>0</v>
      </c>
      <c r="N2099" s="2" t="n">
        <v>0</v>
      </c>
      <c r="O2099" s="31" t="n">
        <v>0</v>
      </c>
      <c r="P2099" s="32" t="n"/>
      <c r="Q2099" s="32" t="n">
        <v>0</v>
      </c>
      <c r="R2099" s="32" t="n">
        <v>0</v>
      </c>
      <c r="S2099" s="31" t="n">
        <v>0</v>
      </c>
      <c r="T2099" s="32" t="n">
        <v>0</v>
      </c>
      <c r="U2099" s="31" t="n">
        <v>0</v>
      </c>
      <c r="V2099" s="31" t="n">
        <v>0</v>
      </c>
      <c r="W2099" s="3" t="n">
        <v>0</v>
      </c>
      <c r="X2099" s="3" t="n">
        <v>0</v>
      </c>
      <c r="Y2099" s="32" t="n">
        <v>0</v>
      </c>
      <c r="Z2099" s="3" t="n">
        <v>0</v>
      </c>
      <c r="AA2099" s="32" t="n">
        <v>0</v>
      </c>
      <c r="AB2099" s="3" t="n"/>
      <c r="AC2099" s="31" t="n">
        <v>0</v>
      </c>
      <c r="AD2099" s="2" t="n">
        <v>0</v>
      </c>
      <c r="AE2099" s="2" t="n">
        <v>2</v>
      </c>
      <c r="AF2099" s="4" t="n">
        <v>2</v>
      </c>
      <c r="AG2099" s="33" t="n">
        <v>0</v>
      </c>
      <c r="AH2099" s="4" t="n">
        <v>0</v>
      </c>
      <c r="AI2099" s="34" t="n"/>
      <c r="AJ2099" s="34" t="n">
        <v>0</v>
      </c>
      <c r="AK2099" s="2" t="n">
        <v>0</v>
      </c>
      <c r="AL2099" t="inlineStr">
        <is>
          <t>Published</t>
        </is>
      </c>
    </row>
    <row r="2100">
      <c r="A2100">
        <f>HYPERLINK("https://www.walmart.com/ip/170177832", "170177832")</f>
        <v/>
      </c>
      <c r="B2100">
        <f>HYPERLINK("https://app.optiwise.ai/catalog/itemdetails/362613", "KC Caps® Unisex Cotton Baseball Cap Adjustable Plain Hat (21 Styles/Colors)")</f>
        <v/>
      </c>
      <c r="C2100" t="inlineStr">
        <is>
          <t>KC8010WNGN</t>
        </is>
      </c>
      <c r="D2100" t="inlineStr">
        <is>
          <t>Clothing</t>
        </is>
      </c>
      <c r="E2100" t="inlineStr">
        <is>
          <t>Hats</t>
        </is>
      </c>
      <c r="F2100" t="inlineStr">
        <is>
          <t>KC Caps</t>
        </is>
      </c>
      <c r="G2100" t="n">
        <v>0</v>
      </c>
      <c r="H2100" t="n">
        <v>0</v>
      </c>
      <c r="I2100" t="inlineStr">
        <is>
          <t>Optimized</t>
        </is>
      </c>
      <c r="J2100" s="29" t="n">
        <v>0</v>
      </c>
      <c r="K2100" s="30" t="n"/>
      <c r="L2100" s="29" t="n">
        <v>0</v>
      </c>
      <c r="M2100" s="29" t="n">
        <v>0</v>
      </c>
      <c r="N2100" s="2" t="n">
        <v>0</v>
      </c>
      <c r="O2100" s="31" t="n">
        <v>0</v>
      </c>
      <c r="P2100" s="32" t="n"/>
      <c r="Q2100" s="32" t="n">
        <v>0</v>
      </c>
      <c r="R2100" s="32" t="n">
        <v>0</v>
      </c>
      <c r="S2100" s="31" t="n">
        <v>0</v>
      </c>
      <c r="T2100" s="32" t="n">
        <v>0</v>
      </c>
      <c r="U2100" s="31" t="n">
        <v>0</v>
      </c>
      <c r="V2100" s="31" t="n">
        <v>0</v>
      </c>
      <c r="W2100" s="3" t="n">
        <v>0</v>
      </c>
      <c r="X2100" s="3" t="n">
        <v>0</v>
      </c>
      <c r="Y2100" s="32" t="n">
        <v>0</v>
      </c>
      <c r="Z2100" s="3" t="n">
        <v>0</v>
      </c>
      <c r="AA2100" s="32" t="n">
        <v>0</v>
      </c>
      <c r="AB2100" s="3" t="n"/>
      <c r="AC2100" s="31" t="n">
        <v>0</v>
      </c>
      <c r="AD2100" s="2" t="n">
        <v>0</v>
      </c>
      <c r="AE2100" s="2" t="n">
        <v>26</v>
      </c>
      <c r="AF2100" s="4" t="n">
        <v>26</v>
      </c>
      <c r="AG2100" s="33" t="n">
        <v>0</v>
      </c>
      <c r="AH2100" s="4" t="n">
        <v>0</v>
      </c>
      <c r="AI2100" s="34" t="n"/>
      <c r="AJ2100" s="34" t="n">
        <v>0</v>
      </c>
      <c r="AK2100" s="2" t="n">
        <v>0</v>
      </c>
      <c r="AL2100" t="inlineStr">
        <is>
          <t>Published</t>
        </is>
      </c>
    </row>
    <row r="2101">
      <c r="A2101">
        <f>HYPERLINK("https://www.walmart.com/ip/198211537", "198211537")</f>
        <v/>
      </c>
      <c r="B2101">
        <f>HYPERLINK("https://app.optiwise.ai/catalog/itemdetails/362607", "JenniWears Womens Black Sexy Cutout Sleeveless Sheer Bodystocking")</f>
        <v/>
      </c>
      <c r="C2101" t="inlineStr">
        <is>
          <t>JWBS8810</t>
        </is>
      </c>
      <c r="D2101" t="inlineStr">
        <is>
          <t>Clothing</t>
        </is>
      </c>
      <c r="E2101" t="inlineStr">
        <is>
          <t>Teddies &amp; Bodystockings</t>
        </is>
      </c>
      <c r="F2101" t="inlineStr">
        <is>
          <t>JenniWears</t>
        </is>
      </c>
      <c r="G2101" t="n">
        <v>0</v>
      </c>
      <c r="H2101" t="n">
        <v>0</v>
      </c>
      <c r="I2101" t="inlineStr">
        <is>
          <t>Valentine,WFS Item</t>
        </is>
      </c>
      <c r="J2101" s="29" t="n">
        <v>0</v>
      </c>
      <c r="K2101" s="30" t="n"/>
      <c r="L2101" s="29" t="n">
        <v>0</v>
      </c>
      <c r="M2101" s="29" t="n">
        <v>0</v>
      </c>
      <c r="N2101" s="2" t="n">
        <v>0</v>
      </c>
      <c r="O2101" s="31" t="n">
        <v>0</v>
      </c>
      <c r="P2101" s="32" t="n"/>
      <c r="Q2101" s="32" t="n">
        <v>0</v>
      </c>
      <c r="R2101" s="32" t="n">
        <v>0</v>
      </c>
      <c r="S2101" s="31" t="n">
        <v>0</v>
      </c>
      <c r="T2101" s="32" t="n">
        <v>0</v>
      </c>
      <c r="U2101" s="31" t="n">
        <v>0</v>
      </c>
      <c r="V2101" s="31" t="n">
        <v>0</v>
      </c>
      <c r="W2101" s="3" t="n">
        <v>0</v>
      </c>
      <c r="X2101" s="3" t="n">
        <v>0</v>
      </c>
      <c r="Y2101" s="32" t="n">
        <v>0</v>
      </c>
      <c r="Z2101" s="3" t="n">
        <v>0</v>
      </c>
      <c r="AA2101" s="32" t="n">
        <v>0</v>
      </c>
      <c r="AB2101" s="3" t="n"/>
      <c r="AC2101" s="31" t="n">
        <v>0</v>
      </c>
      <c r="AD2101" s="2" t="n">
        <v>0</v>
      </c>
      <c r="AE2101" s="2" t="n">
        <v>15</v>
      </c>
      <c r="AF2101" s="4" t="n">
        <v>15</v>
      </c>
      <c r="AG2101" s="33" t="n">
        <v>0</v>
      </c>
      <c r="AH2101" s="4" t="n">
        <v>0</v>
      </c>
      <c r="AI2101" s="34" t="n"/>
      <c r="AJ2101" s="34" t="n">
        <v>0</v>
      </c>
      <c r="AK2101" s="2" t="n">
        <v>0</v>
      </c>
      <c r="AL2101" t="inlineStr">
        <is>
          <t>Published</t>
        </is>
      </c>
    </row>
    <row r="2102">
      <c r="A2102">
        <f>HYPERLINK("https://www.walmart.com/ip/197238314", "197238314")</f>
        <v/>
      </c>
      <c r="B2102">
        <f>HYPERLINK("https://app.optiwise.ai/catalog/itemdetails/362604", "Target Lightweight Running Belt Waist Pack with Earphone Outlet - Outdoor Sweatproof Reflective Belt Waist Bag for iPhone 6S/6/6 PLUS Transparent Touch Screen Window, Universal Sports Waist Belt")</f>
        <v/>
      </c>
      <c r="C2102" t="inlineStr">
        <is>
          <t>TARGETWB01L-BL</t>
        </is>
      </c>
      <c r="D2102" t="inlineStr">
        <is>
          <t>Cases &amp; Bags</t>
        </is>
      </c>
      <c r="E2102" t="inlineStr">
        <is>
          <t>Running Belts</t>
        </is>
      </c>
      <c r="F2102" t="inlineStr">
        <is>
          <t>Target</t>
        </is>
      </c>
      <c r="G2102" t="n">
        <v>3.5</v>
      </c>
      <c r="H2102" t="n">
        <v>2</v>
      </c>
      <c r="I2102" t="inlineStr">
        <is>
          <t>Batch 1 - TR</t>
        </is>
      </c>
      <c r="J2102" s="29" t="n">
        <v>0</v>
      </c>
      <c r="K2102" s="30" t="n"/>
      <c r="L2102" s="29" t="n">
        <v>0</v>
      </c>
      <c r="M2102" s="29" t="n">
        <v>0</v>
      </c>
      <c r="N2102" s="2" t="n">
        <v>0</v>
      </c>
      <c r="O2102" s="31" t="n">
        <v>0</v>
      </c>
      <c r="P2102" s="32" t="n"/>
      <c r="Q2102" s="32" t="n">
        <v>0</v>
      </c>
      <c r="R2102" s="32" t="n">
        <v>0</v>
      </c>
      <c r="S2102" s="31" t="n">
        <v>0</v>
      </c>
      <c r="T2102" s="32" t="n">
        <v>0</v>
      </c>
      <c r="U2102" s="31" t="n">
        <v>0</v>
      </c>
      <c r="V2102" s="31" t="n">
        <v>0</v>
      </c>
      <c r="W2102" s="3" t="n">
        <v>0</v>
      </c>
      <c r="X2102" s="3" t="n">
        <v>0</v>
      </c>
      <c r="Y2102" s="32" t="n">
        <v>0</v>
      </c>
      <c r="Z2102" s="3" t="n">
        <v>0</v>
      </c>
      <c r="AA2102" s="32" t="n">
        <v>0</v>
      </c>
      <c r="AB2102" s="3" t="n"/>
      <c r="AC2102" s="31" t="n">
        <v>0</v>
      </c>
      <c r="AD2102" s="2" t="n">
        <v>0</v>
      </c>
      <c r="AE2102" s="2" t="n">
        <v>18</v>
      </c>
      <c r="AF2102" s="4" t="n">
        <v>18</v>
      </c>
      <c r="AG2102" s="33" t="n">
        <v>0</v>
      </c>
      <c r="AH2102" s="4" t="n">
        <v>0</v>
      </c>
      <c r="AI2102" s="34" t="n"/>
      <c r="AJ2102" s="34" t="n">
        <v>0</v>
      </c>
      <c r="AK2102" s="2" t="n">
        <v>0</v>
      </c>
      <c r="AL2102" t="inlineStr">
        <is>
          <t>Published</t>
        </is>
      </c>
    </row>
    <row r="2103">
      <c r="A2103">
        <f>HYPERLINK("https://www.walmart.com/ip/763048311", "763048311")</f>
        <v/>
      </c>
      <c r="B2103">
        <f>HYPERLINK("https://app.optiwise.ai/catalog/itemdetails/362602", "Tirrinia Two Pieces Tankini Swimsuit for Women Open Back Swimwear Bathing Suits Set, Black, XLarge")</f>
        <v/>
      </c>
      <c r="C2103" t="inlineStr">
        <is>
          <t>1TRSS005BK-XL</t>
        </is>
      </c>
      <c r="D2103" t="inlineStr">
        <is>
          <t>Clothing</t>
        </is>
      </c>
      <c r="E2103" t="inlineStr">
        <is>
          <t>Bikini &amp; Tankini Tops</t>
        </is>
      </c>
      <c r="F2103" t="inlineStr">
        <is>
          <t>Tirrinia</t>
        </is>
      </c>
      <c r="G2103" t="n">
        <v>2</v>
      </c>
      <c r="H2103" t="n">
        <v>2</v>
      </c>
      <c r="I2103" t="inlineStr">
        <is>
          <t>Optimized</t>
        </is>
      </c>
      <c r="J2103" s="29" t="n">
        <v>0</v>
      </c>
      <c r="K2103" s="30" t="n"/>
      <c r="L2103" s="29" t="n">
        <v>0</v>
      </c>
      <c r="M2103" s="29" t="n">
        <v>0</v>
      </c>
      <c r="N2103" s="2" t="n">
        <v>0</v>
      </c>
      <c r="O2103" s="31" t="n">
        <v>0</v>
      </c>
      <c r="P2103" s="32" t="n"/>
      <c r="Q2103" s="32" t="n">
        <v>0</v>
      </c>
      <c r="R2103" s="32" t="n">
        <v>0</v>
      </c>
      <c r="S2103" s="31" t="n">
        <v>0</v>
      </c>
      <c r="T2103" s="32" t="n">
        <v>0</v>
      </c>
      <c r="U2103" s="31" t="n">
        <v>0</v>
      </c>
      <c r="V2103" s="31" t="n">
        <v>0</v>
      </c>
      <c r="W2103" s="3" t="n">
        <v>0</v>
      </c>
      <c r="X2103" s="3" t="n">
        <v>0</v>
      </c>
      <c r="Y2103" s="32" t="n">
        <v>0</v>
      </c>
      <c r="Z2103" s="3" t="n">
        <v>0</v>
      </c>
      <c r="AA2103" s="32" t="n">
        <v>0</v>
      </c>
      <c r="AB2103" s="3" t="n"/>
      <c r="AC2103" s="31" t="n">
        <v>0</v>
      </c>
      <c r="AD2103" s="2" t="n">
        <v>0</v>
      </c>
      <c r="AE2103" s="2" t="n">
        <v>14</v>
      </c>
      <c r="AF2103" s="4" t="n">
        <v>14</v>
      </c>
      <c r="AG2103" s="33" t="n">
        <v>0</v>
      </c>
      <c r="AH2103" s="4" t="n">
        <v>0</v>
      </c>
      <c r="AI2103" s="34" t="n"/>
      <c r="AJ2103" s="34" t="n">
        <v>0</v>
      </c>
      <c r="AK2103" s="2" t="n">
        <v>0</v>
      </c>
      <c r="AL2103" t="inlineStr">
        <is>
          <t>Published</t>
        </is>
      </c>
    </row>
    <row r="2104">
      <c r="A2104">
        <f>HYPERLINK("https://www.walmart.com/ip/688255013", "688255013")</f>
        <v/>
      </c>
      <c r="B2104">
        <f>HYPERLINK("https://app.optiwise.ai/catalog/itemdetails/362601", "Fleece Blanket Wearable with Sleeves and Pocket, Micro Plush Warm Comfy Sleeved TV Throw Blanket Robe for Women and Men Multi-Colors 72”X55” by Catalonia")</f>
        <v/>
      </c>
      <c r="C2104" t="inlineStr">
        <is>
          <t>1CTSN110WN-ESGM</t>
        </is>
      </c>
      <c r="D2104" t="inlineStr">
        <is>
          <t>Bedding</t>
        </is>
      </c>
      <c r="E2104" t="inlineStr">
        <is>
          <t>Throws</t>
        </is>
      </c>
      <c r="F2104" t="inlineStr">
        <is>
          <t>Catalonia</t>
        </is>
      </c>
      <c r="G2104" t="n">
        <v>0</v>
      </c>
      <c r="H2104" t="n">
        <v>0</v>
      </c>
      <c r="I2104" t="inlineStr">
        <is>
          <t>Fleece Blankets,Batch 1 - TR</t>
        </is>
      </c>
      <c r="J2104" s="29" t="n">
        <v>0</v>
      </c>
      <c r="K2104" s="30" t="n"/>
      <c r="L2104" s="29" t="n">
        <v>0</v>
      </c>
      <c r="M2104" s="29" t="n">
        <v>0</v>
      </c>
      <c r="N2104" s="2" t="n">
        <v>0</v>
      </c>
      <c r="O2104" s="31" t="n">
        <v>0</v>
      </c>
      <c r="P2104" s="32" t="n"/>
      <c r="Q2104" s="32" t="n">
        <v>0</v>
      </c>
      <c r="R2104" s="32" t="n">
        <v>0</v>
      </c>
      <c r="S2104" s="31" t="n">
        <v>0</v>
      </c>
      <c r="T2104" s="32" t="n">
        <v>0</v>
      </c>
      <c r="U2104" s="31" t="n">
        <v>0</v>
      </c>
      <c r="V2104" s="31" t="n">
        <v>0</v>
      </c>
      <c r="W2104" s="3" t="n">
        <v>0</v>
      </c>
      <c r="X2104" s="3" t="n">
        <v>0</v>
      </c>
      <c r="Y2104" s="32" t="n">
        <v>0</v>
      </c>
      <c r="Z2104" s="3" t="n">
        <v>0</v>
      </c>
      <c r="AA2104" s="32" t="n">
        <v>0</v>
      </c>
      <c r="AB2104" s="3" t="n"/>
      <c r="AC2104" s="31" t="n">
        <v>0</v>
      </c>
      <c r="AD2104" s="2" t="n">
        <v>0</v>
      </c>
      <c r="AE2104" s="2" t="n">
        <v>3</v>
      </c>
      <c r="AF2104" s="4" t="n">
        <v>3</v>
      </c>
      <c r="AG2104" s="33" t="n">
        <v>0</v>
      </c>
      <c r="AH2104" s="4" t="n">
        <v>0</v>
      </c>
      <c r="AI2104" s="34" t="n"/>
      <c r="AJ2104" s="34" t="n">
        <v>0</v>
      </c>
      <c r="AK2104" s="2" t="n">
        <v>0</v>
      </c>
      <c r="AL2104" t="inlineStr">
        <is>
          <t>Published</t>
        </is>
      </c>
    </row>
    <row r="2105">
      <c r="A2105">
        <f>HYPERLINK("https://www.walmart.com/ip/516035141", "516035141")</f>
        <v/>
      </c>
      <c r="B2105">
        <f>HYPERLINK("https://app.optiwise.ai/catalog/itemdetails/362599", "Catalonia Fleece Throw Blanket for Couch, Super Soft Fuzzy Plush Blanket for Adults and Kids, All Seasons Home Decor Blanket, Machine Washable, 50x60, White")</f>
        <v/>
      </c>
      <c r="C2105" t="inlineStr">
        <is>
          <t>1CTBF575WT</t>
        </is>
      </c>
      <c r="D2105" t="inlineStr">
        <is>
          <t>Bedding</t>
        </is>
      </c>
      <c r="E2105" t="inlineStr">
        <is>
          <t>Throws</t>
        </is>
      </c>
      <c r="F2105" t="inlineStr">
        <is>
          <t>Catalonia</t>
        </is>
      </c>
      <c r="G2105" t="n">
        <v>4.3</v>
      </c>
      <c r="H2105" t="n">
        <v>15</v>
      </c>
      <c r="I2105" t="inlineStr">
        <is>
          <t>WFS,WFS Item</t>
        </is>
      </c>
      <c r="J2105" s="29" t="n">
        <v>0</v>
      </c>
      <c r="K2105" s="30" t="n"/>
      <c r="L2105" s="29" t="n">
        <v>0</v>
      </c>
      <c r="M2105" s="29" t="n">
        <v>0</v>
      </c>
      <c r="N2105" s="2" t="n">
        <v>0</v>
      </c>
      <c r="O2105" s="31" t="n">
        <v>0</v>
      </c>
      <c r="P2105" s="32" t="n"/>
      <c r="Q2105" s="32" t="n">
        <v>0</v>
      </c>
      <c r="R2105" s="32" t="n">
        <v>0</v>
      </c>
      <c r="S2105" s="31" t="n">
        <v>0</v>
      </c>
      <c r="T2105" s="32" t="n">
        <v>0</v>
      </c>
      <c r="U2105" s="31" t="n">
        <v>0</v>
      </c>
      <c r="V2105" s="31" t="n">
        <v>0</v>
      </c>
      <c r="W2105" s="3" t="n">
        <v>0</v>
      </c>
      <c r="X2105" s="3" t="n">
        <v>0</v>
      </c>
      <c r="Y2105" s="32" t="n">
        <v>0</v>
      </c>
      <c r="Z2105" s="3" t="n">
        <v>0</v>
      </c>
      <c r="AA2105" s="32" t="n">
        <v>0</v>
      </c>
      <c r="AB2105" s="3" t="n"/>
      <c r="AC2105" s="31" t="n">
        <v>0</v>
      </c>
      <c r="AD2105" s="2" t="n">
        <v>0</v>
      </c>
      <c r="AE2105" s="2" t="n">
        <v>19</v>
      </c>
      <c r="AF2105" s="4" t="n">
        <v>19</v>
      </c>
      <c r="AG2105" s="33" t="n">
        <v>0</v>
      </c>
      <c r="AH2105" s="4" t="n">
        <v>0</v>
      </c>
      <c r="AI2105" s="34" t="n"/>
      <c r="AJ2105" s="34" t="n">
        <v>0</v>
      </c>
      <c r="AK2105" s="2" t="n">
        <v>0</v>
      </c>
      <c r="AL2105" t="inlineStr">
        <is>
          <t>Published</t>
        </is>
      </c>
    </row>
    <row r="2106">
      <c r="A2106">
        <f>HYPERLINK("https://www.walmart.com/ip/677328308", "677328308")</f>
        <v/>
      </c>
      <c r="B2106">
        <f>HYPERLINK("https://app.optiwise.ai/catalog/itemdetails/362598", "KC Caps® Cotton Twill Unconstructed Hat Velcro Closure Casual Trucker Cap")</f>
        <v/>
      </c>
      <c r="C2106" t="inlineStr">
        <is>
          <t>KC Caps 8321 Camo Green</t>
        </is>
      </c>
      <c r="D2106" t="inlineStr">
        <is>
          <t>Clothing</t>
        </is>
      </c>
      <c r="E2106" t="inlineStr">
        <is>
          <t>Hats</t>
        </is>
      </c>
      <c r="F2106" t="inlineStr">
        <is>
          <t>KC Caps</t>
        </is>
      </c>
      <c r="G2106" t="n">
        <v>0</v>
      </c>
      <c r="H2106" t="n">
        <v>0</v>
      </c>
      <c r="I2106" t="inlineStr">
        <is>
          <t>Optimized,ST Patrick Day</t>
        </is>
      </c>
      <c r="J2106" s="29" t="n">
        <v>0</v>
      </c>
      <c r="K2106" s="30" t="n"/>
      <c r="L2106" s="29" t="n">
        <v>0</v>
      </c>
      <c r="M2106" s="29" t="n">
        <v>0</v>
      </c>
      <c r="N2106" s="2" t="n">
        <v>0</v>
      </c>
      <c r="O2106" s="31" t="n">
        <v>0</v>
      </c>
      <c r="P2106" s="32" t="n"/>
      <c r="Q2106" s="32" t="n">
        <v>0</v>
      </c>
      <c r="R2106" s="32" t="n">
        <v>0</v>
      </c>
      <c r="S2106" s="31" t="n">
        <v>0</v>
      </c>
      <c r="T2106" s="32" t="n">
        <v>0</v>
      </c>
      <c r="U2106" s="31" t="n">
        <v>0</v>
      </c>
      <c r="V2106" s="31" t="n">
        <v>0</v>
      </c>
      <c r="W2106" s="3" t="n">
        <v>0</v>
      </c>
      <c r="X2106" s="3" t="n">
        <v>0</v>
      </c>
      <c r="Y2106" s="32" t="n">
        <v>0</v>
      </c>
      <c r="Z2106" s="3" t="n">
        <v>0</v>
      </c>
      <c r="AA2106" s="32" t="n">
        <v>0</v>
      </c>
      <c r="AB2106" s="3" t="n"/>
      <c r="AC2106" s="31" t="n">
        <v>0</v>
      </c>
      <c r="AD2106" s="2" t="n">
        <v>0</v>
      </c>
      <c r="AE2106" s="2" t="n">
        <v>1</v>
      </c>
      <c r="AF2106" s="4" t="n">
        <v>1</v>
      </c>
      <c r="AG2106" s="33" t="n">
        <v>0</v>
      </c>
      <c r="AH2106" s="4" t="n">
        <v>0</v>
      </c>
      <c r="AI2106" s="34" t="n"/>
      <c r="AJ2106" s="34" t="n">
        <v>0</v>
      </c>
      <c r="AK2106" s="2" t="n">
        <v>0</v>
      </c>
      <c r="AL2106" t="inlineStr">
        <is>
          <t>Published</t>
        </is>
      </c>
    </row>
    <row r="2107">
      <c r="A2107">
        <f>HYPERLINK("https://www.walmart.com/ip/382586947", "382586947")</f>
        <v/>
      </c>
      <c r="B2107">
        <f>HYPERLINK("https://app.optiwise.ai/catalog/itemdetails/362587", "Women Floppy Sun Beach Hats w/ Bow Wide Brim Summer UV Protection Foldable Gardening Hiking Cap by Solaris Navy")</f>
        <v/>
      </c>
      <c r="C2107" t="inlineStr">
        <is>
          <t>1SLSH260NV</t>
        </is>
      </c>
      <c r="D2107" t="inlineStr">
        <is>
          <t>Clothing</t>
        </is>
      </c>
      <c r="E2107" t="inlineStr">
        <is>
          <t>Hats</t>
        </is>
      </c>
      <c r="F2107" t="inlineStr">
        <is>
          <t>Solaris</t>
        </is>
      </c>
      <c r="G2107" t="n">
        <v>3.3</v>
      </c>
      <c r="H2107" t="n">
        <v>33</v>
      </c>
      <c r="I2107" t="inlineStr">
        <is>
          <t>Hats,Batch 1 - TR</t>
        </is>
      </c>
      <c r="J2107" s="29" t="n">
        <v>0</v>
      </c>
      <c r="K2107" s="30" t="n"/>
      <c r="L2107" s="29" t="n">
        <v>0</v>
      </c>
      <c r="M2107" s="29" t="n">
        <v>0</v>
      </c>
      <c r="N2107" s="2" t="n">
        <v>0</v>
      </c>
      <c r="O2107" s="31" t="n">
        <v>0</v>
      </c>
      <c r="P2107" s="32" t="n"/>
      <c r="Q2107" s="32" t="n">
        <v>0</v>
      </c>
      <c r="R2107" s="32" t="n">
        <v>0</v>
      </c>
      <c r="S2107" s="31" t="n">
        <v>0</v>
      </c>
      <c r="T2107" s="32" t="n">
        <v>0</v>
      </c>
      <c r="U2107" s="31" t="n">
        <v>0</v>
      </c>
      <c r="V2107" s="31" t="n">
        <v>0</v>
      </c>
      <c r="W2107" s="3" t="n">
        <v>0</v>
      </c>
      <c r="X2107" s="3" t="n">
        <v>0</v>
      </c>
      <c r="Y2107" s="32" t="n">
        <v>0</v>
      </c>
      <c r="Z2107" s="3" t="n">
        <v>0</v>
      </c>
      <c r="AA2107" s="32" t="n">
        <v>0</v>
      </c>
      <c r="AB2107" s="3" t="n"/>
      <c r="AC2107" s="31" t="n">
        <v>0</v>
      </c>
      <c r="AD2107" s="2" t="n">
        <v>0</v>
      </c>
      <c r="AE2107" s="2" t="n">
        <v>14</v>
      </c>
      <c r="AF2107" s="4" t="n">
        <v>14</v>
      </c>
      <c r="AG2107" s="33" t="n">
        <v>0</v>
      </c>
      <c r="AH2107" s="4" t="n">
        <v>0</v>
      </c>
      <c r="AI2107" s="34" t="n"/>
      <c r="AJ2107" s="34" t="n">
        <v>0</v>
      </c>
      <c r="AK2107" s="2" t="n">
        <v>0</v>
      </c>
      <c r="AL2107" t="inlineStr">
        <is>
          <t>Published</t>
        </is>
      </c>
    </row>
    <row r="2108">
      <c r="A2108">
        <f>HYPERLINK("https://www.walmart.com/ip/184833020", "184833020")</f>
        <v/>
      </c>
      <c r="B2108">
        <f>HYPERLINK("https://app.optiwise.ai/catalog/itemdetails/362703", "Catalonia Adult Knitted Mermaid Tail Blanket with Anti-Slip Neck Strap Soft Snuggie Throw All Seasons Sleep Bag 66.5” x")</f>
        <v/>
      </c>
      <c r="C2108" t="inlineStr">
        <is>
          <t>1CTMM100BL</t>
        </is>
      </c>
      <c r="D2108" t="inlineStr">
        <is>
          <t>Bedding</t>
        </is>
      </c>
      <c r="E2108" t="inlineStr">
        <is>
          <t>Throws</t>
        </is>
      </c>
      <c r="F2108" t="inlineStr">
        <is>
          <t>Catalonia</t>
        </is>
      </c>
      <c r="G2108" t="n">
        <v>0</v>
      </c>
      <c r="H2108" t="n">
        <v>0</v>
      </c>
      <c r="I2108" t="inlineStr">
        <is>
          <t>Optimized</t>
        </is>
      </c>
      <c r="J2108" s="29" t="n">
        <v>0</v>
      </c>
      <c r="K2108" s="30" t="n"/>
      <c r="L2108" s="29" t="n">
        <v>0</v>
      </c>
      <c r="M2108" s="29" t="n">
        <v>0</v>
      </c>
      <c r="N2108" s="2" t="n">
        <v>0</v>
      </c>
      <c r="O2108" s="31" t="n">
        <v>0</v>
      </c>
      <c r="P2108" s="32" t="n"/>
      <c r="Q2108" s="32" t="n">
        <v>0</v>
      </c>
      <c r="R2108" s="32" t="n">
        <v>0</v>
      </c>
      <c r="S2108" s="31" t="n">
        <v>0</v>
      </c>
      <c r="T2108" s="32" t="n">
        <v>0</v>
      </c>
      <c r="U2108" s="31" t="n">
        <v>0</v>
      </c>
      <c r="V2108" s="31" t="n">
        <v>0</v>
      </c>
      <c r="W2108" s="3" t="n">
        <v>0</v>
      </c>
      <c r="X2108" s="3" t="n">
        <v>0</v>
      </c>
      <c r="Y2108" s="32" t="n">
        <v>0</v>
      </c>
      <c r="Z2108" s="3" t="n">
        <v>0</v>
      </c>
      <c r="AA2108" s="32" t="n">
        <v>0</v>
      </c>
      <c r="AB2108" s="3" t="n"/>
      <c r="AC2108" s="31" t="n">
        <v>0</v>
      </c>
      <c r="AD2108" s="2" t="n">
        <v>0</v>
      </c>
      <c r="AE2108" s="2" t="n">
        <v>25</v>
      </c>
      <c r="AF2108" s="4" t="n">
        <v>25</v>
      </c>
      <c r="AG2108" s="33" t="n">
        <v>0</v>
      </c>
      <c r="AH2108" s="4" t="n">
        <v>0</v>
      </c>
      <c r="AI2108" s="34" t="n"/>
      <c r="AJ2108" s="34" t="n">
        <v>0</v>
      </c>
      <c r="AK2108" s="2" t="n">
        <v>0</v>
      </c>
      <c r="AL2108" t="inlineStr">
        <is>
          <t>Published</t>
        </is>
      </c>
    </row>
    <row r="2109">
      <c r="A2109">
        <f>HYPERLINK("https://www.walmart.com/ip/284634319", "284634319")</f>
        <v/>
      </c>
      <c r="B2109">
        <f>HYPERLINK("https://app.optiwise.ai/catalog/itemdetails/362578", "Mermaid Tail Blanket Super Soft Fleece Sleeping Bag Mermaid Blanket Tail with Pillow/Cusion Gift for Kids Girls 3-12")</f>
        <v/>
      </c>
      <c r="C2109" t="inlineStr">
        <is>
          <t>1TRMP100GN-TBCB</t>
        </is>
      </c>
      <c r="D2109" t="inlineStr">
        <is>
          <t>Bedding</t>
        </is>
      </c>
      <c r="E2109" t="inlineStr">
        <is>
          <t>Throws</t>
        </is>
      </c>
      <c r="F2109" t="inlineStr">
        <is>
          <t>Tirrinia</t>
        </is>
      </c>
      <c r="G2109" t="n">
        <v>0</v>
      </c>
      <c r="H2109" t="n">
        <v>0</v>
      </c>
      <c r="J2109" s="29" t="n">
        <v>0</v>
      </c>
      <c r="K2109" s="30" t="n"/>
      <c r="L2109" s="29" t="n">
        <v>0</v>
      </c>
      <c r="M2109" s="29" t="n">
        <v>0</v>
      </c>
      <c r="N2109" s="2" t="n">
        <v>0</v>
      </c>
      <c r="O2109" s="31" t="n">
        <v>0</v>
      </c>
      <c r="P2109" s="32" t="n"/>
      <c r="Q2109" s="32" t="n">
        <v>0</v>
      </c>
      <c r="R2109" s="32" t="n">
        <v>0</v>
      </c>
      <c r="S2109" s="31" t="n">
        <v>0</v>
      </c>
      <c r="T2109" s="32" t="n">
        <v>0</v>
      </c>
      <c r="U2109" s="31" t="n">
        <v>0</v>
      </c>
      <c r="V2109" s="31" t="n">
        <v>0</v>
      </c>
      <c r="W2109" s="3" t="n">
        <v>0</v>
      </c>
      <c r="X2109" s="3" t="n">
        <v>0</v>
      </c>
      <c r="Y2109" s="32" t="n">
        <v>0</v>
      </c>
      <c r="Z2109" s="3" t="n">
        <v>0</v>
      </c>
      <c r="AA2109" s="32" t="n">
        <v>0</v>
      </c>
      <c r="AB2109" s="3" t="n"/>
      <c r="AC2109" s="31" t="n">
        <v>0</v>
      </c>
      <c r="AD2109" s="2" t="n">
        <v>0</v>
      </c>
      <c r="AE2109" s="2" t="n">
        <v>7</v>
      </c>
      <c r="AF2109" s="4" t="n">
        <v>7</v>
      </c>
      <c r="AG2109" s="33" t="n">
        <v>0</v>
      </c>
      <c r="AH2109" s="4" t="n">
        <v>0</v>
      </c>
      <c r="AI2109" s="34" t="n"/>
      <c r="AJ2109" s="34" t="n">
        <v>0</v>
      </c>
      <c r="AK2109" s="2" t="n">
        <v>0</v>
      </c>
      <c r="AL2109" t="inlineStr">
        <is>
          <t>Published</t>
        </is>
      </c>
    </row>
    <row r="2110">
      <c r="A2110">
        <f>HYPERLINK("https://www.walmart.com/ip/453956213", "453956213")</f>
        <v/>
      </c>
      <c r="B2110">
        <f>HYPERLINK("https://app.optiwise.ai/catalog/itemdetails/362562", "Catalonia Silky Soft Sherpa Throw Micro Plush Fleece Brown Blanket 50x60, Flannel Chevron for Couch Sofa TV Bed, Reversible, Comfy, Fuzzy")</f>
        <v/>
      </c>
      <c r="C2110" t="inlineStr">
        <is>
          <t>1CTBF560BR</t>
        </is>
      </c>
      <c r="D2110" t="inlineStr">
        <is>
          <t>Bedding</t>
        </is>
      </c>
      <c r="E2110" t="inlineStr">
        <is>
          <t>Throws</t>
        </is>
      </c>
      <c r="F2110" t="inlineStr">
        <is>
          <t>Catalonia</t>
        </is>
      </c>
      <c r="G2110" t="n">
        <v>4.4</v>
      </c>
      <c r="H2110" t="n">
        <v>11</v>
      </c>
      <c r="I2110" t="inlineStr">
        <is>
          <t>Q2-Target,Optimized,WFS,Coupon_Discount,WFS Item</t>
        </is>
      </c>
      <c r="J2110" s="29" t="n">
        <v>0</v>
      </c>
      <c r="K2110" s="30" t="n"/>
      <c r="L2110" s="29" t="n">
        <v>0</v>
      </c>
      <c r="M2110" s="29" t="n">
        <v>0</v>
      </c>
      <c r="N2110" s="2" t="n">
        <v>0</v>
      </c>
      <c r="O2110" s="31" t="n">
        <v>0</v>
      </c>
      <c r="P2110" s="32" t="n"/>
      <c r="Q2110" s="32" t="n">
        <v>0</v>
      </c>
      <c r="R2110" s="32" t="n">
        <v>0</v>
      </c>
      <c r="S2110" s="31" t="n">
        <v>0</v>
      </c>
      <c r="T2110" s="32" t="n">
        <v>0</v>
      </c>
      <c r="U2110" s="31" t="n">
        <v>0</v>
      </c>
      <c r="V2110" s="31" t="n">
        <v>0</v>
      </c>
      <c r="W2110" s="3" t="n">
        <v>0</v>
      </c>
      <c r="X2110" s="3" t="n">
        <v>0</v>
      </c>
      <c r="Y2110" s="32" t="n">
        <v>0</v>
      </c>
      <c r="Z2110" s="3" t="n">
        <v>0</v>
      </c>
      <c r="AA2110" s="32" t="n">
        <v>0</v>
      </c>
      <c r="AB2110" s="3" t="n"/>
      <c r="AC2110" s="31" t="n">
        <v>0</v>
      </c>
      <c r="AD2110" s="2" t="n">
        <v>0</v>
      </c>
      <c r="AE2110" s="2" t="n">
        <v>23</v>
      </c>
      <c r="AF2110" s="4" t="n">
        <v>23</v>
      </c>
      <c r="AG2110" s="33" t="n">
        <v>0</v>
      </c>
      <c r="AH2110" s="4" t="n">
        <v>0</v>
      </c>
      <c r="AI2110" s="34" t="n"/>
      <c r="AJ2110" s="34" t="n">
        <v>0</v>
      </c>
      <c r="AK2110" s="2" t="n">
        <v>0</v>
      </c>
      <c r="AL2110" t="inlineStr">
        <is>
          <t>Published</t>
        </is>
      </c>
    </row>
    <row r="2111">
      <c r="A2111">
        <f>HYPERLINK("https://www.walmart.com/ip/943267429", "943267429")</f>
        <v/>
      </c>
      <c r="B2111">
        <f>HYPERLINK("https://app.optiwise.ai/catalog/itemdetails/362561", "Women's High Waist Yoga Pants Workout Running Capri Legging Inner Pocket")</f>
        <v/>
      </c>
      <c r="C2111" t="inlineStr">
        <is>
          <t>1TRYP102BK-SM</t>
        </is>
      </c>
      <c r="D2111" t="inlineStr">
        <is>
          <t>Clothing</t>
        </is>
      </c>
      <c r="E2111" t="inlineStr">
        <is>
          <t>Leggings</t>
        </is>
      </c>
      <c r="F2111" t="inlineStr">
        <is>
          <t>Tirrinia</t>
        </is>
      </c>
      <c r="G2111" t="n">
        <v>0</v>
      </c>
      <c r="H2111" t="n">
        <v>0</v>
      </c>
      <c r="I2111" t="inlineStr">
        <is>
          <t>Optimized</t>
        </is>
      </c>
      <c r="J2111" s="29" t="n">
        <v>0</v>
      </c>
      <c r="K2111" s="30" t="n"/>
      <c r="L2111" s="29" t="n">
        <v>0</v>
      </c>
      <c r="M2111" s="29" t="n">
        <v>0</v>
      </c>
      <c r="N2111" s="2" t="n">
        <v>0</v>
      </c>
      <c r="O2111" s="31" t="n">
        <v>0</v>
      </c>
      <c r="P2111" s="32" t="n"/>
      <c r="Q2111" s="32" t="n">
        <v>0</v>
      </c>
      <c r="R2111" s="32" t="n">
        <v>0</v>
      </c>
      <c r="S2111" s="31" t="n">
        <v>0</v>
      </c>
      <c r="T2111" s="32" t="n">
        <v>0</v>
      </c>
      <c r="U2111" s="31" t="n">
        <v>0</v>
      </c>
      <c r="V2111" s="31" t="n">
        <v>0</v>
      </c>
      <c r="W2111" s="3" t="n">
        <v>0</v>
      </c>
      <c r="X2111" s="3" t="n">
        <v>0</v>
      </c>
      <c r="Y2111" s="32" t="n">
        <v>0</v>
      </c>
      <c r="Z2111" s="3" t="n">
        <v>0</v>
      </c>
      <c r="AA2111" s="32" t="n">
        <v>0</v>
      </c>
      <c r="AB2111" s="3" t="n"/>
      <c r="AC2111" s="31" t="n">
        <v>0</v>
      </c>
      <c r="AD2111" s="2" t="n">
        <v>0</v>
      </c>
      <c r="AE2111" s="2" t="n">
        <v>8</v>
      </c>
      <c r="AF2111" s="4" t="n">
        <v>8</v>
      </c>
      <c r="AG2111" s="33" t="n">
        <v>0</v>
      </c>
      <c r="AH2111" s="4" t="n">
        <v>0</v>
      </c>
      <c r="AI2111" s="34" t="n"/>
      <c r="AJ2111" s="34" t="n">
        <v>0</v>
      </c>
      <c r="AK2111" s="2" t="n">
        <v>0</v>
      </c>
      <c r="AL2111" t="inlineStr">
        <is>
          <t>Published</t>
        </is>
      </c>
    </row>
    <row r="2112">
      <c r="A2112">
        <f>HYPERLINK("https://www.walmart.com/ip/793017956", "793017956")</f>
        <v/>
      </c>
      <c r="B2112">
        <f>HYPERLINK("https://app.optiwise.ai/catalog/itemdetails/362558", "Catalonia Sherpa Throw Blanket Reversible Match Color Super Soft Comfy Fuzzy Micro Plush Fleece Snuggle Blanket All Season for TV Bed or Couch 50 x 60 Gray")</f>
        <v/>
      </c>
      <c r="C2112" t="inlineStr">
        <is>
          <t>1CTBF301LG</t>
        </is>
      </c>
      <c r="D2112" t="inlineStr">
        <is>
          <t>Bedding</t>
        </is>
      </c>
      <c r="E2112" t="inlineStr">
        <is>
          <t>Throws</t>
        </is>
      </c>
      <c r="F2112" t="inlineStr">
        <is>
          <t>Catalonia</t>
        </is>
      </c>
      <c r="G2112" t="n">
        <v>4.6</v>
      </c>
      <c r="H2112" t="n">
        <v>9</v>
      </c>
      <c r="I2112" t="inlineStr">
        <is>
          <t>WFS,WFS Item</t>
        </is>
      </c>
      <c r="J2112" s="29" t="n">
        <v>0</v>
      </c>
      <c r="K2112" s="30" t="n"/>
      <c r="L2112" s="29" t="n">
        <v>0</v>
      </c>
      <c r="M2112" s="29" t="n">
        <v>0</v>
      </c>
      <c r="N2112" s="2" t="n">
        <v>0</v>
      </c>
      <c r="O2112" s="31" t="n">
        <v>0</v>
      </c>
      <c r="P2112" s="32" t="n"/>
      <c r="Q2112" s="32" t="n">
        <v>0</v>
      </c>
      <c r="R2112" s="32" t="n">
        <v>0</v>
      </c>
      <c r="S2112" s="31" t="n">
        <v>0</v>
      </c>
      <c r="T2112" s="32" t="n">
        <v>0</v>
      </c>
      <c r="U2112" s="31" t="n">
        <v>0</v>
      </c>
      <c r="V2112" s="31" t="n">
        <v>0</v>
      </c>
      <c r="W2112" s="3" t="n">
        <v>0</v>
      </c>
      <c r="X2112" s="3" t="n">
        <v>0</v>
      </c>
      <c r="Y2112" s="32" t="n">
        <v>0</v>
      </c>
      <c r="Z2112" s="3" t="n">
        <v>0</v>
      </c>
      <c r="AA2112" s="32" t="n">
        <v>0</v>
      </c>
      <c r="AB2112" s="3" t="n"/>
      <c r="AC2112" s="31" t="n">
        <v>0</v>
      </c>
      <c r="AD2112" s="2" t="n">
        <v>0</v>
      </c>
      <c r="AE2112" s="2" t="n">
        <v>1</v>
      </c>
      <c r="AF2112" s="4" t="n">
        <v>1</v>
      </c>
      <c r="AG2112" s="33" t="n">
        <v>0</v>
      </c>
      <c r="AH2112" s="4" t="n">
        <v>0</v>
      </c>
      <c r="AI2112" s="34" t="n"/>
      <c r="AJ2112" s="34" t="n">
        <v>0</v>
      </c>
      <c r="AK2112" s="2" t="n">
        <v>0</v>
      </c>
      <c r="AL2112" t="inlineStr">
        <is>
          <t>Published</t>
        </is>
      </c>
    </row>
    <row r="2113">
      <c r="A2113">
        <f>HYPERLINK("https://www.walmart.com/ip/823531741", "823531741")</f>
        <v/>
      </c>
      <c r="B2113">
        <f>HYPERLINK("https://app.optiwise.ai/catalog/itemdetails/362557", "Pawsse Dog Cuddler Bed,Soft Plush Pet Sofa Thick Kennel Cushion Pad Crate Mat Blanket Car Seat Cover for Small Medium Large Dogs Puppy Cats Grey")</f>
        <v/>
      </c>
      <c r="C2113" t="inlineStr">
        <is>
          <t>1PSPB406GY</t>
        </is>
      </c>
      <c r="D2113" t="inlineStr">
        <is>
          <t>Animal Accessories</t>
        </is>
      </c>
      <c r="E2113" t="inlineStr">
        <is>
          <t>Pet Beds</t>
        </is>
      </c>
      <c r="F2113" t="inlineStr">
        <is>
          <t>Pawsse</t>
        </is>
      </c>
      <c r="G2113" t="n">
        <v>2.5</v>
      </c>
      <c r="H2113" t="n">
        <v>2</v>
      </c>
      <c r="I2113" t="inlineStr">
        <is>
          <t>Optimized</t>
        </is>
      </c>
      <c r="J2113" s="29" t="n">
        <v>0</v>
      </c>
      <c r="K2113" s="30" t="n"/>
      <c r="L2113" s="29" t="n">
        <v>0</v>
      </c>
      <c r="M2113" s="29" t="n">
        <v>0</v>
      </c>
      <c r="N2113" s="2" t="n">
        <v>0</v>
      </c>
      <c r="O2113" s="31" t="n">
        <v>0</v>
      </c>
      <c r="P2113" s="32" t="n"/>
      <c r="Q2113" s="32" t="n">
        <v>0</v>
      </c>
      <c r="R2113" s="32" t="n">
        <v>0</v>
      </c>
      <c r="S2113" s="31" t="n">
        <v>0</v>
      </c>
      <c r="T2113" s="32" t="n">
        <v>0</v>
      </c>
      <c r="U2113" s="31" t="n">
        <v>0</v>
      </c>
      <c r="V2113" s="31" t="n">
        <v>0</v>
      </c>
      <c r="W2113" s="3" t="n">
        <v>0</v>
      </c>
      <c r="X2113" s="3" t="n">
        <v>0</v>
      </c>
      <c r="Y2113" s="32" t="n">
        <v>0</v>
      </c>
      <c r="Z2113" s="3" t="n">
        <v>0</v>
      </c>
      <c r="AA2113" s="32" t="n">
        <v>0</v>
      </c>
      <c r="AB2113" s="3" t="n"/>
      <c r="AC2113" s="31" t="n">
        <v>0</v>
      </c>
      <c r="AD2113" s="2" t="n">
        <v>0</v>
      </c>
      <c r="AE2113" s="2" t="n">
        <v>2</v>
      </c>
      <c r="AF2113" s="4" t="n">
        <v>2</v>
      </c>
      <c r="AG2113" s="33" t="n">
        <v>0</v>
      </c>
      <c r="AH2113" s="4" t="n">
        <v>0</v>
      </c>
      <c r="AI2113" s="34" t="n"/>
      <c r="AJ2113" s="34" t="n">
        <v>0</v>
      </c>
      <c r="AK2113" s="2" t="n">
        <v>0</v>
      </c>
      <c r="AL2113" t="inlineStr">
        <is>
          <t>Published</t>
        </is>
      </c>
    </row>
    <row r="2114">
      <c r="A2114">
        <f>HYPERLINK("https://www.walmart.com/ip/371450378", "371450378")</f>
        <v/>
      </c>
      <c r="B2114">
        <f>HYPERLINK("https://app.optiwise.ai/catalog/itemdetails/362554", "Sherpa Hood Wearable Blanket for Adult Women and Men, Super Soft Comfy Warm Plush Throw with Sleeves TV Blanket Wrap Robe Hoodie Cover for Lounge Chair Couch 72 x 55 Black")</f>
        <v/>
      </c>
      <c r="C2114" t="inlineStr">
        <is>
          <t>1TRSN410BK</t>
        </is>
      </c>
      <c r="D2114" t="inlineStr">
        <is>
          <t>Home Decor, Kitchen, &amp; Other</t>
        </is>
      </c>
      <c r="E2114" t="inlineStr">
        <is>
          <t>Throws</t>
        </is>
      </c>
      <c r="F2114" t="inlineStr">
        <is>
          <t>Tirrinia</t>
        </is>
      </c>
      <c r="G2114" t="n">
        <v>4.6</v>
      </c>
      <c r="H2114" t="n">
        <v>19</v>
      </c>
      <c r="I2114" t="inlineStr">
        <is>
          <t>WFS,WFS Item</t>
        </is>
      </c>
      <c r="J2114" s="29" t="n">
        <v>0</v>
      </c>
      <c r="K2114" s="30" t="n"/>
      <c r="L2114" s="29" t="n">
        <v>0</v>
      </c>
      <c r="M2114" s="29" t="n">
        <v>0</v>
      </c>
      <c r="N2114" s="2" t="n">
        <v>0</v>
      </c>
      <c r="O2114" s="31" t="n">
        <v>0</v>
      </c>
      <c r="P2114" s="32" t="n"/>
      <c r="Q2114" s="32" t="n">
        <v>0</v>
      </c>
      <c r="R2114" s="32" t="n">
        <v>0</v>
      </c>
      <c r="S2114" s="31" t="n">
        <v>0</v>
      </c>
      <c r="T2114" s="32" t="n">
        <v>0</v>
      </c>
      <c r="U2114" s="31" t="n">
        <v>0</v>
      </c>
      <c r="V2114" s="31" t="n">
        <v>0</v>
      </c>
      <c r="W2114" s="3" t="n">
        <v>0</v>
      </c>
      <c r="X2114" s="3" t="n">
        <v>0</v>
      </c>
      <c r="Y2114" s="32" t="n">
        <v>0</v>
      </c>
      <c r="Z2114" s="3" t="n">
        <v>0</v>
      </c>
      <c r="AA2114" s="32" t="n">
        <v>0</v>
      </c>
      <c r="AB2114" s="3" t="n"/>
      <c r="AC2114" s="31" t="n">
        <v>0</v>
      </c>
      <c r="AD2114" s="2" t="n">
        <v>0</v>
      </c>
      <c r="AE2114" s="2" t="n">
        <v>19</v>
      </c>
      <c r="AF2114" s="4" t="n">
        <v>19</v>
      </c>
      <c r="AG2114" s="33" t="n">
        <v>0</v>
      </c>
      <c r="AH2114" s="4" t="n">
        <v>0</v>
      </c>
      <c r="AI2114" s="34" t="n"/>
      <c r="AJ2114" s="34" t="n">
        <v>0</v>
      </c>
      <c r="AK2114" s="2" t="n">
        <v>0</v>
      </c>
      <c r="AL2114" t="inlineStr">
        <is>
          <t>Published</t>
        </is>
      </c>
    </row>
    <row r="2115">
      <c r="A2115">
        <f>HYPERLINK("https://www.walmart.com/ip/951529320", "951529320")</f>
        <v/>
      </c>
      <c r="B2115">
        <f>HYPERLINK("https://app.optiwise.ai/catalog/itemdetails/362553", "Sherpa Wearable Blanket with Sleeves Arms,Super Soft Warm Comfy Large Fleece Plush Sleeved TV Throws Wrap Robe Blanket for Adult Women and Men Red Plaid By Catalonia")</f>
        <v/>
      </c>
      <c r="C2115" t="inlineStr">
        <is>
          <t>1CTSN110P2RD</t>
        </is>
      </c>
      <c r="D2115" t="inlineStr">
        <is>
          <t>Bedding</t>
        </is>
      </c>
      <c r="E2115" t="inlineStr">
        <is>
          <t>Throws</t>
        </is>
      </c>
      <c r="F2115" t="inlineStr">
        <is>
          <t>Catalonia</t>
        </is>
      </c>
      <c r="G2115" t="n">
        <v>4.7</v>
      </c>
      <c r="H2115" t="n">
        <v>15</v>
      </c>
      <c r="I2115" t="inlineStr">
        <is>
          <t>Q2-Target,WFS,Coupon_Discount,WFS Item</t>
        </is>
      </c>
      <c r="J2115" s="29" t="n">
        <v>0</v>
      </c>
      <c r="K2115" s="30" t="n"/>
      <c r="L2115" s="29" t="n">
        <v>0</v>
      </c>
      <c r="M2115" s="29" t="n">
        <v>0</v>
      </c>
      <c r="N2115" s="2" t="n">
        <v>0</v>
      </c>
      <c r="O2115" s="31" t="n">
        <v>0</v>
      </c>
      <c r="P2115" s="32" t="n"/>
      <c r="Q2115" s="32" t="n">
        <v>0</v>
      </c>
      <c r="R2115" s="32" t="n">
        <v>0</v>
      </c>
      <c r="S2115" s="31" t="n">
        <v>0</v>
      </c>
      <c r="T2115" s="32" t="n">
        <v>0</v>
      </c>
      <c r="U2115" s="31" t="n">
        <v>0</v>
      </c>
      <c r="V2115" s="31" t="n">
        <v>0</v>
      </c>
      <c r="W2115" s="3" t="n">
        <v>0</v>
      </c>
      <c r="X2115" s="3" t="n">
        <v>0</v>
      </c>
      <c r="Y2115" s="32" t="n">
        <v>0</v>
      </c>
      <c r="Z2115" s="3" t="n">
        <v>0</v>
      </c>
      <c r="AA2115" s="32" t="n">
        <v>0</v>
      </c>
      <c r="AB2115" s="3" t="n"/>
      <c r="AC2115" s="31" t="n">
        <v>0</v>
      </c>
      <c r="AD2115" s="2" t="n">
        <v>5</v>
      </c>
      <c r="AE2115" s="2" t="n">
        <v>60</v>
      </c>
      <c r="AF2115" s="4" t="n">
        <v>60</v>
      </c>
      <c r="AG2115" s="33" t="n">
        <v>0</v>
      </c>
      <c r="AH2115" s="4" t="n">
        <v>0</v>
      </c>
      <c r="AI2115" s="34" t="n"/>
      <c r="AJ2115" s="34" t="n">
        <v>0</v>
      </c>
      <c r="AK2115" s="2" t="n">
        <v>0</v>
      </c>
      <c r="AL2115" t="inlineStr">
        <is>
          <t>Published</t>
        </is>
      </c>
    </row>
    <row r="2116">
      <c r="A2116">
        <f>HYPERLINK("https://www.walmart.com/ip/334995524", "334995524")</f>
        <v/>
      </c>
      <c r="B2116">
        <f>HYPERLINK("https://app.optiwise.ai/catalog/itemdetails/362552", "Sherpa Wearable Blanket with Sleeves &amp; Foot Pockets for Adult Women Men, Comfy Snuggle Wrap Sleeved Throw Blanket Robe, Gift Idea, Cheetah")</f>
        <v/>
      </c>
      <c r="C2116" t="inlineStr">
        <is>
          <t>1CTSN310CHEETAH</t>
        </is>
      </c>
      <c r="D2116" t="inlineStr">
        <is>
          <t>Bedding</t>
        </is>
      </c>
      <c r="E2116" t="inlineStr">
        <is>
          <t>Throws</t>
        </is>
      </c>
      <c r="F2116" t="inlineStr">
        <is>
          <t>Catalonia</t>
        </is>
      </c>
      <c r="G2116" t="n">
        <v>0</v>
      </c>
      <c r="H2116" t="n">
        <v>0</v>
      </c>
      <c r="I2116" t="inlineStr">
        <is>
          <t>Optimized,WFS,SEM,Coupon_Discount,WFS Item</t>
        </is>
      </c>
      <c r="J2116" s="29" t="n">
        <v>0</v>
      </c>
      <c r="K2116" s="30" t="n"/>
      <c r="L2116" s="29" t="n">
        <v>0</v>
      </c>
      <c r="M2116" s="29" t="n">
        <v>0</v>
      </c>
      <c r="N2116" s="2" t="n">
        <v>0</v>
      </c>
      <c r="O2116" s="31" t="n">
        <v>0</v>
      </c>
      <c r="P2116" s="32" t="n"/>
      <c r="Q2116" s="32" t="n">
        <v>0</v>
      </c>
      <c r="R2116" s="32" t="n">
        <v>0</v>
      </c>
      <c r="S2116" s="31" t="n">
        <v>0</v>
      </c>
      <c r="T2116" s="32" t="n">
        <v>0</v>
      </c>
      <c r="U2116" s="31" t="n">
        <v>0</v>
      </c>
      <c r="V2116" s="31" t="n">
        <v>0</v>
      </c>
      <c r="W2116" s="3" t="n">
        <v>0</v>
      </c>
      <c r="X2116" s="3" t="n">
        <v>0</v>
      </c>
      <c r="Y2116" s="32" t="n">
        <v>0</v>
      </c>
      <c r="Z2116" s="3" t="n">
        <v>0</v>
      </c>
      <c r="AA2116" s="32" t="n">
        <v>0</v>
      </c>
      <c r="AB2116" s="3" t="n"/>
      <c r="AC2116" s="31" t="n">
        <v>0</v>
      </c>
      <c r="AD2116" s="2" t="n">
        <v>33</v>
      </c>
      <c r="AE2116" s="2" t="n">
        <v>124</v>
      </c>
      <c r="AF2116" s="4" t="n">
        <v>124</v>
      </c>
      <c r="AG2116" s="33" t="n">
        <v>0</v>
      </c>
      <c r="AH2116" s="4" t="n">
        <v>0</v>
      </c>
      <c r="AI2116" s="34" t="n"/>
      <c r="AJ2116" s="34" t="n">
        <v>0</v>
      </c>
      <c r="AK2116" s="2" t="n">
        <v>0</v>
      </c>
      <c r="AL2116" t="inlineStr">
        <is>
          <t>Published</t>
        </is>
      </c>
    </row>
    <row r="2117">
      <c r="A2117">
        <f>HYPERLINK("https://www.walmart.com/ip/637310703", "637310703")</f>
        <v/>
      </c>
      <c r="B2117">
        <f>HYPERLINK("https://app.optiwise.ai/catalog/itemdetails/362548", "Wearable Fleece Blanket with Sleeves for Adult Women Men, Super Soft Comfy Plush TV Blanket Throw Wrap Cover for Lounge Couch Reading Watching TV 73 x 51 Blue")</f>
        <v/>
      </c>
      <c r="C2117" t="inlineStr">
        <is>
          <t>1TRSN100BL</t>
        </is>
      </c>
      <c r="D2117" t="inlineStr">
        <is>
          <t>Bedding</t>
        </is>
      </c>
      <c r="E2117" t="inlineStr">
        <is>
          <t>Throws</t>
        </is>
      </c>
      <c r="F2117" t="inlineStr">
        <is>
          <t>Tirrinia</t>
        </is>
      </c>
      <c r="G2117" t="n">
        <v>0</v>
      </c>
      <c r="H2117" t="n">
        <v>0</v>
      </c>
      <c r="I2117" t="inlineStr">
        <is>
          <t>WFS,WFS Item,Fleece Blankets</t>
        </is>
      </c>
      <c r="J2117" s="29" t="n">
        <v>0</v>
      </c>
      <c r="K2117" s="30" t="n"/>
      <c r="L2117" s="29" t="n">
        <v>0</v>
      </c>
      <c r="M2117" s="29" t="n">
        <v>0</v>
      </c>
      <c r="N2117" s="2" t="n">
        <v>0</v>
      </c>
      <c r="O2117" s="31" t="n">
        <v>0</v>
      </c>
      <c r="P2117" s="32" t="n"/>
      <c r="Q2117" s="32" t="n">
        <v>0</v>
      </c>
      <c r="R2117" s="32" t="n">
        <v>0</v>
      </c>
      <c r="S2117" s="31" t="n">
        <v>0</v>
      </c>
      <c r="T2117" s="32" t="n">
        <v>0</v>
      </c>
      <c r="U2117" s="31" t="n">
        <v>0</v>
      </c>
      <c r="V2117" s="31" t="n">
        <v>0</v>
      </c>
      <c r="W2117" s="3" t="n">
        <v>0</v>
      </c>
      <c r="X2117" s="3" t="n">
        <v>0</v>
      </c>
      <c r="Y2117" s="32" t="n">
        <v>0</v>
      </c>
      <c r="Z2117" s="3" t="n">
        <v>0</v>
      </c>
      <c r="AA2117" s="32" t="n">
        <v>0</v>
      </c>
      <c r="AB2117" s="3" t="n"/>
      <c r="AC2117" s="31" t="n">
        <v>0</v>
      </c>
      <c r="AD2117" s="2" t="n">
        <v>0</v>
      </c>
      <c r="AE2117" s="2" t="n">
        <v>34</v>
      </c>
      <c r="AF2117" s="4" t="n">
        <v>34</v>
      </c>
      <c r="AG2117" s="33" t="n">
        <v>0</v>
      </c>
      <c r="AH2117" s="4" t="n">
        <v>0</v>
      </c>
      <c r="AI2117" s="34" t="n"/>
      <c r="AJ2117" s="34" t="n">
        <v>0</v>
      </c>
      <c r="AK2117" s="2" t="n">
        <v>0</v>
      </c>
      <c r="AL2117" t="inlineStr">
        <is>
          <t>Published</t>
        </is>
      </c>
    </row>
    <row r="2118">
      <c r="A2118">
        <f>HYPERLINK("https://www.walmart.com/ip/984001524", "984001524")</f>
        <v/>
      </c>
      <c r="B2118">
        <f>HYPERLINK("https://app.optiwise.ai/catalog/itemdetails/362547", "Microplush Sherpa Blanket with Sleeves for Women and Men Black")</f>
        <v/>
      </c>
      <c r="C2118" t="inlineStr">
        <is>
          <t>1TNSN110BK-TPB</t>
        </is>
      </c>
      <c r="D2118" t="inlineStr">
        <is>
          <t>Bedding</t>
        </is>
      </c>
      <c r="E2118" t="inlineStr">
        <is>
          <t>Throws</t>
        </is>
      </c>
      <c r="F2118" t="inlineStr">
        <is>
          <t>Terrania</t>
        </is>
      </c>
      <c r="G2118" t="n">
        <v>0</v>
      </c>
      <c r="H2118" t="n">
        <v>0</v>
      </c>
      <c r="J2118" s="29" t="n">
        <v>0</v>
      </c>
      <c r="K2118" s="30" t="n"/>
      <c r="L2118" s="29" t="n">
        <v>0</v>
      </c>
      <c r="M2118" s="29" t="n">
        <v>0</v>
      </c>
      <c r="N2118" s="2" t="n">
        <v>0</v>
      </c>
      <c r="O2118" s="31" t="n">
        <v>0</v>
      </c>
      <c r="P2118" s="32" t="n"/>
      <c r="Q2118" s="32" t="n">
        <v>0</v>
      </c>
      <c r="R2118" s="32" t="n">
        <v>0</v>
      </c>
      <c r="S2118" s="31" t="n">
        <v>0</v>
      </c>
      <c r="T2118" s="32" t="n">
        <v>0</v>
      </c>
      <c r="U2118" s="31" t="n">
        <v>0</v>
      </c>
      <c r="V2118" s="31" t="n">
        <v>0</v>
      </c>
      <c r="W2118" s="3" t="n">
        <v>0</v>
      </c>
      <c r="X2118" s="3" t="n">
        <v>0</v>
      </c>
      <c r="Y2118" s="32" t="n">
        <v>0</v>
      </c>
      <c r="Z2118" s="3" t="n">
        <v>0</v>
      </c>
      <c r="AA2118" s="32" t="n">
        <v>0</v>
      </c>
      <c r="AB2118" s="3" t="n"/>
      <c r="AC2118" s="31" t="n">
        <v>0</v>
      </c>
      <c r="AD2118" s="2" t="n">
        <v>0</v>
      </c>
      <c r="AE2118" s="2" t="n">
        <v>8</v>
      </c>
      <c r="AF2118" s="4" t="n">
        <v>8</v>
      </c>
      <c r="AG2118" s="33" t="n">
        <v>0</v>
      </c>
      <c r="AH2118" s="4" t="n">
        <v>0</v>
      </c>
      <c r="AI2118" s="34" t="n"/>
      <c r="AJ2118" s="34" t="n">
        <v>0</v>
      </c>
      <c r="AK2118" s="2" t="n">
        <v>0</v>
      </c>
      <c r="AL2118" t="inlineStr">
        <is>
          <t>Published</t>
        </is>
      </c>
    </row>
    <row r="2119">
      <c r="A2119">
        <f>HYPERLINK("https://www.walmart.com/ip/112404502", "112404502")</f>
        <v/>
      </c>
      <c r="B2119">
        <f>HYPERLINK("https://app.optiwise.ai/catalog/itemdetails/362545", "KC Caps® Unisex Cotton Baseball Cap Adjustable Plain Hat (21 Styles/Colors)")</f>
        <v/>
      </c>
      <c r="C2119" t="inlineStr">
        <is>
          <t>KC8010KKBK</t>
        </is>
      </c>
      <c r="D2119" t="inlineStr">
        <is>
          <t>Clothing</t>
        </is>
      </c>
      <c r="E2119" t="inlineStr">
        <is>
          <t>Hats</t>
        </is>
      </c>
      <c r="F2119" t="inlineStr">
        <is>
          <t>KC Caps</t>
        </is>
      </c>
      <c r="G2119" t="n">
        <v>0</v>
      </c>
      <c r="H2119" t="n">
        <v>0</v>
      </c>
      <c r="I2119" t="inlineStr">
        <is>
          <t>Optimized</t>
        </is>
      </c>
      <c r="J2119" s="29" t="n">
        <v>0</v>
      </c>
      <c r="K2119" s="30" t="n"/>
      <c r="L2119" s="29" t="n">
        <v>0</v>
      </c>
      <c r="M2119" s="29" t="n">
        <v>0</v>
      </c>
      <c r="N2119" s="2" t="n">
        <v>0</v>
      </c>
      <c r="O2119" s="31" t="n">
        <v>0</v>
      </c>
      <c r="P2119" s="32" t="n"/>
      <c r="Q2119" s="32" t="n">
        <v>0</v>
      </c>
      <c r="R2119" s="32" t="n">
        <v>0</v>
      </c>
      <c r="S2119" s="31" t="n">
        <v>0</v>
      </c>
      <c r="T2119" s="32" t="n">
        <v>0</v>
      </c>
      <c r="U2119" s="31" t="n">
        <v>0</v>
      </c>
      <c r="V2119" s="31" t="n">
        <v>0</v>
      </c>
      <c r="W2119" s="3" t="n">
        <v>0</v>
      </c>
      <c r="X2119" s="3" t="n">
        <v>0</v>
      </c>
      <c r="Y2119" s="32" t="n">
        <v>0</v>
      </c>
      <c r="Z2119" s="3" t="n">
        <v>0</v>
      </c>
      <c r="AA2119" s="32" t="n">
        <v>0</v>
      </c>
      <c r="AB2119" s="3" t="n"/>
      <c r="AC2119" s="31" t="n">
        <v>0</v>
      </c>
      <c r="AD2119" s="2" t="n">
        <v>0</v>
      </c>
      <c r="AE2119" s="2" t="n">
        <v>10</v>
      </c>
      <c r="AF2119" s="4" t="n">
        <v>10</v>
      </c>
      <c r="AG2119" s="33" t="n">
        <v>0</v>
      </c>
      <c r="AH2119" s="4" t="n">
        <v>0</v>
      </c>
      <c r="AI2119" s="34" t="n"/>
      <c r="AJ2119" s="34" t="n">
        <v>0</v>
      </c>
      <c r="AK2119" s="2" t="n">
        <v>0</v>
      </c>
      <c r="AL2119" t="inlineStr">
        <is>
          <t>Published</t>
        </is>
      </c>
    </row>
    <row r="2120">
      <c r="A2120">
        <f>HYPERLINK("https://www.walmart.com/ip/508650756", "508650756")</f>
        <v/>
      </c>
      <c r="B2120">
        <f>HYPERLINK("https://app.optiwise.ai/catalog/itemdetails/362630", "Microplush Sherpa Blanket with Sleeves for Women and Men")</f>
        <v/>
      </c>
      <c r="C2120" t="inlineStr">
        <is>
          <t>1TRSN110PRD</t>
        </is>
      </c>
      <c r="D2120" t="inlineStr">
        <is>
          <t>Bedding</t>
        </is>
      </c>
      <c r="E2120" t="inlineStr">
        <is>
          <t>Throws</t>
        </is>
      </c>
      <c r="F2120" t="inlineStr">
        <is>
          <t>Tirrinia</t>
        </is>
      </c>
      <c r="G2120" t="n">
        <v>0</v>
      </c>
      <c r="H2120" t="n">
        <v>0</v>
      </c>
      <c r="I2120" t="inlineStr">
        <is>
          <t>WFS,Coupon_Discount,WFS Item</t>
        </is>
      </c>
      <c r="J2120" s="29" t="n">
        <v>0</v>
      </c>
      <c r="K2120" s="30" t="n"/>
      <c r="L2120" s="29" t="n">
        <v>0</v>
      </c>
      <c r="M2120" s="29" t="n">
        <v>0</v>
      </c>
      <c r="N2120" s="2" t="n">
        <v>0</v>
      </c>
      <c r="O2120" s="31" t="n">
        <v>0</v>
      </c>
      <c r="P2120" s="32" t="n"/>
      <c r="Q2120" s="32" t="n">
        <v>0</v>
      </c>
      <c r="R2120" s="32" t="n">
        <v>0</v>
      </c>
      <c r="S2120" s="31" t="n">
        <v>0</v>
      </c>
      <c r="T2120" s="32" t="n">
        <v>0</v>
      </c>
      <c r="U2120" s="31" t="n">
        <v>0</v>
      </c>
      <c r="V2120" s="31" t="n">
        <v>0</v>
      </c>
      <c r="W2120" s="3" t="n">
        <v>0</v>
      </c>
      <c r="X2120" s="3" t="n">
        <v>0</v>
      </c>
      <c r="Y2120" s="32" t="n">
        <v>0</v>
      </c>
      <c r="Z2120" s="3" t="n">
        <v>0</v>
      </c>
      <c r="AA2120" s="32" t="n">
        <v>0</v>
      </c>
      <c r="AB2120" s="3" t="n"/>
      <c r="AC2120" s="31" t="n">
        <v>0</v>
      </c>
      <c r="AD2120" s="2" t="n">
        <v>0</v>
      </c>
      <c r="AE2120" s="2" t="n">
        <v>3</v>
      </c>
      <c r="AF2120" s="4" t="n">
        <v>3</v>
      </c>
      <c r="AG2120" s="33" t="n">
        <v>0</v>
      </c>
      <c r="AH2120" s="4" t="n">
        <v>0</v>
      </c>
      <c r="AI2120" s="34" t="n"/>
      <c r="AJ2120" s="34" t="n">
        <v>0</v>
      </c>
      <c r="AK2120" s="2" t="n">
        <v>0</v>
      </c>
      <c r="AL2120" t="inlineStr">
        <is>
          <t>Published</t>
        </is>
      </c>
    </row>
    <row r="2121">
      <c r="A2121">
        <f>HYPERLINK("https://www.walmart.com/ip/717653561", "717653561")</f>
        <v/>
      </c>
      <c r="B2121">
        <f>HYPERLINK("https://app.optiwise.ai/catalog/itemdetails/362634", "Sherpa Wearable Blanket with Sleeves &amp; Foot Pockets for Adult Women Men, Comfy Snuggle Wrap Sleeved Throw Blanket Robe, Gift Idea, Zebra")</f>
        <v/>
      </c>
      <c r="C2121" t="inlineStr">
        <is>
          <t>1CTSN310ZEBRA</t>
        </is>
      </c>
      <c r="D2121" t="inlineStr">
        <is>
          <t>Bedding</t>
        </is>
      </c>
      <c r="E2121" t="inlineStr">
        <is>
          <t>Throws</t>
        </is>
      </c>
      <c r="F2121" t="inlineStr">
        <is>
          <t>Catalonia</t>
        </is>
      </c>
      <c r="G2121" t="n">
        <v>4.8</v>
      </c>
      <c r="H2121" t="n">
        <v>17</v>
      </c>
      <c r="I2121" t="inlineStr">
        <is>
          <t>Q2-Target,Optimized,WFS,Coupon_Discount,WFS Item</t>
        </is>
      </c>
      <c r="J2121" s="29" t="n">
        <v>0</v>
      </c>
      <c r="K2121" s="30" t="n"/>
      <c r="L2121" s="29" t="n">
        <v>0</v>
      </c>
      <c r="M2121" s="29" t="n">
        <v>0</v>
      </c>
      <c r="N2121" s="2" t="n">
        <v>0</v>
      </c>
      <c r="O2121" s="31" t="n">
        <v>0</v>
      </c>
      <c r="P2121" s="32" t="n"/>
      <c r="Q2121" s="32" t="n">
        <v>0</v>
      </c>
      <c r="R2121" s="32" t="n">
        <v>0</v>
      </c>
      <c r="S2121" s="31" t="n">
        <v>0</v>
      </c>
      <c r="T2121" s="32" t="n">
        <v>0</v>
      </c>
      <c r="U2121" s="31" t="n">
        <v>0</v>
      </c>
      <c r="V2121" s="31" t="n">
        <v>0</v>
      </c>
      <c r="W2121" s="3" t="n">
        <v>0</v>
      </c>
      <c r="X2121" s="3" t="n">
        <v>0</v>
      </c>
      <c r="Y2121" s="32" t="n">
        <v>0</v>
      </c>
      <c r="Z2121" s="3" t="n">
        <v>0</v>
      </c>
      <c r="AA2121" s="32" t="n">
        <v>0</v>
      </c>
      <c r="AB2121" s="3" t="n"/>
      <c r="AC2121" s="31" t="n">
        <v>0</v>
      </c>
      <c r="AD2121" s="2" t="n">
        <v>0</v>
      </c>
      <c r="AE2121" s="2" t="n">
        <v>41</v>
      </c>
      <c r="AF2121" s="4" t="n">
        <v>41</v>
      </c>
      <c r="AG2121" s="33" t="n">
        <v>0</v>
      </c>
      <c r="AH2121" s="4" t="n">
        <v>0</v>
      </c>
      <c r="AI2121" s="34" t="n"/>
      <c r="AJ2121" s="34" t="n">
        <v>0</v>
      </c>
      <c r="AK2121" s="2" t="n">
        <v>0</v>
      </c>
      <c r="AL2121" t="inlineStr">
        <is>
          <t>Published</t>
        </is>
      </c>
    </row>
    <row r="2122">
      <c r="A2122">
        <f>HYPERLINK("https://www.walmart.com/ip/520906928", "520906928")</f>
        <v/>
      </c>
      <c r="B2122">
        <f>HYPERLINK("https://app.optiwise.ai/catalog/itemdetails/362635", "KC Caps® Hunting Hiking Camping Camo Military Mesh Cap Travel Hat")</f>
        <v/>
      </c>
      <c r="C2122" t="inlineStr">
        <is>
          <t>KC7140-Grass</t>
        </is>
      </c>
      <c r="D2122" t="inlineStr">
        <is>
          <t>Clothing</t>
        </is>
      </c>
      <c r="E2122" t="inlineStr">
        <is>
          <t>Hats</t>
        </is>
      </c>
      <c r="F2122" t="inlineStr">
        <is>
          <t>KC Caps</t>
        </is>
      </c>
      <c r="G2122" t="n">
        <v>0</v>
      </c>
      <c r="H2122" t="n">
        <v>0</v>
      </c>
      <c r="I2122" t="inlineStr">
        <is>
          <t>Optimized</t>
        </is>
      </c>
      <c r="J2122" s="29" t="n">
        <v>0</v>
      </c>
      <c r="K2122" s="30" t="n"/>
      <c r="L2122" s="29" t="n">
        <v>0</v>
      </c>
      <c r="M2122" s="29" t="n">
        <v>0</v>
      </c>
      <c r="N2122" s="2" t="n">
        <v>0</v>
      </c>
      <c r="O2122" s="31" t="n">
        <v>0</v>
      </c>
      <c r="P2122" s="32" t="n"/>
      <c r="Q2122" s="32" t="n">
        <v>0</v>
      </c>
      <c r="R2122" s="32" t="n">
        <v>0</v>
      </c>
      <c r="S2122" s="31" t="n">
        <v>0</v>
      </c>
      <c r="T2122" s="32" t="n">
        <v>0</v>
      </c>
      <c r="U2122" s="31" t="n">
        <v>0</v>
      </c>
      <c r="V2122" s="31" t="n">
        <v>0</v>
      </c>
      <c r="W2122" s="3" t="n">
        <v>0</v>
      </c>
      <c r="X2122" s="3" t="n">
        <v>0</v>
      </c>
      <c r="Y2122" s="32" t="n">
        <v>0</v>
      </c>
      <c r="Z2122" s="3" t="n">
        <v>0</v>
      </c>
      <c r="AA2122" s="32" t="n">
        <v>0</v>
      </c>
      <c r="AB2122" s="3" t="n"/>
      <c r="AC2122" s="31" t="n">
        <v>0</v>
      </c>
      <c r="AD2122" s="2" t="n">
        <v>0</v>
      </c>
      <c r="AE2122" s="2" t="n">
        <v>5</v>
      </c>
      <c r="AF2122" s="4" t="n">
        <v>5</v>
      </c>
      <c r="AG2122" s="33" t="n">
        <v>0</v>
      </c>
      <c r="AH2122" s="4" t="n">
        <v>0</v>
      </c>
      <c r="AI2122" s="34" t="n"/>
      <c r="AJ2122" s="34" t="n">
        <v>0</v>
      </c>
      <c r="AK2122" s="2" t="n">
        <v>0</v>
      </c>
      <c r="AL2122" t="inlineStr">
        <is>
          <t>Published</t>
        </is>
      </c>
    </row>
    <row r="2123">
      <c r="A2123">
        <f>HYPERLINK("https://www.walmart.com/ip/786923376", "786923376")</f>
        <v/>
      </c>
      <c r="B2123">
        <f>HYPERLINK("https://app.optiwise.ai/catalog/itemdetails/362638", "Sherpa Wearable Blanket with Sleeves &amp; Foot Pockets for Adult Women Men, Comfy Snuggle Wrap Sleeved Throw Blanket Robe, Gift Idea, Brown")</f>
        <v/>
      </c>
      <c r="C2123" t="inlineStr">
        <is>
          <t>1CTSN310BR</t>
        </is>
      </c>
      <c r="D2123" t="inlineStr">
        <is>
          <t>Bedding</t>
        </is>
      </c>
      <c r="E2123" t="inlineStr">
        <is>
          <t>Throws</t>
        </is>
      </c>
      <c r="F2123" t="inlineStr">
        <is>
          <t>Catalonia</t>
        </is>
      </c>
      <c r="G2123" t="n">
        <v>0</v>
      </c>
      <c r="H2123" t="n">
        <v>0</v>
      </c>
      <c r="I2123" t="inlineStr">
        <is>
          <t>Optimized,WFS,WFS Item</t>
        </is>
      </c>
      <c r="J2123" s="29" t="n">
        <v>0</v>
      </c>
      <c r="K2123" s="30" t="n"/>
      <c r="L2123" s="29" t="n">
        <v>0</v>
      </c>
      <c r="M2123" s="29" t="n">
        <v>0</v>
      </c>
      <c r="N2123" s="2" t="n">
        <v>0</v>
      </c>
      <c r="O2123" s="31" t="n">
        <v>0</v>
      </c>
      <c r="P2123" s="32" t="n"/>
      <c r="Q2123" s="32" t="n">
        <v>0</v>
      </c>
      <c r="R2123" s="32" t="n">
        <v>0</v>
      </c>
      <c r="S2123" s="31" t="n">
        <v>0</v>
      </c>
      <c r="T2123" s="32" t="n">
        <v>0</v>
      </c>
      <c r="U2123" s="31" t="n">
        <v>0</v>
      </c>
      <c r="V2123" s="31" t="n">
        <v>0</v>
      </c>
      <c r="W2123" s="3" t="n">
        <v>0</v>
      </c>
      <c r="X2123" s="3" t="n">
        <v>0</v>
      </c>
      <c r="Y2123" s="32" t="n">
        <v>0</v>
      </c>
      <c r="Z2123" s="3" t="n">
        <v>0</v>
      </c>
      <c r="AA2123" s="32" t="n">
        <v>0</v>
      </c>
      <c r="AB2123" s="3" t="n"/>
      <c r="AC2123" s="31" t="n">
        <v>0</v>
      </c>
      <c r="AD2123" s="2" t="n">
        <v>0</v>
      </c>
      <c r="AE2123" s="2" t="n">
        <v>22</v>
      </c>
      <c r="AF2123" s="4" t="n">
        <v>22</v>
      </c>
      <c r="AG2123" s="33" t="n">
        <v>0</v>
      </c>
      <c r="AH2123" s="4" t="n">
        <v>0</v>
      </c>
      <c r="AI2123" s="34" t="n"/>
      <c r="AJ2123" s="34" t="n">
        <v>0</v>
      </c>
      <c r="AK2123" s="2" t="n">
        <v>0</v>
      </c>
      <c r="AL2123" t="inlineStr">
        <is>
          <t>Published</t>
        </is>
      </c>
    </row>
    <row r="2124">
      <c r="A2124">
        <f>HYPERLINK("https://www.walmart.com/ip/783283732", "783283732")</f>
        <v/>
      </c>
      <c r="B2124">
        <f>HYPERLINK("https://app.optiwise.ai/catalog/itemdetails/362701", "Flyingstar Blanket with Sleeves and Pocket, Wearable Throws Blanket, Robe for Women and Men 73” x 51” Cheetah")</f>
        <v/>
      </c>
      <c r="C2124" t="inlineStr">
        <is>
          <t>1WMSN100CHEETAH-ESGM</t>
        </is>
      </c>
      <c r="D2124" t="inlineStr">
        <is>
          <t>Bedding</t>
        </is>
      </c>
      <c r="E2124" t="inlineStr">
        <is>
          <t>Throws</t>
        </is>
      </c>
      <c r="F2124" t="inlineStr">
        <is>
          <t>Flyingstar</t>
        </is>
      </c>
      <c r="G2124" t="n">
        <v>0</v>
      </c>
      <c r="H2124" t="n">
        <v>0</v>
      </c>
      <c r="I2124" t="inlineStr">
        <is>
          <t>Batch 1 - TR</t>
        </is>
      </c>
      <c r="J2124" s="29" t="n">
        <v>0</v>
      </c>
      <c r="K2124" s="30" t="n"/>
      <c r="L2124" s="29" t="n">
        <v>0</v>
      </c>
      <c r="M2124" s="29" t="n">
        <v>0</v>
      </c>
      <c r="N2124" s="2" t="n">
        <v>0</v>
      </c>
      <c r="O2124" s="31" t="n">
        <v>0</v>
      </c>
      <c r="P2124" s="32" t="n"/>
      <c r="Q2124" s="32" t="n">
        <v>0</v>
      </c>
      <c r="R2124" s="32" t="n">
        <v>0</v>
      </c>
      <c r="S2124" s="31" t="n">
        <v>0</v>
      </c>
      <c r="T2124" s="32" t="n">
        <v>0</v>
      </c>
      <c r="U2124" s="31" t="n">
        <v>0</v>
      </c>
      <c r="V2124" s="31" t="n">
        <v>0</v>
      </c>
      <c r="W2124" s="3" t="n">
        <v>0</v>
      </c>
      <c r="X2124" s="3" t="n">
        <v>0</v>
      </c>
      <c r="Y2124" s="32" t="n">
        <v>0</v>
      </c>
      <c r="Z2124" s="3" t="n">
        <v>0</v>
      </c>
      <c r="AA2124" s="32" t="n">
        <v>0</v>
      </c>
      <c r="AB2124" s="3" t="n"/>
      <c r="AC2124" s="31" t="n">
        <v>0</v>
      </c>
      <c r="AD2124" s="2" t="n">
        <v>0</v>
      </c>
      <c r="AE2124" s="2" t="n">
        <v>2</v>
      </c>
      <c r="AF2124" s="4" t="n">
        <v>2</v>
      </c>
      <c r="AG2124" s="33" t="n">
        <v>0</v>
      </c>
      <c r="AH2124" s="4" t="n">
        <v>0</v>
      </c>
      <c r="AI2124" s="34" t="n"/>
      <c r="AJ2124" s="34" t="n">
        <v>0</v>
      </c>
      <c r="AK2124" s="2" t="n">
        <v>0</v>
      </c>
      <c r="AL2124" t="inlineStr">
        <is>
          <t>Published</t>
        </is>
      </c>
    </row>
    <row r="2125">
      <c r="A2125">
        <f>HYPERLINK("https://www.walmart.com/ip/791658599", "791658599")</f>
        <v/>
      </c>
      <c r="B2125">
        <f>HYPERLINK("https://app.optiwise.ai/catalog/itemdetails/362698", "Sherpa Slipper Socks for Women,Winter Indoor Home Non Skid Booties")</f>
        <v/>
      </c>
      <c r="C2125" t="inlineStr">
        <is>
          <t>1CTST200PK-1</t>
        </is>
      </c>
      <c r="D2125" t="inlineStr">
        <is>
          <t>Clothing</t>
        </is>
      </c>
      <c r="E2125" t="inlineStr">
        <is>
          <t>Socks</t>
        </is>
      </c>
      <c r="F2125" t="inlineStr">
        <is>
          <t>Catalonia</t>
        </is>
      </c>
      <c r="G2125" t="n">
        <v>0</v>
      </c>
      <c r="H2125" t="n">
        <v>0</v>
      </c>
      <c r="I2125" t="inlineStr">
        <is>
          <t>WFS,WFS Item</t>
        </is>
      </c>
      <c r="J2125" s="29" t="n">
        <v>0</v>
      </c>
      <c r="K2125" s="30" t="n"/>
      <c r="L2125" s="29" t="n">
        <v>0</v>
      </c>
      <c r="M2125" s="29" t="n">
        <v>0</v>
      </c>
      <c r="N2125" s="2" t="n">
        <v>0</v>
      </c>
      <c r="O2125" s="31" t="n">
        <v>0</v>
      </c>
      <c r="P2125" s="32" t="n"/>
      <c r="Q2125" s="32" t="n">
        <v>0</v>
      </c>
      <c r="R2125" s="32" t="n">
        <v>0</v>
      </c>
      <c r="S2125" s="31" t="n">
        <v>0</v>
      </c>
      <c r="T2125" s="32" t="n">
        <v>0</v>
      </c>
      <c r="U2125" s="31" t="n">
        <v>0</v>
      </c>
      <c r="V2125" s="31" t="n">
        <v>0</v>
      </c>
      <c r="W2125" s="3" t="n">
        <v>0</v>
      </c>
      <c r="X2125" s="3" t="n">
        <v>0</v>
      </c>
      <c r="Y2125" s="32" t="n">
        <v>0</v>
      </c>
      <c r="Z2125" s="3" t="n">
        <v>0</v>
      </c>
      <c r="AA2125" s="32" t="n">
        <v>0</v>
      </c>
      <c r="AB2125" s="3" t="n"/>
      <c r="AC2125" s="31" t="n">
        <v>0</v>
      </c>
      <c r="AD2125" s="2" t="n">
        <v>0</v>
      </c>
      <c r="AE2125" s="2" t="n">
        <v>11</v>
      </c>
      <c r="AF2125" s="4" t="n">
        <v>11</v>
      </c>
      <c r="AG2125" s="33" t="n">
        <v>0</v>
      </c>
      <c r="AH2125" s="4" t="n">
        <v>0</v>
      </c>
      <c r="AI2125" s="34" t="n"/>
      <c r="AJ2125" s="34" t="n">
        <v>0</v>
      </c>
      <c r="AK2125" s="2" t="n">
        <v>0</v>
      </c>
      <c r="AL2125" t="inlineStr">
        <is>
          <t>Published</t>
        </is>
      </c>
    </row>
    <row r="2126">
      <c r="A2126">
        <f>HYPERLINK("https://www.walmart.com/ip/177853806", "177853806")</f>
        <v/>
      </c>
      <c r="B2126">
        <f>HYPERLINK("https://app.optiwise.ai/catalog/itemdetails/362696", "Napa Super Soft Cozy Micro Plush Travel Air Conditioning TV Couch Throw Blanket 50x 60, Brown")</f>
        <v/>
      </c>
      <c r="C2126" t="inlineStr">
        <is>
          <t>K2000-Brown</t>
        </is>
      </c>
      <c r="D2126" t="inlineStr">
        <is>
          <t>Bedding</t>
        </is>
      </c>
      <c r="E2126" t="inlineStr">
        <is>
          <t>Throws</t>
        </is>
      </c>
      <c r="F2126" t="inlineStr">
        <is>
          <t>NAPA</t>
        </is>
      </c>
      <c r="G2126" t="n">
        <v>5</v>
      </c>
      <c r="H2126" t="n">
        <v>1</v>
      </c>
      <c r="I2126" t="inlineStr">
        <is>
          <t>Batch 1 - TR</t>
        </is>
      </c>
      <c r="J2126" s="29" t="n">
        <v>0</v>
      </c>
      <c r="K2126" s="30" t="n"/>
      <c r="L2126" s="29" t="n">
        <v>0</v>
      </c>
      <c r="M2126" s="29" t="n">
        <v>0</v>
      </c>
      <c r="N2126" s="2" t="n">
        <v>0</v>
      </c>
      <c r="O2126" s="31" t="n">
        <v>0</v>
      </c>
      <c r="P2126" s="32" t="n"/>
      <c r="Q2126" s="32" t="n">
        <v>0</v>
      </c>
      <c r="R2126" s="32" t="n">
        <v>0</v>
      </c>
      <c r="S2126" s="31" t="n">
        <v>0</v>
      </c>
      <c r="T2126" s="32" t="n">
        <v>0</v>
      </c>
      <c r="U2126" s="31" t="n">
        <v>0</v>
      </c>
      <c r="V2126" s="31" t="n">
        <v>0</v>
      </c>
      <c r="W2126" s="3" t="n">
        <v>0</v>
      </c>
      <c r="X2126" s="3" t="n">
        <v>0</v>
      </c>
      <c r="Y2126" s="32" t="n">
        <v>0</v>
      </c>
      <c r="Z2126" s="3" t="n">
        <v>0</v>
      </c>
      <c r="AA2126" s="32" t="n">
        <v>0</v>
      </c>
      <c r="AB2126" s="3" t="n"/>
      <c r="AC2126" s="31" t="n">
        <v>0</v>
      </c>
      <c r="AD2126" s="2" t="n">
        <v>0</v>
      </c>
      <c r="AE2126" s="2" t="n">
        <v>0</v>
      </c>
      <c r="AF2126" s="4" t="n">
        <v>0</v>
      </c>
      <c r="AG2126" s="33" t="n">
        <v>0</v>
      </c>
      <c r="AH2126" s="4" t="n">
        <v>0</v>
      </c>
      <c r="AI2126" s="34" t="n"/>
      <c r="AJ2126" s="34" t="n">
        <v>0</v>
      </c>
      <c r="AK2126" s="2" t="n">
        <v>0</v>
      </c>
      <c r="AL2126" t="inlineStr">
        <is>
          <t>Published</t>
        </is>
      </c>
    </row>
    <row r="2127">
      <c r="A2127">
        <f>HYPERLINK("https://www.walmart.com/ip/191858987", "191858987")</f>
        <v/>
      </c>
      <c r="B2127">
        <f>HYPERLINK("https://app.optiwise.ai/catalog/itemdetails/362695", "JenniWears Women's Sexy Crotchless Suspender Pantyhose Stockings - 6 Packs")</f>
        <v/>
      </c>
      <c r="C2127" t="inlineStr">
        <is>
          <t>JWBLSPH2029-6pcs</t>
        </is>
      </c>
      <c r="D2127" t="inlineStr">
        <is>
          <t>Clothing</t>
        </is>
      </c>
      <c r="E2127" t="inlineStr">
        <is>
          <t>Pantyhose &amp; Tights</t>
        </is>
      </c>
      <c r="F2127" t="inlineStr">
        <is>
          <t>JenniWears</t>
        </is>
      </c>
      <c r="G2127" t="n">
        <v>0</v>
      </c>
      <c r="H2127" t="n">
        <v>0</v>
      </c>
      <c r="I2127" t="inlineStr">
        <is>
          <t>Optimized,Valentine</t>
        </is>
      </c>
      <c r="J2127" s="29" t="n">
        <v>0</v>
      </c>
      <c r="K2127" s="30" t="n"/>
      <c r="L2127" s="29" t="n">
        <v>0</v>
      </c>
      <c r="M2127" s="29" t="n">
        <v>0</v>
      </c>
      <c r="N2127" s="2" t="n">
        <v>0</v>
      </c>
      <c r="O2127" s="31" t="n">
        <v>0</v>
      </c>
      <c r="P2127" s="32" t="n"/>
      <c r="Q2127" s="32" t="n">
        <v>0</v>
      </c>
      <c r="R2127" s="32" t="n">
        <v>0</v>
      </c>
      <c r="S2127" s="31" t="n">
        <v>0</v>
      </c>
      <c r="T2127" s="32" t="n">
        <v>0</v>
      </c>
      <c r="U2127" s="31" t="n">
        <v>0</v>
      </c>
      <c r="V2127" s="31" t="n">
        <v>0</v>
      </c>
      <c r="W2127" s="3" t="n">
        <v>0</v>
      </c>
      <c r="X2127" s="3" t="n">
        <v>0</v>
      </c>
      <c r="Y2127" s="32" t="n">
        <v>0</v>
      </c>
      <c r="Z2127" s="3" t="n">
        <v>0</v>
      </c>
      <c r="AA2127" s="32" t="n">
        <v>0</v>
      </c>
      <c r="AB2127" s="3" t="n"/>
      <c r="AC2127" s="31" t="n">
        <v>0</v>
      </c>
      <c r="AD2127" s="2" t="n">
        <v>0</v>
      </c>
      <c r="AE2127" s="2" t="n">
        <v>5</v>
      </c>
      <c r="AF2127" s="4" t="n">
        <v>5</v>
      </c>
      <c r="AG2127" s="33" t="n">
        <v>0</v>
      </c>
      <c r="AH2127" s="4" t="n">
        <v>0</v>
      </c>
      <c r="AI2127" s="34" t="n"/>
      <c r="AJ2127" s="34" t="n">
        <v>0</v>
      </c>
      <c r="AK2127" s="2" t="n">
        <v>0</v>
      </c>
      <c r="AL2127" t="inlineStr">
        <is>
          <t>Published</t>
        </is>
      </c>
    </row>
    <row r="2128">
      <c r="A2128">
        <f>HYPERLINK("https://www.walmart.com/ip/388479260", "388479260")</f>
        <v/>
      </c>
      <c r="B2128">
        <f>HYPERLINK("https://app.optiwise.ai/catalog/itemdetails/362690", "Flyingstar Wearable Blanket with Sleeves and Pocket, Fleece Micro Plush Throws Blanket, Robe for Women and Men 73” x 51” Purple")</f>
        <v/>
      </c>
      <c r="C2128" t="inlineStr">
        <is>
          <t>1WMSN100AQ</t>
        </is>
      </c>
      <c r="D2128" t="inlineStr">
        <is>
          <t>Bedding</t>
        </is>
      </c>
      <c r="E2128" t="inlineStr">
        <is>
          <t>Throws</t>
        </is>
      </c>
      <c r="F2128" t="inlineStr">
        <is>
          <t>Flyingstar</t>
        </is>
      </c>
      <c r="G2128" t="n">
        <v>0</v>
      </c>
      <c r="H2128" t="n">
        <v>0</v>
      </c>
      <c r="I2128" t="inlineStr">
        <is>
          <t>Optimized</t>
        </is>
      </c>
      <c r="J2128" s="29" t="n">
        <v>0</v>
      </c>
      <c r="K2128" s="30" t="n"/>
      <c r="L2128" s="29" t="n">
        <v>0</v>
      </c>
      <c r="M2128" s="29" t="n">
        <v>0</v>
      </c>
      <c r="N2128" s="2" t="n">
        <v>0</v>
      </c>
      <c r="O2128" s="31" t="n">
        <v>0</v>
      </c>
      <c r="P2128" s="32" t="n"/>
      <c r="Q2128" s="32" t="n">
        <v>0</v>
      </c>
      <c r="R2128" s="32" t="n">
        <v>0</v>
      </c>
      <c r="S2128" s="31" t="n">
        <v>0</v>
      </c>
      <c r="T2128" s="32" t="n">
        <v>0</v>
      </c>
      <c r="U2128" s="31" t="n">
        <v>0</v>
      </c>
      <c r="V2128" s="31" t="n">
        <v>0</v>
      </c>
      <c r="W2128" s="3" t="n">
        <v>0</v>
      </c>
      <c r="X2128" s="3" t="n">
        <v>0</v>
      </c>
      <c r="Y2128" s="32" t="n">
        <v>0</v>
      </c>
      <c r="Z2128" s="3" t="n">
        <v>0</v>
      </c>
      <c r="AA2128" s="32" t="n">
        <v>0</v>
      </c>
      <c r="AB2128" s="3" t="n"/>
      <c r="AC2128" s="31" t="n">
        <v>0</v>
      </c>
      <c r="AD2128" s="2" t="n">
        <v>0</v>
      </c>
      <c r="AE2128" s="2" t="n">
        <v>3</v>
      </c>
      <c r="AF2128" s="4" t="n">
        <v>3</v>
      </c>
      <c r="AG2128" s="33" t="n">
        <v>0</v>
      </c>
      <c r="AH2128" s="4" t="n">
        <v>0</v>
      </c>
      <c r="AI2128" s="34" t="n"/>
      <c r="AJ2128" s="34" t="n">
        <v>0</v>
      </c>
      <c r="AK2128" s="2" t="n">
        <v>0</v>
      </c>
      <c r="AL2128" t="inlineStr">
        <is>
          <t>Published</t>
        </is>
      </c>
    </row>
    <row r="2129">
      <c r="A2129">
        <f>HYPERLINK("https://www.walmart.com/ip/926704972", "926704972")</f>
        <v/>
      </c>
      <c r="B2129">
        <f>HYPERLINK("https://app.optiwise.ai/catalog/itemdetails/362687", "Tirrinia Insulated 4 Bottle Wine Carrier Tote Cooler Bag for Travel Picnic Padded Champagne Glass Carrying Case Leather")</f>
        <v/>
      </c>
      <c r="C2129" t="inlineStr">
        <is>
          <t>1WMWB421GN</t>
        </is>
      </c>
      <c r="D2129" t="inlineStr">
        <is>
          <t>Home Decor, Kitchen, &amp; Other</t>
        </is>
      </c>
      <c r="E2129" t="inlineStr">
        <is>
          <t>Wine Totes, Bags &amp; Backpacks</t>
        </is>
      </c>
      <c r="F2129" t="inlineStr">
        <is>
          <t>Flyingstar</t>
        </is>
      </c>
      <c r="G2129" t="n">
        <v>0</v>
      </c>
      <c r="H2129" t="n">
        <v>0</v>
      </c>
      <c r="I2129" t="inlineStr">
        <is>
          <t>Wine,Christmas,Optimized,Valentine</t>
        </is>
      </c>
      <c r="J2129" s="29" t="n">
        <v>0</v>
      </c>
      <c r="K2129" s="30" t="n"/>
      <c r="L2129" s="29" t="n">
        <v>0</v>
      </c>
      <c r="M2129" s="29" t="n">
        <v>0</v>
      </c>
      <c r="N2129" s="2" t="n">
        <v>0</v>
      </c>
      <c r="O2129" s="31" t="n">
        <v>0</v>
      </c>
      <c r="P2129" s="32" t="n"/>
      <c r="Q2129" s="32" t="n">
        <v>0</v>
      </c>
      <c r="R2129" s="32" t="n">
        <v>0</v>
      </c>
      <c r="S2129" s="31" t="n">
        <v>0</v>
      </c>
      <c r="T2129" s="32" t="n">
        <v>0</v>
      </c>
      <c r="U2129" s="31" t="n">
        <v>0</v>
      </c>
      <c r="V2129" s="31" t="n">
        <v>0</v>
      </c>
      <c r="W2129" s="3" t="n">
        <v>0</v>
      </c>
      <c r="X2129" s="3" t="n">
        <v>0</v>
      </c>
      <c r="Y2129" s="32" t="n">
        <v>0</v>
      </c>
      <c r="Z2129" s="3" t="n">
        <v>0</v>
      </c>
      <c r="AA2129" s="32" t="n">
        <v>0</v>
      </c>
      <c r="AB2129" s="3" t="n"/>
      <c r="AC2129" s="31" t="n">
        <v>0</v>
      </c>
      <c r="AD2129" s="2" t="n">
        <v>0</v>
      </c>
      <c r="AE2129" s="2" t="n">
        <v>7</v>
      </c>
      <c r="AF2129" s="4" t="n">
        <v>7</v>
      </c>
      <c r="AG2129" s="33" t="n">
        <v>0</v>
      </c>
      <c r="AH2129" s="4" t="n">
        <v>0</v>
      </c>
      <c r="AI2129" s="34" t="n"/>
      <c r="AJ2129" s="34" t="n">
        <v>0</v>
      </c>
      <c r="AK2129" s="2" t="n">
        <v>0</v>
      </c>
      <c r="AL2129" t="inlineStr">
        <is>
          <t>Published</t>
        </is>
      </c>
    </row>
    <row r="2130">
      <c r="A2130">
        <f>HYPERLINK("https://www.walmart.com/ip/897180675", "897180675")</f>
        <v/>
      </c>
      <c r="B2130">
        <f>HYPERLINK("https://app.optiwise.ai/catalog/itemdetails/362686", "Catalonia Monkey Blanket for Kids, Hooded Wearable Snuggle Tail Blanket, Super Soft Plush Sleeping Bags for Children Teens Boys Girls, All Seasons, Gift Idea")</f>
        <v/>
      </c>
      <c r="C2130" t="inlineStr">
        <is>
          <t>1CTMM200MK</t>
        </is>
      </c>
      <c r="D2130" t="inlineStr">
        <is>
          <t>Bedding</t>
        </is>
      </c>
      <c r="E2130" t="inlineStr">
        <is>
          <t>Baby Sleepsacks</t>
        </is>
      </c>
      <c r="F2130" t="inlineStr">
        <is>
          <t>Catalonia</t>
        </is>
      </c>
      <c r="G2130" t="n">
        <v>0</v>
      </c>
      <c r="H2130" t="n">
        <v>0</v>
      </c>
      <c r="I2130" t="inlineStr">
        <is>
          <t>Baby days,Optimized</t>
        </is>
      </c>
      <c r="J2130" s="29" t="n">
        <v>0</v>
      </c>
      <c r="K2130" s="30" t="n"/>
      <c r="L2130" s="29" t="n">
        <v>0</v>
      </c>
      <c r="M2130" s="29" t="n">
        <v>0</v>
      </c>
      <c r="N2130" s="2" t="n">
        <v>0</v>
      </c>
      <c r="O2130" s="31" t="n">
        <v>0</v>
      </c>
      <c r="P2130" s="32" t="n"/>
      <c r="Q2130" s="32" t="n">
        <v>0</v>
      </c>
      <c r="R2130" s="32" t="n">
        <v>0</v>
      </c>
      <c r="S2130" s="31" t="n">
        <v>0</v>
      </c>
      <c r="T2130" s="32" t="n">
        <v>0</v>
      </c>
      <c r="U2130" s="31" t="n">
        <v>0</v>
      </c>
      <c r="V2130" s="31" t="n">
        <v>0</v>
      </c>
      <c r="W2130" s="3" t="n">
        <v>0</v>
      </c>
      <c r="X2130" s="3" t="n">
        <v>0</v>
      </c>
      <c r="Y2130" s="32" t="n">
        <v>0</v>
      </c>
      <c r="Z2130" s="3" t="n">
        <v>0</v>
      </c>
      <c r="AA2130" s="32" t="n">
        <v>0</v>
      </c>
      <c r="AB2130" s="3" t="n"/>
      <c r="AC2130" s="31" t="n">
        <v>0</v>
      </c>
      <c r="AD2130" s="2" t="n">
        <v>0</v>
      </c>
      <c r="AE2130" s="2" t="n">
        <v>31</v>
      </c>
      <c r="AF2130" s="4" t="n">
        <v>31</v>
      </c>
      <c r="AG2130" s="33" t="n">
        <v>0</v>
      </c>
      <c r="AH2130" s="4" t="n">
        <v>0</v>
      </c>
      <c r="AI2130" s="34" t="n"/>
      <c r="AJ2130" s="34" t="n">
        <v>0</v>
      </c>
      <c r="AK2130" s="2" t="n">
        <v>0</v>
      </c>
      <c r="AL2130" t="inlineStr">
        <is>
          <t>Published</t>
        </is>
      </c>
    </row>
    <row r="2131">
      <c r="A2131">
        <f>HYPERLINK("https://www.walmart.com/ip/646388542", "646388542")</f>
        <v/>
      </c>
      <c r="B2131">
        <f>HYPERLINK("https://app.optiwise.ai/catalog/itemdetails/362685", "Fleece Blanket Wearable with Sleeves and Pocket, Micro Plush Warm Comfy Sleeved TV Throw Blanket Robe for Women and Men Multi-Colors 72”X55” by Catalonia")</f>
        <v/>
      </c>
      <c r="C2131" t="inlineStr">
        <is>
          <t>1CTSN110CA-ESGM</t>
        </is>
      </c>
      <c r="D2131" t="inlineStr">
        <is>
          <t>Bedding</t>
        </is>
      </c>
      <c r="E2131" t="inlineStr">
        <is>
          <t>Throws</t>
        </is>
      </c>
      <c r="F2131" t="inlineStr">
        <is>
          <t>Catalonia</t>
        </is>
      </c>
      <c r="G2131" t="n">
        <v>5</v>
      </c>
      <c r="H2131" t="n">
        <v>2</v>
      </c>
      <c r="I2131" t="inlineStr">
        <is>
          <t>Fleece Blankets,Batch 1 - TR</t>
        </is>
      </c>
      <c r="J2131" s="29" t="n">
        <v>0</v>
      </c>
      <c r="K2131" s="30" t="n"/>
      <c r="L2131" s="29" t="n">
        <v>0</v>
      </c>
      <c r="M2131" s="29" t="n">
        <v>0</v>
      </c>
      <c r="N2131" s="2" t="n">
        <v>0</v>
      </c>
      <c r="O2131" s="31" t="n">
        <v>0</v>
      </c>
      <c r="P2131" s="32" t="n"/>
      <c r="Q2131" s="32" t="n">
        <v>0</v>
      </c>
      <c r="R2131" s="32" t="n">
        <v>0</v>
      </c>
      <c r="S2131" s="31" t="n">
        <v>0</v>
      </c>
      <c r="T2131" s="32" t="n">
        <v>0</v>
      </c>
      <c r="U2131" s="31" t="n">
        <v>0</v>
      </c>
      <c r="V2131" s="31" t="n">
        <v>0</v>
      </c>
      <c r="W2131" s="3" t="n">
        <v>0</v>
      </c>
      <c r="X2131" s="3" t="n">
        <v>0</v>
      </c>
      <c r="Y2131" s="32" t="n">
        <v>0</v>
      </c>
      <c r="Z2131" s="3" t="n">
        <v>0</v>
      </c>
      <c r="AA2131" s="32" t="n">
        <v>0</v>
      </c>
      <c r="AB2131" s="3" t="n"/>
      <c r="AC2131" s="31" t="n">
        <v>0</v>
      </c>
      <c r="AD2131" s="2" t="n">
        <v>0</v>
      </c>
      <c r="AE2131" s="2" t="n">
        <v>27</v>
      </c>
      <c r="AF2131" s="4" t="n">
        <v>27</v>
      </c>
      <c r="AG2131" s="33" t="n">
        <v>0</v>
      </c>
      <c r="AH2131" s="4" t="n">
        <v>0</v>
      </c>
      <c r="AI2131" s="34" t="n"/>
      <c r="AJ2131" s="34" t="n">
        <v>0</v>
      </c>
      <c r="AK2131" s="2" t="n">
        <v>0</v>
      </c>
      <c r="AL2131" t="inlineStr">
        <is>
          <t>Published</t>
        </is>
      </c>
    </row>
    <row r="2132">
      <c r="A2132">
        <f>HYPERLINK("https://www.walmart.com/ip/127975599", "127975599")</f>
        <v/>
      </c>
      <c r="B2132">
        <f>HYPERLINK("https://app.optiwise.ai/catalog/itemdetails/362682", "Flyingstar Unisex Sun Hat with Neck Flap, UV Protection Wide Brim Fishing Hat, Hunting Hat for Women and Men, Tan")</f>
        <v/>
      </c>
      <c r="C2132" t="inlineStr">
        <is>
          <t>1WMSH910TN</t>
        </is>
      </c>
      <c r="D2132" t="inlineStr">
        <is>
          <t>Clothing</t>
        </is>
      </c>
      <c r="E2132" t="inlineStr">
        <is>
          <t>Hats</t>
        </is>
      </c>
      <c r="F2132" t="inlineStr">
        <is>
          <t>Tirrinia</t>
        </is>
      </c>
      <c r="G2132" t="n">
        <v>0</v>
      </c>
      <c r="H2132" t="n">
        <v>0</v>
      </c>
      <c r="I2132" t="inlineStr">
        <is>
          <t>Optimized</t>
        </is>
      </c>
      <c r="J2132" s="29" t="n">
        <v>0</v>
      </c>
      <c r="K2132" s="30" t="n"/>
      <c r="L2132" s="29" t="n">
        <v>0</v>
      </c>
      <c r="M2132" s="29" t="n">
        <v>0</v>
      </c>
      <c r="N2132" s="2" t="n">
        <v>0</v>
      </c>
      <c r="O2132" s="31" t="n">
        <v>0</v>
      </c>
      <c r="P2132" s="32" t="n"/>
      <c r="Q2132" s="32" t="n">
        <v>0</v>
      </c>
      <c r="R2132" s="32" t="n">
        <v>0</v>
      </c>
      <c r="S2132" s="31" t="n">
        <v>0</v>
      </c>
      <c r="T2132" s="32" t="n">
        <v>0</v>
      </c>
      <c r="U2132" s="31" t="n">
        <v>0</v>
      </c>
      <c r="V2132" s="31" t="n">
        <v>0</v>
      </c>
      <c r="W2132" s="3" t="n">
        <v>0</v>
      </c>
      <c r="X2132" s="3" t="n">
        <v>0</v>
      </c>
      <c r="Y2132" s="32" t="n">
        <v>0</v>
      </c>
      <c r="Z2132" s="3" t="n">
        <v>0</v>
      </c>
      <c r="AA2132" s="32" t="n">
        <v>0</v>
      </c>
      <c r="AB2132" s="3" t="n"/>
      <c r="AC2132" s="31" t="n">
        <v>0</v>
      </c>
      <c r="AD2132" s="2" t="n">
        <v>0</v>
      </c>
      <c r="AE2132" s="2" t="n">
        <v>3</v>
      </c>
      <c r="AF2132" s="4" t="n">
        <v>3</v>
      </c>
      <c r="AG2132" s="33" t="n">
        <v>0</v>
      </c>
      <c r="AH2132" s="4" t="n">
        <v>0</v>
      </c>
      <c r="AI2132" s="34" t="n"/>
      <c r="AJ2132" s="34" t="n">
        <v>0</v>
      </c>
      <c r="AK2132" s="2" t="n">
        <v>0</v>
      </c>
      <c r="AL2132" t="inlineStr">
        <is>
          <t>Published</t>
        </is>
      </c>
    </row>
    <row r="2133">
      <c r="A2133">
        <f>HYPERLINK("https://www.walmart.com/ip/274522734", "274522734")</f>
        <v/>
      </c>
      <c r="B2133">
        <f>HYPERLINK("https://app.optiwise.ai/catalog/itemdetails/362681", "Bucket Sun Hat Cute Cap for Women Fashion Fold-up Brim Packable Summer Beach by Solaris")</f>
        <v/>
      </c>
      <c r="C2133" t="inlineStr">
        <is>
          <t>1SLSH9200BL-FSCB</t>
        </is>
      </c>
      <c r="D2133" t="inlineStr">
        <is>
          <t>Clothing</t>
        </is>
      </c>
      <c r="E2133" t="inlineStr">
        <is>
          <t>Hats</t>
        </is>
      </c>
      <c r="F2133" t="inlineStr">
        <is>
          <t>Solaris</t>
        </is>
      </c>
      <c r="G2133" t="n">
        <v>0</v>
      </c>
      <c r="H2133" t="n">
        <v>0</v>
      </c>
      <c r="J2133" s="29" t="n">
        <v>0</v>
      </c>
      <c r="K2133" s="30" t="n"/>
      <c r="L2133" s="29" t="n">
        <v>0</v>
      </c>
      <c r="M2133" s="29" t="n">
        <v>0</v>
      </c>
      <c r="N2133" s="2" t="n">
        <v>0</v>
      </c>
      <c r="O2133" s="31" t="n">
        <v>0</v>
      </c>
      <c r="P2133" s="32" t="n"/>
      <c r="Q2133" s="32" t="n">
        <v>0</v>
      </c>
      <c r="R2133" s="32" t="n">
        <v>0</v>
      </c>
      <c r="S2133" s="31" t="n">
        <v>0</v>
      </c>
      <c r="T2133" s="32" t="n">
        <v>0</v>
      </c>
      <c r="U2133" s="31" t="n">
        <v>0</v>
      </c>
      <c r="V2133" s="31" t="n">
        <v>0</v>
      </c>
      <c r="W2133" s="3" t="n">
        <v>0</v>
      </c>
      <c r="X2133" s="3" t="n">
        <v>0</v>
      </c>
      <c r="Y2133" s="32" t="n">
        <v>0</v>
      </c>
      <c r="Z2133" s="3" t="n">
        <v>0</v>
      </c>
      <c r="AA2133" s="32" t="n">
        <v>0</v>
      </c>
      <c r="AB2133" s="3" t="n"/>
      <c r="AC2133" s="31" t="n">
        <v>0</v>
      </c>
      <c r="AD2133" s="2" t="n">
        <v>0</v>
      </c>
      <c r="AE2133" s="2" t="n">
        <v>4</v>
      </c>
      <c r="AF2133" s="4" t="n">
        <v>4</v>
      </c>
      <c r="AG2133" s="33" t="n">
        <v>0</v>
      </c>
      <c r="AH2133" s="4" t="n">
        <v>0</v>
      </c>
      <c r="AI2133" s="34" t="n"/>
      <c r="AJ2133" s="34" t="n">
        <v>0</v>
      </c>
      <c r="AK2133" s="2" t="n">
        <v>0</v>
      </c>
      <c r="AL2133" t="inlineStr">
        <is>
          <t>Published</t>
        </is>
      </c>
    </row>
    <row r="2134">
      <c r="A2134">
        <f>HYPERLINK("https://www.walmart.com/ip/713575349", "713575349")</f>
        <v/>
      </c>
      <c r="B2134">
        <f>HYPERLINK("https://app.optiwise.ai/catalog/itemdetails/362680", "Terrania Running Belt for iPhone 8 X 7 Plus 6S, Fanny Pack Phone Pouch for Fitness, Black, Large")</f>
        <v/>
      </c>
      <c r="C2134" t="inlineStr">
        <is>
          <t>TRWB100BK-L</t>
        </is>
      </c>
      <c r="D2134" t="inlineStr">
        <is>
          <t>Cases &amp; Bags</t>
        </is>
      </c>
      <c r="E2134" t="inlineStr">
        <is>
          <t>Running Belts</t>
        </is>
      </c>
      <c r="F2134" t="inlineStr">
        <is>
          <t>Terrania</t>
        </is>
      </c>
      <c r="G2134" t="n">
        <v>5</v>
      </c>
      <c r="H2134" t="n">
        <v>4</v>
      </c>
      <c r="I2134" t="inlineStr">
        <is>
          <t>Batch 1 - TR</t>
        </is>
      </c>
      <c r="J2134" s="29" t="n">
        <v>0</v>
      </c>
      <c r="K2134" s="30" t="n"/>
      <c r="L2134" s="29" t="n">
        <v>0</v>
      </c>
      <c r="M2134" s="29" t="n">
        <v>0</v>
      </c>
      <c r="N2134" s="2" t="n">
        <v>0</v>
      </c>
      <c r="O2134" s="31" t="n">
        <v>0</v>
      </c>
      <c r="P2134" s="32" t="n"/>
      <c r="Q2134" s="32" t="n">
        <v>0</v>
      </c>
      <c r="R2134" s="32" t="n">
        <v>0</v>
      </c>
      <c r="S2134" s="31" t="n">
        <v>0</v>
      </c>
      <c r="T2134" s="32" t="n">
        <v>0</v>
      </c>
      <c r="U2134" s="31" t="n">
        <v>0</v>
      </c>
      <c r="V2134" s="31" t="n">
        <v>0</v>
      </c>
      <c r="W2134" s="3" t="n">
        <v>0</v>
      </c>
      <c r="X2134" s="3" t="n">
        <v>0</v>
      </c>
      <c r="Y2134" s="32" t="n">
        <v>0</v>
      </c>
      <c r="Z2134" s="3" t="n">
        <v>0</v>
      </c>
      <c r="AA2134" s="32" t="n">
        <v>0</v>
      </c>
      <c r="AB2134" s="3" t="n"/>
      <c r="AC2134" s="31" t="n">
        <v>0</v>
      </c>
      <c r="AD2134" s="2" t="n">
        <v>0</v>
      </c>
      <c r="AE2134" s="2" t="n">
        <v>2</v>
      </c>
      <c r="AF2134" s="4" t="n">
        <v>2</v>
      </c>
      <c r="AG2134" s="33" t="n">
        <v>0</v>
      </c>
      <c r="AH2134" s="4" t="n">
        <v>0</v>
      </c>
      <c r="AI2134" s="34" t="n"/>
      <c r="AJ2134" s="34" t="n">
        <v>0</v>
      </c>
      <c r="AK2134" s="2" t="n">
        <v>0</v>
      </c>
      <c r="AL2134" t="inlineStr">
        <is>
          <t>Published</t>
        </is>
      </c>
    </row>
    <row r="2135">
      <c r="A2135">
        <f>HYPERLINK("https://www.walmart.com/ip/895410525", "895410525")</f>
        <v/>
      </c>
      <c r="B2135">
        <f>HYPERLINK("https://app.optiwise.ai/catalog/itemdetails/362676", "Light up Sequin Fedora LED Hat Neon Rave Costumes Glow in Dark Party")</f>
        <v/>
      </c>
      <c r="C2135" t="inlineStr">
        <is>
          <t>SLLEDHATPK</t>
        </is>
      </c>
      <c r="D2135" t="inlineStr">
        <is>
          <t>Decorations &amp; Favors</t>
        </is>
      </c>
      <c r="E2135" t="inlineStr">
        <is>
          <t>Hats</t>
        </is>
      </c>
      <c r="F2135" t="inlineStr">
        <is>
          <t>Solaris</t>
        </is>
      </c>
      <c r="G2135" t="n">
        <v>0</v>
      </c>
      <c r="H2135" t="n">
        <v>0</v>
      </c>
      <c r="I2135" t="inlineStr">
        <is>
          <t>Batch 1 - TR</t>
        </is>
      </c>
      <c r="J2135" s="29" t="n">
        <v>0</v>
      </c>
      <c r="K2135" s="30" t="n"/>
      <c r="L2135" s="29" t="n">
        <v>0</v>
      </c>
      <c r="M2135" s="29" t="n">
        <v>0</v>
      </c>
      <c r="N2135" s="2" t="n">
        <v>0</v>
      </c>
      <c r="O2135" s="31" t="n">
        <v>0</v>
      </c>
      <c r="P2135" s="32" t="n"/>
      <c r="Q2135" s="32" t="n">
        <v>0</v>
      </c>
      <c r="R2135" s="32" t="n">
        <v>0</v>
      </c>
      <c r="S2135" s="31" t="n">
        <v>0</v>
      </c>
      <c r="T2135" s="32" t="n">
        <v>0</v>
      </c>
      <c r="U2135" s="31" t="n">
        <v>0</v>
      </c>
      <c r="V2135" s="31" t="n">
        <v>0</v>
      </c>
      <c r="W2135" s="3" t="n">
        <v>0</v>
      </c>
      <c r="X2135" s="3" t="n">
        <v>0</v>
      </c>
      <c r="Y2135" s="32" t="n">
        <v>0</v>
      </c>
      <c r="Z2135" s="3" t="n">
        <v>0</v>
      </c>
      <c r="AA2135" s="32" t="n">
        <v>0</v>
      </c>
      <c r="AB2135" s="3" t="n"/>
      <c r="AC2135" s="31" t="n">
        <v>0</v>
      </c>
      <c r="AD2135" s="2" t="n">
        <v>0</v>
      </c>
      <c r="AE2135" s="2" t="n">
        <v>4</v>
      </c>
      <c r="AF2135" s="4" t="n">
        <v>4</v>
      </c>
      <c r="AG2135" s="33" t="n">
        <v>0</v>
      </c>
      <c r="AH2135" s="4" t="n">
        <v>0</v>
      </c>
      <c r="AI2135" s="34" t="n"/>
      <c r="AJ2135" s="34" t="n">
        <v>0</v>
      </c>
      <c r="AK2135" s="2" t="n">
        <v>0</v>
      </c>
      <c r="AL2135" t="inlineStr">
        <is>
          <t>Published</t>
        </is>
      </c>
    </row>
    <row r="2136">
      <c r="A2136">
        <f>HYPERLINK("https://www.walmart.com/ip/274990337", "274990337")</f>
        <v/>
      </c>
      <c r="B2136">
        <f>HYPERLINK("https://app.optiwise.ai/catalog/itemdetails/362672", "Tirrinia Adult Insulated Lunch Bag Totes Cooler Container Front Pocket")</f>
        <v/>
      </c>
      <c r="C2136" t="inlineStr">
        <is>
          <t>1WMLB705RDWT</t>
        </is>
      </c>
      <c r="D2136" t="inlineStr">
        <is>
          <t>Home Decor, Kitchen, &amp; Other</t>
        </is>
      </c>
      <c r="E2136" t="inlineStr">
        <is>
          <t>Reusable Lunch Bags &amp; Boxes</t>
        </is>
      </c>
      <c r="F2136" t="inlineStr">
        <is>
          <t>Flyingstar</t>
        </is>
      </c>
      <c r="G2136" t="n">
        <v>0</v>
      </c>
      <c r="H2136" t="n">
        <v>0</v>
      </c>
      <c r="I2136" t="inlineStr">
        <is>
          <t>Q2-Target,Lunch Bag</t>
        </is>
      </c>
      <c r="J2136" s="29" t="n">
        <v>0</v>
      </c>
      <c r="K2136" s="30" t="n"/>
      <c r="L2136" s="29" t="n">
        <v>0</v>
      </c>
      <c r="M2136" s="29" t="n">
        <v>0</v>
      </c>
      <c r="N2136" s="2" t="n">
        <v>0</v>
      </c>
      <c r="O2136" s="31" t="n">
        <v>0</v>
      </c>
      <c r="P2136" s="32" t="n"/>
      <c r="Q2136" s="32" t="n">
        <v>0</v>
      </c>
      <c r="R2136" s="32" t="n">
        <v>0.08409999999999999</v>
      </c>
      <c r="S2136" s="31" t="n">
        <v>0</v>
      </c>
      <c r="T2136" s="32" t="n">
        <v>0</v>
      </c>
      <c r="U2136" s="31" t="n">
        <v>0</v>
      </c>
      <c r="V2136" s="31" t="n">
        <v>0</v>
      </c>
      <c r="W2136" s="3" t="n">
        <v>0</v>
      </c>
      <c r="X2136" s="3" t="n">
        <v>0</v>
      </c>
      <c r="Y2136" s="32" t="n">
        <v>0</v>
      </c>
      <c r="Z2136" s="3" t="n">
        <v>0</v>
      </c>
      <c r="AA2136" s="32" t="n">
        <v>0</v>
      </c>
      <c r="AB2136" s="3" t="n"/>
      <c r="AC2136" s="31" t="n">
        <v>0</v>
      </c>
      <c r="AD2136" s="2" t="n">
        <v>0</v>
      </c>
      <c r="AE2136" s="2" t="n">
        <v>9</v>
      </c>
      <c r="AF2136" s="4" t="n">
        <v>9</v>
      </c>
      <c r="AG2136" s="33" t="n">
        <v>0</v>
      </c>
      <c r="AH2136" s="4" t="n">
        <v>0</v>
      </c>
      <c r="AI2136" s="34" t="n"/>
      <c r="AJ2136" s="34" t="n">
        <v>0</v>
      </c>
      <c r="AK2136" s="2" t="n">
        <v>0</v>
      </c>
      <c r="AL2136" t="inlineStr">
        <is>
          <t>Published</t>
        </is>
      </c>
    </row>
    <row r="2137">
      <c r="A2137">
        <f>HYPERLINK("https://www.walmart.com/ip/103912264", "103912264")</f>
        <v/>
      </c>
      <c r="B2137">
        <f>HYPERLINK("https://app.optiwise.ai/catalog/itemdetails/362666", "Sherpa Slipper Socks for Women,Winter Indoor Home Non Skid Booties")</f>
        <v/>
      </c>
      <c r="C2137" t="inlineStr">
        <is>
          <t>1CTST200LT-1</t>
        </is>
      </c>
      <c r="D2137" t="inlineStr">
        <is>
          <t>Clothing</t>
        </is>
      </c>
      <c r="E2137" t="inlineStr">
        <is>
          <t>Socks</t>
        </is>
      </c>
      <c r="F2137" t="inlineStr">
        <is>
          <t>Catalonia</t>
        </is>
      </c>
      <c r="G2137" t="n">
        <v>0</v>
      </c>
      <c r="H2137" t="n">
        <v>0</v>
      </c>
      <c r="I2137" t="inlineStr">
        <is>
          <t>WFS,WFS Item</t>
        </is>
      </c>
      <c r="J2137" s="29" t="n">
        <v>0</v>
      </c>
      <c r="K2137" s="30" t="n"/>
      <c r="L2137" s="29" t="n">
        <v>0</v>
      </c>
      <c r="M2137" s="29" t="n">
        <v>0</v>
      </c>
      <c r="N2137" s="2" t="n">
        <v>0</v>
      </c>
      <c r="O2137" s="31" t="n">
        <v>0</v>
      </c>
      <c r="P2137" s="32" t="n"/>
      <c r="Q2137" s="32" t="n">
        <v>0</v>
      </c>
      <c r="R2137" s="32" t="n">
        <v>0</v>
      </c>
      <c r="S2137" s="31" t="n">
        <v>0</v>
      </c>
      <c r="T2137" s="32" t="n">
        <v>0</v>
      </c>
      <c r="U2137" s="31" t="n">
        <v>0</v>
      </c>
      <c r="V2137" s="31" t="n">
        <v>0</v>
      </c>
      <c r="W2137" s="3" t="n">
        <v>0</v>
      </c>
      <c r="X2137" s="3" t="n">
        <v>0</v>
      </c>
      <c r="Y2137" s="32" t="n">
        <v>0</v>
      </c>
      <c r="Z2137" s="3" t="n">
        <v>0</v>
      </c>
      <c r="AA2137" s="32" t="n">
        <v>0</v>
      </c>
      <c r="AB2137" s="3" t="n"/>
      <c r="AC2137" s="31" t="n">
        <v>0</v>
      </c>
      <c r="AD2137" s="2" t="n">
        <v>0</v>
      </c>
      <c r="AE2137" s="2" t="n">
        <v>19</v>
      </c>
      <c r="AF2137" s="4" t="n">
        <v>19</v>
      </c>
      <c r="AG2137" s="33" t="n">
        <v>0</v>
      </c>
      <c r="AH2137" s="4" t="n">
        <v>0</v>
      </c>
      <c r="AI2137" s="34" t="n"/>
      <c r="AJ2137" s="34" t="n">
        <v>0</v>
      </c>
      <c r="AK2137" s="2" t="n">
        <v>0</v>
      </c>
      <c r="AL2137" t="inlineStr">
        <is>
          <t>Published</t>
        </is>
      </c>
    </row>
    <row r="2138">
      <c r="A2138">
        <f>HYPERLINK("https://www.walmart.com/ip/307597076", "307597076")</f>
        <v/>
      </c>
      <c r="B2138">
        <f>HYPERLINK("https://app.optiwise.ai/catalog/itemdetails/362665", "Solaris Winter Cable Knit Beanie Hats with Fur Pom Pom for Women Ski Cap")</f>
        <v/>
      </c>
      <c r="C2138" t="inlineStr">
        <is>
          <t>1SLPPH01PK</t>
        </is>
      </c>
      <c r="D2138" t="inlineStr">
        <is>
          <t>Clothing</t>
        </is>
      </c>
      <c r="E2138" t="inlineStr">
        <is>
          <t>Hats</t>
        </is>
      </c>
      <c r="F2138" t="inlineStr">
        <is>
          <t>Solaris</t>
        </is>
      </c>
      <c r="G2138" t="n">
        <v>0</v>
      </c>
      <c r="H2138" t="n">
        <v>0</v>
      </c>
      <c r="I2138" t="inlineStr">
        <is>
          <t>Batch 1 - TR</t>
        </is>
      </c>
      <c r="J2138" s="29" t="n">
        <v>0</v>
      </c>
      <c r="K2138" s="30" t="n"/>
      <c r="L2138" s="29" t="n">
        <v>0</v>
      </c>
      <c r="M2138" s="29" t="n">
        <v>0</v>
      </c>
      <c r="N2138" s="2" t="n">
        <v>0</v>
      </c>
      <c r="O2138" s="31" t="n">
        <v>0</v>
      </c>
      <c r="P2138" s="32" t="n"/>
      <c r="Q2138" s="32" t="n">
        <v>0</v>
      </c>
      <c r="R2138" s="32" t="n">
        <v>0</v>
      </c>
      <c r="S2138" s="31" t="n">
        <v>0</v>
      </c>
      <c r="T2138" s="32" t="n">
        <v>0</v>
      </c>
      <c r="U2138" s="31" t="n">
        <v>0</v>
      </c>
      <c r="V2138" s="31" t="n">
        <v>0</v>
      </c>
      <c r="W2138" s="3" t="n">
        <v>0</v>
      </c>
      <c r="X2138" s="3" t="n">
        <v>0</v>
      </c>
      <c r="Y2138" s="32" t="n">
        <v>0</v>
      </c>
      <c r="Z2138" s="3" t="n">
        <v>0</v>
      </c>
      <c r="AA2138" s="32" t="n">
        <v>0</v>
      </c>
      <c r="AB2138" s="3" t="n"/>
      <c r="AC2138" s="31" t="n">
        <v>0</v>
      </c>
      <c r="AD2138" s="2" t="n">
        <v>0</v>
      </c>
      <c r="AE2138" s="2" t="n">
        <v>1</v>
      </c>
      <c r="AF2138" s="4" t="n">
        <v>1</v>
      </c>
      <c r="AG2138" s="33" t="n">
        <v>0</v>
      </c>
      <c r="AH2138" s="4" t="n">
        <v>0</v>
      </c>
      <c r="AI2138" s="34" t="n"/>
      <c r="AJ2138" s="34" t="n">
        <v>0</v>
      </c>
      <c r="AK2138" s="2" t="n">
        <v>0</v>
      </c>
      <c r="AL2138" t="inlineStr">
        <is>
          <t>Published</t>
        </is>
      </c>
    </row>
    <row r="2139">
      <c r="A2139">
        <f>HYPERLINK("https://www.walmart.com/ip/379265869", "379265869")</f>
        <v/>
      </c>
      <c r="B2139">
        <f>HYPERLINK("https://app.optiwise.ai/catalog/itemdetails/362664", "Tirrinia Adult Hooded Poncho Towels, All-match Swim Robe 34'' × 42.5''")</f>
        <v/>
      </c>
      <c r="C2139" t="inlineStr">
        <is>
          <t>1TRBR100-GY-TB02</t>
        </is>
      </c>
      <c r="D2139" t="inlineStr">
        <is>
          <t>Clothing</t>
        </is>
      </c>
      <c r="E2139" t="inlineStr">
        <is>
          <t>Sleepwear Robes &amp; Bathrobes</t>
        </is>
      </c>
      <c r="F2139" t="inlineStr">
        <is>
          <t>Tirrinia</t>
        </is>
      </c>
      <c r="G2139" t="n">
        <v>5</v>
      </c>
      <c r="H2139" t="n">
        <v>1</v>
      </c>
      <c r="I2139" t="inlineStr">
        <is>
          <t>Batch 1 - TR</t>
        </is>
      </c>
      <c r="J2139" s="29" t="n">
        <v>0</v>
      </c>
      <c r="K2139" s="30" t="n"/>
      <c r="L2139" s="29" t="n">
        <v>0</v>
      </c>
      <c r="M2139" s="29" t="n">
        <v>0</v>
      </c>
      <c r="N2139" s="2" t="n">
        <v>0</v>
      </c>
      <c r="O2139" s="31" t="n">
        <v>0</v>
      </c>
      <c r="P2139" s="32" t="n"/>
      <c r="Q2139" s="32" t="n">
        <v>0</v>
      </c>
      <c r="R2139" s="32" t="n">
        <v>0</v>
      </c>
      <c r="S2139" s="31" t="n">
        <v>0</v>
      </c>
      <c r="T2139" s="32" t="n">
        <v>0</v>
      </c>
      <c r="U2139" s="31" t="n">
        <v>0</v>
      </c>
      <c r="V2139" s="31" t="n">
        <v>0</v>
      </c>
      <c r="W2139" s="3" t="n">
        <v>0</v>
      </c>
      <c r="X2139" s="3" t="n">
        <v>0</v>
      </c>
      <c r="Y2139" s="32" t="n">
        <v>0</v>
      </c>
      <c r="Z2139" s="3" t="n">
        <v>0</v>
      </c>
      <c r="AA2139" s="32" t="n">
        <v>0</v>
      </c>
      <c r="AB2139" s="3" t="n"/>
      <c r="AC2139" s="31" t="n">
        <v>0</v>
      </c>
      <c r="AD2139" s="2" t="n">
        <v>0</v>
      </c>
      <c r="AE2139" s="2" t="n">
        <v>8</v>
      </c>
      <c r="AF2139" s="4" t="n">
        <v>8</v>
      </c>
      <c r="AG2139" s="33" t="n">
        <v>0</v>
      </c>
      <c r="AH2139" s="4" t="n">
        <v>0</v>
      </c>
      <c r="AI2139" s="34" t="n"/>
      <c r="AJ2139" s="34" t="n">
        <v>0</v>
      </c>
      <c r="AK2139" s="2" t="n">
        <v>0</v>
      </c>
      <c r="AL2139" t="inlineStr">
        <is>
          <t>Published</t>
        </is>
      </c>
    </row>
    <row r="2140">
      <c r="A2140">
        <f>HYPERLINK("https://www.walmart.com/ip/378413727", "378413727")</f>
        <v/>
      </c>
      <c r="B2140">
        <f>HYPERLINK("https://app.optiwise.ai/catalog/itemdetails/362660", "Light up Sequin Fedora LED Hat Neon Rave Costumes Glow in Dark Party")</f>
        <v/>
      </c>
      <c r="C2140" t="inlineStr">
        <is>
          <t>SLLEDHATBL</t>
        </is>
      </c>
      <c r="D2140" t="inlineStr">
        <is>
          <t>Decorations &amp; Favors</t>
        </is>
      </c>
      <c r="E2140" t="inlineStr">
        <is>
          <t>Party Hats</t>
        </is>
      </c>
      <c r="F2140" t="inlineStr">
        <is>
          <t>Solaris</t>
        </is>
      </c>
      <c r="G2140" t="n">
        <v>0</v>
      </c>
      <c r="H2140" t="n">
        <v>0</v>
      </c>
      <c r="I2140" t="inlineStr">
        <is>
          <t>Optimized,Halloween</t>
        </is>
      </c>
      <c r="J2140" s="29" t="n">
        <v>0</v>
      </c>
      <c r="K2140" s="30" t="n"/>
      <c r="L2140" s="29" t="n">
        <v>0</v>
      </c>
      <c r="M2140" s="29" t="n">
        <v>0</v>
      </c>
      <c r="N2140" s="2" t="n">
        <v>0</v>
      </c>
      <c r="O2140" s="31" t="n">
        <v>0</v>
      </c>
      <c r="P2140" s="32" t="n"/>
      <c r="Q2140" s="32" t="n">
        <v>0</v>
      </c>
      <c r="R2140" s="32" t="n">
        <v>0</v>
      </c>
      <c r="S2140" s="31" t="n">
        <v>0</v>
      </c>
      <c r="T2140" s="32" t="n">
        <v>0</v>
      </c>
      <c r="U2140" s="31" t="n">
        <v>0</v>
      </c>
      <c r="V2140" s="31" t="n">
        <v>0</v>
      </c>
      <c r="W2140" s="3" t="n">
        <v>0</v>
      </c>
      <c r="X2140" s="3" t="n">
        <v>0</v>
      </c>
      <c r="Y2140" s="32" t="n">
        <v>0</v>
      </c>
      <c r="Z2140" s="3" t="n">
        <v>0</v>
      </c>
      <c r="AA2140" s="32" t="n">
        <v>0</v>
      </c>
      <c r="AB2140" s="3" t="n"/>
      <c r="AC2140" s="31" t="n">
        <v>0</v>
      </c>
      <c r="AD2140" s="2" t="n">
        <v>0</v>
      </c>
      <c r="AE2140" s="2" t="n">
        <v>2</v>
      </c>
      <c r="AF2140" s="4" t="n">
        <v>2</v>
      </c>
      <c r="AG2140" s="33" t="n">
        <v>0</v>
      </c>
      <c r="AH2140" s="4" t="n">
        <v>0</v>
      </c>
      <c r="AI2140" s="34" t="n"/>
      <c r="AJ2140" s="34" t="n">
        <v>0</v>
      </c>
      <c r="AK2140" s="2" t="n">
        <v>0</v>
      </c>
      <c r="AL2140" t="inlineStr">
        <is>
          <t>Published</t>
        </is>
      </c>
    </row>
    <row r="2141">
      <c r="A2141">
        <f>HYPERLINK("https://www.walmart.com/ip/334797693", "334797693")</f>
        <v/>
      </c>
      <c r="B2141">
        <f>HYPERLINK("https://app.optiwise.ai/catalog/itemdetails/362658", "Flyingstar Wearable Blanket with Sleeves and Pocket, Fleece Micro Plush Throws Blanket, Robe for Women and Men 73” x 51” Pink")</f>
        <v/>
      </c>
      <c r="C2141" t="inlineStr">
        <is>
          <t>1WMSN100PK</t>
        </is>
      </c>
      <c r="D2141" t="inlineStr">
        <is>
          <t>Bedding</t>
        </is>
      </c>
      <c r="E2141" t="inlineStr">
        <is>
          <t>Throws</t>
        </is>
      </c>
      <c r="F2141" t="inlineStr">
        <is>
          <t>Flyingstar</t>
        </is>
      </c>
      <c r="G2141" t="n">
        <v>5</v>
      </c>
      <c r="H2141" t="n">
        <v>1</v>
      </c>
      <c r="I2141" t="inlineStr">
        <is>
          <t>Batch 1 - TR</t>
        </is>
      </c>
      <c r="J2141" s="29" t="n">
        <v>0</v>
      </c>
      <c r="K2141" s="30" t="n"/>
      <c r="L2141" s="29" t="n">
        <v>0</v>
      </c>
      <c r="M2141" s="29" t="n">
        <v>0</v>
      </c>
      <c r="N2141" s="2" t="n">
        <v>0</v>
      </c>
      <c r="O2141" s="31" t="n">
        <v>0</v>
      </c>
      <c r="P2141" s="32" t="n"/>
      <c r="Q2141" s="32" t="n">
        <v>0</v>
      </c>
      <c r="R2141" s="32" t="n">
        <v>0</v>
      </c>
      <c r="S2141" s="31" t="n">
        <v>0</v>
      </c>
      <c r="T2141" s="32" t="n">
        <v>0</v>
      </c>
      <c r="U2141" s="31" t="n">
        <v>0</v>
      </c>
      <c r="V2141" s="31" t="n">
        <v>0</v>
      </c>
      <c r="W2141" s="3" t="n">
        <v>0</v>
      </c>
      <c r="X2141" s="3" t="n">
        <v>0</v>
      </c>
      <c r="Y2141" s="32" t="n">
        <v>0</v>
      </c>
      <c r="Z2141" s="3" t="n">
        <v>0</v>
      </c>
      <c r="AA2141" s="32" t="n">
        <v>0</v>
      </c>
      <c r="AB2141" s="3" t="n"/>
      <c r="AC2141" s="31" t="n">
        <v>0</v>
      </c>
      <c r="AD2141" s="2" t="n">
        <v>0</v>
      </c>
      <c r="AE2141" s="2" t="n">
        <v>0</v>
      </c>
      <c r="AF2141" s="4" t="n">
        <v>0</v>
      </c>
      <c r="AG2141" s="33" t="n">
        <v>0</v>
      </c>
      <c r="AH2141" s="4" t="n">
        <v>0</v>
      </c>
      <c r="AI2141" s="34" t="n"/>
      <c r="AJ2141" s="34" t="n">
        <v>0</v>
      </c>
      <c r="AK2141" s="2" t="n">
        <v>0</v>
      </c>
      <c r="AL2141" t="inlineStr">
        <is>
          <t>Published</t>
        </is>
      </c>
    </row>
    <row r="2142">
      <c r="A2142">
        <f>HYPERLINK("https://www.walmart.com/ip/110966533", "110966533")</f>
        <v/>
      </c>
      <c r="B2142">
        <f>HYPERLINK("https://app.optiwise.ai/catalog/itemdetails/362657", "KC Caps® Unstructured Low-profile Two-Tone Denim Garment Washed Baseball Cap")</f>
        <v/>
      </c>
      <c r="C2142" t="inlineStr">
        <is>
          <t>KC8080JEANGY</t>
        </is>
      </c>
      <c r="D2142" t="inlineStr">
        <is>
          <t>Clothing</t>
        </is>
      </c>
      <c r="E2142" t="inlineStr">
        <is>
          <t>Hats</t>
        </is>
      </c>
      <c r="F2142" t="inlineStr">
        <is>
          <t>KC Caps</t>
        </is>
      </c>
      <c r="G2142" t="n">
        <v>0</v>
      </c>
      <c r="H2142" t="n">
        <v>0</v>
      </c>
      <c r="I2142" t="inlineStr">
        <is>
          <t>Optimized</t>
        </is>
      </c>
      <c r="J2142" s="29" t="n">
        <v>0</v>
      </c>
      <c r="K2142" s="30" t="n"/>
      <c r="L2142" s="29" t="n">
        <v>0</v>
      </c>
      <c r="M2142" s="29" t="n">
        <v>0</v>
      </c>
      <c r="N2142" s="2" t="n">
        <v>0</v>
      </c>
      <c r="O2142" s="31" t="n">
        <v>0</v>
      </c>
      <c r="P2142" s="32" t="n"/>
      <c r="Q2142" s="32" t="n">
        <v>0</v>
      </c>
      <c r="R2142" s="32" t="n">
        <v>0</v>
      </c>
      <c r="S2142" s="31" t="n">
        <v>0</v>
      </c>
      <c r="T2142" s="32" t="n">
        <v>0</v>
      </c>
      <c r="U2142" s="31" t="n">
        <v>0</v>
      </c>
      <c r="V2142" s="31" t="n">
        <v>0</v>
      </c>
      <c r="W2142" s="3" t="n">
        <v>0</v>
      </c>
      <c r="X2142" s="3" t="n">
        <v>0</v>
      </c>
      <c r="Y2142" s="32" t="n">
        <v>0</v>
      </c>
      <c r="Z2142" s="3" t="n">
        <v>0</v>
      </c>
      <c r="AA2142" s="32" t="n">
        <v>0</v>
      </c>
      <c r="AB2142" s="3" t="n"/>
      <c r="AC2142" s="31" t="n">
        <v>0</v>
      </c>
      <c r="AD2142" s="2" t="n">
        <v>0</v>
      </c>
      <c r="AE2142" s="2" t="n">
        <v>5</v>
      </c>
      <c r="AF2142" s="4" t="n">
        <v>5</v>
      </c>
      <c r="AG2142" s="33" t="n">
        <v>0</v>
      </c>
      <c r="AH2142" s="4" t="n">
        <v>0</v>
      </c>
      <c r="AI2142" s="34" t="n"/>
      <c r="AJ2142" s="34" t="n">
        <v>0</v>
      </c>
      <c r="AK2142" s="2" t="n">
        <v>0</v>
      </c>
      <c r="AL2142" t="inlineStr">
        <is>
          <t>Published</t>
        </is>
      </c>
    </row>
    <row r="2143">
      <c r="A2143">
        <f>HYPERLINK("https://www.walmart.com/ip/318886437", "318886437")</f>
        <v/>
      </c>
      <c r="B2143">
        <f>HYPERLINK("https://app.optiwise.ai/catalog/itemdetails/362652", "Tirrina Unisex Outdoor Sun Protection Fishing Cap with Neck Flap Wide Brim Mesh Hat for Travel Camping Hiking Hunting")</f>
        <v/>
      </c>
      <c r="C2143" t="inlineStr">
        <is>
          <t>1WMSH910GY</t>
        </is>
      </c>
      <c r="D2143" t="inlineStr">
        <is>
          <t>Clothing</t>
        </is>
      </c>
      <c r="E2143" t="inlineStr">
        <is>
          <t>Hats</t>
        </is>
      </c>
      <c r="F2143" t="inlineStr">
        <is>
          <t>Tirrinia</t>
        </is>
      </c>
      <c r="G2143" t="n">
        <v>0</v>
      </c>
      <c r="H2143" t="n">
        <v>0</v>
      </c>
      <c r="I2143" t="inlineStr">
        <is>
          <t>Optimized</t>
        </is>
      </c>
      <c r="J2143" s="29" t="n">
        <v>0</v>
      </c>
      <c r="K2143" s="30" t="n"/>
      <c r="L2143" s="29" t="n">
        <v>0</v>
      </c>
      <c r="M2143" s="29" t="n">
        <v>0</v>
      </c>
      <c r="N2143" s="2" t="n">
        <v>0</v>
      </c>
      <c r="O2143" s="31" t="n">
        <v>0</v>
      </c>
      <c r="P2143" s="32" t="n"/>
      <c r="Q2143" s="32" t="n">
        <v>0</v>
      </c>
      <c r="R2143" s="32" t="n">
        <v>0</v>
      </c>
      <c r="S2143" s="31" t="n">
        <v>0</v>
      </c>
      <c r="T2143" s="32" t="n">
        <v>0</v>
      </c>
      <c r="U2143" s="31" t="n">
        <v>0</v>
      </c>
      <c r="V2143" s="31" t="n">
        <v>0</v>
      </c>
      <c r="W2143" s="3" t="n">
        <v>0</v>
      </c>
      <c r="X2143" s="3" t="n">
        <v>0</v>
      </c>
      <c r="Y2143" s="32" t="n">
        <v>0</v>
      </c>
      <c r="Z2143" s="3" t="n">
        <v>0</v>
      </c>
      <c r="AA2143" s="32" t="n">
        <v>0</v>
      </c>
      <c r="AB2143" s="3" t="n"/>
      <c r="AC2143" s="31" t="n">
        <v>0</v>
      </c>
      <c r="AD2143" s="2" t="n">
        <v>0</v>
      </c>
      <c r="AE2143" s="2" t="n">
        <v>17</v>
      </c>
      <c r="AF2143" s="4" t="n">
        <v>17</v>
      </c>
      <c r="AG2143" s="33" t="n">
        <v>0</v>
      </c>
      <c r="AH2143" s="4" t="n">
        <v>0</v>
      </c>
      <c r="AI2143" s="34" t="n"/>
      <c r="AJ2143" s="34" t="n">
        <v>0</v>
      </c>
      <c r="AK2143" s="2" t="n">
        <v>0</v>
      </c>
      <c r="AL2143" t="inlineStr">
        <is>
          <t>Published</t>
        </is>
      </c>
    </row>
    <row r="2144">
      <c r="A2144">
        <f>HYPERLINK("https://www.walmart.com/ip/520009811", "520009811")</f>
        <v/>
      </c>
      <c r="B2144">
        <f>HYPERLINK("https://app.optiwise.ai/catalog/itemdetails/362650", "Mens Underwear Mens Boxer Briefs with Elastic Waistband Solid New Classic Fit, 3 Pack by Terra")</f>
        <v/>
      </c>
      <c r="C2144" t="inlineStr">
        <is>
          <t>TERRA-BOXER5-M</t>
        </is>
      </c>
      <c r="D2144" t="inlineStr">
        <is>
          <t>Clothing</t>
        </is>
      </c>
      <c r="E2144" t="inlineStr">
        <is>
          <t>Underpants</t>
        </is>
      </c>
      <c r="F2144" t="inlineStr">
        <is>
          <t>Terra</t>
        </is>
      </c>
      <c r="G2144" t="n">
        <v>0</v>
      </c>
      <c r="H2144" t="n">
        <v>0</v>
      </c>
      <c r="I2144" t="inlineStr">
        <is>
          <t>Batch 1 - TR</t>
        </is>
      </c>
      <c r="J2144" s="29" t="n">
        <v>0</v>
      </c>
      <c r="K2144" s="30" t="n"/>
      <c r="L2144" s="29" t="n">
        <v>0</v>
      </c>
      <c r="M2144" s="29" t="n">
        <v>0</v>
      </c>
      <c r="N2144" s="2" t="n">
        <v>0</v>
      </c>
      <c r="O2144" s="31" t="n">
        <v>0</v>
      </c>
      <c r="P2144" s="32" t="n"/>
      <c r="Q2144" s="32" t="n">
        <v>0</v>
      </c>
      <c r="R2144" s="32" t="n">
        <v>0</v>
      </c>
      <c r="S2144" s="31" t="n">
        <v>0</v>
      </c>
      <c r="T2144" s="32" t="n">
        <v>0</v>
      </c>
      <c r="U2144" s="31" t="n">
        <v>0</v>
      </c>
      <c r="V2144" s="31" t="n">
        <v>0</v>
      </c>
      <c r="W2144" s="3" t="n">
        <v>0</v>
      </c>
      <c r="X2144" s="3" t="n">
        <v>0</v>
      </c>
      <c r="Y2144" s="32" t="n">
        <v>0</v>
      </c>
      <c r="Z2144" s="3" t="n">
        <v>0</v>
      </c>
      <c r="AA2144" s="32" t="n">
        <v>0</v>
      </c>
      <c r="AB2144" s="3" t="n"/>
      <c r="AC2144" s="31" t="n">
        <v>0</v>
      </c>
      <c r="AD2144" s="2" t="n">
        <v>0</v>
      </c>
      <c r="AE2144" s="2" t="n">
        <v>5</v>
      </c>
      <c r="AF2144" s="4" t="n">
        <v>5</v>
      </c>
      <c r="AG2144" s="33" t="n">
        <v>0</v>
      </c>
      <c r="AH2144" s="4" t="n">
        <v>0</v>
      </c>
      <c r="AI2144" s="34" t="n"/>
      <c r="AJ2144" s="34" t="n">
        <v>0</v>
      </c>
      <c r="AK2144" s="2" t="n">
        <v>0</v>
      </c>
      <c r="AL2144" t="inlineStr">
        <is>
          <t>Published</t>
        </is>
      </c>
    </row>
    <row r="2145">
      <c r="A2145">
        <f>HYPERLINK("https://www.walmart.com/ip/379155751", "379155751")</f>
        <v/>
      </c>
      <c r="B2145">
        <f>HYPERLINK("https://app.optiwise.ai/catalog/itemdetails/362649", "Tirrinia Wine Cooler bag - 3 Bottle Travel Insulated Padded Wine Carrier Tote Bag with Handle and Adjustable Shoulder Strap + Free Corkscrew, Blue")</f>
        <v/>
      </c>
      <c r="C2145" t="inlineStr">
        <is>
          <t>1WMWB300BL</t>
        </is>
      </c>
      <c r="D2145" t="inlineStr">
        <is>
          <t>Home Decor, Kitchen, &amp; Other</t>
        </is>
      </c>
      <c r="E2145" t="inlineStr">
        <is>
          <t>Wine Totes, Bags &amp; Backpacks</t>
        </is>
      </c>
      <c r="F2145" t="inlineStr">
        <is>
          <t>Flyingstar</t>
        </is>
      </c>
      <c r="G2145" t="n">
        <v>0</v>
      </c>
      <c r="H2145" t="n">
        <v>0</v>
      </c>
      <c r="I2145" t="inlineStr">
        <is>
          <t>Wine,Christmas,Valentine</t>
        </is>
      </c>
      <c r="J2145" s="29" t="n">
        <v>0</v>
      </c>
      <c r="K2145" s="30" t="n"/>
      <c r="L2145" s="29" t="n">
        <v>0</v>
      </c>
      <c r="M2145" s="29" t="n">
        <v>0</v>
      </c>
      <c r="N2145" s="2" t="n">
        <v>0</v>
      </c>
      <c r="O2145" s="31" t="n">
        <v>0</v>
      </c>
      <c r="P2145" s="32" t="n"/>
      <c r="Q2145" s="32" t="n">
        <v>0</v>
      </c>
      <c r="R2145" s="32" t="n">
        <v>0</v>
      </c>
      <c r="S2145" s="31" t="n">
        <v>0</v>
      </c>
      <c r="T2145" s="32" t="n">
        <v>0</v>
      </c>
      <c r="U2145" s="31" t="n">
        <v>0</v>
      </c>
      <c r="V2145" s="31" t="n">
        <v>0</v>
      </c>
      <c r="W2145" s="3" t="n">
        <v>0</v>
      </c>
      <c r="X2145" s="3" t="n">
        <v>0</v>
      </c>
      <c r="Y2145" s="32" t="n">
        <v>0</v>
      </c>
      <c r="Z2145" s="3" t="n">
        <v>0</v>
      </c>
      <c r="AA2145" s="32" t="n">
        <v>0</v>
      </c>
      <c r="AB2145" s="3" t="n"/>
      <c r="AC2145" s="31" t="n">
        <v>0</v>
      </c>
      <c r="AD2145" s="2" t="n">
        <v>0</v>
      </c>
      <c r="AE2145" s="2" t="n">
        <v>12</v>
      </c>
      <c r="AF2145" s="4" t="n">
        <v>12</v>
      </c>
      <c r="AG2145" s="33" t="n">
        <v>0</v>
      </c>
      <c r="AH2145" s="4" t="n">
        <v>0</v>
      </c>
      <c r="AI2145" s="34" t="n"/>
      <c r="AJ2145" s="34" t="n">
        <v>0</v>
      </c>
      <c r="AK2145" s="2" t="n">
        <v>0</v>
      </c>
      <c r="AL2145" t="inlineStr">
        <is>
          <t>Published</t>
        </is>
      </c>
    </row>
    <row r="2146">
      <c r="A2146">
        <f>HYPERLINK("https://www.walmart.com/ip/166402793", "166402793")</f>
        <v/>
      </c>
      <c r="B2146">
        <f>HYPERLINK("https://app.optiwise.ai/catalog/itemdetails/362647", "JenniWears Womens Crotchless Strappy Shoulder Fishnet Chemise Dress")</f>
        <v/>
      </c>
      <c r="C2146" t="inlineStr">
        <is>
          <t>JWBS8831</t>
        </is>
      </c>
      <c r="D2146" t="inlineStr">
        <is>
          <t>Clothing</t>
        </is>
      </c>
      <c r="E2146" t="inlineStr">
        <is>
          <t>Other Underwear &amp; Lingerie Accessories</t>
        </is>
      </c>
      <c r="F2146" t="inlineStr">
        <is>
          <t>JenniWears</t>
        </is>
      </c>
      <c r="G2146" t="n">
        <v>0</v>
      </c>
      <c r="H2146" t="n">
        <v>0</v>
      </c>
      <c r="I2146" t="inlineStr">
        <is>
          <t>Valentine</t>
        </is>
      </c>
      <c r="J2146" s="29" t="n">
        <v>0</v>
      </c>
      <c r="K2146" s="30" t="n"/>
      <c r="L2146" s="29" t="n">
        <v>0</v>
      </c>
      <c r="M2146" s="29" t="n">
        <v>0</v>
      </c>
      <c r="N2146" s="2" t="n">
        <v>0</v>
      </c>
      <c r="O2146" s="31" t="n">
        <v>0</v>
      </c>
      <c r="P2146" s="32" t="n"/>
      <c r="Q2146" s="32" t="n">
        <v>0</v>
      </c>
      <c r="R2146" s="32" t="n">
        <v>0</v>
      </c>
      <c r="S2146" s="31" t="n">
        <v>0</v>
      </c>
      <c r="T2146" s="32" t="n">
        <v>0</v>
      </c>
      <c r="U2146" s="31" t="n">
        <v>0</v>
      </c>
      <c r="V2146" s="31" t="n">
        <v>0</v>
      </c>
      <c r="W2146" s="3" t="n">
        <v>0</v>
      </c>
      <c r="X2146" s="3" t="n">
        <v>0</v>
      </c>
      <c r="Y2146" s="32" t="n">
        <v>0</v>
      </c>
      <c r="Z2146" s="3" t="n">
        <v>0</v>
      </c>
      <c r="AA2146" s="32" t="n">
        <v>0</v>
      </c>
      <c r="AB2146" s="3" t="n"/>
      <c r="AC2146" s="31" t="n">
        <v>0</v>
      </c>
      <c r="AD2146" s="2" t="n">
        <v>0</v>
      </c>
      <c r="AE2146" s="2" t="n">
        <v>31</v>
      </c>
      <c r="AF2146" s="4" t="n">
        <v>31</v>
      </c>
      <c r="AG2146" s="33" t="n">
        <v>0</v>
      </c>
      <c r="AH2146" s="4" t="n">
        <v>0</v>
      </c>
      <c r="AI2146" s="34" t="n"/>
      <c r="AJ2146" s="34" t="n">
        <v>0</v>
      </c>
      <c r="AK2146" s="2" t="n">
        <v>0</v>
      </c>
      <c r="AL2146" t="inlineStr">
        <is>
          <t>Published</t>
        </is>
      </c>
    </row>
    <row r="2147">
      <c r="A2147">
        <f>HYPERLINK("https://www.walmart.com/ip/420029764", "420029764")</f>
        <v/>
      </c>
      <c r="B2147">
        <f>HYPERLINK("https://app.optiwise.ai/catalog/itemdetails/362175", "Catalonia Sherpa Wearable Blanket Poncho for Adult Women Men, Wrap Blanket Cape with Pocket, Warm, Soft, Cozy, Snuggly, Comfort Gift, No Sleeves, Purple")</f>
        <v/>
      </c>
      <c r="C2147" t="inlineStr">
        <is>
          <t>1CTBP110PP</t>
        </is>
      </c>
      <c r="D2147" t="inlineStr">
        <is>
          <t>Clothing</t>
        </is>
      </c>
      <c r="E2147" t="inlineStr">
        <is>
          <t>Throws</t>
        </is>
      </c>
      <c r="F2147" t="inlineStr">
        <is>
          <t>Catalonia</t>
        </is>
      </c>
      <c r="G2147" t="n">
        <v>4.7</v>
      </c>
      <c r="H2147" t="n">
        <v>0</v>
      </c>
      <c r="I2147" t="inlineStr">
        <is>
          <t>Hero 5 Holidays,Batch 1 - TR</t>
        </is>
      </c>
      <c r="J2147" s="29" t="n">
        <v>0</v>
      </c>
      <c r="K2147" s="30" t="n"/>
      <c r="L2147" s="29" t="n">
        <v>0</v>
      </c>
      <c r="M2147" s="29" t="n">
        <v>0</v>
      </c>
      <c r="N2147" s="2" t="n">
        <v>0</v>
      </c>
      <c r="O2147" s="31" t="n">
        <v>0</v>
      </c>
      <c r="P2147" s="32" t="n"/>
      <c r="Q2147" s="32" t="n">
        <v>0</v>
      </c>
      <c r="R2147" s="32" t="n">
        <v>0</v>
      </c>
      <c r="S2147" s="31" t="n">
        <v>0</v>
      </c>
      <c r="T2147" s="32" t="n">
        <v>0</v>
      </c>
      <c r="U2147" s="31" t="n">
        <v>0</v>
      </c>
      <c r="V2147" s="31" t="n">
        <v>0</v>
      </c>
      <c r="W2147" s="3" t="n">
        <v>1</v>
      </c>
      <c r="X2147" s="3" t="n">
        <v>0</v>
      </c>
      <c r="Y2147" s="32" t="n">
        <v>0</v>
      </c>
      <c r="Z2147" s="3" t="n">
        <v>0</v>
      </c>
      <c r="AA2147" s="32" t="n">
        <v>0</v>
      </c>
      <c r="AB2147" s="3" t="inlineStr">
        <is>
          <t>Snuggly_Auto</t>
        </is>
      </c>
      <c r="AC2147" s="31" t="n">
        <v>0</v>
      </c>
      <c r="AD2147" s="2" t="n">
        <v>0</v>
      </c>
      <c r="AE2147" s="2" t="n">
        <v>21</v>
      </c>
      <c r="AF2147" s="4" t="n">
        <v>21</v>
      </c>
      <c r="AG2147" s="33" t="n">
        <v>0</v>
      </c>
      <c r="AH2147" s="4" t="n">
        <v>0</v>
      </c>
      <c r="AI2147" s="34" t="n"/>
      <c r="AJ2147" s="34" t="n">
        <v>0</v>
      </c>
      <c r="AK2147" s="2" t="n">
        <v>0</v>
      </c>
      <c r="AL2147" t="inlineStr">
        <is>
          <t>Published</t>
        </is>
      </c>
    </row>
    <row r="2148">
      <c r="A2148">
        <f>HYPERLINK("https://www.walmart.com/ip/138313307", "138313307")</f>
        <v/>
      </c>
      <c r="B2148">
        <f>HYPERLINK("https://app.optiwise.ai/catalog/itemdetails/362186", "Tirrinia Snow Micro Fleece Sherpa Plush Bed Throw TV Blanket 50” x 60”")</f>
        <v/>
      </c>
      <c r="C2148" t="inlineStr">
        <is>
          <t>1TRBF321WN-TBGM</t>
        </is>
      </c>
      <c r="D2148" t="inlineStr">
        <is>
          <t>Bedding</t>
        </is>
      </c>
      <c r="E2148" t="inlineStr">
        <is>
          <t>Throws</t>
        </is>
      </c>
      <c r="F2148" t="inlineStr">
        <is>
          <t>Tirrinia</t>
        </is>
      </c>
      <c r="G2148" t="n">
        <v>5</v>
      </c>
      <c r="H2148" t="n">
        <v>1</v>
      </c>
      <c r="I2148" t="inlineStr">
        <is>
          <t>Batch 1 - TR</t>
        </is>
      </c>
      <c r="J2148" s="29" t="n">
        <v>0</v>
      </c>
      <c r="K2148" s="30" t="n"/>
      <c r="L2148" s="29" t="n">
        <v>0</v>
      </c>
      <c r="M2148" s="29" t="n">
        <v>0</v>
      </c>
      <c r="N2148" s="2" t="n">
        <v>0</v>
      </c>
      <c r="O2148" s="31" t="n">
        <v>0</v>
      </c>
      <c r="P2148" s="32" t="n"/>
      <c r="Q2148" s="32" t="n">
        <v>0</v>
      </c>
      <c r="R2148" s="32" t="n">
        <v>0</v>
      </c>
      <c r="S2148" s="31" t="n">
        <v>0</v>
      </c>
      <c r="T2148" s="32" t="n">
        <v>0</v>
      </c>
      <c r="U2148" s="31" t="n">
        <v>0</v>
      </c>
      <c r="V2148" s="31" t="n">
        <v>0</v>
      </c>
      <c r="W2148" s="3" t="n">
        <v>0</v>
      </c>
      <c r="X2148" s="3" t="n">
        <v>0</v>
      </c>
      <c r="Y2148" s="32" t="n">
        <v>0</v>
      </c>
      <c r="Z2148" s="3" t="n">
        <v>0</v>
      </c>
      <c r="AA2148" s="32" t="n">
        <v>0</v>
      </c>
      <c r="AB2148" s="3" t="n"/>
      <c r="AC2148" s="31" t="n">
        <v>0</v>
      </c>
      <c r="AD2148" s="2" t="n">
        <v>0</v>
      </c>
      <c r="AE2148" s="2" t="n">
        <v>2</v>
      </c>
      <c r="AF2148" s="4" t="n">
        <v>2</v>
      </c>
      <c r="AG2148" s="33" t="n">
        <v>0</v>
      </c>
      <c r="AH2148" s="4" t="n">
        <v>0</v>
      </c>
      <c r="AI2148" s="34" t="n"/>
      <c r="AJ2148" s="34" t="n">
        <v>0</v>
      </c>
      <c r="AK2148" s="2" t="n">
        <v>0</v>
      </c>
      <c r="AL2148" t="inlineStr">
        <is>
          <t>Published</t>
        </is>
      </c>
    </row>
    <row r="2149">
      <c r="A2149">
        <f>HYPERLINK("https://www.walmart.com/ip/816832569", "816832569")</f>
        <v/>
      </c>
      <c r="B2149">
        <f>HYPERLINK("https://app.optiwise.ai/catalog/itemdetails/362164", "Jennis Women's Plue Size Flower laced Sexy Babydoll")</f>
        <v/>
      </c>
      <c r="C2149" t="inlineStr">
        <is>
          <t>JWBD05PP-3XL</t>
        </is>
      </c>
      <c r="D2149" t="inlineStr">
        <is>
          <t>Clothing</t>
        </is>
      </c>
      <c r="E2149" t="inlineStr">
        <is>
          <t>Lingerie Sets</t>
        </is>
      </c>
      <c r="F2149" t="inlineStr">
        <is>
          <t>JenniWears</t>
        </is>
      </c>
      <c r="G2149" t="n">
        <v>0</v>
      </c>
      <c r="H2149" t="n">
        <v>0</v>
      </c>
      <c r="I2149" t="inlineStr">
        <is>
          <t>Valentine</t>
        </is>
      </c>
      <c r="J2149" s="29" t="n">
        <v>0</v>
      </c>
      <c r="K2149" s="30" t="n"/>
      <c r="L2149" s="29" t="n">
        <v>0</v>
      </c>
      <c r="M2149" s="29" t="n">
        <v>0</v>
      </c>
      <c r="N2149" s="2" t="n">
        <v>0</v>
      </c>
      <c r="O2149" s="31" t="n">
        <v>0</v>
      </c>
      <c r="P2149" s="32" t="n"/>
      <c r="Q2149" s="32" t="n">
        <v>0</v>
      </c>
      <c r="R2149" s="32" t="n">
        <v>0</v>
      </c>
      <c r="S2149" s="31" t="n">
        <v>0</v>
      </c>
      <c r="T2149" s="32" t="n">
        <v>0</v>
      </c>
      <c r="U2149" s="31" t="n">
        <v>0</v>
      </c>
      <c r="V2149" s="31" t="n">
        <v>0</v>
      </c>
      <c r="W2149" s="3" t="n">
        <v>0</v>
      </c>
      <c r="X2149" s="3" t="n">
        <v>0</v>
      </c>
      <c r="Y2149" s="32" t="n">
        <v>0</v>
      </c>
      <c r="Z2149" s="3" t="n">
        <v>0</v>
      </c>
      <c r="AA2149" s="32" t="n">
        <v>0</v>
      </c>
      <c r="AB2149" s="3" t="n"/>
      <c r="AC2149" s="31" t="n">
        <v>0</v>
      </c>
      <c r="AD2149" s="2" t="n">
        <v>0</v>
      </c>
      <c r="AE2149" s="2" t="n">
        <v>12</v>
      </c>
      <c r="AF2149" s="4" t="n">
        <v>12</v>
      </c>
      <c r="AG2149" s="33" t="n">
        <v>0</v>
      </c>
      <c r="AH2149" s="4" t="n">
        <v>0</v>
      </c>
      <c r="AI2149" s="34" t="n"/>
      <c r="AJ2149" s="34" t="n">
        <v>0</v>
      </c>
      <c r="AK2149" s="2" t="n">
        <v>0</v>
      </c>
      <c r="AL2149" t="inlineStr">
        <is>
          <t>Published</t>
        </is>
      </c>
    </row>
    <row r="2150">
      <c r="A2150">
        <f>HYPERLINK("https://www.walmart.com/ip/123911100", "123911100")</f>
        <v/>
      </c>
      <c r="B2150">
        <f>HYPERLINK("https://app.optiwise.ai/catalog/itemdetails/361822", "Male Female Adjustable Buckle Closure USA Flag Embroidered Cap")</f>
        <v/>
      </c>
      <c r="C2150" t="inlineStr">
        <is>
          <t>kc-ae8010-wt</t>
        </is>
      </c>
      <c r="D2150" t="inlineStr">
        <is>
          <t>Clothing</t>
        </is>
      </c>
      <c r="E2150" t="inlineStr">
        <is>
          <t>Hats</t>
        </is>
      </c>
      <c r="F2150" t="inlineStr">
        <is>
          <t>KC Caps</t>
        </is>
      </c>
      <c r="G2150" t="n">
        <v>0</v>
      </c>
      <c r="H2150" t="n">
        <v>0</v>
      </c>
      <c r="I2150" t="inlineStr">
        <is>
          <t>Optimized</t>
        </is>
      </c>
      <c r="J2150" s="29" t="n">
        <v>0</v>
      </c>
      <c r="K2150" s="30" t="n"/>
      <c r="L2150" s="29" t="n">
        <v>0</v>
      </c>
      <c r="M2150" s="29" t="n">
        <v>0</v>
      </c>
      <c r="N2150" s="2" t="n">
        <v>0</v>
      </c>
      <c r="O2150" s="31" t="n">
        <v>0</v>
      </c>
      <c r="P2150" s="32" t="n"/>
      <c r="Q2150" s="32" t="n">
        <v>0</v>
      </c>
      <c r="R2150" s="32" t="n">
        <v>0</v>
      </c>
      <c r="S2150" s="31" t="n">
        <v>0</v>
      </c>
      <c r="T2150" s="32" t="n">
        <v>0</v>
      </c>
      <c r="U2150" s="31" t="n">
        <v>0</v>
      </c>
      <c r="V2150" s="31" t="n">
        <v>0</v>
      </c>
      <c r="W2150" s="3" t="n">
        <v>0</v>
      </c>
      <c r="X2150" s="3" t="n">
        <v>0</v>
      </c>
      <c r="Y2150" s="32" t="n">
        <v>0</v>
      </c>
      <c r="Z2150" s="3" t="n">
        <v>0</v>
      </c>
      <c r="AA2150" s="32" t="n">
        <v>0</v>
      </c>
      <c r="AB2150" s="3" t="n"/>
      <c r="AC2150" s="31" t="n">
        <v>0</v>
      </c>
      <c r="AD2150" s="2" t="n">
        <v>0</v>
      </c>
      <c r="AE2150" s="2" t="n">
        <v>1</v>
      </c>
      <c r="AF2150" s="4" t="n">
        <v>1</v>
      </c>
      <c r="AG2150" s="33" t="n">
        <v>0</v>
      </c>
      <c r="AH2150" s="4" t="n">
        <v>0</v>
      </c>
      <c r="AI2150" s="34" t="n"/>
      <c r="AJ2150" s="34" t="n">
        <v>0</v>
      </c>
      <c r="AK2150" s="2" t="n">
        <v>0</v>
      </c>
      <c r="AL2150" t="inlineStr">
        <is>
          <t>Published</t>
        </is>
      </c>
    </row>
    <row r="2151">
      <c r="A2151">
        <f>HYPERLINK("https://www.walmart.com/ip/512424115", "512424115")</f>
        <v/>
      </c>
      <c r="B2151">
        <f>HYPERLINK("https://app.optiwise.ai/catalog/itemdetails/361682", "Terra Youth Reflective Knit Hat High Visibility Cold Weather Running Beanie Cool")</f>
        <v/>
      </c>
      <c r="C2151" t="inlineStr">
        <is>
          <t>TERRABN01-DR</t>
        </is>
      </c>
      <c r="D2151" t="inlineStr">
        <is>
          <t>Clothing</t>
        </is>
      </c>
      <c r="E2151" t="inlineStr">
        <is>
          <t>Hats</t>
        </is>
      </c>
      <c r="F2151" t="inlineStr">
        <is>
          <t>Terra</t>
        </is>
      </c>
      <c r="G2151" t="n">
        <v>0</v>
      </c>
      <c r="H2151" t="n">
        <v>0</v>
      </c>
      <c r="J2151" s="29" t="n">
        <v>0</v>
      </c>
      <c r="K2151" s="30" t="n"/>
      <c r="L2151" s="29" t="n">
        <v>0</v>
      </c>
      <c r="M2151" s="29" t="n">
        <v>0</v>
      </c>
      <c r="N2151" s="2" t="n">
        <v>0</v>
      </c>
      <c r="O2151" s="31" t="n">
        <v>0</v>
      </c>
      <c r="P2151" s="32" t="n"/>
      <c r="Q2151" s="32" t="n">
        <v>0</v>
      </c>
      <c r="R2151" s="32" t="n">
        <v>0</v>
      </c>
      <c r="S2151" s="31" t="n">
        <v>0</v>
      </c>
      <c r="T2151" s="32" t="n">
        <v>0</v>
      </c>
      <c r="U2151" s="31" t="n">
        <v>0</v>
      </c>
      <c r="V2151" s="31" t="n">
        <v>0</v>
      </c>
      <c r="W2151" s="3" t="n">
        <v>0</v>
      </c>
      <c r="X2151" s="3" t="n">
        <v>0</v>
      </c>
      <c r="Y2151" s="32" t="n">
        <v>0</v>
      </c>
      <c r="Z2151" s="3" t="n">
        <v>0</v>
      </c>
      <c r="AA2151" s="32" t="n">
        <v>0</v>
      </c>
      <c r="AB2151" s="3" t="n"/>
      <c r="AC2151" s="31" t="n">
        <v>0</v>
      </c>
      <c r="AD2151" s="2" t="n">
        <v>0</v>
      </c>
      <c r="AE2151" s="2" t="n">
        <v>2</v>
      </c>
      <c r="AF2151" s="4" t="n">
        <v>2</v>
      </c>
      <c r="AG2151" s="33" t="n">
        <v>0</v>
      </c>
      <c r="AH2151" s="4" t="n">
        <v>0</v>
      </c>
      <c r="AI2151" s="34" t="n"/>
      <c r="AJ2151" s="34" t="n">
        <v>0</v>
      </c>
      <c r="AK2151" s="2" t="n">
        <v>0</v>
      </c>
      <c r="AL2151" t="inlineStr">
        <is>
          <t>Published</t>
        </is>
      </c>
    </row>
    <row r="2152">
      <c r="A2152">
        <f>HYPERLINK("https://www.walmart.com/ip/987797268", "987797268")</f>
        <v/>
      </c>
      <c r="B2152">
        <f>HYPERLINK("https://app.optiwise.ai/catalog/itemdetails/361680", "Catalonia Red Plaid Sherpa Throw Blanket, Super Soft Throw for Sofa Couch Bed, TV Blanket, Micro Mink Fleece Plush, Comfy Cozy Fluffy Warm, Holiday Gift (60x50 Inches, Buffalo)")</f>
        <v/>
      </c>
      <c r="C2152" t="inlineStr">
        <is>
          <t>1CTBF568PRDBL</t>
        </is>
      </c>
      <c r="D2152" t="inlineStr">
        <is>
          <t>Bedding</t>
        </is>
      </c>
      <c r="E2152" t="inlineStr">
        <is>
          <t>Throws</t>
        </is>
      </c>
      <c r="F2152" t="inlineStr">
        <is>
          <t>Catalonia</t>
        </is>
      </c>
      <c r="G2152" t="n">
        <v>5</v>
      </c>
      <c r="H2152" t="n">
        <v>1</v>
      </c>
      <c r="I2152" t="inlineStr">
        <is>
          <t>Q2-Target,WFS,Coupon_Discount,WFS Item</t>
        </is>
      </c>
      <c r="J2152" s="29" t="n">
        <v>0</v>
      </c>
      <c r="K2152" s="30" t="n"/>
      <c r="L2152" s="29" t="n">
        <v>0</v>
      </c>
      <c r="M2152" s="29" t="n">
        <v>0</v>
      </c>
      <c r="N2152" s="2" t="n">
        <v>0</v>
      </c>
      <c r="O2152" s="31" t="n">
        <v>0</v>
      </c>
      <c r="P2152" s="32" t="n"/>
      <c r="Q2152" s="32" t="n">
        <v>0</v>
      </c>
      <c r="R2152" s="32" t="n">
        <v>0</v>
      </c>
      <c r="S2152" s="31" t="n">
        <v>0</v>
      </c>
      <c r="T2152" s="32" t="n">
        <v>0</v>
      </c>
      <c r="U2152" s="31" t="n">
        <v>0</v>
      </c>
      <c r="V2152" s="31" t="n">
        <v>0</v>
      </c>
      <c r="W2152" s="3" t="n">
        <v>0</v>
      </c>
      <c r="X2152" s="3" t="n">
        <v>0</v>
      </c>
      <c r="Y2152" s="32" t="n">
        <v>0</v>
      </c>
      <c r="Z2152" s="3" t="n">
        <v>0</v>
      </c>
      <c r="AA2152" s="32" t="n">
        <v>0</v>
      </c>
      <c r="AB2152" s="3" t="n"/>
      <c r="AC2152" s="31" t="n">
        <v>0</v>
      </c>
      <c r="AD2152" s="2" t="n">
        <v>0</v>
      </c>
      <c r="AE2152" s="2" t="n">
        <v>9</v>
      </c>
      <c r="AF2152" s="4" t="n">
        <v>9</v>
      </c>
      <c r="AG2152" s="33" t="n">
        <v>0</v>
      </c>
      <c r="AH2152" s="4" t="n">
        <v>0</v>
      </c>
      <c r="AI2152" s="34" t="n"/>
      <c r="AJ2152" s="34" t="n">
        <v>0</v>
      </c>
      <c r="AK2152" s="2" t="n">
        <v>0</v>
      </c>
      <c r="AL2152" t="inlineStr">
        <is>
          <t>Published</t>
        </is>
      </c>
    </row>
    <row r="2153">
      <c r="A2153">
        <f>HYPERLINK("https://www.walmart.com/ip/168289342", "168289342")</f>
        <v/>
      </c>
      <c r="B2153">
        <f>HYPERLINK("https://app.optiwise.ai/catalog/itemdetails/361679", "Napa Premium Soft Warm Plush Kid Blanket Polyester Fluffy Reversible Bedding Throw For Baby Children Teen Boy Girl")</f>
        <v/>
      </c>
      <c r="C2153" t="inlineStr">
        <is>
          <t>K9000KD-PK</t>
        </is>
      </c>
      <c r="D2153" t="inlineStr">
        <is>
          <t>Bedding</t>
        </is>
      </c>
      <c r="E2153" t="inlineStr">
        <is>
          <t>Throws</t>
        </is>
      </c>
      <c r="F2153" t="inlineStr">
        <is>
          <t>NAPA</t>
        </is>
      </c>
      <c r="G2153" t="n">
        <v>0</v>
      </c>
      <c r="H2153" t="n">
        <v>0</v>
      </c>
      <c r="I2153" t="inlineStr">
        <is>
          <t>Baby days</t>
        </is>
      </c>
      <c r="J2153" s="29" t="n">
        <v>0</v>
      </c>
      <c r="K2153" s="30" t="n"/>
      <c r="L2153" s="29" t="n">
        <v>0</v>
      </c>
      <c r="M2153" s="29" t="n">
        <v>0</v>
      </c>
      <c r="N2153" s="2" t="n">
        <v>0</v>
      </c>
      <c r="O2153" s="31" t="n">
        <v>0</v>
      </c>
      <c r="P2153" s="32" t="n"/>
      <c r="Q2153" s="32" t="n">
        <v>0</v>
      </c>
      <c r="R2153" s="32" t="n">
        <v>0</v>
      </c>
      <c r="S2153" s="31" t="n">
        <v>0</v>
      </c>
      <c r="T2153" s="32" t="n">
        <v>0</v>
      </c>
      <c r="U2153" s="31" t="n">
        <v>0</v>
      </c>
      <c r="V2153" s="31" t="n">
        <v>0</v>
      </c>
      <c r="W2153" s="3" t="n">
        <v>0</v>
      </c>
      <c r="X2153" s="3" t="n">
        <v>0</v>
      </c>
      <c r="Y2153" s="32" t="n">
        <v>0</v>
      </c>
      <c r="Z2153" s="3" t="n">
        <v>0</v>
      </c>
      <c r="AA2153" s="32" t="n">
        <v>0</v>
      </c>
      <c r="AB2153" s="3" t="n"/>
      <c r="AC2153" s="31" t="n">
        <v>0</v>
      </c>
      <c r="AD2153" s="2" t="n">
        <v>0</v>
      </c>
      <c r="AE2153" s="2" t="n">
        <v>7</v>
      </c>
      <c r="AF2153" s="4" t="n">
        <v>7</v>
      </c>
      <c r="AG2153" s="33" t="n">
        <v>0</v>
      </c>
      <c r="AH2153" s="4" t="n">
        <v>0</v>
      </c>
      <c r="AI2153" s="34" t="n"/>
      <c r="AJ2153" s="34" t="n">
        <v>0</v>
      </c>
      <c r="AK2153" s="2" t="n">
        <v>0</v>
      </c>
      <c r="AL2153" t="inlineStr">
        <is>
          <t>Published</t>
        </is>
      </c>
    </row>
    <row r="2154">
      <c r="A2154">
        <f>HYPERLINK("https://www.walmart.com/ip/153044946", "153044946")</f>
        <v/>
      </c>
      <c r="B2154">
        <f>HYPERLINK("https://app.optiwise.ai/catalog/itemdetails/361674", "Adjustable Buckle Closure USA Flag Embroidered Cap")</f>
        <v/>
      </c>
      <c r="C2154" t="inlineStr">
        <is>
          <t>kc-aeflag-rd</t>
        </is>
      </c>
      <c r="D2154" t="inlineStr">
        <is>
          <t>Clothing</t>
        </is>
      </c>
      <c r="E2154" t="inlineStr">
        <is>
          <t>Hats</t>
        </is>
      </c>
      <c r="F2154" t="inlineStr">
        <is>
          <t>KC Caps</t>
        </is>
      </c>
      <c r="G2154" t="n">
        <v>0</v>
      </c>
      <c r="H2154" t="n">
        <v>0</v>
      </c>
      <c r="I2154" t="inlineStr">
        <is>
          <t>Optimized</t>
        </is>
      </c>
      <c r="J2154" s="29" t="n">
        <v>0</v>
      </c>
      <c r="K2154" s="30" t="n"/>
      <c r="L2154" s="29" t="n">
        <v>0</v>
      </c>
      <c r="M2154" s="29" t="n">
        <v>0</v>
      </c>
      <c r="N2154" s="2" t="n">
        <v>0</v>
      </c>
      <c r="O2154" s="31" t="n">
        <v>0</v>
      </c>
      <c r="P2154" s="32" t="n"/>
      <c r="Q2154" s="32" t="n">
        <v>0</v>
      </c>
      <c r="R2154" s="32" t="n">
        <v>0</v>
      </c>
      <c r="S2154" s="31" t="n">
        <v>0</v>
      </c>
      <c r="T2154" s="32" t="n">
        <v>0</v>
      </c>
      <c r="U2154" s="31" t="n">
        <v>0</v>
      </c>
      <c r="V2154" s="31" t="n">
        <v>0</v>
      </c>
      <c r="W2154" s="3" t="n">
        <v>0</v>
      </c>
      <c r="X2154" s="3" t="n">
        <v>0</v>
      </c>
      <c r="Y2154" s="32" t="n">
        <v>0</v>
      </c>
      <c r="Z2154" s="3" t="n">
        <v>0</v>
      </c>
      <c r="AA2154" s="32" t="n">
        <v>0</v>
      </c>
      <c r="AB2154" s="3" t="n"/>
      <c r="AC2154" s="31" t="n">
        <v>0</v>
      </c>
      <c r="AD2154" s="2" t="n">
        <v>0</v>
      </c>
      <c r="AE2154" s="2" t="n">
        <v>2</v>
      </c>
      <c r="AF2154" s="4" t="n">
        <v>2</v>
      </c>
      <c r="AG2154" s="33" t="n">
        <v>0</v>
      </c>
      <c r="AH2154" s="4" t="n">
        <v>0</v>
      </c>
      <c r="AI2154" s="34" t="n"/>
      <c r="AJ2154" s="34" t="n">
        <v>0</v>
      </c>
      <c r="AK2154" s="2" t="n">
        <v>0</v>
      </c>
      <c r="AL2154" t="inlineStr">
        <is>
          <t>Published</t>
        </is>
      </c>
    </row>
    <row r="2155">
      <c r="A2155">
        <f>HYPERLINK("https://www.walmart.com/ip/240881905", "240881905")</f>
        <v/>
      </c>
      <c r="B2155">
        <f>HYPERLINK("https://app.optiwise.ai/catalog/itemdetails/361671", "Insulated Lunch Box for Women Men, Leakproof Thermal Reusable Lunch Bag with 2 Zipper Pockets for Adult &amp; Kids, Lunch Bag Cooler Tote for Office Work")</f>
        <v/>
      </c>
      <c r="C2155" t="inlineStr">
        <is>
          <t>1WMLB705GNOR</t>
        </is>
      </c>
      <c r="D2155" t="inlineStr">
        <is>
          <t>Home Decor, Kitchen, &amp; Other</t>
        </is>
      </c>
      <c r="E2155" t="inlineStr">
        <is>
          <t>Reusable Lunch Bags &amp; Boxes</t>
        </is>
      </c>
      <c r="F2155" t="inlineStr">
        <is>
          <t>Flyingstar</t>
        </is>
      </c>
      <c r="G2155" t="n">
        <v>0</v>
      </c>
      <c r="H2155" t="n">
        <v>0</v>
      </c>
      <c r="I2155" t="inlineStr">
        <is>
          <t>Q2-Target,Lunch Bag</t>
        </is>
      </c>
      <c r="J2155" s="29" t="n">
        <v>0</v>
      </c>
      <c r="K2155" s="30" t="n"/>
      <c r="L2155" s="29" t="n">
        <v>0</v>
      </c>
      <c r="M2155" s="29" t="n">
        <v>0</v>
      </c>
      <c r="N2155" s="2" t="n">
        <v>0</v>
      </c>
      <c r="O2155" s="31" t="n">
        <v>0</v>
      </c>
      <c r="P2155" s="32" t="n"/>
      <c r="Q2155" s="32" t="n">
        <v>0</v>
      </c>
      <c r="R2155" s="32" t="n">
        <v>0.2345</v>
      </c>
      <c r="S2155" s="31" t="n">
        <v>0</v>
      </c>
      <c r="T2155" s="32" t="n">
        <v>0</v>
      </c>
      <c r="U2155" s="31" t="n">
        <v>0</v>
      </c>
      <c r="V2155" s="31" t="n">
        <v>0</v>
      </c>
      <c r="W2155" s="3" t="n">
        <v>0</v>
      </c>
      <c r="X2155" s="3" t="n">
        <v>0</v>
      </c>
      <c r="Y2155" s="32" t="n">
        <v>0</v>
      </c>
      <c r="Z2155" s="3" t="n">
        <v>0</v>
      </c>
      <c r="AA2155" s="32" t="n">
        <v>0</v>
      </c>
      <c r="AB2155" s="3" t="n"/>
      <c r="AC2155" s="31" t="n">
        <v>0</v>
      </c>
      <c r="AD2155" s="2" t="n">
        <v>0</v>
      </c>
      <c r="AE2155" s="2" t="n">
        <v>25</v>
      </c>
      <c r="AF2155" s="4" t="n">
        <v>25</v>
      </c>
      <c r="AG2155" s="33" t="n">
        <v>0</v>
      </c>
      <c r="AH2155" s="4" t="n">
        <v>0</v>
      </c>
      <c r="AI2155" s="34" t="n"/>
      <c r="AJ2155" s="34" t="n">
        <v>0</v>
      </c>
      <c r="AK2155" s="2" t="n">
        <v>0</v>
      </c>
      <c r="AL2155" t="inlineStr">
        <is>
          <t>Published</t>
        </is>
      </c>
    </row>
    <row r="2156">
      <c r="A2156">
        <f>HYPERLINK("https://www.walmart.com/ip/150658449", "150658449")</f>
        <v/>
      </c>
      <c r="B2156">
        <f>HYPERLINK("https://app.optiwise.ai/catalog/itemdetails/361668", "KC Caps® Unisex Cotton Baseball Cap Adjustable Plain Hat (21 Styles/Colors)")</f>
        <v/>
      </c>
      <c r="C2156" t="inlineStr">
        <is>
          <t>KC8010PP</t>
        </is>
      </c>
      <c r="D2156" t="inlineStr">
        <is>
          <t>Clothing</t>
        </is>
      </c>
      <c r="E2156" t="inlineStr">
        <is>
          <t>Hats</t>
        </is>
      </c>
      <c r="F2156" t="inlineStr">
        <is>
          <t>KC Caps</t>
        </is>
      </c>
      <c r="G2156" t="n">
        <v>0</v>
      </c>
      <c r="H2156" t="n">
        <v>0</v>
      </c>
      <c r="I2156" t="inlineStr">
        <is>
          <t>Optimized</t>
        </is>
      </c>
      <c r="J2156" s="29" t="n">
        <v>0</v>
      </c>
      <c r="K2156" s="30" t="n"/>
      <c r="L2156" s="29" t="n">
        <v>0</v>
      </c>
      <c r="M2156" s="29" t="n">
        <v>0</v>
      </c>
      <c r="N2156" s="2" t="n">
        <v>0</v>
      </c>
      <c r="O2156" s="31" t="n">
        <v>0</v>
      </c>
      <c r="P2156" s="32" t="n"/>
      <c r="Q2156" s="32" t="n">
        <v>0</v>
      </c>
      <c r="R2156" s="32" t="n">
        <v>0</v>
      </c>
      <c r="S2156" s="31" t="n">
        <v>0</v>
      </c>
      <c r="T2156" s="32" t="n">
        <v>0</v>
      </c>
      <c r="U2156" s="31" t="n">
        <v>0</v>
      </c>
      <c r="V2156" s="31" t="n">
        <v>0</v>
      </c>
      <c r="W2156" s="3" t="n">
        <v>0</v>
      </c>
      <c r="X2156" s="3" t="n">
        <v>0</v>
      </c>
      <c r="Y2156" s="32" t="n">
        <v>0</v>
      </c>
      <c r="Z2156" s="3" t="n">
        <v>0</v>
      </c>
      <c r="AA2156" s="32" t="n">
        <v>0</v>
      </c>
      <c r="AB2156" s="3" t="n"/>
      <c r="AC2156" s="31" t="n">
        <v>0</v>
      </c>
      <c r="AD2156" s="2" t="n">
        <v>0</v>
      </c>
      <c r="AE2156" s="2" t="n">
        <v>11</v>
      </c>
      <c r="AF2156" s="4" t="n">
        <v>11</v>
      </c>
      <c r="AG2156" s="33" t="n">
        <v>0</v>
      </c>
      <c r="AH2156" s="4" t="n">
        <v>0</v>
      </c>
      <c r="AI2156" s="34" t="n"/>
      <c r="AJ2156" s="34" t="n">
        <v>0</v>
      </c>
      <c r="AK2156" s="2" t="n">
        <v>0</v>
      </c>
      <c r="AL2156" t="inlineStr">
        <is>
          <t>Published</t>
        </is>
      </c>
    </row>
    <row r="2157">
      <c r="A2157">
        <f>HYPERLINK("https://www.walmart.com/ip/126043267", "126043267")</f>
        <v/>
      </c>
      <c r="B2157">
        <f>HYPERLINK("https://app.optiwise.ai/catalog/itemdetails/361664", "Napa Super Soft Micro Fleece Sherpa Bed Throw TV Blanket with Sleeves 72 x 50 Grey")</f>
        <v/>
      </c>
      <c r="C2157" t="inlineStr">
        <is>
          <t>K3080GRAY</t>
        </is>
      </c>
      <c r="D2157" t="inlineStr">
        <is>
          <t>Bedding</t>
        </is>
      </c>
      <c r="E2157" t="inlineStr">
        <is>
          <t>Throws</t>
        </is>
      </c>
      <c r="F2157" t="inlineStr">
        <is>
          <t>NAPA</t>
        </is>
      </c>
      <c r="G2157" t="n">
        <v>5</v>
      </c>
      <c r="H2157" t="n">
        <v>3</v>
      </c>
      <c r="I2157" t="inlineStr">
        <is>
          <t>Optimized</t>
        </is>
      </c>
      <c r="J2157" s="29" t="n">
        <v>0</v>
      </c>
      <c r="K2157" s="30" t="n"/>
      <c r="L2157" s="29" t="n">
        <v>0</v>
      </c>
      <c r="M2157" s="29" t="n">
        <v>0</v>
      </c>
      <c r="N2157" s="2" t="n">
        <v>0</v>
      </c>
      <c r="O2157" s="31" t="n">
        <v>0</v>
      </c>
      <c r="P2157" s="32" t="n"/>
      <c r="Q2157" s="32" t="n">
        <v>0</v>
      </c>
      <c r="R2157" s="32" t="n">
        <v>0</v>
      </c>
      <c r="S2157" s="31" t="n">
        <v>0</v>
      </c>
      <c r="T2157" s="32" t="n">
        <v>0</v>
      </c>
      <c r="U2157" s="31" t="n">
        <v>0</v>
      </c>
      <c r="V2157" s="31" t="n">
        <v>0</v>
      </c>
      <c r="W2157" s="3" t="n">
        <v>0</v>
      </c>
      <c r="X2157" s="3" t="n">
        <v>0</v>
      </c>
      <c r="Y2157" s="32" t="n">
        <v>0</v>
      </c>
      <c r="Z2157" s="3" t="n">
        <v>0</v>
      </c>
      <c r="AA2157" s="32" t="n">
        <v>0</v>
      </c>
      <c r="AB2157" s="3" t="n"/>
      <c r="AC2157" s="31" t="n">
        <v>0</v>
      </c>
      <c r="AD2157" s="2" t="n">
        <v>0</v>
      </c>
      <c r="AE2157" s="2" t="n">
        <v>8</v>
      </c>
      <c r="AF2157" s="4" t="n">
        <v>8</v>
      </c>
      <c r="AG2157" s="33" t="n">
        <v>0</v>
      </c>
      <c r="AH2157" s="4" t="n">
        <v>0</v>
      </c>
      <c r="AI2157" s="34" t="n"/>
      <c r="AJ2157" s="34" t="n">
        <v>0</v>
      </c>
      <c r="AK2157" s="2" t="n">
        <v>0</v>
      </c>
      <c r="AL2157" t="inlineStr">
        <is>
          <t>Published</t>
        </is>
      </c>
    </row>
    <row r="2158">
      <c r="A2158">
        <f>HYPERLINK("https://www.walmart.com/ip/988389373", "988389373")</f>
        <v/>
      </c>
      <c r="B2158">
        <f>HYPERLINK("https://app.optiwise.ai/catalog/itemdetails/361663", "Catalonia Wearable TV Blanket with Sleeves Arms Micro Plush Fleece Wrap Throw Robe 73 x 51”")</f>
        <v/>
      </c>
      <c r="C2158" t="inlineStr">
        <is>
          <t>1CTSN100WN</t>
        </is>
      </c>
      <c r="D2158" t="inlineStr">
        <is>
          <t>Bedding</t>
        </is>
      </c>
      <c r="E2158" t="inlineStr">
        <is>
          <t>Throws</t>
        </is>
      </c>
      <c r="F2158" t="inlineStr">
        <is>
          <t>Catalonia</t>
        </is>
      </c>
      <c r="G2158" t="n">
        <v>0</v>
      </c>
      <c r="H2158" t="n">
        <v>0</v>
      </c>
      <c r="I2158" t="inlineStr">
        <is>
          <t>WFS,Coupon_Discount,WFS Item</t>
        </is>
      </c>
      <c r="J2158" s="29" t="n">
        <v>0</v>
      </c>
      <c r="K2158" s="30" t="n"/>
      <c r="L2158" s="29" t="n">
        <v>47.97999954223633</v>
      </c>
      <c r="M2158" s="29" t="n">
        <v>0</v>
      </c>
      <c r="N2158" s="2" t="n">
        <v>0</v>
      </c>
      <c r="O2158" s="31" t="n">
        <v>0</v>
      </c>
      <c r="P2158" s="32" t="n"/>
      <c r="Q2158" s="32" t="n">
        <v>0</v>
      </c>
      <c r="R2158" s="32" t="n">
        <v>0</v>
      </c>
      <c r="S2158" s="31" t="n">
        <v>0</v>
      </c>
      <c r="T2158" s="32" t="n">
        <v>0</v>
      </c>
      <c r="U2158" s="31" t="n">
        <v>0</v>
      </c>
      <c r="V2158" s="31" t="n">
        <v>0</v>
      </c>
      <c r="W2158" s="3" t="n">
        <v>0</v>
      </c>
      <c r="X2158" s="3" t="n">
        <v>0</v>
      </c>
      <c r="Y2158" s="32" t="n">
        <v>0</v>
      </c>
      <c r="Z2158" s="3" t="n">
        <v>0</v>
      </c>
      <c r="AA2158" s="32" t="n">
        <v>0</v>
      </c>
      <c r="AB2158" s="3" t="n"/>
      <c r="AC2158" s="31" t="n">
        <v>0</v>
      </c>
      <c r="AD2158" s="2" t="n">
        <v>77</v>
      </c>
      <c r="AE2158" s="2" t="n">
        <v>50</v>
      </c>
      <c r="AF2158" s="4" t="n">
        <v>50</v>
      </c>
      <c r="AG2158" s="33" t="n">
        <v>0</v>
      </c>
      <c r="AH2158" s="4" t="n">
        <v>0</v>
      </c>
      <c r="AI2158" s="34" t="n"/>
      <c r="AJ2158" s="34" t="n">
        <v>0</v>
      </c>
      <c r="AK2158" s="2" t="n">
        <v>0</v>
      </c>
      <c r="AL2158" t="inlineStr">
        <is>
          <t>Published</t>
        </is>
      </c>
    </row>
    <row r="2159">
      <c r="A2159">
        <f>HYPERLINK("https://www.walmart.com/ip/112436825", "112436825")</f>
        <v/>
      </c>
      <c r="B2159">
        <f>HYPERLINK("https://app.optiwise.ai/catalog/itemdetails/361661", "Terra Faux Fur Pom Pom Beanie Hat Slouchy Solid Plain Knit Unisex Stretches to Fit Most")</f>
        <v/>
      </c>
      <c r="C2159" t="inlineStr">
        <is>
          <t>TERRAPPH03BK</t>
        </is>
      </c>
      <c r="D2159" t="inlineStr">
        <is>
          <t>Clothing</t>
        </is>
      </c>
      <c r="E2159" t="inlineStr">
        <is>
          <t>Hats</t>
        </is>
      </c>
      <c r="F2159" t="inlineStr">
        <is>
          <t>Terra</t>
        </is>
      </c>
      <c r="G2159" t="n">
        <v>0</v>
      </c>
      <c r="H2159" t="n">
        <v>0</v>
      </c>
      <c r="I2159" t="inlineStr">
        <is>
          <t>Batch 1 - TR</t>
        </is>
      </c>
      <c r="J2159" s="29" t="n">
        <v>0</v>
      </c>
      <c r="K2159" s="30" t="n"/>
      <c r="L2159" s="29" t="n">
        <v>5.989999771118164</v>
      </c>
      <c r="M2159" s="29" t="n">
        <v>0</v>
      </c>
      <c r="N2159" s="2" t="n">
        <v>0</v>
      </c>
      <c r="O2159" s="31" t="n">
        <v>0</v>
      </c>
      <c r="P2159" s="32" t="n"/>
      <c r="Q2159" s="32" t="n">
        <v>0</v>
      </c>
      <c r="R2159" s="32" t="n">
        <v>0</v>
      </c>
      <c r="S2159" s="31" t="n">
        <v>0</v>
      </c>
      <c r="T2159" s="32" t="n">
        <v>0</v>
      </c>
      <c r="U2159" s="31" t="n">
        <v>0</v>
      </c>
      <c r="V2159" s="31" t="n">
        <v>0</v>
      </c>
      <c r="W2159" s="3" t="n">
        <v>0</v>
      </c>
      <c r="X2159" s="3" t="n">
        <v>0</v>
      </c>
      <c r="Y2159" s="32" t="n">
        <v>0</v>
      </c>
      <c r="Z2159" s="3" t="n">
        <v>0</v>
      </c>
      <c r="AA2159" s="32" t="n">
        <v>0</v>
      </c>
      <c r="AB2159" s="3" t="n"/>
      <c r="AC2159" s="31" t="n">
        <v>0</v>
      </c>
      <c r="AD2159" s="2" t="n">
        <v>0</v>
      </c>
      <c r="AE2159" s="2" t="n">
        <v>4</v>
      </c>
      <c r="AF2159" s="4" t="n">
        <v>4</v>
      </c>
      <c r="AG2159" s="33" t="n">
        <v>0</v>
      </c>
      <c r="AH2159" s="4" t="n">
        <v>0</v>
      </c>
      <c r="AI2159" s="34" t="n"/>
      <c r="AJ2159" s="34" t="n">
        <v>0</v>
      </c>
      <c r="AK2159" s="2" t="n">
        <v>0</v>
      </c>
      <c r="AL2159" t="inlineStr">
        <is>
          <t>Published</t>
        </is>
      </c>
    </row>
    <row r="2160">
      <c r="A2160">
        <f>HYPERLINK("https://www.walmart.com/ip/521665057", "521665057")</f>
        <v/>
      </c>
      <c r="B2160">
        <f>HYPERLINK("https://app.optiwise.ai/catalog/itemdetails/361660", "Luxury Knit Throw Decorative Blanket with Pom Pom Fringe Super Soft Warm Sleeping Cover for Adults or Kids on the Couch")</f>
        <v/>
      </c>
      <c r="C2160" t="inlineStr">
        <is>
          <t>1TRBN200BK-TBCB</t>
        </is>
      </c>
      <c r="D2160" t="inlineStr">
        <is>
          <t>Bedding</t>
        </is>
      </c>
      <c r="E2160" t="inlineStr">
        <is>
          <t>Throws</t>
        </is>
      </c>
      <c r="F2160" t="inlineStr">
        <is>
          <t>Tirrinia</t>
        </is>
      </c>
      <c r="G2160" t="n">
        <v>0</v>
      </c>
      <c r="H2160" t="n">
        <v>0</v>
      </c>
      <c r="J2160" s="29" t="n">
        <v>0</v>
      </c>
      <c r="K2160" s="30" t="n"/>
      <c r="L2160" s="29" t="n">
        <v>0</v>
      </c>
      <c r="M2160" s="29" t="n">
        <v>0</v>
      </c>
      <c r="N2160" s="2" t="n">
        <v>0</v>
      </c>
      <c r="O2160" s="31" t="n">
        <v>0</v>
      </c>
      <c r="P2160" s="32" t="n"/>
      <c r="Q2160" s="32" t="n">
        <v>0</v>
      </c>
      <c r="R2160" s="32" t="n">
        <v>0</v>
      </c>
      <c r="S2160" s="31" t="n">
        <v>0</v>
      </c>
      <c r="T2160" s="32" t="n">
        <v>0</v>
      </c>
      <c r="U2160" s="31" t="n">
        <v>0</v>
      </c>
      <c r="V2160" s="31" t="n">
        <v>0</v>
      </c>
      <c r="W2160" s="3" t="n">
        <v>0</v>
      </c>
      <c r="X2160" s="3" t="n">
        <v>0</v>
      </c>
      <c r="Y2160" s="32" t="n">
        <v>0</v>
      </c>
      <c r="Z2160" s="3" t="n">
        <v>0</v>
      </c>
      <c r="AA2160" s="32" t="n">
        <v>0</v>
      </c>
      <c r="AB2160" s="3" t="n"/>
      <c r="AC2160" s="31" t="n">
        <v>0</v>
      </c>
      <c r="AD2160" s="2" t="n">
        <v>0</v>
      </c>
      <c r="AE2160" s="2" t="n">
        <v>7</v>
      </c>
      <c r="AF2160" s="4" t="n">
        <v>7</v>
      </c>
      <c r="AG2160" s="33" t="n">
        <v>0</v>
      </c>
      <c r="AH2160" s="4" t="n">
        <v>0</v>
      </c>
      <c r="AI2160" s="34" t="n"/>
      <c r="AJ2160" s="34" t="n">
        <v>0</v>
      </c>
      <c r="AK2160" s="2" t="n">
        <v>0</v>
      </c>
      <c r="AL2160" t="inlineStr">
        <is>
          <t>Published</t>
        </is>
      </c>
    </row>
    <row r="2161">
      <c r="A2161">
        <f>HYPERLINK("https://www.walmart.com/ip/611098775", "611098775")</f>
        <v/>
      </c>
      <c r="B2161">
        <f>HYPERLINK("https://app.optiwise.ai/catalog/itemdetails/361658", "Terra Mens Baseball Cap Hat Red Line Crossing Pattern Printed Flat Bill Buckle")</f>
        <v/>
      </c>
      <c r="C2161" t="inlineStr">
        <is>
          <t>TERRACAP-B001</t>
        </is>
      </c>
      <c r="D2161" t="inlineStr">
        <is>
          <t>Clothing</t>
        </is>
      </c>
      <c r="E2161" t="inlineStr">
        <is>
          <t>Hats</t>
        </is>
      </c>
      <c r="F2161" t="inlineStr">
        <is>
          <t>Terra</t>
        </is>
      </c>
      <c r="G2161" t="n">
        <v>0</v>
      </c>
      <c r="H2161" t="n">
        <v>0</v>
      </c>
      <c r="I2161" t="inlineStr">
        <is>
          <t>Optimized</t>
        </is>
      </c>
      <c r="J2161" s="29" t="n">
        <v>0</v>
      </c>
      <c r="K2161" s="30" t="n"/>
      <c r="L2161" s="29" t="n">
        <v>0</v>
      </c>
      <c r="M2161" s="29" t="n">
        <v>0</v>
      </c>
      <c r="N2161" s="2" t="n">
        <v>0</v>
      </c>
      <c r="O2161" s="31" t="n">
        <v>0</v>
      </c>
      <c r="P2161" s="32" t="n"/>
      <c r="Q2161" s="32" t="n">
        <v>0</v>
      </c>
      <c r="R2161" s="32" t="n">
        <v>0</v>
      </c>
      <c r="S2161" s="31" t="n">
        <v>0</v>
      </c>
      <c r="T2161" s="32" t="n">
        <v>0</v>
      </c>
      <c r="U2161" s="31" t="n">
        <v>0</v>
      </c>
      <c r="V2161" s="31" t="n">
        <v>0</v>
      </c>
      <c r="W2161" s="3" t="n">
        <v>0</v>
      </c>
      <c r="X2161" s="3" t="n">
        <v>0</v>
      </c>
      <c r="Y2161" s="32" t="n">
        <v>0</v>
      </c>
      <c r="Z2161" s="3" t="n">
        <v>0</v>
      </c>
      <c r="AA2161" s="32" t="n">
        <v>0</v>
      </c>
      <c r="AB2161" s="3" t="n"/>
      <c r="AC2161" s="31" t="n">
        <v>0</v>
      </c>
      <c r="AD2161" s="2" t="n">
        <v>0</v>
      </c>
      <c r="AE2161" s="2" t="n">
        <v>10</v>
      </c>
      <c r="AF2161" s="4" t="n">
        <v>10</v>
      </c>
      <c r="AG2161" s="33" t="n">
        <v>0</v>
      </c>
      <c r="AH2161" s="4" t="n">
        <v>0</v>
      </c>
      <c r="AI2161" s="34" t="n"/>
      <c r="AJ2161" s="34" t="n">
        <v>0</v>
      </c>
      <c r="AK2161" s="2" t="n">
        <v>0</v>
      </c>
      <c r="AL2161" t="inlineStr">
        <is>
          <t>Published</t>
        </is>
      </c>
    </row>
    <row r="2162">
      <c r="A2162">
        <f>HYPERLINK("https://www.walmart.com/ip/180994502", "180994502")</f>
        <v/>
      </c>
      <c r="B2162">
        <f>HYPERLINK("https://app.optiwise.ai/catalog/itemdetails/361655", "JenniWears® Women Intimate Night Babydoll Robe w/ Satin Ribbon Belt G-string Set")</f>
        <v/>
      </c>
      <c r="C2162" t="inlineStr">
        <is>
          <t>JWRS03PP-M</t>
        </is>
      </c>
      <c r="D2162" t="inlineStr">
        <is>
          <t>Clothing</t>
        </is>
      </c>
      <c r="E2162" t="inlineStr">
        <is>
          <t>Lingerie Sets</t>
        </is>
      </c>
      <c r="F2162" t="inlineStr">
        <is>
          <t>JenniWears</t>
        </is>
      </c>
      <c r="G2162" t="n">
        <v>1</v>
      </c>
      <c r="H2162" t="n">
        <v>1</v>
      </c>
      <c r="I2162" t="inlineStr">
        <is>
          <t>Optimized,Valentine</t>
        </is>
      </c>
      <c r="J2162" s="29" t="n">
        <v>0</v>
      </c>
      <c r="K2162" s="30" t="n"/>
      <c r="L2162" s="29" t="n">
        <v>7.989999771118164</v>
      </c>
      <c r="M2162" s="29" t="n">
        <v>0</v>
      </c>
      <c r="N2162" s="2" t="n">
        <v>0</v>
      </c>
      <c r="O2162" s="31" t="n">
        <v>0</v>
      </c>
      <c r="P2162" s="32" t="n"/>
      <c r="Q2162" s="32" t="n">
        <v>0</v>
      </c>
      <c r="R2162" s="32" t="n">
        <v>0</v>
      </c>
      <c r="S2162" s="31" t="n">
        <v>0</v>
      </c>
      <c r="T2162" s="32" t="n">
        <v>0</v>
      </c>
      <c r="U2162" s="31" t="n">
        <v>0</v>
      </c>
      <c r="V2162" s="31" t="n">
        <v>0</v>
      </c>
      <c r="W2162" s="3" t="n">
        <v>0</v>
      </c>
      <c r="X2162" s="3" t="n">
        <v>0</v>
      </c>
      <c r="Y2162" s="32" t="n">
        <v>0</v>
      </c>
      <c r="Z2162" s="3" t="n">
        <v>0</v>
      </c>
      <c r="AA2162" s="32" t="n">
        <v>0</v>
      </c>
      <c r="AB2162" s="3" t="n"/>
      <c r="AC2162" s="31" t="n">
        <v>0</v>
      </c>
      <c r="AD2162" s="2" t="n">
        <v>0</v>
      </c>
      <c r="AE2162" s="2" t="n">
        <v>5</v>
      </c>
      <c r="AF2162" s="4" t="n">
        <v>5</v>
      </c>
      <c r="AG2162" s="33" t="n">
        <v>0</v>
      </c>
      <c r="AH2162" s="4" t="n">
        <v>0</v>
      </c>
      <c r="AI2162" s="34" t="n"/>
      <c r="AJ2162" s="34" t="n">
        <v>0</v>
      </c>
      <c r="AK2162" s="2" t="n">
        <v>0</v>
      </c>
      <c r="AL2162" t="inlineStr">
        <is>
          <t>Published</t>
        </is>
      </c>
    </row>
    <row r="2163">
      <c r="A2163">
        <f>HYPERLINK("https://www.walmart.com/ip/585543013", "585543013")</f>
        <v/>
      </c>
      <c r="B2163">
        <f>HYPERLINK("https://app.optiwise.ai/catalog/itemdetails/361648", "Silky Straight Synthetic Black Wig with Bangs for Women,Heat Resistant Natural Looking Long Hair Full Head Wig for Ameri")</f>
        <v/>
      </c>
      <c r="C2163" t="inlineStr">
        <is>
          <t>1CTWIG491-1B-ESCB</t>
        </is>
      </c>
      <c r="D2163" t="inlineStr">
        <is>
          <t>Clothing</t>
        </is>
      </c>
      <c r="E2163" t="inlineStr">
        <is>
          <t>Wigs &amp; Toupees</t>
        </is>
      </c>
      <c r="F2163" t="inlineStr">
        <is>
          <t>Catalonia</t>
        </is>
      </c>
      <c r="G2163" t="n">
        <v>5</v>
      </c>
      <c r="H2163" t="n">
        <v>1</v>
      </c>
      <c r="I2163" t="inlineStr">
        <is>
          <t>Batch 1 - TR</t>
        </is>
      </c>
      <c r="J2163" s="29" t="n">
        <v>0</v>
      </c>
      <c r="K2163" s="30" t="n"/>
      <c r="L2163" s="29" t="n">
        <v>0</v>
      </c>
      <c r="M2163" s="29" t="n">
        <v>0</v>
      </c>
      <c r="N2163" s="2" t="n">
        <v>0</v>
      </c>
      <c r="O2163" s="31" t="n">
        <v>0</v>
      </c>
      <c r="P2163" s="32" t="n"/>
      <c r="Q2163" s="32" t="n">
        <v>0</v>
      </c>
      <c r="R2163" s="32" t="n">
        <v>0</v>
      </c>
      <c r="S2163" s="31" t="n">
        <v>0</v>
      </c>
      <c r="T2163" s="32" t="n">
        <v>0</v>
      </c>
      <c r="U2163" s="31" t="n">
        <v>0</v>
      </c>
      <c r="V2163" s="31" t="n">
        <v>0</v>
      </c>
      <c r="W2163" s="3" t="n">
        <v>0</v>
      </c>
      <c r="X2163" s="3" t="n">
        <v>0</v>
      </c>
      <c r="Y2163" s="32" t="n">
        <v>0</v>
      </c>
      <c r="Z2163" s="3" t="n">
        <v>0</v>
      </c>
      <c r="AA2163" s="32" t="n">
        <v>0</v>
      </c>
      <c r="AB2163" s="3" t="n"/>
      <c r="AC2163" s="31" t="n">
        <v>0</v>
      </c>
      <c r="AD2163" s="2" t="n">
        <v>0</v>
      </c>
      <c r="AE2163" s="2" t="n">
        <v>13</v>
      </c>
      <c r="AF2163" s="4" t="n">
        <v>13</v>
      </c>
      <c r="AG2163" s="33" t="n">
        <v>0</v>
      </c>
      <c r="AH2163" s="4" t="n">
        <v>0</v>
      </c>
      <c r="AI2163" s="34" t="n"/>
      <c r="AJ2163" s="34" t="n">
        <v>0</v>
      </c>
      <c r="AK2163" s="2" t="n">
        <v>0</v>
      </c>
      <c r="AL2163" t="inlineStr">
        <is>
          <t>Published</t>
        </is>
      </c>
    </row>
    <row r="2164">
      <c r="A2164">
        <f>HYPERLINK("https://www.walmart.com/ip/684978844", "684978844")</f>
        <v/>
      </c>
      <c r="B2164">
        <f>HYPERLINK("https://app.optiwise.ai/catalog/itemdetails/361647", "Sherpa jackie Mink Fleece for Adults 73 x 51”| Cozy Warm")</f>
        <v/>
      </c>
      <c r="C2164" t="inlineStr">
        <is>
          <t>1CTJK200GY</t>
        </is>
      </c>
      <c r="D2164" t="inlineStr">
        <is>
          <t>Clothing</t>
        </is>
      </c>
      <c r="E2164" t="inlineStr">
        <is>
          <t>Sweatshirts &amp; Hoodies</t>
        </is>
      </c>
      <c r="F2164" t="inlineStr">
        <is>
          <t>Catalonia</t>
        </is>
      </c>
      <c r="G2164" t="n">
        <v>0</v>
      </c>
      <c r="H2164" t="n">
        <v>0</v>
      </c>
      <c r="I2164" t="inlineStr">
        <is>
          <t>Jacket ForAdult,Optimized,WFS,WFS Item</t>
        </is>
      </c>
      <c r="J2164" s="29" t="n">
        <v>0</v>
      </c>
      <c r="K2164" s="30" t="n"/>
      <c r="L2164" s="29" t="n">
        <v>0</v>
      </c>
      <c r="M2164" s="29" t="n">
        <v>0</v>
      </c>
      <c r="N2164" s="2" t="n">
        <v>0</v>
      </c>
      <c r="O2164" s="31" t="n">
        <v>0</v>
      </c>
      <c r="P2164" s="32" t="n"/>
      <c r="Q2164" s="32" t="n">
        <v>0</v>
      </c>
      <c r="R2164" s="32" t="n">
        <v>0</v>
      </c>
      <c r="S2164" s="31" t="n">
        <v>0</v>
      </c>
      <c r="T2164" s="32" t="n">
        <v>0</v>
      </c>
      <c r="U2164" s="31" t="n">
        <v>0</v>
      </c>
      <c r="V2164" s="31" t="n">
        <v>0</v>
      </c>
      <c r="W2164" s="3" t="n">
        <v>0</v>
      </c>
      <c r="X2164" s="3" t="n">
        <v>0</v>
      </c>
      <c r="Y2164" s="32" t="n">
        <v>0</v>
      </c>
      <c r="Z2164" s="3" t="n">
        <v>0</v>
      </c>
      <c r="AA2164" s="32" t="n">
        <v>0</v>
      </c>
      <c r="AB2164" s="3" t="n"/>
      <c r="AC2164" s="31" t="n">
        <v>0</v>
      </c>
      <c r="AD2164" s="2" t="n">
        <v>0</v>
      </c>
      <c r="AE2164" s="2" t="n">
        <v>10</v>
      </c>
      <c r="AF2164" s="4" t="n">
        <v>10</v>
      </c>
      <c r="AG2164" s="33" t="n">
        <v>0</v>
      </c>
      <c r="AH2164" s="4" t="n">
        <v>0</v>
      </c>
      <c r="AI2164" s="34" t="n"/>
      <c r="AJ2164" s="34" t="n">
        <v>0</v>
      </c>
      <c r="AK2164" s="2" t="n">
        <v>0</v>
      </c>
      <c r="AL2164" t="inlineStr">
        <is>
          <t>Published</t>
        </is>
      </c>
    </row>
    <row r="2165">
      <c r="A2165">
        <f>HYPERLINK("https://www.walmart.com/ip/259369134", "259369134")</f>
        <v/>
      </c>
      <c r="B2165">
        <f>HYPERLINK("https://app.optiwise.ai/catalog/itemdetails/361646", "Tirrinia Insulated 2 Bottle Wine Carrier Tote Cooler Bag for Travel Picnic Padded Champagne Glass Carrying Case")</f>
        <v/>
      </c>
      <c r="C2165" t="inlineStr">
        <is>
          <t>1WMWB220STR</t>
        </is>
      </c>
      <c r="D2165" t="inlineStr">
        <is>
          <t>Home Decor, Kitchen, &amp; Other</t>
        </is>
      </c>
      <c r="E2165" t="inlineStr">
        <is>
          <t>Wine Totes, Bags &amp; Backpacks</t>
        </is>
      </c>
      <c r="F2165" t="inlineStr">
        <is>
          <t>Flyingstar</t>
        </is>
      </c>
      <c r="G2165" t="n">
        <v>0</v>
      </c>
      <c r="H2165" t="n">
        <v>0</v>
      </c>
      <c r="I2165" t="inlineStr">
        <is>
          <t>Wine,Christmas,Valentine</t>
        </is>
      </c>
      <c r="J2165" s="29" t="n">
        <v>0</v>
      </c>
      <c r="K2165" s="30" t="n"/>
      <c r="L2165" s="29" t="n">
        <v>0</v>
      </c>
      <c r="M2165" s="29" t="n">
        <v>0</v>
      </c>
      <c r="N2165" s="2" t="n">
        <v>0</v>
      </c>
      <c r="O2165" s="31" t="n">
        <v>0</v>
      </c>
      <c r="P2165" s="32" t="n"/>
      <c r="Q2165" s="32" t="n">
        <v>0</v>
      </c>
      <c r="R2165" s="32" t="n">
        <v>0</v>
      </c>
      <c r="S2165" s="31" t="n">
        <v>0</v>
      </c>
      <c r="T2165" s="32" t="n">
        <v>0</v>
      </c>
      <c r="U2165" s="31" t="n">
        <v>0</v>
      </c>
      <c r="V2165" s="31" t="n">
        <v>0</v>
      </c>
      <c r="W2165" s="3" t="n">
        <v>0</v>
      </c>
      <c r="X2165" s="3" t="n">
        <v>0</v>
      </c>
      <c r="Y2165" s="32" t="n">
        <v>0</v>
      </c>
      <c r="Z2165" s="3" t="n">
        <v>0</v>
      </c>
      <c r="AA2165" s="32" t="n">
        <v>0</v>
      </c>
      <c r="AB2165" s="3" t="n"/>
      <c r="AC2165" s="31" t="n">
        <v>0</v>
      </c>
      <c r="AD2165" s="2" t="n">
        <v>0</v>
      </c>
      <c r="AE2165" s="2" t="n">
        <v>5</v>
      </c>
      <c r="AF2165" s="4" t="n">
        <v>5</v>
      </c>
      <c r="AG2165" s="33" t="n">
        <v>0</v>
      </c>
      <c r="AH2165" s="4" t="n">
        <v>0</v>
      </c>
      <c r="AI2165" s="34" t="n"/>
      <c r="AJ2165" s="34" t="n">
        <v>0</v>
      </c>
      <c r="AK2165" s="2" t="n">
        <v>0</v>
      </c>
      <c r="AL2165" t="inlineStr">
        <is>
          <t>Published</t>
        </is>
      </c>
    </row>
    <row r="2166">
      <c r="A2166">
        <f>HYPERLINK("https://www.walmart.com/ip/213843490", "213843490")</f>
        <v/>
      </c>
      <c r="B2166">
        <f>HYPERLINK("https://app.optiwise.ai/catalog/itemdetails/361645", "Flyingstar Blanket with Sleeves and Pocket, Wearable Throws Blanket, Robe for Women and Men 73” x 51” Brown")</f>
        <v/>
      </c>
      <c r="C2166" t="inlineStr">
        <is>
          <t>1WMSN100BR-ESGM</t>
        </is>
      </c>
      <c r="D2166" t="inlineStr">
        <is>
          <t>Bedding</t>
        </is>
      </c>
      <c r="E2166" t="inlineStr">
        <is>
          <t>Throws</t>
        </is>
      </c>
      <c r="F2166" t="inlineStr">
        <is>
          <t>Flyingstar</t>
        </is>
      </c>
      <c r="G2166" t="n">
        <v>0</v>
      </c>
      <c r="H2166" t="n">
        <v>0</v>
      </c>
      <c r="I2166" t="inlineStr">
        <is>
          <t>Optimized</t>
        </is>
      </c>
      <c r="J2166" s="29" t="n">
        <v>0</v>
      </c>
      <c r="K2166" s="30" t="n"/>
      <c r="L2166" s="29" t="n">
        <v>0</v>
      </c>
      <c r="M2166" s="29" t="n">
        <v>0</v>
      </c>
      <c r="N2166" s="2" t="n">
        <v>0</v>
      </c>
      <c r="O2166" s="31" t="n">
        <v>0</v>
      </c>
      <c r="P2166" s="32" t="n"/>
      <c r="Q2166" s="32" t="n">
        <v>0</v>
      </c>
      <c r="R2166" s="32" t="n">
        <v>0</v>
      </c>
      <c r="S2166" s="31" t="n">
        <v>0</v>
      </c>
      <c r="T2166" s="32" t="n">
        <v>0</v>
      </c>
      <c r="U2166" s="31" t="n">
        <v>0</v>
      </c>
      <c r="V2166" s="31" t="n">
        <v>0</v>
      </c>
      <c r="W2166" s="3" t="n">
        <v>0</v>
      </c>
      <c r="X2166" s="3" t="n">
        <v>0</v>
      </c>
      <c r="Y2166" s="32" t="n">
        <v>0</v>
      </c>
      <c r="Z2166" s="3" t="n">
        <v>0</v>
      </c>
      <c r="AA2166" s="32" t="n">
        <v>0</v>
      </c>
      <c r="AB2166" s="3" t="n"/>
      <c r="AC2166" s="31" t="n">
        <v>0</v>
      </c>
      <c r="AD2166" s="2" t="n">
        <v>0</v>
      </c>
      <c r="AE2166" s="2" t="n">
        <v>3</v>
      </c>
      <c r="AF2166" s="4" t="n">
        <v>3</v>
      </c>
      <c r="AG2166" s="33" t="n">
        <v>0</v>
      </c>
      <c r="AH2166" s="4" t="n">
        <v>0</v>
      </c>
      <c r="AI2166" s="34" t="n"/>
      <c r="AJ2166" s="34" t="n">
        <v>0</v>
      </c>
      <c r="AK2166" s="2" t="n">
        <v>0</v>
      </c>
      <c r="AL2166" t="inlineStr">
        <is>
          <t>Published</t>
        </is>
      </c>
    </row>
    <row r="2167">
      <c r="A2167">
        <f>HYPERLINK("https://www.walmart.com/ip/861468655", "861468655")</f>
        <v/>
      </c>
      <c r="B2167">
        <f>HYPERLINK("https://app.optiwise.ai/catalog/itemdetails/361644", "Flyingstar Oversized Hoodie Throws Blanket Sweatshirt, for Adults Men Women Teenagers Kids")</f>
        <v/>
      </c>
      <c r="C2167" t="inlineStr">
        <is>
          <t>1WMHD300RB</t>
        </is>
      </c>
      <c r="D2167" t="inlineStr">
        <is>
          <t>Clothing</t>
        </is>
      </c>
      <c r="E2167" t="inlineStr">
        <is>
          <t>Sweatshirts &amp; Hoodies</t>
        </is>
      </c>
      <c r="F2167" t="inlineStr">
        <is>
          <t>Flyingstar</t>
        </is>
      </c>
      <c r="G2167" t="n">
        <v>4.7</v>
      </c>
      <c r="H2167" t="n">
        <v>19</v>
      </c>
      <c r="I2167" t="inlineStr">
        <is>
          <t>Hoodie ForAdult,Optimized</t>
        </is>
      </c>
      <c r="J2167" s="29" t="n">
        <v>0</v>
      </c>
      <c r="K2167" s="30" t="n"/>
      <c r="L2167" s="29" t="n">
        <v>0</v>
      </c>
      <c r="M2167" s="29" t="n">
        <v>0</v>
      </c>
      <c r="N2167" s="2" t="n">
        <v>0</v>
      </c>
      <c r="O2167" s="31" t="n">
        <v>0</v>
      </c>
      <c r="P2167" s="32" t="n"/>
      <c r="Q2167" s="32" t="n">
        <v>0</v>
      </c>
      <c r="R2167" s="32" t="n">
        <v>0</v>
      </c>
      <c r="S2167" s="31" t="n">
        <v>0</v>
      </c>
      <c r="T2167" s="32" t="n">
        <v>0</v>
      </c>
      <c r="U2167" s="31" t="n">
        <v>0</v>
      </c>
      <c r="V2167" s="31" t="n">
        <v>0</v>
      </c>
      <c r="W2167" s="3" t="n">
        <v>0</v>
      </c>
      <c r="X2167" s="3" t="n">
        <v>0</v>
      </c>
      <c r="Y2167" s="32" t="n">
        <v>0</v>
      </c>
      <c r="Z2167" s="3" t="n">
        <v>0</v>
      </c>
      <c r="AA2167" s="32" t="n">
        <v>0</v>
      </c>
      <c r="AB2167" s="3" t="n"/>
      <c r="AC2167" s="31" t="n">
        <v>0</v>
      </c>
      <c r="AD2167" s="2" t="n">
        <v>0</v>
      </c>
      <c r="AE2167" s="2" t="n">
        <v>5</v>
      </c>
      <c r="AF2167" s="4" t="n">
        <v>5</v>
      </c>
      <c r="AG2167" s="33" t="n">
        <v>0</v>
      </c>
      <c r="AH2167" s="4" t="n">
        <v>0</v>
      </c>
      <c r="AI2167" s="34" t="n"/>
      <c r="AJ2167" s="34" t="n">
        <v>0</v>
      </c>
      <c r="AK2167" s="2" t="n">
        <v>0</v>
      </c>
      <c r="AL2167" t="inlineStr">
        <is>
          <t>Published</t>
        </is>
      </c>
    </row>
    <row r="2168">
      <c r="A2168">
        <f>HYPERLINK("https://www.walmart.com/ip/589680078", "589680078")</f>
        <v/>
      </c>
      <c r="B2168">
        <f>HYPERLINK("https://app.optiwise.ai/catalog/itemdetails/361643", "Jennis 8in1 Stylish Ladies Magic Scarf Shawl Woolly Charcoal Fiber Head Wrap")</f>
        <v/>
      </c>
      <c r="C2168" t="inlineStr">
        <is>
          <t>MagicScarfClaret</t>
        </is>
      </c>
      <c r="D2168" t="inlineStr">
        <is>
          <t>Clothing</t>
        </is>
      </c>
      <c r="E2168" t="inlineStr">
        <is>
          <t>Scarves</t>
        </is>
      </c>
      <c r="F2168" t="inlineStr">
        <is>
          <t>JenniWears</t>
        </is>
      </c>
      <c r="G2168" t="n">
        <v>3</v>
      </c>
      <c r="H2168" t="n">
        <v>1</v>
      </c>
      <c r="I2168" t="inlineStr">
        <is>
          <t>Optimized</t>
        </is>
      </c>
      <c r="J2168" s="29" t="n">
        <v>0</v>
      </c>
      <c r="K2168" s="30" t="n"/>
      <c r="L2168" s="29" t="n">
        <v>0</v>
      </c>
      <c r="M2168" s="29" t="n">
        <v>0</v>
      </c>
      <c r="N2168" s="2" t="n">
        <v>0</v>
      </c>
      <c r="O2168" s="31" t="n">
        <v>0</v>
      </c>
      <c r="P2168" s="32" t="n"/>
      <c r="Q2168" s="32" t="n">
        <v>0</v>
      </c>
      <c r="R2168" s="32" t="n">
        <v>0</v>
      </c>
      <c r="S2168" s="31" t="n">
        <v>0</v>
      </c>
      <c r="T2168" s="32" t="n">
        <v>0</v>
      </c>
      <c r="U2168" s="31" t="n">
        <v>0</v>
      </c>
      <c r="V2168" s="31" t="n">
        <v>0</v>
      </c>
      <c r="W2168" s="3" t="n">
        <v>0</v>
      </c>
      <c r="X2168" s="3" t="n">
        <v>0</v>
      </c>
      <c r="Y2168" s="32" t="n">
        <v>0</v>
      </c>
      <c r="Z2168" s="3" t="n">
        <v>0</v>
      </c>
      <c r="AA2168" s="32" t="n">
        <v>0</v>
      </c>
      <c r="AB2168" s="3" t="n"/>
      <c r="AC2168" s="31" t="n">
        <v>0</v>
      </c>
      <c r="AD2168" s="2" t="n">
        <v>0</v>
      </c>
      <c r="AE2168" s="2" t="n">
        <v>8</v>
      </c>
      <c r="AF2168" s="4" t="n">
        <v>8</v>
      </c>
      <c r="AG2168" s="33" t="n">
        <v>0</v>
      </c>
      <c r="AH2168" s="4" t="n">
        <v>0</v>
      </c>
      <c r="AI2168" s="34" t="n"/>
      <c r="AJ2168" s="34" t="n">
        <v>0</v>
      </c>
      <c r="AK2168" s="2" t="n">
        <v>0</v>
      </c>
      <c r="AL2168" t="inlineStr">
        <is>
          <t>Published</t>
        </is>
      </c>
    </row>
    <row r="2169">
      <c r="A2169">
        <f>HYPERLINK("https://www.walmart.com/ip/206246680", "206246680")</f>
        <v/>
      </c>
      <c r="B2169">
        <f>HYPERLINK("https://app.optiwise.ai/catalog/itemdetails/361642", "Catalonia Sherpa Throws Blanket,Reversible Match Color Super Soft Fuzzy Comfy Micro Plush Fleece Snuggle Blanket All Season for TV Bed or Couch 50 x 60 Mocha")</f>
        <v/>
      </c>
      <c r="C2169" t="inlineStr">
        <is>
          <t>1CTBF301MK</t>
        </is>
      </c>
      <c r="D2169" t="inlineStr">
        <is>
          <t>Bedding</t>
        </is>
      </c>
      <c r="E2169" t="inlineStr">
        <is>
          <t>Throws</t>
        </is>
      </c>
      <c r="F2169" t="inlineStr">
        <is>
          <t>Catalonia</t>
        </is>
      </c>
      <c r="G2169" t="n">
        <v>0</v>
      </c>
      <c r="H2169" t="n">
        <v>0</v>
      </c>
      <c r="I2169" t="inlineStr">
        <is>
          <t>Optimized</t>
        </is>
      </c>
      <c r="J2169" s="29" t="n">
        <v>0</v>
      </c>
      <c r="K2169" s="30" t="n"/>
      <c r="L2169" s="29" t="n">
        <v>0</v>
      </c>
      <c r="M2169" s="29" t="n">
        <v>0</v>
      </c>
      <c r="N2169" s="2" t="n">
        <v>0</v>
      </c>
      <c r="O2169" s="31" t="n">
        <v>0</v>
      </c>
      <c r="P2169" s="32" t="n"/>
      <c r="Q2169" s="32" t="n">
        <v>0</v>
      </c>
      <c r="R2169" s="32" t="n">
        <v>0</v>
      </c>
      <c r="S2169" s="31" t="n">
        <v>0</v>
      </c>
      <c r="T2169" s="32" t="n">
        <v>0</v>
      </c>
      <c r="U2169" s="31" t="n">
        <v>0</v>
      </c>
      <c r="V2169" s="31" t="n">
        <v>0</v>
      </c>
      <c r="W2169" s="3" t="n">
        <v>0</v>
      </c>
      <c r="X2169" s="3" t="n">
        <v>0</v>
      </c>
      <c r="Y2169" s="32" t="n">
        <v>0</v>
      </c>
      <c r="Z2169" s="3" t="n">
        <v>0</v>
      </c>
      <c r="AA2169" s="32" t="n">
        <v>0</v>
      </c>
      <c r="AB2169" s="3" t="n"/>
      <c r="AC2169" s="31" t="n">
        <v>0</v>
      </c>
      <c r="AD2169" s="2" t="n">
        <v>0</v>
      </c>
      <c r="AE2169" s="2" t="n">
        <v>1</v>
      </c>
      <c r="AF2169" s="4" t="n">
        <v>1</v>
      </c>
      <c r="AG2169" s="33" t="n">
        <v>0</v>
      </c>
      <c r="AH2169" s="4" t="n">
        <v>0</v>
      </c>
      <c r="AI2169" s="34" t="n"/>
      <c r="AJ2169" s="34" t="n">
        <v>0</v>
      </c>
      <c r="AK2169" s="2" t="n">
        <v>0</v>
      </c>
      <c r="AL2169" t="inlineStr">
        <is>
          <t>Published</t>
        </is>
      </c>
    </row>
    <row r="2170">
      <c r="A2170">
        <f>HYPERLINK("https://www.walmart.com/ip/144433784", "144433784")</f>
        <v/>
      </c>
      <c r="B2170">
        <f>HYPERLINK("https://app.optiwise.ai/catalog/itemdetails/361640", "KC Caps Super Soft and Comfy Knit Beanie Winter Cap Pink")</f>
        <v/>
      </c>
      <c r="C2170" t="inlineStr">
        <is>
          <t>kc-w1710pk</t>
        </is>
      </c>
      <c r="D2170" t="inlineStr">
        <is>
          <t>Clothing</t>
        </is>
      </c>
      <c r="E2170" t="inlineStr">
        <is>
          <t>Hats</t>
        </is>
      </c>
      <c r="F2170" t="inlineStr">
        <is>
          <t>KC Caps</t>
        </is>
      </c>
      <c r="G2170" t="n">
        <v>0</v>
      </c>
      <c r="H2170" t="n">
        <v>0</v>
      </c>
      <c r="I2170" t="inlineStr">
        <is>
          <t>Optimized</t>
        </is>
      </c>
      <c r="J2170" s="29" t="n">
        <v>0</v>
      </c>
      <c r="K2170" s="30" t="n"/>
      <c r="L2170" s="29" t="n">
        <v>0</v>
      </c>
      <c r="M2170" s="29" t="n">
        <v>0</v>
      </c>
      <c r="N2170" s="2" t="n">
        <v>0</v>
      </c>
      <c r="O2170" s="31" t="n">
        <v>0</v>
      </c>
      <c r="P2170" s="32" t="n"/>
      <c r="Q2170" s="32" t="n">
        <v>0</v>
      </c>
      <c r="R2170" s="32" t="n">
        <v>0</v>
      </c>
      <c r="S2170" s="31" t="n">
        <v>0</v>
      </c>
      <c r="T2170" s="32" t="n">
        <v>0</v>
      </c>
      <c r="U2170" s="31" t="n">
        <v>0</v>
      </c>
      <c r="V2170" s="31" t="n">
        <v>0</v>
      </c>
      <c r="W2170" s="3" t="n">
        <v>0</v>
      </c>
      <c r="X2170" s="3" t="n">
        <v>0</v>
      </c>
      <c r="Y2170" s="32" t="n">
        <v>0</v>
      </c>
      <c r="Z2170" s="3" t="n">
        <v>0</v>
      </c>
      <c r="AA2170" s="32" t="n">
        <v>0</v>
      </c>
      <c r="AB2170" s="3" t="n"/>
      <c r="AC2170" s="31" t="n">
        <v>0</v>
      </c>
      <c r="AD2170" s="2" t="n">
        <v>0</v>
      </c>
      <c r="AE2170" s="2" t="n">
        <v>3</v>
      </c>
      <c r="AF2170" s="4" t="n">
        <v>3</v>
      </c>
      <c r="AG2170" s="33" t="n">
        <v>0</v>
      </c>
      <c r="AH2170" s="4" t="n">
        <v>0</v>
      </c>
      <c r="AI2170" s="34" t="n"/>
      <c r="AJ2170" s="34" t="n">
        <v>0</v>
      </c>
      <c r="AK2170" s="2" t="n">
        <v>0</v>
      </c>
      <c r="AL2170" t="inlineStr">
        <is>
          <t>Published</t>
        </is>
      </c>
    </row>
    <row r="2171">
      <c r="A2171">
        <f>HYPERLINK("https://www.walmart.com/ip/930143256", "930143256")</f>
        <v/>
      </c>
      <c r="B2171">
        <f>HYPERLINK("https://app.optiwise.ai/catalog/itemdetails/361638", "Sherpa Slipper Socks for Women,Winter Indoor Home Non Skid Booties")</f>
        <v/>
      </c>
      <c r="C2171" t="inlineStr">
        <is>
          <t>1CTST200GY-1</t>
        </is>
      </c>
      <c r="D2171" t="inlineStr">
        <is>
          <t>Clothing</t>
        </is>
      </c>
      <c r="E2171" t="inlineStr">
        <is>
          <t>Socks</t>
        </is>
      </c>
      <c r="F2171" t="inlineStr">
        <is>
          <t>Catalonia</t>
        </is>
      </c>
      <c r="G2171" t="n">
        <v>0</v>
      </c>
      <c r="H2171" t="n">
        <v>0</v>
      </c>
      <c r="I2171" t="inlineStr">
        <is>
          <t>WFS,WFS Item</t>
        </is>
      </c>
      <c r="J2171" s="29" t="n">
        <v>0</v>
      </c>
      <c r="K2171" s="30" t="n"/>
      <c r="L2171" s="29" t="n">
        <v>0</v>
      </c>
      <c r="M2171" s="29" t="n">
        <v>0</v>
      </c>
      <c r="N2171" s="2" t="n">
        <v>0</v>
      </c>
      <c r="O2171" s="31" t="n">
        <v>0</v>
      </c>
      <c r="P2171" s="32" t="n"/>
      <c r="Q2171" s="32" t="n">
        <v>0</v>
      </c>
      <c r="R2171" s="32" t="n">
        <v>0</v>
      </c>
      <c r="S2171" s="31" t="n">
        <v>0</v>
      </c>
      <c r="T2171" s="32" t="n">
        <v>0</v>
      </c>
      <c r="U2171" s="31" t="n">
        <v>0</v>
      </c>
      <c r="V2171" s="31" t="n">
        <v>0</v>
      </c>
      <c r="W2171" s="3" t="n">
        <v>0</v>
      </c>
      <c r="X2171" s="3" t="n">
        <v>0</v>
      </c>
      <c r="Y2171" s="32" t="n">
        <v>0</v>
      </c>
      <c r="Z2171" s="3" t="n">
        <v>0</v>
      </c>
      <c r="AA2171" s="32" t="n">
        <v>0</v>
      </c>
      <c r="AB2171" s="3" t="n"/>
      <c r="AC2171" s="31" t="n">
        <v>0</v>
      </c>
      <c r="AD2171" s="2" t="n">
        <v>0</v>
      </c>
      <c r="AE2171" s="2" t="n">
        <v>14</v>
      </c>
      <c r="AF2171" s="4" t="n">
        <v>14</v>
      </c>
      <c r="AG2171" s="33" t="n">
        <v>0</v>
      </c>
      <c r="AH2171" s="4" t="n">
        <v>0</v>
      </c>
      <c r="AI2171" s="34" t="n"/>
      <c r="AJ2171" s="34" t="n">
        <v>0</v>
      </c>
      <c r="AK2171" s="2" t="n">
        <v>0</v>
      </c>
      <c r="AL2171" t="inlineStr">
        <is>
          <t>Published</t>
        </is>
      </c>
    </row>
    <row r="2172">
      <c r="A2172">
        <f>HYPERLINK("https://www.walmart.com/ip/812918085", "812918085")</f>
        <v/>
      </c>
      <c r="B2172">
        <f>HYPERLINK("https://app.optiwise.ai/catalog/itemdetails/361636", "Flyingstar Sherpa Throws Blanket, Fleece Soft Cozy Blanket Throws for Sofa Bed 50x60")</f>
        <v/>
      </c>
      <c r="C2172" t="inlineStr">
        <is>
          <t>1WMBF573BKDENTE</t>
        </is>
      </c>
      <c r="D2172" t="inlineStr">
        <is>
          <t>Bedding</t>
        </is>
      </c>
      <c r="E2172" t="inlineStr">
        <is>
          <t>Throws</t>
        </is>
      </c>
      <c r="F2172" t="inlineStr">
        <is>
          <t>Flyingstar</t>
        </is>
      </c>
      <c r="G2172" t="n">
        <v>0</v>
      </c>
      <c r="H2172" t="n">
        <v>0</v>
      </c>
      <c r="I2172" t="inlineStr">
        <is>
          <t>Optimized</t>
        </is>
      </c>
      <c r="J2172" s="29" t="n">
        <v>0</v>
      </c>
      <c r="K2172" s="30" t="n"/>
      <c r="L2172" s="29" t="n">
        <v>0</v>
      </c>
      <c r="M2172" s="29" t="n">
        <v>0</v>
      </c>
      <c r="N2172" s="2" t="n">
        <v>0</v>
      </c>
      <c r="O2172" s="31" t="n">
        <v>0</v>
      </c>
      <c r="P2172" s="32" t="n"/>
      <c r="Q2172" s="32" t="n">
        <v>0</v>
      </c>
      <c r="R2172" s="32" t="n">
        <v>0</v>
      </c>
      <c r="S2172" s="31" t="n">
        <v>0</v>
      </c>
      <c r="T2172" s="32" t="n">
        <v>0</v>
      </c>
      <c r="U2172" s="31" t="n">
        <v>0</v>
      </c>
      <c r="V2172" s="31" t="n">
        <v>0</v>
      </c>
      <c r="W2172" s="3" t="n">
        <v>0</v>
      </c>
      <c r="X2172" s="3" t="n">
        <v>0</v>
      </c>
      <c r="Y2172" s="32" t="n">
        <v>0</v>
      </c>
      <c r="Z2172" s="3" t="n">
        <v>0</v>
      </c>
      <c r="AA2172" s="32" t="n">
        <v>0</v>
      </c>
      <c r="AB2172" s="3" t="n"/>
      <c r="AC2172" s="31" t="n">
        <v>0</v>
      </c>
      <c r="AD2172" s="2" t="n">
        <v>0</v>
      </c>
      <c r="AE2172" s="2" t="n">
        <v>3</v>
      </c>
      <c r="AF2172" s="4" t="n">
        <v>3</v>
      </c>
      <c r="AG2172" s="33" t="n">
        <v>0</v>
      </c>
      <c r="AH2172" s="4" t="n">
        <v>0</v>
      </c>
      <c r="AI2172" s="34" t="n"/>
      <c r="AJ2172" s="34" t="n">
        <v>0</v>
      </c>
      <c r="AK2172" s="2" t="n">
        <v>0</v>
      </c>
      <c r="AL2172" t="inlineStr">
        <is>
          <t>Published</t>
        </is>
      </c>
    </row>
    <row r="2173">
      <c r="A2173">
        <f>HYPERLINK("https://www.walmart.com/ip/601951158", "601951158")</f>
        <v/>
      </c>
      <c r="B2173">
        <f>HYPERLINK("https://app.optiwise.ai/catalog/itemdetails/361629", "Catalonia Fleece Wearable Blanket Poncho for Adult Women Men, Wrap Blanket Cape with Pocket | Warm, Soft, Cozy, Snuggly, Comfort Gift, Wrap Blanket Cape with Hood, Gift Idea, Cheetah")</f>
        <v/>
      </c>
      <c r="C2173" t="inlineStr">
        <is>
          <t>1CTBP120CHEETAH</t>
        </is>
      </c>
      <c r="D2173" t="inlineStr">
        <is>
          <t>Bedding</t>
        </is>
      </c>
      <c r="E2173" t="inlineStr">
        <is>
          <t>Throws</t>
        </is>
      </c>
      <c r="F2173" t="inlineStr">
        <is>
          <t>Catalonia</t>
        </is>
      </c>
      <c r="G2173" t="n">
        <v>0</v>
      </c>
      <c r="H2173" t="n">
        <v>0</v>
      </c>
      <c r="I2173" t="inlineStr">
        <is>
          <t>Q2-Target,Hero 5 Holidays,WFS,cost-added,WFS Item</t>
        </is>
      </c>
      <c r="J2173" s="29" t="n">
        <v>0</v>
      </c>
      <c r="K2173" s="30" t="n"/>
      <c r="L2173" s="29" t="n">
        <v>0</v>
      </c>
      <c r="M2173" s="29" t="n">
        <v>0</v>
      </c>
      <c r="N2173" s="2" t="n">
        <v>0</v>
      </c>
      <c r="O2173" s="31" t="n">
        <v>0</v>
      </c>
      <c r="P2173" s="32" t="n"/>
      <c r="Q2173" s="32" t="n">
        <v>0</v>
      </c>
      <c r="R2173" s="32" t="n">
        <v>0</v>
      </c>
      <c r="S2173" s="31" t="n">
        <v>0</v>
      </c>
      <c r="T2173" s="32" t="n">
        <v>0</v>
      </c>
      <c r="U2173" s="31" t="n">
        <v>0</v>
      </c>
      <c r="V2173" s="31" t="n">
        <v>0</v>
      </c>
      <c r="W2173" s="3" t="n">
        <v>0</v>
      </c>
      <c r="X2173" s="3" t="n">
        <v>0</v>
      </c>
      <c r="Y2173" s="32" t="n">
        <v>0</v>
      </c>
      <c r="Z2173" s="3" t="n">
        <v>0</v>
      </c>
      <c r="AA2173" s="32" t="n">
        <v>0</v>
      </c>
      <c r="AB2173" s="3" t="n"/>
      <c r="AC2173" s="31" t="n">
        <v>0</v>
      </c>
      <c r="AD2173" s="2" t="n">
        <v>21</v>
      </c>
      <c r="AE2173" s="2" t="n">
        <v>7</v>
      </c>
      <c r="AF2173" s="4" t="n">
        <v>14</v>
      </c>
      <c r="AG2173" s="33" t="n">
        <v>0</v>
      </c>
      <c r="AH2173" s="4" t="n">
        <v>0</v>
      </c>
      <c r="AI2173" s="34" t="n"/>
      <c r="AJ2173" s="34" t="n">
        <v>0</v>
      </c>
      <c r="AK2173" s="2" t="n">
        <v>0</v>
      </c>
      <c r="AL2173" t="inlineStr">
        <is>
          <t>Published</t>
        </is>
      </c>
    </row>
    <row r="2174">
      <c r="A2174">
        <f>HYPERLINK("https://www.walmart.com/ip/984075304", "984075304")</f>
        <v/>
      </c>
      <c r="B2174">
        <f>HYPERLINK("https://app.optiwise.ai/catalog/itemdetails/361628", "Orico® 5 Ports USB Quick-acting Travel Wall Charger for iPhone 6s LG Cell Phone")</f>
        <v/>
      </c>
      <c r="C2174" t="inlineStr">
        <is>
          <t>ORICO DCH-5U BK</t>
        </is>
      </c>
      <c r="D2174" t="inlineStr">
        <is>
          <t>Electronics Other</t>
        </is>
      </c>
      <c r="E2174" t="inlineStr">
        <is>
          <t>USB Hubs</t>
        </is>
      </c>
      <c r="F2174" t="inlineStr">
        <is>
          <t>ORICO</t>
        </is>
      </c>
      <c r="G2174" t="n">
        <v>5</v>
      </c>
      <c r="H2174" t="n">
        <v>1</v>
      </c>
      <c r="I2174" t="inlineStr">
        <is>
          <t>Batch 1 - TR</t>
        </is>
      </c>
      <c r="J2174" s="29" t="n">
        <v>0</v>
      </c>
      <c r="K2174" s="30" t="n"/>
      <c r="L2174" s="29" t="n">
        <v>0</v>
      </c>
      <c r="M2174" s="29" t="n">
        <v>0</v>
      </c>
      <c r="N2174" s="2" t="n">
        <v>0</v>
      </c>
      <c r="O2174" s="31" t="n">
        <v>0</v>
      </c>
      <c r="P2174" s="32" t="n"/>
      <c r="Q2174" s="32" t="n">
        <v>0</v>
      </c>
      <c r="R2174" s="32" t="n">
        <v>0</v>
      </c>
      <c r="S2174" s="31" t="n">
        <v>0</v>
      </c>
      <c r="T2174" s="32" t="n">
        <v>0</v>
      </c>
      <c r="U2174" s="31" t="n">
        <v>0</v>
      </c>
      <c r="V2174" s="31" t="n">
        <v>0</v>
      </c>
      <c r="W2174" s="3" t="n">
        <v>0</v>
      </c>
      <c r="X2174" s="3" t="n">
        <v>0</v>
      </c>
      <c r="Y2174" s="32" t="n">
        <v>0</v>
      </c>
      <c r="Z2174" s="3" t="n">
        <v>0</v>
      </c>
      <c r="AA2174" s="32" t="n">
        <v>0</v>
      </c>
      <c r="AB2174" s="3" t="n"/>
      <c r="AC2174" s="31" t="n">
        <v>0</v>
      </c>
      <c r="AD2174" s="2" t="n">
        <v>0</v>
      </c>
      <c r="AE2174" s="2" t="n">
        <v>0</v>
      </c>
      <c r="AF2174" s="4" t="n">
        <v>0</v>
      </c>
      <c r="AG2174" s="33" t="n">
        <v>0</v>
      </c>
      <c r="AH2174" s="4" t="n">
        <v>0</v>
      </c>
      <c r="AI2174" s="34" t="n"/>
      <c r="AJ2174" s="34" t="n">
        <v>0</v>
      </c>
      <c r="AK2174" s="2" t="n">
        <v>0</v>
      </c>
      <c r="AL2174" t="inlineStr">
        <is>
          <t>Published</t>
        </is>
      </c>
    </row>
    <row r="2175">
      <c r="A2175">
        <f>HYPERLINK("https://www.walmart.com/ip/197763165", "197763165")</f>
        <v/>
      </c>
      <c r="B2175">
        <f>HYPERLINK("https://app.optiwise.ai/catalog/itemdetails/361625", "JenniWears Women's Beileise  Sexy Net Pantyhose  Stockings Black Sheer Socks")</f>
        <v/>
      </c>
      <c r="C2175" t="inlineStr">
        <is>
          <t>JWBLSPH2085</t>
        </is>
      </c>
      <c r="D2175" t="inlineStr">
        <is>
          <t>Clothing</t>
        </is>
      </c>
      <c r="E2175" t="inlineStr">
        <is>
          <t>Pantyhose &amp; Tights</t>
        </is>
      </c>
      <c r="F2175" t="inlineStr">
        <is>
          <t>JenniWears</t>
        </is>
      </c>
      <c r="G2175" t="n">
        <v>0</v>
      </c>
      <c r="H2175" t="n">
        <v>0</v>
      </c>
      <c r="I2175" t="inlineStr">
        <is>
          <t>Optimized,Valentine</t>
        </is>
      </c>
      <c r="J2175" s="29" t="n">
        <v>0</v>
      </c>
      <c r="K2175" s="30" t="n"/>
      <c r="L2175" s="29" t="n">
        <v>0</v>
      </c>
      <c r="M2175" s="29" t="n">
        <v>0</v>
      </c>
      <c r="N2175" s="2" t="n">
        <v>0</v>
      </c>
      <c r="O2175" s="31" t="n">
        <v>0</v>
      </c>
      <c r="P2175" s="32" t="n"/>
      <c r="Q2175" s="32" t="n">
        <v>0</v>
      </c>
      <c r="R2175" s="32" t="n">
        <v>0</v>
      </c>
      <c r="S2175" s="31" t="n">
        <v>0</v>
      </c>
      <c r="T2175" s="32" t="n">
        <v>0</v>
      </c>
      <c r="U2175" s="31" t="n">
        <v>0</v>
      </c>
      <c r="V2175" s="31" t="n">
        <v>0</v>
      </c>
      <c r="W2175" s="3" t="n">
        <v>0</v>
      </c>
      <c r="X2175" s="3" t="n">
        <v>0</v>
      </c>
      <c r="Y2175" s="32" t="n">
        <v>0</v>
      </c>
      <c r="Z2175" s="3" t="n">
        <v>0</v>
      </c>
      <c r="AA2175" s="32" t="n">
        <v>0</v>
      </c>
      <c r="AB2175" s="3" t="n"/>
      <c r="AC2175" s="31" t="n">
        <v>0</v>
      </c>
      <c r="AD2175" s="2" t="n">
        <v>0</v>
      </c>
      <c r="AE2175" s="2" t="n">
        <v>22</v>
      </c>
      <c r="AF2175" s="4" t="n">
        <v>22</v>
      </c>
      <c r="AG2175" s="33" t="n">
        <v>0</v>
      </c>
      <c r="AH2175" s="4" t="n">
        <v>0</v>
      </c>
      <c r="AI2175" s="34" t="n"/>
      <c r="AJ2175" s="34" t="n">
        <v>0</v>
      </c>
      <c r="AK2175" s="2" t="n">
        <v>0</v>
      </c>
      <c r="AL2175" t="inlineStr">
        <is>
          <t>Published</t>
        </is>
      </c>
    </row>
    <row r="2176">
      <c r="A2176">
        <f>HYPERLINK("https://www.walmart.com/ip/136742793", "136742793")</f>
        <v/>
      </c>
      <c r="B2176">
        <f>HYPERLINK("https://app.optiwise.ai/catalog/itemdetails/361683", "Napa Premium Chevron Micro Plush Fleece Sherpa Bed Throw TV Blanket 50” x 60” Sea Blue")</f>
        <v/>
      </c>
      <c r="C2176" t="inlineStr">
        <is>
          <t>K8020SEABLUE</t>
        </is>
      </c>
      <c r="D2176" t="inlineStr">
        <is>
          <t>Bedding</t>
        </is>
      </c>
      <c r="E2176" t="inlineStr">
        <is>
          <t>Throws</t>
        </is>
      </c>
      <c r="F2176" t="inlineStr">
        <is>
          <t>NAPA</t>
        </is>
      </c>
      <c r="G2176" t="n">
        <v>5</v>
      </c>
      <c r="H2176" t="n">
        <v>1</v>
      </c>
      <c r="I2176" t="inlineStr">
        <is>
          <t>Optimized</t>
        </is>
      </c>
      <c r="J2176" s="29" t="n">
        <v>0</v>
      </c>
      <c r="K2176" s="30" t="n"/>
      <c r="L2176" s="29" t="n">
        <v>0</v>
      </c>
      <c r="M2176" s="29" t="n">
        <v>0</v>
      </c>
      <c r="N2176" s="2" t="n">
        <v>0</v>
      </c>
      <c r="O2176" s="31" t="n">
        <v>0</v>
      </c>
      <c r="P2176" s="32" t="n"/>
      <c r="Q2176" s="32" t="n">
        <v>0</v>
      </c>
      <c r="R2176" s="32" t="n">
        <v>0</v>
      </c>
      <c r="S2176" s="31" t="n">
        <v>0</v>
      </c>
      <c r="T2176" s="32" t="n">
        <v>0</v>
      </c>
      <c r="U2176" s="31" t="n">
        <v>0</v>
      </c>
      <c r="V2176" s="31" t="n">
        <v>0</v>
      </c>
      <c r="W2176" s="3" t="n">
        <v>0</v>
      </c>
      <c r="X2176" s="3" t="n">
        <v>0</v>
      </c>
      <c r="Y2176" s="32" t="n">
        <v>0</v>
      </c>
      <c r="Z2176" s="3" t="n">
        <v>0</v>
      </c>
      <c r="AA2176" s="32" t="n">
        <v>0</v>
      </c>
      <c r="AB2176" s="3" t="n"/>
      <c r="AC2176" s="31" t="n">
        <v>0</v>
      </c>
      <c r="AD2176" s="2" t="n">
        <v>0</v>
      </c>
      <c r="AE2176" s="2" t="n">
        <v>1</v>
      </c>
      <c r="AF2176" s="4" t="n">
        <v>1</v>
      </c>
      <c r="AG2176" s="33" t="n">
        <v>0</v>
      </c>
      <c r="AH2176" s="4" t="n">
        <v>0</v>
      </c>
      <c r="AI2176" s="34" t="n"/>
      <c r="AJ2176" s="34" t="n">
        <v>0</v>
      </c>
      <c r="AK2176" s="2" t="n">
        <v>0</v>
      </c>
      <c r="AL2176" t="inlineStr">
        <is>
          <t>Published</t>
        </is>
      </c>
    </row>
    <row r="2177">
      <c r="A2177">
        <f>HYPERLINK("https://www.walmart.com/ip/405670396", "405670396")</f>
        <v/>
      </c>
      <c r="B2177">
        <f>HYPERLINK("https://app.optiwise.ai/catalog/itemdetails/361694", "Solaris Ski Gloves, Winter Warm 3M Insulation Waterproof Snow Gloves for Skiing, Snowboarding, Motorcycling,Cycling, Outdoor Sports, Gifts for Men, Size Run Small")</f>
        <v/>
      </c>
      <c r="C2177" t="inlineStr">
        <is>
          <t>1SLWG300BKS</t>
        </is>
      </c>
      <c r="D2177" t="inlineStr">
        <is>
          <t>Clothing</t>
        </is>
      </c>
      <c r="E2177" t="inlineStr">
        <is>
          <t>Gloves &amp; Mittens</t>
        </is>
      </c>
      <c r="F2177" t="inlineStr">
        <is>
          <t>Solaris</t>
        </is>
      </c>
      <c r="G2177" t="n">
        <v>0</v>
      </c>
      <c r="H2177" t="n">
        <v>0</v>
      </c>
      <c r="I2177" t="inlineStr">
        <is>
          <t>Optimized,Gloves</t>
        </is>
      </c>
      <c r="J2177" s="29" t="n">
        <v>0</v>
      </c>
      <c r="K2177" s="30" t="n"/>
      <c r="L2177" s="29" t="n">
        <v>0</v>
      </c>
      <c r="M2177" s="29" t="n">
        <v>0</v>
      </c>
      <c r="N2177" s="2" t="n">
        <v>0</v>
      </c>
      <c r="O2177" s="31" t="n">
        <v>0</v>
      </c>
      <c r="P2177" s="32" t="n"/>
      <c r="Q2177" s="32" t="n">
        <v>0</v>
      </c>
      <c r="R2177" s="32" t="n">
        <v>0</v>
      </c>
      <c r="S2177" s="31" t="n">
        <v>0</v>
      </c>
      <c r="T2177" s="32" t="n">
        <v>0</v>
      </c>
      <c r="U2177" s="31" t="n">
        <v>0</v>
      </c>
      <c r="V2177" s="31" t="n">
        <v>0</v>
      </c>
      <c r="W2177" s="3" t="n">
        <v>0</v>
      </c>
      <c r="X2177" s="3" t="n">
        <v>0</v>
      </c>
      <c r="Y2177" s="32" t="n">
        <v>0</v>
      </c>
      <c r="Z2177" s="3" t="n">
        <v>0</v>
      </c>
      <c r="AA2177" s="32" t="n">
        <v>0</v>
      </c>
      <c r="AB2177" s="3" t="n"/>
      <c r="AC2177" s="31" t="n">
        <v>0</v>
      </c>
      <c r="AD2177" s="2" t="n">
        <v>0</v>
      </c>
      <c r="AE2177" s="2" t="n">
        <v>30</v>
      </c>
      <c r="AF2177" s="4" t="n">
        <v>30</v>
      </c>
      <c r="AG2177" s="33" t="n">
        <v>0</v>
      </c>
      <c r="AH2177" s="4" t="n">
        <v>0</v>
      </c>
      <c r="AI2177" s="34" t="n"/>
      <c r="AJ2177" s="34" t="n">
        <v>0</v>
      </c>
      <c r="AK2177" s="2" t="n">
        <v>0</v>
      </c>
      <c r="AL2177" t="inlineStr">
        <is>
          <t>Published</t>
        </is>
      </c>
    </row>
    <row r="2178">
      <c r="A2178">
        <f>HYPERLINK("https://www.walmart.com/ip/178689917", "178689917")</f>
        <v/>
      </c>
      <c r="B2178">
        <f>HYPERLINK("https://app.optiwise.ai/catalog/itemdetails/361697", "Jenniwears Women's Sexy Lingerie Lace Mesh 2-Piece Bowknot Halter Chemise with G-String")</f>
        <v/>
      </c>
      <c r="C2178" t="inlineStr">
        <is>
          <t>JWND03HP</t>
        </is>
      </c>
      <c r="D2178" t="inlineStr">
        <is>
          <t>Clothing</t>
        </is>
      </c>
      <c r="E2178" t="inlineStr">
        <is>
          <t>Lingerie Sets</t>
        </is>
      </c>
      <c r="F2178" t="inlineStr">
        <is>
          <t>JenniWears</t>
        </is>
      </c>
      <c r="G2178" t="n">
        <v>0</v>
      </c>
      <c r="H2178" t="n">
        <v>0</v>
      </c>
      <c r="I2178" t="inlineStr">
        <is>
          <t>Optimized,Valentine</t>
        </is>
      </c>
      <c r="J2178" s="29" t="n">
        <v>0</v>
      </c>
      <c r="K2178" s="30" t="n"/>
      <c r="L2178" s="29" t="n">
        <v>0</v>
      </c>
      <c r="M2178" s="29" t="n">
        <v>0</v>
      </c>
      <c r="N2178" s="2" t="n">
        <v>0</v>
      </c>
      <c r="O2178" s="31" t="n">
        <v>0</v>
      </c>
      <c r="P2178" s="32" t="n"/>
      <c r="Q2178" s="32" t="n">
        <v>0</v>
      </c>
      <c r="R2178" s="32" t="n">
        <v>0</v>
      </c>
      <c r="S2178" s="31" t="n">
        <v>0</v>
      </c>
      <c r="T2178" s="32" t="n">
        <v>0</v>
      </c>
      <c r="U2178" s="31" t="n">
        <v>0</v>
      </c>
      <c r="V2178" s="31" t="n">
        <v>0</v>
      </c>
      <c r="W2178" s="3" t="n">
        <v>0</v>
      </c>
      <c r="X2178" s="3" t="n">
        <v>0</v>
      </c>
      <c r="Y2178" s="32" t="n">
        <v>0</v>
      </c>
      <c r="Z2178" s="3" t="n">
        <v>0</v>
      </c>
      <c r="AA2178" s="32" t="n">
        <v>0</v>
      </c>
      <c r="AB2178" s="3" t="n"/>
      <c r="AC2178" s="31" t="n">
        <v>0</v>
      </c>
      <c r="AD2178" s="2" t="n">
        <v>0</v>
      </c>
      <c r="AE2178" s="2" t="n">
        <v>5</v>
      </c>
      <c r="AF2178" s="4" t="n">
        <v>5</v>
      </c>
      <c r="AG2178" s="33" t="n">
        <v>0</v>
      </c>
      <c r="AH2178" s="4" t="n">
        <v>0</v>
      </c>
      <c r="AI2178" s="34" t="n"/>
      <c r="AJ2178" s="34" t="n">
        <v>0</v>
      </c>
      <c r="AK2178" s="2" t="n">
        <v>0</v>
      </c>
      <c r="AL2178" t="inlineStr">
        <is>
          <t>Published</t>
        </is>
      </c>
    </row>
    <row r="2179">
      <c r="A2179">
        <f>HYPERLINK("https://www.walmart.com/ip/179253831", "179253831")</f>
        <v/>
      </c>
      <c r="B2179">
        <f>HYPERLINK("https://app.optiwise.ai/catalog/itemdetails/361757", "KC Caps® Unstructured Low-profile Two-Tone Denim Garment Washed Baseball Cap")</f>
        <v/>
      </c>
      <c r="C2179" t="inlineStr">
        <is>
          <t>KC8080JEANGN</t>
        </is>
      </c>
      <c r="D2179" t="inlineStr">
        <is>
          <t>Clothing</t>
        </is>
      </c>
      <c r="E2179" t="inlineStr">
        <is>
          <t>Hats</t>
        </is>
      </c>
      <c r="F2179" t="inlineStr">
        <is>
          <t>KC Caps</t>
        </is>
      </c>
      <c r="G2179" t="n">
        <v>0</v>
      </c>
      <c r="H2179" t="n">
        <v>0</v>
      </c>
      <c r="I2179" t="inlineStr">
        <is>
          <t>Optimized</t>
        </is>
      </c>
      <c r="J2179" s="29" t="n">
        <v>0</v>
      </c>
      <c r="K2179" s="30" t="n"/>
      <c r="L2179" s="29" t="n">
        <v>0</v>
      </c>
      <c r="M2179" s="29" t="n">
        <v>0</v>
      </c>
      <c r="N2179" s="2" t="n">
        <v>0</v>
      </c>
      <c r="O2179" s="31" t="n">
        <v>0</v>
      </c>
      <c r="P2179" s="32" t="n"/>
      <c r="Q2179" s="32" t="n">
        <v>0</v>
      </c>
      <c r="R2179" s="32" t="n">
        <v>0</v>
      </c>
      <c r="S2179" s="31" t="n">
        <v>0</v>
      </c>
      <c r="T2179" s="32" t="n">
        <v>0</v>
      </c>
      <c r="U2179" s="31" t="n">
        <v>0</v>
      </c>
      <c r="V2179" s="31" t="n">
        <v>0</v>
      </c>
      <c r="W2179" s="3" t="n">
        <v>0</v>
      </c>
      <c r="X2179" s="3" t="n">
        <v>0</v>
      </c>
      <c r="Y2179" s="32" t="n">
        <v>0</v>
      </c>
      <c r="Z2179" s="3" t="n">
        <v>0</v>
      </c>
      <c r="AA2179" s="32" t="n">
        <v>0</v>
      </c>
      <c r="AB2179" s="3" t="n"/>
      <c r="AC2179" s="31" t="n">
        <v>0</v>
      </c>
      <c r="AD2179" s="2" t="n">
        <v>0</v>
      </c>
      <c r="AE2179" s="2" t="n">
        <v>6</v>
      </c>
      <c r="AF2179" s="4" t="n">
        <v>6</v>
      </c>
      <c r="AG2179" s="33" t="n">
        <v>0</v>
      </c>
      <c r="AH2179" s="4" t="n">
        <v>0</v>
      </c>
      <c r="AI2179" s="34" t="n"/>
      <c r="AJ2179" s="34" t="n">
        <v>0</v>
      </c>
      <c r="AK2179" s="2" t="n">
        <v>0</v>
      </c>
      <c r="AL2179" t="inlineStr">
        <is>
          <t>Published</t>
        </is>
      </c>
    </row>
    <row r="2180">
      <c r="A2180">
        <f>HYPERLINK("https://www.walmart.com/ip/457872944", "457872944")</f>
        <v/>
      </c>
      <c r="B2180">
        <f>HYPERLINK("https://app.optiwise.ai/catalog/itemdetails/361809", "Two Pieces Tankini Swimsuit for Women Shoulder Strap Swimwear Bikini Bottom Bathing Suits Set by Tirrinia")</f>
        <v/>
      </c>
      <c r="C2180" t="inlineStr">
        <is>
          <t>1SLSS006BKBK-M</t>
        </is>
      </c>
      <c r="D2180" t="inlineStr">
        <is>
          <t>Clothing</t>
        </is>
      </c>
      <c r="E2180" t="inlineStr">
        <is>
          <t>Swimsuit Sets</t>
        </is>
      </c>
      <c r="F2180" t="inlineStr">
        <is>
          <t>Solaris</t>
        </is>
      </c>
      <c r="G2180" t="n">
        <v>0</v>
      </c>
      <c r="H2180" t="n">
        <v>0</v>
      </c>
      <c r="I2180" t="inlineStr">
        <is>
          <t>Optimized</t>
        </is>
      </c>
      <c r="J2180" s="29" t="n">
        <v>0</v>
      </c>
      <c r="K2180" s="30" t="n"/>
      <c r="L2180" s="29" t="n">
        <v>0</v>
      </c>
      <c r="M2180" s="29" t="n">
        <v>0</v>
      </c>
      <c r="N2180" s="2" t="n">
        <v>0</v>
      </c>
      <c r="O2180" s="31" t="n">
        <v>0</v>
      </c>
      <c r="P2180" s="32" t="n"/>
      <c r="Q2180" s="32" t="n">
        <v>0</v>
      </c>
      <c r="R2180" s="32" t="n">
        <v>0</v>
      </c>
      <c r="S2180" s="31" t="n">
        <v>0</v>
      </c>
      <c r="T2180" s="32" t="n">
        <v>0</v>
      </c>
      <c r="U2180" s="31" t="n">
        <v>0</v>
      </c>
      <c r="V2180" s="31" t="n">
        <v>0</v>
      </c>
      <c r="W2180" s="3" t="n">
        <v>0</v>
      </c>
      <c r="X2180" s="3" t="n">
        <v>0</v>
      </c>
      <c r="Y2180" s="32" t="n">
        <v>0</v>
      </c>
      <c r="Z2180" s="3" t="n">
        <v>0</v>
      </c>
      <c r="AA2180" s="32" t="n">
        <v>0</v>
      </c>
      <c r="AB2180" s="3" t="n"/>
      <c r="AC2180" s="31" t="n">
        <v>0</v>
      </c>
      <c r="AD2180" s="2" t="n">
        <v>0</v>
      </c>
      <c r="AE2180" s="2" t="n">
        <v>27</v>
      </c>
      <c r="AF2180" s="4" t="n">
        <v>27</v>
      </c>
      <c r="AG2180" s="33" t="n">
        <v>0</v>
      </c>
      <c r="AH2180" s="4" t="n">
        <v>0</v>
      </c>
      <c r="AI2180" s="34" t="n"/>
      <c r="AJ2180" s="34" t="n">
        <v>0</v>
      </c>
      <c r="AK2180" s="2" t="n">
        <v>0</v>
      </c>
      <c r="AL2180" t="inlineStr">
        <is>
          <t>Published</t>
        </is>
      </c>
    </row>
    <row r="2181">
      <c r="A2181">
        <f>HYPERLINK("https://www.walmart.com/ip/183134043", "183134043")</f>
        <v/>
      </c>
      <c r="B2181">
        <f>HYPERLINK("https://app.optiwise.ai/catalog/itemdetails/361803", "Target® Slim Running Belts Adjustable Waist Pack Bag for iPhone 6s/plus Phone")</f>
        <v/>
      </c>
      <c r="C2181" t="inlineStr">
        <is>
          <t>TARGETWB01L-HP</t>
        </is>
      </c>
      <c r="D2181" t="inlineStr">
        <is>
          <t>Cases &amp; Bags</t>
        </is>
      </c>
      <c r="E2181" t="inlineStr">
        <is>
          <t>Running Belts</t>
        </is>
      </c>
      <c r="F2181" t="inlineStr">
        <is>
          <t>Target</t>
        </is>
      </c>
      <c r="G2181" t="n">
        <v>2.7</v>
      </c>
      <c r="H2181" t="n">
        <v>3</v>
      </c>
      <c r="I2181" t="inlineStr">
        <is>
          <t>Optimized</t>
        </is>
      </c>
      <c r="J2181" s="29" t="n">
        <v>0</v>
      </c>
      <c r="K2181" s="30" t="n"/>
      <c r="L2181" s="29" t="n">
        <v>0</v>
      </c>
      <c r="M2181" s="29" t="n">
        <v>0</v>
      </c>
      <c r="N2181" s="2" t="n">
        <v>0</v>
      </c>
      <c r="O2181" s="31" t="n">
        <v>0</v>
      </c>
      <c r="P2181" s="32" t="n"/>
      <c r="Q2181" s="32" t="n">
        <v>0</v>
      </c>
      <c r="R2181" s="32" t="n">
        <v>0</v>
      </c>
      <c r="S2181" s="31" t="n">
        <v>0</v>
      </c>
      <c r="T2181" s="32" t="n">
        <v>0</v>
      </c>
      <c r="U2181" s="31" t="n">
        <v>0</v>
      </c>
      <c r="V2181" s="31" t="n">
        <v>0</v>
      </c>
      <c r="W2181" s="3" t="n">
        <v>0</v>
      </c>
      <c r="X2181" s="3" t="n">
        <v>0</v>
      </c>
      <c r="Y2181" s="32" t="n">
        <v>0</v>
      </c>
      <c r="Z2181" s="3" t="n">
        <v>0</v>
      </c>
      <c r="AA2181" s="32" t="n">
        <v>0</v>
      </c>
      <c r="AB2181" s="3" t="n"/>
      <c r="AC2181" s="31" t="n">
        <v>0</v>
      </c>
      <c r="AD2181" s="2" t="n">
        <v>0</v>
      </c>
      <c r="AE2181" s="2" t="n">
        <v>5</v>
      </c>
      <c r="AF2181" s="4" t="n">
        <v>5</v>
      </c>
      <c r="AG2181" s="33" t="n">
        <v>0</v>
      </c>
      <c r="AH2181" s="4" t="n">
        <v>0</v>
      </c>
      <c r="AI2181" s="34" t="n"/>
      <c r="AJ2181" s="34" t="n">
        <v>0</v>
      </c>
      <c r="AK2181" s="2" t="n">
        <v>0</v>
      </c>
      <c r="AL2181" t="inlineStr">
        <is>
          <t>Published</t>
        </is>
      </c>
    </row>
    <row r="2182">
      <c r="A2182">
        <f>HYPERLINK("https://www.walmart.com/ip/619585970", "619585970")</f>
        <v/>
      </c>
      <c r="B2182">
        <f>HYPERLINK("https://app.optiwise.ai/catalog/itemdetails/362163", "Wearable Lounging Blanket, Super Soft Warm Cozy Reversible Fuzzy, Extra Soft for Sofa Warm Blanket, Lightweight, Red Plaid, 55 X 71.")</f>
        <v/>
      </c>
      <c r="C2182" t="inlineStr">
        <is>
          <t>1CTSN201PRD</t>
        </is>
      </c>
      <c r="D2182" t="inlineStr">
        <is>
          <t>Bedding</t>
        </is>
      </c>
      <c r="E2182" t="inlineStr">
        <is>
          <t>Throws</t>
        </is>
      </c>
      <c r="F2182" t="inlineStr">
        <is>
          <t>Catalonia</t>
        </is>
      </c>
      <c r="G2182" t="n">
        <v>0</v>
      </c>
      <c r="H2182" t="n">
        <v>0</v>
      </c>
      <c r="I2182" t="inlineStr">
        <is>
          <t>Q2-Target,WFS,Coupon_Discount,WFS Item</t>
        </is>
      </c>
      <c r="J2182" s="29" t="n">
        <v>0</v>
      </c>
      <c r="K2182" s="30" t="n"/>
      <c r="L2182" s="29" t="n">
        <v>0</v>
      </c>
      <c r="M2182" s="29" t="n">
        <v>0</v>
      </c>
      <c r="N2182" s="2" t="n">
        <v>0</v>
      </c>
      <c r="O2182" s="31" t="n">
        <v>0</v>
      </c>
      <c r="P2182" s="32" t="n"/>
      <c r="Q2182" s="32" t="n">
        <v>0</v>
      </c>
      <c r="R2182" s="32" t="n">
        <v>0</v>
      </c>
      <c r="S2182" s="31" t="n">
        <v>0</v>
      </c>
      <c r="T2182" s="32" t="n">
        <v>0</v>
      </c>
      <c r="U2182" s="31" t="n">
        <v>0</v>
      </c>
      <c r="V2182" s="31" t="n">
        <v>0</v>
      </c>
      <c r="W2182" s="3" t="n">
        <v>0</v>
      </c>
      <c r="X2182" s="3" t="n">
        <v>0</v>
      </c>
      <c r="Y2182" s="32" t="n">
        <v>0</v>
      </c>
      <c r="Z2182" s="3" t="n">
        <v>0</v>
      </c>
      <c r="AA2182" s="32" t="n">
        <v>0</v>
      </c>
      <c r="AB2182" s="3" t="n"/>
      <c r="AC2182" s="31" t="n">
        <v>0</v>
      </c>
      <c r="AD2182" s="2" t="n">
        <v>0</v>
      </c>
      <c r="AE2182" s="2" t="n">
        <v>16</v>
      </c>
      <c r="AF2182" s="4" t="n">
        <v>16</v>
      </c>
      <c r="AG2182" s="33" t="n">
        <v>0</v>
      </c>
      <c r="AH2182" s="4" t="n">
        <v>0</v>
      </c>
      <c r="AI2182" s="34" t="n"/>
      <c r="AJ2182" s="34" t="n">
        <v>0</v>
      </c>
      <c r="AK2182" s="2" t="n">
        <v>0</v>
      </c>
      <c r="AL2182" t="inlineStr">
        <is>
          <t>Published</t>
        </is>
      </c>
    </row>
    <row r="2183">
      <c r="A2183">
        <f>HYPERLINK("https://www.walmart.com/ip/535930770", "535930770")</f>
        <v/>
      </c>
      <c r="B2183">
        <f>HYPERLINK("https://app.optiwise.ai/catalog/itemdetails/361794", "Medium Pet Travel Backpack Carrier for Dogs Cat Animal Puppy, Breathable Mesh Net Removable Sherpa Bed Outdoor Carrier f")</f>
        <v/>
      </c>
      <c r="C2183" t="inlineStr">
        <is>
          <t>1WMPB200GN</t>
        </is>
      </c>
      <c r="D2183" t="inlineStr">
        <is>
          <t>Animal Other</t>
        </is>
      </c>
      <c r="E2183" t="inlineStr">
        <is>
          <t>Pet Carriers</t>
        </is>
      </c>
      <c r="F2183" t="inlineStr">
        <is>
          <t>Flyingstar</t>
        </is>
      </c>
      <c r="G2183" t="n">
        <v>4.8</v>
      </c>
      <c r="H2183" t="n">
        <v>6</v>
      </c>
      <c r="J2183" s="29" t="n">
        <v>0</v>
      </c>
      <c r="K2183" s="30" t="n"/>
      <c r="L2183" s="29" t="n">
        <v>0</v>
      </c>
      <c r="M2183" s="29" t="n">
        <v>0</v>
      </c>
      <c r="N2183" s="2" t="n">
        <v>0</v>
      </c>
      <c r="O2183" s="31" t="n">
        <v>0</v>
      </c>
      <c r="P2183" s="32" t="n"/>
      <c r="Q2183" s="32" t="n">
        <v>0</v>
      </c>
      <c r="R2183" s="32" t="n">
        <v>0</v>
      </c>
      <c r="S2183" s="31" t="n">
        <v>0</v>
      </c>
      <c r="T2183" s="32" t="n">
        <v>0</v>
      </c>
      <c r="U2183" s="31" t="n">
        <v>0</v>
      </c>
      <c r="V2183" s="31" t="n">
        <v>0</v>
      </c>
      <c r="W2183" s="3" t="n">
        <v>0</v>
      </c>
      <c r="X2183" s="3" t="n">
        <v>0</v>
      </c>
      <c r="Y2183" s="32" t="n">
        <v>0</v>
      </c>
      <c r="Z2183" s="3" t="n">
        <v>0</v>
      </c>
      <c r="AA2183" s="32" t="n">
        <v>0</v>
      </c>
      <c r="AB2183" s="3" t="n"/>
      <c r="AC2183" s="31" t="n">
        <v>0</v>
      </c>
      <c r="AD2183" s="2" t="n">
        <v>0</v>
      </c>
      <c r="AE2183" s="2" t="n">
        <v>12</v>
      </c>
      <c r="AF2183" s="4" t="n">
        <v>12</v>
      </c>
      <c r="AG2183" s="33" t="n">
        <v>0</v>
      </c>
      <c r="AH2183" s="4" t="n">
        <v>0</v>
      </c>
      <c r="AI2183" s="34" t="n"/>
      <c r="AJ2183" s="34" t="n">
        <v>0</v>
      </c>
      <c r="AK2183" s="2" t="n">
        <v>0</v>
      </c>
      <c r="AL2183" t="inlineStr">
        <is>
          <t>Published</t>
        </is>
      </c>
    </row>
    <row r="2184">
      <c r="A2184">
        <f>HYPERLINK("https://www.walmart.com/ip/774715896", "774715896")</f>
        <v/>
      </c>
      <c r="B2184">
        <f>HYPERLINK("https://app.optiwise.ai/catalog/itemdetails/361791", "Tirrinia Insulated 3 Bottle Wine Carrier Tote Cooler Bag for Travel Picnic Padded Champagne Glass Carrying Case")</f>
        <v/>
      </c>
      <c r="C2184" t="inlineStr">
        <is>
          <t>1WMWB300GY-SC</t>
        </is>
      </c>
      <c r="D2184" t="inlineStr">
        <is>
          <t>Home Decor, Kitchen, &amp; Other</t>
        </is>
      </c>
      <c r="E2184" t="inlineStr">
        <is>
          <t>Wine Totes, Bags &amp; Backpacks</t>
        </is>
      </c>
      <c r="F2184" t="inlineStr">
        <is>
          <t>Flyingstar</t>
        </is>
      </c>
      <c r="G2184" t="n">
        <v>0</v>
      </c>
      <c r="H2184" t="n">
        <v>0</v>
      </c>
      <c r="I2184" t="inlineStr">
        <is>
          <t>Wine,Christmas,Optimized,Wine WFS,Valentine</t>
        </is>
      </c>
      <c r="J2184" s="29" t="n">
        <v>0</v>
      </c>
      <c r="K2184" s="30" t="n"/>
      <c r="L2184" s="29" t="n">
        <v>0</v>
      </c>
      <c r="M2184" s="29" t="n">
        <v>0</v>
      </c>
      <c r="N2184" s="2" t="n">
        <v>0</v>
      </c>
      <c r="O2184" s="31" t="n">
        <v>0</v>
      </c>
      <c r="P2184" s="32" t="n"/>
      <c r="Q2184" s="32" t="n">
        <v>0</v>
      </c>
      <c r="R2184" s="32" t="n">
        <v>0</v>
      </c>
      <c r="S2184" s="31" t="n">
        <v>0</v>
      </c>
      <c r="T2184" s="32" t="n">
        <v>0</v>
      </c>
      <c r="U2184" s="31" t="n">
        <v>0</v>
      </c>
      <c r="V2184" s="31" t="n">
        <v>0</v>
      </c>
      <c r="W2184" s="3" t="n">
        <v>0</v>
      </c>
      <c r="X2184" s="3" t="n">
        <v>0</v>
      </c>
      <c r="Y2184" s="32" t="n">
        <v>0</v>
      </c>
      <c r="Z2184" s="3" t="n">
        <v>0</v>
      </c>
      <c r="AA2184" s="32" t="n">
        <v>0</v>
      </c>
      <c r="AB2184" s="3" t="n"/>
      <c r="AC2184" s="31" t="n">
        <v>0</v>
      </c>
      <c r="AD2184" s="2" t="n">
        <v>0</v>
      </c>
      <c r="AE2184" s="2" t="n">
        <v>14</v>
      </c>
      <c r="AF2184" s="4" t="n">
        <v>14</v>
      </c>
      <c r="AG2184" s="33" t="n">
        <v>0</v>
      </c>
      <c r="AH2184" s="4" t="n">
        <v>0</v>
      </c>
      <c r="AI2184" s="34" t="n"/>
      <c r="AJ2184" s="34" t="n">
        <v>0</v>
      </c>
      <c r="AK2184" s="2" t="n">
        <v>0</v>
      </c>
      <c r="AL2184" t="inlineStr">
        <is>
          <t>Published</t>
        </is>
      </c>
    </row>
    <row r="2185">
      <c r="A2185">
        <f>HYPERLINK("https://www.walmart.com/ip/407332040", "407332040")</f>
        <v/>
      </c>
      <c r="B2185">
        <f>HYPERLINK("https://app.optiwise.ai/catalog/itemdetails/361776", "Jennis 8in1 Stylish Ladies Magic Scarf Shawl Woolly Charcoal Fiber Head Wrap")</f>
        <v/>
      </c>
      <c r="C2185" t="inlineStr">
        <is>
          <t>MagicScarfPKWT</t>
        </is>
      </c>
      <c r="D2185" t="inlineStr">
        <is>
          <t>Clothing</t>
        </is>
      </c>
      <c r="E2185" t="inlineStr">
        <is>
          <t>Scarves</t>
        </is>
      </c>
      <c r="F2185" t="inlineStr">
        <is>
          <t>JenniWears</t>
        </is>
      </c>
      <c r="G2185" t="n">
        <v>0</v>
      </c>
      <c r="H2185" t="n">
        <v>0</v>
      </c>
      <c r="I2185" t="inlineStr">
        <is>
          <t>Optimized</t>
        </is>
      </c>
      <c r="J2185" s="29" t="n">
        <v>0</v>
      </c>
      <c r="K2185" s="30" t="n"/>
      <c r="L2185" s="29" t="n">
        <v>0</v>
      </c>
      <c r="M2185" s="29" t="n">
        <v>0</v>
      </c>
      <c r="N2185" s="2" t="n">
        <v>0</v>
      </c>
      <c r="O2185" s="31" t="n">
        <v>0</v>
      </c>
      <c r="P2185" s="32" t="n"/>
      <c r="Q2185" s="32" t="n">
        <v>0</v>
      </c>
      <c r="R2185" s="32" t="n">
        <v>0</v>
      </c>
      <c r="S2185" s="31" t="n">
        <v>0</v>
      </c>
      <c r="T2185" s="32" t="n">
        <v>0</v>
      </c>
      <c r="U2185" s="31" t="n">
        <v>0</v>
      </c>
      <c r="V2185" s="31" t="n">
        <v>0</v>
      </c>
      <c r="W2185" s="3" t="n">
        <v>0</v>
      </c>
      <c r="X2185" s="3" t="n">
        <v>0</v>
      </c>
      <c r="Y2185" s="32" t="n">
        <v>0</v>
      </c>
      <c r="Z2185" s="3" t="n">
        <v>0</v>
      </c>
      <c r="AA2185" s="32" t="n">
        <v>0</v>
      </c>
      <c r="AB2185" s="3" t="n"/>
      <c r="AC2185" s="31" t="n">
        <v>0</v>
      </c>
      <c r="AD2185" s="2" t="n">
        <v>0</v>
      </c>
      <c r="AE2185" s="2" t="n">
        <v>8</v>
      </c>
      <c r="AF2185" s="4" t="n">
        <v>8</v>
      </c>
      <c r="AG2185" s="33" t="n">
        <v>0</v>
      </c>
      <c r="AH2185" s="4" t="n">
        <v>0</v>
      </c>
      <c r="AI2185" s="34" t="n"/>
      <c r="AJ2185" s="34" t="n">
        <v>0</v>
      </c>
      <c r="AK2185" s="2" t="n">
        <v>0</v>
      </c>
      <c r="AL2185" t="inlineStr">
        <is>
          <t>Published</t>
        </is>
      </c>
    </row>
    <row r="2186">
      <c r="A2186">
        <f>HYPERLINK("https://www.walmart.com/ip/425263143", "425263143")</f>
        <v/>
      </c>
      <c r="B2186">
        <f>HYPERLINK("https://app.optiwise.ai/catalog/itemdetails/361773", "Kato 9 Cans Small Insulated Lunch Bag, Mini Thermal Portable Cooler Lunch Box Tote with Dual Zipper Closure for Student Men and Women, Back to School")</f>
        <v/>
      </c>
      <c r="C2186" t="inlineStr">
        <is>
          <t>1KTLB100RD</t>
        </is>
      </c>
      <c r="D2186" t="inlineStr">
        <is>
          <t>Home Decor, Kitchen, &amp; Other</t>
        </is>
      </c>
      <c r="E2186" t="inlineStr">
        <is>
          <t>Reusable Lunch Bags &amp; Boxes</t>
        </is>
      </c>
      <c r="F2186" t="inlineStr">
        <is>
          <t>Kato</t>
        </is>
      </c>
      <c r="G2186" t="n">
        <v>4.8</v>
      </c>
      <c r="H2186" t="n">
        <v>18</v>
      </c>
      <c r="I2186" t="inlineStr">
        <is>
          <t>Q2-Target,Lunch Bag,Lunch Bags</t>
        </is>
      </c>
      <c r="J2186" s="29" t="n">
        <v>0</v>
      </c>
      <c r="K2186" s="30" t="n"/>
      <c r="L2186" s="29" t="n">
        <v>0</v>
      </c>
      <c r="M2186" s="29" t="n">
        <v>0</v>
      </c>
      <c r="N2186" s="2" t="n">
        <v>0</v>
      </c>
      <c r="O2186" s="31" t="n">
        <v>0</v>
      </c>
      <c r="P2186" s="32" t="n"/>
      <c r="Q2186" s="32" t="n">
        <v>0</v>
      </c>
      <c r="R2186" s="32" t="n">
        <v>0</v>
      </c>
      <c r="S2186" s="31" t="n">
        <v>0</v>
      </c>
      <c r="T2186" s="32" t="n">
        <v>0</v>
      </c>
      <c r="U2186" s="31" t="n">
        <v>0</v>
      </c>
      <c r="V2186" s="31" t="n">
        <v>0</v>
      </c>
      <c r="W2186" s="3" t="n">
        <v>0</v>
      </c>
      <c r="X2186" s="3" t="n">
        <v>0</v>
      </c>
      <c r="Y2186" s="32" t="n">
        <v>0</v>
      </c>
      <c r="Z2186" s="3" t="n">
        <v>0</v>
      </c>
      <c r="AA2186" s="32" t="n">
        <v>0</v>
      </c>
      <c r="AB2186" s="3" t="n"/>
      <c r="AC2186" s="31" t="n">
        <v>0</v>
      </c>
      <c r="AD2186" s="2" t="n">
        <v>230</v>
      </c>
      <c r="AE2186" s="2" t="n">
        <v>98</v>
      </c>
      <c r="AF2186" s="4" t="n">
        <v>132</v>
      </c>
      <c r="AG2186" s="33" t="n">
        <v>0</v>
      </c>
      <c r="AH2186" s="4" t="n">
        <v>0</v>
      </c>
      <c r="AI2186" s="34" t="n"/>
      <c r="AJ2186" s="34" t="n">
        <v>0</v>
      </c>
      <c r="AK2186" s="2" t="n">
        <v>0</v>
      </c>
      <c r="AL2186" t="inlineStr">
        <is>
          <t>Published</t>
        </is>
      </c>
    </row>
    <row r="2187">
      <c r="A2187">
        <f>HYPERLINK("https://www.walmart.com/ip/431930800", "431930800")</f>
        <v/>
      </c>
      <c r="B2187">
        <f>HYPERLINK("https://app.optiwise.ai/catalog/itemdetails/361766", "Tirrinia Large Insulated Lunch Bag,10L Leakproof Thermal Reusable Lunch Box for Adult,Kids, Student,Tall Meal Prep Lunch Cooler Tote with 4 Pockets for Office Work, Back to School")</f>
        <v/>
      </c>
      <c r="C2187" t="inlineStr">
        <is>
          <t>1TRLB702CH-T</t>
        </is>
      </c>
      <c r="D2187" t="inlineStr">
        <is>
          <t>Home Decor, Kitchen, &amp; Other</t>
        </is>
      </c>
      <c r="E2187" t="inlineStr">
        <is>
          <t>Reusable Lunch Bags &amp; Boxes</t>
        </is>
      </c>
      <c r="F2187" t="inlineStr">
        <is>
          <t>Tirrinia</t>
        </is>
      </c>
      <c r="G2187" t="n">
        <v>0</v>
      </c>
      <c r="H2187" t="n">
        <v>0</v>
      </c>
      <c r="I2187" t="inlineStr">
        <is>
          <t>Q2-Target,Brand Camp VD,Lunch Bag,Lunch Bags,SEM</t>
        </is>
      </c>
      <c r="J2187" s="29" t="n">
        <v>0</v>
      </c>
      <c r="K2187" s="30" t="n"/>
      <c r="L2187" s="29" t="n">
        <v>0</v>
      </c>
      <c r="M2187" s="29" t="n">
        <v>0</v>
      </c>
      <c r="N2187" s="2" t="n">
        <v>0</v>
      </c>
      <c r="O2187" s="31" t="n">
        <v>0</v>
      </c>
      <c r="P2187" s="32" t="n"/>
      <c r="Q2187" s="32" t="n">
        <v>0</v>
      </c>
      <c r="R2187" s="32" t="n">
        <v>0.0136</v>
      </c>
      <c r="S2187" s="31" t="n">
        <v>0</v>
      </c>
      <c r="T2187" s="32" t="n">
        <v>0</v>
      </c>
      <c r="U2187" s="31" t="n">
        <v>0</v>
      </c>
      <c r="V2187" s="31" t="n">
        <v>0</v>
      </c>
      <c r="W2187" s="3" t="n">
        <v>0</v>
      </c>
      <c r="X2187" s="3" t="n">
        <v>0</v>
      </c>
      <c r="Y2187" s="32" t="n">
        <v>0</v>
      </c>
      <c r="Z2187" s="3" t="n">
        <v>0</v>
      </c>
      <c r="AA2187" s="32" t="n">
        <v>0</v>
      </c>
      <c r="AB2187" s="3" t="n"/>
      <c r="AC2187" s="31" t="n">
        <v>0</v>
      </c>
      <c r="AD2187" s="2" t="n">
        <v>0</v>
      </c>
      <c r="AE2187" s="2" t="n">
        <v>43</v>
      </c>
      <c r="AF2187" s="4" t="n">
        <v>43</v>
      </c>
      <c r="AG2187" s="33" t="n">
        <v>0</v>
      </c>
      <c r="AH2187" s="4" t="n">
        <v>0</v>
      </c>
      <c r="AI2187" s="34" t="n"/>
      <c r="AJ2187" s="34" t="n">
        <v>0</v>
      </c>
      <c r="AK2187" s="2" t="n">
        <v>0</v>
      </c>
      <c r="AL2187" t="inlineStr">
        <is>
          <t>Published</t>
        </is>
      </c>
    </row>
    <row r="2188">
      <c r="A2188">
        <f>HYPERLINK("https://www.walmart.com/ip/137861738", "137861738")</f>
        <v/>
      </c>
      <c r="B2188">
        <f>HYPERLINK("https://app.optiwise.ai/catalog/itemdetails/361760", "KC Caps Super Soft and Comfy Knit Pom Pom Beanie Winter Cap Pink")</f>
        <v/>
      </c>
      <c r="C2188" t="inlineStr">
        <is>
          <t>kc-w1711pk</t>
        </is>
      </c>
      <c r="D2188" t="inlineStr">
        <is>
          <t>Clothing</t>
        </is>
      </c>
      <c r="E2188" t="inlineStr">
        <is>
          <t>Hats</t>
        </is>
      </c>
      <c r="F2188" t="inlineStr">
        <is>
          <t>KC Caps</t>
        </is>
      </c>
      <c r="G2188" t="n">
        <v>0</v>
      </c>
      <c r="H2188" t="n">
        <v>0</v>
      </c>
      <c r="I2188" t="inlineStr">
        <is>
          <t>Optimized</t>
        </is>
      </c>
      <c r="J2188" s="29" t="n">
        <v>0</v>
      </c>
      <c r="K2188" s="30" t="n"/>
      <c r="L2188" s="29" t="n">
        <v>0</v>
      </c>
      <c r="M2188" s="29" t="n">
        <v>0</v>
      </c>
      <c r="N2188" s="2" t="n">
        <v>0</v>
      </c>
      <c r="O2188" s="31" t="n">
        <v>0</v>
      </c>
      <c r="P2188" s="32" t="n"/>
      <c r="Q2188" s="32" t="n">
        <v>0</v>
      </c>
      <c r="R2188" s="32" t="n">
        <v>0</v>
      </c>
      <c r="S2188" s="31" t="n">
        <v>0</v>
      </c>
      <c r="T2188" s="32" t="n">
        <v>0</v>
      </c>
      <c r="U2188" s="31" t="n">
        <v>0</v>
      </c>
      <c r="V2188" s="31" t="n">
        <v>0</v>
      </c>
      <c r="W2188" s="3" t="n">
        <v>0</v>
      </c>
      <c r="X2188" s="3" t="n">
        <v>0</v>
      </c>
      <c r="Y2188" s="32" t="n">
        <v>0</v>
      </c>
      <c r="Z2188" s="3" t="n">
        <v>0</v>
      </c>
      <c r="AA2188" s="32" t="n">
        <v>0</v>
      </c>
      <c r="AB2188" s="3" t="n"/>
      <c r="AC2188" s="31" t="n">
        <v>0</v>
      </c>
      <c r="AD2188" s="2" t="n">
        <v>0</v>
      </c>
      <c r="AE2188" s="2" t="n">
        <v>4</v>
      </c>
      <c r="AF2188" s="4" t="n">
        <v>4</v>
      </c>
      <c r="AG2188" s="33" t="n">
        <v>0</v>
      </c>
      <c r="AH2188" s="4" t="n">
        <v>0</v>
      </c>
      <c r="AI2188" s="34" t="n"/>
      <c r="AJ2188" s="34" t="n">
        <v>0</v>
      </c>
      <c r="AK2188" s="2" t="n">
        <v>0</v>
      </c>
      <c r="AL2188" t="inlineStr">
        <is>
          <t>Published</t>
        </is>
      </c>
    </row>
    <row r="2189">
      <c r="A2189">
        <f>HYPERLINK("https://www.walmart.com/ip/448131416", "448131416")</f>
        <v/>
      </c>
      <c r="B2189">
        <f>HYPERLINK("https://app.optiwise.ai/catalog/itemdetails/361759", "Knit Beanie Hat for Women and Men, Faux Fuzzy Pom Pom Winter Ski Skullies Cap, Beige ")</f>
        <v/>
      </c>
      <c r="C2189" t="inlineStr">
        <is>
          <t>1SLPPH03WT</t>
        </is>
      </c>
      <c r="D2189" t="inlineStr">
        <is>
          <t>Clothing</t>
        </is>
      </c>
      <c r="E2189" t="inlineStr">
        <is>
          <t>Hats</t>
        </is>
      </c>
      <c r="F2189" t="inlineStr">
        <is>
          <t>Solaris</t>
        </is>
      </c>
      <c r="G2189" t="n">
        <v>0</v>
      </c>
      <c r="H2189" t="n">
        <v>0</v>
      </c>
      <c r="I2189" t="inlineStr">
        <is>
          <t>Batch 1 - TR</t>
        </is>
      </c>
      <c r="J2189" s="29" t="n">
        <v>0</v>
      </c>
      <c r="K2189" s="30" t="n"/>
      <c r="L2189" s="29" t="n">
        <v>0</v>
      </c>
      <c r="M2189" s="29" t="n">
        <v>0</v>
      </c>
      <c r="N2189" s="2" t="n">
        <v>0</v>
      </c>
      <c r="O2189" s="31" t="n">
        <v>0</v>
      </c>
      <c r="P2189" s="32" t="n"/>
      <c r="Q2189" s="32" t="n">
        <v>0</v>
      </c>
      <c r="R2189" s="32" t="n">
        <v>0</v>
      </c>
      <c r="S2189" s="31" t="n">
        <v>0</v>
      </c>
      <c r="T2189" s="32" t="n">
        <v>0</v>
      </c>
      <c r="U2189" s="31" t="n">
        <v>0</v>
      </c>
      <c r="V2189" s="31" t="n">
        <v>0</v>
      </c>
      <c r="W2189" s="3" t="n">
        <v>0</v>
      </c>
      <c r="X2189" s="3" t="n">
        <v>0</v>
      </c>
      <c r="Y2189" s="32" t="n">
        <v>0</v>
      </c>
      <c r="Z2189" s="3" t="n">
        <v>0</v>
      </c>
      <c r="AA2189" s="32" t="n">
        <v>0</v>
      </c>
      <c r="AB2189" s="3" t="n"/>
      <c r="AC2189" s="31" t="n">
        <v>0</v>
      </c>
      <c r="AD2189" s="2" t="n">
        <v>0</v>
      </c>
      <c r="AE2189" s="2" t="n">
        <v>9</v>
      </c>
      <c r="AF2189" s="4" t="n">
        <v>9</v>
      </c>
      <c r="AG2189" s="33" t="n">
        <v>0</v>
      </c>
      <c r="AH2189" s="4" t="n">
        <v>0</v>
      </c>
      <c r="AI2189" s="34" t="n"/>
      <c r="AJ2189" s="34" t="n">
        <v>0</v>
      </c>
      <c r="AK2189" s="2" t="n">
        <v>0</v>
      </c>
      <c r="AL2189" t="inlineStr">
        <is>
          <t>Published</t>
        </is>
      </c>
    </row>
    <row r="2190">
      <c r="A2190">
        <f>HYPERLINK("https://www.walmart.com/ip/260295579", "260295579")</f>
        <v/>
      </c>
      <c r="B2190">
        <f>HYPERLINK("https://app.optiwise.ai/catalog/itemdetails/361758", "Houndstooth Sherpa Fleece Throw Blanket, Cozy Fuzzy Jacquard Blanket for the Couch Bed | Fluffy Comfy Warm Heavy Throws | Comfort Caring Gift, 50x60 inches")</f>
        <v/>
      </c>
      <c r="C2190" t="inlineStr">
        <is>
          <t>1CTBF573RDDENTE</t>
        </is>
      </c>
      <c r="D2190" t="inlineStr">
        <is>
          <t>Bedding</t>
        </is>
      </c>
      <c r="E2190" t="inlineStr">
        <is>
          <t>Throws</t>
        </is>
      </c>
      <c r="F2190" t="inlineStr">
        <is>
          <t>Catalonia</t>
        </is>
      </c>
      <c r="G2190" t="n">
        <v>0</v>
      </c>
      <c r="H2190" t="n">
        <v>0</v>
      </c>
      <c r="I2190" t="inlineStr">
        <is>
          <t>Q2-Target,Coupon_Discount,Batch 1 - TR</t>
        </is>
      </c>
      <c r="J2190" s="29" t="n">
        <v>0</v>
      </c>
      <c r="K2190" s="30" t="n"/>
      <c r="L2190" s="29" t="n">
        <v>0</v>
      </c>
      <c r="M2190" s="29" t="n">
        <v>0</v>
      </c>
      <c r="N2190" s="2" t="n">
        <v>0</v>
      </c>
      <c r="O2190" s="31" t="n">
        <v>0</v>
      </c>
      <c r="P2190" s="32" t="n"/>
      <c r="Q2190" s="32" t="n">
        <v>0</v>
      </c>
      <c r="R2190" s="32" t="n">
        <v>0</v>
      </c>
      <c r="S2190" s="31" t="n">
        <v>0</v>
      </c>
      <c r="T2190" s="32" t="n">
        <v>0</v>
      </c>
      <c r="U2190" s="31" t="n">
        <v>0</v>
      </c>
      <c r="V2190" s="31" t="n">
        <v>0</v>
      </c>
      <c r="W2190" s="3" t="n">
        <v>0</v>
      </c>
      <c r="X2190" s="3" t="n">
        <v>0</v>
      </c>
      <c r="Y2190" s="32" t="n">
        <v>0</v>
      </c>
      <c r="Z2190" s="3" t="n">
        <v>0</v>
      </c>
      <c r="AA2190" s="32" t="n">
        <v>0</v>
      </c>
      <c r="AB2190" s="3" t="n"/>
      <c r="AC2190" s="31" t="n">
        <v>0</v>
      </c>
      <c r="AD2190" s="2" t="n">
        <v>0</v>
      </c>
      <c r="AE2190" s="2" t="n">
        <v>3</v>
      </c>
      <c r="AF2190" s="4" t="n">
        <v>3</v>
      </c>
      <c r="AG2190" s="33" t="n">
        <v>0</v>
      </c>
      <c r="AH2190" s="4" t="n">
        <v>0</v>
      </c>
      <c r="AI2190" s="34" t="n"/>
      <c r="AJ2190" s="34" t="n">
        <v>0</v>
      </c>
      <c r="AK2190" s="2" t="n">
        <v>0</v>
      </c>
      <c r="AL2190" t="inlineStr">
        <is>
          <t>Published</t>
        </is>
      </c>
    </row>
    <row r="2191">
      <c r="A2191">
        <f>HYPERLINK("https://www.walmart.com/ip/179083790", "179083790")</f>
        <v/>
      </c>
      <c r="B2191">
        <f>HYPERLINK("https://app.optiwise.ai/catalog/itemdetails/361756", "Jenniwears Women's Sexy Lingerie Lace Mesh 2-Piece Bowknot Halter Chemise with G-String")</f>
        <v/>
      </c>
      <c r="C2191" t="inlineStr">
        <is>
          <t>JWND03BL</t>
        </is>
      </c>
      <c r="D2191" t="inlineStr">
        <is>
          <t>Clothing</t>
        </is>
      </c>
      <c r="E2191" t="inlineStr">
        <is>
          <t>Lingerie Sets</t>
        </is>
      </c>
      <c r="F2191" t="inlineStr">
        <is>
          <t>JenniWears</t>
        </is>
      </c>
      <c r="G2191" t="n">
        <v>0</v>
      </c>
      <c r="H2191" t="n">
        <v>0</v>
      </c>
      <c r="I2191" t="inlineStr">
        <is>
          <t>Optimized,Valentine</t>
        </is>
      </c>
      <c r="J2191" s="29" t="n">
        <v>0</v>
      </c>
      <c r="K2191" s="30" t="n"/>
      <c r="L2191" s="29" t="n">
        <v>0</v>
      </c>
      <c r="M2191" s="29" t="n">
        <v>0</v>
      </c>
      <c r="N2191" s="2" t="n">
        <v>0</v>
      </c>
      <c r="O2191" s="31" t="n">
        <v>0</v>
      </c>
      <c r="P2191" s="32" t="n"/>
      <c r="Q2191" s="32" t="n">
        <v>0</v>
      </c>
      <c r="R2191" s="32" t="n">
        <v>0</v>
      </c>
      <c r="S2191" s="31" t="n">
        <v>0</v>
      </c>
      <c r="T2191" s="32" t="n">
        <v>0</v>
      </c>
      <c r="U2191" s="31" t="n">
        <v>0</v>
      </c>
      <c r="V2191" s="31" t="n">
        <v>0</v>
      </c>
      <c r="W2191" s="3" t="n">
        <v>0</v>
      </c>
      <c r="X2191" s="3" t="n">
        <v>0</v>
      </c>
      <c r="Y2191" s="32" t="n">
        <v>0</v>
      </c>
      <c r="Z2191" s="3" t="n">
        <v>0</v>
      </c>
      <c r="AA2191" s="32" t="n">
        <v>0</v>
      </c>
      <c r="AB2191" s="3" t="n"/>
      <c r="AC2191" s="31" t="n">
        <v>0</v>
      </c>
      <c r="AD2191" s="2" t="n">
        <v>0</v>
      </c>
      <c r="AE2191" s="2" t="n">
        <v>5</v>
      </c>
      <c r="AF2191" s="4" t="n">
        <v>5</v>
      </c>
      <c r="AG2191" s="33" t="n">
        <v>0</v>
      </c>
      <c r="AH2191" s="4" t="n">
        <v>0</v>
      </c>
      <c r="AI2191" s="34" t="n"/>
      <c r="AJ2191" s="34" t="n">
        <v>0</v>
      </c>
      <c r="AK2191" s="2" t="n">
        <v>0</v>
      </c>
      <c r="AL2191" t="inlineStr">
        <is>
          <t>Published</t>
        </is>
      </c>
    </row>
    <row r="2192">
      <c r="A2192">
        <f>HYPERLINK("https://www.walmart.com/ip/135897995", "135897995")</f>
        <v/>
      </c>
      <c r="B2192">
        <f>HYPERLINK("https://app.optiwise.ai/catalog/itemdetails/361702", "JenniWears Women Beileise Sexy Garter Belt Suspender - 6 Packs")</f>
        <v/>
      </c>
      <c r="C2192" t="inlineStr">
        <is>
          <t>JWBLSPH5003-6pcs</t>
        </is>
      </c>
      <c r="D2192" t="inlineStr">
        <is>
          <t>Clothing</t>
        </is>
      </c>
      <c r="E2192" t="inlineStr">
        <is>
          <t>Garter Belts</t>
        </is>
      </c>
      <c r="F2192" t="inlineStr">
        <is>
          <t>JenniWears</t>
        </is>
      </c>
      <c r="G2192" t="n">
        <v>0</v>
      </c>
      <c r="H2192" t="n">
        <v>0</v>
      </c>
      <c r="I2192" t="inlineStr">
        <is>
          <t>Optimized,Valentine</t>
        </is>
      </c>
      <c r="J2192" s="29" t="n">
        <v>0</v>
      </c>
      <c r="K2192" s="30" t="n"/>
      <c r="L2192" s="29" t="n">
        <v>0</v>
      </c>
      <c r="M2192" s="29" t="n">
        <v>0</v>
      </c>
      <c r="N2192" s="2" t="n">
        <v>0</v>
      </c>
      <c r="O2192" s="31" t="n">
        <v>0</v>
      </c>
      <c r="P2192" s="32" t="n"/>
      <c r="Q2192" s="32" t="n">
        <v>0</v>
      </c>
      <c r="R2192" s="32" t="n">
        <v>0</v>
      </c>
      <c r="S2192" s="31" t="n">
        <v>0</v>
      </c>
      <c r="T2192" s="32" t="n">
        <v>0</v>
      </c>
      <c r="U2192" s="31" t="n">
        <v>0</v>
      </c>
      <c r="V2192" s="31" t="n">
        <v>0</v>
      </c>
      <c r="W2192" s="3" t="n">
        <v>0</v>
      </c>
      <c r="X2192" s="3" t="n">
        <v>0</v>
      </c>
      <c r="Y2192" s="32" t="n">
        <v>0</v>
      </c>
      <c r="Z2192" s="3" t="n">
        <v>0</v>
      </c>
      <c r="AA2192" s="32" t="n">
        <v>0</v>
      </c>
      <c r="AB2192" s="3" t="n"/>
      <c r="AC2192" s="31" t="n">
        <v>0</v>
      </c>
      <c r="AD2192" s="2" t="n">
        <v>0</v>
      </c>
      <c r="AE2192" s="2" t="n">
        <v>1</v>
      </c>
      <c r="AF2192" s="4" t="n">
        <v>1</v>
      </c>
      <c r="AG2192" s="33" t="n">
        <v>0</v>
      </c>
      <c r="AH2192" s="4" t="n">
        <v>0</v>
      </c>
      <c r="AI2192" s="34" t="n"/>
      <c r="AJ2192" s="34" t="n">
        <v>0</v>
      </c>
      <c r="AK2192" s="2" t="n">
        <v>0</v>
      </c>
      <c r="AL2192" t="inlineStr">
        <is>
          <t>Published</t>
        </is>
      </c>
    </row>
    <row r="2193">
      <c r="A2193">
        <f>HYPERLINK("https://www.walmart.com/ip/422826563", "422826563")</f>
        <v/>
      </c>
      <c r="B2193">
        <f>HYPERLINK("https://app.optiwise.ai/catalog/itemdetails/361746", "Catalonia Sherpa Throw Blanket, Reversible Cozy Waffle Pattern Knitted Blanket Throw for Couch Bed 60x50")</f>
        <v/>
      </c>
      <c r="C2193" t="inlineStr">
        <is>
          <t>1CTBN300PK</t>
        </is>
      </c>
      <c r="D2193" t="inlineStr">
        <is>
          <t>Home - Home Decor, Kitchen, &amp; Other</t>
        </is>
      </c>
      <c r="E2193" t="inlineStr">
        <is>
          <t>Throws</t>
        </is>
      </c>
      <c r="F2193" t="inlineStr">
        <is>
          <t>Catalonia</t>
        </is>
      </c>
      <c r="G2193" t="n">
        <v>4.8</v>
      </c>
      <c r="H2193" t="n">
        <v>12</v>
      </c>
      <c r="I2193" t="inlineStr">
        <is>
          <t>Q2-Target,Coupon_Discount,Batch 1 - TR</t>
        </is>
      </c>
      <c r="J2193" s="29" t="n">
        <v>0</v>
      </c>
      <c r="K2193" s="30" t="n"/>
      <c r="L2193" s="29" t="n">
        <v>0</v>
      </c>
      <c r="M2193" s="29" t="n">
        <v>0</v>
      </c>
      <c r="N2193" s="2" t="n">
        <v>0</v>
      </c>
      <c r="O2193" s="31" t="n">
        <v>0</v>
      </c>
      <c r="P2193" s="32" t="n"/>
      <c r="Q2193" s="32" t="n">
        <v>0</v>
      </c>
      <c r="R2193" s="32" t="n">
        <v>0</v>
      </c>
      <c r="S2193" s="31" t="n">
        <v>0</v>
      </c>
      <c r="T2193" s="32" t="n">
        <v>0</v>
      </c>
      <c r="U2193" s="31" t="n">
        <v>0</v>
      </c>
      <c r="V2193" s="31" t="n">
        <v>0</v>
      </c>
      <c r="W2193" s="3" t="n">
        <v>0</v>
      </c>
      <c r="X2193" s="3" t="n">
        <v>0</v>
      </c>
      <c r="Y2193" s="32" t="n">
        <v>0</v>
      </c>
      <c r="Z2193" s="3" t="n">
        <v>0</v>
      </c>
      <c r="AA2193" s="32" t="n">
        <v>0</v>
      </c>
      <c r="AB2193" s="3" t="n"/>
      <c r="AC2193" s="31" t="n">
        <v>0</v>
      </c>
      <c r="AD2193" s="2" t="n">
        <v>0</v>
      </c>
      <c r="AE2193" s="2" t="n">
        <v>29</v>
      </c>
      <c r="AF2193" s="4" t="n">
        <v>29</v>
      </c>
      <c r="AG2193" s="33" t="n">
        <v>0</v>
      </c>
      <c r="AH2193" s="4" t="n">
        <v>0</v>
      </c>
      <c r="AI2193" s="34" t="n"/>
      <c r="AJ2193" s="34" t="n">
        <v>0</v>
      </c>
      <c r="AK2193" s="2" t="n">
        <v>0</v>
      </c>
      <c r="AL2193" t="inlineStr">
        <is>
          <t>Published</t>
        </is>
      </c>
    </row>
    <row r="2194">
      <c r="A2194">
        <f>HYPERLINK("https://www.walmart.com/ip/989130878", "989130878")</f>
        <v/>
      </c>
      <c r="B2194">
        <f>HYPERLINK("https://app.optiwise.ai/catalog/itemdetails/361740", "Flyingstar Sherpa Throws Blanket, Fleece Soft Cozy Blanket Throws for Sofa Bed 50x60")</f>
        <v/>
      </c>
      <c r="C2194" t="inlineStr">
        <is>
          <t>1WMBF571XMAS</t>
        </is>
      </c>
      <c r="D2194" t="inlineStr">
        <is>
          <t>Bedding</t>
        </is>
      </c>
      <c r="E2194" t="inlineStr">
        <is>
          <t>Throws</t>
        </is>
      </c>
      <c r="F2194" t="inlineStr">
        <is>
          <t>Flyingstar</t>
        </is>
      </c>
      <c r="G2194" t="n">
        <v>0</v>
      </c>
      <c r="H2194" t="n">
        <v>0</v>
      </c>
      <c r="I2194" t="inlineStr">
        <is>
          <t>Christmas</t>
        </is>
      </c>
      <c r="J2194" s="29" t="n">
        <v>0</v>
      </c>
      <c r="K2194" s="30" t="n"/>
      <c r="L2194" s="29" t="n">
        <v>0</v>
      </c>
      <c r="M2194" s="29" t="n">
        <v>0</v>
      </c>
      <c r="N2194" s="2" t="n">
        <v>0</v>
      </c>
      <c r="O2194" s="31" t="n">
        <v>0</v>
      </c>
      <c r="P2194" s="32" t="n"/>
      <c r="Q2194" s="32" t="n">
        <v>0</v>
      </c>
      <c r="R2194" s="32" t="n">
        <v>0</v>
      </c>
      <c r="S2194" s="31" t="n">
        <v>0</v>
      </c>
      <c r="T2194" s="32" t="n">
        <v>0</v>
      </c>
      <c r="U2194" s="31" t="n">
        <v>0</v>
      </c>
      <c r="V2194" s="31" t="n">
        <v>0</v>
      </c>
      <c r="W2194" s="3" t="n">
        <v>0</v>
      </c>
      <c r="X2194" s="3" t="n">
        <v>0</v>
      </c>
      <c r="Y2194" s="32" t="n">
        <v>0</v>
      </c>
      <c r="Z2194" s="3" t="n">
        <v>0</v>
      </c>
      <c r="AA2194" s="32" t="n">
        <v>0</v>
      </c>
      <c r="AB2194" s="3" t="n"/>
      <c r="AC2194" s="31" t="n">
        <v>0</v>
      </c>
      <c r="AD2194" s="2" t="n">
        <v>0</v>
      </c>
      <c r="AE2194" s="2" t="n">
        <v>3</v>
      </c>
      <c r="AF2194" s="4" t="n">
        <v>3</v>
      </c>
      <c r="AG2194" s="33" t="n">
        <v>0</v>
      </c>
      <c r="AH2194" s="4" t="n">
        <v>0</v>
      </c>
      <c r="AI2194" s="34" t="n"/>
      <c r="AJ2194" s="34" t="n">
        <v>0</v>
      </c>
      <c r="AK2194" s="2" t="n">
        <v>0</v>
      </c>
      <c r="AL2194" t="inlineStr">
        <is>
          <t>Published</t>
        </is>
      </c>
    </row>
    <row r="2195">
      <c r="A2195">
        <f>HYPERLINK("https://www.walmart.com/ip/113898325", "113898325")</f>
        <v/>
      </c>
      <c r="B2195">
        <f>HYPERLINK("https://app.optiwise.ai/catalog/itemdetails/361737", "KC Caps Unisex Two-Tone Cotton Twill Baseball Hat with Suede Bill Adult, Black/Red")</f>
        <v/>
      </c>
      <c r="C2195" t="inlineStr">
        <is>
          <t>KC-S6300-BK/RD</t>
        </is>
      </c>
      <c r="D2195" t="inlineStr">
        <is>
          <t>Clothing</t>
        </is>
      </c>
      <c r="E2195" t="inlineStr">
        <is>
          <t>Hats</t>
        </is>
      </c>
      <c r="F2195" t="inlineStr">
        <is>
          <t>KC Caps</t>
        </is>
      </c>
      <c r="G2195" t="n">
        <v>0</v>
      </c>
      <c r="H2195" t="n">
        <v>0</v>
      </c>
      <c r="I2195" t="inlineStr">
        <is>
          <t>Optimized</t>
        </is>
      </c>
      <c r="J2195" s="29" t="n">
        <v>0</v>
      </c>
      <c r="K2195" s="30" t="n"/>
      <c r="L2195" s="29" t="n">
        <v>0</v>
      </c>
      <c r="M2195" s="29" t="n">
        <v>0</v>
      </c>
      <c r="N2195" s="2" t="n">
        <v>0</v>
      </c>
      <c r="O2195" s="31" t="n">
        <v>0</v>
      </c>
      <c r="P2195" s="32" t="n"/>
      <c r="Q2195" s="32" t="n">
        <v>0</v>
      </c>
      <c r="R2195" s="32" t="n">
        <v>0</v>
      </c>
      <c r="S2195" s="31" t="n">
        <v>0</v>
      </c>
      <c r="T2195" s="32" t="n">
        <v>0</v>
      </c>
      <c r="U2195" s="31" t="n">
        <v>0</v>
      </c>
      <c r="V2195" s="31" t="n">
        <v>0</v>
      </c>
      <c r="W2195" s="3" t="n">
        <v>0</v>
      </c>
      <c r="X2195" s="3" t="n">
        <v>0</v>
      </c>
      <c r="Y2195" s="32" t="n">
        <v>0</v>
      </c>
      <c r="Z2195" s="3" t="n">
        <v>0</v>
      </c>
      <c r="AA2195" s="32" t="n">
        <v>0</v>
      </c>
      <c r="AB2195" s="3" t="n"/>
      <c r="AC2195" s="31" t="n">
        <v>0</v>
      </c>
      <c r="AD2195" s="2" t="n">
        <v>0</v>
      </c>
      <c r="AE2195" s="2" t="n">
        <v>4</v>
      </c>
      <c r="AF2195" s="4" t="n">
        <v>4</v>
      </c>
      <c r="AG2195" s="33" t="n">
        <v>0</v>
      </c>
      <c r="AH2195" s="4" t="n">
        <v>0</v>
      </c>
      <c r="AI2195" s="34" t="n"/>
      <c r="AJ2195" s="34" t="n">
        <v>0</v>
      </c>
      <c r="AK2195" s="2" t="n">
        <v>0</v>
      </c>
      <c r="AL2195" t="inlineStr">
        <is>
          <t>Published</t>
        </is>
      </c>
    </row>
    <row r="2196">
      <c r="A2196">
        <f>HYPERLINK("https://www.walmart.com/ip/428103444", "428103444")</f>
        <v/>
      </c>
      <c r="B2196">
        <f>HYPERLINK("https://app.optiwise.ai/catalog/itemdetails/361733", "Sherpa Wearable Blanket for Adult Women and Men, Super Soft Comfy Warm Plush Throw with Sleeves TV Blanket Wrap Robe Cover for Lounge Chair Couch 72 x 55 Blue")</f>
        <v/>
      </c>
      <c r="C2196" t="inlineStr">
        <is>
          <t>1TNSN110BL-TPB</t>
        </is>
      </c>
      <c r="D2196" t="inlineStr">
        <is>
          <t>Bedding</t>
        </is>
      </c>
      <c r="E2196" t="inlineStr">
        <is>
          <t>Throws</t>
        </is>
      </c>
      <c r="F2196" t="inlineStr">
        <is>
          <t>Terrania</t>
        </is>
      </c>
      <c r="G2196" t="n">
        <v>0</v>
      </c>
      <c r="H2196" t="n">
        <v>0</v>
      </c>
      <c r="I2196" t="inlineStr">
        <is>
          <t>WFS,WFS Item</t>
        </is>
      </c>
      <c r="J2196" s="29" t="n">
        <v>0</v>
      </c>
      <c r="K2196" s="30" t="n"/>
      <c r="L2196" s="29" t="n">
        <v>0</v>
      </c>
      <c r="M2196" s="29" t="n">
        <v>0</v>
      </c>
      <c r="N2196" s="2" t="n">
        <v>0</v>
      </c>
      <c r="O2196" s="31" t="n">
        <v>0</v>
      </c>
      <c r="P2196" s="32" t="n"/>
      <c r="Q2196" s="32" t="n">
        <v>0</v>
      </c>
      <c r="R2196" s="32" t="n">
        <v>0</v>
      </c>
      <c r="S2196" s="31" t="n">
        <v>0</v>
      </c>
      <c r="T2196" s="32" t="n">
        <v>0</v>
      </c>
      <c r="U2196" s="31" t="n">
        <v>0</v>
      </c>
      <c r="V2196" s="31" t="n">
        <v>0</v>
      </c>
      <c r="W2196" s="3" t="n">
        <v>0</v>
      </c>
      <c r="X2196" s="3" t="n">
        <v>0</v>
      </c>
      <c r="Y2196" s="32" t="n">
        <v>0</v>
      </c>
      <c r="Z2196" s="3" t="n">
        <v>0</v>
      </c>
      <c r="AA2196" s="32" t="n">
        <v>0</v>
      </c>
      <c r="AB2196" s="3" t="n"/>
      <c r="AC2196" s="31" t="n">
        <v>0</v>
      </c>
      <c r="AD2196" s="2" t="n">
        <v>0</v>
      </c>
      <c r="AE2196" s="2" t="n">
        <v>6</v>
      </c>
      <c r="AF2196" s="4" t="n">
        <v>6</v>
      </c>
      <c r="AG2196" s="33" t="n">
        <v>0</v>
      </c>
      <c r="AH2196" s="4" t="n">
        <v>0</v>
      </c>
      <c r="AI2196" s="34" t="n"/>
      <c r="AJ2196" s="34" t="n">
        <v>0</v>
      </c>
      <c r="AK2196" s="2" t="n">
        <v>0</v>
      </c>
      <c r="AL2196" t="inlineStr">
        <is>
          <t>Published</t>
        </is>
      </c>
    </row>
    <row r="2197">
      <c r="A2197">
        <f>HYPERLINK("https://www.walmart.com/ip/972835004", "972835004")</f>
        <v/>
      </c>
      <c r="B2197">
        <f>HYPERLINK("https://app.optiwise.ai/catalog/itemdetails/361732", "Type C to Type A USB 3.1-3.0 Male Sync Charging Cable by SurjTech")</f>
        <v/>
      </c>
      <c r="C2197" t="inlineStr">
        <is>
          <t>STU3TC03WT-1M-WA</t>
        </is>
      </c>
      <c r="D2197" t="inlineStr">
        <is>
          <t>Electronics Cables</t>
        </is>
      </c>
      <c r="E2197" t="inlineStr">
        <is>
          <t>Computer Cables</t>
        </is>
      </c>
      <c r="F2197" t="inlineStr">
        <is>
          <t>Surjtech</t>
        </is>
      </c>
      <c r="G2197" t="n">
        <v>0</v>
      </c>
      <c r="H2197" t="n">
        <v>0</v>
      </c>
      <c r="I2197" t="inlineStr">
        <is>
          <t>Batch 1 - TR</t>
        </is>
      </c>
      <c r="J2197" s="29" t="n">
        <v>0</v>
      </c>
      <c r="K2197" s="30" t="n"/>
      <c r="L2197" s="29" t="n">
        <v>0</v>
      </c>
      <c r="M2197" s="29" t="n">
        <v>0</v>
      </c>
      <c r="N2197" s="2" t="n">
        <v>0</v>
      </c>
      <c r="O2197" s="31" t="n">
        <v>0</v>
      </c>
      <c r="P2197" s="32" t="n"/>
      <c r="Q2197" s="32" t="n">
        <v>0</v>
      </c>
      <c r="R2197" s="32" t="n">
        <v>0</v>
      </c>
      <c r="S2197" s="31" t="n">
        <v>0</v>
      </c>
      <c r="T2197" s="32" t="n">
        <v>0</v>
      </c>
      <c r="U2197" s="31" t="n">
        <v>0</v>
      </c>
      <c r="V2197" s="31" t="n">
        <v>0</v>
      </c>
      <c r="W2197" s="3" t="n">
        <v>0</v>
      </c>
      <c r="X2197" s="3" t="n">
        <v>0</v>
      </c>
      <c r="Y2197" s="32" t="n">
        <v>0</v>
      </c>
      <c r="Z2197" s="3" t="n">
        <v>0</v>
      </c>
      <c r="AA2197" s="32" t="n">
        <v>0</v>
      </c>
      <c r="AB2197" s="3" t="n"/>
      <c r="AC2197" s="31" t="n">
        <v>0</v>
      </c>
      <c r="AD2197" s="2" t="n">
        <v>0</v>
      </c>
      <c r="AE2197" s="2" t="n">
        <v>1</v>
      </c>
      <c r="AF2197" s="4" t="n">
        <v>1</v>
      </c>
      <c r="AG2197" s="33" t="n">
        <v>0</v>
      </c>
      <c r="AH2197" s="4" t="n">
        <v>0</v>
      </c>
      <c r="AI2197" s="34" t="n"/>
      <c r="AJ2197" s="34" t="n">
        <v>0</v>
      </c>
      <c r="AK2197" s="2" t="n">
        <v>0</v>
      </c>
      <c r="AL2197" t="inlineStr">
        <is>
          <t>Published</t>
        </is>
      </c>
    </row>
    <row r="2198">
      <c r="A2198">
        <f>HYPERLINK("https://www.walmart.com/ip/991633509", "991633509")</f>
        <v/>
      </c>
      <c r="B2198">
        <f>HYPERLINK("https://app.optiwise.ai/catalog/itemdetails/361730", "Catalonia Wearable Blanket with Sleeves and Pocket, Cozy Soft Fleece Micro Plush Wrap Adult Blanket Robe for Women Men, Makes a Great Gift for Holidays, Brown")</f>
        <v/>
      </c>
      <c r="C2198" t="inlineStr">
        <is>
          <t>1CTSN100BR</t>
        </is>
      </c>
      <c r="D2198" t="inlineStr">
        <is>
          <t>Bedding</t>
        </is>
      </c>
      <c r="E2198" t="inlineStr">
        <is>
          <t>Throws</t>
        </is>
      </c>
      <c r="F2198" t="inlineStr">
        <is>
          <t>Catalonia</t>
        </is>
      </c>
      <c r="G2198" t="n">
        <v>4</v>
      </c>
      <c r="H2198" t="n">
        <v>49</v>
      </c>
      <c r="I2198" t="inlineStr">
        <is>
          <t>WFS,WFS Item</t>
        </is>
      </c>
      <c r="J2198" s="29" t="n">
        <v>0</v>
      </c>
      <c r="K2198" s="30" t="n"/>
      <c r="L2198" s="29" t="n">
        <v>0</v>
      </c>
      <c r="M2198" s="29" t="n">
        <v>0</v>
      </c>
      <c r="N2198" s="2" t="n">
        <v>0</v>
      </c>
      <c r="O2198" s="31" t="n">
        <v>0</v>
      </c>
      <c r="P2198" s="32" t="n"/>
      <c r="Q2198" s="32" t="n">
        <v>0</v>
      </c>
      <c r="R2198" s="32" t="n">
        <v>0.0597</v>
      </c>
      <c r="S2198" s="31" t="n">
        <v>0</v>
      </c>
      <c r="T2198" s="32" t="n">
        <v>0</v>
      </c>
      <c r="U2198" s="31" t="n">
        <v>0</v>
      </c>
      <c r="V2198" s="31" t="n">
        <v>0</v>
      </c>
      <c r="W2198" s="3" t="n">
        <v>2</v>
      </c>
      <c r="X2198" s="3" t="n">
        <v>0</v>
      </c>
      <c r="Y2198" s="32" t="n">
        <v>0</v>
      </c>
      <c r="Z2198" s="3" t="n">
        <v>0</v>
      </c>
      <c r="AA2198" s="32" t="n">
        <v>0</v>
      </c>
      <c r="AB2198" s="3" t="inlineStr">
        <is>
          <t>WFS Inventory</t>
        </is>
      </c>
      <c r="AC2198" s="31" t="n">
        <v>0</v>
      </c>
      <c r="AD2198" s="2" t="n">
        <v>60</v>
      </c>
      <c r="AE2198" s="2" t="n">
        <v>28</v>
      </c>
      <c r="AF2198" s="4" t="n">
        <v>32</v>
      </c>
      <c r="AG2198" s="33" t="n">
        <v>0</v>
      </c>
      <c r="AH2198" s="4" t="n">
        <v>0</v>
      </c>
      <c r="AI2198" s="34" t="n"/>
      <c r="AJ2198" s="34" t="n">
        <v>0</v>
      </c>
      <c r="AK2198" s="2" t="n">
        <v>0</v>
      </c>
      <c r="AL2198" t="inlineStr">
        <is>
          <t>Published</t>
        </is>
      </c>
    </row>
    <row r="2199">
      <c r="A2199">
        <f>HYPERLINK("https://www.walmart.com/ip/446170712", "446170712")</f>
        <v/>
      </c>
      <c r="B2199">
        <f>HYPERLINK("https://app.optiwise.ai/catalog/itemdetails/361725", "Tirrinia Insulated 2 Bottle Wine Carrier Tote Cooler Bag for Travel Picnic Padded Champagne Glass")</f>
        <v/>
      </c>
      <c r="C2199" t="inlineStr">
        <is>
          <t>1WMWB230CH</t>
        </is>
      </c>
      <c r="D2199" t="inlineStr">
        <is>
          <t>Home Decor, Kitchen, &amp; Other</t>
        </is>
      </c>
      <c r="E2199" t="inlineStr">
        <is>
          <t>Wine Totes, Bags &amp; Backpacks</t>
        </is>
      </c>
      <c r="F2199" t="inlineStr">
        <is>
          <t>Flyingstar</t>
        </is>
      </c>
      <c r="G2199" t="n">
        <v>0</v>
      </c>
      <c r="H2199" t="n">
        <v>0</v>
      </c>
      <c r="I2199" t="inlineStr">
        <is>
          <t>Wine,Christmas,Optimized,Valentine</t>
        </is>
      </c>
      <c r="J2199" s="29" t="n">
        <v>0</v>
      </c>
      <c r="K2199" s="30" t="n"/>
      <c r="L2199" s="29" t="n">
        <v>0</v>
      </c>
      <c r="M2199" s="29" t="n">
        <v>0</v>
      </c>
      <c r="N2199" s="2" t="n">
        <v>0</v>
      </c>
      <c r="O2199" s="31" t="n">
        <v>0</v>
      </c>
      <c r="P2199" s="32" t="n"/>
      <c r="Q2199" s="32" t="n">
        <v>0</v>
      </c>
      <c r="R2199" s="32" t="n">
        <v>0</v>
      </c>
      <c r="S2199" s="31" t="n">
        <v>0</v>
      </c>
      <c r="T2199" s="32" t="n">
        <v>0</v>
      </c>
      <c r="U2199" s="31" t="n">
        <v>0</v>
      </c>
      <c r="V2199" s="31" t="n">
        <v>0</v>
      </c>
      <c r="W2199" s="3" t="n">
        <v>0</v>
      </c>
      <c r="X2199" s="3" t="n">
        <v>0</v>
      </c>
      <c r="Y2199" s="32" t="n">
        <v>0</v>
      </c>
      <c r="Z2199" s="3" t="n">
        <v>0</v>
      </c>
      <c r="AA2199" s="32" t="n">
        <v>0</v>
      </c>
      <c r="AB2199" s="3" t="n"/>
      <c r="AC2199" s="31" t="n">
        <v>0</v>
      </c>
      <c r="AD2199" s="2" t="n">
        <v>0</v>
      </c>
      <c r="AE2199" s="2" t="n">
        <v>1</v>
      </c>
      <c r="AF2199" s="4" t="n">
        <v>1</v>
      </c>
      <c r="AG2199" s="33" t="n">
        <v>0</v>
      </c>
      <c r="AH2199" s="4" t="n">
        <v>0</v>
      </c>
      <c r="AI2199" s="34" t="n"/>
      <c r="AJ2199" s="34" t="n">
        <v>0</v>
      </c>
      <c r="AK2199" s="2" t="n">
        <v>0</v>
      </c>
      <c r="AL2199" t="inlineStr">
        <is>
          <t>Published</t>
        </is>
      </c>
    </row>
    <row r="2200">
      <c r="A2200">
        <f>HYPERLINK("https://www.walmart.com/ip/220031830", "220031830")</f>
        <v/>
      </c>
      <c r="B2200">
        <f>HYPERLINK("https://app.optiwise.ai/catalog/itemdetails/361722", "Oversized Hoodie Blanket Sweatshirt,Super Soft Warm Comfortable Fleece Giant Pullover with Large Front Pocket,for Adults Men Women Teenagers Kids Wife Girlfriend")</f>
        <v/>
      </c>
      <c r="C2200" t="inlineStr">
        <is>
          <t>1WMHD300MN</t>
        </is>
      </c>
      <c r="D2200" t="inlineStr">
        <is>
          <t>Clothing</t>
        </is>
      </c>
      <c r="E2200" t="inlineStr">
        <is>
          <t>Sweatshirts &amp; Hoodies</t>
        </is>
      </c>
      <c r="F2200" t="inlineStr">
        <is>
          <t>Flyingstar</t>
        </is>
      </c>
      <c r="G2200" t="n">
        <v>4.4</v>
      </c>
      <c r="H2200" t="n">
        <v>8</v>
      </c>
      <c r="I2200" t="inlineStr">
        <is>
          <t>Hoodie ForAdult,Optimized</t>
        </is>
      </c>
      <c r="J2200" s="29" t="n">
        <v>0</v>
      </c>
      <c r="K2200" s="30" t="n"/>
      <c r="L2200" s="29" t="n">
        <v>0</v>
      </c>
      <c r="M2200" s="29" t="n">
        <v>0</v>
      </c>
      <c r="N2200" s="2" t="n">
        <v>0</v>
      </c>
      <c r="O2200" s="31" t="n">
        <v>0</v>
      </c>
      <c r="P2200" s="32" t="n"/>
      <c r="Q2200" s="32" t="n">
        <v>0</v>
      </c>
      <c r="R2200" s="32" t="n">
        <v>0</v>
      </c>
      <c r="S2200" s="31" t="n">
        <v>0</v>
      </c>
      <c r="T2200" s="32" t="n">
        <v>0</v>
      </c>
      <c r="U2200" s="31" t="n">
        <v>0</v>
      </c>
      <c r="V2200" s="31" t="n">
        <v>0</v>
      </c>
      <c r="W2200" s="3" t="n">
        <v>0</v>
      </c>
      <c r="X2200" s="3" t="n">
        <v>0</v>
      </c>
      <c r="Y2200" s="32" t="n">
        <v>0</v>
      </c>
      <c r="Z2200" s="3" t="n">
        <v>0</v>
      </c>
      <c r="AA2200" s="32" t="n">
        <v>0</v>
      </c>
      <c r="AB2200" s="3" t="n"/>
      <c r="AC2200" s="31" t="n">
        <v>0</v>
      </c>
      <c r="AD2200" s="2" t="n">
        <v>0</v>
      </c>
      <c r="AE2200" s="2" t="n">
        <v>6</v>
      </c>
      <c r="AF2200" s="4" t="n">
        <v>6</v>
      </c>
      <c r="AG2200" s="33" t="n">
        <v>0</v>
      </c>
      <c r="AH2200" s="4" t="n">
        <v>0</v>
      </c>
      <c r="AI2200" s="34" t="n"/>
      <c r="AJ2200" s="34" t="n">
        <v>0</v>
      </c>
      <c r="AK2200" s="2" t="n">
        <v>0</v>
      </c>
      <c r="AL2200" t="inlineStr">
        <is>
          <t>Published</t>
        </is>
      </c>
    </row>
    <row r="2201">
      <c r="A2201">
        <f>HYPERLINK("https://www.walmart.com/ip/822070876", "822070876")</f>
        <v/>
      </c>
      <c r="B2201">
        <f>HYPERLINK("https://app.optiwise.ai/catalog/itemdetails/361713", "Bucket Sun Hat Cute Cap for Women Fashion Fold-up Brim Packable Summer Beach by Solaris")</f>
        <v/>
      </c>
      <c r="C2201" t="inlineStr">
        <is>
          <t>1SLSH9200PK-FSCB</t>
        </is>
      </c>
      <c r="D2201" t="inlineStr">
        <is>
          <t>Clothing</t>
        </is>
      </c>
      <c r="E2201" t="inlineStr">
        <is>
          <t>Hats</t>
        </is>
      </c>
      <c r="F2201" t="inlineStr">
        <is>
          <t>Solaris</t>
        </is>
      </c>
      <c r="G2201" t="n">
        <v>0</v>
      </c>
      <c r="H2201" t="n">
        <v>0</v>
      </c>
      <c r="J2201" s="29" t="n">
        <v>0</v>
      </c>
      <c r="K2201" s="30" t="n"/>
      <c r="L2201" s="29" t="n">
        <v>0</v>
      </c>
      <c r="M2201" s="29" t="n">
        <v>0</v>
      </c>
      <c r="N2201" s="2" t="n">
        <v>0</v>
      </c>
      <c r="O2201" s="31" t="n">
        <v>0</v>
      </c>
      <c r="P2201" s="32" t="n"/>
      <c r="Q2201" s="32" t="n">
        <v>0</v>
      </c>
      <c r="R2201" s="32" t="n">
        <v>0</v>
      </c>
      <c r="S2201" s="31" t="n">
        <v>0</v>
      </c>
      <c r="T2201" s="32" t="n">
        <v>0</v>
      </c>
      <c r="U2201" s="31" t="n">
        <v>0</v>
      </c>
      <c r="V2201" s="31" t="n">
        <v>0</v>
      </c>
      <c r="W2201" s="3" t="n">
        <v>0</v>
      </c>
      <c r="X2201" s="3" t="n">
        <v>0</v>
      </c>
      <c r="Y2201" s="32" t="n">
        <v>0</v>
      </c>
      <c r="Z2201" s="3" t="n">
        <v>0</v>
      </c>
      <c r="AA2201" s="32" t="n">
        <v>0</v>
      </c>
      <c r="AB2201" s="3" t="n"/>
      <c r="AC2201" s="31" t="n">
        <v>0</v>
      </c>
      <c r="AD2201" s="2" t="n">
        <v>0</v>
      </c>
      <c r="AE2201" s="2" t="n">
        <v>10</v>
      </c>
      <c r="AF2201" s="4" t="n">
        <v>10</v>
      </c>
      <c r="AG2201" s="33" t="n">
        <v>0</v>
      </c>
      <c r="AH2201" s="4" t="n">
        <v>0</v>
      </c>
      <c r="AI2201" s="34" t="n"/>
      <c r="AJ2201" s="34" t="n">
        <v>0</v>
      </c>
      <c r="AK2201" s="2" t="n">
        <v>0</v>
      </c>
      <c r="AL2201" t="inlineStr">
        <is>
          <t>Published</t>
        </is>
      </c>
    </row>
    <row r="2202">
      <c r="A2202">
        <f>HYPERLINK("https://www.walmart.com/ip/976661728", "976661728")</f>
        <v/>
      </c>
      <c r="B2202">
        <f>HYPERLINK("https://app.optiwise.ai/catalog/itemdetails/361710", "Catalonia Teal Sherpa Throws Blanket for Girl,Super Soft Comfy Fuzzy Micro Plush Fleece Snuggle Blanket for TV Bed Sofa Couch Reversible Match Color All Season 50x60")</f>
        <v/>
      </c>
      <c r="C2202" t="inlineStr">
        <is>
          <t>1CTBF301GN</t>
        </is>
      </c>
      <c r="D2202" t="inlineStr">
        <is>
          <t>Bedding</t>
        </is>
      </c>
      <c r="E2202" t="inlineStr">
        <is>
          <t>Throws</t>
        </is>
      </c>
      <c r="F2202" t="inlineStr">
        <is>
          <t>Catalonia</t>
        </is>
      </c>
      <c r="G2202" t="n">
        <v>0</v>
      </c>
      <c r="H2202" t="n">
        <v>0</v>
      </c>
      <c r="I2202" t="inlineStr">
        <is>
          <t>WFS,WFS Item</t>
        </is>
      </c>
      <c r="J2202" s="29" t="n">
        <v>0</v>
      </c>
      <c r="K2202" s="30" t="n"/>
      <c r="L2202" s="29" t="n">
        <v>0</v>
      </c>
      <c r="M2202" s="29" t="n">
        <v>0</v>
      </c>
      <c r="N2202" s="2" t="n">
        <v>0</v>
      </c>
      <c r="O2202" s="31" t="n">
        <v>0</v>
      </c>
      <c r="P2202" s="32" t="n"/>
      <c r="Q2202" s="32" t="n">
        <v>0</v>
      </c>
      <c r="R2202" s="32" t="n">
        <v>0</v>
      </c>
      <c r="S2202" s="31" t="n">
        <v>0</v>
      </c>
      <c r="T2202" s="32" t="n">
        <v>0</v>
      </c>
      <c r="U2202" s="31" t="n">
        <v>0</v>
      </c>
      <c r="V2202" s="31" t="n">
        <v>0</v>
      </c>
      <c r="W2202" s="3" t="n">
        <v>0</v>
      </c>
      <c r="X2202" s="3" t="n">
        <v>0</v>
      </c>
      <c r="Y2202" s="32" t="n">
        <v>0</v>
      </c>
      <c r="Z2202" s="3" t="n">
        <v>0</v>
      </c>
      <c r="AA2202" s="32" t="n">
        <v>0</v>
      </c>
      <c r="AB2202" s="3" t="n"/>
      <c r="AC2202" s="31" t="n">
        <v>0</v>
      </c>
      <c r="AD2202" s="2" t="n">
        <v>0</v>
      </c>
      <c r="AE2202" s="2" t="n">
        <v>1</v>
      </c>
      <c r="AF2202" s="4" t="n">
        <v>1</v>
      </c>
      <c r="AG2202" s="33" t="n">
        <v>0</v>
      </c>
      <c r="AH2202" s="4" t="n">
        <v>0</v>
      </c>
      <c r="AI2202" s="34" t="n"/>
      <c r="AJ2202" s="34" t="n">
        <v>0</v>
      </c>
      <c r="AK2202" s="2" t="n">
        <v>0</v>
      </c>
      <c r="AL2202" t="inlineStr">
        <is>
          <t>Published</t>
        </is>
      </c>
    </row>
    <row r="2203">
      <c r="A2203">
        <f>HYPERLINK("https://www.walmart.com/ip/795483021", "795483021")</f>
        <v/>
      </c>
      <c r="B2203">
        <f>HYPERLINK("https://app.optiwise.ai/catalog/itemdetails/361704", "Kato Outdoor Wine Picnic Table, Folding Portable Bamboo Camping Table with Wine Glasses and Bottle Holder for Concerts at the Park or Beach, Ideal Wine Lover Gift")</f>
        <v/>
      </c>
      <c r="C2203" t="inlineStr">
        <is>
          <t>1KTPT100</t>
        </is>
      </c>
      <c r="D2203" t="inlineStr">
        <is>
          <t>Furniture</t>
        </is>
      </c>
      <c r="E2203" t="inlineStr">
        <is>
          <t>Picnic Tables</t>
        </is>
      </c>
      <c r="F2203" t="inlineStr">
        <is>
          <t>Kato</t>
        </is>
      </c>
      <c r="G2203" t="n">
        <v>4.7</v>
      </c>
      <c r="H2203" t="n">
        <v>6</v>
      </c>
      <c r="I2203" t="inlineStr">
        <is>
          <t>Wine,Optimized,WFS,Wine WFS,Valentine,SEM,WFS Item</t>
        </is>
      </c>
      <c r="J2203" s="29" t="n">
        <v>0</v>
      </c>
      <c r="K2203" s="30" t="n"/>
      <c r="L2203" s="29" t="n">
        <v>0</v>
      </c>
      <c r="M2203" s="29" t="n">
        <v>0</v>
      </c>
      <c r="N2203" s="2" t="n">
        <v>0</v>
      </c>
      <c r="O2203" s="31" t="n">
        <v>0</v>
      </c>
      <c r="P2203" s="32" t="n"/>
      <c r="Q2203" s="32" t="n">
        <v>0</v>
      </c>
      <c r="R2203" s="32" t="n">
        <v>0</v>
      </c>
      <c r="S2203" s="31" t="n">
        <v>0</v>
      </c>
      <c r="T2203" s="32" t="n">
        <v>0</v>
      </c>
      <c r="U2203" s="31" t="n">
        <v>0</v>
      </c>
      <c r="V2203" s="31" t="n">
        <v>0</v>
      </c>
      <c r="W2203" s="3" t="n">
        <v>0</v>
      </c>
      <c r="X2203" s="3" t="n">
        <v>0</v>
      </c>
      <c r="Y2203" s="32" t="n">
        <v>0</v>
      </c>
      <c r="Z2203" s="3" t="n">
        <v>0</v>
      </c>
      <c r="AA2203" s="32" t="n">
        <v>0</v>
      </c>
      <c r="AB2203" s="3" t="n"/>
      <c r="AC2203" s="31" t="n">
        <v>0</v>
      </c>
      <c r="AD2203" s="2" t="n">
        <v>0</v>
      </c>
      <c r="AE2203" s="2" t="n">
        <v>41</v>
      </c>
      <c r="AF2203" s="4" t="n">
        <v>41</v>
      </c>
      <c r="AG2203" s="33" t="n">
        <v>0</v>
      </c>
      <c r="AH2203" s="4" t="n">
        <v>0</v>
      </c>
      <c r="AI2203" s="34" t="n"/>
      <c r="AJ2203" s="34" t="n">
        <v>0</v>
      </c>
      <c r="AK2203" s="2" t="n">
        <v>0</v>
      </c>
      <c r="AL2203" t="inlineStr">
        <is>
          <t>Published</t>
        </is>
      </c>
    </row>
    <row r="2204">
      <c r="A2204">
        <f>HYPERLINK("https://www.walmart.com/ip/960586307", "960586307")</f>
        <v/>
      </c>
      <c r="B2204">
        <f>HYPERLINK("https://app.optiwise.ai/catalog/itemdetails/361621", "Cat Oversized Sherpa Hoodie Blanket Sweatshirt for Women")</f>
        <v/>
      </c>
      <c r="C2204" t="inlineStr">
        <is>
          <t>1WMHD201CAT-DG</t>
        </is>
      </c>
      <c r="D2204" t="inlineStr">
        <is>
          <t>Clothing</t>
        </is>
      </c>
      <c r="E2204" t="inlineStr">
        <is>
          <t>Sweatshirts &amp; Hoodies</t>
        </is>
      </c>
      <c r="F2204" t="inlineStr">
        <is>
          <t>Flyingstar</t>
        </is>
      </c>
      <c r="G2204" t="n">
        <v>0</v>
      </c>
      <c r="H2204" t="n">
        <v>0</v>
      </c>
      <c r="I2204" t="inlineStr">
        <is>
          <t>Hoodie ForAdult,Optimized</t>
        </is>
      </c>
      <c r="J2204" s="29" t="n">
        <v>0</v>
      </c>
      <c r="K2204" s="30" t="n"/>
      <c r="L2204" s="29" t="n">
        <v>0</v>
      </c>
      <c r="M2204" s="29" t="n">
        <v>0</v>
      </c>
      <c r="N2204" s="2" t="n">
        <v>0</v>
      </c>
      <c r="O2204" s="31" t="n">
        <v>0</v>
      </c>
      <c r="P2204" s="32" t="n"/>
      <c r="Q2204" s="32" t="n">
        <v>0</v>
      </c>
      <c r="R2204" s="32" t="n">
        <v>0.0154</v>
      </c>
      <c r="S2204" s="31" t="n">
        <v>0</v>
      </c>
      <c r="T2204" s="32" t="n">
        <v>0</v>
      </c>
      <c r="U2204" s="31" t="n">
        <v>0</v>
      </c>
      <c r="V2204" s="31" t="n">
        <v>0</v>
      </c>
      <c r="W2204" s="3" t="n">
        <v>7082</v>
      </c>
      <c r="X2204" s="3" t="n">
        <v>0</v>
      </c>
      <c r="Y2204" s="32" t="n">
        <v>0</v>
      </c>
      <c r="Z2204" s="3" t="n">
        <v>0</v>
      </c>
      <c r="AA2204" s="32" t="n">
        <v>0</v>
      </c>
      <c r="AB2204" s="3" t="inlineStr">
        <is>
          <t>Hoodies_Auto</t>
        </is>
      </c>
      <c r="AC2204" s="31" t="n">
        <v>0</v>
      </c>
      <c r="AD2204" s="2" t="n">
        <v>0</v>
      </c>
      <c r="AE2204" s="2" t="n">
        <v>11</v>
      </c>
      <c r="AF2204" s="4" t="n">
        <v>11</v>
      </c>
      <c r="AG2204" s="33" t="n">
        <v>0</v>
      </c>
      <c r="AH2204" s="4" t="n">
        <v>0</v>
      </c>
      <c r="AI2204" s="34" t="n"/>
      <c r="AJ2204" s="34" t="n">
        <v>0</v>
      </c>
      <c r="AK2204" s="2" t="n">
        <v>0</v>
      </c>
      <c r="AL2204" t="inlineStr">
        <is>
          <t>Published</t>
        </is>
      </c>
    </row>
    <row r="2205">
      <c r="A2205">
        <f>HYPERLINK("https://www.walmart.com/ip/620436100", "620436100")</f>
        <v/>
      </c>
      <c r="B2205">
        <f>HYPERLINK("https://app.optiwise.ai/catalog/itemdetails/361619", "Jennis  8in1 Stylish Ladies Magic Scarf Shawl Woolly Charcoal Fiber Head Wrap")</f>
        <v/>
      </c>
      <c r="C2205" t="inlineStr">
        <is>
          <t>MagicScarfLilac</t>
        </is>
      </c>
      <c r="D2205" t="inlineStr">
        <is>
          <t>Clothing</t>
        </is>
      </c>
      <c r="E2205" t="inlineStr">
        <is>
          <t>Scarves</t>
        </is>
      </c>
      <c r="F2205" t="inlineStr">
        <is>
          <t>JenniWears</t>
        </is>
      </c>
      <c r="G2205" t="n">
        <v>3.2</v>
      </c>
      <c r="H2205" t="n">
        <v>5</v>
      </c>
      <c r="I2205" t="inlineStr">
        <is>
          <t>Optimized,SEM</t>
        </is>
      </c>
      <c r="J2205" s="29" t="n">
        <v>0</v>
      </c>
      <c r="K2205" s="30" t="n"/>
      <c r="L2205" s="29" t="n">
        <v>0</v>
      </c>
      <c r="M2205" s="29" t="n">
        <v>0</v>
      </c>
      <c r="N2205" s="2" t="n">
        <v>0</v>
      </c>
      <c r="O2205" s="31" t="n">
        <v>0</v>
      </c>
      <c r="P2205" s="32" t="n"/>
      <c r="Q2205" s="32" t="n">
        <v>0</v>
      </c>
      <c r="R2205" s="32" t="n">
        <v>0</v>
      </c>
      <c r="S2205" s="31" t="n">
        <v>0</v>
      </c>
      <c r="T2205" s="32" t="n">
        <v>0</v>
      </c>
      <c r="U2205" s="31" t="n">
        <v>0</v>
      </c>
      <c r="V2205" s="31" t="n">
        <v>0</v>
      </c>
      <c r="W2205" s="3" t="n">
        <v>0</v>
      </c>
      <c r="X2205" s="3" t="n">
        <v>0</v>
      </c>
      <c r="Y2205" s="32" t="n">
        <v>0</v>
      </c>
      <c r="Z2205" s="3" t="n">
        <v>0</v>
      </c>
      <c r="AA2205" s="32" t="n">
        <v>0</v>
      </c>
      <c r="AB2205" s="3" t="n"/>
      <c r="AC2205" s="31" t="n">
        <v>0</v>
      </c>
      <c r="AD2205" s="2" t="n">
        <v>1</v>
      </c>
      <c r="AE2205" s="2" t="n">
        <v>52</v>
      </c>
      <c r="AF2205" s="4" t="n">
        <v>52</v>
      </c>
      <c r="AG2205" s="33" t="n">
        <v>0</v>
      </c>
      <c r="AH2205" s="4" t="n">
        <v>0</v>
      </c>
      <c r="AI2205" s="34" t="n"/>
      <c r="AJ2205" s="34" t="n">
        <v>0</v>
      </c>
      <c r="AK2205" s="2" t="n">
        <v>0</v>
      </c>
      <c r="AL2205" t="inlineStr">
        <is>
          <t>Published</t>
        </is>
      </c>
    </row>
    <row r="2206">
      <c r="A2206">
        <f>HYPERLINK("https://www.walmart.com/ip/614520723", "614520723")</f>
        <v/>
      </c>
      <c r="B2206">
        <f>HYPERLINK("https://app.optiwise.ai/catalog/itemdetails/361618", "Catalonia Wearable Fleece Blanket with Sleeves and Kangaroo Pocket for Adults, Soft, Warm, Comfy Throws Wrap Robe Blanket in Gray")</f>
        <v/>
      </c>
      <c r="C2206" t="inlineStr">
        <is>
          <t>1CTSN200GY</t>
        </is>
      </c>
      <c r="D2206" t="inlineStr">
        <is>
          <t>Bedding</t>
        </is>
      </c>
      <c r="E2206" t="inlineStr">
        <is>
          <t>Throws</t>
        </is>
      </c>
      <c r="F2206" t="inlineStr">
        <is>
          <t>Catalonia</t>
        </is>
      </c>
      <c r="G2206" t="n">
        <v>0</v>
      </c>
      <c r="H2206" t="n">
        <v>0</v>
      </c>
      <c r="I2206" t="inlineStr">
        <is>
          <t>Q2-Target,WFS,Coupon_Discount,WFS Item</t>
        </is>
      </c>
      <c r="J2206" s="29" t="n">
        <v>0</v>
      </c>
      <c r="K2206" s="30" t="n"/>
      <c r="L2206" s="29" t="n">
        <v>0</v>
      </c>
      <c r="M2206" s="29" t="n">
        <v>0</v>
      </c>
      <c r="N2206" s="2" t="n">
        <v>0</v>
      </c>
      <c r="O2206" s="31" t="n">
        <v>0</v>
      </c>
      <c r="P2206" s="32" t="n"/>
      <c r="Q2206" s="32" t="n">
        <v>0</v>
      </c>
      <c r="R2206" s="32" t="n">
        <v>0</v>
      </c>
      <c r="S2206" s="31" t="n">
        <v>0</v>
      </c>
      <c r="T2206" s="32" t="n">
        <v>0</v>
      </c>
      <c r="U2206" s="31" t="n">
        <v>0</v>
      </c>
      <c r="V2206" s="31" t="n">
        <v>0</v>
      </c>
      <c r="W2206" s="3" t="n">
        <v>0</v>
      </c>
      <c r="X2206" s="3" t="n">
        <v>0</v>
      </c>
      <c r="Y2206" s="32" t="n">
        <v>0</v>
      </c>
      <c r="Z2206" s="3" t="n">
        <v>0</v>
      </c>
      <c r="AA2206" s="32" t="n">
        <v>0</v>
      </c>
      <c r="AB2206" s="3" t="n"/>
      <c r="AC2206" s="31" t="n">
        <v>0</v>
      </c>
      <c r="AD2206" s="2" t="n">
        <v>0</v>
      </c>
      <c r="AE2206" s="2" t="n">
        <v>15</v>
      </c>
      <c r="AF2206" s="4" t="n">
        <v>15</v>
      </c>
      <c r="AG2206" s="33" t="n">
        <v>0</v>
      </c>
      <c r="AH2206" s="4" t="n">
        <v>0</v>
      </c>
      <c r="AI2206" s="34" t="n"/>
      <c r="AJ2206" s="34" t="n">
        <v>0</v>
      </c>
      <c r="AK2206" s="2" t="n">
        <v>0</v>
      </c>
      <c r="AL2206" t="inlineStr">
        <is>
          <t>Published</t>
        </is>
      </c>
    </row>
    <row r="2207">
      <c r="A2207">
        <f>HYPERLINK("https://www.walmart.com/ip/515236504", "515236504")</f>
        <v/>
      </c>
      <c r="B2207">
        <f>HYPERLINK("https://app.optiwise.ai/catalog/itemdetails/361491", "Catalonia Tiger Fluffy Sherpa Throw Blanket, Super Soft Mink Fleece Couch Blanket, TV Bed Fuzzy Blanket, Fluffy Comfy Warm Heavy Throws, Comfort Caring Gift,50x60 inches")</f>
        <v/>
      </c>
      <c r="C2207" t="inlineStr">
        <is>
          <t>1CTBF300TIGERMUL</t>
        </is>
      </c>
      <c r="D2207" t="inlineStr">
        <is>
          <t>Bedding</t>
        </is>
      </c>
      <c r="E2207" t="inlineStr">
        <is>
          <t>Throws</t>
        </is>
      </c>
      <c r="F2207" t="inlineStr">
        <is>
          <t>Catalonia</t>
        </is>
      </c>
      <c r="G2207" t="n">
        <v>2</v>
      </c>
      <c r="H2207" t="n">
        <v>1</v>
      </c>
      <c r="I2207" t="inlineStr">
        <is>
          <t>Coupon_Discount,Batch 1 - TR</t>
        </is>
      </c>
      <c r="J2207" s="29" t="n">
        <v>0</v>
      </c>
      <c r="K2207" s="30" t="n"/>
      <c r="L2207" s="29" t="n">
        <v>0</v>
      </c>
      <c r="M2207" s="29" t="n">
        <v>0</v>
      </c>
      <c r="N2207" s="2" t="n">
        <v>0</v>
      </c>
      <c r="O2207" s="31" t="n">
        <v>0</v>
      </c>
      <c r="P2207" s="32" t="n"/>
      <c r="Q2207" s="32" t="n">
        <v>0</v>
      </c>
      <c r="R2207" s="32" t="n">
        <v>0</v>
      </c>
      <c r="S2207" s="31" t="n">
        <v>0</v>
      </c>
      <c r="T2207" s="32" t="n">
        <v>0</v>
      </c>
      <c r="U2207" s="31" t="n">
        <v>0</v>
      </c>
      <c r="V2207" s="31" t="n">
        <v>0</v>
      </c>
      <c r="W2207" s="3" t="n">
        <v>0</v>
      </c>
      <c r="X2207" s="3" t="n">
        <v>0</v>
      </c>
      <c r="Y2207" s="32" t="n">
        <v>0</v>
      </c>
      <c r="Z2207" s="3" t="n">
        <v>0</v>
      </c>
      <c r="AA2207" s="32" t="n">
        <v>0</v>
      </c>
      <c r="AB2207" s="3" t="n"/>
      <c r="AC2207" s="31" t="n">
        <v>0</v>
      </c>
      <c r="AD2207" s="2" t="n">
        <v>8</v>
      </c>
      <c r="AE2207" s="2" t="n">
        <v>35</v>
      </c>
      <c r="AF2207" s="4" t="n">
        <v>35</v>
      </c>
      <c r="AG2207" s="33" t="n">
        <v>0</v>
      </c>
      <c r="AH2207" s="4" t="n">
        <v>0</v>
      </c>
      <c r="AI2207" s="34" t="n"/>
      <c r="AJ2207" s="34" t="n">
        <v>0</v>
      </c>
      <c r="AK2207" s="2" t="n">
        <v>0</v>
      </c>
      <c r="AL2207" t="inlineStr">
        <is>
          <t>Published</t>
        </is>
      </c>
    </row>
    <row r="2208">
      <c r="A2208">
        <f>HYPERLINK("https://www.walmart.com/ip/371351927", "371351927")</f>
        <v/>
      </c>
      <c r="B2208">
        <f>HYPERLINK("https://app.optiwise.ai/catalog/itemdetails/361533", "Tirrinia UV Protection Hat Unisex Wide Brim Large Bill Neck Flap Mesh Nets with Adjustable Drawstring Khaki")</f>
        <v/>
      </c>
      <c r="C2208" t="inlineStr">
        <is>
          <t>1TRSH9152KK-TBGM</t>
        </is>
      </c>
      <c r="D2208" t="inlineStr">
        <is>
          <t>Clothing</t>
        </is>
      </c>
      <c r="E2208" t="inlineStr">
        <is>
          <t>Hats</t>
        </is>
      </c>
      <c r="F2208" t="inlineStr">
        <is>
          <t>Tirrinia</t>
        </is>
      </c>
      <c r="G2208" t="n">
        <v>4</v>
      </c>
      <c r="H2208" t="n">
        <v>6</v>
      </c>
      <c r="I2208" t="inlineStr">
        <is>
          <t>Optimized</t>
        </is>
      </c>
      <c r="J2208" s="29" t="n">
        <v>0</v>
      </c>
      <c r="K2208" s="30" t="n"/>
      <c r="L2208" s="29" t="n">
        <v>0</v>
      </c>
      <c r="M2208" s="29" t="n">
        <v>0</v>
      </c>
      <c r="N2208" s="2" t="n">
        <v>0</v>
      </c>
      <c r="O2208" s="31" t="n">
        <v>0</v>
      </c>
      <c r="P2208" s="32" t="n"/>
      <c r="Q2208" s="32" t="n">
        <v>0</v>
      </c>
      <c r="R2208" s="32" t="n">
        <v>0</v>
      </c>
      <c r="S2208" s="31" t="n">
        <v>0</v>
      </c>
      <c r="T2208" s="32" t="n">
        <v>0</v>
      </c>
      <c r="U2208" s="31" t="n">
        <v>0</v>
      </c>
      <c r="V2208" s="31" t="n">
        <v>0</v>
      </c>
      <c r="W2208" s="3" t="n">
        <v>83</v>
      </c>
      <c r="X2208" s="3" t="n">
        <v>0</v>
      </c>
      <c r="Y2208" s="32" t="n">
        <v>0</v>
      </c>
      <c r="Z2208" s="3" t="n">
        <v>0</v>
      </c>
      <c r="AA2208" s="32" t="n">
        <v>0</v>
      </c>
      <c r="AB2208" s="3" t="inlineStr">
        <is>
          <t>Need to sell these SKUs by 15th Feb</t>
        </is>
      </c>
      <c r="AC2208" s="31" t="n">
        <v>0</v>
      </c>
      <c r="AD2208" s="2" t="n">
        <v>0</v>
      </c>
      <c r="AE2208" s="2" t="n">
        <v>5</v>
      </c>
      <c r="AF2208" s="4" t="n">
        <v>5</v>
      </c>
      <c r="AG2208" s="33" t="n">
        <v>0</v>
      </c>
      <c r="AH2208" s="4" t="n">
        <v>0</v>
      </c>
      <c r="AI2208" s="34" t="n"/>
      <c r="AJ2208" s="34" t="n">
        <v>0</v>
      </c>
      <c r="AK2208" s="2" t="n">
        <v>0</v>
      </c>
      <c r="AL2208" t="inlineStr">
        <is>
          <t>Published</t>
        </is>
      </c>
    </row>
    <row r="2209">
      <c r="A2209">
        <f>HYPERLINK("https://www.walmart.com/ip/914193443", "914193443")</f>
        <v/>
      </c>
      <c r="B2209">
        <f>HYPERLINK("https://app.optiwise.ai/catalog/itemdetails/361528", "Microplush Sherpa Blanket with Sleeves for Women and Men")</f>
        <v/>
      </c>
      <c r="C2209" t="inlineStr">
        <is>
          <t>1TRSN110PK</t>
        </is>
      </c>
      <c r="D2209" t="inlineStr">
        <is>
          <t>Bedding</t>
        </is>
      </c>
      <c r="E2209" t="inlineStr">
        <is>
          <t>Throws</t>
        </is>
      </c>
      <c r="F2209" t="inlineStr">
        <is>
          <t>Tirrinia</t>
        </is>
      </c>
      <c r="G2209" t="n">
        <v>0</v>
      </c>
      <c r="H2209" t="n">
        <v>0</v>
      </c>
      <c r="I2209" t="inlineStr">
        <is>
          <t>Batch 1 - TR</t>
        </is>
      </c>
      <c r="J2209" s="29" t="n">
        <v>0</v>
      </c>
      <c r="K2209" s="30" t="n"/>
      <c r="L2209" s="29" t="n">
        <v>0</v>
      </c>
      <c r="M2209" s="29" t="n">
        <v>0</v>
      </c>
      <c r="N2209" s="2" t="n">
        <v>0</v>
      </c>
      <c r="O2209" s="31" t="n">
        <v>0</v>
      </c>
      <c r="P2209" s="32" t="n"/>
      <c r="Q2209" s="32" t="n">
        <v>0</v>
      </c>
      <c r="R2209" s="32" t="n">
        <v>0</v>
      </c>
      <c r="S2209" s="31" t="n">
        <v>0</v>
      </c>
      <c r="T2209" s="32" t="n">
        <v>0</v>
      </c>
      <c r="U2209" s="31" t="n">
        <v>0</v>
      </c>
      <c r="V2209" s="31" t="n">
        <v>0</v>
      </c>
      <c r="W2209" s="3" t="n">
        <v>0</v>
      </c>
      <c r="X2209" s="3" t="n">
        <v>0</v>
      </c>
      <c r="Y2209" s="32" t="n">
        <v>0</v>
      </c>
      <c r="Z2209" s="3" t="n">
        <v>0</v>
      </c>
      <c r="AA2209" s="32" t="n">
        <v>0</v>
      </c>
      <c r="AB2209" s="3" t="n"/>
      <c r="AC2209" s="31" t="n">
        <v>0</v>
      </c>
      <c r="AD2209" s="2" t="n">
        <v>0</v>
      </c>
      <c r="AE2209" s="2" t="n">
        <v>4</v>
      </c>
      <c r="AF2209" s="4" t="n">
        <v>4</v>
      </c>
      <c r="AG2209" s="33" t="n">
        <v>0</v>
      </c>
      <c r="AH2209" s="4" t="n">
        <v>0</v>
      </c>
      <c r="AI2209" s="34" t="n"/>
      <c r="AJ2209" s="34" t="n">
        <v>0</v>
      </c>
      <c r="AK2209" s="2" t="n">
        <v>0</v>
      </c>
      <c r="AL2209" t="inlineStr">
        <is>
          <t>Published</t>
        </is>
      </c>
    </row>
    <row r="2210">
      <c r="A2210">
        <f>HYPERLINK("https://www.walmart.com/ip/926611266", "926611266")</f>
        <v/>
      </c>
      <c r="B2210">
        <f>HYPERLINK("https://app.optiwise.ai/catalog/itemdetails/361524", "Flyingstar Wearable Blanket with Sleeves and Pocket, Fleece Micro Plush Throws Blanket, Robe for Women and Men 73” x 51” Navy")</f>
        <v/>
      </c>
      <c r="C2210" t="inlineStr">
        <is>
          <t>1WMSN100NY</t>
        </is>
      </c>
      <c r="D2210" t="inlineStr">
        <is>
          <t>Bedding</t>
        </is>
      </c>
      <c r="E2210" t="inlineStr">
        <is>
          <t>Throws</t>
        </is>
      </c>
      <c r="F2210" t="inlineStr">
        <is>
          <t>Flyingstar</t>
        </is>
      </c>
      <c r="G2210" t="n">
        <v>0</v>
      </c>
      <c r="H2210" t="n">
        <v>0</v>
      </c>
      <c r="I2210" t="inlineStr">
        <is>
          <t>Optimized</t>
        </is>
      </c>
      <c r="J2210" s="29" t="n">
        <v>0</v>
      </c>
      <c r="K2210" s="30" t="n"/>
      <c r="L2210" s="29" t="n">
        <v>0</v>
      </c>
      <c r="M2210" s="29" t="n">
        <v>0</v>
      </c>
      <c r="N2210" s="2" t="n">
        <v>0</v>
      </c>
      <c r="O2210" s="31" t="n">
        <v>0</v>
      </c>
      <c r="P2210" s="32" t="n"/>
      <c r="Q2210" s="32" t="n">
        <v>0</v>
      </c>
      <c r="R2210" s="32" t="n">
        <v>0</v>
      </c>
      <c r="S2210" s="31" t="n">
        <v>0</v>
      </c>
      <c r="T2210" s="32" t="n">
        <v>0</v>
      </c>
      <c r="U2210" s="31" t="n">
        <v>0</v>
      </c>
      <c r="V2210" s="31" t="n">
        <v>0</v>
      </c>
      <c r="W2210" s="3" t="n">
        <v>0</v>
      </c>
      <c r="X2210" s="3" t="n">
        <v>0</v>
      </c>
      <c r="Y2210" s="32" t="n">
        <v>0</v>
      </c>
      <c r="Z2210" s="3" t="n">
        <v>0</v>
      </c>
      <c r="AA2210" s="32" t="n">
        <v>0</v>
      </c>
      <c r="AB2210" s="3" t="n"/>
      <c r="AC2210" s="31" t="n">
        <v>0</v>
      </c>
      <c r="AD2210" s="2" t="n">
        <v>0</v>
      </c>
      <c r="AE2210" s="2" t="n">
        <v>0</v>
      </c>
      <c r="AF2210" s="4" t="n">
        <v>0</v>
      </c>
      <c r="AG2210" s="33" t="n">
        <v>0</v>
      </c>
      <c r="AH2210" s="4" t="n">
        <v>0</v>
      </c>
      <c r="AI2210" s="34" t="n"/>
      <c r="AJ2210" s="34" t="n">
        <v>0</v>
      </c>
      <c r="AK2210" s="2" t="n">
        <v>0</v>
      </c>
      <c r="AL2210" t="inlineStr">
        <is>
          <t>Published</t>
        </is>
      </c>
    </row>
    <row r="2211">
      <c r="A2211">
        <f>HYPERLINK("https://www.walmart.com/ip/141341554", "141341554")</f>
        <v/>
      </c>
      <c r="B2211">
        <f>HYPERLINK("https://app.optiwise.ai/catalog/itemdetails/361520", "KC Caps Warm Winter Hat Soft Solid Knit Beanie Acrylic Adult")</f>
        <v/>
      </c>
      <c r="C2211" t="inlineStr">
        <is>
          <t>KC-W1710-OR</t>
        </is>
      </c>
      <c r="D2211" t="inlineStr">
        <is>
          <t>Clothing</t>
        </is>
      </c>
      <c r="E2211" t="inlineStr">
        <is>
          <t>Hats</t>
        </is>
      </c>
      <c r="F2211" t="inlineStr">
        <is>
          <t>KC Caps</t>
        </is>
      </c>
      <c r="G2211" t="n">
        <v>0</v>
      </c>
      <c r="H2211" t="n">
        <v>0</v>
      </c>
      <c r="I2211" t="inlineStr">
        <is>
          <t>Optimized</t>
        </is>
      </c>
      <c r="J2211" s="29" t="n">
        <v>0</v>
      </c>
      <c r="K2211" s="30" t="n"/>
      <c r="L2211" s="29" t="n">
        <v>0</v>
      </c>
      <c r="M2211" s="29" t="n">
        <v>0</v>
      </c>
      <c r="N2211" s="2" t="n">
        <v>0</v>
      </c>
      <c r="O2211" s="31" t="n">
        <v>0</v>
      </c>
      <c r="P2211" s="32" t="n"/>
      <c r="Q2211" s="32" t="n">
        <v>0</v>
      </c>
      <c r="R2211" s="32" t="n">
        <v>0</v>
      </c>
      <c r="S2211" s="31" t="n">
        <v>0</v>
      </c>
      <c r="T2211" s="32" t="n">
        <v>0</v>
      </c>
      <c r="U2211" s="31" t="n">
        <v>0</v>
      </c>
      <c r="V2211" s="31" t="n">
        <v>0</v>
      </c>
      <c r="W2211" s="3" t="n">
        <v>0</v>
      </c>
      <c r="X2211" s="3" t="n">
        <v>0</v>
      </c>
      <c r="Y2211" s="32" t="n">
        <v>0</v>
      </c>
      <c r="Z2211" s="3" t="n">
        <v>0</v>
      </c>
      <c r="AA2211" s="32" t="n">
        <v>0</v>
      </c>
      <c r="AB2211" s="3" t="n"/>
      <c r="AC2211" s="31" t="n">
        <v>0</v>
      </c>
      <c r="AD2211" s="2" t="n">
        <v>0</v>
      </c>
      <c r="AE2211" s="2" t="n">
        <v>1</v>
      </c>
      <c r="AF2211" s="4" t="n">
        <v>1</v>
      </c>
      <c r="AG2211" s="33" t="n">
        <v>0</v>
      </c>
      <c r="AH2211" s="4" t="n">
        <v>0</v>
      </c>
      <c r="AI2211" s="34" t="n"/>
      <c r="AJ2211" s="34" t="n">
        <v>0</v>
      </c>
      <c r="AK2211" s="2" t="n">
        <v>0</v>
      </c>
      <c r="AL2211" t="inlineStr">
        <is>
          <t>Published</t>
        </is>
      </c>
    </row>
    <row r="2212">
      <c r="A2212">
        <f>HYPERLINK("https://www.walmart.com/ip/198404251", "198404251")</f>
        <v/>
      </c>
      <c r="B2212">
        <f>HYPERLINK("https://app.optiwise.ai/catalog/itemdetails/361518", "home comforts blanket Blanket with Sleeves, Super Soft Wearable TV Blanket Robe Fleece for Adult 73 x 51”| Cozy Warm, Lightweight")</f>
        <v/>
      </c>
      <c r="C2212" t="inlineStr">
        <is>
          <t>1TRSN100WN</t>
        </is>
      </c>
      <c r="D2212" t="inlineStr">
        <is>
          <t>Bedding</t>
        </is>
      </c>
      <c r="E2212" t="inlineStr">
        <is>
          <t>Throws</t>
        </is>
      </c>
      <c r="F2212" t="inlineStr">
        <is>
          <t>Tirrinia</t>
        </is>
      </c>
      <c r="G2212" t="n">
        <v>4.5</v>
      </c>
      <c r="H2212" t="n">
        <v>4</v>
      </c>
      <c r="I2212" t="inlineStr">
        <is>
          <t>Optimized,WFS Item,Fleece Blankets</t>
        </is>
      </c>
      <c r="J2212" s="29" t="n">
        <v>0</v>
      </c>
      <c r="K2212" s="30" t="n"/>
      <c r="L2212" s="29" t="n">
        <v>0</v>
      </c>
      <c r="M2212" s="29" t="n">
        <v>0</v>
      </c>
      <c r="N2212" s="2" t="n">
        <v>0</v>
      </c>
      <c r="O2212" s="31" t="n">
        <v>0</v>
      </c>
      <c r="P2212" s="32" t="n"/>
      <c r="Q2212" s="32" t="n">
        <v>0</v>
      </c>
      <c r="R2212" s="32" t="n">
        <v>0</v>
      </c>
      <c r="S2212" s="31" t="n">
        <v>0</v>
      </c>
      <c r="T2212" s="32" t="n">
        <v>0</v>
      </c>
      <c r="U2212" s="31" t="n">
        <v>0</v>
      </c>
      <c r="V2212" s="31" t="n">
        <v>0</v>
      </c>
      <c r="W2212" s="3" t="n">
        <v>0</v>
      </c>
      <c r="X2212" s="3" t="n">
        <v>0</v>
      </c>
      <c r="Y2212" s="32" t="n">
        <v>0</v>
      </c>
      <c r="Z2212" s="3" t="n">
        <v>0</v>
      </c>
      <c r="AA2212" s="32" t="n">
        <v>0</v>
      </c>
      <c r="AB2212" s="3" t="n"/>
      <c r="AC2212" s="31" t="n">
        <v>0</v>
      </c>
      <c r="AD2212" s="2" t="n">
        <v>0</v>
      </c>
      <c r="AE2212" s="2" t="n">
        <v>6</v>
      </c>
      <c r="AF2212" s="4" t="n">
        <v>6</v>
      </c>
      <c r="AG2212" s="33" t="n">
        <v>0</v>
      </c>
      <c r="AH2212" s="4" t="n">
        <v>0</v>
      </c>
      <c r="AI2212" s="34" t="n"/>
      <c r="AJ2212" s="34" t="n">
        <v>0</v>
      </c>
      <c r="AK2212" s="2" t="n">
        <v>0</v>
      </c>
      <c r="AL2212" t="inlineStr">
        <is>
          <t>Published</t>
        </is>
      </c>
    </row>
    <row r="2213">
      <c r="A2213">
        <f>HYPERLINK("https://www.walmart.com/ip/445268146", "445268146")</f>
        <v/>
      </c>
      <c r="B2213">
        <f>HYPERLINK("https://app.optiwise.ai/catalog/itemdetails/361514", "Women’s Swim Bathing Suit Cover Up, Summer Chiffon Maxi Beach Dress Skirt")</f>
        <v/>
      </c>
      <c r="C2213" t="inlineStr">
        <is>
          <t>1WMDS100BK</t>
        </is>
      </c>
      <c r="D2213" t="inlineStr">
        <is>
          <t>Dresses</t>
        </is>
      </c>
      <c r="E2213" t="inlineStr">
        <is>
          <t>Dresses</t>
        </is>
      </c>
      <c r="F2213" t="inlineStr">
        <is>
          <t>Flyingstar</t>
        </is>
      </c>
      <c r="G2213" t="n">
        <v>0</v>
      </c>
      <c r="H2213" t="n">
        <v>0</v>
      </c>
      <c r="I2213" t="inlineStr">
        <is>
          <t>Batch 1 - TR</t>
        </is>
      </c>
      <c r="J2213" s="29" t="n">
        <v>0</v>
      </c>
      <c r="K2213" s="30" t="n"/>
      <c r="L2213" s="29" t="n">
        <v>0</v>
      </c>
      <c r="M2213" s="29" t="n">
        <v>0</v>
      </c>
      <c r="N2213" s="2" t="n">
        <v>0</v>
      </c>
      <c r="O2213" s="31" t="n">
        <v>0</v>
      </c>
      <c r="P2213" s="32" t="n"/>
      <c r="Q2213" s="32" t="n">
        <v>0</v>
      </c>
      <c r="R2213" s="32" t="n">
        <v>0</v>
      </c>
      <c r="S2213" s="31" t="n">
        <v>0</v>
      </c>
      <c r="T2213" s="32" t="n">
        <v>0</v>
      </c>
      <c r="U2213" s="31" t="n">
        <v>0</v>
      </c>
      <c r="V2213" s="31" t="n">
        <v>0</v>
      </c>
      <c r="W2213" s="3" t="n">
        <v>0</v>
      </c>
      <c r="X2213" s="3" t="n">
        <v>0</v>
      </c>
      <c r="Y2213" s="32" t="n">
        <v>0</v>
      </c>
      <c r="Z2213" s="3" t="n">
        <v>0</v>
      </c>
      <c r="AA2213" s="32" t="n">
        <v>0</v>
      </c>
      <c r="AB2213" s="3" t="n"/>
      <c r="AC2213" s="31" t="n">
        <v>0</v>
      </c>
      <c r="AD2213" s="2" t="n">
        <v>0</v>
      </c>
      <c r="AE2213" s="2" t="n">
        <v>0</v>
      </c>
      <c r="AF2213" s="4" t="n">
        <v>0</v>
      </c>
      <c r="AG2213" s="33" t="n">
        <v>0</v>
      </c>
      <c r="AH2213" s="4" t="n">
        <v>0</v>
      </c>
      <c r="AI2213" s="34" t="n"/>
      <c r="AJ2213" s="34" t="n">
        <v>0</v>
      </c>
      <c r="AK2213" s="2" t="n">
        <v>0</v>
      </c>
      <c r="AL2213" t="inlineStr">
        <is>
          <t>Published</t>
        </is>
      </c>
    </row>
    <row r="2214">
      <c r="A2214">
        <f>HYPERLINK("https://www.walmart.com/ip/687231210", "687231210")</f>
        <v/>
      </c>
      <c r="B2214">
        <f>HYPERLINK("https://app.optiwise.ai/catalog/itemdetails/361509", "Catalonia Waterproof Blanket Couch Sofa Bed Protector Cover for Baby, Super Cozy Plush Fleece Warm Sherpa Lining Throws for Boating Camping")</f>
        <v/>
      </c>
      <c r="C2214" t="inlineStr">
        <is>
          <t>1CTBW981GYTP</t>
        </is>
      </c>
      <c r="D2214" t="inlineStr">
        <is>
          <t>Bedding</t>
        </is>
      </c>
      <c r="E2214" t="inlineStr">
        <is>
          <t>Throws</t>
        </is>
      </c>
      <c r="F2214" t="inlineStr">
        <is>
          <t>Catalonia</t>
        </is>
      </c>
      <c r="G2214" t="n">
        <v>4.8</v>
      </c>
      <c r="H2214" t="n">
        <v>27</v>
      </c>
      <c r="I2214" t="inlineStr">
        <is>
          <t>Optimized,WFS,High AUR Items,Wproof Blanket,SEM,WFS Item</t>
        </is>
      </c>
      <c r="J2214" s="29" t="n">
        <v>0</v>
      </c>
      <c r="K2214" s="30" t="n"/>
      <c r="L2214" s="29" t="n">
        <v>0</v>
      </c>
      <c r="M2214" s="29" t="n">
        <v>0</v>
      </c>
      <c r="N2214" s="2" t="n">
        <v>0</v>
      </c>
      <c r="O2214" s="31" t="n">
        <v>0</v>
      </c>
      <c r="P2214" s="32" t="n"/>
      <c r="Q2214" s="32" t="n">
        <v>0</v>
      </c>
      <c r="R2214" s="32" t="n">
        <v>0</v>
      </c>
      <c r="S2214" s="31" t="n">
        <v>0</v>
      </c>
      <c r="T2214" s="32" t="n">
        <v>0</v>
      </c>
      <c r="U2214" s="31" t="n">
        <v>0</v>
      </c>
      <c r="V2214" s="31" t="n">
        <v>0</v>
      </c>
      <c r="W2214" s="3" t="n">
        <v>2895</v>
      </c>
      <c r="X2214" s="3" t="n">
        <v>0</v>
      </c>
      <c r="Y2214" s="32" t="n">
        <v>0</v>
      </c>
      <c r="Z2214" s="3" t="n">
        <v>0</v>
      </c>
      <c r="AA2214" s="32" t="n">
        <v>0</v>
      </c>
      <c r="AB2214" s="3" t="inlineStr">
        <is>
          <t>Auto for BW Indoor,Throws_Manual_Optiwise_24</t>
        </is>
      </c>
      <c r="AC2214" s="31" t="n">
        <v>0</v>
      </c>
      <c r="AD2214" s="2" t="n">
        <v>0</v>
      </c>
      <c r="AE2214" s="2" t="n">
        <v>20</v>
      </c>
      <c r="AF2214" s="4" t="n">
        <v>20</v>
      </c>
      <c r="AG2214" s="33" t="n">
        <v>0</v>
      </c>
      <c r="AH2214" s="4" t="n">
        <v>0</v>
      </c>
      <c r="AI2214" s="34" t="n"/>
      <c r="AJ2214" s="34" t="n">
        <v>0</v>
      </c>
      <c r="AK2214" s="2" t="n">
        <v>0</v>
      </c>
      <c r="AL2214" t="inlineStr">
        <is>
          <t>Published</t>
        </is>
      </c>
    </row>
    <row r="2215">
      <c r="A2215">
        <f>HYPERLINK("https://www.walmart.com/ip/412344441", "412344441")</f>
        <v/>
      </c>
      <c r="B2215">
        <f>HYPERLINK("https://app.optiwise.ai/catalog/itemdetails/361508", "Tirrinia Super Soft Fluffy Hooded Robe Long Plush Fuzzy Bathrobe for Women with Hood Sherpa Lined, Machine Washable, Pink")</f>
        <v/>
      </c>
      <c r="C2215" t="inlineStr">
        <is>
          <t>1TRRB100PK</t>
        </is>
      </c>
      <c r="D2215" t="inlineStr">
        <is>
          <t>Clothing</t>
        </is>
      </c>
      <c r="E2215" t="inlineStr">
        <is>
          <t>Sleepwear Robes &amp; Bathrobes</t>
        </is>
      </c>
      <c r="F2215" t="inlineStr">
        <is>
          <t>Tirrinia</t>
        </is>
      </c>
      <c r="G2215" t="n">
        <v>0</v>
      </c>
      <c r="H2215" t="n">
        <v>0</v>
      </c>
      <c r="I2215" t="inlineStr">
        <is>
          <t>WFS,Bathrobe,Coupon_Discount,WFS Item</t>
        </is>
      </c>
      <c r="J2215" s="29" t="n">
        <v>0</v>
      </c>
      <c r="K2215" s="30" t="n"/>
      <c r="L2215" s="29" t="n">
        <v>0</v>
      </c>
      <c r="M2215" s="29" t="n">
        <v>0</v>
      </c>
      <c r="N2215" s="2" t="n">
        <v>0</v>
      </c>
      <c r="O2215" s="31" t="n">
        <v>0</v>
      </c>
      <c r="P2215" s="32" t="n"/>
      <c r="Q2215" s="32" t="n">
        <v>0</v>
      </c>
      <c r="R2215" s="32" t="n">
        <v>0</v>
      </c>
      <c r="S2215" s="31" t="n">
        <v>0</v>
      </c>
      <c r="T2215" s="32" t="n">
        <v>0</v>
      </c>
      <c r="U2215" s="31" t="n">
        <v>0</v>
      </c>
      <c r="V2215" s="31" t="n">
        <v>0</v>
      </c>
      <c r="W2215" s="3" t="n">
        <v>0</v>
      </c>
      <c r="X2215" s="3" t="n">
        <v>0</v>
      </c>
      <c r="Y2215" s="32" t="n">
        <v>0</v>
      </c>
      <c r="Z2215" s="3" t="n">
        <v>0</v>
      </c>
      <c r="AA2215" s="32" t="n">
        <v>0</v>
      </c>
      <c r="AB2215" s="3" t="n"/>
      <c r="AC2215" s="31" t="n">
        <v>0</v>
      </c>
      <c r="AD2215" s="2" t="n">
        <v>5</v>
      </c>
      <c r="AE2215" s="2" t="n">
        <v>21</v>
      </c>
      <c r="AF2215" s="4" t="n">
        <v>21</v>
      </c>
      <c r="AG2215" s="33" t="n">
        <v>0</v>
      </c>
      <c r="AH2215" s="4" t="n">
        <v>0</v>
      </c>
      <c r="AI2215" s="34" t="n"/>
      <c r="AJ2215" s="34" t="n">
        <v>0</v>
      </c>
      <c r="AK2215" s="2" t="n">
        <v>0</v>
      </c>
      <c r="AL2215" t="inlineStr">
        <is>
          <t>Published</t>
        </is>
      </c>
    </row>
    <row r="2216">
      <c r="A2216">
        <f>HYPERLINK("https://www.walmart.com/ip/275735754", "275735754")</f>
        <v/>
      </c>
      <c r="B2216">
        <f>HYPERLINK("https://app.optiwise.ai/catalog/itemdetails/361501", "Sports Travel Money Belt - Unisex Fitness Fanny &amp; Waist Pack -Reflective Running Belt Flip Belt - Runners waist pack &amp; M")</f>
        <v/>
      </c>
      <c r="C2216" t="inlineStr">
        <is>
          <t>TERRA-5NG-M-JW</t>
        </is>
      </c>
      <c r="D2216" t="inlineStr">
        <is>
          <t>Cases &amp; Bags</t>
        </is>
      </c>
      <c r="E2216" t="inlineStr">
        <is>
          <t>Fanny Packs</t>
        </is>
      </c>
      <c r="F2216" t="inlineStr">
        <is>
          <t>Terra</t>
        </is>
      </c>
      <c r="G2216" t="n">
        <v>0</v>
      </c>
      <c r="H2216" t="n">
        <v>0</v>
      </c>
      <c r="I2216" t="inlineStr">
        <is>
          <t>Optimized</t>
        </is>
      </c>
      <c r="J2216" s="29" t="n">
        <v>0</v>
      </c>
      <c r="K2216" s="30" t="n"/>
      <c r="L2216" s="29" t="n">
        <v>0</v>
      </c>
      <c r="M2216" s="29" t="n">
        <v>0</v>
      </c>
      <c r="N2216" s="2" t="n">
        <v>0</v>
      </c>
      <c r="O2216" s="31" t="n">
        <v>0</v>
      </c>
      <c r="P2216" s="32" t="n"/>
      <c r="Q2216" s="32" t="n">
        <v>0</v>
      </c>
      <c r="R2216" s="32" t="n">
        <v>0</v>
      </c>
      <c r="S2216" s="31" t="n">
        <v>0</v>
      </c>
      <c r="T2216" s="32" t="n">
        <v>0</v>
      </c>
      <c r="U2216" s="31" t="n">
        <v>0</v>
      </c>
      <c r="V2216" s="31" t="n">
        <v>0</v>
      </c>
      <c r="W2216" s="3" t="n">
        <v>0</v>
      </c>
      <c r="X2216" s="3" t="n">
        <v>0</v>
      </c>
      <c r="Y2216" s="32" t="n">
        <v>0</v>
      </c>
      <c r="Z2216" s="3" t="n">
        <v>0</v>
      </c>
      <c r="AA2216" s="32" t="n">
        <v>0</v>
      </c>
      <c r="AB2216" s="3" t="n"/>
      <c r="AC2216" s="31" t="n">
        <v>0</v>
      </c>
      <c r="AD2216" s="2" t="n">
        <v>0</v>
      </c>
      <c r="AE2216" s="2" t="n">
        <v>36</v>
      </c>
      <c r="AF2216" s="4" t="n">
        <v>36</v>
      </c>
      <c r="AG2216" s="33" t="n">
        <v>0</v>
      </c>
      <c r="AH2216" s="4" t="n">
        <v>0</v>
      </c>
      <c r="AI2216" s="34" t="n"/>
      <c r="AJ2216" s="34" t="n">
        <v>0</v>
      </c>
      <c r="AK2216" s="2" t="n">
        <v>0</v>
      </c>
      <c r="AL2216" t="inlineStr">
        <is>
          <t>Published</t>
        </is>
      </c>
    </row>
    <row r="2217">
      <c r="A2217">
        <f>HYPERLINK("https://www.walmart.com/ip/289431388", "289431388")</f>
        <v/>
      </c>
      <c r="B2217">
        <f>HYPERLINK("https://app.optiwise.ai/catalog/itemdetails/361493", "Flyingstar Sherpa Throws Blanket, Fleece Soft Cozy Blanket Throws for Sofa Bed 50x60")</f>
        <v/>
      </c>
      <c r="C2217" t="inlineStr">
        <is>
          <t>1WMBF573HPSOLE</t>
        </is>
      </c>
      <c r="D2217" t="inlineStr">
        <is>
          <t>Bedding</t>
        </is>
      </c>
      <c r="E2217" t="inlineStr">
        <is>
          <t>Throws</t>
        </is>
      </c>
      <c r="F2217" t="inlineStr">
        <is>
          <t>Flyingstar</t>
        </is>
      </c>
      <c r="G2217" t="n">
        <v>0</v>
      </c>
      <c r="H2217" t="n">
        <v>0</v>
      </c>
      <c r="I2217" t="inlineStr">
        <is>
          <t>Optimized</t>
        </is>
      </c>
      <c r="J2217" s="29" t="n">
        <v>0</v>
      </c>
      <c r="K2217" s="30" t="n"/>
      <c r="L2217" s="29" t="n">
        <v>0</v>
      </c>
      <c r="M2217" s="29" t="n">
        <v>0</v>
      </c>
      <c r="N2217" s="2" t="n">
        <v>0</v>
      </c>
      <c r="O2217" s="31" t="n">
        <v>0</v>
      </c>
      <c r="P2217" s="32" t="n"/>
      <c r="Q2217" s="32" t="n">
        <v>0</v>
      </c>
      <c r="R2217" s="32" t="n">
        <v>0</v>
      </c>
      <c r="S2217" s="31" t="n">
        <v>0</v>
      </c>
      <c r="T2217" s="32" t="n">
        <v>0</v>
      </c>
      <c r="U2217" s="31" t="n">
        <v>0</v>
      </c>
      <c r="V2217" s="31" t="n">
        <v>0</v>
      </c>
      <c r="W2217" s="3" t="n">
        <v>0</v>
      </c>
      <c r="X2217" s="3" t="n">
        <v>0</v>
      </c>
      <c r="Y2217" s="32" t="n">
        <v>0</v>
      </c>
      <c r="Z2217" s="3" t="n">
        <v>0</v>
      </c>
      <c r="AA2217" s="32" t="n">
        <v>0</v>
      </c>
      <c r="AB2217" s="3" t="n"/>
      <c r="AC2217" s="31" t="n">
        <v>0</v>
      </c>
      <c r="AD2217" s="2" t="n">
        <v>0</v>
      </c>
      <c r="AE2217" s="2" t="n">
        <v>0</v>
      </c>
      <c r="AF2217" s="4" t="n">
        <v>0</v>
      </c>
      <c r="AG2217" s="33" t="n">
        <v>0</v>
      </c>
      <c r="AH2217" s="4" t="n">
        <v>0</v>
      </c>
      <c r="AI2217" s="34" t="n"/>
      <c r="AJ2217" s="34" t="n">
        <v>0</v>
      </c>
      <c r="AK2217" s="2" t="n">
        <v>0</v>
      </c>
      <c r="AL2217" t="inlineStr">
        <is>
          <t>Published</t>
        </is>
      </c>
    </row>
    <row r="2218">
      <c r="A2218">
        <f>HYPERLINK("https://www.walmart.com/ip/591670037", "591670037")</f>
        <v/>
      </c>
      <c r="B2218">
        <f>HYPERLINK("https://app.optiwise.ai/catalog/itemdetails/361492", "KC Caps® Men Women Baseball Cap Snapback Hip-Hop Golf Bboy Caps Green Camo Black")</f>
        <v/>
      </c>
      <c r="C2218" t="inlineStr">
        <is>
          <t>KC Caps 7040 Green CamoBlack-K</t>
        </is>
      </c>
      <c r="D2218" t="inlineStr">
        <is>
          <t>Sport &amp; Recreation Other</t>
        </is>
      </c>
      <c r="E2218" t="inlineStr">
        <is>
          <t>Golf Hats</t>
        </is>
      </c>
      <c r="F2218" t="inlineStr">
        <is>
          <t>KC Caps</t>
        </is>
      </c>
      <c r="G2218" t="n">
        <v>0</v>
      </c>
      <c r="H2218" t="n">
        <v>0</v>
      </c>
      <c r="I2218" t="inlineStr">
        <is>
          <t>Optimized,ST Patrick Day</t>
        </is>
      </c>
      <c r="J2218" s="29" t="n">
        <v>0</v>
      </c>
      <c r="K2218" s="30" t="n"/>
      <c r="L2218" s="29" t="n">
        <v>0</v>
      </c>
      <c r="M2218" s="29" t="n">
        <v>0</v>
      </c>
      <c r="N2218" s="2" t="n">
        <v>0</v>
      </c>
      <c r="O2218" s="31" t="n">
        <v>0</v>
      </c>
      <c r="P2218" s="32" t="n"/>
      <c r="Q2218" s="32" t="n">
        <v>0</v>
      </c>
      <c r="R2218" s="32" t="n">
        <v>0</v>
      </c>
      <c r="S2218" s="31" t="n">
        <v>0</v>
      </c>
      <c r="T2218" s="32" t="n">
        <v>0</v>
      </c>
      <c r="U2218" s="31" t="n">
        <v>0</v>
      </c>
      <c r="V2218" s="31" t="n">
        <v>0</v>
      </c>
      <c r="W2218" s="3" t="n">
        <v>0</v>
      </c>
      <c r="X2218" s="3" t="n">
        <v>0</v>
      </c>
      <c r="Y2218" s="32" t="n">
        <v>0</v>
      </c>
      <c r="Z2218" s="3" t="n">
        <v>0</v>
      </c>
      <c r="AA2218" s="32" t="n">
        <v>0</v>
      </c>
      <c r="AB2218" s="3" t="n"/>
      <c r="AC2218" s="31" t="n">
        <v>0</v>
      </c>
      <c r="AD2218" s="2" t="n">
        <v>0</v>
      </c>
      <c r="AE2218" s="2" t="n">
        <v>7</v>
      </c>
      <c r="AF2218" s="4" t="n">
        <v>7</v>
      </c>
      <c r="AG2218" s="33" t="n">
        <v>0</v>
      </c>
      <c r="AH2218" s="4" t="n">
        <v>0</v>
      </c>
      <c r="AI2218" s="34" t="n"/>
      <c r="AJ2218" s="34" t="n">
        <v>0</v>
      </c>
      <c r="AK2218" s="2" t="n">
        <v>0</v>
      </c>
      <c r="AL2218" t="inlineStr">
        <is>
          <t>Published</t>
        </is>
      </c>
    </row>
    <row r="2219">
      <c r="A2219">
        <f>HYPERLINK("https://www.walmart.com/ip/411718770", "411718770")</f>
        <v/>
      </c>
      <c r="B2219">
        <f>HYPERLINK("https://app.optiwise.ai/catalog/itemdetails/361483", "Jennis Women's Plue Size Flower laced Sexy Babydoll")</f>
        <v/>
      </c>
      <c r="C2219" t="inlineStr">
        <is>
          <t>JWBD05WT-3XL</t>
        </is>
      </c>
      <c r="D2219" t="inlineStr">
        <is>
          <t>Clothing</t>
        </is>
      </c>
      <c r="E2219" t="inlineStr">
        <is>
          <t>Lingerie Sets</t>
        </is>
      </c>
      <c r="F2219" t="inlineStr">
        <is>
          <t>JenniWears</t>
        </is>
      </c>
      <c r="G2219" t="n">
        <v>0</v>
      </c>
      <c r="H2219" t="n">
        <v>0</v>
      </c>
      <c r="I2219" t="inlineStr">
        <is>
          <t>Valentine</t>
        </is>
      </c>
      <c r="J2219" s="29" t="n">
        <v>0</v>
      </c>
      <c r="K2219" s="30" t="n"/>
      <c r="L2219" s="29" t="n">
        <v>0</v>
      </c>
      <c r="M2219" s="29" t="n">
        <v>0</v>
      </c>
      <c r="N2219" s="2" t="n">
        <v>0</v>
      </c>
      <c r="O2219" s="31" t="n">
        <v>0</v>
      </c>
      <c r="P2219" s="32" t="n"/>
      <c r="Q2219" s="32" t="n">
        <v>0</v>
      </c>
      <c r="R2219" s="32" t="n">
        <v>0</v>
      </c>
      <c r="S2219" s="31" t="n">
        <v>0</v>
      </c>
      <c r="T2219" s="32" t="n">
        <v>0</v>
      </c>
      <c r="U2219" s="31" t="n">
        <v>0</v>
      </c>
      <c r="V2219" s="31" t="n">
        <v>0</v>
      </c>
      <c r="W2219" s="3" t="n">
        <v>0</v>
      </c>
      <c r="X2219" s="3" t="n">
        <v>0</v>
      </c>
      <c r="Y2219" s="32" t="n">
        <v>0</v>
      </c>
      <c r="Z2219" s="3" t="n">
        <v>0</v>
      </c>
      <c r="AA2219" s="32" t="n">
        <v>0</v>
      </c>
      <c r="AB2219" s="3" t="n"/>
      <c r="AC2219" s="31" t="n">
        <v>0</v>
      </c>
      <c r="AD2219" s="2" t="n">
        <v>0</v>
      </c>
      <c r="AE2219" s="2" t="n">
        <v>10</v>
      </c>
      <c r="AF2219" s="4" t="n">
        <v>10</v>
      </c>
      <c r="AG2219" s="33" t="n">
        <v>0</v>
      </c>
      <c r="AH2219" s="4" t="n">
        <v>0</v>
      </c>
      <c r="AI2219" s="34" t="n"/>
      <c r="AJ2219" s="34" t="n">
        <v>0</v>
      </c>
      <c r="AK2219" s="2" t="n">
        <v>0</v>
      </c>
      <c r="AL2219" t="inlineStr">
        <is>
          <t>Published</t>
        </is>
      </c>
    </row>
    <row r="2220">
      <c r="A2220">
        <f>HYPERLINK("https://www.walmart.com/ip/165809833", "165809833")</f>
        <v/>
      </c>
      <c r="B2220">
        <f>HYPERLINK("https://app.optiwise.ai/catalog/itemdetails/361539", "Ski Gloves for Women &amp; Men 3M Winter Snow Gloves Mittens Insulation Waterproof for Outdoors Sports")</f>
        <v/>
      </c>
      <c r="C2220" t="inlineStr">
        <is>
          <t>1SLWG100BKL</t>
        </is>
      </c>
      <c r="D2220" t="inlineStr">
        <is>
          <t>Clothing</t>
        </is>
      </c>
      <c r="E2220" t="inlineStr">
        <is>
          <t>Gloves &amp; Mittens</t>
        </is>
      </c>
      <c r="F2220" t="inlineStr">
        <is>
          <t>Solaris</t>
        </is>
      </c>
      <c r="G2220" t="n">
        <v>3.3</v>
      </c>
      <c r="H2220" t="n">
        <v>9</v>
      </c>
      <c r="I2220" t="inlineStr">
        <is>
          <t>Gloves,WFS,WFS Item</t>
        </is>
      </c>
      <c r="J2220" s="29" t="n">
        <v>0</v>
      </c>
      <c r="K2220" s="30" t="n"/>
      <c r="L2220" s="29" t="n">
        <v>0</v>
      </c>
      <c r="M2220" s="29" t="n">
        <v>0</v>
      </c>
      <c r="N2220" s="2" t="n">
        <v>0</v>
      </c>
      <c r="O2220" s="31" t="n">
        <v>0</v>
      </c>
      <c r="P2220" s="32" t="n"/>
      <c r="Q2220" s="32" t="n">
        <v>0</v>
      </c>
      <c r="R2220" s="32" t="n">
        <v>0</v>
      </c>
      <c r="S2220" s="31" t="n">
        <v>0</v>
      </c>
      <c r="T2220" s="32" t="n">
        <v>0</v>
      </c>
      <c r="U2220" s="31" t="n">
        <v>0</v>
      </c>
      <c r="V2220" s="31" t="n">
        <v>0</v>
      </c>
      <c r="W2220" s="3" t="n">
        <v>0</v>
      </c>
      <c r="X2220" s="3" t="n">
        <v>0</v>
      </c>
      <c r="Y2220" s="32" t="n">
        <v>0</v>
      </c>
      <c r="Z2220" s="3" t="n">
        <v>0</v>
      </c>
      <c r="AA2220" s="32" t="n">
        <v>0</v>
      </c>
      <c r="AB2220" s="3" t="n"/>
      <c r="AC2220" s="31" t="n">
        <v>0</v>
      </c>
      <c r="AD2220" s="2" t="n">
        <v>0</v>
      </c>
      <c r="AE2220" s="2" t="n">
        <v>13</v>
      </c>
      <c r="AF2220" s="4" t="n">
        <v>13</v>
      </c>
      <c r="AG2220" s="33" t="n">
        <v>0</v>
      </c>
      <c r="AH2220" s="4" t="n">
        <v>0</v>
      </c>
      <c r="AI2220" s="34" t="n"/>
      <c r="AJ2220" s="34" t="n">
        <v>0</v>
      </c>
      <c r="AK2220" s="2" t="n">
        <v>0</v>
      </c>
      <c r="AL2220" t="inlineStr">
        <is>
          <t>Published</t>
        </is>
      </c>
    </row>
    <row r="2221">
      <c r="A2221">
        <f>HYPERLINK("https://www.walmart.com/ip/174380113", "174380113")</f>
        <v/>
      </c>
      <c r="B2221">
        <f>HYPERLINK("https://app.optiwise.ai/catalog/itemdetails/361472", "JenniWears® Classic Elastic, 3-layered Tulle Tutu Skirt")</f>
        <v/>
      </c>
      <c r="C2221" t="inlineStr">
        <is>
          <t>tutus-light purple</t>
        </is>
      </c>
      <c r="D2221" t="inlineStr">
        <is>
          <t>Skirts</t>
        </is>
      </c>
      <c r="E2221" t="inlineStr">
        <is>
          <t>Skirts</t>
        </is>
      </c>
      <c r="F2221" t="inlineStr">
        <is>
          <t>JenniWears</t>
        </is>
      </c>
      <c r="G2221" t="n">
        <v>3.2</v>
      </c>
      <c r="H2221" t="n">
        <v>19</v>
      </c>
      <c r="I2221" t="inlineStr">
        <is>
          <t>Batch 1 - TR</t>
        </is>
      </c>
      <c r="J2221" s="29" t="n">
        <v>0</v>
      </c>
      <c r="K2221" s="30" t="n"/>
      <c r="L2221" s="29" t="n">
        <v>0</v>
      </c>
      <c r="M2221" s="29" t="n">
        <v>0</v>
      </c>
      <c r="N2221" s="2" t="n">
        <v>0</v>
      </c>
      <c r="O2221" s="31" t="n">
        <v>0</v>
      </c>
      <c r="P2221" s="32" t="n"/>
      <c r="Q2221" s="32" t="n">
        <v>0</v>
      </c>
      <c r="R2221" s="32" t="n">
        <v>0</v>
      </c>
      <c r="S2221" s="31" t="n">
        <v>0</v>
      </c>
      <c r="T2221" s="32" t="n">
        <v>0</v>
      </c>
      <c r="U2221" s="31" t="n">
        <v>0</v>
      </c>
      <c r="V2221" s="31" t="n">
        <v>0</v>
      </c>
      <c r="W2221" s="3" t="n">
        <v>0</v>
      </c>
      <c r="X2221" s="3" t="n">
        <v>0</v>
      </c>
      <c r="Y2221" s="32" t="n">
        <v>0</v>
      </c>
      <c r="Z2221" s="3" t="n">
        <v>0</v>
      </c>
      <c r="AA2221" s="32" t="n">
        <v>0</v>
      </c>
      <c r="AB2221" s="3" t="n"/>
      <c r="AC2221" s="31" t="n">
        <v>0</v>
      </c>
      <c r="AD2221" s="2" t="n">
        <v>0</v>
      </c>
      <c r="AE2221" s="2" t="n">
        <v>6</v>
      </c>
      <c r="AF2221" s="4" t="n">
        <v>6</v>
      </c>
      <c r="AG2221" s="33" t="n">
        <v>0</v>
      </c>
      <c r="AH2221" s="4" t="n">
        <v>0</v>
      </c>
      <c r="AI2221" s="34" t="n"/>
      <c r="AJ2221" s="34" t="n">
        <v>0</v>
      </c>
      <c r="AK2221" s="2" t="n">
        <v>0</v>
      </c>
      <c r="AL2221" t="inlineStr">
        <is>
          <t>Published</t>
        </is>
      </c>
    </row>
    <row r="2222">
      <c r="A2222">
        <f>HYPERLINK("https://www.walmart.com/ip/965137317", "965137317")</f>
        <v/>
      </c>
      <c r="B2222">
        <f>HYPERLINK("https://app.optiwise.ai/catalog/itemdetails/361469", "home comforts blanket Blanket with Sleeves, Super Soft Wearable TV Blanket Robe Fleece for Adults 73 x 51”| Cozy Warm, Lightweigh")</f>
        <v/>
      </c>
      <c r="C2222" t="inlineStr">
        <is>
          <t>1TRSN100BR-TBCB</t>
        </is>
      </c>
      <c r="D2222" t="inlineStr">
        <is>
          <t>Bedding</t>
        </is>
      </c>
      <c r="E2222" t="inlineStr">
        <is>
          <t>Throws</t>
        </is>
      </c>
      <c r="F2222" t="inlineStr">
        <is>
          <t>Tirrinia</t>
        </is>
      </c>
      <c r="G2222" t="n">
        <v>0</v>
      </c>
      <c r="H2222" t="n">
        <v>0</v>
      </c>
      <c r="I2222" t="inlineStr">
        <is>
          <t>WFS,WFS Item,Fleece Blankets</t>
        </is>
      </c>
      <c r="J2222" s="29" t="n">
        <v>0</v>
      </c>
      <c r="K2222" s="30" t="n"/>
      <c r="L2222" s="29" t="n">
        <v>0</v>
      </c>
      <c r="M2222" s="29" t="n">
        <v>0</v>
      </c>
      <c r="N2222" s="2" t="n">
        <v>0</v>
      </c>
      <c r="O2222" s="31" t="n">
        <v>0</v>
      </c>
      <c r="P2222" s="32" t="n"/>
      <c r="Q2222" s="32" t="n">
        <v>0</v>
      </c>
      <c r="R2222" s="32" t="n">
        <v>0</v>
      </c>
      <c r="S2222" s="31" t="n">
        <v>0</v>
      </c>
      <c r="T2222" s="32" t="n">
        <v>0</v>
      </c>
      <c r="U2222" s="31" t="n">
        <v>0</v>
      </c>
      <c r="V2222" s="31" t="n">
        <v>0</v>
      </c>
      <c r="W2222" s="3" t="n">
        <v>0</v>
      </c>
      <c r="X2222" s="3" t="n">
        <v>0</v>
      </c>
      <c r="Y2222" s="32" t="n">
        <v>0</v>
      </c>
      <c r="Z2222" s="3" t="n">
        <v>0</v>
      </c>
      <c r="AA2222" s="32" t="n">
        <v>0</v>
      </c>
      <c r="AB2222" s="3" t="n"/>
      <c r="AC2222" s="31" t="n">
        <v>0</v>
      </c>
      <c r="AD2222" s="2" t="n">
        <v>0</v>
      </c>
      <c r="AE2222" s="2" t="n">
        <v>16</v>
      </c>
      <c r="AF2222" s="4" t="n">
        <v>16</v>
      </c>
      <c r="AG2222" s="33" t="n">
        <v>0</v>
      </c>
      <c r="AH2222" s="4" t="n">
        <v>0</v>
      </c>
      <c r="AI2222" s="34" t="n"/>
      <c r="AJ2222" s="34" t="n">
        <v>0</v>
      </c>
      <c r="AK2222" s="2" t="n">
        <v>0</v>
      </c>
      <c r="AL2222" t="inlineStr">
        <is>
          <t>Published</t>
        </is>
      </c>
    </row>
    <row r="2223">
      <c r="A2223">
        <f>HYPERLINK("https://www.walmart.com/ip/103201745", "103201745")</f>
        <v/>
      </c>
      <c r="B2223">
        <f>HYPERLINK("https://app.optiwise.ai/catalog/itemdetails/361466", "JenniWears Women's Beileise  Sexy Crotchless Suspender Pantyhose Stockings Black - 6 Packs")</f>
        <v/>
      </c>
      <c r="C2223" t="inlineStr">
        <is>
          <t>JWBLSPH2028-6pcs</t>
        </is>
      </c>
      <c r="D2223" t="inlineStr">
        <is>
          <t>Clothing</t>
        </is>
      </c>
      <c r="E2223" t="inlineStr">
        <is>
          <t>Pantyhose &amp; Tights</t>
        </is>
      </c>
      <c r="F2223" t="inlineStr">
        <is>
          <t>JenniWears</t>
        </is>
      </c>
      <c r="G2223" t="n">
        <v>0</v>
      </c>
      <c r="H2223" t="n">
        <v>0</v>
      </c>
      <c r="I2223" t="inlineStr">
        <is>
          <t>Optimized,WFS,Valentine,WFS Item</t>
        </is>
      </c>
      <c r="J2223" s="29" t="n">
        <v>0</v>
      </c>
      <c r="K2223" s="30" t="n"/>
      <c r="L2223" s="29" t="n">
        <v>0</v>
      </c>
      <c r="M2223" s="29" t="n">
        <v>0</v>
      </c>
      <c r="N2223" s="2" t="n">
        <v>0</v>
      </c>
      <c r="O2223" s="31" t="n">
        <v>0</v>
      </c>
      <c r="P2223" s="32" t="n"/>
      <c r="Q2223" s="32" t="n">
        <v>0</v>
      </c>
      <c r="R2223" s="32" t="n">
        <v>0</v>
      </c>
      <c r="S2223" s="31" t="n">
        <v>0</v>
      </c>
      <c r="T2223" s="32" t="n">
        <v>0</v>
      </c>
      <c r="U2223" s="31" t="n">
        <v>0</v>
      </c>
      <c r="V2223" s="31" t="n">
        <v>0</v>
      </c>
      <c r="W2223" s="3" t="n">
        <v>0</v>
      </c>
      <c r="X2223" s="3" t="n">
        <v>0</v>
      </c>
      <c r="Y2223" s="32" t="n">
        <v>0</v>
      </c>
      <c r="Z2223" s="3" t="n">
        <v>0</v>
      </c>
      <c r="AA2223" s="32" t="n">
        <v>0</v>
      </c>
      <c r="AB2223" s="3" t="n"/>
      <c r="AC2223" s="31" t="n">
        <v>0</v>
      </c>
      <c r="AD2223" s="2" t="n">
        <v>0</v>
      </c>
      <c r="AE2223" s="2" t="n">
        <v>2</v>
      </c>
      <c r="AF2223" s="4" t="n">
        <v>2</v>
      </c>
      <c r="AG2223" s="33" t="n">
        <v>0</v>
      </c>
      <c r="AH2223" s="4" t="n">
        <v>0</v>
      </c>
      <c r="AI2223" s="34" t="n"/>
      <c r="AJ2223" s="34" t="n">
        <v>0</v>
      </c>
      <c r="AK2223" s="2" t="n">
        <v>0</v>
      </c>
      <c r="AL2223" t="inlineStr">
        <is>
          <t>Published</t>
        </is>
      </c>
    </row>
    <row r="2224">
      <c r="A2224">
        <f>HYPERLINK("https://www.walmart.com/ip/111372747", "111372747")</f>
        <v/>
      </c>
      <c r="B2224">
        <f>HYPERLINK("https://app.optiwise.ai/catalog/itemdetails/361464", "KritterWorld® Pet Dog Cat Puppy Kitten Microplush Sherpa Snuggle Blanket for Couch, Car, Trunk, Cage, Kennel, Dog House, 45 x30 Chocolate")</f>
        <v/>
      </c>
      <c r="C2224" t="inlineStr">
        <is>
          <t>dog3045-chocolate</t>
        </is>
      </c>
      <c r="D2224" t="inlineStr">
        <is>
          <t>Animal Accessories</t>
        </is>
      </c>
      <c r="E2224" t="inlineStr">
        <is>
          <t>Pet Blankets</t>
        </is>
      </c>
      <c r="F2224" t="inlineStr">
        <is>
          <t>KritterWorld</t>
        </is>
      </c>
      <c r="G2224" t="n">
        <v>0</v>
      </c>
      <c r="H2224" t="n">
        <v>0</v>
      </c>
      <c r="I2224" t="inlineStr">
        <is>
          <t>Batch 1 - TR</t>
        </is>
      </c>
      <c r="J2224" s="29" t="n">
        <v>0</v>
      </c>
      <c r="K2224" s="30" t="n"/>
      <c r="L2224" s="29" t="n">
        <v>0</v>
      </c>
      <c r="M2224" s="29" t="n">
        <v>0</v>
      </c>
      <c r="N2224" s="2" t="n">
        <v>0</v>
      </c>
      <c r="O2224" s="31" t="n">
        <v>0</v>
      </c>
      <c r="P2224" s="32" t="n"/>
      <c r="Q2224" s="32" t="n">
        <v>0</v>
      </c>
      <c r="R2224" s="32" t="n">
        <v>0</v>
      </c>
      <c r="S2224" s="31" t="n">
        <v>0</v>
      </c>
      <c r="T2224" s="32" t="n">
        <v>0</v>
      </c>
      <c r="U2224" s="31" t="n">
        <v>0</v>
      </c>
      <c r="V2224" s="31" t="n">
        <v>0</v>
      </c>
      <c r="W2224" s="3" t="n">
        <v>0</v>
      </c>
      <c r="X2224" s="3" t="n">
        <v>0</v>
      </c>
      <c r="Y2224" s="32" t="n">
        <v>0</v>
      </c>
      <c r="Z2224" s="3" t="n">
        <v>0</v>
      </c>
      <c r="AA2224" s="32" t="n">
        <v>0</v>
      </c>
      <c r="AB2224" s="3" t="n"/>
      <c r="AC2224" s="31" t="n">
        <v>0</v>
      </c>
      <c r="AD2224" s="2" t="n">
        <v>0</v>
      </c>
      <c r="AE2224" s="2" t="n">
        <v>14</v>
      </c>
      <c r="AF2224" s="4" t="n">
        <v>14</v>
      </c>
      <c r="AG2224" s="33" t="n">
        <v>0</v>
      </c>
      <c r="AH2224" s="4" t="n">
        <v>0</v>
      </c>
      <c r="AI2224" s="34" t="n"/>
      <c r="AJ2224" s="34" t="n">
        <v>0</v>
      </c>
      <c r="AK2224" s="2" t="n">
        <v>0</v>
      </c>
      <c r="AL2224" t="inlineStr">
        <is>
          <t>Published</t>
        </is>
      </c>
    </row>
    <row r="2225">
      <c r="A2225">
        <f>HYPERLINK("https://www.walmart.com/ip/471360729", "471360729")</f>
        <v/>
      </c>
      <c r="B2225">
        <f>HYPERLINK("https://app.optiwise.ai/catalog/itemdetails/361461", "Flyingstar Wine Picnic Table, Large Folding Portable Bamboo Snack &amp; Cheese Tray with 4 Wine Glasses Holder for Concerts at Park, Beach, Ideal Wine Lover Gift")</f>
        <v/>
      </c>
      <c r="C2225" t="inlineStr">
        <is>
          <t>1WMPT140</t>
        </is>
      </c>
      <c r="D2225" t="inlineStr">
        <is>
          <t>Home Decor, Kitchen, &amp; Other</t>
        </is>
      </c>
      <c r="E2225" t="inlineStr">
        <is>
          <t>Serving Trays</t>
        </is>
      </c>
      <c r="F2225" t="inlineStr">
        <is>
          <t>Flyingstar</t>
        </is>
      </c>
      <c r="G2225" t="n">
        <v>0</v>
      </c>
      <c r="H2225" t="n">
        <v>0</v>
      </c>
      <c r="I2225" t="inlineStr">
        <is>
          <t>Wine,Optimized,Valentine</t>
        </is>
      </c>
      <c r="J2225" s="29" t="n">
        <v>0</v>
      </c>
      <c r="K2225" s="30" t="n"/>
      <c r="L2225" s="29" t="n">
        <v>0</v>
      </c>
      <c r="M2225" s="29" t="n">
        <v>0</v>
      </c>
      <c r="N2225" s="2" t="n">
        <v>0</v>
      </c>
      <c r="O2225" s="31" t="n">
        <v>0</v>
      </c>
      <c r="P2225" s="32" t="n"/>
      <c r="Q2225" s="32" t="n">
        <v>0</v>
      </c>
      <c r="R2225" s="32" t="n">
        <v>0</v>
      </c>
      <c r="S2225" s="31" t="n">
        <v>0</v>
      </c>
      <c r="T2225" s="32" t="n">
        <v>0</v>
      </c>
      <c r="U2225" s="31" t="n">
        <v>0</v>
      </c>
      <c r="V2225" s="31" t="n">
        <v>0</v>
      </c>
      <c r="W2225" s="3" t="n">
        <v>0</v>
      </c>
      <c r="X2225" s="3" t="n">
        <v>0</v>
      </c>
      <c r="Y2225" s="32" t="n">
        <v>0</v>
      </c>
      <c r="Z2225" s="3" t="n">
        <v>0</v>
      </c>
      <c r="AA2225" s="32" t="n">
        <v>0</v>
      </c>
      <c r="AB2225" s="3" t="n"/>
      <c r="AC2225" s="31" t="n">
        <v>0</v>
      </c>
      <c r="AD2225" s="2" t="n">
        <v>0</v>
      </c>
      <c r="AE2225" s="2" t="n">
        <v>9</v>
      </c>
      <c r="AF2225" s="4" t="n">
        <v>9</v>
      </c>
      <c r="AG2225" s="33" t="n">
        <v>0</v>
      </c>
      <c r="AH2225" s="4" t="n">
        <v>0</v>
      </c>
      <c r="AI2225" s="34" t="n"/>
      <c r="AJ2225" s="34" t="n">
        <v>0</v>
      </c>
      <c r="AK2225" s="2" t="n">
        <v>0</v>
      </c>
      <c r="AL2225" t="inlineStr">
        <is>
          <t>Published</t>
        </is>
      </c>
    </row>
    <row r="2226">
      <c r="A2226">
        <f>HYPERLINK("https://www.walmart.com/ip/105112574", "105112574")</f>
        <v/>
      </c>
      <c r="B2226">
        <f>HYPERLINK("https://app.optiwise.ai/catalog/itemdetails/361456", "Napa Plush Cashmere Throw Blanket Dark Grey, Twin 66x90, Striped Reversible Velvet Luxury Fleece Warm Bed Couch Blanket, Super Soft and Cozy")</f>
        <v/>
      </c>
      <c r="C2226" t="inlineStr">
        <is>
          <t>K8030TW-DGY</t>
        </is>
      </c>
      <c r="D2226" t="inlineStr">
        <is>
          <t>Bedding</t>
        </is>
      </c>
      <c r="E2226" t="inlineStr">
        <is>
          <t>Throws</t>
        </is>
      </c>
      <c r="F2226" t="inlineStr">
        <is>
          <t>NAPA</t>
        </is>
      </c>
      <c r="G2226" t="n">
        <v>0</v>
      </c>
      <c r="H2226" t="n">
        <v>0</v>
      </c>
      <c r="I2226" t="inlineStr">
        <is>
          <t>Optimized,cost-added</t>
        </is>
      </c>
      <c r="J2226" s="29" t="n">
        <v>0</v>
      </c>
      <c r="K2226" s="30" t="n"/>
      <c r="L2226" s="29" t="n">
        <v>0</v>
      </c>
      <c r="M2226" s="29" t="n">
        <v>0</v>
      </c>
      <c r="N2226" s="2" t="n">
        <v>0</v>
      </c>
      <c r="O2226" s="31" t="n">
        <v>0</v>
      </c>
      <c r="P2226" s="32" t="n"/>
      <c r="Q2226" s="32" t="n">
        <v>0</v>
      </c>
      <c r="R2226" s="32" t="n">
        <v>0</v>
      </c>
      <c r="S2226" s="31" t="n">
        <v>0</v>
      </c>
      <c r="T2226" s="32" t="n">
        <v>0</v>
      </c>
      <c r="U2226" s="31" t="n">
        <v>0</v>
      </c>
      <c r="V2226" s="31" t="n">
        <v>0</v>
      </c>
      <c r="W2226" s="3" t="n">
        <v>0</v>
      </c>
      <c r="X2226" s="3" t="n">
        <v>0</v>
      </c>
      <c r="Y2226" s="32" t="n">
        <v>0</v>
      </c>
      <c r="Z2226" s="3" t="n">
        <v>0</v>
      </c>
      <c r="AA2226" s="32" t="n">
        <v>0</v>
      </c>
      <c r="AB2226" s="3" t="n"/>
      <c r="AC2226" s="31" t="n">
        <v>0</v>
      </c>
      <c r="AD2226" s="2" t="n">
        <v>12</v>
      </c>
      <c r="AE2226" s="2" t="n">
        <v>10</v>
      </c>
      <c r="AF2226" s="4" t="n">
        <v>10</v>
      </c>
      <c r="AG2226" s="33" t="n">
        <v>0</v>
      </c>
      <c r="AH2226" s="4" t="n">
        <v>0</v>
      </c>
      <c r="AI2226" s="34" t="n"/>
      <c r="AJ2226" s="34" t="n">
        <v>0</v>
      </c>
      <c r="AK2226" s="2" t="n">
        <v>0</v>
      </c>
      <c r="AL2226" t="inlineStr">
        <is>
          <t>Published</t>
        </is>
      </c>
    </row>
    <row r="2227">
      <c r="A2227">
        <f>HYPERLINK("https://www.walmart.com/ip/138250701", "138250701")</f>
        <v/>
      </c>
      <c r="B2227">
        <f>HYPERLINK("https://app.optiwise.ai/catalog/itemdetails/361453", "KC Caps® Cotton Twill Deluxe Super Soft Mesh Adjustable Snapback Low Profile Trucker Baseball Cap")</f>
        <v/>
      </c>
      <c r="C2227" t="inlineStr">
        <is>
          <t>KCCAPSSZK641ROY/ST</t>
        </is>
      </c>
      <c r="D2227" t="inlineStr">
        <is>
          <t>Clothing</t>
        </is>
      </c>
      <c r="E2227" t="inlineStr">
        <is>
          <t>Hats</t>
        </is>
      </c>
      <c r="F2227" t="inlineStr">
        <is>
          <t>KC Caps</t>
        </is>
      </c>
      <c r="G2227" t="n">
        <v>0</v>
      </c>
      <c r="H2227" t="n">
        <v>0</v>
      </c>
      <c r="I2227" t="inlineStr">
        <is>
          <t>Optimized</t>
        </is>
      </c>
      <c r="J2227" s="29" t="n">
        <v>0</v>
      </c>
      <c r="K2227" s="30" t="n"/>
      <c r="L2227" s="29" t="n">
        <v>0</v>
      </c>
      <c r="M2227" s="29" t="n">
        <v>0</v>
      </c>
      <c r="N2227" s="2" t="n">
        <v>0</v>
      </c>
      <c r="O2227" s="31" t="n">
        <v>0</v>
      </c>
      <c r="P2227" s="32" t="n"/>
      <c r="Q2227" s="32" t="n">
        <v>0</v>
      </c>
      <c r="R2227" s="32" t="n">
        <v>0</v>
      </c>
      <c r="S2227" s="31" t="n">
        <v>0</v>
      </c>
      <c r="T2227" s="32" t="n">
        <v>0</v>
      </c>
      <c r="U2227" s="31" t="n">
        <v>0</v>
      </c>
      <c r="V2227" s="31" t="n">
        <v>0</v>
      </c>
      <c r="W2227" s="3" t="n">
        <v>0</v>
      </c>
      <c r="X2227" s="3" t="n">
        <v>0</v>
      </c>
      <c r="Y2227" s="32" t="n">
        <v>0</v>
      </c>
      <c r="Z2227" s="3" t="n">
        <v>0</v>
      </c>
      <c r="AA2227" s="32" t="n">
        <v>0</v>
      </c>
      <c r="AB2227" s="3" t="n"/>
      <c r="AC2227" s="31" t="n">
        <v>0</v>
      </c>
      <c r="AD2227" s="2" t="n">
        <v>0</v>
      </c>
      <c r="AE2227" s="2" t="n">
        <v>4</v>
      </c>
      <c r="AF2227" s="4" t="n">
        <v>4</v>
      </c>
      <c r="AG2227" s="33" t="n">
        <v>0</v>
      </c>
      <c r="AH2227" s="4" t="n">
        <v>0</v>
      </c>
      <c r="AI2227" s="34" t="n"/>
      <c r="AJ2227" s="34" t="n">
        <v>0</v>
      </c>
      <c r="AK2227" s="2" t="n">
        <v>0</v>
      </c>
      <c r="AL2227" t="inlineStr">
        <is>
          <t>Published</t>
        </is>
      </c>
    </row>
    <row r="2228">
      <c r="A2228">
        <f>HYPERLINK("https://www.walmart.com/ip/415450878", "415450878")</f>
        <v/>
      </c>
      <c r="B2228">
        <f>HYPERLINK("https://app.optiwise.ai/catalog/itemdetails/361443", "Catalonia Red/White Buffalo Plaid, Sherpa Fleece Blanket, Two-Sided, Comfy Fluffy Throw 60 x 50")</f>
        <v/>
      </c>
      <c r="C2228" t="inlineStr">
        <is>
          <t>1CTBF572RD</t>
        </is>
      </c>
      <c r="D2228" t="inlineStr">
        <is>
          <t>Bedding</t>
        </is>
      </c>
      <c r="E2228" t="inlineStr">
        <is>
          <t>Throws</t>
        </is>
      </c>
      <c r="F2228" t="inlineStr">
        <is>
          <t>Catalonia</t>
        </is>
      </c>
      <c r="G2228" t="n">
        <v>5</v>
      </c>
      <c r="H2228" t="n">
        <v>1</v>
      </c>
      <c r="I2228" t="inlineStr">
        <is>
          <t>Christmas,Optimized,WFS,Coupon_Discount,WFS Item,Fleece Blankets</t>
        </is>
      </c>
      <c r="J2228" s="29" t="n">
        <v>0</v>
      </c>
      <c r="K2228" s="30" t="n"/>
      <c r="L2228" s="29" t="n">
        <v>0</v>
      </c>
      <c r="M2228" s="29" t="n">
        <v>0</v>
      </c>
      <c r="N2228" s="2" t="n">
        <v>0</v>
      </c>
      <c r="O2228" s="31" t="n">
        <v>0</v>
      </c>
      <c r="P2228" s="32" t="n"/>
      <c r="Q2228" s="32" t="n">
        <v>0</v>
      </c>
      <c r="R2228" s="32" t="n">
        <v>0</v>
      </c>
      <c r="S2228" s="31" t="n">
        <v>0</v>
      </c>
      <c r="T2228" s="32" t="n">
        <v>0</v>
      </c>
      <c r="U2228" s="31" t="n">
        <v>0</v>
      </c>
      <c r="V2228" s="31" t="n">
        <v>0</v>
      </c>
      <c r="W2228" s="3" t="n">
        <v>0</v>
      </c>
      <c r="X2228" s="3" t="n">
        <v>0</v>
      </c>
      <c r="Y2228" s="32" t="n">
        <v>0</v>
      </c>
      <c r="Z2228" s="3" t="n">
        <v>0</v>
      </c>
      <c r="AA2228" s="32" t="n">
        <v>0</v>
      </c>
      <c r="AB2228" s="3" t="n"/>
      <c r="AC2228" s="31" t="n">
        <v>0</v>
      </c>
      <c r="AD2228" s="2" t="n">
        <v>0</v>
      </c>
      <c r="AE2228" s="2" t="n">
        <v>2</v>
      </c>
      <c r="AF2228" s="4" t="n">
        <v>2</v>
      </c>
      <c r="AG2228" s="33" t="n">
        <v>0</v>
      </c>
      <c r="AH2228" s="4" t="n">
        <v>0</v>
      </c>
      <c r="AI2228" s="34" t="n"/>
      <c r="AJ2228" s="34" t="n">
        <v>0</v>
      </c>
      <c r="AK2228" s="2" t="n">
        <v>0</v>
      </c>
      <c r="AL2228" t="inlineStr">
        <is>
          <t>Published</t>
        </is>
      </c>
    </row>
    <row r="2229">
      <c r="A2229">
        <f>HYPERLINK("https://www.walmart.com/ip/186176334", "186176334")</f>
        <v/>
      </c>
      <c r="B2229">
        <f>HYPERLINK("https://app.optiwise.ai/catalog/itemdetails/361439", "KC Caps Pom Pom Toque Beanie")</f>
        <v/>
      </c>
      <c r="C2229" t="inlineStr">
        <is>
          <t>KCW1711BK</t>
        </is>
      </c>
      <c r="D2229" t="inlineStr">
        <is>
          <t>Clothing</t>
        </is>
      </c>
      <c r="E2229" t="inlineStr">
        <is>
          <t>Hats</t>
        </is>
      </c>
      <c r="F2229" t="inlineStr">
        <is>
          <t>KC Caps</t>
        </is>
      </c>
      <c r="G2229" t="n">
        <v>0</v>
      </c>
      <c r="H2229" t="n">
        <v>0</v>
      </c>
      <c r="I2229" t="inlineStr">
        <is>
          <t>Optimized</t>
        </is>
      </c>
      <c r="J2229" s="29" t="n">
        <v>0</v>
      </c>
      <c r="K2229" s="30" t="n"/>
      <c r="L2229" s="29" t="n">
        <v>0</v>
      </c>
      <c r="M2229" s="29" t="n">
        <v>0</v>
      </c>
      <c r="N2229" s="2" t="n">
        <v>0</v>
      </c>
      <c r="O2229" s="31" t="n">
        <v>0</v>
      </c>
      <c r="P2229" s="32" t="n"/>
      <c r="Q2229" s="32" t="n">
        <v>0</v>
      </c>
      <c r="R2229" s="32" t="n">
        <v>0</v>
      </c>
      <c r="S2229" s="31" t="n">
        <v>0</v>
      </c>
      <c r="T2229" s="32" t="n">
        <v>0</v>
      </c>
      <c r="U2229" s="31" t="n">
        <v>0</v>
      </c>
      <c r="V2229" s="31" t="n">
        <v>0</v>
      </c>
      <c r="W2229" s="3" t="n">
        <v>0</v>
      </c>
      <c r="X2229" s="3" t="n">
        <v>0</v>
      </c>
      <c r="Y2229" s="32" t="n">
        <v>0</v>
      </c>
      <c r="Z2229" s="3" t="n">
        <v>0</v>
      </c>
      <c r="AA2229" s="32" t="n">
        <v>0</v>
      </c>
      <c r="AB2229" s="3" t="n"/>
      <c r="AC2229" s="31" t="n">
        <v>0</v>
      </c>
      <c r="AD2229" s="2" t="n">
        <v>0</v>
      </c>
      <c r="AE2229" s="2" t="n">
        <v>5</v>
      </c>
      <c r="AF2229" s="4" t="n">
        <v>5</v>
      </c>
      <c r="AG2229" s="33" t="n">
        <v>0</v>
      </c>
      <c r="AH2229" s="4" t="n">
        <v>0</v>
      </c>
      <c r="AI2229" s="34" t="n"/>
      <c r="AJ2229" s="34" t="n">
        <v>0</v>
      </c>
      <c r="AK2229" s="2" t="n">
        <v>0</v>
      </c>
      <c r="AL2229" t="inlineStr">
        <is>
          <t>Published</t>
        </is>
      </c>
    </row>
    <row r="2230">
      <c r="A2230">
        <f>HYPERLINK("https://www.walmart.com/ip/164977471", "164977471")</f>
        <v/>
      </c>
      <c r="B2230">
        <f>HYPERLINK("https://app.optiwise.ai/catalog/itemdetails/361425", "Fashion Light Up LED Luminous Sequin Neck Ties Changeable Colors Necktie Led Fiber Tie Flashing Tie For Male/Female")</f>
        <v/>
      </c>
      <c r="C2230" t="inlineStr">
        <is>
          <t>LEDTIE01- HP</t>
        </is>
      </c>
      <c r="D2230" t="inlineStr">
        <is>
          <t>Toy</t>
        </is>
      </c>
      <c r="E2230" t="inlineStr">
        <is>
          <t>Party Favors</t>
        </is>
      </c>
      <c r="F2230" t="inlineStr">
        <is>
          <t>TY</t>
        </is>
      </c>
      <c r="G2230" t="n">
        <v>0</v>
      </c>
      <c r="H2230" t="n">
        <v>0</v>
      </c>
      <c r="I2230" t="inlineStr">
        <is>
          <t>Optimized,Halloween</t>
        </is>
      </c>
      <c r="J2230" s="29" t="n">
        <v>0</v>
      </c>
      <c r="K2230" s="30" t="n"/>
      <c r="L2230" s="29" t="n">
        <v>0</v>
      </c>
      <c r="M2230" s="29" t="n">
        <v>0</v>
      </c>
      <c r="N2230" s="2" t="n">
        <v>0</v>
      </c>
      <c r="O2230" s="31" t="n">
        <v>0</v>
      </c>
      <c r="P2230" s="32" t="n"/>
      <c r="Q2230" s="32" t="n">
        <v>0</v>
      </c>
      <c r="R2230" s="32" t="n">
        <v>0</v>
      </c>
      <c r="S2230" s="31" t="n">
        <v>0</v>
      </c>
      <c r="T2230" s="32" t="n">
        <v>0</v>
      </c>
      <c r="U2230" s="31" t="n">
        <v>0</v>
      </c>
      <c r="V2230" s="31" t="n">
        <v>0</v>
      </c>
      <c r="W2230" s="3" t="n">
        <v>0</v>
      </c>
      <c r="X2230" s="3" t="n">
        <v>0</v>
      </c>
      <c r="Y2230" s="32" t="n">
        <v>0</v>
      </c>
      <c r="Z2230" s="3" t="n">
        <v>0</v>
      </c>
      <c r="AA2230" s="32" t="n">
        <v>0</v>
      </c>
      <c r="AB2230" s="3" t="n"/>
      <c r="AC2230" s="31" t="n">
        <v>0</v>
      </c>
      <c r="AD2230" s="2" t="n">
        <v>0</v>
      </c>
      <c r="AE2230" s="2" t="n">
        <v>2</v>
      </c>
      <c r="AF2230" s="4" t="n">
        <v>2</v>
      </c>
      <c r="AG2230" s="33" t="n">
        <v>0</v>
      </c>
      <c r="AH2230" s="4" t="n">
        <v>0</v>
      </c>
      <c r="AI2230" s="34" t="n"/>
      <c r="AJ2230" s="34" t="n">
        <v>0</v>
      </c>
      <c r="AK2230" s="2" t="n">
        <v>0</v>
      </c>
      <c r="AL2230" t="inlineStr">
        <is>
          <t>Published</t>
        </is>
      </c>
    </row>
    <row r="2231">
      <c r="A2231">
        <f>HYPERLINK("https://www.walmart.com/ip/664726003", "664726003")</f>
        <v/>
      </c>
      <c r="B2231">
        <f>HYPERLINK("https://app.optiwise.ai/catalog/itemdetails/361423", "Catalonia Hooded Blanket Poncho | Wearable Blanket Wrap with Hand Pockets | Comfy Sherpa Fleece Throw Cape for Children and Adults, Christmas Thanksgiving Mother Gift, Cow Print")</f>
        <v/>
      </c>
      <c r="C2231" t="inlineStr">
        <is>
          <t>1CTBC100DMT</t>
        </is>
      </c>
      <c r="D2231" t="inlineStr">
        <is>
          <t>Bedding</t>
        </is>
      </c>
      <c r="E2231" t="inlineStr">
        <is>
          <t>Throws</t>
        </is>
      </c>
      <c r="F2231" t="inlineStr">
        <is>
          <t>Catalonia</t>
        </is>
      </c>
      <c r="G2231" t="n">
        <v>0</v>
      </c>
      <c r="H2231" t="n">
        <v>0</v>
      </c>
      <c r="I2231" t="inlineStr">
        <is>
          <t>WFS,High AUR Items,WFS Item</t>
        </is>
      </c>
      <c r="J2231" s="29" t="n">
        <v>0</v>
      </c>
      <c r="K2231" s="30" t="n"/>
      <c r="L2231" s="29" t="n">
        <v>0</v>
      </c>
      <c r="M2231" s="29" t="n">
        <v>0</v>
      </c>
      <c r="N2231" s="2" t="n">
        <v>0</v>
      </c>
      <c r="O2231" s="31" t="n">
        <v>0</v>
      </c>
      <c r="P2231" s="32" t="n"/>
      <c r="Q2231" s="32" t="n">
        <v>0</v>
      </c>
      <c r="R2231" s="32" t="n">
        <v>0</v>
      </c>
      <c r="S2231" s="31" t="n">
        <v>0</v>
      </c>
      <c r="T2231" s="32" t="n">
        <v>0</v>
      </c>
      <c r="U2231" s="31" t="n">
        <v>0</v>
      </c>
      <c r="V2231" s="31" t="n">
        <v>0</v>
      </c>
      <c r="W2231" s="3" t="n">
        <v>0</v>
      </c>
      <c r="X2231" s="3" t="n">
        <v>0</v>
      </c>
      <c r="Y2231" s="32" t="n">
        <v>0</v>
      </c>
      <c r="Z2231" s="3" t="n">
        <v>0</v>
      </c>
      <c r="AA2231" s="32" t="n">
        <v>0</v>
      </c>
      <c r="AB2231" s="3" t="n"/>
      <c r="AC2231" s="31" t="n">
        <v>0</v>
      </c>
      <c r="AD2231" s="2" t="n">
        <v>0</v>
      </c>
      <c r="AE2231" s="2" t="n">
        <v>51</v>
      </c>
      <c r="AF2231" s="4" t="n">
        <v>51</v>
      </c>
      <c r="AG2231" s="33" t="n">
        <v>0</v>
      </c>
      <c r="AH2231" s="4" t="n">
        <v>0</v>
      </c>
      <c r="AI2231" s="34" t="n"/>
      <c r="AJ2231" s="34" t="n">
        <v>0</v>
      </c>
      <c r="AK2231" s="2" t="n">
        <v>0</v>
      </c>
      <c r="AL2231" t="inlineStr">
        <is>
          <t>Published</t>
        </is>
      </c>
    </row>
    <row r="2232">
      <c r="A2232">
        <f>HYPERLINK("https://www.walmart.com/ip/206151418", "206151418")</f>
        <v/>
      </c>
      <c r="B2232">
        <f>HYPERLINK("https://app.optiwise.ai/catalog/itemdetails/361537", "Catalonia Sherpa Throw Blanket Super Soft Comfy Fluffy Fleece 50”x60”, Fuzzy Plush for Sofa Couch Bed Reversible All Season for Adults Children")</f>
        <v/>
      </c>
      <c r="C2232" t="inlineStr">
        <is>
          <t>1CTBF320BL</t>
        </is>
      </c>
      <c r="D2232" t="inlineStr">
        <is>
          <t>Bedding</t>
        </is>
      </c>
      <c r="E2232" t="inlineStr">
        <is>
          <t>Throws</t>
        </is>
      </c>
      <c r="F2232" t="inlineStr">
        <is>
          <t>Catalonia</t>
        </is>
      </c>
      <c r="G2232" t="n">
        <v>4.8</v>
      </c>
      <c r="H2232" t="n">
        <v>4</v>
      </c>
      <c r="I2232" t="inlineStr">
        <is>
          <t>Q2-Target,Optimized,WFS,Coupon_Discount,WFS Item</t>
        </is>
      </c>
      <c r="J2232" s="29" t="n">
        <v>0</v>
      </c>
      <c r="K2232" s="30" t="n"/>
      <c r="L2232" s="29" t="n">
        <v>0</v>
      </c>
      <c r="M2232" s="29" t="n">
        <v>0</v>
      </c>
      <c r="N2232" s="2" t="n">
        <v>0</v>
      </c>
      <c r="O2232" s="31" t="n">
        <v>0</v>
      </c>
      <c r="P2232" s="32" t="n"/>
      <c r="Q2232" s="32" t="n">
        <v>0</v>
      </c>
      <c r="R2232" s="32" t="n">
        <v>0</v>
      </c>
      <c r="S2232" s="31" t="n">
        <v>0</v>
      </c>
      <c r="T2232" s="32" t="n">
        <v>0</v>
      </c>
      <c r="U2232" s="31" t="n">
        <v>0</v>
      </c>
      <c r="V2232" s="31" t="n">
        <v>0</v>
      </c>
      <c r="W2232" s="3" t="n">
        <v>0</v>
      </c>
      <c r="X2232" s="3" t="n">
        <v>0</v>
      </c>
      <c r="Y2232" s="32" t="n">
        <v>0</v>
      </c>
      <c r="Z2232" s="3" t="n">
        <v>0</v>
      </c>
      <c r="AA2232" s="32" t="n">
        <v>0</v>
      </c>
      <c r="AB2232" s="3" t="n"/>
      <c r="AC2232" s="31" t="n">
        <v>0</v>
      </c>
      <c r="AD2232" s="2" t="n">
        <v>0</v>
      </c>
      <c r="AE2232" s="2" t="n">
        <v>41</v>
      </c>
      <c r="AF2232" s="4" t="n">
        <v>41</v>
      </c>
      <c r="AG2232" s="33" t="n">
        <v>0</v>
      </c>
      <c r="AH2232" s="4" t="n">
        <v>0</v>
      </c>
      <c r="AI2232" s="34" t="n"/>
      <c r="AJ2232" s="34" t="n">
        <v>0</v>
      </c>
      <c r="AK2232" s="2" t="n">
        <v>0</v>
      </c>
      <c r="AL2232" t="inlineStr">
        <is>
          <t>Published</t>
        </is>
      </c>
    </row>
    <row r="2233">
      <c r="A2233">
        <f>HYPERLINK("https://www.walmart.com/ip/133729804", "133729804")</f>
        <v/>
      </c>
      <c r="B2233">
        <f>HYPERLINK("https://app.optiwise.ai/catalog/itemdetails/361540", "Tirrinia UV Protection Hat Unisex Wide Brim Large Bill Neck Flap Mesh Nets with Adjustable Drawstring Grey")</f>
        <v/>
      </c>
      <c r="C2233" t="inlineStr">
        <is>
          <t>1TRSH9152GY-TBGM</t>
        </is>
      </c>
      <c r="D2233" t="inlineStr">
        <is>
          <t>Clothing</t>
        </is>
      </c>
      <c r="E2233" t="inlineStr">
        <is>
          <t>Hats</t>
        </is>
      </c>
      <c r="F2233" t="inlineStr">
        <is>
          <t>Tirrinia</t>
        </is>
      </c>
      <c r="G2233" t="n">
        <v>0</v>
      </c>
      <c r="H2233" t="n">
        <v>0</v>
      </c>
      <c r="I2233" t="inlineStr">
        <is>
          <t>Optimized</t>
        </is>
      </c>
      <c r="J2233" s="29" t="n">
        <v>0</v>
      </c>
      <c r="K2233" s="30" t="n"/>
      <c r="L2233" s="29" t="n">
        <v>0</v>
      </c>
      <c r="M2233" s="29" t="n">
        <v>0</v>
      </c>
      <c r="N2233" s="2" t="n">
        <v>0</v>
      </c>
      <c r="O2233" s="31" t="n">
        <v>0</v>
      </c>
      <c r="P2233" s="32" t="n"/>
      <c r="Q2233" s="32" t="n">
        <v>0</v>
      </c>
      <c r="R2233" s="32" t="n">
        <v>0</v>
      </c>
      <c r="S2233" s="31" t="n">
        <v>0</v>
      </c>
      <c r="T2233" s="32" t="n">
        <v>0</v>
      </c>
      <c r="U2233" s="31" t="n">
        <v>0</v>
      </c>
      <c r="V2233" s="31" t="n">
        <v>0</v>
      </c>
      <c r="W2233" s="3" t="n">
        <v>0</v>
      </c>
      <c r="X2233" s="3" t="n">
        <v>0</v>
      </c>
      <c r="Y2233" s="32" t="n">
        <v>0</v>
      </c>
      <c r="Z2233" s="3" t="n">
        <v>0</v>
      </c>
      <c r="AA2233" s="32" t="n">
        <v>0</v>
      </c>
      <c r="AB2233" s="3" t="n"/>
      <c r="AC2233" s="31" t="n">
        <v>0</v>
      </c>
      <c r="AD2233" s="2" t="n">
        <v>0</v>
      </c>
      <c r="AE2233" s="2" t="n">
        <v>3</v>
      </c>
      <c r="AF2233" s="4" t="n">
        <v>3</v>
      </c>
      <c r="AG2233" s="33" t="n">
        <v>0</v>
      </c>
      <c r="AH2233" s="4" t="n">
        <v>0</v>
      </c>
      <c r="AI2233" s="34" t="n"/>
      <c r="AJ2233" s="34" t="n">
        <v>0</v>
      </c>
      <c r="AK2233" s="2" t="n">
        <v>0</v>
      </c>
      <c r="AL2233" t="inlineStr">
        <is>
          <t>Published</t>
        </is>
      </c>
    </row>
    <row r="2234">
      <c r="A2234">
        <f>HYPERLINK("https://www.walmart.com/ip/263185815", "263185815")</f>
        <v/>
      </c>
      <c r="B2234">
        <f>HYPERLINK("https://app.optiwise.ai/catalog/itemdetails/361617", "Bucket Summer Mens Sun Hat Water Repel Mesh Net Light Weight UV Protection Outdoor Cap by Solaris")</f>
        <v/>
      </c>
      <c r="C2234" t="inlineStr">
        <is>
          <t>1SLSH191TN</t>
        </is>
      </c>
      <c r="D2234" t="inlineStr">
        <is>
          <t>Clothing</t>
        </is>
      </c>
      <c r="E2234" t="inlineStr">
        <is>
          <t>Hats</t>
        </is>
      </c>
      <c r="F2234" t="inlineStr">
        <is>
          <t>Solaris</t>
        </is>
      </c>
      <c r="G2234" t="n">
        <v>0</v>
      </c>
      <c r="H2234" t="n">
        <v>0</v>
      </c>
      <c r="I2234" t="inlineStr">
        <is>
          <t>Optimized</t>
        </is>
      </c>
      <c r="J2234" s="29" t="n">
        <v>0</v>
      </c>
      <c r="K2234" s="30" t="n"/>
      <c r="L2234" s="29" t="n">
        <v>0</v>
      </c>
      <c r="M2234" s="29" t="n">
        <v>0</v>
      </c>
      <c r="N2234" s="2" t="n">
        <v>0</v>
      </c>
      <c r="O2234" s="31" t="n">
        <v>0</v>
      </c>
      <c r="P2234" s="32" t="n"/>
      <c r="Q2234" s="32" t="n">
        <v>0</v>
      </c>
      <c r="R2234" s="32" t="n">
        <v>0</v>
      </c>
      <c r="S2234" s="31" t="n">
        <v>0</v>
      </c>
      <c r="T2234" s="32" t="n">
        <v>0</v>
      </c>
      <c r="U2234" s="31" t="n">
        <v>0</v>
      </c>
      <c r="V2234" s="31" t="n">
        <v>0</v>
      </c>
      <c r="W2234" s="3" t="n">
        <v>0</v>
      </c>
      <c r="X2234" s="3" t="n">
        <v>0</v>
      </c>
      <c r="Y2234" s="32" t="n">
        <v>0</v>
      </c>
      <c r="Z2234" s="3" t="n">
        <v>0</v>
      </c>
      <c r="AA2234" s="32" t="n">
        <v>0</v>
      </c>
      <c r="AB2234" s="3" t="n"/>
      <c r="AC2234" s="31" t="n">
        <v>0</v>
      </c>
      <c r="AD2234" s="2" t="n">
        <v>0</v>
      </c>
      <c r="AE2234" s="2" t="n">
        <v>2</v>
      </c>
      <c r="AF2234" s="4" t="n">
        <v>2</v>
      </c>
      <c r="AG2234" s="33" t="n">
        <v>0</v>
      </c>
      <c r="AH2234" s="4" t="n">
        <v>0</v>
      </c>
      <c r="AI2234" s="34" t="n"/>
      <c r="AJ2234" s="34" t="n">
        <v>0</v>
      </c>
      <c r="AK2234" s="2" t="n">
        <v>0</v>
      </c>
      <c r="AL2234" t="inlineStr">
        <is>
          <t>Published</t>
        </is>
      </c>
    </row>
    <row r="2235">
      <c r="A2235">
        <f>HYPERLINK("https://www.walmart.com/ip/298792856", "298792856")</f>
        <v/>
      </c>
      <c r="B2235">
        <f>HYPERLINK("https://app.optiwise.ai/catalog/itemdetails/361587", "Catalonia Sherpa Wearable Blanket Poncho for Adult Women Men, Wrap Blanket Cape with Pocket, Warm, Soft, Cozy, Snuggly, Comfort Gift, No Sleeves, Aqua")</f>
        <v/>
      </c>
      <c r="C2235" t="inlineStr">
        <is>
          <t>1CTBP110AQ</t>
        </is>
      </c>
      <c r="D2235" t="inlineStr">
        <is>
          <t>Bedding</t>
        </is>
      </c>
      <c r="E2235" t="inlineStr">
        <is>
          <t>Throws</t>
        </is>
      </c>
      <c r="F2235" t="inlineStr">
        <is>
          <t>Catalonia</t>
        </is>
      </c>
      <c r="G2235" t="n">
        <v>0</v>
      </c>
      <c r="H2235" t="n">
        <v>0</v>
      </c>
      <c r="I2235" t="inlineStr">
        <is>
          <t>Optimized,Hero 5 Holidays,WFS,Coupon_Discount,WFS Item</t>
        </is>
      </c>
      <c r="J2235" s="29" t="n">
        <v>0</v>
      </c>
      <c r="K2235" s="30" t="n"/>
      <c r="L2235" s="29" t="n">
        <v>0</v>
      </c>
      <c r="M2235" s="29" t="n">
        <v>0</v>
      </c>
      <c r="N2235" s="2" t="n">
        <v>0</v>
      </c>
      <c r="O2235" s="31" t="n">
        <v>0.2</v>
      </c>
      <c r="P2235" s="32" t="n"/>
      <c r="Q2235" s="32" t="n">
        <v>0</v>
      </c>
      <c r="R2235" s="32" t="n">
        <v>0.0173</v>
      </c>
      <c r="S2235" s="31" t="n">
        <v>0</v>
      </c>
      <c r="T2235" s="32" t="n">
        <v>0</v>
      </c>
      <c r="U2235" s="31" t="n">
        <v>0</v>
      </c>
      <c r="V2235" s="31" t="n">
        <v>0</v>
      </c>
      <c r="W2235" s="3" t="n">
        <v>1489</v>
      </c>
      <c r="X2235" s="3" t="n">
        <v>1</v>
      </c>
      <c r="Y2235" s="32" t="n">
        <v>0.0007</v>
      </c>
      <c r="Z2235" s="3" t="n">
        <v>0</v>
      </c>
      <c r="AA2235" s="32" t="n">
        <v>0</v>
      </c>
      <c r="AB2235" s="3" t="inlineStr">
        <is>
          <t>Snuggly_Auto</t>
        </is>
      </c>
      <c r="AC2235" s="31" t="n">
        <v>0.2</v>
      </c>
      <c r="AD2235" s="2" t="n">
        <v>0</v>
      </c>
      <c r="AE2235" s="2" t="n">
        <v>31</v>
      </c>
      <c r="AF2235" s="4" t="n">
        <v>30</v>
      </c>
      <c r="AG2235" s="33" t="n">
        <v>0</v>
      </c>
      <c r="AH2235" s="4" t="n">
        <v>0</v>
      </c>
      <c r="AI2235" s="34" t="n"/>
      <c r="AJ2235" s="34" t="n">
        <v>0</v>
      </c>
      <c r="AK2235" s="2" t="n">
        <v>0</v>
      </c>
      <c r="AL2235" t="inlineStr">
        <is>
          <t>Published</t>
        </is>
      </c>
    </row>
    <row r="2236">
      <c r="A2236">
        <f>HYPERLINK("https://www.walmart.com/ip/230127046", "230127046")</f>
        <v/>
      </c>
      <c r="B2236">
        <f>HYPERLINK("https://app.optiwise.ai/catalog/itemdetails/361616", "Medium Pet Travel Backpack Carrier for Dogs Cat Animal Puppy, Breathable Mesh Net Removable Sherpa Bed Outdoor Carrier f")</f>
        <v/>
      </c>
      <c r="C2236" t="inlineStr">
        <is>
          <t>1WMPB200CH</t>
        </is>
      </c>
      <c r="D2236" t="inlineStr">
        <is>
          <t>Animal Other</t>
        </is>
      </c>
      <c r="E2236" t="inlineStr">
        <is>
          <t>Pet Carriers</t>
        </is>
      </c>
      <c r="F2236" t="inlineStr">
        <is>
          <t>Flyingstar</t>
        </is>
      </c>
      <c r="G2236" t="n">
        <v>0</v>
      </c>
      <c r="H2236" t="n">
        <v>0</v>
      </c>
      <c r="I2236" t="inlineStr">
        <is>
          <t>Optimized</t>
        </is>
      </c>
      <c r="J2236" s="29" t="n">
        <v>0</v>
      </c>
      <c r="K2236" s="30" t="n"/>
      <c r="L2236" s="29" t="n">
        <v>0</v>
      </c>
      <c r="M2236" s="29" t="n">
        <v>0</v>
      </c>
      <c r="N2236" s="2" t="n">
        <v>0</v>
      </c>
      <c r="O2236" s="31" t="n">
        <v>0</v>
      </c>
      <c r="P2236" s="32" t="n"/>
      <c r="Q2236" s="32" t="n">
        <v>0</v>
      </c>
      <c r="R2236" s="32" t="n">
        <v>0</v>
      </c>
      <c r="S2236" s="31" t="n">
        <v>0</v>
      </c>
      <c r="T2236" s="32" t="n">
        <v>0</v>
      </c>
      <c r="U2236" s="31" t="n">
        <v>0</v>
      </c>
      <c r="V2236" s="31" t="n">
        <v>0</v>
      </c>
      <c r="W2236" s="3" t="n">
        <v>0</v>
      </c>
      <c r="X2236" s="3" t="n">
        <v>0</v>
      </c>
      <c r="Y2236" s="32" t="n">
        <v>0</v>
      </c>
      <c r="Z2236" s="3" t="n">
        <v>0</v>
      </c>
      <c r="AA2236" s="32" t="n">
        <v>0</v>
      </c>
      <c r="AB2236" s="3" t="n"/>
      <c r="AC2236" s="31" t="n">
        <v>0</v>
      </c>
      <c r="AD2236" s="2" t="n">
        <v>0</v>
      </c>
      <c r="AE2236" s="2" t="n">
        <v>18</v>
      </c>
      <c r="AF2236" s="4" t="n">
        <v>18</v>
      </c>
      <c r="AG2236" s="33" t="n">
        <v>0</v>
      </c>
      <c r="AH2236" s="4" t="n">
        <v>0</v>
      </c>
      <c r="AI2236" s="34" t="n"/>
      <c r="AJ2236" s="34" t="n">
        <v>0</v>
      </c>
      <c r="AK2236" s="2" t="n">
        <v>0</v>
      </c>
      <c r="AL2236" t="inlineStr">
        <is>
          <t>Published</t>
        </is>
      </c>
    </row>
    <row r="2237">
      <c r="A2237">
        <f>HYPERLINK("https://www.walmart.com/ip/383928733", "383928733")</f>
        <v/>
      </c>
      <c r="B2237">
        <f>HYPERLINK("https://app.optiwise.ai/catalog/itemdetails/361612", "Sherpa Throw Blanket Fleece, Super Cozy Warm TV Blankets for Bed or Couch Reversible 50 x 60")</f>
        <v/>
      </c>
      <c r="C2237" t="inlineStr">
        <is>
          <t>1TNBF300BK-TPB</t>
        </is>
      </c>
      <c r="D2237" t="inlineStr">
        <is>
          <t>Home Decor, Kitchen, &amp; Other</t>
        </is>
      </c>
      <c r="E2237" t="inlineStr">
        <is>
          <t>Throws</t>
        </is>
      </c>
      <c r="F2237" t="inlineStr">
        <is>
          <t>Tirrinia</t>
        </is>
      </c>
      <c r="G2237" t="n">
        <v>0</v>
      </c>
      <c r="H2237" t="n">
        <v>0</v>
      </c>
      <c r="J2237" s="29" t="n">
        <v>0</v>
      </c>
      <c r="K2237" s="30" t="n"/>
      <c r="L2237" s="29" t="n">
        <v>0</v>
      </c>
      <c r="M2237" s="29" t="n">
        <v>0</v>
      </c>
      <c r="N2237" s="2" t="n">
        <v>0</v>
      </c>
      <c r="O2237" s="31" t="n">
        <v>0</v>
      </c>
      <c r="P2237" s="32" t="n"/>
      <c r="Q2237" s="32" t="n">
        <v>0</v>
      </c>
      <c r="R2237" s="32" t="n">
        <v>0</v>
      </c>
      <c r="S2237" s="31" t="n">
        <v>0</v>
      </c>
      <c r="T2237" s="32" t="n">
        <v>0</v>
      </c>
      <c r="U2237" s="31" t="n">
        <v>0</v>
      </c>
      <c r="V2237" s="31" t="n">
        <v>0</v>
      </c>
      <c r="W2237" s="3" t="n">
        <v>0</v>
      </c>
      <c r="X2237" s="3" t="n">
        <v>0</v>
      </c>
      <c r="Y2237" s="32" t="n">
        <v>0</v>
      </c>
      <c r="Z2237" s="3" t="n">
        <v>0</v>
      </c>
      <c r="AA2237" s="32" t="n">
        <v>0</v>
      </c>
      <c r="AB2237" s="3" t="n"/>
      <c r="AC2237" s="31" t="n">
        <v>0</v>
      </c>
      <c r="AD2237" s="2" t="n">
        <v>0</v>
      </c>
      <c r="AE2237" s="2" t="n">
        <v>2</v>
      </c>
      <c r="AF2237" s="4" t="n">
        <v>2</v>
      </c>
      <c r="AG2237" s="33" t="n">
        <v>0</v>
      </c>
      <c r="AH2237" s="4" t="n">
        <v>0</v>
      </c>
      <c r="AI2237" s="34" t="n"/>
      <c r="AJ2237" s="34" t="n">
        <v>0</v>
      </c>
      <c r="AK2237" s="2" t="n">
        <v>0</v>
      </c>
      <c r="AL2237" t="inlineStr">
        <is>
          <t>Published</t>
        </is>
      </c>
    </row>
    <row r="2238">
      <c r="A2238">
        <f>HYPERLINK("https://www.walmart.com/ip/339765581", "339765581")</f>
        <v/>
      </c>
      <c r="B2238">
        <f>HYPERLINK("https://app.optiwise.ai/catalog/itemdetails/361611", "Sherpa Wearable Blanket with Sleeves &amp; Foot Pockets for Adult Women Men, Comfy Snuggle Wrap Sleeved Throw Blanket Robe, Gift Idea, Camel")</f>
        <v/>
      </c>
      <c r="C2238" t="inlineStr">
        <is>
          <t>1CTSN310CA</t>
        </is>
      </c>
      <c r="D2238" t="inlineStr">
        <is>
          <t>Bedding</t>
        </is>
      </c>
      <c r="E2238" t="inlineStr">
        <is>
          <t>Throws</t>
        </is>
      </c>
      <c r="F2238" t="inlineStr">
        <is>
          <t>Catalonia</t>
        </is>
      </c>
      <c r="G2238" t="n">
        <v>4</v>
      </c>
      <c r="H2238" t="n">
        <v>25</v>
      </c>
      <c r="I2238" t="inlineStr">
        <is>
          <t>Optimized,WFS,Coupon_Discount,WFS Item</t>
        </is>
      </c>
      <c r="J2238" s="29" t="n">
        <v>0</v>
      </c>
      <c r="K2238" s="30" t="n"/>
      <c r="L2238" s="29" t="n">
        <v>0</v>
      </c>
      <c r="M2238" s="29" t="n">
        <v>0</v>
      </c>
      <c r="N2238" s="2" t="n">
        <v>0</v>
      </c>
      <c r="O2238" s="31" t="n">
        <v>0</v>
      </c>
      <c r="P2238" s="32" t="n"/>
      <c r="Q2238" s="32" t="n">
        <v>0</v>
      </c>
      <c r="R2238" s="32" t="n">
        <v>0</v>
      </c>
      <c r="S2238" s="31" t="n">
        <v>0</v>
      </c>
      <c r="T2238" s="32" t="n">
        <v>0</v>
      </c>
      <c r="U2238" s="31" t="n">
        <v>0</v>
      </c>
      <c r="V2238" s="31" t="n">
        <v>0</v>
      </c>
      <c r="W2238" s="3" t="n">
        <v>0</v>
      </c>
      <c r="X2238" s="3" t="n">
        <v>0</v>
      </c>
      <c r="Y2238" s="32" t="n">
        <v>0</v>
      </c>
      <c r="Z2238" s="3" t="n">
        <v>0</v>
      </c>
      <c r="AA2238" s="32" t="n">
        <v>0</v>
      </c>
      <c r="AB2238" s="3" t="n"/>
      <c r="AC2238" s="31" t="n">
        <v>0</v>
      </c>
      <c r="AD2238" s="2" t="n">
        <v>10</v>
      </c>
      <c r="AE2238" s="2" t="n">
        <v>46</v>
      </c>
      <c r="AF2238" s="4" t="n">
        <v>46</v>
      </c>
      <c r="AG2238" s="33" t="n">
        <v>0</v>
      </c>
      <c r="AH2238" s="4" t="n">
        <v>0</v>
      </c>
      <c r="AI2238" s="34" t="n"/>
      <c r="AJ2238" s="34" t="n">
        <v>0</v>
      </c>
      <c r="AK2238" s="2" t="n">
        <v>0</v>
      </c>
      <c r="AL2238" t="inlineStr">
        <is>
          <t>Published</t>
        </is>
      </c>
    </row>
    <row r="2239">
      <c r="A2239">
        <f>HYPERLINK("https://www.walmart.com/ip/500205579", "500205579")</f>
        <v/>
      </c>
      <c r="B2239">
        <f>HYPERLINK("https://app.optiwise.ai/catalog/itemdetails/361609", "Runner Waist Pack - Hip Hug Running Fuel Belt with 2 Pockets - NO BOUNCE Runner's Fanny Pack - Storage Pouch Bag Runners")</f>
        <v/>
      </c>
      <c r="C2239" t="inlineStr">
        <is>
          <t>TERRA-3NG-M-ZJ</t>
        </is>
      </c>
      <c r="D2239" t="inlineStr">
        <is>
          <t>Cases &amp; Bags</t>
        </is>
      </c>
      <c r="E2239" t="inlineStr">
        <is>
          <t>Fanny Packs</t>
        </is>
      </c>
      <c r="F2239" t="inlineStr">
        <is>
          <t>Terra</t>
        </is>
      </c>
      <c r="G2239" t="n">
        <v>0</v>
      </c>
      <c r="H2239" t="n">
        <v>0</v>
      </c>
      <c r="I2239" t="inlineStr">
        <is>
          <t>Optimized</t>
        </is>
      </c>
      <c r="J2239" s="29" t="n">
        <v>0</v>
      </c>
      <c r="K2239" s="30" t="n"/>
      <c r="L2239" s="29" t="n">
        <v>0</v>
      </c>
      <c r="M2239" s="29" t="n">
        <v>0</v>
      </c>
      <c r="N2239" s="2" t="n">
        <v>0</v>
      </c>
      <c r="O2239" s="31" t="n">
        <v>0</v>
      </c>
      <c r="P2239" s="32" t="n"/>
      <c r="Q2239" s="32" t="n">
        <v>0</v>
      </c>
      <c r="R2239" s="32" t="n">
        <v>0</v>
      </c>
      <c r="S2239" s="31" t="n">
        <v>0</v>
      </c>
      <c r="T2239" s="32" t="n">
        <v>0</v>
      </c>
      <c r="U2239" s="31" t="n">
        <v>0</v>
      </c>
      <c r="V2239" s="31" t="n">
        <v>0</v>
      </c>
      <c r="W2239" s="3" t="n">
        <v>0</v>
      </c>
      <c r="X2239" s="3" t="n">
        <v>0</v>
      </c>
      <c r="Y2239" s="32" t="n">
        <v>0</v>
      </c>
      <c r="Z2239" s="3" t="n">
        <v>0</v>
      </c>
      <c r="AA2239" s="32" t="n">
        <v>0</v>
      </c>
      <c r="AB2239" s="3" t="n"/>
      <c r="AC2239" s="31" t="n">
        <v>0</v>
      </c>
      <c r="AD2239" s="2" t="n">
        <v>0</v>
      </c>
      <c r="AE2239" s="2" t="n">
        <v>3</v>
      </c>
      <c r="AF2239" s="4" t="n">
        <v>3</v>
      </c>
      <c r="AG2239" s="33" t="n">
        <v>0</v>
      </c>
      <c r="AH2239" s="4" t="n">
        <v>0</v>
      </c>
      <c r="AI2239" s="34" t="n"/>
      <c r="AJ2239" s="34" t="n">
        <v>0</v>
      </c>
      <c r="AK2239" s="2" t="n">
        <v>0</v>
      </c>
      <c r="AL2239" t="inlineStr">
        <is>
          <t>Published</t>
        </is>
      </c>
    </row>
    <row r="2240">
      <c r="A2240">
        <f>HYPERLINK("https://www.walmart.com/ip/403281450", "403281450")</f>
        <v/>
      </c>
      <c r="B2240">
        <f>HYPERLINK("https://app.optiwise.ai/catalog/itemdetails/361606", "American Flag Sherpa Throw Blanket Polar Fleece, Super Cozy Warm TV Blankets for Bed or Couch Reversible 50 x 60")</f>
        <v/>
      </c>
      <c r="C2240" t="inlineStr">
        <is>
          <t>1TRBF300USA-TPCB</t>
        </is>
      </c>
      <c r="D2240" t="inlineStr">
        <is>
          <t>Bedding</t>
        </is>
      </c>
      <c r="E2240" t="inlineStr">
        <is>
          <t>Throws</t>
        </is>
      </c>
      <c r="F2240" t="inlineStr">
        <is>
          <t>Tirrinia</t>
        </is>
      </c>
      <c r="G2240" t="n">
        <v>5</v>
      </c>
      <c r="H2240" t="n">
        <v>1</v>
      </c>
      <c r="I2240" t="inlineStr">
        <is>
          <t>Batch 1 - TR</t>
        </is>
      </c>
      <c r="J2240" s="29" t="n">
        <v>0</v>
      </c>
      <c r="K2240" s="30" t="n"/>
      <c r="L2240" s="29" t="n">
        <v>0</v>
      </c>
      <c r="M2240" s="29" t="n">
        <v>0</v>
      </c>
      <c r="N2240" s="2" t="n">
        <v>0</v>
      </c>
      <c r="O2240" s="31" t="n">
        <v>0</v>
      </c>
      <c r="P2240" s="32" t="n"/>
      <c r="Q2240" s="32" t="n">
        <v>0</v>
      </c>
      <c r="R2240" s="32" t="n">
        <v>0</v>
      </c>
      <c r="S2240" s="31" t="n">
        <v>0</v>
      </c>
      <c r="T2240" s="32" t="n">
        <v>0</v>
      </c>
      <c r="U2240" s="31" t="n">
        <v>0</v>
      </c>
      <c r="V2240" s="31" t="n">
        <v>0</v>
      </c>
      <c r="W2240" s="3" t="n">
        <v>0</v>
      </c>
      <c r="X2240" s="3" t="n">
        <v>0</v>
      </c>
      <c r="Y2240" s="32" t="n">
        <v>0</v>
      </c>
      <c r="Z2240" s="3" t="n">
        <v>0</v>
      </c>
      <c r="AA2240" s="32" t="n">
        <v>0</v>
      </c>
      <c r="AB2240" s="3" t="n"/>
      <c r="AC2240" s="31" t="n">
        <v>0</v>
      </c>
      <c r="AD2240" s="2" t="n">
        <v>0</v>
      </c>
      <c r="AE2240" s="2" t="n">
        <v>18</v>
      </c>
      <c r="AF2240" s="4" t="n">
        <v>18</v>
      </c>
      <c r="AG2240" s="33" t="n">
        <v>0</v>
      </c>
      <c r="AH2240" s="4" t="n">
        <v>0</v>
      </c>
      <c r="AI2240" s="34" t="n"/>
      <c r="AJ2240" s="34" t="n">
        <v>0</v>
      </c>
      <c r="AK2240" s="2" t="n">
        <v>0</v>
      </c>
      <c r="AL2240" t="inlineStr">
        <is>
          <t>Published</t>
        </is>
      </c>
    </row>
    <row r="2241">
      <c r="A2241">
        <f>HYPERLINK("https://www.walmart.com/ip/849026019", "849026019")</f>
        <v/>
      </c>
      <c r="B2241">
        <f>HYPERLINK("https://app.optiwise.ai/catalog/itemdetails/361604", "Sun Blocker Women's Sun Hat  Wide Brim Flap Cap with Floral Ribbon for Beach Gardening Hiking Fishing Safari UPF 50+ Orange")</f>
        <v/>
      </c>
      <c r="C2241" t="inlineStr">
        <is>
          <t>KC-S9202-OR</t>
        </is>
      </c>
      <c r="D2241" t="inlineStr">
        <is>
          <t>Clothing</t>
        </is>
      </c>
      <c r="E2241" t="inlineStr">
        <is>
          <t>Hats</t>
        </is>
      </c>
      <c r="F2241" t="inlineStr">
        <is>
          <t>Sun Blocker</t>
        </is>
      </c>
      <c r="G2241" t="n">
        <v>4.7</v>
      </c>
      <c r="H2241" t="n">
        <v>3</v>
      </c>
      <c r="I2241" t="inlineStr">
        <is>
          <t>Batch 1 - TR</t>
        </is>
      </c>
      <c r="J2241" s="29" t="n">
        <v>0</v>
      </c>
      <c r="K2241" s="30" t="n"/>
      <c r="L2241" s="29" t="n">
        <v>0</v>
      </c>
      <c r="M2241" s="29" t="n">
        <v>0</v>
      </c>
      <c r="N2241" s="2" t="n">
        <v>0</v>
      </c>
      <c r="O2241" s="31" t="n">
        <v>0</v>
      </c>
      <c r="P2241" s="32" t="n"/>
      <c r="Q2241" s="32" t="n">
        <v>0</v>
      </c>
      <c r="R2241" s="32" t="n">
        <v>0</v>
      </c>
      <c r="S2241" s="31" t="n">
        <v>0</v>
      </c>
      <c r="T2241" s="32" t="n">
        <v>0</v>
      </c>
      <c r="U2241" s="31" t="n">
        <v>0</v>
      </c>
      <c r="V2241" s="31" t="n">
        <v>0</v>
      </c>
      <c r="W2241" s="3" t="n">
        <v>0</v>
      </c>
      <c r="X2241" s="3" t="n">
        <v>0</v>
      </c>
      <c r="Y2241" s="32" t="n">
        <v>0</v>
      </c>
      <c r="Z2241" s="3" t="n">
        <v>0</v>
      </c>
      <c r="AA2241" s="32" t="n">
        <v>0</v>
      </c>
      <c r="AB2241" s="3" t="n"/>
      <c r="AC2241" s="31" t="n">
        <v>0</v>
      </c>
      <c r="AD2241" s="2" t="n">
        <v>0</v>
      </c>
      <c r="AE2241" s="2" t="n">
        <v>16</v>
      </c>
      <c r="AF2241" s="4" t="n">
        <v>16</v>
      </c>
      <c r="AG2241" s="33" t="n">
        <v>0</v>
      </c>
      <c r="AH2241" s="4" t="n">
        <v>0</v>
      </c>
      <c r="AI2241" s="34" t="n"/>
      <c r="AJ2241" s="34" t="n">
        <v>0</v>
      </c>
      <c r="AK2241" s="2" t="n">
        <v>0</v>
      </c>
      <c r="AL2241" t="inlineStr">
        <is>
          <t>Published</t>
        </is>
      </c>
    </row>
    <row r="2242">
      <c r="A2242">
        <f>HYPERLINK("https://www.walmart.com/ip/276968221", "276968221")</f>
        <v/>
      </c>
      <c r="B2242">
        <f>HYPERLINK("https://app.optiwise.ai/catalog/itemdetails/361602", "Catalonia Sherpa Throws Blanket,Super Soft Comfy Fuzzy Micro Fleece Plush Snuggle Blanket All Season for Couch Bed, 50 x 60 Wine Red")</f>
        <v/>
      </c>
      <c r="C2242" t="inlineStr">
        <is>
          <t>1CTBF300WN</t>
        </is>
      </c>
      <c r="D2242" t="inlineStr">
        <is>
          <t>Bedding</t>
        </is>
      </c>
      <c r="E2242" t="inlineStr">
        <is>
          <t>Throws</t>
        </is>
      </c>
      <c r="F2242" t="inlineStr">
        <is>
          <t>Catalonia</t>
        </is>
      </c>
      <c r="G2242" t="n">
        <v>0</v>
      </c>
      <c r="H2242" t="n">
        <v>0</v>
      </c>
      <c r="I2242" t="inlineStr">
        <is>
          <t>Q2-Target,WFS,Coupon_Discount,WFS Item</t>
        </is>
      </c>
      <c r="J2242" s="29" t="n">
        <v>0</v>
      </c>
      <c r="K2242" s="30" t="n"/>
      <c r="L2242" s="29" t="n">
        <v>0</v>
      </c>
      <c r="M2242" s="29" t="n">
        <v>0</v>
      </c>
      <c r="N2242" s="2" t="n">
        <v>0</v>
      </c>
      <c r="O2242" s="31" t="n">
        <v>0</v>
      </c>
      <c r="P2242" s="32" t="n"/>
      <c r="Q2242" s="32" t="n">
        <v>0</v>
      </c>
      <c r="R2242" s="32" t="n">
        <v>0</v>
      </c>
      <c r="S2242" s="31" t="n">
        <v>0</v>
      </c>
      <c r="T2242" s="32" t="n">
        <v>0</v>
      </c>
      <c r="U2242" s="31" t="n">
        <v>0</v>
      </c>
      <c r="V2242" s="31" t="n">
        <v>0</v>
      </c>
      <c r="W2242" s="3" t="n">
        <v>0</v>
      </c>
      <c r="X2242" s="3" t="n">
        <v>0</v>
      </c>
      <c r="Y2242" s="32" t="n">
        <v>0</v>
      </c>
      <c r="Z2242" s="3" t="n">
        <v>0</v>
      </c>
      <c r="AA2242" s="32" t="n">
        <v>0</v>
      </c>
      <c r="AB2242" s="3" t="n"/>
      <c r="AC2242" s="31" t="n">
        <v>0</v>
      </c>
      <c r="AD2242" s="2" t="n">
        <v>0</v>
      </c>
      <c r="AE2242" s="2" t="n">
        <v>38</v>
      </c>
      <c r="AF2242" s="4" t="n">
        <v>38</v>
      </c>
      <c r="AG2242" s="33" t="n">
        <v>0</v>
      </c>
      <c r="AH2242" s="4" t="n">
        <v>0</v>
      </c>
      <c r="AI2242" s="34" t="n"/>
      <c r="AJ2242" s="34" t="n">
        <v>0</v>
      </c>
      <c r="AK2242" s="2" t="n">
        <v>0</v>
      </c>
      <c r="AL2242" t="inlineStr">
        <is>
          <t>Published</t>
        </is>
      </c>
    </row>
    <row r="2243">
      <c r="A2243">
        <f>HYPERLINK("https://www.walmart.com/ip/535105838", "535105838")</f>
        <v/>
      </c>
      <c r="B2243">
        <f>HYPERLINK("https://app.optiwise.ai/catalog/itemdetails/361596", "Explorer® 17x 9 x11 Multicam Military Tactical MOLLE Backpack B3-ML")</f>
        <v/>
      </c>
      <c r="C2243" t="inlineStr">
        <is>
          <t>EXPLORER-B3-ML</t>
        </is>
      </c>
      <c r="D2243" t="inlineStr">
        <is>
          <t>Sport &amp; Recreation Other</t>
        </is>
      </c>
      <c r="E2243" t="inlineStr">
        <is>
          <t>Backpacking Backpacks</t>
        </is>
      </c>
      <c r="F2243" t="inlineStr">
        <is>
          <t>Explorer</t>
        </is>
      </c>
      <c r="G2243" t="n">
        <v>0</v>
      </c>
      <c r="H2243" t="n">
        <v>0</v>
      </c>
      <c r="J2243" s="29" t="n">
        <v>0</v>
      </c>
      <c r="K2243" s="30" t="n"/>
      <c r="L2243" s="29" t="n">
        <v>0</v>
      </c>
      <c r="M2243" s="29" t="n">
        <v>0</v>
      </c>
      <c r="N2243" s="2" t="n">
        <v>0</v>
      </c>
      <c r="O2243" s="31" t="n">
        <v>0</v>
      </c>
      <c r="P2243" s="32" t="n"/>
      <c r="Q2243" s="32" t="n">
        <v>0</v>
      </c>
      <c r="R2243" s="32" t="n">
        <v>0</v>
      </c>
      <c r="S2243" s="31" t="n">
        <v>0</v>
      </c>
      <c r="T2243" s="32" t="n">
        <v>0</v>
      </c>
      <c r="U2243" s="31" t="n">
        <v>0</v>
      </c>
      <c r="V2243" s="31" t="n">
        <v>0</v>
      </c>
      <c r="W2243" s="3" t="n">
        <v>0</v>
      </c>
      <c r="X2243" s="3" t="n">
        <v>0</v>
      </c>
      <c r="Y2243" s="32" t="n">
        <v>0</v>
      </c>
      <c r="Z2243" s="3" t="n">
        <v>0</v>
      </c>
      <c r="AA2243" s="32" t="n">
        <v>0</v>
      </c>
      <c r="AB2243" s="3" t="n"/>
      <c r="AC2243" s="31" t="n">
        <v>0</v>
      </c>
      <c r="AD2243" s="2" t="n">
        <v>0</v>
      </c>
      <c r="AE2243" s="2" t="n">
        <v>3</v>
      </c>
      <c r="AF2243" s="4" t="n">
        <v>3</v>
      </c>
      <c r="AG2243" s="33" t="n">
        <v>0</v>
      </c>
      <c r="AH2243" s="4" t="n">
        <v>0</v>
      </c>
      <c r="AI2243" s="34" t="n"/>
      <c r="AJ2243" s="34" t="n">
        <v>0</v>
      </c>
      <c r="AK2243" s="2" t="n">
        <v>0</v>
      </c>
      <c r="AL2243" t="inlineStr">
        <is>
          <t>Published</t>
        </is>
      </c>
    </row>
    <row r="2244">
      <c r="A2244">
        <f>HYPERLINK("https://www.walmart.com/ip/111109317", "111109317")</f>
        <v/>
      </c>
      <c r="B2244">
        <f>HYPERLINK("https://app.optiwise.ai/catalog/itemdetails/361592", "Jenniwears Women's Sexy Lingerie Lace Mesh 2-Piece Bowknot Halter Chemise with G-String")</f>
        <v/>
      </c>
      <c r="C2244" t="inlineStr">
        <is>
          <t>JWND03RD</t>
        </is>
      </c>
      <c r="D2244" t="inlineStr">
        <is>
          <t>Clothing</t>
        </is>
      </c>
      <c r="E2244" t="inlineStr">
        <is>
          <t>Lingerie Sets</t>
        </is>
      </c>
      <c r="F2244" t="inlineStr">
        <is>
          <t>JenniWears</t>
        </is>
      </c>
      <c r="G2244" t="n">
        <v>0</v>
      </c>
      <c r="H2244" t="n">
        <v>0</v>
      </c>
      <c r="I2244" t="inlineStr">
        <is>
          <t>Optimized,Valentine</t>
        </is>
      </c>
      <c r="J2244" s="29" t="n">
        <v>0</v>
      </c>
      <c r="K2244" s="30" t="n"/>
      <c r="L2244" s="29" t="n">
        <v>0</v>
      </c>
      <c r="M2244" s="29" t="n">
        <v>0</v>
      </c>
      <c r="N2244" s="2" t="n">
        <v>0</v>
      </c>
      <c r="O2244" s="31" t="n">
        <v>0</v>
      </c>
      <c r="P2244" s="32" t="n"/>
      <c r="Q2244" s="32" t="n">
        <v>0</v>
      </c>
      <c r="R2244" s="32" t="n">
        <v>0</v>
      </c>
      <c r="S2244" s="31" t="n">
        <v>0</v>
      </c>
      <c r="T2244" s="32" t="n">
        <v>0</v>
      </c>
      <c r="U2244" s="31" t="n">
        <v>0</v>
      </c>
      <c r="V2244" s="31" t="n">
        <v>0</v>
      </c>
      <c r="W2244" s="3" t="n">
        <v>0</v>
      </c>
      <c r="X2244" s="3" t="n">
        <v>0</v>
      </c>
      <c r="Y2244" s="32" t="n">
        <v>0</v>
      </c>
      <c r="Z2244" s="3" t="n">
        <v>0</v>
      </c>
      <c r="AA2244" s="32" t="n">
        <v>0</v>
      </c>
      <c r="AB2244" s="3" t="n"/>
      <c r="AC2244" s="31" t="n">
        <v>0</v>
      </c>
      <c r="AD2244" s="2" t="n">
        <v>0</v>
      </c>
      <c r="AE2244" s="2" t="n">
        <v>5</v>
      </c>
      <c r="AF2244" s="4" t="n">
        <v>5</v>
      </c>
      <c r="AG2244" s="33" t="n">
        <v>0</v>
      </c>
      <c r="AH2244" s="4" t="n">
        <v>0</v>
      </c>
      <c r="AI2244" s="34" t="n"/>
      <c r="AJ2244" s="34" t="n">
        <v>0</v>
      </c>
      <c r="AK2244" s="2" t="n">
        <v>0</v>
      </c>
      <c r="AL2244" t="inlineStr">
        <is>
          <t>Published</t>
        </is>
      </c>
    </row>
    <row r="2245">
      <c r="A2245">
        <f>HYPERLINK("https://www.walmart.com/ip/464674088", "464674088")</f>
        <v/>
      </c>
      <c r="B2245">
        <f>HYPERLINK("https://app.optiwise.ai/catalog/itemdetails/361591", "Solaris Sun Hats UV Protection Wide Brim Hat Unisex Adult Multicolor")</f>
        <v/>
      </c>
      <c r="C2245" t="inlineStr">
        <is>
          <t>1SLSH910BL</t>
        </is>
      </c>
      <c r="D2245" t="inlineStr">
        <is>
          <t>Clothing</t>
        </is>
      </c>
      <c r="E2245" t="inlineStr">
        <is>
          <t>Hats</t>
        </is>
      </c>
      <c r="F2245" t="inlineStr">
        <is>
          <t>Solaris</t>
        </is>
      </c>
      <c r="G2245" t="n">
        <v>4.8</v>
      </c>
      <c r="H2245" t="n">
        <v>9</v>
      </c>
      <c r="I2245" t="inlineStr">
        <is>
          <t>Hats,Batch 1 - TR</t>
        </is>
      </c>
      <c r="J2245" s="29" t="n">
        <v>0</v>
      </c>
      <c r="K2245" s="30" t="n"/>
      <c r="L2245" s="29" t="n">
        <v>0</v>
      </c>
      <c r="M2245" s="29" t="n">
        <v>0</v>
      </c>
      <c r="N2245" s="2" t="n">
        <v>0</v>
      </c>
      <c r="O2245" s="31" t="n">
        <v>0</v>
      </c>
      <c r="P2245" s="32" t="n"/>
      <c r="Q2245" s="32" t="n">
        <v>0</v>
      </c>
      <c r="R2245" s="32" t="n">
        <v>0</v>
      </c>
      <c r="S2245" s="31" t="n">
        <v>0</v>
      </c>
      <c r="T2245" s="32" t="n">
        <v>0</v>
      </c>
      <c r="U2245" s="31" t="n">
        <v>0</v>
      </c>
      <c r="V2245" s="31" t="n">
        <v>0</v>
      </c>
      <c r="W2245" s="3" t="n">
        <v>0</v>
      </c>
      <c r="X2245" s="3" t="n">
        <v>0</v>
      </c>
      <c r="Y2245" s="32" t="n">
        <v>0</v>
      </c>
      <c r="Z2245" s="3" t="n">
        <v>0</v>
      </c>
      <c r="AA2245" s="32" t="n">
        <v>0</v>
      </c>
      <c r="AB2245" s="3" t="n"/>
      <c r="AC2245" s="31" t="n">
        <v>0</v>
      </c>
      <c r="AD2245" s="2" t="n">
        <v>0</v>
      </c>
      <c r="AE2245" s="2" t="n">
        <v>59</v>
      </c>
      <c r="AF2245" s="4" t="n">
        <v>59</v>
      </c>
      <c r="AG2245" s="33" t="n">
        <v>0</v>
      </c>
      <c r="AH2245" s="4" t="n">
        <v>0</v>
      </c>
      <c r="AI2245" s="34" t="n"/>
      <c r="AJ2245" s="34" t="n">
        <v>0</v>
      </c>
      <c r="AK2245" s="2" t="n">
        <v>0</v>
      </c>
      <c r="AL2245" t="inlineStr">
        <is>
          <t>Published</t>
        </is>
      </c>
    </row>
    <row r="2246">
      <c r="A2246">
        <f>HYPERLINK("https://www.walmart.com/ip/918795016", "918795016")</f>
        <v/>
      </c>
      <c r="B2246">
        <f>HYPERLINK("https://app.optiwise.ai/catalog/itemdetails/361590", "Flyingstar Mermaid Tail Blanket, Soft Flannel Fleece All Seasons Sleeping Blanket for Kids Adults, Rainbow Ombre Fish Scale Design Snuggle Blanket, Best Gifts")</f>
        <v/>
      </c>
      <c r="C2246" t="inlineStr">
        <is>
          <t>1WMMP100LB</t>
        </is>
      </c>
      <c r="D2246" t="inlineStr">
        <is>
          <t>Bedding</t>
        </is>
      </c>
      <c r="E2246" t="inlineStr">
        <is>
          <t>Throws</t>
        </is>
      </c>
      <c r="F2246" t="inlineStr">
        <is>
          <t>Flyingstar</t>
        </is>
      </c>
      <c r="G2246" t="n">
        <v>0</v>
      </c>
      <c r="H2246" t="n">
        <v>0</v>
      </c>
      <c r="I2246" t="inlineStr">
        <is>
          <t>Baby days,Optimized</t>
        </is>
      </c>
      <c r="J2246" s="29" t="n">
        <v>0</v>
      </c>
      <c r="K2246" s="30" t="n"/>
      <c r="L2246" s="29" t="n">
        <v>0</v>
      </c>
      <c r="M2246" s="29" t="n">
        <v>0</v>
      </c>
      <c r="N2246" s="2" t="n">
        <v>0</v>
      </c>
      <c r="O2246" s="31" t="n">
        <v>0</v>
      </c>
      <c r="P2246" s="32" t="n"/>
      <c r="Q2246" s="32" t="n">
        <v>0</v>
      </c>
      <c r="R2246" s="32" t="n">
        <v>0</v>
      </c>
      <c r="S2246" s="31" t="n">
        <v>0</v>
      </c>
      <c r="T2246" s="32" t="n">
        <v>0</v>
      </c>
      <c r="U2246" s="31" t="n">
        <v>0</v>
      </c>
      <c r="V2246" s="31" t="n">
        <v>0</v>
      </c>
      <c r="W2246" s="3" t="n">
        <v>0</v>
      </c>
      <c r="X2246" s="3" t="n">
        <v>0</v>
      </c>
      <c r="Y2246" s="32" t="n">
        <v>0</v>
      </c>
      <c r="Z2246" s="3" t="n">
        <v>0</v>
      </c>
      <c r="AA2246" s="32" t="n">
        <v>0</v>
      </c>
      <c r="AB2246" s="3" t="n"/>
      <c r="AC2246" s="31" t="n">
        <v>0</v>
      </c>
      <c r="AD2246" s="2" t="n">
        <v>0</v>
      </c>
      <c r="AE2246" s="2" t="n">
        <v>6</v>
      </c>
      <c r="AF2246" s="4" t="n">
        <v>6</v>
      </c>
      <c r="AG2246" s="33" t="n">
        <v>0</v>
      </c>
      <c r="AH2246" s="4" t="n">
        <v>0</v>
      </c>
      <c r="AI2246" s="34" t="n"/>
      <c r="AJ2246" s="34" t="n">
        <v>0</v>
      </c>
      <c r="AK2246" s="2" t="n">
        <v>0</v>
      </c>
      <c r="AL2246" t="inlineStr">
        <is>
          <t>Published</t>
        </is>
      </c>
    </row>
    <row r="2247">
      <c r="A2247">
        <f>HYPERLINK("https://www.walmart.com/ip/187900886", "187900886")</f>
        <v/>
      </c>
      <c r="B2247">
        <f>HYPERLINK("https://app.optiwise.ai/catalog/itemdetails/361582", "Terra Active Wrap- Stylish Running workout travel waist belt w/ hidden pocket")</f>
        <v/>
      </c>
      <c r="C2247" t="inlineStr">
        <is>
          <t>TERRA-3NG-L</t>
        </is>
      </c>
      <c r="D2247" t="inlineStr">
        <is>
          <t>Cases &amp; Bags</t>
        </is>
      </c>
      <c r="E2247" t="inlineStr">
        <is>
          <t>Running Belts</t>
        </is>
      </c>
      <c r="F2247" t="inlineStr">
        <is>
          <t>Terra</t>
        </is>
      </c>
      <c r="G2247" t="n">
        <v>0</v>
      </c>
      <c r="H2247" t="n">
        <v>0</v>
      </c>
      <c r="I2247" t="inlineStr">
        <is>
          <t>Optimized</t>
        </is>
      </c>
      <c r="J2247" s="29" t="n">
        <v>0</v>
      </c>
      <c r="K2247" s="30" t="n"/>
      <c r="L2247" s="29" t="n">
        <v>0</v>
      </c>
      <c r="M2247" s="29" t="n">
        <v>0</v>
      </c>
      <c r="N2247" s="2" t="n">
        <v>0</v>
      </c>
      <c r="O2247" s="31" t="n">
        <v>0</v>
      </c>
      <c r="P2247" s="32" t="n"/>
      <c r="Q2247" s="32" t="n">
        <v>0</v>
      </c>
      <c r="R2247" s="32" t="n">
        <v>0</v>
      </c>
      <c r="S2247" s="31" t="n">
        <v>0</v>
      </c>
      <c r="T2247" s="32" t="n">
        <v>0</v>
      </c>
      <c r="U2247" s="31" t="n">
        <v>0</v>
      </c>
      <c r="V2247" s="31" t="n">
        <v>0</v>
      </c>
      <c r="W2247" s="3" t="n">
        <v>0</v>
      </c>
      <c r="X2247" s="3" t="n">
        <v>0</v>
      </c>
      <c r="Y2247" s="32" t="n">
        <v>0</v>
      </c>
      <c r="Z2247" s="3" t="n">
        <v>0</v>
      </c>
      <c r="AA2247" s="32" t="n">
        <v>0</v>
      </c>
      <c r="AB2247" s="3" t="n"/>
      <c r="AC2247" s="31" t="n">
        <v>0</v>
      </c>
      <c r="AD2247" s="2" t="n">
        <v>0</v>
      </c>
      <c r="AE2247" s="2" t="n">
        <v>12</v>
      </c>
      <c r="AF2247" s="4" t="n">
        <v>12</v>
      </c>
      <c r="AG2247" s="33" t="n">
        <v>0</v>
      </c>
      <c r="AH2247" s="4" t="n">
        <v>0</v>
      </c>
      <c r="AI2247" s="34" t="n"/>
      <c r="AJ2247" s="34" t="n">
        <v>0</v>
      </c>
      <c r="AK2247" s="2" t="n">
        <v>0</v>
      </c>
      <c r="AL2247" t="inlineStr">
        <is>
          <t>Published</t>
        </is>
      </c>
    </row>
    <row r="2248">
      <c r="A2248">
        <f>HYPERLINK("https://www.walmart.com/ip/761490287", "761490287")</f>
        <v/>
      </c>
      <c r="B2248">
        <f>HYPERLINK("https://app.optiwise.ai/catalog/itemdetails/361542", "Tirrinia Sherpa Wearable Blanket Ultra Soft Comfy Warm Plush Full Body Throw with Sleeves, Reading Wrap TV Blankets Robe Cover for Adult Grandma Women and Men, Wine")</f>
        <v/>
      </c>
      <c r="C2248" t="inlineStr">
        <is>
          <t>1TRSN110WN</t>
        </is>
      </c>
      <c r="D2248" t="inlineStr">
        <is>
          <t>Home Decor, Kitchen, &amp; Other</t>
        </is>
      </c>
      <c r="E2248" t="inlineStr">
        <is>
          <t>Throws</t>
        </is>
      </c>
      <c r="F2248" t="inlineStr">
        <is>
          <t>Tirrinia</t>
        </is>
      </c>
      <c r="G2248" t="n">
        <v>0</v>
      </c>
      <c r="H2248" t="n">
        <v>0</v>
      </c>
      <c r="I2248" t="inlineStr">
        <is>
          <t>Coupon_Discount,WFS Item</t>
        </is>
      </c>
      <c r="J2248" s="29" t="n">
        <v>0</v>
      </c>
      <c r="K2248" s="30" t="n"/>
      <c r="L2248" s="29" t="n">
        <v>0</v>
      </c>
      <c r="M2248" s="29" t="n">
        <v>0</v>
      </c>
      <c r="N2248" s="2" t="n">
        <v>0</v>
      </c>
      <c r="O2248" s="31" t="n">
        <v>0</v>
      </c>
      <c r="P2248" s="32" t="n"/>
      <c r="Q2248" s="32" t="n">
        <v>0</v>
      </c>
      <c r="R2248" s="32" t="n">
        <v>0</v>
      </c>
      <c r="S2248" s="31" t="n">
        <v>0</v>
      </c>
      <c r="T2248" s="32" t="n">
        <v>0</v>
      </c>
      <c r="U2248" s="31" t="n">
        <v>0</v>
      </c>
      <c r="V2248" s="31" t="n">
        <v>0</v>
      </c>
      <c r="W2248" s="3" t="n">
        <v>0</v>
      </c>
      <c r="X2248" s="3" t="n">
        <v>0</v>
      </c>
      <c r="Y2248" s="32" t="n">
        <v>0</v>
      </c>
      <c r="Z2248" s="3" t="n">
        <v>0</v>
      </c>
      <c r="AA2248" s="32" t="n">
        <v>0</v>
      </c>
      <c r="AB2248" s="3" t="n"/>
      <c r="AC2248" s="31" t="n">
        <v>0</v>
      </c>
      <c r="AD2248" s="2" t="n">
        <v>0</v>
      </c>
      <c r="AE2248" s="2" t="n">
        <v>5</v>
      </c>
      <c r="AF2248" s="4" t="n">
        <v>5</v>
      </c>
      <c r="AG2248" s="33" t="n">
        <v>0</v>
      </c>
      <c r="AH2248" s="4" t="n">
        <v>0</v>
      </c>
      <c r="AI2248" s="34" t="n"/>
      <c r="AJ2248" s="34" t="n">
        <v>0</v>
      </c>
      <c r="AK2248" s="2" t="n">
        <v>0</v>
      </c>
      <c r="AL2248" t="inlineStr">
        <is>
          <t>Published</t>
        </is>
      </c>
    </row>
    <row r="2249">
      <c r="A2249">
        <f>HYPERLINK("https://www.walmart.com/ip/708164308", "708164308")</f>
        <v/>
      </c>
      <c r="B2249">
        <f>HYPERLINK("https://app.optiwise.ai/catalog/itemdetails/361578", "Flyingstar Insulated Picnic Basket, 26L Leakproof Collapsible Portable Cooler Basket for Camping, Travel and Shopping, with a Free Foldable Grocery Bag, Black, 16.8 x 9.7 x 10")</f>
        <v/>
      </c>
      <c r="C2249" t="inlineStr">
        <is>
          <t>1WMPB100-BK</t>
        </is>
      </c>
      <c r="D2249" t="inlineStr">
        <is>
          <t>Home Decor, Kitchen, &amp; Other</t>
        </is>
      </c>
      <c r="E2249" t="inlineStr">
        <is>
          <t>Picnic Baskets &amp; Bags</t>
        </is>
      </c>
      <c r="F2249" t="inlineStr">
        <is>
          <t>Tirrinia</t>
        </is>
      </c>
      <c r="G2249" t="n">
        <v>5</v>
      </c>
      <c r="H2249" t="n">
        <v>9</v>
      </c>
      <c r="I2249" t="inlineStr">
        <is>
          <t>Batch 1 - TR</t>
        </is>
      </c>
      <c r="J2249" s="29" t="n">
        <v>0</v>
      </c>
      <c r="K2249" s="30" t="n"/>
      <c r="L2249" s="29" t="n">
        <v>0</v>
      </c>
      <c r="M2249" s="29" t="n">
        <v>0</v>
      </c>
      <c r="N2249" s="2" t="n">
        <v>0</v>
      </c>
      <c r="O2249" s="31" t="n">
        <v>0</v>
      </c>
      <c r="P2249" s="32" t="n"/>
      <c r="Q2249" s="32" t="n">
        <v>0</v>
      </c>
      <c r="R2249" s="32" t="n">
        <v>0</v>
      </c>
      <c r="S2249" s="31" t="n">
        <v>0</v>
      </c>
      <c r="T2249" s="32" t="n">
        <v>0</v>
      </c>
      <c r="U2249" s="31" t="n">
        <v>0</v>
      </c>
      <c r="V2249" s="31" t="n">
        <v>0</v>
      </c>
      <c r="W2249" s="3" t="n">
        <v>0</v>
      </c>
      <c r="X2249" s="3" t="n">
        <v>0</v>
      </c>
      <c r="Y2249" s="32" t="n">
        <v>0</v>
      </c>
      <c r="Z2249" s="3" t="n">
        <v>0</v>
      </c>
      <c r="AA2249" s="32" t="n">
        <v>0</v>
      </c>
      <c r="AB2249" s="3" t="n"/>
      <c r="AC2249" s="31" t="n">
        <v>0</v>
      </c>
      <c r="AD2249" s="2" t="n">
        <v>0</v>
      </c>
      <c r="AE2249" s="2" t="n">
        <v>30</v>
      </c>
      <c r="AF2249" s="4" t="n">
        <v>30</v>
      </c>
      <c r="AG2249" s="33" t="n">
        <v>0</v>
      </c>
      <c r="AH2249" s="4" t="n">
        <v>0</v>
      </c>
      <c r="AI2249" s="34" t="n"/>
      <c r="AJ2249" s="34" t="n">
        <v>0</v>
      </c>
      <c r="AK2249" s="2" t="n">
        <v>0</v>
      </c>
      <c r="AL2249" t="inlineStr">
        <is>
          <t>Published</t>
        </is>
      </c>
    </row>
    <row r="2250">
      <c r="A2250">
        <f>HYPERLINK("https://www.walmart.com/ip/107291062", "107291062")</f>
        <v/>
      </c>
      <c r="B2250">
        <f>HYPERLINK("https://app.optiwise.ai/catalog/itemdetails/361574", "KC Caps Unisex Adjustable Snap Closure USA Flag Embroidered Cap Hat")</f>
        <v/>
      </c>
      <c r="C2250" t="inlineStr">
        <is>
          <t>kc-ae-6100-wt</t>
        </is>
      </c>
      <c r="D2250" t="inlineStr">
        <is>
          <t>Clothing</t>
        </is>
      </c>
      <c r="E2250" t="inlineStr">
        <is>
          <t>Hats</t>
        </is>
      </c>
      <c r="F2250" t="inlineStr">
        <is>
          <t>KC Caps</t>
        </is>
      </c>
      <c r="G2250" t="n">
        <v>0</v>
      </c>
      <c r="H2250" t="n">
        <v>0</v>
      </c>
      <c r="I2250" t="inlineStr">
        <is>
          <t>Optimized</t>
        </is>
      </c>
      <c r="J2250" s="29" t="n">
        <v>0</v>
      </c>
      <c r="K2250" s="30" t="n"/>
      <c r="L2250" s="29" t="n">
        <v>0</v>
      </c>
      <c r="M2250" s="29" t="n">
        <v>0</v>
      </c>
      <c r="N2250" s="2" t="n">
        <v>0</v>
      </c>
      <c r="O2250" s="31" t="n">
        <v>0</v>
      </c>
      <c r="P2250" s="32" t="n"/>
      <c r="Q2250" s="32" t="n">
        <v>0</v>
      </c>
      <c r="R2250" s="32" t="n">
        <v>0</v>
      </c>
      <c r="S2250" s="31" t="n">
        <v>0</v>
      </c>
      <c r="T2250" s="32" t="n">
        <v>0</v>
      </c>
      <c r="U2250" s="31" t="n">
        <v>0</v>
      </c>
      <c r="V2250" s="31" t="n">
        <v>0</v>
      </c>
      <c r="W2250" s="3" t="n">
        <v>0</v>
      </c>
      <c r="X2250" s="3" t="n">
        <v>0</v>
      </c>
      <c r="Y2250" s="32" t="n">
        <v>0</v>
      </c>
      <c r="Z2250" s="3" t="n">
        <v>0</v>
      </c>
      <c r="AA2250" s="32" t="n">
        <v>0</v>
      </c>
      <c r="AB2250" s="3" t="n"/>
      <c r="AC2250" s="31" t="n">
        <v>0</v>
      </c>
      <c r="AD2250" s="2" t="n">
        <v>0</v>
      </c>
      <c r="AE2250" s="2" t="n">
        <v>1</v>
      </c>
      <c r="AF2250" s="4" t="n">
        <v>1</v>
      </c>
      <c r="AG2250" s="33" t="n">
        <v>0</v>
      </c>
      <c r="AH2250" s="4" t="n">
        <v>0</v>
      </c>
      <c r="AI2250" s="34" t="n"/>
      <c r="AJ2250" s="34" t="n">
        <v>0</v>
      </c>
      <c r="AK2250" s="2" t="n">
        <v>0</v>
      </c>
      <c r="AL2250" t="inlineStr">
        <is>
          <t>Published</t>
        </is>
      </c>
    </row>
    <row r="2251">
      <c r="A2251">
        <f>HYPERLINK("https://www.walmart.com/ip/438272084", "438272084")</f>
        <v/>
      </c>
      <c r="B2251">
        <f>HYPERLINK("https://app.optiwise.ai/catalog/itemdetails/361571", "Tirrinia  Womens Wide Brim Bucket Hats UPF 50+ Outdoor Gardening Sun Caps Dark Grey")</f>
        <v/>
      </c>
      <c r="C2251" t="inlineStr">
        <is>
          <t>1TRSH189DG-TBCB</t>
        </is>
      </c>
      <c r="D2251" t="inlineStr">
        <is>
          <t>Clothing</t>
        </is>
      </c>
      <c r="E2251" t="inlineStr">
        <is>
          <t>Hats</t>
        </is>
      </c>
      <c r="F2251" t="inlineStr">
        <is>
          <t>Tirrinia</t>
        </is>
      </c>
      <c r="G2251" t="n">
        <v>4.5</v>
      </c>
      <c r="H2251" t="n">
        <v>2</v>
      </c>
      <c r="I2251" t="inlineStr">
        <is>
          <t>Batch 1 - TR</t>
        </is>
      </c>
      <c r="J2251" s="29" t="n">
        <v>0</v>
      </c>
      <c r="K2251" s="30" t="n"/>
      <c r="L2251" s="29" t="n">
        <v>0</v>
      </c>
      <c r="M2251" s="29" t="n">
        <v>0</v>
      </c>
      <c r="N2251" s="2" t="n">
        <v>0</v>
      </c>
      <c r="O2251" s="31" t="n">
        <v>0</v>
      </c>
      <c r="P2251" s="32" t="n"/>
      <c r="Q2251" s="32" t="n">
        <v>0</v>
      </c>
      <c r="R2251" s="32" t="n">
        <v>0</v>
      </c>
      <c r="S2251" s="31" t="n">
        <v>0</v>
      </c>
      <c r="T2251" s="32" t="n">
        <v>0</v>
      </c>
      <c r="U2251" s="31" t="n">
        <v>0</v>
      </c>
      <c r="V2251" s="31" t="n">
        <v>0</v>
      </c>
      <c r="W2251" s="3" t="n">
        <v>0</v>
      </c>
      <c r="X2251" s="3" t="n">
        <v>0</v>
      </c>
      <c r="Y2251" s="32" t="n">
        <v>0</v>
      </c>
      <c r="Z2251" s="3" t="n">
        <v>0</v>
      </c>
      <c r="AA2251" s="32" t="n">
        <v>0</v>
      </c>
      <c r="AB2251" s="3" t="n"/>
      <c r="AC2251" s="31" t="n">
        <v>0</v>
      </c>
      <c r="AD2251" s="2" t="n">
        <v>0</v>
      </c>
      <c r="AE2251" s="2" t="n">
        <v>5</v>
      </c>
      <c r="AF2251" s="4" t="n">
        <v>5</v>
      </c>
      <c r="AG2251" s="33" t="n">
        <v>0</v>
      </c>
      <c r="AH2251" s="4" t="n">
        <v>0</v>
      </c>
      <c r="AI2251" s="34" t="n"/>
      <c r="AJ2251" s="34" t="n">
        <v>0</v>
      </c>
      <c r="AK2251" s="2" t="n">
        <v>0</v>
      </c>
      <c r="AL2251" t="inlineStr">
        <is>
          <t>Published</t>
        </is>
      </c>
    </row>
    <row r="2252">
      <c r="A2252">
        <f>HYPERLINK("https://www.walmart.com/ip/186654469", "186654469")</f>
        <v/>
      </c>
      <c r="B2252">
        <f>HYPERLINK("https://app.optiwise.ai/catalog/itemdetails/361569", "Solaris Winter Cable Knit Beanie Hats with Fur Pom Pom for Women Ski Cap")</f>
        <v/>
      </c>
      <c r="C2252" t="inlineStr">
        <is>
          <t>1SLPPH01GY</t>
        </is>
      </c>
      <c r="D2252" t="inlineStr">
        <is>
          <t>Clothing</t>
        </is>
      </c>
      <c r="E2252" t="inlineStr">
        <is>
          <t>Hats</t>
        </is>
      </c>
      <c r="F2252" t="inlineStr">
        <is>
          <t>Solaris</t>
        </is>
      </c>
      <c r="G2252" t="n">
        <v>0</v>
      </c>
      <c r="H2252" t="n">
        <v>0</v>
      </c>
      <c r="I2252" t="inlineStr">
        <is>
          <t>Optimized</t>
        </is>
      </c>
      <c r="J2252" s="29" t="n">
        <v>0</v>
      </c>
      <c r="K2252" s="30" t="n"/>
      <c r="L2252" s="29" t="n">
        <v>0</v>
      </c>
      <c r="M2252" s="29" t="n">
        <v>0</v>
      </c>
      <c r="N2252" s="2" t="n">
        <v>0</v>
      </c>
      <c r="O2252" s="31" t="n">
        <v>0</v>
      </c>
      <c r="P2252" s="32" t="n"/>
      <c r="Q2252" s="32" t="n">
        <v>0</v>
      </c>
      <c r="R2252" s="32" t="n">
        <v>0</v>
      </c>
      <c r="S2252" s="31" t="n">
        <v>0</v>
      </c>
      <c r="T2252" s="32" t="n">
        <v>0</v>
      </c>
      <c r="U2252" s="31" t="n">
        <v>0</v>
      </c>
      <c r="V2252" s="31" t="n">
        <v>0</v>
      </c>
      <c r="W2252" s="3" t="n">
        <v>0</v>
      </c>
      <c r="X2252" s="3" t="n">
        <v>0</v>
      </c>
      <c r="Y2252" s="32" t="n">
        <v>0</v>
      </c>
      <c r="Z2252" s="3" t="n">
        <v>0</v>
      </c>
      <c r="AA2252" s="32" t="n">
        <v>0</v>
      </c>
      <c r="AB2252" s="3" t="n"/>
      <c r="AC2252" s="31" t="n">
        <v>0</v>
      </c>
      <c r="AD2252" s="2" t="n">
        <v>0</v>
      </c>
      <c r="AE2252" s="2" t="n">
        <v>1</v>
      </c>
      <c r="AF2252" s="4" t="n">
        <v>1</v>
      </c>
      <c r="AG2252" s="33" t="n">
        <v>0</v>
      </c>
      <c r="AH2252" s="4" t="n">
        <v>0</v>
      </c>
      <c r="AI2252" s="34" t="n"/>
      <c r="AJ2252" s="34" t="n">
        <v>0</v>
      </c>
      <c r="AK2252" s="2" t="n">
        <v>0</v>
      </c>
      <c r="AL2252" t="inlineStr">
        <is>
          <t>Published</t>
        </is>
      </c>
    </row>
    <row r="2253">
      <c r="A2253">
        <f>HYPERLINK("https://www.walmart.com/ip/155885921", "155885921")</f>
        <v/>
      </c>
      <c r="B2253">
        <f>HYPERLINK("https://app.optiwise.ai/catalog/itemdetails/361563", "Fashion Light Up LED Luminous Sequin Neck Ties Changeable Colors Necktie Led Fiber Tie Flashing Tie For Male/Female")</f>
        <v/>
      </c>
      <c r="C2253" t="inlineStr">
        <is>
          <t>LEDTIE01- GD</t>
        </is>
      </c>
      <c r="D2253" t="inlineStr">
        <is>
          <t>Decorations &amp; Favors</t>
        </is>
      </c>
      <c r="E2253" t="inlineStr">
        <is>
          <t>Party Favors</t>
        </is>
      </c>
      <c r="F2253" t="inlineStr">
        <is>
          <t>JenniWears</t>
        </is>
      </c>
      <c r="G2253" t="n">
        <v>0</v>
      </c>
      <c r="H2253" t="n">
        <v>0</v>
      </c>
      <c r="I2253" t="inlineStr">
        <is>
          <t>Optimized,Halloween</t>
        </is>
      </c>
      <c r="J2253" s="29" t="n">
        <v>0</v>
      </c>
      <c r="K2253" s="30" t="n"/>
      <c r="L2253" s="29" t="n">
        <v>0</v>
      </c>
      <c r="M2253" s="29" t="n">
        <v>0</v>
      </c>
      <c r="N2253" s="2" t="n">
        <v>0</v>
      </c>
      <c r="O2253" s="31" t="n">
        <v>0</v>
      </c>
      <c r="P2253" s="32" t="n"/>
      <c r="Q2253" s="32" t="n">
        <v>0</v>
      </c>
      <c r="R2253" s="32" t="n">
        <v>0</v>
      </c>
      <c r="S2253" s="31" t="n">
        <v>0</v>
      </c>
      <c r="T2253" s="32" t="n">
        <v>0</v>
      </c>
      <c r="U2253" s="31" t="n">
        <v>0</v>
      </c>
      <c r="V2253" s="31" t="n">
        <v>0</v>
      </c>
      <c r="W2253" s="3" t="n">
        <v>0</v>
      </c>
      <c r="X2253" s="3" t="n">
        <v>0</v>
      </c>
      <c r="Y2253" s="32" t="n">
        <v>0</v>
      </c>
      <c r="Z2253" s="3" t="n">
        <v>0</v>
      </c>
      <c r="AA2253" s="32" t="n">
        <v>0</v>
      </c>
      <c r="AB2253" s="3" t="n"/>
      <c r="AC2253" s="31" t="n">
        <v>0</v>
      </c>
      <c r="AD2253" s="2" t="n">
        <v>0</v>
      </c>
      <c r="AE2253" s="2" t="n">
        <v>4</v>
      </c>
      <c r="AF2253" s="4" t="n">
        <v>4</v>
      </c>
      <c r="AG2253" s="33" t="n">
        <v>0</v>
      </c>
      <c r="AH2253" s="4" t="n">
        <v>0</v>
      </c>
      <c r="AI2253" s="34" t="n"/>
      <c r="AJ2253" s="34" t="n">
        <v>0</v>
      </c>
      <c r="AK2253" s="2" t="n">
        <v>0</v>
      </c>
      <c r="AL2253" t="inlineStr">
        <is>
          <t>Published</t>
        </is>
      </c>
    </row>
    <row r="2254">
      <c r="A2254">
        <f>HYPERLINK("https://www.walmart.com/ip/137619751", "137619751")</f>
        <v/>
      </c>
      <c r="B2254">
        <f>HYPERLINK("https://app.optiwise.ai/catalog/itemdetails/361561", "Deluxe Classic Suede Bill Baseball Cap with Leather Strap Closure")</f>
        <v/>
      </c>
      <c r="C2254" t="inlineStr">
        <is>
          <t>KC-S6300-RD/BK</t>
        </is>
      </c>
      <c r="D2254" t="inlineStr">
        <is>
          <t>Clothing</t>
        </is>
      </c>
      <c r="E2254" t="inlineStr">
        <is>
          <t>Hats</t>
        </is>
      </c>
      <c r="F2254" t="inlineStr">
        <is>
          <t>KC Caps</t>
        </is>
      </c>
      <c r="G2254" t="n">
        <v>0</v>
      </c>
      <c r="H2254" t="n">
        <v>0</v>
      </c>
      <c r="I2254" t="inlineStr">
        <is>
          <t>Optimized</t>
        </is>
      </c>
      <c r="J2254" s="29" t="n">
        <v>0</v>
      </c>
      <c r="K2254" s="30" t="n"/>
      <c r="L2254" s="29" t="n">
        <v>0</v>
      </c>
      <c r="M2254" s="29" t="n">
        <v>0</v>
      </c>
      <c r="N2254" s="2" t="n">
        <v>0</v>
      </c>
      <c r="O2254" s="31" t="n">
        <v>0</v>
      </c>
      <c r="P2254" s="32" t="n"/>
      <c r="Q2254" s="32" t="n">
        <v>0</v>
      </c>
      <c r="R2254" s="32" t="n">
        <v>0</v>
      </c>
      <c r="S2254" s="31" t="n">
        <v>0</v>
      </c>
      <c r="T2254" s="32" t="n">
        <v>0</v>
      </c>
      <c r="U2254" s="31" t="n">
        <v>0</v>
      </c>
      <c r="V2254" s="31" t="n">
        <v>0</v>
      </c>
      <c r="W2254" s="3" t="n">
        <v>0</v>
      </c>
      <c r="X2254" s="3" t="n">
        <v>0</v>
      </c>
      <c r="Y2254" s="32" t="n">
        <v>0</v>
      </c>
      <c r="Z2254" s="3" t="n">
        <v>0</v>
      </c>
      <c r="AA2254" s="32" t="n">
        <v>0</v>
      </c>
      <c r="AB2254" s="3" t="n"/>
      <c r="AC2254" s="31" t="n">
        <v>0</v>
      </c>
      <c r="AD2254" s="2" t="n">
        <v>0</v>
      </c>
      <c r="AE2254" s="2" t="n">
        <v>2</v>
      </c>
      <c r="AF2254" s="4" t="n">
        <v>2</v>
      </c>
      <c r="AG2254" s="33" t="n">
        <v>0</v>
      </c>
      <c r="AH2254" s="4" t="n">
        <v>0</v>
      </c>
      <c r="AI2254" s="34" t="n"/>
      <c r="AJ2254" s="34" t="n">
        <v>0</v>
      </c>
      <c r="AK2254" s="2" t="n">
        <v>0</v>
      </c>
      <c r="AL2254" t="inlineStr">
        <is>
          <t>Published</t>
        </is>
      </c>
    </row>
    <row r="2255">
      <c r="A2255">
        <f>HYPERLINK("https://www.walmart.com/ip/189975805", "189975805")</f>
        <v/>
      </c>
      <c r="B2255">
        <f>HYPERLINK("https://app.optiwise.ai/catalog/itemdetails/361559", "kc caps adjustable two tone heavy washed cotton twill low profile mesh retro cap")</f>
        <v/>
      </c>
      <c r="C2255" t="inlineStr">
        <is>
          <t>KCCAPSSZK641KH/ST</t>
        </is>
      </c>
      <c r="D2255" t="inlineStr">
        <is>
          <t>Clothing</t>
        </is>
      </c>
      <c r="E2255" t="inlineStr">
        <is>
          <t>Hats</t>
        </is>
      </c>
      <c r="F2255" t="inlineStr">
        <is>
          <t>KC Caps</t>
        </is>
      </c>
      <c r="G2255" t="n">
        <v>0</v>
      </c>
      <c r="H2255" t="n">
        <v>0</v>
      </c>
      <c r="I2255" t="inlineStr">
        <is>
          <t>Optimized</t>
        </is>
      </c>
      <c r="J2255" s="29" t="n">
        <v>0</v>
      </c>
      <c r="K2255" s="30" t="n"/>
      <c r="L2255" s="29" t="n">
        <v>0</v>
      </c>
      <c r="M2255" s="29" t="n">
        <v>0</v>
      </c>
      <c r="N2255" s="2" t="n">
        <v>0</v>
      </c>
      <c r="O2255" s="31" t="n">
        <v>0</v>
      </c>
      <c r="P2255" s="32" t="n"/>
      <c r="Q2255" s="32" t="n">
        <v>0</v>
      </c>
      <c r="R2255" s="32" t="n">
        <v>0</v>
      </c>
      <c r="S2255" s="31" t="n">
        <v>0</v>
      </c>
      <c r="T2255" s="32" t="n">
        <v>0</v>
      </c>
      <c r="U2255" s="31" t="n">
        <v>0</v>
      </c>
      <c r="V2255" s="31" t="n">
        <v>0</v>
      </c>
      <c r="W2255" s="3" t="n">
        <v>0</v>
      </c>
      <c r="X2255" s="3" t="n">
        <v>0</v>
      </c>
      <c r="Y2255" s="32" t="n">
        <v>0</v>
      </c>
      <c r="Z2255" s="3" t="n">
        <v>0</v>
      </c>
      <c r="AA2255" s="32" t="n">
        <v>0</v>
      </c>
      <c r="AB2255" s="3" t="n"/>
      <c r="AC2255" s="31" t="n">
        <v>0</v>
      </c>
      <c r="AD2255" s="2" t="n">
        <v>0</v>
      </c>
      <c r="AE2255" s="2" t="n">
        <v>4</v>
      </c>
      <c r="AF2255" s="4" t="n">
        <v>4</v>
      </c>
      <c r="AG2255" s="33" t="n">
        <v>0</v>
      </c>
      <c r="AH2255" s="4" t="n">
        <v>0</v>
      </c>
      <c r="AI2255" s="34" t="n"/>
      <c r="AJ2255" s="34" t="n">
        <v>0</v>
      </c>
      <c r="AK2255" s="2" t="n">
        <v>0</v>
      </c>
      <c r="AL2255" t="inlineStr">
        <is>
          <t>Published</t>
        </is>
      </c>
    </row>
    <row r="2256">
      <c r="A2256">
        <f>HYPERLINK("https://www.walmart.com/ip/665536454", "665536454")</f>
        <v/>
      </c>
      <c r="B2256">
        <f>HYPERLINK("https://app.optiwise.ai/catalog/itemdetails/361551", "Kato Insulated Wine Carrier Tote - 4 Bottle Travel Padded Wine Carrying Cooler Bag with Handle and Adjustable Shoulder Strap, Great Gift for Wine Lover, Beige")</f>
        <v/>
      </c>
      <c r="C2256" t="inlineStr">
        <is>
          <t>1KTWB420BG</t>
        </is>
      </c>
      <c r="D2256" t="inlineStr">
        <is>
          <t>Home Decor, Kitchen, &amp; Other</t>
        </is>
      </c>
      <c r="E2256" t="inlineStr">
        <is>
          <t>Wine Totes, Bags &amp; Backpacks</t>
        </is>
      </c>
      <c r="F2256" t="inlineStr">
        <is>
          <t>Kato</t>
        </is>
      </c>
      <c r="G2256" t="n">
        <v>0</v>
      </c>
      <c r="H2256" t="n">
        <v>0</v>
      </c>
      <c r="I2256" t="inlineStr">
        <is>
          <t>Wine,Christmas,Valentine</t>
        </is>
      </c>
      <c r="J2256" s="29" t="n">
        <v>0</v>
      </c>
      <c r="K2256" s="30" t="n"/>
      <c r="L2256" s="29" t="n">
        <v>0</v>
      </c>
      <c r="M2256" s="29" t="n">
        <v>0</v>
      </c>
      <c r="N2256" s="2" t="n">
        <v>0</v>
      </c>
      <c r="O2256" s="31" t="n">
        <v>6.320000000000001</v>
      </c>
      <c r="P2256" s="32" t="n">
        <v>0.0008</v>
      </c>
      <c r="Q2256" s="32" t="n">
        <v>0</v>
      </c>
      <c r="R2256" s="32" t="n">
        <v>0</v>
      </c>
      <c r="S2256" s="31" t="n">
        <v>0</v>
      </c>
      <c r="T2256" s="32" t="n">
        <v>0</v>
      </c>
      <c r="U2256" s="31" t="n">
        <v>0</v>
      </c>
      <c r="V2256" s="31" t="n">
        <v>0</v>
      </c>
      <c r="W2256" s="3" t="n">
        <v>9844</v>
      </c>
      <c r="X2256" s="3" t="n">
        <v>14</v>
      </c>
      <c r="Y2256" s="32" t="n">
        <v>0.0014</v>
      </c>
      <c r="Z2256" s="3" t="n">
        <v>0</v>
      </c>
      <c r="AA2256" s="32" t="n">
        <v>0</v>
      </c>
      <c r="AB2256" s="3" t="inlineStr">
        <is>
          <t>Auto Campaign_Vinay</t>
        </is>
      </c>
      <c r="AC2256" s="31" t="n">
        <v>0.45</v>
      </c>
      <c r="AD2256" s="2" t="n">
        <v>0</v>
      </c>
      <c r="AE2256" s="2" t="n">
        <v>48</v>
      </c>
      <c r="AF2256" s="4" t="n">
        <v>34</v>
      </c>
      <c r="AG2256" s="33" t="n">
        <v>0</v>
      </c>
      <c r="AH2256" s="4" t="n">
        <v>0</v>
      </c>
      <c r="AI2256" s="34" t="n"/>
      <c r="AJ2256" s="34" t="n">
        <v>0</v>
      </c>
      <c r="AK2256" s="2" t="n">
        <v>0</v>
      </c>
      <c r="AL2256" t="inlineStr">
        <is>
          <t>Published</t>
        </is>
      </c>
    </row>
    <row r="2257">
      <c r="A2257">
        <f>HYPERLINK("https://www.walmart.com/ip/847414691", "847414691")</f>
        <v/>
      </c>
      <c r="B2257">
        <f>HYPERLINK("https://app.optiwise.ai/catalog/itemdetails/361550", "Tirrinia Insulated 2 Bottle Wine Carrier Tote Cooler Bag for Travel Picnic Padded Champagne Glass")</f>
        <v/>
      </c>
      <c r="C2257" t="inlineStr">
        <is>
          <t>1WMWB231CHEETAH</t>
        </is>
      </c>
      <c r="D2257" t="inlineStr">
        <is>
          <t>Home Decor, Kitchen, &amp; Other</t>
        </is>
      </c>
      <c r="E2257" t="inlineStr">
        <is>
          <t>Wine Totes, Bags &amp; Backpacks</t>
        </is>
      </c>
      <c r="F2257" t="inlineStr">
        <is>
          <t>Flyingstar</t>
        </is>
      </c>
      <c r="G2257" t="n">
        <v>0</v>
      </c>
      <c r="H2257" t="n">
        <v>0</v>
      </c>
      <c r="I2257" t="inlineStr">
        <is>
          <t>Wine,Christmas,Valentine,SEM</t>
        </is>
      </c>
      <c r="J2257" s="29" t="n">
        <v>0</v>
      </c>
      <c r="K2257" s="30" t="n"/>
      <c r="L2257" s="29" t="n">
        <v>0</v>
      </c>
      <c r="M2257" s="29" t="n">
        <v>0</v>
      </c>
      <c r="N2257" s="2" t="n">
        <v>0</v>
      </c>
      <c r="O2257" s="31" t="n">
        <v>0</v>
      </c>
      <c r="P2257" s="32" t="n"/>
      <c r="Q2257" s="32" t="n">
        <v>0</v>
      </c>
      <c r="R2257" s="32" t="n">
        <v>0</v>
      </c>
      <c r="S2257" s="31" t="n">
        <v>0</v>
      </c>
      <c r="T2257" s="32" t="n">
        <v>0</v>
      </c>
      <c r="U2257" s="31" t="n">
        <v>0</v>
      </c>
      <c r="V2257" s="31" t="n">
        <v>0</v>
      </c>
      <c r="W2257" s="3" t="n">
        <v>0</v>
      </c>
      <c r="X2257" s="3" t="n">
        <v>0</v>
      </c>
      <c r="Y2257" s="32" t="n">
        <v>0</v>
      </c>
      <c r="Z2257" s="3" t="n">
        <v>0</v>
      </c>
      <c r="AA2257" s="32" t="n">
        <v>0</v>
      </c>
      <c r="AB2257" s="3" t="n"/>
      <c r="AC2257" s="31" t="n">
        <v>0</v>
      </c>
      <c r="AD2257" s="2" t="n">
        <v>0</v>
      </c>
      <c r="AE2257" s="2" t="n">
        <v>2</v>
      </c>
      <c r="AF2257" s="4" t="n">
        <v>2</v>
      </c>
      <c r="AG2257" s="33" t="n">
        <v>0</v>
      </c>
      <c r="AH2257" s="4" t="n">
        <v>0</v>
      </c>
      <c r="AI2257" s="34" t="n"/>
      <c r="AJ2257" s="34" t="n">
        <v>0</v>
      </c>
      <c r="AK2257" s="2" t="n">
        <v>0</v>
      </c>
      <c r="AL2257" t="inlineStr">
        <is>
          <t>Published</t>
        </is>
      </c>
    </row>
    <row r="2258">
      <c r="A2258">
        <f>HYPERLINK("https://www.walmart.com/ip/273667626", "273667626")</f>
        <v/>
      </c>
      <c r="B2258">
        <f>HYPERLINK("https://app.optiwise.ai/catalog/itemdetails/361549", "Sherpa Slipper Socks for Women,Winter Indoor Home Non Skid Booties")</f>
        <v/>
      </c>
      <c r="C2258" t="inlineStr">
        <is>
          <t>1CTST200WN-1</t>
        </is>
      </c>
      <c r="D2258" t="inlineStr">
        <is>
          <t>Clothing</t>
        </is>
      </c>
      <c r="E2258" t="inlineStr">
        <is>
          <t>Socks</t>
        </is>
      </c>
      <c r="F2258" t="inlineStr">
        <is>
          <t>Catalonia</t>
        </is>
      </c>
      <c r="G2258" t="n">
        <v>0</v>
      </c>
      <c r="H2258" t="n">
        <v>0</v>
      </c>
      <c r="I2258" t="inlineStr">
        <is>
          <t>WFS,WFS Item</t>
        </is>
      </c>
      <c r="J2258" s="29" t="n">
        <v>0</v>
      </c>
      <c r="K2258" s="30" t="n"/>
      <c r="L2258" s="29" t="n">
        <v>0</v>
      </c>
      <c r="M2258" s="29" t="n">
        <v>0</v>
      </c>
      <c r="N2258" s="2" t="n">
        <v>0</v>
      </c>
      <c r="O2258" s="31" t="n">
        <v>0</v>
      </c>
      <c r="P2258" s="32" t="n"/>
      <c r="Q2258" s="32" t="n">
        <v>0</v>
      </c>
      <c r="R2258" s="32" t="n">
        <v>0</v>
      </c>
      <c r="S2258" s="31" t="n">
        <v>0</v>
      </c>
      <c r="T2258" s="32" t="n">
        <v>0</v>
      </c>
      <c r="U2258" s="31" t="n">
        <v>0</v>
      </c>
      <c r="V2258" s="31" t="n">
        <v>0</v>
      </c>
      <c r="W2258" s="3" t="n">
        <v>0</v>
      </c>
      <c r="X2258" s="3" t="n">
        <v>0</v>
      </c>
      <c r="Y2258" s="32" t="n">
        <v>0</v>
      </c>
      <c r="Z2258" s="3" t="n">
        <v>0</v>
      </c>
      <c r="AA2258" s="32" t="n">
        <v>0</v>
      </c>
      <c r="AB2258" s="3" t="n"/>
      <c r="AC2258" s="31" t="n">
        <v>0</v>
      </c>
      <c r="AD2258" s="2" t="n">
        <v>0</v>
      </c>
      <c r="AE2258" s="2" t="n">
        <v>3</v>
      </c>
      <c r="AF2258" s="4" t="n">
        <v>3</v>
      </c>
      <c r="AG2258" s="33" t="n">
        <v>0</v>
      </c>
      <c r="AH2258" s="4" t="n">
        <v>0</v>
      </c>
      <c r="AI2258" s="34" t="n"/>
      <c r="AJ2258" s="34" t="n">
        <v>0</v>
      </c>
      <c r="AK2258" s="2" t="n">
        <v>0</v>
      </c>
      <c r="AL2258" t="inlineStr">
        <is>
          <t>Published</t>
        </is>
      </c>
    </row>
    <row r="2259">
      <c r="A2259">
        <f>HYPERLINK("https://www.walmart.com/ip/918970017", "918970017")</f>
        <v/>
      </c>
      <c r="B2259">
        <f>HYPERLINK("https://app.optiwise.ai/catalog/itemdetails/361544", "Unisex Hunting Cap Orange Polyester Embroidery Animal Outdoor Wildlife Sport Cap")</f>
        <v/>
      </c>
      <c r="C2259" t="inlineStr">
        <is>
          <t>KC Caps ht32</t>
        </is>
      </c>
      <c r="D2259" t="inlineStr">
        <is>
          <t>Clothing</t>
        </is>
      </c>
      <c r="E2259" t="inlineStr">
        <is>
          <t>Hats</t>
        </is>
      </c>
      <c r="F2259" t="inlineStr">
        <is>
          <t>KC Caps</t>
        </is>
      </c>
      <c r="G2259" t="n">
        <v>0</v>
      </c>
      <c r="H2259" t="n">
        <v>0</v>
      </c>
      <c r="I2259" t="inlineStr">
        <is>
          <t>Optimized</t>
        </is>
      </c>
      <c r="J2259" s="29" t="n">
        <v>0</v>
      </c>
      <c r="K2259" s="30" t="n"/>
      <c r="L2259" s="29" t="n">
        <v>0</v>
      </c>
      <c r="M2259" s="29" t="n">
        <v>0</v>
      </c>
      <c r="N2259" s="2" t="n">
        <v>0</v>
      </c>
      <c r="O2259" s="31" t="n">
        <v>0</v>
      </c>
      <c r="P2259" s="32" t="n"/>
      <c r="Q2259" s="32" t="n">
        <v>0</v>
      </c>
      <c r="R2259" s="32" t="n">
        <v>0</v>
      </c>
      <c r="S2259" s="31" t="n">
        <v>0</v>
      </c>
      <c r="T2259" s="32" t="n">
        <v>0</v>
      </c>
      <c r="U2259" s="31" t="n">
        <v>0</v>
      </c>
      <c r="V2259" s="31" t="n">
        <v>0</v>
      </c>
      <c r="W2259" s="3" t="n">
        <v>0</v>
      </c>
      <c r="X2259" s="3" t="n">
        <v>0</v>
      </c>
      <c r="Y2259" s="32" t="n">
        <v>0</v>
      </c>
      <c r="Z2259" s="3" t="n">
        <v>0</v>
      </c>
      <c r="AA2259" s="32" t="n">
        <v>0</v>
      </c>
      <c r="AB2259" s="3" t="n"/>
      <c r="AC2259" s="31" t="n">
        <v>0</v>
      </c>
      <c r="AD2259" s="2" t="n">
        <v>0</v>
      </c>
      <c r="AE2259" s="2" t="n">
        <v>7</v>
      </c>
      <c r="AF2259" s="4" t="n">
        <v>7</v>
      </c>
      <c r="AG2259" s="33" t="n">
        <v>0</v>
      </c>
      <c r="AH2259" s="4" t="n">
        <v>0</v>
      </c>
      <c r="AI2259" s="34" t="n"/>
      <c r="AJ2259" s="34" t="n">
        <v>0</v>
      </c>
      <c r="AK2259" s="2" t="n">
        <v>0</v>
      </c>
      <c r="AL2259" t="inlineStr">
        <is>
          <t>Published</t>
        </is>
      </c>
    </row>
    <row r="2260">
      <c r="A2260">
        <f>HYPERLINK("https://www.walmart.com/ip/532076410", "532076410")</f>
        <v/>
      </c>
      <c r="B2260">
        <f>HYPERLINK("https://app.optiwise.ai/catalog/itemdetails/361815", "Catalonia Sherpa Blanket, National Flag Print Patriotic Plush Super Soft Warm Reversible Polar Fleece Throws for Living Room Decoration 50x60 inches")</f>
        <v/>
      </c>
      <c r="C2260" t="inlineStr">
        <is>
          <t>1CTBF300UK</t>
        </is>
      </c>
      <c r="D2260" t="inlineStr">
        <is>
          <t>Bedding</t>
        </is>
      </c>
      <c r="E2260" t="inlineStr">
        <is>
          <t>Throws</t>
        </is>
      </c>
      <c r="F2260" t="inlineStr">
        <is>
          <t>Catalonia</t>
        </is>
      </c>
      <c r="G2260" t="n">
        <v>4.8</v>
      </c>
      <c r="H2260" t="n">
        <v>4</v>
      </c>
      <c r="I2260" t="inlineStr">
        <is>
          <t>Batch 1 - TR</t>
        </is>
      </c>
      <c r="J2260" s="29" t="n">
        <v>0</v>
      </c>
      <c r="K2260" s="30" t="n"/>
      <c r="L2260" s="29" t="n">
        <v>0</v>
      </c>
      <c r="M2260" s="29" t="n">
        <v>0</v>
      </c>
      <c r="N2260" s="2" t="n">
        <v>0</v>
      </c>
      <c r="O2260" s="31" t="n">
        <v>0</v>
      </c>
      <c r="P2260" s="32" t="n"/>
      <c r="Q2260" s="32" t="n">
        <v>0</v>
      </c>
      <c r="R2260" s="32" t="n">
        <v>0</v>
      </c>
      <c r="S2260" s="31" t="n">
        <v>0</v>
      </c>
      <c r="T2260" s="32" t="n">
        <v>0</v>
      </c>
      <c r="U2260" s="31" t="n">
        <v>0</v>
      </c>
      <c r="V2260" s="31" t="n">
        <v>0</v>
      </c>
      <c r="W2260" s="3" t="n">
        <v>0</v>
      </c>
      <c r="X2260" s="3" t="n">
        <v>0</v>
      </c>
      <c r="Y2260" s="32" t="n">
        <v>0</v>
      </c>
      <c r="Z2260" s="3" t="n">
        <v>0</v>
      </c>
      <c r="AA2260" s="32" t="n">
        <v>0</v>
      </c>
      <c r="AB2260" s="3" t="n"/>
      <c r="AC2260" s="31" t="n">
        <v>0</v>
      </c>
      <c r="AD2260" s="2" t="n">
        <v>0</v>
      </c>
      <c r="AE2260" s="2" t="n">
        <v>8</v>
      </c>
      <c r="AF2260" s="4" t="n">
        <v>8</v>
      </c>
      <c r="AG2260" s="33" t="n">
        <v>0</v>
      </c>
      <c r="AH2260" s="4" t="n">
        <v>0</v>
      </c>
      <c r="AI2260" s="34" t="n"/>
      <c r="AJ2260" s="34" t="n">
        <v>0</v>
      </c>
      <c r="AK2260" s="2" t="n">
        <v>0</v>
      </c>
      <c r="AL2260" t="inlineStr">
        <is>
          <t>Published</t>
        </is>
      </c>
    </row>
    <row r="2261">
      <c r="A2261">
        <f>HYPERLINK("https://www.walmart.com/ip/193064340", "193064340")</f>
        <v/>
      </c>
      <c r="B2261">
        <f>HYPERLINK("https://app.optiwise.ai/catalog/itemdetails/361800", "Tirrinia Blue Buffalo Plaid Fleece Blanket TV Throw 50 x 60, Super Soft Warm Comfy Flannel Fleece Bedding Couch Cabin Throw Decorative Blankets")</f>
        <v/>
      </c>
      <c r="C2261" t="inlineStr">
        <is>
          <t>1TRBF576PBL</t>
        </is>
      </c>
      <c r="D2261" t="inlineStr">
        <is>
          <t>Bedding</t>
        </is>
      </c>
      <c r="E2261" t="inlineStr">
        <is>
          <t>Throws</t>
        </is>
      </c>
      <c r="F2261" t="inlineStr">
        <is>
          <t>Tirrinia</t>
        </is>
      </c>
      <c r="G2261" t="n">
        <v>0</v>
      </c>
      <c r="H2261" t="n">
        <v>0</v>
      </c>
      <c r="I2261" t="inlineStr">
        <is>
          <t>Q2-Target,WFS,Coupon_Discount,WFS Item,Fleece Blankets</t>
        </is>
      </c>
      <c r="J2261" s="29" t="n">
        <v>0</v>
      </c>
      <c r="K2261" s="30" t="n"/>
      <c r="L2261" s="29" t="n">
        <v>0</v>
      </c>
      <c r="M2261" s="29" t="n">
        <v>0</v>
      </c>
      <c r="N2261" s="2" t="n">
        <v>0</v>
      </c>
      <c r="O2261" s="31" t="n">
        <v>0</v>
      </c>
      <c r="P2261" s="32" t="n"/>
      <c r="Q2261" s="32" t="n">
        <v>0</v>
      </c>
      <c r="R2261" s="32" t="n">
        <v>0</v>
      </c>
      <c r="S2261" s="31" t="n">
        <v>0</v>
      </c>
      <c r="T2261" s="32" t="n">
        <v>0</v>
      </c>
      <c r="U2261" s="31" t="n">
        <v>0</v>
      </c>
      <c r="V2261" s="31" t="n">
        <v>0</v>
      </c>
      <c r="W2261" s="3" t="n">
        <v>0</v>
      </c>
      <c r="X2261" s="3" t="n">
        <v>0</v>
      </c>
      <c r="Y2261" s="32" t="n">
        <v>0</v>
      </c>
      <c r="Z2261" s="3" t="n">
        <v>0</v>
      </c>
      <c r="AA2261" s="32" t="n">
        <v>0</v>
      </c>
      <c r="AB2261" s="3" t="n"/>
      <c r="AC2261" s="31" t="n">
        <v>0</v>
      </c>
      <c r="AD2261" s="2" t="n">
        <v>0</v>
      </c>
      <c r="AE2261" s="2" t="n">
        <v>38</v>
      </c>
      <c r="AF2261" s="4" t="n">
        <v>38</v>
      </c>
      <c r="AG2261" s="33" t="n">
        <v>0</v>
      </c>
      <c r="AH2261" s="4" t="n">
        <v>0</v>
      </c>
      <c r="AI2261" s="34" t="n"/>
      <c r="AJ2261" s="34" t="n">
        <v>0</v>
      </c>
      <c r="AK2261" s="2" t="n">
        <v>0</v>
      </c>
      <c r="AL2261" t="inlineStr">
        <is>
          <t>Published</t>
        </is>
      </c>
    </row>
    <row r="2262">
      <c r="A2262">
        <f>HYPERLINK("https://www.walmart.com/ip/16407005205", "16407005205")</f>
        <v/>
      </c>
      <c r="B2262">
        <f>HYPERLINK("https://app.optiwise.ai/catalog/itemdetails/20226560", "Catalonia Lightweight Ladies Bathrobe, Long Summer Robe with Pockets,Soft Summer Robes for Women, Kimono Gift for Her, Green")</f>
        <v/>
      </c>
      <c r="C2262" t="inlineStr">
        <is>
          <t>1CTRB504GN-2</t>
        </is>
      </c>
      <c r="D2262" t="inlineStr">
        <is>
          <t>Clothing</t>
        </is>
      </c>
      <c r="E2262" t="inlineStr">
        <is>
          <t>Sleepwear Robes &amp; Bathrobes</t>
        </is>
      </c>
      <c r="F2262" t="inlineStr">
        <is>
          <t>Catalonia</t>
        </is>
      </c>
      <c r="G2262" t="n">
        <v>0</v>
      </c>
      <c r="H2262" t="n">
        <v>0</v>
      </c>
      <c r="J2262" s="29" t="n">
        <v>0</v>
      </c>
      <c r="K2262" s="30" t="n"/>
      <c r="L2262" s="29" t="n">
        <v>0</v>
      </c>
      <c r="M2262" s="29" t="n">
        <v>0</v>
      </c>
      <c r="N2262" s="2" t="n">
        <v>0</v>
      </c>
      <c r="O2262" s="31" t="n">
        <v>0</v>
      </c>
      <c r="P2262" s="32" t="n"/>
      <c r="Q2262" s="32" t="n">
        <v>0</v>
      </c>
      <c r="R2262" s="32" t="n">
        <v>0</v>
      </c>
      <c r="S2262" s="31" t="n">
        <v>0</v>
      </c>
      <c r="T2262" s="32" t="n">
        <v>0</v>
      </c>
      <c r="U2262" s="31" t="n">
        <v>0</v>
      </c>
      <c r="V2262" s="31" t="n">
        <v>0</v>
      </c>
      <c r="W2262" s="3" t="n">
        <v>0</v>
      </c>
      <c r="X2262" s="3" t="n">
        <v>0</v>
      </c>
      <c r="Y2262" s="32" t="n">
        <v>0</v>
      </c>
      <c r="Z2262" s="3" t="n">
        <v>0</v>
      </c>
      <c r="AA2262" s="32" t="n">
        <v>0</v>
      </c>
      <c r="AB2262" s="3" t="n"/>
      <c r="AC2262" s="31" t="n">
        <v>0</v>
      </c>
      <c r="AD2262" s="2" t="n">
        <v>0</v>
      </c>
      <c r="AE2262" s="2" t="n">
        <v>0</v>
      </c>
      <c r="AF2262" s="4" t="n">
        <v>0</v>
      </c>
      <c r="AG2262" s="33" t="n">
        <v>0</v>
      </c>
      <c r="AH2262" s="4" t="n">
        <v>0</v>
      </c>
      <c r="AI2262" s="34" t="n"/>
      <c r="AJ2262" s="34" t="n">
        <v>0</v>
      </c>
      <c r="AK2262" s="2" t="n">
        <v>0</v>
      </c>
      <c r="AL2262" t="inlineStr">
        <is>
          <t>Published</t>
        </is>
      </c>
    </row>
    <row r="2263">
      <c r="A2263">
        <f>HYPERLINK("https://www.walmart.com/ip/110405877", "110405877")</f>
        <v/>
      </c>
      <c r="B2263">
        <f>HYPERLINK("https://app.optiwise.ai/catalog/itemdetails/362026", "Sherpa Wearable Blanket with Sleeves &amp; Foot Pockets for Adult Women Men, Comfy Snuggle Wrap Sleeved Throw Blanket Robe, Gift Idea, Wine")</f>
        <v/>
      </c>
      <c r="C2263" t="inlineStr">
        <is>
          <t>1CTSN310WN</t>
        </is>
      </c>
      <c r="D2263" t="inlineStr">
        <is>
          <t>Bedding</t>
        </is>
      </c>
      <c r="E2263" t="inlineStr">
        <is>
          <t>Throws</t>
        </is>
      </c>
      <c r="F2263" t="inlineStr">
        <is>
          <t>Catalonia</t>
        </is>
      </c>
      <c r="G2263" t="n">
        <v>0</v>
      </c>
      <c r="H2263" t="n">
        <v>0</v>
      </c>
      <c r="I2263" t="inlineStr">
        <is>
          <t>Optimized,WFS,WFS Item</t>
        </is>
      </c>
      <c r="J2263" s="29" t="n">
        <v>0</v>
      </c>
      <c r="K2263" s="30" t="n"/>
      <c r="L2263" s="29" t="n">
        <v>0</v>
      </c>
      <c r="M2263" s="29" t="n">
        <v>0</v>
      </c>
      <c r="N2263" s="2" t="n">
        <v>0</v>
      </c>
      <c r="O2263" s="31" t="n">
        <v>0</v>
      </c>
      <c r="P2263" s="32" t="n"/>
      <c r="Q2263" s="32" t="n">
        <v>0</v>
      </c>
      <c r="R2263" s="32" t="n">
        <v>0</v>
      </c>
      <c r="S2263" s="31" t="n">
        <v>0</v>
      </c>
      <c r="T2263" s="32" t="n">
        <v>0</v>
      </c>
      <c r="U2263" s="31" t="n">
        <v>0</v>
      </c>
      <c r="V2263" s="31" t="n">
        <v>0</v>
      </c>
      <c r="W2263" s="3" t="n">
        <v>0</v>
      </c>
      <c r="X2263" s="3" t="n">
        <v>0</v>
      </c>
      <c r="Y2263" s="32" t="n">
        <v>0</v>
      </c>
      <c r="Z2263" s="3" t="n">
        <v>0</v>
      </c>
      <c r="AA2263" s="32" t="n">
        <v>0</v>
      </c>
      <c r="AB2263" s="3" t="n"/>
      <c r="AC2263" s="31" t="n">
        <v>0</v>
      </c>
      <c r="AD2263" s="2" t="n">
        <v>0</v>
      </c>
      <c r="AE2263" s="2" t="n">
        <v>27</v>
      </c>
      <c r="AF2263" s="4" t="n">
        <v>27</v>
      </c>
      <c r="AG2263" s="33" t="n">
        <v>0</v>
      </c>
      <c r="AH2263" s="4" t="n">
        <v>0</v>
      </c>
      <c r="AI2263" s="34" t="n"/>
      <c r="AJ2263" s="34" t="n">
        <v>0</v>
      </c>
      <c r="AK2263" s="2" t="n">
        <v>0</v>
      </c>
      <c r="AL2263" t="inlineStr">
        <is>
          <t>Published</t>
        </is>
      </c>
    </row>
    <row r="2264">
      <c r="A2264">
        <f>HYPERLINK("https://www.walmart.com/ip/569409923", "569409923")</f>
        <v/>
      </c>
      <c r="B2264">
        <f>HYPERLINK("https://app.optiwise.ai/catalog/itemdetails/362119", "Super Soft Sherpa Throw Blanket Plaid 50 x 60 Reversible Fuzzy Micro Plush All Season Fleece TV Blanket for Bed or Couch Red")</f>
        <v/>
      </c>
      <c r="C2264" t="inlineStr">
        <is>
          <t>1TRBF562PRD-TBCB</t>
        </is>
      </c>
      <c r="D2264" t="inlineStr">
        <is>
          <t>Bedding</t>
        </is>
      </c>
      <c r="E2264" t="inlineStr">
        <is>
          <t>Throws</t>
        </is>
      </c>
      <c r="F2264" t="inlineStr">
        <is>
          <t>Tirrinia</t>
        </is>
      </c>
      <c r="G2264" t="n">
        <v>0</v>
      </c>
      <c r="H2264" t="n">
        <v>0</v>
      </c>
      <c r="I2264" t="inlineStr">
        <is>
          <t>Q2-Target,Optimized,Coupon_Discount</t>
        </is>
      </c>
      <c r="J2264" s="29" t="n">
        <v>0</v>
      </c>
      <c r="K2264" s="30" t="n"/>
      <c r="L2264" s="29" t="n">
        <v>0</v>
      </c>
      <c r="M2264" s="29" t="n">
        <v>0</v>
      </c>
      <c r="N2264" s="2" t="n">
        <v>0</v>
      </c>
      <c r="O2264" s="31" t="n">
        <v>0</v>
      </c>
      <c r="P2264" s="32" t="n"/>
      <c r="Q2264" s="32" t="n">
        <v>0</v>
      </c>
      <c r="R2264" s="32" t="n">
        <v>0</v>
      </c>
      <c r="S2264" s="31" t="n">
        <v>0</v>
      </c>
      <c r="T2264" s="32" t="n">
        <v>0</v>
      </c>
      <c r="U2264" s="31" t="n">
        <v>0</v>
      </c>
      <c r="V2264" s="31" t="n">
        <v>0</v>
      </c>
      <c r="W2264" s="3" t="n">
        <v>0</v>
      </c>
      <c r="X2264" s="3" t="n">
        <v>0</v>
      </c>
      <c r="Y2264" s="32" t="n">
        <v>0</v>
      </c>
      <c r="Z2264" s="3" t="n">
        <v>0</v>
      </c>
      <c r="AA2264" s="32" t="n">
        <v>0</v>
      </c>
      <c r="AB2264" s="3" t="n"/>
      <c r="AC2264" s="31" t="n">
        <v>0</v>
      </c>
      <c r="AD2264" s="2" t="n">
        <v>32</v>
      </c>
      <c r="AE2264" s="2" t="n">
        <v>14</v>
      </c>
      <c r="AF2264" s="4" t="n">
        <v>18</v>
      </c>
      <c r="AG2264" s="33" t="n">
        <v>0</v>
      </c>
      <c r="AH2264" s="4" t="n">
        <v>0</v>
      </c>
      <c r="AI2264" s="34" t="n"/>
      <c r="AJ2264" s="34" t="n">
        <v>0</v>
      </c>
      <c r="AK2264" s="2" t="n">
        <v>0</v>
      </c>
      <c r="AL2264" t="inlineStr">
        <is>
          <t>Published</t>
        </is>
      </c>
    </row>
    <row r="2265">
      <c r="A2265">
        <f>HYPERLINK("https://www.walmart.com/ip/941474783", "941474783")</f>
        <v/>
      </c>
      <c r="B2265">
        <f>HYPERLINK("https://app.optiwise.ai/catalog/itemdetails/362018", "Tirrinia Wine Cooler bag - 3 Bottle Travel Insulated Padded Wine Carrier Tote Bag with Handle and Adjustable Shoulder Strap")</f>
        <v/>
      </c>
      <c r="C2265" t="inlineStr">
        <is>
          <t>1WMWB310WTFL</t>
        </is>
      </c>
      <c r="D2265" t="inlineStr">
        <is>
          <t>Home Decor, Kitchen, &amp; Other</t>
        </is>
      </c>
      <c r="E2265" t="inlineStr">
        <is>
          <t>Wine Totes, Bags &amp; Backpacks</t>
        </is>
      </c>
      <c r="F2265" t="inlineStr">
        <is>
          <t>Flyingstar</t>
        </is>
      </c>
      <c r="G2265" t="n">
        <v>0</v>
      </c>
      <c r="H2265" t="n">
        <v>0</v>
      </c>
      <c r="I2265" t="inlineStr">
        <is>
          <t>Wine,Christmas,Valentine</t>
        </is>
      </c>
      <c r="J2265" s="29" t="n">
        <v>0</v>
      </c>
      <c r="K2265" s="30" t="n"/>
      <c r="L2265" s="29" t="n">
        <v>0</v>
      </c>
      <c r="M2265" s="29" t="n">
        <v>0</v>
      </c>
      <c r="N2265" s="2" t="n">
        <v>0</v>
      </c>
      <c r="O2265" s="31" t="n">
        <v>0</v>
      </c>
      <c r="P2265" s="32" t="n"/>
      <c r="Q2265" s="32" t="n">
        <v>0</v>
      </c>
      <c r="R2265" s="32" t="n">
        <v>0</v>
      </c>
      <c r="S2265" s="31" t="n">
        <v>0</v>
      </c>
      <c r="T2265" s="32" t="n">
        <v>0</v>
      </c>
      <c r="U2265" s="31" t="n">
        <v>0</v>
      </c>
      <c r="V2265" s="31" t="n">
        <v>0</v>
      </c>
      <c r="W2265" s="3" t="n">
        <v>0</v>
      </c>
      <c r="X2265" s="3" t="n">
        <v>0</v>
      </c>
      <c r="Y2265" s="32" t="n">
        <v>0</v>
      </c>
      <c r="Z2265" s="3" t="n">
        <v>0</v>
      </c>
      <c r="AA2265" s="32" t="n">
        <v>0</v>
      </c>
      <c r="AB2265" s="3" t="n"/>
      <c r="AC2265" s="31" t="n">
        <v>0</v>
      </c>
      <c r="AD2265" s="2" t="n">
        <v>0</v>
      </c>
      <c r="AE2265" s="2" t="n">
        <v>11</v>
      </c>
      <c r="AF2265" s="4" t="n">
        <v>11</v>
      </c>
      <c r="AG2265" s="33" t="n">
        <v>0</v>
      </c>
      <c r="AH2265" s="4" t="n">
        <v>0</v>
      </c>
      <c r="AI2265" s="34" t="n"/>
      <c r="AJ2265" s="34" t="n">
        <v>0</v>
      </c>
      <c r="AK2265" s="2" t="n">
        <v>0</v>
      </c>
      <c r="AL2265" t="inlineStr">
        <is>
          <t>Published</t>
        </is>
      </c>
    </row>
    <row r="2266">
      <c r="A2266">
        <f>HYPERLINK("https://www.walmart.com/ip/572657418", "572657418")</f>
        <v/>
      </c>
      <c r="B2266">
        <f>HYPERLINK("https://app.optiwise.ai/catalog/itemdetails/362017", "Tirrinia Bucket Hats for Women with Hawaii Flower Print | UPF 50+ Sun Protection Cap for Garden, Beach, Travel")</f>
        <v/>
      </c>
      <c r="C2266" t="inlineStr">
        <is>
          <t>1TRSH9200FBL-TBCB</t>
        </is>
      </c>
      <c r="D2266" t="inlineStr">
        <is>
          <t>Clothing</t>
        </is>
      </c>
      <c r="E2266" t="inlineStr">
        <is>
          <t>Hats</t>
        </is>
      </c>
      <c r="F2266" t="inlineStr">
        <is>
          <t>Tirrinia</t>
        </is>
      </c>
      <c r="G2266" t="n">
        <v>0</v>
      </c>
      <c r="H2266" t="n">
        <v>0</v>
      </c>
      <c r="I2266" t="inlineStr">
        <is>
          <t>Hats,Batch 1 - TR</t>
        </is>
      </c>
      <c r="J2266" s="29" t="n">
        <v>0</v>
      </c>
      <c r="K2266" s="30" t="n"/>
      <c r="L2266" s="29" t="n">
        <v>0</v>
      </c>
      <c r="M2266" s="29" t="n">
        <v>0</v>
      </c>
      <c r="N2266" s="2" t="n">
        <v>0</v>
      </c>
      <c r="O2266" s="31" t="n">
        <v>0</v>
      </c>
      <c r="P2266" s="32" t="n"/>
      <c r="Q2266" s="32" t="n">
        <v>0</v>
      </c>
      <c r="R2266" s="32" t="n">
        <v>0</v>
      </c>
      <c r="S2266" s="31" t="n">
        <v>0</v>
      </c>
      <c r="T2266" s="32" t="n">
        <v>0</v>
      </c>
      <c r="U2266" s="31" t="n">
        <v>0</v>
      </c>
      <c r="V2266" s="31" t="n">
        <v>0</v>
      </c>
      <c r="W2266" s="3" t="n">
        <v>0</v>
      </c>
      <c r="X2266" s="3" t="n">
        <v>0</v>
      </c>
      <c r="Y2266" s="32" t="n">
        <v>0</v>
      </c>
      <c r="Z2266" s="3" t="n">
        <v>0</v>
      </c>
      <c r="AA2266" s="32" t="n">
        <v>0</v>
      </c>
      <c r="AB2266" s="3" t="n"/>
      <c r="AC2266" s="31" t="n">
        <v>0</v>
      </c>
      <c r="AD2266" s="2" t="n">
        <v>0</v>
      </c>
      <c r="AE2266" s="2" t="n">
        <v>10</v>
      </c>
      <c r="AF2266" s="4" t="n">
        <v>10</v>
      </c>
      <c r="AG2266" s="33" t="n">
        <v>0</v>
      </c>
      <c r="AH2266" s="4" t="n">
        <v>0</v>
      </c>
      <c r="AI2266" s="34" t="n"/>
      <c r="AJ2266" s="34" t="n">
        <v>0</v>
      </c>
      <c r="AK2266" s="2" t="n">
        <v>0</v>
      </c>
      <c r="AL2266" t="inlineStr">
        <is>
          <t>Published</t>
        </is>
      </c>
    </row>
    <row r="2267">
      <c r="A2267">
        <f>HYPERLINK("https://www.walmart.com/ip/182072857", "182072857")</f>
        <v/>
      </c>
      <c r="B2267">
        <f>HYPERLINK("https://app.optiwise.ai/catalog/itemdetails/362016", "Union Jack Blanket, UK Flag Sherpa Fleece Blanket | Super Soft, Warm, Reversible | for Couch Bed, Gift for British, 50X70 inches")</f>
        <v/>
      </c>
      <c r="C2267" t="inlineStr">
        <is>
          <t>1CTBF300UK2GY</t>
        </is>
      </c>
      <c r="D2267" t="inlineStr">
        <is>
          <t>Bedding</t>
        </is>
      </c>
      <c r="E2267" t="inlineStr">
        <is>
          <t>Throws</t>
        </is>
      </c>
      <c r="F2267" t="inlineStr">
        <is>
          <t>Catalonia</t>
        </is>
      </c>
      <c r="G2267" t="n">
        <v>0</v>
      </c>
      <c r="H2267" t="n">
        <v>0</v>
      </c>
      <c r="I2267" t="inlineStr">
        <is>
          <t>WFS,cost-added,WFS Item,Fleece Blankets</t>
        </is>
      </c>
      <c r="J2267" s="29" t="n">
        <v>0</v>
      </c>
      <c r="K2267" s="30" t="n"/>
      <c r="L2267" s="29" t="n">
        <v>19.97999954223633</v>
      </c>
      <c r="M2267" s="29" t="n">
        <v>0</v>
      </c>
      <c r="N2267" s="2" t="n">
        <v>0</v>
      </c>
      <c r="O2267" s="31" t="n">
        <v>0</v>
      </c>
      <c r="P2267" s="32" t="n"/>
      <c r="Q2267" s="32" t="n">
        <v>0</v>
      </c>
      <c r="R2267" s="32" t="n">
        <v>0</v>
      </c>
      <c r="S2267" s="31" t="n">
        <v>0</v>
      </c>
      <c r="T2267" s="32" t="n">
        <v>0</v>
      </c>
      <c r="U2267" s="31" t="n">
        <v>0</v>
      </c>
      <c r="V2267" s="31" t="n">
        <v>0</v>
      </c>
      <c r="W2267" s="3" t="n">
        <v>0</v>
      </c>
      <c r="X2267" s="3" t="n">
        <v>0</v>
      </c>
      <c r="Y2267" s="32" t="n">
        <v>0</v>
      </c>
      <c r="Z2267" s="3" t="n">
        <v>0</v>
      </c>
      <c r="AA2267" s="32" t="n">
        <v>0</v>
      </c>
      <c r="AB2267" s="3" t="n"/>
      <c r="AC2267" s="31" t="n">
        <v>0</v>
      </c>
      <c r="AD2267" s="2" t="n">
        <v>0</v>
      </c>
      <c r="AE2267" s="2" t="n">
        <v>36</v>
      </c>
      <c r="AF2267" s="4" t="n">
        <v>36</v>
      </c>
      <c r="AG2267" s="33" t="n">
        <v>0</v>
      </c>
      <c r="AH2267" s="4" t="n">
        <v>0</v>
      </c>
      <c r="AI2267" s="34" t="n"/>
      <c r="AJ2267" s="34" t="n">
        <v>0</v>
      </c>
      <c r="AK2267" s="2" t="n">
        <v>0</v>
      </c>
      <c r="AL2267" t="inlineStr">
        <is>
          <t>Published</t>
        </is>
      </c>
    </row>
    <row r="2268">
      <c r="A2268">
        <f>HYPERLINK("https://www.walmart.com/ip/374971543", "374971543")</f>
        <v/>
      </c>
      <c r="B2268">
        <f>HYPERLINK("https://app.optiwise.ai/catalog/itemdetails/362122", "Flyingstar Wearable Blanket with Sleeves and Pocket, Fleece Micro Plush Throws Blanket, Robe for Women and Men 73” x 51” Zebra")</f>
        <v/>
      </c>
      <c r="C2268" t="inlineStr">
        <is>
          <t>1WMSN100ZEBRA</t>
        </is>
      </c>
      <c r="D2268" t="inlineStr">
        <is>
          <t>Bedding</t>
        </is>
      </c>
      <c r="E2268" t="inlineStr">
        <is>
          <t>Throws</t>
        </is>
      </c>
      <c r="F2268" t="inlineStr">
        <is>
          <t>Flyingstar</t>
        </is>
      </c>
      <c r="G2268" t="n">
        <v>0</v>
      </c>
      <c r="H2268" t="n">
        <v>0</v>
      </c>
      <c r="I2268" t="inlineStr">
        <is>
          <t>Batch 1 - TR</t>
        </is>
      </c>
      <c r="J2268" s="29" t="n">
        <v>0</v>
      </c>
      <c r="K2268" s="30" t="n"/>
      <c r="L2268" s="29" t="n">
        <v>0</v>
      </c>
      <c r="M2268" s="29" t="n">
        <v>0</v>
      </c>
      <c r="N2268" s="2" t="n">
        <v>0</v>
      </c>
      <c r="O2268" s="31" t="n">
        <v>0</v>
      </c>
      <c r="P2268" s="32" t="n"/>
      <c r="Q2268" s="32" t="n">
        <v>0</v>
      </c>
      <c r="R2268" s="32" t="n">
        <v>0</v>
      </c>
      <c r="S2268" s="31" t="n">
        <v>0</v>
      </c>
      <c r="T2268" s="32" t="n">
        <v>0</v>
      </c>
      <c r="U2268" s="31" t="n">
        <v>0</v>
      </c>
      <c r="V2268" s="31" t="n">
        <v>0</v>
      </c>
      <c r="W2268" s="3" t="n">
        <v>0</v>
      </c>
      <c r="X2268" s="3" t="n">
        <v>0</v>
      </c>
      <c r="Y2268" s="32" t="n">
        <v>0</v>
      </c>
      <c r="Z2268" s="3" t="n">
        <v>0</v>
      </c>
      <c r="AA2268" s="32" t="n">
        <v>0</v>
      </c>
      <c r="AB2268" s="3" t="n"/>
      <c r="AC2268" s="31" t="n">
        <v>0</v>
      </c>
      <c r="AD2268" s="2" t="n">
        <v>0</v>
      </c>
      <c r="AE2268" s="2" t="n">
        <v>1</v>
      </c>
      <c r="AF2268" s="4" t="n">
        <v>1</v>
      </c>
      <c r="AG2268" s="33" t="n">
        <v>0</v>
      </c>
      <c r="AH2268" s="4" t="n">
        <v>0</v>
      </c>
      <c r="AI2268" s="34" t="n"/>
      <c r="AJ2268" s="34" t="n">
        <v>0</v>
      </c>
      <c r="AK2268" s="2" t="n">
        <v>0</v>
      </c>
      <c r="AL2268" t="inlineStr">
        <is>
          <t>Published</t>
        </is>
      </c>
    </row>
    <row r="2269">
      <c r="A2269">
        <f>HYPERLINK("https://www.walmart.com/ip/560042875", "560042875")</f>
        <v/>
      </c>
      <c r="B2269">
        <f>HYPERLINK("https://app.optiwise.ai/catalog/itemdetails/362013", "Women’s Swim Bathing Suit Cover Up, Summer Chiffon Backless Beach Dress Skirt")</f>
        <v/>
      </c>
      <c r="C2269" t="inlineStr">
        <is>
          <t>1WMDS110PP</t>
        </is>
      </c>
      <c r="D2269" t="inlineStr">
        <is>
          <t>Dresses</t>
        </is>
      </c>
      <c r="E2269" t="inlineStr">
        <is>
          <t>Dresses</t>
        </is>
      </c>
      <c r="F2269" t="inlineStr">
        <is>
          <t>Flyingstar</t>
        </is>
      </c>
      <c r="G2269" t="n">
        <v>0</v>
      </c>
      <c r="H2269" t="n">
        <v>0</v>
      </c>
      <c r="I2269" t="inlineStr">
        <is>
          <t>Optimized</t>
        </is>
      </c>
      <c r="J2269" s="29" t="n">
        <v>0</v>
      </c>
      <c r="K2269" s="30" t="n"/>
      <c r="L2269" s="29" t="n">
        <v>0</v>
      </c>
      <c r="M2269" s="29" t="n">
        <v>0</v>
      </c>
      <c r="N2269" s="2" t="n">
        <v>0</v>
      </c>
      <c r="O2269" s="31" t="n">
        <v>0</v>
      </c>
      <c r="P2269" s="32" t="n"/>
      <c r="Q2269" s="32" t="n">
        <v>0</v>
      </c>
      <c r="R2269" s="32" t="n">
        <v>0</v>
      </c>
      <c r="S2269" s="31" t="n">
        <v>0</v>
      </c>
      <c r="T2269" s="32" t="n">
        <v>0</v>
      </c>
      <c r="U2269" s="31" t="n">
        <v>0</v>
      </c>
      <c r="V2269" s="31" t="n">
        <v>0</v>
      </c>
      <c r="W2269" s="3" t="n">
        <v>0</v>
      </c>
      <c r="X2269" s="3" t="n">
        <v>0</v>
      </c>
      <c r="Y2269" s="32" t="n">
        <v>0</v>
      </c>
      <c r="Z2269" s="3" t="n">
        <v>0</v>
      </c>
      <c r="AA2269" s="32" t="n">
        <v>0</v>
      </c>
      <c r="AB2269" s="3" t="n"/>
      <c r="AC2269" s="31" t="n">
        <v>0</v>
      </c>
      <c r="AD2269" s="2" t="n">
        <v>0</v>
      </c>
      <c r="AE2269" s="2" t="n">
        <v>3</v>
      </c>
      <c r="AF2269" s="4" t="n">
        <v>3</v>
      </c>
      <c r="AG2269" s="33" t="n">
        <v>0</v>
      </c>
      <c r="AH2269" s="4" t="n">
        <v>0</v>
      </c>
      <c r="AI2269" s="34" t="n"/>
      <c r="AJ2269" s="34" t="n">
        <v>0</v>
      </c>
      <c r="AK2269" s="2" t="n">
        <v>0</v>
      </c>
      <c r="AL2269" t="inlineStr">
        <is>
          <t>Published</t>
        </is>
      </c>
    </row>
    <row r="2270">
      <c r="A2270">
        <f>HYPERLINK("https://www.walmart.com/ip/626873993", "626873993")</f>
        <v/>
      </c>
      <c r="B2270">
        <f>HYPERLINK("https://app.optiwise.ai/catalog/itemdetails/362005", "Wine Tote Bag with Hidden Dispenser, Insulated Large Wine Carrying Carrier Set with Wine Bladder, Perfect Wine Gift for Byob, Movie Theater, Concert, Sport Events, Pool &amp; Beach")</f>
        <v/>
      </c>
      <c r="C2270" t="inlineStr">
        <is>
          <t>1TRWT100STR</t>
        </is>
      </c>
      <c r="D2270" t="inlineStr">
        <is>
          <t>Home Decor, Kitchen, &amp; Other</t>
        </is>
      </c>
      <c r="E2270" t="inlineStr">
        <is>
          <t>Wine Totes, Bags &amp; Backpacks</t>
        </is>
      </c>
      <c r="F2270" t="inlineStr">
        <is>
          <t>Tirrinia</t>
        </is>
      </c>
      <c r="G2270" t="n">
        <v>0</v>
      </c>
      <c r="H2270" t="n">
        <v>0</v>
      </c>
      <c r="I2270" t="inlineStr">
        <is>
          <t>Wine,Optimized</t>
        </is>
      </c>
      <c r="J2270" s="29" t="n">
        <v>0</v>
      </c>
      <c r="K2270" s="30" t="n"/>
      <c r="L2270" s="29" t="n">
        <v>0</v>
      </c>
      <c r="M2270" s="29" t="n">
        <v>0</v>
      </c>
      <c r="N2270" s="2" t="n">
        <v>0</v>
      </c>
      <c r="O2270" s="31" t="n">
        <v>0</v>
      </c>
      <c r="P2270" s="32" t="n"/>
      <c r="Q2270" s="32" t="n">
        <v>0</v>
      </c>
      <c r="R2270" s="32" t="n">
        <v>0</v>
      </c>
      <c r="S2270" s="31" t="n">
        <v>0</v>
      </c>
      <c r="T2270" s="32" t="n">
        <v>0</v>
      </c>
      <c r="U2270" s="31" t="n">
        <v>0</v>
      </c>
      <c r="V2270" s="31" t="n">
        <v>0</v>
      </c>
      <c r="W2270" s="3" t="n">
        <v>0</v>
      </c>
      <c r="X2270" s="3" t="n">
        <v>0</v>
      </c>
      <c r="Y2270" s="32" t="n">
        <v>0</v>
      </c>
      <c r="Z2270" s="3" t="n">
        <v>0</v>
      </c>
      <c r="AA2270" s="32" t="n">
        <v>0</v>
      </c>
      <c r="AB2270" s="3" t="n"/>
      <c r="AC2270" s="31" t="n">
        <v>0</v>
      </c>
      <c r="AD2270" s="2" t="n">
        <v>0</v>
      </c>
      <c r="AE2270" s="2" t="n">
        <v>22</v>
      </c>
      <c r="AF2270" s="4" t="n">
        <v>22</v>
      </c>
      <c r="AG2270" s="33" t="n">
        <v>0</v>
      </c>
      <c r="AH2270" s="4" t="n">
        <v>0</v>
      </c>
      <c r="AI2270" s="34" t="n"/>
      <c r="AJ2270" s="34" t="n">
        <v>0</v>
      </c>
      <c r="AK2270" s="2" t="n">
        <v>0</v>
      </c>
      <c r="AL2270" t="inlineStr">
        <is>
          <t>Published</t>
        </is>
      </c>
    </row>
    <row r="2271">
      <c r="A2271">
        <f>HYPERLINK("https://www.walmart.com/ip/428818238", "428818238")</f>
        <v/>
      </c>
      <c r="B2271">
        <f>HYPERLINK("https://app.optiwise.ai/catalog/itemdetails/362128", "Tirrinia  Womens Wide Brim Bucket Hats UPF 50+ Outdoor Gardening Sun Caps Cream")</f>
        <v/>
      </c>
      <c r="C2271" t="inlineStr">
        <is>
          <t>1TRSH189CM-TBCB</t>
        </is>
      </c>
      <c r="D2271" t="inlineStr">
        <is>
          <t>Clothing</t>
        </is>
      </c>
      <c r="E2271" t="inlineStr">
        <is>
          <t>Hats</t>
        </is>
      </c>
      <c r="F2271" t="inlineStr">
        <is>
          <t>Tirrinia</t>
        </is>
      </c>
      <c r="G2271" t="n">
        <v>4.7</v>
      </c>
      <c r="H2271" t="n">
        <v>3</v>
      </c>
      <c r="I2271" t="inlineStr">
        <is>
          <t>Hats,Batch 1 - TR</t>
        </is>
      </c>
      <c r="J2271" s="29" t="n">
        <v>0</v>
      </c>
      <c r="K2271" s="30" t="n"/>
      <c r="L2271" s="29" t="n">
        <v>0</v>
      </c>
      <c r="M2271" s="29" t="n">
        <v>0</v>
      </c>
      <c r="N2271" s="2" t="n">
        <v>0</v>
      </c>
      <c r="O2271" s="31" t="n">
        <v>0</v>
      </c>
      <c r="P2271" s="32" t="n"/>
      <c r="Q2271" s="32" t="n">
        <v>0</v>
      </c>
      <c r="R2271" s="32" t="n">
        <v>0</v>
      </c>
      <c r="S2271" s="31" t="n">
        <v>0</v>
      </c>
      <c r="T2271" s="32" t="n">
        <v>0</v>
      </c>
      <c r="U2271" s="31" t="n">
        <v>0</v>
      </c>
      <c r="V2271" s="31" t="n">
        <v>0</v>
      </c>
      <c r="W2271" s="3" t="n">
        <v>0</v>
      </c>
      <c r="X2271" s="3" t="n">
        <v>0</v>
      </c>
      <c r="Y2271" s="32" t="n">
        <v>0</v>
      </c>
      <c r="Z2271" s="3" t="n">
        <v>0</v>
      </c>
      <c r="AA2271" s="32" t="n">
        <v>0</v>
      </c>
      <c r="AB2271" s="3" t="n"/>
      <c r="AC2271" s="31" t="n">
        <v>0</v>
      </c>
      <c r="AD2271" s="2" t="n">
        <v>0</v>
      </c>
      <c r="AE2271" s="2" t="n">
        <v>8</v>
      </c>
      <c r="AF2271" s="4" t="n">
        <v>8</v>
      </c>
      <c r="AG2271" s="33" t="n">
        <v>0</v>
      </c>
      <c r="AH2271" s="4" t="n">
        <v>0</v>
      </c>
      <c r="AI2271" s="34" t="n"/>
      <c r="AJ2271" s="34" t="n">
        <v>0</v>
      </c>
      <c r="AK2271" s="2" t="n">
        <v>0</v>
      </c>
      <c r="AL2271" t="inlineStr">
        <is>
          <t>Published</t>
        </is>
      </c>
    </row>
    <row r="2272">
      <c r="A2272">
        <f>HYPERLINK("https://www.walmart.com/ip/171544794", "171544794")</f>
        <v/>
      </c>
      <c r="B2272">
        <f>HYPERLINK("https://app.optiwise.ai/catalog/itemdetails/362001", "Catalonia Fleece Wearable Blanket with Sleeves and Pocket, Micro Plush Warm Sleeved TV Throw Blanket Robe for Women and Men, Brown, 72'' x 55''")</f>
        <v/>
      </c>
      <c r="C2272" t="inlineStr">
        <is>
          <t>1CTSN110BR</t>
        </is>
      </c>
      <c r="D2272" t="inlineStr">
        <is>
          <t>Bedding</t>
        </is>
      </c>
      <c r="E2272" t="inlineStr">
        <is>
          <t>Throws</t>
        </is>
      </c>
      <c r="F2272" t="inlineStr">
        <is>
          <t>Catalonia</t>
        </is>
      </c>
      <c r="G2272" t="n">
        <v>3.6</v>
      </c>
      <c r="H2272" t="n">
        <v>7</v>
      </c>
      <c r="I2272" t="inlineStr">
        <is>
          <t>Optimized,WFS,WFS Item</t>
        </is>
      </c>
      <c r="J2272" s="29" t="n">
        <v>0</v>
      </c>
      <c r="K2272" s="30" t="n"/>
      <c r="L2272" s="29" t="n">
        <v>0</v>
      </c>
      <c r="M2272" s="29" t="n">
        <v>0</v>
      </c>
      <c r="N2272" s="2" t="n">
        <v>0</v>
      </c>
      <c r="O2272" s="31" t="n">
        <v>0</v>
      </c>
      <c r="P2272" s="32" t="n"/>
      <c r="Q2272" s="32" t="n">
        <v>0</v>
      </c>
      <c r="R2272" s="32" t="n">
        <v>0</v>
      </c>
      <c r="S2272" s="31" t="n">
        <v>0</v>
      </c>
      <c r="T2272" s="32" t="n">
        <v>0</v>
      </c>
      <c r="U2272" s="31" t="n">
        <v>0</v>
      </c>
      <c r="V2272" s="31" t="n">
        <v>0</v>
      </c>
      <c r="W2272" s="3" t="n">
        <v>0</v>
      </c>
      <c r="X2272" s="3" t="n">
        <v>0</v>
      </c>
      <c r="Y2272" s="32" t="n">
        <v>0</v>
      </c>
      <c r="Z2272" s="3" t="n">
        <v>0</v>
      </c>
      <c r="AA2272" s="32" t="n">
        <v>0</v>
      </c>
      <c r="AB2272" s="3" t="n"/>
      <c r="AC2272" s="31" t="n">
        <v>0</v>
      </c>
      <c r="AD2272" s="2" t="n">
        <v>0</v>
      </c>
      <c r="AE2272" s="2" t="n">
        <v>27</v>
      </c>
      <c r="AF2272" s="4" t="n">
        <v>27</v>
      </c>
      <c r="AG2272" s="33" t="n">
        <v>0</v>
      </c>
      <c r="AH2272" s="4" t="n">
        <v>0</v>
      </c>
      <c r="AI2272" s="34" t="n"/>
      <c r="AJ2272" s="34" t="n">
        <v>0</v>
      </c>
      <c r="AK2272" s="2" t="n">
        <v>0</v>
      </c>
      <c r="AL2272" t="inlineStr">
        <is>
          <t>Published</t>
        </is>
      </c>
    </row>
    <row r="2273">
      <c r="A2273">
        <f>HYPERLINK("https://www.walmart.com/ip/813734406", "813734406")</f>
        <v/>
      </c>
      <c r="B2273">
        <f>HYPERLINK("https://app.optiwise.ai/catalog/itemdetails/361997", "Terra Men Boxer Brief Underwear Best 3 Pack Most Comfortable Cotton Trunk Short")</f>
        <v/>
      </c>
      <c r="C2273" t="inlineStr">
        <is>
          <t>TERRA-BOXER9-M</t>
        </is>
      </c>
      <c r="D2273" t="inlineStr">
        <is>
          <t>Clothing</t>
        </is>
      </c>
      <c r="E2273" t="inlineStr">
        <is>
          <t>Underpants</t>
        </is>
      </c>
      <c r="F2273" t="inlineStr">
        <is>
          <t>Terra</t>
        </is>
      </c>
      <c r="G2273" t="n">
        <v>0</v>
      </c>
      <c r="H2273" t="n">
        <v>0</v>
      </c>
      <c r="I2273" t="inlineStr">
        <is>
          <t>Batch 1 - TR</t>
        </is>
      </c>
      <c r="J2273" s="29" t="n">
        <v>0</v>
      </c>
      <c r="K2273" s="30" t="n"/>
      <c r="L2273" s="29" t="n">
        <v>0</v>
      </c>
      <c r="M2273" s="29" t="n">
        <v>0</v>
      </c>
      <c r="N2273" s="2" t="n">
        <v>0</v>
      </c>
      <c r="O2273" s="31" t="n">
        <v>0</v>
      </c>
      <c r="P2273" s="32" t="n"/>
      <c r="Q2273" s="32" t="n">
        <v>0</v>
      </c>
      <c r="R2273" s="32" t="n">
        <v>0</v>
      </c>
      <c r="S2273" s="31" t="n">
        <v>0</v>
      </c>
      <c r="T2273" s="32" t="n">
        <v>0</v>
      </c>
      <c r="U2273" s="31" t="n">
        <v>0</v>
      </c>
      <c r="V2273" s="31" t="n">
        <v>0</v>
      </c>
      <c r="W2273" s="3" t="n">
        <v>0</v>
      </c>
      <c r="X2273" s="3" t="n">
        <v>0</v>
      </c>
      <c r="Y2273" s="32" t="n">
        <v>0</v>
      </c>
      <c r="Z2273" s="3" t="n">
        <v>0</v>
      </c>
      <c r="AA2273" s="32" t="n">
        <v>0</v>
      </c>
      <c r="AB2273" s="3" t="n"/>
      <c r="AC2273" s="31" t="n">
        <v>0</v>
      </c>
      <c r="AD2273" s="2" t="n">
        <v>0</v>
      </c>
      <c r="AE2273" s="2" t="n">
        <v>2</v>
      </c>
      <c r="AF2273" s="4" t="n">
        <v>2</v>
      </c>
      <c r="AG2273" s="33" t="n">
        <v>0</v>
      </c>
      <c r="AH2273" s="4" t="n">
        <v>0</v>
      </c>
      <c r="AI2273" s="34" t="n"/>
      <c r="AJ2273" s="34" t="n">
        <v>0</v>
      </c>
      <c r="AK2273" s="2" t="n">
        <v>0</v>
      </c>
      <c r="AL2273" t="inlineStr">
        <is>
          <t>Published</t>
        </is>
      </c>
    </row>
    <row r="2274">
      <c r="A2274">
        <f>HYPERLINK("https://www.walmart.com/ip/177208126", "177208126")</f>
        <v/>
      </c>
      <c r="B2274">
        <f>HYPERLINK("https://app.optiwise.ai/catalog/itemdetails/361996", "Catalonia Waterproof Blanket for Baby, Pee Proof Pet Cover for Couch and Bed, Reversible Sherpa Fleece Throw Blanket for Relaxing, Traveling and Camping, Brown/Tuape, 80 x 60")</f>
        <v/>
      </c>
      <c r="C2274" t="inlineStr">
        <is>
          <t>1CTBW681BNTP</t>
        </is>
      </c>
      <c r="D2274" t="inlineStr">
        <is>
          <t>Bedding</t>
        </is>
      </c>
      <c r="E2274" t="inlineStr">
        <is>
          <t>Throws</t>
        </is>
      </c>
      <c r="F2274" t="inlineStr">
        <is>
          <t>Catalonia</t>
        </is>
      </c>
      <c r="G2274" t="n">
        <v>4.6</v>
      </c>
      <c r="H2274" t="n">
        <v>7</v>
      </c>
      <c r="I2274" t="inlineStr">
        <is>
          <t>Optimized,Wproof Blanket</t>
        </is>
      </c>
      <c r="J2274" s="29" t="n">
        <v>0</v>
      </c>
      <c r="K2274" s="30" t="n"/>
      <c r="L2274" s="29" t="n">
        <v>39.9900016784668</v>
      </c>
      <c r="M2274" s="29" t="n">
        <v>0</v>
      </c>
      <c r="N2274" s="2" t="n">
        <v>0</v>
      </c>
      <c r="O2274" s="31" t="n">
        <v>7.189999999999997</v>
      </c>
      <c r="P2274" s="32" t="n">
        <v>0.0009</v>
      </c>
      <c r="Q2274" s="32" t="n">
        <v>0</v>
      </c>
      <c r="R2274" s="32" t="n">
        <v>0</v>
      </c>
      <c r="S2274" s="31" t="n">
        <v>0</v>
      </c>
      <c r="T2274" s="32" t="n">
        <v>0</v>
      </c>
      <c r="U2274" s="31" t="n">
        <v>0</v>
      </c>
      <c r="V2274" s="31" t="n">
        <v>0</v>
      </c>
      <c r="W2274" s="3" t="n">
        <v>39580</v>
      </c>
      <c r="X2274" s="3" t="n">
        <v>25</v>
      </c>
      <c r="Y2274" s="32" t="n">
        <v>0.0005999999999999999</v>
      </c>
      <c r="Z2274" s="3" t="n">
        <v>0</v>
      </c>
      <c r="AA2274" s="32" t="n">
        <v>0</v>
      </c>
      <c r="AB2274" s="3" t="inlineStr">
        <is>
          <t>Throws_Auto_Optiwise_24</t>
        </is>
      </c>
      <c r="AC2274" s="31" t="n">
        <v>0.29</v>
      </c>
      <c r="AD2274" s="2" t="n">
        <v>0</v>
      </c>
      <c r="AE2274" s="2" t="n">
        <v>99</v>
      </c>
      <c r="AF2274" s="4" t="n">
        <v>74</v>
      </c>
      <c r="AG2274" s="33" t="n">
        <v>0</v>
      </c>
      <c r="AH2274" s="4" t="n">
        <v>0</v>
      </c>
      <c r="AI2274" s="34" t="n"/>
      <c r="AJ2274" s="34" t="n">
        <v>0</v>
      </c>
      <c r="AK2274" s="2" t="n">
        <v>0</v>
      </c>
      <c r="AL2274" t="inlineStr">
        <is>
          <t>Published</t>
        </is>
      </c>
    </row>
    <row r="2275">
      <c r="A2275">
        <f>HYPERLINK("https://www.walmart.com/ip/145434740", "145434740")</f>
        <v/>
      </c>
      <c r="B2275">
        <f>HYPERLINK("https://app.optiwise.ai/catalog/itemdetails/361994", "Vina® Premium Bamboo Cutting Board – Medium 12”x 8” Kitchen Chopping board")</f>
        <v/>
      </c>
      <c r="C2275" t="inlineStr">
        <is>
          <t>VINABCB03</t>
        </is>
      </c>
      <c r="D2275" t="inlineStr">
        <is>
          <t>Home Decor, Kitchen, &amp; Other</t>
        </is>
      </c>
      <c r="E2275" t="inlineStr">
        <is>
          <t>Cutting Boards &amp; Butcher Blocks</t>
        </is>
      </c>
      <c r="F2275" t="inlineStr">
        <is>
          <t>Vina</t>
        </is>
      </c>
      <c r="G2275" t="n">
        <v>4.4</v>
      </c>
      <c r="H2275" t="n">
        <v>9</v>
      </c>
      <c r="I2275" t="inlineStr">
        <is>
          <t>Batch 1 - TR</t>
        </is>
      </c>
      <c r="J2275" s="29" t="n">
        <v>0</v>
      </c>
      <c r="K2275" s="30" t="n"/>
      <c r="L2275" s="29" t="n">
        <v>0</v>
      </c>
      <c r="M2275" s="29" t="n">
        <v>0</v>
      </c>
      <c r="N2275" s="2" t="n">
        <v>0</v>
      </c>
      <c r="O2275" s="31" t="n">
        <v>0</v>
      </c>
      <c r="P2275" s="32" t="n"/>
      <c r="Q2275" s="32" t="n">
        <v>0</v>
      </c>
      <c r="R2275" s="32" t="n">
        <v>0</v>
      </c>
      <c r="S2275" s="31" t="n">
        <v>0</v>
      </c>
      <c r="T2275" s="32" t="n">
        <v>0</v>
      </c>
      <c r="U2275" s="31" t="n">
        <v>0</v>
      </c>
      <c r="V2275" s="31" t="n">
        <v>0</v>
      </c>
      <c r="W2275" s="3" t="n">
        <v>0</v>
      </c>
      <c r="X2275" s="3" t="n">
        <v>0</v>
      </c>
      <c r="Y2275" s="32" t="n">
        <v>0</v>
      </c>
      <c r="Z2275" s="3" t="n">
        <v>0</v>
      </c>
      <c r="AA2275" s="32" t="n">
        <v>0</v>
      </c>
      <c r="AB2275" s="3" t="n"/>
      <c r="AC2275" s="31" t="n">
        <v>0</v>
      </c>
      <c r="AD2275" s="2" t="n">
        <v>0</v>
      </c>
      <c r="AE2275" s="2" t="n">
        <v>0</v>
      </c>
      <c r="AF2275" s="4" t="n">
        <v>0</v>
      </c>
      <c r="AG2275" s="33" t="n">
        <v>0</v>
      </c>
      <c r="AH2275" s="4" t="n">
        <v>0</v>
      </c>
      <c r="AI2275" s="34" t="n"/>
      <c r="AJ2275" s="34" t="n">
        <v>0</v>
      </c>
      <c r="AK2275" s="2" t="n">
        <v>0</v>
      </c>
      <c r="AL2275" t="inlineStr">
        <is>
          <t>Published</t>
        </is>
      </c>
    </row>
    <row r="2276">
      <c r="A2276">
        <f>HYPERLINK("https://www.walmart.com/ip/193565695", "193565695")</f>
        <v/>
      </c>
      <c r="B2276">
        <f>HYPERLINK("https://app.optiwise.ai/catalog/itemdetails/361989", "KC Caps Unisex Adjustable Snap Closure USA Flag Embroidered Cap Hat")</f>
        <v/>
      </c>
      <c r="C2276" t="inlineStr">
        <is>
          <t>kc-ae-6100-nv</t>
        </is>
      </c>
      <c r="D2276" t="inlineStr">
        <is>
          <t>Clothing</t>
        </is>
      </c>
      <c r="E2276" t="inlineStr">
        <is>
          <t>Hats</t>
        </is>
      </c>
      <c r="F2276" t="inlineStr">
        <is>
          <t>KC Caps</t>
        </is>
      </c>
      <c r="G2276" t="n">
        <v>0</v>
      </c>
      <c r="H2276" t="n">
        <v>0</v>
      </c>
      <c r="I2276" t="inlineStr">
        <is>
          <t>Optimized</t>
        </is>
      </c>
      <c r="J2276" s="29" t="n">
        <v>0</v>
      </c>
      <c r="K2276" s="30" t="n"/>
      <c r="L2276" s="29" t="n">
        <v>0</v>
      </c>
      <c r="M2276" s="29" t="n">
        <v>0</v>
      </c>
      <c r="N2276" s="2" t="n">
        <v>0</v>
      </c>
      <c r="O2276" s="31" t="n">
        <v>0</v>
      </c>
      <c r="P2276" s="32" t="n"/>
      <c r="Q2276" s="32" t="n">
        <v>0</v>
      </c>
      <c r="R2276" s="32" t="n">
        <v>0</v>
      </c>
      <c r="S2276" s="31" t="n">
        <v>0</v>
      </c>
      <c r="T2276" s="32" t="n">
        <v>0</v>
      </c>
      <c r="U2276" s="31" t="n">
        <v>0</v>
      </c>
      <c r="V2276" s="31" t="n">
        <v>0</v>
      </c>
      <c r="W2276" s="3" t="n">
        <v>0</v>
      </c>
      <c r="X2276" s="3" t="n">
        <v>0</v>
      </c>
      <c r="Y2276" s="32" t="n">
        <v>0</v>
      </c>
      <c r="Z2276" s="3" t="n">
        <v>0</v>
      </c>
      <c r="AA2276" s="32" t="n">
        <v>0</v>
      </c>
      <c r="AB2276" s="3" t="n"/>
      <c r="AC2276" s="31" t="n">
        <v>0</v>
      </c>
      <c r="AD2276" s="2" t="n">
        <v>0</v>
      </c>
      <c r="AE2276" s="2" t="n">
        <v>1</v>
      </c>
      <c r="AF2276" s="4" t="n">
        <v>1</v>
      </c>
      <c r="AG2276" s="33" t="n">
        <v>0</v>
      </c>
      <c r="AH2276" s="4" t="n">
        <v>0</v>
      </c>
      <c r="AI2276" s="34" t="n"/>
      <c r="AJ2276" s="34" t="n">
        <v>0</v>
      </c>
      <c r="AK2276" s="2" t="n">
        <v>0</v>
      </c>
      <c r="AL2276" t="inlineStr">
        <is>
          <t>Published</t>
        </is>
      </c>
    </row>
    <row r="2277">
      <c r="A2277">
        <f>HYPERLINK("https://www.walmart.com/ip/766236233", "766236233")</f>
        <v/>
      </c>
      <c r="B2277">
        <f>HYPERLINK("https://app.optiwise.ai/catalog/itemdetails/361988", "Napa Soft Plush Fleece Throw Blanket 50”x 70” Microfiber Moroccan Lightweight Warm Bed Sofa Couch Brown")</f>
        <v/>
      </c>
      <c r="C2277" t="inlineStr">
        <is>
          <t>K8022-BRN</t>
        </is>
      </c>
      <c r="D2277" t="inlineStr">
        <is>
          <t>Bedding</t>
        </is>
      </c>
      <c r="E2277" t="inlineStr">
        <is>
          <t>Throws</t>
        </is>
      </c>
      <c r="F2277" t="inlineStr">
        <is>
          <t>NAPA</t>
        </is>
      </c>
      <c r="G2277" t="n">
        <v>4.8</v>
      </c>
      <c r="H2277" t="n">
        <v>4</v>
      </c>
      <c r="I2277" t="inlineStr">
        <is>
          <t>Optimized</t>
        </is>
      </c>
      <c r="J2277" s="29" t="n">
        <v>0</v>
      </c>
      <c r="K2277" s="30" t="n"/>
      <c r="L2277" s="29" t="n">
        <v>0</v>
      </c>
      <c r="M2277" s="29" t="n">
        <v>0</v>
      </c>
      <c r="N2277" s="2" t="n">
        <v>0</v>
      </c>
      <c r="O2277" s="31" t="n">
        <v>0</v>
      </c>
      <c r="P2277" s="32" t="n"/>
      <c r="Q2277" s="32" t="n">
        <v>0</v>
      </c>
      <c r="R2277" s="32" t="n">
        <v>0</v>
      </c>
      <c r="S2277" s="31" t="n">
        <v>0</v>
      </c>
      <c r="T2277" s="32" t="n">
        <v>0</v>
      </c>
      <c r="U2277" s="31" t="n">
        <v>0</v>
      </c>
      <c r="V2277" s="31" t="n">
        <v>0</v>
      </c>
      <c r="W2277" s="3" t="n">
        <v>0</v>
      </c>
      <c r="X2277" s="3" t="n">
        <v>0</v>
      </c>
      <c r="Y2277" s="32" t="n">
        <v>0</v>
      </c>
      <c r="Z2277" s="3" t="n">
        <v>0</v>
      </c>
      <c r="AA2277" s="32" t="n">
        <v>0</v>
      </c>
      <c r="AB2277" s="3" t="n"/>
      <c r="AC2277" s="31" t="n">
        <v>0</v>
      </c>
      <c r="AD2277" s="2" t="n">
        <v>0</v>
      </c>
      <c r="AE2277" s="2" t="n">
        <v>2</v>
      </c>
      <c r="AF2277" s="4" t="n">
        <v>2</v>
      </c>
      <c r="AG2277" s="33" t="n">
        <v>0</v>
      </c>
      <c r="AH2277" s="4" t="n">
        <v>0</v>
      </c>
      <c r="AI2277" s="34" t="n"/>
      <c r="AJ2277" s="34" t="n">
        <v>0</v>
      </c>
      <c r="AK2277" s="2" t="n">
        <v>0</v>
      </c>
      <c r="AL2277" t="inlineStr">
        <is>
          <t>Published</t>
        </is>
      </c>
    </row>
    <row r="2278">
      <c r="A2278">
        <f>HYPERLINK("https://www.walmart.com/ip/459543614", "459543614")</f>
        <v/>
      </c>
      <c r="B2278">
        <f>HYPERLINK("https://app.optiwise.ai/catalog/itemdetails/361987", "Tirrinia Insulated 2 Bottle Wine Carrier Tote Cooler Bag for Travel Picnic Padded Champagne Glass")</f>
        <v/>
      </c>
      <c r="C2278" t="inlineStr">
        <is>
          <t>1WMWB231KK</t>
        </is>
      </c>
      <c r="D2278" t="inlineStr">
        <is>
          <t>Home Decor, Kitchen, &amp; Other</t>
        </is>
      </c>
      <c r="E2278" t="inlineStr">
        <is>
          <t>Wine Totes, Bags &amp; Backpacks</t>
        </is>
      </c>
      <c r="F2278" t="inlineStr">
        <is>
          <t>Flyingstar</t>
        </is>
      </c>
      <c r="G2278" t="n">
        <v>0</v>
      </c>
      <c r="H2278" t="n">
        <v>0</v>
      </c>
      <c r="I2278" t="inlineStr">
        <is>
          <t>Wine,Christmas,Valentine</t>
        </is>
      </c>
      <c r="J2278" s="29" t="n">
        <v>0</v>
      </c>
      <c r="K2278" s="30" t="n"/>
      <c r="L2278" s="29" t="n">
        <v>0</v>
      </c>
      <c r="M2278" s="29" t="n">
        <v>0</v>
      </c>
      <c r="N2278" s="2" t="n">
        <v>0</v>
      </c>
      <c r="O2278" s="31" t="n">
        <v>0</v>
      </c>
      <c r="P2278" s="32" t="n"/>
      <c r="Q2278" s="32" t="n">
        <v>0</v>
      </c>
      <c r="R2278" s="32" t="n">
        <v>0</v>
      </c>
      <c r="S2278" s="31" t="n">
        <v>0</v>
      </c>
      <c r="T2278" s="32" t="n">
        <v>0</v>
      </c>
      <c r="U2278" s="31" t="n">
        <v>0</v>
      </c>
      <c r="V2278" s="31" t="n">
        <v>0</v>
      </c>
      <c r="W2278" s="3" t="n">
        <v>0</v>
      </c>
      <c r="X2278" s="3" t="n">
        <v>0</v>
      </c>
      <c r="Y2278" s="32" t="n">
        <v>0</v>
      </c>
      <c r="Z2278" s="3" t="n">
        <v>0</v>
      </c>
      <c r="AA2278" s="32" t="n">
        <v>0</v>
      </c>
      <c r="AB2278" s="3" t="n"/>
      <c r="AC2278" s="31" t="n">
        <v>0</v>
      </c>
      <c r="AD2278" s="2" t="n">
        <v>0</v>
      </c>
      <c r="AE2278" s="2" t="n">
        <v>2</v>
      </c>
      <c r="AF2278" s="4" t="n">
        <v>2</v>
      </c>
      <c r="AG2278" s="33" t="n">
        <v>0</v>
      </c>
      <c r="AH2278" s="4" t="n">
        <v>0</v>
      </c>
      <c r="AI2278" s="34" t="n"/>
      <c r="AJ2278" s="34" t="n">
        <v>0</v>
      </c>
      <c r="AK2278" s="2" t="n">
        <v>0</v>
      </c>
      <c r="AL2278" t="inlineStr">
        <is>
          <t>Published</t>
        </is>
      </c>
    </row>
    <row r="2279">
      <c r="A2279">
        <f>HYPERLINK("https://www.walmart.com/ip/346704703", "346704703")</f>
        <v/>
      </c>
      <c r="B2279">
        <f>HYPERLINK("https://app.optiwise.ai/catalog/itemdetails/361985", "Flyingstar Wearable Blanket with Sleeves and Pocket, Fleece Micro Plush Throws Blanket, Robe for Women and Men 73” x 51” Plaid Red")</f>
        <v/>
      </c>
      <c r="C2279" t="inlineStr">
        <is>
          <t>1WMSN100P2RD</t>
        </is>
      </c>
      <c r="D2279" t="inlineStr">
        <is>
          <t>Bedding</t>
        </is>
      </c>
      <c r="E2279" t="inlineStr">
        <is>
          <t>Throws</t>
        </is>
      </c>
      <c r="F2279" t="inlineStr">
        <is>
          <t>Flyingstar</t>
        </is>
      </c>
      <c r="G2279" t="n">
        <v>5</v>
      </c>
      <c r="H2279" t="n">
        <v>1</v>
      </c>
      <c r="I2279" t="inlineStr">
        <is>
          <t>Batch 1 - TR</t>
        </is>
      </c>
      <c r="J2279" s="29" t="n">
        <v>0</v>
      </c>
      <c r="K2279" s="30" t="n"/>
      <c r="L2279" s="29" t="n">
        <v>0</v>
      </c>
      <c r="M2279" s="29" t="n">
        <v>0</v>
      </c>
      <c r="N2279" s="2" t="n">
        <v>0</v>
      </c>
      <c r="O2279" s="31" t="n">
        <v>0</v>
      </c>
      <c r="P2279" s="32" t="n"/>
      <c r="Q2279" s="32" t="n">
        <v>0</v>
      </c>
      <c r="R2279" s="32" t="n">
        <v>0</v>
      </c>
      <c r="S2279" s="31" t="n">
        <v>0</v>
      </c>
      <c r="T2279" s="32" t="n">
        <v>0</v>
      </c>
      <c r="U2279" s="31" t="n">
        <v>0</v>
      </c>
      <c r="V2279" s="31" t="n">
        <v>0</v>
      </c>
      <c r="W2279" s="3" t="n">
        <v>0</v>
      </c>
      <c r="X2279" s="3" t="n">
        <v>0</v>
      </c>
      <c r="Y2279" s="32" t="n">
        <v>0</v>
      </c>
      <c r="Z2279" s="3" t="n">
        <v>0</v>
      </c>
      <c r="AA2279" s="32" t="n">
        <v>0</v>
      </c>
      <c r="AB2279" s="3" t="n"/>
      <c r="AC2279" s="31" t="n">
        <v>0</v>
      </c>
      <c r="AD2279" s="2" t="n">
        <v>0</v>
      </c>
      <c r="AE2279" s="2" t="n">
        <v>3</v>
      </c>
      <c r="AF2279" s="4" t="n">
        <v>3</v>
      </c>
      <c r="AG2279" s="33" t="n">
        <v>0</v>
      </c>
      <c r="AH2279" s="4" t="n">
        <v>0</v>
      </c>
      <c r="AI2279" s="34" t="n"/>
      <c r="AJ2279" s="34" t="n">
        <v>0</v>
      </c>
      <c r="AK2279" s="2" t="n">
        <v>0</v>
      </c>
      <c r="AL2279" t="inlineStr">
        <is>
          <t>Published</t>
        </is>
      </c>
    </row>
    <row r="2280">
      <c r="A2280">
        <f>HYPERLINK("https://www.walmart.com/ip/579257155", "579257155")</f>
        <v/>
      </c>
      <c r="B2280">
        <f>HYPERLINK("https://app.optiwise.ai/catalog/itemdetails/362130", "Tirrinia Wine Cooler bag - 3 Bottle Travel Insulated Padded Wine Carrier Tote Bag with Handle and Adjustable Shoulder Strap")</f>
        <v/>
      </c>
      <c r="C2280" t="inlineStr">
        <is>
          <t>1WMWB310KK</t>
        </is>
      </c>
      <c r="D2280" t="inlineStr">
        <is>
          <t>Home Decor, Kitchen, &amp; Other</t>
        </is>
      </c>
      <c r="E2280" t="inlineStr">
        <is>
          <t>Wine Totes, Bags &amp; Backpacks</t>
        </is>
      </c>
      <c r="F2280" t="inlineStr">
        <is>
          <t>Flyingstar</t>
        </is>
      </c>
      <c r="G2280" t="n">
        <v>0</v>
      </c>
      <c r="H2280" t="n">
        <v>0</v>
      </c>
      <c r="I2280" t="inlineStr">
        <is>
          <t>Wine,Christmas,Valentine</t>
        </is>
      </c>
      <c r="J2280" s="29" t="n">
        <v>0</v>
      </c>
      <c r="K2280" s="30" t="n"/>
      <c r="L2280" s="29" t="n">
        <v>0</v>
      </c>
      <c r="M2280" s="29" t="n">
        <v>0</v>
      </c>
      <c r="N2280" s="2" t="n">
        <v>0</v>
      </c>
      <c r="O2280" s="31" t="n">
        <v>0</v>
      </c>
      <c r="P2280" s="32" t="n"/>
      <c r="Q2280" s="32" t="n">
        <v>0</v>
      </c>
      <c r="R2280" s="32" t="n">
        <v>0</v>
      </c>
      <c r="S2280" s="31" t="n">
        <v>0</v>
      </c>
      <c r="T2280" s="32" t="n">
        <v>0</v>
      </c>
      <c r="U2280" s="31" t="n">
        <v>0</v>
      </c>
      <c r="V2280" s="31" t="n">
        <v>0</v>
      </c>
      <c r="W2280" s="3" t="n">
        <v>0</v>
      </c>
      <c r="X2280" s="3" t="n">
        <v>0</v>
      </c>
      <c r="Y2280" s="32" t="n">
        <v>0</v>
      </c>
      <c r="Z2280" s="3" t="n">
        <v>0</v>
      </c>
      <c r="AA2280" s="32" t="n">
        <v>0</v>
      </c>
      <c r="AB2280" s="3" t="n"/>
      <c r="AC2280" s="31" t="n">
        <v>0</v>
      </c>
      <c r="AD2280" s="2" t="n">
        <v>0</v>
      </c>
      <c r="AE2280" s="2" t="n">
        <v>7</v>
      </c>
      <c r="AF2280" s="4" t="n">
        <v>7</v>
      </c>
      <c r="AG2280" s="33" t="n">
        <v>0</v>
      </c>
      <c r="AH2280" s="4" t="n">
        <v>0</v>
      </c>
      <c r="AI2280" s="34" t="n"/>
      <c r="AJ2280" s="34" t="n">
        <v>0</v>
      </c>
      <c r="AK2280" s="2" t="n">
        <v>0</v>
      </c>
      <c r="AL2280" t="inlineStr">
        <is>
          <t>Published</t>
        </is>
      </c>
    </row>
    <row r="2281">
      <c r="A2281">
        <f>HYPERLINK("https://www.walmart.com/ip/618608855", "618608855")</f>
        <v/>
      </c>
      <c r="B2281">
        <f>HYPERLINK("https://app.optiwise.ai/catalog/itemdetails/361827", "Jennis Women's Sexy Net Pantyhose Stockings Sheer Ultrathin Socks - 2 Packs")</f>
        <v/>
      </c>
      <c r="C2281" t="inlineStr">
        <is>
          <t>JWBLSPH2086-2 Packs</t>
        </is>
      </c>
      <c r="D2281" t="inlineStr">
        <is>
          <t>Clothing</t>
        </is>
      </c>
      <c r="E2281" t="inlineStr">
        <is>
          <t>Pantyhose &amp; Tights</t>
        </is>
      </c>
      <c r="F2281" t="inlineStr">
        <is>
          <t>JenniWears</t>
        </is>
      </c>
      <c r="G2281" t="n">
        <v>0</v>
      </c>
      <c r="H2281" t="n">
        <v>0</v>
      </c>
      <c r="I2281" t="inlineStr">
        <is>
          <t>Optimized,Valentine</t>
        </is>
      </c>
      <c r="J2281" s="29" t="n">
        <v>0</v>
      </c>
      <c r="K2281" s="30" t="n"/>
      <c r="L2281" s="29" t="n">
        <v>0</v>
      </c>
      <c r="M2281" s="29" t="n">
        <v>0</v>
      </c>
      <c r="N2281" s="2" t="n">
        <v>0</v>
      </c>
      <c r="O2281" s="31" t="n">
        <v>0</v>
      </c>
      <c r="P2281" s="32" t="n"/>
      <c r="Q2281" s="32" t="n">
        <v>0</v>
      </c>
      <c r="R2281" s="32" t="n">
        <v>0</v>
      </c>
      <c r="S2281" s="31" t="n">
        <v>0</v>
      </c>
      <c r="T2281" s="32" t="n">
        <v>0</v>
      </c>
      <c r="U2281" s="31" t="n">
        <v>0</v>
      </c>
      <c r="V2281" s="31" t="n">
        <v>0</v>
      </c>
      <c r="W2281" s="3" t="n">
        <v>0</v>
      </c>
      <c r="X2281" s="3" t="n">
        <v>0</v>
      </c>
      <c r="Y2281" s="32" t="n">
        <v>0</v>
      </c>
      <c r="Z2281" s="3" t="n">
        <v>0</v>
      </c>
      <c r="AA2281" s="32" t="n">
        <v>0</v>
      </c>
      <c r="AB2281" s="3" t="n"/>
      <c r="AC2281" s="31" t="n">
        <v>0</v>
      </c>
      <c r="AD2281" s="2" t="n">
        <v>0</v>
      </c>
      <c r="AE2281" s="2" t="n">
        <v>1</v>
      </c>
      <c r="AF2281" s="4" t="n">
        <v>1</v>
      </c>
      <c r="AG2281" s="33" t="n">
        <v>0</v>
      </c>
      <c r="AH2281" s="4" t="n">
        <v>0</v>
      </c>
      <c r="AI2281" s="34" t="n"/>
      <c r="AJ2281" s="34" t="n">
        <v>0</v>
      </c>
      <c r="AK2281" s="2" t="n">
        <v>0</v>
      </c>
      <c r="AL2281" t="inlineStr">
        <is>
          <t>Published</t>
        </is>
      </c>
    </row>
    <row r="2282">
      <c r="A2282">
        <f>HYPERLINK("https://www.walmart.com/ip/155436747", "155436747")</f>
        <v/>
      </c>
      <c r="B2282">
        <f>HYPERLINK("https://app.optiwise.ai/catalog/itemdetails/361984", "JenniWears® Women's Seamless Mesh Hole Pothole Tube Dress")</f>
        <v/>
      </c>
      <c r="C2282" t="inlineStr">
        <is>
          <t>JWBD012YL-M</t>
        </is>
      </c>
      <c r="D2282" t="inlineStr">
        <is>
          <t>Clothing</t>
        </is>
      </c>
      <c r="E2282" t="inlineStr">
        <is>
          <t>Dresses</t>
        </is>
      </c>
      <c r="F2282" t="inlineStr">
        <is>
          <t>JenniWears</t>
        </is>
      </c>
      <c r="G2282" t="n">
        <v>0</v>
      </c>
      <c r="H2282" t="n">
        <v>0</v>
      </c>
      <c r="I2282" t="inlineStr">
        <is>
          <t>Optimized,Valentine</t>
        </is>
      </c>
      <c r="J2282" s="29" t="n">
        <v>0</v>
      </c>
      <c r="K2282" s="30" t="n"/>
      <c r="L2282" s="29" t="n">
        <v>0</v>
      </c>
      <c r="M2282" s="29" t="n">
        <v>0</v>
      </c>
      <c r="N2282" s="2" t="n">
        <v>0</v>
      </c>
      <c r="O2282" s="31" t="n">
        <v>0</v>
      </c>
      <c r="P2282" s="32" t="n"/>
      <c r="Q2282" s="32" t="n">
        <v>0</v>
      </c>
      <c r="R2282" s="32" t="n">
        <v>0</v>
      </c>
      <c r="S2282" s="31" t="n">
        <v>0</v>
      </c>
      <c r="T2282" s="32" t="n">
        <v>0</v>
      </c>
      <c r="U2282" s="31" t="n">
        <v>0</v>
      </c>
      <c r="V2282" s="31" t="n">
        <v>0</v>
      </c>
      <c r="W2282" s="3" t="n">
        <v>0</v>
      </c>
      <c r="X2282" s="3" t="n">
        <v>0</v>
      </c>
      <c r="Y2282" s="32" t="n">
        <v>0</v>
      </c>
      <c r="Z2282" s="3" t="n">
        <v>0</v>
      </c>
      <c r="AA2282" s="32" t="n">
        <v>0</v>
      </c>
      <c r="AB2282" s="3" t="n"/>
      <c r="AC2282" s="31" t="n">
        <v>0</v>
      </c>
      <c r="AD2282" s="2" t="n">
        <v>0</v>
      </c>
      <c r="AE2282" s="2" t="n">
        <v>43</v>
      </c>
      <c r="AF2282" s="4" t="n">
        <v>43</v>
      </c>
      <c r="AG2282" s="33" t="n">
        <v>0</v>
      </c>
      <c r="AH2282" s="4" t="n">
        <v>0</v>
      </c>
      <c r="AI2282" s="34" t="n"/>
      <c r="AJ2282" s="34" t="n">
        <v>0</v>
      </c>
      <c r="AK2282" s="2" t="n">
        <v>0</v>
      </c>
      <c r="AL2282" t="inlineStr">
        <is>
          <t>Published</t>
        </is>
      </c>
    </row>
    <row r="2283">
      <c r="A2283">
        <f>HYPERLINK("https://www.walmart.com/ip/335132693", "335132693")</f>
        <v/>
      </c>
      <c r="B2283">
        <f>HYPERLINK("https://app.optiwise.ai/catalog/itemdetails/361983", "Sherpa Throw Blanket, Fuzzy Snuggle Blanket for Camping Traveling Couch Bed, Super Soft, Light Weight, Reversible, All Season Use, Wine, 50 x 60.")</f>
        <v/>
      </c>
      <c r="C2283" t="inlineStr">
        <is>
          <t>1CTBF566WN</t>
        </is>
      </c>
      <c r="D2283" t="inlineStr">
        <is>
          <t>Bedding</t>
        </is>
      </c>
      <c r="E2283" t="inlineStr">
        <is>
          <t>Throws</t>
        </is>
      </c>
      <c r="F2283" t="inlineStr">
        <is>
          <t>Catalonia</t>
        </is>
      </c>
      <c r="G2283" t="n">
        <v>0</v>
      </c>
      <c r="H2283" t="n">
        <v>0</v>
      </c>
      <c r="I2283" t="inlineStr">
        <is>
          <t>Q2-Target,Optimized,Coupon_Discount</t>
        </is>
      </c>
      <c r="J2283" s="29" t="n">
        <v>0</v>
      </c>
      <c r="K2283" s="30" t="n"/>
      <c r="L2283" s="29" t="n">
        <v>0</v>
      </c>
      <c r="M2283" s="29" t="n">
        <v>0</v>
      </c>
      <c r="N2283" s="2" t="n">
        <v>0</v>
      </c>
      <c r="O2283" s="31" t="n">
        <v>0</v>
      </c>
      <c r="P2283" s="32" t="n"/>
      <c r="Q2283" s="32" t="n">
        <v>0</v>
      </c>
      <c r="R2283" s="32" t="n">
        <v>0</v>
      </c>
      <c r="S2283" s="31" t="n">
        <v>0</v>
      </c>
      <c r="T2283" s="32" t="n">
        <v>0</v>
      </c>
      <c r="U2283" s="31" t="n">
        <v>0</v>
      </c>
      <c r="V2283" s="31" t="n">
        <v>0</v>
      </c>
      <c r="W2283" s="3" t="n">
        <v>0</v>
      </c>
      <c r="X2283" s="3" t="n">
        <v>0</v>
      </c>
      <c r="Y2283" s="32" t="n">
        <v>0</v>
      </c>
      <c r="Z2283" s="3" t="n">
        <v>0</v>
      </c>
      <c r="AA2283" s="32" t="n">
        <v>0</v>
      </c>
      <c r="AB2283" s="3" t="n"/>
      <c r="AC2283" s="31" t="n">
        <v>0</v>
      </c>
      <c r="AD2283" s="2" t="n">
        <v>0</v>
      </c>
      <c r="AE2283" s="2" t="n">
        <v>3</v>
      </c>
      <c r="AF2283" s="4" t="n">
        <v>3</v>
      </c>
      <c r="AG2283" s="33" t="n">
        <v>0</v>
      </c>
      <c r="AH2283" s="4" t="n">
        <v>0</v>
      </c>
      <c r="AI2283" s="34" t="n"/>
      <c r="AJ2283" s="34" t="n">
        <v>0</v>
      </c>
      <c r="AK2283" s="2" t="n">
        <v>0</v>
      </c>
      <c r="AL2283" t="inlineStr">
        <is>
          <t>Published</t>
        </is>
      </c>
    </row>
    <row r="2284">
      <c r="A2284">
        <f>HYPERLINK("https://www.walmart.com/ip/149506671", "149506671")</f>
        <v/>
      </c>
      <c r="B2284">
        <f>HYPERLINK("https://app.optiwise.ai/catalog/itemdetails/361979", "JenniWears Women's Beileise  Sexy Net Pantyhose  Stockings Black Sheer Socks - 6 Packs")</f>
        <v/>
      </c>
      <c r="C2284" t="inlineStr">
        <is>
          <t>JWBLSPH2085-6pcs</t>
        </is>
      </c>
      <c r="D2284" t="inlineStr">
        <is>
          <t>Clothing</t>
        </is>
      </c>
      <c r="E2284" t="inlineStr">
        <is>
          <t>Pantyhose &amp; Tights</t>
        </is>
      </c>
      <c r="F2284" t="inlineStr">
        <is>
          <t>JenniWears</t>
        </is>
      </c>
      <c r="G2284" t="n">
        <v>0</v>
      </c>
      <c r="H2284" t="n">
        <v>0</v>
      </c>
      <c r="I2284" t="inlineStr">
        <is>
          <t>Optimized,Valentine</t>
        </is>
      </c>
      <c r="J2284" s="29" t="n">
        <v>0</v>
      </c>
      <c r="K2284" s="30" t="n"/>
      <c r="L2284" s="29" t="n">
        <v>0</v>
      </c>
      <c r="M2284" s="29" t="n">
        <v>0</v>
      </c>
      <c r="N2284" s="2" t="n">
        <v>0</v>
      </c>
      <c r="O2284" s="31" t="n">
        <v>0</v>
      </c>
      <c r="P2284" s="32" t="n"/>
      <c r="Q2284" s="32" t="n">
        <v>0</v>
      </c>
      <c r="R2284" s="32" t="n">
        <v>0</v>
      </c>
      <c r="S2284" s="31" t="n">
        <v>0</v>
      </c>
      <c r="T2284" s="32" t="n">
        <v>0</v>
      </c>
      <c r="U2284" s="31" t="n">
        <v>0</v>
      </c>
      <c r="V2284" s="31" t="n">
        <v>0</v>
      </c>
      <c r="W2284" s="3" t="n">
        <v>0</v>
      </c>
      <c r="X2284" s="3" t="n">
        <v>0</v>
      </c>
      <c r="Y2284" s="32" t="n">
        <v>0</v>
      </c>
      <c r="Z2284" s="3" t="n">
        <v>0</v>
      </c>
      <c r="AA2284" s="32" t="n">
        <v>0</v>
      </c>
      <c r="AB2284" s="3" t="n"/>
      <c r="AC2284" s="31" t="n">
        <v>0</v>
      </c>
      <c r="AD2284" s="2" t="n">
        <v>0</v>
      </c>
      <c r="AE2284" s="2" t="n">
        <v>3</v>
      </c>
      <c r="AF2284" s="4" t="n">
        <v>3</v>
      </c>
      <c r="AG2284" s="33" t="n">
        <v>0</v>
      </c>
      <c r="AH2284" s="4" t="n">
        <v>0</v>
      </c>
      <c r="AI2284" s="34" t="n"/>
      <c r="AJ2284" s="34" t="n">
        <v>0</v>
      </c>
      <c r="AK2284" s="2" t="n">
        <v>0</v>
      </c>
      <c r="AL2284" t="inlineStr">
        <is>
          <t>Published</t>
        </is>
      </c>
    </row>
    <row r="2285">
      <c r="A2285">
        <f>HYPERLINK("https://www.walmart.com/ip/184708422", "184708422")</f>
        <v/>
      </c>
      <c r="B2285">
        <f>HYPERLINK("https://app.optiwise.ai/catalog/itemdetails/361978", "Deluxe Stylish Microplush Sleeved Fleece Blanket Soft Home Sofa Snuggie")</f>
        <v/>
      </c>
      <c r="C2285" t="inlineStr">
        <is>
          <t>k3000-cheetah</t>
        </is>
      </c>
      <c r="D2285" t="inlineStr">
        <is>
          <t>Clothing</t>
        </is>
      </c>
      <c r="E2285" t="inlineStr">
        <is>
          <t>Throws</t>
        </is>
      </c>
      <c r="F2285" t="inlineStr">
        <is>
          <t>NAPA</t>
        </is>
      </c>
      <c r="G2285" t="n">
        <v>0</v>
      </c>
      <c r="H2285" t="n">
        <v>0</v>
      </c>
      <c r="I2285" t="inlineStr">
        <is>
          <t>Batch 1 - TR</t>
        </is>
      </c>
      <c r="J2285" s="29" t="n">
        <v>0</v>
      </c>
      <c r="K2285" s="30" t="n"/>
      <c r="L2285" s="29" t="n">
        <v>0</v>
      </c>
      <c r="M2285" s="29" t="n">
        <v>0</v>
      </c>
      <c r="N2285" s="2" t="n">
        <v>0</v>
      </c>
      <c r="O2285" s="31" t="n">
        <v>0</v>
      </c>
      <c r="P2285" s="32" t="n"/>
      <c r="Q2285" s="32" t="n">
        <v>0</v>
      </c>
      <c r="R2285" s="32" t="n">
        <v>0</v>
      </c>
      <c r="S2285" s="31" t="n">
        <v>0</v>
      </c>
      <c r="T2285" s="32" t="n">
        <v>0</v>
      </c>
      <c r="U2285" s="31" t="n">
        <v>0</v>
      </c>
      <c r="V2285" s="31" t="n">
        <v>0</v>
      </c>
      <c r="W2285" s="3" t="n">
        <v>0</v>
      </c>
      <c r="X2285" s="3" t="n">
        <v>0</v>
      </c>
      <c r="Y2285" s="32" t="n">
        <v>0</v>
      </c>
      <c r="Z2285" s="3" t="n">
        <v>0</v>
      </c>
      <c r="AA2285" s="32" t="n">
        <v>0</v>
      </c>
      <c r="AB2285" s="3" t="n"/>
      <c r="AC2285" s="31" t="n">
        <v>0</v>
      </c>
      <c r="AD2285" s="2" t="n">
        <v>0</v>
      </c>
      <c r="AE2285" s="2" t="n">
        <v>19</v>
      </c>
      <c r="AF2285" s="4" t="n">
        <v>19</v>
      </c>
      <c r="AG2285" s="33" t="n">
        <v>0</v>
      </c>
      <c r="AH2285" s="4" t="n">
        <v>0</v>
      </c>
      <c r="AI2285" s="34" t="n"/>
      <c r="AJ2285" s="34" t="n">
        <v>0</v>
      </c>
      <c r="AK2285" s="2" t="n">
        <v>0</v>
      </c>
      <c r="AL2285" t="inlineStr">
        <is>
          <t>Published</t>
        </is>
      </c>
    </row>
    <row r="2286">
      <c r="A2286">
        <f>HYPERLINK("https://www.walmart.com/ip/111128114", "111128114")</f>
        <v/>
      </c>
      <c r="B2286">
        <f>HYPERLINK("https://app.optiwise.ai/catalog/itemdetails/362132", "JenniWears® Women's Sexy Lace Nightgown Sleepwear Bathrobe 2 Piece Set")</f>
        <v/>
      </c>
      <c r="C2286" t="inlineStr">
        <is>
          <t>JWRS02RD-M</t>
        </is>
      </c>
      <c r="D2286" t="inlineStr">
        <is>
          <t>Clothing</t>
        </is>
      </c>
      <c r="E2286" t="inlineStr">
        <is>
          <t>Nightgowns &amp; Sleepshirts</t>
        </is>
      </c>
      <c r="F2286" t="inlineStr">
        <is>
          <t>JenniWears</t>
        </is>
      </c>
      <c r="G2286" t="n">
        <v>0</v>
      </c>
      <c r="H2286" t="n">
        <v>0</v>
      </c>
      <c r="I2286" t="inlineStr">
        <is>
          <t>Optimized,Valentine,Bathrobe</t>
        </is>
      </c>
      <c r="J2286" s="29" t="n">
        <v>0</v>
      </c>
      <c r="K2286" s="30" t="n"/>
      <c r="L2286" s="29" t="n">
        <v>0</v>
      </c>
      <c r="M2286" s="29" t="n">
        <v>0</v>
      </c>
      <c r="N2286" s="2" t="n">
        <v>0</v>
      </c>
      <c r="O2286" s="31" t="n">
        <v>0</v>
      </c>
      <c r="P2286" s="32" t="n"/>
      <c r="Q2286" s="32" t="n">
        <v>0</v>
      </c>
      <c r="R2286" s="32" t="n">
        <v>0</v>
      </c>
      <c r="S2286" s="31" t="n">
        <v>0</v>
      </c>
      <c r="T2286" s="32" t="n">
        <v>0</v>
      </c>
      <c r="U2286" s="31" t="n">
        <v>0</v>
      </c>
      <c r="V2286" s="31" t="n">
        <v>0</v>
      </c>
      <c r="W2286" s="3" t="n">
        <v>0</v>
      </c>
      <c r="X2286" s="3" t="n">
        <v>0</v>
      </c>
      <c r="Y2286" s="32" t="n">
        <v>0</v>
      </c>
      <c r="Z2286" s="3" t="n">
        <v>0</v>
      </c>
      <c r="AA2286" s="32" t="n">
        <v>0</v>
      </c>
      <c r="AB2286" s="3" t="n"/>
      <c r="AC2286" s="31" t="n">
        <v>0</v>
      </c>
      <c r="AD2286" s="2" t="n">
        <v>0</v>
      </c>
      <c r="AE2286" s="2" t="n">
        <v>4</v>
      </c>
      <c r="AF2286" s="4" t="n">
        <v>4</v>
      </c>
      <c r="AG2286" s="33" t="n">
        <v>0</v>
      </c>
      <c r="AH2286" s="4" t="n">
        <v>0</v>
      </c>
      <c r="AI2286" s="34" t="n"/>
      <c r="AJ2286" s="34" t="n">
        <v>0</v>
      </c>
      <c r="AK2286" s="2" t="n">
        <v>0</v>
      </c>
      <c r="AL2286" t="inlineStr">
        <is>
          <t>Published</t>
        </is>
      </c>
    </row>
    <row r="2287">
      <c r="A2287">
        <f>HYPERLINK("https://www.walmart.com/ip/311390337", "311390337")</f>
        <v/>
      </c>
      <c r="B2287">
        <f>HYPERLINK("https://app.optiwise.ai/catalog/itemdetails/362021", "JenniWears 2 White Sheer Sexy Ladies Panty-hose Stockings Lingeries Socks Wife Gift")</f>
        <v/>
      </c>
      <c r="C2287" t="inlineStr">
        <is>
          <t>JWBLSPH2015-2 Packs</t>
        </is>
      </c>
      <c r="D2287" t="inlineStr">
        <is>
          <t>Clothing</t>
        </is>
      </c>
      <c r="E2287" t="inlineStr">
        <is>
          <t>Pantyhose &amp; Tights</t>
        </is>
      </c>
      <c r="F2287" t="inlineStr">
        <is>
          <t>JenniWears</t>
        </is>
      </c>
      <c r="G2287" t="n">
        <v>0</v>
      </c>
      <c r="H2287" t="n">
        <v>0</v>
      </c>
      <c r="I2287" t="inlineStr">
        <is>
          <t>Optimized,Valentine</t>
        </is>
      </c>
      <c r="J2287" s="29" t="n">
        <v>0</v>
      </c>
      <c r="K2287" s="30" t="n"/>
      <c r="L2287" s="29" t="n">
        <v>0</v>
      </c>
      <c r="M2287" s="29" t="n">
        <v>0</v>
      </c>
      <c r="N2287" s="2" t="n">
        <v>0</v>
      </c>
      <c r="O2287" s="31" t="n">
        <v>0</v>
      </c>
      <c r="P2287" s="32" t="n"/>
      <c r="Q2287" s="32" t="n">
        <v>0</v>
      </c>
      <c r="R2287" s="32" t="n">
        <v>0</v>
      </c>
      <c r="S2287" s="31" t="n">
        <v>0</v>
      </c>
      <c r="T2287" s="32" t="n">
        <v>0</v>
      </c>
      <c r="U2287" s="31" t="n">
        <v>0</v>
      </c>
      <c r="V2287" s="31" t="n">
        <v>0</v>
      </c>
      <c r="W2287" s="3" t="n">
        <v>0</v>
      </c>
      <c r="X2287" s="3" t="n">
        <v>0</v>
      </c>
      <c r="Y2287" s="32" t="n">
        <v>0</v>
      </c>
      <c r="Z2287" s="3" t="n">
        <v>0</v>
      </c>
      <c r="AA2287" s="32" t="n">
        <v>0</v>
      </c>
      <c r="AB2287" s="3" t="n"/>
      <c r="AC2287" s="31" t="n">
        <v>0</v>
      </c>
      <c r="AD2287" s="2" t="n">
        <v>0</v>
      </c>
      <c r="AE2287" s="2" t="n">
        <v>5</v>
      </c>
      <c r="AF2287" s="4" t="n">
        <v>5</v>
      </c>
      <c r="AG2287" s="33" t="n">
        <v>0</v>
      </c>
      <c r="AH2287" s="4" t="n">
        <v>0</v>
      </c>
      <c r="AI2287" s="34" t="n"/>
      <c r="AJ2287" s="34" t="n">
        <v>0</v>
      </c>
      <c r="AK2287" s="2" t="n">
        <v>0</v>
      </c>
      <c r="AL2287" t="inlineStr">
        <is>
          <t>Published</t>
        </is>
      </c>
    </row>
    <row r="2288">
      <c r="A2288">
        <f>HYPERLINK("https://www.walmart.com/ip/184413030", "184413030")</f>
        <v/>
      </c>
      <c r="B2288">
        <f>HYPERLINK("https://app.optiwise.ai/catalog/itemdetails/362034", "Tirrinia Floppy Straw Sun Hat for Women Striped Foldable Beach Cap with Wide Brim Tan")</f>
        <v/>
      </c>
      <c r="C2288" t="inlineStr">
        <is>
          <t>1TRSH371TN-TBCB</t>
        </is>
      </c>
      <c r="D2288" t="inlineStr">
        <is>
          <t>Clothing</t>
        </is>
      </c>
      <c r="E2288" t="inlineStr">
        <is>
          <t>Hats</t>
        </is>
      </c>
      <c r="F2288" t="inlineStr">
        <is>
          <t>Tirrinia</t>
        </is>
      </c>
      <c r="G2288" t="n">
        <v>4.2</v>
      </c>
      <c r="H2288" t="n">
        <v>12</v>
      </c>
      <c r="I2288" t="inlineStr">
        <is>
          <t>WFS,WFS Item</t>
        </is>
      </c>
      <c r="J2288" s="29" t="n">
        <v>0</v>
      </c>
      <c r="K2288" s="30" t="n"/>
      <c r="L2288" s="29" t="n">
        <v>0</v>
      </c>
      <c r="M2288" s="29" t="n">
        <v>0</v>
      </c>
      <c r="N2288" s="2" t="n">
        <v>0</v>
      </c>
      <c r="O2288" s="31" t="n">
        <v>0</v>
      </c>
      <c r="P2288" s="32" t="n"/>
      <c r="Q2288" s="32" t="n">
        <v>0</v>
      </c>
      <c r="R2288" s="32" t="n">
        <v>0</v>
      </c>
      <c r="S2288" s="31" t="n">
        <v>0</v>
      </c>
      <c r="T2288" s="32" t="n">
        <v>0</v>
      </c>
      <c r="U2288" s="31" t="n">
        <v>0</v>
      </c>
      <c r="V2288" s="31" t="n">
        <v>0</v>
      </c>
      <c r="W2288" s="3" t="n">
        <v>0</v>
      </c>
      <c r="X2288" s="3" t="n">
        <v>0</v>
      </c>
      <c r="Y2288" s="32" t="n">
        <v>0</v>
      </c>
      <c r="Z2288" s="3" t="n">
        <v>0</v>
      </c>
      <c r="AA2288" s="32" t="n">
        <v>0</v>
      </c>
      <c r="AB2288" s="3" t="n"/>
      <c r="AC2288" s="31" t="n">
        <v>0</v>
      </c>
      <c r="AD2288" s="2" t="n">
        <v>0</v>
      </c>
      <c r="AE2288" s="2" t="n">
        <v>21</v>
      </c>
      <c r="AF2288" s="4" t="n">
        <v>21</v>
      </c>
      <c r="AG2288" s="33" t="n">
        <v>0</v>
      </c>
      <c r="AH2288" s="4" t="n">
        <v>0</v>
      </c>
      <c r="AI2288" s="34" t="n"/>
      <c r="AJ2288" s="34" t="n">
        <v>0</v>
      </c>
      <c r="AK2288" s="2" t="n">
        <v>0</v>
      </c>
      <c r="AL2288" t="inlineStr">
        <is>
          <t>Published</t>
        </is>
      </c>
    </row>
    <row r="2289">
      <c r="A2289">
        <f>HYPERLINK("https://www.walmart.com/ip/398223361", "398223361")</f>
        <v/>
      </c>
      <c r="B2289">
        <f>HYPERLINK("https://app.optiwise.ai/catalog/itemdetails/362116", "Sherpa Fleece Blanket National Flag Print Patriotic Plush Soft Warm Reversible Polar Throw for Couch Bed by Catalon")</f>
        <v/>
      </c>
      <c r="C2289" t="inlineStr">
        <is>
          <t>1CTBF300USA2</t>
        </is>
      </c>
      <c r="D2289" t="inlineStr">
        <is>
          <t>Bedding</t>
        </is>
      </c>
      <c r="E2289" t="inlineStr">
        <is>
          <t>Throws</t>
        </is>
      </c>
      <c r="F2289" t="inlineStr">
        <is>
          <t>Catalonia</t>
        </is>
      </c>
      <c r="G2289" t="n">
        <v>0</v>
      </c>
      <c r="H2289" t="n">
        <v>0</v>
      </c>
      <c r="I2289" t="inlineStr">
        <is>
          <t>WFS,WFS Item</t>
        </is>
      </c>
      <c r="J2289" s="29" t="n">
        <v>0</v>
      </c>
      <c r="K2289" s="30" t="n"/>
      <c r="L2289" s="29" t="n">
        <v>0</v>
      </c>
      <c r="M2289" s="29" t="n">
        <v>0</v>
      </c>
      <c r="N2289" s="2" t="n">
        <v>0</v>
      </c>
      <c r="O2289" s="31" t="n">
        <v>0</v>
      </c>
      <c r="P2289" s="32" t="n"/>
      <c r="Q2289" s="32" t="n">
        <v>0</v>
      </c>
      <c r="R2289" s="32" t="n">
        <v>0</v>
      </c>
      <c r="S2289" s="31" t="n">
        <v>0</v>
      </c>
      <c r="T2289" s="32" t="n">
        <v>0</v>
      </c>
      <c r="U2289" s="31" t="n">
        <v>0</v>
      </c>
      <c r="V2289" s="31" t="n">
        <v>0</v>
      </c>
      <c r="W2289" s="3" t="n">
        <v>0</v>
      </c>
      <c r="X2289" s="3" t="n">
        <v>0</v>
      </c>
      <c r="Y2289" s="32" t="n">
        <v>0</v>
      </c>
      <c r="Z2289" s="3" t="n">
        <v>0</v>
      </c>
      <c r="AA2289" s="32" t="n">
        <v>0</v>
      </c>
      <c r="AB2289" s="3" t="n"/>
      <c r="AC2289" s="31" t="n">
        <v>0</v>
      </c>
      <c r="AD2289" s="2" t="n">
        <v>0</v>
      </c>
      <c r="AE2289" s="2" t="n">
        <v>6</v>
      </c>
      <c r="AF2289" s="4" t="n">
        <v>6</v>
      </c>
      <c r="AG2289" s="33" t="n">
        <v>0</v>
      </c>
      <c r="AH2289" s="4" t="n">
        <v>0</v>
      </c>
      <c r="AI2289" s="34" t="n"/>
      <c r="AJ2289" s="34" t="n">
        <v>0</v>
      </c>
      <c r="AK2289" s="2" t="n">
        <v>0</v>
      </c>
      <c r="AL2289" t="inlineStr">
        <is>
          <t>Published</t>
        </is>
      </c>
    </row>
    <row r="2290">
      <c r="A2290">
        <f>HYPERLINK("https://www.walmart.com/ip/547741708", "547741708")</f>
        <v/>
      </c>
      <c r="B2290">
        <f>HYPERLINK("https://app.optiwise.ai/catalog/itemdetails/362042", "UV Protection Fishing Hat, Wide Brim Sun Hats for Men Women Cooling Hat")</f>
        <v/>
      </c>
      <c r="C2290" t="inlineStr">
        <is>
          <t>1WMCH100OL</t>
        </is>
      </c>
      <c r="D2290" t="inlineStr">
        <is>
          <t>Clothing</t>
        </is>
      </c>
      <c r="E2290" t="inlineStr">
        <is>
          <t>Hats</t>
        </is>
      </c>
      <c r="F2290" t="inlineStr">
        <is>
          <t>Flyingstar</t>
        </is>
      </c>
      <c r="G2290" t="n">
        <v>0</v>
      </c>
      <c r="H2290" t="n">
        <v>0</v>
      </c>
      <c r="I2290" t="inlineStr">
        <is>
          <t>Optimized,Hats</t>
        </is>
      </c>
      <c r="J2290" s="29" t="n">
        <v>0</v>
      </c>
      <c r="K2290" s="30" t="n"/>
      <c r="L2290" s="29" t="n">
        <v>0</v>
      </c>
      <c r="M2290" s="29" t="n">
        <v>0</v>
      </c>
      <c r="N2290" s="2" t="n">
        <v>0</v>
      </c>
      <c r="O2290" s="31" t="n">
        <v>0</v>
      </c>
      <c r="P2290" s="32" t="n"/>
      <c r="Q2290" s="32" t="n">
        <v>0</v>
      </c>
      <c r="R2290" s="32" t="n">
        <v>0</v>
      </c>
      <c r="S2290" s="31" t="n">
        <v>0</v>
      </c>
      <c r="T2290" s="32" t="n">
        <v>0</v>
      </c>
      <c r="U2290" s="31" t="n">
        <v>0</v>
      </c>
      <c r="V2290" s="31" t="n">
        <v>0</v>
      </c>
      <c r="W2290" s="3" t="n">
        <v>0</v>
      </c>
      <c r="X2290" s="3" t="n">
        <v>0</v>
      </c>
      <c r="Y2290" s="32" t="n">
        <v>0</v>
      </c>
      <c r="Z2290" s="3" t="n">
        <v>0</v>
      </c>
      <c r="AA2290" s="32" t="n">
        <v>0</v>
      </c>
      <c r="AB2290" s="3" t="n"/>
      <c r="AC2290" s="31" t="n">
        <v>0</v>
      </c>
      <c r="AD2290" s="2" t="n">
        <v>0</v>
      </c>
      <c r="AE2290" s="2" t="n">
        <v>16</v>
      </c>
      <c r="AF2290" s="4" t="n">
        <v>16</v>
      </c>
      <c r="AG2290" s="33" t="n">
        <v>0</v>
      </c>
      <c r="AH2290" s="4" t="n">
        <v>0</v>
      </c>
      <c r="AI2290" s="34" t="n"/>
      <c r="AJ2290" s="34" t="n">
        <v>0</v>
      </c>
      <c r="AK2290" s="2" t="n">
        <v>0</v>
      </c>
      <c r="AL2290" t="inlineStr">
        <is>
          <t>Published</t>
        </is>
      </c>
    </row>
    <row r="2291">
      <c r="A2291">
        <f>HYPERLINK("https://www.walmart.com/ip/144503035", "144503035")</f>
        <v/>
      </c>
      <c r="B2291">
        <f>HYPERLINK("https://app.optiwise.ai/catalog/itemdetails/362115", "Stemless Insulated Wine Tumbler Set with Lid, Stainless Steel Double Walled Metal Wine &amp; Champagne Tumbler with Straw and Brush for Camping, Travel and Outdoor, Rose Gold, 12oz, 2 Pack.")</f>
        <v/>
      </c>
      <c r="C2291" t="inlineStr">
        <is>
          <t>1TRWT120RG -2PK</t>
        </is>
      </c>
      <c r="D2291" t="inlineStr">
        <is>
          <t>Home Decor, Kitchen, &amp; Other</t>
        </is>
      </c>
      <c r="E2291" t="inlineStr">
        <is>
          <t>Tumblers</t>
        </is>
      </c>
      <c r="F2291" t="inlineStr">
        <is>
          <t>Tirrinia</t>
        </is>
      </c>
      <c r="G2291" t="n">
        <v>4.8</v>
      </c>
      <c r="H2291" t="n">
        <v>18</v>
      </c>
      <c r="I2291" t="inlineStr">
        <is>
          <t>Wine,Christmas,Optimized,WFS,Wine WFS,Valentine,SEM,WFS Item</t>
        </is>
      </c>
      <c r="J2291" s="29" t="n">
        <v>0</v>
      </c>
      <c r="K2291" s="30" t="n"/>
      <c r="L2291" s="29" t="n">
        <v>0</v>
      </c>
      <c r="M2291" s="29" t="n">
        <v>0</v>
      </c>
      <c r="N2291" s="2" t="n">
        <v>0</v>
      </c>
      <c r="O2291" s="31" t="n">
        <v>0.96</v>
      </c>
      <c r="P2291" s="32" t="n">
        <v>0.0001</v>
      </c>
      <c r="Q2291" s="32" t="n">
        <v>0</v>
      </c>
      <c r="R2291" s="32" t="n">
        <v>0</v>
      </c>
      <c r="S2291" s="31" t="n">
        <v>0</v>
      </c>
      <c r="T2291" s="32" t="n">
        <v>0</v>
      </c>
      <c r="U2291" s="31" t="n">
        <v>0</v>
      </c>
      <c r="V2291" s="31" t="n">
        <v>0</v>
      </c>
      <c r="W2291" s="3" t="n">
        <v>13</v>
      </c>
      <c r="X2291" s="3" t="n">
        <v>2</v>
      </c>
      <c r="Y2291" s="32" t="n">
        <v>0.1538</v>
      </c>
      <c r="Z2291" s="3" t="n">
        <v>0</v>
      </c>
      <c r="AA2291" s="32" t="n">
        <v>0</v>
      </c>
      <c r="AB2291" s="3" t="inlineStr">
        <is>
          <t>Auto Campaign_Vinay</t>
        </is>
      </c>
      <c r="AC2291" s="31" t="n">
        <v>0.48</v>
      </c>
      <c r="AD2291" s="2" t="n">
        <v>0</v>
      </c>
      <c r="AE2291" s="2" t="n">
        <v>17</v>
      </c>
      <c r="AF2291" s="4" t="n">
        <v>15</v>
      </c>
      <c r="AG2291" s="33" t="n">
        <v>0</v>
      </c>
      <c r="AH2291" s="4" t="n">
        <v>0</v>
      </c>
      <c r="AI2291" s="34" t="n"/>
      <c r="AJ2291" s="34" t="n">
        <v>0</v>
      </c>
      <c r="AK2291" s="2" t="n">
        <v>0</v>
      </c>
      <c r="AL2291" t="inlineStr">
        <is>
          <t>Published</t>
        </is>
      </c>
    </row>
    <row r="2292">
      <c r="A2292">
        <f>HYPERLINK("https://www.walmart.com/ip/169679519", "169679519")</f>
        <v/>
      </c>
      <c r="B2292">
        <f>HYPERLINK("https://app.optiwise.ai/catalog/itemdetails/362114", "KC Caps® Cotton Twill Deluxe Super Soft Mesh Adjustable Snapback Low Profile Trucker Baseball Cap")</f>
        <v/>
      </c>
      <c r="C2292" t="inlineStr">
        <is>
          <t>KCCAPSSZK641TGR/ST</t>
        </is>
      </c>
      <c r="D2292" t="inlineStr">
        <is>
          <t>Clothing</t>
        </is>
      </c>
      <c r="E2292" t="inlineStr">
        <is>
          <t>Hats</t>
        </is>
      </c>
      <c r="F2292" t="inlineStr">
        <is>
          <t>KC Caps</t>
        </is>
      </c>
      <c r="G2292" t="n">
        <v>0</v>
      </c>
      <c r="H2292" t="n">
        <v>0</v>
      </c>
      <c r="I2292" t="inlineStr">
        <is>
          <t>Optimized</t>
        </is>
      </c>
      <c r="J2292" s="29" t="n">
        <v>0</v>
      </c>
      <c r="K2292" s="30" t="n"/>
      <c r="L2292" s="29" t="n">
        <v>0</v>
      </c>
      <c r="M2292" s="29" t="n">
        <v>0</v>
      </c>
      <c r="N2292" s="2" t="n">
        <v>0</v>
      </c>
      <c r="O2292" s="31" t="n">
        <v>0</v>
      </c>
      <c r="P2292" s="32" t="n"/>
      <c r="Q2292" s="32" t="n">
        <v>0</v>
      </c>
      <c r="R2292" s="32" t="n">
        <v>0</v>
      </c>
      <c r="S2292" s="31" t="n">
        <v>0</v>
      </c>
      <c r="T2292" s="32" t="n">
        <v>0</v>
      </c>
      <c r="U2292" s="31" t="n">
        <v>0</v>
      </c>
      <c r="V2292" s="31" t="n">
        <v>0</v>
      </c>
      <c r="W2292" s="3" t="n">
        <v>0</v>
      </c>
      <c r="X2292" s="3" t="n">
        <v>0</v>
      </c>
      <c r="Y2292" s="32" t="n">
        <v>0</v>
      </c>
      <c r="Z2292" s="3" t="n">
        <v>0</v>
      </c>
      <c r="AA2292" s="32" t="n">
        <v>0</v>
      </c>
      <c r="AB2292" s="3" t="n"/>
      <c r="AC2292" s="31" t="n">
        <v>0</v>
      </c>
      <c r="AD2292" s="2" t="n">
        <v>0</v>
      </c>
      <c r="AE2292" s="2" t="n">
        <v>2</v>
      </c>
      <c r="AF2292" s="4" t="n">
        <v>2</v>
      </c>
      <c r="AG2292" s="33" t="n">
        <v>0</v>
      </c>
      <c r="AH2292" s="4" t="n">
        <v>0</v>
      </c>
      <c r="AI2292" s="34" t="n"/>
      <c r="AJ2292" s="34" t="n">
        <v>0</v>
      </c>
      <c r="AK2292" s="2" t="n">
        <v>0</v>
      </c>
      <c r="AL2292" t="inlineStr">
        <is>
          <t>Published</t>
        </is>
      </c>
    </row>
    <row r="2293">
      <c r="A2293">
        <f>HYPERLINK("https://www.walmart.com/ip/262410560", "262410560")</f>
        <v/>
      </c>
      <c r="B2293">
        <f>HYPERLINK("https://app.optiwise.ai/catalog/itemdetails/362106", "Microplush Sherpa Blanket with Sleeves for Women and Men Wine")</f>
        <v/>
      </c>
      <c r="C2293" t="inlineStr">
        <is>
          <t>1TRSN410WN</t>
        </is>
      </c>
      <c r="D2293" t="inlineStr">
        <is>
          <t>Home Decor, Kitchen, &amp; Other</t>
        </is>
      </c>
      <c r="E2293" t="inlineStr">
        <is>
          <t>Throws</t>
        </is>
      </c>
      <c r="F2293" t="inlineStr">
        <is>
          <t>Tirrinia</t>
        </is>
      </c>
      <c r="G2293" t="n">
        <v>4.5</v>
      </c>
      <c r="H2293" t="n">
        <v>21</v>
      </c>
      <c r="I2293" t="inlineStr">
        <is>
          <t>WFS,WFS Item</t>
        </is>
      </c>
      <c r="J2293" s="29" t="n">
        <v>0</v>
      </c>
      <c r="K2293" s="30" t="n"/>
      <c r="L2293" s="29" t="n">
        <v>0</v>
      </c>
      <c r="M2293" s="29" t="n">
        <v>0</v>
      </c>
      <c r="N2293" s="2" t="n">
        <v>0</v>
      </c>
      <c r="O2293" s="31" t="n">
        <v>1</v>
      </c>
      <c r="P2293" s="32" t="n">
        <v>0.0001</v>
      </c>
      <c r="Q2293" s="32" t="n">
        <v>0</v>
      </c>
      <c r="R2293" s="32" t="n">
        <v>0</v>
      </c>
      <c r="S2293" s="31" t="n">
        <v>0</v>
      </c>
      <c r="T2293" s="32" t="n">
        <v>0</v>
      </c>
      <c r="U2293" s="31" t="n">
        <v>0</v>
      </c>
      <c r="V2293" s="31" t="n">
        <v>0</v>
      </c>
      <c r="W2293" s="3" t="n">
        <v>556</v>
      </c>
      <c r="X2293" s="3" t="n">
        <v>2</v>
      </c>
      <c r="Y2293" s="32" t="n">
        <v>0.0036</v>
      </c>
      <c r="Z2293" s="3" t="n">
        <v>0</v>
      </c>
      <c r="AA2293" s="32" t="n">
        <v>0</v>
      </c>
      <c r="AB2293" s="3" t="inlineStr">
        <is>
          <t>High AUR SKUs_Optiwise_2024</t>
        </is>
      </c>
      <c r="AC2293" s="31" t="n">
        <v>0.5</v>
      </c>
      <c r="AD2293" s="2" t="n">
        <v>0</v>
      </c>
      <c r="AE2293" s="2" t="n">
        <v>110</v>
      </c>
      <c r="AF2293" s="4" t="n">
        <v>108</v>
      </c>
      <c r="AG2293" s="33" t="n">
        <v>0</v>
      </c>
      <c r="AH2293" s="4" t="n">
        <v>0</v>
      </c>
      <c r="AI2293" s="34" t="n"/>
      <c r="AJ2293" s="34" t="n">
        <v>0</v>
      </c>
      <c r="AK2293" s="2" t="n">
        <v>0</v>
      </c>
      <c r="AL2293" t="inlineStr">
        <is>
          <t>Published</t>
        </is>
      </c>
    </row>
    <row r="2294">
      <c r="A2294">
        <f>HYPERLINK("https://www.walmart.com/ip/369508891", "369508891")</f>
        <v/>
      </c>
      <c r="B2294">
        <f>HYPERLINK("https://app.optiwise.ai/catalog/itemdetails/362102", "Womens Sun Hat w/ Floppy Brim, Straw Edge Foldable Gardening Hiking Beach Hat for Women")</f>
        <v/>
      </c>
      <c r="C2294" t="inlineStr">
        <is>
          <t>1SLSH031BE</t>
        </is>
      </c>
      <c r="D2294" t="inlineStr">
        <is>
          <t>Clothing</t>
        </is>
      </c>
      <c r="E2294" t="inlineStr">
        <is>
          <t>Hats</t>
        </is>
      </c>
      <c r="F2294" t="inlineStr">
        <is>
          <t>Solaris</t>
        </is>
      </c>
      <c r="G2294" t="n">
        <v>3.3</v>
      </c>
      <c r="H2294" t="n">
        <v>19</v>
      </c>
      <c r="I2294" t="inlineStr">
        <is>
          <t>WFS,Hats,WFS Item</t>
        </is>
      </c>
      <c r="J2294" s="29" t="n">
        <v>0</v>
      </c>
      <c r="K2294" s="30" t="n"/>
      <c r="L2294" s="29" t="n">
        <v>0</v>
      </c>
      <c r="M2294" s="29" t="n">
        <v>0</v>
      </c>
      <c r="N2294" s="2" t="n">
        <v>0</v>
      </c>
      <c r="O2294" s="31" t="n">
        <v>0</v>
      </c>
      <c r="P2294" s="32" t="n"/>
      <c r="Q2294" s="32" t="n">
        <v>0</v>
      </c>
      <c r="R2294" s="32" t="n">
        <v>0</v>
      </c>
      <c r="S2294" s="31" t="n">
        <v>0</v>
      </c>
      <c r="T2294" s="32" t="n">
        <v>0</v>
      </c>
      <c r="U2294" s="31" t="n">
        <v>0</v>
      </c>
      <c r="V2294" s="31" t="n">
        <v>0</v>
      </c>
      <c r="W2294" s="3" t="n">
        <v>0</v>
      </c>
      <c r="X2294" s="3" t="n">
        <v>0</v>
      </c>
      <c r="Y2294" s="32" t="n">
        <v>0</v>
      </c>
      <c r="Z2294" s="3" t="n">
        <v>0</v>
      </c>
      <c r="AA2294" s="32" t="n">
        <v>0</v>
      </c>
      <c r="AB2294" s="3" t="n"/>
      <c r="AC2294" s="31" t="n">
        <v>0</v>
      </c>
      <c r="AD2294" s="2" t="n">
        <v>0</v>
      </c>
      <c r="AE2294" s="2" t="n">
        <v>14</v>
      </c>
      <c r="AF2294" s="4" t="n">
        <v>14</v>
      </c>
      <c r="AG2294" s="33" t="n">
        <v>0</v>
      </c>
      <c r="AH2294" s="4" t="n">
        <v>0</v>
      </c>
      <c r="AI2294" s="34" t="n"/>
      <c r="AJ2294" s="34" t="n">
        <v>0</v>
      </c>
      <c r="AK2294" s="2" t="n">
        <v>0</v>
      </c>
      <c r="AL2294" t="inlineStr">
        <is>
          <t>Published</t>
        </is>
      </c>
    </row>
    <row r="2295">
      <c r="A2295">
        <f>HYPERLINK("https://www.walmart.com/ip/779044410", "779044410")</f>
        <v/>
      </c>
      <c r="B2295">
        <f>HYPERLINK("https://app.optiwise.ai/catalog/itemdetails/362101", "Tirrinia Single Wine Tote Bag, Insulated Padded Thermal Wine Bottle Carrying Cooler Carrier for Travel, Picnic, Perfect Gift for Wine Lover, Canvas Beige")</f>
        <v/>
      </c>
      <c r="C2295" t="inlineStr">
        <is>
          <t>1KTWB100BG</t>
        </is>
      </c>
      <c r="D2295" t="inlineStr">
        <is>
          <t>Home Decor, Kitchen, &amp; Other</t>
        </is>
      </c>
      <c r="E2295" t="inlineStr">
        <is>
          <t>Wine Totes, Bags &amp; Backpacks</t>
        </is>
      </c>
      <c r="F2295" t="inlineStr">
        <is>
          <t>Tirrinia</t>
        </is>
      </c>
      <c r="G2295" t="n">
        <v>5</v>
      </c>
      <c r="H2295" t="n">
        <v>6</v>
      </c>
      <c r="I2295" t="inlineStr">
        <is>
          <t>Wine,Christmas,WFS,Wine WFS,Valentine,SEM,WFS Item</t>
        </is>
      </c>
      <c r="J2295" s="29" t="n">
        <v>0</v>
      </c>
      <c r="K2295" s="30" t="n"/>
      <c r="L2295" s="29" t="n">
        <v>0</v>
      </c>
      <c r="M2295" s="29" t="n">
        <v>0</v>
      </c>
      <c r="N2295" s="2" t="n">
        <v>0</v>
      </c>
      <c r="O2295" s="31" t="n">
        <v>0</v>
      </c>
      <c r="P2295" s="32" t="n"/>
      <c r="Q2295" s="32" t="n">
        <v>0</v>
      </c>
      <c r="R2295" s="32" t="n">
        <v>0</v>
      </c>
      <c r="S2295" s="31" t="n">
        <v>0</v>
      </c>
      <c r="T2295" s="32" t="n">
        <v>0</v>
      </c>
      <c r="U2295" s="31" t="n">
        <v>0</v>
      </c>
      <c r="V2295" s="31" t="n">
        <v>0</v>
      </c>
      <c r="W2295" s="3" t="n">
        <v>0</v>
      </c>
      <c r="X2295" s="3" t="n">
        <v>0</v>
      </c>
      <c r="Y2295" s="32" t="n">
        <v>0</v>
      </c>
      <c r="Z2295" s="3" t="n">
        <v>0</v>
      </c>
      <c r="AA2295" s="32" t="n">
        <v>0</v>
      </c>
      <c r="AB2295" s="3" t="n"/>
      <c r="AC2295" s="31" t="n">
        <v>0</v>
      </c>
      <c r="AD2295" s="2" t="n">
        <v>0</v>
      </c>
      <c r="AE2295" s="2" t="n">
        <v>30</v>
      </c>
      <c r="AF2295" s="4" t="n">
        <v>30</v>
      </c>
      <c r="AG2295" s="33" t="n">
        <v>0</v>
      </c>
      <c r="AH2295" s="4" t="n">
        <v>0</v>
      </c>
      <c r="AI2295" s="34" t="n"/>
      <c r="AJ2295" s="34" t="n">
        <v>0</v>
      </c>
      <c r="AK2295" s="2" t="n">
        <v>0</v>
      </c>
      <c r="AL2295" t="inlineStr">
        <is>
          <t>Published</t>
        </is>
      </c>
    </row>
    <row r="2296">
      <c r="A2296">
        <f>HYPERLINK("https://www.walmart.com/ip/772543692", "772543692")</f>
        <v/>
      </c>
      <c r="B2296">
        <f>HYPERLINK("https://app.optiwise.ai/catalog/itemdetails/362097", "Tirrinia Insulated 2 Bottle Wine Carrier Tote Cooler Bag for Travel Picnic Padded Champagne Glass Carrying Case")</f>
        <v/>
      </c>
      <c r="C2296" t="inlineStr">
        <is>
          <t>1WMWB220GY</t>
        </is>
      </c>
      <c r="D2296" t="inlineStr">
        <is>
          <t>Home Decor, Kitchen, &amp; Other</t>
        </is>
      </c>
      <c r="E2296" t="inlineStr">
        <is>
          <t>Wine Totes, Bags &amp; Backpacks</t>
        </is>
      </c>
      <c r="F2296" t="inlineStr">
        <is>
          <t>Flyingstar</t>
        </is>
      </c>
      <c r="G2296" t="n">
        <v>0</v>
      </c>
      <c r="H2296" t="n">
        <v>0</v>
      </c>
      <c r="I2296" t="inlineStr">
        <is>
          <t>Wine,Christmas,Valentine</t>
        </is>
      </c>
      <c r="J2296" s="29" t="n">
        <v>0</v>
      </c>
      <c r="K2296" s="30" t="n"/>
      <c r="L2296" s="29" t="n">
        <v>0</v>
      </c>
      <c r="M2296" s="29" t="n">
        <v>0</v>
      </c>
      <c r="N2296" s="2" t="n">
        <v>0</v>
      </c>
      <c r="O2296" s="31" t="n">
        <v>0</v>
      </c>
      <c r="P2296" s="32" t="n"/>
      <c r="Q2296" s="32" t="n">
        <v>0</v>
      </c>
      <c r="R2296" s="32" t="n">
        <v>0</v>
      </c>
      <c r="S2296" s="31" t="n">
        <v>0</v>
      </c>
      <c r="T2296" s="32" t="n">
        <v>0</v>
      </c>
      <c r="U2296" s="31" t="n">
        <v>0</v>
      </c>
      <c r="V2296" s="31" t="n">
        <v>0</v>
      </c>
      <c r="W2296" s="3" t="n">
        <v>0</v>
      </c>
      <c r="X2296" s="3" t="n">
        <v>0</v>
      </c>
      <c r="Y2296" s="32" t="n">
        <v>0</v>
      </c>
      <c r="Z2296" s="3" t="n">
        <v>0</v>
      </c>
      <c r="AA2296" s="32" t="n">
        <v>0</v>
      </c>
      <c r="AB2296" s="3" t="n"/>
      <c r="AC2296" s="31" t="n">
        <v>0</v>
      </c>
      <c r="AD2296" s="2" t="n">
        <v>0</v>
      </c>
      <c r="AE2296" s="2" t="n">
        <v>4</v>
      </c>
      <c r="AF2296" s="4" t="n">
        <v>4</v>
      </c>
      <c r="AG2296" s="33" t="n">
        <v>0</v>
      </c>
      <c r="AH2296" s="4" t="n">
        <v>0</v>
      </c>
      <c r="AI2296" s="34" t="n"/>
      <c r="AJ2296" s="34" t="n">
        <v>0</v>
      </c>
      <c r="AK2296" s="2" t="n">
        <v>0</v>
      </c>
      <c r="AL2296" t="inlineStr">
        <is>
          <t>Published</t>
        </is>
      </c>
    </row>
    <row r="2297">
      <c r="A2297">
        <f>HYPERLINK("https://www.walmart.com/ip/195744938", "195744938")</f>
        <v/>
      </c>
      <c r="B2297">
        <f>HYPERLINK("https://app.optiwise.ai/catalog/itemdetails/362093", "Sun Hat UV Protection Wide Brim Boonie Safari Fishing Cap Adjustable Drawstring")</f>
        <v/>
      </c>
      <c r="C2297" t="inlineStr">
        <is>
          <t>1WMSH911GY</t>
        </is>
      </c>
      <c r="D2297" t="inlineStr">
        <is>
          <t>Clothing</t>
        </is>
      </c>
      <c r="E2297" t="inlineStr">
        <is>
          <t>Hats</t>
        </is>
      </c>
      <c r="F2297" t="inlineStr">
        <is>
          <t>Flyingstar</t>
        </is>
      </c>
      <c r="G2297" t="n">
        <v>0</v>
      </c>
      <c r="H2297" t="n">
        <v>0</v>
      </c>
      <c r="I2297" t="inlineStr">
        <is>
          <t>Optimized</t>
        </is>
      </c>
      <c r="J2297" s="29" t="n">
        <v>0</v>
      </c>
      <c r="K2297" s="30" t="n"/>
      <c r="L2297" s="29" t="n">
        <v>0</v>
      </c>
      <c r="M2297" s="29" t="n">
        <v>0</v>
      </c>
      <c r="N2297" s="2" t="n">
        <v>0</v>
      </c>
      <c r="O2297" s="31" t="n">
        <v>0</v>
      </c>
      <c r="P2297" s="32" t="n"/>
      <c r="Q2297" s="32" t="n">
        <v>0</v>
      </c>
      <c r="R2297" s="32" t="n">
        <v>0</v>
      </c>
      <c r="S2297" s="31" t="n">
        <v>0</v>
      </c>
      <c r="T2297" s="32" t="n">
        <v>0</v>
      </c>
      <c r="U2297" s="31" t="n">
        <v>0</v>
      </c>
      <c r="V2297" s="31" t="n">
        <v>0</v>
      </c>
      <c r="W2297" s="3" t="n">
        <v>0</v>
      </c>
      <c r="X2297" s="3" t="n">
        <v>0</v>
      </c>
      <c r="Y2297" s="32" t="n">
        <v>0</v>
      </c>
      <c r="Z2297" s="3" t="n">
        <v>0</v>
      </c>
      <c r="AA2297" s="32" t="n">
        <v>0</v>
      </c>
      <c r="AB2297" s="3" t="n"/>
      <c r="AC2297" s="31" t="n">
        <v>0</v>
      </c>
      <c r="AD2297" s="2" t="n">
        <v>0</v>
      </c>
      <c r="AE2297" s="2" t="n">
        <v>0</v>
      </c>
      <c r="AF2297" s="4" t="n">
        <v>0</v>
      </c>
      <c r="AG2297" s="33" t="n">
        <v>0</v>
      </c>
      <c r="AH2297" s="4" t="n">
        <v>0</v>
      </c>
      <c r="AI2297" s="34" t="n"/>
      <c r="AJ2297" s="34" t="n">
        <v>0</v>
      </c>
      <c r="AK2297" s="2" t="n">
        <v>0</v>
      </c>
      <c r="AL2297" t="inlineStr">
        <is>
          <t>Published</t>
        </is>
      </c>
    </row>
    <row r="2298">
      <c r="A2298">
        <f>HYPERLINK("https://www.walmart.com/ip/766214747", "766214747")</f>
        <v/>
      </c>
      <c r="B2298">
        <f>HYPERLINK("https://app.optiwise.ai/catalog/itemdetails/362092", "Sherpa Slipper Socks for Women,Winter Indoor Home Non Skid Booties")</f>
        <v/>
      </c>
      <c r="C2298" t="inlineStr">
        <is>
          <t>1CTST200RD-1</t>
        </is>
      </c>
      <c r="D2298" t="inlineStr">
        <is>
          <t>Clothing</t>
        </is>
      </c>
      <c r="E2298" t="inlineStr">
        <is>
          <t>Socks</t>
        </is>
      </c>
      <c r="F2298" t="inlineStr">
        <is>
          <t>Catalonia</t>
        </is>
      </c>
      <c r="G2298" t="n">
        <v>5</v>
      </c>
      <c r="H2298" t="n">
        <v>3</v>
      </c>
      <c r="I2298" t="inlineStr">
        <is>
          <t>WFS,WFS Item</t>
        </is>
      </c>
      <c r="J2298" s="29" t="n">
        <v>0</v>
      </c>
      <c r="K2298" s="30" t="n"/>
      <c r="L2298" s="29" t="n">
        <v>0</v>
      </c>
      <c r="M2298" s="29" t="n">
        <v>0</v>
      </c>
      <c r="N2298" s="2" t="n">
        <v>0</v>
      </c>
      <c r="O2298" s="31" t="n">
        <v>0</v>
      </c>
      <c r="P2298" s="32" t="n"/>
      <c r="Q2298" s="32" t="n">
        <v>0</v>
      </c>
      <c r="R2298" s="32" t="n">
        <v>0</v>
      </c>
      <c r="S2298" s="31" t="n">
        <v>0</v>
      </c>
      <c r="T2298" s="32" t="n">
        <v>0</v>
      </c>
      <c r="U2298" s="31" t="n">
        <v>0</v>
      </c>
      <c r="V2298" s="31" t="n">
        <v>0</v>
      </c>
      <c r="W2298" s="3" t="n">
        <v>0</v>
      </c>
      <c r="X2298" s="3" t="n">
        <v>0</v>
      </c>
      <c r="Y2298" s="32" t="n">
        <v>0</v>
      </c>
      <c r="Z2298" s="3" t="n">
        <v>0</v>
      </c>
      <c r="AA2298" s="32" t="n">
        <v>0</v>
      </c>
      <c r="AB2298" s="3" t="n"/>
      <c r="AC2298" s="31" t="n">
        <v>0</v>
      </c>
      <c r="AD2298" s="2" t="n">
        <v>0</v>
      </c>
      <c r="AE2298" s="2" t="n">
        <v>6</v>
      </c>
      <c r="AF2298" s="4" t="n">
        <v>6</v>
      </c>
      <c r="AG2298" s="33" t="n">
        <v>0</v>
      </c>
      <c r="AH2298" s="4" t="n">
        <v>0</v>
      </c>
      <c r="AI2298" s="34" t="n"/>
      <c r="AJ2298" s="34" t="n">
        <v>0</v>
      </c>
      <c r="AK2298" s="2" t="n">
        <v>0</v>
      </c>
      <c r="AL2298" t="inlineStr">
        <is>
          <t>Published</t>
        </is>
      </c>
    </row>
    <row r="2299">
      <c r="A2299">
        <f>HYPERLINK("https://www.walmart.com/ip/127919926", "127919926")</f>
        <v/>
      </c>
      <c r="B2299">
        <f>HYPERLINK("https://app.optiwise.ai/catalog/itemdetails/362088", "Flyingstar Women's Ponytail Sun Hat for Hiking, Gardening and Safari, Wide Brim Hat For Women with Breathable Mesh and Ponytail Hole Opening, Olive")</f>
        <v/>
      </c>
      <c r="C2299" t="inlineStr">
        <is>
          <t>1WMSH912OL</t>
        </is>
      </c>
      <c r="D2299" t="inlineStr">
        <is>
          <t>Clothing</t>
        </is>
      </c>
      <c r="E2299" t="inlineStr">
        <is>
          <t>Hats</t>
        </is>
      </c>
      <c r="F2299" t="inlineStr">
        <is>
          <t>Flyingstar</t>
        </is>
      </c>
      <c r="G2299" t="n">
        <v>0</v>
      </c>
      <c r="H2299" t="n">
        <v>0</v>
      </c>
      <c r="I2299" t="inlineStr">
        <is>
          <t>Optimized</t>
        </is>
      </c>
      <c r="J2299" s="29" t="n">
        <v>0</v>
      </c>
      <c r="K2299" s="30" t="n"/>
      <c r="L2299" s="29" t="n">
        <v>0</v>
      </c>
      <c r="M2299" s="29" t="n">
        <v>0</v>
      </c>
      <c r="N2299" s="2" t="n">
        <v>0</v>
      </c>
      <c r="O2299" s="31" t="n">
        <v>0</v>
      </c>
      <c r="P2299" s="32" t="n"/>
      <c r="Q2299" s="32" t="n">
        <v>0</v>
      </c>
      <c r="R2299" s="32" t="n">
        <v>0</v>
      </c>
      <c r="S2299" s="31" t="n">
        <v>0</v>
      </c>
      <c r="T2299" s="32" t="n">
        <v>0</v>
      </c>
      <c r="U2299" s="31" t="n">
        <v>0</v>
      </c>
      <c r="V2299" s="31" t="n">
        <v>0</v>
      </c>
      <c r="W2299" s="3" t="n">
        <v>0</v>
      </c>
      <c r="X2299" s="3" t="n">
        <v>0</v>
      </c>
      <c r="Y2299" s="32" t="n">
        <v>0</v>
      </c>
      <c r="Z2299" s="3" t="n">
        <v>0</v>
      </c>
      <c r="AA2299" s="32" t="n">
        <v>0</v>
      </c>
      <c r="AB2299" s="3" t="n"/>
      <c r="AC2299" s="31" t="n">
        <v>0</v>
      </c>
      <c r="AD2299" s="2" t="n">
        <v>0</v>
      </c>
      <c r="AE2299" s="2" t="n">
        <v>10</v>
      </c>
      <c r="AF2299" s="4" t="n">
        <v>10</v>
      </c>
      <c r="AG2299" s="33" t="n">
        <v>0</v>
      </c>
      <c r="AH2299" s="4" t="n">
        <v>0</v>
      </c>
      <c r="AI2299" s="34" t="n"/>
      <c r="AJ2299" s="34" t="n">
        <v>0</v>
      </c>
      <c r="AK2299" s="2" t="n">
        <v>0</v>
      </c>
      <c r="AL2299" t="inlineStr">
        <is>
          <t>Published</t>
        </is>
      </c>
    </row>
    <row r="2300">
      <c r="A2300">
        <f>HYPERLINK("https://www.walmart.com/ip/103504333", "103504333")</f>
        <v/>
      </c>
      <c r="B2300">
        <f>HYPERLINK("https://app.optiwise.ai/catalog/itemdetails/362085", "Jenniwears Women's Sexy Lingerie Lace Mesh 2-Piece Bowknot Halter Chemise with G-String")</f>
        <v/>
      </c>
      <c r="C2300" t="inlineStr">
        <is>
          <t>JWND03TB</t>
        </is>
      </c>
      <c r="D2300" t="inlineStr">
        <is>
          <t>Clothing</t>
        </is>
      </c>
      <c r="E2300" t="inlineStr">
        <is>
          <t>Lingerie Sets</t>
        </is>
      </c>
      <c r="F2300" t="inlineStr">
        <is>
          <t>JenniWears</t>
        </is>
      </c>
      <c r="G2300" t="n">
        <v>0</v>
      </c>
      <c r="H2300" t="n">
        <v>0</v>
      </c>
      <c r="I2300" t="inlineStr">
        <is>
          <t>Optimized,Valentine</t>
        </is>
      </c>
      <c r="J2300" s="29" t="n">
        <v>0</v>
      </c>
      <c r="K2300" s="30" t="n"/>
      <c r="L2300" s="29" t="n">
        <v>0</v>
      </c>
      <c r="M2300" s="29" t="n">
        <v>0</v>
      </c>
      <c r="N2300" s="2" t="n">
        <v>0</v>
      </c>
      <c r="O2300" s="31" t="n">
        <v>0</v>
      </c>
      <c r="P2300" s="32" t="n"/>
      <c r="Q2300" s="32" t="n">
        <v>0</v>
      </c>
      <c r="R2300" s="32" t="n">
        <v>0</v>
      </c>
      <c r="S2300" s="31" t="n">
        <v>0</v>
      </c>
      <c r="T2300" s="32" t="n">
        <v>0</v>
      </c>
      <c r="U2300" s="31" t="n">
        <v>0</v>
      </c>
      <c r="V2300" s="31" t="n">
        <v>0</v>
      </c>
      <c r="W2300" s="3" t="n">
        <v>0</v>
      </c>
      <c r="X2300" s="3" t="n">
        <v>0</v>
      </c>
      <c r="Y2300" s="32" t="n">
        <v>0</v>
      </c>
      <c r="Z2300" s="3" t="n">
        <v>0</v>
      </c>
      <c r="AA2300" s="32" t="n">
        <v>0</v>
      </c>
      <c r="AB2300" s="3" t="n"/>
      <c r="AC2300" s="31" t="n">
        <v>0</v>
      </c>
      <c r="AD2300" s="2" t="n">
        <v>0</v>
      </c>
      <c r="AE2300" s="2" t="n">
        <v>8</v>
      </c>
      <c r="AF2300" s="4" t="n">
        <v>8</v>
      </c>
      <c r="AG2300" s="33" t="n">
        <v>0</v>
      </c>
      <c r="AH2300" s="4" t="n">
        <v>0</v>
      </c>
      <c r="AI2300" s="34" t="n"/>
      <c r="AJ2300" s="34" t="n">
        <v>0</v>
      </c>
      <c r="AK2300" s="2" t="n">
        <v>0</v>
      </c>
      <c r="AL2300" t="inlineStr">
        <is>
          <t>Published</t>
        </is>
      </c>
    </row>
    <row r="2301">
      <c r="A2301">
        <f>HYPERLINK("https://www.walmart.com/ip/165819314", "165819314")</f>
        <v/>
      </c>
      <c r="B2301">
        <f>HYPERLINK("https://app.optiwise.ai/catalog/itemdetails/362084", "KC Caps® Cotton Twill Deluxe Super Soft Mesh Adjustable Snapback Low Profile Trucker Baseball Cap")</f>
        <v/>
      </c>
      <c r="C2301" t="inlineStr">
        <is>
          <t>KCCAPSSZK641RD/ST</t>
        </is>
      </c>
      <c r="D2301" t="inlineStr">
        <is>
          <t>Clothing</t>
        </is>
      </c>
      <c r="E2301" t="inlineStr">
        <is>
          <t>Hats</t>
        </is>
      </c>
      <c r="F2301" t="inlineStr">
        <is>
          <t>KC Caps</t>
        </is>
      </c>
      <c r="G2301" t="n">
        <v>0</v>
      </c>
      <c r="H2301" t="n">
        <v>0</v>
      </c>
      <c r="I2301" t="inlineStr">
        <is>
          <t>Optimized</t>
        </is>
      </c>
      <c r="J2301" s="29" t="n">
        <v>0</v>
      </c>
      <c r="K2301" s="30" t="n"/>
      <c r="L2301" s="29" t="n">
        <v>0</v>
      </c>
      <c r="M2301" s="29" t="n">
        <v>0</v>
      </c>
      <c r="N2301" s="2" t="n">
        <v>0</v>
      </c>
      <c r="O2301" s="31" t="n">
        <v>0</v>
      </c>
      <c r="P2301" s="32" t="n"/>
      <c r="Q2301" s="32" t="n">
        <v>0</v>
      </c>
      <c r="R2301" s="32" t="n">
        <v>0</v>
      </c>
      <c r="S2301" s="31" t="n">
        <v>0</v>
      </c>
      <c r="T2301" s="32" t="n">
        <v>0</v>
      </c>
      <c r="U2301" s="31" t="n">
        <v>0</v>
      </c>
      <c r="V2301" s="31" t="n">
        <v>0</v>
      </c>
      <c r="W2301" s="3" t="n">
        <v>0</v>
      </c>
      <c r="X2301" s="3" t="n">
        <v>0</v>
      </c>
      <c r="Y2301" s="32" t="n">
        <v>0</v>
      </c>
      <c r="Z2301" s="3" t="n">
        <v>0</v>
      </c>
      <c r="AA2301" s="32" t="n">
        <v>0</v>
      </c>
      <c r="AB2301" s="3" t="n"/>
      <c r="AC2301" s="31" t="n">
        <v>0</v>
      </c>
      <c r="AD2301" s="2" t="n">
        <v>0</v>
      </c>
      <c r="AE2301" s="2" t="n">
        <v>5</v>
      </c>
      <c r="AF2301" s="4" t="n">
        <v>5</v>
      </c>
      <c r="AG2301" s="33" t="n">
        <v>0</v>
      </c>
      <c r="AH2301" s="4" t="n">
        <v>0</v>
      </c>
      <c r="AI2301" s="34" t="n"/>
      <c r="AJ2301" s="34" t="n">
        <v>0</v>
      </c>
      <c r="AK2301" s="2" t="n">
        <v>0</v>
      </c>
      <c r="AL2301" t="inlineStr">
        <is>
          <t>Published</t>
        </is>
      </c>
    </row>
    <row r="2302">
      <c r="A2302">
        <f>HYPERLINK("https://www.walmart.com/ip/563122764", "563122764")</f>
        <v/>
      </c>
      <c r="B2302">
        <f>HYPERLINK("https://app.optiwise.ai/catalog/itemdetails/362082", "Sherpa Throw Blanket Fleece, Super Cozy Warm TV Blankets for Bed or Couch Reversible 50 x 60")</f>
        <v/>
      </c>
      <c r="C2302" t="inlineStr">
        <is>
          <t>1TNBF300BL-TPB</t>
        </is>
      </c>
      <c r="D2302" t="inlineStr">
        <is>
          <t>Bedding</t>
        </is>
      </c>
      <c r="E2302" t="inlineStr">
        <is>
          <t>Throws</t>
        </is>
      </c>
      <c r="F2302" t="inlineStr">
        <is>
          <t>Tirrinia</t>
        </is>
      </c>
      <c r="G2302" t="n">
        <v>0</v>
      </c>
      <c r="H2302" t="n">
        <v>0</v>
      </c>
      <c r="J2302" s="29" t="n">
        <v>0</v>
      </c>
      <c r="K2302" s="30" t="n"/>
      <c r="L2302" s="29" t="n">
        <v>0</v>
      </c>
      <c r="M2302" s="29" t="n">
        <v>0</v>
      </c>
      <c r="N2302" s="2" t="n">
        <v>0</v>
      </c>
      <c r="O2302" s="31" t="n">
        <v>0</v>
      </c>
      <c r="P2302" s="32" t="n"/>
      <c r="Q2302" s="32" t="n">
        <v>0</v>
      </c>
      <c r="R2302" s="32" t="n">
        <v>0</v>
      </c>
      <c r="S2302" s="31" t="n">
        <v>0</v>
      </c>
      <c r="T2302" s="32" t="n">
        <v>0</v>
      </c>
      <c r="U2302" s="31" t="n">
        <v>0</v>
      </c>
      <c r="V2302" s="31" t="n">
        <v>0</v>
      </c>
      <c r="W2302" s="3" t="n">
        <v>0</v>
      </c>
      <c r="X2302" s="3" t="n">
        <v>0</v>
      </c>
      <c r="Y2302" s="32" t="n">
        <v>0</v>
      </c>
      <c r="Z2302" s="3" t="n">
        <v>0</v>
      </c>
      <c r="AA2302" s="32" t="n">
        <v>0</v>
      </c>
      <c r="AB2302" s="3" t="n"/>
      <c r="AC2302" s="31" t="n">
        <v>0</v>
      </c>
      <c r="AD2302" s="2" t="n">
        <v>0</v>
      </c>
      <c r="AE2302" s="2" t="n">
        <v>6</v>
      </c>
      <c r="AF2302" s="4" t="n">
        <v>6</v>
      </c>
      <c r="AG2302" s="33" t="n">
        <v>0</v>
      </c>
      <c r="AH2302" s="4" t="n">
        <v>0</v>
      </c>
      <c r="AI2302" s="34" t="n"/>
      <c r="AJ2302" s="34" t="n">
        <v>0</v>
      </c>
      <c r="AK2302" s="2" t="n">
        <v>0</v>
      </c>
      <c r="AL2302" t="inlineStr">
        <is>
          <t>Published</t>
        </is>
      </c>
    </row>
    <row r="2303">
      <c r="A2303">
        <f>HYPERLINK("https://www.walmart.com/ip/186239116", "186239116")</f>
        <v/>
      </c>
      <c r="B2303">
        <f>HYPERLINK("https://app.optiwise.ai/catalog/itemdetails/362074", "KC Caps Washed Denim Bucket Hat, Summer Fishing Hat for Women and Men, Grey")</f>
        <v/>
      </c>
      <c r="C2303" t="inlineStr">
        <is>
          <t>KC9120GR-M</t>
        </is>
      </c>
      <c r="D2303" t="inlineStr">
        <is>
          <t>Clothing</t>
        </is>
      </c>
      <c r="E2303" t="inlineStr">
        <is>
          <t>Hats</t>
        </is>
      </c>
      <c r="F2303" t="inlineStr">
        <is>
          <t>KC Caps</t>
        </is>
      </c>
      <c r="G2303" t="n">
        <v>0</v>
      </c>
      <c r="H2303" t="n">
        <v>0</v>
      </c>
      <c r="I2303" t="inlineStr">
        <is>
          <t>Batch 1 - TR</t>
        </is>
      </c>
      <c r="J2303" s="29" t="n">
        <v>0</v>
      </c>
      <c r="K2303" s="30" t="n"/>
      <c r="L2303" s="29" t="n">
        <v>0</v>
      </c>
      <c r="M2303" s="29" t="n">
        <v>0</v>
      </c>
      <c r="N2303" s="2" t="n">
        <v>0</v>
      </c>
      <c r="O2303" s="31" t="n">
        <v>0</v>
      </c>
      <c r="P2303" s="32" t="n"/>
      <c r="Q2303" s="32" t="n">
        <v>0</v>
      </c>
      <c r="R2303" s="32" t="n">
        <v>0</v>
      </c>
      <c r="S2303" s="31" t="n">
        <v>0</v>
      </c>
      <c r="T2303" s="32" t="n">
        <v>0</v>
      </c>
      <c r="U2303" s="31" t="n">
        <v>0</v>
      </c>
      <c r="V2303" s="31" t="n">
        <v>0</v>
      </c>
      <c r="W2303" s="3" t="n">
        <v>0</v>
      </c>
      <c r="X2303" s="3" t="n">
        <v>0</v>
      </c>
      <c r="Y2303" s="32" t="n">
        <v>0</v>
      </c>
      <c r="Z2303" s="3" t="n">
        <v>0</v>
      </c>
      <c r="AA2303" s="32" t="n">
        <v>0</v>
      </c>
      <c r="AB2303" s="3" t="n"/>
      <c r="AC2303" s="31" t="n">
        <v>0</v>
      </c>
      <c r="AD2303" s="2" t="n">
        <v>0</v>
      </c>
      <c r="AE2303" s="2" t="n">
        <v>1</v>
      </c>
      <c r="AF2303" s="4" t="n">
        <v>1</v>
      </c>
      <c r="AG2303" s="33" t="n">
        <v>0</v>
      </c>
      <c r="AH2303" s="4" t="n">
        <v>0</v>
      </c>
      <c r="AI2303" s="34" t="n"/>
      <c r="AJ2303" s="34" t="n">
        <v>0</v>
      </c>
      <c r="AK2303" s="2" t="n">
        <v>0</v>
      </c>
      <c r="AL2303" t="inlineStr">
        <is>
          <t>Published</t>
        </is>
      </c>
    </row>
    <row r="2304">
      <c r="A2304">
        <f>HYPERLINK("https://www.walmart.com/ip/657141976", "657141976")</f>
        <v/>
      </c>
      <c r="B2304">
        <f>HYPERLINK("https://app.optiwise.ai/catalog/itemdetails/362073", "Catalonia Sherpa Fleece Throw Blanket, Super Soft Plush Couch Blanket, TV Bed Blanket, Comfy Warm Heavy Throws, Comfort Caring Gift, 50x60 inches")</f>
        <v/>
      </c>
      <c r="C2304" t="inlineStr">
        <is>
          <t>1CTBF300ZEBRA</t>
        </is>
      </c>
      <c r="D2304" t="inlineStr">
        <is>
          <t>Bedding</t>
        </is>
      </c>
      <c r="E2304" t="inlineStr">
        <is>
          <t>Throws</t>
        </is>
      </c>
      <c r="F2304" t="inlineStr">
        <is>
          <t>Catalonia</t>
        </is>
      </c>
      <c r="G2304" t="n">
        <v>0</v>
      </c>
      <c r="H2304" t="n">
        <v>0</v>
      </c>
      <c r="I2304" t="inlineStr">
        <is>
          <t>WFS,Coupon_Discount,WFS Item</t>
        </is>
      </c>
      <c r="J2304" s="29" t="n">
        <v>0</v>
      </c>
      <c r="K2304" s="30" t="n"/>
      <c r="L2304" s="29" t="n">
        <v>0</v>
      </c>
      <c r="M2304" s="29" t="n">
        <v>0</v>
      </c>
      <c r="N2304" s="2" t="n">
        <v>0</v>
      </c>
      <c r="O2304" s="31" t="n">
        <v>0</v>
      </c>
      <c r="P2304" s="32" t="n"/>
      <c r="Q2304" s="32" t="n">
        <v>0</v>
      </c>
      <c r="R2304" s="32" t="n">
        <v>0</v>
      </c>
      <c r="S2304" s="31" t="n">
        <v>0</v>
      </c>
      <c r="T2304" s="32" t="n">
        <v>0</v>
      </c>
      <c r="U2304" s="31" t="n">
        <v>0</v>
      </c>
      <c r="V2304" s="31" t="n">
        <v>0</v>
      </c>
      <c r="W2304" s="3" t="n">
        <v>0</v>
      </c>
      <c r="X2304" s="3" t="n">
        <v>0</v>
      </c>
      <c r="Y2304" s="32" t="n">
        <v>0</v>
      </c>
      <c r="Z2304" s="3" t="n">
        <v>0</v>
      </c>
      <c r="AA2304" s="32" t="n">
        <v>0</v>
      </c>
      <c r="AB2304" s="3" t="n"/>
      <c r="AC2304" s="31" t="n">
        <v>0</v>
      </c>
      <c r="AD2304" s="2" t="n">
        <v>0</v>
      </c>
      <c r="AE2304" s="2" t="n">
        <v>23</v>
      </c>
      <c r="AF2304" s="4" t="n">
        <v>23</v>
      </c>
      <c r="AG2304" s="33" t="n">
        <v>0</v>
      </c>
      <c r="AH2304" s="4" t="n">
        <v>0</v>
      </c>
      <c r="AI2304" s="34" t="n"/>
      <c r="AJ2304" s="34" t="n">
        <v>0</v>
      </c>
      <c r="AK2304" s="2" t="n">
        <v>0</v>
      </c>
      <c r="AL2304" t="inlineStr">
        <is>
          <t>Published</t>
        </is>
      </c>
    </row>
    <row r="2305">
      <c r="A2305">
        <f>HYPERLINK("https://www.walmart.com/ip/665872536", "665872536")</f>
        <v/>
      </c>
      <c r="B2305">
        <f>HYPERLINK("https://app.optiwise.ai/catalog/itemdetails/362072", "Women’s Swim Bathing Suit Cover Up, Summer Chiffon Backless Beach Dress Skirt")</f>
        <v/>
      </c>
      <c r="C2305" t="inlineStr">
        <is>
          <t>1WMDS110RD</t>
        </is>
      </c>
      <c r="D2305" t="inlineStr">
        <is>
          <t>Dresses</t>
        </is>
      </c>
      <c r="E2305" t="inlineStr">
        <is>
          <t>Dresses</t>
        </is>
      </c>
      <c r="F2305" t="inlineStr">
        <is>
          <t>Flyingstar</t>
        </is>
      </c>
      <c r="G2305" t="n">
        <v>0</v>
      </c>
      <c r="H2305" t="n">
        <v>0</v>
      </c>
      <c r="I2305" t="inlineStr">
        <is>
          <t>Optimized</t>
        </is>
      </c>
      <c r="J2305" s="29" t="n">
        <v>0</v>
      </c>
      <c r="K2305" s="30" t="n"/>
      <c r="L2305" s="29" t="n">
        <v>0</v>
      </c>
      <c r="M2305" s="29" t="n">
        <v>0</v>
      </c>
      <c r="N2305" s="2" t="n">
        <v>0</v>
      </c>
      <c r="O2305" s="31" t="n">
        <v>0</v>
      </c>
      <c r="P2305" s="32" t="n"/>
      <c r="Q2305" s="32" t="n">
        <v>0</v>
      </c>
      <c r="R2305" s="32" t="n">
        <v>0</v>
      </c>
      <c r="S2305" s="31" t="n">
        <v>0</v>
      </c>
      <c r="T2305" s="32" t="n">
        <v>0</v>
      </c>
      <c r="U2305" s="31" t="n">
        <v>0</v>
      </c>
      <c r="V2305" s="31" t="n">
        <v>0</v>
      </c>
      <c r="W2305" s="3" t="n">
        <v>0</v>
      </c>
      <c r="X2305" s="3" t="n">
        <v>0</v>
      </c>
      <c r="Y2305" s="32" t="n">
        <v>0</v>
      </c>
      <c r="Z2305" s="3" t="n">
        <v>0</v>
      </c>
      <c r="AA2305" s="32" t="n">
        <v>0</v>
      </c>
      <c r="AB2305" s="3" t="n"/>
      <c r="AC2305" s="31" t="n">
        <v>0</v>
      </c>
      <c r="AD2305" s="2" t="n">
        <v>0</v>
      </c>
      <c r="AE2305" s="2" t="n">
        <v>1</v>
      </c>
      <c r="AF2305" s="4" t="n">
        <v>1</v>
      </c>
      <c r="AG2305" s="33" t="n">
        <v>0</v>
      </c>
      <c r="AH2305" s="4" t="n">
        <v>0</v>
      </c>
      <c r="AI2305" s="34" t="n"/>
      <c r="AJ2305" s="34" t="n">
        <v>0</v>
      </c>
      <c r="AK2305" s="2" t="n">
        <v>0</v>
      </c>
      <c r="AL2305" t="inlineStr">
        <is>
          <t>Published</t>
        </is>
      </c>
    </row>
    <row r="2306">
      <c r="A2306">
        <f>HYPERLINK("https://www.walmart.com/ip/982952917", "982952917")</f>
        <v/>
      </c>
      <c r="B2306">
        <f>HYPERLINK("https://app.optiwise.ai/catalog/itemdetails/362063", "Medium Pet Travel Backpack Carrier for Dogs Cat Animal Puppy, Breathable Mesh Net Removable Sherpa Bed Outdoor Carrier f")</f>
        <v/>
      </c>
      <c r="C2306" t="inlineStr">
        <is>
          <t>1TRPB200BK</t>
        </is>
      </c>
      <c r="D2306" t="inlineStr">
        <is>
          <t>Animal Other</t>
        </is>
      </c>
      <c r="E2306" t="inlineStr">
        <is>
          <t>Pet Carriers</t>
        </is>
      </c>
      <c r="F2306" t="inlineStr">
        <is>
          <t>Kato</t>
        </is>
      </c>
      <c r="G2306" t="n">
        <v>0</v>
      </c>
      <c r="H2306" t="n">
        <v>0</v>
      </c>
      <c r="I2306" t="inlineStr">
        <is>
          <t>Optimized,WFS,WFS Item</t>
        </is>
      </c>
      <c r="J2306" s="29" t="n">
        <v>0</v>
      </c>
      <c r="K2306" s="30" t="n"/>
      <c r="L2306" s="29" t="n">
        <v>0</v>
      </c>
      <c r="M2306" s="29" t="n">
        <v>0</v>
      </c>
      <c r="N2306" s="2" t="n">
        <v>0</v>
      </c>
      <c r="O2306" s="31" t="n">
        <v>0</v>
      </c>
      <c r="P2306" s="32" t="n"/>
      <c r="Q2306" s="32" t="n">
        <v>0</v>
      </c>
      <c r="R2306" s="32" t="n">
        <v>0</v>
      </c>
      <c r="S2306" s="31" t="n">
        <v>0</v>
      </c>
      <c r="T2306" s="32" t="n">
        <v>0</v>
      </c>
      <c r="U2306" s="31" t="n">
        <v>0</v>
      </c>
      <c r="V2306" s="31" t="n">
        <v>0</v>
      </c>
      <c r="W2306" s="3" t="n">
        <v>0</v>
      </c>
      <c r="X2306" s="3" t="n">
        <v>0</v>
      </c>
      <c r="Y2306" s="32" t="n">
        <v>0</v>
      </c>
      <c r="Z2306" s="3" t="n">
        <v>0</v>
      </c>
      <c r="AA2306" s="32" t="n">
        <v>0</v>
      </c>
      <c r="AB2306" s="3" t="n"/>
      <c r="AC2306" s="31" t="n">
        <v>0</v>
      </c>
      <c r="AD2306" s="2" t="n">
        <v>0</v>
      </c>
      <c r="AE2306" s="2" t="n">
        <v>14</v>
      </c>
      <c r="AF2306" s="4" t="n">
        <v>14</v>
      </c>
      <c r="AG2306" s="33" t="n">
        <v>0</v>
      </c>
      <c r="AH2306" s="4" t="n">
        <v>0</v>
      </c>
      <c r="AI2306" s="34" t="n"/>
      <c r="AJ2306" s="34" t="n">
        <v>0</v>
      </c>
      <c r="AK2306" s="2" t="n">
        <v>0</v>
      </c>
      <c r="AL2306" t="inlineStr">
        <is>
          <t>Published</t>
        </is>
      </c>
    </row>
    <row r="2307">
      <c r="A2307">
        <f>HYPERLINK("https://www.walmart.com/ip/885137160", "885137160")</f>
        <v/>
      </c>
      <c r="B2307">
        <f>HYPERLINK("https://app.optiwise.ai/catalog/itemdetails/362062", "Tirrinia Insulated Wine Tumbler Set, 2 Pack, Silver")</f>
        <v/>
      </c>
      <c r="C2307" t="inlineStr">
        <is>
          <t>1TRWT120SL-2PK</t>
        </is>
      </c>
      <c r="D2307" t="inlineStr">
        <is>
          <t>Home Decor, Kitchen, &amp; Other</t>
        </is>
      </c>
      <c r="E2307" t="inlineStr">
        <is>
          <t>Tumblers</t>
        </is>
      </c>
      <c r="F2307" t="inlineStr">
        <is>
          <t>Tirrinia</t>
        </is>
      </c>
      <c r="G2307" t="n">
        <v>4.6</v>
      </c>
      <c r="H2307" t="n">
        <v>7</v>
      </c>
      <c r="I2307" t="inlineStr">
        <is>
          <t>Wine,Christmas,Optimized,WFS,Wine WFS,Valentine,WFS Item</t>
        </is>
      </c>
      <c r="J2307" s="29" t="n">
        <v>0</v>
      </c>
      <c r="K2307" s="30" t="n"/>
      <c r="L2307" s="29" t="n">
        <v>0</v>
      </c>
      <c r="M2307" s="29" t="n">
        <v>0</v>
      </c>
      <c r="N2307" s="2" t="n">
        <v>0</v>
      </c>
      <c r="O2307" s="31" t="n">
        <v>0</v>
      </c>
      <c r="P2307" s="32" t="n"/>
      <c r="Q2307" s="32" t="n">
        <v>0</v>
      </c>
      <c r="R2307" s="32" t="n">
        <v>0</v>
      </c>
      <c r="S2307" s="31" t="n">
        <v>0</v>
      </c>
      <c r="T2307" s="32" t="n">
        <v>0</v>
      </c>
      <c r="U2307" s="31" t="n">
        <v>0</v>
      </c>
      <c r="V2307" s="31" t="n">
        <v>0</v>
      </c>
      <c r="W2307" s="3" t="n">
        <v>0</v>
      </c>
      <c r="X2307" s="3" t="n">
        <v>0</v>
      </c>
      <c r="Y2307" s="32" t="n">
        <v>0</v>
      </c>
      <c r="Z2307" s="3" t="n">
        <v>0</v>
      </c>
      <c r="AA2307" s="32" t="n">
        <v>0</v>
      </c>
      <c r="AB2307" s="3" t="n"/>
      <c r="AC2307" s="31" t="n">
        <v>0</v>
      </c>
      <c r="AD2307" s="2" t="n">
        <v>0</v>
      </c>
      <c r="AE2307" s="2" t="n">
        <v>2</v>
      </c>
      <c r="AF2307" s="4" t="n">
        <v>2</v>
      </c>
      <c r="AG2307" s="33" t="n">
        <v>0</v>
      </c>
      <c r="AH2307" s="4" t="n">
        <v>0</v>
      </c>
      <c r="AI2307" s="34" t="n"/>
      <c r="AJ2307" s="34" t="n">
        <v>0</v>
      </c>
      <c r="AK2307" s="2" t="n">
        <v>0</v>
      </c>
      <c r="AL2307" t="inlineStr">
        <is>
          <t>Published</t>
        </is>
      </c>
    </row>
    <row r="2308">
      <c r="A2308">
        <f>HYPERLINK("https://www.walmart.com/ip/835948822", "835948822")</f>
        <v/>
      </c>
      <c r="B2308">
        <f>HYPERLINK("https://app.optiwise.ai/catalog/itemdetails/362061", "Tirrinia Bucket Hats for Women | UPF 50+ Sun Protection Cap for Garden, Beach, Travel and Outdoor")</f>
        <v/>
      </c>
      <c r="C2308" t="inlineStr">
        <is>
          <t>1TRSH9200GR-TBGM</t>
        </is>
      </c>
      <c r="D2308" t="inlineStr">
        <is>
          <t>Clothing</t>
        </is>
      </c>
      <c r="E2308" t="inlineStr">
        <is>
          <t>Hats</t>
        </is>
      </c>
      <c r="F2308" t="inlineStr">
        <is>
          <t>Tirrinia</t>
        </is>
      </c>
      <c r="G2308" t="n">
        <v>0</v>
      </c>
      <c r="H2308" t="n">
        <v>0</v>
      </c>
      <c r="I2308" t="inlineStr">
        <is>
          <t>Optimized</t>
        </is>
      </c>
      <c r="J2308" s="29" t="n">
        <v>0</v>
      </c>
      <c r="K2308" s="30" t="n"/>
      <c r="L2308" s="29" t="n">
        <v>0</v>
      </c>
      <c r="M2308" s="29" t="n">
        <v>0</v>
      </c>
      <c r="N2308" s="2" t="n">
        <v>0</v>
      </c>
      <c r="O2308" s="31" t="n">
        <v>0</v>
      </c>
      <c r="P2308" s="32" t="n"/>
      <c r="Q2308" s="32" t="n">
        <v>0</v>
      </c>
      <c r="R2308" s="32" t="n">
        <v>0</v>
      </c>
      <c r="S2308" s="31" t="n">
        <v>0</v>
      </c>
      <c r="T2308" s="32" t="n">
        <v>0</v>
      </c>
      <c r="U2308" s="31" t="n">
        <v>0</v>
      </c>
      <c r="V2308" s="31" t="n">
        <v>0</v>
      </c>
      <c r="W2308" s="3" t="n">
        <v>0</v>
      </c>
      <c r="X2308" s="3" t="n">
        <v>0</v>
      </c>
      <c r="Y2308" s="32" t="n">
        <v>0</v>
      </c>
      <c r="Z2308" s="3" t="n">
        <v>0</v>
      </c>
      <c r="AA2308" s="32" t="n">
        <v>0</v>
      </c>
      <c r="AB2308" s="3" t="n"/>
      <c r="AC2308" s="31" t="n">
        <v>0</v>
      </c>
      <c r="AD2308" s="2" t="n">
        <v>0</v>
      </c>
      <c r="AE2308" s="2" t="n">
        <v>10</v>
      </c>
      <c r="AF2308" s="4" t="n">
        <v>10</v>
      </c>
      <c r="AG2308" s="33" t="n">
        <v>0</v>
      </c>
      <c r="AH2308" s="4" t="n">
        <v>0</v>
      </c>
      <c r="AI2308" s="34" t="n"/>
      <c r="AJ2308" s="34" t="n">
        <v>0</v>
      </c>
      <c r="AK2308" s="2" t="n">
        <v>0</v>
      </c>
      <c r="AL2308" t="inlineStr">
        <is>
          <t>Published</t>
        </is>
      </c>
    </row>
    <row r="2309">
      <c r="A2309">
        <f>HYPERLINK("https://www.walmart.com/ip/107895894", "107895894")</f>
        <v/>
      </c>
      <c r="B2309">
        <f>HYPERLINK("https://app.optiwise.ai/catalog/itemdetails/362060", "JenniWears White Sheer Sexy Ladies Panty-hose Stockings Lingeries Socks Wife Girlfriend Female Freidn Gift")</f>
        <v/>
      </c>
      <c r="C2309" t="inlineStr">
        <is>
          <t>JWBLSPH2015</t>
        </is>
      </c>
      <c r="D2309" t="inlineStr">
        <is>
          <t>Clothing</t>
        </is>
      </c>
      <c r="E2309" t="inlineStr">
        <is>
          <t>Teddies &amp; Bodystockings</t>
        </is>
      </c>
      <c r="F2309" t="inlineStr">
        <is>
          <t>JenniWears</t>
        </is>
      </c>
      <c r="G2309" t="n">
        <v>0</v>
      </c>
      <c r="H2309" t="n">
        <v>0</v>
      </c>
      <c r="I2309" t="inlineStr">
        <is>
          <t>Valentine</t>
        </is>
      </c>
      <c r="J2309" s="29" t="n">
        <v>0</v>
      </c>
      <c r="K2309" s="30" t="n"/>
      <c r="L2309" s="29" t="n">
        <v>0</v>
      </c>
      <c r="M2309" s="29" t="n">
        <v>0</v>
      </c>
      <c r="N2309" s="2" t="n">
        <v>0</v>
      </c>
      <c r="O2309" s="31" t="n">
        <v>0</v>
      </c>
      <c r="P2309" s="32" t="n"/>
      <c r="Q2309" s="32" t="n">
        <v>0</v>
      </c>
      <c r="R2309" s="32" t="n">
        <v>0</v>
      </c>
      <c r="S2309" s="31" t="n">
        <v>0</v>
      </c>
      <c r="T2309" s="32" t="n">
        <v>0</v>
      </c>
      <c r="U2309" s="31" t="n">
        <v>0</v>
      </c>
      <c r="V2309" s="31" t="n">
        <v>0</v>
      </c>
      <c r="W2309" s="3" t="n">
        <v>0</v>
      </c>
      <c r="X2309" s="3" t="n">
        <v>0</v>
      </c>
      <c r="Y2309" s="32" t="n">
        <v>0</v>
      </c>
      <c r="Z2309" s="3" t="n">
        <v>0</v>
      </c>
      <c r="AA2309" s="32" t="n">
        <v>0</v>
      </c>
      <c r="AB2309" s="3" t="n"/>
      <c r="AC2309" s="31" t="n">
        <v>0</v>
      </c>
      <c r="AD2309" s="2" t="n">
        <v>0</v>
      </c>
      <c r="AE2309" s="2" t="n">
        <v>8</v>
      </c>
      <c r="AF2309" s="4" t="n">
        <v>8</v>
      </c>
      <c r="AG2309" s="33" t="n">
        <v>0</v>
      </c>
      <c r="AH2309" s="4" t="n">
        <v>0</v>
      </c>
      <c r="AI2309" s="34" t="n"/>
      <c r="AJ2309" s="34" t="n">
        <v>0</v>
      </c>
      <c r="AK2309" s="2" t="n">
        <v>0</v>
      </c>
      <c r="AL2309" t="inlineStr">
        <is>
          <t>Published</t>
        </is>
      </c>
    </row>
    <row r="2310">
      <c r="A2310">
        <f>HYPERLINK("https://www.walmart.com/ip/818171363", "818171363")</f>
        <v/>
      </c>
      <c r="B2310">
        <f>HYPERLINK("https://app.optiwise.ai/catalog/itemdetails/362058", "Sun Blocker Outdoor Sun Protection Fishing Cap with Neck Flap Wide Brim Hat for Men Women Baseball, Backpacking, Cycling, Hiking, Garden, Hunting, Camping, Olive")</f>
        <v/>
      </c>
      <c r="C2310" t="inlineStr">
        <is>
          <t>KC-S9155-OL</t>
        </is>
      </c>
      <c r="D2310" t="inlineStr">
        <is>
          <t>Clothing</t>
        </is>
      </c>
      <c r="E2310" t="inlineStr">
        <is>
          <t>Hats</t>
        </is>
      </c>
      <c r="F2310" t="inlineStr">
        <is>
          <t>Sun Blocker</t>
        </is>
      </c>
      <c r="G2310" t="n">
        <v>5</v>
      </c>
      <c r="H2310" t="n">
        <v>6</v>
      </c>
      <c r="I2310" t="inlineStr">
        <is>
          <t>Hats,Batch 1 - TR</t>
        </is>
      </c>
      <c r="J2310" s="29" t="n">
        <v>0</v>
      </c>
      <c r="K2310" s="30" t="n"/>
      <c r="L2310" s="29" t="n">
        <v>0</v>
      </c>
      <c r="M2310" s="29" t="n">
        <v>0</v>
      </c>
      <c r="N2310" s="2" t="n">
        <v>0</v>
      </c>
      <c r="O2310" s="31" t="n">
        <v>0</v>
      </c>
      <c r="P2310" s="32" t="n"/>
      <c r="Q2310" s="32" t="n">
        <v>0</v>
      </c>
      <c r="R2310" s="32" t="n">
        <v>0</v>
      </c>
      <c r="S2310" s="31" t="n">
        <v>0</v>
      </c>
      <c r="T2310" s="32" t="n">
        <v>0</v>
      </c>
      <c r="U2310" s="31" t="n">
        <v>0</v>
      </c>
      <c r="V2310" s="31" t="n">
        <v>0</v>
      </c>
      <c r="W2310" s="3" t="n">
        <v>0</v>
      </c>
      <c r="X2310" s="3" t="n">
        <v>0</v>
      </c>
      <c r="Y2310" s="32" t="n">
        <v>0</v>
      </c>
      <c r="Z2310" s="3" t="n">
        <v>0</v>
      </c>
      <c r="AA2310" s="32" t="n">
        <v>0</v>
      </c>
      <c r="AB2310" s="3" t="n"/>
      <c r="AC2310" s="31" t="n">
        <v>0</v>
      </c>
      <c r="AD2310" s="2" t="n">
        <v>0</v>
      </c>
      <c r="AE2310" s="2" t="n">
        <v>15</v>
      </c>
      <c r="AF2310" s="4" t="n">
        <v>15</v>
      </c>
      <c r="AG2310" s="33" t="n">
        <v>0</v>
      </c>
      <c r="AH2310" s="4" t="n">
        <v>0</v>
      </c>
      <c r="AI2310" s="34" t="n"/>
      <c r="AJ2310" s="34" t="n">
        <v>0</v>
      </c>
      <c r="AK2310" s="2" t="n">
        <v>0</v>
      </c>
      <c r="AL2310" t="inlineStr">
        <is>
          <t>Published</t>
        </is>
      </c>
    </row>
    <row r="2311">
      <c r="A2311">
        <f>HYPERLINK("https://www.walmart.com/ip/102208083", "102208083")</f>
        <v/>
      </c>
      <c r="B2311">
        <f>HYPERLINK("https://app.optiwise.ai/catalog/itemdetails/362053", "Terra Youth Reflective Knit Beanie Hat For Sports Warm One Size")</f>
        <v/>
      </c>
      <c r="C2311" t="inlineStr">
        <is>
          <t>TERRABN01-BK</t>
        </is>
      </c>
      <c r="D2311" t="inlineStr">
        <is>
          <t>Clothing</t>
        </is>
      </c>
      <c r="E2311" t="inlineStr">
        <is>
          <t>Hats</t>
        </is>
      </c>
      <c r="F2311" t="inlineStr">
        <is>
          <t>Terra</t>
        </is>
      </c>
      <c r="G2311" t="n">
        <v>0</v>
      </c>
      <c r="H2311" t="n">
        <v>0</v>
      </c>
      <c r="J2311" s="29" t="n">
        <v>0</v>
      </c>
      <c r="K2311" s="30" t="n"/>
      <c r="L2311" s="29" t="n">
        <v>0</v>
      </c>
      <c r="M2311" s="29" t="n">
        <v>0</v>
      </c>
      <c r="N2311" s="2" t="n">
        <v>0</v>
      </c>
      <c r="O2311" s="31" t="n">
        <v>0</v>
      </c>
      <c r="P2311" s="32" t="n"/>
      <c r="Q2311" s="32" t="n">
        <v>0</v>
      </c>
      <c r="R2311" s="32" t="n">
        <v>0</v>
      </c>
      <c r="S2311" s="31" t="n">
        <v>0</v>
      </c>
      <c r="T2311" s="32" t="n">
        <v>0</v>
      </c>
      <c r="U2311" s="31" t="n">
        <v>0</v>
      </c>
      <c r="V2311" s="31" t="n">
        <v>0</v>
      </c>
      <c r="W2311" s="3" t="n">
        <v>0</v>
      </c>
      <c r="X2311" s="3" t="n">
        <v>0</v>
      </c>
      <c r="Y2311" s="32" t="n">
        <v>0</v>
      </c>
      <c r="Z2311" s="3" t="n">
        <v>0</v>
      </c>
      <c r="AA2311" s="32" t="n">
        <v>0</v>
      </c>
      <c r="AB2311" s="3" t="n"/>
      <c r="AC2311" s="31" t="n">
        <v>0</v>
      </c>
      <c r="AD2311" s="2" t="n">
        <v>0</v>
      </c>
      <c r="AE2311" s="2" t="n">
        <v>1</v>
      </c>
      <c r="AF2311" s="4" t="n">
        <v>1</v>
      </c>
      <c r="AG2311" s="33" t="n">
        <v>0</v>
      </c>
      <c r="AH2311" s="4" t="n">
        <v>0</v>
      </c>
      <c r="AI2311" s="34" t="n"/>
      <c r="AJ2311" s="34" t="n">
        <v>0</v>
      </c>
      <c r="AK2311" s="2" t="n">
        <v>0</v>
      </c>
      <c r="AL2311" t="inlineStr">
        <is>
          <t>Published</t>
        </is>
      </c>
    </row>
    <row r="2312">
      <c r="A2312">
        <f>HYPERLINK("https://www.walmart.com/ip/268420160", "268420160")</f>
        <v/>
      </c>
      <c r="B2312">
        <f>HYPERLINK("https://app.optiwise.ai/catalog/itemdetails/362048", "Kids Beach Towel,100% Cotton Water Absorption Hooded Bath Changing Robe Poncho for 2 to 6 Years Boy Bathing Swimming Sand Proof")</f>
        <v/>
      </c>
      <c r="C2312" t="inlineStr">
        <is>
          <t>1CTBR200SF-ESCB</t>
        </is>
      </c>
      <c r="D2312" t="inlineStr">
        <is>
          <t>Home Decor, Kitchen, &amp; Other</t>
        </is>
      </c>
      <c r="E2312" t="inlineStr">
        <is>
          <t>Towels &amp; Washcloths</t>
        </is>
      </c>
      <c r="F2312" t="inlineStr">
        <is>
          <t>Catalonia</t>
        </is>
      </c>
      <c r="G2312" t="n">
        <v>0</v>
      </c>
      <c r="H2312" t="n">
        <v>0</v>
      </c>
      <c r="J2312" s="29" t="n">
        <v>0</v>
      </c>
      <c r="K2312" s="30" t="n"/>
      <c r="L2312" s="29" t="n">
        <v>0</v>
      </c>
      <c r="M2312" s="29" t="n">
        <v>0</v>
      </c>
      <c r="N2312" s="2" t="n">
        <v>0</v>
      </c>
      <c r="O2312" s="31" t="n">
        <v>0</v>
      </c>
      <c r="P2312" s="32" t="n"/>
      <c r="Q2312" s="32" t="n">
        <v>0</v>
      </c>
      <c r="R2312" s="32" t="n">
        <v>0</v>
      </c>
      <c r="S2312" s="31" t="n">
        <v>0</v>
      </c>
      <c r="T2312" s="32" t="n">
        <v>0</v>
      </c>
      <c r="U2312" s="31" t="n">
        <v>0</v>
      </c>
      <c r="V2312" s="31" t="n">
        <v>0</v>
      </c>
      <c r="W2312" s="3" t="n">
        <v>0</v>
      </c>
      <c r="X2312" s="3" t="n">
        <v>0</v>
      </c>
      <c r="Y2312" s="32" t="n">
        <v>0</v>
      </c>
      <c r="Z2312" s="3" t="n">
        <v>0</v>
      </c>
      <c r="AA2312" s="32" t="n">
        <v>0</v>
      </c>
      <c r="AB2312" s="3" t="n"/>
      <c r="AC2312" s="31" t="n">
        <v>0</v>
      </c>
      <c r="AD2312" s="2" t="n">
        <v>0</v>
      </c>
      <c r="AE2312" s="2" t="n">
        <v>23</v>
      </c>
      <c r="AF2312" s="4" t="n">
        <v>23</v>
      </c>
      <c r="AG2312" s="33" t="n">
        <v>0</v>
      </c>
      <c r="AH2312" s="4" t="n">
        <v>0</v>
      </c>
      <c r="AI2312" s="34" t="n"/>
      <c r="AJ2312" s="34" t="n">
        <v>0</v>
      </c>
      <c r="AK2312" s="2" t="n">
        <v>0</v>
      </c>
      <c r="AL2312" t="inlineStr">
        <is>
          <t>Published</t>
        </is>
      </c>
    </row>
    <row r="2313">
      <c r="A2313">
        <f>HYPERLINK("https://www.walmart.com/ip/451132022", "451132022")</f>
        <v/>
      </c>
      <c r="B2313">
        <f>HYPERLINK("https://app.optiwise.ai/catalog/itemdetails/362043", "Two Pieces Tankini Swimsuit for Women Shoulder Strap Swimwear Bikini Bottom Bathing Suits Set by Tirrinia")</f>
        <v/>
      </c>
      <c r="C2313" t="inlineStr">
        <is>
          <t>1TRSS006BKWH-M</t>
        </is>
      </c>
      <c r="D2313" t="inlineStr">
        <is>
          <t>Clothing</t>
        </is>
      </c>
      <c r="E2313" t="inlineStr">
        <is>
          <t>Swimsuit Sets</t>
        </is>
      </c>
      <c r="F2313" t="inlineStr">
        <is>
          <t>Tirrinia</t>
        </is>
      </c>
      <c r="G2313" t="n">
        <v>0</v>
      </c>
      <c r="H2313" t="n">
        <v>0</v>
      </c>
      <c r="I2313" t="inlineStr">
        <is>
          <t>Batch 1 - TR</t>
        </is>
      </c>
      <c r="J2313" s="29" t="n">
        <v>0</v>
      </c>
      <c r="K2313" s="30" t="n"/>
      <c r="L2313" s="29" t="n">
        <v>0</v>
      </c>
      <c r="M2313" s="29" t="n">
        <v>0</v>
      </c>
      <c r="N2313" s="2" t="n">
        <v>0</v>
      </c>
      <c r="O2313" s="31" t="n">
        <v>0</v>
      </c>
      <c r="P2313" s="32" t="n"/>
      <c r="Q2313" s="32" t="n">
        <v>0</v>
      </c>
      <c r="R2313" s="32" t="n">
        <v>0</v>
      </c>
      <c r="S2313" s="31" t="n">
        <v>0</v>
      </c>
      <c r="T2313" s="32" t="n">
        <v>0</v>
      </c>
      <c r="U2313" s="31" t="n">
        <v>0</v>
      </c>
      <c r="V2313" s="31" t="n">
        <v>0</v>
      </c>
      <c r="W2313" s="3" t="n">
        <v>0</v>
      </c>
      <c r="X2313" s="3" t="n">
        <v>0</v>
      </c>
      <c r="Y2313" s="32" t="n">
        <v>0</v>
      </c>
      <c r="Z2313" s="3" t="n">
        <v>0</v>
      </c>
      <c r="AA2313" s="32" t="n">
        <v>0</v>
      </c>
      <c r="AB2313" s="3" t="n"/>
      <c r="AC2313" s="31" t="n">
        <v>0</v>
      </c>
      <c r="AD2313" s="2" t="n">
        <v>0</v>
      </c>
      <c r="AE2313" s="2" t="n">
        <v>14</v>
      </c>
      <c r="AF2313" s="4" t="n">
        <v>14</v>
      </c>
      <c r="AG2313" s="33" t="n">
        <v>0</v>
      </c>
      <c r="AH2313" s="4" t="n">
        <v>0</v>
      </c>
      <c r="AI2313" s="34" t="n"/>
      <c r="AJ2313" s="34" t="n">
        <v>0</v>
      </c>
      <c r="AK2313" s="2" t="n">
        <v>0</v>
      </c>
      <c r="AL2313" t="inlineStr">
        <is>
          <t>Published</t>
        </is>
      </c>
    </row>
    <row r="2314">
      <c r="A2314">
        <f>HYPERLINK("https://www.walmart.com/ip/923133612", "923133612")</f>
        <v/>
      </c>
      <c r="B2314">
        <f>HYPERLINK("https://app.optiwise.ai/catalog/itemdetails/361977", "Vina Electric Gravity Salt Pepper Grinder Set, Adjustable Grinding Coarseness Automatic Shaker Mills with Ceramic Core, Free Garlic Roller Included, Pack of 2, Black")</f>
        <v/>
      </c>
      <c r="C2314" t="inlineStr">
        <is>
          <t>VINASPEG521-BK2PK</t>
        </is>
      </c>
      <c r="D2314" t="inlineStr">
        <is>
          <t>Home Decor, Kitchen, &amp; Other</t>
        </is>
      </c>
      <c r="E2314" t="inlineStr">
        <is>
          <t>Salt &amp; Pepper Mills</t>
        </is>
      </c>
      <c r="F2314" t="inlineStr">
        <is>
          <t>Vina</t>
        </is>
      </c>
      <c r="G2314" t="n">
        <v>3.3</v>
      </c>
      <c r="H2314" t="n">
        <v>33</v>
      </c>
      <c r="I2314" t="inlineStr">
        <is>
          <t>WFS,WFS Item</t>
        </is>
      </c>
      <c r="J2314" s="29" t="n">
        <v>0</v>
      </c>
      <c r="K2314" s="30" t="n"/>
      <c r="L2314" s="29" t="n">
        <v>0</v>
      </c>
      <c r="M2314" s="29" t="n">
        <v>0</v>
      </c>
      <c r="N2314" s="2" t="n">
        <v>0</v>
      </c>
      <c r="O2314" s="31" t="n">
        <v>0</v>
      </c>
      <c r="P2314" s="32" t="n"/>
      <c r="Q2314" s="32" t="n">
        <v>0</v>
      </c>
      <c r="R2314" s="32" t="n">
        <v>0</v>
      </c>
      <c r="S2314" s="31" t="n">
        <v>0</v>
      </c>
      <c r="T2314" s="32" t="n">
        <v>0</v>
      </c>
      <c r="U2314" s="31" t="n">
        <v>0</v>
      </c>
      <c r="V2314" s="31" t="n">
        <v>0</v>
      </c>
      <c r="W2314" s="3" t="n">
        <v>0</v>
      </c>
      <c r="X2314" s="3" t="n">
        <v>0</v>
      </c>
      <c r="Y2314" s="32" t="n">
        <v>0</v>
      </c>
      <c r="Z2314" s="3" t="n">
        <v>0</v>
      </c>
      <c r="AA2314" s="32" t="n">
        <v>0</v>
      </c>
      <c r="AB2314" s="3" t="n"/>
      <c r="AC2314" s="31" t="n">
        <v>0</v>
      </c>
      <c r="AD2314" s="2" t="n">
        <v>0</v>
      </c>
      <c r="AE2314" s="2" t="n">
        <v>3</v>
      </c>
      <c r="AF2314" s="4" t="n">
        <v>3</v>
      </c>
      <c r="AG2314" s="33" t="n">
        <v>0</v>
      </c>
      <c r="AH2314" s="4" t="n">
        <v>0</v>
      </c>
      <c r="AI2314" s="34" t="n"/>
      <c r="AJ2314" s="34" t="n">
        <v>0</v>
      </c>
      <c r="AK2314" s="2" t="n">
        <v>0</v>
      </c>
      <c r="AL2314" t="inlineStr">
        <is>
          <t>Published</t>
        </is>
      </c>
    </row>
    <row r="2315">
      <c r="A2315">
        <f>HYPERLINK("https://www.walmart.com/ip/925603003", "925603003")</f>
        <v/>
      </c>
      <c r="B2315">
        <f>HYPERLINK("https://app.optiwise.ai/catalog/itemdetails/361972", "Mens Underwear Mens Boxer Briefs with Elastic Waistband Solid New Classic Fit, 3 Pack by Terra")</f>
        <v/>
      </c>
      <c r="C2315" t="inlineStr">
        <is>
          <t>TERRA-BOXER3-L</t>
        </is>
      </c>
      <c r="D2315" t="inlineStr">
        <is>
          <t>Clothing</t>
        </is>
      </c>
      <c r="E2315" t="inlineStr">
        <is>
          <t>Underpants</t>
        </is>
      </c>
      <c r="F2315" t="inlineStr">
        <is>
          <t>Terra</t>
        </is>
      </c>
      <c r="G2315" t="n">
        <v>0</v>
      </c>
      <c r="H2315" t="n">
        <v>0</v>
      </c>
      <c r="I2315" t="inlineStr">
        <is>
          <t>Batch 1 - TR</t>
        </is>
      </c>
      <c r="J2315" s="29" t="n">
        <v>0</v>
      </c>
      <c r="K2315" s="30" t="n"/>
      <c r="L2315" s="29" t="n">
        <v>0</v>
      </c>
      <c r="M2315" s="29" t="n">
        <v>0</v>
      </c>
      <c r="N2315" s="2" t="n">
        <v>0</v>
      </c>
      <c r="O2315" s="31" t="n">
        <v>0</v>
      </c>
      <c r="P2315" s="32" t="n"/>
      <c r="Q2315" s="32" t="n">
        <v>0</v>
      </c>
      <c r="R2315" s="32" t="n">
        <v>0</v>
      </c>
      <c r="S2315" s="31" t="n">
        <v>0</v>
      </c>
      <c r="T2315" s="32" t="n">
        <v>0</v>
      </c>
      <c r="U2315" s="31" t="n">
        <v>0</v>
      </c>
      <c r="V2315" s="31" t="n">
        <v>0</v>
      </c>
      <c r="W2315" s="3" t="n">
        <v>0</v>
      </c>
      <c r="X2315" s="3" t="n">
        <v>0</v>
      </c>
      <c r="Y2315" s="32" t="n">
        <v>0</v>
      </c>
      <c r="Z2315" s="3" t="n">
        <v>0</v>
      </c>
      <c r="AA2315" s="32" t="n">
        <v>0</v>
      </c>
      <c r="AB2315" s="3" t="n"/>
      <c r="AC2315" s="31" t="n">
        <v>0</v>
      </c>
      <c r="AD2315" s="2" t="n">
        <v>0</v>
      </c>
      <c r="AE2315" s="2" t="n">
        <v>17</v>
      </c>
      <c r="AF2315" s="4" t="n">
        <v>17</v>
      </c>
      <c r="AG2315" s="33" t="n">
        <v>0</v>
      </c>
      <c r="AH2315" s="4" t="n">
        <v>0</v>
      </c>
      <c r="AI2315" s="34" t="n"/>
      <c r="AJ2315" s="34" t="n">
        <v>0</v>
      </c>
      <c r="AK2315" s="2" t="n">
        <v>0</v>
      </c>
      <c r="AL2315" t="inlineStr">
        <is>
          <t>Published</t>
        </is>
      </c>
    </row>
    <row r="2316">
      <c r="A2316">
        <f>HYPERLINK("https://www.walmart.com/ip/165175251", "165175251")</f>
        <v/>
      </c>
      <c r="B2316">
        <f>HYPERLINK("https://app.optiwise.ai/catalog/itemdetails/361970", "JenniWears Women's Beileise Sexy Net Pantyhose Stockings Sheer Ultrathin Socks - 3 Packs")</f>
        <v/>
      </c>
      <c r="C2316" t="inlineStr">
        <is>
          <t>JWBLSPH2086-3pcs</t>
        </is>
      </c>
      <c r="D2316" t="inlineStr">
        <is>
          <t>Clothing</t>
        </is>
      </c>
      <c r="E2316" t="inlineStr">
        <is>
          <t>Pantyhose &amp; Tights</t>
        </is>
      </c>
      <c r="F2316" t="inlineStr">
        <is>
          <t>JenniWears</t>
        </is>
      </c>
      <c r="G2316" t="n">
        <v>0</v>
      </c>
      <c r="H2316" t="n">
        <v>0</v>
      </c>
      <c r="I2316" t="inlineStr">
        <is>
          <t>Optimized,Valentine</t>
        </is>
      </c>
      <c r="J2316" s="29" t="n">
        <v>0</v>
      </c>
      <c r="K2316" s="30" t="n"/>
      <c r="L2316" s="29" t="n">
        <v>0</v>
      </c>
      <c r="M2316" s="29" t="n">
        <v>0</v>
      </c>
      <c r="N2316" s="2" t="n">
        <v>0</v>
      </c>
      <c r="O2316" s="31" t="n">
        <v>0</v>
      </c>
      <c r="P2316" s="32" t="n"/>
      <c r="Q2316" s="32" t="n">
        <v>0</v>
      </c>
      <c r="R2316" s="32" t="n">
        <v>0</v>
      </c>
      <c r="S2316" s="31" t="n">
        <v>0</v>
      </c>
      <c r="T2316" s="32" t="n">
        <v>0</v>
      </c>
      <c r="U2316" s="31" t="n">
        <v>0</v>
      </c>
      <c r="V2316" s="31" t="n">
        <v>0</v>
      </c>
      <c r="W2316" s="3" t="n">
        <v>0</v>
      </c>
      <c r="X2316" s="3" t="n">
        <v>0</v>
      </c>
      <c r="Y2316" s="32" t="n">
        <v>0</v>
      </c>
      <c r="Z2316" s="3" t="n">
        <v>0</v>
      </c>
      <c r="AA2316" s="32" t="n">
        <v>0</v>
      </c>
      <c r="AB2316" s="3" t="n"/>
      <c r="AC2316" s="31" t="n">
        <v>0</v>
      </c>
      <c r="AD2316" s="2" t="n">
        <v>0</v>
      </c>
      <c r="AE2316" s="2" t="n">
        <v>5</v>
      </c>
      <c r="AF2316" s="4" t="n">
        <v>5</v>
      </c>
      <c r="AG2316" s="33" t="n">
        <v>0</v>
      </c>
      <c r="AH2316" s="4" t="n">
        <v>0</v>
      </c>
      <c r="AI2316" s="34" t="n"/>
      <c r="AJ2316" s="34" t="n">
        <v>0</v>
      </c>
      <c r="AK2316" s="2" t="n">
        <v>0</v>
      </c>
      <c r="AL2316" t="inlineStr">
        <is>
          <t>Published</t>
        </is>
      </c>
    </row>
    <row r="2317">
      <c r="A2317">
        <f>HYPERLINK("https://www.walmart.com/ip/141628269", "141628269")</f>
        <v/>
      </c>
      <c r="B2317">
        <f>HYPERLINK("https://app.optiwise.ai/catalog/itemdetails/361964", "KC Caps® Camouflage Adjustable Hunting Cap Hiking Jungle Mossy Oak Realtree Hat")</f>
        <v/>
      </c>
      <c r="C2317" t="inlineStr">
        <is>
          <t>KC Caps HT03</t>
        </is>
      </c>
      <c r="D2317" t="inlineStr">
        <is>
          <t>Clothing</t>
        </is>
      </c>
      <c r="E2317" t="inlineStr">
        <is>
          <t>Hats</t>
        </is>
      </c>
      <c r="F2317" t="inlineStr">
        <is>
          <t>KC Caps</t>
        </is>
      </c>
      <c r="G2317" t="n">
        <v>3.7</v>
      </c>
      <c r="H2317" t="n">
        <v>3</v>
      </c>
      <c r="I2317" t="inlineStr">
        <is>
          <t>Optimized</t>
        </is>
      </c>
      <c r="J2317" s="29" t="n">
        <v>0</v>
      </c>
      <c r="K2317" s="30" t="n"/>
      <c r="L2317" s="29" t="n">
        <v>0</v>
      </c>
      <c r="M2317" s="29" t="n">
        <v>0</v>
      </c>
      <c r="N2317" s="2" t="n">
        <v>0</v>
      </c>
      <c r="O2317" s="31" t="n">
        <v>0</v>
      </c>
      <c r="P2317" s="32" t="n"/>
      <c r="Q2317" s="32" t="n">
        <v>0</v>
      </c>
      <c r="R2317" s="32" t="n">
        <v>0</v>
      </c>
      <c r="S2317" s="31" t="n">
        <v>0</v>
      </c>
      <c r="T2317" s="32" t="n">
        <v>0</v>
      </c>
      <c r="U2317" s="31" t="n">
        <v>0</v>
      </c>
      <c r="V2317" s="31" t="n">
        <v>0</v>
      </c>
      <c r="W2317" s="3" t="n">
        <v>0</v>
      </c>
      <c r="X2317" s="3" t="n">
        <v>0</v>
      </c>
      <c r="Y2317" s="32" t="n">
        <v>0</v>
      </c>
      <c r="Z2317" s="3" t="n">
        <v>0</v>
      </c>
      <c r="AA2317" s="32" t="n">
        <v>0</v>
      </c>
      <c r="AB2317" s="3" t="n"/>
      <c r="AC2317" s="31" t="n">
        <v>0</v>
      </c>
      <c r="AD2317" s="2" t="n">
        <v>0</v>
      </c>
      <c r="AE2317" s="2" t="n">
        <v>34</v>
      </c>
      <c r="AF2317" s="4" t="n">
        <v>34</v>
      </c>
      <c r="AG2317" s="33" t="n">
        <v>0</v>
      </c>
      <c r="AH2317" s="4" t="n">
        <v>0</v>
      </c>
      <c r="AI2317" s="34" t="n"/>
      <c r="AJ2317" s="34" t="n">
        <v>0</v>
      </c>
      <c r="AK2317" s="2" t="n">
        <v>0</v>
      </c>
      <c r="AL2317" t="inlineStr">
        <is>
          <t>Published</t>
        </is>
      </c>
    </row>
    <row r="2318">
      <c r="A2318">
        <f>HYPERLINK("https://www.walmart.com/ip/244658784", "244658784")</f>
        <v/>
      </c>
      <c r="B2318">
        <f>HYPERLINK("https://app.optiwise.ai/catalog/itemdetails/361888", "Microplush Sherpa Blanket with Sleeves for Women and Men Black")</f>
        <v/>
      </c>
      <c r="C2318" t="inlineStr">
        <is>
          <t>1TRSN110BK</t>
        </is>
      </c>
      <c r="D2318" t="inlineStr">
        <is>
          <t>Bedding</t>
        </is>
      </c>
      <c r="E2318" t="inlineStr">
        <is>
          <t>Throws</t>
        </is>
      </c>
      <c r="F2318" t="inlineStr">
        <is>
          <t>Tirrinia</t>
        </is>
      </c>
      <c r="G2318" t="n">
        <v>5</v>
      </c>
      <c r="H2318" t="n">
        <v>3</v>
      </c>
      <c r="I2318" t="inlineStr">
        <is>
          <t>WFS,Coupon_Discount,WFS Item</t>
        </is>
      </c>
      <c r="J2318" s="29" t="n">
        <v>0</v>
      </c>
      <c r="K2318" s="30" t="n"/>
      <c r="L2318" s="29" t="n">
        <v>0</v>
      </c>
      <c r="M2318" s="29" t="n">
        <v>0</v>
      </c>
      <c r="N2318" s="2" t="n">
        <v>0</v>
      </c>
      <c r="O2318" s="31" t="n">
        <v>0</v>
      </c>
      <c r="P2318" s="32" t="n"/>
      <c r="Q2318" s="32" t="n">
        <v>0</v>
      </c>
      <c r="R2318" s="32" t="n">
        <v>0</v>
      </c>
      <c r="S2318" s="31" t="n">
        <v>0</v>
      </c>
      <c r="T2318" s="32" t="n">
        <v>0</v>
      </c>
      <c r="U2318" s="31" t="n">
        <v>0</v>
      </c>
      <c r="V2318" s="31" t="n">
        <v>0</v>
      </c>
      <c r="W2318" s="3" t="n">
        <v>0</v>
      </c>
      <c r="X2318" s="3" t="n">
        <v>0</v>
      </c>
      <c r="Y2318" s="32" t="n">
        <v>0</v>
      </c>
      <c r="Z2318" s="3" t="n">
        <v>0</v>
      </c>
      <c r="AA2318" s="32" t="n">
        <v>0</v>
      </c>
      <c r="AB2318" s="3" t="n"/>
      <c r="AC2318" s="31" t="n">
        <v>0</v>
      </c>
      <c r="AD2318" s="2" t="n">
        <v>0</v>
      </c>
      <c r="AE2318" s="2" t="n">
        <v>5</v>
      </c>
      <c r="AF2318" s="4" t="n">
        <v>5</v>
      </c>
      <c r="AG2318" s="33" t="n">
        <v>0</v>
      </c>
      <c r="AH2318" s="4" t="n">
        <v>0</v>
      </c>
      <c r="AI2318" s="34" t="n"/>
      <c r="AJ2318" s="34" t="n">
        <v>0</v>
      </c>
      <c r="AK2318" s="2" t="n">
        <v>0</v>
      </c>
      <c r="AL2318" t="inlineStr">
        <is>
          <t>Published</t>
        </is>
      </c>
    </row>
    <row r="2319">
      <c r="A2319">
        <f>HYPERLINK("https://www.walmart.com/ip/510130116", "510130116")</f>
        <v/>
      </c>
      <c r="B2319">
        <f>HYPERLINK("https://app.optiwise.ai/catalog/itemdetails/361887", "Sherpa Slipper Socks for Women,Winter Indoor Home Non Skid Booties")</f>
        <v/>
      </c>
      <c r="C2319" t="inlineStr">
        <is>
          <t>1CTST200PK-2</t>
        </is>
      </c>
      <c r="D2319" t="inlineStr">
        <is>
          <t>Clothing</t>
        </is>
      </c>
      <c r="E2319" t="inlineStr">
        <is>
          <t>Socks</t>
        </is>
      </c>
      <c r="F2319" t="inlineStr">
        <is>
          <t>Catalonia</t>
        </is>
      </c>
      <c r="G2319" t="n">
        <v>0</v>
      </c>
      <c r="H2319" t="n">
        <v>0</v>
      </c>
      <c r="I2319" t="inlineStr">
        <is>
          <t>WFS,WFS Item</t>
        </is>
      </c>
      <c r="J2319" s="29" t="n">
        <v>0</v>
      </c>
      <c r="K2319" s="30" t="n"/>
      <c r="L2319" s="29" t="n">
        <v>0</v>
      </c>
      <c r="M2319" s="29" t="n">
        <v>0</v>
      </c>
      <c r="N2319" s="2" t="n">
        <v>0</v>
      </c>
      <c r="O2319" s="31" t="n">
        <v>0</v>
      </c>
      <c r="P2319" s="32" t="n"/>
      <c r="Q2319" s="32" t="n">
        <v>0</v>
      </c>
      <c r="R2319" s="32" t="n">
        <v>0</v>
      </c>
      <c r="S2319" s="31" t="n">
        <v>0</v>
      </c>
      <c r="T2319" s="32" t="n">
        <v>0</v>
      </c>
      <c r="U2319" s="31" t="n">
        <v>0</v>
      </c>
      <c r="V2319" s="31" t="n">
        <v>0</v>
      </c>
      <c r="W2319" s="3" t="n">
        <v>0</v>
      </c>
      <c r="X2319" s="3" t="n">
        <v>0</v>
      </c>
      <c r="Y2319" s="32" t="n">
        <v>0</v>
      </c>
      <c r="Z2319" s="3" t="n">
        <v>0</v>
      </c>
      <c r="AA2319" s="32" t="n">
        <v>0</v>
      </c>
      <c r="AB2319" s="3" t="n"/>
      <c r="AC2319" s="31" t="n">
        <v>0</v>
      </c>
      <c r="AD2319" s="2" t="n">
        <v>0</v>
      </c>
      <c r="AE2319" s="2" t="n">
        <v>9</v>
      </c>
      <c r="AF2319" s="4" t="n">
        <v>9</v>
      </c>
      <c r="AG2319" s="33" t="n">
        <v>0</v>
      </c>
      <c r="AH2319" s="4" t="n">
        <v>0</v>
      </c>
      <c r="AI2319" s="34" t="n"/>
      <c r="AJ2319" s="34" t="n">
        <v>0</v>
      </c>
      <c r="AK2319" s="2" t="n">
        <v>0</v>
      </c>
      <c r="AL2319" t="inlineStr">
        <is>
          <t>Published</t>
        </is>
      </c>
    </row>
    <row r="2320">
      <c r="A2320">
        <f>HYPERLINK("https://www.walmart.com/ip/726763490", "726763490")</f>
        <v/>
      </c>
      <c r="B2320">
        <f>HYPERLINK("https://app.optiwise.ai/catalog/itemdetails/362150", "Tirrinia Womens Floppy Beach Summer Hat Reversible Sunhat Packable Wide Brim Flower Pattern Navy")</f>
        <v/>
      </c>
      <c r="C2320" t="inlineStr">
        <is>
          <t>1TRSH069NV-TBCB</t>
        </is>
      </c>
      <c r="D2320" t="inlineStr">
        <is>
          <t>Clothing</t>
        </is>
      </c>
      <c r="E2320" t="inlineStr">
        <is>
          <t>Hats</t>
        </is>
      </c>
      <c r="F2320" t="inlineStr">
        <is>
          <t>Tirrinia</t>
        </is>
      </c>
      <c r="G2320" t="n">
        <v>0</v>
      </c>
      <c r="H2320" t="n">
        <v>0</v>
      </c>
      <c r="I2320" t="inlineStr">
        <is>
          <t>Optimized</t>
        </is>
      </c>
      <c r="J2320" s="29" t="n">
        <v>0</v>
      </c>
      <c r="K2320" s="30" t="n"/>
      <c r="L2320" s="29" t="n">
        <v>0</v>
      </c>
      <c r="M2320" s="29" t="n">
        <v>0</v>
      </c>
      <c r="N2320" s="2" t="n">
        <v>0</v>
      </c>
      <c r="O2320" s="31" t="n">
        <v>0</v>
      </c>
      <c r="P2320" s="32" t="n"/>
      <c r="Q2320" s="32" t="n">
        <v>0</v>
      </c>
      <c r="R2320" s="32" t="n">
        <v>0</v>
      </c>
      <c r="S2320" s="31" t="n">
        <v>0</v>
      </c>
      <c r="T2320" s="32" t="n">
        <v>0</v>
      </c>
      <c r="U2320" s="31" t="n">
        <v>0</v>
      </c>
      <c r="V2320" s="31" t="n">
        <v>0</v>
      </c>
      <c r="W2320" s="3" t="n">
        <v>0</v>
      </c>
      <c r="X2320" s="3" t="n">
        <v>0</v>
      </c>
      <c r="Y2320" s="32" t="n">
        <v>0</v>
      </c>
      <c r="Z2320" s="3" t="n">
        <v>0</v>
      </c>
      <c r="AA2320" s="32" t="n">
        <v>0</v>
      </c>
      <c r="AB2320" s="3" t="n"/>
      <c r="AC2320" s="31" t="n">
        <v>0</v>
      </c>
      <c r="AD2320" s="2" t="n">
        <v>0</v>
      </c>
      <c r="AE2320" s="2" t="n">
        <v>6</v>
      </c>
      <c r="AF2320" s="4" t="n">
        <v>6</v>
      </c>
      <c r="AG2320" s="33" t="n">
        <v>0</v>
      </c>
      <c r="AH2320" s="4" t="n">
        <v>0</v>
      </c>
      <c r="AI2320" s="34" t="n"/>
      <c r="AJ2320" s="34" t="n">
        <v>0</v>
      </c>
      <c r="AK2320" s="2" t="n">
        <v>0</v>
      </c>
      <c r="AL2320" t="inlineStr">
        <is>
          <t>Published</t>
        </is>
      </c>
    </row>
    <row r="2321">
      <c r="A2321">
        <f>HYPERLINK("https://www.walmart.com/ip/184239315", "184239315")</f>
        <v/>
      </c>
      <c r="B2321">
        <f>HYPERLINK("https://app.optiwise.ai/catalog/itemdetails/361882", "Tirrina Unisex Outdoor Sun Protection Fishing Cap with Neck Flap Wide Brim Mesh Hat for Travel Camping Hiking Hunting")</f>
        <v/>
      </c>
      <c r="C2321" t="inlineStr">
        <is>
          <t>1WMSH910DIGIGN</t>
        </is>
      </c>
      <c r="D2321" t="inlineStr">
        <is>
          <t>Clothing</t>
        </is>
      </c>
      <c r="E2321" t="inlineStr">
        <is>
          <t>Hats</t>
        </is>
      </c>
      <c r="F2321" t="inlineStr">
        <is>
          <t>Tirrinia</t>
        </is>
      </c>
      <c r="G2321" t="n">
        <v>0</v>
      </c>
      <c r="H2321" t="n">
        <v>0</v>
      </c>
      <c r="I2321" t="inlineStr">
        <is>
          <t>Optimized</t>
        </is>
      </c>
      <c r="J2321" s="29" t="n">
        <v>0</v>
      </c>
      <c r="K2321" s="30" t="n"/>
      <c r="L2321" s="29" t="n">
        <v>0</v>
      </c>
      <c r="M2321" s="29" t="n">
        <v>0</v>
      </c>
      <c r="N2321" s="2" t="n">
        <v>0</v>
      </c>
      <c r="O2321" s="31" t="n">
        <v>0</v>
      </c>
      <c r="P2321" s="32" t="n"/>
      <c r="Q2321" s="32" t="n">
        <v>0</v>
      </c>
      <c r="R2321" s="32" t="n">
        <v>0</v>
      </c>
      <c r="S2321" s="31" t="n">
        <v>0</v>
      </c>
      <c r="T2321" s="32" t="n">
        <v>0</v>
      </c>
      <c r="U2321" s="31" t="n">
        <v>0</v>
      </c>
      <c r="V2321" s="31" t="n">
        <v>0</v>
      </c>
      <c r="W2321" s="3" t="n">
        <v>0</v>
      </c>
      <c r="X2321" s="3" t="n">
        <v>0</v>
      </c>
      <c r="Y2321" s="32" t="n">
        <v>0</v>
      </c>
      <c r="Z2321" s="3" t="n">
        <v>0</v>
      </c>
      <c r="AA2321" s="32" t="n">
        <v>0</v>
      </c>
      <c r="AB2321" s="3" t="n"/>
      <c r="AC2321" s="31" t="n">
        <v>0</v>
      </c>
      <c r="AD2321" s="2" t="n">
        <v>0</v>
      </c>
      <c r="AE2321" s="2" t="n">
        <v>4</v>
      </c>
      <c r="AF2321" s="4" t="n">
        <v>4</v>
      </c>
      <c r="AG2321" s="33" t="n">
        <v>0</v>
      </c>
      <c r="AH2321" s="4" t="n">
        <v>0</v>
      </c>
      <c r="AI2321" s="34" t="n"/>
      <c r="AJ2321" s="34" t="n">
        <v>0</v>
      </c>
      <c r="AK2321" s="2" t="n">
        <v>0</v>
      </c>
      <c r="AL2321" t="inlineStr">
        <is>
          <t>Published</t>
        </is>
      </c>
    </row>
    <row r="2322">
      <c r="A2322">
        <f>HYPERLINK("https://www.walmart.com/ip/163997062", "163997062")</f>
        <v/>
      </c>
      <c r="B2322">
        <f>HYPERLINK("https://app.optiwise.ai/catalog/itemdetails/361880", "JenniWears Adjustable Female Sexy Lace Garter Belt High Waisted Suspender for Party Cosplay Activity, Black, 3 Pack")</f>
        <v/>
      </c>
      <c r="C2322" t="inlineStr">
        <is>
          <t>JWBLSPH5003-3pcs</t>
        </is>
      </c>
      <c r="D2322" t="inlineStr">
        <is>
          <t>Clothing</t>
        </is>
      </c>
      <c r="E2322" t="inlineStr">
        <is>
          <t>Garter Belts</t>
        </is>
      </c>
      <c r="F2322" t="inlineStr">
        <is>
          <t>JenniWears</t>
        </is>
      </c>
      <c r="G2322" t="n">
        <v>0</v>
      </c>
      <c r="H2322" t="n">
        <v>0</v>
      </c>
      <c r="I2322" t="inlineStr">
        <is>
          <t>Optimized,Valentine</t>
        </is>
      </c>
      <c r="J2322" s="29" t="n">
        <v>0</v>
      </c>
      <c r="K2322" s="30" t="n"/>
      <c r="L2322" s="29" t="n">
        <v>0</v>
      </c>
      <c r="M2322" s="29" t="n">
        <v>0</v>
      </c>
      <c r="N2322" s="2" t="n">
        <v>0</v>
      </c>
      <c r="O2322" s="31" t="n">
        <v>0</v>
      </c>
      <c r="P2322" s="32" t="n"/>
      <c r="Q2322" s="32" t="n">
        <v>0</v>
      </c>
      <c r="R2322" s="32" t="n">
        <v>0</v>
      </c>
      <c r="S2322" s="31" t="n">
        <v>0</v>
      </c>
      <c r="T2322" s="32" t="n">
        <v>0</v>
      </c>
      <c r="U2322" s="31" t="n">
        <v>0</v>
      </c>
      <c r="V2322" s="31" t="n">
        <v>0</v>
      </c>
      <c r="W2322" s="3" t="n">
        <v>0</v>
      </c>
      <c r="X2322" s="3" t="n">
        <v>0</v>
      </c>
      <c r="Y2322" s="32" t="n">
        <v>0</v>
      </c>
      <c r="Z2322" s="3" t="n">
        <v>0</v>
      </c>
      <c r="AA2322" s="32" t="n">
        <v>0</v>
      </c>
      <c r="AB2322" s="3" t="n"/>
      <c r="AC2322" s="31" t="n">
        <v>0</v>
      </c>
      <c r="AD2322" s="2" t="n">
        <v>0</v>
      </c>
      <c r="AE2322" s="2" t="n">
        <v>4</v>
      </c>
      <c r="AF2322" s="4" t="n">
        <v>4</v>
      </c>
      <c r="AG2322" s="33" t="n">
        <v>0</v>
      </c>
      <c r="AH2322" s="4" t="n">
        <v>0</v>
      </c>
      <c r="AI2322" s="34" t="n"/>
      <c r="AJ2322" s="34" t="n">
        <v>0</v>
      </c>
      <c r="AK2322" s="2" t="n">
        <v>0</v>
      </c>
      <c r="AL2322" t="inlineStr">
        <is>
          <t>Published</t>
        </is>
      </c>
    </row>
    <row r="2323">
      <c r="A2323">
        <f>HYPERLINK("https://www.walmart.com/ip/364359143", "364359143")</f>
        <v/>
      </c>
      <c r="B2323">
        <f>HYPERLINK("https://app.optiwise.ai/catalog/itemdetails/361879", "Catalonia Cheetah Fluffy Sherpa Throw Blanket, Super Soft Mink Fleece Couch Blanket, TV Bed Fuzzy Blanket, Fluffy Comfy Warm Heavy Throws, Comfort Caring Gift,50x60 inches")</f>
        <v/>
      </c>
      <c r="C2323" t="inlineStr">
        <is>
          <t>1CTBF300CHEETAHWT</t>
        </is>
      </c>
      <c r="D2323" t="inlineStr">
        <is>
          <t>Bedding</t>
        </is>
      </c>
      <c r="E2323" t="inlineStr">
        <is>
          <t>Throws</t>
        </is>
      </c>
      <c r="F2323" t="inlineStr">
        <is>
          <t>Catalonia</t>
        </is>
      </c>
      <c r="G2323" t="n">
        <v>0</v>
      </c>
      <c r="H2323" t="n">
        <v>0</v>
      </c>
      <c r="I2323" t="inlineStr">
        <is>
          <t>WFS,Coupon_Discount,WFS Item</t>
        </is>
      </c>
      <c r="J2323" s="29" t="n">
        <v>0</v>
      </c>
      <c r="K2323" s="30" t="n"/>
      <c r="L2323" s="29" t="n">
        <v>0</v>
      </c>
      <c r="M2323" s="29" t="n">
        <v>0</v>
      </c>
      <c r="N2323" s="2" t="n">
        <v>0</v>
      </c>
      <c r="O2323" s="31" t="n">
        <v>0</v>
      </c>
      <c r="P2323" s="32" t="n"/>
      <c r="Q2323" s="32" t="n">
        <v>0</v>
      </c>
      <c r="R2323" s="32" t="n">
        <v>0</v>
      </c>
      <c r="S2323" s="31" t="n">
        <v>0</v>
      </c>
      <c r="T2323" s="32" t="n">
        <v>0</v>
      </c>
      <c r="U2323" s="31" t="n">
        <v>0</v>
      </c>
      <c r="V2323" s="31" t="n">
        <v>0</v>
      </c>
      <c r="W2323" s="3" t="n">
        <v>0</v>
      </c>
      <c r="X2323" s="3" t="n">
        <v>0</v>
      </c>
      <c r="Y2323" s="32" t="n">
        <v>0</v>
      </c>
      <c r="Z2323" s="3" t="n">
        <v>0</v>
      </c>
      <c r="AA2323" s="32" t="n">
        <v>0</v>
      </c>
      <c r="AB2323" s="3" t="n"/>
      <c r="AC2323" s="31" t="n">
        <v>0</v>
      </c>
      <c r="AD2323" s="2" t="n">
        <v>0</v>
      </c>
      <c r="AE2323" s="2" t="n">
        <v>10</v>
      </c>
      <c r="AF2323" s="4" t="n">
        <v>10</v>
      </c>
      <c r="AG2323" s="33" t="n">
        <v>0</v>
      </c>
      <c r="AH2323" s="4" t="n">
        <v>0</v>
      </c>
      <c r="AI2323" s="34" t="n"/>
      <c r="AJ2323" s="34" t="n">
        <v>0</v>
      </c>
      <c r="AK2323" s="2" t="n">
        <v>0</v>
      </c>
      <c r="AL2323" t="inlineStr">
        <is>
          <t>Published</t>
        </is>
      </c>
    </row>
    <row r="2324">
      <c r="A2324">
        <f>HYPERLINK("https://www.walmart.com/ip/939062191", "939062191")</f>
        <v/>
      </c>
      <c r="B2324">
        <f>HYPERLINK("https://app.optiwise.ai/catalog/itemdetails/362156", "Napa Plush  Super Soft Warm Throw Blanket Bed Couch Blanket More Useful")</f>
        <v/>
      </c>
      <c r="C2324" t="inlineStr">
        <is>
          <t>K8030QF-LBL</t>
        </is>
      </c>
      <c r="D2324" t="inlineStr">
        <is>
          <t>Bedding</t>
        </is>
      </c>
      <c r="E2324" t="inlineStr">
        <is>
          <t>Throws</t>
        </is>
      </c>
      <c r="F2324" t="inlineStr">
        <is>
          <t>NAPA</t>
        </is>
      </c>
      <c r="G2324" t="n">
        <v>0</v>
      </c>
      <c r="H2324" t="n">
        <v>0</v>
      </c>
      <c r="J2324" s="29" t="n">
        <v>0</v>
      </c>
      <c r="K2324" s="30" t="n"/>
      <c r="L2324" s="29" t="n">
        <v>0</v>
      </c>
      <c r="M2324" s="29" t="n">
        <v>0</v>
      </c>
      <c r="N2324" s="2" t="n">
        <v>0</v>
      </c>
      <c r="O2324" s="31" t="n">
        <v>0</v>
      </c>
      <c r="P2324" s="32" t="n"/>
      <c r="Q2324" s="32" t="n">
        <v>0</v>
      </c>
      <c r="R2324" s="32" t="n">
        <v>0.2767</v>
      </c>
      <c r="S2324" s="31" t="n">
        <v>0</v>
      </c>
      <c r="T2324" s="32" t="n">
        <v>0</v>
      </c>
      <c r="U2324" s="31" t="n">
        <v>0</v>
      </c>
      <c r="V2324" s="31" t="n">
        <v>0</v>
      </c>
      <c r="W2324" s="3" t="n">
        <v>0</v>
      </c>
      <c r="X2324" s="3" t="n">
        <v>0</v>
      </c>
      <c r="Y2324" s="32" t="n">
        <v>0</v>
      </c>
      <c r="Z2324" s="3" t="n">
        <v>0</v>
      </c>
      <c r="AA2324" s="32" t="n">
        <v>0</v>
      </c>
      <c r="AB2324" s="3" t="n"/>
      <c r="AC2324" s="31" t="n">
        <v>0</v>
      </c>
      <c r="AD2324" s="2" t="n">
        <v>0</v>
      </c>
      <c r="AE2324" s="2" t="n">
        <v>4</v>
      </c>
      <c r="AF2324" s="4" t="n">
        <v>4</v>
      </c>
      <c r="AG2324" s="33" t="n">
        <v>0</v>
      </c>
      <c r="AH2324" s="4" t="n">
        <v>0</v>
      </c>
      <c r="AI2324" s="34" t="n"/>
      <c r="AJ2324" s="34" t="n">
        <v>0</v>
      </c>
      <c r="AK2324" s="2" t="n">
        <v>0</v>
      </c>
      <c r="AL2324" t="inlineStr">
        <is>
          <t>Published</t>
        </is>
      </c>
    </row>
    <row r="2325">
      <c r="A2325">
        <f>HYPERLINK("https://www.walmart.com/ip/619650652", "619650652")</f>
        <v/>
      </c>
      <c r="B2325">
        <f>HYPERLINK("https://app.optiwise.ai/catalog/itemdetails/362159", "Tirrinia Insulated Wine Carrier Tote - Travel Padded 2 Bottle Wine/ Champagne Cooler Bag with Handle and Adjustable Shoulder Strap, Great Wine Lover Gift, Olive")</f>
        <v/>
      </c>
      <c r="C2325" t="inlineStr">
        <is>
          <t>1TRWB211OL</t>
        </is>
      </c>
      <c r="D2325" t="inlineStr">
        <is>
          <t>Home Decor, Kitchen, &amp; Other</t>
        </is>
      </c>
      <c r="E2325" t="inlineStr">
        <is>
          <t>Wine Totes, Bags &amp; Backpacks</t>
        </is>
      </c>
      <c r="F2325" t="inlineStr">
        <is>
          <t>Tirrinia</t>
        </is>
      </c>
      <c r="G2325" t="n">
        <v>4.9</v>
      </c>
      <c r="H2325" t="n">
        <v>7</v>
      </c>
      <c r="I2325" t="inlineStr">
        <is>
          <t>Wine,Christmas,Valentine,Lily Brand Camp</t>
        </is>
      </c>
      <c r="J2325" s="29" t="n">
        <v>0</v>
      </c>
      <c r="K2325" s="30" t="n"/>
      <c r="L2325" s="29" t="n">
        <v>0</v>
      </c>
      <c r="M2325" s="29" t="n">
        <v>0</v>
      </c>
      <c r="N2325" s="2" t="n">
        <v>0</v>
      </c>
      <c r="O2325" s="31" t="n">
        <v>0</v>
      </c>
      <c r="P2325" s="32" t="n"/>
      <c r="Q2325" s="32" t="n">
        <v>0</v>
      </c>
      <c r="R2325" s="32" t="n">
        <v>0.0265</v>
      </c>
      <c r="S2325" s="31" t="n">
        <v>0</v>
      </c>
      <c r="T2325" s="32" t="n">
        <v>0</v>
      </c>
      <c r="U2325" s="31" t="n">
        <v>0</v>
      </c>
      <c r="V2325" s="31" t="n">
        <v>0</v>
      </c>
      <c r="W2325" s="3" t="n">
        <v>0</v>
      </c>
      <c r="X2325" s="3" t="n">
        <v>0</v>
      </c>
      <c r="Y2325" s="32" t="n">
        <v>0</v>
      </c>
      <c r="Z2325" s="3" t="n">
        <v>0</v>
      </c>
      <c r="AA2325" s="32" t="n">
        <v>0</v>
      </c>
      <c r="AB2325" s="3" t="n"/>
      <c r="AC2325" s="31" t="n">
        <v>0</v>
      </c>
      <c r="AD2325" s="2" t="n">
        <v>0</v>
      </c>
      <c r="AE2325" s="2" t="n">
        <v>29</v>
      </c>
      <c r="AF2325" s="4" t="n">
        <v>29</v>
      </c>
      <c r="AG2325" s="33" t="n">
        <v>0</v>
      </c>
      <c r="AH2325" s="4" t="n">
        <v>0</v>
      </c>
      <c r="AI2325" s="34" t="n"/>
      <c r="AJ2325" s="34" t="n">
        <v>0</v>
      </c>
      <c r="AK2325" s="2" t="n">
        <v>0</v>
      </c>
      <c r="AL2325" t="inlineStr">
        <is>
          <t>Published</t>
        </is>
      </c>
    </row>
    <row r="2326">
      <c r="A2326">
        <f>HYPERLINK("https://www.walmart.com/ip/126835303", "126835303")</f>
        <v/>
      </c>
      <c r="B2326">
        <f>HYPERLINK("https://app.optiwise.ai/catalog/itemdetails/361875", "KritterWorld Fleece Blanket with Sherpa Lining, Waterproof Kitten, Puppy, Cat and Dog Snuggle Blanket, Velvet Plush Blanket for Couch, Car, Trunk, Cage, and Kennel, Latte, 45 x 30")</f>
        <v/>
      </c>
      <c r="C2326" t="inlineStr">
        <is>
          <t>dog3045-latte</t>
        </is>
      </c>
      <c r="D2326" t="inlineStr">
        <is>
          <t>Animal Accessories</t>
        </is>
      </c>
      <c r="E2326" t="inlineStr">
        <is>
          <t>Pet Blankets</t>
        </is>
      </c>
      <c r="F2326" t="inlineStr">
        <is>
          <t>KritterWorld</t>
        </is>
      </c>
      <c r="G2326" t="n">
        <v>0</v>
      </c>
      <c r="H2326" t="n">
        <v>0</v>
      </c>
      <c r="I2326" t="inlineStr">
        <is>
          <t>Batch 1 - TR</t>
        </is>
      </c>
      <c r="J2326" s="29" t="n">
        <v>0</v>
      </c>
      <c r="K2326" s="30" t="n"/>
      <c r="L2326" s="29" t="n">
        <v>0</v>
      </c>
      <c r="M2326" s="29" t="n">
        <v>0</v>
      </c>
      <c r="N2326" s="2" t="n">
        <v>0</v>
      </c>
      <c r="O2326" s="31" t="n">
        <v>0</v>
      </c>
      <c r="P2326" s="32" t="n"/>
      <c r="Q2326" s="32" t="n">
        <v>0</v>
      </c>
      <c r="R2326" s="32" t="n">
        <v>0</v>
      </c>
      <c r="S2326" s="31" t="n">
        <v>0</v>
      </c>
      <c r="T2326" s="32" t="n">
        <v>0</v>
      </c>
      <c r="U2326" s="31" t="n">
        <v>0</v>
      </c>
      <c r="V2326" s="31" t="n">
        <v>0</v>
      </c>
      <c r="W2326" s="3" t="n">
        <v>0</v>
      </c>
      <c r="X2326" s="3" t="n">
        <v>0</v>
      </c>
      <c r="Y2326" s="32" t="n">
        <v>0</v>
      </c>
      <c r="Z2326" s="3" t="n">
        <v>0</v>
      </c>
      <c r="AA2326" s="32" t="n">
        <v>0</v>
      </c>
      <c r="AB2326" s="3" t="n"/>
      <c r="AC2326" s="31" t="n">
        <v>0</v>
      </c>
      <c r="AD2326" s="2" t="n">
        <v>0</v>
      </c>
      <c r="AE2326" s="2" t="n">
        <v>7</v>
      </c>
      <c r="AF2326" s="4" t="n">
        <v>7</v>
      </c>
      <c r="AG2326" s="33" t="n">
        <v>0</v>
      </c>
      <c r="AH2326" s="4" t="n">
        <v>0</v>
      </c>
      <c r="AI2326" s="34" t="n"/>
      <c r="AJ2326" s="34" t="n">
        <v>0</v>
      </c>
      <c r="AK2326" s="2" t="n">
        <v>0</v>
      </c>
      <c r="AL2326" t="inlineStr">
        <is>
          <t>Published</t>
        </is>
      </c>
    </row>
    <row r="2327">
      <c r="A2327">
        <f>HYPERLINK("https://www.walmart.com/ip/975441249", "975441249")</f>
        <v/>
      </c>
      <c r="B2327">
        <f>HYPERLINK("https://app.optiwise.ai/catalog/itemdetails/361873", "Flyingstar Insulated Lunch Bag, Leakproof Thermal Reusable Lunch Box Tote, All Ages, Grey Checkered")</f>
        <v/>
      </c>
      <c r="C2327" t="inlineStr">
        <is>
          <t>1WMLB702P1GYCK</t>
        </is>
      </c>
      <c r="D2327" t="inlineStr">
        <is>
          <t>Home Decor, Kitchen, &amp; Other</t>
        </is>
      </c>
      <c r="E2327" t="inlineStr">
        <is>
          <t>Reusable Lunch Bags &amp; Boxes</t>
        </is>
      </c>
      <c r="F2327" t="inlineStr">
        <is>
          <t>Flyingstar</t>
        </is>
      </c>
      <c r="G2327" t="n">
        <v>4.8</v>
      </c>
      <c r="H2327" t="n">
        <v>6</v>
      </c>
      <c r="I2327" t="inlineStr">
        <is>
          <t>Lunch Bag,SEM</t>
        </is>
      </c>
      <c r="J2327" s="29" t="n">
        <v>0</v>
      </c>
      <c r="K2327" s="30" t="n"/>
      <c r="L2327" s="29" t="n">
        <v>0</v>
      </c>
      <c r="M2327" s="29" t="n">
        <v>0</v>
      </c>
      <c r="N2327" s="2" t="n">
        <v>0</v>
      </c>
      <c r="O2327" s="31" t="n">
        <v>0</v>
      </c>
      <c r="P2327" s="32" t="n"/>
      <c r="Q2327" s="32" t="n">
        <v>0</v>
      </c>
      <c r="R2327" s="32" t="n">
        <v>0</v>
      </c>
      <c r="S2327" s="31" t="n">
        <v>0</v>
      </c>
      <c r="T2327" s="32" t="n">
        <v>0</v>
      </c>
      <c r="U2327" s="31" t="n">
        <v>0</v>
      </c>
      <c r="V2327" s="31" t="n">
        <v>0</v>
      </c>
      <c r="W2327" s="3" t="n">
        <v>0</v>
      </c>
      <c r="X2327" s="3" t="n">
        <v>0</v>
      </c>
      <c r="Y2327" s="32" t="n">
        <v>0</v>
      </c>
      <c r="Z2327" s="3" t="n">
        <v>0</v>
      </c>
      <c r="AA2327" s="32" t="n">
        <v>0</v>
      </c>
      <c r="AB2327" s="3" t="n"/>
      <c r="AC2327" s="31" t="n">
        <v>0</v>
      </c>
      <c r="AD2327" s="2" t="n">
        <v>0</v>
      </c>
      <c r="AE2327" s="2" t="n">
        <v>11</v>
      </c>
      <c r="AF2327" s="4" t="n">
        <v>11</v>
      </c>
      <c r="AG2327" s="33" t="n">
        <v>0</v>
      </c>
      <c r="AH2327" s="4" t="n">
        <v>0</v>
      </c>
      <c r="AI2327" s="34" t="n"/>
      <c r="AJ2327" s="34" t="n">
        <v>0</v>
      </c>
      <c r="AK2327" s="2" t="n">
        <v>0</v>
      </c>
      <c r="AL2327" t="inlineStr">
        <is>
          <t>Published</t>
        </is>
      </c>
    </row>
    <row r="2328">
      <c r="A2328">
        <f>HYPERLINK("https://www.walmart.com/ip/672225548", "672225548")</f>
        <v/>
      </c>
      <c r="B2328">
        <f>HYPERLINK("https://app.optiwise.ai/catalog/itemdetails/361859", "Tirrinia Insulated 2 Bottle Wine Carrier Tote Cooler Bag for Travel Picnic Padded Champagne Glass")</f>
        <v/>
      </c>
      <c r="C2328" t="inlineStr">
        <is>
          <t>1WMWB230STR</t>
        </is>
      </c>
      <c r="D2328" t="inlineStr">
        <is>
          <t>Home Decor, Kitchen, &amp; Other</t>
        </is>
      </c>
      <c r="E2328" t="inlineStr">
        <is>
          <t>Wine Totes, Bags &amp; Backpacks</t>
        </is>
      </c>
      <c r="F2328" t="inlineStr">
        <is>
          <t>Flyingstar</t>
        </is>
      </c>
      <c r="G2328" t="n">
        <v>0</v>
      </c>
      <c r="H2328" t="n">
        <v>0</v>
      </c>
      <c r="I2328" t="inlineStr">
        <is>
          <t>Wine,Christmas,Wine WFS,Valentine</t>
        </is>
      </c>
      <c r="J2328" s="29" t="n">
        <v>0</v>
      </c>
      <c r="K2328" s="30" t="n"/>
      <c r="L2328" s="29" t="n">
        <v>0</v>
      </c>
      <c r="M2328" s="29" t="n">
        <v>0</v>
      </c>
      <c r="N2328" s="2" t="n">
        <v>0</v>
      </c>
      <c r="O2328" s="31" t="n">
        <v>0</v>
      </c>
      <c r="P2328" s="32" t="n"/>
      <c r="Q2328" s="32" t="n">
        <v>0</v>
      </c>
      <c r="R2328" s="32" t="n">
        <v>0</v>
      </c>
      <c r="S2328" s="31" t="n">
        <v>0</v>
      </c>
      <c r="T2328" s="32" t="n">
        <v>0</v>
      </c>
      <c r="U2328" s="31" t="n">
        <v>0</v>
      </c>
      <c r="V2328" s="31" t="n">
        <v>0</v>
      </c>
      <c r="W2328" s="3" t="n">
        <v>0</v>
      </c>
      <c r="X2328" s="3" t="n">
        <v>0</v>
      </c>
      <c r="Y2328" s="32" t="n">
        <v>0</v>
      </c>
      <c r="Z2328" s="3" t="n">
        <v>0</v>
      </c>
      <c r="AA2328" s="32" t="n">
        <v>0</v>
      </c>
      <c r="AB2328" s="3" t="n"/>
      <c r="AC2328" s="31" t="n">
        <v>0</v>
      </c>
      <c r="AD2328" s="2" t="n">
        <v>0</v>
      </c>
      <c r="AE2328" s="2" t="n">
        <v>8</v>
      </c>
      <c r="AF2328" s="4" t="n">
        <v>8</v>
      </c>
      <c r="AG2328" s="33" t="n">
        <v>0</v>
      </c>
      <c r="AH2328" s="4" t="n">
        <v>0</v>
      </c>
      <c r="AI2328" s="34" t="n"/>
      <c r="AJ2328" s="34" t="n">
        <v>0</v>
      </c>
      <c r="AK2328" s="2" t="n">
        <v>0</v>
      </c>
      <c r="AL2328" t="inlineStr">
        <is>
          <t>Published</t>
        </is>
      </c>
    </row>
    <row r="2329">
      <c r="A2329">
        <f>HYPERLINK("https://www.walmart.com/ip/163258822", "163258822")</f>
        <v/>
      </c>
      <c r="B2329">
        <f>HYPERLINK("https://app.optiwise.ai/catalog/itemdetails/361857", "Deluxe Classic Suede Bill Baseball Cap with Leather Strap Closure")</f>
        <v/>
      </c>
      <c r="C2329" t="inlineStr">
        <is>
          <t>KC-S6300-BK/SI</t>
        </is>
      </c>
      <c r="D2329" t="inlineStr">
        <is>
          <t>Clothing</t>
        </is>
      </c>
      <c r="E2329" t="inlineStr">
        <is>
          <t>Hats</t>
        </is>
      </c>
      <c r="F2329" t="inlineStr">
        <is>
          <t>KC Caps</t>
        </is>
      </c>
      <c r="G2329" t="n">
        <v>0</v>
      </c>
      <c r="H2329" t="n">
        <v>0</v>
      </c>
      <c r="I2329" t="inlineStr">
        <is>
          <t>Optimized</t>
        </is>
      </c>
      <c r="J2329" s="29" t="n">
        <v>0</v>
      </c>
      <c r="K2329" s="30" t="n"/>
      <c r="L2329" s="29" t="n">
        <v>0</v>
      </c>
      <c r="M2329" s="29" t="n">
        <v>0</v>
      </c>
      <c r="N2329" s="2" t="n">
        <v>0</v>
      </c>
      <c r="O2329" s="31" t="n">
        <v>0</v>
      </c>
      <c r="P2329" s="32" t="n"/>
      <c r="Q2329" s="32" t="n">
        <v>0</v>
      </c>
      <c r="R2329" s="32" t="n">
        <v>0</v>
      </c>
      <c r="S2329" s="31" t="n">
        <v>0</v>
      </c>
      <c r="T2329" s="32" t="n">
        <v>0</v>
      </c>
      <c r="U2329" s="31" t="n">
        <v>0</v>
      </c>
      <c r="V2329" s="31" t="n">
        <v>0</v>
      </c>
      <c r="W2329" s="3" t="n">
        <v>0</v>
      </c>
      <c r="X2329" s="3" t="n">
        <v>0</v>
      </c>
      <c r="Y2329" s="32" t="n">
        <v>0</v>
      </c>
      <c r="Z2329" s="3" t="n">
        <v>0</v>
      </c>
      <c r="AA2329" s="32" t="n">
        <v>0</v>
      </c>
      <c r="AB2329" s="3" t="n"/>
      <c r="AC2329" s="31" t="n">
        <v>0</v>
      </c>
      <c r="AD2329" s="2" t="n">
        <v>0</v>
      </c>
      <c r="AE2329" s="2" t="n">
        <v>1</v>
      </c>
      <c r="AF2329" s="4" t="n">
        <v>1</v>
      </c>
      <c r="AG2329" s="33" t="n">
        <v>0</v>
      </c>
      <c r="AH2329" s="4" t="n">
        <v>0</v>
      </c>
      <c r="AI2329" s="34" t="n"/>
      <c r="AJ2329" s="34" t="n">
        <v>0</v>
      </c>
      <c r="AK2329" s="2" t="n">
        <v>0</v>
      </c>
      <c r="AL2329" t="inlineStr">
        <is>
          <t>Published</t>
        </is>
      </c>
    </row>
    <row r="2330">
      <c r="A2330">
        <f>HYPERLINK("https://www.walmart.com/ip/173669626", "173669626")</f>
        <v/>
      </c>
      <c r="B2330">
        <f>HYPERLINK("https://app.optiwise.ai/catalog/itemdetails/361856", "Light up Sequin Fedora LED Hat Neon Rave Costumes Glow in Dark Party music concerts,night clubs,holiday,parties,festival")</f>
        <v/>
      </c>
      <c r="C2330" t="inlineStr">
        <is>
          <t>JWLEDHAT01-WT</t>
        </is>
      </c>
      <c r="D2330" t="inlineStr">
        <is>
          <t>Decorations &amp; Favors</t>
        </is>
      </c>
      <c r="E2330" t="inlineStr">
        <is>
          <t>Party Hats</t>
        </is>
      </c>
      <c r="F2330" t="inlineStr">
        <is>
          <t>JenniWears</t>
        </is>
      </c>
      <c r="G2330" t="n">
        <v>0</v>
      </c>
      <c r="H2330" t="n">
        <v>0</v>
      </c>
      <c r="I2330" t="inlineStr">
        <is>
          <t>Halloween</t>
        </is>
      </c>
      <c r="J2330" s="29" t="n">
        <v>0</v>
      </c>
      <c r="K2330" s="30" t="n"/>
      <c r="L2330" s="29" t="n">
        <v>0</v>
      </c>
      <c r="M2330" s="29" t="n">
        <v>0</v>
      </c>
      <c r="N2330" s="2" t="n">
        <v>0</v>
      </c>
      <c r="O2330" s="31" t="n">
        <v>0</v>
      </c>
      <c r="P2330" s="32" t="n"/>
      <c r="Q2330" s="32" t="n">
        <v>0</v>
      </c>
      <c r="R2330" s="32" t="n">
        <v>0</v>
      </c>
      <c r="S2330" s="31" t="n">
        <v>0</v>
      </c>
      <c r="T2330" s="32" t="n">
        <v>0</v>
      </c>
      <c r="U2330" s="31" t="n">
        <v>0</v>
      </c>
      <c r="V2330" s="31" t="n">
        <v>0</v>
      </c>
      <c r="W2330" s="3" t="n">
        <v>0</v>
      </c>
      <c r="X2330" s="3" t="n">
        <v>0</v>
      </c>
      <c r="Y2330" s="32" t="n">
        <v>0</v>
      </c>
      <c r="Z2330" s="3" t="n">
        <v>0</v>
      </c>
      <c r="AA2330" s="32" t="n">
        <v>0</v>
      </c>
      <c r="AB2330" s="3" t="n"/>
      <c r="AC2330" s="31" t="n">
        <v>0</v>
      </c>
      <c r="AD2330" s="2" t="n">
        <v>0</v>
      </c>
      <c r="AE2330" s="2" t="n">
        <v>9</v>
      </c>
      <c r="AF2330" s="4" t="n">
        <v>9</v>
      </c>
      <c r="AG2330" s="33" t="n">
        <v>0</v>
      </c>
      <c r="AH2330" s="4" t="n">
        <v>0</v>
      </c>
      <c r="AI2330" s="34" t="n"/>
      <c r="AJ2330" s="34" t="n">
        <v>0</v>
      </c>
      <c r="AK2330" s="2" t="n">
        <v>0</v>
      </c>
      <c r="AL2330" t="inlineStr">
        <is>
          <t>Published</t>
        </is>
      </c>
    </row>
    <row r="2331">
      <c r="A2331">
        <f>HYPERLINK("https://www.walmart.com/ip/191247348", "191247348")</f>
        <v/>
      </c>
      <c r="B2331">
        <f>HYPERLINK("https://app.optiwise.ai/catalog/itemdetails/361855", "KC Caps Unisex Adjustable Ring Buckle Closure USA Flag Embroidered Cap Hat")</f>
        <v/>
      </c>
      <c r="C2331" t="inlineStr">
        <is>
          <t>kc-aeemb-wt</t>
        </is>
      </c>
      <c r="D2331" t="inlineStr">
        <is>
          <t>Clothing</t>
        </is>
      </c>
      <c r="E2331" t="inlineStr">
        <is>
          <t>Hats</t>
        </is>
      </c>
      <c r="F2331" t="inlineStr">
        <is>
          <t>KC Caps</t>
        </is>
      </c>
      <c r="G2331" t="n">
        <v>0</v>
      </c>
      <c r="H2331" t="n">
        <v>0</v>
      </c>
      <c r="I2331" t="inlineStr">
        <is>
          <t>Optimized</t>
        </is>
      </c>
      <c r="J2331" s="29" t="n">
        <v>0</v>
      </c>
      <c r="K2331" s="30" t="n"/>
      <c r="L2331" s="29" t="n">
        <v>0</v>
      </c>
      <c r="M2331" s="29" t="n">
        <v>0</v>
      </c>
      <c r="N2331" s="2" t="n">
        <v>0</v>
      </c>
      <c r="O2331" s="31" t="n">
        <v>0</v>
      </c>
      <c r="P2331" s="32" t="n"/>
      <c r="Q2331" s="32" t="n">
        <v>0</v>
      </c>
      <c r="R2331" s="32" t="n">
        <v>0</v>
      </c>
      <c r="S2331" s="31" t="n">
        <v>0</v>
      </c>
      <c r="T2331" s="32" t="n">
        <v>0</v>
      </c>
      <c r="U2331" s="31" t="n">
        <v>0</v>
      </c>
      <c r="V2331" s="31" t="n">
        <v>0</v>
      </c>
      <c r="W2331" s="3" t="n">
        <v>0</v>
      </c>
      <c r="X2331" s="3" t="n">
        <v>0</v>
      </c>
      <c r="Y2331" s="32" t="n">
        <v>0</v>
      </c>
      <c r="Z2331" s="3" t="n">
        <v>0</v>
      </c>
      <c r="AA2331" s="32" t="n">
        <v>0</v>
      </c>
      <c r="AB2331" s="3" t="n"/>
      <c r="AC2331" s="31" t="n">
        <v>0</v>
      </c>
      <c r="AD2331" s="2" t="n">
        <v>0</v>
      </c>
      <c r="AE2331" s="2" t="n">
        <v>2</v>
      </c>
      <c r="AF2331" s="4" t="n">
        <v>2</v>
      </c>
      <c r="AG2331" s="33" t="n">
        <v>0</v>
      </c>
      <c r="AH2331" s="4" t="n">
        <v>0</v>
      </c>
      <c r="AI2331" s="34" t="n"/>
      <c r="AJ2331" s="34" t="n">
        <v>0</v>
      </c>
      <c r="AK2331" s="2" t="n">
        <v>0</v>
      </c>
      <c r="AL2331" t="inlineStr">
        <is>
          <t>Published</t>
        </is>
      </c>
    </row>
    <row r="2332">
      <c r="A2332">
        <f>HYPERLINK("https://www.walmart.com/ip/101337304", "101337304")</f>
        <v/>
      </c>
      <c r="B2332">
        <f>HYPERLINK("https://app.optiwise.ai/catalog/itemdetails/361853", "Jennis 8in1 Stylish Ladies Magic Scarf Shawl Woolly Charcoal Fiber Head Wrap")</f>
        <v/>
      </c>
      <c r="C2332" t="inlineStr">
        <is>
          <t>MagicScarfDPBK</t>
        </is>
      </c>
      <c r="D2332" t="inlineStr">
        <is>
          <t>Clothing</t>
        </is>
      </c>
      <c r="E2332" t="inlineStr">
        <is>
          <t>Scarves</t>
        </is>
      </c>
      <c r="F2332" t="inlineStr">
        <is>
          <t>JenniWears</t>
        </is>
      </c>
      <c r="G2332" t="n">
        <v>4</v>
      </c>
      <c r="H2332" t="n">
        <v>2</v>
      </c>
      <c r="I2332" t="inlineStr">
        <is>
          <t>Optimized</t>
        </is>
      </c>
      <c r="J2332" s="29" t="n">
        <v>0</v>
      </c>
      <c r="K2332" s="30" t="n"/>
      <c r="L2332" s="29" t="n">
        <v>0</v>
      </c>
      <c r="M2332" s="29" t="n">
        <v>0</v>
      </c>
      <c r="N2332" s="2" t="n">
        <v>0</v>
      </c>
      <c r="O2332" s="31" t="n">
        <v>0</v>
      </c>
      <c r="P2332" s="32" t="n"/>
      <c r="Q2332" s="32" t="n">
        <v>0</v>
      </c>
      <c r="R2332" s="32" t="n">
        <v>0</v>
      </c>
      <c r="S2332" s="31" t="n">
        <v>0</v>
      </c>
      <c r="T2332" s="32" t="n">
        <v>0</v>
      </c>
      <c r="U2332" s="31" t="n">
        <v>0</v>
      </c>
      <c r="V2332" s="31" t="n">
        <v>0</v>
      </c>
      <c r="W2332" s="3" t="n">
        <v>0</v>
      </c>
      <c r="X2332" s="3" t="n">
        <v>0</v>
      </c>
      <c r="Y2332" s="32" t="n">
        <v>0</v>
      </c>
      <c r="Z2332" s="3" t="n">
        <v>0</v>
      </c>
      <c r="AA2332" s="32" t="n">
        <v>0</v>
      </c>
      <c r="AB2332" s="3" t="n"/>
      <c r="AC2332" s="31" t="n">
        <v>0</v>
      </c>
      <c r="AD2332" s="2" t="n">
        <v>0</v>
      </c>
      <c r="AE2332" s="2" t="n">
        <v>12</v>
      </c>
      <c r="AF2332" s="4" t="n">
        <v>12</v>
      </c>
      <c r="AG2332" s="33" t="n">
        <v>0</v>
      </c>
      <c r="AH2332" s="4" t="n">
        <v>0</v>
      </c>
      <c r="AI2332" s="34" t="n"/>
      <c r="AJ2332" s="34" t="n">
        <v>0</v>
      </c>
      <c r="AK2332" s="2" t="n">
        <v>0</v>
      </c>
      <c r="AL2332" t="inlineStr">
        <is>
          <t>Published</t>
        </is>
      </c>
    </row>
    <row r="2333">
      <c r="A2333">
        <f>HYPERLINK("https://www.walmart.com/ip/957547925", "957547925")</f>
        <v/>
      </c>
      <c r="B2333">
        <f>HYPERLINK("https://app.optiwise.ai/catalog/itemdetails/361850", "Catalonia Sherpa Fleece Blanket for Bed, Super Soft Fleece Plush Sofa Couch Throw Blanket, TV Bed Blanket, Comfy Cozy Fluffy Warm Comforter, Caring Gift(Royal Blue,60x80 inches)")</f>
        <v/>
      </c>
      <c r="C2333" t="inlineStr">
        <is>
          <t>1CTBF368BL</t>
        </is>
      </c>
      <c r="D2333" t="inlineStr">
        <is>
          <t>Bedding</t>
        </is>
      </c>
      <c r="E2333" t="inlineStr">
        <is>
          <t>Throws</t>
        </is>
      </c>
      <c r="F2333" t="inlineStr">
        <is>
          <t>Catalonia</t>
        </is>
      </c>
      <c r="G2333" t="n">
        <v>0</v>
      </c>
      <c r="H2333" t="n">
        <v>0</v>
      </c>
      <c r="I2333" t="inlineStr">
        <is>
          <t>WFS,WFS Item,Fleece Blankets</t>
        </is>
      </c>
      <c r="J2333" s="29" t="n">
        <v>0</v>
      </c>
      <c r="K2333" s="30" t="n"/>
      <c r="L2333" s="29" t="n">
        <v>0</v>
      </c>
      <c r="M2333" s="29" t="n">
        <v>0</v>
      </c>
      <c r="N2333" s="2" t="n">
        <v>0</v>
      </c>
      <c r="O2333" s="31" t="n">
        <v>0</v>
      </c>
      <c r="P2333" s="32" t="n"/>
      <c r="Q2333" s="32" t="n">
        <v>0</v>
      </c>
      <c r="R2333" s="32" t="n">
        <v>0</v>
      </c>
      <c r="S2333" s="31" t="n">
        <v>0</v>
      </c>
      <c r="T2333" s="32" t="n">
        <v>0</v>
      </c>
      <c r="U2333" s="31" t="n">
        <v>0</v>
      </c>
      <c r="V2333" s="31" t="n">
        <v>0</v>
      </c>
      <c r="W2333" s="3" t="n">
        <v>0</v>
      </c>
      <c r="X2333" s="3" t="n">
        <v>0</v>
      </c>
      <c r="Y2333" s="32" t="n">
        <v>0</v>
      </c>
      <c r="Z2333" s="3" t="n">
        <v>0</v>
      </c>
      <c r="AA2333" s="32" t="n">
        <v>0</v>
      </c>
      <c r="AB2333" s="3" t="n"/>
      <c r="AC2333" s="31" t="n">
        <v>0</v>
      </c>
      <c r="AD2333" s="2" t="n">
        <v>0</v>
      </c>
      <c r="AE2333" s="2" t="n">
        <v>22</v>
      </c>
      <c r="AF2333" s="4" t="n">
        <v>22</v>
      </c>
      <c r="AG2333" s="33" t="n">
        <v>0</v>
      </c>
      <c r="AH2333" s="4" t="n">
        <v>0</v>
      </c>
      <c r="AI2333" s="34" t="n"/>
      <c r="AJ2333" s="34" t="n">
        <v>0</v>
      </c>
      <c r="AK2333" s="2" t="n">
        <v>0</v>
      </c>
      <c r="AL2333" t="inlineStr">
        <is>
          <t>Published</t>
        </is>
      </c>
    </row>
    <row r="2334">
      <c r="A2334">
        <f>HYPERLINK("https://www.walmart.com/ip/918543792", "918543792")</f>
        <v/>
      </c>
      <c r="B2334">
        <f>HYPERLINK("https://app.optiwise.ai/catalog/itemdetails/361847", "Tankini Swimsuits for Women Two Piece Bathing Suits Open Back Flattering Swimwear")</f>
        <v/>
      </c>
      <c r="C2334" t="inlineStr">
        <is>
          <t>1SLSS005BK-M</t>
        </is>
      </c>
      <c r="D2334" t="inlineStr">
        <is>
          <t>Clothing</t>
        </is>
      </c>
      <c r="E2334" t="inlineStr">
        <is>
          <t>Swimsuit Sets</t>
        </is>
      </c>
      <c r="F2334" t="inlineStr">
        <is>
          <t>Solaris</t>
        </is>
      </c>
      <c r="G2334" t="n">
        <v>0</v>
      </c>
      <c r="H2334" t="n">
        <v>0</v>
      </c>
      <c r="I2334" t="inlineStr">
        <is>
          <t>Optimized</t>
        </is>
      </c>
      <c r="J2334" s="29" t="n">
        <v>0</v>
      </c>
      <c r="K2334" s="30" t="n"/>
      <c r="L2334" s="29" t="n">
        <v>0</v>
      </c>
      <c r="M2334" s="29" t="n">
        <v>0</v>
      </c>
      <c r="N2334" s="2" t="n">
        <v>0</v>
      </c>
      <c r="O2334" s="31" t="n">
        <v>0</v>
      </c>
      <c r="P2334" s="32" t="n"/>
      <c r="Q2334" s="32" t="n">
        <v>0</v>
      </c>
      <c r="R2334" s="32" t="n">
        <v>0</v>
      </c>
      <c r="S2334" s="31" t="n">
        <v>0</v>
      </c>
      <c r="T2334" s="32" t="n">
        <v>0</v>
      </c>
      <c r="U2334" s="31" t="n">
        <v>0</v>
      </c>
      <c r="V2334" s="31" t="n">
        <v>0</v>
      </c>
      <c r="W2334" s="3" t="n">
        <v>0</v>
      </c>
      <c r="X2334" s="3" t="n">
        <v>0</v>
      </c>
      <c r="Y2334" s="32" t="n">
        <v>0</v>
      </c>
      <c r="Z2334" s="3" t="n">
        <v>0</v>
      </c>
      <c r="AA2334" s="32" t="n">
        <v>0</v>
      </c>
      <c r="AB2334" s="3" t="n"/>
      <c r="AC2334" s="31" t="n">
        <v>0</v>
      </c>
      <c r="AD2334" s="2" t="n">
        <v>0</v>
      </c>
      <c r="AE2334" s="2" t="n">
        <v>18</v>
      </c>
      <c r="AF2334" s="4" t="n">
        <v>18</v>
      </c>
      <c r="AG2334" s="33" t="n">
        <v>0</v>
      </c>
      <c r="AH2334" s="4" t="n">
        <v>0</v>
      </c>
      <c r="AI2334" s="34" t="n"/>
      <c r="AJ2334" s="34" t="n">
        <v>0</v>
      </c>
      <c r="AK2334" s="2" t="n">
        <v>0</v>
      </c>
      <c r="AL2334" t="inlineStr">
        <is>
          <t>Published</t>
        </is>
      </c>
    </row>
    <row r="2335">
      <c r="A2335">
        <f>HYPERLINK("https://www.walmart.com/ip/636155719", "636155719")</f>
        <v/>
      </c>
      <c r="B2335">
        <f>HYPERLINK("https://app.optiwise.ai/catalog/itemdetails/361841", "Luxury Knit Throw Decorative Blanket with Pom Pom Fringe Super Soft Warm Sleeping Cover for Adults or Kids on the Couch")</f>
        <v/>
      </c>
      <c r="C2335" t="inlineStr">
        <is>
          <t>1TRBN200BN-TBCB</t>
        </is>
      </c>
      <c r="D2335" t="inlineStr">
        <is>
          <t>Bedding</t>
        </is>
      </c>
      <c r="E2335" t="inlineStr">
        <is>
          <t>Throws</t>
        </is>
      </c>
      <c r="F2335" t="inlineStr">
        <is>
          <t>Tirrinia</t>
        </is>
      </c>
      <c r="G2335" t="n">
        <v>0</v>
      </c>
      <c r="H2335" t="n">
        <v>0</v>
      </c>
      <c r="J2335" s="29" t="n">
        <v>0</v>
      </c>
      <c r="K2335" s="30" t="n"/>
      <c r="L2335" s="29" t="n">
        <v>0</v>
      </c>
      <c r="M2335" s="29" t="n">
        <v>0</v>
      </c>
      <c r="N2335" s="2" t="n">
        <v>0</v>
      </c>
      <c r="O2335" s="31" t="n">
        <v>0</v>
      </c>
      <c r="P2335" s="32" t="n"/>
      <c r="Q2335" s="32" t="n">
        <v>0</v>
      </c>
      <c r="R2335" s="32" t="n">
        <v>0</v>
      </c>
      <c r="S2335" s="31" t="n">
        <v>0</v>
      </c>
      <c r="T2335" s="32" t="n">
        <v>0</v>
      </c>
      <c r="U2335" s="31" t="n">
        <v>0</v>
      </c>
      <c r="V2335" s="31" t="n">
        <v>0</v>
      </c>
      <c r="W2335" s="3" t="n">
        <v>0</v>
      </c>
      <c r="X2335" s="3" t="n">
        <v>0</v>
      </c>
      <c r="Y2335" s="32" t="n">
        <v>0</v>
      </c>
      <c r="Z2335" s="3" t="n">
        <v>0</v>
      </c>
      <c r="AA2335" s="32" t="n">
        <v>0</v>
      </c>
      <c r="AB2335" s="3" t="n"/>
      <c r="AC2335" s="31" t="n">
        <v>0</v>
      </c>
      <c r="AD2335" s="2" t="n">
        <v>0</v>
      </c>
      <c r="AE2335" s="2" t="n">
        <v>6</v>
      </c>
      <c r="AF2335" s="4" t="n">
        <v>6</v>
      </c>
      <c r="AG2335" s="33" t="n">
        <v>0</v>
      </c>
      <c r="AH2335" s="4" t="n">
        <v>0</v>
      </c>
      <c r="AI2335" s="34" t="n"/>
      <c r="AJ2335" s="34" t="n">
        <v>0</v>
      </c>
      <c r="AK2335" s="2" t="n">
        <v>0</v>
      </c>
      <c r="AL2335" t="inlineStr">
        <is>
          <t>Published</t>
        </is>
      </c>
    </row>
    <row r="2336">
      <c r="A2336">
        <f>HYPERLINK("https://www.walmart.com/ip/126145624", "126145624")</f>
        <v/>
      </c>
      <c r="B2336">
        <f>HYPERLINK("https://app.optiwise.ai/catalog/itemdetails/361837", "KC Caps Blank Cuff Hat Knit Beanie")</f>
        <v/>
      </c>
      <c r="C2336" t="inlineStr">
        <is>
          <t>KCW1720ROY</t>
        </is>
      </c>
      <c r="D2336" t="inlineStr">
        <is>
          <t>Clothing</t>
        </is>
      </c>
      <c r="E2336" t="inlineStr">
        <is>
          <t>Hats</t>
        </is>
      </c>
      <c r="F2336" t="inlineStr">
        <is>
          <t>KC Caps</t>
        </is>
      </c>
      <c r="G2336" t="n">
        <v>0</v>
      </c>
      <c r="H2336" t="n">
        <v>0</v>
      </c>
      <c r="I2336" t="inlineStr">
        <is>
          <t>Optimized</t>
        </is>
      </c>
      <c r="J2336" s="29" t="n">
        <v>0</v>
      </c>
      <c r="K2336" s="30" t="n"/>
      <c r="L2336" s="29" t="n">
        <v>0</v>
      </c>
      <c r="M2336" s="29" t="n">
        <v>0</v>
      </c>
      <c r="N2336" s="2" t="n">
        <v>0</v>
      </c>
      <c r="O2336" s="31" t="n">
        <v>0</v>
      </c>
      <c r="P2336" s="32" t="n"/>
      <c r="Q2336" s="32" t="n">
        <v>0</v>
      </c>
      <c r="R2336" s="32" t="n">
        <v>0</v>
      </c>
      <c r="S2336" s="31" t="n">
        <v>0</v>
      </c>
      <c r="T2336" s="32" t="n">
        <v>0</v>
      </c>
      <c r="U2336" s="31" t="n">
        <v>0</v>
      </c>
      <c r="V2336" s="31" t="n">
        <v>0</v>
      </c>
      <c r="W2336" s="3" t="n">
        <v>0</v>
      </c>
      <c r="X2336" s="3" t="n">
        <v>0</v>
      </c>
      <c r="Y2336" s="32" t="n">
        <v>0</v>
      </c>
      <c r="Z2336" s="3" t="n">
        <v>0</v>
      </c>
      <c r="AA2336" s="32" t="n">
        <v>0</v>
      </c>
      <c r="AB2336" s="3" t="n"/>
      <c r="AC2336" s="31" t="n">
        <v>0</v>
      </c>
      <c r="AD2336" s="2" t="n">
        <v>0</v>
      </c>
      <c r="AE2336" s="2" t="n">
        <v>1</v>
      </c>
      <c r="AF2336" s="4" t="n">
        <v>1</v>
      </c>
      <c r="AG2336" s="33" t="n">
        <v>0</v>
      </c>
      <c r="AH2336" s="4" t="n">
        <v>0</v>
      </c>
      <c r="AI2336" s="34" t="n"/>
      <c r="AJ2336" s="34" t="n">
        <v>0</v>
      </c>
      <c r="AK2336" s="2" t="n">
        <v>0</v>
      </c>
      <c r="AL2336" t="inlineStr">
        <is>
          <t>Published</t>
        </is>
      </c>
    </row>
    <row r="2337">
      <c r="A2337">
        <f>HYPERLINK("https://www.walmart.com/ip/140259963", "140259963")</f>
        <v/>
      </c>
      <c r="B2337">
        <f>HYPERLINK("https://app.optiwise.ai/catalog/itemdetails/361835", "Women's Plus Size Floral Lace Mesh Chemise Sleepwear and G-string")</f>
        <v/>
      </c>
      <c r="C2337" t="inlineStr">
        <is>
          <t>JWBD05PP-XL</t>
        </is>
      </c>
      <c r="D2337" t="inlineStr">
        <is>
          <t>Clothing</t>
        </is>
      </c>
      <c r="E2337" t="inlineStr">
        <is>
          <t>Lingerie Sets</t>
        </is>
      </c>
      <c r="F2337" t="inlineStr">
        <is>
          <t>JenniWears</t>
        </is>
      </c>
      <c r="G2337" t="n">
        <v>1</v>
      </c>
      <c r="H2337" t="n">
        <v>1</v>
      </c>
      <c r="I2337" t="inlineStr">
        <is>
          <t>Valentine</t>
        </is>
      </c>
      <c r="J2337" s="29" t="n">
        <v>0</v>
      </c>
      <c r="K2337" s="30" t="n"/>
      <c r="L2337" s="29" t="n">
        <v>0</v>
      </c>
      <c r="M2337" s="29" t="n">
        <v>0</v>
      </c>
      <c r="N2337" s="2" t="n">
        <v>0</v>
      </c>
      <c r="O2337" s="31" t="n">
        <v>0</v>
      </c>
      <c r="P2337" s="32" t="n"/>
      <c r="Q2337" s="32" t="n">
        <v>0</v>
      </c>
      <c r="R2337" s="32" t="n">
        <v>0</v>
      </c>
      <c r="S2337" s="31" t="n">
        <v>0</v>
      </c>
      <c r="T2337" s="32" t="n">
        <v>0</v>
      </c>
      <c r="U2337" s="31" t="n">
        <v>0</v>
      </c>
      <c r="V2337" s="31" t="n">
        <v>0</v>
      </c>
      <c r="W2337" s="3" t="n">
        <v>0</v>
      </c>
      <c r="X2337" s="3" t="n">
        <v>0</v>
      </c>
      <c r="Y2337" s="32" t="n">
        <v>0</v>
      </c>
      <c r="Z2337" s="3" t="n">
        <v>0</v>
      </c>
      <c r="AA2337" s="32" t="n">
        <v>0</v>
      </c>
      <c r="AB2337" s="3" t="n"/>
      <c r="AC2337" s="31" t="n">
        <v>0</v>
      </c>
      <c r="AD2337" s="2" t="n">
        <v>0</v>
      </c>
      <c r="AE2337" s="2" t="n">
        <v>30</v>
      </c>
      <c r="AF2337" s="4" t="n">
        <v>30</v>
      </c>
      <c r="AG2337" s="33" t="n">
        <v>0</v>
      </c>
      <c r="AH2337" s="4" t="n">
        <v>0</v>
      </c>
      <c r="AI2337" s="34" t="n"/>
      <c r="AJ2337" s="34" t="n">
        <v>0</v>
      </c>
      <c r="AK2337" s="2" t="n">
        <v>0</v>
      </c>
      <c r="AL2337" t="inlineStr">
        <is>
          <t>Published</t>
        </is>
      </c>
    </row>
    <row r="2338">
      <c r="A2338">
        <f>HYPERLINK("https://www.walmart.com/ip/132318095", "132318095")</f>
        <v/>
      </c>
      <c r="B2338">
        <f>HYPERLINK("https://app.optiwise.ai/catalog/itemdetails/361833", "KC Caps Blank Cuff Hat Knit Beanie")</f>
        <v/>
      </c>
      <c r="C2338" t="inlineStr">
        <is>
          <t>KCW1720FORGN</t>
        </is>
      </c>
      <c r="D2338" t="inlineStr">
        <is>
          <t>Clothing</t>
        </is>
      </c>
      <c r="E2338" t="inlineStr">
        <is>
          <t>Hats</t>
        </is>
      </c>
      <c r="F2338" t="inlineStr">
        <is>
          <t>KC Caps</t>
        </is>
      </c>
      <c r="G2338" t="n">
        <v>0</v>
      </c>
      <c r="H2338" t="n">
        <v>0</v>
      </c>
      <c r="I2338" t="inlineStr">
        <is>
          <t>Optimized,ST Patrick Day</t>
        </is>
      </c>
      <c r="J2338" s="29" t="n">
        <v>0</v>
      </c>
      <c r="K2338" s="30" t="n"/>
      <c r="L2338" s="29" t="n">
        <v>0</v>
      </c>
      <c r="M2338" s="29" t="n">
        <v>0</v>
      </c>
      <c r="N2338" s="2" t="n">
        <v>0</v>
      </c>
      <c r="O2338" s="31" t="n">
        <v>0</v>
      </c>
      <c r="P2338" s="32" t="n"/>
      <c r="Q2338" s="32" t="n">
        <v>0</v>
      </c>
      <c r="R2338" s="32" t="n">
        <v>0</v>
      </c>
      <c r="S2338" s="31" t="n">
        <v>0</v>
      </c>
      <c r="T2338" s="32" t="n">
        <v>0</v>
      </c>
      <c r="U2338" s="31" t="n">
        <v>0</v>
      </c>
      <c r="V2338" s="31" t="n">
        <v>0</v>
      </c>
      <c r="W2338" s="3" t="n">
        <v>0</v>
      </c>
      <c r="X2338" s="3" t="n">
        <v>0</v>
      </c>
      <c r="Y2338" s="32" t="n">
        <v>0</v>
      </c>
      <c r="Z2338" s="3" t="n">
        <v>0</v>
      </c>
      <c r="AA2338" s="32" t="n">
        <v>0</v>
      </c>
      <c r="AB2338" s="3" t="n"/>
      <c r="AC2338" s="31" t="n">
        <v>0</v>
      </c>
      <c r="AD2338" s="2" t="n">
        <v>0</v>
      </c>
      <c r="AE2338" s="2" t="n">
        <v>1</v>
      </c>
      <c r="AF2338" s="4" t="n">
        <v>1</v>
      </c>
      <c r="AG2338" s="33" t="n">
        <v>0</v>
      </c>
      <c r="AH2338" s="4" t="n">
        <v>0</v>
      </c>
      <c r="AI2338" s="34" t="n"/>
      <c r="AJ2338" s="34" t="n">
        <v>0</v>
      </c>
      <c r="AK2338" s="2" t="n">
        <v>0</v>
      </c>
      <c r="AL2338" t="inlineStr">
        <is>
          <t>Published</t>
        </is>
      </c>
    </row>
    <row r="2339">
      <c r="A2339">
        <f>HYPERLINK("https://www.walmart.com/ip/497765958", "497765958")</f>
        <v/>
      </c>
      <c r="B2339">
        <f>HYPERLINK("https://app.optiwise.ai/catalog/itemdetails/361832", "Oversized Hoodie Blanket Sweatshirt Sherpa")</f>
        <v/>
      </c>
      <c r="C2339" t="inlineStr">
        <is>
          <t>1CTHD201UNI</t>
        </is>
      </c>
      <c r="D2339" t="inlineStr">
        <is>
          <t>Clothing</t>
        </is>
      </c>
      <c r="E2339" t="inlineStr">
        <is>
          <t>Sweatshirts &amp; Hoodies</t>
        </is>
      </c>
      <c r="F2339" t="inlineStr">
        <is>
          <t>Catalonia</t>
        </is>
      </c>
      <c r="G2339" t="n">
        <v>5</v>
      </c>
      <c r="H2339" t="n">
        <v>1</v>
      </c>
      <c r="I2339" t="inlineStr">
        <is>
          <t>Hoodie For Kids,WFS,WFS Item</t>
        </is>
      </c>
      <c r="J2339" s="29" t="n">
        <v>0</v>
      </c>
      <c r="K2339" s="30" t="n"/>
      <c r="L2339" s="29" t="n">
        <v>0</v>
      </c>
      <c r="M2339" s="29" t="n">
        <v>0</v>
      </c>
      <c r="N2339" s="2" t="n">
        <v>0</v>
      </c>
      <c r="O2339" s="31" t="n">
        <v>6.539999999999997</v>
      </c>
      <c r="P2339" s="32" t="n">
        <v>0.0008</v>
      </c>
      <c r="Q2339" s="32" t="n">
        <v>0</v>
      </c>
      <c r="R2339" s="32" t="n">
        <v>0</v>
      </c>
      <c r="S2339" s="31" t="n">
        <v>0</v>
      </c>
      <c r="T2339" s="32" t="n">
        <v>0</v>
      </c>
      <c r="U2339" s="31" t="n">
        <v>0</v>
      </c>
      <c r="V2339" s="31" t="n">
        <v>0</v>
      </c>
      <c r="W2339" s="3" t="n">
        <v>25663</v>
      </c>
      <c r="X2339" s="3" t="n">
        <v>17</v>
      </c>
      <c r="Y2339" s="32" t="n">
        <v>0.0007</v>
      </c>
      <c r="Z2339" s="3" t="n">
        <v>0</v>
      </c>
      <c r="AA2339" s="32" t="n">
        <v>0</v>
      </c>
      <c r="AB2339" s="3" t="inlineStr">
        <is>
          <t>Hoodies_Auto</t>
        </is>
      </c>
      <c r="AC2339" s="31" t="n">
        <v>0.38</v>
      </c>
      <c r="AD2339" s="2" t="n">
        <v>0</v>
      </c>
      <c r="AE2339" s="2" t="n">
        <v>52</v>
      </c>
      <c r="AF2339" s="4" t="n">
        <v>35</v>
      </c>
      <c r="AG2339" s="33" t="n">
        <v>0</v>
      </c>
      <c r="AH2339" s="4" t="n">
        <v>0</v>
      </c>
      <c r="AI2339" s="34" t="n"/>
      <c r="AJ2339" s="34" t="n">
        <v>0</v>
      </c>
      <c r="AK2339" s="2" t="n">
        <v>0</v>
      </c>
      <c r="AL2339" t="inlineStr">
        <is>
          <t>Published</t>
        </is>
      </c>
    </row>
    <row r="2340">
      <c r="A2340">
        <f>HYPERLINK("https://www.walmart.com/ip/474881891", "474881891")</f>
        <v/>
      </c>
      <c r="B2340">
        <f>HYPERLINK("https://app.optiwise.ai/catalog/itemdetails/361829", "Catalonia Sherpa Wearable Blanket Poncho for Adult Women Men, Wrap Blanket Cape with Pocket, Warm, Soft, Cozy, Snuggly, Comfort Gift, No Sleeves, Vanilla")</f>
        <v/>
      </c>
      <c r="C2340" t="inlineStr">
        <is>
          <t>1CTBP110VN</t>
        </is>
      </c>
      <c r="D2340" t="inlineStr">
        <is>
          <t>Bedding</t>
        </is>
      </c>
      <c r="E2340" t="inlineStr">
        <is>
          <t>Throws</t>
        </is>
      </c>
      <c r="F2340" t="inlineStr">
        <is>
          <t>Catalonia</t>
        </is>
      </c>
      <c r="G2340" t="n">
        <v>0</v>
      </c>
      <c r="H2340" t="n">
        <v>0</v>
      </c>
      <c r="I2340" t="inlineStr">
        <is>
          <t>Optimized,Hero 5 Holidays</t>
        </is>
      </c>
      <c r="J2340" s="29" t="n">
        <v>0</v>
      </c>
      <c r="K2340" s="30" t="n"/>
      <c r="L2340" s="29" t="n">
        <v>0</v>
      </c>
      <c r="M2340" s="29" t="n">
        <v>0</v>
      </c>
      <c r="N2340" s="2" t="n">
        <v>0</v>
      </c>
      <c r="O2340" s="31" t="n">
        <v>2.8</v>
      </c>
      <c r="P2340" s="32" t="n">
        <v>0.0003</v>
      </c>
      <c r="Q2340" s="32" t="n">
        <v>0</v>
      </c>
      <c r="R2340" s="32" t="n">
        <v>0</v>
      </c>
      <c r="S2340" s="31" t="n">
        <v>0</v>
      </c>
      <c r="T2340" s="32" t="n">
        <v>0</v>
      </c>
      <c r="U2340" s="31" t="n">
        <v>0</v>
      </c>
      <c r="V2340" s="31" t="n">
        <v>0</v>
      </c>
      <c r="W2340" s="3" t="n">
        <v>3210</v>
      </c>
      <c r="X2340" s="3" t="n">
        <v>8</v>
      </c>
      <c r="Y2340" s="32" t="n">
        <v>0.0025</v>
      </c>
      <c r="Z2340" s="3" t="n">
        <v>0</v>
      </c>
      <c r="AA2340" s="32" t="n">
        <v>0</v>
      </c>
      <c r="AB2340" s="3" t="inlineStr">
        <is>
          <t>Snuggly_Auto</t>
        </is>
      </c>
      <c r="AC2340" s="31" t="n">
        <v>0.35</v>
      </c>
      <c r="AD2340" s="2" t="n">
        <v>0</v>
      </c>
      <c r="AE2340" s="2" t="n">
        <v>25</v>
      </c>
      <c r="AF2340" s="4" t="n">
        <v>17</v>
      </c>
      <c r="AG2340" s="33" t="n">
        <v>0</v>
      </c>
      <c r="AH2340" s="4" t="n">
        <v>0</v>
      </c>
      <c r="AI2340" s="34" t="n"/>
      <c r="AJ2340" s="34" t="n">
        <v>0</v>
      </c>
      <c r="AK2340" s="2" t="n">
        <v>0</v>
      </c>
      <c r="AL2340" t="inlineStr">
        <is>
          <t>Published</t>
        </is>
      </c>
    </row>
    <row r="2341">
      <c r="A2341">
        <f>HYPERLINK("https://www.walmart.com/ip/926548023", "926548023")</f>
        <v/>
      </c>
      <c r="B2341">
        <f>HYPERLINK("https://app.optiwise.ai/catalog/itemdetails/361889", "100% Polar Fleece Skull Cap Warm and Cozy Beanie")</f>
        <v/>
      </c>
      <c r="C2341" t="inlineStr">
        <is>
          <t>1SLW1810PK-FSCB</t>
        </is>
      </c>
      <c r="D2341" t="inlineStr">
        <is>
          <t>Clothing</t>
        </is>
      </c>
      <c r="E2341" t="inlineStr">
        <is>
          <t>Hats</t>
        </is>
      </c>
      <c r="F2341" t="inlineStr">
        <is>
          <t>Solaris</t>
        </is>
      </c>
      <c r="G2341" t="n">
        <v>0</v>
      </c>
      <c r="H2341" t="n">
        <v>0</v>
      </c>
      <c r="I2341" t="inlineStr">
        <is>
          <t>Batch 1 - TR</t>
        </is>
      </c>
      <c r="J2341" s="29" t="n">
        <v>0</v>
      </c>
      <c r="K2341" s="30" t="n"/>
      <c r="L2341" s="29" t="n">
        <v>0</v>
      </c>
      <c r="M2341" s="29" t="n">
        <v>0</v>
      </c>
      <c r="N2341" s="2" t="n">
        <v>0</v>
      </c>
      <c r="O2341" s="31" t="n">
        <v>0</v>
      </c>
      <c r="P2341" s="32" t="n"/>
      <c r="Q2341" s="32" t="n">
        <v>0</v>
      </c>
      <c r="R2341" s="32" t="n">
        <v>0</v>
      </c>
      <c r="S2341" s="31" t="n">
        <v>0</v>
      </c>
      <c r="T2341" s="32" t="n">
        <v>0</v>
      </c>
      <c r="U2341" s="31" t="n">
        <v>0</v>
      </c>
      <c r="V2341" s="31" t="n">
        <v>0</v>
      </c>
      <c r="W2341" s="3" t="n">
        <v>0</v>
      </c>
      <c r="X2341" s="3" t="n">
        <v>0</v>
      </c>
      <c r="Y2341" s="32" t="n">
        <v>0</v>
      </c>
      <c r="Z2341" s="3" t="n">
        <v>0</v>
      </c>
      <c r="AA2341" s="32" t="n">
        <v>0</v>
      </c>
      <c r="AB2341" s="3" t="n"/>
      <c r="AC2341" s="31" t="n">
        <v>0</v>
      </c>
      <c r="AD2341" s="2" t="n">
        <v>0</v>
      </c>
      <c r="AE2341" s="2" t="n">
        <v>4</v>
      </c>
      <c r="AF2341" s="4" t="n">
        <v>4</v>
      </c>
      <c r="AG2341" s="33" t="n">
        <v>0</v>
      </c>
      <c r="AH2341" s="4" t="n">
        <v>0</v>
      </c>
      <c r="AI2341" s="34" t="n"/>
      <c r="AJ2341" s="34" t="n">
        <v>0</v>
      </c>
      <c r="AK2341" s="2" t="n">
        <v>0</v>
      </c>
      <c r="AL2341" t="inlineStr">
        <is>
          <t>Published</t>
        </is>
      </c>
    </row>
    <row r="2342">
      <c r="A2342">
        <f>HYPERLINK("https://www.walmart.com/ip/903259087", "903259087")</f>
        <v/>
      </c>
      <c r="B2342">
        <f>HYPERLINK("https://app.optiwise.ai/catalog/itemdetails/361891", "Catalonia Union Jack Blanket, UK Flag Sherpa Fleece Blanket | Super Soft, Warm, Reversible | for Couch Bed, Gift for British, 50X70 inches")</f>
        <v/>
      </c>
      <c r="C2342" t="inlineStr">
        <is>
          <t>1CTBF300UK2MUL</t>
        </is>
      </c>
      <c r="D2342" t="inlineStr">
        <is>
          <t>Bedding</t>
        </is>
      </c>
      <c r="E2342" t="inlineStr">
        <is>
          <t>Throws</t>
        </is>
      </c>
      <c r="F2342" t="inlineStr">
        <is>
          <t>Catalonia</t>
        </is>
      </c>
      <c r="G2342" t="n">
        <v>0</v>
      </c>
      <c r="H2342" t="n">
        <v>0</v>
      </c>
      <c r="I2342" t="inlineStr">
        <is>
          <t>WFS,WFS Item,Fleece Blankets</t>
        </is>
      </c>
      <c r="J2342" s="29" t="n">
        <v>0</v>
      </c>
      <c r="K2342" s="30" t="n"/>
      <c r="L2342" s="29" t="n">
        <v>0</v>
      </c>
      <c r="M2342" s="29" t="n">
        <v>0</v>
      </c>
      <c r="N2342" s="2" t="n">
        <v>0</v>
      </c>
      <c r="O2342" s="31" t="n">
        <v>0</v>
      </c>
      <c r="P2342" s="32" t="n"/>
      <c r="Q2342" s="32" t="n">
        <v>0</v>
      </c>
      <c r="R2342" s="32" t="n">
        <v>0</v>
      </c>
      <c r="S2342" s="31" t="n">
        <v>0</v>
      </c>
      <c r="T2342" s="32" t="n">
        <v>0</v>
      </c>
      <c r="U2342" s="31" t="n">
        <v>0</v>
      </c>
      <c r="V2342" s="31" t="n">
        <v>0</v>
      </c>
      <c r="W2342" s="3" t="n">
        <v>0</v>
      </c>
      <c r="X2342" s="3" t="n">
        <v>0</v>
      </c>
      <c r="Y2342" s="32" t="n">
        <v>0</v>
      </c>
      <c r="Z2342" s="3" t="n">
        <v>0</v>
      </c>
      <c r="AA2342" s="32" t="n">
        <v>0</v>
      </c>
      <c r="AB2342" s="3" t="n"/>
      <c r="AC2342" s="31" t="n">
        <v>0</v>
      </c>
      <c r="AD2342" s="2" t="n">
        <v>0</v>
      </c>
      <c r="AE2342" s="2" t="n">
        <v>24</v>
      </c>
      <c r="AF2342" s="4" t="n">
        <v>24</v>
      </c>
      <c r="AG2342" s="33" t="n">
        <v>0</v>
      </c>
      <c r="AH2342" s="4" t="n">
        <v>0</v>
      </c>
      <c r="AI2342" s="34" t="n"/>
      <c r="AJ2342" s="34" t="n">
        <v>0</v>
      </c>
      <c r="AK2342" s="2" t="n">
        <v>0</v>
      </c>
      <c r="AL2342" t="inlineStr">
        <is>
          <t>Published</t>
        </is>
      </c>
    </row>
    <row r="2343">
      <c r="A2343">
        <f>HYPERLINK("https://www.walmart.com/ip/132479670", "132479670")</f>
        <v/>
      </c>
      <c r="B2343">
        <f>HYPERLINK("https://app.optiwise.ai/catalog/itemdetails/361904", "KC Caps Blank Cuff Hat Knit Beanie")</f>
        <v/>
      </c>
      <c r="C2343" t="inlineStr">
        <is>
          <t>KCW1720LTGY</t>
        </is>
      </c>
      <c r="D2343" t="inlineStr">
        <is>
          <t>Clothing</t>
        </is>
      </c>
      <c r="E2343" t="inlineStr">
        <is>
          <t>Hats</t>
        </is>
      </c>
      <c r="F2343" t="inlineStr">
        <is>
          <t>KC Caps</t>
        </is>
      </c>
      <c r="G2343" t="n">
        <v>0</v>
      </c>
      <c r="H2343" t="n">
        <v>0</v>
      </c>
      <c r="I2343" t="inlineStr">
        <is>
          <t>Optimized</t>
        </is>
      </c>
      <c r="J2343" s="29" t="n">
        <v>0</v>
      </c>
      <c r="K2343" s="30" t="n"/>
      <c r="L2343" s="29" t="n">
        <v>0</v>
      </c>
      <c r="M2343" s="29" t="n">
        <v>0</v>
      </c>
      <c r="N2343" s="2" t="n">
        <v>0</v>
      </c>
      <c r="O2343" s="31" t="n">
        <v>0</v>
      </c>
      <c r="P2343" s="32" t="n"/>
      <c r="Q2343" s="32" t="n">
        <v>0</v>
      </c>
      <c r="R2343" s="32" t="n">
        <v>0</v>
      </c>
      <c r="S2343" s="31" t="n">
        <v>0</v>
      </c>
      <c r="T2343" s="32" t="n">
        <v>0</v>
      </c>
      <c r="U2343" s="31" t="n">
        <v>0</v>
      </c>
      <c r="V2343" s="31" t="n">
        <v>0</v>
      </c>
      <c r="W2343" s="3" t="n">
        <v>0</v>
      </c>
      <c r="X2343" s="3" t="n">
        <v>0</v>
      </c>
      <c r="Y2343" s="32" t="n">
        <v>0</v>
      </c>
      <c r="Z2343" s="3" t="n">
        <v>0</v>
      </c>
      <c r="AA2343" s="32" t="n">
        <v>0</v>
      </c>
      <c r="AB2343" s="3" t="n"/>
      <c r="AC2343" s="31" t="n">
        <v>0</v>
      </c>
      <c r="AD2343" s="2" t="n">
        <v>0</v>
      </c>
      <c r="AE2343" s="2" t="n">
        <v>1</v>
      </c>
      <c r="AF2343" s="4" t="n">
        <v>1</v>
      </c>
      <c r="AG2343" s="33" t="n">
        <v>0</v>
      </c>
      <c r="AH2343" s="4" t="n">
        <v>0</v>
      </c>
      <c r="AI2343" s="34" t="n"/>
      <c r="AJ2343" s="34" t="n">
        <v>0</v>
      </c>
      <c r="AK2343" s="2" t="n">
        <v>0</v>
      </c>
      <c r="AL2343" t="inlineStr">
        <is>
          <t>Published</t>
        </is>
      </c>
    </row>
    <row r="2344">
      <c r="A2344">
        <f>HYPERLINK("https://www.walmart.com/ip/192069885", "192069885")</f>
        <v/>
      </c>
      <c r="B2344">
        <f>HYPERLINK("https://app.optiwise.ai/catalog/itemdetails/361942", "KC Caps® Unisex Cotton Baseball Cap Adjustable Plain Hat (21 Styles/Colors)")</f>
        <v/>
      </c>
      <c r="C2344" t="inlineStr">
        <is>
          <t>KC8010GNNV</t>
        </is>
      </c>
      <c r="D2344" t="inlineStr">
        <is>
          <t>Clothing</t>
        </is>
      </c>
      <c r="E2344" t="inlineStr">
        <is>
          <t>Hats</t>
        </is>
      </c>
      <c r="F2344" t="inlineStr">
        <is>
          <t>KC Caps</t>
        </is>
      </c>
      <c r="G2344" t="n">
        <v>0</v>
      </c>
      <c r="H2344" t="n">
        <v>0</v>
      </c>
      <c r="I2344" t="inlineStr">
        <is>
          <t>Optimized</t>
        </is>
      </c>
      <c r="J2344" s="29" t="n">
        <v>0</v>
      </c>
      <c r="K2344" s="30" t="n"/>
      <c r="L2344" s="29" t="n">
        <v>0</v>
      </c>
      <c r="M2344" s="29" t="n">
        <v>0</v>
      </c>
      <c r="N2344" s="2" t="n">
        <v>0</v>
      </c>
      <c r="O2344" s="31" t="n">
        <v>0</v>
      </c>
      <c r="P2344" s="32" t="n"/>
      <c r="Q2344" s="32" t="n">
        <v>0</v>
      </c>
      <c r="R2344" s="32" t="n">
        <v>0</v>
      </c>
      <c r="S2344" s="31" t="n">
        <v>0</v>
      </c>
      <c r="T2344" s="32" t="n">
        <v>0</v>
      </c>
      <c r="U2344" s="31" t="n">
        <v>0</v>
      </c>
      <c r="V2344" s="31" t="n">
        <v>0</v>
      </c>
      <c r="W2344" s="3" t="n">
        <v>0</v>
      </c>
      <c r="X2344" s="3" t="n">
        <v>0</v>
      </c>
      <c r="Y2344" s="32" t="n">
        <v>0</v>
      </c>
      <c r="Z2344" s="3" t="n">
        <v>0</v>
      </c>
      <c r="AA2344" s="32" t="n">
        <v>0</v>
      </c>
      <c r="AB2344" s="3" t="n"/>
      <c r="AC2344" s="31" t="n">
        <v>0</v>
      </c>
      <c r="AD2344" s="2" t="n">
        <v>0</v>
      </c>
      <c r="AE2344" s="2" t="n">
        <v>12</v>
      </c>
      <c r="AF2344" s="4" t="n">
        <v>12</v>
      </c>
      <c r="AG2344" s="33" t="n">
        <v>0</v>
      </c>
      <c r="AH2344" s="4" t="n">
        <v>0</v>
      </c>
      <c r="AI2344" s="34" t="n"/>
      <c r="AJ2344" s="34" t="n">
        <v>0</v>
      </c>
      <c r="AK2344" s="2" t="n">
        <v>0</v>
      </c>
      <c r="AL2344" t="inlineStr">
        <is>
          <t>Published</t>
        </is>
      </c>
    </row>
    <row r="2345">
      <c r="A2345">
        <f>HYPERLINK("https://www.walmart.com/ip/153531952", "153531952")</f>
        <v/>
      </c>
      <c r="B2345">
        <f>HYPERLINK("https://app.optiwise.ai/catalog/itemdetails/361961", "Tirrinia Womens Floppy Beach Summer Hat Reversible Sunhat Packable Wide Brim Flower Pattern Blue")</f>
        <v/>
      </c>
      <c r="C2345" t="inlineStr">
        <is>
          <t>1TRSH069BL-TBCB</t>
        </is>
      </c>
      <c r="D2345" t="inlineStr">
        <is>
          <t>Clothing</t>
        </is>
      </c>
      <c r="E2345" t="inlineStr">
        <is>
          <t>Hats</t>
        </is>
      </c>
      <c r="F2345" t="inlineStr">
        <is>
          <t>Tirrinia</t>
        </is>
      </c>
      <c r="G2345" t="n">
        <v>0</v>
      </c>
      <c r="H2345" t="n">
        <v>0</v>
      </c>
      <c r="J2345" s="29" t="n">
        <v>0</v>
      </c>
      <c r="K2345" s="30" t="n"/>
      <c r="L2345" s="29" t="n">
        <v>0</v>
      </c>
      <c r="M2345" s="29" t="n">
        <v>0</v>
      </c>
      <c r="N2345" s="2" t="n">
        <v>0</v>
      </c>
      <c r="O2345" s="31" t="n">
        <v>0</v>
      </c>
      <c r="P2345" s="32" t="n"/>
      <c r="Q2345" s="32" t="n">
        <v>0</v>
      </c>
      <c r="R2345" s="32" t="n">
        <v>0</v>
      </c>
      <c r="S2345" s="31" t="n">
        <v>0</v>
      </c>
      <c r="T2345" s="32" t="n">
        <v>0</v>
      </c>
      <c r="U2345" s="31" t="n">
        <v>0</v>
      </c>
      <c r="V2345" s="31" t="n">
        <v>0</v>
      </c>
      <c r="W2345" s="3" t="n">
        <v>0</v>
      </c>
      <c r="X2345" s="3" t="n">
        <v>0</v>
      </c>
      <c r="Y2345" s="32" t="n">
        <v>0</v>
      </c>
      <c r="Z2345" s="3" t="n">
        <v>0</v>
      </c>
      <c r="AA2345" s="32" t="n">
        <v>0</v>
      </c>
      <c r="AB2345" s="3" t="n"/>
      <c r="AC2345" s="31" t="n">
        <v>0</v>
      </c>
      <c r="AD2345" s="2" t="n">
        <v>0</v>
      </c>
      <c r="AE2345" s="2" t="n">
        <v>2</v>
      </c>
      <c r="AF2345" s="4" t="n">
        <v>2</v>
      </c>
      <c r="AG2345" s="33" t="n">
        <v>0</v>
      </c>
      <c r="AH2345" s="4" t="n">
        <v>0</v>
      </c>
      <c r="AI2345" s="34" t="n"/>
      <c r="AJ2345" s="34" t="n">
        <v>0</v>
      </c>
      <c r="AK2345" s="2" t="n">
        <v>0</v>
      </c>
      <c r="AL2345" t="inlineStr">
        <is>
          <t>Published</t>
        </is>
      </c>
    </row>
    <row r="2346">
      <c r="A2346">
        <f>HYPERLINK("https://www.walmart.com/ip/190969943", "190969943")</f>
        <v/>
      </c>
      <c r="B2346">
        <f>HYPERLINK("https://app.optiwise.ai/catalog/itemdetails/361959", "Flyingstar Woman Sweatshirt Dress, Casual Ladies Pullover, Juniors Hoodie Dress with Kangaroo Pocket, One Size, Grey")</f>
        <v/>
      </c>
      <c r="C2346" t="inlineStr">
        <is>
          <t>1WMHD530S1GY</t>
        </is>
      </c>
      <c r="D2346" t="inlineStr">
        <is>
          <t>Clothing</t>
        </is>
      </c>
      <c r="E2346" t="inlineStr">
        <is>
          <t>Sweatshirts &amp; Hoodies</t>
        </is>
      </c>
      <c r="F2346" t="inlineStr">
        <is>
          <t>Flyingstar</t>
        </is>
      </c>
      <c r="G2346" t="n">
        <v>0</v>
      </c>
      <c r="H2346" t="n">
        <v>0</v>
      </c>
      <c r="I2346" t="inlineStr">
        <is>
          <t>Hoodie ForAdult,Optimized</t>
        </is>
      </c>
      <c r="J2346" s="29" t="n">
        <v>0</v>
      </c>
      <c r="K2346" s="30" t="n"/>
      <c r="L2346" s="29" t="n">
        <v>27.97999954223633</v>
      </c>
      <c r="M2346" s="29" t="n">
        <v>0</v>
      </c>
      <c r="N2346" s="2" t="n">
        <v>0</v>
      </c>
      <c r="O2346" s="31" t="n">
        <v>0</v>
      </c>
      <c r="P2346" s="32" t="n"/>
      <c r="Q2346" s="32" t="n">
        <v>0</v>
      </c>
      <c r="R2346" s="32" t="n">
        <v>0.8292</v>
      </c>
      <c r="S2346" s="31" t="n">
        <v>0</v>
      </c>
      <c r="T2346" s="32" t="n">
        <v>0</v>
      </c>
      <c r="U2346" s="31" t="n">
        <v>0</v>
      </c>
      <c r="V2346" s="31" t="n">
        <v>0</v>
      </c>
      <c r="W2346" s="3" t="n">
        <v>0</v>
      </c>
      <c r="X2346" s="3" t="n">
        <v>0</v>
      </c>
      <c r="Y2346" s="32" t="n">
        <v>0</v>
      </c>
      <c r="Z2346" s="3" t="n">
        <v>0</v>
      </c>
      <c r="AA2346" s="32" t="n">
        <v>0</v>
      </c>
      <c r="AB2346" s="3" t="n"/>
      <c r="AC2346" s="31" t="n">
        <v>0</v>
      </c>
      <c r="AD2346" s="2" t="n">
        <v>5</v>
      </c>
      <c r="AE2346" s="2" t="n">
        <v>12</v>
      </c>
      <c r="AF2346" s="4" t="n">
        <v>12</v>
      </c>
      <c r="AG2346" s="33" t="n">
        <v>0</v>
      </c>
      <c r="AH2346" s="4" t="n">
        <v>0</v>
      </c>
      <c r="AI2346" s="34" t="n"/>
      <c r="AJ2346" s="34" t="n">
        <v>0</v>
      </c>
      <c r="AK2346" s="2" t="n">
        <v>0</v>
      </c>
      <c r="AL2346" t="inlineStr">
        <is>
          <t>Published</t>
        </is>
      </c>
    </row>
    <row r="2347">
      <c r="A2347">
        <f>HYPERLINK("https://www.walmart.com/ip/164015863", "164015863")</f>
        <v/>
      </c>
      <c r="B2347">
        <f>HYPERLINK("https://app.optiwise.ai/catalog/itemdetails/361958", "Safari Outdoor Fishing Hiking Hunting Boating Large Bill Sun Unisex Hat with Neck Flap by Sun Blocker")</f>
        <v/>
      </c>
      <c r="C2347" t="inlineStr">
        <is>
          <t>kc-s9150-digign</t>
        </is>
      </c>
      <c r="D2347" t="inlineStr">
        <is>
          <t>Clothing</t>
        </is>
      </c>
      <c r="E2347" t="inlineStr">
        <is>
          <t>Hats</t>
        </is>
      </c>
      <c r="F2347" t="inlineStr">
        <is>
          <t>Sun Blocker</t>
        </is>
      </c>
      <c r="G2347" t="n">
        <v>0</v>
      </c>
      <c r="H2347" t="n">
        <v>0</v>
      </c>
      <c r="I2347" t="inlineStr">
        <is>
          <t>Optimized,ST Patrick Day</t>
        </is>
      </c>
      <c r="J2347" s="29" t="n">
        <v>0</v>
      </c>
      <c r="K2347" s="30" t="n"/>
      <c r="L2347" s="29" t="n">
        <v>0</v>
      </c>
      <c r="M2347" s="29" t="n">
        <v>0</v>
      </c>
      <c r="N2347" s="2" t="n">
        <v>0</v>
      </c>
      <c r="O2347" s="31" t="n">
        <v>0</v>
      </c>
      <c r="P2347" s="32" t="n"/>
      <c r="Q2347" s="32" t="n">
        <v>0</v>
      </c>
      <c r="R2347" s="32" t="n">
        <v>0</v>
      </c>
      <c r="S2347" s="31" t="n">
        <v>0</v>
      </c>
      <c r="T2347" s="32" t="n">
        <v>0</v>
      </c>
      <c r="U2347" s="31" t="n">
        <v>0</v>
      </c>
      <c r="V2347" s="31" t="n">
        <v>0</v>
      </c>
      <c r="W2347" s="3" t="n">
        <v>0</v>
      </c>
      <c r="X2347" s="3" t="n">
        <v>0</v>
      </c>
      <c r="Y2347" s="32" t="n">
        <v>0</v>
      </c>
      <c r="Z2347" s="3" t="n">
        <v>0</v>
      </c>
      <c r="AA2347" s="32" t="n">
        <v>0</v>
      </c>
      <c r="AB2347" s="3" t="n"/>
      <c r="AC2347" s="31" t="n">
        <v>0</v>
      </c>
      <c r="AD2347" s="2" t="n">
        <v>0</v>
      </c>
      <c r="AE2347" s="2" t="n">
        <v>1</v>
      </c>
      <c r="AF2347" s="4" t="n">
        <v>1</v>
      </c>
      <c r="AG2347" s="33" t="n">
        <v>0</v>
      </c>
      <c r="AH2347" s="4" t="n">
        <v>0</v>
      </c>
      <c r="AI2347" s="34" t="n"/>
      <c r="AJ2347" s="34" t="n">
        <v>0</v>
      </c>
      <c r="AK2347" s="2" t="n">
        <v>0</v>
      </c>
      <c r="AL2347" t="inlineStr">
        <is>
          <t>Published</t>
        </is>
      </c>
    </row>
    <row r="2348">
      <c r="A2348">
        <f>HYPERLINK("https://www.walmart.com/ip/945241349", "945241349")</f>
        <v/>
      </c>
      <c r="B2348">
        <f>HYPERLINK("https://app.optiwise.ai/catalog/itemdetails/361952", "Oversized Hoodie Blanket Sweatshirt,Super Soft Warm Comfortable Fleece Giant Pullover with Large Front Pocket,for Adults Men Women Teenagers Kids Wife Girlfriend")</f>
        <v/>
      </c>
      <c r="C2348" t="inlineStr">
        <is>
          <t>1WMHD300LBL</t>
        </is>
      </c>
      <c r="D2348" t="inlineStr">
        <is>
          <t>Bedding</t>
        </is>
      </c>
      <c r="E2348" t="inlineStr">
        <is>
          <t>Sweatshirts &amp; Hoodies</t>
        </is>
      </c>
      <c r="F2348" t="inlineStr">
        <is>
          <t>Flyingstar</t>
        </is>
      </c>
      <c r="G2348" t="n">
        <v>0</v>
      </c>
      <c r="H2348" t="n">
        <v>0</v>
      </c>
      <c r="I2348" t="inlineStr">
        <is>
          <t>Hoodie ForAdult,Optimized</t>
        </is>
      </c>
      <c r="J2348" s="29" t="n">
        <v>0</v>
      </c>
      <c r="K2348" s="30" t="n"/>
      <c r="L2348" s="29" t="n">
        <v>0</v>
      </c>
      <c r="M2348" s="29" t="n">
        <v>0</v>
      </c>
      <c r="N2348" s="2" t="n">
        <v>0</v>
      </c>
      <c r="O2348" s="31" t="n">
        <v>0</v>
      </c>
      <c r="P2348" s="32" t="n"/>
      <c r="Q2348" s="32" t="n">
        <v>0</v>
      </c>
      <c r="R2348" s="32" t="n">
        <v>0</v>
      </c>
      <c r="S2348" s="31" t="n">
        <v>0</v>
      </c>
      <c r="T2348" s="32" t="n">
        <v>0</v>
      </c>
      <c r="U2348" s="31" t="n">
        <v>0</v>
      </c>
      <c r="V2348" s="31" t="n">
        <v>0</v>
      </c>
      <c r="W2348" s="3" t="n">
        <v>0</v>
      </c>
      <c r="X2348" s="3" t="n">
        <v>0</v>
      </c>
      <c r="Y2348" s="32" t="n">
        <v>0</v>
      </c>
      <c r="Z2348" s="3" t="n">
        <v>0</v>
      </c>
      <c r="AA2348" s="32" t="n">
        <v>0</v>
      </c>
      <c r="AB2348" s="3" t="n"/>
      <c r="AC2348" s="31" t="n">
        <v>0</v>
      </c>
      <c r="AD2348" s="2" t="n">
        <v>12</v>
      </c>
      <c r="AE2348" s="2" t="n">
        <v>13</v>
      </c>
      <c r="AF2348" s="4" t="n">
        <v>13</v>
      </c>
      <c r="AG2348" s="33" t="n">
        <v>0</v>
      </c>
      <c r="AH2348" s="4" t="n">
        <v>0</v>
      </c>
      <c r="AI2348" s="34" t="n"/>
      <c r="AJ2348" s="34" t="n">
        <v>0</v>
      </c>
      <c r="AK2348" s="2" t="n">
        <v>0</v>
      </c>
      <c r="AL2348" t="inlineStr">
        <is>
          <t>Published</t>
        </is>
      </c>
    </row>
    <row r="2349">
      <c r="A2349">
        <f>HYPERLINK("https://www.walmart.com/ip/158738643", "158738643")</f>
        <v/>
      </c>
      <c r="B2349">
        <f>HYPERLINK("https://app.optiwise.ai/catalog/itemdetails/361951", "JenniWears® Women's 6-Pack Leopard Lace Garter Belt Stretch Stocking Suspender")</f>
        <v/>
      </c>
      <c r="C2349" t="inlineStr">
        <is>
          <t>JWBLSPH2108-6pcs</t>
        </is>
      </c>
      <c r="D2349" t="inlineStr">
        <is>
          <t>Clothing</t>
        </is>
      </c>
      <c r="E2349" t="inlineStr">
        <is>
          <t>Garter Belts</t>
        </is>
      </c>
      <c r="F2349" t="inlineStr">
        <is>
          <t>JenniWears</t>
        </is>
      </c>
      <c r="G2349" t="n">
        <v>0</v>
      </c>
      <c r="H2349" t="n">
        <v>0</v>
      </c>
      <c r="I2349" t="inlineStr">
        <is>
          <t>Optimized,Valentine</t>
        </is>
      </c>
      <c r="J2349" s="29" t="n">
        <v>0</v>
      </c>
      <c r="K2349" s="30" t="n"/>
      <c r="L2349" s="29" t="n">
        <v>0</v>
      </c>
      <c r="M2349" s="29" t="n">
        <v>0</v>
      </c>
      <c r="N2349" s="2" t="n">
        <v>0</v>
      </c>
      <c r="O2349" s="31" t="n">
        <v>0</v>
      </c>
      <c r="P2349" s="32" t="n"/>
      <c r="Q2349" s="32" t="n">
        <v>0</v>
      </c>
      <c r="R2349" s="32" t="n">
        <v>0</v>
      </c>
      <c r="S2349" s="31" t="n">
        <v>0</v>
      </c>
      <c r="T2349" s="32" t="n">
        <v>0</v>
      </c>
      <c r="U2349" s="31" t="n">
        <v>0</v>
      </c>
      <c r="V2349" s="31" t="n">
        <v>0</v>
      </c>
      <c r="W2349" s="3" t="n">
        <v>0</v>
      </c>
      <c r="X2349" s="3" t="n">
        <v>0</v>
      </c>
      <c r="Y2349" s="32" t="n">
        <v>0</v>
      </c>
      <c r="Z2349" s="3" t="n">
        <v>0</v>
      </c>
      <c r="AA2349" s="32" t="n">
        <v>0</v>
      </c>
      <c r="AB2349" s="3" t="n"/>
      <c r="AC2349" s="31" t="n">
        <v>0</v>
      </c>
      <c r="AD2349" s="2" t="n">
        <v>0</v>
      </c>
      <c r="AE2349" s="2" t="n">
        <v>6</v>
      </c>
      <c r="AF2349" s="4" t="n">
        <v>6</v>
      </c>
      <c r="AG2349" s="33" t="n">
        <v>0</v>
      </c>
      <c r="AH2349" s="4" t="n">
        <v>0</v>
      </c>
      <c r="AI2349" s="34" t="n"/>
      <c r="AJ2349" s="34" t="n">
        <v>0</v>
      </c>
      <c r="AK2349" s="2" t="n">
        <v>0</v>
      </c>
      <c r="AL2349" t="inlineStr">
        <is>
          <t>Published</t>
        </is>
      </c>
    </row>
    <row r="2350">
      <c r="A2350">
        <f>HYPERLINK("https://www.walmart.com/ip/161931446", "161931446")</f>
        <v/>
      </c>
      <c r="B2350">
        <f>HYPERLINK("https://app.optiwise.ai/catalog/itemdetails/361949", "KC Caps® Cap Cool Olive Worker Washed Cap Daily Hat Causual Make Old Style")</f>
        <v/>
      </c>
      <c r="C2350" t="inlineStr">
        <is>
          <t>KC Caps 8320 Olive</t>
        </is>
      </c>
      <c r="D2350" t="inlineStr">
        <is>
          <t>Clothing</t>
        </is>
      </c>
      <c r="E2350" t="inlineStr">
        <is>
          <t>Hats</t>
        </is>
      </c>
      <c r="F2350" t="inlineStr">
        <is>
          <t>KC Caps</t>
        </is>
      </c>
      <c r="G2350" t="n">
        <v>0</v>
      </c>
      <c r="H2350" t="n">
        <v>0</v>
      </c>
      <c r="I2350" t="inlineStr">
        <is>
          <t>Batch 1 - TR</t>
        </is>
      </c>
      <c r="J2350" s="29" t="n">
        <v>0</v>
      </c>
      <c r="K2350" s="30" t="n"/>
      <c r="L2350" s="29" t="n">
        <v>0</v>
      </c>
      <c r="M2350" s="29" t="n">
        <v>0</v>
      </c>
      <c r="N2350" s="2" t="n">
        <v>0</v>
      </c>
      <c r="O2350" s="31" t="n">
        <v>0</v>
      </c>
      <c r="P2350" s="32" t="n"/>
      <c r="Q2350" s="32" t="n">
        <v>0</v>
      </c>
      <c r="R2350" s="32" t="n">
        <v>0</v>
      </c>
      <c r="S2350" s="31" t="n">
        <v>0</v>
      </c>
      <c r="T2350" s="32" t="n">
        <v>0</v>
      </c>
      <c r="U2350" s="31" t="n">
        <v>0</v>
      </c>
      <c r="V2350" s="31" t="n">
        <v>0</v>
      </c>
      <c r="W2350" s="3" t="n">
        <v>0</v>
      </c>
      <c r="X2350" s="3" t="n">
        <v>0</v>
      </c>
      <c r="Y2350" s="32" t="n">
        <v>0</v>
      </c>
      <c r="Z2350" s="3" t="n">
        <v>0</v>
      </c>
      <c r="AA2350" s="32" t="n">
        <v>0</v>
      </c>
      <c r="AB2350" s="3" t="n"/>
      <c r="AC2350" s="31" t="n">
        <v>0</v>
      </c>
      <c r="AD2350" s="2" t="n">
        <v>0</v>
      </c>
      <c r="AE2350" s="2" t="n">
        <v>3</v>
      </c>
      <c r="AF2350" s="4" t="n">
        <v>3</v>
      </c>
      <c r="AG2350" s="33" t="n">
        <v>0</v>
      </c>
      <c r="AH2350" s="4" t="n">
        <v>0</v>
      </c>
      <c r="AI2350" s="34" t="n"/>
      <c r="AJ2350" s="34" t="n">
        <v>0</v>
      </c>
      <c r="AK2350" s="2" t="n">
        <v>0</v>
      </c>
      <c r="AL2350" t="inlineStr">
        <is>
          <t>Published</t>
        </is>
      </c>
    </row>
    <row r="2351">
      <c r="A2351">
        <f>HYPERLINK("https://www.walmart.com/ip/181073728", "181073728")</f>
        <v/>
      </c>
      <c r="B2351">
        <f>HYPERLINK("https://app.optiwise.ai/catalog/itemdetails/362135", "KC Caps® Unisex Two-Tone Washed Cotton Bucket Hat Cap Headwear, Medium/Large")</f>
        <v/>
      </c>
      <c r="C2351" t="inlineStr">
        <is>
          <t>KC9120RD-M</t>
        </is>
      </c>
      <c r="D2351" t="inlineStr">
        <is>
          <t>Clothing</t>
        </is>
      </c>
      <c r="E2351" t="inlineStr">
        <is>
          <t>Hats</t>
        </is>
      </c>
      <c r="F2351" t="inlineStr">
        <is>
          <t>KC Caps</t>
        </is>
      </c>
      <c r="G2351" t="n">
        <v>4.8</v>
      </c>
      <c r="H2351" t="n">
        <v>6</v>
      </c>
      <c r="I2351" t="inlineStr">
        <is>
          <t>Optimized</t>
        </is>
      </c>
      <c r="J2351" s="29" t="n">
        <v>0</v>
      </c>
      <c r="K2351" s="30" t="n"/>
      <c r="L2351" s="29" t="n">
        <v>0</v>
      </c>
      <c r="M2351" s="29" t="n">
        <v>0</v>
      </c>
      <c r="N2351" s="2" t="n">
        <v>0</v>
      </c>
      <c r="O2351" s="31" t="n">
        <v>0</v>
      </c>
      <c r="P2351" s="32" t="n"/>
      <c r="Q2351" s="32" t="n">
        <v>0</v>
      </c>
      <c r="R2351" s="32" t="n">
        <v>0</v>
      </c>
      <c r="S2351" s="31" t="n">
        <v>0</v>
      </c>
      <c r="T2351" s="32" t="n">
        <v>0</v>
      </c>
      <c r="U2351" s="31" t="n">
        <v>0</v>
      </c>
      <c r="V2351" s="31" t="n">
        <v>0</v>
      </c>
      <c r="W2351" s="3" t="n">
        <v>0</v>
      </c>
      <c r="X2351" s="3" t="n">
        <v>0</v>
      </c>
      <c r="Y2351" s="32" t="n">
        <v>0</v>
      </c>
      <c r="Z2351" s="3" t="n">
        <v>0</v>
      </c>
      <c r="AA2351" s="32" t="n">
        <v>0</v>
      </c>
      <c r="AB2351" s="3" t="n"/>
      <c r="AC2351" s="31" t="n">
        <v>0</v>
      </c>
      <c r="AD2351" s="2" t="n">
        <v>0</v>
      </c>
      <c r="AE2351" s="2" t="n">
        <v>2</v>
      </c>
      <c r="AF2351" s="4" t="n">
        <v>2</v>
      </c>
      <c r="AG2351" s="33" t="n">
        <v>0</v>
      </c>
      <c r="AH2351" s="4" t="n">
        <v>0</v>
      </c>
      <c r="AI2351" s="34" t="n"/>
      <c r="AJ2351" s="34" t="n">
        <v>0</v>
      </c>
      <c r="AK2351" s="2" t="n">
        <v>0</v>
      </c>
      <c r="AL2351" t="inlineStr">
        <is>
          <t>Published</t>
        </is>
      </c>
    </row>
    <row r="2352">
      <c r="A2352">
        <f>HYPERLINK("https://www.walmart.com/ip/915485342", "915485342")</f>
        <v/>
      </c>
      <c r="B2352">
        <f>HYPERLINK("https://app.optiwise.ai/catalog/itemdetails/361948", "Sherpa Throw Blanket, Soft Warm Fuzzy Snowflake Blanket  by Catalonia, 60x50 inches, Machine Wash")</f>
        <v/>
      </c>
      <c r="C2352" t="inlineStr">
        <is>
          <t>1CTBF390GY</t>
        </is>
      </c>
      <c r="D2352" t="inlineStr">
        <is>
          <t>Bedding</t>
        </is>
      </c>
      <c r="E2352" t="inlineStr">
        <is>
          <t>Throws</t>
        </is>
      </c>
      <c r="F2352" t="inlineStr">
        <is>
          <t>Catalonia</t>
        </is>
      </c>
      <c r="G2352" t="n">
        <v>0</v>
      </c>
      <c r="H2352" t="n">
        <v>0</v>
      </c>
      <c r="I2352" t="inlineStr">
        <is>
          <t>Optimized</t>
        </is>
      </c>
      <c r="J2352" s="29" t="n">
        <v>0</v>
      </c>
      <c r="K2352" s="30" t="n"/>
      <c r="L2352" s="29" t="n">
        <v>0</v>
      </c>
      <c r="M2352" s="29" t="n">
        <v>0</v>
      </c>
      <c r="N2352" s="2" t="n">
        <v>0</v>
      </c>
      <c r="O2352" s="31" t="n">
        <v>0</v>
      </c>
      <c r="P2352" s="32" t="n"/>
      <c r="Q2352" s="32" t="n">
        <v>0</v>
      </c>
      <c r="R2352" s="32" t="n">
        <v>0.2462</v>
      </c>
      <c r="S2352" s="31" t="n">
        <v>0</v>
      </c>
      <c r="T2352" s="32" t="n">
        <v>0</v>
      </c>
      <c r="U2352" s="31" t="n">
        <v>0</v>
      </c>
      <c r="V2352" s="31" t="n">
        <v>0</v>
      </c>
      <c r="W2352" s="3" t="n">
        <v>0</v>
      </c>
      <c r="X2352" s="3" t="n">
        <v>0</v>
      </c>
      <c r="Y2352" s="32" t="n">
        <v>0</v>
      </c>
      <c r="Z2352" s="3" t="n">
        <v>0</v>
      </c>
      <c r="AA2352" s="32" t="n">
        <v>0</v>
      </c>
      <c r="AB2352" s="3" t="n"/>
      <c r="AC2352" s="31" t="n">
        <v>0</v>
      </c>
      <c r="AD2352" s="2" t="n">
        <v>0</v>
      </c>
      <c r="AE2352" s="2" t="n">
        <v>10</v>
      </c>
      <c r="AF2352" s="4" t="n">
        <v>10</v>
      </c>
      <c r="AG2352" s="33" t="n">
        <v>0</v>
      </c>
      <c r="AH2352" s="4" t="n">
        <v>0</v>
      </c>
      <c r="AI2352" s="34" t="n"/>
      <c r="AJ2352" s="34" t="n">
        <v>0</v>
      </c>
      <c r="AK2352" s="2" t="n">
        <v>0</v>
      </c>
      <c r="AL2352" t="inlineStr">
        <is>
          <t>Published</t>
        </is>
      </c>
    </row>
    <row r="2353">
      <c r="A2353">
        <f>HYPERLINK("https://www.walmart.com/ip/379895876", "379895876")</f>
        <v/>
      </c>
      <c r="B2353">
        <f>HYPERLINK("https://app.optiwise.ai/catalog/itemdetails/361947", "Sherpa Wearable Blanket with Sleeves Arms,Super Soft Warm Comfy Large Fleece Plush Sleeved TV Throws Wrap Robe Blanket for Adult Women and Men Buffalo Plaid By Catalonia")</f>
        <v/>
      </c>
      <c r="C2353" t="inlineStr">
        <is>
          <t>1CTSN110P2GN</t>
        </is>
      </c>
      <c r="D2353" t="inlineStr">
        <is>
          <t>Bedding</t>
        </is>
      </c>
      <c r="E2353" t="inlineStr">
        <is>
          <t>Throws</t>
        </is>
      </c>
      <c r="F2353" t="inlineStr">
        <is>
          <t>Catalonia</t>
        </is>
      </c>
      <c r="G2353" t="n">
        <v>5</v>
      </c>
      <c r="H2353" t="n">
        <v>1</v>
      </c>
      <c r="I2353" t="inlineStr">
        <is>
          <t>Q2-Target,WFS,Coupon_Discount,WFS Item</t>
        </is>
      </c>
      <c r="J2353" s="29" t="n">
        <v>0</v>
      </c>
      <c r="K2353" s="30" t="n"/>
      <c r="L2353" s="29" t="n">
        <v>0</v>
      </c>
      <c r="M2353" s="29" t="n">
        <v>0</v>
      </c>
      <c r="N2353" s="2" t="n">
        <v>0</v>
      </c>
      <c r="O2353" s="31" t="n">
        <v>0</v>
      </c>
      <c r="P2353" s="32" t="n"/>
      <c r="Q2353" s="32" t="n">
        <v>0</v>
      </c>
      <c r="R2353" s="32" t="n">
        <v>0</v>
      </c>
      <c r="S2353" s="31" t="n">
        <v>0</v>
      </c>
      <c r="T2353" s="32" t="n">
        <v>0</v>
      </c>
      <c r="U2353" s="31" t="n">
        <v>0</v>
      </c>
      <c r="V2353" s="31" t="n">
        <v>0</v>
      </c>
      <c r="W2353" s="3" t="n">
        <v>0</v>
      </c>
      <c r="X2353" s="3" t="n">
        <v>0</v>
      </c>
      <c r="Y2353" s="32" t="n">
        <v>0</v>
      </c>
      <c r="Z2353" s="3" t="n">
        <v>0</v>
      </c>
      <c r="AA2353" s="32" t="n">
        <v>0</v>
      </c>
      <c r="AB2353" s="3" t="n"/>
      <c r="AC2353" s="31" t="n">
        <v>0</v>
      </c>
      <c r="AD2353" s="2" t="n">
        <v>0</v>
      </c>
      <c r="AE2353" s="2" t="n">
        <v>29</v>
      </c>
      <c r="AF2353" s="4" t="n">
        <v>29</v>
      </c>
      <c r="AG2353" s="33" t="n">
        <v>0</v>
      </c>
      <c r="AH2353" s="4" t="n">
        <v>0</v>
      </c>
      <c r="AI2353" s="34" t="n"/>
      <c r="AJ2353" s="34" t="n">
        <v>0</v>
      </c>
      <c r="AK2353" s="2" t="n">
        <v>0</v>
      </c>
      <c r="AL2353" t="inlineStr">
        <is>
          <t>Published</t>
        </is>
      </c>
    </row>
    <row r="2354">
      <c r="A2354">
        <f>HYPERLINK("https://www.walmart.com/ip/157960013", "157960013")</f>
        <v/>
      </c>
      <c r="B2354">
        <f>HYPERLINK("https://app.optiwise.ai/catalog/itemdetails/361945", "JenniWears Women Strappy Dress Babydoll Hollow Lace Nightwear Chemises Sleepwear")</f>
        <v/>
      </c>
      <c r="C2354" t="inlineStr">
        <is>
          <t>JWND03PK</t>
        </is>
      </c>
      <c r="D2354" t="inlineStr">
        <is>
          <t>Clothing</t>
        </is>
      </c>
      <c r="E2354" t="inlineStr">
        <is>
          <t>Lingerie Sets</t>
        </is>
      </c>
      <c r="F2354" t="inlineStr">
        <is>
          <t>JenniWears</t>
        </is>
      </c>
      <c r="G2354" t="n">
        <v>0</v>
      </c>
      <c r="H2354" t="n">
        <v>0</v>
      </c>
      <c r="I2354" t="inlineStr">
        <is>
          <t>Optimized,Valentine</t>
        </is>
      </c>
      <c r="J2354" s="29" t="n">
        <v>0</v>
      </c>
      <c r="K2354" s="30" t="n"/>
      <c r="L2354" s="29" t="n">
        <v>0</v>
      </c>
      <c r="M2354" s="29" t="n">
        <v>0</v>
      </c>
      <c r="N2354" s="2" t="n">
        <v>0</v>
      </c>
      <c r="O2354" s="31" t="n">
        <v>0</v>
      </c>
      <c r="P2354" s="32" t="n"/>
      <c r="Q2354" s="32" t="n">
        <v>0</v>
      </c>
      <c r="R2354" s="32" t="n">
        <v>0</v>
      </c>
      <c r="S2354" s="31" t="n">
        <v>0</v>
      </c>
      <c r="T2354" s="32" t="n">
        <v>0</v>
      </c>
      <c r="U2354" s="31" t="n">
        <v>0</v>
      </c>
      <c r="V2354" s="31" t="n">
        <v>0</v>
      </c>
      <c r="W2354" s="3" t="n">
        <v>0</v>
      </c>
      <c r="X2354" s="3" t="n">
        <v>0</v>
      </c>
      <c r="Y2354" s="32" t="n">
        <v>0</v>
      </c>
      <c r="Z2354" s="3" t="n">
        <v>0</v>
      </c>
      <c r="AA2354" s="32" t="n">
        <v>0</v>
      </c>
      <c r="AB2354" s="3" t="n"/>
      <c r="AC2354" s="31" t="n">
        <v>0</v>
      </c>
      <c r="AD2354" s="2" t="n">
        <v>0</v>
      </c>
      <c r="AE2354" s="2" t="n">
        <v>2</v>
      </c>
      <c r="AF2354" s="4" t="n">
        <v>2</v>
      </c>
      <c r="AG2354" s="33" t="n">
        <v>0</v>
      </c>
      <c r="AH2354" s="4" t="n">
        <v>0</v>
      </c>
      <c r="AI2354" s="34" t="n"/>
      <c r="AJ2354" s="34" t="n">
        <v>0</v>
      </c>
      <c r="AK2354" s="2" t="n">
        <v>0</v>
      </c>
      <c r="AL2354" t="inlineStr">
        <is>
          <t>Published</t>
        </is>
      </c>
    </row>
    <row r="2355">
      <c r="A2355">
        <f>HYPERLINK("https://www.walmart.com/ip/635001768", "635001768")</f>
        <v/>
      </c>
      <c r="B2355">
        <f>HYPERLINK("https://app.optiwise.ai/catalog/itemdetails/361941", "Catalonia Fleece Reversible Snuggle Micro Sherpa Soft Warm Blanket 60”x50”, Plush Throws for Bedding Couch Mulri-Color")</f>
        <v/>
      </c>
      <c r="C2355" t="inlineStr">
        <is>
          <t>1CTBF300PRD</t>
        </is>
      </c>
      <c r="D2355" t="inlineStr">
        <is>
          <t>Bedding</t>
        </is>
      </c>
      <c r="E2355" t="inlineStr">
        <is>
          <t>Throws</t>
        </is>
      </c>
      <c r="F2355" t="inlineStr">
        <is>
          <t>Catalonia</t>
        </is>
      </c>
      <c r="G2355" t="n">
        <v>4.7</v>
      </c>
      <c r="H2355" t="n">
        <v>19</v>
      </c>
      <c r="I2355" t="inlineStr">
        <is>
          <t>Optimized,WFS,WFS Item,Fleece Blankets</t>
        </is>
      </c>
      <c r="J2355" s="29" t="n">
        <v>0</v>
      </c>
      <c r="K2355" s="30" t="n"/>
      <c r="L2355" s="29" t="n">
        <v>0</v>
      </c>
      <c r="M2355" s="29" t="n">
        <v>0</v>
      </c>
      <c r="N2355" s="2" t="n">
        <v>0</v>
      </c>
      <c r="O2355" s="31" t="n">
        <v>0</v>
      </c>
      <c r="P2355" s="32" t="n"/>
      <c r="Q2355" s="32" t="n">
        <v>0</v>
      </c>
      <c r="R2355" s="32" t="n">
        <v>0</v>
      </c>
      <c r="S2355" s="31" t="n">
        <v>0</v>
      </c>
      <c r="T2355" s="32" t="n">
        <v>0</v>
      </c>
      <c r="U2355" s="31" t="n">
        <v>0</v>
      </c>
      <c r="V2355" s="31" t="n">
        <v>0</v>
      </c>
      <c r="W2355" s="3" t="n">
        <v>0</v>
      </c>
      <c r="X2355" s="3" t="n">
        <v>0</v>
      </c>
      <c r="Y2355" s="32" t="n">
        <v>0</v>
      </c>
      <c r="Z2355" s="3" t="n">
        <v>0</v>
      </c>
      <c r="AA2355" s="32" t="n">
        <v>0</v>
      </c>
      <c r="AB2355" s="3" t="n"/>
      <c r="AC2355" s="31" t="n">
        <v>0</v>
      </c>
      <c r="AD2355" s="2" t="n">
        <v>0</v>
      </c>
      <c r="AE2355" s="2" t="n">
        <v>45</v>
      </c>
      <c r="AF2355" s="4" t="n">
        <v>45</v>
      </c>
      <c r="AG2355" s="33" t="n">
        <v>0</v>
      </c>
      <c r="AH2355" s="4" t="n">
        <v>0</v>
      </c>
      <c r="AI2355" s="34" t="n"/>
      <c r="AJ2355" s="34" t="n">
        <v>0</v>
      </c>
      <c r="AK2355" s="2" t="n">
        <v>0</v>
      </c>
      <c r="AL2355" t="inlineStr">
        <is>
          <t>Published</t>
        </is>
      </c>
    </row>
    <row r="2356">
      <c r="A2356">
        <f>HYPERLINK("https://www.walmart.com/ip/114178501", "114178501")</f>
        <v/>
      </c>
      <c r="B2356">
        <f>HYPERLINK("https://app.optiwise.ai/catalog/itemdetails/361918", "Catalonia Wearable Blanket with Sleeves and Pocket, Cozy Soft Fleece Micro Plush Wrap Adult Blanket Robe for Women Men, Zebra Pattern Makes a Great Gift for Holidays.")</f>
        <v/>
      </c>
      <c r="C2356" t="inlineStr">
        <is>
          <t>1CTSN100ZEBRA</t>
        </is>
      </c>
      <c r="D2356" t="inlineStr">
        <is>
          <t>Bedding</t>
        </is>
      </c>
      <c r="E2356" t="inlineStr">
        <is>
          <t>Throws</t>
        </is>
      </c>
      <c r="F2356" t="inlineStr">
        <is>
          <t>Catalonia</t>
        </is>
      </c>
      <c r="G2356" t="n">
        <v>3.5</v>
      </c>
      <c r="H2356" t="n">
        <v>2</v>
      </c>
      <c r="I2356" t="inlineStr">
        <is>
          <t>Q2-Target,WFS,Coupon_Discount,WFS Item</t>
        </is>
      </c>
      <c r="J2356" s="29" t="n">
        <v>0</v>
      </c>
      <c r="K2356" s="30" t="n"/>
      <c r="L2356" s="29" t="n">
        <v>0</v>
      </c>
      <c r="M2356" s="29" t="n">
        <v>0</v>
      </c>
      <c r="N2356" s="2" t="n">
        <v>0</v>
      </c>
      <c r="O2356" s="31" t="n">
        <v>0</v>
      </c>
      <c r="P2356" s="32" t="n"/>
      <c r="Q2356" s="32" t="n">
        <v>0</v>
      </c>
      <c r="R2356" s="32" t="n">
        <v>0</v>
      </c>
      <c r="S2356" s="31" t="n">
        <v>0</v>
      </c>
      <c r="T2356" s="32" t="n">
        <v>0</v>
      </c>
      <c r="U2356" s="31" t="n">
        <v>0</v>
      </c>
      <c r="V2356" s="31" t="n">
        <v>0</v>
      </c>
      <c r="W2356" s="3" t="n">
        <v>0</v>
      </c>
      <c r="X2356" s="3" t="n">
        <v>0</v>
      </c>
      <c r="Y2356" s="32" t="n">
        <v>0</v>
      </c>
      <c r="Z2356" s="3" t="n">
        <v>0</v>
      </c>
      <c r="AA2356" s="32" t="n">
        <v>0</v>
      </c>
      <c r="AB2356" s="3" t="n"/>
      <c r="AC2356" s="31" t="n">
        <v>0</v>
      </c>
      <c r="AD2356" s="2" t="n">
        <v>0</v>
      </c>
      <c r="AE2356" s="2" t="n">
        <v>14</v>
      </c>
      <c r="AF2356" s="4" t="n">
        <v>14</v>
      </c>
      <c r="AG2356" s="33" t="n">
        <v>0</v>
      </c>
      <c r="AH2356" s="4" t="n">
        <v>0</v>
      </c>
      <c r="AI2356" s="34" t="n"/>
      <c r="AJ2356" s="34" t="n">
        <v>0</v>
      </c>
      <c r="AK2356" s="2" t="n">
        <v>0</v>
      </c>
      <c r="AL2356" t="inlineStr">
        <is>
          <t>Published</t>
        </is>
      </c>
    </row>
    <row r="2357">
      <c r="A2357">
        <f>HYPERLINK("https://www.walmart.com/ip/213969909", "213969909")</f>
        <v/>
      </c>
      <c r="B2357">
        <f>HYPERLINK("https://app.optiwise.ai/catalog/itemdetails/361940", "Tirrinia Women Floppy Straw Sun Hat Wide Brim Striped Beach Cap Foldable Beige")</f>
        <v/>
      </c>
      <c r="C2357" t="inlineStr">
        <is>
          <t>1TRSH101BE-TBCB</t>
        </is>
      </c>
      <c r="D2357" t="inlineStr">
        <is>
          <t>Clothing</t>
        </is>
      </c>
      <c r="E2357" t="inlineStr">
        <is>
          <t>Hats</t>
        </is>
      </c>
      <c r="F2357" t="inlineStr">
        <is>
          <t>Tirrinia</t>
        </is>
      </c>
      <c r="G2357" t="n">
        <v>0</v>
      </c>
      <c r="H2357" t="n">
        <v>0</v>
      </c>
      <c r="I2357" t="inlineStr">
        <is>
          <t>Optimized</t>
        </is>
      </c>
      <c r="J2357" s="29" t="n">
        <v>0</v>
      </c>
      <c r="K2357" s="30" t="n"/>
      <c r="L2357" s="29" t="n">
        <v>0</v>
      </c>
      <c r="M2357" s="29" t="n">
        <v>0</v>
      </c>
      <c r="N2357" s="2" t="n">
        <v>0</v>
      </c>
      <c r="O2357" s="31" t="n">
        <v>0</v>
      </c>
      <c r="P2357" s="32" t="n"/>
      <c r="Q2357" s="32" t="n">
        <v>0</v>
      </c>
      <c r="R2357" s="32" t="n">
        <v>0</v>
      </c>
      <c r="S2357" s="31" t="n">
        <v>0</v>
      </c>
      <c r="T2357" s="32" t="n">
        <v>0</v>
      </c>
      <c r="U2357" s="31" t="n">
        <v>0</v>
      </c>
      <c r="V2357" s="31" t="n">
        <v>0</v>
      </c>
      <c r="W2357" s="3" t="n">
        <v>0</v>
      </c>
      <c r="X2357" s="3" t="n">
        <v>0</v>
      </c>
      <c r="Y2357" s="32" t="n">
        <v>0</v>
      </c>
      <c r="Z2357" s="3" t="n">
        <v>0</v>
      </c>
      <c r="AA2357" s="32" t="n">
        <v>0</v>
      </c>
      <c r="AB2357" s="3" t="n"/>
      <c r="AC2357" s="31" t="n">
        <v>0</v>
      </c>
      <c r="AD2357" s="2" t="n">
        <v>0</v>
      </c>
      <c r="AE2357" s="2" t="n">
        <v>15</v>
      </c>
      <c r="AF2357" s="4" t="n">
        <v>15</v>
      </c>
      <c r="AG2357" s="33" t="n">
        <v>0</v>
      </c>
      <c r="AH2357" s="4" t="n">
        <v>0</v>
      </c>
      <c r="AI2357" s="34" t="n"/>
      <c r="AJ2357" s="34" t="n">
        <v>0</v>
      </c>
      <c r="AK2357" s="2" t="n">
        <v>0</v>
      </c>
      <c r="AL2357" t="inlineStr">
        <is>
          <t>Published</t>
        </is>
      </c>
    </row>
    <row r="2358">
      <c r="A2358">
        <f>HYPERLINK("https://www.walmart.com/ip/299561966", "299561966")</f>
        <v/>
      </c>
      <c r="B2358">
        <f>HYPERLINK("https://app.optiwise.ai/catalog/itemdetails/361935", "Tirrinia Insulated 2 Bottle Wine Carrier Tote Cooler Bag for Travel Picnic Padded Champagne Glass Carrying Case")</f>
        <v/>
      </c>
      <c r="C2358" t="inlineStr">
        <is>
          <t>1WMWB221CHEETAH</t>
        </is>
      </c>
      <c r="D2358" t="inlineStr">
        <is>
          <t>Home Decor, Kitchen, &amp; Other</t>
        </is>
      </c>
      <c r="E2358" t="inlineStr">
        <is>
          <t>Wine Totes, Bags &amp; Backpacks</t>
        </is>
      </c>
      <c r="F2358" t="inlineStr">
        <is>
          <t>Flyingstar</t>
        </is>
      </c>
      <c r="G2358" t="n">
        <v>0</v>
      </c>
      <c r="H2358" t="n">
        <v>0</v>
      </c>
      <c r="I2358" t="inlineStr">
        <is>
          <t>Wine,Christmas,Valentine</t>
        </is>
      </c>
      <c r="J2358" s="29" t="n">
        <v>0</v>
      </c>
      <c r="K2358" s="30" t="n"/>
      <c r="L2358" s="29" t="n">
        <v>0</v>
      </c>
      <c r="M2358" s="29" t="n">
        <v>0</v>
      </c>
      <c r="N2358" s="2" t="n">
        <v>0</v>
      </c>
      <c r="O2358" s="31" t="n">
        <v>0</v>
      </c>
      <c r="P2358" s="32" t="n"/>
      <c r="Q2358" s="32" t="n">
        <v>0</v>
      </c>
      <c r="R2358" s="32" t="n">
        <v>0</v>
      </c>
      <c r="S2358" s="31" t="n">
        <v>0</v>
      </c>
      <c r="T2358" s="32" t="n">
        <v>0</v>
      </c>
      <c r="U2358" s="31" t="n">
        <v>0</v>
      </c>
      <c r="V2358" s="31" t="n">
        <v>0</v>
      </c>
      <c r="W2358" s="3" t="n">
        <v>0</v>
      </c>
      <c r="X2358" s="3" t="n">
        <v>0</v>
      </c>
      <c r="Y2358" s="32" t="n">
        <v>0</v>
      </c>
      <c r="Z2358" s="3" t="n">
        <v>0</v>
      </c>
      <c r="AA2358" s="32" t="n">
        <v>0</v>
      </c>
      <c r="AB2358" s="3" t="n"/>
      <c r="AC2358" s="31" t="n">
        <v>0</v>
      </c>
      <c r="AD2358" s="2" t="n">
        <v>0</v>
      </c>
      <c r="AE2358" s="2" t="n">
        <v>3</v>
      </c>
      <c r="AF2358" s="4" t="n">
        <v>3</v>
      </c>
      <c r="AG2358" s="33" t="n">
        <v>0</v>
      </c>
      <c r="AH2358" s="4" t="n">
        <v>0</v>
      </c>
      <c r="AI2358" s="34" t="n"/>
      <c r="AJ2358" s="34" t="n">
        <v>0</v>
      </c>
      <c r="AK2358" s="2" t="n">
        <v>0</v>
      </c>
      <c r="AL2358" t="inlineStr">
        <is>
          <t>Published</t>
        </is>
      </c>
    </row>
    <row r="2359">
      <c r="A2359">
        <f>HYPERLINK("https://www.walmart.com/ip/781423419", "781423419")</f>
        <v/>
      </c>
      <c r="B2359">
        <f>HYPERLINK("https://app.optiwise.ai/catalog/itemdetails/361932", "Flyingstar Mermaid Tail Blanket, Soft Flannel Fleece All Seasons Sleeping Blanket for Kids Adults, Rainbow Ombre Fish Scale Design Snuggle Blanket, Best Gifts")</f>
        <v/>
      </c>
      <c r="C2359" t="inlineStr">
        <is>
          <t>1WMMP100GN</t>
        </is>
      </c>
      <c r="D2359" t="inlineStr">
        <is>
          <t>Bedding</t>
        </is>
      </c>
      <c r="E2359" t="inlineStr">
        <is>
          <t>Throws</t>
        </is>
      </c>
      <c r="F2359" t="inlineStr">
        <is>
          <t>Flyingstar</t>
        </is>
      </c>
      <c r="G2359" t="n">
        <v>0</v>
      </c>
      <c r="H2359" t="n">
        <v>0</v>
      </c>
      <c r="I2359" t="inlineStr">
        <is>
          <t>Baby days,Optimized</t>
        </is>
      </c>
      <c r="J2359" s="29" t="n">
        <v>0</v>
      </c>
      <c r="K2359" s="30" t="n"/>
      <c r="L2359" s="29" t="n">
        <v>0</v>
      </c>
      <c r="M2359" s="29" t="n">
        <v>0</v>
      </c>
      <c r="N2359" s="2" t="n">
        <v>0</v>
      </c>
      <c r="O2359" s="31" t="n">
        <v>0</v>
      </c>
      <c r="P2359" s="32" t="n"/>
      <c r="Q2359" s="32" t="n">
        <v>0</v>
      </c>
      <c r="R2359" s="32" t="n">
        <v>0</v>
      </c>
      <c r="S2359" s="31" t="n">
        <v>0</v>
      </c>
      <c r="T2359" s="32" t="n">
        <v>0</v>
      </c>
      <c r="U2359" s="31" t="n">
        <v>0</v>
      </c>
      <c r="V2359" s="31" t="n">
        <v>0</v>
      </c>
      <c r="W2359" s="3" t="n">
        <v>0</v>
      </c>
      <c r="X2359" s="3" t="n">
        <v>0</v>
      </c>
      <c r="Y2359" s="32" t="n">
        <v>0</v>
      </c>
      <c r="Z2359" s="3" t="n">
        <v>0</v>
      </c>
      <c r="AA2359" s="32" t="n">
        <v>0</v>
      </c>
      <c r="AB2359" s="3" t="n"/>
      <c r="AC2359" s="31" t="n">
        <v>0</v>
      </c>
      <c r="AD2359" s="2" t="n">
        <v>0</v>
      </c>
      <c r="AE2359" s="2" t="n">
        <v>4</v>
      </c>
      <c r="AF2359" s="4" t="n">
        <v>4</v>
      </c>
      <c r="AG2359" s="33" t="n">
        <v>0</v>
      </c>
      <c r="AH2359" s="4" t="n">
        <v>0</v>
      </c>
      <c r="AI2359" s="34" t="n"/>
      <c r="AJ2359" s="34" t="n">
        <v>0</v>
      </c>
      <c r="AK2359" s="2" t="n">
        <v>0</v>
      </c>
      <c r="AL2359" t="inlineStr">
        <is>
          <t>Published</t>
        </is>
      </c>
    </row>
    <row r="2360">
      <c r="A2360">
        <f>HYPERLINK("https://www.walmart.com/ip/162169578", "162169578")</f>
        <v/>
      </c>
      <c r="B2360">
        <f>HYPERLINK("https://app.optiwise.ai/catalog/itemdetails/361929", "KC Caps® Cotton Twill Deluxe Super Soft Mesh Adjustable Snapback Low Profile Trucker Baseball Cap")</f>
        <v/>
      </c>
      <c r="C2360" t="inlineStr">
        <is>
          <t>KCCAPSSZK641BR/ST</t>
        </is>
      </c>
      <c r="D2360" t="inlineStr">
        <is>
          <t>Clothing</t>
        </is>
      </c>
      <c r="E2360" t="inlineStr">
        <is>
          <t>Hats</t>
        </is>
      </c>
      <c r="F2360" t="inlineStr">
        <is>
          <t>KC Caps</t>
        </is>
      </c>
      <c r="G2360" t="n">
        <v>0</v>
      </c>
      <c r="H2360" t="n">
        <v>0</v>
      </c>
      <c r="I2360" t="inlineStr">
        <is>
          <t>Optimized</t>
        </is>
      </c>
      <c r="J2360" s="29" t="n">
        <v>0</v>
      </c>
      <c r="K2360" s="30" t="n"/>
      <c r="L2360" s="29" t="n">
        <v>0</v>
      </c>
      <c r="M2360" s="29" t="n">
        <v>0</v>
      </c>
      <c r="N2360" s="2" t="n">
        <v>0</v>
      </c>
      <c r="O2360" s="31" t="n">
        <v>0</v>
      </c>
      <c r="P2360" s="32" t="n"/>
      <c r="Q2360" s="32" t="n">
        <v>0</v>
      </c>
      <c r="R2360" s="32" t="n">
        <v>0</v>
      </c>
      <c r="S2360" s="31" t="n">
        <v>0</v>
      </c>
      <c r="T2360" s="32" t="n">
        <v>0</v>
      </c>
      <c r="U2360" s="31" t="n">
        <v>0</v>
      </c>
      <c r="V2360" s="31" t="n">
        <v>0</v>
      </c>
      <c r="W2360" s="3" t="n">
        <v>0</v>
      </c>
      <c r="X2360" s="3" t="n">
        <v>0</v>
      </c>
      <c r="Y2360" s="32" t="n">
        <v>0</v>
      </c>
      <c r="Z2360" s="3" t="n">
        <v>0</v>
      </c>
      <c r="AA2360" s="32" t="n">
        <v>0</v>
      </c>
      <c r="AB2360" s="3" t="n"/>
      <c r="AC2360" s="31" t="n">
        <v>0</v>
      </c>
      <c r="AD2360" s="2" t="n">
        <v>0</v>
      </c>
      <c r="AE2360" s="2" t="n">
        <v>2</v>
      </c>
      <c r="AF2360" s="4" t="n">
        <v>2</v>
      </c>
      <c r="AG2360" s="33" t="n">
        <v>0</v>
      </c>
      <c r="AH2360" s="4" t="n">
        <v>0</v>
      </c>
      <c r="AI2360" s="34" t="n"/>
      <c r="AJ2360" s="34" t="n">
        <v>0</v>
      </c>
      <c r="AK2360" s="2" t="n">
        <v>0</v>
      </c>
      <c r="AL2360" t="inlineStr">
        <is>
          <t>Published</t>
        </is>
      </c>
    </row>
    <row r="2361">
      <c r="A2361">
        <f>HYPERLINK("https://www.walmart.com/ip/302499900", "302499900")</f>
        <v/>
      </c>
      <c r="B2361">
        <f>HYPERLINK("https://app.optiwise.ai/catalog/itemdetails/361924", "Tirrinia Snowflake Sherpa Throw Blanket 50 x 60, Super Soft Fluffy Sherpa Throw TV Blanket Decorative Blanket for Bed Couch Holidays | Catalonia series | Grey")</f>
        <v/>
      </c>
      <c r="C2361" t="inlineStr">
        <is>
          <t>1TRBF390GY-TBCB</t>
        </is>
      </c>
      <c r="D2361" t="inlineStr">
        <is>
          <t>Bedding</t>
        </is>
      </c>
      <c r="E2361" t="inlineStr">
        <is>
          <t>Throws</t>
        </is>
      </c>
      <c r="F2361" t="inlineStr">
        <is>
          <t>Tirrinia</t>
        </is>
      </c>
      <c r="G2361" t="n">
        <v>0</v>
      </c>
      <c r="H2361" t="n">
        <v>0</v>
      </c>
      <c r="I2361" t="inlineStr">
        <is>
          <t>Q2-Target,Batch 1 - TR</t>
        </is>
      </c>
      <c r="J2361" s="29" t="n">
        <v>0</v>
      </c>
      <c r="K2361" s="30" t="n"/>
      <c r="L2361" s="29" t="n">
        <v>22.98999977111816</v>
      </c>
      <c r="M2361" s="29" t="n">
        <v>0</v>
      </c>
      <c r="N2361" s="2" t="n">
        <v>0</v>
      </c>
      <c r="O2361" s="31" t="n">
        <v>0</v>
      </c>
      <c r="P2361" s="32" t="n"/>
      <c r="Q2361" s="32" t="n">
        <v>0</v>
      </c>
      <c r="R2361" s="32" t="n">
        <v>0</v>
      </c>
      <c r="S2361" s="31" t="n">
        <v>0</v>
      </c>
      <c r="T2361" s="32" t="n">
        <v>0</v>
      </c>
      <c r="U2361" s="31" t="n">
        <v>0</v>
      </c>
      <c r="V2361" s="31" t="n">
        <v>0</v>
      </c>
      <c r="W2361" s="3" t="n">
        <v>0</v>
      </c>
      <c r="X2361" s="3" t="n">
        <v>0</v>
      </c>
      <c r="Y2361" s="32" t="n">
        <v>0</v>
      </c>
      <c r="Z2361" s="3" t="n">
        <v>0</v>
      </c>
      <c r="AA2361" s="32" t="n">
        <v>0</v>
      </c>
      <c r="AB2361" s="3" t="n"/>
      <c r="AC2361" s="31" t="n">
        <v>0</v>
      </c>
      <c r="AD2361" s="2" t="n">
        <v>6</v>
      </c>
      <c r="AE2361" s="2" t="n">
        <v>22</v>
      </c>
      <c r="AF2361" s="4" t="n">
        <v>22</v>
      </c>
      <c r="AG2361" s="33" t="n">
        <v>0</v>
      </c>
      <c r="AH2361" s="4" t="n">
        <v>0</v>
      </c>
      <c r="AI2361" s="34" t="n"/>
      <c r="AJ2361" s="34" t="n">
        <v>0</v>
      </c>
      <c r="AK2361" s="2" t="n">
        <v>0</v>
      </c>
      <c r="AL2361" t="inlineStr">
        <is>
          <t>Published</t>
        </is>
      </c>
    </row>
    <row r="2362">
      <c r="A2362">
        <f>HYPERLINK("https://www.walmart.com/ip/782074121", "782074121")</f>
        <v/>
      </c>
      <c r="B2362">
        <f>HYPERLINK("https://app.optiwise.ai/catalog/itemdetails/361923", "Catalonia Mermaid Tail Blanket, Super Soft Blanket Sherpa Lined Knit with Non-slip Neck Strap, Best Gift for Girls Women Adult Teens, One Size, Grey")</f>
        <v/>
      </c>
      <c r="C2362" t="inlineStr">
        <is>
          <t>1CTMM300GY</t>
        </is>
      </c>
      <c r="D2362" t="inlineStr">
        <is>
          <t>Home Decor, Kitchen, &amp; Other</t>
        </is>
      </c>
      <c r="E2362" t="inlineStr">
        <is>
          <t>Bed Blankets</t>
        </is>
      </c>
      <c r="F2362" t="inlineStr">
        <is>
          <t>Catalonia</t>
        </is>
      </c>
      <c r="G2362" t="n">
        <v>0</v>
      </c>
      <c r="H2362" t="n">
        <v>0</v>
      </c>
      <c r="I2362" t="inlineStr">
        <is>
          <t>Batch 1 - TR</t>
        </is>
      </c>
      <c r="J2362" s="29" t="n">
        <v>0</v>
      </c>
      <c r="K2362" s="30" t="n"/>
      <c r="L2362" s="29" t="n">
        <v>0</v>
      </c>
      <c r="M2362" s="29" t="n">
        <v>0</v>
      </c>
      <c r="N2362" s="2" t="n">
        <v>0</v>
      </c>
      <c r="O2362" s="31" t="n">
        <v>0</v>
      </c>
      <c r="P2362" s="32" t="n"/>
      <c r="Q2362" s="32" t="n">
        <v>0</v>
      </c>
      <c r="R2362" s="32" t="n">
        <v>0</v>
      </c>
      <c r="S2362" s="31" t="n">
        <v>0</v>
      </c>
      <c r="T2362" s="32" t="n">
        <v>0</v>
      </c>
      <c r="U2362" s="31" t="n">
        <v>0</v>
      </c>
      <c r="V2362" s="31" t="n">
        <v>0</v>
      </c>
      <c r="W2362" s="3" t="n">
        <v>0</v>
      </c>
      <c r="X2362" s="3" t="n">
        <v>0</v>
      </c>
      <c r="Y2362" s="32" t="n">
        <v>0</v>
      </c>
      <c r="Z2362" s="3" t="n">
        <v>0</v>
      </c>
      <c r="AA2362" s="32" t="n">
        <v>0</v>
      </c>
      <c r="AB2362" s="3" t="n"/>
      <c r="AC2362" s="31" t="n">
        <v>0</v>
      </c>
      <c r="AD2362" s="2" t="n">
        <v>0</v>
      </c>
      <c r="AE2362" s="2" t="n">
        <v>0</v>
      </c>
      <c r="AF2362" s="4" t="n">
        <v>0</v>
      </c>
      <c r="AG2362" s="33" t="n">
        <v>0</v>
      </c>
      <c r="AH2362" s="4" t="n">
        <v>0</v>
      </c>
      <c r="AI2362" s="34" t="n"/>
      <c r="AJ2362" s="34" t="n">
        <v>0</v>
      </c>
      <c r="AK2362" s="2" t="n">
        <v>0</v>
      </c>
      <c r="AL2362" t="inlineStr">
        <is>
          <t>Published</t>
        </is>
      </c>
    </row>
    <row r="2363">
      <c r="A2363">
        <f>HYPERLINK("https://www.walmart.com/ip/186842737", "186842737")</f>
        <v/>
      </c>
      <c r="B2363">
        <f>HYPERLINK("https://app.optiwise.ai/catalog/itemdetails/361922", "Jennis Women Magic Scarf Multiple Style Soft Shawl Neck Warmer Head Wrap")</f>
        <v/>
      </c>
      <c r="C2363" t="inlineStr">
        <is>
          <t>MagicScarfBL</t>
        </is>
      </c>
      <c r="D2363" t="inlineStr">
        <is>
          <t>Clothing</t>
        </is>
      </c>
      <c r="E2363" t="inlineStr">
        <is>
          <t>Scarves</t>
        </is>
      </c>
      <c r="F2363" t="inlineStr">
        <is>
          <t>JenniWears</t>
        </is>
      </c>
      <c r="G2363" t="n">
        <v>0</v>
      </c>
      <c r="H2363" t="n">
        <v>0</v>
      </c>
      <c r="I2363" t="inlineStr">
        <is>
          <t>Batch 1 - TR</t>
        </is>
      </c>
      <c r="J2363" s="29" t="n">
        <v>0</v>
      </c>
      <c r="K2363" s="30" t="n"/>
      <c r="L2363" s="29" t="n">
        <v>0</v>
      </c>
      <c r="M2363" s="29" t="n">
        <v>0</v>
      </c>
      <c r="N2363" s="2" t="n">
        <v>0</v>
      </c>
      <c r="O2363" s="31" t="n">
        <v>0</v>
      </c>
      <c r="P2363" s="32" t="n"/>
      <c r="Q2363" s="32" t="n">
        <v>0</v>
      </c>
      <c r="R2363" s="32" t="n">
        <v>0</v>
      </c>
      <c r="S2363" s="31" t="n">
        <v>0</v>
      </c>
      <c r="T2363" s="32" t="n">
        <v>0</v>
      </c>
      <c r="U2363" s="31" t="n">
        <v>0</v>
      </c>
      <c r="V2363" s="31" t="n">
        <v>0</v>
      </c>
      <c r="W2363" s="3" t="n">
        <v>0</v>
      </c>
      <c r="X2363" s="3" t="n">
        <v>0</v>
      </c>
      <c r="Y2363" s="32" t="n">
        <v>0</v>
      </c>
      <c r="Z2363" s="3" t="n">
        <v>0</v>
      </c>
      <c r="AA2363" s="32" t="n">
        <v>0</v>
      </c>
      <c r="AB2363" s="3" t="n"/>
      <c r="AC2363" s="31" t="n">
        <v>0</v>
      </c>
      <c r="AD2363" s="2" t="n">
        <v>0</v>
      </c>
      <c r="AE2363" s="2" t="n">
        <v>6</v>
      </c>
      <c r="AF2363" s="4" t="n">
        <v>6</v>
      </c>
      <c r="AG2363" s="33" t="n">
        <v>0</v>
      </c>
      <c r="AH2363" s="4" t="n">
        <v>0</v>
      </c>
      <c r="AI2363" s="34" t="n"/>
      <c r="AJ2363" s="34" t="n">
        <v>0</v>
      </c>
      <c r="AK2363" s="2" t="n">
        <v>0</v>
      </c>
      <c r="AL2363" t="inlineStr">
        <is>
          <t>Published</t>
        </is>
      </c>
    </row>
    <row r="2364">
      <c r="A2364">
        <f>HYPERLINK("https://www.walmart.com/ip/483506626", "483506626")</f>
        <v/>
      </c>
      <c r="B2364">
        <f>HYPERLINK("https://app.optiwise.ai/catalog/itemdetails/361921", "American Flag Sun Cap Patriotic Sports Baseball Tennis Golf Dad Hats for Men Women by Solaris")</f>
        <v/>
      </c>
      <c r="C2364" t="inlineStr">
        <is>
          <t>1SLBC100WH</t>
        </is>
      </c>
      <c r="D2364" t="inlineStr">
        <is>
          <t>Sport &amp; Recreation Other</t>
        </is>
      </c>
      <c r="E2364" t="inlineStr">
        <is>
          <t>Golf Hats</t>
        </is>
      </c>
      <c r="F2364" t="inlineStr">
        <is>
          <t>Solaris</t>
        </is>
      </c>
      <c r="G2364" t="n">
        <v>0</v>
      </c>
      <c r="H2364" t="n">
        <v>0</v>
      </c>
      <c r="I2364" t="inlineStr">
        <is>
          <t>Batch 1 - TR</t>
        </is>
      </c>
      <c r="J2364" s="29" t="n">
        <v>0</v>
      </c>
      <c r="K2364" s="30" t="n"/>
      <c r="L2364" s="29" t="n">
        <v>0</v>
      </c>
      <c r="M2364" s="29" t="n">
        <v>0</v>
      </c>
      <c r="N2364" s="2" t="n">
        <v>0</v>
      </c>
      <c r="O2364" s="31" t="n">
        <v>0</v>
      </c>
      <c r="P2364" s="32" t="n"/>
      <c r="Q2364" s="32" t="n">
        <v>0</v>
      </c>
      <c r="R2364" s="32" t="n">
        <v>0</v>
      </c>
      <c r="S2364" s="31" t="n">
        <v>0</v>
      </c>
      <c r="T2364" s="32" t="n">
        <v>0</v>
      </c>
      <c r="U2364" s="31" t="n">
        <v>0</v>
      </c>
      <c r="V2364" s="31" t="n">
        <v>0</v>
      </c>
      <c r="W2364" s="3" t="n">
        <v>0</v>
      </c>
      <c r="X2364" s="3" t="n">
        <v>0</v>
      </c>
      <c r="Y2364" s="32" t="n">
        <v>0</v>
      </c>
      <c r="Z2364" s="3" t="n">
        <v>0</v>
      </c>
      <c r="AA2364" s="32" t="n">
        <v>0</v>
      </c>
      <c r="AB2364" s="3" t="n"/>
      <c r="AC2364" s="31" t="n">
        <v>0</v>
      </c>
      <c r="AD2364" s="2" t="n">
        <v>0</v>
      </c>
      <c r="AE2364" s="2" t="n">
        <v>9</v>
      </c>
      <c r="AF2364" s="4" t="n">
        <v>9</v>
      </c>
      <c r="AG2364" s="33" t="n">
        <v>0</v>
      </c>
      <c r="AH2364" s="4" t="n">
        <v>0</v>
      </c>
      <c r="AI2364" s="34" t="n"/>
      <c r="AJ2364" s="34" t="n">
        <v>0</v>
      </c>
      <c r="AK2364" s="2" t="n">
        <v>0</v>
      </c>
      <c r="AL2364" t="inlineStr">
        <is>
          <t>Published</t>
        </is>
      </c>
    </row>
    <row r="2365">
      <c r="A2365">
        <f>HYPERLINK("https://www.walmart.com/ip/186488087", "186488087")</f>
        <v/>
      </c>
      <c r="B2365">
        <f>HYPERLINK("https://app.optiwise.ai/catalog/itemdetails/361920", "Terra Men's Boxer Briefs, Assorted Mens Underwear Boxer Briefs with Cotton Classic Stretch, Blue/Gray, 3-Pack")</f>
        <v/>
      </c>
      <c r="C2365" t="inlineStr">
        <is>
          <t>TERRABOXERSET2-M</t>
        </is>
      </c>
      <c r="D2365" t="inlineStr">
        <is>
          <t>Clothing</t>
        </is>
      </c>
      <c r="E2365" t="inlineStr">
        <is>
          <t>Underpants</t>
        </is>
      </c>
      <c r="F2365" t="inlineStr">
        <is>
          <t>Terra</t>
        </is>
      </c>
      <c r="G2365" t="n">
        <v>0</v>
      </c>
      <c r="H2365" t="n">
        <v>0</v>
      </c>
      <c r="I2365" t="inlineStr">
        <is>
          <t>WFS,WFS Item</t>
        </is>
      </c>
      <c r="J2365" s="29" t="n">
        <v>0</v>
      </c>
      <c r="K2365" s="30" t="n"/>
      <c r="L2365" s="29" t="n">
        <v>0</v>
      </c>
      <c r="M2365" s="29" t="n">
        <v>0</v>
      </c>
      <c r="N2365" s="2" t="n">
        <v>0</v>
      </c>
      <c r="O2365" s="31" t="n">
        <v>0</v>
      </c>
      <c r="P2365" s="32" t="n"/>
      <c r="Q2365" s="32" t="n">
        <v>0</v>
      </c>
      <c r="R2365" s="32" t="n">
        <v>0</v>
      </c>
      <c r="S2365" s="31" t="n">
        <v>0</v>
      </c>
      <c r="T2365" s="32" t="n">
        <v>0</v>
      </c>
      <c r="U2365" s="31" t="n">
        <v>0</v>
      </c>
      <c r="V2365" s="31" t="n">
        <v>0</v>
      </c>
      <c r="W2365" s="3" t="n">
        <v>0</v>
      </c>
      <c r="X2365" s="3" t="n">
        <v>0</v>
      </c>
      <c r="Y2365" s="32" t="n">
        <v>0</v>
      </c>
      <c r="Z2365" s="3" t="n">
        <v>0</v>
      </c>
      <c r="AA2365" s="32" t="n">
        <v>0</v>
      </c>
      <c r="AB2365" s="3" t="n"/>
      <c r="AC2365" s="31" t="n">
        <v>0</v>
      </c>
      <c r="AD2365" s="2" t="n">
        <v>0</v>
      </c>
      <c r="AE2365" s="2" t="n">
        <v>74</v>
      </c>
      <c r="AF2365" s="4" t="n">
        <v>74</v>
      </c>
      <c r="AG2365" s="33" t="n">
        <v>0</v>
      </c>
      <c r="AH2365" s="4" t="n">
        <v>0</v>
      </c>
      <c r="AI2365" s="34" t="n"/>
      <c r="AJ2365" s="34" t="n">
        <v>0</v>
      </c>
      <c r="AK2365" s="2" t="n">
        <v>0</v>
      </c>
      <c r="AL2365" t="inlineStr">
        <is>
          <t>Published</t>
        </is>
      </c>
    </row>
    <row r="2366">
      <c r="A2366">
        <f>HYPERLINK("https://www.walmart.com/ip/312640915", "312640915")</f>
        <v/>
      </c>
      <c r="B2366">
        <f>HYPERLINK("https://app.optiwise.ai/catalog/itemdetails/361919", "Catalonia Sherpa Throw Blanket, Reversible Cozy Waffle Pattern Knitted Blanket Throw for Couch Bed 60x50, Light Grey")</f>
        <v/>
      </c>
      <c r="C2366" t="inlineStr">
        <is>
          <t>1CTBN110LG</t>
        </is>
      </c>
      <c r="D2366" t="inlineStr">
        <is>
          <t>Bedding</t>
        </is>
      </c>
      <c r="E2366" t="inlineStr">
        <is>
          <t>Throws</t>
        </is>
      </c>
      <c r="F2366" t="inlineStr">
        <is>
          <t>Catalonia</t>
        </is>
      </c>
      <c r="G2366" t="n">
        <v>4.9</v>
      </c>
      <c r="H2366" t="n">
        <v>14</v>
      </c>
      <c r="I2366" t="inlineStr">
        <is>
          <t>Q2-Target,WFS,SEM,WFS Item,Fleece Blankets</t>
        </is>
      </c>
      <c r="J2366" s="29" t="n">
        <v>0</v>
      </c>
      <c r="K2366" s="30" t="n"/>
      <c r="L2366" s="29" t="n">
        <v>0</v>
      </c>
      <c r="M2366" s="29" t="n">
        <v>0</v>
      </c>
      <c r="N2366" s="2" t="n">
        <v>0</v>
      </c>
      <c r="O2366" s="31" t="n">
        <v>0</v>
      </c>
      <c r="P2366" s="32" t="n"/>
      <c r="Q2366" s="32" t="n">
        <v>0</v>
      </c>
      <c r="R2366" s="32" t="n">
        <v>0</v>
      </c>
      <c r="S2366" s="31" t="n">
        <v>0</v>
      </c>
      <c r="T2366" s="32" t="n">
        <v>0</v>
      </c>
      <c r="U2366" s="31" t="n">
        <v>0</v>
      </c>
      <c r="V2366" s="31" t="n">
        <v>0</v>
      </c>
      <c r="W2366" s="3" t="n">
        <v>0</v>
      </c>
      <c r="X2366" s="3" t="n">
        <v>0</v>
      </c>
      <c r="Y2366" s="32" t="n">
        <v>0</v>
      </c>
      <c r="Z2366" s="3" t="n">
        <v>0</v>
      </c>
      <c r="AA2366" s="32" t="n">
        <v>0</v>
      </c>
      <c r="AB2366" s="3" t="n"/>
      <c r="AC2366" s="31" t="n">
        <v>0</v>
      </c>
      <c r="AD2366" s="2" t="n">
        <v>0</v>
      </c>
      <c r="AE2366" s="2" t="n">
        <v>49</v>
      </c>
      <c r="AF2366" s="4" t="n">
        <v>49</v>
      </c>
      <c r="AG2366" s="33" t="n">
        <v>0</v>
      </c>
      <c r="AH2366" s="4" t="n">
        <v>0</v>
      </c>
      <c r="AI2366" s="34" t="n"/>
      <c r="AJ2366" s="34" t="n">
        <v>0</v>
      </c>
      <c r="AK2366" s="2" t="n">
        <v>0</v>
      </c>
      <c r="AL2366" t="inlineStr">
        <is>
          <t>Published</t>
        </is>
      </c>
    </row>
    <row r="2367">
      <c r="A2367">
        <f>HYPERLINK("https://www.walmart.com/ip/238905338", "238905338")</f>
        <v/>
      </c>
      <c r="B2367">
        <f>HYPERLINK("https://app.optiwise.ai/catalog/itemdetails/362118", "Terra Baby Diaper Bag Backpack Large with Waterproof Stroller Straps and Zipper Pockets, Black")</f>
        <v/>
      </c>
      <c r="C2367" t="inlineStr">
        <is>
          <t>TERRABB-BP02-BK</t>
        </is>
      </c>
      <c r="D2367" t="inlineStr">
        <is>
          <t>Baby Diapering, Care, &amp; Other</t>
        </is>
      </c>
      <c r="E2367" t="inlineStr">
        <is>
          <t>Diaper Bags</t>
        </is>
      </c>
      <c r="F2367" t="inlineStr">
        <is>
          <t>Terra Baby</t>
        </is>
      </c>
      <c r="G2367" t="n">
        <v>4.2</v>
      </c>
      <c r="H2367" t="n">
        <v>15</v>
      </c>
      <c r="I2367" t="inlineStr">
        <is>
          <t>Baby days,WFS,SEM</t>
        </is>
      </c>
      <c r="J2367" s="29" t="n">
        <v>0</v>
      </c>
      <c r="K2367" s="30" t="n"/>
      <c r="L2367" s="29" t="n">
        <v>0</v>
      </c>
      <c r="M2367" s="29" t="n">
        <v>0</v>
      </c>
      <c r="N2367" s="2" t="n">
        <v>0</v>
      </c>
      <c r="O2367" s="31" t="n">
        <v>0</v>
      </c>
      <c r="P2367" s="32" t="n"/>
      <c r="Q2367" s="32" t="n">
        <v>0</v>
      </c>
      <c r="R2367" s="32" t="n">
        <v>0</v>
      </c>
      <c r="S2367" s="31" t="n">
        <v>0</v>
      </c>
      <c r="T2367" s="32" t="n">
        <v>0</v>
      </c>
      <c r="U2367" s="31" t="n">
        <v>0</v>
      </c>
      <c r="V2367" s="31" t="n">
        <v>0</v>
      </c>
      <c r="W2367" s="3" t="n">
        <v>0</v>
      </c>
      <c r="X2367" s="3" t="n">
        <v>0</v>
      </c>
      <c r="Y2367" s="32" t="n">
        <v>0</v>
      </c>
      <c r="Z2367" s="3" t="n">
        <v>0</v>
      </c>
      <c r="AA2367" s="32" t="n">
        <v>0</v>
      </c>
      <c r="AB2367" s="3" t="n"/>
      <c r="AC2367" s="31" t="n">
        <v>0</v>
      </c>
      <c r="AD2367" s="2" t="n">
        <v>0</v>
      </c>
      <c r="AE2367" s="2" t="n">
        <v>27</v>
      </c>
      <c r="AF2367" s="4" t="n">
        <v>27</v>
      </c>
      <c r="AG2367" s="33" t="n">
        <v>0</v>
      </c>
      <c r="AH2367" s="4" t="n">
        <v>0</v>
      </c>
      <c r="AI2367" s="34" t="n"/>
      <c r="AJ2367" s="34" t="n">
        <v>0</v>
      </c>
      <c r="AK2367" s="2" t="n">
        <v>0</v>
      </c>
      <c r="AL2367" t="inlineStr">
        <is>
          <t>Published</t>
        </is>
      </c>
    </row>
    <row r="2368">
      <c r="A2368">
        <f>HYPERLINK("https://www.walmart.com/ip/474235521", "474235521")</f>
        <v/>
      </c>
      <c r="B2368">
        <f>HYPERLINK("https://app.optiwise.ai/catalog/itemdetails/362318", "6 Bottle Wine Carrier,  Insulated and Padded Wine Carrying Cooler Tote Bag with Handle and Adjustable Shoulder Strap for Travel or Picnic, Wine Lover Gift, Oliver, 8.6 x 7.1 x 12.5.")</f>
        <v/>
      </c>
      <c r="C2368" t="inlineStr">
        <is>
          <t>1TRWB620OL</t>
        </is>
      </c>
      <c r="D2368" t="inlineStr">
        <is>
          <t>Home Decor, Kitchen, &amp; Other</t>
        </is>
      </c>
      <c r="E2368" t="inlineStr">
        <is>
          <t>Wine Totes, Bags &amp; Backpacks</t>
        </is>
      </c>
      <c r="F2368" t="inlineStr">
        <is>
          <t>Tirrinia</t>
        </is>
      </c>
      <c r="G2368" t="n">
        <v>5</v>
      </c>
      <c r="H2368" t="n">
        <v>1</v>
      </c>
      <c r="I2368" t="inlineStr">
        <is>
          <t>Wine,Christmas,WFS,Wine WFS,Valentine,WFS Item,Lily Brand Camp</t>
        </is>
      </c>
      <c r="J2368" s="29" t="n">
        <v>-3</v>
      </c>
      <c r="K2368" s="30" t="n"/>
      <c r="L2368" s="29" t="n">
        <v>24.98999977111816</v>
      </c>
      <c r="M2368" s="29" t="n">
        <v>0</v>
      </c>
      <c r="N2368" s="2" t="n">
        <v>0</v>
      </c>
      <c r="O2368" s="31" t="n">
        <v>14.02000000000001</v>
      </c>
      <c r="P2368" s="32" t="n">
        <v>0.0017</v>
      </c>
      <c r="Q2368" s="32" t="n">
        <v>-4.6733</v>
      </c>
      <c r="R2368" s="32" t="n">
        <v>0.0852</v>
      </c>
      <c r="S2368" s="31" t="n">
        <v>3.07</v>
      </c>
      <c r="T2368" s="32" t="n">
        <v>0.33</v>
      </c>
      <c r="U2368" s="31" t="n">
        <v>42.98</v>
      </c>
      <c r="V2368" s="31" t="n">
        <v>42.98</v>
      </c>
      <c r="W2368" s="3" t="n">
        <v>50728</v>
      </c>
      <c r="X2368" s="3" t="n">
        <v>36</v>
      </c>
      <c r="Y2368" s="32" t="n">
        <v>0.0007</v>
      </c>
      <c r="Z2368" s="3" t="n">
        <v>2</v>
      </c>
      <c r="AA2368" s="32" t="n">
        <v>0.0556</v>
      </c>
      <c r="AB2368" s="3" t="inlineStr">
        <is>
          <t>All Items_Auto_Optiwise_24,Auto Campaign_Vinay</t>
        </is>
      </c>
      <c r="AC2368" s="31" t="n">
        <v>0.39</v>
      </c>
      <c r="AD2368" s="2" t="n">
        <v>9</v>
      </c>
      <c r="AE2368" s="2" t="n">
        <v>66</v>
      </c>
      <c r="AF2368" s="4" t="n">
        <v>30</v>
      </c>
      <c r="AG2368" s="33" t="n">
        <v>-45.98</v>
      </c>
      <c r="AH2368" s="4" t="n">
        <v>-2</v>
      </c>
      <c r="AI2368" s="34" t="n">
        <v>-0.0667</v>
      </c>
      <c r="AJ2368" s="34" t="n">
        <v>15.3267</v>
      </c>
      <c r="AK2368" s="2" t="n">
        <v>0</v>
      </c>
      <c r="AL2368" t="inlineStr">
        <is>
          <t>Published</t>
        </is>
      </c>
    </row>
    <row r="2369">
      <c r="A2369">
        <f>HYPERLINK("https://www.walmart.com/ip/415701197", "415701197")</f>
        <v/>
      </c>
      <c r="B2369">
        <f>HYPERLINK("https://app.optiwise.ai/catalog/itemdetails/362581", "Solaris Sun Hats UV Protection Wide Brim Hat Unisex Adult Multicolor")</f>
        <v/>
      </c>
      <c r="C2369" t="inlineStr">
        <is>
          <t>1SLSH910GN</t>
        </is>
      </c>
      <c r="D2369" t="inlineStr">
        <is>
          <t>Clothing</t>
        </is>
      </c>
      <c r="E2369" t="inlineStr">
        <is>
          <t>Hats</t>
        </is>
      </c>
      <c r="F2369" t="inlineStr">
        <is>
          <t>Solaris</t>
        </is>
      </c>
      <c r="G2369" t="n">
        <v>4.5</v>
      </c>
      <c r="H2369" t="n">
        <v>15</v>
      </c>
      <c r="I2369" t="inlineStr">
        <is>
          <t>Hats,Batch 1 - TR</t>
        </is>
      </c>
      <c r="J2369" s="29" t="n">
        <v>-9.99</v>
      </c>
      <c r="K2369" s="30" t="n">
        <v>-0.0001</v>
      </c>
      <c r="L2369" s="29" t="n">
        <v>19.97999954223633</v>
      </c>
      <c r="M2369" s="29" t="n">
        <v>0</v>
      </c>
      <c r="N2369" s="2" t="n">
        <v>-1</v>
      </c>
      <c r="O2369" s="31" t="n">
        <v>0</v>
      </c>
      <c r="P2369" s="32" t="n"/>
      <c r="Q2369" s="32" t="n">
        <v>0</v>
      </c>
      <c r="R2369" s="32" t="n">
        <v>0</v>
      </c>
      <c r="S2369" s="31" t="n">
        <v>0</v>
      </c>
      <c r="T2369" s="32" t="n">
        <v>0</v>
      </c>
      <c r="U2369" s="31" t="n">
        <v>0</v>
      </c>
      <c r="V2369" s="31" t="n">
        <v>0</v>
      </c>
      <c r="W2369" s="3" t="n">
        <v>0</v>
      </c>
      <c r="X2369" s="3" t="n">
        <v>0</v>
      </c>
      <c r="Y2369" s="32" t="n">
        <v>0</v>
      </c>
      <c r="Z2369" s="3" t="n">
        <v>0</v>
      </c>
      <c r="AA2369" s="32" t="n">
        <v>0</v>
      </c>
      <c r="AB2369" s="3" t="n"/>
      <c r="AC2369" s="31" t="n">
        <v>0</v>
      </c>
      <c r="AD2369" s="2" t="n">
        <v>0</v>
      </c>
      <c r="AE2369" s="2" t="n">
        <v>46</v>
      </c>
      <c r="AF2369" s="4" t="n">
        <v>46</v>
      </c>
      <c r="AG2369" s="33" t="n">
        <v>-9.99</v>
      </c>
      <c r="AH2369" s="4" t="n">
        <v>-1</v>
      </c>
      <c r="AI2369" s="34" t="n">
        <v>-0.0217</v>
      </c>
      <c r="AJ2369" s="34" t="n">
        <v>1</v>
      </c>
      <c r="AK2369" s="2" t="n">
        <v>0</v>
      </c>
      <c r="AL2369" t="inlineStr">
        <is>
          <t>Published</t>
        </is>
      </c>
    </row>
    <row r="2370">
      <c r="A2370">
        <f>HYPERLINK("https://www.walmart.com/ip/388398607", "388398607")</f>
        <v/>
      </c>
      <c r="B2370">
        <f>HYPERLINK("https://app.optiwise.ai/catalog/itemdetails/359248", "Solaris Women’s Floppy Sun Hat, Wide Brim for Summer Beach UV Protection, Foldable for Gardening and Hiking, Black")</f>
        <v/>
      </c>
      <c r="C2370" t="inlineStr">
        <is>
          <t>1SLSH101BK</t>
        </is>
      </c>
      <c r="D2370" t="inlineStr">
        <is>
          <t>Clothing</t>
        </is>
      </c>
      <c r="E2370" t="inlineStr">
        <is>
          <t>Hats</t>
        </is>
      </c>
      <c r="F2370" t="inlineStr">
        <is>
          <t>Solaris</t>
        </is>
      </c>
      <c r="G2370" t="n">
        <v>4</v>
      </c>
      <c r="H2370" t="n">
        <v>8</v>
      </c>
      <c r="I2370" t="inlineStr">
        <is>
          <t>Hats,Batch 1 - TR</t>
        </is>
      </c>
      <c r="J2370" s="29" t="n">
        <v>-11.99</v>
      </c>
      <c r="K2370" s="30" t="n">
        <v>-0.0001</v>
      </c>
      <c r="L2370" s="29" t="n">
        <v>11.98999977111816</v>
      </c>
      <c r="M2370" s="29" t="n">
        <v>0</v>
      </c>
      <c r="N2370" s="2" t="n">
        <v>-1</v>
      </c>
      <c r="O2370" s="31" t="n">
        <v>0</v>
      </c>
      <c r="P2370" s="32" t="n"/>
      <c r="Q2370" s="32" t="n">
        <v>0</v>
      </c>
      <c r="R2370" s="32" t="n">
        <v>0</v>
      </c>
      <c r="S2370" s="31" t="n">
        <v>0</v>
      </c>
      <c r="T2370" s="32" t="n">
        <v>0</v>
      </c>
      <c r="U2370" s="31" t="n">
        <v>0</v>
      </c>
      <c r="V2370" s="31" t="n">
        <v>0</v>
      </c>
      <c r="W2370" s="3" t="n">
        <v>0</v>
      </c>
      <c r="X2370" s="3" t="n">
        <v>0</v>
      </c>
      <c r="Y2370" s="32" t="n">
        <v>0</v>
      </c>
      <c r="Z2370" s="3" t="n">
        <v>0</v>
      </c>
      <c r="AA2370" s="32" t="n">
        <v>0</v>
      </c>
      <c r="AB2370" s="3" t="n"/>
      <c r="AC2370" s="31" t="n">
        <v>0</v>
      </c>
      <c r="AD2370" s="2" t="n">
        <v>0</v>
      </c>
      <c r="AE2370" s="2" t="n">
        <v>24</v>
      </c>
      <c r="AF2370" s="4" t="n">
        <v>24</v>
      </c>
      <c r="AG2370" s="33" t="n">
        <v>-11.99</v>
      </c>
      <c r="AH2370" s="4" t="n">
        <v>-1</v>
      </c>
      <c r="AI2370" s="34" t="n">
        <v>-0.0417</v>
      </c>
      <c r="AJ2370" s="34" t="n">
        <v>1</v>
      </c>
      <c r="AK2370" s="2" t="n">
        <v>0</v>
      </c>
      <c r="AL2370" t="inlineStr">
        <is>
          <t>Published</t>
        </is>
      </c>
    </row>
    <row r="2371">
      <c r="A2371">
        <f>HYPERLINK("https://www.walmart.com/ip/889537466", "889537466")</f>
        <v/>
      </c>
      <c r="B2371">
        <f>HYPERLINK("https://app.optiwise.ai/catalog/itemdetails/358734", "Flyingstar Men's Wide Brim Sun Hat for Hiking, Fishing and Safari, Adult Male, Gray")</f>
        <v/>
      </c>
      <c r="C2371" t="inlineStr">
        <is>
          <t>1WMCH100GY</t>
        </is>
      </c>
      <c r="D2371" t="inlineStr">
        <is>
          <t>Clothing</t>
        </is>
      </c>
      <c r="E2371" t="inlineStr">
        <is>
          <t>Hats</t>
        </is>
      </c>
      <c r="F2371" t="inlineStr">
        <is>
          <t>Flyingstar</t>
        </is>
      </c>
      <c r="G2371" t="n">
        <v>4.7</v>
      </c>
      <c r="H2371" t="n">
        <v>15</v>
      </c>
      <c r="I2371" t="inlineStr">
        <is>
          <t>Optimized,Hats</t>
        </is>
      </c>
      <c r="J2371" s="29" t="n">
        <v>-11.99</v>
      </c>
      <c r="K2371" s="30" t="n">
        <v>-0.0001</v>
      </c>
      <c r="L2371" s="29" t="n">
        <v>23.97999954223633</v>
      </c>
      <c r="M2371" s="29" t="n">
        <v>0</v>
      </c>
      <c r="N2371" s="2" t="n">
        <v>-1</v>
      </c>
      <c r="O2371" s="31" t="n">
        <v>0</v>
      </c>
      <c r="P2371" s="32" t="n"/>
      <c r="Q2371" s="32" t="n">
        <v>0</v>
      </c>
      <c r="R2371" s="32" t="n">
        <v>0.0912</v>
      </c>
      <c r="S2371" s="31" t="n">
        <v>0</v>
      </c>
      <c r="T2371" s="32" t="n">
        <v>0</v>
      </c>
      <c r="U2371" s="31" t="n">
        <v>0</v>
      </c>
      <c r="V2371" s="31" t="n">
        <v>0</v>
      </c>
      <c r="W2371" s="3" t="n">
        <v>0</v>
      </c>
      <c r="X2371" s="3" t="n">
        <v>0</v>
      </c>
      <c r="Y2371" s="32" t="n">
        <v>0</v>
      </c>
      <c r="Z2371" s="3" t="n">
        <v>0</v>
      </c>
      <c r="AA2371" s="32" t="n">
        <v>0</v>
      </c>
      <c r="AB2371" s="3" t="n"/>
      <c r="AC2371" s="31" t="n">
        <v>0</v>
      </c>
      <c r="AD2371" s="2" t="n">
        <v>0</v>
      </c>
      <c r="AE2371" s="2" t="n">
        <v>22</v>
      </c>
      <c r="AF2371" s="4" t="n">
        <v>22</v>
      </c>
      <c r="AG2371" s="33" t="n">
        <v>-11.99</v>
      </c>
      <c r="AH2371" s="4" t="n">
        <v>-1</v>
      </c>
      <c r="AI2371" s="34" t="n">
        <v>-0.0455</v>
      </c>
      <c r="AJ2371" s="34" t="n">
        <v>1</v>
      </c>
      <c r="AK2371" s="2" t="n">
        <v>0</v>
      </c>
      <c r="AL2371" t="inlineStr">
        <is>
          <t>Published</t>
        </is>
      </c>
    </row>
    <row r="2372">
      <c r="A2372">
        <f>HYPERLINK("https://www.walmart.com/ip/367613983", "367613983")</f>
        <v/>
      </c>
      <c r="B2372">
        <f>HYPERLINK("https://app.optiwise.ai/catalog/itemdetails/361125", "Oversized Hooded Poncho Cape, Casual Hoodie Sweatshirt, Batwing Coat Pullover | Light Weight, Cozy, Comfortable, Roomy | for Adults Women Men Teens")</f>
        <v/>
      </c>
      <c r="C2372" t="inlineStr">
        <is>
          <t>1WMHD540S1GY</t>
        </is>
      </c>
      <c r="D2372" t="inlineStr">
        <is>
          <t>Clothing</t>
        </is>
      </c>
      <c r="E2372" t="inlineStr">
        <is>
          <t>Sweatshirts &amp; Hoodies</t>
        </is>
      </c>
      <c r="F2372" t="inlineStr">
        <is>
          <t>Flyingstar</t>
        </is>
      </c>
      <c r="G2372" t="n">
        <v>0</v>
      </c>
      <c r="H2372" t="n">
        <v>0</v>
      </c>
      <c r="I2372" t="inlineStr">
        <is>
          <t>Hoodie ForAdult,Optimized</t>
        </is>
      </c>
      <c r="J2372" s="29" t="n">
        <v>-14.99</v>
      </c>
      <c r="K2372" s="30" t="n">
        <v>-0.0001</v>
      </c>
      <c r="L2372" s="29" t="n">
        <v>29.97999954223633</v>
      </c>
      <c r="M2372" s="29" t="n">
        <v>0</v>
      </c>
      <c r="N2372" s="2" t="n">
        <v>-1</v>
      </c>
      <c r="O2372" s="31" t="n">
        <v>0</v>
      </c>
      <c r="P2372" s="32" t="n"/>
      <c r="Q2372" s="32" t="n">
        <v>0</v>
      </c>
      <c r="R2372" s="32" t="n">
        <v>0.1531</v>
      </c>
      <c r="S2372" s="31" t="n">
        <v>0</v>
      </c>
      <c r="T2372" s="32" t="n">
        <v>0</v>
      </c>
      <c r="U2372" s="31" t="n">
        <v>0</v>
      </c>
      <c r="V2372" s="31" t="n">
        <v>0</v>
      </c>
      <c r="W2372" s="3" t="n">
        <v>0</v>
      </c>
      <c r="X2372" s="3" t="n">
        <v>0</v>
      </c>
      <c r="Y2372" s="32" t="n">
        <v>0</v>
      </c>
      <c r="Z2372" s="3" t="n">
        <v>0</v>
      </c>
      <c r="AA2372" s="32" t="n">
        <v>0</v>
      </c>
      <c r="AB2372" s="3" t="n"/>
      <c r="AC2372" s="31" t="n">
        <v>0</v>
      </c>
      <c r="AD2372" s="2" t="n">
        <v>9</v>
      </c>
      <c r="AE2372" s="2" t="n">
        <v>14</v>
      </c>
      <c r="AF2372" s="4" t="n">
        <v>14</v>
      </c>
      <c r="AG2372" s="33" t="n">
        <v>-14.99</v>
      </c>
      <c r="AH2372" s="4" t="n">
        <v>-1</v>
      </c>
      <c r="AI2372" s="34" t="n">
        <v>-0.07140000000000001</v>
      </c>
      <c r="AJ2372" s="34" t="n">
        <v>1</v>
      </c>
      <c r="AK2372" s="2" t="n">
        <v>0</v>
      </c>
      <c r="AL2372" t="inlineStr">
        <is>
          <t>Published</t>
        </is>
      </c>
    </row>
    <row r="2373">
      <c r="A2373">
        <f>HYPERLINK("https://www.walmart.com/ip/389899458", "389899458")</f>
        <v/>
      </c>
      <c r="B2373">
        <f>HYPERLINK("https://app.optiwise.ai/catalog/itemdetails/359110", "Catalonia Fleece Wearable Blanket Poncho for Adult Women Men, Wrap Blanket Cape with Pocket | Warm, Soft, Cozy, Snuggly, Comfort Gift, No Sleeves | All-Season, Gift Idea")</f>
        <v/>
      </c>
      <c r="C2373" t="inlineStr">
        <is>
          <t>1CTBP200PK</t>
        </is>
      </c>
      <c r="D2373" t="inlineStr">
        <is>
          <t>Bedding</t>
        </is>
      </c>
      <c r="E2373" t="inlineStr">
        <is>
          <t>Throws</t>
        </is>
      </c>
      <c r="F2373" t="inlineStr">
        <is>
          <t>Catalonia</t>
        </is>
      </c>
      <c r="G2373" t="n">
        <v>5</v>
      </c>
      <c r="H2373" t="n">
        <v>20</v>
      </c>
      <c r="I2373" t="inlineStr">
        <is>
          <t>Q2-Target,Hero 5 Holidays,WFS,WFS Item</t>
        </is>
      </c>
      <c r="J2373" s="29" t="n">
        <v>-23.99</v>
      </c>
      <c r="K2373" s="30" t="n">
        <v>-0.0002</v>
      </c>
      <c r="L2373" s="29" t="n">
        <v>23.98999977111816</v>
      </c>
      <c r="M2373" s="29" t="n">
        <v>0</v>
      </c>
      <c r="N2373" s="2" t="n">
        <v>-1</v>
      </c>
      <c r="O2373" s="31" t="n">
        <v>0</v>
      </c>
      <c r="P2373" s="32" t="n"/>
      <c r="Q2373" s="32" t="n">
        <v>0</v>
      </c>
      <c r="R2373" s="32" t="n">
        <v>0</v>
      </c>
      <c r="S2373" s="31" t="n">
        <v>0</v>
      </c>
      <c r="T2373" s="32" t="n">
        <v>0</v>
      </c>
      <c r="U2373" s="31" t="n">
        <v>0</v>
      </c>
      <c r="V2373" s="31" t="n">
        <v>0</v>
      </c>
      <c r="W2373" s="3" t="n">
        <v>1</v>
      </c>
      <c r="X2373" s="3" t="n">
        <v>0</v>
      </c>
      <c r="Y2373" s="32" t="n">
        <v>0</v>
      </c>
      <c r="Z2373" s="3" t="n">
        <v>0</v>
      </c>
      <c r="AA2373" s="32" t="n">
        <v>0</v>
      </c>
      <c r="AB2373" s="3" t="inlineStr">
        <is>
          <t>Snuggly_Auto</t>
        </is>
      </c>
      <c r="AC2373" s="31" t="n">
        <v>0</v>
      </c>
      <c r="AD2373" s="2" t="n">
        <v>8</v>
      </c>
      <c r="AE2373" s="2" t="n">
        <v>13</v>
      </c>
      <c r="AF2373" s="4" t="n">
        <v>13</v>
      </c>
      <c r="AG2373" s="33" t="n">
        <v>-23.99</v>
      </c>
      <c r="AH2373" s="4" t="n">
        <v>-1</v>
      </c>
      <c r="AI2373" s="34" t="n">
        <v>-0.0769</v>
      </c>
      <c r="AJ2373" s="34" t="n">
        <v>1</v>
      </c>
      <c r="AK2373" s="2" t="n">
        <v>0</v>
      </c>
      <c r="AL2373" t="inlineStr">
        <is>
          <t>Published</t>
        </is>
      </c>
    </row>
    <row r="2374">
      <c r="A2374">
        <f>HYPERLINK("https://www.walmart.com/ip/991203599", "991203599")</f>
        <v/>
      </c>
      <c r="B2374">
        <f>HYPERLINK("https://app.optiwise.ai/catalog/itemdetails/360290", "Catalonia Wearable Blanket with Sleeves and Pocket, Cozy Soft Fleece Micro Plush Wrap Adult Snuggie Blanket Robe for Women Men, Makes a Great Gift for Holidays, Green")</f>
        <v/>
      </c>
      <c r="C2374" t="inlineStr">
        <is>
          <t>1CTSN100GN</t>
        </is>
      </c>
      <c r="D2374" t="inlineStr">
        <is>
          <t>Bedding</t>
        </is>
      </c>
      <c r="E2374" t="inlineStr">
        <is>
          <t>Throws</t>
        </is>
      </c>
      <c r="F2374" t="inlineStr">
        <is>
          <t>Catalonia</t>
        </is>
      </c>
      <c r="G2374" t="n">
        <v>5</v>
      </c>
      <c r="H2374" t="n">
        <v>1</v>
      </c>
      <c r="I2374" t="inlineStr">
        <is>
          <t>WFS,WFS Item</t>
        </is>
      </c>
      <c r="J2374" s="29" t="n">
        <v>-23.99</v>
      </c>
      <c r="K2374" s="30" t="n">
        <v>-0.0002</v>
      </c>
      <c r="L2374" s="29" t="n">
        <v>23.98999977111816</v>
      </c>
      <c r="M2374" s="29" t="n">
        <v>0</v>
      </c>
      <c r="N2374" s="2" t="n">
        <v>-1</v>
      </c>
      <c r="O2374" s="31" t="n">
        <v>0</v>
      </c>
      <c r="P2374" s="32" t="n"/>
      <c r="Q2374" s="32" t="n">
        <v>0</v>
      </c>
      <c r="R2374" s="32" t="n">
        <v>0</v>
      </c>
      <c r="S2374" s="31" t="n">
        <v>0</v>
      </c>
      <c r="T2374" s="32" t="n">
        <v>0</v>
      </c>
      <c r="U2374" s="31" t="n">
        <v>0</v>
      </c>
      <c r="V2374" s="31" t="n">
        <v>0</v>
      </c>
      <c r="W2374" s="3" t="n">
        <v>0</v>
      </c>
      <c r="X2374" s="3" t="n">
        <v>0</v>
      </c>
      <c r="Y2374" s="32" t="n">
        <v>0</v>
      </c>
      <c r="Z2374" s="3" t="n">
        <v>0</v>
      </c>
      <c r="AA2374" s="32" t="n">
        <v>0</v>
      </c>
      <c r="AB2374" s="3" t="n"/>
      <c r="AC2374" s="31" t="n">
        <v>0</v>
      </c>
      <c r="AD2374" s="2" t="n">
        <v>80</v>
      </c>
      <c r="AE2374" s="2" t="n">
        <v>37</v>
      </c>
      <c r="AF2374" s="4" t="n">
        <v>43</v>
      </c>
      <c r="AG2374" s="33" t="n">
        <v>-23.99</v>
      </c>
      <c r="AH2374" s="4" t="n">
        <v>-1</v>
      </c>
      <c r="AI2374" s="34" t="n">
        <v>-0.0233</v>
      </c>
      <c r="AJ2374" s="34" t="n">
        <v>1</v>
      </c>
      <c r="AK2374" s="2" t="n">
        <v>0</v>
      </c>
      <c r="AL2374" t="inlineStr">
        <is>
          <t>Published</t>
        </is>
      </c>
    </row>
    <row r="2375">
      <c r="A2375">
        <f>HYPERLINK("https://www.walmart.com/ip/972319326", "972319326")</f>
        <v/>
      </c>
      <c r="B2375">
        <f>HYPERLINK("https://app.optiwise.ai/catalog/itemdetails/361481", "Fleece Blanket Wearable with Sleeves &amp; Foot pockets for Men and Women, Micro Plush Wrap Sleeved Throw Blanket Robe Multi-Colors 75”x53” by Catalonia")</f>
        <v/>
      </c>
      <c r="C2375" t="inlineStr">
        <is>
          <t>1CTSN101WN</t>
        </is>
      </c>
      <c r="D2375" t="inlineStr">
        <is>
          <t>Bedding</t>
        </is>
      </c>
      <c r="E2375" t="inlineStr">
        <is>
          <t>Throws</t>
        </is>
      </c>
      <c r="F2375" t="inlineStr">
        <is>
          <t>Catalonia</t>
        </is>
      </c>
      <c r="G2375" t="n">
        <v>4.9</v>
      </c>
      <c r="H2375" t="n">
        <v>9</v>
      </c>
      <c r="I2375" t="inlineStr">
        <is>
          <t>WFS,Coupon_Discount,WFS Item,Fleece Blankets</t>
        </is>
      </c>
      <c r="J2375" s="29" t="n">
        <v>-25.99</v>
      </c>
      <c r="K2375" s="30" t="n">
        <v>-0.0002</v>
      </c>
      <c r="L2375" s="29" t="n">
        <v>25.98999977111816</v>
      </c>
      <c r="M2375" s="29" t="n">
        <v>0</v>
      </c>
      <c r="N2375" s="2" t="n">
        <v>-1</v>
      </c>
      <c r="O2375" s="31" t="n">
        <v>0</v>
      </c>
      <c r="P2375" s="32" t="n"/>
      <c r="Q2375" s="32" t="n">
        <v>0</v>
      </c>
      <c r="R2375" s="32" t="n">
        <v>0</v>
      </c>
      <c r="S2375" s="31" t="n">
        <v>0</v>
      </c>
      <c r="T2375" s="32" t="n">
        <v>0</v>
      </c>
      <c r="U2375" s="31" t="n">
        <v>0</v>
      </c>
      <c r="V2375" s="31" t="n">
        <v>0</v>
      </c>
      <c r="W2375" s="3" t="n">
        <v>0</v>
      </c>
      <c r="X2375" s="3" t="n">
        <v>0</v>
      </c>
      <c r="Y2375" s="32" t="n">
        <v>0</v>
      </c>
      <c r="Z2375" s="3" t="n">
        <v>0</v>
      </c>
      <c r="AA2375" s="32" t="n">
        <v>0</v>
      </c>
      <c r="AB2375" s="3" t="n"/>
      <c r="AC2375" s="31" t="n">
        <v>0</v>
      </c>
      <c r="AD2375" s="2" t="n">
        <v>19</v>
      </c>
      <c r="AE2375" s="2" t="n">
        <v>54</v>
      </c>
      <c r="AF2375" s="4" t="n">
        <v>54</v>
      </c>
      <c r="AG2375" s="33" t="n">
        <v>-25.99</v>
      </c>
      <c r="AH2375" s="4" t="n">
        <v>-1</v>
      </c>
      <c r="AI2375" s="34" t="n">
        <v>-0.0185</v>
      </c>
      <c r="AJ2375" s="34" t="n">
        <v>1</v>
      </c>
      <c r="AK2375" s="2" t="n">
        <v>0</v>
      </c>
      <c r="AL2375" t="inlineStr">
        <is>
          <t>Published</t>
        </is>
      </c>
    </row>
    <row r="2376">
      <c r="A2376">
        <f>HYPERLINK("https://www.walmart.com/ip/537782764", "537782764")</f>
        <v/>
      </c>
      <c r="B2376">
        <f>HYPERLINK("https://app.optiwise.ai/catalog/itemdetails/417447", "Tirrinia Super Soft Fluffy Sherpa Christmas Throw Blanket, 50 x 60, Snow Man Pattern, Grey")</f>
        <v/>
      </c>
      <c r="C2376" t="inlineStr">
        <is>
          <t>1TRBF571SM-TBCB</t>
        </is>
      </c>
      <c r="D2376" t="inlineStr">
        <is>
          <t>Bedding</t>
        </is>
      </c>
      <c r="E2376" t="inlineStr">
        <is>
          <t>Throws</t>
        </is>
      </c>
      <c r="F2376" t="inlineStr">
        <is>
          <t>Tirrinia</t>
        </is>
      </c>
      <c r="G2376" t="n">
        <v>0</v>
      </c>
      <c r="H2376" t="n">
        <v>0</v>
      </c>
      <c r="I2376" t="inlineStr">
        <is>
          <t>Christmas,Optimized</t>
        </is>
      </c>
      <c r="J2376" s="29" t="n">
        <v>-25.99</v>
      </c>
      <c r="K2376" s="30" t="n">
        <v>-0.0002</v>
      </c>
      <c r="L2376" s="29" t="n">
        <v>25.98999977111816</v>
      </c>
      <c r="M2376" s="29" t="n">
        <v>0</v>
      </c>
      <c r="N2376" s="2" t="n">
        <v>-1</v>
      </c>
      <c r="O2376" s="31" t="n">
        <v>0</v>
      </c>
      <c r="P2376" s="32" t="n"/>
      <c r="Q2376" s="32" t="n">
        <v>0</v>
      </c>
      <c r="R2376" s="32" t="n">
        <v>0</v>
      </c>
      <c r="S2376" s="31" t="n">
        <v>0</v>
      </c>
      <c r="T2376" s="32" t="n">
        <v>0</v>
      </c>
      <c r="U2376" s="31" t="n">
        <v>0</v>
      </c>
      <c r="V2376" s="31" t="n">
        <v>0</v>
      </c>
      <c r="W2376" s="3" t="n">
        <v>0</v>
      </c>
      <c r="X2376" s="3" t="n">
        <v>0</v>
      </c>
      <c r="Y2376" s="32" t="n">
        <v>0</v>
      </c>
      <c r="Z2376" s="3" t="n">
        <v>0</v>
      </c>
      <c r="AA2376" s="32" t="n">
        <v>0</v>
      </c>
      <c r="AB2376" s="3" t="n"/>
      <c r="AC2376" s="31" t="n">
        <v>0</v>
      </c>
      <c r="AD2376" s="2" t="n">
        <v>0</v>
      </c>
      <c r="AE2376" s="2" t="n">
        <v>1</v>
      </c>
      <c r="AF2376" s="4" t="n">
        <v>1</v>
      </c>
      <c r="AG2376" s="33" t="n">
        <v>-25.99</v>
      </c>
      <c r="AH2376" s="4" t="n">
        <v>-1</v>
      </c>
      <c r="AI2376" s="34" t="n">
        <v>-1</v>
      </c>
      <c r="AJ2376" s="34" t="n">
        <v>1</v>
      </c>
      <c r="AK2376" s="2" t="n">
        <v>0</v>
      </c>
      <c r="AL2376" t="inlineStr">
        <is>
          <t>Published</t>
        </is>
      </c>
    </row>
    <row r="2377">
      <c r="A2377">
        <f>HYPERLINK("https://www.walmart.com/ip/309312535", "309312535")</f>
        <v/>
      </c>
      <c r="B2377">
        <f>HYPERLINK("https://app.optiwise.ai/catalog/itemdetails/360554", "Kids Mermaid Tail Blanket, Pillow Cushion,Super Soft Coral Plush Fleece Mermaids Snuggle Sleeping Bag for Girls Teens Children as Gifts 60x21 by Catalonia")</f>
        <v/>
      </c>
      <c r="C2377" t="inlineStr">
        <is>
          <t>1CTMP100LB</t>
        </is>
      </c>
      <c r="D2377" t="inlineStr">
        <is>
          <t>Home Decor, Kitchen, &amp; Other</t>
        </is>
      </c>
      <c r="E2377" t="inlineStr">
        <is>
          <t>Bed Blankets</t>
        </is>
      </c>
      <c r="F2377" t="inlineStr">
        <is>
          <t>Catalonia</t>
        </is>
      </c>
      <c r="G2377" t="n">
        <v>5</v>
      </c>
      <c r="H2377" t="n">
        <v>2</v>
      </c>
      <c r="I2377" t="inlineStr">
        <is>
          <t>Baby days,WFS,WFS Item</t>
        </is>
      </c>
      <c r="J2377" s="29" t="n">
        <v>-29.96</v>
      </c>
      <c r="K2377" s="30" t="n">
        <v>-0.0003</v>
      </c>
      <c r="L2377" s="29" t="n">
        <v>29.95999908447266</v>
      </c>
      <c r="M2377" s="29" t="n">
        <v>0</v>
      </c>
      <c r="N2377" s="2" t="n">
        <v>-2</v>
      </c>
      <c r="O2377" s="31" t="n">
        <v>0</v>
      </c>
      <c r="P2377" s="32" t="n"/>
      <c r="Q2377" s="32" t="n">
        <v>0</v>
      </c>
      <c r="R2377" s="32" t="n">
        <v>0.0536</v>
      </c>
      <c r="S2377" s="31" t="n">
        <v>0</v>
      </c>
      <c r="T2377" s="32" t="n">
        <v>0</v>
      </c>
      <c r="U2377" s="31" t="n">
        <v>0</v>
      </c>
      <c r="V2377" s="31" t="n">
        <v>0</v>
      </c>
      <c r="W2377" s="3" t="n">
        <v>0</v>
      </c>
      <c r="X2377" s="3" t="n">
        <v>0</v>
      </c>
      <c r="Y2377" s="32" t="n">
        <v>0</v>
      </c>
      <c r="Z2377" s="3" t="n">
        <v>0</v>
      </c>
      <c r="AA2377" s="32" t="n">
        <v>0</v>
      </c>
      <c r="AB2377" s="3" t="n"/>
      <c r="AC2377" s="31" t="n">
        <v>0</v>
      </c>
      <c r="AD2377" s="2" t="n">
        <v>12</v>
      </c>
      <c r="AE2377" s="2" t="n">
        <v>102</v>
      </c>
      <c r="AF2377" s="4" t="n">
        <v>102</v>
      </c>
      <c r="AG2377" s="33" t="n">
        <v>-29.96</v>
      </c>
      <c r="AH2377" s="4" t="n">
        <v>-2</v>
      </c>
      <c r="AI2377" s="34" t="n">
        <v>-0.0196</v>
      </c>
      <c r="AJ2377" s="34" t="n">
        <v>1</v>
      </c>
      <c r="AK2377" s="2" t="n">
        <v>0</v>
      </c>
      <c r="AL2377" t="inlineStr">
        <is>
          <t>Published</t>
        </is>
      </c>
    </row>
    <row r="2378">
      <c r="A2378">
        <f>HYPERLINK("https://www.walmart.com/ip/128458122", "128458122")</f>
        <v/>
      </c>
      <c r="B2378">
        <f>HYPERLINK("https://app.optiwise.ai/catalog/itemdetails/360575", "Deluxe Stylish Microplush Sleeved Fleece Blanket Soft Home Sofa Snuggie")</f>
        <v/>
      </c>
      <c r="C2378" t="inlineStr">
        <is>
          <t>k3000-pink</t>
        </is>
      </c>
      <c r="D2378" t="inlineStr">
        <is>
          <t>Clothing</t>
        </is>
      </c>
      <c r="E2378" t="inlineStr">
        <is>
          <t>Sleepwear Robes &amp; Bathrobes</t>
        </is>
      </c>
      <c r="F2378" t="inlineStr">
        <is>
          <t>NAPA</t>
        </is>
      </c>
      <c r="G2378" t="n">
        <v>0</v>
      </c>
      <c r="H2378" t="n">
        <v>0</v>
      </c>
      <c r="I2378" t="inlineStr">
        <is>
          <t>Fleece Blankets,Batch 1 - TR</t>
        </is>
      </c>
      <c r="J2378" s="29" t="n">
        <v>-29.99</v>
      </c>
      <c r="K2378" s="30" t="n">
        <v>-0.0003</v>
      </c>
      <c r="L2378" s="29" t="n">
        <v>29.98999977111816</v>
      </c>
      <c r="M2378" s="29" t="n">
        <v>0</v>
      </c>
      <c r="N2378" s="2" t="n">
        <v>-1</v>
      </c>
      <c r="O2378" s="31" t="n">
        <v>0</v>
      </c>
      <c r="P2378" s="32" t="n"/>
      <c r="Q2378" s="32" t="n">
        <v>0</v>
      </c>
      <c r="R2378" s="32" t="n">
        <v>0</v>
      </c>
      <c r="S2378" s="31" t="n">
        <v>0</v>
      </c>
      <c r="T2378" s="32" t="n">
        <v>0</v>
      </c>
      <c r="U2378" s="31" t="n">
        <v>0</v>
      </c>
      <c r="V2378" s="31" t="n">
        <v>0</v>
      </c>
      <c r="W2378" s="3" t="n">
        <v>0</v>
      </c>
      <c r="X2378" s="3" t="n">
        <v>0</v>
      </c>
      <c r="Y2378" s="32" t="n">
        <v>0</v>
      </c>
      <c r="Z2378" s="3" t="n">
        <v>0</v>
      </c>
      <c r="AA2378" s="32" t="n">
        <v>0</v>
      </c>
      <c r="AB2378" s="3" t="n"/>
      <c r="AC2378" s="31" t="n">
        <v>0</v>
      </c>
      <c r="AD2378" s="2" t="n">
        <v>0</v>
      </c>
      <c r="AE2378" s="2" t="n">
        <v>11</v>
      </c>
      <c r="AF2378" s="4" t="n">
        <v>11</v>
      </c>
      <c r="AG2378" s="33" t="n">
        <v>-29.99</v>
      </c>
      <c r="AH2378" s="4" t="n">
        <v>-1</v>
      </c>
      <c r="AI2378" s="34" t="n">
        <v>-0.09089999999999999</v>
      </c>
      <c r="AJ2378" s="34" t="n">
        <v>1</v>
      </c>
      <c r="AK2378" s="2" t="n">
        <v>0</v>
      </c>
      <c r="AL2378" t="inlineStr">
        <is>
          <t>Published</t>
        </is>
      </c>
    </row>
    <row r="2379">
      <c r="A2379">
        <f>HYPERLINK("https://www.walmart.com/ip/788420613", "788420613")</f>
        <v/>
      </c>
      <c r="B2379">
        <f>HYPERLINK("https://app.optiwise.ai/catalog/itemdetails/362215", "Catalonia Sherpa Wearable Blanket Poncho for Adult Women Men, Wrap Blanket Cape with Pocket, Warm, Soft, Cozy, Snuggly, Comfort Gift, No Sleeves, Wine")</f>
        <v/>
      </c>
      <c r="C2379" t="inlineStr">
        <is>
          <t>1CTBP110WN</t>
        </is>
      </c>
      <c r="D2379" t="inlineStr">
        <is>
          <t>Clothing - Clothing</t>
        </is>
      </c>
      <c r="E2379" t="inlineStr">
        <is>
          <t>Throws</t>
        </is>
      </c>
      <c r="F2379" t="inlineStr">
        <is>
          <t>Catalonia</t>
        </is>
      </c>
      <c r="G2379" t="n">
        <v>4.9</v>
      </c>
      <c r="H2379" t="n">
        <v>17</v>
      </c>
      <c r="I2379" t="inlineStr">
        <is>
          <t>Hero 5 Holidays,Batch 1 - TR</t>
        </is>
      </c>
      <c r="J2379" s="29" t="n">
        <v>-32.99</v>
      </c>
      <c r="K2379" s="30" t="n">
        <v>-0.0003</v>
      </c>
      <c r="L2379" s="29" t="n">
        <v>32.9900016784668</v>
      </c>
      <c r="M2379" s="29" t="n">
        <v>0</v>
      </c>
      <c r="N2379" s="2" t="n">
        <v>-1</v>
      </c>
      <c r="O2379" s="31" t="n">
        <v>1.87</v>
      </c>
      <c r="P2379" s="32" t="n">
        <v>0.0002</v>
      </c>
      <c r="Q2379" s="32" t="n">
        <v>-0.0567</v>
      </c>
      <c r="R2379" s="32" t="n">
        <v>0.0319</v>
      </c>
      <c r="S2379" s="31" t="n">
        <v>0</v>
      </c>
      <c r="T2379" s="32" t="n">
        <v>0</v>
      </c>
      <c r="U2379" s="31" t="n">
        <v>0</v>
      </c>
      <c r="V2379" s="31" t="n">
        <v>0</v>
      </c>
      <c r="W2379" s="3" t="n">
        <v>1461</v>
      </c>
      <c r="X2379" s="3" t="n">
        <v>8</v>
      </c>
      <c r="Y2379" s="32" t="n">
        <v>0.0055</v>
      </c>
      <c r="Z2379" s="3" t="n">
        <v>0</v>
      </c>
      <c r="AA2379" s="32" t="n">
        <v>0</v>
      </c>
      <c r="AB2379" s="3" t="inlineStr">
        <is>
          <t>Snuggly_Auto</t>
        </is>
      </c>
      <c r="AC2379" s="31" t="n">
        <v>0.23</v>
      </c>
      <c r="AD2379" s="2" t="n">
        <v>0</v>
      </c>
      <c r="AE2379" s="2" t="n">
        <v>31</v>
      </c>
      <c r="AF2379" s="4" t="n">
        <v>23</v>
      </c>
      <c r="AG2379" s="33" t="n">
        <v>-32.99</v>
      </c>
      <c r="AH2379" s="4" t="n">
        <v>-1</v>
      </c>
      <c r="AI2379" s="34" t="n">
        <v>-0.0435</v>
      </c>
      <c r="AJ2379" s="34" t="n">
        <v>1</v>
      </c>
      <c r="AK2379" s="2" t="n">
        <v>0</v>
      </c>
      <c r="AL2379" t="inlineStr">
        <is>
          <t>Published</t>
        </is>
      </c>
    </row>
    <row r="2380">
      <c r="A2380">
        <f>HYPERLINK("https://www.walmart.com/ip/326279523", "326279523")</f>
        <v/>
      </c>
      <c r="B2380">
        <f>HYPERLINK("https://app.optiwise.ai/catalog/itemdetails/359126", "Catalonia 15lb Weighted Blanket for Kids Adult, Premium Heavy Blanket, 48×72, Cotton, Grey")</f>
        <v/>
      </c>
      <c r="C2380" t="inlineStr">
        <is>
          <t>1CTBG724GY-15C</t>
        </is>
      </c>
      <c r="D2380" t="inlineStr">
        <is>
          <t>Bedding</t>
        </is>
      </c>
      <c r="E2380" t="inlineStr">
        <is>
          <t>Bed Blankets</t>
        </is>
      </c>
      <c r="F2380" t="inlineStr">
        <is>
          <t>Catalonia</t>
        </is>
      </c>
      <c r="G2380" t="n">
        <v>4.2</v>
      </c>
      <c r="H2380" t="n">
        <v>9</v>
      </c>
      <c r="I2380" t="inlineStr">
        <is>
          <t>WFS,Valentine,WFS Item</t>
        </is>
      </c>
      <c r="J2380" s="29" t="n">
        <v>-39.99</v>
      </c>
      <c r="K2380" s="30" t="n">
        <v>-0.0003</v>
      </c>
      <c r="L2380" s="29" t="n">
        <v>79.98000335693359</v>
      </c>
      <c r="M2380" s="29" t="n">
        <v>0</v>
      </c>
      <c r="N2380" s="2" t="n">
        <v>-1</v>
      </c>
      <c r="O2380" s="31" t="n">
        <v>0</v>
      </c>
      <c r="P2380" s="32" t="n"/>
      <c r="Q2380" s="32" t="n">
        <v>0</v>
      </c>
      <c r="R2380" s="32" t="n">
        <v>0</v>
      </c>
      <c r="S2380" s="31" t="n">
        <v>0</v>
      </c>
      <c r="T2380" s="32" t="n">
        <v>0</v>
      </c>
      <c r="U2380" s="31" t="n">
        <v>0</v>
      </c>
      <c r="V2380" s="31" t="n">
        <v>0</v>
      </c>
      <c r="W2380" s="3" t="n">
        <v>0</v>
      </c>
      <c r="X2380" s="3" t="n">
        <v>0</v>
      </c>
      <c r="Y2380" s="32" t="n">
        <v>0</v>
      </c>
      <c r="Z2380" s="3" t="n">
        <v>0</v>
      </c>
      <c r="AA2380" s="32" t="n">
        <v>0</v>
      </c>
      <c r="AB2380" s="3" t="n"/>
      <c r="AC2380" s="31" t="n">
        <v>0</v>
      </c>
      <c r="AD2380" s="2" t="n">
        <v>8</v>
      </c>
      <c r="AE2380" s="2" t="n">
        <v>34</v>
      </c>
      <c r="AF2380" s="4" t="n">
        <v>34</v>
      </c>
      <c r="AG2380" s="33" t="n">
        <v>-39.99</v>
      </c>
      <c r="AH2380" s="4" t="n">
        <v>-1</v>
      </c>
      <c r="AI2380" s="34" t="n">
        <v>-0.0294</v>
      </c>
      <c r="AJ2380" s="34" t="n">
        <v>1</v>
      </c>
      <c r="AK2380" s="2" t="n">
        <v>0</v>
      </c>
      <c r="AL2380" t="inlineStr">
        <is>
          <t>Published</t>
        </is>
      </c>
    </row>
    <row r="2381">
      <c r="A2381">
        <f>HYPERLINK("https://www.walmart.com/ip/113173878", "113173878")</f>
        <v/>
      </c>
      <c r="B2381">
        <f>HYPERLINK("https://app.optiwise.ai/catalog/itemdetails/362208", "Target Golf Laser Rangefinder 600M Flag Seeker Ultimate Portability Binocular")</f>
        <v/>
      </c>
      <c r="C2381" t="inlineStr">
        <is>
          <t>TARGETGRF003WT</t>
        </is>
      </c>
      <c r="D2381" t="inlineStr">
        <is>
          <t>Sport &amp; Recreation Other</t>
        </is>
      </c>
      <c r="E2381" t="inlineStr">
        <is>
          <t>Golf Rangefinders</t>
        </is>
      </c>
      <c r="F2381" t="inlineStr">
        <is>
          <t>Target</t>
        </is>
      </c>
      <c r="G2381" t="n">
        <v>4</v>
      </c>
      <c r="H2381" t="n">
        <v>1</v>
      </c>
      <c r="I2381" t="inlineStr">
        <is>
          <t>Optimized</t>
        </is>
      </c>
      <c r="J2381" s="29" t="n">
        <v>-49.99</v>
      </c>
      <c r="K2381" s="30" t="n">
        <v>-0.0004</v>
      </c>
      <c r="L2381" s="29" t="n">
        <v>49.9900016784668</v>
      </c>
      <c r="M2381" s="29" t="n">
        <v>0</v>
      </c>
      <c r="N2381" s="2" t="n">
        <v>-1</v>
      </c>
      <c r="O2381" s="31" t="n">
        <v>0</v>
      </c>
      <c r="P2381" s="32" t="n"/>
      <c r="Q2381" s="32" t="n">
        <v>0</v>
      </c>
      <c r="R2381" s="32" t="n">
        <v>0</v>
      </c>
      <c r="S2381" s="31" t="n">
        <v>0</v>
      </c>
      <c r="T2381" s="32" t="n">
        <v>0</v>
      </c>
      <c r="U2381" s="31" t="n">
        <v>0</v>
      </c>
      <c r="V2381" s="31" t="n">
        <v>0</v>
      </c>
      <c r="W2381" s="3" t="n">
        <v>0</v>
      </c>
      <c r="X2381" s="3" t="n">
        <v>0</v>
      </c>
      <c r="Y2381" s="32" t="n">
        <v>0</v>
      </c>
      <c r="Z2381" s="3" t="n">
        <v>0</v>
      </c>
      <c r="AA2381" s="32" t="n">
        <v>0</v>
      </c>
      <c r="AB2381" s="3" t="n"/>
      <c r="AC2381" s="31" t="n">
        <v>0</v>
      </c>
      <c r="AD2381" s="2" t="n">
        <v>0</v>
      </c>
      <c r="AE2381" s="2" t="n">
        <v>0</v>
      </c>
      <c r="AF2381" s="4" t="n">
        <v>0</v>
      </c>
      <c r="AG2381" s="33" t="n">
        <v>-49.99</v>
      </c>
      <c r="AH2381" s="4" t="n">
        <v>-1</v>
      </c>
      <c r="AI2381" s="34" t="n"/>
      <c r="AJ2381" s="34" t="n">
        <v>1</v>
      </c>
      <c r="AK2381" s="2" t="n">
        <v>0</v>
      </c>
      <c r="AL2381" t="inlineStr">
        <is>
          <t>Published</t>
        </is>
      </c>
    </row>
    <row r="2382">
      <c r="A2382">
        <f>HYPERLINK("https://www.walmart.com/ip/10290901202", "10290901202")</f>
        <v/>
      </c>
      <c r="B2382">
        <f>HYPERLINK("https://app.optiwise.ai/catalog/itemdetails/10031987", "Wrangler Men’s Full Grain Genuine Leather 35mm Thick Casual Belt for Jeans, Pants - Brown, 32")</f>
        <v/>
      </c>
      <c r="C2382" t="inlineStr">
        <is>
          <t>WR-BELT-MENS-35MM-BROWN-32</t>
        </is>
      </c>
      <c r="D2382" t="inlineStr">
        <is>
          <t>Clothing</t>
        </is>
      </c>
      <c r="E2382" t="inlineStr">
        <is>
          <t>Belts</t>
        </is>
      </c>
      <c r="F2382" t="inlineStr">
        <is>
          <t>Wrangler</t>
        </is>
      </c>
      <c r="G2382" t="n">
        <v>0</v>
      </c>
      <c r="H2382" t="n">
        <v>0</v>
      </c>
      <c r="I2382" t="inlineStr">
        <is>
          <t>Belts</t>
        </is>
      </c>
      <c r="J2382" s="29" t="n">
        <v>-59.97</v>
      </c>
      <c r="K2382" s="30" t="n">
        <v>-0.0005</v>
      </c>
      <c r="L2382" s="29" t="n">
        <v>219.8899974822998</v>
      </c>
      <c r="M2382" s="29" t="n">
        <v>0</v>
      </c>
      <c r="N2382" s="2" t="n">
        <v>-3</v>
      </c>
      <c r="O2382" s="31" t="n">
        <v>0</v>
      </c>
      <c r="P2382" s="32" t="n"/>
      <c r="Q2382" s="32" t="n">
        <v>0</v>
      </c>
      <c r="R2382" s="32" t="n">
        <v>0</v>
      </c>
      <c r="S2382" s="31" t="n">
        <v>0</v>
      </c>
      <c r="T2382" s="32" t="n">
        <v>0</v>
      </c>
      <c r="U2382" s="31" t="n">
        <v>0</v>
      </c>
      <c r="V2382" s="31" t="n">
        <v>0</v>
      </c>
      <c r="W2382" s="3" t="n">
        <v>0</v>
      </c>
      <c r="X2382" s="3" t="n">
        <v>0</v>
      </c>
      <c r="Y2382" s="32" t="n">
        <v>0</v>
      </c>
      <c r="Z2382" s="3" t="n">
        <v>0</v>
      </c>
      <c r="AA2382" s="32" t="n">
        <v>0</v>
      </c>
      <c r="AB2382" s="3" t="n"/>
      <c r="AC2382" s="31" t="n">
        <v>0</v>
      </c>
      <c r="AD2382" s="2" t="n">
        <v>14</v>
      </c>
      <c r="AE2382" s="2" t="n">
        <v>92</v>
      </c>
      <c r="AF2382" s="4" t="n">
        <v>92</v>
      </c>
      <c r="AG2382" s="33" t="n">
        <v>-59.97</v>
      </c>
      <c r="AH2382" s="4" t="n">
        <v>-3</v>
      </c>
      <c r="AI2382" s="34" t="n">
        <v>-0.0326</v>
      </c>
      <c r="AJ2382" s="34" t="n">
        <v>1</v>
      </c>
      <c r="AK2382" s="2" t="n">
        <v>0</v>
      </c>
      <c r="AL2382" t="inlineStr">
        <is>
          <t>Published</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B28"/>
  <sheetViews>
    <sheetView workbookViewId="0">
      <pane xSplit="1" ySplit="3" topLeftCell="B4" activePane="bottomRight" state="frozen"/>
      <selection pane="topRight" activeCell="A1" sqref="A1"/>
      <selection pane="bottomLeft" activeCell="A1" sqref="A1"/>
      <selection pane="bottomRight" activeCell="A1" sqref="A1"/>
    </sheetView>
  </sheetViews>
  <sheetFormatPr baseColWidth="10" defaultColWidth="8.83203125" defaultRowHeight="15"/>
  <sheetData>
    <row r="1">
      <c r="A1" s="9" t="inlineStr">
        <is>
          <t>01/01/2025 - 05/15/2025 (135 days)</t>
        </is>
      </c>
      <c r="B1" s="8" t="n"/>
      <c r="C1" s="10" t="inlineStr">
        <is>
          <t>(Sales of each Type / Total Sales)</t>
        </is>
      </c>
      <c r="D1" s="8" t="n"/>
      <c r="E1" s="8" t="n"/>
      <c r="G1" s="8" t="n"/>
      <c r="H1" s="10" t="inlineStr">
        <is>
          <t>(Adspend on each Type / Total Adspend)</t>
        </is>
      </c>
      <c r="I1" s="7" t="n"/>
      <c r="J1" s="7" t="n"/>
      <c r="K1" s="8" t="n"/>
      <c r="L1" s="7" t="n"/>
      <c r="M1" s="8" t="n"/>
      <c r="N1" s="8" t="n"/>
      <c r="Q1" s="7" t="n"/>
      <c r="S1" s="7" t="n"/>
      <c r="T1" s="11" t="inlineStr">
        <is>
          <t>Total pageviews of the Enhanced brand content</t>
        </is>
      </c>
      <c r="V1" s="11" t="inlineStr">
        <is>
          <t>Estimated number of organic pageviews, calculated based on the (Max (page views - ebc views, ebc views) - ad clicks)</t>
        </is>
      </c>
      <c r="W1" s="12" t="inlineStr">
        <is>
          <t>(Total sales - Ad sales)</t>
        </is>
      </c>
      <c r="X1" s="11" t="inlineStr">
        <is>
          <t>(Total units sold - Ad units sold)</t>
        </is>
      </c>
      <c r="Y1" s="10" t="inlineStr">
        <is>
          <t>(Organic units sold / Organic views)</t>
        </is>
      </c>
      <c r="Z1" s="10" t="inlineStr">
        <is>
          <t>(Organic sales / Total sales)</t>
        </is>
      </c>
      <c r="AA1" s="11" t="inlineStr">
        <is>
          <t>(Available Inventory / Avg Daily Units Sold in Last 135 days)</t>
        </is>
      </c>
      <c r="AB1" s="11" t="n"/>
    </row>
    <row r="2">
      <c r="B2" s="13">
        <f>SUBTOTAL(9, B3:B28)</f>
        <v/>
      </c>
      <c r="D2" s="13">
        <f>SUBTOTAL(9, D3:D28)</f>
        <v/>
      </c>
      <c r="E2" s="13">
        <f>SUBTOTAL(9, E3:E28)</f>
        <v/>
      </c>
      <c r="F2" s="14">
        <f>SUBTOTAL(9, F3:F28)</f>
        <v/>
      </c>
      <c r="G2" s="15">
        <f>SUBTOTAL(9, G3:G28)</f>
        <v/>
      </c>
      <c r="I2" s="16">
        <f>G2/B2</f>
        <v/>
      </c>
      <c r="K2" s="15">
        <f>M2/G2</f>
        <v/>
      </c>
      <c r="L2" s="16">
        <f>G2/M2</f>
        <v/>
      </c>
      <c r="M2" s="15">
        <f>SUBTOTAL(9, M3:M28)</f>
        <v/>
      </c>
      <c r="N2" s="15">
        <f>SUBTOTAL(9, N3:N28)</f>
        <v/>
      </c>
      <c r="O2" s="17">
        <f>SUBTOTAL(9, O3:O28)</f>
        <v/>
      </c>
      <c r="P2" s="17">
        <f>SUBTOTAL(9, P3:P28)</f>
        <v/>
      </c>
      <c r="Q2" s="16">
        <f>P2/O2</f>
        <v/>
      </c>
      <c r="R2" s="17">
        <f>SUBTOTAL(9, R3:R28)</f>
        <v/>
      </c>
      <c r="S2" s="16">
        <f>R2/P2</f>
        <v/>
      </c>
      <c r="T2" s="14">
        <f>SUBTOTAL(9, T3:T28)</f>
        <v/>
      </c>
      <c r="U2" s="14">
        <f>SUBTOTAL(9, U3:U28)</f>
        <v/>
      </c>
      <c r="V2" s="18">
        <f>SUBTOTAL(9, V3:V28)</f>
        <v/>
      </c>
      <c r="W2" s="19">
        <f>SUBTOTAL(9, W3:W28)</f>
        <v/>
      </c>
      <c r="X2" s="18">
        <f>SUBTOTAL(9, X3:X28)</f>
        <v/>
      </c>
      <c r="AA2" s="14">
        <f>SUBTOTAL(9, AA3:AA28)</f>
        <v/>
      </c>
    </row>
    <row r="3" ht="48" customHeight="1">
      <c r="A3" s="6" t="inlineStr">
        <is>
          <t>Category</t>
        </is>
      </c>
      <c r="B3" s="20" t="inlineStr">
        <is>
          <t>Total Net Sales</t>
        </is>
      </c>
      <c r="C3" s="21" t="inlineStr">
        <is>
          <t>Share of Sales</t>
        </is>
      </c>
      <c r="D3" s="20" t="inlineStr">
        <is>
          <t>Return Sales</t>
        </is>
      </c>
      <c r="E3" s="20" t="inlineStr">
        <is>
          <t>Cancelled Sales</t>
        </is>
      </c>
      <c r="F3" s="22" t="inlineStr">
        <is>
          <t>Total Net Unit Sold</t>
        </is>
      </c>
      <c r="G3" s="23" t="inlineStr">
        <is>
          <t>Ad Spend</t>
        </is>
      </c>
      <c r="H3" s="24" t="inlineStr">
        <is>
          <t>Share of Ad Spend</t>
        </is>
      </c>
      <c r="I3" s="24" t="inlineStr">
        <is>
          <t>TACOS</t>
        </is>
      </c>
      <c r="J3" s="24" t="inlineStr">
        <is>
          <t>Previous TACOS</t>
        </is>
      </c>
      <c r="K3" s="23" t="inlineStr">
        <is>
          <t>ROAS</t>
        </is>
      </c>
      <c r="L3" s="24" t="inlineStr">
        <is>
          <t>ACOS</t>
        </is>
      </c>
      <c r="M3" s="23" t="inlineStr">
        <is>
          <t>Ad Sales</t>
        </is>
      </c>
      <c r="N3" s="23" t="inlineStr">
        <is>
          <t>Ad SKU Sales</t>
        </is>
      </c>
      <c r="O3" s="25" t="inlineStr">
        <is>
          <t>Ad Impressions</t>
        </is>
      </c>
      <c r="P3" s="25" t="inlineStr">
        <is>
          <t>Ad Clicks</t>
        </is>
      </c>
      <c r="Q3" s="24" t="inlineStr">
        <is>
          <t>CTR</t>
        </is>
      </c>
      <c r="R3" s="25" t="inlineStr">
        <is>
          <t>Ad Units Sold</t>
        </is>
      </c>
      <c r="S3" s="24" t="inlineStr">
        <is>
          <t>Ad Conversion</t>
        </is>
      </c>
      <c r="T3" s="22" t="inlineStr">
        <is>
          <t>Walmart Item Page Views</t>
        </is>
      </c>
      <c r="U3" s="22" t="inlineStr">
        <is>
          <t>EBC Page Views</t>
        </is>
      </c>
      <c r="V3" s="26" t="inlineStr">
        <is>
          <t>Organic Views</t>
        </is>
      </c>
      <c r="W3" s="27" t="inlineStr">
        <is>
          <t>Organic Sales</t>
        </is>
      </c>
      <c r="X3" s="26" t="inlineStr">
        <is>
          <t>Organic Units Sold</t>
        </is>
      </c>
      <c r="Y3" s="28" t="inlineStr">
        <is>
          <t>Organic Conversion</t>
        </is>
      </c>
      <c r="Z3" s="28" t="inlineStr">
        <is>
          <t>Share of Organic</t>
        </is>
      </c>
      <c r="AA3" s="22" t="inlineStr">
        <is>
          <t>Days of Inventory</t>
        </is>
      </c>
      <c r="AB3" s="22" t="inlineStr">
        <is>
          <t>Count of Item IDs</t>
        </is>
      </c>
    </row>
    <row r="4">
      <c r="A4" t="inlineStr">
        <is>
          <t>Home Decor, Kitchen, &amp; Other</t>
        </is>
      </c>
      <c r="B4" s="29" t="n">
        <v>45597.2</v>
      </c>
      <c r="C4" s="30" t="n">
        <v>0.3933</v>
      </c>
      <c r="D4" s="29" t="n">
        <v>4481.99994301796</v>
      </c>
      <c r="E4" s="29" t="n">
        <v>481.4399929046631</v>
      </c>
      <c r="F4" s="2" t="n">
        <v>3274</v>
      </c>
      <c r="G4" s="31" t="n">
        <v>1267.57</v>
      </c>
      <c r="H4" s="32" t="n">
        <v>0.152</v>
      </c>
      <c r="I4" s="32" t="n">
        <v>0.0278</v>
      </c>
      <c r="J4" s="32" t="n">
        <v>0.09669999999999999</v>
      </c>
      <c r="K4" s="31" t="n">
        <v>3.06</v>
      </c>
      <c r="L4" s="32" t="n">
        <v>0.33</v>
      </c>
      <c r="M4" s="31" t="n">
        <v>3882.929999999999</v>
      </c>
      <c r="N4" s="31" t="n">
        <v>3282.209999999999</v>
      </c>
      <c r="O4" s="3" t="n">
        <v>1285523</v>
      </c>
      <c r="P4" s="3" t="n">
        <v>2842</v>
      </c>
      <c r="Q4" s="32" t="n">
        <v>0.0022</v>
      </c>
      <c r="R4" s="3" t="n">
        <v>188</v>
      </c>
      <c r="S4" s="32" t="n">
        <v>0.06619999999999999</v>
      </c>
      <c r="T4" s="2" t="n">
        <v>89939</v>
      </c>
      <c r="U4" s="2" t="n">
        <v>39693</v>
      </c>
      <c r="V4" s="4" t="n">
        <v>47404</v>
      </c>
      <c r="W4" s="33" t="n">
        <v>41714.27</v>
      </c>
      <c r="X4" s="4" t="n">
        <v>3086</v>
      </c>
      <c r="Y4" s="34" t="n">
        <v>0.06510000000000001</v>
      </c>
      <c r="Z4" s="34" t="n">
        <v>0.9147999999999999</v>
      </c>
      <c r="AA4" s="2" t="n">
        <v>1420</v>
      </c>
      <c r="AB4" s="2" t="n">
        <v>466</v>
      </c>
    </row>
    <row r="5">
      <c r="A5" t="inlineStr">
        <is>
          <t>Bedding</t>
        </is>
      </c>
      <c r="B5" s="29" t="n">
        <v>26256.01</v>
      </c>
      <c r="C5" s="30" t="n">
        <v>0.2265</v>
      </c>
      <c r="D5" s="29" t="n">
        <v>2554.940011978149</v>
      </c>
      <c r="E5" s="29" t="n">
        <v>209.9200019836426</v>
      </c>
      <c r="F5" s="2" t="n">
        <v>1015</v>
      </c>
      <c r="G5" s="31" t="n">
        <v>3313.809999999999</v>
      </c>
      <c r="H5" s="32" t="n">
        <v>0.3974</v>
      </c>
      <c r="I5" s="32" t="n">
        <v>0.1262</v>
      </c>
      <c r="J5" s="32" t="n">
        <v>0.07630000000000001</v>
      </c>
      <c r="K5" s="31" t="n">
        <v>2.78</v>
      </c>
      <c r="L5" s="32" t="n">
        <v>0.36</v>
      </c>
      <c r="M5" s="31" t="n">
        <v>9221.339999999993</v>
      </c>
      <c r="N5" s="31" t="n">
        <v>8230.709999999994</v>
      </c>
      <c r="O5" s="3" t="n">
        <v>4109290</v>
      </c>
      <c r="P5" s="3" t="n">
        <v>8764</v>
      </c>
      <c r="Q5" s="32" t="n">
        <v>0.0021</v>
      </c>
      <c r="R5" s="3" t="n">
        <v>366</v>
      </c>
      <c r="S5" s="32" t="n">
        <v>0.0418</v>
      </c>
      <c r="T5" s="2" t="n">
        <v>25489</v>
      </c>
      <c r="U5" s="2" t="n">
        <v>25736</v>
      </c>
      <c r="V5" s="4" t="n">
        <v>16972</v>
      </c>
      <c r="W5" s="33" t="n">
        <v>17034.67000000001</v>
      </c>
      <c r="X5" s="4" t="n">
        <v>649</v>
      </c>
      <c r="Y5" s="34" t="n">
        <v>0.0382</v>
      </c>
      <c r="Z5" s="34" t="n">
        <v>0.6488</v>
      </c>
      <c r="AA5" s="2" t="n">
        <v>4938</v>
      </c>
      <c r="AB5" s="2" t="n">
        <v>617</v>
      </c>
    </row>
    <row r="6">
      <c r="A6" t="inlineStr">
        <is>
          <t>Clothing</t>
        </is>
      </c>
      <c r="B6" s="29" t="n">
        <v>19532.44999999997</v>
      </c>
      <c r="C6" s="30" t="n">
        <v>0.1685</v>
      </c>
      <c r="D6" s="29" t="n">
        <v>3883.519977092743</v>
      </c>
      <c r="E6" s="29" t="n">
        <v>236.8700008392334</v>
      </c>
      <c r="F6" s="2" t="n">
        <v>1122</v>
      </c>
      <c r="G6" s="31" t="n">
        <v>1450.32</v>
      </c>
      <c r="H6" s="32" t="n">
        <v>0.1739</v>
      </c>
      <c r="I6" s="32" t="n">
        <v>0.0743</v>
      </c>
      <c r="J6" s="32" t="n">
        <v>0.0867</v>
      </c>
      <c r="K6" s="31" t="n">
        <v>3.56</v>
      </c>
      <c r="L6" s="32" t="n">
        <v>0.28</v>
      </c>
      <c r="M6" s="31" t="n">
        <v>5165.109999999998</v>
      </c>
      <c r="N6" s="31" t="n">
        <v>4869.269999999999</v>
      </c>
      <c r="O6" s="3" t="n">
        <v>1713528</v>
      </c>
      <c r="P6" s="3" t="n">
        <v>4249</v>
      </c>
      <c r="Q6" s="32" t="n">
        <v>0.0025</v>
      </c>
      <c r="R6" s="3" t="n">
        <v>276</v>
      </c>
      <c r="S6" s="32" t="n">
        <v>0.065</v>
      </c>
      <c r="T6" s="2" t="n">
        <v>5643</v>
      </c>
      <c r="U6" s="2" t="n">
        <v>20914</v>
      </c>
      <c r="V6" s="4" t="n">
        <v>16665</v>
      </c>
      <c r="W6" s="33" t="n">
        <v>14367.33999999997</v>
      </c>
      <c r="X6" s="4" t="n">
        <v>846</v>
      </c>
      <c r="Y6" s="34" t="n">
        <v>0.0508</v>
      </c>
      <c r="Z6" s="34" t="n">
        <v>0.7356</v>
      </c>
      <c r="AA6" s="2" t="n">
        <v>7814</v>
      </c>
      <c r="AB6" s="2" t="n">
        <v>1045</v>
      </c>
    </row>
    <row r="7">
      <c r="A7" t="inlineStr">
        <is>
          <t>Animal Accessories</t>
        </is>
      </c>
      <c r="B7" s="29" t="n">
        <v>11011.06</v>
      </c>
      <c r="C7" s="30" t="n">
        <v>0.095</v>
      </c>
      <c r="D7" s="29" t="n">
        <v>658.6999950408936</v>
      </c>
      <c r="E7" s="29" t="n">
        <v>52.97999954223633</v>
      </c>
      <c r="F7" s="2" t="n">
        <v>475</v>
      </c>
      <c r="G7" s="31" t="n">
        <v>1313.41</v>
      </c>
      <c r="H7" s="32" t="n">
        <v>0.1575</v>
      </c>
      <c r="I7" s="32" t="n">
        <v>0.1193</v>
      </c>
      <c r="J7" s="32" t="n">
        <v>0.145</v>
      </c>
      <c r="K7" s="31" t="n">
        <v>4.58</v>
      </c>
      <c r="L7" s="32" t="n">
        <v>0.22</v>
      </c>
      <c r="M7" s="31" t="n">
        <v>6009.93</v>
      </c>
      <c r="N7" s="31" t="n">
        <v>5495.129999999999</v>
      </c>
      <c r="O7" s="3" t="n">
        <v>1053963</v>
      </c>
      <c r="P7" s="3" t="n">
        <v>3361</v>
      </c>
      <c r="Q7" s="32" t="n">
        <v>0.0032</v>
      </c>
      <c r="R7" s="3" t="n">
        <v>272</v>
      </c>
      <c r="S7" s="32" t="n">
        <v>0.0809</v>
      </c>
      <c r="T7" s="2" t="n">
        <v>4915</v>
      </c>
      <c r="U7" s="2" t="n">
        <v>4118</v>
      </c>
      <c r="V7" s="4" t="n">
        <v>757</v>
      </c>
      <c r="W7" s="33" t="n">
        <v>5001.129999999996</v>
      </c>
      <c r="X7" s="4" t="n">
        <v>203</v>
      </c>
      <c r="Y7" s="34" t="n">
        <v>0.2682</v>
      </c>
      <c r="Z7" s="34" t="n">
        <v>0.4542</v>
      </c>
      <c r="AA7" s="2" t="n">
        <v>1059</v>
      </c>
      <c r="AB7" s="2" t="n">
        <v>57</v>
      </c>
    </row>
    <row r="8">
      <c r="A8" t="inlineStr">
        <is>
          <t>Sport &amp; Recreation Other</t>
        </is>
      </c>
      <c r="B8" s="29" t="n">
        <v>9572.819999999996</v>
      </c>
      <c r="C8" s="30" t="n">
        <v>0.08260000000000001</v>
      </c>
      <c r="D8" s="29" t="n">
        <v>873.6100025177002</v>
      </c>
      <c r="E8" s="29" t="n">
        <v>124.9500007629395</v>
      </c>
      <c r="F8" s="2" t="n">
        <v>307</v>
      </c>
      <c r="G8" s="31" t="n">
        <v>864.1499999999999</v>
      </c>
      <c r="H8" s="32" t="n">
        <v>0.1036</v>
      </c>
      <c r="I8" s="32" t="n">
        <v>0.09030000000000001</v>
      </c>
      <c r="J8" s="32" t="n">
        <v>0.0644</v>
      </c>
      <c r="K8" s="31" t="n">
        <v>3.21</v>
      </c>
      <c r="L8" s="32" t="n">
        <v>0.31</v>
      </c>
      <c r="M8" s="31" t="n">
        <v>2774.12</v>
      </c>
      <c r="N8" s="31" t="n">
        <v>2774.12</v>
      </c>
      <c r="O8" s="3" t="n">
        <v>1093674</v>
      </c>
      <c r="P8" s="3" t="n">
        <v>2200</v>
      </c>
      <c r="Q8" s="32" t="n">
        <v>0.002</v>
      </c>
      <c r="R8" s="3" t="n">
        <v>88</v>
      </c>
      <c r="S8" s="32" t="n">
        <v>0.04</v>
      </c>
      <c r="T8" s="2" t="n">
        <v>2226</v>
      </c>
      <c r="U8" s="2" t="n">
        <v>6526</v>
      </c>
      <c r="V8" s="4" t="n">
        <v>4326</v>
      </c>
      <c r="W8" s="33" t="n">
        <v>6798.699999999995</v>
      </c>
      <c r="X8" s="4" t="n">
        <v>219</v>
      </c>
      <c r="Y8" s="34" t="n">
        <v>0.0506</v>
      </c>
      <c r="Z8" s="34" t="n">
        <v>0.7102000000000001</v>
      </c>
      <c r="AA8" s="2" t="n">
        <v>3107</v>
      </c>
      <c r="AB8" s="2" t="n">
        <v>85</v>
      </c>
    </row>
    <row r="9">
      <c r="A9" t="inlineStr">
        <is>
          <t>Cases &amp; Bags</t>
        </is>
      </c>
      <c r="B9" s="29" t="n">
        <v>1667.78</v>
      </c>
      <c r="C9" s="30" t="n">
        <v>0.0144</v>
      </c>
      <c r="D9" s="29" t="n">
        <v>253.840000629425</v>
      </c>
      <c r="E9" s="29" t="n">
        <v>16.98999977111816</v>
      </c>
      <c r="F9" s="2" t="n">
        <v>76</v>
      </c>
      <c r="G9" s="31" t="n">
        <v>1.32</v>
      </c>
      <c r="H9" s="32" t="n">
        <v>0.0002</v>
      </c>
      <c r="I9" s="32" t="n">
        <v>0.0008</v>
      </c>
      <c r="J9" s="32" t="n">
        <v>0.2886</v>
      </c>
      <c r="K9" s="31" t="n">
        <v>0</v>
      </c>
      <c r="L9" s="32" t="n">
        <v>0</v>
      </c>
      <c r="M9" s="31" t="n">
        <v>0</v>
      </c>
      <c r="N9" s="31" t="n">
        <v>0</v>
      </c>
      <c r="O9" s="3" t="n">
        <v>1441</v>
      </c>
      <c r="P9" s="3" t="n">
        <v>3</v>
      </c>
      <c r="Q9" s="32" t="n">
        <v>0.0021</v>
      </c>
      <c r="R9" s="3" t="n">
        <v>0</v>
      </c>
      <c r="S9" s="32" t="n">
        <v>0</v>
      </c>
      <c r="T9" s="2" t="n">
        <v>231</v>
      </c>
      <c r="U9" s="2" t="n">
        <v>2585</v>
      </c>
      <c r="V9" s="4" t="n">
        <v>2582</v>
      </c>
      <c r="W9" s="33" t="n">
        <v>1667.78</v>
      </c>
      <c r="X9" s="4" t="n">
        <v>76</v>
      </c>
      <c r="Y9" s="34" t="n">
        <v>0.0294</v>
      </c>
      <c r="Z9" s="34" t="n">
        <v>1</v>
      </c>
      <c r="AA9" s="2" t="n">
        <v>14262</v>
      </c>
      <c r="AB9" s="2" t="n">
        <v>112</v>
      </c>
    </row>
    <row r="10">
      <c r="A10" t="inlineStr">
        <is>
          <t>Home - Home Decor, Kitchen, &amp; Other</t>
        </is>
      </c>
      <c r="B10" s="29" t="n">
        <v>1279.67</v>
      </c>
      <c r="C10" s="30" t="n">
        <v>0.011</v>
      </c>
      <c r="D10" s="29" t="n">
        <v>83.96999931335449</v>
      </c>
      <c r="E10" s="29" t="n">
        <v>0</v>
      </c>
      <c r="F10" s="2" t="n">
        <v>31</v>
      </c>
      <c r="G10" s="31" t="n">
        <v>78.04999999999998</v>
      </c>
      <c r="H10" s="32" t="n">
        <v>0.0094</v>
      </c>
      <c r="I10" s="32" t="n">
        <v>0.061</v>
      </c>
      <c r="J10" s="32" t="n">
        <v>0.017</v>
      </c>
      <c r="K10" s="31" t="n">
        <v>3.28</v>
      </c>
      <c r="L10" s="32" t="n">
        <v>0.3</v>
      </c>
      <c r="M10" s="31" t="n">
        <v>255.93</v>
      </c>
      <c r="N10" s="31" t="n">
        <v>255.93</v>
      </c>
      <c r="O10" s="3" t="n">
        <v>140071</v>
      </c>
      <c r="P10" s="3" t="n">
        <v>210</v>
      </c>
      <c r="Q10" s="32" t="n">
        <v>0.0015</v>
      </c>
      <c r="R10" s="3" t="n">
        <v>7</v>
      </c>
      <c r="S10" s="32" t="n">
        <v>0.0333</v>
      </c>
      <c r="T10" s="2" t="n">
        <v>607</v>
      </c>
      <c r="U10" s="2" t="n">
        <v>652</v>
      </c>
      <c r="V10" s="4" t="n">
        <v>442</v>
      </c>
      <c r="W10" s="33" t="n">
        <v>1023.74</v>
      </c>
      <c r="X10" s="4" t="n">
        <v>24</v>
      </c>
      <c r="Y10" s="34" t="n">
        <v>0.0543</v>
      </c>
      <c r="Z10" s="34" t="n">
        <v>0.8</v>
      </c>
      <c r="AA10" s="2" t="n">
        <v>3527</v>
      </c>
      <c r="AB10" s="2" t="n">
        <v>9</v>
      </c>
    </row>
    <row r="11">
      <c r="A11" t="inlineStr">
        <is>
          <t>Furniture</t>
        </is>
      </c>
      <c r="B11" s="29" t="n">
        <v>343.88</v>
      </c>
      <c r="C11" s="30" t="n">
        <v>0.003</v>
      </c>
      <c r="D11" s="29" t="n">
        <v>65.98000335693359</v>
      </c>
      <c r="E11" s="29" t="n">
        <v>567.8200302124023</v>
      </c>
      <c r="F11" s="2" t="n">
        <v>10</v>
      </c>
      <c r="G11" s="31" t="n">
        <v>47.03999999999998</v>
      </c>
      <c r="H11" s="32" t="n">
        <v>0.0056</v>
      </c>
      <c r="I11" s="32" t="n">
        <v>0.1368</v>
      </c>
      <c r="J11" s="32" t="n">
        <v>2.5838</v>
      </c>
      <c r="K11" s="31" t="n">
        <v>0.7</v>
      </c>
      <c r="L11" s="32" t="n">
        <v>1.43</v>
      </c>
      <c r="M11" s="31" t="n">
        <v>32.99</v>
      </c>
      <c r="N11" s="31" t="n">
        <v>32.99</v>
      </c>
      <c r="O11" s="3" t="n">
        <v>41403</v>
      </c>
      <c r="P11" s="3" t="n">
        <v>111</v>
      </c>
      <c r="Q11" s="32" t="n">
        <v>0.0027</v>
      </c>
      <c r="R11" s="3" t="n">
        <v>1</v>
      </c>
      <c r="S11" s="32" t="n">
        <v>0.008999999999999999</v>
      </c>
      <c r="T11" s="2" t="n">
        <v>253</v>
      </c>
      <c r="U11" s="2" t="n">
        <v>425</v>
      </c>
      <c r="V11" s="4" t="n">
        <v>314</v>
      </c>
      <c r="W11" s="33" t="n">
        <v>310.89</v>
      </c>
      <c r="X11" s="4" t="n">
        <v>9</v>
      </c>
      <c r="Y11" s="34" t="n">
        <v>0.0287</v>
      </c>
      <c r="Z11" s="34" t="n">
        <v>0.9041</v>
      </c>
      <c r="AA11" s="2" t="n">
        <v>6885</v>
      </c>
      <c r="AB11" s="2" t="n">
        <v>5</v>
      </c>
    </row>
    <row r="12">
      <c r="A12" t="inlineStr">
        <is>
          <t>Clothing - Clothing</t>
        </is>
      </c>
      <c r="B12" s="29" t="n">
        <v>209.92</v>
      </c>
      <c r="C12" s="30" t="n">
        <v>0.0018</v>
      </c>
      <c r="D12" s="29" t="n">
        <v>55.98000144958496</v>
      </c>
      <c r="E12" s="29" t="n">
        <v>0</v>
      </c>
      <c r="F12" s="2" t="n">
        <v>8</v>
      </c>
      <c r="G12" s="31" t="n">
        <v>1.87</v>
      </c>
      <c r="H12" s="32" t="n">
        <v>0.0002</v>
      </c>
      <c r="I12" s="32" t="n">
        <v>0.0089</v>
      </c>
      <c r="J12" s="32" t="n">
        <v>0.0518</v>
      </c>
      <c r="K12" s="31" t="n">
        <v>0</v>
      </c>
      <c r="L12" s="32" t="n">
        <v>0</v>
      </c>
      <c r="M12" s="31" t="n">
        <v>0</v>
      </c>
      <c r="N12" s="31" t="n">
        <v>0</v>
      </c>
      <c r="O12" s="3" t="n">
        <v>1667</v>
      </c>
      <c r="P12" s="3" t="n">
        <v>8</v>
      </c>
      <c r="Q12" s="32" t="n">
        <v>0.0048</v>
      </c>
      <c r="R12" s="3" t="n">
        <v>0</v>
      </c>
      <c r="S12" s="32" t="n">
        <v>0</v>
      </c>
      <c r="T12" s="2" t="n">
        <v>74</v>
      </c>
      <c r="U12" s="2" t="n">
        <v>221</v>
      </c>
      <c r="V12" s="4" t="n">
        <v>213</v>
      </c>
      <c r="W12" s="33" t="n">
        <v>209.92</v>
      </c>
      <c r="X12" s="4" t="n">
        <v>8</v>
      </c>
      <c r="Y12" s="34" t="n">
        <v>0.0376</v>
      </c>
      <c r="Z12" s="34" t="n">
        <v>1</v>
      </c>
      <c r="AA12" s="2" t="n">
        <v>13500</v>
      </c>
      <c r="AB12" s="2" t="n">
        <v>9</v>
      </c>
    </row>
    <row r="13">
      <c r="A13" t="inlineStr">
        <is>
          <t>Animal Other</t>
        </is>
      </c>
      <c r="B13" s="29" t="n">
        <v>149.95</v>
      </c>
      <c r="C13" s="30" t="n">
        <v>0.0013</v>
      </c>
      <c r="D13" s="29" t="n">
        <v>0</v>
      </c>
      <c r="E13" s="29" t="n">
        <v>0</v>
      </c>
      <c r="F13" s="2" t="n">
        <v>5</v>
      </c>
      <c r="G13" s="31" t="n">
        <v>0</v>
      </c>
      <c r="H13" s="32" t="n"/>
      <c r="I13" s="32" t="n">
        <v>0</v>
      </c>
      <c r="J13" s="32" t="n">
        <v>0</v>
      </c>
      <c r="K13" s="31" t="n">
        <v>0</v>
      </c>
      <c r="L13" s="32" t="n">
        <v>0</v>
      </c>
      <c r="M13" s="31" t="n">
        <v>0</v>
      </c>
      <c r="N13" s="31" t="n">
        <v>0</v>
      </c>
      <c r="O13" s="3" t="n">
        <v>0</v>
      </c>
      <c r="P13" s="3" t="n">
        <v>0</v>
      </c>
      <c r="Q13" s="32" t="n">
        <v>0</v>
      </c>
      <c r="R13" s="3" t="n">
        <v>0</v>
      </c>
      <c r="S13" s="32" t="n">
        <v>0</v>
      </c>
      <c r="T13" s="2" t="n">
        <v>0</v>
      </c>
      <c r="U13" s="2" t="n">
        <v>391</v>
      </c>
      <c r="V13" s="4" t="n">
        <v>391</v>
      </c>
      <c r="W13" s="33" t="n">
        <v>149.95</v>
      </c>
      <c r="X13" s="4" t="n">
        <v>5</v>
      </c>
      <c r="Y13" s="34" t="n">
        <v>0.0128</v>
      </c>
      <c r="Z13" s="34" t="n">
        <v>1</v>
      </c>
      <c r="AA13" s="2" t="n">
        <v>41796</v>
      </c>
      <c r="AB13" s="2" t="n">
        <v>18</v>
      </c>
    </row>
    <row r="14">
      <c r="A14" t="inlineStr">
        <is>
          <t>Baby Diapering, Care, &amp; Other</t>
        </is>
      </c>
      <c r="B14" s="29" t="n">
        <v>83.95</v>
      </c>
      <c r="C14" s="30" t="n">
        <v>0.0007</v>
      </c>
      <c r="D14" s="29" t="n">
        <v>119.5599975585938</v>
      </c>
      <c r="E14" s="29" t="n">
        <v>0</v>
      </c>
      <c r="F14" s="2" t="n">
        <v>3</v>
      </c>
      <c r="G14" s="31" t="n">
        <v>0</v>
      </c>
      <c r="H14" s="32" t="n"/>
      <c r="I14" s="32" t="n">
        <v>0</v>
      </c>
      <c r="J14" s="32" t="n">
        <v>0</v>
      </c>
      <c r="K14" s="31" t="n">
        <v>0</v>
      </c>
      <c r="L14" s="32" t="n">
        <v>0</v>
      </c>
      <c r="M14" s="31" t="n">
        <v>0</v>
      </c>
      <c r="N14" s="31" t="n">
        <v>0</v>
      </c>
      <c r="O14" s="3" t="n">
        <v>0</v>
      </c>
      <c r="P14" s="3" t="n">
        <v>0</v>
      </c>
      <c r="Q14" s="32" t="n">
        <v>0</v>
      </c>
      <c r="R14" s="3" t="n">
        <v>0</v>
      </c>
      <c r="S14" s="32" t="n">
        <v>0</v>
      </c>
      <c r="T14" s="2" t="n">
        <v>5</v>
      </c>
      <c r="U14" s="2" t="n">
        <v>262</v>
      </c>
      <c r="V14" s="4" t="n">
        <v>262</v>
      </c>
      <c r="W14" s="33" t="n">
        <v>83.95</v>
      </c>
      <c r="X14" s="4" t="n">
        <v>3</v>
      </c>
      <c r="Y14" s="34" t="n">
        <v>0.0115</v>
      </c>
      <c r="Z14" s="34" t="n">
        <v>1</v>
      </c>
      <c r="AA14" s="2" t="n">
        <v>720</v>
      </c>
      <c r="AB14" s="2" t="n">
        <v>4</v>
      </c>
    </row>
    <row r="15">
      <c r="A15" t="inlineStr">
        <is>
          <t>Costumes</t>
        </is>
      </c>
      <c r="B15" s="29" t="n">
        <v>69.80000000000001</v>
      </c>
      <c r="C15" s="30" t="n">
        <v>0.0005999999999999999</v>
      </c>
      <c r="D15" s="29" t="n">
        <v>0</v>
      </c>
      <c r="E15" s="29" t="n">
        <v>0</v>
      </c>
      <c r="F15" s="2" t="n">
        <v>10</v>
      </c>
      <c r="G15" s="31" t="n">
        <v>0</v>
      </c>
      <c r="H15" s="32" t="n"/>
      <c r="I15" s="32" t="n">
        <v>0</v>
      </c>
      <c r="J15" s="32" t="n">
        <v>0</v>
      </c>
      <c r="K15" s="31" t="n">
        <v>0</v>
      </c>
      <c r="L15" s="32" t="n">
        <v>0</v>
      </c>
      <c r="M15" s="31" t="n">
        <v>0</v>
      </c>
      <c r="N15" s="31" t="n">
        <v>0</v>
      </c>
      <c r="O15" s="3" t="n">
        <v>0</v>
      </c>
      <c r="P15" s="3" t="n">
        <v>0</v>
      </c>
      <c r="Q15" s="32" t="n">
        <v>0</v>
      </c>
      <c r="R15" s="3" t="n">
        <v>0</v>
      </c>
      <c r="S15" s="32" t="n">
        <v>0</v>
      </c>
      <c r="T15" s="2" t="n">
        <v>0</v>
      </c>
      <c r="U15" s="2" t="n">
        <v>142</v>
      </c>
      <c r="V15" s="4" t="n">
        <v>142</v>
      </c>
      <c r="W15" s="33" t="n">
        <v>69.80000000000001</v>
      </c>
      <c r="X15" s="4" t="n">
        <v>10</v>
      </c>
      <c r="Y15" s="34" t="n">
        <v>0.0704</v>
      </c>
      <c r="Z15" s="34" t="n">
        <v>1</v>
      </c>
      <c r="AA15" s="2" t="n">
        <v>6790</v>
      </c>
      <c r="AB15" s="2" t="n">
        <v>7</v>
      </c>
    </row>
    <row r="16">
      <c r="A16" t="inlineStr">
        <is>
          <t>Toys</t>
        </is>
      </c>
      <c r="B16" s="29" t="n">
        <v>44.99</v>
      </c>
      <c r="C16" s="30" t="n">
        <v>0.0004</v>
      </c>
      <c r="D16" s="29" t="n">
        <v>0</v>
      </c>
      <c r="E16" s="29" t="n">
        <v>0</v>
      </c>
      <c r="F16" s="2" t="n">
        <v>1</v>
      </c>
      <c r="G16" s="31" t="n">
        <v>2.1</v>
      </c>
      <c r="H16" s="32" t="n">
        <v>0.0003</v>
      </c>
      <c r="I16" s="32" t="n">
        <v>0.0467</v>
      </c>
      <c r="J16" s="32" t="n">
        <v>0.121</v>
      </c>
      <c r="K16" s="31" t="n">
        <v>0</v>
      </c>
      <c r="L16" s="32" t="n">
        <v>0</v>
      </c>
      <c r="M16" s="31" t="n">
        <v>0</v>
      </c>
      <c r="N16" s="31" t="n">
        <v>0</v>
      </c>
      <c r="O16" s="3" t="n">
        <v>6570</v>
      </c>
      <c r="P16" s="3" t="n">
        <v>8</v>
      </c>
      <c r="Q16" s="32" t="n">
        <v>0.0012</v>
      </c>
      <c r="R16" s="3" t="n">
        <v>0</v>
      </c>
      <c r="S16" s="32" t="n">
        <v>0</v>
      </c>
      <c r="T16" s="2" t="n">
        <v>0</v>
      </c>
      <c r="U16" s="2" t="n">
        <v>41</v>
      </c>
      <c r="V16" s="4" t="n">
        <v>33</v>
      </c>
      <c r="W16" s="33" t="n">
        <v>44.99</v>
      </c>
      <c r="X16" s="4" t="n">
        <v>1</v>
      </c>
      <c r="Y16" s="34" t="n">
        <v>0.0303</v>
      </c>
      <c r="Z16" s="34" t="n">
        <v>1</v>
      </c>
      <c r="AA16" s="2" t="n">
        <v>13365</v>
      </c>
      <c r="AB16" s="2" t="n">
        <v>1</v>
      </c>
    </row>
    <row r="17">
      <c r="A17" t="inlineStr">
        <is>
          <t>Skirts</t>
        </is>
      </c>
      <c r="B17" s="29" t="n">
        <v>33.98</v>
      </c>
      <c r="C17" s="30" t="n">
        <v>0.0003</v>
      </c>
      <c r="D17" s="29" t="n">
        <v>0</v>
      </c>
      <c r="E17" s="29" t="n">
        <v>0</v>
      </c>
      <c r="F17" s="2" t="n">
        <v>2</v>
      </c>
      <c r="G17" s="31" t="n">
        <v>0</v>
      </c>
      <c r="H17" s="32" t="n"/>
      <c r="I17" s="32" t="n">
        <v>0</v>
      </c>
      <c r="J17" s="32" t="n">
        <v>0</v>
      </c>
      <c r="K17" s="31" t="n">
        <v>0</v>
      </c>
      <c r="L17" s="32" t="n">
        <v>0</v>
      </c>
      <c r="M17" s="31" t="n">
        <v>0</v>
      </c>
      <c r="N17" s="31" t="n">
        <v>0</v>
      </c>
      <c r="O17" s="3" t="n">
        <v>0</v>
      </c>
      <c r="P17" s="3" t="n">
        <v>0</v>
      </c>
      <c r="Q17" s="32" t="n">
        <v>0</v>
      </c>
      <c r="R17" s="3" t="n">
        <v>0</v>
      </c>
      <c r="S17" s="32" t="n">
        <v>0</v>
      </c>
      <c r="T17" s="2" t="n">
        <v>0</v>
      </c>
      <c r="U17" s="2" t="n">
        <v>21</v>
      </c>
      <c r="V17" s="4" t="n">
        <v>21</v>
      </c>
      <c r="W17" s="33" t="n">
        <v>33.98</v>
      </c>
      <c r="X17" s="4" t="n">
        <v>2</v>
      </c>
      <c r="Y17" s="34" t="n">
        <v>0.09520000000000001</v>
      </c>
      <c r="Z17" s="34" t="n">
        <v>1</v>
      </c>
      <c r="AA17" s="2" t="n">
        <v>1890</v>
      </c>
      <c r="AB17" s="2" t="n">
        <v>3</v>
      </c>
    </row>
    <row r="18">
      <c r="A18" t="inlineStr">
        <is>
          <t>Garden &amp; Patio</t>
        </is>
      </c>
      <c r="B18" s="29" t="n">
        <v>27.99</v>
      </c>
      <c r="C18" s="30" t="n">
        <v>0.0002</v>
      </c>
      <c r="D18" s="29" t="n">
        <v>0</v>
      </c>
      <c r="E18" s="29" t="n">
        <v>0</v>
      </c>
      <c r="F18" s="2" t="n">
        <v>1</v>
      </c>
      <c r="G18" s="31" t="n">
        <v>0</v>
      </c>
      <c r="H18" s="32" t="n"/>
      <c r="I18" s="32" t="n">
        <v>0</v>
      </c>
      <c r="J18" s="32" t="n">
        <v>0</v>
      </c>
      <c r="K18" s="31" t="n">
        <v>0</v>
      </c>
      <c r="L18" s="32" t="n">
        <v>0</v>
      </c>
      <c r="M18" s="31" t="n">
        <v>0</v>
      </c>
      <c r="N18" s="31" t="n">
        <v>0</v>
      </c>
      <c r="O18" s="3" t="n">
        <v>0</v>
      </c>
      <c r="P18" s="3" t="n">
        <v>0</v>
      </c>
      <c r="Q18" s="32" t="n">
        <v>0</v>
      </c>
      <c r="R18" s="3" t="n">
        <v>0</v>
      </c>
      <c r="S18" s="32" t="n">
        <v>0</v>
      </c>
      <c r="T18" s="2" t="n">
        <v>0</v>
      </c>
      <c r="U18" s="2" t="n">
        <v>115</v>
      </c>
      <c r="V18" s="4" t="n">
        <v>115</v>
      </c>
      <c r="W18" s="33" t="n">
        <v>27.99</v>
      </c>
      <c r="X18" s="4" t="n">
        <v>1</v>
      </c>
      <c r="Y18" s="34" t="n">
        <v>0.008699999999999999</v>
      </c>
      <c r="Z18" s="34" t="n">
        <v>1</v>
      </c>
      <c r="AA18" s="2" t="n">
        <v>11880</v>
      </c>
      <c r="AB18" s="2" t="n">
        <v>1</v>
      </c>
    </row>
    <row r="19">
      <c r="A19" t="inlineStr">
        <is>
          <t>Carriers &amp; Accessories</t>
        </is>
      </c>
      <c r="B19" s="29" t="n">
        <v>23.94</v>
      </c>
      <c r="C19" s="30" t="n">
        <v>0.0002</v>
      </c>
      <c r="D19" s="29" t="n">
        <v>0</v>
      </c>
      <c r="E19" s="29" t="n">
        <v>0</v>
      </c>
      <c r="F19" s="2" t="n">
        <v>3</v>
      </c>
      <c r="G19" s="31" t="n">
        <v>0</v>
      </c>
      <c r="H19" s="32" t="n"/>
      <c r="I19" s="32" t="n">
        <v>0</v>
      </c>
      <c r="J19" s="32" t="n">
        <v>0</v>
      </c>
      <c r="K19" s="31" t="n">
        <v>0</v>
      </c>
      <c r="L19" s="32" t="n">
        <v>0</v>
      </c>
      <c r="M19" s="31" t="n">
        <v>0</v>
      </c>
      <c r="N19" s="31" t="n">
        <v>0</v>
      </c>
      <c r="O19" s="3" t="n">
        <v>0</v>
      </c>
      <c r="P19" s="3" t="n">
        <v>0</v>
      </c>
      <c r="Q19" s="32" t="n">
        <v>0</v>
      </c>
      <c r="R19" s="3" t="n">
        <v>0</v>
      </c>
      <c r="S19" s="32" t="n">
        <v>0</v>
      </c>
      <c r="T19" s="2" t="n">
        <v>0</v>
      </c>
      <c r="U19" s="2" t="n">
        <v>31</v>
      </c>
      <c r="V19" s="4" t="n">
        <v>31</v>
      </c>
      <c r="W19" s="33" t="n">
        <v>23.94</v>
      </c>
      <c r="X19" s="4" t="n">
        <v>3</v>
      </c>
      <c r="Y19" s="34" t="n">
        <v>0.0968</v>
      </c>
      <c r="Z19" s="34" t="n">
        <v>1</v>
      </c>
      <c r="AA19" s="2" t="n">
        <v>3870</v>
      </c>
      <c r="AB19" s="2" t="n">
        <v>2</v>
      </c>
    </row>
    <row r="20">
      <c r="A20" t="inlineStr">
        <is>
          <t>Beauty, Personal Care, &amp; Hygiene</t>
        </is>
      </c>
      <c r="B20" s="29" t="n">
        <v>18</v>
      </c>
      <c r="C20" s="30" t="n">
        <v>0.0002</v>
      </c>
      <c r="D20" s="29" t="n">
        <v>0</v>
      </c>
      <c r="E20" s="29" t="n">
        <v>0</v>
      </c>
      <c r="F20" s="2" t="n">
        <v>1</v>
      </c>
      <c r="G20" s="31" t="n">
        <v>0</v>
      </c>
      <c r="H20" s="32" t="n"/>
      <c r="I20" s="32" t="n">
        <v>0</v>
      </c>
      <c r="J20" s="32" t="n">
        <v>0</v>
      </c>
      <c r="K20" s="31" t="n">
        <v>0</v>
      </c>
      <c r="L20" s="32" t="n">
        <v>0</v>
      </c>
      <c r="M20" s="31" t="n">
        <v>0</v>
      </c>
      <c r="N20" s="31" t="n">
        <v>0</v>
      </c>
      <c r="O20" s="3" t="n">
        <v>0</v>
      </c>
      <c r="P20" s="3" t="n">
        <v>0</v>
      </c>
      <c r="Q20" s="32" t="n">
        <v>0</v>
      </c>
      <c r="R20" s="3" t="n">
        <v>0</v>
      </c>
      <c r="S20" s="32" t="n">
        <v>0</v>
      </c>
      <c r="T20" s="2" t="n">
        <v>0</v>
      </c>
      <c r="U20" s="2" t="n">
        <v>27</v>
      </c>
      <c r="V20" s="4" t="n">
        <v>27</v>
      </c>
      <c r="W20" s="33" t="n">
        <v>18</v>
      </c>
      <c r="X20" s="4" t="n">
        <v>1</v>
      </c>
      <c r="Y20" s="34" t="n">
        <v>0.037</v>
      </c>
      <c r="Z20" s="34" t="n">
        <v>1</v>
      </c>
      <c r="AA20" s="2" t="n">
        <v>54000</v>
      </c>
      <c r="AB20" s="2" t="n">
        <v>4</v>
      </c>
    </row>
    <row r="21">
      <c r="A21" t="inlineStr">
        <is>
          <t>Decorations &amp; Favors</t>
        </is>
      </c>
      <c r="B21" s="29" t="n">
        <v>7.99</v>
      </c>
      <c r="C21" s="30" t="n">
        <v>0.0001</v>
      </c>
      <c r="D21" s="29" t="n">
        <v>15.97999954223633</v>
      </c>
      <c r="E21" s="29" t="n">
        <v>0</v>
      </c>
      <c r="F21" s="2" t="n">
        <v>1</v>
      </c>
      <c r="G21" s="31" t="n">
        <v>0</v>
      </c>
      <c r="H21" s="32" t="n"/>
      <c r="I21" s="32" t="n">
        <v>0</v>
      </c>
      <c r="J21" s="32" t="n">
        <v>0.291</v>
      </c>
      <c r="K21" s="31" t="n">
        <v>0</v>
      </c>
      <c r="L21" s="32" t="n">
        <v>0</v>
      </c>
      <c r="M21" s="31" t="n">
        <v>0</v>
      </c>
      <c r="N21" s="31" t="n">
        <v>0</v>
      </c>
      <c r="O21" s="3" t="n">
        <v>0</v>
      </c>
      <c r="P21" s="3" t="n">
        <v>0</v>
      </c>
      <c r="Q21" s="32" t="n">
        <v>0</v>
      </c>
      <c r="R21" s="3" t="n">
        <v>0</v>
      </c>
      <c r="S21" s="32" t="n">
        <v>0</v>
      </c>
      <c r="T21" s="2" t="n">
        <v>0</v>
      </c>
      <c r="U21" s="2" t="n">
        <v>647</v>
      </c>
      <c r="V21" s="4" t="n">
        <v>647</v>
      </c>
      <c r="W21" s="33" t="n">
        <v>7.99</v>
      </c>
      <c r="X21" s="4" t="n">
        <v>1</v>
      </c>
      <c r="Y21" s="34" t="n">
        <v>0.0015</v>
      </c>
      <c r="Z21" s="34" t="n">
        <v>1</v>
      </c>
      <c r="AA21" s="2" t="n">
        <v>471825</v>
      </c>
      <c r="AB21" s="2" t="n">
        <v>50</v>
      </c>
    </row>
    <row r="22">
      <c r="A22" t="inlineStr">
        <is>
          <t>Toy</t>
        </is>
      </c>
      <c r="B22" s="29" t="n">
        <v>0</v>
      </c>
      <c r="C22" s="30" t="n"/>
      <c r="D22" s="29" t="n">
        <v>0</v>
      </c>
      <c r="E22" s="29" t="n">
        <v>0</v>
      </c>
      <c r="F22" s="2" t="n">
        <v>0</v>
      </c>
      <c r="G22" s="31" t="n">
        <v>0</v>
      </c>
      <c r="H22" s="32" t="n"/>
      <c r="I22" s="32" t="n">
        <v>0</v>
      </c>
      <c r="J22" s="32" t="n">
        <v>0</v>
      </c>
      <c r="K22" s="31" t="n">
        <v>0</v>
      </c>
      <c r="L22" s="32" t="n">
        <v>0</v>
      </c>
      <c r="M22" s="31" t="n">
        <v>0</v>
      </c>
      <c r="N22" s="31" t="n">
        <v>0</v>
      </c>
      <c r="O22" s="3" t="n">
        <v>0</v>
      </c>
      <c r="P22" s="3" t="n">
        <v>0</v>
      </c>
      <c r="Q22" s="32" t="n">
        <v>0</v>
      </c>
      <c r="R22" s="3" t="n">
        <v>0</v>
      </c>
      <c r="S22" s="32" t="n">
        <v>0</v>
      </c>
      <c r="T22" s="2" t="n">
        <v>0</v>
      </c>
      <c r="U22" s="2" t="n">
        <v>2</v>
      </c>
      <c r="V22" s="4" t="n">
        <v>2</v>
      </c>
      <c r="W22" s="33" t="n">
        <v>0</v>
      </c>
      <c r="X22" s="4" t="n">
        <v>0</v>
      </c>
      <c r="Y22" s="34" t="n"/>
      <c r="Z22" s="34" t="n">
        <v>0</v>
      </c>
      <c r="AA22" s="2" t="n">
        <v>0</v>
      </c>
      <c r="AB22" s="2" t="n">
        <v>1</v>
      </c>
    </row>
    <row r="23">
      <c r="A23" t="inlineStr">
        <is>
          <t>No Category</t>
        </is>
      </c>
      <c r="B23" s="29" t="n">
        <v>0</v>
      </c>
      <c r="C23" s="30" t="n"/>
      <c r="D23" s="29" t="n">
        <v>0</v>
      </c>
      <c r="E23" s="29" t="n">
        <v>0</v>
      </c>
      <c r="F23" s="2" t="n">
        <v>0</v>
      </c>
      <c r="G23" s="31" t="n">
        <v>0</v>
      </c>
      <c r="H23" s="32" t="n"/>
      <c r="I23" s="32" t="n">
        <v>0</v>
      </c>
      <c r="J23" s="32" t="n">
        <v>0</v>
      </c>
      <c r="K23" s="31" t="n">
        <v>0</v>
      </c>
      <c r="L23" s="32" t="n">
        <v>0</v>
      </c>
      <c r="M23" s="31" t="n">
        <v>0</v>
      </c>
      <c r="N23" s="31" t="n">
        <v>0</v>
      </c>
      <c r="O23" s="3" t="n">
        <v>0</v>
      </c>
      <c r="P23" s="3" t="n">
        <v>0</v>
      </c>
      <c r="Q23" s="32" t="n">
        <v>0</v>
      </c>
      <c r="R23" s="3" t="n">
        <v>0</v>
      </c>
      <c r="S23" s="32" t="n">
        <v>0</v>
      </c>
      <c r="T23" s="2" t="n">
        <v>0</v>
      </c>
      <c r="U23" s="2" t="n">
        <v>2</v>
      </c>
      <c r="V23" s="4" t="n">
        <v>2</v>
      </c>
      <c r="W23" s="33" t="n">
        <v>0</v>
      </c>
      <c r="X23" s="4" t="n">
        <v>0</v>
      </c>
      <c r="Y23" s="34" t="n"/>
      <c r="Z23" s="34" t="n">
        <v>0</v>
      </c>
      <c r="AA23" s="2" t="n">
        <v>0</v>
      </c>
      <c r="AB23" s="2" t="n">
        <v>13</v>
      </c>
    </row>
    <row r="24">
      <c r="A24" t="inlineStr">
        <is>
          <t>Dresses</t>
        </is>
      </c>
      <c r="B24" s="29" t="n">
        <v>0</v>
      </c>
      <c r="C24" s="30" t="n"/>
      <c r="D24" s="29" t="n">
        <v>0</v>
      </c>
      <c r="E24" s="29" t="n">
        <v>0</v>
      </c>
      <c r="F24" s="2" t="n">
        <v>0</v>
      </c>
      <c r="G24" s="31" t="n">
        <v>0</v>
      </c>
      <c r="H24" s="32" t="n"/>
      <c r="I24" s="32" t="n">
        <v>0</v>
      </c>
      <c r="J24" s="32" t="n">
        <v>0</v>
      </c>
      <c r="K24" s="31" t="n">
        <v>0</v>
      </c>
      <c r="L24" s="32" t="n">
        <v>0</v>
      </c>
      <c r="M24" s="31" t="n">
        <v>0</v>
      </c>
      <c r="N24" s="31" t="n">
        <v>0</v>
      </c>
      <c r="O24" s="3" t="n">
        <v>0</v>
      </c>
      <c r="P24" s="3" t="n">
        <v>0</v>
      </c>
      <c r="Q24" s="32" t="n">
        <v>0</v>
      </c>
      <c r="R24" s="3" t="n">
        <v>0</v>
      </c>
      <c r="S24" s="32" t="n">
        <v>0</v>
      </c>
      <c r="T24" s="2" t="n">
        <v>0</v>
      </c>
      <c r="U24" s="2" t="n">
        <v>9</v>
      </c>
      <c r="V24" s="4" t="n">
        <v>9</v>
      </c>
      <c r="W24" s="33" t="n">
        <v>0</v>
      </c>
      <c r="X24" s="4" t="n">
        <v>0</v>
      </c>
      <c r="Y24" s="34" t="n"/>
      <c r="Z24" s="34" t="n">
        <v>0</v>
      </c>
      <c r="AA24" s="2" t="n">
        <v>0</v>
      </c>
      <c r="AB24" s="2" t="n">
        <v>7</v>
      </c>
    </row>
    <row r="25">
      <c r="A25" t="inlineStr">
        <is>
          <t>Other</t>
        </is>
      </c>
      <c r="B25" s="29" t="n">
        <v>0</v>
      </c>
      <c r="C25" s="30" t="n"/>
      <c r="D25" s="29" t="n">
        <v>0</v>
      </c>
      <c r="E25" s="29" t="n">
        <v>0</v>
      </c>
      <c r="F25" s="2" t="n">
        <v>0</v>
      </c>
      <c r="G25" s="31" t="n">
        <v>0</v>
      </c>
      <c r="H25" s="32" t="n"/>
      <c r="I25" s="32" t="n">
        <v>0</v>
      </c>
      <c r="J25" s="32" t="n">
        <v>0</v>
      </c>
      <c r="K25" s="31" t="n">
        <v>0</v>
      </c>
      <c r="L25" s="32" t="n">
        <v>0</v>
      </c>
      <c r="M25" s="31" t="n">
        <v>0</v>
      </c>
      <c r="N25" s="31" t="n">
        <v>0</v>
      </c>
      <c r="O25" s="3" t="n">
        <v>0</v>
      </c>
      <c r="P25" s="3" t="n">
        <v>0</v>
      </c>
      <c r="Q25" s="32" t="n">
        <v>0</v>
      </c>
      <c r="R25" s="3" t="n">
        <v>0</v>
      </c>
      <c r="S25" s="32" t="n">
        <v>0</v>
      </c>
      <c r="T25" s="2" t="n">
        <v>0</v>
      </c>
      <c r="U25" s="2" t="n">
        <v>1</v>
      </c>
      <c r="V25" s="4" t="n">
        <v>1</v>
      </c>
      <c r="W25" s="33" t="n">
        <v>0</v>
      </c>
      <c r="X25" s="4" t="n">
        <v>0</v>
      </c>
      <c r="Y25" s="34" t="n"/>
      <c r="Z25" s="34" t="n">
        <v>0</v>
      </c>
      <c r="AA25" s="2" t="n">
        <v>0</v>
      </c>
      <c r="AB25" s="2" t="n">
        <v>1</v>
      </c>
    </row>
    <row r="26">
      <c r="A26" t="inlineStr">
        <is>
          <t>Electronics Other</t>
        </is>
      </c>
      <c r="B26" s="29" t="n">
        <v>0</v>
      </c>
      <c r="C26" s="30" t="n"/>
      <c r="D26" s="29" t="n">
        <v>0</v>
      </c>
      <c r="E26" s="29" t="n">
        <v>0</v>
      </c>
      <c r="F26" s="2" t="n">
        <v>0</v>
      </c>
      <c r="G26" s="31" t="n">
        <v>0</v>
      </c>
      <c r="H26" s="32" t="n"/>
      <c r="I26" s="32" t="n">
        <v>0</v>
      </c>
      <c r="J26" s="32" t="n">
        <v>0</v>
      </c>
      <c r="K26" s="31" t="n">
        <v>0</v>
      </c>
      <c r="L26" s="32" t="n">
        <v>0</v>
      </c>
      <c r="M26" s="31" t="n">
        <v>0</v>
      </c>
      <c r="N26" s="31" t="n">
        <v>0</v>
      </c>
      <c r="O26" s="3" t="n">
        <v>0</v>
      </c>
      <c r="P26" s="3" t="n">
        <v>0</v>
      </c>
      <c r="Q26" s="32" t="n">
        <v>0</v>
      </c>
      <c r="R26" s="3" t="n">
        <v>0</v>
      </c>
      <c r="S26" s="32" t="n">
        <v>0</v>
      </c>
      <c r="T26" s="2" t="n">
        <v>0</v>
      </c>
      <c r="U26" s="2" t="n">
        <v>0</v>
      </c>
      <c r="V26" s="4" t="n">
        <v>0</v>
      </c>
      <c r="W26" s="33" t="n">
        <v>0</v>
      </c>
      <c r="X26" s="4" t="n">
        <v>0</v>
      </c>
      <c r="Y26" s="34" t="n"/>
      <c r="Z26" s="34" t="n">
        <v>0</v>
      </c>
      <c r="AA26" s="2" t="n">
        <v>0</v>
      </c>
      <c r="AB26" s="2" t="n">
        <v>1</v>
      </c>
    </row>
    <row r="27">
      <c r="A27" t="inlineStr">
        <is>
          <t>Electronics Cables</t>
        </is>
      </c>
      <c r="B27" s="29" t="n">
        <v>0</v>
      </c>
      <c r="C27" s="30" t="n"/>
      <c r="D27" s="29" t="n">
        <v>0</v>
      </c>
      <c r="E27" s="29" t="n">
        <v>0</v>
      </c>
      <c r="F27" s="2" t="n">
        <v>0</v>
      </c>
      <c r="G27" s="31" t="n">
        <v>0</v>
      </c>
      <c r="H27" s="32" t="n"/>
      <c r="I27" s="32" t="n">
        <v>0</v>
      </c>
      <c r="J27" s="32" t="n">
        <v>0</v>
      </c>
      <c r="K27" s="31" t="n">
        <v>0</v>
      </c>
      <c r="L27" s="32" t="n">
        <v>0</v>
      </c>
      <c r="M27" s="31" t="n">
        <v>0</v>
      </c>
      <c r="N27" s="31" t="n">
        <v>0</v>
      </c>
      <c r="O27" s="3" t="n">
        <v>0</v>
      </c>
      <c r="P27" s="3" t="n">
        <v>0</v>
      </c>
      <c r="Q27" s="32" t="n">
        <v>0</v>
      </c>
      <c r="R27" s="3" t="n">
        <v>0</v>
      </c>
      <c r="S27" s="32" t="n">
        <v>0</v>
      </c>
      <c r="T27" s="2" t="n">
        <v>0</v>
      </c>
      <c r="U27" s="2" t="n">
        <v>1</v>
      </c>
      <c r="V27" s="4" t="n">
        <v>1</v>
      </c>
      <c r="W27" s="33" t="n">
        <v>0</v>
      </c>
      <c r="X27" s="4" t="n">
        <v>0</v>
      </c>
      <c r="Y27" s="34" t="n"/>
      <c r="Z27" s="34" t="n">
        <v>0</v>
      </c>
      <c r="AA27" s="2" t="n">
        <v>0</v>
      </c>
      <c r="AB27" s="2" t="n">
        <v>1</v>
      </c>
    </row>
    <row r="28">
      <c r="A28" t="inlineStr">
        <is>
          <t>Weapons</t>
        </is>
      </c>
      <c r="B28" s="29" t="n">
        <v>0</v>
      </c>
      <c r="C28" s="30" t="n"/>
      <c r="D28" s="29" t="n">
        <v>0</v>
      </c>
      <c r="E28" s="29" t="n">
        <v>0</v>
      </c>
      <c r="F28" s="2" t="n">
        <v>0</v>
      </c>
      <c r="G28" s="31" t="n">
        <v>0</v>
      </c>
      <c r="H28" s="32" t="n"/>
      <c r="I28" s="32" t="n">
        <v>0</v>
      </c>
      <c r="J28" s="32" t="n">
        <v>0</v>
      </c>
      <c r="K28" s="31" t="n">
        <v>0</v>
      </c>
      <c r="L28" s="32" t="n">
        <v>0</v>
      </c>
      <c r="M28" s="31" t="n">
        <v>0</v>
      </c>
      <c r="N28" s="31" t="n">
        <v>0</v>
      </c>
      <c r="O28" s="3" t="n">
        <v>0</v>
      </c>
      <c r="P28" s="3" t="n">
        <v>0</v>
      </c>
      <c r="Q28" s="32" t="n">
        <v>0</v>
      </c>
      <c r="R28" s="3" t="n">
        <v>0</v>
      </c>
      <c r="S28" s="32" t="n">
        <v>0</v>
      </c>
      <c r="T28" s="2" t="n">
        <v>0</v>
      </c>
      <c r="U28" s="2" t="n">
        <v>0</v>
      </c>
      <c r="V28" s="4" t="n">
        <v>0</v>
      </c>
      <c r="W28" s="33" t="n">
        <v>0</v>
      </c>
      <c r="X28" s="4" t="n">
        <v>0</v>
      </c>
      <c r="Y28" s="34" t="n"/>
      <c r="Z28" s="34" t="n">
        <v>0</v>
      </c>
      <c r="AA28" s="2" t="n">
        <v>0</v>
      </c>
      <c r="AB28" s="2" t="n">
        <v>1</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B40"/>
  <sheetViews>
    <sheetView workbookViewId="0">
      <pane xSplit="1" ySplit="3" topLeftCell="B4" activePane="bottomRight" state="frozen"/>
      <selection pane="topRight" activeCell="A1" sqref="A1"/>
      <selection pane="bottomLeft" activeCell="A1" sqref="A1"/>
      <selection pane="bottomRight" activeCell="A1" sqref="A1"/>
    </sheetView>
  </sheetViews>
  <sheetFormatPr baseColWidth="10" defaultColWidth="8.83203125" defaultRowHeight="15"/>
  <sheetData>
    <row r="1">
      <c r="A1" s="9" t="inlineStr">
        <is>
          <t>01/01/2025 - 05/15/2025 (135 days)</t>
        </is>
      </c>
      <c r="B1" s="8" t="n"/>
      <c r="C1" s="10" t="inlineStr">
        <is>
          <t>(Sales of each Type / Total Sales)</t>
        </is>
      </c>
      <c r="D1" s="8" t="n"/>
      <c r="E1" s="8" t="n"/>
      <c r="G1" s="8" t="n"/>
      <c r="H1" s="10" t="inlineStr">
        <is>
          <t>(Adspend on each Type / Total Adspend)</t>
        </is>
      </c>
      <c r="I1" s="7" t="n"/>
      <c r="J1" s="7" t="n"/>
      <c r="K1" s="8" t="n"/>
      <c r="L1" s="7" t="n"/>
      <c r="M1" s="8" t="n"/>
      <c r="N1" s="8" t="n"/>
      <c r="Q1" s="7" t="n"/>
      <c r="S1" s="7" t="n"/>
      <c r="T1" s="11" t="inlineStr">
        <is>
          <t>Total pageviews of the Enhanced brand content</t>
        </is>
      </c>
      <c r="V1" s="11" t="inlineStr">
        <is>
          <t>Estimated number of organic pageviews, calculated based on the (Max (page views - ebc views, ebc views) - ad clicks)</t>
        </is>
      </c>
      <c r="W1" s="12" t="inlineStr">
        <is>
          <t>(Total sales - Ad sales)</t>
        </is>
      </c>
      <c r="X1" s="11" t="inlineStr">
        <is>
          <t>(Total units sold - Ad units sold)</t>
        </is>
      </c>
      <c r="Y1" s="10" t="inlineStr">
        <is>
          <t>(Organic units sold / Organic views)</t>
        </is>
      </c>
      <c r="Z1" s="10" t="inlineStr">
        <is>
          <t>(Organic sales / Total sales)</t>
        </is>
      </c>
      <c r="AA1" s="11" t="inlineStr">
        <is>
          <t>(Available Inventory / Avg Daily Units Sold in Last 135 days)</t>
        </is>
      </c>
      <c r="AB1" s="11" t="n"/>
    </row>
    <row r="2">
      <c r="B2" s="13">
        <f>SUBTOTAL(9, B3:B40)</f>
        <v/>
      </c>
      <c r="D2" s="13">
        <f>SUBTOTAL(9, D3:D40)</f>
        <v/>
      </c>
      <c r="E2" s="13">
        <f>SUBTOTAL(9, E3:E40)</f>
        <v/>
      </c>
      <c r="F2" s="14">
        <f>SUBTOTAL(9, F3:F40)</f>
        <v/>
      </c>
      <c r="G2" s="15">
        <f>SUBTOTAL(9, G3:G40)</f>
        <v/>
      </c>
      <c r="I2" s="16">
        <f>G2/B2</f>
        <v/>
      </c>
      <c r="K2" s="15">
        <f>M2/G2</f>
        <v/>
      </c>
      <c r="L2" s="16">
        <f>G2/M2</f>
        <v/>
      </c>
      <c r="M2" s="15">
        <f>SUBTOTAL(9, M3:M40)</f>
        <v/>
      </c>
      <c r="N2" s="15">
        <f>SUBTOTAL(9, N3:N40)</f>
        <v/>
      </c>
      <c r="O2" s="17">
        <f>SUBTOTAL(9, O3:O40)</f>
        <v/>
      </c>
      <c r="P2" s="17">
        <f>SUBTOTAL(9, P3:P40)</f>
        <v/>
      </c>
      <c r="Q2" s="16">
        <f>P2/O2</f>
        <v/>
      </c>
      <c r="R2" s="17">
        <f>SUBTOTAL(9, R3:R40)</f>
        <v/>
      </c>
      <c r="S2" s="16">
        <f>R2/P2</f>
        <v/>
      </c>
      <c r="T2" s="14">
        <f>SUBTOTAL(9, T3:T40)</f>
        <v/>
      </c>
      <c r="U2" s="14">
        <f>SUBTOTAL(9, U3:U40)</f>
        <v/>
      </c>
      <c r="V2" s="18">
        <f>SUBTOTAL(9, V3:V40)</f>
        <v/>
      </c>
      <c r="W2" s="19">
        <f>SUBTOTAL(9, W3:W40)</f>
        <v/>
      </c>
      <c r="X2" s="18">
        <f>SUBTOTAL(9, X3:X40)</f>
        <v/>
      </c>
      <c r="AA2" s="14">
        <f>SUBTOTAL(9, AA3:AA40)</f>
        <v/>
      </c>
    </row>
    <row r="3" ht="48" customHeight="1">
      <c r="A3" s="6" t="inlineStr">
        <is>
          <t>Brand</t>
        </is>
      </c>
      <c r="B3" s="20" t="inlineStr">
        <is>
          <t>Total Net Sales</t>
        </is>
      </c>
      <c r="C3" s="21" t="inlineStr">
        <is>
          <t>Share of Sales</t>
        </is>
      </c>
      <c r="D3" s="20" t="inlineStr">
        <is>
          <t>Return Sales</t>
        </is>
      </c>
      <c r="E3" s="20" t="inlineStr">
        <is>
          <t>Cancelled Sales</t>
        </is>
      </c>
      <c r="F3" s="22" t="inlineStr">
        <is>
          <t>Total Net Unit Sold</t>
        </is>
      </c>
      <c r="G3" s="23" t="inlineStr">
        <is>
          <t>Ad Spend</t>
        </is>
      </c>
      <c r="H3" s="24" t="inlineStr">
        <is>
          <t>Share of Ad Spend</t>
        </is>
      </c>
      <c r="I3" s="24" t="inlineStr">
        <is>
          <t>TACOS</t>
        </is>
      </c>
      <c r="J3" s="24" t="inlineStr">
        <is>
          <t>Previous TACOS</t>
        </is>
      </c>
      <c r="K3" s="23" t="inlineStr">
        <is>
          <t>ROAS</t>
        </is>
      </c>
      <c r="L3" s="24" t="inlineStr">
        <is>
          <t>ACOS</t>
        </is>
      </c>
      <c r="M3" s="23" t="inlineStr">
        <is>
          <t>Ad Sales</t>
        </is>
      </c>
      <c r="N3" s="23" t="inlineStr">
        <is>
          <t>Ad SKU Sales</t>
        </is>
      </c>
      <c r="O3" s="25" t="inlineStr">
        <is>
          <t>Ad Impressions</t>
        </is>
      </c>
      <c r="P3" s="25" t="inlineStr">
        <is>
          <t>Ad Clicks</t>
        </is>
      </c>
      <c r="Q3" s="24" t="inlineStr">
        <is>
          <t>CTR</t>
        </is>
      </c>
      <c r="R3" s="25" t="inlineStr">
        <is>
          <t>Ad Units Sold</t>
        </is>
      </c>
      <c r="S3" s="24" t="inlineStr">
        <is>
          <t>Ad Conversion</t>
        </is>
      </c>
      <c r="T3" s="22" t="inlineStr">
        <is>
          <t>Walmart Item Page Views</t>
        </is>
      </c>
      <c r="U3" s="22" t="inlineStr">
        <is>
          <t>EBC Page Views</t>
        </is>
      </c>
      <c r="V3" s="26" t="inlineStr">
        <is>
          <t>Organic Views</t>
        </is>
      </c>
      <c r="W3" s="27" t="inlineStr">
        <is>
          <t>Organic Sales</t>
        </is>
      </c>
      <c r="X3" s="26" t="inlineStr">
        <is>
          <t>Organic Units Sold</t>
        </is>
      </c>
      <c r="Y3" s="28" t="inlineStr">
        <is>
          <t>Organic Conversion</t>
        </is>
      </c>
      <c r="Z3" s="28" t="inlineStr">
        <is>
          <t>Share of Organic</t>
        </is>
      </c>
      <c r="AA3" s="22" t="inlineStr">
        <is>
          <t>Days of Inventory</t>
        </is>
      </c>
      <c r="AB3" s="22" t="inlineStr">
        <is>
          <t>Count of Item IDs</t>
        </is>
      </c>
    </row>
    <row r="4">
      <c r="A4" t="inlineStr">
        <is>
          <t>Tirrinia</t>
        </is>
      </c>
      <c r="B4" s="29" t="n">
        <v>42977.10000000002</v>
      </c>
      <c r="C4" s="30" t="n">
        <v>0.3707</v>
      </c>
      <c r="D4" s="29" t="n">
        <v>4488.099946022034</v>
      </c>
      <c r="E4" s="29" t="n">
        <v>1034.150022506714</v>
      </c>
      <c r="F4" s="2" t="n">
        <v>2794</v>
      </c>
      <c r="G4" s="31" t="n">
        <v>1386.71</v>
      </c>
      <c r="H4" s="32" t="n">
        <v>0.1663</v>
      </c>
      <c r="I4" s="32" t="n">
        <v>0.0323</v>
      </c>
      <c r="J4" s="32" t="n">
        <v>0.0925</v>
      </c>
      <c r="K4" s="31" t="n">
        <v>2.49</v>
      </c>
      <c r="L4" s="32" t="n">
        <v>0.4</v>
      </c>
      <c r="M4" s="31" t="n">
        <v>3455.439999999999</v>
      </c>
      <c r="N4" s="31" t="n">
        <v>2999.669999999999</v>
      </c>
      <c r="O4" s="3" t="n">
        <v>1776957</v>
      </c>
      <c r="P4" s="3" t="n">
        <v>3331</v>
      </c>
      <c r="Q4" s="32" t="n">
        <v>0.0019</v>
      </c>
      <c r="R4" s="3" t="n">
        <v>154</v>
      </c>
      <c r="S4" s="32" t="n">
        <v>0.0462</v>
      </c>
      <c r="T4" s="2" t="n">
        <v>55158</v>
      </c>
      <c r="U4" s="2" t="n">
        <v>36831</v>
      </c>
      <c r="V4" s="4" t="n">
        <v>33500</v>
      </c>
      <c r="W4" s="33" t="n">
        <v>39521.66000000002</v>
      </c>
      <c r="X4" s="4" t="n">
        <v>2640</v>
      </c>
      <c r="Y4" s="34" t="n">
        <v>0.0788</v>
      </c>
      <c r="Z4" s="34" t="n">
        <v>0.9196</v>
      </c>
      <c r="AA4" s="2" t="n">
        <v>2124</v>
      </c>
      <c r="AB4" s="2" t="n">
        <v>606</v>
      </c>
    </row>
    <row r="5">
      <c r="A5" t="inlineStr">
        <is>
          <t>Catalonia</t>
        </is>
      </c>
      <c r="B5" s="29" t="n">
        <v>31202.26999999999</v>
      </c>
      <c r="C5" s="30" t="n">
        <v>0.2691</v>
      </c>
      <c r="D5" s="29" t="n">
        <v>2925.310035705566</v>
      </c>
      <c r="E5" s="29" t="n">
        <v>303.9000053405762</v>
      </c>
      <c r="F5" s="2" t="n">
        <v>1105</v>
      </c>
      <c r="G5" s="31" t="n">
        <v>3476.539999999999</v>
      </c>
      <c r="H5" s="32" t="n">
        <v>0.4169</v>
      </c>
      <c r="I5" s="32" t="n">
        <v>0.1114</v>
      </c>
      <c r="J5" s="32" t="n">
        <v>0.07149999999999999</v>
      </c>
      <c r="K5" s="31" t="n">
        <v>2.96</v>
      </c>
      <c r="L5" s="32" t="n">
        <v>0.34</v>
      </c>
      <c r="M5" s="31" t="n">
        <v>10306.83999999999</v>
      </c>
      <c r="N5" s="31" t="n">
        <v>9153.259999999993</v>
      </c>
      <c r="O5" s="3" t="n">
        <v>4122795</v>
      </c>
      <c r="P5" s="3" t="n">
        <v>9068</v>
      </c>
      <c r="Q5" s="32" t="n">
        <v>0.0022</v>
      </c>
      <c r="R5" s="3" t="n">
        <v>397</v>
      </c>
      <c r="S5" s="32" t="n">
        <v>0.0438</v>
      </c>
      <c r="T5" s="2" t="n">
        <v>26149</v>
      </c>
      <c r="U5" s="2" t="n">
        <v>27427</v>
      </c>
      <c r="V5" s="4" t="n">
        <v>18359</v>
      </c>
      <c r="W5" s="33" t="n">
        <v>20895.42999999999</v>
      </c>
      <c r="X5" s="4" t="n">
        <v>708</v>
      </c>
      <c r="Y5" s="34" t="n">
        <v>0.0386</v>
      </c>
      <c r="Z5" s="34" t="n">
        <v>0.6697</v>
      </c>
      <c r="AA5" s="2" t="n">
        <v>4345</v>
      </c>
      <c r="AB5" s="2" t="n">
        <v>595</v>
      </c>
    </row>
    <row r="6">
      <c r="A6" t="inlineStr">
        <is>
          <t>Flyingstar</t>
        </is>
      </c>
      <c r="B6" s="29" t="n">
        <v>9007.579999999998</v>
      </c>
      <c r="C6" s="30" t="n">
        <v>0.07770000000000001</v>
      </c>
      <c r="D6" s="29" t="n">
        <v>772.5199949741364</v>
      </c>
      <c r="E6" s="29" t="n">
        <v>113.0800018310547</v>
      </c>
      <c r="F6" s="2" t="n">
        <v>628</v>
      </c>
      <c r="G6" s="31" t="n">
        <v>680.9699999999998</v>
      </c>
      <c r="H6" s="32" t="n">
        <v>0.08169999999999999</v>
      </c>
      <c r="I6" s="32" t="n">
        <v>0.0756</v>
      </c>
      <c r="J6" s="32" t="n">
        <v>0.08790000000000001</v>
      </c>
      <c r="K6" s="31" t="n">
        <v>3.14</v>
      </c>
      <c r="L6" s="32" t="n">
        <v>0.32</v>
      </c>
      <c r="M6" s="31" t="n">
        <v>2141.11</v>
      </c>
      <c r="N6" s="31" t="n">
        <v>2127.12</v>
      </c>
      <c r="O6" s="3" t="n">
        <v>941675</v>
      </c>
      <c r="P6" s="3" t="n">
        <v>1840</v>
      </c>
      <c r="Q6" s="32" t="n">
        <v>0.002</v>
      </c>
      <c r="R6" s="3" t="n">
        <v>89</v>
      </c>
      <c r="S6" s="32" t="n">
        <v>0.0484</v>
      </c>
      <c r="T6" s="2" t="n">
        <v>30181</v>
      </c>
      <c r="U6" s="2" t="n">
        <v>9645</v>
      </c>
      <c r="V6" s="4" t="n">
        <v>18696</v>
      </c>
      <c r="W6" s="33" t="n">
        <v>6866.469999999998</v>
      </c>
      <c r="X6" s="4" t="n">
        <v>539</v>
      </c>
      <c r="Y6" s="34" t="n">
        <v>0.0288</v>
      </c>
      <c r="Z6" s="34" t="n">
        <v>0.7623</v>
      </c>
      <c r="AA6" s="2" t="n">
        <v>2874</v>
      </c>
      <c r="AB6" s="2" t="n">
        <v>202</v>
      </c>
    </row>
    <row r="7">
      <c r="A7" t="inlineStr">
        <is>
          <t>Wrangler</t>
        </is>
      </c>
      <c r="B7" s="29" t="n">
        <v>7924.379999999998</v>
      </c>
      <c r="C7" s="30" t="n">
        <v>0.0684</v>
      </c>
      <c r="D7" s="29" t="n">
        <v>1762.079986572266</v>
      </c>
      <c r="E7" s="29" t="n">
        <v>19.98999977111816</v>
      </c>
      <c r="F7" s="2" t="n">
        <v>380</v>
      </c>
      <c r="G7" s="31" t="n">
        <v>544.1800000000001</v>
      </c>
      <c r="H7" s="32" t="n">
        <v>0.0653</v>
      </c>
      <c r="I7" s="32" t="n">
        <v>0.0687</v>
      </c>
      <c r="J7" s="32" t="n">
        <v>0.1636</v>
      </c>
      <c r="K7" s="31" t="n">
        <v>5.12</v>
      </c>
      <c r="L7" s="32" t="n">
        <v>0.2</v>
      </c>
      <c r="M7" s="31" t="n">
        <v>2788.6</v>
      </c>
      <c r="N7" s="31" t="n">
        <v>2668.66</v>
      </c>
      <c r="O7" s="3" t="n">
        <v>113588</v>
      </c>
      <c r="P7" s="3" t="n">
        <v>1229</v>
      </c>
      <c r="Q7" s="32" t="n">
        <v>0.0108</v>
      </c>
      <c r="R7" s="3" t="n">
        <v>140</v>
      </c>
      <c r="S7" s="32" t="n">
        <v>0.1139</v>
      </c>
      <c r="T7" s="2" t="n">
        <v>1176</v>
      </c>
      <c r="U7" s="2" t="n">
        <v>4107</v>
      </c>
      <c r="V7" s="4" t="n">
        <v>2878</v>
      </c>
      <c r="W7" s="33" t="n">
        <v>5135.779999999999</v>
      </c>
      <c r="X7" s="4" t="n">
        <v>240</v>
      </c>
      <c r="Y7" s="34" t="n">
        <v>0.0834</v>
      </c>
      <c r="Z7" s="34" t="n">
        <v>0.6481</v>
      </c>
      <c r="AA7" s="2" t="n">
        <v>1975</v>
      </c>
      <c r="AB7" s="2" t="n">
        <v>86</v>
      </c>
    </row>
    <row r="8">
      <c r="A8" t="inlineStr">
        <is>
          <t>Kritter Planet</t>
        </is>
      </c>
      <c r="B8" s="29" t="n">
        <v>5319.23</v>
      </c>
      <c r="C8" s="30" t="n">
        <v>0.0459</v>
      </c>
      <c r="D8" s="29" t="n">
        <v>455.7899951934814</v>
      </c>
      <c r="E8" s="29" t="n">
        <v>25.98999977111816</v>
      </c>
      <c r="F8" s="2" t="n">
        <v>247</v>
      </c>
      <c r="G8" s="31" t="n">
        <v>511.4400000000001</v>
      </c>
      <c r="H8" s="32" t="n">
        <v>0.0613</v>
      </c>
      <c r="I8" s="32" t="n">
        <v>0.0961</v>
      </c>
      <c r="J8" s="32" t="n">
        <v>0.0961</v>
      </c>
      <c r="K8" s="31" t="n">
        <v>5.91</v>
      </c>
      <c r="L8" s="32" t="n">
        <v>0.17</v>
      </c>
      <c r="M8" s="31" t="n">
        <v>3020.260000000001</v>
      </c>
      <c r="N8" s="31" t="n">
        <v>2940.300000000001</v>
      </c>
      <c r="O8" s="3" t="n">
        <v>370384</v>
      </c>
      <c r="P8" s="3" t="n">
        <v>1446</v>
      </c>
      <c r="Q8" s="32" t="n">
        <v>0.0039</v>
      </c>
      <c r="R8" s="3" t="n">
        <v>140</v>
      </c>
      <c r="S8" s="32" t="n">
        <v>0.0968</v>
      </c>
      <c r="T8" s="2" t="n">
        <v>2612</v>
      </c>
      <c r="U8" s="2" t="n">
        <v>1240</v>
      </c>
      <c r="V8" s="4" t="inlineStr">
        <is>
          <t>NA</t>
        </is>
      </c>
      <c r="W8" s="33" t="n">
        <v>2298.97</v>
      </c>
      <c r="X8" s="4" t="n">
        <v>107</v>
      </c>
      <c r="Y8" s="34" t="inlineStr">
        <is>
          <t>NA</t>
        </is>
      </c>
      <c r="Z8" s="34" t="n">
        <v>0.4322</v>
      </c>
      <c r="AA8" s="2" t="n">
        <v>553</v>
      </c>
      <c r="AB8" s="2" t="n">
        <v>13</v>
      </c>
    </row>
    <row r="9">
      <c r="A9" t="inlineStr">
        <is>
          <t>Pawsse</t>
        </is>
      </c>
      <c r="B9" s="29" t="n">
        <v>5199.909999999999</v>
      </c>
      <c r="C9" s="30" t="n">
        <v>0.0449</v>
      </c>
      <c r="D9" s="29" t="n">
        <v>142.9199981689453</v>
      </c>
      <c r="E9" s="29" t="n">
        <v>26.98999977111816</v>
      </c>
      <c r="F9" s="2" t="n">
        <v>220</v>
      </c>
      <c r="G9" s="31" t="n">
        <v>776.4099999999999</v>
      </c>
      <c r="H9" s="32" t="n">
        <v>0.0931</v>
      </c>
      <c r="I9" s="32" t="n">
        <v>0.1493</v>
      </c>
      <c r="J9" s="32" t="n">
        <v>0.1612</v>
      </c>
      <c r="K9" s="31" t="n">
        <v>3.85</v>
      </c>
      <c r="L9" s="32" t="n">
        <v>0.26</v>
      </c>
      <c r="M9" s="31" t="n">
        <v>2989.67</v>
      </c>
      <c r="N9" s="31" t="n">
        <v>2554.83</v>
      </c>
      <c r="O9" s="3" t="n">
        <v>675120</v>
      </c>
      <c r="P9" s="3" t="n">
        <v>1856</v>
      </c>
      <c r="Q9" s="32" t="n">
        <v>0.0027</v>
      </c>
      <c r="R9" s="3" t="n">
        <v>132</v>
      </c>
      <c r="S9" s="32" t="n">
        <v>0.0711</v>
      </c>
      <c r="T9" s="2" t="n">
        <v>2182</v>
      </c>
      <c r="U9" s="2" t="n">
        <v>2731</v>
      </c>
      <c r="V9" s="4" t="n">
        <v>875</v>
      </c>
      <c r="W9" s="33" t="n">
        <v>2210.239999999999</v>
      </c>
      <c r="X9" s="4" t="n">
        <v>88</v>
      </c>
      <c r="Y9" s="34" t="n">
        <v>0.1006</v>
      </c>
      <c r="Z9" s="34" t="n">
        <v>0.4251</v>
      </c>
      <c r="AA9" s="2" t="n">
        <v>1576</v>
      </c>
      <c r="AB9" s="2" t="n">
        <v>41</v>
      </c>
    </row>
    <row r="10">
      <c r="A10" t="inlineStr">
        <is>
          <t>Solaris</t>
        </is>
      </c>
      <c r="B10" s="29" t="n">
        <v>4932.119999999994</v>
      </c>
      <c r="C10" s="30" t="n">
        <v>0.0425</v>
      </c>
      <c r="D10" s="29" t="n">
        <v>802.9699883460999</v>
      </c>
      <c r="E10" s="29" t="n">
        <v>93.93999862670898</v>
      </c>
      <c r="F10" s="2" t="n">
        <v>294</v>
      </c>
      <c r="G10" s="31" t="n">
        <v>547.6700000000001</v>
      </c>
      <c r="H10" s="32" t="n">
        <v>0.06569999999999999</v>
      </c>
      <c r="I10" s="32" t="n">
        <v>0.111</v>
      </c>
      <c r="J10" s="32" t="n">
        <v>0.1123</v>
      </c>
      <c r="K10" s="31" t="n">
        <v>3.33</v>
      </c>
      <c r="L10" s="32" t="n">
        <v>0.3</v>
      </c>
      <c r="M10" s="31" t="n">
        <v>1822.81</v>
      </c>
      <c r="N10" s="31" t="n">
        <v>1690.89</v>
      </c>
      <c r="O10" s="3" t="n">
        <v>992087</v>
      </c>
      <c r="P10" s="3" t="n">
        <v>1887</v>
      </c>
      <c r="Q10" s="32" t="n">
        <v>0.0019</v>
      </c>
      <c r="R10" s="3" t="n">
        <v>108</v>
      </c>
      <c r="S10" s="32" t="n">
        <v>0.0572</v>
      </c>
      <c r="T10" s="2" t="n">
        <v>2135</v>
      </c>
      <c r="U10" s="2" t="n">
        <v>4811</v>
      </c>
      <c r="V10" s="4" t="n">
        <v>2924</v>
      </c>
      <c r="W10" s="33" t="n">
        <v>3109.309999999994</v>
      </c>
      <c r="X10" s="4" t="n">
        <v>186</v>
      </c>
      <c r="Y10" s="34" t="n">
        <v>0.0636</v>
      </c>
      <c r="Z10" s="34" t="n">
        <v>0.6304</v>
      </c>
      <c r="AA10" s="2" t="n">
        <v>6154</v>
      </c>
      <c r="AB10" s="2" t="n">
        <v>173</v>
      </c>
    </row>
    <row r="11">
      <c r="A11" t="inlineStr">
        <is>
          <t>Kato</t>
        </is>
      </c>
      <c r="B11" s="29" t="n">
        <v>4559.71</v>
      </c>
      <c r="C11" s="30" t="n">
        <v>0.0393</v>
      </c>
      <c r="D11" s="29" t="n">
        <v>532.6299934387207</v>
      </c>
      <c r="E11" s="29" t="n">
        <v>38.96999931335449</v>
      </c>
      <c r="F11" s="2" t="n">
        <v>289</v>
      </c>
      <c r="G11" s="31" t="n">
        <v>300.1700000000001</v>
      </c>
      <c r="H11" s="32" t="n">
        <v>0.036</v>
      </c>
      <c r="I11" s="32" t="n">
        <v>0.0658</v>
      </c>
      <c r="J11" s="32" t="n">
        <v>0.1163</v>
      </c>
      <c r="K11" s="31" t="n">
        <v>1.93</v>
      </c>
      <c r="L11" s="32" t="n">
        <v>0.52</v>
      </c>
      <c r="M11" s="31" t="n">
        <v>578.77</v>
      </c>
      <c r="N11" s="31" t="n">
        <v>566.78</v>
      </c>
      <c r="O11" s="3" t="n">
        <v>304000</v>
      </c>
      <c r="P11" s="3" t="n">
        <v>729</v>
      </c>
      <c r="Q11" s="32" t="n">
        <v>0.0024</v>
      </c>
      <c r="R11" s="3" t="n">
        <v>23</v>
      </c>
      <c r="S11" s="32" t="n">
        <v>0.0316</v>
      </c>
      <c r="T11" s="2" t="n">
        <v>7996</v>
      </c>
      <c r="U11" s="2" t="n">
        <v>4105</v>
      </c>
      <c r="V11" s="4" t="n">
        <v>3376</v>
      </c>
      <c r="W11" s="33" t="n">
        <v>3980.94</v>
      </c>
      <c r="X11" s="4" t="n">
        <v>266</v>
      </c>
      <c r="Y11" s="34" t="n">
        <v>0.0788</v>
      </c>
      <c r="Z11" s="34" t="n">
        <v>0.8731</v>
      </c>
      <c r="AA11" s="2" t="n">
        <v>2362</v>
      </c>
      <c r="AB11" s="2" t="n">
        <v>61</v>
      </c>
    </row>
    <row r="12">
      <c r="A12" t="inlineStr">
        <is>
          <t>Sun Blocker</t>
        </is>
      </c>
      <c r="B12" s="29" t="n">
        <v>1716.010000000001</v>
      </c>
      <c r="C12" s="30" t="n">
        <v>0.0148</v>
      </c>
      <c r="D12" s="29" t="n">
        <v>293.7499942779541</v>
      </c>
      <c r="E12" s="29" t="n">
        <v>9.989999771118164</v>
      </c>
      <c r="F12" s="2" t="n">
        <v>110</v>
      </c>
      <c r="G12" s="31" t="n">
        <v>66.85000000000001</v>
      </c>
      <c r="H12" s="32" t="n">
        <v>0.008</v>
      </c>
      <c r="I12" s="32" t="n">
        <v>0.039</v>
      </c>
      <c r="J12" s="32" t="n">
        <v>0.149</v>
      </c>
      <c r="K12" s="31" t="n">
        <v>3.42</v>
      </c>
      <c r="L12" s="32" t="n">
        <v>0.29</v>
      </c>
      <c r="M12" s="31" t="n">
        <v>228.86</v>
      </c>
      <c r="N12" s="31" t="n">
        <v>228.86</v>
      </c>
      <c r="O12" s="3" t="n">
        <v>99259</v>
      </c>
      <c r="P12" s="3" t="n">
        <v>282</v>
      </c>
      <c r="Q12" s="32" t="n">
        <v>0.0028</v>
      </c>
      <c r="R12" s="3" t="n">
        <v>14</v>
      </c>
      <c r="S12" s="32" t="n">
        <v>0.0496</v>
      </c>
      <c r="T12" s="2" t="n">
        <v>1003</v>
      </c>
      <c r="U12" s="2" t="n">
        <v>1822</v>
      </c>
      <c r="V12" s="4" t="n">
        <v>1540</v>
      </c>
      <c r="W12" s="33" t="n">
        <v>1487.150000000001</v>
      </c>
      <c r="X12" s="4" t="n">
        <v>96</v>
      </c>
      <c r="Y12" s="34" t="n">
        <v>0.0623</v>
      </c>
      <c r="Z12" s="34" t="n">
        <v>0.8666</v>
      </c>
      <c r="AA12" s="2" t="n">
        <v>5201</v>
      </c>
      <c r="AB12" s="2" t="n">
        <v>46</v>
      </c>
    </row>
    <row r="13">
      <c r="A13" t="inlineStr">
        <is>
          <t>JenniWears</t>
        </is>
      </c>
      <c r="B13" s="29" t="n">
        <v>1004.370000000001</v>
      </c>
      <c r="C13" s="30" t="n">
        <v>0.008699999999999999</v>
      </c>
      <c r="D13" s="29" t="n">
        <v>76.0099983215332</v>
      </c>
      <c r="E13" s="29" t="n">
        <v>23.96999931335449</v>
      </c>
      <c r="F13" s="2" t="n">
        <v>119</v>
      </c>
      <c r="G13" s="31" t="n">
        <v>0</v>
      </c>
      <c r="H13" s="32" t="n"/>
      <c r="I13" s="32" t="n">
        <v>0</v>
      </c>
      <c r="J13" s="32" t="n">
        <v>0</v>
      </c>
      <c r="K13" s="31" t="n">
        <v>0</v>
      </c>
      <c r="L13" s="32" t="n">
        <v>0</v>
      </c>
      <c r="M13" s="31" t="n">
        <v>0</v>
      </c>
      <c r="N13" s="31" t="n">
        <v>0</v>
      </c>
      <c r="O13" s="3" t="n">
        <v>0</v>
      </c>
      <c r="P13" s="3" t="n">
        <v>0</v>
      </c>
      <c r="Q13" s="32" t="n">
        <v>0</v>
      </c>
      <c r="R13" s="3" t="n">
        <v>0</v>
      </c>
      <c r="S13" s="32" t="n">
        <v>0</v>
      </c>
      <c r="T13" s="2" t="n">
        <v>486</v>
      </c>
      <c r="U13" s="2" t="n">
        <v>3756</v>
      </c>
      <c r="V13" s="4" t="n">
        <v>3756</v>
      </c>
      <c r="W13" s="33" t="n">
        <v>1004.370000000001</v>
      </c>
      <c r="X13" s="4" t="n">
        <v>119</v>
      </c>
      <c r="Y13" s="34" t="n">
        <v>0.0317</v>
      </c>
      <c r="Z13" s="34" t="n">
        <v>1</v>
      </c>
      <c r="AA13" s="2" t="n">
        <v>10530</v>
      </c>
      <c r="AB13" s="2" t="n">
        <v>167</v>
      </c>
    </row>
    <row r="14">
      <c r="A14" t="inlineStr">
        <is>
          <t>NAPA</t>
        </is>
      </c>
      <c r="B14" s="29" t="n">
        <v>719.26</v>
      </c>
      <c r="C14" s="30" t="n">
        <v>0.0062</v>
      </c>
      <c r="D14" s="29" t="n">
        <v>119.9499988555908</v>
      </c>
      <c r="E14" s="29" t="n">
        <v>0</v>
      </c>
      <c r="F14" s="2" t="n">
        <v>40</v>
      </c>
      <c r="G14" s="31" t="n">
        <v>7.300000000000001</v>
      </c>
      <c r="H14" s="32" t="n">
        <v>0.0009</v>
      </c>
      <c r="I14" s="32" t="n">
        <v>0.0101</v>
      </c>
      <c r="J14" s="32" t="n">
        <v>0.0794</v>
      </c>
      <c r="K14" s="31" t="n">
        <v>0</v>
      </c>
      <c r="L14" s="32" t="n">
        <v>0</v>
      </c>
      <c r="M14" s="31" t="n">
        <v>0</v>
      </c>
      <c r="N14" s="31" t="n">
        <v>0</v>
      </c>
      <c r="O14" s="3" t="n">
        <v>6795</v>
      </c>
      <c r="P14" s="3" t="n">
        <v>27</v>
      </c>
      <c r="Q14" s="32" t="n">
        <v>0.004</v>
      </c>
      <c r="R14" s="3" t="n">
        <v>0</v>
      </c>
      <c r="S14" s="32" t="n">
        <v>0</v>
      </c>
      <c r="T14" s="2" t="n">
        <v>201</v>
      </c>
      <c r="U14" s="2" t="n">
        <v>529</v>
      </c>
      <c r="V14" s="4" t="n">
        <v>502</v>
      </c>
      <c r="W14" s="33" t="n">
        <v>719.26</v>
      </c>
      <c r="X14" s="4" t="n">
        <v>40</v>
      </c>
      <c r="Y14" s="34" t="n">
        <v>0.07969999999999999</v>
      </c>
      <c r="Z14" s="34" t="n">
        <v>1</v>
      </c>
      <c r="AA14" s="2" t="n">
        <v>8332</v>
      </c>
      <c r="AB14" s="2" t="n">
        <v>49</v>
      </c>
    </row>
    <row r="15">
      <c r="A15" t="inlineStr">
        <is>
          <t>Terra</t>
        </is>
      </c>
      <c r="B15" s="29" t="n">
        <v>423.45</v>
      </c>
      <c r="C15" s="30" t="n">
        <v>0.0037</v>
      </c>
      <c r="D15" s="29" t="n">
        <v>35.94999933242798</v>
      </c>
      <c r="E15" s="29" t="n">
        <v>0</v>
      </c>
      <c r="F15" s="2" t="n">
        <v>47</v>
      </c>
      <c r="G15" s="31" t="n">
        <v>0</v>
      </c>
      <c r="H15" s="32" t="n"/>
      <c r="I15" s="32" t="n">
        <v>0</v>
      </c>
      <c r="J15" s="32" t="n">
        <v>0.0123</v>
      </c>
      <c r="K15" s="31" t="n">
        <v>0</v>
      </c>
      <c r="L15" s="32" t="n">
        <v>0</v>
      </c>
      <c r="M15" s="31" t="n">
        <v>0</v>
      </c>
      <c r="N15" s="31" t="n">
        <v>0</v>
      </c>
      <c r="O15" s="3" t="n">
        <v>0</v>
      </c>
      <c r="P15" s="3" t="n">
        <v>0</v>
      </c>
      <c r="Q15" s="32" t="n">
        <v>0</v>
      </c>
      <c r="R15" s="3" t="n">
        <v>0</v>
      </c>
      <c r="S15" s="32" t="n">
        <v>0</v>
      </c>
      <c r="T15" s="2" t="n">
        <v>26</v>
      </c>
      <c r="U15" s="2" t="n">
        <v>1071</v>
      </c>
      <c r="V15" s="4" t="n">
        <v>1071</v>
      </c>
      <c r="W15" s="33" t="n">
        <v>423.45</v>
      </c>
      <c r="X15" s="4" t="n">
        <v>47</v>
      </c>
      <c r="Y15" s="34" t="n">
        <v>0.0439</v>
      </c>
      <c r="Z15" s="34" t="n">
        <v>1</v>
      </c>
      <c r="AA15" s="2" t="n">
        <v>14330</v>
      </c>
      <c r="AB15" s="2" t="n">
        <v>70</v>
      </c>
    </row>
    <row r="16">
      <c r="A16" t="inlineStr">
        <is>
          <t>KC Caps</t>
        </is>
      </c>
      <c r="B16" s="29" t="n">
        <v>282.8</v>
      </c>
      <c r="C16" s="30" t="n">
        <v>0.0024</v>
      </c>
      <c r="D16" s="29" t="n">
        <v>133.6600036621094</v>
      </c>
      <c r="E16" s="29" t="n">
        <v>0</v>
      </c>
      <c r="F16" s="2" t="n">
        <v>32</v>
      </c>
      <c r="G16" s="31" t="n">
        <v>0</v>
      </c>
      <c r="H16" s="32" t="n"/>
      <c r="I16" s="32" t="n">
        <v>0</v>
      </c>
      <c r="J16" s="32" t="n">
        <v>0</v>
      </c>
      <c r="K16" s="31" t="n">
        <v>0</v>
      </c>
      <c r="L16" s="32" t="n">
        <v>0</v>
      </c>
      <c r="M16" s="31" t="n">
        <v>0</v>
      </c>
      <c r="N16" s="31" t="n">
        <v>0</v>
      </c>
      <c r="O16" s="3" t="n">
        <v>0</v>
      </c>
      <c r="P16" s="3" t="n">
        <v>0</v>
      </c>
      <c r="Q16" s="32" t="n">
        <v>0</v>
      </c>
      <c r="R16" s="3" t="n">
        <v>0</v>
      </c>
      <c r="S16" s="32" t="n">
        <v>0</v>
      </c>
      <c r="T16" s="2" t="n">
        <v>10</v>
      </c>
      <c r="U16" s="2" t="n">
        <v>763</v>
      </c>
      <c r="V16" s="4" t="n">
        <v>763</v>
      </c>
      <c r="W16" s="33" t="n">
        <v>282.8</v>
      </c>
      <c r="X16" s="4" t="n">
        <v>32</v>
      </c>
      <c r="Y16" s="34" t="n">
        <v>0.0419</v>
      </c>
      <c r="Z16" s="34" t="n">
        <v>1</v>
      </c>
      <c r="AA16" s="2" t="n">
        <v>21140</v>
      </c>
      <c r="AB16" s="2" t="n">
        <v>130</v>
      </c>
    </row>
    <row r="17">
      <c r="A17" t="inlineStr">
        <is>
          <t>Terrania</t>
        </is>
      </c>
      <c r="B17" s="29" t="n">
        <v>164.55</v>
      </c>
      <c r="C17" s="30" t="n">
        <v>0.0014</v>
      </c>
      <c r="D17" s="29" t="n">
        <v>19.97999954223633</v>
      </c>
      <c r="E17" s="29" t="n">
        <v>0</v>
      </c>
      <c r="F17" s="2" t="n">
        <v>13</v>
      </c>
      <c r="G17" s="31" t="n">
        <v>0</v>
      </c>
      <c r="H17" s="32" t="n"/>
      <c r="I17" s="32" t="n">
        <v>0</v>
      </c>
      <c r="J17" s="32" t="n">
        <v>0.0982</v>
      </c>
      <c r="K17" s="31" t="n">
        <v>0</v>
      </c>
      <c r="L17" s="32" t="n">
        <v>0</v>
      </c>
      <c r="M17" s="31" t="n">
        <v>0</v>
      </c>
      <c r="N17" s="31" t="n">
        <v>0</v>
      </c>
      <c r="O17" s="3" t="n">
        <v>0</v>
      </c>
      <c r="P17" s="3" t="n">
        <v>0</v>
      </c>
      <c r="Q17" s="32" t="n">
        <v>0</v>
      </c>
      <c r="R17" s="3" t="n">
        <v>0</v>
      </c>
      <c r="S17" s="32" t="n">
        <v>0</v>
      </c>
      <c r="T17" s="2" t="n">
        <v>53</v>
      </c>
      <c r="U17" s="2" t="n">
        <v>837</v>
      </c>
      <c r="V17" s="4" t="n">
        <v>837</v>
      </c>
      <c r="W17" s="33" t="n">
        <v>164.55</v>
      </c>
      <c r="X17" s="4" t="n">
        <v>13</v>
      </c>
      <c r="Y17" s="34" t="n">
        <v>0.0155</v>
      </c>
      <c r="Z17" s="34" t="n">
        <v>1</v>
      </c>
      <c r="AA17" s="2" t="n">
        <v>13396</v>
      </c>
      <c r="AB17" s="2" t="n">
        <v>21</v>
      </c>
    </row>
    <row r="18">
      <c r="A18" t="inlineStr">
        <is>
          <t>Dickies</t>
        </is>
      </c>
      <c r="B18" s="29" t="n">
        <v>104.97</v>
      </c>
      <c r="C18" s="30" t="n">
        <v>0.0009</v>
      </c>
      <c r="D18" s="29" t="n">
        <v>34.9900016784668</v>
      </c>
      <c r="E18" s="29" t="n">
        <v>0</v>
      </c>
      <c r="F18" s="2" t="n">
        <v>3</v>
      </c>
      <c r="G18" s="31" t="n">
        <v>0</v>
      </c>
      <c r="H18" s="32" t="n"/>
      <c r="I18" s="32" t="n">
        <v>0</v>
      </c>
      <c r="J18" s="32" t="n">
        <v>0</v>
      </c>
      <c r="K18" s="31" t="n">
        <v>0</v>
      </c>
      <c r="L18" s="32" t="n">
        <v>0</v>
      </c>
      <c r="M18" s="31" t="n">
        <v>0</v>
      </c>
      <c r="N18" s="31" t="n">
        <v>0</v>
      </c>
      <c r="O18" s="3" t="n">
        <v>0</v>
      </c>
      <c r="P18" s="3" t="n">
        <v>0</v>
      </c>
      <c r="Q18" s="32" t="n">
        <v>0</v>
      </c>
      <c r="R18" s="3" t="n">
        <v>0</v>
      </c>
      <c r="S18" s="32" t="n">
        <v>0</v>
      </c>
      <c r="T18" s="2" t="n">
        <v>0</v>
      </c>
      <c r="U18" s="2" t="n">
        <v>0</v>
      </c>
      <c r="V18" s="4" t="n">
        <v>0</v>
      </c>
      <c r="W18" s="33" t="n">
        <v>104.97</v>
      </c>
      <c r="X18" s="4" t="n">
        <v>3</v>
      </c>
      <c r="Y18" s="34" t="n"/>
      <c r="Z18" s="34" t="n">
        <v>1</v>
      </c>
      <c r="AA18" s="2" t="n">
        <v>63000</v>
      </c>
      <c r="AB18" s="2" t="n">
        <v>15</v>
      </c>
    </row>
    <row r="19">
      <c r="A19" t="inlineStr">
        <is>
          <t>Lee</t>
        </is>
      </c>
      <c r="B19" s="29" t="n">
        <v>78.94</v>
      </c>
      <c r="C19" s="30" t="n">
        <v>0.0007</v>
      </c>
      <c r="D19" s="29" t="n">
        <v>0</v>
      </c>
      <c r="E19" s="29" t="n">
        <v>0</v>
      </c>
      <c r="F19" s="2" t="n">
        <v>3</v>
      </c>
      <c r="G19" s="31" t="n">
        <v>0</v>
      </c>
      <c r="H19" s="32" t="n"/>
      <c r="I19" s="32" t="n">
        <v>0</v>
      </c>
      <c r="J19" s="32" t="n">
        <v>0.5234</v>
      </c>
      <c r="K19" s="31" t="n">
        <v>0</v>
      </c>
      <c r="L19" s="32" t="n">
        <v>0</v>
      </c>
      <c r="M19" s="31" t="n">
        <v>0</v>
      </c>
      <c r="N19" s="31" t="n">
        <v>0</v>
      </c>
      <c r="O19" s="3" t="n">
        <v>0</v>
      </c>
      <c r="P19" s="3" t="n">
        <v>0</v>
      </c>
      <c r="Q19" s="32" t="n">
        <v>0</v>
      </c>
      <c r="R19" s="3" t="n">
        <v>0</v>
      </c>
      <c r="S19" s="32" t="n">
        <v>0</v>
      </c>
      <c r="T19" s="2" t="n">
        <v>0</v>
      </c>
      <c r="U19" s="2" t="n">
        <v>149</v>
      </c>
      <c r="V19" s="4" t="n">
        <v>149</v>
      </c>
      <c r="W19" s="33" t="n">
        <v>78.94</v>
      </c>
      <c r="X19" s="4" t="n">
        <v>3</v>
      </c>
      <c r="Y19" s="34" t="n">
        <v>0.0201</v>
      </c>
      <c r="Z19" s="34" t="n">
        <v>1</v>
      </c>
      <c r="AA19" s="2" t="n">
        <v>22545</v>
      </c>
      <c r="AB19" s="2" t="n">
        <v>5</v>
      </c>
    </row>
    <row r="20">
      <c r="A20" t="inlineStr">
        <is>
          <t>Ocean Pacific</t>
        </is>
      </c>
      <c r="B20" s="29" t="n">
        <v>71.98</v>
      </c>
      <c r="C20" s="30" t="n">
        <v>0.0005999999999999999</v>
      </c>
      <c r="D20" s="29" t="n">
        <v>0</v>
      </c>
      <c r="E20" s="29" t="n">
        <v>0</v>
      </c>
      <c r="F20" s="2" t="n">
        <v>2</v>
      </c>
      <c r="G20" s="31" t="n">
        <v>0</v>
      </c>
      <c r="H20" s="32" t="n"/>
      <c r="I20" s="32" t="n">
        <v>0</v>
      </c>
      <c r="J20" s="32" t="n">
        <v>2.0675</v>
      </c>
      <c r="K20" s="31" t="n">
        <v>0</v>
      </c>
      <c r="L20" s="32" t="n">
        <v>0</v>
      </c>
      <c r="M20" s="31" t="n">
        <v>0</v>
      </c>
      <c r="N20" s="31" t="n">
        <v>0</v>
      </c>
      <c r="O20" s="3" t="n">
        <v>0</v>
      </c>
      <c r="P20" s="3" t="n">
        <v>0</v>
      </c>
      <c r="Q20" s="32" t="n">
        <v>0</v>
      </c>
      <c r="R20" s="3" t="n">
        <v>0</v>
      </c>
      <c r="S20" s="32" t="n">
        <v>0</v>
      </c>
      <c r="T20" s="2" t="n">
        <v>0</v>
      </c>
      <c r="U20" s="2" t="n">
        <v>71</v>
      </c>
      <c r="V20" s="4" t="n">
        <v>71</v>
      </c>
      <c r="W20" s="33" t="n">
        <v>71.98</v>
      </c>
      <c r="X20" s="4" t="n">
        <v>2</v>
      </c>
      <c r="Y20" s="34" t="n">
        <v>0.0282</v>
      </c>
      <c r="Z20" s="34" t="n">
        <v>1</v>
      </c>
      <c r="AA20" s="2" t="n">
        <v>20452</v>
      </c>
      <c r="AB20" s="2" t="n">
        <v>3</v>
      </c>
    </row>
    <row r="21">
      <c r="A21" t="inlineStr">
        <is>
          <t>TubKeeper</t>
        </is>
      </c>
      <c r="B21" s="29" t="n">
        <v>66.93000000000001</v>
      </c>
      <c r="C21" s="30" t="n">
        <v>0.0005999999999999999</v>
      </c>
      <c r="D21" s="29" t="n">
        <v>0</v>
      </c>
      <c r="E21" s="29" t="n">
        <v>0</v>
      </c>
      <c r="F21" s="2" t="n">
        <v>6</v>
      </c>
      <c r="G21" s="31" t="n">
        <v>41.40000000000001</v>
      </c>
      <c r="H21" s="32" t="n">
        <v>0.005</v>
      </c>
      <c r="I21" s="32" t="n">
        <v>0.6186</v>
      </c>
      <c r="J21" s="32" t="n">
        <v>0.0526</v>
      </c>
      <c r="K21" s="31" t="n">
        <v>0.24</v>
      </c>
      <c r="L21" s="32" t="n">
        <v>4.14</v>
      </c>
      <c r="M21" s="31" t="n">
        <v>9.99</v>
      </c>
      <c r="N21" s="31" t="n">
        <v>9.99</v>
      </c>
      <c r="O21" s="3" t="n">
        <v>44437</v>
      </c>
      <c r="P21" s="3" t="n">
        <v>61</v>
      </c>
      <c r="Q21" s="32" t="n">
        <v>0.0014</v>
      </c>
      <c r="R21" s="3" t="n">
        <v>1</v>
      </c>
      <c r="S21" s="32" t="n">
        <v>0.0164</v>
      </c>
      <c r="T21" s="2" t="n">
        <v>0</v>
      </c>
      <c r="U21" s="2" t="n">
        <v>44</v>
      </c>
      <c r="V21" s="4" t="inlineStr">
        <is>
          <t>NA</t>
        </is>
      </c>
      <c r="W21" s="33" t="n">
        <v>56.94</v>
      </c>
      <c r="X21" s="4" t="n">
        <v>5</v>
      </c>
      <c r="Y21" s="34" t="inlineStr">
        <is>
          <t>NA</t>
        </is>
      </c>
      <c r="Z21" s="34" t="n">
        <v>0.8507</v>
      </c>
      <c r="AA21" s="2" t="n">
        <v>2385</v>
      </c>
      <c r="AB21" s="2" t="n">
        <v>1</v>
      </c>
    </row>
    <row r="22">
      <c r="A22" t="inlineStr">
        <is>
          <t>Terra Baby</t>
        </is>
      </c>
      <c r="B22" s="29" t="n">
        <v>59.96</v>
      </c>
      <c r="C22" s="30" t="n">
        <v>0.0005</v>
      </c>
      <c r="D22" s="29" t="n">
        <v>119.5599975585938</v>
      </c>
      <c r="E22" s="29" t="n">
        <v>0</v>
      </c>
      <c r="F22" s="2" t="n">
        <v>2</v>
      </c>
      <c r="G22" s="31" t="n">
        <v>0</v>
      </c>
      <c r="H22" s="32" t="n"/>
      <c r="I22" s="32" t="n">
        <v>0</v>
      </c>
      <c r="J22" s="32" t="n">
        <v>0</v>
      </c>
      <c r="K22" s="31" t="n">
        <v>0</v>
      </c>
      <c r="L22" s="32" t="n">
        <v>0</v>
      </c>
      <c r="M22" s="31" t="n">
        <v>0</v>
      </c>
      <c r="N22" s="31" t="n">
        <v>0</v>
      </c>
      <c r="O22" s="3" t="n">
        <v>0</v>
      </c>
      <c r="P22" s="3" t="n">
        <v>0</v>
      </c>
      <c r="Q22" s="32" t="n">
        <v>0</v>
      </c>
      <c r="R22" s="3" t="n">
        <v>0</v>
      </c>
      <c r="S22" s="32" t="n">
        <v>0</v>
      </c>
      <c r="T22" s="2" t="n">
        <v>5</v>
      </c>
      <c r="U22" s="2" t="n">
        <v>200</v>
      </c>
      <c r="V22" s="4" t="n">
        <v>200</v>
      </c>
      <c r="W22" s="33" t="n">
        <v>59.96</v>
      </c>
      <c r="X22" s="4" t="n">
        <v>2</v>
      </c>
      <c r="Y22" s="34" t="n">
        <v>0.01</v>
      </c>
      <c r="Z22" s="34" t="n">
        <v>1</v>
      </c>
      <c r="AA22" s="2" t="n">
        <v>1012</v>
      </c>
      <c r="AB22" s="2" t="n">
        <v>2</v>
      </c>
    </row>
    <row r="23">
      <c r="A23" t="inlineStr">
        <is>
          <t>KritterWorld</t>
        </is>
      </c>
      <c r="B23" s="29" t="n">
        <v>43.98</v>
      </c>
      <c r="C23" s="30" t="n">
        <v>0.0004</v>
      </c>
      <c r="D23" s="29" t="n">
        <v>0</v>
      </c>
      <c r="E23" s="29" t="n">
        <v>0</v>
      </c>
      <c r="F23" s="2" t="n">
        <v>2</v>
      </c>
      <c r="G23" s="31" t="n">
        <v>0</v>
      </c>
      <c r="H23" s="32" t="n"/>
      <c r="I23" s="32" t="n">
        <v>0</v>
      </c>
      <c r="J23" s="32" t="n">
        <v>0</v>
      </c>
      <c r="K23" s="31" t="n">
        <v>0</v>
      </c>
      <c r="L23" s="32" t="n">
        <v>0</v>
      </c>
      <c r="M23" s="31" t="n">
        <v>0</v>
      </c>
      <c r="N23" s="31" t="n">
        <v>0</v>
      </c>
      <c r="O23" s="3" t="n">
        <v>0</v>
      </c>
      <c r="P23" s="3" t="n">
        <v>0</v>
      </c>
      <c r="Q23" s="32" t="n">
        <v>0</v>
      </c>
      <c r="R23" s="3" t="n">
        <v>0</v>
      </c>
      <c r="S23" s="32" t="n">
        <v>0</v>
      </c>
      <c r="T23" s="2" t="n">
        <v>0</v>
      </c>
      <c r="U23" s="2" t="n">
        <v>71</v>
      </c>
      <c r="V23" s="4" t="n">
        <v>71</v>
      </c>
      <c r="W23" s="33" t="n">
        <v>43.98</v>
      </c>
      <c r="X23" s="4" t="n">
        <v>2</v>
      </c>
      <c r="Y23" s="34" t="n">
        <v>0.0282</v>
      </c>
      <c r="Z23" s="34" t="n">
        <v>1</v>
      </c>
      <c r="AA23" s="2" t="n">
        <v>30240</v>
      </c>
      <c r="AB23" s="2" t="n">
        <v>8</v>
      </c>
    </row>
    <row r="24">
      <c r="A24" t="inlineStr">
        <is>
          <t>Headshots</t>
        </is>
      </c>
      <c r="B24" s="29" t="n">
        <v>35.96</v>
      </c>
      <c r="C24" s="30" t="n">
        <v>0.0003</v>
      </c>
      <c r="D24" s="29" t="n">
        <v>0</v>
      </c>
      <c r="E24" s="29" t="n">
        <v>0</v>
      </c>
      <c r="F24" s="2" t="n">
        <v>4</v>
      </c>
      <c r="G24" s="31" t="n">
        <v>0</v>
      </c>
      <c r="H24" s="32" t="n"/>
      <c r="I24" s="32" t="n">
        <v>0</v>
      </c>
      <c r="J24" s="32" t="n">
        <v>0</v>
      </c>
      <c r="K24" s="31" t="n">
        <v>0</v>
      </c>
      <c r="L24" s="32" t="n">
        <v>0</v>
      </c>
      <c r="M24" s="31" t="n">
        <v>0</v>
      </c>
      <c r="N24" s="31" t="n">
        <v>0</v>
      </c>
      <c r="O24" s="3" t="n">
        <v>0</v>
      </c>
      <c r="P24" s="3" t="n">
        <v>0</v>
      </c>
      <c r="Q24" s="32" t="n">
        <v>0</v>
      </c>
      <c r="R24" s="3" t="n">
        <v>0</v>
      </c>
      <c r="S24" s="32" t="n">
        <v>0</v>
      </c>
      <c r="T24" s="2" t="n">
        <v>0</v>
      </c>
      <c r="U24" s="2" t="n">
        <v>35</v>
      </c>
      <c r="V24" s="4" t="n">
        <v>35</v>
      </c>
      <c r="W24" s="33" t="n">
        <v>35.96</v>
      </c>
      <c r="X24" s="4" t="n">
        <v>4</v>
      </c>
      <c r="Y24" s="34" t="n">
        <v>0.1143</v>
      </c>
      <c r="Z24" s="34" t="n">
        <v>1</v>
      </c>
      <c r="AA24" s="2" t="n">
        <v>7188</v>
      </c>
      <c r="AB24" s="2" t="n">
        <v>3</v>
      </c>
    </row>
    <row r="25">
      <c r="A25" t="inlineStr">
        <is>
          <t>Aeropostale</t>
        </is>
      </c>
      <c r="B25" s="29" t="n">
        <v>23.99</v>
      </c>
      <c r="C25" s="30" t="n">
        <v>0.0002</v>
      </c>
      <c r="D25" s="29" t="n">
        <v>0</v>
      </c>
      <c r="E25" s="29" t="n">
        <v>0</v>
      </c>
      <c r="F25" s="2" t="n">
        <v>1</v>
      </c>
      <c r="G25" s="31" t="n">
        <v>0</v>
      </c>
      <c r="H25" s="32" t="n"/>
      <c r="I25" s="32" t="n">
        <v>0</v>
      </c>
      <c r="J25" s="32" t="n">
        <v>0</v>
      </c>
      <c r="K25" s="31" t="n">
        <v>0</v>
      </c>
      <c r="L25" s="32" t="n">
        <v>0</v>
      </c>
      <c r="M25" s="31" t="n">
        <v>0</v>
      </c>
      <c r="N25" s="31" t="n">
        <v>0</v>
      </c>
      <c r="O25" s="3" t="n">
        <v>0</v>
      </c>
      <c r="P25" s="3" t="n">
        <v>0</v>
      </c>
      <c r="Q25" s="32" t="n">
        <v>0</v>
      </c>
      <c r="R25" s="3" t="n">
        <v>0</v>
      </c>
      <c r="S25" s="32" t="n">
        <v>0</v>
      </c>
      <c r="T25" s="2" t="n">
        <v>0</v>
      </c>
      <c r="U25" s="2" t="n">
        <v>230</v>
      </c>
      <c r="V25" s="4" t="n">
        <v>230</v>
      </c>
      <c r="W25" s="33" t="n">
        <v>23.99</v>
      </c>
      <c r="X25" s="4" t="n">
        <v>1</v>
      </c>
      <c r="Y25" s="34" t="n">
        <v>0.0043</v>
      </c>
      <c r="Z25" s="34" t="n">
        <v>1</v>
      </c>
      <c r="AA25" s="2" t="n">
        <v>233550</v>
      </c>
      <c r="AB25" s="2" t="n">
        <v>22</v>
      </c>
    </row>
    <row r="26">
      <c r="A26" t="inlineStr">
        <is>
          <t>Every Day is Christmas</t>
        </is>
      </c>
      <c r="B26" s="29" t="n">
        <v>16.99</v>
      </c>
      <c r="C26" s="30" t="n">
        <v>0.0001</v>
      </c>
      <c r="D26" s="29" t="n">
        <v>101.9400024414062</v>
      </c>
      <c r="E26" s="29" t="n">
        <v>0</v>
      </c>
      <c r="F26" s="2" t="n">
        <v>1</v>
      </c>
      <c r="G26" s="31" t="n">
        <v>0</v>
      </c>
      <c r="H26" s="32" t="n"/>
      <c r="I26" s="32" t="n">
        <v>0</v>
      </c>
      <c r="J26" s="32" t="n">
        <v>0.3493</v>
      </c>
      <c r="K26" s="31" t="n">
        <v>0</v>
      </c>
      <c r="L26" s="32" t="n">
        <v>0</v>
      </c>
      <c r="M26" s="31" t="n">
        <v>0</v>
      </c>
      <c r="N26" s="31" t="n">
        <v>0</v>
      </c>
      <c r="O26" s="3" t="n">
        <v>0</v>
      </c>
      <c r="P26" s="3" t="n">
        <v>0</v>
      </c>
      <c r="Q26" s="32" t="n">
        <v>0</v>
      </c>
      <c r="R26" s="3" t="n">
        <v>0</v>
      </c>
      <c r="S26" s="32" t="n">
        <v>0</v>
      </c>
      <c r="T26" s="2" t="n">
        <v>0</v>
      </c>
      <c r="U26" s="2" t="n">
        <v>1847</v>
      </c>
      <c r="V26" s="4" t="n">
        <v>1847</v>
      </c>
      <c r="W26" s="33" t="n">
        <v>16.99</v>
      </c>
      <c r="X26" s="4" t="n">
        <v>1</v>
      </c>
      <c r="Y26" s="34" t="n">
        <v>0.0005</v>
      </c>
      <c r="Z26" s="34" t="n">
        <v>1</v>
      </c>
      <c r="AA26" s="2" t="n">
        <v>834840</v>
      </c>
      <c r="AB26" s="2" t="n">
        <v>79</v>
      </c>
    </row>
    <row r="27">
      <c r="A27" t="inlineStr">
        <is>
          <t>PIER RAT HUNTINGTON</t>
        </is>
      </c>
      <c r="B27" s="29" t="n">
        <v>14.98</v>
      </c>
      <c r="C27" s="30" t="n">
        <v>0.0001</v>
      </c>
      <c r="D27" s="29" t="n">
        <v>0</v>
      </c>
      <c r="E27" s="29" t="n">
        <v>0</v>
      </c>
      <c r="F27" s="2" t="n">
        <v>1</v>
      </c>
      <c r="G27" s="31" t="n">
        <v>0</v>
      </c>
      <c r="H27" s="32" t="n"/>
      <c r="I27" s="32" t="n">
        <v>0</v>
      </c>
      <c r="J27" s="32" t="n">
        <v>0.0067</v>
      </c>
      <c r="K27" s="31" t="n">
        <v>0</v>
      </c>
      <c r="L27" s="32" t="n">
        <v>0</v>
      </c>
      <c r="M27" s="31" t="n">
        <v>0</v>
      </c>
      <c r="N27" s="31" t="n">
        <v>0</v>
      </c>
      <c r="O27" s="3" t="n">
        <v>33</v>
      </c>
      <c r="P27" s="3" t="n">
        <v>0</v>
      </c>
      <c r="Q27" s="32" t="n">
        <v>0</v>
      </c>
      <c r="R27" s="3" t="n">
        <v>0</v>
      </c>
      <c r="S27" s="32" t="n">
        <v>0</v>
      </c>
      <c r="T27" s="2" t="n">
        <v>0</v>
      </c>
      <c r="U27" s="2" t="n">
        <v>14</v>
      </c>
      <c r="V27" s="4" t="n">
        <v>14</v>
      </c>
      <c r="W27" s="33" t="n">
        <v>14.98</v>
      </c>
      <c r="X27" s="4" t="n">
        <v>1</v>
      </c>
      <c r="Y27" s="34" t="n">
        <v>0.07140000000000001</v>
      </c>
      <c r="Z27" s="34" t="n">
        <v>1</v>
      </c>
      <c r="AA27" s="2" t="n">
        <v>14445</v>
      </c>
      <c r="AB27" s="2" t="n">
        <v>1</v>
      </c>
    </row>
    <row r="28">
      <c r="A28" t="inlineStr">
        <is>
          <t>Vina</t>
        </is>
      </c>
      <c r="B28" s="29" t="n">
        <v>14.98</v>
      </c>
      <c r="C28" s="30" t="n">
        <v>0.0001</v>
      </c>
      <c r="D28" s="29" t="n">
        <v>0</v>
      </c>
      <c r="E28" s="29" t="n">
        <v>0</v>
      </c>
      <c r="F28" s="2" t="n">
        <v>1</v>
      </c>
      <c r="G28" s="31" t="n">
        <v>0</v>
      </c>
      <c r="H28" s="32" t="n"/>
      <c r="I28" s="32" t="n">
        <v>0</v>
      </c>
      <c r="J28" s="32" t="n">
        <v>0</v>
      </c>
      <c r="K28" s="31" t="n">
        <v>0</v>
      </c>
      <c r="L28" s="32" t="n">
        <v>0</v>
      </c>
      <c r="M28" s="31" t="n">
        <v>0</v>
      </c>
      <c r="N28" s="31" t="n">
        <v>0</v>
      </c>
      <c r="O28" s="3" t="n">
        <v>0</v>
      </c>
      <c r="P28" s="3" t="n">
        <v>0</v>
      </c>
      <c r="Q28" s="32" t="n">
        <v>0</v>
      </c>
      <c r="R28" s="3" t="n">
        <v>0</v>
      </c>
      <c r="S28" s="32" t="n">
        <v>0</v>
      </c>
      <c r="T28" s="2" t="n">
        <v>1</v>
      </c>
      <c r="U28" s="2" t="n">
        <v>28</v>
      </c>
      <c r="V28" s="4" t="n">
        <v>28</v>
      </c>
      <c r="W28" s="33" t="n">
        <v>14.98</v>
      </c>
      <c r="X28" s="4" t="n">
        <v>1</v>
      </c>
      <c r="Y28" s="34" t="n">
        <v>0.0357</v>
      </c>
      <c r="Z28" s="34" t="n">
        <v>1</v>
      </c>
      <c r="AA28" s="2" t="n">
        <v>74655</v>
      </c>
      <c r="AB28" s="2" t="n">
        <v>14</v>
      </c>
    </row>
    <row r="29">
      <c r="A29" t="inlineStr">
        <is>
          <t>Jennis</t>
        </is>
      </c>
      <c r="B29" s="29" t="n">
        <v>7.98</v>
      </c>
      <c r="C29" s="30" t="n">
        <v>0.0001</v>
      </c>
      <c r="D29" s="29" t="n">
        <v>0</v>
      </c>
      <c r="E29" s="29" t="n">
        <v>0</v>
      </c>
      <c r="F29" s="2" t="n">
        <v>1</v>
      </c>
      <c r="G29" s="31" t="n">
        <v>0</v>
      </c>
      <c r="H29" s="32" t="n"/>
      <c r="I29" s="32" t="n">
        <v>0</v>
      </c>
      <c r="J29" s="32" t="n">
        <v>0</v>
      </c>
      <c r="K29" s="31" t="n">
        <v>0</v>
      </c>
      <c r="L29" s="32" t="n">
        <v>0</v>
      </c>
      <c r="M29" s="31" t="n">
        <v>0</v>
      </c>
      <c r="N29" s="31" t="n">
        <v>0</v>
      </c>
      <c r="O29" s="3" t="n">
        <v>0</v>
      </c>
      <c r="P29" s="3" t="n">
        <v>0</v>
      </c>
      <c r="Q29" s="32" t="n">
        <v>0</v>
      </c>
      <c r="R29" s="3" t="n">
        <v>0</v>
      </c>
      <c r="S29" s="32" t="n">
        <v>0</v>
      </c>
      <c r="T29" s="2" t="n">
        <v>0</v>
      </c>
      <c r="U29" s="2" t="n">
        <v>28</v>
      </c>
      <c r="V29" s="4" t="n">
        <v>28</v>
      </c>
      <c r="W29" s="33" t="n">
        <v>7.98</v>
      </c>
      <c r="X29" s="4" t="n">
        <v>1</v>
      </c>
      <c r="Y29" s="34" t="n">
        <v>0.0357</v>
      </c>
      <c r="Z29" s="34" t="n">
        <v>1</v>
      </c>
      <c r="AA29" s="2" t="n">
        <v>27945</v>
      </c>
      <c r="AB29" s="2" t="n">
        <v>3</v>
      </c>
    </row>
    <row r="30">
      <c r="A30" t="inlineStr">
        <is>
          <t>Tirrina</t>
        </is>
      </c>
      <c r="B30" s="29" t="n">
        <v>0</v>
      </c>
      <c r="C30" s="30" t="n"/>
      <c r="D30" s="29" t="n">
        <v>179.9799957275391</v>
      </c>
      <c r="E30" s="29" t="n">
        <v>0</v>
      </c>
      <c r="F30" s="2" t="n">
        <v>0</v>
      </c>
      <c r="G30" s="31" t="n">
        <v>0</v>
      </c>
      <c r="H30" s="32" t="n"/>
      <c r="I30" s="32" t="n">
        <v>0</v>
      </c>
      <c r="J30" s="32" t="n">
        <v>0.012</v>
      </c>
      <c r="K30" s="31" t="n">
        <v>0</v>
      </c>
      <c r="L30" s="32" t="n">
        <v>0</v>
      </c>
      <c r="M30" s="31" t="n">
        <v>0</v>
      </c>
      <c r="N30" s="31" t="n">
        <v>0</v>
      </c>
      <c r="O30" s="3" t="n">
        <v>0</v>
      </c>
      <c r="P30" s="3" t="n">
        <v>0</v>
      </c>
      <c r="Q30" s="32" t="n">
        <v>0</v>
      </c>
      <c r="R30" s="3" t="n">
        <v>0</v>
      </c>
      <c r="S30" s="32" t="n">
        <v>0</v>
      </c>
      <c r="T30" s="2" t="n">
        <v>8</v>
      </c>
      <c r="U30" s="2" t="n">
        <v>36</v>
      </c>
      <c r="V30" s="4" t="n">
        <v>36</v>
      </c>
      <c r="W30" s="33" t="n">
        <v>0</v>
      </c>
      <c r="X30" s="4" t="n">
        <v>0</v>
      </c>
      <c r="Y30" s="34" t="n"/>
      <c r="Z30" s="34" t="n">
        <v>0</v>
      </c>
      <c r="AA30" s="2" t="n">
        <v>0</v>
      </c>
      <c r="AB30" s="2" t="n">
        <v>3</v>
      </c>
    </row>
    <row r="31">
      <c r="A31" t="inlineStr">
        <is>
          <t>No Brand</t>
        </is>
      </c>
      <c r="B31" s="29" t="n">
        <v>0</v>
      </c>
      <c r="C31" s="30" t="n"/>
      <c r="D31" s="29" t="n">
        <v>0</v>
      </c>
      <c r="E31" s="29" t="n">
        <v>0</v>
      </c>
      <c r="F31" s="2" t="n">
        <v>0</v>
      </c>
      <c r="G31" s="31" t="n">
        <v>0</v>
      </c>
      <c r="H31" s="32" t="n"/>
      <c r="I31" s="32" t="n">
        <v>0</v>
      </c>
      <c r="J31" s="32" t="n">
        <v>0</v>
      </c>
      <c r="K31" s="31" t="n">
        <v>0</v>
      </c>
      <c r="L31" s="32" t="n">
        <v>0</v>
      </c>
      <c r="M31" s="31" t="n">
        <v>0</v>
      </c>
      <c r="N31" s="31" t="n">
        <v>0</v>
      </c>
      <c r="O31" s="3" t="n">
        <v>0</v>
      </c>
      <c r="P31" s="3" t="n">
        <v>0</v>
      </c>
      <c r="Q31" s="32" t="n">
        <v>0</v>
      </c>
      <c r="R31" s="3" t="n">
        <v>0</v>
      </c>
      <c r="S31" s="32" t="n">
        <v>0</v>
      </c>
      <c r="T31" s="2" t="n">
        <v>0</v>
      </c>
      <c r="U31" s="2" t="n">
        <v>2</v>
      </c>
      <c r="V31" s="4" t="n">
        <v>2</v>
      </c>
      <c r="W31" s="33" t="n">
        <v>0</v>
      </c>
      <c r="X31" s="4" t="n">
        <v>0</v>
      </c>
      <c r="Y31" s="34" t="n"/>
      <c r="Z31" s="34" t="n">
        <v>0</v>
      </c>
      <c r="AA31" s="2" t="n">
        <v>0</v>
      </c>
      <c r="AB31" s="2" t="n">
        <v>14</v>
      </c>
    </row>
    <row r="32">
      <c r="A32" t="inlineStr">
        <is>
          <t>ORICO</t>
        </is>
      </c>
      <c r="B32" s="29" t="n">
        <v>0</v>
      </c>
      <c r="C32" s="30" t="n"/>
      <c r="D32" s="29" t="n">
        <v>0</v>
      </c>
      <c r="E32" s="29" t="n">
        <v>0</v>
      </c>
      <c r="F32" s="2" t="n">
        <v>0</v>
      </c>
      <c r="G32" s="31" t="n">
        <v>0</v>
      </c>
      <c r="H32" s="32" t="n"/>
      <c r="I32" s="32" t="n">
        <v>0</v>
      </c>
      <c r="J32" s="32" t="n">
        <v>0</v>
      </c>
      <c r="K32" s="31" t="n">
        <v>0</v>
      </c>
      <c r="L32" s="32" t="n">
        <v>0</v>
      </c>
      <c r="M32" s="31" t="n">
        <v>0</v>
      </c>
      <c r="N32" s="31" t="n">
        <v>0</v>
      </c>
      <c r="O32" s="3" t="n">
        <v>0</v>
      </c>
      <c r="P32" s="3" t="n">
        <v>0</v>
      </c>
      <c r="Q32" s="32" t="n">
        <v>0</v>
      </c>
      <c r="R32" s="3" t="n">
        <v>0</v>
      </c>
      <c r="S32" s="32" t="n">
        <v>0</v>
      </c>
      <c r="T32" s="2" t="n">
        <v>0</v>
      </c>
      <c r="U32" s="2" t="n">
        <v>0</v>
      </c>
      <c r="V32" s="4" t="n">
        <v>0</v>
      </c>
      <c r="W32" s="33" t="n">
        <v>0</v>
      </c>
      <c r="X32" s="4" t="n">
        <v>0</v>
      </c>
      <c r="Y32" s="34" t="n"/>
      <c r="Z32" s="34" t="n">
        <v>0</v>
      </c>
      <c r="AA32" s="2" t="n">
        <v>0</v>
      </c>
      <c r="AB32" s="2" t="n">
        <v>1</v>
      </c>
    </row>
    <row r="33">
      <c r="A33" t="inlineStr">
        <is>
          <t>TY</t>
        </is>
      </c>
      <c r="B33" s="29" t="n">
        <v>0</v>
      </c>
      <c r="C33" s="30" t="n"/>
      <c r="D33" s="29" t="n">
        <v>0</v>
      </c>
      <c r="E33" s="29" t="n">
        <v>0</v>
      </c>
      <c r="F33" s="2" t="n">
        <v>0</v>
      </c>
      <c r="G33" s="31" t="n">
        <v>0</v>
      </c>
      <c r="H33" s="32" t="n"/>
      <c r="I33" s="32" t="n">
        <v>0</v>
      </c>
      <c r="J33" s="32" t="n">
        <v>0</v>
      </c>
      <c r="K33" s="31" t="n">
        <v>0</v>
      </c>
      <c r="L33" s="32" t="n">
        <v>0</v>
      </c>
      <c r="M33" s="31" t="n">
        <v>0</v>
      </c>
      <c r="N33" s="31" t="n">
        <v>0</v>
      </c>
      <c r="O33" s="3" t="n">
        <v>0</v>
      </c>
      <c r="P33" s="3" t="n">
        <v>0</v>
      </c>
      <c r="Q33" s="32" t="n">
        <v>0</v>
      </c>
      <c r="R33" s="3" t="n">
        <v>0</v>
      </c>
      <c r="S33" s="32" t="n">
        <v>0</v>
      </c>
      <c r="T33" s="2" t="n">
        <v>0</v>
      </c>
      <c r="U33" s="2" t="n">
        <v>2</v>
      </c>
      <c r="V33" s="4" t="n">
        <v>2</v>
      </c>
      <c r="W33" s="33" t="n">
        <v>0</v>
      </c>
      <c r="X33" s="4" t="n">
        <v>0</v>
      </c>
      <c r="Y33" s="34" t="n"/>
      <c r="Z33" s="34" t="n">
        <v>0</v>
      </c>
      <c r="AA33" s="2" t="n">
        <v>0</v>
      </c>
      <c r="AB33" s="2" t="n">
        <v>1</v>
      </c>
    </row>
    <row r="34">
      <c r="A34" t="inlineStr">
        <is>
          <t>Surjtech</t>
        </is>
      </c>
      <c r="B34" s="29" t="n">
        <v>0</v>
      </c>
      <c r="C34" s="30" t="n"/>
      <c r="D34" s="29" t="n">
        <v>0</v>
      </c>
      <c r="E34" s="29" t="n">
        <v>0</v>
      </c>
      <c r="F34" s="2" t="n">
        <v>0</v>
      </c>
      <c r="G34" s="31" t="n">
        <v>0</v>
      </c>
      <c r="H34" s="32" t="n"/>
      <c r="I34" s="32" t="n">
        <v>0</v>
      </c>
      <c r="J34" s="32" t="n">
        <v>0</v>
      </c>
      <c r="K34" s="31" t="n">
        <v>0</v>
      </c>
      <c r="L34" s="32" t="n">
        <v>0</v>
      </c>
      <c r="M34" s="31" t="n">
        <v>0</v>
      </c>
      <c r="N34" s="31" t="n">
        <v>0</v>
      </c>
      <c r="O34" s="3" t="n">
        <v>0</v>
      </c>
      <c r="P34" s="3" t="n">
        <v>0</v>
      </c>
      <c r="Q34" s="32" t="n">
        <v>0</v>
      </c>
      <c r="R34" s="3" t="n">
        <v>0</v>
      </c>
      <c r="S34" s="32" t="n">
        <v>0</v>
      </c>
      <c r="T34" s="2" t="n">
        <v>0</v>
      </c>
      <c r="U34" s="2" t="n">
        <v>2</v>
      </c>
      <c r="V34" s="4" t="n">
        <v>2</v>
      </c>
      <c r="W34" s="33" t="n">
        <v>0</v>
      </c>
      <c r="X34" s="4" t="n">
        <v>0</v>
      </c>
      <c r="Y34" s="34" t="n"/>
      <c r="Z34" s="34" t="n">
        <v>0</v>
      </c>
      <c r="AA34" s="2" t="n">
        <v>0</v>
      </c>
      <c r="AB34" s="2" t="n">
        <v>2</v>
      </c>
    </row>
    <row r="35">
      <c r="A35" t="inlineStr">
        <is>
          <t>Peanuts</t>
        </is>
      </c>
      <c r="B35" s="29" t="n">
        <v>0</v>
      </c>
      <c r="C35" s="30" t="n"/>
      <c r="D35" s="29" t="n">
        <v>0</v>
      </c>
      <c r="E35" s="29" t="n">
        <v>0</v>
      </c>
      <c r="F35" s="2" t="n">
        <v>0</v>
      </c>
      <c r="G35" s="31" t="n">
        <v>0</v>
      </c>
      <c r="H35" s="32" t="n"/>
      <c r="I35" s="32" t="n">
        <v>0</v>
      </c>
      <c r="J35" s="32" t="n">
        <v>0</v>
      </c>
      <c r="K35" s="31" t="n">
        <v>0</v>
      </c>
      <c r="L35" s="32" t="n">
        <v>0</v>
      </c>
      <c r="M35" s="31" t="n">
        <v>0</v>
      </c>
      <c r="N35" s="31" t="n">
        <v>0</v>
      </c>
      <c r="O35" s="3" t="n">
        <v>0</v>
      </c>
      <c r="P35" s="3" t="n">
        <v>0</v>
      </c>
      <c r="Q35" s="32" t="n">
        <v>0</v>
      </c>
      <c r="R35" s="3" t="n">
        <v>0</v>
      </c>
      <c r="S35" s="32" t="n">
        <v>0</v>
      </c>
      <c r="T35" s="2" t="n">
        <v>0</v>
      </c>
      <c r="U35" s="2" t="n">
        <v>0</v>
      </c>
      <c r="V35" s="4" t="n">
        <v>0</v>
      </c>
      <c r="W35" s="33" t="n">
        <v>0</v>
      </c>
      <c r="X35" s="4" t="n">
        <v>0</v>
      </c>
      <c r="Y35" s="34" t="n"/>
      <c r="Z35" s="34" t="n">
        <v>0</v>
      </c>
      <c r="AA35" s="2" t="n">
        <v>0</v>
      </c>
      <c r="AB35" s="2" t="n">
        <v>67</v>
      </c>
    </row>
    <row r="36">
      <c r="A36" t="inlineStr">
        <is>
          <t>National Park Foundation</t>
        </is>
      </c>
      <c r="B36" s="29" t="n">
        <v>0</v>
      </c>
      <c r="C36" s="30" t="n"/>
      <c r="D36" s="29" t="n">
        <v>0</v>
      </c>
      <c r="E36" s="29" t="n">
        <v>0</v>
      </c>
      <c r="F36" s="2" t="n">
        <v>0</v>
      </c>
      <c r="G36" s="31" t="n">
        <v>0</v>
      </c>
      <c r="H36" s="32" t="n"/>
      <c r="I36" s="32" t="n">
        <v>0</v>
      </c>
      <c r="J36" s="32" t="n">
        <v>0</v>
      </c>
      <c r="K36" s="31" t="n">
        <v>0</v>
      </c>
      <c r="L36" s="32" t="n">
        <v>0</v>
      </c>
      <c r="M36" s="31" t="n">
        <v>0</v>
      </c>
      <c r="N36" s="31" t="n">
        <v>0</v>
      </c>
      <c r="O36" s="3" t="n">
        <v>0</v>
      </c>
      <c r="P36" s="3" t="n">
        <v>0</v>
      </c>
      <c r="Q36" s="32" t="n">
        <v>0</v>
      </c>
      <c r="R36" s="3" t="n">
        <v>0</v>
      </c>
      <c r="S36" s="32" t="n">
        <v>0</v>
      </c>
      <c r="T36" s="2" t="n">
        <v>0</v>
      </c>
      <c r="U36" s="2" t="n">
        <v>87</v>
      </c>
      <c r="V36" s="4" t="n">
        <v>87</v>
      </c>
      <c r="W36" s="33" t="n">
        <v>0</v>
      </c>
      <c r="X36" s="4" t="n">
        <v>0</v>
      </c>
      <c r="Y36" s="34" t="n"/>
      <c r="Z36" s="34" t="n">
        <v>0</v>
      </c>
      <c r="AA36" s="2" t="n">
        <v>0</v>
      </c>
      <c r="AB36" s="2" t="n">
        <v>4</v>
      </c>
    </row>
    <row r="37">
      <c r="A37" t="inlineStr">
        <is>
          <t>HANG TEN</t>
        </is>
      </c>
      <c r="B37" s="29" t="n">
        <v>0</v>
      </c>
      <c r="C37" s="30" t="n"/>
      <c r="D37" s="29" t="n">
        <v>0</v>
      </c>
      <c r="E37" s="29" t="n">
        <v>0</v>
      </c>
      <c r="F37" s="2" t="n">
        <v>0</v>
      </c>
      <c r="G37" s="31" t="n">
        <v>0</v>
      </c>
      <c r="H37" s="32" t="n"/>
      <c r="I37" s="32" t="n">
        <v>0</v>
      </c>
      <c r="J37" s="32" t="n">
        <v>0</v>
      </c>
      <c r="K37" s="31" t="n">
        <v>0</v>
      </c>
      <c r="L37" s="32" t="n">
        <v>0</v>
      </c>
      <c r="M37" s="31" t="n">
        <v>0</v>
      </c>
      <c r="N37" s="31" t="n">
        <v>0</v>
      </c>
      <c r="O37" s="3" t="n">
        <v>0</v>
      </c>
      <c r="P37" s="3" t="n">
        <v>0</v>
      </c>
      <c r="Q37" s="32" t="n">
        <v>0</v>
      </c>
      <c r="R37" s="3" t="n">
        <v>0</v>
      </c>
      <c r="S37" s="32" t="n">
        <v>0</v>
      </c>
      <c r="T37" s="2" t="n">
        <v>0</v>
      </c>
      <c r="U37" s="2" t="n">
        <v>0</v>
      </c>
      <c r="V37" s="4" t="n">
        <v>0</v>
      </c>
      <c r="W37" s="33" t="n">
        <v>0</v>
      </c>
      <c r="X37" s="4" t="n">
        <v>0</v>
      </c>
      <c r="Y37" s="34" t="n"/>
      <c r="Z37" s="34" t="n">
        <v>0</v>
      </c>
      <c r="AA37" s="2" t="n">
        <v>0</v>
      </c>
      <c r="AB37" s="2" t="n">
        <v>5</v>
      </c>
    </row>
    <row r="38">
      <c r="A38" t="inlineStr">
        <is>
          <t>Explorer</t>
        </is>
      </c>
      <c r="B38" s="29" t="n">
        <v>0</v>
      </c>
      <c r="C38" s="30" t="n"/>
      <c r="D38" s="29" t="n">
        <v>0</v>
      </c>
      <c r="E38" s="29" t="n">
        <v>0</v>
      </c>
      <c r="F38" s="2" t="n">
        <v>0</v>
      </c>
      <c r="G38" s="31" t="n">
        <v>0</v>
      </c>
      <c r="H38" s="32" t="n"/>
      <c r="I38" s="32" t="n">
        <v>0</v>
      </c>
      <c r="J38" s="32" t="n">
        <v>0</v>
      </c>
      <c r="K38" s="31" t="n">
        <v>0</v>
      </c>
      <c r="L38" s="32" t="n">
        <v>0</v>
      </c>
      <c r="M38" s="31" t="n">
        <v>0</v>
      </c>
      <c r="N38" s="31" t="n">
        <v>0</v>
      </c>
      <c r="O38" s="3" t="n">
        <v>0</v>
      </c>
      <c r="P38" s="3" t="n">
        <v>0</v>
      </c>
      <c r="Q38" s="32" t="n">
        <v>0</v>
      </c>
      <c r="R38" s="3" t="n">
        <v>0</v>
      </c>
      <c r="S38" s="32" t="n">
        <v>0</v>
      </c>
      <c r="T38" s="2" t="n">
        <v>0</v>
      </c>
      <c r="U38" s="2" t="n">
        <v>3</v>
      </c>
      <c r="V38" s="4" t="n">
        <v>3</v>
      </c>
      <c r="W38" s="33" t="n">
        <v>0</v>
      </c>
      <c r="X38" s="4" t="n">
        <v>0</v>
      </c>
      <c r="Y38" s="34" t="n"/>
      <c r="Z38" s="34" t="n">
        <v>0</v>
      </c>
      <c r="AA38" s="2" t="n">
        <v>0</v>
      </c>
      <c r="AB38" s="2" t="n">
        <v>1</v>
      </c>
    </row>
    <row r="39">
      <c r="A39" t="inlineStr">
        <is>
          <t>test</t>
        </is>
      </c>
      <c r="B39" s="29" t="n">
        <v>0</v>
      </c>
      <c r="C39" s="30" t="n"/>
      <c r="D39" s="29" t="n">
        <v>0</v>
      </c>
      <c r="E39" s="29" t="n">
        <v>0</v>
      </c>
      <c r="F39" s="2" t="n">
        <v>0</v>
      </c>
      <c r="G39" s="31" t="n">
        <v>0</v>
      </c>
      <c r="H39" s="32" t="n"/>
      <c r="I39" s="32" t="n">
        <v>0</v>
      </c>
      <c r="J39" s="32" t="n">
        <v>0</v>
      </c>
      <c r="K39" s="31" t="n">
        <v>0</v>
      </c>
      <c r="L39" s="32" t="n">
        <v>0</v>
      </c>
      <c r="M39" s="31" t="n">
        <v>0</v>
      </c>
      <c r="N39" s="31" t="n">
        <v>0</v>
      </c>
      <c r="O39" s="3" t="n">
        <v>0</v>
      </c>
      <c r="P39" s="3" t="n">
        <v>0</v>
      </c>
      <c r="Q39" s="32" t="n">
        <v>0</v>
      </c>
      <c r="R39" s="3" t="n">
        <v>0</v>
      </c>
      <c r="S39" s="32" t="n">
        <v>0</v>
      </c>
      <c r="T39" s="2" t="n">
        <v>0</v>
      </c>
      <c r="U39" s="2" t="n">
        <v>0</v>
      </c>
      <c r="V39" s="4" t="n">
        <v>0</v>
      </c>
      <c r="W39" s="33" t="n">
        <v>0</v>
      </c>
      <c r="X39" s="4" t="n">
        <v>0</v>
      </c>
      <c r="Y39" s="34" t="n"/>
      <c r="Z39" s="34" t="n">
        <v>0</v>
      </c>
      <c r="AA39" s="2" t="n">
        <v>0</v>
      </c>
      <c r="AB39" s="2" t="n">
        <v>1</v>
      </c>
    </row>
    <row r="40">
      <c r="A40" t="inlineStr">
        <is>
          <t>Target</t>
        </is>
      </c>
      <c r="B40" s="29" t="n">
        <v>-43</v>
      </c>
      <c r="C40" s="30" t="n">
        <v>-0.0004</v>
      </c>
      <c r="D40" s="29" t="n">
        <v>49.9900016784668</v>
      </c>
      <c r="E40" s="29" t="n">
        <v>0</v>
      </c>
      <c r="F40" s="2" t="n">
        <v>0</v>
      </c>
      <c r="G40" s="31" t="n">
        <v>0</v>
      </c>
      <c r="H40" s="32" t="n"/>
      <c r="I40" s="32" t="n">
        <v>0</v>
      </c>
      <c r="J40" s="32" t="n">
        <v>0</v>
      </c>
      <c r="K40" s="31" t="n">
        <v>0</v>
      </c>
      <c r="L40" s="32" t="n">
        <v>0</v>
      </c>
      <c r="M40" s="31" t="n">
        <v>0</v>
      </c>
      <c r="N40" s="31" t="n">
        <v>0</v>
      </c>
      <c r="O40" s="3" t="n">
        <v>0</v>
      </c>
      <c r="P40" s="3" t="n">
        <v>0</v>
      </c>
      <c r="Q40" s="32" t="n">
        <v>0</v>
      </c>
      <c r="R40" s="3" t="n">
        <v>0</v>
      </c>
      <c r="S40" s="32" t="n">
        <v>0</v>
      </c>
      <c r="T40" s="2" t="n">
        <v>0</v>
      </c>
      <c r="U40" s="2" t="n">
        <v>38</v>
      </c>
      <c r="V40" s="4" t="n">
        <v>38</v>
      </c>
      <c r="W40" s="33" t="n">
        <v>-43</v>
      </c>
      <c r="X40" s="4" t="n">
        <v>0</v>
      </c>
      <c r="Y40" s="34" t="n"/>
      <c r="Z40" s="34" t="n">
        <v>1</v>
      </c>
      <c r="AA40" s="2" t="n">
        <v>0</v>
      </c>
      <c r="AB40" s="2" t="n">
        <v>5</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V481"/>
  <sheetViews>
    <sheetView workbookViewId="0">
      <pane xSplit="1" ySplit="3" topLeftCell="B4" activePane="bottomRight" state="frozen"/>
      <selection pane="topRight" activeCell="A1" sqref="A1"/>
      <selection pane="bottomLeft" activeCell="A1" sqref="A1"/>
      <selection pane="bottomRight" activeCell="A5" sqref="A5"/>
    </sheetView>
  </sheetViews>
  <sheetFormatPr baseColWidth="10" defaultColWidth="8.83203125" defaultRowHeight="15"/>
  <sheetData>
    <row r="1">
      <c r="A1" s="9" t="inlineStr">
        <is>
          <t>01/01/2025 - 05/15/2025 (135 days)</t>
        </is>
      </c>
      <c r="C1" s="8" t="n"/>
      <c r="D1" s="8" t="n"/>
      <c r="E1" s="8" t="n"/>
      <c r="F1" s="12" t="inlineStr">
        <is>
          <t>Total Ad Revenue / Total Adspend</t>
        </is>
      </c>
      <c r="G1" s="11" t="inlineStr">
        <is>
          <t>Ad Impressions from all my Ad accounts</t>
        </is>
      </c>
      <c r="I1" s="10" t="inlineStr">
        <is>
          <t>Total Ad Clicks / Total Ad Impressions</t>
        </is>
      </c>
      <c r="K1" s="10" t="inlineStr">
        <is>
          <t>Total Ad Units Sold / Total Ad Clicks</t>
        </is>
      </c>
      <c r="L1" s="10" t="inlineStr">
        <is>
          <t>My combined Ad impressions share</t>
        </is>
      </c>
      <c r="M1" s="8" t="n"/>
      <c r="U1" s="11" t="inlineStr">
        <is>
          <t>Items that rank both organically and through Ads</t>
        </is>
      </c>
      <c r="V1" s="11" t="n"/>
    </row>
    <row r="2">
      <c r="C2" s="15">
        <f>SUBTOTAL(9, C3:C481)</f>
        <v/>
      </c>
      <c r="D2" s="15">
        <f>SUBTOTAL(9, D3:D481)</f>
        <v/>
      </c>
      <c r="E2" s="15">
        <f>SUBTOTAL(9, E3:E481)</f>
        <v/>
      </c>
      <c r="F2" s="15">
        <f>D2/C2</f>
        <v/>
      </c>
      <c r="G2" s="17">
        <f>SUBTOTAL(9, G3:G481)</f>
        <v/>
      </c>
      <c r="H2" s="17">
        <f>SUBTOTAL(9, H3:H481)</f>
        <v/>
      </c>
      <c r="I2" s="16">
        <f>H2/G2</f>
        <v/>
      </c>
      <c r="J2" s="17">
        <f>SUBTOTAL(9, J3:J481)</f>
        <v/>
      </c>
      <c r="K2" s="16">
        <f>J2/H2</f>
        <v/>
      </c>
      <c r="M2" s="15">
        <f>C2/H2</f>
        <v/>
      </c>
    </row>
    <row r="3" ht="64" customHeight="1">
      <c r="A3" s="6" t="inlineStr">
        <is>
          <t>Keyword</t>
        </is>
      </c>
      <c r="B3" s="26" t="inlineStr">
        <is>
          <t>Search Volume(30 days)</t>
        </is>
      </c>
      <c r="C3" s="23" t="inlineStr">
        <is>
          <t>Ad Spend</t>
        </is>
      </c>
      <c r="D3" s="23" t="inlineStr">
        <is>
          <t>Ad Revenue</t>
        </is>
      </c>
      <c r="E3" s="23" t="inlineStr">
        <is>
          <t>Ad SKU Sales</t>
        </is>
      </c>
      <c r="F3" s="23" t="inlineStr">
        <is>
          <t>ROAS</t>
        </is>
      </c>
      <c r="G3" s="25" t="inlineStr">
        <is>
          <t>Ad Impressions</t>
        </is>
      </c>
      <c r="H3" s="25" t="inlineStr">
        <is>
          <t>Ad Clicks</t>
        </is>
      </c>
      <c r="I3" s="24" t="inlineStr">
        <is>
          <t>CTR</t>
        </is>
      </c>
      <c r="J3" s="25" t="inlineStr">
        <is>
          <t>Ad Units Sold</t>
        </is>
      </c>
      <c r="K3" s="24" t="inlineStr">
        <is>
          <t>Ad Conversion</t>
        </is>
      </c>
      <c r="L3" s="24" t="inlineStr">
        <is>
          <t>Share of Ad Impressions</t>
        </is>
      </c>
      <c r="M3" s="23" t="inlineStr">
        <is>
          <t>CPC</t>
        </is>
      </c>
      <c r="N3" s="25" t="inlineStr">
        <is>
          <t>Campaigns</t>
        </is>
      </c>
      <c r="O3" s="25" t="inlineStr">
        <is>
          <t>Match Type</t>
        </is>
      </c>
      <c r="P3" s="26" t="inlineStr">
        <is>
          <t>My Ranking Products</t>
        </is>
      </c>
      <c r="Q3" s="26" t="inlineStr">
        <is>
          <t>Best Organic Rank</t>
        </is>
      </c>
      <c r="R3" s="26" t="inlineStr">
        <is>
          <t>My Sponsored Products</t>
        </is>
      </c>
      <c r="S3" s="26" t="inlineStr">
        <is>
          <t>Best Sponsored Rank</t>
        </is>
      </c>
      <c r="T3" s="26" t="inlineStr">
        <is>
          <t>Total Sponsored Products</t>
        </is>
      </c>
      <c r="U3" s="26" t="inlineStr">
        <is>
          <t>Multiple Ranking Items</t>
        </is>
      </c>
      <c r="V3" s="26" t="inlineStr">
        <is>
          <t>Ranking Items</t>
        </is>
      </c>
    </row>
    <row r="4">
      <c r="A4" t="inlineStr">
        <is>
          <t>picnic blanket</t>
        </is>
      </c>
      <c r="B4" s="4" t="n">
        <v>6470</v>
      </c>
      <c r="C4" s="31" t="n">
        <v>37.62</v>
      </c>
      <c r="D4" s="31" t="n">
        <v>34.99</v>
      </c>
      <c r="E4" s="31" t="n">
        <v>34.99</v>
      </c>
      <c r="F4" s="31" t="n">
        <v>0.93</v>
      </c>
      <c r="G4" s="3" t="n">
        <v>13734</v>
      </c>
      <c r="H4" s="3" t="n">
        <v>92</v>
      </c>
      <c r="I4" s="32" t="n">
        <v>0.01</v>
      </c>
      <c r="J4" s="3" t="n">
        <v>1</v>
      </c>
      <c r="K4" s="32" t="n">
        <v>0.01</v>
      </c>
      <c r="L4" s="32" t="n">
        <v>0.3071</v>
      </c>
      <c r="M4" s="31" t="n">
        <v>0.41</v>
      </c>
      <c r="N4" s="3" t="inlineStr">
        <is>
          <t>1TRBW506GNBK_Manual,1TRBW506LGDG-CDCB_Manual,1WMBM109-BLGY,1WMBW506NYGY-TBCB_Manual,Manual Campaign 1,Manual Campaign 1 (COPY),Manual for Waterproof Blanket--Lily,ManualText-want to push,ManualText-want to push 5.0,ManualText-want to push2.0,ManualText-want to push3.0,ManualText-want to push4.0,ManualText-want to push5.0,ManualText-want to push8.0,Picnic Blankets &amp; Mats_Manual_Optiwise_24</t>
        </is>
      </c>
      <c r="O4" s="3" t="inlineStr">
        <is>
          <t>exact</t>
        </is>
      </c>
      <c r="P4" s="4" t="n"/>
      <c r="Q4" s="4" t="n"/>
      <c r="R4" s="4" t="inlineStr">
        <is>
          <t>-</t>
        </is>
      </c>
      <c r="S4" s="4" t="n"/>
      <c r="T4" s="4" t="n">
        <v>0</v>
      </c>
      <c r="U4" s="4" t="n">
        <v>0</v>
      </c>
      <c r="V4" s="4" t="n"/>
    </row>
    <row r="5">
      <c r="A5" t="inlineStr">
        <is>
          <t>snuggie</t>
        </is>
      </c>
      <c r="B5" s="4" t="inlineStr">
        <is>
          <t>620 - 7680</t>
        </is>
      </c>
      <c r="C5" s="31" t="n">
        <v>29.74</v>
      </c>
      <c r="D5" s="31" t="n">
        <v>84.97</v>
      </c>
      <c r="E5" s="31" t="n">
        <v>84.97</v>
      </c>
      <c r="F5" s="31" t="n">
        <v>2.86</v>
      </c>
      <c r="G5" s="3" t="n">
        <v>2494</v>
      </c>
      <c r="H5" s="3" t="n">
        <v>74</v>
      </c>
      <c r="I5" s="32" t="n">
        <v>0.03</v>
      </c>
      <c r="J5" s="3" t="n">
        <v>3</v>
      </c>
      <c r="K5" s="32" t="n">
        <v>0.04</v>
      </c>
      <c r="L5" s="32" t="n">
        <v>0.4708</v>
      </c>
      <c r="M5" s="31" t="n">
        <v>0.4</v>
      </c>
      <c r="N5" s="3" t="inlineStr">
        <is>
          <t>1CTBP120GY_Manual,1CTBP120GY_Manual_Optiwise,Manual Campaign 1,Manual Campaign 1 (COPY),Manual for SN100-Lily,ManualText-want to push,ManualText-want to push 5.0,ManualText-want to push2.0,ManualText-want to push3.0,ManualText-want to push4.0,ManualText-want to push5.0,ManualText-want to push8.0</t>
        </is>
      </c>
      <c r="O5" s="3" t="inlineStr">
        <is>
          <t>exact</t>
        </is>
      </c>
      <c r="P5" s="4" t="n">
        <v>9</v>
      </c>
      <c r="Q5" s="4" t="n">
        <v>14</v>
      </c>
      <c r="R5" s="4" t="n">
        <v>3</v>
      </c>
      <c r="S5" s="4" t="n">
        <v>4</v>
      </c>
      <c r="T5" s="4" t="n">
        <v>10</v>
      </c>
      <c r="U5" s="4" t="n">
        <v>0</v>
      </c>
      <c r="V5" s="4" t="inlineStr">
        <is>
          <t>873609379 - 32, 519184826 - 40, 768244496 - 14, 914697087 - 46, 812625607 - 39, 364182411 - 11, 112872395 - 25, 436517515 - 4, 9673001933 - 26</t>
        </is>
      </c>
    </row>
    <row r="6">
      <c r="A6" t="inlineStr">
        <is>
          <t>stadium blanket</t>
        </is>
      </c>
      <c r="B6" s="4" t="n">
        <v>970</v>
      </c>
      <c r="C6" s="31" t="n">
        <v>26.16</v>
      </c>
      <c r="D6" s="31" t="n">
        <v>157.95</v>
      </c>
      <c r="E6" s="31" t="n">
        <v>157.95</v>
      </c>
      <c r="F6" s="31" t="n">
        <v>6.04</v>
      </c>
      <c r="G6" s="3" t="n">
        <v>1275</v>
      </c>
      <c r="H6" s="3" t="n">
        <v>76</v>
      </c>
      <c r="I6" s="32" t="n">
        <v>0.06</v>
      </c>
      <c r="J6" s="3" t="n">
        <v>5</v>
      </c>
      <c r="K6" s="32" t="n">
        <v>0.07000000000000001</v>
      </c>
      <c r="L6" s="32" t="n">
        <v>0.5698</v>
      </c>
      <c r="M6" s="31" t="n">
        <v>0.34</v>
      </c>
      <c r="N6" s="3" t="inlineStr">
        <is>
          <t>1CTBC200BKCAMO_Manual,1WMBW506NYGY-TBCB_Manual_Optiwise,Manual for BW系列-Lily,Manual for Waterproof Blanket--Lily,Manual for Waterproof Blanket-Lily,ManualText-want to push 5.0,ManualText-want to push3.0,ManualText-want to push4.0,ManualText-want to push5.0,ManualText-want to push8.0,Picnic Blankets &amp; Mats_Manual_Optiwise_24,Tirrinia Brand Waterproof Blanket-Lily</t>
        </is>
      </c>
      <c r="O6" s="3" t="inlineStr">
        <is>
          <t>exact</t>
        </is>
      </c>
      <c r="P6" s="4" t="n">
        <v>9</v>
      </c>
      <c r="Q6" s="4" t="n">
        <v>5</v>
      </c>
      <c r="R6" s="4" t="n">
        <v>3</v>
      </c>
      <c r="S6" s="4" t="n">
        <v>1</v>
      </c>
      <c r="T6" s="4" t="n">
        <v>10</v>
      </c>
      <c r="U6" s="4" t="n">
        <v>1</v>
      </c>
      <c r="V6" s="4" t="inlineStr">
        <is>
          <t>448077121 - 6, 888252893 - 5, 840040807 - 2, 479148074 - 1, 703963438 - 18, 346915715 - 17, 3093512939 - 10, 2798867763 - 22, 2798867763 - 27</t>
        </is>
      </c>
    </row>
    <row r="7">
      <c r="A7" t="inlineStr">
        <is>
          <t>outdoor blanket</t>
        </is>
      </c>
      <c r="B7" s="4" t="n">
        <v>7350</v>
      </c>
      <c r="C7" s="31" t="n">
        <v>22.72</v>
      </c>
      <c r="D7" s="31" t="n">
        <v>36.99</v>
      </c>
      <c r="E7" s="31" t="n">
        <v>36.99</v>
      </c>
      <c r="F7" s="31" t="n">
        <v>1.63</v>
      </c>
      <c r="G7" s="3" t="n">
        <v>2516</v>
      </c>
      <c r="H7" s="3" t="n">
        <v>56</v>
      </c>
      <c r="I7" s="32" t="n">
        <v>0.02</v>
      </c>
      <c r="J7" s="3" t="n">
        <v>1</v>
      </c>
      <c r="K7" s="32" t="n">
        <v>0.02</v>
      </c>
      <c r="L7" s="32" t="n">
        <v>0.4125</v>
      </c>
      <c r="M7" s="31" t="n">
        <v>0.41</v>
      </c>
      <c r="N7" s="3" t="inlineStr">
        <is>
          <t>1TRBW506GNBK_Manual,1TRBW506LGDG-CDCB_Manual,1WMBM109-BLGY,1WMBW506NYGY-TBCB_Manual,keywords_Ezdia_Vinay,Manual Campaign 1,Manual Campaign 1 (COPY),Manual for BW系列-Lily,Manual for Waterproof Blanket--Lily,Manual for Waterproof Outdoor BW--Rachel,ManualText-want to push,ManualText-want to push 5.0,ManualText-want to push2.0,ManualText-want to push3.0,ManualText-want to push4.0,ManualText-want to push5.0,ManualText-want to push8.0,Picnic Blankets &amp; Mats_Manual_Optiwise_24,Tirrinia Brand Waterproof Blanket-Lily</t>
        </is>
      </c>
      <c r="O7" s="3" t="inlineStr">
        <is>
          <t>exact</t>
        </is>
      </c>
      <c r="P7" s="4" t="n">
        <v>2</v>
      </c>
      <c r="Q7" s="4" t="n"/>
      <c r="R7" s="4" t="n">
        <v>2</v>
      </c>
      <c r="S7" s="4" t="n">
        <v>4</v>
      </c>
      <c r="T7" s="4" t="n">
        <v>10</v>
      </c>
      <c r="U7" s="4" t="n">
        <v>0</v>
      </c>
      <c r="V7" s="4" t="inlineStr">
        <is>
          <t>840040807 - 4, 807759063 - 31</t>
        </is>
      </c>
    </row>
    <row r="8">
      <c r="A8" t="inlineStr">
        <is>
          <t>throw blankets under $10</t>
        </is>
      </c>
      <c r="B8" s="4" t="n">
        <v>40</v>
      </c>
      <c r="C8" s="31" t="n">
        <v>22.19</v>
      </c>
      <c r="D8" s="31" t="n">
        <v>43.98</v>
      </c>
      <c r="E8" s="31" t="n">
        <v>43.98</v>
      </c>
      <c r="F8" s="31" t="n">
        <v>1.98</v>
      </c>
      <c r="G8" s="3" t="n">
        <v>9726</v>
      </c>
      <c r="H8" s="3" t="n">
        <v>55</v>
      </c>
      <c r="I8" s="32" t="n">
        <v>0.01</v>
      </c>
      <c r="J8" s="3" t="n">
        <v>2</v>
      </c>
      <c r="K8" s="32" t="n">
        <v>0.04</v>
      </c>
      <c r="L8" s="32" t="n">
        <v>0</v>
      </c>
      <c r="M8" s="31" t="n">
        <v>0.4</v>
      </c>
      <c r="N8" s="3" t="inlineStr">
        <is>
          <t>Throws_Manual_Optiwise_24</t>
        </is>
      </c>
      <c r="O8" s="3" t="inlineStr">
        <is>
          <t>phrase</t>
        </is>
      </c>
      <c r="P8" s="4" t="n"/>
      <c r="Q8" s="4" t="n"/>
      <c r="R8" s="4" t="inlineStr">
        <is>
          <t>-</t>
        </is>
      </c>
      <c r="S8" s="4" t="n"/>
      <c r="T8" s="4" t="n">
        <v>0</v>
      </c>
      <c r="U8" s="4" t="n">
        <v>0</v>
      </c>
      <c r="V8" s="4" t="n"/>
    </row>
    <row r="9">
      <c r="A9" t="inlineStr">
        <is>
          <t>mermaid tail blanket</t>
        </is>
      </c>
      <c r="B9" s="4" t="n">
        <v>680</v>
      </c>
      <c r="C9" s="31" t="n">
        <v>21.78</v>
      </c>
      <c r="D9" s="31" t="n">
        <v>132.93</v>
      </c>
      <c r="E9" s="31" t="n">
        <v>132.93</v>
      </c>
      <c r="F9" s="31" t="n">
        <v>6.1</v>
      </c>
      <c r="G9" s="3" t="n">
        <v>856</v>
      </c>
      <c r="H9" s="3" t="n">
        <v>63</v>
      </c>
      <c r="I9" s="32" t="n">
        <v>0.07000000000000001</v>
      </c>
      <c r="J9" s="3" t="n">
        <v>7</v>
      </c>
      <c r="K9" s="32" t="n">
        <v>0.11</v>
      </c>
      <c r="L9" s="32" t="n">
        <v>0.6878</v>
      </c>
      <c r="M9" s="31" t="n">
        <v>0.35</v>
      </c>
      <c r="N9" s="3" t="inlineStr">
        <is>
          <t>1CTMM500PK_Manual,1CTMM500PK_Manual_Optiwise,1WMMM500MUL_Manual,Keywords Campaign-Lily,Manual for Hero MM--Lily,Throws_Manual_Optiwise_24,Videos for MM--Lily</t>
        </is>
      </c>
      <c r="O9" s="3" t="inlineStr">
        <is>
          <t>exact</t>
        </is>
      </c>
      <c r="P9" s="4" t="n">
        <v>7</v>
      </c>
      <c r="Q9" s="4" t="n">
        <v>7</v>
      </c>
      <c r="R9" s="4" t="n">
        <v>2</v>
      </c>
      <c r="S9" s="4" t="n">
        <v>1</v>
      </c>
      <c r="T9" s="4" t="n">
        <v>10</v>
      </c>
      <c r="U9" s="4" t="n">
        <v>2</v>
      </c>
      <c r="V9" s="4" t="inlineStr">
        <is>
          <t>856027355 - 1, 856027355 - 7, 781423419 - 43, 942219918 - 3, 942219918 - 16, 959506124 - 19, 15169814317 - 49</t>
        </is>
      </c>
    </row>
    <row r="10">
      <c r="A10" t="inlineStr">
        <is>
          <t>camping blanket</t>
        </is>
      </c>
      <c r="B10" s="4" t="n">
        <v>510</v>
      </c>
      <c r="C10" s="31" t="n">
        <v>17.81</v>
      </c>
      <c r="D10" s="31" t="n">
        <v>73.98</v>
      </c>
      <c r="E10" s="31" t="n">
        <v>73.98</v>
      </c>
      <c r="F10" s="31" t="n">
        <v>4.15</v>
      </c>
      <c r="G10" s="3" t="n">
        <v>1310</v>
      </c>
      <c r="H10" s="3" t="n">
        <v>42</v>
      </c>
      <c r="I10" s="32" t="n">
        <v>0.03</v>
      </c>
      <c r="J10" s="3" t="n">
        <v>2</v>
      </c>
      <c r="K10" s="32" t="n">
        <v>0.05</v>
      </c>
      <c r="L10" s="32" t="n">
        <v>0</v>
      </c>
      <c r="M10" s="31" t="n">
        <v>0.42</v>
      </c>
      <c r="N10" s="3" t="inlineStr">
        <is>
          <t>1WMBW506NYGY-TBCB_Manual,Manual for Waterproof Blanket--Lily,Picnic Blankets &amp; Mats_Manual_Optiwise_24</t>
        </is>
      </c>
      <c r="O10" s="3" t="inlineStr">
        <is>
          <t>exact</t>
        </is>
      </c>
      <c r="P10" s="4" t="n"/>
      <c r="Q10" s="4" t="n"/>
      <c r="R10" s="4" t="inlineStr">
        <is>
          <t>-</t>
        </is>
      </c>
      <c r="S10" s="4" t="n"/>
      <c r="T10" s="4" t="n">
        <v>0</v>
      </c>
      <c r="U10" s="4" t="n">
        <v>0</v>
      </c>
      <c r="V10" s="4" t="n"/>
    </row>
    <row r="11">
      <c r="A11" t="inlineStr">
        <is>
          <t>mermaid blanket</t>
        </is>
      </c>
      <c r="B11" s="4" t="inlineStr">
        <is>
          <t>200 - 1000</t>
        </is>
      </c>
      <c r="C11" s="31" t="n">
        <v>16.38</v>
      </c>
      <c r="D11" s="31" t="n">
        <v>131.93</v>
      </c>
      <c r="E11" s="31" t="n">
        <v>131.93</v>
      </c>
      <c r="F11" s="31" t="n">
        <v>8.050000000000001</v>
      </c>
      <c r="G11" s="3" t="n">
        <v>506</v>
      </c>
      <c r="H11" s="3" t="n">
        <v>42</v>
      </c>
      <c r="I11" s="32" t="n">
        <v>0.08</v>
      </c>
      <c r="J11" s="3" t="n">
        <v>7</v>
      </c>
      <c r="K11" s="32" t="n">
        <v>0.17</v>
      </c>
      <c r="L11" s="32" t="n">
        <v>0.5726</v>
      </c>
      <c r="M11" s="31" t="n">
        <v>0.39</v>
      </c>
      <c r="N11" s="3" t="inlineStr">
        <is>
          <t>1CTMM500PK_Manual,1CTMM500PK_Manual_Optiwise,1WMMM500MUL_Manual,High AUR SB_Optiwise,Keywords Campaign-Lily,Manual Campaign 1,Manual Campaign 1 (COPY),Manual for Hero MM--Lily,ManualText-want to push,ManualText-want to push 5.0,ManualText-want to push2.0,ManualText-want to push3.0,ManualText-want to push4.0,ManualText-want to push5.0,ManualText-want to push8.0,Videos for MM--Lily</t>
        </is>
      </c>
      <c r="O11" s="3" t="inlineStr">
        <is>
          <t>exact</t>
        </is>
      </c>
      <c r="P11" s="4" t="n">
        <v>7</v>
      </c>
      <c r="Q11" s="4" t="n">
        <v>8</v>
      </c>
      <c r="R11" s="4" t="n">
        <v>3</v>
      </c>
      <c r="S11" s="4" t="n">
        <v>1</v>
      </c>
      <c r="T11" s="4" t="n">
        <v>10</v>
      </c>
      <c r="U11" s="4" t="n">
        <v>2</v>
      </c>
      <c r="V11" s="4" t="n"/>
    </row>
    <row r="12">
      <c r="A12" t="inlineStr">
        <is>
          <t>1048596542</t>
        </is>
      </c>
      <c r="B12" s="4" t="n"/>
      <c r="C12" s="31" t="n">
        <v>15.11</v>
      </c>
      <c r="D12" s="31" t="n">
        <v>0</v>
      </c>
      <c r="E12" s="31" t="n">
        <v>0</v>
      </c>
      <c r="F12" s="31" t="n">
        <v>0</v>
      </c>
      <c r="G12" s="3" t="n">
        <v>1834</v>
      </c>
      <c r="H12" s="3" t="n">
        <v>39</v>
      </c>
      <c r="I12" s="32" t="n">
        <v>0.02</v>
      </c>
      <c r="J12" s="3" t="n">
        <v>0</v>
      </c>
      <c r="K12" s="32" t="n">
        <v>0</v>
      </c>
      <c r="L12" s="32" t="n">
        <v>0</v>
      </c>
      <c r="M12" s="31" t="n">
        <v>0.39</v>
      </c>
      <c r="N12" s="3" t="inlineStr">
        <is>
          <t>Throws_Manual_Optiwise_24</t>
        </is>
      </c>
      <c r="O12" s="3" t="inlineStr">
        <is>
          <t>phrase</t>
        </is>
      </c>
      <c r="P12" s="4" t="n"/>
      <c r="Q12" s="4" t="n"/>
      <c r="R12" s="4" t="inlineStr">
        <is>
          <t>-</t>
        </is>
      </c>
      <c r="S12" s="4" t="n"/>
      <c r="T12" s="4" t="n">
        <v>0</v>
      </c>
      <c r="U12" s="4" t="n">
        <v>0</v>
      </c>
      <c r="V12" s="4" t="n"/>
    </row>
    <row r="13">
      <c r="A13" t="inlineStr">
        <is>
          <t>1615978032</t>
        </is>
      </c>
      <c r="B13" s="4" t="n"/>
      <c r="C13" s="31" t="n">
        <v>13.25</v>
      </c>
      <c r="D13" s="31" t="n">
        <v>0</v>
      </c>
      <c r="E13" s="31" t="n">
        <v>0</v>
      </c>
      <c r="F13" s="31" t="n">
        <v>0</v>
      </c>
      <c r="G13" s="3" t="n">
        <v>4046</v>
      </c>
      <c r="H13" s="3" t="n">
        <v>35</v>
      </c>
      <c r="I13" s="32" t="n">
        <v>0.01</v>
      </c>
      <c r="J13" s="3" t="n">
        <v>0</v>
      </c>
      <c r="K13" s="32" t="n">
        <v>0</v>
      </c>
      <c r="L13" s="32" t="n">
        <v>0</v>
      </c>
      <c r="M13" s="31" t="n">
        <v>0.38</v>
      </c>
      <c r="N13" s="3" t="inlineStr">
        <is>
          <t>1TRBW506LGDG-CDCB_Manual,Manual for Waterproof Blanket--Lily,Picnic Blankets &amp; Mats_Manual_Optiwise_24</t>
        </is>
      </c>
      <c r="O13" s="3" t="inlineStr">
        <is>
          <t>exact</t>
        </is>
      </c>
      <c r="P13" s="4" t="n"/>
      <c r="Q13" s="4" t="n"/>
      <c r="R13" s="4" t="inlineStr">
        <is>
          <t>-</t>
        </is>
      </c>
      <c r="S13" s="4" t="n"/>
      <c r="T13" s="4" t="n">
        <v>0</v>
      </c>
      <c r="U13" s="4" t="n">
        <v>0</v>
      </c>
      <c r="V13" s="4" t="n"/>
    </row>
    <row r="14">
      <c r="A14" t="inlineStr">
        <is>
          <t>mermaid</t>
        </is>
      </c>
      <c r="B14" s="4" t="inlineStr">
        <is>
          <t>12960 - 18120</t>
        </is>
      </c>
      <c r="C14" s="31" t="n">
        <v>12.17</v>
      </c>
      <c r="D14" s="31" t="n">
        <v>18.99</v>
      </c>
      <c r="E14" s="31" t="n">
        <v>18.99</v>
      </c>
      <c r="F14" s="31" t="n">
        <v>1.56</v>
      </c>
      <c r="G14" s="3" t="n">
        <v>2631</v>
      </c>
      <c r="H14" s="3" t="n">
        <v>36</v>
      </c>
      <c r="I14" s="32" t="n">
        <v>0.01</v>
      </c>
      <c r="J14" s="3" t="n">
        <v>1</v>
      </c>
      <c r="K14" s="32" t="n">
        <v>0.03</v>
      </c>
      <c r="L14" s="32" t="n">
        <v>0.3779999999999999</v>
      </c>
      <c r="M14" s="31" t="n">
        <v>0.34</v>
      </c>
      <c r="N14" s="3" t="inlineStr">
        <is>
          <t>1WMMM500MUL_Manual,Keyword for All-Lily</t>
        </is>
      </c>
      <c r="O14" s="3" t="inlineStr">
        <is>
          <t>exact</t>
        </is>
      </c>
      <c r="P14" s="4" t="n">
        <v>1</v>
      </c>
      <c r="Q14" s="4" t="n"/>
      <c r="R14" s="4" t="n">
        <v>1</v>
      </c>
      <c r="S14" s="4" t="n">
        <v>3</v>
      </c>
      <c r="T14" s="4" t="n">
        <v>10</v>
      </c>
      <c r="U14" s="4" t="n">
        <v>0</v>
      </c>
      <c r="V14" s="4" t="n"/>
    </row>
    <row r="15">
      <c r="A15" t="inlineStr">
        <is>
          <t>camping blankets to keep warm</t>
        </is>
      </c>
      <c r="B15" s="4" t="n">
        <v>30</v>
      </c>
      <c r="C15" s="31" t="n">
        <v>10.05</v>
      </c>
      <c r="D15" s="31" t="n">
        <v>28.99</v>
      </c>
      <c r="E15" s="31" t="n">
        <v>28.99</v>
      </c>
      <c r="F15" s="31" t="n">
        <v>2.88</v>
      </c>
      <c r="G15" s="3" t="n">
        <v>284</v>
      </c>
      <c r="H15" s="3" t="n">
        <v>29</v>
      </c>
      <c r="I15" s="32" t="n">
        <v>0.1</v>
      </c>
      <c r="J15" s="3" t="n">
        <v>1</v>
      </c>
      <c r="K15" s="32" t="n">
        <v>0.03</v>
      </c>
      <c r="L15" s="32" t="n">
        <v>0</v>
      </c>
      <c r="M15" s="31" t="n">
        <v>0.35</v>
      </c>
      <c r="N15" s="3" t="inlineStr">
        <is>
          <t>Manual for Waterproof Blanket--Lily,Picnic Blankets &amp; Mats_Manual_Optiwise_24</t>
        </is>
      </c>
      <c r="O15" s="3" t="inlineStr">
        <is>
          <t>exact</t>
        </is>
      </c>
      <c r="P15" s="4" t="n">
        <v>6</v>
      </c>
      <c r="Q15" s="4" t="n">
        <v>14</v>
      </c>
      <c r="R15" s="4" t="n">
        <v>3</v>
      </c>
      <c r="S15" s="4" t="n">
        <v>41</v>
      </c>
      <c r="T15" s="4" t="n">
        <v>16</v>
      </c>
      <c r="U15" s="4" t="n">
        <v>0</v>
      </c>
      <c r="V15" s="4" t="inlineStr">
        <is>
          <t>448077121 - 47, 888252893 - 14, 840040807 - 41, 807759063 - 42, 908265210 - 24, 2798867763 - 44</t>
        </is>
      </c>
    </row>
    <row r="16">
      <c r="A16" t="inlineStr">
        <is>
          <t>beach blanket</t>
        </is>
      </c>
      <c r="B16" s="4" t="inlineStr">
        <is>
          <t>130 - 3380</t>
        </is>
      </c>
      <c r="C16" s="31" t="n">
        <v>9.84</v>
      </c>
      <c r="D16" s="31" t="n">
        <v>0</v>
      </c>
      <c r="E16" s="31" t="n">
        <v>0</v>
      </c>
      <c r="F16" s="31" t="n">
        <v>0</v>
      </c>
      <c r="G16" s="3" t="n">
        <v>2030</v>
      </c>
      <c r="H16" s="3" t="n">
        <v>24</v>
      </c>
      <c r="I16" s="32" t="n">
        <v>0.01</v>
      </c>
      <c r="J16" s="3" t="n">
        <v>0</v>
      </c>
      <c r="K16" s="32" t="n">
        <v>0</v>
      </c>
      <c r="L16" s="32" t="n">
        <v>0.06610000000000001</v>
      </c>
      <c r="M16" s="31" t="n">
        <v>0.41</v>
      </c>
      <c r="N16" s="3" t="inlineStr">
        <is>
          <t>1WMBM109-BLGY,Converted Keywords_Optiwise,Manu,ManualText-want to push 5.0,ManualText-want to push3.0,ManualText-want to push4.0,ManualText-want to push5.0,ManualText-want to push8.0,Picnic Blankets &amp; Mats_Manual_Optiwise_24</t>
        </is>
      </c>
      <c r="O16" s="3" t="inlineStr">
        <is>
          <t>exact</t>
        </is>
      </c>
      <c r="P16" s="4" t="n"/>
      <c r="Q16" s="4" t="n"/>
      <c r="R16" s="4" t="inlineStr">
        <is>
          <t>-</t>
        </is>
      </c>
      <c r="S16" s="4" t="n"/>
      <c r="T16" s="4" t="n">
        <v>0</v>
      </c>
      <c r="U16" s="4" t="n">
        <v>0</v>
      </c>
      <c r="V16" s="4" t="n"/>
    </row>
    <row r="17">
      <c r="A17" t="inlineStr">
        <is>
          <t>snuggie blanket with sleeves adults</t>
        </is>
      </c>
      <c r="B17" s="4" t="n">
        <v>170</v>
      </c>
      <c r="C17" s="31" t="n">
        <v>7.39</v>
      </c>
      <c r="D17" s="31" t="n">
        <v>0</v>
      </c>
      <c r="E17" s="31" t="n">
        <v>0</v>
      </c>
      <c r="F17" s="31" t="n">
        <v>0</v>
      </c>
      <c r="G17" s="3" t="n">
        <v>187</v>
      </c>
      <c r="H17" s="3" t="n">
        <v>16</v>
      </c>
      <c r="I17" s="32" t="n">
        <v>0.09</v>
      </c>
      <c r="J17" s="3" t="n">
        <v>0</v>
      </c>
      <c r="K17" s="32" t="n">
        <v>0</v>
      </c>
      <c r="L17" s="32" t="n"/>
      <c r="M17" s="31" t="n">
        <v>0.46</v>
      </c>
      <c r="N17" s="3" t="inlineStr">
        <is>
          <t>1CTBP120GY_Manual_Optiwise</t>
        </is>
      </c>
      <c r="O17" s="3" t="inlineStr">
        <is>
          <t>exact</t>
        </is>
      </c>
      <c r="P17" s="4" t="n">
        <v>6</v>
      </c>
      <c r="Q17" s="4" t="n">
        <v>15</v>
      </c>
      <c r="R17" s="4" t="n">
        <v>1</v>
      </c>
      <c r="S17" s="4" t="n">
        <v>21</v>
      </c>
      <c r="T17" s="4" t="n">
        <v>10</v>
      </c>
      <c r="U17" s="4" t="n">
        <v>0</v>
      </c>
      <c r="V17" s="4" t="n"/>
    </row>
    <row r="18">
      <c r="A18" t="inlineStr">
        <is>
          <t>outdoor blanket waterproof</t>
        </is>
      </c>
      <c r="B18" s="4" t="n">
        <v>320</v>
      </c>
      <c r="C18" s="31" t="n">
        <v>6.94</v>
      </c>
      <c r="D18" s="31" t="n">
        <v>64.98</v>
      </c>
      <c r="E18" s="31" t="n">
        <v>64.98</v>
      </c>
      <c r="F18" s="31" t="n">
        <v>9.359999999999999</v>
      </c>
      <c r="G18" s="3" t="n">
        <v>254</v>
      </c>
      <c r="H18" s="3" t="n">
        <v>17</v>
      </c>
      <c r="I18" s="32" t="n">
        <v>0.07000000000000001</v>
      </c>
      <c r="J18" s="3" t="n">
        <v>2</v>
      </c>
      <c r="K18" s="32" t="n">
        <v>0.12</v>
      </c>
      <c r="L18" s="32" t="n">
        <v>0.4937</v>
      </c>
      <c r="M18" s="31" t="n">
        <v>0.41</v>
      </c>
      <c r="N18" s="3" t="inlineStr">
        <is>
          <t>Manual for Waterproof Blanket--Lily,ManualText-want to push 5.0,ManualText-want to push3.0,ManualText-want to push4.0,ManualText-want to push5.0,ManualText-want to push8.0,Picnic Blankets &amp; Mats_Manual_Optiwise_24</t>
        </is>
      </c>
      <c r="O18" s="3" t="inlineStr">
        <is>
          <t>exact</t>
        </is>
      </c>
      <c r="P18" s="4" t="n">
        <v>1</v>
      </c>
      <c r="Q18" s="4" t="n">
        <v>27</v>
      </c>
      <c r="R18" s="4" t="inlineStr">
        <is>
          <t>-</t>
        </is>
      </c>
      <c r="S18" s="4" t="n"/>
      <c r="T18" s="4" t="n">
        <v>10</v>
      </c>
      <c r="U18" s="4" t="n">
        <v>0</v>
      </c>
      <c r="V18" s="4" t="inlineStr">
        <is>
          <t>888252893 - 27</t>
        </is>
      </c>
    </row>
    <row r="19">
      <c r="A19" t="inlineStr">
        <is>
          <t>camping blankets</t>
        </is>
      </c>
      <c r="B19" s="4" t="n"/>
      <c r="C19" s="31" t="n">
        <v>6.9</v>
      </c>
      <c r="D19" s="31" t="n">
        <v>0</v>
      </c>
      <c r="E19" s="31" t="n">
        <v>0</v>
      </c>
      <c r="F19" s="31" t="n">
        <v>0</v>
      </c>
      <c r="G19" s="3" t="n">
        <v>251</v>
      </c>
      <c r="H19" s="3" t="n">
        <v>15</v>
      </c>
      <c r="I19" s="32" t="n">
        <v>0.06</v>
      </c>
      <c r="J19" s="3" t="n">
        <v>0</v>
      </c>
      <c r="K19" s="32" t="n">
        <v>0</v>
      </c>
      <c r="L19" s="32" t="n">
        <v>0</v>
      </c>
      <c r="M19" s="31" t="n">
        <v>0.46</v>
      </c>
      <c r="N19" s="3" t="inlineStr">
        <is>
          <t>1WMBW506NYGY-TBCB_Manual,Manual for Waterproof Blanket--Lily,Picnic Blankets &amp; Mats_Manual_Optiwise_24</t>
        </is>
      </c>
      <c r="O19" s="3" t="inlineStr">
        <is>
          <t>exact</t>
        </is>
      </c>
      <c r="P19" s="4" t="n">
        <v>3</v>
      </c>
      <c r="Q19" s="4" t="n">
        <v>29</v>
      </c>
      <c r="R19" s="4" t="n">
        <v>2</v>
      </c>
      <c r="S19" s="4" t="n">
        <v>11</v>
      </c>
      <c r="T19" s="4" t="n">
        <v>10</v>
      </c>
      <c r="U19" s="4" t="n">
        <v>0</v>
      </c>
      <c r="V19" s="4" t="inlineStr">
        <is>
          <t>888252893 - 29, 840040807 - 22, 807759063 - 11</t>
        </is>
      </c>
    </row>
    <row r="20">
      <c r="A20" t="inlineStr">
        <is>
          <t>blankets and throws</t>
        </is>
      </c>
      <c r="B20" s="4" t="inlineStr">
        <is>
          <t>390 - 800</t>
        </is>
      </c>
      <c r="C20" s="31" t="n">
        <v>6.75</v>
      </c>
      <c r="D20" s="31" t="n">
        <v>16.99</v>
      </c>
      <c r="E20" s="31" t="n">
        <v>16.99</v>
      </c>
      <c r="F20" s="31" t="n">
        <v>2.52</v>
      </c>
      <c r="G20" s="3" t="n">
        <v>790</v>
      </c>
      <c r="H20" s="3" t="n">
        <v>9</v>
      </c>
      <c r="I20" s="32" t="n">
        <v>0.01</v>
      </c>
      <c r="J20" s="3" t="n">
        <v>1</v>
      </c>
      <c r="K20" s="32" t="n">
        <v>0.11</v>
      </c>
      <c r="L20" s="32" t="n">
        <v>0</v>
      </c>
      <c r="M20" s="31" t="n">
        <v>0.75</v>
      </c>
      <c r="N20" s="3" t="inlineStr">
        <is>
          <t>Throws_Manual_Optiwise_24</t>
        </is>
      </c>
      <c r="O20" s="3" t="inlineStr">
        <is>
          <t>exact</t>
        </is>
      </c>
      <c r="P20" s="4" t="n"/>
      <c r="Q20" s="4" t="n"/>
      <c r="R20" s="4" t="inlineStr">
        <is>
          <t>-</t>
        </is>
      </c>
      <c r="S20" s="4" t="n"/>
      <c r="T20" s="4" t="n">
        <v>0</v>
      </c>
      <c r="U20" s="4" t="n">
        <v>0</v>
      </c>
      <c r="V20" s="4" t="n"/>
    </row>
    <row r="21">
      <c r="A21" t="inlineStr">
        <is>
          <t>wearable blanket</t>
        </is>
      </c>
      <c r="B21" s="4" t="n">
        <v>7030</v>
      </c>
      <c r="C21" s="31" t="n">
        <v>6.25</v>
      </c>
      <c r="D21" s="31" t="n">
        <v>23.99</v>
      </c>
      <c r="E21" s="31" t="n">
        <v>23.99</v>
      </c>
      <c r="F21" s="31" t="n">
        <v>3.84</v>
      </c>
      <c r="G21" s="3" t="n">
        <v>297</v>
      </c>
      <c r="H21" s="3" t="n">
        <v>13</v>
      </c>
      <c r="I21" s="32" t="n">
        <v>0.04</v>
      </c>
      <c r="J21" s="3" t="n">
        <v>1</v>
      </c>
      <c r="K21" s="32" t="n">
        <v>0.08</v>
      </c>
      <c r="L21" s="32" t="n">
        <v>0.1466</v>
      </c>
      <c r="M21" s="31" t="n">
        <v>0.48</v>
      </c>
      <c r="N21" s="3" t="inlineStr">
        <is>
          <t>1CTBP120GY_Manual,1CTBP120GY_Manual_Optiwise,Fleece Blankets_Brand_Vinay,High AUR SB_Optiwise,Keyword for All-Lily,Keyword for BP Long Tail-Lily,keywords_Ezdia_Vinay,Manual Campaign 1,Manual Campaign 1 (COPY),Manual for SN100-Lily,ManualText-want to push,ManualText-want to push 5.0,ManualText-want to push2.0,ManualText-want to push3.0,ManualText-want to push4.0,ManualText-want to push5.0,ManualText-want to push8.0,Videos for BP--Lily</t>
        </is>
      </c>
      <c r="O21" s="3" t="inlineStr">
        <is>
          <t>exact</t>
        </is>
      </c>
      <c r="P21" s="4" t="n">
        <v>5</v>
      </c>
      <c r="Q21" s="4" t="n">
        <v>19</v>
      </c>
      <c r="R21" s="4" t="n">
        <v>2</v>
      </c>
      <c r="S21" s="4" t="n">
        <v>12</v>
      </c>
      <c r="T21" s="4" t="n">
        <v>10</v>
      </c>
      <c r="U21" s="4" t="n">
        <v>0</v>
      </c>
      <c r="V21" s="4" t="inlineStr">
        <is>
          <t>768244496 - 38, 812625607 - 37, 107158532 - 19, 3093512939 - 32, 2424108002 - 12</t>
        </is>
      </c>
    </row>
    <row r="22">
      <c r="A22" t="inlineStr">
        <is>
          <t>belts for men</t>
        </is>
      </c>
      <c r="B22" s="4" t="n">
        <v>19440</v>
      </c>
      <c r="C22" s="31" t="n">
        <v>5.94</v>
      </c>
      <c r="D22" s="31" t="n">
        <v>0</v>
      </c>
      <c r="E22" s="31" t="n">
        <v>0</v>
      </c>
      <c r="F22" s="31" t="n">
        <v>0</v>
      </c>
      <c r="G22" s="3" t="n">
        <v>876</v>
      </c>
      <c r="H22" s="3" t="n">
        <v>9</v>
      </c>
      <c r="I22" s="32" t="n">
        <v>0.01</v>
      </c>
      <c r="J22" s="3" t="n">
        <v>0</v>
      </c>
      <c r="K22" s="32" t="n">
        <v>0</v>
      </c>
      <c r="L22" s="32" t="n">
        <v>0.0127</v>
      </c>
      <c r="M22" s="31" t="n">
        <v>0.66</v>
      </c>
      <c r="N22" s="3" t="inlineStr">
        <is>
          <t>Belts Manual_Optiwise</t>
        </is>
      </c>
      <c r="O22" s="3" t="inlineStr">
        <is>
          <t>exact</t>
        </is>
      </c>
      <c r="P22" s="4" t="n"/>
      <c r="Q22" s="4" t="n"/>
      <c r="R22" s="4" t="inlineStr">
        <is>
          <t>-</t>
        </is>
      </c>
      <c r="S22" s="4" t="n"/>
      <c r="T22" s="4" t="n">
        <v>0</v>
      </c>
      <c r="U22" s="4" t="n">
        <v>0</v>
      </c>
      <c r="V22" s="4" t="n"/>
    </row>
    <row r="23">
      <c r="A23" t="inlineStr">
        <is>
          <t>621903168</t>
        </is>
      </c>
      <c r="B23" s="4" t="n"/>
      <c r="C23" s="31" t="n">
        <v>5</v>
      </c>
      <c r="D23" s="31" t="n">
        <v>0</v>
      </c>
      <c r="E23" s="31" t="n">
        <v>0</v>
      </c>
      <c r="F23" s="31" t="n">
        <v>0</v>
      </c>
      <c r="G23" s="3" t="n">
        <v>732</v>
      </c>
      <c r="H23" s="3" t="n">
        <v>16</v>
      </c>
      <c r="I23" s="32" t="n">
        <v>0.02</v>
      </c>
      <c r="J23" s="3" t="n">
        <v>0</v>
      </c>
      <c r="K23" s="32" t="n">
        <v>0</v>
      </c>
      <c r="L23" s="32" t="n">
        <v>0</v>
      </c>
      <c r="M23" s="31" t="n">
        <v>0.31</v>
      </c>
      <c r="N23" s="3" t="inlineStr">
        <is>
          <t>Throws_Manual_Optiwise_24</t>
        </is>
      </c>
      <c r="O23" s="3" t="inlineStr">
        <is>
          <t>phrase</t>
        </is>
      </c>
      <c r="P23" s="4" t="n"/>
      <c r="Q23" s="4" t="n"/>
      <c r="R23" s="4" t="inlineStr">
        <is>
          <t>-</t>
        </is>
      </c>
      <c r="S23" s="4" t="n"/>
      <c r="T23" s="4" t="n">
        <v>0</v>
      </c>
      <c r="U23" s="4" t="n">
        <v>0</v>
      </c>
      <c r="V23" s="4" t="n"/>
    </row>
    <row r="24">
      <c r="A24" t="inlineStr">
        <is>
          <t>waterproof blankets for outdoors</t>
        </is>
      </c>
      <c r="B24" s="4" t="n">
        <v>130</v>
      </c>
      <c r="C24" s="31" t="n">
        <v>4.5</v>
      </c>
      <c r="D24" s="31" t="n">
        <v>0</v>
      </c>
      <c r="E24" s="31" t="n">
        <v>0</v>
      </c>
      <c r="F24" s="31" t="n">
        <v>0</v>
      </c>
      <c r="G24" s="3" t="n">
        <v>108</v>
      </c>
      <c r="H24" s="3" t="n">
        <v>11</v>
      </c>
      <c r="I24" s="32" t="n">
        <v>0.1</v>
      </c>
      <c r="J24" s="3" t="n">
        <v>0</v>
      </c>
      <c r="K24" s="32" t="n">
        <v>0</v>
      </c>
      <c r="L24" s="32" t="n">
        <v>0</v>
      </c>
      <c r="M24" s="31" t="n">
        <v>0.41</v>
      </c>
      <c r="N24" s="3" t="inlineStr">
        <is>
          <t>Manual for Waterproof Blanket--Lily,Manual for Waterproof Outdoor BW--Rachel,Picnic Blankets &amp; Mats_Manual_Optiwise_24</t>
        </is>
      </c>
      <c r="O24" s="3" t="inlineStr">
        <is>
          <t>exact</t>
        </is>
      </c>
      <c r="P24" s="4" t="n">
        <v>4</v>
      </c>
      <c r="Q24" s="4" t="n">
        <v>16</v>
      </c>
      <c r="R24" s="4" t="inlineStr">
        <is>
          <t>-</t>
        </is>
      </c>
      <c r="S24" s="4" t="n"/>
      <c r="T24" s="4" t="n">
        <v>10</v>
      </c>
      <c r="U24" s="4" t="n">
        <v>0</v>
      </c>
      <c r="V24" s="4" t="inlineStr">
        <is>
          <t>448077121 - 16, 888252893 - 17, 158344559 - 48, 773018457 - 28</t>
        </is>
      </c>
    </row>
    <row r="25">
      <c r="A25" t="inlineStr">
        <is>
          <t>5034562052</t>
        </is>
      </c>
      <c r="B25" s="4" t="n"/>
      <c r="C25" s="31" t="n">
        <v>4.27</v>
      </c>
      <c r="D25" s="31" t="n">
        <v>17.99</v>
      </c>
      <c r="E25" s="31" t="n">
        <v>17.99</v>
      </c>
      <c r="F25" s="31" t="n">
        <v>4.21</v>
      </c>
      <c r="G25" s="3" t="n">
        <v>47</v>
      </c>
      <c r="H25" s="3" t="n">
        <v>14</v>
      </c>
      <c r="I25" s="32" t="n">
        <v>0.3</v>
      </c>
      <c r="J25" s="3" t="n">
        <v>1</v>
      </c>
      <c r="K25" s="32" t="n">
        <v>0.07000000000000001</v>
      </c>
      <c r="L25" s="32" t="n">
        <v>0</v>
      </c>
      <c r="M25" s="31" t="n">
        <v>0.3</v>
      </c>
      <c r="N25" s="3" t="inlineStr">
        <is>
          <t>1CTMM500PK_Manual_Optiwise</t>
        </is>
      </c>
      <c r="O25" s="3" t="inlineStr">
        <is>
          <t>exact</t>
        </is>
      </c>
      <c r="P25" s="4" t="n"/>
      <c r="Q25" s="4" t="n"/>
      <c r="R25" s="4" t="inlineStr">
        <is>
          <t>-</t>
        </is>
      </c>
      <c r="S25" s="4" t="n"/>
      <c r="T25" s="4" t="n">
        <v>0</v>
      </c>
      <c r="U25" s="4" t="n">
        <v>0</v>
      </c>
      <c r="V25" s="4" t="n"/>
    </row>
    <row r="26">
      <c r="A26" t="inlineStr">
        <is>
          <t>throw blanket</t>
        </is>
      </c>
      <c r="B26" s="4" t="n">
        <v>170</v>
      </c>
      <c r="C26" s="31" t="n">
        <v>4.22</v>
      </c>
      <c r="D26" s="31" t="n">
        <v>0</v>
      </c>
      <c r="E26" s="31" t="n">
        <v>0</v>
      </c>
      <c r="F26" s="31" t="n">
        <v>0</v>
      </c>
      <c r="G26" s="3" t="n">
        <v>4711</v>
      </c>
      <c r="H26" s="3" t="n">
        <v>12</v>
      </c>
      <c r="I26" s="32" t="n">
        <v>0</v>
      </c>
      <c r="J26" s="3" t="n">
        <v>0</v>
      </c>
      <c r="K26" s="32" t="n">
        <v>0</v>
      </c>
      <c r="L26" s="32" t="n">
        <v>0</v>
      </c>
      <c r="M26" s="31" t="n">
        <v>0.35</v>
      </c>
      <c r="N26" s="3" t="inlineStr">
        <is>
          <t>1CTBF579GNCAMO_Manual_Optiwise,Throws_Manual_Optiwise_24</t>
        </is>
      </c>
      <c r="O26" s="3" t="inlineStr">
        <is>
          <t>exact</t>
        </is>
      </c>
      <c r="P26" s="4" t="n"/>
      <c r="Q26" s="4" t="n"/>
      <c r="R26" s="4" t="inlineStr">
        <is>
          <t>-</t>
        </is>
      </c>
      <c r="S26" s="4" t="n"/>
      <c r="T26" s="4" t="n">
        <v>0</v>
      </c>
      <c r="U26" s="4" t="n">
        <v>0</v>
      </c>
      <c r="V26" s="4" t="n"/>
    </row>
    <row r="27">
      <c r="A27" t="inlineStr">
        <is>
          <t>fleece throws under $5</t>
        </is>
      </c>
      <c r="B27" s="4" t="inlineStr">
        <is>
          <t>30 - 60</t>
        </is>
      </c>
      <c r="C27" s="31" t="n">
        <v>4.1</v>
      </c>
      <c r="D27" s="31" t="n">
        <v>0</v>
      </c>
      <c r="E27" s="31" t="n">
        <v>0</v>
      </c>
      <c r="F27" s="31" t="n">
        <v>0</v>
      </c>
      <c r="G27" s="3" t="n">
        <v>2625</v>
      </c>
      <c r="H27" s="3" t="n">
        <v>10</v>
      </c>
      <c r="I27" s="32" t="n">
        <v>0</v>
      </c>
      <c r="J27" s="3" t="n">
        <v>0</v>
      </c>
      <c r="K27" s="32" t="n">
        <v>0</v>
      </c>
      <c r="L27" s="32" t="n">
        <v>0</v>
      </c>
      <c r="M27" s="31" t="n">
        <v>0.41</v>
      </c>
      <c r="N27" s="3" t="inlineStr">
        <is>
          <t>Throws_Manual_Optiwise_24</t>
        </is>
      </c>
      <c r="O27" s="3" t="inlineStr">
        <is>
          <t>phrase</t>
        </is>
      </c>
      <c r="P27" s="4" t="n">
        <v>2</v>
      </c>
      <c r="Q27" s="4" t="n"/>
      <c r="R27" s="4" t="n">
        <v>2</v>
      </c>
      <c r="S27" s="4" t="n">
        <v>3</v>
      </c>
      <c r="T27" s="4" t="n">
        <v>10</v>
      </c>
      <c r="U27" s="4" t="n">
        <v>0</v>
      </c>
      <c r="V27" s="4" t="inlineStr">
        <is>
          <t>462974958 - 3, 831530911 - 11</t>
        </is>
      </c>
    </row>
    <row r="28">
      <c r="A28" t="inlineStr">
        <is>
          <t>10624456029</t>
        </is>
      </c>
      <c r="B28" s="4" t="n"/>
      <c r="C28" s="31" t="n">
        <v>3.5</v>
      </c>
      <c r="D28" s="31" t="n">
        <v>0</v>
      </c>
      <c r="E28" s="31" t="n">
        <v>0</v>
      </c>
      <c r="F28" s="31" t="n">
        <v>0</v>
      </c>
      <c r="G28" s="3" t="n">
        <v>372</v>
      </c>
      <c r="H28" s="3" t="n">
        <v>9</v>
      </c>
      <c r="I28" s="32" t="n">
        <v>0.02</v>
      </c>
      <c r="J28" s="3" t="n">
        <v>0</v>
      </c>
      <c r="K28" s="32" t="n">
        <v>0</v>
      </c>
      <c r="L28" s="32" t="n"/>
      <c r="M28" s="31" t="n">
        <v>0.39</v>
      </c>
      <c r="N28" s="3" t="inlineStr">
        <is>
          <t>1TRBW506LGDG-CDCB_Manual,Picnic Blankets &amp; Mats_Manual_Optiwise_24</t>
        </is>
      </c>
      <c r="O28" s="3" t="inlineStr">
        <is>
          <t>exact</t>
        </is>
      </c>
      <c r="P28" s="4" t="n"/>
      <c r="Q28" s="4" t="n"/>
      <c r="R28" s="4" t="n">
        <v>0</v>
      </c>
      <c r="S28" s="4" t="n"/>
      <c r="T28" s="4" t="n">
        <v>0</v>
      </c>
      <c r="U28" s="4" t="n">
        <v>0</v>
      </c>
      <c r="V28" s="4" t="n"/>
    </row>
    <row r="29">
      <c r="A29" t="inlineStr">
        <is>
          <t>1323656488</t>
        </is>
      </c>
      <c r="B29" s="4" t="n"/>
      <c r="C29" s="31" t="n">
        <v>3.15</v>
      </c>
      <c r="D29" s="31" t="n">
        <v>0</v>
      </c>
      <c r="E29" s="31" t="n">
        <v>0</v>
      </c>
      <c r="F29" s="31" t="n">
        <v>0</v>
      </c>
      <c r="G29" s="3" t="n">
        <v>69</v>
      </c>
      <c r="H29" s="3" t="n">
        <v>6</v>
      </c>
      <c r="I29" s="32" t="n">
        <v>0.09</v>
      </c>
      <c r="J29" s="3" t="n">
        <v>0</v>
      </c>
      <c r="K29" s="32" t="n">
        <v>0</v>
      </c>
      <c r="L29" s="32" t="n">
        <v>0</v>
      </c>
      <c r="M29" s="31" t="n">
        <v>0.53</v>
      </c>
      <c r="N29" s="3" t="inlineStr">
        <is>
          <t>Throws_Manual_Optiwise_24</t>
        </is>
      </c>
      <c r="O29" s="3" t="inlineStr">
        <is>
          <t>phrase</t>
        </is>
      </c>
      <c r="P29" s="4" t="n"/>
      <c r="Q29" s="4" t="n"/>
      <c r="R29" s="4" t="inlineStr">
        <is>
          <t>-</t>
        </is>
      </c>
      <c r="S29" s="4" t="n"/>
      <c r="T29" s="4" t="n">
        <v>0</v>
      </c>
      <c r="U29" s="4" t="n">
        <v>0</v>
      </c>
      <c r="V29" s="4" t="n"/>
    </row>
    <row r="30">
      <c r="A30" t="inlineStr">
        <is>
          <t>9415310521</t>
        </is>
      </c>
      <c r="B30" s="4" t="n"/>
      <c r="C30" s="31" t="n">
        <v>2.87</v>
      </c>
      <c r="D30" s="31" t="n">
        <v>0</v>
      </c>
      <c r="E30" s="31" t="n">
        <v>0</v>
      </c>
      <c r="F30" s="31" t="n">
        <v>0</v>
      </c>
      <c r="G30" s="3" t="n">
        <v>353</v>
      </c>
      <c r="H30" s="3" t="n">
        <v>7</v>
      </c>
      <c r="I30" s="32" t="n">
        <v>0.02</v>
      </c>
      <c r="J30" s="3" t="n">
        <v>0</v>
      </c>
      <c r="K30" s="32" t="n">
        <v>0</v>
      </c>
      <c r="L30" s="32" t="n">
        <v>0</v>
      </c>
      <c r="M30" s="31" t="n">
        <v>0.41</v>
      </c>
      <c r="N30" s="3" t="inlineStr">
        <is>
          <t>Throws_Manual_Optiwise_24</t>
        </is>
      </c>
      <c r="O30" s="3" t="inlineStr">
        <is>
          <t>phrase</t>
        </is>
      </c>
      <c r="P30" s="4" t="n"/>
      <c r="Q30" s="4" t="n"/>
      <c r="R30" s="4" t="inlineStr">
        <is>
          <t>-</t>
        </is>
      </c>
      <c r="S30" s="4" t="n"/>
      <c r="T30" s="4" t="n">
        <v>0</v>
      </c>
      <c r="U30" s="4" t="n">
        <v>0</v>
      </c>
      <c r="V30" s="4" t="n"/>
    </row>
    <row r="31">
      <c r="A31" t="inlineStr">
        <is>
          <t>fleece throw</t>
        </is>
      </c>
      <c r="B31" s="4" t="inlineStr">
        <is>
          <t>0 - 50</t>
        </is>
      </c>
      <c r="C31" s="31" t="n">
        <v>2.87</v>
      </c>
      <c r="D31" s="31" t="n">
        <v>0</v>
      </c>
      <c r="E31" s="31" t="n">
        <v>0</v>
      </c>
      <c r="F31" s="31" t="n">
        <v>0</v>
      </c>
      <c r="G31" s="3" t="n">
        <v>1165</v>
      </c>
      <c r="H31" s="3" t="n">
        <v>5</v>
      </c>
      <c r="I31" s="32" t="n">
        <v>0</v>
      </c>
      <c r="J31" s="3" t="n">
        <v>0</v>
      </c>
      <c r="K31" s="32" t="n">
        <v>0</v>
      </c>
      <c r="L31" s="32" t="n">
        <v>0</v>
      </c>
      <c r="M31" s="31" t="n">
        <v>0.57</v>
      </c>
      <c r="N31" s="3" t="inlineStr">
        <is>
          <t>Throws_Manual_Optiwise_24</t>
        </is>
      </c>
      <c r="O31" s="3" t="inlineStr">
        <is>
          <t>phrase</t>
        </is>
      </c>
      <c r="P31" s="4" t="n"/>
      <c r="Q31" s="4" t="n"/>
      <c r="R31" s="4" t="inlineStr">
        <is>
          <t>-</t>
        </is>
      </c>
      <c r="S31" s="4" t="n"/>
      <c r="T31" s="4" t="n">
        <v>0</v>
      </c>
      <c r="U31" s="4" t="n">
        <v>0</v>
      </c>
      <c r="V31" s="4" t="n"/>
    </row>
    <row r="32">
      <c r="A32" t="inlineStr">
        <is>
          <t>throws</t>
        </is>
      </c>
      <c r="B32" s="4" t="inlineStr">
        <is>
          <t>30 - 251600</t>
        </is>
      </c>
      <c r="C32" s="31" t="n">
        <v>2.77</v>
      </c>
      <c r="D32" s="31" t="n">
        <v>32.99</v>
      </c>
      <c r="E32" s="31" t="n">
        <v>32.99</v>
      </c>
      <c r="F32" s="31" t="n">
        <v>11.91</v>
      </c>
      <c r="G32" s="3" t="n">
        <v>1397</v>
      </c>
      <c r="H32" s="3" t="n">
        <v>7</v>
      </c>
      <c r="I32" s="32" t="n">
        <v>0.01</v>
      </c>
      <c r="J32" s="3" t="n">
        <v>1</v>
      </c>
      <c r="K32" s="32" t="n">
        <v>0.14</v>
      </c>
      <c r="L32" s="32" t="n">
        <v>0.0014</v>
      </c>
      <c r="M32" s="31" t="n">
        <v>0.4</v>
      </c>
      <c r="N32" s="3" t="inlineStr">
        <is>
          <t>1CTBF579GNCAMO_Manual_Optiwise,keywords_Ezdia_Vinay,Manual Campaign 1,Manual Campaign 1 (COPY),Manual for BF-Lily,Manual for BF系列--Lily,ManualText-want to push,ManualText-want to push 5.0,ManualText-want to push2.0,ManualText-want to push3.0,ManualText-want to push4.0,ManualText-want to push5.0,ManualText-want to push8.0,Throws_Manual_Optiwise_24</t>
        </is>
      </c>
      <c r="O32" s="3" t="inlineStr">
        <is>
          <t>exact</t>
        </is>
      </c>
      <c r="P32" s="4" t="n"/>
      <c r="Q32" s="4" t="n"/>
      <c r="R32" s="4" t="inlineStr">
        <is>
          <t>-</t>
        </is>
      </c>
      <c r="S32" s="4" t="n"/>
      <c r="T32" s="4" t="n">
        <v>0</v>
      </c>
      <c r="U32" s="4" t="n">
        <v>0</v>
      </c>
      <c r="V32" s="4" t="n"/>
    </row>
    <row r="33">
      <c r="A33" t="inlineStr">
        <is>
          <t>1880321010</t>
        </is>
      </c>
      <c r="B33" s="4" t="n"/>
      <c r="C33" s="31" t="n">
        <v>2.73</v>
      </c>
      <c r="D33" s="31" t="n">
        <v>0</v>
      </c>
      <c r="E33" s="31" t="n">
        <v>0</v>
      </c>
      <c r="F33" s="31" t="n">
        <v>0</v>
      </c>
      <c r="G33" s="3" t="n">
        <v>547</v>
      </c>
      <c r="H33" s="3" t="n">
        <v>8</v>
      </c>
      <c r="I33" s="32" t="n">
        <v>0.01</v>
      </c>
      <c r="J33" s="3" t="n">
        <v>0</v>
      </c>
      <c r="K33" s="32" t="n">
        <v>0</v>
      </c>
      <c r="L33" s="32" t="n">
        <v>0</v>
      </c>
      <c r="M33" s="31" t="n">
        <v>0.34</v>
      </c>
      <c r="N33" s="3" t="inlineStr">
        <is>
          <t>Manual for Waterproof Blanket--Lily,Picnic Blankets &amp; Mats_Manual_Optiwise_24</t>
        </is>
      </c>
      <c r="O33" s="3" t="inlineStr">
        <is>
          <t>exact</t>
        </is>
      </c>
      <c r="P33" s="4" t="n"/>
      <c r="Q33" s="4" t="n"/>
      <c r="R33" s="4" t="inlineStr">
        <is>
          <t>-</t>
        </is>
      </c>
      <c r="S33" s="4" t="n"/>
      <c r="T33" s="4" t="n">
        <v>0</v>
      </c>
      <c r="U33" s="4" t="n">
        <v>0</v>
      </c>
      <c r="V33" s="4" t="n"/>
    </row>
    <row r="34">
      <c r="A34" t="inlineStr">
        <is>
          <t>362110842</t>
        </is>
      </c>
      <c r="B34" s="4" t="n"/>
      <c r="C34" s="31" t="n">
        <v>2.48</v>
      </c>
      <c r="D34" s="31" t="n">
        <v>0</v>
      </c>
      <c r="E34" s="31" t="n">
        <v>0</v>
      </c>
      <c r="F34" s="31" t="n">
        <v>0</v>
      </c>
      <c r="G34" s="3" t="n">
        <v>72</v>
      </c>
      <c r="H34" s="3" t="n">
        <v>6</v>
      </c>
      <c r="I34" s="32" t="n">
        <v>0.08</v>
      </c>
      <c r="J34" s="3" t="n">
        <v>0</v>
      </c>
      <c r="K34" s="32" t="n">
        <v>0</v>
      </c>
      <c r="L34" s="32" t="n">
        <v>0</v>
      </c>
      <c r="M34" s="31" t="n">
        <v>0.41</v>
      </c>
      <c r="N34" s="3" t="inlineStr">
        <is>
          <t>Picnic Blankets &amp; Mats_Manual_Optiwise_24</t>
        </is>
      </c>
      <c r="O34" s="3" t="inlineStr">
        <is>
          <t>exact</t>
        </is>
      </c>
      <c r="P34" s="4" t="n"/>
      <c r="Q34" s="4" t="n"/>
      <c r="R34" s="4" t="inlineStr">
        <is>
          <t>-</t>
        </is>
      </c>
      <c r="S34" s="4" t="n"/>
      <c r="T34" s="4" t="n">
        <v>0</v>
      </c>
      <c r="U34" s="4" t="n">
        <v>0</v>
      </c>
      <c r="V34" s="4" t="n"/>
    </row>
    <row r="35">
      <c r="A35" t="inlineStr">
        <is>
          <t>558527550</t>
        </is>
      </c>
      <c r="B35" s="4" t="n"/>
      <c r="C35" s="31" t="n">
        <v>2.46</v>
      </c>
      <c r="D35" s="31" t="n">
        <v>0</v>
      </c>
      <c r="E35" s="31" t="n">
        <v>0</v>
      </c>
      <c r="F35" s="31" t="n">
        <v>0</v>
      </c>
      <c r="G35" s="3" t="n">
        <v>163</v>
      </c>
      <c r="H35" s="3" t="n">
        <v>6</v>
      </c>
      <c r="I35" s="32" t="n">
        <v>0.04</v>
      </c>
      <c r="J35" s="3" t="n">
        <v>0</v>
      </c>
      <c r="K35" s="32" t="n">
        <v>0</v>
      </c>
      <c r="L35" s="32" t="n"/>
      <c r="M35" s="31" t="n">
        <v>0.41</v>
      </c>
      <c r="N35" s="3" t="inlineStr">
        <is>
          <t>1TRBW506LGDG-CDCB_Manual,Picnic Blankets &amp; Mats_Manual_Optiwise_24</t>
        </is>
      </c>
      <c r="O35" s="3" t="inlineStr">
        <is>
          <t>exact</t>
        </is>
      </c>
      <c r="P35" s="4" t="n"/>
      <c r="Q35" s="4" t="n"/>
      <c r="R35" s="4" t="n">
        <v>0</v>
      </c>
      <c r="S35" s="4" t="n"/>
      <c r="T35" s="4" t="n">
        <v>0</v>
      </c>
      <c r="U35" s="4" t="n">
        <v>0</v>
      </c>
      <c r="V35" s="4" t="n"/>
    </row>
    <row r="36">
      <c r="A36" t="inlineStr">
        <is>
          <t>sand proof beach blanket</t>
        </is>
      </c>
      <c r="B36" s="4" t="n">
        <v>40</v>
      </c>
      <c r="C36" s="31" t="n">
        <v>2.4</v>
      </c>
      <c r="D36" s="31" t="n">
        <v>0</v>
      </c>
      <c r="E36" s="31" t="n">
        <v>0</v>
      </c>
      <c r="F36" s="31" t="n">
        <v>0</v>
      </c>
      <c r="G36" s="3" t="n">
        <v>36</v>
      </c>
      <c r="H36" s="3" t="n">
        <v>3</v>
      </c>
      <c r="I36" s="32" t="n">
        <v>0.08</v>
      </c>
      <c r="J36" s="3" t="n">
        <v>0</v>
      </c>
      <c r="K36" s="32" t="n">
        <v>0</v>
      </c>
      <c r="L36" s="32" t="n">
        <v>0.6087</v>
      </c>
      <c r="M36" s="31" t="n">
        <v>0.8</v>
      </c>
      <c r="N36" s="3" t="inlineStr">
        <is>
          <t>1WMBM109-BLGY</t>
        </is>
      </c>
      <c r="O36" s="3" t="inlineStr">
        <is>
          <t>exact</t>
        </is>
      </c>
      <c r="P36" s="4" t="n"/>
      <c r="Q36" s="4" t="n"/>
      <c r="R36" s="4" t="inlineStr">
        <is>
          <t>-</t>
        </is>
      </c>
      <c r="S36" s="4" t="n"/>
      <c r="T36" s="4" t="n">
        <v>0</v>
      </c>
      <c r="U36" s="4" t="n">
        <v>0</v>
      </c>
      <c r="V36" s="4" t="n"/>
    </row>
    <row r="37">
      <c r="A37" t="inlineStr">
        <is>
          <t>stadium blankets</t>
        </is>
      </c>
      <c r="B37" s="4" t="n">
        <v>50</v>
      </c>
      <c r="C37" s="31" t="n">
        <v>2.33</v>
      </c>
      <c r="D37" s="31" t="n">
        <v>0</v>
      </c>
      <c r="E37" s="31" t="n">
        <v>0</v>
      </c>
      <c r="F37" s="31" t="n">
        <v>0</v>
      </c>
      <c r="G37" s="3" t="n">
        <v>43</v>
      </c>
      <c r="H37" s="3" t="n">
        <v>7</v>
      </c>
      <c r="I37" s="32" t="n">
        <v>0.16</v>
      </c>
      <c r="J37" s="3" t="n">
        <v>0</v>
      </c>
      <c r="K37" s="32" t="n">
        <v>0</v>
      </c>
      <c r="L37" s="32" t="n">
        <v>0</v>
      </c>
      <c r="M37" s="31" t="n">
        <v>0.33</v>
      </c>
      <c r="N37" s="3" t="inlineStr">
        <is>
          <t>1WMBW506NYGY-TBCB_Manual_Optiwise,Manual for Waterproof Blanket--Lily,Picnic Blankets &amp; Mats_Manual_Optiwise_24</t>
        </is>
      </c>
      <c r="O37" s="3" t="inlineStr">
        <is>
          <t>exact</t>
        </is>
      </c>
      <c r="P37" s="4" t="n">
        <v>12</v>
      </c>
      <c r="Q37" s="4" t="n">
        <v>5</v>
      </c>
      <c r="R37" s="4" t="n">
        <v>6</v>
      </c>
      <c r="S37" s="4" t="n">
        <v>1</v>
      </c>
      <c r="T37" s="4" t="n">
        <v>10</v>
      </c>
      <c r="U37" s="4" t="n">
        <v>2</v>
      </c>
      <c r="V37" s="4" t="inlineStr">
        <is>
          <t>448077121 - 9, 888252893 - 5, 840040807 - 2, 479148074 - 1, 773018457 - 15, 346915715 - 13, 346915715 - 31, 1983560818 - 22, 3093512939 - 46, 2798867763 - 12, 2798867763 - 29, 6061252889 - 11</t>
        </is>
      </c>
    </row>
    <row r="38">
      <c r="A38" t="inlineStr">
        <is>
          <t>448077121</t>
        </is>
      </c>
      <c r="B38" s="4" t="n"/>
      <c r="C38" s="31" t="n">
        <v>2.3</v>
      </c>
      <c r="D38" s="31" t="n">
        <v>80.97</v>
      </c>
      <c r="E38" s="31" t="n">
        <v>80.97</v>
      </c>
      <c r="F38" s="31" t="n">
        <v>35.2</v>
      </c>
      <c r="G38" s="3" t="n">
        <v>48</v>
      </c>
      <c r="H38" s="3" t="n">
        <v>7</v>
      </c>
      <c r="I38" s="32" t="n">
        <v>0.15</v>
      </c>
      <c r="J38" s="3" t="n">
        <v>3</v>
      </c>
      <c r="K38" s="32" t="n">
        <v>0.43</v>
      </c>
      <c r="L38" s="32" t="n">
        <v>0</v>
      </c>
      <c r="M38" s="31" t="n">
        <v>0.33</v>
      </c>
      <c r="N38" s="3" t="inlineStr">
        <is>
          <t>Manual for Waterproof Blanket--Lily,Picnic Blankets &amp; Mats_Manual_Optiwise_24</t>
        </is>
      </c>
      <c r="O38" s="3" t="inlineStr">
        <is>
          <t>exact</t>
        </is>
      </c>
      <c r="P38" s="4" t="n"/>
      <c r="Q38" s="4" t="n"/>
      <c r="R38" s="4" t="inlineStr">
        <is>
          <t>-</t>
        </is>
      </c>
      <c r="S38" s="4" t="n"/>
      <c r="T38" s="4" t="n">
        <v>0</v>
      </c>
      <c r="U38" s="4" t="n">
        <v>0</v>
      </c>
      <c r="V38" s="4" t="n"/>
    </row>
    <row r="39">
      <c r="A39" t="inlineStr">
        <is>
          <t>snuggy</t>
        </is>
      </c>
      <c r="B39" s="4" t="n">
        <v>1170</v>
      </c>
      <c r="C39" s="31" t="n">
        <v>2.2</v>
      </c>
      <c r="D39" s="31" t="n">
        <v>0</v>
      </c>
      <c r="E39" s="31" t="n">
        <v>0</v>
      </c>
      <c r="F39" s="31" t="n">
        <v>0</v>
      </c>
      <c r="G39" s="3" t="n">
        <v>45</v>
      </c>
      <c r="H39" s="3" t="n">
        <v>7</v>
      </c>
      <c r="I39" s="32" t="n">
        <v>0.16</v>
      </c>
      <c r="J39" s="3" t="n">
        <v>0</v>
      </c>
      <c r="K39" s="32" t="n">
        <v>0</v>
      </c>
      <c r="L39" s="32" t="n">
        <v>0.3306</v>
      </c>
      <c r="M39" s="31" t="n">
        <v>0.31</v>
      </c>
      <c r="N39" s="3" t="inlineStr">
        <is>
          <t>1CTBP120GY_Manual_Optiwise</t>
        </is>
      </c>
      <c r="O39" s="3" t="inlineStr">
        <is>
          <t>exact</t>
        </is>
      </c>
      <c r="P39" s="4" t="n">
        <v>1</v>
      </c>
      <c r="Q39" s="4" t="n"/>
      <c r="R39" s="4" t="n">
        <v>1</v>
      </c>
      <c r="S39" s="4" t="n">
        <v>1</v>
      </c>
      <c r="T39" s="4" t="n">
        <v>1</v>
      </c>
      <c r="U39" s="4" t="n">
        <v>0</v>
      </c>
      <c r="V39" s="4" t="inlineStr">
        <is>
          <t>436517515 - 1</t>
        </is>
      </c>
    </row>
    <row r="40">
      <c r="A40" t="inlineStr">
        <is>
          <t>throw blankets under $5</t>
        </is>
      </c>
      <c r="B40" s="4" t="n">
        <v>20</v>
      </c>
      <c r="C40" s="31" t="n">
        <v>2.15</v>
      </c>
      <c r="D40" s="31" t="n">
        <v>0</v>
      </c>
      <c r="E40" s="31" t="n">
        <v>0</v>
      </c>
      <c r="F40" s="31" t="n">
        <v>0</v>
      </c>
      <c r="G40" s="3" t="n">
        <v>619</v>
      </c>
      <c r="H40" s="3" t="n">
        <v>6</v>
      </c>
      <c r="I40" s="32" t="n">
        <v>0.01</v>
      </c>
      <c r="J40" s="3" t="n">
        <v>0</v>
      </c>
      <c r="K40" s="32" t="n">
        <v>0</v>
      </c>
      <c r="L40" s="32" t="n">
        <v>0</v>
      </c>
      <c r="M40" s="31" t="n">
        <v>0.36</v>
      </c>
      <c r="N40" s="3" t="inlineStr">
        <is>
          <t>Throws_Manual_Optiwise_24</t>
        </is>
      </c>
      <c r="O40" s="3" t="inlineStr">
        <is>
          <t>phrase</t>
        </is>
      </c>
      <c r="P40" s="4" t="n"/>
      <c r="Q40" s="4" t="n"/>
      <c r="R40" s="4" t="inlineStr">
        <is>
          <t>-</t>
        </is>
      </c>
      <c r="S40" s="4" t="n"/>
      <c r="T40" s="4" t="n">
        <v>0</v>
      </c>
      <c r="U40" s="4" t="n">
        <v>0</v>
      </c>
      <c r="V40" s="4" t="n"/>
    </row>
    <row r="41">
      <c r="A41" t="inlineStr">
        <is>
          <t>8062610483</t>
        </is>
      </c>
      <c r="B41" s="4" t="n"/>
      <c r="C41" s="31" t="n">
        <v>2.14</v>
      </c>
      <c r="D41" s="31" t="n">
        <v>14.99</v>
      </c>
      <c r="E41" s="31" t="n">
        <v>14.99</v>
      </c>
      <c r="F41" s="31" t="n">
        <v>7</v>
      </c>
      <c r="G41" s="3" t="n">
        <v>20</v>
      </c>
      <c r="H41" s="3" t="n">
        <v>6</v>
      </c>
      <c r="I41" s="32" t="n">
        <v>0.3</v>
      </c>
      <c r="J41" s="3" t="n">
        <v>1</v>
      </c>
      <c r="K41" s="32" t="n">
        <v>0.17</v>
      </c>
      <c r="L41" s="32" t="n">
        <v>0</v>
      </c>
      <c r="M41" s="31" t="n">
        <v>0.36</v>
      </c>
      <c r="N41" s="3" t="inlineStr">
        <is>
          <t>1CTMM500PK_Manual,1CTMM500PK_Manual_Optiwise,Throws_Manual_Optiwise_24</t>
        </is>
      </c>
      <c r="O41" s="3" t="inlineStr">
        <is>
          <t>exact</t>
        </is>
      </c>
      <c r="P41" s="4" t="n"/>
      <c r="Q41" s="4" t="n"/>
      <c r="R41" s="4" t="inlineStr">
        <is>
          <t>-</t>
        </is>
      </c>
      <c r="S41" s="4" t="n"/>
      <c r="T41" s="4" t="n">
        <v>0</v>
      </c>
      <c r="U41" s="4" t="n">
        <v>0</v>
      </c>
      <c r="V41" s="4" t="n"/>
    </row>
    <row r="42">
      <c r="A42" t="inlineStr">
        <is>
          <t>777989532</t>
        </is>
      </c>
      <c r="B42" s="4" t="n"/>
      <c r="C42" s="31" t="n">
        <v>1.83</v>
      </c>
      <c r="D42" s="31" t="n">
        <v>0</v>
      </c>
      <c r="E42" s="31" t="n">
        <v>0</v>
      </c>
      <c r="F42" s="31" t="n">
        <v>0</v>
      </c>
      <c r="G42" s="3" t="n">
        <v>56</v>
      </c>
      <c r="H42" s="3" t="n">
        <v>5</v>
      </c>
      <c r="I42" s="32" t="n">
        <v>0.09</v>
      </c>
      <c r="J42" s="3" t="n">
        <v>0</v>
      </c>
      <c r="K42" s="32" t="n">
        <v>0</v>
      </c>
      <c r="L42" s="32" t="n">
        <v>0</v>
      </c>
      <c r="M42" s="31" t="n">
        <v>0.37</v>
      </c>
      <c r="N42" s="3" t="inlineStr">
        <is>
          <t>1CTMM500PK_Manual,1CTMM500PK_Manual_Optiwise,Throws_Manual_Optiwise_24</t>
        </is>
      </c>
      <c r="O42" s="3" t="inlineStr">
        <is>
          <t>exact</t>
        </is>
      </c>
      <c r="P42" s="4" t="n"/>
      <c r="Q42" s="4" t="n"/>
      <c r="R42" s="4" t="inlineStr">
        <is>
          <t>-</t>
        </is>
      </c>
      <c r="S42" s="4" t="n"/>
      <c r="T42" s="4" t="n">
        <v>0</v>
      </c>
      <c r="U42" s="4" t="n">
        <v>0</v>
      </c>
      <c r="V42" s="4" t="n"/>
    </row>
    <row r="43">
      <c r="A43" t="inlineStr">
        <is>
          <t>warm outdoor blanket</t>
        </is>
      </c>
      <c r="B43" s="4" t="n">
        <v>70</v>
      </c>
      <c r="C43" s="31" t="n">
        <v>1.76</v>
      </c>
      <c r="D43" s="31" t="n">
        <v>27.99</v>
      </c>
      <c r="E43" s="31" t="n">
        <v>27.99</v>
      </c>
      <c r="F43" s="31" t="n">
        <v>15.9</v>
      </c>
      <c r="G43" s="3" t="n">
        <v>8</v>
      </c>
      <c r="H43" s="3" t="n">
        <v>4</v>
      </c>
      <c r="I43" s="32" t="n">
        <v>0.5</v>
      </c>
      <c r="J43" s="3" t="n">
        <v>1</v>
      </c>
      <c r="K43" s="32" t="n">
        <v>0.25</v>
      </c>
      <c r="L43" s="32" t="n">
        <v>0.6568999999999999</v>
      </c>
      <c r="M43" s="31" t="n">
        <v>0.44</v>
      </c>
      <c r="N43" s="3" t="inlineStr">
        <is>
          <t>1TRBW506LGDG-CDCB_Manual,1WMBW506NYGY-TBCB_Manual,Manual for Waterproof Blanket--Lily</t>
        </is>
      </c>
      <c r="O43" s="3" t="inlineStr">
        <is>
          <t>exact</t>
        </is>
      </c>
      <c r="P43" s="4" t="n">
        <v>4</v>
      </c>
      <c r="Q43" s="4" t="n">
        <v>6</v>
      </c>
      <c r="R43" s="4" t="inlineStr">
        <is>
          <t>-</t>
        </is>
      </c>
      <c r="S43" s="4" t="n"/>
      <c r="T43" s="4" t="n">
        <v>10</v>
      </c>
      <c r="U43" s="4" t="n">
        <v>0</v>
      </c>
      <c r="V43" s="4" t="inlineStr">
        <is>
          <t>448077121 - 39, 888252893 - 6, 908265210 - 23, 1983560818 - 49</t>
        </is>
      </c>
    </row>
    <row r="44">
      <c r="A44" t="inlineStr">
        <is>
          <t>mermaid blanket with eye mask</t>
        </is>
      </c>
      <c r="B44" s="4" t="n"/>
      <c r="C44" s="31" t="n">
        <v>1.71</v>
      </c>
      <c r="D44" s="31" t="n">
        <v>0</v>
      </c>
      <c r="E44" s="31" t="n">
        <v>0</v>
      </c>
      <c r="F44" s="31" t="n">
        <v>0</v>
      </c>
      <c r="G44" s="3" t="n">
        <v>6</v>
      </c>
      <c r="H44" s="3" t="n">
        <v>3</v>
      </c>
      <c r="I44" s="32" t="n">
        <v>0.5</v>
      </c>
      <c r="J44" s="3" t="n">
        <v>0</v>
      </c>
      <c r="K44" s="32" t="n">
        <v>0</v>
      </c>
      <c r="L44" s="32" t="n"/>
      <c r="M44" s="31" t="n">
        <v>0.57</v>
      </c>
      <c r="N44" s="3" t="inlineStr">
        <is>
          <t>1WMMM500MUL_Manual</t>
        </is>
      </c>
      <c r="O44" s="3" t="inlineStr">
        <is>
          <t>phrase</t>
        </is>
      </c>
      <c r="P44" s="4" t="n"/>
      <c r="Q44" s="4" t="n"/>
      <c r="R44" s="4" t="n">
        <v>0</v>
      </c>
      <c r="S44" s="4" t="n"/>
      <c r="T44" s="4" t="n">
        <v>0</v>
      </c>
      <c r="U44" s="4" t="n">
        <v>0</v>
      </c>
      <c r="V44" s="4" t="n"/>
    </row>
    <row r="45">
      <c r="A45" t="inlineStr">
        <is>
          <t>1502802611</t>
        </is>
      </c>
      <c r="B45" s="4" t="n"/>
      <c r="C45" s="31" t="n">
        <v>1.64</v>
      </c>
      <c r="D45" s="31" t="n">
        <v>27.99</v>
      </c>
      <c r="E45" s="31" t="n">
        <v>27.99</v>
      </c>
      <c r="F45" s="31" t="n">
        <v>17.07</v>
      </c>
      <c r="G45" s="3" t="n">
        <v>43</v>
      </c>
      <c r="H45" s="3" t="n">
        <v>4</v>
      </c>
      <c r="I45" s="32" t="n">
        <v>0.09</v>
      </c>
      <c r="J45" s="3" t="n">
        <v>1</v>
      </c>
      <c r="K45" s="32" t="n">
        <v>0.25</v>
      </c>
      <c r="L45" s="32" t="n">
        <v>0</v>
      </c>
      <c r="M45" s="31" t="n">
        <v>0.41</v>
      </c>
      <c r="N45" s="3" t="inlineStr">
        <is>
          <t>1TRBW506LGDG-CDCB_Manual,Picnic Blankets &amp; Mats_Manual_Optiwise_24</t>
        </is>
      </c>
      <c r="O45" s="3" t="inlineStr">
        <is>
          <t>exact</t>
        </is>
      </c>
      <c r="P45" s="4" t="n"/>
      <c r="Q45" s="4" t="n"/>
      <c r="R45" s="4" t="inlineStr">
        <is>
          <t>-</t>
        </is>
      </c>
      <c r="S45" s="4" t="n"/>
      <c r="T45" s="4" t="n">
        <v>0</v>
      </c>
      <c r="U45" s="4" t="n">
        <v>0</v>
      </c>
      <c r="V45" s="4" t="n"/>
    </row>
    <row r="46">
      <c r="A46" t="inlineStr">
        <is>
          <t>outside blanket</t>
        </is>
      </c>
      <c r="B46" s="4" t="n">
        <v>10</v>
      </c>
      <c r="C46" s="31" t="n">
        <v>1.62</v>
      </c>
      <c r="D46" s="31" t="n">
        <v>0</v>
      </c>
      <c r="E46" s="31" t="n">
        <v>0</v>
      </c>
      <c r="F46" s="31" t="n">
        <v>0</v>
      </c>
      <c r="G46" s="3" t="n">
        <v>13</v>
      </c>
      <c r="H46" s="3" t="n">
        <v>4</v>
      </c>
      <c r="I46" s="32" t="n">
        <v>0.31</v>
      </c>
      <c r="J46" s="3" t="n">
        <v>0</v>
      </c>
      <c r="K46" s="32" t="n">
        <v>0</v>
      </c>
      <c r="L46" s="32" t="n">
        <v>0</v>
      </c>
      <c r="M46" s="31" t="n">
        <v>0.41</v>
      </c>
      <c r="N46" s="3" t="inlineStr">
        <is>
          <t>1TRBW506LGDG-CDCB_Manual,Manual for Waterproof Outdoor BW--Rachel,Picnic Blankets &amp; Mats_Manual_Optiwise_24</t>
        </is>
      </c>
      <c r="O46" s="3" t="inlineStr">
        <is>
          <t>exact</t>
        </is>
      </c>
      <c r="P46" s="4" t="n"/>
      <c r="Q46" s="4" t="n"/>
      <c r="R46" s="4" t="inlineStr">
        <is>
          <t>-</t>
        </is>
      </c>
      <c r="S46" s="4" t="n"/>
      <c r="T46" s="4" t="n">
        <v>0</v>
      </c>
      <c r="U46" s="4" t="n">
        <v>0</v>
      </c>
      <c r="V46" s="4" t="n"/>
    </row>
    <row r="47">
      <c r="A47" t="inlineStr">
        <is>
          <t>beach blanket sand proof mat</t>
        </is>
      </c>
      <c r="B47" s="4" t="n">
        <v>440</v>
      </c>
      <c r="C47" s="31" t="n">
        <v>1.6</v>
      </c>
      <c r="D47" s="31" t="n">
        <v>0</v>
      </c>
      <c r="E47" s="31" t="n">
        <v>0</v>
      </c>
      <c r="F47" s="31" t="n">
        <v>0</v>
      </c>
      <c r="G47" s="3" t="n">
        <v>84</v>
      </c>
      <c r="H47" s="3" t="n">
        <v>4</v>
      </c>
      <c r="I47" s="32" t="n">
        <v>0.05</v>
      </c>
      <c r="J47" s="3" t="n">
        <v>0</v>
      </c>
      <c r="K47" s="32" t="n">
        <v>0</v>
      </c>
      <c r="L47" s="32" t="n">
        <v>0.1684</v>
      </c>
      <c r="M47" s="31" t="n">
        <v>0.4</v>
      </c>
      <c r="N47" s="3" t="inlineStr">
        <is>
          <t>1WMBM109-BLGY,Manu,Picnic Blankets &amp; Mats_Manual_Optiwise_24</t>
        </is>
      </c>
      <c r="O47" s="3" t="inlineStr">
        <is>
          <t>exact</t>
        </is>
      </c>
      <c r="P47" s="4" t="n"/>
      <c r="Q47" s="4" t="n"/>
      <c r="R47" s="4" t="inlineStr">
        <is>
          <t>-</t>
        </is>
      </c>
      <c r="S47" s="4" t="n"/>
      <c r="T47" s="4" t="n">
        <v>0</v>
      </c>
      <c r="U47" s="4" t="n">
        <v>0</v>
      </c>
      <c r="V47" s="4" t="n"/>
    </row>
    <row r="48">
      <c r="A48" t="inlineStr">
        <is>
          <t>two-bottle-wine-carriers</t>
        </is>
      </c>
      <c r="B48" s="4" t="n"/>
      <c r="C48" s="31" t="n">
        <v>1.56</v>
      </c>
      <c r="D48" s="31" t="n">
        <v>0</v>
      </c>
      <c r="E48" s="31" t="n">
        <v>0</v>
      </c>
      <c r="F48" s="31" t="n">
        <v>0</v>
      </c>
      <c r="G48" s="3" t="n">
        <v>14</v>
      </c>
      <c r="H48" s="3" t="n">
        <v>3</v>
      </c>
      <c r="I48" s="32" t="n">
        <v>0.21</v>
      </c>
      <c r="J48" s="3" t="n">
        <v>0</v>
      </c>
      <c r="K48" s="32" t="n">
        <v>0</v>
      </c>
      <c r="L48" s="32" t="n">
        <v>0</v>
      </c>
      <c r="M48" s="31" t="n">
        <v>0.52</v>
      </c>
      <c r="N48" s="3" t="inlineStr">
        <is>
          <t>1TRWB222BK</t>
        </is>
      </c>
      <c r="O48" s="3" t="inlineStr">
        <is>
          <t>exact</t>
        </is>
      </c>
      <c r="P48" s="4" t="n"/>
      <c r="Q48" s="4" t="n"/>
      <c r="R48" s="4" t="inlineStr">
        <is>
          <t>-</t>
        </is>
      </c>
      <c r="S48" s="4" t="n"/>
      <c r="T48" s="4" t="n">
        <v>0</v>
      </c>
      <c r="U48" s="4" t="n">
        <v>0</v>
      </c>
      <c r="V48" s="4" t="n"/>
    </row>
    <row r="49">
      <c r="A49" t="inlineStr">
        <is>
          <t>mermaid tale blanket</t>
        </is>
      </c>
      <c r="B49" s="4" t="inlineStr">
        <is>
          <t>40 - 100</t>
        </is>
      </c>
      <c r="C49" s="31" t="n">
        <v>1.56</v>
      </c>
      <c r="D49" s="31" t="n">
        <v>0</v>
      </c>
      <c r="E49" s="31" t="n">
        <v>0</v>
      </c>
      <c r="F49" s="31" t="n">
        <v>0</v>
      </c>
      <c r="G49" s="3" t="n">
        <v>8</v>
      </c>
      <c r="H49" s="3" t="n">
        <v>4</v>
      </c>
      <c r="I49" s="32" t="n">
        <v>0.5</v>
      </c>
      <c r="J49" s="3" t="n">
        <v>0</v>
      </c>
      <c r="K49" s="32" t="n">
        <v>0</v>
      </c>
      <c r="L49" s="32" t="n">
        <v>1</v>
      </c>
      <c r="M49" s="31" t="n">
        <v>0.39</v>
      </c>
      <c r="N49" s="3" t="inlineStr">
        <is>
          <t>1CTMM500PK_Manual_Optiwise,Throws_Manual_Optiwise_24</t>
        </is>
      </c>
      <c r="O49" s="3" t="inlineStr">
        <is>
          <t>exact</t>
        </is>
      </c>
      <c r="P49" s="4" t="n">
        <v>8</v>
      </c>
      <c r="Q49" s="4" t="n">
        <v>6</v>
      </c>
      <c r="R49" s="4" t="n">
        <v>3</v>
      </c>
      <c r="S49" s="4" t="n">
        <v>1</v>
      </c>
      <c r="T49" s="4" t="n">
        <v>10</v>
      </c>
      <c r="U49" s="4" t="n">
        <v>3</v>
      </c>
      <c r="V49" s="4" t="n"/>
    </row>
    <row r="50">
      <c r="A50" t="inlineStr">
        <is>
          <t>blanket for outside</t>
        </is>
      </c>
      <c r="B50" s="4" t="n"/>
      <c r="C50" s="31" t="n">
        <v>1.53</v>
      </c>
      <c r="D50" s="31" t="n">
        <v>0</v>
      </c>
      <c r="E50" s="31" t="n">
        <v>0</v>
      </c>
      <c r="F50" s="31" t="n">
        <v>0</v>
      </c>
      <c r="G50" s="3" t="n">
        <v>5</v>
      </c>
      <c r="H50" s="3" t="n">
        <v>3</v>
      </c>
      <c r="I50" s="32" t="n">
        <v>0.6</v>
      </c>
      <c r="J50" s="3" t="n">
        <v>0</v>
      </c>
      <c r="K50" s="32" t="n">
        <v>0</v>
      </c>
      <c r="L50" s="32" t="n">
        <v>0</v>
      </c>
      <c r="M50" s="31" t="n">
        <v>0.51</v>
      </c>
      <c r="N50" s="3" t="inlineStr">
        <is>
          <t>1TRBW506LGDG-CDCB_Manual,1WMBW506NYGY-TBCB_Manual,Manual for Waterproof Outdoor BW--Rachel</t>
        </is>
      </c>
      <c r="O50" s="3" t="inlineStr">
        <is>
          <t>exact</t>
        </is>
      </c>
      <c r="P50" s="4" t="n"/>
      <c r="Q50" s="4" t="n"/>
      <c r="R50" s="4" t="inlineStr">
        <is>
          <t>-</t>
        </is>
      </c>
      <c r="S50" s="4" t="n"/>
      <c r="T50" s="4" t="n">
        <v>0</v>
      </c>
      <c r="U50" s="4" t="n">
        <v>0</v>
      </c>
      <c r="V50" s="4" t="n"/>
    </row>
    <row r="51">
      <c r="A51" t="inlineStr">
        <is>
          <t>511031817</t>
        </is>
      </c>
      <c r="B51" s="4" t="n"/>
      <c r="C51" s="31" t="n">
        <v>1.53</v>
      </c>
      <c r="D51" s="31" t="n">
        <v>0</v>
      </c>
      <c r="E51" s="31" t="n">
        <v>0</v>
      </c>
      <c r="F51" s="31" t="n">
        <v>0</v>
      </c>
      <c r="G51" s="3" t="n">
        <v>143</v>
      </c>
      <c r="H51" s="3" t="n">
        <v>5</v>
      </c>
      <c r="I51" s="32" t="n">
        <v>0.03</v>
      </c>
      <c r="J51" s="3" t="n">
        <v>0</v>
      </c>
      <c r="K51" s="32" t="n">
        <v>0</v>
      </c>
      <c r="L51" s="32" t="n">
        <v>0</v>
      </c>
      <c r="M51" s="31" t="n">
        <v>0.31</v>
      </c>
      <c r="N51" s="3" t="inlineStr">
        <is>
          <t>Throws_Manual_Optiwise_24</t>
        </is>
      </c>
      <c r="O51" s="3" t="inlineStr">
        <is>
          <t>phrase</t>
        </is>
      </c>
      <c r="P51" s="4" t="n"/>
      <c r="Q51" s="4" t="n"/>
      <c r="R51" s="4" t="inlineStr">
        <is>
          <t>-</t>
        </is>
      </c>
      <c r="S51" s="4" t="n"/>
      <c r="T51" s="4" t="n">
        <v>0</v>
      </c>
      <c r="U51" s="4" t="n">
        <v>0</v>
      </c>
      <c r="V51" s="4" t="n"/>
    </row>
    <row r="52">
      <c r="A52" t="inlineStr">
        <is>
          <t>mermaid-tails-blankets</t>
        </is>
      </c>
      <c r="B52" s="4" t="n"/>
      <c r="C52" s="31" t="n">
        <v>1.52</v>
      </c>
      <c r="D52" s="31" t="n">
        <v>0</v>
      </c>
      <c r="E52" s="31" t="n">
        <v>0</v>
      </c>
      <c r="F52" s="31" t="n">
        <v>0</v>
      </c>
      <c r="G52" s="3" t="n">
        <v>12</v>
      </c>
      <c r="H52" s="3" t="n">
        <v>4</v>
      </c>
      <c r="I52" s="32" t="n">
        <v>0.33</v>
      </c>
      <c r="J52" s="3" t="n">
        <v>0</v>
      </c>
      <c r="K52" s="32" t="n">
        <v>0</v>
      </c>
      <c r="L52" s="32" t="n">
        <v>0</v>
      </c>
      <c r="M52" s="31" t="n">
        <v>0.38</v>
      </c>
      <c r="N52" s="3" t="inlineStr">
        <is>
          <t>1CTMM500PK_Manual_Optiwise,Throws_Manual_Optiwise_24</t>
        </is>
      </c>
      <c r="O52" s="3" t="inlineStr">
        <is>
          <t>exact</t>
        </is>
      </c>
      <c r="P52" s="4" t="n"/>
      <c r="Q52" s="4" t="n"/>
      <c r="R52" s="4" t="inlineStr">
        <is>
          <t>-</t>
        </is>
      </c>
      <c r="S52" s="4" t="n"/>
      <c r="T52" s="4" t="n">
        <v>0</v>
      </c>
      <c r="U52" s="4" t="n">
        <v>0</v>
      </c>
      <c r="V52" s="4" t="n"/>
    </row>
    <row r="53">
      <c r="A53" t="inlineStr">
        <is>
          <t>165483759</t>
        </is>
      </c>
      <c r="B53" s="4" t="n"/>
      <c r="C53" s="31" t="n">
        <v>1.5</v>
      </c>
      <c r="D53" s="31" t="n">
        <v>0</v>
      </c>
      <c r="E53" s="31" t="n">
        <v>0</v>
      </c>
      <c r="F53" s="31" t="n">
        <v>0</v>
      </c>
      <c r="G53" s="3" t="n">
        <v>81</v>
      </c>
      <c r="H53" s="3" t="n">
        <v>4</v>
      </c>
      <c r="I53" s="32" t="n">
        <v>0.05</v>
      </c>
      <c r="J53" s="3" t="n">
        <v>0</v>
      </c>
      <c r="K53" s="32" t="n">
        <v>0</v>
      </c>
      <c r="L53" s="32" t="n">
        <v>0</v>
      </c>
      <c r="M53" s="31" t="n">
        <v>0.38</v>
      </c>
      <c r="N53" s="3" t="inlineStr">
        <is>
          <t>Picnic Blankets &amp; Mats_Manual_Optiwise_24</t>
        </is>
      </c>
      <c r="O53" s="3" t="inlineStr">
        <is>
          <t>exact</t>
        </is>
      </c>
      <c r="P53" s="4" t="n"/>
      <c r="Q53" s="4" t="n"/>
      <c r="R53" s="4" t="inlineStr">
        <is>
          <t>-</t>
        </is>
      </c>
      <c r="S53" s="4" t="n"/>
      <c r="T53" s="4" t="n">
        <v>0</v>
      </c>
      <c r="U53" s="4" t="n">
        <v>0</v>
      </c>
      <c r="V53" s="4" t="n"/>
    </row>
    <row r="54">
      <c r="A54" t="inlineStr">
        <is>
          <t>mens belt</t>
        </is>
      </c>
      <c r="B54" s="4" t="n"/>
      <c r="C54" s="31" t="n">
        <v>1.5</v>
      </c>
      <c r="D54" s="31" t="n">
        <v>0</v>
      </c>
      <c r="E54" s="31" t="n">
        <v>0</v>
      </c>
      <c r="F54" s="31" t="n">
        <v>0</v>
      </c>
      <c r="G54" s="3" t="n">
        <v>169</v>
      </c>
      <c r="H54" s="3" t="n">
        <v>2</v>
      </c>
      <c r="I54" s="32" t="n">
        <v>0.01</v>
      </c>
      <c r="J54" s="3" t="n">
        <v>0</v>
      </c>
      <c r="K54" s="32" t="n">
        <v>0</v>
      </c>
      <c r="L54" s="32" t="n">
        <v>0</v>
      </c>
      <c r="M54" s="31" t="n">
        <v>0.75</v>
      </c>
      <c r="N54" s="3" t="inlineStr">
        <is>
          <t>Belts Manual_Optiwise</t>
        </is>
      </c>
      <c r="O54" s="3" t="inlineStr">
        <is>
          <t>exact</t>
        </is>
      </c>
      <c r="P54" s="4" t="n"/>
      <c r="Q54" s="4" t="n"/>
      <c r="R54" s="4" t="inlineStr">
        <is>
          <t>-</t>
        </is>
      </c>
      <c r="S54" s="4" t="n"/>
      <c r="T54" s="4" t="n">
        <v>0</v>
      </c>
      <c r="U54" s="4" t="n">
        <v>0</v>
      </c>
      <c r="V54" s="4" t="n"/>
    </row>
    <row r="55">
      <c r="A55" t="inlineStr">
        <is>
          <t>3532120861</t>
        </is>
      </c>
      <c r="B55" s="4" t="n"/>
      <c r="C55" s="31" t="n">
        <v>1.5</v>
      </c>
      <c r="D55" s="31" t="n">
        <v>0</v>
      </c>
      <c r="E55" s="31" t="n">
        <v>0</v>
      </c>
      <c r="F55" s="31" t="n">
        <v>0</v>
      </c>
      <c r="G55" s="3" t="n">
        <v>2</v>
      </c>
      <c r="H55" s="3" t="n">
        <v>2</v>
      </c>
      <c r="I55" s="32" t="n">
        <v>1</v>
      </c>
      <c r="J55" s="3" t="n">
        <v>0</v>
      </c>
      <c r="K55" s="32" t="n">
        <v>0</v>
      </c>
      <c r="L55" s="32" t="n">
        <v>0</v>
      </c>
      <c r="M55" s="31" t="n">
        <v>0.75</v>
      </c>
      <c r="N55" s="3" t="inlineStr">
        <is>
          <t>Belts Manual_Optiwise</t>
        </is>
      </c>
      <c r="O55" s="3" t="inlineStr">
        <is>
          <t>exact</t>
        </is>
      </c>
      <c r="P55" s="4" t="n"/>
      <c r="Q55" s="4" t="n"/>
      <c r="R55" s="4" t="inlineStr">
        <is>
          <t>-</t>
        </is>
      </c>
      <c r="S55" s="4" t="n"/>
      <c r="T55" s="4" t="n">
        <v>0</v>
      </c>
      <c r="U55" s="4" t="n">
        <v>0</v>
      </c>
      <c r="V55" s="4" t="n"/>
    </row>
    <row r="56">
      <c r="A56" t="inlineStr">
        <is>
          <t>732446221</t>
        </is>
      </c>
      <c r="B56" s="4" t="n"/>
      <c r="C56" s="31" t="n">
        <v>1.45</v>
      </c>
      <c r="D56" s="31" t="n">
        <v>0</v>
      </c>
      <c r="E56" s="31" t="n">
        <v>0</v>
      </c>
      <c r="F56" s="31" t="n">
        <v>0</v>
      </c>
      <c r="G56" s="3" t="n">
        <v>20</v>
      </c>
      <c r="H56" s="3" t="n">
        <v>3</v>
      </c>
      <c r="I56" s="32" t="n">
        <v>0.15</v>
      </c>
      <c r="J56" s="3" t="n">
        <v>0</v>
      </c>
      <c r="K56" s="32" t="n">
        <v>0</v>
      </c>
      <c r="L56" s="32" t="n">
        <v>0</v>
      </c>
      <c r="M56" s="31" t="n">
        <v>0.48</v>
      </c>
      <c r="N56" s="3" t="inlineStr">
        <is>
          <t>Picnic Blankets &amp; Mats_Manual_Optiwise_24</t>
        </is>
      </c>
      <c r="O56" s="3" t="inlineStr">
        <is>
          <t>exact</t>
        </is>
      </c>
      <c r="P56" s="4" t="n"/>
      <c r="Q56" s="4" t="n"/>
      <c r="R56" s="4" t="inlineStr">
        <is>
          <t>-</t>
        </is>
      </c>
      <c r="S56" s="4" t="n"/>
      <c r="T56" s="4" t="n">
        <v>0</v>
      </c>
      <c r="U56" s="4" t="n">
        <v>0</v>
      </c>
      <c r="V56" s="4" t="n"/>
    </row>
    <row r="57">
      <c r="A57" t="inlineStr">
        <is>
          <t>mens belts</t>
        </is>
      </c>
      <c r="B57" s="4" t="n"/>
      <c r="C57" s="31" t="n">
        <v>1.36</v>
      </c>
      <c r="D57" s="31" t="n">
        <v>0</v>
      </c>
      <c r="E57" s="31" t="n">
        <v>0</v>
      </c>
      <c r="F57" s="31" t="n">
        <v>0</v>
      </c>
      <c r="G57" s="3" t="n">
        <v>95</v>
      </c>
      <c r="H57" s="3" t="n">
        <v>2</v>
      </c>
      <c r="I57" s="32" t="n">
        <v>0.02</v>
      </c>
      <c r="J57" s="3" t="n">
        <v>0</v>
      </c>
      <c r="K57" s="32" t="n">
        <v>0</v>
      </c>
      <c r="L57" s="32" t="n">
        <v>0</v>
      </c>
      <c r="M57" s="31" t="n">
        <v>0.68</v>
      </c>
      <c r="N57" s="3" t="inlineStr">
        <is>
          <t>Belts Manual_Optiwise</t>
        </is>
      </c>
      <c r="O57" s="3" t="inlineStr">
        <is>
          <t>exact</t>
        </is>
      </c>
      <c r="P57" s="4" t="n"/>
      <c r="Q57" s="4" t="n"/>
      <c r="R57" s="4" t="inlineStr">
        <is>
          <t>-</t>
        </is>
      </c>
      <c r="S57" s="4" t="n"/>
      <c r="T57" s="4" t="n">
        <v>0</v>
      </c>
      <c r="U57" s="4" t="n">
        <v>0</v>
      </c>
      <c r="V57" s="4" t="n"/>
    </row>
    <row r="58">
      <c r="A58" t="inlineStr">
        <is>
          <t>1034382842</t>
        </is>
      </c>
      <c r="B58" s="4" t="n"/>
      <c r="C58" s="31" t="n">
        <v>1.34</v>
      </c>
      <c r="D58" s="31" t="n">
        <v>0</v>
      </c>
      <c r="E58" s="31" t="n">
        <v>0</v>
      </c>
      <c r="F58" s="31" t="n">
        <v>0</v>
      </c>
      <c r="G58" s="3" t="n">
        <v>102</v>
      </c>
      <c r="H58" s="3" t="n">
        <v>4</v>
      </c>
      <c r="I58" s="32" t="n">
        <v>0.04</v>
      </c>
      <c r="J58" s="3" t="n">
        <v>0</v>
      </c>
      <c r="K58" s="32" t="n">
        <v>0</v>
      </c>
      <c r="L58" s="32" t="n">
        <v>0</v>
      </c>
      <c r="M58" s="31" t="n">
        <v>0.34</v>
      </c>
      <c r="N58" s="3" t="inlineStr">
        <is>
          <t>Throws_Manual_Optiwise_24</t>
        </is>
      </c>
      <c r="O58" s="3" t="inlineStr">
        <is>
          <t>phrase</t>
        </is>
      </c>
      <c r="P58" s="4" t="n"/>
      <c r="Q58" s="4" t="n"/>
      <c r="R58" s="4" t="inlineStr">
        <is>
          <t>-</t>
        </is>
      </c>
      <c r="S58" s="4" t="n"/>
      <c r="T58" s="4" t="n">
        <v>0</v>
      </c>
      <c r="U58" s="4" t="n">
        <v>0</v>
      </c>
      <c r="V58" s="4" t="n"/>
    </row>
    <row r="59">
      <c r="A59" t="inlineStr">
        <is>
          <t>13492158718</t>
        </is>
      </c>
      <c r="B59" s="4" t="n"/>
      <c r="C59" s="31" t="n">
        <v>1.25</v>
      </c>
      <c r="D59" s="31" t="n">
        <v>0</v>
      </c>
      <c r="E59" s="31" t="n">
        <v>0</v>
      </c>
      <c r="F59" s="31" t="n">
        <v>0</v>
      </c>
      <c r="G59" s="3" t="n">
        <v>470</v>
      </c>
      <c r="H59" s="3" t="n">
        <v>3</v>
      </c>
      <c r="I59" s="32" t="n">
        <v>0.01</v>
      </c>
      <c r="J59" s="3" t="n">
        <v>0</v>
      </c>
      <c r="K59" s="32" t="n">
        <v>0</v>
      </c>
      <c r="L59" s="32" t="n"/>
      <c r="M59" s="31" t="n">
        <v>0.42</v>
      </c>
      <c r="N59" s="3" t="inlineStr">
        <is>
          <t>1TRBW506LGDG-CDCB_Manual,1WMBM109-BLGY</t>
        </is>
      </c>
      <c r="O59" s="3" t="inlineStr">
        <is>
          <t>exact</t>
        </is>
      </c>
      <c r="P59" s="4" t="n"/>
      <c r="Q59" s="4" t="n"/>
      <c r="R59" s="4" t="n">
        <v>0</v>
      </c>
      <c r="S59" s="4" t="n"/>
      <c r="T59" s="4" t="n">
        <v>0</v>
      </c>
      <c r="U59" s="4" t="n">
        <v>0</v>
      </c>
      <c r="V59" s="4" t="n"/>
    </row>
    <row r="60">
      <c r="A60" t="inlineStr">
        <is>
          <t>490632985</t>
        </is>
      </c>
      <c r="B60" s="4" t="n"/>
      <c r="C60" s="31" t="n">
        <v>1.24</v>
      </c>
      <c r="D60" s="31" t="n">
        <v>0</v>
      </c>
      <c r="E60" s="31" t="n">
        <v>0</v>
      </c>
      <c r="F60" s="31" t="n">
        <v>0</v>
      </c>
      <c r="G60" s="3" t="n">
        <v>7</v>
      </c>
      <c r="H60" s="3" t="n">
        <v>4</v>
      </c>
      <c r="I60" s="32" t="n">
        <v>0.57</v>
      </c>
      <c r="J60" s="3" t="n">
        <v>0</v>
      </c>
      <c r="K60" s="32" t="n">
        <v>0</v>
      </c>
      <c r="L60" s="32" t="n">
        <v>0</v>
      </c>
      <c r="M60" s="31" t="n">
        <v>0.31</v>
      </c>
      <c r="N60" s="3" t="inlineStr">
        <is>
          <t>Picnic Blankets &amp; Mats_Manual_Optiwise_24</t>
        </is>
      </c>
      <c r="O60" s="3" t="inlineStr">
        <is>
          <t>exact</t>
        </is>
      </c>
      <c r="P60" s="4" t="n"/>
      <c r="Q60" s="4" t="n"/>
      <c r="R60" s="4" t="inlineStr">
        <is>
          <t>-</t>
        </is>
      </c>
      <c r="S60" s="4" t="n"/>
      <c r="T60" s="4" t="n">
        <v>0</v>
      </c>
      <c r="U60" s="4" t="n">
        <v>0</v>
      </c>
      <c r="V60" s="4" t="n"/>
    </row>
    <row r="61">
      <c r="A61" t="inlineStr">
        <is>
          <t>picnic-blanket</t>
        </is>
      </c>
      <c r="B61" s="4" t="n"/>
      <c r="C61" s="31" t="n">
        <v>1.23</v>
      </c>
      <c r="D61" s="31" t="n">
        <v>0</v>
      </c>
      <c r="E61" s="31" t="n">
        <v>0</v>
      </c>
      <c r="F61" s="31" t="n">
        <v>0</v>
      </c>
      <c r="G61" s="3" t="n">
        <v>35</v>
      </c>
      <c r="H61" s="3" t="n">
        <v>3</v>
      </c>
      <c r="I61" s="32" t="n">
        <v>0.09</v>
      </c>
      <c r="J61" s="3" t="n">
        <v>0</v>
      </c>
      <c r="K61" s="32" t="n">
        <v>0</v>
      </c>
      <c r="L61" s="32" t="n">
        <v>0</v>
      </c>
      <c r="M61" s="31" t="n">
        <v>0.41</v>
      </c>
      <c r="N61" s="3" t="inlineStr">
        <is>
          <t>Picnic Blankets &amp; Mats_Manual_Optiwise_24</t>
        </is>
      </c>
      <c r="O61" s="3" t="inlineStr">
        <is>
          <t>exact</t>
        </is>
      </c>
      <c r="P61" s="4" t="n"/>
      <c r="Q61" s="4" t="n"/>
      <c r="R61" s="4" t="inlineStr">
        <is>
          <t>-</t>
        </is>
      </c>
      <c r="S61" s="4" t="n"/>
      <c r="T61" s="4" t="n">
        <v>0</v>
      </c>
      <c r="U61" s="4" t="n">
        <v>0</v>
      </c>
      <c r="V61" s="4" t="n"/>
    </row>
    <row r="62">
      <c r="A62" t="inlineStr">
        <is>
          <t>throw blankets under $10 for adults</t>
        </is>
      </c>
      <c r="B62" s="4" t="n"/>
      <c r="C62" s="31" t="n">
        <v>1.23</v>
      </c>
      <c r="D62" s="31" t="n">
        <v>0</v>
      </c>
      <c r="E62" s="31" t="n">
        <v>0</v>
      </c>
      <c r="F62" s="31" t="n">
        <v>0</v>
      </c>
      <c r="G62" s="3" t="n">
        <v>96</v>
      </c>
      <c r="H62" s="3" t="n">
        <v>3</v>
      </c>
      <c r="I62" s="32" t="n">
        <v>0.03</v>
      </c>
      <c r="J62" s="3" t="n">
        <v>0</v>
      </c>
      <c r="K62" s="32" t="n">
        <v>0</v>
      </c>
      <c r="L62" s="32" t="n">
        <v>0</v>
      </c>
      <c r="M62" s="31" t="n">
        <v>0.41</v>
      </c>
      <c r="N62" s="3" t="inlineStr">
        <is>
          <t>Throws_Manual_Optiwise_24</t>
        </is>
      </c>
      <c r="O62" s="3" t="inlineStr">
        <is>
          <t>phrase</t>
        </is>
      </c>
      <c r="P62" s="4" t="n"/>
      <c r="Q62" s="4" t="n"/>
      <c r="R62" s="4" t="inlineStr">
        <is>
          <t>-</t>
        </is>
      </c>
      <c r="S62" s="4" t="n"/>
      <c r="T62" s="4" t="n">
        <v>0</v>
      </c>
      <c r="U62" s="4" t="n">
        <v>0</v>
      </c>
      <c r="V62" s="4" t="n"/>
    </row>
    <row r="63">
      <c r="A63" t="inlineStr">
        <is>
          <t>manta picnic</t>
        </is>
      </c>
      <c r="B63" s="4" t="n">
        <v>40</v>
      </c>
      <c r="C63" s="31" t="n">
        <v>1.23</v>
      </c>
      <c r="D63" s="31" t="n">
        <v>0</v>
      </c>
      <c r="E63" s="31" t="n">
        <v>0</v>
      </c>
      <c r="F63" s="31" t="n">
        <v>0</v>
      </c>
      <c r="G63" s="3" t="n">
        <v>6</v>
      </c>
      <c r="H63" s="3" t="n">
        <v>3</v>
      </c>
      <c r="I63" s="32" t="n">
        <v>0.5</v>
      </c>
      <c r="J63" s="3" t="n">
        <v>0</v>
      </c>
      <c r="K63" s="32" t="n">
        <v>0</v>
      </c>
      <c r="L63" s="32" t="n">
        <v>0.4862</v>
      </c>
      <c r="M63" s="31" t="n">
        <v>0.41</v>
      </c>
      <c r="N63" s="3" t="inlineStr">
        <is>
          <t>1TRBW506LGDG-CDCB_Manual,1WMBM109-BLGY,Picnic Blankets &amp; Mats_Manual_Optiwise_24</t>
        </is>
      </c>
      <c r="O63" s="3" t="inlineStr">
        <is>
          <t>exact</t>
        </is>
      </c>
      <c r="P63" s="4" t="n"/>
      <c r="Q63" s="4" t="n"/>
      <c r="R63" s="4" t="inlineStr">
        <is>
          <t>-</t>
        </is>
      </c>
      <c r="S63" s="4" t="n"/>
      <c r="T63" s="4" t="n">
        <v>0</v>
      </c>
      <c r="U63" s="4" t="n">
        <v>0</v>
      </c>
      <c r="V63" s="4" t="n"/>
    </row>
    <row r="64">
      <c r="A64" t="inlineStr">
        <is>
          <t>39746795</t>
        </is>
      </c>
      <c r="B64" s="4" t="n"/>
      <c r="C64" s="31" t="n">
        <v>1.23</v>
      </c>
      <c r="D64" s="31" t="n">
        <v>0</v>
      </c>
      <c r="E64" s="31" t="n">
        <v>0</v>
      </c>
      <c r="F64" s="31" t="n">
        <v>0</v>
      </c>
      <c r="G64" s="3" t="n">
        <v>50</v>
      </c>
      <c r="H64" s="3" t="n">
        <v>2</v>
      </c>
      <c r="I64" s="32" t="n">
        <v>0.04</v>
      </c>
      <c r="J64" s="3" t="n">
        <v>0</v>
      </c>
      <c r="K64" s="32" t="n">
        <v>0</v>
      </c>
      <c r="L64" s="32" t="n">
        <v>0</v>
      </c>
      <c r="M64" s="31" t="n">
        <v>0.61</v>
      </c>
      <c r="N64" s="3" t="inlineStr">
        <is>
          <t>Throws_Manual_Optiwise_24</t>
        </is>
      </c>
      <c r="O64" s="3" t="inlineStr">
        <is>
          <t>phrase</t>
        </is>
      </c>
      <c r="P64" s="4" t="n"/>
      <c r="Q64" s="4" t="n"/>
      <c r="R64" s="4" t="inlineStr">
        <is>
          <t>-</t>
        </is>
      </c>
      <c r="S64" s="4" t="n"/>
      <c r="T64" s="4" t="n">
        <v>0</v>
      </c>
      <c r="U64" s="4" t="n">
        <v>0</v>
      </c>
      <c r="V64" s="4" t="n"/>
    </row>
    <row r="65">
      <c r="A65" t="inlineStr">
        <is>
          <t>13491761361</t>
        </is>
      </c>
      <c r="B65" s="4" t="n"/>
      <c r="C65" s="31" t="n">
        <v>1.23</v>
      </c>
      <c r="D65" s="31" t="n">
        <v>0</v>
      </c>
      <c r="E65" s="31" t="n">
        <v>0</v>
      </c>
      <c r="F65" s="31" t="n">
        <v>0</v>
      </c>
      <c r="G65" s="3" t="n">
        <v>678</v>
      </c>
      <c r="H65" s="3" t="n">
        <v>3</v>
      </c>
      <c r="I65" s="32" t="n">
        <v>0</v>
      </c>
      <c r="J65" s="3" t="n">
        <v>0</v>
      </c>
      <c r="K65" s="32" t="n">
        <v>0</v>
      </c>
      <c r="L65" s="32" t="n"/>
      <c r="M65" s="31" t="n">
        <v>0.41</v>
      </c>
      <c r="N65" s="3" t="inlineStr">
        <is>
          <t>Picnic Blankets &amp; Mats_Manual_Optiwise_24</t>
        </is>
      </c>
      <c r="O65" s="3" t="inlineStr">
        <is>
          <t>exact</t>
        </is>
      </c>
      <c r="P65" s="4" t="n"/>
      <c r="Q65" s="4" t="n"/>
      <c r="R65" s="4" t="n">
        <v>0</v>
      </c>
      <c r="S65" s="4" t="n"/>
      <c r="T65" s="4" t="n">
        <v>0</v>
      </c>
      <c r="U65" s="4" t="n">
        <v>0</v>
      </c>
      <c r="V65" s="4" t="n"/>
    </row>
    <row r="66">
      <c r="A66" t="inlineStr">
        <is>
          <t>441329120</t>
        </is>
      </c>
      <c r="B66" s="4" t="n"/>
      <c r="C66" s="31" t="n">
        <v>1.21</v>
      </c>
      <c r="D66" s="31" t="n">
        <v>0</v>
      </c>
      <c r="E66" s="31" t="n">
        <v>0</v>
      </c>
      <c r="F66" s="31" t="n">
        <v>0</v>
      </c>
      <c r="G66" s="3" t="n">
        <v>42</v>
      </c>
      <c r="H66" s="3" t="n">
        <v>4</v>
      </c>
      <c r="I66" s="32" t="n">
        <v>0.1</v>
      </c>
      <c r="J66" s="3" t="n">
        <v>0</v>
      </c>
      <c r="K66" s="32" t="n">
        <v>0</v>
      </c>
      <c r="L66" s="32" t="n">
        <v>0</v>
      </c>
      <c r="M66" s="31" t="n">
        <v>0.3</v>
      </c>
      <c r="N66" s="3" t="inlineStr">
        <is>
          <t>1WMBW506NYGY-TBCB_Manual_Optiwise,Picnic Blankets &amp; Mats_Manual_Optiwise_24</t>
        </is>
      </c>
      <c r="O66" s="3" t="inlineStr">
        <is>
          <t>exact</t>
        </is>
      </c>
      <c r="P66" s="4" t="n"/>
      <c r="Q66" s="4" t="n"/>
      <c r="R66" s="4" t="inlineStr">
        <is>
          <t>-</t>
        </is>
      </c>
      <c r="S66" s="4" t="n"/>
      <c r="T66" s="4" t="n">
        <v>0</v>
      </c>
      <c r="U66" s="4" t="n">
        <v>0</v>
      </c>
      <c r="V66" s="4" t="n"/>
    </row>
    <row r="67">
      <c r="A67" t="inlineStr">
        <is>
          <t>908265210</t>
        </is>
      </c>
      <c r="B67" s="4" t="n"/>
      <c r="C67" s="31" t="n">
        <v>1.21</v>
      </c>
      <c r="D67" s="31" t="n">
        <v>0</v>
      </c>
      <c r="E67" s="31" t="n">
        <v>0</v>
      </c>
      <c r="F67" s="31" t="n">
        <v>0</v>
      </c>
      <c r="G67" s="3" t="n">
        <v>51</v>
      </c>
      <c r="H67" s="3" t="n">
        <v>3</v>
      </c>
      <c r="I67" s="32" t="n">
        <v>0.06</v>
      </c>
      <c r="J67" s="3" t="n">
        <v>0</v>
      </c>
      <c r="K67" s="32" t="n">
        <v>0</v>
      </c>
      <c r="L67" s="32" t="n">
        <v>0</v>
      </c>
      <c r="M67" s="31" t="n">
        <v>0.4</v>
      </c>
      <c r="N67" s="3" t="inlineStr">
        <is>
          <t>Manual for Waterproof Blanket--Lily,Picnic Blankets &amp; Mats_Manual_Optiwise_24</t>
        </is>
      </c>
      <c r="O67" s="3" t="inlineStr">
        <is>
          <t>exact</t>
        </is>
      </c>
      <c r="P67" s="4" t="n"/>
      <c r="Q67" s="4" t="n"/>
      <c r="R67" s="4" t="inlineStr">
        <is>
          <t>-</t>
        </is>
      </c>
      <c r="S67" s="4" t="n"/>
      <c r="T67" s="4" t="n">
        <v>0</v>
      </c>
      <c r="U67" s="4" t="n">
        <v>0</v>
      </c>
      <c r="V67" s="4" t="n"/>
    </row>
    <row r="68">
      <c r="A68" t="inlineStr">
        <is>
          <t>mermaid tail</t>
        </is>
      </c>
      <c r="B68" s="4" t="n">
        <v>3780</v>
      </c>
      <c r="C68" s="31" t="n">
        <v>1.2</v>
      </c>
      <c r="D68" s="31" t="n">
        <v>0</v>
      </c>
      <c r="E68" s="31" t="n">
        <v>0</v>
      </c>
      <c r="F68" s="31" t="n">
        <v>0</v>
      </c>
      <c r="G68" s="3" t="n">
        <v>137</v>
      </c>
      <c r="H68" s="3" t="n">
        <v>3</v>
      </c>
      <c r="I68" s="32" t="n">
        <v>0.02</v>
      </c>
      <c r="J68" s="3" t="n">
        <v>0</v>
      </c>
      <c r="K68" s="32" t="n">
        <v>0</v>
      </c>
      <c r="L68" s="32" t="n">
        <v>0.1666</v>
      </c>
      <c r="M68" s="31" t="n">
        <v>0.4</v>
      </c>
      <c r="N68" s="3" t="inlineStr">
        <is>
          <t>Keywords Campaign-Lily,Throws_Manual_Optiwise_24,Videos for MM--Lily</t>
        </is>
      </c>
      <c r="O68" s="3" t="inlineStr">
        <is>
          <t>exact</t>
        </is>
      </c>
      <c r="P68" s="4" t="n">
        <v>3</v>
      </c>
      <c r="Q68" s="4" t="n">
        <v>24</v>
      </c>
      <c r="R68" s="4" t="n">
        <v>2</v>
      </c>
      <c r="S68" s="4" t="n">
        <v>31</v>
      </c>
      <c r="T68" s="4" t="n">
        <v>10</v>
      </c>
      <c r="U68" s="4" t="n">
        <v>0</v>
      </c>
      <c r="V68" s="4" t="inlineStr">
        <is>
          <t>856027355 - 24, 812625607 - 32, 942219918 - 31</t>
        </is>
      </c>
    </row>
    <row r="69">
      <c r="A69" t="inlineStr">
        <is>
          <t>1828821442</t>
        </is>
      </c>
      <c r="B69" s="4" t="n"/>
      <c r="C69" s="31" t="n">
        <v>1.2</v>
      </c>
      <c r="D69" s="31" t="n">
        <v>0</v>
      </c>
      <c r="E69" s="31" t="n">
        <v>0</v>
      </c>
      <c r="F69" s="31" t="n">
        <v>0</v>
      </c>
      <c r="G69" s="3" t="n">
        <v>5</v>
      </c>
      <c r="H69" s="3" t="n">
        <v>2</v>
      </c>
      <c r="I69" s="32" t="n">
        <v>0.4</v>
      </c>
      <c r="J69" s="3" t="n">
        <v>0</v>
      </c>
      <c r="K69" s="32" t="n">
        <v>0</v>
      </c>
      <c r="L69" s="32" t="n">
        <v>0</v>
      </c>
      <c r="M69" s="31" t="n">
        <v>0.6</v>
      </c>
      <c r="N69" s="3" t="inlineStr">
        <is>
          <t>Throws_Manual_Optiwise_24</t>
        </is>
      </c>
      <c r="O69" s="3" t="inlineStr">
        <is>
          <t>phrase</t>
        </is>
      </c>
      <c r="P69" s="4" t="n"/>
      <c r="Q69" s="4" t="n"/>
      <c r="R69" s="4" t="inlineStr">
        <is>
          <t>-</t>
        </is>
      </c>
      <c r="S69" s="4" t="n"/>
      <c r="T69" s="4" t="n">
        <v>0</v>
      </c>
      <c r="U69" s="4" t="n">
        <v>0</v>
      </c>
      <c r="V69" s="4" t="n"/>
    </row>
    <row r="70">
      <c r="A70" t="inlineStr">
        <is>
          <t>373845168</t>
        </is>
      </c>
      <c r="B70" s="4" t="n"/>
      <c r="C70" s="31" t="n">
        <v>1.19</v>
      </c>
      <c r="D70" s="31" t="n">
        <v>0</v>
      </c>
      <c r="E70" s="31" t="n">
        <v>0</v>
      </c>
      <c r="F70" s="31" t="n">
        <v>0</v>
      </c>
      <c r="G70" s="3" t="n">
        <v>9</v>
      </c>
      <c r="H70" s="3" t="n">
        <v>2</v>
      </c>
      <c r="I70" s="32" t="n">
        <v>0.22</v>
      </c>
      <c r="J70" s="3" t="n">
        <v>0</v>
      </c>
      <c r="K70" s="32" t="n">
        <v>0</v>
      </c>
      <c r="L70" s="32" t="n">
        <v>0</v>
      </c>
      <c r="M70" s="31" t="n">
        <v>0.59</v>
      </c>
      <c r="N70" s="3" t="inlineStr">
        <is>
          <t>Throws_Manual_Optiwise_24</t>
        </is>
      </c>
      <c r="O70" s="3" t="inlineStr">
        <is>
          <t>phrase</t>
        </is>
      </c>
      <c r="P70" s="4" t="n"/>
      <c r="Q70" s="4" t="n"/>
      <c r="R70" s="4" t="inlineStr">
        <is>
          <t>-</t>
        </is>
      </c>
      <c r="S70" s="4" t="n"/>
      <c r="T70" s="4" t="n">
        <v>0</v>
      </c>
      <c r="U70" s="4" t="n">
        <v>0</v>
      </c>
      <c r="V70" s="4" t="n"/>
    </row>
    <row r="71">
      <c r="A71" t="inlineStr">
        <is>
          <t>5488668171</t>
        </is>
      </c>
      <c r="B71" s="4" t="n"/>
      <c r="C71" s="31" t="n">
        <v>1.18</v>
      </c>
      <c r="D71" s="31" t="n">
        <v>0</v>
      </c>
      <c r="E71" s="31" t="n">
        <v>0</v>
      </c>
      <c r="F71" s="31" t="n">
        <v>0</v>
      </c>
      <c r="G71" s="3" t="n">
        <v>156</v>
      </c>
      <c r="H71" s="3" t="n">
        <v>3</v>
      </c>
      <c r="I71" s="32" t="n">
        <v>0.02</v>
      </c>
      <c r="J71" s="3" t="n">
        <v>0</v>
      </c>
      <c r="K71" s="32" t="n">
        <v>0</v>
      </c>
      <c r="L71" s="32" t="n">
        <v>0</v>
      </c>
      <c r="M71" s="31" t="n">
        <v>0.39</v>
      </c>
      <c r="N71" s="3" t="inlineStr">
        <is>
          <t>Throws_Manual_Optiwise_24</t>
        </is>
      </c>
      <c r="O71" s="3" t="inlineStr">
        <is>
          <t>phrase</t>
        </is>
      </c>
      <c r="P71" s="4" t="n"/>
      <c r="Q71" s="4" t="n"/>
      <c r="R71" s="4" t="inlineStr">
        <is>
          <t>-</t>
        </is>
      </c>
      <c r="S71" s="4" t="n"/>
      <c r="T71" s="4" t="n">
        <v>0</v>
      </c>
      <c r="U71" s="4" t="n">
        <v>0</v>
      </c>
      <c r="V71" s="4" t="n"/>
    </row>
    <row r="72">
      <c r="A72" t="inlineStr">
        <is>
          <t>2186388107</t>
        </is>
      </c>
      <c r="B72" s="4" t="n"/>
      <c r="C72" s="31" t="n">
        <v>1.18</v>
      </c>
      <c r="D72" s="31" t="n">
        <v>89.98</v>
      </c>
      <c r="E72" s="31" t="n">
        <v>89.98</v>
      </c>
      <c r="F72" s="31" t="n">
        <v>76.25</v>
      </c>
      <c r="G72" s="3" t="n">
        <v>14</v>
      </c>
      <c r="H72" s="3" t="n">
        <v>2</v>
      </c>
      <c r="I72" s="32" t="n">
        <v>0.14</v>
      </c>
      <c r="J72" s="3" t="n">
        <v>2</v>
      </c>
      <c r="K72" s="32" t="n">
        <v>1</v>
      </c>
      <c r="L72" s="32" t="n">
        <v>0</v>
      </c>
      <c r="M72" s="31" t="n">
        <v>0.59</v>
      </c>
      <c r="N72" s="3" t="inlineStr">
        <is>
          <t>Picnic Blankets &amp; Mats_Manual_Optiwise_24</t>
        </is>
      </c>
      <c r="O72" s="3" t="inlineStr">
        <is>
          <t>exact</t>
        </is>
      </c>
      <c r="P72" s="4" t="n"/>
      <c r="Q72" s="4" t="n"/>
      <c r="R72" s="4" t="inlineStr">
        <is>
          <t>-</t>
        </is>
      </c>
      <c r="S72" s="4" t="n"/>
      <c r="T72" s="4" t="n">
        <v>0</v>
      </c>
      <c r="U72" s="4" t="n">
        <v>0</v>
      </c>
      <c r="V72" s="4" t="n"/>
    </row>
    <row r="73">
      <c r="A73" t="inlineStr">
        <is>
          <t>fleece throw blanket</t>
        </is>
      </c>
      <c r="B73" s="4" t="n"/>
      <c r="C73" s="31" t="n">
        <v>1.13</v>
      </c>
      <c r="D73" s="31" t="n">
        <v>0</v>
      </c>
      <c r="E73" s="31" t="n">
        <v>0</v>
      </c>
      <c r="F73" s="31" t="n">
        <v>0</v>
      </c>
      <c r="G73" s="3" t="n">
        <v>69</v>
      </c>
      <c r="H73" s="3" t="n">
        <v>3</v>
      </c>
      <c r="I73" s="32" t="n">
        <v>0.04</v>
      </c>
      <c r="J73" s="3" t="n">
        <v>0</v>
      </c>
      <c r="K73" s="32" t="n">
        <v>0</v>
      </c>
      <c r="L73" s="32" t="n">
        <v>0</v>
      </c>
      <c r="M73" s="31" t="n">
        <v>0.38</v>
      </c>
      <c r="N73" s="3" t="inlineStr">
        <is>
          <t>Throws_Manual_Optiwise_24</t>
        </is>
      </c>
      <c r="O73" s="3" t="inlineStr">
        <is>
          <t>phrase</t>
        </is>
      </c>
      <c r="P73" s="4" t="n"/>
      <c r="Q73" s="4" t="n"/>
      <c r="R73" s="4" t="inlineStr">
        <is>
          <t>-</t>
        </is>
      </c>
      <c r="S73" s="4" t="n"/>
      <c r="T73" s="4" t="n">
        <v>0</v>
      </c>
      <c r="U73" s="4" t="n">
        <v>0</v>
      </c>
      <c r="V73" s="4" t="n"/>
    </row>
    <row r="74">
      <c r="A74" t="inlineStr">
        <is>
          <t>1526732482</t>
        </is>
      </c>
      <c r="B74" s="4" t="n"/>
      <c r="C74" s="31" t="n">
        <v>1.13</v>
      </c>
      <c r="D74" s="31" t="n">
        <v>0</v>
      </c>
      <c r="E74" s="31" t="n">
        <v>0</v>
      </c>
      <c r="F74" s="31" t="n">
        <v>0</v>
      </c>
      <c r="G74" s="3" t="n">
        <v>11</v>
      </c>
      <c r="H74" s="3" t="n">
        <v>2</v>
      </c>
      <c r="I74" s="32" t="n">
        <v>0.18</v>
      </c>
      <c r="J74" s="3" t="n">
        <v>0</v>
      </c>
      <c r="K74" s="32" t="n">
        <v>0</v>
      </c>
      <c r="L74" s="32" t="n">
        <v>0</v>
      </c>
      <c r="M74" s="31" t="n">
        <v>0.5600000000000001</v>
      </c>
      <c r="N74" s="3" t="inlineStr">
        <is>
          <t>Throws_Manual_Optiwise_24</t>
        </is>
      </c>
      <c r="O74" s="3" t="inlineStr">
        <is>
          <t>phrase</t>
        </is>
      </c>
      <c r="P74" s="4" t="n"/>
      <c r="Q74" s="4" t="n"/>
      <c r="R74" s="4" t="inlineStr">
        <is>
          <t>-</t>
        </is>
      </c>
      <c r="S74" s="4" t="n"/>
      <c r="T74" s="4" t="n">
        <v>0</v>
      </c>
      <c r="U74" s="4" t="n">
        <v>0</v>
      </c>
      <c r="V74" s="4" t="n"/>
    </row>
    <row r="75">
      <c r="A75" t="inlineStr">
        <is>
          <t>595042980</t>
        </is>
      </c>
      <c r="B75" s="4" t="n"/>
      <c r="C75" s="31" t="n">
        <v>1.09</v>
      </c>
      <c r="D75" s="31" t="n">
        <v>0</v>
      </c>
      <c r="E75" s="31" t="n">
        <v>0</v>
      </c>
      <c r="F75" s="31" t="n">
        <v>0</v>
      </c>
      <c r="G75" s="3" t="n">
        <v>16</v>
      </c>
      <c r="H75" s="3" t="n">
        <v>2</v>
      </c>
      <c r="I75" s="32" t="n">
        <v>0.12</v>
      </c>
      <c r="J75" s="3" t="n">
        <v>0</v>
      </c>
      <c r="K75" s="32" t="n">
        <v>0</v>
      </c>
      <c r="L75" s="32" t="n">
        <v>0</v>
      </c>
      <c r="M75" s="31" t="n">
        <v>0.55</v>
      </c>
      <c r="N75" s="3" t="inlineStr">
        <is>
          <t>Manual for Waterproof Blanket--Lily,Picnic Blankets &amp; Mats_Manual_Optiwise_24</t>
        </is>
      </c>
      <c r="O75" s="3" t="inlineStr">
        <is>
          <t>exact</t>
        </is>
      </c>
      <c r="P75" s="4" t="n"/>
      <c r="Q75" s="4" t="n"/>
      <c r="R75" s="4" t="inlineStr">
        <is>
          <t>-</t>
        </is>
      </c>
      <c r="S75" s="4" t="n"/>
      <c r="T75" s="4" t="n">
        <v>0</v>
      </c>
      <c r="U75" s="4" t="n">
        <v>0</v>
      </c>
      <c r="V75" s="4" t="n"/>
    </row>
    <row r="76">
      <c r="A76" t="inlineStr">
        <is>
          <t>769301586</t>
        </is>
      </c>
      <c r="B76" s="4" t="n"/>
      <c r="C76" s="31" t="n">
        <v>1.08</v>
      </c>
      <c r="D76" s="31" t="n">
        <v>0</v>
      </c>
      <c r="E76" s="31" t="n">
        <v>0</v>
      </c>
      <c r="F76" s="31" t="n">
        <v>0</v>
      </c>
      <c r="G76" s="3" t="n">
        <v>17</v>
      </c>
      <c r="H76" s="3" t="n">
        <v>3</v>
      </c>
      <c r="I76" s="32" t="n">
        <v>0.18</v>
      </c>
      <c r="J76" s="3" t="n">
        <v>0</v>
      </c>
      <c r="K76" s="32" t="n">
        <v>0</v>
      </c>
      <c r="L76" s="32" t="n">
        <v>0</v>
      </c>
      <c r="M76" s="31" t="n">
        <v>0.36</v>
      </c>
      <c r="N76" s="3" t="inlineStr">
        <is>
          <t>1CTMM500PK_Manual_Optiwise,Throws_Manual_Optiwise_24</t>
        </is>
      </c>
      <c r="O76" s="3" t="inlineStr">
        <is>
          <t>exact</t>
        </is>
      </c>
      <c r="P76" s="4" t="n"/>
      <c r="Q76" s="4" t="n"/>
      <c r="R76" s="4" t="inlineStr">
        <is>
          <t>-</t>
        </is>
      </c>
      <c r="S76" s="4" t="n"/>
      <c r="T76" s="4" t="n">
        <v>0</v>
      </c>
      <c r="U76" s="4" t="n">
        <v>0</v>
      </c>
      <c r="V76" s="4" t="n"/>
    </row>
    <row r="77">
      <c r="A77" t="inlineStr">
        <is>
          <t>961156158</t>
        </is>
      </c>
      <c r="B77" s="4" t="n"/>
      <c r="C77" s="31" t="n">
        <v>1.07</v>
      </c>
      <c r="D77" s="31" t="n">
        <v>0</v>
      </c>
      <c r="E77" s="31" t="n">
        <v>0</v>
      </c>
      <c r="F77" s="31" t="n">
        <v>0</v>
      </c>
      <c r="G77" s="3" t="n">
        <v>83</v>
      </c>
      <c r="H77" s="3" t="n">
        <v>3</v>
      </c>
      <c r="I77" s="32" t="n">
        <v>0.04</v>
      </c>
      <c r="J77" s="3" t="n">
        <v>0</v>
      </c>
      <c r="K77" s="32" t="n">
        <v>0</v>
      </c>
      <c r="L77" s="32" t="n">
        <v>0</v>
      </c>
      <c r="M77" s="31" t="n">
        <v>0.36</v>
      </c>
      <c r="N77" s="3" t="inlineStr">
        <is>
          <t>Picnic Blankets &amp; Mats_Manual_Optiwise_24</t>
        </is>
      </c>
      <c r="O77" s="3" t="inlineStr">
        <is>
          <t>exact</t>
        </is>
      </c>
      <c r="P77" s="4" t="n"/>
      <c r="Q77" s="4" t="n"/>
      <c r="R77" s="4" t="inlineStr">
        <is>
          <t>-</t>
        </is>
      </c>
      <c r="S77" s="4" t="n"/>
      <c r="T77" s="4" t="n">
        <v>0</v>
      </c>
      <c r="U77" s="4" t="n">
        <v>0</v>
      </c>
      <c r="V77" s="4" t="n"/>
    </row>
    <row r="78">
      <c r="A78" t="inlineStr">
        <is>
          <t>1998873179</t>
        </is>
      </c>
      <c r="B78" s="4" t="n"/>
      <c r="C78" s="31" t="n">
        <v>1.06</v>
      </c>
      <c r="D78" s="31" t="n">
        <v>0</v>
      </c>
      <c r="E78" s="31" t="n">
        <v>0</v>
      </c>
      <c r="F78" s="31" t="n">
        <v>0</v>
      </c>
      <c r="G78" s="3" t="n">
        <v>42</v>
      </c>
      <c r="H78" s="3" t="n">
        <v>2</v>
      </c>
      <c r="I78" s="32" t="n">
        <v>0.05</v>
      </c>
      <c r="J78" s="3" t="n">
        <v>0</v>
      </c>
      <c r="K78" s="32" t="n">
        <v>0</v>
      </c>
      <c r="L78" s="32" t="n">
        <v>0</v>
      </c>
      <c r="M78" s="31" t="n">
        <v>0.53</v>
      </c>
      <c r="N78" s="3" t="inlineStr">
        <is>
          <t>Picnic Blankets &amp; Mats_Manual_Optiwise_24</t>
        </is>
      </c>
      <c r="O78" s="3" t="inlineStr">
        <is>
          <t>exact</t>
        </is>
      </c>
      <c r="P78" s="4" t="n"/>
      <c r="Q78" s="4" t="n"/>
      <c r="R78" s="4" t="inlineStr">
        <is>
          <t>-</t>
        </is>
      </c>
      <c r="S78" s="4" t="n"/>
      <c r="T78" s="4" t="n">
        <v>0</v>
      </c>
      <c r="U78" s="4" t="n">
        <v>0</v>
      </c>
      <c r="V78" s="4" t="n"/>
    </row>
    <row r="79">
      <c r="A79" t="inlineStr">
        <is>
          <t>270699114</t>
        </is>
      </c>
      <c r="B79" s="4" t="n"/>
      <c r="C79" s="31" t="n">
        <v>1.02</v>
      </c>
      <c r="D79" s="31" t="n">
        <v>0</v>
      </c>
      <c r="E79" s="31" t="n">
        <v>0</v>
      </c>
      <c r="F79" s="31" t="n">
        <v>0</v>
      </c>
      <c r="G79" s="3" t="n">
        <v>54</v>
      </c>
      <c r="H79" s="3" t="n">
        <v>2</v>
      </c>
      <c r="I79" s="32" t="n">
        <v>0.04</v>
      </c>
      <c r="J79" s="3" t="n">
        <v>0</v>
      </c>
      <c r="K79" s="32" t="n">
        <v>0</v>
      </c>
      <c r="L79" s="32" t="n"/>
      <c r="M79" s="31" t="n">
        <v>0.51</v>
      </c>
      <c r="N79" s="3" t="inlineStr">
        <is>
          <t>1CTBP120GY_Manual_Optiwise,Throws_Manual_Optiwise_24</t>
        </is>
      </c>
      <c r="O79" s="3" t="inlineStr">
        <is>
          <t>exact</t>
        </is>
      </c>
      <c r="P79" s="4" t="n"/>
      <c r="Q79" s="4" t="n"/>
      <c r="R79" s="4" t="n">
        <v>0</v>
      </c>
      <c r="S79" s="4" t="n"/>
      <c r="T79" s="4" t="n">
        <v>0</v>
      </c>
      <c r="U79" s="4" t="n">
        <v>0</v>
      </c>
      <c r="V79" s="4" t="n"/>
    </row>
    <row r="80">
      <c r="A80" t="inlineStr">
        <is>
          <t>10217567126</t>
        </is>
      </c>
      <c r="B80" s="4" t="n"/>
      <c r="C80" s="31" t="n">
        <v>0.99</v>
      </c>
      <c r="D80" s="31" t="n">
        <v>0</v>
      </c>
      <c r="E80" s="31" t="n">
        <v>0</v>
      </c>
      <c r="F80" s="31" t="n">
        <v>0</v>
      </c>
      <c r="G80" s="3" t="n">
        <v>14</v>
      </c>
      <c r="H80" s="3" t="n">
        <v>2</v>
      </c>
      <c r="I80" s="32" t="n">
        <v>0.14</v>
      </c>
      <c r="J80" s="3" t="n">
        <v>0</v>
      </c>
      <c r="K80" s="32" t="n">
        <v>0</v>
      </c>
      <c r="L80" s="32" t="n">
        <v>0</v>
      </c>
      <c r="M80" s="31" t="n">
        <v>0.49</v>
      </c>
      <c r="N80" s="3" t="inlineStr">
        <is>
          <t>Belts Manual_Optiwise</t>
        </is>
      </c>
      <c r="O80" s="3" t="inlineStr">
        <is>
          <t>exact</t>
        </is>
      </c>
      <c r="P80" s="4" t="n"/>
      <c r="Q80" s="4" t="n"/>
      <c r="R80" s="4" t="inlineStr">
        <is>
          <t>-</t>
        </is>
      </c>
      <c r="S80" s="4" t="n"/>
      <c r="T80" s="4" t="n">
        <v>0</v>
      </c>
      <c r="U80" s="4" t="n">
        <v>0</v>
      </c>
      <c r="V80" s="4" t="n"/>
    </row>
    <row r="81">
      <c r="A81" t="inlineStr">
        <is>
          <t>2996110108</t>
        </is>
      </c>
      <c r="B81" s="4" t="n"/>
      <c r="C81" s="31" t="n">
        <v>0.93</v>
      </c>
      <c r="D81" s="31" t="n">
        <v>0</v>
      </c>
      <c r="E81" s="31" t="n">
        <v>0</v>
      </c>
      <c r="F81" s="31" t="n">
        <v>0</v>
      </c>
      <c r="G81" s="3" t="n">
        <v>49</v>
      </c>
      <c r="H81" s="3" t="n">
        <v>3</v>
      </c>
      <c r="I81" s="32" t="n">
        <v>0.06</v>
      </c>
      <c r="J81" s="3" t="n">
        <v>0</v>
      </c>
      <c r="K81" s="32" t="n">
        <v>0</v>
      </c>
      <c r="L81" s="32" t="n">
        <v>0</v>
      </c>
      <c r="M81" s="31" t="n">
        <v>0.31</v>
      </c>
      <c r="N81" s="3" t="inlineStr">
        <is>
          <t>1CTMM500PK_Manual_Optiwise,Throws_Manual_Optiwise_24</t>
        </is>
      </c>
      <c r="O81" s="3" t="inlineStr">
        <is>
          <t>exact</t>
        </is>
      </c>
      <c r="P81" s="4" t="n"/>
      <c r="Q81" s="4" t="n"/>
      <c r="R81" s="4" t="inlineStr">
        <is>
          <t>-</t>
        </is>
      </c>
      <c r="S81" s="4" t="n"/>
      <c r="T81" s="4" t="n">
        <v>0</v>
      </c>
      <c r="U81" s="4" t="n">
        <v>0</v>
      </c>
      <c r="V81" s="4" t="n"/>
    </row>
    <row r="82">
      <c r="A82" t="inlineStr">
        <is>
          <t>254076592</t>
        </is>
      </c>
      <c r="B82" s="4" t="n"/>
      <c r="C82" s="31" t="n">
        <v>0.93</v>
      </c>
      <c r="D82" s="31" t="n">
        <v>0</v>
      </c>
      <c r="E82" s="31" t="n">
        <v>0</v>
      </c>
      <c r="F82" s="31" t="n">
        <v>0</v>
      </c>
      <c r="G82" s="3" t="n">
        <v>46</v>
      </c>
      <c r="H82" s="3" t="n">
        <v>3</v>
      </c>
      <c r="I82" s="32" t="n">
        <v>0.07000000000000001</v>
      </c>
      <c r="J82" s="3" t="n">
        <v>0</v>
      </c>
      <c r="K82" s="32" t="n">
        <v>0</v>
      </c>
      <c r="L82" s="32" t="n">
        <v>0</v>
      </c>
      <c r="M82" s="31" t="n">
        <v>0.31</v>
      </c>
      <c r="N82" s="3" t="inlineStr">
        <is>
          <t>1CTBF579GNCAMO_Manual_Optiwise</t>
        </is>
      </c>
      <c r="O82" s="3" t="inlineStr">
        <is>
          <t>exact</t>
        </is>
      </c>
      <c r="P82" s="4" t="n"/>
      <c r="Q82" s="4" t="n"/>
      <c r="R82" s="4" t="inlineStr">
        <is>
          <t>-</t>
        </is>
      </c>
      <c r="S82" s="4" t="n"/>
      <c r="T82" s="4" t="n">
        <v>0</v>
      </c>
      <c r="U82" s="4" t="n">
        <v>0</v>
      </c>
      <c r="V82" s="4" t="n"/>
    </row>
    <row r="83">
      <c r="A83" t="inlineStr">
        <is>
          <t>991327507</t>
        </is>
      </c>
      <c r="B83" s="4" t="n"/>
      <c r="C83" s="31" t="n">
        <v>0.93</v>
      </c>
      <c r="D83" s="31" t="n">
        <v>0</v>
      </c>
      <c r="E83" s="31" t="n">
        <v>0</v>
      </c>
      <c r="F83" s="31" t="n">
        <v>0</v>
      </c>
      <c r="G83" s="3" t="n">
        <v>67</v>
      </c>
      <c r="H83" s="3" t="n">
        <v>3</v>
      </c>
      <c r="I83" s="32" t="n">
        <v>0.04</v>
      </c>
      <c r="J83" s="3" t="n">
        <v>0</v>
      </c>
      <c r="K83" s="32" t="n">
        <v>0</v>
      </c>
      <c r="L83" s="32" t="n"/>
      <c r="M83" s="31" t="n">
        <v>0.31</v>
      </c>
      <c r="N83" s="3" t="inlineStr">
        <is>
          <t>1CTBF579GNCAMO_Manual_Optiwise,Throws_Manual_Optiwise_24</t>
        </is>
      </c>
      <c r="O83" s="3" t="inlineStr">
        <is>
          <t>exact</t>
        </is>
      </c>
      <c r="P83" s="4" t="n"/>
      <c r="Q83" s="4" t="n"/>
      <c r="R83" s="4" t="n">
        <v>0</v>
      </c>
      <c r="S83" s="4" t="n"/>
      <c r="T83" s="4" t="n">
        <v>0</v>
      </c>
      <c r="U83" s="4" t="n">
        <v>0</v>
      </c>
      <c r="V83" s="4" t="n"/>
    </row>
    <row r="84">
      <c r="A84" t="inlineStr">
        <is>
          <t>3274433183</t>
        </is>
      </c>
      <c r="B84" s="4" t="n"/>
      <c r="C84" s="31" t="n">
        <v>0.92</v>
      </c>
      <c r="D84" s="31" t="n">
        <v>0</v>
      </c>
      <c r="E84" s="31" t="n">
        <v>0</v>
      </c>
      <c r="F84" s="31" t="n">
        <v>0</v>
      </c>
      <c r="G84" s="3" t="n">
        <v>1174</v>
      </c>
      <c r="H84" s="3" t="n">
        <v>3</v>
      </c>
      <c r="I84" s="32" t="n">
        <v>0</v>
      </c>
      <c r="J84" s="3" t="n">
        <v>0</v>
      </c>
      <c r="K84" s="32" t="n">
        <v>0</v>
      </c>
      <c r="L84" s="32" t="n">
        <v>0</v>
      </c>
      <c r="M84" s="31" t="n">
        <v>0.31</v>
      </c>
      <c r="N84" s="3" t="inlineStr">
        <is>
          <t>Throws_Manual_Optiwise_24</t>
        </is>
      </c>
      <c r="O84" s="3" t="inlineStr">
        <is>
          <t>phrase</t>
        </is>
      </c>
      <c r="P84" s="4" t="n"/>
      <c r="Q84" s="4" t="n"/>
      <c r="R84" s="4" t="inlineStr">
        <is>
          <t>-</t>
        </is>
      </c>
      <c r="S84" s="4" t="n"/>
      <c r="T84" s="4" t="n">
        <v>0</v>
      </c>
      <c r="U84" s="4" t="n">
        <v>0</v>
      </c>
      <c r="V84" s="4" t="n"/>
    </row>
    <row r="85">
      <c r="A85" t="inlineStr">
        <is>
          <t>1401315127</t>
        </is>
      </c>
      <c r="B85" s="4" t="n"/>
      <c r="C85" s="31" t="n">
        <v>0.91</v>
      </c>
      <c r="D85" s="31" t="n">
        <v>0</v>
      </c>
      <c r="E85" s="31" t="n">
        <v>0</v>
      </c>
      <c r="F85" s="31" t="n">
        <v>0</v>
      </c>
      <c r="G85" s="3" t="n">
        <v>10</v>
      </c>
      <c r="H85" s="3" t="n">
        <v>3</v>
      </c>
      <c r="I85" s="32" t="n">
        <v>0.3</v>
      </c>
      <c r="J85" s="3" t="n">
        <v>0</v>
      </c>
      <c r="K85" s="32" t="n">
        <v>0</v>
      </c>
      <c r="L85" s="32" t="n">
        <v>0</v>
      </c>
      <c r="M85" s="31" t="n">
        <v>0.3</v>
      </c>
      <c r="N85" s="3" t="inlineStr">
        <is>
          <t>Manual for Waterproof Blanket--Lily,Picnic Blankets &amp; Mats_Manual_Optiwise_24</t>
        </is>
      </c>
      <c r="O85" s="3" t="inlineStr">
        <is>
          <t>exact</t>
        </is>
      </c>
      <c r="P85" s="4" t="n"/>
      <c r="Q85" s="4" t="n"/>
      <c r="R85" s="4" t="inlineStr">
        <is>
          <t>-</t>
        </is>
      </c>
      <c r="S85" s="4" t="n"/>
      <c r="T85" s="4" t="n">
        <v>0</v>
      </c>
      <c r="U85" s="4" t="n">
        <v>0</v>
      </c>
      <c r="V85" s="4" t="n"/>
    </row>
    <row r="86">
      <c r="A86" t="inlineStr">
        <is>
          <t>1545479388</t>
        </is>
      </c>
      <c r="B86" s="4" t="n"/>
      <c r="C86" s="31" t="n">
        <v>0.89</v>
      </c>
      <c r="D86" s="31" t="n">
        <v>0</v>
      </c>
      <c r="E86" s="31" t="n">
        <v>0</v>
      </c>
      <c r="F86" s="31" t="n">
        <v>0</v>
      </c>
      <c r="G86" s="3" t="n">
        <v>12</v>
      </c>
      <c r="H86" s="3" t="n">
        <v>2</v>
      </c>
      <c r="I86" s="32" t="n">
        <v>0.17</v>
      </c>
      <c r="J86" s="3" t="n">
        <v>0</v>
      </c>
      <c r="K86" s="32" t="n">
        <v>0</v>
      </c>
      <c r="L86" s="32" t="n">
        <v>0</v>
      </c>
      <c r="M86" s="31" t="n">
        <v>0.45</v>
      </c>
      <c r="N86" s="3" t="inlineStr">
        <is>
          <t>Throws_Manual_Optiwise_24</t>
        </is>
      </c>
      <c r="O86" s="3" t="inlineStr">
        <is>
          <t>phrase</t>
        </is>
      </c>
      <c r="P86" s="4" t="n"/>
      <c r="Q86" s="4" t="n"/>
      <c r="R86" s="4" t="inlineStr">
        <is>
          <t>-</t>
        </is>
      </c>
      <c r="S86" s="4" t="n"/>
      <c r="T86" s="4" t="n">
        <v>0</v>
      </c>
      <c r="U86" s="4" t="n">
        <v>0</v>
      </c>
      <c r="V86" s="4" t="n"/>
    </row>
    <row r="87">
      <c r="A87" t="inlineStr">
        <is>
          <t>1589479688</t>
        </is>
      </c>
      <c r="B87" s="4" t="n"/>
      <c r="C87" s="31" t="n">
        <v>0.88</v>
      </c>
      <c r="D87" s="31" t="n">
        <v>0</v>
      </c>
      <c r="E87" s="31" t="n">
        <v>0</v>
      </c>
      <c r="F87" s="31" t="n">
        <v>0</v>
      </c>
      <c r="G87" s="3" t="n">
        <v>2</v>
      </c>
      <c r="H87" s="3" t="n">
        <v>2</v>
      </c>
      <c r="I87" s="32" t="n">
        <v>1</v>
      </c>
      <c r="J87" s="3" t="n">
        <v>0</v>
      </c>
      <c r="K87" s="32" t="n">
        <v>0</v>
      </c>
      <c r="L87" s="32" t="n">
        <v>0</v>
      </c>
      <c r="M87" s="31" t="n">
        <v>0.44</v>
      </c>
      <c r="N87" s="3" t="inlineStr">
        <is>
          <t>Picnic Blankets &amp; Mats_Manual_Optiwise_24</t>
        </is>
      </c>
      <c r="O87" s="3" t="inlineStr">
        <is>
          <t>exact</t>
        </is>
      </c>
      <c r="P87" s="4" t="n"/>
      <c r="Q87" s="4" t="n"/>
      <c r="R87" s="4" t="inlineStr">
        <is>
          <t>-</t>
        </is>
      </c>
      <c r="S87" s="4" t="n"/>
      <c r="T87" s="4" t="n">
        <v>0</v>
      </c>
      <c r="U87" s="4" t="n">
        <v>0</v>
      </c>
      <c r="V87" s="4" t="n"/>
    </row>
    <row r="88">
      <c r="A88" t="inlineStr">
        <is>
          <t>warm, outdoor blanket</t>
        </is>
      </c>
      <c r="B88" s="4" t="n"/>
      <c r="C88" s="31" t="n">
        <v>0.88</v>
      </c>
      <c r="D88" s="31" t="n">
        <v>0</v>
      </c>
      <c r="E88" s="31" t="n">
        <v>0</v>
      </c>
      <c r="F88" s="31" t="n">
        <v>0</v>
      </c>
      <c r="G88" s="3" t="n">
        <v>2</v>
      </c>
      <c r="H88" s="3" t="n">
        <v>2</v>
      </c>
      <c r="I88" s="32" t="n">
        <v>1</v>
      </c>
      <c r="J88" s="3" t="n">
        <v>0</v>
      </c>
      <c r="K88" s="32" t="n">
        <v>0</v>
      </c>
      <c r="L88" s="32" t="n"/>
      <c r="M88" s="31" t="n">
        <v>0.44</v>
      </c>
      <c r="N88" s="3" t="inlineStr">
        <is>
          <t>1TRBW506LGDG-CDCB_Manual</t>
        </is>
      </c>
      <c r="O88" s="3" t="inlineStr">
        <is>
          <t>exact</t>
        </is>
      </c>
      <c r="P88" s="4" t="n"/>
      <c r="Q88" s="4" t="n"/>
      <c r="R88" s="4" t="n">
        <v>0</v>
      </c>
      <c r="S88" s="4" t="n"/>
      <c r="T88" s="4" t="n">
        <v>0</v>
      </c>
      <c r="U88" s="4" t="n">
        <v>0</v>
      </c>
      <c r="V88" s="4" t="n"/>
    </row>
    <row r="89">
      <c r="A89" t="inlineStr">
        <is>
          <t>873609379</t>
        </is>
      </c>
      <c r="B89" s="4" t="n"/>
      <c r="C89" s="31" t="n">
        <v>0.86</v>
      </c>
      <c r="D89" s="31" t="n">
        <v>0</v>
      </c>
      <c r="E89" s="31" t="n">
        <v>0</v>
      </c>
      <c r="F89" s="31" t="n">
        <v>0</v>
      </c>
      <c r="G89" s="3" t="n">
        <v>19</v>
      </c>
      <c r="H89" s="3" t="n">
        <v>2</v>
      </c>
      <c r="I89" s="32" t="n">
        <v>0.11</v>
      </c>
      <c r="J89" s="3" t="n">
        <v>0</v>
      </c>
      <c r="K89" s="32" t="n">
        <v>0</v>
      </c>
      <c r="L89" s="32" t="n">
        <v>0</v>
      </c>
      <c r="M89" s="31" t="n">
        <v>0.43</v>
      </c>
      <c r="N89" s="3" t="inlineStr">
        <is>
          <t>1CTBP120GY_Manual_Optiwise,Throws_Manual_Optiwise_24</t>
        </is>
      </c>
      <c r="O89" s="3" t="inlineStr">
        <is>
          <t>exact</t>
        </is>
      </c>
      <c r="P89" s="4" t="n"/>
      <c r="Q89" s="4" t="n"/>
      <c r="R89" s="4" t="inlineStr">
        <is>
          <t>-</t>
        </is>
      </c>
      <c r="S89" s="4" t="n"/>
      <c r="T89" s="4" t="n">
        <v>0</v>
      </c>
      <c r="U89" s="4" t="n">
        <v>0</v>
      </c>
      <c r="V89" s="4" t="n"/>
    </row>
    <row r="90">
      <c r="A90" t="inlineStr">
        <is>
          <t>949539753</t>
        </is>
      </c>
      <c r="B90" s="4" t="n"/>
      <c r="C90" s="31" t="n">
        <v>0.82</v>
      </c>
      <c r="D90" s="31" t="n">
        <v>0</v>
      </c>
      <c r="E90" s="31" t="n">
        <v>0</v>
      </c>
      <c r="F90" s="31" t="n">
        <v>0</v>
      </c>
      <c r="G90" s="3" t="n">
        <v>32</v>
      </c>
      <c r="H90" s="3" t="n">
        <v>2</v>
      </c>
      <c r="I90" s="32" t="n">
        <v>0.06</v>
      </c>
      <c r="J90" s="3" t="n">
        <v>0</v>
      </c>
      <c r="K90" s="32" t="n">
        <v>0</v>
      </c>
      <c r="L90" s="32" t="n">
        <v>0</v>
      </c>
      <c r="M90" s="31" t="n">
        <v>0.41</v>
      </c>
      <c r="N90" s="3" t="inlineStr">
        <is>
          <t>1CTBP120GY_Manual_Optiwise,Throws_Manual_Optiwise_24</t>
        </is>
      </c>
      <c r="O90" s="3" t="inlineStr">
        <is>
          <t>exact</t>
        </is>
      </c>
      <c r="P90" s="4" t="n"/>
      <c r="Q90" s="4" t="n"/>
      <c r="R90" s="4" t="inlineStr">
        <is>
          <t>-</t>
        </is>
      </c>
      <c r="S90" s="4" t="n"/>
      <c r="T90" s="4" t="n">
        <v>0</v>
      </c>
      <c r="U90" s="4" t="n">
        <v>0</v>
      </c>
      <c r="V90" s="4" t="n"/>
    </row>
    <row r="91">
      <c r="A91" t="inlineStr">
        <is>
          <t>girls throw blanket</t>
        </is>
      </c>
      <c r="B91" s="4" t="n"/>
      <c r="C91" s="31" t="n">
        <v>0.82</v>
      </c>
      <c r="D91" s="31" t="n">
        <v>0</v>
      </c>
      <c r="E91" s="31" t="n">
        <v>0</v>
      </c>
      <c r="F91" s="31" t="n">
        <v>0</v>
      </c>
      <c r="G91" s="3" t="n">
        <v>3</v>
      </c>
      <c r="H91" s="3" t="n">
        <v>2</v>
      </c>
      <c r="I91" s="32" t="n">
        <v>0.67</v>
      </c>
      <c r="J91" s="3" t="n">
        <v>0</v>
      </c>
      <c r="K91" s="32" t="n">
        <v>0</v>
      </c>
      <c r="L91" s="32" t="n">
        <v>0</v>
      </c>
      <c r="M91" s="31" t="n">
        <v>0.41</v>
      </c>
      <c r="N91" s="3" t="inlineStr">
        <is>
          <t>Throws_Manual_Optiwise_24</t>
        </is>
      </c>
      <c r="O91" s="3" t="inlineStr">
        <is>
          <t>phrase</t>
        </is>
      </c>
      <c r="P91" s="4" t="n"/>
      <c r="Q91" s="4" t="n"/>
      <c r="R91" s="4" t="inlineStr">
        <is>
          <t>-</t>
        </is>
      </c>
      <c r="S91" s="4" t="n"/>
      <c r="T91" s="4" t="n">
        <v>0</v>
      </c>
      <c r="U91" s="4" t="n">
        <v>0</v>
      </c>
      <c r="V91" s="4" t="n"/>
    </row>
    <row r="92">
      <c r="A92" t="inlineStr">
        <is>
          <t>footed throw blanket</t>
        </is>
      </c>
      <c r="B92" s="4" t="n"/>
      <c r="C92" s="31" t="n">
        <v>0.82</v>
      </c>
      <c r="D92" s="31" t="n">
        <v>0</v>
      </c>
      <c r="E92" s="31" t="n">
        <v>0</v>
      </c>
      <c r="F92" s="31" t="n">
        <v>0</v>
      </c>
      <c r="G92" s="3" t="n">
        <v>2</v>
      </c>
      <c r="H92" s="3" t="n">
        <v>2</v>
      </c>
      <c r="I92" s="32" t="n">
        <v>1</v>
      </c>
      <c r="J92" s="3" t="n">
        <v>0</v>
      </c>
      <c r="K92" s="32" t="n">
        <v>0</v>
      </c>
      <c r="L92" s="32" t="n">
        <v>0</v>
      </c>
      <c r="M92" s="31" t="n">
        <v>0.41</v>
      </c>
      <c r="N92" s="3" t="inlineStr">
        <is>
          <t>Throws_Manual_Optiwise_24</t>
        </is>
      </c>
      <c r="O92" s="3" t="inlineStr">
        <is>
          <t>phrase</t>
        </is>
      </c>
      <c r="P92" s="4" t="n"/>
      <c r="Q92" s="4" t="n"/>
      <c r="R92" s="4" t="inlineStr">
        <is>
          <t>-</t>
        </is>
      </c>
      <c r="S92" s="4" t="n"/>
      <c r="T92" s="4" t="n">
        <v>0</v>
      </c>
      <c r="U92" s="4" t="n">
        <v>0</v>
      </c>
      <c r="V92" s="4" t="n"/>
    </row>
    <row r="93">
      <c r="A93" t="inlineStr">
        <is>
          <t>hooded toddler throw</t>
        </is>
      </c>
      <c r="B93" s="4" t="n"/>
      <c r="C93" s="31" t="n">
        <v>0.82</v>
      </c>
      <c r="D93" s="31" t="n">
        <v>0</v>
      </c>
      <c r="E93" s="31" t="n">
        <v>0</v>
      </c>
      <c r="F93" s="31" t="n">
        <v>0</v>
      </c>
      <c r="G93" s="3" t="n">
        <v>20</v>
      </c>
      <c r="H93" s="3" t="n">
        <v>1</v>
      </c>
      <c r="I93" s="32" t="n">
        <v>0.05</v>
      </c>
      <c r="J93" s="3" t="n">
        <v>0</v>
      </c>
      <c r="K93" s="32" t="n">
        <v>0</v>
      </c>
      <c r="L93" s="32" t="n">
        <v>0</v>
      </c>
      <c r="M93" s="31" t="n">
        <v>0.82</v>
      </c>
      <c r="N93" s="3" t="inlineStr">
        <is>
          <t>Throws_Manual_Optiwise_24</t>
        </is>
      </c>
      <c r="O93" s="3" t="inlineStr">
        <is>
          <t>phrase</t>
        </is>
      </c>
      <c r="P93" s="4" t="n"/>
      <c r="Q93" s="4" t="n"/>
      <c r="R93" s="4" t="inlineStr">
        <is>
          <t>-</t>
        </is>
      </c>
      <c r="S93" s="4" t="n"/>
      <c r="T93" s="4" t="n">
        <v>0</v>
      </c>
      <c r="U93" s="4" t="n">
        <v>0</v>
      </c>
      <c r="V93" s="4" t="n"/>
    </row>
    <row r="94">
      <c r="A94" t="inlineStr">
        <is>
          <t>mushroom throws</t>
        </is>
      </c>
      <c r="B94" s="4" t="inlineStr">
        <is>
          <t>20 - 40</t>
        </is>
      </c>
      <c r="C94" s="31" t="n">
        <v>0.82</v>
      </c>
      <c r="D94" s="31" t="n">
        <v>0</v>
      </c>
      <c r="E94" s="31" t="n">
        <v>0</v>
      </c>
      <c r="F94" s="31" t="n">
        <v>0</v>
      </c>
      <c r="G94" s="3" t="n">
        <v>5</v>
      </c>
      <c r="H94" s="3" t="n">
        <v>1</v>
      </c>
      <c r="I94" s="32" t="n">
        <v>0.2</v>
      </c>
      <c r="J94" s="3" t="n">
        <v>0</v>
      </c>
      <c r="K94" s="32" t="n">
        <v>0</v>
      </c>
      <c r="L94" s="32" t="n">
        <v>0.4394</v>
      </c>
      <c r="M94" s="31" t="n">
        <v>0.82</v>
      </c>
      <c r="N94" s="3" t="inlineStr">
        <is>
          <t>Throws_Manual_Optiwise_24</t>
        </is>
      </c>
      <c r="O94" s="3" t="inlineStr">
        <is>
          <t>phrase</t>
        </is>
      </c>
      <c r="P94" s="4" t="n"/>
      <c r="Q94" s="4" t="n"/>
      <c r="R94" s="4" t="inlineStr">
        <is>
          <t>-</t>
        </is>
      </c>
      <c r="S94" s="4" t="n"/>
      <c r="T94" s="4" t="n">
        <v>0</v>
      </c>
      <c r="U94" s="4" t="n">
        <v>0</v>
      </c>
      <c r="V94" s="4" t="n"/>
    </row>
    <row r="95">
      <c r="A95" t="inlineStr">
        <is>
          <t>lounge hoodie throw with legs</t>
        </is>
      </c>
      <c r="B95" s="4" t="n"/>
      <c r="C95" s="31" t="n">
        <v>0.82</v>
      </c>
      <c r="D95" s="31" t="n">
        <v>0</v>
      </c>
      <c r="E95" s="31" t="n">
        <v>0</v>
      </c>
      <c r="F95" s="31" t="n">
        <v>0</v>
      </c>
      <c r="G95" s="3" t="n">
        <v>1</v>
      </c>
      <c r="H95" s="3" t="n">
        <v>1</v>
      </c>
      <c r="I95" s="32" t="n">
        <v>1</v>
      </c>
      <c r="J95" s="3" t="n">
        <v>0</v>
      </c>
      <c r="K95" s="32" t="n">
        <v>0</v>
      </c>
      <c r="L95" s="32" t="n">
        <v>0</v>
      </c>
      <c r="M95" s="31" t="n">
        <v>0.82</v>
      </c>
      <c r="N95" s="3" t="inlineStr">
        <is>
          <t>Throws_Manual_Optiwise_24</t>
        </is>
      </c>
      <c r="O95" s="3" t="inlineStr">
        <is>
          <t>phrase</t>
        </is>
      </c>
      <c r="P95" s="4" t="n"/>
      <c r="Q95" s="4" t="n"/>
      <c r="R95" s="4" t="inlineStr">
        <is>
          <t>-</t>
        </is>
      </c>
      <c r="S95" s="4" t="n"/>
      <c r="T95" s="4" t="n">
        <v>0</v>
      </c>
      <c r="U95" s="4" t="n">
        <v>0</v>
      </c>
      <c r="V95" s="4" t="n"/>
    </row>
    <row r="96">
      <c r="A96" t="inlineStr">
        <is>
          <t>grinch blanket throw</t>
        </is>
      </c>
      <c r="B96" s="4" t="n"/>
      <c r="C96" s="31" t="n">
        <v>0.82</v>
      </c>
      <c r="D96" s="31" t="n">
        <v>0</v>
      </c>
      <c r="E96" s="31" t="n">
        <v>0</v>
      </c>
      <c r="F96" s="31" t="n">
        <v>0</v>
      </c>
      <c r="G96" s="3" t="n">
        <v>3</v>
      </c>
      <c r="H96" s="3" t="n">
        <v>1</v>
      </c>
      <c r="I96" s="32" t="n">
        <v>0.33</v>
      </c>
      <c r="J96" s="3" t="n">
        <v>0</v>
      </c>
      <c r="K96" s="32" t="n">
        <v>0</v>
      </c>
      <c r="L96" s="32" t="n">
        <v>0</v>
      </c>
      <c r="M96" s="31" t="n">
        <v>0.82</v>
      </c>
      <c r="N96" s="3" t="inlineStr">
        <is>
          <t>Throws_Manual_Optiwise_24</t>
        </is>
      </c>
      <c r="O96" s="3" t="inlineStr">
        <is>
          <t>phrase</t>
        </is>
      </c>
      <c r="P96" s="4" t="n"/>
      <c r="Q96" s="4" t="n"/>
      <c r="R96" s="4" t="inlineStr">
        <is>
          <t>-</t>
        </is>
      </c>
      <c r="S96" s="4" t="n"/>
      <c r="T96" s="4" t="n">
        <v>0</v>
      </c>
      <c r="U96" s="4" t="n">
        <v>0</v>
      </c>
      <c r="V96" s="4" t="n"/>
    </row>
    <row r="97">
      <c r="A97" t="inlineStr">
        <is>
          <t>outdoor blankets</t>
        </is>
      </c>
      <c r="B97" s="4" t="n">
        <v>20</v>
      </c>
      <c r="C97" s="31" t="n">
        <v>0.82</v>
      </c>
      <c r="D97" s="31" t="n">
        <v>0</v>
      </c>
      <c r="E97" s="31" t="n">
        <v>0</v>
      </c>
      <c r="F97" s="31" t="n">
        <v>0</v>
      </c>
      <c r="G97" s="3" t="n">
        <v>55</v>
      </c>
      <c r="H97" s="3" t="n">
        <v>2</v>
      </c>
      <c r="I97" s="32" t="n">
        <v>0.04</v>
      </c>
      <c r="J97" s="3" t="n">
        <v>0</v>
      </c>
      <c r="K97" s="32" t="n">
        <v>0</v>
      </c>
      <c r="L97" s="32" t="n">
        <v>0</v>
      </c>
      <c r="M97" s="31" t="n">
        <v>0.41</v>
      </c>
      <c r="N97" s="3" t="inlineStr">
        <is>
          <t>1TRBW506LGDG-CDCB_Manual,Manual for Waterproof Outdoor BW--Rachel,Picnic Blankets &amp; Mats_Manual_Optiwise_24</t>
        </is>
      </c>
      <c r="O97" s="3" t="inlineStr">
        <is>
          <t>exact</t>
        </is>
      </c>
      <c r="P97" s="4" t="n">
        <v>1</v>
      </c>
      <c r="Q97" s="4" t="n">
        <v>40</v>
      </c>
      <c r="R97" s="4" t="inlineStr">
        <is>
          <t>-</t>
        </is>
      </c>
      <c r="S97" s="4" t="n"/>
      <c r="T97" s="4" t="n">
        <v>10</v>
      </c>
      <c r="U97" s="4" t="n">
        <v>0</v>
      </c>
      <c r="V97" s="4" t="inlineStr">
        <is>
          <t>888252893 - 40</t>
        </is>
      </c>
    </row>
    <row r="98">
      <c r="A98" t="inlineStr">
        <is>
          <t>picnic blankets</t>
        </is>
      </c>
      <c r="B98" s="4" t="n"/>
      <c r="C98" s="31" t="n">
        <v>0.82</v>
      </c>
      <c r="D98" s="31" t="n">
        <v>0</v>
      </c>
      <c r="E98" s="31" t="n">
        <v>0</v>
      </c>
      <c r="F98" s="31" t="n">
        <v>0</v>
      </c>
      <c r="G98" s="3" t="n">
        <v>20</v>
      </c>
      <c r="H98" s="3" t="n">
        <v>2</v>
      </c>
      <c r="I98" s="32" t="n">
        <v>0.1</v>
      </c>
      <c r="J98" s="3" t="n">
        <v>0</v>
      </c>
      <c r="K98" s="32" t="n">
        <v>0</v>
      </c>
      <c r="L98" s="32" t="n">
        <v>0</v>
      </c>
      <c r="M98" s="31" t="n">
        <v>0.41</v>
      </c>
      <c r="N98" s="3" t="inlineStr">
        <is>
          <t>1TRBW506LGDG-CDCB_Manual,Manual for Waterproof Blanket--Lily,Picnic Blankets &amp; Mats_Manual_Optiwise_24</t>
        </is>
      </c>
      <c r="O98" s="3" t="inlineStr">
        <is>
          <t>exact</t>
        </is>
      </c>
      <c r="P98" s="4" t="n"/>
      <c r="Q98" s="4" t="n"/>
      <c r="R98" s="4" t="inlineStr">
        <is>
          <t>-</t>
        </is>
      </c>
      <c r="S98" s="4" t="n"/>
      <c r="T98" s="4" t="n">
        <v>0</v>
      </c>
      <c r="U98" s="4" t="n">
        <v>0</v>
      </c>
      <c r="V98" s="4" t="n"/>
    </row>
    <row r="99">
      <c r="A99" t="inlineStr">
        <is>
          <t>wild frontier plush throw</t>
        </is>
      </c>
      <c r="B99" s="4" t="n"/>
      <c r="C99" s="31" t="n">
        <v>0.82</v>
      </c>
      <c r="D99" s="31" t="n">
        <v>0</v>
      </c>
      <c r="E99" s="31" t="n">
        <v>0</v>
      </c>
      <c r="F99" s="31" t="n">
        <v>0</v>
      </c>
      <c r="G99" s="3" t="n">
        <v>0</v>
      </c>
      <c r="H99" s="3" t="n">
        <v>2</v>
      </c>
      <c r="I99" s="32" t="n">
        <v>0</v>
      </c>
      <c r="J99" s="3" t="n">
        <v>0</v>
      </c>
      <c r="K99" s="32" t="n">
        <v>0</v>
      </c>
      <c r="L99" s="32" t="n">
        <v>0</v>
      </c>
      <c r="M99" s="31" t="n">
        <v>0.41</v>
      </c>
      <c r="N99" s="3" t="inlineStr">
        <is>
          <t>Throws_Manual_Optiwise_24</t>
        </is>
      </c>
      <c r="O99" s="3" t="inlineStr">
        <is>
          <t>phrase</t>
        </is>
      </c>
      <c r="P99" s="4" t="n"/>
      <c r="Q99" s="4" t="n"/>
      <c r="R99" s="4" t="inlineStr">
        <is>
          <t>-</t>
        </is>
      </c>
      <c r="S99" s="4" t="n"/>
      <c r="T99" s="4" t="n">
        <v>0</v>
      </c>
      <c r="U99" s="4" t="n">
        <v>0</v>
      </c>
      <c r="V99" s="4" t="n"/>
    </row>
    <row r="100">
      <c r="A100" t="inlineStr">
        <is>
          <t>5944063513</t>
        </is>
      </c>
      <c r="B100" s="4" t="n"/>
      <c r="C100" s="31" t="n">
        <v>0.82</v>
      </c>
      <c r="D100" s="31" t="n">
        <v>0</v>
      </c>
      <c r="E100" s="31" t="n">
        <v>0</v>
      </c>
      <c r="F100" s="31" t="n">
        <v>0</v>
      </c>
      <c r="G100" s="3" t="n">
        <v>13</v>
      </c>
      <c r="H100" s="3" t="n">
        <v>2</v>
      </c>
      <c r="I100" s="32" t="n">
        <v>0.15</v>
      </c>
      <c r="J100" s="3" t="n">
        <v>0</v>
      </c>
      <c r="K100" s="32" t="n">
        <v>0</v>
      </c>
      <c r="L100" s="32" t="n">
        <v>0</v>
      </c>
      <c r="M100" s="31" t="n">
        <v>0.41</v>
      </c>
      <c r="N100" s="3" t="inlineStr">
        <is>
          <t>1TRBW506LGDG-CDCB_Manual</t>
        </is>
      </c>
      <c r="O100" s="3" t="inlineStr">
        <is>
          <t>exact</t>
        </is>
      </c>
      <c r="P100" s="4" t="n"/>
      <c r="Q100" s="4" t="n"/>
      <c r="R100" s="4" t="inlineStr">
        <is>
          <t>-</t>
        </is>
      </c>
      <c r="S100" s="4" t="n"/>
      <c r="T100" s="4" t="n">
        <v>0</v>
      </c>
      <c r="U100" s="4" t="n">
        <v>0</v>
      </c>
      <c r="V100" s="4" t="n"/>
    </row>
    <row r="101">
      <c r="A101" t="inlineStr">
        <is>
          <t>5776162566</t>
        </is>
      </c>
      <c r="B101" s="4" t="n"/>
      <c r="C101" s="31" t="n">
        <v>0.82</v>
      </c>
      <c r="D101" s="31" t="n">
        <v>0</v>
      </c>
      <c r="E101" s="31" t="n">
        <v>0</v>
      </c>
      <c r="F101" s="31" t="n">
        <v>0</v>
      </c>
      <c r="G101" s="3" t="n">
        <v>26</v>
      </c>
      <c r="H101" s="3" t="n">
        <v>2</v>
      </c>
      <c r="I101" s="32" t="n">
        <v>0.08</v>
      </c>
      <c r="J101" s="3" t="n">
        <v>0</v>
      </c>
      <c r="K101" s="32" t="n">
        <v>0</v>
      </c>
      <c r="L101" s="32" t="n">
        <v>0</v>
      </c>
      <c r="M101" s="31" t="n">
        <v>0.41</v>
      </c>
      <c r="N101" s="3" t="inlineStr">
        <is>
          <t>Throws_Manual_Optiwise_24</t>
        </is>
      </c>
      <c r="O101" s="3" t="inlineStr">
        <is>
          <t>phrase</t>
        </is>
      </c>
      <c r="P101" s="4" t="n"/>
      <c r="Q101" s="4" t="n"/>
      <c r="R101" s="4" t="inlineStr">
        <is>
          <t>-</t>
        </is>
      </c>
      <c r="S101" s="4" t="n"/>
      <c r="T101" s="4" t="n">
        <v>0</v>
      </c>
      <c r="U101" s="4" t="n">
        <v>0</v>
      </c>
      <c r="V101" s="4" t="n"/>
    </row>
    <row r="102">
      <c r="A102" t="inlineStr">
        <is>
          <t>blanket with sleeves</t>
        </is>
      </c>
      <c r="B102" s="4" t="n">
        <v>10</v>
      </c>
      <c r="C102" s="31" t="n">
        <v>0.82</v>
      </c>
      <c r="D102" s="31" t="n">
        <v>0</v>
      </c>
      <c r="E102" s="31" t="n">
        <v>0</v>
      </c>
      <c r="F102" s="31" t="n">
        <v>0</v>
      </c>
      <c r="G102" s="3" t="n">
        <v>4</v>
      </c>
      <c r="H102" s="3" t="n">
        <v>2</v>
      </c>
      <c r="I102" s="32" t="n">
        <v>0.5</v>
      </c>
      <c r="J102" s="3" t="n">
        <v>0</v>
      </c>
      <c r="K102" s="32" t="n">
        <v>0</v>
      </c>
      <c r="L102" s="32" t="n"/>
      <c r="M102" s="31" t="n">
        <v>0.41</v>
      </c>
      <c r="N102" s="3" t="inlineStr">
        <is>
          <t>1CTBP120GY_Manual_Optiwise</t>
        </is>
      </c>
      <c r="O102" s="3" t="inlineStr">
        <is>
          <t>exact</t>
        </is>
      </c>
      <c r="P102" s="4" t="n">
        <v>5</v>
      </c>
      <c r="Q102" s="4" t="n">
        <v>28</v>
      </c>
      <c r="R102" s="4" t="n">
        <v>3</v>
      </c>
      <c r="S102" s="4" t="n">
        <v>4</v>
      </c>
      <c r="T102" s="4" t="n">
        <v>10</v>
      </c>
      <c r="U102" s="4" t="n">
        <v>0</v>
      </c>
      <c r="V102" s="4" t="inlineStr">
        <is>
          <t>107158532 - 40, 697188346 - 21, 364182411 - 4, 192912629 - 28, 2424108002 - 11</t>
        </is>
      </c>
    </row>
    <row r="103">
      <c r="A103" t="inlineStr">
        <is>
          <t>14259050621</t>
        </is>
      </c>
      <c r="B103" s="4" t="n"/>
      <c r="C103" s="31" t="n">
        <v>0.82</v>
      </c>
      <c r="D103" s="31" t="n">
        <v>0</v>
      </c>
      <c r="E103" s="31" t="n">
        <v>0</v>
      </c>
      <c r="F103" s="31" t="n">
        <v>0</v>
      </c>
      <c r="G103" s="3" t="n">
        <v>2</v>
      </c>
      <c r="H103" s="3" t="n">
        <v>2</v>
      </c>
      <c r="I103" s="32" t="n">
        <v>1</v>
      </c>
      <c r="J103" s="3" t="n">
        <v>0</v>
      </c>
      <c r="K103" s="32" t="n">
        <v>0</v>
      </c>
      <c r="L103" s="32" t="n">
        <v>0</v>
      </c>
      <c r="M103" s="31" t="n">
        <v>0.41</v>
      </c>
      <c r="N103" s="3" t="inlineStr">
        <is>
          <t>Throws_Manual_Optiwise_24</t>
        </is>
      </c>
      <c r="O103" s="3" t="inlineStr">
        <is>
          <t>phrase</t>
        </is>
      </c>
      <c r="P103" s="4" t="n"/>
      <c r="Q103" s="4" t="n"/>
      <c r="R103" s="4" t="inlineStr">
        <is>
          <t>-</t>
        </is>
      </c>
      <c r="S103" s="4" t="n"/>
      <c r="T103" s="4" t="n">
        <v>0</v>
      </c>
      <c r="U103" s="4" t="n">
        <v>0</v>
      </c>
      <c r="V103" s="4" t="n"/>
    </row>
    <row r="104">
      <c r="A104" t="inlineStr">
        <is>
          <t>5292273710</t>
        </is>
      </c>
      <c r="B104" s="4" t="n"/>
      <c r="C104" s="31" t="n">
        <v>0.82</v>
      </c>
      <c r="D104" s="31" t="n">
        <v>0</v>
      </c>
      <c r="E104" s="31" t="n">
        <v>0</v>
      </c>
      <c r="F104" s="31" t="n">
        <v>0</v>
      </c>
      <c r="G104" s="3" t="n">
        <v>97</v>
      </c>
      <c r="H104" s="3" t="n">
        <v>2</v>
      </c>
      <c r="I104" s="32" t="n">
        <v>0.02</v>
      </c>
      <c r="J104" s="3" t="n">
        <v>0</v>
      </c>
      <c r="K104" s="32" t="n">
        <v>0</v>
      </c>
      <c r="L104" s="32" t="n">
        <v>0</v>
      </c>
      <c r="M104" s="31" t="n">
        <v>0.41</v>
      </c>
      <c r="N104" s="3" t="inlineStr">
        <is>
          <t>Picnic Blankets &amp; Mats_Manual_Optiwise_24</t>
        </is>
      </c>
      <c r="O104" s="3" t="inlineStr">
        <is>
          <t>exact</t>
        </is>
      </c>
      <c r="P104" s="4" t="n"/>
      <c r="Q104" s="4" t="n"/>
      <c r="R104" s="4" t="inlineStr">
        <is>
          <t>-</t>
        </is>
      </c>
      <c r="S104" s="4" t="n"/>
      <c r="T104" s="4" t="n">
        <v>0</v>
      </c>
      <c r="U104" s="4" t="n">
        <v>0</v>
      </c>
      <c r="V104" s="4" t="n"/>
    </row>
    <row r="105">
      <c r="A105" t="inlineStr">
        <is>
          <t>blankets and throws clearance small</t>
        </is>
      </c>
      <c r="B105" s="4" t="n"/>
      <c r="C105" s="31" t="n">
        <v>0.82</v>
      </c>
      <c r="D105" s="31" t="n">
        <v>0</v>
      </c>
      <c r="E105" s="31" t="n">
        <v>0</v>
      </c>
      <c r="F105" s="31" t="n">
        <v>0</v>
      </c>
      <c r="G105" s="3" t="n">
        <v>3</v>
      </c>
      <c r="H105" s="3" t="n">
        <v>1</v>
      </c>
      <c r="I105" s="32" t="n">
        <v>0.33</v>
      </c>
      <c r="J105" s="3" t="n">
        <v>0</v>
      </c>
      <c r="K105" s="32" t="n">
        <v>0</v>
      </c>
      <c r="L105" s="32" t="n">
        <v>0</v>
      </c>
      <c r="M105" s="31" t="n">
        <v>0.82</v>
      </c>
      <c r="N105" s="3" t="inlineStr">
        <is>
          <t>Throws_Manual_Optiwise_24</t>
        </is>
      </c>
      <c r="O105" s="3" t="inlineStr">
        <is>
          <t>phrase</t>
        </is>
      </c>
      <c r="P105" s="4" t="n"/>
      <c r="Q105" s="4" t="n"/>
      <c r="R105" s="4" t="inlineStr">
        <is>
          <t>-</t>
        </is>
      </c>
      <c r="S105" s="4" t="n"/>
      <c r="T105" s="4" t="n">
        <v>0</v>
      </c>
      <c r="U105" s="4" t="n">
        <v>0</v>
      </c>
      <c r="V105" s="4" t="n"/>
    </row>
    <row r="106">
      <c r="A106" t="inlineStr">
        <is>
          <t>heated throws on clearance under $30.00</t>
        </is>
      </c>
      <c r="B106" s="4" t="n"/>
      <c r="C106" s="31" t="n">
        <v>0.82</v>
      </c>
      <c r="D106" s="31" t="n">
        <v>0</v>
      </c>
      <c r="E106" s="31" t="n">
        <v>0</v>
      </c>
      <c r="F106" s="31" t="n">
        <v>0</v>
      </c>
      <c r="G106" s="3" t="n">
        <v>12</v>
      </c>
      <c r="H106" s="3" t="n">
        <v>2</v>
      </c>
      <c r="I106" s="32" t="n">
        <v>0.17</v>
      </c>
      <c r="J106" s="3" t="n">
        <v>0</v>
      </c>
      <c r="K106" s="32" t="n">
        <v>0</v>
      </c>
      <c r="L106" s="32" t="n">
        <v>0</v>
      </c>
      <c r="M106" s="31" t="n">
        <v>0.41</v>
      </c>
      <c r="N106" s="3" t="inlineStr">
        <is>
          <t>Throws_Manual_Optiwise_24</t>
        </is>
      </c>
      <c r="O106" s="3" t="inlineStr">
        <is>
          <t>phrase</t>
        </is>
      </c>
      <c r="P106" s="4" t="n"/>
      <c r="Q106" s="4" t="n"/>
      <c r="R106" s="4" t="inlineStr">
        <is>
          <t>-</t>
        </is>
      </c>
      <c r="S106" s="4" t="n"/>
      <c r="T106" s="4" t="n">
        <v>0</v>
      </c>
      <c r="U106" s="4" t="n">
        <v>0</v>
      </c>
      <c r="V106" s="4" t="n"/>
    </row>
    <row r="107">
      <c r="A107" t="inlineStr">
        <is>
          <t>5243839683</t>
        </is>
      </c>
      <c r="B107" s="4" t="n"/>
      <c r="C107" s="31" t="n">
        <v>0.82</v>
      </c>
      <c r="D107" s="31" t="n">
        <v>0</v>
      </c>
      <c r="E107" s="31" t="n">
        <v>0</v>
      </c>
      <c r="F107" s="31" t="n">
        <v>0</v>
      </c>
      <c r="G107" s="3" t="n">
        <v>27</v>
      </c>
      <c r="H107" s="3" t="n">
        <v>2</v>
      </c>
      <c r="I107" s="32" t="n">
        <v>0.07000000000000001</v>
      </c>
      <c r="J107" s="3" t="n">
        <v>0</v>
      </c>
      <c r="K107" s="32" t="n">
        <v>0</v>
      </c>
      <c r="L107" s="32" t="n">
        <v>0</v>
      </c>
      <c r="M107" s="31" t="n">
        <v>0.41</v>
      </c>
      <c r="N107" s="3" t="inlineStr">
        <is>
          <t>Picnic Blankets &amp; Mats_Manual_Optiwise_24</t>
        </is>
      </c>
      <c r="O107" s="3" t="inlineStr">
        <is>
          <t>exact</t>
        </is>
      </c>
      <c r="P107" s="4" t="n"/>
      <c r="Q107" s="4" t="n"/>
      <c r="R107" s="4" t="inlineStr">
        <is>
          <t>-</t>
        </is>
      </c>
      <c r="S107" s="4" t="n"/>
      <c r="T107" s="4" t="n">
        <v>0</v>
      </c>
      <c r="U107" s="4" t="n">
        <v>0</v>
      </c>
      <c r="V107" s="4" t="n"/>
    </row>
    <row r="108">
      <c r="A108" t="inlineStr">
        <is>
          <t>5294217039</t>
        </is>
      </c>
      <c r="B108" s="4" t="n"/>
      <c r="C108" s="31" t="n">
        <v>0.82</v>
      </c>
      <c r="D108" s="31" t="n">
        <v>0</v>
      </c>
      <c r="E108" s="31" t="n">
        <v>0</v>
      </c>
      <c r="F108" s="31" t="n">
        <v>0</v>
      </c>
      <c r="G108" s="3" t="n">
        <v>8</v>
      </c>
      <c r="H108" s="3" t="n">
        <v>2</v>
      </c>
      <c r="I108" s="32" t="n">
        <v>0.25</v>
      </c>
      <c r="J108" s="3" t="n">
        <v>0</v>
      </c>
      <c r="K108" s="32" t="n">
        <v>0</v>
      </c>
      <c r="L108" s="32" t="n">
        <v>0</v>
      </c>
      <c r="M108" s="31" t="n">
        <v>0.41</v>
      </c>
      <c r="N108" s="3" t="inlineStr">
        <is>
          <t>1TRBW506LGDG-CDCB_Manual,Picnic Blankets &amp; Mats_Manual_Optiwise_24</t>
        </is>
      </c>
      <c r="O108" s="3" t="inlineStr">
        <is>
          <t>exact</t>
        </is>
      </c>
      <c r="P108" s="4" t="n"/>
      <c r="Q108" s="4" t="n"/>
      <c r="R108" s="4" t="inlineStr">
        <is>
          <t>-</t>
        </is>
      </c>
      <c r="S108" s="4" t="n"/>
      <c r="T108" s="4" t="n">
        <v>0</v>
      </c>
      <c r="U108" s="4" t="n">
        <v>0</v>
      </c>
      <c r="V108" s="4" t="n"/>
    </row>
    <row r="109">
      <c r="A109" t="inlineStr">
        <is>
          <t>beach themed throw</t>
        </is>
      </c>
      <c r="B109" s="4" t="n"/>
      <c r="C109" s="31" t="n">
        <v>0.82</v>
      </c>
      <c r="D109" s="31" t="n">
        <v>0</v>
      </c>
      <c r="E109" s="31" t="n">
        <v>0</v>
      </c>
      <c r="F109" s="31" t="n">
        <v>0</v>
      </c>
      <c r="G109" s="3" t="n">
        <v>2</v>
      </c>
      <c r="H109" s="3" t="n">
        <v>1</v>
      </c>
      <c r="I109" s="32" t="n">
        <v>0.5</v>
      </c>
      <c r="J109" s="3" t="n">
        <v>0</v>
      </c>
      <c r="K109" s="32" t="n">
        <v>0</v>
      </c>
      <c r="L109" s="32" t="n">
        <v>0</v>
      </c>
      <c r="M109" s="31" t="n">
        <v>0.82</v>
      </c>
      <c r="N109" s="3" t="inlineStr">
        <is>
          <t>Throws_Manual_Optiwise_24</t>
        </is>
      </c>
      <c r="O109" s="3" t="inlineStr">
        <is>
          <t>phrase</t>
        </is>
      </c>
      <c r="P109" s="4" t="n"/>
      <c r="Q109" s="4" t="n"/>
      <c r="R109" s="4" t="inlineStr">
        <is>
          <t>-</t>
        </is>
      </c>
      <c r="S109" s="4" t="n"/>
      <c r="T109" s="4" t="n">
        <v>0</v>
      </c>
      <c r="U109" s="4" t="n">
        <v>0</v>
      </c>
      <c r="V109" s="4" t="n"/>
    </row>
    <row r="110">
      <c r="A110" t="inlineStr">
        <is>
          <t>170548988</t>
        </is>
      </c>
      <c r="B110" s="4" t="n"/>
      <c r="C110" s="31" t="n">
        <v>0.82</v>
      </c>
      <c r="D110" s="31" t="n">
        <v>0</v>
      </c>
      <c r="E110" s="31" t="n">
        <v>0</v>
      </c>
      <c r="F110" s="31" t="n">
        <v>0</v>
      </c>
      <c r="G110" s="3" t="n">
        <v>7</v>
      </c>
      <c r="H110" s="3" t="n">
        <v>2</v>
      </c>
      <c r="I110" s="32" t="n">
        <v>0.29</v>
      </c>
      <c r="J110" s="3" t="n">
        <v>0</v>
      </c>
      <c r="K110" s="32" t="n">
        <v>0</v>
      </c>
      <c r="L110" s="32" t="n"/>
      <c r="M110" s="31" t="n">
        <v>0.41</v>
      </c>
      <c r="N110" s="3" t="inlineStr">
        <is>
          <t>Picnic Blankets &amp; Mats_Manual_Optiwise_24</t>
        </is>
      </c>
      <c r="O110" s="3" t="inlineStr">
        <is>
          <t>exact</t>
        </is>
      </c>
      <c r="P110" s="4" t="n"/>
      <c r="Q110" s="4" t="n"/>
      <c r="R110" s="4" t="n">
        <v>0</v>
      </c>
      <c r="S110" s="4" t="n"/>
      <c r="T110" s="4" t="n">
        <v>0</v>
      </c>
      <c r="U110" s="4" t="n">
        <v>0</v>
      </c>
      <c r="V110" s="4" t="n"/>
    </row>
    <row r="111">
      <c r="A111" t="inlineStr">
        <is>
          <t>8618662459</t>
        </is>
      </c>
      <c r="B111" s="4" t="n"/>
      <c r="C111" s="31" t="n">
        <v>0.82</v>
      </c>
      <c r="D111" s="31" t="n">
        <v>0</v>
      </c>
      <c r="E111" s="31" t="n">
        <v>0</v>
      </c>
      <c r="F111" s="31" t="n">
        <v>0</v>
      </c>
      <c r="G111" s="3" t="n">
        <v>195</v>
      </c>
      <c r="H111" s="3" t="n">
        <v>2</v>
      </c>
      <c r="I111" s="32" t="n">
        <v>0.01</v>
      </c>
      <c r="J111" s="3" t="n">
        <v>0</v>
      </c>
      <c r="K111" s="32" t="n">
        <v>0</v>
      </c>
      <c r="L111" s="32" t="n">
        <v>0</v>
      </c>
      <c r="M111" s="31" t="n">
        <v>0.41</v>
      </c>
      <c r="N111" s="3" t="inlineStr">
        <is>
          <t>Throws_Manual_Optiwise_24</t>
        </is>
      </c>
      <c r="O111" s="3" t="inlineStr">
        <is>
          <t>phrase</t>
        </is>
      </c>
      <c r="P111" s="4" t="n"/>
      <c r="Q111" s="4" t="n"/>
      <c r="R111" s="4" t="inlineStr">
        <is>
          <t>-</t>
        </is>
      </c>
      <c r="S111" s="4" t="n"/>
      <c r="T111" s="4" t="n">
        <v>0</v>
      </c>
      <c r="U111" s="4" t="n">
        <v>0</v>
      </c>
      <c r="V111" s="4" t="n"/>
    </row>
    <row r="112">
      <c r="A112" t="inlineStr">
        <is>
          <t>5286832959</t>
        </is>
      </c>
      <c r="B112" s="4" t="n"/>
      <c r="C112" s="31" t="n">
        <v>0.82</v>
      </c>
      <c r="D112" s="31" t="n">
        <v>0</v>
      </c>
      <c r="E112" s="31" t="n">
        <v>0</v>
      </c>
      <c r="F112" s="31" t="n">
        <v>0</v>
      </c>
      <c r="G112" s="3" t="n">
        <v>11</v>
      </c>
      <c r="H112" s="3" t="n">
        <v>2</v>
      </c>
      <c r="I112" s="32" t="n">
        <v>0.18</v>
      </c>
      <c r="J112" s="3" t="n">
        <v>0</v>
      </c>
      <c r="K112" s="32" t="n">
        <v>0</v>
      </c>
      <c r="L112" s="32" t="n"/>
      <c r="M112" s="31" t="n">
        <v>0.41</v>
      </c>
      <c r="N112" s="3" t="inlineStr">
        <is>
          <t>Picnic Blankets &amp; Mats_Manual_Optiwise_24</t>
        </is>
      </c>
      <c r="O112" s="3" t="inlineStr">
        <is>
          <t>exact</t>
        </is>
      </c>
      <c r="P112" s="4" t="n"/>
      <c r="Q112" s="4" t="n"/>
      <c r="R112" s="4" t="n">
        <v>0</v>
      </c>
      <c r="S112" s="4" t="n"/>
      <c r="T112" s="4" t="n">
        <v>0</v>
      </c>
      <c r="U112" s="4" t="n">
        <v>0</v>
      </c>
      <c r="V112" s="4" t="n"/>
    </row>
    <row r="113">
      <c r="A113" t="inlineStr">
        <is>
          <t>610849196</t>
        </is>
      </c>
      <c r="B113" s="4" t="n"/>
      <c r="C113" s="31" t="n">
        <v>0.82</v>
      </c>
      <c r="D113" s="31" t="n">
        <v>51.98</v>
      </c>
      <c r="E113" s="31" t="n">
        <v>0</v>
      </c>
      <c r="F113" s="31" t="n">
        <v>63.39</v>
      </c>
      <c r="G113" s="3" t="n">
        <v>3</v>
      </c>
      <c r="H113" s="3" t="n">
        <v>1</v>
      </c>
      <c r="I113" s="32" t="n">
        <v>0.33</v>
      </c>
      <c r="J113" s="3" t="n">
        <v>2</v>
      </c>
      <c r="K113" s="32" t="n">
        <v>2</v>
      </c>
      <c r="L113" s="32" t="n">
        <v>0</v>
      </c>
      <c r="M113" s="31" t="n">
        <v>0.82</v>
      </c>
      <c r="N113" s="3" t="inlineStr">
        <is>
          <t>Throws_Manual_Optiwise_24</t>
        </is>
      </c>
      <c r="O113" s="3" t="inlineStr">
        <is>
          <t>phrase</t>
        </is>
      </c>
      <c r="P113" s="4" t="n"/>
      <c r="Q113" s="4" t="n"/>
      <c r="R113" s="4" t="inlineStr">
        <is>
          <t>-</t>
        </is>
      </c>
      <c r="S113" s="4" t="n"/>
      <c r="T113" s="4" t="n">
        <v>0</v>
      </c>
      <c r="U113" s="4" t="n">
        <v>0</v>
      </c>
      <c r="V113" s="4" t="n"/>
    </row>
    <row r="114">
      <c r="A114" t="inlineStr">
        <is>
          <t>702705753</t>
        </is>
      </c>
      <c r="B114" s="4" t="n"/>
      <c r="C114" s="31" t="n">
        <v>0.82</v>
      </c>
      <c r="D114" s="31" t="n">
        <v>0</v>
      </c>
      <c r="E114" s="31" t="n">
        <v>0</v>
      </c>
      <c r="F114" s="31" t="n">
        <v>0</v>
      </c>
      <c r="G114" s="3" t="n">
        <v>1</v>
      </c>
      <c r="H114" s="3" t="n">
        <v>1</v>
      </c>
      <c r="I114" s="32" t="n">
        <v>1</v>
      </c>
      <c r="J114" s="3" t="n">
        <v>0</v>
      </c>
      <c r="K114" s="32" t="n">
        <v>0</v>
      </c>
      <c r="L114" s="32" t="n">
        <v>0</v>
      </c>
      <c r="M114" s="31" t="n">
        <v>0.82</v>
      </c>
      <c r="N114" s="3" t="inlineStr">
        <is>
          <t>Throws_Manual_Optiwise_24</t>
        </is>
      </c>
      <c r="O114" s="3" t="inlineStr">
        <is>
          <t>phrase</t>
        </is>
      </c>
      <c r="P114" s="4" t="n"/>
      <c r="Q114" s="4" t="n"/>
      <c r="R114" s="4" t="inlineStr">
        <is>
          <t>-</t>
        </is>
      </c>
      <c r="S114" s="4" t="n"/>
      <c r="T114" s="4" t="n">
        <v>0</v>
      </c>
      <c r="U114" s="4" t="n">
        <v>0</v>
      </c>
      <c r="V114" s="4" t="n"/>
    </row>
    <row r="115">
      <c r="A115" t="inlineStr">
        <is>
          <t>14356620314</t>
        </is>
      </c>
      <c r="B115" s="4" t="n"/>
      <c r="C115" s="31" t="n">
        <v>0.82</v>
      </c>
      <c r="D115" s="31" t="n">
        <v>0</v>
      </c>
      <c r="E115" s="31" t="n">
        <v>0</v>
      </c>
      <c r="F115" s="31" t="n">
        <v>0</v>
      </c>
      <c r="G115" s="3" t="n">
        <v>24</v>
      </c>
      <c r="H115" s="3" t="n">
        <v>2</v>
      </c>
      <c r="I115" s="32" t="n">
        <v>0.08</v>
      </c>
      <c r="J115" s="3" t="n">
        <v>0</v>
      </c>
      <c r="K115" s="32" t="n">
        <v>0</v>
      </c>
      <c r="L115" s="32" t="n"/>
      <c r="M115" s="31" t="n">
        <v>0.41</v>
      </c>
      <c r="N115" s="3" t="inlineStr">
        <is>
          <t>Picnic Blankets &amp; Mats_Manual_Optiwise_24</t>
        </is>
      </c>
      <c r="O115" s="3" t="inlineStr">
        <is>
          <t>exact</t>
        </is>
      </c>
      <c r="P115" s="4" t="n"/>
      <c r="Q115" s="4" t="n"/>
      <c r="R115" s="4" t="n">
        <v>0</v>
      </c>
      <c r="S115" s="4" t="n"/>
      <c r="T115" s="4" t="n">
        <v>0</v>
      </c>
      <c r="U115" s="4" t="n">
        <v>0</v>
      </c>
      <c r="V115" s="4" t="n"/>
    </row>
    <row r="116">
      <c r="A116" t="inlineStr">
        <is>
          <t>5534594899</t>
        </is>
      </c>
      <c r="B116" s="4" t="n"/>
      <c r="C116" s="31" t="n">
        <v>0.82</v>
      </c>
      <c r="D116" s="31" t="n">
        <v>0</v>
      </c>
      <c r="E116" s="31" t="n">
        <v>0</v>
      </c>
      <c r="F116" s="31" t="n">
        <v>0</v>
      </c>
      <c r="G116" s="3" t="n">
        <v>22</v>
      </c>
      <c r="H116" s="3" t="n">
        <v>2</v>
      </c>
      <c r="I116" s="32" t="n">
        <v>0.09</v>
      </c>
      <c r="J116" s="3" t="n">
        <v>0</v>
      </c>
      <c r="K116" s="32" t="n">
        <v>0</v>
      </c>
      <c r="L116" s="32" t="n">
        <v>0</v>
      </c>
      <c r="M116" s="31" t="n">
        <v>0.41</v>
      </c>
      <c r="N116" s="3" t="inlineStr">
        <is>
          <t>Throws_Manual_Optiwise_24</t>
        </is>
      </c>
      <c r="O116" s="3" t="inlineStr">
        <is>
          <t>phrase</t>
        </is>
      </c>
      <c r="P116" s="4" t="n"/>
      <c r="Q116" s="4" t="n"/>
      <c r="R116" s="4" t="inlineStr">
        <is>
          <t>-</t>
        </is>
      </c>
      <c r="S116" s="4" t="n"/>
      <c r="T116" s="4" t="n">
        <v>0</v>
      </c>
      <c r="U116" s="4" t="n">
        <v>0</v>
      </c>
      <c r="V116" s="4" t="n"/>
    </row>
    <row r="117">
      <c r="A117" t="inlineStr">
        <is>
          <t>1324704566</t>
        </is>
      </c>
      <c r="B117" s="4" t="n"/>
      <c r="C117" s="31" t="n">
        <v>0.82</v>
      </c>
      <c r="D117" s="31" t="n">
        <v>0</v>
      </c>
      <c r="E117" s="31" t="n">
        <v>0</v>
      </c>
      <c r="F117" s="31" t="n">
        <v>0</v>
      </c>
      <c r="G117" s="3" t="n">
        <v>7</v>
      </c>
      <c r="H117" s="3" t="n">
        <v>2</v>
      </c>
      <c r="I117" s="32" t="n">
        <v>0.29</v>
      </c>
      <c r="J117" s="3" t="n">
        <v>0</v>
      </c>
      <c r="K117" s="32" t="n">
        <v>0</v>
      </c>
      <c r="L117" s="32" t="n">
        <v>0</v>
      </c>
      <c r="M117" s="31" t="n">
        <v>0.41</v>
      </c>
      <c r="N117" s="3" t="inlineStr">
        <is>
          <t>Throws_Manual_Optiwise_24</t>
        </is>
      </c>
      <c r="O117" s="3" t="inlineStr">
        <is>
          <t>phrase</t>
        </is>
      </c>
      <c r="P117" s="4" t="n"/>
      <c r="Q117" s="4" t="n"/>
      <c r="R117" s="4" t="inlineStr">
        <is>
          <t>-</t>
        </is>
      </c>
      <c r="S117" s="4" t="n"/>
      <c r="T117" s="4" t="n">
        <v>0</v>
      </c>
      <c r="U117" s="4" t="n">
        <v>0</v>
      </c>
      <c r="V117" s="4" t="n"/>
    </row>
    <row r="118">
      <c r="A118" t="inlineStr">
        <is>
          <t>14993904215</t>
        </is>
      </c>
      <c r="B118" s="4" t="n"/>
      <c r="C118" s="31" t="n">
        <v>0.82</v>
      </c>
      <c r="D118" s="31" t="n">
        <v>0</v>
      </c>
      <c r="E118" s="31" t="n">
        <v>0</v>
      </c>
      <c r="F118" s="31" t="n">
        <v>0</v>
      </c>
      <c r="G118" s="3" t="n">
        <v>10</v>
      </c>
      <c r="H118" s="3" t="n">
        <v>2</v>
      </c>
      <c r="I118" s="32" t="n">
        <v>0.2</v>
      </c>
      <c r="J118" s="3" t="n">
        <v>0</v>
      </c>
      <c r="K118" s="32" t="n">
        <v>0</v>
      </c>
      <c r="L118" s="32" t="n"/>
      <c r="M118" s="31" t="n">
        <v>0.41</v>
      </c>
      <c r="N118" s="3" t="inlineStr">
        <is>
          <t>Picnic Blankets &amp; Mats_Manual_Optiwise_24</t>
        </is>
      </c>
      <c r="O118" s="3" t="inlineStr">
        <is>
          <t>exact</t>
        </is>
      </c>
      <c r="P118" s="4" t="n"/>
      <c r="Q118" s="4" t="n"/>
      <c r="R118" s="4" t="n">
        <v>0</v>
      </c>
      <c r="S118" s="4" t="n"/>
      <c r="T118" s="4" t="n">
        <v>0</v>
      </c>
      <c r="U118" s="4" t="n">
        <v>0</v>
      </c>
      <c r="V118" s="4" t="n"/>
    </row>
    <row r="119">
      <c r="A119" t="inlineStr">
        <is>
          <t>306725543</t>
        </is>
      </c>
      <c r="B119" s="4" t="n"/>
      <c r="C119" s="31" t="n">
        <v>0.82</v>
      </c>
      <c r="D119" s="31" t="n">
        <v>0</v>
      </c>
      <c r="E119" s="31" t="n">
        <v>0</v>
      </c>
      <c r="F119" s="31" t="n">
        <v>0</v>
      </c>
      <c r="G119" s="3" t="n">
        <v>2</v>
      </c>
      <c r="H119" s="3" t="n">
        <v>2</v>
      </c>
      <c r="I119" s="32" t="n">
        <v>1</v>
      </c>
      <c r="J119" s="3" t="n">
        <v>0</v>
      </c>
      <c r="K119" s="32" t="n">
        <v>0</v>
      </c>
      <c r="L119" s="32" t="n">
        <v>0</v>
      </c>
      <c r="M119" s="31" t="n">
        <v>0.41</v>
      </c>
      <c r="N119" s="3" t="inlineStr">
        <is>
          <t>Throws_Manual_Optiwise_24</t>
        </is>
      </c>
      <c r="O119" s="3" t="inlineStr">
        <is>
          <t>phrase</t>
        </is>
      </c>
      <c r="P119" s="4" t="n"/>
      <c r="Q119" s="4" t="n"/>
      <c r="R119" s="4" t="inlineStr">
        <is>
          <t>-</t>
        </is>
      </c>
      <c r="S119" s="4" t="n"/>
      <c r="T119" s="4" t="n">
        <v>0</v>
      </c>
      <c r="U119" s="4" t="n">
        <v>0</v>
      </c>
      <c r="V119" s="4" t="n"/>
    </row>
    <row r="120">
      <c r="A120" t="inlineStr">
        <is>
          <t>magnificent scented throw blanket</t>
        </is>
      </c>
      <c r="B120" s="4" t="n"/>
      <c r="C120" s="31" t="n">
        <v>0.82</v>
      </c>
      <c r="D120" s="31" t="n">
        <v>0</v>
      </c>
      <c r="E120" s="31" t="n">
        <v>0</v>
      </c>
      <c r="F120" s="31" t="n">
        <v>0</v>
      </c>
      <c r="G120" s="3" t="n">
        <v>73</v>
      </c>
      <c r="H120" s="3" t="n">
        <v>2</v>
      </c>
      <c r="I120" s="32" t="n">
        <v>0.03</v>
      </c>
      <c r="J120" s="3" t="n">
        <v>0</v>
      </c>
      <c r="K120" s="32" t="n">
        <v>0</v>
      </c>
      <c r="L120" s="32" t="n">
        <v>0</v>
      </c>
      <c r="M120" s="31" t="n">
        <v>0.41</v>
      </c>
      <c r="N120" s="3" t="inlineStr">
        <is>
          <t>Throws_Manual_Optiwise_24</t>
        </is>
      </c>
      <c r="O120" s="3" t="inlineStr">
        <is>
          <t>phrase</t>
        </is>
      </c>
      <c r="P120" s="4" t="n"/>
      <c r="Q120" s="4" t="n"/>
      <c r="R120" s="4" t="inlineStr">
        <is>
          <t>-</t>
        </is>
      </c>
      <c r="S120" s="4" t="n"/>
      <c r="T120" s="4" t="n">
        <v>0</v>
      </c>
      <c r="U120" s="4" t="n">
        <v>0</v>
      </c>
      <c r="V120" s="4" t="n"/>
    </row>
    <row r="121">
      <c r="A121" t="inlineStr">
        <is>
          <t>weearable throw</t>
        </is>
      </c>
      <c r="B121" s="4" t="n"/>
      <c r="C121" s="31" t="n">
        <v>0.82</v>
      </c>
      <c r="D121" s="31" t="n">
        <v>0</v>
      </c>
      <c r="E121" s="31" t="n">
        <v>0</v>
      </c>
      <c r="F121" s="31" t="n">
        <v>0</v>
      </c>
      <c r="G121" s="3" t="n">
        <v>56</v>
      </c>
      <c r="H121" s="3" t="n">
        <v>2</v>
      </c>
      <c r="I121" s="32" t="n">
        <v>0.04</v>
      </c>
      <c r="J121" s="3" t="n">
        <v>0</v>
      </c>
      <c r="K121" s="32" t="n">
        <v>0</v>
      </c>
      <c r="L121" s="32" t="n">
        <v>0</v>
      </c>
      <c r="M121" s="31" t="n">
        <v>0.41</v>
      </c>
      <c r="N121" s="3" t="inlineStr">
        <is>
          <t>Throws_Manual_Optiwise_24</t>
        </is>
      </c>
      <c r="O121" s="3" t="inlineStr">
        <is>
          <t>phrase</t>
        </is>
      </c>
      <c r="P121" s="4" t="n"/>
      <c r="Q121" s="4" t="n"/>
      <c r="R121" s="4" t="inlineStr">
        <is>
          <t>-</t>
        </is>
      </c>
      <c r="S121" s="4" t="n"/>
      <c r="T121" s="4" t="n">
        <v>0</v>
      </c>
      <c r="U121" s="4" t="n">
        <v>0</v>
      </c>
      <c r="V121" s="4" t="n"/>
    </row>
    <row r="122">
      <c r="A122" t="inlineStr">
        <is>
          <t>14745156645</t>
        </is>
      </c>
      <c r="B122" s="4" t="n"/>
      <c r="C122" s="31" t="n">
        <v>0.82</v>
      </c>
      <c r="D122" s="31" t="n">
        <v>0</v>
      </c>
      <c r="E122" s="31" t="n">
        <v>0</v>
      </c>
      <c r="F122" s="31" t="n">
        <v>0</v>
      </c>
      <c r="G122" s="3" t="n">
        <v>0</v>
      </c>
      <c r="H122" s="3" t="n">
        <v>1</v>
      </c>
      <c r="I122" s="32" t="n">
        <v>0</v>
      </c>
      <c r="J122" s="3" t="n">
        <v>0</v>
      </c>
      <c r="K122" s="32" t="n">
        <v>0</v>
      </c>
      <c r="L122" s="32" t="n">
        <v>0</v>
      </c>
      <c r="M122" s="31" t="n">
        <v>0.82</v>
      </c>
      <c r="N122" s="3" t="inlineStr">
        <is>
          <t>Throws_Manual_Optiwise_24</t>
        </is>
      </c>
      <c r="O122" s="3" t="inlineStr">
        <is>
          <t>phrase</t>
        </is>
      </c>
      <c r="P122" s="4" t="n"/>
      <c r="Q122" s="4" t="n"/>
      <c r="R122" s="4" t="inlineStr">
        <is>
          <t>-</t>
        </is>
      </c>
      <c r="S122" s="4" t="n"/>
      <c r="T122" s="4" t="n">
        <v>0</v>
      </c>
      <c r="U122" s="4" t="n">
        <v>0</v>
      </c>
      <c r="V122" s="4" t="n"/>
    </row>
    <row r="123">
      <c r="A123" t="inlineStr">
        <is>
          <t>10136974391</t>
        </is>
      </c>
      <c r="B123" s="4" t="n"/>
      <c r="C123" s="31" t="n">
        <v>0.82</v>
      </c>
      <c r="D123" s="31" t="n">
        <v>0</v>
      </c>
      <c r="E123" s="31" t="n">
        <v>0</v>
      </c>
      <c r="F123" s="31" t="n">
        <v>0</v>
      </c>
      <c r="G123" s="3" t="n">
        <v>152</v>
      </c>
      <c r="H123" s="3" t="n">
        <v>2</v>
      </c>
      <c r="I123" s="32" t="n">
        <v>0.01</v>
      </c>
      <c r="J123" s="3" t="n">
        <v>0</v>
      </c>
      <c r="K123" s="32" t="n">
        <v>0</v>
      </c>
      <c r="L123" s="32" t="n"/>
      <c r="M123" s="31" t="n">
        <v>0.41</v>
      </c>
      <c r="N123" s="3" t="inlineStr">
        <is>
          <t>1TRBW506LGDG-CDCB_Manual,Picnic Blankets &amp; Mats_Manual_Optiwise_24</t>
        </is>
      </c>
      <c r="O123" s="3" t="inlineStr">
        <is>
          <t>exact</t>
        </is>
      </c>
      <c r="P123" s="4" t="n"/>
      <c r="Q123" s="4" t="n"/>
      <c r="R123" s="4" t="n">
        <v>0</v>
      </c>
      <c r="S123" s="4" t="n"/>
      <c r="T123" s="4" t="n">
        <v>0</v>
      </c>
      <c r="U123" s="4" t="n">
        <v>0</v>
      </c>
      <c r="V123" s="4" t="n"/>
    </row>
    <row r="124">
      <c r="A124" t="inlineStr">
        <is>
          <t>158344559</t>
        </is>
      </c>
      <c r="B124" s="4" t="n"/>
      <c r="C124" s="31" t="n">
        <v>0.8100000000000001</v>
      </c>
      <c r="D124" s="31" t="n">
        <v>0</v>
      </c>
      <c r="E124" s="31" t="n">
        <v>0</v>
      </c>
      <c r="F124" s="31" t="n">
        <v>0</v>
      </c>
      <c r="G124" s="3" t="n">
        <v>11</v>
      </c>
      <c r="H124" s="3" t="n">
        <v>2</v>
      </c>
      <c r="I124" s="32" t="n">
        <v>0.18</v>
      </c>
      <c r="J124" s="3" t="n">
        <v>0</v>
      </c>
      <c r="K124" s="32" t="n">
        <v>0</v>
      </c>
      <c r="L124" s="32" t="n">
        <v>0</v>
      </c>
      <c r="M124" s="31" t="n">
        <v>0.41</v>
      </c>
      <c r="N124" s="3" t="inlineStr">
        <is>
          <t>1WMBM109-BLGY,Picnic Blankets &amp; Mats_Manual_Optiwise_24</t>
        </is>
      </c>
      <c r="O124" s="3" t="inlineStr">
        <is>
          <t>exact</t>
        </is>
      </c>
      <c r="P124" s="4" t="n"/>
      <c r="Q124" s="4" t="n"/>
      <c r="R124" s="4" t="inlineStr">
        <is>
          <t>-</t>
        </is>
      </c>
      <c r="S124" s="4" t="n"/>
      <c r="T124" s="4" t="n">
        <v>0</v>
      </c>
      <c r="U124" s="4" t="n">
        <v>0</v>
      </c>
      <c r="V124" s="4" t="n"/>
    </row>
    <row r="125">
      <c r="A125" t="inlineStr">
        <is>
          <t>537705451</t>
        </is>
      </c>
      <c r="B125" s="4" t="n"/>
      <c r="C125" s="31" t="n">
        <v>0.8100000000000001</v>
      </c>
      <c r="D125" s="31" t="n">
        <v>0</v>
      </c>
      <c r="E125" s="31" t="n">
        <v>0</v>
      </c>
      <c r="F125" s="31" t="n">
        <v>0</v>
      </c>
      <c r="G125" s="3" t="n">
        <v>5</v>
      </c>
      <c r="H125" s="3" t="n">
        <v>2</v>
      </c>
      <c r="I125" s="32" t="n">
        <v>0.4</v>
      </c>
      <c r="J125" s="3" t="n">
        <v>0</v>
      </c>
      <c r="K125" s="32" t="n">
        <v>0</v>
      </c>
      <c r="L125" s="32" t="n">
        <v>0</v>
      </c>
      <c r="M125" s="31" t="n">
        <v>0.41</v>
      </c>
      <c r="N125" s="3" t="inlineStr">
        <is>
          <t>Throws_Manual_Optiwise_24</t>
        </is>
      </c>
      <c r="O125" s="3" t="inlineStr">
        <is>
          <t>phrase</t>
        </is>
      </c>
      <c r="P125" s="4" t="n"/>
      <c r="Q125" s="4" t="n"/>
      <c r="R125" s="4" t="inlineStr">
        <is>
          <t>-</t>
        </is>
      </c>
      <c r="S125" s="4" t="n"/>
      <c r="T125" s="4" t="n">
        <v>0</v>
      </c>
      <c r="U125" s="4" t="n">
        <v>0</v>
      </c>
      <c r="V125" s="4" t="n"/>
    </row>
    <row r="126">
      <c r="A126" t="inlineStr">
        <is>
          <t>651862493</t>
        </is>
      </c>
      <c r="B126" s="4" t="n"/>
      <c r="C126" s="31" t="n">
        <v>0.8</v>
      </c>
      <c r="D126" s="31" t="n">
        <v>0</v>
      </c>
      <c r="E126" s="31" t="n">
        <v>0</v>
      </c>
      <c r="F126" s="31" t="n">
        <v>0</v>
      </c>
      <c r="G126" s="3" t="n">
        <v>4</v>
      </c>
      <c r="H126" s="3" t="n">
        <v>1</v>
      </c>
      <c r="I126" s="32" t="n">
        <v>0.25</v>
      </c>
      <c r="J126" s="3" t="n">
        <v>0</v>
      </c>
      <c r="K126" s="32" t="n">
        <v>0</v>
      </c>
      <c r="L126" s="32" t="n">
        <v>0</v>
      </c>
      <c r="M126" s="31" t="n">
        <v>0.8</v>
      </c>
      <c r="N126" s="3" t="inlineStr">
        <is>
          <t>1WMBM109-BLGY</t>
        </is>
      </c>
      <c r="O126" s="3" t="inlineStr">
        <is>
          <t>exact</t>
        </is>
      </c>
      <c r="P126" s="4" t="n"/>
      <c r="Q126" s="4" t="n"/>
      <c r="R126" s="4" t="inlineStr">
        <is>
          <t>-</t>
        </is>
      </c>
      <c r="S126" s="4" t="n"/>
      <c r="T126" s="4" t="n">
        <v>0</v>
      </c>
      <c r="U126" s="4" t="n">
        <v>0</v>
      </c>
      <c r="V126" s="4" t="n"/>
    </row>
    <row r="127">
      <c r="A127" t="inlineStr">
        <is>
          <t>sand-proof-beach-blanket</t>
        </is>
      </c>
      <c r="B127" s="4" t="n"/>
      <c r="C127" s="31" t="n">
        <v>0.8</v>
      </c>
      <c r="D127" s="31" t="n">
        <v>0</v>
      </c>
      <c r="E127" s="31" t="n">
        <v>0</v>
      </c>
      <c r="F127" s="31" t="n">
        <v>0</v>
      </c>
      <c r="G127" s="3" t="n">
        <v>6</v>
      </c>
      <c r="H127" s="3" t="n">
        <v>1</v>
      </c>
      <c r="I127" s="32" t="n">
        <v>0.17</v>
      </c>
      <c r="J127" s="3" t="n">
        <v>0</v>
      </c>
      <c r="K127" s="32" t="n">
        <v>0</v>
      </c>
      <c r="L127" s="32" t="n">
        <v>0</v>
      </c>
      <c r="M127" s="31" t="n">
        <v>0.8</v>
      </c>
      <c r="N127" s="3" t="inlineStr">
        <is>
          <t>1WMBM109-BLGY</t>
        </is>
      </c>
      <c r="O127" s="3" t="inlineStr">
        <is>
          <t>exact</t>
        </is>
      </c>
      <c r="P127" s="4" t="n"/>
      <c r="Q127" s="4" t="n"/>
      <c r="R127" s="4" t="inlineStr">
        <is>
          <t>-</t>
        </is>
      </c>
      <c r="S127" s="4" t="n"/>
      <c r="T127" s="4" t="n">
        <v>0</v>
      </c>
      <c r="U127" s="4" t="n">
        <v>0</v>
      </c>
      <c r="V127" s="4" t="n"/>
    </row>
    <row r="128">
      <c r="A128" t="inlineStr">
        <is>
          <t>5487102253</t>
        </is>
      </c>
      <c r="B128" s="4" t="n"/>
      <c r="C128" s="31" t="n">
        <v>0.79</v>
      </c>
      <c r="D128" s="31" t="n">
        <v>0</v>
      </c>
      <c r="E128" s="31" t="n">
        <v>0</v>
      </c>
      <c r="F128" s="31" t="n">
        <v>0</v>
      </c>
      <c r="G128" s="3" t="n">
        <v>239</v>
      </c>
      <c r="H128" s="3" t="n">
        <v>1</v>
      </c>
      <c r="I128" s="32" t="n">
        <v>0</v>
      </c>
      <c r="J128" s="3" t="n">
        <v>0</v>
      </c>
      <c r="K128" s="32" t="n">
        <v>0</v>
      </c>
      <c r="L128" s="32" t="n">
        <v>0</v>
      </c>
      <c r="M128" s="31" t="n">
        <v>0.79</v>
      </c>
      <c r="N128" s="3" t="inlineStr">
        <is>
          <t>Throws_Manual_Optiwise_24</t>
        </is>
      </c>
      <c r="O128" s="3" t="inlineStr">
        <is>
          <t>phrase</t>
        </is>
      </c>
      <c r="P128" s="4" t="n"/>
      <c r="Q128" s="4" t="n"/>
      <c r="R128" s="4" t="inlineStr">
        <is>
          <t>-</t>
        </is>
      </c>
      <c r="S128" s="4" t="n"/>
      <c r="T128" s="4" t="n">
        <v>0</v>
      </c>
      <c r="U128" s="4" t="n">
        <v>0</v>
      </c>
      <c r="V128" s="4" t="n"/>
    </row>
    <row r="129">
      <c r="A129" t="inlineStr">
        <is>
          <t>mermaid tails blankets</t>
        </is>
      </c>
      <c r="B129" s="4" t="n"/>
      <c r="C129" s="31" t="n">
        <v>0.78</v>
      </c>
      <c r="D129" s="31" t="n">
        <v>0</v>
      </c>
      <c r="E129" s="31" t="n">
        <v>0</v>
      </c>
      <c r="F129" s="31" t="n">
        <v>0</v>
      </c>
      <c r="G129" s="3" t="n">
        <v>9</v>
      </c>
      <c r="H129" s="3" t="n">
        <v>2</v>
      </c>
      <c r="I129" s="32" t="n">
        <v>0.22</v>
      </c>
      <c r="J129" s="3" t="n">
        <v>0</v>
      </c>
      <c r="K129" s="32" t="n">
        <v>0</v>
      </c>
      <c r="L129" s="32" t="n">
        <v>0</v>
      </c>
      <c r="M129" s="31" t="n">
        <v>0.39</v>
      </c>
      <c r="N129" s="3" t="inlineStr">
        <is>
          <t>1CTMM500PK_Manual_Optiwise,Throws_Manual_Optiwise_24</t>
        </is>
      </c>
      <c r="O129" s="3" t="inlineStr">
        <is>
          <t>exact</t>
        </is>
      </c>
      <c r="P129" s="4" t="n"/>
      <c r="Q129" s="4" t="n"/>
      <c r="R129" s="4" t="inlineStr">
        <is>
          <t>-</t>
        </is>
      </c>
      <c r="S129" s="4" t="n"/>
      <c r="T129" s="4" t="n">
        <v>0</v>
      </c>
      <c r="U129" s="4" t="n">
        <v>0</v>
      </c>
      <c r="V129" s="4" t="n"/>
    </row>
    <row r="130">
      <c r="A130" t="inlineStr">
        <is>
          <t>animal print throw</t>
        </is>
      </c>
      <c r="B130" s="4" t="n">
        <v>10</v>
      </c>
      <c r="C130" s="31" t="n">
        <v>0.78</v>
      </c>
      <c r="D130" s="31" t="n">
        <v>0</v>
      </c>
      <c r="E130" s="31" t="n">
        <v>0</v>
      </c>
      <c r="F130" s="31" t="n">
        <v>0</v>
      </c>
      <c r="G130" s="3" t="n">
        <v>10</v>
      </c>
      <c r="H130" s="3" t="n">
        <v>1</v>
      </c>
      <c r="I130" s="32" t="n">
        <v>0.1</v>
      </c>
      <c r="J130" s="3" t="n">
        <v>0</v>
      </c>
      <c r="K130" s="32" t="n">
        <v>0</v>
      </c>
      <c r="L130" s="32" t="n">
        <v>0</v>
      </c>
      <c r="M130" s="31" t="n">
        <v>0.78</v>
      </c>
      <c r="N130" s="3" t="inlineStr">
        <is>
          <t>Throws_Manual_Optiwise_24</t>
        </is>
      </c>
      <c r="O130" s="3" t="inlineStr">
        <is>
          <t>phrase</t>
        </is>
      </c>
      <c r="P130" s="4" t="n"/>
      <c r="Q130" s="4" t="n"/>
      <c r="R130" s="4" t="inlineStr">
        <is>
          <t>-</t>
        </is>
      </c>
      <c r="S130" s="4" t="n"/>
      <c r="T130" s="4" t="n">
        <v>0</v>
      </c>
      <c r="U130" s="4" t="n">
        <v>0</v>
      </c>
      <c r="V130" s="4" t="n"/>
    </row>
    <row r="131">
      <c r="A131" t="inlineStr">
        <is>
          <t>footed throw</t>
        </is>
      </c>
      <c r="B131" s="4" t="n">
        <v>10</v>
      </c>
      <c r="C131" s="31" t="n">
        <v>0.78</v>
      </c>
      <c r="D131" s="31" t="n">
        <v>0</v>
      </c>
      <c r="E131" s="31" t="n">
        <v>0</v>
      </c>
      <c r="F131" s="31" t="n">
        <v>0</v>
      </c>
      <c r="G131" s="3" t="n">
        <v>4</v>
      </c>
      <c r="H131" s="3" t="n">
        <v>2</v>
      </c>
      <c r="I131" s="32" t="n">
        <v>0.5</v>
      </c>
      <c r="J131" s="3" t="n">
        <v>0</v>
      </c>
      <c r="K131" s="32" t="n">
        <v>0</v>
      </c>
      <c r="L131" s="32" t="n">
        <v>0</v>
      </c>
      <c r="M131" s="31" t="n">
        <v>0.39</v>
      </c>
      <c r="N131" s="3" t="inlineStr">
        <is>
          <t>Throws_Manual_Optiwise_24</t>
        </is>
      </c>
      <c r="O131" s="3" t="inlineStr">
        <is>
          <t>phrase</t>
        </is>
      </c>
      <c r="P131" s="4" t="n"/>
      <c r="Q131" s="4" t="n"/>
      <c r="R131" s="4" t="inlineStr">
        <is>
          <t>-</t>
        </is>
      </c>
      <c r="S131" s="4" t="n"/>
      <c r="T131" s="4" t="n">
        <v>0</v>
      </c>
      <c r="U131" s="4" t="n">
        <v>0</v>
      </c>
      <c r="V131" s="4" t="n"/>
    </row>
    <row r="132">
      <c r="A132" t="inlineStr">
        <is>
          <t>298792856</t>
        </is>
      </c>
      <c r="B132" s="4" t="n"/>
      <c r="C132" s="31" t="n">
        <v>0.77</v>
      </c>
      <c r="D132" s="31" t="n">
        <v>0</v>
      </c>
      <c r="E132" s="31" t="n">
        <v>0</v>
      </c>
      <c r="F132" s="31" t="n">
        <v>0</v>
      </c>
      <c r="G132" s="3" t="n">
        <v>2</v>
      </c>
      <c r="H132" s="3" t="n">
        <v>2</v>
      </c>
      <c r="I132" s="32" t="n">
        <v>1</v>
      </c>
      <c r="J132" s="3" t="n">
        <v>0</v>
      </c>
      <c r="K132" s="32" t="n">
        <v>0</v>
      </c>
      <c r="L132" s="32" t="n">
        <v>0</v>
      </c>
      <c r="M132" s="31" t="n">
        <v>0.39</v>
      </c>
      <c r="N132" s="3" t="inlineStr">
        <is>
          <t>Throws_Manual_Optiwise_24</t>
        </is>
      </c>
      <c r="O132" s="3" t="inlineStr">
        <is>
          <t>phrase</t>
        </is>
      </c>
      <c r="P132" s="4" t="n"/>
      <c r="Q132" s="4" t="n"/>
      <c r="R132" s="4" t="inlineStr">
        <is>
          <t>-</t>
        </is>
      </c>
      <c r="S132" s="4" t="n"/>
      <c r="T132" s="4" t="n">
        <v>0</v>
      </c>
      <c r="U132" s="4" t="n">
        <v>0</v>
      </c>
      <c r="V132" s="4" t="n"/>
    </row>
    <row r="133">
      <c r="A133" t="inlineStr">
        <is>
          <t>5055219911</t>
        </is>
      </c>
      <c r="B133" s="4" t="n"/>
      <c r="C133" s="31" t="n">
        <v>0.76</v>
      </c>
      <c r="D133" s="31" t="n">
        <v>0</v>
      </c>
      <c r="E133" s="31" t="n">
        <v>0</v>
      </c>
      <c r="F133" s="31" t="n">
        <v>0</v>
      </c>
      <c r="G133" s="3" t="n">
        <v>107</v>
      </c>
      <c r="H133" s="3" t="n">
        <v>2</v>
      </c>
      <c r="I133" s="32" t="n">
        <v>0.02</v>
      </c>
      <c r="J133" s="3" t="n">
        <v>0</v>
      </c>
      <c r="K133" s="32" t="n">
        <v>0</v>
      </c>
      <c r="L133" s="32" t="n"/>
      <c r="M133" s="31" t="n">
        <v>0.38</v>
      </c>
      <c r="N133" s="3" t="inlineStr">
        <is>
          <t>1TRBW506LGDG-CDCB_Manual,Picnic Blankets &amp; Mats_Manual_Optiwise_24</t>
        </is>
      </c>
      <c r="O133" s="3" t="inlineStr">
        <is>
          <t>exact</t>
        </is>
      </c>
      <c r="P133" s="4" t="n"/>
      <c r="Q133" s="4" t="n"/>
      <c r="R133" s="4" t="n">
        <v>0</v>
      </c>
      <c r="S133" s="4" t="n"/>
      <c r="T133" s="4" t="n">
        <v>0</v>
      </c>
      <c r="U133" s="4" t="n">
        <v>0</v>
      </c>
      <c r="V133" s="4" t="n"/>
    </row>
    <row r="134">
      <c r="A134" t="inlineStr">
        <is>
          <t>picnic throw</t>
        </is>
      </c>
      <c r="B134" s="4" t="n"/>
      <c r="C134" s="31" t="n">
        <v>0.75</v>
      </c>
      <c r="D134" s="31" t="n">
        <v>0</v>
      </c>
      <c r="E134" s="31" t="n">
        <v>0</v>
      </c>
      <c r="F134" s="31" t="n">
        <v>0</v>
      </c>
      <c r="G134" s="3" t="n">
        <v>5</v>
      </c>
      <c r="H134" s="3" t="n">
        <v>1</v>
      </c>
      <c r="I134" s="32" t="n">
        <v>0.2</v>
      </c>
      <c r="J134" s="3" t="n">
        <v>0</v>
      </c>
      <c r="K134" s="32" t="n">
        <v>0</v>
      </c>
      <c r="L134" s="32" t="n">
        <v>0</v>
      </c>
      <c r="M134" s="31" t="n">
        <v>0.75</v>
      </c>
      <c r="N134" s="3" t="inlineStr">
        <is>
          <t>Throws_Manual_Optiwise_24</t>
        </is>
      </c>
      <c r="O134" s="3" t="inlineStr">
        <is>
          <t>phrase</t>
        </is>
      </c>
      <c r="P134" s="4" t="n"/>
      <c r="Q134" s="4" t="n"/>
      <c r="R134" s="4" t="inlineStr">
        <is>
          <t>-</t>
        </is>
      </c>
      <c r="S134" s="4" t="n"/>
      <c r="T134" s="4" t="n">
        <v>0</v>
      </c>
      <c r="U134" s="4" t="n">
        <v>0</v>
      </c>
      <c r="V134" s="4" t="n"/>
    </row>
    <row r="135">
      <c r="A135" t="inlineStr">
        <is>
          <t>657250113</t>
        </is>
      </c>
      <c r="B135" s="4" t="n"/>
      <c r="C135" s="31" t="n">
        <v>0.75</v>
      </c>
      <c r="D135" s="31" t="n">
        <v>0</v>
      </c>
      <c r="E135" s="31" t="n">
        <v>0</v>
      </c>
      <c r="F135" s="31" t="n">
        <v>0</v>
      </c>
      <c r="G135" s="3" t="n">
        <v>11</v>
      </c>
      <c r="H135" s="3" t="n">
        <v>1</v>
      </c>
      <c r="I135" s="32" t="n">
        <v>0.09</v>
      </c>
      <c r="J135" s="3" t="n">
        <v>0</v>
      </c>
      <c r="K135" s="32" t="n">
        <v>0</v>
      </c>
      <c r="L135" s="32" t="n">
        <v>0</v>
      </c>
      <c r="M135" s="31" t="n">
        <v>0.75</v>
      </c>
      <c r="N135" s="3" t="inlineStr">
        <is>
          <t>Belts Manual_Optiwise</t>
        </is>
      </c>
      <c r="O135" s="3" t="inlineStr">
        <is>
          <t>exact</t>
        </is>
      </c>
      <c r="P135" s="4" t="n"/>
      <c r="Q135" s="4" t="n"/>
      <c r="R135" s="4" t="inlineStr">
        <is>
          <t>-</t>
        </is>
      </c>
      <c r="S135" s="4" t="n"/>
      <c r="T135" s="4" t="n">
        <v>0</v>
      </c>
      <c r="U135" s="4" t="n">
        <v>0</v>
      </c>
      <c r="V135" s="4" t="n"/>
    </row>
    <row r="136">
      <c r="A136" t="inlineStr">
        <is>
          <t>men's belt</t>
        </is>
      </c>
      <c r="B136" s="4" t="n"/>
      <c r="C136" s="31" t="n">
        <v>0.75</v>
      </c>
      <c r="D136" s="31" t="n">
        <v>0</v>
      </c>
      <c r="E136" s="31" t="n">
        <v>0</v>
      </c>
      <c r="F136" s="31" t="n">
        <v>0</v>
      </c>
      <c r="G136" s="3" t="n">
        <v>16</v>
      </c>
      <c r="H136" s="3" t="n">
        <v>1</v>
      </c>
      <c r="I136" s="32" t="n">
        <v>0.06</v>
      </c>
      <c r="J136" s="3" t="n">
        <v>0</v>
      </c>
      <c r="K136" s="32" t="n">
        <v>0</v>
      </c>
      <c r="L136" s="32" t="n">
        <v>0</v>
      </c>
      <c r="M136" s="31" t="n">
        <v>0.75</v>
      </c>
      <c r="N136" s="3" t="inlineStr">
        <is>
          <t>Belts Manual_Optiwise</t>
        </is>
      </c>
      <c r="O136" s="3" t="inlineStr">
        <is>
          <t>exact</t>
        </is>
      </c>
      <c r="P136" s="4" t="n">
        <v>1</v>
      </c>
      <c r="Q136" s="4" t="n">
        <v>41</v>
      </c>
      <c r="R136" s="4" t="inlineStr">
        <is>
          <t>-</t>
        </is>
      </c>
      <c r="S136" s="4" t="n"/>
      <c r="T136" s="4" t="n">
        <v>9</v>
      </c>
      <c r="U136" s="4" t="n">
        <v>0</v>
      </c>
      <c r="V136" s="4" t="inlineStr">
        <is>
          <t>10298168407 - 41</t>
        </is>
      </c>
    </row>
    <row r="137">
      <c r="A137" t="inlineStr">
        <is>
          <t>1672066528</t>
        </is>
      </c>
      <c r="B137" s="4" t="n"/>
      <c r="C137" s="31" t="n">
        <v>0.75</v>
      </c>
      <c r="D137" s="31" t="n">
        <v>0</v>
      </c>
      <c r="E137" s="31" t="n">
        <v>0</v>
      </c>
      <c r="F137" s="31" t="n">
        <v>0</v>
      </c>
      <c r="G137" s="3" t="n">
        <v>15</v>
      </c>
      <c r="H137" s="3" t="n">
        <v>1</v>
      </c>
      <c r="I137" s="32" t="n">
        <v>0.07000000000000001</v>
      </c>
      <c r="J137" s="3" t="n">
        <v>0</v>
      </c>
      <c r="K137" s="32" t="n">
        <v>0</v>
      </c>
      <c r="L137" s="32" t="n">
        <v>0</v>
      </c>
      <c r="M137" s="31" t="n">
        <v>0.75</v>
      </c>
      <c r="N137" s="3" t="inlineStr">
        <is>
          <t>Belts Manual_Optiwise</t>
        </is>
      </c>
      <c r="O137" s="3" t="inlineStr">
        <is>
          <t>exact</t>
        </is>
      </c>
      <c r="P137" s="4" t="n"/>
      <c r="Q137" s="4" t="n"/>
      <c r="R137" s="4" t="inlineStr">
        <is>
          <t>-</t>
        </is>
      </c>
      <c r="S137" s="4" t="n"/>
      <c r="T137" s="4" t="n">
        <v>0</v>
      </c>
      <c r="U137" s="4" t="n">
        <v>0</v>
      </c>
      <c r="V137" s="4" t="n"/>
    </row>
    <row r="138">
      <c r="A138" t="inlineStr">
        <is>
          <t>2187684031</t>
        </is>
      </c>
      <c r="B138" s="4" t="n"/>
      <c r="C138" s="31" t="n">
        <v>0.75</v>
      </c>
      <c r="D138" s="31" t="n">
        <v>0</v>
      </c>
      <c r="E138" s="31" t="n">
        <v>0</v>
      </c>
      <c r="F138" s="31" t="n">
        <v>0</v>
      </c>
      <c r="G138" s="3" t="n">
        <v>9</v>
      </c>
      <c r="H138" s="3" t="n">
        <v>1</v>
      </c>
      <c r="I138" s="32" t="n">
        <v>0.11</v>
      </c>
      <c r="J138" s="3" t="n">
        <v>0</v>
      </c>
      <c r="K138" s="32" t="n">
        <v>0</v>
      </c>
      <c r="L138" s="32" t="n">
        <v>0</v>
      </c>
      <c r="M138" s="31" t="n">
        <v>0.75</v>
      </c>
      <c r="N138" s="3" t="inlineStr">
        <is>
          <t>Belts Manual_Optiwise</t>
        </is>
      </c>
      <c r="O138" s="3" t="inlineStr">
        <is>
          <t>exact</t>
        </is>
      </c>
      <c r="P138" s="4" t="n"/>
      <c r="Q138" s="4" t="n"/>
      <c r="R138" s="4" t="inlineStr">
        <is>
          <t>-</t>
        </is>
      </c>
      <c r="S138" s="4" t="n"/>
      <c r="T138" s="4" t="n">
        <v>0</v>
      </c>
      <c r="U138" s="4" t="n">
        <v>0</v>
      </c>
      <c r="V138" s="4" t="n"/>
    </row>
    <row r="139">
      <c r="A139" t="inlineStr">
        <is>
          <t>823209987</t>
        </is>
      </c>
      <c r="B139" s="4" t="n"/>
      <c r="C139" s="31" t="n">
        <v>0.75</v>
      </c>
      <c r="D139" s="31" t="n">
        <v>0</v>
      </c>
      <c r="E139" s="31" t="n">
        <v>0</v>
      </c>
      <c r="F139" s="31" t="n">
        <v>0</v>
      </c>
      <c r="G139" s="3" t="n">
        <v>0</v>
      </c>
      <c r="H139" s="3" t="n">
        <v>1</v>
      </c>
      <c r="I139" s="32" t="n">
        <v>0</v>
      </c>
      <c r="J139" s="3" t="n">
        <v>0</v>
      </c>
      <c r="K139" s="32" t="n">
        <v>0</v>
      </c>
      <c r="L139" s="32" t="n">
        <v>0</v>
      </c>
      <c r="M139" s="31" t="n">
        <v>0.75</v>
      </c>
      <c r="N139" s="3" t="inlineStr">
        <is>
          <t>Belts Manual_Optiwise</t>
        </is>
      </c>
      <c r="O139" s="3" t="inlineStr">
        <is>
          <t>exact</t>
        </is>
      </c>
      <c r="P139" s="4" t="n"/>
      <c r="Q139" s="4" t="n"/>
      <c r="R139" s="4" t="inlineStr">
        <is>
          <t>-</t>
        </is>
      </c>
      <c r="S139" s="4" t="n"/>
      <c r="T139" s="4" t="n">
        <v>0</v>
      </c>
      <c r="U139" s="4" t="n">
        <v>0</v>
      </c>
      <c r="V139" s="4" t="n"/>
    </row>
    <row r="140">
      <c r="A140" t="inlineStr">
        <is>
          <t>6330956064</t>
        </is>
      </c>
      <c r="B140" s="4" t="n"/>
      <c r="C140" s="31" t="n">
        <v>0.75</v>
      </c>
      <c r="D140" s="31" t="n">
        <v>0</v>
      </c>
      <c r="E140" s="31" t="n">
        <v>0</v>
      </c>
      <c r="F140" s="31" t="n">
        <v>0</v>
      </c>
      <c r="G140" s="3" t="n">
        <v>2</v>
      </c>
      <c r="H140" s="3" t="n">
        <v>1</v>
      </c>
      <c r="I140" s="32" t="n">
        <v>0.5</v>
      </c>
      <c r="J140" s="3" t="n">
        <v>0</v>
      </c>
      <c r="K140" s="32" t="n">
        <v>0</v>
      </c>
      <c r="L140" s="32" t="n">
        <v>0</v>
      </c>
      <c r="M140" s="31" t="n">
        <v>0.75</v>
      </c>
      <c r="N140" s="3" t="inlineStr">
        <is>
          <t>Belts Manual_Optiwise</t>
        </is>
      </c>
      <c r="O140" s="3" t="inlineStr">
        <is>
          <t>exact</t>
        </is>
      </c>
      <c r="P140" s="4" t="n"/>
      <c r="Q140" s="4" t="n"/>
      <c r="R140" s="4" t="inlineStr">
        <is>
          <t>-</t>
        </is>
      </c>
      <c r="S140" s="4" t="n"/>
      <c r="T140" s="4" t="n">
        <v>0</v>
      </c>
      <c r="U140" s="4" t="n">
        <v>0</v>
      </c>
      <c r="V140" s="4" t="n"/>
    </row>
    <row r="141">
      <c r="A141" t="inlineStr">
        <is>
          <t>387809285</t>
        </is>
      </c>
      <c r="B141" s="4" t="n"/>
      <c r="C141" s="31" t="n">
        <v>0.75</v>
      </c>
      <c r="D141" s="31" t="n">
        <v>0</v>
      </c>
      <c r="E141" s="31" t="n">
        <v>0</v>
      </c>
      <c r="F141" s="31" t="n">
        <v>0</v>
      </c>
      <c r="G141" s="3" t="n">
        <v>13</v>
      </c>
      <c r="H141" s="3" t="n">
        <v>1</v>
      </c>
      <c r="I141" s="32" t="n">
        <v>0.08</v>
      </c>
      <c r="J141" s="3" t="n">
        <v>0</v>
      </c>
      <c r="K141" s="32" t="n">
        <v>0</v>
      </c>
      <c r="L141" s="32" t="n">
        <v>0</v>
      </c>
      <c r="M141" s="31" t="n">
        <v>0.75</v>
      </c>
      <c r="N141" s="3" t="inlineStr">
        <is>
          <t>Belts Manual_Optiwise</t>
        </is>
      </c>
      <c r="O141" s="3" t="inlineStr">
        <is>
          <t>exact</t>
        </is>
      </c>
      <c r="P141" s="4" t="n"/>
      <c r="Q141" s="4" t="n"/>
      <c r="R141" s="4" t="inlineStr">
        <is>
          <t>-</t>
        </is>
      </c>
      <c r="S141" s="4" t="n"/>
      <c r="T141" s="4" t="n">
        <v>0</v>
      </c>
      <c r="U141" s="4" t="n">
        <v>0</v>
      </c>
      <c r="V141" s="4" t="n"/>
    </row>
    <row r="142">
      <c r="A142" t="inlineStr">
        <is>
          <t>590863620</t>
        </is>
      </c>
      <c r="B142" s="4" t="n"/>
      <c r="C142" s="31" t="n">
        <v>0.75</v>
      </c>
      <c r="D142" s="31" t="n">
        <v>0</v>
      </c>
      <c r="E142" s="31" t="n">
        <v>0</v>
      </c>
      <c r="F142" s="31" t="n">
        <v>0</v>
      </c>
      <c r="G142" s="3" t="n">
        <v>11</v>
      </c>
      <c r="H142" s="3" t="n">
        <v>1</v>
      </c>
      <c r="I142" s="32" t="n">
        <v>0.09</v>
      </c>
      <c r="J142" s="3" t="n">
        <v>0</v>
      </c>
      <c r="K142" s="32" t="n">
        <v>0</v>
      </c>
      <c r="L142" s="32" t="n">
        <v>0</v>
      </c>
      <c r="M142" s="31" t="n">
        <v>0.75</v>
      </c>
      <c r="N142" s="3" t="inlineStr">
        <is>
          <t>Belts Manual_Optiwise</t>
        </is>
      </c>
      <c r="O142" s="3" t="inlineStr">
        <is>
          <t>exact</t>
        </is>
      </c>
      <c r="P142" s="4" t="n"/>
      <c r="Q142" s="4" t="n"/>
      <c r="R142" s="4" t="inlineStr">
        <is>
          <t>-</t>
        </is>
      </c>
      <c r="S142" s="4" t="n"/>
      <c r="T142" s="4" t="n">
        <v>0</v>
      </c>
      <c r="U142" s="4" t="n">
        <v>0</v>
      </c>
      <c r="V142" s="4" t="n"/>
    </row>
    <row r="143">
      <c r="A143" t="inlineStr">
        <is>
          <t>699638317</t>
        </is>
      </c>
      <c r="B143" s="4" t="n"/>
      <c r="C143" s="31" t="n">
        <v>0.75</v>
      </c>
      <c r="D143" s="31" t="n">
        <v>0</v>
      </c>
      <c r="E143" s="31" t="n">
        <v>0</v>
      </c>
      <c r="F143" s="31" t="n">
        <v>0</v>
      </c>
      <c r="G143" s="3" t="n">
        <v>48</v>
      </c>
      <c r="H143" s="3" t="n">
        <v>1</v>
      </c>
      <c r="I143" s="32" t="n">
        <v>0.02</v>
      </c>
      <c r="J143" s="3" t="n">
        <v>0</v>
      </c>
      <c r="K143" s="32" t="n">
        <v>0</v>
      </c>
      <c r="L143" s="32" t="n">
        <v>0</v>
      </c>
      <c r="M143" s="31" t="n">
        <v>0.75</v>
      </c>
      <c r="N143" s="3" t="inlineStr">
        <is>
          <t>Belts Manual_Optiwise</t>
        </is>
      </c>
      <c r="O143" s="3" t="inlineStr">
        <is>
          <t>exact</t>
        </is>
      </c>
      <c r="P143" s="4" t="n"/>
      <c r="Q143" s="4" t="n"/>
      <c r="R143" s="4" t="inlineStr">
        <is>
          <t>-</t>
        </is>
      </c>
      <c r="S143" s="4" t="n"/>
      <c r="T143" s="4" t="n">
        <v>0</v>
      </c>
      <c r="U143" s="4" t="n">
        <v>0</v>
      </c>
      <c r="V143" s="4" t="n"/>
    </row>
    <row r="144">
      <c r="A144" t="inlineStr">
        <is>
          <t>819492779</t>
        </is>
      </c>
      <c r="B144" s="4" t="n"/>
      <c r="C144" s="31" t="n">
        <v>0.72</v>
      </c>
      <c r="D144" s="31" t="n">
        <v>0</v>
      </c>
      <c r="E144" s="31" t="n">
        <v>0</v>
      </c>
      <c r="F144" s="31" t="n">
        <v>0</v>
      </c>
      <c r="G144" s="3" t="n">
        <v>203</v>
      </c>
      <c r="H144" s="3" t="n">
        <v>2</v>
      </c>
      <c r="I144" s="32" t="n">
        <v>0.01</v>
      </c>
      <c r="J144" s="3" t="n">
        <v>0</v>
      </c>
      <c r="K144" s="32" t="n">
        <v>0</v>
      </c>
      <c r="L144" s="32" t="n">
        <v>0</v>
      </c>
      <c r="M144" s="31" t="n">
        <v>0.36</v>
      </c>
      <c r="N144" s="3" t="inlineStr">
        <is>
          <t>1CTBF579GNCAMO_Manual_Optiwise,Throws_Manual_Optiwise_24</t>
        </is>
      </c>
      <c r="O144" s="3" t="inlineStr">
        <is>
          <t>exact</t>
        </is>
      </c>
      <c r="P144" s="4" t="n"/>
      <c r="Q144" s="4" t="n"/>
      <c r="R144" s="4" t="inlineStr">
        <is>
          <t>-</t>
        </is>
      </c>
      <c r="S144" s="4" t="n"/>
      <c r="T144" s="4" t="n">
        <v>0</v>
      </c>
      <c r="U144" s="4" t="n">
        <v>0</v>
      </c>
      <c r="V144" s="4" t="n"/>
    </row>
    <row r="145">
      <c r="A145" t="inlineStr">
        <is>
          <t>6037411569</t>
        </is>
      </c>
      <c r="B145" s="4" t="n"/>
      <c r="C145" s="31" t="n">
        <v>0.72</v>
      </c>
      <c r="D145" s="31" t="n">
        <v>0</v>
      </c>
      <c r="E145" s="31" t="n">
        <v>0</v>
      </c>
      <c r="F145" s="31" t="n">
        <v>0</v>
      </c>
      <c r="G145" s="3" t="n">
        <v>18</v>
      </c>
      <c r="H145" s="3" t="n">
        <v>1</v>
      </c>
      <c r="I145" s="32" t="n">
        <v>0.06</v>
      </c>
      <c r="J145" s="3" t="n">
        <v>0</v>
      </c>
      <c r="K145" s="32" t="n">
        <v>0</v>
      </c>
      <c r="L145" s="32" t="n">
        <v>0</v>
      </c>
      <c r="M145" s="31" t="n">
        <v>0.72</v>
      </c>
      <c r="N145" s="3" t="inlineStr">
        <is>
          <t>Throws_Manual_Optiwise_24</t>
        </is>
      </c>
      <c r="O145" s="3" t="inlineStr">
        <is>
          <t>phrase</t>
        </is>
      </c>
      <c r="P145" s="4" t="n"/>
      <c r="Q145" s="4" t="n"/>
      <c r="R145" s="4" t="inlineStr">
        <is>
          <t>-</t>
        </is>
      </c>
      <c r="S145" s="4" t="n"/>
      <c r="T145" s="4" t="n">
        <v>0</v>
      </c>
      <c r="U145" s="4" t="n">
        <v>0</v>
      </c>
      <c r="V145" s="4" t="n"/>
    </row>
    <row r="146">
      <c r="A146" t="inlineStr">
        <is>
          <t>stadium-blankets</t>
        </is>
      </c>
      <c r="B146" s="4" t="n"/>
      <c r="C146" s="31" t="n">
        <v>0.72</v>
      </c>
      <c r="D146" s="31" t="n">
        <v>0</v>
      </c>
      <c r="E146" s="31" t="n">
        <v>0</v>
      </c>
      <c r="F146" s="31" t="n">
        <v>0</v>
      </c>
      <c r="G146" s="3" t="n">
        <v>5</v>
      </c>
      <c r="H146" s="3" t="n">
        <v>2</v>
      </c>
      <c r="I146" s="32" t="n">
        <v>0.4</v>
      </c>
      <c r="J146" s="3" t="n">
        <v>0</v>
      </c>
      <c r="K146" s="32" t="n">
        <v>0</v>
      </c>
      <c r="L146" s="32" t="n"/>
      <c r="M146" s="31" t="n">
        <v>0.36</v>
      </c>
      <c r="N146" s="3" t="inlineStr">
        <is>
          <t>1WMBW506NYGY-TBCB_Manual_Optiwise,Picnic Blankets &amp; Mats_Manual_Optiwise_24</t>
        </is>
      </c>
      <c r="O146" s="3" t="inlineStr">
        <is>
          <t>exact</t>
        </is>
      </c>
      <c r="P146" s="4" t="n"/>
      <c r="Q146" s="4" t="n"/>
      <c r="R146" s="4" t="n">
        <v>0</v>
      </c>
      <c r="S146" s="4" t="n"/>
      <c r="T146" s="4" t="n">
        <v>0</v>
      </c>
      <c r="U146" s="4" t="n">
        <v>0</v>
      </c>
      <c r="V146" s="4" t="n"/>
    </row>
    <row r="147">
      <c r="A147" t="inlineStr">
        <is>
          <t>2102998497</t>
        </is>
      </c>
      <c r="B147" s="4" t="n"/>
      <c r="C147" s="31" t="n">
        <v>0.71</v>
      </c>
      <c r="D147" s="31" t="n">
        <v>0</v>
      </c>
      <c r="E147" s="31" t="n">
        <v>0</v>
      </c>
      <c r="F147" s="31" t="n">
        <v>0</v>
      </c>
      <c r="G147" s="3" t="n">
        <v>2</v>
      </c>
      <c r="H147" s="3" t="n">
        <v>1</v>
      </c>
      <c r="I147" s="32" t="n">
        <v>0.5</v>
      </c>
      <c r="J147" s="3" t="n">
        <v>0</v>
      </c>
      <c r="K147" s="32" t="n">
        <v>0</v>
      </c>
      <c r="L147" s="32" t="n">
        <v>0</v>
      </c>
      <c r="M147" s="31" t="n">
        <v>0.71</v>
      </c>
      <c r="N147" s="3" t="inlineStr">
        <is>
          <t>1CTMM500PK_Manual</t>
        </is>
      </c>
      <c r="O147" s="3" t="inlineStr">
        <is>
          <t>exact</t>
        </is>
      </c>
      <c r="P147" s="4" t="n"/>
      <c r="Q147" s="4" t="n"/>
      <c r="R147" s="4" t="inlineStr">
        <is>
          <t>-</t>
        </is>
      </c>
      <c r="S147" s="4" t="n"/>
      <c r="T147" s="4" t="n">
        <v>0</v>
      </c>
      <c r="U147" s="4" t="n">
        <v>0</v>
      </c>
      <c r="V147" s="4" t="n"/>
    </row>
    <row r="148">
      <c r="A148" t="inlineStr">
        <is>
          <t>918795016</t>
        </is>
      </c>
      <c r="B148" s="4" t="n"/>
      <c r="C148" s="31" t="n">
        <v>0.71</v>
      </c>
      <c r="D148" s="31" t="n">
        <v>0</v>
      </c>
      <c r="E148" s="31" t="n">
        <v>0</v>
      </c>
      <c r="F148" s="31" t="n">
        <v>0</v>
      </c>
      <c r="G148" s="3" t="n">
        <v>9</v>
      </c>
      <c r="H148" s="3" t="n">
        <v>1</v>
      </c>
      <c r="I148" s="32" t="n">
        <v>0.11</v>
      </c>
      <c r="J148" s="3" t="n">
        <v>0</v>
      </c>
      <c r="K148" s="32" t="n">
        <v>0</v>
      </c>
      <c r="L148" s="32" t="n">
        <v>0</v>
      </c>
      <c r="M148" s="31" t="n">
        <v>0.71</v>
      </c>
      <c r="N148" s="3" t="inlineStr">
        <is>
          <t>1CTMM500PK_Manual</t>
        </is>
      </c>
      <c r="O148" s="3" t="inlineStr">
        <is>
          <t>exact</t>
        </is>
      </c>
      <c r="P148" s="4" t="n"/>
      <c r="Q148" s="4" t="n"/>
      <c r="R148" s="4" t="inlineStr">
        <is>
          <t>-</t>
        </is>
      </c>
      <c r="S148" s="4" t="n"/>
      <c r="T148" s="4" t="n">
        <v>0</v>
      </c>
      <c r="U148" s="4" t="n">
        <v>0</v>
      </c>
      <c r="V148" s="4" t="n"/>
    </row>
    <row r="149">
      <c r="A149" t="inlineStr">
        <is>
          <t>statium blanket</t>
        </is>
      </c>
      <c r="B149" s="4" t="n"/>
      <c r="C149" s="31" t="n">
        <v>0.71</v>
      </c>
      <c r="D149" s="31" t="n">
        <v>0</v>
      </c>
      <c r="E149" s="31" t="n">
        <v>0</v>
      </c>
      <c r="F149" s="31" t="n">
        <v>0</v>
      </c>
      <c r="G149" s="3" t="n">
        <v>14</v>
      </c>
      <c r="H149" s="3" t="n">
        <v>2</v>
      </c>
      <c r="I149" s="32" t="n">
        <v>0.14</v>
      </c>
      <c r="J149" s="3" t="n">
        <v>0</v>
      </c>
      <c r="K149" s="32" t="n">
        <v>0</v>
      </c>
      <c r="L149" s="32" t="n">
        <v>1</v>
      </c>
      <c r="M149" s="31" t="n">
        <v>0.35</v>
      </c>
      <c r="N149" s="3" t="inlineStr">
        <is>
          <t>1WMBW506NYGY-TBCB_Manual_Optiwise,Picnic Blankets &amp; Mats_Manual_Optiwise_24</t>
        </is>
      </c>
      <c r="O149" s="3" t="inlineStr">
        <is>
          <t>exact</t>
        </is>
      </c>
      <c r="P149" s="4" t="n"/>
      <c r="Q149" s="4" t="n"/>
      <c r="R149" s="4" t="inlineStr">
        <is>
          <t>-</t>
        </is>
      </c>
      <c r="S149" s="4" t="n"/>
      <c r="T149" s="4" t="n">
        <v>0</v>
      </c>
      <c r="U149" s="4" t="n">
        <v>0</v>
      </c>
      <c r="V149" s="4" t="n"/>
    </row>
    <row r="150">
      <c r="A150" t="inlineStr">
        <is>
          <t>kid blanket throws</t>
        </is>
      </c>
      <c r="B150" s="4" t="inlineStr">
        <is>
          <t>50 - 120</t>
        </is>
      </c>
      <c r="C150" s="31" t="n">
        <v>0.71</v>
      </c>
      <c r="D150" s="31" t="n">
        <v>0</v>
      </c>
      <c r="E150" s="31" t="n">
        <v>0</v>
      </c>
      <c r="F150" s="31" t="n">
        <v>0</v>
      </c>
      <c r="G150" s="3" t="n">
        <v>18</v>
      </c>
      <c r="H150" s="3" t="n">
        <v>1</v>
      </c>
      <c r="I150" s="32" t="n">
        <v>0.06</v>
      </c>
      <c r="J150" s="3" t="n">
        <v>0</v>
      </c>
      <c r="K150" s="32" t="n">
        <v>0</v>
      </c>
      <c r="L150" s="32" t="n">
        <v>0.2549</v>
      </c>
      <c r="M150" s="31" t="n">
        <v>0.71</v>
      </c>
      <c r="N150" s="3" t="inlineStr">
        <is>
          <t>1CTMM500PK_Manual</t>
        </is>
      </c>
      <c r="O150" s="3" t="inlineStr">
        <is>
          <t>exact</t>
        </is>
      </c>
      <c r="P150" s="4" t="n"/>
      <c r="Q150" s="4" t="n"/>
      <c r="R150" s="4" t="inlineStr">
        <is>
          <t>-</t>
        </is>
      </c>
      <c r="S150" s="4" t="n"/>
      <c r="T150" s="4" t="n">
        <v>0</v>
      </c>
      <c r="U150" s="4" t="n">
        <v>0</v>
      </c>
      <c r="V150" s="4" t="n"/>
    </row>
    <row r="151">
      <c r="A151" t="inlineStr">
        <is>
          <t>5045212937</t>
        </is>
      </c>
      <c r="B151" s="4" t="n"/>
      <c r="C151" s="31" t="n">
        <v>0.6899999999999999</v>
      </c>
      <c r="D151" s="31" t="n">
        <v>0</v>
      </c>
      <c r="E151" s="31" t="n">
        <v>0</v>
      </c>
      <c r="F151" s="31" t="n">
        <v>0</v>
      </c>
      <c r="G151" s="3" t="n">
        <v>9</v>
      </c>
      <c r="H151" s="3" t="n">
        <v>2</v>
      </c>
      <c r="I151" s="32" t="n">
        <v>0.22</v>
      </c>
      <c r="J151" s="3" t="n">
        <v>0</v>
      </c>
      <c r="K151" s="32" t="n">
        <v>0</v>
      </c>
      <c r="L151" s="32" t="n">
        <v>0</v>
      </c>
      <c r="M151" s="31" t="n">
        <v>0.34</v>
      </c>
      <c r="N151" s="3" t="inlineStr">
        <is>
          <t>1WMBW506NYGY-TBCB_Manual_Optiwise,Picnic Blankets &amp; Mats_Manual_Optiwise_24</t>
        </is>
      </c>
      <c r="O151" s="3" t="inlineStr">
        <is>
          <t>exact</t>
        </is>
      </c>
      <c r="P151" s="4" t="n"/>
      <c r="Q151" s="4" t="n"/>
      <c r="R151" s="4" t="inlineStr">
        <is>
          <t>-</t>
        </is>
      </c>
      <c r="S151" s="4" t="n"/>
      <c r="T151" s="4" t="n">
        <v>0</v>
      </c>
      <c r="U151" s="4" t="n">
        <v>0</v>
      </c>
      <c r="V151" s="4" t="n"/>
    </row>
    <row r="152">
      <c r="A152" t="inlineStr">
        <is>
          <t>576173046</t>
        </is>
      </c>
      <c r="B152" s="4" t="n"/>
      <c r="C152" s="31" t="n">
        <v>0.6899999999999999</v>
      </c>
      <c r="D152" s="31" t="n">
        <v>0</v>
      </c>
      <c r="E152" s="31" t="n">
        <v>0</v>
      </c>
      <c r="F152" s="31" t="n">
        <v>0</v>
      </c>
      <c r="G152" s="3" t="n">
        <v>6</v>
      </c>
      <c r="H152" s="3" t="n">
        <v>1</v>
      </c>
      <c r="I152" s="32" t="n">
        <v>0.17</v>
      </c>
      <c r="J152" s="3" t="n">
        <v>0</v>
      </c>
      <c r="K152" s="32" t="n">
        <v>0</v>
      </c>
      <c r="L152" s="32" t="n">
        <v>0</v>
      </c>
      <c r="M152" s="31" t="n">
        <v>0.6899999999999999</v>
      </c>
      <c r="N152" s="3" t="inlineStr">
        <is>
          <t>1TRWB222BK</t>
        </is>
      </c>
      <c r="O152" s="3" t="inlineStr">
        <is>
          <t>exact</t>
        </is>
      </c>
      <c r="P152" s="4" t="n"/>
      <c r="Q152" s="4" t="n"/>
      <c r="R152" s="4" t="inlineStr">
        <is>
          <t>-</t>
        </is>
      </c>
      <c r="S152" s="4" t="n"/>
      <c r="T152" s="4" t="n">
        <v>0</v>
      </c>
      <c r="U152" s="4" t="n">
        <v>0</v>
      </c>
      <c r="V152" s="4" t="n"/>
    </row>
    <row r="153">
      <c r="A153" t="inlineStr">
        <is>
          <t>659405815</t>
        </is>
      </c>
      <c r="B153" s="4" t="n"/>
      <c r="C153" s="31" t="n">
        <v>0.6899999999999999</v>
      </c>
      <c r="D153" s="31" t="n">
        <v>0</v>
      </c>
      <c r="E153" s="31" t="n">
        <v>0</v>
      </c>
      <c r="F153" s="31" t="n">
        <v>0</v>
      </c>
      <c r="G153" s="3" t="n">
        <v>2</v>
      </c>
      <c r="H153" s="3" t="n">
        <v>1</v>
      </c>
      <c r="I153" s="32" t="n">
        <v>0.5</v>
      </c>
      <c r="J153" s="3" t="n">
        <v>0</v>
      </c>
      <c r="K153" s="32" t="n">
        <v>0</v>
      </c>
      <c r="L153" s="32" t="n">
        <v>0</v>
      </c>
      <c r="M153" s="31" t="n">
        <v>0.6899999999999999</v>
      </c>
      <c r="N153" s="3" t="inlineStr">
        <is>
          <t>Throws_Manual_Optiwise_24</t>
        </is>
      </c>
      <c r="O153" s="3" t="inlineStr">
        <is>
          <t>phrase</t>
        </is>
      </c>
      <c r="P153" s="4" t="n"/>
      <c r="Q153" s="4" t="n"/>
      <c r="R153" s="4" t="inlineStr">
        <is>
          <t>-</t>
        </is>
      </c>
      <c r="S153" s="4" t="n"/>
      <c r="T153" s="4" t="n">
        <v>0</v>
      </c>
      <c r="U153" s="4" t="n">
        <v>0</v>
      </c>
      <c r="V153" s="4" t="n"/>
    </row>
    <row r="154">
      <c r="A154" t="inlineStr">
        <is>
          <t>5373792577</t>
        </is>
      </c>
      <c r="B154" s="4" t="n"/>
      <c r="C154" s="31" t="n">
        <v>0.68</v>
      </c>
      <c r="D154" s="31" t="n">
        <v>0</v>
      </c>
      <c r="E154" s="31" t="n">
        <v>0</v>
      </c>
      <c r="F154" s="31" t="n">
        <v>0</v>
      </c>
      <c r="G154" s="3" t="n">
        <v>79</v>
      </c>
      <c r="H154" s="3" t="n">
        <v>2</v>
      </c>
      <c r="I154" s="32" t="n">
        <v>0.03</v>
      </c>
      <c r="J154" s="3" t="n">
        <v>0</v>
      </c>
      <c r="K154" s="32" t="n">
        <v>0</v>
      </c>
      <c r="L154" s="32" t="n">
        <v>0</v>
      </c>
      <c r="M154" s="31" t="n">
        <v>0.34</v>
      </c>
      <c r="N154" s="3" t="inlineStr">
        <is>
          <t>Throws_Manual_Optiwise_24</t>
        </is>
      </c>
      <c r="O154" s="3" t="inlineStr">
        <is>
          <t>phrase</t>
        </is>
      </c>
      <c r="P154" s="4" t="n"/>
      <c r="Q154" s="4" t="n"/>
      <c r="R154" s="4" t="inlineStr">
        <is>
          <t>-</t>
        </is>
      </c>
      <c r="S154" s="4" t="n"/>
      <c r="T154" s="4" t="n">
        <v>0</v>
      </c>
      <c r="U154" s="4" t="n">
        <v>0</v>
      </c>
      <c r="V154" s="4" t="n"/>
    </row>
    <row r="155">
      <c r="A155" t="inlineStr">
        <is>
          <t>mermaids</t>
        </is>
      </c>
      <c r="B155" s="4" t="n">
        <v>50</v>
      </c>
      <c r="C155" s="31" t="n">
        <v>0.67</v>
      </c>
      <c r="D155" s="31" t="n">
        <v>0</v>
      </c>
      <c r="E155" s="31" t="n">
        <v>0</v>
      </c>
      <c r="F155" s="31" t="n">
        <v>0</v>
      </c>
      <c r="G155" s="3" t="n">
        <v>27</v>
      </c>
      <c r="H155" s="3" t="n">
        <v>2</v>
      </c>
      <c r="I155" s="32" t="n">
        <v>0.07000000000000001</v>
      </c>
      <c r="J155" s="3" t="n">
        <v>0</v>
      </c>
      <c r="K155" s="32" t="n">
        <v>0</v>
      </c>
      <c r="L155" s="32" t="n"/>
      <c r="M155" s="31" t="n">
        <v>0.34</v>
      </c>
      <c r="N155" s="3" t="inlineStr">
        <is>
          <t>1WMMM500MUL_Manual</t>
        </is>
      </c>
      <c r="O155" s="3" t="inlineStr">
        <is>
          <t>exact</t>
        </is>
      </c>
      <c r="P155" s="4" t="n">
        <v>2</v>
      </c>
      <c r="Q155" s="4" t="n"/>
      <c r="R155" s="4" t="n">
        <v>2</v>
      </c>
      <c r="S155" s="4" t="n">
        <v>3</v>
      </c>
      <c r="T155" s="4" t="n">
        <v>10</v>
      </c>
      <c r="U155" s="4" t="n">
        <v>0</v>
      </c>
      <c r="V155" s="4" t="inlineStr">
        <is>
          <t>812625607 - 12, 942219918 - 3</t>
        </is>
      </c>
    </row>
    <row r="156">
      <c r="A156" t="inlineStr">
        <is>
          <t>sirena</t>
        </is>
      </c>
      <c r="B156" s="4" t="n">
        <v>360</v>
      </c>
      <c r="C156" s="31" t="n">
        <v>0.66</v>
      </c>
      <c r="D156" s="31" t="n">
        <v>0</v>
      </c>
      <c r="E156" s="31" t="n">
        <v>0</v>
      </c>
      <c r="F156" s="31" t="n">
        <v>0</v>
      </c>
      <c r="G156" s="3" t="n">
        <v>10</v>
      </c>
      <c r="H156" s="3" t="n">
        <v>2</v>
      </c>
      <c r="I156" s="32" t="n">
        <v>0.2</v>
      </c>
      <c r="J156" s="3" t="n">
        <v>0</v>
      </c>
      <c r="K156" s="32" t="n">
        <v>0</v>
      </c>
      <c r="L156" s="32" t="n">
        <v>0.7979000000000001</v>
      </c>
      <c r="M156" s="31" t="n">
        <v>0.33</v>
      </c>
      <c r="N156" s="3" t="inlineStr">
        <is>
          <t>1WMMM500MUL_Manual</t>
        </is>
      </c>
      <c r="O156" s="3" t="inlineStr">
        <is>
          <t>exact</t>
        </is>
      </c>
      <c r="P156" s="4" t="n"/>
      <c r="Q156" s="4" t="n"/>
      <c r="R156" s="4" t="inlineStr">
        <is>
          <t>-</t>
        </is>
      </c>
      <c r="S156" s="4" t="n"/>
      <c r="T156" s="4" t="n">
        <v>0</v>
      </c>
      <c r="U156" s="4" t="n">
        <v>0</v>
      </c>
      <c r="V156" s="4" t="n"/>
    </row>
    <row r="157">
      <c r="A157" t="inlineStr">
        <is>
          <t>stafium blankets</t>
        </is>
      </c>
      <c r="B157" s="4" t="n"/>
      <c r="C157" s="31" t="n">
        <v>0.63</v>
      </c>
      <c r="D157" s="31" t="n">
        <v>0</v>
      </c>
      <c r="E157" s="31" t="n">
        <v>0</v>
      </c>
      <c r="F157" s="31" t="n">
        <v>0</v>
      </c>
      <c r="G157" s="3" t="n">
        <v>6</v>
      </c>
      <c r="H157" s="3" t="n">
        <v>2</v>
      </c>
      <c r="I157" s="32" t="n">
        <v>0.33</v>
      </c>
      <c r="J157" s="3" t="n">
        <v>0</v>
      </c>
      <c r="K157" s="32" t="n">
        <v>0</v>
      </c>
      <c r="L157" s="32" t="n"/>
      <c r="M157" s="31" t="n">
        <v>0.32</v>
      </c>
      <c r="N157" s="3" t="inlineStr">
        <is>
          <t>1WMBW506NYGY-TBCB_Manual_Optiwise,Picnic Blankets &amp; Mats_Manual_Optiwise_24</t>
        </is>
      </c>
      <c r="O157" s="3" t="inlineStr">
        <is>
          <t>exact</t>
        </is>
      </c>
      <c r="P157" s="4" t="n"/>
      <c r="Q157" s="4" t="n"/>
      <c r="R157" s="4" t="n">
        <v>0</v>
      </c>
      <c r="S157" s="4" t="n"/>
      <c r="T157" s="4" t="n">
        <v>0</v>
      </c>
      <c r="U157" s="4" t="n">
        <v>0</v>
      </c>
      <c r="V157" s="4" t="n"/>
    </row>
    <row r="158">
      <c r="A158" t="inlineStr">
        <is>
          <t>cobija de sirena</t>
        </is>
      </c>
      <c r="B158" s="4" t="inlineStr">
        <is>
          <t>10 - 20</t>
        </is>
      </c>
      <c r="C158" s="31" t="n">
        <v>0.63</v>
      </c>
      <c r="D158" s="31" t="n">
        <v>0</v>
      </c>
      <c r="E158" s="31" t="n">
        <v>0</v>
      </c>
      <c r="F158" s="31" t="n">
        <v>0</v>
      </c>
      <c r="G158" s="3" t="n">
        <v>2</v>
      </c>
      <c r="H158" s="3" t="n">
        <v>2</v>
      </c>
      <c r="I158" s="32" t="n">
        <v>1</v>
      </c>
      <c r="J158" s="3" t="n">
        <v>0</v>
      </c>
      <c r="K158" s="32" t="n">
        <v>0</v>
      </c>
      <c r="L158" s="32" t="n">
        <v>0.9706</v>
      </c>
      <c r="M158" s="31" t="n">
        <v>0.32</v>
      </c>
      <c r="N158" s="3" t="inlineStr">
        <is>
          <t>1CTMM500PK_Manual,1CTMM500PK_Manual_Optiwise</t>
        </is>
      </c>
      <c r="O158" s="3" t="inlineStr">
        <is>
          <t>exact</t>
        </is>
      </c>
      <c r="P158" s="4" t="n"/>
      <c r="Q158" s="4" t="n"/>
      <c r="R158" s="4" t="inlineStr">
        <is>
          <t>-</t>
        </is>
      </c>
      <c r="S158" s="4" t="n"/>
      <c r="T158" s="4" t="n">
        <v>0</v>
      </c>
      <c r="U158" s="4" t="n">
        <v>0</v>
      </c>
      <c r="V158" s="4" t="n"/>
    </row>
    <row r="159">
      <c r="A159" t="inlineStr">
        <is>
          <t>8932273545</t>
        </is>
      </c>
      <c r="B159" s="4" t="n"/>
      <c r="C159" s="31" t="n">
        <v>0.63</v>
      </c>
      <c r="D159" s="31" t="n">
        <v>0</v>
      </c>
      <c r="E159" s="31" t="n">
        <v>0</v>
      </c>
      <c r="F159" s="31" t="n">
        <v>0</v>
      </c>
      <c r="G159" s="3" t="n">
        <v>2</v>
      </c>
      <c r="H159" s="3" t="n">
        <v>1</v>
      </c>
      <c r="I159" s="32" t="n">
        <v>0.5</v>
      </c>
      <c r="J159" s="3" t="n">
        <v>0</v>
      </c>
      <c r="K159" s="32" t="n">
        <v>0</v>
      </c>
      <c r="L159" s="32" t="n">
        <v>0</v>
      </c>
      <c r="M159" s="31" t="n">
        <v>0.63</v>
      </c>
      <c r="N159" s="3" t="inlineStr">
        <is>
          <t>Belts Manual_Optiwise</t>
        </is>
      </c>
      <c r="O159" s="3" t="inlineStr">
        <is>
          <t>exact</t>
        </is>
      </c>
      <c r="P159" s="4" t="n"/>
      <c r="Q159" s="4" t="n"/>
      <c r="R159" s="4" t="inlineStr">
        <is>
          <t>-</t>
        </is>
      </c>
      <c r="S159" s="4" t="n"/>
      <c r="T159" s="4" t="n">
        <v>0</v>
      </c>
      <c r="U159" s="4" t="n">
        <v>0</v>
      </c>
      <c r="V159" s="4" t="n"/>
    </row>
    <row r="160">
      <c r="A160" t="inlineStr">
        <is>
          <t>waterproof blanket</t>
        </is>
      </c>
      <c r="B160" s="4" t="n">
        <v>8880</v>
      </c>
      <c r="C160" s="31" t="n">
        <v>0.62</v>
      </c>
      <c r="D160" s="31" t="n">
        <v>0</v>
      </c>
      <c r="E160" s="31" t="n">
        <v>0</v>
      </c>
      <c r="F160" s="31" t="n">
        <v>0</v>
      </c>
      <c r="G160" s="3" t="n">
        <v>3</v>
      </c>
      <c r="H160" s="3" t="n">
        <v>2</v>
      </c>
      <c r="I160" s="32" t="n">
        <v>0.67</v>
      </c>
      <c r="J160" s="3" t="n">
        <v>0</v>
      </c>
      <c r="K160" s="32" t="n">
        <v>0</v>
      </c>
      <c r="L160" s="32" t="n">
        <v>0.508</v>
      </c>
      <c r="M160" s="31" t="n">
        <v>0.31</v>
      </c>
      <c r="N160" s="3" t="inlineStr">
        <is>
          <t xml:space="preserve">1CTBW20119LGDG - Video - Optiwise,Category Divided manual,High AUR SB_Optiwise,Keyword for All-Lily,Manual Campaign 1,Manual Campaign 1 (COPY),Manual for 1CTBW20119--Rachel,Manual for 1CTBW682/982/20119---Rachel,Manual for 1CTBW682/982/20119---Rachel 3.12,Manual for 1CTBW682LGDG--Rachel,Manual for BW系列-Lily,Manual for Waterproof Blanket Long Tail-Lily,Manual for Waterproof Blanket--Lily,ManualText-want to push,ManualText-want to push 5.0,ManualText-want to push2.0,ManualText-want to push3.0,ManualText-want to push4.0,ManualText-want to push5.0,ManualText-want to push8.0,Throws_Manual_Optiwise_24,Tirrinia Brand Waterproof Blanket-Lily,Waterproof Blankets_Brand </t>
        </is>
      </c>
      <c r="O160" s="3" t="inlineStr">
        <is>
          <t>exact</t>
        </is>
      </c>
      <c r="P160" s="4" t="n">
        <v>5</v>
      </c>
      <c r="Q160" s="4" t="n">
        <v>23</v>
      </c>
      <c r="R160" s="4" t="n">
        <v>1</v>
      </c>
      <c r="S160" s="4" t="n">
        <v>4</v>
      </c>
      <c r="T160" s="4" t="n">
        <v>10</v>
      </c>
      <c r="U160" s="4" t="n">
        <v>0</v>
      </c>
      <c r="V160" s="4" t="inlineStr">
        <is>
          <t>260397586 - 39, 563387065 - 4, 244456244 - 23, 927000910 - 50, 736926147 - 33</t>
        </is>
      </c>
    </row>
    <row r="161">
      <c r="A161" t="inlineStr">
        <is>
          <t>901105566</t>
        </is>
      </c>
      <c r="B161" s="4" t="n"/>
      <c r="C161" s="31" t="n">
        <v>0.62</v>
      </c>
      <c r="D161" s="31" t="n">
        <v>0</v>
      </c>
      <c r="E161" s="31" t="n">
        <v>0</v>
      </c>
      <c r="F161" s="31" t="n">
        <v>0</v>
      </c>
      <c r="G161" s="3" t="n">
        <v>30</v>
      </c>
      <c r="H161" s="3" t="n">
        <v>2</v>
      </c>
      <c r="I161" s="32" t="n">
        <v>0.07000000000000001</v>
      </c>
      <c r="J161" s="3" t="n">
        <v>0</v>
      </c>
      <c r="K161" s="32" t="n">
        <v>0</v>
      </c>
      <c r="L161" s="32" t="n">
        <v>0</v>
      </c>
      <c r="M161" s="31" t="n">
        <v>0.31</v>
      </c>
      <c r="N161" s="3" t="inlineStr">
        <is>
          <t>1CTBP120GY_Manual_Optiwise</t>
        </is>
      </c>
      <c r="O161" s="3" t="inlineStr">
        <is>
          <t>exact</t>
        </is>
      </c>
      <c r="P161" s="4" t="n"/>
      <c r="Q161" s="4" t="n"/>
      <c r="R161" s="4" t="inlineStr">
        <is>
          <t>-</t>
        </is>
      </c>
      <c r="S161" s="4" t="n"/>
      <c r="T161" s="4" t="n">
        <v>0</v>
      </c>
      <c r="U161" s="4" t="n">
        <v>0</v>
      </c>
      <c r="V161" s="4" t="n"/>
    </row>
    <row r="162">
      <c r="A162" t="inlineStr">
        <is>
          <t>camo throw blanket</t>
        </is>
      </c>
      <c r="B162" s="4" t="n"/>
      <c r="C162" s="31" t="n">
        <v>0.62</v>
      </c>
      <c r="D162" s="31" t="n">
        <v>0</v>
      </c>
      <c r="E162" s="31" t="n">
        <v>0</v>
      </c>
      <c r="F162" s="31" t="n">
        <v>0</v>
      </c>
      <c r="G162" s="3" t="n">
        <v>5</v>
      </c>
      <c r="H162" s="3" t="n">
        <v>2</v>
      </c>
      <c r="I162" s="32" t="n">
        <v>0.4</v>
      </c>
      <c r="J162" s="3" t="n">
        <v>0</v>
      </c>
      <c r="K162" s="32" t="n">
        <v>0</v>
      </c>
      <c r="L162" s="32" t="n"/>
      <c r="M162" s="31" t="n">
        <v>0.31</v>
      </c>
      <c r="N162" s="3" t="inlineStr">
        <is>
          <t>1CTBF579GNCAMO_Manual_Optiwise</t>
        </is>
      </c>
      <c r="O162" s="3" t="inlineStr">
        <is>
          <t>exact</t>
        </is>
      </c>
      <c r="P162" s="4" t="n">
        <v>4</v>
      </c>
      <c r="Q162" s="4" t="n">
        <v>36</v>
      </c>
      <c r="R162" s="4" t="n">
        <v>2</v>
      </c>
      <c r="S162" s="4" t="n">
        <v>22</v>
      </c>
      <c r="T162" s="4" t="n">
        <v>10</v>
      </c>
      <c r="U162" s="4" t="n">
        <v>0</v>
      </c>
      <c r="V162" s="4" t="inlineStr">
        <is>
          <t>703963438 - 32, 2752031157 - 36, 3093512939 - 22, 1361841364 - 41</t>
        </is>
      </c>
    </row>
    <row r="163">
      <c r="A163" t="inlineStr">
        <is>
          <t>876395615</t>
        </is>
      </c>
      <c r="B163" s="4" t="n"/>
      <c r="C163" s="31" t="n">
        <v>0.62</v>
      </c>
      <c r="D163" s="31" t="n">
        <v>0</v>
      </c>
      <c r="E163" s="31" t="n">
        <v>0</v>
      </c>
      <c r="F163" s="31" t="n">
        <v>0</v>
      </c>
      <c r="G163" s="3" t="n">
        <v>6</v>
      </c>
      <c r="H163" s="3" t="n">
        <v>2</v>
      </c>
      <c r="I163" s="32" t="n">
        <v>0.33</v>
      </c>
      <c r="J163" s="3" t="n">
        <v>0</v>
      </c>
      <c r="K163" s="32" t="n">
        <v>0</v>
      </c>
      <c r="L163" s="32" t="n">
        <v>0</v>
      </c>
      <c r="M163" s="31" t="n">
        <v>0.31</v>
      </c>
      <c r="N163" s="3" t="inlineStr">
        <is>
          <t>1CTBP120GY_Manual_Optiwise</t>
        </is>
      </c>
      <c r="O163" s="3" t="inlineStr">
        <is>
          <t>exact</t>
        </is>
      </c>
      <c r="P163" s="4" t="n"/>
      <c r="Q163" s="4" t="n"/>
      <c r="R163" s="4" t="inlineStr">
        <is>
          <t>-</t>
        </is>
      </c>
      <c r="S163" s="4" t="n"/>
      <c r="T163" s="4" t="n">
        <v>0</v>
      </c>
      <c r="U163" s="4" t="n">
        <v>0</v>
      </c>
      <c r="V163" s="4" t="n"/>
    </row>
    <row r="164">
      <c r="A164" t="inlineStr">
        <is>
          <t>7728156112</t>
        </is>
      </c>
      <c r="B164" s="4" t="n"/>
      <c r="C164" s="31" t="n">
        <v>0.62</v>
      </c>
      <c r="D164" s="31" t="n">
        <v>0</v>
      </c>
      <c r="E164" s="31" t="n">
        <v>0</v>
      </c>
      <c r="F164" s="31" t="n">
        <v>0</v>
      </c>
      <c r="G164" s="3" t="n">
        <v>33</v>
      </c>
      <c r="H164" s="3" t="n">
        <v>2</v>
      </c>
      <c r="I164" s="32" t="n">
        <v>0.06</v>
      </c>
      <c r="J164" s="3" t="n">
        <v>0</v>
      </c>
      <c r="K164" s="32" t="n">
        <v>0</v>
      </c>
      <c r="L164" s="32" t="n">
        <v>0</v>
      </c>
      <c r="M164" s="31" t="n">
        <v>0.31</v>
      </c>
      <c r="N164" s="3" t="inlineStr">
        <is>
          <t>1CTBF579GNCAMO_Manual_Optiwise</t>
        </is>
      </c>
      <c r="O164" s="3" t="inlineStr">
        <is>
          <t>exact</t>
        </is>
      </c>
      <c r="P164" s="4" t="n"/>
      <c r="Q164" s="4" t="n"/>
      <c r="R164" s="4" t="inlineStr">
        <is>
          <t>-</t>
        </is>
      </c>
      <c r="S164" s="4" t="n"/>
      <c r="T164" s="4" t="n">
        <v>0</v>
      </c>
      <c r="U164" s="4" t="n">
        <v>0</v>
      </c>
      <c r="V164" s="4" t="n"/>
    </row>
    <row r="165">
      <c r="A165" t="inlineStr">
        <is>
          <t>211899562</t>
        </is>
      </c>
      <c r="B165" s="4" t="n"/>
      <c r="C165" s="31" t="n">
        <v>0.62</v>
      </c>
      <c r="D165" s="31" t="n">
        <v>0</v>
      </c>
      <c r="E165" s="31" t="n">
        <v>0</v>
      </c>
      <c r="F165" s="31" t="n">
        <v>0</v>
      </c>
      <c r="G165" s="3" t="n">
        <v>5</v>
      </c>
      <c r="H165" s="3" t="n">
        <v>2</v>
      </c>
      <c r="I165" s="32" t="n">
        <v>0.4</v>
      </c>
      <c r="J165" s="3" t="n">
        <v>0</v>
      </c>
      <c r="K165" s="32" t="n">
        <v>0</v>
      </c>
      <c r="L165" s="32" t="n">
        <v>0</v>
      </c>
      <c r="M165" s="31" t="n">
        <v>0.31</v>
      </c>
      <c r="N165" s="3" t="inlineStr">
        <is>
          <t>Manual for Waterproof Blanket--Lily,Throws_Manual_Optiwise_24</t>
        </is>
      </c>
      <c r="O165" s="3" t="inlineStr">
        <is>
          <t>phrase</t>
        </is>
      </c>
      <c r="P165" s="4" t="n"/>
      <c r="Q165" s="4" t="n"/>
      <c r="R165" s="4" t="inlineStr">
        <is>
          <t>-</t>
        </is>
      </c>
      <c r="S165" s="4" t="n"/>
      <c r="T165" s="4" t="n">
        <v>0</v>
      </c>
      <c r="U165" s="4" t="n">
        <v>0</v>
      </c>
      <c r="V165" s="4" t="n"/>
    </row>
    <row r="166">
      <c r="A166" t="inlineStr">
        <is>
          <t>cola sirena</t>
        </is>
      </c>
      <c r="B166" s="4" t="inlineStr">
        <is>
          <t>10 - 20</t>
        </is>
      </c>
      <c r="C166" s="31" t="n">
        <v>0.62</v>
      </c>
      <c r="D166" s="31" t="n">
        <v>0</v>
      </c>
      <c r="E166" s="31" t="n">
        <v>0</v>
      </c>
      <c r="F166" s="31" t="n">
        <v>0</v>
      </c>
      <c r="G166" s="3" t="n">
        <v>16</v>
      </c>
      <c r="H166" s="3" t="n">
        <v>2</v>
      </c>
      <c r="I166" s="32" t="n">
        <v>0.12</v>
      </c>
      <c r="J166" s="3" t="n">
        <v>0</v>
      </c>
      <c r="K166" s="32" t="n">
        <v>0</v>
      </c>
      <c r="L166" s="32" t="n">
        <v>0.48</v>
      </c>
      <c r="M166" s="31" t="n">
        <v>0.31</v>
      </c>
      <c r="N166" s="3" t="inlineStr">
        <is>
          <t>Throws_Manual_Optiwise_24</t>
        </is>
      </c>
      <c r="O166" s="3" t="inlineStr">
        <is>
          <t>exact</t>
        </is>
      </c>
      <c r="P166" s="4" t="n"/>
      <c r="Q166" s="4" t="n"/>
      <c r="R166" s="4" t="inlineStr">
        <is>
          <t>-</t>
        </is>
      </c>
      <c r="S166" s="4" t="n"/>
      <c r="T166" s="4" t="n">
        <v>0</v>
      </c>
      <c r="U166" s="4" t="n">
        <v>0</v>
      </c>
      <c r="V166" s="4" t="n"/>
    </row>
    <row r="167">
      <c r="A167" t="inlineStr">
        <is>
          <t>15225872593</t>
        </is>
      </c>
      <c r="B167" s="4" t="n"/>
      <c r="C167" s="31" t="n">
        <v>0.62</v>
      </c>
      <c r="D167" s="31" t="n">
        <v>0</v>
      </c>
      <c r="E167" s="31" t="n">
        <v>0</v>
      </c>
      <c r="F167" s="31" t="n">
        <v>0</v>
      </c>
      <c r="G167" s="3" t="n">
        <v>5</v>
      </c>
      <c r="H167" s="3" t="n">
        <v>2</v>
      </c>
      <c r="I167" s="32" t="n">
        <v>0.4</v>
      </c>
      <c r="J167" s="3" t="n">
        <v>0</v>
      </c>
      <c r="K167" s="32" t="n">
        <v>0</v>
      </c>
      <c r="L167" s="32" t="n">
        <v>0</v>
      </c>
      <c r="M167" s="31" t="n">
        <v>0.31</v>
      </c>
      <c r="N167" s="3" t="inlineStr">
        <is>
          <t>1CTBF579GNCAMO_Manual_Optiwise</t>
        </is>
      </c>
      <c r="O167" s="3" t="inlineStr">
        <is>
          <t>exact</t>
        </is>
      </c>
      <c r="P167" s="4" t="n"/>
      <c r="Q167" s="4" t="n"/>
      <c r="R167" s="4" t="inlineStr">
        <is>
          <t>-</t>
        </is>
      </c>
      <c r="S167" s="4" t="n"/>
      <c r="T167" s="4" t="n">
        <v>0</v>
      </c>
      <c r="U167" s="4" t="n">
        <v>0</v>
      </c>
      <c r="V167" s="4" t="n"/>
    </row>
    <row r="168">
      <c r="A168" t="inlineStr">
        <is>
          <t>7682766696</t>
        </is>
      </c>
      <c r="B168" s="4" t="n"/>
      <c r="C168" s="31" t="n">
        <v>0.61</v>
      </c>
      <c r="D168" s="31" t="n">
        <v>0</v>
      </c>
      <c r="E168" s="31" t="n">
        <v>0</v>
      </c>
      <c r="F168" s="31" t="n">
        <v>0</v>
      </c>
      <c r="G168" s="3" t="n">
        <v>1</v>
      </c>
      <c r="H168" s="3" t="n">
        <v>1</v>
      </c>
      <c r="I168" s="32" t="n">
        <v>1</v>
      </c>
      <c r="J168" s="3" t="n">
        <v>0</v>
      </c>
      <c r="K168" s="32" t="n">
        <v>0</v>
      </c>
      <c r="L168" s="32" t="n">
        <v>0</v>
      </c>
      <c r="M168" s="31" t="n">
        <v>0.61</v>
      </c>
      <c r="N168" s="3" t="inlineStr">
        <is>
          <t>1TRBW506LGDG-CDCB_Manual</t>
        </is>
      </c>
      <c r="O168" s="3" t="inlineStr">
        <is>
          <t>exact</t>
        </is>
      </c>
      <c r="P168" s="4" t="n"/>
      <c r="Q168" s="4" t="n"/>
      <c r="R168" s="4" t="inlineStr">
        <is>
          <t>-</t>
        </is>
      </c>
      <c r="S168" s="4" t="n"/>
      <c r="T168" s="4" t="n">
        <v>0</v>
      </c>
      <c r="U168" s="4" t="n">
        <v>0</v>
      </c>
      <c r="V168" s="4" t="n"/>
    </row>
    <row r="169">
      <c r="A169" t="inlineStr">
        <is>
          <t>279013696</t>
        </is>
      </c>
      <c r="B169" s="4" t="n"/>
      <c r="C169" s="31" t="n">
        <v>0.61</v>
      </c>
      <c r="D169" s="31" t="n">
        <v>0</v>
      </c>
      <c r="E169" s="31" t="n">
        <v>0</v>
      </c>
      <c r="F169" s="31" t="n">
        <v>0</v>
      </c>
      <c r="G169" s="3" t="n">
        <v>3</v>
      </c>
      <c r="H169" s="3" t="n">
        <v>2</v>
      </c>
      <c r="I169" s="32" t="n">
        <v>0.67</v>
      </c>
      <c r="J169" s="3" t="n">
        <v>0</v>
      </c>
      <c r="K169" s="32" t="n">
        <v>0</v>
      </c>
      <c r="L169" s="32" t="n">
        <v>0</v>
      </c>
      <c r="M169" s="31" t="n">
        <v>0.3</v>
      </c>
      <c r="N169" s="3" t="inlineStr">
        <is>
          <t>Throws_Manual_Optiwise_24</t>
        </is>
      </c>
      <c r="O169" s="3" t="inlineStr">
        <is>
          <t>phrase</t>
        </is>
      </c>
      <c r="P169" s="4" t="n"/>
      <c r="Q169" s="4" t="n"/>
      <c r="R169" s="4" t="inlineStr">
        <is>
          <t>-</t>
        </is>
      </c>
      <c r="S169" s="4" t="n"/>
      <c r="T169" s="4" t="n">
        <v>0</v>
      </c>
      <c r="U169" s="4" t="n">
        <v>0</v>
      </c>
      <c r="V169" s="4" t="n"/>
    </row>
    <row r="170">
      <c r="A170" t="inlineStr">
        <is>
          <t>594665646</t>
        </is>
      </c>
      <c r="B170" s="4" t="n"/>
      <c r="C170" s="31" t="n">
        <v>0.6</v>
      </c>
      <c r="D170" s="31" t="n">
        <v>0</v>
      </c>
      <c r="E170" s="31" t="n">
        <v>0</v>
      </c>
      <c r="F170" s="31" t="n">
        <v>0</v>
      </c>
      <c r="G170" s="3" t="n">
        <v>34</v>
      </c>
      <c r="H170" s="3" t="n">
        <v>2</v>
      </c>
      <c r="I170" s="32" t="n">
        <v>0.06</v>
      </c>
      <c r="J170" s="3" t="n">
        <v>0</v>
      </c>
      <c r="K170" s="32" t="n">
        <v>0</v>
      </c>
      <c r="L170" s="32" t="n">
        <v>0</v>
      </c>
      <c r="M170" s="31" t="n">
        <v>0.3</v>
      </c>
      <c r="N170" s="3" t="inlineStr">
        <is>
          <t>Throws_Manual_Optiwise_24</t>
        </is>
      </c>
      <c r="O170" s="3" t="inlineStr">
        <is>
          <t>phrase</t>
        </is>
      </c>
      <c r="P170" s="4" t="n"/>
      <c r="Q170" s="4" t="n"/>
      <c r="R170" s="4" t="inlineStr">
        <is>
          <t>-</t>
        </is>
      </c>
      <c r="S170" s="4" t="n"/>
      <c r="T170" s="4" t="n">
        <v>0</v>
      </c>
      <c r="U170" s="4" t="n">
        <v>0</v>
      </c>
      <c r="V170" s="4" t="n"/>
    </row>
    <row r="171">
      <c r="A171" t="inlineStr">
        <is>
          <t>888252893</t>
        </is>
      </c>
      <c r="B171" s="4" t="n"/>
      <c r="C171" s="31" t="n">
        <v>0.6</v>
      </c>
      <c r="D171" s="31" t="n">
        <v>0</v>
      </c>
      <c r="E171" s="31" t="n">
        <v>0</v>
      </c>
      <c r="F171" s="31" t="n">
        <v>0</v>
      </c>
      <c r="G171" s="3" t="n">
        <v>28</v>
      </c>
      <c r="H171" s="3" t="n">
        <v>2</v>
      </c>
      <c r="I171" s="32" t="n">
        <v>0.07000000000000001</v>
      </c>
      <c r="J171" s="3" t="n">
        <v>0</v>
      </c>
      <c r="K171" s="32" t="n">
        <v>0</v>
      </c>
      <c r="L171" s="32" t="n"/>
      <c r="M171" s="31" t="n">
        <v>0.3</v>
      </c>
      <c r="N171" s="3" t="inlineStr">
        <is>
          <t>1WMBW506NYGY-TBCB_Manual_Optiwise,Manual for Waterproof Blanket--Lily,Picnic Blankets &amp; Mats_Manual_Optiwise_24</t>
        </is>
      </c>
      <c r="O171" s="3" t="inlineStr">
        <is>
          <t>exact</t>
        </is>
      </c>
      <c r="P171" s="4" t="n"/>
      <c r="Q171" s="4" t="n"/>
      <c r="R171" s="4" t="n">
        <v>0</v>
      </c>
      <c r="S171" s="4" t="n"/>
      <c r="T171" s="4" t="n">
        <v>0</v>
      </c>
      <c r="U171" s="4" t="n">
        <v>0</v>
      </c>
      <c r="V171" s="4" t="n"/>
    </row>
    <row r="172">
      <c r="A172" t="inlineStr">
        <is>
          <t>619898847</t>
        </is>
      </c>
      <c r="B172" s="4" t="n"/>
      <c r="C172" s="31" t="n">
        <v>0.6</v>
      </c>
      <c r="D172" s="31" t="n">
        <v>0</v>
      </c>
      <c r="E172" s="31" t="n">
        <v>0</v>
      </c>
      <c r="F172" s="31" t="n">
        <v>0</v>
      </c>
      <c r="G172" s="3" t="n">
        <v>20</v>
      </c>
      <c r="H172" s="3" t="n">
        <v>2</v>
      </c>
      <c r="I172" s="32" t="n">
        <v>0.1</v>
      </c>
      <c r="J172" s="3" t="n">
        <v>0</v>
      </c>
      <c r="K172" s="32" t="n">
        <v>0</v>
      </c>
      <c r="L172" s="32" t="n">
        <v>0</v>
      </c>
      <c r="M172" s="31" t="n">
        <v>0.3</v>
      </c>
      <c r="N172" s="3" t="inlineStr">
        <is>
          <t>Throws_Manual_Optiwise_24</t>
        </is>
      </c>
      <c r="O172" s="3" t="inlineStr">
        <is>
          <t>phrase</t>
        </is>
      </c>
      <c r="P172" s="4" t="n"/>
      <c r="Q172" s="4" t="n"/>
      <c r="R172" s="4" t="inlineStr">
        <is>
          <t>-</t>
        </is>
      </c>
      <c r="S172" s="4" t="n"/>
      <c r="T172" s="4" t="n">
        <v>0</v>
      </c>
      <c r="U172" s="4" t="n">
        <v>0</v>
      </c>
      <c r="V172" s="4" t="n"/>
    </row>
    <row r="173">
      <c r="A173" t="inlineStr">
        <is>
          <t>102443818</t>
        </is>
      </c>
      <c r="B173" s="4" t="n"/>
      <c r="C173" s="31" t="n">
        <v>0.6</v>
      </c>
      <c r="D173" s="31" t="n">
        <v>0</v>
      </c>
      <c r="E173" s="31" t="n">
        <v>0</v>
      </c>
      <c r="F173" s="31" t="n">
        <v>0</v>
      </c>
      <c r="G173" s="3" t="n">
        <v>30</v>
      </c>
      <c r="H173" s="3" t="n">
        <v>2</v>
      </c>
      <c r="I173" s="32" t="n">
        <v>0.07000000000000001</v>
      </c>
      <c r="J173" s="3" t="n">
        <v>0</v>
      </c>
      <c r="K173" s="32" t="n">
        <v>0</v>
      </c>
      <c r="L173" s="32" t="n">
        <v>0</v>
      </c>
      <c r="M173" s="31" t="n">
        <v>0.3</v>
      </c>
      <c r="N173" s="3" t="inlineStr">
        <is>
          <t>1WMBW506NYGY-TBCB_Manual_Optiwise</t>
        </is>
      </c>
      <c r="O173" s="3" t="inlineStr">
        <is>
          <t>exact</t>
        </is>
      </c>
      <c r="P173" s="4" t="n"/>
      <c r="Q173" s="4" t="n"/>
      <c r="R173" s="4" t="inlineStr">
        <is>
          <t>-</t>
        </is>
      </c>
      <c r="S173" s="4" t="n"/>
      <c r="T173" s="4" t="n">
        <v>0</v>
      </c>
      <c r="U173" s="4" t="n">
        <v>0</v>
      </c>
      <c r="V173" s="4" t="n"/>
    </row>
    <row r="174">
      <c r="A174" t="inlineStr">
        <is>
          <t>cammo blankets and throws</t>
        </is>
      </c>
      <c r="B174" s="4" t="n"/>
      <c r="C174" s="31" t="n">
        <v>0.6</v>
      </c>
      <c r="D174" s="31" t="n">
        <v>0</v>
      </c>
      <c r="E174" s="31" t="n">
        <v>0</v>
      </c>
      <c r="F174" s="31" t="n">
        <v>0</v>
      </c>
      <c r="G174" s="3" t="n">
        <v>3</v>
      </c>
      <c r="H174" s="3" t="n">
        <v>2</v>
      </c>
      <c r="I174" s="32" t="n">
        <v>0.67</v>
      </c>
      <c r="J174" s="3" t="n">
        <v>0</v>
      </c>
      <c r="K174" s="32" t="n">
        <v>0</v>
      </c>
      <c r="L174" s="32" t="n"/>
      <c r="M174" s="31" t="n">
        <v>0.3</v>
      </c>
      <c r="N174" s="3" t="inlineStr">
        <is>
          <t>1CTBF579GNCAMO_Manual_Optiwise</t>
        </is>
      </c>
      <c r="O174" s="3" t="inlineStr">
        <is>
          <t>exact</t>
        </is>
      </c>
      <c r="P174" s="4" t="n"/>
      <c r="Q174" s="4" t="n"/>
      <c r="R174" s="4" t="n">
        <v>0</v>
      </c>
      <c r="S174" s="4" t="n"/>
      <c r="T174" s="4" t="n">
        <v>0</v>
      </c>
      <c r="U174" s="4" t="n">
        <v>0</v>
      </c>
      <c r="V174" s="4" t="n"/>
    </row>
    <row r="175">
      <c r="A175" t="inlineStr">
        <is>
          <t>little mermaid blankets</t>
        </is>
      </c>
      <c r="B175" s="4" t="n"/>
      <c r="C175" s="31" t="n">
        <v>0.57</v>
      </c>
      <c r="D175" s="31" t="n">
        <v>0</v>
      </c>
      <c r="E175" s="31" t="n">
        <v>0</v>
      </c>
      <c r="F175" s="31" t="n">
        <v>0</v>
      </c>
      <c r="G175" s="3" t="n">
        <v>1</v>
      </c>
      <c r="H175" s="3" t="n">
        <v>1</v>
      </c>
      <c r="I175" s="32" t="n">
        <v>1</v>
      </c>
      <c r="J175" s="3" t="n">
        <v>0</v>
      </c>
      <c r="K175" s="32" t="n">
        <v>0</v>
      </c>
      <c r="L175" s="32" t="n">
        <v>0</v>
      </c>
      <c r="M175" s="31" t="n">
        <v>0.57</v>
      </c>
      <c r="N175" s="3" t="inlineStr">
        <is>
          <t>1WMMM500MUL_Manual</t>
        </is>
      </c>
      <c r="O175" s="3" t="inlineStr">
        <is>
          <t>phrase</t>
        </is>
      </c>
      <c r="P175" s="4" t="n"/>
      <c r="Q175" s="4" t="n"/>
      <c r="R175" s="4" t="inlineStr">
        <is>
          <t>-</t>
        </is>
      </c>
      <c r="S175" s="4" t="n"/>
      <c r="T175" s="4" t="n">
        <v>0</v>
      </c>
      <c r="U175" s="4" t="n">
        <v>0</v>
      </c>
      <c r="V175" s="4" t="n"/>
    </row>
    <row r="176">
      <c r="A176" t="inlineStr">
        <is>
          <t>sequin mermaid blanket</t>
        </is>
      </c>
      <c r="B176" s="4" t="n"/>
      <c r="C176" s="31" t="n">
        <v>0.57</v>
      </c>
      <c r="D176" s="31" t="n">
        <v>0</v>
      </c>
      <c r="E176" s="31" t="n">
        <v>0</v>
      </c>
      <c r="F176" s="31" t="n">
        <v>0</v>
      </c>
      <c r="G176" s="3" t="n">
        <v>2</v>
      </c>
      <c r="H176" s="3" t="n">
        <v>1</v>
      </c>
      <c r="I176" s="32" t="n">
        <v>0.5</v>
      </c>
      <c r="J176" s="3" t="n">
        <v>0</v>
      </c>
      <c r="K176" s="32" t="n">
        <v>0</v>
      </c>
      <c r="L176" s="32" t="n">
        <v>1</v>
      </c>
      <c r="M176" s="31" t="n">
        <v>0.57</v>
      </c>
      <c r="N176" s="3" t="inlineStr">
        <is>
          <t>1WMMM500MUL_Manual</t>
        </is>
      </c>
      <c r="O176" s="3" t="inlineStr">
        <is>
          <t>phrase</t>
        </is>
      </c>
      <c r="P176" s="4" t="n"/>
      <c r="Q176" s="4" t="n"/>
      <c r="R176" s="4" t="inlineStr">
        <is>
          <t>-</t>
        </is>
      </c>
      <c r="S176" s="4" t="n"/>
      <c r="T176" s="4" t="n">
        <v>0</v>
      </c>
      <c r="U176" s="4" t="n">
        <v>0</v>
      </c>
      <c r="V176" s="4" t="n"/>
    </row>
    <row r="177">
      <c r="A177" t="inlineStr">
        <is>
          <t>mermaid blanket tail</t>
        </is>
      </c>
      <c r="B177" s="4" t="n">
        <v>10</v>
      </c>
      <c r="C177" s="31" t="n">
        <v>0.57</v>
      </c>
      <c r="D177" s="31" t="n">
        <v>18.99</v>
      </c>
      <c r="E177" s="31" t="n">
        <v>18.99</v>
      </c>
      <c r="F177" s="31" t="n">
        <v>33.32</v>
      </c>
      <c r="G177" s="3" t="n">
        <v>2</v>
      </c>
      <c r="H177" s="3" t="n">
        <v>1</v>
      </c>
      <c r="I177" s="32" t="n">
        <v>0.5</v>
      </c>
      <c r="J177" s="3" t="n">
        <v>1</v>
      </c>
      <c r="K177" s="32" t="n">
        <v>1</v>
      </c>
      <c r="L177" s="32" t="n">
        <v>0.8504999999999999</v>
      </c>
      <c r="M177" s="31" t="n">
        <v>0.57</v>
      </c>
      <c r="N177" s="3" t="inlineStr">
        <is>
          <t>Keyword for All-Lily,Videos for MM--Lily</t>
        </is>
      </c>
      <c r="O177" s="3" t="inlineStr">
        <is>
          <t>phrase</t>
        </is>
      </c>
      <c r="P177" s="4" t="n">
        <v>9</v>
      </c>
      <c r="Q177" s="4" t="n">
        <v>6</v>
      </c>
      <c r="R177" s="4" t="n">
        <v>2</v>
      </c>
      <c r="S177" s="4" t="n">
        <v>1</v>
      </c>
      <c r="T177" s="4" t="n">
        <v>10</v>
      </c>
      <c r="U177" s="4" t="n">
        <v>1</v>
      </c>
      <c r="V177" s="4" t="inlineStr">
        <is>
          <t>856027355 - 7, 812625607 - 11, 781423419 - 23, 451336189 - 47, 942219918 - 1, 942219918 - 6, 959506124 - 16, 15190256647 - 20, 15169814317 - 35</t>
        </is>
      </c>
    </row>
    <row r="178">
      <c r="A178" t="inlineStr">
        <is>
          <t>mermsid blanket</t>
        </is>
      </c>
      <c r="B178" s="4" t="n"/>
      <c r="C178" s="31" t="n">
        <v>0.57</v>
      </c>
      <c r="D178" s="31" t="n">
        <v>18.99</v>
      </c>
      <c r="E178" s="31" t="n">
        <v>18.99</v>
      </c>
      <c r="F178" s="31" t="n">
        <v>33.32</v>
      </c>
      <c r="G178" s="3" t="n">
        <v>2</v>
      </c>
      <c r="H178" s="3" t="n">
        <v>1</v>
      </c>
      <c r="I178" s="32" t="n">
        <v>0.5</v>
      </c>
      <c r="J178" s="3" t="n">
        <v>1</v>
      </c>
      <c r="K178" s="32" t="n">
        <v>1</v>
      </c>
      <c r="L178" s="32" t="n">
        <v>0</v>
      </c>
      <c r="M178" s="31" t="n">
        <v>0.57</v>
      </c>
      <c r="N178" s="3" t="inlineStr">
        <is>
          <t>1WMMM500MUL_Manual</t>
        </is>
      </c>
      <c r="O178" s="3" t="inlineStr">
        <is>
          <t>phrase</t>
        </is>
      </c>
      <c r="P178" s="4" t="n"/>
      <c r="Q178" s="4" t="n"/>
      <c r="R178" s="4" t="inlineStr">
        <is>
          <t>-</t>
        </is>
      </c>
      <c r="S178" s="4" t="n"/>
      <c r="T178" s="4" t="n">
        <v>0</v>
      </c>
      <c r="U178" s="4" t="n">
        <v>0</v>
      </c>
      <c r="V178" s="4" t="n"/>
    </row>
    <row r="179">
      <c r="A179" t="inlineStr">
        <is>
          <t>144753415</t>
        </is>
      </c>
      <c r="B179" s="4" t="n"/>
      <c r="C179" s="31" t="n">
        <v>0.5600000000000001</v>
      </c>
      <c r="D179" s="31" t="n">
        <v>0</v>
      </c>
      <c r="E179" s="31" t="n">
        <v>0</v>
      </c>
      <c r="F179" s="31" t="n">
        <v>0</v>
      </c>
      <c r="G179" s="3" t="n">
        <v>2</v>
      </c>
      <c r="H179" s="3" t="n">
        <v>1</v>
      </c>
      <c r="I179" s="32" t="n">
        <v>0.5</v>
      </c>
      <c r="J179" s="3" t="n">
        <v>0</v>
      </c>
      <c r="K179" s="32" t="n">
        <v>0</v>
      </c>
      <c r="L179" s="32" t="n">
        <v>0</v>
      </c>
      <c r="M179" s="31" t="n">
        <v>0.5600000000000001</v>
      </c>
      <c r="N179" s="3" t="inlineStr">
        <is>
          <t>Picnic Blankets &amp; Mats_Manual_Optiwise_24</t>
        </is>
      </c>
      <c r="O179" s="3" t="inlineStr">
        <is>
          <t>exact</t>
        </is>
      </c>
      <c r="P179" s="4" t="n"/>
      <c r="Q179" s="4" t="n"/>
      <c r="R179" s="4" t="inlineStr">
        <is>
          <t>-</t>
        </is>
      </c>
      <c r="S179" s="4" t="n"/>
      <c r="T179" s="4" t="n">
        <v>0</v>
      </c>
      <c r="U179" s="4" t="n">
        <v>0</v>
      </c>
      <c r="V179" s="4" t="n"/>
    </row>
    <row r="180">
      <c r="A180" t="inlineStr">
        <is>
          <t>manta de sirena</t>
        </is>
      </c>
      <c r="B180" s="4" t="n">
        <v>10</v>
      </c>
      <c r="C180" s="31" t="n">
        <v>0.55</v>
      </c>
      <c r="D180" s="31" t="n">
        <v>0</v>
      </c>
      <c r="E180" s="31" t="n">
        <v>0</v>
      </c>
      <c r="F180" s="31" t="n">
        <v>0</v>
      </c>
      <c r="G180" s="3" t="n">
        <v>2</v>
      </c>
      <c r="H180" s="3" t="n">
        <v>1</v>
      </c>
      <c r="I180" s="32" t="n">
        <v>0.5</v>
      </c>
      <c r="J180" s="3" t="n">
        <v>0</v>
      </c>
      <c r="K180" s="32" t="n">
        <v>0</v>
      </c>
      <c r="L180" s="32" t="n">
        <v>0</v>
      </c>
      <c r="M180" s="31" t="n">
        <v>0.55</v>
      </c>
      <c r="N180" s="3" t="inlineStr">
        <is>
          <t>1WMMM500MUL_Manual</t>
        </is>
      </c>
      <c r="O180" s="3" t="inlineStr">
        <is>
          <t>phrase</t>
        </is>
      </c>
      <c r="P180" s="4" t="n"/>
      <c r="Q180" s="4" t="n"/>
      <c r="R180" s="4" t="inlineStr">
        <is>
          <t>-</t>
        </is>
      </c>
      <c r="S180" s="4" t="n"/>
      <c r="T180" s="4" t="n">
        <v>0</v>
      </c>
      <c r="U180" s="4" t="n">
        <v>0</v>
      </c>
      <c r="V180" s="4" t="n"/>
    </row>
    <row r="181">
      <c r="A181" t="inlineStr">
        <is>
          <t>166818305</t>
        </is>
      </c>
      <c r="B181" s="4" t="n"/>
      <c r="C181" s="31" t="n">
        <v>0.53</v>
      </c>
      <c r="D181" s="31" t="n">
        <v>0</v>
      </c>
      <c r="E181" s="31" t="n">
        <v>0</v>
      </c>
      <c r="F181" s="31" t="n">
        <v>0</v>
      </c>
      <c r="G181" s="3" t="n">
        <v>3</v>
      </c>
      <c r="H181" s="3" t="n">
        <v>1</v>
      </c>
      <c r="I181" s="32" t="n">
        <v>0.33</v>
      </c>
      <c r="J181" s="3" t="n">
        <v>0</v>
      </c>
      <c r="K181" s="32" t="n">
        <v>0</v>
      </c>
      <c r="L181" s="32" t="n"/>
      <c r="M181" s="31" t="n">
        <v>0.53</v>
      </c>
      <c r="N181" s="3" t="inlineStr">
        <is>
          <t>1WMBM109-BLGY</t>
        </is>
      </c>
      <c r="O181" s="3" t="inlineStr">
        <is>
          <t>exact</t>
        </is>
      </c>
      <c r="P181" s="4" t="n"/>
      <c r="Q181" s="4" t="n"/>
      <c r="R181" s="4" t="n">
        <v>0</v>
      </c>
      <c r="S181" s="4" t="n"/>
      <c r="T181" s="4" t="n">
        <v>0</v>
      </c>
      <c r="U181" s="4" t="n">
        <v>0</v>
      </c>
      <c r="V181" s="4" t="n"/>
    </row>
    <row r="182">
      <c r="A182" t="inlineStr">
        <is>
          <t>107158532</t>
        </is>
      </c>
      <c r="B182" s="4" t="n"/>
      <c r="C182" s="31" t="n">
        <v>0.51</v>
      </c>
      <c r="D182" s="31" t="n">
        <v>0</v>
      </c>
      <c r="E182" s="31" t="n">
        <v>0</v>
      </c>
      <c r="F182" s="31" t="n">
        <v>0</v>
      </c>
      <c r="G182" s="3" t="n">
        <v>7</v>
      </c>
      <c r="H182" s="3" t="n">
        <v>1</v>
      </c>
      <c r="I182" s="32" t="n">
        <v>0.14</v>
      </c>
      <c r="J182" s="3" t="n">
        <v>0</v>
      </c>
      <c r="K182" s="32" t="n">
        <v>0</v>
      </c>
      <c r="L182" s="32" t="n"/>
      <c r="M182" s="31" t="n">
        <v>0.51</v>
      </c>
      <c r="N182" s="3" t="inlineStr">
        <is>
          <t>1CTBP120GY_Manual_Optiwise,Throws_Manual_Optiwise_24</t>
        </is>
      </c>
      <c r="O182" s="3" t="inlineStr">
        <is>
          <t>exact</t>
        </is>
      </c>
      <c r="P182" s="4" t="n"/>
      <c r="Q182" s="4" t="n"/>
      <c r="R182" s="4" t="n">
        <v>0</v>
      </c>
      <c r="S182" s="4" t="n"/>
      <c r="T182" s="4" t="n">
        <v>0</v>
      </c>
      <c r="U182" s="4" t="n">
        <v>0</v>
      </c>
      <c r="V182" s="4" t="n"/>
    </row>
    <row r="183">
      <c r="A183" t="inlineStr">
        <is>
          <t>wearable blakets</t>
        </is>
      </c>
      <c r="B183" s="4" t="n"/>
      <c r="C183" s="31" t="n">
        <v>0.51</v>
      </c>
      <c r="D183" s="31" t="n">
        <v>0</v>
      </c>
      <c r="E183" s="31" t="n">
        <v>0</v>
      </c>
      <c r="F183" s="31" t="n">
        <v>0</v>
      </c>
      <c r="G183" s="3" t="n">
        <v>1</v>
      </c>
      <c r="H183" s="3" t="n">
        <v>1</v>
      </c>
      <c r="I183" s="32" t="n">
        <v>1</v>
      </c>
      <c r="J183" s="3" t="n">
        <v>0</v>
      </c>
      <c r="K183" s="32" t="n">
        <v>0</v>
      </c>
      <c r="L183" s="32" t="n"/>
      <c r="M183" s="31" t="n">
        <v>0.51</v>
      </c>
      <c r="N183" s="3" t="inlineStr">
        <is>
          <t>1CTBP120GY_Manual_Optiwise</t>
        </is>
      </c>
      <c r="O183" s="3" t="inlineStr">
        <is>
          <t>exact</t>
        </is>
      </c>
      <c r="P183" s="4" t="n"/>
      <c r="Q183" s="4" t="n"/>
      <c r="R183" s="4" t="n">
        <v>0</v>
      </c>
      <c r="S183" s="4" t="n"/>
      <c r="T183" s="4" t="n">
        <v>0</v>
      </c>
      <c r="U183" s="4" t="n">
        <v>0</v>
      </c>
      <c r="V183" s="4" t="n"/>
    </row>
    <row r="184">
      <c r="A184" t="inlineStr">
        <is>
          <t>wearable blankets</t>
        </is>
      </c>
      <c r="B184" s="4" t="n"/>
      <c r="C184" s="31" t="n">
        <v>0.51</v>
      </c>
      <c r="D184" s="31" t="n">
        <v>0</v>
      </c>
      <c r="E184" s="31" t="n">
        <v>0</v>
      </c>
      <c r="F184" s="31" t="n">
        <v>0</v>
      </c>
      <c r="G184" s="3" t="n">
        <v>1</v>
      </c>
      <c r="H184" s="3" t="n">
        <v>1</v>
      </c>
      <c r="I184" s="32" t="n">
        <v>1</v>
      </c>
      <c r="J184" s="3" t="n">
        <v>0</v>
      </c>
      <c r="K184" s="32" t="n">
        <v>0</v>
      </c>
      <c r="L184" s="32" t="n"/>
      <c r="M184" s="31" t="n">
        <v>0.51</v>
      </c>
      <c r="N184" s="3" t="inlineStr">
        <is>
          <t>1CTBP120GY_Manual_Optiwise</t>
        </is>
      </c>
      <c r="O184" s="3" t="inlineStr">
        <is>
          <t>exact</t>
        </is>
      </c>
      <c r="P184" s="4" t="n">
        <v>2</v>
      </c>
      <c r="Q184" s="4" t="n">
        <v>28</v>
      </c>
      <c r="R184" s="4" t="n">
        <v>1</v>
      </c>
      <c r="S184" s="4" t="n">
        <v>3</v>
      </c>
      <c r="T184" s="4" t="n">
        <v>10</v>
      </c>
      <c r="U184" s="4" t="n">
        <v>0</v>
      </c>
      <c r="V184" s="4" t="inlineStr">
        <is>
          <t>107158532 - 28, 2424108002 - 3</t>
        </is>
      </c>
    </row>
    <row r="185">
      <c r="A185" t="inlineStr">
        <is>
          <t>5081200432</t>
        </is>
      </c>
      <c r="B185" s="4" t="n"/>
      <c r="C185" s="31" t="n">
        <v>0.51</v>
      </c>
      <c r="D185" s="31" t="n">
        <v>0</v>
      </c>
      <c r="E185" s="31" t="n">
        <v>0</v>
      </c>
      <c r="F185" s="31" t="n">
        <v>0</v>
      </c>
      <c r="G185" s="3" t="n">
        <v>1</v>
      </c>
      <c r="H185" s="3" t="n">
        <v>1</v>
      </c>
      <c r="I185" s="32" t="n">
        <v>1</v>
      </c>
      <c r="J185" s="3" t="n">
        <v>0</v>
      </c>
      <c r="K185" s="32" t="n">
        <v>0</v>
      </c>
      <c r="L185" s="32" t="n">
        <v>0</v>
      </c>
      <c r="M185" s="31" t="n">
        <v>0.51</v>
      </c>
      <c r="N185" s="3" t="inlineStr">
        <is>
          <t>1CTBP120GY_Manual_Optiwise</t>
        </is>
      </c>
      <c r="O185" s="3" t="inlineStr">
        <is>
          <t>exact</t>
        </is>
      </c>
      <c r="P185" s="4" t="n"/>
      <c r="Q185" s="4" t="n"/>
      <c r="R185" s="4" t="inlineStr">
        <is>
          <t>-</t>
        </is>
      </c>
      <c r="S185" s="4" t="n"/>
      <c r="T185" s="4" t="n">
        <v>0</v>
      </c>
      <c r="U185" s="4" t="n">
        <v>0</v>
      </c>
      <c r="V185" s="4" t="n"/>
    </row>
    <row r="186">
      <c r="A186" t="inlineStr">
        <is>
          <t>14259050631</t>
        </is>
      </c>
      <c r="B186" s="4" t="n"/>
      <c r="C186" s="31" t="n">
        <v>0.51</v>
      </c>
      <c r="D186" s="31" t="n">
        <v>0</v>
      </c>
      <c r="E186" s="31" t="n">
        <v>0</v>
      </c>
      <c r="F186" s="31" t="n">
        <v>0</v>
      </c>
      <c r="G186" s="3" t="n">
        <v>2</v>
      </c>
      <c r="H186" s="3" t="n">
        <v>1</v>
      </c>
      <c r="I186" s="32" t="n">
        <v>0.5</v>
      </c>
      <c r="J186" s="3" t="n">
        <v>0</v>
      </c>
      <c r="K186" s="32" t="n">
        <v>0</v>
      </c>
      <c r="L186" s="32" t="n"/>
      <c r="M186" s="31" t="n">
        <v>0.51</v>
      </c>
      <c r="N186" s="3" t="inlineStr">
        <is>
          <t>1CTBP120GY_Manual_Optiwise</t>
        </is>
      </c>
      <c r="O186" s="3" t="inlineStr">
        <is>
          <t>exact</t>
        </is>
      </c>
      <c r="P186" s="4" t="n"/>
      <c r="Q186" s="4" t="n"/>
      <c r="R186" s="4" t="n">
        <v>0</v>
      </c>
      <c r="S186" s="4" t="n"/>
      <c r="T186" s="4" t="n">
        <v>0</v>
      </c>
      <c r="U186" s="4" t="n">
        <v>0</v>
      </c>
      <c r="V186" s="4" t="n"/>
    </row>
    <row r="187">
      <c r="A187" t="inlineStr">
        <is>
          <t>152971497</t>
        </is>
      </c>
      <c r="B187" s="4" t="n"/>
      <c r="C187" s="31" t="n">
        <v>0.49</v>
      </c>
      <c r="D187" s="31" t="n">
        <v>0</v>
      </c>
      <c r="E187" s="31" t="n">
        <v>0</v>
      </c>
      <c r="F187" s="31" t="n">
        <v>0</v>
      </c>
      <c r="G187" s="3" t="n">
        <v>6</v>
      </c>
      <c r="H187" s="3" t="n">
        <v>1</v>
      </c>
      <c r="I187" s="32" t="n">
        <v>0.17</v>
      </c>
      <c r="J187" s="3" t="n">
        <v>0</v>
      </c>
      <c r="K187" s="32" t="n">
        <v>0</v>
      </c>
      <c r="L187" s="32" t="n">
        <v>0</v>
      </c>
      <c r="M187" s="31" t="n">
        <v>0.49</v>
      </c>
      <c r="N187" s="3" t="inlineStr">
        <is>
          <t>Manual for Waterproof Blanket--Lily,Picnic Blankets &amp; Mats_Manual_Optiwise_24</t>
        </is>
      </c>
      <c r="O187" s="3" t="inlineStr">
        <is>
          <t>exact</t>
        </is>
      </c>
      <c r="P187" s="4" t="n"/>
      <c r="Q187" s="4" t="n"/>
      <c r="R187" s="4" t="inlineStr">
        <is>
          <t>-</t>
        </is>
      </c>
      <c r="S187" s="4" t="n"/>
      <c r="T187" s="4" t="n">
        <v>0</v>
      </c>
      <c r="U187" s="4" t="n">
        <v>0</v>
      </c>
      <c r="V187" s="4" t="n"/>
    </row>
    <row r="188">
      <c r="A188" t="inlineStr">
        <is>
          <t>camping blankey</t>
        </is>
      </c>
      <c r="B188" s="4" t="n"/>
      <c r="C188" s="31" t="n">
        <v>0.49</v>
      </c>
      <c r="D188" s="31" t="n">
        <v>0</v>
      </c>
      <c r="E188" s="31" t="n">
        <v>0</v>
      </c>
      <c r="F188" s="31" t="n">
        <v>0</v>
      </c>
      <c r="G188" s="3" t="n">
        <v>1</v>
      </c>
      <c r="H188" s="3" t="n">
        <v>1</v>
      </c>
      <c r="I188" s="32" t="n">
        <v>1</v>
      </c>
      <c r="J188" s="3" t="n">
        <v>0</v>
      </c>
      <c r="K188" s="32" t="n">
        <v>0</v>
      </c>
      <c r="L188" s="32" t="n">
        <v>0</v>
      </c>
      <c r="M188" s="31" t="n">
        <v>0.49</v>
      </c>
      <c r="N188" s="3" t="inlineStr">
        <is>
          <t>1WMBW506NYGY-TBCB_Manual</t>
        </is>
      </c>
      <c r="O188" s="3" t="inlineStr">
        <is>
          <t>exact</t>
        </is>
      </c>
      <c r="P188" s="4" t="n"/>
      <c r="Q188" s="4" t="n"/>
      <c r="R188" s="4" t="inlineStr">
        <is>
          <t>-</t>
        </is>
      </c>
      <c r="S188" s="4" t="n"/>
      <c r="T188" s="4" t="n">
        <v>0</v>
      </c>
      <c r="U188" s="4" t="n">
        <v>0</v>
      </c>
      <c r="V188" s="4" t="n"/>
    </row>
    <row r="189">
      <c r="A189" t="inlineStr">
        <is>
          <t>10303765497</t>
        </is>
      </c>
      <c r="B189" s="4" t="n"/>
      <c r="C189" s="31" t="n">
        <v>0.48</v>
      </c>
      <c r="D189" s="31" t="n">
        <v>0</v>
      </c>
      <c r="E189" s="31" t="n">
        <v>0</v>
      </c>
      <c r="F189" s="31" t="n">
        <v>0</v>
      </c>
      <c r="G189" s="3" t="n">
        <v>2</v>
      </c>
      <c r="H189" s="3" t="n">
        <v>1</v>
      </c>
      <c r="I189" s="32" t="n">
        <v>0.5</v>
      </c>
      <c r="J189" s="3" t="n">
        <v>0</v>
      </c>
      <c r="K189" s="32" t="n">
        <v>0</v>
      </c>
      <c r="L189" s="32" t="n">
        <v>0</v>
      </c>
      <c r="M189" s="31" t="n">
        <v>0.48</v>
      </c>
      <c r="N189" s="3" t="inlineStr">
        <is>
          <t>Belts Manual_Optiwise</t>
        </is>
      </c>
      <c r="O189" s="3" t="inlineStr">
        <is>
          <t>exact</t>
        </is>
      </c>
      <c r="P189" s="4" t="n"/>
      <c r="Q189" s="4" t="n"/>
      <c r="R189" s="4" t="inlineStr">
        <is>
          <t>-</t>
        </is>
      </c>
      <c r="S189" s="4" t="n"/>
      <c r="T189" s="4" t="n">
        <v>0</v>
      </c>
      <c r="U189" s="4" t="n">
        <v>0</v>
      </c>
      <c r="V189" s="4" t="n"/>
    </row>
    <row r="190">
      <c r="A190" t="inlineStr">
        <is>
          <t>cobijas para acampar</t>
        </is>
      </c>
      <c r="B190" s="4" t="n"/>
      <c r="C190" s="31" t="n">
        <v>0.47</v>
      </c>
      <c r="D190" s="31" t="n">
        <v>0</v>
      </c>
      <c r="E190" s="31" t="n">
        <v>0</v>
      </c>
      <c r="F190" s="31" t="n">
        <v>0</v>
      </c>
      <c r="G190" s="3" t="n">
        <v>4</v>
      </c>
      <c r="H190" s="3" t="n">
        <v>1</v>
      </c>
      <c r="I190" s="32" t="n">
        <v>0.25</v>
      </c>
      <c r="J190" s="3" t="n">
        <v>0</v>
      </c>
      <c r="K190" s="32" t="n">
        <v>0</v>
      </c>
      <c r="L190" s="32" t="n">
        <v>0</v>
      </c>
      <c r="M190" s="31" t="n">
        <v>0.47</v>
      </c>
      <c r="N190" s="3" t="inlineStr">
        <is>
          <t>Picnic Blankets &amp; Mats_Manual_Optiwise_24</t>
        </is>
      </c>
      <c r="O190" s="3" t="inlineStr">
        <is>
          <t>exact</t>
        </is>
      </c>
      <c r="P190" s="4" t="n"/>
      <c r="Q190" s="4" t="n"/>
      <c r="R190" s="4" t="inlineStr">
        <is>
          <t>-</t>
        </is>
      </c>
      <c r="S190" s="4" t="n"/>
      <c r="T190" s="4" t="n">
        <v>0</v>
      </c>
      <c r="U190" s="4" t="n">
        <v>0</v>
      </c>
      <c r="V190" s="4" t="n"/>
    </row>
    <row r="191">
      <c r="A191" t="inlineStr">
        <is>
          <t>campimg blankets</t>
        </is>
      </c>
      <c r="B191" s="4" t="n"/>
      <c r="C191" s="31" t="n">
        <v>0.46</v>
      </c>
      <c r="D191" s="31" t="n">
        <v>0</v>
      </c>
      <c r="E191" s="31" t="n">
        <v>0</v>
      </c>
      <c r="F191" s="31" t="n">
        <v>0</v>
      </c>
      <c r="G191" s="3" t="n">
        <v>2</v>
      </c>
      <c r="H191" s="3" t="n">
        <v>1</v>
      </c>
      <c r="I191" s="32" t="n">
        <v>0.5</v>
      </c>
      <c r="J191" s="3" t="n">
        <v>0</v>
      </c>
      <c r="K191" s="32" t="n">
        <v>0</v>
      </c>
      <c r="L191" s="32" t="n">
        <v>0</v>
      </c>
      <c r="M191" s="31" t="n">
        <v>0.46</v>
      </c>
      <c r="N191" s="3" t="inlineStr">
        <is>
          <t>1WMBW506NYGY-TBCB_Manual</t>
        </is>
      </c>
      <c r="O191" s="3" t="inlineStr">
        <is>
          <t>exact</t>
        </is>
      </c>
      <c r="P191" s="4" t="n"/>
      <c r="Q191" s="4" t="n"/>
      <c r="R191" s="4" t="inlineStr">
        <is>
          <t>-</t>
        </is>
      </c>
      <c r="S191" s="4" t="n"/>
      <c r="T191" s="4" t="n">
        <v>0</v>
      </c>
      <c r="U191" s="4" t="n">
        <v>0</v>
      </c>
      <c r="V191" s="4" t="n"/>
    </row>
    <row r="192">
      <c r="A192" t="inlineStr">
        <is>
          <t>6049762942</t>
        </is>
      </c>
      <c r="B192" s="4" t="n"/>
      <c r="C192" s="31" t="n">
        <v>0.43</v>
      </c>
      <c r="D192" s="31" t="n">
        <v>0</v>
      </c>
      <c r="E192" s="31" t="n">
        <v>0</v>
      </c>
      <c r="F192" s="31" t="n">
        <v>0</v>
      </c>
      <c r="G192" s="3" t="n">
        <v>19</v>
      </c>
      <c r="H192" s="3" t="n">
        <v>1</v>
      </c>
      <c r="I192" s="32" t="n">
        <v>0.05</v>
      </c>
      <c r="J192" s="3" t="n">
        <v>0</v>
      </c>
      <c r="K192" s="32" t="n">
        <v>0</v>
      </c>
      <c r="L192" s="32" t="n"/>
      <c r="M192" s="31" t="n">
        <v>0.43</v>
      </c>
      <c r="N192" s="3" t="inlineStr">
        <is>
          <t>1WMBM109-BLGY</t>
        </is>
      </c>
      <c r="O192" s="3" t="inlineStr">
        <is>
          <t>exact</t>
        </is>
      </c>
      <c r="P192" s="4" t="n"/>
      <c r="Q192" s="4" t="n"/>
      <c r="R192" s="4" t="n">
        <v>0</v>
      </c>
      <c r="S192" s="4" t="n"/>
      <c r="T192" s="4" t="n">
        <v>0</v>
      </c>
      <c r="U192" s="4" t="n">
        <v>0</v>
      </c>
      <c r="V192" s="4" t="n"/>
    </row>
    <row r="193">
      <c r="A193" t="inlineStr">
        <is>
          <t>manta para picnic</t>
        </is>
      </c>
      <c r="B193" s="4" t="n">
        <v>120</v>
      </c>
      <c r="C193" s="31" t="n">
        <v>0.41</v>
      </c>
      <c r="D193" s="31" t="n">
        <v>0</v>
      </c>
      <c r="E193" s="31" t="n">
        <v>0</v>
      </c>
      <c r="F193" s="31" t="n">
        <v>0</v>
      </c>
      <c r="G193" s="3" t="n">
        <v>6</v>
      </c>
      <c r="H193" s="3" t="n">
        <v>1</v>
      </c>
      <c r="I193" s="32" t="n">
        <v>0.17</v>
      </c>
      <c r="J193" s="3" t="n">
        <v>0</v>
      </c>
      <c r="K193" s="32" t="n">
        <v>0</v>
      </c>
      <c r="L193" s="32" t="n">
        <v>0.5845</v>
      </c>
      <c r="M193" s="31" t="n">
        <v>0.41</v>
      </c>
      <c r="N193" s="3" t="inlineStr">
        <is>
          <t>1WMBM109-BLGY,Picnic Blankets &amp; Mats_Manual_Optiwise_24</t>
        </is>
      </c>
      <c r="O193" s="3" t="inlineStr">
        <is>
          <t>exact</t>
        </is>
      </c>
      <c r="P193" s="4" t="n"/>
      <c r="Q193" s="4" t="n"/>
      <c r="R193" s="4" t="inlineStr">
        <is>
          <t>-</t>
        </is>
      </c>
      <c r="S193" s="4" t="n"/>
      <c r="T193" s="4" t="n">
        <v>0</v>
      </c>
      <c r="U193" s="4" t="n">
        <v>0</v>
      </c>
      <c r="V193" s="4" t="n"/>
    </row>
    <row r="194">
      <c r="A194" t="inlineStr">
        <is>
          <t>870245985</t>
        </is>
      </c>
      <c r="B194" s="4" t="n"/>
      <c r="C194" s="31" t="n">
        <v>0.41</v>
      </c>
      <c r="D194" s="31" t="n">
        <v>0</v>
      </c>
      <c r="E194" s="31" t="n">
        <v>0</v>
      </c>
      <c r="F194" s="31" t="n">
        <v>0</v>
      </c>
      <c r="G194" s="3" t="n">
        <v>2</v>
      </c>
      <c r="H194" s="3" t="n">
        <v>1</v>
      </c>
      <c r="I194" s="32" t="n">
        <v>0.5</v>
      </c>
      <c r="J194" s="3" t="n">
        <v>0</v>
      </c>
      <c r="K194" s="32" t="n">
        <v>0</v>
      </c>
      <c r="L194" s="32" t="n">
        <v>0</v>
      </c>
      <c r="M194" s="31" t="n">
        <v>0.41</v>
      </c>
      <c r="N194" s="3" t="inlineStr">
        <is>
          <t>1TRBW506LGDG-CDCB_Manual</t>
        </is>
      </c>
      <c r="O194" s="3" t="inlineStr">
        <is>
          <t>exact</t>
        </is>
      </c>
      <c r="P194" s="4" t="n"/>
      <c r="Q194" s="4" t="n"/>
      <c r="R194" s="4" t="inlineStr">
        <is>
          <t>-</t>
        </is>
      </c>
      <c r="S194" s="4" t="n"/>
      <c r="T194" s="4" t="n">
        <v>0</v>
      </c>
      <c r="U194" s="4" t="n">
        <v>0</v>
      </c>
      <c r="V194" s="4" t="n"/>
    </row>
    <row r="195">
      <c r="A195" t="inlineStr">
        <is>
          <t>14911712118</t>
        </is>
      </c>
      <c r="B195" s="4" t="n"/>
      <c r="C195" s="31" t="n">
        <v>0.41</v>
      </c>
      <c r="D195" s="31" t="n">
        <v>0</v>
      </c>
      <c r="E195" s="31" t="n">
        <v>0</v>
      </c>
      <c r="F195" s="31" t="n">
        <v>0</v>
      </c>
      <c r="G195" s="3" t="n">
        <v>14</v>
      </c>
      <c r="H195" s="3" t="n">
        <v>1</v>
      </c>
      <c r="I195" s="32" t="n">
        <v>0.07000000000000001</v>
      </c>
      <c r="J195" s="3" t="n">
        <v>0</v>
      </c>
      <c r="K195" s="32" t="n">
        <v>0</v>
      </c>
      <c r="L195" s="32" t="n"/>
      <c r="M195" s="31" t="n">
        <v>0.41</v>
      </c>
      <c r="N195" s="3" t="inlineStr">
        <is>
          <t>Picnic Blankets &amp; Mats_Manual_Optiwise_24</t>
        </is>
      </c>
      <c r="O195" s="3" t="inlineStr">
        <is>
          <t>exact</t>
        </is>
      </c>
      <c r="P195" s="4" t="n"/>
      <c r="Q195" s="4" t="n"/>
      <c r="R195" s="4" t="n">
        <v>0</v>
      </c>
      <c r="S195" s="4" t="n"/>
      <c r="T195" s="4" t="n">
        <v>0</v>
      </c>
      <c r="U195" s="4" t="n">
        <v>0</v>
      </c>
      <c r="V195" s="4" t="n"/>
    </row>
    <row r="196">
      <c r="A196" t="inlineStr">
        <is>
          <t>15169814317</t>
        </is>
      </c>
      <c r="B196" s="4" t="n"/>
      <c r="C196" s="31" t="n">
        <v>0.41</v>
      </c>
      <c r="D196" s="31" t="n">
        <v>0</v>
      </c>
      <c r="E196" s="31" t="n">
        <v>0</v>
      </c>
      <c r="F196" s="31" t="n">
        <v>0</v>
      </c>
      <c r="G196" s="3" t="n">
        <v>4</v>
      </c>
      <c r="H196" s="3" t="n">
        <v>1</v>
      </c>
      <c r="I196" s="32" t="n">
        <v>0.25</v>
      </c>
      <c r="J196" s="3" t="n">
        <v>0</v>
      </c>
      <c r="K196" s="32" t="n">
        <v>0</v>
      </c>
      <c r="L196" s="32" t="n">
        <v>0</v>
      </c>
      <c r="M196" s="31" t="n">
        <v>0.41</v>
      </c>
      <c r="N196" s="3" t="inlineStr">
        <is>
          <t>Throws_Manual_Optiwise_24</t>
        </is>
      </c>
      <c r="O196" s="3" t="inlineStr">
        <is>
          <t>exact</t>
        </is>
      </c>
      <c r="P196" s="4" t="n"/>
      <c r="Q196" s="4" t="n"/>
      <c r="R196" s="4" t="inlineStr">
        <is>
          <t>-</t>
        </is>
      </c>
      <c r="S196" s="4" t="n"/>
      <c r="T196" s="4" t="n">
        <v>0</v>
      </c>
      <c r="U196" s="4" t="n">
        <v>0</v>
      </c>
      <c r="V196" s="4" t="n"/>
    </row>
    <row r="197">
      <c r="A197" t="inlineStr">
        <is>
          <t>staduim blankets</t>
        </is>
      </c>
      <c r="B197" s="4" t="n"/>
      <c r="C197" s="31" t="n">
        <v>0.41</v>
      </c>
      <c r="D197" s="31" t="n">
        <v>0</v>
      </c>
      <c r="E197" s="31" t="n">
        <v>0</v>
      </c>
      <c r="F197" s="31" t="n">
        <v>0</v>
      </c>
      <c r="G197" s="3" t="n">
        <v>15</v>
      </c>
      <c r="H197" s="3" t="n">
        <v>1</v>
      </c>
      <c r="I197" s="32" t="n">
        <v>0.07000000000000001</v>
      </c>
      <c r="J197" s="3" t="n">
        <v>0</v>
      </c>
      <c r="K197" s="32" t="n">
        <v>0</v>
      </c>
      <c r="L197" s="32" t="n">
        <v>0</v>
      </c>
      <c r="M197" s="31" t="n">
        <v>0.41</v>
      </c>
      <c r="N197" s="3" t="inlineStr">
        <is>
          <t>Picnic Blankets &amp; Mats_Manual_Optiwise_24</t>
        </is>
      </c>
      <c r="O197" s="3" t="inlineStr">
        <is>
          <t>exact</t>
        </is>
      </c>
      <c r="P197" s="4" t="n"/>
      <c r="Q197" s="4" t="n"/>
      <c r="R197" s="4" t="inlineStr">
        <is>
          <t>-</t>
        </is>
      </c>
      <c r="S197" s="4" t="n"/>
      <c r="T197" s="4" t="n">
        <v>0</v>
      </c>
      <c r="U197" s="4" t="n">
        <v>0</v>
      </c>
      <c r="V197" s="4" t="n"/>
    </row>
    <row r="198">
      <c r="A198" t="inlineStr">
        <is>
          <t>6301805938</t>
        </is>
      </c>
      <c r="B198" s="4" t="n"/>
      <c r="C198" s="31" t="n">
        <v>0.41</v>
      </c>
      <c r="D198" s="31" t="n">
        <v>0</v>
      </c>
      <c r="E198" s="31" t="n">
        <v>0</v>
      </c>
      <c r="F198" s="31" t="n">
        <v>0</v>
      </c>
      <c r="G198" s="3" t="n">
        <v>2</v>
      </c>
      <c r="H198" s="3" t="n">
        <v>1</v>
      </c>
      <c r="I198" s="32" t="n">
        <v>0.5</v>
      </c>
      <c r="J198" s="3" t="n">
        <v>0</v>
      </c>
      <c r="K198" s="32" t="n">
        <v>0</v>
      </c>
      <c r="L198" s="32" t="n">
        <v>0</v>
      </c>
      <c r="M198" s="31" t="n">
        <v>0.41</v>
      </c>
      <c r="N198" s="3" t="inlineStr">
        <is>
          <t>1TRBW506LGDG-CDCB_Manual</t>
        </is>
      </c>
      <c r="O198" s="3" t="inlineStr">
        <is>
          <t>exact</t>
        </is>
      </c>
      <c r="P198" s="4" t="n"/>
      <c r="Q198" s="4" t="n"/>
      <c r="R198" s="4" t="inlineStr">
        <is>
          <t>-</t>
        </is>
      </c>
      <c r="S198" s="4" t="n"/>
      <c r="T198" s="4" t="n">
        <v>0</v>
      </c>
      <c r="U198" s="4" t="n">
        <v>0</v>
      </c>
      <c r="V198" s="4" t="n"/>
    </row>
    <row r="199">
      <c r="A199" t="inlineStr">
        <is>
          <t>14171664896</t>
        </is>
      </c>
      <c r="B199" s="4" t="n"/>
      <c r="C199" s="31" t="n">
        <v>0.41</v>
      </c>
      <c r="D199" s="31" t="n">
        <v>0</v>
      </c>
      <c r="E199" s="31" t="n">
        <v>0</v>
      </c>
      <c r="F199" s="31" t="n">
        <v>0</v>
      </c>
      <c r="G199" s="3" t="n">
        <v>7</v>
      </c>
      <c r="H199" s="3" t="n">
        <v>1</v>
      </c>
      <c r="I199" s="32" t="n">
        <v>0.14</v>
      </c>
      <c r="J199" s="3" t="n">
        <v>0</v>
      </c>
      <c r="K199" s="32" t="n">
        <v>0</v>
      </c>
      <c r="L199" s="32" t="n">
        <v>0</v>
      </c>
      <c r="M199" s="31" t="n">
        <v>0.41</v>
      </c>
      <c r="N199" s="3" t="inlineStr">
        <is>
          <t>Throws_Manual_Optiwise_24</t>
        </is>
      </c>
      <c r="O199" s="3" t="inlineStr">
        <is>
          <t>phrase</t>
        </is>
      </c>
      <c r="P199" s="4" t="n"/>
      <c r="Q199" s="4" t="n"/>
      <c r="R199" s="4" t="inlineStr">
        <is>
          <t>-</t>
        </is>
      </c>
      <c r="S199" s="4" t="n"/>
      <c r="T199" s="4" t="n">
        <v>0</v>
      </c>
      <c r="U199" s="4" t="n">
        <v>0</v>
      </c>
      <c r="V199" s="4" t="n"/>
    </row>
    <row r="200">
      <c r="A200" t="inlineStr">
        <is>
          <t>beach blankets</t>
        </is>
      </c>
      <c r="B200" s="4" t="n"/>
      <c r="C200" s="31" t="n">
        <v>0.41</v>
      </c>
      <c r="D200" s="31" t="n">
        <v>0</v>
      </c>
      <c r="E200" s="31" t="n">
        <v>0</v>
      </c>
      <c r="F200" s="31" t="n">
        <v>0</v>
      </c>
      <c r="G200" s="3" t="n">
        <v>16</v>
      </c>
      <c r="H200" s="3" t="n">
        <v>1</v>
      </c>
      <c r="I200" s="32" t="n">
        <v>0.06</v>
      </c>
      <c r="J200" s="3" t="n">
        <v>0</v>
      </c>
      <c r="K200" s="32" t="n">
        <v>0</v>
      </c>
      <c r="L200" s="32" t="n"/>
      <c r="M200" s="31" t="n">
        <v>0.41</v>
      </c>
      <c r="N200" s="3" t="inlineStr">
        <is>
          <t>1WMBM109-BLGY</t>
        </is>
      </c>
      <c r="O200" s="3" t="inlineStr">
        <is>
          <t>exact</t>
        </is>
      </c>
      <c r="P200" s="4" t="n"/>
      <c r="Q200" s="4" t="n"/>
      <c r="R200" s="4" t="n">
        <v>0</v>
      </c>
      <c r="S200" s="4" t="n"/>
      <c r="T200" s="4" t="n">
        <v>0</v>
      </c>
      <c r="U200" s="4" t="n">
        <v>0</v>
      </c>
      <c r="V200" s="4" t="n"/>
    </row>
    <row r="201">
      <c r="A201" t="inlineStr">
        <is>
          <t>3312710046</t>
        </is>
      </c>
      <c r="B201" s="4" t="n"/>
      <c r="C201" s="31" t="n">
        <v>0.41</v>
      </c>
      <c r="D201" s="31" t="n">
        <v>0</v>
      </c>
      <c r="E201" s="31" t="n">
        <v>0</v>
      </c>
      <c r="F201" s="31" t="n">
        <v>0</v>
      </c>
      <c r="G201" s="3" t="n">
        <v>3</v>
      </c>
      <c r="H201" s="3" t="n">
        <v>1</v>
      </c>
      <c r="I201" s="32" t="n">
        <v>0.33</v>
      </c>
      <c r="J201" s="3" t="n">
        <v>0</v>
      </c>
      <c r="K201" s="32" t="n">
        <v>0</v>
      </c>
      <c r="L201" s="32" t="n"/>
      <c r="M201" s="31" t="n">
        <v>0.41</v>
      </c>
      <c r="N201" s="3" t="inlineStr">
        <is>
          <t>Picnic Blankets &amp; Mats_Manual_Optiwise_24</t>
        </is>
      </c>
      <c r="O201" s="3" t="inlineStr">
        <is>
          <t>exact</t>
        </is>
      </c>
      <c r="P201" s="4" t="n"/>
      <c r="Q201" s="4" t="n"/>
      <c r="R201" s="4" t="n">
        <v>0</v>
      </c>
      <c r="S201" s="4" t="n"/>
      <c r="T201" s="4" t="n">
        <v>0</v>
      </c>
      <c r="U201" s="4" t="n">
        <v>0</v>
      </c>
      <c r="V201" s="4" t="n"/>
    </row>
    <row r="202">
      <c r="A202" t="inlineStr">
        <is>
          <t>staduim blanket</t>
        </is>
      </c>
      <c r="B202" s="4" t="n"/>
      <c r="C202" s="31" t="n">
        <v>0.41</v>
      </c>
      <c r="D202" s="31" t="n">
        <v>0</v>
      </c>
      <c r="E202" s="31" t="n">
        <v>0</v>
      </c>
      <c r="F202" s="31" t="n">
        <v>0</v>
      </c>
      <c r="G202" s="3" t="n">
        <v>1</v>
      </c>
      <c r="H202" s="3" t="n">
        <v>1</v>
      </c>
      <c r="I202" s="32" t="n">
        <v>1</v>
      </c>
      <c r="J202" s="3" t="n">
        <v>0</v>
      </c>
      <c r="K202" s="32" t="n">
        <v>0</v>
      </c>
      <c r="L202" s="32" t="n"/>
      <c r="M202" s="31" t="n">
        <v>0.41</v>
      </c>
      <c r="N202" s="3" t="inlineStr">
        <is>
          <t>Picnic Blankets &amp; Mats_Manual_Optiwise_24</t>
        </is>
      </c>
      <c r="O202" s="3" t="inlineStr">
        <is>
          <t>exact</t>
        </is>
      </c>
      <c r="P202" s="4" t="n"/>
      <c r="Q202" s="4" t="n"/>
      <c r="R202" s="4" t="n">
        <v>0</v>
      </c>
      <c r="S202" s="4" t="n"/>
      <c r="T202" s="4" t="n">
        <v>0</v>
      </c>
      <c r="U202" s="4" t="n">
        <v>0</v>
      </c>
      <c r="V202" s="4" t="n"/>
    </row>
    <row r="203">
      <c r="A203" t="inlineStr">
        <is>
          <t>wild frontier throw blanket 50x60</t>
        </is>
      </c>
      <c r="B203" s="4" t="n"/>
      <c r="C203" s="31" t="n">
        <v>0.41</v>
      </c>
      <c r="D203" s="31" t="n">
        <v>0</v>
      </c>
      <c r="E203" s="31" t="n">
        <v>0</v>
      </c>
      <c r="F203" s="31" t="n">
        <v>0</v>
      </c>
      <c r="G203" s="3" t="n">
        <v>2</v>
      </c>
      <c r="H203" s="3" t="n">
        <v>1</v>
      </c>
      <c r="I203" s="32" t="n">
        <v>0.5</v>
      </c>
      <c r="J203" s="3" t="n">
        <v>0</v>
      </c>
      <c r="K203" s="32" t="n">
        <v>0</v>
      </c>
      <c r="L203" s="32" t="n">
        <v>0</v>
      </c>
      <c r="M203" s="31" t="n">
        <v>0.41</v>
      </c>
      <c r="N203" s="3" t="inlineStr">
        <is>
          <t>Throws_Manual_Optiwise_24</t>
        </is>
      </c>
      <c r="O203" s="3" t="inlineStr">
        <is>
          <t>phrase</t>
        </is>
      </c>
      <c r="P203" s="4" t="n"/>
      <c r="Q203" s="4" t="n"/>
      <c r="R203" s="4" t="inlineStr">
        <is>
          <t>-</t>
        </is>
      </c>
      <c r="S203" s="4" t="n"/>
      <c r="T203" s="4" t="n">
        <v>0</v>
      </c>
      <c r="U203" s="4" t="n">
        <v>0</v>
      </c>
      <c r="V203" s="4" t="n"/>
    </row>
    <row r="204">
      <c r="A204" t="inlineStr">
        <is>
          <t>outside blanke</t>
        </is>
      </c>
      <c r="B204" s="4" t="n"/>
      <c r="C204" s="31" t="n">
        <v>0.41</v>
      </c>
      <c r="D204" s="31" t="n">
        <v>0</v>
      </c>
      <c r="E204" s="31" t="n">
        <v>0</v>
      </c>
      <c r="F204" s="31" t="n">
        <v>0</v>
      </c>
      <c r="G204" s="3" t="n">
        <v>10</v>
      </c>
      <c r="H204" s="3" t="n">
        <v>1</v>
      </c>
      <c r="I204" s="32" t="n">
        <v>0.1</v>
      </c>
      <c r="J204" s="3" t="n">
        <v>0</v>
      </c>
      <c r="K204" s="32" t="n">
        <v>0</v>
      </c>
      <c r="L204" s="32" t="n">
        <v>0</v>
      </c>
      <c r="M204" s="31" t="n">
        <v>0.41</v>
      </c>
      <c r="N204" s="3" t="inlineStr">
        <is>
          <t>Picnic Blankets &amp; Mats_Manual_Optiwise_24</t>
        </is>
      </c>
      <c r="O204" s="3" t="inlineStr">
        <is>
          <t>exact</t>
        </is>
      </c>
      <c r="P204" s="4" t="n"/>
      <c r="Q204" s="4" t="n"/>
      <c r="R204" s="4" t="inlineStr">
        <is>
          <t>-</t>
        </is>
      </c>
      <c r="S204" s="4" t="n"/>
      <c r="T204" s="4" t="n">
        <v>0</v>
      </c>
      <c r="U204" s="4" t="n">
        <v>0</v>
      </c>
      <c r="V204" s="4" t="n"/>
    </row>
    <row r="205">
      <c r="A205" t="inlineStr">
        <is>
          <t>beach blanke</t>
        </is>
      </c>
      <c r="B205" s="4" t="n"/>
      <c r="C205" s="31" t="n">
        <v>0.41</v>
      </c>
      <c r="D205" s="31" t="n">
        <v>0</v>
      </c>
      <c r="E205" s="31" t="n">
        <v>0</v>
      </c>
      <c r="F205" s="31" t="n">
        <v>0</v>
      </c>
      <c r="G205" s="3" t="n">
        <v>3</v>
      </c>
      <c r="H205" s="3" t="n">
        <v>1</v>
      </c>
      <c r="I205" s="32" t="n">
        <v>0.33</v>
      </c>
      <c r="J205" s="3" t="n">
        <v>0</v>
      </c>
      <c r="K205" s="32" t="n">
        <v>0</v>
      </c>
      <c r="L205" s="32" t="n"/>
      <c r="M205" s="31" t="n">
        <v>0.41</v>
      </c>
      <c r="N205" s="3" t="inlineStr">
        <is>
          <t>1WMBM109-BLGY</t>
        </is>
      </c>
      <c r="O205" s="3" t="inlineStr">
        <is>
          <t>exact</t>
        </is>
      </c>
      <c r="P205" s="4" t="n"/>
      <c r="Q205" s="4" t="n"/>
      <c r="R205" s="4" t="n">
        <v>0</v>
      </c>
      <c r="S205" s="4" t="n"/>
      <c r="T205" s="4" t="n">
        <v>0</v>
      </c>
      <c r="U205" s="4" t="n">
        <v>0</v>
      </c>
      <c r="V205" s="4" t="n"/>
    </row>
    <row r="206">
      <c r="A206" t="inlineStr">
        <is>
          <t>mermaid tail blankets</t>
        </is>
      </c>
      <c r="B206" s="4" t="n"/>
      <c r="C206" s="31" t="n">
        <v>0.41</v>
      </c>
      <c r="D206" s="31" t="n">
        <v>0</v>
      </c>
      <c r="E206" s="31" t="n">
        <v>0</v>
      </c>
      <c r="F206" s="31" t="n">
        <v>0</v>
      </c>
      <c r="G206" s="3" t="n">
        <v>9</v>
      </c>
      <c r="H206" s="3" t="n">
        <v>1</v>
      </c>
      <c r="I206" s="32" t="n">
        <v>0.11</v>
      </c>
      <c r="J206" s="3" t="n">
        <v>0</v>
      </c>
      <c r="K206" s="32" t="n">
        <v>0</v>
      </c>
      <c r="L206" s="32" t="n">
        <v>0</v>
      </c>
      <c r="M206" s="31" t="n">
        <v>0.41</v>
      </c>
      <c r="N206" s="3" t="inlineStr">
        <is>
          <t>Throws_Manual_Optiwise_24</t>
        </is>
      </c>
      <c r="O206" s="3" t="inlineStr">
        <is>
          <t>exact</t>
        </is>
      </c>
      <c r="P206" s="4" t="n"/>
      <c r="Q206" s="4" t="n"/>
      <c r="R206" s="4" t="inlineStr">
        <is>
          <t>-</t>
        </is>
      </c>
      <c r="S206" s="4" t="n"/>
      <c r="T206" s="4" t="n">
        <v>0</v>
      </c>
      <c r="U206" s="4" t="n">
        <v>0</v>
      </c>
      <c r="V206" s="4" t="n"/>
    </row>
    <row r="207">
      <c r="A207" t="inlineStr">
        <is>
          <t>760187250</t>
        </is>
      </c>
      <c r="B207" s="4" t="n"/>
      <c r="C207" s="31" t="n">
        <v>0.41</v>
      </c>
      <c r="D207" s="31" t="n">
        <v>0</v>
      </c>
      <c r="E207" s="31" t="n">
        <v>0</v>
      </c>
      <c r="F207" s="31" t="n">
        <v>0</v>
      </c>
      <c r="G207" s="3" t="n">
        <v>4</v>
      </c>
      <c r="H207" s="3" t="n">
        <v>1</v>
      </c>
      <c r="I207" s="32" t="n">
        <v>0.25</v>
      </c>
      <c r="J207" s="3" t="n">
        <v>0</v>
      </c>
      <c r="K207" s="32" t="n">
        <v>0</v>
      </c>
      <c r="L207" s="32" t="n"/>
      <c r="M207" s="31" t="n">
        <v>0.41</v>
      </c>
      <c r="N207" s="3" t="inlineStr">
        <is>
          <t>Picnic Blankets &amp; Mats_Manual_Optiwise_24</t>
        </is>
      </c>
      <c r="O207" s="3" t="inlineStr">
        <is>
          <t>exact</t>
        </is>
      </c>
      <c r="P207" s="4" t="n"/>
      <c r="Q207" s="4" t="n"/>
      <c r="R207" s="4" t="n">
        <v>0</v>
      </c>
      <c r="S207" s="4" t="n"/>
      <c r="T207" s="4" t="n">
        <v>0</v>
      </c>
      <c r="U207" s="4" t="n">
        <v>0</v>
      </c>
      <c r="V207" s="4" t="n"/>
    </row>
    <row r="208">
      <c r="A208" t="inlineStr">
        <is>
          <t>5363906118</t>
        </is>
      </c>
      <c r="B208" s="4" t="n"/>
      <c r="C208" s="31" t="n">
        <v>0.41</v>
      </c>
      <c r="D208" s="31" t="n">
        <v>0</v>
      </c>
      <c r="E208" s="31" t="n">
        <v>0</v>
      </c>
      <c r="F208" s="31" t="n">
        <v>0</v>
      </c>
      <c r="G208" s="3" t="n">
        <v>4</v>
      </c>
      <c r="H208" s="3" t="n">
        <v>1</v>
      </c>
      <c r="I208" s="32" t="n">
        <v>0.25</v>
      </c>
      <c r="J208" s="3" t="n">
        <v>0</v>
      </c>
      <c r="K208" s="32" t="n">
        <v>0</v>
      </c>
      <c r="L208" s="32" t="n">
        <v>0</v>
      </c>
      <c r="M208" s="31" t="n">
        <v>0.41</v>
      </c>
      <c r="N208" s="3" t="inlineStr">
        <is>
          <t>Picnic Blankets &amp; Mats_Manual_Optiwise_24</t>
        </is>
      </c>
      <c r="O208" s="3" t="inlineStr">
        <is>
          <t>exact</t>
        </is>
      </c>
      <c r="P208" s="4" t="n"/>
      <c r="Q208" s="4" t="n"/>
      <c r="R208" s="4" t="inlineStr">
        <is>
          <t>-</t>
        </is>
      </c>
      <c r="S208" s="4" t="n"/>
      <c r="T208" s="4" t="n">
        <v>0</v>
      </c>
      <c r="U208" s="4" t="n">
        <v>0</v>
      </c>
      <c r="V208" s="4" t="n"/>
    </row>
    <row r="209">
      <c r="A209" t="inlineStr">
        <is>
          <t>mantas para picnic</t>
        </is>
      </c>
      <c r="B209" s="4" t="n"/>
      <c r="C209" s="31" t="n">
        <v>0.41</v>
      </c>
      <c r="D209" s="31" t="n">
        <v>0</v>
      </c>
      <c r="E209" s="31" t="n">
        <v>0</v>
      </c>
      <c r="F209" s="31" t="n">
        <v>0</v>
      </c>
      <c r="G209" s="3" t="n">
        <v>2</v>
      </c>
      <c r="H209" s="3" t="n">
        <v>1</v>
      </c>
      <c r="I209" s="32" t="n">
        <v>0.5</v>
      </c>
      <c r="J209" s="3" t="n">
        <v>0</v>
      </c>
      <c r="K209" s="32" t="n">
        <v>0</v>
      </c>
      <c r="L209" s="32" t="n"/>
      <c r="M209" s="31" t="n">
        <v>0.41</v>
      </c>
      <c r="N209" s="3" t="inlineStr">
        <is>
          <t>1WMBM109-BLGY</t>
        </is>
      </c>
      <c r="O209" s="3" t="inlineStr">
        <is>
          <t>exact</t>
        </is>
      </c>
      <c r="P209" s="4" t="n"/>
      <c r="Q209" s="4" t="n"/>
      <c r="R209" s="4" t="n">
        <v>0</v>
      </c>
      <c r="S209" s="4" t="n"/>
      <c r="T209" s="4" t="n">
        <v>0</v>
      </c>
      <c r="U209" s="4" t="n">
        <v>0</v>
      </c>
      <c r="V209" s="4" t="n"/>
    </row>
    <row r="210">
      <c r="A210" t="inlineStr">
        <is>
          <t>8192668500</t>
        </is>
      </c>
      <c r="B210" s="4" t="n"/>
      <c r="C210" s="31" t="n">
        <v>0.41</v>
      </c>
      <c r="D210" s="31" t="n">
        <v>0</v>
      </c>
      <c r="E210" s="31" t="n">
        <v>0</v>
      </c>
      <c r="F210" s="31" t="n">
        <v>0</v>
      </c>
      <c r="G210" s="3" t="n">
        <v>47</v>
      </c>
      <c r="H210" s="3" t="n">
        <v>1</v>
      </c>
      <c r="I210" s="32" t="n">
        <v>0.02</v>
      </c>
      <c r="J210" s="3" t="n">
        <v>0</v>
      </c>
      <c r="K210" s="32" t="n">
        <v>0</v>
      </c>
      <c r="L210" s="32" t="n">
        <v>0</v>
      </c>
      <c r="M210" s="31" t="n">
        <v>0.41</v>
      </c>
      <c r="N210" s="3" t="inlineStr">
        <is>
          <t>Throws_Manual_Optiwise_24</t>
        </is>
      </c>
      <c r="O210" s="3" t="inlineStr">
        <is>
          <t>phrase</t>
        </is>
      </c>
      <c r="P210" s="4" t="n"/>
      <c r="Q210" s="4" t="n"/>
      <c r="R210" s="4" t="inlineStr">
        <is>
          <t>-</t>
        </is>
      </c>
      <c r="S210" s="4" t="n"/>
      <c r="T210" s="4" t="n">
        <v>0</v>
      </c>
      <c r="U210" s="4" t="n">
        <v>0</v>
      </c>
      <c r="V210" s="4" t="n"/>
    </row>
    <row r="211">
      <c r="A211" t="inlineStr">
        <is>
          <t>15994363770</t>
        </is>
      </c>
      <c r="B211" s="4" t="n"/>
      <c r="C211" s="31" t="n">
        <v>0.41</v>
      </c>
      <c r="D211" s="31" t="n">
        <v>0</v>
      </c>
      <c r="E211" s="31" t="n">
        <v>0</v>
      </c>
      <c r="F211" s="31" t="n">
        <v>0</v>
      </c>
      <c r="G211" s="3" t="n">
        <v>2</v>
      </c>
      <c r="H211" s="3" t="n">
        <v>1</v>
      </c>
      <c r="I211" s="32" t="n">
        <v>0.5</v>
      </c>
      <c r="J211" s="3" t="n">
        <v>0</v>
      </c>
      <c r="K211" s="32" t="n">
        <v>0</v>
      </c>
      <c r="L211" s="32" t="n"/>
      <c r="M211" s="31" t="n">
        <v>0.41</v>
      </c>
      <c r="N211" s="3" t="inlineStr">
        <is>
          <t>Picnic Blankets &amp; Mats_Manual_Optiwise_24</t>
        </is>
      </c>
      <c r="O211" s="3" t="inlineStr">
        <is>
          <t>exact</t>
        </is>
      </c>
      <c r="P211" s="4" t="n"/>
      <c r="Q211" s="4" t="n"/>
      <c r="R211" s="4" t="n">
        <v>0</v>
      </c>
      <c r="S211" s="4" t="n"/>
      <c r="T211" s="4" t="n">
        <v>0</v>
      </c>
      <c r="U211" s="4" t="n">
        <v>0</v>
      </c>
      <c r="V211" s="4" t="n"/>
    </row>
    <row r="212">
      <c r="A212" t="inlineStr">
        <is>
          <t>38683298</t>
        </is>
      </c>
      <c r="B212" s="4" t="n"/>
      <c r="C212" s="31" t="n">
        <v>0.41</v>
      </c>
      <c r="D212" s="31" t="n">
        <v>0</v>
      </c>
      <c r="E212" s="31" t="n">
        <v>0</v>
      </c>
      <c r="F212" s="31" t="n">
        <v>0</v>
      </c>
      <c r="G212" s="3" t="n">
        <v>1</v>
      </c>
      <c r="H212" s="3" t="n">
        <v>1</v>
      </c>
      <c r="I212" s="32" t="n">
        <v>1</v>
      </c>
      <c r="J212" s="3" t="n">
        <v>0</v>
      </c>
      <c r="K212" s="32" t="n">
        <v>0</v>
      </c>
      <c r="L212" s="32" t="n">
        <v>0</v>
      </c>
      <c r="M212" s="31" t="n">
        <v>0.41</v>
      </c>
      <c r="N212" s="3" t="inlineStr">
        <is>
          <t>Throws_Manual_Optiwise_24</t>
        </is>
      </c>
      <c r="O212" s="3" t="inlineStr">
        <is>
          <t>phrase</t>
        </is>
      </c>
      <c r="P212" s="4" t="n"/>
      <c r="Q212" s="4" t="n"/>
      <c r="R212" s="4" t="inlineStr">
        <is>
          <t>-</t>
        </is>
      </c>
      <c r="S212" s="4" t="n"/>
      <c r="T212" s="4" t="n">
        <v>0</v>
      </c>
      <c r="U212" s="4" t="n">
        <v>0</v>
      </c>
      <c r="V212" s="4" t="n"/>
    </row>
    <row r="213">
      <c r="A213" t="inlineStr">
        <is>
          <t>picknic blanket</t>
        </is>
      </c>
      <c r="B213" s="4" t="n"/>
      <c r="C213" s="31" t="n">
        <v>0.41</v>
      </c>
      <c r="D213" s="31" t="n">
        <v>0</v>
      </c>
      <c r="E213" s="31" t="n">
        <v>0</v>
      </c>
      <c r="F213" s="31" t="n">
        <v>0</v>
      </c>
      <c r="G213" s="3" t="n">
        <v>4</v>
      </c>
      <c r="H213" s="3" t="n">
        <v>1</v>
      </c>
      <c r="I213" s="32" t="n">
        <v>0.25</v>
      </c>
      <c r="J213" s="3" t="n">
        <v>0</v>
      </c>
      <c r="K213" s="32" t="n">
        <v>0</v>
      </c>
      <c r="L213" s="32" t="n"/>
      <c r="M213" s="31" t="n">
        <v>0.41</v>
      </c>
      <c r="N213" s="3" t="inlineStr">
        <is>
          <t>Picnic Blankets &amp; Mats_Manual_Optiwise_24</t>
        </is>
      </c>
      <c r="O213" s="3" t="inlineStr">
        <is>
          <t>exact</t>
        </is>
      </c>
      <c r="P213" s="4" t="n"/>
      <c r="Q213" s="4" t="n"/>
      <c r="R213" s="4" t="n">
        <v>0</v>
      </c>
      <c r="S213" s="4" t="n"/>
      <c r="T213" s="4" t="n">
        <v>0</v>
      </c>
      <c r="U213" s="4" t="n">
        <v>0</v>
      </c>
      <c r="V213" s="4" t="n"/>
    </row>
    <row r="214">
      <c r="A214" t="inlineStr">
        <is>
          <t>8215463157</t>
        </is>
      </c>
      <c r="B214" s="4" t="n"/>
      <c r="C214" s="31" t="n">
        <v>0.41</v>
      </c>
      <c r="D214" s="31" t="n">
        <v>0</v>
      </c>
      <c r="E214" s="31" t="n">
        <v>0</v>
      </c>
      <c r="F214" s="31" t="n">
        <v>0</v>
      </c>
      <c r="G214" s="3" t="n">
        <v>6</v>
      </c>
      <c r="H214" s="3" t="n">
        <v>1</v>
      </c>
      <c r="I214" s="32" t="n">
        <v>0.17</v>
      </c>
      <c r="J214" s="3" t="n">
        <v>0</v>
      </c>
      <c r="K214" s="32" t="n">
        <v>0</v>
      </c>
      <c r="L214" s="32" t="n"/>
      <c r="M214" s="31" t="n">
        <v>0.41</v>
      </c>
      <c r="N214" s="3" t="inlineStr">
        <is>
          <t>1TRBW506LGDG-CDCB_Manual</t>
        </is>
      </c>
      <c r="O214" s="3" t="inlineStr">
        <is>
          <t>exact</t>
        </is>
      </c>
      <c r="P214" s="4" t="n"/>
      <c r="Q214" s="4" t="n"/>
      <c r="R214" s="4" t="n">
        <v>0</v>
      </c>
      <c r="S214" s="4" t="n"/>
      <c r="T214" s="4" t="n">
        <v>0</v>
      </c>
      <c r="U214" s="4" t="n">
        <v>0</v>
      </c>
      <c r="V214" s="4" t="n"/>
    </row>
    <row r="215">
      <c r="A215" t="inlineStr">
        <is>
          <t>5124401109</t>
        </is>
      </c>
      <c r="B215" s="4" t="n"/>
      <c r="C215" s="31" t="n">
        <v>0.41</v>
      </c>
      <c r="D215" s="31" t="n">
        <v>0</v>
      </c>
      <c r="E215" s="31" t="n">
        <v>0</v>
      </c>
      <c r="F215" s="31" t="n">
        <v>0</v>
      </c>
      <c r="G215" s="3" t="n">
        <v>6</v>
      </c>
      <c r="H215" s="3" t="n">
        <v>1</v>
      </c>
      <c r="I215" s="32" t="n">
        <v>0.17</v>
      </c>
      <c r="J215" s="3" t="n">
        <v>0</v>
      </c>
      <c r="K215" s="32" t="n">
        <v>0</v>
      </c>
      <c r="L215" s="32" t="n"/>
      <c r="M215" s="31" t="n">
        <v>0.41</v>
      </c>
      <c r="N215" s="3" t="inlineStr">
        <is>
          <t>Manual for Waterproof Blanket--Lily,Picnic Blankets &amp; Mats_Manual_Optiwise_24,Throws_Manual_Optiwise_24</t>
        </is>
      </c>
      <c r="O215" s="3" t="inlineStr">
        <is>
          <t>exact</t>
        </is>
      </c>
      <c r="P215" s="4" t="n"/>
      <c r="Q215" s="4" t="n"/>
      <c r="R215" s="4" t="n">
        <v>0</v>
      </c>
      <c r="S215" s="4" t="n"/>
      <c r="T215" s="4" t="n">
        <v>0</v>
      </c>
      <c r="U215" s="4" t="n">
        <v>0</v>
      </c>
      <c r="V215" s="4" t="n"/>
    </row>
    <row r="216">
      <c r="A216" t="inlineStr">
        <is>
          <t>5257765719</t>
        </is>
      </c>
      <c r="B216" s="4" t="n"/>
      <c r="C216" s="31" t="n">
        <v>0.41</v>
      </c>
      <c r="D216" s="31" t="n">
        <v>0</v>
      </c>
      <c r="E216" s="31" t="n">
        <v>0</v>
      </c>
      <c r="F216" s="31" t="n">
        <v>0</v>
      </c>
      <c r="G216" s="3" t="n">
        <v>2</v>
      </c>
      <c r="H216" s="3" t="n">
        <v>1</v>
      </c>
      <c r="I216" s="32" t="n">
        <v>0.5</v>
      </c>
      <c r="J216" s="3" t="n">
        <v>0</v>
      </c>
      <c r="K216" s="32" t="n">
        <v>0</v>
      </c>
      <c r="L216" s="32" t="n">
        <v>0</v>
      </c>
      <c r="M216" s="31" t="n">
        <v>0.41</v>
      </c>
      <c r="N216" s="3" t="inlineStr">
        <is>
          <t>Picnic Blankets &amp; Mats_Manual_Optiwise_24</t>
        </is>
      </c>
      <c r="O216" s="3" t="inlineStr">
        <is>
          <t>exact</t>
        </is>
      </c>
      <c r="P216" s="4" t="n"/>
      <c r="Q216" s="4" t="n"/>
      <c r="R216" s="4" t="inlineStr">
        <is>
          <t>-</t>
        </is>
      </c>
      <c r="S216" s="4" t="n"/>
      <c r="T216" s="4" t="n">
        <v>0</v>
      </c>
      <c r="U216" s="4" t="n">
        <v>0</v>
      </c>
      <c r="V216" s="4" t="n"/>
    </row>
    <row r="217">
      <c r="A217" t="inlineStr">
        <is>
          <t>5027367827</t>
        </is>
      </c>
      <c r="B217" s="4" t="n"/>
      <c r="C217" s="31" t="n">
        <v>0.41</v>
      </c>
      <c r="D217" s="31" t="n">
        <v>0</v>
      </c>
      <c r="E217" s="31" t="n">
        <v>0</v>
      </c>
      <c r="F217" s="31" t="n">
        <v>0</v>
      </c>
      <c r="G217" s="3" t="n">
        <v>1</v>
      </c>
      <c r="H217" s="3" t="n">
        <v>1</v>
      </c>
      <c r="I217" s="32" t="n">
        <v>1</v>
      </c>
      <c r="J217" s="3" t="n">
        <v>0</v>
      </c>
      <c r="K217" s="32" t="n">
        <v>0</v>
      </c>
      <c r="L217" s="32" t="n">
        <v>0</v>
      </c>
      <c r="M217" s="31" t="n">
        <v>0.41</v>
      </c>
      <c r="N217" s="3" t="inlineStr">
        <is>
          <t>1WMBM109-BLGY</t>
        </is>
      </c>
      <c r="O217" s="3" t="inlineStr">
        <is>
          <t>exact</t>
        </is>
      </c>
      <c r="P217" s="4" t="n"/>
      <c r="Q217" s="4" t="n"/>
      <c r="R217" s="4" t="inlineStr">
        <is>
          <t>-</t>
        </is>
      </c>
      <c r="S217" s="4" t="n"/>
      <c r="T217" s="4" t="n">
        <v>0</v>
      </c>
      <c r="U217" s="4" t="n">
        <v>0</v>
      </c>
      <c r="V217" s="4" t="n"/>
    </row>
    <row r="218">
      <c r="A218" t="inlineStr">
        <is>
          <t>15319266297</t>
        </is>
      </c>
      <c r="B218" s="4" t="n"/>
      <c r="C218" s="31" t="n">
        <v>0.41</v>
      </c>
      <c r="D218" s="31" t="n">
        <v>0</v>
      </c>
      <c r="E218" s="31" t="n">
        <v>0</v>
      </c>
      <c r="F218" s="31" t="n">
        <v>0</v>
      </c>
      <c r="G218" s="3" t="n">
        <v>1</v>
      </c>
      <c r="H218" s="3" t="n">
        <v>1</v>
      </c>
      <c r="I218" s="32" t="n">
        <v>1</v>
      </c>
      <c r="J218" s="3" t="n">
        <v>0</v>
      </c>
      <c r="K218" s="32" t="n">
        <v>0</v>
      </c>
      <c r="L218" s="32" t="n">
        <v>0</v>
      </c>
      <c r="M218" s="31" t="n">
        <v>0.41</v>
      </c>
      <c r="N218" s="3" t="inlineStr">
        <is>
          <t>Picnic Blankets &amp; Mats_Manual_Optiwise_24</t>
        </is>
      </c>
      <c r="O218" s="3" t="inlineStr">
        <is>
          <t>exact</t>
        </is>
      </c>
      <c r="P218" s="4" t="n"/>
      <c r="Q218" s="4" t="n"/>
      <c r="R218" s="4" t="inlineStr">
        <is>
          <t>-</t>
        </is>
      </c>
      <c r="S218" s="4" t="n"/>
      <c r="T218" s="4" t="n">
        <v>0</v>
      </c>
      <c r="U218" s="4" t="n">
        <v>0</v>
      </c>
      <c r="V218" s="4" t="n"/>
    </row>
    <row r="219">
      <c r="A219" t="inlineStr">
        <is>
          <t>14751703893</t>
        </is>
      </c>
      <c r="B219" s="4" t="n"/>
      <c r="C219" s="31" t="n">
        <v>0.41</v>
      </c>
      <c r="D219" s="31" t="n">
        <v>0</v>
      </c>
      <c r="E219" s="31" t="n">
        <v>0</v>
      </c>
      <c r="F219" s="31" t="n">
        <v>0</v>
      </c>
      <c r="G219" s="3" t="n">
        <v>14</v>
      </c>
      <c r="H219" s="3" t="n">
        <v>1</v>
      </c>
      <c r="I219" s="32" t="n">
        <v>0.07000000000000001</v>
      </c>
      <c r="J219" s="3" t="n">
        <v>0</v>
      </c>
      <c r="K219" s="32" t="n">
        <v>0</v>
      </c>
      <c r="L219" s="32" t="n">
        <v>0</v>
      </c>
      <c r="M219" s="31" t="n">
        <v>0.41</v>
      </c>
      <c r="N219" s="3" t="inlineStr">
        <is>
          <t>Throws_Manual_Optiwise_24</t>
        </is>
      </c>
      <c r="O219" s="3" t="inlineStr">
        <is>
          <t>phrase</t>
        </is>
      </c>
      <c r="P219" s="4" t="n"/>
      <c r="Q219" s="4" t="n"/>
      <c r="R219" s="4" t="inlineStr">
        <is>
          <t>-</t>
        </is>
      </c>
      <c r="S219" s="4" t="n"/>
      <c r="T219" s="4" t="n">
        <v>0</v>
      </c>
      <c r="U219" s="4" t="n">
        <v>0</v>
      </c>
      <c r="V219" s="4" t="n"/>
    </row>
    <row r="220">
      <c r="A220" t="inlineStr">
        <is>
          <t>5696733106</t>
        </is>
      </c>
      <c r="B220" s="4" t="n"/>
      <c r="C220" s="31" t="n">
        <v>0.41</v>
      </c>
      <c r="D220" s="31" t="n">
        <v>0</v>
      </c>
      <c r="E220" s="31" t="n">
        <v>0</v>
      </c>
      <c r="F220" s="31" t="n">
        <v>0</v>
      </c>
      <c r="G220" s="3" t="n">
        <v>17</v>
      </c>
      <c r="H220" s="3" t="n">
        <v>1</v>
      </c>
      <c r="I220" s="32" t="n">
        <v>0.06</v>
      </c>
      <c r="J220" s="3" t="n">
        <v>0</v>
      </c>
      <c r="K220" s="32" t="n">
        <v>0</v>
      </c>
      <c r="L220" s="32" t="n"/>
      <c r="M220" s="31" t="n">
        <v>0.41</v>
      </c>
      <c r="N220" s="3" t="inlineStr">
        <is>
          <t>1TRBW506LGDG-CDCB_Manual</t>
        </is>
      </c>
      <c r="O220" s="3" t="inlineStr">
        <is>
          <t>exact</t>
        </is>
      </c>
      <c r="P220" s="4" t="n"/>
      <c r="Q220" s="4" t="n"/>
      <c r="R220" s="4" t="n">
        <v>0</v>
      </c>
      <c r="S220" s="4" t="n"/>
      <c r="T220" s="4" t="n">
        <v>0</v>
      </c>
      <c r="U220" s="4" t="n">
        <v>0</v>
      </c>
      <c r="V220" s="4" t="n"/>
    </row>
    <row r="221">
      <c r="A221" t="inlineStr">
        <is>
          <t>throw blanket for kids</t>
        </is>
      </c>
      <c r="B221" s="4" t="n"/>
      <c r="C221" s="31" t="n">
        <v>0.41</v>
      </c>
      <c r="D221" s="31" t="n">
        <v>0</v>
      </c>
      <c r="E221" s="31" t="n">
        <v>0</v>
      </c>
      <c r="F221" s="31" t="n">
        <v>0</v>
      </c>
      <c r="G221" s="3" t="n">
        <v>28</v>
      </c>
      <c r="H221" s="3" t="n">
        <v>1</v>
      </c>
      <c r="I221" s="32" t="n">
        <v>0.04</v>
      </c>
      <c r="J221" s="3" t="n">
        <v>0</v>
      </c>
      <c r="K221" s="32" t="n">
        <v>0</v>
      </c>
      <c r="L221" s="32" t="n">
        <v>0</v>
      </c>
      <c r="M221" s="31" t="n">
        <v>0.41</v>
      </c>
      <c r="N221" s="3" t="inlineStr">
        <is>
          <t>Throws_Manual_Optiwise_24</t>
        </is>
      </c>
      <c r="O221" s="3" t="inlineStr">
        <is>
          <t>phrase</t>
        </is>
      </c>
      <c r="P221" s="4" t="n"/>
      <c r="Q221" s="4" t="n"/>
      <c r="R221" s="4" t="inlineStr">
        <is>
          <t>-</t>
        </is>
      </c>
      <c r="S221" s="4" t="n"/>
      <c r="T221" s="4" t="n">
        <v>0</v>
      </c>
      <c r="U221" s="4" t="n">
        <v>0</v>
      </c>
      <c r="V221" s="4" t="n"/>
    </row>
    <row r="222">
      <c r="A222" t="inlineStr">
        <is>
          <t>5479662029</t>
        </is>
      </c>
      <c r="B222" s="4" t="n"/>
      <c r="C222" s="31" t="n">
        <v>0.41</v>
      </c>
      <c r="D222" s="31" t="n">
        <v>0</v>
      </c>
      <c r="E222" s="31" t="n">
        <v>0</v>
      </c>
      <c r="F222" s="31" t="n">
        <v>0</v>
      </c>
      <c r="G222" s="3" t="n">
        <v>74</v>
      </c>
      <c r="H222" s="3" t="n">
        <v>1</v>
      </c>
      <c r="I222" s="32" t="n">
        <v>0.01</v>
      </c>
      <c r="J222" s="3" t="n">
        <v>0</v>
      </c>
      <c r="K222" s="32" t="n">
        <v>0</v>
      </c>
      <c r="L222" s="32" t="n">
        <v>0</v>
      </c>
      <c r="M222" s="31" t="n">
        <v>0.41</v>
      </c>
      <c r="N222" s="3" t="inlineStr">
        <is>
          <t>Throws_Manual_Optiwise_24</t>
        </is>
      </c>
      <c r="O222" s="3" t="inlineStr">
        <is>
          <t>phrase</t>
        </is>
      </c>
      <c r="P222" s="4" t="n"/>
      <c r="Q222" s="4" t="n"/>
      <c r="R222" s="4" t="inlineStr">
        <is>
          <t>-</t>
        </is>
      </c>
      <c r="S222" s="4" t="n"/>
      <c r="T222" s="4" t="n">
        <v>0</v>
      </c>
      <c r="U222" s="4" t="n">
        <v>0</v>
      </c>
      <c r="V222" s="4" t="n"/>
    </row>
    <row r="223">
      <c r="A223" t="inlineStr">
        <is>
          <t>livhill leopard throw blanket</t>
        </is>
      </c>
      <c r="B223" s="4" t="n"/>
      <c r="C223" s="31" t="n">
        <v>0.41</v>
      </c>
      <c r="D223" s="31" t="n">
        <v>0</v>
      </c>
      <c r="E223" s="31" t="n">
        <v>0</v>
      </c>
      <c r="F223" s="31" t="n">
        <v>0</v>
      </c>
      <c r="G223" s="3" t="n">
        <v>2</v>
      </c>
      <c r="H223" s="3" t="n">
        <v>1</v>
      </c>
      <c r="I223" s="32" t="n">
        <v>0.5</v>
      </c>
      <c r="J223" s="3" t="n">
        <v>0</v>
      </c>
      <c r="K223" s="32" t="n">
        <v>0</v>
      </c>
      <c r="L223" s="32" t="n">
        <v>0</v>
      </c>
      <c r="M223" s="31" t="n">
        <v>0.41</v>
      </c>
      <c r="N223" s="3" t="inlineStr">
        <is>
          <t>Throws_Manual_Optiwise_24</t>
        </is>
      </c>
      <c r="O223" s="3" t="inlineStr">
        <is>
          <t>phrase</t>
        </is>
      </c>
      <c r="P223" s="4" t="n"/>
      <c r="Q223" s="4" t="n"/>
      <c r="R223" s="4" t="inlineStr">
        <is>
          <t>-</t>
        </is>
      </c>
      <c r="S223" s="4" t="n"/>
      <c r="T223" s="4" t="n">
        <v>0</v>
      </c>
      <c r="U223" s="4" t="n">
        <v>0</v>
      </c>
      <c r="V223" s="4" t="n"/>
    </row>
    <row r="224">
      <c r="A224" t="inlineStr">
        <is>
          <t>picnic mat waterproof</t>
        </is>
      </c>
      <c r="B224" s="4" t="n">
        <v>100</v>
      </c>
      <c r="C224" s="31" t="n">
        <v>0.41</v>
      </c>
      <c r="D224" s="31" t="n">
        <v>0</v>
      </c>
      <c r="E224" s="31" t="n">
        <v>0</v>
      </c>
      <c r="F224" s="31" t="n">
        <v>0</v>
      </c>
      <c r="G224" s="3" t="n">
        <v>5</v>
      </c>
      <c r="H224" s="3" t="n">
        <v>1</v>
      </c>
      <c r="I224" s="32" t="n">
        <v>0.2</v>
      </c>
      <c r="J224" s="3" t="n">
        <v>0</v>
      </c>
      <c r="K224" s="32" t="n">
        <v>0</v>
      </c>
      <c r="L224" s="32" t="n">
        <v>0.4429</v>
      </c>
      <c r="M224" s="31" t="n">
        <v>0.41</v>
      </c>
      <c r="N224" s="3" t="inlineStr">
        <is>
          <t>1WMBM109-BLGY,Picnic Blankets &amp; Mats_Manual_Optiwise_24</t>
        </is>
      </c>
      <c r="O224" s="3" t="inlineStr">
        <is>
          <t>exact</t>
        </is>
      </c>
      <c r="P224" s="4" t="n"/>
      <c r="Q224" s="4" t="n"/>
      <c r="R224" s="4" t="inlineStr">
        <is>
          <t>-</t>
        </is>
      </c>
      <c r="S224" s="4" t="n"/>
      <c r="T224" s="4" t="n">
        <v>0</v>
      </c>
      <c r="U224" s="4" t="n">
        <v>0</v>
      </c>
      <c r="V224" s="4" t="n"/>
    </row>
    <row r="225">
      <c r="A225" t="inlineStr">
        <is>
          <t>flxxie throw blanket</t>
        </is>
      </c>
      <c r="B225" s="4" t="n"/>
      <c r="C225" s="31" t="n">
        <v>0.41</v>
      </c>
      <c r="D225" s="31" t="n">
        <v>0</v>
      </c>
      <c r="E225" s="31" t="n">
        <v>0</v>
      </c>
      <c r="F225" s="31" t="n">
        <v>0</v>
      </c>
      <c r="G225" s="3" t="n">
        <v>1</v>
      </c>
      <c r="H225" s="3" t="n">
        <v>1</v>
      </c>
      <c r="I225" s="32" t="n">
        <v>1</v>
      </c>
      <c r="J225" s="3" t="n">
        <v>0</v>
      </c>
      <c r="K225" s="32" t="n">
        <v>0</v>
      </c>
      <c r="L225" s="32" t="n">
        <v>0</v>
      </c>
      <c r="M225" s="31" t="n">
        <v>0.41</v>
      </c>
      <c r="N225" s="3" t="inlineStr">
        <is>
          <t>Throws_Manual_Optiwise_24</t>
        </is>
      </c>
      <c r="O225" s="3" t="inlineStr">
        <is>
          <t>phrase</t>
        </is>
      </c>
      <c r="P225" s="4" t="n"/>
      <c r="Q225" s="4" t="n"/>
      <c r="R225" s="4" t="inlineStr">
        <is>
          <t>-</t>
        </is>
      </c>
      <c r="S225" s="4" t="n"/>
      <c r="T225" s="4" t="n">
        <v>0</v>
      </c>
      <c r="U225" s="4" t="n">
        <v>0</v>
      </c>
      <c r="V225" s="4" t="n"/>
    </row>
    <row r="226">
      <c r="A226" t="inlineStr">
        <is>
          <t>manta para playa</t>
        </is>
      </c>
      <c r="B226" s="4" t="n"/>
      <c r="C226" s="31" t="n">
        <v>0.41</v>
      </c>
      <c r="D226" s="31" t="n">
        <v>0</v>
      </c>
      <c r="E226" s="31" t="n">
        <v>0</v>
      </c>
      <c r="F226" s="31" t="n">
        <v>0</v>
      </c>
      <c r="G226" s="3" t="n">
        <v>2</v>
      </c>
      <c r="H226" s="3" t="n">
        <v>1</v>
      </c>
      <c r="I226" s="32" t="n">
        <v>0.5</v>
      </c>
      <c r="J226" s="3" t="n">
        <v>0</v>
      </c>
      <c r="K226" s="32" t="n">
        <v>0</v>
      </c>
      <c r="L226" s="32" t="n">
        <v>0.75</v>
      </c>
      <c r="M226" s="31" t="n">
        <v>0.41</v>
      </c>
      <c r="N226" s="3" t="inlineStr">
        <is>
          <t>1WMBM109-BLGY</t>
        </is>
      </c>
      <c r="O226" s="3" t="inlineStr">
        <is>
          <t>exact</t>
        </is>
      </c>
      <c r="P226" s="4" t="n"/>
      <c r="Q226" s="4" t="n"/>
      <c r="R226" s="4" t="inlineStr">
        <is>
          <t>-</t>
        </is>
      </c>
      <c r="S226" s="4" t="n"/>
      <c r="T226" s="4" t="n">
        <v>0</v>
      </c>
      <c r="U226" s="4" t="n">
        <v>0</v>
      </c>
      <c r="V226" s="4" t="n"/>
    </row>
    <row r="227">
      <c r="A227" t="inlineStr">
        <is>
          <t>mermaid taill blanket</t>
        </is>
      </c>
      <c r="B227" s="4" t="n"/>
      <c r="C227" s="31" t="n">
        <v>0.41</v>
      </c>
      <c r="D227" s="31" t="n">
        <v>0</v>
      </c>
      <c r="E227" s="31" t="n">
        <v>0</v>
      </c>
      <c r="F227" s="31" t="n">
        <v>0</v>
      </c>
      <c r="G227" s="3" t="n">
        <v>6</v>
      </c>
      <c r="H227" s="3" t="n">
        <v>1</v>
      </c>
      <c r="I227" s="32" t="n">
        <v>0.17</v>
      </c>
      <c r="J227" s="3" t="n">
        <v>0</v>
      </c>
      <c r="K227" s="32" t="n">
        <v>0</v>
      </c>
      <c r="L227" s="32" t="n">
        <v>0</v>
      </c>
      <c r="M227" s="31" t="n">
        <v>0.41</v>
      </c>
      <c r="N227" s="3" t="inlineStr">
        <is>
          <t>Throws_Manual_Optiwise_24</t>
        </is>
      </c>
      <c r="O227" s="3" t="inlineStr">
        <is>
          <t>exact</t>
        </is>
      </c>
      <c r="P227" s="4" t="n"/>
      <c r="Q227" s="4" t="n"/>
      <c r="R227" s="4" t="inlineStr">
        <is>
          <t>-</t>
        </is>
      </c>
      <c r="S227" s="4" t="n"/>
      <c r="T227" s="4" t="n">
        <v>0</v>
      </c>
      <c r="U227" s="4" t="n">
        <v>0</v>
      </c>
      <c r="V227" s="4" t="n"/>
    </row>
    <row r="228">
      <c r="A228" t="inlineStr">
        <is>
          <t>throw blanket for boys</t>
        </is>
      </c>
      <c r="B228" s="4" t="n"/>
      <c r="C228" s="31" t="n">
        <v>0.41</v>
      </c>
      <c r="D228" s="31" t="n">
        <v>0</v>
      </c>
      <c r="E228" s="31" t="n">
        <v>0</v>
      </c>
      <c r="F228" s="31" t="n">
        <v>0</v>
      </c>
      <c r="G228" s="3" t="n">
        <v>2</v>
      </c>
      <c r="H228" s="3" t="n">
        <v>1</v>
      </c>
      <c r="I228" s="32" t="n">
        <v>0.5</v>
      </c>
      <c r="J228" s="3" t="n">
        <v>0</v>
      </c>
      <c r="K228" s="32" t="n">
        <v>0</v>
      </c>
      <c r="L228" s="32" t="n">
        <v>0</v>
      </c>
      <c r="M228" s="31" t="n">
        <v>0.41</v>
      </c>
      <c r="N228" s="3" t="inlineStr">
        <is>
          <t>Throws_Manual_Optiwise_24</t>
        </is>
      </c>
      <c r="O228" s="3" t="inlineStr">
        <is>
          <t>phrase</t>
        </is>
      </c>
      <c r="P228" s="4" t="n"/>
      <c r="Q228" s="4" t="n"/>
      <c r="R228" s="4" t="inlineStr">
        <is>
          <t>-</t>
        </is>
      </c>
      <c r="S228" s="4" t="n"/>
      <c r="T228" s="4" t="n">
        <v>0</v>
      </c>
      <c r="U228" s="4" t="n">
        <v>0</v>
      </c>
      <c r="V228" s="4" t="n"/>
    </row>
    <row r="229">
      <c r="A229" t="inlineStr">
        <is>
          <t>1995007566</t>
        </is>
      </c>
      <c r="B229" s="4" t="n"/>
      <c r="C229" s="31" t="n">
        <v>0.41</v>
      </c>
      <c r="D229" s="31" t="n">
        <v>0</v>
      </c>
      <c r="E229" s="31" t="n">
        <v>0</v>
      </c>
      <c r="F229" s="31" t="n">
        <v>0</v>
      </c>
      <c r="G229" s="3" t="n">
        <v>3</v>
      </c>
      <c r="H229" s="3" t="n">
        <v>1</v>
      </c>
      <c r="I229" s="32" t="n">
        <v>0.33</v>
      </c>
      <c r="J229" s="3" t="n">
        <v>0</v>
      </c>
      <c r="K229" s="32" t="n">
        <v>0</v>
      </c>
      <c r="L229" s="32" t="n">
        <v>0</v>
      </c>
      <c r="M229" s="31" t="n">
        <v>0.41</v>
      </c>
      <c r="N229" s="3" t="inlineStr">
        <is>
          <t>Throws_Manual_Optiwise_24</t>
        </is>
      </c>
      <c r="O229" s="3" t="inlineStr">
        <is>
          <t>phrase</t>
        </is>
      </c>
      <c r="P229" s="4" t="n"/>
      <c r="Q229" s="4" t="n"/>
      <c r="R229" s="4" t="inlineStr">
        <is>
          <t>-</t>
        </is>
      </c>
      <c r="S229" s="4" t="n"/>
      <c r="T229" s="4" t="n">
        <v>0</v>
      </c>
      <c r="U229" s="4" t="n">
        <v>0</v>
      </c>
      <c r="V229" s="4" t="n"/>
    </row>
    <row r="230">
      <c r="A230" t="inlineStr">
        <is>
          <t>38683295</t>
        </is>
      </c>
      <c r="B230" s="4" t="n"/>
      <c r="C230" s="31" t="n">
        <v>0.41</v>
      </c>
      <c r="D230" s="31" t="n">
        <v>0</v>
      </c>
      <c r="E230" s="31" t="n">
        <v>0</v>
      </c>
      <c r="F230" s="31" t="n">
        <v>0</v>
      </c>
      <c r="G230" s="3" t="n">
        <v>6</v>
      </c>
      <c r="H230" s="3" t="n">
        <v>1</v>
      </c>
      <c r="I230" s="32" t="n">
        <v>0.17</v>
      </c>
      <c r="J230" s="3" t="n">
        <v>0</v>
      </c>
      <c r="K230" s="32" t="n">
        <v>0</v>
      </c>
      <c r="L230" s="32" t="n">
        <v>0</v>
      </c>
      <c r="M230" s="31" t="n">
        <v>0.41</v>
      </c>
      <c r="N230" s="3" t="inlineStr">
        <is>
          <t>Throws_Manual_Optiwise_24</t>
        </is>
      </c>
      <c r="O230" s="3" t="inlineStr">
        <is>
          <t>phrase</t>
        </is>
      </c>
      <c r="P230" s="4" t="n"/>
      <c r="Q230" s="4" t="n"/>
      <c r="R230" s="4" t="inlineStr">
        <is>
          <t>-</t>
        </is>
      </c>
      <c r="S230" s="4" t="n"/>
      <c r="T230" s="4" t="n">
        <v>0</v>
      </c>
      <c r="U230" s="4" t="n">
        <v>0</v>
      </c>
      <c r="V230" s="4" t="n"/>
    </row>
    <row r="231">
      <c r="A231" t="inlineStr">
        <is>
          <t>15500412413</t>
        </is>
      </c>
      <c r="B231" s="4" t="n"/>
      <c r="C231" s="31" t="n">
        <v>0.41</v>
      </c>
      <c r="D231" s="31" t="n">
        <v>0</v>
      </c>
      <c r="E231" s="31" t="n">
        <v>0</v>
      </c>
      <c r="F231" s="31" t="n">
        <v>0</v>
      </c>
      <c r="G231" s="3" t="n">
        <v>4</v>
      </c>
      <c r="H231" s="3" t="n">
        <v>1</v>
      </c>
      <c r="I231" s="32" t="n">
        <v>0.25</v>
      </c>
      <c r="J231" s="3" t="n">
        <v>0</v>
      </c>
      <c r="K231" s="32" t="n">
        <v>0</v>
      </c>
      <c r="L231" s="32" t="n"/>
      <c r="M231" s="31" t="n">
        <v>0.41</v>
      </c>
      <c r="N231" s="3" t="inlineStr">
        <is>
          <t>Picnic Blankets &amp; Mats_Manual_Optiwise_24</t>
        </is>
      </c>
      <c r="O231" s="3" t="inlineStr">
        <is>
          <t>exact</t>
        </is>
      </c>
      <c r="P231" s="4" t="n"/>
      <c r="Q231" s="4" t="n"/>
      <c r="R231" s="4" t="n">
        <v>0</v>
      </c>
      <c r="S231" s="4" t="n"/>
      <c r="T231" s="4" t="n">
        <v>0</v>
      </c>
      <c r="U231" s="4" t="n">
        <v>0</v>
      </c>
      <c r="V231" s="4" t="n"/>
    </row>
    <row r="232">
      <c r="A232" t="inlineStr">
        <is>
          <t>946848902</t>
        </is>
      </c>
      <c r="B232" s="4" t="n"/>
      <c r="C232" s="31" t="n">
        <v>0.41</v>
      </c>
      <c r="D232" s="31" t="n">
        <v>0</v>
      </c>
      <c r="E232" s="31" t="n">
        <v>0</v>
      </c>
      <c r="F232" s="31" t="n">
        <v>0</v>
      </c>
      <c r="G232" s="3" t="n">
        <v>5</v>
      </c>
      <c r="H232" s="3" t="n">
        <v>1</v>
      </c>
      <c r="I232" s="32" t="n">
        <v>0.2</v>
      </c>
      <c r="J232" s="3" t="n">
        <v>0</v>
      </c>
      <c r="K232" s="32" t="n">
        <v>0</v>
      </c>
      <c r="L232" s="32" t="n"/>
      <c r="M232" s="31" t="n">
        <v>0.41</v>
      </c>
      <c r="N232" s="3" t="inlineStr">
        <is>
          <t>Picnic Blankets &amp; Mats_Manual_Optiwise_24</t>
        </is>
      </c>
      <c r="O232" s="3" t="inlineStr">
        <is>
          <t>exact</t>
        </is>
      </c>
      <c r="P232" s="4" t="n"/>
      <c r="Q232" s="4" t="n"/>
      <c r="R232" s="4" t="n">
        <v>0</v>
      </c>
      <c r="S232" s="4" t="n"/>
      <c r="T232" s="4" t="n">
        <v>0</v>
      </c>
      <c r="U232" s="4" t="n">
        <v>0</v>
      </c>
      <c r="V232" s="4" t="n"/>
    </row>
    <row r="233">
      <c r="A233" t="inlineStr">
        <is>
          <t>blankets for camping</t>
        </is>
      </c>
      <c r="B233" s="4" t="n"/>
      <c r="C233" s="31" t="n">
        <v>0.41</v>
      </c>
      <c r="D233" s="31" t="n">
        <v>0</v>
      </c>
      <c r="E233" s="31" t="n">
        <v>0</v>
      </c>
      <c r="F233" s="31" t="n">
        <v>0</v>
      </c>
      <c r="G233" s="3" t="n">
        <v>2</v>
      </c>
      <c r="H233" s="3" t="n">
        <v>1</v>
      </c>
      <c r="I233" s="32" t="n">
        <v>0.5</v>
      </c>
      <c r="J233" s="3" t="n">
        <v>0</v>
      </c>
      <c r="K233" s="32" t="n">
        <v>0</v>
      </c>
      <c r="L233" s="32" t="n">
        <v>0</v>
      </c>
      <c r="M233" s="31" t="n">
        <v>0.41</v>
      </c>
      <c r="N233" s="3" t="inlineStr">
        <is>
          <t>1WMBW506NYGY-TBCB_Manual</t>
        </is>
      </c>
      <c r="O233" s="3" t="inlineStr">
        <is>
          <t>exact</t>
        </is>
      </c>
      <c r="P233" s="4" t="n"/>
      <c r="Q233" s="4" t="n"/>
      <c r="R233" s="4" t="inlineStr">
        <is>
          <t>-</t>
        </is>
      </c>
      <c r="S233" s="4" t="n"/>
      <c r="T233" s="4" t="n">
        <v>0</v>
      </c>
      <c r="U233" s="4" t="n">
        <v>0</v>
      </c>
      <c r="V233" s="4" t="n"/>
    </row>
    <row r="234">
      <c r="A234" t="inlineStr">
        <is>
          <t>5516722585</t>
        </is>
      </c>
      <c r="B234" s="4" t="n"/>
      <c r="C234" s="31" t="n">
        <v>0.41</v>
      </c>
      <c r="D234" s="31" t="n">
        <v>0</v>
      </c>
      <c r="E234" s="31" t="n">
        <v>0</v>
      </c>
      <c r="F234" s="31" t="n">
        <v>0</v>
      </c>
      <c r="G234" s="3" t="n">
        <v>14</v>
      </c>
      <c r="H234" s="3" t="n">
        <v>1</v>
      </c>
      <c r="I234" s="32" t="n">
        <v>0.07000000000000001</v>
      </c>
      <c r="J234" s="3" t="n">
        <v>0</v>
      </c>
      <c r="K234" s="32" t="n">
        <v>0</v>
      </c>
      <c r="L234" s="32" t="n"/>
      <c r="M234" s="31" t="n">
        <v>0.41</v>
      </c>
      <c r="N234" s="3" t="inlineStr">
        <is>
          <t>Picnic Blankets &amp; Mats_Manual_Optiwise_24</t>
        </is>
      </c>
      <c r="O234" s="3" t="inlineStr">
        <is>
          <t>exact</t>
        </is>
      </c>
      <c r="P234" s="4" t="n"/>
      <c r="Q234" s="4" t="n"/>
      <c r="R234" s="4" t="n">
        <v>0</v>
      </c>
      <c r="S234" s="4" t="n"/>
      <c r="T234" s="4" t="n">
        <v>0</v>
      </c>
      <c r="U234" s="4" t="n">
        <v>0</v>
      </c>
      <c r="V234" s="4" t="n"/>
    </row>
    <row r="235">
      <c r="A235" t="inlineStr">
        <is>
          <t>491790001</t>
        </is>
      </c>
      <c r="B235" s="4" t="n"/>
      <c r="C235" s="31" t="n">
        <v>0.41</v>
      </c>
      <c r="D235" s="31" t="n">
        <v>0</v>
      </c>
      <c r="E235" s="31" t="n">
        <v>0</v>
      </c>
      <c r="F235" s="31" t="n">
        <v>0</v>
      </c>
      <c r="G235" s="3" t="n">
        <v>1</v>
      </c>
      <c r="H235" s="3" t="n">
        <v>1</v>
      </c>
      <c r="I235" s="32" t="n">
        <v>1</v>
      </c>
      <c r="J235" s="3" t="n">
        <v>0</v>
      </c>
      <c r="K235" s="32" t="n">
        <v>0</v>
      </c>
      <c r="L235" s="32" t="n">
        <v>0</v>
      </c>
      <c r="M235" s="31" t="n">
        <v>0.41</v>
      </c>
      <c r="N235" s="3" t="inlineStr">
        <is>
          <t>Throws_Manual_Optiwise_24</t>
        </is>
      </c>
      <c r="O235" s="3" t="inlineStr">
        <is>
          <t>phrase</t>
        </is>
      </c>
      <c r="P235" s="4" t="n"/>
      <c r="Q235" s="4" t="n"/>
      <c r="R235" s="4" t="inlineStr">
        <is>
          <t>-</t>
        </is>
      </c>
      <c r="S235" s="4" t="n"/>
      <c r="T235" s="4" t="n">
        <v>0</v>
      </c>
      <c r="U235" s="4" t="n">
        <v>0</v>
      </c>
      <c r="V235" s="4" t="n"/>
    </row>
    <row r="236">
      <c r="A236" t="inlineStr">
        <is>
          <t>14371860286</t>
        </is>
      </c>
      <c r="B236" s="4" t="n"/>
      <c r="C236" s="31" t="n">
        <v>0.41</v>
      </c>
      <c r="D236" s="31" t="n">
        <v>0</v>
      </c>
      <c r="E236" s="31" t="n">
        <v>0</v>
      </c>
      <c r="F236" s="31" t="n">
        <v>0</v>
      </c>
      <c r="G236" s="3" t="n">
        <v>5</v>
      </c>
      <c r="H236" s="3" t="n">
        <v>1</v>
      </c>
      <c r="I236" s="32" t="n">
        <v>0.2</v>
      </c>
      <c r="J236" s="3" t="n">
        <v>0</v>
      </c>
      <c r="K236" s="32" t="n">
        <v>0</v>
      </c>
      <c r="L236" s="32" t="n"/>
      <c r="M236" s="31" t="n">
        <v>0.41</v>
      </c>
      <c r="N236" s="3" t="inlineStr">
        <is>
          <t>Picnic Blankets &amp; Mats_Manual_Optiwise_24</t>
        </is>
      </c>
      <c r="O236" s="3" t="inlineStr">
        <is>
          <t>exact</t>
        </is>
      </c>
      <c r="P236" s="4" t="n"/>
      <c r="Q236" s="4" t="n"/>
      <c r="R236" s="4" t="n">
        <v>0</v>
      </c>
      <c r="S236" s="4" t="n"/>
      <c r="T236" s="4" t="n">
        <v>0</v>
      </c>
      <c r="U236" s="4" t="n">
        <v>0</v>
      </c>
      <c r="V236" s="4" t="n"/>
    </row>
    <row r="237">
      <c r="A237" t="inlineStr">
        <is>
          <t>beach mat with pillow</t>
        </is>
      </c>
      <c r="B237" s="4" t="n">
        <v>40</v>
      </c>
      <c r="C237" s="31" t="n">
        <v>0.41</v>
      </c>
      <c r="D237" s="31" t="n">
        <v>0</v>
      </c>
      <c r="E237" s="31" t="n">
        <v>0</v>
      </c>
      <c r="F237" s="31" t="n">
        <v>0</v>
      </c>
      <c r="G237" s="3" t="n">
        <v>5</v>
      </c>
      <c r="H237" s="3" t="n">
        <v>1</v>
      </c>
      <c r="I237" s="32" t="n">
        <v>0.2</v>
      </c>
      <c r="J237" s="3" t="n">
        <v>0</v>
      </c>
      <c r="K237" s="32" t="n">
        <v>0</v>
      </c>
      <c r="L237" s="32" t="n">
        <v>0.8129999999999999</v>
      </c>
      <c r="M237" s="31" t="n">
        <v>0.41</v>
      </c>
      <c r="N237" s="3" t="inlineStr">
        <is>
          <t>ManualText-want to push 5.0,ManualText-want to push3.0,ManualText-want to push4.0,ManualText-want to push5.0,ManualText-want to push8.0,Picnic Blankets &amp; Mats_Manual_Optiwise_24</t>
        </is>
      </c>
      <c r="O237" s="3" t="inlineStr">
        <is>
          <t>exact</t>
        </is>
      </c>
      <c r="P237" s="4" t="n"/>
      <c r="Q237" s="4" t="n"/>
      <c r="R237" s="4" t="inlineStr">
        <is>
          <t>-</t>
        </is>
      </c>
      <c r="S237" s="4" t="n"/>
      <c r="T237" s="4" t="n">
        <v>0</v>
      </c>
      <c r="U237" s="4" t="n">
        <v>0</v>
      </c>
      <c r="V237" s="4" t="n"/>
    </row>
    <row r="238">
      <c r="A238" t="inlineStr">
        <is>
          <t>1383031027</t>
        </is>
      </c>
      <c r="B238" s="4" t="n"/>
      <c r="C238" s="31" t="n">
        <v>0.41</v>
      </c>
      <c r="D238" s="31" t="n">
        <v>0</v>
      </c>
      <c r="E238" s="31" t="n">
        <v>0</v>
      </c>
      <c r="F238" s="31" t="n">
        <v>0</v>
      </c>
      <c r="G238" s="3" t="n">
        <v>1</v>
      </c>
      <c r="H238" s="3" t="n">
        <v>1</v>
      </c>
      <c r="I238" s="32" t="n">
        <v>1</v>
      </c>
      <c r="J238" s="3" t="n">
        <v>0</v>
      </c>
      <c r="K238" s="32" t="n">
        <v>0</v>
      </c>
      <c r="L238" s="32" t="n">
        <v>0</v>
      </c>
      <c r="M238" s="31" t="n">
        <v>0.41</v>
      </c>
      <c r="N238" s="3" t="inlineStr">
        <is>
          <t>Throws_Manual_Optiwise_24</t>
        </is>
      </c>
      <c r="O238" s="3" t="inlineStr">
        <is>
          <t>phrase</t>
        </is>
      </c>
      <c r="P238" s="4" t="n"/>
      <c r="Q238" s="4" t="n"/>
      <c r="R238" s="4" t="inlineStr">
        <is>
          <t>-</t>
        </is>
      </c>
      <c r="S238" s="4" t="n"/>
      <c r="T238" s="4" t="n">
        <v>0</v>
      </c>
      <c r="U238" s="4" t="n">
        <v>0</v>
      </c>
      <c r="V238" s="4" t="n"/>
    </row>
    <row r="239">
      <c r="A239" t="inlineStr">
        <is>
          <t>9645963975</t>
        </is>
      </c>
      <c r="B239" s="4" t="n"/>
      <c r="C239" s="31" t="n">
        <v>0.41</v>
      </c>
      <c r="D239" s="31" t="n">
        <v>0</v>
      </c>
      <c r="E239" s="31" t="n">
        <v>0</v>
      </c>
      <c r="F239" s="31" t="n">
        <v>0</v>
      </c>
      <c r="G239" s="3" t="n">
        <v>1</v>
      </c>
      <c r="H239" s="3" t="n">
        <v>1</v>
      </c>
      <c r="I239" s="32" t="n">
        <v>1</v>
      </c>
      <c r="J239" s="3" t="n">
        <v>0</v>
      </c>
      <c r="K239" s="32" t="n">
        <v>0</v>
      </c>
      <c r="L239" s="32" t="n"/>
      <c r="M239" s="31" t="n">
        <v>0.41</v>
      </c>
      <c r="N239" s="3" t="inlineStr">
        <is>
          <t>Picnic Blankets &amp; Mats_Manual_Optiwise_24</t>
        </is>
      </c>
      <c r="O239" s="3" t="inlineStr">
        <is>
          <t>exact</t>
        </is>
      </c>
      <c r="P239" s="4" t="n"/>
      <c r="Q239" s="4" t="n"/>
      <c r="R239" s="4" t="n">
        <v>0</v>
      </c>
      <c r="S239" s="4" t="n"/>
      <c r="T239" s="4" t="n">
        <v>0</v>
      </c>
      <c r="U239" s="4" t="n">
        <v>0</v>
      </c>
      <c r="V239" s="4" t="n"/>
    </row>
    <row r="240">
      <c r="A240" t="inlineStr">
        <is>
          <t>3351048837</t>
        </is>
      </c>
      <c r="B240" s="4" t="n"/>
      <c r="C240" s="31" t="n">
        <v>0.41</v>
      </c>
      <c r="D240" s="31" t="n">
        <v>0</v>
      </c>
      <c r="E240" s="31" t="n">
        <v>0</v>
      </c>
      <c r="F240" s="31" t="n">
        <v>0</v>
      </c>
      <c r="G240" s="3" t="n">
        <v>1</v>
      </c>
      <c r="H240" s="3" t="n">
        <v>1</v>
      </c>
      <c r="I240" s="32" t="n">
        <v>1</v>
      </c>
      <c r="J240" s="3" t="n">
        <v>0</v>
      </c>
      <c r="K240" s="32" t="n">
        <v>0</v>
      </c>
      <c r="L240" s="32" t="n">
        <v>0</v>
      </c>
      <c r="M240" s="31" t="n">
        <v>0.41</v>
      </c>
      <c r="N240" s="3" t="inlineStr">
        <is>
          <t>Manual for Waterproof Blanket--Lily,Throws_Manual_Optiwise_24</t>
        </is>
      </c>
      <c r="O240" s="3" t="inlineStr">
        <is>
          <t>phrase</t>
        </is>
      </c>
      <c r="P240" s="4" t="n"/>
      <c r="Q240" s="4" t="n"/>
      <c r="R240" s="4" t="inlineStr">
        <is>
          <t>-</t>
        </is>
      </c>
      <c r="S240" s="4" t="n"/>
      <c r="T240" s="4" t="n">
        <v>0</v>
      </c>
      <c r="U240" s="4" t="n">
        <v>0</v>
      </c>
      <c r="V240" s="4" t="n"/>
    </row>
    <row r="241">
      <c r="A241" t="inlineStr">
        <is>
          <t>throw blanket oversized</t>
        </is>
      </c>
      <c r="B241" s="4" t="n"/>
      <c r="C241" s="31" t="n">
        <v>0.41</v>
      </c>
      <c r="D241" s="31" t="n">
        <v>0</v>
      </c>
      <c r="E241" s="31" t="n">
        <v>0</v>
      </c>
      <c r="F241" s="31" t="n">
        <v>0</v>
      </c>
      <c r="G241" s="3" t="n">
        <v>1</v>
      </c>
      <c r="H241" s="3" t="n">
        <v>1</v>
      </c>
      <c r="I241" s="32" t="n">
        <v>1</v>
      </c>
      <c r="J241" s="3" t="n">
        <v>0</v>
      </c>
      <c r="K241" s="32" t="n">
        <v>0</v>
      </c>
      <c r="L241" s="32" t="n">
        <v>0</v>
      </c>
      <c r="M241" s="31" t="n">
        <v>0.41</v>
      </c>
      <c r="N241" s="3" t="inlineStr">
        <is>
          <t>Throws_Manual_Optiwise_24</t>
        </is>
      </c>
      <c r="O241" s="3" t="inlineStr">
        <is>
          <t>phrase</t>
        </is>
      </c>
      <c r="P241" s="4" t="n"/>
      <c r="Q241" s="4" t="n"/>
      <c r="R241" s="4" t="inlineStr">
        <is>
          <t>-</t>
        </is>
      </c>
      <c r="S241" s="4" t="n"/>
      <c r="T241" s="4" t="n">
        <v>0</v>
      </c>
      <c r="U241" s="4" t="n">
        <v>0</v>
      </c>
      <c r="V241" s="4" t="n"/>
    </row>
    <row r="242">
      <c r="A242" t="inlineStr">
        <is>
          <t>1975455146</t>
        </is>
      </c>
      <c r="B242" s="4" t="n"/>
      <c r="C242" s="31" t="n">
        <v>0.41</v>
      </c>
      <c r="D242" s="31" t="n">
        <v>0</v>
      </c>
      <c r="E242" s="31" t="n">
        <v>0</v>
      </c>
      <c r="F242" s="31" t="n">
        <v>0</v>
      </c>
      <c r="G242" s="3" t="n">
        <v>2</v>
      </c>
      <c r="H242" s="3" t="n">
        <v>1</v>
      </c>
      <c r="I242" s="32" t="n">
        <v>0.5</v>
      </c>
      <c r="J242" s="3" t="n">
        <v>0</v>
      </c>
      <c r="K242" s="32" t="n">
        <v>0</v>
      </c>
      <c r="L242" s="32" t="n"/>
      <c r="M242" s="31" t="n">
        <v>0.41</v>
      </c>
      <c r="N242" s="3" t="inlineStr">
        <is>
          <t>1TRBW506LGDG-CDCB_Manual,Picnic Blankets &amp; Mats_Manual_Optiwise_24</t>
        </is>
      </c>
      <c r="O242" s="3" t="inlineStr">
        <is>
          <t>exact</t>
        </is>
      </c>
      <c r="P242" s="4" t="n"/>
      <c r="Q242" s="4" t="n"/>
      <c r="R242" s="4" t="n">
        <v>0</v>
      </c>
      <c r="S242" s="4" t="n"/>
      <c r="T242" s="4" t="n">
        <v>0</v>
      </c>
      <c r="U242" s="4" t="n">
        <v>0</v>
      </c>
      <c r="V242" s="4" t="n"/>
    </row>
    <row r="243">
      <c r="A243" t="inlineStr">
        <is>
          <t>camping  blanket</t>
        </is>
      </c>
      <c r="B243" s="4" t="n"/>
      <c r="C243" s="31" t="n">
        <v>0.41</v>
      </c>
      <c r="D243" s="31" t="n">
        <v>0</v>
      </c>
      <c r="E243" s="31" t="n">
        <v>0</v>
      </c>
      <c r="F243" s="31" t="n">
        <v>0</v>
      </c>
      <c r="G243" s="3" t="n">
        <v>1</v>
      </c>
      <c r="H243" s="3" t="n">
        <v>1</v>
      </c>
      <c r="I243" s="32" t="n">
        <v>1</v>
      </c>
      <c r="J243" s="3" t="n">
        <v>0</v>
      </c>
      <c r="K243" s="32" t="n">
        <v>0</v>
      </c>
      <c r="L243" s="32" t="n">
        <v>0</v>
      </c>
      <c r="M243" s="31" t="n">
        <v>0.41</v>
      </c>
      <c r="N243" s="3" t="inlineStr">
        <is>
          <t>Picnic Blankets &amp; Mats_Manual_Optiwise_24</t>
        </is>
      </c>
      <c r="O243" s="3" t="inlineStr">
        <is>
          <t>exact</t>
        </is>
      </c>
      <c r="P243" s="4" t="n"/>
      <c r="Q243" s="4" t="n"/>
      <c r="R243" s="4" t="inlineStr">
        <is>
          <t>-</t>
        </is>
      </c>
      <c r="S243" s="4" t="n"/>
      <c r="T243" s="4" t="n">
        <v>0</v>
      </c>
      <c r="U243" s="4" t="n">
        <v>0</v>
      </c>
      <c r="V243" s="4" t="n"/>
    </row>
    <row r="244">
      <c r="A244" t="inlineStr">
        <is>
          <t>6246870224</t>
        </is>
      </c>
      <c r="B244" s="4" t="n"/>
      <c r="C244" s="31" t="n">
        <v>0.41</v>
      </c>
      <c r="D244" s="31" t="n">
        <v>0</v>
      </c>
      <c r="E244" s="31" t="n">
        <v>0</v>
      </c>
      <c r="F244" s="31" t="n">
        <v>0</v>
      </c>
      <c r="G244" s="3" t="n">
        <v>2</v>
      </c>
      <c r="H244" s="3" t="n">
        <v>1</v>
      </c>
      <c r="I244" s="32" t="n">
        <v>0.5</v>
      </c>
      <c r="J244" s="3" t="n">
        <v>0</v>
      </c>
      <c r="K244" s="32" t="n">
        <v>0</v>
      </c>
      <c r="L244" s="32" t="n"/>
      <c r="M244" s="31" t="n">
        <v>0.41</v>
      </c>
      <c r="N244" s="3" t="inlineStr">
        <is>
          <t>Picnic Blankets &amp; Mats_Manual_Optiwise_24</t>
        </is>
      </c>
      <c r="O244" s="3" t="inlineStr">
        <is>
          <t>exact</t>
        </is>
      </c>
      <c r="P244" s="4" t="n"/>
      <c r="Q244" s="4" t="n"/>
      <c r="R244" s="4" t="n">
        <v>0</v>
      </c>
      <c r="S244" s="4" t="n"/>
      <c r="T244" s="4" t="n">
        <v>0</v>
      </c>
      <c r="U244" s="4" t="n">
        <v>0</v>
      </c>
      <c r="V244" s="4" t="n"/>
    </row>
    <row r="245">
      <c r="A245" t="inlineStr">
        <is>
          <t>5096334106</t>
        </is>
      </c>
      <c r="B245" s="4" t="n"/>
      <c r="C245" s="31" t="n">
        <v>0.41</v>
      </c>
      <c r="D245" s="31" t="n">
        <v>26.99</v>
      </c>
      <c r="E245" s="31" t="n">
        <v>26.99</v>
      </c>
      <c r="F245" s="31" t="n">
        <v>65.83</v>
      </c>
      <c r="G245" s="3" t="n">
        <v>3</v>
      </c>
      <c r="H245" s="3" t="n">
        <v>1</v>
      </c>
      <c r="I245" s="32" t="n">
        <v>0.33</v>
      </c>
      <c r="J245" s="3" t="n">
        <v>1</v>
      </c>
      <c r="K245" s="32" t="n">
        <v>1</v>
      </c>
      <c r="L245" s="32" t="n"/>
      <c r="M245" s="31" t="n">
        <v>0.41</v>
      </c>
      <c r="N245" s="3" t="inlineStr">
        <is>
          <t>Picnic Blankets &amp; Mats_Manual_Optiwise_24,Throws_Manual_Optiwise_24</t>
        </is>
      </c>
      <c r="O245" s="3" t="inlineStr">
        <is>
          <t>exact</t>
        </is>
      </c>
      <c r="P245" s="4" t="n"/>
      <c r="Q245" s="4" t="n"/>
      <c r="R245" s="4" t="n">
        <v>0</v>
      </c>
      <c r="S245" s="4" t="n"/>
      <c r="T245" s="4" t="n">
        <v>0</v>
      </c>
      <c r="U245" s="4" t="n">
        <v>0</v>
      </c>
      <c r="V245" s="4" t="n"/>
    </row>
    <row r="246">
      <c r="A246" t="inlineStr">
        <is>
          <t>wild life throw blanket</t>
        </is>
      </c>
      <c r="B246" s="4" t="n"/>
      <c r="C246" s="31" t="n">
        <v>0.41</v>
      </c>
      <c r="D246" s="31" t="n">
        <v>0</v>
      </c>
      <c r="E246" s="31" t="n">
        <v>0</v>
      </c>
      <c r="F246" s="31" t="n">
        <v>0</v>
      </c>
      <c r="G246" s="3" t="n">
        <v>1</v>
      </c>
      <c r="H246" s="3" t="n">
        <v>1</v>
      </c>
      <c r="I246" s="32" t="n">
        <v>1</v>
      </c>
      <c r="J246" s="3" t="n">
        <v>0</v>
      </c>
      <c r="K246" s="32" t="n">
        <v>0</v>
      </c>
      <c r="L246" s="32" t="n">
        <v>0</v>
      </c>
      <c r="M246" s="31" t="n">
        <v>0.41</v>
      </c>
      <c r="N246" s="3" t="inlineStr">
        <is>
          <t>Throws_Manual_Optiwise_24</t>
        </is>
      </c>
      <c r="O246" s="3" t="inlineStr">
        <is>
          <t>phrase</t>
        </is>
      </c>
      <c r="P246" s="4" t="n"/>
      <c r="Q246" s="4" t="n"/>
      <c r="R246" s="4" t="inlineStr">
        <is>
          <t>-</t>
        </is>
      </c>
      <c r="S246" s="4" t="n"/>
      <c r="T246" s="4" t="n">
        <v>0</v>
      </c>
      <c r="U246" s="4" t="n">
        <v>0</v>
      </c>
      <c r="V246" s="4" t="n"/>
    </row>
    <row r="247">
      <c r="A247" t="inlineStr">
        <is>
          <t>878464711</t>
        </is>
      </c>
      <c r="B247" s="4" t="n"/>
      <c r="C247" s="31" t="n">
        <v>0.41</v>
      </c>
      <c r="D247" s="31" t="n">
        <v>0</v>
      </c>
      <c r="E247" s="31" t="n">
        <v>0</v>
      </c>
      <c r="F247" s="31" t="n">
        <v>0</v>
      </c>
      <c r="G247" s="3" t="n">
        <v>1</v>
      </c>
      <c r="H247" s="3" t="n">
        <v>1</v>
      </c>
      <c r="I247" s="32" t="n">
        <v>1</v>
      </c>
      <c r="J247" s="3" t="n">
        <v>0</v>
      </c>
      <c r="K247" s="32" t="n">
        <v>0</v>
      </c>
      <c r="L247" s="32" t="n">
        <v>0</v>
      </c>
      <c r="M247" s="31" t="n">
        <v>0.41</v>
      </c>
      <c r="N247" s="3" t="inlineStr">
        <is>
          <t>Throws_Manual_Optiwise_24</t>
        </is>
      </c>
      <c r="O247" s="3" t="inlineStr">
        <is>
          <t>phrase</t>
        </is>
      </c>
      <c r="P247" s="4" t="n"/>
      <c r="Q247" s="4" t="n"/>
      <c r="R247" s="4" t="inlineStr">
        <is>
          <t>-</t>
        </is>
      </c>
      <c r="S247" s="4" t="n"/>
      <c r="T247" s="4" t="n">
        <v>0</v>
      </c>
      <c r="U247" s="4" t="n">
        <v>0</v>
      </c>
      <c r="V247" s="4" t="n"/>
    </row>
    <row r="248">
      <c r="A248" t="inlineStr">
        <is>
          <t>519118369</t>
        </is>
      </c>
      <c r="B248" s="4" t="n"/>
      <c r="C248" s="31" t="n">
        <v>0.41</v>
      </c>
      <c r="D248" s="31" t="n">
        <v>0</v>
      </c>
      <c r="E248" s="31" t="n">
        <v>0</v>
      </c>
      <c r="F248" s="31" t="n">
        <v>0</v>
      </c>
      <c r="G248" s="3" t="n">
        <v>2</v>
      </c>
      <c r="H248" s="3" t="n">
        <v>1</v>
      </c>
      <c r="I248" s="32" t="n">
        <v>0.5</v>
      </c>
      <c r="J248" s="3" t="n">
        <v>0</v>
      </c>
      <c r="K248" s="32" t="n">
        <v>0</v>
      </c>
      <c r="L248" s="32" t="n"/>
      <c r="M248" s="31" t="n">
        <v>0.41</v>
      </c>
      <c r="N248" s="3" t="inlineStr">
        <is>
          <t>Picnic Blankets &amp; Mats_Manual_Optiwise_24</t>
        </is>
      </c>
      <c r="O248" s="3" t="inlineStr">
        <is>
          <t>exact</t>
        </is>
      </c>
      <c r="P248" s="4" t="n"/>
      <c r="Q248" s="4" t="n"/>
      <c r="R248" s="4" t="n">
        <v>0</v>
      </c>
      <c r="S248" s="4" t="n"/>
      <c r="T248" s="4" t="n">
        <v>0</v>
      </c>
      <c r="U248" s="4" t="n">
        <v>0</v>
      </c>
      <c r="V248" s="4" t="n"/>
    </row>
    <row r="249">
      <c r="A249" t="inlineStr">
        <is>
          <t>cobija para acampar</t>
        </is>
      </c>
      <c r="B249" s="4" t="n"/>
      <c r="C249" s="31" t="n">
        <v>0.41</v>
      </c>
      <c r="D249" s="31" t="n">
        <v>0</v>
      </c>
      <c r="E249" s="31" t="n">
        <v>0</v>
      </c>
      <c r="F249" s="31" t="n">
        <v>0</v>
      </c>
      <c r="G249" s="3" t="n">
        <v>1</v>
      </c>
      <c r="H249" s="3" t="n">
        <v>1</v>
      </c>
      <c r="I249" s="32" t="n">
        <v>1</v>
      </c>
      <c r="J249" s="3" t="n">
        <v>0</v>
      </c>
      <c r="K249" s="32" t="n">
        <v>0</v>
      </c>
      <c r="L249" s="32" t="n">
        <v>0.9211</v>
      </c>
      <c r="M249" s="31" t="n">
        <v>0.41</v>
      </c>
      <c r="N249" s="3" t="inlineStr">
        <is>
          <t>Picnic Blankets &amp; Mats_Manual_Optiwise_24</t>
        </is>
      </c>
      <c r="O249" s="3" t="inlineStr">
        <is>
          <t>exact</t>
        </is>
      </c>
      <c r="P249" s="4" t="n"/>
      <c r="Q249" s="4" t="n"/>
      <c r="R249" s="4" t="inlineStr">
        <is>
          <t>-</t>
        </is>
      </c>
      <c r="S249" s="4" t="n"/>
      <c r="T249" s="4" t="n">
        <v>0</v>
      </c>
      <c r="U249" s="4" t="n">
        <v>0</v>
      </c>
      <c r="V249" s="4" t="n"/>
    </row>
    <row r="250">
      <c r="A250" t="inlineStr">
        <is>
          <t>14972118111</t>
        </is>
      </c>
      <c r="B250" s="4" t="n"/>
      <c r="C250" s="31" t="n">
        <v>0.41</v>
      </c>
      <c r="D250" s="31" t="n">
        <v>0</v>
      </c>
      <c r="E250" s="31" t="n">
        <v>0</v>
      </c>
      <c r="F250" s="31" t="n">
        <v>0</v>
      </c>
      <c r="G250" s="3" t="n">
        <v>2</v>
      </c>
      <c r="H250" s="3" t="n">
        <v>1</v>
      </c>
      <c r="I250" s="32" t="n">
        <v>0.5</v>
      </c>
      <c r="J250" s="3" t="n">
        <v>0</v>
      </c>
      <c r="K250" s="32" t="n">
        <v>0</v>
      </c>
      <c r="L250" s="32" t="n">
        <v>0</v>
      </c>
      <c r="M250" s="31" t="n">
        <v>0.41</v>
      </c>
      <c r="N250" s="3" t="inlineStr">
        <is>
          <t>Throws_Manual_Optiwise_24</t>
        </is>
      </c>
      <c r="O250" s="3" t="inlineStr">
        <is>
          <t>phrase</t>
        </is>
      </c>
      <c r="P250" s="4" t="n"/>
      <c r="Q250" s="4" t="n"/>
      <c r="R250" s="4" t="inlineStr">
        <is>
          <t>-</t>
        </is>
      </c>
      <c r="S250" s="4" t="n"/>
      <c r="T250" s="4" t="n">
        <v>0</v>
      </c>
      <c r="U250" s="4" t="n">
        <v>0</v>
      </c>
      <c r="V250" s="4" t="n"/>
    </row>
    <row r="251">
      <c r="A251" t="inlineStr">
        <is>
          <t>366525179</t>
        </is>
      </c>
      <c r="B251" s="4" t="n"/>
      <c r="C251" s="31" t="n">
        <v>0.41</v>
      </c>
      <c r="D251" s="31" t="n">
        <v>0</v>
      </c>
      <c r="E251" s="31" t="n">
        <v>0</v>
      </c>
      <c r="F251" s="31" t="n">
        <v>0</v>
      </c>
      <c r="G251" s="3" t="n">
        <v>5</v>
      </c>
      <c r="H251" s="3" t="n">
        <v>1</v>
      </c>
      <c r="I251" s="32" t="n">
        <v>0.2</v>
      </c>
      <c r="J251" s="3" t="n">
        <v>0</v>
      </c>
      <c r="K251" s="32" t="n">
        <v>0</v>
      </c>
      <c r="L251" s="32" t="n">
        <v>0</v>
      </c>
      <c r="M251" s="31" t="n">
        <v>0.41</v>
      </c>
      <c r="N251" s="3" t="inlineStr">
        <is>
          <t>1WMBM109-BLGY</t>
        </is>
      </c>
      <c r="O251" s="3" t="inlineStr">
        <is>
          <t>exact</t>
        </is>
      </c>
      <c r="P251" s="4" t="n"/>
      <c r="Q251" s="4" t="n"/>
      <c r="R251" s="4" t="inlineStr">
        <is>
          <t>-</t>
        </is>
      </c>
      <c r="S251" s="4" t="n"/>
      <c r="T251" s="4" t="n">
        <v>0</v>
      </c>
      <c r="U251" s="4" t="n">
        <v>0</v>
      </c>
      <c r="V251" s="4" t="n"/>
    </row>
    <row r="252">
      <c r="A252" t="inlineStr">
        <is>
          <t>992856596</t>
        </is>
      </c>
      <c r="B252" s="4" t="n"/>
      <c r="C252" s="31" t="n">
        <v>0.41</v>
      </c>
      <c r="D252" s="31" t="n">
        <v>0</v>
      </c>
      <c r="E252" s="31" t="n">
        <v>0</v>
      </c>
      <c r="F252" s="31" t="n">
        <v>0</v>
      </c>
      <c r="G252" s="3" t="n">
        <v>6</v>
      </c>
      <c r="H252" s="3" t="n">
        <v>1</v>
      </c>
      <c r="I252" s="32" t="n">
        <v>0.17</v>
      </c>
      <c r="J252" s="3" t="n">
        <v>0</v>
      </c>
      <c r="K252" s="32" t="n">
        <v>0</v>
      </c>
      <c r="L252" s="32" t="n">
        <v>0</v>
      </c>
      <c r="M252" s="31" t="n">
        <v>0.41</v>
      </c>
      <c r="N252" s="3" t="inlineStr">
        <is>
          <t>Throws_Manual_Optiwise_24</t>
        </is>
      </c>
      <c r="O252" s="3" t="inlineStr">
        <is>
          <t>phrase</t>
        </is>
      </c>
      <c r="P252" s="4" t="n"/>
      <c r="Q252" s="4" t="n"/>
      <c r="R252" s="4" t="inlineStr">
        <is>
          <t>-</t>
        </is>
      </c>
      <c r="S252" s="4" t="n"/>
      <c r="T252" s="4" t="n">
        <v>0</v>
      </c>
      <c r="U252" s="4" t="n">
        <v>0</v>
      </c>
      <c r="V252" s="4" t="n"/>
    </row>
    <row r="253">
      <c r="A253" t="inlineStr">
        <is>
          <t>8552817673</t>
        </is>
      </c>
      <c r="B253" s="4" t="n"/>
      <c r="C253" s="31" t="n">
        <v>0.41</v>
      </c>
      <c r="D253" s="31" t="n">
        <v>0</v>
      </c>
      <c r="E253" s="31" t="n">
        <v>0</v>
      </c>
      <c r="F253" s="31" t="n">
        <v>0</v>
      </c>
      <c r="G253" s="3" t="n">
        <v>1</v>
      </c>
      <c r="H253" s="3" t="n">
        <v>1</v>
      </c>
      <c r="I253" s="32" t="n">
        <v>1</v>
      </c>
      <c r="J253" s="3" t="n">
        <v>0</v>
      </c>
      <c r="K253" s="32" t="n">
        <v>0</v>
      </c>
      <c r="L253" s="32" t="n">
        <v>0</v>
      </c>
      <c r="M253" s="31" t="n">
        <v>0.41</v>
      </c>
      <c r="N253" s="3" t="inlineStr">
        <is>
          <t>Throws_Manual_Optiwise_24</t>
        </is>
      </c>
      <c r="O253" s="3" t="inlineStr">
        <is>
          <t>phrase</t>
        </is>
      </c>
      <c r="P253" s="4" t="n"/>
      <c r="Q253" s="4" t="n"/>
      <c r="R253" s="4" t="inlineStr">
        <is>
          <t>-</t>
        </is>
      </c>
      <c r="S253" s="4" t="n"/>
      <c r="T253" s="4" t="n">
        <v>0</v>
      </c>
      <c r="U253" s="4" t="n">
        <v>0</v>
      </c>
      <c r="V253" s="4" t="n"/>
    </row>
    <row r="254">
      <c r="A254" t="inlineStr">
        <is>
          <t>extra long throw blanket 50 by 80</t>
        </is>
      </c>
      <c r="B254" s="4" t="n"/>
      <c r="C254" s="31" t="n">
        <v>0.41</v>
      </c>
      <c r="D254" s="31" t="n">
        <v>0</v>
      </c>
      <c r="E254" s="31" t="n">
        <v>0</v>
      </c>
      <c r="F254" s="31" t="n">
        <v>0</v>
      </c>
      <c r="G254" s="3" t="n">
        <v>1</v>
      </c>
      <c r="H254" s="3" t="n">
        <v>1</v>
      </c>
      <c r="I254" s="32" t="n">
        <v>1</v>
      </c>
      <c r="J254" s="3" t="n">
        <v>0</v>
      </c>
      <c r="K254" s="32" t="n">
        <v>0</v>
      </c>
      <c r="L254" s="32" t="n">
        <v>0</v>
      </c>
      <c r="M254" s="31" t="n">
        <v>0.41</v>
      </c>
      <c r="N254" s="3" t="inlineStr">
        <is>
          <t>Throws_Manual_Optiwise_24</t>
        </is>
      </c>
      <c r="O254" s="3" t="inlineStr">
        <is>
          <t>phrase</t>
        </is>
      </c>
      <c r="P254" s="4" t="n"/>
      <c r="Q254" s="4" t="n"/>
      <c r="R254" s="4" t="inlineStr">
        <is>
          <t>-</t>
        </is>
      </c>
      <c r="S254" s="4" t="n"/>
      <c r="T254" s="4" t="n">
        <v>0</v>
      </c>
      <c r="U254" s="4" t="n">
        <v>0</v>
      </c>
      <c r="V254" s="4" t="n"/>
    </row>
    <row r="255">
      <c r="A255" t="inlineStr">
        <is>
          <t>xlzrge size throw with sherpa lining and heted</t>
        </is>
      </c>
      <c r="B255" s="4" t="n"/>
      <c r="C255" s="31" t="n">
        <v>0.41</v>
      </c>
      <c r="D255" s="31" t="n">
        <v>0</v>
      </c>
      <c r="E255" s="31" t="n">
        <v>0</v>
      </c>
      <c r="F255" s="31" t="n">
        <v>0</v>
      </c>
      <c r="G255" s="3" t="n">
        <v>1</v>
      </c>
      <c r="H255" s="3" t="n">
        <v>1</v>
      </c>
      <c r="I255" s="32" t="n">
        <v>1</v>
      </c>
      <c r="J255" s="3" t="n">
        <v>0</v>
      </c>
      <c r="K255" s="32" t="n">
        <v>0</v>
      </c>
      <c r="L255" s="32" t="n">
        <v>0</v>
      </c>
      <c r="M255" s="31" t="n">
        <v>0.41</v>
      </c>
      <c r="N255" s="3" t="inlineStr">
        <is>
          <t>Throws_Manual_Optiwise_24</t>
        </is>
      </c>
      <c r="O255" s="3" t="inlineStr">
        <is>
          <t>phrase</t>
        </is>
      </c>
      <c r="P255" s="4" t="n"/>
      <c r="Q255" s="4" t="n"/>
      <c r="R255" s="4" t="inlineStr">
        <is>
          <t>-</t>
        </is>
      </c>
      <c r="S255" s="4" t="n"/>
      <c r="T255" s="4" t="n">
        <v>0</v>
      </c>
      <c r="U255" s="4" t="n">
        <v>0</v>
      </c>
      <c r="V255" s="4" t="n"/>
    </row>
    <row r="256">
      <c r="A256" t="inlineStr">
        <is>
          <t>48628829</t>
        </is>
      </c>
      <c r="B256" s="4" t="n"/>
      <c r="C256" s="31" t="n">
        <v>0.41</v>
      </c>
      <c r="D256" s="31" t="n">
        <v>0</v>
      </c>
      <c r="E256" s="31" t="n">
        <v>0</v>
      </c>
      <c r="F256" s="31" t="n">
        <v>0</v>
      </c>
      <c r="G256" s="3" t="n">
        <v>2</v>
      </c>
      <c r="H256" s="3" t="n">
        <v>1</v>
      </c>
      <c r="I256" s="32" t="n">
        <v>0.5</v>
      </c>
      <c r="J256" s="3" t="n">
        <v>0</v>
      </c>
      <c r="K256" s="32" t="n">
        <v>0</v>
      </c>
      <c r="L256" s="32" t="n">
        <v>0</v>
      </c>
      <c r="M256" s="31" t="n">
        <v>0.41</v>
      </c>
      <c r="N256" s="3" t="inlineStr">
        <is>
          <t>Throws_Manual_Optiwise_24</t>
        </is>
      </c>
      <c r="O256" s="3" t="inlineStr">
        <is>
          <t>phrase</t>
        </is>
      </c>
      <c r="P256" s="4" t="n"/>
      <c r="Q256" s="4" t="n"/>
      <c r="R256" s="4" t="inlineStr">
        <is>
          <t>-</t>
        </is>
      </c>
      <c r="S256" s="4" t="n"/>
      <c r="T256" s="4" t="n">
        <v>0</v>
      </c>
      <c r="U256" s="4" t="n">
        <v>0</v>
      </c>
      <c r="V256" s="4" t="n"/>
    </row>
    <row r="257">
      <c r="A257" t="inlineStr">
        <is>
          <t>sherpa throw blanket 60 x 80</t>
        </is>
      </c>
      <c r="B257" s="4" t="n"/>
      <c r="C257" s="31" t="n">
        <v>0.41</v>
      </c>
      <c r="D257" s="31" t="n">
        <v>0</v>
      </c>
      <c r="E257" s="31" t="n">
        <v>0</v>
      </c>
      <c r="F257" s="31" t="n">
        <v>0</v>
      </c>
      <c r="G257" s="3" t="n">
        <v>2</v>
      </c>
      <c r="H257" s="3" t="n">
        <v>1</v>
      </c>
      <c r="I257" s="32" t="n">
        <v>0.5</v>
      </c>
      <c r="J257" s="3" t="n">
        <v>0</v>
      </c>
      <c r="K257" s="32" t="n">
        <v>0</v>
      </c>
      <c r="L257" s="32" t="n">
        <v>0</v>
      </c>
      <c r="M257" s="31" t="n">
        <v>0.41</v>
      </c>
      <c r="N257" s="3" t="inlineStr">
        <is>
          <t>Throws_Manual_Optiwise_24</t>
        </is>
      </c>
      <c r="O257" s="3" t="inlineStr">
        <is>
          <t>phrase</t>
        </is>
      </c>
      <c r="P257" s="4" t="n"/>
      <c r="Q257" s="4" t="n"/>
      <c r="R257" s="4" t="inlineStr">
        <is>
          <t>-</t>
        </is>
      </c>
      <c r="S257" s="4" t="n"/>
      <c r="T257" s="4" t="n">
        <v>0</v>
      </c>
      <c r="U257" s="4" t="n">
        <v>0</v>
      </c>
      <c r="V257" s="4" t="n"/>
    </row>
    <row r="258">
      <c r="A258" t="inlineStr">
        <is>
          <t>pioneer woman oversized throw</t>
        </is>
      </c>
      <c r="B258" s="4" t="n"/>
      <c r="C258" s="31" t="n">
        <v>0.41</v>
      </c>
      <c r="D258" s="31" t="n">
        <v>0</v>
      </c>
      <c r="E258" s="31" t="n">
        <v>0</v>
      </c>
      <c r="F258" s="31" t="n">
        <v>0</v>
      </c>
      <c r="G258" s="3" t="n">
        <v>1</v>
      </c>
      <c r="H258" s="3" t="n">
        <v>1</v>
      </c>
      <c r="I258" s="32" t="n">
        <v>1</v>
      </c>
      <c r="J258" s="3" t="n">
        <v>0</v>
      </c>
      <c r="K258" s="32" t="n">
        <v>0</v>
      </c>
      <c r="L258" s="32" t="n">
        <v>0</v>
      </c>
      <c r="M258" s="31" t="n">
        <v>0.41</v>
      </c>
      <c r="N258" s="3" t="inlineStr">
        <is>
          <t>Throws_Manual_Optiwise_24</t>
        </is>
      </c>
      <c r="O258" s="3" t="inlineStr">
        <is>
          <t>phrase</t>
        </is>
      </c>
      <c r="P258" s="4" t="n"/>
      <c r="Q258" s="4" t="n"/>
      <c r="R258" s="4" t="inlineStr">
        <is>
          <t>-</t>
        </is>
      </c>
      <c r="S258" s="4" t="n"/>
      <c r="T258" s="4" t="n">
        <v>0</v>
      </c>
      <c r="U258" s="4" t="n">
        <v>0</v>
      </c>
      <c r="V258" s="4" t="n"/>
    </row>
    <row r="259">
      <c r="A259" t="inlineStr">
        <is>
          <t>footed blanket throw</t>
        </is>
      </c>
      <c r="B259" s="4" t="n"/>
      <c r="C259" s="31" t="n">
        <v>0.41</v>
      </c>
      <c r="D259" s="31" t="n">
        <v>0</v>
      </c>
      <c r="E259" s="31" t="n">
        <v>0</v>
      </c>
      <c r="F259" s="31" t="n">
        <v>0</v>
      </c>
      <c r="G259" s="3" t="n">
        <v>2</v>
      </c>
      <c r="H259" s="3" t="n">
        <v>1</v>
      </c>
      <c r="I259" s="32" t="n">
        <v>0.5</v>
      </c>
      <c r="J259" s="3" t="n">
        <v>0</v>
      </c>
      <c r="K259" s="32" t="n">
        <v>0</v>
      </c>
      <c r="L259" s="32" t="n">
        <v>0</v>
      </c>
      <c r="M259" s="31" t="n">
        <v>0.41</v>
      </c>
      <c r="N259" s="3" t="inlineStr">
        <is>
          <t>Throws_Manual_Optiwise_24</t>
        </is>
      </c>
      <c r="O259" s="3" t="inlineStr">
        <is>
          <t>phrase</t>
        </is>
      </c>
      <c r="P259" s="4" t="n"/>
      <c r="Q259" s="4" t="n"/>
      <c r="R259" s="4" t="inlineStr">
        <is>
          <t>-</t>
        </is>
      </c>
      <c r="S259" s="4" t="n"/>
      <c r="T259" s="4" t="n">
        <v>0</v>
      </c>
      <c r="U259" s="4" t="n">
        <v>0</v>
      </c>
      <c r="V259" s="4" t="n"/>
    </row>
    <row r="260">
      <c r="A260" t="inlineStr">
        <is>
          <t>5070059587</t>
        </is>
      </c>
      <c r="B260" s="4" t="n"/>
      <c r="C260" s="31" t="n">
        <v>0.41</v>
      </c>
      <c r="D260" s="31" t="n">
        <v>25.99</v>
      </c>
      <c r="E260" s="31" t="n">
        <v>25.99</v>
      </c>
      <c r="F260" s="31" t="n">
        <v>63.39</v>
      </c>
      <c r="G260" s="3" t="n">
        <v>4</v>
      </c>
      <c r="H260" s="3" t="n">
        <v>1</v>
      </c>
      <c r="I260" s="32" t="n">
        <v>0.25</v>
      </c>
      <c r="J260" s="3" t="n">
        <v>1</v>
      </c>
      <c r="K260" s="32" t="n">
        <v>1</v>
      </c>
      <c r="L260" s="32" t="n">
        <v>0</v>
      </c>
      <c r="M260" s="31" t="n">
        <v>0.41</v>
      </c>
      <c r="N260" s="3" t="inlineStr">
        <is>
          <t>Throws_Manual_Optiwise_24</t>
        </is>
      </c>
      <c r="O260" s="3" t="inlineStr">
        <is>
          <t>phrase</t>
        </is>
      </c>
      <c r="P260" s="4" t="n"/>
      <c r="Q260" s="4" t="n"/>
      <c r="R260" s="4" t="inlineStr">
        <is>
          <t>-</t>
        </is>
      </c>
      <c r="S260" s="4" t="n"/>
      <c r="T260" s="4" t="n">
        <v>0</v>
      </c>
      <c r="U260" s="4" t="n">
        <v>0</v>
      </c>
      <c r="V260" s="4" t="n"/>
    </row>
    <row r="261">
      <c r="A261" t="inlineStr">
        <is>
          <t>printed blankets and throws under 10.00</t>
        </is>
      </c>
      <c r="B261" s="4" t="n"/>
      <c r="C261" s="31" t="n">
        <v>0.41</v>
      </c>
      <c r="D261" s="31" t="n">
        <v>0</v>
      </c>
      <c r="E261" s="31" t="n">
        <v>0</v>
      </c>
      <c r="F261" s="31" t="n">
        <v>0</v>
      </c>
      <c r="G261" s="3" t="n">
        <v>2</v>
      </c>
      <c r="H261" s="3" t="n">
        <v>1</v>
      </c>
      <c r="I261" s="32" t="n">
        <v>0.5</v>
      </c>
      <c r="J261" s="3" t="n">
        <v>0</v>
      </c>
      <c r="K261" s="32" t="n">
        <v>0</v>
      </c>
      <c r="L261" s="32" t="n">
        <v>0</v>
      </c>
      <c r="M261" s="31" t="n">
        <v>0.41</v>
      </c>
      <c r="N261" s="3" t="inlineStr">
        <is>
          <t>Throws_Manual_Optiwise_24</t>
        </is>
      </c>
      <c r="O261" s="3" t="inlineStr">
        <is>
          <t>phrase</t>
        </is>
      </c>
      <c r="P261" s="4" t="n"/>
      <c r="Q261" s="4" t="n"/>
      <c r="R261" s="4" t="inlineStr">
        <is>
          <t>-</t>
        </is>
      </c>
      <c r="S261" s="4" t="n"/>
      <c r="T261" s="4" t="n">
        <v>0</v>
      </c>
      <c r="U261" s="4" t="n">
        <v>0</v>
      </c>
      <c r="V261" s="4" t="n"/>
    </row>
    <row r="262">
      <c r="A262" t="inlineStr">
        <is>
          <t>throw blankets under $5.00</t>
        </is>
      </c>
      <c r="B262" s="4" t="n"/>
      <c r="C262" s="31" t="n">
        <v>0.41</v>
      </c>
      <c r="D262" s="31" t="n">
        <v>0</v>
      </c>
      <c r="E262" s="31" t="n">
        <v>0</v>
      </c>
      <c r="F262" s="31" t="n">
        <v>0</v>
      </c>
      <c r="G262" s="3" t="n">
        <v>4</v>
      </c>
      <c r="H262" s="3" t="n">
        <v>1</v>
      </c>
      <c r="I262" s="32" t="n">
        <v>0.25</v>
      </c>
      <c r="J262" s="3" t="n">
        <v>0</v>
      </c>
      <c r="K262" s="32" t="n">
        <v>0</v>
      </c>
      <c r="L262" s="32" t="n">
        <v>0</v>
      </c>
      <c r="M262" s="31" t="n">
        <v>0.41</v>
      </c>
      <c r="N262" s="3" t="inlineStr">
        <is>
          <t>Throws_Manual_Optiwise_24</t>
        </is>
      </c>
      <c r="O262" s="3" t="inlineStr">
        <is>
          <t>phrase</t>
        </is>
      </c>
      <c r="P262" s="4" t="n"/>
      <c r="Q262" s="4" t="n"/>
      <c r="R262" s="4" t="inlineStr">
        <is>
          <t>-</t>
        </is>
      </c>
      <c r="S262" s="4" t="n"/>
      <c r="T262" s="4" t="n">
        <v>0</v>
      </c>
      <c r="U262" s="4" t="n">
        <v>0</v>
      </c>
      <c r="V262" s="4" t="n"/>
    </row>
    <row r="263">
      <c r="A263" t="inlineStr">
        <is>
          <t>760825616</t>
        </is>
      </c>
      <c r="B263" s="4" t="n"/>
      <c r="C263" s="31" t="n">
        <v>0.41</v>
      </c>
      <c r="D263" s="31" t="n">
        <v>0</v>
      </c>
      <c r="E263" s="31" t="n">
        <v>0</v>
      </c>
      <c r="F263" s="31" t="n">
        <v>0</v>
      </c>
      <c r="G263" s="3" t="n">
        <v>3</v>
      </c>
      <c r="H263" s="3" t="n">
        <v>1</v>
      </c>
      <c r="I263" s="32" t="n">
        <v>0.33</v>
      </c>
      <c r="J263" s="3" t="n">
        <v>0</v>
      </c>
      <c r="K263" s="32" t="n">
        <v>0</v>
      </c>
      <c r="L263" s="32" t="n">
        <v>0</v>
      </c>
      <c r="M263" s="31" t="n">
        <v>0.41</v>
      </c>
      <c r="N263" s="3" t="inlineStr">
        <is>
          <t>Throws_Manual_Optiwise_24</t>
        </is>
      </c>
      <c r="O263" s="3" t="inlineStr">
        <is>
          <t>phrase</t>
        </is>
      </c>
      <c r="P263" s="4" t="n"/>
      <c r="Q263" s="4" t="n"/>
      <c r="R263" s="4" t="inlineStr">
        <is>
          <t>-</t>
        </is>
      </c>
      <c r="S263" s="4" t="n"/>
      <c r="T263" s="4" t="n">
        <v>0</v>
      </c>
      <c r="U263" s="4" t="n">
        <v>0</v>
      </c>
      <c r="V263" s="4" t="n"/>
    </row>
    <row r="264">
      <c r="A264" t="inlineStr">
        <is>
          <t>tiger blanket throw</t>
        </is>
      </c>
      <c r="B264" s="4" t="n"/>
      <c r="C264" s="31" t="n">
        <v>0.41</v>
      </c>
      <c r="D264" s="31" t="n">
        <v>0</v>
      </c>
      <c r="E264" s="31" t="n">
        <v>0</v>
      </c>
      <c r="F264" s="31" t="n">
        <v>0</v>
      </c>
      <c r="G264" s="3" t="n">
        <v>1</v>
      </c>
      <c r="H264" s="3" t="n">
        <v>1</v>
      </c>
      <c r="I264" s="32" t="n">
        <v>1</v>
      </c>
      <c r="J264" s="3" t="n">
        <v>0</v>
      </c>
      <c r="K264" s="32" t="n">
        <v>0</v>
      </c>
      <c r="L264" s="32" t="n">
        <v>0</v>
      </c>
      <c r="M264" s="31" t="n">
        <v>0.41</v>
      </c>
      <c r="N264" s="3" t="inlineStr">
        <is>
          <t>Throws_Manual_Optiwise_24</t>
        </is>
      </c>
      <c r="O264" s="3" t="inlineStr">
        <is>
          <t>phrase</t>
        </is>
      </c>
      <c r="P264" s="4" t="n"/>
      <c r="Q264" s="4" t="n"/>
      <c r="R264" s="4" t="inlineStr">
        <is>
          <t>-</t>
        </is>
      </c>
      <c r="S264" s="4" t="n"/>
      <c r="T264" s="4" t="n">
        <v>0</v>
      </c>
      <c r="U264" s="4" t="n">
        <v>0</v>
      </c>
      <c r="V264" s="4" t="n"/>
    </row>
    <row r="265">
      <c r="A265" t="inlineStr">
        <is>
          <t>stitch throw over lady robes soft</t>
        </is>
      </c>
      <c r="B265" s="4" t="n"/>
      <c r="C265" s="31" t="n">
        <v>0.41</v>
      </c>
      <c r="D265" s="31" t="n">
        <v>0</v>
      </c>
      <c r="E265" s="31" t="n">
        <v>0</v>
      </c>
      <c r="F265" s="31" t="n">
        <v>0</v>
      </c>
      <c r="G265" s="3" t="n">
        <v>9</v>
      </c>
      <c r="H265" s="3" t="n">
        <v>1</v>
      </c>
      <c r="I265" s="32" t="n">
        <v>0.11</v>
      </c>
      <c r="J265" s="3" t="n">
        <v>0</v>
      </c>
      <c r="K265" s="32" t="n">
        <v>0</v>
      </c>
      <c r="L265" s="32" t="n">
        <v>0</v>
      </c>
      <c r="M265" s="31" t="n">
        <v>0.41</v>
      </c>
      <c r="N265" s="3" t="inlineStr">
        <is>
          <t>Throws_Manual_Optiwise_24</t>
        </is>
      </c>
      <c r="O265" s="3" t="inlineStr">
        <is>
          <t>phrase</t>
        </is>
      </c>
      <c r="P265" s="4" t="n"/>
      <c r="Q265" s="4" t="n"/>
      <c r="R265" s="4" t="inlineStr">
        <is>
          <t>-</t>
        </is>
      </c>
      <c r="S265" s="4" t="n"/>
      <c r="T265" s="4" t="n">
        <v>0</v>
      </c>
      <c r="U265" s="4" t="n">
        <v>0</v>
      </c>
      <c r="V265" s="4" t="n"/>
    </row>
    <row r="266">
      <c r="A266" t="inlineStr">
        <is>
          <t>635507508</t>
        </is>
      </c>
      <c r="B266" s="4" t="n"/>
      <c r="C266" s="31" t="n">
        <v>0.41</v>
      </c>
      <c r="D266" s="31" t="n">
        <v>0</v>
      </c>
      <c r="E266" s="31" t="n">
        <v>0</v>
      </c>
      <c r="F266" s="31" t="n">
        <v>0</v>
      </c>
      <c r="G266" s="3" t="n">
        <v>3</v>
      </c>
      <c r="H266" s="3" t="n">
        <v>1</v>
      </c>
      <c r="I266" s="32" t="n">
        <v>0.33</v>
      </c>
      <c r="J266" s="3" t="n">
        <v>0</v>
      </c>
      <c r="K266" s="32" t="n">
        <v>0</v>
      </c>
      <c r="L266" s="32" t="n">
        <v>0</v>
      </c>
      <c r="M266" s="31" t="n">
        <v>0.41</v>
      </c>
      <c r="N266" s="3" t="inlineStr">
        <is>
          <t>Throws_Manual_Optiwise_24</t>
        </is>
      </c>
      <c r="O266" s="3" t="inlineStr">
        <is>
          <t>phrase</t>
        </is>
      </c>
      <c r="P266" s="4" t="n"/>
      <c r="Q266" s="4" t="n"/>
      <c r="R266" s="4" t="inlineStr">
        <is>
          <t>-</t>
        </is>
      </c>
      <c r="S266" s="4" t="n"/>
      <c r="T266" s="4" t="n">
        <v>0</v>
      </c>
      <c r="U266" s="4" t="n">
        <v>0</v>
      </c>
      <c r="V266" s="4" t="n"/>
    </row>
    <row r="267">
      <c r="A267" t="inlineStr">
        <is>
          <t>ourdoor battery operated throw</t>
        </is>
      </c>
      <c r="B267" s="4" t="n"/>
      <c r="C267" s="31" t="n">
        <v>0.41</v>
      </c>
      <c r="D267" s="31" t="n">
        <v>0</v>
      </c>
      <c r="E267" s="31" t="n">
        <v>0</v>
      </c>
      <c r="F267" s="31" t="n">
        <v>0</v>
      </c>
      <c r="G267" s="3" t="n">
        <v>4</v>
      </c>
      <c r="H267" s="3" t="n">
        <v>1</v>
      </c>
      <c r="I267" s="32" t="n">
        <v>0.25</v>
      </c>
      <c r="J267" s="3" t="n">
        <v>0</v>
      </c>
      <c r="K267" s="32" t="n">
        <v>0</v>
      </c>
      <c r="L267" s="32" t="n">
        <v>0</v>
      </c>
      <c r="M267" s="31" t="n">
        <v>0.41</v>
      </c>
      <c r="N267" s="3" t="inlineStr">
        <is>
          <t>Throws_Manual_Optiwise_24</t>
        </is>
      </c>
      <c r="O267" s="3" t="inlineStr">
        <is>
          <t>phrase</t>
        </is>
      </c>
      <c r="P267" s="4" t="n"/>
      <c r="Q267" s="4" t="n"/>
      <c r="R267" s="4" t="inlineStr">
        <is>
          <t>-</t>
        </is>
      </c>
      <c r="S267" s="4" t="n"/>
      <c r="T267" s="4" t="n">
        <v>0</v>
      </c>
      <c r="U267" s="4" t="n">
        <v>0</v>
      </c>
      <c r="V267" s="4" t="n"/>
    </row>
    <row r="268">
      <c r="A268" t="inlineStr">
        <is>
          <t>electric blanket throw with pocket for feet</t>
        </is>
      </c>
      <c r="B268" s="4" t="n"/>
      <c r="C268" s="31" t="n">
        <v>0.41</v>
      </c>
      <c r="D268" s="31" t="n">
        <v>0</v>
      </c>
      <c r="E268" s="31" t="n">
        <v>0</v>
      </c>
      <c r="F268" s="31" t="n">
        <v>0</v>
      </c>
      <c r="G268" s="3" t="n">
        <v>1</v>
      </c>
      <c r="H268" s="3" t="n">
        <v>1</v>
      </c>
      <c r="I268" s="32" t="n">
        <v>1</v>
      </c>
      <c r="J268" s="3" t="n">
        <v>0</v>
      </c>
      <c r="K268" s="32" t="n">
        <v>0</v>
      </c>
      <c r="L268" s="32" t="n">
        <v>0</v>
      </c>
      <c r="M268" s="31" t="n">
        <v>0.41</v>
      </c>
      <c r="N268" s="3" t="inlineStr">
        <is>
          <t>Throws_Manual_Optiwise_24</t>
        </is>
      </c>
      <c r="O268" s="3" t="inlineStr">
        <is>
          <t>phrase</t>
        </is>
      </c>
      <c r="P268" s="4" t="n"/>
      <c r="Q268" s="4" t="n"/>
      <c r="R268" s="4" t="inlineStr">
        <is>
          <t>-</t>
        </is>
      </c>
      <c r="S268" s="4" t="n"/>
      <c r="T268" s="4" t="n">
        <v>0</v>
      </c>
      <c r="U268" s="4" t="n">
        <v>0</v>
      </c>
      <c r="V268" s="4" t="n"/>
    </row>
    <row r="269">
      <c r="A269" t="inlineStr">
        <is>
          <t>animal print throws</t>
        </is>
      </c>
      <c r="B269" s="4" t="inlineStr">
        <is>
          <t>50 - 540</t>
        </is>
      </c>
      <c r="C269" s="31" t="n">
        <v>0.41</v>
      </c>
      <c r="D269" s="31" t="n">
        <v>0</v>
      </c>
      <c r="E269" s="31" t="n">
        <v>0</v>
      </c>
      <c r="F269" s="31" t="n">
        <v>0</v>
      </c>
      <c r="G269" s="3" t="n">
        <v>4</v>
      </c>
      <c r="H269" s="3" t="n">
        <v>1</v>
      </c>
      <c r="I269" s="32" t="n">
        <v>0.25</v>
      </c>
      <c r="J269" s="3" t="n">
        <v>0</v>
      </c>
      <c r="K269" s="32" t="n">
        <v>0</v>
      </c>
      <c r="L269" s="32" t="n">
        <v>0.46</v>
      </c>
      <c r="M269" s="31" t="n">
        <v>0.41</v>
      </c>
      <c r="N269" s="3" t="inlineStr">
        <is>
          <t>Throws_Manual_Optiwise_24</t>
        </is>
      </c>
      <c r="O269" s="3" t="inlineStr">
        <is>
          <t>phrase</t>
        </is>
      </c>
      <c r="P269" s="4" t="n"/>
      <c r="Q269" s="4" t="n"/>
      <c r="R269" s="4" t="inlineStr">
        <is>
          <t>-</t>
        </is>
      </c>
      <c r="S269" s="4" t="n"/>
      <c r="T269" s="4" t="n">
        <v>0</v>
      </c>
      <c r="U269" s="4" t="n">
        <v>0</v>
      </c>
      <c r="V269" s="4" t="n"/>
    </row>
    <row r="270">
      <c r="A270" t="inlineStr">
        <is>
          <t>5396493299</t>
        </is>
      </c>
      <c r="B270" s="4" t="n"/>
      <c r="C270" s="31" t="n">
        <v>0.41</v>
      </c>
      <c r="D270" s="31" t="n">
        <v>0</v>
      </c>
      <c r="E270" s="31" t="n">
        <v>0</v>
      </c>
      <c r="F270" s="31" t="n">
        <v>0</v>
      </c>
      <c r="G270" s="3" t="n">
        <v>164</v>
      </c>
      <c r="H270" s="3" t="n">
        <v>1</v>
      </c>
      <c r="I270" s="32" t="n">
        <v>0.01</v>
      </c>
      <c r="J270" s="3" t="n">
        <v>0</v>
      </c>
      <c r="K270" s="32" t="n">
        <v>0</v>
      </c>
      <c r="L270" s="32" t="n">
        <v>0</v>
      </c>
      <c r="M270" s="31" t="n">
        <v>0.41</v>
      </c>
      <c r="N270" s="3" t="inlineStr">
        <is>
          <t>Throws_Manual_Optiwise_24</t>
        </is>
      </c>
      <c r="O270" s="3" t="inlineStr">
        <is>
          <t>phrase</t>
        </is>
      </c>
      <c r="P270" s="4" t="n"/>
      <c r="Q270" s="4" t="n"/>
      <c r="R270" s="4" t="inlineStr">
        <is>
          <t>-</t>
        </is>
      </c>
      <c r="S270" s="4" t="n"/>
      <c r="T270" s="4" t="n">
        <v>0</v>
      </c>
      <c r="U270" s="4" t="n">
        <v>0</v>
      </c>
      <c r="V270" s="4" t="n"/>
    </row>
    <row r="271">
      <c r="A271" t="inlineStr">
        <is>
          <t>hot sauce throw</t>
        </is>
      </c>
      <c r="B271" s="4" t="n"/>
      <c r="C271" s="31" t="n">
        <v>0.41</v>
      </c>
      <c r="D271" s="31" t="n">
        <v>0</v>
      </c>
      <c r="E271" s="31" t="n">
        <v>0</v>
      </c>
      <c r="F271" s="31" t="n">
        <v>0</v>
      </c>
      <c r="G271" s="3" t="n">
        <v>2</v>
      </c>
      <c r="H271" s="3" t="n">
        <v>1</v>
      </c>
      <c r="I271" s="32" t="n">
        <v>0.5</v>
      </c>
      <c r="J271" s="3" t="n">
        <v>0</v>
      </c>
      <c r="K271" s="32" t="n">
        <v>0</v>
      </c>
      <c r="L271" s="32" t="n">
        <v>0</v>
      </c>
      <c r="M271" s="31" t="n">
        <v>0.41</v>
      </c>
      <c r="N271" s="3" t="inlineStr">
        <is>
          <t>Throws_Manual_Optiwise_24</t>
        </is>
      </c>
      <c r="O271" s="3" t="inlineStr">
        <is>
          <t>phrase</t>
        </is>
      </c>
      <c r="P271" s="4" t="n"/>
      <c r="Q271" s="4" t="n"/>
      <c r="R271" s="4" t="inlineStr">
        <is>
          <t>-</t>
        </is>
      </c>
      <c r="S271" s="4" t="n"/>
      <c r="T271" s="4" t="n">
        <v>0</v>
      </c>
      <c r="U271" s="4" t="n">
        <v>0</v>
      </c>
      <c r="V271" s="4" t="n"/>
    </row>
    <row r="272">
      <c r="A272" t="inlineStr">
        <is>
          <t>throw blanket with feet pocket 100 ├ù 90</t>
        </is>
      </c>
      <c r="B272" s="4" t="n"/>
      <c r="C272" s="31" t="n">
        <v>0.41</v>
      </c>
      <c r="D272" s="31" t="n">
        <v>0</v>
      </c>
      <c r="E272" s="31" t="n">
        <v>0</v>
      </c>
      <c r="F272" s="31" t="n">
        <v>0</v>
      </c>
      <c r="G272" s="3" t="n">
        <v>10</v>
      </c>
      <c r="H272" s="3" t="n">
        <v>1</v>
      </c>
      <c r="I272" s="32" t="n">
        <v>0.1</v>
      </c>
      <c r="J272" s="3" t="n">
        <v>0</v>
      </c>
      <c r="K272" s="32" t="n">
        <v>0</v>
      </c>
      <c r="L272" s="32" t="n">
        <v>0</v>
      </c>
      <c r="M272" s="31" t="n">
        <v>0.41</v>
      </c>
      <c r="N272" s="3" t="inlineStr">
        <is>
          <t>Throws_Manual_Optiwise_24</t>
        </is>
      </c>
      <c r="O272" s="3" t="inlineStr">
        <is>
          <t>phrase</t>
        </is>
      </c>
      <c r="P272" s="4" t="n"/>
      <c r="Q272" s="4" t="n"/>
      <c r="R272" s="4" t="inlineStr">
        <is>
          <t>-</t>
        </is>
      </c>
      <c r="S272" s="4" t="n"/>
      <c r="T272" s="4" t="n">
        <v>0</v>
      </c>
      <c r="U272" s="4" t="n">
        <v>0</v>
      </c>
      <c r="V272" s="4" t="n"/>
    </row>
    <row r="273">
      <c r="A273" t="inlineStr">
        <is>
          <t>borrego throw</t>
        </is>
      </c>
      <c r="B273" s="4" t="n"/>
      <c r="C273" s="31" t="n">
        <v>0.41</v>
      </c>
      <c r="D273" s="31" t="n">
        <v>0</v>
      </c>
      <c r="E273" s="31" t="n">
        <v>0</v>
      </c>
      <c r="F273" s="31" t="n">
        <v>0</v>
      </c>
      <c r="G273" s="3" t="n">
        <v>2</v>
      </c>
      <c r="H273" s="3" t="n">
        <v>1</v>
      </c>
      <c r="I273" s="32" t="n">
        <v>0.5</v>
      </c>
      <c r="J273" s="3" t="n">
        <v>0</v>
      </c>
      <c r="K273" s="32" t="n">
        <v>0</v>
      </c>
      <c r="L273" s="32" t="n">
        <v>0</v>
      </c>
      <c r="M273" s="31" t="n">
        <v>0.41</v>
      </c>
      <c r="N273" s="3" t="inlineStr">
        <is>
          <t>Throws_Manual_Optiwise_24</t>
        </is>
      </c>
      <c r="O273" s="3" t="inlineStr">
        <is>
          <t>phrase</t>
        </is>
      </c>
      <c r="P273" s="4" t="n"/>
      <c r="Q273" s="4" t="n"/>
      <c r="R273" s="4" t="inlineStr">
        <is>
          <t>-</t>
        </is>
      </c>
      <c r="S273" s="4" t="n"/>
      <c r="T273" s="4" t="n">
        <v>0</v>
      </c>
      <c r="U273" s="4" t="n">
        <v>0</v>
      </c>
      <c r="V273" s="4" t="n"/>
    </row>
    <row r="274">
      <c r="A274" t="inlineStr">
        <is>
          <t>431339580</t>
        </is>
      </c>
      <c r="B274" s="4" t="n"/>
      <c r="C274" s="31" t="n">
        <v>0.41</v>
      </c>
      <c r="D274" s="31" t="n">
        <v>0</v>
      </c>
      <c r="E274" s="31" t="n">
        <v>0</v>
      </c>
      <c r="F274" s="31" t="n">
        <v>0</v>
      </c>
      <c r="G274" s="3" t="n">
        <v>5</v>
      </c>
      <c r="H274" s="3" t="n">
        <v>1</v>
      </c>
      <c r="I274" s="32" t="n">
        <v>0.2</v>
      </c>
      <c r="J274" s="3" t="n">
        <v>0</v>
      </c>
      <c r="K274" s="32" t="n">
        <v>0</v>
      </c>
      <c r="L274" s="32" t="n">
        <v>0</v>
      </c>
      <c r="M274" s="31" t="n">
        <v>0.41</v>
      </c>
      <c r="N274" s="3" t="inlineStr">
        <is>
          <t>Throws_Manual_Optiwise_24</t>
        </is>
      </c>
      <c r="O274" s="3" t="inlineStr">
        <is>
          <t>phrase</t>
        </is>
      </c>
      <c r="P274" s="4" t="n"/>
      <c r="Q274" s="4" t="n"/>
      <c r="R274" s="4" t="inlineStr">
        <is>
          <t>-</t>
        </is>
      </c>
      <c r="S274" s="4" t="n"/>
      <c r="T274" s="4" t="n">
        <v>0</v>
      </c>
      <c r="U274" s="4" t="n">
        <v>0</v>
      </c>
      <c r="V274" s="4" t="n"/>
    </row>
    <row r="275">
      <c r="A275" t="inlineStr">
        <is>
          <t>fleece throw blankets all holidays</t>
        </is>
      </c>
      <c r="B275" s="4" t="n"/>
      <c r="C275" s="31" t="n">
        <v>0.41</v>
      </c>
      <c r="D275" s="31" t="n">
        <v>0</v>
      </c>
      <c r="E275" s="31" t="n">
        <v>0</v>
      </c>
      <c r="F275" s="31" t="n">
        <v>0</v>
      </c>
      <c r="G275" s="3" t="n">
        <v>7</v>
      </c>
      <c r="H275" s="3" t="n">
        <v>1</v>
      </c>
      <c r="I275" s="32" t="n">
        <v>0.14</v>
      </c>
      <c r="J275" s="3" t="n">
        <v>0</v>
      </c>
      <c r="K275" s="32" t="n">
        <v>0</v>
      </c>
      <c r="L275" s="32" t="n">
        <v>0</v>
      </c>
      <c r="M275" s="31" t="n">
        <v>0.41</v>
      </c>
      <c r="N275" s="3" t="inlineStr">
        <is>
          <t>Throws_Manual_Optiwise_24</t>
        </is>
      </c>
      <c r="O275" s="3" t="inlineStr">
        <is>
          <t>phrase</t>
        </is>
      </c>
      <c r="P275" s="4" t="n"/>
      <c r="Q275" s="4" t="n"/>
      <c r="R275" s="4" t="inlineStr">
        <is>
          <t>-</t>
        </is>
      </c>
      <c r="S275" s="4" t="n"/>
      <c r="T275" s="4" t="n">
        <v>0</v>
      </c>
      <c r="U275" s="4" t="n">
        <v>0</v>
      </c>
      <c r="V275" s="4" t="n"/>
    </row>
    <row r="276">
      <c r="A276" t="inlineStr">
        <is>
          <t>260397586</t>
        </is>
      </c>
      <c r="B276" s="4" t="n"/>
      <c r="C276" s="31" t="n">
        <v>0.41</v>
      </c>
      <c r="D276" s="31" t="n">
        <v>75.98</v>
      </c>
      <c r="E276" s="31" t="n">
        <v>75.98</v>
      </c>
      <c r="F276" s="31" t="n">
        <v>185.32</v>
      </c>
      <c r="G276" s="3" t="n">
        <v>12</v>
      </c>
      <c r="H276" s="3" t="n">
        <v>1</v>
      </c>
      <c r="I276" s="32" t="n">
        <v>0.08</v>
      </c>
      <c r="J276" s="3" t="n">
        <v>2</v>
      </c>
      <c r="K276" s="32" t="n">
        <v>2</v>
      </c>
      <c r="L276" s="32" t="n">
        <v>0</v>
      </c>
      <c r="M276" s="31" t="n">
        <v>0.41</v>
      </c>
      <c r="N276" s="3" t="inlineStr">
        <is>
          <t>Manual for Waterproof Blanket--Lily,Throws_Manual_Optiwise_24</t>
        </is>
      </c>
      <c r="O276" s="3" t="inlineStr">
        <is>
          <t>phrase</t>
        </is>
      </c>
      <c r="P276" s="4" t="n"/>
      <c r="Q276" s="4" t="n"/>
      <c r="R276" s="4" t="inlineStr">
        <is>
          <t>-</t>
        </is>
      </c>
      <c r="S276" s="4" t="n"/>
      <c r="T276" s="4" t="n">
        <v>0</v>
      </c>
      <c r="U276" s="4" t="n">
        <v>0</v>
      </c>
      <c r="V276" s="4" t="n"/>
    </row>
    <row r="277">
      <c r="A277" t="inlineStr">
        <is>
          <t>pu mei sherpa fleece throw blanket</t>
        </is>
      </c>
      <c r="B277" s="4" t="n"/>
      <c r="C277" s="31" t="n">
        <v>0.41</v>
      </c>
      <c r="D277" s="31" t="n">
        <v>0</v>
      </c>
      <c r="E277" s="31" t="n">
        <v>0</v>
      </c>
      <c r="F277" s="31" t="n">
        <v>0</v>
      </c>
      <c r="G277" s="3" t="n">
        <v>3</v>
      </c>
      <c r="H277" s="3" t="n">
        <v>1</v>
      </c>
      <c r="I277" s="32" t="n">
        <v>0.33</v>
      </c>
      <c r="J277" s="3" t="n">
        <v>0</v>
      </c>
      <c r="K277" s="32" t="n">
        <v>0</v>
      </c>
      <c r="L277" s="32" t="n">
        <v>0</v>
      </c>
      <c r="M277" s="31" t="n">
        <v>0.41</v>
      </c>
      <c r="N277" s="3" t="inlineStr">
        <is>
          <t>Throws_Manual_Optiwise_24</t>
        </is>
      </c>
      <c r="O277" s="3" t="inlineStr">
        <is>
          <t>phrase</t>
        </is>
      </c>
      <c r="P277" s="4" t="n"/>
      <c r="Q277" s="4" t="n"/>
      <c r="R277" s="4" t="inlineStr">
        <is>
          <t>-</t>
        </is>
      </c>
      <c r="S277" s="4" t="n"/>
      <c r="T277" s="4" t="n">
        <v>0</v>
      </c>
      <c r="U277" s="4" t="n">
        <v>0</v>
      </c>
      <c r="V277" s="4" t="n"/>
    </row>
    <row r="278">
      <c r="A278" t="inlineStr">
        <is>
          <t>sexy throw blanket</t>
        </is>
      </c>
      <c r="B278" s="4" t="n"/>
      <c r="C278" s="31" t="n">
        <v>0.41</v>
      </c>
      <c r="D278" s="31" t="n">
        <v>0</v>
      </c>
      <c r="E278" s="31" t="n">
        <v>0</v>
      </c>
      <c r="F278" s="31" t="n">
        <v>0</v>
      </c>
      <c r="G278" s="3" t="n">
        <v>3</v>
      </c>
      <c r="H278" s="3" t="n">
        <v>1</v>
      </c>
      <c r="I278" s="32" t="n">
        <v>0.33</v>
      </c>
      <c r="J278" s="3" t="n">
        <v>0</v>
      </c>
      <c r="K278" s="32" t="n">
        <v>0</v>
      </c>
      <c r="L278" s="32" t="n">
        <v>0</v>
      </c>
      <c r="M278" s="31" t="n">
        <v>0.41</v>
      </c>
      <c r="N278" s="3" t="inlineStr">
        <is>
          <t>Throws_Manual_Optiwise_24</t>
        </is>
      </c>
      <c r="O278" s="3" t="inlineStr">
        <is>
          <t>phrase</t>
        </is>
      </c>
      <c r="P278" s="4" t="n"/>
      <c r="Q278" s="4" t="n"/>
      <c r="R278" s="4" t="inlineStr">
        <is>
          <t>-</t>
        </is>
      </c>
      <c r="S278" s="4" t="n"/>
      <c r="T278" s="4" t="n">
        <v>0</v>
      </c>
      <c r="U278" s="4" t="n">
        <v>0</v>
      </c>
      <c r="V278" s="4" t="n"/>
    </row>
    <row r="279">
      <c r="A279" t="inlineStr">
        <is>
          <t>135766949</t>
        </is>
      </c>
      <c r="B279" s="4" t="n"/>
      <c r="C279" s="31" t="n">
        <v>0.41</v>
      </c>
      <c r="D279" s="31" t="n">
        <v>0</v>
      </c>
      <c r="E279" s="31" t="n">
        <v>0</v>
      </c>
      <c r="F279" s="31" t="n">
        <v>0</v>
      </c>
      <c r="G279" s="3" t="n">
        <v>5</v>
      </c>
      <c r="H279" s="3" t="n">
        <v>1</v>
      </c>
      <c r="I279" s="32" t="n">
        <v>0.2</v>
      </c>
      <c r="J279" s="3" t="n">
        <v>0</v>
      </c>
      <c r="K279" s="32" t="n">
        <v>0</v>
      </c>
      <c r="L279" s="32" t="n">
        <v>0</v>
      </c>
      <c r="M279" s="31" t="n">
        <v>0.41</v>
      </c>
      <c r="N279" s="3" t="inlineStr">
        <is>
          <t>Throws_Manual_Optiwise_24</t>
        </is>
      </c>
      <c r="O279" s="3" t="inlineStr">
        <is>
          <t>phrase</t>
        </is>
      </c>
      <c r="P279" s="4" t="n"/>
      <c r="Q279" s="4" t="n"/>
      <c r="R279" s="4" t="inlineStr">
        <is>
          <t>-</t>
        </is>
      </c>
      <c r="S279" s="4" t="n"/>
      <c r="T279" s="4" t="n">
        <v>0</v>
      </c>
      <c r="U279" s="4" t="n">
        <v>0</v>
      </c>
      <c r="V279" s="4" t="n"/>
    </row>
    <row r="280">
      <c r="A280" t="inlineStr">
        <is>
          <t>foot pocket throws</t>
        </is>
      </c>
      <c r="B280" s="4" t="inlineStr">
        <is>
          <t>0 - 20</t>
        </is>
      </c>
      <c r="C280" s="31" t="n">
        <v>0.41</v>
      </c>
      <c r="D280" s="31" t="n">
        <v>0</v>
      </c>
      <c r="E280" s="31" t="n">
        <v>0</v>
      </c>
      <c r="F280" s="31" t="n">
        <v>0</v>
      </c>
      <c r="G280" s="3" t="n">
        <v>1</v>
      </c>
      <c r="H280" s="3" t="n">
        <v>1</v>
      </c>
      <c r="I280" s="32" t="n">
        <v>1</v>
      </c>
      <c r="J280" s="3" t="n">
        <v>0</v>
      </c>
      <c r="K280" s="32" t="n">
        <v>0</v>
      </c>
      <c r="L280" s="32" t="n">
        <v>0.5474</v>
      </c>
      <c r="M280" s="31" t="n">
        <v>0.41</v>
      </c>
      <c r="N280" s="3" t="inlineStr">
        <is>
          <t>Throws_Manual_Optiwise_24</t>
        </is>
      </c>
      <c r="O280" s="3" t="inlineStr">
        <is>
          <t>phrase</t>
        </is>
      </c>
      <c r="P280" s="4" t="n">
        <v>8</v>
      </c>
      <c r="Q280" s="4" t="n">
        <v>8</v>
      </c>
      <c r="R280" s="4" t="n">
        <v>3</v>
      </c>
      <c r="S280" s="4" t="n">
        <v>1</v>
      </c>
      <c r="T280" s="4" t="n">
        <v>10</v>
      </c>
      <c r="U280" s="4" t="n">
        <v>1</v>
      </c>
      <c r="V280" s="4" t="inlineStr">
        <is>
          <t>873609379 - 21, 873609379 - 37, 500709074 - 47, 364182411 - 1, 653031662 - 12, 112872395 - 8, 1324704566 - 10, 2716246624 - 49</t>
        </is>
      </c>
    </row>
    <row r="281">
      <c r="A281" t="inlineStr">
        <is>
          <t>10720064691</t>
        </is>
      </c>
      <c r="B281" s="4" t="n"/>
      <c r="C281" s="31" t="n">
        <v>0.41</v>
      </c>
      <c r="D281" s="31" t="n">
        <v>0</v>
      </c>
      <c r="E281" s="31" t="n">
        <v>0</v>
      </c>
      <c r="F281" s="31" t="n">
        <v>0</v>
      </c>
      <c r="G281" s="3" t="n">
        <v>4</v>
      </c>
      <c r="H281" s="3" t="n">
        <v>1</v>
      </c>
      <c r="I281" s="32" t="n">
        <v>0.25</v>
      </c>
      <c r="J281" s="3" t="n">
        <v>0</v>
      </c>
      <c r="K281" s="32" t="n">
        <v>0</v>
      </c>
      <c r="L281" s="32" t="n">
        <v>0</v>
      </c>
      <c r="M281" s="31" t="n">
        <v>0.41</v>
      </c>
      <c r="N281" s="3" t="inlineStr">
        <is>
          <t>Throws_Manual_Optiwise_24</t>
        </is>
      </c>
      <c r="O281" s="3" t="inlineStr">
        <is>
          <t>phrase</t>
        </is>
      </c>
      <c r="P281" s="4" t="n"/>
      <c r="Q281" s="4" t="n"/>
      <c r="R281" s="4" t="inlineStr">
        <is>
          <t>-</t>
        </is>
      </c>
      <c r="S281" s="4" t="n"/>
      <c r="T281" s="4" t="n">
        <v>0</v>
      </c>
      <c r="U281" s="4" t="n">
        <v>0</v>
      </c>
      <c r="V281" s="4" t="n"/>
    </row>
    <row r="282">
      <c r="A282" t="inlineStr">
        <is>
          <t>lap throws fleece $2.50</t>
        </is>
      </c>
      <c r="B282" s="4" t="n"/>
      <c r="C282" s="31" t="n">
        <v>0.41</v>
      </c>
      <c r="D282" s="31" t="n">
        <v>0</v>
      </c>
      <c r="E282" s="31" t="n">
        <v>0</v>
      </c>
      <c r="F282" s="31" t="n">
        <v>0</v>
      </c>
      <c r="G282" s="3" t="n">
        <v>4</v>
      </c>
      <c r="H282" s="3" t="n">
        <v>1</v>
      </c>
      <c r="I282" s="32" t="n">
        <v>0.25</v>
      </c>
      <c r="J282" s="3" t="n">
        <v>0</v>
      </c>
      <c r="K282" s="32" t="n">
        <v>0</v>
      </c>
      <c r="L282" s="32" t="n">
        <v>0</v>
      </c>
      <c r="M282" s="31" t="n">
        <v>0.41</v>
      </c>
      <c r="N282" s="3" t="inlineStr">
        <is>
          <t>Throws_Manual_Optiwise_24</t>
        </is>
      </c>
      <c r="O282" s="3" t="inlineStr">
        <is>
          <t>phrase</t>
        </is>
      </c>
      <c r="P282" s="4" t="n"/>
      <c r="Q282" s="4" t="n"/>
      <c r="R282" s="4" t="inlineStr">
        <is>
          <t>-</t>
        </is>
      </c>
      <c r="S282" s="4" t="n"/>
      <c r="T282" s="4" t="n">
        <v>0</v>
      </c>
      <c r="U282" s="4" t="n">
        <v>0</v>
      </c>
      <c r="V282" s="4" t="n"/>
    </row>
    <row r="283">
      <c r="A283" t="inlineStr">
        <is>
          <t>299263465</t>
        </is>
      </c>
      <c r="B283" s="4" t="n"/>
      <c r="C283" s="31" t="n">
        <v>0.41</v>
      </c>
      <c r="D283" s="31" t="n">
        <v>0</v>
      </c>
      <c r="E283" s="31" t="n">
        <v>0</v>
      </c>
      <c r="F283" s="31" t="n">
        <v>0</v>
      </c>
      <c r="G283" s="3" t="n">
        <v>3</v>
      </c>
      <c r="H283" s="3" t="n">
        <v>1</v>
      </c>
      <c r="I283" s="32" t="n">
        <v>0.33</v>
      </c>
      <c r="J283" s="3" t="n">
        <v>0</v>
      </c>
      <c r="K283" s="32" t="n">
        <v>0</v>
      </c>
      <c r="L283" s="32" t="n">
        <v>0</v>
      </c>
      <c r="M283" s="31" t="n">
        <v>0.41</v>
      </c>
      <c r="N283" s="3" t="inlineStr">
        <is>
          <t>Throws_Manual_Optiwise_24</t>
        </is>
      </c>
      <c r="O283" s="3" t="inlineStr">
        <is>
          <t>phrase</t>
        </is>
      </c>
      <c r="P283" s="4" t="n"/>
      <c r="Q283" s="4" t="n"/>
      <c r="R283" s="4" t="inlineStr">
        <is>
          <t>-</t>
        </is>
      </c>
      <c r="S283" s="4" t="n"/>
      <c r="T283" s="4" t="n">
        <v>0</v>
      </c>
      <c r="U283" s="4" t="n">
        <v>0</v>
      </c>
      <c r="V283" s="4" t="n"/>
    </row>
    <row r="284">
      <c r="A284" t="inlineStr">
        <is>
          <t>alabama throw blanket</t>
        </is>
      </c>
      <c r="B284" s="4" t="n"/>
      <c r="C284" s="31" t="n">
        <v>0.41</v>
      </c>
      <c r="D284" s="31" t="n">
        <v>0</v>
      </c>
      <c r="E284" s="31" t="n">
        <v>0</v>
      </c>
      <c r="F284" s="31" t="n">
        <v>0</v>
      </c>
      <c r="G284" s="3" t="n">
        <v>1</v>
      </c>
      <c r="H284" s="3" t="n">
        <v>1</v>
      </c>
      <c r="I284" s="32" t="n">
        <v>1</v>
      </c>
      <c r="J284" s="3" t="n">
        <v>0</v>
      </c>
      <c r="K284" s="32" t="n">
        <v>0</v>
      </c>
      <c r="L284" s="32" t="n">
        <v>0</v>
      </c>
      <c r="M284" s="31" t="n">
        <v>0.41</v>
      </c>
      <c r="N284" s="3" t="inlineStr">
        <is>
          <t>Throws_Manual_Optiwise_24</t>
        </is>
      </c>
      <c r="O284" s="3" t="inlineStr">
        <is>
          <t>phrase</t>
        </is>
      </c>
      <c r="P284" s="4" t="n"/>
      <c r="Q284" s="4" t="n"/>
      <c r="R284" s="4" t="inlineStr">
        <is>
          <t>-</t>
        </is>
      </c>
      <c r="S284" s="4" t="n"/>
      <c r="T284" s="4" t="n">
        <v>0</v>
      </c>
      <c r="U284" s="4" t="n">
        <v>0</v>
      </c>
      <c r="V284" s="4" t="n"/>
    </row>
    <row r="285">
      <c r="A285" t="inlineStr">
        <is>
          <t>water proof outdoor blanket</t>
        </is>
      </c>
      <c r="B285" s="4" t="n"/>
      <c r="C285" s="31" t="n">
        <v>0.41</v>
      </c>
      <c r="D285" s="31" t="n">
        <v>0</v>
      </c>
      <c r="E285" s="31" t="n">
        <v>0</v>
      </c>
      <c r="F285" s="31" t="n">
        <v>0</v>
      </c>
      <c r="G285" s="3" t="n">
        <v>1</v>
      </c>
      <c r="H285" s="3" t="n">
        <v>1</v>
      </c>
      <c r="I285" s="32" t="n">
        <v>1</v>
      </c>
      <c r="J285" s="3" t="n">
        <v>0</v>
      </c>
      <c r="K285" s="32" t="n">
        <v>0</v>
      </c>
      <c r="L285" s="32" t="n">
        <v>0</v>
      </c>
      <c r="M285" s="31" t="n">
        <v>0.41</v>
      </c>
      <c r="N285" s="3" t="inlineStr">
        <is>
          <t>1WMBW506NYGY-TBCB_Manual</t>
        </is>
      </c>
      <c r="O285" s="3" t="inlineStr">
        <is>
          <t>exact</t>
        </is>
      </c>
      <c r="P285" s="4" t="n"/>
      <c r="Q285" s="4" t="n"/>
      <c r="R285" s="4" t="inlineStr">
        <is>
          <t>-</t>
        </is>
      </c>
      <c r="S285" s="4" t="n"/>
      <c r="T285" s="4" t="n">
        <v>0</v>
      </c>
      <c r="U285" s="4" t="n">
        <v>0</v>
      </c>
      <c r="V285" s="4" t="n"/>
    </row>
    <row r="286">
      <c r="A286" t="inlineStr">
        <is>
          <t>clearanced throws</t>
        </is>
      </c>
      <c r="B286" s="4" t="n"/>
      <c r="C286" s="31" t="n">
        <v>0.41</v>
      </c>
      <c r="D286" s="31" t="n">
        <v>0</v>
      </c>
      <c r="E286" s="31" t="n">
        <v>0</v>
      </c>
      <c r="F286" s="31" t="n">
        <v>0</v>
      </c>
      <c r="G286" s="3" t="n">
        <v>1</v>
      </c>
      <c r="H286" s="3" t="n">
        <v>1</v>
      </c>
      <c r="I286" s="32" t="n">
        <v>1</v>
      </c>
      <c r="J286" s="3" t="n">
        <v>0</v>
      </c>
      <c r="K286" s="32" t="n">
        <v>0</v>
      </c>
      <c r="L286" s="32" t="n">
        <v>0</v>
      </c>
      <c r="M286" s="31" t="n">
        <v>0.41</v>
      </c>
      <c r="N286" s="3" t="inlineStr">
        <is>
          <t>Throws_Manual_Optiwise_24</t>
        </is>
      </c>
      <c r="O286" s="3" t="inlineStr">
        <is>
          <t>phrase</t>
        </is>
      </c>
      <c r="P286" s="4" t="n"/>
      <c r="Q286" s="4" t="n"/>
      <c r="R286" s="4" t="inlineStr">
        <is>
          <t>-</t>
        </is>
      </c>
      <c r="S286" s="4" t="n"/>
      <c r="T286" s="4" t="n">
        <v>0</v>
      </c>
      <c r="U286" s="4" t="n">
        <v>0</v>
      </c>
      <c r="V286" s="4" t="n"/>
    </row>
    <row r="287">
      <c r="A287" t="inlineStr">
        <is>
          <t>animal print sherpa throw for couch</t>
        </is>
      </c>
      <c r="B287" s="4" t="n"/>
      <c r="C287" s="31" t="n">
        <v>0.41</v>
      </c>
      <c r="D287" s="31" t="n">
        <v>0</v>
      </c>
      <c r="E287" s="31" t="n">
        <v>0</v>
      </c>
      <c r="F287" s="31" t="n">
        <v>0</v>
      </c>
      <c r="G287" s="3" t="n">
        <v>2</v>
      </c>
      <c r="H287" s="3" t="n">
        <v>1</v>
      </c>
      <c r="I287" s="32" t="n">
        <v>0.5</v>
      </c>
      <c r="J287" s="3" t="n">
        <v>0</v>
      </c>
      <c r="K287" s="32" t="n">
        <v>0</v>
      </c>
      <c r="L287" s="32" t="n">
        <v>0</v>
      </c>
      <c r="M287" s="31" t="n">
        <v>0.41</v>
      </c>
      <c r="N287" s="3" t="inlineStr">
        <is>
          <t>Throws_Manual_Optiwise_24</t>
        </is>
      </c>
      <c r="O287" s="3" t="inlineStr">
        <is>
          <t>phrase</t>
        </is>
      </c>
      <c r="P287" s="4" t="n"/>
      <c r="Q287" s="4" t="n"/>
      <c r="R287" s="4" t="inlineStr">
        <is>
          <t>-</t>
        </is>
      </c>
      <c r="S287" s="4" t="n"/>
      <c r="T287" s="4" t="n">
        <v>0</v>
      </c>
      <c r="U287" s="4" t="n">
        <v>0</v>
      </c>
      <c r="V287" s="4" t="n"/>
    </row>
    <row r="288">
      <c r="A288" t="inlineStr">
        <is>
          <t>full size fleexe throw</t>
        </is>
      </c>
      <c r="B288" s="4" t="n"/>
      <c r="C288" s="31" t="n">
        <v>0.41</v>
      </c>
      <c r="D288" s="31" t="n">
        <v>0</v>
      </c>
      <c r="E288" s="31" t="n">
        <v>0</v>
      </c>
      <c r="F288" s="31" t="n">
        <v>0</v>
      </c>
      <c r="G288" s="3" t="n">
        <v>1</v>
      </c>
      <c r="H288" s="3" t="n">
        <v>1</v>
      </c>
      <c r="I288" s="32" t="n">
        <v>1</v>
      </c>
      <c r="J288" s="3" t="n">
        <v>0</v>
      </c>
      <c r="K288" s="32" t="n">
        <v>0</v>
      </c>
      <c r="L288" s="32" t="n">
        <v>0</v>
      </c>
      <c r="M288" s="31" t="n">
        <v>0.41</v>
      </c>
      <c r="N288" s="3" t="inlineStr">
        <is>
          <t>Throws_Manual_Optiwise_24</t>
        </is>
      </c>
      <c r="O288" s="3" t="inlineStr">
        <is>
          <t>phrase</t>
        </is>
      </c>
      <c r="P288" s="4" t="n"/>
      <c r="Q288" s="4" t="n"/>
      <c r="R288" s="4" t="inlineStr">
        <is>
          <t>-</t>
        </is>
      </c>
      <c r="S288" s="4" t="n"/>
      <c r="T288" s="4" t="n">
        <v>0</v>
      </c>
      <c r="U288" s="4" t="n">
        <v>0</v>
      </c>
      <c r="V288" s="4" t="n"/>
    </row>
    <row r="289">
      <c r="A289" t="inlineStr">
        <is>
          <t>cowboy boots throw</t>
        </is>
      </c>
      <c r="B289" s="4" t="n"/>
      <c r="C289" s="31" t="n">
        <v>0.41</v>
      </c>
      <c r="D289" s="31" t="n">
        <v>0</v>
      </c>
      <c r="E289" s="31" t="n">
        <v>0</v>
      </c>
      <c r="F289" s="31" t="n">
        <v>0</v>
      </c>
      <c r="G289" s="3" t="n">
        <v>42</v>
      </c>
      <c r="H289" s="3" t="n">
        <v>1</v>
      </c>
      <c r="I289" s="32" t="n">
        <v>0.02</v>
      </c>
      <c r="J289" s="3" t="n">
        <v>0</v>
      </c>
      <c r="K289" s="32" t="n">
        <v>0</v>
      </c>
      <c r="L289" s="32" t="n">
        <v>0</v>
      </c>
      <c r="M289" s="31" t="n">
        <v>0.41</v>
      </c>
      <c r="N289" s="3" t="inlineStr">
        <is>
          <t>Throws_Manual_Optiwise_24</t>
        </is>
      </c>
      <c r="O289" s="3" t="inlineStr">
        <is>
          <t>phrase</t>
        </is>
      </c>
      <c r="P289" s="4" t="n"/>
      <c r="Q289" s="4" t="n"/>
      <c r="R289" s="4" t="inlineStr">
        <is>
          <t>-</t>
        </is>
      </c>
      <c r="S289" s="4" t="n"/>
      <c r="T289" s="4" t="n">
        <v>0</v>
      </c>
      <c r="U289" s="4" t="n">
        <v>0</v>
      </c>
      <c r="V289" s="4" t="n"/>
    </row>
    <row r="290">
      <c r="A290" t="inlineStr">
        <is>
          <t>berber fleece throw</t>
        </is>
      </c>
      <c r="B290" s="4" t="n"/>
      <c r="C290" s="31" t="n">
        <v>0.41</v>
      </c>
      <c r="D290" s="31" t="n">
        <v>0</v>
      </c>
      <c r="E290" s="31" t="n">
        <v>0</v>
      </c>
      <c r="F290" s="31" t="n">
        <v>0</v>
      </c>
      <c r="G290" s="3" t="n">
        <v>2</v>
      </c>
      <c r="H290" s="3" t="n">
        <v>1</v>
      </c>
      <c r="I290" s="32" t="n">
        <v>0.5</v>
      </c>
      <c r="J290" s="3" t="n">
        <v>0</v>
      </c>
      <c r="K290" s="32" t="n">
        <v>0</v>
      </c>
      <c r="L290" s="32" t="n">
        <v>0</v>
      </c>
      <c r="M290" s="31" t="n">
        <v>0.41</v>
      </c>
      <c r="N290" s="3" t="inlineStr">
        <is>
          <t>Throws_Manual_Optiwise_24</t>
        </is>
      </c>
      <c r="O290" s="3" t="inlineStr">
        <is>
          <t>phrase</t>
        </is>
      </c>
      <c r="P290" s="4" t="n"/>
      <c r="Q290" s="4" t="n"/>
      <c r="R290" s="4" t="inlineStr">
        <is>
          <t>-</t>
        </is>
      </c>
      <c r="S290" s="4" t="n"/>
      <c r="T290" s="4" t="n">
        <v>0</v>
      </c>
      <c r="U290" s="4" t="n">
        <v>0</v>
      </c>
      <c r="V290" s="4" t="n"/>
    </row>
    <row r="291">
      <c r="A291" t="inlineStr">
        <is>
          <t>14578561177</t>
        </is>
      </c>
      <c r="B291" s="4" t="n"/>
      <c r="C291" s="31" t="n">
        <v>0.41</v>
      </c>
      <c r="D291" s="31" t="n">
        <v>0</v>
      </c>
      <c r="E291" s="31" t="n">
        <v>0</v>
      </c>
      <c r="F291" s="31" t="n">
        <v>0</v>
      </c>
      <c r="G291" s="3" t="n">
        <v>2</v>
      </c>
      <c r="H291" s="3" t="n">
        <v>1</v>
      </c>
      <c r="I291" s="32" t="n">
        <v>0.5</v>
      </c>
      <c r="J291" s="3" t="n">
        <v>0</v>
      </c>
      <c r="K291" s="32" t="n">
        <v>0</v>
      </c>
      <c r="L291" s="32" t="n">
        <v>0</v>
      </c>
      <c r="M291" s="31" t="n">
        <v>0.41</v>
      </c>
      <c r="N291" s="3" t="inlineStr">
        <is>
          <t>Throws_Manual_Optiwise_24</t>
        </is>
      </c>
      <c r="O291" s="3" t="inlineStr">
        <is>
          <t>phrase</t>
        </is>
      </c>
      <c r="P291" s="4" t="n"/>
      <c r="Q291" s="4" t="n"/>
      <c r="R291" s="4" t="inlineStr">
        <is>
          <t>-</t>
        </is>
      </c>
      <c r="S291" s="4" t="n"/>
      <c r="T291" s="4" t="n">
        <v>0</v>
      </c>
      <c r="U291" s="4" t="n">
        <v>0</v>
      </c>
      <c r="V291" s="4" t="n"/>
    </row>
    <row r="292">
      <c r="A292" t="inlineStr">
        <is>
          <t>dresser throws</t>
        </is>
      </c>
      <c r="B292" s="4" t="n"/>
      <c r="C292" s="31" t="n">
        <v>0.41</v>
      </c>
      <c r="D292" s="31" t="n">
        <v>0</v>
      </c>
      <c r="E292" s="31" t="n">
        <v>0</v>
      </c>
      <c r="F292" s="31" t="n">
        <v>0</v>
      </c>
      <c r="G292" s="3" t="n">
        <v>2</v>
      </c>
      <c r="H292" s="3" t="n">
        <v>1</v>
      </c>
      <c r="I292" s="32" t="n">
        <v>0.5</v>
      </c>
      <c r="J292" s="3" t="n">
        <v>0</v>
      </c>
      <c r="K292" s="32" t="n">
        <v>0</v>
      </c>
      <c r="L292" s="32" t="n">
        <v>0</v>
      </c>
      <c r="M292" s="31" t="n">
        <v>0.41</v>
      </c>
      <c r="N292" s="3" t="inlineStr">
        <is>
          <t>Throws_Manual_Optiwise_24</t>
        </is>
      </c>
      <c r="O292" s="3" t="inlineStr">
        <is>
          <t>phrase</t>
        </is>
      </c>
      <c r="P292" s="4" t="n"/>
      <c r="Q292" s="4" t="n"/>
      <c r="R292" s="4" t="inlineStr">
        <is>
          <t>-</t>
        </is>
      </c>
      <c r="S292" s="4" t="n"/>
      <c r="T292" s="4" t="n">
        <v>0</v>
      </c>
      <c r="U292" s="4" t="n">
        <v>0</v>
      </c>
      <c r="V292" s="4" t="n"/>
    </row>
    <row r="293">
      <c r="A293" t="inlineStr">
        <is>
          <t>godzilla throw</t>
        </is>
      </c>
      <c r="B293" s="4" t="n"/>
      <c r="C293" s="31" t="n">
        <v>0.41</v>
      </c>
      <c r="D293" s="31" t="n">
        <v>0</v>
      </c>
      <c r="E293" s="31" t="n">
        <v>0</v>
      </c>
      <c r="F293" s="31" t="n">
        <v>0</v>
      </c>
      <c r="G293" s="3" t="n">
        <v>5</v>
      </c>
      <c r="H293" s="3" t="n">
        <v>1</v>
      </c>
      <c r="I293" s="32" t="n">
        <v>0.2</v>
      </c>
      <c r="J293" s="3" t="n">
        <v>0</v>
      </c>
      <c r="K293" s="32" t="n">
        <v>0</v>
      </c>
      <c r="L293" s="32" t="n">
        <v>0</v>
      </c>
      <c r="M293" s="31" t="n">
        <v>0.41</v>
      </c>
      <c r="N293" s="3" t="inlineStr">
        <is>
          <t>Throws_Manual_Optiwise_24</t>
        </is>
      </c>
      <c r="O293" s="3" t="inlineStr">
        <is>
          <t>phrase</t>
        </is>
      </c>
      <c r="P293" s="4" t="n"/>
      <c r="Q293" s="4" t="n"/>
      <c r="R293" s="4" t="inlineStr">
        <is>
          <t>-</t>
        </is>
      </c>
      <c r="S293" s="4" t="n"/>
      <c r="T293" s="4" t="n">
        <v>0</v>
      </c>
      <c r="U293" s="4" t="n">
        <v>0</v>
      </c>
      <c r="V293" s="4" t="n"/>
    </row>
    <row r="294">
      <c r="A294" t="inlineStr">
        <is>
          <t>barn quilt throw</t>
        </is>
      </c>
      <c r="B294" s="4" t="n"/>
      <c r="C294" s="31" t="n">
        <v>0.41</v>
      </c>
      <c r="D294" s="31" t="n">
        <v>0</v>
      </c>
      <c r="E294" s="31" t="n">
        <v>0</v>
      </c>
      <c r="F294" s="31" t="n">
        <v>0</v>
      </c>
      <c r="G294" s="3" t="n">
        <v>5</v>
      </c>
      <c r="H294" s="3" t="n">
        <v>1</v>
      </c>
      <c r="I294" s="32" t="n">
        <v>0.2</v>
      </c>
      <c r="J294" s="3" t="n">
        <v>0</v>
      </c>
      <c r="K294" s="32" t="n">
        <v>0</v>
      </c>
      <c r="L294" s="32" t="n">
        <v>0</v>
      </c>
      <c r="M294" s="31" t="n">
        <v>0.41</v>
      </c>
      <c r="N294" s="3" t="inlineStr">
        <is>
          <t>Throws_Manual_Optiwise_24</t>
        </is>
      </c>
      <c r="O294" s="3" t="inlineStr">
        <is>
          <t>phrase</t>
        </is>
      </c>
      <c r="P294" s="4" t="n"/>
      <c r="Q294" s="4" t="n"/>
      <c r="R294" s="4" t="inlineStr">
        <is>
          <t>-</t>
        </is>
      </c>
      <c r="S294" s="4" t="n"/>
      <c r="T294" s="4" t="n">
        <v>0</v>
      </c>
      <c r="U294" s="4" t="n">
        <v>0</v>
      </c>
      <c r="V294" s="4" t="n"/>
    </row>
    <row r="295">
      <c r="A295" t="inlineStr">
        <is>
          <t>5062686300</t>
        </is>
      </c>
      <c r="B295" s="4" t="n"/>
      <c r="C295" s="31" t="n">
        <v>0.41</v>
      </c>
      <c r="D295" s="31" t="n">
        <v>0</v>
      </c>
      <c r="E295" s="31" t="n">
        <v>0</v>
      </c>
      <c r="F295" s="31" t="n">
        <v>0</v>
      </c>
      <c r="G295" s="3" t="n">
        <v>2</v>
      </c>
      <c r="H295" s="3" t="n">
        <v>1</v>
      </c>
      <c r="I295" s="32" t="n">
        <v>0.5</v>
      </c>
      <c r="J295" s="3" t="n">
        <v>0</v>
      </c>
      <c r="K295" s="32" t="n">
        <v>0</v>
      </c>
      <c r="L295" s="32" t="n">
        <v>0</v>
      </c>
      <c r="M295" s="31" t="n">
        <v>0.41</v>
      </c>
      <c r="N295" s="3" t="inlineStr">
        <is>
          <t>Throws_Manual_Optiwise_24</t>
        </is>
      </c>
      <c r="O295" s="3" t="inlineStr">
        <is>
          <t>phrase</t>
        </is>
      </c>
      <c r="P295" s="4" t="n"/>
      <c r="Q295" s="4" t="n"/>
      <c r="R295" s="4" t="inlineStr">
        <is>
          <t>-</t>
        </is>
      </c>
      <c r="S295" s="4" t="n"/>
      <c r="T295" s="4" t="n">
        <v>0</v>
      </c>
      <c r="U295" s="4" t="n">
        <v>0</v>
      </c>
      <c r="V295" s="4" t="n"/>
    </row>
    <row r="296">
      <c r="A296" t="inlineStr">
        <is>
          <t>electronic throw</t>
        </is>
      </c>
      <c r="B296" s="4" t="n"/>
      <c r="C296" s="31" t="n">
        <v>0.41</v>
      </c>
      <c r="D296" s="31" t="n">
        <v>0</v>
      </c>
      <c r="E296" s="31" t="n">
        <v>0</v>
      </c>
      <c r="F296" s="31" t="n">
        <v>0</v>
      </c>
      <c r="G296" s="3" t="n">
        <v>3</v>
      </c>
      <c r="H296" s="3" t="n">
        <v>1</v>
      </c>
      <c r="I296" s="32" t="n">
        <v>0.33</v>
      </c>
      <c r="J296" s="3" t="n">
        <v>0</v>
      </c>
      <c r="K296" s="32" t="n">
        <v>0</v>
      </c>
      <c r="L296" s="32" t="n">
        <v>0</v>
      </c>
      <c r="M296" s="31" t="n">
        <v>0.41</v>
      </c>
      <c r="N296" s="3" t="inlineStr">
        <is>
          <t>Throws_Manual_Optiwise_24</t>
        </is>
      </c>
      <c r="O296" s="3" t="inlineStr">
        <is>
          <t>phrase</t>
        </is>
      </c>
      <c r="P296" s="4" t="n"/>
      <c r="Q296" s="4" t="n"/>
      <c r="R296" s="4" t="inlineStr">
        <is>
          <t>-</t>
        </is>
      </c>
      <c r="S296" s="4" t="n"/>
      <c r="T296" s="4" t="n">
        <v>0</v>
      </c>
      <c r="U296" s="4" t="n">
        <v>0</v>
      </c>
      <c r="V296" s="4" t="n"/>
    </row>
    <row r="297">
      <c r="A297" t="inlineStr">
        <is>
          <t>13024114146</t>
        </is>
      </c>
      <c r="B297" s="4" t="n"/>
      <c r="C297" s="31" t="n">
        <v>0.41</v>
      </c>
      <c r="D297" s="31" t="n">
        <v>0</v>
      </c>
      <c r="E297" s="31" t="n">
        <v>0</v>
      </c>
      <c r="F297" s="31" t="n">
        <v>0</v>
      </c>
      <c r="G297" s="3" t="n">
        <v>6</v>
      </c>
      <c r="H297" s="3" t="n">
        <v>1</v>
      </c>
      <c r="I297" s="32" t="n">
        <v>0.17</v>
      </c>
      <c r="J297" s="3" t="n">
        <v>0</v>
      </c>
      <c r="K297" s="32" t="n">
        <v>0</v>
      </c>
      <c r="L297" s="32" t="n">
        <v>0</v>
      </c>
      <c r="M297" s="31" t="n">
        <v>0.41</v>
      </c>
      <c r="N297" s="3" t="inlineStr">
        <is>
          <t>Throws_Manual_Optiwise_24</t>
        </is>
      </c>
      <c r="O297" s="3" t="inlineStr">
        <is>
          <t>phrase</t>
        </is>
      </c>
      <c r="P297" s="4" t="n"/>
      <c r="Q297" s="4" t="n"/>
      <c r="R297" s="4" t="inlineStr">
        <is>
          <t>-</t>
        </is>
      </c>
      <c r="S297" s="4" t="n"/>
      <c r="T297" s="4" t="n">
        <v>0</v>
      </c>
      <c r="U297" s="4" t="n">
        <v>0</v>
      </c>
      <c r="V297" s="4" t="n"/>
    </row>
    <row r="298">
      <c r="A298" t="inlineStr">
        <is>
          <t>cheap throw blanket under $5</t>
        </is>
      </c>
      <c r="B298" s="4" t="n"/>
      <c r="C298" s="31" t="n">
        <v>0.41</v>
      </c>
      <c r="D298" s="31" t="n">
        <v>0</v>
      </c>
      <c r="E298" s="31" t="n">
        <v>0</v>
      </c>
      <c r="F298" s="31" t="n">
        <v>0</v>
      </c>
      <c r="G298" s="3" t="n">
        <v>33</v>
      </c>
      <c r="H298" s="3" t="n">
        <v>1</v>
      </c>
      <c r="I298" s="32" t="n">
        <v>0.03</v>
      </c>
      <c r="J298" s="3" t="n">
        <v>0</v>
      </c>
      <c r="K298" s="32" t="n">
        <v>0</v>
      </c>
      <c r="L298" s="32" t="n">
        <v>0</v>
      </c>
      <c r="M298" s="31" t="n">
        <v>0.41</v>
      </c>
      <c r="N298" s="3" t="inlineStr">
        <is>
          <t>Throws_Manual_Optiwise_24</t>
        </is>
      </c>
      <c r="O298" s="3" t="inlineStr">
        <is>
          <t>phrase</t>
        </is>
      </c>
      <c r="P298" s="4" t="n"/>
      <c r="Q298" s="4" t="n"/>
      <c r="R298" s="4" t="inlineStr">
        <is>
          <t>-</t>
        </is>
      </c>
      <c r="S298" s="4" t="n"/>
      <c r="T298" s="4" t="n">
        <v>0</v>
      </c>
      <c r="U298" s="4" t="n">
        <v>0</v>
      </c>
      <c r="V298" s="4" t="n"/>
    </row>
    <row r="299">
      <c r="A299" t="inlineStr">
        <is>
          <t>sherpa throws on clearance</t>
        </is>
      </c>
      <c r="B299" s="4" t="inlineStr">
        <is>
          <t>150 - 370</t>
        </is>
      </c>
      <c r="C299" s="31" t="n">
        <v>0.41</v>
      </c>
      <c r="D299" s="31" t="n">
        <v>0</v>
      </c>
      <c r="E299" s="31" t="n">
        <v>0</v>
      </c>
      <c r="F299" s="31" t="n">
        <v>0</v>
      </c>
      <c r="G299" s="3" t="n">
        <v>4</v>
      </c>
      <c r="H299" s="3" t="n">
        <v>1</v>
      </c>
      <c r="I299" s="32" t="n">
        <v>0.25</v>
      </c>
      <c r="J299" s="3" t="n">
        <v>0</v>
      </c>
      <c r="K299" s="32" t="n">
        <v>0</v>
      </c>
      <c r="L299" s="32" t="n">
        <v>0.5238</v>
      </c>
      <c r="M299" s="31" t="n">
        <v>0.41</v>
      </c>
      <c r="N299" s="3" t="inlineStr">
        <is>
          <t>Throws_Manual_Optiwise_24</t>
        </is>
      </c>
      <c r="O299" s="3" t="inlineStr">
        <is>
          <t>phrase</t>
        </is>
      </c>
      <c r="P299" s="4" t="n">
        <v>4</v>
      </c>
      <c r="Q299" s="4" t="n">
        <v>17</v>
      </c>
      <c r="R299" s="4" t="n">
        <v>1</v>
      </c>
      <c r="S299" s="4" t="n">
        <v>22</v>
      </c>
      <c r="T299" s="4" t="n">
        <v>10</v>
      </c>
      <c r="U299" s="4" t="n">
        <v>1</v>
      </c>
      <c r="V299" s="4" t="inlineStr">
        <is>
          <t>702937282 - 27, 265727425 - 17, 819492779 - 20, 819492779 - 22</t>
        </is>
      </c>
    </row>
    <row r="300">
      <c r="A300" t="inlineStr">
        <is>
          <t>happy camper throw</t>
        </is>
      </c>
      <c r="B300" s="4" t="n"/>
      <c r="C300" s="31" t="n">
        <v>0.41</v>
      </c>
      <c r="D300" s="31" t="n">
        <v>0</v>
      </c>
      <c r="E300" s="31" t="n">
        <v>0</v>
      </c>
      <c r="F300" s="31" t="n">
        <v>0</v>
      </c>
      <c r="G300" s="3" t="n">
        <v>1</v>
      </c>
      <c r="H300" s="3" t="n">
        <v>1</v>
      </c>
      <c r="I300" s="32" t="n">
        <v>1</v>
      </c>
      <c r="J300" s="3" t="n">
        <v>0</v>
      </c>
      <c r="K300" s="32" t="n">
        <v>0</v>
      </c>
      <c r="L300" s="32" t="n">
        <v>0</v>
      </c>
      <c r="M300" s="31" t="n">
        <v>0.41</v>
      </c>
      <c r="N300" s="3" t="inlineStr">
        <is>
          <t>Throws_Manual_Optiwise_24</t>
        </is>
      </c>
      <c r="O300" s="3" t="inlineStr">
        <is>
          <t>phrase</t>
        </is>
      </c>
      <c r="P300" s="4" t="n"/>
      <c r="Q300" s="4" t="n"/>
      <c r="R300" s="4" t="inlineStr">
        <is>
          <t>-</t>
        </is>
      </c>
      <c r="S300" s="4" t="n"/>
      <c r="T300" s="4" t="n">
        <v>0</v>
      </c>
      <c r="U300" s="4" t="n">
        <v>0</v>
      </c>
      <c r="V300" s="4" t="n"/>
    </row>
    <row r="301">
      <c r="A301" t="inlineStr">
        <is>
          <t>5211448852</t>
        </is>
      </c>
      <c r="B301" s="4" t="n"/>
      <c r="C301" s="31" t="n">
        <v>0.41</v>
      </c>
      <c r="D301" s="31" t="n">
        <v>0</v>
      </c>
      <c r="E301" s="31" t="n">
        <v>0</v>
      </c>
      <c r="F301" s="31" t="n">
        <v>0</v>
      </c>
      <c r="G301" s="3" t="n">
        <v>7</v>
      </c>
      <c r="H301" s="3" t="n">
        <v>1</v>
      </c>
      <c r="I301" s="32" t="n">
        <v>0.14</v>
      </c>
      <c r="J301" s="3" t="n">
        <v>0</v>
      </c>
      <c r="K301" s="32" t="n">
        <v>0</v>
      </c>
      <c r="L301" s="32" t="n">
        <v>0</v>
      </c>
      <c r="M301" s="31" t="n">
        <v>0.41</v>
      </c>
      <c r="N301" s="3" t="inlineStr">
        <is>
          <t>Throws_Manual_Optiwise_24</t>
        </is>
      </c>
      <c r="O301" s="3" t="inlineStr">
        <is>
          <t>phrase</t>
        </is>
      </c>
      <c r="P301" s="4" t="n"/>
      <c r="Q301" s="4" t="n"/>
      <c r="R301" s="4" t="inlineStr">
        <is>
          <t>-</t>
        </is>
      </c>
      <c r="S301" s="4" t="n"/>
      <c r="T301" s="4" t="n">
        <v>0</v>
      </c>
      <c r="U301" s="4" t="n">
        <v>0</v>
      </c>
      <c r="V301" s="4" t="n"/>
    </row>
    <row r="302">
      <c r="A302" t="inlineStr">
        <is>
          <t>sherpa throws 60 x 70</t>
        </is>
      </c>
      <c r="B302" s="4" t="n">
        <v>100</v>
      </c>
      <c r="C302" s="31" t="n">
        <v>0.41</v>
      </c>
      <c r="D302" s="31" t="n">
        <v>0</v>
      </c>
      <c r="E302" s="31" t="n">
        <v>0</v>
      </c>
      <c r="F302" s="31" t="n">
        <v>0</v>
      </c>
      <c r="G302" s="3" t="n">
        <v>13</v>
      </c>
      <c r="H302" s="3" t="n">
        <v>1</v>
      </c>
      <c r="I302" s="32" t="n">
        <v>0.08</v>
      </c>
      <c r="J302" s="3" t="n">
        <v>0</v>
      </c>
      <c r="K302" s="32" t="n">
        <v>0</v>
      </c>
      <c r="L302" s="32" t="n">
        <v>0.2353</v>
      </c>
      <c r="M302" s="31" t="n">
        <v>0.41</v>
      </c>
      <c r="N302" s="3" t="inlineStr">
        <is>
          <t>Throws_Manual_Optiwise_24</t>
        </is>
      </c>
      <c r="O302" s="3" t="inlineStr">
        <is>
          <t>phrase</t>
        </is>
      </c>
      <c r="P302" s="4" t="n"/>
      <c r="Q302" s="4" t="n"/>
      <c r="R302" s="4" t="inlineStr">
        <is>
          <t>-</t>
        </is>
      </c>
      <c r="S302" s="4" t="n"/>
      <c r="T302" s="4" t="n">
        <v>0</v>
      </c>
      <c r="U302" s="4" t="n">
        <v>0</v>
      </c>
      <c r="V302" s="4" t="n"/>
    </row>
    <row r="303">
      <c r="A303" t="inlineStr">
        <is>
          <t>throw blanket with foot pocket</t>
        </is>
      </c>
      <c r="B303" s="4" t="n"/>
      <c r="C303" s="31" t="n">
        <v>0.41</v>
      </c>
      <c r="D303" s="31" t="n">
        <v>0</v>
      </c>
      <c r="E303" s="31" t="n">
        <v>0</v>
      </c>
      <c r="F303" s="31" t="n">
        <v>0</v>
      </c>
      <c r="G303" s="3" t="n">
        <v>2</v>
      </c>
      <c r="H303" s="3" t="n">
        <v>1</v>
      </c>
      <c r="I303" s="32" t="n">
        <v>0.5</v>
      </c>
      <c r="J303" s="3" t="n">
        <v>0</v>
      </c>
      <c r="K303" s="32" t="n">
        <v>0</v>
      </c>
      <c r="L303" s="32" t="n">
        <v>0</v>
      </c>
      <c r="M303" s="31" t="n">
        <v>0.41</v>
      </c>
      <c r="N303" s="3" t="inlineStr">
        <is>
          <t>Throws_Manual_Optiwise_24</t>
        </is>
      </c>
      <c r="O303" s="3" t="inlineStr">
        <is>
          <t>phrase</t>
        </is>
      </c>
      <c r="P303" s="4" t="n"/>
      <c r="Q303" s="4" t="n"/>
      <c r="R303" s="4" t="inlineStr">
        <is>
          <t>-</t>
        </is>
      </c>
      <c r="S303" s="4" t="n"/>
      <c r="T303" s="4" t="n">
        <v>0</v>
      </c>
      <c r="U303" s="4" t="n">
        <v>0</v>
      </c>
      <c r="V303" s="4" t="n"/>
    </row>
    <row r="304">
      <c r="A304" t="inlineStr">
        <is>
          <t>throw blankets with lining</t>
        </is>
      </c>
      <c r="B304" s="4" t="n"/>
      <c r="C304" s="31" t="n">
        <v>0.41</v>
      </c>
      <c r="D304" s="31" t="n">
        <v>0</v>
      </c>
      <c r="E304" s="31" t="n">
        <v>0</v>
      </c>
      <c r="F304" s="31" t="n">
        <v>0</v>
      </c>
      <c r="G304" s="3" t="n">
        <v>1</v>
      </c>
      <c r="H304" s="3" t="n">
        <v>1</v>
      </c>
      <c r="I304" s="32" t="n">
        <v>1</v>
      </c>
      <c r="J304" s="3" t="n">
        <v>0</v>
      </c>
      <c r="K304" s="32" t="n">
        <v>0</v>
      </c>
      <c r="L304" s="32" t="n">
        <v>0</v>
      </c>
      <c r="M304" s="31" t="n">
        <v>0.41</v>
      </c>
      <c r="N304" s="3" t="inlineStr">
        <is>
          <t>Throws_Manual_Optiwise_24</t>
        </is>
      </c>
      <c r="O304" s="3" t="inlineStr">
        <is>
          <t>phrase</t>
        </is>
      </c>
      <c r="P304" s="4" t="n"/>
      <c r="Q304" s="4" t="n"/>
      <c r="R304" s="4" t="inlineStr">
        <is>
          <t>-</t>
        </is>
      </c>
      <c r="S304" s="4" t="n"/>
      <c r="T304" s="4" t="n">
        <v>0</v>
      </c>
      <c r="U304" s="4" t="n">
        <v>0</v>
      </c>
      <c r="V304" s="4" t="n"/>
    </row>
    <row r="305">
      <c r="A305" t="inlineStr">
        <is>
          <t>375315356</t>
        </is>
      </c>
      <c r="B305" s="4" t="n"/>
      <c r="C305" s="31" t="n">
        <v>0.41</v>
      </c>
      <c r="D305" s="31" t="n">
        <v>0</v>
      </c>
      <c r="E305" s="31" t="n">
        <v>0</v>
      </c>
      <c r="F305" s="31" t="n">
        <v>0</v>
      </c>
      <c r="G305" s="3" t="n">
        <v>2</v>
      </c>
      <c r="H305" s="3" t="n">
        <v>1</v>
      </c>
      <c r="I305" s="32" t="n">
        <v>0.5</v>
      </c>
      <c r="J305" s="3" t="n">
        <v>0</v>
      </c>
      <c r="K305" s="32" t="n">
        <v>0</v>
      </c>
      <c r="L305" s="32" t="n">
        <v>0</v>
      </c>
      <c r="M305" s="31" t="n">
        <v>0.41</v>
      </c>
      <c r="N305" s="3" t="inlineStr">
        <is>
          <t>Throws_Manual_Optiwise_24</t>
        </is>
      </c>
      <c r="O305" s="3" t="inlineStr">
        <is>
          <t>phrase</t>
        </is>
      </c>
      <c r="P305" s="4" t="n"/>
      <c r="Q305" s="4" t="n"/>
      <c r="R305" s="4" t="inlineStr">
        <is>
          <t>-</t>
        </is>
      </c>
      <c r="S305" s="4" t="n"/>
      <c r="T305" s="4" t="n">
        <v>0</v>
      </c>
      <c r="U305" s="4" t="n">
        <v>0</v>
      </c>
      <c r="V305" s="4" t="n"/>
    </row>
    <row r="306">
      <c r="A306" t="inlineStr">
        <is>
          <t>389024231</t>
        </is>
      </c>
      <c r="B306" s="4" t="n"/>
      <c r="C306" s="31" t="n">
        <v>0.41</v>
      </c>
      <c r="D306" s="31" t="n">
        <v>0</v>
      </c>
      <c r="E306" s="31" t="n">
        <v>0</v>
      </c>
      <c r="F306" s="31" t="n">
        <v>0</v>
      </c>
      <c r="G306" s="3" t="n">
        <v>7</v>
      </c>
      <c r="H306" s="3" t="n">
        <v>1</v>
      </c>
      <c r="I306" s="32" t="n">
        <v>0.14</v>
      </c>
      <c r="J306" s="3" t="n">
        <v>0</v>
      </c>
      <c r="K306" s="32" t="n">
        <v>0</v>
      </c>
      <c r="L306" s="32" t="n">
        <v>0</v>
      </c>
      <c r="M306" s="31" t="n">
        <v>0.41</v>
      </c>
      <c r="N306" s="3" t="inlineStr">
        <is>
          <t>Throws_Manual_Optiwise_24</t>
        </is>
      </c>
      <c r="O306" s="3" t="inlineStr">
        <is>
          <t>phrase</t>
        </is>
      </c>
      <c r="P306" s="4" t="n"/>
      <c r="Q306" s="4" t="n"/>
      <c r="R306" s="4" t="inlineStr">
        <is>
          <t>-</t>
        </is>
      </c>
      <c r="S306" s="4" t="n"/>
      <c r="T306" s="4" t="n">
        <v>0</v>
      </c>
      <c r="U306" s="4" t="n">
        <v>0</v>
      </c>
      <c r="V306" s="4" t="n"/>
    </row>
    <row r="307">
      <c r="A307" t="inlineStr">
        <is>
          <t>throw with foot pocket</t>
        </is>
      </c>
      <c r="B307" s="4" t="n"/>
      <c r="C307" s="31" t="n">
        <v>0.41</v>
      </c>
      <c r="D307" s="31" t="n">
        <v>0</v>
      </c>
      <c r="E307" s="31" t="n">
        <v>0</v>
      </c>
      <c r="F307" s="31" t="n">
        <v>0</v>
      </c>
      <c r="G307" s="3" t="n">
        <v>1</v>
      </c>
      <c r="H307" s="3" t="n">
        <v>1</v>
      </c>
      <c r="I307" s="32" t="n">
        <v>1</v>
      </c>
      <c r="J307" s="3" t="n">
        <v>0</v>
      </c>
      <c r="K307" s="32" t="n">
        <v>0</v>
      </c>
      <c r="L307" s="32" t="n">
        <v>0</v>
      </c>
      <c r="M307" s="31" t="n">
        <v>0.41</v>
      </c>
      <c r="N307" s="3" t="inlineStr">
        <is>
          <t>Throws_Manual_Optiwise_24</t>
        </is>
      </c>
      <c r="O307" s="3" t="inlineStr">
        <is>
          <t>phrase</t>
        </is>
      </c>
      <c r="P307" s="4" t="n"/>
      <c r="Q307" s="4" t="n"/>
      <c r="R307" s="4" t="inlineStr">
        <is>
          <t>-</t>
        </is>
      </c>
      <c r="S307" s="4" t="n"/>
      <c r="T307" s="4" t="n">
        <v>0</v>
      </c>
      <c r="U307" s="4" t="n">
        <v>0</v>
      </c>
      <c r="V307" s="4" t="n"/>
    </row>
    <row r="308">
      <c r="A308" t="inlineStr">
        <is>
          <t>mens throws</t>
        </is>
      </c>
      <c r="B308" s="4" t="n">
        <v>10</v>
      </c>
      <c r="C308" s="31" t="n">
        <v>0.41</v>
      </c>
      <c r="D308" s="31" t="n">
        <v>0</v>
      </c>
      <c r="E308" s="31" t="n">
        <v>0</v>
      </c>
      <c r="F308" s="31" t="n">
        <v>0</v>
      </c>
      <c r="G308" s="3" t="n">
        <v>11</v>
      </c>
      <c r="H308" s="3" t="n">
        <v>1</v>
      </c>
      <c r="I308" s="32" t="n">
        <v>0.09</v>
      </c>
      <c r="J308" s="3" t="n">
        <v>0</v>
      </c>
      <c r="K308" s="32" t="n">
        <v>0</v>
      </c>
      <c r="L308" s="32" t="n">
        <v>0</v>
      </c>
      <c r="M308" s="31" t="n">
        <v>0.41</v>
      </c>
      <c r="N308" s="3" t="inlineStr">
        <is>
          <t>Throws_Manual_Optiwise_24</t>
        </is>
      </c>
      <c r="O308" s="3" t="inlineStr">
        <is>
          <t>phrase</t>
        </is>
      </c>
      <c r="P308" s="4" t="n"/>
      <c r="Q308" s="4" t="n"/>
      <c r="R308" s="4" t="inlineStr">
        <is>
          <t>-</t>
        </is>
      </c>
      <c r="S308" s="4" t="n"/>
      <c r="T308" s="4" t="n">
        <v>0</v>
      </c>
      <c r="U308" s="4" t="n">
        <v>0</v>
      </c>
      <c r="V308" s="4" t="n"/>
    </row>
    <row r="309">
      <c r="A309" t="inlineStr">
        <is>
          <t>throw blankets under $10 for kids</t>
        </is>
      </c>
      <c r="B309" s="4" t="n"/>
      <c r="C309" s="31" t="n">
        <v>0.41</v>
      </c>
      <c r="D309" s="31" t="n">
        <v>0</v>
      </c>
      <c r="E309" s="31" t="n">
        <v>0</v>
      </c>
      <c r="F309" s="31" t="n">
        <v>0</v>
      </c>
      <c r="G309" s="3" t="n">
        <v>18</v>
      </c>
      <c r="H309" s="3" t="n">
        <v>1</v>
      </c>
      <c r="I309" s="32" t="n">
        <v>0.06</v>
      </c>
      <c r="J309" s="3" t="n">
        <v>0</v>
      </c>
      <c r="K309" s="32" t="n">
        <v>0</v>
      </c>
      <c r="L309" s="32" t="n">
        <v>0</v>
      </c>
      <c r="M309" s="31" t="n">
        <v>0.41</v>
      </c>
      <c r="N309" s="3" t="inlineStr">
        <is>
          <t>Throws_Manual_Optiwise_24</t>
        </is>
      </c>
      <c r="O309" s="3" t="inlineStr">
        <is>
          <t>phrase</t>
        </is>
      </c>
      <c r="P309" s="4" t="n"/>
      <c r="Q309" s="4" t="n"/>
      <c r="R309" s="4" t="inlineStr">
        <is>
          <t>-</t>
        </is>
      </c>
      <c r="S309" s="4" t="n"/>
      <c r="T309" s="4" t="n">
        <v>0</v>
      </c>
      <c r="U309" s="4" t="n">
        <v>0</v>
      </c>
      <c r="V309" s="4" t="n"/>
    </row>
    <row r="310">
      <c r="A310" t="inlineStr">
        <is>
          <t>childrens soft fleece throw blanket</t>
        </is>
      </c>
      <c r="B310" s="4" t="n"/>
      <c r="C310" s="31" t="n">
        <v>0.41</v>
      </c>
      <c r="D310" s="31" t="n">
        <v>0</v>
      </c>
      <c r="E310" s="31" t="n">
        <v>0</v>
      </c>
      <c r="F310" s="31" t="n">
        <v>0</v>
      </c>
      <c r="G310" s="3" t="n">
        <v>2</v>
      </c>
      <c r="H310" s="3" t="n">
        <v>1</v>
      </c>
      <c r="I310" s="32" t="n">
        <v>0.5</v>
      </c>
      <c r="J310" s="3" t="n">
        <v>0</v>
      </c>
      <c r="K310" s="32" t="n">
        <v>0</v>
      </c>
      <c r="L310" s="32" t="n">
        <v>0</v>
      </c>
      <c r="M310" s="31" t="n">
        <v>0.41</v>
      </c>
      <c r="N310" s="3" t="inlineStr">
        <is>
          <t>Throws_Manual_Optiwise_24</t>
        </is>
      </c>
      <c r="O310" s="3" t="inlineStr">
        <is>
          <t>phrase</t>
        </is>
      </c>
      <c r="P310" s="4" t="n"/>
      <c r="Q310" s="4" t="n"/>
      <c r="R310" s="4" t="inlineStr">
        <is>
          <t>-</t>
        </is>
      </c>
      <c r="S310" s="4" t="n"/>
      <c r="T310" s="4" t="n">
        <v>0</v>
      </c>
      <c r="U310" s="4" t="n">
        <v>0</v>
      </c>
      <c r="V310" s="4" t="n"/>
    </row>
    <row r="311">
      <c r="A311" t="inlineStr">
        <is>
          <t>wilderness throw</t>
        </is>
      </c>
      <c r="B311" s="4" t="n"/>
      <c r="C311" s="31" t="n">
        <v>0.41</v>
      </c>
      <c r="D311" s="31" t="n">
        <v>0</v>
      </c>
      <c r="E311" s="31" t="n">
        <v>0</v>
      </c>
      <c r="F311" s="31" t="n">
        <v>0</v>
      </c>
      <c r="G311" s="3" t="n">
        <v>8</v>
      </c>
      <c r="H311" s="3" t="n">
        <v>1</v>
      </c>
      <c r="I311" s="32" t="n">
        <v>0.12</v>
      </c>
      <c r="J311" s="3" t="n">
        <v>0</v>
      </c>
      <c r="K311" s="32" t="n">
        <v>0</v>
      </c>
      <c r="L311" s="32" t="n">
        <v>0</v>
      </c>
      <c r="M311" s="31" t="n">
        <v>0.41</v>
      </c>
      <c r="N311" s="3" t="inlineStr">
        <is>
          <t>Throws_Manual_Optiwise_24</t>
        </is>
      </c>
      <c r="O311" s="3" t="inlineStr">
        <is>
          <t>phrase</t>
        </is>
      </c>
      <c r="P311" s="4" t="n"/>
      <c r="Q311" s="4" t="n"/>
      <c r="R311" s="4" t="inlineStr">
        <is>
          <t>-</t>
        </is>
      </c>
      <c r="S311" s="4" t="n"/>
      <c r="T311" s="4" t="n">
        <v>0</v>
      </c>
      <c r="U311" s="4" t="n">
        <v>0</v>
      </c>
      <c r="V311" s="4" t="n"/>
    </row>
    <row r="312">
      <c r="A312" t="inlineStr">
        <is>
          <t>470850901</t>
        </is>
      </c>
      <c r="B312" s="4" t="n"/>
      <c r="C312" s="31" t="n">
        <v>0.41</v>
      </c>
      <c r="D312" s="31" t="n">
        <v>0</v>
      </c>
      <c r="E312" s="31" t="n">
        <v>0</v>
      </c>
      <c r="F312" s="31" t="n">
        <v>0</v>
      </c>
      <c r="G312" s="3" t="n">
        <v>0</v>
      </c>
      <c r="H312" s="3" t="n">
        <v>1</v>
      </c>
      <c r="I312" s="32" t="n">
        <v>0</v>
      </c>
      <c r="J312" s="3" t="n">
        <v>0</v>
      </c>
      <c r="K312" s="32" t="n">
        <v>0</v>
      </c>
      <c r="L312" s="32" t="n">
        <v>0</v>
      </c>
      <c r="M312" s="31" t="n">
        <v>0.41</v>
      </c>
      <c r="N312" s="3" t="inlineStr">
        <is>
          <t>Throws_Manual_Optiwise_24</t>
        </is>
      </c>
      <c r="O312" s="3" t="inlineStr">
        <is>
          <t>phrase</t>
        </is>
      </c>
      <c r="P312" s="4" t="n"/>
      <c r="Q312" s="4" t="n"/>
      <c r="R312" s="4" t="inlineStr">
        <is>
          <t>-</t>
        </is>
      </c>
      <c r="S312" s="4" t="n"/>
      <c r="T312" s="4" t="n">
        <v>0</v>
      </c>
      <c r="U312" s="4" t="n">
        <v>0</v>
      </c>
      <c r="V312" s="4" t="n"/>
    </row>
    <row r="313">
      <c r="A313" t="inlineStr">
        <is>
          <t>kids out door throw</t>
        </is>
      </c>
      <c r="B313" s="4" t="n"/>
      <c r="C313" s="31" t="n">
        <v>0.41</v>
      </c>
      <c r="D313" s="31" t="n">
        <v>0</v>
      </c>
      <c r="E313" s="31" t="n">
        <v>0</v>
      </c>
      <c r="F313" s="31" t="n">
        <v>0</v>
      </c>
      <c r="G313" s="3" t="n">
        <v>1</v>
      </c>
      <c r="H313" s="3" t="n">
        <v>1</v>
      </c>
      <c r="I313" s="32" t="n">
        <v>1</v>
      </c>
      <c r="J313" s="3" t="n">
        <v>0</v>
      </c>
      <c r="K313" s="32" t="n">
        <v>0</v>
      </c>
      <c r="L313" s="32" t="n">
        <v>0</v>
      </c>
      <c r="M313" s="31" t="n">
        <v>0.41</v>
      </c>
      <c r="N313" s="3" t="inlineStr">
        <is>
          <t>Throws_Manual_Optiwise_24</t>
        </is>
      </c>
      <c r="O313" s="3" t="inlineStr">
        <is>
          <t>phrase</t>
        </is>
      </c>
      <c r="P313" s="4" t="n"/>
      <c r="Q313" s="4" t="n"/>
      <c r="R313" s="4" t="inlineStr">
        <is>
          <t>-</t>
        </is>
      </c>
      <c r="S313" s="4" t="n"/>
      <c r="T313" s="4" t="n">
        <v>0</v>
      </c>
      <c r="U313" s="4" t="n">
        <v>0</v>
      </c>
      <c r="V313" s="4" t="n"/>
    </row>
    <row r="314">
      <c r="A314" t="inlineStr">
        <is>
          <t>throw blanket bulk pack</t>
        </is>
      </c>
      <c r="B314" s="4" t="n"/>
      <c r="C314" s="31" t="n">
        <v>0.41</v>
      </c>
      <c r="D314" s="31" t="n">
        <v>0</v>
      </c>
      <c r="E314" s="31" t="n">
        <v>0</v>
      </c>
      <c r="F314" s="31" t="n">
        <v>0</v>
      </c>
      <c r="G314" s="3" t="n">
        <v>2</v>
      </c>
      <c r="H314" s="3" t="n">
        <v>1</v>
      </c>
      <c r="I314" s="32" t="n">
        <v>0.5</v>
      </c>
      <c r="J314" s="3" t="n">
        <v>0</v>
      </c>
      <c r="K314" s="32" t="n">
        <v>0</v>
      </c>
      <c r="L314" s="32" t="n">
        <v>0</v>
      </c>
      <c r="M314" s="31" t="n">
        <v>0.41</v>
      </c>
      <c r="N314" s="3" t="inlineStr">
        <is>
          <t>Throws_Manual_Optiwise_24</t>
        </is>
      </c>
      <c r="O314" s="3" t="inlineStr">
        <is>
          <t>phrase</t>
        </is>
      </c>
      <c r="P314" s="4" t="n"/>
      <c r="Q314" s="4" t="n"/>
      <c r="R314" s="4" t="inlineStr">
        <is>
          <t>-</t>
        </is>
      </c>
      <c r="S314" s="4" t="n"/>
      <c r="T314" s="4" t="n">
        <v>0</v>
      </c>
      <c r="U314" s="4" t="n">
        <v>0</v>
      </c>
      <c r="V314" s="4" t="n"/>
    </row>
    <row r="315">
      <c r="A315" t="inlineStr">
        <is>
          <t>329457407</t>
        </is>
      </c>
      <c r="B315" s="4" t="n"/>
      <c r="C315" s="31" t="n">
        <v>0.41</v>
      </c>
      <c r="D315" s="31" t="n">
        <v>0</v>
      </c>
      <c r="E315" s="31" t="n">
        <v>0</v>
      </c>
      <c r="F315" s="31" t="n">
        <v>0</v>
      </c>
      <c r="G315" s="3" t="n">
        <v>0</v>
      </c>
      <c r="H315" s="3" t="n">
        <v>1</v>
      </c>
      <c r="I315" s="32" t="n">
        <v>0</v>
      </c>
      <c r="J315" s="3" t="n">
        <v>0</v>
      </c>
      <c r="K315" s="32" t="n">
        <v>0</v>
      </c>
      <c r="L315" s="32" t="n">
        <v>0</v>
      </c>
      <c r="M315" s="31" t="n">
        <v>0.41</v>
      </c>
      <c r="N315" s="3" t="inlineStr">
        <is>
          <t>Throws_Manual_Optiwise_24</t>
        </is>
      </c>
      <c r="O315" s="3" t="inlineStr">
        <is>
          <t>phrase</t>
        </is>
      </c>
      <c r="P315" s="4" t="n"/>
      <c r="Q315" s="4" t="n"/>
      <c r="R315" s="4" t="inlineStr">
        <is>
          <t>-</t>
        </is>
      </c>
      <c r="S315" s="4" t="n"/>
      <c r="T315" s="4" t="n">
        <v>0</v>
      </c>
      <c r="U315" s="4" t="n">
        <v>0</v>
      </c>
      <c r="V315" s="4" t="n"/>
    </row>
    <row r="316">
      <c r="A316" t="inlineStr">
        <is>
          <t>throw blanket with sleeves</t>
        </is>
      </c>
      <c r="B316" s="4" t="n"/>
      <c r="C316" s="31" t="n">
        <v>0.41</v>
      </c>
      <c r="D316" s="31" t="n">
        <v>0</v>
      </c>
      <c r="E316" s="31" t="n">
        <v>0</v>
      </c>
      <c r="F316" s="31" t="n">
        <v>0</v>
      </c>
      <c r="G316" s="3" t="n">
        <v>4</v>
      </c>
      <c r="H316" s="3" t="n">
        <v>1</v>
      </c>
      <c r="I316" s="32" t="n">
        <v>0.25</v>
      </c>
      <c r="J316" s="3" t="n">
        <v>0</v>
      </c>
      <c r="K316" s="32" t="n">
        <v>0</v>
      </c>
      <c r="L316" s="32" t="n">
        <v>0</v>
      </c>
      <c r="M316" s="31" t="n">
        <v>0.41</v>
      </c>
      <c r="N316" s="3" t="inlineStr">
        <is>
          <t>Throws_Manual_Optiwise_24</t>
        </is>
      </c>
      <c r="O316" s="3" t="inlineStr">
        <is>
          <t>phrase</t>
        </is>
      </c>
      <c r="P316" s="4" t="n">
        <v>15</v>
      </c>
      <c r="Q316" s="4" t="n">
        <v>7</v>
      </c>
      <c r="R316" s="4" t="n">
        <v>3</v>
      </c>
      <c r="S316" s="4" t="n">
        <v>4</v>
      </c>
      <c r="T316" s="4" t="n">
        <v>10</v>
      </c>
      <c r="U316" s="4" t="n">
        <v>0</v>
      </c>
      <c r="V316" s="4" t="inlineStr">
        <is>
          <t>873609379 - 4, 795260720 - 25, 920373777 - 16, 126043267 - 48, 889278328 - 12, 107158532 - 7, 262410560 - 46, 500709074 - 18, 188266088 - 39, 112872395 - 9, 104033046 - 50, 192912629 - 34, 1478723664 - 26, 1284646201 - 31, 2716246624 - 24</t>
        </is>
      </c>
    </row>
    <row r="317">
      <c r="A317" t="inlineStr">
        <is>
          <t>44680298</t>
        </is>
      </c>
      <c r="B317" s="4" t="n"/>
      <c r="C317" s="31" t="n">
        <v>0.41</v>
      </c>
      <c r="D317" s="31" t="n">
        <v>0</v>
      </c>
      <c r="E317" s="31" t="n">
        <v>0</v>
      </c>
      <c r="F317" s="31" t="n">
        <v>0</v>
      </c>
      <c r="G317" s="3" t="n">
        <v>2</v>
      </c>
      <c r="H317" s="3" t="n">
        <v>1</v>
      </c>
      <c r="I317" s="32" t="n">
        <v>0.5</v>
      </c>
      <c r="J317" s="3" t="n">
        <v>0</v>
      </c>
      <c r="K317" s="32" t="n">
        <v>0</v>
      </c>
      <c r="L317" s="32" t="n">
        <v>0</v>
      </c>
      <c r="M317" s="31" t="n">
        <v>0.41</v>
      </c>
      <c r="N317" s="3" t="inlineStr">
        <is>
          <t>Throws_Manual_Optiwise_24</t>
        </is>
      </c>
      <c r="O317" s="3" t="inlineStr">
        <is>
          <t>phrase</t>
        </is>
      </c>
      <c r="P317" s="4" t="n"/>
      <c r="Q317" s="4" t="n"/>
      <c r="R317" s="4" t="inlineStr">
        <is>
          <t>-</t>
        </is>
      </c>
      <c r="S317" s="4" t="n"/>
      <c r="T317" s="4" t="n">
        <v>0</v>
      </c>
      <c r="U317" s="4" t="n">
        <v>0</v>
      </c>
      <c r="V317" s="4" t="n"/>
    </row>
    <row r="318">
      <c r="A318" t="inlineStr">
        <is>
          <t>throw blanket kids</t>
        </is>
      </c>
      <c r="B318" s="4" t="n"/>
      <c r="C318" s="31" t="n">
        <v>0.41</v>
      </c>
      <c r="D318" s="31" t="n">
        <v>0</v>
      </c>
      <c r="E318" s="31" t="n">
        <v>0</v>
      </c>
      <c r="F318" s="31" t="n">
        <v>0</v>
      </c>
      <c r="G318" s="3" t="n">
        <v>7</v>
      </c>
      <c r="H318" s="3" t="n">
        <v>1</v>
      </c>
      <c r="I318" s="32" t="n">
        <v>0.14</v>
      </c>
      <c r="J318" s="3" t="n">
        <v>0</v>
      </c>
      <c r="K318" s="32" t="n">
        <v>0</v>
      </c>
      <c r="L318" s="32" t="n">
        <v>0</v>
      </c>
      <c r="M318" s="31" t="n">
        <v>0.41</v>
      </c>
      <c r="N318" s="3" t="inlineStr">
        <is>
          <t>Throws_Manual_Optiwise_24</t>
        </is>
      </c>
      <c r="O318" s="3" t="inlineStr">
        <is>
          <t>phrase</t>
        </is>
      </c>
      <c r="P318" s="4" t="n"/>
      <c r="Q318" s="4" t="n"/>
      <c r="R318" s="4" t="inlineStr">
        <is>
          <t>-</t>
        </is>
      </c>
      <c r="S318" s="4" t="n"/>
      <c r="T318" s="4" t="n">
        <v>0</v>
      </c>
      <c r="U318" s="4" t="n">
        <v>0</v>
      </c>
      <c r="V318" s="4" t="n"/>
    </row>
    <row r="319">
      <c r="A319" t="inlineStr">
        <is>
          <t>fleece throws adult dog print</t>
        </is>
      </c>
      <c r="B319" s="4" t="n">
        <v>30</v>
      </c>
      <c r="C319" s="31" t="n">
        <v>0.41</v>
      </c>
      <c r="D319" s="31" t="n">
        <v>0</v>
      </c>
      <c r="E319" s="31" t="n">
        <v>0</v>
      </c>
      <c r="F319" s="31" t="n">
        <v>0</v>
      </c>
      <c r="G319" s="3" t="n">
        <v>14</v>
      </c>
      <c r="H319" s="3" t="n">
        <v>1</v>
      </c>
      <c r="I319" s="32" t="n">
        <v>0.07000000000000001</v>
      </c>
      <c r="J319" s="3" t="n">
        <v>0</v>
      </c>
      <c r="K319" s="32" t="n">
        <v>0</v>
      </c>
      <c r="L319" s="32" t="n">
        <v>0</v>
      </c>
      <c r="M319" s="31" t="n">
        <v>0.41</v>
      </c>
      <c r="N319" s="3" t="inlineStr">
        <is>
          <t>Throws_Manual_Optiwise_24</t>
        </is>
      </c>
      <c r="O319" s="3" t="inlineStr">
        <is>
          <t>phrase</t>
        </is>
      </c>
      <c r="P319" s="4" t="n"/>
      <c r="Q319" s="4" t="n"/>
      <c r="R319" s="4" t="inlineStr">
        <is>
          <t>-</t>
        </is>
      </c>
      <c r="S319" s="4" t="n"/>
      <c r="T319" s="4" t="n">
        <v>0</v>
      </c>
      <c r="U319" s="4" t="n">
        <v>0</v>
      </c>
      <c r="V319" s="4" t="n"/>
    </row>
    <row r="320">
      <c r="A320" t="inlineStr">
        <is>
          <t>5350798175</t>
        </is>
      </c>
      <c r="B320" s="4" t="n"/>
      <c r="C320" s="31" t="n">
        <v>0.41</v>
      </c>
      <c r="D320" s="31" t="n">
        <v>0</v>
      </c>
      <c r="E320" s="31" t="n">
        <v>0</v>
      </c>
      <c r="F320" s="31" t="n">
        <v>0</v>
      </c>
      <c r="G320" s="3" t="n">
        <v>119</v>
      </c>
      <c r="H320" s="3" t="n">
        <v>1</v>
      </c>
      <c r="I320" s="32" t="n">
        <v>0.01</v>
      </c>
      <c r="J320" s="3" t="n">
        <v>0</v>
      </c>
      <c r="K320" s="32" t="n">
        <v>0</v>
      </c>
      <c r="L320" s="32" t="n">
        <v>0</v>
      </c>
      <c r="M320" s="31" t="n">
        <v>0.41</v>
      </c>
      <c r="N320" s="3" t="inlineStr">
        <is>
          <t>Throws_Manual_Optiwise_24</t>
        </is>
      </c>
      <c r="O320" s="3" t="inlineStr">
        <is>
          <t>phrase</t>
        </is>
      </c>
      <c r="P320" s="4" t="n"/>
      <c r="Q320" s="4" t="n"/>
      <c r="R320" s="4" t="inlineStr">
        <is>
          <t>-</t>
        </is>
      </c>
      <c r="S320" s="4" t="n"/>
      <c r="T320" s="4" t="n">
        <v>0</v>
      </c>
      <c r="U320" s="4" t="n">
        <v>0</v>
      </c>
      <c r="V320" s="4" t="n"/>
    </row>
    <row r="321">
      <c r="A321" t="inlineStr">
        <is>
          <t>rudolph throw blanket</t>
        </is>
      </c>
      <c r="B321" s="4" t="n"/>
      <c r="C321" s="31" t="n">
        <v>0.41</v>
      </c>
      <c r="D321" s="31" t="n">
        <v>0</v>
      </c>
      <c r="E321" s="31" t="n">
        <v>0</v>
      </c>
      <c r="F321" s="31" t="n">
        <v>0</v>
      </c>
      <c r="G321" s="3" t="n">
        <v>6</v>
      </c>
      <c r="H321" s="3" t="n">
        <v>1</v>
      </c>
      <c r="I321" s="32" t="n">
        <v>0.17</v>
      </c>
      <c r="J321" s="3" t="n">
        <v>0</v>
      </c>
      <c r="K321" s="32" t="n">
        <v>0</v>
      </c>
      <c r="L321" s="32" t="n">
        <v>0</v>
      </c>
      <c r="M321" s="31" t="n">
        <v>0.41</v>
      </c>
      <c r="N321" s="3" t="inlineStr">
        <is>
          <t>Throws_Manual_Optiwise_24</t>
        </is>
      </c>
      <c r="O321" s="3" t="inlineStr">
        <is>
          <t>phrase</t>
        </is>
      </c>
      <c r="P321" s="4" t="n"/>
      <c r="Q321" s="4" t="n"/>
      <c r="R321" s="4" t="inlineStr">
        <is>
          <t>-</t>
        </is>
      </c>
      <c r="S321" s="4" t="n"/>
      <c r="T321" s="4" t="n">
        <v>0</v>
      </c>
      <c r="U321" s="4" t="n">
        <v>0</v>
      </c>
      <c r="V321" s="4" t="n"/>
    </row>
    <row r="322">
      <c r="A322" t="inlineStr">
        <is>
          <t>oversized shearling throws</t>
        </is>
      </c>
      <c r="B322" s="4" t="n"/>
      <c r="C322" s="31" t="n">
        <v>0.41</v>
      </c>
      <c r="D322" s="31" t="n">
        <v>0</v>
      </c>
      <c r="E322" s="31" t="n">
        <v>0</v>
      </c>
      <c r="F322" s="31" t="n">
        <v>0</v>
      </c>
      <c r="G322" s="3" t="n">
        <v>2</v>
      </c>
      <c r="H322" s="3" t="n">
        <v>1</v>
      </c>
      <c r="I322" s="32" t="n">
        <v>0.5</v>
      </c>
      <c r="J322" s="3" t="n">
        <v>0</v>
      </c>
      <c r="K322" s="32" t="n">
        <v>0</v>
      </c>
      <c r="L322" s="32" t="n">
        <v>0</v>
      </c>
      <c r="M322" s="31" t="n">
        <v>0.41</v>
      </c>
      <c r="N322" s="3" t="inlineStr">
        <is>
          <t>Throws_Manual_Optiwise_24</t>
        </is>
      </c>
      <c r="O322" s="3" t="inlineStr">
        <is>
          <t>phrase</t>
        </is>
      </c>
      <c r="P322" s="4" t="n"/>
      <c r="Q322" s="4" t="n"/>
      <c r="R322" s="4" t="inlineStr">
        <is>
          <t>-</t>
        </is>
      </c>
      <c r="S322" s="4" t="n"/>
      <c r="T322" s="4" t="n">
        <v>0</v>
      </c>
      <c r="U322" s="4" t="n">
        <v>0</v>
      </c>
      <c r="V322" s="4" t="n"/>
    </row>
    <row r="323">
      <c r="A323" t="inlineStr">
        <is>
          <t>fleece throws under $5 kids</t>
        </is>
      </c>
      <c r="B323" s="4" t="n"/>
      <c r="C323" s="31" t="n">
        <v>0.41</v>
      </c>
      <c r="D323" s="31" t="n">
        <v>0</v>
      </c>
      <c r="E323" s="31" t="n">
        <v>0</v>
      </c>
      <c r="F323" s="31" t="n">
        <v>0</v>
      </c>
      <c r="G323" s="3" t="n">
        <v>4</v>
      </c>
      <c r="H323" s="3" t="n">
        <v>1</v>
      </c>
      <c r="I323" s="32" t="n">
        <v>0.25</v>
      </c>
      <c r="J323" s="3" t="n">
        <v>0</v>
      </c>
      <c r="K323" s="32" t="n">
        <v>0</v>
      </c>
      <c r="L323" s="32" t="n">
        <v>0</v>
      </c>
      <c r="M323" s="31" t="n">
        <v>0.41</v>
      </c>
      <c r="N323" s="3" t="inlineStr">
        <is>
          <t>Throws_Manual_Optiwise_24</t>
        </is>
      </c>
      <c r="O323" s="3" t="inlineStr">
        <is>
          <t>phrase</t>
        </is>
      </c>
      <c r="P323" s="4" t="n"/>
      <c r="Q323" s="4" t="n"/>
      <c r="R323" s="4" t="inlineStr">
        <is>
          <t>-</t>
        </is>
      </c>
      <c r="S323" s="4" t="n"/>
      <c r="T323" s="4" t="n">
        <v>0</v>
      </c>
      <c r="U323" s="4" t="n">
        <v>0</v>
      </c>
      <c r="V323" s="4" t="n"/>
    </row>
    <row r="324">
      <c r="A324" t="inlineStr">
        <is>
          <t>itsnge throw blanket</t>
        </is>
      </c>
      <c r="B324" s="4" t="n"/>
      <c r="C324" s="31" t="n">
        <v>0.41</v>
      </c>
      <c r="D324" s="31" t="n">
        <v>0</v>
      </c>
      <c r="E324" s="31" t="n">
        <v>0</v>
      </c>
      <c r="F324" s="31" t="n">
        <v>0</v>
      </c>
      <c r="G324" s="3" t="n">
        <v>1</v>
      </c>
      <c r="H324" s="3" t="n">
        <v>1</v>
      </c>
      <c r="I324" s="32" t="n">
        <v>1</v>
      </c>
      <c r="J324" s="3" t="n">
        <v>0</v>
      </c>
      <c r="K324" s="32" t="n">
        <v>0</v>
      </c>
      <c r="L324" s="32" t="n">
        <v>0</v>
      </c>
      <c r="M324" s="31" t="n">
        <v>0.41</v>
      </c>
      <c r="N324" s="3" t="inlineStr">
        <is>
          <t>Throws_Manual_Optiwise_24</t>
        </is>
      </c>
      <c r="O324" s="3" t="inlineStr">
        <is>
          <t>phrase</t>
        </is>
      </c>
      <c r="P324" s="4" t="n"/>
      <c r="Q324" s="4" t="n"/>
      <c r="R324" s="4" t="inlineStr">
        <is>
          <t>-</t>
        </is>
      </c>
      <c r="S324" s="4" t="n"/>
      <c r="T324" s="4" t="n">
        <v>0</v>
      </c>
      <c r="U324" s="4" t="n">
        <v>0</v>
      </c>
      <c r="V324" s="4" t="n"/>
    </row>
    <row r="325">
      <c r="A325" t="inlineStr">
        <is>
          <t>424215698</t>
        </is>
      </c>
      <c r="B325" s="4" t="n"/>
      <c r="C325" s="31" t="n">
        <v>0.41</v>
      </c>
      <c r="D325" s="31" t="n">
        <v>0</v>
      </c>
      <c r="E325" s="31" t="n">
        <v>0</v>
      </c>
      <c r="F325" s="31" t="n">
        <v>0</v>
      </c>
      <c r="G325" s="3" t="n">
        <v>18</v>
      </c>
      <c r="H325" s="3" t="n">
        <v>1</v>
      </c>
      <c r="I325" s="32" t="n">
        <v>0.06</v>
      </c>
      <c r="J325" s="3" t="n">
        <v>0</v>
      </c>
      <c r="K325" s="32" t="n">
        <v>0</v>
      </c>
      <c r="L325" s="32" t="n">
        <v>0</v>
      </c>
      <c r="M325" s="31" t="n">
        <v>0.41</v>
      </c>
      <c r="N325" s="3" t="inlineStr">
        <is>
          <t>Throws_Manual_Optiwise_24</t>
        </is>
      </c>
      <c r="O325" s="3" t="inlineStr">
        <is>
          <t>phrase</t>
        </is>
      </c>
      <c r="P325" s="4" t="n"/>
      <c r="Q325" s="4" t="n"/>
      <c r="R325" s="4" t="inlineStr">
        <is>
          <t>-</t>
        </is>
      </c>
      <c r="S325" s="4" t="n"/>
      <c r="T325" s="4" t="n">
        <v>0</v>
      </c>
      <c r="U325" s="4" t="n">
        <v>0</v>
      </c>
      <c r="V325" s="4" t="n"/>
    </row>
    <row r="326">
      <c r="A326" t="inlineStr">
        <is>
          <t>6460258504</t>
        </is>
      </c>
      <c r="B326" s="4" t="n"/>
      <c r="C326" s="31" t="n">
        <v>0.41</v>
      </c>
      <c r="D326" s="31" t="n">
        <v>0</v>
      </c>
      <c r="E326" s="31" t="n">
        <v>0</v>
      </c>
      <c r="F326" s="31" t="n">
        <v>0</v>
      </c>
      <c r="G326" s="3" t="n">
        <v>12</v>
      </c>
      <c r="H326" s="3" t="n">
        <v>1</v>
      </c>
      <c r="I326" s="32" t="n">
        <v>0.08</v>
      </c>
      <c r="J326" s="3" t="n">
        <v>0</v>
      </c>
      <c r="K326" s="32" t="n">
        <v>0</v>
      </c>
      <c r="L326" s="32" t="n"/>
      <c r="M326" s="31" t="n">
        <v>0.41</v>
      </c>
      <c r="N326" s="3" t="inlineStr">
        <is>
          <t>Picnic Blankets &amp; Mats_Manual_Optiwise_24</t>
        </is>
      </c>
      <c r="O326" s="3" t="inlineStr">
        <is>
          <t>exact</t>
        </is>
      </c>
      <c r="P326" s="4" t="n"/>
      <c r="Q326" s="4" t="n"/>
      <c r="R326" s="4" t="n">
        <v>0</v>
      </c>
      <c r="S326" s="4" t="n"/>
      <c r="T326" s="4" t="n">
        <v>0</v>
      </c>
      <c r="U326" s="4" t="n">
        <v>0</v>
      </c>
      <c r="V326" s="4" t="n"/>
    </row>
    <row r="327">
      <c r="A327" t="inlineStr">
        <is>
          <t>80 inch throw blanket</t>
        </is>
      </c>
      <c r="B327" s="4" t="n"/>
      <c r="C327" s="31" t="n">
        <v>0.41</v>
      </c>
      <c r="D327" s="31" t="n">
        <v>0</v>
      </c>
      <c r="E327" s="31" t="n">
        <v>0</v>
      </c>
      <c r="F327" s="31" t="n">
        <v>0</v>
      </c>
      <c r="G327" s="3" t="n">
        <v>2</v>
      </c>
      <c r="H327" s="3" t="n">
        <v>1</v>
      </c>
      <c r="I327" s="32" t="n">
        <v>0.5</v>
      </c>
      <c r="J327" s="3" t="n">
        <v>0</v>
      </c>
      <c r="K327" s="32" t="n">
        <v>0</v>
      </c>
      <c r="L327" s="32" t="n">
        <v>0</v>
      </c>
      <c r="M327" s="31" t="n">
        <v>0.41</v>
      </c>
      <c r="N327" s="3" t="inlineStr">
        <is>
          <t>Throws_Manual_Optiwise_24</t>
        </is>
      </c>
      <c r="O327" s="3" t="inlineStr">
        <is>
          <t>phrase</t>
        </is>
      </c>
      <c r="P327" s="4" t="n"/>
      <c r="Q327" s="4" t="n"/>
      <c r="R327" s="4" t="inlineStr">
        <is>
          <t>-</t>
        </is>
      </c>
      <c r="S327" s="4" t="n"/>
      <c r="T327" s="4" t="n">
        <v>0</v>
      </c>
      <c r="U327" s="4" t="n">
        <v>0</v>
      </c>
      <c r="V327" s="4" t="n"/>
    </row>
    <row r="328">
      <c r="A328" t="inlineStr">
        <is>
          <t>fleece lined throw blankets</t>
        </is>
      </c>
      <c r="B328" s="4" t="n"/>
      <c r="C328" s="31" t="n">
        <v>0.41</v>
      </c>
      <c r="D328" s="31" t="n">
        <v>0</v>
      </c>
      <c r="E328" s="31" t="n">
        <v>0</v>
      </c>
      <c r="F328" s="31" t="n">
        <v>0</v>
      </c>
      <c r="G328" s="3" t="n">
        <v>6</v>
      </c>
      <c r="H328" s="3" t="n">
        <v>1</v>
      </c>
      <c r="I328" s="32" t="n">
        <v>0.17</v>
      </c>
      <c r="J328" s="3" t="n">
        <v>0</v>
      </c>
      <c r="K328" s="32" t="n">
        <v>0</v>
      </c>
      <c r="L328" s="32" t="n">
        <v>0</v>
      </c>
      <c r="M328" s="31" t="n">
        <v>0.41</v>
      </c>
      <c r="N328" s="3" t="inlineStr">
        <is>
          <t>Throws_Manual_Optiwise_24</t>
        </is>
      </c>
      <c r="O328" s="3" t="inlineStr">
        <is>
          <t>phrase</t>
        </is>
      </c>
      <c r="P328" s="4" t="n"/>
      <c r="Q328" s="4" t="n"/>
      <c r="R328" s="4" t="inlineStr">
        <is>
          <t>-</t>
        </is>
      </c>
      <c r="S328" s="4" t="n"/>
      <c r="T328" s="4" t="n">
        <v>0</v>
      </c>
      <c r="U328" s="4" t="n">
        <v>0</v>
      </c>
      <c r="V328" s="4" t="n"/>
    </row>
    <row r="329">
      <c r="A329" t="inlineStr">
        <is>
          <t>snuggie men blanket throws</t>
        </is>
      </c>
      <c r="B329" s="4" t="n">
        <v>10</v>
      </c>
      <c r="C329" s="31" t="n">
        <v>0.41</v>
      </c>
      <c r="D329" s="31" t="n">
        <v>0</v>
      </c>
      <c r="E329" s="31" t="n">
        <v>0</v>
      </c>
      <c r="F329" s="31" t="n">
        <v>0</v>
      </c>
      <c r="G329" s="3" t="n">
        <v>4</v>
      </c>
      <c r="H329" s="3" t="n">
        <v>1</v>
      </c>
      <c r="I329" s="32" t="n">
        <v>0.25</v>
      </c>
      <c r="J329" s="3" t="n">
        <v>0</v>
      </c>
      <c r="K329" s="32" t="n">
        <v>0</v>
      </c>
      <c r="L329" s="32" t="n">
        <v>0</v>
      </c>
      <c r="M329" s="31" t="n">
        <v>0.41</v>
      </c>
      <c r="N329" s="3" t="inlineStr">
        <is>
          <t>Throws_Manual_Optiwise_24</t>
        </is>
      </c>
      <c r="O329" s="3" t="inlineStr">
        <is>
          <t>phrase</t>
        </is>
      </c>
      <c r="P329" s="4" t="n"/>
      <c r="Q329" s="4" t="n"/>
      <c r="R329" s="4" t="inlineStr">
        <is>
          <t>-</t>
        </is>
      </c>
      <c r="S329" s="4" t="n"/>
      <c r="T329" s="4" t="n">
        <v>0</v>
      </c>
      <c r="U329" s="4" t="n">
        <v>0</v>
      </c>
      <c r="V329" s="4" t="n"/>
    </row>
    <row r="330">
      <c r="A330" t="inlineStr">
        <is>
          <t>grey fleece throw blanket 50 x 72</t>
        </is>
      </c>
      <c r="B330" s="4" t="n"/>
      <c r="C330" s="31" t="n">
        <v>0.41</v>
      </c>
      <c r="D330" s="31" t="n">
        <v>0</v>
      </c>
      <c r="E330" s="31" t="n">
        <v>0</v>
      </c>
      <c r="F330" s="31" t="n">
        <v>0</v>
      </c>
      <c r="G330" s="3" t="n">
        <v>2</v>
      </c>
      <c r="H330" s="3" t="n">
        <v>1</v>
      </c>
      <c r="I330" s="32" t="n">
        <v>0.5</v>
      </c>
      <c r="J330" s="3" t="n">
        <v>0</v>
      </c>
      <c r="K330" s="32" t="n">
        <v>0</v>
      </c>
      <c r="L330" s="32" t="n">
        <v>0</v>
      </c>
      <c r="M330" s="31" t="n">
        <v>0.41</v>
      </c>
      <c r="N330" s="3" t="inlineStr">
        <is>
          <t>Throws_Manual_Optiwise_24</t>
        </is>
      </c>
      <c r="O330" s="3" t="inlineStr">
        <is>
          <t>phrase</t>
        </is>
      </c>
      <c r="P330" s="4" t="n"/>
      <c r="Q330" s="4" t="n"/>
      <c r="R330" s="4" t="inlineStr">
        <is>
          <t>-</t>
        </is>
      </c>
      <c r="S330" s="4" t="n"/>
      <c r="T330" s="4" t="n">
        <v>0</v>
      </c>
      <c r="U330" s="4" t="n">
        <v>0</v>
      </c>
      <c r="V330" s="4" t="n"/>
    </row>
    <row r="331">
      <c r="A331" t="inlineStr">
        <is>
          <t>green camo throw</t>
        </is>
      </c>
      <c r="B331" s="4" t="n"/>
      <c r="C331" s="31" t="n">
        <v>0.41</v>
      </c>
      <c r="D331" s="31" t="n">
        <v>0</v>
      </c>
      <c r="E331" s="31" t="n">
        <v>0</v>
      </c>
      <c r="F331" s="31" t="n">
        <v>0</v>
      </c>
      <c r="G331" s="3" t="n">
        <v>1</v>
      </c>
      <c r="H331" s="3" t="n">
        <v>1</v>
      </c>
      <c r="I331" s="32" t="n">
        <v>1</v>
      </c>
      <c r="J331" s="3" t="n">
        <v>0</v>
      </c>
      <c r="K331" s="32" t="n">
        <v>0</v>
      </c>
      <c r="L331" s="32" t="n">
        <v>0</v>
      </c>
      <c r="M331" s="31" t="n">
        <v>0.41</v>
      </c>
      <c r="N331" s="3" t="inlineStr">
        <is>
          <t>Throws_Manual_Optiwise_24</t>
        </is>
      </c>
      <c r="O331" s="3" t="inlineStr">
        <is>
          <t>phrase</t>
        </is>
      </c>
      <c r="P331" s="4" t="n"/>
      <c r="Q331" s="4" t="n"/>
      <c r="R331" s="4" t="inlineStr">
        <is>
          <t>-</t>
        </is>
      </c>
      <c r="S331" s="4" t="n"/>
      <c r="T331" s="4" t="n">
        <v>0</v>
      </c>
      <c r="U331" s="4" t="n">
        <v>0</v>
      </c>
      <c r="V331" s="4" t="n"/>
    </row>
    <row r="332">
      <c r="A332" t="inlineStr">
        <is>
          <t>mermaid tale</t>
        </is>
      </c>
      <c r="B332" s="4" t="n">
        <v>70</v>
      </c>
      <c r="C332" s="31" t="n">
        <v>0.41</v>
      </c>
      <c r="D332" s="31" t="n">
        <v>0</v>
      </c>
      <c r="E332" s="31" t="n">
        <v>0</v>
      </c>
      <c r="F332" s="31" t="n">
        <v>0</v>
      </c>
      <c r="G332" s="3" t="n">
        <v>9</v>
      </c>
      <c r="H332" s="3" t="n">
        <v>1</v>
      </c>
      <c r="I332" s="32" t="n">
        <v>0.11</v>
      </c>
      <c r="J332" s="3" t="n">
        <v>0</v>
      </c>
      <c r="K332" s="32" t="n">
        <v>0</v>
      </c>
      <c r="L332" s="32" t="n">
        <v>0.3636</v>
      </c>
      <c r="M332" s="31" t="n">
        <v>0.41</v>
      </c>
      <c r="N332" s="3" t="inlineStr">
        <is>
          <t>Throws_Manual_Optiwise_24</t>
        </is>
      </c>
      <c r="O332" s="3" t="inlineStr">
        <is>
          <t>exact</t>
        </is>
      </c>
      <c r="P332" s="4" t="n">
        <v>2</v>
      </c>
      <c r="Q332" s="4" t="n">
        <v>20</v>
      </c>
      <c r="R332" s="4" t="n">
        <v>1</v>
      </c>
      <c r="S332" s="4" t="n">
        <v>32</v>
      </c>
      <c r="T332" s="4" t="n">
        <v>10</v>
      </c>
      <c r="U332" s="4" t="n">
        <v>0</v>
      </c>
      <c r="V332" s="4" t="inlineStr">
        <is>
          <t>856027355 - 20, 942219918 - 32</t>
        </is>
      </c>
    </row>
    <row r="333">
      <c r="A333" t="inlineStr">
        <is>
          <t>packable throws</t>
        </is>
      </c>
      <c r="B333" s="4" t="n"/>
      <c r="C333" s="31" t="n">
        <v>0.41</v>
      </c>
      <c r="D333" s="31" t="n">
        <v>0</v>
      </c>
      <c r="E333" s="31" t="n">
        <v>0</v>
      </c>
      <c r="F333" s="31" t="n">
        <v>0</v>
      </c>
      <c r="G333" s="3" t="n">
        <v>2</v>
      </c>
      <c r="H333" s="3" t="n">
        <v>1</v>
      </c>
      <c r="I333" s="32" t="n">
        <v>0.5</v>
      </c>
      <c r="J333" s="3" t="n">
        <v>0</v>
      </c>
      <c r="K333" s="32" t="n">
        <v>0</v>
      </c>
      <c r="L333" s="32" t="n">
        <v>1</v>
      </c>
      <c r="M333" s="31" t="n">
        <v>0.41</v>
      </c>
      <c r="N333" s="3" t="inlineStr">
        <is>
          <t>Throws_Manual_Optiwise_24</t>
        </is>
      </c>
      <c r="O333" s="3" t="inlineStr">
        <is>
          <t>phrase</t>
        </is>
      </c>
      <c r="P333" s="4" t="n"/>
      <c r="Q333" s="4" t="n"/>
      <c r="R333" s="4" t="inlineStr">
        <is>
          <t>-</t>
        </is>
      </c>
      <c r="S333" s="4" t="n"/>
      <c r="T333" s="4" t="n">
        <v>0</v>
      </c>
      <c r="U333" s="4" t="n">
        <v>0</v>
      </c>
      <c r="V333" s="4" t="n"/>
    </row>
    <row r="334">
      <c r="A334" t="inlineStr">
        <is>
          <t>550413150</t>
        </is>
      </c>
      <c r="B334" s="4" t="n"/>
      <c r="C334" s="31" t="n">
        <v>0.41</v>
      </c>
      <c r="D334" s="31" t="n">
        <v>0</v>
      </c>
      <c r="E334" s="31" t="n">
        <v>0</v>
      </c>
      <c r="F334" s="31" t="n">
        <v>0</v>
      </c>
      <c r="G334" s="3" t="n">
        <v>4</v>
      </c>
      <c r="H334" s="3" t="n">
        <v>1</v>
      </c>
      <c r="I334" s="32" t="n">
        <v>0.25</v>
      </c>
      <c r="J334" s="3" t="n">
        <v>0</v>
      </c>
      <c r="K334" s="32" t="n">
        <v>0</v>
      </c>
      <c r="L334" s="32" t="n">
        <v>0</v>
      </c>
      <c r="M334" s="31" t="n">
        <v>0.41</v>
      </c>
      <c r="N334" s="3" t="inlineStr">
        <is>
          <t>Throws_Manual_Optiwise_24</t>
        </is>
      </c>
      <c r="O334" s="3" t="inlineStr">
        <is>
          <t>phrase</t>
        </is>
      </c>
      <c r="P334" s="4" t="n"/>
      <c r="Q334" s="4" t="n"/>
      <c r="R334" s="4" t="inlineStr">
        <is>
          <t>-</t>
        </is>
      </c>
      <c r="S334" s="4" t="n"/>
      <c r="T334" s="4" t="n">
        <v>0</v>
      </c>
      <c r="U334" s="4" t="n">
        <v>0</v>
      </c>
      <c r="V334" s="4" t="n"/>
    </row>
    <row r="335">
      <c r="A335" t="inlineStr">
        <is>
          <t>5413345304</t>
        </is>
      </c>
      <c r="B335" s="4" t="n"/>
      <c r="C335" s="31" t="n">
        <v>0.41</v>
      </c>
      <c r="D335" s="31" t="n">
        <v>0</v>
      </c>
      <c r="E335" s="31" t="n">
        <v>0</v>
      </c>
      <c r="F335" s="31" t="n">
        <v>0</v>
      </c>
      <c r="G335" s="3" t="n">
        <v>19</v>
      </c>
      <c r="H335" s="3" t="n">
        <v>1</v>
      </c>
      <c r="I335" s="32" t="n">
        <v>0.05</v>
      </c>
      <c r="J335" s="3" t="n">
        <v>0</v>
      </c>
      <c r="K335" s="32" t="n">
        <v>0</v>
      </c>
      <c r="L335" s="32" t="n">
        <v>0</v>
      </c>
      <c r="M335" s="31" t="n">
        <v>0.41</v>
      </c>
      <c r="N335" s="3" t="inlineStr">
        <is>
          <t>Throws_Manual_Optiwise_24</t>
        </is>
      </c>
      <c r="O335" s="3" t="inlineStr">
        <is>
          <t>phrase</t>
        </is>
      </c>
      <c r="P335" s="4" t="n"/>
      <c r="Q335" s="4" t="n"/>
      <c r="R335" s="4" t="inlineStr">
        <is>
          <t>-</t>
        </is>
      </c>
      <c r="S335" s="4" t="n"/>
      <c r="T335" s="4" t="n">
        <v>0</v>
      </c>
      <c r="U335" s="4" t="n">
        <v>0</v>
      </c>
      <c r="V335" s="4" t="n"/>
    </row>
    <row r="336">
      <c r="A336" t="inlineStr">
        <is>
          <t>outdoor boanket</t>
        </is>
      </c>
      <c r="B336" s="4" t="n">
        <v>10</v>
      </c>
      <c r="C336" s="31" t="n">
        <v>0.41</v>
      </c>
      <c r="D336" s="31" t="n">
        <v>0</v>
      </c>
      <c r="E336" s="31" t="n">
        <v>0</v>
      </c>
      <c r="F336" s="31" t="n">
        <v>0</v>
      </c>
      <c r="G336" s="3" t="n">
        <v>2</v>
      </c>
      <c r="H336" s="3" t="n">
        <v>1</v>
      </c>
      <c r="I336" s="32" t="n">
        <v>0.5</v>
      </c>
      <c r="J336" s="3" t="n">
        <v>0</v>
      </c>
      <c r="K336" s="32" t="n">
        <v>0</v>
      </c>
      <c r="L336" s="32" t="n">
        <v>0.3333</v>
      </c>
      <c r="M336" s="31" t="n">
        <v>0.41</v>
      </c>
      <c r="N336" s="3" t="inlineStr">
        <is>
          <t>Manual for Waterproof Outdoor BW--Rachel,Picnic Blankets &amp; Mats_Manual_Optiwise_24</t>
        </is>
      </c>
      <c r="O336" s="3" t="inlineStr">
        <is>
          <t>exact</t>
        </is>
      </c>
      <c r="P336" s="4" t="n"/>
      <c r="Q336" s="4" t="n"/>
      <c r="R336" s="4" t="inlineStr">
        <is>
          <t>-</t>
        </is>
      </c>
      <c r="S336" s="4" t="n"/>
      <c r="T336" s="4" t="n">
        <v>0</v>
      </c>
      <c r="U336" s="4" t="n">
        <v>0</v>
      </c>
      <c r="V336" s="4" t="n"/>
    </row>
    <row r="337">
      <c r="A337" t="inlineStr">
        <is>
          <t>squishmallow snuggle throw</t>
        </is>
      </c>
      <c r="B337" s="4" t="n"/>
      <c r="C337" s="31" t="n">
        <v>0.41</v>
      </c>
      <c r="D337" s="31" t="n">
        <v>0</v>
      </c>
      <c r="E337" s="31" t="n">
        <v>0</v>
      </c>
      <c r="F337" s="31" t="n">
        <v>0</v>
      </c>
      <c r="G337" s="3" t="n">
        <v>6</v>
      </c>
      <c r="H337" s="3" t="n">
        <v>1</v>
      </c>
      <c r="I337" s="32" t="n">
        <v>0.17</v>
      </c>
      <c r="J337" s="3" t="n">
        <v>0</v>
      </c>
      <c r="K337" s="32" t="n">
        <v>0</v>
      </c>
      <c r="L337" s="32" t="n">
        <v>0</v>
      </c>
      <c r="M337" s="31" t="n">
        <v>0.41</v>
      </c>
      <c r="N337" s="3" t="inlineStr">
        <is>
          <t>Throws_Manual_Optiwise_24</t>
        </is>
      </c>
      <c r="O337" s="3" t="inlineStr">
        <is>
          <t>phrase</t>
        </is>
      </c>
      <c r="P337" s="4" t="n"/>
      <c r="Q337" s="4" t="n"/>
      <c r="R337" s="4" t="inlineStr">
        <is>
          <t>-</t>
        </is>
      </c>
      <c r="S337" s="4" t="n"/>
      <c r="T337" s="4" t="n">
        <v>0</v>
      </c>
      <c r="U337" s="4" t="n">
        <v>0</v>
      </c>
      <c r="V337" s="4" t="n"/>
    </row>
    <row r="338">
      <c r="A338" t="inlineStr">
        <is>
          <t>throw over blankets adults</t>
        </is>
      </c>
      <c r="B338" s="4" t="n"/>
      <c r="C338" s="31" t="n">
        <v>0.41</v>
      </c>
      <c r="D338" s="31" t="n">
        <v>0</v>
      </c>
      <c r="E338" s="31" t="n">
        <v>0</v>
      </c>
      <c r="F338" s="31" t="n">
        <v>0</v>
      </c>
      <c r="G338" s="3" t="n">
        <v>2</v>
      </c>
      <c r="H338" s="3" t="n">
        <v>1</v>
      </c>
      <c r="I338" s="32" t="n">
        <v>0.5</v>
      </c>
      <c r="J338" s="3" t="n">
        <v>0</v>
      </c>
      <c r="K338" s="32" t="n">
        <v>0</v>
      </c>
      <c r="L338" s="32" t="n">
        <v>0</v>
      </c>
      <c r="M338" s="31" t="n">
        <v>0.41</v>
      </c>
      <c r="N338" s="3" t="inlineStr">
        <is>
          <t>Throws_Manual_Optiwise_24</t>
        </is>
      </c>
      <c r="O338" s="3" t="inlineStr">
        <is>
          <t>phrase</t>
        </is>
      </c>
      <c r="P338" s="4" t="n"/>
      <c r="Q338" s="4" t="n"/>
      <c r="R338" s="4" t="inlineStr">
        <is>
          <t>-</t>
        </is>
      </c>
      <c r="S338" s="4" t="n"/>
      <c r="T338" s="4" t="n">
        <v>0</v>
      </c>
      <c r="U338" s="4" t="n">
        <v>0</v>
      </c>
      <c r="V338" s="4" t="n"/>
    </row>
    <row r="339">
      <c r="A339" t="inlineStr">
        <is>
          <t>horse throw wearable</t>
        </is>
      </c>
      <c r="B339" s="4" t="n"/>
      <c r="C339" s="31" t="n">
        <v>0.41</v>
      </c>
      <c r="D339" s="31" t="n">
        <v>0</v>
      </c>
      <c r="E339" s="31" t="n">
        <v>0</v>
      </c>
      <c r="F339" s="31" t="n">
        <v>0</v>
      </c>
      <c r="G339" s="3" t="n">
        <v>3</v>
      </c>
      <c r="H339" s="3" t="n">
        <v>1</v>
      </c>
      <c r="I339" s="32" t="n">
        <v>0.33</v>
      </c>
      <c r="J339" s="3" t="n">
        <v>0</v>
      </c>
      <c r="K339" s="32" t="n">
        <v>0</v>
      </c>
      <c r="L339" s="32" t="n">
        <v>0</v>
      </c>
      <c r="M339" s="31" t="n">
        <v>0.41</v>
      </c>
      <c r="N339" s="3" t="inlineStr">
        <is>
          <t>Throws_Manual_Optiwise_24</t>
        </is>
      </c>
      <c r="O339" s="3" t="inlineStr">
        <is>
          <t>phrase</t>
        </is>
      </c>
      <c r="P339" s="4" t="n"/>
      <c r="Q339" s="4" t="n"/>
      <c r="R339" s="4" t="inlineStr">
        <is>
          <t>-</t>
        </is>
      </c>
      <c r="S339" s="4" t="n"/>
      <c r="T339" s="4" t="n">
        <v>0</v>
      </c>
      <c r="U339" s="4" t="n">
        <v>0</v>
      </c>
      <c r="V339" s="4" t="n"/>
    </row>
    <row r="340">
      <c r="A340" t="inlineStr">
        <is>
          <t>9574251059</t>
        </is>
      </c>
      <c r="B340" s="4" t="n"/>
      <c r="C340" s="31" t="n">
        <v>0.41</v>
      </c>
      <c r="D340" s="31" t="n">
        <v>0</v>
      </c>
      <c r="E340" s="31" t="n">
        <v>0</v>
      </c>
      <c r="F340" s="31" t="n">
        <v>0</v>
      </c>
      <c r="G340" s="3" t="n">
        <v>3</v>
      </c>
      <c r="H340" s="3" t="n">
        <v>1</v>
      </c>
      <c r="I340" s="32" t="n">
        <v>0.33</v>
      </c>
      <c r="J340" s="3" t="n">
        <v>0</v>
      </c>
      <c r="K340" s="32" t="n">
        <v>0</v>
      </c>
      <c r="L340" s="32" t="n">
        <v>0</v>
      </c>
      <c r="M340" s="31" t="n">
        <v>0.41</v>
      </c>
      <c r="N340" s="3" t="inlineStr">
        <is>
          <t>Picnic Blankets &amp; Mats_Manual_Optiwise_24</t>
        </is>
      </c>
      <c r="O340" s="3" t="inlineStr">
        <is>
          <t>exact</t>
        </is>
      </c>
      <c r="P340" s="4" t="n"/>
      <c r="Q340" s="4" t="n"/>
      <c r="R340" s="4" t="inlineStr">
        <is>
          <t>-</t>
        </is>
      </c>
      <c r="S340" s="4" t="n"/>
      <c r="T340" s="4" t="n">
        <v>0</v>
      </c>
      <c r="U340" s="4" t="n">
        <v>0</v>
      </c>
      <c r="V340" s="4" t="n"/>
    </row>
    <row r="341">
      <c r="A341" t="inlineStr">
        <is>
          <t>914697087</t>
        </is>
      </c>
      <c r="B341" s="4" t="n"/>
      <c r="C341" s="31" t="n">
        <v>0.41</v>
      </c>
      <c r="D341" s="31" t="n">
        <v>0</v>
      </c>
      <c r="E341" s="31" t="n">
        <v>0</v>
      </c>
      <c r="F341" s="31" t="n">
        <v>0</v>
      </c>
      <c r="G341" s="3" t="n">
        <v>17</v>
      </c>
      <c r="H341" s="3" t="n">
        <v>1</v>
      </c>
      <c r="I341" s="32" t="n">
        <v>0.06</v>
      </c>
      <c r="J341" s="3" t="n">
        <v>0</v>
      </c>
      <c r="K341" s="32" t="n">
        <v>0</v>
      </c>
      <c r="L341" s="32" t="n">
        <v>0</v>
      </c>
      <c r="M341" s="31" t="n">
        <v>0.41</v>
      </c>
      <c r="N341" s="3" t="inlineStr">
        <is>
          <t>Throws_Manual_Optiwise_24</t>
        </is>
      </c>
      <c r="O341" s="3" t="inlineStr">
        <is>
          <t>phrase</t>
        </is>
      </c>
      <c r="P341" s="4" t="n"/>
      <c r="Q341" s="4" t="n"/>
      <c r="R341" s="4" t="inlineStr">
        <is>
          <t>-</t>
        </is>
      </c>
      <c r="S341" s="4" t="n"/>
      <c r="T341" s="4" t="n">
        <v>0</v>
      </c>
      <c r="U341" s="4" t="n">
        <v>0</v>
      </c>
      <c r="V341" s="4" t="n"/>
    </row>
    <row r="342">
      <c r="A342" t="inlineStr">
        <is>
          <t>948118824</t>
        </is>
      </c>
      <c r="B342" s="4" t="n"/>
      <c r="C342" s="31" t="n">
        <v>0.41</v>
      </c>
      <c r="D342" s="31" t="n">
        <v>0</v>
      </c>
      <c r="E342" s="31" t="n">
        <v>0</v>
      </c>
      <c r="F342" s="31" t="n">
        <v>0</v>
      </c>
      <c r="G342" s="3" t="n">
        <v>7</v>
      </c>
      <c r="H342" s="3" t="n">
        <v>1</v>
      </c>
      <c r="I342" s="32" t="n">
        <v>0.14</v>
      </c>
      <c r="J342" s="3" t="n">
        <v>0</v>
      </c>
      <c r="K342" s="32" t="n">
        <v>0</v>
      </c>
      <c r="L342" s="32" t="n">
        <v>0</v>
      </c>
      <c r="M342" s="31" t="n">
        <v>0.41</v>
      </c>
      <c r="N342" s="3" t="inlineStr">
        <is>
          <t>Throws_Manual_Optiwise_24</t>
        </is>
      </c>
      <c r="O342" s="3" t="inlineStr">
        <is>
          <t>phrase</t>
        </is>
      </c>
      <c r="P342" s="4" t="n"/>
      <c r="Q342" s="4" t="n"/>
      <c r="R342" s="4" t="inlineStr">
        <is>
          <t>-</t>
        </is>
      </c>
      <c r="S342" s="4" t="n"/>
      <c r="T342" s="4" t="n">
        <v>0</v>
      </c>
      <c r="U342" s="4" t="n">
        <v>0</v>
      </c>
      <c r="V342" s="4" t="n"/>
    </row>
    <row r="343">
      <c r="A343" t="inlineStr">
        <is>
          <t>velour throw blanket</t>
        </is>
      </c>
      <c r="B343" s="4" t="n"/>
      <c r="C343" s="31" t="n">
        <v>0.41</v>
      </c>
      <c r="D343" s="31" t="n">
        <v>0</v>
      </c>
      <c r="E343" s="31" t="n">
        <v>0</v>
      </c>
      <c r="F343" s="31" t="n">
        <v>0</v>
      </c>
      <c r="G343" s="3" t="n">
        <v>3</v>
      </c>
      <c r="H343" s="3" t="n">
        <v>1</v>
      </c>
      <c r="I343" s="32" t="n">
        <v>0.33</v>
      </c>
      <c r="J343" s="3" t="n">
        <v>0</v>
      </c>
      <c r="K343" s="32" t="n">
        <v>0</v>
      </c>
      <c r="L343" s="32" t="n">
        <v>0</v>
      </c>
      <c r="M343" s="31" t="n">
        <v>0.41</v>
      </c>
      <c r="N343" s="3" t="inlineStr">
        <is>
          <t>Throws_Manual_Optiwise_24</t>
        </is>
      </c>
      <c r="O343" s="3" t="inlineStr">
        <is>
          <t>phrase</t>
        </is>
      </c>
      <c r="P343" s="4" t="n"/>
      <c r="Q343" s="4" t="n"/>
      <c r="R343" s="4" t="inlineStr">
        <is>
          <t>-</t>
        </is>
      </c>
      <c r="S343" s="4" t="n"/>
      <c r="T343" s="4" t="n">
        <v>0</v>
      </c>
      <c r="U343" s="4" t="n">
        <v>0</v>
      </c>
      <c r="V343" s="4" t="n"/>
    </row>
    <row r="344">
      <c r="A344" t="inlineStr">
        <is>
          <t>fleece throw blanket under $10</t>
        </is>
      </c>
      <c r="B344" s="4" t="n"/>
      <c r="C344" s="31" t="n">
        <v>0.41</v>
      </c>
      <c r="D344" s="31" t="n">
        <v>0</v>
      </c>
      <c r="E344" s="31" t="n">
        <v>0</v>
      </c>
      <c r="F344" s="31" t="n">
        <v>0</v>
      </c>
      <c r="G344" s="3" t="n">
        <v>29</v>
      </c>
      <c r="H344" s="3" t="n">
        <v>1</v>
      </c>
      <c r="I344" s="32" t="n">
        <v>0.03</v>
      </c>
      <c r="J344" s="3" t="n">
        <v>0</v>
      </c>
      <c r="K344" s="32" t="n">
        <v>0</v>
      </c>
      <c r="L344" s="32" t="n">
        <v>0</v>
      </c>
      <c r="M344" s="31" t="n">
        <v>0.41</v>
      </c>
      <c r="N344" s="3" t="inlineStr">
        <is>
          <t>Throws_Manual_Optiwise_24</t>
        </is>
      </c>
      <c r="O344" s="3" t="inlineStr">
        <is>
          <t>phrase</t>
        </is>
      </c>
      <c r="P344" s="4" t="n"/>
      <c r="Q344" s="4" t="n"/>
      <c r="R344" s="4" t="inlineStr">
        <is>
          <t>-</t>
        </is>
      </c>
      <c r="S344" s="4" t="n"/>
      <c r="T344" s="4" t="n">
        <v>0</v>
      </c>
      <c r="U344" s="4" t="n">
        <v>0</v>
      </c>
      <c r="V344" s="4" t="n"/>
    </row>
    <row r="345">
      <c r="A345" t="inlineStr">
        <is>
          <t>50018315</t>
        </is>
      </c>
      <c r="B345" s="4" t="n"/>
      <c r="C345" s="31" t="n">
        <v>0.41</v>
      </c>
      <c r="D345" s="31" t="n">
        <v>0</v>
      </c>
      <c r="E345" s="31" t="n">
        <v>0</v>
      </c>
      <c r="F345" s="31" t="n">
        <v>0</v>
      </c>
      <c r="G345" s="3" t="n">
        <v>5</v>
      </c>
      <c r="H345" s="3" t="n">
        <v>1</v>
      </c>
      <c r="I345" s="32" t="n">
        <v>0.2</v>
      </c>
      <c r="J345" s="3" t="n">
        <v>0</v>
      </c>
      <c r="K345" s="32" t="n">
        <v>0</v>
      </c>
      <c r="L345" s="32" t="n">
        <v>0</v>
      </c>
      <c r="M345" s="31" t="n">
        <v>0.41</v>
      </c>
      <c r="N345" s="3" t="inlineStr">
        <is>
          <t>Throws_Manual_Optiwise_24</t>
        </is>
      </c>
      <c r="O345" s="3" t="inlineStr">
        <is>
          <t>phrase</t>
        </is>
      </c>
      <c r="P345" s="4" t="n"/>
      <c r="Q345" s="4" t="n"/>
      <c r="R345" s="4" t="inlineStr">
        <is>
          <t>-</t>
        </is>
      </c>
      <c r="S345" s="4" t="n"/>
      <c r="T345" s="4" t="n">
        <v>0</v>
      </c>
      <c r="U345" s="4" t="n">
        <v>0</v>
      </c>
      <c r="V345" s="4" t="n"/>
    </row>
    <row r="346">
      <c r="A346" t="inlineStr">
        <is>
          <t>1198900426</t>
        </is>
      </c>
      <c r="B346" s="4" t="n"/>
      <c r="C346" s="31" t="n">
        <v>0.41</v>
      </c>
      <c r="D346" s="31" t="n">
        <v>0</v>
      </c>
      <c r="E346" s="31" t="n">
        <v>0</v>
      </c>
      <c r="F346" s="31" t="n">
        <v>0</v>
      </c>
      <c r="G346" s="3" t="n">
        <v>16</v>
      </c>
      <c r="H346" s="3" t="n">
        <v>1</v>
      </c>
      <c r="I346" s="32" t="n">
        <v>0.06</v>
      </c>
      <c r="J346" s="3" t="n">
        <v>0</v>
      </c>
      <c r="K346" s="32" t="n">
        <v>0</v>
      </c>
      <c r="L346" s="32" t="n">
        <v>0</v>
      </c>
      <c r="M346" s="31" t="n">
        <v>0.41</v>
      </c>
      <c r="N346" s="3" t="inlineStr">
        <is>
          <t>Throws_Manual_Optiwise_24</t>
        </is>
      </c>
      <c r="O346" s="3" t="inlineStr">
        <is>
          <t>phrase</t>
        </is>
      </c>
      <c r="P346" s="4" t="n"/>
      <c r="Q346" s="4" t="n"/>
      <c r="R346" s="4" t="inlineStr">
        <is>
          <t>-</t>
        </is>
      </c>
      <c r="S346" s="4" t="n"/>
      <c r="T346" s="4" t="n">
        <v>0</v>
      </c>
      <c r="U346" s="4" t="n">
        <v>0</v>
      </c>
      <c r="V346" s="4" t="n"/>
    </row>
    <row r="347">
      <c r="A347" t="inlineStr">
        <is>
          <t>14527563671</t>
        </is>
      </c>
      <c r="B347" s="4" t="n"/>
      <c r="C347" s="31" t="n">
        <v>0.41</v>
      </c>
      <c r="D347" s="31" t="n">
        <v>0</v>
      </c>
      <c r="E347" s="31" t="n">
        <v>0</v>
      </c>
      <c r="F347" s="31" t="n">
        <v>0</v>
      </c>
      <c r="G347" s="3" t="n">
        <v>0</v>
      </c>
      <c r="H347" s="3" t="n">
        <v>1</v>
      </c>
      <c r="I347" s="32" t="n">
        <v>0</v>
      </c>
      <c r="J347" s="3" t="n">
        <v>0</v>
      </c>
      <c r="K347" s="32" t="n">
        <v>0</v>
      </c>
      <c r="L347" s="32" t="n">
        <v>0</v>
      </c>
      <c r="M347" s="31" t="n">
        <v>0.41</v>
      </c>
      <c r="N347" s="3" t="inlineStr">
        <is>
          <t>Throws_Manual_Optiwise_24</t>
        </is>
      </c>
      <c r="O347" s="3" t="inlineStr">
        <is>
          <t>phrase</t>
        </is>
      </c>
      <c r="P347" s="4" t="n"/>
      <c r="Q347" s="4" t="n"/>
      <c r="R347" s="4" t="inlineStr">
        <is>
          <t>-</t>
        </is>
      </c>
      <c r="S347" s="4" t="n"/>
      <c r="T347" s="4" t="n">
        <v>0</v>
      </c>
      <c r="U347" s="4" t="n">
        <v>0</v>
      </c>
      <c r="V347" s="4" t="n"/>
    </row>
    <row r="348">
      <c r="A348" t="inlineStr">
        <is>
          <t>koolaburra by uggwinter throw blankets fleece</t>
        </is>
      </c>
      <c r="B348" s="4" t="n"/>
      <c r="C348" s="31" t="n">
        <v>0.41</v>
      </c>
      <c r="D348" s="31" t="n">
        <v>0</v>
      </c>
      <c r="E348" s="31" t="n">
        <v>0</v>
      </c>
      <c r="F348" s="31" t="n">
        <v>0</v>
      </c>
      <c r="G348" s="3" t="n">
        <v>6</v>
      </c>
      <c r="H348" s="3" t="n">
        <v>1</v>
      </c>
      <c r="I348" s="32" t="n">
        <v>0.17</v>
      </c>
      <c r="J348" s="3" t="n">
        <v>0</v>
      </c>
      <c r="K348" s="32" t="n">
        <v>0</v>
      </c>
      <c r="L348" s="32" t="n">
        <v>0</v>
      </c>
      <c r="M348" s="31" t="n">
        <v>0.41</v>
      </c>
      <c r="N348" s="3" t="inlineStr">
        <is>
          <t>Throws_Manual_Optiwise_24</t>
        </is>
      </c>
      <c r="O348" s="3" t="inlineStr">
        <is>
          <t>phrase</t>
        </is>
      </c>
      <c r="P348" s="4" t="n"/>
      <c r="Q348" s="4" t="n"/>
      <c r="R348" s="4" t="inlineStr">
        <is>
          <t>-</t>
        </is>
      </c>
      <c r="S348" s="4" t="n"/>
      <c r="T348" s="4" t="n">
        <v>0</v>
      </c>
      <c r="U348" s="4" t="n">
        <v>0</v>
      </c>
      <c r="V348" s="4" t="n"/>
    </row>
    <row r="349">
      <c r="A349" t="inlineStr">
        <is>
          <t>a lap throw</t>
        </is>
      </c>
      <c r="B349" s="4" t="n"/>
      <c r="C349" s="31" t="n">
        <v>0.41</v>
      </c>
      <c r="D349" s="31" t="n">
        <v>0</v>
      </c>
      <c r="E349" s="31" t="n">
        <v>0</v>
      </c>
      <c r="F349" s="31" t="n">
        <v>0</v>
      </c>
      <c r="G349" s="3" t="n">
        <v>3</v>
      </c>
      <c r="H349" s="3" t="n">
        <v>1</v>
      </c>
      <c r="I349" s="32" t="n">
        <v>0.33</v>
      </c>
      <c r="J349" s="3" t="n">
        <v>0</v>
      </c>
      <c r="K349" s="32" t="n">
        <v>0</v>
      </c>
      <c r="L349" s="32" t="n">
        <v>0</v>
      </c>
      <c r="M349" s="31" t="n">
        <v>0.41</v>
      </c>
      <c r="N349" s="3" t="inlineStr">
        <is>
          <t>Throws_Manual_Optiwise_24</t>
        </is>
      </c>
      <c r="O349" s="3" t="inlineStr">
        <is>
          <t>phrase</t>
        </is>
      </c>
      <c r="P349" s="4" t="n"/>
      <c r="Q349" s="4" t="n"/>
      <c r="R349" s="4" t="inlineStr">
        <is>
          <t>-</t>
        </is>
      </c>
      <c r="S349" s="4" t="n"/>
      <c r="T349" s="4" t="n">
        <v>0</v>
      </c>
      <c r="U349" s="4" t="n">
        <v>0</v>
      </c>
      <c r="V349" s="4" t="n"/>
    </row>
    <row r="350">
      <c r="A350" t="inlineStr">
        <is>
          <t>throw blanket cheap</t>
        </is>
      </c>
      <c r="B350" s="4" t="n"/>
      <c r="C350" s="31" t="n">
        <v>0.41</v>
      </c>
      <c r="D350" s="31" t="n">
        <v>0</v>
      </c>
      <c r="E350" s="31" t="n">
        <v>0</v>
      </c>
      <c r="F350" s="31" t="n">
        <v>0</v>
      </c>
      <c r="G350" s="3" t="n">
        <v>5</v>
      </c>
      <c r="H350" s="3" t="n">
        <v>1</v>
      </c>
      <c r="I350" s="32" t="n">
        <v>0.2</v>
      </c>
      <c r="J350" s="3" t="n">
        <v>0</v>
      </c>
      <c r="K350" s="32" t="n">
        <v>0</v>
      </c>
      <c r="L350" s="32" t="n">
        <v>0</v>
      </c>
      <c r="M350" s="31" t="n">
        <v>0.41</v>
      </c>
      <c r="N350" s="3" t="inlineStr">
        <is>
          <t>Throws_Manual_Optiwise_24</t>
        </is>
      </c>
      <c r="O350" s="3" t="inlineStr">
        <is>
          <t>phrase</t>
        </is>
      </c>
      <c r="P350" s="4" t="n"/>
      <c r="Q350" s="4" t="n"/>
      <c r="R350" s="4" t="inlineStr">
        <is>
          <t>-</t>
        </is>
      </c>
      <c r="S350" s="4" t="n"/>
      <c r="T350" s="4" t="n">
        <v>0</v>
      </c>
      <c r="U350" s="4" t="n">
        <v>0</v>
      </c>
      <c r="V350" s="4" t="n"/>
    </row>
    <row r="351">
      <c r="A351" t="inlineStr">
        <is>
          <t>bed throw</t>
        </is>
      </c>
      <c r="B351" s="4" t="n"/>
      <c r="C351" s="31" t="n">
        <v>0.41</v>
      </c>
      <c r="D351" s="31" t="n">
        <v>0</v>
      </c>
      <c r="E351" s="31" t="n">
        <v>0</v>
      </c>
      <c r="F351" s="31" t="n">
        <v>0</v>
      </c>
      <c r="G351" s="3" t="n">
        <v>2</v>
      </c>
      <c r="H351" s="3" t="n">
        <v>1</v>
      </c>
      <c r="I351" s="32" t="n">
        <v>0.5</v>
      </c>
      <c r="J351" s="3" t="n">
        <v>0</v>
      </c>
      <c r="K351" s="32" t="n">
        <v>0</v>
      </c>
      <c r="L351" s="32" t="n">
        <v>0</v>
      </c>
      <c r="M351" s="31" t="n">
        <v>0.41</v>
      </c>
      <c r="N351" s="3" t="inlineStr">
        <is>
          <t>Throws_Manual_Optiwise_24</t>
        </is>
      </c>
      <c r="O351" s="3" t="inlineStr">
        <is>
          <t>phrase</t>
        </is>
      </c>
      <c r="P351" s="4" t="n"/>
      <c r="Q351" s="4" t="n"/>
      <c r="R351" s="4" t="inlineStr">
        <is>
          <t>-</t>
        </is>
      </c>
      <c r="S351" s="4" t="n"/>
      <c r="T351" s="4" t="n">
        <v>0</v>
      </c>
      <c r="U351" s="4" t="n">
        <v>0</v>
      </c>
      <c r="V351" s="4" t="n"/>
    </row>
    <row r="352">
      <c r="A352" t="inlineStr">
        <is>
          <t>463467962</t>
        </is>
      </c>
      <c r="B352" s="4" t="n"/>
      <c r="C352" s="31" t="n">
        <v>0.41</v>
      </c>
      <c r="D352" s="31" t="n">
        <v>0</v>
      </c>
      <c r="E352" s="31" t="n">
        <v>0</v>
      </c>
      <c r="F352" s="31" t="n">
        <v>0</v>
      </c>
      <c r="G352" s="3" t="n">
        <v>4</v>
      </c>
      <c r="H352" s="3" t="n">
        <v>1</v>
      </c>
      <c r="I352" s="32" t="n">
        <v>0.25</v>
      </c>
      <c r="J352" s="3" t="n">
        <v>0</v>
      </c>
      <c r="K352" s="32" t="n">
        <v>0</v>
      </c>
      <c r="L352" s="32" t="n">
        <v>0</v>
      </c>
      <c r="M352" s="31" t="n">
        <v>0.41</v>
      </c>
      <c r="N352" s="3" t="inlineStr">
        <is>
          <t>Throws_Manual_Optiwise_24</t>
        </is>
      </c>
      <c r="O352" s="3" t="inlineStr">
        <is>
          <t>phrase</t>
        </is>
      </c>
      <c r="P352" s="4" t="n"/>
      <c r="Q352" s="4" t="n"/>
      <c r="R352" s="4" t="inlineStr">
        <is>
          <t>-</t>
        </is>
      </c>
      <c r="S352" s="4" t="n"/>
      <c r="T352" s="4" t="n">
        <v>0</v>
      </c>
      <c r="U352" s="4" t="n">
        <v>0</v>
      </c>
      <c r="V352" s="4" t="n"/>
    </row>
    <row r="353">
      <c r="A353" t="inlineStr">
        <is>
          <t>bed throw blanket</t>
        </is>
      </c>
      <c r="B353" s="4" t="n"/>
      <c r="C353" s="31" t="n">
        <v>0.41</v>
      </c>
      <c r="D353" s="31" t="n">
        <v>0</v>
      </c>
      <c r="E353" s="31" t="n">
        <v>0</v>
      </c>
      <c r="F353" s="31" t="n">
        <v>0</v>
      </c>
      <c r="G353" s="3" t="n">
        <v>9</v>
      </c>
      <c r="H353" s="3" t="n">
        <v>1</v>
      </c>
      <c r="I353" s="32" t="n">
        <v>0.11</v>
      </c>
      <c r="J353" s="3" t="n">
        <v>0</v>
      </c>
      <c r="K353" s="32" t="n">
        <v>0</v>
      </c>
      <c r="L353" s="32" t="n">
        <v>0</v>
      </c>
      <c r="M353" s="31" t="n">
        <v>0.41</v>
      </c>
      <c r="N353" s="3" t="inlineStr">
        <is>
          <t>Throws_Manual_Optiwise_24</t>
        </is>
      </c>
      <c r="O353" s="3" t="inlineStr">
        <is>
          <t>phrase</t>
        </is>
      </c>
      <c r="P353" s="4" t="n"/>
      <c r="Q353" s="4" t="n"/>
      <c r="R353" s="4" t="inlineStr">
        <is>
          <t>-</t>
        </is>
      </c>
      <c r="S353" s="4" t="n"/>
      <c r="T353" s="4" t="n">
        <v>0</v>
      </c>
      <c r="U353" s="4" t="n">
        <v>0</v>
      </c>
      <c r="V353" s="4" t="n"/>
    </row>
    <row r="354">
      <c r="A354" t="inlineStr">
        <is>
          <t>894696652</t>
        </is>
      </c>
      <c r="B354" s="4" t="n"/>
      <c r="C354" s="31" t="n">
        <v>0.41</v>
      </c>
      <c r="D354" s="31" t="n">
        <v>0</v>
      </c>
      <c r="E354" s="31" t="n">
        <v>0</v>
      </c>
      <c r="F354" s="31" t="n">
        <v>0</v>
      </c>
      <c r="G354" s="3" t="n">
        <v>1</v>
      </c>
      <c r="H354" s="3" t="n">
        <v>1</v>
      </c>
      <c r="I354" s="32" t="n">
        <v>1</v>
      </c>
      <c r="J354" s="3" t="n">
        <v>0</v>
      </c>
      <c r="K354" s="32" t="n">
        <v>0</v>
      </c>
      <c r="L354" s="32" t="n">
        <v>0</v>
      </c>
      <c r="M354" s="31" t="n">
        <v>0.41</v>
      </c>
      <c r="N354" s="3" t="inlineStr">
        <is>
          <t>Throws_Manual_Optiwise_24</t>
        </is>
      </c>
      <c r="O354" s="3" t="inlineStr">
        <is>
          <t>phrase</t>
        </is>
      </c>
      <c r="P354" s="4" t="n"/>
      <c r="Q354" s="4" t="n"/>
      <c r="R354" s="4" t="inlineStr">
        <is>
          <t>-</t>
        </is>
      </c>
      <c r="S354" s="4" t="n"/>
      <c r="T354" s="4" t="n">
        <v>0</v>
      </c>
      <c r="U354" s="4" t="n">
        <v>0</v>
      </c>
      <c r="V354" s="4" t="n"/>
    </row>
    <row r="355">
      <c r="A355" t="inlineStr">
        <is>
          <t>kids silky soft plush throw</t>
        </is>
      </c>
      <c r="B355" s="4" t="n"/>
      <c r="C355" s="31" t="n">
        <v>0.41</v>
      </c>
      <c r="D355" s="31" t="n">
        <v>0</v>
      </c>
      <c r="E355" s="31" t="n">
        <v>0</v>
      </c>
      <c r="F355" s="31" t="n">
        <v>0</v>
      </c>
      <c r="G355" s="3" t="n">
        <v>3</v>
      </c>
      <c r="H355" s="3" t="n">
        <v>1</v>
      </c>
      <c r="I355" s="32" t="n">
        <v>0.33</v>
      </c>
      <c r="J355" s="3" t="n">
        <v>0</v>
      </c>
      <c r="K355" s="32" t="n">
        <v>0</v>
      </c>
      <c r="L355" s="32" t="n">
        <v>0</v>
      </c>
      <c r="M355" s="31" t="n">
        <v>0.41</v>
      </c>
      <c r="N355" s="3" t="inlineStr">
        <is>
          <t>Throws_Manual_Optiwise_24</t>
        </is>
      </c>
      <c r="O355" s="3" t="inlineStr">
        <is>
          <t>phrase</t>
        </is>
      </c>
      <c r="P355" s="4" t="n"/>
      <c r="Q355" s="4" t="n"/>
      <c r="R355" s="4" t="inlineStr">
        <is>
          <t>-</t>
        </is>
      </c>
      <c r="S355" s="4" t="n"/>
      <c r="T355" s="4" t="n">
        <v>0</v>
      </c>
      <c r="U355" s="4" t="n">
        <v>0</v>
      </c>
      <c r="V355" s="4" t="n"/>
    </row>
    <row r="356">
      <c r="A356" t="inlineStr">
        <is>
          <t>daybed throw cover</t>
        </is>
      </c>
      <c r="B356" s="4" t="n"/>
      <c r="C356" s="31" t="n">
        <v>0.41</v>
      </c>
      <c r="D356" s="31" t="n">
        <v>0</v>
      </c>
      <c r="E356" s="31" t="n">
        <v>0</v>
      </c>
      <c r="F356" s="31" t="n">
        <v>0</v>
      </c>
      <c r="G356" s="3" t="n">
        <v>25</v>
      </c>
      <c r="H356" s="3" t="n">
        <v>1</v>
      </c>
      <c r="I356" s="32" t="n">
        <v>0.04</v>
      </c>
      <c r="J356" s="3" t="n">
        <v>0</v>
      </c>
      <c r="K356" s="32" t="n">
        <v>0</v>
      </c>
      <c r="L356" s="32" t="n">
        <v>0</v>
      </c>
      <c r="M356" s="31" t="n">
        <v>0.41</v>
      </c>
      <c r="N356" s="3" t="inlineStr">
        <is>
          <t>Throws_Manual_Optiwise_24</t>
        </is>
      </c>
      <c r="O356" s="3" t="inlineStr">
        <is>
          <t>phrase</t>
        </is>
      </c>
      <c r="P356" s="4" t="n"/>
      <c r="Q356" s="4" t="n"/>
      <c r="R356" s="4" t="inlineStr">
        <is>
          <t>-</t>
        </is>
      </c>
      <c r="S356" s="4" t="n"/>
      <c r="T356" s="4" t="n">
        <v>0</v>
      </c>
      <c r="U356" s="4" t="n">
        <v>0</v>
      </c>
      <c r="V356" s="4" t="n"/>
    </row>
    <row r="357">
      <c r="A357" t="inlineStr">
        <is>
          <t>fitted throw robe wrap plush</t>
        </is>
      </c>
      <c r="B357" s="4" t="n"/>
      <c r="C357" s="31" t="n">
        <v>0.41</v>
      </c>
      <c r="D357" s="31" t="n">
        <v>0</v>
      </c>
      <c r="E357" s="31" t="n">
        <v>0</v>
      </c>
      <c r="F357" s="31" t="n">
        <v>0</v>
      </c>
      <c r="G357" s="3" t="n">
        <v>20</v>
      </c>
      <c r="H357" s="3" t="n">
        <v>1</v>
      </c>
      <c r="I357" s="32" t="n">
        <v>0.05</v>
      </c>
      <c r="J357" s="3" t="n">
        <v>0</v>
      </c>
      <c r="K357" s="32" t="n">
        <v>0</v>
      </c>
      <c r="L357" s="32" t="n">
        <v>0</v>
      </c>
      <c r="M357" s="31" t="n">
        <v>0.41</v>
      </c>
      <c r="N357" s="3" t="inlineStr">
        <is>
          <t>Throws_Manual_Optiwise_24</t>
        </is>
      </c>
      <c r="O357" s="3" t="inlineStr">
        <is>
          <t>phrase</t>
        </is>
      </c>
      <c r="P357" s="4" t="n"/>
      <c r="Q357" s="4" t="n"/>
      <c r="R357" s="4" t="inlineStr">
        <is>
          <t>-</t>
        </is>
      </c>
      <c r="S357" s="4" t="n"/>
      <c r="T357" s="4" t="n">
        <v>0</v>
      </c>
      <c r="U357" s="4" t="n">
        <v>0</v>
      </c>
      <c r="V357" s="4" t="n"/>
    </row>
    <row r="358">
      <c r="A358" t="inlineStr">
        <is>
          <t>throw blanket adult</t>
        </is>
      </c>
      <c r="B358" s="4" t="n"/>
      <c r="C358" s="31" t="n">
        <v>0.41</v>
      </c>
      <c r="D358" s="31" t="n">
        <v>0</v>
      </c>
      <c r="E358" s="31" t="n">
        <v>0</v>
      </c>
      <c r="F358" s="31" t="n">
        <v>0</v>
      </c>
      <c r="G358" s="3" t="n">
        <v>2</v>
      </c>
      <c r="H358" s="3" t="n">
        <v>1</v>
      </c>
      <c r="I358" s="32" t="n">
        <v>0.5</v>
      </c>
      <c r="J358" s="3" t="n">
        <v>0</v>
      </c>
      <c r="K358" s="32" t="n">
        <v>0</v>
      </c>
      <c r="L358" s="32" t="n">
        <v>0</v>
      </c>
      <c r="M358" s="31" t="n">
        <v>0.41</v>
      </c>
      <c r="N358" s="3" t="inlineStr">
        <is>
          <t>Throws_Manual_Optiwise_24</t>
        </is>
      </c>
      <c r="O358" s="3" t="inlineStr">
        <is>
          <t>phrase</t>
        </is>
      </c>
      <c r="P358" s="4" t="n"/>
      <c r="Q358" s="4" t="n"/>
      <c r="R358" s="4" t="inlineStr">
        <is>
          <t>-</t>
        </is>
      </c>
      <c r="S358" s="4" t="n"/>
      <c r="T358" s="4" t="n">
        <v>0</v>
      </c>
      <c r="U358" s="4" t="n">
        <v>0</v>
      </c>
      <c r="V358" s="4" t="n"/>
    </row>
    <row r="359">
      <c r="A359" t="inlineStr">
        <is>
          <t>police throw blankets and electric fleece throw blankets</t>
        </is>
      </c>
      <c r="B359" s="4" t="n"/>
      <c r="C359" s="31" t="n">
        <v>0.41</v>
      </c>
      <c r="D359" s="31" t="n">
        <v>0</v>
      </c>
      <c r="E359" s="31" t="n">
        <v>0</v>
      </c>
      <c r="F359" s="31" t="n">
        <v>0</v>
      </c>
      <c r="G359" s="3" t="n">
        <v>5</v>
      </c>
      <c r="H359" s="3" t="n">
        <v>1</v>
      </c>
      <c r="I359" s="32" t="n">
        <v>0.2</v>
      </c>
      <c r="J359" s="3" t="n">
        <v>0</v>
      </c>
      <c r="K359" s="32" t="n">
        <v>0</v>
      </c>
      <c r="L359" s="32" t="n">
        <v>0</v>
      </c>
      <c r="M359" s="31" t="n">
        <v>0.41</v>
      </c>
      <c r="N359" s="3" t="inlineStr">
        <is>
          <t>Throws_Manual_Optiwise_24</t>
        </is>
      </c>
      <c r="O359" s="3" t="inlineStr">
        <is>
          <t>phrase</t>
        </is>
      </c>
      <c r="P359" s="4" t="n"/>
      <c r="Q359" s="4" t="n"/>
      <c r="R359" s="4" t="inlineStr">
        <is>
          <t>-</t>
        </is>
      </c>
      <c r="S359" s="4" t="n"/>
      <c r="T359" s="4" t="n">
        <v>0</v>
      </c>
      <c r="U359" s="4" t="n">
        <v>0</v>
      </c>
      <c r="V359" s="4" t="n"/>
    </row>
    <row r="360">
      <c r="A360" t="inlineStr">
        <is>
          <t>plush throw covers blankets</t>
        </is>
      </c>
      <c r="B360" s="4" t="n"/>
      <c r="C360" s="31" t="n">
        <v>0.41</v>
      </c>
      <c r="D360" s="31" t="n">
        <v>0</v>
      </c>
      <c r="E360" s="31" t="n">
        <v>0</v>
      </c>
      <c r="F360" s="31" t="n">
        <v>0</v>
      </c>
      <c r="G360" s="3" t="n">
        <v>1</v>
      </c>
      <c r="H360" s="3" t="n">
        <v>1</v>
      </c>
      <c r="I360" s="32" t="n">
        <v>1</v>
      </c>
      <c r="J360" s="3" t="n">
        <v>0</v>
      </c>
      <c r="K360" s="32" t="n">
        <v>0</v>
      </c>
      <c r="L360" s="32" t="n">
        <v>0</v>
      </c>
      <c r="M360" s="31" t="n">
        <v>0.41</v>
      </c>
      <c r="N360" s="3" t="inlineStr">
        <is>
          <t>Throws_Manual_Optiwise_24</t>
        </is>
      </c>
      <c r="O360" s="3" t="inlineStr">
        <is>
          <t>phrase</t>
        </is>
      </c>
      <c r="P360" s="4" t="n"/>
      <c r="Q360" s="4" t="n"/>
      <c r="R360" s="4" t="inlineStr">
        <is>
          <t>-</t>
        </is>
      </c>
      <c r="S360" s="4" t="n"/>
      <c r="T360" s="4" t="n">
        <v>0</v>
      </c>
      <c r="U360" s="4" t="n">
        <v>0</v>
      </c>
      <c r="V360" s="4" t="n"/>
    </row>
    <row r="361">
      <c r="A361" t="inlineStr">
        <is>
          <t>fussy throw blankets</t>
        </is>
      </c>
      <c r="B361" s="4" t="n"/>
      <c r="C361" s="31" t="n">
        <v>0.41</v>
      </c>
      <c r="D361" s="31" t="n">
        <v>0</v>
      </c>
      <c r="E361" s="31" t="n">
        <v>0</v>
      </c>
      <c r="F361" s="31" t="n">
        <v>0</v>
      </c>
      <c r="G361" s="3" t="n">
        <v>1</v>
      </c>
      <c r="H361" s="3" t="n">
        <v>1</v>
      </c>
      <c r="I361" s="32" t="n">
        <v>1</v>
      </c>
      <c r="J361" s="3" t="n">
        <v>0</v>
      </c>
      <c r="K361" s="32" t="n">
        <v>0</v>
      </c>
      <c r="L361" s="32" t="n">
        <v>0</v>
      </c>
      <c r="M361" s="31" t="n">
        <v>0.41</v>
      </c>
      <c r="N361" s="3" t="inlineStr">
        <is>
          <t>Throws_Manual_Optiwise_24</t>
        </is>
      </c>
      <c r="O361" s="3" t="inlineStr">
        <is>
          <t>phrase</t>
        </is>
      </c>
      <c r="P361" s="4" t="n"/>
      <c r="Q361" s="4" t="n"/>
      <c r="R361" s="4" t="inlineStr">
        <is>
          <t>-</t>
        </is>
      </c>
      <c r="S361" s="4" t="n"/>
      <c r="T361" s="4" t="n">
        <v>0</v>
      </c>
      <c r="U361" s="4" t="n">
        <v>0</v>
      </c>
      <c r="V361" s="4" t="n"/>
    </row>
    <row r="362">
      <c r="A362" t="inlineStr">
        <is>
          <t>10479473219</t>
        </is>
      </c>
      <c r="B362" s="4" t="n"/>
      <c r="C362" s="31" t="n">
        <v>0.41</v>
      </c>
      <c r="D362" s="31" t="n">
        <v>0</v>
      </c>
      <c r="E362" s="31" t="n">
        <v>0</v>
      </c>
      <c r="F362" s="31" t="n">
        <v>0</v>
      </c>
      <c r="G362" s="3" t="n">
        <v>3</v>
      </c>
      <c r="H362" s="3" t="n">
        <v>1</v>
      </c>
      <c r="I362" s="32" t="n">
        <v>0.33</v>
      </c>
      <c r="J362" s="3" t="n">
        <v>0</v>
      </c>
      <c r="K362" s="32" t="n">
        <v>0</v>
      </c>
      <c r="L362" s="32" t="n">
        <v>0</v>
      </c>
      <c r="M362" s="31" t="n">
        <v>0.41</v>
      </c>
      <c r="N362" s="3" t="inlineStr">
        <is>
          <t>Throws_Manual_Optiwise_24</t>
        </is>
      </c>
      <c r="O362" s="3" t="inlineStr">
        <is>
          <t>phrase</t>
        </is>
      </c>
      <c r="P362" s="4" t="n"/>
      <c r="Q362" s="4" t="n"/>
      <c r="R362" s="4" t="inlineStr">
        <is>
          <t>-</t>
        </is>
      </c>
      <c r="S362" s="4" t="n"/>
      <c r="T362" s="4" t="n">
        <v>0</v>
      </c>
      <c r="U362" s="4" t="n">
        <v>0</v>
      </c>
      <c r="V362" s="4" t="n"/>
    </row>
    <row r="363">
      <c r="A363" t="inlineStr">
        <is>
          <t>down throws 60 x 80 in</t>
        </is>
      </c>
      <c r="B363" s="4" t="n">
        <v>20</v>
      </c>
      <c r="C363" s="31" t="n">
        <v>0.41</v>
      </c>
      <c r="D363" s="31" t="n">
        <v>0</v>
      </c>
      <c r="E363" s="31" t="n">
        <v>0</v>
      </c>
      <c r="F363" s="31" t="n">
        <v>0</v>
      </c>
      <c r="G363" s="3" t="n">
        <v>3</v>
      </c>
      <c r="H363" s="3" t="n">
        <v>1</v>
      </c>
      <c r="I363" s="32" t="n">
        <v>0.33</v>
      </c>
      <c r="J363" s="3" t="n">
        <v>0</v>
      </c>
      <c r="K363" s="32" t="n">
        <v>0</v>
      </c>
      <c r="L363" s="32" t="n">
        <v>1</v>
      </c>
      <c r="M363" s="31" t="n">
        <v>0.41</v>
      </c>
      <c r="N363" s="3" t="inlineStr">
        <is>
          <t>Throws_Manual_Optiwise_24</t>
        </is>
      </c>
      <c r="O363" s="3" t="inlineStr">
        <is>
          <t>phrase</t>
        </is>
      </c>
      <c r="P363" s="4" t="n"/>
      <c r="Q363" s="4" t="n"/>
      <c r="R363" s="4" t="inlineStr">
        <is>
          <t>-</t>
        </is>
      </c>
      <c r="S363" s="4" t="n"/>
      <c r="T363" s="4" t="n">
        <v>0</v>
      </c>
      <c r="U363" s="4" t="n">
        <v>0</v>
      </c>
      <c r="V363" s="4" t="n"/>
    </row>
    <row r="364">
      <c r="A364" t="inlineStr">
        <is>
          <t>sherpa rainbow throw blanket</t>
        </is>
      </c>
      <c r="B364" s="4" t="n"/>
      <c r="C364" s="31" t="n">
        <v>0.41</v>
      </c>
      <c r="D364" s="31" t="n">
        <v>0</v>
      </c>
      <c r="E364" s="31" t="n">
        <v>0</v>
      </c>
      <c r="F364" s="31" t="n">
        <v>0</v>
      </c>
      <c r="G364" s="3" t="n">
        <v>9</v>
      </c>
      <c r="H364" s="3" t="n">
        <v>1</v>
      </c>
      <c r="I364" s="32" t="n">
        <v>0.11</v>
      </c>
      <c r="J364" s="3" t="n">
        <v>0</v>
      </c>
      <c r="K364" s="32" t="n">
        <v>0</v>
      </c>
      <c r="L364" s="32" t="n">
        <v>0</v>
      </c>
      <c r="M364" s="31" t="n">
        <v>0.41</v>
      </c>
      <c r="N364" s="3" t="inlineStr">
        <is>
          <t>Throws_Manual_Optiwise_24</t>
        </is>
      </c>
      <c r="O364" s="3" t="inlineStr">
        <is>
          <t>phrase</t>
        </is>
      </c>
      <c r="P364" s="4" t="n"/>
      <c r="Q364" s="4" t="n"/>
      <c r="R364" s="4" t="inlineStr">
        <is>
          <t>-</t>
        </is>
      </c>
      <c r="S364" s="4" t="n"/>
      <c r="T364" s="4" t="n">
        <v>0</v>
      </c>
      <c r="U364" s="4" t="n">
        <v>0</v>
      </c>
      <c r="V364" s="4" t="n"/>
    </row>
    <row r="365">
      <c r="A365" t="inlineStr">
        <is>
          <t>7469070230</t>
        </is>
      </c>
      <c r="B365" s="4" t="n"/>
      <c r="C365" s="31" t="n">
        <v>0.41</v>
      </c>
      <c r="D365" s="31" t="n">
        <v>0</v>
      </c>
      <c r="E365" s="31" t="n">
        <v>0</v>
      </c>
      <c r="F365" s="31" t="n">
        <v>0</v>
      </c>
      <c r="G365" s="3" t="n">
        <v>22</v>
      </c>
      <c r="H365" s="3" t="n">
        <v>1</v>
      </c>
      <c r="I365" s="32" t="n">
        <v>0.05</v>
      </c>
      <c r="J365" s="3" t="n">
        <v>0</v>
      </c>
      <c r="K365" s="32" t="n">
        <v>0</v>
      </c>
      <c r="L365" s="32" t="n">
        <v>0</v>
      </c>
      <c r="M365" s="31" t="n">
        <v>0.41</v>
      </c>
      <c r="N365" s="3" t="inlineStr">
        <is>
          <t>Throws_Manual_Optiwise_24</t>
        </is>
      </c>
      <c r="O365" s="3" t="inlineStr">
        <is>
          <t>phrase</t>
        </is>
      </c>
      <c r="P365" s="4" t="n"/>
      <c r="Q365" s="4" t="n"/>
      <c r="R365" s="4" t="inlineStr">
        <is>
          <t>-</t>
        </is>
      </c>
      <c r="S365" s="4" t="n"/>
      <c r="T365" s="4" t="n">
        <v>0</v>
      </c>
      <c r="U365" s="4" t="n">
        <v>0</v>
      </c>
      <c r="V365" s="4" t="n"/>
    </row>
    <row r="366">
      <c r="A366" t="inlineStr">
        <is>
          <t>blankets and throws clearance in store</t>
        </is>
      </c>
      <c r="B366" s="4" t="n"/>
      <c r="C366" s="31" t="n">
        <v>0.41</v>
      </c>
      <c r="D366" s="31" t="n">
        <v>0</v>
      </c>
      <c r="E366" s="31" t="n">
        <v>0</v>
      </c>
      <c r="F366" s="31" t="n">
        <v>0</v>
      </c>
      <c r="G366" s="3" t="n">
        <v>8</v>
      </c>
      <c r="H366" s="3" t="n">
        <v>1</v>
      </c>
      <c r="I366" s="32" t="n">
        <v>0.12</v>
      </c>
      <c r="J366" s="3" t="n">
        <v>0</v>
      </c>
      <c r="K366" s="32" t="n">
        <v>0</v>
      </c>
      <c r="L366" s="32" t="n">
        <v>0</v>
      </c>
      <c r="M366" s="31" t="n">
        <v>0.41</v>
      </c>
      <c r="N366" s="3" t="inlineStr">
        <is>
          <t>Throws_Manual_Optiwise_24</t>
        </is>
      </c>
      <c r="O366" s="3" t="inlineStr">
        <is>
          <t>phrase</t>
        </is>
      </c>
      <c r="P366" s="4" t="n"/>
      <c r="Q366" s="4" t="n"/>
      <c r="R366" s="4" t="inlineStr">
        <is>
          <t>-</t>
        </is>
      </c>
      <c r="S366" s="4" t="n"/>
      <c r="T366" s="4" t="n">
        <v>0</v>
      </c>
      <c r="U366" s="4" t="n">
        <v>0</v>
      </c>
      <c r="V366" s="4" t="n"/>
    </row>
    <row r="367">
      <c r="A367" t="inlineStr">
        <is>
          <t>down filled throws 60 x 80 in</t>
        </is>
      </c>
      <c r="B367" s="4" t="n"/>
      <c r="C367" s="31" t="n">
        <v>0.41</v>
      </c>
      <c r="D367" s="31" t="n">
        <v>0</v>
      </c>
      <c r="E367" s="31" t="n">
        <v>0</v>
      </c>
      <c r="F367" s="31" t="n">
        <v>0</v>
      </c>
      <c r="G367" s="3" t="n">
        <v>4</v>
      </c>
      <c r="H367" s="3" t="n">
        <v>1</v>
      </c>
      <c r="I367" s="32" t="n">
        <v>0.25</v>
      </c>
      <c r="J367" s="3" t="n">
        <v>0</v>
      </c>
      <c r="K367" s="32" t="n">
        <v>0</v>
      </c>
      <c r="L367" s="32" t="n">
        <v>0</v>
      </c>
      <c r="M367" s="31" t="n">
        <v>0.41</v>
      </c>
      <c r="N367" s="3" t="inlineStr">
        <is>
          <t>Throws_Manual_Optiwise_24</t>
        </is>
      </c>
      <c r="O367" s="3" t="inlineStr">
        <is>
          <t>phrase</t>
        </is>
      </c>
      <c r="P367" s="4" t="n"/>
      <c r="Q367" s="4" t="n"/>
      <c r="R367" s="4" t="inlineStr">
        <is>
          <t>-</t>
        </is>
      </c>
      <c r="S367" s="4" t="n"/>
      <c r="T367" s="4" t="n">
        <v>0</v>
      </c>
      <c r="U367" s="4" t="n">
        <v>0</v>
      </c>
      <c r="V367" s="4" t="n"/>
    </row>
    <row r="368">
      <c r="A368" t="inlineStr">
        <is>
          <t>376206344</t>
        </is>
      </c>
      <c r="B368" s="4" t="n"/>
      <c r="C368" s="31" t="n">
        <v>0.4</v>
      </c>
      <c r="D368" s="31" t="n">
        <v>26.99</v>
      </c>
      <c r="E368" s="31" t="n">
        <v>26.99</v>
      </c>
      <c r="F368" s="31" t="n">
        <v>67.47</v>
      </c>
      <c r="G368" s="3" t="n">
        <v>1</v>
      </c>
      <c r="H368" s="3" t="n">
        <v>1</v>
      </c>
      <c r="I368" s="32" t="n">
        <v>1</v>
      </c>
      <c r="J368" s="3" t="n">
        <v>1</v>
      </c>
      <c r="K368" s="32" t="n">
        <v>1</v>
      </c>
      <c r="L368" s="32" t="n"/>
      <c r="M368" s="31" t="n">
        <v>0.4</v>
      </c>
      <c r="N368" s="3" t="inlineStr">
        <is>
          <t>Picnic Blankets &amp; Mats_Manual_Optiwise_24</t>
        </is>
      </c>
      <c r="O368" s="3" t="inlineStr">
        <is>
          <t>exact</t>
        </is>
      </c>
      <c r="P368" s="4" t="n"/>
      <c r="Q368" s="4" t="n"/>
      <c r="R368" s="4" t="n">
        <v>0</v>
      </c>
      <c r="S368" s="4" t="n"/>
      <c r="T368" s="4" t="n">
        <v>0</v>
      </c>
      <c r="U368" s="4" t="n">
        <v>0</v>
      </c>
      <c r="V368" s="4" t="n"/>
    </row>
    <row r="369">
      <c r="A369" t="inlineStr">
        <is>
          <t>55321747</t>
        </is>
      </c>
      <c r="B369" s="4" t="n"/>
      <c r="C369" s="31" t="n">
        <v>0.4</v>
      </c>
      <c r="D369" s="31" t="n">
        <v>0</v>
      </c>
      <c r="E369" s="31" t="n">
        <v>0</v>
      </c>
      <c r="F369" s="31" t="n">
        <v>0</v>
      </c>
      <c r="G369" s="3" t="n">
        <v>15</v>
      </c>
      <c r="H369" s="3" t="n">
        <v>1</v>
      </c>
      <c r="I369" s="32" t="n">
        <v>0.07000000000000001</v>
      </c>
      <c r="J369" s="3" t="n">
        <v>0</v>
      </c>
      <c r="K369" s="32" t="n">
        <v>0</v>
      </c>
      <c r="L369" s="32" t="n">
        <v>0</v>
      </c>
      <c r="M369" s="31" t="n">
        <v>0.4</v>
      </c>
      <c r="N369" s="3" t="inlineStr">
        <is>
          <t>Throws_Manual_Optiwise_24</t>
        </is>
      </c>
      <c r="O369" s="3" t="inlineStr">
        <is>
          <t>phrase</t>
        </is>
      </c>
      <c r="P369" s="4" t="n"/>
      <c r="Q369" s="4" t="n"/>
      <c r="R369" s="4" t="inlineStr">
        <is>
          <t>-</t>
        </is>
      </c>
      <c r="S369" s="4" t="n"/>
      <c r="T369" s="4" t="n">
        <v>0</v>
      </c>
      <c r="U369" s="4" t="n">
        <v>0</v>
      </c>
      <c r="V369" s="4" t="n"/>
    </row>
    <row r="370">
      <c r="A370" t="inlineStr">
        <is>
          <t>concert blanket</t>
        </is>
      </c>
      <c r="B370" s="4" t="n">
        <v>20</v>
      </c>
      <c r="C370" s="31" t="n">
        <v>0.4</v>
      </c>
      <c r="D370" s="31" t="n">
        <v>0</v>
      </c>
      <c r="E370" s="31" t="n">
        <v>0</v>
      </c>
      <c r="F370" s="31" t="n">
        <v>0</v>
      </c>
      <c r="G370" s="3" t="n">
        <v>1</v>
      </c>
      <c r="H370" s="3" t="n">
        <v>1</v>
      </c>
      <c r="I370" s="32" t="n">
        <v>1</v>
      </c>
      <c r="J370" s="3" t="n">
        <v>0</v>
      </c>
      <c r="K370" s="32" t="n">
        <v>0</v>
      </c>
      <c r="L370" s="32" t="n">
        <v>1</v>
      </c>
      <c r="M370" s="31" t="n">
        <v>0.4</v>
      </c>
      <c r="N370" s="3" t="inlineStr">
        <is>
          <t>Picnic Blankets &amp; Mats_Manual_Optiwise_24</t>
        </is>
      </c>
      <c r="O370" s="3" t="inlineStr">
        <is>
          <t>exact</t>
        </is>
      </c>
      <c r="P370" s="4" t="n">
        <v>10</v>
      </c>
      <c r="Q370" s="4" t="n">
        <v>5</v>
      </c>
      <c r="R370" s="4" t="n">
        <v>6</v>
      </c>
      <c r="S370" s="4" t="n">
        <v>3</v>
      </c>
      <c r="T370" s="4" t="n">
        <v>10</v>
      </c>
      <c r="U370" s="4" t="n">
        <v>0</v>
      </c>
      <c r="V370" s="4" t="inlineStr">
        <is>
          <t>888252893 - 5, 479885190 - 22, 631208819 - 3, 866228722 - 11, 429617165 - 12, 653031662 - 31, 908265210 - 15, 346915715 - 21, 323669219 - 25, 6044655190 - 16</t>
        </is>
      </c>
    </row>
    <row r="371">
      <c r="A371" t="inlineStr">
        <is>
          <t>14283203876</t>
        </is>
      </c>
      <c r="B371" s="4" t="n"/>
      <c r="C371" s="31" t="n">
        <v>0.4</v>
      </c>
      <c r="D371" s="31" t="n">
        <v>0</v>
      </c>
      <c r="E371" s="31" t="n">
        <v>0</v>
      </c>
      <c r="F371" s="31" t="n">
        <v>0</v>
      </c>
      <c r="G371" s="3" t="n">
        <v>3</v>
      </c>
      <c r="H371" s="3" t="n">
        <v>1</v>
      </c>
      <c r="I371" s="32" t="n">
        <v>0.33</v>
      </c>
      <c r="J371" s="3" t="n">
        <v>0</v>
      </c>
      <c r="K371" s="32" t="n">
        <v>0</v>
      </c>
      <c r="L371" s="32" t="n">
        <v>0</v>
      </c>
      <c r="M371" s="31" t="n">
        <v>0.4</v>
      </c>
      <c r="N371" s="3" t="inlineStr">
        <is>
          <t>Throws_Manual_Optiwise_24</t>
        </is>
      </c>
      <c r="O371" s="3" t="inlineStr">
        <is>
          <t>phrase</t>
        </is>
      </c>
      <c r="P371" s="4" t="n"/>
      <c r="Q371" s="4" t="n"/>
      <c r="R371" s="4" t="inlineStr">
        <is>
          <t>-</t>
        </is>
      </c>
      <c r="S371" s="4" t="n"/>
      <c r="T371" s="4" t="n">
        <v>0</v>
      </c>
      <c r="U371" s="4" t="n">
        <v>0</v>
      </c>
      <c r="V371" s="4" t="n"/>
    </row>
    <row r="372">
      <c r="A372" t="inlineStr">
        <is>
          <t>3502685322</t>
        </is>
      </c>
      <c r="B372" s="4" t="n"/>
      <c r="C372" s="31" t="n">
        <v>0.4</v>
      </c>
      <c r="D372" s="31" t="n">
        <v>0</v>
      </c>
      <c r="E372" s="31" t="n">
        <v>0</v>
      </c>
      <c r="F372" s="31" t="n">
        <v>0</v>
      </c>
      <c r="G372" s="3" t="n">
        <v>0</v>
      </c>
      <c r="H372" s="3" t="n">
        <v>1</v>
      </c>
      <c r="I372" s="32" t="n">
        <v>0</v>
      </c>
      <c r="J372" s="3" t="n">
        <v>0</v>
      </c>
      <c r="K372" s="32" t="n">
        <v>0</v>
      </c>
      <c r="L372" s="32" t="n">
        <v>0</v>
      </c>
      <c r="M372" s="31" t="n">
        <v>0.4</v>
      </c>
      <c r="N372" s="3" t="inlineStr">
        <is>
          <t>Throws_Manual_Optiwise_24</t>
        </is>
      </c>
      <c r="O372" s="3" t="inlineStr">
        <is>
          <t>phrase</t>
        </is>
      </c>
      <c r="P372" s="4" t="n"/>
      <c r="Q372" s="4" t="n"/>
      <c r="R372" s="4" t="inlineStr">
        <is>
          <t>-</t>
        </is>
      </c>
      <c r="S372" s="4" t="n"/>
      <c r="T372" s="4" t="n">
        <v>0</v>
      </c>
      <c r="U372" s="4" t="n">
        <v>0</v>
      </c>
      <c r="V372" s="4" t="n"/>
    </row>
    <row r="373">
      <c r="A373" t="inlineStr">
        <is>
          <t>black throw blanket in store</t>
        </is>
      </c>
      <c r="B373" s="4" t="n"/>
      <c r="C373" s="31" t="n">
        <v>0.39</v>
      </c>
      <c r="D373" s="31" t="n">
        <v>0</v>
      </c>
      <c r="E373" s="31" t="n">
        <v>0</v>
      </c>
      <c r="F373" s="31" t="n">
        <v>0</v>
      </c>
      <c r="G373" s="3" t="n">
        <v>1</v>
      </c>
      <c r="H373" s="3" t="n">
        <v>1</v>
      </c>
      <c r="I373" s="32" t="n">
        <v>1</v>
      </c>
      <c r="J373" s="3" t="n">
        <v>0</v>
      </c>
      <c r="K373" s="32" t="n">
        <v>0</v>
      </c>
      <c r="L373" s="32" t="n">
        <v>0</v>
      </c>
      <c r="M373" s="31" t="n">
        <v>0.39</v>
      </c>
      <c r="N373" s="3" t="inlineStr">
        <is>
          <t>Throws_Manual_Optiwise_24</t>
        </is>
      </c>
      <c r="O373" s="3" t="inlineStr">
        <is>
          <t>phrase</t>
        </is>
      </c>
      <c r="P373" s="4" t="n"/>
      <c r="Q373" s="4" t="n"/>
      <c r="R373" s="4" t="inlineStr">
        <is>
          <t>-</t>
        </is>
      </c>
      <c r="S373" s="4" t="n"/>
      <c r="T373" s="4" t="n">
        <v>0</v>
      </c>
      <c r="U373" s="4" t="n">
        <v>0</v>
      </c>
      <c r="V373" s="4" t="n"/>
    </row>
    <row r="374">
      <c r="A374" t="inlineStr">
        <is>
          <t>heavy blankets and throws clearance</t>
        </is>
      </c>
      <c r="B374" s="4" t="n"/>
      <c r="C374" s="31" t="n">
        <v>0.39</v>
      </c>
      <c r="D374" s="31" t="n">
        <v>0</v>
      </c>
      <c r="E374" s="31" t="n">
        <v>0</v>
      </c>
      <c r="F374" s="31" t="n">
        <v>0</v>
      </c>
      <c r="G374" s="3" t="n">
        <v>4</v>
      </c>
      <c r="H374" s="3" t="n">
        <v>1</v>
      </c>
      <c r="I374" s="32" t="n">
        <v>0.25</v>
      </c>
      <c r="J374" s="3" t="n">
        <v>0</v>
      </c>
      <c r="K374" s="32" t="n">
        <v>0</v>
      </c>
      <c r="L374" s="32" t="n">
        <v>0</v>
      </c>
      <c r="M374" s="31" t="n">
        <v>0.39</v>
      </c>
      <c r="N374" s="3" t="inlineStr">
        <is>
          <t>Throws_Manual_Optiwise_24</t>
        </is>
      </c>
      <c r="O374" s="3" t="inlineStr">
        <is>
          <t>phrase</t>
        </is>
      </c>
      <c r="P374" s="4" t="n"/>
      <c r="Q374" s="4" t="n"/>
      <c r="R374" s="4" t="inlineStr">
        <is>
          <t>-</t>
        </is>
      </c>
      <c r="S374" s="4" t="n"/>
      <c r="T374" s="4" t="n">
        <v>0</v>
      </c>
      <c r="U374" s="4" t="n">
        <v>0</v>
      </c>
      <c r="V374" s="4" t="n"/>
    </row>
    <row r="375">
      <c r="A375" t="inlineStr">
        <is>
          <t>canping blanket</t>
        </is>
      </c>
      <c r="B375" s="4" t="n"/>
      <c r="C375" s="31" t="n">
        <v>0.38</v>
      </c>
      <c r="D375" s="31" t="n">
        <v>0</v>
      </c>
      <c r="E375" s="31" t="n">
        <v>0</v>
      </c>
      <c r="F375" s="31" t="n">
        <v>0</v>
      </c>
      <c r="G375" s="3" t="n">
        <v>1</v>
      </c>
      <c r="H375" s="3" t="n">
        <v>1</v>
      </c>
      <c r="I375" s="32" t="n">
        <v>1</v>
      </c>
      <c r="J375" s="3" t="n">
        <v>0</v>
      </c>
      <c r="K375" s="32" t="n">
        <v>0</v>
      </c>
      <c r="L375" s="32" t="n">
        <v>0</v>
      </c>
      <c r="M375" s="31" t="n">
        <v>0.38</v>
      </c>
      <c r="N375" s="3" t="inlineStr">
        <is>
          <t>Picnic Blankets &amp; Mats_Manual_Optiwise_24</t>
        </is>
      </c>
      <c r="O375" s="3" t="inlineStr">
        <is>
          <t>exact</t>
        </is>
      </c>
      <c r="P375" s="4" t="n"/>
      <c r="Q375" s="4" t="n"/>
      <c r="R375" s="4" t="inlineStr">
        <is>
          <t>-</t>
        </is>
      </c>
      <c r="S375" s="4" t="n"/>
      <c r="T375" s="4" t="n">
        <v>0</v>
      </c>
      <c r="U375" s="4" t="n">
        <v>0</v>
      </c>
      <c r="V375" s="4" t="n"/>
    </row>
    <row r="376">
      <c r="A376" t="inlineStr">
        <is>
          <t>14347903684</t>
        </is>
      </c>
      <c r="B376" s="4" t="n"/>
      <c r="C376" s="31" t="n">
        <v>0.37</v>
      </c>
      <c r="D376" s="31" t="n">
        <v>0</v>
      </c>
      <c r="E376" s="31" t="n">
        <v>0</v>
      </c>
      <c r="F376" s="31" t="n">
        <v>0</v>
      </c>
      <c r="G376" s="3" t="n">
        <v>6</v>
      </c>
      <c r="H376" s="3" t="n">
        <v>1</v>
      </c>
      <c r="I376" s="32" t="n">
        <v>0.17</v>
      </c>
      <c r="J376" s="3" t="n">
        <v>0</v>
      </c>
      <c r="K376" s="32" t="n">
        <v>0</v>
      </c>
      <c r="L376" s="32" t="n"/>
      <c r="M376" s="31" t="n">
        <v>0.37</v>
      </c>
      <c r="N376" s="3" t="inlineStr">
        <is>
          <t>1CTMM500PK_Manual_Optiwise</t>
        </is>
      </c>
      <c r="O376" s="3" t="inlineStr">
        <is>
          <t>exact</t>
        </is>
      </c>
      <c r="P376" s="4" t="n"/>
      <c r="Q376" s="4" t="n"/>
      <c r="R376" s="4" t="n">
        <v>0</v>
      </c>
      <c r="S376" s="4" t="n"/>
      <c r="T376" s="4" t="n">
        <v>0</v>
      </c>
      <c r="U376" s="4" t="n">
        <v>0</v>
      </c>
      <c r="V376" s="4" t="n"/>
    </row>
    <row r="377">
      <c r="A377" t="inlineStr">
        <is>
          <t>meemaid</t>
        </is>
      </c>
      <c r="B377" s="4" t="n"/>
      <c r="C377" s="31" t="n">
        <v>0.37</v>
      </c>
      <c r="D377" s="31" t="n">
        <v>0</v>
      </c>
      <c r="E377" s="31" t="n">
        <v>0</v>
      </c>
      <c r="F377" s="31" t="n">
        <v>0</v>
      </c>
      <c r="G377" s="3" t="n">
        <v>4</v>
      </c>
      <c r="H377" s="3" t="n">
        <v>1</v>
      </c>
      <c r="I377" s="32" t="n">
        <v>0.25</v>
      </c>
      <c r="J377" s="3" t="n">
        <v>0</v>
      </c>
      <c r="K377" s="32" t="n">
        <v>0</v>
      </c>
      <c r="L377" s="32" t="n"/>
      <c r="M377" s="31" t="n">
        <v>0.37</v>
      </c>
      <c r="N377" s="3" t="inlineStr">
        <is>
          <t>1WMMM500MUL_Manual</t>
        </is>
      </c>
      <c r="O377" s="3" t="inlineStr">
        <is>
          <t>exact</t>
        </is>
      </c>
      <c r="P377" s="4" t="n"/>
      <c r="Q377" s="4" t="n"/>
      <c r="R377" s="4" t="n">
        <v>0</v>
      </c>
      <c r="S377" s="4" t="n"/>
      <c r="T377" s="4" t="n">
        <v>0</v>
      </c>
      <c r="U377" s="4" t="n">
        <v>0</v>
      </c>
      <c r="V377" s="4" t="n"/>
    </row>
    <row r="378">
      <c r="A378" t="inlineStr">
        <is>
          <t>8650010837</t>
        </is>
      </c>
      <c r="B378" s="4" t="n"/>
      <c r="C378" s="31" t="n">
        <v>0.37</v>
      </c>
      <c r="D378" s="31" t="n">
        <v>0</v>
      </c>
      <c r="E378" s="31" t="n">
        <v>0</v>
      </c>
      <c r="F378" s="31" t="n">
        <v>0</v>
      </c>
      <c r="G378" s="3" t="n">
        <v>2</v>
      </c>
      <c r="H378" s="3" t="n">
        <v>1</v>
      </c>
      <c r="I378" s="32" t="n">
        <v>0.5</v>
      </c>
      <c r="J378" s="3" t="n">
        <v>0</v>
      </c>
      <c r="K378" s="32" t="n">
        <v>0</v>
      </c>
      <c r="L378" s="32" t="n">
        <v>0</v>
      </c>
      <c r="M378" s="31" t="n">
        <v>0.37</v>
      </c>
      <c r="N378" s="3" t="inlineStr">
        <is>
          <t>Picnic Blankets &amp; Mats_Manual_Optiwise_24</t>
        </is>
      </c>
      <c r="O378" s="3" t="inlineStr">
        <is>
          <t>exact</t>
        </is>
      </c>
      <c r="P378" s="4" t="n"/>
      <c r="Q378" s="4" t="n"/>
      <c r="R378" s="4" t="inlineStr">
        <is>
          <t>-</t>
        </is>
      </c>
      <c r="S378" s="4" t="n"/>
      <c r="T378" s="4" t="n">
        <v>0</v>
      </c>
      <c r="U378" s="4" t="n">
        <v>0</v>
      </c>
      <c r="V378" s="4" t="n"/>
    </row>
    <row r="379">
      <c r="A379" t="inlineStr">
        <is>
          <t>mermade tail blanket</t>
        </is>
      </c>
      <c r="B379" s="4" t="n"/>
      <c r="C379" s="31" t="n">
        <v>0.37</v>
      </c>
      <c r="D379" s="31" t="n">
        <v>0</v>
      </c>
      <c r="E379" s="31" t="n">
        <v>0</v>
      </c>
      <c r="F379" s="31" t="n">
        <v>0</v>
      </c>
      <c r="G379" s="3" t="n">
        <v>1</v>
      </c>
      <c r="H379" s="3" t="n">
        <v>1</v>
      </c>
      <c r="I379" s="32" t="n">
        <v>1</v>
      </c>
      <c r="J379" s="3" t="n">
        <v>0</v>
      </c>
      <c r="K379" s="32" t="n">
        <v>0</v>
      </c>
      <c r="L379" s="32" t="n"/>
      <c r="M379" s="31" t="n">
        <v>0.37</v>
      </c>
      <c r="N379" s="3" t="inlineStr">
        <is>
          <t>1CTMM500PK_Manual_Optiwise</t>
        </is>
      </c>
      <c r="O379" s="3" t="inlineStr">
        <is>
          <t>exact</t>
        </is>
      </c>
      <c r="P379" s="4" t="n"/>
      <c r="Q379" s="4" t="n"/>
      <c r="R379" s="4" t="n">
        <v>0</v>
      </c>
      <c r="S379" s="4" t="n"/>
      <c r="T379" s="4" t="n">
        <v>0</v>
      </c>
      <c r="U379" s="4" t="n">
        <v>0</v>
      </c>
      <c r="V379" s="4" t="n"/>
    </row>
    <row r="380">
      <c r="A380" t="inlineStr">
        <is>
          <t>mermaid tail blanker</t>
        </is>
      </c>
      <c r="B380" s="4" t="n"/>
      <c r="C380" s="31" t="n">
        <v>0.37</v>
      </c>
      <c r="D380" s="31" t="n">
        <v>0</v>
      </c>
      <c r="E380" s="31" t="n">
        <v>0</v>
      </c>
      <c r="F380" s="31" t="n">
        <v>0</v>
      </c>
      <c r="G380" s="3" t="n">
        <v>1</v>
      </c>
      <c r="H380" s="3" t="n">
        <v>1</v>
      </c>
      <c r="I380" s="32" t="n">
        <v>1</v>
      </c>
      <c r="J380" s="3" t="n">
        <v>0</v>
      </c>
      <c r="K380" s="32" t="n">
        <v>0</v>
      </c>
      <c r="L380" s="32" t="n">
        <v>0</v>
      </c>
      <c r="M380" s="31" t="n">
        <v>0.37</v>
      </c>
      <c r="N380" s="3" t="inlineStr">
        <is>
          <t>1CTMM500PK_Manual_Optiwise</t>
        </is>
      </c>
      <c r="O380" s="3" t="inlineStr">
        <is>
          <t>exact</t>
        </is>
      </c>
      <c r="P380" s="4" t="n"/>
      <c r="Q380" s="4" t="n"/>
      <c r="R380" s="4" t="inlineStr">
        <is>
          <t>-</t>
        </is>
      </c>
      <c r="S380" s="4" t="n"/>
      <c r="T380" s="4" t="n">
        <v>0</v>
      </c>
      <c r="U380" s="4" t="n">
        <v>0</v>
      </c>
      <c r="V380" s="4" t="n"/>
    </row>
    <row r="381">
      <c r="A381" t="inlineStr">
        <is>
          <t>little mermaid blanket</t>
        </is>
      </c>
      <c r="B381" s="4" t="n">
        <v>490</v>
      </c>
      <c r="C381" s="31" t="n">
        <v>0.37</v>
      </c>
      <c r="D381" s="31" t="n">
        <v>0</v>
      </c>
      <c r="E381" s="31" t="n">
        <v>0</v>
      </c>
      <c r="F381" s="31" t="n">
        <v>0</v>
      </c>
      <c r="G381" s="3" t="n">
        <v>1</v>
      </c>
      <c r="H381" s="3" t="n">
        <v>1</v>
      </c>
      <c r="I381" s="32" t="n">
        <v>1</v>
      </c>
      <c r="J381" s="3" t="n">
        <v>0</v>
      </c>
      <c r="K381" s="32" t="n">
        <v>0</v>
      </c>
      <c r="L381" s="32" t="n">
        <v>0.6956</v>
      </c>
      <c r="M381" s="31" t="n">
        <v>0.37</v>
      </c>
      <c r="N381" s="3" t="inlineStr">
        <is>
          <t>1WMMM500MUL_Manual</t>
        </is>
      </c>
      <c r="O381" s="3" t="inlineStr">
        <is>
          <t>phrase</t>
        </is>
      </c>
      <c r="P381" s="4" t="n">
        <v>2</v>
      </c>
      <c r="Q381" s="4" t="n"/>
      <c r="R381" s="4" t="n">
        <v>2</v>
      </c>
      <c r="S381" s="4" t="n">
        <v>1</v>
      </c>
      <c r="T381" s="4" t="n">
        <v>10</v>
      </c>
      <c r="U381" s="4" t="n">
        <v>0</v>
      </c>
      <c r="V381" s="4" t="inlineStr">
        <is>
          <t>856027355 - 4, 942219918 - 1</t>
        </is>
      </c>
    </row>
    <row r="382">
      <c r="A382" t="inlineStr">
        <is>
          <t>full body throw</t>
        </is>
      </c>
      <c r="B382" s="4" t="n"/>
      <c r="C382" s="31" t="n">
        <v>0.36</v>
      </c>
      <c r="D382" s="31" t="n">
        <v>0</v>
      </c>
      <c r="E382" s="31" t="n">
        <v>0</v>
      </c>
      <c r="F382" s="31" t="n">
        <v>0</v>
      </c>
      <c r="G382" s="3" t="n">
        <v>4</v>
      </c>
      <c r="H382" s="3" t="n">
        <v>1</v>
      </c>
      <c r="I382" s="32" t="n">
        <v>0.25</v>
      </c>
      <c r="J382" s="3" t="n">
        <v>0</v>
      </c>
      <c r="K382" s="32" t="n">
        <v>0</v>
      </c>
      <c r="L382" s="32" t="n">
        <v>0</v>
      </c>
      <c r="M382" s="31" t="n">
        <v>0.36</v>
      </c>
      <c r="N382" s="3" t="inlineStr">
        <is>
          <t>Throws_Manual_Optiwise_24</t>
        </is>
      </c>
      <c r="O382" s="3" t="inlineStr">
        <is>
          <t>phrase</t>
        </is>
      </c>
      <c r="P382" s="4" t="n"/>
      <c r="Q382" s="4" t="n"/>
      <c r="R382" s="4" t="inlineStr">
        <is>
          <t>-</t>
        </is>
      </c>
      <c r="S382" s="4" t="n"/>
      <c r="T382" s="4" t="n">
        <v>0</v>
      </c>
      <c r="U382" s="4" t="n">
        <v>0</v>
      </c>
      <c r="V382" s="4" t="n"/>
    </row>
    <row r="383">
      <c r="A383" t="inlineStr">
        <is>
          <t>187725947</t>
        </is>
      </c>
      <c r="B383" s="4" t="n"/>
      <c r="C383" s="31" t="n">
        <v>0.36</v>
      </c>
      <c r="D383" s="31" t="n">
        <v>0</v>
      </c>
      <c r="E383" s="31" t="n">
        <v>0</v>
      </c>
      <c r="F383" s="31" t="n">
        <v>0</v>
      </c>
      <c r="G383" s="3" t="n">
        <v>2</v>
      </c>
      <c r="H383" s="3" t="n">
        <v>1</v>
      </c>
      <c r="I383" s="32" t="n">
        <v>0.5</v>
      </c>
      <c r="J383" s="3" t="n">
        <v>0</v>
      </c>
      <c r="K383" s="32" t="n">
        <v>0</v>
      </c>
      <c r="L383" s="32" t="n">
        <v>0</v>
      </c>
      <c r="M383" s="31" t="n">
        <v>0.36</v>
      </c>
      <c r="N383" s="3" t="inlineStr">
        <is>
          <t>Picnic Blankets &amp; Mats_Manual_Optiwise_24</t>
        </is>
      </c>
      <c r="O383" s="3" t="inlineStr">
        <is>
          <t>exact</t>
        </is>
      </c>
      <c r="P383" s="4" t="n"/>
      <c r="Q383" s="4" t="n"/>
      <c r="R383" s="4" t="inlineStr">
        <is>
          <t>-</t>
        </is>
      </c>
      <c r="S383" s="4" t="n"/>
      <c r="T383" s="4" t="n">
        <v>0</v>
      </c>
      <c r="U383" s="4" t="n">
        <v>0</v>
      </c>
      <c r="V383" s="4" t="n"/>
    </row>
    <row r="384">
      <c r="A384" t="inlineStr">
        <is>
          <t>merrimaid tail blanket</t>
        </is>
      </c>
      <c r="B384" s="4" t="n"/>
      <c r="C384" s="31" t="n">
        <v>0.36</v>
      </c>
      <c r="D384" s="31" t="n">
        <v>0</v>
      </c>
      <c r="E384" s="31" t="n">
        <v>0</v>
      </c>
      <c r="F384" s="31" t="n">
        <v>0</v>
      </c>
      <c r="G384" s="3" t="n">
        <v>3</v>
      </c>
      <c r="H384" s="3" t="n">
        <v>1</v>
      </c>
      <c r="I384" s="32" t="n">
        <v>0.33</v>
      </c>
      <c r="J384" s="3" t="n">
        <v>0</v>
      </c>
      <c r="K384" s="32" t="n">
        <v>0</v>
      </c>
      <c r="L384" s="32" t="n"/>
      <c r="M384" s="31" t="n">
        <v>0.36</v>
      </c>
      <c r="N384" s="3" t="inlineStr">
        <is>
          <t>1CTMM500PK_Manual_Optiwise</t>
        </is>
      </c>
      <c r="O384" s="3" t="inlineStr">
        <is>
          <t>exact</t>
        </is>
      </c>
      <c r="P384" s="4" t="n"/>
      <c r="Q384" s="4" t="n"/>
      <c r="R384" s="4" t="n">
        <v>0</v>
      </c>
      <c r="S384" s="4" t="n"/>
      <c r="T384" s="4" t="n">
        <v>0</v>
      </c>
      <c r="U384" s="4" t="n">
        <v>0</v>
      </c>
      <c r="V384" s="4" t="n"/>
    </row>
    <row r="385">
      <c r="A385" t="inlineStr">
        <is>
          <t>mwrmaid</t>
        </is>
      </c>
      <c r="B385" s="4" t="n"/>
      <c r="C385" s="31" t="n">
        <v>0.36</v>
      </c>
      <c r="D385" s="31" t="n">
        <v>0</v>
      </c>
      <c r="E385" s="31" t="n">
        <v>0</v>
      </c>
      <c r="F385" s="31" t="n">
        <v>0</v>
      </c>
      <c r="G385" s="3" t="n">
        <v>1</v>
      </c>
      <c r="H385" s="3" t="n">
        <v>1</v>
      </c>
      <c r="I385" s="32" t="n">
        <v>1</v>
      </c>
      <c r="J385" s="3" t="n">
        <v>0</v>
      </c>
      <c r="K385" s="32" t="n">
        <v>0</v>
      </c>
      <c r="L385" s="32" t="n"/>
      <c r="M385" s="31" t="n">
        <v>0.36</v>
      </c>
      <c r="N385" s="3" t="inlineStr">
        <is>
          <t>1WMMM500MUL_Manual</t>
        </is>
      </c>
      <c r="O385" s="3" t="inlineStr">
        <is>
          <t>exact</t>
        </is>
      </c>
      <c r="P385" s="4" t="n"/>
      <c r="Q385" s="4" t="n"/>
      <c r="R385" s="4" t="n">
        <v>0</v>
      </c>
      <c r="S385" s="4" t="n"/>
      <c r="T385" s="4" t="n">
        <v>0</v>
      </c>
      <c r="U385" s="4" t="n">
        <v>0</v>
      </c>
      <c r="V385" s="4" t="n"/>
    </row>
    <row r="386">
      <c r="A386" t="inlineStr">
        <is>
          <t>797276188</t>
        </is>
      </c>
      <c r="B386" s="4" t="n"/>
      <c r="C386" s="31" t="n">
        <v>0.35</v>
      </c>
      <c r="D386" s="31" t="n">
        <v>0</v>
      </c>
      <c r="E386" s="31" t="n">
        <v>0</v>
      </c>
      <c r="F386" s="31" t="n">
        <v>0</v>
      </c>
      <c r="G386" s="3" t="n">
        <v>2</v>
      </c>
      <c r="H386" s="3" t="n">
        <v>1</v>
      </c>
      <c r="I386" s="32" t="n">
        <v>0.5</v>
      </c>
      <c r="J386" s="3" t="n">
        <v>0</v>
      </c>
      <c r="K386" s="32" t="n">
        <v>0</v>
      </c>
      <c r="L386" s="32" t="n">
        <v>0</v>
      </c>
      <c r="M386" s="31" t="n">
        <v>0.35</v>
      </c>
      <c r="N386" s="3" t="inlineStr">
        <is>
          <t>Throws_Manual_Optiwise_24</t>
        </is>
      </c>
      <c r="O386" s="3" t="inlineStr">
        <is>
          <t>phrase</t>
        </is>
      </c>
      <c r="P386" s="4" t="n"/>
      <c r="Q386" s="4" t="n"/>
      <c r="R386" s="4" t="inlineStr">
        <is>
          <t>-</t>
        </is>
      </c>
      <c r="S386" s="4" t="n"/>
      <c r="T386" s="4" t="n">
        <v>0</v>
      </c>
      <c r="U386" s="4" t="n">
        <v>0</v>
      </c>
      <c r="V386" s="4" t="n"/>
    </row>
    <row r="387">
      <c r="A387" t="inlineStr">
        <is>
          <t>5109148013</t>
        </is>
      </c>
      <c r="B387" s="4" t="n"/>
      <c r="C387" s="31" t="n">
        <v>0.35</v>
      </c>
      <c r="D387" s="31" t="n">
        <v>0</v>
      </c>
      <c r="E387" s="31" t="n">
        <v>0</v>
      </c>
      <c r="F387" s="31" t="n">
        <v>0</v>
      </c>
      <c r="G387" s="3" t="n">
        <v>0</v>
      </c>
      <c r="H387" s="3" t="n">
        <v>1</v>
      </c>
      <c r="I387" s="32" t="n">
        <v>0</v>
      </c>
      <c r="J387" s="3" t="n">
        <v>0</v>
      </c>
      <c r="K387" s="32" t="n">
        <v>0</v>
      </c>
      <c r="L387" s="32" t="n">
        <v>0</v>
      </c>
      <c r="M387" s="31" t="n">
        <v>0.35</v>
      </c>
      <c r="N387" s="3" t="inlineStr">
        <is>
          <t>Picnic Blankets &amp; Mats_Manual_Optiwise_24</t>
        </is>
      </c>
      <c r="O387" s="3" t="inlineStr">
        <is>
          <t>exact</t>
        </is>
      </c>
      <c r="P387" s="4" t="n"/>
      <c r="Q387" s="4" t="n"/>
      <c r="R387" s="4" t="inlineStr">
        <is>
          <t>-</t>
        </is>
      </c>
      <c r="S387" s="4" t="n"/>
      <c r="T387" s="4" t="n">
        <v>0</v>
      </c>
      <c r="U387" s="4" t="n">
        <v>0</v>
      </c>
      <c r="V387" s="4" t="n"/>
    </row>
    <row r="388">
      <c r="A388" t="inlineStr">
        <is>
          <t>800 gsm plush throw blanket 80 x 60</t>
        </is>
      </c>
      <c r="B388" s="4" t="n"/>
      <c r="C388" s="31" t="n">
        <v>0.35</v>
      </c>
      <c r="D388" s="31" t="n">
        <v>0</v>
      </c>
      <c r="E388" s="31" t="n">
        <v>0</v>
      </c>
      <c r="F388" s="31" t="n">
        <v>0</v>
      </c>
      <c r="G388" s="3" t="n">
        <v>6</v>
      </c>
      <c r="H388" s="3" t="n">
        <v>1</v>
      </c>
      <c r="I388" s="32" t="n">
        <v>0.17</v>
      </c>
      <c r="J388" s="3" t="n">
        <v>0</v>
      </c>
      <c r="K388" s="32" t="n">
        <v>0</v>
      </c>
      <c r="L388" s="32" t="n">
        <v>0</v>
      </c>
      <c r="M388" s="31" t="n">
        <v>0.35</v>
      </c>
      <c r="N388" s="3" t="inlineStr">
        <is>
          <t>Throws_Manual_Optiwise_24</t>
        </is>
      </c>
      <c r="O388" s="3" t="inlineStr">
        <is>
          <t>phrase</t>
        </is>
      </c>
      <c r="P388" s="4" t="n"/>
      <c r="Q388" s="4" t="n"/>
      <c r="R388" s="4" t="inlineStr">
        <is>
          <t>-</t>
        </is>
      </c>
      <c r="S388" s="4" t="n"/>
      <c r="T388" s="4" t="n">
        <v>0</v>
      </c>
      <c r="U388" s="4" t="n">
        <v>0</v>
      </c>
      <c r="V388" s="4" t="n"/>
    </row>
    <row r="389">
      <c r="A389" t="inlineStr">
        <is>
          <t>1689668371</t>
        </is>
      </c>
      <c r="B389" s="4" t="n"/>
      <c r="C389" s="31" t="n">
        <v>0.34</v>
      </c>
      <c r="D389" s="31" t="n">
        <v>0</v>
      </c>
      <c r="E389" s="31" t="n">
        <v>0</v>
      </c>
      <c r="F389" s="31" t="n">
        <v>0</v>
      </c>
      <c r="G389" s="3" t="n">
        <v>7</v>
      </c>
      <c r="H389" s="3" t="n">
        <v>1</v>
      </c>
      <c r="I389" s="32" t="n">
        <v>0.14</v>
      </c>
      <c r="J389" s="3" t="n">
        <v>0</v>
      </c>
      <c r="K389" s="32" t="n">
        <v>0</v>
      </c>
      <c r="L389" s="32" t="n"/>
      <c r="M389" s="31" t="n">
        <v>0.34</v>
      </c>
      <c r="N389" s="3" t="inlineStr">
        <is>
          <t>Picnic Blankets &amp; Mats_Manual_Optiwise_24</t>
        </is>
      </c>
      <c r="O389" s="3" t="inlineStr">
        <is>
          <t>exact</t>
        </is>
      </c>
      <c r="P389" s="4" t="n"/>
      <c r="Q389" s="4" t="n"/>
      <c r="R389" s="4" t="n">
        <v>0</v>
      </c>
      <c r="S389" s="4" t="n"/>
      <c r="T389" s="4" t="n">
        <v>0</v>
      </c>
      <c r="U389" s="4" t="n">
        <v>0</v>
      </c>
      <c r="V389" s="4" t="n"/>
    </row>
    <row r="390">
      <c r="A390" t="inlineStr">
        <is>
          <t>11305353029</t>
        </is>
      </c>
      <c r="B390" s="4" t="n"/>
      <c r="C390" s="31" t="n">
        <v>0.33</v>
      </c>
      <c r="D390" s="31" t="n">
        <v>0</v>
      </c>
      <c r="E390" s="31" t="n">
        <v>0</v>
      </c>
      <c r="F390" s="31" t="n">
        <v>0</v>
      </c>
      <c r="G390" s="3" t="n">
        <v>0</v>
      </c>
      <c r="H390" s="3" t="n">
        <v>1</v>
      </c>
      <c r="I390" s="32" t="n">
        <v>0</v>
      </c>
      <c r="J390" s="3" t="n">
        <v>0</v>
      </c>
      <c r="K390" s="32" t="n">
        <v>0</v>
      </c>
      <c r="L390" s="32" t="n">
        <v>0</v>
      </c>
      <c r="M390" s="31" t="n">
        <v>0.33</v>
      </c>
      <c r="N390" s="3" t="inlineStr">
        <is>
          <t>Throws_Manual_Optiwise_24</t>
        </is>
      </c>
      <c r="O390" s="3" t="inlineStr">
        <is>
          <t>phrase</t>
        </is>
      </c>
      <c r="P390" s="4" t="n"/>
      <c r="Q390" s="4" t="n"/>
      <c r="R390" s="4" t="inlineStr">
        <is>
          <t>-</t>
        </is>
      </c>
      <c r="S390" s="4" t="n"/>
      <c r="T390" s="4" t="n">
        <v>0</v>
      </c>
      <c r="U390" s="4" t="n">
        <v>0</v>
      </c>
      <c r="V390" s="4" t="n"/>
    </row>
    <row r="391">
      <c r="A391" t="inlineStr">
        <is>
          <t>5095040215</t>
        </is>
      </c>
      <c r="B391" s="4" t="n"/>
      <c r="C391" s="31" t="n">
        <v>0.33</v>
      </c>
      <c r="D391" s="31" t="n">
        <v>0</v>
      </c>
      <c r="E391" s="31" t="n">
        <v>0</v>
      </c>
      <c r="F391" s="31" t="n">
        <v>0</v>
      </c>
      <c r="G391" s="3" t="n">
        <v>1</v>
      </c>
      <c r="H391" s="3" t="n">
        <v>1</v>
      </c>
      <c r="I391" s="32" t="n">
        <v>1</v>
      </c>
      <c r="J391" s="3" t="n">
        <v>0</v>
      </c>
      <c r="K391" s="32" t="n">
        <v>0</v>
      </c>
      <c r="L391" s="32" t="n"/>
      <c r="M391" s="31" t="n">
        <v>0.33</v>
      </c>
      <c r="N391" s="3" t="inlineStr">
        <is>
          <t>1TRBW506LGDG-CDCB_Manual,Manual for Waterproof Blanket--Lily,Throws_Manual_Optiwise_24</t>
        </is>
      </c>
      <c r="O391" s="3" t="inlineStr">
        <is>
          <t>exact</t>
        </is>
      </c>
      <c r="P391" s="4" t="n"/>
      <c r="Q391" s="4" t="n"/>
      <c r="R391" s="4" t="n">
        <v>0</v>
      </c>
      <c r="S391" s="4" t="n"/>
      <c r="T391" s="4" t="n">
        <v>0</v>
      </c>
      <c r="U391" s="4" t="n">
        <v>0</v>
      </c>
      <c r="V391" s="4" t="n"/>
    </row>
    <row r="392">
      <c r="A392" t="inlineStr">
        <is>
          <t>15501269414</t>
        </is>
      </c>
      <c r="B392" s="4" t="n"/>
      <c r="C392" s="31" t="n">
        <v>0.33</v>
      </c>
      <c r="D392" s="31" t="n">
        <v>0</v>
      </c>
      <c r="E392" s="31" t="n">
        <v>0</v>
      </c>
      <c r="F392" s="31" t="n">
        <v>0</v>
      </c>
      <c r="G392" s="3" t="n">
        <v>2</v>
      </c>
      <c r="H392" s="3" t="n">
        <v>1</v>
      </c>
      <c r="I392" s="32" t="n">
        <v>0.5</v>
      </c>
      <c r="J392" s="3" t="n">
        <v>0</v>
      </c>
      <c r="K392" s="32" t="n">
        <v>0</v>
      </c>
      <c r="L392" s="32" t="n"/>
      <c r="M392" s="31" t="n">
        <v>0.33</v>
      </c>
      <c r="N392" s="3" t="inlineStr">
        <is>
          <t>1TRBW506LGDG-CDCB_Manual</t>
        </is>
      </c>
      <c r="O392" s="3" t="inlineStr">
        <is>
          <t>exact</t>
        </is>
      </c>
      <c r="P392" s="4" t="n"/>
      <c r="Q392" s="4" t="n"/>
      <c r="R392" s="4" t="n">
        <v>0</v>
      </c>
      <c r="S392" s="4" t="n"/>
      <c r="T392" s="4" t="n">
        <v>0</v>
      </c>
      <c r="U392" s="4" t="n">
        <v>0</v>
      </c>
      <c r="V392" s="4" t="n"/>
    </row>
    <row r="393">
      <c r="A393" t="inlineStr">
        <is>
          <t>5467262837</t>
        </is>
      </c>
      <c r="B393" s="4" t="n"/>
      <c r="C393" s="31" t="n">
        <v>0.33</v>
      </c>
      <c r="D393" s="31" t="n">
        <v>0</v>
      </c>
      <c r="E393" s="31" t="n">
        <v>0</v>
      </c>
      <c r="F393" s="31" t="n">
        <v>0</v>
      </c>
      <c r="G393" s="3" t="n">
        <v>2</v>
      </c>
      <c r="H393" s="3" t="n">
        <v>1</v>
      </c>
      <c r="I393" s="32" t="n">
        <v>0.5</v>
      </c>
      <c r="J393" s="3" t="n">
        <v>0</v>
      </c>
      <c r="K393" s="32" t="n">
        <v>0</v>
      </c>
      <c r="L393" s="32" t="n"/>
      <c r="M393" s="31" t="n">
        <v>0.33</v>
      </c>
      <c r="N393" s="3" t="inlineStr">
        <is>
          <t>1TRBW506LGDG-CDCB_Manual</t>
        </is>
      </c>
      <c r="O393" s="3" t="inlineStr">
        <is>
          <t>exact</t>
        </is>
      </c>
      <c r="P393" s="4" t="n"/>
      <c r="Q393" s="4" t="n"/>
      <c r="R393" s="4" t="n">
        <v>0</v>
      </c>
      <c r="S393" s="4" t="n"/>
      <c r="T393" s="4" t="n">
        <v>0</v>
      </c>
      <c r="U393" s="4" t="n">
        <v>0</v>
      </c>
      <c r="V393" s="4" t="n"/>
    </row>
    <row r="394">
      <c r="A394" t="inlineStr">
        <is>
          <t>sniggie</t>
        </is>
      </c>
      <c r="B394" s="4" t="n">
        <v>50</v>
      </c>
      <c r="C394" s="31" t="n">
        <v>0.33</v>
      </c>
      <c r="D394" s="31" t="n">
        <v>0</v>
      </c>
      <c r="E394" s="31" t="n">
        <v>0</v>
      </c>
      <c r="F394" s="31" t="n">
        <v>0</v>
      </c>
      <c r="G394" s="3" t="n">
        <v>2</v>
      </c>
      <c r="H394" s="3" t="n">
        <v>1</v>
      </c>
      <c r="I394" s="32" t="n">
        <v>0.5</v>
      </c>
      <c r="J394" s="3" t="n">
        <v>0</v>
      </c>
      <c r="K394" s="32" t="n">
        <v>0</v>
      </c>
      <c r="L394" s="32" t="n">
        <v>0.5207999999999999</v>
      </c>
      <c r="M394" s="31" t="n">
        <v>0.33</v>
      </c>
      <c r="N394" s="3" t="inlineStr">
        <is>
          <t>1CTBP120GY_Manual_Optiwise</t>
        </is>
      </c>
      <c r="O394" s="3" t="inlineStr">
        <is>
          <t>exact</t>
        </is>
      </c>
      <c r="P394" s="4" t="n"/>
      <c r="Q394" s="4" t="n"/>
      <c r="R394" s="4" t="inlineStr">
        <is>
          <t>-</t>
        </is>
      </c>
      <c r="S394" s="4" t="n"/>
      <c r="T394" s="4" t="n">
        <v>0</v>
      </c>
      <c r="U394" s="4" t="n">
        <v>0</v>
      </c>
      <c r="V394" s="4" t="n"/>
    </row>
    <row r="395">
      <c r="A395" t="inlineStr">
        <is>
          <t>32427712</t>
        </is>
      </c>
      <c r="B395" s="4" t="n"/>
      <c r="C395" s="31" t="n">
        <v>0.32</v>
      </c>
      <c r="D395" s="31" t="n">
        <v>0</v>
      </c>
      <c r="E395" s="31" t="n">
        <v>0</v>
      </c>
      <c r="F395" s="31" t="n">
        <v>0</v>
      </c>
      <c r="G395" s="3" t="n">
        <v>25</v>
      </c>
      <c r="H395" s="3" t="n">
        <v>1</v>
      </c>
      <c r="I395" s="32" t="n">
        <v>0.04</v>
      </c>
      <c r="J395" s="3" t="n">
        <v>0</v>
      </c>
      <c r="K395" s="32" t="n">
        <v>0</v>
      </c>
      <c r="L395" s="32" t="n">
        <v>0</v>
      </c>
      <c r="M395" s="31" t="n">
        <v>0.32</v>
      </c>
      <c r="N395" s="3" t="inlineStr">
        <is>
          <t>Throws_Manual_Optiwise_24</t>
        </is>
      </c>
      <c r="O395" s="3" t="inlineStr">
        <is>
          <t>phrase</t>
        </is>
      </c>
      <c r="P395" s="4" t="n"/>
      <c r="Q395" s="4" t="n"/>
      <c r="R395" s="4" t="inlineStr">
        <is>
          <t>-</t>
        </is>
      </c>
      <c r="S395" s="4" t="n"/>
      <c r="T395" s="4" t="n">
        <v>0</v>
      </c>
      <c r="U395" s="4" t="n">
        <v>0</v>
      </c>
      <c r="V395" s="4" t="n"/>
    </row>
    <row r="396">
      <c r="A396" t="inlineStr">
        <is>
          <t>9673001933</t>
        </is>
      </c>
      <c r="B396" s="4" t="n"/>
      <c r="C396" s="31" t="n">
        <v>0.32</v>
      </c>
      <c r="D396" s="31" t="n">
        <v>0</v>
      </c>
      <c r="E396" s="31" t="n">
        <v>0</v>
      </c>
      <c r="F396" s="31" t="n">
        <v>0</v>
      </c>
      <c r="G396" s="3" t="n">
        <v>6</v>
      </c>
      <c r="H396" s="3" t="n">
        <v>1</v>
      </c>
      <c r="I396" s="32" t="n">
        <v>0.17</v>
      </c>
      <c r="J396" s="3" t="n">
        <v>0</v>
      </c>
      <c r="K396" s="32" t="n">
        <v>0</v>
      </c>
      <c r="L396" s="32" t="n">
        <v>0</v>
      </c>
      <c r="M396" s="31" t="n">
        <v>0.32</v>
      </c>
      <c r="N396" s="3" t="inlineStr">
        <is>
          <t>Throws_Manual_Optiwise_24</t>
        </is>
      </c>
      <c r="O396" s="3" t="inlineStr">
        <is>
          <t>phrase</t>
        </is>
      </c>
      <c r="P396" s="4" t="n"/>
      <c r="Q396" s="4" t="n"/>
      <c r="R396" s="4" t="inlineStr">
        <is>
          <t>-</t>
        </is>
      </c>
      <c r="S396" s="4" t="n"/>
      <c r="T396" s="4" t="n">
        <v>0</v>
      </c>
      <c r="U396" s="4" t="n">
        <v>0</v>
      </c>
      <c r="V396" s="4" t="n"/>
    </row>
    <row r="397">
      <c r="A397" t="inlineStr">
        <is>
          <t>427693144</t>
        </is>
      </c>
      <c r="B397" s="4" t="n"/>
      <c r="C397" s="31" t="n">
        <v>0.32</v>
      </c>
      <c r="D397" s="31" t="n">
        <v>0</v>
      </c>
      <c r="E397" s="31" t="n">
        <v>0</v>
      </c>
      <c r="F397" s="31" t="n">
        <v>0</v>
      </c>
      <c r="G397" s="3" t="n">
        <v>2</v>
      </c>
      <c r="H397" s="3" t="n">
        <v>1</v>
      </c>
      <c r="I397" s="32" t="n">
        <v>0.5</v>
      </c>
      <c r="J397" s="3" t="n">
        <v>0</v>
      </c>
      <c r="K397" s="32" t="n">
        <v>0</v>
      </c>
      <c r="L397" s="32" t="n">
        <v>0</v>
      </c>
      <c r="M397" s="31" t="n">
        <v>0.32</v>
      </c>
      <c r="N397" s="3" t="inlineStr">
        <is>
          <t>Picnic Blankets &amp; Mats_Manual_Optiwise_24</t>
        </is>
      </c>
      <c r="O397" s="3" t="inlineStr">
        <is>
          <t>exact</t>
        </is>
      </c>
      <c r="P397" s="4" t="n"/>
      <c r="Q397" s="4" t="n"/>
      <c r="R397" s="4" t="inlineStr">
        <is>
          <t>-</t>
        </is>
      </c>
      <c r="S397" s="4" t="n"/>
      <c r="T397" s="4" t="n">
        <v>0</v>
      </c>
      <c r="U397" s="4" t="n">
        <v>0</v>
      </c>
      <c r="V397" s="4" t="n"/>
    </row>
    <row r="398">
      <c r="A398" t="inlineStr">
        <is>
          <t>269371446</t>
        </is>
      </c>
      <c r="B398" s="4" t="n"/>
      <c r="C398" s="31" t="n">
        <v>0.32</v>
      </c>
      <c r="D398" s="31" t="n">
        <v>0</v>
      </c>
      <c r="E398" s="31" t="n">
        <v>0</v>
      </c>
      <c r="F398" s="31" t="n">
        <v>0</v>
      </c>
      <c r="G398" s="3" t="n">
        <v>16</v>
      </c>
      <c r="H398" s="3" t="n">
        <v>1</v>
      </c>
      <c r="I398" s="32" t="n">
        <v>0.06</v>
      </c>
      <c r="J398" s="3" t="n">
        <v>0</v>
      </c>
      <c r="K398" s="32" t="n">
        <v>0</v>
      </c>
      <c r="L398" s="32" t="n">
        <v>0</v>
      </c>
      <c r="M398" s="31" t="n">
        <v>0.32</v>
      </c>
      <c r="N398" s="3" t="inlineStr">
        <is>
          <t>Throws_Manual_Optiwise_24</t>
        </is>
      </c>
      <c r="O398" s="3" t="inlineStr">
        <is>
          <t>phrase</t>
        </is>
      </c>
      <c r="P398" s="4" t="n"/>
      <c r="Q398" s="4" t="n"/>
      <c r="R398" s="4" t="inlineStr">
        <is>
          <t>-</t>
        </is>
      </c>
      <c r="S398" s="4" t="n"/>
      <c r="T398" s="4" t="n">
        <v>0</v>
      </c>
      <c r="U398" s="4" t="n">
        <v>0</v>
      </c>
      <c r="V398" s="4" t="n"/>
    </row>
    <row r="399">
      <c r="A399" t="inlineStr">
        <is>
          <t>2032708066</t>
        </is>
      </c>
      <c r="B399" s="4" t="n"/>
      <c r="C399" s="31" t="n">
        <v>0.31</v>
      </c>
      <c r="D399" s="31" t="n">
        <v>0</v>
      </c>
      <c r="E399" s="31" t="n">
        <v>0</v>
      </c>
      <c r="F399" s="31" t="n">
        <v>0</v>
      </c>
      <c r="G399" s="3" t="n">
        <v>8</v>
      </c>
      <c r="H399" s="3" t="n">
        <v>1</v>
      </c>
      <c r="I399" s="32" t="n">
        <v>0.12</v>
      </c>
      <c r="J399" s="3" t="n">
        <v>0</v>
      </c>
      <c r="K399" s="32" t="n">
        <v>0</v>
      </c>
      <c r="L399" s="32" t="n">
        <v>0</v>
      </c>
      <c r="M399" s="31" t="n">
        <v>0.31</v>
      </c>
      <c r="N399" s="3" t="inlineStr">
        <is>
          <t>1CTBF579GNCAMO_Manual_Optiwise,Throws_Manual_Optiwise_24</t>
        </is>
      </c>
      <c r="O399" s="3" t="inlineStr">
        <is>
          <t>exact</t>
        </is>
      </c>
      <c r="P399" s="4" t="n"/>
      <c r="Q399" s="4" t="n"/>
      <c r="R399" s="4" t="inlineStr">
        <is>
          <t>-</t>
        </is>
      </c>
      <c r="S399" s="4" t="n"/>
      <c r="T399" s="4" t="n">
        <v>0</v>
      </c>
      <c r="U399" s="4" t="n">
        <v>0</v>
      </c>
      <c r="V399" s="4" t="n"/>
    </row>
    <row r="400">
      <c r="A400" t="inlineStr">
        <is>
          <t>camo blankets and throws</t>
        </is>
      </c>
      <c r="B400" s="4" t="n">
        <v>30</v>
      </c>
      <c r="C400" s="31" t="n">
        <v>0.31</v>
      </c>
      <c r="D400" s="31" t="n">
        <v>0</v>
      </c>
      <c r="E400" s="31" t="n">
        <v>0</v>
      </c>
      <c r="F400" s="31" t="n">
        <v>0</v>
      </c>
      <c r="G400" s="3" t="n">
        <v>4</v>
      </c>
      <c r="H400" s="3" t="n">
        <v>1</v>
      </c>
      <c r="I400" s="32" t="n">
        <v>0.25</v>
      </c>
      <c r="J400" s="3" t="n">
        <v>0</v>
      </c>
      <c r="K400" s="32" t="n">
        <v>0</v>
      </c>
      <c r="L400" s="32" t="n"/>
      <c r="M400" s="31" t="n">
        <v>0.31</v>
      </c>
      <c r="N400" s="3" t="inlineStr">
        <is>
          <t>1CTBF579GNCAMO_Manual_Optiwise</t>
        </is>
      </c>
      <c r="O400" s="3" t="inlineStr">
        <is>
          <t>exact</t>
        </is>
      </c>
      <c r="P400" s="4" t="n">
        <v>4</v>
      </c>
      <c r="Q400" s="4" t="n">
        <v>43</v>
      </c>
      <c r="R400" s="4" t="n">
        <v>3</v>
      </c>
      <c r="S400" s="4" t="n">
        <v>4</v>
      </c>
      <c r="T400" s="4" t="n">
        <v>10</v>
      </c>
      <c r="U400" s="4" t="n">
        <v>0</v>
      </c>
      <c r="V400" s="4" t="inlineStr">
        <is>
          <t>768700910 - 12, 1983560818 - 11, 2752031157 - 4, 1361841364 - 43</t>
        </is>
      </c>
    </row>
    <row r="401">
      <c r="A401" t="inlineStr">
        <is>
          <t>kids throw blankets</t>
        </is>
      </c>
      <c r="B401" s="4" t="n"/>
      <c r="C401" s="31" t="n">
        <v>0.31</v>
      </c>
      <c r="D401" s="31" t="n">
        <v>0</v>
      </c>
      <c r="E401" s="31" t="n">
        <v>0</v>
      </c>
      <c r="F401" s="31" t="n">
        <v>0</v>
      </c>
      <c r="G401" s="3" t="n">
        <v>6</v>
      </c>
      <c r="H401" s="3" t="n">
        <v>1</v>
      </c>
      <c r="I401" s="32" t="n">
        <v>0.17</v>
      </c>
      <c r="J401" s="3" t="n">
        <v>0</v>
      </c>
      <c r="K401" s="32" t="n">
        <v>0</v>
      </c>
      <c r="L401" s="32" t="n">
        <v>0</v>
      </c>
      <c r="M401" s="31" t="n">
        <v>0.31</v>
      </c>
      <c r="N401" s="3" t="inlineStr">
        <is>
          <t>Throws_Manual_Optiwise_24</t>
        </is>
      </c>
      <c r="O401" s="3" t="inlineStr">
        <is>
          <t>phrase</t>
        </is>
      </c>
      <c r="P401" s="4" t="n"/>
      <c r="Q401" s="4" t="n"/>
      <c r="R401" s="4" t="inlineStr">
        <is>
          <t>-</t>
        </is>
      </c>
      <c r="S401" s="4" t="n"/>
      <c r="T401" s="4" t="n">
        <v>0</v>
      </c>
      <c r="U401" s="4" t="n">
        <v>0</v>
      </c>
      <c r="V401" s="4" t="n"/>
    </row>
    <row r="402">
      <c r="A402" t="inlineStr">
        <is>
          <t>14801302552</t>
        </is>
      </c>
      <c r="B402" s="4" t="n"/>
      <c r="C402" s="31" t="n">
        <v>0.31</v>
      </c>
      <c r="D402" s="31" t="n">
        <v>0</v>
      </c>
      <c r="E402" s="31" t="n">
        <v>0</v>
      </c>
      <c r="F402" s="31" t="n">
        <v>0</v>
      </c>
      <c r="G402" s="3" t="n">
        <v>2</v>
      </c>
      <c r="H402" s="3" t="n">
        <v>1</v>
      </c>
      <c r="I402" s="32" t="n">
        <v>0.5</v>
      </c>
      <c r="J402" s="3" t="n">
        <v>0</v>
      </c>
      <c r="K402" s="32" t="n">
        <v>0</v>
      </c>
      <c r="L402" s="32" t="n">
        <v>0</v>
      </c>
      <c r="M402" s="31" t="n">
        <v>0.31</v>
      </c>
      <c r="N402" s="3" t="inlineStr">
        <is>
          <t>Throws_Manual_Optiwise_24</t>
        </is>
      </c>
      <c r="O402" s="3" t="inlineStr">
        <is>
          <t>phrase</t>
        </is>
      </c>
      <c r="P402" s="4" t="n"/>
      <c r="Q402" s="4" t="n"/>
      <c r="R402" s="4" t="inlineStr">
        <is>
          <t>-</t>
        </is>
      </c>
      <c r="S402" s="4" t="n"/>
      <c r="T402" s="4" t="n">
        <v>0</v>
      </c>
      <c r="U402" s="4" t="n">
        <v>0</v>
      </c>
      <c r="V402" s="4" t="n"/>
    </row>
    <row r="403">
      <c r="A403" t="inlineStr">
        <is>
          <t>5270201537</t>
        </is>
      </c>
      <c r="B403" s="4" t="n"/>
      <c r="C403" s="31" t="n">
        <v>0.31</v>
      </c>
      <c r="D403" s="31" t="n">
        <v>0</v>
      </c>
      <c r="E403" s="31" t="n">
        <v>0</v>
      </c>
      <c r="F403" s="31" t="n">
        <v>0</v>
      </c>
      <c r="G403" s="3" t="n">
        <v>0</v>
      </c>
      <c r="H403" s="3" t="n">
        <v>1</v>
      </c>
      <c r="I403" s="32" t="n">
        <v>0</v>
      </c>
      <c r="J403" s="3" t="n">
        <v>0</v>
      </c>
      <c r="K403" s="32" t="n">
        <v>0</v>
      </c>
      <c r="L403" s="32" t="n">
        <v>0</v>
      </c>
      <c r="M403" s="31" t="n">
        <v>0.31</v>
      </c>
      <c r="N403" s="3" t="inlineStr">
        <is>
          <t>1CTBF579GNCAMO_Manual_Optiwise</t>
        </is>
      </c>
      <c r="O403" s="3" t="inlineStr">
        <is>
          <t>exact</t>
        </is>
      </c>
      <c r="P403" s="4" t="n"/>
      <c r="Q403" s="4" t="n"/>
      <c r="R403" s="4" t="inlineStr">
        <is>
          <t>-</t>
        </is>
      </c>
      <c r="S403" s="4" t="n"/>
      <c r="T403" s="4" t="n">
        <v>0</v>
      </c>
      <c r="U403" s="4" t="n">
        <v>0</v>
      </c>
      <c r="V403" s="4" t="n"/>
    </row>
    <row r="404">
      <c r="A404" t="inlineStr">
        <is>
          <t>5174309030</t>
        </is>
      </c>
      <c r="B404" s="4" t="n"/>
      <c r="C404" s="31" t="n">
        <v>0.31</v>
      </c>
      <c r="D404" s="31" t="n">
        <v>0</v>
      </c>
      <c r="E404" s="31" t="n">
        <v>0</v>
      </c>
      <c r="F404" s="31" t="n">
        <v>0</v>
      </c>
      <c r="G404" s="3" t="n">
        <v>1</v>
      </c>
      <c r="H404" s="3" t="n">
        <v>1</v>
      </c>
      <c r="I404" s="32" t="n">
        <v>1</v>
      </c>
      <c r="J404" s="3" t="n">
        <v>0</v>
      </c>
      <c r="K404" s="32" t="n">
        <v>0</v>
      </c>
      <c r="L404" s="32" t="n"/>
      <c r="M404" s="31" t="n">
        <v>0.31</v>
      </c>
      <c r="N404" s="3" t="inlineStr">
        <is>
          <t>1CTBF579GNCAMO_Manual_Optiwise</t>
        </is>
      </c>
      <c r="O404" s="3" t="inlineStr">
        <is>
          <t>exact</t>
        </is>
      </c>
      <c r="P404" s="4" t="n"/>
      <c r="Q404" s="4" t="n"/>
      <c r="R404" s="4" t="n">
        <v>0</v>
      </c>
      <c r="S404" s="4" t="n"/>
      <c r="T404" s="4" t="n">
        <v>0</v>
      </c>
      <c r="U404" s="4" t="n">
        <v>0</v>
      </c>
      <c r="V404" s="4" t="n"/>
    </row>
    <row r="405">
      <c r="A405" t="inlineStr">
        <is>
          <t>eggplant throw</t>
        </is>
      </c>
      <c r="B405" s="4" t="n"/>
      <c r="C405" s="31" t="n">
        <v>0.31</v>
      </c>
      <c r="D405" s="31" t="n">
        <v>0</v>
      </c>
      <c r="E405" s="31" t="n">
        <v>0</v>
      </c>
      <c r="F405" s="31" t="n">
        <v>0</v>
      </c>
      <c r="G405" s="3" t="n">
        <v>7</v>
      </c>
      <c r="H405" s="3" t="n">
        <v>1</v>
      </c>
      <c r="I405" s="32" t="n">
        <v>0.14</v>
      </c>
      <c r="J405" s="3" t="n">
        <v>0</v>
      </c>
      <c r="K405" s="32" t="n">
        <v>0</v>
      </c>
      <c r="L405" s="32" t="n">
        <v>0</v>
      </c>
      <c r="M405" s="31" t="n">
        <v>0.31</v>
      </c>
      <c r="N405" s="3" t="inlineStr">
        <is>
          <t>Throws_Manual_Optiwise_24</t>
        </is>
      </c>
      <c r="O405" s="3" t="inlineStr">
        <is>
          <t>phrase</t>
        </is>
      </c>
      <c r="P405" s="4" t="n"/>
      <c r="Q405" s="4" t="n"/>
      <c r="R405" s="4" t="inlineStr">
        <is>
          <t>-</t>
        </is>
      </c>
      <c r="S405" s="4" t="n"/>
      <c r="T405" s="4" t="n">
        <v>0</v>
      </c>
      <c r="U405" s="4" t="n">
        <v>0</v>
      </c>
      <c r="V405" s="4" t="n"/>
    </row>
    <row r="406">
      <c r="A406" t="inlineStr">
        <is>
          <t>chiefs throw</t>
        </is>
      </c>
      <c r="B406" s="4" t="n"/>
      <c r="C406" s="31" t="n">
        <v>0.31</v>
      </c>
      <c r="D406" s="31" t="n">
        <v>0</v>
      </c>
      <c r="E406" s="31" t="n">
        <v>0</v>
      </c>
      <c r="F406" s="31" t="n">
        <v>0</v>
      </c>
      <c r="G406" s="3" t="n">
        <v>2</v>
      </c>
      <c r="H406" s="3" t="n">
        <v>1</v>
      </c>
      <c r="I406" s="32" t="n">
        <v>0.5</v>
      </c>
      <c r="J406" s="3" t="n">
        <v>0</v>
      </c>
      <c r="K406" s="32" t="n">
        <v>0</v>
      </c>
      <c r="L406" s="32" t="n">
        <v>0</v>
      </c>
      <c r="M406" s="31" t="n">
        <v>0.31</v>
      </c>
      <c r="N406" s="3" t="inlineStr">
        <is>
          <t>Throws_Manual_Optiwise_24</t>
        </is>
      </c>
      <c r="O406" s="3" t="inlineStr">
        <is>
          <t>phrase</t>
        </is>
      </c>
      <c r="P406" s="4" t="n"/>
      <c r="Q406" s="4" t="n"/>
      <c r="R406" s="4" t="inlineStr">
        <is>
          <t>-</t>
        </is>
      </c>
      <c r="S406" s="4" t="n"/>
      <c r="T406" s="4" t="n">
        <v>0</v>
      </c>
      <c r="U406" s="4" t="n">
        <v>0</v>
      </c>
      <c r="V406" s="4" t="n"/>
    </row>
    <row r="407">
      <c r="A407" t="inlineStr">
        <is>
          <t>5124238432</t>
        </is>
      </c>
      <c r="B407" s="4" t="n"/>
      <c r="C407" s="31" t="n">
        <v>0.31</v>
      </c>
      <c r="D407" s="31" t="n">
        <v>0</v>
      </c>
      <c r="E407" s="31" t="n">
        <v>0</v>
      </c>
      <c r="F407" s="31" t="n">
        <v>0</v>
      </c>
      <c r="G407" s="3" t="n">
        <v>1</v>
      </c>
      <c r="H407" s="3" t="n">
        <v>1</v>
      </c>
      <c r="I407" s="32" t="n">
        <v>1</v>
      </c>
      <c r="J407" s="3" t="n">
        <v>0</v>
      </c>
      <c r="K407" s="32" t="n">
        <v>0</v>
      </c>
      <c r="L407" s="32" t="n">
        <v>0</v>
      </c>
      <c r="M407" s="31" t="n">
        <v>0.31</v>
      </c>
      <c r="N407" s="3" t="inlineStr">
        <is>
          <t>1WMBW506NYGY-TBCB_Manual_Optiwise</t>
        </is>
      </c>
      <c r="O407" s="3" t="inlineStr">
        <is>
          <t>exact</t>
        </is>
      </c>
      <c r="P407" s="4" t="n"/>
      <c r="Q407" s="4" t="n"/>
      <c r="R407" s="4" t="inlineStr">
        <is>
          <t>-</t>
        </is>
      </c>
      <c r="S407" s="4" t="n"/>
      <c r="T407" s="4" t="n">
        <v>0</v>
      </c>
      <c r="U407" s="4" t="n">
        <v>0</v>
      </c>
      <c r="V407" s="4" t="n"/>
    </row>
    <row r="408">
      <c r="A408" t="inlineStr">
        <is>
          <t>12578361867</t>
        </is>
      </c>
      <c r="B408" s="4" t="n"/>
      <c r="C408" s="31" t="n">
        <v>0.31</v>
      </c>
      <c r="D408" s="31" t="n">
        <v>0</v>
      </c>
      <c r="E408" s="31" t="n">
        <v>0</v>
      </c>
      <c r="F408" s="31" t="n">
        <v>0</v>
      </c>
      <c r="G408" s="3" t="n">
        <v>1</v>
      </c>
      <c r="H408" s="3" t="n">
        <v>1</v>
      </c>
      <c r="I408" s="32" t="n">
        <v>1</v>
      </c>
      <c r="J408" s="3" t="n">
        <v>0</v>
      </c>
      <c r="K408" s="32" t="n">
        <v>0</v>
      </c>
      <c r="L408" s="32" t="n"/>
      <c r="M408" s="31" t="n">
        <v>0.31</v>
      </c>
      <c r="N408" s="3" t="inlineStr">
        <is>
          <t>1CTBF579GNCAMO_Manual_Optiwise</t>
        </is>
      </c>
      <c r="O408" s="3" t="inlineStr">
        <is>
          <t>exact</t>
        </is>
      </c>
      <c r="P408" s="4" t="n"/>
      <c r="Q408" s="4" t="n"/>
      <c r="R408" s="4" t="n">
        <v>0</v>
      </c>
      <c r="S408" s="4" t="n"/>
      <c r="T408" s="4" t="n">
        <v>0</v>
      </c>
      <c r="U408" s="4" t="n">
        <v>0</v>
      </c>
      <c r="V408" s="4" t="n"/>
    </row>
    <row r="409">
      <c r="A409" t="inlineStr">
        <is>
          <t>9361306679</t>
        </is>
      </c>
      <c r="B409" s="4" t="n"/>
      <c r="C409" s="31" t="n">
        <v>0.31</v>
      </c>
      <c r="D409" s="31" t="n">
        <v>0</v>
      </c>
      <c r="E409" s="31" t="n">
        <v>0</v>
      </c>
      <c r="F409" s="31" t="n">
        <v>0</v>
      </c>
      <c r="G409" s="3" t="n">
        <v>2</v>
      </c>
      <c r="H409" s="3" t="n">
        <v>1</v>
      </c>
      <c r="I409" s="32" t="n">
        <v>0.5</v>
      </c>
      <c r="J409" s="3" t="n">
        <v>0</v>
      </c>
      <c r="K409" s="32" t="n">
        <v>0</v>
      </c>
      <c r="L409" s="32" t="n">
        <v>0</v>
      </c>
      <c r="M409" s="31" t="n">
        <v>0.31</v>
      </c>
      <c r="N409" s="3" t="inlineStr">
        <is>
          <t>Throws_Manual_Optiwise_24</t>
        </is>
      </c>
      <c r="O409" s="3" t="inlineStr">
        <is>
          <t>phrase</t>
        </is>
      </c>
      <c r="P409" s="4" t="n"/>
      <c r="Q409" s="4" t="n"/>
      <c r="R409" s="4" t="inlineStr">
        <is>
          <t>-</t>
        </is>
      </c>
      <c r="S409" s="4" t="n"/>
      <c r="T409" s="4" t="n">
        <v>0</v>
      </c>
      <c r="U409" s="4" t="n">
        <v>0</v>
      </c>
      <c r="V409" s="4" t="n"/>
    </row>
    <row r="410">
      <c r="A410" t="inlineStr">
        <is>
          <t>cobijas de sirena</t>
        </is>
      </c>
      <c r="B410" s="4" t="n"/>
      <c r="C410" s="31" t="n">
        <v>0.31</v>
      </c>
      <c r="D410" s="31" t="n">
        <v>0</v>
      </c>
      <c r="E410" s="31" t="n">
        <v>0</v>
      </c>
      <c r="F410" s="31" t="n">
        <v>0</v>
      </c>
      <c r="G410" s="3" t="n">
        <v>4</v>
      </c>
      <c r="H410" s="3" t="n">
        <v>1</v>
      </c>
      <c r="I410" s="32" t="n">
        <v>0.25</v>
      </c>
      <c r="J410" s="3" t="n">
        <v>0</v>
      </c>
      <c r="K410" s="32" t="n">
        <v>0</v>
      </c>
      <c r="L410" s="32" t="n"/>
      <c r="M410" s="31" t="n">
        <v>0.31</v>
      </c>
      <c r="N410" s="3" t="inlineStr">
        <is>
          <t>1CTMM500PK_Manual_Optiwise,High AUR SB_Optiwise</t>
        </is>
      </c>
      <c r="O410" s="3" t="inlineStr">
        <is>
          <t>exact</t>
        </is>
      </c>
      <c r="P410" s="4" t="n"/>
      <c r="Q410" s="4" t="n"/>
      <c r="R410" s="4" t="n">
        <v>0</v>
      </c>
      <c r="S410" s="4" t="n"/>
      <c r="T410" s="4" t="n">
        <v>0</v>
      </c>
      <c r="U410" s="4" t="n">
        <v>0</v>
      </c>
      <c r="V410" s="4" t="n"/>
    </row>
    <row r="411">
      <c r="A411" t="inlineStr">
        <is>
          <t>camaro throw blankets</t>
        </is>
      </c>
      <c r="B411" s="4" t="n"/>
      <c r="C411" s="31" t="n">
        <v>0.31</v>
      </c>
      <c r="D411" s="31" t="n">
        <v>0</v>
      </c>
      <c r="E411" s="31" t="n">
        <v>0</v>
      </c>
      <c r="F411" s="31" t="n">
        <v>0</v>
      </c>
      <c r="G411" s="3" t="n">
        <v>2</v>
      </c>
      <c r="H411" s="3" t="n">
        <v>1</v>
      </c>
      <c r="I411" s="32" t="n">
        <v>0.5</v>
      </c>
      <c r="J411" s="3" t="n">
        <v>0</v>
      </c>
      <c r="K411" s="32" t="n">
        <v>0</v>
      </c>
      <c r="L411" s="32" t="n">
        <v>0</v>
      </c>
      <c r="M411" s="31" t="n">
        <v>0.31</v>
      </c>
      <c r="N411" s="3" t="inlineStr">
        <is>
          <t>Throws_Manual_Optiwise_24</t>
        </is>
      </c>
      <c r="O411" s="3" t="inlineStr">
        <is>
          <t>phrase</t>
        </is>
      </c>
      <c r="P411" s="4" t="n"/>
      <c r="Q411" s="4" t="n"/>
      <c r="R411" s="4" t="inlineStr">
        <is>
          <t>-</t>
        </is>
      </c>
      <c r="S411" s="4" t="n"/>
      <c r="T411" s="4" t="n">
        <v>0</v>
      </c>
      <c r="U411" s="4" t="n">
        <v>0</v>
      </c>
      <c r="V411" s="4" t="n"/>
    </row>
    <row r="412">
      <c r="A412" t="inlineStr">
        <is>
          <t>throw blanket 9.99</t>
        </is>
      </c>
      <c r="B412" s="4" t="n"/>
      <c r="C412" s="31" t="n">
        <v>0.31</v>
      </c>
      <c r="D412" s="31" t="n">
        <v>0</v>
      </c>
      <c r="E412" s="31" t="n">
        <v>0</v>
      </c>
      <c r="F412" s="31" t="n">
        <v>0</v>
      </c>
      <c r="G412" s="3" t="n">
        <v>3</v>
      </c>
      <c r="H412" s="3" t="n">
        <v>1</v>
      </c>
      <c r="I412" s="32" t="n">
        <v>0.33</v>
      </c>
      <c r="J412" s="3" t="n">
        <v>0</v>
      </c>
      <c r="K412" s="32" t="n">
        <v>0</v>
      </c>
      <c r="L412" s="32" t="n">
        <v>0</v>
      </c>
      <c r="M412" s="31" t="n">
        <v>0.31</v>
      </c>
      <c r="N412" s="3" t="inlineStr">
        <is>
          <t>Throws_Manual_Optiwise_24</t>
        </is>
      </c>
      <c r="O412" s="3" t="inlineStr">
        <is>
          <t>phrase</t>
        </is>
      </c>
      <c r="P412" s="4" t="n"/>
      <c r="Q412" s="4" t="n"/>
      <c r="R412" s="4" t="inlineStr">
        <is>
          <t>-</t>
        </is>
      </c>
      <c r="S412" s="4" t="n"/>
      <c r="T412" s="4" t="n">
        <v>0</v>
      </c>
      <c r="U412" s="4" t="n">
        <v>0</v>
      </c>
      <c r="V412" s="4" t="n"/>
    </row>
    <row r="413">
      <c r="A413" t="inlineStr">
        <is>
          <t>311864053</t>
        </is>
      </c>
      <c r="B413" s="4" t="n"/>
      <c r="C413" s="31" t="n">
        <v>0.31</v>
      </c>
      <c r="D413" s="31" t="n">
        <v>0</v>
      </c>
      <c r="E413" s="31" t="n">
        <v>0</v>
      </c>
      <c r="F413" s="31" t="n">
        <v>0</v>
      </c>
      <c r="G413" s="3" t="n">
        <v>1</v>
      </c>
      <c r="H413" s="3" t="n">
        <v>1</v>
      </c>
      <c r="I413" s="32" t="n">
        <v>1</v>
      </c>
      <c r="J413" s="3" t="n">
        <v>0</v>
      </c>
      <c r="K413" s="32" t="n">
        <v>0</v>
      </c>
      <c r="L413" s="32" t="n">
        <v>0</v>
      </c>
      <c r="M413" s="31" t="n">
        <v>0.31</v>
      </c>
      <c r="N413" s="3" t="inlineStr">
        <is>
          <t>Throws_Manual_Optiwise_24</t>
        </is>
      </c>
      <c r="O413" s="3" t="inlineStr">
        <is>
          <t>phrase</t>
        </is>
      </c>
      <c r="P413" s="4" t="n"/>
      <c r="Q413" s="4" t="n"/>
      <c r="R413" s="4" t="inlineStr">
        <is>
          <t>-</t>
        </is>
      </c>
      <c r="S413" s="4" t="n"/>
      <c r="T413" s="4" t="n">
        <v>0</v>
      </c>
      <c r="U413" s="4" t="n">
        <v>0</v>
      </c>
      <c r="V413" s="4" t="n"/>
    </row>
    <row r="414">
      <c r="A414" t="inlineStr">
        <is>
          <t>169981613</t>
        </is>
      </c>
      <c r="B414" s="4" t="n"/>
      <c r="C414" s="31" t="n">
        <v>0.31</v>
      </c>
      <c r="D414" s="31" t="n">
        <v>0</v>
      </c>
      <c r="E414" s="31" t="n">
        <v>0</v>
      </c>
      <c r="F414" s="31" t="n">
        <v>0</v>
      </c>
      <c r="G414" s="3" t="n">
        <v>2</v>
      </c>
      <c r="H414" s="3" t="n">
        <v>1</v>
      </c>
      <c r="I414" s="32" t="n">
        <v>0.5</v>
      </c>
      <c r="J414" s="3" t="n">
        <v>0</v>
      </c>
      <c r="K414" s="32" t="n">
        <v>0</v>
      </c>
      <c r="L414" s="32" t="n">
        <v>0</v>
      </c>
      <c r="M414" s="31" t="n">
        <v>0.31</v>
      </c>
      <c r="N414" s="3" t="inlineStr">
        <is>
          <t>Throws_Manual_Optiwise_24</t>
        </is>
      </c>
      <c r="O414" s="3" t="inlineStr">
        <is>
          <t>phrase</t>
        </is>
      </c>
      <c r="P414" s="4" t="n"/>
      <c r="Q414" s="4" t="n"/>
      <c r="R414" s="4" t="inlineStr">
        <is>
          <t>-</t>
        </is>
      </c>
      <c r="S414" s="4" t="n"/>
      <c r="T414" s="4" t="n">
        <v>0</v>
      </c>
      <c r="U414" s="4" t="n">
        <v>0</v>
      </c>
      <c r="V414" s="4" t="n"/>
    </row>
    <row r="415">
      <c r="A415" t="inlineStr">
        <is>
          <t>14154859657</t>
        </is>
      </c>
      <c r="B415" s="4" t="n"/>
      <c r="C415" s="31" t="n">
        <v>0.31</v>
      </c>
      <c r="D415" s="31" t="n">
        <v>0</v>
      </c>
      <c r="E415" s="31" t="n">
        <v>0</v>
      </c>
      <c r="F415" s="31" t="n">
        <v>0</v>
      </c>
      <c r="G415" s="3" t="n">
        <v>23</v>
      </c>
      <c r="H415" s="3" t="n">
        <v>1</v>
      </c>
      <c r="I415" s="32" t="n">
        <v>0.04</v>
      </c>
      <c r="J415" s="3" t="n">
        <v>0</v>
      </c>
      <c r="K415" s="32" t="n">
        <v>0</v>
      </c>
      <c r="L415" s="32" t="n"/>
      <c r="M415" s="31" t="n">
        <v>0.31</v>
      </c>
      <c r="N415" s="3" t="inlineStr">
        <is>
          <t>1CTBF579GNCAMO_Manual_Optiwise</t>
        </is>
      </c>
      <c r="O415" s="3" t="inlineStr">
        <is>
          <t>exact</t>
        </is>
      </c>
      <c r="P415" s="4" t="n"/>
      <c r="Q415" s="4" t="n"/>
      <c r="R415" s="4" t="n">
        <v>0</v>
      </c>
      <c r="S415" s="4" t="n"/>
      <c r="T415" s="4" t="n">
        <v>0</v>
      </c>
      <c r="U415" s="4" t="n">
        <v>0</v>
      </c>
      <c r="V415" s="4" t="n"/>
    </row>
    <row r="416">
      <c r="A416" t="inlineStr">
        <is>
          <t>burlap throw</t>
        </is>
      </c>
      <c r="B416" s="4" t="n"/>
      <c r="C416" s="31" t="n">
        <v>0.31</v>
      </c>
      <c r="D416" s="31" t="n">
        <v>0</v>
      </c>
      <c r="E416" s="31" t="n">
        <v>0</v>
      </c>
      <c r="F416" s="31" t="n">
        <v>0</v>
      </c>
      <c r="G416" s="3" t="n">
        <v>12</v>
      </c>
      <c r="H416" s="3" t="n">
        <v>1</v>
      </c>
      <c r="I416" s="32" t="n">
        <v>0.08</v>
      </c>
      <c r="J416" s="3" t="n">
        <v>0</v>
      </c>
      <c r="K416" s="32" t="n">
        <v>0</v>
      </c>
      <c r="L416" s="32" t="n">
        <v>0</v>
      </c>
      <c r="M416" s="31" t="n">
        <v>0.31</v>
      </c>
      <c r="N416" s="3" t="inlineStr">
        <is>
          <t>Throws_Manual_Optiwise_24</t>
        </is>
      </c>
      <c r="O416" s="3" t="inlineStr">
        <is>
          <t>phrase</t>
        </is>
      </c>
      <c r="P416" s="4" t="n"/>
      <c r="Q416" s="4" t="n"/>
      <c r="R416" s="4" t="inlineStr">
        <is>
          <t>-</t>
        </is>
      </c>
      <c r="S416" s="4" t="n"/>
      <c r="T416" s="4" t="n">
        <v>0</v>
      </c>
      <c r="U416" s="4" t="n">
        <v>0</v>
      </c>
      <c r="V416" s="4" t="n"/>
    </row>
    <row r="417">
      <c r="A417" t="inlineStr">
        <is>
          <t>mermaid blankey</t>
        </is>
      </c>
      <c r="B417" s="4" t="n"/>
      <c r="C417" s="31" t="n">
        <v>0.31</v>
      </c>
      <c r="D417" s="31" t="n">
        <v>0</v>
      </c>
      <c r="E417" s="31" t="n">
        <v>0</v>
      </c>
      <c r="F417" s="31" t="n">
        <v>0</v>
      </c>
      <c r="G417" s="3" t="n">
        <v>1</v>
      </c>
      <c r="H417" s="3" t="n">
        <v>1</v>
      </c>
      <c r="I417" s="32" t="n">
        <v>1</v>
      </c>
      <c r="J417" s="3" t="n">
        <v>0</v>
      </c>
      <c r="K417" s="32" t="n">
        <v>0</v>
      </c>
      <c r="L417" s="32" t="n"/>
      <c r="M417" s="31" t="n">
        <v>0.31</v>
      </c>
      <c r="N417" s="3" t="inlineStr">
        <is>
          <t>1CTMM500PK_Manual_Optiwise</t>
        </is>
      </c>
      <c r="O417" s="3" t="inlineStr">
        <is>
          <t>exact</t>
        </is>
      </c>
      <c r="P417" s="4" t="n"/>
      <c r="Q417" s="4" t="n"/>
      <c r="R417" s="4" t="n">
        <v>0</v>
      </c>
      <c r="S417" s="4" t="n"/>
      <c r="T417" s="4" t="n">
        <v>0</v>
      </c>
      <c r="U417" s="4" t="n">
        <v>0</v>
      </c>
      <c r="V417" s="4" t="n"/>
    </row>
    <row r="418">
      <c r="A418" t="inlineStr">
        <is>
          <t>5082789494</t>
        </is>
      </c>
      <c r="B418" s="4" t="n"/>
      <c r="C418" s="31" t="n">
        <v>0.31</v>
      </c>
      <c r="D418" s="31" t="n">
        <v>0</v>
      </c>
      <c r="E418" s="31" t="n">
        <v>0</v>
      </c>
      <c r="F418" s="31" t="n">
        <v>0</v>
      </c>
      <c r="G418" s="3" t="n">
        <v>4</v>
      </c>
      <c r="H418" s="3" t="n">
        <v>1</v>
      </c>
      <c r="I418" s="32" t="n">
        <v>0.25</v>
      </c>
      <c r="J418" s="3" t="n">
        <v>0</v>
      </c>
      <c r="K418" s="32" t="n">
        <v>0</v>
      </c>
      <c r="L418" s="32" t="n">
        <v>0</v>
      </c>
      <c r="M418" s="31" t="n">
        <v>0.31</v>
      </c>
      <c r="N418" s="3" t="inlineStr">
        <is>
          <t>1CTMM500PK_Manual_Optiwise</t>
        </is>
      </c>
      <c r="O418" s="3" t="inlineStr">
        <is>
          <t>exact</t>
        </is>
      </c>
      <c r="P418" s="4" t="n"/>
      <c r="Q418" s="4" t="n"/>
      <c r="R418" s="4" t="inlineStr">
        <is>
          <t>-</t>
        </is>
      </c>
      <c r="S418" s="4" t="n"/>
      <c r="T418" s="4" t="n">
        <v>0</v>
      </c>
      <c r="U418" s="4" t="n">
        <v>0</v>
      </c>
      <c r="V418" s="4" t="n"/>
    </row>
    <row r="419">
      <c r="A419" t="inlineStr">
        <is>
          <t>pioneer woman throw</t>
        </is>
      </c>
      <c r="B419" s="4" t="n"/>
      <c r="C419" s="31" t="n">
        <v>0.31</v>
      </c>
      <c r="D419" s="31" t="n">
        <v>0</v>
      </c>
      <c r="E419" s="31" t="n">
        <v>0</v>
      </c>
      <c r="F419" s="31" t="n">
        <v>0</v>
      </c>
      <c r="G419" s="3" t="n">
        <v>3</v>
      </c>
      <c r="H419" s="3" t="n">
        <v>1</v>
      </c>
      <c r="I419" s="32" t="n">
        <v>0.33</v>
      </c>
      <c r="J419" s="3" t="n">
        <v>0</v>
      </c>
      <c r="K419" s="32" t="n">
        <v>0</v>
      </c>
      <c r="L419" s="32" t="n">
        <v>0</v>
      </c>
      <c r="M419" s="31" t="n">
        <v>0.31</v>
      </c>
      <c r="N419" s="3" t="inlineStr">
        <is>
          <t>Throws_Manual_Optiwise_24</t>
        </is>
      </c>
      <c r="O419" s="3" t="inlineStr">
        <is>
          <t>phrase</t>
        </is>
      </c>
      <c r="P419" s="4" t="n"/>
      <c r="Q419" s="4" t="n"/>
      <c r="R419" s="4" t="inlineStr">
        <is>
          <t>-</t>
        </is>
      </c>
      <c r="S419" s="4" t="n"/>
      <c r="T419" s="4" t="n">
        <v>0</v>
      </c>
      <c r="U419" s="4" t="n">
        <v>0</v>
      </c>
      <c r="V419" s="4" t="n"/>
    </row>
    <row r="420">
      <c r="A420" t="inlineStr">
        <is>
          <t>mermaid tail blankey</t>
        </is>
      </c>
      <c r="B420" s="4" t="n"/>
      <c r="C420" s="31" t="n">
        <v>0.31</v>
      </c>
      <c r="D420" s="31" t="n">
        <v>0</v>
      </c>
      <c r="E420" s="31" t="n">
        <v>0</v>
      </c>
      <c r="F420" s="31" t="n">
        <v>0</v>
      </c>
      <c r="G420" s="3" t="n">
        <v>1</v>
      </c>
      <c r="H420" s="3" t="n">
        <v>1</v>
      </c>
      <c r="I420" s="32" t="n">
        <v>1</v>
      </c>
      <c r="J420" s="3" t="n">
        <v>0</v>
      </c>
      <c r="K420" s="32" t="n">
        <v>0</v>
      </c>
      <c r="L420" s="32" t="n"/>
      <c r="M420" s="31" t="n">
        <v>0.31</v>
      </c>
      <c r="N420" s="3" t="inlineStr">
        <is>
          <t>1CTMM500PK_Manual_Optiwise</t>
        </is>
      </c>
      <c r="O420" s="3" t="inlineStr">
        <is>
          <t>exact</t>
        </is>
      </c>
      <c r="P420" s="4" t="n"/>
      <c r="Q420" s="4" t="n"/>
      <c r="R420" s="4" t="n">
        <v>0</v>
      </c>
      <c r="S420" s="4" t="n"/>
      <c r="T420" s="4" t="n">
        <v>0</v>
      </c>
      <c r="U420" s="4" t="n">
        <v>0</v>
      </c>
      <c r="V420" s="4" t="n"/>
    </row>
    <row r="421">
      <c r="A421" t="inlineStr">
        <is>
          <t>throw blanket for daugherty</t>
        </is>
      </c>
      <c r="B421" s="4" t="n"/>
      <c r="C421" s="31" t="n">
        <v>0.31</v>
      </c>
      <c r="D421" s="31" t="n">
        <v>0</v>
      </c>
      <c r="E421" s="31" t="n">
        <v>0</v>
      </c>
      <c r="F421" s="31" t="n">
        <v>0</v>
      </c>
      <c r="G421" s="3" t="n">
        <v>10</v>
      </c>
      <c r="H421" s="3" t="n">
        <v>1</v>
      </c>
      <c r="I421" s="32" t="n">
        <v>0.1</v>
      </c>
      <c r="J421" s="3" t="n">
        <v>0</v>
      </c>
      <c r="K421" s="32" t="n">
        <v>0</v>
      </c>
      <c r="L421" s="32" t="n">
        <v>0</v>
      </c>
      <c r="M421" s="31" t="n">
        <v>0.31</v>
      </c>
      <c r="N421" s="3" t="inlineStr">
        <is>
          <t>Throws_Manual_Optiwise_24</t>
        </is>
      </c>
      <c r="O421" s="3" t="inlineStr">
        <is>
          <t>phrase</t>
        </is>
      </c>
      <c r="P421" s="4" t="n"/>
      <c r="Q421" s="4" t="n"/>
      <c r="R421" s="4" t="inlineStr">
        <is>
          <t>-</t>
        </is>
      </c>
      <c r="S421" s="4" t="n"/>
      <c r="T421" s="4" t="n">
        <v>0</v>
      </c>
      <c r="U421" s="4" t="n">
        <v>0</v>
      </c>
      <c r="V421" s="4" t="n"/>
    </row>
    <row r="422">
      <c r="A422" t="inlineStr">
        <is>
          <t>341220101</t>
        </is>
      </c>
      <c r="B422" s="4" t="n"/>
      <c r="C422" s="31" t="n">
        <v>0.31</v>
      </c>
      <c r="D422" s="31" t="n">
        <v>0</v>
      </c>
      <c r="E422" s="31" t="n">
        <v>0</v>
      </c>
      <c r="F422" s="31" t="n">
        <v>0</v>
      </c>
      <c r="G422" s="3" t="n">
        <v>4</v>
      </c>
      <c r="H422" s="3" t="n">
        <v>1</v>
      </c>
      <c r="I422" s="32" t="n">
        <v>0.25</v>
      </c>
      <c r="J422" s="3" t="n">
        <v>0</v>
      </c>
      <c r="K422" s="32" t="n">
        <v>0</v>
      </c>
      <c r="L422" s="32" t="n">
        <v>0</v>
      </c>
      <c r="M422" s="31" t="n">
        <v>0.31</v>
      </c>
      <c r="N422" s="3" t="inlineStr">
        <is>
          <t>1CTBF579GNCAMO_Manual_Optiwise</t>
        </is>
      </c>
      <c r="O422" s="3" t="inlineStr">
        <is>
          <t>exact</t>
        </is>
      </c>
      <c r="P422" s="4" t="n"/>
      <c r="Q422" s="4" t="n"/>
      <c r="R422" s="4" t="inlineStr">
        <is>
          <t>-</t>
        </is>
      </c>
      <c r="S422" s="4" t="n"/>
      <c r="T422" s="4" t="n">
        <v>0</v>
      </c>
      <c r="U422" s="4" t="n">
        <v>0</v>
      </c>
      <c r="V422" s="4" t="n"/>
    </row>
    <row r="423">
      <c r="A423" t="inlineStr">
        <is>
          <t>13106512148</t>
        </is>
      </c>
      <c r="B423" s="4" t="n"/>
      <c r="C423" s="31" t="n">
        <v>0.31</v>
      </c>
      <c r="D423" s="31" t="n">
        <v>0</v>
      </c>
      <c r="E423" s="31" t="n">
        <v>0</v>
      </c>
      <c r="F423" s="31" t="n">
        <v>0</v>
      </c>
      <c r="G423" s="3" t="n">
        <v>7</v>
      </c>
      <c r="H423" s="3" t="n">
        <v>1</v>
      </c>
      <c r="I423" s="32" t="n">
        <v>0.14</v>
      </c>
      <c r="J423" s="3" t="n">
        <v>0</v>
      </c>
      <c r="K423" s="32" t="n">
        <v>0</v>
      </c>
      <c r="L423" s="32" t="n">
        <v>0</v>
      </c>
      <c r="M423" s="31" t="n">
        <v>0.31</v>
      </c>
      <c r="N423" s="3" t="inlineStr">
        <is>
          <t>Throws_Manual_Optiwise_24</t>
        </is>
      </c>
      <c r="O423" s="3" t="inlineStr">
        <is>
          <t>phrase</t>
        </is>
      </c>
      <c r="P423" s="4" t="n"/>
      <c r="Q423" s="4" t="n"/>
      <c r="R423" s="4" t="inlineStr">
        <is>
          <t>-</t>
        </is>
      </c>
      <c r="S423" s="4" t="n"/>
      <c r="T423" s="4" t="n">
        <v>0</v>
      </c>
      <c r="U423" s="4" t="n">
        <v>0</v>
      </c>
      <c r="V423" s="4" t="n"/>
    </row>
    <row r="424">
      <c r="A424" t="inlineStr">
        <is>
          <t>10875574739</t>
        </is>
      </c>
      <c r="B424" s="4" t="n"/>
      <c r="C424" s="31" t="n">
        <v>0.31</v>
      </c>
      <c r="D424" s="31" t="n">
        <v>0</v>
      </c>
      <c r="E424" s="31" t="n">
        <v>0</v>
      </c>
      <c r="F424" s="31" t="n">
        <v>0</v>
      </c>
      <c r="G424" s="3" t="n">
        <v>1</v>
      </c>
      <c r="H424" s="3" t="n">
        <v>1</v>
      </c>
      <c r="I424" s="32" t="n">
        <v>1</v>
      </c>
      <c r="J424" s="3" t="n">
        <v>0</v>
      </c>
      <c r="K424" s="32" t="n">
        <v>0</v>
      </c>
      <c r="L424" s="32" t="n">
        <v>0</v>
      </c>
      <c r="M424" s="31" t="n">
        <v>0.31</v>
      </c>
      <c r="N424" s="3" t="inlineStr">
        <is>
          <t>1CTBF579GNCAMO_Manual_Optiwise</t>
        </is>
      </c>
      <c r="O424" s="3" t="inlineStr">
        <is>
          <t>exact</t>
        </is>
      </c>
      <c r="P424" s="4" t="n"/>
      <c r="Q424" s="4" t="n"/>
      <c r="R424" s="4" t="inlineStr">
        <is>
          <t>-</t>
        </is>
      </c>
      <c r="S424" s="4" t="n"/>
      <c r="T424" s="4" t="n">
        <v>0</v>
      </c>
      <c r="U424" s="4" t="n">
        <v>0</v>
      </c>
      <c r="V424" s="4" t="n"/>
    </row>
    <row r="425">
      <c r="A425" t="inlineStr">
        <is>
          <t>throw with a hood blank</t>
        </is>
      </c>
      <c r="B425" s="4" t="n"/>
      <c r="C425" s="31" t="n">
        <v>0.31</v>
      </c>
      <c r="D425" s="31" t="n">
        <v>0</v>
      </c>
      <c r="E425" s="31" t="n">
        <v>0</v>
      </c>
      <c r="F425" s="31" t="n">
        <v>0</v>
      </c>
      <c r="G425" s="3" t="n">
        <v>1</v>
      </c>
      <c r="H425" s="3" t="n">
        <v>1</v>
      </c>
      <c r="I425" s="32" t="n">
        <v>1</v>
      </c>
      <c r="J425" s="3" t="n">
        <v>0</v>
      </c>
      <c r="K425" s="32" t="n">
        <v>0</v>
      </c>
      <c r="L425" s="32" t="n">
        <v>0</v>
      </c>
      <c r="M425" s="31" t="n">
        <v>0.31</v>
      </c>
      <c r="N425" s="3" t="inlineStr">
        <is>
          <t>Throws_Manual_Optiwise_24</t>
        </is>
      </c>
      <c r="O425" s="3" t="inlineStr">
        <is>
          <t>phrase</t>
        </is>
      </c>
      <c r="P425" s="4" t="n"/>
      <c r="Q425" s="4" t="n"/>
      <c r="R425" s="4" t="inlineStr">
        <is>
          <t>-</t>
        </is>
      </c>
      <c r="S425" s="4" t="n"/>
      <c r="T425" s="4" t="n">
        <v>0</v>
      </c>
      <c r="U425" s="4" t="n">
        <v>0</v>
      </c>
      <c r="V425" s="4" t="n"/>
    </row>
    <row r="426">
      <c r="A426" t="inlineStr">
        <is>
          <t>staium blanket</t>
        </is>
      </c>
      <c r="B426" s="4" t="n"/>
      <c r="C426" s="31" t="n">
        <v>0.31</v>
      </c>
      <c r="D426" s="31" t="n">
        <v>0</v>
      </c>
      <c r="E426" s="31" t="n">
        <v>0</v>
      </c>
      <c r="F426" s="31" t="n">
        <v>0</v>
      </c>
      <c r="G426" s="3" t="n">
        <v>1</v>
      </c>
      <c r="H426" s="3" t="n">
        <v>1</v>
      </c>
      <c r="I426" s="32" t="n">
        <v>1</v>
      </c>
      <c r="J426" s="3" t="n">
        <v>0</v>
      </c>
      <c r="K426" s="32" t="n">
        <v>0</v>
      </c>
      <c r="L426" s="32" t="n">
        <v>0</v>
      </c>
      <c r="M426" s="31" t="n">
        <v>0.31</v>
      </c>
      <c r="N426" s="3" t="inlineStr">
        <is>
          <t>1WMBW506NYGY-TBCB_Manual_Optiwise</t>
        </is>
      </c>
      <c r="O426" s="3" t="inlineStr">
        <is>
          <t>exact</t>
        </is>
      </c>
      <c r="P426" s="4" t="n"/>
      <c r="Q426" s="4" t="n"/>
      <c r="R426" s="4" t="inlineStr">
        <is>
          <t>-</t>
        </is>
      </c>
      <c r="S426" s="4" t="n"/>
      <c r="T426" s="4" t="n">
        <v>0</v>
      </c>
      <c r="U426" s="4" t="n">
        <v>0</v>
      </c>
      <c r="V426" s="4" t="n"/>
    </row>
    <row r="427">
      <c r="A427" t="inlineStr">
        <is>
          <t>8891962755</t>
        </is>
      </c>
      <c r="B427" s="4" t="n"/>
      <c r="C427" s="31" t="n">
        <v>0.31</v>
      </c>
      <c r="D427" s="31" t="n">
        <v>0</v>
      </c>
      <c r="E427" s="31" t="n">
        <v>0</v>
      </c>
      <c r="F427" s="31" t="n">
        <v>0</v>
      </c>
      <c r="G427" s="3" t="n">
        <v>1</v>
      </c>
      <c r="H427" s="3" t="n">
        <v>1</v>
      </c>
      <c r="I427" s="32" t="n">
        <v>1</v>
      </c>
      <c r="J427" s="3" t="n">
        <v>0</v>
      </c>
      <c r="K427" s="32" t="n">
        <v>0</v>
      </c>
      <c r="L427" s="32" t="n">
        <v>0</v>
      </c>
      <c r="M427" s="31" t="n">
        <v>0.31</v>
      </c>
      <c r="N427" s="3" t="inlineStr">
        <is>
          <t>1CTBF579GNCAMO_Manual_Optiwise</t>
        </is>
      </c>
      <c r="O427" s="3" t="inlineStr">
        <is>
          <t>exact</t>
        </is>
      </c>
      <c r="P427" s="4" t="n"/>
      <c r="Q427" s="4" t="n"/>
      <c r="R427" s="4" t="inlineStr">
        <is>
          <t>-</t>
        </is>
      </c>
      <c r="S427" s="4" t="n"/>
      <c r="T427" s="4" t="n">
        <v>0</v>
      </c>
      <c r="U427" s="4" t="n">
        <v>0</v>
      </c>
      <c r="V427" s="4" t="n"/>
    </row>
    <row r="428">
      <c r="A428" t="inlineStr">
        <is>
          <t>729333410</t>
        </is>
      </c>
      <c r="B428" s="4" t="n"/>
      <c r="C428" s="31" t="n">
        <v>0.31</v>
      </c>
      <c r="D428" s="31" t="n">
        <v>0</v>
      </c>
      <c r="E428" s="31" t="n">
        <v>0</v>
      </c>
      <c r="F428" s="31" t="n">
        <v>0</v>
      </c>
      <c r="G428" s="3" t="n">
        <v>2</v>
      </c>
      <c r="H428" s="3" t="n">
        <v>1</v>
      </c>
      <c r="I428" s="32" t="n">
        <v>0.5</v>
      </c>
      <c r="J428" s="3" t="n">
        <v>0</v>
      </c>
      <c r="K428" s="32" t="n">
        <v>0</v>
      </c>
      <c r="L428" s="32" t="n">
        <v>0</v>
      </c>
      <c r="M428" s="31" t="n">
        <v>0.31</v>
      </c>
      <c r="N428" s="3" t="inlineStr">
        <is>
          <t>1CTBF579GNCAMO_Manual_Optiwise</t>
        </is>
      </c>
      <c r="O428" s="3" t="inlineStr">
        <is>
          <t>exact</t>
        </is>
      </c>
      <c r="P428" s="4" t="n"/>
      <c r="Q428" s="4" t="n"/>
      <c r="R428" s="4" t="inlineStr">
        <is>
          <t>-</t>
        </is>
      </c>
      <c r="S428" s="4" t="n"/>
      <c r="T428" s="4" t="n">
        <v>0</v>
      </c>
      <c r="U428" s="4" t="n">
        <v>0</v>
      </c>
      <c r="V428" s="4" t="n"/>
    </row>
    <row r="429">
      <c r="A429" t="inlineStr">
        <is>
          <t>1226565890</t>
        </is>
      </c>
      <c r="B429" s="4" t="n"/>
      <c r="C429" s="31" t="n">
        <v>0.31</v>
      </c>
      <c r="D429" s="31" t="n">
        <v>0</v>
      </c>
      <c r="E429" s="31" t="n">
        <v>0</v>
      </c>
      <c r="F429" s="31" t="n">
        <v>0</v>
      </c>
      <c r="G429" s="3" t="n">
        <v>4</v>
      </c>
      <c r="H429" s="3" t="n">
        <v>1</v>
      </c>
      <c r="I429" s="32" t="n">
        <v>0.25</v>
      </c>
      <c r="J429" s="3" t="n">
        <v>0</v>
      </c>
      <c r="K429" s="32" t="n">
        <v>0</v>
      </c>
      <c r="L429" s="32" t="n">
        <v>0</v>
      </c>
      <c r="M429" s="31" t="n">
        <v>0.31</v>
      </c>
      <c r="N429" s="3" t="inlineStr">
        <is>
          <t>1CTBF579GNCAMO_Manual_Optiwise</t>
        </is>
      </c>
      <c r="O429" s="3" t="inlineStr">
        <is>
          <t>exact</t>
        </is>
      </c>
      <c r="P429" s="4" t="n"/>
      <c r="Q429" s="4" t="n"/>
      <c r="R429" s="4" t="inlineStr">
        <is>
          <t>-</t>
        </is>
      </c>
      <c r="S429" s="4" t="n"/>
      <c r="T429" s="4" t="n">
        <v>0</v>
      </c>
      <c r="U429" s="4" t="n">
        <v>0</v>
      </c>
      <c r="V429" s="4" t="n"/>
    </row>
    <row r="430">
      <c r="A430" t="inlineStr">
        <is>
          <t>212399897</t>
        </is>
      </c>
      <c r="B430" s="4" t="n"/>
      <c r="C430" s="31" t="n">
        <v>0.31</v>
      </c>
      <c r="D430" s="31" t="n">
        <v>0</v>
      </c>
      <c r="E430" s="31" t="n">
        <v>0</v>
      </c>
      <c r="F430" s="31" t="n">
        <v>0</v>
      </c>
      <c r="G430" s="3" t="n">
        <v>6</v>
      </c>
      <c r="H430" s="3" t="n">
        <v>1</v>
      </c>
      <c r="I430" s="32" t="n">
        <v>0.17</v>
      </c>
      <c r="J430" s="3" t="n">
        <v>0</v>
      </c>
      <c r="K430" s="32" t="n">
        <v>0</v>
      </c>
      <c r="L430" s="32" t="n">
        <v>0</v>
      </c>
      <c r="M430" s="31" t="n">
        <v>0.31</v>
      </c>
      <c r="N430" s="3" t="inlineStr">
        <is>
          <t>1CTBF579GNCAMO_Manual_Optiwise</t>
        </is>
      </c>
      <c r="O430" s="3" t="inlineStr">
        <is>
          <t>exact</t>
        </is>
      </c>
      <c r="P430" s="4" t="n"/>
      <c r="Q430" s="4" t="n"/>
      <c r="R430" s="4" t="inlineStr">
        <is>
          <t>-</t>
        </is>
      </c>
      <c r="S430" s="4" t="n"/>
      <c r="T430" s="4" t="n">
        <v>0</v>
      </c>
      <c r="U430" s="4" t="n">
        <v>0</v>
      </c>
      <c r="V430" s="4" t="n"/>
    </row>
    <row r="431">
      <c r="A431" t="inlineStr">
        <is>
          <t>378639354</t>
        </is>
      </c>
      <c r="B431" s="4" t="n"/>
      <c r="C431" s="31" t="n">
        <v>0.31</v>
      </c>
      <c r="D431" s="31" t="n">
        <v>0</v>
      </c>
      <c r="E431" s="31" t="n">
        <v>0</v>
      </c>
      <c r="F431" s="31" t="n">
        <v>0</v>
      </c>
      <c r="G431" s="3" t="n">
        <v>2</v>
      </c>
      <c r="H431" s="3" t="n">
        <v>1</v>
      </c>
      <c r="I431" s="32" t="n">
        <v>0.5</v>
      </c>
      <c r="J431" s="3" t="n">
        <v>0</v>
      </c>
      <c r="K431" s="32" t="n">
        <v>0</v>
      </c>
      <c r="L431" s="32" t="n">
        <v>0</v>
      </c>
      <c r="M431" s="31" t="n">
        <v>0.31</v>
      </c>
      <c r="N431" s="3" t="inlineStr">
        <is>
          <t>Manual for Waterproof Blanket--Lily,Throws_Manual_Optiwise_24</t>
        </is>
      </c>
      <c r="O431" s="3" t="inlineStr">
        <is>
          <t>exact</t>
        </is>
      </c>
      <c r="P431" s="4" t="n"/>
      <c r="Q431" s="4" t="n"/>
      <c r="R431" s="4" t="inlineStr">
        <is>
          <t>-</t>
        </is>
      </c>
      <c r="S431" s="4" t="n"/>
      <c r="T431" s="4" t="n">
        <v>0</v>
      </c>
      <c r="U431" s="4" t="n">
        <v>0</v>
      </c>
      <c r="V431" s="4" t="n"/>
    </row>
    <row r="432">
      <c r="A432" t="inlineStr">
        <is>
          <t>camping blaket</t>
        </is>
      </c>
      <c r="B432" s="4" t="n"/>
      <c r="C432" s="31" t="n">
        <v>0.31</v>
      </c>
      <c r="D432" s="31" t="n">
        <v>0</v>
      </c>
      <c r="E432" s="31" t="n">
        <v>0</v>
      </c>
      <c r="F432" s="31" t="n">
        <v>0</v>
      </c>
      <c r="G432" s="3" t="n">
        <v>2</v>
      </c>
      <c r="H432" s="3" t="n">
        <v>1</v>
      </c>
      <c r="I432" s="32" t="n">
        <v>0.5</v>
      </c>
      <c r="J432" s="3" t="n">
        <v>0</v>
      </c>
      <c r="K432" s="32" t="n">
        <v>0</v>
      </c>
      <c r="L432" s="32" t="n">
        <v>0</v>
      </c>
      <c r="M432" s="31" t="n">
        <v>0.31</v>
      </c>
      <c r="N432" s="3" t="inlineStr">
        <is>
          <t>Picnic Blankets &amp; Mats_Manual_Optiwise_24</t>
        </is>
      </c>
      <c r="O432" s="3" t="inlineStr">
        <is>
          <t>exact</t>
        </is>
      </c>
      <c r="P432" s="4" t="n"/>
      <c r="Q432" s="4" t="n"/>
      <c r="R432" s="4" t="inlineStr">
        <is>
          <t>-</t>
        </is>
      </c>
      <c r="S432" s="4" t="n"/>
      <c r="T432" s="4" t="n">
        <v>0</v>
      </c>
      <c r="U432" s="4" t="n">
        <v>0</v>
      </c>
      <c r="V432" s="4" t="n"/>
    </row>
    <row r="433">
      <c r="A433" t="inlineStr">
        <is>
          <t>249353542</t>
        </is>
      </c>
      <c r="B433" s="4" t="n"/>
      <c r="C433" s="31" t="n">
        <v>0.31</v>
      </c>
      <c r="D433" s="31" t="n">
        <v>0</v>
      </c>
      <c r="E433" s="31" t="n">
        <v>0</v>
      </c>
      <c r="F433" s="31" t="n">
        <v>0</v>
      </c>
      <c r="G433" s="3" t="n">
        <v>4</v>
      </c>
      <c r="H433" s="3" t="n">
        <v>1</v>
      </c>
      <c r="I433" s="32" t="n">
        <v>0.25</v>
      </c>
      <c r="J433" s="3" t="n">
        <v>0</v>
      </c>
      <c r="K433" s="32" t="n">
        <v>0</v>
      </c>
      <c r="L433" s="32" t="n">
        <v>0</v>
      </c>
      <c r="M433" s="31" t="n">
        <v>0.31</v>
      </c>
      <c r="N433" s="3" t="inlineStr">
        <is>
          <t>1CTBP120GY_Manual_Optiwise,Throws_Manual_Optiwise_24</t>
        </is>
      </c>
      <c r="O433" s="3" t="inlineStr">
        <is>
          <t>exact</t>
        </is>
      </c>
      <c r="P433" s="4" t="n"/>
      <c r="Q433" s="4" t="n"/>
      <c r="R433" s="4" t="inlineStr">
        <is>
          <t>-</t>
        </is>
      </c>
      <c r="S433" s="4" t="n"/>
      <c r="T433" s="4" t="n">
        <v>0</v>
      </c>
      <c r="U433" s="4" t="n">
        <v>0</v>
      </c>
      <c r="V433" s="4" t="n"/>
    </row>
    <row r="434">
      <c r="A434" t="inlineStr">
        <is>
          <t>mermaid blankets</t>
        </is>
      </c>
      <c r="B434" s="4" t="n"/>
      <c r="C434" s="31" t="n">
        <v>0.31</v>
      </c>
      <c r="D434" s="31" t="n">
        <v>0</v>
      </c>
      <c r="E434" s="31" t="n">
        <v>0</v>
      </c>
      <c r="F434" s="31" t="n">
        <v>0</v>
      </c>
      <c r="G434" s="3" t="n">
        <v>1</v>
      </c>
      <c r="H434" s="3" t="n">
        <v>1</v>
      </c>
      <c r="I434" s="32" t="n">
        <v>1</v>
      </c>
      <c r="J434" s="3" t="n">
        <v>0</v>
      </c>
      <c r="K434" s="32" t="n">
        <v>0</v>
      </c>
      <c r="L434" s="32" t="n"/>
      <c r="M434" s="31" t="n">
        <v>0.31</v>
      </c>
      <c r="N434" s="3" t="inlineStr">
        <is>
          <t>1CTMM500PK_Manual_Optiwise,High AUR SB_Optiwise</t>
        </is>
      </c>
      <c r="O434" s="3" t="inlineStr">
        <is>
          <t>exact</t>
        </is>
      </c>
      <c r="P434" s="4" t="n"/>
      <c r="Q434" s="4" t="n"/>
      <c r="R434" s="4" t="n">
        <v>0</v>
      </c>
      <c r="S434" s="4" t="n"/>
      <c r="T434" s="4" t="n">
        <v>0</v>
      </c>
      <c r="U434" s="4" t="n">
        <v>0</v>
      </c>
      <c r="V434" s="4" t="n"/>
    </row>
    <row r="435">
      <c r="A435" t="inlineStr">
        <is>
          <t>357398446</t>
        </is>
      </c>
      <c r="B435" s="4" t="n"/>
      <c r="C435" s="31" t="n">
        <v>0.31</v>
      </c>
      <c r="D435" s="31" t="n">
        <v>0</v>
      </c>
      <c r="E435" s="31" t="n">
        <v>0</v>
      </c>
      <c r="F435" s="31" t="n">
        <v>0</v>
      </c>
      <c r="G435" s="3" t="n">
        <v>6</v>
      </c>
      <c r="H435" s="3" t="n">
        <v>1</v>
      </c>
      <c r="I435" s="32" t="n">
        <v>0.17</v>
      </c>
      <c r="J435" s="3" t="n">
        <v>0</v>
      </c>
      <c r="K435" s="32" t="n">
        <v>0</v>
      </c>
      <c r="L435" s="32" t="n">
        <v>0</v>
      </c>
      <c r="M435" s="31" t="n">
        <v>0.31</v>
      </c>
      <c r="N435" s="3" t="inlineStr">
        <is>
          <t>1CTBP120GY_Manual_Optiwise,Throws_Manual_Optiwise_24</t>
        </is>
      </c>
      <c r="O435" s="3" t="inlineStr">
        <is>
          <t>exact</t>
        </is>
      </c>
      <c r="P435" s="4" t="n"/>
      <c r="Q435" s="4" t="n"/>
      <c r="R435" s="4" t="inlineStr">
        <is>
          <t>-</t>
        </is>
      </c>
      <c r="S435" s="4" t="n"/>
      <c r="T435" s="4" t="n">
        <v>0</v>
      </c>
      <c r="U435" s="4" t="n">
        <v>0</v>
      </c>
      <c r="V435" s="4" t="n"/>
    </row>
    <row r="436">
      <c r="A436" t="inlineStr">
        <is>
          <t>5191589609</t>
        </is>
      </c>
      <c r="B436" s="4" t="n"/>
      <c r="C436" s="31" t="n">
        <v>0.31</v>
      </c>
      <c r="D436" s="31" t="n">
        <v>0</v>
      </c>
      <c r="E436" s="31" t="n">
        <v>0</v>
      </c>
      <c r="F436" s="31" t="n">
        <v>0</v>
      </c>
      <c r="G436" s="3" t="n">
        <v>2</v>
      </c>
      <c r="H436" s="3" t="n">
        <v>1</v>
      </c>
      <c r="I436" s="32" t="n">
        <v>0.5</v>
      </c>
      <c r="J436" s="3" t="n">
        <v>0</v>
      </c>
      <c r="K436" s="32" t="n">
        <v>0</v>
      </c>
      <c r="L436" s="32" t="n"/>
      <c r="M436" s="31" t="n">
        <v>0.31</v>
      </c>
      <c r="N436" s="3" t="inlineStr">
        <is>
          <t>1CTBF579GNCAMO_Manual_Optiwise</t>
        </is>
      </c>
      <c r="O436" s="3" t="inlineStr">
        <is>
          <t>exact</t>
        </is>
      </c>
      <c r="P436" s="4" t="n"/>
      <c r="Q436" s="4" t="n"/>
      <c r="R436" s="4" t="n">
        <v>0</v>
      </c>
      <c r="S436" s="4" t="n"/>
      <c r="T436" s="4" t="n">
        <v>0</v>
      </c>
      <c r="U436" s="4" t="n">
        <v>0</v>
      </c>
      <c r="V436" s="4" t="n"/>
    </row>
    <row r="437">
      <c r="A437" t="inlineStr">
        <is>
          <t>holiday throw</t>
        </is>
      </c>
      <c r="B437" s="4" t="n"/>
      <c r="C437" s="31" t="n">
        <v>0.31</v>
      </c>
      <c r="D437" s="31" t="n">
        <v>0</v>
      </c>
      <c r="E437" s="31" t="n">
        <v>0</v>
      </c>
      <c r="F437" s="31" t="n">
        <v>0</v>
      </c>
      <c r="G437" s="3" t="n">
        <v>3</v>
      </c>
      <c r="H437" s="3" t="n">
        <v>1</v>
      </c>
      <c r="I437" s="32" t="n">
        <v>0.33</v>
      </c>
      <c r="J437" s="3" t="n">
        <v>0</v>
      </c>
      <c r="K437" s="32" t="n">
        <v>0</v>
      </c>
      <c r="L437" s="32" t="n">
        <v>0</v>
      </c>
      <c r="M437" s="31" t="n">
        <v>0.31</v>
      </c>
      <c r="N437" s="3" t="inlineStr">
        <is>
          <t>Throws_Manual_Optiwise_24</t>
        </is>
      </c>
      <c r="O437" s="3" t="inlineStr">
        <is>
          <t>phrase</t>
        </is>
      </c>
      <c r="P437" s="4" t="n"/>
      <c r="Q437" s="4" t="n"/>
      <c r="R437" s="4" t="inlineStr">
        <is>
          <t>-</t>
        </is>
      </c>
      <c r="S437" s="4" t="n"/>
      <c r="T437" s="4" t="n">
        <v>0</v>
      </c>
      <c r="U437" s="4" t="n">
        <v>0</v>
      </c>
      <c r="V437" s="4" t="n"/>
    </row>
    <row r="438">
      <c r="A438" t="inlineStr">
        <is>
          <t>700944003</t>
        </is>
      </c>
      <c r="B438" s="4" t="n"/>
      <c r="C438" s="31" t="n">
        <v>0.31</v>
      </c>
      <c r="D438" s="31" t="n">
        <v>0</v>
      </c>
      <c r="E438" s="31" t="n">
        <v>0</v>
      </c>
      <c r="F438" s="31" t="n">
        <v>0</v>
      </c>
      <c r="G438" s="3" t="n">
        <v>2</v>
      </c>
      <c r="H438" s="3" t="n">
        <v>1</v>
      </c>
      <c r="I438" s="32" t="n">
        <v>0.5</v>
      </c>
      <c r="J438" s="3" t="n">
        <v>0</v>
      </c>
      <c r="K438" s="32" t="n">
        <v>0</v>
      </c>
      <c r="L438" s="32" t="n"/>
      <c r="M438" s="31" t="n">
        <v>0.31</v>
      </c>
      <c r="N438" s="3" t="inlineStr">
        <is>
          <t>1CTBF579GNCAMO_Manual_Optiwise</t>
        </is>
      </c>
      <c r="O438" s="3" t="inlineStr">
        <is>
          <t>exact</t>
        </is>
      </c>
      <c r="P438" s="4" t="n"/>
      <c r="Q438" s="4" t="n"/>
      <c r="R438" s="4" t="n">
        <v>0</v>
      </c>
      <c r="S438" s="4" t="n"/>
      <c r="T438" s="4" t="n">
        <v>0</v>
      </c>
      <c r="U438" s="4" t="n">
        <v>0</v>
      </c>
      <c r="V438" s="4" t="n"/>
    </row>
    <row r="439">
      <c r="A439" t="inlineStr">
        <is>
          <t>throw</t>
        </is>
      </c>
      <c r="B439" s="4" t="n">
        <v>10</v>
      </c>
      <c r="C439" s="31" t="n">
        <v>0.31</v>
      </c>
      <c r="D439" s="31" t="n">
        <v>0</v>
      </c>
      <c r="E439" s="31" t="n">
        <v>0</v>
      </c>
      <c r="F439" s="31" t="n">
        <v>0</v>
      </c>
      <c r="G439" s="3" t="n">
        <v>456</v>
      </c>
      <c r="H439" s="3" t="n">
        <v>1</v>
      </c>
      <c r="I439" s="32" t="n">
        <v>0</v>
      </c>
      <c r="J439" s="3" t="n">
        <v>0</v>
      </c>
      <c r="K439" s="32" t="n">
        <v>0</v>
      </c>
      <c r="L439" s="32" t="n">
        <v>0</v>
      </c>
      <c r="M439" s="31" t="n">
        <v>0.31</v>
      </c>
      <c r="N439" s="3" t="inlineStr">
        <is>
          <t>Throws_Manual_Optiwise_24</t>
        </is>
      </c>
      <c r="O439" s="3" t="inlineStr">
        <is>
          <t>phrase</t>
        </is>
      </c>
      <c r="P439" s="4" t="n"/>
      <c r="Q439" s="4" t="n"/>
      <c r="R439" s="4" t="inlineStr">
        <is>
          <t>-</t>
        </is>
      </c>
      <c r="S439" s="4" t="n"/>
      <c r="T439" s="4" t="n">
        <v>0</v>
      </c>
      <c r="U439" s="4" t="n">
        <v>0</v>
      </c>
      <c r="V439" s="4" t="n"/>
    </row>
    <row r="440">
      <c r="A440" t="inlineStr">
        <is>
          <t>355903793</t>
        </is>
      </c>
      <c r="B440" s="4" t="n"/>
      <c r="C440" s="31" t="n">
        <v>0.31</v>
      </c>
      <c r="D440" s="31" t="n">
        <v>0</v>
      </c>
      <c r="E440" s="31" t="n">
        <v>0</v>
      </c>
      <c r="F440" s="31" t="n">
        <v>0</v>
      </c>
      <c r="G440" s="3" t="n">
        <v>97</v>
      </c>
      <c r="H440" s="3" t="n">
        <v>1</v>
      </c>
      <c r="I440" s="32" t="n">
        <v>0.01</v>
      </c>
      <c r="J440" s="3" t="n">
        <v>0</v>
      </c>
      <c r="K440" s="32" t="n">
        <v>0</v>
      </c>
      <c r="L440" s="32" t="n"/>
      <c r="M440" s="31" t="n">
        <v>0.31</v>
      </c>
      <c r="N440" s="3" t="inlineStr">
        <is>
          <t>1CTBF579GNCAMO_Manual_Optiwise</t>
        </is>
      </c>
      <c r="O440" s="3" t="inlineStr">
        <is>
          <t>exact</t>
        </is>
      </c>
      <c r="P440" s="4" t="n"/>
      <c r="Q440" s="4" t="n"/>
      <c r="R440" s="4" t="n">
        <v>0</v>
      </c>
      <c r="S440" s="4" t="n"/>
      <c r="T440" s="4" t="n">
        <v>0</v>
      </c>
      <c r="U440" s="4" t="n">
        <v>0</v>
      </c>
      <c r="V440" s="4" t="n"/>
    </row>
    <row r="441">
      <c r="A441" t="inlineStr">
        <is>
          <t>tweetythrow blanket</t>
        </is>
      </c>
      <c r="B441" s="4" t="n"/>
      <c r="C441" s="31" t="n">
        <v>0.31</v>
      </c>
      <c r="D441" s="31" t="n">
        <v>0</v>
      </c>
      <c r="E441" s="31" t="n">
        <v>0</v>
      </c>
      <c r="F441" s="31" t="n">
        <v>0</v>
      </c>
      <c r="G441" s="3" t="n">
        <v>9</v>
      </c>
      <c r="H441" s="3" t="n">
        <v>1</v>
      </c>
      <c r="I441" s="32" t="n">
        <v>0.11</v>
      </c>
      <c r="J441" s="3" t="n">
        <v>0</v>
      </c>
      <c r="K441" s="32" t="n">
        <v>0</v>
      </c>
      <c r="L441" s="32" t="n">
        <v>0</v>
      </c>
      <c r="M441" s="31" t="n">
        <v>0.31</v>
      </c>
      <c r="N441" s="3" t="inlineStr">
        <is>
          <t>Throws_Manual_Optiwise_24</t>
        </is>
      </c>
      <c r="O441" s="3" t="inlineStr">
        <is>
          <t>phrase</t>
        </is>
      </c>
      <c r="P441" s="4" t="n"/>
      <c r="Q441" s="4" t="n"/>
      <c r="R441" s="4" t="inlineStr">
        <is>
          <t>-</t>
        </is>
      </c>
      <c r="S441" s="4" t="n"/>
      <c r="T441" s="4" t="n">
        <v>0</v>
      </c>
      <c r="U441" s="4" t="n">
        <v>0</v>
      </c>
      <c r="V441" s="4" t="n"/>
    </row>
    <row r="442">
      <c r="A442" t="inlineStr">
        <is>
          <t>fleese throw with trombones</t>
        </is>
      </c>
      <c r="B442" s="4" t="n"/>
      <c r="C442" s="31" t="n">
        <v>0.31</v>
      </c>
      <c r="D442" s="31" t="n">
        <v>0</v>
      </c>
      <c r="E442" s="31" t="n">
        <v>0</v>
      </c>
      <c r="F442" s="31" t="n">
        <v>0</v>
      </c>
      <c r="G442" s="3" t="n">
        <v>5</v>
      </c>
      <c r="H442" s="3" t="n">
        <v>1</v>
      </c>
      <c r="I442" s="32" t="n">
        <v>0.2</v>
      </c>
      <c r="J442" s="3" t="n">
        <v>0</v>
      </c>
      <c r="K442" s="32" t="n">
        <v>0</v>
      </c>
      <c r="L442" s="32" t="n">
        <v>0</v>
      </c>
      <c r="M442" s="31" t="n">
        <v>0.31</v>
      </c>
      <c r="N442" s="3" t="inlineStr">
        <is>
          <t>Throws_Manual_Optiwise_24</t>
        </is>
      </c>
      <c r="O442" s="3" t="inlineStr">
        <is>
          <t>phrase</t>
        </is>
      </c>
      <c r="P442" s="4" t="n"/>
      <c r="Q442" s="4" t="n"/>
      <c r="R442" s="4" t="inlineStr">
        <is>
          <t>-</t>
        </is>
      </c>
      <c r="S442" s="4" t="n"/>
      <c r="T442" s="4" t="n">
        <v>0</v>
      </c>
      <c r="U442" s="4" t="n">
        <v>0</v>
      </c>
      <c r="V442" s="4" t="n"/>
    </row>
    <row r="443">
      <c r="A443" t="inlineStr">
        <is>
          <t>587404978</t>
        </is>
      </c>
      <c r="B443" s="4" t="n"/>
      <c r="C443" s="31" t="n">
        <v>0.31</v>
      </c>
      <c r="D443" s="31" t="n">
        <v>0</v>
      </c>
      <c r="E443" s="31" t="n">
        <v>0</v>
      </c>
      <c r="F443" s="31" t="n">
        <v>0</v>
      </c>
      <c r="G443" s="3" t="n">
        <v>47</v>
      </c>
      <c r="H443" s="3" t="n">
        <v>1</v>
      </c>
      <c r="I443" s="32" t="n">
        <v>0.02</v>
      </c>
      <c r="J443" s="3" t="n">
        <v>0</v>
      </c>
      <c r="K443" s="32" t="n">
        <v>0</v>
      </c>
      <c r="L443" s="32" t="n"/>
      <c r="M443" s="31" t="n">
        <v>0.31</v>
      </c>
      <c r="N443" s="3" t="inlineStr">
        <is>
          <t>1CTBF579GNCAMO_Manual_Optiwise,Throws_Manual_Optiwise_24</t>
        </is>
      </c>
      <c r="O443" s="3" t="inlineStr">
        <is>
          <t>exact</t>
        </is>
      </c>
      <c r="P443" s="4" t="n"/>
      <c r="Q443" s="4" t="n"/>
      <c r="R443" s="4" t="n">
        <v>0</v>
      </c>
      <c r="S443" s="4" t="n"/>
      <c r="T443" s="4" t="n">
        <v>0</v>
      </c>
      <c r="U443" s="4" t="n">
        <v>0</v>
      </c>
      <c r="V443" s="4" t="n"/>
    </row>
    <row r="444">
      <c r="A444" t="inlineStr">
        <is>
          <t>410899618</t>
        </is>
      </c>
      <c r="B444" s="4" t="n"/>
      <c r="C444" s="31" t="n">
        <v>0.31</v>
      </c>
      <c r="D444" s="31" t="n">
        <v>0</v>
      </c>
      <c r="E444" s="31" t="n">
        <v>0</v>
      </c>
      <c r="F444" s="31" t="n">
        <v>0</v>
      </c>
      <c r="G444" s="3" t="n">
        <v>4</v>
      </c>
      <c r="H444" s="3" t="n">
        <v>1</v>
      </c>
      <c r="I444" s="32" t="n">
        <v>0.25</v>
      </c>
      <c r="J444" s="3" t="n">
        <v>0</v>
      </c>
      <c r="K444" s="32" t="n">
        <v>0</v>
      </c>
      <c r="L444" s="32" t="n">
        <v>0</v>
      </c>
      <c r="M444" s="31" t="n">
        <v>0.31</v>
      </c>
      <c r="N444" s="3" t="inlineStr">
        <is>
          <t>Throws_Manual_Optiwise_24</t>
        </is>
      </c>
      <c r="O444" s="3" t="inlineStr">
        <is>
          <t>phrase</t>
        </is>
      </c>
      <c r="P444" s="4" t="n"/>
      <c r="Q444" s="4" t="n"/>
      <c r="R444" s="4" t="inlineStr">
        <is>
          <t>-</t>
        </is>
      </c>
      <c r="S444" s="4" t="n"/>
      <c r="T444" s="4" t="n">
        <v>0</v>
      </c>
      <c r="U444" s="4" t="n">
        <v>0</v>
      </c>
      <c r="V444" s="4" t="n"/>
    </row>
    <row r="445">
      <c r="A445" t="inlineStr">
        <is>
          <t>10650014732</t>
        </is>
      </c>
      <c r="B445" s="4" t="n"/>
      <c r="C445" s="31" t="n">
        <v>0.31</v>
      </c>
      <c r="D445" s="31" t="n">
        <v>0</v>
      </c>
      <c r="E445" s="31" t="n">
        <v>0</v>
      </c>
      <c r="F445" s="31" t="n">
        <v>0</v>
      </c>
      <c r="G445" s="3" t="n">
        <v>0</v>
      </c>
      <c r="H445" s="3" t="n">
        <v>1</v>
      </c>
      <c r="I445" s="32" t="n">
        <v>0</v>
      </c>
      <c r="J445" s="3" t="n">
        <v>0</v>
      </c>
      <c r="K445" s="32" t="n">
        <v>0</v>
      </c>
      <c r="L445" s="32" t="n"/>
      <c r="M445" s="31" t="n">
        <v>0.31</v>
      </c>
      <c r="N445" s="3" t="inlineStr">
        <is>
          <t>1CTBF579GNCAMO_Manual_Optiwise</t>
        </is>
      </c>
      <c r="O445" s="3" t="inlineStr">
        <is>
          <t>exact</t>
        </is>
      </c>
      <c r="P445" s="4" t="n"/>
      <c r="Q445" s="4" t="n"/>
      <c r="R445" s="4" t="n">
        <v>0</v>
      </c>
      <c r="S445" s="4" t="n"/>
      <c r="T445" s="4" t="n">
        <v>0</v>
      </c>
      <c r="U445" s="4" t="n">
        <v>0</v>
      </c>
      <c r="V445" s="4" t="n"/>
    </row>
    <row r="446">
      <c r="A446" t="inlineStr">
        <is>
          <t>8464000615</t>
        </is>
      </c>
      <c r="B446" s="4" t="n"/>
      <c r="C446" s="31" t="n">
        <v>0.31</v>
      </c>
      <c r="D446" s="31" t="n">
        <v>0</v>
      </c>
      <c r="E446" s="31" t="n">
        <v>0</v>
      </c>
      <c r="F446" s="31" t="n">
        <v>0</v>
      </c>
      <c r="G446" s="3" t="n">
        <v>9</v>
      </c>
      <c r="H446" s="3" t="n">
        <v>1</v>
      </c>
      <c r="I446" s="32" t="n">
        <v>0.11</v>
      </c>
      <c r="J446" s="3" t="n">
        <v>0</v>
      </c>
      <c r="K446" s="32" t="n">
        <v>0</v>
      </c>
      <c r="L446" s="32" t="n"/>
      <c r="M446" s="31" t="n">
        <v>0.31</v>
      </c>
      <c r="N446" s="3" t="inlineStr">
        <is>
          <t>1CTBF579GNCAMO_Manual_Optiwise</t>
        </is>
      </c>
      <c r="O446" s="3" t="inlineStr">
        <is>
          <t>exact</t>
        </is>
      </c>
      <c r="P446" s="4" t="n"/>
      <c r="Q446" s="4" t="n"/>
      <c r="R446" s="4" t="n">
        <v>0</v>
      </c>
      <c r="S446" s="4" t="n"/>
      <c r="T446" s="4" t="n">
        <v>0</v>
      </c>
      <c r="U446" s="4" t="n">
        <v>0</v>
      </c>
      <c r="V446" s="4" t="n"/>
    </row>
    <row r="447">
      <c r="A447" t="inlineStr">
        <is>
          <t>fleece wear throw</t>
        </is>
      </c>
      <c r="B447" s="4" t="n"/>
      <c r="C447" s="31" t="n">
        <v>0.31</v>
      </c>
      <c r="D447" s="31" t="n">
        <v>0</v>
      </c>
      <c r="E447" s="31" t="n">
        <v>0</v>
      </c>
      <c r="F447" s="31" t="n">
        <v>0</v>
      </c>
      <c r="G447" s="3" t="n">
        <v>4</v>
      </c>
      <c r="H447" s="3" t="n">
        <v>1</v>
      </c>
      <c r="I447" s="32" t="n">
        <v>0.25</v>
      </c>
      <c r="J447" s="3" t="n">
        <v>0</v>
      </c>
      <c r="K447" s="32" t="n">
        <v>0</v>
      </c>
      <c r="L447" s="32" t="n">
        <v>0</v>
      </c>
      <c r="M447" s="31" t="n">
        <v>0.31</v>
      </c>
      <c r="N447" s="3" t="inlineStr">
        <is>
          <t>Throws_Manual_Optiwise_24</t>
        </is>
      </c>
      <c r="O447" s="3" t="inlineStr">
        <is>
          <t>phrase</t>
        </is>
      </c>
      <c r="P447" s="4" t="n"/>
      <c r="Q447" s="4" t="n"/>
      <c r="R447" s="4" t="inlineStr">
        <is>
          <t>-</t>
        </is>
      </c>
      <c r="S447" s="4" t="n"/>
      <c r="T447" s="4" t="n">
        <v>0</v>
      </c>
      <c r="U447" s="4" t="n">
        <v>0</v>
      </c>
      <c r="V447" s="4" t="n"/>
    </row>
    <row r="448">
      <c r="A448" t="inlineStr">
        <is>
          <t>throw blanket with dogs on it clearance 5.00</t>
        </is>
      </c>
      <c r="B448" s="4" t="n"/>
      <c r="C448" s="31" t="n">
        <v>0.31</v>
      </c>
      <c r="D448" s="31" t="n">
        <v>0</v>
      </c>
      <c r="E448" s="31" t="n">
        <v>0</v>
      </c>
      <c r="F448" s="31" t="n">
        <v>0</v>
      </c>
      <c r="G448" s="3" t="n">
        <v>2</v>
      </c>
      <c r="H448" s="3" t="n">
        <v>1</v>
      </c>
      <c r="I448" s="32" t="n">
        <v>0.5</v>
      </c>
      <c r="J448" s="3" t="n">
        <v>0</v>
      </c>
      <c r="K448" s="32" t="n">
        <v>0</v>
      </c>
      <c r="L448" s="32" t="n">
        <v>0</v>
      </c>
      <c r="M448" s="31" t="n">
        <v>0.31</v>
      </c>
      <c r="N448" s="3" t="inlineStr">
        <is>
          <t>Throws_Manual_Optiwise_24</t>
        </is>
      </c>
      <c r="O448" s="3" t="inlineStr">
        <is>
          <t>phrase</t>
        </is>
      </c>
      <c r="P448" s="4" t="n"/>
      <c r="Q448" s="4" t="n"/>
      <c r="R448" s="4" t="inlineStr">
        <is>
          <t>-</t>
        </is>
      </c>
      <c r="S448" s="4" t="n"/>
      <c r="T448" s="4" t="n">
        <v>0</v>
      </c>
      <c r="U448" s="4" t="n">
        <v>0</v>
      </c>
      <c r="V448" s="4" t="n"/>
    </row>
    <row r="449">
      <c r="A449" t="inlineStr">
        <is>
          <t>camo throw</t>
        </is>
      </c>
      <c r="B449" s="4" t="n"/>
      <c r="C449" s="31" t="n">
        <v>0.31</v>
      </c>
      <c r="D449" s="31" t="n">
        <v>0</v>
      </c>
      <c r="E449" s="31" t="n">
        <v>0</v>
      </c>
      <c r="F449" s="31" t="n">
        <v>0</v>
      </c>
      <c r="G449" s="3" t="n">
        <v>3</v>
      </c>
      <c r="H449" s="3" t="n">
        <v>1</v>
      </c>
      <c r="I449" s="32" t="n">
        <v>0.33</v>
      </c>
      <c r="J449" s="3" t="n">
        <v>0</v>
      </c>
      <c r="K449" s="32" t="n">
        <v>0</v>
      </c>
      <c r="L449" s="32" t="n"/>
      <c r="M449" s="31" t="n">
        <v>0.31</v>
      </c>
      <c r="N449" s="3" t="inlineStr">
        <is>
          <t>1CTBF579GNCAMO_Manual_Optiwise</t>
        </is>
      </c>
      <c r="O449" s="3" t="inlineStr">
        <is>
          <t>exact</t>
        </is>
      </c>
      <c r="P449" s="4" t="n"/>
      <c r="Q449" s="4" t="n"/>
      <c r="R449" s="4" t="n">
        <v>0</v>
      </c>
      <c r="S449" s="4" t="n"/>
      <c r="T449" s="4" t="n">
        <v>0</v>
      </c>
      <c r="U449" s="4" t="n">
        <v>0</v>
      </c>
      <c r="V449" s="4" t="n"/>
    </row>
    <row r="450">
      <c r="A450" t="inlineStr">
        <is>
          <t>waterproof throw velvet</t>
        </is>
      </c>
      <c r="B450" s="4" t="n"/>
      <c r="C450" s="31" t="n">
        <v>0.31</v>
      </c>
      <c r="D450" s="31" t="n">
        <v>0</v>
      </c>
      <c r="E450" s="31" t="n">
        <v>0</v>
      </c>
      <c r="F450" s="31" t="n">
        <v>0</v>
      </c>
      <c r="G450" s="3" t="n">
        <v>1</v>
      </c>
      <c r="H450" s="3" t="n">
        <v>1</v>
      </c>
      <c r="I450" s="32" t="n">
        <v>1</v>
      </c>
      <c r="J450" s="3" t="n">
        <v>0</v>
      </c>
      <c r="K450" s="32" t="n">
        <v>0</v>
      </c>
      <c r="L450" s="32" t="n">
        <v>0</v>
      </c>
      <c r="M450" s="31" t="n">
        <v>0.31</v>
      </c>
      <c r="N450" s="3" t="inlineStr">
        <is>
          <t>Throws_Manual_Optiwise_24</t>
        </is>
      </c>
      <c r="O450" s="3" t="inlineStr">
        <is>
          <t>phrase</t>
        </is>
      </c>
      <c r="P450" s="4" t="n"/>
      <c r="Q450" s="4" t="n"/>
      <c r="R450" s="4" t="inlineStr">
        <is>
          <t>-</t>
        </is>
      </c>
      <c r="S450" s="4" t="n"/>
      <c r="T450" s="4" t="n">
        <v>0</v>
      </c>
      <c r="U450" s="4" t="n">
        <v>0</v>
      </c>
      <c r="V450" s="4" t="n"/>
    </row>
    <row r="451">
      <c r="A451" t="inlineStr">
        <is>
          <t>character throw blankets for adults</t>
        </is>
      </c>
      <c r="B451" s="4" t="n"/>
      <c r="C451" s="31" t="n">
        <v>0.31</v>
      </c>
      <c r="D451" s="31" t="n">
        <v>0</v>
      </c>
      <c r="E451" s="31" t="n">
        <v>0</v>
      </c>
      <c r="F451" s="31" t="n">
        <v>0</v>
      </c>
      <c r="G451" s="3" t="n">
        <v>8</v>
      </c>
      <c r="H451" s="3" t="n">
        <v>1</v>
      </c>
      <c r="I451" s="32" t="n">
        <v>0.12</v>
      </c>
      <c r="J451" s="3" t="n">
        <v>0</v>
      </c>
      <c r="K451" s="32" t="n">
        <v>0</v>
      </c>
      <c r="L451" s="32" t="n">
        <v>0</v>
      </c>
      <c r="M451" s="31" t="n">
        <v>0.31</v>
      </c>
      <c r="N451" s="3" t="inlineStr">
        <is>
          <t>Throws_Manual_Optiwise_24</t>
        </is>
      </c>
      <c r="O451" s="3" t="inlineStr">
        <is>
          <t>phrase</t>
        </is>
      </c>
      <c r="P451" s="4" t="n"/>
      <c r="Q451" s="4" t="n"/>
      <c r="R451" s="4" t="inlineStr">
        <is>
          <t>-</t>
        </is>
      </c>
      <c r="S451" s="4" t="n"/>
      <c r="T451" s="4" t="n">
        <v>0</v>
      </c>
      <c r="U451" s="4" t="n">
        <v>0</v>
      </c>
      <c r="V451" s="4" t="n"/>
    </row>
    <row r="452">
      <c r="A452" t="inlineStr">
        <is>
          <t>703963438</t>
        </is>
      </c>
      <c r="B452" s="4" t="n"/>
      <c r="C452" s="31" t="n">
        <v>0.3</v>
      </c>
      <c r="D452" s="31" t="n">
        <v>29.99</v>
      </c>
      <c r="E452" s="31" t="n">
        <v>29.99</v>
      </c>
      <c r="F452" s="31" t="n">
        <v>99.97</v>
      </c>
      <c r="G452" s="3" t="n">
        <v>5</v>
      </c>
      <c r="H452" s="3" t="n">
        <v>1</v>
      </c>
      <c r="I452" s="32" t="n">
        <v>0.2</v>
      </c>
      <c r="J452" s="3" t="n">
        <v>1</v>
      </c>
      <c r="K452" s="32" t="n">
        <v>1</v>
      </c>
      <c r="L452" s="32" t="n">
        <v>0</v>
      </c>
      <c r="M452" s="31" t="n">
        <v>0.3</v>
      </c>
      <c r="N452" s="3" t="inlineStr">
        <is>
          <t>Manual for Waterproof Blanket--Lily,Throws_Manual_Optiwise_24</t>
        </is>
      </c>
      <c r="O452" s="3" t="inlineStr">
        <is>
          <t>phrase</t>
        </is>
      </c>
      <c r="P452" s="4" t="n"/>
      <c r="Q452" s="4" t="n"/>
      <c r="R452" s="4" t="inlineStr">
        <is>
          <t>-</t>
        </is>
      </c>
      <c r="S452" s="4" t="n"/>
      <c r="T452" s="4" t="n">
        <v>0</v>
      </c>
      <c r="U452" s="4" t="n">
        <v>0</v>
      </c>
      <c r="V452" s="4" t="n"/>
    </row>
    <row r="453">
      <c r="A453" t="inlineStr">
        <is>
          <t>314705553</t>
        </is>
      </c>
      <c r="B453" s="4" t="n"/>
      <c r="C453" s="31" t="n">
        <v>0.3</v>
      </c>
      <c r="D453" s="31" t="n">
        <v>0</v>
      </c>
      <c r="E453" s="31" t="n">
        <v>0</v>
      </c>
      <c r="F453" s="31" t="n">
        <v>0</v>
      </c>
      <c r="G453" s="3" t="n">
        <v>6</v>
      </c>
      <c r="H453" s="3" t="n">
        <v>1</v>
      </c>
      <c r="I453" s="32" t="n">
        <v>0.17</v>
      </c>
      <c r="J453" s="3" t="n">
        <v>0</v>
      </c>
      <c r="K453" s="32" t="n">
        <v>0</v>
      </c>
      <c r="L453" s="32" t="n">
        <v>0</v>
      </c>
      <c r="M453" s="31" t="n">
        <v>0.3</v>
      </c>
      <c r="N453" s="3" t="inlineStr">
        <is>
          <t>Throws_Manual_Optiwise_24</t>
        </is>
      </c>
      <c r="O453" s="3" t="inlineStr">
        <is>
          <t>phrase</t>
        </is>
      </c>
      <c r="P453" s="4" t="n"/>
      <c r="Q453" s="4" t="n"/>
      <c r="R453" s="4" t="inlineStr">
        <is>
          <t>-</t>
        </is>
      </c>
      <c r="S453" s="4" t="n"/>
      <c r="T453" s="4" t="n">
        <v>0</v>
      </c>
      <c r="U453" s="4" t="n">
        <v>0</v>
      </c>
      <c r="V453" s="4" t="n"/>
    </row>
    <row r="454">
      <c r="A454" t="inlineStr">
        <is>
          <t>477258145</t>
        </is>
      </c>
      <c r="B454" s="4" t="n"/>
      <c r="C454" s="31" t="n">
        <v>0.3</v>
      </c>
      <c r="D454" s="31" t="n">
        <v>0</v>
      </c>
      <c r="E454" s="31" t="n">
        <v>0</v>
      </c>
      <c r="F454" s="31" t="n">
        <v>0</v>
      </c>
      <c r="G454" s="3" t="n">
        <v>2</v>
      </c>
      <c r="H454" s="3" t="n">
        <v>1</v>
      </c>
      <c r="I454" s="32" t="n">
        <v>0.5</v>
      </c>
      <c r="J454" s="3" t="n">
        <v>0</v>
      </c>
      <c r="K454" s="32" t="n">
        <v>0</v>
      </c>
      <c r="L454" s="32" t="n">
        <v>0</v>
      </c>
      <c r="M454" s="31" t="n">
        <v>0.3</v>
      </c>
      <c r="N454" s="3" t="inlineStr">
        <is>
          <t>Throws_Manual_Optiwise_24</t>
        </is>
      </c>
      <c r="O454" s="3" t="inlineStr">
        <is>
          <t>phrase</t>
        </is>
      </c>
      <c r="P454" s="4" t="n"/>
      <c r="Q454" s="4" t="n"/>
      <c r="R454" s="4" t="inlineStr">
        <is>
          <t>-</t>
        </is>
      </c>
      <c r="S454" s="4" t="n"/>
      <c r="T454" s="4" t="n">
        <v>0</v>
      </c>
      <c r="U454" s="4" t="n">
        <v>0</v>
      </c>
      <c r="V454" s="4" t="n"/>
    </row>
    <row r="455">
      <c r="A455" t="inlineStr">
        <is>
          <t>773018457</t>
        </is>
      </c>
      <c r="B455" s="4" t="n"/>
      <c r="C455" s="31" t="n">
        <v>0.3</v>
      </c>
      <c r="D455" s="31" t="n">
        <v>0</v>
      </c>
      <c r="E455" s="31" t="n">
        <v>0</v>
      </c>
      <c r="F455" s="31" t="n">
        <v>0</v>
      </c>
      <c r="G455" s="3" t="n">
        <v>1</v>
      </c>
      <c r="H455" s="3" t="n">
        <v>1</v>
      </c>
      <c r="I455" s="32" t="n">
        <v>1</v>
      </c>
      <c r="J455" s="3" t="n">
        <v>0</v>
      </c>
      <c r="K455" s="32" t="n">
        <v>0</v>
      </c>
      <c r="L455" s="32" t="n">
        <v>0</v>
      </c>
      <c r="M455" s="31" t="n">
        <v>0.3</v>
      </c>
      <c r="N455" s="3" t="inlineStr">
        <is>
          <t>Throws_Manual_Optiwise_24</t>
        </is>
      </c>
      <c r="O455" s="3" t="inlineStr">
        <is>
          <t>phrase</t>
        </is>
      </c>
      <c r="P455" s="4" t="n"/>
      <c r="Q455" s="4" t="n"/>
      <c r="R455" s="4" t="inlineStr">
        <is>
          <t>-</t>
        </is>
      </c>
      <c r="S455" s="4" t="n"/>
      <c r="T455" s="4" t="n">
        <v>0</v>
      </c>
      <c r="U455" s="4" t="n">
        <v>0</v>
      </c>
      <c r="V455" s="4" t="n"/>
    </row>
    <row r="456">
      <c r="A456" t="inlineStr">
        <is>
          <t>5495225324</t>
        </is>
      </c>
      <c r="B456" s="4" t="n"/>
      <c r="C456" s="31" t="n">
        <v>0.3</v>
      </c>
      <c r="D456" s="31" t="n">
        <v>0</v>
      </c>
      <c r="E456" s="31" t="n">
        <v>0</v>
      </c>
      <c r="F456" s="31" t="n">
        <v>0</v>
      </c>
      <c r="G456" s="3" t="n">
        <v>1</v>
      </c>
      <c r="H456" s="3" t="n">
        <v>1</v>
      </c>
      <c r="I456" s="32" t="n">
        <v>1</v>
      </c>
      <c r="J456" s="3" t="n">
        <v>0</v>
      </c>
      <c r="K456" s="32" t="n">
        <v>0</v>
      </c>
      <c r="L456" s="32" t="n">
        <v>0</v>
      </c>
      <c r="M456" s="31" t="n">
        <v>0.3</v>
      </c>
      <c r="N456" s="3" t="inlineStr">
        <is>
          <t>1WMBW506NYGY-TBCB_Manual</t>
        </is>
      </c>
      <c r="O456" s="3" t="inlineStr">
        <is>
          <t>exact</t>
        </is>
      </c>
      <c r="P456" s="4" t="n"/>
      <c r="Q456" s="4" t="n"/>
      <c r="R456" s="4" t="inlineStr">
        <is>
          <t>-</t>
        </is>
      </c>
      <c r="S456" s="4" t="n"/>
      <c r="T456" s="4" t="n">
        <v>0</v>
      </c>
      <c r="U456" s="4" t="n">
        <v>0</v>
      </c>
      <c r="V456" s="4" t="n"/>
    </row>
    <row r="457">
      <c r="A457" t="inlineStr">
        <is>
          <t>5097458028</t>
        </is>
      </c>
      <c r="B457" s="4" t="n"/>
      <c r="C457" s="31" t="n">
        <v>0.3</v>
      </c>
      <c r="D457" s="31" t="n">
        <v>0</v>
      </c>
      <c r="E457" s="31" t="n">
        <v>0</v>
      </c>
      <c r="F457" s="31" t="n">
        <v>0</v>
      </c>
      <c r="G457" s="3" t="n">
        <v>1</v>
      </c>
      <c r="H457" s="3" t="n">
        <v>1</v>
      </c>
      <c r="I457" s="32" t="n">
        <v>1</v>
      </c>
      <c r="J457" s="3" t="n">
        <v>0</v>
      </c>
      <c r="K457" s="32" t="n">
        <v>0</v>
      </c>
      <c r="L457" s="32" t="n"/>
      <c r="M457" s="31" t="n">
        <v>0.3</v>
      </c>
      <c r="N457" s="3" t="inlineStr">
        <is>
          <t>1CTBF579GNCAMO_Manual_Optiwise</t>
        </is>
      </c>
      <c r="O457" s="3" t="inlineStr">
        <is>
          <t>exact</t>
        </is>
      </c>
      <c r="P457" s="4" t="n"/>
      <c r="Q457" s="4" t="n"/>
      <c r="R457" s="4" t="n">
        <v>0</v>
      </c>
      <c r="S457" s="4" t="n"/>
      <c r="T457" s="4" t="n">
        <v>0</v>
      </c>
      <c r="U457" s="4" t="n">
        <v>0</v>
      </c>
      <c r="V457" s="4" t="n"/>
    </row>
    <row r="458">
      <c r="A458" t="inlineStr">
        <is>
          <t>stadium blanjets</t>
        </is>
      </c>
      <c r="B458" s="4" t="n"/>
      <c r="C458" s="31" t="n">
        <v>0.3</v>
      </c>
      <c r="D458" s="31" t="n">
        <v>0</v>
      </c>
      <c r="E458" s="31" t="n">
        <v>0</v>
      </c>
      <c r="F458" s="31" t="n">
        <v>0</v>
      </c>
      <c r="G458" s="3" t="n">
        <v>8</v>
      </c>
      <c r="H458" s="3" t="n">
        <v>1</v>
      </c>
      <c r="I458" s="32" t="n">
        <v>0.12</v>
      </c>
      <c r="J458" s="3" t="n">
        <v>0</v>
      </c>
      <c r="K458" s="32" t="n">
        <v>0</v>
      </c>
      <c r="L458" s="32" t="n">
        <v>0</v>
      </c>
      <c r="M458" s="31" t="n">
        <v>0.3</v>
      </c>
      <c r="N458" s="3" t="inlineStr">
        <is>
          <t>Picnic Blankets &amp; Mats_Manual_Optiwise_24</t>
        </is>
      </c>
      <c r="O458" s="3" t="inlineStr">
        <is>
          <t>exact</t>
        </is>
      </c>
      <c r="P458" s="4" t="n"/>
      <c r="Q458" s="4" t="n"/>
      <c r="R458" s="4" t="inlineStr">
        <is>
          <t>-</t>
        </is>
      </c>
      <c r="S458" s="4" t="n"/>
      <c r="T458" s="4" t="n">
        <v>0</v>
      </c>
      <c r="U458" s="4" t="n">
        <v>0</v>
      </c>
      <c r="V458" s="4" t="n"/>
    </row>
    <row r="459">
      <c r="A459" t="inlineStr">
        <is>
          <t>135367484</t>
        </is>
      </c>
      <c r="B459" s="4" t="n"/>
      <c r="C459" s="31" t="n">
        <v>0.3</v>
      </c>
      <c r="D459" s="31" t="n">
        <v>0</v>
      </c>
      <c r="E459" s="31" t="n">
        <v>0</v>
      </c>
      <c r="F459" s="31" t="n">
        <v>0</v>
      </c>
      <c r="G459" s="3" t="n">
        <v>3</v>
      </c>
      <c r="H459" s="3" t="n">
        <v>1</v>
      </c>
      <c r="I459" s="32" t="n">
        <v>0.33</v>
      </c>
      <c r="J459" s="3" t="n">
        <v>0</v>
      </c>
      <c r="K459" s="32" t="n">
        <v>0</v>
      </c>
      <c r="L459" s="32" t="n">
        <v>0</v>
      </c>
      <c r="M459" s="31" t="n">
        <v>0.3</v>
      </c>
      <c r="N459" s="3" t="inlineStr">
        <is>
          <t>1WMBW506NYGY-TBCB_Manual</t>
        </is>
      </c>
      <c r="O459" s="3" t="inlineStr">
        <is>
          <t>exact</t>
        </is>
      </c>
      <c r="P459" s="4" t="n"/>
      <c r="Q459" s="4" t="n"/>
      <c r="R459" s="4" t="inlineStr">
        <is>
          <t>-</t>
        </is>
      </c>
      <c r="S459" s="4" t="n"/>
      <c r="T459" s="4" t="n">
        <v>0</v>
      </c>
      <c r="U459" s="4" t="n">
        <v>0</v>
      </c>
      <c r="V459" s="4" t="n"/>
    </row>
    <row r="460">
      <c r="A460" t="inlineStr">
        <is>
          <t>stadium bkanket</t>
        </is>
      </c>
      <c r="B460" s="4" t="n"/>
      <c r="C460" s="31" t="n">
        <v>0.3</v>
      </c>
      <c r="D460" s="31" t="n">
        <v>0</v>
      </c>
      <c r="E460" s="31" t="n">
        <v>0</v>
      </c>
      <c r="F460" s="31" t="n">
        <v>0</v>
      </c>
      <c r="G460" s="3" t="n">
        <v>1</v>
      </c>
      <c r="H460" s="3" t="n">
        <v>1</v>
      </c>
      <c r="I460" s="32" t="n">
        <v>1</v>
      </c>
      <c r="J460" s="3" t="n">
        <v>0</v>
      </c>
      <c r="K460" s="32" t="n">
        <v>0</v>
      </c>
      <c r="L460" s="32" t="n"/>
      <c r="M460" s="31" t="n">
        <v>0.3</v>
      </c>
      <c r="N460" s="3" t="inlineStr">
        <is>
          <t>1WMBW506NYGY-TBCB_Manual_Optiwise</t>
        </is>
      </c>
      <c r="O460" s="3" t="inlineStr">
        <is>
          <t>exact</t>
        </is>
      </c>
      <c r="P460" s="4" t="n"/>
      <c r="Q460" s="4" t="n"/>
      <c r="R460" s="4" t="n">
        <v>0</v>
      </c>
      <c r="S460" s="4" t="n"/>
      <c r="T460" s="4" t="n">
        <v>0</v>
      </c>
      <c r="U460" s="4" t="n">
        <v>0</v>
      </c>
      <c r="V460" s="4" t="n"/>
    </row>
    <row r="461">
      <c r="A461" t="inlineStr">
        <is>
          <t>mermenland blanket</t>
        </is>
      </c>
      <c r="B461" s="4" t="n"/>
      <c r="C461" s="31" t="n">
        <v>0.3</v>
      </c>
      <c r="D461" s="31" t="n">
        <v>0</v>
      </c>
      <c r="E461" s="31" t="n">
        <v>0</v>
      </c>
      <c r="F461" s="31" t="n">
        <v>0</v>
      </c>
      <c r="G461" s="3" t="n">
        <v>2</v>
      </c>
      <c r="H461" s="3" t="n">
        <v>1</v>
      </c>
      <c r="I461" s="32" t="n">
        <v>0.5</v>
      </c>
      <c r="J461" s="3" t="n">
        <v>0</v>
      </c>
      <c r="K461" s="32" t="n">
        <v>0</v>
      </c>
      <c r="L461" s="32" t="n"/>
      <c r="M461" s="31" t="n">
        <v>0.3</v>
      </c>
      <c r="N461" s="3" t="inlineStr">
        <is>
          <t>1CTMM500PK_Manual_Optiwise</t>
        </is>
      </c>
      <c r="O461" s="3" t="inlineStr">
        <is>
          <t>exact</t>
        </is>
      </c>
      <c r="P461" s="4" t="n"/>
      <c r="Q461" s="4" t="n"/>
      <c r="R461" s="4" t="n">
        <v>0</v>
      </c>
      <c r="S461" s="4" t="n"/>
      <c r="T461" s="4" t="n">
        <v>0</v>
      </c>
      <c r="U461" s="4" t="n">
        <v>0</v>
      </c>
      <c r="V461" s="4" t="n"/>
    </row>
    <row r="462">
      <c r="A462" t="inlineStr">
        <is>
          <t>448161725</t>
        </is>
      </c>
      <c r="B462" s="4" t="n"/>
      <c r="C462" s="31" t="n">
        <v>0.3</v>
      </c>
      <c r="D462" s="31" t="n">
        <v>0</v>
      </c>
      <c r="E462" s="31" t="n">
        <v>0</v>
      </c>
      <c r="F462" s="31" t="n">
        <v>0</v>
      </c>
      <c r="G462" s="3" t="n">
        <v>7</v>
      </c>
      <c r="H462" s="3" t="n">
        <v>1</v>
      </c>
      <c r="I462" s="32" t="n">
        <v>0.14</v>
      </c>
      <c r="J462" s="3" t="n">
        <v>0</v>
      </c>
      <c r="K462" s="32" t="n">
        <v>0</v>
      </c>
      <c r="L462" s="32" t="n">
        <v>0</v>
      </c>
      <c r="M462" s="31" t="n">
        <v>0.3</v>
      </c>
      <c r="N462" s="3" t="inlineStr">
        <is>
          <t>Throws_Manual_Optiwise_24</t>
        </is>
      </c>
      <c r="O462" s="3" t="inlineStr">
        <is>
          <t>phrase</t>
        </is>
      </c>
      <c r="P462" s="4" t="n"/>
      <c r="Q462" s="4" t="n"/>
      <c r="R462" s="4" t="inlineStr">
        <is>
          <t>-</t>
        </is>
      </c>
      <c r="S462" s="4" t="n"/>
      <c r="T462" s="4" t="n">
        <v>0</v>
      </c>
      <c r="U462" s="4" t="n">
        <v>0</v>
      </c>
      <c r="V462" s="4" t="n"/>
    </row>
    <row r="463">
      <c r="A463" t="inlineStr">
        <is>
          <t>3587339733</t>
        </is>
      </c>
      <c r="B463" s="4" t="n"/>
      <c r="C463" s="31" t="n">
        <v>0.3</v>
      </c>
      <c r="D463" s="31" t="n">
        <v>0</v>
      </c>
      <c r="E463" s="31" t="n">
        <v>0</v>
      </c>
      <c r="F463" s="31" t="n">
        <v>0</v>
      </c>
      <c r="G463" s="3" t="n">
        <v>10</v>
      </c>
      <c r="H463" s="3" t="n">
        <v>1</v>
      </c>
      <c r="I463" s="32" t="n">
        <v>0.1</v>
      </c>
      <c r="J463" s="3" t="n">
        <v>0</v>
      </c>
      <c r="K463" s="32" t="n">
        <v>0</v>
      </c>
      <c r="L463" s="32" t="n">
        <v>0</v>
      </c>
      <c r="M463" s="31" t="n">
        <v>0.3</v>
      </c>
      <c r="N463" s="3" t="inlineStr">
        <is>
          <t>Throws_Manual_Optiwise_24</t>
        </is>
      </c>
      <c r="O463" s="3" t="inlineStr">
        <is>
          <t>phrase</t>
        </is>
      </c>
      <c r="P463" s="4" t="n"/>
      <c r="Q463" s="4" t="n"/>
      <c r="R463" s="4" t="inlineStr">
        <is>
          <t>-</t>
        </is>
      </c>
      <c r="S463" s="4" t="n"/>
      <c r="T463" s="4" t="n">
        <v>0</v>
      </c>
      <c r="U463" s="4" t="n">
        <v>0</v>
      </c>
      <c r="V463" s="4" t="n"/>
    </row>
    <row r="464">
      <c r="A464" t="inlineStr">
        <is>
          <t>2211731100</t>
        </is>
      </c>
      <c r="B464" s="4" t="n"/>
      <c r="C464" s="31" t="n">
        <v>0.3</v>
      </c>
      <c r="D464" s="31" t="n">
        <v>0</v>
      </c>
      <c r="E464" s="31" t="n">
        <v>0</v>
      </c>
      <c r="F464" s="31" t="n">
        <v>0</v>
      </c>
      <c r="G464" s="3" t="n">
        <v>0</v>
      </c>
      <c r="H464" s="3" t="n">
        <v>1</v>
      </c>
      <c r="I464" s="32" t="n">
        <v>0</v>
      </c>
      <c r="J464" s="3" t="n">
        <v>0</v>
      </c>
      <c r="K464" s="32" t="n">
        <v>0</v>
      </c>
      <c r="L464" s="32" t="n">
        <v>0</v>
      </c>
      <c r="M464" s="31" t="n">
        <v>0.3</v>
      </c>
      <c r="N464" s="3" t="inlineStr">
        <is>
          <t>Throws_Manual_Optiwise_24</t>
        </is>
      </c>
      <c r="O464" s="3" t="inlineStr">
        <is>
          <t>phrase</t>
        </is>
      </c>
      <c r="P464" s="4" t="n"/>
      <c r="Q464" s="4" t="n"/>
      <c r="R464" s="4" t="inlineStr">
        <is>
          <t>-</t>
        </is>
      </c>
      <c r="S464" s="4" t="n"/>
      <c r="T464" s="4" t="n">
        <v>0</v>
      </c>
      <c r="U464" s="4" t="n">
        <v>0</v>
      </c>
      <c r="V464" s="4" t="n"/>
    </row>
    <row r="465">
      <c r="A465" t="inlineStr">
        <is>
          <t>2188263141</t>
        </is>
      </c>
      <c r="B465" s="4" t="n"/>
      <c r="C465" s="31" t="n">
        <v>0.3</v>
      </c>
      <c r="D465" s="31" t="n">
        <v>0</v>
      </c>
      <c r="E465" s="31" t="n">
        <v>0</v>
      </c>
      <c r="F465" s="31" t="n">
        <v>0</v>
      </c>
      <c r="G465" s="3" t="n">
        <v>4</v>
      </c>
      <c r="H465" s="3" t="n">
        <v>1</v>
      </c>
      <c r="I465" s="32" t="n">
        <v>0.25</v>
      </c>
      <c r="J465" s="3" t="n">
        <v>0</v>
      </c>
      <c r="K465" s="32" t="n">
        <v>0</v>
      </c>
      <c r="L465" s="32" t="n">
        <v>0</v>
      </c>
      <c r="M465" s="31" t="n">
        <v>0.3</v>
      </c>
      <c r="N465" s="3" t="inlineStr">
        <is>
          <t>Throws_Manual_Optiwise_24</t>
        </is>
      </c>
      <c r="O465" s="3" t="inlineStr">
        <is>
          <t>phrase</t>
        </is>
      </c>
      <c r="P465" s="4" t="n"/>
      <c r="Q465" s="4" t="n"/>
      <c r="R465" s="4" t="inlineStr">
        <is>
          <t>-</t>
        </is>
      </c>
      <c r="S465" s="4" t="n"/>
      <c r="T465" s="4" t="n">
        <v>0</v>
      </c>
      <c r="U465" s="4" t="n">
        <v>0</v>
      </c>
      <c r="V465" s="4" t="n"/>
    </row>
    <row r="466">
      <c r="A466" t="inlineStr">
        <is>
          <t>203372718</t>
        </is>
      </c>
      <c r="B466" s="4" t="n"/>
      <c r="C466" s="31" t="n">
        <v>0.3</v>
      </c>
      <c r="D466" s="31" t="n">
        <v>0</v>
      </c>
      <c r="E466" s="31" t="n">
        <v>0</v>
      </c>
      <c r="F466" s="31" t="n">
        <v>0</v>
      </c>
      <c r="G466" s="3" t="n">
        <v>2</v>
      </c>
      <c r="H466" s="3" t="n">
        <v>1</v>
      </c>
      <c r="I466" s="32" t="n">
        <v>0.5</v>
      </c>
      <c r="J466" s="3" t="n">
        <v>0</v>
      </c>
      <c r="K466" s="32" t="n">
        <v>0</v>
      </c>
      <c r="L466" s="32" t="n">
        <v>0</v>
      </c>
      <c r="M466" s="31" t="n">
        <v>0.3</v>
      </c>
      <c r="N466" s="3" t="inlineStr">
        <is>
          <t>Throws_Manual_Optiwise_24</t>
        </is>
      </c>
      <c r="O466" s="3" t="inlineStr">
        <is>
          <t>phrase</t>
        </is>
      </c>
      <c r="P466" s="4" t="n"/>
      <c r="Q466" s="4" t="n"/>
      <c r="R466" s="4" t="inlineStr">
        <is>
          <t>-</t>
        </is>
      </c>
      <c r="S466" s="4" t="n"/>
      <c r="T466" s="4" t="n">
        <v>0</v>
      </c>
      <c r="U466" s="4" t="n">
        <v>0</v>
      </c>
      <c r="V466" s="4" t="n"/>
    </row>
    <row r="467">
      <c r="A467" t="inlineStr">
        <is>
          <t>12094417902</t>
        </is>
      </c>
      <c r="B467" s="4" t="n"/>
      <c r="C467" s="31" t="n">
        <v>0.3</v>
      </c>
      <c r="D467" s="31" t="n">
        <v>0</v>
      </c>
      <c r="E467" s="31" t="n">
        <v>0</v>
      </c>
      <c r="F467" s="31" t="n">
        <v>0</v>
      </c>
      <c r="G467" s="3" t="n">
        <v>4</v>
      </c>
      <c r="H467" s="3" t="n">
        <v>1</v>
      </c>
      <c r="I467" s="32" t="n">
        <v>0.25</v>
      </c>
      <c r="J467" s="3" t="n">
        <v>0</v>
      </c>
      <c r="K467" s="32" t="n">
        <v>0</v>
      </c>
      <c r="L467" s="32" t="n">
        <v>0</v>
      </c>
      <c r="M467" s="31" t="n">
        <v>0.3</v>
      </c>
      <c r="N467" s="3" t="inlineStr">
        <is>
          <t>1CTBC200BKCAMO_Manual</t>
        </is>
      </c>
      <c r="O467" s="3" t="inlineStr">
        <is>
          <t>exact</t>
        </is>
      </c>
      <c r="P467" s="4" t="n"/>
      <c r="Q467" s="4" t="n"/>
      <c r="R467" s="4" t="inlineStr">
        <is>
          <t>-</t>
        </is>
      </c>
      <c r="S467" s="4" t="n"/>
      <c r="T467" s="4" t="n">
        <v>0</v>
      </c>
      <c r="U467" s="4" t="n">
        <v>0</v>
      </c>
      <c r="V467" s="4" t="n"/>
    </row>
    <row r="468">
      <c r="A468" t="inlineStr">
        <is>
          <t>416573969</t>
        </is>
      </c>
      <c r="B468" s="4" t="n"/>
      <c r="C468" s="31" t="n">
        <v>0.3</v>
      </c>
      <c r="D468" s="31" t="n">
        <v>0</v>
      </c>
      <c r="E468" s="31" t="n">
        <v>0</v>
      </c>
      <c r="F468" s="31" t="n">
        <v>0</v>
      </c>
      <c r="G468" s="3" t="n">
        <v>12</v>
      </c>
      <c r="H468" s="3" t="n">
        <v>1</v>
      </c>
      <c r="I468" s="32" t="n">
        <v>0.08</v>
      </c>
      <c r="J468" s="3" t="n">
        <v>0</v>
      </c>
      <c r="K468" s="32" t="n">
        <v>0</v>
      </c>
      <c r="L468" s="32" t="n">
        <v>0</v>
      </c>
      <c r="M468" s="31" t="n">
        <v>0.3</v>
      </c>
      <c r="N468" s="3" t="inlineStr">
        <is>
          <t>Picnic Blankets &amp; Mats_Manual_Optiwise_24</t>
        </is>
      </c>
      <c r="O468" s="3" t="inlineStr">
        <is>
          <t>exact</t>
        </is>
      </c>
      <c r="P468" s="4" t="n"/>
      <c r="Q468" s="4" t="n"/>
      <c r="R468" s="4" t="inlineStr">
        <is>
          <t>-</t>
        </is>
      </c>
      <c r="S468" s="4" t="n"/>
      <c r="T468" s="4" t="n">
        <v>0</v>
      </c>
      <c r="U468" s="4" t="n">
        <v>0</v>
      </c>
      <c r="V468" s="4" t="n"/>
    </row>
    <row r="469">
      <c r="A469" t="inlineStr">
        <is>
          <t>405505390</t>
        </is>
      </c>
      <c r="B469" s="4" t="n"/>
      <c r="C469" s="31" t="n">
        <v>0.3</v>
      </c>
      <c r="D469" s="31" t="n">
        <v>0</v>
      </c>
      <c r="E469" s="31" t="n">
        <v>0</v>
      </c>
      <c r="F469" s="31" t="n">
        <v>0</v>
      </c>
      <c r="G469" s="3" t="n">
        <v>1</v>
      </c>
      <c r="H469" s="3" t="n">
        <v>1</v>
      </c>
      <c r="I469" s="32" t="n">
        <v>1</v>
      </c>
      <c r="J469" s="3" t="n">
        <v>0</v>
      </c>
      <c r="K469" s="32" t="n">
        <v>0</v>
      </c>
      <c r="L469" s="32" t="n"/>
      <c r="M469" s="31" t="n">
        <v>0.3</v>
      </c>
      <c r="N469" s="3" t="inlineStr">
        <is>
          <t>1CTBP120GY_Manual_Optiwise</t>
        </is>
      </c>
      <c r="O469" s="3" t="inlineStr">
        <is>
          <t>exact</t>
        </is>
      </c>
      <c r="P469" s="4" t="n"/>
      <c r="Q469" s="4" t="n"/>
      <c r="R469" s="4" t="n">
        <v>0</v>
      </c>
      <c r="S469" s="4" t="n"/>
      <c r="T469" s="4" t="n">
        <v>0</v>
      </c>
      <c r="U469" s="4" t="n">
        <v>0</v>
      </c>
      <c r="V469" s="4" t="n"/>
    </row>
    <row r="470">
      <c r="A470" t="inlineStr">
        <is>
          <t>1784048818</t>
        </is>
      </c>
      <c r="B470" s="4" t="n"/>
      <c r="C470" s="31" t="n">
        <v>0.3</v>
      </c>
      <c r="D470" s="31" t="n">
        <v>0</v>
      </c>
      <c r="E470" s="31" t="n">
        <v>0</v>
      </c>
      <c r="F470" s="31" t="n">
        <v>0</v>
      </c>
      <c r="G470" s="3" t="n">
        <v>2</v>
      </c>
      <c r="H470" s="3" t="n">
        <v>1</v>
      </c>
      <c r="I470" s="32" t="n">
        <v>0.5</v>
      </c>
      <c r="J470" s="3" t="n">
        <v>0</v>
      </c>
      <c r="K470" s="32" t="n">
        <v>0</v>
      </c>
      <c r="L470" s="32" t="n">
        <v>0</v>
      </c>
      <c r="M470" s="31" t="n">
        <v>0.3</v>
      </c>
      <c r="N470" s="3" t="inlineStr">
        <is>
          <t>Throws_Manual_Optiwise_24</t>
        </is>
      </c>
      <c r="O470" s="3" t="inlineStr">
        <is>
          <t>phrase</t>
        </is>
      </c>
      <c r="P470" s="4" t="n"/>
      <c r="Q470" s="4" t="n"/>
      <c r="R470" s="4" t="inlineStr">
        <is>
          <t>-</t>
        </is>
      </c>
      <c r="S470" s="4" t="n"/>
      <c r="T470" s="4" t="n">
        <v>0</v>
      </c>
      <c r="U470" s="4" t="n">
        <v>0</v>
      </c>
      <c r="V470" s="4" t="n"/>
    </row>
    <row r="471">
      <c r="A471" t="inlineStr">
        <is>
          <t>618475103</t>
        </is>
      </c>
      <c r="B471" s="4" t="n"/>
      <c r="C471" s="31" t="n">
        <v>0.3</v>
      </c>
      <c r="D471" s="31" t="n">
        <v>0</v>
      </c>
      <c r="E471" s="31" t="n">
        <v>0</v>
      </c>
      <c r="F471" s="31" t="n">
        <v>0</v>
      </c>
      <c r="G471" s="3" t="n">
        <v>6</v>
      </c>
      <c r="H471" s="3" t="n">
        <v>1</v>
      </c>
      <c r="I471" s="32" t="n">
        <v>0.17</v>
      </c>
      <c r="J471" s="3" t="n">
        <v>0</v>
      </c>
      <c r="K471" s="32" t="n">
        <v>0</v>
      </c>
      <c r="L471" s="32" t="n"/>
      <c r="M471" s="31" t="n">
        <v>0.3</v>
      </c>
      <c r="N471" s="3" t="inlineStr">
        <is>
          <t>1CTMM500PK_Manual_Optiwise</t>
        </is>
      </c>
      <c r="O471" s="3" t="inlineStr">
        <is>
          <t>exact</t>
        </is>
      </c>
      <c r="P471" s="4" t="n"/>
      <c r="Q471" s="4" t="n"/>
      <c r="R471" s="4" t="n">
        <v>0</v>
      </c>
      <c r="S471" s="4" t="n"/>
      <c r="T471" s="4" t="n">
        <v>0</v>
      </c>
      <c r="U471" s="4" t="n">
        <v>0</v>
      </c>
      <c r="V471" s="4" t="n"/>
    </row>
    <row r="472">
      <c r="A472" t="inlineStr">
        <is>
          <t>14707674480</t>
        </is>
      </c>
      <c r="B472" s="4" t="n"/>
      <c r="C472" s="31" t="n">
        <v>0.3</v>
      </c>
      <c r="D472" s="31" t="n">
        <v>0</v>
      </c>
      <c r="E472" s="31" t="n">
        <v>0</v>
      </c>
      <c r="F472" s="31" t="n">
        <v>0</v>
      </c>
      <c r="G472" s="3" t="n">
        <v>2</v>
      </c>
      <c r="H472" s="3" t="n">
        <v>1</v>
      </c>
      <c r="I472" s="32" t="n">
        <v>0.5</v>
      </c>
      <c r="J472" s="3" t="n">
        <v>0</v>
      </c>
      <c r="K472" s="32" t="n">
        <v>0</v>
      </c>
      <c r="L472" s="32" t="n"/>
      <c r="M472" s="31" t="n">
        <v>0.3</v>
      </c>
      <c r="N472" s="3" t="inlineStr">
        <is>
          <t>1TRBW506LGDG-CDCB_Manual</t>
        </is>
      </c>
      <c r="O472" s="3" t="inlineStr">
        <is>
          <t>exact</t>
        </is>
      </c>
      <c r="P472" s="4" t="n"/>
      <c r="Q472" s="4" t="n"/>
      <c r="R472" s="4" t="n">
        <v>0</v>
      </c>
      <c r="S472" s="4" t="n"/>
      <c r="T472" s="4" t="n">
        <v>0</v>
      </c>
      <c r="U472" s="4" t="n">
        <v>0</v>
      </c>
      <c r="V472" s="4" t="n"/>
    </row>
    <row r="473">
      <c r="A473" t="inlineStr">
        <is>
          <t>1339831181</t>
        </is>
      </c>
      <c r="B473" s="4" t="n"/>
      <c r="C473" s="31" t="n">
        <v>0.3</v>
      </c>
      <c r="D473" s="31" t="n">
        <v>0</v>
      </c>
      <c r="E473" s="31" t="n">
        <v>0</v>
      </c>
      <c r="F473" s="31" t="n">
        <v>0</v>
      </c>
      <c r="G473" s="3" t="n">
        <v>2</v>
      </c>
      <c r="H473" s="3" t="n">
        <v>1</v>
      </c>
      <c r="I473" s="32" t="n">
        <v>0.5</v>
      </c>
      <c r="J473" s="3" t="n">
        <v>0</v>
      </c>
      <c r="K473" s="32" t="n">
        <v>0</v>
      </c>
      <c r="L473" s="32" t="n">
        <v>0</v>
      </c>
      <c r="M473" s="31" t="n">
        <v>0.3</v>
      </c>
      <c r="N473" s="3" t="inlineStr">
        <is>
          <t>Picnic Blankets &amp; Mats_Manual_Optiwise_24</t>
        </is>
      </c>
      <c r="O473" s="3" t="inlineStr">
        <is>
          <t>exact</t>
        </is>
      </c>
      <c r="P473" s="4" t="n"/>
      <c r="Q473" s="4" t="n"/>
      <c r="R473" s="4" t="inlineStr">
        <is>
          <t>-</t>
        </is>
      </c>
      <c r="S473" s="4" t="n"/>
      <c r="T473" s="4" t="n">
        <v>0</v>
      </c>
      <c r="U473" s="4" t="n">
        <v>0</v>
      </c>
      <c r="V473" s="4" t="n"/>
    </row>
    <row r="474">
      <c r="A474" t="inlineStr">
        <is>
          <t>1712143414</t>
        </is>
      </c>
      <c r="B474" s="4" t="n"/>
      <c r="C474" s="31" t="n">
        <v>0.3</v>
      </c>
      <c r="D474" s="31" t="n">
        <v>0</v>
      </c>
      <c r="E474" s="31" t="n">
        <v>0</v>
      </c>
      <c r="F474" s="31" t="n">
        <v>0</v>
      </c>
      <c r="G474" s="3" t="n">
        <v>1</v>
      </c>
      <c r="H474" s="3" t="n">
        <v>1</v>
      </c>
      <c r="I474" s="32" t="n">
        <v>1</v>
      </c>
      <c r="J474" s="3" t="n">
        <v>0</v>
      </c>
      <c r="K474" s="32" t="n">
        <v>0</v>
      </c>
      <c r="L474" s="32" t="n"/>
      <c r="M474" s="31" t="n">
        <v>0.3</v>
      </c>
      <c r="N474" s="3" t="inlineStr">
        <is>
          <t>1CTMM500PK_Manual_Optiwise</t>
        </is>
      </c>
      <c r="O474" s="3" t="inlineStr">
        <is>
          <t>exact</t>
        </is>
      </c>
      <c r="P474" s="4" t="n"/>
      <c r="Q474" s="4" t="n"/>
      <c r="R474" s="4" t="n">
        <v>0</v>
      </c>
      <c r="S474" s="4" t="n"/>
      <c r="T474" s="4" t="n">
        <v>0</v>
      </c>
      <c r="U474" s="4" t="n">
        <v>0</v>
      </c>
      <c r="V474" s="4" t="n"/>
    </row>
    <row r="475">
      <c r="A475" t="inlineStr">
        <is>
          <t>mermaid vlanket</t>
        </is>
      </c>
      <c r="B475" s="4" t="n"/>
      <c r="C475" s="31" t="n">
        <v>0.3</v>
      </c>
      <c r="D475" s="31" t="n">
        <v>0</v>
      </c>
      <c r="E475" s="31" t="n">
        <v>0</v>
      </c>
      <c r="F475" s="31" t="n">
        <v>0</v>
      </c>
      <c r="G475" s="3" t="n">
        <v>1</v>
      </c>
      <c r="H475" s="3" t="n">
        <v>1</v>
      </c>
      <c r="I475" s="32" t="n">
        <v>1</v>
      </c>
      <c r="J475" s="3" t="n">
        <v>0</v>
      </c>
      <c r="K475" s="32" t="n">
        <v>0</v>
      </c>
      <c r="L475" s="32" t="n"/>
      <c r="M475" s="31" t="n">
        <v>0.3</v>
      </c>
      <c r="N475" s="3" t="inlineStr">
        <is>
          <t>1CTMM500PK_Manual_Optiwise</t>
        </is>
      </c>
      <c r="O475" s="3" t="inlineStr">
        <is>
          <t>exact</t>
        </is>
      </c>
      <c r="P475" s="4" t="n"/>
      <c r="Q475" s="4" t="n"/>
      <c r="R475" s="4" t="n">
        <v>0</v>
      </c>
      <c r="S475" s="4" t="n"/>
      <c r="T475" s="4" t="n">
        <v>0</v>
      </c>
      <c r="U475" s="4" t="n">
        <v>0</v>
      </c>
      <c r="V475" s="4" t="n"/>
    </row>
    <row r="476">
      <c r="A476" t="inlineStr">
        <is>
          <t>stadium blamjet</t>
        </is>
      </c>
      <c r="B476" s="4" t="n"/>
      <c r="C476" s="31" t="n">
        <v>0.3</v>
      </c>
      <c r="D476" s="31" t="n">
        <v>0</v>
      </c>
      <c r="E476" s="31" t="n">
        <v>0</v>
      </c>
      <c r="F476" s="31" t="n">
        <v>0</v>
      </c>
      <c r="G476" s="3" t="n">
        <v>1</v>
      </c>
      <c r="H476" s="3" t="n">
        <v>1</v>
      </c>
      <c r="I476" s="32" t="n">
        <v>1</v>
      </c>
      <c r="J476" s="3" t="n">
        <v>0</v>
      </c>
      <c r="K476" s="32" t="n">
        <v>0</v>
      </c>
      <c r="L476" s="32" t="n"/>
      <c r="M476" s="31" t="n">
        <v>0.3</v>
      </c>
      <c r="N476" s="3" t="inlineStr">
        <is>
          <t>1WMBW506NYGY-TBCB_Manual_Optiwise</t>
        </is>
      </c>
      <c r="O476" s="3" t="inlineStr">
        <is>
          <t>exact</t>
        </is>
      </c>
      <c r="P476" s="4" t="n"/>
      <c r="Q476" s="4" t="n"/>
      <c r="R476" s="4" t="n">
        <v>0</v>
      </c>
      <c r="S476" s="4" t="n"/>
      <c r="T476" s="4" t="n">
        <v>0</v>
      </c>
      <c r="U476" s="4" t="n">
        <v>0</v>
      </c>
      <c r="V476" s="4" t="n"/>
    </row>
    <row r="477">
      <c r="A477" t="inlineStr">
        <is>
          <t>1228349737</t>
        </is>
      </c>
      <c r="B477" s="4" t="n"/>
      <c r="C477" s="31" t="n">
        <v>0.3</v>
      </c>
      <c r="D477" s="31" t="n">
        <v>0</v>
      </c>
      <c r="E477" s="31" t="n">
        <v>0</v>
      </c>
      <c r="F477" s="31" t="n">
        <v>0</v>
      </c>
      <c r="G477" s="3" t="n">
        <v>2</v>
      </c>
      <c r="H477" s="3" t="n">
        <v>1</v>
      </c>
      <c r="I477" s="32" t="n">
        <v>0.5</v>
      </c>
      <c r="J477" s="3" t="n">
        <v>0</v>
      </c>
      <c r="K477" s="32" t="n">
        <v>0</v>
      </c>
      <c r="L477" s="32" t="n">
        <v>0</v>
      </c>
      <c r="M477" s="31" t="n">
        <v>0.3</v>
      </c>
      <c r="N477" s="3" t="inlineStr">
        <is>
          <t>Throws_Manual_Optiwise_24</t>
        </is>
      </c>
      <c r="O477" s="3" t="inlineStr">
        <is>
          <t>phrase</t>
        </is>
      </c>
      <c r="P477" s="4" t="n"/>
      <c r="Q477" s="4" t="n"/>
      <c r="R477" s="4" t="inlineStr">
        <is>
          <t>-</t>
        </is>
      </c>
      <c r="S477" s="4" t="n"/>
      <c r="T477" s="4" t="n">
        <v>0</v>
      </c>
      <c r="U477" s="4" t="n">
        <v>0</v>
      </c>
      <c r="V477" s="4" t="n"/>
    </row>
    <row r="478">
      <c r="A478" t="inlineStr">
        <is>
          <t>1716270446</t>
        </is>
      </c>
      <c r="B478" s="4" t="n"/>
      <c r="C478" s="31" t="n">
        <v>0.3</v>
      </c>
      <c r="D478" s="31" t="n">
        <v>0</v>
      </c>
      <c r="E478" s="31" t="n">
        <v>0</v>
      </c>
      <c r="F478" s="31" t="n">
        <v>0</v>
      </c>
      <c r="G478" s="3" t="n">
        <v>5</v>
      </c>
      <c r="H478" s="3" t="n">
        <v>1</v>
      </c>
      <c r="I478" s="32" t="n">
        <v>0.2</v>
      </c>
      <c r="J478" s="3" t="n">
        <v>0</v>
      </c>
      <c r="K478" s="32" t="n">
        <v>0</v>
      </c>
      <c r="L478" s="32" t="n">
        <v>0</v>
      </c>
      <c r="M478" s="31" t="n">
        <v>0.3</v>
      </c>
      <c r="N478" s="3" t="inlineStr">
        <is>
          <t>Throws_Manual_Optiwise_24</t>
        </is>
      </c>
      <c r="O478" s="3" t="inlineStr">
        <is>
          <t>phrase</t>
        </is>
      </c>
      <c r="P478" s="4" t="n"/>
      <c r="Q478" s="4" t="n"/>
      <c r="R478" s="4" t="inlineStr">
        <is>
          <t>-</t>
        </is>
      </c>
      <c r="S478" s="4" t="n"/>
      <c r="T478" s="4" t="n">
        <v>0</v>
      </c>
      <c r="U478" s="4" t="n">
        <v>0</v>
      </c>
      <c r="V478" s="4" t="n"/>
    </row>
    <row r="479">
      <c r="A479" t="inlineStr">
        <is>
          <t>904345997</t>
        </is>
      </c>
      <c r="B479" s="4" t="n"/>
      <c r="C479" s="31" t="n">
        <v>0.3</v>
      </c>
      <c r="D479" s="31" t="n">
        <v>0</v>
      </c>
      <c r="E479" s="31" t="n">
        <v>0</v>
      </c>
      <c r="F479" s="31" t="n">
        <v>0</v>
      </c>
      <c r="G479" s="3" t="n">
        <v>12</v>
      </c>
      <c r="H479" s="3" t="n">
        <v>1</v>
      </c>
      <c r="I479" s="32" t="n">
        <v>0.08</v>
      </c>
      <c r="J479" s="3" t="n">
        <v>0</v>
      </c>
      <c r="K479" s="32" t="n">
        <v>0</v>
      </c>
      <c r="L479" s="32" t="n"/>
      <c r="M479" s="31" t="n">
        <v>0.3</v>
      </c>
      <c r="N479" s="3" t="inlineStr">
        <is>
          <t>1CTMM500PK_Manual_Optiwise,Throws_Manual_Optiwise_24</t>
        </is>
      </c>
      <c r="O479" s="3" t="inlineStr">
        <is>
          <t>exact</t>
        </is>
      </c>
      <c r="P479" s="4" t="n"/>
      <c r="Q479" s="4" t="n"/>
      <c r="R479" s="4" t="n">
        <v>0</v>
      </c>
      <c r="S479" s="4" t="n"/>
      <c r="T479" s="4" t="n">
        <v>0</v>
      </c>
      <c r="U479" s="4" t="n">
        <v>0</v>
      </c>
      <c r="V479" s="4" t="n"/>
    </row>
    <row r="480">
      <c r="A480" t="inlineStr">
        <is>
          <t>15332523393</t>
        </is>
      </c>
      <c r="B480" s="4" t="n"/>
      <c r="C480" s="31" t="n">
        <v>0.3</v>
      </c>
      <c r="D480" s="31" t="n">
        <v>0</v>
      </c>
      <c r="E480" s="31" t="n">
        <v>0</v>
      </c>
      <c r="F480" s="31" t="n">
        <v>0</v>
      </c>
      <c r="G480" s="3" t="n">
        <v>2</v>
      </c>
      <c r="H480" s="3" t="n">
        <v>1</v>
      </c>
      <c r="I480" s="32" t="n">
        <v>0.5</v>
      </c>
      <c r="J480" s="3" t="n">
        <v>0</v>
      </c>
      <c r="K480" s="32" t="n">
        <v>0</v>
      </c>
      <c r="L480" s="32" t="n">
        <v>0</v>
      </c>
      <c r="M480" s="31" t="n">
        <v>0.3</v>
      </c>
      <c r="N480" s="3" t="inlineStr">
        <is>
          <t>1CTBF579GNCAMO_Manual_Optiwise</t>
        </is>
      </c>
      <c r="O480" s="3" t="inlineStr">
        <is>
          <t>exact</t>
        </is>
      </c>
      <c r="P480" s="4" t="n"/>
      <c r="Q480" s="4" t="n"/>
      <c r="R480" s="4" t="inlineStr">
        <is>
          <t>-</t>
        </is>
      </c>
      <c r="S480" s="4" t="n"/>
      <c r="T480" s="4" t="n">
        <v>0</v>
      </c>
      <c r="U480" s="4" t="n">
        <v>0</v>
      </c>
      <c r="V480" s="4" t="n"/>
    </row>
    <row r="481">
      <c r="A481" t="inlineStr">
        <is>
          <t>543537506</t>
        </is>
      </c>
      <c r="B481" s="4" t="n"/>
      <c r="C481" s="31" t="n">
        <v>0.3</v>
      </c>
      <c r="D481" s="31" t="n">
        <v>0</v>
      </c>
      <c r="E481" s="31" t="n">
        <v>0</v>
      </c>
      <c r="F481" s="31" t="n">
        <v>0</v>
      </c>
      <c r="G481" s="3" t="n">
        <v>21</v>
      </c>
      <c r="H481" s="3" t="n">
        <v>1</v>
      </c>
      <c r="I481" s="32" t="n">
        <v>0.05</v>
      </c>
      <c r="J481" s="3" t="n">
        <v>0</v>
      </c>
      <c r="K481" s="32" t="n">
        <v>0</v>
      </c>
      <c r="L481" s="32" t="n">
        <v>0</v>
      </c>
      <c r="M481" s="31" t="n">
        <v>0.3</v>
      </c>
      <c r="N481" s="3" t="inlineStr">
        <is>
          <t>Throws_Manual_Optiwise_24</t>
        </is>
      </c>
      <c r="O481" s="3" t="inlineStr">
        <is>
          <t>phrase</t>
        </is>
      </c>
      <c r="P481" s="4" t="n"/>
      <c r="Q481" s="4" t="n"/>
      <c r="R481" s="4" t="inlineStr">
        <is>
          <t>-</t>
        </is>
      </c>
      <c r="S481" s="4" t="n"/>
      <c r="T481" s="4" t="n">
        <v>0</v>
      </c>
      <c r="U481" s="4" t="n">
        <v>0</v>
      </c>
      <c r="V481" s="4" t="n"/>
    </row>
  </sheetData>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M698"/>
  <sheetViews>
    <sheetView workbookViewId="0">
      <pane xSplit="1" ySplit="3" topLeftCell="B4" activePane="bottomRight" state="frozen"/>
      <selection pane="topRight" activeCell="A1" sqref="A1"/>
      <selection pane="bottomLeft" activeCell="A1" sqref="A1"/>
      <selection pane="bottomRight" activeCell="A1" sqref="A1"/>
    </sheetView>
  </sheetViews>
  <sheetFormatPr baseColWidth="10" defaultColWidth="8.83203125" defaultRowHeight="15"/>
  <sheetData>
    <row r="1">
      <c r="A1" s="9" t="inlineStr">
        <is>
          <t>01/01/2025 - 05/15/2025 (135 days)</t>
        </is>
      </c>
      <c r="L1" s="8" t="n"/>
      <c r="M1" s="10" t="inlineStr">
        <is>
          <t>(Sales of each Type / Total Sales)</t>
        </is>
      </c>
      <c r="N1" s="8" t="n"/>
      <c r="O1" s="8" t="n"/>
      <c r="Q1" s="8" t="n"/>
      <c r="R1" s="10" t="inlineStr">
        <is>
          <t>(Adspend on each SKU / Total Adspend)</t>
        </is>
      </c>
      <c r="S1" s="7" t="n"/>
      <c r="T1" s="7" t="n"/>
      <c r="U1" s="8" t="n"/>
      <c r="V1" s="7" t="n"/>
      <c r="W1" s="8" t="n"/>
      <c r="X1" s="8" t="n"/>
      <c r="AA1" s="7" t="n"/>
      <c r="AC1" s="7" t="n"/>
      <c r="AE1" s="8" t="n"/>
      <c r="AF1" s="11" t="inlineStr">
        <is>
          <t>Total pageviews of the Enhanced brand content</t>
        </is>
      </c>
      <c r="AH1" s="11" t="inlineStr">
        <is>
          <t>Estimated number of organic pageviews, calculated based on the (Max (page views - ebc views, ebc views) - ad clicks)</t>
        </is>
      </c>
      <c r="AI1" s="12" t="inlineStr">
        <is>
          <t>(Total sales - Ad sales)</t>
        </is>
      </c>
      <c r="AJ1" s="11" t="inlineStr">
        <is>
          <t>(Total units sold - Ad units sold)</t>
        </is>
      </c>
      <c r="AK1" s="10" t="inlineStr">
        <is>
          <t>(Organic units sold / Organic views)</t>
        </is>
      </c>
      <c r="AL1" s="10" t="inlineStr">
        <is>
          <t>(Organic sales / Total sales)</t>
        </is>
      </c>
      <c r="AM1" s="11" t="inlineStr">
        <is>
          <t>(Available Inventory / Avg Daily Units Sold in Last 135 days)</t>
        </is>
      </c>
    </row>
    <row r="2">
      <c r="L2" s="13">
        <f>SUBTOTAL(9, L3:L698)</f>
        <v/>
      </c>
      <c r="N2" s="13">
        <f>SUBTOTAL(9, N3:N698)</f>
        <v/>
      </c>
      <c r="O2" s="13">
        <f>SUBTOTAL(9, O3:O698)</f>
        <v/>
      </c>
      <c r="P2" s="14">
        <f>SUBTOTAL(9, P3:P698)</f>
        <v/>
      </c>
      <c r="Q2" s="15">
        <f>SUBTOTAL(9, Q3:Q698)</f>
        <v/>
      </c>
      <c r="S2" s="16">
        <f>Q2/L2</f>
        <v/>
      </c>
      <c r="U2" s="15">
        <f>W2/Q2</f>
        <v/>
      </c>
      <c r="V2" s="16">
        <f>Q2/W2</f>
        <v/>
      </c>
      <c r="W2" s="15">
        <f>SUBTOTAL(9, W3:W698)</f>
        <v/>
      </c>
      <c r="X2" s="15">
        <f>SUBTOTAL(9, X3:X698)</f>
        <v/>
      </c>
      <c r="Y2" s="17">
        <f>SUBTOTAL(9, Y3:Y698)</f>
        <v/>
      </c>
      <c r="Z2" s="17">
        <f>SUBTOTAL(9, Z3:Z698)</f>
        <v/>
      </c>
      <c r="AA2" s="16">
        <f>Z2/Y2</f>
        <v/>
      </c>
      <c r="AB2" s="17">
        <f>SUBTOTAL(9, AB3:AB698)</f>
        <v/>
      </c>
      <c r="AC2" s="16">
        <f>AB2/Z2</f>
        <v/>
      </c>
      <c r="AE2" s="15">
        <f>Q2/AB2</f>
        <v/>
      </c>
      <c r="AF2" s="14">
        <f>SUBTOTAL(9, AF3:AF698)</f>
        <v/>
      </c>
      <c r="AG2" s="14">
        <f>SUBTOTAL(9, AG3:AG698)</f>
        <v/>
      </c>
      <c r="AH2" s="18">
        <f>SUBTOTAL(9, AH3:AH698)</f>
        <v/>
      </c>
      <c r="AI2" s="19">
        <f>SUBTOTAL(9, AI3:AI698)</f>
        <v/>
      </c>
      <c r="AJ2" s="18">
        <f>SUBTOTAL(9, AJ3:AJ698)</f>
        <v/>
      </c>
      <c r="AM2" s="14">
        <f>SUBTOTAL(9, AM3:AM698)</f>
        <v/>
      </c>
    </row>
    <row r="3" ht="48" customHeight="1">
      <c r="A3" s="6" t="inlineStr">
        <is>
          <t>Parent Item ID</t>
        </is>
      </c>
      <c r="B3" s="6" t="inlineStr">
        <is>
          <t>Parent Product Name</t>
        </is>
      </c>
      <c r="C3" s="6" t="inlineStr">
        <is>
          <t>Variant Count</t>
        </is>
      </c>
      <c r="D3" s="6" t="inlineStr">
        <is>
          <t>Variant Group ID</t>
        </is>
      </c>
      <c r="E3" s="6" t="inlineStr">
        <is>
          <t>Parent SKU</t>
        </is>
      </c>
      <c r="F3" s="6" t="inlineStr">
        <is>
          <t>Reviews</t>
        </is>
      </c>
      <c r="G3" s="6" t="inlineStr">
        <is>
          <t>Category</t>
        </is>
      </c>
      <c r="H3" s="6" t="inlineStr">
        <is>
          <t>Product Type</t>
        </is>
      </c>
      <c r="I3" s="6" t="inlineStr">
        <is>
          <t>Brand</t>
        </is>
      </c>
      <c r="J3" s="6" t="inlineStr">
        <is>
          <t>Average Rating</t>
        </is>
      </c>
      <c r="K3" s="6" t="inlineStr">
        <is>
          <t>Tags</t>
        </is>
      </c>
      <c r="L3" s="20" t="inlineStr">
        <is>
          <t>Total Net Sales</t>
        </is>
      </c>
      <c r="M3" s="21" t="inlineStr">
        <is>
          <t>Share of Sales</t>
        </is>
      </c>
      <c r="N3" s="20" t="inlineStr">
        <is>
          <t>Return Sales</t>
        </is>
      </c>
      <c r="O3" s="20" t="inlineStr">
        <is>
          <t>Cancelled Sales</t>
        </is>
      </c>
      <c r="P3" s="22" t="inlineStr">
        <is>
          <t>Total Net Unit Sold</t>
        </is>
      </c>
      <c r="Q3" s="23" t="inlineStr">
        <is>
          <t>Ad Spend</t>
        </is>
      </c>
      <c r="R3" s="24" t="inlineStr">
        <is>
          <t>Share of Ad Spend</t>
        </is>
      </c>
      <c r="S3" s="24" t="inlineStr">
        <is>
          <t>TACOS</t>
        </is>
      </c>
      <c r="T3" s="24" t="inlineStr">
        <is>
          <t>Previous TACOS</t>
        </is>
      </c>
      <c r="U3" s="23" t="inlineStr">
        <is>
          <t>ROAS</t>
        </is>
      </c>
      <c r="V3" s="24" t="inlineStr">
        <is>
          <t>ACOS</t>
        </is>
      </c>
      <c r="W3" s="23" t="inlineStr">
        <is>
          <t>Ad Sales</t>
        </is>
      </c>
      <c r="X3" s="23" t="inlineStr">
        <is>
          <t>Ad SKU Sales</t>
        </is>
      </c>
      <c r="Y3" s="25" t="inlineStr">
        <is>
          <t>Ad Impressions</t>
        </is>
      </c>
      <c r="Z3" s="25" t="inlineStr">
        <is>
          <t>Ad Clicks</t>
        </is>
      </c>
      <c r="AA3" s="24" t="inlineStr">
        <is>
          <t>CTR</t>
        </is>
      </c>
      <c r="AB3" s="25" t="inlineStr">
        <is>
          <t>Ad Units Sold</t>
        </is>
      </c>
      <c r="AC3" s="24" t="inlineStr">
        <is>
          <t>Ad Conversion</t>
        </is>
      </c>
      <c r="AD3" s="25" t="inlineStr">
        <is>
          <t>Campaigns</t>
        </is>
      </c>
      <c r="AE3" s="23" t="inlineStr">
        <is>
          <t>CPC</t>
        </is>
      </c>
      <c r="AF3" s="22" t="inlineStr">
        <is>
          <t>Walmart Item Page Views</t>
        </is>
      </c>
      <c r="AG3" s="22" t="inlineStr">
        <is>
          <t>EBC Page Views</t>
        </is>
      </c>
      <c r="AH3" s="26" t="inlineStr">
        <is>
          <t>Organic Views</t>
        </is>
      </c>
      <c r="AI3" s="27" t="inlineStr">
        <is>
          <t>Organic Sales</t>
        </is>
      </c>
      <c r="AJ3" s="26" t="inlineStr">
        <is>
          <t>Organic Units Sold</t>
        </is>
      </c>
      <c r="AK3" s="28" t="inlineStr">
        <is>
          <t>Organic Conversion</t>
        </is>
      </c>
      <c r="AL3" s="28" t="inlineStr">
        <is>
          <t>Share of Organic</t>
        </is>
      </c>
      <c r="AM3" s="22" t="inlineStr">
        <is>
          <t>Days of Inventory</t>
        </is>
      </c>
    </row>
    <row r="4">
      <c r="A4">
        <f>HYPERLINK("https://www.walmart.com/ip/775282043", "775282043")</f>
        <v/>
      </c>
      <c r="B4">
        <f>HYPERLINK("https://app.optiwise.ai/catalog/itemdetails/361336", "Tirrinia Insulated Lunch Bag for Women, Men, and Kids, Leakproof Thermal Reusable Insulated Cooler Bag for Office, Work, Back to School, Medium, Charcoal, 8L, 10 X 7 X 7.7")</f>
        <v/>
      </c>
      <c r="C4" t="n">
        <v>10</v>
      </c>
      <c r="D4" t="inlineStr">
        <is>
          <t>B78691_1681544_5B09862264007601</t>
        </is>
      </c>
      <c r="E4" t="inlineStr">
        <is>
          <t>1TRLB701CH-N</t>
        </is>
      </c>
      <c r="F4" t="n">
        <v>667</v>
      </c>
      <c r="G4" t="inlineStr">
        <is>
          <t>Home Decor, Kitchen, &amp; Other</t>
        </is>
      </c>
      <c r="H4" t="inlineStr">
        <is>
          <t>Reusable Lunch Bags &amp; Boxes</t>
        </is>
      </c>
      <c r="I4" t="inlineStr">
        <is>
          <t>Tirrinia</t>
        </is>
      </c>
      <c r="J4" t="n">
        <v>4.600000000000001</v>
      </c>
      <c r="K4" t="inlineStr">
        <is>
          <t>Q2-Target,Brand Camp VD,Lunch Bag,WFS,Lunch Bags,SEM,Wal-Exl-Price,WFS Item,AMZ Bestsellers</t>
        </is>
      </c>
      <c r="L4" s="29" t="n">
        <v>12619.9</v>
      </c>
      <c r="M4" s="30" t="n">
        <v>0.1088</v>
      </c>
      <c r="N4" s="29" t="n">
        <v>1181.629977226257</v>
      </c>
      <c r="O4" s="29" t="n">
        <v>96.57999801635742</v>
      </c>
      <c r="P4" s="2" t="n">
        <v>1041</v>
      </c>
      <c r="Q4" s="31" t="n">
        <v>0</v>
      </c>
      <c r="R4" s="32" t="n"/>
      <c r="S4" s="32" t="n">
        <v>0</v>
      </c>
      <c r="T4" s="32" t="n">
        <v>0.1073</v>
      </c>
      <c r="U4" s="31" t="n">
        <v>0</v>
      </c>
      <c r="V4" s="32" t="n">
        <v>0</v>
      </c>
      <c r="W4" s="31" t="n">
        <v>0</v>
      </c>
      <c r="X4" s="31" t="n">
        <v>0</v>
      </c>
      <c r="Y4" s="3" t="n">
        <v>0</v>
      </c>
      <c r="Z4" s="3" t="n">
        <v>0</v>
      </c>
      <c r="AA4" s="32" t="n">
        <v>0</v>
      </c>
      <c r="AB4" s="3" t="n">
        <v>0</v>
      </c>
      <c r="AC4" s="32" t="n">
        <v>0</v>
      </c>
      <c r="AD4" s="3" t="n"/>
      <c r="AE4" s="31" t="n">
        <v>0</v>
      </c>
      <c r="AF4" s="2" t="n">
        <v>32600</v>
      </c>
      <c r="AG4" s="2" t="n">
        <v>5753</v>
      </c>
      <c r="AH4" s="4" t="n">
        <v>26847</v>
      </c>
      <c r="AI4" s="33" t="n">
        <v>12619.9</v>
      </c>
      <c r="AJ4" s="4" t="n">
        <v>1041</v>
      </c>
      <c r="AK4" s="34" t="n">
        <v>0.0388</v>
      </c>
      <c r="AL4" s="34" t="n">
        <v>1</v>
      </c>
      <c r="AM4" s="2" t="n">
        <v>124</v>
      </c>
    </row>
    <row r="5">
      <c r="A5">
        <f>HYPERLINK("https://www.walmart.com/ip/997566327", "997566327")</f>
        <v/>
      </c>
      <c r="B5">
        <f>HYPERLINK("https://app.optiwise.ai/catalog/itemdetails/418776", "Kritter Planet Waterproof Dog Blanket for Couch, Washable Pet Couch Cover, Non-slip Bed Sofa Furniture Protector Mat, Latte, 30''x50''.")</f>
        <v/>
      </c>
      <c r="C5" t="n">
        <v>7</v>
      </c>
      <c r="D5" t="inlineStr">
        <is>
          <t>B78691_1681133_447C999CAF47C1E6</t>
        </is>
      </c>
      <c r="E5" t="inlineStr">
        <is>
          <t>1KPBW356LT</t>
        </is>
      </c>
      <c r="F5" t="n">
        <v>62</v>
      </c>
      <c r="G5" t="inlineStr">
        <is>
          <t>Animal Accessories</t>
        </is>
      </c>
      <c r="H5" t="inlineStr">
        <is>
          <t>Pet Blankets</t>
        </is>
      </c>
      <c r="I5" t="inlineStr">
        <is>
          <t>Kritter Planet</t>
        </is>
      </c>
      <c r="J5" t="n">
        <v>4.100000000000001</v>
      </c>
      <c r="K5" t="inlineStr">
        <is>
          <t>Q2-Target,Optimized,SEM</t>
        </is>
      </c>
      <c r="L5" s="29" t="n">
        <v>5072.360000000001</v>
      </c>
      <c r="M5" s="30" t="n">
        <v>0.0437</v>
      </c>
      <c r="N5" s="29" t="n">
        <v>415.8099956512451</v>
      </c>
      <c r="O5" s="29" t="n">
        <v>25.98999977111816</v>
      </c>
      <c r="P5" s="2" t="n">
        <v>235</v>
      </c>
      <c r="Q5" s="31" t="n">
        <v>432.96</v>
      </c>
      <c r="R5" s="32" t="n">
        <v>0.0519</v>
      </c>
      <c r="S5" s="32" t="n">
        <v>0.0854</v>
      </c>
      <c r="T5" s="32" t="n">
        <v>0.0992</v>
      </c>
      <c r="U5" s="31" t="n">
        <v>6.3</v>
      </c>
      <c r="V5" s="32" t="n">
        <v>0.16</v>
      </c>
      <c r="W5" s="31" t="n">
        <v>2726.400000000001</v>
      </c>
      <c r="X5" s="31" t="n">
        <v>2672.43</v>
      </c>
      <c r="Y5" s="3" t="n">
        <v>237518</v>
      </c>
      <c r="Z5" s="3" t="n">
        <v>1249</v>
      </c>
      <c r="AA5" s="32" t="n">
        <v>0.0053</v>
      </c>
      <c r="AB5" s="3" t="n">
        <v>126</v>
      </c>
      <c r="AC5" s="32" t="n">
        <v>0.1009</v>
      </c>
      <c r="AD5" s="3" t="inlineStr">
        <is>
          <t>Pet Blankets_Auto_Optiwise_24,Auto for BW PET 2 ---Rachel</t>
        </is>
      </c>
      <c r="AE5" s="31" t="n">
        <v>0.35</v>
      </c>
      <c r="AF5" s="2" t="n">
        <v>2538</v>
      </c>
      <c r="AG5" s="2" t="n">
        <v>1008</v>
      </c>
      <c r="AH5" s="4" t="n">
        <v>281</v>
      </c>
      <c r="AI5" s="33" t="n">
        <v>2345.96</v>
      </c>
      <c r="AJ5" s="4" t="n">
        <v>109</v>
      </c>
      <c r="AK5" s="34" t="n">
        <v>0.3879</v>
      </c>
      <c r="AL5" s="34" t="n">
        <v>0.4625</v>
      </c>
      <c r="AM5" s="2" t="n">
        <v>362</v>
      </c>
    </row>
    <row r="6">
      <c r="A6">
        <f>HYPERLINK("https://www.walmart.com/ip/509023872", "509023872")</f>
        <v/>
      </c>
      <c r="B6">
        <f>HYPERLINK("https://app.optiwise.ai/catalog/itemdetails/412502", "Tirrinia Small Portable Reusable Thermal Insulated Lunch Bag To Keep Your Snacks,Drinks And Meals At A Consistent Temperature For Adult Kids,Charcoal")</f>
        <v/>
      </c>
      <c r="C6" t="n">
        <v>13</v>
      </c>
      <c r="D6" t="inlineStr">
        <is>
          <t>B78691_1670707_ABA3BE390C1CA74C</t>
        </is>
      </c>
      <c r="E6" t="inlineStr">
        <is>
          <t>1TRLB100CH</t>
        </is>
      </c>
      <c r="F6" t="n">
        <v>116</v>
      </c>
      <c r="G6" t="inlineStr">
        <is>
          <t>Home Decor, Kitchen, &amp; Other</t>
        </is>
      </c>
      <c r="H6" t="inlineStr">
        <is>
          <t>Reusable Lunch Bags &amp; Boxes</t>
        </is>
      </c>
      <c r="I6" t="inlineStr">
        <is>
          <t>Tirrinia</t>
        </is>
      </c>
      <c r="J6" t="n">
        <v>4.700000000000001</v>
      </c>
      <c r="K6" t="inlineStr">
        <is>
          <t>Q2-Target,Brand Camp VD,Lunch Bag,Optimized,Lunch Bags,SEM</t>
        </is>
      </c>
      <c r="L6" s="29" t="n">
        <v>4445.76</v>
      </c>
      <c r="M6" s="30" t="n">
        <v>0.0383</v>
      </c>
      <c r="N6" s="29" t="n">
        <v>309.879994392395</v>
      </c>
      <c r="O6" s="29" t="n">
        <v>99.90999794006348</v>
      </c>
      <c r="P6" s="2" t="n">
        <v>347</v>
      </c>
      <c r="Q6" s="31" t="n">
        <v>0</v>
      </c>
      <c r="R6" s="32" t="n"/>
      <c r="S6" s="32" t="n">
        <v>0</v>
      </c>
      <c r="T6" s="32" t="n">
        <v>0.0799</v>
      </c>
      <c r="U6" s="31" t="n">
        <v>0</v>
      </c>
      <c r="V6" s="32" t="n">
        <v>0</v>
      </c>
      <c r="W6" s="31" t="n">
        <v>0</v>
      </c>
      <c r="X6" s="31" t="n">
        <v>0</v>
      </c>
      <c r="Y6" s="3" t="n">
        <v>0</v>
      </c>
      <c r="Z6" s="3" t="n">
        <v>0</v>
      </c>
      <c r="AA6" s="32" t="n">
        <v>0</v>
      </c>
      <c r="AB6" s="3" t="n">
        <v>0</v>
      </c>
      <c r="AC6" s="32" t="n">
        <v>0</v>
      </c>
      <c r="AD6" s="3" t="n"/>
      <c r="AE6" s="31" t="n">
        <v>0</v>
      </c>
      <c r="AF6" s="2" t="n">
        <v>4275</v>
      </c>
      <c r="AG6" s="2" t="n">
        <v>2077</v>
      </c>
      <c r="AH6" s="4" t="n">
        <v>2198</v>
      </c>
      <c r="AI6" s="33" t="n">
        <v>4445.76</v>
      </c>
      <c r="AJ6" s="4" t="n">
        <v>347</v>
      </c>
      <c r="AK6" s="34" t="n">
        <v>0.1579</v>
      </c>
      <c r="AL6" s="34" t="n">
        <v>1</v>
      </c>
      <c r="AM6" s="2" t="n">
        <v>502</v>
      </c>
    </row>
    <row r="7">
      <c r="A7">
        <f>HYPERLINK("https://www.walmart.com/ip/10294163517", "10294163517")</f>
        <v/>
      </c>
      <c r="B7">
        <f>HYPERLINK("https://app.optiwise.ai/catalog/itemdetails/10031978", "Wrangler Men’s Leather Country Casual Every Day Dress Belt for Jeans, Khakis Black 32")</f>
        <v/>
      </c>
      <c r="C7" t="n">
        <v>21</v>
      </c>
      <c r="D7" t="inlineStr">
        <is>
          <t>B78691_1682836_1BC9ABDC65D9EAB2</t>
        </is>
      </c>
      <c r="E7" t="inlineStr">
        <is>
          <t>WR-BELT-MENS-COUNTRY-BLACK-32</t>
        </is>
      </c>
      <c r="F7" t="n">
        <v>15</v>
      </c>
      <c r="G7" t="inlineStr">
        <is>
          <t>Clothing</t>
        </is>
      </c>
      <c r="H7" t="inlineStr">
        <is>
          <t>Belts</t>
        </is>
      </c>
      <c r="I7" t="inlineStr">
        <is>
          <t>Wrangler</t>
        </is>
      </c>
      <c r="J7" t="n">
        <v>4.400000000000001</v>
      </c>
      <c r="K7" t="inlineStr">
        <is>
          <t>Belts</t>
        </is>
      </c>
      <c r="L7" s="29" t="n">
        <v>4308.27</v>
      </c>
      <c r="M7" s="30" t="n">
        <v>0.0371</v>
      </c>
      <c r="N7" s="29" t="n">
        <v>936.4699897766113</v>
      </c>
      <c r="O7" s="29" t="n">
        <v>19.98999977111816</v>
      </c>
      <c r="P7" s="2" t="n">
        <v>214</v>
      </c>
      <c r="Q7" s="31" t="n">
        <v>327.8799999999999</v>
      </c>
      <c r="R7" s="32" t="n">
        <v>0.0393</v>
      </c>
      <c r="S7" s="32" t="n">
        <v>0.0761</v>
      </c>
      <c r="T7" s="32" t="n">
        <v>0.1539</v>
      </c>
      <c r="U7" s="31" t="n">
        <v>5</v>
      </c>
      <c r="V7" s="32" t="n">
        <v>0.2</v>
      </c>
      <c r="W7" s="31" t="n">
        <v>1639.18</v>
      </c>
      <c r="X7" s="31" t="n">
        <v>1559.22</v>
      </c>
      <c r="Y7" s="3" t="n">
        <v>73423</v>
      </c>
      <c r="Z7" s="3" t="n">
        <v>658</v>
      </c>
      <c r="AA7" s="32" t="n">
        <v>0.008999999999999999</v>
      </c>
      <c r="AB7" s="3" t="n">
        <v>82</v>
      </c>
      <c r="AC7" s="32" t="n">
        <v>0.1246</v>
      </c>
      <c r="AD7" s="3" t="inlineStr">
        <is>
          <t>Belts Manual_Optiwise,Belts_Auto_Optiwise,Need to sell these SKUs by 15th Feb,</t>
        </is>
      </c>
      <c r="AE7" s="31" t="n">
        <v>0.5</v>
      </c>
      <c r="AF7" s="2" t="n">
        <v>553</v>
      </c>
      <c r="AG7" s="2" t="n">
        <v>1653</v>
      </c>
      <c r="AH7" s="4" t="n">
        <v>995</v>
      </c>
      <c r="AI7" s="33" t="n">
        <v>2669.090000000001</v>
      </c>
      <c r="AJ7" s="4" t="n">
        <v>132</v>
      </c>
      <c r="AK7" s="34" t="n">
        <v>0.1327</v>
      </c>
      <c r="AL7" s="34" t="n">
        <v>0.6195000000000001</v>
      </c>
      <c r="AM7" s="2" t="n">
        <v>917</v>
      </c>
    </row>
    <row r="8">
      <c r="A8">
        <f>HYPERLINK("https://www.walmart.com/ip/962141161", "962141161")</f>
        <v/>
      </c>
      <c r="B8">
        <f>HYPERLINK("https://app.optiwise.ai/catalog/itemdetails/361186", "Catalonia Fleece Wearable Blanket Poncho Cape for Adult Women and Men, Wrap Blanket Cape with Pocket, Warm, Soft, Cozy, Snuggly, Comfort Gift, No Sleeves, All-Season, Cow")</f>
        <v/>
      </c>
      <c r="C8" t="n">
        <v>25</v>
      </c>
      <c r="D8" t="inlineStr">
        <is>
          <t>B78691_1681317_F45AEBFF3809F3DC</t>
        </is>
      </c>
      <c r="E8" t="inlineStr">
        <is>
          <t>1CTBP100DMT</t>
        </is>
      </c>
      <c r="F8" t="n">
        <v>190</v>
      </c>
      <c r="G8" t="inlineStr">
        <is>
          <t>Bedding</t>
        </is>
      </c>
      <c r="H8" t="inlineStr">
        <is>
          <t>Throws</t>
        </is>
      </c>
      <c r="I8" t="inlineStr">
        <is>
          <t>Catalonia</t>
        </is>
      </c>
      <c r="J8" t="n">
        <v>4.5</v>
      </c>
      <c r="K8" t="inlineStr">
        <is>
          <t>Hero 5 Holidays,WFS,WFS Item</t>
        </is>
      </c>
      <c r="L8" s="29" t="n">
        <v>3666.53</v>
      </c>
      <c r="M8" s="30" t="n">
        <v>0.0316</v>
      </c>
      <c r="N8" s="29" t="n">
        <v>273.8299999237061</v>
      </c>
      <c r="O8" s="29" t="n">
        <v>23.98999977111816</v>
      </c>
      <c r="P8" s="2" t="n">
        <v>146</v>
      </c>
      <c r="Q8" s="31" t="n">
        <v>536.39</v>
      </c>
      <c r="R8" s="32" t="n">
        <v>0.0643</v>
      </c>
      <c r="S8" s="32" t="n">
        <v>0.1463</v>
      </c>
      <c r="T8" s="32" t="n">
        <v>0.1036</v>
      </c>
      <c r="U8" s="31" t="n">
        <v>2.48</v>
      </c>
      <c r="V8" s="32" t="n">
        <v>0.4</v>
      </c>
      <c r="W8" s="31" t="n">
        <v>1330.51</v>
      </c>
      <c r="X8" s="31" t="n">
        <v>1119.58</v>
      </c>
      <c r="Y8" s="3" t="n">
        <v>645160</v>
      </c>
      <c r="Z8" s="3" t="n">
        <v>1418</v>
      </c>
      <c r="AA8" s="32" t="n">
        <v>0.0022</v>
      </c>
      <c r="AB8" s="3" t="n">
        <v>49</v>
      </c>
      <c r="AC8" s="32" t="n">
        <v>0.0346</v>
      </c>
      <c r="AD8" s="3" t="inlineStr">
        <is>
          <t>Snuggly_Auto,1CTBP120GY_Manual_Optiwise,Throws_Auto_Optiwise_24,,Need to sell these SKUs by 15th Feb,Top Selling Last Year 2023,All Items_Auto_Optiwise_24,Throws_Manual_Optiwise_24</t>
        </is>
      </c>
      <c r="AE8" s="31" t="n">
        <v>0.38</v>
      </c>
      <c r="AF8" s="2" t="n">
        <v>5669</v>
      </c>
      <c r="AG8" s="2" t="n">
        <v>1905</v>
      </c>
      <c r="AH8" s="4" t="n">
        <v>2346</v>
      </c>
      <c r="AI8" s="33" t="n">
        <v>2336.02</v>
      </c>
      <c r="AJ8" s="4" t="n">
        <v>97</v>
      </c>
      <c r="AK8" s="34" t="n">
        <v>0.0413</v>
      </c>
      <c r="AL8" s="34" t="n">
        <v>0.6371</v>
      </c>
      <c r="AM8" s="2" t="n">
        <v>1308</v>
      </c>
    </row>
    <row r="9">
      <c r="A9">
        <f>HYPERLINK("https://www.walmart.com/ip/866631119", "866631119")</f>
        <v/>
      </c>
      <c r="B9">
        <f>HYPERLINK("https://app.optiwise.ai/catalog/itemdetails/361601", "Pawsse Waterproof Pet Snuggle Blanket, Dog Puppy Cat Fleece Sherpa Throws Cushion Mat for Car Seat Furniture Protector Cover Medium 50x60")</f>
        <v/>
      </c>
      <c r="C9" t="n">
        <v>10</v>
      </c>
      <c r="D9" t="inlineStr">
        <is>
          <t>B78691_1639251_5DEED97DE4A7A542</t>
        </is>
      </c>
      <c r="E9" t="inlineStr">
        <is>
          <t>1PSBW561BNTP</t>
        </is>
      </c>
      <c r="F9" t="n">
        <v>33</v>
      </c>
      <c r="G9" t="inlineStr">
        <is>
          <t>Animal Accessories</t>
        </is>
      </c>
      <c r="H9" t="inlineStr">
        <is>
          <t>Pet Blankets</t>
        </is>
      </c>
      <c r="I9" t="inlineStr">
        <is>
          <t>Pawsse</t>
        </is>
      </c>
      <c r="J9" t="n">
        <v>4.399999999999999</v>
      </c>
      <c r="K9" t="inlineStr">
        <is>
          <t>Q2-Target,WFS,SEM,WFS Item</t>
        </is>
      </c>
      <c r="L9" s="29" t="n">
        <v>3592.57</v>
      </c>
      <c r="M9" s="30" t="n">
        <v>0.031</v>
      </c>
      <c r="N9" s="29" t="n">
        <v>142.9199981689453</v>
      </c>
      <c r="O9" s="29" t="n">
        <v>26.98999977111816</v>
      </c>
      <c r="P9" s="2" t="n">
        <v>164</v>
      </c>
      <c r="Q9" s="31" t="n">
        <v>631.36</v>
      </c>
      <c r="R9" s="32" t="n">
        <v>0.0757</v>
      </c>
      <c r="S9" s="32" t="n">
        <v>0.1757</v>
      </c>
      <c r="T9" s="32" t="n">
        <v>0.1933</v>
      </c>
      <c r="U9" s="31" t="n">
        <v>3.88</v>
      </c>
      <c r="V9" s="32" t="n">
        <v>0.26</v>
      </c>
      <c r="W9" s="31" t="n">
        <v>2451.83</v>
      </c>
      <c r="X9" s="31" t="n">
        <v>2180.93</v>
      </c>
      <c r="Y9" s="3" t="n">
        <v>281231</v>
      </c>
      <c r="Z9" s="3" t="n">
        <v>1470</v>
      </c>
      <c r="AA9" s="32" t="n">
        <v>0.0052</v>
      </c>
      <c r="AB9" s="3" t="n">
        <v>117</v>
      </c>
      <c r="AC9" s="32" t="n">
        <v>0.0796</v>
      </c>
      <c r="AD9" s="3" t="inlineStr">
        <is>
          <t>Pet Blankets_Auto_Optiwise_24,Auto for BW PET 2 ---Rachel,,Need to sell these SKUs by 15th Feb</t>
        </is>
      </c>
      <c r="AE9" s="31" t="n">
        <v>0.43</v>
      </c>
      <c r="AF9" s="2" t="n">
        <v>1970</v>
      </c>
      <c r="AG9" s="2" t="n">
        <v>1631</v>
      </c>
      <c r="AH9" s="4" t="n">
        <v>161</v>
      </c>
      <c r="AI9" s="33" t="n">
        <v>1140.74</v>
      </c>
      <c r="AJ9" s="4" t="n">
        <v>47</v>
      </c>
      <c r="AK9" s="34" t="n">
        <v>0.2919</v>
      </c>
      <c r="AL9" s="34" t="n">
        <v>0.3175</v>
      </c>
      <c r="AM9" s="2" t="n">
        <v>586</v>
      </c>
    </row>
    <row r="10">
      <c r="A10">
        <f>HYPERLINK("https://www.walmart.com/ip/1228349737", "1228349737")</f>
        <v/>
      </c>
      <c r="B10">
        <f>HYPERLINK("https://app.optiwise.ai/catalog/itemdetails/920305", "Catalonia Waterproof Blanket for Couch, Reversible Washable Sofa Bed Coverlet Protecto,| Leak Proof, Comfortable, for People and Pets, Camel/Taupe, 60 x 80")</f>
        <v/>
      </c>
      <c r="C10" t="n">
        <v>9</v>
      </c>
      <c r="D10" t="inlineStr">
        <is>
          <t>B78691_1681376_4D67DE30EB185F53</t>
        </is>
      </c>
      <c r="E10" t="inlineStr">
        <is>
          <t>1CTBW685TPTP</t>
        </is>
      </c>
      <c r="F10" t="n">
        <v>15</v>
      </c>
      <c r="G10" t="inlineStr">
        <is>
          <t>Bedding</t>
        </is>
      </c>
      <c r="H10" t="inlineStr">
        <is>
          <t>Throws</t>
        </is>
      </c>
      <c r="I10" t="inlineStr">
        <is>
          <t>Catalonia</t>
        </is>
      </c>
      <c r="J10" t="n">
        <v>4.399999999999999</v>
      </c>
      <c r="K10" t="inlineStr">
        <is>
          <t>Wproof Blanket,Batch 1 - TR</t>
        </is>
      </c>
      <c r="L10" s="29" t="n">
        <v>3065.24</v>
      </c>
      <c r="M10" s="30" t="n">
        <v>0.0264</v>
      </c>
      <c r="N10" s="29" t="n">
        <v>99.97000122070312</v>
      </c>
      <c r="O10" s="29" t="n">
        <v>0</v>
      </c>
      <c r="P10" s="2" t="n">
        <v>74</v>
      </c>
      <c r="Q10" s="31" t="n">
        <v>114.56</v>
      </c>
      <c r="R10" s="32" t="n">
        <v>0.0137</v>
      </c>
      <c r="S10" s="32" t="n">
        <v>0.0374</v>
      </c>
      <c r="T10" s="32" t="n">
        <v>0.0737</v>
      </c>
      <c r="U10" s="31" t="n">
        <v>6.21</v>
      </c>
      <c r="V10" s="32" t="n">
        <v>0.16</v>
      </c>
      <c r="W10" s="31" t="n">
        <v>711.8200000000001</v>
      </c>
      <c r="X10" s="31" t="n">
        <v>531.88</v>
      </c>
      <c r="Y10" s="3" t="n">
        <v>173309</v>
      </c>
      <c r="Z10" s="3" t="n">
        <v>280</v>
      </c>
      <c r="AA10" s="32" t="n">
        <v>0.0016</v>
      </c>
      <c r="AB10" s="3" t="n">
        <v>18</v>
      </c>
      <c r="AC10" s="32" t="n">
        <v>0.0643</v>
      </c>
      <c r="AD10" s="3" t="inlineStr">
        <is>
          <t>All Items_Auto_Optiwise_24,Auto for BW Indoor,High AUR SKUs_Optiwise_2024,Throws_Auto_Optiwise_24,</t>
        </is>
      </c>
      <c r="AE10" s="31" t="n">
        <v>0.41</v>
      </c>
      <c r="AF10" s="2" t="n">
        <v>807</v>
      </c>
      <c r="AG10" s="2" t="n">
        <v>1713</v>
      </c>
      <c r="AH10" s="4" t="n">
        <v>1433</v>
      </c>
      <c r="AI10" s="33" t="n">
        <v>2353.42</v>
      </c>
      <c r="AJ10" s="4" t="n">
        <v>56</v>
      </c>
      <c r="AK10" s="34" t="n">
        <v>0.0391</v>
      </c>
      <c r="AL10" s="34" t="n">
        <v>0.7678</v>
      </c>
      <c r="AM10" s="2" t="n">
        <v>1287</v>
      </c>
    </row>
    <row r="11">
      <c r="A11">
        <f>HYPERLINK("https://www.walmart.com/ip/351924019", "351924019")</f>
        <v/>
      </c>
      <c r="B11">
        <f>HYPERLINK("https://app.optiwise.ai/catalog/itemdetails/361510", "Flyingstar Lunch Bag for Women Men, Insulated Lunch Tote for Working/School/Picnic Fashionable Cooler Bag")</f>
        <v/>
      </c>
      <c r="C11" t="n">
        <v>21</v>
      </c>
      <c r="D11" t="inlineStr">
        <is>
          <t>B78691_1681756_D6F80ED0864E05A7</t>
        </is>
      </c>
      <c r="E11" t="inlineStr">
        <is>
          <t>1WMLB704WN</t>
        </is>
      </c>
      <c r="F11" t="n">
        <v>306</v>
      </c>
      <c r="G11" t="inlineStr">
        <is>
          <t>Home Decor, Kitchen, &amp; Other</t>
        </is>
      </c>
      <c r="H11" t="inlineStr">
        <is>
          <t>Reusable Lunch Bags &amp; Boxes</t>
        </is>
      </c>
      <c r="I11" t="inlineStr">
        <is>
          <t>Flyingstar</t>
        </is>
      </c>
      <c r="J11" t="n">
        <v>4.400000000000001</v>
      </c>
      <c r="K11" t="inlineStr">
        <is>
          <t>Q2-Target,Lunch Bag</t>
        </is>
      </c>
      <c r="L11" s="29" t="n">
        <v>3001.14</v>
      </c>
      <c r="M11" s="30" t="n">
        <v>0.0259</v>
      </c>
      <c r="N11" s="29" t="n">
        <v>336.1899988651276</v>
      </c>
      <c r="O11" s="29" t="n">
        <v>38.01000022888184</v>
      </c>
      <c r="P11" s="2" t="n">
        <v>319</v>
      </c>
      <c r="Q11" s="31" t="n">
        <v>0</v>
      </c>
      <c r="R11" s="32" t="n"/>
      <c r="S11" s="32" t="n">
        <v>0</v>
      </c>
      <c r="T11" s="32" t="n">
        <v>0.08840000000000001</v>
      </c>
      <c r="U11" s="31" t="n">
        <v>0</v>
      </c>
      <c r="V11" s="32" t="n">
        <v>0</v>
      </c>
      <c r="W11" s="31" t="n">
        <v>0</v>
      </c>
      <c r="X11" s="31" t="n">
        <v>0</v>
      </c>
      <c r="Y11" s="3" t="n">
        <v>0</v>
      </c>
      <c r="Z11" s="3" t="n">
        <v>0</v>
      </c>
      <c r="AA11" s="32" t="n">
        <v>0</v>
      </c>
      <c r="AB11" s="3" t="n">
        <v>0</v>
      </c>
      <c r="AC11" s="32" t="n">
        <v>0</v>
      </c>
      <c r="AD11" s="3" t="n"/>
      <c r="AE11" s="31" t="n">
        <v>0</v>
      </c>
      <c r="AF11" s="2" t="n">
        <v>23408</v>
      </c>
      <c r="AG11" s="2" t="n">
        <v>5031</v>
      </c>
      <c r="AH11" s="4" t="n">
        <v>18377</v>
      </c>
      <c r="AI11" s="33" t="n">
        <v>3001.14</v>
      </c>
      <c r="AJ11" s="4" t="n">
        <v>319</v>
      </c>
      <c r="AK11" s="34" t="n">
        <v>0.0174</v>
      </c>
      <c r="AL11" s="34" t="n">
        <v>1</v>
      </c>
      <c r="AM11" s="2" t="n">
        <v>680</v>
      </c>
    </row>
    <row r="12">
      <c r="A12">
        <f>HYPERLINK("https://www.walmart.com/ip/199120982", "199120982")</f>
        <v/>
      </c>
      <c r="B12">
        <f>HYPERLINK("https://app.optiwise.ai/catalog/itemdetails/361407", "Tirrinia Insulated Lunch Bag for Women and Men, Leakproof Reusable Meal Prep Bento Box Insulated Cooler Bag, Dual Compartment with Shoulder Strap, Charcoal, 10.2 x 7.5 x 9")</f>
        <v/>
      </c>
      <c r="C12" t="n">
        <v>15</v>
      </c>
      <c r="D12" t="inlineStr">
        <is>
          <t>B78691_1670770_FEDACE5AA9E8100E</t>
        </is>
      </c>
      <c r="E12" t="inlineStr">
        <is>
          <t>1TRLB601CH</t>
        </is>
      </c>
      <c r="F12" t="n">
        <v>750</v>
      </c>
      <c r="G12" t="inlineStr">
        <is>
          <t>Home Decor, Kitchen, &amp; Other</t>
        </is>
      </c>
      <c r="H12" t="inlineStr">
        <is>
          <t>Reusable Lunch Bags &amp; Boxes</t>
        </is>
      </c>
      <c r="I12" t="inlineStr">
        <is>
          <t>Tirrinia</t>
        </is>
      </c>
      <c r="J12" t="n">
        <v>4.299999999999999</v>
      </c>
      <c r="K12" t="inlineStr">
        <is>
          <t>Q2-Target,Brand Camp VD,Lunch Bag,WFS,Lunch Bags,SEM,WFS Item,AMZ Bestsellers</t>
        </is>
      </c>
      <c r="L12" s="29" t="n">
        <v>2843.05</v>
      </c>
      <c r="M12" s="30" t="n">
        <v>0.0245</v>
      </c>
      <c r="N12" s="29" t="n">
        <v>544.1499919891357</v>
      </c>
      <c r="O12" s="29" t="n">
        <v>25.97999954223633</v>
      </c>
      <c r="P12" s="2" t="n">
        <v>169</v>
      </c>
      <c r="Q12" s="31" t="n">
        <v>0</v>
      </c>
      <c r="R12" s="32" t="n"/>
      <c r="S12" s="32" t="n">
        <v>0</v>
      </c>
      <c r="T12" s="32" t="n">
        <v>0.07340000000000001</v>
      </c>
      <c r="U12" s="31" t="n">
        <v>0</v>
      </c>
      <c r="V12" s="32" t="n">
        <v>0</v>
      </c>
      <c r="W12" s="31" t="n">
        <v>0</v>
      </c>
      <c r="X12" s="31" t="n">
        <v>0</v>
      </c>
      <c r="Y12" s="3" t="n">
        <v>0</v>
      </c>
      <c r="Z12" s="3" t="n">
        <v>0</v>
      </c>
      <c r="AA12" s="32" t="n">
        <v>0</v>
      </c>
      <c r="AB12" s="3" t="n">
        <v>0</v>
      </c>
      <c r="AC12" s="32" t="n">
        <v>0</v>
      </c>
      <c r="AD12" s="3" t="n"/>
      <c r="AE12" s="31" t="n">
        <v>0</v>
      </c>
      <c r="AF12" s="2" t="n">
        <v>4373</v>
      </c>
      <c r="AG12" s="2" t="n">
        <v>3213</v>
      </c>
      <c r="AH12" s="4" t="n">
        <v>3213</v>
      </c>
      <c r="AI12" s="33" t="n">
        <v>2843.05</v>
      </c>
      <c r="AJ12" s="4" t="n">
        <v>169</v>
      </c>
      <c r="AK12" s="34" t="n">
        <v>0.0526</v>
      </c>
      <c r="AL12" s="34" t="n">
        <v>1</v>
      </c>
      <c r="AM12" s="2" t="n">
        <v>854</v>
      </c>
    </row>
    <row r="13">
      <c r="A13">
        <f>HYPERLINK("https://www.walmart.com/ip/703963438", "703963438")</f>
        <v/>
      </c>
      <c r="B13">
        <f>HYPERLINK("https://app.optiwise.ai/catalog/itemdetails/361458", "Tirrinia Outdoors Waterproof Throw Blanket, Stadium Windproof Sherpa Fleece Blanket for Traveling, Camping, Hiking, and Football, Machine Washable, Navy Blue, 60'' x 80''")</f>
        <v/>
      </c>
      <c r="C13" t="n">
        <v>16</v>
      </c>
      <c r="D13" t="inlineStr">
        <is>
          <t>00711531925907</t>
        </is>
      </c>
      <c r="E13" t="inlineStr">
        <is>
          <t>1TRBW608NYGY</t>
        </is>
      </c>
      <c r="F13" t="n">
        <v>39</v>
      </c>
      <c r="G13" t="inlineStr">
        <is>
          <t>Sport &amp; Recreation Other</t>
        </is>
      </c>
      <c r="H13" t="inlineStr">
        <is>
          <t>Throws</t>
        </is>
      </c>
      <c r="I13" t="inlineStr">
        <is>
          <t>Tirrinia</t>
        </is>
      </c>
      <c r="J13" t="n">
        <v>4.6</v>
      </c>
      <c r="K13" t="inlineStr">
        <is>
          <t>Optimized,AMZ Bestsellers</t>
        </is>
      </c>
      <c r="L13" s="29" t="n">
        <v>2745.05</v>
      </c>
      <c r="M13" s="30" t="n">
        <v>0.0237</v>
      </c>
      <c r="N13" s="29" t="n">
        <v>169.939998626709</v>
      </c>
      <c r="O13" s="29" t="n">
        <v>36.97999954223633</v>
      </c>
      <c r="P13" s="2" t="n">
        <v>88</v>
      </c>
      <c r="Q13" s="31" t="n">
        <v>359.43</v>
      </c>
      <c r="R13" s="32" t="n">
        <v>0.0431</v>
      </c>
      <c r="S13" s="32" t="n">
        <v>0.1309</v>
      </c>
      <c r="T13" s="32" t="n">
        <v>0.0315</v>
      </c>
      <c r="U13" s="31" t="n">
        <v>2.78</v>
      </c>
      <c r="V13" s="32" t="n">
        <v>0.36</v>
      </c>
      <c r="W13" s="31" t="n">
        <v>998.6700000000002</v>
      </c>
      <c r="X13" s="31" t="n">
        <v>998.6700000000002</v>
      </c>
      <c r="Y13" s="3" t="n">
        <v>447181</v>
      </c>
      <c r="Z13" s="3" t="n">
        <v>854</v>
      </c>
      <c r="AA13" s="32" t="n">
        <v>0.0019</v>
      </c>
      <c r="AB13" s="3" t="n">
        <v>33</v>
      </c>
      <c r="AC13" s="32" t="n">
        <v>0.0386</v>
      </c>
      <c r="AD13" s="3" t="inlineStr">
        <is>
          <t>Throws_Auto_Optiwise_24,1TRBW506LGDG-CDCB_Manual,Throws_Manual_Optiwise_24,Picnic Blankets &amp; Mats_Manual_Optiwise_24,,WFS Inventory</t>
        </is>
      </c>
      <c r="AE13" s="31" t="n">
        <v>0.42</v>
      </c>
      <c r="AF13" s="2" t="n">
        <v>635</v>
      </c>
      <c r="AG13" s="2" t="n">
        <v>2189</v>
      </c>
      <c r="AH13" s="4" t="n">
        <v>1335</v>
      </c>
      <c r="AI13" s="33" t="n">
        <v>1746.38</v>
      </c>
      <c r="AJ13" s="4" t="n">
        <v>55</v>
      </c>
      <c r="AK13" s="34" t="n">
        <v>0.0412</v>
      </c>
      <c r="AL13" s="34" t="n">
        <v>0.6362</v>
      </c>
      <c r="AM13" s="2" t="n">
        <v>2089</v>
      </c>
    </row>
    <row r="14">
      <c r="A14">
        <f>HYPERLINK("https://www.walmart.com/ip/10286419609", "10286419609")</f>
        <v/>
      </c>
      <c r="B14">
        <f>HYPERLINK("https://app.optiwise.ai/catalog/itemdetails/10031997", "Wrangler Men’s Full Grain Genuine Leather 35mm Thick Casual Belt for Jeans, Pants - Black, 34")</f>
        <v/>
      </c>
      <c r="C14" t="n">
        <v>21</v>
      </c>
      <c r="D14" t="inlineStr">
        <is>
          <t>B78691_1682835_9B39ECDEC4FD54A9</t>
        </is>
      </c>
      <c r="E14" t="inlineStr">
        <is>
          <t>WR-BELT-MENS-35MM-BLACK-34</t>
        </is>
      </c>
      <c r="F14" t="n">
        <v>6</v>
      </c>
      <c r="G14" t="inlineStr">
        <is>
          <t>Clothing</t>
        </is>
      </c>
      <c r="H14" t="inlineStr">
        <is>
          <t>Belts</t>
        </is>
      </c>
      <c r="I14" t="inlineStr">
        <is>
          <t>Wrangler</t>
        </is>
      </c>
      <c r="J14" t="n">
        <v>4</v>
      </c>
      <c r="K14" t="inlineStr">
        <is>
          <t>Belts</t>
        </is>
      </c>
      <c r="L14" s="29" t="n">
        <v>2616.53</v>
      </c>
      <c r="M14" s="30" t="n">
        <v>0.0226</v>
      </c>
      <c r="N14" s="29" t="n">
        <v>645.6899967193604</v>
      </c>
      <c r="O14" s="29" t="n">
        <v>0</v>
      </c>
      <c r="P14" s="2" t="n">
        <v>130</v>
      </c>
      <c r="Q14" s="31" t="n">
        <v>214.98</v>
      </c>
      <c r="R14" s="32" t="n">
        <v>0.0258</v>
      </c>
      <c r="S14" s="32" t="n">
        <v>0.0822</v>
      </c>
      <c r="T14" s="32" t="n">
        <v>0</v>
      </c>
      <c r="U14" s="31" t="n">
        <v>5.35</v>
      </c>
      <c r="V14" s="32" t="n">
        <v>0.19</v>
      </c>
      <c r="W14" s="31" t="n">
        <v>1149.42</v>
      </c>
      <c r="X14" s="31" t="n">
        <v>1109.44</v>
      </c>
      <c r="Y14" s="3" t="n">
        <v>38724</v>
      </c>
      <c r="Z14" s="3" t="n">
        <v>568</v>
      </c>
      <c r="AA14" s="32" t="n">
        <v>0.0147</v>
      </c>
      <c r="AB14" s="3" t="n">
        <v>58</v>
      </c>
      <c r="AC14" s="32" t="n">
        <v>0.1021</v>
      </c>
      <c r="AD14" s="3" t="inlineStr">
        <is>
          <t>,Need to sell these SKUs by 15th Feb,WFS Inventory</t>
        </is>
      </c>
      <c r="AE14" s="31" t="n">
        <v>0.38</v>
      </c>
      <c r="AF14" s="2" t="n">
        <v>490</v>
      </c>
      <c r="AG14" s="2" t="n">
        <v>1463</v>
      </c>
      <c r="AH14" s="4" t="n">
        <v>895</v>
      </c>
      <c r="AI14" s="33" t="n">
        <v>1467.11</v>
      </c>
      <c r="AJ14" s="4" t="n">
        <v>72</v>
      </c>
      <c r="AK14" s="34" t="n">
        <v>0.0804</v>
      </c>
      <c r="AL14" s="34" t="n">
        <v>0.5607</v>
      </c>
      <c r="AM14" s="2" t="n">
        <v>1023</v>
      </c>
    </row>
    <row r="15">
      <c r="A15">
        <f>HYPERLINK("https://www.walmart.com/ip/450511260", "450511260")</f>
        <v/>
      </c>
      <c r="B15">
        <f>HYPERLINK("https://app.optiwise.ai/catalog/itemdetails/360261", "Tirrinia Large Adult Insulated Lunch Bag Tote Cooler Container, Charcoal")</f>
        <v/>
      </c>
      <c r="C15" t="n">
        <v>7</v>
      </c>
      <c r="D15" t="inlineStr">
        <is>
          <t>B78691_1668502_2F46037FFC35E850</t>
        </is>
      </c>
      <c r="E15" t="inlineStr">
        <is>
          <t>1KTLB410CH</t>
        </is>
      </c>
      <c r="F15" t="n">
        <v>901</v>
      </c>
      <c r="G15" t="inlineStr">
        <is>
          <t>Home Decor, Kitchen, &amp; Other</t>
        </is>
      </c>
      <c r="H15" t="inlineStr">
        <is>
          <t>Reusable Lunch Bags &amp; Boxes</t>
        </is>
      </c>
      <c r="I15" t="inlineStr">
        <is>
          <t>Tirrinia</t>
        </is>
      </c>
      <c r="J15" t="n">
        <v>4.399999999999999</v>
      </c>
      <c r="K15" t="inlineStr">
        <is>
          <t>Q2-Target,Lunch Bag,WFS,Lunch Bags,SEM,WFS Item</t>
        </is>
      </c>
      <c r="L15" s="29" t="n">
        <v>2530.68</v>
      </c>
      <c r="M15" s="30" t="n">
        <v>0.0218</v>
      </c>
      <c r="N15" s="29" t="n">
        <v>236.8699970245361</v>
      </c>
      <c r="O15" s="29" t="n">
        <v>39.97999954223633</v>
      </c>
      <c r="P15" s="2" t="n">
        <v>123</v>
      </c>
      <c r="Q15" s="31" t="n">
        <v>0</v>
      </c>
      <c r="R15" s="32" t="n"/>
      <c r="S15" s="32" t="n">
        <v>0</v>
      </c>
      <c r="T15" s="32" t="n">
        <v>0.1806</v>
      </c>
      <c r="U15" s="31" t="n">
        <v>0</v>
      </c>
      <c r="V15" s="32" t="n">
        <v>0</v>
      </c>
      <c r="W15" s="31" t="n">
        <v>0</v>
      </c>
      <c r="X15" s="31" t="n">
        <v>0</v>
      </c>
      <c r="Y15" s="3" t="n">
        <v>0</v>
      </c>
      <c r="Z15" s="3" t="n">
        <v>0</v>
      </c>
      <c r="AA15" s="32" t="n">
        <v>0</v>
      </c>
      <c r="AB15" s="3" t="n">
        <v>0</v>
      </c>
      <c r="AC15" s="32" t="n">
        <v>0</v>
      </c>
      <c r="AD15" s="3" t="n"/>
      <c r="AE15" s="31" t="n">
        <v>0</v>
      </c>
      <c r="AF15" s="2" t="n">
        <v>2048</v>
      </c>
      <c r="AG15" s="2" t="n">
        <v>811</v>
      </c>
      <c r="AH15" s="4" t="n">
        <v>1237</v>
      </c>
      <c r="AI15" s="33" t="n">
        <v>2530.68</v>
      </c>
      <c r="AJ15" s="4" t="n">
        <v>123</v>
      </c>
      <c r="AK15" s="34" t="n">
        <v>0.0994</v>
      </c>
      <c r="AL15" s="34" t="n">
        <v>1</v>
      </c>
      <c r="AM15" s="2" t="n">
        <v>523</v>
      </c>
    </row>
    <row r="16">
      <c r="A16">
        <f>HYPERLINK("https://www.walmart.com/ip/888252893", "888252893")</f>
        <v/>
      </c>
      <c r="B16">
        <f>HYPERLINK("https://app.optiwise.ai/catalog/itemdetails/359295", "FlyingStar Waterproof Outdoor Blanket with Sherpa Lining, Windproof Triple Layers Warm Comfy Foldable for Camping Stadium, Sports, Picnic, Grass, Concerts and Pet, Black/Grey,  51''X 59''")</f>
        <v/>
      </c>
      <c r="C16" t="n">
        <v>6</v>
      </c>
      <c r="D16" t="inlineStr">
        <is>
          <t>B78691_1681420_3216CAF702872CD0</t>
        </is>
      </c>
      <c r="E16" t="inlineStr">
        <is>
          <t>1WMBW506BKGY</t>
        </is>
      </c>
      <c r="F16" t="n">
        <v>47</v>
      </c>
      <c r="G16" t="inlineStr">
        <is>
          <t>Sport &amp; Recreation Other</t>
        </is>
      </c>
      <c r="H16" t="inlineStr">
        <is>
          <t>Picnic Blankets &amp; Mats</t>
        </is>
      </c>
      <c r="I16" t="inlineStr">
        <is>
          <t>Flyingstar</t>
        </is>
      </c>
      <c r="J16" t="n">
        <v>4.600000000000001</v>
      </c>
      <c r="K16" t="inlineStr">
        <is>
          <t>Q2-Target,Optimized,SEM</t>
        </is>
      </c>
      <c r="L16" s="29" t="n">
        <v>2341.24</v>
      </c>
      <c r="M16" s="30" t="n">
        <v>0.0202</v>
      </c>
      <c r="N16" s="29" t="n">
        <v>0</v>
      </c>
      <c r="O16" s="29" t="n">
        <v>64.98000144958496</v>
      </c>
      <c r="P16" s="2" t="n">
        <v>71</v>
      </c>
      <c r="Q16" s="31" t="n">
        <v>283.62</v>
      </c>
      <c r="R16" s="32" t="n">
        <v>0.034</v>
      </c>
      <c r="S16" s="32" t="n">
        <v>0.1211</v>
      </c>
      <c r="T16" s="32" t="n">
        <v>0.0406</v>
      </c>
      <c r="U16" s="31" t="n">
        <v>4.01</v>
      </c>
      <c r="V16" s="32" t="n">
        <v>0.25</v>
      </c>
      <c r="W16" s="31" t="n">
        <v>1136.66</v>
      </c>
      <c r="X16" s="31" t="n">
        <v>1136.66</v>
      </c>
      <c r="Y16" s="3" t="n">
        <v>333959</v>
      </c>
      <c r="Z16" s="3" t="n">
        <v>816</v>
      </c>
      <c r="AA16" s="32" t="n">
        <v>0.0024</v>
      </c>
      <c r="AB16" s="3" t="n">
        <v>34</v>
      </c>
      <c r="AC16" s="32" t="n">
        <v>0.0417</v>
      </c>
      <c r="AD16" s="3" t="inlineStr">
        <is>
          <t>Picnic Blankets &amp; Mats_Manual_Optiwise_24,WFS Inventory,,1WMBW506NYGY-TBCB_Manual,1WMBW506NYGY-TBCB_Manual_Optiwise,Auto Campaign_Vinay</t>
        </is>
      </c>
      <c r="AE16" s="31" t="n">
        <v>0.35</v>
      </c>
      <c r="AF16" s="2" t="n">
        <v>1021</v>
      </c>
      <c r="AG16" s="2" t="n">
        <v>930</v>
      </c>
      <c r="AH16" s="4" t="n">
        <v>114</v>
      </c>
      <c r="AI16" s="33" t="n">
        <v>1204.58</v>
      </c>
      <c r="AJ16" s="4" t="n">
        <v>37</v>
      </c>
      <c r="AK16" s="34" t="n">
        <v>0.3246</v>
      </c>
      <c r="AL16" s="34" t="n">
        <v>0.5145</v>
      </c>
      <c r="AM16" s="2" t="n">
        <v>868</v>
      </c>
    </row>
    <row r="17">
      <c r="A17">
        <f>HYPERLINK("https://www.walmart.com/ip/948118824", "948118824")</f>
        <v/>
      </c>
      <c r="B17">
        <f>HYPERLINK("https://app.optiwise.ai/catalog/itemdetails/362086", "Catalonia Waterproof Blanket for Baby, Pee Proof Pet Cover for Couch and Bed, Reversible Sherpa Fleece Throw Blanket for Relaxing, Traveling and Camping, Camel/Taupe, 60 x 50")</f>
        <v/>
      </c>
      <c r="C17" t="n">
        <v>6</v>
      </c>
      <c r="D17" t="inlineStr">
        <is>
          <t>B78691_1635824_534D5B9AAC592646</t>
        </is>
      </c>
      <c r="E17" t="inlineStr">
        <is>
          <t>1CTBW561TPTP</t>
        </is>
      </c>
      <c r="F17" t="n">
        <v>38</v>
      </c>
      <c r="G17" t="inlineStr">
        <is>
          <t>Bedding</t>
        </is>
      </c>
      <c r="H17" t="inlineStr">
        <is>
          <t>Throws</t>
        </is>
      </c>
      <c r="I17" t="inlineStr">
        <is>
          <t>Catalonia</t>
        </is>
      </c>
      <c r="J17" t="n">
        <v>3.8</v>
      </c>
      <c r="K17" t="inlineStr">
        <is>
          <t>Q2-Target,WFS,Wproof Blanket,WFS Item</t>
        </is>
      </c>
      <c r="L17" s="29" t="n">
        <v>2306.1</v>
      </c>
      <c r="M17" s="30" t="n">
        <v>0.0199</v>
      </c>
      <c r="N17" s="29" t="n">
        <v>0</v>
      </c>
      <c r="O17" s="29" t="n">
        <v>0</v>
      </c>
      <c r="P17" s="2" t="n">
        <v>74</v>
      </c>
      <c r="Q17" s="31" t="n">
        <v>123.35</v>
      </c>
      <c r="R17" s="32" t="n">
        <v>0.0148</v>
      </c>
      <c r="S17" s="32" t="n">
        <v>0.0535</v>
      </c>
      <c r="T17" s="32" t="n">
        <v>0.0701</v>
      </c>
      <c r="U17" s="31" t="n">
        <v>4.25</v>
      </c>
      <c r="V17" s="32" t="n">
        <v>0.24</v>
      </c>
      <c r="W17" s="31" t="n">
        <v>524.8200000000001</v>
      </c>
      <c r="X17" s="31" t="n">
        <v>524.8200000000001</v>
      </c>
      <c r="Y17" s="3" t="n">
        <v>238872</v>
      </c>
      <c r="Z17" s="3" t="n">
        <v>295</v>
      </c>
      <c r="AA17" s="32" t="n">
        <v>0.0012</v>
      </c>
      <c r="AB17" s="3" t="n">
        <v>18</v>
      </c>
      <c r="AC17" s="32" t="n">
        <v>0.061</v>
      </c>
      <c r="AD17" s="3" t="inlineStr">
        <is>
          <t>Auto for Top sale---Rachel,Throws_Auto_Optiwise_24,Throws_Manual_Optiwise_24,Auto for BW Indoor,Top Selling Last Year 2023</t>
        </is>
      </c>
      <c r="AE17" s="31" t="n">
        <v>0.42</v>
      </c>
      <c r="AF17" s="2" t="n">
        <v>943</v>
      </c>
      <c r="AG17" s="2" t="n">
        <v>1270</v>
      </c>
      <c r="AH17" s="4" t="n">
        <v>975</v>
      </c>
      <c r="AI17" s="33" t="n">
        <v>1781.28</v>
      </c>
      <c r="AJ17" s="4" t="n">
        <v>56</v>
      </c>
      <c r="AK17" s="34" t="n">
        <v>0.0574</v>
      </c>
      <c r="AL17" s="34" t="n">
        <v>0.7724</v>
      </c>
      <c r="AM17" s="2" t="n">
        <v>1036</v>
      </c>
    </row>
    <row r="18">
      <c r="A18">
        <f>HYPERLINK("https://www.walmart.com/ip/812625607", "812625607")</f>
        <v/>
      </c>
      <c r="B18">
        <f>HYPERLINK("https://app.optiwise.ai/catalog/itemdetails/361402", "Catalonia Mermaid Tail Fleece Blanket, Soft Flannel All Seasons Bed Blanket for Kids, Adults, Rainbow Ombre Fish Scale Design Snuggle Blanket, Ideal Gift for Holidays, 61 x 20")</f>
        <v/>
      </c>
      <c r="C18" t="n">
        <v>7</v>
      </c>
      <c r="D18" t="inlineStr">
        <is>
          <t>B78691_1635844_8240746D40558D87</t>
        </is>
      </c>
      <c r="E18" t="inlineStr">
        <is>
          <t>1CTMM500MUL</t>
        </is>
      </c>
      <c r="F18" t="n">
        <v>65</v>
      </c>
      <c r="G18" t="inlineStr">
        <is>
          <t>Bedding</t>
        </is>
      </c>
      <c r="H18" t="inlineStr">
        <is>
          <t>Throws</t>
        </is>
      </c>
      <c r="I18" t="inlineStr">
        <is>
          <t>Catalonia</t>
        </is>
      </c>
      <c r="J18" t="n">
        <v>4.399999999999999</v>
      </c>
      <c r="K18" t="inlineStr">
        <is>
          <t>Q2-Target,Baby days,Optimized,WFS,WFS Item</t>
        </is>
      </c>
      <c r="L18" s="29" t="n">
        <v>2253.74</v>
      </c>
      <c r="M18" s="30" t="n">
        <v>0.0194</v>
      </c>
      <c r="N18" s="29" t="n">
        <v>116.9299983978271</v>
      </c>
      <c r="O18" s="29" t="n">
        <v>14.98999977111816</v>
      </c>
      <c r="P18" s="2" t="n">
        <v>124</v>
      </c>
      <c r="Q18" s="31" t="n">
        <v>333.2200000000001</v>
      </c>
      <c r="R18" s="32" t="n">
        <v>0.04</v>
      </c>
      <c r="S18" s="32" t="n">
        <v>0.1479</v>
      </c>
      <c r="T18" s="32" t="n">
        <v>0.0832</v>
      </c>
      <c r="U18" s="31" t="n">
        <v>4.2</v>
      </c>
      <c r="V18" s="32" t="n">
        <v>0.24</v>
      </c>
      <c r="W18" s="31" t="n">
        <v>1398.22</v>
      </c>
      <c r="X18" s="31" t="n">
        <v>1378.23</v>
      </c>
      <c r="Y18" s="3" t="n">
        <v>320745</v>
      </c>
      <c r="Z18" s="3" t="n">
        <v>937</v>
      </c>
      <c r="AA18" s="32" t="n">
        <v>0.0029</v>
      </c>
      <c r="AB18" s="3" t="n">
        <v>78</v>
      </c>
      <c r="AC18" s="32" t="n">
        <v>0.0832</v>
      </c>
      <c r="AD18" s="3" t="inlineStr">
        <is>
          <t>1CTMM500PK_Manual,1CTMM500PK_Manual_Optiwise,Throws_Auto_Optiwise_24,Throws_Manual_Optiwise_24,,Auto for Top sale---Rachel,Top Selling Last Year 2023</t>
        </is>
      </c>
      <c r="AE18" s="31" t="n">
        <v>0.36</v>
      </c>
      <c r="AF18" s="2" t="n">
        <v>1545</v>
      </c>
      <c r="AG18" s="2" t="n">
        <v>906</v>
      </c>
      <c r="AH18" s="4" t="inlineStr">
        <is>
          <t>NA</t>
        </is>
      </c>
      <c r="AI18" s="33" t="n">
        <v>855.5199999999998</v>
      </c>
      <c r="AJ18" s="4" t="n">
        <v>46</v>
      </c>
      <c r="AK18" s="34" t="inlineStr">
        <is>
          <t>NA</t>
        </is>
      </c>
      <c r="AL18" s="34" t="n">
        <v>0.3796</v>
      </c>
      <c r="AM18" s="2" t="n">
        <v>481</v>
      </c>
    </row>
    <row r="19">
      <c r="A19">
        <f>HYPERLINK("https://www.walmart.com/ip/5276644453", "5276644453")</f>
        <v/>
      </c>
      <c r="B19">
        <f>HYPERLINK("https://app.optiwise.ai/catalog/itemdetails/7863015", "Catalonia Waterproof Blanket for Bed, Reversible Baby Pet Pee Proof Dog Blanket, Large Couch Sofa Cover Furniture Boat Mattress Protector, Grey, King Size 96 x 102.")</f>
        <v/>
      </c>
      <c r="C19" t="n">
        <v>8</v>
      </c>
      <c r="D19" t="inlineStr">
        <is>
          <t>B78691_1681377_DF6182A4B7E82D57</t>
        </is>
      </c>
      <c r="E19" t="inlineStr">
        <is>
          <t>1CTBW20119LGDG</t>
        </is>
      </c>
      <c r="F19" t="n">
        <v>98</v>
      </c>
      <c r="G19" t="inlineStr">
        <is>
          <t>Home - Home Decor, Kitchen, &amp; Other</t>
        </is>
      </c>
      <c r="H19" t="inlineStr">
        <is>
          <t>Throws</t>
        </is>
      </c>
      <c r="I19" t="inlineStr">
        <is>
          <t>Catalonia</t>
        </is>
      </c>
      <c r="J19" t="n">
        <v>4.3</v>
      </c>
      <c r="K19" t="inlineStr">
        <is>
          <t>Q2-Target,High AUR Items</t>
        </is>
      </c>
      <c r="L19" s="29" t="n">
        <v>2231.58</v>
      </c>
      <c r="M19" s="30" t="n">
        <v>0.0192</v>
      </c>
      <c r="N19" s="29" t="n">
        <v>139.9700050354004</v>
      </c>
      <c r="O19" s="29" t="n">
        <v>0</v>
      </c>
      <c r="P19" s="2" t="n">
        <v>42</v>
      </c>
      <c r="Q19" s="31" t="n">
        <v>158.19</v>
      </c>
      <c r="R19" s="32" t="n">
        <v>0.019</v>
      </c>
      <c r="S19" s="32" t="n">
        <v>0.0709</v>
      </c>
      <c r="T19" s="32" t="n">
        <v>0.123</v>
      </c>
      <c r="U19" s="31" t="n">
        <v>4.22</v>
      </c>
      <c r="V19" s="32" t="n">
        <v>0.24</v>
      </c>
      <c r="W19" s="31" t="n">
        <v>667.86</v>
      </c>
      <c r="X19" s="31" t="n">
        <v>497.9</v>
      </c>
      <c r="Y19" s="3" t="n">
        <v>279996</v>
      </c>
      <c r="Z19" s="3" t="n">
        <v>387</v>
      </c>
      <c r="AA19" s="32" t="n">
        <v>0.0014</v>
      </c>
      <c r="AB19" s="3" t="n">
        <v>14</v>
      </c>
      <c r="AC19" s="32" t="n">
        <v>0.0362</v>
      </c>
      <c r="AD19" s="3" t="inlineStr">
        <is>
          <t>Auto for BW Indoor,Throws_Auto_Optiwise_24,Throws_Manual_Optiwise_24,High AUR SKUs_Optiwise_2024,Pet Blankets_Auto_Optiwise_24,Need to sell these SKUs by 15th Feb</t>
        </is>
      </c>
      <c r="AE19" s="31" t="n">
        <v>0.41</v>
      </c>
      <c r="AF19" s="2" t="n">
        <v>401</v>
      </c>
      <c r="AG19" s="2" t="n">
        <v>700</v>
      </c>
      <c r="AH19" s="4" t="n">
        <v>313</v>
      </c>
      <c r="AI19" s="33" t="n">
        <v>1563.72</v>
      </c>
      <c r="AJ19" s="4" t="n">
        <v>28</v>
      </c>
      <c r="AK19" s="34" t="n">
        <v>0.0895</v>
      </c>
      <c r="AL19" s="34" t="n">
        <v>0.7007</v>
      </c>
      <c r="AM19" s="2" t="n">
        <v>2124</v>
      </c>
    </row>
    <row r="20">
      <c r="A20">
        <f>HYPERLINK("https://www.walmart.com/ip/795333184", "795333184")</f>
        <v/>
      </c>
      <c r="B20">
        <f>HYPERLINK("https://app.optiwise.ai/catalog/itemdetails/360672", "Kato 9 Cans Small Insulated Lunch Bag, Mini Thermal Portable Cooler Lunch Box Tote with Dual Zipper Closure for Students, Men and Women, Gray")</f>
        <v/>
      </c>
      <c r="C20" t="n">
        <v>5</v>
      </c>
      <c r="D20" t="inlineStr">
        <is>
          <t>B78691_1635618_665B0622E80C1787</t>
        </is>
      </c>
      <c r="E20" t="inlineStr">
        <is>
          <t>1KTLB100BK</t>
        </is>
      </c>
      <c r="F20" t="n">
        <v>80</v>
      </c>
      <c r="G20" t="inlineStr">
        <is>
          <t>Home Decor, Kitchen, &amp; Other</t>
        </is>
      </c>
      <c r="H20" t="inlineStr">
        <is>
          <t>Reusable Lunch Bags &amp; Boxes</t>
        </is>
      </c>
      <c r="I20" t="inlineStr">
        <is>
          <t>Kato</t>
        </is>
      </c>
      <c r="J20" t="n">
        <v>4.6</v>
      </c>
      <c r="K20" t="inlineStr">
        <is>
          <t>Q2-Target,Lunch Bag,Lunch Bags,SEM,Wal-Exl-Price</t>
        </is>
      </c>
      <c r="L20" s="29" t="n">
        <v>2196.16</v>
      </c>
      <c r="M20" s="30" t="n">
        <v>0.0189</v>
      </c>
      <c r="N20" s="29" t="n">
        <v>251.7899951934814</v>
      </c>
      <c r="O20" s="29" t="n">
        <v>21.97999954223633</v>
      </c>
      <c r="P20" s="2" t="n">
        <v>182</v>
      </c>
      <c r="Q20" s="31" t="n">
        <v>0</v>
      </c>
      <c r="R20" s="32" t="n"/>
      <c r="S20" s="32" t="n">
        <v>0</v>
      </c>
      <c r="T20" s="32" t="n">
        <v>0.2269</v>
      </c>
      <c r="U20" s="31" t="n">
        <v>0</v>
      </c>
      <c r="V20" s="32" t="n">
        <v>0</v>
      </c>
      <c r="W20" s="31" t="n">
        <v>0</v>
      </c>
      <c r="X20" s="31" t="n">
        <v>0</v>
      </c>
      <c r="Y20" s="3" t="n">
        <v>0</v>
      </c>
      <c r="Z20" s="3" t="n">
        <v>0</v>
      </c>
      <c r="AA20" s="32" t="n">
        <v>0</v>
      </c>
      <c r="AB20" s="3" t="n">
        <v>0</v>
      </c>
      <c r="AC20" s="32" t="n">
        <v>0</v>
      </c>
      <c r="AD20" s="3" t="n"/>
      <c r="AE20" s="31" t="n">
        <v>0</v>
      </c>
      <c r="AF20" s="2" t="n">
        <v>7382</v>
      </c>
      <c r="AG20" s="2" t="n">
        <v>1907</v>
      </c>
      <c r="AH20" s="4" t="n">
        <v>5475</v>
      </c>
      <c r="AI20" s="33" t="n">
        <v>2196.16</v>
      </c>
      <c r="AJ20" s="4" t="n">
        <v>182</v>
      </c>
      <c r="AK20" s="34" t="n">
        <v>0.0332</v>
      </c>
      <c r="AL20" s="34" t="n">
        <v>1</v>
      </c>
      <c r="AM20" s="2" t="n">
        <v>339</v>
      </c>
    </row>
    <row r="21">
      <c r="A21">
        <f>HYPERLINK("https://www.walmart.com/ip/129119638", "129119638")</f>
        <v/>
      </c>
      <c r="B21">
        <f>HYPERLINK("https://app.optiwise.ai/catalog/itemdetails/359048", "Tirrinia Insulated Lunch Bag for Women, Men, and Kids, Leakproof Thermal Reusable Insulated Cooler Bag for Office, Work, Back to School, Medium, Dark Blue, 8L, 10 X 7 X 7.7")</f>
        <v/>
      </c>
      <c r="C21" t="n">
        <v>12</v>
      </c>
      <c r="D21" t="inlineStr">
        <is>
          <t>B78691_1670284_7A6C452CAA841316</t>
        </is>
      </c>
      <c r="E21" t="inlineStr">
        <is>
          <t>1TRLB701DBL-N</t>
        </is>
      </c>
      <c r="F21" t="n">
        <v>296</v>
      </c>
      <c r="G21" t="inlineStr">
        <is>
          <t>Home Decor, Kitchen, &amp; Other</t>
        </is>
      </c>
      <c r="H21" t="inlineStr">
        <is>
          <t>Reusable Lunch Bags &amp; Boxes</t>
        </is>
      </c>
      <c r="I21" t="inlineStr">
        <is>
          <t>Tirrinia</t>
        </is>
      </c>
      <c r="J21" t="n">
        <v>4.5</v>
      </c>
      <c r="K21" t="inlineStr">
        <is>
          <t>Q2-Target,Brand Camp VD,Lunch Bag,WFS,Lunch Bags,SEM,WFS Item</t>
        </is>
      </c>
      <c r="L21" s="29" t="n">
        <v>2118.19</v>
      </c>
      <c r="M21" s="30" t="n">
        <v>0.0183</v>
      </c>
      <c r="N21" s="29" t="n">
        <v>164.7999973297119</v>
      </c>
      <c r="O21" s="29" t="n">
        <v>13.98999977111816</v>
      </c>
      <c r="P21" s="2" t="n">
        <v>148</v>
      </c>
      <c r="Q21" s="31" t="n">
        <v>0</v>
      </c>
      <c r="R21" s="32" t="n"/>
      <c r="S21" s="32" t="n">
        <v>0</v>
      </c>
      <c r="T21" s="32" t="n">
        <v>0.1265</v>
      </c>
      <c r="U21" s="31" t="n">
        <v>0</v>
      </c>
      <c r="V21" s="32" t="n">
        <v>0</v>
      </c>
      <c r="W21" s="31" t="n">
        <v>0</v>
      </c>
      <c r="X21" s="31" t="n">
        <v>0</v>
      </c>
      <c r="Y21" s="3" t="n">
        <v>0</v>
      </c>
      <c r="Z21" s="3" t="n">
        <v>0</v>
      </c>
      <c r="AA21" s="32" t="n">
        <v>0</v>
      </c>
      <c r="AB21" s="3" t="n">
        <v>0</v>
      </c>
      <c r="AC21" s="32" t="n">
        <v>0</v>
      </c>
      <c r="AD21" s="3" t="n"/>
      <c r="AE21" s="31" t="n">
        <v>0</v>
      </c>
      <c r="AF21" s="2" t="n">
        <v>2541</v>
      </c>
      <c r="AG21" s="2" t="n">
        <v>1869</v>
      </c>
      <c r="AH21" s="4" t="n">
        <v>1869</v>
      </c>
      <c r="AI21" s="33" t="n">
        <v>2118.19</v>
      </c>
      <c r="AJ21" s="4" t="n">
        <v>148</v>
      </c>
      <c r="AK21" s="34" t="n">
        <v>0.07920000000000001</v>
      </c>
      <c r="AL21" s="34" t="n">
        <v>1</v>
      </c>
      <c r="AM21" s="2" t="n">
        <v>1100</v>
      </c>
    </row>
    <row r="22">
      <c r="A22">
        <f>HYPERLINK("https://www.walmart.com/ip/302775996", "302775996")</f>
        <v/>
      </c>
      <c r="B22">
        <f>HYPERLINK("https://app.optiwise.ai/catalog/itemdetails/416867", "Catalonia King Size Sherpa Comforter Set, Ultra-soft Reversible Fluffy Micromink Bedding Set-3 Pieces, 1 Comforter and 2 Pillow Shams, 90x103 inches")</f>
        <v/>
      </c>
      <c r="C22" t="n">
        <v>10</v>
      </c>
      <c r="D22" t="inlineStr">
        <is>
          <t>B78691_1681025_6051CBF1C369E6F7</t>
        </is>
      </c>
      <c r="E22" t="inlineStr">
        <is>
          <t>1CTBQ300KI-BL</t>
        </is>
      </c>
      <c r="F22" t="n">
        <v>83</v>
      </c>
      <c r="G22" t="inlineStr">
        <is>
          <t>Bedding</t>
        </is>
      </c>
      <c r="H22" t="inlineStr">
        <is>
          <t>Bedding Sets</t>
        </is>
      </c>
      <c r="I22" t="inlineStr">
        <is>
          <t>Catalonia</t>
        </is>
      </c>
      <c r="J22" t="n">
        <v>4.5</v>
      </c>
      <c r="K22" t="inlineStr">
        <is>
          <t>WFS,WFS Item</t>
        </is>
      </c>
      <c r="L22" s="29" t="n">
        <v>2090.52</v>
      </c>
      <c r="M22" s="30" t="n">
        <v>0.018</v>
      </c>
      <c r="N22" s="29" t="n">
        <v>95.98000335693359</v>
      </c>
      <c r="O22" s="29" t="n">
        <v>0</v>
      </c>
      <c r="P22" s="2" t="n">
        <v>48</v>
      </c>
      <c r="Q22" s="31" t="n">
        <v>219.01</v>
      </c>
      <c r="R22" s="32" t="n">
        <v>0.0263</v>
      </c>
      <c r="S22" s="32" t="n">
        <v>0.1048</v>
      </c>
      <c r="T22" s="32" t="n">
        <v>0.0588</v>
      </c>
      <c r="U22" s="31" t="n">
        <v>1.92</v>
      </c>
      <c r="V22" s="32" t="n">
        <v>0.52</v>
      </c>
      <c r="W22" s="31" t="n">
        <v>419.9</v>
      </c>
      <c r="X22" s="31" t="n">
        <v>419.9</v>
      </c>
      <c r="Y22" s="3" t="n">
        <v>84876</v>
      </c>
      <c r="Z22" s="3" t="n">
        <v>471</v>
      </c>
      <c r="AA22" s="32" t="n">
        <v>0.0055</v>
      </c>
      <c r="AB22" s="3" t="n">
        <v>10</v>
      </c>
      <c r="AC22" s="32" t="n">
        <v>0.0212</v>
      </c>
      <c r="AD22" s="3" t="inlineStr">
        <is>
          <t>All Items_Auto_Optiwise_24,Top Selling Last Year 2023,</t>
        </is>
      </c>
      <c r="AE22" s="31" t="n">
        <v>0.46</v>
      </c>
      <c r="AF22" s="2" t="n">
        <v>2425</v>
      </c>
      <c r="AG22" s="2" t="n">
        <v>898</v>
      </c>
      <c r="AH22" s="4" t="n">
        <v>1056</v>
      </c>
      <c r="AI22" s="33" t="n">
        <v>1670.62</v>
      </c>
      <c r="AJ22" s="4" t="n">
        <v>38</v>
      </c>
      <c r="AK22" s="34" t="n">
        <v>0.036</v>
      </c>
      <c r="AL22" s="34" t="n">
        <v>0.7991</v>
      </c>
      <c r="AM22" s="2" t="n">
        <v>1161</v>
      </c>
    </row>
    <row r="23">
      <c r="A23">
        <f>HYPERLINK("https://www.walmart.com/ip/3686611392", "3686611392")</f>
        <v/>
      </c>
      <c r="B23">
        <f>HYPERLINK("https://app.optiwise.ai/catalog/itemdetails/4979882", "Tirrinia Lunch Bag for Women, Men and Kids, Cute Insulated Lunch Tote Bag, Reusable Large Cooler Lunch Bag for School, Work, Office, Picnic, 10 Cans, Medium, Blue Stripe")</f>
        <v/>
      </c>
      <c r="C23" t="n">
        <v>19</v>
      </c>
      <c r="D23" t="inlineStr">
        <is>
          <t>B78691_1681729_40D2B71B34A5E7D0</t>
        </is>
      </c>
      <c r="E23" t="inlineStr">
        <is>
          <t>1WMLB706BLSTR</t>
        </is>
      </c>
      <c r="F23" t="n">
        <v>197</v>
      </c>
      <c r="G23" t="inlineStr">
        <is>
          <t>Home Decor, Kitchen, &amp; Other</t>
        </is>
      </c>
      <c r="H23" t="inlineStr">
        <is>
          <t>Reusable Lunch Bags &amp; Boxes</t>
        </is>
      </c>
      <c r="I23" t="inlineStr">
        <is>
          <t>Tirrinia</t>
        </is>
      </c>
      <c r="J23" t="n">
        <v>4.900000000000001</v>
      </c>
      <c r="K23" t="inlineStr">
        <is>
          <t>Q2-Target,Brand Camp VD</t>
        </is>
      </c>
      <c r="L23" s="29" t="n">
        <v>2036.77</v>
      </c>
      <c r="M23" s="30" t="n">
        <v>0.0176</v>
      </c>
      <c r="N23" s="29" t="n">
        <v>110.9099998474121</v>
      </c>
      <c r="O23" s="29" t="n">
        <v>0</v>
      </c>
      <c r="P23" s="2" t="n">
        <v>170</v>
      </c>
      <c r="Q23" s="31" t="n">
        <v>0</v>
      </c>
      <c r="R23" s="32" t="n"/>
      <c r="S23" s="32" t="n">
        <v>0</v>
      </c>
      <c r="T23" s="32" t="n">
        <v>0.1244</v>
      </c>
      <c r="U23" s="31" t="n">
        <v>0</v>
      </c>
      <c r="V23" s="32" t="n">
        <v>0</v>
      </c>
      <c r="W23" s="31" t="n">
        <v>0</v>
      </c>
      <c r="X23" s="31" t="n">
        <v>0</v>
      </c>
      <c r="Y23" s="3" t="n">
        <v>0</v>
      </c>
      <c r="Z23" s="3" t="n">
        <v>0</v>
      </c>
      <c r="AA23" s="32" t="n">
        <v>0</v>
      </c>
      <c r="AB23" s="3" t="n">
        <v>0</v>
      </c>
      <c r="AC23" s="32" t="n">
        <v>0</v>
      </c>
      <c r="AD23" s="3" t="n"/>
      <c r="AE23" s="31" t="n">
        <v>0</v>
      </c>
      <c r="AF23" s="2" t="n">
        <v>3363</v>
      </c>
      <c r="AG23" s="2" t="n">
        <v>2647</v>
      </c>
      <c r="AH23" s="4" t="n">
        <v>2647</v>
      </c>
      <c r="AI23" s="33" t="n">
        <v>2036.77</v>
      </c>
      <c r="AJ23" s="4" t="n">
        <v>170</v>
      </c>
      <c r="AK23" s="34" t="n">
        <v>0.06419999999999999</v>
      </c>
      <c r="AL23" s="34" t="n">
        <v>1</v>
      </c>
      <c r="AM23" s="2" t="n">
        <v>1373</v>
      </c>
    </row>
    <row r="24">
      <c r="A24">
        <f>HYPERLINK("https://www.walmart.com/ip/730018158", "730018158")</f>
        <v/>
      </c>
      <c r="B24">
        <f>HYPERLINK("https://app.optiwise.ai/catalog/itemdetails/380736", "Women's Poncho Cape, Sherpa Fleece Cloak Coat, Snuggly Hooded Wearable Blanket, Gift Idea for Adults and Teen Girls")</f>
        <v/>
      </c>
      <c r="C24" t="n">
        <v>18</v>
      </c>
      <c r="D24" t="inlineStr">
        <is>
          <t>00768161556599</t>
        </is>
      </c>
      <c r="E24" t="inlineStr">
        <is>
          <t>1CTBC300NY</t>
        </is>
      </c>
      <c r="F24" t="n">
        <v>29</v>
      </c>
      <c r="G24" t="inlineStr">
        <is>
          <t>Home Decor, Kitchen, &amp; Other</t>
        </is>
      </c>
      <c r="H24" t="inlineStr">
        <is>
          <t>Throws</t>
        </is>
      </c>
      <c r="I24" t="inlineStr">
        <is>
          <t>Catalonia</t>
        </is>
      </c>
      <c r="J24" t="n">
        <v>4.1</v>
      </c>
      <c r="K24" t="inlineStr">
        <is>
          <t>SEM,WFS Item</t>
        </is>
      </c>
      <c r="L24" s="29" t="n">
        <v>1891.44</v>
      </c>
      <c r="M24" s="30" t="n">
        <v>0.0163</v>
      </c>
      <c r="N24" s="29" t="n">
        <v>155.9500026702881</v>
      </c>
      <c r="O24" s="29" t="n">
        <v>35.9900016784668</v>
      </c>
      <c r="P24" s="2" t="n">
        <v>54</v>
      </c>
      <c r="Q24" s="31" t="n">
        <v>100.42</v>
      </c>
      <c r="R24" s="32" t="n">
        <v>0.012</v>
      </c>
      <c r="S24" s="32" t="n">
        <v>0.0531</v>
      </c>
      <c r="T24" s="32" t="n">
        <v>0.06900000000000001</v>
      </c>
      <c r="U24" s="31" t="n">
        <v>3.74</v>
      </c>
      <c r="V24" s="32" t="n">
        <v>0.27</v>
      </c>
      <c r="W24" s="31" t="n">
        <v>375.88</v>
      </c>
      <c r="X24" s="31" t="n">
        <v>375.88</v>
      </c>
      <c r="Y24" s="3" t="n">
        <v>56437</v>
      </c>
      <c r="Z24" s="3" t="n">
        <v>331</v>
      </c>
      <c r="AA24" s="32" t="n">
        <v>0.0059</v>
      </c>
      <c r="AB24" s="3" t="n">
        <v>12</v>
      </c>
      <c r="AC24" s="32" t="n">
        <v>0.0363</v>
      </c>
      <c r="AD24" s="3" t="inlineStr">
        <is>
          <t>,Throws_Auto_Optiwise_24,Need to sell these SKUs by 15th Feb</t>
        </is>
      </c>
      <c r="AE24" s="31" t="n">
        <v>0.3</v>
      </c>
      <c r="AF24" s="2" t="n">
        <v>3159</v>
      </c>
      <c r="AG24" s="2" t="n">
        <v>2349</v>
      </c>
      <c r="AH24" s="4" t="n">
        <v>2018</v>
      </c>
      <c r="AI24" s="33" t="n">
        <v>1515.56</v>
      </c>
      <c r="AJ24" s="4" t="n">
        <v>42</v>
      </c>
      <c r="AK24" s="34" t="n">
        <v>0.0208</v>
      </c>
      <c r="AL24" s="34" t="n">
        <v>0.8013</v>
      </c>
      <c r="AM24" s="2" t="n">
        <v>3082</v>
      </c>
    </row>
    <row r="25">
      <c r="A25">
        <f>HYPERLINK("https://www.walmart.com/ip/819492779", "819492779")</f>
        <v/>
      </c>
      <c r="B25">
        <f>HYPERLINK("https://app.optiwise.ai/catalog/itemdetails/380720", "Catalonia Reversible Sherpa Throw Blanket, Super Soft Fluffy Blanket for Couch,  Fuzzy Comfy Warm Throws, Comfort Caring Gift, 50x60 inches, Aqua")</f>
        <v/>
      </c>
      <c r="C25" t="n">
        <v>4</v>
      </c>
      <c r="D25" t="inlineStr">
        <is>
          <t>B78691_1681505_486244B0302FCD20</t>
        </is>
      </c>
      <c r="E25" t="inlineStr">
        <is>
          <t>1CTBF578AQ</t>
        </is>
      </c>
      <c r="F25" t="n">
        <v>31</v>
      </c>
      <c r="G25" t="inlineStr">
        <is>
          <t>Bedding</t>
        </is>
      </c>
      <c r="H25" t="inlineStr">
        <is>
          <t>Throws</t>
        </is>
      </c>
      <c r="I25" t="inlineStr">
        <is>
          <t>Catalonia</t>
        </is>
      </c>
      <c r="J25" t="n">
        <v>4.7</v>
      </c>
      <c r="K25" t="inlineStr">
        <is>
          <t>Q2-Target,WFS,Coupon_Discount,SeePriceInCart,WFS Item</t>
        </is>
      </c>
      <c r="L25" s="29" t="n">
        <v>1449.2</v>
      </c>
      <c r="M25" s="30" t="n">
        <v>0.0125</v>
      </c>
      <c r="N25" s="29" t="n">
        <v>203.879997253418</v>
      </c>
      <c r="O25" s="29" t="n">
        <v>33.97999954223633</v>
      </c>
      <c r="P25" s="2" t="n">
        <v>78</v>
      </c>
      <c r="Q25" s="31" t="n">
        <v>145.89</v>
      </c>
      <c r="R25" s="32" t="n">
        <v>0.0175</v>
      </c>
      <c r="S25" s="32" t="n">
        <v>0.1007</v>
      </c>
      <c r="T25" s="32" t="n">
        <v>0.1217</v>
      </c>
      <c r="U25" s="31" t="n">
        <v>2.23</v>
      </c>
      <c r="V25" s="32" t="n">
        <v>0.45</v>
      </c>
      <c r="W25" s="31" t="n">
        <v>325.8200000000001</v>
      </c>
      <c r="X25" s="31" t="n">
        <v>325.8200000000001</v>
      </c>
      <c r="Y25" s="3" t="n">
        <v>257180</v>
      </c>
      <c r="Z25" s="3" t="n">
        <v>506</v>
      </c>
      <c r="AA25" s="32" t="n">
        <v>0.002</v>
      </c>
      <c r="AB25" s="3" t="n">
        <v>18</v>
      </c>
      <c r="AC25" s="32" t="n">
        <v>0.0356</v>
      </c>
      <c r="AD25" s="3" t="inlineStr">
        <is>
          <t>,Throws_Auto_Optiwise_24,WFS Inventory</t>
        </is>
      </c>
      <c r="AE25" s="31" t="n">
        <v>0.29</v>
      </c>
      <c r="AF25" s="2" t="n">
        <v>4132</v>
      </c>
      <c r="AG25" s="2" t="n">
        <v>1078</v>
      </c>
      <c r="AH25" s="4" t="n">
        <v>2548</v>
      </c>
      <c r="AI25" s="33" t="n">
        <v>1123.38</v>
      </c>
      <c r="AJ25" s="4" t="n">
        <v>60</v>
      </c>
      <c r="AK25" s="34" t="n">
        <v>0.0235</v>
      </c>
      <c r="AL25" s="34" t="n">
        <v>0.7752</v>
      </c>
      <c r="AM25" s="2" t="n">
        <v>335</v>
      </c>
    </row>
    <row r="26">
      <c r="A26">
        <f>HYPERLINK("https://www.walmart.com/ip/536768084", "536768084")</f>
        <v/>
      </c>
      <c r="B26">
        <f>HYPERLINK("https://app.optiwise.ai/catalog/itemdetails/362037", "Solaris Men's Sun Hat with Neck Flap, Wide Brim Fishing Safari Hiking Hat, UPF 50+ Protection, Adjustable Chin Strap, Gray")</f>
        <v/>
      </c>
      <c r="C26" t="n">
        <v>5</v>
      </c>
      <c r="D26" t="inlineStr">
        <is>
          <t>B78691_1641718_13430D3F2E3AAE4A</t>
        </is>
      </c>
      <c r="E26" t="inlineStr">
        <is>
          <t>1SLSH923GY</t>
        </is>
      </c>
      <c r="F26" t="n">
        <v>457</v>
      </c>
      <c r="G26" t="inlineStr">
        <is>
          <t>Clothing</t>
        </is>
      </c>
      <c r="H26" t="inlineStr">
        <is>
          <t>Hats</t>
        </is>
      </c>
      <c r="I26" t="inlineStr">
        <is>
          <t>Solaris</t>
        </is>
      </c>
      <c r="J26" t="n">
        <v>4.5</v>
      </c>
      <c r="K26" t="inlineStr">
        <is>
          <t>Q2-Target,WFS,Hats,WFS Item</t>
        </is>
      </c>
      <c r="L26" s="29" t="n">
        <v>1335.72</v>
      </c>
      <c r="M26" s="30" t="n">
        <v>0.0115</v>
      </c>
      <c r="N26" s="29" t="n">
        <v>127.9199981689453</v>
      </c>
      <c r="O26" s="29" t="n">
        <v>13.98999977111816</v>
      </c>
      <c r="P26" s="2" t="n">
        <v>79</v>
      </c>
      <c r="Q26" s="31" t="n">
        <v>158.45</v>
      </c>
      <c r="R26" s="32" t="n">
        <v>0.019</v>
      </c>
      <c r="S26" s="32" t="n">
        <v>0.1186</v>
      </c>
      <c r="T26" s="32" t="n">
        <v>0.0649</v>
      </c>
      <c r="U26" s="31" t="n">
        <v>4.48</v>
      </c>
      <c r="V26" s="32" t="n">
        <v>0.22</v>
      </c>
      <c r="W26" s="31" t="n">
        <v>709.5500000000001</v>
      </c>
      <c r="X26" s="31" t="n">
        <v>693.5600000000001</v>
      </c>
      <c r="Y26" s="3" t="n">
        <v>409574</v>
      </c>
      <c r="Z26" s="3" t="n">
        <v>580</v>
      </c>
      <c r="AA26" s="32" t="n">
        <v>0.0014</v>
      </c>
      <c r="AB26" s="3" t="n">
        <v>45</v>
      </c>
      <c r="AC26" s="32" t="n">
        <v>0.0776</v>
      </c>
      <c r="AD26" s="3" t="inlineStr">
        <is>
          <t>,Auto for Top sale---Rachel,Auto Campaign_Vinay</t>
        </is>
      </c>
      <c r="AE26" s="31" t="n">
        <v>0.27</v>
      </c>
      <c r="AF26" s="2" t="n">
        <v>807</v>
      </c>
      <c r="AG26" s="2" t="n">
        <v>882</v>
      </c>
      <c r="AH26" s="4" t="n">
        <v>302</v>
      </c>
      <c r="AI26" s="33" t="n">
        <v>626.1700000000002</v>
      </c>
      <c r="AJ26" s="4" t="n">
        <v>34</v>
      </c>
      <c r="AK26" s="34" t="n">
        <v>0.1126</v>
      </c>
      <c r="AL26" s="34" t="n">
        <v>0.4688</v>
      </c>
      <c r="AM26" s="2" t="n">
        <v>871</v>
      </c>
    </row>
    <row r="27">
      <c r="A27">
        <f>HYPERLINK("https://www.walmart.com/ip/5532545199", "5532545199")</f>
        <v/>
      </c>
      <c r="B27">
        <f>HYPERLINK("https://app.optiwise.ai/catalog/itemdetails/9035205", "Tirrinia  Camping Cooler Bag Insulated w/ Shoulder Strap and Bottle Opener 20 Cans Portable Ice Chest for Camping Hiking Picnic Beach")</f>
        <v/>
      </c>
      <c r="C27" t="n">
        <v>15</v>
      </c>
      <c r="D27" t="inlineStr">
        <is>
          <t>B78691_1682547_CB86ED10316861DA</t>
        </is>
      </c>
      <c r="E27" t="inlineStr">
        <is>
          <t>1TRCB00120GYBK</t>
        </is>
      </c>
      <c r="F27" t="n">
        <v>8</v>
      </c>
      <c r="G27" t="inlineStr">
        <is>
          <t>Sport &amp; Recreation Other</t>
        </is>
      </c>
      <c r="H27" t="inlineStr">
        <is>
          <t>Thermocoolers</t>
        </is>
      </c>
      <c r="I27" t="inlineStr">
        <is>
          <t>Tirrinia</t>
        </is>
      </c>
      <c r="J27" t="n">
        <v>4.9</v>
      </c>
      <c r="L27" s="29" t="n">
        <v>1118.28</v>
      </c>
      <c r="M27" s="30" t="n">
        <v>0.009599999999999999</v>
      </c>
      <c r="N27" s="29" t="n">
        <v>129.9499988555908</v>
      </c>
      <c r="O27" s="29" t="n">
        <v>0</v>
      </c>
      <c r="P27" s="2" t="n">
        <v>43</v>
      </c>
      <c r="Q27" s="31" t="n">
        <v>0</v>
      </c>
      <c r="R27" s="32" t="n"/>
      <c r="S27" s="32" t="n">
        <v>0</v>
      </c>
      <c r="T27" s="32" t="n">
        <v>0.1356</v>
      </c>
      <c r="U27" s="31" t="n">
        <v>0</v>
      </c>
      <c r="V27" s="32" t="n">
        <v>0</v>
      </c>
      <c r="W27" s="31" t="n">
        <v>0</v>
      </c>
      <c r="X27" s="31" t="n">
        <v>0</v>
      </c>
      <c r="Y27" s="3" t="n">
        <v>0</v>
      </c>
      <c r="Z27" s="3" t="n">
        <v>0</v>
      </c>
      <c r="AA27" s="32" t="n">
        <v>0</v>
      </c>
      <c r="AB27" s="3" t="n">
        <v>0</v>
      </c>
      <c r="AC27" s="32" t="n">
        <v>0</v>
      </c>
      <c r="AD27" s="3" t="n"/>
      <c r="AE27" s="31" t="n">
        <v>0</v>
      </c>
      <c r="AF27" s="2" t="n">
        <v>263</v>
      </c>
      <c r="AG27" s="2" t="n">
        <v>1293</v>
      </c>
      <c r="AH27" s="4" t="n">
        <v>1293</v>
      </c>
      <c r="AI27" s="33" t="n">
        <v>1118.28</v>
      </c>
      <c r="AJ27" s="4" t="n">
        <v>43</v>
      </c>
      <c r="AK27" s="34" t="n">
        <v>0.0333</v>
      </c>
      <c r="AL27" s="34" t="n">
        <v>1</v>
      </c>
      <c r="AM27" s="2" t="n">
        <v>4718</v>
      </c>
    </row>
    <row r="28">
      <c r="A28">
        <f>HYPERLINK("https://www.walmart.com/ip/6061252889", "6061252889")</f>
        <v/>
      </c>
      <c r="B28">
        <f>HYPERLINK("https://app.optiwise.ai/catalog/itemdetails/9583862", "Tirrinia Waterproof Outdoor Blanket with Sherpa Lining, Insulated Waterproof Oxford &amp; Plush Sherpa, Foldable for Stadium Camping, Sports, Picnic, Grass, Concerts, Pet,60” x 80”")</f>
        <v/>
      </c>
      <c r="C28" t="n">
        <v>2</v>
      </c>
      <c r="D28" t="inlineStr">
        <is>
          <t>B78691_1682581_215252C8BDAFAF20</t>
        </is>
      </c>
      <c r="E28" t="inlineStr">
        <is>
          <t>1TRBW70168NYGY</t>
        </is>
      </c>
      <c r="F28" t="n">
        <v>0</v>
      </c>
      <c r="G28" t="inlineStr">
        <is>
          <t>Sport &amp; Recreation Other</t>
        </is>
      </c>
      <c r="H28" t="inlineStr">
        <is>
          <t>Picnic Blankets &amp; Mats</t>
        </is>
      </c>
      <c r="I28" t="inlineStr">
        <is>
          <t>Tirrinia</t>
        </is>
      </c>
      <c r="L28" s="29" t="n">
        <v>1093.66</v>
      </c>
      <c r="M28" s="30" t="n">
        <v>0.0094</v>
      </c>
      <c r="N28" s="29" t="n">
        <v>0</v>
      </c>
      <c r="O28" s="29" t="n">
        <v>0</v>
      </c>
      <c r="P28" s="2" t="n">
        <v>34</v>
      </c>
      <c r="Q28" s="31" t="n">
        <v>3.91</v>
      </c>
      <c r="R28" s="32" t="n">
        <v>0.0005</v>
      </c>
      <c r="S28" s="32" t="n">
        <v>0.0036</v>
      </c>
      <c r="T28" s="32" t="n">
        <v>0</v>
      </c>
      <c r="U28" s="31" t="n">
        <v>0</v>
      </c>
      <c r="V28" s="32" t="n">
        <v>0</v>
      </c>
      <c r="W28" s="31" t="n">
        <v>0</v>
      </c>
      <c r="X28" s="31" t="n">
        <v>0</v>
      </c>
      <c r="Y28" s="3" t="n">
        <v>9600</v>
      </c>
      <c r="Z28" s="3" t="n">
        <v>10</v>
      </c>
      <c r="AA28" s="32" t="n">
        <v>0.001</v>
      </c>
      <c r="AB28" s="3" t="n">
        <v>0</v>
      </c>
      <c r="AC28" s="32" t="n">
        <v>0</v>
      </c>
      <c r="AD28" s="3" t="inlineStr">
        <is>
          <t>WFS Inventory</t>
        </is>
      </c>
      <c r="AE28" s="31" t="n">
        <v>0.39</v>
      </c>
      <c r="AF28" s="2" t="n">
        <v>0</v>
      </c>
      <c r="AG28" s="2" t="n">
        <v>130</v>
      </c>
      <c r="AH28" s="4" t="n">
        <v>120</v>
      </c>
      <c r="AI28" s="33" t="n">
        <v>1093.66</v>
      </c>
      <c r="AJ28" s="4" t="n">
        <v>34</v>
      </c>
      <c r="AK28" s="34" t="n">
        <v>0.2833</v>
      </c>
      <c r="AL28" s="34" t="n">
        <v>1</v>
      </c>
      <c r="AM28" s="2" t="n">
        <v>933</v>
      </c>
    </row>
    <row r="29">
      <c r="A29">
        <f>HYPERLINK("https://www.walmart.com/ip/583079518", "583079518")</f>
        <v/>
      </c>
      <c r="B29">
        <f>HYPERLINK("https://app.optiwise.ai/catalog/itemdetails/361202", "Tirrinia Insulated Lunch Bag for Women, Men, and Kids, Leakproof Thermal Reusable Insulated Cooler Bag for Office, Work, Back to School, Medium, Black, 8L, 10 X 8.5 X 9.3")</f>
        <v/>
      </c>
      <c r="C29" t="n">
        <v>19</v>
      </c>
      <c r="D29" t="inlineStr">
        <is>
          <t>B78691_1670534_D88FDCC5CFA91C29</t>
        </is>
      </c>
      <c r="E29" t="inlineStr">
        <is>
          <t>1TRLB702BK-T</t>
        </is>
      </c>
      <c r="F29" t="n">
        <v>221</v>
      </c>
      <c r="G29" t="inlineStr">
        <is>
          <t>Home Decor, Kitchen, &amp; Other</t>
        </is>
      </c>
      <c r="H29" t="inlineStr">
        <is>
          <t>Reusable Lunch Bags &amp; Boxes</t>
        </is>
      </c>
      <c r="I29" t="inlineStr">
        <is>
          <t>Tirrinia</t>
        </is>
      </c>
      <c r="J29" t="n">
        <v>4.5</v>
      </c>
      <c r="K29" t="inlineStr">
        <is>
          <t>Q2-Target,Brand Camp VD,Lunch Bag,Lunch Bags,SEM,WFS Item</t>
        </is>
      </c>
      <c r="L29" s="29" t="n">
        <v>1078.72</v>
      </c>
      <c r="M29" s="30" t="n">
        <v>0.009299999999999999</v>
      </c>
      <c r="N29" s="29" t="n">
        <v>56.95999908447266</v>
      </c>
      <c r="O29" s="29" t="n">
        <v>0</v>
      </c>
      <c r="P29" s="2" t="n">
        <v>79</v>
      </c>
      <c r="Q29" s="31" t="n">
        <v>0</v>
      </c>
      <c r="R29" s="32" t="n"/>
      <c r="S29" s="32" t="n">
        <v>0</v>
      </c>
      <c r="T29" s="32" t="n">
        <v>0.06610000000000001</v>
      </c>
      <c r="U29" s="31" t="n">
        <v>0</v>
      </c>
      <c r="V29" s="32" t="n">
        <v>0</v>
      </c>
      <c r="W29" s="31" t="n">
        <v>0</v>
      </c>
      <c r="X29" s="31" t="n">
        <v>0</v>
      </c>
      <c r="Y29" s="3" t="n">
        <v>0</v>
      </c>
      <c r="Z29" s="3" t="n">
        <v>0</v>
      </c>
      <c r="AA29" s="32" t="n">
        <v>0</v>
      </c>
      <c r="AB29" s="3" t="n">
        <v>0</v>
      </c>
      <c r="AC29" s="32" t="n">
        <v>0</v>
      </c>
      <c r="AD29" s="3" t="n"/>
      <c r="AE29" s="31" t="n">
        <v>0</v>
      </c>
      <c r="AF29" s="2" t="n">
        <v>548</v>
      </c>
      <c r="AG29" s="2" t="n">
        <v>1826</v>
      </c>
      <c r="AH29" s="4" t="n">
        <v>1826</v>
      </c>
      <c r="AI29" s="33" t="n">
        <v>1078.72</v>
      </c>
      <c r="AJ29" s="4" t="n">
        <v>79</v>
      </c>
      <c r="AK29" s="34" t="n">
        <v>0.0433</v>
      </c>
      <c r="AL29" s="34" t="n">
        <v>1</v>
      </c>
      <c r="AM29" s="2" t="n">
        <v>3226</v>
      </c>
    </row>
    <row r="30">
      <c r="A30">
        <f>HYPERLINK("https://www.walmart.com/ip/528591524", "528591524")</f>
        <v/>
      </c>
      <c r="B30">
        <f>HYPERLINK("https://app.optiwise.ai/catalog/itemdetails/361136", "Pawsse Waterproof Blanket, Pet Blanket, Pee Urine Proof Dog Blanket for Couch Bed Furniture Protector, Reversible Dog Fleece Blanket for Small Medium Large Dogs, Wine/Taupe, 80 X 60 Inches")</f>
        <v/>
      </c>
      <c r="C30" t="n">
        <v>6</v>
      </c>
      <c r="D30" t="inlineStr">
        <is>
          <t>B78691_1681647_4C9CBEA1B48E418B</t>
        </is>
      </c>
      <c r="E30" t="inlineStr">
        <is>
          <t>1PSBW681WNTP</t>
        </is>
      </c>
      <c r="F30" t="n">
        <v>13</v>
      </c>
      <c r="G30" t="inlineStr">
        <is>
          <t>Animal Accessories</t>
        </is>
      </c>
      <c r="H30" t="inlineStr">
        <is>
          <t>Pet Blankets</t>
        </is>
      </c>
      <c r="I30" t="inlineStr">
        <is>
          <t>Pawsse</t>
        </is>
      </c>
      <c r="J30" t="n">
        <v>5</v>
      </c>
      <c r="K30" t="inlineStr">
        <is>
          <t>Q2-Target,Wproof Blanket,Batch 1 - TR</t>
        </is>
      </c>
      <c r="L30" s="29" t="n">
        <v>1027.75</v>
      </c>
      <c r="M30" s="30" t="n">
        <v>0.0089</v>
      </c>
      <c r="N30" s="29" t="n">
        <v>0</v>
      </c>
      <c r="O30" s="29" t="n">
        <v>0</v>
      </c>
      <c r="P30" s="2" t="n">
        <v>25</v>
      </c>
      <c r="Q30" s="31" t="n">
        <v>77.36000000000003</v>
      </c>
      <c r="R30" s="32" t="n">
        <v>0.009299999999999999</v>
      </c>
      <c r="S30" s="32" t="n">
        <v>0.07530000000000001</v>
      </c>
      <c r="T30" s="32" t="n">
        <v>0.0476</v>
      </c>
      <c r="U30" s="31" t="n">
        <v>6.09</v>
      </c>
      <c r="V30" s="32" t="n">
        <v>0.16</v>
      </c>
      <c r="W30" s="31" t="n">
        <v>470.89</v>
      </c>
      <c r="X30" s="31" t="n">
        <v>338.93</v>
      </c>
      <c r="Y30" s="3" t="n">
        <v>126777</v>
      </c>
      <c r="Z30" s="3" t="n">
        <v>193</v>
      </c>
      <c r="AA30" s="32" t="n">
        <v>0.0015</v>
      </c>
      <c r="AB30" s="3" t="n">
        <v>11</v>
      </c>
      <c r="AC30" s="32" t="n">
        <v>0.057</v>
      </c>
      <c r="AD30" s="3" t="inlineStr">
        <is>
          <t>Auto for BW PET 2 ---Rachel,Pet Blankets_Auto_Optiwise_24,High AUR SKUs_Optiwise_2024</t>
        </is>
      </c>
      <c r="AE30" s="31" t="n">
        <v>0.4</v>
      </c>
      <c r="AF30" s="2" t="n">
        <v>113</v>
      </c>
      <c r="AG30" s="2" t="n">
        <v>539</v>
      </c>
      <c r="AH30" s="4" t="n">
        <v>346</v>
      </c>
      <c r="AI30" s="33" t="n">
        <v>556.86</v>
      </c>
      <c r="AJ30" s="4" t="n">
        <v>14</v>
      </c>
      <c r="AK30" s="34" t="n">
        <v>0.0405</v>
      </c>
      <c r="AL30" s="34" t="n">
        <v>0.5417999999999999</v>
      </c>
      <c r="AM30" s="2" t="n">
        <v>3240</v>
      </c>
    </row>
    <row r="31">
      <c r="A31">
        <f>HYPERLINK("https://www.walmart.com/ip/441329120", "441329120")</f>
        <v/>
      </c>
      <c r="B31">
        <f>HYPERLINK("https://app.optiwise.ai/catalog/itemdetails/417465", "Tirrinia Warm Comfy Foldable Waterproof Outdoor Blanket For Camping, 59'' X 80'', Black/Grey")</f>
        <v/>
      </c>
      <c r="C31" t="n">
        <v>6</v>
      </c>
      <c r="D31" t="inlineStr">
        <is>
          <t>B78691_1680919_FE0BB9F72C7E3C5E</t>
        </is>
      </c>
      <c r="E31" t="inlineStr">
        <is>
          <t>1TRBW608BKGY-TBCB</t>
        </is>
      </c>
      <c r="F31" t="n">
        <v>4</v>
      </c>
      <c r="G31" t="inlineStr">
        <is>
          <t>Sport &amp; Recreation Other</t>
        </is>
      </c>
      <c r="H31" t="inlineStr">
        <is>
          <t>Bed Blankets</t>
        </is>
      </c>
      <c r="I31" t="inlineStr">
        <is>
          <t>Tirrinia</t>
        </is>
      </c>
      <c r="J31" t="n">
        <v>4.3</v>
      </c>
      <c r="K31" t="inlineStr">
        <is>
          <t>Q2-Target,Optimized</t>
        </is>
      </c>
      <c r="L31" s="29" t="n">
        <v>1022.75</v>
      </c>
      <c r="M31" s="30" t="n">
        <v>0.008800000000000001</v>
      </c>
      <c r="N31" s="29" t="n">
        <v>98.97000503540039</v>
      </c>
      <c r="O31" s="29" t="n">
        <v>0</v>
      </c>
      <c r="P31" s="2" t="n">
        <v>25</v>
      </c>
      <c r="Q31" s="31" t="n">
        <v>44.78</v>
      </c>
      <c r="R31" s="32" t="n">
        <v>0.0054</v>
      </c>
      <c r="S31" s="32" t="n">
        <v>0.0438</v>
      </c>
      <c r="T31" s="32" t="n">
        <v>0.1992</v>
      </c>
      <c r="U31" s="31" t="n">
        <v>3.86</v>
      </c>
      <c r="V31" s="32" t="n">
        <v>0.26</v>
      </c>
      <c r="W31" s="31" t="n">
        <v>172.96</v>
      </c>
      <c r="X31" s="31" t="n">
        <v>172.96</v>
      </c>
      <c r="Y31" s="3" t="n">
        <v>22841</v>
      </c>
      <c r="Z31" s="3" t="n">
        <v>73</v>
      </c>
      <c r="AA31" s="32" t="n">
        <v>0.0032</v>
      </c>
      <c r="AB31" s="3" t="n">
        <v>4</v>
      </c>
      <c r="AC31" s="32" t="n">
        <v>0.0548</v>
      </c>
      <c r="AD31" s="3" t="inlineStr">
        <is>
          <t>High AUR SKUs_Optiwise_2024,Picnic Blankets &amp; Mats_Manual_Optiwise_24,</t>
        </is>
      </c>
      <c r="AE31" s="31" t="n">
        <v>0.61</v>
      </c>
      <c r="AF31" s="2" t="n">
        <v>135</v>
      </c>
      <c r="AG31" s="2" t="n">
        <v>608</v>
      </c>
      <c r="AH31" s="4" t="n">
        <v>535</v>
      </c>
      <c r="AI31" s="33" t="n">
        <v>849.79</v>
      </c>
      <c r="AJ31" s="4" t="n">
        <v>21</v>
      </c>
      <c r="AK31" s="34" t="n">
        <v>0.0393</v>
      </c>
      <c r="AL31" s="34" t="n">
        <v>0.8309</v>
      </c>
      <c r="AM31" s="2" t="n">
        <v>3240</v>
      </c>
    </row>
    <row r="32">
      <c r="A32">
        <f>HYPERLINK("https://www.walmart.com/ip/983813650", "983813650")</f>
        <v/>
      </c>
      <c r="B32">
        <f>HYPERLINK("https://app.optiwise.ai/catalog/itemdetails/360760", "Sun Blocker Unisex Travel Sun Hat UPF 50+ Female Large Brim Beach Neck Flap Hat for Camping Gardening Travel, Tan")</f>
        <v/>
      </c>
      <c r="C32" t="n">
        <v>6</v>
      </c>
      <c r="D32" t="inlineStr">
        <is>
          <t>B78691_1251835_4B9AD4245ABCA721</t>
        </is>
      </c>
      <c r="E32" t="inlineStr">
        <is>
          <t>KC-S9201-TN</t>
        </is>
      </c>
      <c r="F32" t="n">
        <v>42</v>
      </c>
      <c r="G32" t="inlineStr">
        <is>
          <t>Clothing</t>
        </is>
      </c>
      <c r="H32" t="inlineStr">
        <is>
          <t>Hats</t>
        </is>
      </c>
      <c r="I32" t="inlineStr">
        <is>
          <t>Sun Blocker</t>
        </is>
      </c>
      <c r="J32" t="n">
        <v>4.8</v>
      </c>
      <c r="K32" t="inlineStr">
        <is>
          <t>Q2-Target,Batch 1 - TR</t>
        </is>
      </c>
      <c r="L32" s="29" t="n">
        <v>1012.39</v>
      </c>
      <c r="M32" s="30" t="n">
        <v>0.008699999999999999</v>
      </c>
      <c r="N32" s="29" t="n">
        <v>135.9199981689453</v>
      </c>
      <c r="O32" s="29" t="n">
        <v>0</v>
      </c>
      <c r="P32" s="2" t="n">
        <v>60</v>
      </c>
      <c r="Q32" s="31" t="n">
        <v>42.08000000000001</v>
      </c>
      <c r="R32" s="32" t="n">
        <v>0.005</v>
      </c>
      <c r="S32" s="32" t="n">
        <v>0.0416</v>
      </c>
      <c r="T32" s="32" t="n">
        <v>0.1486</v>
      </c>
      <c r="U32" s="31" t="n">
        <v>3.71</v>
      </c>
      <c r="V32" s="32" t="n">
        <v>0.27</v>
      </c>
      <c r="W32" s="31" t="n">
        <v>155.91</v>
      </c>
      <c r="X32" s="31" t="n">
        <v>155.91</v>
      </c>
      <c r="Y32" s="3" t="n">
        <v>64400</v>
      </c>
      <c r="Z32" s="3" t="n">
        <v>201</v>
      </c>
      <c r="AA32" s="32" t="n">
        <v>0.0031</v>
      </c>
      <c r="AB32" s="3" t="n">
        <v>9</v>
      </c>
      <c r="AC32" s="32" t="n">
        <v>0.0448</v>
      </c>
      <c r="AD32" s="3" t="inlineStr">
        <is>
          <t>Auto for Top sale---Rachel,</t>
        </is>
      </c>
      <c r="AE32" s="31" t="n">
        <v>0.21</v>
      </c>
      <c r="AF32" s="2" t="n">
        <v>926</v>
      </c>
      <c r="AG32" s="2" t="n">
        <v>827</v>
      </c>
      <c r="AH32" s="4" t="n">
        <v>626</v>
      </c>
      <c r="AI32" s="33" t="n">
        <v>856.48</v>
      </c>
      <c r="AJ32" s="4" t="n">
        <v>51</v>
      </c>
      <c r="AK32" s="34" t="n">
        <v>0.0815</v>
      </c>
      <c r="AL32" s="34" t="n">
        <v>0.846</v>
      </c>
      <c r="AM32" s="2" t="n">
        <v>1170</v>
      </c>
    </row>
    <row r="33">
      <c r="A33">
        <f>HYPERLINK("https://www.walmart.com/ip/112872395", "112872395")</f>
        <v/>
      </c>
      <c r="B33">
        <f>HYPERLINK("https://app.optiwise.ai/catalog/itemdetails/362757", "Sherpa Wearable Blanket with Sleeves &amp; Foot Pockets for Adult Women Men, Comfy Snuggle Wrap Sleeved Throw Blanket Robe, Gift Idea, Plaid, 75 x 53")</f>
        <v/>
      </c>
      <c r="C33" t="n">
        <v>16</v>
      </c>
      <c r="D33" t="inlineStr">
        <is>
          <t>B78691_1681648_5D3C0F1F2439DC0C</t>
        </is>
      </c>
      <c r="E33" t="inlineStr">
        <is>
          <t>1CTSN310PRD</t>
        </is>
      </c>
      <c r="F33" t="n">
        <v>122</v>
      </c>
      <c r="G33" t="inlineStr">
        <is>
          <t>Home - Home Decor, Kitchen, &amp; Other</t>
        </is>
      </c>
      <c r="H33" t="inlineStr">
        <is>
          <t>Throws</t>
        </is>
      </c>
      <c r="I33" t="inlineStr">
        <is>
          <t>Catalonia</t>
        </is>
      </c>
      <c r="J33" t="n">
        <v>4.6</v>
      </c>
      <c r="K33" t="inlineStr">
        <is>
          <t>Q2-Target,Optimized,WFS,Coupon_Discount,WFS Item</t>
        </is>
      </c>
      <c r="L33" s="29" t="n">
        <v>983.7800000000001</v>
      </c>
      <c r="M33" s="30" t="n">
        <v>0.008500000000000001</v>
      </c>
      <c r="N33" s="29" t="n">
        <v>267.9400100708008</v>
      </c>
      <c r="O33" s="29" t="n">
        <v>0</v>
      </c>
      <c r="P33" s="2" t="n">
        <v>22</v>
      </c>
      <c r="Q33" s="31" t="n">
        <v>36.40000000000001</v>
      </c>
      <c r="R33" s="32" t="n">
        <v>0.0044</v>
      </c>
      <c r="S33" s="32" t="n">
        <v>0.037</v>
      </c>
      <c r="T33" s="32" t="n">
        <v>0.0272</v>
      </c>
      <c r="U33" s="31" t="n">
        <v>6.04</v>
      </c>
      <c r="V33" s="32" t="n">
        <v>0.17</v>
      </c>
      <c r="W33" s="31" t="n">
        <v>219.95</v>
      </c>
      <c r="X33" s="31" t="n">
        <v>173.96</v>
      </c>
      <c r="Y33" s="3" t="n">
        <v>24238</v>
      </c>
      <c r="Z33" s="3" t="n">
        <v>78</v>
      </c>
      <c r="AA33" s="32" t="n">
        <v>0.0032</v>
      </c>
      <c r="AB33" s="3" t="n">
        <v>5</v>
      </c>
      <c r="AC33" s="32" t="n">
        <v>0.0641</v>
      </c>
      <c r="AD33" s="3" t="inlineStr">
        <is>
          <t>Auto for Top sale---Rachel,,Top Selling Last Year 2023,Throws_Auto_Optiwise_24</t>
        </is>
      </c>
      <c r="AE33" s="31" t="n">
        <v>0.47</v>
      </c>
      <c r="AF33" s="2" t="n">
        <v>382</v>
      </c>
      <c r="AG33" s="2" t="n">
        <v>1028</v>
      </c>
      <c r="AH33" s="4" t="n">
        <v>950</v>
      </c>
      <c r="AI33" s="33" t="n">
        <v>763.83</v>
      </c>
      <c r="AJ33" s="4" t="n">
        <v>17</v>
      </c>
      <c r="AK33" s="34" t="n">
        <v>0.0179</v>
      </c>
      <c r="AL33" s="34" t="n">
        <v>0.7764</v>
      </c>
      <c r="AM33" s="2" t="n">
        <v>6443</v>
      </c>
    </row>
    <row r="34">
      <c r="A34">
        <f>HYPERLINK("https://www.walmart.com/ip/346915715", "346915715")</f>
        <v/>
      </c>
      <c r="B34">
        <f>HYPERLINK("https://app.optiwise.ai/catalog/itemdetails/412494", "Kato Outdoors Waterproof Throw Blanket, Stadium Windproof Sherpa Fleece Blanket For Traveling, Camping, Hiking, and Football, Machine Washable, Red Plaid, 51'' x 59''")</f>
        <v/>
      </c>
      <c r="C34" t="n">
        <v>13</v>
      </c>
      <c r="D34" t="inlineStr">
        <is>
          <t>00791315386377</t>
        </is>
      </c>
      <c r="E34" t="inlineStr">
        <is>
          <t>1KTBW506PRD</t>
        </is>
      </c>
      <c r="F34" t="n">
        <v>8</v>
      </c>
      <c r="G34" t="inlineStr">
        <is>
          <t>Bedding</t>
        </is>
      </c>
      <c r="H34" t="inlineStr">
        <is>
          <t>Throws</t>
        </is>
      </c>
      <c r="I34" t="inlineStr">
        <is>
          <t>Kato</t>
        </is>
      </c>
      <c r="J34" t="n">
        <v>5</v>
      </c>
      <c r="K34" t="inlineStr">
        <is>
          <t>Optimized</t>
        </is>
      </c>
      <c r="L34" s="29" t="n">
        <v>979.6000000000001</v>
      </c>
      <c r="M34" s="30" t="n">
        <v>0.008399999999999999</v>
      </c>
      <c r="N34" s="29" t="n">
        <v>82.97000122070312</v>
      </c>
      <c r="O34" s="29" t="n">
        <v>0</v>
      </c>
      <c r="P34" s="2" t="n">
        <v>32</v>
      </c>
      <c r="Q34" s="31" t="n">
        <v>111.91</v>
      </c>
      <c r="R34" s="32" t="n">
        <v>0.0134</v>
      </c>
      <c r="S34" s="32" t="n">
        <v>0.1142</v>
      </c>
      <c r="T34" s="32" t="n">
        <v>0.1025</v>
      </c>
      <c r="U34" s="31" t="n">
        <v>3.44</v>
      </c>
      <c r="V34" s="32" t="n">
        <v>0.29</v>
      </c>
      <c r="W34" s="31" t="n">
        <v>384.87</v>
      </c>
      <c r="X34" s="31" t="n">
        <v>384.87</v>
      </c>
      <c r="Y34" s="3" t="n">
        <v>94819</v>
      </c>
      <c r="Z34" s="3" t="n">
        <v>354</v>
      </c>
      <c r="AA34" s="32" t="n">
        <v>0.0037</v>
      </c>
      <c r="AB34" s="3" t="n">
        <v>13</v>
      </c>
      <c r="AC34" s="32" t="n">
        <v>0.0367</v>
      </c>
      <c r="AD34" s="3" t="inlineStr">
        <is>
          <t>Throws_Auto_Optiwise_24,WFS Inventory,,Picnic Blankets &amp; Mats_Manual_Optiwise_24</t>
        </is>
      </c>
      <c r="AE34" s="31" t="n">
        <v>0.32</v>
      </c>
      <c r="AF34" s="2" t="n">
        <v>213</v>
      </c>
      <c r="AG34" s="2" t="n">
        <v>682</v>
      </c>
      <c r="AH34" s="4" t="n">
        <v>328</v>
      </c>
      <c r="AI34" s="33" t="n">
        <v>594.7300000000001</v>
      </c>
      <c r="AJ34" s="4" t="n">
        <v>19</v>
      </c>
      <c r="AK34" s="34" t="n">
        <v>0.0579</v>
      </c>
      <c r="AL34" s="34" t="n">
        <v>0.6071</v>
      </c>
      <c r="AM34" s="2" t="n">
        <v>4286</v>
      </c>
    </row>
    <row r="35">
      <c r="A35">
        <f>HYPERLINK("https://www.walmart.com/ip/821635627", "821635627")</f>
        <v/>
      </c>
      <c r="B35">
        <f>HYPERLINK("https://app.optiwise.ai/catalog/itemdetails/358749", "Catalonia Bedding Quilt Set,Lightweight Bedspread for Summer and Spring, Bedding Coverlet - Quilt and Pillow Shams, Twin, Grey/White")</f>
        <v/>
      </c>
      <c r="C35" t="n">
        <v>10</v>
      </c>
      <c r="D35" t="inlineStr">
        <is>
          <t>B78691_1679088_5F37C7A31F738801</t>
        </is>
      </c>
      <c r="E35" t="inlineStr">
        <is>
          <t>1CTBQ203TW-GYWT</t>
        </is>
      </c>
      <c r="F35" t="n">
        <v>102</v>
      </c>
      <c r="G35" t="inlineStr">
        <is>
          <t>Bedding</t>
        </is>
      </c>
      <c r="H35" t="inlineStr">
        <is>
          <t>Bedding Sets</t>
        </is>
      </c>
      <c r="I35" t="inlineStr">
        <is>
          <t>Catalonia</t>
        </is>
      </c>
      <c r="J35" t="n">
        <v>4.299999999999999</v>
      </c>
      <c r="K35" t="inlineStr">
        <is>
          <t>Optimized,WFS,WFS Item</t>
        </is>
      </c>
      <c r="L35" s="29" t="n">
        <v>906.4300000000001</v>
      </c>
      <c r="M35" s="30" t="n">
        <v>0.0078</v>
      </c>
      <c r="N35" s="29" t="n">
        <v>59.96999931335449</v>
      </c>
      <c r="O35" s="29" t="n">
        <v>0</v>
      </c>
      <c r="P35" s="2" t="n">
        <v>43</v>
      </c>
      <c r="Q35" s="31" t="n">
        <v>137.98</v>
      </c>
      <c r="R35" s="32" t="n">
        <v>0.0165</v>
      </c>
      <c r="S35" s="32" t="n">
        <v>0.1522</v>
      </c>
      <c r="T35" s="32" t="n">
        <v>0</v>
      </c>
      <c r="U35" s="31" t="n">
        <v>1.17</v>
      </c>
      <c r="V35" s="32" t="n">
        <v>0.86</v>
      </c>
      <c r="W35" s="31" t="n">
        <v>160.92</v>
      </c>
      <c r="X35" s="31" t="n">
        <v>160.92</v>
      </c>
      <c r="Y35" s="3" t="n">
        <v>70702</v>
      </c>
      <c r="Z35" s="3" t="n">
        <v>414</v>
      </c>
      <c r="AA35" s="32" t="n">
        <v>0.0059</v>
      </c>
      <c r="AB35" s="3" t="n">
        <v>8</v>
      </c>
      <c r="AC35" s="32" t="n">
        <v>0.0193</v>
      </c>
      <c r="AD35" s="3" t="inlineStr">
        <is>
          <t>All Items_Auto_Optiwise_24,,Need to sell these SKUs by 15th Feb</t>
        </is>
      </c>
      <c r="AE35" s="31" t="n">
        <v>0.33</v>
      </c>
      <c r="AF35" s="2" t="n">
        <v>479</v>
      </c>
      <c r="AG35" s="2" t="n">
        <v>849</v>
      </c>
      <c r="AH35" s="4" t="n">
        <v>435</v>
      </c>
      <c r="AI35" s="33" t="n">
        <v>745.5100000000001</v>
      </c>
      <c r="AJ35" s="4" t="n">
        <v>35</v>
      </c>
      <c r="AK35" s="34" t="n">
        <v>0.0805</v>
      </c>
      <c r="AL35" s="34" t="n">
        <v>0.8225</v>
      </c>
      <c r="AM35" s="2" t="n">
        <v>1001</v>
      </c>
    </row>
    <row r="36">
      <c r="A36">
        <f>HYPERLINK("https://www.walmart.com/ip/107158532", "107158532")</f>
        <v/>
      </c>
      <c r="B36">
        <f>HYPERLINK("https://app.optiwise.ai/catalog/itemdetails/361871", "Catalonia Wearable Blanket with Sleeves and Pocket, Cozy Soft Fleece Micro Plush Wrap Adult Snuggie Blanket Robe for Women Men, Cheetah Pattern Makes a Great Gift for Holidays.")</f>
        <v/>
      </c>
      <c r="C36" t="n">
        <v>16</v>
      </c>
      <c r="D36" t="inlineStr">
        <is>
          <t>B78691_1681652_E1BADFA857E490CD</t>
        </is>
      </c>
      <c r="E36" t="inlineStr">
        <is>
          <t>1CTSN100CHEETAH</t>
        </is>
      </c>
      <c r="F36" t="n">
        <v>92</v>
      </c>
      <c r="G36" t="inlineStr">
        <is>
          <t>Bedding</t>
        </is>
      </c>
      <c r="H36" t="inlineStr">
        <is>
          <t>Throws</t>
        </is>
      </c>
      <c r="I36" t="inlineStr">
        <is>
          <t>Catalonia</t>
        </is>
      </c>
      <c r="J36" t="n">
        <v>4.6</v>
      </c>
      <c r="K36" t="inlineStr">
        <is>
          <t>WFS,WFS Item</t>
        </is>
      </c>
      <c r="L36" s="29" t="n">
        <v>849.0800000000002</v>
      </c>
      <c r="M36" s="30" t="n">
        <v>0.0073</v>
      </c>
      <c r="N36" s="29" t="n">
        <v>0</v>
      </c>
      <c r="O36" s="29" t="n">
        <v>0</v>
      </c>
      <c r="P36" s="2" t="n">
        <v>39</v>
      </c>
      <c r="Q36" s="31" t="n">
        <v>214.53</v>
      </c>
      <c r="R36" s="32" t="n">
        <v>0.0257</v>
      </c>
      <c r="S36" s="32" t="n">
        <v>0.2527</v>
      </c>
      <c r="T36" s="32" t="n">
        <v>0.0198</v>
      </c>
      <c r="U36" s="31" t="n">
        <v>2.8</v>
      </c>
      <c r="V36" s="32" t="n">
        <v>0.36</v>
      </c>
      <c r="W36" s="31" t="n">
        <v>600.72</v>
      </c>
      <c r="X36" s="31" t="n">
        <v>521.75</v>
      </c>
      <c r="Y36" s="3" t="n">
        <v>220397</v>
      </c>
      <c r="Z36" s="3" t="n">
        <v>595</v>
      </c>
      <c r="AA36" s="32" t="n">
        <v>0.0027</v>
      </c>
      <c r="AB36" s="3" t="n">
        <v>28</v>
      </c>
      <c r="AC36" s="32" t="n">
        <v>0.0471</v>
      </c>
      <c r="AD36" s="3" t="inlineStr">
        <is>
          <t>Throws_Auto_Optiwise_24,Throws_Manual_Optiwise_24,,Top Selling Last Year 2023,Need to sell these SKUs by 15th Feb</t>
        </is>
      </c>
      <c r="AE36" s="31" t="n">
        <v>0.36</v>
      </c>
      <c r="AF36" s="2" t="n">
        <v>922</v>
      </c>
      <c r="AG36" s="2" t="n">
        <v>907</v>
      </c>
      <c r="AH36" s="4" t="n">
        <v>312</v>
      </c>
      <c r="AI36" s="33" t="n">
        <v>248.3600000000001</v>
      </c>
      <c r="AJ36" s="4" t="n">
        <v>11</v>
      </c>
      <c r="AK36" s="34" t="n">
        <v>0.0353</v>
      </c>
      <c r="AL36" s="34" t="n">
        <v>0.2925</v>
      </c>
      <c r="AM36" s="2" t="n">
        <v>1765</v>
      </c>
    </row>
    <row r="37">
      <c r="A37">
        <f>HYPERLINK("https://www.walmart.com/ip/584823468", "584823468")</f>
        <v/>
      </c>
      <c r="B37">
        <f>HYPERLINK("https://app.optiwise.ai/catalog/itemdetails/360270", "Tirrinia Insulated Lunch Bag for Women w/ Leather Handle, Reusable Tote Bag for Men, Fashionable Cooler Lunch Box for Working/Picnic, Black")</f>
        <v/>
      </c>
      <c r="C37" t="inlineStr">
        <is>
          <t>-</t>
        </is>
      </c>
      <c r="E37" t="inlineStr">
        <is>
          <t>1WMLB704BK</t>
        </is>
      </c>
      <c r="F37" t="n">
        <v>9</v>
      </c>
      <c r="G37" t="inlineStr">
        <is>
          <t>Home Decor, Kitchen, &amp; Other</t>
        </is>
      </c>
      <c r="H37" t="inlineStr">
        <is>
          <t>Reusable Lunch Bags &amp; Boxes</t>
        </is>
      </c>
      <c r="I37" t="inlineStr">
        <is>
          <t>Flyingstar</t>
        </is>
      </c>
      <c r="J37" t="n">
        <v>4.7</v>
      </c>
      <c r="K37" t="inlineStr">
        <is>
          <t>Q2-Target,Lunch Bag,WFS,WFS Item</t>
        </is>
      </c>
      <c r="L37" s="29" t="n">
        <v>837.62</v>
      </c>
      <c r="M37" s="30" t="n">
        <v>0.0072</v>
      </c>
      <c r="N37" s="29" t="n">
        <v>93.51000022888184</v>
      </c>
      <c r="O37" s="29" t="n">
        <v>10.09000015258789</v>
      </c>
      <c r="P37" s="2" t="n">
        <v>79</v>
      </c>
      <c r="Q37" s="31" t="n">
        <v>0</v>
      </c>
      <c r="R37" s="32" t="n"/>
      <c r="S37" s="32" t="n">
        <v>0</v>
      </c>
      <c r="T37" s="32" t="n">
        <v>0</v>
      </c>
      <c r="U37" s="31" t="n">
        <v>0</v>
      </c>
      <c r="V37" s="32" t="n">
        <v>0</v>
      </c>
      <c r="W37" s="31" t="n">
        <v>0</v>
      </c>
      <c r="X37" s="31" t="n">
        <v>0</v>
      </c>
      <c r="Y37" s="3" t="n">
        <v>0</v>
      </c>
      <c r="Z37" s="3" t="n">
        <v>0</v>
      </c>
      <c r="AA37" s="32" t="n">
        <v>0</v>
      </c>
      <c r="AB37" s="3" t="n">
        <v>0</v>
      </c>
      <c r="AC37" s="32" t="n">
        <v>0</v>
      </c>
      <c r="AD37" s="3" t="n"/>
      <c r="AE37" s="31" t="n">
        <v>0</v>
      </c>
      <c r="AF37" s="2" t="n">
        <v>4675</v>
      </c>
      <c r="AG37" s="2" t="n">
        <v>773</v>
      </c>
      <c r="AH37" s="4" t="n">
        <v>3902</v>
      </c>
      <c r="AI37" s="33" t="n">
        <v>837.62</v>
      </c>
      <c r="AJ37" s="4" t="n">
        <v>79</v>
      </c>
      <c r="AK37" s="34" t="n">
        <v>0.0202</v>
      </c>
      <c r="AL37" s="34" t="n">
        <v>1</v>
      </c>
      <c r="AM37" s="2" t="n">
        <v>281</v>
      </c>
    </row>
    <row r="38">
      <c r="A38">
        <f>HYPERLINK("https://www.walmart.com/ip/683624021", "683624021")</f>
        <v/>
      </c>
      <c r="B38">
        <f>HYPERLINK("https://app.optiwise.ai/catalog/itemdetails/362131", "Solaris Sun Hat for Women with Neck Flap, Wide Brim, UV Protection UPF 50+, Foldable Fishing Cap with 2 Replaceable Ribbons for Outdoor Camping, Traveling, and Hiking, White")</f>
        <v/>
      </c>
      <c r="C38" t="n">
        <v>5</v>
      </c>
      <c r="D38" t="inlineStr">
        <is>
          <t>B78691_1635731_BE9633F0E01B7F61</t>
        </is>
      </c>
      <c r="E38" t="inlineStr">
        <is>
          <t>1SLSH922WH</t>
        </is>
      </c>
      <c r="F38" t="n">
        <v>123</v>
      </c>
      <c r="G38" t="inlineStr">
        <is>
          <t>Clothing</t>
        </is>
      </c>
      <c r="H38" t="inlineStr">
        <is>
          <t>Hats</t>
        </is>
      </c>
      <c r="I38" t="inlineStr">
        <is>
          <t>Solaris</t>
        </is>
      </c>
      <c r="J38" t="n">
        <v>4.5</v>
      </c>
      <c r="K38" t="inlineStr">
        <is>
          <t>Q2-Target,WFS,Hats,WFS Item</t>
        </is>
      </c>
      <c r="L38" s="29" t="n">
        <v>784.0199999999999</v>
      </c>
      <c r="M38" s="30" t="n">
        <v>0.0068</v>
      </c>
      <c r="N38" s="29" t="n">
        <v>122.4299983978271</v>
      </c>
      <c r="O38" s="29" t="n">
        <v>0</v>
      </c>
      <c r="P38" s="2" t="n">
        <v>44</v>
      </c>
      <c r="Q38" s="31" t="n">
        <v>219.35</v>
      </c>
      <c r="R38" s="32" t="n">
        <v>0.0263</v>
      </c>
      <c r="S38" s="32" t="n">
        <v>0.2798</v>
      </c>
      <c r="T38" s="32" t="n">
        <v>0.362</v>
      </c>
      <c r="U38" s="31" t="n">
        <v>2.68</v>
      </c>
      <c r="V38" s="32" t="n">
        <v>0.37</v>
      </c>
      <c r="W38" s="31" t="n">
        <v>587.1500000000001</v>
      </c>
      <c r="X38" s="31" t="n">
        <v>542.1800000000001</v>
      </c>
      <c r="Y38" s="3" t="n">
        <v>273504</v>
      </c>
      <c r="Z38" s="3" t="n">
        <v>700</v>
      </c>
      <c r="AA38" s="32" t="n">
        <v>0.0026</v>
      </c>
      <c r="AB38" s="3" t="n">
        <v>35</v>
      </c>
      <c r="AC38" s="32" t="n">
        <v>0.05</v>
      </c>
      <c r="AD38" s="3" t="inlineStr">
        <is>
          <t>,Auto Campaign_Vinay,Need to sell these SKUs by 15th Feb</t>
        </is>
      </c>
      <c r="AE38" s="31" t="n">
        <v>0.31</v>
      </c>
      <c r="AF38" s="2" t="n">
        <v>646</v>
      </c>
      <c r="AG38" s="2" t="n">
        <v>539</v>
      </c>
      <c r="AH38" s="4" t="inlineStr">
        <is>
          <t>NA</t>
        </is>
      </c>
      <c r="AI38" s="33" t="n">
        <v>196.8699999999998</v>
      </c>
      <c r="AJ38" s="4" t="n">
        <v>9</v>
      </c>
      <c r="AK38" s="34" t="inlineStr">
        <is>
          <t>NA</t>
        </is>
      </c>
      <c r="AL38" s="34" t="n">
        <v>0.2511</v>
      </c>
      <c r="AM38" s="2" t="n">
        <v>1438</v>
      </c>
    </row>
    <row r="39">
      <c r="A39">
        <f>HYPERLINK("https://www.walmart.com/ip/489010795", "489010795")</f>
        <v/>
      </c>
      <c r="B39">
        <f>HYPERLINK("https://app.optiwise.ai/catalog/itemdetails/5423732", "Catalonia Surf Beach Changing Towel With Hood, Super Absorbent Microfiber Swim Robe Poncho for Men and Women, Bath Shower Pool, Black")</f>
        <v/>
      </c>
      <c r="C39" t="n">
        <v>4</v>
      </c>
      <c r="D39" t="inlineStr">
        <is>
          <t>B78691_1681782_94945E845A778AD</t>
        </is>
      </c>
      <c r="E39" t="inlineStr">
        <is>
          <t>1CTBR102-BK</t>
        </is>
      </c>
      <c r="F39" t="n">
        <v>1</v>
      </c>
      <c r="G39" t="inlineStr">
        <is>
          <t>Home Decor, Kitchen, &amp; Other</t>
        </is>
      </c>
      <c r="H39" t="inlineStr">
        <is>
          <t>Towels &amp; Washcloths</t>
        </is>
      </c>
      <c r="I39" t="inlineStr">
        <is>
          <t>Catalonia</t>
        </is>
      </c>
      <c r="J39" t="n">
        <v>5</v>
      </c>
      <c r="L39" s="29" t="n">
        <v>737.24</v>
      </c>
      <c r="M39" s="30" t="n">
        <v>0.0064</v>
      </c>
      <c r="N39" s="29" t="n">
        <v>49.97999954223633</v>
      </c>
      <c r="O39" s="29" t="n">
        <v>22.98999977111816</v>
      </c>
      <c r="P39" s="2" t="n">
        <v>31</v>
      </c>
      <c r="Q39" s="31" t="n">
        <v>85.72</v>
      </c>
      <c r="R39" s="32" t="n">
        <v>0.0103</v>
      </c>
      <c r="S39" s="32" t="n">
        <v>0.1163</v>
      </c>
      <c r="T39" s="32" t="n">
        <v>0</v>
      </c>
      <c r="U39" s="31" t="n">
        <v>6.08</v>
      </c>
      <c r="V39" s="32" t="n">
        <v>0.16</v>
      </c>
      <c r="W39" s="31" t="n">
        <v>521.59</v>
      </c>
      <c r="X39" s="31" t="n">
        <v>521.59</v>
      </c>
      <c r="Y39" s="3" t="n">
        <v>19172</v>
      </c>
      <c r="Z39" s="3" t="n">
        <v>181</v>
      </c>
      <c r="AA39" s="32" t="n">
        <v>0.0094</v>
      </c>
      <c r="AB39" s="3" t="n">
        <v>22</v>
      </c>
      <c r="AC39" s="32" t="n">
        <v>0.1215</v>
      </c>
      <c r="AD39" s="3" t="inlineStr">
        <is>
          <t>,Need to sell these SKUs by 15th Feb</t>
        </is>
      </c>
      <c r="AE39" s="31" t="n">
        <v>0.47</v>
      </c>
      <c r="AF39" s="2" t="n">
        <v>69</v>
      </c>
      <c r="AG39" s="2" t="n">
        <v>385</v>
      </c>
      <c r="AH39" s="4" t="n">
        <v>204</v>
      </c>
      <c r="AI39" s="33" t="n">
        <v>215.65</v>
      </c>
      <c r="AJ39" s="4" t="n">
        <v>9</v>
      </c>
      <c r="AK39" s="34" t="n">
        <v>0.0441</v>
      </c>
      <c r="AL39" s="34" t="n">
        <v>0.2925</v>
      </c>
      <c r="AM39" s="2" t="n">
        <v>1306</v>
      </c>
    </row>
    <row r="40">
      <c r="A40">
        <f>HYPERLINK("https://www.walmart.com/ip/206900049", "206900049")</f>
        <v/>
      </c>
      <c r="B40">
        <f>HYPERLINK("https://app.optiwise.ai/catalog/itemdetails/359245", "Tirrinia 2 Bottle Wine Tote Carrier - Leakproof &amp; Insulated &amp; Padded Versatile Cooler Bag for Travel, BYOB Restaurant, Wine Tasting, Party, Great Christmas Gift for Wine Lover, Stripe")</f>
        <v/>
      </c>
      <c r="C40" t="n">
        <v>6</v>
      </c>
      <c r="D40" t="inlineStr">
        <is>
          <t>B78691_1681641_4C7E1342676033C3</t>
        </is>
      </c>
      <c r="E40" t="inlineStr">
        <is>
          <t>1KTWB220STR</t>
        </is>
      </c>
      <c r="F40" t="n">
        <v>36</v>
      </c>
      <c r="G40" t="inlineStr">
        <is>
          <t>Home Decor, Kitchen, &amp; Other</t>
        </is>
      </c>
      <c r="H40" t="inlineStr">
        <is>
          <t>Wine Totes, Bags &amp; Backpacks</t>
        </is>
      </c>
      <c r="I40" t="inlineStr">
        <is>
          <t>Tirrinia</t>
        </is>
      </c>
      <c r="J40" t="n">
        <v>4.8</v>
      </c>
      <c r="K40" t="inlineStr">
        <is>
          <t>Wine,Wine Bag Camp,Christmas,Wine WFS,Valentine,WFS Item,AMZ Bestsellers</t>
        </is>
      </c>
      <c r="L40" s="29" t="n">
        <v>715.7400000000001</v>
      </c>
      <c r="M40" s="30" t="n">
        <v>0.0062</v>
      </c>
      <c r="N40" s="29" t="n">
        <v>20.98999977111816</v>
      </c>
      <c r="O40" s="29" t="n">
        <v>20.98999977111816</v>
      </c>
      <c r="P40" s="2" t="n">
        <v>32</v>
      </c>
      <c r="Q40" s="31" t="n">
        <v>63.43000000000001</v>
      </c>
      <c r="R40" s="32" t="n">
        <v>0.0076</v>
      </c>
      <c r="S40" s="32" t="n">
        <v>0.0886</v>
      </c>
      <c r="T40" s="32" t="n">
        <v>0.058</v>
      </c>
      <c r="U40" s="31" t="n">
        <v>5.86</v>
      </c>
      <c r="V40" s="32" t="n">
        <v>0.17</v>
      </c>
      <c r="W40" s="31" t="n">
        <v>371.82</v>
      </c>
      <c r="X40" s="31" t="n">
        <v>297.86</v>
      </c>
      <c r="Y40" s="3" t="n">
        <v>55544</v>
      </c>
      <c r="Z40" s="3" t="n">
        <v>158</v>
      </c>
      <c r="AA40" s="32" t="n">
        <v>0.0028</v>
      </c>
      <c r="AB40" s="3" t="n">
        <v>18</v>
      </c>
      <c r="AC40" s="32" t="n">
        <v>0.1139</v>
      </c>
      <c r="AD40" s="3" t="inlineStr">
        <is>
          <t>Need to sell these SKUs by 15th Feb,Auto Campaign_Vinay,,All Items_Auto_Optiwise_24</t>
        </is>
      </c>
      <c r="AE40" s="31" t="n">
        <v>0.4</v>
      </c>
      <c r="AF40" s="2" t="n">
        <v>372</v>
      </c>
      <c r="AG40" s="2" t="n">
        <v>517</v>
      </c>
      <c r="AH40" s="4" t="n">
        <v>359</v>
      </c>
      <c r="AI40" s="33" t="n">
        <v>343.9200000000001</v>
      </c>
      <c r="AJ40" s="4" t="n">
        <v>14</v>
      </c>
      <c r="AK40" s="34" t="n">
        <v>0.039</v>
      </c>
      <c r="AL40" s="34" t="n">
        <v>0.4805</v>
      </c>
      <c r="AM40" s="2" t="n">
        <v>2181</v>
      </c>
    </row>
    <row r="41">
      <c r="A41">
        <f>HYPERLINK("https://www.walmart.com/ip/904345997", "904345997")</f>
        <v/>
      </c>
      <c r="B41">
        <f>HYPERLINK("https://app.optiwise.ai/catalog/itemdetails/361441", "Catalonia Mermaid Tail Fleece Blanket, Soft Flannel All Seasons Bed Blanket for Kids, Adults, Rainbow Ombre Fish Scale Design Snuggle Blanket, Ideal Gift for Holidays, 61 x 19")</f>
        <v/>
      </c>
      <c r="C41" t="n">
        <v>4</v>
      </c>
      <c r="D41" t="inlineStr">
        <is>
          <t>B78691_1679536_A48CD93FD6E552FC</t>
        </is>
      </c>
      <c r="E41" t="inlineStr">
        <is>
          <t>1WMMM500PK</t>
        </is>
      </c>
      <c r="F41" t="n">
        <v>68</v>
      </c>
      <c r="G41" t="inlineStr">
        <is>
          <t>Bedding</t>
        </is>
      </c>
      <c r="H41" t="inlineStr">
        <is>
          <t>Throws</t>
        </is>
      </c>
      <c r="I41" t="inlineStr">
        <is>
          <t>Flyingstar</t>
        </is>
      </c>
      <c r="J41" t="n">
        <v>4.7</v>
      </c>
      <c r="K41" t="inlineStr">
        <is>
          <t>Q2-Target,Baby days,Optimized,Hero 5 Holidays,WFS,WFS Item</t>
        </is>
      </c>
      <c r="L41" s="29" t="n">
        <v>692.96</v>
      </c>
      <c r="M41" s="30" t="n">
        <v>0.006</v>
      </c>
      <c r="N41" s="29" t="n">
        <v>18.98999977111816</v>
      </c>
      <c r="O41" s="29" t="n">
        <v>0</v>
      </c>
      <c r="P41" s="2" t="n">
        <v>35</v>
      </c>
      <c r="Q41" s="31" t="n">
        <v>145.9999999999999</v>
      </c>
      <c r="R41" s="32" t="n">
        <v>0.0175</v>
      </c>
      <c r="S41" s="32" t="n">
        <v>0.2107</v>
      </c>
      <c r="T41" s="32" t="n">
        <v>0.1147</v>
      </c>
      <c r="U41" s="31" t="n">
        <v>3.14</v>
      </c>
      <c r="V41" s="32" t="n">
        <v>0.32</v>
      </c>
      <c r="W41" s="31" t="n">
        <v>458.76</v>
      </c>
      <c r="X41" s="31" t="n">
        <v>458.76</v>
      </c>
      <c r="Y41" s="3" t="n">
        <v>176082</v>
      </c>
      <c r="Z41" s="3" t="n">
        <v>369</v>
      </c>
      <c r="AA41" s="32" t="n">
        <v>0.0021</v>
      </c>
      <c r="AB41" s="3" t="n">
        <v>24</v>
      </c>
      <c r="AC41" s="32" t="n">
        <v>0.065</v>
      </c>
      <c r="AD41" s="3" t="inlineStr">
        <is>
          <t>WFS Inventory,Throws_Auto_Optiwise_24,Throws_Manual_Optiwise_24,1WMMM500MUL_Manual</t>
        </is>
      </c>
      <c r="AE41" s="31" t="n">
        <v>0.4</v>
      </c>
      <c r="AF41" s="2" t="n">
        <v>798</v>
      </c>
      <c r="AG41" s="2" t="n">
        <v>562</v>
      </c>
      <c r="AH41" s="4" t="n">
        <v>193</v>
      </c>
      <c r="AI41" s="33" t="n">
        <v>234.2</v>
      </c>
      <c r="AJ41" s="4" t="n">
        <v>11</v>
      </c>
      <c r="AK41" s="34" t="n">
        <v>0.057</v>
      </c>
      <c r="AL41" s="34" t="n">
        <v>0.338</v>
      </c>
      <c r="AM41" s="2" t="n">
        <v>1245</v>
      </c>
    </row>
    <row r="42">
      <c r="A42">
        <f>HYPERLINK("https://www.walmart.com/ip/5455200650", "5455200650")</f>
        <v/>
      </c>
      <c r="B42">
        <f>HYPERLINK("https://app.optiwise.ai/catalog/itemdetails/7948831", "Solaris Unisex Large Bill Flap Sun Hat Camping Hiking Hunting Fishing Cap")</f>
        <v/>
      </c>
      <c r="C42" t="n">
        <v>8</v>
      </c>
      <c r="D42" t="inlineStr">
        <is>
          <t>B78691_974411_B5632E1153C9C87E</t>
        </is>
      </c>
      <c r="E42" t="inlineStr">
        <is>
          <t>1SLSH911CAMO-B</t>
        </is>
      </c>
      <c r="F42" t="n">
        <v>133</v>
      </c>
      <c r="G42" t="inlineStr">
        <is>
          <t>Clothing</t>
        </is>
      </c>
      <c r="H42" t="inlineStr">
        <is>
          <t>Hats</t>
        </is>
      </c>
      <c r="I42" t="inlineStr">
        <is>
          <t>Solaris</t>
        </is>
      </c>
      <c r="J42" t="n">
        <v>4.3</v>
      </c>
      <c r="L42" s="29" t="n">
        <v>641.6500000000001</v>
      </c>
      <c r="M42" s="30" t="n">
        <v>0.0055</v>
      </c>
      <c r="N42" s="29" t="n">
        <v>186.8999977111816</v>
      </c>
      <c r="O42" s="29" t="n">
        <v>46.96999931335449</v>
      </c>
      <c r="P42" s="2" t="n">
        <v>33</v>
      </c>
      <c r="Q42" s="31" t="n">
        <v>1.25</v>
      </c>
      <c r="R42" s="32" t="n">
        <v>0.0001</v>
      </c>
      <c r="S42" s="32" t="n">
        <v>0.0019</v>
      </c>
      <c r="T42" s="32" t="n">
        <v>0.6585</v>
      </c>
      <c r="U42" s="31" t="n">
        <v>0</v>
      </c>
      <c r="V42" s="32" t="n">
        <v>0</v>
      </c>
      <c r="W42" s="31" t="n">
        <v>0</v>
      </c>
      <c r="X42" s="31" t="n">
        <v>0</v>
      </c>
      <c r="Y42" s="3" t="n">
        <v>10480</v>
      </c>
      <c r="Z42" s="3" t="n">
        <v>6</v>
      </c>
      <c r="AA42" s="32" t="n">
        <v>0.0005999999999999999</v>
      </c>
      <c r="AB42" s="3" t="n">
        <v>0</v>
      </c>
      <c r="AC42" s="32" t="n">
        <v>0</v>
      </c>
      <c r="AD42" s="3" t="inlineStr">
        <is>
          <t>,Auto for Top sale---Rachel</t>
        </is>
      </c>
      <c r="AE42" s="31" t="n">
        <v>0.21</v>
      </c>
      <c r="AF42" s="2" t="n">
        <v>261</v>
      </c>
      <c r="AG42" s="2" t="n">
        <v>471</v>
      </c>
      <c r="AH42" s="4" t="n">
        <v>465</v>
      </c>
      <c r="AI42" s="33" t="n">
        <v>641.6500000000001</v>
      </c>
      <c r="AJ42" s="4" t="n">
        <v>33</v>
      </c>
      <c r="AK42" s="34" t="n">
        <v>0.07099999999999999</v>
      </c>
      <c r="AL42" s="34" t="n">
        <v>1</v>
      </c>
      <c r="AM42" s="2" t="n">
        <v>2732</v>
      </c>
    </row>
    <row r="43">
      <c r="A43">
        <f>HYPERLINK("https://www.walmart.com/ip/991633509", "991633509")</f>
        <v/>
      </c>
      <c r="B43">
        <f>HYPERLINK("https://app.optiwise.ai/catalog/itemdetails/361730", "Catalonia Wearable Blanket with Sleeves and Pocket, Cozy Soft Fleece Micro Plush Wrap Adult Blanket Robe for Women Men, Makes a Great Gift for Holidays, Brown")</f>
        <v/>
      </c>
      <c r="C43" t="n">
        <v>11</v>
      </c>
      <c r="D43" t="inlineStr">
        <is>
          <t>B78691_1635860_8A3119516E29D8B6</t>
        </is>
      </c>
      <c r="E43" t="inlineStr">
        <is>
          <t>1CTSN100BR</t>
        </is>
      </c>
      <c r="F43" t="n">
        <v>195</v>
      </c>
      <c r="G43" t="inlineStr">
        <is>
          <t>Bedding</t>
        </is>
      </c>
      <c r="H43" t="inlineStr">
        <is>
          <t>Throws</t>
        </is>
      </c>
      <c r="I43" t="inlineStr">
        <is>
          <t>Catalonia</t>
        </is>
      </c>
      <c r="J43" t="n">
        <v>4</v>
      </c>
      <c r="K43" t="inlineStr">
        <is>
          <t>WFS,WFS Item</t>
        </is>
      </c>
      <c r="L43" s="29" t="n">
        <v>626.72</v>
      </c>
      <c r="M43" s="30" t="n">
        <v>0.0054</v>
      </c>
      <c r="N43" s="29" t="n">
        <v>119.9499988555908</v>
      </c>
      <c r="O43" s="29" t="n">
        <v>0</v>
      </c>
      <c r="P43" s="2" t="n">
        <v>26</v>
      </c>
      <c r="Q43" s="31" t="n">
        <v>142.54</v>
      </c>
      <c r="R43" s="32" t="n">
        <v>0.0171</v>
      </c>
      <c r="S43" s="32" t="n">
        <v>0.2274</v>
      </c>
      <c r="T43" s="32" t="n">
        <v>0.09909999999999999</v>
      </c>
      <c r="U43" s="31" t="n">
        <v>2.62</v>
      </c>
      <c r="V43" s="32" t="n">
        <v>0.38</v>
      </c>
      <c r="W43" s="31" t="n">
        <v>373.84</v>
      </c>
      <c r="X43" s="31" t="n">
        <v>373.84</v>
      </c>
      <c r="Y43" s="3" t="n">
        <v>79481</v>
      </c>
      <c r="Z43" s="3" t="n">
        <v>322</v>
      </c>
      <c r="AA43" s="32" t="n">
        <v>0.0041</v>
      </c>
      <c r="AB43" s="3" t="n">
        <v>16</v>
      </c>
      <c r="AC43" s="32" t="n">
        <v>0.0497</v>
      </c>
      <c r="AD43" s="3" t="inlineStr">
        <is>
          <t>,Auto for Top sale---Rachel,Throws_Auto_Optiwise_24,WFS Inventory,Need to sell these SKUs by 15th Feb</t>
        </is>
      </c>
      <c r="AE43" s="31" t="n">
        <v>0.44</v>
      </c>
      <c r="AF43" s="2" t="n">
        <v>1767</v>
      </c>
      <c r="AG43" s="2" t="n">
        <v>616</v>
      </c>
      <c r="AH43" s="4" t="n">
        <v>829</v>
      </c>
      <c r="AI43" s="33" t="n">
        <v>252.88</v>
      </c>
      <c r="AJ43" s="4" t="n">
        <v>10</v>
      </c>
      <c r="AK43" s="34" t="n">
        <v>0.0121</v>
      </c>
      <c r="AL43" s="34" t="n">
        <v>0.4035</v>
      </c>
      <c r="AM43" s="2" t="n">
        <v>2705</v>
      </c>
    </row>
    <row r="44">
      <c r="A44">
        <f>HYPERLINK("https://www.walmart.com/ip/606072192", "606072192")</f>
        <v/>
      </c>
      <c r="B44">
        <f>HYPERLINK("https://app.optiwise.ai/catalog/itemdetails/361065", "Single Wine Cooler Bags - Insulated &amp; Padded Portable Wine Tote Carrier for Travel, BYOB Restaurant, Wine Tasting, Party, Great Gift for Wine Lover, Beige")</f>
        <v/>
      </c>
      <c r="C44" t="n">
        <v>4</v>
      </c>
      <c r="D44" t="inlineStr">
        <is>
          <t>B78691_1680271_76DB3054CE1BC198</t>
        </is>
      </c>
      <c r="E44" t="inlineStr">
        <is>
          <t>1WMWB101BG</t>
        </is>
      </c>
      <c r="F44" t="n">
        <v>3</v>
      </c>
      <c r="G44" t="inlineStr">
        <is>
          <t>Home Decor, Kitchen, &amp; Other</t>
        </is>
      </c>
      <c r="H44" t="inlineStr">
        <is>
          <t>Wine Totes, Bags &amp; Backpacks</t>
        </is>
      </c>
      <c r="I44" t="inlineStr">
        <is>
          <t>Flyingstar</t>
        </is>
      </c>
      <c r="J44" t="n">
        <v>4</v>
      </c>
      <c r="K44" t="inlineStr">
        <is>
          <t>Wine,Christmas,Optimized,Wine WFS,Valentine,SEM</t>
        </is>
      </c>
      <c r="L44" s="29" t="n">
        <v>626.4900000000001</v>
      </c>
      <c r="M44" s="30" t="n">
        <v>0.0054</v>
      </c>
      <c r="N44" s="29" t="n">
        <v>0</v>
      </c>
      <c r="O44" s="29" t="n">
        <v>0</v>
      </c>
      <c r="P44" s="2" t="n">
        <v>49</v>
      </c>
      <c r="Q44" s="31" t="n">
        <v>75.49999999999999</v>
      </c>
      <c r="R44" s="32" t="n">
        <v>0.0091</v>
      </c>
      <c r="S44" s="32" t="n">
        <v>0.1205</v>
      </c>
      <c r="T44" s="32" t="n">
        <v>0.0774</v>
      </c>
      <c r="U44" s="31" t="n">
        <v>2.63</v>
      </c>
      <c r="V44" s="32" t="n">
        <v>0.38</v>
      </c>
      <c r="W44" s="31" t="n">
        <v>198.84</v>
      </c>
      <c r="X44" s="31" t="n">
        <v>198.84</v>
      </c>
      <c r="Y44" s="3" t="n">
        <v>66380</v>
      </c>
      <c r="Z44" s="3" t="n">
        <v>194</v>
      </c>
      <c r="AA44" s="32" t="n">
        <v>0.0029</v>
      </c>
      <c r="AB44" s="3" t="n">
        <v>16</v>
      </c>
      <c r="AC44" s="32" t="n">
        <v>0.0825</v>
      </c>
      <c r="AD44" s="3" t="inlineStr">
        <is>
          <t>WFS Inventory,Auto Campaign_Vinay,</t>
        </is>
      </c>
      <c r="AE44" s="31" t="n">
        <v>0.39</v>
      </c>
      <c r="AF44" s="2" t="n">
        <v>104</v>
      </c>
      <c r="AG44" s="2" t="n">
        <v>248</v>
      </c>
      <c r="AH44" s="4" t="n">
        <v>54</v>
      </c>
      <c r="AI44" s="33" t="n">
        <v>427.6500000000001</v>
      </c>
      <c r="AJ44" s="4" t="n">
        <v>33</v>
      </c>
      <c r="AK44" s="34" t="n">
        <v>0.6111</v>
      </c>
      <c r="AL44" s="34" t="n">
        <v>0.6826</v>
      </c>
      <c r="AM44" s="2" t="n">
        <v>832</v>
      </c>
    </row>
    <row r="45">
      <c r="A45">
        <f>HYPERLINK("https://www.walmart.com/ip/763058423", "763058423")</f>
        <v/>
      </c>
      <c r="B45">
        <f>HYPERLINK("https://app.optiwise.ai/catalog/itemdetails/361911", "Catalonia Sherpa Wearable Blanket Poncho for Adult Women Men, Wrap Blanket Cape with Pocket, Warm, Soft, Cozy, Snuggly, Comfort Gift, No Sleeves, Plaid Buffalo Christmas")</f>
        <v/>
      </c>
      <c r="C45" t="n">
        <v>6</v>
      </c>
      <c r="D45" t="inlineStr">
        <is>
          <t>08011517445385</t>
        </is>
      </c>
      <c r="E45" t="inlineStr">
        <is>
          <t>1CTBP110PRD</t>
        </is>
      </c>
      <c r="F45" t="n">
        <v>21</v>
      </c>
      <c r="G45" t="inlineStr">
        <is>
          <t>Bedding</t>
        </is>
      </c>
      <c r="H45" t="inlineStr">
        <is>
          <t>Throws</t>
        </is>
      </c>
      <c r="I45" t="inlineStr">
        <is>
          <t>Catalonia</t>
        </is>
      </c>
      <c r="J45" t="n">
        <v>4.7</v>
      </c>
      <c r="K45" t="inlineStr">
        <is>
          <t>Q2-Target,Hero 5 Holidays,WFS,Coupon_Discount,WFS Item</t>
        </is>
      </c>
      <c r="L45" s="29" t="n">
        <v>594.37</v>
      </c>
      <c r="M45" s="30" t="n">
        <v>0.0051</v>
      </c>
      <c r="N45" s="29" t="n">
        <v>131.9600067138672</v>
      </c>
      <c r="O45" s="29" t="n">
        <v>0</v>
      </c>
      <c r="P45" s="2" t="n">
        <v>24</v>
      </c>
      <c r="Q45" s="31" t="n">
        <v>120.3400000000001</v>
      </c>
      <c r="R45" s="32" t="n">
        <v>0.0144</v>
      </c>
      <c r="S45" s="32" t="n">
        <v>0.2025</v>
      </c>
      <c r="T45" s="32" t="n">
        <v>0.1046</v>
      </c>
      <c r="U45" s="31" t="n">
        <v>3.04</v>
      </c>
      <c r="V45" s="32" t="n">
        <v>0.33</v>
      </c>
      <c r="W45" s="31" t="n">
        <v>365.86</v>
      </c>
      <c r="X45" s="31" t="n">
        <v>241.91</v>
      </c>
      <c r="Y45" s="3" t="n">
        <v>209753</v>
      </c>
      <c r="Z45" s="3" t="n">
        <v>305</v>
      </c>
      <c r="AA45" s="32" t="n">
        <v>0.0015</v>
      </c>
      <c r="AB45" s="3" t="n">
        <v>14</v>
      </c>
      <c r="AC45" s="32" t="n">
        <v>0.0459</v>
      </c>
      <c r="AD45" s="3" t="inlineStr">
        <is>
          <t>WFS Inventory,,Auto for Top sale---Rachel,Throws_Manual_Optiwise_24</t>
        </is>
      </c>
      <c r="AE45" s="31" t="n">
        <v>0.39</v>
      </c>
      <c r="AF45" s="2" t="n">
        <v>1176</v>
      </c>
      <c r="AG45" s="2" t="n">
        <v>375</v>
      </c>
      <c r="AH45" s="4" t="n">
        <v>496</v>
      </c>
      <c r="AI45" s="33" t="n">
        <v>228.51</v>
      </c>
      <c r="AJ45" s="4" t="n">
        <v>10</v>
      </c>
      <c r="AK45" s="34" t="n">
        <v>0.0202</v>
      </c>
      <c r="AL45" s="34" t="n">
        <v>0.3845</v>
      </c>
      <c r="AM45" s="2" t="n">
        <v>2649</v>
      </c>
    </row>
    <row r="46">
      <c r="A46">
        <f>HYPERLINK("https://www.walmart.com/ip/685992579", "685992579")</f>
        <v/>
      </c>
      <c r="B46">
        <f>HYPERLINK("https://app.optiwise.ai/catalog/itemdetails/362297", "Sun Hat for Women Wide Brim Summer Beach Hat with Neck Flap, UPF 50+ Fishing Hat for Hiking Beach, Purple")</f>
        <v/>
      </c>
      <c r="C46" t="n">
        <v>6</v>
      </c>
      <c r="D46" t="inlineStr">
        <is>
          <t>B78691_1635724_25AC2FBF122EDC65</t>
        </is>
      </c>
      <c r="E46" t="inlineStr">
        <is>
          <t>1SLSH921PP</t>
        </is>
      </c>
      <c r="F46" t="n">
        <v>147</v>
      </c>
      <c r="G46" t="inlineStr">
        <is>
          <t>Clothing</t>
        </is>
      </c>
      <c r="H46" t="inlineStr">
        <is>
          <t>Hats</t>
        </is>
      </c>
      <c r="I46" t="inlineStr">
        <is>
          <t>Solaris</t>
        </is>
      </c>
      <c r="J46" t="n">
        <v>4.5</v>
      </c>
      <c r="K46" t="inlineStr">
        <is>
          <t>Q2-Target,Hats,Batch 1 - TR</t>
        </is>
      </c>
      <c r="L46" s="29" t="n">
        <v>571.3</v>
      </c>
      <c r="M46" s="30" t="n">
        <v>0.0049</v>
      </c>
      <c r="N46" s="29" t="n">
        <v>69.95999908447266</v>
      </c>
      <c r="O46" s="29" t="n">
        <v>0</v>
      </c>
      <c r="P46" s="2" t="n">
        <v>31</v>
      </c>
      <c r="Q46" s="31" t="n">
        <v>111.36</v>
      </c>
      <c r="R46" s="32" t="n">
        <v>0.0134</v>
      </c>
      <c r="S46" s="32" t="n">
        <v>0.1949</v>
      </c>
      <c r="T46" s="32" t="n">
        <v>0.164</v>
      </c>
      <c r="U46" s="31" t="n">
        <v>2.25</v>
      </c>
      <c r="V46" s="32" t="n">
        <v>0.44</v>
      </c>
      <c r="W46" s="31" t="n">
        <v>250.25</v>
      </c>
      <c r="X46" s="31" t="n">
        <v>198.28</v>
      </c>
      <c r="Y46" s="3" t="n">
        <v>249458</v>
      </c>
      <c r="Z46" s="3" t="n">
        <v>423</v>
      </c>
      <c r="AA46" s="32" t="n">
        <v>0.0017</v>
      </c>
      <c r="AB46" s="3" t="n">
        <v>14</v>
      </c>
      <c r="AC46" s="32" t="n">
        <v>0.0331</v>
      </c>
      <c r="AD46" s="3" t="inlineStr">
        <is>
          <t>Need to sell these SKUs by 15th Feb,,Auto for Top sale---Rachel</t>
        </is>
      </c>
      <c r="AE46" s="31" t="n">
        <v>0.26</v>
      </c>
      <c r="AF46" s="2" t="n">
        <v>202</v>
      </c>
      <c r="AG46" s="2" t="n">
        <v>449</v>
      </c>
      <c r="AH46" s="4" t="n">
        <v>26</v>
      </c>
      <c r="AI46" s="33" t="n">
        <v>321.05</v>
      </c>
      <c r="AJ46" s="4" t="n">
        <v>17</v>
      </c>
      <c r="AK46" s="34" t="n">
        <v>0.6538</v>
      </c>
      <c r="AL46" s="34" t="n">
        <v>0.5620000000000001</v>
      </c>
      <c r="AM46" s="2" t="n">
        <v>2342</v>
      </c>
    </row>
    <row r="47">
      <c r="A47">
        <f>HYPERLINK("https://www.walmart.com/ip/619536116", "619536116")</f>
        <v/>
      </c>
      <c r="B47">
        <f>HYPERLINK("https://app.optiwise.ai/catalog/itemdetails/362365", "Catalonia Waterproof Pee Proof Blanket, Couch, Sofa and Bed Protector Cover for Baby, Super Cozy Plush Fleece Warm Sherpa Lining, Throw Blanket for Boating and Camping, Lt Gray/Dk Gray, 80 x 90")</f>
        <v/>
      </c>
      <c r="C47" t="n">
        <v>6</v>
      </c>
      <c r="D47" t="inlineStr">
        <is>
          <t>B78691_1666301_FEF4476EF080C7A4</t>
        </is>
      </c>
      <c r="E47" t="inlineStr">
        <is>
          <t>1CTBW981LGDG</t>
        </is>
      </c>
      <c r="F47" t="n">
        <v>34</v>
      </c>
      <c r="G47" t="inlineStr">
        <is>
          <t>Bedding</t>
        </is>
      </c>
      <c r="H47" t="inlineStr">
        <is>
          <t>Throws</t>
        </is>
      </c>
      <c r="I47" t="inlineStr">
        <is>
          <t>Catalonia</t>
        </is>
      </c>
      <c r="J47" t="n">
        <v>5</v>
      </c>
      <c r="K47" t="inlineStr">
        <is>
          <t>Optimized,WFS,SEM,WFS Item</t>
        </is>
      </c>
      <c r="L47" s="29" t="n">
        <v>564.91</v>
      </c>
      <c r="M47" s="30" t="n">
        <v>0.0049</v>
      </c>
      <c r="N47" s="29" t="n">
        <v>0</v>
      </c>
      <c r="O47" s="29" t="n">
        <v>0</v>
      </c>
      <c r="P47" s="2" t="n">
        <v>9</v>
      </c>
      <c r="Q47" s="31" t="n">
        <v>9.080000000000002</v>
      </c>
      <c r="R47" s="32" t="n">
        <v>0.0011</v>
      </c>
      <c r="S47" s="32" t="n">
        <v>0.0161</v>
      </c>
      <c r="T47" s="32" t="n">
        <v>0.0919</v>
      </c>
      <c r="U47" s="31" t="n">
        <v>29.07</v>
      </c>
      <c r="V47" s="32" t="n">
        <v>0.03</v>
      </c>
      <c r="W47" s="31" t="n">
        <v>263.96</v>
      </c>
      <c r="X47" s="31" t="n">
        <v>263.96</v>
      </c>
      <c r="Y47" s="3" t="n">
        <v>19826</v>
      </c>
      <c r="Z47" s="3" t="n">
        <v>22</v>
      </c>
      <c r="AA47" s="32" t="n">
        <v>0.0011</v>
      </c>
      <c r="AB47" s="3" t="n">
        <v>4</v>
      </c>
      <c r="AC47" s="32" t="n">
        <v>0.1818</v>
      </c>
      <c r="AD47" s="3" t="inlineStr">
        <is>
          <t>All Items_Auto_Optiwise_24,Auto for BW Indoor,Throws_Manual_Optiwise_24</t>
        </is>
      </c>
      <c r="AE47" s="31" t="n">
        <v>0.41</v>
      </c>
      <c r="AF47" s="2" t="n">
        <v>0</v>
      </c>
      <c r="AG47" s="2" t="n">
        <v>365</v>
      </c>
      <c r="AH47" s="4" t="n">
        <v>343</v>
      </c>
      <c r="AI47" s="33" t="n">
        <v>300.95</v>
      </c>
      <c r="AJ47" s="4" t="n">
        <v>5</v>
      </c>
      <c r="AK47" s="34" t="n">
        <v>0.0146</v>
      </c>
      <c r="AL47" s="34" t="n">
        <v>0.5327</v>
      </c>
      <c r="AM47" s="2" t="n">
        <v>9000</v>
      </c>
    </row>
    <row r="48">
      <c r="A48">
        <f>HYPERLINK("https://www.walmart.com/ip/290439708", "290439708")</f>
        <v/>
      </c>
      <c r="B48">
        <f>HYPERLINK("https://app.optiwise.ai/catalog/itemdetails/361333", "Catalonia Oversized Hoodie Blanket with Zipper, Wearable Sherpa Sweatshirt Pullover, Soft Warm Comfortable Jacket for Adults Men Women, Navy")</f>
        <v/>
      </c>
      <c r="C48" t="n">
        <v>10</v>
      </c>
      <c r="D48" t="inlineStr">
        <is>
          <t>B78691_1681435_8DC652965707CFA</t>
        </is>
      </c>
      <c r="E48" t="inlineStr">
        <is>
          <t>1CTHD220DBL</t>
        </is>
      </c>
      <c r="F48" t="n">
        <v>6</v>
      </c>
      <c r="G48" t="inlineStr">
        <is>
          <t>Home Decor, Kitchen, &amp; Other</t>
        </is>
      </c>
      <c r="H48" t="inlineStr">
        <is>
          <t>Throws</t>
        </is>
      </c>
      <c r="I48" t="inlineStr">
        <is>
          <t>Catalonia</t>
        </is>
      </c>
      <c r="J48" t="n">
        <v>4.399999999999999</v>
      </c>
      <c r="K48" t="inlineStr">
        <is>
          <t>Hoodie ForAdult,WFS,Coupon_Discount,WFS Item</t>
        </is>
      </c>
      <c r="L48" s="29" t="n">
        <v>557.87</v>
      </c>
      <c r="M48" s="30" t="n">
        <v>0.0048</v>
      </c>
      <c r="N48" s="29" t="n">
        <v>168.9600067138672</v>
      </c>
      <c r="O48" s="29" t="n">
        <v>87.98000335693359</v>
      </c>
      <c r="P48" s="2" t="n">
        <v>13</v>
      </c>
      <c r="Q48" s="31" t="n">
        <v>119.79</v>
      </c>
      <c r="R48" s="32" t="n">
        <v>0.0144</v>
      </c>
      <c r="S48" s="32" t="n">
        <v>0.2147</v>
      </c>
      <c r="T48" s="32" t="n">
        <v>0.1388</v>
      </c>
      <c r="U48" s="31" t="n">
        <v>1.91</v>
      </c>
      <c r="V48" s="32" t="n">
        <v>0.52</v>
      </c>
      <c r="W48" s="31" t="n">
        <v>228.94</v>
      </c>
      <c r="X48" s="31" t="n">
        <v>198.95</v>
      </c>
      <c r="Y48" s="3" t="n">
        <v>124774</v>
      </c>
      <c r="Z48" s="3" t="n">
        <v>303</v>
      </c>
      <c r="AA48" s="32" t="n">
        <v>0.0024</v>
      </c>
      <c r="AB48" s="3" t="n">
        <v>6</v>
      </c>
      <c r="AC48" s="32" t="n">
        <v>0.0198</v>
      </c>
      <c r="AD48" s="3" t="inlineStr">
        <is>
          <t>Hoodies_Auto,Auto for Top sale---Rachel,</t>
        </is>
      </c>
      <c r="AE48" s="31" t="n">
        <v>0.4</v>
      </c>
      <c r="AF48" s="2" t="n">
        <v>166</v>
      </c>
      <c r="AG48" s="2" t="n">
        <v>550</v>
      </c>
      <c r="AH48" s="4" t="n">
        <v>247</v>
      </c>
      <c r="AI48" s="33" t="n">
        <v>328.9299999999999</v>
      </c>
      <c r="AJ48" s="4" t="n">
        <v>7</v>
      </c>
      <c r="AK48" s="34" t="n">
        <v>0.0283</v>
      </c>
      <c r="AL48" s="34" t="n">
        <v>0.5896</v>
      </c>
      <c r="AM48" s="2" t="n">
        <v>10031</v>
      </c>
    </row>
    <row r="49">
      <c r="A49">
        <f>HYPERLINK("https://www.walmart.com/ip/486342462", "486342462")</f>
        <v/>
      </c>
      <c r="B49">
        <f>HYPERLINK("https://app.optiwise.ai/catalog/itemdetails/362626", "Catalonia Waterproof Blanket Pee Proof Couch Sofa Bed Protector Cover for Baby, Super Cozy Plush Fleece Warm Throws for Boating Camping")</f>
        <v/>
      </c>
      <c r="C49" t="n">
        <v>7</v>
      </c>
      <c r="D49" t="inlineStr">
        <is>
          <t>B78691_1635825_E914510F954A5D43</t>
        </is>
      </c>
      <c r="E49" t="inlineStr">
        <is>
          <t>1CTBW681WNTP</t>
        </is>
      </c>
      <c r="F49" t="n">
        <v>40</v>
      </c>
      <c r="G49" t="inlineStr">
        <is>
          <t>Bedding</t>
        </is>
      </c>
      <c r="H49" t="inlineStr">
        <is>
          <t>Throws</t>
        </is>
      </c>
      <c r="I49" t="inlineStr">
        <is>
          <t>Catalonia</t>
        </is>
      </c>
      <c r="J49" t="n">
        <v>3.3</v>
      </c>
      <c r="K49" t="inlineStr">
        <is>
          <t>Optimized,Wproof Blanket</t>
        </is>
      </c>
      <c r="L49" s="29" t="n">
        <v>556.86</v>
      </c>
      <c r="M49" s="30" t="n">
        <v>0.0048</v>
      </c>
      <c r="N49" s="29" t="n">
        <v>39.9900016784668</v>
      </c>
      <c r="O49" s="29" t="n">
        <v>0</v>
      </c>
      <c r="P49" s="2" t="n">
        <v>14</v>
      </c>
      <c r="Q49" s="31" t="n">
        <v>142.63</v>
      </c>
      <c r="R49" s="32" t="n">
        <v>0.0171</v>
      </c>
      <c r="S49" s="32" t="n">
        <v>0.2561</v>
      </c>
      <c r="T49" s="32" t="n">
        <v>0.1198</v>
      </c>
      <c r="U49" s="31" t="n">
        <v>1.67</v>
      </c>
      <c r="V49" s="32" t="n">
        <v>0.6</v>
      </c>
      <c r="W49" s="31" t="n">
        <v>237.94</v>
      </c>
      <c r="X49" s="31" t="n">
        <v>237.94</v>
      </c>
      <c r="Y49" s="3" t="n">
        <v>299056</v>
      </c>
      <c r="Z49" s="3" t="n">
        <v>352</v>
      </c>
      <c r="AA49" s="32" t="n">
        <v>0.0012</v>
      </c>
      <c r="AB49" s="3" t="n">
        <v>6</v>
      </c>
      <c r="AC49" s="32" t="n">
        <v>0.017</v>
      </c>
      <c r="AD49" s="3" t="inlineStr">
        <is>
          <t>Auto for BW Indoor,Throws_Auto_Optiwise_24,Throws_Manual_Optiwise_24,All Items_Auto_Optiwise_24</t>
        </is>
      </c>
      <c r="AE49" s="31" t="n">
        <v>0.41</v>
      </c>
      <c r="AF49" s="2" t="n">
        <v>17</v>
      </c>
      <c r="AG49" s="2" t="n">
        <v>722</v>
      </c>
      <c r="AH49" s="4" t="n">
        <v>370</v>
      </c>
      <c r="AI49" s="33" t="n">
        <v>318.92</v>
      </c>
      <c r="AJ49" s="4" t="n">
        <v>8</v>
      </c>
      <c r="AK49" s="34" t="n">
        <v>0.0216</v>
      </c>
      <c r="AL49" s="34" t="n">
        <v>0.5727</v>
      </c>
      <c r="AM49" s="2" t="n">
        <v>6856</v>
      </c>
    </row>
    <row r="50">
      <c r="A50">
        <f>HYPERLINK("https://www.walmart.com/ip/3093512939", "3093512939")</f>
        <v/>
      </c>
      <c r="B50">
        <f>HYPERLINK("https://app.optiwise.ai/catalog/itemdetails/6051369", "Catalonia Waterproof Blanket for Outdoors, Hooded Blanket Poncho | Windproof, Warm, Wearable, Portable | for Stadium, Picnics, School Sporting Events, Camping, Beach, Outdoor Adventure")</f>
        <v/>
      </c>
      <c r="C50" t="n">
        <v>7</v>
      </c>
      <c r="D50" t="inlineStr">
        <is>
          <t>00768469515571</t>
        </is>
      </c>
      <c r="E50" t="inlineStr">
        <is>
          <t>1CTBC200BKCAMO</t>
        </is>
      </c>
      <c r="F50" t="n">
        <v>4</v>
      </c>
      <c r="G50" t="inlineStr">
        <is>
          <t>Bedding</t>
        </is>
      </c>
      <c r="H50" t="inlineStr">
        <is>
          <t>Throws</t>
        </is>
      </c>
      <c r="I50" t="inlineStr">
        <is>
          <t>Catalonia</t>
        </is>
      </c>
      <c r="J50" t="n">
        <v>4.3</v>
      </c>
      <c r="K50" t="inlineStr">
        <is>
          <t>Q2-Target,Wproof Blanket</t>
        </is>
      </c>
      <c r="L50" s="29" t="n">
        <v>531.78</v>
      </c>
      <c r="M50" s="30" t="n">
        <v>0.0046</v>
      </c>
      <c r="N50" s="29" t="n">
        <v>80.96999931335449</v>
      </c>
      <c r="O50" s="29" t="n">
        <v>0</v>
      </c>
      <c r="P50" s="2" t="n">
        <v>19</v>
      </c>
      <c r="Q50" s="31" t="n">
        <v>96.88000000000001</v>
      </c>
      <c r="R50" s="32" t="n">
        <v>0.0116</v>
      </c>
      <c r="S50" s="32" t="n">
        <v>0.1822</v>
      </c>
      <c r="T50" s="32" t="n">
        <v>0.0511</v>
      </c>
      <c r="U50" s="31" t="n">
        <v>3.04</v>
      </c>
      <c r="V50" s="32" t="n">
        <v>0.33</v>
      </c>
      <c r="W50" s="31" t="n">
        <v>294.89</v>
      </c>
      <c r="X50" s="31" t="n">
        <v>294.89</v>
      </c>
      <c r="Y50" s="3" t="n">
        <v>83423</v>
      </c>
      <c r="Z50" s="3" t="n">
        <v>236</v>
      </c>
      <c r="AA50" s="32" t="n">
        <v>0.0028</v>
      </c>
      <c r="AB50" s="3" t="n">
        <v>11</v>
      </c>
      <c r="AC50" s="32" t="n">
        <v>0.0466</v>
      </c>
      <c r="AD50" s="3" t="inlineStr">
        <is>
          <t>Auto for Top sale---Rachel,,1CTBC200BKCAMO_Manual,Throws_Auto_Optiwise_24</t>
        </is>
      </c>
      <c r="AE50" s="31" t="n">
        <v>0.41</v>
      </c>
      <c r="AF50" s="2" t="n">
        <v>66</v>
      </c>
      <c r="AG50" s="2" t="n">
        <v>413</v>
      </c>
      <c r="AH50" s="4" t="n">
        <v>177</v>
      </c>
      <c r="AI50" s="33" t="n">
        <v>236.89</v>
      </c>
      <c r="AJ50" s="4" t="n">
        <v>8</v>
      </c>
      <c r="AK50" s="34" t="n">
        <v>0.0452</v>
      </c>
      <c r="AL50" s="34" t="n">
        <v>0.4455</v>
      </c>
      <c r="AM50" s="2" t="n">
        <v>4561</v>
      </c>
    </row>
    <row r="51">
      <c r="A51">
        <f>HYPERLINK("https://www.walmart.com/ip/15393804349", "15393804349")</f>
        <v/>
      </c>
      <c r="B51">
        <f>HYPERLINK("https://app.optiwise.ai/catalog/itemdetails/20119646", "Catalonia Swim Parka Kids with Hood, Lightweight Youth Surf Swim Jacket, Waterproof &amp; Warm Sherpa Lined Swim Coat for Boys Girls, Changing Poncho Robe for Pool Beach Stadium, Blue, 9-13 Years")</f>
        <v/>
      </c>
      <c r="C51" t="n">
        <v>4</v>
      </c>
      <c r="D51" t="inlineStr">
        <is>
          <t>B78691_1683909_FA0A708E296CBCE0</t>
        </is>
      </c>
      <c r="E51" t="inlineStr">
        <is>
          <t>1CTPKR202BL-1</t>
        </is>
      </c>
      <c r="F51" t="n">
        <v>0</v>
      </c>
      <c r="G51" t="inlineStr">
        <is>
          <t>Clothing</t>
        </is>
      </c>
      <c r="H51" t="inlineStr">
        <is>
          <t>Swim Parkas</t>
        </is>
      </c>
      <c r="I51" t="inlineStr">
        <is>
          <t>Catalonia</t>
        </is>
      </c>
      <c r="L51" s="29" t="n">
        <v>509.42</v>
      </c>
      <c r="M51" s="30" t="n">
        <v>0.0044</v>
      </c>
      <c r="N51" s="29" t="n">
        <v>272.4100074768066</v>
      </c>
      <c r="O51" s="29" t="n">
        <v>0</v>
      </c>
      <c r="P51" s="2" t="n">
        <v>11</v>
      </c>
      <c r="Q51" s="31" t="n">
        <v>0</v>
      </c>
      <c r="R51" s="32" t="n"/>
      <c r="S51" s="32" t="n">
        <v>0</v>
      </c>
      <c r="T51" s="32" t="n">
        <v>0</v>
      </c>
      <c r="U51" s="31" t="n">
        <v>0</v>
      </c>
      <c r="V51" s="32" t="n">
        <v>0</v>
      </c>
      <c r="W51" s="31" t="n">
        <v>0</v>
      </c>
      <c r="X51" s="31" t="n">
        <v>0</v>
      </c>
      <c r="Y51" s="3" t="n">
        <v>0</v>
      </c>
      <c r="Z51" s="3" t="n">
        <v>0</v>
      </c>
      <c r="AA51" s="32" t="n">
        <v>0</v>
      </c>
      <c r="AB51" s="3" t="n">
        <v>0</v>
      </c>
      <c r="AC51" s="32" t="n">
        <v>0</v>
      </c>
      <c r="AD51" s="3" t="n"/>
      <c r="AE51" s="31" t="n">
        <v>0</v>
      </c>
      <c r="AF51" s="2" t="n">
        <v>2</v>
      </c>
      <c r="AG51" s="2" t="n">
        <v>0</v>
      </c>
      <c r="AH51" s="4" t="n">
        <v>2</v>
      </c>
      <c r="AI51" s="33" t="n">
        <v>509.42</v>
      </c>
      <c r="AJ51" s="4" t="n">
        <v>11</v>
      </c>
      <c r="AK51" s="34" t="n">
        <v>5.5</v>
      </c>
      <c r="AL51" s="34" t="n">
        <v>1</v>
      </c>
      <c r="AM51" s="2" t="n">
        <v>834</v>
      </c>
    </row>
    <row r="52">
      <c r="A52">
        <f>HYPERLINK("https://www.walmart.com/ip/394849317", "394849317")</f>
        <v/>
      </c>
      <c r="B52">
        <f>HYPERLINK("https://app.optiwise.ai/catalog/itemdetails/360753", "Tirrinia Hooded Bath Towel for 2 to 6 Years Boy,100% Cotton Water Absorption Beach Poncho Swim Changing Robe Surf Boy Pattern")</f>
        <v/>
      </c>
      <c r="C52" t="n">
        <v>2</v>
      </c>
      <c r="D52" t="inlineStr">
        <is>
          <t>B78691_1639599_9C1EBD96F4B226AA</t>
        </is>
      </c>
      <c r="E52" t="inlineStr">
        <is>
          <t>1TRBR200-SF</t>
        </is>
      </c>
      <c r="F52" t="n">
        <v>2</v>
      </c>
      <c r="G52" t="inlineStr">
        <is>
          <t>Home Decor, Kitchen, &amp; Other</t>
        </is>
      </c>
      <c r="H52" t="inlineStr">
        <is>
          <t>Towels &amp; Washcloths</t>
        </is>
      </c>
      <c r="I52" t="inlineStr">
        <is>
          <t>Tirrinia</t>
        </is>
      </c>
      <c r="J52" t="n">
        <v>3.5</v>
      </c>
      <c r="K52" t="inlineStr">
        <is>
          <t>Beach Robe Camp</t>
        </is>
      </c>
      <c r="L52" s="29" t="n">
        <v>467.54</v>
      </c>
      <c r="M52" s="30" t="n">
        <v>0.004</v>
      </c>
      <c r="N52" s="29" t="n">
        <v>35.97999954223633</v>
      </c>
      <c r="O52" s="29" t="n">
        <v>0</v>
      </c>
      <c r="P52" s="2" t="n">
        <v>46</v>
      </c>
      <c r="Q52" s="31" t="n">
        <v>0</v>
      </c>
      <c r="R52" s="32" t="n"/>
      <c r="S52" s="32" t="n">
        <v>0</v>
      </c>
      <c r="T52" s="32" t="n">
        <v>0</v>
      </c>
      <c r="U52" s="31" t="n">
        <v>0</v>
      </c>
      <c r="V52" s="32" t="n">
        <v>0</v>
      </c>
      <c r="W52" s="31" t="n">
        <v>0</v>
      </c>
      <c r="X52" s="31" t="n">
        <v>0</v>
      </c>
      <c r="Y52" s="3" t="n">
        <v>0</v>
      </c>
      <c r="Z52" s="3" t="n">
        <v>0</v>
      </c>
      <c r="AA52" s="32" t="n">
        <v>0</v>
      </c>
      <c r="AB52" s="3" t="n">
        <v>0</v>
      </c>
      <c r="AC52" s="32" t="n">
        <v>0</v>
      </c>
      <c r="AD52" s="3" t="n"/>
      <c r="AE52" s="31" t="n">
        <v>0</v>
      </c>
      <c r="AF52" s="2" t="n">
        <v>36</v>
      </c>
      <c r="AG52" s="2" t="n">
        <v>240</v>
      </c>
      <c r="AH52" s="4" t="n">
        <v>240</v>
      </c>
      <c r="AI52" s="33" t="n">
        <v>467.54</v>
      </c>
      <c r="AJ52" s="4" t="n">
        <v>46</v>
      </c>
      <c r="AK52" s="34" t="n">
        <v>0.1917</v>
      </c>
      <c r="AL52" s="34" t="n">
        <v>1</v>
      </c>
      <c r="AM52" s="2" t="n">
        <v>507</v>
      </c>
    </row>
    <row r="53">
      <c r="A53">
        <f>HYPERLINK("https://www.walmart.com/ip/905687411", "905687411")</f>
        <v/>
      </c>
      <c r="B53">
        <f>HYPERLINK("https://app.optiwise.ai/catalog/itemdetails/359296", "Expandable Insulated Lunch Bag, Leakproof Lunch Cooler Tote for Men and Women, Suitable for Work &amp; Office, Charcoal")</f>
        <v/>
      </c>
      <c r="C53" t="n">
        <v>7</v>
      </c>
      <c r="D53" t="inlineStr">
        <is>
          <t>B78691_1667084_7A0962676F467189</t>
        </is>
      </c>
      <c r="E53" t="inlineStr">
        <is>
          <t>1KTLB110CH</t>
        </is>
      </c>
      <c r="F53" t="n">
        <v>19</v>
      </c>
      <c r="G53" t="inlineStr">
        <is>
          <t>Cases &amp; Bags</t>
        </is>
      </c>
      <c r="H53" t="inlineStr">
        <is>
          <t>Reusable Lunch Bags &amp; Boxes</t>
        </is>
      </c>
      <c r="I53" t="inlineStr">
        <is>
          <t>Kato</t>
        </is>
      </c>
      <c r="J53" t="n">
        <v>4.899999999999999</v>
      </c>
      <c r="K53" t="inlineStr">
        <is>
          <t>Optimized,Lunch Bags,SEM</t>
        </is>
      </c>
      <c r="L53" s="29" t="n">
        <v>444.4</v>
      </c>
      <c r="M53" s="30" t="n">
        <v>0.0038</v>
      </c>
      <c r="N53" s="29" t="n">
        <v>104.9199981689453</v>
      </c>
      <c r="O53" s="29" t="n">
        <v>16.98999977111816</v>
      </c>
      <c r="P53" s="2" t="n">
        <v>27</v>
      </c>
      <c r="Q53" s="31" t="n">
        <v>0</v>
      </c>
      <c r="R53" s="32" t="n"/>
      <c r="S53" s="32" t="n">
        <v>0</v>
      </c>
      <c r="T53" s="32" t="n">
        <v>0.0209</v>
      </c>
      <c r="U53" s="31" t="n">
        <v>0</v>
      </c>
      <c r="V53" s="32" t="n">
        <v>0</v>
      </c>
      <c r="W53" s="31" t="n">
        <v>0</v>
      </c>
      <c r="X53" s="31" t="n">
        <v>0</v>
      </c>
      <c r="Y53" s="3" t="n">
        <v>0</v>
      </c>
      <c r="Z53" s="3" t="n">
        <v>0</v>
      </c>
      <c r="AA53" s="32" t="n">
        <v>0</v>
      </c>
      <c r="AB53" s="3" t="n">
        <v>0</v>
      </c>
      <c r="AC53" s="32" t="n">
        <v>0</v>
      </c>
      <c r="AD53" s="3" t="n"/>
      <c r="AE53" s="31" t="n">
        <v>0</v>
      </c>
      <c r="AF53" s="2" t="n">
        <v>74</v>
      </c>
      <c r="AG53" s="2" t="n">
        <v>379</v>
      </c>
      <c r="AH53" s="4" t="n">
        <v>379</v>
      </c>
      <c r="AI53" s="33" t="n">
        <v>444.4</v>
      </c>
      <c r="AJ53" s="4" t="n">
        <v>27</v>
      </c>
      <c r="AK53" s="34" t="n">
        <v>0.0712</v>
      </c>
      <c r="AL53" s="34" t="n">
        <v>1</v>
      </c>
      <c r="AM53" s="2" t="n">
        <v>3430</v>
      </c>
    </row>
    <row r="54">
      <c r="A54">
        <f>HYPERLINK("https://www.walmart.com/ip/724471437", "724471437")</f>
        <v/>
      </c>
      <c r="B54">
        <f>HYPERLINK("https://app.optiwise.ai/catalog/itemdetails/360521", "Tirrinia Adult Insulated Lunch Bag Totes Best Thermos Cooler Container, Leakproof Expandable Reusable Lunch Box")</f>
        <v/>
      </c>
      <c r="C54" t="n">
        <v>2</v>
      </c>
      <c r="D54" t="inlineStr">
        <is>
          <t>B78691_1672331_916A219C7A75FD0E</t>
        </is>
      </c>
      <c r="E54" t="inlineStr">
        <is>
          <t>1TRCB106RD</t>
        </is>
      </c>
      <c r="F54" t="n">
        <v>188</v>
      </c>
      <c r="G54" t="inlineStr">
        <is>
          <t>Home Decor, Kitchen, &amp; Other</t>
        </is>
      </c>
      <c r="H54" t="inlineStr">
        <is>
          <t>Reusable Lunch Bags &amp; Boxes</t>
        </is>
      </c>
      <c r="I54" t="inlineStr">
        <is>
          <t>Tirrinia</t>
        </is>
      </c>
      <c r="J54" t="n">
        <v>4</v>
      </c>
      <c r="K54" t="inlineStr">
        <is>
          <t>Q2-Target,Brand Camp VD,Lunch Bag,WFS,Lunch Bags,WFS Item</t>
        </is>
      </c>
      <c r="L54" s="29" t="n">
        <v>438.15</v>
      </c>
      <c r="M54" s="30" t="n">
        <v>0.0038</v>
      </c>
      <c r="N54" s="29" t="n">
        <v>113.9099979400635</v>
      </c>
      <c r="O54" s="29" t="n">
        <v>23.97999954223633</v>
      </c>
      <c r="P54" s="2" t="n">
        <v>31</v>
      </c>
      <c r="Q54" s="31" t="n">
        <v>0</v>
      </c>
      <c r="R54" s="32" t="n"/>
      <c r="S54" s="32" t="n">
        <v>0</v>
      </c>
      <c r="T54" s="32" t="n">
        <v>0.1132</v>
      </c>
      <c r="U54" s="31" t="n">
        <v>0</v>
      </c>
      <c r="V54" s="32" t="n">
        <v>0</v>
      </c>
      <c r="W54" s="31" t="n">
        <v>0</v>
      </c>
      <c r="X54" s="31" t="n">
        <v>0</v>
      </c>
      <c r="Y54" s="3" t="n">
        <v>0</v>
      </c>
      <c r="Z54" s="3" t="n">
        <v>0</v>
      </c>
      <c r="AA54" s="32" t="n">
        <v>0</v>
      </c>
      <c r="AB54" s="3" t="n">
        <v>0</v>
      </c>
      <c r="AC54" s="32" t="n">
        <v>0</v>
      </c>
      <c r="AD54" s="3" t="n"/>
      <c r="AE54" s="31" t="n">
        <v>0</v>
      </c>
      <c r="AF54" s="2" t="n">
        <v>1005</v>
      </c>
      <c r="AG54" s="2" t="n">
        <v>615</v>
      </c>
      <c r="AH54" s="4" t="n">
        <v>615</v>
      </c>
      <c r="AI54" s="33" t="n">
        <v>438.15</v>
      </c>
      <c r="AJ54" s="4" t="n">
        <v>31</v>
      </c>
      <c r="AK54" s="34" t="n">
        <v>0.0504</v>
      </c>
      <c r="AL54" s="34" t="n">
        <v>1</v>
      </c>
      <c r="AM54" s="2" t="n">
        <v>735</v>
      </c>
    </row>
    <row r="55">
      <c r="A55">
        <f>HYPERLINK("https://www.walmart.com/ip/159536218", "159536218")</f>
        <v/>
      </c>
      <c r="B55">
        <f>HYPERLINK("https://app.optiwise.ai/catalog/itemdetails/409185", "Tirrinia Single Wine Gift Tote Bag, Insulated Padded Thermal Wine Bottle Carrying Cooler Carrier for Travel, Picnic, Great Gift for Wine Lover, Black")</f>
        <v/>
      </c>
      <c r="C55" t="n">
        <v>7</v>
      </c>
      <c r="D55" t="inlineStr">
        <is>
          <t>00791315381372</t>
        </is>
      </c>
      <c r="E55" t="inlineStr">
        <is>
          <t>1TRWB102BK</t>
        </is>
      </c>
      <c r="F55" t="n">
        <v>5</v>
      </c>
      <c r="G55" t="inlineStr">
        <is>
          <t>Home Decor, Kitchen, &amp; Other</t>
        </is>
      </c>
      <c r="H55" t="inlineStr">
        <is>
          <t>Wine Totes, Bags &amp; Backpacks</t>
        </is>
      </c>
      <c r="I55" t="inlineStr">
        <is>
          <t>Tirrinia</t>
        </is>
      </c>
      <c r="J55" t="n">
        <v>4.8</v>
      </c>
      <c r="K55" t="inlineStr">
        <is>
          <t>Christmas,Optimized,Valentine</t>
        </is>
      </c>
      <c r="L55" s="29" t="n">
        <v>436.73</v>
      </c>
      <c r="M55" s="30" t="n">
        <v>0.0038</v>
      </c>
      <c r="N55" s="29" t="n">
        <v>35.96999931335449</v>
      </c>
      <c r="O55" s="29" t="n">
        <v>0</v>
      </c>
      <c r="P55" s="2" t="n">
        <v>32</v>
      </c>
      <c r="Q55" s="31" t="n">
        <v>84.84999999999999</v>
      </c>
      <c r="R55" s="32" t="n">
        <v>0.0102</v>
      </c>
      <c r="S55" s="32" t="n">
        <v>0.1943</v>
      </c>
      <c r="T55" s="32" t="n">
        <v>0.1915</v>
      </c>
      <c r="U55" s="31" t="n">
        <v>2.06</v>
      </c>
      <c r="V55" s="32" t="n">
        <v>0.49</v>
      </c>
      <c r="W55" s="31" t="n">
        <v>174.87</v>
      </c>
      <c r="X55" s="31" t="n">
        <v>153.88</v>
      </c>
      <c r="Y55" s="3" t="n">
        <v>109724</v>
      </c>
      <c r="Z55" s="3" t="n">
        <v>211</v>
      </c>
      <c r="AA55" s="32" t="n">
        <v>0.0019</v>
      </c>
      <c r="AB55" s="3" t="n">
        <v>13</v>
      </c>
      <c r="AC55" s="32" t="n">
        <v>0.0616</v>
      </c>
      <c r="AD55" s="3" t="inlineStr">
        <is>
          <t>All Items_Auto_Optiwise_24,Auto Campaign_Vinay,</t>
        </is>
      </c>
      <c r="AE55" s="31" t="n">
        <v>0.4</v>
      </c>
      <c r="AF55" s="2" t="n">
        <v>231</v>
      </c>
      <c r="AG55" s="2" t="n">
        <v>425</v>
      </c>
      <c r="AH55" s="4" t="n">
        <v>214</v>
      </c>
      <c r="AI55" s="33" t="n">
        <v>261.86</v>
      </c>
      <c r="AJ55" s="4" t="n">
        <v>19</v>
      </c>
      <c r="AK55" s="34" t="n">
        <v>0.0888</v>
      </c>
      <c r="AL55" s="34" t="n">
        <v>0.5996</v>
      </c>
      <c r="AM55" s="2" t="n">
        <v>1012</v>
      </c>
    </row>
    <row r="56">
      <c r="A56">
        <f>HYPERLINK("https://www.walmart.com/ip/887251114", "887251114")</f>
        <v/>
      </c>
      <c r="B56">
        <f>HYPERLINK("https://app.optiwise.ai/catalog/itemdetails/361349", "Flyingstar Waterproof Camping Blanket, Wearable Windproof Hooded Blanket Poncho for Sports Stadium, Camping, Beach, Picnic, Car or Pet Friendly Use, Green&amp;Black")</f>
        <v/>
      </c>
      <c r="C56" t="n">
        <v>4</v>
      </c>
      <c r="D56" t="inlineStr">
        <is>
          <t>B78691_1680129_BB423D347E07D31F</t>
        </is>
      </c>
      <c r="E56" t="inlineStr">
        <is>
          <t>1WMBC200GNBK</t>
        </is>
      </c>
      <c r="F56" t="n">
        <v>19</v>
      </c>
      <c r="G56" t="inlineStr">
        <is>
          <t>Sport &amp; Recreation Other</t>
        </is>
      </c>
      <c r="H56" t="inlineStr">
        <is>
          <t>Picnic Blankets &amp; Mats</t>
        </is>
      </c>
      <c r="I56" t="inlineStr">
        <is>
          <t>Flyingstar</t>
        </is>
      </c>
      <c r="J56" t="n">
        <v>4.6</v>
      </c>
      <c r="K56" t="inlineStr">
        <is>
          <t>Optimized,SEM</t>
        </is>
      </c>
      <c r="L56" s="29" t="n">
        <v>418.83</v>
      </c>
      <c r="M56" s="30" t="n">
        <v>0.0036</v>
      </c>
      <c r="N56" s="29" t="n">
        <v>134.9499988555908</v>
      </c>
      <c r="O56" s="29" t="n">
        <v>0</v>
      </c>
      <c r="P56" s="2" t="n">
        <v>11</v>
      </c>
      <c r="Q56" s="31" t="n">
        <v>63.87000000000002</v>
      </c>
      <c r="R56" s="32" t="n">
        <v>0.0077</v>
      </c>
      <c r="S56" s="32" t="n">
        <v>0.1525</v>
      </c>
      <c r="T56" s="32" t="n">
        <v>0.0322</v>
      </c>
      <c r="U56" s="31" t="n">
        <v>4.23</v>
      </c>
      <c r="V56" s="32" t="n">
        <v>0.24</v>
      </c>
      <c r="W56" s="31" t="n">
        <v>269.9</v>
      </c>
      <c r="X56" s="31" t="n">
        <v>269.9</v>
      </c>
      <c r="Y56" s="3" t="n">
        <v>192193</v>
      </c>
      <c r="Z56" s="3" t="n">
        <v>186</v>
      </c>
      <c r="AA56" s="32" t="n">
        <v>0.001</v>
      </c>
      <c r="AB56" s="3" t="n">
        <v>10</v>
      </c>
      <c r="AC56" s="32" t="n">
        <v>0.0538</v>
      </c>
      <c r="AD56" s="3" t="inlineStr">
        <is>
          <t>Picnic Blankets &amp; Mats_Manual_Optiwise_24,WFS Inventory</t>
        </is>
      </c>
      <c r="AE56" s="31" t="n">
        <v>0.34</v>
      </c>
      <c r="AF56" s="2" t="n">
        <v>30</v>
      </c>
      <c r="AG56" s="2" t="n">
        <v>274</v>
      </c>
      <c r="AH56" s="4" t="n">
        <v>88</v>
      </c>
      <c r="AI56" s="33" t="n">
        <v>148.9300000000001</v>
      </c>
      <c r="AJ56" s="4" t="n">
        <v>1</v>
      </c>
      <c r="AK56" s="34" t="n">
        <v>0.0114</v>
      </c>
      <c r="AL56" s="34" t="n">
        <v>0.3556</v>
      </c>
      <c r="AM56" s="2" t="n">
        <v>3816</v>
      </c>
    </row>
    <row r="57">
      <c r="A57">
        <f>HYPERLINK("https://www.walmart.com/ip/361725265", "361725265")</f>
        <v/>
      </c>
      <c r="B57">
        <f>HYPERLINK("https://app.optiwise.ai/catalog/itemdetails/358761", "Catalonia Sherpa Throw Blanket, Super Soft Comfy Micro Fleece Couch Blanket, Reversible Bed Throw TV Blanket, Comfort Caring Gift, Pink, 50 x 60")</f>
        <v/>
      </c>
      <c r="C57" t="n">
        <v>10</v>
      </c>
      <c r="D57" t="inlineStr">
        <is>
          <t>B78691_1635778_982F163A552D484D</t>
        </is>
      </c>
      <c r="E57" t="inlineStr">
        <is>
          <t>1CTBF300PK</t>
        </is>
      </c>
      <c r="F57" t="n">
        <v>72</v>
      </c>
      <c r="G57" t="inlineStr">
        <is>
          <t>Bedding</t>
        </is>
      </c>
      <c r="H57" t="inlineStr">
        <is>
          <t>Throws</t>
        </is>
      </c>
      <c r="I57" t="inlineStr">
        <is>
          <t>Catalonia</t>
        </is>
      </c>
      <c r="J57" t="n">
        <v>4.799999999999999</v>
      </c>
      <c r="K57" t="inlineStr">
        <is>
          <t>Q2-Target,Optimized,WFS,Coupon_Discount,WFS Item</t>
        </is>
      </c>
      <c r="L57" s="29" t="n">
        <v>405.67</v>
      </c>
      <c r="M57" s="30" t="n">
        <v>0.0035</v>
      </c>
      <c r="N57" s="29" t="n">
        <v>88.94999885559082</v>
      </c>
      <c r="O57" s="29" t="n">
        <v>0</v>
      </c>
      <c r="P57" s="2" t="n">
        <v>21</v>
      </c>
      <c r="Q57" s="31" t="n">
        <v>47.33000000000001</v>
      </c>
      <c r="R57" s="32" t="n">
        <v>0.0057</v>
      </c>
      <c r="S57" s="32" t="n">
        <v>0.1167</v>
      </c>
      <c r="T57" s="32" t="n">
        <v>0.0446</v>
      </c>
      <c r="U57" s="31" t="n">
        <v>2.49</v>
      </c>
      <c r="V57" s="32" t="n">
        <v>0.4</v>
      </c>
      <c r="W57" s="31" t="n">
        <v>117.93</v>
      </c>
      <c r="X57" s="31" t="n">
        <v>100.94</v>
      </c>
      <c r="Y57" s="3" t="n">
        <v>88470</v>
      </c>
      <c r="Z57" s="3" t="n">
        <v>163</v>
      </c>
      <c r="AA57" s="32" t="n">
        <v>0.0018</v>
      </c>
      <c r="AB57" s="3" t="n">
        <v>7</v>
      </c>
      <c r="AC57" s="32" t="n">
        <v>0.0429</v>
      </c>
      <c r="AD57" s="3" t="inlineStr">
        <is>
          <t>,WFS Inventory</t>
        </is>
      </c>
      <c r="AE57" s="31" t="n">
        <v>0.29</v>
      </c>
      <c r="AF57" s="2" t="n">
        <v>234</v>
      </c>
      <c r="AG57" s="2" t="n">
        <v>768</v>
      </c>
      <c r="AH57" s="4" t="n">
        <v>605</v>
      </c>
      <c r="AI57" s="33" t="n">
        <v>287.74</v>
      </c>
      <c r="AJ57" s="4" t="n">
        <v>14</v>
      </c>
      <c r="AK57" s="34" t="n">
        <v>0.0231</v>
      </c>
      <c r="AL57" s="34" t="n">
        <v>0.7093</v>
      </c>
      <c r="AM57" s="2" t="n">
        <v>1838</v>
      </c>
    </row>
    <row r="58">
      <c r="A58">
        <f>HYPERLINK("https://www.walmart.com/ip/655974689", "655974689")</f>
        <v/>
      </c>
      <c r="B58">
        <f>HYPERLINK("https://app.optiwise.ai/catalog/itemdetails/359086", "Tirrinia Insulated 2 Bottle Wine Carrier Tote Cooler Bag for Travel Picnic Padded Champagne Glass")</f>
        <v/>
      </c>
      <c r="C58" t="n">
        <v>7</v>
      </c>
      <c r="D58" t="inlineStr">
        <is>
          <t>00791315381471</t>
        </is>
      </c>
      <c r="E58" t="inlineStr">
        <is>
          <t>1TRWB231CHEETAH</t>
        </is>
      </c>
      <c r="F58" t="n">
        <v>1</v>
      </c>
      <c r="G58" t="inlineStr">
        <is>
          <t>Home Decor, Kitchen, &amp; Other</t>
        </is>
      </c>
      <c r="H58" t="inlineStr">
        <is>
          <t>Wine Totes, Bags &amp; Backpacks</t>
        </is>
      </c>
      <c r="I58" t="inlineStr">
        <is>
          <t>Tirrinia</t>
        </is>
      </c>
      <c r="J58" t="n">
        <v>5</v>
      </c>
      <c r="K58" t="inlineStr">
        <is>
          <t>Wine,Christmas,WFS,Valentine,WFS Item</t>
        </is>
      </c>
      <c r="L58" s="29" t="n">
        <v>399.79</v>
      </c>
      <c r="M58" s="30" t="n">
        <v>0.0034</v>
      </c>
      <c r="N58" s="29" t="n">
        <v>0</v>
      </c>
      <c r="O58" s="29" t="n">
        <v>18.98999977111816</v>
      </c>
      <c r="P58" s="2" t="n">
        <v>18</v>
      </c>
      <c r="Q58" s="31" t="n">
        <v>169.73</v>
      </c>
      <c r="R58" s="32" t="n">
        <v>0.0204</v>
      </c>
      <c r="S58" s="32" t="n">
        <v>0.4245</v>
      </c>
      <c r="T58" s="32" t="n">
        <v>0.1651</v>
      </c>
      <c r="U58" s="31" t="n">
        <v>2.3</v>
      </c>
      <c r="V58" s="32" t="n">
        <v>0.44</v>
      </c>
      <c r="W58" s="31" t="n">
        <v>389.8099999999999</v>
      </c>
      <c r="X58" s="31" t="n">
        <v>301.85</v>
      </c>
      <c r="Y58" s="3" t="n">
        <v>126611</v>
      </c>
      <c r="Z58" s="3" t="n">
        <v>391</v>
      </c>
      <c r="AA58" s="32" t="n">
        <v>0.0031</v>
      </c>
      <c r="AB58" s="3" t="n">
        <v>19</v>
      </c>
      <c r="AC58" s="32" t="n">
        <v>0.0486</v>
      </c>
      <c r="AD58" s="3" t="inlineStr">
        <is>
          <t>Auto Campaign_Vinay,All Items_Auto_Optiwise_24,</t>
        </is>
      </c>
      <c r="AE58" s="31" t="n">
        <v>0.43</v>
      </c>
      <c r="AF58" s="2" t="n">
        <v>145</v>
      </c>
      <c r="AG58" s="2" t="n">
        <v>293</v>
      </c>
      <c r="AH58" s="4" t="inlineStr">
        <is>
          <t>NA</t>
        </is>
      </c>
      <c r="AI58" s="33" t="n">
        <v>9.980000000000018</v>
      </c>
      <c r="AJ58" s="4" t="n">
        <v>-1</v>
      </c>
      <c r="AK58" s="34" t="inlineStr">
        <is>
          <t>NA</t>
        </is>
      </c>
      <c r="AL58" s="34" t="n">
        <v>0.025</v>
      </c>
      <c r="AM58" s="2" t="n">
        <v>1800</v>
      </c>
    </row>
    <row r="59">
      <c r="A59">
        <f>HYPERLINK("https://www.walmart.com/ip/1981846072", "1981846072")</f>
        <v/>
      </c>
      <c r="B59">
        <f>HYPERLINK("https://app.optiwise.ai/catalog/itemdetails/1173608", "Tirrinia 2 Bottle Wine Tote Carrier - Insulated &amp; Padded Versatile Cooler Bag for Travel, BYOB Restaurant, Wine Tasting, Party, Great Gift for Wine Lover, Purple")</f>
        <v/>
      </c>
      <c r="C59" t="n">
        <v>6</v>
      </c>
      <c r="D59" t="inlineStr">
        <is>
          <t>B78691_1681791_5C9BB2671E1E9004</t>
        </is>
      </c>
      <c r="E59" t="inlineStr">
        <is>
          <t>1TRWB221PP</t>
        </is>
      </c>
      <c r="F59" t="n">
        <v>13</v>
      </c>
      <c r="G59" t="inlineStr">
        <is>
          <t>Home Decor, Kitchen, &amp; Other</t>
        </is>
      </c>
      <c r="H59" t="inlineStr">
        <is>
          <t>Wine Totes, Bags &amp; Backpacks</t>
        </is>
      </c>
      <c r="I59" t="inlineStr">
        <is>
          <t>Tirrinia</t>
        </is>
      </c>
      <c r="J59" t="n">
        <v>4</v>
      </c>
      <c r="K59" t="inlineStr">
        <is>
          <t>Wine,SEM,Batch 1 - TR</t>
        </is>
      </c>
      <c r="L59" s="29" t="n">
        <v>392.79</v>
      </c>
      <c r="M59" s="30" t="n">
        <v>0.0034</v>
      </c>
      <c r="N59" s="29" t="n">
        <v>78.95999908447266</v>
      </c>
      <c r="O59" s="29" t="n">
        <v>0</v>
      </c>
      <c r="P59" s="2" t="n">
        <v>20</v>
      </c>
      <c r="Q59" s="31" t="n">
        <v>112.02</v>
      </c>
      <c r="R59" s="32" t="n">
        <v>0.0134</v>
      </c>
      <c r="S59" s="32" t="n">
        <v>0.2852</v>
      </c>
      <c r="T59" s="32" t="n">
        <v>0.1695</v>
      </c>
      <c r="U59" s="31" t="n">
        <v>2.27</v>
      </c>
      <c r="V59" s="32" t="n">
        <v>0.44</v>
      </c>
      <c r="W59" s="31" t="n">
        <v>253.87</v>
      </c>
      <c r="X59" s="31" t="n">
        <v>228.88</v>
      </c>
      <c r="Y59" s="3" t="n">
        <v>123787</v>
      </c>
      <c r="Z59" s="3" t="n">
        <v>234</v>
      </c>
      <c r="AA59" s="32" t="n">
        <v>0.0019</v>
      </c>
      <c r="AB59" s="3" t="n">
        <v>13</v>
      </c>
      <c r="AC59" s="32" t="n">
        <v>0.0556</v>
      </c>
      <c r="AD59" s="3" t="inlineStr">
        <is>
          <t>All Items_Auto_Optiwise_24,Auto Campaign_Vinay</t>
        </is>
      </c>
      <c r="AE59" s="31" t="n">
        <v>0.48</v>
      </c>
      <c r="AF59" s="2" t="n">
        <v>19</v>
      </c>
      <c r="AG59" s="2" t="n">
        <v>498</v>
      </c>
      <c r="AH59" s="4" t="n">
        <v>264</v>
      </c>
      <c r="AI59" s="33" t="n">
        <v>138.92</v>
      </c>
      <c r="AJ59" s="4" t="n">
        <v>7</v>
      </c>
      <c r="AK59" s="34" t="n">
        <v>0.0265</v>
      </c>
      <c r="AL59" s="34" t="n">
        <v>0.3537</v>
      </c>
      <c r="AM59" s="2" t="n">
        <v>3051</v>
      </c>
    </row>
    <row r="60">
      <c r="A60">
        <f>HYPERLINK("https://www.walmart.com/ip/551700085", "551700085")</f>
        <v/>
      </c>
      <c r="B60">
        <f>HYPERLINK("https://app.optiwise.ai/catalog/itemdetails/362414", "Tirrinia Insulated Lunch Bag for Women Men, Leakproof Thermal Reusable Lunch Box Tote for Adult &amp; Kids by Tirrinia, Lunch Cooler for Office Work, Teal")</f>
        <v/>
      </c>
      <c r="C60" t="n">
        <v>12</v>
      </c>
      <c r="D60" t="inlineStr">
        <is>
          <t>B78691_1679514_3E4CCA11E7C9A9C8</t>
        </is>
      </c>
      <c r="E60" t="inlineStr">
        <is>
          <t>1WMLB701P1TL</t>
        </is>
      </c>
      <c r="F60" t="n">
        <v>207</v>
      </c>
      <c r="G60" t="inlineStr">
        <is>
          <t>Home Decor, Kitchen, &amp; Other</t>
        </is>
      </c>
      <c r="H60" t="inlineStr">
        <is>
          <t>Reusable Lunch Bags &amp; Boxes</t>
        </is>
      </c>
      <c r="I60" t="inlineStr">
        <is>
          <t>Flyingstar</t>
        </is>
      </c>
      <c r="J60" t="n">
        <v>4.600000000000001</v>
      </c>
      <c r="K60" t="inlineStr">
        <is>
          <t>Q2-Target,Lunch Bag,Lunch Bags,SEM</t>
        </is>
      </c>
      <c r="L60" s="29" t="n">
        <v>391.7</v>
      </c>
      <c r="M60" s="30" t="n">
        <v>0.0034</v>
      </c>
      <c r="N60" s="29" t="n">
        <v>11.98999977111816</v>
      </c>
      <c r="O60" s="29" t="n">
        <v>0</v>
      </c>
      <c r="P60" s="2" t="n">
        <v>30</v>
      </c>
      <c r="Q60" s="31" t="n">
        <v>0</v>
      </c>
      <c r="R60" s="32" t="n"/>
      <c r="S60" s="32" t="n">
        <v>0</v>
      </c>
      <c r="T60" s="32" t="n">
        <v>0.136</v>
      </c>
      <c r="U60" s="31" t="n">
        <v>0</v>
      </c>
      <c r="V60" s="32" t="n">
        <v>0</v>
      </c>
      <c r="W60" s="31" t="n">
        <v>0</v>
      </c>
      <c r="X60" s="31" t="n">
        <v>0</v>
      </c>
      <c r="Y60" s="3" t="n">
        <v>0</v>
      </c>
      <c r="Z60" s="3" t="n">
        <v>0</v>
      </c>
      <c r="AA60" s="32" t="n">
        <v>0</v>
      </c>
      <c r="AB60" s="3" t="n">
        <v>0</v>
      </c>
      <c r="AC60" s="32" t="n">
        <v>0</v>
      </c>
      <c r="AD60" s="3" t="n"/>
      <c r="AE60" s="31" t="n">
        <v>0</v>
      </c>
      <c r="AF60" s="2" t="n">
        <v>96</v>
      </c>
      <c r="AG60" s="2" t="n">
        <v>521</v>
      </c>
      <c r="AH60" s="4" t="n">
        <v>521</v>
      </c>
      <c r="AI60" s="33" t="n">
        <v>391.7</v>
      </c>
      <c r="AJ60" s="4" t="n">
        <v>30</v>
      </c>
      <c r="AK60" s="34" t="n">
        <v>0.0576</v>
      </c>
      <c r="AL60" s="34" t="n">
        <v>1</v>
      </c>
      <c r="AM60" s="2" t="n">
        <v>4000</v>
      </c>
    </row>
    <row r="61">
      <c r="A61">
        <f>HYPERLINK("https://www.walmart.com/ip/886441152", "886441152")</f>
        <v/>
      </c>
      <c r="B61">
        <f>HYPERLINK("https://app.optiwise.ai/catalog/itemdetails/361634", "Sun Blocker Unisex Sun Hat with Neck Flap Wide Brim Outdoor Camping Hiking Hunting Fishing Cap for Men Women, Tan")</f>
        <v/>
      </c>
      <c r="C61" t="n">
        <v>9</v>
      </c>
      <c r="D61" t="inlineStr">
        <is>
          <t>B78691_1639418_CD05A918645D4E2C</t>
        </is>
      </c>
      <c r="E61" t="inlineStr">
        <is>
          <t>KC-S9152-TN</t>
        </is>
      </c>
      <c r="F61" t="n">
        <v>248</v>
      </c>
      <c r="G61" t="inlineStr">
        <is>
          <t>Clothing</t>
        </is>
      </c>
      <c r="H61" t="inlineStr">
        <is>
          <t>Hats</t>
        </is>
      </c>
      <c r="I61" t="inlineStr">
        <is>
          <t>Tirrinia</t>
        </is>
      </c>
      <c r="J61" t="n">
        <v>4.7</v>
      </c>
      <c r="K61" t="inlineStr">
        <is>
          <t>Q2-Target,WFS,Hats,WFS Item</t>
        </is>
      </c>
      <c r="L61" s="29" t="n">
        <v>382.7400000000001</v>
      </c>
      <c r="M61" s="30" t="n">
        <v>0.0033</v>
      </c>
      <c r="N61" s="29" t="n">
        <v>46.96999931335449</v>
      </c>
      <c r="O61" s="29" t="n">
        <v>0</v>
      </c>
      <c r="P61" s="2" t="n">
        <v>23</v>
      </c>
      <c r="Q61" s="31" t="n">
        <v>33.10999999999999</v>
      </c>
      <c r="R61" s="32" t="n">
        <v>0.004</v>
      </c>
      <c r="S61" s="32" t="n">
        <v>0.08649999999999999</v>
      </c>
      <c r="T61" s="32" t="n">
        <v>0.1656</v>
      </c>
      <c r="U61" s="31" t="n">
        <v>2.84</v>
      </c>
      <c r="V61" s="32" t="n">
        <v>0.35</v>
      </c>
      <c r="W61" s="31" t="n">
        <v>93.94</v>
      </c>
      <c r="X61" s="31" t="n">
        <v>93.94</v>
      </c>
      <c r="Y61" s="3" t="n">
        <v>113887</v>
      </c>
      <c r="Z61" s="3" t="n">
        <v>154</v>
      </c>
      <c r="AA61" s="32" t="n">
        <v>0.0014</v>
      </c>
      <c r="AB61" s="3" t="n">
        <v>6</v>
      </c>
      <c r="AC61" s="32" t="n">
        <v>0.039</v>
      </c>
      <c r="AD61" s="3" t="inlineStr">
        <is>
          <t>Need to sell these SKUs by 15th Feb,,Auto for Top sale---Rachel,Auto Campaign_Vinay</t>
        </is>
      </c>
      <c r="AE61" s="31" t="n">
        <v>0.21</v>
      </c>
      <c r="AF61" s="2" t="n">
        <v>36</v>
      </c>
      <c r="AG61" s="2" t="n">
        <v>469</v>
      </c>
      <c r="AH61" s="4" t="n">
        <v>315</v>
      </c>
      <c r="AI61" s="33" t="n">
        <v>288.8000000000001</v>
      </c>
      <c r="AJ61" s="4" t="n">
        <v>17</v>
      </c>
      <c r="AK61" s="34" t="n">
        <v>0.054</v>
      </c>
      <c r="AL61" s="34" t="n">
        <v>0.7546</v>
      </c>
      <c r="AM61" s="2" t="n">
        <v>4865</v>
      </c>
    </row>
    <row r="62">
      <c r="A62">
        <f>HYPERLINK("https://www.walmart.com/ip/15386769738", "15386769738")</f>
        <v/>
      </c>
      <c r="B62">
        <f>HYPERLINK("https://app.optiwise.ai/catalog/itemdetails/20119642", "Catalonia Kids Waterproof Swim Parka with Hood, Windproof Fleece Swim Jacket, Warm Winter Swim Coat for Boys Girls Youth, Perfect for Swim Lessons, Beach, Pool")</f>
        <v/>
      </c>
      <c r="C62" t="n">
        <v>4</v>
      </c>
      <c r="D62" t="inlineStr">
        <is>
          <t>B78691_1683910_FA0A708E296CBCE0</t>
        </is>
      </c>
      <c r="E62" t="inlineStr">
        <is>
          <t>1CTPKR200BK-0</t>
        </is>
      </c>
      <c r="F62" t="n">
        <v>0</v>
      </c>
      <c r="G62" t="inlineStr">
        <is>
          <t>Clothing</t>
        </is>
      </c>
      <c r="H62" t="inlineStr">
        <is>
          <t>Swim Parkas</t>
        </is>
      </c>
      <c r="I62" t="inlineStr">
        <is>
          <t>Catalonia</t>
        </is>
      </c>
      <c r="L62" s="29" t="n">
        <v>359.94</v>
      </c>
      <c r="M62" s="30" t="n">
        <v>0.0031</v>
      </c>
      <c r="N62" s="29" t="n">
        <v>0</v>
      </c>
      <c r="O62" s="29" t="n">
        <v>0</v>
      </c>
      <c r="P62" s="2" t="n">
        <v>6</v>
      </c>
      <c r="Q62" s="31" t="n">
        <v>0</v>
      </c>
      <c r="R62" s="32" t="n"/>
      <c r="S62" s="32" t="n">
        <v>0</v>
      </c>
      <c r="T62" s="32" t="n">
        <v>0</v>
      </c>
      <c r="U62" s="31" t="n">
        <v>0</v>
      </c>
      <c r="V62" s="32" t="n">
        <v>0</v>
      </c>
      <c r="W62" s="31" t="n">
        <v>0</v>
      </c>
      <c r="X62" s="31" t="n">
        <v>0</v>
      </c>
      <c r="Y62" s="3" t="n">
        <v>0</v>
      </c>
      <c r="Z62" s="3" t="n">
        <v>0</v>
      </c>
      <c r="AA62" s="32" t="n">
        <v>0</v>
      </c>
      <c r="AB62" s="3" t="n">
        <v>0</v>
      </c>
      <c r="AC62" s="32" t="n">
        <v>0</v>
      </c>
      <c r="AD62" s="3" t="n"/>
      <c r="AE62" s="31" t="n">
        <v>0</v>
      </c>
      <c r="AF62" s="2" t="n">
        <v>0</v>
      </c>
      <c r="AG62" s="2" t="n">
        <v>0</v>
      </c>
      <c r="AH62" s="4" t="n">
        <v>0</v>
      </c>
      <c r="AI62" s="33" t="n">
        <v>359.94</v>
      </c>
      <c r="AJ62" s="4" t="n">
        <v>6</v>
      </c>
      <c r="AK62" s="34" t="n"/>
      <c r="AL62" s="34" t="n">
        <v>1</v>
      </c>
      <c r="AM62" s="2" t="n">
        <v>3577</v>
      </c>
    </row>
    <row r="63">
      <c r="A63">
        <f>HYPERLINK("https://www.walmart.com/ip/316798001", "316798001")</f>
        <v/>
      </c>
      <c r="B63">
        <f>HYPERLINK("https://app.optiwise.ai/catalog/itemdetails/362120", "Kato 6 Bottle Wine Carrier - Insulated Portable Wine Carry Cooler Tote Bag for Travel or Picnic, Perfect Wine Lover Gift, Black")</f>
        <v/>
      </c>
      <c r="C63" t="n">
        <v>5</v>
      </c>
      <c r="D63" t="inlineStr">
        <is>
          <t>B78691_1635612_748D020E1A408ADF</t>
        </is>
      </c>
      <c r="E63" t="inlineStr">
        <is>
          <t>1KTWB600BK</t>
        </is>
      </c>
      <c r="F63" t="n">
        <v>8</v>
      </c>
      <c r="G63" t="inlineStr">
        <is>
          <t>Home Decor, Kitchen, &amp; Other</t>
        </is>
      </c>
      <c r="H63" t="inlineStr">
        <is>
          <t>Wine Totes, Bags &amp; Backpacks</t>
        </is>
      </c>
      <c r="I63" t="inlineStr">
        <is>
          <t>Kato</t>
        </is>
      </c>
      <c r="J63" t="n">
        <v>3.8</v>
      </c>
      <c r="K63" t="inlineStr">
        <is>
          <t>Wine,Wine Bag Camp,Christmas,WFS,Wine WFS,Valentine,SEM,WFS Item</t>
        </is>
      </c>
      <c r="L63" s="29" t="n">
        <v>357.81</v>
      </c>
      <c r="M63" s="30" t="n">
        <v>0.0031</v>
      </c>
      <c r="N63" s="29" t="n">
        <v>55.96999931335449</v>
      </c>
      <c r="O63" s="29" t="n">
        <v>0</v>
      </c>
      <c r="P63" s="2" t="n">
        <v>17</v>
      </c>
      <c r="Q63" s="31" t="n">
        <v>69.38999999999999</v>
      </c>
      <c r="R63" s="32" t="n">
        <v>0.0083</v>
      </c>
      <c r="S63" s="32" t="n">
        <v>0.1939</v>
      </c>
      <c r="T63" s="32" t="n">
        <v>0.07340000000000001</v>
      </c>
      <c r="U63" s="31" t="n">
        <v>1.74</v>
      </c>
      <c r="V63" s="32" t="n">
        <v>0.57</v>
      </c>
      <c r="W63" s="31" t="n">
        <v>120.94</v>
      </c>
      <c r="X63" s="31" t="n">
        <v>120.94</v>
      </c>
      <c r="Y63" s="3" t="n">
        <v>83730</v>
      </c>
      <c r="Z63" s="3" t="n">
        <v>133</v>
      </c>
      <c r="AA63" s="32" t="n">
        <v>0.0016</v>
      </c>
      <c r="AB63" s="3" t="n">
        <v>6</v>
      </c>
      <c r="AC63" s="32" t="n">
        <v>0.0451</v>
      </c>
      <c r="AD63" s="3" t="inlineStr">
        <is>
          <t>Auto Campaign_Vinay,All Items_Auto_Optiwise_24</t>
        </is>
      </c>
      <c r="AE63" s="31" t="n">
        <v>0.52</v>
      </c>
      <c r="AF63" s="2" t="n">
        <v>18</v>
      </c>
      <c r="AG63" s="2" t="n">
        <v>292</v>
      </c>
      <c r="AH63" s="4" t="n">
        <v>159</v>
      </c>
      <c r="AI63" s="33" t="n">
        <v>236.87</v>
      </c>
      <c r="AJ63" s="4" t="n">
        <v>11</v>
      </c>
      <c r="AK63" s="34" t="n">
        <v>0.0692</v>
      </c>
      <c r="AL63" s="34" t="n">
        <v>0.662</v>
      </c>
      <c r="AM63" s="2" t="n">
        <v>2620</v>
      </c>
    </row>
    <row r="64">
      <c r="A64">
        <f>HYPERLINK("https://www.walmart.com/ip/277278833", "277278833")</f>
        <v/>
      </c>
      <c r="B64">
        <f>HYPERLINK("https://app.optiwise.ai/catalog/itemdetails/362629", "Catalonia Sherpa Fleece Blanket, 60”x50”, Reversible, Soft Warm Micro Plush Throws for Couch Multi-Color")</f>
        <v/>
      </c>
      <c r="C64" t="n">
        <v>5</v>
      </c>
      <c r="D64" t="inlineStr">
        <is>
          <t>B78691_1635785_9EA00D6CDF3AFA19</t>
        </is>
      </c>
      <c r="E64" t="inlineStr">
        <is>
          <t>1CTBF300PGN</t>
        </is>
      </c>
      <c r="F64" t="n">
        <v>86</v>
      </c>
      <c r="G64" t="inlineStr">
        <is>
          <t>Bedding</t>
        </is>
      </c>
      <c r="H64" t="inlineStr">
        <is>
          <t>Throws</t>
        </is>
      </c>
      <c r="I64" t="inlineStr">
        <is>
          <t>Catalonia</t>
        </is>
      </c>
      <c r="J64" t="n">
        <v>4.8</v>
      </c>
      <c r="K64" t="inlineStr">
        <is>
          <t>Q2-Target,Optimized,WFS,WFS Item,Fleece Blankets</t>
        </is>
      </c>
      <c r="L64" s="29" t="n">
        <v>351.72</v>
      </c>
      <c r="M64" s="30" t="n">
        <v>0.003</v>
      </c>
      <c r="N64" s="29" t="n">
        <v>19.98999977111816</v>
      </c>
      <c r="O64" s="29" t="n">
        <v>0</v>
      </c>
      <c r="P64" s="2" t="n">
        <v>28</v>
      </c>
      <c r="Q64" s="31" t="n">
        <v>40.97999999999999</v>
      </c>
      <c r="R64" s="32" t="n">
        <v>0.0049</v>
      </c>
      <c r="S64" s="32" t="n">
        <v>0.1165</v>
      </c>
      <c r="T64" s="32" t="n">
        <v>0.0389</v>
      </c>
      <c r="U64" s="31" t="n">
        <v>0.49</v>
      </c>
      <c r="V64" s="32" t="n">
        <v>2.05</v>
      </c>
      <c r="W64" s="31" t="n">
        <v>19.99</v>
      </c>
      <c r="X64" s="31" t="n">
        <v>19.99</v>
      </c>
      <c r="Y64" s="3" t="n">
        <v>56361</v>
      </c>
      <c r="Z64" s="3" t="n">
        <v>107</v>
      </c>
      <c r="AA64" s="32" t="n">
        <v>0.0019</v>
      </c>
      <c r="AB64" s="3" t="n">
        <v>1</v>
      </c>
      <c r="AC64" s="32" t="n">
        <v>0.009299999999999999</v>
      </c>
      <c r="AD64" s="3" t="inlineStr">
        <is>
          <t>,WFS Inventory</t>
        </is>
      </c>
      <c r="AE64" s="31" t="n">
        <v>0.38</v>
      </c>
      <c r="AF64" s="2" t="n">
        <v>186</v>
      </c>
      <c r="AG64" s="2" t="n">
        <v>382</v>
      </c>
      <c r="AH64" s="4" t="n">
        <v>275</v>
      </c>
      <c r="AI64" s="33" t="n">
        <v>331.73</v>
      </c>
      <c r="AJ64" s="4" t="n">
        <v>27</v>
      </c>
      <c r="AK64" s="34" t="n">
        <v>0.0982</v>
      </c>
      <c r="AL64" s="34" t="n">
        <v>0.9432</v>
      </c>
      <c r="AM64" s="2" t="n">
        <v>1615</v>
      </c>
    </row>
    <row r="65">
      <c r="A65">
        <f>HYPERLINK("https://www.walmart.com/ip/474593867", "474593867")</f>
        <v/>
      </c>
      <c r="B65">
        <f>HYPERLINK("https://app.optiwise.ai/catalog/itemdetails/358728", "Tirrinia Bedside Organizer Tray, Bamboo Floating Bedside Shelf Table for Bedrooms, Student Dorm, Bunk Beds")</f>
        <v/>
      </c>
      <c r="C65" t="inlineStr">
        <is>
          <t>-</t>
        </is>
      </c>
      <c r="E65" t="inlineStr">
        <is>
          <t>1TRSB120</t>
        </is>
      </c>
      <c r="F65" t="n">
        <v>9</v>
      </c>
      <c r="G65" t="inlineStr">
        <is>
          <t>Furniture</t>
        </is>
      </c>
      <c r="H65" t="inlineStr">
        <is>
          <t>Nightstands</t>
        </is>
      </c>
      <c r="I65" t="inlineStr">
        <is>
          <t>Tirrinia</t>
        </is>
      </c>
      <c r="J65" t="n">
        <v>4.9</v>
      </c>
      <c r="K65" t="inlineStr">
        <is>
          <t>Optimized,WFS,SEM,Wal-Exl-Price,WFS Item</t>
        </is>
      </c>
      <c r="L65" s="29" t="n">
        <v>343.88</v>
      </c>
      <c r="M65" s="30" t="n">
        <v>0.003</v>
      </c>
      <c r="N65" s="29" t="n">
        <v>65.98000335693359</v>
      </c>
      <c r="O65" s="29" t="n">
        <v>567.8200302124023</v>
      </c>
      <c r="P65" s="2" t="n">
        <v>10</v>
      </c>
      <c r="Q65" s="31" t="n">
        <v>44.68</v>
      </c>
      <c r="R65" s="32" t="n">
        <v>0.0054</v>
      </c>
      <c r="S65" s="32" t="n">
        <v>0.1299</v>
      </c>
      <c r="T65" s="32" t="n">
        <v>-8.849299999999999</v>
      </c>
      <c r="U65" s="31" t="n">
        <v>0.74</v>
      </c>
      <c r="V65" s="32" t="n">
        <v>1.35</v>
      </c>
      <c r="W65" s="31" t="n">
        <v>32.99</v>
      </c>
      <c r="X65" s="31" t="n">
        <v>32.99</v>
      </c>
      <c r="Y65" s="3" t="n">
        <v>39696</v>
      </c>
      <c r="Z65" s="3" t="n">
        <v>105</v>
      </c>
      <c r="AA65" s="32" t="n">
        <v>0.0026</v>
      </c>
      <c r="AB65" s="3" t="n">
        <v>1</v>
      </c>
      <c r="AC65" s="32" t="n">
        <v>0.0095</v>
      </c>
      <c r="AD65" s="3" t="inlineStr">
        <is>
          <t>Need to sell these SKUs by 15th Feb</t>
        </is>
      </c>
      <c r="AE65" s="31" t="n">
        <v>0.43</v>
      </c>
      <c r="AF65" s="2" t="n">
        <v>253</v>
      </c>
      <c r="AG65" s="2" t="n">
        <v>216</v>
      </c>
      <c r="AH65" s="4" t="n">
        <v>111</v>
      </c>
      <c r="AI65" s="33" t="n">
        <v>310.89</v>
      </c>
      <c r="AJ65" s="4" t="n">
        <v>9</v>
      </c>
      <c r="AK65" s="34" t="n">
        <v>0.08110000000000001</v>
      </c>
      <c r="AL65" s="34" t="n">
        <v>0.9041</v>
      </c>
      <c r="AM65" s="2" t="n">
        <v>1417</v>
      </c>
    </row>
    <row r="66">
      <c r="A66">
        <f>HYPERLINK("https://www.walmart.com/ip/15438174665", "15438174665")</f>
        <v/>
      </c>
      <c r="B66">
        <f>HYPERLINK("https://app.optiwise.ai/catalog/itemdetails/20125648", "Wrangler Men’s Bifold Wallet Genuine Leather, RFID Blocking, Casual Everyday 10-20 Cards Purse with AirTag Holder, Gift for Him")</f>
        <v/>
      </c>
      <c r="C66" t="n">
        <v>2</v>
      </c>
      <c r="D66" t="inlineStr">
        <is>
          <t>B78691_1683929_5C9BB2671E1E9004</t>
        </is>
      </c>
      <c r="E66" t="inlineStr">
        <is>
          <t>WR-WALLET-59007-BROWN</t>
        </is>
      </c>
      <c r="F66" t="n">
        <v>0</v>
      </c>
      <c r="G66" t="inlineStr">
        <is>
          <t>Cases &amp; Bags</t>
        </is>
      </c>
      <c r="H66" t="inlineStr">
        <is>
          <t>Wallets</t>
        </is>
      </c>
      <c r="I66" t="inlineStr">
        <is>
          <t>Wrangler</t>
        </is>
      </c>
      <c r="L66" s="29" t="n">
        <v>329.89</v>
      </c>
      <c r="M66" s="30" t="n">
        <v>0.0028</v>
      </c>
      <c r="N66" s="29" t="n">
        <v>59.97999954223633</v>
      </c>
      <c r="O66" s="29" t="n">
        <v>0</v>
      </c>
      <c r="P66" s="2" t="n">
        <v>11</v>
      </c>
      <c r="Q66" s="31" t="n">
        <v>0</v>
      </c>
      <c r="R66" s="32" t="n"/>
      <c r="S66" s="32" t="n">
        <v>0</v>
      </c>
      <c r="T66" s="32" t="n">
        <v>0</v>
      </c>
      <c r="U66" s="31" t="n">
        <v>0</v>
      </c>
      <c r="V66" s="32" t="n">
        <v>0</v>
      </c>
      <c r="W66" s="31" t="n">
        <v>0</v>
      </c>
      <c r="X66" s="31" t="n">
        <v>0</v>
      </c>
      <c r="Y66" s="3" t="n">
        <v>0</v>
      </c>
      <c r="Z66" s="3" t="n">
        <v>0</v>
      </c>
      <c r="AA66" s="32" t="n">
        <v>0</v>
      </c>
      <c r="AB66" s="3" t="n">
        <v>0</v>
      </c>
      <c r="AC66" s="32" t="n">
        <v>0</v>
      </c>
      <c r="AD66" s="3" t="n"/>
      <c r="AE66" s="31" t="n">
        <v>0</v>
      </c>
      <c r="AF66" s="2" t="n">
        <v>14</v>
      </c>
      <c r="AG66" s="2" t="n">
        <v>0</v>
      </c>
      <c r="AH66" s="4" t="n">
        <v>14</v>
      </c>
      <c r="AI66" s="33" t="n">
        <v>329.89</v>
      </c>
      <c r="AJ66" s="4" t="n">
        <v>11</v>
      </c>
      <c r="AK66" s="34" t="n">
        <v>0.7857</v>
      </c>
      <c r="AL66" s="34" t="n">
        <v>1</v>
      </c>
      <c r="AM66" s="2" t="n">
        <v>2454</v>
      </c>
    </row>
    <row r="67">
      <c r="A67">
        <f>HYPERLINK("https://www.walmart.com/ip/535137364", "535137364")</f>
        <v/>
      </c>
      <c r="B67">
        <f>HYPERLINK("https://app.optiwise.ai/catalog/itemdetails/360848", "Napa Plush  Throw Blanket Dark Blue, Twin 60x90, Striped Reversible Velvet Luxury Fleece Warm Bed Couch Blanket, Super Soft and Cozy")</f>
        <v/>
      </c>
      <c r="C67" t="n">
        <v>12</v>
      </c>
      <c r="D67" t="inlineStr">
        <is>
          <t>00742010036494</t>
        </is>
      </c>
      <c r="E67" t="inlineStr">
        <is>
          <t>K8030TW-DBL</t>
        </is>
      </c>
      <c r="F67" t="n">
        <v>26</v>
      </c>
      <c r="G67" t="inlineStr">
        <is>
          <t>Bedding</t>
        </is>
      </c>
      <c r="H67" t="inlineStr">
        <is>
          <t>Throws</t>
        </is>
      </c>
      <c r="I67" t="inlineStr">
        <is>
          <t>NAPA</t>
        </is>
      </c>
      <c r="J67" t="n">
        <v>4.799999999999999</v>
      </c>
      <c r="K67" t="inlineStr">
        <is>
          <t>Optimized,Coupon_Discount,cost-added</t>
        </is>
      </c>
      <c r="L67" s="29" t="n">
        <v>328.62</v>
      </c>
      <c r="M67" s="30" t="n">
        <v>0.0028</v>
      </c>
      <c r="N67" s="29" t="n">
        <v>18.98999977111816</v>
      </c>
      <c r="O67" s="29" t="n">
        <v>0</v>
      </c>
      <c r="P67" s="2" t="n">
        <v>21</v>
      </c>
      <c r="Q67" s="31" t="n">
        <v>7.300000000000001</v>
      </c>
      <c r="R67" s="32" t="n">
        <v>0.0009</v>
      </c>
      <c r="S67" s="32" t="n">
        <v>0.0222</v>
      </c>
      <c r="T67" s="32" t="n">
        <v>0.2421</v>
      </c>
      <c r="U67" s="31" t="n">
        <v>0</v>
      </c>
      <c r="V67" s="32" t="n">
        <v>0</v>
      </c>
      <c r="W67" s="31" t="n">
        <v>0</v>
      </c>
      <c r="X67" s="31" t="n">
        <v>0</v>
      </c>
      <c r="Y67" s="3" t="n">
        <v>6795</v>
      </c>
      <c r="Z67" s="3" t="n">
        <v>27</v>
      </c>
      <c r="AA67" s="32" t="n">
        <v>0.004</v>
      </c>
      <c r="AB67" s="3" t="n">
        <v>0</v>
      </c>
      <c r="AC67" s="32" t="n">
        <v>0</v>
      </c>
      <c r="AD67" s="3" t="inlineStr">
        <is>
          <t>,Throws_Auto_Optiwise_24</t>
        </is>
      </c>
      <c r="AE67" s="31" t="n">
        <v>0.27</v>
      </c>
      <c r="AF67" s="2" t="n">
        <v>50</v>
      </c>
      <c r="AG67" s="2" t="n">
        <v>114</v>
      </c>
      <c r="AH67" s="4" t="n">
        <v>87</v>
      </c>
      <c r="AI67" s="33" t="n">
        <v>328.62</v>
      </c>
      <c r="AJ67" s="4" t="n">
        <v>21</v>
      </c>
      <c r="AK67" s="34" t="n">
        <v>0.2414</v>
      </c>
      <c r="AL67" s="34" t="n">
        <v>1</v>
      </c>
      <c r="AM67" s="2" t="n">
        <v>5567</v>
      </c>
    </row>
    <row r="68">
      <c r="A68">
        <f>HYPERLINK("https://www.walmart.com/ip/980576375", "980576375")</f>
        <v/>
      </c>
      <c r="B68">
        <f>HYPERLINK("https://app.optiwise.ai/catalog/itemdetails/361274", "Large Dog Blanket, Super Soft Fluffy Sherpa Fleece Dog Couch Blankets and Throws for Large Medium  Small Dogs Puppy Doggy Pet Cats, Blue")</f>
        <v/>
      </c>
      <c r="C68" t="n">
        <v>9</v>
      </c>
      <c r="D68" t="inlineStr">
        <is>
          <t>B78691_1639242_A3A0763E80D87392</t>
        </is>
      </c>
      <c r="E68" t="inlineStr">
        <is>
          <t>1PSBF560BLLT</t>
        </is>
      </c>
      <c r="F68" t="n">
        <v>52</v>
      </c>
      <c r="G68" t="inlineStr">
        <is>
          <t>Animal Accessories</t>
        </is>
      </c>
      <c r="H68" t="inlineStr">
        <is>
          <t>Pet Blankets</t>
        </is>
      </c>
      <c r="I68" t="inlineStr">
        <is>
          <t>Pawsse</t>
        </is>
      </c>
      <c r="J68" t="n">
        <v>4.8</v>
      </c>
      <c r="K68" t="inlineStr">
        <is>
          <t>Q2-Target,Optimized,WFS,SEM,WFS Item</t>
        </is>
      </c>
      <c r="L68" s="29" t="n">
        <v>318.73</v>
      </c>
      <c r="M68" s="30" t="n">
        <v>0.0027</v>
      </c>
      <c r="N68" s="29" t="n">
        <v>0</v>
      </c>
      <c r="O68" s="29" t="n">
        <v>0</v>
      </c>
      <c r="P68" s="2" t="n">
        <v>19</v>
      </c>
      <c r="Q68" s="31" t="n">
        <v>67.69</v>
      </c>
      <c r="R68" s="32" t="n">
        <v>0.0081</v>
      </c>
      <c r="S68" s="32" t="n">
        <v>0.2124</v>
      </c>
      <c r="T68" s="32" t="n">
        <v>0.2179</v>
      </c>
      <c r="U68" s="31" t="n">
        <v>0.99</v>
      </c>
      <c r="V68" s="32" t="n">
        <v>1.01</v>
      </c>
      <c r="W68" s="31" t="n">
        <v>66.95</v>
      </c>
      <c r="X68" s="31" t="n">
        <v>34.97</v>
      </c>
      <c r="Y68" s="3" t="n">
        <v>267112</v>
      </c>
      <c r="Z68" s="3" t="n">
        <v>193</v>
      </c>
      <c r="AA68" s="32" t="n">
        <v>0.0007</v>
      </c>
      <c r="AB68" s="3" t="n">
        <v>4</v>
      </c>
      <c r="AC68" s="32" t="n">
        <v>0.0207</v>
      </c>
      <c r="AD68" s="3" t="inlineStr">
        <is>
          <t>Pet Blankets_Auto_Optiwise_24,,Auto for BW PET 2 ---Rachel</t>
        </is>
      </c>
      <c r="AE68" s="31" t="n">
        <v>0.35</v>
      </c>
      <c r="AF68" s="2" t="n">
        <v>99</v>
      </c>
      <c r="AG68" s="2" t="n">
        <v>284</v>
      </c>
      <c r="AH68" s="4" t="n">
        <v>91</v>
      </c>
      <c r="AI68" s="33" t="n">
        <v>251.78</v>
      </c>
      <c r="AJ68" s="4" t="n">
        <v>15</v>
      </c>
      <c r="AK68" s="34" t="n">
        <v>0.1648</v>
      </c>
      <c r="AL68" s="34" t="n">
        <v>0.7899</v>
      </c>
      <c r="AM68" s="2" t="n">
        <v>2977</v>
      </c>
    </row>
    <row r="69">
      <c r="A69">
        <f>HYPERLINK("https://www.walmart.com/ip/405691402", "405691402")</f>
        <v/>
      </c>
      <c r="B69">
        <f>HYPERLINK("https://app.optiwise.ai/catalog/itemdetails/359132", "Tirrinia Insulated Single Bottle Wine Gift Bags for Travel and Picnic, Padded Champagne Carrying Wine Bags for gifts, Blue Stripe Wine Bag")</f>
        <v/>
      </c>
      <c r="C69" t="n">
        <v>4</v>
      </c>
      <c r="D69" t="inlineStr">
        <is>
          <t>00711531927369</t>
        </is>
      </c>
      <c r="E69" t="inlineStr">
        <is>
          <t>1TRWB101STR</t>
        </is>
      </c>
      <c r="F69" t="n">
        <v>5</v>
      </c>
      <c r="G69" t="inlineStr">
        <is>
          <t>Home Decor, Kitchen, &amp; Other</t>
        </is>
      </c>
      <c r="H69" t="inlineStr">
        <is>
          <t>Wine Totes, Bags &amp; Backpacks</t>
        </is>
      </c>
      <c r="I69" t="inlineStr">
        <is>
          <t>Tirrinia</t>
        </is>
      </c>
      <c r="J69" t="n">
        <v>5</v>
      </c>
      <c r="K69" t="inlineStr">
        <is>
          <t>Wine,Wine Bag Camp,Christmas,WFS,Wine WFS,Valentine,SEM,WFS Item</t>
        </is>
      </c>
      <c r="L69" s="29" t="n">
        <v>315.84</v>
      </c>
      <c r="M69" s="30" t="n">
        <v>0.0027</v>
      </c>
      <c r="N69" s="29" t="n">
        <v>0</v>
      </c>
      <c r="O69" s="29" t="n">
        <v>0</v>
      </c>
      <c r="P69" s="2" t="n">
        <v>20</v>
      </c>
      <c r="Q69" s="31" t="n">
        <v>27.94</v>
      </c>
      <c r="R69" s="32" t="n">
        <v>0.0034</v>
      </c>
      <c r="S69" s="32" t="n">
        <v>0.0885</v>
      </c>
      <c r="T69" s="32" t="n">
        <v>0.0791</v>
      </c>
      <c r="U69" s="31" t="n">
        <v>4.36</v>
      </c>
      <c r="V69" s="32" t="n">
        <v>0.23</v>
      </c>
      <c r="W69" s="31" t="n">
        <v>121.92</v>
      </c>
      <c r="X69" s="31" t="n">
        <v>100.93</v>
      </c>
      <c r="Y69" s="3" t="n">
        <v>33988</v>
      </c>
      <c r="Z69" s="3" t="n">
        <v>57</v>
      </c>
      <c r="AA69" s="32" t="n">
        <v>0.0017</v>
      </c>
      <c r="AB69" s="3" t="n">
        <v>8</v>
      </c>
      <c r="AC69" s="32" t="n">
        <v>0.1404</v>
      </c>
      <c r="AD69" s="3" t="inlineStr">
        <is>
          <t>,Christmas Products_Optiwise,Need to sell these SKUs by 15th Feb,All Items_Auto_Optiwise_24,Auto Campaign_Vinay</t>
        </is>
      </c>
      <c r="AE69" s="31" t="n">
        <v>0.49</v>
      </c>
      <c r="AF69" s="2" t="n">
        <v>22</v>
      </c>
      <c r="AG69" s="2" t="n">
        <v>150</v>
      </c>
      <c r="AH69" s="4" t="n">
        <v>93</v>
      </c>
      <c r="AI69" s="33" t="n">
        <v>193.92</v>
      </c>
      <c r="AJ69" s="4" t="n">
        <v>12</v>
      </c>
      <c r="AK69" s="34" t="n">
        <v>0.129</v>
      </c>
      <c r="AL69" s="34" t="n">
        <v>0.614</v>
      </c>
      <c r="AM69" s="2" t="n">
        <v>2038</v>
      </c>
    </row>
    <row r="70">
      <c r="A70">
        <f>HYPERLINK("https://www.walmart.com/ip/883303950", "883303950")</f>
        <v/>
      </c>
      <c r="B70">
        <f>HYPERLINK("https://app.optiwise.ai/catalog/itemdetails/359123", "Tirrinia 6 Bottle Wine Cooler Bag - Insulated Padded Portable Versatile Wine Carrier Tote Bag for Travel, BYOB Restaurant, Wine Tasting, Party, Pecfect Gift for Wine Lover, Grey")</f>
        <v/>
      </c>
      <c r="C70" t="n">
        <v>6</v>
      </c>
      <c r="D70" t="inlineStr">
        <is>
          <t>B78691_1680845_49AC82604B12A611</t>
        </is>
      </c>
      <c r="E70" t="inlineStr">
        <is>
          <t>1TRWB602GY</t>
        </is>
      </c>
      <c r="F70" t="n">
        <v>5</v>
      </c>
      <c r="G70" t="inlineStr">
        <is>
          <t>Home Decor, Kitchen, &amp; Other</t>
        </is>
      </c>
      <c r="H70" t="inlineStr">
        <is>
          <t>Wine Totes, Bags &amp; Backpacks</t>
        </is>
      </c>
      <c r="I70" t="inlineStr">
        <is>
          <t>Tirrinia</t>
        </is>
      </c>
      <c r="J70" t="n">
        <v>5</v>
      </c>
      <c r="K70" t="inlineStr">
        <is>
          <t>Wine,Christmas,Optimized,WFS,Wine WFS,Valentine,SEM,WFS Item,Lily Brand Camp</t>
        </is>
      </c>
      <c r="L70" s="29" t="n">
        <v>312.85</v>
      </c>
      <c r="M70" s="30" t="n">
        <v>0.0027</v>
      </c>
      <c r="N70" s="29" t="n">
        <v>66.96999931335449</v>
      </c>
      <c r="O70" s="29" t="n">
        <v>0</v>
      </c>
      <c r="P70" s="2" t="n">
        <v>14</v>
      </c>
      <c r="Q70" s="31" t="n">
        <v>26.62</v>
      </c>
      <c r="R70" s="32" t="n">
        <v>0.0032</v>
      </c>
      <c r="S70" s="32" t="n">
        <v>0.0851</v>
      </c>
      <c r="T70" s="32" t="n">
        <v>0.0377</v>
      </c>
      <c r="U70" s="31" t="n">
        <v>7.13</v>
      </c>
      <c r="V70" s="32" t="n">
        <v>0.14</v>
      </c>
      <c r="W70" s="31" t="n">
        <v>189.91</v>
      </c>
      <c r="X70" s="31" t="n">
        <v>107.95</v>
      </c>
      <c r="Y70" s="3" t="n">
        <v>80656</v>
      </c>
      <c r="Z70" s="3" t="n">
        <v>70</v>
      </c>
      <c r="AA70" s="32" t="n">
        <v>0.0009</v>
      </c>
      <c r="AB70" s="3" t="n">
        <v>9</v>
      </c>
      <c r="AC70" s="32" t="n">
        <v>0.1286</v>
      </c>
      <c r="AD70" s="3" t="inlineStr">
        <is>
          <t>Auto Campaign_Vinay,,All Items_Auto_Optiwise_24</t>
        </is>
      </c>
      <c r="AE70" s="31" t="n">
        <v>0.38</v>
      </c>
      <c r="AF70" s="2" t="n">
        <v>66</v>
      </c>
      <c r="AG70" s="2" t="n">
        <v>263</v>
      </c>
      <c r="AH70" s="4" t="n">
        <v>193</v>
      </c>
      <c r="AI70" s="33" t="n">
        <v>122.94</v>
      </c>
      <c r="AJ70" s="4" t="n">
        <v>5</v>
      </c>
      <c r="AK70" s="34" t="n">
        <v>0.0259</v>
      </c>
      <c r="AL70" s="34" t="n">
        <v>0.393</v>
      </c>
      <c r="AM70" s="2" t="n">
        <v>3924</v>
      </c>
    </row>
    <row r="71">
      <c r="A71">
        <f>HYPERLINK("https://www.walmart.com/ip/959506124", "959506124")</f>
        <v/>
      </c>
      <c r="B71">
        <f>HYPERLINK("https://app.optiwise.ai/catalog/itemdetails/362793", "Catalonia Mermaid Tail Fleece Blanket for Teen Girls with Anti-slip Neck Strap and Wave Pattern, Soft Sleeping Bag for All Seasons, Pink, 66.5 x 22.5")</f>
        <v/>
      </c>
      <c r="C71" t="n">
        <v>10</v>
      </c>
      <c r="D71" t="inlineStr">
        <is>
          <t>B78691_1635838_B6CF31F1F87F8727</t>
        </is>
      </c>
      <c r="E71" t="inlineStr">
        <is>
          <t>1CTMM100PK-TPB</t>
        </is>
      </c>
      <c r="F71" t="n">
        <v>38</v>
      </c>
      <c r="G71" t="inlineStr">
        <is>
          <t>Bedding</t>
        </is>
      </c>
      <c r="H71" t="inlineStr">
        <is>
          <t>Throws</t>
        </is>
      </c>
      <c r="I71" t="inlineStr">
        <is>
          <t>Catalonia</t>
        </is>
      </c>
      <c r="J71" t="n">
        <v>3.899999999999999</v>
      </c>
      <c r="K71" t="inlineStr">
        <is>
          <t>Q2-Target,WFS,WFS Item</t>
        </is>
      </c>
      <c r="L71" s="29" t="n">
        <v>300.88</v>
      </c>
      <c r="M71" s="30" t="n">
        <v>0.0026</v>
      </c>
      <c r="N71" s="29" t="n">
        <v>143.9199981689453</v>
      </c>
      <c r="O71" s="29" t="n">
        <v>0</v>
      </c>
      <c r="P71" s="2" t="n">
        <v>11</v>
      </c>
      <c r="Q71" s="31" t="n">
        <v>49.76</v>
      </c>
      <c r="R71" s="32" t="n">
        <v>0.006</v>
      </c>
      <c r="S71" s="32" t="n">
        <v>0.1654</v>
      </c>
      <c r="T71" s="32" t="n">
        <v>0.1046</v>
      </c>
      <c r="U71" s="31" t="n">
        <v>2.69</v>
      </c>
      <c r="V71" s="32" t="n">
        <v>0.37</v>
      </c>
      <c r="W71" s="31" t="n">
        <v>133.93</v>
      </c>
      <c r="X71" s="31" t="n">
        <v>115.94</v>
      </c>
      <c r="Y71" s="3" t="n">
        <v>29923</v>
      </c>
      <c r="Z71" s="3" t="n">
        <v>113</v>
      </c>
      <c r="AA71" s="32" t="n">
        <v>0.0038</v>
      </c>
      <c r="AB71" s="3" t="n">
        <v>7</v>
      </c>
      <c r="AC71" s="32" t="n">
        <v>0.0619</v>
      </c>
      <c r="AD71" s="3" t="inlineStr">
        <is>
          <t>,All Items_Auto_Optiwise_24,Throws_Auto_Optiwise_24,Need to sell these SKUs by 15th Feb</t>
        </is>
      </c>
      <c r="AE71" s="31" t="n">
        <v>0.44</v>
      </c>
      <c r="AF71" s="2" t="n">
        <v>112</v>
      </c>
      <c r="AG71" s="2" t="n">
        <v>312</v>
      </c>
      <c r="AH71" s="4" t="n">
        <v>199</v>
      </c>
      <c r="AI71" s="33" t="n">
        <v>166.95</v>
      </c>
      <c r="AJ71" s="4" t="n">
        <v>4</v>
      </c>
      <c r="AK71" s="34" t="n">
        <v>0.0201</v>
      </c>
      <c r="AL71" s="34" t="n">
        <v>0.5548999999999999</v>
      </c>
      <c r="AM71" s="2" t="n">
        <v>3227</v>
      </c>
    </row>
    <row r="72">
      <c r="A72">
        <f>HYPERLINK("https://www.walmart.com/ip/5374435927", "5374435927")</f>
        <v/>
      </c>
      <c r="B72">
        <f>HYPERLINK("https://app.optiwise.ai/catalog/itemdetails/8055319", "Solaris Surf Poncho Changing Towel Robe for Women Men, Lightweight Changing Robe with Packable Bags, Water Absorbent Wetsuit Beach Hoode Towel for Surfing Swimming")</f>
        <v/>
      </c>
      <c r="C72" t="n">
        <v>3</v>
      </c>
      <c r="D72" t="inlineStr">
        <is>
          <t>B78691_1682470_766BEA1444069A08</t>
        </is>
      </c>
      <c r="E72" t="inlineStr">
        <is>
          <t>1SLBR103-GY</t>
        </is>
      </c>
      <c r="F72" t="n">
        <v>0</v>
      </c>
      <c r="G72" t="inlineStr">
        <is>
          <t>Home Decor, Kitchen, &amp; Other</t>
        </is>
      </c>
      <c r="H72" t="inlineStr">
        <is>
          <t>Towels &amp; Washcloths</t>
        </is>
      </c>
      <c r="I72" t="inlineStr">
        <is>
          <t>Solaris</t>
        </is>
      </c>
      <c r="L72" s="29" t="n">
        <v>297.87</v>
      </c>
      <c r="M72" s="30" t="n">
        <v>0.0026</v>
      </c>
      <c r="N72" s="29" t="n">
        <v>22.98999977111816</v>
      </c>
      <c r="O72" s="29" t="n">
        <v>22.98999977111816</v>
      </c>
      <c r="P72" s="2" t="n">
        <v>13</v>
      </c>
      <c r="Q72" s="31" t="n">
        <v>15.48</v>
      </c>
      <c r="R72" s="32" t="n">
        <v>0.0019</v>
      </c>
      <c r="S72" s="32" t="n">
        <v>0.052</v>
      </c>
      <c r="T72" s="32" t="n">
        <v>0</v>
      </c>
      <c r="U72" s="31" t="n">
        <v>8.91</v>
      </c>
      <c r="V72" s="32" t="n">
        <v>0.11</v>
      </c>
      <c r="W72" s="31" t="n">
        <v>137.94</v>
      </c>
      <c r="X72" s="31" t="n">
        <v>137.94</v>
      </c>
      <c r="Y72" s="3" t="n">
        <v>4912</v>
      </c>
      <c r="Z72" s="3" t="n">
        <v>53</v>
      </c>
      <c r="AA72" s="32" t="n">
        <v>0.0108</v>
      </c>
      <c r="AB72" s="3" t="n">
        <v>6</v>
      </c>
      <c r="AC72" s="32" t="n">
        <v>0.1132</v>
      </c>
      <c r="AD72" s="3" t="inlineStr">
        <is>
          <t>Need to sell these SKUs by 15th Feb,</t>
        </is>
      </c>
      <c r="AE72" s="31" t="n">
        <v>0.29</v>
      </c>
      <c r="AF72" s="2" t="n">
        <v>15</v>
      </c>
      <c r="AG72" s="2" t="n">
        <v>248</v>
      </c>
      <c r="AH72" s="4" t="n">
        <v>195</v>
      </c>
      <c r="AI72" s="33" t="n">
        <v>159.93</v>
      </c>
      <c r="AJ72" s="4" t="n">
        <v>7</v>
      </c>
      <c r="AK72" s="34" t="n">
        <v>0.0359</v>
      </c>
      <c r="AL72" s="34" t="n">
        <v>0.5369</v>
      </c>
      <c r="AM72" s="2" t="n">
        <v>3115</v>
      </c>
    </row>
    <row r="73">
      <c r="A73">
        <f>HYPERLINK("https://www.walmart.com/ip/415701197", "415701197")</f>
        <v/>
      </c>
      <c r="B73">
        <f>HYPERLINK("https://app.optiwise.ai/catalog/itemdetails/362581", "Solaris Sun Hats UV Protection Wide Brim Hat Unisex Adult Multicolor")</f>
        <v/>
      </c>
      <c r="C73" t="n">
        <v>10</v>
      </c>
      <c r="D73" t="inlineStr">
        <is>
          <t>B78691_1681724_A4303B3B8850C7E0</t>
        </is>
      </c>
      <c r="E73" t="inlineStr">
        <is>
          <t>1SLSH910GN</t>
        </is>
      </c>
      <c r="F73" t="n">
        <v>76</v>
      </c>
      <c r="G73" t="inlineStr">
        <is>
          <t>Clothing</t>
        </is>
      </c>
      <c r="H73" t="inlineStr">
        <is>
          <t>Hats</t>
        </is>
      </c>
      <c r="I73" t="inlineStr">
        <is>
          <t>Solaris</t>
        </is>
      </c>
      <c r="J73" t="n">
        <v>4.5</v>
      </c>
      <c r="K73" t="inlineStr">
        <is>
          <t>Hats,Batch 1 - TR</t>
        </is>
      </c>
      <c r="L73" s="29" t="n">
        <v>296.43</v>
      </c>
      <c r="M73" s="30" t="n">
        <v>0.0026</v>
      </c>
      <c r="N73" s="29" t="n">
        <v>56.95999908447266</v>
      </c>
      <c r="O73" s="29" t="n">
        <v>0</v>
      </c>
      <c r="P73" s="2" t="n">
        <v>16</v>
      </c>
      <c r="Q73" s="31" t="n">
        <v>0.9299999999999999</v>
      </c>
      <c r="R73" s="32" t="n">
        <v>0.0001</v>
      </c>
      <c r="S73" s="32" t="n">
        <v>0.0031</v>
      </c>
      <c r="T73" s="32" t="n">
        <v>0.2375</v>
      </c>
      <c r="U73" s="31" t="n">
        <v>0</v>
      </c>
      <c r="V73" s="32" t="n">
        <v>0</v>
      </c>
      <c r="W73" s="31" t="n">
        <v>0</v>
      </c>
      <c r="X73" s="31" t="n">
        <v>0</v>
      </c>
      <c r="Y73" s="3" t="n">
        <v>1173</v>
      </c>
      <c r="Z73" s="3" t="n">
        <v>3</v>
      </c>
      <c r="AA73" s="32" t="n">
        <v>0.0026</v>
      </c>
      <c r="AB73" s="3" t="n">
        <v>0</v>
      </c>
      <c r="AC73" s="32" t="n">
        <v>0</v>
      </c>
      <c r="AD73" s="3" t="inlineStr">
        <is>
          <t>,Need to sell these SKUs by 15th Feb</t>
        </is>
      </c>
      <c r="AE73" s="31" t="n">
        <v>0.31</v>
      </c>
      <c r="AF73" s="2" t="n">
        <v>4</v>
      </c>
      <c r="AG73" s="2" t="n">
        <v>273</v>
      </c>
      <c r="AH73" s="4" t="n">
        <v>270</v>
      </c>
      <c r="AI73" s="33" t="n">
        <v>296.43</v>
      </c>
      <c r="AJ73" s="4" t="n">
        <v>16</v>
      </c>
      <c r="AK73" s="34" t="n">
        <v>0.0593</v>
      </c>
      <c r="AL73" s="34" t="n">
        <v>1</v>
      </c>
      <c r="AM73" s="2" t="n">
        <v>6792</v>
      </c>
    </row>
    <row r="74">
      <c r="A74">
        <f>HYPERLINK("https://www.walmart.com/ip/1324704566", "1324704566")</f>
        <v/>
      </c>
      <c r="B74">
        <f>HYPERLINK("https://app.optiwise.ai/catalog/itemdetails/6057900", "Tirrinia Wearable Blanket with Feet Pockets for Women and Men, Fleece Blanket with Zippered Front Pocket, Super Soft Lightweight Car Pillow, One Size Fits All, Dark blue")</f>
        <v/>
      </c>
      <c r="C74" t="n">
        <v>6</v>
      </c>
      <c r="D74" t="inlineStr">
        <is>
          <t>B78691_1679374_F332DF536F97D28B</t>
        </is>
      </c>
      <c r="E74" t="inlineStr">
        <is>
          <t>1TRTB102DBL</t>
        </is>
      </c>
      <c r="F74" t="n">
        <v>4</v>
      </c>
      <c r="G74" t="inlineStr">
        <is>
          <t>Bedding</t>
        </is>
      </c>
      <c r="H74" t="inlineStr">
        <is>
          <t>Throws</t>
        </is>
      </c>
      <c r="I74" t="inlineStr">
        <is>
          <t>Tirrinia</t>
        </is>
      </c>
      <c r="J74" t="n">
        <v>3.8</v>
      </c>
      <c r="L74" s="29" t="n">
        <v>285.84</v>
      </c>
      <c r="M74" s="30" t="n">
        <v>0.0025</v>
      </c>
      <c r="N74" s="29" t="n">
        <v>90.94999885559082</v>
      </c>
      <c r="O74" s="29" t="n">
        <v>0</v>
      </c>
      <c r="P74" s="2" t="n">
        <v>16</v>
      </c>
      <c r="Q74" s="31" t="n">
        <v>0</v>
      </c>
      <c r="R74" s="32" t="n"/>
      <c r="S74" s="32" t="n">
        <v>0</v>
      </c>
      <c r="T74" s="32" t="n">
        <v>0</v>
      </c>
      <c r="U74" s="31" t="n">
        <v>0</v>
      </c>
      <c r="V74" s="32" t="n">
        <v>0</v>
      </c>
      <c r="W74" s="31" t="n">
        <v>0</v>
      </c>
      <c r="X74" s="31" t="n">
        <v>0</v>
      </c>
      <c r="Y74" s="3" t="n">
        <v>0</v>
      </c>
      <c r="Z74" s="3" t="n">
        <v>0</v>
      </c>
      <c r="AA74" s="32" t="n">
        <v>0</v>
      </c>
      <c r="AB74" s="3" t="n">
        <v>0</v>
      </c>
      <c r="AC74" s="32" t="n">
        <v>0</v>
      </c>
      <c r="AD74" s="3" t="n"/>
      <c r="AE74" s="31" t="n">
        <v>0</v>
      </c>
      <c r="AF74" s="2" t="n">
        <v>84</v>
      </c>
      <c r="AG74" s="2" t="n">
        <v>120</v>
      </c>
      <c r="AH74" s="4" t="n">
        <v>120</v>
      </c>
      <c r="AI74" s="33" t="n">
        <v>285.84</v>
      </c>
      <c r="AJ74" s="4" t="n">
        <v>16</v>
      </c>
      <c r="AK74" s="34" t="n">
        <v>0.1333</v>
      </c>
      <c r="AL74" s="34" t="n">
        <v>1</v>
      </c>
      <c r="AM74" s="2" t="n">
        <v>750</v>
      </c>
    </row>
    <row r="75">
      <c r="A75">
        <f>HYPERLINK("https://www.walmart.com/ip/1189650495", "1189650495")</f>
        <v/>
      </c>
      <c r="B75">
        <f>HYPERLINK("https://app.optiwise.ai/catalog/itemdetails/6059370", "Tirrinia Indoor/Outdoor Blanket, Foldable Picnic Blanket, Waterproof Blanket for Sand and Grass picnics, Green Camouflage, 50 x 60")</f>
        <v/>
      </c>
      <c r="C75" t="n">
        <v>2</v>
      </c>
      <c r="D75" t="inlineStr">
        <is>
          <t>B78691_1682025_A28773BE64C1CAD3</t>
        </is>
      </c>
      <c r="E75" t="inlineStr">
        <is>
          <t>1TRBW00156GNCAMO</t>
        </is>
      </c>
      <c r="F75" t="n">
        <v>1</v>
      </c>
      <c r="G75" t="inlineStr">
        <is>
          <t>Sport &amp; Recreation Other</t>
        </is>
      </c>
      <c r="H75" t="inlineStr">
        <is>
          <t>Picnic Blankets &amp; Mats</t>
        </is>
      </c>
      <c r="I75" t="inlineStr">
        <is>
          <t>Tirrinia</t>
        </is>
      </c>
      <c r="J75" t="n">
        <v>5</v>
      </c>
      <c r="K75" t="inlineStr">
        <is>
          <t>Wproof Blanket</t>
        </is>
      </c>
      <c r="L75" s="29" t="n">
        <v>275.88</v>
      </c>
      <c r="M75" s="30" t="n">
        <v>0.0024</v>
      </c>
      <c r="N75" s="29" t="n">
        <v>24.98999977111816</v>
      </c>
      <c r="O75" s="29" t="n">
        <v>22.98999977111816</v>
      </c>
      <c r="P75" s="2" t="n">
        <v>11</v>
      </c>
      <c r="Q75" s="31" t="n">
        <v>0</v>
      </c>
      <c r="R75" s="32" t="n"/>
      <c r="S75" s="32" t="n">
        <v>0</v>
      </c>
      <c r="T75" s="32" t="n">
        <v>0</v>
      </c>
      <c r="U75" s="31" t="n">
        <v>0</v>
      </c>
      <c r="V75" s="32" t="n">
        <v>0</v>
      </c>
      <c r="W75" s="31" t="n">
        <v>0</v>
      </c>
      <c r="X75" s="31" t="n">
        <v>0</v>
      </c>
      <c r="Y75" s="3" t="n">
        <v>0</v>
      </c>
      <c r="Z75" s="3" t="n">
        <v>0</v>
      </c>
      <c r="AA75" s="32" t="n">
        <v>0</v>
      </c>
      <c r="AB75" s="3" t="n">
        <v>0</v>
      </c>
      <c r="AC75" s="32" t="n">
        <v>0</v>
      </c>
      <c r="AD75" s="3" t="n"/>
      <c r="AE75" s="31" t="n">
        <v>0</v>
      </c>
      <c r="AF75" s="2" t="n">
        <v>16</v>
      </c>
      <c r="AG75" s="2" t="n">
        <v>132</v>
      </c>
      <c r="AH75" s="4" t="n">
        <v>132</v>
      </c>
      <c r="AI75" s="33" t="n">
        <v>275.88</v>
      </c>
      <c r="AJ75" s="4" t="n">
        <v>11</v>
      </c>
      <c r="AK75" s="34" t="n">
        <v>0.0833</v>
      </c>
      <c r="AL75" s="34" t="n">
        <v>1</v>
      </c>
      <c r="AM75" s="2" t="n">
        <v>2454</v>
      </c>
    </row>
    <row r="76">
      <c r="A76">
        <f>HYPERLINK("https://www.walmart.com/ip/619650652", "619650652")</f>
        <v/>
      </c>
      <c r="B76">
        <f>HYPERLINK("https://app.optiwise.ai/catalog/itemdetails/362159", "Tirrinia Insulated Wine Carrier Tote - Travel Padded 2 Bottle Wine/ Champagne Cooler Bag with Handle and Adjustable Shoulder Strap, Great Wine Lover Gift, Olive")</f>
        <v/>
      </c>
      <c r="C76" t="n">
        <v>4</v>
      </c>
      <c r="D76" t="inlineStr">
        <is>
          <t>B78691_1682018_982A3161E92E0531</t>
        </is>
      </c>
      <c r="E76" t="inlineStr">
        <is>
          <t>1TRWB211OL</t>
        </is>
      </c>
      <c r="F76" t="n">
        <v>9</v>
      </c>
      <c r="G76" t="inlineStr">
        <is>
          <t>Home Decor, Kitchen, &amp; Other</t>
        </is>
      </c>
      <c r="H76" t="inlineStr">
        <is>
          <t>Wine Totes, Bags &amp; Backpacks</t>
        </is>
      </c>
      <c r="I76" t="inlineStr">
        <is>
          <t>Tirrinia</t>
        </is>
      </c>
      <c r="J76" t="n">
        <v>4.9</v>
      </c>
      <c r="K76" t="inlineStr">
        <is>
          <t>Wine,Christmas,Valentine,Lily Brand Camp</t>
        </is>
      </c>
      <c r="L76" s="29" t="n">
        <v>265.84</v>
      </c>
      <c r="M76" s="30" t="n">
        <v>0.0023</v>
      </c>
      <c r="N76" s="29" t="n">
        <v>35.97999954223633</v>
      </c>
      <c r="O76" s="29" t="n">
        <v>24.97999954223633</v>
      </c>
      <c r="P76" s="2" t="n">
        <v>14</v>
      </c>
      <c r="Q76" s="31" t="n">
        <v>30.49000000000001</v>
      </c>
      <c r="R76" s="32" t="n">
        <v>0.0037</v>
      </c>
      <c r="S76" s="32" t="n">
        <v>0.1147</v>
      </c>
      <c r="T76" s="32" t="n">
        <v>0.0489</v>
      </c>
      <c r="U76" s="31" t="n">
        <v>3.08</v>
      </c>
      <c r="V76" s="32" t="n">
        <v>0.32</v>
      </c>
      <c r="W76" s="31" t="n">
        <v>93.94999999999999</v>
      </c>
      <c r="X76" s="31" t="n">
        <v>71.95999999999999</v>
      </c>
      <c r="Y76" s="3" t="n">
        <v>48447</v>
      </c>
      <c r="Z76" s="3" t="n">
        <v>76</v>
      </c>
      <c r="AA76" s="32" t="n">
        <v>0.0016</v>
      </c>
      <c r="AB76" s="3" t="n">
        <v>5</v>
      </c>
      <c r="AC76" s="32" t="n">
        <v>0.0658</v>
      </c>
      <c r="AD76" s="3" t="inlineStr">
        <is>
          <t>Auto Campaign_Vinay,</t>
        </is>
      </c>
      <c r="AE76" s="31" t="n">
        <v>0.4</v>
      </c>
      <c r="AF76" s="2" t="n">
        <v>173</v>
      </c>
      <c r="AG76" s="2" t="n">
        <v>240</v>
      </c>
      <c r="AH76" s="4" t="n">
        <v>164</v>
      </c>
      <c r="AI76" s="33" t="n">
        <v>171.89</v>
      </c>
      <c r="AJ76" s="4" t="n">
        <v>9</v>
      </c>
      <c r="AK76" s="34" t="n">
        <v>0.0549</v>
      </c>
      <c r="AL76" s="34" t="n">
        <v>0.6466</v>
      </c>
      <c r="AM76" s="2" t="n">
        <v>964</v>
      </c>
    </row>
    <row r="77">
      <c r="A77">
        <f>HYPERLINK("https://www.walmart.com/ip/390764991", "390764991")</f>
        <v/>
      </c>
      <c r="B77">
        <f>HYPERLINK("https://app.optiwise.ai/catalog/itemdetails/360340", "Tirrinia Sand-Free Beach Blanket for 7 Adults, Portable Blanket for Camping, Hiking and Picnic, Set Includes 7 Sand Pockets, 8 Stakes, &amp; 1 Inflatable Pillow")</f>
        <v/>
      </c>
      <c r="C77" t="n">
        <v>1</v>
      </c>
      <c r="D77" t="inlineStr">
        <is>
          <t>B78691_1680799_AB1D26FE848288A6</t>
        </is>
      </c>
      <c r="E77" t="inlineStr">
        <is>
          <t>1WMBM109-BLGY</t>
        </is>
      </c>
      <c r="F77" t="n">
        <v>7</v>
      </c>
      <c r="G77" t="inlineStr">
        <is>
          <t>Sport &amp; Recreation Other</t>
        </is>
      </c>
      <c r="H77" t="inlineStr">
        <is>
          <t>Picnic Blankets &amp; Mats</t>
        </is>
      </c>
      <c r="I77" t="inlineStr">
        <is>
          <t>Tirrinia</t>
        </is>
      </c>
      <c r="J77" t="n">
        <v>4.7</v>
      </c>
      <c r="K77" t="inlineStr">
        <is>
          <t>Q2-Target,Optimized,WFS,SEM,WFS Item</t>
        </is>
      </c>
      <c r="L77" s="29" t="n">
        <v>251.91</v>
      </c>
      <c r="M77" s="30" t="n">
        <v>0.0022</v>
      </c>
      <c r="N77" s="29" t="n">
        <v>195.9299983978271</v>
      </c>
      <c r="O77" s="29" t="n">
        <v>0</v>
      </c>
      <c r="P77" s="2" t="n">
        <v>9</v>
      </c>
      <c r="Q77" s="31" t="n">
        <v>106.02</v>
      </c>
      <c r="R77" s="32" t="n">
        <v>0.0127</v>
      </c>
      <c r="S77" s="32" t="n">
        <v>0.4209</v>
      </c>
      <c r="T77" s="32" t="n">
        <v>0</v>
      </c>
      <c r="U77" s="31" t="n">
        <v>1.85</v>
      </c>
      <c r="V77" s="32" t="n">
        <v>0.54</v>
      </c>
      <c r="W77" s="31" t="n">
        <v>195.93</v>
      </c>
      <c r="X77" s="31" t="n">
        <v>195.93</v>
      </c>
      <c r="Y77" s="3" t="n">
        <v>73246</v>
      </c>
      <c r="Z77" s="3" t="n">
        <v>252</v>
      </c>
      <c r="AA77" s="32" t="n">
        <v>0.0034</v>
      </c>
      <c r="AB77" s="3" t="n">
        <v>7</v>
      </c>
      <c r="AC77" s="32" t="n">
        <v>0.0278</v>
      </c>
      <c r="AD77" s="3" t="inlineStr">
        <is>
          <t>1WMBM109-BLGY,Auto for Top sale---Rachel</t>
        </is>
      </c>
      <c r="AE77" s="31" t="n">
        <v>0.42</v>
      </c>
      <c r="AF77" s="2" t="n">
        <v>119</v>
      </c>
      <c r="AG77" s="2" t="n">
        <v>127</v>
      </c>
      <c r="AH77" s="4" t="inlineStr">
        <is>
          <t>NA</t>
        </is>
      </c>
      <c r="AI77" s="33" t="n">
        <v>55.97999999999999</v>
      </c>
      <c r="AJ77" s="4" t="n">
        <v>2</v>
      </c>
      <c r="AK77" s="34" t="inlineStr">
        <is>
          <t>NA</t>
        </is>
      </c>
      <c r="AL77" s="34" t="n">
        <v>0.2222</v>
      </c>
      <c r="AM77" s="2" t="n">
        <v>1740</v>
      </c>
    </row>
    <row r="78">
      <c r="A78">
        <f>HYPERLINK("https://www.walmart.com/ip/340135878", "340135878")</f>
        <v/>
      </c>
      <c r="B78">
        <f>HYPERLINK("https://app.optiwise.ai/catalog/itemdetails/362296", "Beige Buffalo Plaid Decorative Throw TV Sherpa Blanket, Soft, Warm, Comfy, Plush Fleece for Bedding, Couch and Cabin, Gray Throw Blanket, 50 x 60.")</f>
        <v/>
      </c>
      <c r="C78" t="n">
        <v>5</v>
      </c>
      <c r="D78" t="inlineStr">
        <is>
          <t>08011517445194</t>
        </is>
      </c>
      <c r="E78" t="inlineStr">
        <is>
          <t>1CTBF569PBG</t>
        </is>
      </c>
      <c r="F78" t="n">
        <v>10</v>
      </c>
      <c r="G78" t="inlineStr">
        <is>
          <t>Bedding</t>
        </is>
      </c>
      <c r="H78" t="inlineStr">
        <is>
          <t>Throws</t>
        </is>
      </c>
      <c r="I78" t="inlineStr">
        <is>
          <t>Catalonia</t>
        </is>
      </c>
      <c r="J78" t="n">
        <v>4.8</v>
      </c>
      <c r="K78" t="inlineStr">
        <is>
          <t>Q2-Target,WFS,Coupon_Discount,WFS Item</t>
        </is>
      </c>
      <c r="L78" s="29" t="n">
        <v>249.84</v>
      </c>
      <c r="M78" s="30" t="n">
        <v>0.0022</v>
      </c>
      <c r="N78" s="29" t="n">
        <v>14.98999977111816</v>
      </c>
      <c r="O78" s="29" t="n">
        <v>0</v>
      </c>
      <c r="P78" s="2" t="n">
        <v>15</v>
      </c>
      <c r="Q78" s="31" t="n">
        <v>77.48999999999998</v>
      </c>
      <c r="R78" s="32" t="n">
        <v>0.009299999999999999</v>
      </c>
      <c r="S78" s="32" t="n">
        <v>0.3102</v>
      </c>
      <c r="T78" s="32" t="n">
        <v>0</v>
      </c>
      <c r="U78" s="31" t="n">
        <v>1.26</v>
      </c>
      <c r="V78" s="32" t="n">
        <v>0.79</v>
      </c>
      <c r="W78" s="31" t="n">
        <v>97.93999999999998</v>
      </c>
      <c r="X78" s="31" t="n">
        <v>97.93999999999998</v>
      </c>
      <c r="Y78" s="3" t="n">
        <v>185134</v>
      </c>
      <c r="Z78" s="3" t="n">
        <v>212</v>
      </c>
      <c r="AA78" s="32" t="n">
        <v>0.0011</v>
      </c>
      <c r="AB78" s="3" t="n">
        <v>6</v>
      </c>
      <c r="AC78" s="32" t="n">
        <v>0.0283</v>
      </c>
      <c r="AD78" s="3" t="inlineStr">
        <is>
          <t>,Need to sell these SKUs by 15th Feb</t>
        </is>
      </c>
      <c r="AE78" s="31" t="n">
        <v>0.37</v>
      </c>
      <c r="AF78" s="2" t="n">
        <v>152</v>
      </c>
      <c r="AG78" s="2" t="n">
        <v>295</v>
      </c>
      <c r="AH78" s="4" t="n">
        <v>83</v>
      </c>
      <c r="AI78" s="33" t="n">
        <v>151.9</v>
      </c>
      <c r="AJ78" s="4" t="n">
        <v>9</v>
      </c>
      <c r="AK78" s="34" t="n">
        <v>0.1084</v>
      </c>
      <c r="AL78" s="34" t="n">
        <v>0.608</v>
      </c>
      <c r="AM78" s="2" t="n">
        <v>927</v>
      </c>
    </row>
    <row r="79">
      <c r="A79">
        <f>HYPERLINK("https://www.walmart.com/ip/568672180", "568672180")</f>
        <v/>
      </c>
      <c r="B79">
        <f>HYPERLINK("https://app.optiwise.ai/catalog/itemdetails/418775", "Kritter Planet Waterproof Dog Blanket for Couch, Washable Pet Couch Cover, Non-slip Bed Sofa Furniture Protector Mat, 60''x50'', Navy")</f>
        <v/>
      </c>
      <c r="C79" t="n">
        <v>2</v>
      </c>
      <c r="D79" t="inlineStr">
        <is>
          <t>B78691_1681133_4CBCDC9B6357053F</t>
        </is>
      </c>
      <c r="E79" t="inlineStr">
        <is>
          <t>1KPBW566NY</t>
        </is>
      </c>
      <c r="F79" t="n">
        <v>25</v>
      </c>
      <c r="G79" t="inlineStr">
        <is>
          <t>Animal Accessories</t>
        </is>
      </c>
      <c r="H79" t="inlineStr">
        <is>
          <t>Pet Blankets</t>
        </is>
      </c>
      <c r="I79" t="inlineStr">
        <is>
          <t>Kritter Planet</t>
        </is>
      </c>
      <c r="J79" t="n">
        <v>4.1</v>
      </c>
      <c r="K79" t="inlineStr">
        <is>
          <t>SEM,Batch 1 - TR</t>
        </is>
      </c>
      <c r="L79" s="29" t="n">
        <v>246.87</v>
      </c>
      <c r="M79" s="30" t="n">
        <v>0.0021</v>
      </c>
      <c r="N79" s="29" t="n">
        <v>39.97999954223633</v>
      </c>
      <c r="O79" s="29" t="n">
        <v>0</v>
      </c>
      <c r="P79" s="2" t="n">
        <v>12</v>
      </c>
      <c r="Q79" s="31" t="n">
        <v>74.30999999999999</v>
      </c>
      <c r="R79" s="32" t="n">
        <v>0.0089</v>
      </c>
      <c r="S79" s="32" t="n">
        <v>0.301</v>
      </c>
      <c r="T79" s="32" t="n">
        <v>0.0089</v>
      </c>
      <c r="U79" s="31" t="n">
        <v>3.95</v>
      </c>
      <c r="V79" s="32" t="n">
        <v>0.25</v>
      </c>
      <c r="W79" s="31" t="n">
        <v>293.86</v>
      </c>
      <c r="X79" s="31" t="n">
        <v>267.8699999999999</v>
      </c>
      <c r="Y79" s="3" t="n">
        <v>126756</v>
      </c>
      <c r="Z79" s="3" t="n">
        <v>190</v>
      </c>
      <c r="AA79" s="32" t="n">
        <v>0.0015</v>
      </c>
      <c r="AB79" s="3" t="n">
        <v>14</v>
      </c>
      <c r="AC79" s="32" t="n">
        <v>0.0737</v>
      </c>
      <c r="AD79" s="3" t="inlineStr">
        <is>
          <t>Auto for BW PET 2 ---Rachel,Pet Blankets_Auto_Optiwise_24</t>
        </is>
      </c>
      <c r="AE79" s="31" t="n">
        <v>0.39</v>
      </c>
      <c r="AF79" s="2" t="n">
        <v>74</v>
      </c>
      <c r="AG79" s="2" t="n">
        <v>164</v>
      </c>
      <c r="AH79" s="4" t="inlineStr">
        <is>
          <t>NA</t>
        </is>
      </c>
      <c r="AI79" s="33" t="n">
        <v>-46.98999999999995</v>
      </c>
      <c r="AJ79" s="4" t="n">
        <v>-2</v>
      </c>
      <c r="AK79" s="34" t="inlineStr">
        <is>
          <t>NA</t>
        </is>
      </c>
      <c r="AL79" s="34" t="n">
        <v>-0.1903</v>
      </c>
      <c r="AM79" s="2" t="n">
        <v>2272</v>
      </c>
    </row>
    <row r="80">
      <c r="A80">
        <f>HYPERLINK("https://www.walmart.com/ip/440878931", "440878931")</f>
        <v/>
      </c>
      <c r="B80">
        <f>HYPERLINK("https://app.optiwise.ai/catalog/itemdetails/360302", "Catalonia Sherpa Blanket for Bed, Super Soft Fleece Plush Sofa Couch Throw Blanket, TV Bed Blanket, Comfy Cozy Fluffy Warm Comforter, Caring Gift(Grey,60x80 inches)")</f>
        <v/>
      </c>
      <c r="C80" t="n">
        <v>10</v>
      </c>
      <c r="D80" t="inlineStr">
        <is>
          <t>B78691_1681495_53B89A914A945A9C</t>
        </is>
      </c>
      <c r="E80" t="inlineStr">
        <is>
          <t>1CTBF368GY</t>
        </is>
      </c>
      <c r="F80" t="n">
        <v>12</v>
      </c>
      <c r="G80" t="inlineStr">
        <is>
          <t>Bedding</t>
        </is>
      </c>
      <c r="H80" t="inlineStr">
        <is>
          <t>Throws</t>
        </is>
      </c>
      <c r="I80" t="inlineStr">
        <is>
          <t>Catalonia</t>
        </is>
      </c>
      <c r="J80" t="n">
        <v>4.399999999999999</v>
      </c>
      <c r="K80" t="inlineStr">
        <is>
          <t>WFS,WFS Item</t>
        </is>
      </c>
      <c r="L80" s="29" t="n">
        <v>237.89</v>
      </c>
      <c r="M80" s="30" t="n">
        <v>0.0021</v>
      </c>
      <c r="N80" s="29" t="n">
        <v>0</v>
      </c>
      <c r="O80" s="29" t="n">
        <v>0</v>
      </c>
      <c r="P80" s="2" t="n">
        <v>10</v>
      </c>
      <c r="Q80" s="31" t="n">
        <v>112.8</v>
      </c>
      <c r="R80" s="32" t="n">
        <v>0.0135</v>
      </c>
      <c r="S80" s="32" t="n">
        <v>0.4742</v>
      </c>
      <c r="T80" s="32" t="n">
        <v>0.2504</v>
      </c>
      <c r="U80" s="31" t="n">
        <v>2.51</v>
      </c>
      <c r="V80" s="32" t="n">
        <v>0.4</v>
      </c>
      <c r="W80" s="31" t="n">
        <v>282.88</v>
      </c>
      <c r="X80" s="31" t="n">
        <v>230.9</v>
      </c>
      <c r="Y80" s="3" t="n">
        <v>152914</v>
      </c>
      <c r="Z80" s="3" t="n">
        <v>270</v>
      </c>
      <c r="AA80" s="32" t="n">
        <v>0.0018</v>
      </c>
      <c r="AB80" s="3" t="n">
        <v>12</v>
      </c>
      <c r="AC80" s="32" t="n">
        <v>0.0444</v>
      </c>
      <c r="AD80" s="3" t="inlineStr">
        <is>
          <t>,WFS Inventory</t>
        </is>
      </c>
      <c r="AE80" s="31" t="n">
        <v>0.42</v>
      </c>
      <c r="AF80" s="2" t="n">
        <v>70</v>
      </c>
      <c r="AG80" s="2" t="n">
        <v>310</v>
      </c>
      <c r="AH80" s="4" t="n">
        <v>40</v>
      </c>
      <c r="AI80" s="33" t="n">
        <v>-44.99000000000001</v>
      </c>
      <c r="AJ80" s="4" t="n">
        <v>-2</v>
      </c>
      <c r="AK80" s="34" t="n">
        <v>-0.05</v>
      </c>
      <c r="AL80" s="34" t="n">
        <v>-0.1891</v>
      </c>
      <c r="AM80" s="2" t="n">
        <v>7492</v>
      </c>
    </row>
    <row r="81">
      <c r="A81">
        <f>HYPERLINK("https://www.walmart.com/ip/799046318", "799046318")</f>
        <v/>
      </c>
      <c r="B81">
        <f>HYPERLINK("https://app.optiwise.ai/catalog/itemdetails/360502", "Sun Blocker Women's Sun Hat  Wide Brim Flap Cap with Floral Ribbon for Beach Gardening Hiking Fishing Safari UPF 50+ White")</f>
        <v/>
      </c>
      <c r="C81" t="n">
        <v>5</v>
      </c>
      <c r="D81" t="inlineStr">
        <is>
          <t>B78691_1251840_45253C21418F9725</t>
        </is>
      </c>
      <c r="E81" t="inlineStr">
        <is>
          <t>KC-S9202-WT</t>
        </is>
      </c>
      <c r="F81" t="n">
        <v>97</v>
      </c>
      <c r="G81" t="inlineStr">
        <is>
          <t>Clothing</t>
        </is>
      </c>
      <c r="H81" t="inlineStr">
        <is>
          <t>Hats</t>
        </is>
      </c>
      <c r="I81" t="inlineStr">
        <is>
          <t>Sun Blocker</t>
        </is>
      </c>
      <c r="J81" t="n">
        <v>4.1</v>
      </c>
      <c r="K81" t="inlineStr">
        <is>
          <t>Hats,Batch 1 - TR</t>
        </is>
      </c>
      <c r="L81" s="29" t="n">
        <v>233.85</v>
      </c>
      <c r="M81" s="30" t="n">
        <v>0.002</v>
      </c>
      <c r="N81" s="29" t="n">
        <v>31.97999954223633</v>
      </c>
      <c r="O81" s="29" t="n">
        <v>0</v>
      </c>
      <c r="P81" s="2" t="n">
        <v>15</v>
      </c>
      <c r="Q81" s="31" t="n">
        <v>0</v>
      </c>
      <c r="R81" s="32" t="n"/>
      <c r="S81" s="32" t="n">
        <v>0</v>
      </c>
      <c r="T81" s="32" t="n">
        <v>0.1248</v>
      </c>
      <c r="U81" s="31" t="n">
        <v>0</v>
      </c>
      <c r="V81" s="32" t="n">
        <v>0</v>
      </c>
      <c r="W81" s="31" t="n">
        <v>0</v>
      </c>
      <c r="X81" s="31" t="n">
        <v>0</v>
      </c>
      <c r="Y81" s="3" t="n">
        <v>0</v>
      </c>
      <c r="Z81" s="3" t="n">
        <v>0</v>
      </c>
      <c r="AA81" s="32" t="n">
        <v>0</v>
      </c>
      <c r="AB81" s="3" t="n">
        <v>0</v>
      </c>
      <c r="AC81" s="32" t="n">
        <v>0</v>
      </c>
      <c r="AD81" s="3" t="n"/>
      <c r="AE81" s="31" t="n">
        <v>0</v>
      </c>
      <c r="AF81" s="2" t="n">
        <v>15</v>
      </c>
      <c r="AG81" s="2" t="n">
        <v>182</v>
      </c>
      <c r="AH81" s="4" t="n">
        <v>182</v>
      </c>
      <c r="AI81" s="33" t="n">
        <v>233.85</v>
      </c>
      <c r="AJ81" s="4" t="n">
        <v>15</v>
      </c>
      <c r="AK81" s="34" t="n">
        <v>0.0824</v>
      </c>
      <c r="AL81" s="34" t="n">
        <v>1</v>
      </c>
      <c r="AM81" s="2" t="n">
        <v>3987</v>
      </c>
    </row>
    <row r="82">
      <c r="A82">
        <f>HYPERLINK("https://www.walmart.com/ip/992076213", "992076213")</f>
        <v/>
      </c>
      <c r="B82">
        <f>HYPERLINK("https://app.optiwise.ai/catalog/itemdetails/361553", "Solaris Ski Gloves, Winter Warm 3M Insulation Waterproof Snow Gloves for Skiing, Snowboarding, Motorcycling,Cycling, Outdoor Sports, Gifts for Men, Size Run Small")</f>
        <v/>
      </c>
      <c r="C82" t="n">
        <v>4</v>
      </c>
      <c r="D82" t="inlineStr">
        <is>
          <t>B78691_1639277_FCBC8ABA2999A037</t>
        </is>
      </c>
      <c r="E82" t="inlineStr">
        <is>
          <t>1SLWG300BKL</t>
        </is>
      </c>
      <c r="F82" t="n">
        <v>5</v>
      </c>
      <c r="G82" t="inlineStr">
        <is>
          <t>Clothing</t>
        </is>
      </c>
      <c r="H82" t="inlineStr">
        <is>
          <t>Gloves &amp; Mittens</t>
        </is>
      </c>
      <c r="I82" t="inlineStr">
        <is>
          <t>Solaris</t>
        </is>
      </c>
      <c r="J82" t="n">
        <v>3.4</v>
      </c>
      <c r="K82" t="inlineStr">
        <is>
          <t>Gloves,WFS,WFS Item</t>
        </is>
      </c>
      <c r="L82" s="29" t="n">
        <v>230.89</v>
      </c>
      <c r="M82" s="30" t="n">
        <v>0.002</v>
      </c>
      <c r="N82" s="29" t="n">
        <v>41.97999954223633</v>
      </c>
      <c r="O82" s="29" t="n">
        <v>0</v>
      </c>
      <c r="P82" s="2" t="n">
        <v>11</v>
      </c>
      <c r="Q82" s="31" t="n">
        <v>0</v>
      </c>
      <c r="R82" s="32" t="n"/>
      <c r="S82" s="32" t="n">
        <v>0</v>
      </c>
      <c r="T82" s="32" t="n">
        <v>0</v>
      </c>
      <c r="U82" s="31" t="n">
        <v>0</v>
      </c>
      <c r="V82" s="32" t="n">
        <v>0</v>
      </c>
      <c r="W82" s="31" t="n">
        <v>0</v>
      </c>
      <c r="X82" s="31" t="n">
        <v>0</v>
      </c>
      <c r="Y82" s="3" t="n">
        <v>0</v>
      </c>
      <c r="Z82" s="3" t="n">
        <v>0</v>
      </c>
      <c r="AA82" s="32" t="n">
        <v>0</v>
      </c>
      <c r="AB82" s="3" t="n">
        <v>0</v>
      </c>
      <c r="AC82" s="32" t="n">
        <v>0</v>
      </c>
      <c r="AD82" s="3" t="n"/>
      <c r="AE82" s="31" t="n">
        <v>0</v>
      </c>
      <c r="AF82" s="2" t="n">
        <v>57</v>
      </c>
      <c r="AG82" s="2" t="n">
        <v>180</v>
      </c>
      <c r="AH82" s="4" t="n">
        <v>180</v>
      </c>
      <c r="AI82" s="33" t="n">
        <v>230.89</v>
      </c>
      <c r="AJ82" s="4" t="n">
        <v>11</v>
      </c>
      <c r="AK82" s="34" t="n">
        <v>0.0611</v>
      </c>
      <c r="AL82" s="34" t="n">
        <v>1</v>
      </c>
      <c r="AM82" s="2" t="n">
        <v>3694</v>
      </c>
    </row>
    <row r="83">
      <c r="A83">
        <f>HYPERLINK("https://www.walmart.com/ip/861546074", "861546074")</f>
        <v/>
      </c>
      <c r="B83">
        <f>HYPERLINK("https://app.optiwise.ai/catalog/itemdetails/359257", "Sherpa Slipper Socks for Women,Winter Indoor Home Non Skid Booties")</f>
        <v/>
      </c>
      <c r="C83" t="n">
        <v>21</v>
      </c>
      <c r="D83" t="inlineStr">
        <is>
          <t>B78691_1677135</t>
        </is>
      </c>
      <c r="E83" t="inlineStr">
        <is>
          <t>1CTST200PP-2</t>
        </is>
      </c>
      <c r="F83" t="n">
        <v>22</v>
      </c>
      <c r="G83" t="inlineStr">
        <is>
          <t>Clothing</t>
        </is>
      </c>
      <c r="H83" t="inlineStr">
        <is>
          <t>Socks</t>
        </is>
      </c>
      <c r="I83" t="inlineStr">
        <is>
          <t>Catalonia</t>
        </is>
      </c>
      <c r="J83" t="n">
        <v>4.099999999999999</v>
      </c>
      <c r="K83" t="inlineStr">
        <is>
          <t>WFS,WFS Item</t>
        </is>
      </c>
      <c r="L83" s="29" t="n">
        <v>229.63</v>
      </c>
      <c r="M83" s="30" t="n">
        <v>0.002</v>
      </c>
      <c r="N83" s="29" t="n">
        <v>0</v>
      </c>
      <c r="O83" s="29" t="n">
        <v>0</v>
      </c>
      <c r="P83" s="2" t="n">
        <v>20</v>
      </c>
      <c r="Q83" s="31" t="n">
        <v>0</v>
      </c>
      <c r="R83" s="32" t="n"/>
      <c r="S83" s="32" t="n">
        <v>0</v>
      </c>
      <c r="T83" s="32" t="n">
        <v>0</v>
      </c>
      <c r="U83" s="31" t="n">
        <v>0</v>
      </c>
      <c r="V83" s="32" t="n">
        <v>0</v>
      </c>
      <c r="W83" s="31" t="n">
        <v>0</v>
      </c>
      <c r="X83" s="31" t="n">
        <v>0</v>
      </c>
      <c r="Y83" s="3" t="n">
        <v>0</v>
      </c>
      <c r="Z83" s="3" t="n">
        <v>0</v>
      </c>
      <c r="AA83" s="32" t="n">
        <v>0</v>
      </c>
      <c r="AB83" s="3" t="n">
        <v>0</v>
      </c>
      <c r="AC83" s="32" t="n">
        <v>0</v>
      </c>
      <c r="AD83" s="3" t="n"/>
      <c r="AE83" s="31" t="n">
        <v>0</v>
      </c>
      <c r="AF83" s="2" t="n">
        <v>0</v>
      </c>
      <c r="AG83" s="2" t="n">
        <v>181</v>
      </c>
      <c r="AH83" s="4" t="n">
        <v>181</v>
      </c>
      <c r="AI83" s="33" t="n">
        <v>229.63</v>
      </c>
      <c r="AJ83" s="4" t="n">
        <v>20</v>
      </c>
      <c r="AK83" s="34" t="n">
        <v>0.1105</v>
      </c>
      <c r="AL83" s="34" t="n">
        <v>1</v>
      </c>
      <c r="AM83" s="2" t="n">
        <v>13905</v>
      </c>
    </row>
    <row r="84">
      <c r="A84">
        <f>HYPERLINK("https://www.walmart.com/ip/635507508", "635507508")</f>
        <v/>
      </c>
      <c r="B84">
        <f>HYPERLINK("https://app.optiwise.ai/catalog/itemdetails/417460", "Tirrinia Poncho Blanket, Super Soft, Comfy, Plush Wearable Fleece Blanket for Women, Men and Kids, Camel, 55'' x 80''")</f>
        <v/>
      </c>
      <c r="C84" t="n">
        <v>12</v>
      </c>
      <c r="D84" t="inlineStr">
        <is>
          <t>B78691_1681114</t>
        </is>
      </c>
      <c r="E84" t="inlineStr">
        <is>
          <t>1TRBP100CA-TBCB</t>
        </is>
      </c>
      <c r="F84" t="n">
        <v>8</v>
      </c>
      <c r="G84" t="inlineStr">
        <is>
          <t>Bedding</t>
        </is>
      </c>
      <c r="H84" t="inlineStr">
        <is>
          <t>Throws</t>
        </is>
      </c>
      <c r="I84" t="inlineStr">
        <is>
          <t>Tirrinia</t>
        </is>
      </c>
      <c r="J84" t="n">
        <v>5</v>
      </c>
      <c r="K84" t="inlineStr">
        <is>
          <t>Q2-Target,Optimized,Coupon_Discount,Fleece Blankets</t>
        </is>
      </c>
      <c r="L84" s="29" t="n">
        <v>225.86</v>
      </c>
      <c r="M84" s="30" t="n">
        <v>0.0019</v>
      </c>
      <c r="N84" s="29" t="n">
        <v>13.98999977111816</v>
      </c>
      <c r="O84" s="29" t="n">
        <v>0</v>
      </c>
      <c r="P84" s="2" t="n">
        <v>13</v>
      </c>
      <c r="Q84" s="31" t="n">
        <v>21.02</v>
      </c>
      <c r="R84" s="32" t="n">
        <v>0.0025</v>
      </c>
      <c r="S84" s="32" t="n">
        <v>0.0931</v>
      </c>
      <c r="T84" s="32" t="n">
        <v>0.0708</v>
      </c>
      <c r="U84" s="31" t="n">
        <v>0</v>
      </c>
      <c r="V84" s="32" t="n">
        <v>0</v>
      </c>
      <c r="W84" s="31" t="n">
        <v>0</v>
      </c>
      <c r="X84" s="31" t="n">
        <v>0</v>
      </c>
      <c r="Y84" s="3" t="n">
        <v>10322</v>
      </c>
      <c r="Z84" s="3" t="n">
        <v>51</v>
      </c>
      <c r="AA84" s="32" t="n">
        <v>0.0049</v>
      </c>
      <c r="AB84" s="3" t="n">
        <v>0</v>
      </c>
      <c r="AC84" s="32" t="n">
        <v>0</v>
      </c>
      <c r="AD84" s="3" t="inlineStr">
        <is>
          <t>Throws_Manual_Optiwise_24,,Need to sell these SKUs by 15th Feb,Top Selling Last Year 2023</t>
        </is>
      </c>
      <c r="AE84" s="31" t="n">
        <v>0.41</v>
      </c>
      <c r="AF84" s="2" t="n">
        <v>118</v>
      </c>
      <c r="AG84" s="2" t="n">
        <v>166</v>
      </c>
      <c r="AH84" s="4" t="n">
        <v>115</v>
      </c>
      <c r="AI84" s="33" t="n">
        <v>225.86</v>
      </c>
      <c r="AJ84" s="4" t="n">
        <v>13</v>
      </c>
      <c r="AK84" s="34" t="n">
        <v>0.113</v>
      </c>
      <c r="AL84" s="34" t="n">
        <v>1</v>
      </c>
      <c r="AM84" s="2" t="n">
        <v>8930</v>
      </c>
    </row>
    <row r="85">
      <c r="A85">
        <f>HYPERLINK("https://www.walmart.com/ip/2901486666", "2901486666")</f>
        <v/>
      </c>
      <c r="B85">
        <f>HYPERLINK("https://app.optiwise.ai/catalog/itemdetails/7407375", "Catalonia Cow Print Sherpa Fleece Blanket, Super Soft Warm Cozy Flannel Reversible Throw Blanket for Couch Sofa Bed, Brown Horse Pattern, 50 x 60.")</f>
        <v/>
      </c>
      <c r="C85" t="n">
        <v>12</v>
      </c>
      <c r="D85" t="inlineStr">
        <is>
          <t>B78691_1635776_1E16CDEBD4C74EE6</t>
        </is>
      </c>
      <c r="E85" t="inlineStr">
        <is>
          <t>1CTBF300TPHORSE</t>
        </is>
      </c>
      <c r="F85" t="n">
        <v>33</v>
      </c>
      <c r="G85" t="inlineStr">
        <is>
          <t>Bedding</t>
        </is>
      </c>
      <c r="H85" t="inlineStr">
        <is>
          <t>Throws</t>
        </is>
      </c>
      <c r="I85" t="inlineStr">
        <is>
          <t>Catalonia</t>
        </is>
      </c>
      <c r="J85" t="n">
        <v>4</v>
      </c>
      <c r="K85" t="inlineStr">
        <is>
          <t>Q2-Target,Coupon_Discount,Fleece Blankets</t>
        </is>
      </c>
      <c r="L85" s="29" t="n">
        <v>218.9</v>
      </c>
      <c r="M85" s="30" t="n">
        <v>0.0019</v>
      </c>
      <c r="N85" s="29" t="n">
        <v>0</v>
      </c>
      <c r="O85" s="29" t="n">
        <v>0</v>
      </c>
      <c r="P85" s="2" t="n">
        <v>10</v>
      </c>
      <c r="Q85" s="31" t="n">
        <v>0</v>
      </c>
      <c r="R85" s="32" t="n"/>
      <c r="S85" s="32" t="n">
        <v>0</v>
      </c>
      <c r="T85" s="32" t="n">
        <v>0.0053</v>
      </c>
      <c r="U85" s="31" t="n">
        <v>0</v>
      </c>
      <c r="V85" s="32" t="n">
        <v>0</v>
      </c>
      <c r="W85" s="31" t="n">
        <v>0</v>
      </c>
      <c r="X85" s="31" t="n">
        <v>0</v>
      </c>
      <c r="Y85" s="3" t="n">
        <v>1052</v>
      </c>
      <c r="Z85" s="3" t="n">
        <v>0</v>
      </c>
      <c r="AA85" s="32" t="n">
        <v>0</v>
      </c>
      <c r="AB85" s="3" t="n">
        <v>0</v>
      </c>
      <c r="AC85" s="32" t="n">
        <v>0</v>
      </c>
      <c r="AD85" s="3" t="inlineStr">
        <is>
          <t>,Top Selling Last Year 2023</t>
        </is>
      </c>
      <c r="AE85" s="31" t="n">
        <v>0</v>
      </c>
      <c r="AF85" s="2" t="n">
        <v>275</v>
      </c>
      <c r="AG85" s="2" t="n">
        <v>432</v>
      </c>
      <c r="AH85" s="4" t="n">
        <v>432</v>
      </c>
      <c r="AI85" s="33" t="n">
        <v>218.9</v>
      </c>
      <c r="AJ85" s="4" t="n">
        <v>10</v>
      </c>
      <c r="AK85" s="34" t="n">
        <v>0.0231</v>
      </c>
      <c r="AL85" s="34" t="n">
        <v>1</v>
      </c>
      <c r="AM85" s="2" t="n">
        <v>10152</v>
      </c>
    </row>
    <row r="86">
      <c r="A86">
        <f>HYPERLINK("https://www.walmart.com/ip/171544794", "171544794")</f>
        <v/>
      </c>
      <c r="B86">
        <f>HYPERLINK("https://app.optiwise.ai/catalog/itemdetails/362001", "Catalonia Fleece Wearable Blanket with Sleeves and Pocket, Micro Plush Warm Sleeved TV Throw Blanket Robe for Women and Men, Brown, 72'' x 55''")</f>
        <v/>
      </c>
      <c r="C86" t="n">
        <v>8</v>
      </c>
      <c r="D86" t="inlineStr">
        <is>
          <t>B78691_1682089_FF05D6FD06281104</t>
        </is>
      </c>
      <c r="E86" t="inlineStr">
        <is>
          <t>1CTSN110BR</t>
        </is>
      </c>
      <c r="F86" t="n">
        <v>18</v>
      </c>
      <c r="G86" t="inlineStr">
        <is>
          <t>Bedding</t>
        </is>
      </c>
      <c r="H86" t="inlineStr">
        <is>
          <t>Throws</t>
        </is>
      </c>
      <c r="I86" t="inlineStr">
        <is>
          <t>Catalonia</t>
        </is>
      </c>
      <c r="J86" t="n">
        <v>3.600000000000001</v>
      </c>
      <c r="K86" t="inlineStr">
        <is>
          <t>Optimized,WFS,WFS Item</t>
        </is>
      </c>
      <c r="L86" s="29" t="n">
        <v>213.95</v>
      </c>
      <c r="M86" s="30" t="n">
        <v>0.0018</v>
      </c>
      <c r="N86" s="29" t="n">
        <v>0</v>
      </c>
      <c r="O86" s="29" t="n">
        <v>0</v>
      </c>
      <c r="P86" s="2" t="n">
        <v>5</v>
      </c>
      <c r="Q86" s="31" t="n">
        <v>0</v>
      </c>
      <c r="R86" s="32" t="n"/>
      <c r="S86" s="32" t="n">
        <v>0</v>
      </c>
      <c r="T86" s="32" t="n">
        <v>0</v>
      </c>
      <c r="U86" s="31" t="n">
        <v>0</v>
      </c>
      <c r="V86" s="32" t="n">
        <v>0</v>
      </c>
      <c r="W86" s="31" t="n">
        <v>0</v>
      </c>
      <c r="X86" s="31" t="n">
        <v>0</v>
      </c>
      <c r="Y86" s="3" t="n">
        <v>0</v>
      </c>
      <c r="Z86" s="3" t="n">
        <v>0</v>
      </c>
      <c r="AA86" s="32" t="n">
        <v>0</v>
      </c>
      <c r="AB86" s="3" t="n">
        <v>0</v>
      </c>
      <c r="AC86" s="32" t="n">
        <v>0</v>
      </c>
      <c r="AD86" s="3" t="n"/>
      <c r="AE86" s="31" t="n">
        <v>0</v>
      </c>
      <c r="AF86" s="2" t="n">
        <v>22</v>
      </c>
      <c r="AG86" s="2" t="n">
        <v>306</v>
      </c>
      <c r="AH86" s="4" t="n">
        <v>306</v>
      </c>
      <c r="AI86" s="33" t="n">
        <v>213.95</v>
      </c>
      <c r="AJ86" s="4" t="n">
        <v>5</v>
      </c>
      <c r="AK86" s="34" t="n">
        <v>0.0163</v>
      </c>
      <c r="AL86" s="34" t="n">
        <v>1</v>
      </c>
      <c r="AM86" s="2" t="n">
        <v>21654</v>
      </c>
    </row>
    <row r="87">
      <c r="A87">
        <f>HYPERLINK("https://www.walmart.com/ip/3238174835", "3238174835")</f>
        <v/>
      </c>
      <c r="B87">
        <f>HYPERLINK("https://app.optiwise.ai/catalog/itemdetails/4971377", "Solaris Women Ponytail Sun Hat for Hiking Fishing Gardening Outdoor UV Protection Safari Cap, Breathable Mesh and Ponytail Hole Opening, Olive")</f>
        <v/>
      </c>
      <c r="C87" t="n">
        <v>8</v>
      </c>
      <c r="D87" t="inlineStr">
        <is>
          <t>B78691_1680097_6B4ED83C9778FEF3</t>
        </is>
      </c>
      <c r="E87" t="inlineStr">
        <is>
          <t>1SLSH912OL</t>
        </is>
      </c>
      <c r="F87" t="n">
        <v>4</v>
      </c>
      <c r="G87" t="inlineStr">
        <is>
          <t>Clothing</t>
        </is>
      </c>
      <c r="H87" t="inlineStr">
        <is>
          <t>Hats</t>
        </is>
      </c>
      <c r="I87" t="inlineStr">
        <is>
          <t>Solaris</t>
        </is>
      </c>
      <c r="J87" t="n">
        <v>4.3</v>
      </c>
      <c r="K87" t="inlineStr">
        <is>
          <t>Q2-Target,Hats</t>
        </is>
      </c>
      <c r="L87" s="29" t="n">
        <v>212.81</v>
      </c>
      <c r="M87" s="30" t="n">
        <v>0.0018</v>
      </c>
      <c r="N87" s="29" t="n">
        <v>44.95999908447266</v>
      </c>
      <c r="O87" s="29" t="n">
        <v>0</v>
      </c>
      <c r="P87" s="2" t="n">
        <v>18</v>
      </c>
      <c r="Q87" s="31" t="n">
        <v>0.31</v>
      </c>
      <c r="R87" s="32" t="n"/>
      <c r="S87" s="32" t="n">
        <v>0.0015</v>
      </c>
      <c r="T87" s="32" t="n">
        <v>0.1395</v>
      </c>
      <c r="U87" s="31" t="n">
        <v>0</v>
      </c>
      <c r="V87" s="32" t="n">
        <v>0</v>
      </c>
      <c r="W87" s="31" t="n">
        <v>0</v>
      </c>
      <c r="X87" s="31" t="n">
        <v>0</v>
      </c>
      <c r="Y87" s="3" t="n">
        <v>1365</v>
      </c>
      <c r="Z87" s="3" t="n">
        <v>1</v>
      </c>
      <c r="AA87" s="32" t="n">
        <v>0.0007</v>
      </c>
      <c r="AB87" s="3" t="n">
        <v>0</v>
      </c>
      <c r="AC87" s="32" t="n">
        <v>0</v>
      </c>
      <c r="AD87" s="3" t="inlineStr">
        <is>
          <t>,All Items_Auto_Optiwise_24</t>
        </is>
      </c>
      <c r="AE87" s="31" t="n">
        <v>0.31</v>
      </c>
      <c r="AF87" s="2" t="n">
        <v>12</v>
      </c>
      <c r="AG87" s="2" t="n">
        <v>218</v>
      </c>
      <c r="AH87" s="4" t="n">
        <v>217</v>
      </c>
      <c r="AI87" s="33" t="n">
        <v>212.81</v>
      </c>
      <c r="AJ87" s="4" t="n">
        <v>18</v>
      </c>
      <c r="AK87" s="34" t="n">
        <v>0.0829</v>
      </c>
      <c r="AL87" s="34" t="n">
        <v>1</v>
      </c>
      <c r="AM87" s="2" t="n">
        <v>5925</v>
      </c>
    </row>
    <row r="88">
      <c r="A88">
        <f>HYPERLINK("https://www.walmart.com/ip/327234960", "327234960")</f>
        <v/>
      </c>
      <c r="B88">
        <f>HYPERLINK("https://app.optiwise.ai/catalog/itemdetails/360412", "Surf Poncho Changing Towel Robe for Adults Men Women, Hooded Wetsuit Change Poncho for Surfing Swimming Bathing, Water Absorbent, Oversized, Grey")</f>
        <v/>
      </c>
      <c r="C88" t="n">
        <v>2</v>
      </c>
      <c r="D88" t="inlineStr">
        <is>
          <t>B78691_1639547_A3FCCF16E43ED3EA</t>
        </is>
      </c>
      <c r="E88" t="inlineStr">
        <is>
          <t>1CTBR100GY-ESCB</t>
        </is>
      </c>
      <c r="F88" t="n">
        <v>15</v>
      </c>
      <c r="G88" t="inlineStr">
        <is>
          <t>Clothing</t>
        </is>
      </c>
      <c r="H88" t="inlineStr">
        <is>
          <t>Sleepwear Robes &amp; Bathrobes</t>
        </is>
      </c>
      <c r="I88" t="inlineStr">
        <is>
          <t>Catalonia</t>
        </is>
      </c>
      <c r="J88" t="n">
        <v>4.7</v>
      </c>
      <c r="K88" t="inlineStr">
        <is>
          <t>Batch 1 - TR</t>
        </is>
      </c>
      <c r="L88" s="29" t="n">
        <v>208.91</v>
      </c>
      <c r="M88" s="30" t="n">
        <v>0.0018</v>
      </c>
      <c r="N88" s="29" t="n">
        <v>68.96999931335449</v>
      </c>
      <c r="O88" s="29" t="n">
        <v>0</v>
      </c>
      <c r="P88" s="2" t="n">
        <v>9</v>
      </c>
      <c r="Q88" s="31" t="n">
        <v>0</v>
      </c>
      <c r="R88" s="32" t="n"/>
      <c r="S88" s="32" t="n">
        <v>0</v>
      </c>
      <c r="T88" s="32" t="n">
        <v>0.0365</v>
      </c>
      <c r="U88" s="31" t="n">
        <v>0</v>
      </c>
      <c r="V88" s="32" t="n">
        <v>0</v>
      </c>
      <c r="W88" s="31" t="n">
        <v>0</v>
      </c>
      <c r="X88" s="31" t="n">
        <v>0</v>
      </c>
      <c r="Y88" s="3" t="n">
        <v>0</v>
      </c>
      <c r="Z88" s="3" t="n">
        <v>0</v>
      </c>
      <c r="AA88" s="32" t="n">
        <v>0</v>
      </c>
      <c r="AB88" s="3" t="n">
        <v>0</v>
      </c>
      <c r="AC88" s="32" t="n">
        <v>0</v>
      </c>
      <c r="AD88" s="3" t="n"/>
      <c r="AE88" s="31" t="n">
        <v>0</v>
      </c>
      <c r="AF88" s="2" t="n">
        <v>0</v>
      </c>
      <c r="AG88" s="2" t="n">
        <v>230</v>
      </c>
      <c r="AH88" s="4" t="n">
        <v>230</v>
      </c>
      <c r="AI88" s="33" t="n">
        <v>208.91</v>
      </c>
      <c r="AJ88" s="4" t="n">
        <v>9</v>
      </c>
      <c r="AK88" s="34" t="n">
        <v>0.0391</v>
      </c>
      <c r="AL88" s="34" t="n">
        <v>1</v>
      </c>
      <c r="AM88" s="2" t="n">
        <v>3000</v>
      </c>
    </row>
    <row r="89">
      <c r="A89">
        <f>HYPERLINK("https://www.walmart.com/ip/663987373", "663987373")</f>
        <v/>
      </c>
      <c r="B89">
        <f>HYPERLINK("https://app.optiwise.ai/catalog/itemdetails/362162", "Tirrinia Women's Sun Hat with Wide Brim and Neck Flap, Fishing Safari Hat for Outdoors, Hiking, Camping, Gardening and Lawn Field Work, Pink")</f>
        <v/>
      </c>
      <c r="C89" t="n">
        <v>7</v>
      </c>
      <c r="D89" t="inlineStr">
        <is>
          <t>B78691_1639416_70C3FCEECF402E13</t>
        </is>
      </c>
      <c r="E89" t="inlineStr">
        <is>
          <t>1TRSH910PK-TBCB</t>
        </is>
      </c>
      <c r="F89" t="n">
        <v>144</v>
      </c>
      <c r="G89" t="inlineStr">
        <is>
          <t>Clothing</t>
        </is>
      </c>
      <c r="H89" t="inlineStr">
        <is>
          <t>Hats</t>
        </is>
      </c>
      <c r="I89" t="inlineStr">
        <is>
          <t>Tirrinia</t>
        </is>
      </c>
      <c r="J89" t="n">
        <v>4.5</v>
      </c>
      <c r="K89" t="inlineStr">
        <is>
          <t>Hats,Batch 1 - TR</t>
        </is>
      </c>
      <c r="L89" s="29" t="n">
        <v>208.85</v>
      </c>
      <c r="M89" s="30" t="n">
        <v>0.0018</v>
      </c>
      <c r="N89" s="29" t="n">
        <v>71.95999908447266</v>
      </c>
      <c r="O89" s="29" t="n">
        <v>0</v>
      </c>
      <c r="P89" s="2" t="n">
        <v>12</v>
      </c>
      <c r="Q89" s="31" t="n">
        <v>0.31</v>
      </c>
      <c r="R89" s="32" t="n"/>
      <c r="S89" s="32" t="n">
        <v>0.0015</v>
      </c>
      <c r="T89" s="32" t="n">
        <v>1.159</v>
      </c>
      <c r="U89" s="31" t="n">
        <v>0</v>
      </c>
      <c r="V89" s="32" t="n">
        <v>0</v>
      </c>
      <c r="W89" s="31" t="n">
        <v>0</v>
      </c>
      <c r="X89" s="31" t="n">
        <v>0</v>
      </c>
      <c r="Y89" s="3" t="n">
        <v>1105</v>
      </c>
      <c r="Z89" s="3" t="n">
        <v>1</v>
      </c>
      <c r="AA89" s="32" t="n">
        <v>0.0009</v>
      </c>
      <c r="AB89" s="3" t="n">
        <v>0</v>
      </c>
      <c r="AC89" s="32" t="n">
        <v>0</v>
      </c>
      <c r="AD89" s="3" t="inlineStr">
        <is>
          <t>,Need to sell these SKUs by 15th Feb</t>
        </is>
      </c>
      <c r="AE89" s="31" t="n">
        <v>0.31</v>
      </c>
      <c r="AF89" s="2" t="n">
        <v>0</v>
      </c>
      <c r="AG89" s="2" t="n">
        <v>404</v>
      </c>
      <c r="AH89" s="4" t="n">
        <v>403</v>
      </c>
      <c r="AI89" s="33" t="n">
        <v>208.85</v>
      </c>
      <c r="AJ89" s="4" t="n">
        <v>12</v>
      </c>
      <c r="AK89" s="34" t="n">
        <v>0.0298</v>
      </c>
      <c r="AL89" s="34" t="n">
        <v>1</v>
      </c>
      <c r="AM89" s="2" t="n">
        <v>5692</v>
      </c>
    </row>
    <row r="90">
      <c r="A90">
        <f>HYPERLINK("https://www.walmart.com/ip/5343794728", "5343794728")</f>
        <v/>
      </c>
      <c r="B90">
        <f>HYPERLINK("https://app.optiwise.ai/catalog/itemdetails/8026928", "Tirrinia Large Insulated Lunch Bag for Men and Women, Adult Double-Layer Leakproof Reusable Grocery Bag, Office, Travel, Work Lunch Cooler Tote")</f>
        <v/>
      </c>
      <c r="C90" t="n">
        <v>3</v>
      </c>
      <c r="D90" t="inlineStr">
        <is>
          <t>B78691_1682454_18AC1AD6937554BE</t>
        </is>
      </c>
      <c r="E90" t="inlineStr">
        <is>
          <t>1TRLB708BL-D</t>
        </is>
      </c>
      <c r="F90" t="n">
        <v>3</v>
      </c>
      <c r="G90" t="inlineStr">
        <is>
          <t>Home Decor, Kitchen, &amp; Other</t>
        </is>
      </c>
      <c r="H90" t="inlineStr">
        <is>
          <t>Reusable Lunch Bags &amp; Boxes</t>
        </is>
      </c>
      <c r="I90" t="inlineStr">
        <is>
          <t>Tirrinia</t>
        </is>
      </c>
      <c r="J90" t="n">
        <v>4.7</v>
      </c>
      <c r="L90" s="29" t="n">
        <v>207.37</v>
      </c>
      <c r="M90" s="30" t="n">
        <v>0.0018</v>
      </c>
      <c r="N90" s="29" t="n">
        <v>0</v>
      </c>
      <c r="O90" s="29" t="n">
        <v>0</v>
      </c>
      <c r="P90" s="2" t="n">
        <v>11</v>
      </c>
      <c r="Q90" s="31" t="n">
        <v>0</v>
      </c>
      <c r="R90" s="32" t="n"/>
      <c r="S90" s="32" t="n">
        <v>0</v>
      </c>
      <c r="T90" s="32" t="n">
        <v>0.0675</v>
      </c>
      <c r="U90" s="31" t="n">
        <v>0</v>
      </c>
      <c r="V90" s="32" t="n">
        <v>0</v>
      </c>
      <c r="W90" s="31" t="n">
        <v>0</v>
      </c>
      <c r="X90" s="31" t="n">
        <v>0</v>
      </c>
      <c r="Y90" s="3" t="n">
        <v>0</v>
      </c>
      <c r="Z90" s="3" t="n">
        <v>0</v>
      </c>
      <c r="AA90" s="32" t="n">
        <v>0</v>
      </c>
      <c r="AB90" s="3" t="n">
        <v>0</v>
      </c>
      <c r="AC90" s="32" t="n">
        <v>0</v>
      </c>
      <c r="AD90" s="3" t="n"/>
      <c r="AE90" s="31" t="n">
        <v>0</v>
      </c>
      <c r="AF90" s="2" t="n">
        <v>14</v>
      </c>
      <c r="AG90" s="2" t="n">
        <v>283</v>
      </c>
      <c r="AH90" s="4" t="n">
        <v>283</v>
      </c>
      <c r="AI90" s="33" t="n">
        <v>207.37</v>
      </c>
      <c r="AJ90" s="4" t="n">
        <v>11</v>
      </c>
      <c r="AK90" s="34" t="n">
        <v>0.0389</v>
      </c>
      <c r="AL90" s="34" t="n">
        <v>1</v>
      </c>
      <c r="AM90" s="2" t="n">
        <v>3779</v>
      </c>
    </row>
    <row r="91">
      <c r="A91">
        <f>HYPERLINK("https://www.walmart.com/ip/1882729772", "1882729772")</f>
        <v/>
      </c>
      <c r="B91">
        <f>HYPERLINK("https://app.optiwise.ai/catalog/itemdetails/20125643", "Wrangler Men’s Leather Embossed Logo Casual Every Day Belt for Jeans, Khakis Brown")</f>
        <v/>
      </c>
      <c r="C91" t="n">
        <v>6</v>
      </c>
      <c r="D91" t="inlineStr">
        <is>
          <t>B78691_1683921_E27F9499727240B1</t>
        </is>
      </c>
      <c r="E91" t="inlineStr">
        <is>
          <t>WR-BELT-MENS-EMBOSSED-BROWN-36</t>
        </is>
      </c>
      <c r="F91" t="n">
        <v>1</v>
      </c>
      <c r="G91" t="inlineStr">
        <is>
          <t>Clothing</t>
        </is>
      </c>
      <c r="H91" t="inlineStr">
        <is>
          <t>Belts</t>
        </is>
      </c>
      <c r="I91" t="inlineStr">
        <is>
          <t>Wrangler</t>
        </is>
      </c>
      <c r="J91" t="n">
        <v>1</v>
      </c>
      <c r="L91" s="29" t="n">
        <v>199.9</v>
      </c>
      <c r="M91" s="30" t="n">
        <v>0.0017</v>
      </c>
      <c r="N91" s="29" t="n">
        <v>59.96999931335449</v>
      </c>
      <c r="O91" s="29" t="n">
        <v>0</v>
      </c>
      <c r="P91" s="2" t="n">
        <v>10</v>
      </c>
      <c r="Q91" s="31" t="n">
        <v>0</v>
      </c>
      <c r="R91" s="32" t="n"/>
      <c r="S91" s="32" t="n">
        <v>0</v>
      </c>
      <c r="T91" s="32" t="n">
        <v>0</v>
      </c>
      <c r="U91" s="31" t="n">
        <v>0</v>
      </c>
      <c r="V91" s="32" t="n">
        <v>0</v>
      </c>
      <c r="W91" s="31" t="n">
        <v>0</v>
      </c>
      <c r="X91" s="31" t="n">
        <v>0</v>
      </c>
      <c r="Y91" s="3" t="n">
        <v>0</v>
      </c>
      <c r="Z91" s="3" t="n">
        <v>0</v>
      </c>
      <c r="AA91" s="32" t="n">
        <v>0</v>
      </c>
      <c r="AB91" s="3" t="n">
        <v>0</v>
      </c>
      <c r="AC91" s="32" t="n">
        <v>0</v>
      </c>
      <c r="AD91" s="3" t="n"/>
      <c r="AE91" s="31" t="n">
        <v>0</v>
      </c>
      <c r="AF91" s="2" t="n">
        <v>0</v>
      </c>
      <c r="AG91" s="2" t="n">
        <v>0</v>
      </c>
      <c r="AH91" s="4" t="n">
        <v>0</v>
      </c>
      <c r="AI91" s="33" t="n">
        <v>199.9</v>
      </c>
      <c r="AJ91" s="4" t="n">
        <v>10</v>
      </c>
      <c r="AK91" s="34" t="n"/>
      <c r="AL91" s="34" t="n">
        <v>1</v>
      </c>
      <c r="AM91" s="2" t="n">
        <v>7344</v>
      </c>
    </row>
    <row r="92">
      <c r="A92">
        <f>HYPERLINK("https://www.walmart.com/ip/498489728", "498489728")</f>
        <v/>
      </c>
      <c r="B92">
        <f>HYPERLINK("https://app.optiwise.ai/catalog/itemdetails/361532", "Tirrinia Surf Poncho Changing Towel with Hood, Quick Dry Microfiber Wetsuit Changing Robe, Grey")</f>
        <v/>
      </c>
      <c r="C92" t="n">
        <v>4</v>
      </c>
      <c r="D92" t="inlineStr">
        <is>
          <t>B78691_1681767_5C9BB2671E1E9004</t>
        </is>
      </c>
      <c r="E92" t="inlineStr">
        <is>
          <t>1TRBR100-GY</t>
        </is>
      </c>
      <c r="F92" t="n">
        <v>3</v>
      </c>
      <c r="G92" t="inlineStr">
        <is>
          <t>Clothing</t>
        </is>
      </c>
      <c r="H92" t="inlineStr">
        <is>
          <t>Towels &amp; Washcloths</t>
        </is>
      </c>
      <c r="I92" t="inlineStr">
        <is>
          <t>Tirrinia</t>
        </is>
      </c>
      <c r="J92" t="n">
        <v>5</v>
      </c>
      <c r="K92" t="inlineStr">
        <is>
          <t>Beach Robe Camp,Batch 1 - TR</t>
        </is>
      </c>
      <c r="L92" s="29" t="n">
        <v>197.91</v>
      </c>
      <c r="M92" s="30" t="n">
        <v>0.0017</v>
      </c>
      <c r="N92" s="29" t="n">
        <v>0</v>
      </c>
      <c r="O92" s="29" t="n">
        <v>0</v>
      </c>
      <c r="P92" s="2" t="n">
        <v>9</v>
      </c>
      <c r="Q92" s="31" t="n">
        <v>0</v>
      </c>
      <c r="R92" s="32" t="n"/>
      <c r="S92" s="32" t="n">
        <v>0</v>
      </c>
      <c r="T92" s="32" t="n">
        <v>0</v>
      </c>
      <c r="U92" s="31" t="n">
        <v>0</v>
      </c>
      <c r="V92" s="32" t="n">
        <v>0</v>
      </c>
      <c r="W92" s="31" t="n">
        <v>0</v>
      </c>
      <c r="X92" s="31" t="n">
        <v>0</v>
      </c>
      <c r="Y92" s="3" t="n">
        <v>0</v>
      </c>
      <c r="Z92" s="3" t="n">
        <v>0</v>
      </c>
      <c r="AA92" s="32" t="n">
        <v>0</v>
      </c>
      <c r="AB92" s="3" t="n">
        <v>0</v>
      </c>
      <c r="AC92" s="32" t="n">
        <v>0</v>
      </c>
      <c r="AD92" s="3" t="n"/>
      <c r="AE92" s="31" t="n">
        <v>0</v>
      </c>
      <c r="AF92" s="2" t="n">
        <v>42</v>
      </c>
      <c r="AG92" s="2" t="n">
        <v>184</v>
      </c>
      <c r="AH92" s="4" t="n">
        <v>184</v>
      </c>
      <c r="AI92" s="33" t="n">
        <v>197.91</v>
      </c>
      <c r="AJ92" s="4" t="n">
        <v>9</v>
      </c>
      <c r="AK92" s="34" t="n">
        <v>0.0489</v>
      </c>
      <c r="AL92" s="34" t="n">
        <v>1</v>
      </c>
      <c r="AM92" s="2" t="n">
        <v>3120</v>
      </c>
    </row>
    <row r="93">
      <c r="A93">
        <f>HYPERLINK("https://www.walmart.com/ip/630847130", "630847130")</f>
        <v/>
      </c>
      <c r="B93">
        <f>HYPERLINK("https://app.optiwise.ai/catalog/itemdetails/380718", "Catalonia Sherpa Throw Blanket, Fuzzy Snuggle Blanket for Camping Traveling Couch Bed, Super Soft, Light Weight, Reversible, All Season Use, 50x60 inches, Gray Camo")</f>
        <v/>
      </c>
      <c r="C93" t="n">
        <v>3</v>
      </c>
      <c r="D93" t="inlineStr">
        <is>
          <t>B78691_1681510_805D3D720ED2072D</t>
        </is>
      </c>
      <c r="E93" t="inlineStr">
        <is>
          <t>1CTBF579GYCAMO</t>
        </is>
      </c>
      <c r="F93" t="n">
        <v>12</v>
      </c>
      <c r="G93" t="inlineStr">
        <is>
          <t>Bedding</t>
        </is>
      </c>
      <c r="H93" t="inlineStr">
        <is>
          <t>Throws</t>
        </is>
      </c>
      <c r="I93" t="inlineStr">
        <is>
          <t>Catalonia</t>
        </is>
      </c>
      <c r="J93" t="n">
        <v>4.1</v>
      </c>
      <c r="K93" t="inlineStr">
        <is>
          <t>WFS,WFS Item</t>
        </is>
      </c>
      <c r="L93" s="29" t="n">
        <v>192.91</v>
      </c>
      <c r="M93" s="30" t="n">
        <v>0.0017</v>
      </c>
      <c r="N93" s="29" t="n">
        <v>0</v>
      </c>
      <c r="O93" s="29" t="n">
        <v>0</v>
      </c>
      <c r="P93" s="2" t="n">
        <v>9</v>
      </c>
      <c r="Q93" s="31" t="n">
        <v>83.00999999999998</v>
      </c>
      <c r="R93" s="32" t="n">
        <v>0.01</v>
      </c>
      <c r="S93" s="32" t="n">
        <v>0.4303</v>
      </c>
      <c r="T93" s="32" t="n">
        <v>0.0164</v>
      </c>
      <c r="U93" s="31" t="n">
        <v>2.18</v>
      </c>
      <c r="V93" s="32" t="n">
        <v>0.46</v>
      </c>
      <c r="W93" s="31" t="n">
        <v>180.91</v>
      </c>
      <c r="X93" s="31" t="n">
        <v>41.98</v>
      </c>
      <c r="Y93" s="3" t="n">
        <v>86821</v>
      </c>
      <c r="Z93" s="3" t="n">
        <v>208</v>
      </c>
      <c r="AA93" s="32" t="n">
        <v>0.0024</v>
      </c>
      <c r="AB93" s="3" t="n">
        <v>9</v>
      </c>
      <c r="AC93" s="32" t="n">
        <v>0.0433</v>
      </c>
      <c r="AD93" s="3" t="inlineStr">
        <is>
          <t>,1CTBF579GNCAMO_Manual_Optiwise,WFS Inventory</t>
        </is>
      </c>
      <c r="AE93" s="31" t="n">
        <v>0.4</v>
      </c>
      <c r="AF93" s="2" t="n">
        <v>155</v>
      </c>
      <c r="AG93" s="2" t="n">
        <v>261</v>
      </c>
      <c r="AH93" s="4" t="n">
        <v>53</v>
      </c>
      <c r="AI93" s="33" t="n">
        <v>11.99999999999997</v>
      </c>
      <c r="AJ93" s="4" t="n">
        <v>0</v>
      </c>
      <c r="AK93" s="34" t="n"/>
      <c r="AL93" s="34" t="n">
        <v>0.0622</v>
      </c>
      <c r="AM93" s="2" t="n">
        <v>3180</v>
      </c>
    </row>
    <row r="94">
      <c r="A94">
        <f>HYPERLINK("https://www.walmart.com/ip/5536189949", "5536189949")</f>
        <v/>
      </c>
      <c r="B94">
        <f>HYPERLINK("https://app.optiwise.ai/catalog/itemdetails/9035203", "Solaris Kids Sun Hat UPF50+ Sun Protection, Large Mesh Super Breathable Travel Beach Play Bucket Hats for Girs Boys Teenagers")</f>
        <v/>
      </c>
      <c r="C94" t="n">
        <v>4</v>
      </c>
      <c r="D94" t="inlineStr">
        <is>
          <t>B78691_1682522_7AA6130638C5F220</t>
        </is>
      </c>
      <c r="E94" t="inlineStr">
        <is>
          <t>1SLSH925GY</t>
        </is>
      </c>
      <c r="F94" t="n">
        <v>0</v>
      </c>
      <c r="G94" t="inlineStr">
        <is>
          <t>Clothing</t>
        </is>
      </c>
      <c r="H94" t="inlineStr">
        <is>
          <t>Hats</t>
        </is>
      </c>
      <c r="I94" t="inlineStr">
        <is>
          <t>Solaris</t>
        </is>
      </c>
      <c r="L94" s="29" t="n">
        <v>185.89</v>
      </c>
      <c r="M94" s="30" t="n">
        <v>0.0016</v>
      </c>
      <c r="N94" s="29" t="n">
        <v>47.96999931335449</v>
      </c>
      <c r="O94" s="29" t="n">
        <v>0</v>
      </c>
      <c r="P94" s="2" t="n">
        <v>10</v>
      </c>
      <c r="Q94" s="31" t="n">
        <v>40.53999999999999</v>
      </c>
      <c r="R94" s="32" t="n">
        <v>0.0049</v>
      </c>
      <c r="S94" s="32" t="n">
        <v>0.2181</v>
      </c>
      <c r="T94" s="32" t="n">
        <v>0.2311</v>
      </c>
      <c r="U94" s="31" t="n">
        <v>3.4</v>
      </c>
      <c r="V94" s="32" t="n">
        <v>0.29</v>
      </c>
      <c r="W94" s="31" t="n">
        <v>137.92</v>
      </c>
      <c r="X94" s="31" t="n">
        <v>118.93</v>
      </c>
      <c r="Y94" s="3" t="n">
        <v>41621</v>
      </c>
      <c r="Z94" s="3" t="n">
        <v>121</v>
      </c>
      <c r="AA94" s="32" t="n">
        <v>0.0029</v>
      </c>
      <c r="AB94" s="3" t="n">
        <v>8</v>
      </c>
      <c r="AC94" s="32" t="n">
        <v>0.06610000000000001</v>
      </c>
      <c r="AD94" s="3" t="inlineStr">
        <is>
          <t>,All Items_Auto_Optiwise_24</t>
        </is>
      </c>
      <c r="AE94" s="31" t="n">
        <v>0.34</v>
      </c>
      <c r="AF94" s="2" t="n">
        <v>30</v>
      </c>
      <c r="AG94" s="2" t="n">
        <v>306</v>
      </c>
      <c r="AH94" s="4" t="n">
        <v>185</v>
      </c>
      <c r="AI94" s="33" t="n">
        <v>47.97</v>
      </c>
      <c r="AJ94" s="4" t="n">
        <v>2</v>
      </c>
      <c r="AK94" s="34" t="n">
        <v>0.0108</v>
      </c>
      <c r="AL94" s="34" t="n">
        <v>0.2581</v>
      </c>
      <c r="AM94" s="2" t="n">
        <v>5400</v>
      </c>
    </row>
    <row r="95">
      <c r="A95">
        <f>HYPERLINK("https://www.walmart.com/ip/519753209", "519753209")</f>
        <v/>
      </c>
      <c r="B95">
        <f>HYPERLINK("https://app.optiwise.ai/catalog/itemdetails/362616", "Sun Blocker Sun Hat for Men, Sun Cap with Neck Flap for Fishing, Safari, Cycling, Hiking, Gardening, and Backpacking, UPF50+, Khaki")</f>
        <v/>
      </c>
      <c r="C95" t="n">
        <v>5</v>
      </c>
      <c r="D95" t="inlineStr">
        <is>
          <t>B78691_1251850_9DF50C84B9947B8F</t>
        </is>
      </c>
      <c r="E95" t="inlineStr">
        <is>
          <t>KC-S9153-KK</t>
        </is>
      </c>
      <c r="F95" t="n">
        <v>49</v>
      </c>
      <c r="G95" t="inlineStr">
        <is>
          <t>Clothing</t>
        </is>
      </c>
      <c r="H95" t="inlineStr">
        <is>
          <t>Hats</t>
        </is>
      </c>
      <c r="I95" t="inlineStr">
        <is>
          <t>Sun Blocker</t>
        </is>
      </c>
      <c r="J95" t="n">
        <v>4.3</v>
      </c>
      <c r="K95" t="inlineStr">
        <is>
          <t>Q2-Target,Optimized,Hats</t>
        </is>
      </c>
      <c r="L95" s="29" t="n">
        <v>185.89</v>
      </c>
      <c r="M95" s="30" t="n">
        <v>0.0016</v>
      </c>
      <c r="N95" s="29" t="n">
        <v>0</v>
      </c>
      <c r="O95" s="29" t="n">
        <v>0</v>
      </c>
      <c r="P95" s="2" t="n">
        <v>11</v>
      </c>
      <c r="Q95" s="31" t="n">
        <v>7.389999999999999</v>
      </c>
      <c r="R95" s="32" t="n">
        <v>0.0009</v>
      </c>
      <c r="S95" s="32" t="n">
        <v>0.0398</v>
      </c>
      <c r="T95" s="32" t="n">
        <v>0.2276</v>
      </c>
      <c r="U95" s="31" t="n">
        <v>7.17</v>
      </c>
      <c r="V95" s="32" t="n">
        <v>0.14</v>
      </c>
      <c r="W95" s="31" t="n">
        <v>52.97</v>
      </c>
      <c r="X95" s="31" t="n">
        <v>52.97</v>
      </c>
      <c r="Y95" s="3" t="n">
        <v>10925</v>
      </c>
      <c r="Z95" s="3" t="n">
        <v>24</v>
      </c>
      <c r="AA95" s="32" t="n">
        <v>0.0022</v>
      </c>
      <c r="AB95" s="3" t="n">
        <v>3</v>
      </c>
      <c r="AC95" s="32" t="n">
        <v>0.125</v>
      </c>
      <c r="AD95" s="3" t="inlineStr">
        <is>
          <t>,Auto Campaign_Vinay</t>
        </is>
      </c>
      <c r="AE95" s="31" t="n">
        <v>0.31</v>
      </c>
      <c r="AF95" s="2" t="n">
        <v>0</v>
      </c>
      <c r="AG95" s="2" t="n">
        <v>166</v>
      </c>
      <c r="AH95" s="4" t="n">
        <v>142</v>
      </c>
      <c r="AI95" s="33" t="n">
        <v>132.92</v>
      </c>
      <c r="AJ95" s="4" t="n">
        <v>8</v>
      </c>
      <c r="AK95" s="34" t="n">
        <v>0.0563</v>
      </c>
      <c r="AL95" s="34" t="n">
        <v>0.715</v>
      </c>
      <c r="AM95" s="2" t="n">
        <v>3681</v>
      </c>
    </row>
    <row r="96">
      <c r="A96">
        <f>HYPERLINK("https://www.walmart.com/ip/504289643", "504289643")</f>
        <v/>
      </c>
      <c r="B96">
        <f>HYPERLINK("https://app.optiwise.ai/catalog/itemdetails/360458", "Wine Bottle Opener Set - 5 Pcs Wine Corkscrew Screwpull Accessories Kit with Drink Stickers by Kato, Perfect Wedding Gifts for Wine Lover u0026 Drinker, Red &amp; Black")</f>
        <v/>
      </c>
      <c r="C96" t="n">
        <v>2</v>
      </c>
      <c r="D96" t="inlineStr">
        <is>
          <t>B78691_1635597_15CC24DDB8BF10AD</t>
        </is>
      </c>
      <c r="E96" t="inlineStr">
        <is>
          <t>1KTWO501RDBK</t>
        </is>
      </c>
      <c r="F96" t="n">
        <v>12</v>
      </c>
      <c r="G96" t="inlineStr">
        <is>
          <t>Home Decor, Kitchen, &amp; Other</t>
        </is>
      </c>
      <c r="H96" t="inlineStr">
        <is>
          <t>Corkscrews &amp; Wine Bottle Openers</t>
        </is>
      </c>
      <c r="I96" t="inlineStr">
        <is>
          <t>Kato</t>
        </is>
      </c>
      <c r="J96" t="n">
        <v>4.8</v>
      </c>
      <c r="K96" t="inlineStr">
        <is>
          <t>Wine,Christmas,WFS,Wine WFS,Valentine,WFS Item</t>
        </is>
      </c>
      <c r="L96" s="29" t="n">
        <v>179.95</v>
      </c>
      <c r="M96" s="30" t="n">
        <v>0.0016</v>
      </c>
      <c r="N96" s="29" t="n">
        <v>0</v>
      </c>
      <c r="O96" s="29" t="n">
        <v>0</v>
      </c>
      <c r="P96" s="2" t="n">
        <v>11</v>
      </c>
      <c r="Q96" s="31" t="n">
        <v>26.5</v>
      </c>
      <c r="R96" s="32" t="n">
        <v>0.0032</v>
      </c>
      <c r="S96" s="32" t="n">
        <v>0.1473</v>
      </c>
      <c r="T96" s="32" t="n">
        <v>0.1388</v>
      </c>
      <c r="U96" s="31" t="n">
        <v>0</v>
      </c>
      <c r="V96" s="32" t="n">
        <v>0</v>
      </c>
      <c r="W96" s="31" t="n">
        <v>0</v>
      </c>
      <c r="X96" s="31" t="n">
        <v>0</v>
      </c>
      <c r="Y96" s="3" t="n">
        <v>14710</v>
      </c>
      <c r="Z96" s="3" t="n">
        <v>50</v>
      </c>
      <c r="AA96" s="32" t="n">
        <v>0.0034</v>
      </c>
      <c r="AB96" s="3" t="n">
        <v>0</v>
      </c>
      <c r="AC96" s="32" t="n">
        <v>0</v>
      </c>
      <c r="AD96" s="3" t="inlineStr">
        <is>
          <t>Need to sell these SKUs by 15th Feb,</t>
        </is>
      </c>
      <c r="AE96" s="31" t="n">
        <v>0.53</v>
      </c>
      <c r="AF96" s="2" t="n">
        <v>183</v>
      </c>
      <c r="AG96" s="2" t="n">
        <v>88</v>
      </c>
      <c r="AH96" s="4" t="n">
        <v>45</v>
      </c>
      <c r="AI96" s="33" t="n">
        <v>179.95</v>
      </c>
      <c r="AJ96" s="4" t="n">
        <v>11</v>
      </c>
      <c r="AK96" s="34" t="n">
        <v>0.2444</v>
      </c>
      <c r="AL96" s="34" t="n">
        <v>1</v>
      </c>
      <c r="AM96" s="2" t="n">
        <v>2466</v>
      </c>
    </row>
    <row r="97">
      <c r="A97">
        <f>HYPERLINK("https://www.walmart.com/ip/169423090", "169423090")</f>
        <v/>
      </c>
      <c r="B97">
        <f>HYPERLINK("https://app.optiwise.ai/catalog/itemdetails/360331", "Tirrinia Wearable Fleece Blanket with Sleeves and Pocket for Women and Men, Super-Soft Microplush Full Body Robe for Lounge Couch, Grey, 51 x 73")</f>
        <v/>
      </c>
      <c r="C97" t="n">
        <v>10</v>
      </c>
      <c r="D97" t="inlineStr">
        <is>
          <t>B78691_1681650_87506DFB4E8EC8A3</t>
        </is>
      </c>
      <c r="E97" t="inlineStr">
        <is>
          <t>1TRSN100GY-TBCB</t>
        </is>
      </c>
      <c r="F97" t="n">
        <v>88</v>
      </c>
      <c r="G97" t="inlineStr">
        <is>
          <t>Bedding</t>
        </is>
      </c>
      <c r="H97" t="inlineStr">
        <is>
          <t>Throws</t>
        </is>
      </c>
      <c r="I97" t="inlineStr">
        <is>
          <t>Tirrinia</t>
        </is>
      </c>
      <c r="J97" t="n">
        <v>4.5</v>
      </c>
      <c r="K97" t="inlineStr">
        <is>
          <t>Optimized,WFS Item</t>
        </is>
      </c>
      <c r="L97" s="29" t="n">
        <v>176.36</v>
      </c>
      <c r="M97" s="30" t="n">
        <v>0.0015</v>
      </c>
      <c r="N97" s="29" t="n">
        <v>0</v>
      </c>
      <c r="O97" s="29" t="n">
        <v>19.98999977111816</v>
      </c>
      <c r="P97" s="2" t="n">
        <v>7</v>
      </c>
      <c r="Q97" s="31" t="n">
        <v>0</v>
      </c>
      <c r="R97" s="32" t="n"/>
      <c r="S97" s="32" t="n">
        <v>0</v>
      </c>
      <c r="T97" s="32" t="n">
        <v>0.1336</v>
      </c>
      <c r="U97" s="31" t="n">
        <v>0</v>
      </c>
      <c r="V97" s="32" t="n">
        <v>0</v>
      </c>
      <c r="W97" s="31" t="n">
        <v>0</v>
      </c>
      <c r="X97" s="31" t="n">
        <v>0</v>
      </c>
      <c r="Y97" s="3" t="n">
        <v>0</v>
      </c>
      <c r="Z97" s="3" t="n">
        <v>0</v>
      </c>
      <c r="AA97" s="32" t="n">
        <v>0</v>
      </c>
      <c r="AB97" s="3" t="n">
        <v>0</v>
      </c>
      <c r="AC97" s="32" t="n">
        <v>0</v>
      </c>
      <c r="AD97" s="3" t="n"/>
      <c r="AE97" s="31" t="n">
        <v>0</v>
      </c>
      <c r="AF97" s="2" t="n">
        <v>16</v>
      </c>
      <c r="AG97" s="2" t="n">
        <v>240</v>
      </c>
      <c r="AH97" s="4" t="n">
        <v>240</v>
      </c>
      <c r="AI97" s="33" t="n">
        <v>176.36</v>
      </c>
      <c r="AJ97" s="4" t="n">
        <v>7</v>
      </c>
      <c r="AK97" s="34" t="n">
        <v>0.0292</v>
      </c>
      <c r="AL97" s="34" t="n">
        <v>1</v>
      </c>
      <c r="AM97" s="2" t="n">
        <v>14290</v>
      </c>
    </row>
    <row r="98">
      <c r="A98">
        <f>HYPERLINK("https://www.walmart.com/ip/115422991", "115422991")</f>
        <v/>
      </c>
      <c r="B98">
        <f>HYPERLINK("https://app.optiwise.ai/catalog/itemdetails/362593", "JenniWears® Women's Kimono Lace Lingerie Sleepwear Matching Cheeky Panty")</f>
        <v/>
      </c>
      <c r="C98" t="n">
        <v>7</v>
      </c>
      <c r="D98" t="inlineStr">
        <is>
          <t>B78691_979665_FA0A708E296CBCE0</t>
        </is>
      </c>
      <c r="E98" t="inlineStr">
        <is>
          <t>JWRS01PK-XL</t>
        </is>
      </c>
      <c r="F98" t="n">
        <v>3</v>
      </c>
      <c r="G98" t="inlineStr">
        <is>
          <t>Clothing</t>
        </is>
      </c>
      <c r="H98" t="inlineStr">
        <is>
          <t>Lingerie Sets</t>
        </is>
      </c>
      <c r="I98" t="inlineStr">
        <is>
          <t>JenniWears</t>
        </is>
      </c>
      <c r="J98" t="n">
        <v>2.3</v>
      </c>
      <c r="K98" t="inlineStr">
        <is>
          <t>Optimized,Valentine</t>
        </is>
      </c>
      <c r="L98" s="29" t="n">
        <v>175.78</v>
      </c>
      <c r="M98" s="30" t="n">
        <v>0.0015</v>
      </c>
      <c r="N98" s="29" t="n">
        <v>15.97999954223633</v>
      </c>
      <c r="O98" s="29" t="n">
        <v>23.96999931335449</v>
      </c>
      <c r="P98" s="2" t="n">
        <v>22</v>
      </c>
      <c r="Q98" s="31" t="n">
        <v>0</v>
      </c>
      <c r="R98" s="32" t="n"/>
      <c r="S98" s="32" t="n">
        <v>0</v>
      </c>
      <c r="T98" s="32" t="n">
        <v>0</v>
      </c>
      <c r="U98" s="31" t="n">
        <v>0</v>
      </c>
      <c r="V98" s="32" t="n">
        <v>0</v>
      </c>
      <c r="W98" s="31" t="n">
        <v>0</v>
      </c>
      <c r="X98" s="31" t="n">
        <v>0</v>
      </c>
      <c r="Y98" s="3" t="n">
        <v>0</v>
      </c>
      <c r="Z98" s="3" t="n">
        <v>0</v>
      </c>
      <c r="AA98" s="32" t="n">
        <v>0</v>
      </c>
      <c r="AB98" s="3" t="n">
        <v>0</v>
      </c>
      <c r="AC98" s="32" t="n">
        <v>0</v>
      </c>
      <c r="AD98" s="3" t="n"/>
      <c r="AE98" s="31" t="n">
        <v>0</v>
      </c>
      <c r="AF98" s="2" t="n">
        <v>90</v>
      </c>
      <c r="AG98" s="2" t="n">
        <v>364</v>
      </c>
      <c r="AH98" s="4" t="n">
        <v>364</v>
      </c>
      <c r="AI98" s="33" t="n">
        <v>175.78</v>
      </c>
      <c r="AJ98" s="4" t="n">
        <v>22</v>
      </c>
      <c r="AK98" s="34" t="n">
        <v>0.0604</v>
      </c>
      <c r="AL98" s="34" t="n">
        <v>1</v>
      </c>
      <c r="AM98" s="2" t="n">
        <v>3479</v>
      </c>
    </row>
    <row r="99">
      <c r="A99">
        <f>HYPERLINK("https://www.walmart.com/ip/419531015", "419531015")</f>
        <v/>
      </c>
      <c r="B99">
        <f>HYPERLINK("https://app.optiwise.ai/catalog/itemdetails/409169", "Tirrinia Insulated Lunch Bag for Women Men, Leakproof Thermal Reusable Lunch Box for Adult &amp; Kids, Lunch Cooler Tote for Office Work Back to School, Olive")</f>
        <v/>
      </c>
      <c r="C99" t="n">
        <v>9</v>
      </c>
      <c r="D99" t="inlineStr">
        <is>
          <t>B78691_1680917_58284B2CD2BE7C06</t>
        </is>
      </c>
      <c r="E99" t="inlineStr">
        <is>
          <t>1TRLB701P1OL</t>
        </is>
      </c>
      <c r="F99" t="n">
        <v>39</v>
      </c>
      <c r="G99" t="inlineStr">
        <is>
          <t>Home Decor, Kitchen, &amp; Other</t>
        </is>
      </c>
      <c r="H99" t="inlineStr">
        <is>
          <t>Reusable Lunch Bags &amp; Boxes</t>
        </is>
      </c>
      <c r="I99" t="inlineStr">
        <is>
          <t>Tirrinia</t>
        </is>
      </c>
      <c r="J99" t="n">
        <v>4.600000000000001</v>
      </c>
      <c r="K99" t="inlineStr">
        <is>
          <t>Q2-Target,Brand Camp VD,Lunch Bag,Optimized,Lunch Bags,SEM</t>
        </is>
      </c>
      <c r="L99" s="29" t="n">
        <v>167.33</v>
      </c>
      <c r="M99" s="30" t="n">
        <v>0.0014</v>
      </c>
      <c r="N99" s="29" t="n">
        <v>12.98999977111816</v>
      </c>
      <c r="O99" s="29" t="n">
        <v>0</v>
      </c>
      <c r="P99" s="2" t="n">
        <v>11</v>
      </c>
      <c r="Q99" s="31" t="n">
        <v>0</v>
      </c>
      <c r="R99" s="32" t="n"/>
      <c r="S99" s="32" t="n">
        <v>0</v>
      </c>
      <c r="T99" s="32" t="n">
        <v>0.0272</v>
      </c>
      <c r="U99" s="31" t="n">
        <v>0</v>
      </c>
      <c r="V99" s="32" t="n">
        <v>0</v>
      </c>
      <c r="W99" s="31" t="n">
        <v>0</v>
      </c>
      <c r="X99" s="31" t="n">
        <v>0</v>
      </c>
      <c r="Y99" s="3" t="n">
        <v>0</v>
      </c>
      <c r="Z99" s="3" t="n">
        <v>0</v>
      </c>
      <c r="AA99" s="32" t="n">
        <v>0</v>
      </c>
      <c r="AB99" s="3" t="n">
        <v>0</v>
      </c>
      <c r="AC99" s="32" t="n">
        <v>0</v>
      </c>
      <c r="AD99" s="3" t="n"/>
      <c r="AE99" s="31" t="n">
        <v>0</v>
      </c>
      <c r="AF99" s="2" t="n">
        <v>99</v>
      </c>
      <c r="AG99" s="2" t="n">
        <v>637</v>
      </c>
      <c r="AH99" s="4" t="n">
        <v>637</v>
      </c>
      <c r="AI99" s="33" t="n">
        <v>167.33</v>
      </c>
      <c r="AJ99" s="4" t="n">
        <v>11</v>
      </c>
      <c r="AK99" s="34" t="n">
        <v>0.0173</v>
      </c>
      <c r="AL99" s="34" t="n">
        <v>1</v>
      </c>
      <c r="AM99" s="2" t="n">
        <v>9535</v>
      </c>
    </row>
    <row r="100">
      <c r="A100">
        <f>HYPERLINK("https://www.walmart.com/ip/530367477", "530367477")</f>
        <v/>
      </c>
      <c r="B100">
        <f>HYPERLINK("https://app.optiwise.ai/catalog/itemdetails/361254", "Tirrinia Adult Insulated Lunch Bag with Front Pocket, Grey Green, 14'' x 7'' x 9.5'', 10.8 L")</f>
        <v/>
      </c>
      <c r="C100" t="n">
        <v>5</v>
      </c>
      <c r="D100" t="inlineStr">
        <is>
          <t>B78691_1680818_7B1C5D1B5D7412D1</t>
        </is>
      </c>
      <c r="E100" t="inlineStr">
        <is>
          <t>1TRLB705GYNG</t>
        </is>
      </c>
      <c r="F100" t="n">
        <v>231</v>
      </c>
      <c r="G100" t="inlineStr">
        <is>
          <t>Home Decor, Kitchen, &amp; Other</t>
        </is>
      </c>
      <c r="H100" t="inlineStr">
        <is>
          <t>Reusable Lunch Bags &amp; Boxes</t>
        </is>
      </c>
      <c r="I100" t="inlineStr">
        <is>
          <t>Tirrinia</t>
        </is>
      </c>
      <c r="J100" t="n">
        <v>4.7</v>
      </c>
      <c r="K100" t="inlineStr">
        <is>
          <t>Q2-Target,Brand Camp VD,Lunch Bag,WFS,Lunch Bags,WFS Item</t>
        </is>
      </c>
      <c r="L100" s="29" t="n">
        <v>165.78</v>
      </c>
      <c r="M100" s="30" t="n">
        <v>0.0014</v>
      </c>
      <c r="N100" s="29" t="n">
        <v>38.94999885559082</v>
      </c>
      <c r="O100" s="29" t="n">
        <v>0</v>
      </c>
      <c r="P100" s="2" t="n">
        <v>13</v>
      </c>
      <c r="Q100" s="31" t="n">
        <v>0</v>
      </c>
      <c r="R100" s="32" t="n"/>
      <c r="S100" s="32" t="n">
        <v>0</v>
      </c>
      <c r="T100" s="32" t="n">
        <v>0.0478</v>
      </c>
      <c r="U100" s="31" t="n">
        <v>0</v>
      </c>
      <c r="V100" s="32" t="n">
        <v>0</v>
      </c>
      <c r="W100" s="31" t="n">
        <v>0</v>
      </c>
      <c r="X100" s="31" t="n">
        <v>0</v>
      </c>
      <c r="Y100" s="3" t="n">
        <v>0</v>
      </c>
      <c r="Z100" s="3" t="n">
        <v>0</v>
      </c>
      <c r="AA100" s="32" t="n">
        <v>0</v>
      </c>
      <c r="AB100" s="3" t="n">
        <v>0</v>
      </c>
      <c r="AC100" s="32" t="n">
        <v>0</v>
      </c>
      <c r="AD100" s="3" t="n"/>
      <c r="AE100" s="31" t="n">
        <v>0</v>
      </c>
      <c r="AF100" s="2" t="n">
        <v>130</v>
      </c>
      <c r="AG100" s="2" t="n">
        <v>709</v>
      </c>
      <c r="AH100" s="4" t="n">
        <v>709</v>
      </c>
      <c r="AI100" s="33" t="n">
        <v>165.78</v>
      </c>
      <c r="AJ100" s="4" t="n">
        <v>13</v>
      </c>
      <c r="AK100" s="34" t="n">
        <v>0.0183</v>
      </c>
      <c r="AL100" s="34" t="n">
        <v>1</v>
      </c>
      <c r="AM100" s="2" t="n">
        <v>4039</v>
      </c>
    </row>
    <row r="101">
      <c r="A101">
        <f>HYPERLINK("https://www.walmart.com/ip/129746422", "129746422")</f>
        <v/>
      </c>
      <c r="B101">
        <f>HYPERLINK("https://app.optiwise.ai/catalog/itemdetails/362109", "Napa Women's Soft Warm Bathrobe, Microfiber Fleece Plush Hotel Spa Robe with Pockets, Robes for Women, Brown")</f>
        <v/>
      </c>
      <c r="C101" t="n">
        <v>1</v>
      </c>
      <c r="D101" t="inlineStr">
        <is>
          <t>B78691_974537_5C9BB2671E1E9004</t>
        </is>
      </c>
      <c r="E101" t="inlineStr">
        <is>
          <t>R5000BROWN-01</t>
        </is>
      </c>
      <c r="F101" t="n">
        <v>19</v>
      </c>
      <c r="G101" t="inlineStr">
        <is>
          <t>Clothing</t>
        </is>
      </c>
      <c r="H101" t="inlineStr">
        <is>
          <t>Sleepwear Robes &amp; Bathrobes</t>
        </is>
      </c>
      <c r="I101" t="inlineStr">
        <is>
          <t>NAPA</t>
        </is>
      </c>
      <c r="J101" t="n">
        <v>4.7</v>
      </c>
      <c r="K101" t="inlineStr">
        <is>
          <t>WFS,Bathrobe,Coupon_Discount,WFS Item</t>
        </is>
      </c>
      <c r="L101" s="29" t="n">
        <v>160.93</v>
      </c>
      <c r="M101" s="30" t="n">
        <v>0.0014</v>
      </c>
      <c r="N101" s="29" t="n">
        <v>45.97999954223633</v>
      </c>
      <c r="O101" s="29" t="n">
        <v>0</v>
      </c>
      <c r="P101" s="2" t="n">
        <v>7</v>
      </c>
      <c r="Q101" s="31" t="n">
        <v>0</v>
      </c>
      <c r="R101" s="32" t="n"/>
      <c r="S101" s="32" t="n">
        <v>0</v>
      </c>
      <c r="T101" s="32" t="n">
        <v>0</v>
      </c>
      <c r="U101" s="31" t="n">
        <v>0</v>
      </c>
      <c r="V101" s="32" t="n">
        <v>0</v>
      </c>
      <c r="W101" s="31" t="n">
        <v>0</v>
      </c>
      <c r="X101" s="31" t="n">
        <v>0</v>
      </c>
      <c r="Y101" s="3" t="n">
        <v>0</v>
      </c>
      <c r="Z101" s="3" t="n">
        <v>0</v>
      </c>
      <c r="AA101" s="32" t="n">
        <v>0</v>
      </c>
      <c r="AB101" s="3" t="n">
        <v>0</v>
      </c>
      <c r="AC101" s="32" t="n">
        <v>0</v>
      </c>
      <c r="AD101" s="3" t="n"/>
      <c r="AE101" s="31" t="n">
        <v>0</v>
      </c>
      <c r="AF101" s="2" t="n">
        <v>151</v>
      </c>
      <c r="AG101" s="2" t="n">
        <v>171</v>
      </c>
      <c r="AH101" s="4" t="n">
        <v>171</v>
      </c>
      <c r="AI101" s="33" t="n">
        <v>160.93</v>
      </c>
      <c r="AJ101" s="4" t="n">
        <v>7</v>
      </c>
      <c r="AK101" s="34" t="n">
        <v>0.0409</v>
      </c>
      <c r="AL101" s="34" t="n">
        <v>1</v>
      </c>
      <c r="AM101" s="2" t="n">
        <v>1928</v>
      </c>
    </row>
    <row r="102">
      <c r="A102">
        <f>HYPERLINK("https://www.walmart.com/ip/188803915", "188803915")</f>
        <v/>
      </c>
      <c r="B102">
        <f>HYPERLINK("https://app.optiwise.ai/catalog/itemdetails/361567", "Kato Insulated Wine Carrier Bag - 4 Bottle Travel Padded Wine Carrying Cooler Tote with Handle and Shoulder Strap, Great Wine Lover Gift, Stripe")</f>
        <v/>
      </c>
      <c r="C102" t="n">
        <v>5</v>
      </c>
      <c r="D102" t="inlineStr">
        <is>
          <t>B78691_1681799_504CA6E2C5271DF9</t>
        </is>
      </c>
      <c r="E102" t="inlineStr">
        <is>
          <t>1KTWB420STR</t>
        </is>
      </c>
      <c r="F102" t="n">
        <v>11</v>
      </c>
      <c r="G102" t="inlineStr">
        <is>
          <t>Home Decor, Kitchen, &amp; Other</t>
        </is>
      </c>
      <c r="H102" t="inlineStr">
        <is>
          <t>Wine Totes, Bags &amp; Backpacks</t>
        </is>
      </c>
      <c r="I102" t="inlineStr">
        <is>
          <t>Kato</t>
        </is>
      </c>
      <c r="J102" t="n">
        <v>4.8</v>
      </c>
      <c r="K102" t="inlineStr">
        <is>
          <t>Wine,Wine Bag Camp,Christmas,Wine WFS,Valentine,WFS Item</t>
        </is>
      </c>
      <c r="L102" s="29" t="n">
        <v>158.93</v>
      </c>
      <c r="M102" s="30" t="n">
        <v>0.0014</v>
      </c>
      <c r="N102" s="29" t="n">
        <v>0</v>
      </c>
      <c r="O102" s="29" t="n">
        <v>0</v>
      </c>
      <c r="P102" s="2" t="n">
        <v>7</v>
      </c>
      <c r="Q102" s="31" t="n">
        <v>33.63</v>
      </c>
      <c r="R102" s="32" t="n">
        <v>0.004</v>
      </c>
      <c r="S102" s="32" t="n">
        <v>0.2116</v>
      </c>
      <c r="T102" s="32" t="n">
        <v>0.1802</v>
      </c>
      <c r="U102" s="31" t="n">
        <v>1.34</v>
      </c>
      <c r="V102" s="32" t="n">
        <v>0.75</v>
      </c>
      <c r="W102" s="31" t="n">
        <v>44.98</v>
      </c>
      <c r="X102" s="31" t="n">
        <v>44.98</v>
      </c>
      <c r="Y102" s="3" t="n">
        <v>52328</v>
      </c>
      <c r="Z102" s="3" t="n">
        <v>79</v>
      </c>
      <c r="AA102" s="32" t="n">
        <v>0.0015</v>
      </c>
      <c r="AB102" s="3" t="n">
        <v>2</v>
      </c>
      <c r="AC102" s="32" t="n">
        <v>0.0253</v>
      </c>
      <c r="AD102" s="3" t="inlineStr">
        <is>
          <t>Auto Campaign_Vinay,WFS Inventory</t>
        </is>
      </c>
      <c r="AE102" s="31" t="n">
        <v>0.43</v>
      </c>
      <c r="AF102" s="2" t="n">
        <v>0</v>
      </c>
      <c r="AG102" s="2" t="n">
        <v>236</v>
      </c>
      <c r="AH102" s="4" t="n">
        <v>157</v>
      </c>
      <c r="AI102" s="33" t="n">
        <v>113.95</v>
      </c>
      <c r="AJ102" s="4" t="n">
        <v>5</v>
      </c>
      <c r="AK102" s="34" t="n">
        <v>0.0318</v>
      </c>
      <c r="AL102" s="34" t="n">
        <v>0.717</v>
      </c>
      <c r="AM102" s="2" t="n">
        <v>7810</v>
      </c>
    </row>
    <row r="103">
      <c r="A103">
        <f>HYPERLINK("https://www.walmart.com/ip/410899618", "410899618")</f>
        <v/>
      </c>
      <c r="B103">
        <f>HYPERLINK("https://app.optiwise.ai/catalog/itemdetails/360776", "Tirrinia US Flag Patriotic Sherpa Throw Blanket, Super Cozy Fleece Blanket, Reversible for Bed or Couch, US Flag Print, 50 x 60")</f>
        <v/>
      </c>
      <c r="C103" t="n">
        <v>8</v>
      </c>
      <c r="D103" t="inlineStr">
        <is>
          <t>B78691_1639312_287FE394444CE738</t>
        </is>
      </c>
      <c r="E103" t="inlineStr">
        <is>
          <t>1TRBF300USA</t>
        </is>
      </c>
      <c r="F103" t="n">
        <v>7</v>
      </c>
      <c r="G103" t="inlineStr">
        <is>
          <t>Bedding</t>
        </is>
      </c>
      <c r="H103" t="inlineStr">
        <is>
          <t>Throws</t>
        </is>
      </c>
      <c r="I103" t="inlineStr">
        <is>
          <t>Tirrinia</t>
        </is>
      </c>
      <c r="J103" t="n">
        <v>5</v>
      </c>
      <c r="K103" t="inlineStr">
        <is>
          <t>WFS,WFS Item</t>
        </is>
      </c>
      <c r="L103" s="29" t="n">
        <v>153.93</v>
      </c>
      <c r="M103" s="30" t="n">
        <v>0.0013</v>
      </c>
      <c r="N103" s="29" t="n">
        <v>0</v>
      </c>
      <c r="O103" s="29" t="n">
        <v>0</v>
      </c>
      <c r="P103" s="2" t="n">
        <v>7</v>
      </c>
      <c r="Q103" s="31" t="n">
        <v>8.050000000000001</v>
      </c>
      <c r="R103" s="32" t="n">
        <v>0.001</v>
      </c>
      <c r="S103" s="32" t="n">
        <v>0.0523</v>
      </c>
      <c r="T103" s="32" t="n">
        <v>0.3178</v>
      </c>
      <c r="U103" s="31" t="n">
        <v>3.23</v>
      </c>
      <c r="V103" s="32" t="n">
        <v>0.31</v>
      </c>
      <c r="W103" s="31" t="n">
        <v>25.99</v>
      </c>
      <c r="X103" s="31" t="n">
        <v>25.99</v>
      </c>
      <c r="Y103" s="3" t="n">
        <v>15987</v>
      </c>
      <c r="Z103" s="3" t="n">
        <v>20</v>
      </c>
      <c r="AA103" s="32" t="n">
        <v>0.0013</v>
      </c>
      <c r="AB103" s="3" t="n">
        <v>1</v>
      </c>
      <c r="AC103" s="32" t="n">
        <v>0.05</v>
      </c>
      <c r="AD103" s="3" t="inlineStr">
        <is>
          <t>Throws_Auto_Optiwise_24,Throws_Manual_Optiwise_24,</t>
        </is>
      </c>
      <c r="AE103" s="31" t="n">
        <v>0.4</v>
      </c>
      <c r="AF103" s="2" t="n">
        <v>11</v>
      </c>
      <c r="AG103" s="2" t="n">
        <v>93</v>
      </c>
      <c r="AH103" s="4" t="n">
        <v>73</v>
      </c>
      <c r="AI103" s="33" t="n">
        <v>127.94</v>
      </c>
      <c r="AJ103" s="4" t="n">
        <v>6</v>
      </c>
      <c r="AK103" s="34" t="n">
        <v>0.0822</v>
      </c>
      <c r="AL103" s="34" t="n">
        <v>0.8312</v>
      </c>
      <c r="AM103" s="2" t="n">
        <v>7849</v>
      </c>
    </row>
    <row r="104">
      <c r="A104">
        <f>HYPERLINK("https://www.walmart.com/ip/9536168353", "9536168353")</f>
        <v/>
      </c>
      <c r="B104">
        <f>HYPERLINK("https://app.optiwise.ai/catalog/itemdetails/9941252", "Wrangler Yellowstone Sturdy Laptop Backpack for Travel, Hiking Backpack with Classic Logo, Water Resistant Casual Daypack, Padded Sleeve College Backpack for Notebook, Dark Gray")</f>
        <v/>
      </c>
      <c r="C104" t="n">
        <v>16</v>
      </c>
      <c r="D104" t="inlineStr">
        <is>
          <t>B78691_1682746_3229F2B20E85A923</t>
        </is>
      </c>
      <c r="E104" t="inlineStr">
        <is>
          <t>WR-BACKPACK-16273-DKGREY</t>
        </is>
      </c>
      <c r="F104" t="n">
        <v>2</v>
      </c>
      <c r="G104" t="inlineStr">
        <is>
          <t>Cases &amp; Bags</t>
        </is>
      </c>
      <c r="H104" t="inlineStr">
        <is>
          <t>Backpacks</t>
        </is>
      </c>
      <c r="I104" t="inlineStr">
        <is>
          <t>Wrangler</t>
        </is>
      </c>
      <c r="J104" t="n">
        <v>5</v>
      </c>
      <c r="K104" t="inlineStr">
        <is>
          <t>Backpack</t>
        </is>
      </c>
      <c r="L104" s="29" t="n">
        <v>151.96</v>
      </c>
      <c r="M104" s="30" t="n">
        <v>0.0013</v>
      </c>
      <c r="N104" s="29" t="n">
        <v>34.9900016784668</v>
      </c>
      <c r="O104" s="29" t="n">
        <v>0</v>
      </c>
      <c r="P104" s="2" t="n">
        <v>4</v>
      </c>
      <c r="Q104" s="31" t="n">
        <v>0</v>
      </c>
      <c r="R104" s="32" t="n"/>
      <c r="S104" s="32" t="n">
        <v>0</v>
      </c>
      <c r="T104" s="32" t="n">
        <v>0.1319</v>
      </c>
      <c r="U104" s="31" t="n">
        <v>0</v>
      </c>
      <c r="V104" s="32" t="n">
        <v>0</v>
      </c>
      <c r="W104" s="31" t="n">
        <v>0</v>
      </c>
      <c r="X104" s="31" t="n">
        <v>0</v>
      </c>
      <c r="Y104" s="3" t="n">
        <v>0</v>
      </c>
      <c r="Z104" s="3" t="n">
        <v>0</v>
      </c>
      <c r="AA104" s="32" t="n">
        <v>0</v>
      </c>
      <c r="AB104" s="3" t="n">
        <v>0</v>
      </c>
      <c r="AC104" s="32" t="n">
        <v>0</v>
      </c>
      <c r="AD104" s="3" t="n"/>
      <c r="AE104" s="31" t="n">
        <v>0</v>
      </c>
      <c r="AF104" s="2" t="n">
        <v>0</v>
      </c>
      <c r="AG104" s="2" t="n">
        <v>493</v>
      </c>
      <c r="AH104" s="4" t="n">
        <v>493</v>
      </c>
      <c r="AI104" s="33" t="n">
        <v>151.96</v>
      </c>
      <c r="AJ104" s="4" t="n">
        <v>4</v>
      </c>
      <c r="AK104" s="34" t="n">
        <v>0.0081</v>
      </c>
      <c r="AL104" s="34" t="n">
        <v>1</v>
      </c>
      <c r="AM104" s="2" t="n">
        <v>30543</v>
      </c>
    </row>
    <row r="105">
      <c r="A105">
        <f>HYPERLINK("https://www.walmart.com/ip/702705753", "702705753")</f>
        <v/>
      </c>
      <c r="B105">
        <f>HYPERLINK("https://app.optiwise.ai/catalog/itemdetails/359107", "Catalonia Wearable Fleece Blanket with Sleeves and Foot Pockets for Adult Women Men, Micro Plush Comfy Wrap Sleeved Throw Blanket Robe Large, Purple")</f>
        <v/>
      </c>
      <c r="C105" t="inlineStr">
        <is>
          <t>-</t>
        </is>
      </c>
      <c r="E105" t="inlineStr">
        <is>
          <t>1CTSN101PP</t>
        </is>
      </c>
      <c r="F105" t="n">
        <v>7</v>
      </c>
      <c r="G105" t="inlineStr">
        <is>
          <t>Bedding</t>
        </is>
      </c>
      <c r="H105" t="inlineStr">
        <is>
          <t>Throws</t>
        </is>
      </c>
      <c r="I105" t="inlineStr">
        <is>
          <t>Catalonia</t>
        </is>
      </c>
      <c r="J105" t="n">
        <v>4.4</v>
      </c>
      <c r="K105" t="inlineStr">
        <is>
          <t>Q2-Target,WFS,Coupon_Discount,WFS Item,Fleece Blankets</t>
        </is>
      </c>
      <c r="L105" s="29" t="n">
        <v>150.93</v>
      </c>
      <c r="M105" s="30" t="n">
        <v>0.0013</v>
      </c>
      <c r="N105" s="29" t="n">
        <v>71.96999931335449</v>
      </c>
      <c r="O105" s="29" t="n">
        <v>0</v>
      </c>
      <c r="P105" s="2" t="n">
        <v>6</v>
      </c>
      <c r="Q105" s="31" t="n">
        <v>20.02</v>
      </c>
      <c r="R105" s="32" t="n">
        <v>0.0024</v>
      </c>
      <c r="S105" s="32" t="n">
        <v>0.1326</v>
      </c>
      <c r="T105" s="32" t="n">
        <v>0</v>
      </c>
      <c r="U105" s="31" t="n">
        <v>3.59</v>
      </c>
      <c r="V105" s="32" t="n">
        <v>0.28</v>
      </c>
      <c r="W105" s="31" t="n">
        <v>71.97</v>
      </c>
      <c r="X105" s="31" t="n">
        <v>71.97</v>
      </c>
      <c r="Y105" s="3" t="n">
        <v>10446</v>
      </c>
      <c r="Z105" s="3" t="n">
        <v>46</v>
      </c>
      <c r="AA105" s="32" t="n">
        <v>0.0044</v>
      </c>
      <c r="AB105" s="3" t="n">
        <v>3</v>
      </c>
      <c r="AC105" s="32" t="n">
        <v>0.06519999999999999</v>
      </c>
      <c r="AD105" s="3" t="inlineStr">
        <is>
          <t>Need to sell these SKUs by 15th Feb</t>
        </is>
      </c>
      <c r="AE105" s="31" t="n">
        <v>0.44</v>
      </c>
      <c r="AF105" s="2" t="n">
        <v>143</v>
      </c>
      <c r="AG105" s="2" t="n">
        <v>161</v>
      </c>
      <c r="AH105" s="4" t="n">
        <v>115</v>
      </c>
      <c r="AI105" s="33" t="n">
        <v>78.96000000000001</v>
      </c>
      <c r="AJ105" s="4" t="n">
        <v>3</v>
      </c>
      <c r="AK105" s="34" t="n">
        <v>0.0261</v>
      </c>
      <c r="AL105" s="34" t="n">
        <v>0.5232</v>
      </c>
      <c r="AM105" s="2" t="n">
        <v>2250</v>
      </c>
    </row>
    <row r="106">
      <c r="A106">
        <f>HYPERLINK("https://www.walmart.com/ip/158342906", "158342906")</f>
        <v/>
      </c>
      <c r="B106">
        <f>HYPERLINK("https://app.optiwise.ai/catalog/itemdetails/361823", "JenniWears Women's Sexy Crotchless Suspender Pantyhose Stockings Black Sheer Socks")</f>
        <v/>
      </c>
      <c r="C106" t="n">
        <v>9</v>
      </c>
      <c r="D106" t="inlineStr">
        <is>
          <t>B78691_974106_E280B15059841B27</t>
        </is>
      </c>
      <c r="E106" t="inlineStr">
        <is>
          <t>JWBLSPH6001</t>
        </is>
      </c>
      <c r="F106" t="n">
        <v>25</v>
      </c>
      <c r="G106" t="inlineStr">
        <is>
          <t>Clothing</t>
        </is>
      </c>
      <c r="H106" t="inlineStr">
        <is>
          <t>Pantyhose &amp; Tights</t>
        </is>
      </c>
      <c r="I106" t="inlineStr">
        <is>
          <t>JenniWears</t>
        </is>
      </c>
      <c r="J106" t="n">
        <v>3.3</v>
      </c>
      <c r="K106" t="inlineStr">
        <is>
          <t>Optimized,Valentine</t>
        </is>
      </c>
      <c r="L106" s="29" t="n">
        <v>149.75</v>
      </c>
      <c r="M106" s="30" t="n">
        <v>0.0013</v>
      </c>
      <c r="N106" s="29" t="n">
        <v>15.97999954223633</v>
      </c>
      <c r="O106" s="29" t="n">
        <v>0</v>
      </c>
      <c r="P106" s="2" t="n">
        <v>16</v>
      </c>
      <c r="Q106" s="31" t="n">
        <v>0</v>
      </c>
      <c r="R106" s="32" t="n"/>
      <c r="S106" s="32" t="n">
        <v>0</v>
      </c>
      <c r="T106" s="32" t="n">
        <v>0</v>
      </c>
      <c r="U106" s="31" t="n">
        <v>0</v>
      </c>
      <c r="V106" s="32" t="n">
        <v>0</v>
      </c>
      <c r="W106" s="31" t="n">
        <v>0</v>
      </c>
      <c r="X106" s="31" t="n">
        <v>0</v>
      </c>
      <c r="Y106" s="3" t="n">
        <v>0</v>
      </c>
      <c r="Z106" s="3" t="n">
        <v>0</v>
      </c>
      <c r="AA106" s="32" t="n">
        <v>0</v>
      </c>
      <c r="AB106" s="3" t="n">
        <v>0</v>
      </c>
      <c r="AC106" s="32" t="n">
        <v>0</v>
      </c>
      <c r="AD106" s="3" t="n"/>
      <c r="AE106" s="31" t="n">
        <v>0</v>
      </c>
      <c r="AF106" s="2" t="n">
        <v>160</v>
      </c>
      <c r="AG106" s="2" t="n">
        <v>498</v>
      </c>
      <c r="AH106" s="4" t="n">
        <v>498</v>
      </c>
      <c r="AI106" s="33" t="n">
        <v>149.75</v>
      </c>
      <c r="AJ106" s="4" t="n">
        <v>16</v>
      </c>
      <c r="AK106" s="34" t="n">
        <v>0.0321</v>
      </c>
      <c r="AL106" s="34" t="n">
        <v>1</v>
      </c>
      <c r="AM106" s="2" t="n">
        <v>5349</v>
      </c>
    </row>
    <row r="107">
      <c r="A107">
        <f>HYPERLINK("https://www.walmart.com/ip/6117611260", "6117611260")</f>
        <v/>
      </c>
      <c r="B107">
        <f>HYPERLINK("https://app.optiwise.ai/catalog/itemdetails/9588078", "Tirrinia 4-in-1 Travel Blanket Luxurious Premium Micro Fleece Lightweight 40” x 60” Grey")</f>
        <v/>
      </c>
      <c r="C107" t="n">
        <v>5</v>
      </c>
      <c r="D107" t="inlineStr">
        <is>
          <t>B78691_1670884_447AC5C817DABBB5</t>
        </is>
      </c>
      <c r="E107" t="inlineStr">
        <is>
          <t>1TRTB103FP</t>
        </is>
      </c>
      <c r="F107" t="n">
        <v>14</v>
      </c>
      <c r="G107" t="inlineStr">
        <is>
          <t>Bedding</t>
        </is>
      </c>
      <c r="H107" t="inlineStr">
        <is>
          <t>Throws</t>
        </is>
      </c>
      <c r="I107" t="inlineStr">
        <is>
          <t>Tirrinia</t>
        </is>
      </c>
      <c r="L107" s="29" t="n">
        <v>146.93</v>
      </c>
      <c r="M107" s="30" t="n">
        <v>0.0013</v>
      </c>
      <c r="N107" s="29" t="n">
        <v>20.98999977111816</v>
      </c>
      <c r="O107" s="29" t="n">
        <v>0</v>
      </c>
      <c r="P107" s="2" t="n">
        <v>7</v>
      </c>
      <c r="Q107" s="31" t="n">
        <v>0</v>
      </c>
      <c r="R107" s="32" t="n"/>
      <c r="S107" s="32" t="n">
        <v>0</v>
      </c>
      <c r="T107" s="32" t="n">
        <v>0</v>
      </c>
      <c r="U107" s="31" t="n">
        <v>0</v>
      </c>
      <c r="V107" s="32" t="n">
        <v>0</v>
      </c>
      <c r="W107" s="31" t="n">
        <v>0</v>
      </c>
      <c r="X107" s="31" t="n">
        <v>0</v>
      </c>
      <c r="Y107" s="3" t="n">
        <v>0</v>
      </c>
      <c r="Z107" s="3" t="n">
        <v>0</v>
      </c>
      <c r="AA107" s="32" t="n">
        <v>0</v>
      </c>
      <c r="AB107" s="3" t="n">
        <v>0</v>
      </c>
      <c r="AC107" s="32" t="n">
        <v>0</v>
      </c>
      <c r="AD107" s="3" t="n"/>
      <c r="AE107" s="31" t="n">
        <v>0</v>
      </c>
      <c r="AF107" s="2" t="n">
        <v>65</v>
      </c>
      <c r="AG107" s="2" t="n">
        <v>148</v>
      </c>
      <c r="AH107" s="4" t="n">
        <v>148</v>
      </c>
      <c r="AI107" s="33" t="n">
        <v>146.93</v>
      </c>
      <c r="AJ107" s="4" t="n">
        <v>7</v>
      </c>
      <c r="AK107" s="34" t="n">
        <v>0.0473</v>
      </c>
      <c r="AL107" s="34" t="n">
        <v>1</v>
      </c>
      <c r="AM107" s="2" t="n">
        <v>7020</v>
      </c>
    </row>
    <row r="108">
      <c r="A108">
        <f>HYPERLINK("https://www.walmart.com/ip/144503035", "144503035")</f>
        <v/>
      </c>
      <c r="B108">
        <f>HYPERLINK("https://app.optiwise.ai/catalog/itemdetails/362115", "Stemless Insulated Wine Tumbler Set with Lid, Stainless Steel Double Walled Metal Wine &amp; Champagne Tumbler with Straw and Brush for Camping, Travel and Outdoor, Rose Gold, 12oz, 2 Pack.")</f>
        <v/>
      </c>
      <c r="C108" t="n">
        <v>6</v>
      </c>
      <c r="D108" t="inlineStr">
        <is>
          <t>B78691_1681677_AB1D26FE848288A6</t>
        </is>
      </c>
      <c r="E108" t="inlineStr">
        <is>
          <t>1TRWT120RG -2PK</t>
        </is>
      </c>
      <c r="F108" t="n">
        <v>38</v>
      </c>
      <c r="G108" t="inlineStr">
        <is>
          <t>Home Decor, Kitchen, &amp; Other</t>
        </is>
      </c>
      <c r="H108" t="inlineStr">
        <is>
          <t>Tumblers</t>
        </is>
      </c>
      <c r="I108" t="inlineStr">
        <is>
          <t>Tirrinia</t>
        </is>
      </c>
      <c r="J108" t="n">
        <v>4.8</v>
      </c>
      <c r="K108" t="inlineStr">
        <is>
          <t>Wine,Christmas,Optimized,WFS,Wine WFS,Valentine,SEM,WFS Item</t>
        </is>
      </c>
      <c r="L108" s="29" t="n">
        <v>143.64</v>
      </c>
      <c r="M108" s="30" t="n">
        <v>0.0012</v>
      </c>
      <c r="N108" s="29" t="n">
        <v>0</v>
      </c>
      <c r="O108" s="29" t="n">
        <v>0</v>
      </c>
      <c r="P108" s="2" t="n">
        <v>18</v>
      </c>
      <c r="Q108" s="31" t="n">
        <v>0.96</v>
      </c>
      <c r="R108" s="32" t="n">
        <v>0.0001</v>
      </c>
      <c r="S108" s="32" t="n">
        <v>0.0067</v>
      </c>
      <c r="T108" s="32" t="n">
        <v>0</v>
      </c>
      <c r="U108" s="31" t="n">
        <v>0</v>
      </c>
      <c r="V108" s="32" t="n">
        <v>0</v>
      </c>
      <c r="W108" s="31" t="n">
        <v>0</v>
      </c>
      <c r="X108" s="31" t="n">
        <v>0</v>
      </c>
      <c r="Y108" s="3" t="n">
        <v>13</v>
      </c>
      <c r="Z108" s="3" t="n">
        <v>2</v>
      </c>
      <c r="AA108" s="32" t="n">
        <v>0.1538</v>
      </c>
      <c r="AB108" s="3" t="n">
        <v>0</v>
      </c>
      <c r="AC108" s="32" t="n">
        <v>0</v>
      </c>
      <c r="AD108" s="3" t="inlineStr">
        <is>
          <t>,Auto Campaign_Vinay</t>
        </is>
      </c>
      <c r="AE108" s="31" t="n">
        <v>0.48</v>
      </c>
      <c r="AF108" s="2" t="n">
        <v>101</v>
      </c>
      <c r="AG108" s="2" t="n">
        <v>351</v>
      </c>
      <c r="AH108" s="4" t="n">
        <v>349</v>
      </c>
      <c r="AI108" s="33" t="n">
        <v>143.64</v>
      </c>
      <c r="AJ108" s="4" t="n">
        <v>18</v>
      </c>
      <c r="AK108" s="34" t="n">
        <v>0.0516</v>
      </c>
      <c r="AL108" s="34" t="n">
        <v>1</v>
      </c>
      <c r="AM108" s="2" t="n">
        <v>3000</v>
      </c>
    </row>
    <row r="109">
      <c r="A109">
        <f>HYPERLINK("https://www.walmart.com/ip/389368673", "389368673")</f>
        <v/>
      </c>
      <c r="B109">
        <f>HYPERLINK("https://app.optiwise.ai/catalog/itemdetails/361980", "Cute Child Cotton Hooded Poncho Towels Mermaid Cartoon Changing Robe Swimmer Outdoor Beach 23” x 52” By Tirrinia")</f>
        <v/>
      </c>
      <c r="C109" t="n">
        <v>4</v>
      </c>
      <c r="D109" t="inlineStr">
        <is>
          <t>B78691_1639352_D955DC1F66E24025</t>
        </is>
      </c>
      <c r="E109" t="inlineStr">
        <is>
          <t>1TRBR200-MM01</t>
        </is>
      </c>
      <c r="F109" t="n">
        <v>22</v>
      </c>
      <c r="G109" t="inlineStr">
        <is>
          <t>Clothing</t>
        </is>
      </c>
      <c r="H109" t="inlineStr">
        <is>
          <t>Towels &amp; Washcloths</t>
        </is>
      </c>
      <c r="I109" t="inlineStr">
        <is>
          <t>Tirrinia</t>
        </is>
      </c>
      <c r="J109" t="n">
        <v>4.7</v>
      </c>
      <c r="K109" t="inlineStr">
        <is>
          <t>Q2-Target,Baby days,Beach Robe Camp</t>
        </is>
      </c>
      <c r="L109" s="29" t="n">
        <v>142.91</v>
      </c>
      <c r="M109" s="30" t="n">
        <v>0.0012</v>
      </c>
      <c r="N109" s="29" t="n">
        <v>14.98999977111816</v>
      </c>
      <c r="O109" s="29" t="n">
        <v>0</v>
      </c>
      <c r="P109" s="2" t="n">
        <v>8</v>
      </c>
      <c r="Q109" s="31" t="n">
        <v>2.4</v>
      </c>
      <c r="R109" s="32" t="n">
        <v>0.0003</v>
      </c>
      <c r="S109" s="32" t="n">
        <v>0.0168</v>
      </c>
      <c r="T109" s="32" t="n">
        <v>0.0798</v>
      </c>
      <c r="U109" s="31" t="n">
        <v>0</v>
      </c>
      <c r="V109" s="32" t="n">
        <v>0</v>
      </c>
      <c r="W109" s="31" t="n">
        <v>0</v>
      </c>
      <c r="X109" s="31" t="n">
        <v>0</v>
      </c>
      <c r="Y109" s="3" t="n">
        <v>7938</v>
      </c>
      <c r="Z109" s="3" t="n">
        <v>12</v>
      </c>
      <c r="AA109" s="32" t="n">
        <v>0.0015</v>
      </c>
      <c r="AB109" s="3" t="n">
        <v>0</v>
      </c>
      <c r="AC109" s="32" t="n">
        <v>0</v>
      </c>
      <c r="AD109" s="3" t="inlineStr">
        <is>
          <t>Auto for Top sale---Rachel,</t>
        </is>
      </c>
      <c r="AE109" s="31" t="n">
        <v>0.2</v>
      </c>
      <c r="AF109" s="2" t="n">
        <v>0</v>
      </c>
      <c r="AG109" s="2" t="n">
        <v>328</v>
      </c>
      <c r="AH109" s="4" t="n">
        <v>316</v>
      </c>
      <c r="AI109" s="33" t="n">
        <v>142.91</v>
      </c>
      <c r="AJ109" s="4" t="n">
        <v>8</v>
      </c>
      <c r="AK109" s="34" t="n">
        <v>0.0253</v>
      </c>
      <c r="AL109" s="34" t="n">
        <v>1</v>
      </c>
      <c r="AM109" s="2" t="n">
        <v>4623</v>
      </c>
    </row>
    <row r="110">
      <c r="A110">
        <f>HYPERLINK("https://www.walmart.com/ip/357398446", "357398446")</f>
        <v/>
      </c>
      <c r="B110">
        <f>HYPERLINK("https://app.optiwise.ai/catalog/itemdetails/361214", "Catalonia Wearable Fleece Blanket with Sleeves and Foot Pockets for Adult Women and Men, Micro Plush Comfy Wrap Sleeved Throw Blanket Robe, Large, Red Plaid, 75 x 53")</f>
        <v/>
      </c>
      <c r="C110" t="n">
        <v>10</v>
      </c>
      <c r="D110" t="inlineStr">
        <is>
          <t>08011517443336</t>
        </is>
      </c>
      <c r="E110" t="inlineStr">
        <is>
          <t>1CTSN101PRD</t>
        </is>
      </c>
      <c r="F110" t="n">
        <v>38</v>
      </c>
      <c r="G110" t="inlineStr">
        <is>
          <t>Bedding</t>
        </is>
      </c>
      <c r="H110" t="inlineStr">
        <is>
          <t>Throws</t>
        </is>
      </c>
      <c r="I110" t="inlineStr">
        <is>
          <t>Catalonia</t>
        </is>
      </c>
      <c r="J110" t="n">
        <v>4.299999999999999</v>
      </c>
      <c r="K110" t="inlineStr">
        <is>
          <t>Q2-Target,WFS,WFS Item,Fleece Blankets</t>
        </is>
      </c>
      <c r="L110" s="29" t="n">
        <v>138.94</v>
      </c>
      <c r="M110" s="30" t="n">
        <v>0.0012</v>
      </c>
      <c r="N110" s="29" t="n">
        <v>0</v>
      </c>
      <c r="O110" s="29" t="n">
        <v>0</v>
      </c>
      <c r="P110" s="2" t="n">
        <v>5</v>
      </c>
      <c r="Q110" s="31" t="n">
        <v>52.67999999999999</v>
      </c>
      <c r="R110" s="32" t="n">
        <v>0.0063</v>
      </c>
      <c r="S110" s="32" t="n">
        <v>0.3792</v>
      </c>
      <c r="T110" s="32" t="n">
        <v>0.0041</v>
      </c>
      <c r="U110" s="31" t="n">
        <v>2.01</v>
      </c>
      <c r="V110" s="32" t="n">
        <v>0.5</v>
      </c>
      <c r="W110" s="31" t="n">
        <v>105.96</v>
      </c>
      <c r="X110" s="31" t="n">
        <v>105.96</v>
      </c>
      <c r="Y110" s="3" t="n">
        <v>66323</v>
      </c>
      <c r="Z110" s="3" t="n">
        <v>128</v>
      </c>
      <c r="AA110" s="32" t="n">
        <v>0.0019</v>
      </c>
      <c r="AB110" s="3" t="n">
        <v>4</v>
      </c>
      <c r="AC110" s="32" t="n">
        <v>0.0312</v>
      </c>
      <c r="AD110" s="3" t="inlineStr">
        <is>
          <t>,Need to sell these SKUs by 15th Feb</t>
        </is>
      </c>
      <c r="AE110" s="31" t="n">
        <v>0.41</v>
      </c>
      <c r="AF110" s="2" t="n">
        <v>119</v>
      </c>
      <c r="AG110" s="2" t="n">
        <v>462</v>
      </c>
      <c r="AH110" s="4" t="n">
        <v>334</v>
      </c>
      <c r="AI110" s="33" t="n">
        <v>32.98</v>
      </c>
      <c r="AJ110" s="4" t="n">
        <v>1</v>
      </c>
      <c r="AK110" s="34" t="n">
        <v>0.003</v>
      </c>
      <c r="AL110" s="34" t="n">
        <v>0.2374</v>
      </c>
      <c r="AM110" s="2" t="n">
        <v>19089</v>
      </c>
    </row>
    <row r="111">
      <c r="A111">
        <f>HYPERLINK("https://www.walmart.com/ip/197840838", "197840838")</f>
        <v/>
      </c>
      <c r="B111">
        <f>HYPERLINK("https://app.optiwise.ai/catalog/itemdetails/360365", "Sexy Lingerie for Women with Black Open Crotch Suspender Bodystocking Lingerie by JenniWears")</f>
        <v/>
      </c>
      <c r="C111" t="n">
        <v>10</v>
      </c>
      <c r="D111" t="inlineStr">
        <is>
          <t>B78691_979709_CEEFC0A6D5E16B26</t>
        </is>
      </c>
      <c r="E111" t="inlineStr">
        <is>
          <t>JWBS8803</t>
        </is>
      </c>
      <c r="F111" t="n">
        <v>39</v>
      </c>
      <c r="G111" t="inlineStr">
        <is>
          <t>Clothing</t>
        </is>
      </c>
      <c r="H111" t="inlineStr">
        <is>
          <t>Teddies &amp; Bodystockings</t>
        </is>
      </c>
      <c r="I111" t="inlineStr">
        <is>
          <t>JenniWears</t>
        </is>
      </c>
      <c r="J111" t="n">
        <v>4.100000000000001</v>
      </c>
      <c r="K111" t="inlineStr">
        <is>
          <t>WFS,Valentine,WFS Item</t>
        </is>
      </c>
      <c r="L111" s="29" t="n">
        <v>135.82</v>
      </c>
      <c r="M111" s="30" t="n">
        <v>0.0012</v>
      </c>
      <c r="N111" s="29" t="n">
        <v>0</v>
      </c>
      <c r="O111" s="29" t="n">
        <v>0</v>
      </c>
      <c r="P111" s="2" t="n">
        <v>17</v>
      </c>
      <c r="Q111" s="31" t="n">
        <v>0</v>
      </c>
      <c r="R111" s="32" t="n"/>
      <c r="S111" s="32" t="n">
        <v>0</v>
      </c>
      <c r="T111" s="32" t="n">
        <v>0</v>
      </c>
      <c r="U111" s="31" t="n">
        <v>0</v>
      </c>
      <c r="V111" s="32" t="n">
        <v>0</v>
      </c>
      <c r="W111" s="31" t="n">
        <v>0</v>
      </c>
      <c r="X111" s="31" t="n">
        <v>0</v>
      </c>
      <c r="Y111" s="3" t="n">
        <v>0</v>
      </c>
      <c r="Z111" s="3" t="n">
        <v>0</v>
      </c>
      <c r="AA111" s="32" t="n">
        <v>0</v>
      </c>
      <c r="AB111" s="3" t="n">
        <v>0</v>
      </c>
      <c r="AC111" s="32" t="n">
        <v>0</v>
      </c>
      <c r="AD111" s="3" t="n"/>
      <c r="AE111" s="31" t="n">
        <v>0</v>
      </c>
      <c r="AF111" s="2" t="n">
        <v>162</v>
      </c>
      <c r="AG111" s="2" t="n">
        <v>458</v>
      </c>
      <c r="AH111" s="4" t="n">
        <v>458</v>
      </c>
      <c r="AI111" s="33" t="n">
        <v>135.82</v>
      </c>
      <c r="AJ111" s="4" t="n">
        <v>17</v>
      </c>
      <c r="AK111" s="34" t="n">
        <v>0.0371</v>
      </c>
      <c r="AL111" s="34" t="n">
        <v>1</v>
      </c>
      <c r="AM111" s="2" t="n">
        <v>6352</v>
      </c>
    </row>
    <row r="112">
      <c r="A112">
        <f>HYPERLINK("https://www.walmart.com/ip/835718183", "835718183")</f>
        <v/>
      </c>
      <c r="B112">
        <f>HYPERLINK("https://app.optiwise.ai/catalog/itemdetails/360918", "Buffalo Plaid Sherpa Throw TV Blanket 50 x 60 Super Soft Reversible Fleece Blanket for Cabin Bed or Couch | Catalonia series by Terrania | Cabin Plaid Blue and Black Check")</f>
        <v/>
      </c>
      <c r="C112" t="n">
        <v>5</v>
      </c>
      <c r="D112" t="inlineStr">
        <is>
          <t>B78691_1639314_C600FCC784647051</t>
        </is>
      </c>
      <c r="E112" t="inlineStr">
        <is>
          <t>1TRBF300PBL-TBCB</t>
        </is>
      </c>
      <c r="F112" t="n">
        <v>26</v>
      </c>
      <c r="G112" t="inlineStr">
        <is>
          <t>Bedding</t>
        </is>
      </c>
      <c r="H112" t="inlineStr">
        <is>
          <t>Throws</t>
        </is>
      </c>
      <c r="I112" t="inlineStr">
        <is>
          <t>Tirrinia</t>
        </is>
      </c>
      <c r="J112" t="n">
        <v>4.6</v>
      </c>
      <c r="K112" t="inlineStr">
        <is>
          <t>WFS,Coupon_Discount,WFS Item,Fleece Blankets</t>
        </is>
      </c>
      <c r="L112" s="29" t="n">
        <v>133.94</v>
      </c>
      <c r="M112" s="30" t="n">
        <v>0.0012</v>
      </c>
      <c r="N112" s="29" t="n">
        <v>0</v>
      </c>
      <c r="O112" s="29" t="n">
        <v>0</v>
      </c>
      <c r="P112" s="2" t="n">
        <v>6</v>
      </c>
      <c r="Q112" s="31" t="n">
        <v>0</v>
      </c>
      <c r="R112" s="32" t="n"/>
      <c r="S112" s="32" t="n">
        <v>0</v>
      </c>
      <c r="T112" s="32" t="n">
        <v>0</v>
      </c>
      <c r="U112" s="31" t="n">
        <v>0</v>
      </c>
      <c r="V112" s="32" t="n">
        <v>0</v>
      </c>
      <c r="W112" s="31" t="n">
        <v>0</v>
      </c>
      <c r="X112" s="31" t="n">
        <v>0</v>
      </c>
      <c r="Y112" s="3" t="n">
        <v>0</v>
      </c>
      <c r="Z112" s="3" t="n">
        <v>0</v>
      </c>
      <c r="AA112" s="32" t="n">
        <v>0</v>
      </c>
      <c r="AB112" s="3" t="n">
        <v>0</v>
      </c>
      <c r="AC112" s="32" t="n">
        <v>0</v>
      </c>
      <c r="AD112" s="3" t="n"/>
      <c r="AE112" s="31" t="n">
        <v>0</v>
      </c>
      <c r="AF112" s="2" t="n">
        <v>2</v>
      </c>
      <c r="AG112" s="2" t="n">
        <v>128</v>
      </c>
      <c r="AH112" s="4" t="n">
        <v>128</v>
      </c>
      <c r="AI112" s="33" t="n">
        <v>133.94</v>
      </c>
      <c r="AJ112" s="4" t="n">
        <v>6</v>
      </c>
      <c r="AK112" s="34" t="n">
        <v>0.0469</v>
      </c>
      <c r="AL112" s="34" t="n">
        <v>1</v>
      </c>
      <c r="AM112" s="2" t="n">
        <v>9450</v>
      </c>
    </row>
    <row r="113">
      <c r="A113">
        <f>HYPERLINK("https://www.walmart.com/ip/902343226", "902343226")</f>
        <v/>
      </c>
      <c r="B113">
        <f>HYPERLINK("https://app.optiwise.ai/catalog/itemdetails/362358", "Tirrinia Wide Brim Sun Hats Safari Fishing Boonie Cap Adult Teen Unisex")</f>
        <v/>
      </c>
      <c r="C113" t="n">
        <v>6</v>
      </c>
      <c r="D113" t="inlineStr">
        <is>
          <t>B78691_1251854_3322691E671C53F2</t>
        </is>
      </c>
      <c r="E113" t="inlineStr">
        <is>
          <t>1TRSH191GN-TBCB</t>
        </is>
      </c>
      <c r="F113" t="n">
        <v>243</v>
      </c>
      <c r="G113" t="inlineStr">
        <is>
          <t>Clothing</t>
        </is>
      </c>
      <c r="H113" t="inlineStr">
        <is>
          <t>Hats</t>
        </is>
      </c>
      <c r="I113" t="inlineStr">
        <is>
          <t>Sun Blocker</t>
        </is>
      </c>
      <c r="J113" t="n">
        <v>4.3</v>
      </c>
      <c r="K113" t="inlineStr">
        <is>
          <t>Q2-Target,Hats</t>
        </is>
      </c>
      <c r="L113" s="29" t="n">
        <v>133.82</v>
      </c>
      <c r="M113" s="30" t="n">
        <v>0.0012</v>
      </c>
      <c r="N113" s="29" t="n">
        <v>77.89999771118164</v>
      </c>
      <c r="O113" s="29" t="n">
        <v>9.989999771118164</v>
      </c>
      <c r="P113" s="2" t="n">
        <v>13</v>
      </c>
      <c r="Q113" s="31" t="n">
        <v>0</v>
      </c>
      <c r="R113" s="32" t="n"/>
      <c r="S113" s="32" t="n">
        <v>0</v>
      </c>
      <c r="T113" s="32" t="n">
        <v>0</v>
      </c>
      <c r="U113" s="31" t="n">
        <v>0</v>
      </c>
      <c r="V113" s="32" t="n">
        <v>0</v>
      </c>
      <c r="W113" s="31" t="n">
        <v>0</v>
      </c>
      <c r="X113" s="31" t="n">
        <v>0</v>
      </c>
      <c r="Y113" s="3" t="n">
        <v>0</v>
      </c>
      <c r="Z113" s="3" t="n">
        <v>0</v>
      </c>
      <c r="AA113" s="32" t="n">
        <v>0</v>
      </c>
      <c r="AB113" s="3" t="n">
        <v>0</v>
      </c>
      <c r="AC113" s="32" t="n">
        <v>0</v>
      </c>
      <c r="AD113" s="3" t="n"/>
      <c r="AE113" s="31" t="n">
        <v>0</v>
      </c>
      <c r="AF113" s="2" t="n">
        <v>31</v>
      </c>
      <c r="AG113" s="2" t="n">
        <v>314</v>
      </c>
      <c r="AH113" s="4" t="n">
        <v>314</v>
      </c>
      <c r="AI113" s="33" t="n">
        <v>133.82</v>
      </c>
      <c r="AJ113" s="4" t="n">
        <v>13</v>
      </c>
      <c r="AK113" s="34" t="n">
        <v>0.0414</v>
      </c>
      <c r="AL113" s="34" t="n">
        <v>1</v>
      </c>
      <c r="AM113" s="2" t="n">
        <v>6230</v>
      </c>
    </row>
    <row r="114">
      <c r="A114">
        <f>HYPERLINK("https://www.walmart.com/ip/836818708", "836818708")</f>
        <v/>
      </c>
      <c r="B114">
        <f>HYPERLINK("https://app.optiwise.ai/catalog/itemdetails/361781", "Tirrinia 6 Bottle Wine cooler bag - Insulated Padded Portable Versatile Wine Carrier Tote Bag for Travel, BYOB Restaurant, Wine Tasting, Party, Christmas Gift for Wine Lover, Grey")</f>
        <v/>
      </c>
      <c r="C114" t="n">
        <v>4</v>
      </c>
      <c r="D114" t="inlineStr">
        <is>
          <t>B78691_1679732_19D44DBBB349AE6C</t>
        </is>
      </c>
      <c r="E114" t="inlineStr">
        <is>
          <t>1WMWB602GY</t>
        </is>
      </c>
      <c r="F114" t="n">
        <v>1</v>
      </c>
      <c r="G114" t="inlineStr">
        <is>
          <t>Home Decor, Kitchen, &amp; Other</t>
        </is>
      </c>
      <c r="H114" t="inlineStr">
        <is>
          <t>Wine Totes, Bags &amp; Backpacks</t>
        </is>
      </c>
      <c r="I114" t="inlineStr">
        <is>
          <t>Flyingstar</t>
        </is>
      </c>
      <c r="J114" t="n">
        <v>5</v>
      </c>
      <c r="K114" t="inlineStr">
        <is>
          <t>Wine,Christmas,Optimized,Wine WFS,Valentine,SEM</t>
        </is>
      </c>
      <c r="L114" s="29" t="n">
        <v>128.93</v>
      </c>
      <c r="M114" s="30" t="n">
        <v>0.0011</v>
      </c>
      <c r="N114" s="29" t="n">
        <v>0</v>
      </c>
      <c r="O114" s="29" t="n">
        <v>0</v>
      </c>
      <c r="P114" s="2" t="n">
        <v>6</v>
      </c>
      <c r="Q114" s="31" t="n">
        <v>26.57</v>
      </c>
      <c r="R114" s="32" t="n">
        <v>0.0032</v>
      </c>
      <c r="S114" s="32" t="n">
        <v>0.2061</v>
      </c>
      <c r="T114" s="32" t="n">
        <v>0.0488</v>
      </c>
      <c r="U114" s="31" t="n">
        <v>1.58</v>
      </c>
      <c r="V114" s="32" t="n">
        <v>0.63</v>
      </c>
      <c r="W114" s="31" t="n">
        <v>41.98</v>
      </c>
      <c r="X114" s="31" t="n">
        <v>41.98</v>
      </c>
      <c r="Y114" s="3" t="n">
        <v>26496</v>
      </c>
      <c r="Z114" s="3" t="n">
        <v>37</v>
      </c>
      <c r="AA114" s="32" t="n">
        <v>0.0014</v>
      </c>
      <c r="AB114" s="3" t="n">
        <v>2</v>
      </c>
      <c r="AC114" s="32" t="n">
        <v>0.0541</v>
      </c>
      <c r="AD114" s="3" t="inlineStr">
        <is>
          <t>Auto Campaign_Vinay,</t>
        </is>
      </c>
      <c r="AE114" s="31" t="n">
        <v>0.72</v>
      </c>
      <c r="AF114" s="2" t="n">
        <v>0</v>
      </c>
      <c r="AG114" s="2" t="n">
        <v>116</v>
      </c>
      <c r="AH114" s="4" t="n">
        <v>79</v>
      </c>
      <c r="AI114" s="33" t="n">
        <v>86.95000000000002</v>
      </c>
      <c r="AJ114" s="4" t="n">
        <v>4</v>
      </c>
      <c r="AK114" s="34" t="n">
        <v>0.0506</v>
      </c>
      <c r="AL114" s="34" t="n">
        <v>0.6744</v>
      </c>
      <c r="AM114" s="2" t="n">
        <v>8730</v>
      </c>
    </row>
    <row r="115">
      <c r="A115">
        <f>HYPERLINK("https://www.walmart.com/ip/356440254", "356440254")</f>
        <v/>
      </c>
      <c r="B115">
        <f>HYPERLINK("https://app.optiwise.ai/catalog/itemdetails/361479", "Tirrinia Wearable Fleece Blanket for Women and Men, Super-Soft Microplush TV Blanket, Full Body Robe for Lounge Couch, Cheetah, 51 x 73")</f>
        <v/>
      </c>
      <c r="C115" t="n">
        <v>9</v>
      </c>
      <c r="D115" t="inlineStr">
        <is>
          <t>B78691_1639430_65C5D530030D18D</t>
        </is>
      </c>
      <c r="E115" t="inlineStr">
        <is>
          <t>1TRSN100CHEETAH-TBCB</t>
        </is>
      </c>
      <c r="F115" t="n">
        <v>17</v>
      </c>
      <c r="G115" t="inlineStr">
        <is>
          <t>Bedding</t>
        </is>
      </c>
      <c r="H115" t="inlineStr">
        <is>
          <t>Throws</t>
        </is>
      </c>
      <c r="I115" t="inlineStr">
        <is>
          <t>Tirrinia</t>
        </is>
      </c>
      <c r="J115" t="n">
        <v>4.899999999999999</v>
      </c>
      <c r="K115" t="inlineStr">
        <is>
          <t>Q2-Target,Optimized,WFS,Coupon_Discount,WFS Item,Fleece Blankets</t>
        </is>
      </c>
      <c r="L115" s="29" t="n">
        <v>125.95</v>
      </c>
      <c r="M115" s="30" t="n">
        <v>0.0011</v>
      </c>
      <c r="N115" s="29" t="n">
        <v>26.98999977111816</v>
      </c>
      <c r="O115" s="29" t="n">
        <v>0</v>
      </c>
      <c r="P115" s="2" t="n">
        <v>5</v>
      </c>
      <c r="Q115" s="31" t="n">
        <v>19.8</v>
      </c>
      <c r="R115" s="32" t="n">
        <v>0.0024</v>
      </c>
      <c r="S115" s="32" t="n">
        <v>0.1572</v>
      </c>
      <c r="T115" s="32" t="n">
        <v>0.1221</v>
      </c>
      <c r="U115" s="31" t="n">
        <v>0</v>
      </c>
      <c r="V115" s="32" t="n">
        <v>0</v>
      </c>
      <c r="W115" s="31" t="n">
        <v>0</v>
      </c>
      <c r="X115" s="31" t="n">
        <v>0</v>
      </c>
      <c r="Y115" s="3" t="n">
        <v>8189</v>
      </c>
      <c r="Z115" s="3" t="n">
        <v>45</v>
      </c>
      <c r="AA115" s="32" t="n">
        <v>0.0055</v>
      </c>
      <c r="AB115" s="3" t="n">
        <v>0</v>
      </c>
      <c r="AC115" s="32" t="n">
        <v>0</v>
      </c>
      <c r="AD115" s="3" t="inlineStr">
        <is>
          <t>Throws_Manual_Optiwise_24,Top Selling Last Year 2023,</t>
        </is>
      </c>
      <c r="AE115" s="31" t="n">
        <v>0.44</v>
      </c>
      <c r="AF115" s="2" t="n">
        <v>263</v>
      </c>
      <c r="AG115" s="2" t="n">
        <v>331</v>
      </c>
      <c r="AH115" s="4" t="n">
        <v>286</v>
      </c>
      <c r="AI115" s="33" t="n">
        <v>125.95</v>
      </c>
      <c r="AJ115" s="4" t="n">
        <v>5</v>
      </c>
      <c r="AK115" s="34" t="n">
        <v>0.0175</v>
      </c>
      <c r="AL115" s="34" t="n">
        <v>1</v>
      </c>
      <c r="AM115" s="2" t="n">
        <v>11772</v>
      </c>
    </row>
    <row r="116">
      <c r="A116">
        <f>HYPERLINK("https://www.walmart.com/ip/677316411", "677316411")</f>
        <v/>
      </c>
      <c r="B116">
        <f>HYPERLINK("https://app.optiwise.ai/catalog/itemdetails/362302", "Tirrinia Buffalo Plaid Fleece Blanket, Super Soft Warm Comfy Flannel Fleece for Bedding, Couch Cabin Throw, Decorative Blanket, Plaid Red, 50 x 60")</f>
        <v/>
      </c>
      <c r="C116" t="n">
        <v>4</v>
      </c>
      <c r="D116" t="inlineStr">
        <is>
          <t>B78691_1680798_5C9BB2671E1E9004</t>
        </is>
      </c>
      <c r="E116" t="inlineStr">
        <is>
          <t>1TRBF576PRD</t>
        </is>
      </c>
      <c r="F116" t="n">
        <v>8</v>
      </c>
      <c r="G116" t="inlineStr">
        <is>
          <t>Bedding</t>
        </is>
      </c>
      <c r="H116" t="inlineStr">
        <is>
          <t>Throws</t>
        </is>
      </c>
      <c r="I116" t="inlineStr">
        <is>
          <t>Tirrinia</t>
        </is>
      </c>
      <c r="J116" t="n">
        <v>4.3</v>
      </c>
      <c r="K116" t="inlineStr">
        <is>
          <t>Q2-Target,WFS,Coupon_Discount,WFS Item,Fleece Blankets</t>
        </is>
      </c>
      <c r="L116" s="29" t="n">
        <v>125.94</v>
      </c>
      <c r="M116" s="30" t="n">
        <v>0.0011</v>
      </c>
      <c r="N116" s="29" t="n">
        <v>0</v>
      </c>
      <c r="O116" s="29" t="n">
        <v>0</v>
      </c>
      <c r="P116" s="2" t="n">
        <v>6</v>
      </c>
      <c r="Q116" s="31" t="n">
        <v>0</v>
      </c>
      <c r="R116" s="32" t="n"/>
      <c r="S116" s="32" t="n">
        <v>0</v>
      </c>
      <c r="T116" s="32" t="n">
        <v>0</v>
      </c>
      <c r="U116" s="31" t="n">
        <v>0</v>
      </c>
      <c r="V116" s="32" t="n">
        <v>0</v>
      </c>
      <c r="W116" s="31" t="n">
        <v>0</v>
      </c>
      <c r="X116" s="31" t="n">
        <v>0</v>
      </c>
      <c r="Y116" s="3" t="n">
        <v>0</v>
      </c>
      <c r="Z116" s="3" t="n">
        <v>0</v>
      </c>
      <c r="AA116" s="32" t="n">
        <v>0</v>
      </c>
      <c r="AB116" s="3" t="n">
        <v>0</v>
      </c>
      <c r="AC116" s="32" t="n">
        <v>0</v>
      </c>
      <c r="AD116" s="3" t="n"/>
      <c r="AE116" s="31" t="n">
        <v>0</v>
      </c>
      <c r="AF116" s="2" t="n">
        <v>27</v>
      </c>
      <c r="AG116" s="2" t="n">
        <v>177</v>
      </c>
      <c r="AH116" s="4" t="n">
        <v>177</v>
      </c>
      <c r="AI116" s="33" t="n">
        <v>125.94</v>
      </c>
      <c r="AJ116" s="4" t="n">
        <v>6</v>
      </c>
      <c r="AK116" s="34" t="n">
        <v>0.0339</v>
      </c>
      <c r="AL116" s="34" t="n">
        <v>1</v>
      </c>
      <c r="AM116" s="2" t="n">
        <v>9000</v>
      </c>
    </row>
    <row r="117">
      <c r="A117">
        <f>HYPERLINK("https://www.walmart.com/ip/141628269", "141628269")</f>
        <v/>
      </c>
      <c r="B117">
        <f>HYPERLINK("https://app.optiwise.ai/catalog/itemdetails/361964", "KC Caps® Camouflage Adjustable Hunting Cap Hiking Jungle Mossy Oak Realtree Hat")</f>
        <v/>
      </c>
      <c r="C117" t="n">
        <v>3</v>
      </c>
      <c r="D117" t="inlineStr">
        <is>
          <t>B78691_1567984_5C9BB2671E1E9004</t>
        </is>
      </c>
      <c r="E117" t="inlineStr">
        <is>
          <t>KC Caps HT03</t>
        </is>
      </c>
      <c r="F117" t="n">
        <v>8</v>
      </c>
      <c r="G117" t="inlineStr">
        <is>
          <t>Clothing</t>
        </is>
      </c>
      <c r="H117" t="inlineStr">
        <is>
          <t>Hats</t>
        </is>
      </c>
      <c r="I117" t="inlineStr">
        <is>
          <t>KC Caps</t>
        </is>
      </c>
      <c r="J117" t="n">
        <v>3.700000000000001</v>
      </c>
      <c r="K117" t="inlineStr">
        <is>
          <t>Optimized</t>
        </is>
      </c>
      <c r="L117" s="29" t="n">
        <v>120</v>
      </c>
      <c r="M117" s="30" t="n">
        <v>0.001</v>
      </c>
      <c r="N117" s="29" t="n">
        <v>0</v>
      </c>
      <c r="O117" s="29" t="n">
        <v>0</v>
      </c>
      <c r="P117" s="2" t="n">
        <v>12</v>
      </c>
      <c r="Q117" s="31" t="n">
        <v>0</v>
      </c>
      <c r="R117" s="32" t="n"/>
      <c r="S117" s="32" t="n">
        <v>0</v>
      </c>
      <c r="T117" s="32" t="n">
        <v>0</v>
      </c>
      <c r="U117" s="31" t="n">
        <v>0</v>
      </c>
      <c r="V117" s="32" t="n">
        <v>0</v>
      </c>
      <c r="W117" s="31" t="n">
        <v>0</v>
      </c>
      <c r="X117" s="31" t="n">
        <v>0</v>
      </c>
      <c r="Y117" s="3" t="n">
        <v>0</v>
      </c>
      <c r="Z117" s="3" t="n">
        <v>0</v>
      </c>
      <c r="AA117" s="32" t="n">
        <v>0</v>
      </c>
      <c r="AB117" s="3" t="n">
        <v>0</v>
      </c>
      <c r="AC117" s="32" t="n">
        <v>0</v>
      </c>
      <c r="AD117" s="3" t="n"/>
      <c r="AE117" s="31" t="n">
        <v>0</v>
      </c>
      <c r="AF117" s="2" t="n">
        <v>2</v>
      </c>
      <c r="AG117" s="2" t="n">
        <v>86</v>
      </c>
      <c r="AH117" s="4" t="n">
        <v>86</v>
      </c>
      <c r="AI117" s="33" t="n">
        <v>120</v>
      </c>
      <c r="AJ117" s="4" t="n">
        <v>12</v>
      </c>
      <c r="AK117" s="34" t="n">
        <v>0.1395</v>
      </c>
      <c r="AL117" s="34" t="n">
        <v>1</v>
      </c>
      <c r="AM117" s="2" t="n">
        <v>506</v>
      </c>
    </row>
    <row r="118">
      <c r="A118">
        <f>HYPERLINK("https://www.walmart.com/ip/497159576", "497159576")</f>
        <v/>
      </c>
      <c r="B118">
        <f>HYPERLINK("https://app.optiwise.ai/catalog/itemdetails/361042", "Fleece Blanket Wearable with Sleeves and Pocket, Micro Plush Warm Comfy Sleeved TV Throw Blanket Robe for Women and Men Multi-Colors 72”X55” by Catalonia")</f>
        <v/>
      </c>
      <c r="C118" t="n">
        <v>13</v>
      </c>
      <c r="D118" t="inlineStr">
        <is>
          <t>B78691_1635876_3F94A2BB3CE73D68</t>
        </is>
      </c>
      <c r="E118" t="inlineStr">
        <is>
          <t>1CTSN110PRD</t>
        </is>
      </c>
      <c r="F118" t="n">
        <v>48</v>
      </c>
      <c r="G118" t="inlineStr">
        <is>
          <t>Bedding</t>
        </is>
      </c>
      <c r="H118" t="inlineStr">
        <is>
          <t>Throws</t>
        </is>
      </c>
      <c r="I118" t="inlineStr">
        <is>
          <t>Catalonia</t>
        </is>
      </c>
      <c r="J118" t="n">
        <v>5</v>
      </c>
      <c r="K118" t="inlineStr">
        <is>
          <t>Q2-Target,WFS,Coupon_Discount,WFS Item,Fleece Blankets</t>
        </is>
      </c>
      <c r="L118" s="29" t="n">
        <v>119.97</v>
      </c>
      <c r="M118" s="30" t="n">
        <v>0.001</v>
      </c>
      <c r="N118" s="29" t="n">
        <v>0</v>
      </c>
      <c r="O118" s="29" t="n">
        <v>0</v>
      </c>
      <c r="P118" s="2" t="n">
        <v>3</v>
      </c>
      <c r="Q118" s="31" t="n">
        <v>0</v>
      </c>
      <c r="R118" s="32" t="n"/>
      <c r="S118" s="32" t="n">
        <v>0</v>
      </c>
      <c r="T118" s="32" t="n">
        <v>0</v>
      </c>
      <c r="U118" s="31" t="n">
        <v>0</v>
      </c>
      <c r="V118" s="32" t="n">
        <v>0</v>
      </c>
      <c r="W118" s="31" t="n">
        <v>0</v>
      </c>
      <c r="X118" s="31" t="n">
        <v>0</v>
      </c>
      <c r="Y118" s="3" t="n">
        <v>0</v>
      </c>
      <c r="Z118" s="3" t="n">
        <v>0</v>
      </c>
      <c r="AA118" s="32" t="n">
        <v>0</v>
      </c>
      <c r="AB118" s="3" t="n">
        <v>0</v>
      </c>
      <c r="AC118" s="32" t="n">
        <v>0</v>
      </c>
      <c r="AD118" s="3" t="n"/>
      <c r="AE118" s="31" t="n">
        <v>0</v>
      </c>
      <c r="AF118" s="2" t="n">
        <v>61</v>
      </c>
      <c r="AG118" s="2" t="n">
        <v>383</v>
      </c>
      <c r="AH118" s="4" t="n">
        <v>383</v>
      </c>
      <c r="AI118" s="33" t="n">
        <v>119.97</v>
      </c>
      <c r="AJ118" s="4" t="n">
        <v>3</v>
      </c>
      <c r="AK118" s="34" t="n">
        <v>0.0078</v>
      </c>
      <c r="AL118" s="34" t="n">
        <v>1</v>
      </c>
      <c r="AM118" s="2" t="n">
        <v>36765</v>
      </c>
    </row>
    <row r="119">
      <c r="A119">
        <f>HYPERLINK("https://www.walmart.com/ip/166343585", "166343585")</f>
        <v/>
      </c>
      <c r="B119">
        <f>HYPERLINK("https://app.optiwise.ai/catalog/itemdetails/362417", "Terra Women's Reversible Sun Hat - UPF 50+, Floppy Hat for Summer Beach and Hiking, Foldable Wide Brim Cap")</f>
        <v/>
      </c>
      <c r="C119" t="n">
        <v>4</v>
      </c>
      <c r="D119" t="inlineStr">
        <is>
          <t>B78691_1568196_41A82390B489198A</t>
        </is>
      </c>
      <c r="E119" t="inlineStr">
        <is>
          <t>TERRACAP-F069-RED</t>
        </is>
      </c>
      <c r="F119" t="n">
        <v>49</v>
      </c>
      <c r="G119" t="inlineStr">
        <is>
          <t>Clothing</t>
        </is>
      </c>
      <c r="H119" t="inlineStr">
        <is>
          <t>Hats</t>
        </is>
      </c>
      <c r="I119" t="inlineStr">
        <is>
          <t>Terra</t>
        </is>
      </c>
      <c r="J119" t="n">
        <v>4.4</v>
      </c>
      <c r="K119" t="inlineStr">
        <is>
          <t>Q2-Target,Hats,Batch 1 - TR</t>
        </is>
      </c>
      <c r="L119" s="29" t="n">
        <v>118.88</v>
      </c>
      <c r="M119" s="30" t="n">
        <v>0.001</v>
      </c>
      <c r="N119" s="29" t="n">
        <v>0</v>
      </c>
      <c r="O119" s="29" t="n">
        <v>0</v>
      </c>
      <c r="P119" s="2" t="n">
        <v>12</v>
      </c>
      <c r="Q119" s="31" t="n">
        <v>0</v>
      </c>
      <c r="R119" s="32" t="n"/>
      <c r="S119" s="32" t="n">
        <v>0</v>
      </c>
      <c r="T119" s="32" t="n">
        <v>0.0576</v>
      </c>
      <c r="U119" s="31" t="n">
        <v>0</v>
      </c>
      <c r="V119" s="32" t="n">
        <v>0</v>
      </c>
      <c r="W119" s="31" t="n">
        <v>0</v>
      </c>
      <c r="X119" s="31" t="n">
        <v>0</v>
      </c>
      <c r="Y119" s="3" t="n">
        <v>0</v>
      </c>
      <c r="Z119" s="3" t="n">
        <v>0</v>
      </c>
      <c r="AA119" s="32" t="n">
        <v>0</v>
      </c>
      <c r="AB119" s="3" t="n">
        <v>0</v>
      </c>
      <c r="AC119" s="32" t="n">
        <v>0</v>
      </c>
      <c r="AD119" s="3" t="n"/>
      <c r="AE119" s="31" t="n">
        <v>0</v>
      </c>
      <c r="AF119" s="2" t="n">
        <v>20</v>
      </c>
      <c r="AG119" s="2" t="n">
        <v>206</v>
      </c>
      <c r="AH119" s="4" t="n">
        <v>206</v>
      </c>
      <c r="AI119" s="33" t="n">
        <v>118.88</v>
      </c>
      <c r="AJ119" s="4" t="n">
        <v>12</v>
      </c>
      <c r="AK119" s="34" t="n">
        <v>0.0583</v>
      </c>
      <c r="AL119" s="34" t="n">
        <v>1</v>
      </c>
      <c r="AM119" s="2" t="n">
        <v>2801</v>
      </c>
    </row>
    <row r="120">
      <c r="A120">
        <f>HYPERLINK("https://www.walmart.com/ip/638032822", "638032822")</f>
        <v/>
      </c>
      <c r="B120">
        <f>HYPERLINK("https://app.optiwise.ai/catalog/itemdetails/361048", "Mens Underwear Mens&amp;nbsp;Boxer&amp;nbsp;Briefs with Elastic Waistband Solid New Classic Fit, 3 Pack by Terra")</f>
        <v/>
      </c>
      <c r="C120" t="n">
        <v>9</v>
      </c>
      <c r="D120" t="inlineStr">
        <is>
          <t>B78691_969393_64818F24278AE8DB</t>
        </is>
      </c>
      <c r="E120" t="inlineStr">
        <is>
          <t>TERRA-BOXER10-M</t>
        </is>
      </c>
      <c r="F120" t="n">
        <v>34</v>
      </c>
      <c r="G120" t="inlineStr">
        <is>
          <t>Clothing</t>
        </is>
      </c>
      <c r="H120" t="inlineStr">
        <is>
          <t>Underpants</t>
        </is>
      </c>
      <c r="I120" t="inlineStr">
        <is>
          <t>Terra</t>
        </is>
      </c>
      <c r="J120" t="n">
        <v>4.600000000000001</v>
      </c>
      <c r="K120" t="inlineStr">
        <is>
          <t>Batch 1 - TR</t>
        </is>
      </c>
      <c r="L120" s="29" t="n">
        <v>113.9</v>
      </c>
      <c r="M120" s="30" t="n">
        <v>0.001</v>
      </c>
      <c r="N120" s="29" t="n">
        <v>0</v>
      </c>
      <c r="O120" s="29" t="n">
        <v>0</v>
      </c>
      <c r="P120" s="2" t="n">
        <v>10</v>
      </c>
      <c r="Q120" s="31" t="n">
        <v>0</v>
      </c>
      <c r="R120" s="32" t="n"/>
      <c r="S120" s="32" t="n">
        <v>0</v>
      </c>
      <c r="T120" s="32" t="n">
        <v>0</v>
      </c>
      <c r="U120" s="31" t="n">
        <v>0</v>
      </c>
      <c r="V120" s="32" t="n">
        <v>0</v>
      </c>
      <c r="W120" s="31" t="n">
        <v>0</v>
      </c>
      <c r="X120" s="31" t="n">
        <v>0</v>
      </c>
      <c r="Y120" s="3" t="n">
        <v>0</v>
      </c>
      <c r="Z120" s="3" t="n">
        <v>0</v>
      </c>
      <c r="AA120" s="32" t="n">
        <v>0</v>
      </c>
      <c r="AB120" s="3" t="n">
        <v>0</v>
      </c>
      <c r="AC120" s="32" t="n">
        <v>0</v>
      </c>
      <c r="AD120" s="3" t="n"/>
      <c r="AE120" s="31" t="n">
        <v>0</v>
      </c>
      <c r="AF120" s="2" t="n">
        <v>0</v>
      </c>
      <c r="AG120" s="2" t="n">
        <v>219</v>
      </c>
      <c r="AH120" s="4" t="n">
        <v>219</v>
      </c>
      <c r="AI120" s="33" t="n">
        <v>113.9</v>
      </c>
      <c r="AJ120" s="4" t="n">
        <v>10</v>
      </c>
      <c r="AK120" s="34" t="n">
        <v>0.0457</v>
      </c>
      <c r="AL120" s="34" t="n">
        <v>1</v>
      </c>
      <c r="AM120" s="2" t="n">
        <v>9450</v>
      </c>
    </row>
    <row r="121">
      <c r="A121">
        <f>HYPERLINK("https://www.walmart.com/ip/9505771380", "9505771380")</f>
        <v/>
      </c>
      <c r="B121">
        <f>HYPERLINK("https://app.optiwise.ai/catalog/itemdetails/9941263", "Wrangler Clear Water-Resistant Backpack for Girls, Durable Plastic See-Thru Book Bag, Backpacks for School, Laptop Backpack for Casual Use, Stadiums and Concerts, Clear Black")</f>
        <v/>
      </c>
      <c r="C121" t="n">
        <v>5</v>
      </c>
      <c r="D121" t="inlineStr">
        <is>
          <t>B78691_1682747_3E5D1D2BA75741E0</t>
        </is>
      </c>
      <c r="E121" t="inlineStr">
        <is>
          <t>WR-BACKPACK-92958-BLACK</t>
        </is>
      </c>
      <c r="F121" t="n">
        <v>0</v>
      </c>
      <c r="G121" t="inlineStr">
        <is>
          <t>Cases &amp; Bags</t>
        </is>
      </c>
      <c r="H121" t="inlineStr">
        <is>
          <t>Backpacks</t>
        </is>
      </c>
      <c r="I121" t="inlineStr">
        <is>
          <t>Wrangler</t>
        </is>
      </c>
      <c r="K121" t="inlineStr">
        <is>
          <t>Backpack</t>
        </is>
      </c>
      <c r="L121" s="29" t="n">
        <v>107.97</v>
      </c>
      <c r="M121" s="30" t="n">
        <v>0.0009</v>
      </c>
      <c r="N121" s="29" t="n">
        <v>0</v>
      </c>
      <c r="O121" s="29" t="n">
        <v>0</v>
      </c>
      <c r="P121" s="2" t="n">
        <v>3</v>
      </c>
      <c r="Q121" s="31" t="n">
        <v>0</v>
      </c>
      <c r="R121" s="32" t="n"/>
      <c r="S121" s="32" t="n">
        <v>0</v>
      </c>
      <c r="T121" s="32" t="n">
        <v>0.166</v>
      </c>
      <c r="U121" s="31" t="n">
        <v>0</v>
      </c>
      <c r="V121" s="32" t="n">
        <v>0</v>
      </c>
      <c r="W121" s="31" t="n">
        <v>0</v>
      </c>
      <c r="X121" s="31" t="n">
        <v>0</v>
      </c>
      <c r="Y121" s="3" t="n">
        <v>0</v>
      </c>
      <c r="Z121" s="3" t="n">
        <v>0</v>
      </c>
      <c r="AA121" s="32" t="n">
        <v>0</v>
      </c>
      <c r="AB121" s="3" t="n">
        <v>0</v>
      </c>
      <c r="AC121" s="32" t="n">
        <v>0</v>
      </c>
      <c r="AD121" s="3" t="n"/>
      <c r="AE121" s="31" t="n">
        <v>0</v>
      </c>
      <c r="AF121" s="2" t="n">
        <v>30</v>
      </c>
      <c r="AG121" s="2" t="n">
        <v>134</v>
      </c>
      <c r="AH121" s="4" t="n">
        <v>134</v>
      </c>
      <c r="AI121" s="33" t="n">
        <v>107.97</v>
      </c>
      <c r="AJ121" s="4" t="n">
        <v>3</v>
      </c>
      <c r="AK121" s="34" t="n">
        <v>0.0224</v>
      </c>
      <c r="AL121" s="34" t="n">
        <v>1</v>
      </c>
      <c r="AM121" s="2" t="n">
        <v>13500</v>
      </c>
    </row>
    <row r="122">
      <c r="A122">
        <f>HYPERLINK("https://www.walmart.com/ip/945588716", "945588716")</f>
        <v/>
      </c>
      <c r="B122">
        <f>HYPERLINK("https://app.optiwise.ai/catalog/itemdetails/417452", "Tirrinia Comfy Full Body Fleece Wearable Blanket Poncho for Adult Women Men, Grey")</f>
        <v/>
      </c>
      <c r="C122" t="n">
        <v>5</v>
      </c>
      <c r="D122" t="inlineStr">
        <is>
          <t>B78691_1681517_B288C3792B44C8FA</t>
        </is>
      </c>
      <c r="E122" t="inlineStr">
        <is>
          <t>1TRBP200GY-TBCB</t>
        </is>
      </c>
      <c r="F122" t="n">
        <v>12</v>
      </c>
      <c r="G122" t="inlineStr">
        <is>
          <t>Bedding</t>
        </is>
      </c>
      <c r="H122" t="inlineStr">
        <is>
          <t>Throws</t>
        </is>
      </c>
      <c r="I122" t="inlineStr">
        <is>
          <t>Tirrinia</t>
        </is>
      </c>
      <c r="J122" t="n">
        <v>4.5</v>
      </c>
      <c r="K122" t="inlineStr">
        <is>
          <t>Optimized</t>
        </is>
      </c>
      <c r="L122" s="29" t="n">
        <v>107.96</v>
      </c>
      <c r="M122" s="30" t="n">
        <v>0.0009</v>
      </c>
      <c r="N122" s="29" t="n">
        <v>0</v>
      </c>
      <c r="O122" s="29" t="n">
        <v>0</v>
      </c>
      <c r="P122" s="2" t="n">
        <v>4</v>
      </c>
      <c r="Q122" s="31" t="n">
        <v>0</v>
      </c>
      <c r="R122" s="32" t="n"/>
      <c r="S122" s="32" t="n">
        <v>0</v>
      </c>
      <c r="T122" s="32" t="n">
        <v>0</v>
      </c>
      <c r="U122" s="31" t="n">
        <v>0</v>
      </c>
      <c r="V122" s="32" t="n">
        <v>0</v>
      </c>
      <c r="W122" s="31" t="n">
        <v>0</v>
      </c>
      <c r="X122" s="31" t="n">
        <v>0</v>
      </c>
      <c r="Y122" s="3" t="n">
        <v>0</v>
      </c>
      <c r="Z122" s="3" t="n">
        <v>0</v>
      </c>
      <c r="AA122" s="32" t="n">
        <v>0</v>
      </c>
      <c r="AB122" s="3" t="n">
        <v>0</v>
      </c>
      <c r="AC122" s="32" t="n">
        <v>0</v>
      </c>
      <c r="AD122" s="3" t="n"/>
      <c r="AE122" s="31" t="n">
        <v>0</v>
      </c>
      <c r="AF122" s="2" t="n">
        <v>27</v>
      </c>
      <c r="AG122" s="2" t="n">
        <v>62</v>
      </c>
      <c r="AH122" s="4" t="n">
        <v>62</v>
      </c>
      <c r="AI122" s="33" t="n">
        <v>107.96</v>
      </c>
      <c r="AJ122" s="4" t="n">
        <v>4</v>
      </c>
      <c r="AK122" s="34" t="n">
        <v>0.0645</v>
      </c>
      <c r="AL122" s="34" t="n">
        <v>1</v>
      </c>
      <c r="AM122" s="2" t="n">
        <v>0</v>
      </c>
    </row>
    <row r="123">
      <c r="A123">
        <f>HYPERLINK("https://www.walmart.com/ip/554495477", "554495477")</f>
        <v/>
      </c>
      <c r="B123">
        <f>HYPERLINK("https://app.optiwise.ai/catalog/itemdetails/360716", "Flyingstar Surf Beach Changing Towel With Hood, Absorbent Microfiber Robe Poncho, Men &amp; Women,Grey")</f>
        <v/>
      </c>
      <c r="C123" t="n">
        <v>3</v>
      </c>
      <c r="D123" t="inlineStr">
        <is>
          <t>B78691_1681323_23384DC3CF9156BE</t>
        </is>
      </c>
      <c r="E123" t="inlineStr">
        <is>
          <t>1WMBR102-GY</t>
        </is>
      </c>
      <c r="F123" t="n">
        <v>0</v>
      </c>
      <c r="G123" t="inlineStr">
        <is>
          <t>Home Decor, Kitchen, &amp; Other</t>
        </is>
      </c>
      <c r="H123" t="inlineStr">
        <is>
          <t>default</t>
        </is>
      </c>
      <c r="I123" t="inlineStr">
        <is>
          <t>Flyingstar</t>
        </is>
      </c>
      <c r="K123" t="inlineStr">
        <is>
          <t>Batch 1 - TR</t>
        </is>
      </c>
      <c r="L123" s="29" t="n">
        <v>105.95</v>
      </c>
      <c r="M123" s="30" t="n">
        <v>0.0009</v>
      </c>
      <c r="N123" s="29" t="n">
        <v>22.98999977111816</v>
      </c>
      <c r="O123" s="29" t="n">
        <v>0</v>
      </c>
      <c r="P123" s="2" t="n">
        <v>5</v>
      </c>
      <c r="Q123" s="31" t="n">
        <v>0</v>
      </c>
      <c r="R123" s="32" t="n"/>
      <c r="S123" s="32" t="n">
        <v>0</v>
      </c>
      <c r="T123" s="32" t="n">
        <v>0</v>
      </c>
      <c r="U123" s="31" t="n">
        <v>0</v>
      </c>
      <c r="V123" s="32" t="n">
        <v>0</v>
      </c>
      <c r="W123" s="31" t="n">
        <v>0</v>
      </c>
      <c r="X123" s="31" t="n">
        <v>0</v>
      </c>
      <c r="Y123" s="3" t="n">
        <v>0</v>
      </c>
      <c r="Z123" s="3" t="n">
        <v>0</v>
      </c>
      <c r="AA123" s="32" t="n">
        <v>0</v>
      </c>
      <c r="AB123" s="3" t="n">
        <v>0</v>
      </c>
      <c r="AC123" s="32" t="n">
        <v>0</v>
      </c>
      <c r="AD123" s="3" t="n"/>
      <c r="AE123" s="31" t="n">
        <v>0</v>
      </c>
      <c r="AF123" s="2" t="n">
        <v>0</v>
      </c>
      <c r="AG123" s="2" t="n">
        <v>14</v>
      </c>
      <c r="AH123" s="4" t="n">
        <v>14</v>
      </c>
      <c r="AI123" s="33" t="n">
        <v>105.95</v>
      </c>
      <c r="AJ123" s="4" t="n">
        <v>5</v>
      </c>
      <c r="AK123" s="34" t="n">
        <v>0.3571</v>
      </c>
      <c r="AL123" s="34" t="n">
        <v>1</v>
      </c>
      <c r="AM123" s="2" t="n">
        <v>5454</v>
      </c>
    </row>
    <row r="124">
      <c r="A124">
        <f>HYPERLINK("https://www.walmart.com/ip/468392021", "468392021")</f>
        <v/>
      </c>
      <c r="B124">
        <f>HYPERLINK("https://app.optiwise.ai/catalog/itemdetails/361116", "Tirrinia Insulated Wine Carrier - 3 Bottle Travel Padded Wine Carry Cooler Tote Bag with Handle and Adjustable Shoulder Strap + Free Corkscrew, Black")</f>
        <v/>
      </c>
      <c r="C124" t="n">
        <v>3</v>
      </c>
      <c r="D124" t="inlineStr">
        <is>
          <t>B78691_1681798_CB5DDC49203BD091</t>
        </is>
      </c>
      <c r="E124" t="inlineStr">
        <is>
          <t>1KTWB300BK</t>
        </is>
      </c>
      <c r="F124" t="n">
        <v>14</v>
      </c>
      <c r="G124" t="inlineStr">
        <is>
          <t>Home Decor, Kitchen, &amp; Other</t>
        </is>
      </c>
      <c r="H124" t="inlineStr">
        <is>
          <t>Wine Totes, Bags &amp; Backpacks</t>
        </is>
      </c>
      <c r="I124" t="inlineStr">
        <is>
          <t>Tirrinia</t>
        </is>
      </c>
      <c r="J124" t="n">
        <v>4.3</v>
      </c>
      <c r="K124" t="inlineStr">
        <is>
          <t>Wine,Wine Bag Camp,Christmas,Wine WFS,Valentine,WFS Item,Lily Brand Camp</t>
        </is>
      </c>
      <c r="L124" s="29" t="n">
        <v>105.95</v>
      </c>
      <c r="M124" s="30" t="n">
        <v>0.0009</v>
      </c>
      <c r="N124" s="29" t="n">
        <v>87.95999908447266</v>
      </c>
      <c r="O124" s="29" t="n">
        <v>0</v>
      </c>
      <c r="P124" s="2" t="n">
        <v>5</v>
      </c>
      <c r="Q124" s="31" t="n">
        <v>53.09999999999999</v>
      </c>
      <c r="R124" s="32" t="n">
        <v>0.0064</v>
      </c>
      <c r="S124" s="32" t="n">
        <v>0.5012</v>
      </c>
      <c r="T124" s="32" t="n">
        <v>0.0842</v>
      </c>
      <c r="U124" s="31" t="n">
        <v>2.03</v>
      </c>
      <c r="V124" s="32" t="n">
        <v>0.49</v>
      </c>
      <c r="W124" s="31" t="n">
        <v>107.95</v>
      </c>
      <c r="X124" s="31" t="n">
        <v>41.98</v>
      </c>
      <c r="Y124" s="3" t="n">
        <v>55891</v>
      </c>
      <c r="Z124" s="3" t="n">
        <v>112</v>
      </c>
      <c r="AA124" s="32" t="n">
        <v>0.002</v>
      </c>
      <c r="AB124" s="3" t="n">
        <v>5</v>
      </c>
      <c r="AC124" s="32" t="n">
        <v>0.0446</v>
      </c>
      <c r="AD124" s="3" t="inlineStr">
        <is>
          <t>,Auto Campaign_Vinay</t>
        </is>
      </c>
      <c r="AE124" s="31" t="n">
        <v>0.47</v>
      </c>
      <c r="AF124" s="2" t="n">
        <v>94</v>
      </c>
      <c r="AG124" s="2" t="n">
        <v>215</v>
      </c>
      <c r="AH124" s="4" t="n">
        <v>103</v>
      </c>
      <c r="AI124" s="33" t="n">
        <v>-2</v>
      </c>
      <c r="AJ124" s="4" t="n">
        <v>0</v>
      </c>
      <c r="AK124" s="34" t="n"/>
      <c r="AL124" s="34" t="n">
        <v>-0.0189</v>
      </c>
      <c r="AM124" s="2" t="n">
        <v>7884</v>
      </c>
    </row>
    <row r="125">
      <c r="A125">
        <f>HYPERLINK("https://www.walmart.com/ip/126944997", "126944997")</f>
        <v/>
      </c>
      <c r="B125">
        <f>HYPERLINK("https://app.optiwise.ai/catalog/itemdetails/360680", "Napa Plush Cashmere Throw Blanket Green, 90 x 90 Queen/Full, Striped Reversible Velvet Luxury Fleece Warm Bed Couch Blanket, Super Soft and Cozy")</f>
        <v/>
      </c>
      <c r="C125" t="n">
        <v>1</v>
      </c>
      <c r="D125" t="inlineStr">
        <is>
          <t>B78691_1568229_C11895F75F26FEBD</t>
        </is>
      </c>
      <c r="E125" t="inlineStr">
        <is>
          <t>K8030QF-GRN</t>
        </is>
      </c>
      <c r="F125" t="n">
        <v>2</v>
      </c>
      <c r="G125" t="inlineStr">
        <is>
          <t>Bedding</t>
        </is>
      </c>
      <c r="H125" t="inlineStr">
        <is>
          <t>Throws</t>
        </is>
      </c>
      <c r="I125" t="inlineStr">
        <is>
          <t>NAPA</t>
        </is>
      </c>
      <c r="J125" t="n">
        <v>5</v>
      </c>
      <c r="K125" t="inlineStr">
        <is>
          <t>Q2-Target,Optimized,ST Patrick Day</t>
        </is>
      </c>
      <c r="L125" s="29" t="n">
        <v>104.86</v>
      </c>
      <c r="M125" s="30" t="n">
        <v>0.0009</v>
      </c>
      <c r="N125" s="29" t="n">
        <v>0</v>
      </c>
      <c r="O125" s="29" t="n">
        <v>0</v>
      </c>
      <c r="P125" s="2" t="n">
        <v>7</v>
      </c>
      <c r="Q125" s="31" t="n">
        <v>0</v>
      </c>
      <c r="R125" s="32" t="n"/>
      <c r="S125" s="32" t="n">
        <v>0</v>
      </c>
      <c r="T125" s="32" t="n">
        <v>0</v>
      </c>
      <c r="U125" s="31" t="n">
        <v>0</v>
      </c>
      <c r="V125" s="32" t="n">
        <v>0</v>
      </c>
      <c r="W125" s="31" t="n">
        <v>0</v>
      </c>
      <c r="X125" s="31" t="n">
        <v>0</v>
      </c>
      <c r="Y125" s="3" t="n">
        <v>0</v>
      </c>
      <c r="Z125" s="3" t="n">
        <v>0</v>
      </c>
      <c r="AA125" s="32" t="n">
        <v>0</v>
      </c>
      <c r="AB125" s="3" t="n">
        <v>0</v>
      </c>
      <c r="AC125" s="32" t="n">
        <v>0</v>
      </c>
      <c r="AD125" s="3" t="n"/>
      <c r="AE125" s="31" t="n">
        <v>0</v>
      </c>
      <c r="AF125" s="2" t="n">
        <v>0</v>
      </c>
      <c r="AG125" s="2" t="n">
        <v>39</v>
      </c>
      <c r="AH125" s="4" t="n">
        <v>39</v>
      </c>
      <c r="AI125" s="33" t="n">
        <v>104.86</v>
      </c>
      <c r="AJ125" s="4" t="n">
        <v>7</v>
      </c>
      <c r="AK125" s="34" t="n">
        <v>0.1795</v>
      </c>
      <c r="AL125" s="34" t="n">
        <v>1</v>
      </c>
      <c r="AM125" s="2" t="n">
        <v>1562</v>
      </c>
    </row>
    <row r="126">
      <c r="A126">
        <f>HYPERLINK("https://www.walmart.com/ip/730581368", "730581368")</f>
        <v/>
      </c>
      <c r="B126">
        <f>HYPERLINK("https://app.optiwise.ai/catalog/itemdetails/362782", "Fleece Blanket Wearable with Sleeves &amp; Foot pockets for Men and Women, Micro Plush Wrap Sleeved Throw Blanket Robe Multi-Colors 75”x53” by Catalonia")</f>
        <v/>
      </c>
      <c r="C126" t="inlineStr">
        <is>
          <t>-</t>
        </is>
      </c>
      <c r="E126" t="inlineStr">
        <is>
          <t>1CTSN101LT</t>
        </is>
      </c>
      <c r="F126" t="n">
        <v>0</v>
      </c>
      <c r="G126" t="inlineStr">
        <is>
          <t>Bedding</t>
        </is>
      </c>
      <c r="H126" t="inlineStr">
        <is>
          <t>Throws</t>
        </is>
      </c>
      <c r="I126" t="inlineStr">
        <is>
          <t>Catalonia</t>
        </is>
      </c>
      <c r="K126" t="inlineStr">
        <is>
          <t>WFS,WFS Item,Fleece Blankets</t>
        </is>
      </c>
      <c r="L126" s="29" t="n">
        <v>103.96</v>
      </c>
      <c r="M126" s="30" t="n">
        <v>0.0009</v>
      </c>
      <c r="N126" s="29" t="n">
        <v>0</v>
      </c>
      <c r="O126" s="29" t="n">
        <v>0</v>
      </c>
      <c r="P126" s="2" t="n">
        <v>4</v>
      </c>
      <c r="Q126" s="31" t="n">
        <v>29.42000000000001</v>
      </c>
      <c r="R126" s="32" t="n">
        <v>0.0035</v>
      </c>
      <c r="S126" s="32" t="n">
        <v>0.283</v>
      </c>
      <c r="T126" s="32" t="n">
        <v>0</v>
      </c>
      <c r="U126" s="31" t="n">
        <v>4.28</v>
      </c>
      <c r="V126" s="32" t="n">
        <v>0.23</v>
      </c>
      <c r="W126" s="31" t="n">
        <v>125.95</v>
      </c>
      <c r="X126" s="31" t="n">
        <v>77.97</v>
      </c>
      <c r="Y126" s="3" t="n">
        <v>20861</v>
      </c>
      <c r="Z126" s="3" t="n">
        <v>61</v>
      </c>
      <c r="AA126" s="32" t="n">
        <v>0.0029</v>
      </c>
      <c r="AB126" s="3" t="n">
        <v>5</v>
      </c>
      <c r="AC126" s="32" t="n">
        <v>0.082</v>
      </c>
      <c r="AD126" s="3" t="inlineStr">
        <is>
          <t>Throws_Auto_Optiwise_24</t>
        </is>
      </c>
      <c r="AE126" s="31" t="n">
        <v>0.48</v>
      </c>
      <c r="AF126" s="2" t="n">
        <v>18</v>
      </c>
      <c r="AG126" s="2" t="n">
        <v>132</v>
      </c>
      <c r="AH126" s="4" t="n">
        <v>71</v>
      </c>
      <c r="AI126" s="33" t="n">
        <v>-21.98999999999999</v>
      </c>
      <c r="AJ126" s="4" t="n">
        <v>-1</v>
      </c>
      <c r="AK126" s="34" t="n">
        <v>-0.0141</v>
      </c>
      <c r="AL126" s="34" t="n">
        <v>-0.2115</v>
      </c>
      <c r="AM126" s="2" t="n">
        <v>3375</v>
      </c>
    </row>
    <row r="127">
      <c r="A127">
        <f>HYPERLINK("https://www.walmart.com/ip/574683747", "574683747")</f>
        <v/>
      </c>
      <c r="B127">
        <f>HYPERLINK("https://app.optiwise.ai/catalog/itemdetails/358813", "Flyingstar 3 Bottle Insulated Wine Carrier, Travel Wine Cooler Tote Bag, Gray")</f>
        <v/>
      </c>
      <c r="C127" t="n">
        <v>6</v>
      </c>
      <c r="D127" t="inlineStr">
        <is>
          <t>B78691_1681744_685112D931830E53</t>
        </is>
      </c>
      <c r="E127" t="inlineStr">
        <is>
          <t>1WMWB310GY</t>
        </is>
      </c>
      <c r="F127" t="n">
        <v>1</v>
      </c>
      <c r="G127" t="inlineStr">
        <is>
          <t>Home Decor, Kitchen, &amp; Other</t>
        </is>
      </c>
      <c r="H127" t="inlineStr">
        <is>
          <t>Wine Totes, Bags &amp; Backpacks</t>
        </is>
      </c>
      <c r="I127" t="inlineStr">
        <is>
          <t>Flyingstar</t>
        </is>
      </c>
      <c r="J127" t="n">
        <v>3</v>
      </c>
      <c r="K127" t="inlineStr">
        <is>
          <t>Wine,Christmas,Optimized,Valentine</t>
        </is>
      </c>
      <c r="L127" s="29" t="n">
        <v>101.94</v>
      </c>
      <c r="M127" s="30" t="n">
        <v>0.0009</v>
      </c>
      <c r="N127" s="29" t="n">
        <v>0</v>
      </c>
      <c r="O127" s="29" t="n">
        <v>0</v>
      </c>
      <c r="P127" s="2" t="n">
        <v>6</v>
      </c>
      <c r="Q127" s="31" t="n">
        <v>0</v>
      </c>
      <c r="R127" s="32" t="n"/>
      <c r="S127" s="32" t="n">
        <v>0</v>
      </c>
      <c r="T127" s="32" t="n">
        <v>0</v>
      </c>
      <c r="U127" s="31" t="n">
        <v>0</v>
      </c>
      <c r="V127" s="32" t="n">
        <v>0</v>
      </c>
      <c r="W127" s="31" t="n">
        <v>0</v>
      </c>
      <c r="X127" s="31" t="n">
        <v>0</v>
      </c>
      <c r="Y127" s="3" t="n">
        <v>0</v>
      </c>
      <c r="Z127" s="3" t="n">
        <v>0</v>
      </c>
      <c r="AA127" s="32" t="n">
        <v>0</v>
      </c>
      <c r="AB127" s="3" t="n">
        <v>0</v>
      </c>
      <c r="AC127" s="32" t="n">
        <v>0</v>
      </c>
      <c r="AD127" s="3" t="n"/>
      <c r="AE127" s="31" t="n">
        <v>0</v>
      </c>
      <c r="AF127" s="2" t="n">
        <v>0</v>
      </c>
      <c r="AG127" s="2" t="n">
        <v>75</v>
      </c>
      <c r="AH127" s="4" t="n">
        <v>75</v>
      </c>
      <c r="AI127" s="33" t="n">
        <v>101.94</v>
      </c>
      <c r="AJ127" s="4" t="n">
        <v>6</v>
      </c>
      <c r="AK127" s="34" t="n">
        <v>0.08</v>
      </c>
      <c r="AL127" s="34" t="n">
        <v>1</v>
      </c>
      <c r="AM127" s="2" t="n">
        <v>6975</v>
      </c>
    </row>
    <row r="128">
      <c r="A128">
        <f>HYPERLINK("https://www.walmart.com/ip/158344559", "158344559")</f>
        <v/>
      </c>
      <c r="B128">
        <f>HYPERLINK("https://app.optiwise.ai/catalog/itemdetails/360470", "Tirrinia Picnic Blanket, Lightweight Waterproof Blanket, Portable Camping Blanket for Travel, Park, Hiking, Outdoor, Stadium and Concerts, Machine Washable, Extra Large, Striped, 70'' x 80''")</f>
        <v/>
      </c>
      <c r="C128" t="n">
        <v>2</v>
      </c>
      <c r="D128" t="inlineStr">
        <is>
          <t>B78691_1680799_A09944D14E2170F0</t>
        </is>
      </c>
      <c r="E128" t="inlineStr">
        <is>
          <t>1TRBW781STR</t>
        </is>
      </c>
      <c r="F128" t="n">
        <v>1</v>
      </c>
      <c r="G128" t="inlineStr">
        <is>
          <t>Sport &amp; Recreation Other</t>
        </is>
      </c>
      <c r="H128" t="inlineStr">
        <is>
          <t>Picnic Blankets &amp; Mats</t>
        </is>
      </c>
      <c r="I128" t="inlineStr">
        <is>
          <t>Tirrinia</t>
        </is>
      </c>
      <c r="J128" t="n">
        <v>5</v>
      </c>
      <c r="K128" t="inlineStr">
        <is>
          <t>WFS,WFS Item</t>
        </is>
      </c>
      <c r="L128" s="29" t="n">
        <v>99.94999999999999</v>
      </c>
      <c r="M128" s="30" t="n">
        <v>0.0009</v>
      </c>
      <c r="N128" s="29" t="n">
        <v>0</v>
      </c>
      <c r="O128" s="29" t="n">
        <v>0</v>
      </c>
      <c r="P128" s="2" t="n">
        <v>5</v>
      </c>
      <c r="Q128" s="31" t="n">
        <v>2.52</v>
      </c>
      <c r="R128" s="32" t="n">
        <v>0.0003</v>
      </c>
      <c r="S128" s="32" t="n">
        <v>0.0252</v>
      </c>
      <c r="T128" s="32" t="n">
        <v>0.06950000000000001</v>
      </c>
      <c r="U128" s="31" t="n">
        <v>0</v>
      </c>
      <c r="V128" s="32" t="n">
        <v>0</v>
      </c>
      <c r="W128" s="31" t="n">
        <v>0</v>
      </c>
      <c r="X128" s="31" t="n">
        <v>0</v>
      </c>
      <c r="Y128" s="3" t="n">
        <v>14654</v>
      </c>
      <c r="Z128" s="3" t="n">
        <v>9</v>
      </c>
      <c r="AA128" s="32" t="n">
        <v>0.0005999999999999999</v>
      </c>
      <c r="AB128" s="3" t="n">
        <v>0</v>
      </c>
      <c r="AC128" s="32" t="n">
        <v>0</v>
      </c>
      <c r="AD128" s="3" t="inlineStr">
        <is>
          <t>All Items_Auto_Optiwise_24,</t>
        </is>
      </c>
      <c r="AE128" s="31" t="n">
        <v>0.28</v>
      </c>
      <c r="AF128" s="2" t="n">
        <v>0</v>
      </c>
      <c r="AG128" s="2" t="n">
        <v>192</v>
      </c>
      <c r="AH128" s="4" t="n">
        <v>183</v>
      </c>
      <c r="AI128" s="33" t="n">
        <v>99.94999999999999</v>
      </c>
      <c r="AJ128" s="4" t="n">
        <v>5</v>
      </c>
      <c r="AK128" s="34" t="n">
        <v>0.0273</v>
      </c>
      <c r="AL128" s="34" t="n">
        <v>1</v>
      </c>
      <c r="AM128" s="2" t="n">
        <v>5400</v>
      </c>
    </row>
    <row r="129">
      <c r="A129">
        <f>HYPERLINK("https://www.walmart.com/ip/13221202706", "13221202706")</f>
        <v/>
      </c>
      <c r="B129">
        <f>HYPERLINK("https://app.optiwise.ai/catalog/itemdetails/12909180", "Wrangler Slim Genuine Leather AirTag Wallet for Men - Bifold RFID Blocking Design with Hidden AirTag Holder")</f>
        <v/>
      </c>
      <c r="C129" t="inlineStr">
        <is>
          <t>-</t>
        </is>
      </c>
      <c r="E129" t="inlineStr">
        <is>
          <t>WR-WA49012AQCOGOS</t>
        </is>
      </c>
      <c r="F129" t="n">
        <v>3</v>
      </c>
      <c r="G129" t="inlineStr">
        <is>
          <t>Cases &amp; Bags</t>
        </is>
      </c>
      <c r="H129" t="inlineStr">
        <is>
          <t>Wallets</t>
        </is>
      </c>
      <c r="I129" t="inlineStr">
        <is>
          <t>Wrangler</t>
        </is>
      </c>
      <c r="J129" t="n">
        <v>4.3</v>
      </c>
      <c r="L129" s="29" t="n">
        <v>99.92</v>
      </c>
      <c r="M129" s="30" t="n">
        <v>0.0009</v>
      </c>
      <c r="N129" s="29" t="n">
        <v>0</v>
      </c>
      <c r="O129" s="29" t="n">
        <v>0</v>
      </c>
      <c r="P129" s="2" t="n">
        <v>4</v>
      </c>
      <c r="Q129" s="31" t="n">
        <v>0</v>
      </c>
      <c r="R129" s="32" t="n"/>
      <c r="S129" s="32" t="n">
        <v>0</v>
      </c>
      <c r="T129" s="32" t="n">
        <v>0.3105</v>
      </c>
      <c r="U129" s="31" t="n">
        <v>0</v>
      </c>
      <c r="V129" s="32" t="n">
        <v>0</v>
      </c>
      <c r="W129" s="31" t="n">
        <v>0</v>
      </c>
      <c r="X129" s="31" t="n">
        <v>0</v>
      </c>
      <c r="Y129" s="3" t="n">
        <v>1</v>
      </c>
      <c r="Z129" s="3" t="n">
        <v>0</v>
      </c>
      <c r="AA129" s="32" t="n">
        <v>0</v>
      </c>
      <c r="AB129" s="3" t="n">
        <v>0</v>
      </c>
      <c r="AC129" s="32" t="n">
        <v>0</v>
      </c>
      <c r="AD129" s="3" t="inlineStr">
        <is>
          <t>Wallet Campaign</t>
        </is>
      </c>
      <c r="AE129" s="31" t="n">
        <v>0</v>
      </c>
      <c r="AF129" s="2" t="n">
        <v>84</v>
      </c>
      <c r="AG129" s="2" t="n">
        <v>68</v>
      </c>
      <c r="AH129" s="4" t="n">
        <v>68</v>
      </c>
      <c r="AI129" s="33" t="n">
        <v>99.92</v>
      </c>
      <c r="AJ129" s="4" t="n">
        <v>4</v>
      </c>
      <c r="AK129" s="34" t="n">
        <v>0.0588</v>
      </c>
      <c r="AL129" s="34" t="n">
        <v>1</v>
      </c>
      <c r="AM129" s="2" t="n">
        <v>3375</v>
      </c>
    </row>
    <row r="130">
      <c r="A130">
        <f>HYPERLINK("https://www.walmart.com/ip/1839020688", "1839020688")</f>
        <v/>
      </c>
      <c r="B130">
        <f>HYPERLINK("https://app.optiwise.ai/catalog/itemdetails/933367", "Catalonia Reversible Cooling Blanket, Lightweight Summer Comforter for Hot Sleepers, Silky Soft Summer Duvet Throw Size, 50x60 inches, Soft Breathable, Blue")</f>
        <v/>
      </c>
      <c r="C130" t="n">
        <v>3</v>
      </c>
      <c r="D130" t="inlineStr">
        <is>
          <t>B78691_1681460_76D8A2A0E2BEC979</t>
        </is>
      </c>
      <c r="E130" t="inlineStr">
        <is>
          <t>1CTBQ100BL</t>
        </is>
      </c>
      <c r="F130" t="n">
        <v>0</v>
      </c>
      <c r="G130" t="inlineStr">
        <is>
          <t>Bedding</t>
        </is>
      </c>
      <c r="H130" t="inlineStr">
        <is>
          <t>Bed Blankets</t>
        </is>
      </c>
      <c r="I130" t="inlineStr">
        <is>
          <t>Catalonia</t>
        </is>
      </c>
      <c r="K130" t="inlineStr">
        <is>
          <t>Batch 1 - TR</t>
        </is>
      </c>
      <c r="L130" s="29" t="n">
        <v>99.90000000000001</v>
      </c>
      <c r="M130" s="30" t="n">
        <v>0.0009</v>
      </c>
      <c r="N130" s="29" t="n">
        <v>0</v>
      </c>
      <c r="O130" s="29" t="n">
        <v>0</v>
      </c>
      <c r="P130" s="2" t="n">
        <v>5</v>
      </c>
      <c r="Q130" s="31" t="n">
        <v>0</v>
      </c>
      <c r="R130" s="32" t="n"/>
      <c r="S130" s="32" t="n">
        <v>0</v>
      </c>
      <c r="T130" s="32" t="n">
        <v>0</v>
      </c>
      <c r="U130" s="31" t="n">
        <v>0</v>
      </c>
      <c r="V130" s="32" t="n">
        <v>0</v>
      </c>
      <c r="W130" s="31" t="n">
        <v>0</v>
      </c>
      <c r="X130" s="31" t="n">
        <v>0</v>
      </c>
      <c r="Y130" s="3" t="n">
        <v>0</v>
      </c>
      <c r="Z130" s="3" t="n">
        <v>0</v>
      </c>
      <c r="AA130" s="32" t="n">
        <v>0</v>
      </c>
      <c r="AB130" s="3" t="n">
        <v>0</v>
      </c>
      <c r="AC130" s="32" t="n">
        <v>0</v>
      </c>
      <c r="AD130" s="3" t="n"/>
      <c r="AE130" s="31" t="n">
        <v>0</v>
      </c>
      <c r="AF130" s="2" t="n">
        <v>0</v>
      </c>
      <c r="AG130" s="2" t="n">
        <v>53</v>
      </c>
      <c r="AH130" s="4" t="n">
        <v>53</v>
      </c>
      <c r="AI130" s="33" t="n">
        <v>99.90000000000001</v>
      </c>
      <c r="AJ130" s="4" t="n">
        <v>5</v>
      </c>
      <c r="AK130" s="34" t="n">
        <v>0.09429999999999999</v>
      </c>
      <c r="AL130" s="34" t="n">
        <v>1</v>
      </c>
      <c r="AM130" s="2" t="n">
        <v>7020</v>
      </c>
    </row>
    <row r="131">
      <c r="A131">
        <f>HYPERLINK("https://www.walmart.com/ip/857437937", "857437937")</f>
        <v/>
      </c>
      <c r="B131">
        <f>HYPERLINK("https://app.optiwise.ai/catalog/itemdetails/361006", "Tirrinia  Womens Wide Brim Bucket Hats UPF 50+ Outdoor Gardening Sun Caps Khaki")</f>
        <v/>
      </c>
      <c r="C131" t="n">
        <v>3</v>
      </c>
      <c r="D131" t="inlineStr">
        <is>
          <t>B78691_1639396_1E90F3964C89388D</t>
        </is>
      </c>
      <c r="E131" t="inlineStr">
        <is>
          <t>1TRSH189KK-TBCB</t>
        </is>
      </c>
      <c r="F131" t="n">
        <v>10</v>
      </c>
      <c r="G131" t="inlineStr">
        <is>
          <t>Clothing</t>
        </is>
      </c>
      <c r="H131" t="inlineStr">
        <is>
          <t>Hats</t>
        </is>
      </c>
      <c r="I131" t="inlineStr">
        <is>
          <t>Tirrinia</t>
        </is>
      </c>
      <c r="J131" t="n">
        <v>4.8</v>
      </c>
      <c r="K131" t="inlineStr">
        <is>
          <t>Batch 1 - TR</t>
        </is>
      </c>
      <c r="L131" s="29" t="n">
        <v>99.90000000000001</v>
      </c>
      <c r="M131" s="30" t="n">
        <v>0.0009</v>
      </c>
      <c r="N131" s="29" t="n">
        <v>0</v>
      </c>
      <c r="O131" s="29" t="n">
        <v>0</v>
      </c>
      <c r="P131" s="2" t="n">
        <v>10</v>
      </c>
      <c r="Q131" s="31" t="n">
        <v>0</v>
      </c>
      <c r="R131" s="32" t="n"/>
      <c r="S131" s="32" t="n">
        <v>0</v>
      </c>
      <c r="T131" s="32" t="n">
        <v>0.1164</v>
      </c>
      <c r="U131" s="31" t="n">
        <v>0</v>
      </c>
      <c r="V131" s="32" t="n">
        <v>0</v>
      </c>
      <c r="W131" s="31" t="n">
        <v>0</v>
      </c>
      <c r="X131" s="31" t="n">
        <v>0</v>
      </c>
      <c r="Y131" s="3" t="n">
        <v>0</v>
      </c>
      <c r="Z131" s="3" t="n">
        <v>0</v>
      </c>
      <c r="AA131" s="32" t="n">
        <v>0</v>
      </c>
      <c r="AB131" s="3" t="n">
        <v>0</v>
      </c>
      <c r="AC131" s="32" t="n">
        <v>0</v>
      </c>
      <c r="AD131" s="3" t="n"/>
      <c r="AE131" s="31" t="n">
        <v>0</v>
      </c>
      <c r="AF131" s="2" t="n">
        <v>0</v>
      </c>
      <c r="AG131" s="2" t="n">
        <v>70</v>
      </c>
      <c r="AH131" s="4" t="n">
        <v>70</v>
      </c>
      <c r="AI131" s="33" t="n">
        <v>99.90000000000001</v>
      </c>
      <c r="AJ131" s="4" t="n">
        <v>10</v>
      </c>
      <c r="AK131" s="34" t="n">
        <v>0.1429</v>
      </c>
      <c r="AL131" s="34" t="n">
        <v>1</v>
      </c>
      <c r="AM131" s="2" t="n">
        <v>972</v>
      </c>
    </row>
    <row r="132">
      <c r="A132">
        <f>HYPERLINK("https://www.walmart.com/ip/713575349", "713575349")</f>
        <v/>
      </c>
      <c r="B132">
        <f>HYPERLINK("https://app.optiwise.ai/catalog/itemdetails/362680", "Terrania Running Belt for iPhone 8 X 7 Plus 6S, Fanny Pack Phone Pouch for Fitness, Black, Large")</f>
        <v/>
      </c>
      <c r="C132" t="n">
        <v>3</v>
      </c>
      <c r="D132" t="inlineStr">
        <is>
          <t>B78691_1639536_22A7F9E12B1ADCAD</t>
        </is>
      </c>
      <c r="E132" t="inlineStr">
        <is>
          <t>TRWB100BK-L</t>
        </is>
      </c>
      <c r="F132" t="n">
        <v>4</v>
      </c>
      <c r="G132" t="inlineStr">
        <is>
          <t>Cases &amp; Bags</t>
        </is>
      </c>
      <c r="H132" t="inlineStr">
        <is>
          <t>Running Belts</t>
        </is>
      </c>
      <c r="I132" t="inlineStr">
        <is>
          <t>Terrania</t>
        </is>
      </c>
      <c r="J132" t="n">
        <v>5</v>
      </c>
      <c r="K132" t="inlineStr">
        <is>
          <t>Batch 1 - TR</t>
        </is>
      </c>
      <c r="L132" s="29" t="n">
        <v>97.56999999999999</v>
      </c>
      <c r="M132" s="30" t="n">
        <v>0.0008</v>
      </c>
      <c r="N132" s="29" t="n">
        <v>19.97999954223633</v>
      </c>
      <c r="O132" s="29" t="n">
        <v>0</v>
      </c>
      <c r="P132" s="2" t="n">
        <v>11</v>
      </c>
      <c r="Q132" s="31" t="n">
        <v>0</v>
      </c>
      <c r="R132" s="32" t="n"/>
      <c r="S132" s="32" t="n">
        <v>0</v>
      </c>
      <c r="T132" s="32" t="n">
        <v>0</v>
      </c>
      <c r="U132" s="31" t="n">
        <v>0</v>
      </c>
      <c r="V132" s="32" t="n">
        <v>0</v>
      </c>
      <c r="W132" s="31" t="n">
        <v>0</v>
      </c>
      <c r="X132" s="31" t="n">
        <v>0</v>
      </c>
      <c r="Y132" s="3" t="n">
        <v>0</v>
      </c>
      <c r="Z132" s="3" t="n">
        <v>0</v>
      </c>
      <c r="AA132" s="32" t="n">
        <v>0</v>
      </c>
      <c r="AB132" s="3" t="n">
        <v>0</v>
      </c>
      <c r="AC132" s="32" t="n">
        <v>0</v>
      </c>
      <c r="AD132" s="3" t="n"/>
      <c r="AE132" s="31" t="n">
        <v>0</v>
      </c>
      <c r="AF132" s="2" t="n">
        <v>53</v>
      </c>
      <c r="AG132" s="2" t="n">
        <v>143</v>
      </c>
      <c r="AH132" s="4" t="n">
        <v>143</v>
      </c>
      <c r="AI132" s="33" t="n">
        <v>97.56999999999999</v>
      </c>
      <c r="AJ132" s="4" t="n">
        <v>11</v>
      </c>
      <c r="AK132" s="34" t="n">
        <v>0.0769</v>
      </c>
      <c r="AL132" s="34" t="n">
        <v>1</v>
      </c>
      <c r="AM132" s="2" t="n">
        <v>1227</v>
      </c>
    </row>
    <row r="133">
      <c r="A133">
        <f>HYPERLINK("https://www.walmart.com/ip/6029516944", "6029516944")</f>
        <v/>
      </c>
      <c r="B133">
        <f>HYPERLINK("https://app.optiwise.ai/catalog/itemdetails/9583558", "Tirrinia Mesh Beach Bag with Cooler Compartment, Extra Large Totes for Beach Travel, Functional Fashion Beach Bag for Women")</f>
        <v/>
      </c>
      <c r="C133" t="n">
        <v>2</v>
      </c>
      <c r="D133" t="inlineStr">
        <is>
          <t>B78691_1682578_1AC293A622C39A7F</t>
        </is>
      </c>
      <c r="E133" t="inlineStr">
        <is>
          <t>1TRCB00112AQ</t>
        </is>
      </c>
      <c r="F133" t="n">
        <v>0</v>
      </c>
      <c r="G133" t="inlineStr">
        <is>
          <t>Cases &amp; Bags</t>
        </is>
      </c>
      <c r="H133" t="inlineStr">
        <is>
          <t>Handbags</t>
        </is>
      </c>
      <c r="I133" t="inlineStr">
        <is>
          <t>Tirrinia</t>
        </is>
      </c>
      <c r="L133" s="29" t="n">
        <v>95.97</v>
      </c>
      <c r="M133" s="30" t="n">
        <v>0.0008</v>
      </c>
      <c r="N133" s="29" t="n">
        <v>0</v>
      </c>
      <c r="O133" s="29" t="n">
        <v>0</v>
      </c>
      <c r="P133" s="2" t="n">
        <v>3</v>
      </c>
      <c r="Q133" s="31" t="n">
        <v>0</v>
      </c>
      <c r="R133" s="32" t="n"/>
      <c r="S133" s="32" t="n">
        <v>0</v>
      </c>
      <c r="T133" s="32" t="n">
        <v>0</v>
      </c>
      <c r="U133" s="31" t="n">
        <v>0</v>
      </c>
      <c r="V133" s="32" t="n">
        <v>0</v>
      </c>
      <c r="W133" s="31" t="n">
        <v>0</v>
      </c>
      <c r="X133" s="31" t="n">
        <v>0</v>
      </c>
      <c r="Y133" s="3" t="n">
        <v>0</v>
      </c>
      <c r="Z133" s="3" t="n">
        <v>0</v>
      </c>
      <c r="AA133" s="32" t="n">
        <v>0</v>
      </c>
      <c r="AB133" s="3" t="n">
        <v>0</v>
      </c>
      <c r="AC133" s="32" t="n">
        <v>0</v>
      </c>
      <c r="AD133" s="3" t="n"/>
      <c r="AE133" s="31" t="n">
        <v>0</v>
      </c>
      <c r="AF133" s="2" t="n">
        <v>0</v>
      </c>
      <c r="AG133" s="2" t="n">
        <v>61</v>
      </c>
      <c r="AH133" s="4" t="n">
        <v>61</v>
      </c>
      <c r="AI133" s="33" t="n">
        <v>95.97</v>
      </c>
      <c r="AJ133" s="4" t="n">
        <v>3</v>
      </c>
      <c r="AK133" s="34" t="n">
        <v>0.0492</v>
      </c>
      <c r="AL133" s="34" t="n">
        <v>1</v>
      </c>
      <c r="AM133" s="2" t="n">
        <v>9000</v>
      </c>
    </row>
    <row r="134">
      <c r="A134">
        <f>HYPERLINK("https://www.walmart.com/ip/646388542", "646388542")</f>
        <v/>
      </c>
      <c r="B134">
        <f>HYPERLINK("https://app.optiwise.ai/catalog/itemdetails/362685", "Fleece Blanket Wearable with Sleeves and Pocket, Micro Plush Warm Comfy Sleeved TV Throw Blanket Robe for Women and Men Multi-Colors 72”X55” by Catalonia")</f>
        <v/>
      </c>
      <c r="C134" t="n">
        <v>5</v>
      </c>
      <c r="D134" t="inlineStr">
        <is>
          <t>B78691_1641946_3589B5D3BE5EAB72</t>
        </is>
      </c>
      <c r="E134" t="inlineStr">
        <is>
          <t>1CTSN110CA-ESGM</t>
        </is>
      </c>
      <c r="F134" t="n">
        <v>3</v>
      </c>
      <c r="G134" t="inlineStr">
        <is>
          <t>Bedding</t>
        </is>
      </c>
      <c r="H134" t="inlineStr">
        <is>
          <t>Throws</t>
        </is>
      </c>
      <c r="I134" t="inlineStr">
        <is>
          <t>Catalonia</t>
        </is>
      </c>
      <c r="J134" t="n">
        <v>5</v>
      </c>
      <c r="K134" t="inlineStr">
        <is>
          <t>Fleece Blankets,Batch 1 - TR</t>
        </is>
      </c>
      <c r="L134" s="29" t="n">
        <v>91.98</v>
      </c>
      <c r="M134" s="30" t="n">
        <v>0.0008</v>
      </c>
      <c r="N134" s="29" t="n">
        <v>0</v>
      </c>
      <c r="O134" s="29" t="n">
        <v>0</v>
      </c>
      <c r="P134" s="2" t="n">
        <v>2</v>
      </c>
      <c r="Q134" s="31" t="n">
        <v>0</v>
      </c>
      <c r="R134" s="32" t="n"/>
      <c r="S134" s="32" t="n">
        <v>0</v>
      </c>
      <c r="T134" s="32" t="n">
        <v>0</v>
      </c>
      <c r="U134" s="31" t="n">
        <v>0</v>
      </c>
      <c r="V134" s="32" t="n">
        <v>0</v>
      </c>
      <c r="W134" s="31" t="n">
        <v>0</v>
      </c>
      <c r="X134" s="31" t="n">
        <v>0</v>
      </c>
      <c r="Y134" s="3" t="n">
        <v>0</v>
      </c>
      <c r="Z134" s="3" t="n">
        <v>0</v>
      </c>
      <c r="AA134" s="32" t="n">
        <v>0</v>
      </c>
      <c r="AB134" s="3" t="n">
        <v>0</v>
      </c>
      <c r="AC134" s="32" t="n">
        <v>0</v>
      </c>
      <c r="AD134" s="3" t="n"/>
      <c r="AE134" s="31" t="n">
        <v>0</v>
      </c>
      <c r="AF134" s="2" t="n">
        <v>0</v>
      </c>
      <c r="AG134" s="2" t="n">
        <v>66</v>
      </c>
      <c r="AH134" s="4" t="n">
        <v>66</v>
      </c>
      <c r="AI134" s="33" t="n">
        <v>91.98</v>
      </c>
      <c r="AJ134" s="4" t="n">
        <v>2</v>
      </c>
      <c r="AK134" s="34" t="n">
        <v>0.0303</v>
      </c>
      <c r="AL134" s="34" t="n">
        <v>1</v>
      </c>
      <c r="AM134" s="2" t="n">
        <v>33615</v>
      </c>
    </row>
    <row r="135">
      <c r="A135">
        <f>HYPERLINK("https://www.walmart.com/ip/1456630097", "1456630097")</f>
        <v/>
      </c>
      <c r="B135">
        <f>HYPERLINK("https://app.optiwise.ai/catalog/itemdetails/5617064", "Pawsse Pet Carrier Backpack for Dogs and Cats up to 15 lbs, 16 H x13.2 L x12 W, Black")</f>
        <v/>
      </c>
      <c r="C135" t="n">
        <v>3</v>
      </c>
      <c r="D135" t="inlineStr">
        <is>
          <t>B78691_1635766_5C9BB2671E1E9004</t>
        </is>
      </c>
      <c r="E135" t="inlineStr">
        <is>
          <t>1PSPB200BK</t>
        </is>
      </c>
      <c r="F135" t="n">
        <v>18</v>
      </c>
      <c r="G135" t="inlineStr">
        <is>
          <t>Animal Other</t>
        </is>
      </c>
      <c r="H135" t="inlineStr">
        <is>
          <t>Pet Carriers</t>
        </is>
      </c>
      <c r="I135" t="inlineStr">
        <is>
          <t>Pawsse</t>
        </is>
      </c>
      <c r="L135" s="29" t="n">
        <v>89.97</v>
      </c>
      <c r="M135" s="30" t="n">
        <v>0.0008</v>
      </c>
      <c r="N135" s="29" t="n">
        <v>0</v>
      </c>
      <c r="O135" s="29" t="n">
        <v>0</v>
      </c>
      <c r="P135" s="2" t="n">
        <v>3</v>
      </c>
      <c r="Q135" s="31" t="n">
        <v>0</v>
      </c>
      <c r="R135" s="32" t="n"/>
      <c r="S135" s="32" t="n">
        <v>0</v>
      </c>
      <c r="T135" s="32" t="n">
        <v>0</v>
      </c>
      <c r="U135" s="31" t="n">
        <v>0</v>
      </c>
      <c r="V135" s="32" t="n">
        <v>0</v>
      </c>
      <c r="W135" s="31" t="n">
        <v>0</v>
      </c>
      <c r="X135" s="31" t="n">
        <v>0</v>
      </c>
      <c r="Y135" s="3" t="n">
        <v>0</v>
      </c>
      <c r="Z135" s="3" t="n">
        <v>0</v>
      </c>
      <c r="AA135" s="32" t="n">
        <v>0</v>
      </c>
      <c r="AB135" s="3" t="n">
        <v>0</v>
      </c>
      <c r="AC135" s="32" t="n">
        <v>0</v>
      </c>
      <c r="AD135" s="3" t="n"/>
      <c r="AE135" s="31" t="n">
        <v>0</v>
      </c>
      <c r="AF135" s="2" t="n">
        <v>0</v>
      </c>
      <c r="AG135" s="2" t="n">
        <v>96</v>
      </c>
      <c r="AH135" s="4" t="n">
        <v>96</v>
      </c>
      <c r="AI135" s="33" t="n">
        <v>89.97</v>
      </c>
      <c r="AJ135" s="4" t="n">
        <v>3</v>
      </c>
      <c r="AK135" s="34" t="n">
        <v>0.0312</v>
      </c>
      <c r="AL135" s="34" t="n">
        <v>1</v>
      </c>
      <c r="AM135" s="2" t="n">
        <v>13500</v>
      </c>
    </row>
    <row r="136">
      <c r="A136">
        <f>HYPERLINK("https://www.walmart.com/ip/480406987", "480406987")</f>
        <v/>
      </c>
      <c r="B136">
        <f>HYPERLINK("https://app.optiwise.ai/catalog/itemdetails/362235", "Catalonia Women's Plush Fleece Long Robe, Warm Comfy Fluffy Female Bathrobe with Hood, Machine Washable, One Size, Blue")</f>
        <v/>
      </c>
      <c r="C136" t="n">
        <v>4</v>
      </c>
      <c r="D136" t="inlineStr">
        <is>
          <t>B78691_1635850_4A278DD428FEF50E</t>
        </is>
      </c>
      <c r="E136" t="inlineStr">
        <is>
          <t>1CTRB100BL-LDCB</t>
        </is>
      </c>
      <c r="F136" t="n">
        <v>34</v>
      </c>
      <c r="G136" t="inlineStr">
        <is>
          <t>Clothing</t>
        </is>
      </c>
      <c r="H136" t="inlineStr">
        <is>
          <t>Sleepwear Robes &amp; Bathrobes</t>
        </is>
      </c>
      <c r="I136" t="inlineStr">
        <is>
          <t>Catalonia</t>
        </is>
      </c>
      <c r="J136" t="n">
        <v>4.4</v>
      </c>
      <c r="K136" t="inlineStr">
        <is>
          <t>Hero 5 Holidays,WFS,Bathrobe,WFS Item</t>
        </is>
      </c>
      <c r="L136" s="29" t="n">
        <v>88.97</v>
      </c>
      <c r="M136" s="30" t="n">
        <v>0.0008</v>
      </c>
      <c r="N136" s="29" t="n">
        <v>0</v>
      </c>
      <c r="O136" s="29" t="n">
        <v>0</v>
      </c>
      <c r="P136" s="2" t="n">
        <v>3</v>
      </c>
      <c r="Q136" s="31" t="n">
        <v>0</v>
      </c>
      <c r="R136" s="32" t="n"/>
      <c r="S136" s="32" t="n">
        <v>0</v>
      </c>
      <c r="T136" s="32" t="n">
        <v>0</v>
      </c>
      <c r="U136" s="31" t="n">
        <v>0</v>
      </c>
      <c r="V136" s="32" t="n">
        <v>0</v>
      </c>
      <c r="W136" s="31" t="n">
        <v>0</v>
      </c>
      <c r="X136" s="31" t="n">
        <v>0</v>
      </c>
      <c r="Y136" s="3" t="n">
        <v>0</v>
      </c>
      <c r="Z136" s="3" t="n">
        <v>0</v>
      </c>
      <c r="AA136" s="32" t="n">
        <v>0</v>
      </c>
      <c r="AB136" s="3" t="n">
        <v>0</v>
      </c>
      <c r="AC136" s="32" t="n">
        <v>0</v>
      </c>
      <c r="AD136" s="3" t="n"/>
      <c r="AE136" s="31" t="n">
        <v>0</v>
      </c>
      <c r="AF136" s="2" t="n">
        <v>35</v>
      </c>
      <c r="AG136" s="2" t="n">
        <v>97</v>
      </c>
      <c r="AH136" s="4" t="n">
        <v>97</v>
      </c>
      <c r="AI136" s="33" t="n">
        <v>88.97</v>
      </c>
      <c r="AJ136" s="4" t="n">
        <v>3</v>
      </c>
      <c r="AK136" s="34" t="n">
        <v>0.0309</v>
      </c>
      <c r="AL136" s="34" t="n">
        <v>1</v>
      </c>
      <c r="AM136" s="2" t="n">
        <v>9135</v>
      </c>
    </row>
    <row r="137">
      <c r="A137">
        <f>HYPERLINK("https://www.walmart.com/ip/716767861", "716767861")</f>
        <v/>
      </c>
      <c r="B137">
        <f>HYPERLINK("https://app.optiwise.ai/catalog/itemdetails/362401", "Tirrinia Insulated Wine Carrier Tote - Travel Padded 2 Bottle Wine/Champagne Cooler Bag with Handle and Adjustable Shoulder Strap + Free Corkscrew, Great Wine Lover Gift, Black")</f>
        <v/>
      </c>
      <c r="C137" t="n">
        <v>5</v>
      </c>
      <c r="D137" t="inlineStr">
        <is>
          <t>B78691_1635666_887E7414C7616DD</t>
        </is>
      </c>
      <c r="E137" t="inlineStr">
        <is>
          <t>1KTWB210BKCK</t>
        </is>
      </c>
      <c r="F137" t="n">
        <v>26</v>
      </c>
      <c r="G137" t="inlineStr">
        <is>
          <t>Home Decor, Kitchen, &amp; Other</t>
        </is>
      </c>
      <c r="H137" t="inlineStr">
        <is>
          <t>Wine Totes, Bags &amp; Backpacks</t>
        </is>
      </c>
      <c r="I137" t="inlineStr">
        <is>
          <t>Tirrinia</t>
        </is>
      </c>
      <c r="J137" t="n">
        <v>4.2</v>
      </c>
      <c r="K137" t="inlineStr">
        <is>
          <t>Wine,Wine Bag Camp,Wine WFS,Batch 1 - TR,Lily Brand Camp</t>
        </is>
      </c>
      <c r="L137" s="29" t="n">
        <v>87.95999999999999</v>
      </c>
      <c r="M137" s="30" t="n">
        <v>0.0008</v>
      </c>
      <c r="N137" s="29" t="n">
        <v>0</v>
      </c>
      <c r="O137" s="29" t="n">
        <v>0</v>
      </c>
      <c r="P137" s="2" t="n">
        <v>4</v>
      </c>
      <c r="Q137" s="31" t="n">
        <v>19.53</v>
      </c>
      <c r="R137" s="32" t="n">
        <v>0.0023</v>
      </c>
      <c r="S137" s="32" t="n">
        <v>0.222</v>
      </c>
      <c r="T137" s="32" t="n">
        <v>0.0616</v>
      </c>
      <c r="U137" s="31" t="n">
        <v>2.97</v>
      </c>
      <c r="V137" s="32" t="n">
        <v>0.34</v>
      </c>
      <c r="W137" s="31" t="n">
        <v>57.97</v>
      </c>
      <c r="X137" s="31" t="n">
        <v>43.98</v>
      </c>
      <c r="Y137" s="3" t="n">
        <v>42294</v>
      </c>
      <c r="Z137" s="3" t="n">
        <v>51</v>
      </c>
      <c r="AA137" s="32" t="n">
        <v>0.0012</v>
      </c>
      <c r="AB137" s="3" t="n">
        <v>3</v>
      </c>
      <c r="AC137" s="32" t="n">
        <v>0.0588</v>
      </c>
      <c r="AD137" s="3" t="inlineStr">
        <is>
          <t>Auto Campaign_Vinay,All Items_Auto_Optiwise_24</t>
        </is>
      </c>
      <c r="AE137" s="31" t="n">
        <v>0.38</v>
      </c>
      <c r="AF137" s="2" t="n">
        <v>43</v>
      </c>
      <c r="AG137" s="2" t="n">
        <v>185</v>
      </c>
      <c r="AH137" s="4" t="n">
        <v>134</v>
      </c>
      <c r="AI137" s="33" t="n">
        <v>29.98999999999999</v>
      </c>
      <c r="AJ137" s="4" t="n">
        <v>1</v>
      </c>
      <c r="AK137" s="34" t="n">
        <v>0.0075</v>
      </c>
      <c r="AL137" s="34" t="n">
        <v>0.341</v>
      </c>
      <c r="AM137" s="2" t="n">
        <v>13567</v>
      </c>
    </row>
    <row r="138">
      <c r="A138">
        <f>HYPERLINK("https://www.walmart.com/ip/342298154", "342298154")</f>
        <v/>
      </c>
      <c r="B138">
        <f>HYPERLINK("https://app.optiwise.ai/catalog/itemdetails/360631", "Insulated Expandable Lunch Bags Tote Thermal Cooler Leak Proof Travel Container Food Case for Adults Adjustable Shoulder")</f>
        <v/>
      </c>
      <c r="C138" t="n">
        <v>4</v>
      </c>
      <c r="D138" t="inlineStr">
        <is>
          <t>00742010031895</t>
        </is>
      </c>
      <c r="E138" t="inlineStr">
        <is>
          <t>1KTLB110GR</t>
        </is>
      </c>
      <c r="F138" t="n">
        <v>10</v>
      </c>
      <c r="G138" t="inlineStr">
        <is>
          <t>Cases &amp; Bags</t>
        </is>
      </c>
      <c r="H138" t="inlineStr">
        <is>
          <t>Reusable Lunch Bags &amp; Boxes</t>
        </is>
      </c>
      <c r="I138" t="inlineStr">
        <is>
          <t>Kato</t>
        </is>
      </c>
      <c r="K138" t="inlineStr">
        <is>
          <t>Lunch Bag,Optimized,SEM</t>
        </is>
      </c>
      <c r="L138" s="29" t="n">
        <v>86.94999999999999</v>
      </c>
      <c r="M138" s="30" t="n">
        <v>0.0007</v>
      </c>
      <c r="N138" s="29" t="n">
        <v>0</v>
      </c>
      <c r="O138" s="29" t="n">
        <v>0</v>
      </c>
      <c r="P138" s="2" t="n">
        <v>5</v>
      </c>
      <c r="Q138" s="31" t="n">
        <v>0</v>
      </c>
      <c r="R138" s="32" t="n"/>
      <c r="S138" s="32" t="n">
        <v>0</v>
      </c>
      <c r="T138" s="32" t="n">
        <v>0</v>
      </c>
      <c r="U138" s="31" t="n">
        <v>0</v>
      </c>
      <c r="V138" s="32" t="n">
        <v>0</v>
      </c>
      <c r="W138" s="31" t="n">
        <v>0</v>
      </c>
      <c r="X138" s="31" t="n">
        <v>0</v>
      </c>
      <c r="Y138" s="3" t="n">
        <v>0</v>
      </c>
      <c r="Z138" s="3" t="n">
        <v>0</v>
      </c>
      <c r="AA138" s="32" t="n">
        <v>0</v>
      </c>
      <c r="AB138" s="3" t="n">
        <v>0</v>
      </c>
      <c r="AC138" s="32" t="n">
        <v>0</v>
      </c>
      <c r="AD138" s="3" t="n"/>
      <c r="AE138" s="31" t="n">
        <v>0</v>
      </c>
      <c r="AF138" s="2" t="n">
        <v>0</v>
      </c>
      <c r="AG138" s="2" t="n">
        <v>158</v>
      </c>
      <c r="AH138" s="4" t="n">
        <v>158</v>
      </c>
      <c r="AI138" s="33" t="n">
        <v>86.94999999999999</v>
      </c>
      <c r="AJ138" s="4" t="n">
        <v>5</v>
      </c>
      <c r="AK138" s="34" t="n">
        <v>0.0316</v>
      </c>
      <c r="AL138" s="34" t="n">
        <v>1</v>
      </c>
      <c r="AM138" s="2" t="n">
        <v>10800</v>
      </c>
    </row>
    <row r="139">
      <c r="A139">
        <f>HYPERLINK("https://www.walmart.com/ip/600633477", "600633477")</f>
        <v/>
      </c>
      <c r="B139">
        <f>HYPERLINK("https://app.optiwise.ai/catalog/itemdetails/362737", "Fleece Blanket Wearable with Sleeves &amp; Foot pockets for Men and Women, Micro Plush Wrap Sleeved Throw Blanket Robe Multi-Colors 75”x53” by Catalonia")</f>
        <v/>
      </c>
      <c r="C139" t="inlineStr">
        <is>
          <t>-</t>
        </is>
      </c>
      <c r="E139" t="inlineStr">
        <is>
          <t>1CTSN101GN</t>
        </is>
      </c>
      <c r="F139" t="n">
        <v>5</v>
      </c>
      <c r="G139" t="inlineStr">
        <is>
          <t>Bedding</t>
        </is>
      </c>
      <c r="H139" t="inlineStr">
        <is>
          <t>Throws</t>
        </is>
      </c>
      <c r="I139" t="inlineStr">
        <is>
          <t>Catalonia</t>
        </is>
      </c>
      <c r="J139" t="n">
        <v>3.8</v>
      </c>
      <c r="K139" t="inlineStr">
        <is>
          <t>WFS,Coupon_Discount,WFS Item,Fleece Blankets</t>
        </is>
      </c>
      <c r="L139" s="29" t="n">
        <v>84.95999999999999</v>
      </c>
      <c r="M139" s="30" t="n">
        <v>0.0007</v>
      </c>
      <c r="N139" s="29" t="n">
        <v>0</v>
      </c>
      <c r="O139" s="29" t="n">
        <v>0</v>
      </c>
      <c r="P139" s="2" t="n">
        <v>3</v>
      </c>
      <c r="Q139" s="31" t="n">
        <v>0</v>
      </c>
      <c r="R139" s="32" t="n"/>
      <c r="S139" s="32" t="n">
        <v>0</v>
      </c>
      <c r="T139" s="32" t="n">
        <v>0</v>
      </c>
      <c r="U139" s="31" t="n">
        <v>0</v>
      </c>
      <c r="V139" s="32" t="n">
        <v>0</v>
      </c>
      <c r="W139" s="31" t="n">
        <v>0</v>
      </c>
      <c r="X139" s="31" t="n">
        <v>0</v>
      </c>
      <c r="Y139" s="3" t="n">
        <v>0</v>
      </c>
      <c r="Z139" s="3" t="n">
        <v>0</v>
      </c>
      <c r="AA139" s="32" t="n">
        <v>0</v>
      </c>
      <c r="AB139" s="3" t="n">
        <v>0</v>
      </c>
      <c r="AC139" s="32" t="n">
        <v>0</v>
      </c>
      <c r="AD139" s="3" t="n"/>
      <c r="AE139" s="31" t="n">
        <v>0</v>
      </c>
      <c r="AF139" s="2" t="n">
        <v>34</v>
      </c>
      <c r="AG139" s="2" t="n">
        <v>63</v>
      </c>
      <c r="AH139" s="4" t="n">
        <v>63</v>
      </c>
      <c r="AI139" s="33" t="n">
        <v>84.95999999999999</v>
      </c>
      <c r="AJ139" s="4" t="n">
        <v>3</v>
      </c>
      <c r="AK139" s="34" t="n">
        <v>0.0476</v>
      </c>
      <c r="AL139" s="34" t="n">
        <v>1</v>
      </c>
      <c r="AM139" s="2" t="n">
        <v>4500</v>
      </c>
    </row>
    <row r="140">
      <c r="A140">
        <f>HYPERLINK("https://www.walmart.com/ip/1233029912", "1233029912")</f>
        <v/>
      </c>
      <c r="B140">
        <f>HYPERLINK("https://app.optiwise.ai/catalog/itemdetails/787754", "Tirrinia Men's Trout Ventilate Mesh Fish Embroidery Cap Fishing Hat Navy Blue")</f>
        <v/>
      </c>
      <c r="C140" t="n">
        <v>18</v>
      </c>
      <c r="D140" t="inlineStr">
        <is>
          <t>B78691_1680212_5C9BB2671E1E9004</t>
        </is>
      </c>
      <c r="E140" t="inlineStr">
        <is>
          <t>1TRHT7180BRKUP-TBCB</t>
        </is>
      </c>
      <c r="F140" t="n">
        <v>2</v>
      </c>
      <c r="G140" t="inlineStr">
        <is>
          <t>Clothing</t>
        </is>
      </c>
      <c r="H140" t="inlineStr">
        <is>
          <t>Hats</t>
        </is>
      </c>
      <c r="I140" t="inlineStr">
        <is>
          <t>Tirrinia</t>
        </is>
      </c>
      <c r="J140" t="n">
        <v>4.5</v>
      </c>
      <c r="K140" t="inlineStr">
        <is>
          <t>Batch 1 - TR</t>
        </is>
      </c>
      <c r="L140" s="29" t="n">
        <v>84.94</v>
      </c>
      <c r="M140" s="30" t="n">
        <v>0.0007</v>
      </c>
      <c r="N140" s="29" t="n">
        <v>0</v>
      </c>
      <c r="O140" s="29" t="n">
        <v>0</v>
      </c>
      <c r="P140" s="2" t="n">
        <v>6</v>
      </c>
      <c r="Q140" s="31" t="n">
        <v>0</v>
      </c>
      <c r="R140" s="32" t="n"/>
      <c r="S140" s="32" t="n">
        <v>0</v>
      </c>
      <c r="T140" s="32" t="n">
        <v>0</v>
      </c>
      <c r="U140" s="31" t="n">
        <v>0</v>
      </c>
      <c r="V140" s="32" t="n">
        <v>0</v>
      </c>
      <c r="W140" s="31" t="n">
        <v>0</v>
      </c>
      <c r="X140" s="31" t="n">
        <v>0</v>
      </c>
      <c r="Y140" s="3" t="n">
        <v>0</v>
      </c>
      <c r="Z140" s="3" t="n">
        <v>0</v>
      </c>
      <c r="AA140" s="32" t="n">
        <v>0</v>
      </c>
      <c r="AB140" s="3" t="n">
        <v>0</v>
      </c>
      <c r="AC140" s="32" t="n">
        <v>0</v>
      </c>
      <c r="AD140" s="3" t="n"/>
      <c r="AE140" s="31" t="n">
        <v>0</v>
      </c>
      <c r="AF140" s="2" t="n">
        <v>0</v>
      </c>
      <c r="AG140" s="2" t="n">
        <v>192</v>
      </c>
      <c r="AH140" s="4" t="n">
        <v>192</v>
      </c>
      <c r="AI140" s="33" t="n">
        <v>84.94</v>
      </c>
      <c r="AJ140" s="4" t="n">
        <v>6</v>
      </c>
      <c r="AK140" s="34" t="n">
        <v>0.0312</v>
      </c>
      <c r="AL140" s="34" t="n">
        <v>1</v>
      </c>
      <c r="AM140" s="2" t="n">
        <v>21622</v>
      </c>
    </row>
    <row r="141">
      <c r="A141">
        <f>HYPERLINK("https://www.walmart.com/ip/621860932", "621860932")</f>
        <v/>
      </c>
      <c r="B141">
        <f>HYPERLINK("https://app.optiwise.ai/catalog/itemdetails/361594", "Sun Blocker Sun Hat women Canvas Reversible Bucket Hat UV Sun Protection UPF 50+ Double Sided Outdoor Safari Travel Beach Golf Cap, Floral Blue")</f>
        <v/>
      </c>
      <c r="C141" t="n">
        <v>5</v>
      </c>
      <c r="D141" t="inlineStr">
        <is>
          <t>B78691_1681789_2A0AD5E96BB7B560</t>
        </is>
      </c>
      <c r="E141" t="inlineStr">
        <is>
          <t>KC-S9200FLW-BL</t>
        </is>
      </c>
      <c r="F141" t="n">
        <v>58</v>
      </c>
      <c r="G141" t="inlineStr">
        <is>
          <t>Clothing</t>
        </is>
      </c>
      <c r="H141" t="inlineStr">
        <is>
          <t>Hats</t>
        </is>
      </c>
      <c r="I141" t="inlineStr">
        <is>
          <t>Sun Blocker</t>
        </is>
      </c>
      <c r="J141" t="n">
        <v>4.4</v>
      </c>
      <c r="K141" t="inlineStr">
        <is>
          <t>Batch 1 - TR</t>
        </is>
      </c>
      <c r="L141" s="29" t="n">
        <v>84.91000000000001</v>
      </c>
      <c r="M141" s="30" t="n">
        <v>0.0007</v>
      </c>
      <c r="N141" s="29" t="n">
        <v>47.94999885559082</v>
      </c>
      <c r="O141" s="29" t="n">
        <v>0</v>
      </c>
      <c r="P141" s="2" t="n">
        <v>8</v>
      </c>
      <c r="Q141" s="31" t="n">
        <v>17.38</v>
      </c>
      <c r="R141" s="32" t="n">
        <v>0.0021</v>
      </c>
      <c r="S141" s="32" t="n">
        <v>0.2047</v>
      </c>
      <c r="T141" s="32" t="n">
        <v>11.87</v>
      </c>
      <c r="U141" s="31" t="n">
        <v>1.15</v>
      </c>
      <c r="V141" s="32" t="n">
        <v>0.87</v>
      </c>
      <c r="W141" s="31" t="n">
        <v>19.98</v>
      </c>
      <c r="X141" s="31" t="n">
        <v>19.98</v>
      </c>
      <c r="Y141" s="3" t="n">
        <v>23934</v>
      </c>
      <c r="Z141" s="3" t="n">
        <v>57</v>
      </c>
      <c r="AA141" s="32" t="n">
        <v>0.0024</v>
      </c>
      <c r="AB141" s="3" t="n">
        <v>2</v>
      </c>
      <c r="AC141" s="32" t="n">
        <v>0.0351</v>
      </c>
      <c r="AD141" s="3" t="inlineStr">
        <is>
          <t>,Need to sell these SKUs by 15th Feb</t>
        </is>
      </c>
      <c r="AE141" s="31" t="n">
        <v>0.3</v>
      </c>
      <c r="AF141" s="2" t="n">
        <v>27</v>
      </c>
      <c r="AG141" s="2" t="n">
        <v>180</v>
      </c>
      <c r="AH141" s="4" t="n">
        <v>123</v>
      </c>
      <c r="AI141" s="33" t="n">
        <v>64.93000000000001</v>
      </c>
      <c r="AJ141" s="4" t="n">
        <v>6</v>
      </c>
      <c r="AK141" s="34" t="n">
        <v>0.0488</v>
      </c>
      <c r="AL141" s="34" t="n">
        <v>0.7647</v>
      </c>
      <c r="AM141" s="2" t="n">
        <v>8454</v>
      </c>
    </row>
    <row r="142">
      <c r="A142">
        <f>HYPERLINK("https://www.walmart.com/ip/708164308", "708164308")</f>
        <v/>
      </c>
      <c r="B142">
        <f>HYPERLINK("https://app.optiwise.ai/catalog/itemdetails/361578", "Flyingstar Insulated Picnic Basket, 26L Leakproof Collapsible Portable Cooler Basket for Camping, Travel and Shopping, with a Free Foldable Grocery Bag, Black, 16.8 x 9.7 x 10")</f>
        <v/>
      </c>
      <c r="C142" t="n">
        <v>3</v>
      </c>
      <c r="D142" t="inlineStr">
        <is>
          <t>B78691_1679541_237B93886627A2BA</t>
        </is>
      </c>
      <c r="E142" t="inlineStr">
        <is>
          <t>1WMPB100-BK</t>
        </is>
      </c>
      <c r="F142" t="n">
        <v>9</v>
      </c>
      <c r="G142" t="inlineStr">
        <is>
          <t>Home Decor, Kitchen, &amp; Other</t>
        </is>
      </c>
      <c r="H142" t="inlineStr">
        <is>
          <t>Picnic Baskets &amp; Bags</t>
        </is>
      </c>
      <c r="I142" t="inlineStr">
        <is>
          <t>Tirrinia</t>
        </is>
      </c>
      <c r="J142" t="n">
        <v>5</v>
      </c>
      <c r="K142" t="inlineStr">
        <is>
          <t>Batch 1 - TR</t>
        </is>
      </c>
      <c r="L142" s="29" t="n">
        <v>79.92</v>
      </c>
      <c r="M142" s="30" t="n">
        <v>0.0007</v>
      </c>
      <c r="N142" s="29" t="n">
        <v>0</v>
      </c>
      <c r="O142" s="29" t="n">
        <v>0</v>
      </c>
      <c r="P142" s="2" t="n">
        <v>4</v>
      </c>
      <c r="Q142" s="31" t="n">
        <v>0</v>
      </c>
      <c r="R142" s="32" t="n"/>
      <c r="S142" s="32" t="n">
        <v>0</v>
      </c>
      <c r="T142" s="32" t="n">
        <v>0</v>
      </c>
      <c r="U142" s="31" t="n">
        <v>0</v>
      </c>
      <c r="V142" s="32" t="n">
        <v>0</v>
      </c>
      <c r="W142" s="31" t="n">
        <v>0</v>
      </c>
      <c r="X142" s="31" t="n">
        <v>0</v>
      </c>
      <c r="Y142" s="3" t="n">
        <v>0</v>
      </c>
      <c r="Z142" s="3" t="n">
        <v>0</v>
      </c>
      <c r="AA142" s="32" t="n">
        <v>0</v>
      </c>
      <c r="AB142" s="3" t="n">
        <v>0</v>
      </c>
      <c r="AC142" s="32" t="n">
        <v>0</v>
      </c>
      <c r="AD142" s="3" t="n"/>
      <c r="AE142" s="31" t="n">
        <v>0</v>
      </c>
      <c r="AF142" s="2" t="n">
        <v>30</v>
      </c>
      <c r="AG142" s="2" t="n">
        <v>72</v>
      </c>
      <c r="AH142" s="4" t="n">
        <v>72</v>
      </c>
      <c r="AI142" s="33" t="n">
        <v>79.92</v>
      </c>
      <c r="AJ142" s="4" t="n">
        <v>4</v>
      </c>
      <c r="AK142" s="34" t="n">
        <v>0.0556</v>
      </c>
      <c r="AL142" s="34" t="n">
        <v>1</v>
      </c>
      <c r="AM142" s="2" t="n">
        <v>0</v>
      </c>
    </row>
    <row r="143">
      <c r="A143">
        <f>HYPERLINK("https://www.walmart.com/ip/873609379", "873609379")</f>
        <v/>
      </c>
      <c r="B143">
        <f>HYPERLINK("https://app.optiwise.ai/catalog/itemdetails/359108", "Fleece Blanket Wearable with Sleeves &amp; Foot pockets for Men and Women, Micro Plush Wrap Sleeved Throw Blanket Robe Multi-Colors 75”x53” by Catalonia")</f>
        <v/>
      </c>
      <c r="C143" t="inlineStr">
        <is>
          <t>-</t>
        </is>
      </c>
      <c r="E143" t="inlineStr">
        <is>
          <t>1CTSN101BR</t>
        </is>
      </c>
      <c r="F143" t="n">
        <v>6</v>
      </c>
      <c r="G143" t="inlineStr">
        <is>
          <t>Bedding</t>
        </is>
      </c>
      <c r="H143" t="inlineStr">
        <is>
          <t>Throws</t>
        </is>
      </c>
      <c r="I143" t="inlineStr">
        <is>
          <t>Catalonia</t>
        </is>
      </c>
      <c r="J143" t="n">
        <v>3.3</v>
      </c>
      <c r="K143" t="inlineStr">
        <is>
          <t>Q2-Target,WFS,Coupon_Discount,WFS Item</t>
        </is>
      </c>
      <c r="L143" s="29" t="n">
        <v>78.95999999999999</v>
      </c>
      <c r="M143" s="30" t="n">
        <v>0.0007</v>
      </c>
      <c r="N143" s="29" t="n">
        <v>23.98999977111816</v>
      </c>
      <c r="O143" s="29" t="n">
        <v>23.98999977111816</v>
      </c>
      <c r="P143" s="2" t="n">
        <v>3</v>
      </c>
      <c r="Q143" s="31" t="n">
        <v>31.92000000000002</v>
      </c>
      <c r="R143" s="32" t="n">
        <v>0.0038</v>
      </c>
      <c r="S143" s="32" t="n">
        <v>0.4043</v>
      </c>
      <c r="T143" s="32" t="n">
        <v>0</v>
      </c>
      <c r="U143" s="31" t="n">
        <v>1.5</v>
      </c>
      <c r="V143" s="32" t="n">
        <v>0.67</v>
      </c>
      <c r="W143" s="31" t="n">
        <v>47.98</v>
      </c>
      <c r="X143" s="31" t="n">
        <v>47.98</v>
      </c>
      <c r="Y143" s="3" t="n">
        <v>54646</v>
      </c>
      <c r="Z143" s="3" t="n">
        <v>83</v>
      </c>
      <c r="AA143" s="32" t="n">
        <v>0.0015</v>
      </c>
      <c r="AB143" s="3" t="n">
        <v>2</v>
      </c>
      <c r="AC143" s="32" t="n">
        <v>0.0241</v>
      </c>
      <c r="AD143" s="3" t="inlineStr">
        <is>
          <t>Need to sell these SKUs by 15th Feb</t>
        </is>
      </c>
      <c r="AE143" s="31" t="n">
        <v>0.38</v>
      </c>
      <c r="AF143" s="2" t="n">
        <v>68</v>
      </c>
      <c r="AG143" s="2" t="n">
        <v>116</v>
      </c>
      <c r="AH143" s="4" t="n">
        <v>33</v>
      </c>
      <c r="AI143" s="33" t="n">
        <v>30.98</v>
      </c>
      <c r="AJ143" s="4" t="n">
        <v>1</v>
      </c>
      <c r="AK143" s="34" t="n">
        <v>0.0303</v>
      </c>
      <c r="AL143" s="34" t="n">
        <v>0.3924</v>
      </c>
      <c r="AM143" s="2" t="n">
        <v>4590</v>
      </c>
    </row>
    <row r="144">
      <c r="A144">
        <f>HYPERLINK("https://www.walmart.com/ip/9553755516", "9553755516")</f>
        <v/>
      </c>
      <c r="B144">
        <f>HYPERLINK("https://app.optiwise.ai/catalog/itemdetails/9941261", "Lee Clear Water Resistant Laptop Backpack for Boys and Girls, Durable See Thru Book Bag, Backpacks for School, Ideal for Stadiums, Concerts, and Casual Use, Clear Black")</f>
        <v/>
      </c>
      <c r="C144" t="n">
        <v>3</v>
      </c>
      <c r="D144" t="inlineStr">
        <is>
          <t>B78691_1682743_1DE03BDB66324779</t>
        </is>
      </c>
      <c r="E144" t="inlineStr">
        <is>
          <t>LE-BACKPACK-93038-BLACK</t>
        </is>
      </c>
      <c r="F144" t="n">
        <v>2</v>
      </c>
      <c r="G144" t="inlineStr">
        <is>
          <t>Cases &amp; Bags</t>
        </is>
      </c>
      <c r="H144" t="inlineStr">
        <is>
          <t>Backpacks</t>
        </is>
      </c>
      <c r="I144" t="inlineStr">
        <is>
          <t>Lee</t>
        </is>
      </c>
      <c r="J144" t="n">
        <v>3</v>
      </c>
      <c r="K144" t="inlineStr">
        <is>
          <t>Backpack</t>
        </is>
      </c>
      <c r="L144" s="29" t="n">
        <v>78.94</v>
      </c>
      <c r="M144" s="30" t="n">
        <v>0.0007</v>
      </c>
      <c r="N144" s="29" t="n">
        <v>0</v>
      </c>
      <c r="O144" s="29" t="n">
        <v>0</v>
      </c>
      <c r="P144" s="2" t="n">
        <v>3</v>
      </c>
      <c r="Q144" s="31" t="n">
        <v>0</v>
      </c>
      <c r="R144" s="32" t="n"/>
      <c r="S144" s="32" t="n">
        <v>0</v>
      </c>
      <c r="T144" s="32" t="n">
        <v>0.5234</v>
      </c>
      <c r="U144" s="31" t="n">
        <v>0</v>
      </c>
      <c r="V144" s="32" t="n">
        <v>0</v>
      </c>
      <c r="W144" s="31" t="n">
        <v>0</v>
      </c>
      <c r="X144" s="31" t="n">
        <v>0</v>
      </c>
      <c r="Y144" s="3" t="n">
        <v>0</v>
      </c>
      <c r="Z144" s="3" t="n">
        <v>0</v>
      </c>
      <c r="AA144" s="32" t="n">
        <v>0</v>
      </c>
      <c r="AB144" s="3" t="n">
        <v>0</v>
      </c>
      <c r="AC144" s="32" t="n">
        <v>0</v>
      </c>
      <c r="AD144" s="3" t="n"/>
      <c r="AE144" s="31" t="n">
        <v>0</v>
      </c>
      <c r="AF144" s="2" t="n">
        <v>0</v>
      </c>
      <c r="AG144" s="2" t="n">
        <v>149</v>
      </c>
      <c r="AH144" s="4" t="n">
        <v>149</v>
      </c>
      <c r="AI144" s="33" t="n">
        <v>78.94</v>
      </c>
      <c r="AJ144" s="4" t="n">
        <v>3</v>
      </c>
      <c r="AK144" s="34" t="n">
        <v>0.0201</v>
      </c>
      <c r="AL144" s="34" t="n">
        <v>1</v>
      </c>
      <c r="AM144" s="2" t="n">
        <v>13545</v>
      </c>
    </row>
    <row r="145">
      <c r="A145">
        <f>HYPERLINK("https://www.walmart.com/ip/945087727", "945087727")</f>
        <v/>
      </c>
      <c r="B145">
        <f>HYPERLINK("https://app.optiwise.ai/catalog/itemdetails/359105", "Tirrinia Blaze Orange Hunting Neon Basics Cap Low Profile Tangerine Safety Baseball Hat with Adjustable Closure")</f>
        <v/>
      </c>
      <c r="C145" t="n">
        <v>5</v>
      </c>
      <c r="D145" t="inlineStr">
        <is>
          <t>B78691_1681117_A70947BC787EED71</t>
        </is>
      </c>
      <c r="E145" t="inlineStr">
        <is>
          <t>1TRHT8120OR</t>
        </is>
      </c>
      <c r="F145" t="n">
        <v>12</v>
      </c>
      <c r="G145" t="inlineStr">
        <is>
          <t>Clothing</t>
        </is>
      </c>
      <c r="H145" t="inlineStr">
        <is>
          <t>Hats</t>
        </is>
      </c>
      <c r="I145" t="inlineStr">
        <is>
          <t>Tirrinia</t>
        </is>
      </c>
      <c r="J145" t="n">
        <v>4.3</v>
      </c>
      <c r="K145" t="inlineStr">
        <is>
          <t>Optimized,WFS,Hats,WFS Item</t>
        </is>
      </c>
      <c r="L145" s="29" t="n">
        <v>75.20999999999999</v>
      </c>
      <c r="M145" s="30" t="n">
        <v>0.0005999999999999999</v>
      </c>
      <c r="N145" s="29" t="n">
        <v>37.93999910354614</v>
      </c>
      <c r="O145" s="29" t="n">
        <v>0</v>
      </c>
      <c r="P145" s="2" t="n">
        <v>4</v>
      </c>
      <c r="Q145" s="31" t="n">
        <v>10.84</v>
      </c>
      <c r="R145" s="32" t="n">
        <v>0.0013</v>
      </c>
      <c r="S145" s="32" t="n">
        <v>0.1441</v>
      </c>
      <c r="T145" s="32" t="n">
        <v>0</v>
      </c>
      <c r="U145" s="31" t="n">
        <v>2.95</v>
      </c>
      <c r="V145" s="32" t="n">
        <v>0.34</v>
      </c>
      <c r="W145" s="31" t="n">
        <v>31.96</v>
      </c>
      <c r="X145" s="31" t="n">
        <v>31.96</v>
      </c>
      <c r="Y145" s="3" t="n">
        <v>4357</v>
      </c>
      <c r="Z145" s="3" t="n">
        <v>37</v>
      </c>
      <c r="AA145" s="32" t="n">
        <v>0.008500000000000001</v>
      </c>
      <c r="AB145" s="3" t="n">
        <v>2</v>
      </c>
      <c r="AC145" s="32" t="n">
        <v>0.0541</v>
      </c>
      <c r="AD145" s="3" t="inlineStr">
        <is>
          <t>Need to sell these SKUs by 15th Feb,</t>
        </is>
      </c>
      <c r="AE145" s="31" t="n">
        <v>0.29</v>
      </c>
      <c r="AF145" s="2" t="n">
        <v>7</v>
      </c>
      <c r="AG145" s="2" t="n">
        <v>96</v>
      </c>
      <c r="AH145" s="4" t="n">
        <v>59</v>
      </c>
      <c r="AI145" s="33" t="n">
        <v>43.24999999999999</v>
      </c>
      <c r="AJ145" s="4" t="n">
        <v>2</v>
      </c>
      <c r="AK145" s="34" t="n">
        <v>0.0339</v>
      </c>
      <c r="AL145" s="34" t="n">
        <v>0.5750999999999999</v>
      </c>
      <c r="AM145" s="2" t="n">
        <v>13770</v>
      </c>
    </row>
    <row r="146">
      <c r="A146">
        <f>HYPERLINK("https://www.walmart.com/ip/111420113", "111420113")</f>
        <v/>
      </c>
      <c r="B146">
        <f>HYPERLINK("https://app.optiwise.ai/catalog/itemdetails/360678", "Dog Blankets for Large Dogs,Super Soft Warm Sherpa Fleece Plush Doggie Blankets and Throws for Small Medium Puppy Doggy Pet Cats")</f>
        <v/>
      </c>
      <c r="C146" t="n">
        <v>4</v>
      </c>
      <c r="D146" t="inlineStr">
        <is>
          <t>06165439779348</t>
        </is>
      </c>
      <c r="E146" t="inlineStr">
        <is>
          <t>1PSBF301MK</t>
        </is>
      </c>
      <c r="F146" t="n">
        <v>0</v>
      </c>
      <c r="G146" t="inlineStr">
        <is>
          <t>Animal Accessories</t>
        </is>
      </c>
      <c r="H146" t="inlineStr">
        <is>
          <t>Pet Blankets</t>
        </is>
      </c>
      <c r="I146" t="inlineStr">
        <is>
          <t>Pawsse</t>
        </is>
      </c>
      <c r="K146" t="inlineStr">
        <is>
          <t>Batch 1 - TR</t>
        </is>
      </c>
      <c r="L146" s="29" t="n">
        <v>74.97</v>
      </c>
      <c r="M146" s="30" t="n">
        <v>0.0005999999999999999</v>
      </c>
      <c r="N146" s="29" t="n">
        <v>0</v>
      </c>
      <c r="O146" s="29" t="n">
        <v>0</v>
      </c>
      <c r="P146" s="2" t="n">
        <v>3</v>
      </c>
      <c r="Q146" s="31" t="n">
        <v>0</v>
      </c>
      <c r="R146" s="32" t="n"/>
      <c r="S146" s="32" t="n">
        <v>0</v>
      </c>
      <c r="T146" s="32" t="n">
        <v>0</v>
      </c>
      <c r="U146" s="31" t="n">
        <v>0</v>
      </c>
      <c r="V146" s="32" t="n">
        <v>0</v>
      </c>
      <c r="W146" s="31" t="n">
        <v>0</v>
      </c>
      <c r="X146" s="31" t="n">
        <v>0</v>
      </c>
      <c r="Y146" s="3" t="n">
        <v>0</v>
      </c>
      <c r="Z146" s="3" t="n">
        <v>0</v>
      </c>
      <c r="AA146" s="32" t="n">
        <v>0</v>
      </c>
      <c r="AB146" s="3" t="n">
        <v>0</v>
      </c>
      <c r="AC146" s="32" t="n">
        <v>0</v>
      </c>
      <c r="AD146" s="3" t="n"/>
      <c r="AE146" s="31" t="n">
        <v>0</v>
      </c>
      <c r="AF146" s="2" t="n">
        <v>0</v>
      </c>
      <c r="AG146" s="2" t="n">
        <v>57</v>
      </c>
      <c r="AH146" s="4" t="n">
        <v>57</v>
      </c>
      <c r="AI146" s="33" t="n">
        <v>74.97</v>
      </c>
      <c r="AJ146" s="4" t="n">
        <v>3</v>
      </c>
      <c r="AK146" s="34" t="n">
        <v>0.0526</v>
      </c>
      <c r="AL146" s="34" t="n">
        <v>1</v>
      </c>
      <c r="AM146" s="2" t="n">
        <v>4500</v>
      </c>
    </row>
    <row r="147">
      <c r="A147">
        <f>HYPERLINK("https://www.walmart.com/ip/5157833181", "5157833181")</f>
        <v/>
      </c>
      <c r="B147">
        <f>HYPERLINK("https://app.optiwise.ai/catalog/itemdetails/7687635", "Tirrinia 2 Bottle Wine Gift Tote Carrier, Leakproof and Insulated with large pockets Wine Cooler Bag for Travel, Wine Tasting, Party, Dinner, Great Christmas Gift for Wine Lover, Beige")</f>
        <v/>
      </c>
      <c r="C147" t="n">
        <v>4</v>
      </c>
      <c r="D147" t="inlineStr">
        <is>
          <t>B78691_1682354_B1FB291EEDF45948</t>
        </is>
      </c>
      <c r="E147" t="inlineStr">
        <is>
          <t>1TRWB222BG</t>
        </is>
      </c>
      <c r="F147" t="n">
        <v>1</v>
      </c>
      <c r="G147" t="inlineStr">
        <is>
          <t>Home Decor, Kitchen, &amp; Other</t>
        </is>
      </c>
      <c r="H147" t="inlineStr">
        <is>
          <t>Wine Totes, Bags &amp; Backpacks</t>
        </is>
      </c>
      <c r="I147" t="inlineStr">
        <is>
          <t>Tirrinia</t>
        </is>
      </c>
      <c r="J147" t="n">
        <v>5</v>
      </c>
      <c r="L147" s="29" t="n">
        <v>74.97</v>
      </c>
      <c r="M147" s="30" t="n">
        <v>0.0005999999999999999</v>
      </c>
      <c r="N147" s="29" t="n">
        <v>26.98999977111816</v>
      </c>
      <c r="O147" s="29" t="n">
        <v>0</v>
      </c>
      <c r="P147" s="2" t="n">
        <v>3</v>
      </c>
      <c r="Q147" s="31" t="n">
        <v>25.32</v>
      </c>
      <c r="R147" s="32" t="n">
        <v>0.003</v>
      </c>
      <c r="S147" s="32" t="n">
        <v>0.3377</v>
      </c>
      <c r="T147" s="32" t="n">
        <v>0.0223</v>
      </c>
      <c r="U147" s="31" t="n">
        <v>1.97</v>
      </c>
      <c r="V147" s="32" t="n">
        <v>0.51</v>
      </c>
      <c r="W147" s="31" t="n">
        <v>49.98</v>
      </c>
      <c r="X147" s="31" t="n">
        <v>49.98</v>
      </c>
      <c r="Y147" s="3" t="n">
        <v>47810</v>
      </c>
      <c r="Z147" s="3" t="n">
        <v>52</v>
      </c>
      <c r="AA147" s="32" t="n">
        <v>0.0011</v>
      </c>
      <c r="AB147" s="3" t="n">
        <v>2</v>
      </c>
      <c r="AC147" s="32" t="n">
        <v>0.0385</v>
      </c>
      <c r="AD147" s="3" t="inlineStr">
        <is>
          <t>All Items_Auto_Optiwise_24,Auto Campaign_Vinay,WFS Inventory,,1TRWB222BK</t>
        </is>
      </c>
      <c r="AE147" s="31" t="n">
        <v>0.49</v>
      </c>
      <c r="AF147" s="2" t="n">
        <v>0</v>
      </c>
      <c r="AG147" s="2" t="n">
        <v>188</v>
      </c>
      <c r="AH147" s="4" t="n">
        <v>136</v>
      </c>
      <c r="AI147" s="33" t="n">
        <v>24.99</v>
      </c>
      <c r="AJ147" s="4" t="n">
        <v>1</v>
      </c>
      <c r="AK147" s="34" t="n">
        <v>0.0074</v>
      </c>
      <c r="AL147" s="34" t="n">
        <v>0.3333</v>
      </c>
      <c r="AM147" s="2" t="n">
        <v>20205</v>
      </c>
    </row>
    <row r="148">
      <c r="A148">
        <f>HYPERLINK("https://www.walmart.com/ip/9511207654", "9511207654")</f>
        <v/>
      </c>
      <c r="B148">
        <f>HYPERLINK("https://app.optiwise.ai/catalog/itemdetails/9941255", "Ocean Pacific Og Corduroy Backpack for Travel, Sports, and Work, Waterproof College Backpack, Laptop Backpack Fits 15.6” Devices, Casual Daypack Backpacks for Adults, Black")</f>
        <v/>
      </c>
      <c r="C148" t="n">
        <v>3</v>
      </c>
      <c r="D148" t="inlineStr">
        <is>
          <t>B78691_1682745_614BF21278AF5775</t>
        </is>
      </c>
      <c r="E148" t="inlineStr">
        <is>
          <t>OP-BACKPACK-15381-BLACK</t>
        </is>
      </c>
      <c r="F148" t="n">
        <v>0</v>
      </c>
      <c r="G148" t="inlineStr">
        <is>
          <t>Cases &amp; Bags</t>
        </is>
      </c>
      <c r="H148" t="inlineStr">
        <is>
          <t>Backpacks</t>
        </is>
      </c>
      <c r="I148" t="inlineStr">
        <is>
          <t>Ocean Pacific</t>
        </is>
      </c>
      <c r="K148" t="inlineStr">
        <is>
          <t>Backpack</t>
        </is>
      </c>
      <c r="L148" s="29" t="n">
        <v>71.98</v>
      </c>
      <c r="M148" s="30" t="n">
        <v>0.0005999999999999999</v>
      </c>
      <c r="N148" s="29" t="n">
        <v>0</v>
      </c>
      <c r="O148" s="29" t="n">
        <v>0</v>
      </c>
      <c r="P148" s="2" t="n">
        <v>2</v>
      </c>
      <c r="Q148" s="31" t="n">
        <v>0</v>
      </c>
      <c r="R148" s="32" t="n"/>
      <c r="S148" s="32" t="n">
        <v>0</v>
      </c>
      <c r="T148" s="32" t="n">
        <v>2.0675</v>
      </c>
      <c r="U148" s="31" t="n">
        <v>0</v>
      </c>
      <c r="V148" s="32" t="n">
        <v>0</v>
      </c>
      <c r="W148" s="31" t="n">
        <v>0</v>
      </c>
      <c r="X148" s="31" t="n">
        <v>0</v>
      </c>
      <c r="Y148" s="3" t="n">
        <v>0</v>
      </c>
      <c r="Z148" s="3" t="n">
        <v>0</v>
      </c>
      <c r="AA148" s="32" t="n">
        <v>0</v>
      </c>
      <c r="AB148" s="3" t="n">
        <v>0</v>
      </c>
      <c r="AC148" s="32" t="n">
        <v>0</v>
      </c>
      <c r="AD148" s="3" t="n"/>
      <c r="AE148" s="31" t="n">
        <v>0</v>
      </c>
      <c r="AF148" s="2" t="n">
        <v>0</v>
      </c>
      <c r="AG148" s="2" t="n">
        <v>71</v>
      </c>
      <c r="AH148" s="4" t="n">
        <v>71</v>
      </c>
      <c r="AI148" s="33" t="n">
        <v>71.98</v>
      </c>
      <c r="AJ148" s="4" t="n">
        <v>2</v>
      </c>
      <c r="AK148" s="34" t="n">
        <v>0.0282</v>
      </c>
      <c r="AL148" s="34" t="n">
        <v>1</v>
      </c>
      <c r="AM148" s="2" t="n">
        <v>20452</v>
      </c>
    </row>
    <row r="149">
      <c r="A149">
        <f>HYPERLINK("https://www.walmart.com/ip/15486570695", "15486570695")</f>
        <v/>
      </c>
      <c r="B149">
        <f>HYPERLINK("https://app.optiwise.ai/catalog/itemdetails/20131085", "Dickies Journeyman Large Capacity Backpack Classic Logo Water Resistant Casual Daypack for Travel Fits 15.6 Inch Notebook")</f>
        <v/>
      </c>
      <c r="C149" t="n">
        <v>2</v>
      </c>
      <c r="D149" t="inlineStr">
        <is>
          <t>B78691_1683941_5C9BB2671E1E9004</t>
        </is>
      </c>
      <c r="E149" t="inlineStr">
        <is>
          <t>DK-BACKPACK-15169-BLACK</t>
        </is>
      </c>
      <c r="F149" t="n">
        <v>0</v>
      </c>
      <c r="G149" t="inlineStr">
        <is>
          <t>Cases &amp; Bags</t>
        </is>
      </c>
      <c r="H149" t="inlineStr">
        <is>
          <t>Backpacks</t>
        </is>
      </c>
      <c r="I149" t="inlineStr">
        <is>
          <t>Dickies</t>
        </is>
      </c>
      <c r="L149" s="29" t="n">
        <v>69.98</v>
      </c>
      <c r="M149" s="30" t="n">
        <v>0.0005999999999999999</v>
      </c>
      <c r="N149" s="29" t="n">
        <v>34.9900016784668</v>
      </c>
      <c r="O149" s="29" t="n">
        <v>0</v>
      </c>
      <c r="P149" s="2" t="n">
        <v>2</v>
      </c>
      <c r="Q149" s="31" t="n">
        <v>0</v>
      </c>
      <c r="R149" s="32" t="n"/>
      <c r="S149" s="32" t="n">
        <v>0</v>
      </c>
      <c r="T149" s="32" t="n">
        <v>0</v>
      </c>
      <c r="U149" s="31" t="n">
        <v>0</v>
      </c>
      <c r="V149" s="32" t="n">
        <v>0</v>
      </c>
      <c r="W149" s="31" t="n">
        <v>0</v>
      </c>
      <c r="X149" s="31" t="n">
        <v>0</v>
      </c>
      <c r="Y149" s="3" t="n">
        <v>0</v>
      </c>
      <c r="Z149" s="3" t="n">
        <v>0</v>
      </c>
      <c r="AA149" s="32" t="n">
        <v>0</v>
      </c>
      <c r="AB149" s="3" t="n">
        <v>0</v>
      </c>
      <c r="AC149" s="32" t="n">
        <v>0</v>
      </c>
      <c r="AD149" s="3" t="n"/>
      <c r="AE149" s="31" t="n">
        <v>0</v>
      </c>
      <c r="AF149" s="2" t="n">
        <v>0</v>
      </c>
      <c r="AG149" s="2" t="n">
        <v>0</v>
      </c>
      <c r="AH149" s="4" t="n">
        <v>0</v>
      </c>
      <c r="AI149" s="33" t="n">
        <v>69.98</v>
      </c>
      <c r="AJ149" s="4" t="n">
        <v>2</v>
      </c>
      <c r="AK149" s="34" t="n"/>
      <c r="AL149" s="34" t="n">
        <v>1</v>
      </c>
      <c r="AM149" s="2" t="n">
        <v>6750</v>
      </c>
    </row>
    <row r="150">
      <c r="A150">
        <f>HYPERLINK("https://www.walmart.com/ip/731362127", "731362127")</f>
        <v/>
      </c>
      <c r="B150">
        <f>HYPERLINK("https://app.optiwise.ai/catalog/itemdetails/361762", "Panda Oversized Sherpa Hoodie Blanket Sweatshirt for Women")</f>
        <v/>
      </c>
      <c r="C150" t="n">
        <v>5</v>
      </c>
      <c r="D150" t="inlineStr">
        <is>
          <t>B78691_1681482_A09944D14E2170F0</t>
        </is>
      </c>
      <c r="E150" t="inlineStr">
        <is>
          <t>1WMHD201PAN</t>
        </is>
      </c>
      <c r="F150" t="n">
        <v>0</v>
      </c>
      <c r="G150" t="inlineStr">
        <is>
          <t>Clothing</t>
        </is>
      </c>
      <c r="H150" t="inlineStr">
        <is>
          <t>Sweatshirts &amp; Hoodies</t>
        </is>
      </c>
      <c r="I150" t="inlineStr">
        <is>
          <t>Flyingstar</t>
        </is>
      </c>
      <c r="K150" t="inlineStr">
        <is>
          <t>Hoodie ForAdult,Optimized</t>
        </is>
      </c>
      <c r="L150" s="29" t="n">
        <v>69.98</v>
      </c>
      <c r="M150" s="30" t="n">
        <v>0.0005999999999999999</v>
      </c>
      <c r="N150" s="29" t="n">
        <v>0</v>
      </c>
      <c r="O150" s="29" t="n">
        <v>0</v>
      </c>
      <c r="P150" s="2" t="n">
        <v>2</v>
      </c>
      <c r="Q150" s="31" t="n">
        <v>5.51</v>
      </c>
      <c r="R150" s="32" t="n">
        <v>0.0007</v>
      </c>
      <c r="S150" s="32" t="n">
        <v>0.07870000000000001</v>
      </c>
      <c r="T150" s="32" t="n">
        <v>0.0466</v>
      </c>
      <c r="U150" s="31" t="n">
        <v>0</v>
      </c>
      <c r="V150" s="32" t="n">
        <v>0</v>
      </c>
      <c r="W150" s="31" t="n">
        <v>0</v>
      </c>
      <c r="X150" s="31" t="n">
        <v>0</v>
      </c>
      <c r="Y150" s="3" t="n">
        <v>50578</v>
      </c>
      <c r="Z150" s="3" t="n">
        <v>15</v>
      </c>
      <c r="AA150" s="32" t="n">
        <v>0.0003</v>
      </c>
      <c r="AB150" s="3" t="n">
        <v>0</v>
      </c>
      <c r="AC150" s="32" t="n">
        <v>0</v>
      </c>
      <c r="AD150" s="3" t="inlineStr">
        <is>
          <t>Hoodies_Auto</t>
        </is>
      </c>
      <c r="AE150" s="31" t="n">
        <v>0.37</v>
      </c>
      <c r="AF150" s="2" t="n">
        <v>0</v>
      </c>
      <c r="AG150" s="2" t="n">
        <v>65</v>
      </c>
      <c r="AH150" s="4" t="n">
        <v>50</v>
      </c>
      <c r="AI150" s="33" t="n">
        <v>69.98</v>
      </c>
      <c r="AJ150" s="4" t="n">
        <v>2</v>
      </c>
      <c r="AK150" s="34" t="n">
        <v>0.04</v>
      </c>
      <c r="AL150" s="34" t="n">
        <v>1</v>
      </c>
      <c r="AM150" s="2" t="n">
        <v>33750</v>
      </c>
    </row>
    <row r="151">
      <c r="A151">
        <f>HYPERLINK("https://www.walmart.com/ip/621862689", "621862689")</f>
        <v/>
      </c>
      <c r="B151">
        <f>HYPERLINK("https://app.optiwise.ai/catalog/itemdetails/361293", "Catalonia Plaid Sherpa Throw Blanket 50 x 60, for Couch and Bed, Super Soft Reversible, Comfy Caring Gift")</f>
        <v/>
      </c>
      <c r="C151" t="n">
        <v>7</v>
      </c>
      <c r="D151" t="inlineStr">
        <is>
          <t>B78691_1649071_94C5C63EE851130C</t>
        </is>
      </c>
      <c r="E151" t="inlineStr">
        <is>
          <t>1CTBF565PPK</t>
        </is>
      </c>
      <c r="F151" t="n">
        <v>55</v>
      </c>
      <c r="G151" t="inlineStr">
        <is>
          <t>Bedding</t>
        </is>
      </c>
      <c r="H151" t="inlineStr">
        <is>
          <t>Throws</t>
        </is>
      </c>
      <c r="I151" t="inlineStr">
        <is>
          <t>Catalonia</t>
        </is>
      </c>
      <c r="J151" t="n">
        <v>4.7</v>
      </c>
      <c r="K151" t="inlineStr">
        <is>
          <t>Optimized,WFS,Coupon_Discount,WFS Item</t>
        </is>
      </c>
      <c r="L151" s="29" t="n">
        <v>69.95</v>
      </c>
      <c r="M151" s="30" t="n">
        <v>0.0005999999999999999</v>
      </c>
      <c r="N151" s="29" t="n">
        <v>0</v>
      </c>
      <c r="O151" s="29" t="n">
        <v>0</v>
      </c>
      <c r="P151" s="2" t="n">
        <v>5</v>
      </c>
      <c r="Q151" s="31" t="n">
        <v>0</v>
      </c>
      <c r="R151" s="32" t="n"/>
      <c r="S151" s="32" t="n">
        <v>0</v>
      </c>
      <c r="T151" s="32" t="n">
        <v>0.2346</v>
      </c>
      <c r="U151" s="31" t="n">
        <v>0</v>
      </c>
      <c r="V151" s="32" t="n">
        <v>0</v>
      </c>
      <c r="W151" s="31" t="n">
        <v>0</v>
      </c>
      <c r="X151" s="31" t="n">
        <v>0</v>
      </c>
      <c r="Y151" s="3" t="n">
        <v>2</v>
      </c>
      <c r="Z151" s="3" t="n">
        <v>0</v>
      </c>
      <c r="AA151" s="32" t="n">
        <v>0</v>
      </c>
      <c r="AB151" s="3" t="n">
        <v>0</v>
      </c>
      <c r="AC151" s="32" t="n">
        <v>0</v>
      </c>
      <c r="AD151" s="3" t="inlineStr">
        <is>
          <t>,Christmas Products_Optiwise</t>
        </is>
      </c>
      <c r="AE151" s="31" t="n">
        <v>0</v>
      </c>
      <c r="AF151" s="2" t="n">
        <v>1</v>
      </c>
      <c r="AG151" s="2" t="n">
        <v>107</v>
      </c>
      <c r="AH151" s="4" t="n">
        <v>107</v>
      </c>
      <c r="AI151" s="33" t="n">
        <v>69.95</v>
      </c>
      <c r="AJ151" s="4" t="n">
        <v>5</v>
      </c>
      <c r="AK151" s="34" t="n">
        <v>0.0467</v>
      </c>
      <c r="AL151" s="34" t="n">
        <v>1</v>
      </c>
      <c r="AM151" s="2" t="n">
        <v>6399</v>
      </c>
    </row>
    <row r="152">
      <c r="A152">
        <f>HYPERLINK("https://www.walmart.com/ip/264860479", "264860479")</f>
        <v/>
      </c>
      <c r="B152">
        <f>HYPERLINK("https://app.optiwise.ai/catalog/itemdetails/362743", "Tirrinia Unisex Surf Poncho Changing Towel Robe for Adult Surfer Swimmer Outdoor Beach")</f>
        <v/>
      </c>
      <c r="C152" t="n">
        <v>4</v>
      </c>
      <c r="D152" t="inlineStr">
        <is>
          <t>B78691_1681785_6A09B1D006D74903</t>
        </is>
      </c>
      <c r="E152" t="inlineStr">
        <is>
          <t>1WMBR100NY</t>
        </is>
      </c>
      <c r="F152" t="n">
        <v>2</v>
      </c>
      <c r="G152" t="inlineStr">
        <is>
          <t>Clothing</t>
        </is>
      </c>
      <c r="H152" t="inlineStr">
        <is>
          <t>Towels &amp; Washcloths</t>
        </is>
      </c>
      <c r="I152" t="inlineStr">
        <is>
          <t>Flyingstar</t>
        </is>
      </c>
      <c r="J152" t="n">
        <v>4.5</v>
      </c>
      <c r="K152" t="inlineStr">
        <is>
          <t>Beach Robe Camp,Batch 1 - TR</t>
        </is>
      </c>
      <c r="L152" s="29" t="n">
        <v>69.94</v>
      </c>
      <c r="M152" s="30" t="n">
        <v>0.0005999999999999999</v>
      </c>
      <c r="N152" s="29" t="n">
        <v>22.98999977111816</v>
      </c>
      <c r="O152" s="29" t="n">
        <v>0</v>
      </c>
      <c r="P152" s="2" t="n">
        <v>4</v>
      </c>
      <c r="Q152" s="31" t="n">
        <v>0</v>
      </c>
      <c r="R152" s="32" t="n"/>
      <c r="S152" s="32" t="n">
        <v>0</v>
      </c>
      <c r="T152" s="32" t="n">
        <v>0.0217</v>
      </c>
      <c r="U152" s="31" t="n">
        <v>0</v>
      </c>
      <c r="V152" s="32" t="n">
        <v>0</v>
      </c>
      <c r="W152" s="31" t="n">
        <v>0</v>
      </c>
      <c r="X152" s="31" t="n">
        <v>0</v>
      </c>
      <c r="Y152" s="3" t="n">
        <v>0</v>
      </c>
      <c r="Z152" s="3" t="n">
        <v>0</v>
      </c>
      <c r="AA152" s="32" t="n">
        <v>0</v>
      </c>
      <c r="AB152" s="3" t="n">
        <v>0</v>
      </c>
      <c r="AC152" s="32" t="n">
        <v>0</v>
      </c>
      <c r="AD152" s="3" t="n"/>
      <c r="AE152" s="31" t="n">
        <v>0</v>
      </c>
      <c r="AF152" s="2" t="n">
        <v>0</v>
      </c>
      <c r="AG152" s="2" t="n">
        <v>107</v>
      </c>
      <c r="AH152" s="4" t="n">
        <v>107</v>
      </c>
      <c r="AI152" s="33" t="n">
        <v>69.94</v>
      </c>
      <c r="AJ152" s="4" t="n">
        <v>4</v>
      </c>
      <c r="AK152" s="34" t="n">
        <v>0.0374</v>
      </c>
      <c r="AL152" s="34" t="n">
        <v>1</v>
      </c>
      <c r="AM152" s="2" t="n">
        <v>6750</v>
      </c>
    </row>
    <row r="153">
      <c r="A153">
        <f>HYPERLINK("https://www.walmart.com/ip/145817835", "145817835")</f>
        <v/>
      </c>
      <c r="B153">
        <f>HYPERLINK("https://app.optiwise.ai/catalog/itemdetails/362723", "JenniWears LED Light Up Sheer Lace Venetian Mask Floral Mardi Gras Masquerade Costume Purple")</f>
        <v/>
      </c>
      <c r="C153" t="n">
        <v>4</v>
      </c>
      <c r="D153" t="inlineStr">
        <is>
          <t>B78691_1127469_5C9BB2671E1E9004</t>
        </is>
      </c>
      <c r="E153" t="inlineStr">
        <is>
          <t>JWLEDMK02-PP</t>
        </is>
      </c>
      <c r="F153" t="n">
        <v>7</v>
      </c>
      <c r="G153" t="inlineStr">
        <is>
          <t>Costumes</t>
        </is>
      </c>
      <c r="H153" t="inlineStr">
        <is>
          <t>Costume Masks</t>
        </is>
      </c>
      <c r="I153" t="inlineStr">
        <is>
          <t>JenniWears</t>
        </is>
      </c>
      <c r="J153" t="n">
        <v>4.5</v>
      </c>
      <c r="K153" t="inlineStr">
        <is>
          <t>Halloween</t>
        </is>
      </c>
      <c r="L153" s="29" t="n">
        <v>69.80000000000001</v>
      </c>
      <c r="M153" s="30" t="n">
        <v>0.0005999999999999999</v>
      </c>
      <c r="N153" s="29" t="n">
        <v>0</v>
      </c>
      <c r="O153" s="29" t="n">
        <v>0</v>
      </c>
      <c r="P153" s="2" t="n">
        <v>10</v>
      </c>
      <c r="Q153" s="31" t="n">
        <v>0</v>
      </c>
      <c r="R153" s="32" t="n"/>
      <c r="S153" s="32" t="n">
        <v>0</v>
      </c>
      <c r="T153" s="32" t="n">
        <v>0</v>
      </c>
      <c r="U153" s="31" t="n">
        <v>0</v>
      </c>
      <c r="V153" s="32" t="n">
        <v>0</v>
      </c>
      <c r="W153" s="31" t="n">
        <v>0</v>
      </c>
      <c r="X153" s="31" t="n">
        <v>0</v>
      </c>
      <c r="Y153" s="3" t="n">
        <v>0</v>
      </c>
      <c r="Z153" s="3" t="n">
        <v>0</v>
      </c>
      <c r="AA153" s="32" t="n">
        <v>0</v>
      </c>
      <c r="AB153" s="3" t="n">
        <v>0</v>
      </c>
      <c r="AC153" s="32" t="n">
        <v>0</v>
      </c>
      <c r="AD153" s="3" t="n"/>
      <c r="AE153" s="31" t="n">
        <v>0</v>
      </c>
      <c r="AF153" s="2" t="n">
        <v>0</v>
      </c>
      <c r="AG153" s="2" t="n">
        <v>113</v>
      </c>
      <c r="AH153" s="4" t="n">
        <v>113</v>
      </c>
      <c r="AI153" s="33" t="n">
        <v>69.80000000000001</v>
      </c>
      <c r="AJ153" s="4" t="n">
        <v>10</v>
      </c>
      <c r="AK153" s="34" t="n">
        <v>0.0885</v>
      </c>
      <c r="AL153" s="34" t="n">
        <v>1</v>
      </c>
      <c r="AM153" s="2" t="n">
        <v>5400</v>
      </c>
    </row>
    <row r="154">
      <c r="A154">
        <f>HYPERLINK("https://www.walmart.com/ip/241203499", "241203499")</f>
        <v/>
      </c>
      <c r="B154">
        <f>HYPERLINK("https://app.optiwise.ai/catalog/itemdetails/360337", "TubKeeper Drain Hair Catcher with Stopper, 3-in-1 Durable Tub Drain Protector Hair Drain Clog Prevention for Bathtub, Silver, 2 Pack")</f>
        <v/>
      </c>
      <c r="C154" t="n">
        <v>1</v>
      </c>
      <c r="D154" t="inlineStr">
        <is>
          <t>B78691_1682256_5C9BB2671E1E9004</t>
        </is>
      </c>
      <c r="E154" t="inlineStr">
        <is>
          <t>1TKHC100SL-2PK</t>
        </is>
      </c>
      <c r="F154" t="n">
        <v>3</v>
      </c>
      <c r="G154" t="inlineStr">
        <is>
          <t>Home Decor, Kitchen, &amp; Other</t>
        </is>
      </c>
      <c r="H154" t="inlineStr">
        <is>
          <t>Drain Catches</t>
        </is>
      </c>
      <c r="I154" t="inlineStr">
        <is>
          <t>TubKeeper</t>
        </is>
      </c>
      <c r="J154" t="n">
        <v>4</v>
      </c>
      <c r="K154" t="inlineStr">
        <is>
          <t>Batch 1 - TR</t>
        </is>
      </c>
      <c r="L154" s="29" t="n">
        <v>66.93000000000001</v>
      </c>
      <c r="M154" s="30" t="n">
        <v>0.0005999999999999999</v>
      </c>
      <c r="N154" s="29" t="n">
        <v>0</v>
      </c>
      <c r="O154" s="29" t="n">
        <v>0</v>
      </c>
      <c r="P154" s="2" t="n">
        <v>6</v>
      </c>
      <c r="Q154" s="31" t="n">
        <v>41.40000000000001</v>
      </c>
      <c r="R154" s="32" t="n">
        <v>0.005</v>
      </c>
      <c r="S154" s="32" t="n">
        <v>0.6186</v>
      </c>
      <c r="T154" s="32" t="n">
        <v>0.0526</v>
      </c>
      <c r="U154" s="31" t="n">
        <v>0.24</v>
      </c>
      <c r="V154" s="32" t="n">
        <v>4.14</v>
      </c>
      <c r="W154" s="31" t="n">
        <v>9.99</v>
      </c>
      <c r="X154" s="31" t="n">
        <v>9.99</v>
      </c>
      <c r="Y154" s="3" t="n">
        <v>44437</v>
      </c>
      <c r="Z154" s="3" t="n">
        <v>61</v>
      </c>
      <c r="AA154" s="32" t="n">
        <v>0.0014</v>
      </c>
      <c r="AB154" s="3" t="n">
        <v>1</v>
      </c>
      <c r="AC154" s="32" t="n">
        <v>0.0164</v>
      </c>
      <c r="AD154" s="3" t="inlineStr">
        <is>
          <t>WFS Inventory</t>
        </is>
      </c>
      <c r="AE154" s="31" t="n">
        <v>0.68</v>
      </c>
      <c r="AF154" s="2" t="n">
        <v>0</v>
      </c>
      <c r="AG154" s="2" t="n">
        <v>44</v>
      </c>
      <c r="AH154" s="4" t="inlineStr">
        <is>
          <t>NA</t>
        </is>
      </c>
      <c r="AI154" s="33" t="n">
        <v>56.94</v>
      </c>
      <c r="AJ154" s="4" t="n">
        <v>5</v>
      </c>
      <c r="AK154" s="34" t="inlineStr">
        <is>
          <t>NA</t>
        </is>
      </c>
      <c r="AL154" s="34" t="n">
        <v>0.8507</v>
      </c>
      <c r="AM154" s="2" t="n">
        <v>2385</v>
      </c>
    </row>
    <row r="155">
      <c r="A155">
        <f>HYPERLINK("https://www.walmart.com/ip/137773035", "137773035")</f>
        <v/>
      </c>
      <c r="B155">
        <f>HYPERLINK("https://app.optiwise.ai/catalog/itemdetails/361276", "KC Caps® Unisex Cotton Baseball Cap Adjustable Plain Hat (21 Styles/Colors)")</f>
        <v/>
      </c>
      <c r="C155" t="n">
        <v>16</v>
      </c>
      <c r="D155" t="inlineStr">
        <is>
          <t>B78691_974214_22A7F9E12B1ADCAD</t>
        </is>
      </c>
      <c r="E155" t="inlineStr">
        <is>
          <t>KC8010BN</t>
        </is>
      </c>
      <c r="F155" t="n">
        <v>0</v>
      </c>
      <c r="G155" t="inlineStr">
        <is>
          <t>Clothing</t>
        </is>
      </c>
      <c r="H155" t="inlineStr">
        <is>
          <t>Hats</t>
        </is>
      </c>
      <c r="I155" t="inlineStr">
        <is>
          <t>KC Caps</t>
        </is>
      </c>
      <c r="K155" t="inlineStr">
        <is>
          <t>Optimized</t>
        </is>
      </c>
      <c r="L155" s="29" t="n">
        <v>65.91</v>
      </c>
      <c r="M155" s="30" t="n">
        <v>0.0005999999999999999</v>
      </c>
      <c r="N155" s="29" t="n">
        <v>14.97999954223633</v>
      </c>
      <c r="O155" s="29" t="n">
        <v>0</v>
      </c>
      <c r="P155" s="2" t="n">
        <v>9</v>
      </c>
      <c r="Q155" s="31" t="n">
        <v>0</v>
      </c>
      <c r="R155" s="32" t="n"/>
      <c r="S155" s="32" t="n">
        <v>0</v>
      </c>
      <c r="T155" s="32" t="n">
        <v>0</v>
      </c>
      <c r="U155" s="31" t="n">
        <v>0</v>
      </c>
      <c r="V155" s="32" t="n">
        <v>0</v>
      </c>
      <c r="W155" s="31" t="n">
        <v>0</v>
      </c>
      <c r="X155" s="31" t="n">
        <v>0</v>
      </c>
      <c r="Y155" s="3" t="n">
        <v>0</v>
      </c>
      <c r="Z155" s="3" t="n">
        <v>0</v>
      </c>
      <c r="AA155" s="32" t="n">
        <v>0</v>
      </c>
      <c r="AB155" s="3" t="n">
        <v>0</v>
      </c>
      <c r="AC155" s="32" t="n">
        <v>0</v>
      </c>
      <c r="AD155" s="3" t="n"/>
      <c r="AE155" s="31" t="n">
        <v>0</v>
      </c>
      <c r="AF155" s="2" t="n">
        <v>0</v>
      </c>
      <c r="AG155" s="2" t="n">
        <v>221</v>
      </c>
      <c r="AH155" s="4" t="n">
        <v>221</v>
      </c>
      <c r="AI155" s="33" t="n">
        <v>65.91</v>
      </c>
      <c r="AJ155" s="4" t="n">
        <v>9</v>
      </c>
      <c r="AK155" s="34" t="n">
        <v>0.0407</v>
      </c>
      <c r="AL155" s="34" t="n">
        <v>1</v>
      </c>
      <c r="AM155" s="2" t="n">
        <v>10530</v>
      </c>
    </row>
    <row r="156">
      <c r="A156">
        <f>HYPERLINK("https://www.walmart.com/ip/811898847", "811898847")</f>
        <v/>
      </c>
      <c r="B156">
        <f>HYPERLINK("https://app.optiwise.ai/catalog/itemdetails/362585", "Sun Blocker Outdoor Sun Protection Fishing Cap with Neck Flap Wide Brim Hat for Men Women Baseball, Backpacking, Cycling, Hiking, Garden, Hunting, Camping, Tan")</f>
        <v/>
      </c>
      <c r="C156" t="n">
        <v>3</v>
      </c>
      <c r="D156" t="inlineStr">
        <is>
          <t>B78691_1635980_6B58B7E72C8C2E50</t>
        </is>
      </c>
      <c r="E156" t="inlineStr">
        <is>
          <t>KC-S9155-TN</t>
        </is>
      </c>
      <c r="F156" t="n">
        <v>16</v>
      </c>
      <c r="G156" t="inlineStr">
        <is>
          <t>Clothing</t>
        </is>
      </c>
      <c r="H156" t="inlineStr">
        <is>
          <t>Hats</t>
        </is>
      </c>
      <c r="I156" t="inlineStr">
        <is>
          <t>Sun Blocker</t>
        </is>
      </c>
      <c r="J156" t="n">
        <v>5</v>
      </c>
      <c r="K156" t="inlineStr">
        <is>
          <t>Hats,Batch 1 - TR</t>
        </is>
      </c>
      <c r="L156" s="29" t="n">
        <v>65.15000000000001</v>
      </c>
      <c r="M156" s="30" t="n">
        <v>0.0005999999999999999</v>
      </c>
      <c r="N156" s="29" t="n">
        <v>0</v>
      </c>
      <c r="O156" s="29" t="n">
        <v>0</v>
      </c>
      <c r="P156" s="2" t="n">
        <v>3</v>
      </c>
      <c r="Q156" s="31" t="n">
        <v>0</v>
      </c>
      <c r="R156" s="32" t="n"/>
      <c r="S156" s="32" t="n">
        <v>0</v>
      </c>
      <c r="T156" s="32" t="n">
        <v>0.0314</v>
      </c>
      <c r="U156" s="31" t="n">
        <v>0</v>
      </c>
      <c r="V156" s="32" t="n">
        <v>0</v>
      </c>
      <c r="W156" s="31" t="n">
        <v>0</v>
      </c>
      <c r="X156" s="31" t="n">
        <v>0</v>
      </c>
      <c r="Y156" s="3" t="n">
        <v>0</v>
      </c>
      <c r="Z156" s="3" t="n">
        <v>0</v>
      </c>
      <c r="AA156" s="32" t="n">
        <v>0</v>
      </c>
      <c r="AB156" s="3" t="n">
        <v>0</v>
      </c>
      <c r="AC156" s="32" t="n">
        <v>0</v>
      </c>
      <c r="AD156" s="3" t="n"/>
      <c r="AE156" s="31" t="n">
        <v>0</v>
      </c>
      <c r="AF156" s="2" t="n">
        <v>4</v>
      </c>
      <c r="AG156" s="2" t="n">
        <v>75</v>
      </c>
      <c r="AH156" s="4" t="n">
        <v>75</v>
      </c>
      <c r="AI156" s="33" t="n">
        <v>65.15000000000001</v>
      </c>
      <c r="AJ156" s="4" t="n">
        <v>3</v>
      </c>
      <c r="AK156" s="34" t="n">
        <v>0.04</v>
      </c>
      <c r="AL156" s="34" t="n">
        <v>1</v>
      </c>
      <c r="AM156" s="2" t="n">
        <v>13590</v>
      </c>
    </row>
    <row r="157">
      <c r="A157">
        <f>HYPERLINK("https://www.walmart.com/ip/9523050662", "9523050662")</f>
        <v/>
      </c>
      <c r="B157">
        <f>HYPERLINK("https://app.optiwise.ai/catalog/itemdetails/9941257", "Wrangler Industry Backpack, Classic Logo Water Resistant Casual Daypack with Padded Laptop Notebook Sleeve, Ideal as a Book Bag or Laptop Backpack, Great for Backpacks for School, Black")</f>
        <v/>
      </c>
      <c r="C157" t="n">
        <v>2</v>
      </c>
      <c r="D157" t="inlineStr">
        <is>
          <t>B78691_1682748_DDD2BD01FF499C9C</t>
        </is>
      </c>
      <c r="E157" t="inlineStr">
        <is>
          <t>WR-BACKPACK-INDUSTRY-BLACK</t>
        </is>
      </c>
      <c r="F157" t="n">
        <v>0</v>
      </c>
      <c r="G157" t="inlineStr">
        <is>
          <t>Cases &amp; Bags</t>
        </is>
      </c>
      <c r="H157" t="inlineStr">
        <is>
          <t>Laptop Bags</t>
        </is>
      </c>
      <c r="I157" t="inlineStr">
        <is>
          <t>Wrangler</t>
        </is>
      </c>
      <c r="K157" t="inlineStr">
        <is>
          <t>Backpack</t>
        </is>
      </c>
      <c r="L157" s="29" t="n">
        <v>59.98</v>
      </c>
      <c r="M157" s="30" t="n">
        <v>0.0005</v>
      </c>
      <c r="N157" s="29" t="n">
        <v>0</v>
      </c>
      <c r="O157" s="29" t="n">
        <v>0</v>
      </c>
      <c r="P157" s="2" t="n">
        <v>2</v>
      </c>
      <c r="Q157" s="31" t="n">
        <v>0</v>
      </c>
      <c r="R157" s="32" t="n"/>
      <c r="S157" s="32" t="n">
        <v>0</v>
      </c>
      <c r="T157" s="32" t="n">
        <v>0</v>
      </c>
      <c r="U157" s="31" t="n">
        <v>0</v>
      </c>
      <c r="V157" s="32" t="n">
        <v>0</v>
      </c>
      <c r="W157" s="31" t="n">
        <v>0</v>
      </c>
      <c r="X157" s="31" t="n">
        <v>0</v>
      </c>
      <c r="Y157" s="3" t="n">
        <v>0</v>
      </c>
      <c r="Z157" s="3" t="n">
        <v>0</v>
      </c>
      <c r="AA157" s="32" t="n">
        <v>0</v>
      </c>
      <c r="AB157" s="3" t="n">
        <v>0</v>
      </c>
      <c r="AC157" s="32" t="n">
        <v>0</v>
      </c>
      <c r="AD157" s="3" t="n"/>
      <c r="AE157" s="31" t="n">
        <v>0</v>
      </c>
      <c r="AF157" s="2" t="n">
        <v>0</v>
      </c>
      <c r="AG157" s="2" t="n">
        <v>85</v>
      </c>
      <c r="AH157" s="4" t="n">
        <v>85</v>
      </c>
      <c r="AI157" s="33" t="n">
        <v>59.98</v>
      </c>
      <c r="AJ157" s="4" t="n">
        <v>2</v>
      </c>
      <c r="AK157" s="34" t="n">
        <v>0.0235</v>
      </c>
      <c r="AL157" s="34" t="n">
        <v>1</v>
      </c>
      <c r="AM157" s="2" t="n">
        <v>11610</v>
      </c>
    </row>
    <row r="158">
      <c r="A158">
        <f>HYPERLINK("https://www.walmart.com/ip/782528984", "782528984")</f>
        <v/>
      </c>
      <c r="B158">
        <f>HYPERLINK("https://app.optiwise.ai/catalog/itemdetails/359140", "Women's Sherpa Bathrobe, Soft Warm Fleece Long Robe, Shawl Collar, Comfy, Full Length")</f>
        <v/>
      </c>
      <c r="C158" t="n">
        <v>3</v>
      </c>
      <c r="D158" t="inlineStr">
        <is>
          <t>B78691_1680744_EF87B7659B6933AC</t>
        </is>
      </c>
      <c r="E158" t="inlineStr">
        <is>
          <t>1CTRB510GY-01</t>
        </is>
      </c>
      <c r="F158" t="n">
        <v>3</v>
      </c>
      <c r="G158" t="inlineStr">
        <is>
          <t>Clothing</t>
        </is>
      </c>
      <c r="H158" t="inlineStr">
        <is>
          <t>Sleepwear Robes &amp; Bathrobes</t>
        </is>
      </c>
      <c r="I158" t="inlineStr">
        <is>
          <t>Catalonia</t>
        </is>
      </c>
      <c r="J158" t="n">
        <v>4.7</v>
      </c>
      <c r="K158" t="inlineStr">
        <is>
          <t>WFS,Bathrobe,WFS Item</t>
        </is>
      </c>
      <c r="L158" s="29" t="n">
        <v>59.98</v>
      </c>
      <c r="M158" s="30" t="n">
        <v>0.0005</v>
      </c>
      <c r="N158" s="29" t="n">
        <v>0</v>
      </c>
      <c r="O158" s="29" t="n">
        <v>0</v>
      </c>
      <c r="P158" s="2" t="n">
        <v>2</v>
      </c>
      <c r="Q158" s="31" t="n">
        <v>0</v>
      </c>
      <c r="R158" s="32" t="n"/>
      <c r="S158" s="32" t="n">
        <v>0</v>
      </c>
      <c r="T158" s="32" t="n">
        <v>0</v>
      </c>
      <c r="U158" s="31" t="n">
        <v>0</v>
      </c>
      <c r="V158" s="32" t="n">
        <v>0</v>
      </c>
      <c r="W158" s="31" t="n">
        <v>0</v>
      </c>
      <c r="X158" s="31" t="n">
        <v>0</v>
      </c>
      <c r="Y158" s="3" t="n">
        <v>0</v>
      </c>
      <c r="Z158" s="3" t="n">
        <v>0</v>
      </c>
      <c r="AA158" s="32" t="n">
        <v>0</v>
      </c>
      <c r="AB158" s="3" t="n">
        <v>0</v>
      </c>
      <c r="AC158" s="32" t="n">
        <v>0</v>
      </c>
      <c r="AD158" s="3" t="n"/>
      <c r="AE158" s="31" t="n">
        <v>0</v>
      </c>
      <c r="AF158" s="2" t="n">
        <v>0</v>
      </c>
      <c r="AG158" s="2" t="n">
        <v>9</v>
      </c>
      <c r="AH158" s="4" t="n">
        <v>9</v>
      </c>
      <c r="AI158" s="33" t="n">
        <v>59.98</v>
      </c>
      <c r="AJ158" s="4" t="n">
        <v>2</v>
      </c>
      <c r="AK158" s="34" t="n">
        <v>0.2222</v>
      </c>
      <c r="AL158" s="34" t="n">
        <v>1</v>
      </c>
      <c r="AM158" s="2" t="n">
        <v>2160</v>
      </c>
    </row>
    <row r="159">
      <c r="A159">
        <f>HYPERLINK("https://www.walmart.com/ip/6284809845", "6284809845")</f>
        <v/>
      </c>
      <c r="B159">
        <f>HYPERLINK("https://app.optiwise.ai/catalog/itemdetails/9679551", "Tirrinia Lightweight Beach Poncho Towel with Hood for Adult Quick Dry Travel Surfer Pool Camping Beach Accessories Vacation Essential Summer")</f>
        <v/>
      </c>
      <c r="C159" t="n">
        <v>4</v>
      </c>
      <c r="D159" t="inlineStr">
        <is>
          <t>B78691_1682618_2174D97D60EE9D29</t>
        </is>
      </c>
      <c r="E159" t="inlineStr">
        <is>
          <t>1TRBC201MM</t>
        </is>
      </c>
      <c r="F159" t="n">
        <v>0</v>
      </c>
      <c r="G159" t="inlineStr">
        <is>
          <t>Sport &amp; Recreation Other</t>
        </is>
      </c>
      <c r="H159" t="inlineStr">
        <is>
          <t>Towels &amp; Washcloths</t>
        </is>
      </c>
      <c r="I159" t="inlineStr">
        <is>
          <t>Tirrinia</t>
        </is>
      </c>
      <c r="L159" s="29" t="n">
        <v>59.98</v>
      </c>
      <c r="M159" s="30" t="n">
        <v>0.0005</v>
      </c>
      <c r="N159" s="29" t="n">
        <v>29.98999977111816</v>
      </c>
      <c r="O159" s="29" t="n">
        <v>0</v>
      </c>
      <c r="P159" s="2" t="n">
        <v>2</v>
      </c>
      <c r="Q159" s="31" t="n">
        <v>0</v>
      </c>
      <c r="R159" s="32" t="n"/>
      <c r="S159" s="32" t="n">
        <v>0</v>
      </c>
      <c r="T159" s="32" t="n">
        <v>0</v>
      </c>
      <c r="U159" s="31" t="n">
        <v>0</v>
      </c>
      <c r="V159" s="32" t="n">
        <v>0</v>
      </c>
      <c r="W159" s="31" t="n">
        <v>0</v>
      </c>
      <c r="X159" s="31" t="n">
        <v>0</v>
      </c>
      <c r="Y159" s="3" t="n">
        <v>0</v>
      </c>
      <c r="Z159" s="3" t="n">
        <v>0</v>
      </c>
      <c r="AA159" s="32" t="n">
        <v>0</v>
      </c>
      <c r="AB159" s="3" t="n">
        <v>0</v>
      </c>
      <c r="AC159" s="32" t="n">
        <v>0</v>
      </c>
      <c r="AD159" s="3" t="n"/>
      <c r="AE159" s="31" t="n">
        <v>0</v>
      </c>
      <c r="AF159" s="2" t="n">
        <v>0</v>
      </c>
      <c r="AG159" s="2" t="n">
        <v>267</v>
      </c>
      <c r="AH159" s="4" t="n">
        <v>267</v>
      </c>
      <c r="AI159" s="33" t="n">
        <v>59.98</v>
      </c>
      <c r="AJ159" s="4" t="n">
        <v>2</v>
      </c>
      <c r="AK159" s="34" t="n">
        <v>0.0075</v>
      </c>
      <c r="AL159" s="34" t="n">
        <v>1</v>
      </c>
      <c r="AM159" s="2" t="n">
        <v>27000</v>
      </c>
    </row>
    <row r="160">
      <c r="A160">
        <f>HYPERLINK("https://www.walmart.com/ip/645515358", "645515358")</f>
        <v/>
      </c>
      <c r="B160">
        <f>HYPERLINK("https://app.optiwise.ai/catalog/itemdetails/361417", "Medium Pet Travel Backpack Carrier for Dogs Cat Animal Puppy, Breathable Mesh Net Removable Sherpa Bed Outdoor Carrier f")</f>
        <v/>
      </c>
      <c r="C160" t="n">
        <v>6</v>
      </c>
      <c r="D160" t="inlineStr">
        <is>
          <t>B78691_1679932_D13959BAD31E12BF</t>
        </is>
      </c>
      <c r="E160" t="inlineStr">
        <is>
          <t>1WMPB200BK</t>
        </is>
      </c>
      <c r="F160" t="n">
        <v>12</v>
      </c>
      <c r="G160" t="inlineStr">
        <is>
          <t>Animal Other</t>
        </is>
      </c>
      <c r="H160" t="inlineStr">
        <is>
          <t>Pet Carriers</t>
        </is>
      </c>
      <c r="I160" t="inlineStr">
        <is>
          <t>Flyingstar</t>
        </is>
      </c>
      <c r="J160" t="n">
        <v>4.8</v>
      </c>
      <c r="K160" t="inlineStr">
        <is>
          <t>Optimized</t>
        </is>
      </c>
      <c r="L160" s="29" t="n">
        <v>59.98</v>
      </c>
      <c r="M160" s="30" t="n">
        <v>0.0005</v>
      </c>
      <c r="N160" s="29" t="n">
        <v>0</v>
      </c>
      <c r="O160" s="29" t="n">
        <v>0</v>
      </c>
      <c r="P160" s="2" t="n">
        <v>2</v>
      </c>
      <c r="Q160" s="31" t="n">
        <v>0</v>
      </c>
      <c r="R160" s="32" t="n"/>
      <c r="S160" s="32" t="n">
        <v>0</v>
      </c>
      <c r="T160" s="32" t="n">
        <v>0</v>
      </c>
      <c r="U160" s="31" t="n">
        <v>0</v>
      </c>
      <c r="V160" s="32" t="n">
        <v>0</v>
      </c>
      <c r="W160" s="31" t="n">
        <v>0</v>
      </c>
      <c r="X160" s="31" t="n">
        <v>0</v>
      </c>
      <c r="Y160" s="3" t="n">
        <v>0</v>
      </c>
      <c r="Z160" s="3" t="n">
        <v>0</v>
      </c>
      <c r="AA160" s="32" t="n">
        <v>0</v>
      </c>
      <c r="AB160" s="3" t="n">
        <v>0</v>
      </c>
      <c r="AC160" s="32" t="n">
        <v>0</v>
      </c>
      <c r="AD160" s="3" t="n"/>
      <c r="AE160" s="31" t="n">
        <v>0</v>
      </c>
      <c r="AF160" s="2" t="n">
        <v>0</v>
      </c>
      <c r="AG160" s="2" t="n">
        <v>160</v>
      </c>
      <c r="AH160" s="4" t="n">
        <v>160</v>
      </c>
      <c r="AI160" s="33" t="n">
        <v>59.98</v>
      </c>
      <c r="AJ160" s="4" t="n">
        <v>2</v>
      </c>
      <c r="AK160" s="34" t="n">
        <v>0.0125</v>
      </c>
      <c r="AL160" s="34" t="n">
        <v>1</v>
      </c>
      <c r="AM160" s="2" t="n">
        <v>38677</v>
      </c>
    </row>
    <row r="161">
      <c r="A161">
        <f>HYPERLINK("https://www.walmart.com/ip/127478451", "127478451")</f>
        <v/>
      </c>
      <c r="B161">
        <f>HYPERLINK("https://app.optiwise.ai/catalog/itemdetails/362036", "Tirrinia Insulated 4 Bottle Wine Carrier Tote Cooler Bag for Travel Picnic Padded Champagne Glass Carrying Case Leather")</f>
        <v/>
      </c>
      <c r="C161" t="n">
        <v>6</v>
      </c>
      <c r="D161" t="inlineStr">
        <is>
          <t>B78691_1679751_743A5B13F39C35F8</t>
        </is>
      </c>
      <c r="E161" t="inlineStr">
        <is>
          <t>1WMWB421GY</t>
        </is>
      </c>
      <c r="F161" t="n">
        <v>0</v>
      </c>
      <c r="G161" t="inlineStr">
        <is>
          <t>Home Decor, Kitchen, &amp; Other</t>
        </is>
      </c>
      <c r="H161" t="inlineStr">
        <is>
          <t>Wine Totes, Bags &amp; Backpacks</t>
        </is>
      </c>
      <c r="I161" t="inlineStr">
        <is>
          <t>Flyingstar</t>
        </is>
      </c>
      <c r="K161" t="inlineStr">
        <is>
          <t>Wine,Christmas,Optimized,Valentine,SEM</t>
        </is>
      </c>
      <c r="L161" s="29" t="n">
        <v>59.97</v>
      </c>
      <c r="M161" s="30" t="n">
        <v>0.0005</v>
      </c>
      <c r="N161" s="29" t="n">
        <v>0</v>
      </c>
      <c r="O161" s="29" t="n">
        <v>0</v>
      </c>
      <c r="P161" s="2" t="n">
        <v>3</v>
      </c>
      <c r="Q161" s="31" t="n">
        <v>0</v>
      </c>
      <c r="R161" s="32" t="n"/>
      <c r="S161" s="32" t="n">
        <v>0</v>
      </c>
      <c r="T161" s="32" t="n">
        <v>0</v>
      </c>
      <c r="U161" s="31" t="n">
        <v>0</v>
      </c>
      <c r="V161" s="32" t="n">
        <v>0</v>
      </c>
      <c r="W161" s="31" t="n">
        <v>0</v>
      </c>
      <c r="X161" s="31" t="n">
        <v>0</v>
      </c>
      <c r="Y161" s="3" t="n">
        <v>0</v>
      </c>
      <c r="Z161" s="3" t="n">
        <v>0</v>
      </c>
      <c r="AA161" s="32" t="n">
        <v>0</v>
      </c>
      <c r="AB161" s="3" t="n">
        <v>0</v>
      </c>
      <c r="AC161" s="32" t="n">
        <v>0</v>
      </c>
      <c r="AD161" s="3" t="n"/>
      <c r="AE161" s="31" t="n">
        <v>0</v>
      </c>
      <c r="AF161" s="2" t="n">
        <v>0</v>
      </c>
      <c r="AG161" s="2" t="n">
        <v>65</v>
      </c>
      <c r="AH161" s="4" t="n">
        <v>65</v>
      </c>
      <c r="AI161" s="33" t="n">
        <v>59.97</v>
      </c>
      <c r="AJ161" s="4" t="n">
        <v>3</v>
      </c>
      <c r="AK161" s="34" t="n">
        <v>0.0462</v>
      </c>
      <c r="AL161" s="34" t="n">
        <v>1</v>
      </c>
      <c r="AM161" s="2" t="n">
        <v>16605</v>
      </c>
    </row>
    <row r="162">
      <c r="A162">
        <f>HYPERLINK("https://www.walmart.com/ip/730795864", "730795864")</f>
        <v/>
      </c>
      <c r="B162">
        <f>HYPERLINK("https://app.optiwise.ai/catalog/itemdetails/358821", "Solaris Waterproof Snow Gloves for Men and Women, 100-Gram 3M Thinsulate Cold Weather Protection, Gray and Black, Large")</f>
        <v/>
      </c>
      <c r="C162" t="n">
        <v>11</v>
      </c>
      <c r="D162" t="inlineStr">
        <is>
          <t>B78691_1642412_FCBC8ABA2999A037</t>
        </is>
      </c>
      <c r="E162" t="inlineStr">
        <is>
          <t>1SLWG302BKGY-L</t>
        </is>
      </c>
      <c r="F162" t="n">
        <v>17</v>
      </c>
      <c r="G162" t="inlineStr">
        <is>
          <t>Clothing</t>
        </is>
      </c>
      <c r="H162" t="inlineStr">
        <is>
          <t>Gloves &amp; Mittens</t>
        </is>
      </c>
      <c r="I162" t="inlineStr">
        <is>
          <t>Solaris</t>
        </is>
      </c>
      <c r="J162" t="n">
        <v>3.600000000000001</v>
      </c>
      <c r="K162" t="inlineStr">
        <is>
          <t>Optimized,Gloves,WFS,WFS Item</t>
        </is>
      </c>
      <c r="L162" s="29" t="n">
        <v>59.97</v>
      </c>
      <c r="M162" s="30" t="n">
        <v>0.0005</v>
      </c>
      <c r="N162" s="29" t="n">
        <v>19.98999977111816</v>
      </c>
      <c r="O162" s="29" t="n">
        <v>0</v>
      </c>
      <c r="P162" s="2" t="n">
        <v>3</v>
      </c>
      <c r="Q162" s="31" t="n">
        <v>0</v>
      </c>
      <c r="R162" s="32" t="n"/>
      <c r="S162" s="32" t="n">
        <v>0</v>
      </c>
      <c r="T162" s="32" t="n">
        <v>0</v>
      </c>
      <c r="U162" s="31" t="n">
        <v>0</v>
      </c>
      <c r="V162" s="32" t="n">
        <v>0</v>
      </c>
      <c r="W162" s="31" t="n">
        <v>0</v>
      </c>
      <c r="X162" s="31" t="n">
        <v>0</v>
      </c>
      <c r="Y162" s="3" t="n">
        <v>0</v>
      </c>
      <c r="Z162" s="3" t="n">
        <v>0</v>
      </c>
      <c r="AA162" s="32" t="n">
        <v>0</v>
      </c>
      <c r="AB162" s="3" t="n">
        <v>0</v>
      </c>
      <c r="AC162" s="32" t="n">
        <v>0</v>
      </c>
      <c r="AD162" s="3" t="n"/>
      <c r="AE162" s="31" t="n">
        <v>0</v>
      </c>
      <c r="AF162" s="2" t="n">
        <v>96</v>
      </c>
      <c r="AG162" s="2" t="n">
        <v>233</v>
      </c>
      <c r="AH162" s="4" t="n">
        <v>233</v>
      </c>
      <c r="AI162" s="33" t="n">
        <v>59.97</v>
      </c>
      <c r="AJ162" s="4" t="n">
        <v>3</v>
      </c>
      <c r="AK162" s="34" t="n">
        <v>0.0129</v>
      </c>
      <c r="AL162" s="34" t="n">
        <v>1</v>
      </c>
      <c r="AM162" s="2" t="n">
        <v>35325</v>
      </c>
    </row>
    <row r="163">
      <c r="A163">
        <f>HYPERLINK("https://www.walmart.com/ip/238905338", "238905338")</f>
        <v/>
      </c>
      <c r="B163">
        <f>HYPERLINK("https://app.optiwise.ai/catalog/itemdetails/362118", "Terra Baby Diaper Bag Backpack Large with Waterproof Stroller Straps and Zipper Pockets, Black")</f>
        <v/>
      </c>
      <c r="C163" t="n">
        <v>2</v>
      </c>
      <c r="D163" t="inlineStr">
        <is>
          <t>B78691_1591479_5C9BB2671E1E9004</t>
        </is>
      </c>
      <c r="E163" t="inlineStr">
        <is>
          <t>TERRABB-BP02-BK</t>
        </is>
      </c>
      <c r="F163" t="n">
        <v>31</v>
      </c>
      <c r="G163" t="inlineStr">
        <is>
          <t>Baby Diapering, Care, &amp; Other</t>
        </is>
      </c>
      <c r="H163" t="inlineStr">
        <is>
          <t>Diaper Bags</t>
        </is>
      </c>
      <c r="I163" t="inlineStr">
        <is>
          <t>Terra Baby</t>
        </is>
      </c>
      <c r="J163" t="n">
        <v>4.2</v>
      </c>
      <c r="K163" t="inlineStr">
        <is>
          <t>Baby days,WFS,SEM</t>
        </is>
      </c>
      <c r="L163" s="29" t="n">
        <v>59.96</v>
      </c>
      <c r="M163" s="30" t="n">
        <v>0.0005</v>
      </c>
      <c r="N163" s="29" t="n">
        <v>119.5599975585938</v>
      </c>
      <c r="O163" s="29" t="n">
        <v>0</v>
      </c>
      <c r="P163" s="2" t="n">
        <v>2</v>
      </c>
      <c r="Q163" s="31" t="n">
        <v>0</v>
      </c>
      <c r="R163" s="32" t="n"/>
      <c r="S163" s="32" t="n">
        <v>0</v>
      </c>
      <c r="T163" s="32" t="n">
        <v>0</v>
      </c>
      <c r="U163" s="31" t="n">
        <v>0</v>
      </c>
      <c r="V163" s="32" t="n">
        <v>0</v>
      </c>
      <c r="W163" s="31" t="n">
        <v>0</v>
      </c>
      <c r="X163" s="31" t="n">
        <v>0</v>
      </c>
      <c r="Y163" s="3" t="n">
        <v>0</v>
      </c>
      <c r="Z163" s="3" t="n">
        <v>0</v>
      </c>
      <c r="AA163" s="32" t="n">
        <v>0</v>
      </c>
      <c r="AB163" s="3" t="n">
        <v>0</v>
      </c>
      <c r="AC163" s="32" t="n">
        <v>0</v>
      </c>
      <c r="AD163" s="3" t="n"/>
      <c r="AE163" s="31" t="n">
        <v>0</v>
      </c>
      <c r="AF163" s="2" t="n">
        <v>5</v>
      </c>
      <c r="AG163" s="2" t="n">
        <v>200</v>
      </c>
      <c r="AH163" s="4" t="n">
        <v>200</v>
      </c>
      <c r="AI163" s="33" t="n">
        <v>59.96</v>
      </c>
      <c r="AJ163" s="4" t="n">
        <v>2</v>
      </c>
      <c r="AK163" s="34" t="n">
        <v>0.01</v>
      </c>
      <c r="AL163" s="34" t="n">
        <v>1</v>
      </c>
      <c r="AM163" s="2" t="n">
        <v>1012</v>
      </c>
    </row>
    <row r="164">
      <c r="A164">
        <f>HYPERLINK("https://www.walmart.com/ip/655001568", "655001568")</f>
        <v/>
      </c>
      <c r="B164">
        <f>HYPERLINK("https://app.optiwise.ai/catalog/itemdetails/361457", "Solaris Womens Bucket Hat UV Sun Protection Lightweight Packable Summer Travel Beach Cap,Kahki")</f>
        <v/>
      </c>
      <c r="C164" t="n">
        <v>4</v>
      </c>
      <c r="D164" t="inlineStr">
        <is>
          <t>B78691_1635697_8179655EDDB6D405</t>
        </is>
      </c>
      <c r="E164" t="inlineStr">
        <is>
          <t>1SLSH189KK</t>
        </is>
      </c>
      <c r="F164" t="n">
        <v>30</v>
      </c>
      <c r="G164" t="inlineStr">
        <is>
          <t>Clothing</t>
        </is>
      </c>
      <c r="H164" t="inlineStr">
        <is>
          <t>Hats</t>
        </is>
      </c>
      <c r="I164" t="inlineStr">
        <is>
          <t>Solaris</t>
        </is>
      </c>
      <c r="J164" t="n">
        <v>3.9</v>
      </c>
      <c r="K164" t="inlineStr">
        <is>
          <t>Hats,Batch 1 - TR</t>
        </is>
      </c>
      <c r="L164" s="29" t="n">
        <v>58.94</v>
      </c>
      <c r="M164" s="30" t="n">
        <v>0.0005</v>
      </c>
      <c r="N164" s="29" t="n">
        <v>9.989999771118164</v>
      </c>
      <c r="O164" s="29" t="n">
        <v>0</v>
      </c>
      <c r="P164" s="2" t="n">
        <v>6</v>
      </c>
      <c r="Q164" s="31" t="n">
        <v>0</v>
      </c>
      <c r="R164" s="32" t="n"/>
      <c r="S164" s="32" t="n">
        <v>0</v>
      </c>
      <c r="T164" s="32" t="n">
        <v>0</v>
      </c>
      <c r="U164" s="31" t="n">
        <v>0</v>
      </c>
      <c r="V164" s="32" t="n">
        <v>0</v>
      </c>
      <c r="W164" s="31" t="n">
        <v>0</v>
      </c>
      <c r="X164" s="31" t="n">
        <v>0</v>
      </c>
      <c r="Y164" s="3" t="n">
        <v>0</v>
      </c>
      <c r="Z164" s="3" t="n">
        <v>0</v>
      </c>
      <c r="AA164" s="32" t="n">
        <v>0</v>
      </c>
      <c r="AB164" s="3" t="n">
        <v>0</v>
      </c>
      <c r="AC164" s="32" t="n">
        <v>0</v>
      </c>
      <c r="AD164" s="3" t="n"/>
      <c r="AE164" s="31" t="n">
        <v>0</v>
      </c>
      <c r="AF164" s="2" t="n">
        <v>5</v>
      </c>
      <c r="AG164" s="2" t="n">
        <v>104</v>
      </c>
      <c r="AH164" s="4" t="n">
        <v>104</v>
      </c>
      <c r="AI164" s="33" t="n">
        <v>58.94</v>
      </c>
      <c r="AJ164" s="4" t="n">
        <v>6</v>
      </c>
      <c r="AK164" s="34" t="n">
        <v>0.0577</v>
      </c>
      <c r="AL164" s="34" t="n">
        <v>1</v>
      </c>
      <c r="AM164" s="2" t="n">
        <v>3870</v>
      </c>
    </row>
    <row r="165">
      <c r="A165">
        <f>HYPERLINK("https://www.walmart.com/ip/5373928874", "5373928874")</f>
        <v/>
      </c>
      <c r="B165">
        <f>HYPERLINK("https://app.optiwise.ai/catalog/itemdetails/8056325", "Tirrinia Golf Cooler Bag - Golf Accessories Small 5 Cans Insulated Cooler Sleeve with Storage Pocket")</f>
        <v/>
      </c>
      <c r="C165" t="n">
        <v>2</v>
      </c>
      <c r="D165" t="inlineStr">
        <is>
          <t>B78691_1682485_7B9FA854EF484710</t>
        </is>
      </c>
      <c r="E165" t="inlineStr">
        <is>
          <t>1TRCB00205BK</t>
        </is>
      </c>
      <c r="F165" t="n">
        <v>0</v>
      </c>
      <c r="G165" t="inlineStr">
        <is>
          <t>Sport &amp; Recreation Other</t>
        </is>
      </c>
      <c r="H165" t="inlineStr">
        <is>
          <t>Thermocoolers</t>
        </is>
      </c>
      <c r="I165" t="inlineStr">
        <is>
          <t>Tirrinia</t>
        </is>
      </c>
      <c r="L165" s="29" t="n">
        <v>58.35</v>
      </c>
      <c r="M165" s="30" t="n">
        <v>0.0005</v>
      </c>
      <c r="N165" s="29" t="n">
        <v>38.90000152587891</v>
      </c>
      <c r="O165" s="29" t="n">
        <v>0</v>
      </c>
      <c r="P165" s="2" t="n">
        <v>3</v>
      </c>
      <c r="Q165" s="31" t="n">
        <v>0</v>
      </c>
      <c r="R165" s="32" t="n"/>
      <c r="S165" s="32" t="n">
        <v>0</v>
      </c>
      <c r="T165" s="32" t="n">
        <v>0</v>
      </c>
      <c r="U165" s="31" t="n">
        <v>0</v>
      </c>
      <c r="V165" s="32" t="n">
        <v>0</v>
      </c>
      <c r="W165" s="31" t="n">
        <v>0</v>
      </c>
      <c r="X165" s="31" t="n">
        <v>0</v>
      </c>
      <c r="Y165" s="3" t="n">
        <v>0</v>
      </c>
      <c r="Z165" s="3" t="n">
        <v>0</v>
      </c>
      <c r="AA165" s="32" t="n">
        <v>0</v>
      </c>
      <c r="AB165" s="3" t="n">
        <v>0</v>
      </c>
      <c r="AC165" s="32" t="n">
        <v>0</v>
      </c>
      <c r="AD165" s="3" t="n"/>
      <c r="AE165" s="31" t="n">
        <v>0</v>
      </c>
      <c r="AF165" s="2" t="n">
        <v>0</v>
      </c>
      <c r="AG165" s="2" t="n">
        <v>105</v>
      </c>
      <c r="AH165" s="4" t="n">
        <v>105</v>
      </c>
      <c r="AI165" s="33" t="n">
        <v>58.35</v>
      </c>
      <c r="AJ165" s="4" t="n">
        <v>3</v>
      </c>
      <c r="AK165" s="34" t="n">
        <v>0.0286</v>
      </c>
      <c r="AL165" s="34" t="n">
        <v>1</v>
      </c>
      <c r="AM165" s="2" t="n">
        <v>9000</v>
      </c>
    </row>
    <row r="166">
      <c r="A166">
        <f>HYPERLINK("https://www.walmart.com/ip/239180236", "239180236")</f>
        <v/>
      </c>
      <c r="B166">
        <f>HYPERLINK("https://app.optiwise.ai/catalog/itemdetails/361558", "Knit Beanie Hat for Women,  Faux Fuzzy Pom Pom Winter Ski Skullies Cap")</f>
        <v/>
      </c>
      <c r="C166" t="n">
        <v>10</v>
      </c>
      <c r="D166" t="inlineStr">
        <is>
          <t>06165439779102</t>
        </is>
      </c>
      <c r="E166" t="inlineStr">
        <is>
          <t>1SLPPH03PK</t>
        </is>
      </c>
      <c r="F166" t="n">
        <v>6</v>
      </c>
      <c r="G166" t="inlineStr">
        <is>
          <t>Clothing</t>
        </is>
      </c>
      <c r="H166" t="inlineStr">
        <is>
          <t>Hats</t>
        </is>
      </c>
      <c r="I166" t="inlineStr">
        <is>
          <t>Solaris</t>
        </is>
      </c>
      <c r="J166" t="n">
        <v>4.600000000000001</v>
      </c>
      <c r="K166" t="inlineStr">
        <is>
          <t>Batch 1 - TR</t>
        </is>
      </c>
      <c r="L166" s="29" t="n">
        <v>57.88</v>
      </c>
      <c r="M166" s="30" t="n">
        <v>0.0005</v>
      </c>
      <c r="N166" s="29" t="n">
        <v>0</v>
      </c>
      <c r="O166" s="29" t="n">
        <v>0</v>
      </c>
      <c r="P166" s="2" t="n">
        <v>10</v>
      </c>
      <c r="Q166" s="31" t="n">
        <v>0</v>
      </c>
      <c r="R166" s="32" t="n"/>
      <c r="S166" s="32" t="n">
        <v>0</v>
      </c>
      <c r="T166" s="32" t="n">
        <v>0</v>
      </c>
      <c r="U166" s="31" t="n">
        <v>0</v>
      </c>
      <c r="V166" s="32" t="n">
        <v>0</v>
      </c>
      <c r="W166" s="31" t="n">
        <v>0</v>
      </c>
      <c r="X166" s="31" t="n">
        <v>0</v>
      </c>
      <c r="Y166" s="3" t="n">
        <v>0</v>
      </c>
      <c r="Z166" s="3" t="n">
        <v>0</v>
      </c>
      <c r="AA166" s="32" t="n">
        <v>0</v>
      </c>
      <c r="AB166" s="3" t="n">
        <v>0</v>
      </c>
      <c r="AC166" s="32" t="n">
        <v>0</v>
      </c>
      <c r="AD166" s="3" t="n"/>
      <c r="AE166" s="31" t="n">
        <v>0</v>
      </c>
      <c r="AF166" s="2" t="n">
        <v>0</v>
      </c>
      <c r="AG166" s="2" t="n">
        <v>76</v>
      </c>
      <c r="AH166" s="4" t="n">
        <v>76</v>
      </c>
      <c r="AI166" s="33" t="n">
        <v>57.88</v>
      </c>
      <c r="AJ166" s="4" t="n">
        <v>10</v>
      </c>
      <c r="AK166" s="34" t="n">
        <v>0.1316</v>
      </c>
      <c r="AL166" s="34" t="n">
        <v>1</v>
      </c>
      <c r="AM166" s="2" t="n">
        <v>12312</v>
      </c>
    </row>
    <row r="167">
      <c r="A167">
        <f>HYPERLINK("https://www.walmart.com/ip/1367232974", "1367232974")</f>
        <v/>
      </c>
      <c r="B167">
        <f>HYPERLINK("https://app.optiwise.ai/catalog/itemdetails/924445", "Sherpa Throw Blanket Fleece, Super Cozy Warm TV Blankets for Bed or Couch Reversible 60 x 80")</f>
        <v/>
      </c>
      <c r="C167" t="n">
        <v>4</v>
      </c>
      <c r="D167" t="inlineStr">
        <is>
          <t>B78691_1681499_38E5CFD8AB36858B</t>
        </is>
      </c>
      <c r="E167" t="inlineStr">
        <is>
          <t>1TRBF368SNOWMAN</t>
        </is>
      </c>
      <c r="F167" t="n">
        <v>1</v>
      </c>
      <c r="G167" t="inlineStr">
        <is>
          <t>Bedding</t>
        </is>
      </c>
      <c r="H167" t="inlineStr">
        <is>
          <t>Throws</t>
        </is>
      </c>
      <c r="I167" t="inlineStr">
        <is>
          <t>Tirrinia</t>
        </is>
      </c>
      <c r="J167" t="n">
        <v>5</v>
      </c>
      <c r="L167" s="29" t="n">
        <v>55.98</v>
      </c>
      <c r="M167" s="30" t="n">
        <v>0.0005</v>
      </c>
      <c r="N167" s="29" t="n">
        <v>0</v>
      </c>
      <c r="O167" s="29" t="n">
        <v>0</v>
      </c>
      <c r="P167" s="2" t="n">
        <v>2</v>
      </c>
      <c r="Q167" s="31" t="n">
        <v>0</v>
      </c>
      <c r="R167" s="32" t="n"/>
      <c r="S167" s="32" t="n">
        <v>0</v>
      </c>
      <c r="T167" s="32" t="n">
        <v>0</v>
      </c>
      <c r="U167" s="31" t="n">
        <v>0</v>
      </c>
      <c r="V167" s="32" t="n">
        <v>0</v>
      </c>
      <c r="W167" s="31" t="n">
        <v>0</v>
      </c>
      <c r="X167" s="31" t="n">
        <v>0</v>
      </c>
      <c r="Y167" s="3" t="n">
        <v>0</v>
      </c>
      <c r="Z167" s="3" t="n">
        <v>0</v>
      </c>
      <c r="AA167" s="32" t="n">
        <v>0</v>
      </c>
      <c r="AB167" s="3" t="n">
        <v>0</v>
      </c>
      <c r="AC167" s="32" t="n">
        <v>0</v>
      </c>
      <c r="AD167" s="3" t="n"/>
      <c r="AE167" s="31" t="n">
        <v>0</v>
      </c>
      <c r="AF167" s="2" t="n">
        <v>0</v>
      </c>
      <c r="AG167" s="2" t="n">
        <v>52</v>
      </c>
      <c r="AH167" s="4" t="n">
        <v>52</v>
      </c>
      <c r="AI167" s="33" t="n">
        <v>55.98</v>
      </c>
      <c r="AJ167" s="4" t="n">
        <v>2</v>
      </c>
      <c r="AK167" s="34" t="n">
        <v>0.0385</v>
      </c>
      <c r="AL167" s="34" t="n">
        <v>1</v>
      </c>
      <c r="AM167" s="2" t="n">
        <v>15795</v>
      </c>
    </row>
    <row r="168">
      <c r="A168">
        <f>HYPERLINK("https://www.walmart.com/ip/485820215", "485820215")</f>
        <v/>
      </c>
      <c r="B168">
        <f>HYPERLINK("https://app.optiwise.ai/catalog/itemdetails/362166", "Catalonia Fleece Throw Blanket for Couch, Super Soft Fuzzy Plush Blanket for Adults and Kids, All Seasons Home Decor Blanket, Machine Washable, 50x60, Grey")</f>
        <v/>
      </c>
      <c r="C168" t="n">
        <v>5</v>
      </c>
      <c r="D168" t="inlineStr">
        <is>
          <t>B78691_1680512_571644CE7A88D2E9</t>
        </is>
      </c>
      <c r="E168" t="inlineStr">
        <is>
          <t>1CTBF575GY</t>
        </is>
      </c>
      <c r="F168" t="n">
        <v>49</v>
      </c>
      <c r="G168" t="inlineStr">
        <is>
          <t>Bedding</t>
        </is>
      </c>
      <c r="H168" t="inlineStr">
        <is>
          <t>Throws</t>
        </is>
      </c>
      <c r="I168" t="inlineStr">
        <is>
          <t>Catalonia</t>
        </is>
      </c>
      <c r="J168" t="n">
        <v>4.4</v>
      </c>
      <c r="K168" t="inlineStr">
        <is>
          <t>Q2-Target,WFS,Coupon_Discount,SeePriceInCart,WFS Item</t>
        </is>
      </c>
      <c r="L168" s="29" t="n">
        <v>55.97</v>
      </c>
      <c r="M168" s="30" t="n">
        <v>0.0005</v>
      </c>
      <c r="N168" s="29" t="n">
        <v>0</v>
      </c>
      <c r="O168" s="29" t="n">
        <v>0</v>
      </c>
      <c r="P168" s="2" t="n">
        <v>3</v>
      </c>
      <c r="Q168" s="31" t="n">
        <v>18.28</v>
      </c>
      <c r="R168" s="32" t="n">
        <v>0.0022</v>
      </c>
      <c r="S168" s="32" t="n">
        <v>0.3266</v>
      </c>
      <c r="T168" s="32" t="n">
        <v>0.4545</v>
      </c>
      <c r="U168" s="31" t="n">
        <v>0.93</v>
      </c>
      <c r="V168" s="32" t="n">
        <v>1.08</v>
      </c>
      <c r="W168" s="31" t="n">
        <v>16.99</v>
      </c>
      <c r="X168" s="31" t="n">
        <v>16.99</v>
      </c>
      <c r="Y168" s="3" t="n">
        <v>13006</v>
      </c>
      <c r="Z168" s="3" t="n">
        <v>39</v>
      </c>
      <c r="AA168" s="32" t="n">
        <v>0.003</v>
      </c>
      <c r="AB168" s="3" t="n">
        <v>1</v>
      </c>
      <c r="AC168" s="32" t="n">
        <v>0.0256</v>
      </c>
      <c r="AD168" s="3" t="inlineStr">
        <is>
          <t>,Throws_Manual_Optiwise_24</t>
        </is>
      </c>
      <c r="AE168" s="31" t="n">
        <v>0.47</v>
      </c>
      <c r="AF168" s="2" t="n">
        <v>48</v>
      </c>
      <c r="AG168" s="2" t="n">
        <v>107</v>
      </c>
      <c r="AH168" s="4" t="n">
        <v>68</v>
      </c>
      <c r="AI168" s="33" t="n">
        <v>38.98</v>
      </c>
      <c r="AJ168" s="4" t="n">
        <v>2</v>
      </c>
      <c r="AK168" s="34" t="n">
        <v>0.0294</v>
      </c>
      <c r="AL168" s="34" t="n">
        <v>0.6964</v>
      </c>
      <c r="AM168" s="2" t="n">
        <v>4500</v>
      </c>
    </row>
    <row r="169">
      <c r="A169">
        <f>HYPERLINK("https://www.walmart.com/ip/228998372", "228998372")</f>
        <v/>
      </c>
      <c r="B169">
        <f>HYPERLINK("https://app.optiwise.ai/catalog/itemdetails/360959", "Pawsse Sherpa Pet Blanket, Puppy Cat Blanket, Warm Flannel Plush Dog Fleece Blanket for Small Dogs Kitten, Reversible, Brown/Latte Sherpa Lining, 45 X 30 Inches")</f>
        <v/>
      </c>
      <c r="C169" t="n">
        <v>3</v>
      </c>
      <c r="D169" t="inlineStr">
        <is>
          <t>B78691_1635771_5C9BB2671E1E9004</t>
        </is>
      </c>
      <c r="E169" t="inlineStr">
        <is>
          <t>1TRBF345BRLT</t>
        </is>
      </c>
      <c r="F169" t="n">
        <v>8</v>
      </c>
      <c r="G169" t="inlineStr">
        <is>
          <t>Animal Accessories</t>
        </is>
      </c>
      <c r="H169" t="inlineStr">
        <is>
          <t>Pet Blankets</t>
        </is>
      </c>
      <c r="I169" t="inlineStr">
        <is>
          <t>Pawsse</t>
        </is>
      </c>
      <c r="J169" t="n">
        <v>4.3</v>
      </c>
      <c r="K169" t="inlineStr">
        <is>
          <t>Batch 1 - TR</t>
        </is>
      </c>
      <c r="L169" s="29" t="n">
        <v>55.94</v>
      </c>
      <c r="M169" s="30" t="n">
        <v>0.0005</v>
      </c>
      <c r="N169" s="29" t="n">
        <v>0</v>
      </c>
      <c r="O169" s="29" t="n">
        <v>0</v>
      </c>
      <c r="P169" s="2" t="n">
        <v>4</v>
      </c>
      <c r="Q169" s="31" t="n">
        <v>0</v>
      </c>
      <c r="R169" s="32" t="n"/>
      <c r="S169" s="32" t="n">
        <v>0</v>
      </c>
      <c r="T169" s="32" t="n">
        <v>0</v>
      </c>
      <c r="U169" s="31" t="n">
        <v>0</v>
      </c>
      <c r="V169" s="32" t="n">
        <v>0</v>
      </c>
      <c r="W169" s="31" t="n">
        <v>0</v>
      </c>
      <c r="X169" s="31" t="n">
        <v>0</v>
      </c>
      <c r="Y169" s="3" t="n">
        <v>0</v>
      </c>
      <c r="Z169" s="3" t="n">
        <v>0</v>
      </c>
      <c r="AA169" s="32" t="n">
        <v>0</v>
      </c>
      <c r="AB169" s="3" t="n">
        <v>0</v>
      </c>
      <c r="AC169" s="32" t="n">
        <v>0</v>
      </c>
      <c r="AD169" s="3" t="n"/>
      <c r="AE169" s="31" t="n">
        <v>0</v>
      </c>
      <c r="AF169" s="2" t="n">
        <v>0</v>
      </c>
      <c r="AG169" s="2" t="n">
        <v>58</v>
      </c>
      <c r="AH169" s="4" t="n">
        <v>58</v>
      </c>
      <c r="AI169" s="33" t="n">
        <v>55.94</v>
      </c>
      <c r="AJ169" s="4" t="n">
        <v>4</v>
      </c>
      <c r="AK169" s="34" t="n">
        <v>0.06900000000000001</v>
      </c>
      <c r="AL169" s="34" t="n">
        <v>1</v>
      </c>
      <c r="AM169" s="2" t="n">
        <v>4927</v>
      </c>
    </row>
    <row r="170">
      <c r="A170">
        <f>HYPERLINK("https://www.walmart.com/ip/364605040", "364605040")</f>
        <v/>
      </c>
      <c r="B170">
        <f>HYPERLINK("https://app.optiwise.ai/catalog/itemdetails/361910", "Terra Outdoor Summer Sun Hat for Women, UPF 50+ Fold Up Wide Brim Bucket Hat, Green")</f>
        <v/>
      </c>
      <c r="C170" t="n">
        <v>4</v>
      </c>
      <c r="D170" t="inlineStr">
        <is>
          <t>B78691_1636001_8702105B213E3896</t>
        </is>
      </c>
      <c r="E170" t="inlineStr">
        <is>
          <t>TERRACAP-F057-GRN</t>
        </is>
      </c>
      <c r="F170" t="n">
        <v>4</v>
      </c>
      <c r="G170" t="inlineStr">
        <is>
          <t>Clothing</t>
        </is>
      </c>
      <c r="H170" t="inlineStr">
        <is>
          <t>Hats</t>
        </is>
      </c>
      <c r="I170" t="inlineStr">
        <is>
          <t>Terra</t>
        </is>
      </c>
      <c r="J170" t="n">
        <v>3.7</v>
      </c>
      <c r="K170" t="inlineStr">
        <is>
          <t>Hats,ST Patrick Day</t>
        </is>
      </c>
      <c r="L170" s="29" t="n">
        <v>55.93</v>
      </c>
      <c r="M170" s="30" t="n">
        <v>0.0005</v>
      </c>
      <c r="N170" s="29" t="n">
        <v>0</v>
      </c>
      <c r="O170" s="29" t="n">
        <v>0</v>
      </c>
      <c r="P170" s="2" t="n">
        <v>7</v>
      </c>
      <c r="Q170" s="31" t="n">
        <v>0</v>
      </c>
      <c r="R170" s="32" t="n"/>
      <c r="S170" s="32" t="n">
        <v>0</v>
      </c>
      <c r="T170" s="32" t="n">
        <v>0</v>
      </c>
      <c r="U170" s="31" t="n">
        <v>0</v>
      </c>
      <c r="V170" s="32" t="n">
        <v>0</v>
      </c>
      <c r="W170" s="31" t="n">
        <v>0</v>
      </c>
      <c r="X170" s="31" t="n">
        <v>0</v>
      </c>
      <c r="Y170" s="3" t="n">
        <v>0</v>
      </c>
      <c r="Z170" s="3" t="n">
        <v>0</v>
      </c>
      <c r="AA170" s="32" t="n">
        <v>0</v>
      </c>
      <c r="AB170" s="3" t="n">
        <v>0</v>
      </c>
      <c r="AC170" s="32" t="n">
        <v>0</v>
      </c>
      <c r="AD170" s="3" t="n"/>
      <c r="AE170" s="31" t="n">
        <v>0</v>
      </c>
      <c r="AF170" s="2" t="n">
        <v>6</v>
      </c>
      <c r="AG170" s="2" t="n">
        <v>105</v>
      </c>
      <c r="AH170" s="4" t="n">
        <v>105</v>
      </c>
      <c r="AI170" s="33" t="n">
        <v>55.93</v>
      </c>
      <c r="AJ170" s="4" t="n">
        <v>7</v>
      </c>
      <c r="AK170" s="34" t="n">
        <v>0.0667</v>
      </c>
      <c r="AL170" s="34" t="n">
        <v>1</v>
      </c>
      <c r="AM170" s="2" t="n">
        <v>7714</v>
      </c>
    </row>
    <row r="171">
      <c r="A171">
        <f>HYPERLINK("https://www.walmart.com/ip/111627641", "111627641")</f>
        <v/>
      </c>
      <c r="B171">
        <f>HYPERLINK("https://app.optiwise.ai/catalog/itemdetails/359047", "JenniWears Women Beileise Sexy Garter Belt Suspender - 3 Packs")</f>
        <v/>
      </c>
      <c r="C171" t="n">
        <v>16</v>
      </c>
      <c r="D171" t="inlineStr">
        <is>
          <t>B78691_974130</t>
        </is>
      </c>
      <c r="E171" t="inlineStr">
        <is>
          <t>JWBLSPH2073-3pcs</t>
        </is>
      </c>
      <c r="F171" t="n">
        <v>1</v>
      </c>
      <c r="G171" t="inlineStr">
        <is>
          <t>Clothing</t>
        </is>
      </c>
      <c r="H171" t="inlineStr">
        <is>
          <t>Garter Belts</t>
        </is>
      </c>
      <c r="I171" t="inlineStr">
        <is>
          <t>JenniWears</t>
        </is>
      </c>
      <c r="K171" t="inlineStr">
        <is>
          <t>Optimized,Valentine</t>
        </is>
      </c>
      <c r="L171" s="29" t="n">
        <v>55.90000000000001</v>
      </c>
      <c r="M171" s="30" t="n">
        <v>0.0005</v>
      </c>
      <c r="N171" s="29" t="n">
        <v>0</v>
      </c>
      <c r="O171" s="29" t="n">
        <v>0</v>
      </c>
      <c r="P171" s="2" t="n">
        <v>7</v>
      </c>
      <c r="Q171" s="31" t="n">
        <v>0</v>
      </c>
      <c r="R171" s="32" t="n"/>
      <c r="S171" s="32" t="n">
        <v>0</v>
      </c>
      <c r="T171" s="32" t="n">
        <v>0</v>
      </c>
      <c r="U171" s="31" t="n">
        <v>0</v>
      </c>
      <c r="V171" s="32" t="n">
        <v>0</v>
      </c>
      <c r="W171" s="31" t="n">
        <v>0</v>
      </c>
      <c r="X171" s="31" t="n">
        <v>0</v>
      </c>
      <c r="Y171" s="3" t="n">
        <v>0</v>
      </c>
      <c r="Z171" s="3" t="n">
        <v>0</v>
      </c>
      <c r="AA171" s="32" t="n">
        <v>0</v>
      </c>
      <c r="AB171" s="3" t="n">
        <v>0</v>
      </c>
      <c r="AC171" s="32" t="n">
        <v>0</v>
      </c>
      <c r="AD171" s="3" t="n"/>
      <c r="AE171" s="31" t="n">
        <v>0</v>
      </c>
      <c r="AF171" s="2" t="n">
        <v>31</v>
      </c>
      <c r="AG171" s="2" t="n">
        <v>306</v>
      </c>
      <c r="AH171" s="4" t="n">
        <v>306</v>
      </c>
      <c r="AI171" s="33" t="n">
        <v>55.90000000000001</v>
      </c>
      <c r="AJ171" s="4" t="n">
        <v>7</v>
      </c>
      <c r="AK171" s="34" t="n">
        <v>0.0229</v>
      </c>
      <c r="AL171" s="34" t="n">
        <v>1</v>
      </c>
      <c r="AM171" s="2" t="n">
        <v>20076</v>
      </c>
    </row>
    <row r="172">
      <c r="A172">
        <f>HYPERLINK("https://www.walmart.com/ip/150263762", "150263762")</f>
        <v/>
      </c>
      <c r="B172">
        <f>HYPERLINK("https://app.optiwise.ai/catalog/itemdetails/362450", "JenniWears® Women's Seamless Mesh Hole Pothole Tube Dress")</f>
        <v/>
      </c>
      <c r="C172" t="n">
        <v>4</v>
      </c>
      <c r="D172" t="inlineStr">
        <is>
          <t>B78691_979648_5C9BB2671E1E9004</t>
        </is>
      </c>
      <c r="E172" t="inlineStr">
        <is>
          <t>JWBD012PP-M</t>
        </is>
      </c>
      <c r="F172" t="n">
        <v>0</v>
      </c>
      <c r="G172" t="inlineStr">
        <is>
          <t>Clothing</t>
        </is>
      </c>
      <c r="H172" t="inlineStr">
        <is>
          <t>Dresses</t>
        </is>
      </c>
      <c r="I172" t="inlineStr">
        <is>
          <t>JenniWears</t>
        </is>
      </c>
      <c r="K172" t="inlineStr">
        <is>
          <t>Optimized,Valentine</t>
        </is>
      </c>
      <c r="L172" s="29" t="n">
        <v>55.86000000000001</v>
      </c>
      <c r="M172" s="30" t="n">
        <v>0.0005</v>
      </c>
      <c r="N172" s="29" t="n">
        <v>0</v>
      </c>
      <c r="O172" s="29" t="n">
        <v>0</v>
      </c>
      <c r="P172" s="2" t="n">
        <v>7</v>
      </c>
      <c r="Q172" s="31" t="n">
        <v>0</v>
      </c>
      <c r="R172" s="32" t="n"/>
      <c r="S172" s="32" t="n">
        <v>0</v>
      </c>
      <c r="T172" s="32" t="n">
        <v>0</v>
      </c>
      <c r="U172" s="31" t="n">
        <v>0</v>
      </c>
      <c r="V172" s="32" t="n">
        <v>0</v>
      </c>
      <c r="W172" s="31" t="n">
        <v>0</v>
      </c>
      <c r="X172" s="31" t="n">
        <v>0</v>
      </c>
      <c r="Y172" s="3" t="n">
        <v>0</v>
      </c>
      <c r="Z172" s="3" t="n">
        <v>0</v>
      </c>
      <c r="AA172" s="32" t="n">
        <v>0</v>
      </c>
      <c r="AB172" s="3" t="n">
        <v>0</v>
      </c>
      <c r="AC172" s="32" t="n">
        <v>0</v>
      </c>
      <c r="AD172" s="3" t="n"/>
      <c r="AE172" s="31" t="n">
        <v>0</v>
      </c>
      <c r="AF172" s="2" t="n">
        <v>20</v>
      </c>
      <c r="AG172" s="2" t="n">
        <v>262</v>
      </c>
      <c r="AH172" s="4" t="n">
        <v>262</v>
      </c>
      <c r="AI172" s="33" t="n">
        <v>55.86000000000001</v>
      </c>
      <c r="AJ172" s="4" t="n">
        <v>7</v>
      </c>
      <c r="AK172" s="34" t="n">
        <v>0.0267</v>
      </c>
      <c r="AL172" s="34" t="n">
        <v>1</v>
      </c>
      <c r="AM172" s="2" t="n">
        <v>2160</v>
      </c>
    </row>
    <row r="173">
      <c r="A173">
        <f>HYPERLINK("https://www.walmart.com/ip/972147945", "972147945")</f>
        <v/>
      </c>
      <c r="B173">
        <f>HYPERLINK("https://app.optiwise.ai/catalog/itemdetails/359045", "Wine Opener Accessories Gift Set - 5 Pcs Wine Bottle Corkscrew Screwpull Kit by Kato, Great Wedding and Birthday Gifts for Wine Lovers, Red")</f>
        <v/>
      </c>
      <c r="C173" t="n">
        <v>3</v>
      </c>
      <c r="D173" t="inlineStr">
        <is>
          <t>B78691_1635600_E537A39A30A74BB9</t>
        </is>
      </c>
      <c r="E173" t="inlineStr">
        <is>
          <t>1KTWO502RDBK</t>
        </is>
      </c>
      <c r="F173" t="n">
        <v>6</v>
      </c>
      <c r="G173" t="inlineStr">
        <is>
          <t>Home Decor, Kitchen, &amp; Other</t>
        </is>
      </c>
      <c r="H173" t="inlineStr">
        <is>
          <t>Corkscrews &amp; Wine Bottle Openers</t>
        </is>
      </c>
      <c r="I173" t="inlineStr">
        <is>
          <t>Kato</t>
        </is>
      </c>
      <c r="J173" t="n">
        <v>3.200000000000001</v>
      </c>
      <c r="K173" t="inlineStr">
        <is>
          <t>Wine,Christmas,WFS,Wine WFS,Valentine,WFS Item</t>
        </is>
      </c>
      <c r="L173" s="29" t="n">
        <v>54.96</v>
      </c>
      <c r="M173" s="30" t="n">
        <v>0.0005</v>
      </c>
      <c r="N173" s="29" t="n">
        <v>0</v>
      </c>
      <c r="O173" s="29" t="n">
        <v>0</v>
      </c>
      <c r="P173" s="2" t="n">
        <v>3</v>
      </c>
      <c r="Q173" s="31" t="n">
        <v>44.75000000000001</v>
      </c>
      <c r="R173" s="32" t="n">
        <v>0.0054</v>
      </c>
      <c r="S173" s="32" t="n">
        <v>0.8142</v>
      </c>
      <c r="T173" s="32" t="n">
        <v>0.0856</v>
      </c>
      <c r="U173" s="31" t="n">
        <v>0.63</v>
      </c>
      <c r="V173" s="32" t="n">
        <v>1.6</v>
      </c>
      <c r="W173" s="31" t="n">
        <v>27.98</v>
      </c>
      <c r="X173" s="31" t="n">
        <v>15.99</v>
      </c>
      <c r="Y173" s="3" t="n">
        <v>34538</v>
      </c>
      <c r="Z173" s="3" t="n">
        <v>83</v>
      </c>
      <c r="AA173" s="32" t="n">
        <v>0.0024</v>
      </c>
      <c r="AB173" s="3" t="n">
        <v>2</v>
      </c>
      <c r="AC173" s="32" t="n">
        <v>0.0241</v>
      </c>
      <c r="AD173" s="3" t="inlineStr">
        <is>
          <t>All Items_Auto_Optiwise_24,</t>
        </is>
      </c>
      <c r="AE173" s="31" t="n">
        <v>0.54</v>
      </c>
      <c r="AF173" s="2" t="n">
        <v>34</v>
      </c>
      <c r="AG173" s="2" t="n">
        <v>23</v>
      </c>
      <c r="AH173" s="4" t="inlineStr">
        <is>
          <t>NA</t>
        </is>
      </c>
      <c r="AI173" s="33" t="n">
        <v>26.98</v>
      </c>
      <c r="AJ173" s="4" t="n">
        <v>1</v>
      </c>
      <c r="AK173" s="34" t="inlineStr">
        <is>
          <t>NA</t>
        </is>
      </c>
      <c r="AL173" s="34" t="n">
        <v>0.4909</v>
      </c>
      <c r="AM173" s="2" t="n">
        <v>14355</v>
      </c>
    </row>
    <row r="174">
      <c r="A174">
        <f>HYPERLINK("https://www.walmart.com/ip/14010066234", "14010066234")</f>
        <v/>
      </c>
      <c r="B174">
        <f>HYPERLINK("https://app.optiwise.ai/catalog/itemdetails/13019832", "American Flag Throw Blanket Warm Eagle Flannel Fleece Blanket for Couch, Super Soft Fuzzy Throws Fashion Decorative Plush Fleece Blanket for Sofa Bed Office(50 x 70 in, American Flag &amp; Eagle)")</f>
        <v/>
      </c>
      <c r="C174" t="inlineStr">
        <is>
          <t>-</t>
        </is>
      </c>
      <c r="E174" t="inlineStr">
        <is>
          <t>1TRBF601USA1</t>
        </is>
      </c>
      <c r="F174" t="n">
        <v>0</v>
      </c>
      <c r="G174" t="inlineStr">
        <is>
          <t>Bedding</t>
        </is>
      </c>
      <c r="H174" t="inlineStr">
        <is>
          <t>Throws</t>
        </is>
      </c>
      <c r="I174" t="inlineStr">
        <is>
          <t>Tirrinia</t>
        </is>
      </c>
      <c r="L174" s="29" t="n">
        <v>51.98</v>
      </c>
      <c r="M174" s="30" t="n">
        <v>0.0004</v>
      </c>
      <c r="N174" s="29" t="n">
        <v>0</v>
      </c>
      <c r="O174" s="29" t="n">
        <v>0</v>
      </c>
      <c r="P174" s="2" t="n">
        <v>2</v>
      </c>
      <c r="Q174" s="31" t="n">
        <v>0</v>
      </c>
      <c r="R174" s="32" t="n"/>
      <c r="S174" s="32" t="n">
        <v>0</v>
      </c>
      <c r="T174" s="32" t="n">
        <v>0</v>
      </c>
      <c r="U174" s="31" t="n">
        <v>0</v>
      </c>
      <c r="V174" s="32" t="n">
        <v>0</v>
      </c>
      <c r="W174" s="31" t="n">
        <v>0</v>
      </c>
      <c r="X174" s="31" t="n">
        <v>0</v>
      </c>
      <c r="Y174" s="3" t="n">
        <v>0</v>
      </c>
      <c r="Z174" s="3" t="n">
        <v>0</v>
      </c>
      <c r="AA174" s="32" t="n">
        <v>0</v>
      </c>
      <c r="AB174" s="3" t="n">
        <v>0</v>
      </c>
      <c r="AC174" s="32" t="n">
        <v>0</v>
      </c>
      <c r="AD174" s="3" t="n"/>
      <c r="AE174" s="31" t="n">
        <v>0</v>
      </c>
      <c r="AF174" s="2" t="n">
        <v>0</v>
      </c>
      <c r="AG174" s="2" t="n">
        <v>2</v>
      </c>
      <c r="AH174" s="4" t="n">
        <v>2</v>
      </c>
      <c r="AI174" s="33" t="n">
        <v>51.98</v>
      </c>
      <c r="AJ174" s="4" t="n">
        <v>2</v>
      </c>
      <c r="AK174" s="34" t="n">
        <v>1</v>
      </c>
      <c r="AL174" s="34" t="n">
        <v>1</v>
      </c>
      <c r="AM174" s="2" t="n">
        <v>6750</v>
      </c>
    </row>
    <row r="175">
      <c r="A175">
        <f>HYPERLINK("https://www.walmart.com/ip/771666786", "771666786")</f>
        <v/>
      </c>
      <c r="B175">
        <f>HYPERLINK("https://app.optiwise.ai/catalog/itemdetails/361069", "Two Pieces Double up Tankini Swimsuit for Women Bathing Suits Set by Tirrinia")</f>
        <v/>
      </c>
      <c r="C175" t="n">
        <v>7</v>
      </c>
      <c r="D175" t="inlineStr">
        <is>
          <t>B78691_1635548</t>
        </is>
      </c>
      <c r="E175" t="inlineStr">
        <is>
          <t>1TRSS002WH-L</t>
        </is>
      </c>
      <c r="F175" t="n">
        <v>9</v>
      </c>
      <c r="G175" t="inlineStr">
        <is>
          <t>Clothing</t>
        </is>
      </c>
      <c r="H175" t="inlineStr">
        <is>
          <t>Swimsuit Sets</t>
        </is>
      </c>
      <c r="I175" t="inlineStr">
        <is>
          <t>Tirrinia</t>
        </is>
      </c>
      <c r="J175" t="n">
        <v>3.7</v>
      </c>
      <c r="K175" t="inlineStr">
        <is>
          <t>Batch 1 - TR</t>
        </is>
      </c>
      <c r="L175" s="29" t="n">
        <v>51.95</v>
      </c>
      <c r="M175" s="30" t="n">
        <v>0.0004</v>
      </c>
      <c r="N175" s="29" t="n">
        <v>51.93999862670898</v>
      </c>
      <c r="O175" s="29" t="n">
        <v>0</v>
      </c>
      <c r="P175" s="2" t="n">
        <v>4</v>
      </c>
      <c r="Q175" s="31" t="n">
        <v>0</v>
      </c>
      <c r="R175" s="32" t="n"/>
      <c r="S175" s="32" t="n">
        <v>0</v>
      </c>
      <c r="T175" s="32" t="n">
        <v>0</v>
      </c>
      <c r="U175" s="31" t="n">
        <v>0</v>
      </c>
      <c r="V175" s="32" t="n">
        <v>0</v>
      </c>
      <c r="W175" s="31" t="n">
        <v>0</v>
      </c>
      <c r="X175" s="31" t="n">
        <v>0</v>
      </c>
      <c r="Y175" s="3" t="n">
        <v>0</v>
      </c>
      <c r="Z175" s="3" t="n">
        <v>0</v>
      </c>
      <c r="AA175" s="32" t="n">
        <v>0</v>
      </c>
      <c r="AB175" s="3" t="n">
        <v>0</v>
      </c>
      <c r="AC175" s="32" t="n">
        <v>0</v>
      </c>
      <c r="AD175" s="3" t="n"/>
      <c r="AE175" s="31" t="n">
        <v>0</v>
      </c>
      <c r="AF175" s="2" t="n">
        <v>0</v>
      </c>
      <c r="AG175" s="2" t="n">
        <v>33</v>
      </c>
      <c r="AH175" s="4" t="n">
        <v>33</v>
      </c>
      <c r="AI175" s="33" t="n">
        <v>51.95</v>
      </c>
      <c r="AJ175" s="4" t="n">
        <v>4</v>
      </c>
      <c r="AK175" s="34" t="n">
        <v>0.1212</v>
      </c>
      <c r="AL175" s="34" t="n">
        <v>1</v>
      </c>
      <c r="AM175" s="2" t="n">
        <v>5366</v>
      </c>
    </row>
    <row r="176">
      <c r="A176">
        <f>HYPERLINK("https://www.walmart.com/ip/648820529", "648820529")</f>
        <v/>
      </c>
      <c r="B176">
        <f>HYPERLINK("https://app.optiwise.ai/catalog/itemdetails/418747", "Tirrinia Comfy Christmas Sherpa Throw Blanket, Red Buffalo Plaid, 50 x 60")</f>
        <v/>
      </c>
      <c r="C176" t="n">
        <v>6</v>
      </c>
      <c r="D176" t="inlineStr">
        <is>
          <t>B78691_1679960_C04771F6AC625787</t>
        </is>
      </c>
      <c r="E176" t="inlineStr">
        <is>
          <t>1TRBF567PRDGN-TBCB01</t>
        </is>
      </c>
      <c r="F176" t="n">
        <v>32</v>
      </c>
      <c r="G176" t="inlineStr">
        <is>
          <t>Bedding</t>
        </is>
      </c>
      <c r="H176" t="inlineStr">
        <is>
          <t>Throws</t>
        </is>
      </c>
      <c r="I176" t="inlineStr">
        <is>
          <t>Tirrinia</t>
        </is>
      </c>
      <c r="J176" t="n">
        <v>4.600000000000001</v>
      </c>
      <c r="K176" t="inlineStr">
        <is>
          <t>Optimized,Coupon_Discount</t>
        </is>
      </c>
      <c r="L176" s="29" t="n">
        <v>50.97</v>
      </c>
      <c r="M176" s="30" t="n">
        <v>0.0004</v>
      </c>
      <c r="N176" s="29" t="n">
        <v>16.98999977111816</v>
      </c>
      <c r="O176" s="29" t="n">
        <v>0</v>
      </c>
      <c r="P176" s="2" t="n">
        <v>3</v>
      </c>
      <c r="Q176" s="31" t="n">
        <v>52.3</v>
      </c>
      <c r="R176" s="32" t="n">
        <v>0.0063</v>
      </c>
      <c r="S176" s="32" t="n">
        <v>1.0261</v>
      </c>
      <c r="T176" s="32" t="n">
        <v>0.0371</v>
      </c>
      <c r="U176" s="31" t="n">
        <v>0</v>
      </c>
      <c r="V176" s="32" t="n">
        <v>0</v>
      </c>
      <c r="W176" s="31" t="n">
        <v>0</v>
      </c>
      <c r="X176" s="31" t="n">
        <v>0</v>
      </c>
      <c r="Y176" s="3" t="n">
        <v>130152</v>
      </c>
      <c r="Z176" s="3" t="n">
        <v>126</v>
      </c>
      <c r="AA176" s="32" t="n">
        <v>0.001</v>
      </c>
      <c r="AB176" s="3" t="n">
        <v>0</v>
      </c>
      <c r="AC176" s="32" t="n">
        <v>0</v>
      </c>
      <c r="AD176" s="3" t="inlineStr">
        <is>
          <t>,Throws_Auto_Optiwise_24</t>
        </is>
      </c>
      <c r="AE176" s="31" t="n">
        <v>0.42</v>
      </c>
      <c r="AF176" s="2" t="n">
        <v>432</v>
      </c>
      <c r="AG176" s="2" t="n">
        <v>180</v>
      </c>
      <c r="AH176" s="4" t="n">
        <v>126</v>
      </c>
      <c r="AI176" s="33" t="n">
        <v>50.97</v>
      </c>
      <c r="AJ176" s="4" t="n">
        <v>3</v>
      </c>
      <c r="AK176" s="34" t="n">
        <v>0.0238</v>
      </c>
      <c r="AL176" s="34" t="n">
        <v>1</v>
      </c>
      <c r="AM176" s="2" t="n">
        <v>7425</v>
      </c>
    </row>
    <row r="177">
      <c r="A177">
        <f>HYPERLINK("https://www.walmart.com/ip/643661221", "643661221")</f>
        <v/>
      </c>
      <c r="B177">
        <f>HYPERLINK("https://app.optiwise.ai/catalog/itemdetails/362451", "Kato 4 Glass and 2 Wine Bottle Holder, Wine Glass Hanging Drying Stand Organizer on Countertop with Free Corkscrew, Wine Rack, Bamboo")</f>
        <v/>
      </c>
      <c r="C177" t="n">
        <v>3</v>
      </c>
      <c r="D177" t="inlineStr">
        <is>
          <t>B78691_1680092_63A498217446EEA5</t>
        </is>
      </c>
      <c r="E177" t="inlineStr">
        <is>
          <t>1KTBR100</t>
        </is>
      </c>
      <c r="F177" t="n">
        <v>71</v>
      </c>
      <c r="G177" t="inlineStr">
        <is>
          <t>Home Decor, Kitchen, &amp; Other</t>
        </is>
      </c>
      <c r="H177" t="inlineStr">
        <is>
          <t>Wine Racks</t>
        </is>
      </c>
      <c r="I177" t="inlineStr">
        <is>
          <t>Kato</t>
        </is>
      </c>
      <c r="J177" t="n">
        <v>4.6</v>
      </c>
      <c r="K177" t="inlineStr">
        <is>
          <t>Wine,Q2-Target,Christmas,Optimized,Wine WFS,Valentine</t>
        </is>
      </c>
      <c r="L177" s="29" t="n">
        <v>49.98</v>
      </c>
      <c r="M177" s="30" t="n">
        <v>0.0004</v>
      </c>
      <c r="N177" s="29" t="n">
        <v>24.98999977111816</v>
      </c>
      <c r="O177" s="29" t="n">
        <v>0</v>
      </c>
      <c r="P177" s="2" t="n">
        <v>2</v>
      </c>
      <c r="Q177" s="31" t="n">
        <v>0</v>
      </c>
      <c r="R177" s="32" t="n"/>
      <c r="S177" s="32" t="n">
        <v>0</v>
      </c>
      <c r="T177" s="32" t="n">
        <v>0.0133</v>
      </c>
      <c r="U177" s="31" t="n">
        <v>0</v>
      </c>
      <c r="V177" s="32" t="n">
        <v>0</v>
      </c>
      <c r="W177" s="31" t="n">
        <v>0</v>
      </c>
      <c r="X177" s="31" t="n">
        <v>0</v>
      </c>
      <c r="Y177" s="3" t="n">
        <v>0</v>
      </c>
      <c r="Z177" s="3" t="n">
        <v>0</v>
      </c>
      <c r="AA177" s="32" t="n">
        <v>0</v>
      </c>
      <c r="AB177" s="3" t="n">
        <v>0</v>
      </c>
      <c r="AC177" s="32" t="n">
        <v>0</v>
      </c>
      <c r="AD177" s="3" t="n"/>
      <c r="AE177" s="31" t="n">
        <v>0</v>
      </c>
      <c r="AF177" s="2" t="n">
        <v>84</v>
      </c>
      <c r="AG177" s="2" t="n">
        <v>167</v>
      </c>
      <c r="AH177" s="4" t="n">
        <v>167</v>
      </c>
      <c r="AI177" s="33" t="n">
        <v>49.98</v>
      </c>
      <c r="AJ177" s="4" t="n">
        <v>2</v>
      </c>
      <c r="AK177" s="34" t="n">
        <v>0.012</v>
      </c>
      <c r="AL177" s="34" t="n">
        <v>1</v>
      </c>
      <c r="AM177" s="2" t="n">
        <v>6817</v>
      </c>
    </row>
    <row r="178">
      <c r="A178">
        <f>HYPERLINK("https://www.walmart.com/ip/714613908", "714613908")</f>
        <v/>
      </c>
      <c r="B178">
        <f>HYPERLINK("https://app.optiwise.ai/catalog/itemdetails/360364", "Unisex Safari Sun Hat Wide Brim Boonie Cap with Adjustable Drawstring and Removable Bucket Crown for Camping Hiking Fishing Hunting Boating")</f>
        <v/>
      </c>
      <c r="C178" t="n">
        <v>2</v>
      </c>
      <c r="D178" t="inlineStr">
        <is>
          <t>B78691_1639414_8D998B4BF4008D2B</t>
        </is>
      </c>
      <c r="E178" t="inlineStr">
        <is>
          <t>1TRSH895OL-TBCB</t>
        </is>
      </c>
      <c r="F178" t="n">
        <v>2</v>
      </c>
      <c r="G178" t="inlineStr">
        <is>
          <t>Clothing</t>
        </is>
      </c>
      <c r="H178" t="inlineStr">
        <is>
          <t>Hats</t>
        </is>
      </c>
      <c r="I178" t="inlineStr">
        <is>
          <t>Tirrinia</t>
        </is>
      </c>
      <c r="J178" t="n">
        <v>5</v>
      </c>
      <c r="K178" t="inlineStr">
        <is>
          <t>Hats,Batch 1 - TR</t>
        </is>
      </c>
      <c r="L178" s="29" t="n">
        <v>49.95</v>
      </c>
      <c r="M178" s="30" t="n">
        <v>0.0004</v>
      </c>
      <c r="N178" s="29" t="n">
        <v>9.989999771118164</v>
      </c>
      <c r="O178" s="29" t="n">
        <v>0</v>
      </c>
      <c r="P178" s="2" t="n">
        <v>5</v>
      </c>
      <c r="Q178" s="31" t="n">
        <v>0</v>
      </c>
      <c r="R178" s="32" t="n"/>
      <c r="S178" s="32" t="n">
        <v>0</v>
      </c>
      <c r="T178" s="32" t="n">
        <v>0</v>
      </c>
      <c r="U178" s="31" t="n">
        <v>0</v>
      </c>
      <c r="V178" s="32" t="n">
        <v>0</v>
      </c>
      <c r="W178" s="31" t="n">
        <v>0</v>
      </c>
      <c r="X178" s="31" t="n">
        <v>0</v>
      </c>
      <c r="Y178" s="3" t="n">
        <v>0</v>
      </c>
      <c r="Z178" s="3" t="n">
        <v>0</v>
      </c>
      <c r="AA178" s="32" t="n">
        <v>0</v>
      </c>
      <c r="AB178" s="3" t="n">
        <v>0</v>
      </c>
      <c r="AC178" s="32" t="n">
        <v>0</v>
      </c>
      <c r="AD178" s="3" t="n"/>
      <c r="AE178" s="31" t="n">
        <v>0</v>
      </c>
      <c r="AF178" s="2" t="n">
        <v>0</v>
      </c>
      <c r="AG178" s="2" t="n">
        <v>78</v>
      </c>
      <c r="AH178" s="4" t="n">
        <v>78</v>
      </c>
      <c r="AI178" s="33" t="n">
        <v>49.95</v>
      </c>
      <c r="AJ178" s="4" t="n">
        <v>5</v>
      </c>
      <c r="AK178" s="34" t="n">
        <v>0.0641</v>
      </c>
      <c r="AL178" s="34" t="n">
        <v>1</v>
      </c>
      <c r="AM178" s="2" t="n">
        <v>5400</v>
      </c>
    </row>
    <row r="179">
      <c r="A179">
        <f>HYPERLINK("https://www.walmart.com/ip/441047812", "441047812")</f>
        <v/>
      </c>
      <c r="B179">
        <f>HYPERLINK("https://app.optiwise.ai/catalog/itemdetails/360956", "Oversized Hoodie Blanket Sweatshirt Sherpa")</f>
        <v/>
      </c>
      <c r="C179" t="n">
        <v>1</v>
      </c>
      <c r="D179" t="inlineStr">
        <is>
          <t>B78691_1681477_5740389959E9E6FC</t>
        </is>
      </c>
      <c r="E179" t="inlineStr">
        <is>
          <t>1CTOSH400CAT-BK</t>
        </is>
      </c>
      <c r="F179" t="n">
        <v>6</v>
      </c>
      <c r="G179" t="inlineStr">
        <is>
          <t>Clothing</t>
        </is>
      </c>
      <c r="H179" t="inlineStr">
        <is>
          <t>Sweatshirts &amp; Hoodies</t>
        </is>
      </c>
      <c r="I179" t="inlineStr">
        <is>
          <t>Catalonia</t>
        </is>
      </c>
      <c r="J179" t="n">
        <v>5</v>
      </c>
      <c r="K179" t="inlineStr">
        <is>
          <t>Hoodie ForAdult,Optimized</t>
        </is>
      </c>
      <c r="L179" s="29" t="n">
        <v>48.99</v>
      </c>
      <c r="M179" s="30" t="n">
        <v>0.0004</v>
      </c>
      <c r="N179" s="29" t="n">
        <v>0</v>
      </c>
      <c r="O179" s="29" t="n">
        <v>0</v>
      </c>
      <c r="P179" s="2" t="n">
        <v>1</v>
      </c>
      <c r="Q179" s="31" t="n">
        <v>0</v>
      </c>
      <c r="R179" s="32" t="n"/>
      <c r="S179" s="32" t="n">
        <v>0</v>
      </c>
      <c r="T179" s="32" t="n">
        <v>0</v>
      </c>
      <c r="U179" s="31" t="n">
        <v>0</v>
      </c>
      <c r="V179" s="32" t="n">
        <v>0</v>
      </c>
      <c r="W179" s="31" t="n">
        <v>0</v>
      </c>
      <c r="X179" s="31" t="n">
        <v>0</v>
      </c>
      <c r="Y179" s="3" t="n">
        <v>0</v>
      </c>
      <c r="Z179" s="3" t="n">
        <v>0</v>
      </c>
      <c r="AA179" s="32" t="n">
        <v>0</v>
      </c>
      <c r="AB179" s="3" t="n">
        <v>0</v>
      </c>
      <c r="AC179" s="32" t="n">
        <v>0</v>
      </c>
      <c r="AD179" s="3" t="n"/>
      <c r="AE179" s="31" t="n">
        <v>0</v>
      </c>
      <c r="AF179" s="2" t="n">
        <v>0</v>
      </c>
      <c r="AG179" s="2" t="n">
        <v>14</v>
      </c>
      <c r="AH179" s="4" t="n">
        <v>14</v>
      </c>
      <c r="AI179" s="33" t="n">
        <v>48.99</v>
      </c>
      <c r="AJ179" s="4" t="n">
        <v>1</v>
      </c>
      <c r="AK179" s="34" t="n">
        <v>0.07140000000000001</v>
      </c>
      <c r="AL179" s="34" t="n">
        <v>1</v>
      </c>
      <c r="AM179" s="2" t="n">
        <v>13500</v>
      </c>
    </row>
    <row r="180">
      <c r="A180">
        <f>HYPERLINK("https://www.walmart.com/ip/779044410", "779044410")</f>
        <v/>
      </c>
      <c r="B180">
        <f>HYPERLINK("https://app.optiwise.ai/catalog/itemdetails/362101", "Tirrinia Single Wine Tote Bag, Insulated Padded Thermal Wine Bottle Carrying Cooler Carrier for Travel, Picnic, Perfect Gift for Wine Lover, Canvas Beige")</f>
        <v/>
      </c>
      <c r="C180" t="n">
        <v>6</v>
      </c>
      <c r="D180" t="inlineStr">
        <is>
          <t>B78691_1681797_74BF25B31FFC1036</t>
        </is>
      </c>
      <c r="E180" t="inlineStr">
        <is>
          <t>1KTWB100BG</t>
        </is>
      </c>
      <c r="F180" t="n">
        <v>10</v>
      </c>
      <c r="G180" t="inlineStr">
        <is>
          <t>Home Decor, Kitchen, &amp; Other</t>
        </is>
      </c>
      <c r="H180" t="inlineStr">
        <is>
          <t>Wine Totes, Bags &amp; Backpacks</t>
        </is>
      </c>
      <c r="I180" t="inlineStr">
        <is>
          <t>Tirrinia</t>
        </is>
      </c>
      <c r="J180" t="n">
        <v>5</v>
      </c>
      <c r="K180" t="inlineStr">
        <is>
          <t>Wine,Christmas,WFS,Wine WFS,Valentine,SEM,WFS Item</t>
        </is>
      </c>
      <c r="L180" s="29" t="n">
        <v>48.95999999999999</v>
      </c>
      <c r="M180" s="30" t="n">
        <v>0.0004</v>
      </c>
      <c r="N180" s="29" t="n">
        <v>9.989999771118164</v>
      </c>
      <c r="O180" s="29" t="n">
        <v>0</v>
      </c>
      <c r="P180" s="2" t="n">
        <v>4</v>
      </c>
      <c r="Q180" s="31" t="n">
        <v>18.15</v>
      </c>
      <c r="R180" s="32" t="n">
        <v>0.0022</v>
      </c>
      <c r="S180" s="32" t="n">
        <v>0.3707</v>
      </c>
      <c r="T180" s="32" t="n">
        <v>0.1058</v>
      </c>
      <c r="U180" s="31" t="n">
        <v>2.09</v>
      </c>
      <c r="V180" s="32" t="n">
        <v>0.48</v>
      </c>
      <c r="W180" s="31" t="n">
        <v>37.97</v>
      </c>
      <c r="X180" s="31" t="n">
        <v>11.99</v>
      </c>
      <c r="Y180" s="3" t="n">
        <v>16643</v>
      </c>
      <c r="Z180" s="3" t="n">
        <v>31</v>
      </c>
      <c r="AA180" s="32" t="n">
        <v>0.0019</v>
      </c>
      <c r="AB180" s="3" t="n">
        <v>3</v>
      </c>
      <c r="AC180" s="32" t="n">
        <v>0.0968</v>
      </c>
      <c r="AD180" s="3" t="inlineStr">
        <is>
          <t>Auto Campaign_Vinay,</t>
        </is>
      </c>
      <c r="AE180" s="31" t="n">
        <v>0.59</v>
      </c>
      <c r="AF180" s="2" t="n">
        <v>0</v>
      </c>
      <c r="AG180" s="2" t="n">
        <v>199</v>
      </c>
      <c r="AH180" s="4" t="n">
        <v>168</v>
      </c>
      <c r="AI180" s="33" t="n">
        <v>10.98999999999999</v>
      </c>
      <c r="AJ180" s="4" t="n">
        <v>1</v>
      </c>
      <c r="AK180" s="34" t="n">
        <v>0.006</v>
      </c>
      <c r="AL180" s="34" t="n">
        <v>0.2245</v>
      </c>
      <c r="AM180" s="2" t="n">
        <v>20250</v>
      </c>
    </row>
    <row r="181">
      <c r="A181">
        <f>HYPERLINK("https://www.walmart.com/ip/868651793", "868651793")</f>
        <v/>
      </c>
      <c r="B181">
        <f>HYPERLINK("https://app.optiwise.ai/catalog/itemdetails/373318", "Sherpa Wearable Blanket with Sleeves Arms, Super Soft Warm Comfy Large Fleece Plush Sleeved TV Throws Wrap Robe Blanket for Adult Women and Men by Catalonia")</f>
        <v/>
      </c>
      <c r="C181" t="n">
        <v>5</v>
      </c>
      <c r="D181" t="inlineStr">
        <is>
          <t>B78691_1681324_5C9BB2671E1E9004</t>
        </is>
      </c>
      <c r="E181" t="inlineStr">
        <is>
          <t>1CTSN210BL</t>
        </is>
      </c>
      <c r="F181" t="n">
        <v>1</v>
      </c>
      <c r="G181" t="inlineStr">
        <is>
          <t>Bedding</t>
        </is>
      </c>
      <c r="H181" t="inlineStr">
        <is>
          <t>Throws</t>
        </is>
      </c>
      <c r="I181" t="inlineStr">
        <is>
          <t>Catalonia</t>
        </is>
      </c>
      <c r="K181" t="inlineStr">
        <is>
          <t>Q2-Target,Coupon_Discount,Batch 1 - TR</t>
        </is>
      </c>
      <c r="L181" s="29" t="n">
        <v>47.99</v>
      </c>
      <c r="M181" s="30" t="n">
        <v>0.0004</v>
      </c>
      <c r="N181" s="29" t="n">
        <v>0</v>
      </c>
      <c r="O181" s="29" t="n">
        <v>0</v>
      </c>
      <c r="P181" s="2" t="n">
        <v>1</v>
      </c>
      <c r="Q181" s="31" t="n">
        <v>0</v>
      </c>
      <c r="R181" s="32" t="n"/>
      <c r="S181" s="32" t="n">
        <v>0</v>
      </c>
      <c r="T181" s="32" t="n">
        <v>0</v>
      </c>
      <c r="U181" s="31" t="n">
        <v>0</v>
      </c>
      <c r="V181" s="32" t="n">
        <v>0</v>
      </c>
      <c r="W181" s="31" t="n">
        <v>0</v>
      </c>
      <c r="X181" s="31" t="n">
        <v>0</v>
      </c>
      <c r="Y181" s="3" t="n">
        <v>0</v>
      </c>
      <c r="Z181" s="3" t="n">
        <v>0</v>
      </c>
      <c r="AA181" s="32" t="n">
        <v>0</v>
      </c>
      <c r="AB181" s="3" t="n">
        <v>0</v>
      </c>
      <c r="AC181" s="32" t="n">
        <v>0</v>
      </c>
      <c r="AD181" s="3" t="n"/>
      <c r="AE181" s="31" t="n">
        <v>0</v>
      </c>
      <c r="AF181" s="2" t="n">
        <v>0</v>
      </c>
      <c r="AG181" s="2" t="n">
        <v>104</v>
      </c>
      <c r="AH181" s="4" t="n">
        <v>104</v>
      </c>
      <c r="AI181" s="33" t="n">
        <v>47.99</v>
      </c>
      <c r="AJ181" s="4" t="n">
        <v>1</v>
      </c>
      <c r="AK181" s="34" t="n">
        <v>0.009599999999999999</v>
      </c>
      <c r="AL181" s="34" t="n">
        <v>1</v>
      </c>
      <c r="AM181" s="2" t="n">
        <v>57240</v>
      </c>
    </row>
    <row r="182">
      <c r="A182">
        <f>HYPERLINK("https://www.walmart.com/ip/944975761", "944975761")</f>
        <v/>
      </c>
      <c r="B182">
        <f>HYPERLINK("https://app.optiwise.ai/catalog/itemdetails/362113", "Mermaid Hooded Bath Towel for 2 to 6 Years Girl,100% Cotton Water Absorption Beach Poncho Swim Changing Robe, Sand Proof")</f>
        <v/>
      </c>
      <c r="C182" t="n">
        <v>2</v>
      </c>
      <c r="D182" t="inlineStr">
        <is>
          <t>B78691_1639562_BA346D0D7031C3F1</t>
        </is>
      </c>
      <c r="E182" t="inlineStr">
        <is>
          <t>1CTBR200MM-ESCB</t>
        </is>
      </c>
      <c r="F182" t="n">
        <v>7</v>
      </c>
      <c r="G182" t="inlineStr">
        <is>
          <t>Home Decor, Kitchen, &amp; Other</t>
        </is>
      </c>
      <c r="H182" t="inlineStr">
        <is>
          <t>Towels &amp; Washcloths</t>
        </is>
      </c>
      <c r="I182" t="inlineStr">
        <is>
          <t>Catalonia</t>
        </is>
      </c>
      <c r="J182" t="n">
        <v>4.7</v>
      </c>
      <c r="K182" t="inlineStr">
        <is>
          <t>Baby days,Beach Robe Camp</t>
        </is>
      </c>
      <c r="L182" s="29" t="n">
        <v>47.97</v>
      </c>
      <c r="M182" s="30" t="n">
        <v>0.0004</v>
      </c>
      <c r="N182" s="29" t="n">
        <v>0</v>
      </c>
      <c r="O182" s="29" t="n">
        <v>0</v>
      </c>
      <c r="P182" s="2" t="n">
        <v>3</v>
      </c>
      <c r="Q182" s="31" t="n">
        <v>0</v>
      </c>
      <c r="R182" s="32" t="n"/>
      <c r="S182" s="32" t="n">
        <v>0</v>
      </c>
      <c r="T182" s="32" t="n">
        <v>0</v>
      </c>
      <c r="U182" s="31" t="n">
        <v>0</v>
      </c>
      <c r="V182" s="32" t="n">
        <v>0</v>
      </c>
      <c r="W182" s="31" t="n">
        <v>0</v>
      </c>
      <c r="X182" s="31" t="n">
        <v>0</v>
      </c>
      <c r="Y182" s="3" t="n">
        <v>0</v>
      </c>
      <c r="Z182" s="3" t="n">
        <v>0</v>
      </c>
      <c r="AA182" s="32" t="n">
        <v>0</v>
      </c>
      <c r="AB182" s="3" t="n">
        <v>0</v>
      </c>
      <c r="AC182" s="32" t="n">
        <v>0</v>
      </c>
      <c r="AD182" s="3" t="n"/>
      <c r="AE182" s="31" t="n">
        <v>0</v>
      </c>
      <c r="AF182" s="2" t="n">
        <v>0</v>
      </c>
      <c r="AG182" s="2" t="n">
        <v>156</v>
      </c>
      <c r="AH182" s="4" t="n">
        <v>156</v>
      </c>
      <c r="AI182" s="33" t="n">
        <v>47.97</v>
      </c>
      <c r="AJ182" s="4" t="n">
        <v>3</v>
      </c>
      <c r="AK182" s="34" t="n">
        <v>0.0192</v>
      </c>
      <c r="AL182" s="34" t="n">
        <v>1</v>
      </c>
      <c r="AM182" s="2" t="n">
        <v>7785</v>
      </c>
    </row>
    <row r="183">
      <c r="A183">
        <f>HYPERLINK("https://www.walmart.com/ip/115573533", "115573533")</f>
        <v/>
      </c>
      <c r="B183">
        <f>HYPERLINK("https://app.optiwise.ai/catalog/itemdetails/362636", "JenniWears Women's Intimate Fishnet Bodystocking Chemise Lingerie Dress")</f>
        <v/>
      </c>
      <c r="C183" t="n">
        <v>4</v>
      </c>
      <c r="D183" t="inlineStr">
        <is>
          <t>B78691_979716_DEE15F858BD7F4E4</t>
        </is>
      </c>
      <c r="E183" t="inlineStr">
        <is>
          <t>JWBS8817</t>
        </is>
      </c>
      <c r="F183" t="n">
        <v>2</v>
      </c>
      <c r="G183" t="inlineStr">
        <is>
          <t>Clothing</t>
        </is>
      </c>
      <c r="H183" t="inlineStr">
        <is>
          <t>Teddies &amp; Bodystockings</t>
        </is>
      </c>
      <c r="I183" t="inlineStr">
        <is>
          <t>JenniWears</t>
        </is>
      </c>
      <c r="J183" t="n">
        <v>5</v>
      </c>
      <c r="K183" t="inlineStr">
        <is>
          <t>Valentine</t>
        </is>
      </c>
      <c r="L183" s="29" t="n">
        <v>47.88</v>
      </c>
      <c r="M183" s="30" t="n">
        <v>0.0004</v>
      </c>
      <c r="N183" s="29" t="n">
        <v>0</v>
      </c>
      <c r="O183" s="29" t="n">
        <v>0</v>
      </c>
      <c r="P183" s="2" t="n">
        <v>6</v>
      </c>
      <c r="Q183" s="31" t="n">
        <v>0</v>
      </c>
      <c r="R183" s="32" t="n"/>
      <c r="S183" s="32" t="n">
        <v>0</v>
      </c>
      <c r="T183" s="32" t="n">
        <v>0</v>
      </c>
      <c r="U183" s="31" t="n">
        <v>0</v>
      </c>
      <c r="V183" s="32" t="n">
        <v>0</v>
      </c>
      <c r="W183" s="31" t="n">
        <v>0</v>
      </c>
      <c r="X183" s="31" t="n">
        <v>0</v>
      </c>
      <c r="Y183" s="3" t="n">
        <v>0</v>
      </c>
      <c r="Z183" s="3" t="n">
        <v>0</v>
      </c>
      <c r="AA183" s="32" t="n">
        <v>0</v>
      </c>
      <c r="AB183" s="3" t="n">
        <v>0</v>
      </c>
      <c r="AC183" s="32" t="n">
        <v>0</v>
      </c>
      <c r="AD183" s="3" t="n"/>
      <c r="AE183" s="31" t="n">
        <v>0</v>
      </c>
      <c r="AF183" s="2" t="n">
        <v>0</v>
      </c>
      <c r="AG183" s="2" t="n">
        <v>143</v>
      </c>
      <c r="AH183" s="4" t="n">
        <v>143</v>
      </c>
      <c r="AI183" s="33" t="n">
        <v>47.88</v>
      </c>
      <c r="AJ183" s="4" t="n">
        <v>6</v>
      </c>
      <c r="AK183" s="34" t="n">
        <v>0.042</v>
      </c>
      <c r="AL183" s="34" t="n">
        <v>1</v>
      </c>
      <c r="AM183" s="2" t="n">
        <v>9000</v>
      </c>
    </row>
    <row r="184">
      <c r="A184">
        <f>HYPERLINK("https://www.walmart.com/ip/14485554639", "14485554639")</f>
        <v/>
      </c>
      <c r="B184">
        <f>HYPERLINK("https://app.optiwise.ai/catalog/itemdetails/13057963", "Catalonia Women's Blanket Hoodie Sweatshirt, Cozy Comfortable Fluffy Soft Fleece Lounging Pullover, Warm Fleece Hooded with Pockets Gift,  Ombre Blue")</f>
        <v/>
      </c>
      <c r="C184" t="inlineStr">
        <is>
          <t>-</t>
        </is>
      </c>
      <c r="E184" t="inlineStr">
        <is>
          <t>1CTOSH330BL-FS</t>
        </is>
      </c>
      <c r="F184" t="n">
        <v>0</v>
      </c>
      <c r="G184" t="inlineStr">
        <is>
          <t>Clothing</t>
        </is>
      </c>
      <c r="H184" t="inlineStr">
        <is>
          <t>Sweatshirts &amp; Hoodies</t>
        </is>
      </c>
      <c r="I184" t="inlineStr">
        <is>
          <t>Catalonia</t>
        </is>
      </c>
      <c r="L184" s="29" t="n">
        <v>44.98</v>
      </c>
      <c r="M184" s="30" t="n">
        <v>0.0004</v>
      </c>
      <c r="N184" s="29" t="n">
        <v>0</v>
      </c>
      <c r="O184" s="29" t="n">
        <v>0</v>
      </c>
      <c r="P184" s="2" t="n">
        <v>1</v>
      </c>
      <c r="Q184" s="31" t="n">
        <v>0</v>
      </c>
      <c r="R184" s="32" t="n"/>
      <c r="S184" s="32" t="n">
        <v>0</v>
      </c>
      <c r="T184" s="32" t="n">
        <v>0</v>
      </c>
      <c r="U184" s="31" t="n">
        <v>0</v>
      </c>
      <c r="V184" s="32" t="n">
        <v>0</v>
      </c>
      <c r="W184" s="31" t="n">
        <v>0</v>
      </c>
      <c r="X184" s="31" t="n">
        <v>0</v>
      </c>
      <c r="Y184" s="3" t="n">
        <v>0</v>
      </c>
      <c r="Z184" s="3" t="n">
        <v>0</v>
      </c>
      <c r="AA184" s="32" t="n">
        <v>0</v>
      </c>
      <c r="AB184" s="3" t="n">
        <v>0</v>
      </c>
      <c r="AC184" s="32" t="n">
        <v>0</v>
      </c>
      <c r="AD184" s="3" t="n"/>
      <c r="AE184" s="31" t="n">
        <v>0</v>
      </c>
      <c r="AF184" s="2" t="n">
        <v>0</v>
      </c>
      <c r="AG184" s="2" t="n">
        <v>9</v>
      </c>
      <c r="AH184" s="4" t="n">
        <v>9</v>
      </c>
      <c r="AI184" s="33" t="n">
        <v>44.98</v>
      </c>
      <c r="AJ184" s="4" t="n">
        <v>1</v>
      </c>
      <c r="AK184" s="34" t="n">
        <v>0.1111</v>
      </c>
      <c r="AL184" s="34" t="n">
        <v>1</v>
      </c>
      <c r="AM184" s="2" t="n">
        <v>1755</v>
      </c>
    </row>
    <row r="185">
      <c r="A185">
        <f>HYPERLINK("https://www.walmart.com/ip/111372747", "111372747")</f>
        <v/>
      </c>
      <c r="B185">
        <f>HYPERLINK("https://app.optiwise.ai/catalog/itemdetails/361464", "KritterWorld® Pet Dog Cat Puppy Kitten Microplush Sherpa Snuggle Blanket for Couch, Car, Trunk, Cage, Kennel, Dog House, 45 x30 Chocolate")</f>
        <v/>
      </c>
      <c r="C185" t="n">
        <v>5</v>
      </c>
      <c r="D185" t="inlineStr">
        <is>
          <t>B78691_974080_5C9BB2671E1E9004</t>
        </is>
      </c>
      <c r="E185" t="inlineStr">
        <is>
          <t>dog3045-chocolate</t>
        </is>
      </c>
      <c r="F185" t="n">
        <v>0</v>
      </c>
      <c r="G185" t="inlineStr">
        <is>
          <t>Animal Accessories</t>
        </is>
      </c>
      <c r="H185" t="inlineStr">
        <is>
          <t>Pet Blankets</t>
        </is>
      </c>
      <c r="I185" t="inlineStr">
        <is>
          <t>KritterWorld</t>
        </is>
      </c>
      <c r="K185" t="inlineStr">
        <is>
          <t>Batch 1 - TR</t>
        </is>
      </c>
      <c r="L185" s="29" t="n">
        <v>43.98</v>
      </c>
      <c r="M185" s="30" t="n">
        <v>0.0004</v>
      </c>
      <c r="N185" s="29" t="n">
        <v>0</v>
      </c>
      <c r="O185" s="29" t="n">
        <v>0</v>
      </c>
      <c r="P185" s="2" t="n">
        <v>2</v>
      </c>
      <c r="Q185" s="31" t="n">
        <v>0</v>
      </c>
      <c r="R185" s="32" t="n"/>
      <c r="S185" s="32" t="n">
        <v>0</v>
      </c>
      <c r="T185" s="32" t="n">
        <v>0</v>
      </c>
      <c r="U185" s="31" t="n">
        <v>0</v>
      </c>
      <c r="V185" s="32" t="n">
        <v>0</v>
      </c>
      <c r="W185" s="31" t="n">
        <v>0</v>
      </c>
      <c r="X185" s="31" t="n">
        <v>0</v>
      </c>
      <c r="Y185" s="3" t="n">
        <v>0</v>
      </c>
      <c r="Z185" s="3" t="n">
        <v>0</v>
      </c>
      <c r="AA185" s="32" t="n">
        <v>0</v>
      </c>
      <c r="AB185" s="3" t="n">
        <v>0</v>
      </c>
      <c r="AC185" s="32" t="n">
        <v>0</v>
      </c>
      <c r="AD185" s="3" t="n"/>
      <c r="AE185" s="31" t="n">
        <v>0</v>
      </c>
      <c r="AF185" s="2" t="n">
        <v>0</v>
      </c>
      <c r="AG185" s="2" t="n">
        <v>38</v>
      </c>
      <c r="AH185" s="4" t="n">
        <v>38</v>
      </c>
      <c r="AI185" s="33" t="n">
        <v>43.98</v>
      </c>
      <c r="AJ185" s="4" t="n">
        <v>2</v>
      </c>
      <c r="AK185" s="34" t="n">
        <v>0.0526</v>
      </c>
      <c r="AL185" s="34" t="n">
        <v>1</v>
      </c>
      <c r="AM185" s="2" t="n">
        <v>23355</v>
      </c>
    </row>
    <row r="186">
      <c r="A186">
        <f>HYPERLINK("https://www.walmart.com/ip/885342309", "885342309")</f>
        <v/>
      </c>
      <c r="B186">
        <f>HYPERLINK("https://app.optiwise.ai/catalog/itemdetails/362741", "Microplush Sherpa Blanket with Sleeves for Women and Men Grey")</f>
        <v/>
      </c>
      <c r="C186" t="n">
        <v>8</v>
      </c>
      <c r="D186" t="inlineStr">
        <is>
          <t>B78691_1639302_AD75BB618D724419</t>
        </is>
      </c>
      <c r="E186" t="inlineStr">
        <is>
          <t>1TNSN110GY-TPB</t>
        </is>
      </c>
      <c r="F186" t="n">
        <v>1</v>
      </c>
      <c r="G186" t="inlineStr">
        <is>
          <t>Bedding</t>
        </is>
      </c>
      <c r="H186" t="inlineStr">
        <is>
          <t>Throws</t>
        </is>
      </c>
      <c r="I186" t="inlineStr">
        <is>
          <t>Terrania</t>
        </is>
      </c>
      <c r="J186" t="n">
        <v>5</v>
      </c>
      <c r="L186" s="29" t="n">
        <v>42.99</v>
      </c>
      <c r="M186" s="30" t="n">
        <v>0.0004</v>
      </c>
      <c r="N186" s="29" t="n">
        <v>0</v>
      </c>
      <c r="O186" s="29" t="n">
        <v>0</v>
      </c>
      <c r="P186" s="2" t="n">
        <v>1</v>
      </c>
      <c r="Q186" s="31" t="n">
        <v>0</v>
      </c>
      <c r="R186" s="32" t="n"/>
      <c r="S186" s="32" t="n">
        <v>0</v>
      </c>
      <c r="T186" s="32" t="n">
        <v>0</v>
      </c>
      <c r="U186" s="31" t="n">
        <v>0</v>
      </c>
      <c r="V186" s="32" t="n">
        <v>0</v>
      </c>
      <c r="W186" s="31" t="n">
        <v>0</v>
      </c>
      <c r="X186" s="31" t="n">
        <v>0</v>
      </c>
      <c r="Y186" s="3" t="n">
        <v>0</v>
      </c>
      <c r="Z186" s="3" t="n">
        <v>0</v>
      </c>
      <c r="AA186" s="32" t="n">
        <v>0</v>
      </c>
      <c r="AB186" s="3" t="n">
        <v>0</v>
      </c>
      <c r="AC186" s="32" t="n">
        <v>0</v>
      </c>
      <c r="AD186" s="3" t="n"/>
      <c r="AE186" s="31" t="n">
        <v>0</v>
      </c>
      <c r="AF186" s="2" t="n">
        <v>0</v>
      </c>
      <c r="AG186" s="2" t="n">
        <v>43</v>
      </c>
      <c r="AH186" s="4" t="n">
        <v>43</v>
      </c>
      <c r="AI186" s="33" t="n">
        <v>42.99</v>
      </c>
      <c r="AJ186" s="4" t="n">
        <v>1</v>
      </c>
      <c r="AK186" s="34" t="n">
        <v>0.0233</v>
      </c>
      <c r="AL186" s="34" t="n">
        <v>1</v>
      </c>
      <c r="AM186" s="2" t="n">
        <v>77490</v>
      </c>
    </row>
    <row r="187">
      <c r="A187">
        <f>HYPERLINK("https://www.walmart.com/ip/14472471094", "14472471094")</f>
        <v/>
      </c>
      <c r="B187">
        <f>HYPERLINK("https://app.optiwise.ai/catalog/itemdetails/13057975", "Catalonia Oversized Blanket Hoodie Sweatshirt, Fleece Hooded Lounging Pullover with Giant Pocket, Birthday Gifts Christmas Gifts, Red Plaid")</f>
        <v/>
      </c>
      <c r="C187" t="inlineStr">
        <is>
          <t>-</t>
        </is>
      </c>
      <c r="E187" t="inlineStr">
        <is>
          <t>1CTOSH300PRD-FS</t>
        </is>
      </c>
      <c r="F187" t="n">
        <v>0</v>
      </c>
      <c r="G187" t="inlineStr">
        <is>
          <t>Clothing</t>
        </is>
      </c>
      <c r="H187" t="inlineStr">
        <is>
          <t>Sweatshirts &amp; Hoodies</t>
        </is>
      </c>
      <c r="I187" t="inlineStr">
        <is>
          <t>Catalonia</t>
        </is>
      </c>
      <c r="L187" s="29" t="n">
        <v>42.99</v>
      </c>
      <c r="M187" s="30" t="n">
        <v>0.0004</v>
      </c>
      <c r="N187" s="29" t="n">
        <v>0</v>
      </c>
      <c r="O187" s="29" t="n">
        <v>0</v>
      </c>
      <c r="P187" s="2" t="n">
        <v>1</v>
      </c>
      <c r="Q187" s="31" t="n">
        <v>0</v>
      </c>
      <c r="R187" s="32" t="n"/>
      <c r="S187" s="32" t="n">
        <v>0</v>
      </c>
      <c r="T187" s="32" t="n">
        <v>0</v>
      </c>
      <c r="U187" s="31" t="n">
        <v>0</v>
      </c>
      <c r="V187" s="32" t="n">
        <v>0</v>
      </c>
      <c r="W187" s="31" t="n">
        <v>0</v>
      </c>
      <c r="X187" s="31" t="n">
        <v>0</v>
      </c>
      <c r="Y187" s="3" t="n">
        <v>0</v>
      </c>
      <c r="Z187" s="3" t="n">
        <v>0</v>
      </c>
      <c r="AA187" s="32" t="n">
        <v>0</v>
      </c>
      <c r="AB187" s="3" t="n">
        <v>0</v>
      </c>
      <c r="AC187" s="32" t="n">
        <v>0</v>
      </c>
      <c r="AD187" s="3" t="n"/>
      <c r="AE187" s="31" t="n">
        <v>0</v>
      </c>
      <c r="AF187" s="2" t="n">
        <v>0</v>
      </c>
      <c r="AG187" s="2" t="n">
        <v>3</v>
      </c>
      <c r="AH187" s="4" t="n">
        <v>3</v>
      </c>
      <c r="AI187" s="33" t="n">
        <v>42.99</v>
      </c>
      <c r="AJ187" s="4" t="n">
        <v>1</v>
      </c>
      <c r="AK187" s="34" t="n">
        <v>0.3333</v>
      </c>
      <c r="AL187" s="34" t="n">
        <v>1</v>
      </c>
      <c r="AM187" s="2" t="n">
        <v>7155</v>
      </c>
    </row>
    <row r="188">
      <c r="A188">
        <f>HYPERLINK("https://www.walmart.com/ip/556839284", "556839284")</f>
        <v/>
      </c>
      <c r="B188">
        <f>HYPERLINK("https://app.optiwise.ai/catalog/itemdetails/360430", "Flyingstar Woman Sweatshirt Dress, Casual Ladies Pullover, Juniors Hoodie Dress with Kangaroo Pocket, One Size, Black")</f>
        <v/>
      </c>
      <c r="C188" t="n">
        <v>4</v>
      </c>
      <c r="D188" t="inlineStr">
        <is>
          <t>B78691_1680160_E10D358C55C0255B</t>
        </is>
      </c>
      <c r="E188" t="inlineStr">
        <is>
          <t>1WMHD530S1BK</t>
        </is>
      </c>
      <c r="F188" t="n">
        <v>3</v>
      </c>
      <c r="G188" t="inlineStr">
        <is>
          <t>Clothing</t>
        </is>
      </c>
      <c r="H188" t="inlineStr">
        <is>
          <t>Sweatshirts &amp; Hoodies</t>
        </is>
      </c>
      <c r="I188" t="inlineStr">
        <is>
          <t>Flyingstar</t>
        </is>
      </c>
      <c r="J188" t="n">
        <v>5</v>
      </c>
      <c r="K188" t="inlineStr">
        <is>
          <t>Hoodie ForAdult,Optimized</t>
        </is>
      </c>
      <c r="L188" s="29" t="n">
        <v>41.97</v>
      </c>
      <c r="M188" s="30" t="n">
        <v>0.0004</v>
      </c>
      <c r="N188" s="29" t="n">
        <v>27.97999954223633</v>
      </c>
      <c r="O188" s="29" t="n">
        <v>0</v>
      </c>
      <c r="P188" s="2" t="n">
        <v>3</v>
      </c>
      <c r="Q188" s="31" t="n">
        <v>25.73</v>
      </c>
      <c r="R188" s="32" t="n">
        <v>0.0031</v>
      </c>
      <c r="S188" s="32" t="n">
        <v>0.6131</v>
      </c>
      <c r="T188" s="32" t="n">
        <v>0.874</v>
      </c>
      <c r="U188" s="31" t="n">
        <v>0.54</v>
      </c>
      <c r="V188" s="32" t="n">
        <v>1.84</v>
      </c>
      <c r="W188" s="31" t="n">
        <v>13.99</v>
      </c>
      <c r="X188" s="31" t="n">
        <v>13.99</v>
      </c>
      <c r="Y188" s="3" t="n">
        <v>14377</v>
      </c>
      <c r="Z188" s="3" t="n">
        <v>78</v>
      </c>
      <c r="AA188" s="32" t="n">
        <v>0.0054</v>
      </c>
      <c r="AB188" s="3" t="n">
        <v>1</v>
      </c>
      <c r="AC188" s="32" t="n">
        <v>0.0128</v>
      </c>
      <c r="AD188" s="3" t="inlineStr">
        <is>
          <t>,Hoodies_Auto</t>
        </is>
      </c>
      <c r="AE188" s="31" t="n">
        <v>0.33</v>
      </c>
      <c r="AF188" s="2" t="n">
        <v>35</v>
      </c>
      <c r="AG188" s="2" t="n">
        <v>59</v>
      </c>
      <c r="AH188" s="4" t="inlineStr">
        <is>
          <t>NA</t>
        </is>
      </c>
      <c r="AI188" s="33" t="n">
        <v>27.98</v>
      </c>
      <c r="AJ188" s="4" t="n">
        <v>2</v>
      </c>
      <c r="AK188" s="34" t="inlineStr">
        <is>
          <t>NA</t>
        </is>
      </c>
      <c r="AL188" s="34" t="n">
        <v>0.6667</v>
      </c>
      <c r="AM188" s="2" t="n">
        <v>12240</v>
      </c>
    </row>
    <row r="189">
      <c r="A189">
        <f>HYPERLINK("https://www.walmart.com/ip/14488864795", "14488864795")</f>
        <v/>
      </c>
      <c r="B189">
        <f>HYPERLINK("https://app.optiwise.ai/catalog/itemdetails/13057968", "Womens Oversized Flannel Blanket Hoodie Sweatshirt, Plush Fleece Lined Lounging Pullover, Christmas Gift for Women (Red Checkered) - Catalonia")</f>
        <v/>
      </c>
      <c r="C189" t="inlineStr">
        <is>
          <t>-</t>
        </is>
      </c>
      <c r="E189" t="inlineStr">
        <is>
          <t>1CTOSH400LBL-FS</t>
        </is>
      </c>
      <c r="F189" t="n">
        <v>0</v>
      </c>
      <c r="G189" t="inlineStr">
        <is>
          <t>Clothing</t>
        </is>
      </c>
      <c r="H189" t="inlineStr">
        <is>
          <t>Sweatshirts &amp; Hoodies</t>
        </is>
      </c>
      <c r="I189" t="inlineStr">
        <is>
          <t>Catalonia</t>
        </is>
      </c>
      <c r="L189" s="29" t="n">
        <v>39.99</v>
      </c>
      <c r="M189" s="30" t="n">
        <v>0.0003</v>
      </c>
      <c r="N189" s="29" t="n">
        <v>0</v>
      </c>
      <c r="O189" s="29" t="n">
        <v>0</v>
      </c>
      <c r="P189" s="2" t="n">
        <v>1</v>
      </c>
      <c r="Q189" s="31" t="n">
        <v>0</v>
      </c>
      <c r="R189" s="32" t="n"/>
      <c r="S189" s="32" t="n">
        <v>0</v>
      </c>
      <c r="T189" s="32" t="n">
        <v>0</v>
      </c>
      <c r="U189" s="31" t="n">
        <v>0</v>
      </c>
      <c r="V189" s="32" t="n">
        <v>0</v>
      </c>
      <c r="W189" s="31" t="n">
        <v>0</v>
      </c>
      <c r="X189" s="31" t="n">
        <v>0</v>
      </c>
      <c r="Y189" s="3" t="n">
        <v>0</v>
      </c>
      <c r="Z189" s="3" t="n">
        <v>0</v>
      </c>
      <c r="AA189" s="32" t="n">
        <v>0</v>
      </c>
      <c r="AB189" s="3" t="n">
        <v>0</v>
      </c>
      <c r="AC189" s="32" t="n">
        <v>0</v>
      </c>
      <c r="AD189" s="3" t="n"/>
      <c r="AE189" s="31" t="n">
        <v>0</v>
      </c>
      <c r="AF189" s="2" t="n">
        <v>0</v>
      </c>
      <c r="AG189" s="2" t="n">
        <v>3</v>
      </c>
      <c r="AH189" s="4" t="n">
        <v>3</v>
      </c>
      <c r="AI189" s="33" t="n">
        <v>39.99</v>
      </c>
      <c r="AJ189" s="4" t="n">
        <v>1</v>
      </c>
      <c r="AK189" s="34" t="n">
        <v>0.3333</v>
      </c>
      <c r="AL189" s="34" t="n">
        <v>1</v>
      </c>
      <c r="AM189" s="2" t="n">
        <v>13500</v>
      </c>
    </row>
    <row r="190">
      <c r="A190">
        <f>HYPERLINK("https://www.walmart.com/ip/14498457702", "14498457702")</f>
        <v/>
      </c>
      <c r="B190">
        <f>HYPERLINK("https://app.optiwise.ai/catalog/itemdetails/13057957", "Womens Oversized Flannel Blanket Hoodie Sweatshirt, Plush Fleece Lined Lounging Pullover, Christmas Gift for Women (Red) - Catalonia")</f>
        <v/>
      </c>
      <c r="C190" t="inlineStr">
        <is>
          <t>-</t>
        </is>
      </c>
      <c r="E190" t="inlineStr">
        <is>
          <t>1CTOSH400RD-FS</t>
        </is>
      </c>
      <c r="F190" t="n">
        <v>0</v>
      </c>
      <c r="G190" t="inlineStr">
        <is>
          <t>Clothing</t>
        </is>
      </c>
      <c r="H190" t="inlineStr">
        <is>
          <t>Sweatshirts &amp; Hoodies</t>
        </is>
      </c>
      <c r="I190" t="inlineStr">
        <is>
          <t>Catalonia</t>
        </is>
      </c>
      <c r="L190" s="29" t="n">
        <v>39.99</v>
      </c>
      <c r="M190" s="30" t="n">
        <v>0.0003</v>
      </c>
      <c r="N190" s="29" t="n">
        <v>0</v>
      </c>
      <c r="O190" s="29" t="n">
        <v>0</v>
      </c>
      <c r="P190" s="2" t="n">
        <v>1</v>
      </c>
      <c r="Q190" s="31" t="n">
        <v>0</v>
      </c>
      <c r="R190" s="32" t="n"/>
      <c r="S190" s="32" t="n">
        <v>0</v>
      </c>
      <c r="T190" s="32" t="n">
        <v>0</v>
      </c>
      <c r="U190" s="31" t="n">
        <v>0</v>
      </c>
      <c r="V190" s="32" t="n">
        <v>0</v>
      </c>
      <c r="W190" s="31" t="n">
        <v>0</v>
      </c>
      <c r="X190" s="31" t="n">
        <v>0</v>
      </c>
      <c r="Y190" s="3" t="n">
        <v>0</v>
      </c>
      <c r="Z190" s="3" t="n">
        <v>0</v>
      </c>
      <c r="AA190" s="32" t="n">
        <v>0</v>
      </c>
      <c r="AB190" s="3" t="n">
        <v>0</v>
      </c>
      <c r="AC190" s="32" t="n">
        <v>0</v>
      </c>
      <c r="AD190" s="3" t="n"/>
      <c r="AE190" s="31" t="n">
        <v>0</v>
      </c>
      <c r="AF190" s="2" t="n">
        <v>0</v>
      </c>
      <c r="AG190" s="2" t="n">
        <v>1</v>
      </c>
      <c r="AH190" s="4" t="n">
        <v>1</v>
      </c>
      <c r="AI190" s="33" t="n">
        <v>39.99</v>
      </c>
      <c r="AJ190" s="4" t="n">
        <v>1</v>
      </c>
      <c r="AK190" s="34" t="n">
        <v>1</v>
      </c>
      <c r="AL190" s="34" t="n">
        <v>1</v>
      </c>
      <c r="AM190" s="2" t="n">
        <v>1890</v>
      </c>
    </row>
    <row r="191">
      <c r="A191">
        <f>HYPERLINK("https://www.walmart.com/ip/14476467012", "14476467012")</f>
        <v/>
      </c>
      <c r="B191">
        <f>HYPERLINK("https://app.optiwise.ai/catalog/itemdetails/13057950", "Womens Oversized Flannel Blanket Hoodie Sweatshirt, Plush Fleece Lined Lounging Pullover, Christmas Gift for Women (Latte) - Catalonia")</f>
        <v/>
      </c>
      <c r="C191" t="inlineStr">
        <is>
          <t>-</t>
        </is>
      </c>
      <c r="E191" t="inlineStr">
        <is>
          <t>1CTOSH400LT-FS</t>
        </is>
      </c>
      <c r="F191" t="n">
        <v>0</v>
      </c>
      <c r="G191" t="inlineStr">
        <is>
          <t>Clothing</t>
        </is>
      </c>
      <c r="H191" t="inlineStr">
        <is>
          <t>Sweatshirts &amp; Hoodies</t>
        </is>
      </c>
      <c r="I191" t="inlineStr">
        <is>
          <t>Catalonia</t>
        </is>
      </c>
      <c r="L191" s="29" t="n">
        <v>39.99</v>
      </c>
      <c r="M191" s="30" t="n">
        <v>0.0003</v>
      </c>
      <c r="N191" s="29" t="n">
        <v>0</v>
      </c>
      <c r="O191" s="29" t="n">
        <v>0</v>
      </c>
      <c r="P191" s="2" t="n">
        <v>1</v>
      </c>
      <c r="Q191" s="31" t="n">
        <v>0</v>
      </c>
      <c r="R191" s="32" t="n"/>
      <c r="S191" s="32" t="n">
        <v>0</v>
      </c>
      <c r="T191" s="32" t="n">
        <v>0</v>
      </c>
      <c r="U191" s="31" t="n">
        <v>0</v>
      </c>
      <c r="V191" s="32" t="n">
        <v>0</v>
      </c>
      <c r="W191" s="31" t="n">
        <v>0</v>
      </c>
      <c r="X191" s="31" t="n">
        <v>0</v>
      </c>
      <c r="Y191" s="3" t="n">
        <v>0</v>
      </c>
      <c r="Z191" s="3" t="n">
        <v>0</v>
      </c>
      <c r="AA191" s="32" t="n">
        <v>0</v>
      </c>
      <c r="AB191" s="3" t="n">
        <v>0</v>
      </c>
      <c r="AC191" s="32" t="n">
        <v>0</v>
      </c>
      <c r="AD191" s="3" t="n"/>
      <c r="AE191" s="31" t="n">
        <v>0</v>
      </c>
      <c r="AF191" s="2" t="n">
        <v>0</v>
      </c>
      <c r="AG191" s="2" t="n">
        <v>4</v>
      </c>
      <c r="AH191" s="4" t="n">
        <v>4</v>
      </c>
      <c r="AI191" s="33" t="n">
        <v>39.99</v>
      </c>
      <c r="AJ191" s="4" t="n">
        <v>1</v>
      </c>
      <c r="AK191" s="34" t="n">
        <v>0.25</v>
      </c>
      <c r="AL191" s="34" t="n">
        <v>1</v>
      </c>
      <c r="AM191" s="2" t="n">
        <v>810</v>
      </c>
    </row>
    <row r="192">
      <c r="A192">
        <f>HYPERLINK("https://www.walmart.com/ip/258874782", "258874782")</f>
        <v/>
      </c>
      <c r="B192">
        <f>HYPERLINK("https://app.optiwise.ai/catalog/itemdetails/360809", "Waterproof Picnic Blanket Outdoor")</f>
        <v/>
      </c>
      <c r="C192" t="n">
        <v>2</v>
      </c>
      <c r="D192" t="inlineStr">
        <is>
          <t>B78691_1680275_5C9BB2671E1E9004</t>
        </is>
      </c>
      <c r="E192" t="inlineStr">
        <is>
          <t>1WMBW781USA</t>
        </is>
      </c>
      <c r="F192" t="n">
        <v>0</v>
      </c>
      <c r="G192" t="inlineStr">
        <is>
          <t>Sport &amp; Recreation Other</t>
        </is>
      </c>
      <c r="H192" t="inlineStr">
        <is>
          <t>Picnic Blankets &amp; Mats</t>
        </is>
      </c>
      <c r="I192" t="inlineStr">
        <is>
          <t>Flyingstar</t>
        </is>
      </c>
      <c r="K192" t="inlineStr">
        <is>
          <t>Batch 1 - TR</t>
        </is>
      </c>
      <c r="L192" s="29" t="n">
        <v>39.98</v>
      </c>
      <c r="M192" s="30" t="n">
        <v>0.0003</v>
      </c>
      <c r="N192" s="29" t="n">
        <v>0</v>
      </c>
      <c r="O192" s="29" t="n">
        <v>0</v>
      </c>
      <c r="P192" s="2" t="n">
        <v>2</v>
      </c>
      <c r="Q192" s="31" t="n">
        <v>0</v>
      </c>
      <c r="R192" s="32" t="n"/>
      <c r="S192" s="32" t="n">
        <v>0</v>
      </c>
      <c r="T192" s="32" t="n">
        <v>0</v>
      </c>
      <c r="U192" s="31" t="n">
        <v>0</v>
      </c>
      <c r="V192" s="32" t="n">
        <v>0</v>
      </c>
      <c r="W192" s="31" t="n">
        <v>0</v>
      </c>
      <c r="X192" s="31" t="n">
        <v>0</v>
      </c>
      <c r="Y192" s="3" t="n">
        <v>0</v>
      </c>
      <c r="Z192" s="3" t="n">
        <v>0</v>
      </c>
      <c r="AA192" s="32" t="n">
        <v>0</v>
      </c>
      <c r="AB192" s="3" t="n">
        <v>0</v>
      </c>
      <c r="AC192" s="32" t="n">
        <v>0</v>
      </c>
      <c r="AD192" s="3" t="n"/>
      <c r="AE192" s="31" t="n">
        <v>0</v>
      </c>
      <c r="AF192" s="2" t="n">
        <v>0</v>
      </c>
      <c r="AG192" s="2" t="n">
        <v>35</v>
      </c>
      <c r="AH192" s="4" t="n">
        <v>35</v>
      </c>
      <c r="AI192" s="33" t="n">
        <v>39.98</v>
      </c>
      <c r="AJ192" s="4" t="n">
        <v>2</v>
      </c>
      <c r="AK192" s="34" t="n">
        <v>0.0571</v>
      </c>
      <c r="AL192" s="34" t="n">
        <v>1</v>
      </c>
      <c r="AM192" s="2" t="n">
        <v>13635</v>
      </c>
    </row>
    <row r="193">
      <c r="A193">
        <f>HYPERLINK("https://www.walmart.com/ip/1828821442", "1828821442")</f>
        <v/>
      </c>
      <c r="B193">
        <f>HYPERLINK("https://app.optiwise.ai/catalog/itemdetails/4416509", "Catalonia Wearable Blanket Adult with Sleeves Arms,Soft Cozy Plush Fleece Wrap Throws Blanket Robe,One Size Fit All, Cow")</f>
        <v/>
      </c>
      <c r="C193" t="n">
        <v>7</v>
      </c>
      <c r="D193" t="inlineStr">
        <is>
          <t>B78691_1681524_C87E8B2FD6BFC090</t>
        </is>
      </c>
      <c r="E193" t="inlineStr">
        <is>
          <t>1CTSN150DMT</t>
        </is>
      </c>
      <c r="F193" t="n">
        <v>5</v>
      </c>
      <c r="G193" t="inlineStr">
        <is>
          <t>Bedding</t>
        </is>
      </c>
      <c r="H193" t="inlineStr">
        <is>
          <t>Throws</t>
        </is>
      </c>
      <c r="I193" t="inlineStr">
        <is>
          <t>Catalonia</t>
        </is>
      </c>
      <c r="J193" t="n">
        <v>5</v>
      </c>
      <c r="K193" t="inlineStr">
        <is>
          <t>Batch 1 - TR</t>
        </is>
      </c>
      <c r="L193" s="29" t="n">
        <v>39.98</v>
      </c>
      <c r="M193" s="30" t="n">
        <v>0.0003</v>
      </c>
      <c r="N193" s="29" t="n">
        <v>0</v>
      </c>
      <c r="O193" s="29" t="n">
        <v>0</v>
      </c>
      <c r="P193" s="2" t="n">
        <v>2</v>
      </c>
      <c r="Q193" s="31" t="n">
        <v>0</v>
      </c>
      <c r="R193" s="32" t="n"/>
      <c r="S193" s="32" t="n">
        <v>0</v>
      </c>
      <c r="T193" s="32" t="n">
        <v>0</v>
      </c>
      <c r="U193" s="31" t="n">
        <v>0</v>
      </c>
      <c r="V193" s="32" t="n">
        <v>0</v>
      </c>
      <c r="W193" s="31" t="n">
        <v>0</v>
      </c>
      <c r="X193" s="31" t="n">
        <v>0</v>
      </c>
      <c r="Y193" s="3" t="n">
        <v>0</v>
      </c>
      <c r="Z193" s="3" t="n">
        <v>0</v>
      </c>
      <c r="AA193" s="32" t="n">
        <v>0</v>
      </c>
      <c r="AB193" s="3" t="n">
        <v>0</v>
      </c>
      <c r="AC193" s="32" t="n">
        <v>0</v>
      </c>
      <c r="AD193" s="3" t="n"/>
      <c r="AE193" s="31" t="n">
        <v>0</v>
      </c>
      <c r="AF193" s="2" t="n">
        <v>35</v>
      </c>
      <c r="AG193" s="2" t="n">
        <v>50</v>
      </c>
      <c r="AH193" s="4" t="n">
        <v>50</v>
      </c>
      <c r="AI193" s="33" t="n">
        <v>39.98</v>
      </c>
      <c r="AJ193" s="4" t="n">
        <v>2</v>
      </c>
      <c r="AK193" s="34" t="n">
        <v>0.04</v>
      </c>
      <c r="AL193" s="34" t="n">
        <v>1</v>
      </c>
      <c r="AM193" s="2" t="n">
        <v>40702</v>
      </c>
    </row>
    <row r="194">
      <c r="A194">
        <f>HYPERLINK("https://www.walmart.com/ip/242634905", "242634905")</f>
        <v/>
      </c>
      <c r="B194">
        <f>HYPERLINK("https://app.optiwise.ai/catalog/itemdetails/669395", "Pawsse Fluffy Microfiber Fleece Blanket, Reversible Plush Blanket Throw for Couch and Sofa, Large Sherpa Dog Blanket, Gray, 50’’ x 60’’")</f>
        <v/>
      </c>
      <c r="C194" t="n">
        <v>3</v>
      </c>
      <c r="D194" t="inlineStr">
        <is>
          <t>B78691_1681107_EBEE356A48B2BDAA</t>
        </is>
      </c>
      <c r="E194" t="inlineStr">
        <is>
          <t>1PSBF566GY-TBCB</t>
        </is>
      </c>
      <c r="F194" t="n">
        <v>0</v>
      </c>
      <c r="G194" t="inlineStr">
        <is>
          <t>Animal Accessories</t>
        </is>
      </c>
      <c r="H194" t="inlineStr">
        <is>
          <t>Pet Blankets</t>
        </is>
      </c>
      <c r="I194" t="inlineStr">
        <is>
          <t>Pawsse</t>
        </is>
      </c>
      <c r="J194" t="n">
        <v>4.4</v>
      </c>
      <c r="K194" t="inlineStr">
        <is>
          <t>Batch 1 - TR</t>
        </is>
      </c>
      <c r="L194" s="29" t="n">
        <v>39.98</v>
      </c>
      <c r="M194" s="30" t="n">
        <v>0.0003</v>
      </c>
      <c r="N194" s="29" t="n">
        <v>0</v>
      </c>
      <c r="O194" s="29" t="n">
        <v>0</v>
      </c>
      <c r="P194" s="2" t="n">
        <v>2</v>
      </c>
      <c r="Q194" s="31" t="n">
        <v>0</v>
      </c>
      <c r="R194" s="32" t="n"/>
      <c r="S194" s="32" t="n">
        <v>0</v>
      </c>
      <c r="T194" s="32" t="n">
        <v>0</v>
      </c>
      <c r="U194" s="31" t="n">
        <v>0</v>
      </c>
      <c r="V194" s="32" t="n">
        <v>0</v>
      </c>
      <c r="W194" s="31" t="n">
        <v>0</v>
      </c>
      <c r="X194" s="31" t="n">
        <v>0</v>
      </c>
      <c r="Y194" s="3" t="n">
        <v>0</v>
      </c>
      <c r="Z194" s="3" t="n">
        <v>0</v>
      </c>
      <c r="AA194" s="32" t="n">
        <v>0</v>
      </c>
      <c r="AB194" s="3" t="n">
        <v>0</v>
      </c>
      <c r="AC194" s="32" t="n">
        <v>0</v>
      </c>
      <c r="AD194" s="3" t="n"/>
      <c r="AE194" s="31" t="n">
        <v>0</v>
      </c>
      <c r="AF194" s="2" t="n">
        <v>0</v>
      </c>
      <c r="AG194" s="2" t="n">
        <v>9</v>
      </c>
      <c r="AH194" s="4" t="n">
        <v>9</v>
      </c>
      <c r="AI194" s="33" t="n">
        <v>39.98</v>
      </c>
      <c r="AJ194" s="4" t="n">
        <v>2</v>
      </c>
      <c r="AK194" s="34" t="n">
        <v>0.2222</v>
      </c>
      <c r="AL194" s="34" t="n">
        <v>1</v>
      </c>
      <c r="AM194" s="2" t="n">
        <v>19710</v>
      </c>
    </row>
    <row r="195">
      <c r="A195">
        <f>HYPERLINK("https://www.walmart.com/ip/943773254", "943773254")</f>
        <v/>
      </c>
      <c r="B195">
        <f>HYPERLINK("https://app.optiwise.ai/catalog/itemdetails/360294", "Tirrinia Women's Wide Brim Bucket Hats Breathable Outdoor Beach Gardening Hat One Size Fits All Adult, Pink Flower Pattern")</f>
        <v/>
      </c>
      <c r="C195" t="n">
        <v>6</v>
      </c>
      <c r="D195" t="inlineStr">
        <is>
          <t>B78691_1670073_EA19FEBFB33B871C</t>
        </is>
      </c>
      <c r="E195" t="inlineStr">
        <is>
          <t>1TRSH9200FPK-TBGM</t>
        </is>
      </c>
      <c r="F195" t="n">
        <v>4</v>
      </c>
      <c r="G195" t="inlineStr">
        <is>
          <t>Clothing</t>
        </is>
      </c>
      <c r="H195" t="inlineStr">
        <is>
          <t>Hats</t>
        </is>
      </c>
      <c r="I195" t="inlineStr">
        <is>
          <t>Tirrinia</t>
        </is>
      </c>
      <c r="J195" t="n">
        <v>5</v>
      </c>
      <c r="K195" t="inlineStr">
        <is>
          <t>Optimized,Hats</t>
        </is>
      </c>
      <c r="L195" s="29" t="n">
        <v>39.96</v>
      </c>
      <c r="M195" s="30" t="n">
        <v>0.0003</v>
      </c>
      <c r="N195" s="29" t="n">
        <v>0</v>
      </c>
      <c r="O195" s="29" t="n">
        <v>0</v>
      </c>
      <c r="P195" s="2" t="n">
        <v>4</v>
      </c>
      <c r="Q195" s="31" t="n">
        <v>0</v>
      </c>
      <c r="R195" s="32" t="n"/>
      <c r="S195" s="32" t="n">
        <v>0</v>
      </c>
      <c r="T195" s="32" t="n">
        <v>0</v>
      </c>
      <c r="U195" s="31" t="n">
        <v>0</v>
      </c>
      <c r="V195" s="32" t="n">
        <v>0</v>
      </c>
      <c r="W195" s="31" t="n">
        <v>0</v>
      </c>
      <c r="X195" s="31" t="n">
        <v>0</v>
      </c>
      <c r="Y195" s="3" t="n">
        <v>0</v>
      </c>
      <c r="Z195" s="3" t="n">
        <v>0</v>
      </c>
      <c r="AA195" s="32" t="n">
        <v>0</v>
      </c>
      <c r="AB195" s="3" t="n">
        <v>0</v>
      </c>
      <c r="AC195" s="32" t="n">
        <v>0</v>
      </c>
      <c r="AD195" s="3" t="n"/>
      <c r="AE195" s="31" t="n">
        <v>0</v>
      </c>
      <c r="AF195" s="2" t="n">
        <v>0</v>
      </c>
      <c r="AG195" s="2" t="n">
        <v>77</v>
      </c>
      <c r="AH195" s="4" t="n">
        <v>77</v>
      </c>
      <c r="AI195" s="33" t="n">
        <v>39.96</v>
      </c>
      <c r="AJ195" s="4" t="n">
        <v>4</v>
      </c>
      <c r="AK195" s="34" t="n">
        <v>0.0519</v>
      </c>
      <c r="AL195" s="34" t="n">
        <v>1</v>
      </c>
      <c r="AM195" s="2" t="n">
        <v>20250</v>
      </c>
    </row>
    <row r="196">
      <c r="A196">
        <f>HYPERLINK("https://www.walmart.com/ip/986246942", "986246942")</f>
        <v/>
      </c>
      <c r="B196">
        <f>HYPERLINK("https://app.optiwise.ai/catalog/itemdetails/361378", "Tirrinia Women Floppy Straw Sun Hat Foldable Wide Brim Striped Beach Cap for Female, Great Gifts for Mother's Day, Beige")</f>
        <v/>
      </c>
      <c r="C196" t="n">
        <v>4</v>
      </c>
      <c r="D196" t="inlineStr">
        <is>
          <t>B78691_1639407_C76594E230A7B3AD</t>
        </is>
      </c>
      <c r="E196" t="inlineStr">
        <is>
          <t>1TRSH371BE-TBCB</t>
        </is>
      </c>
      <c r="F196" t="n">
        <v>39</v>
      </c>
      <c r="G196" t="inlineStr">
        <is>
          <t>Clothing</t>
        </is>
      </c>
      <c r="H196" t="inlineStr">
        <is>
          <t>Hats</t>
        </is>
      </c>
      <c r="I196" t="inlineStr">
        <is>
          <t>Tirrinia</t>
        </is>
      </c>
      <c r="J196" t="n">
        <v>4.3</v>
      </c>
      <c r="K196" t="inlineStr">
        <is>
          <t>Q2-Target,Hats,Batch 1 - TR</t>
        </is>
      </c>
      <c r="L196" s="29" t="n">
        <v>39.96</v>
      </c>
      <c r="M196" s="30" t="n">
        <v>0.0003</v>
      </c>
      <c r="N196" s="29" t="n">
        <v>0</v>
      </c>
      <c r="O196" s="29" t="n">
        <v>0</v>
      </c>
      <c r="P196" s="2" t="n">
        <v>4</v>
      </c>
      <c r="Q196" s="31" t="n">
        <v>0</v>
      </c>
      <c r="R196" s="32" t="n"/>
      <c r="S196" s="32" t="n">
        <v>0</v>
      </c>
      <c r="T196" s="32" t="n">
        <v>0</v>
      </c>
      <c r="U196" s="31" t="n">
        <v>0</v>
      </c>
      <c r="V196" s="32" t="n">
        <v>0</v>
      </c>
      <c r="W196" s="31" t="n">
        <v>0</v>
      </c>
      <c r="X196" s="31" t="n">
        <v>0</v>
      </c>
      <c r="Y196" s="3" t="n">
        <v>0</v>
      </c>
      <c r="Z196" s="3" t="n">
        <v>0</v>
      </c>
      <c r="AA196" s="32" t="n">
        <v>0</v>
      </c>
      <c r="AB196" s="3" t="n">
        <v>0</v>
      </c>
      <c r="AC196" s="32" t="n">
        <v>0</v>
      </c>
      <c r="AD196" s="3" t="n"/>
      <c r="AE196" s="31" t="n">
        <v>0</v>
      </c>
      <c r="AF196" s="2" t="n">
        <v>0</v>
      </c>
      <c r="AG196" s="2" t="n">
        <v>63</v>
      </c>
      <c r="AH196" s="4" t="n">
        <v>63</v>
      </c>
      <c r="AI196" s="33" t="n">
        <v>39.96</v>
      </c>
      <c r="AJ196" s="4" t="n">
        <v>4</v>
      </c>
      <c r="AK196" s="34" t="n">
        <v>0.0635</v>
      </c>
      <c r="AL196" s="34" t="n">
        <v>1</v>
      </c>
      <c r="AM196" s="2" t="n">
        <v>13500</v>
      </c>
    </row>
    <row r="197">
      <c r="A197">
        <f>HYPERLINK("https://www.walmart.com/ip/193222130", "193222130")</f>
        <v/>
      </c>
      <c r="B197">
        <f>HYPERLINK("https://app.optiwise.ai/catalog/itemdetails/362688", "JenniWears® Women's Sexy Fever Blush Babydoll Mesh Lingerie and Wrap Robe")</f>
        <v/>
      </c>
      <c r="C197" t="n">
        <v>2</v>
      </c>
      <c r="D197" t="inlineStr">
        <is>
          <t>B78691_979767_37061B639C4097</t>
        </is>
      </c>
      <c r="E197" t="inlineStr">
        <is>
          <t>JWBD08WT-XL</t>
        </is>
      </c>
      <c r="F197" t="n">
        <v>3</v>
      </c>
      <c r="G197" t="inlineStr">
        <is>
          <t>Clothing</t>
        </is>
      </c>
      <c r="H197" t="inlineStr">
        <is>
          <t>Lingerie Sets</t>
        </is>
      </c>
      <c r="I197" t="inlineStr">
        <is>
          <t>JenniWears</t>
        </is>
      </c>
      <c r="J197" t="n">
        <v>3</v>
      </c>
      <c r="K197" t="inlineStr">
        <is>
          <t>Optimized,WFS,Valentine,WFS Item</t>
        </is>
      </c>
      <c r="L197" s="29" t="n">
        <v>39.90000000000001</v>
      </c>
      <c r="M197" s="30" t="n">
        <v>0.0003</v>
      </c>
      <c r="N197" s="29" t="n">
        <v>0</v>
      </c>
      <c r="O197" s="29" t="n">
        <v>0</v>
      </c>
      <c r="P197" s="2" t="n">
        <v>5</v>
      </c>
      <c r="Q197" s="31" t="n">
        <v>0</v>
      </c>
      <c r="R197" s="32" t="n"/>
      <c r="S197" s="32" t="n">
        <v>0</v>
      </c>
      <c r="T197" s="32" t="n">
        <v>0</v>
      </c>
      <c r="U197" s="31" t="n">
        <v>0</v>
      </c>
      <c r="V197" s="32" t="n">
        <v>0</v>
      </c>
      <c r="W197" s="31" t="n">
        <v>0</v>
      </c>
      <c r="X197" s="31" t="n">
        <v>0</v>
      </c>
      <c r="Y197" s="3" t="n">
        <v>0</v>
      </c>
      <c r="Z197" s="3" t="n">
        <v>0</v>
      </c>
      <c r="AA197" s="32" t="n">
        <v>0</v>
      </c>
      <c r="AB197" s="3" t="n">
        <v>0</v>
      </c>
      <c r="AC197" s="32" t="n">
        <v>0</v>
      </c>
      <c r="AD197" s="3" t="n"/>
      <c r="AE197" s="31" t="n">
        <v>0</v>
      </c>
      <c r="AF197" s="2" t="n">
        <v>0</v>
      </c>
      <c r="AG197" s="2" t="n">
        <v>213</v>
      </c>
      <c r="AH197" s="4" t="n">
        <v>213</v>
      </c>
      <c r="AI197" s="33" t="n">
        <v>39.90000000000001</v>
      </c>
      <c r="AJ197" s="4" t="n">
        <v>5</v>
      </c>
      <c r="AK197" s="34" t="n">
        <v>0.0235</v>
      </c>
      <c r="AL197" s="34" t="n">
        <v>1</v>
      </c>
      <c r="AM197" s="2" t="n">
        <v>2025</v>
      </c>
    </row>
    <row r="198">
      <c r="A198">
        <f>HYPERLINK("https://www.walmart.com/ip/955795616", "955795616")</f>
        <v/>
      </c>
      <c r="B198">
        <f>HYPERLINK("https://app.optiwise.ai/catalog/itemdetails/358741", "Tirrinia Adult Insulated Lunch Bag with Front Pocket, White/Pink, 14'' x 7'' x 9.5'', 10.8 L")</f>
        <v/>
      </c>
      <c r="C198" t="n">
        <v>5</v>
      </c>
      <c r="D198" t="inlineStr">
        <is>
          <t>B78691_1680137_807FB9DCC0672638</t>
        </is>
      </c>
      <c r="E198" t="inlineStr">
        <is>
          <t>1WMLB705WTPK</t>
        </is>
      </c>
      <c r="F198" t="n">
        <v>22</v>
      </c>
      <c r="G198" t="inlineStr">
        <is>
          <t>Home Decor, Kitchen, &amp; Other</t>
        </is>
      </c>
      <c r="H198" t="inlineStr">
        <is>
          <t>Reusable Lunch Bags &amp; Boxes</t>
        </is>
      </c>
      <c r="I198" t="inlineStr">
        <is>
          <t>Flyingstar</t>
        </is>
      </c>
      <c r="J198" t="n">
        <v>4.4</v>
      </c>
      <c r="K198" t="inlineStr">
        <is>
          <t>Q2-Target,Lunch Bag,Optimized,Lunch Bags</t>
        </is>
      </c>
      <c r="L198" s="29" t="n">
        <v>38.94</v>
      </c>
      <c r="M198" s="30" t="n">
        <v>0.0003</v>
      </c>
      <c r="N198" s="29" t="n">
        <v>0</v>
      </c>
      <c r="O198" s="29" t="n">
        <v>0</v>
      </c>
      <c r="P198" s="2" t="n">
        <v>3</v>
      </c>
      <c r="Q198" s="31" t="n">
        <v>0</v>
      </c>
      <c r="R198" s="32" t="n"/>
      <c r="S198" s="32" t="n">
        <v>0</v>
      </c>
      <c r="T198" s="32" t="n">
        <v>0.0592</v>
      </c>
      <c r="U198" s="31" t="n">
        <v>0</v>
      </c>
      <c r="V198" s="32" t="n">
        <v>0</v>
      </c>
      <c r="W198" s="31" t="n">
        <v>0</v>
      </c>
      <c r="X198" s="31" t="n">
        <v>0</v>
      </c>
      <c r="Y198" s="3" t="n">
        <v>0</v>
      </c>
      <c r="Z198" s="3" t="n">
        <v>0</v>
      </c>
      <c r="AA198" s="32" t="n">
        <v>0</v>
      </c>
      <c r="AB198" s="3" t="n">
        <v>0</v>
      </c>
      <c r="AC198" s="32" t="n">
        <v>0</v>
      </c>
      <c r="AD198" s="3" t="n"/>
      <c r="AE198" s="31" t="n">
        <v>0</v>
      </c>
      <c r="AF198" s="2" t="n">
        <v>0</v>
      </c>
      <c r="AG198" s="2" t="n">
        <v>118</v>
      </c>
      <c r="AH198" s="4" t="n">
        <v>118</v>
      </c>
      <c r="AI198" s="33" t="n">
        <v>38.94</v>
      </c>
      <c r="AJ198" s="4" t="n">
        <v>3</v>
      </c>
      <c r="AK198" s="34" t="n">
        <v>0.0254</v>
      </c>
      <c r="AL198" s="34" t="n">
        <v>1</v>
      </c>
      <c r="AM198" s="2" t="n">
        <v>17505</v>
      </c>
    </row>
    <row r="199">
      <c r="A199">
        <f>HYPERLINK("https://www.walmart.com/ip/1478723664", "1478723664")</f>
        <v/>
      </c>
      <c r="B199">
        <f>HYPERLINK("https://app.optiwise.ai/catalog/itemdetails/924059", "Catalonia Hooded Blanket Poncho | Wearable Blanket Wrap with Hand Pockets | Comfy Sherpa Fleece Throw Cape for Children and Adults, Christmas Thanksgiving Mother Gift, Light Grey")</f>
        <v/>
      </c>
      <c r="C199" t="n">
        <v>3</v>
      </c>
      <c r="D199" t="inlineStr">
        <is>
          <t>B78691_1680523_5CF64426E077F0C4</t>
        </is>
      </c>
      <c r="E199" t="inlineStr">
        <is>
          <t>1CTBC100LG</t>
        </is>
      </c>
      <c r="F199" t="n">
        <v>0</v>
      </c>
      <c r="G199" t="inlineStr">
        <is>
          <t>Bedding</t>
        </is>
      </c>
      <c r="H199" t="inlineStr">
        <is>
          <t>Throws</t>
        </is>
      </c>
      <c r="I199" t="inlineStr">
        <is>
          <t>Catalonia</t>
        </is>
      </c>
      <c r="K199" t="inlineStr">
        <is>
          <t>Batch 1 - TR</t>
        </is>
      </c>
      <c r="L199" s="29" t="n">
        <v>37.99</v>
      </c>
      <c r="M199" s="30" t="n">
        <v>0.0003</v>
      </c>
      <c r="N199" s="29" t="n">
        <v>0</v>
      </c>
      <c r="O199" s="29" t="n">
        <v>0</v>
      </c>
      <c r="P199" s="2" t="n">
        <v>1</v>
      </c>
      <c r="Q199" s="31" t="n">
        <v>0</v>
      </c>
      <c r="R199" s="32" t="n"/>
      <c r="S199" s="32" t="n">
        <v>0</v>
      </c>
      <c r="T199" s="32" t="n">
        <v>0</v>
      </c>
      <c r="U199" s="31" t="n">
        <v>0</v>
      </c>
      <c r="V199" s="32" t="n">
        <v>0</v>
      </c>
      <c r="W199" s="31" t="n">
        <v>0</v>
      </c>
      <c r="X199" s="31" t="n">
        <v>0</v>
      </c>
      <c r="Y199" s="3" t="n">
        <v>0</v>
      </c>
      <c r="Z199" s="3" t="n">
        <v>0</v>
      </c>
      <c r="AA199" s="32" t="n">
        <v>0</v>
      </c>
      <c r="AB199" s="3" t="n">
        <v>0</v>
      </c>
      <c r="AC199" s="32" t="n">
        <v>0</v>
      </c>
      <c r="AD199" s="3" t="n"/>
      <c r="AE199" s="31" t="n">
        <v>0</v>
      </c>
      <c r="AF199" s="2" t="n">
        <v>0</v>
      </c>
      <c r="AG199" s="2" t="n">
        <v>39</v>
      </c>
      <c r="AH199" s="4" t="n">
        <v>39</v>
      </c>
      <c r="AI199" s="33" t="n">
        <v>37.99</v>
      </c>
      <c r="AJ199" s="4" t="n">
        <v>1</v>
      </c>
      <c r="AK199" s="34" t="n">
        <v>0.0256</v>
      </c>
      <c r="AL199" s="34" t="n">
        <v>1</v>
      </c>
      <c r="AM199" s="2" t="n">
        <v>16200</v>
      </c>
    </row>
    <row r="200">
      <c r="A200">
        <f>HYPERLINK("https://www.walmart.com/ip/262410560", "262410560")</f>
        <v/>
      </c>
      <c r="B200">
        <f>HYPERLINK("https://app.optiwise.ai/catalog/itemdetails/362106", "Microplush Sherpa Blanket with Sleeves for Women and Men Wine")</f>
        <v/>
      </c>
      <c r="C200" t="n">
        <v>6</v>
      </c>
      <c r="D200" t="inlineStr">
        <is>
          <t>B78691_1677025_431E540E41FE75E1</t>
        </is>
      </c>
      <c r="E200" t="inlineStr">
        <is>
          <t>1TRSN410WN</t>
        </is>
      </c>
      <c r="F200" t="n">
        <v>42</v>
      </c>
      <c r="G200" t="inlineStr">
        <is>
          <t>Home Decor, Kitchen, &amp; Other</t>
        </is>
      </c>
      <c r="H200" t="inlineStr">
        <is>
          <t>Throws</t>
        </is>
      </c>
      <c r="I200" t="inlineStr">
        <is>
          <t>Tirrinia</t>
        </is>
      </c>
      <c r="J200" t="n">
        <v>4.5</v>
      </c>
      <c r="K200" t="inlineStr">
        <is>
          <t>WFS,WFS Item</t>
        </is>
      </c>
      <c r="L200" s="29" t="n">
        <v>35.99</v>
      </c>
      <c r="M200" s="30" t="n">
        <v>0.0003</v>
      </c>
      <c r="N200" s="29" t="n">
        <v>0</v>
      </c>
      <c r="O200" s="29" t="n">
        <v>0</v>
      </c>
      <c r="P200" s="2" t="n">
        <v>1</v>
      </c>
      <c r="Q200" s="31" t="n">
        <v>9.960000000000001</v>
      </c>
      <c r="R200" s="32" t="n">
        <v>0.0012</v>
      </c>
      <c r="S200" s="32" t="n">
        <v>0.2767</v>
      </c>
      <c r="T200" s="32" t="n">
        <v>0.0116</v>
      </c>
      <c r="U200" s="31" t="n">
        <v>5.32</v>
      </c>
      <c r="V200" s="32" t="n">
        <v>0.19</v>
      </c>
      <c r="W200" s="31" t="n">
        <v>52.98</v>
      </c>
      <c r="X200" s="31" t="n">
        <v>35.99</v>
      </c>
      <c r="Y200" s="3" t="n">
        <v>10069</v>
      </c>
      <c r="Z200" s="3" t="n">
        <v>21</v>
      </c>
      <c r="AA200" s="32" t="n">
        <v>0.0021</v>
      </c>
      <c r="AB200" s="3" t="n">
        <v>2</v>
      </c>
      <c r="AC200" s="32" t="n">
        <v>0.09520000000000001</v>
      </c>
      <c r="AD200" s="3" t="inlineStr">
        <is>
          <t>,High AUR SKUs_Optiwise_2024,WFS Inventory</t>
        </is>
      </c>
      <c r="AE200" s="31" t="n">
        <v>0.47</v>
      </c>
      <c r="AF200" s="2" t="n">
        <v>15</v>
      </c>
      <c r="AG200" s="2" t="n">
        <v>286</v>
      </c>
      <c r="AH200" s="4" t="n">
        <v>265</v>
      </c>
      <c r="AI200" s="33" t="n">
        <v>-16.99</v>
      </c>
      <c r="AJ200" s="4" t="n">
        <v>-1</v>
      </c>
      <c r="AK200" s="34" t="n">
        <v>-0.0038</v>
      </c>
      <c r="AL200" s="34" t="n">
        <v>-0.4721</v>
      </c>
      <c r="AM200" s="2" t="n">
        <v>29700</v>
      </c>
    </row>
    <row r="201">
      <c r="A201">
        <f>HYPERLINK("https://www.walmart.com/ip/264676214", "264676214")</f>
        <v/>
      </c>
      <c r="B201">
        <f>HYPERLINK("https://app.optiwise.ai/catalog/itemdetails/409171", "Catalonia Women’s Sherpa Hoodie Sweatshirt Dress, Casual Snuggle Wearable Blanket Pullover Sweater with Kangaroo Pocket, Warm and Soft, Gift for Her, Purple")</f>
        <v/>
      </c>
      <c r="C201" t="n">
        <v>8</v>
      </c>
      <c r="D201" t="inlineStr">
        <is>
          <t>B78691_1681480_F881895FC50CD7C6</t>
        </is>
      </c>
      <c r="E201" t="inlineStr">
        <is>
          <t>1CTHD532PP</t>
        </is>
      </c>
      <c r="F201" t="n">
        <v>0</v>
      </c>
      <c r="G201" t="inlineStr">
        <is>
          <t>Clothing</t>
        </is>
      </c>
      <c r="H201" t="inlineStr">
        <is>
          <t>Sweatshirts &amp; Hoodies</t>
        </is>
      </c>
      <c r="I201" t="inlineStr">
        <is>
          <t>Catalonia</t>
        </is>
      </c>
      <c r="K201" t="inlineStr">
        <is>
          <t>Hoodie ForAdult,Optimized,Coupon_Discount</t>
        </is>
      </c>
      <c r="L201" s="29" t="n">
        <v>35.99</v>
      </c>
      <c r="M201" s="30" t="n">
        <v>0.0003</v>
      </c>
      <c r="N201" s="29" t="n">
        <v>0</v>
      </c>
      <c r="O201" s="29" t="n">
        <v>0</v>
      </c>
      <c r="P201" s="2" t="n">
        <v>1</v>
      </c>
      <c r="Q201" s="31" t="n">
        <v>11.32</v>
      </c>
      <c r="R201" s="32" t="n">
        <v>0.0014</v>
      </c>
      <c r="S201" s="32" t="n">
        <v>0.3145</v>
      </c>
      <c r="T201" s="32" t="n">
        <v>0</v>
      </c>
      <c r="U201" s="31" t="n">
        <v>0</v>
      </c>
      <c r="V201" s="32" t="n">
        <v>0</v>
      </c>
      <c r="W201" s="31" t="n">
        <v>0</v>
      </c>
      <c r="X201" s="31" t="n">
        <v>0</v>
      </c>
      <c r="Y201" s="3" t="n">
        <v>9403</v>
      </c>
      <c r="Z201" s="3" t="n">
        <v>28</v>
      </c>
      <c r="AA201" s="32" t="n">
        <v>0.003</v>
      </c>
      <c r="AB201" s="3" t="n">
        <v>0</v>
      </c>
      <c r="AC201" s="32" t="n">
        <v>0</v>
      </c>
      <c r="AD201" s="3" t="inlineStr">
        <is>
          <t>,High AUR SKUs_Optiwise_2024</t>
        </is>
      </c>
      <c r="AE201" s="31" t="n">
        <v>0.4</v>
      </c>
      <c r="AF201" s="2" t="n">
        <v>14</v>
      </c>
      <c r="AG201" s="2" t="n">
        <v>155</v>
      </c>
      <c r="AH201" s="4" t="n">
        <v>127</v>
      </c>
      <c r="AI201" s="33" t="n">
        <v>35.99</v>
      </c>
      <c r="AJ201" s="4" t="n">
        <v>1</v>
      </c>
      <c r="AK201" s="34" t="n">
        <v>0.007900000000000001</v>
      </c>
      <c r="AL201" s="34" t="n">
        <v>1</v>
      </c>
      <c r="AM201" s="2" t="n">
        <v>675</v>
      </c>
    </row>
    <row r="202">
      <c r="A202">
        <f>HYPERLINK("https://www.walmart.com/ip/230608270", "230608270")</f>
        <v/>
      </c>
      <c r="B202">
        <f>HYPERLINK("https://app.optiwise.ai/catalog/itemdetails/360723", "Catalonia Mermaid Tail Blanket, Adult Mermaid Blanket with Anti-Slip Neck Strap, Silky Hand Knitted Sleeping Blanket for Adults All Season Sleeping Bag Multi-Colors 66.5x22.5 Purple")</f>
        <v/>
      </c>
      <c r="C202" t="inlineStr">
        <is>
          <t>-</t>
        </is>
      </c>
      <c r="E202" t="inlineStr">
        <is>
          <t>1CTMM100PP</t>
        </is>
      </c>
      <c r="F202" t="n">
        <v>1</v>
      </c>
      <c r="G202" t="inlineStr">
        <is>
          <t>Bedding</t>
        </is>
      </c>
      <c r="H202" t="inlineStr">
        <is>
          <t>Throws</t>
        </is>
      </c>
      <c r="I202" t="inlineStr">
        <is>
          <t>Catalonia</t>
        </is>
      </c>
      <c r="J202" t="n">
        <v>5</v>
      </c>
      <c r="K202" t="inlineStr">
        <is>
          <t>Optimized</t>
        </is>
      </c>
      <c r="L202" s="29" t="n">
        <v>35.98</v>
      </c>
      <c r="M202" s="30" t="n">
        <v>0.0003</v>
      </c>
      <c r="N202" s="29" t="n">
        <v>0</v>
      </c>
      <c r="O202" s="29" t="n">
        <v>0</v>
      </c>
      <c r="P202" s="2" t="n">
        <v>2</v>
      </c>
      <c r="Q202" s="31" t="n">
        <v>0</v>
      </c>
      <c r="R202" s="32" t="n"/>
      <c r="S202" s="32" t="n">
        <v>0</v>
      </c>
      <c r="T202" s="32" t="n">
        <v>0</v>
      </c>
      <c r="U202" s="31" t="n">
        <v>0</v>
      </c>
      <c r="V202" s="32" t="n">
        <v>0</v>
      </c>
      <c r="W202" s="31" t="n">
        <v>0</v>
      </c>
      <c r="X202" s="31" t="n">
        <v>0</v>
      </c>
      <c r="Y202" s="3" t="n">
        <v>0</v>
      </c>
      <c r="Z202" s="3" t="n">
        <v>0</v>
      </c>
      <c r="AA202" s="32" t="n">
        <v>0</v>
      </c>
      <c r="AB202" s="3" t="n">
        <v>0</v>
      </c>
      <c r="AC202" s="32" t="n">
        <v>0</v>
      </c>
      <c r="AD202" s="3" t="n"/>
      <c r="AE202" s="31" t="n">
        <v>0</v>
      </c>
      <c r="AF202" s="2" t="n">
        <v>0</v>
      </c>
      <c r="AG202" s="2" t="n">
        <v>25</v>
      </c>
      <c r="AH202" s="4" t="n">
        <v>25</v>
      </c>
      <c r="AI202" s="33" t="n">
        <v>35.98</v>
      </c>
      <c r="AJ202" s="4" t="n">
        <v>2</v>
      </c>
      <c r="AK202" s="34" t="n">
        <v>0.08</v>
      </c>
      <c r="AL202" s="34" t="n">
        <v>1</v>
      </c>
      <c r="AM202" s="2" t="n">
        <v>270</v>
      </c>
    </row>
    <row r="203">
      <c r="A203">
        <f>HYPERLINK("https://www.walmart.com/ip/165809833", "165809833")</f>
        <v/>
      </c>
      <c r="B203">
        <f>HYPERLINK("https://app.optiwise.ai/catalog/itemdetails/361539", "Ski Gloves for Women &amp; Men 3M Winter Snow Gloves Mittens Insulation Waterproof for Outdoors Sports")</f>
        <v/>
      </c>
      <c r="C203" t="n">
        <v>8</v>
      </c>
      <c r="D203" t="inlineStr">
        <is>
          <t>B78691_1639263</t>
        </is>
      </c>
      <c r="E203" t="inlineStr">
        <is>
          <t>1SLWG100BKL</t>
        </is>
      </c>
      <c r="F203" t="n">
        <v>9</v>
      </c>
      <c r="G203" t="inlineStr">
        <is>
          <t>Clothing</t>
        </is>
      </c>
      <c r="H203" t="inlineStr">
        <is>
          <t>Gloves &amp; Mittens</t>
        </is>
      </c>
      <c r="I203" t="inlineStr">
        <is>
          <t>Solaris</t>
        </is>
      </c>
      <c r="J203" t="n">
        <v>3.3</v>
      </c>
      <c r="K203" t="inlineStr">
        <is>
          <t>Gloves,WFS,WFS Item</t>
        </is>
      </c>
      <c r="L203" s="29" t="n">
        <v>35.98</v>
      </c>
      <c r="M203" s="30" t="n">
        <v>0.0003</v>
      </c>
      <c r="N203" s="29" t="n">
        <v>0</v>
      </c>
      <c r="O203" s="29" t="n">
        <v>0</v>
      </c>
      <c r="P203" s="2" t="n">
        <v>2</v>
      </c>
      <c r="Q203" s="31" t="n">
        <v>0</v>
      </c>
      <c r="R203" s="32" t="n"/>
      <c r="S203" s="32" t="n">
        <v>0</v>
      </c>
      <c r="T203" s="32" t="n">
        <v>0</v>
      </c>
      <c r="U203" s="31" t="n">
        <v>0</v>
      </c>
      <c r="V203" s="32" t="n">
        <v>0</v>
      </c>
      <c r="W203" s="31" t="n">
        <v>0</v>
      </c>
      <c r="X203" s="31" t="n">
        <v>0</v>
      </c>
      <c r="Y203" s="3" t="n">
        <v>0</v>
      </c>
      <c r="Z203" s="3" t="n">
        <v>0</v>
      </c>
      <c r="AA203" s="32" t="n">
        <v>0</v>
      </c>
      <c r="AB203" s="3" t="n">
        <v>0</v>
      </c>
      <c r="AC203" s="32" t="n">
        <v>0</v>
      </c>
      <c r="AD203" s="3" t="n"/>
      <c r="AE203" s="31" t="n">
        <v>0</v>
      </c>
      <c r="AF203" s="2" t="n">
        <v>0</v>
      </c>
      <c r="AG203" s="2" t="n">
        <v>90</v>
      </c>
      <c r="AH203" s="4" t="n">
        <v>90</v>
      </c>
      <c r="AI203" s="33" t="n">
        <v>35.98</v>
      </c>
      <c r="AJ203" s="4" t="n">
        <v>2</v>
      </c>
      <c r="AK203" s="34" t="n">
        <v>0.0222</v>
      </c>
      <c r="AL203" s="34" t="n">
        <v>1</v>
      </c>
      <c r="AM203" s="2" t="n">
        <v>36180</v>
      </c>
    </row>
    <row r="204">
      <c r="A204">
        <f>HYPERLINK("https://www.walmart.com/ip/451336189", "451336189")</f>
        <v/>
      </c>
      <c r="B204">
        <f>HYPERLINK("https://app.optiwise.ai/catalog/itemdetails/362178", "Catalonia Mermaid Tail Blanket, Adult Mermaid Blanket with Anti-Slip Neck Strap, Silky Hand Knitted Sleeping Blanket for Adults All Season Sleeping Bag Multi-Colors 66.5x22.5 Grey")</f>
        <v/>
      </c>
      <c r="C204" t="inlineStr">
        <is>
          <t>-</t>
        </is>
      </c>
      <c r="E204" t="inlineStr">
        <is>
          <t>1CTMM100GY</t>
        </is>
      </c>
      <c r="F204" t="n">
        <v>1</v>
      </c>
      <c r="G204" t="inlineStr">
        <is>
          <t>Bedding</t>
        </is>
      </c>
      <c r="H204" t="inlineStr">
        <is>
          <t>Throws</t>
        </is>
      </c>
      <c r="I204" t="inlineStr">
        <is>
          <t>Catalonia</t>
        </is>
      </c>
      <c r="J204" t="n">
        <v>5</v>
      </c>
      <c r="K204" t="inlineStr">
        <is>
          <t>Optimized</t>
        </is>
      </c>
      <c r="L204" s="29" t="n">
        <v>35.98</v>
      </c>
      <c r="M204" s="30" t="n">
        <v>0.0003</v>
      </c>
      <c r="N204" s="29" t="n">
        <v>0</v>
      </c>
      <c r="O204" s="29" t="n">
        <v>0</v>
      </c>
      <c r="P204" s="2" t="n">
        <v>2</v>
      </c>
      <c r="Q204" s="31" t="n">
        <v>0</v>
      </c>
      <c r="R204" s="32" t="n"/>
      <c r="S204" s="32" t="n">
        <v>0</v>
      </c>
      <c r="T204" s="32" t="n">
        <v>0</v>
      </c>
      <c r="U204" s="31" t="n">
        <v>0</v>
      </c>
      <c r="V204" s="32" t="n">
        <v>0</v>
      </c>
      <c r="W204" s="31" t="n">
        <v>0</v>
      </c>
      <c r="X204" s="31" t="n">
        <v>0</v>
      </c>
      <c r="Y204" s="3" t="n">
        <v>0</v>
      </c>
      <c r="Z204" s="3" t="n">
        <v>0</v>
      </c>
      <c r="AA204" s="32" t="n">
        <v>0</v>
      </c>
      <c r="AB204" s="3" t="n">
        <v>0</v>
      </c>
      <c r="AC204" s="32" t="n">
        <v>0</v>
      </c>
      <c r="AD204" s="3" t="n"/>
      <c r="AE204" s="31" t="n">
        <v>0</v>
      </c>
      <c r="AF204" s="2" t="n">
        <v>0</v>
      </c>
      <c r="AG204" s="2" t="n">
        <v>28</v>
      </c>
      <c r="AH204" s="4" t="n">
        <v>28</v>
      </c>
      <c r="AI204" s="33" t="n">
        <v>35.98</v>
      </c>
      <c r="AJ204" s="4" t="n">
        <v>2</v>
      </c>
      <c r="AK204" s="34" t="n">
        <v>0.07140000000000001</v>
      </c>
      <c r="AL204" s="34" t="n">
        <v>1</v>
      </c>
      <c r="AM204" s="2" t="n">
        <v>4725</v>
      </c>
    </row>
    <row r="205">
      <c r="A205">
        <f>HYPERLINK("https://www.walmart.com/ip/718394544", "718394544")</f>
        <v/>
      </c>
      <c r="B205">
        <f>HYPERLINK("https://app.optiwise.ai/catalog/itemdetails/358736", "Flyingstar Women's Ponytail Sun Hat for Hiking, Gardening and Safari, Wide Brim Hat For Women with Breathable Mesh and Ponytail Hole Opening, Tan")</f>
        <v/>
      </c>
      <c r="C205" t="n">
        <v>4</v>
      </c>
      <c r="D205" t="inlineStr">
        <is>
          <t>B78691_1681725_38C32BB0C5BE9484</t>
        </is>
      </c>
      <c r="E205" t="inlineStr">
        <is>
          <t>1WMSH912TN</t>
        </is>
      </c>
      <c r="F205" t="n">
        <v>11</v>
      </c>
      <c r="G205" t="inlineStr">
        <is>
          <t>Clothing</t>
        </is>
      </c>
      <c r="H205" t="inlineStr">
        <is>
          <t>Hats</t>
        </is>
      </c>
      <c r="I205" t="inlineStr">
        <is>
          <t>Flyingstar</t>
        </is>
      </c>
      <c r="J205" t="n">
        <v>3.9</v>
      </c>
      <c r="K205" t="inlineStr">
        <is>
          <t>Optimized,Hats</t>
        </is>
      </c>
      <c r="L205" s="29" t="n">
        <v>35.97</v>
      </c>
      <c r="M205" s="30" t="n">
        <v>0.0003</v>
      </c>
      <c r="N205" s="29" t="n">
        <v>0</v>
      </c>
      <c r="O205" s="29" t="n">
        <v>0</v>
      </c>
      <c r="P205" s="2" t="n">
        <v>3</v>
      </c>
      <c r="Q205" s="31" t="n">
        <v>0</v>
      </c>
      <c r="R205" s="32" t="n"/>
      <c r="S205" s="32" t="n">
        <v>0</v>
      </c>
      <c r="T205" s="32" t="n">
        <v>0</v>
      </c>
      <c r="U205" s="31" t="n">
        <v>0</v>
      </c>
      <c r="V205" s="32" t="n">
        <v>0</v>
      </c>
      <c r="W205" s="31" t="n">
        <v>0</v>
      </c>
      <c r="X205" s="31" t="n">
        <v>0</v>
      </c>
      <c r="Y205" s="3" t="n">
        <v>0</v>
      </c>
      <c r="Z205" s="3" t="n">
        <v>0</v>
      </c>
      <c r="AA205" s="32" t="n">
        <v>0</v>
      </c>
      <c r="AB205" s="3" t="n">
        <v>0</v>
      </c>
      <c r="AC205" s="32" t="n">
        <v>0</v>
      </c>
      <c r="AD205" s="3" t="n"/>
      <c r="AE205" s="31" t="n">
        <v>0</v>
      </c>
      <c r="AF205" s="2" t="n">
        <v>0</v>
      </c>
      <c r="AG205" s="2" t="n">
        <v>79</v>
      </c>
      <c r="AH205" s="4" t="n">
        <v>79</v>
      </c>
      <c r="AI205" s="33" t="n">
        <v>35.97</v>
      </c>
      <c r="AJ205" s="4" t="n">
        <v>3</v>
      </c>
      <c r="AK205" s="34" t="n">
        <v>0.038</v>
      </c>
      <c r="AL205" s="34" t="n">
        <v>1</v>
      </c>
      <c r="AM205" s="2" t="n">
        <v>18135</v>
      </c>
    </row>
    <row r="206">
      <c r="A206">
        <f>HYPERLINK("https://www.walmart.com/ip/177464332", "177464332")</f>
        <v/>
      </c>
      <c r="B206">
        <f>HYPERLINK("https://app.optiwise.ai/catalog/itemdetails/362317", "Headshots Fishing Hats with Anti-Mosquito Facemask, UV Protection Sun Hat for Women and Men, Digital Green")</f>
        <v/>
      </c>
      <c r="C206" t="n">
        <v>3</v>
      </c>
      <c r="D206" t="inlineStr">
        <is>
          <t>B78691_969323_B705F51D9402E053</t>
        </is>
      </c>
      <c r="E206" t="inlineStr">
        <is>
          <t>kc-s9198-digign</t>
        </is>
      </c>
      <c r="F206" t="n">
        <v>1</v>
      </c>
      <c r="G206" t="inlineStr">
        <is>
          <t>Clothing</t>
        </is>
      </c>
      <c r="H206" t="inlineStr">
        <is>
          <t>Hats</t>
        </is>
      </c>
      <c r="I206" t="inlineStr">
        <is>
          <t>Headshots</t>
        </is>
      </c>
      <c r="K206" t="inlineStr">
        <is>
          <t>Q2-Target,Batch 1 - TR</t>
        </is>
      </c>
      <c r="L206" s="29" t="n">
        <v>35.96</v>
      </c>
      <c r="M206" s="30" t="n">
        <v>0.0003</v>
      </c>
      <c r="N206" s="29" t="n">
        <v>0</v>
      </c>
      <c r="O206" s="29" t="n">
        <v>0</v>
      </c>
      <c r="P206" s="2" t="n">
        <v>4</v>
      </c>
      <c r="Q206" s="31" t="n">
        <v>0</v>
      </c>
      <c r="R206" s="32" t="n"/>
      <c r="S206" s="32" t="n">
        <v>0</v>
      </c>
      <c r="T206" s="32" t="n">
        <v>0</v>
      </c>
      <c r="U206" s="31" t="n">
        <v>0</v>
      </c>
      <c r="V206" s="32" t="n">
        <v>0</v>
      </c>
      <c r="W206" s="31" t="n">
        <v>0</v>
      </c>
      <c r="X206" s="31" t="n">
        <v>0</v>
      </c>
      <c r="Y206" s="3" t="n">
        <v>0</v>
      </c>
      <c r="Z206" s="3" t="n">
        <v>0</v>
      </c>
      <c r="AA206" s="32" t="n">
        <v>0</v>
      </c>
      <c r="AB206" s="3" t="n">
        <v>0</v>
      </c>
      <c r="AC206" s="32" t="n">
        <v>0</v>
      </c>
      <c r="AD206" s="3" t="n"/>
      <c r="AE206" s="31" t="n">
        <v>0</v>
      </c>
      <c r="AF206" s="2" t="n">
        <v>0</v>
      </c>
      <c r="AG206" s="2" t="n">
        <v>35</v>
      </c>
      <c r="AH206" s="4" t="n">
        <v>35</v>
      </c>
      <c r="AI206" s="33" t="n">
        <v>35.96</v>
      </c>
      <c r="AJ206" s="4" t="n">
        <v>4</v>
      </c>
      <c r="AK206" s="34" t="n">
        <v>0.1143</v>
      </c>
      <c r="AL206" s="34" t="n">
        <v>1</v>
      </c>
      <c r="AM206" s="2" t="n">
        <v>7188</v>
      </c>
    </row>
    <row r="207">
      <c r="A207">
        <f>HYPERLINK("https://www.walmart.com/ip/10308212702", "10308212702")</f>
        <v/>
      </c>
      <c r="B207">
        <f>HYPERLINK("https://app.optiwise.ai/catalog/itemdetails/20131083", "Dickies Tradesman Backpack, Water Resistant Casual Daypack for Travel Work School, Fits 15.6 Inch Notebook (Brown Duck)")</f>
        <v/>
      </c>
      <c r="C207" t="n">
        <v>2</v>
      </c>
      <c r="D207" t="inlineStr">
        <is>
          <t>B78691_1683944_5C9BB2671E1E9004</t>
        </is>
      </c>
      <c r="E207" t="inlineStr">
        <is>
          <t>DK-BACKPACK-15168-BLACK</t>
        </is>
      </c>
      <c r="F207" t="n">
        <v>0</v>
      </c>
      <c r="G207" t="inlineStr">
        <is>
          <t>Cases &amp; Bags</t>
        </is>
      </c>
      <c r="H207" t="inlineStr">
        <is>
          <t>Backpacks</t>
        </is>
      </c>
      <c r="I207" t="inlineStr">
        <is>
          <t>Dickies</t>
        </is>
      </c>
      <c r="L207" s="29" t="n">
        <v>34.99</v>
      </c>
      <c r="M207" s="30" t="n">
        <v>0.0003</v>
      </c>
      <c r="N207" s="29" t="n">
        <v>0</v>
      </c>
      <c r="O207" s="29" t="n">
        <v>0</v>
      </c>
      <c r="P207" s="2" t="n">
        <v>1</v>
      </c>
      <c r="Q207" s="31" t="n">
        <v>0</v>
      </c>
      <c r="R207" s="32" t="n"/>
      <c r="S207" s="32" t="n">
        <v>0</v>
      </c>
      <c r="T207" s="32" t="n">
        <v>0</v>
      </c>
      <c r="U207" s="31" t="n">
        <v>0</v>
      </c>
      <c r="V207" s="32" t="n">
        <v>0</v>
      </c>
      <c r="W207" s="31" t="n">
        <v>0</v>
      </c>
      <c r="X207" s="31" t="n">
        <v>0</v>
      </c>
      <c r="Y207" s="3" t="n">
        <v>0</v>
      </c>
      <c r="Z207" s="3" t="n">
        <v>0</v>
      </c>
      <c r="AA207" s="32" t="n">
        <v>0</v>
      </c>
      <c r="AB207" s="3" t="n">
        <v>0</v>
      </c>
      <c r="AC207" s="32" t="n">
        <v>0</v>
      </c>
      <c r="AD207" s="3" t="n"/>
      <c r="AE207" s="31" t="n">
        <v>0</v>
      </c>
      <c r="AF207" s="2" t="n">
        <v>0</v>
      </c>
      <c r="AG207" s="2" t="n">
        <v>0</v>
      </c>
      <c r="AH207" s="4" t="n">
        <v>0</v>
      </c>
      <c r="AI207" s="33" t="n">
        <v>34.99</v>
      </c>
      <c r="AJ207" s="4" t="n">
        <v>1</v>
      </c>
      <c r="AK207" s="34" t="n"/>
      <c r="AL207" s="34" t="n">
        <v>1</v>
      </c>
      <c r="AM207" s="2" t="n">
        <v>13500</v>
      </c>
    </row>
    <row r="208">
      <c r="A208">
        <f>HYPERLINK("https://www.walmart.com/ip/207008026", "207008026")</f>
        <v/>
      </c>
      <c r="B208">
        <f>HYPERLINK("https://app.optiwise.ai/catalog/itemdetails/358773", "JenniWears Women's Short One-Size Semi-Sheer Purple Tutu Skirt, Great for Dance and Ballet, 6-Pack")</f>
        <v/>
      </c>
      <c r="C208" t="inlineStr">
        <is>
          <t>-</t>
        </is>
      </c>
      <c r="E208" t="inlineStr">
        <is>
          <t>tutus-light purple-6pcs</t>
        </is>
      </c>
      <c r="F208" t="n">
        <v>0</v>
      </c>
      <c r="G208" t="inlineStr">
        <is>
          <t>Skirts</t>
        </is>
      </c>
      <c r="H208" t="inlineStr">
        <is>
          <t>Skirts</t>
        </is>
      </c>
      <c r="I208" t="inlineStr">
        <is>
          <t>JenniWears</t>
        </is>
      </c>
      <c r="K208" t="inlineStr">
        <is>
          <t>Optimized</t>
        </is>
      </c>
      <c r="L208" s="29" t="n">
        <v>33.98</v>
      </c>
      <c r="M208" s="30" t="n">
        <v>0.0003</v>
      </c>
      <c r="N208" s="29" t="n">
        <v>0</v>
      </c>
      <c r="O208" s="29" t="n">
        <v>0</v>
      </c>
      <c r="P208" s="2" t="n">
        <v>2</v>
      </c>
      <c r="Q208" s="31" t="n">
        <v>0</v>
      </c>
      <c r="R208" s="32" t="n"/>
      <c r="S208" s="32" t="n">
        <v>0</v>
      </c>
      <c r="T208" s="32" t="n">
        <v>0</v>
      </c>
      <c r="U208" s="31" t="n">
        <v>0</v>
      </c>
      <c r="V208" s="32" t="n">
        <v>0</v>
      </c>
      <c r="W208" s="31" t="n">
        <v>0</v>
      </c>
      <c r="X208" s="31" t="n">
        <v>0</v>
      </c>
      <c r="Y208" s="3" t="n">
        <v>0</v>
      </c>
      <c r="Z208" s="3" t="n">
        <v>0</v>
      </c>
      <c r="AA208" s="32" t="n">
        <v>0</v>
      </c>
      <c r="AB208" s="3" t="n">
        <v>0</v>
      </c>
      <c r="AC208" s="32" t="n">
        <v>0</v>
      </c>
      <c r="AD208" s="3" t="n"/>
      <c r="AE208" s="31" t="n">
        <v>0</v>
      </c>
      <c r="AF208" s="2" t="n">
        <v>0</v>
      </c>
      <c r="AG208" s="2" t="n">
        <v>7</v>
      </c>
      <c r="AH208" s="4" t="n">
        <v>7</v>
      </c>
      <c r="AI208" s="33" t="n">
        <v>33.98</v>
      </c>
      <c r="AJ208" s="4" t="n">
        <v>2</v>
      </c>
      <c r="AK208" s="34" t="n">
        <v>0.2857</v>
      </c>
      <c r="AL208" s="34" t="n">
        <v>1</v>
      </c>
      <c r="AM208" s="2" t="n">
        <v>0</v>
      </c>
    </row>
    <row r="209">
      <c r="A209">
        <f>HYPERLINK("https://www.walmart.com/ip/14486463813", "14486463813")</f>
        <v/>
      </c>
      <c r="B209">
        <f>HYPERLINK("https://app.optiwise.ai/catalog/itemdetails/13057937", "Catalonia Womens' Full Body Blanket Hoodie Sweatshirt, Extra Long Wearable Fleece Pullover, Gift for Adult Men Women Wife Girlfriend, Black")</f>
        <v/>
      </c>
      <c r="C209" t="inlineStr">
        <is>
          <t>-</t>
        </is>
      </c>
      <c r="E209" t="inlineStr">
        <is>
          <t>1CTOSH310S1BK-FS</t>
        </is>
      </c>
      <c r="F209" t="n">
        <v>1</v>
      </c>
      <c r="G209" t="inlineStr">
        <is>
          <t>Clothing</t>
        </is>
      </c>
      <c r="H209" t="inlineStr">
        <is>
          <t>Sweatshirts &amp; Hoodies</t>
        </is>
      </c>
      <c r="I209" t="inlineStr">
        <is>
          <t>Catalonia</t>
        </is>
      </c>
      <c r="J209" t="n">
        <v>5</v>
      </c>
      <c r="L209" s="29" t="n">
        <v>32.99</v>
      </c>
      <c r="M209" s="30" t="n">
        <v>0.0003</v>
      </c>
      <c r="N209" s="29" t="n">
        <v>0</v>
      </c>
      <c r="O209" s="29" t="n">
        <v>0</v>
      </c>
      <c r="P209" s="2" t="n">
        <v>1</v>
      </c>
      <c r="Q209" s="31" t="n">
        <v>0</v>
      </c>
      <c r="R209" s="32" t="n"/>
      <c r="S209" s="32" t="n">
        <v>0</v>
      </c>
      <c r="T209" s="32" t="n">
        <v>0</v>
      </c>
      <c r="U209" s="31" t="n">
        <v>0</v>
      </c>
      <c r="V209" s="32" t="n">
        <v>0</v>
      </c>
      <c r="W209" s="31" t="n">
        <v>0</v>
      </c>
      <c r="X209" s="31" t="n">
        <v>0</v>
      </c>
      <c r="Y209" s="3" t="n">
        <v>0</v>
      </c>
      <c r="Z209" s="3" t="n">
        <v>0</v>
      </c>
      <c r="AA209" s="32" t="n">
        <v>0</v>
      </c>
      <c r="AB209" s="3" t="n">
        <v>0</v>
      </c>
      <c r="AC209" s="32" t="n">
        <v>0</v>
      </c>
      <c r="AD209" s="3" t="n"/>
      <c r="AE209" s="31" t="n">
        <v>0</v>
      </c>
      <c r="AF209" s="2" t="n">
        <v>0</v>
      </c>
      <c r="AG209" s="2" t="n">
        <v>7</v>
      </c>
      <c r="AH209" s="4" t="n">
        <v>7</v>
      </c>
      <c r="AI209" s="33" t="n">
        <v>32.99</v>
      </c>
      <c r="AJ209" s="4" t="n">
        <v>1</v>
      </c>
      <c r="AK209" s="34" t="n">
        <v>0.1429</v>
      </c>
      <c r="AL209" s="34" t="n">
        <v>1</v>
      </c>
      <c r="AM209" s="2" t="n">
        <v>1215</v>
      </c>
    </row>
    <row r="210">
      <c r="A210">
        <f>HYPERLINK("https://www.walmart.com/ip/168263703", "168263703")</f>
        <v/>
      </c>
      <c r="B210">
        <f>HYPERLINK("https://app.optiwise.ai/catalog/itemdetails/362055", "JenniWears® Women's Stretch Mesh Bikini Panty with Open Back Heart Detail")</f>
        <v/>
      </c>
      <c r="C210" t="n">
        <v>9</v>
      </c>
      <c r="D210" t="inlineStr">
        <is>
          <t>B78691_979676_FCBC8ABA2999A037</t>
        </is>
      </c>
      <c r="E210" t="inlineStr">
        <is>
          <t>JWPT02PK-M</t>
        </is>
      </c>
      <c r="F210" t="n">
        <v>3</v>
      </c>
      <c r="G210" t="inlineStr">
        <is>
          <t>Clothing</t>
        </is>
      </c>
      <c r="H210" t="inlineStr">
        <is>
          <t>Panties</t>
        </is>
      </c>
      <c r="I210" t="inlineStr">
        <is>
          <t>JenniWears</t>
        </is>
      </c>
      <c r="K210" t="inlineStr">
        <is>
          <t>Valentine</t>
        </is>
      </c>
      <c r="L210" s="29" t="n">
        <v>31.96</v>
      </c>
      <c r="M210" s="30" t="n">
        <v>0.0003</v>
      </c>
      <c r="N210" s="29" t="n">
        <v>0</v>
      </c>
      <c r="O210" s="29" t="n">
        <v>0</v>
      </c>
      <c r="P210" s="2" t="n">
        <v>4</v>
      </c>
      <c r="Q210" s="31" t="n">
        <v>0</v>
      </c>
      <c r="R210" s="32" t="n"/>
      <c r="S210" s="32" t="n">
        <v>0</v>
      </c>
      <c r="T210" s="32" t="n">
        <v>0</v>
      </c>
      <c r="U210" s="31" t="n">
        <v>0</v>
      </c>
      <c r="V210" s="32" t="n">
        <v>0</v>
      </c>
      <c r="W210" s="31" t="n">
        <v>0</v>
      </c>
      <c r="X210" s="31" t="n">
        <v>0</v>
      </c>
      <c r="Y210" s="3" t="n">
        <v>0</v>
      </c>
      <c r="Z210" s="3" t="n">
        <v>0</v>
      </c>
      <c r="AA210" s="32" t="n">
        <v>0</v>
      </c>
      <c r="AB210" s="3" t="n">
        <v>0</v>
      </c>
      <c r="AC210" s="32" t="n">
        <v>0</v>
      </c>
      <c r="AD210" s="3" t="n"/>
      <c r="AE210" s="31" t="n">
        <v>0</v>
      </c>
      <c r="AF210" s="2" t="n">
        <v>0</v>
      </c>
      <c r="AG210" s="2" t="n">
        <v>98</v>
      </c>
      <c r="AH210" s="4" t="n">
        <v>98</v>
      </c>
      <c r="AI210" s="33" t="n">
        <v>31.96</v>
      </c>
      <c r="AJ210" s="4" t="n">
        <v>4</v>
      </c>
      <c r="AK210" s="34" t="n">
        <v>0.0408</v>
      </c>
      <c r="AL210" s="34" t="n">
        <v>1</v>
      </c>
      <c r="AM210" s="2" t="n">
        <v>11508</v>
      </c>
    </row>
    <row r="211">
      <c r="A211">
        <f>HYPERLINK("https://www.walmart.com/ip/594302699", "594302699")</f>
        <v/>
      </c>
      <c r="B211">
        <f>HYPERLINK("https://app.optiwise.ai/catalog/itemdetails/360619", "Runner Waist Pack - Hip Hug Running Fuel Belt with 2 Pockets - NO BOUNCE Runner's Fanny Pack - Storage Pouch Bag Runners")</f>
        <v/>
      </c>
      <c r="C211" t="n">
        <v>5</v>
      </c>
      <c r="D211" t="inlineStr">
        <is>
          <t>B78691_1635993_6FAB7E7BB5B5F90F</t>
        </is>
      </c>
      <c r="E211" t="inlineStr">
        <is>
          <t>TERRA-3BK-L-ZJ</t>
        </is>
      </c>
      <c r="F211" t="n">
        <v>0</v>
      </c>
      <c r="G211" t="inlineStr">
        <is>
          <t>Cases &amp; Bags</t>
        </is>
      </c>
      <c r="H211" t="inlineStr">
        <is>
          <t>Fanny Packs</t>
        </is>
      </c>
      <c r="I211" t="inlineStr">
        <is>
          <t>Terra</t>
        </is>
      </c>
      <c r="K211" t="inlineStr">
        <is>
          <t>Batch 1 - TR</t>
        </is>
      </c>
      <c r="L211" s="29" t="n">
        <v>31.92</v>
      </c>
      <c r="M211" s="30" t="n">
        <v>0.0003</v>
      </c>
      <c r="N211" s="29" t="n">
        <v>0</v>
      </c>
      <c r="O211" s="29" t="n">
        <v>0</v>
      </c>
      <c r="P211" s="2" t="n">
        <v>4</v>
      </c>
      <c r="Q211" s="31" t="n">
        <v>0</v>
      </c>
      <c r="R211" s="32" t="n"/>
      <c r="S211" s="32" t="n">
        <v>0</v>
      </c>
      <c r="T211" s="32" t="n">
        <v>0</v>
      </c>
      <c r="U211" s="31" t="n">
        <v>0</v>
      </c>
      <c r="V211" s="32" t="n">
        <v>0</v>
      </c>
      <c r="W211" s="31" t="n">
        <v>0</v>
      </c>
      <c r="X211" s="31" t="n">
        <v>0</v>
      </c>
      <c r="Y211" s="3" t="n">
        <v>0</v>
      </c>
      <c r="Z211" s="3" t="n">
        <v>0</v>
      </c>
      <c r="AA211" s="32" t="n">
        <v>0</v>
      </c>
      <c r="AB211" s="3" t="n">
        <v>0</v>
      </c>
      <c r="AC211" s="32" t="n">
        <v>0</v>
      </c>
      <c r="AD211" s="3" t="n"/>
      <c r="AE211" s="31" t="n">
        <v>0</v>
      </c>
      <c r="AF211" s="2" t="n">
        <v>0</v>
      </c>
      <c r="AG211" s="2" t="n">
        <v>54</v>
      </c>
      <c r="AH211" s="4" t="n">
        <v>54</v>
      </c>
      <c r="AI211" s="33" t="n">
        <v>31.92</v>
      </c>
      <c r="AJ211" s="4" t="n">
        <v>4</v>
      </c>
      <c r="AK211" s="34" t="n">
        <v>0.0741</v>
      </c>
      <c r="AL211" s="34" t="n">
        <v>1</v>
      </c>
      <c r="AM211" s="2" t="n">
        <v>9922</v>
      </c>
    </row>
    <row r="212">
      <c r="A212">
        <f>HYPERLINK("https://www.walmart.com/ip/187889738", "187889738")</f>
        <v/>
      </c>
      <c r="B212">
        <f>HYPERLINK("https://app.optiwise.ai/catalog/itemdetails/362765", "Women's Plus Size Floral Lace Mesh Chemise Sleepwear and G-string")</f>
        <v/>
      </c>
      <c r="C212" t="n">
        <v>8</v>
      </c>
      <c r="D212" t="inlineStr">
        <is>
          <t>B78691_979772_FCBC8ABA2999A037</t>
        </is>
      </c>
      <c r="E212" t="inlineStr">
        <is>
          <t>JWBD05WT-XL</t>
        </is>
      </c>
      <c r="F212" t="n">
        <v>4</v>
      </c>
      <c r="G212" t="inlineStr">
        <is>
          <t>Clothing</t>
        </is>
      </c>
      <c r="H212" t="inlineStr">
        <is>
          <t>Lingerie Sets</t>
        </is>
      </c>
      <c r="I212" t="inlineStr">
        <is>
          <t>JenniWears</t>
        </is>
      </c>
      <c r="J212" t="n">
        <v>3.3</v>
      </c>
      <c r="K212" t="inlineStr">
        <is>
          <t>Optimized,Valentine</t>
        </is>
      </c>
      <c r="L212" s="29" t="n">
        <v>31.92</v>
      </c>
      <c r="M212" s="30" t="n">
        <v>0.0003</v>
      </c>
      <c r="N212" s="29" t="n">
        <v>0</v>
      </c>
      <c r="O212" s="29" t="n">
        <v>0</v>
      </c>
      <c r="P212" s="2" t="n">
        <v>4</v>
      </c>
      <c r="Q212" s="31" t="n">
        <v>0</v>
      </c>
      <c r="R212" s="32" t="n"/>
      <c r="S212" s="32" t="n">
        <v>0</v>
      </c>
      <c r="T212" s="32" t="n">
        <v>0</v>
      </c>
      <c r="U212" s="31" t="n">
        <v>0</v>
      </c>
      <c r="V212" s="32" t="n">
        <v>0</v>
      </c>
      <c r="W212" s="31" t="n">
        <v>0</v>
      </c>
      <c r="X212" s="31" t="n">
        <v>0</v>
      </c>
      <c r="Y212" s="3" t="n">
        <v>0</v>
      </c>
      <c r="Z212" s="3" t="n">
        <v>0</v>
      </c>
      <c r="AA212" s="32" t="n">
        <v>0</v>
      </c>
      <c r="AB212" s="3" t="n">
        <v>0</v>
      </c>
      <c r="AC212" s="32" t="n">
        <v>0</v>
      </c>
      <c r="AD212" s="3" t="n"/>
      <c r="AE212" s="31" t="n">
        <v>0</v>
      </c>
      <c r="AF212" s="2" t="n">
        <v>0</v>
      </c>
      <c r="AG212" s="2" t="n">
        <v>292</v>
      </c>
      <c r="AH212" s="4" t="n">
        <v>292</v>
      </c>
      <c r="AI212" s="33" t="n">
        <v>31.92</v>
      </c>
      <c r="AJ212" s="4" t="n">
        <v>4</v>
      </c>
      <c r="AK212" s="34" t="n">
        <v>0.0137</v>
      </c>
      <c r="AL212" s="34" t="n">
        <v>1</v>
      </c>
      <c r="AM212" s="2" t="n">
        <v>18393</v>
      </c>
    </row>
    <row r="213">
      <c r="A213">
        <f>HYPERLINK("https://www.walmart.com/ip/145739849", "145739849")</f>
        <v/>
      </c>
      <c r="B213">
        <f>HYPERLINK("https://app.optiwise.ai/catalog/itemdetails/362627", "Deluxe Stylish Microplush Sleeved Fleece Blanket Soft Home Sofa Snuggie")</f>
        <v/>
      </c>
      <c r="C213" t="n">
        <v>9</v>
      </c>
      <c r="D213" t="inlineStr">
        <is>
          <t>B78691_969303_5C9BB2671E1E9004</t>
        </is>
      </c>
      <c r="E213" t="inlineStr">
        <is>
          <t>k3000-Brown</t>
        </is>
      </c>
      <c r="F213" t="n">
        <v>12</v>
      </c>
      <c r="G213" t="inlineStr">
        <is>
          <t>Clothing</t>
        </is>
      </c>
      <c r="H213" t="inlineStr">
        <is>
          <t>Sleepwear Robes &amp; Bathrobes</t>
        </is>
      </c>
      <c r="I213" t="inlineStr">
        <is>
          <t>NAPA</t>
        </is>
      </c>
      <c r="K213" t="inlineStr">
        <is>
          <t>Optimized,Fleece Blankets</t>
        </is>
      </c>
      <c r="L213" s="29" t="n">
        <v>29.99</v>
      </c>
      <c r="M213" s="30" t="n">
        <v>0.0003</v>
      </c>
      <c r="N213" s="29" t="n">
        <v>29.98999977111816</v>
      </c>
      <c r="O213" s="29" t="n">
        <v>0</v>
      </c>
      <c r="P213" s="2" t="n">
        <v>1</v>
      </c>
      <c r="Q213" s="31" t="n">
        <v>0</v>
      </c>
      <c r="R213" s="32" t="n"/>
      <c r="S213" s="32" t="n">
        <v>0</v>
      </c>
      <c r="T213" s="32" t="n">
        <v>0</v>
      </c>
      <c r="U213" s="31" t="n">
        <v>0</v>
      </c>
      <c r="V213" s="32" t="n">
        <v>0</v>
      </c>
      <c r="W213" s="31" t="n">
        <v>0</v>
      </c>
      <c r="X213" s="31" t="n">
        <v>0</v>
      </c>
      <c r="Y213" s="3" t="n">
        <v>0</v>
      </c>
      <c r="Z213" s="3" t="n">
        <v>0</v>
      </c>
      <c r="AA213" s="32" t="n">
        <v>0</v>
      </c>
      <c r="AB213" s="3" t="n">
        <v>0</v>
      </c>
      <c r="AC213" s="32" t="n">
        <v>0</v>
      </c>
      <c r="AD213" s="3" t="n"/>
      <c r="AE213" s="31" t="n">
        <v>0</v>
      </c>
      <c r="AF213" s="2" t="n">
        <v>0</v>
      </c>
      <c r="AG213" s="2" t="n">
        <v>93</v>
      </c>
      <c r="AH213" s="4" t="n">
        <v>93</v>
      </c>
      <c r="AI213" s="33" t="n">
        <v>29.99</v>
      </c>
      <c r="AJ213" s="4" t="n">
        <v>1</v>
      </c>
      <c r="AK213" s="34" t="n">
        <v>0.0108</v>
      </c>
      <c r="AL213" s="34" t="n">
        <v>1</v>
      </c>
      <c r="AM213" s="2" t="n">
        <v>46980</v>
      </c>
    </row>
    <row r="214">
      <c r="A214">
        <f>HYPERLINK("https://www.walmart.com/ip/267224144", "267224144")</f>
        <v/>
      </c>
      <c r="B214">
        <f>HYPERLINK("https://app.optiwise.ai/catalog/itemdetails/409166", "Catalonia Oversized Hoodie Sweatshirt Poncho, Casual Hoodie Cape, Batwing Coat Pullover Blanket | Fluffy Sherpa, Comfortable, Roomy | Gift for Adults Women Men, Pink")</f>
        <v/>
      </c>
      <c r="C214" t="n">
        <v>7</v>
      </c>
      <c r="D214" t="inlineStr">
        <is>
          <t>B78691_1681481_65D2EDBF929FB1A4</t>
        </is>
      </c>
      <c r="E214" t="inlineStr">
        <is>
          <t>1CTHD542PK</t>
        </is>
      </c>
      <c r="F214" t="n">
        <v>8</v>
      </c>
      <c r="G214" t="inlineStr">
        <is>
          <t>Clothing</t>
        </is>
      </c>
      <c r="H214" t="inlineStr">
        <is>
          <t>Sweatshirts &amp; Hoodies</t>
        </is>
      </c>
      <c r="I214" t="inlineStr">
        <is>
          <t>Catalonia</t>
        </is>
      </c>
      <c r="J214" t="n">
        <v>4.3</v>
      </c>
      <c r="K214" t="inlineStr">
        <is>
          <t>Hoodie ForAdult,Optimized</t>
        </is>
      </c>
      <c r="L214" s="29" t="n">
        <v>29.99</v>
      </c>
      <c r="M214" s="30" t="n">
        <v>0.0003</v>
      </c>
      <c r="N214" s="29" t="n">
        <v>0</v>
      </c>
      <c r="O214" s="29" t="n">
        <v>0</v>
      </c>
      <c r="P214" s="2" t="n">
        <v>1</v>
      </c>
      <c r="Q214" s="31" t="n">
        <v>9.490000000000002</v>
      </c>
      <c r="R214" s="32" t="n">
        <v>0.0011</v>
      </c>
      <c r="S214" s="32" t="n">
        <v>0.3164</v>
      </c>
      <c r="T214" s="32" t="n">
        <v>0.0945</v>
      </c>
      <c r="U214" s="31" t="n">
        <v>0</v>
      </c>
      <c r="V214" s="32" t="n">
        <v>0</v>
      </c>
      <c r="W214" s="31" t="n">
        <v>0</v>
      </c>
      <c r="X214" s="31" t="n">
        <v>0</v>
      </c>
      <c r="Y214" s="3" t="n">
        <v>11834</v>
      </c>
      <c r="Z214" s="3" t="n">
        <v>27</v>
      </c>
      <c r="AA214" s="32" t="n">
        <v>0.0023</v>
      </c>
      <c r="AB214" s="3" t="n">
        <v>0</v>
      </c>
      <c r="AC214" s="32" t="n">
        <v>0</v>
      </c>
      <c r="AD214" s="3" t="inlineStr">
        <is>
          <t>,Hoodies_Auto,High AUR SKUs_Optiwise_2024,Need to sell these SKUs by 15th Feb</t>
        </is>
      </c>
      <c r="AE214" s="31" t="n">
        <v>0.35</v>
      </c>
      <c r="AF214" s="2" t="n">
        <v>8</v>
      </c>
      <c r="AG214" s="2" t="n">
        <v>163</v>
      </c>
      <c r="AH214" s="4" t="n">
        <v>136</v>
      </c>
      <c r="AI214" s="33" t="n">
        <v>29.99</v>
      </c>
      <c r="AJ214" s="4" t="n">
        <v>1</v>
      </c>
      <c r="AK214" s="34" t="n">
        <v>0.0074</v>
      </c>
      <c r="AL214" s="34" t="n">
        <v>1</v>
      </c>
      <c r="AM214" s="2" t="n">
        <v>5400</v>
      </c>
    </row>
    <row r="215">
      <c r="A215">
        <f>HYPERLINK("https://www.walmart.com/ip/142622275", "142622275")</f>
        <v/>
      </c>
      <c r="B215">
        <f>HYPERLINK("https://app.optiwise.ai/catalog/itemdetails/361287", "Napa Women's Super Soft Warm Sherpa Bathrobe Micro Fleece Kimono Collar Plush Thick Spa Robe Sleepwear with Side Pockets Blue")</f>
        <v/>
      </c>
      <c r="C215" t="n">
        <v>2</v>
      </c>
      <c r="D215" t="inlineStr">
        <is>
          <t>B78691_1127522_64A8CFDA17D88EF4</t>
        </is>
      </c>
      <c r="E215" t="inlineStr">
        <is>
          <t>R5010COBLUE-01</t>
        </is>
      </c>
      <c r="F215" t="n">
        <v>0</v>
      </c>
      <c r="G215" t="inlineStr">
        <is>
          <t>Clothing</t>
        </is>
      </c>
      <c r="H215" t="inlineStr">
        <is>
          <t>Sleepwear Robes &amp; Bathrobes</t>
        </is>
      </c>
      <c r="I215" t="inlineStr">
        <is>
          <t>NAPA</t>
        </is>
      </c>
      <c r="K215" t="inlineStr">
        <is>
          <t>Optimized,Bathrobe</t>
        </is>
      </c>
      <c r="L215" s="29" t="n">
        <v>29.99</v>
      </c>
      <c r="M215" s="30" t="n">
        <v>0.0003</v>
      </c>
      <c r="N215" s="29" t="n">
        <v>0</v>
      </c>
      <c r="O215" s="29" t="n">
        <v>0</v>
      </c>
      <c r="P215" s="2" t="n">
        <v>1</v>
      </c>
      <c r="Q215" s="31" t="n">
        <v>0</v>
      </c>
      <c r="R215" s="32" t="n"/>
      <c r="S215" s="32" t="n">
        <v>0</v>
      </c>
      <c r="T215" s="32" t="n">
        <v>0</v>
      </c>
      <c r="U215" s="31" t="n">
        <v>0</v>
      </c>
      <c r="V215" s="32" t="n">
        <v>0</v>
      </c>
      <c r="W215" s="31" t="n">
        <v>0</v>
      </c>
      <c r="X215" s="31" t="n">
        <v>0</v>
      </c>
      <c r="Y215" s="3" t="n">
        <v>0</v>
      </c>
      <c r="Z215" s="3" t="n">
        <v>0</v>
      </c>
      <c r="AA215" s="32" t="n">
        <v>0</v>
      </c>
      <c r="AB215" s="3" t="n">
        <v>0</v>
      </c>
      <c r="AC215" s="32" t="n">
        <v>0</v>
      </c>
      <c r="AD215" s="3" t="n"/>
      <c r="AE215" s="31" t="n">
        <v>0</v>
      </c>
      <c r="AF215" s="2" t="n">
        <v>0</v>
      </c>
      <c r="AG215" s="2" t="n">
        <v>3</v>
      </c>
      <c r="AH215" s="4" t="n">
        <v>3</v>
      </c>
      <c r="AI215" s="33" t="n">
        <v>29.99</v>
      </c>
      <c r="AJ215" s="4" t="n">
        <v>1</v>
      </c>
      <c r="AK215" s="34" t="n">
        <v>0.3333</v>
      </c>
      <c r="AL215" s="34" t="n">
        <v>1</v>
      </c>
      <c r="AM215" s="2" t="n">
        <v>3375</v>
      </c>
    </row>
    <row r="216">
      <c r="A216">
        <f>HYPERLINK("https://www.walmart.com/ip/507968761", "507968761")</f>
        <v/>
      </c>
      <c r="B216">
        <f>HYPERLINK("https://app.optiwise.ai/catalog/itemdetails/358710", "Woman Hoodie Sweatshirt Poncho, Casual Batwing Cape Wrap Coat, Pullover Wearable Blanket")</f>
        <v/>
      </c>
      <c r="C216" t="n">
        <v>4</v>
      </c>
      <c r="D216" t="inlineStr">
        <is>
          <t>B78691_1680165_4BD591BF71EDF1A8</t>
        </is>
      </c>
      <c r="E216" t="inlineStr">
        <is>
          <t>1WMHD540S1BK</t>
        </is>
      </c>
      <c r="F216" t="n">
        <v>4</v>
      </c>
      <c r="G216" t="inlineStr">
        <is>
          <t>Clothing</t>
        </is>
      </c>
      <c r="H216" t="inlineStr">
        <is>
          <t>Sweatshirts &amp; Hoodies</t>
        </is>
      </c>
      <c r="I216" t="inlineStr">
        <is>
          <t>Flyingstar</t>
        </is>
      </c>
      <c r="J216" t="n">
        <v>4</v>
      </c>
      <c r="K216" t="inlineStr">
        <is>
          <t>Hoodie ForAdult,Optimized</t>
        </is>
      </c>
      <c r="L216" s="29" t="n">
        <v>29.98</v>
      </c>
      <c r="M216" s="30" t="n">
        <v>0.0003</v>
      </c>
      <c r="N216" s="29" t="n">
        <v>29.97999954223633</v>
      </c>
      <c r="O216" s="29" t="n">
        <v>0</v>
      </c>
      <c r="P216" s="2" t="n">
        <v>2</v>
      </c>
      <c r="Q216" s="31" t="n">
        <v>28.45</v>
      </c>
      <c r="R216" s="32" t="n">
        <v>0.0034</v>
      </c>
      <c r="S216" s="32" t="n">
        <v>0.949</v>
      </c>
      <c r="T216" s="32" t="n">
        <v>0.4841</v>
      </c>
      <c r="U216" s="31" t="n">
        <v>1.02</v>
      </c>
      <c r="V216" s="32" t="n">
        <v>0.98</v>
      </c>
      <c r="W216" s="31" t="n">
        <v>28.98</v>
      </c>
      <c r="X216" s="31" t="n">
        <v>14.99</v>
      </c>
      <c r="Y216" s="3" t="n">
        <v>22215</v>
      </c>
      <c r="Z216" s="3" t="n">
        <v>77</v>
      </c>
      <c r="AA216" s="32" t="n">
        <v>0.0035</v>
      </c>
      <c r="AB216" s="3" t="n">
        <v>2</v>
      </c>
      <c r="AC216" s="32" t="n">
        <v>0.026</v>
      </c>
      <c r="AD216" s="3" t="inlineStr">
        <is>
          <t>Hoodies_Auto,</t>
        </is>
      </c>
      <c r="AE216" s="31" t="n">
        <v>0.37</v>
      </c>
      <c r="AF216" s="2" t="n">
        <v>35</v>
      </c>
      <c r="AG216" s="2" t="n">
        <v>93</v>
      </c>
      <c r="AH216" s="4" t="n">
        <v>16</v>
      </c>
      <c r="AI216" s="33" t="n">
        <v>1</v>
      </c>
      <c r="AJ216" s="4" t="n">
        <v>0</v>
      </c>
      <c r="AK216" s="34" t="n"/>
      <c r="AL216" s="34" t="n">
        <v>0.0334</v>
      </c>
      <c r="AM216" s="2" t="n">
        <v>14512</v>
      </c>
    </row>
    <row r="217">
      <c r="A217">
        <f>HYPERLINK("https://www.walmart.com/ip/142323341", "142323341")</f>
        <v/>
      </c>
      <c r="B217">
        <f>HYPERLINK("https://app.optiwise.ai/catalog/itemdetails/362303", "Terra Faux Fur Pom Pom Beanie Hat Thick Slouchy Cable Knit Unisex Stretches to Fit Most")</f>
        <v/>
      </c>
      <c r="C217" t="n">
        <v>3</v>
      </c>
      <c r="D217" t="inlineStr">
        <is>
          <t>B78691_1127545_5C9BB2671E1E9004</t>
        </is>
      </c>
      <c r="E217" t="inlineStr">
        <is>
          <t>TERRAPPH02PK</t>
        </is>
      </c>
      <c r="F217" t="n">
        <v>0</v>
      </c>
      <c r="G217" t="inlineStr">
        <is>
          <t>Clothing</t>
        </is>
      </c>
      <c r="H217" t="inlineStr">
        <is>
          <t>Hats</t>
        </is>
      </c>
      <c r="I217" t="inlineStr">
        <is>
          <t>Terra</t>
        </is>
      </c>
      <c r="K217" t="inlineStr">
        <is>
          <t>Optimized</t>
        </is>
      </c>
      <c r="L217" s="29" t="n">
        <v>29.95</v>
      </c>
      <c r="M217" s="30" t="n">
        <v>0.0003</v>
      </c>
      <c r="N217" s="29" t="n">
        <v>0</v>
      </c>
      <c r="O217" s="29" t="n">
        <v>0</v>
      </c>
      <c r="P217" s="2" t="n">
        <v>5</v>
      </c>
      <c r="Q217" s="31" t="n">
        <v>0</v>
      </c>
      <c r="R217" s="32" t="n"/>
      <c r="S217" s="32" t="n">
        <v>0</v>
      </c>
      <c r="T217" s="32" t="n">
        <v>0</v>
      </c>
      <c r="U217" s="31" t="n">
        <v>0</v>
      </c>
      <c r="V217" s="32" t="n">
        <v>0</v>
      </c>
      <c r="W217" s="31" t="n">
        <v>0</v>
      </c>
      <c r="X217" s="31" t="n">
        <v>0</v>
      </c>
      <c r="Y217" s="3" t="n">
        <v>0</v>
      </c>
      <c r="Z217" s="3" t="n">
        <v>0</v>
      </c>
      <c r="AA217" s="32" t="n">
        <v>0</v>
      </c>
      <c r="AB217" s="3" t="n">
        <v>0</v>
      </c>
      <c r="AC217" s="32" t="n">
        <v>0</v>
      </c>
      <c r="AD217" s="3" t="n"/>
      <c r="AE217" s="31" t="n">
        <v>0</v>
      </c>
      <c r="AF217" s="2" t="n">
        <v>0</v>
      </c>
      <c r="AG217" s="2" t="n">
        <v>32</v>
      </c>
      <c r="AH217" s="4" t="n">
        <v>32</v>
      </c>
      <c r="AI217" s="33" t="n">
        <v>29.95</v>
      </c>
      <c r="AJ217" s="4" t="n">
        <v>5</v>
      </c>
      <c r="AK217" s="34" t="n">
        <v>0.1562</v>
      </c>
      <c r="AL217" s="34" t="n">
        <v>1</v>
      </c>
      <c r="AM217" s="2" t="n">
        <v>8100</v>
      </c>
    </row>
    <row r="218">
      <c r="A218">
        <f>HYPERLINK("https://www.walmart.com/ip/839480370", "839480370")</f>
        <v/>
      </c>
      <c r="B218">
        <f>HYPERLINK("https://app.optiwise.ai/catalog/itemdetails/359259", "100% Polar Fleece Skull Cap Warm and Cozy Beanie")</f>
        <v/>
      </c>
      <c r="C218" t="n">
        <v>8</v>
      </c>
      <c r="D218" t="inlineStr">
        <is>
          <t>B78691_1679174_5C9BB2671E1E9004</t>
        </is>
      </c>
      <c r="E218" t="inlineStr">
        <is>
          <t>1SLW1810RY-FSCB</t>
        </is>
      </c>
      <c r="F218" t="n">
        <v>0</v>
      </c>
      <c r="G218" t="inlineStr">
        <is>
          <t>Clothing</t>
        </is>
      </c>
      <c r="H218" t="inlineStr">
        <is>
          <t>Hats</t>
        </is>
      </c>
      <c r="I218" t="inlineStr">
        <is>
          <t>Solaris</t>
        </is>
      </c>
      <c r="K218" t="inlineStr">
        <is>
          <t>Optimized</t>
        </is>
      </c>
      <c r="L218" s="29" t="n">
        <v>29.9</v>
      </c>
      <c r="M218" s="30" t="n">
        <v>0.0003</v>
      </c>
      <c r="N218" s="29" t="n">
        <v>0</v>
      </c>
      <c r="O218" s="29" t="n">
        <v>0</v>
      </c>
      <c r="P218" s="2" t="n">
        <v>5</v>
      </c>
      <c r="Q218" s="31" t="n">
        <v>0</v>
      </c>
      <c r="R218" s="32" t="n"/>
      <c r="S218" s="32" t="n">
        <v>0</v>
      </c>
      <c r="T218" s="32" t="n">
        <v>0</v>
      </c>
      <c r="U218" s="31" t="n">
        <v>0</v>
      </c>
      <c r="V218" s="32" t="n">
        <v>0</v>
      </c>
      <c r="W218" s="31" t="n">
        <v>0</v>
      </c>
      <c r="X218" s="31" t="n">
        <v>0</v>
      </c>
      <c r="Y218" s="3" t="n">
        <v>0</v>
      </c>
      <c r="Z218" s="3" t="n">
        <v>0</v>
      </c>
      <c r="AA218" s="32" t="n">
        <v>0</v>
      </c>
      <c r="AB218" s="3" t="n">
        <v>0</v>
      </c>
      <c r="AC218" s="32" t="n">
        <v>0</v>
      </c>
      <c r="AD218" s="3" t="n"/>
      <c r="AE218" s="31" t="n">
        <v>0</v>
      </c>
      <c r="AF218" s="2" t="n">
        <v>0</v>
      </c>
      <c r="AG218" s="2" t="n">
        <v>46</v>
      </c>
      <c r="AH218" s="4" t="n">
        <v>46</v>
      </c>
      <c r="AI218" s="33" t="n">
        <v>29.9</v>
      </c>
      <c r="AJ218" s="4" t="n">
        <v>5</v>
      </c>
      <c r="AK218" s="34" t="n">
        <v>0.1087</v>
      </c>
      <c r="AL218" s="34" t="n">
        <v>1</v>
      </c>
      <c r="AM218" s="2" t="n">
        <v>17982</v>
      </c>
    </row>
    <row r="219">
      <c r="A219">
        <f>HYPERLINK("https://www.walmart.com/ip/5216276702", "5216276702")</f>
        <v/>
      </c>
      <c r="B219">
        <f>HYPERLINK("https://app.optiwise.ai/catalog/itemdetails/7776010", "Tirrinia Large Insulated Cooler Bag - Outdoor Leakproof Grocery Cooling Carrier, 20 L Travel &amp; To-Go Food Containers, Wine Tote for Picnics, Camping, Parties")</f>
        <v/>
      </c>
      <c r="C219" t="n">
        <v>2</v>
      </c>
      <c r="D219" t="inlineStr">
        <is>
          <t>B78691_1682370_94E0B097E8BAF7D5</t>
        </is>
      </c>
      <c r="E219" t="inlineStr">
        <is>
          <t>1TRCB10127BK</t>
        </is>
      </c>
      <c r="F219" t="n">
        <v>0</v>
      </c>
      <c r="G219" t="inlineStr">
        <is>
          <t>Home Decor, Kitchen, &amp; Other</t>
        </is>
      </c>
      <c r="H219" t="inlineStr">
        <is>
          <t>Thermocoolers</t>
        </is>
      </c>
      <c r="I219" t="inlineStr">
        <is>
          <t>Tirrinia</t>
        </is>
      </c>
      <c r="L219" s="29" t="n">
        <v>28.45</v>
      </c>
      <c r="M219" s="30" t="n">
        <v>0.0002</v>
      </c>
      <c r="N219" s="29" t="n">
        <v>0</v>
      </c>
      <c r="O219" s="29" t="n">
        <v>0</v>
      </c>
      <c r="P219" s="2" t="n">
        <v>1</v>
      </c>
      <c r="Q219" s="31" t="n">
        <v>0</v>
      </c>
      <c r="R219" s="32" t="n"/>
      <c r="S219" s="32" t="n">
        <v>0</v>
      </c>
      <c r="T219" s="32" t="n">
        <v>0</v>
      </c>
      <c r="U219" s="31" t="n">
        <v>0</v>
      </c>
      <c r="V219" s="32" t="n">
        <v>0</v>
      </c>
      <c r="W219" s="31" t="n">
        <v>0</v>
      </c>
      <c r="X219" s="31" t="n">
        <v>0</v>
      </c>
      <c r="Y219" s="3" t="n">
        <v>0</v>
      </c>
      <c r="Z219" s="3" t="n">
        <v>0</v>
      </c>
      <c r="AA219" s="32" t="n">
        <v>0</v>
      </c>
      <c r="AB219" s="3" t="n">
        <v>0</v>
      </c>
      <c r="AC219" s="32" t="n">
        <v>0</v>
      </c>
      <c r="AD219" s="3" t="n"/>
      <c r="AE219" s="31" t="n">
        <v>0</v>
      </c>
      <c r="AF219" s="2" t="n">
        <v>0</v>
      </c>
      <c r="AG219" s="2" t="n">
        <v>31</v>
      </c>
      <c r="AH219" s="4" t="n">
        <v>31</v>
      </c>
      <c r="AI219" s="33" t="n">
        <v>28.45</v>
      </c>
      <c r="AJ219" s="4" t="n">
        <v>1</v>
      </c>
      <c r="AK219" s="34" t="n">
        <v>0.0323</v>
      </c>
      <c r="AL219" s="34" t="n">
        <v>1</v>
      </c>
      <c r="AM219" s="2" t="n">
        <v>27135</v>
      </c>
    </row>
    <row r="220">
      <c r="A220">
        <f>HYPERLINK("https://www.walmart.com/ip/5803699350", "5803699350")</f>
        <v/>
      </c>
      <c r="B220">
        <f>HYPERLINK("https://app.optiwise.ai/catalog/itemdetails/9588085", "Tirrinia Beach Lounge Chair Cover, Portable Chaise Beach Towel, Sunbathing for Beach Pool Patio Garden Courtyard Outdoor Trips, 31 x 73 inch Navy")</f>
        <v/>
      </c>
      <c r="C220" t="inlineStr">
        <is>
          <t>-</t>
        </is>
      </c>
      <c r="E220" t="inlineStr">
        <is>
          <t>1TRBM20237NY</t>
        </is>
      </c>
      <c r="F220" t="n">
        <v>0</v>
      </c>
      <c r="G220" t="inlineStr">
        <is>
          <t>Garden &amp; Patio</t>
        </is>
      </c>
      <c r="H220" t="inlineStr">
        <is>
          <t>Patio Furniture Covers</t>
        </is>
      </c>
      <c r="I220" t="inlineStr">
        <is>
          <t>Tirrinia</t>
        </is>
      </c>
      <c r="L220" s="29" t="n">
        <v>27.99</v>
      </c>
      <c r="M220" s="30" t="n">
        <v>0.0002</v>
      </c>
      <c r="N220" s="29" t="n">
        <v>0</v>
      </c>
      <c r="O220" s="29" t="n">
        <v>0</v>
      </c>
      <c r="P220" s="2" t="n">
        <v>1</v>
      </c>
      <c r="Q220" s="31" t="n">
        <v>0</v>
      </c>
      <c r="R220" s="32" t="n"/>
      <c r="S220" s="32" t="n">
        <v>0</v>
      </c>
      <c r="T220" s="32" t="n">
        <v>0</v>
      </c>
      <c r="U220" s="31" t="n">
        <v>0</v>
      </c>
      <c r="V220" s="32" t="n">
        <v>0</v>
      </c>
      <c r="W220" s="31" t="n">
        <v>0</v>
      </c>
      <c r="X220" s="31" t="n">
        <v>0</v>
      </c>
      <c r="Y220" s="3" t="n">
        <v>0</v>
      </c>
      <c r="Z220" s="3" t="n">
        <v>0</v>
      </c>
      <c r="AA220" s="32" t="n">
        <v>0</v>
      </c>
      <c r="AB220" s="3" t="n">
        <v>0</v>
      </c>
      <c r="AC220" s="32" t="n">
        <v>0</v>
      </c>
      <c r="AD220" s="3" t="n"/>
      <c r="AE220" s="31" t="n">
        <v>0</v>
      </c>
      <c r="AF220" s="2" t="n">
        <v>0</v>
      </c>
      <c r="AG220" s="2" t="n">
        <v>115</v>
      </c>
      <c r="AH220" s="4" t="n">
        <v>115</v>
      </c>
      <c r="AI220" s="33" t="n">
        <v>27.99</v>
      </c>
      <c r="AJ220" s="4" t="n">
        <v>1</v>
      </c>
      <c r="AK220" s="34" t="n">
        <v>0.008699999999999999</v>
      </c>
      <c r="AL220" s="34" t="n">
        <v>1</v>
      </c>
      <c r="AM220" s="2" t="n">
        <v>11880</v>
      </c>
    </row>
    <row r="221">
      <c r="A221">
        <f>HYPERLINK("https://www.walmart.com/ip/165180382", "165180382")</f>
        <v/>
      </c>
      <c r="B221">
        <f>HYPERLINK("https://app.optiwise.ai/catalog/itemdetails/656114", "KC Caps Army Style Surplus Beanie Cap")</f>
        <v/>
      </c>
      <c r="C221" t="n">
        <v>4</v>
      </c>
      <c r="D221" t="inlineStr">
        <is>
          <t>B78691_974448_5C9BB2671E1E9004</t>
        </is>
      </c>
      <c r="E221" t="inlineStr">
        <is>
          <t>KCW1721BK</t>
        </is>
      </c>
      <c r="F221" t="n">
        <v>2</v>
      </c>
      <c r="G221" t="inlineStr">
        <is>
          <t>Clothing</t>
        </is>
      </c>
      <c r="H221" t="inlineStr">
        <is>
          <t>Hats</t>
        </is>
      </c>
      <c r="I221" t="inlineStr">
        <is>
          <t>KC Caps</t>
        </is>
      </c>
      <c r="J221" t="n">
        <v>3.5</v>
      </c>
      <c r="K221" t="inlineStr">
        <is>
          <t>Batch 1 - TR</t>
        </is>
      </c>
      <c r="L221" s="29" t="n">
        <v>27.96</v>
      </c>
      <c r="M221" s="30" t="n">
        <v>0.0002</v>
      </c>
      <c r="N221" s="29" t="n">
        <v>0</v>
      </c>
      <c r="O221" s="29" t="n">
        <v>0</v>
      </c>
      <c r="P221" s="2" t="n">
        <v>4</v>
      </c>
      <c r="Q221" s="31" t="n">
        <v>0</v>
      </c>
      <c r="R221" s="32" t="n"/>
      <c r="S221" s="32" t="n">
        <v>0</v>
      </c>
      <c r="T221" s="32" t="n">
        <v>0</v>
      </c>
      <c r="U221" s="31" t="n">
        <v>0</v>
      </c>
      <c r="V221" s="32" t="n">
        <v>0</v>
      </c>
      <c r="W221" s="31" t="n">
        <v>0</v>
      </c>
      <c r="X221" s="31" t="n">
        <v>0</v>
      </c>
      <c r="Y221" s="3" t="n">
        <v>0</v>
      </c>
      <c r="Z221" s="3" t="n">
        <v>0</v>
      </c>
      <c r="AA221" s="32" t="n">
        <v>0</v>
      </c>
      <c r="AB221" s="3" t="n">
        <v>0</v>
      </c>
      <c r="AC221" s="32" t="n">
        <v>0</v>
      </c>
      <c r="AD221" s="3" t="n"/>
      <c r="AE221" s="31" t="n">
        <v>0</v>
      </c>
      <c r="AF221" s="2" t="n">
        <v>0</v>
      </c>
      <c r="AG221" s="2" t="n">
        <v>25</v>
      </c>
      <c r="AH221" s="4" t="n">
        <v>25</v>
      </c>
      <c r="AI221" s="33" t="n">
        <v>27.96</v>
      </c>
      <c r="AJ221" s="4" t="n">
        <v>4</v>
      </c>
      <c r="AK221" s="34" t="n">
        <v>0.16</v>
      </c>
      <c r="AL221" s="34" t="n">
        <v>1</v>
      </c>
      <c r="AM221" s="2" t="n">
        <v>3273</v>
      </c>
    </row>
    <row r="222">
      <c r="A222">
        <f>HYPERLINK("https://www.walmart.com/ip/491790001", "491790001")</f>
        <v/>
      </c>
      <c r="B222">
        <f>HYPERLINK("https://app.optiwise.ai/catalog/itemdetails/373676", "Kato Sherpa Waterproof Throw Blanket Reversible Emergency Warm Picnic 51” X 59”, 2 lb, All Ages")</f>
        <v/>
      </c>
      <c r="C222" t="inlineStr">
        <is>
          <t>-</t>
        </is>
      </c>
      <c r="E222" t="inlineStr">
        <is>
          <t>1KTBW506BKGY</t>
        </is>
      </c>
      <c r="F222" t="n">
        <v>0</v>
      </c>
      <c r="G222" t="inlineStr">
        <is>
          <t>Bedding</t>
        </is>
      </c>
      <c r="H222" t="inlineStr">
        <is>
          <t>Throws</t>
        </is>
      </c>
      <c r="I222" t="inlineStr">
        <is>
          <t>Kato</t>
        </is>
      </c>
      <c r="K222" t="inlineStr">
        <is>
          <t>Q2-Target,Optimized</t>
        </is>
      </c>
      <c r="L222" s="29" t="n">
        <v>26.99</v>
      </c>
      <c r="M222" s="30" t="n">
        <v>0.0002</v>
      </c>
      <c r="N222" s="29" t="n">
        <v>0</v>
      </c>
      <c r="O222" s="29" t="n">
        <v>0</v>
      </c>
      <c r="P222" s="2" t="n">
        <v>1</v>
      </c>
      <c r="Q222" s="31" t="n">
        <v>1.24</v>
      </c>
      <c r="R222" s="32" t="n">
        <v>0.0001</v>
      </c>
      <c r="S222" s="32" t="n">
        <v>0.0459</v>
      </c>
      <c r="T222" s="32" t="n">
        <v>0.1529</v>
      </c>
      <c r="U222" s="31" t="n">
        <v>0</v>
      </c>
      <c r="V222" s="32" t="n">
        <v>0</v>
      </c>
      <c r="W222" s="31" t="n">
        <v>0</v>
      </c>
      <c r="X222" s="31" t="n">
        <v>0</v>
      </c>
      <c r="Y222" s="3" t="n">
        <v>3725</v>
      </c>
      <c r="Z222" s="3" t="n">
        <v>4</v>
      </c>
      <c r="AA222" s="32" t="n">
        <v>0.0011</v>
      </c>
      <c r="AB222" s="3" t="n">
        <v>0</v>
      </c>
      <c r="AC222" s="32" t="n">
        <v>0</v>
      </c>
      <c r="AD222" s="3" t="inlineStr">
        <is>
          <t>Throws_Auto_Optiwise_24</t>
        </is>
      </c>
      <c r="AE222" s="31" t="n">
        <v>0.31</v>
      </c>
      <c r="AF222" s="2" t="n">
        <v>0</v>
      </c>
      <c r="AG222" s="2" t="n">
        <v>0</v>
      </c>
      <c r="AH222" s="4" t="inlineStr">
        <is>
          <t>NA</t>
        </is>
      </c>
      <c r="AI222" s="33" t="n">
        <v>26.99</v>
      </c>
      <c r="AJ222" s="4" t="n">
        <v>1</v>
      </c>
      <c r="AK222" s="34" t="inlineStr">
        <is>
          <t>NA</t>
        </is>
      </c>
      <c r="AL222" s="34" t="n">
        <v>1</v>
      </c>
      <c r="AM222" s="2" t="n">
        <v>13500</v>
      </c>
    </row>
    <row r="223">
      <c r="A223">
        <f>HYPERLINK("https://www.walmart.com/ip/310588244", "310588244")</f>
        <v/>
      </c>
      <c r="B223">
        <f>HYPERLINK("https://app.optiwise.ai/catalog/itemdetails/359261", "Flyingstar Oversized Hoodie Blanket Sweatshirt, Super Soft, Warm, Comfortable Fleece Giant Pullover with Large Front Pocket, for Adults, Teenagers, and Kids, Gray")</f>
        <v/>
      </c>
      <c r="C223" t="n">
        <v>11</v>
      </c>
      <c r="D223" t="inlineStr">
        <is>
          <t>B78691_1679671_4D7009C208ECE7DC</t>
        </is>
      </c>
      <c r="E223" t="inlineStr">
        <is>
          <t>1WMHD300GY</t>
        </is>
      </c>
      <c r="F223" t="n">
        <v>57</v>
      </c>
      <c r="G223" t="inlineStr">
        <is>
          <t>Clothing</t>
        </is>
      </c>
      <c r="H223" t="inlineStr">
        <is>
          <t>Sweatshirts &amp; Hoodies</t>
        </is>
      </c>
      <c r="I223" t="inlineStr">
        <is>
          <t>Flyingstar</t>
        </is>
      </c>
      <c r="J223" t="n">
        <v>4.399999999999999</v>
      </c>
      <c r="K223" t="inlineStr">
        <is>
          <t>Hoodie ForAdult,Optimized,WFS,WFS Item</t>
        </is>
      </c>
      <c r="L223" s="29" t="n">
        <v>25.99</v>
      </c>
      <c r="M223" s="30" t="n">
        <v>0.0002</v>
      </c>
      <c r="N223" s="29" t="n">
        <v>0</v>
      </c>
      <c r="O223" s="29" t="n">
        <v>0</v>
      </c>
      <c r="P223" s="2" t="n">
        <v>1</v>
      </c>
      <c r="Q223" s="31" t="n">
        <v>0</v>
      </c>
      <c r="R223" s="32" t="n"/>
      <c r="S223" s="32" t="n">
        <v>0</v>
      </c>
      <c r="T223" s="32" t="n">
        <v>0.0384</v>
      </c>
      <c r="U223" s="31" t="n">
        <v>0</v>
      </c>
      <c r="V223" s="32" t="n">
        <v>0</v>
      </c>
      <c r="W223" s="31" t="n">
        <v>0</v>
      </c>
      <c r="X223" s="31" t="n">
        <v>0</v>
      </c>
      <c r="Y223" s="3" t="n">
        <v>0</v>
      </c>
      <c r="Z223" s="3" t="n">
        <v>0</v>
      </c>
      <c r="AA223" s="32" t="n">
        <v>0</v>
      </c>
      <c r="AB223" s="3" t="n">
        <v>0</v>
      </c>
      <c r="AC223" s="32" t="n">
        <v>0</v>
      </c>
      <c r="AD223" s="3" t="n"/>
      <c r="AE223" s="31" t="n">
        <v>0</v>
      </c>
      <c r="AF223" s="2" t="n">
        <v>61</v>
      </c>
      <c r="AG223" s="2" t="n">
        <v>135</v>
      </c>
      <c r="AH223" s="4" t="n">
        <v>135</v>
      </c>
      <c r="AI223" s="33" t="n">
        <v>25.99</v>
      </c>
      <c r="AJ223" s="4" t="n">
        <v>1</v>
      </c>
      <c r="AK223" s="34" t="n">
        <v>0.0074</v>
      </c>
      <c r="AL223" s="34" t="n">
        <v>1</v>
      </c>
      <c r="AM223" s="2" t="n">
        <v>1485</v>
      </c>
    </row>
    <row r="224">
      <c r="A224">
        <f>HYPERLINK("https://www.walmart.com/ip/860538927", "860538927")</f>
        <v/>
      </c>
      <c r="B224">
        <f>HYPERLINK("https://app.optiwise.ai/catalog/itemdetails/362361", "Catalonia Sherpa Throw Blanket, Super Soft Fleece Plush Sofa Couch Blanket, TV Bed Blanket, Comfy Cozy Fluffy Warm, Christmas Theme Throws, Holiday Gift Blanket( 50x60 inch, Tribe)")</f>
        <v/>
      </c>
      <c r="C224" t="inlineStr">
        <is>
          <t>-</t>
        </is>
      </c>
      <c r="E224" t="inlineStr">
        <is>
          <t>1CTBF571TRIBE</t>
        </is>
      </c>
      <c r="F224" t="n">
        <v>5</v>
      </c>
      <c r="G224" t="inlineStr">
        <is>
          <t>Bedding</t>
        </is>
      </c>
      <c r="H224" t="inlineStr">
        <is>
          <t>Throws</t>
        </is>
      </c>
      <c r="I224" t="inlineStr">
        <is>
          <t>Catalonia</t>
        </is>
      </c>
      <c r="J224" t="n">
        <v>4.8</v>
      </c>
      <c r="K224" t="inlineStr">
        <is>
          <t>Christmas,Hero 5 Holidays,WFS,WFS Item</t>
        </is>
      </c>
      <c r="L224" s="29" t="n">
        <v>25.99</v>
      </c>
      <c r="M224" s="30" t="n">
        <v>0.0002</v>
      </c>
      <c r="N224" s="29" t="n">
        <v>0</v>
      </c>
      <c r="O224" s="29" t="n">
        <v>0</v>
      </c>
      <c r="P224" s="2" t="n">
        <v>1</v>
      </c>
      <c r="Q224" s="31" t="n">
        <v>0</v>
      </c>
      <c r="R224" s="32" t="n"/>
      <c r="S224" s="32" t="n">
        <v>0</v>
      </c>
      <c r="T224" s="32" t="n">
        <v>0.4957</v>
      </c>
      <c r="U224" s="31" t="n">
        <v>0</v>
      </c>
      <c r="V224" s="32" t="n">
        <v>0</v>
      </c>
      <c r="W224" s="31" t="n">
        <v>0</v>
      </c>
      <c r="X224" s="31" t="n">
        <v>0</v>
      </c>
      <c r="Y224" s="3" t="n">
        <v>0</v>
      </c>
      <c r="Z224" s="3" t="n">
        <v>0</v>
      </c>
      <c r="AA224" s="32" t="n">
        <v>0</v>
      </c>
      <c r="AB224" s="3" t="n">
        <v>0</v>
      </c>
      <c r="AC224" s="32" t="n">
        <v>0</v>
      </c>
      <c r="AD224" s="3" t="n"/>
      <c r="AE224" s="31" t="n">
        <v>0</v>
      </c>
      <c r="AF224" s="2" t="n">
        <v>30</v>
      </c>
      <c r="AG224" s="2" t="n">
        <v>13</v>
      </c>
      <c r="AH224" s="4" t="n">
        <v>17</v>
      </c>
      <c r="AI224" s="33" t="n">
        <v>25.99</v>
      </c>
      <c r="AJ224" s="4" t="n">
        <v>1</v>
      </c>
      <c r="AK224" s="34" t="n">
        <v>0.0588</v>
      </c>
      <c r="AL224" s="34" t="n">
        <v>1</v>
      </c>
      <c r="AM224" s="2" t="n">
        <v>5805</v>
      </c>
    </row>
    <row r="225">
      <c r="A225">
        <f>HYPERLINK("https://www.walmart.com/ip/492947088", "492947088")</f>
        <v/>
      </c>
      <c r="B225">
        <f>HYPERLINK("https://app.optiwise.ai/catalog/itemdetails/360531", "Catalonia Patriotic US Flag Blanket, Sherpa Fleece Plush Super Soft Cozy Warm Reversible Blanket for Couch Bed, 4th of July Citizenship Veteran Gift, 50x70 inches")</f>
        <v/>
      </c>
      <c r="C225" t="n">
        <v>10</v>
      </c>
      <c r="D225" t="inlineStr">
        <is>
          <t>B78691_1678643_7CE06EA1F1C4FE19</t>
        </is>
      </c>
      <c r="E225" t="inlineStr">
        <is>
          <t>1CTBF300USARD</t>
        </is>
      </c>
      <c r="F225" t="n">
        <v>25</v>
      </c>
      <c r="G225" t="inlineStr">
        <is>
          <t>Bedding</t>
        </is>
      </c>
      <c r="H225" t="inlineStr">
        <is>
          <t>Throws</t>
        </is>
      </c>
      <c r="I225" t="inlineStr">
        <is>
          <t>Catalonia</t>
        </is>
      </c>
      <c r="J225" t="n">
        <v>4.899999999999999</v>
      </c>
      <c r="K225" t="inlineStr">
        <is>
          <t>WFS,WFS Item</t>
        </is>
      </c>
      <c r="L225" s="29" t="n">
        <v>25.99</v>
      </c>
      <c r="M225" s="30" t="n">
        <v>0.0002</v>
      </c>
      <c r="N225" s="29" t="n">
        <v>19.97999954223633</v>
      </c>
      <c r="O225" s="29" t="n">
        <v>0</v>
      </c>
      <c r="P225" s="2" t="n">
        <v>1</v>
      </c>
      <c r="Q225" s="31" t="n">
        <v>0</v>
      </c>
      <c r="R225" s="32" t="n"/>
      <c r="S225" s="32" t="n">
        <v>0</v>
      </c>
      <c r="T225" s="32" t="n">
        <v>0</v>
      </c>
      <c r="U225" s="31" t="n">
        <v>0</v>
      </c>
      <c r="V225" s="32" t="n">
        <v>0</v>
      </c>
      <c r="W225" s="31" t="n">
        <v>0</v>
      </c>
      <c r="X225" s="31" t="n">
        <v>0</v>
      </c>
      <c r="Y225" s="3" t="n">
        <v>0</v>
      </c>
      <c r="Z225" s="3" t="n">
        <v>0</v>
      </c>
      <c r="AA225" s="32" t="n">
        <v>0</v>
      </c>
      <c r="AB225" s="3" t="n">
        <v>0</v>
      </c>
      <c r="AC225" s="32" t="n">
        <v>0</v>
      </c>
      <c r="AD225" s="3" t="n"/>
      <c r="AE225" s="31" t="n">
        <v>0</v>
      </c>
      <c r="AF225" s="2" t="n">
        <v>0</v>
      </c>
      <c r="AG225" s="2" t="n">
        <v>141</v>
      </c>
      <c r="AH225" s="4" t="n">
        <v>141</v>
      </c>
      <c r="AI225" s="33" t="n">
        <v>25.99</v>
      </c>
      <c r="AJ225" s="4" t="n">
        <v>1</v>
      </c>
      <c r="AK225" s="34" t="n">
        <v>0.0071</v>
      </c>
      <c r="AL225" s="34" t="n">
        <v>1</v>
      </c>
      <c r="AM225" s="2" t="n">
        <v>57510</v>
      </c>
    </row>
    <row r="226">
      <c r="A226">
        <f>HYPERLINK("https://www.walmart.com/ip/831530911", "831530911")</f>
        <v/>
      </c>
      <c r="B226">
        <f>HYPERLINK("https://app.optiwise.ai/catalog/itemdetails/360941", "Catalonia Wearable Fleece Blanket with Sleeves and Foot Pockets for Adult Women Men, Micro Plush Comfy Wrap Sleeved Throw Blanket Robe Large, Navy")</f>
        <v/>
      </c>
      <c r="C226" t="inlineStr">
        <is>
          <t>-</t>
        </is>
      </c>
      <c r="E226" t="inlineStr">
        <is>
          <t>1CTSN101NY</t>
        </is>
      </c>
      <c r="F226" t="n">
        <v>2</v>
      </c>
      <c r="G226" t="inlineStr">
        <is>
          <t>Bedding</t>
        </is>
      </c>
      <c r="H226" t="inlineStr">
        <is>
          <t>Throws</t>
        </is>
      </c>
      <c r="I226" t="inlineStr">
        <is>
          <t>Catalonia</t>
        </is>
      </c>
      <c r="J226" t="n">
        <v>3</v>
      </c>
      <c r="K226" t="inlineStr">
        <is>
          <t>Q2-Target,WFS,WFS Item</t>
        </is>
      </c>
      <c r="L226" s="29" t="n">
        <v>25.99</v>
      </c>
      <c r="M226" s="30" t="n">
        <v>0.0002</v>
      </c>
      <c r="N226" s="29" t="n">
        <v>0</v>
      </c>
      <c r="O226" s="29" t="n">
        <v>0</v>
      </c>
      <c r="P226" s="2" t="n">
        <v>1</v>
      </c>
      <c r="Q226" s="31" t="n">
        <v>22.40000000000001</v>
      </c>
      <c r="R226" s="32" t="n">
        <v>0.0027</v>
      </c>
      <c r="S226" s="32" t="n">
        <v>0.8619</v>
      </c>
      <c r="T226" s="32" t="n">
        <v>0</v>
      </c>
      <c r="U226" s="31" t="n">
        <v>0.89</v>
      </c>
      <c r="V226" s="32" t="n">
        <v>1.12</v>
      </c>
      <c r="W226" s="31" t="n">
        <v>19.99</v>
      </c>
      <c r="X226" s="31" t="n">
        <v>0</v>
      </c>
      <c r="Y226" s="3" t="n">
        <v>27055</v>
      </c>
      <c r="Z226" s="3" t="n">
        <v>54</v>
      </c>
      <c r="AA226" s="32" t="n">
        <v>0.002</v>
      </c>
      <c r="AB226" s="3" t="n">
        <v>1</v>
      </c>
      <c r="AC226" s="32" t="n">
        <v>0.0185</v>
      </c>
      <c r="AD226" s="3" t="inlineStr">
        <is>
          <t>Need to sell these SKUs by 15th Feb</t>
        </is>
      </c>
      <c r="AE226" s="31" t="n">
        <v>0.41</v>
      </c>
      <c r="AF226" s="2" t="n">
        <v>8</v>
      </c>
      <c r="AG226" s="2" t="n">
        <v>64</v>
      </c>
      <c r="AH226" s="4" t="n">
        <v>10</v>
      </c>
      <c r="AI226" s="33" t="n">
        <v>6</v>
      </c>
      <c r="AJ226" s="4" t="n">
        <v>0</v>
      </c>
      <c r="AK226" s="34" t="n"/>
      <c r="AL226" s="34" t="n">
        <v>0.2309</v>
      </c>
      <c r="AM226" s="2" t="n">
        <v>14175</v>
      </c>
    </row>
    <row r="227">
      <c r="A227">
        <f>HYPERLINK("https://www.walmart.com/ip/977010995", "977010995")</f>
        <v/>
      </c>
      <c r="B227">
        <f>HYPERLINK("https://app.optiwise.ai/catalog/itemdetails/358740", "Kato Insulated Padded Thermal Single Wine Bottle Tote Bag for Travel and Picnic, Wine Gift Bag, Black")</f>
        <v/>
      </c>
      <c r="C227" t="n">
        <v>1</v>
      </c>
      <c r="D227" t="inlineStr">
        <is>
          <t>B78691_1672334_CD80E0919B3522A</t>
        </is>
      </c>
      <c r="E227" t="inlineStr">
        <is>
          <t>1KTWB100BKCK-VNGM</t>
        </is>
      </c>
      <c r="F227" t="n">
        <v>1</v>
      </c>
      <c r="G227" t="inlineStr">
        <is>
          <t>Home Decor, Kitchen, &amp; Other</t>
        </is>
      </c>
      <c r="H227" t="inlineStr">
        <is>
          <t>Wine Totes, Bags &amp; Backpacks</t>
        </is>
      </c>
      <c r="I227" t="inlineStr">
        <is>
          <t>Tirrinia</t>
        </is>
      </c>
      <c r="J227" t="n">
        <v>5</v>
      </c>
      <c r="L227" s="29" t="n">
        <v>25.98</v>
      </c>
      <c r="M227" s="30" t="n">
        <v>0.0002</v>
      </c>
      <c r="N227" s="29" t="n">
        <v>25.97999954223633</v>
      </c>
      <c r="O227" s="29" t="n">
        <v>0</v>
      </c>
      <c r="P227" s="2" t="n">
        <v>2</v>
      </c>
      <c r="Q227" s="31" t="n">
        <v>0</v>
      </c>
      <c r="R227" s="32" t="n"/>
      <c r="S227" s="32" t="n">
        <v>0</v>
      </c>
      <c r="T227" s="32" t="n">
        <v>0</v>
      </c>
      <c r="U227" s="31" t="n">
        <v>0</v>
      </c>
      <c r="V227" s="32" t="n">
        <v>0</v>
      </c>
      <c r="W227" s="31" t="n">
        <v>0</v>
      </c>
      <c r="X227" s="31" t="n">
        <v>0</v>
      </c>
      <c r="Y227" s="3" t="n">
        <v>0</v>
      </c>
      <c r="Z227" s="3" t="n">
        <v>0</v>
      </c>
      <c r="AA227" s="32" t="n">
        <v>0</v>
      </c>
      <c r="AB227" s="3" t="n">
        <v>0</v>
      </c>
      <c r="AC227" s="32" t="n">
        <v>0</v>
      </c>
      <c r="AD227" s="3" t="n"/>
      <c r="AE227" s="31" t="n">
        <v>0</v>
      </c>
      <c r="AF227" s="2" t="n">
        <v>0</v>
      </c>
      <c r="AG227" s="2" t="n">
        <v>20</v>
      </c>
      <c r="AH227" s="4" t="n">
        <v>20</v>
      </c>
      <c r="AI227" s="33" t="n">
        <v>25.98</v>
      </c>
      <c r="AJ227" s="4" t="n">
        <v>2</v>
      </c>
      <c r="AK227" s="34" t="n">
        <v>0.1</v>
      </c>
      <c r="AL227" s="34" t="n">
        <v>1</v>
      </c>
      <c r="AM227" s="2" t="n">
        <v>6750</v>
      </c>
    </row>
    <row r="228">
      <c r="A228">
        <f>HYPERLINK("https://www.walmart.com/ip/167804199", "167804199")</f>
        <v/>
      </c>
      <c r="B228">
        <f>HYPERLINK("https://app.optiwise.ai/catalog/itemdetails/361079", "Napa Super Soft Micro Fleece Sherpa Bed Throw TV Blanket 50 x 60 Reversible Wine")</f>
        <v/>
      </c>
      <c r="C228" t="n">
        <v>4</v>
      </c>
      <c r="D228" t="inlineStr">
        <is>
          <t>B78691_974187_5C9BB2671E1E9004</t>
        </is>
      </c>
      <c r="E228" t="inlineStr">
        <is>
          <t>K8010WINE</t>
        </is>
      </c>
      <c r="F228" t="n">
        <v>13</v>
      </c>
      <c r="G228" t="inlineStr">
        <is>
          <t>Bedding</t>
        </is>
      </c>
      <c r="H228" t="inlineStr">
        <is>
          <t>Throws</t>
        </is>
      </c>
      <c r="I228" t="inlineStr">
        <is>
          <t>NAPA</t>
        </is>
      </c>
      <c r="J228" t="n">
        <v>4.4</v>
      </c>
      <c r="K228" t="inlineStr">
        <is>
          <t>Batch 1 - TR</t>
        </is>
      </c>
      <c r="L228" s="29" t="n">
        <v>24.99</v>
      </c>
      <c r="M228" s="30" t="n">
        <v>0.0002</v>
      </c>
      <c r="N228" s="29" t="n">
        <v>24.98999977111816</v>
      </c>
      <c r="O228" s="29" t="n">
        <v>0</v>
      </c>
      <c r="P228" s="2" t="n">
        <v>1</v>
      </c>
      <c r="Q228" s="31" t="n">
        <v>0</v>
      </c>
      <c r="R228" s="32" t="n"/>
      <c r="S228" s="32" t="n">
        <v>0</v>
      </c>
      <c r="T228" s="32" t="n">
        <v>0</v>
      </c>
      <c r="U228" s="31" t="n">
        <v>0</v>
      </c>
      <c r="V228" s="32" t="n">
        <v>0</v>
      </c>
      <c r="W228" s="31" t="n">
        <v>0</v>
      </c>
      <c r="X228" s="31" t="n">
        <v>0</v>
      </c>
      <c r="Y228" s="3" t="n">
        <v>0</v>
      </c>
      <c r="Z228" s="3" t="n">
        <v>0</v>
      </c>
      <c r="AA228" s="32" t="n">
        <v>0</v>
      </c>
      <c r="AB228" s="3" t="n">
        <v>0</v>
      </c>
      <c r="AC228" s="32" t="n">
        <v>0</v>
      </c>
      <c r="AD228" s="3" t="n"/>
      <c r="AE228" s="31" t="n">
        <v>0</v>
      </c>
      <c r="AF228" s="2" t="n">
        <v>0</v>
      </c>
      <c r="AG228" s="2" t="n">
        <v>27</v>
      </c>
      <c r="AH228" s="4" t="n">
        <v>27</v>
      </c>
      <c r="AI228" s="33" t="n">
        <v>24.99</v>
      </c>
      <c r="AJ228" s="4" t="n">
        <v>1</v>
      </c>
      <c r="AK228" s="34" t="n">
        <v>0.037</v>
      </c>
      <c r="AL228" s="34" t="n">
        <v>1</v>
      </c>
      <c r="AM228" s="2" t="n">
        <v>13635</v>
      </c>
    </row>
    <row r="229">
      <c r="A229">
        <f>HYPERLINK("https://www.walmart.com/ip/137793803", "137793803")</f>
        <v/>
      </c>
      <c r="B229">
        <f>HYPERLINK("https://app.optiwise.ai/catalog/itemdetails/360635", "JenniWears Women's Sexy Crotchless Suspender Pantyhose Stockings Black Sheer Socks - 6 Packs")</f>
        <v/>
      </c>
      <c r="C229" t="n">
        <v>17</v>
      </c>
      <c r="D229" t="inlineStr">
        <is>
          <t>B78691_1681940_936E36B96F001BF0</t>
        </is>
      </c>
      <c r="E229" t="inlineStr">
        <is>
          <t>JWBLSPH6001-6pcs</t>
        </is>
      </c>
      <c r="F229" t="n">
        <v>0</v>
      </c>
      <c r="G229" t="inlineStr">
        <is>
          <t>Clothing</t>
        </is>
      </c>
      <c r="H229" t="inlineStr">
        <is>
          <t>Pantyhose &amp; Tights</t>
        </is>
      </c>
      <c r="I229" t="inlineStr">
        <is>
          <t>JenniWears</t>
        </is>
      </c>
      <c r="K229" t="inlineStr">
        <is>
          <t>Optimized,WFS,Valentine,WFS Item</t>
        </is>
      </c>
      <c r="L229" s="29" t="n">
        <v>24.99</v>
      </c>
      <c r="M229" s="30" t="n">
        <v>0.0002</v>
      </c>
      <c r="N229" s="29" t="n">
        <v>0</v>
      </c>
      <c r="O229" s="29" t="n">
        <v>0</v>
      </c>
      <c r="P229" s="2" t="n">
        <v>1</v>
      </c>
      <c r="Q229" s="31" t="n">
        <v>0</v>
      </c>
      <c r="R229" s="32" t="n"/>
      <c r="S229" s="32" t="n">
        <v>0</v>
      </c>
      <c r="T229" s="32" t="n">
        <v>0</v>
      </c>
      <c r="U229" s="31" t="n">
        <v>0</v>
      </c>
      <c r="V229" s="32" t="n">
        <v>0</v>
      </c>
      <c r="W229" s="31" t="n">
        <v>0</v>
      </c>
      <c r="X229" s="31" t="n">
        <v>0</v>
      </c>
      <c r="Y229" s="3" t="n">
        <v>0</v>
      </c>
      <c r="Z229" s="3" t="n">
        <v>0</v>
      </c>
      <c r="AA229" s="32" t="n">
        <v>0</v>
      </c>
      <c r="AB229" s="3" t="n">
        <v>0</v>
      </c>
      <c r="AC229" s="32" t="n">
        <v>0</v>
      </c>
      <c r="AD229" s="3" t="n"/>
      <c r="AE229" s="31" t="n">
        <v>0</v>
      </c>
      <c r="AF229" s="2" t="n">
        <v>0</v>
      </c>
      <c r="AG229" s="2" t="n">
        <v>100</v>
      </c>
      <c r="AH229" s="4" t="n">
        <v>100</v>
      </c>
      <c r="AI229" s="33" t="n">
        <v>24.99</v>
      </c>
      <c r="AJ229" s="4" t="n">
        <v>1</v>
      </c>
      <c r="AK229" s="34" t="n">
        <v>0.01</v>
      </c>
      <c r="AL229" s="34" t="n">
        <v>1</v>
      </c>
      <c r="AM229" s="2" t="n">
        <v>85995</v>
      </c>
    </row>
    <row r="230">
      <c r="A230">
        <f>HYPERLINK("https://www.walmart.com/ip/569150441", "569150441")</f>
        <v/>
      </c>
      <c r="B230">
        <f>HYPERLINK("https://app.optiwise.ai/catalog/itemdetails/12909177", "Wrangler Slim Genuine Leather AirTag Wallet for Men - Bifold RFID Blocking Design with Hidden AirTag Holder")</f>
        <v/>
      </c>
      <c r="C230" t="n">
        <v>1</v>
      </c>
      <c r="D230" t="inlineStr">
        <is>
          <t>328B9F7_16577321_5C9BB2671E1E9004</t>
        </is>
      </c>
      <c r="E230" t="inlineStr">
        <is>
          <t>WR-WA49008COGOS</t>
        </is>
      </c>
      <c r="F230" t="n">
        <v>0</v>
      </c>
      <c r="G230" t="inlineStr">
        <is>
          <t>Cases &amp; Bags</t>
        </is>
      </c>
      <c r="H230" t="inlineStr">
        <is>
          <t>Wallets</t>
        </is>
      </c>
      <c r="I230" t="inlineStr">
        <is>
          <t>Wrangler</t>
        </is>
      </c>
      <c r="L230" s="29" t="n">
        <v>24.98</v>
      </c>
      <c r="M230" s="30" t="n">
        <v>0.0002</v>
      </c>
      <c r="N230" s="29" t="n">
        <v>24.97999954223633</v>
      </c>
      <c r="O230" s="29" t="n">
        <v>0</v>
      </c>
      <c r="P230" s="2" t="n">
        <v>1</v>
      </c>
      <c r="Q230" s="31" t="n">
        <v>0.88</v>
      </c>
      <c r="R230" s="32" t="n">
        <v>0.0001</v>
      </c>
      <c r="S230" s="32" t="n">
        <v>0.0352</v>
      </c>
      <c r="T230" s="32" t="n">
        <v>0.468</v>
      </c>
      <c r="U230" s="31" t="n">
        <v>0</v>
      </c>
      <c r="V230" s="32" t="n">
        <v>0</v>
      </c>
      <c r="W230" s="31" t="n">
        <v>0</v>
      </c>
      <c r="X230" s="31" t="n">
        <v>0</v>
      </c>
      <c r="Y230" s="3" t="n">
        <v>588</v>
      </c>
      <c r="Z230" s="3" t="n">
        <v>2</v>
      </c>
      <c r="AA230" s="32" t="n">
        <v>0.0034</v>
      </c>
      <c r="AB230" s="3" t="n">
        <v>0</v>
      </c>
      <c r="AC230" s="32" t="n">
        <v>0</v>
      </c>
      <c r="AD230" s="3" t="inlineStr">
        <is>
          <t>Wallet Campaign</t>
        </is>
      </c>
      <c r="AE230" s="31" t="n">
        <v>0.44</v>
      </c>
      <c r="AF230" s="2" t="n">
        <v>5</v>
      </c>
      <c r="AG230" s="2" t="n">
        <v>60</v>
      </c>
      <c r="AH230" s="4" t="n">
        <v>58</v>
      </c>
      <c r="AI230" s="33" t="n">
        <v>24.98</v>
      </c>
      <c r="AJ230" s="4" t="n">
        <v>1</v>
      </c>
      <c r="AK230" s="34" t="n">
        <v>0.0172</v>
      </c>
      <c r="AL230" s="34" t="n">
        <v>1</v>
      </c>
      <c r="AM230" s="2" t="n">
        <v>13500</v>
      </c>
    </row>
    <row r="231">
      <c r="A231">
        <f>HYPERLINK("https://www.walmart.com/ip/13236915878", "13236915878")</f>
        <v/>
      </c>
      <c r="B231">
        <f>HYPERLINK("https://app.optiwise.ai/catalog/itemdetails/12909181", "Wrangler Slim Genuine Leather AirTag Wallet for Men - Bifold RFID Blocking Design with Hidden AirTag Holder")</f>
        <v/>
      </c>
      <c r="C231" t="inlineStr">
        <is>
          <t>-</t>
        </is>
      </c>
      <c r="E231" t="inlineStr">
        <is>
          <t>WR-WA13705BRNNS</t>
        </is>
      </c>
      <c r="F231" t="n">
        <v>0</v>
      </c>
      <c r="G231" t="inlineStr">
        <is>
          <t>Cases &amp; Bags</t>
        </is>
      </c>
      <c r="H231" t="inlineStr">
        <is>
          <t>Wallets</t>
        </is>
      </c>
      <c r="I231" t="inlineStr">
        <is>
          <t>Wrangler</t>
        </is>
      </c>
      <c r="L231" s="29" t="n">
        <v>24.98</v>
      </c>
      <c r="M231" s="30" t="n">
        <v>0.0002</v>
      </c>
      <c r="N231" s="29" t="n">
        <v>0</v>
      </c>
      <c r="O231" s="29" t="n">
        <v>0</v>
      </c>
      <c r="P231" s="2" t="n">
        <v>1</v>
      </c>
      <c r="Q231" s="31" t="n">
        <v>0</v>
      </c>
      <c r="R231" s="32" t="n"/>
      <c r="S231" s="32" t="n">
        <v>0</v>
      </c>
      <c r="T231" s="32" t="n">
        <v>0</v>
      </c>
      <c r="U231" s="31" t="n">
        <v>0</v>
      </c>
      <c r="V231" s="32" t="n">
        <v>0</v>
      </c>
      <c r="W231" s="31" t="n">
        <v>0</v>
      </c>
      <c r="X231" s="31" t="n">
        <v>0</v>
      </c>
      <c r="Y231" s="3" t="n">
        <v>408</v>
      </c>
      <c r="Z231" s="3" t="n">
        <v>0</v>
      </c>
      <c r="AA231" s="32" t="n">
        <v>0</v>
      </c>
      <c r="AB231" s="3" t="n">
        <v>0</v>
      </c>
      <c r="AC231" s="32" t="n">
        <v>0</v>
      </c>
      <c r="AD231" s="3" t="inlineStr">
        <is>
          <t>Wallet Campaign</t>
        </is>
      </c>
      <c r="AE231" s="31" t="n">
        <v>0</v>
      </c>
      <c r="AF231" s="2" t="n">
        <v>0</v>
      </c>
      <c r="AG231" s="2" t="n">
        <v>9</v>
      </c>
      <c r="AH231" s="4" t="n">
        <v>9</v>
      </c>
      <c r="AI231" s="33" t="n">
        <v>24.98</v>
      </c>
      <c r="AJ231" s="4" t="n">
        <v>1</v>
      </c>
      <c r="AK231" s="34" t="n">
        <v>0.1111</v>
      </c>
      <c r="AL231" s="34" t="n">
        <v>1</v>
      </c>
      <c r="AM231" s="2" t="n">
        <v>13500</v>
      </c>
    </row>
    <row r="232">
      <c r="A232">
        <f>HYPERLINK("https://www.walmart.com/ip/504996733", "504996733")</f>
        <v/>
      </c>
      <c r="B232">
        <f>HYPERLINK("https://app.optiwise.ai/catalog/itemdetails/359130", "Terrania Fleece Wearable Blanket with Sleeves for Adult Women and Men, Super Soft Comfy Plush TV Blanket Throw Wrap Cover for Lounge, Couch, Reading, and Watching TV, Green, 73 x 51")</f>
        <v/>
      </c>
      <c r="C232" t="n">
        <v>8</v>
      </c>
      <c r="D232" t="inlineStr">
        <is>
          <t>B78691_1680820_FBA58FE936A8A1C3</t>
        </is>
      </c>
      <c r="E232" t="inlineStr">
        <is>
          <t>1TRSN100GN</t>
        </is>
      </c>
      <c r="F232" t="n">
        <v>34</v>
      </c>
      <c r="G232" t="inlineStr">
        <is>
          <t>Bedding</t>
        </is>
      </c>
      <c r="H232" t="inlineStr">
        <is>
          <t>Throws</t>
        </is>
      </c>
      <c r="I232" t="inlineStr">
        <is>
          <t>Tirrinia</t>
        </is>
      </c>
      <c r="J232" t="n">
        <v>4.600000000000001</v>
      </c>
      <c r="K232" t="inlineStr">
        <is>
          <t>WFS,WFS Item,ST Patrick Day</t>
        </is>
      </c>
      <c r="L232" s="29" t="n">
        <v>23.99</v>
      </c>
      <c r="M232" s="30" t="n">
        <v>0.0002</v>
      </c>
      <c r="N232" s="29" t="n">
        <v>0</v>
      </c>
      <c r="O232" s="29" t="n">
        <v>0</v>
      </c>
      <c r="P232" s="2" t="n">
        <v>1</v>
      </c>
      <c r="Q232" s="31" t="n">
        <v>24.69999999999999</v>
      </c>
      <c r="R232" s="32" t="n">
        <v>0.003</v>
      </c>
      <c r="S232" s="32" t="n">
        <v>1.0296</v>
      </c>
      <c r="T232" s="32" t="n">
        <v>0.06370000000000001</v>
      </c>
      <c r="U232" s="31" t="n">
        <v>0</v>
      </c>
      <c r="V232" s="32" t="n">
        <v>0</v>
      </c>
      <c r="W232" s="31" t="n">
        <v>0</v>
      </c>
      <c r="X232" s="31" t="n">
        <v>0</v>
      </c>
      <c r="Y232" s="3" t="n">
        <v>109300</v>
      </c>
      <c r="Z232" s="3" t="n">
        <v>82</v>
      </c>
      <c r="AA232" s="32" t="n">
        <v>0.0008</v>
      </c>
      <c r="AB232" s="3" t="n">
        <v>0</v>
      </c>
      <c r="AC232" s="32" t="n">
        <v>0</v>
      </c>
      <c r="AD232" s="3" t="inlineStr">
        <is>
          <t>,Throws_Manual_Optiwise_24,Throws_Auto_Optiwise_24</t>
        </is>
      </c>
      <c r="AE232" s="31" t="n">
        <v>0.3</v>
      </c>
      <c r="AF232" s="2" t="n">
        <v>21</v>
      </c>
      <c r="AG232" s="2" t="n">
        <v>136</v>
      </c>
      <c r="AH232" s="4" t="n">
        <v>54</v>
      </c>
      <c r="AI232" s="33" t="n">
        <v>23.99</v>
      </c>
      <c r="AJ232" s="4" t="n">
        <v>1</v>
      </c>
      <c r="AK232" s="34" t="n">
        <v>0.0185</v>
      </c>
      <c r="AL232" s="34" t="n">
        <v>1</v>
      </c>
      <c r="AM232" s="2" t="n">
        <v>93420</v>
      </c>
    </row>
    <row r="233">
      <c r="A233">
        <f>HYPERLINK("https://www.walmart.com/ip/930481180", "930481180")</f>
        <v/>
      </c>
      <c r="B233">
        <f>HYPERLINK("https://app.optiwise.ai/catalog/itemdetails/360439", "Multifunctional Baby Diaper Bag Backpack Mommy Bag Mummy Changing Bag Waterproof (US SHIP)")</f>
        <v/>
      </c>
      <c r="C233" t="n">
        <v>2</v>
      </c>
      <c r="D233" t="inlineStr">
        <is>
          <t>B78691_1681475_509AFAC19517353B</t>
        </is>
      </c>
      <c r="E233" t="inlineStr">
        <is>
          <t>TRBP100GY</t>
        </is>
      </c>
      <c r="F233" t="n">
        <v>3</v>
      </c>
      <c r="G233" t="inlineStr">
        <is>
          <t>Baby Diapering, Care, &amp; Other</t>
        </is>
      </c>
      <c r="H233" t="inlineStr">
        <is>
          <t>Diaper Bags</t>
        </is>
      </c>
      <c r="I233" t="inlineStr">
        <is>
          <t>Terrania</t>
        </is>
      </c>
      <c r="J233" t="n">
        <v>3</v>
      </c>
      <c r="K233" t="inlineStr">
        <is>
          <t>Baby days,Optimized</t>
        </is>
      </c>
      <c r="L233" s="29" t="n">
        <v>23.99</v>
      </c>
      <c r="M233" s="30" t="n">
        <v>0.0002</v>
      </c>
      <c r="N233" s="29" t="n">
        <v>0</v>
      </c>
      <c r="O233" s="29" t="n">
        <v>0</v>
      </c>
      <c r="P233" s="2" t="n">
        <v>1</v>
      </c>
      <c r="Q233" s="31" t="n">
        <v>0</v>
      </c>
      <c r="R233" s="32" t="n"/>
      <c r="S233" s="32" t="n">
        <v>0</v>
      </c>
      <c r="T233" s="32" t="n">
        <v>0</v>
      </c>
      <c r="U233" s="31" t="n">
        <v>0</v>
      </c>
      <c r="V233" s="32" t="n">
        <v>0</v>
      </c>
      <c r="W233" s="31" t="n">
        <v>0</v>
      </c>
      <c r="X233" s="31" t="n">
        <v>0</v>
      </c>
      <c r="Y233" s="3" t="n">
        <v>0</v>
      </c>
      <c r="Z233" s="3" t="n">
        <v>0</v>
      </c>
      <c r="AA233" s="32" t="n">
        <v>0</v>
      </c>
      <c r="AB233" s="3" t="n">
        <v>0</v>
      </c>
      <c r="AC233" s="32" t="n">
        <v>0</v>
      </c>
      <c r="AD233" s="3" t="n"/>
      <c r="AE233" s="31" t="n">
        <v>0</v>
      </c>
      <c r="AF233" s="2" t="n">
        <v>0</v>
      </c>
      <c r="AG233" s="2" t="n">
        <v>62</v>
      </c>
      <c r="AH233" s="4" t="n">
        <v>62</v>
      </c>
      <c r="AI233" s="33" t="n">
        <v>23.99</v>
      </c>
      <c r="AJ233" s="4" t="n">
        <v>1</v>
      </c>
      <c r="AK233" s="34" t="n">
        <v>0.0161</v>
      </c>
      <c r="AL233" s="34" t="n">
        <v>1</v>
      </c>
      <c r="AM233" s="2" t="n">
        <v>135</v>
      </c>
    </row>
    <row r="234">
      <c r="A234">
        <f>HYPERLINK("https://www.walmart.com/ip/14550170058", "14550170058")</f>
        <v/>
      </c>
      <c r="B234">
        <f>HYPERLINK("https://app.optiwise.ai/catalog/itemdetails/13059607", "Aeropostale  Backpack for School, College, and Travel， Water Resistant Bookbag Lilac Heart")</f>
        <v/>
      </c>
      <c r="C234" t="inlineStr">
        <is>
          <t>-</t>
        </is>
      </c>
      <c r="E234" t="inlineStr">
        <is>
          <t>1AEBPK92029LLHEART</t>
        </is>
      </c>
      <c r="F234" t="n">
        <v>0</v>
      </c>
      <c r="G234" t="inlineStr">
        <is>
          <t>Cases &amp; Bags</t>
        </is>
      </c>
      <c r="H234" t="inlineStr">
        <is>
          <t>Backpacks</t>
        </is>
      </c>
      <c r="I234" t="inlineStr">
        <is>
          <t>Aeropostale</t>
        </is>
      </c>
      <c r="L234" s="29" t="n">
        <v>23.99</v>
      </c>
      <c r="M234" s="30" t="n">
        <v>0.0002</v>
      </c>
      <c r="N234" s="29" t="n">
        <v>0</v>
      </c>
      <c r="O234" s="29" t="n">
        <v>0</v>
      </c>
      <c r="P234" s="2" t="n">
        <v>1</v>
      </c>
      <c r="Q234" s="31" t="n">
        <v>0</v>
      </c>
      <c r="R234" s="32" t="n"/>
      <c r="S234" s="32" t="n">
        <v>0</v>
      </c>
      <c r="T234" s="32" t="n">
        <v>0</v>
      </c>
      <c r="U234" s="31" t="n">
        <v>0</v>
      </c>
      <c r="V234" s="32" t="n">
        <v>0</v>
      </c>
      <c r="W234" s="31" t="n">
        <v>0</v>
      </c>
      <c r="X234" s="31" t="n">
        <v>0</v>
      </c>
      <c r="Y234" s="3" t="n">
        <v>0</v>
      </c>
      <c r="Z234" s="3" t="n">
        <v>0</v>
      </c>
      <c r="AA234" s="32" t="n">
        <v>0</v>
      </c>
      <c r="AB234" s="3" t="n">
        <v>0</v>
      </c>
      <c r="AC234" s="32" t="n">
        <v>0</v>
      </c>
      <c r="AD234" s="3" t="n"/>
      <c r="AE234" s="31" t="n">
        <v>0</v>
      </c>
      <c r="AF234" s="2" t="n">
        <v>0</v>
      </c>
      <c r="AG234" s="2" t="n">
        <v>22</v>
      </c>
      <c r="AH234" s="4" t="n">
        <v>22</v>
      </c>
      <c r="AI234" s="33" t="n">
        <v>23.99</v>
      </c>
      <c r="AJ234" s="4" t="n">
        <v>1</v>
      </c>
      <c r="AK234" s="34" t="n">
        <v>0.0455</v>
      </c>
      <c r="AL234" s="34" t="n">
        <v>1</v>
      </c>
      <c r="AM234" s="2" t="n">
        <v>9990</v>
      </c>
    </row>
    <row r="235">
      <c r="A235">
        <f>HYPERLINK("https://www.walmart.com/ip/815916743", "815916743")</f>
        <v/>
      </c>
      <c r="B235">
        <f>HYPERLINK("https://app.optiwise.ai/catalog/itemdetails/360810", "Kato Wine Bottle Opener Set 5 Pcs – Corkscrew, Stopper, Aerator Pourer, Foil Cutter, Sliver Glass Paint Marker With Free")</f>
        <v/>
      </c>
      <c r="C235" t="n">
        <v>2</v>
      </c>
      <c r="D235" t="inlineStr">
        <is>
          <t>B78691_1649056_6AB4E965C1D0E52A</t>
        </is>
      </c>
      <c r="E235" t="inlineStr">
        <is>
          <t>1KTWO51SLBK</t>
        </is>
      </c>
      <c r="F235" t="n">
        <v>5</v>
      </c>
      <c r="G235" t="inlineStr">
        <is>
          <t>Home Decor, Kitchen, &amp; Other</t>
        </is>
      </c>
      <c r="H235" t="inlineStr">
        <is>
          <t>Barware Sets</t>
        </is>
      </c>
      <c r="I235" t="inlineStr">
        <is>
          <t>Kato</t>
        </is>
      </c>
      <c r="J235" t="n">
        <v>5</v>
      </c>
      <c r="K235" t="inlineStr">
        <is>
          <t>Wine,Christmas,WFS,Valentine,WFS Item</t>
        </is>
      </c>
      <c r="L235" s="29" t="n">
        <v>23.98</v>
      </c>
      <c r="M235" s="30" t="n">
        <v>0.0002</v>
      </c>
      <c r="N235" s="29" t="n">
        <v>11.98999977111816</v>
      </c>
      <c r="O235" s="29" t="n">
        <v>0</v>
      </c>
      <c r="P235" s="2" t="n">
        <v>2</v>
      </c>
      <c r="Q235" s="31" t="n">
        <v>0</v>
      </c>
      <c r="R235" s="32" t="n"/>
      <c r="S235" s="32" t="n">
        <v>0</v>
      </c>
      <c r="T235" s="32" t="n">
        <v>0</v>
      </c>
      <c r="U235" s="31" t="n">
        <v>0</v>
      </c>
      <c r="V235" s="32" t="n">
        <v>0</v>
      </c>
      <c r="W235" s="31" t="n">
        <v>0</v>
      </c>
      <c r="X235" s="31" t="n">
        <v>0</v>
      </c>
      <c r="Y235" s="3" t="n">
        <v>0</v>
      </c>
      <c r="Z235" s="3" t="n">
        <v>0</v>
      </c>
      <c r="AA235" s="32" t="n">
        <v>0</v>
      </c>
      <c r="AB235" s="3" t="n">
        <v>0</v>
      </c>
      <c r="AC235" s="32" t="n">
        <v>0</v>
      </c>
      <c r="AD235" s="3" t="n"/>
      <c r="AE235" s="31" t="n">
        <v>0</v>
      </c>
      <c r="AF235" s="2" t="n">
        <v>3</v>
      </c>
      <c r="AG235" s="2" t="n">
        <v>43</v>
      </c>
      <c r="AH235" s="4" t="n">
        <v>43</v>
      </c>
      <c r="AI235" s="33" t="n">
        <v>23.98</v>
      </c>
      <c r="AJ235" s="4" t="n">
        <v>2</v>
      </c>
      <c r="AK235" s="34" t="n">
        <v>0.0465</v>
      </c>
      <c r="AL235" s="34" t="n">
        <v>1</v>
      </c>
      <c r="AM235" s="2" t="n">
        <v>7087</v>
      </c>
    </row>
    <row r="236">
      <c r="A236">
        <f>HYPERLINK("https://www.walmart.com/ip/887328241", "887328241")</f>
        <v/>
      </c>
      <c r="B236">
        <f>HYPERLINK("https://app.optiwise.ai/catalog/itemdetails/361168", "Sherpa Fleece Throw Blanket for Kids,Super Soft Light Weight Reversible Fuzzy Snuggle Blanket for Camping Couch Bed All Season 50”x 60”")</f>
        <v/>
      </c>
      <c r="C236" t="n">
        <v>5</v>
      </c>
      <c r="D236" t="inlineStr">
        <is>
          <t>B78691_1645537_C4513FF6AD7F0305</t>
        </is>
      </c>
      <c r="E236" t="inlineStr">
        <is>
          <t>1CTBF566BL</t>
        </is>
      </c>
      <c r="F236" t="n">
        <v>21</v>
      </c>
      <c r="G236" t="inlineStr">
        <is>
          <t>Bedding</t>
        </is>
      </c>
      <c r="H236" t="inlineStr">
        <is>
          <t>Throws</t>
        </is>
      </c>
      <c r="I236" t="inlineStr">
        <is>
          <t>Catalonia</t>
        </is>
      </c>
      <c r="J236" t="n">
        <v>4.6</v>
      </c>
      <c r="K236" t="inlineStr">
        <is>
          <t>WFS,WFS Item</t>
        </is>
      </c>
      <c r="L236" s="29" t="n">
        <v>23.98</v>
      </c>
      <c r="M236" s="30" t="n">
        <v>0.0002</v>
      </c>
      <c r="N236" s="29" t="n">
        <v>0</v>
      </c>
      <c r="O236" s="29" t="n">
        <v>0</v>
      </c>
      <c r="P236" s="2" t="n">
        <v>2</v>
      </c>
      <c r="Q236" s="31" t="n">
        <v>0</v>
      </c>
      <c r="R236" s="32" t="n"/>
      <c r="S236" s="32" t="n">
        <v>0</v>
      </c>
      <c r="T236" s="32" t="n">
        <v>0</v>
      </c>
      <c r="U236" s="31" t="n">
        <v>0</v>
      </c>
      <c r="V236" s="32" t="n">
        <v>0</v>
      </c>
      <c r="W236" s="31" t="n">
        <v>0</v>
      </c>
      <c r="X236" s="31" t="n">
        <v>0</v>
      </c>
      <c r="Y236" s="3" t="n">
        <v>0</v>
      </c>
      <c r="Z236" s="3" t="n">
        <v>0</v>
      </c>
      <c r="AA236" s="32" t="n">
        <v>0</v>
      </c>
      <c r="AB236" s="3" t="n">
        <v>0</v>
      </c>
      <c r="AC236" s="32" t="n">
        <v>0</v>
      </c>
      <c r="AD236" s="3" t="n"/>
      <c r="AE236" s="31" t="n">
        <v>0</v>
      </c>
      <c r="AF236" s="2" t="n">
        <v>0</v>
      </c>
      <c r="AG236" s="2" t="n">
        <v>98</v>
      </c>
      <c r="AH236" s="4" t="n">
        <v>98</v>
      </c>
      <c r="AI236" s="33" t="n">
        <v>23.98</v>
      </c>
      <c r="AJ236" s="4" t="n">
        <v>2</v>
      </c>
      <c r="AK236" s="34" t="n">
        <v>0.0204</v>
      </c>
      <c r="AL236" s="34" t="n">
        <v>1</v>
      </c>
      <c r="AM236" s="2" t="n">
        <v>27067</v>
      </c>
    </row>
    <row r="237">
      <c r="A237">
        <f>HYPERLINK("https://www.walmart.com/ip/144276925", "144276925")</f>
        <v/>
      </c>
      <c r="B237">
        <f>HYPERLINK("https://app.optiwise.ai/catalog/itemdetails/361623", "JenniWears® Women's Plus Size Sexy Lingerie Lace Babydolls 2 Pieces Mesh Chemises and G-string for Halloween")</f>
        <v/>
      </c>
      <c r="C237" t="n">
        <v>4</v>
      </c>
      <c r="D237" t="inlineStr">
        <is>
          <t>B78691_979778</t>
        </is>
      </c>
      <c r="E237" t="inlineStr">
        <is>
          <t>JWBD06BKPP-XL</t>
        </is>
      </c>
      <c r="F237" t="n">
        <v>1</v>
      </c>
      <c r="G237" t="inlineStr">
        <is>
          <t>Clothing</t>
        </is>
      </c>
      <c r="H237" t="inlineStr">
        <is>
          <t>Lingerie Sets</t>
        </is>
      </c>
      <c r="I237" t="inlineStr">
        <is>
          <t>JenniWears</t>
        </is>
      </c>
      <c r="K237" t="inlineStr">
        <is>
          <t>Valentine</t>
        </is>
      </c>
      <c r="L237" s="29" t="n">
        <v>23.97</v>
      </c>
      <c r="M237" s="30" t="n">
        <v>0.0002</v>
      </c>
      <c r="N237" s="29" t="n">
        <v>15.97999954223633</v>
      </c>
      <c r="O237" s="29" t="n">
        <v>0</v>
      </c>
      <c r="P237" s="2" t="n">
        <v>3</v>
      </c>
      <c r="Q237" s="31" t="n">
        <v>0</v>
      </c>
      <c r="R237" s="32" t="n"/>
      <c r="S237" s="32" t="n">
        <v>0</v>
      </c>
      <c r="T237" s="32" t="n">
        <v>0</v>
      </c>
      <c r="U237" s="31" t="n">
        <v>0</v>
      </c>
      <c r="V237" s="32" t="n">
        <v>0</v>
      </c>
      <c r="W237" s="31" t="n">
        <v>0</v>
      </c>
      <c r="X237" s="31" t="n">
        <v>0</v>
      </c>
      <c r="Y237" s="3" t="n">
        <v>0</v>
      </c>
      <c r="Z237" s="3" t="n">
        <v>0</v>
      </c>
      <c r="AA237" s="32" t="n">
        <v>0</v>
      </c>
      <c r="AB237" s="3" t="n">
        <v>0</v>
      </c>
      <c r="AC237" s="32" t="n">
        <v>0</v>
      </c>
      <c r="AD237" s="3" t="n"/>
      <c r="AE237" s="31" t="n">
        <v>0</v>
      </c>
      <c r="AF237" s="2" t="n">
        <v>0</v>
      </c>
      <c r="AG237" s="2" t="n">
        <v>50</v>
      </c>
      <c r="AH237" s="4" t="n">
        <v>50</v>
      </c>
      <c r="AI237" s="33" t="n">
        <v>23.97</v>
      </c>
      <c r="AJ237" s="4" t="n">
        <v>3</v>
      </c>
      <c r="AK237" s="34" t="n">
        <v>0.06</v>
      </c>
      <c r="AL237" s="34" t="n">
        <v>1</v>
      </c>
      <c r="AM237" s="2" t="n">
        <v>3420</v>
      </c>
    </row>
    <row r="238">
      <c r="A238">
        <f>HYPERLINK("https://www.walmart.com/ip/115623032", "115623032")</f>
        <v/>
      </c>
      <c r="B238">
        <f>HYPERLINK("https://app.optiwise.ai/catalog/itemdetails/362482", "JenniWears® Women's Sexy Strappy Lace Mesh Chemise Lingerie with G-string")</f>
        <v/>
      </c>
      <c r="C238" t="n">
        <v>3</v>
      </c>
      <c r="D238" t="inlineStr">
        <is>
          <t>B78691_979770_FA0A708E296CBCE0</t>
        </is>
      </c>
      <c r="E238" t="inlineStr">
        <is>
          <t>JWBD03BKPP-M</t>
        </is>
      </c>
      <c r="F238" t="n">
        <v>0</v>
      </c>
      <c r="G238" t="inlineStr">
        <is>
          <t>Clothing</t>
        </is>
      </c>
      <c r="H238" t="inlineStr">
        <is>
          <t>Lingerie Sets</t>
        </is>
      </c>
      <c r="I238" t="inlineStr">
        <is>
          <t>JenniWears</t>
        </is>
      </c>
      <c r="K238" t="inlineStr">
        <is>
          <t>Optimized,Valentine</t>
        </is>
      </c>
      <c r="L238" s="29" t="n">
        <v>23.94</v>
      </c>
      <c r="M238" s="30" t="n">
        <v>0.0002</v>
      </c>
      <c r="N238" s="29" t="n">
        <v>0</v>
      </c>
      <c r="O238" s="29" t="n">
        <v>0</v>
      </c>
      <c r="P238" s="2" t="n">
        <v>3</v>
      </c>
      <c r="Q238" s="31" t="n">
        <v>0</v>
      </c>
      <c r="R238" s="32" t="n"/>
      <c r="S238" s="32" t="n">
        <v>0</v>
      </c>
      <c r="T238" s="32" t="n">
        <v>0</v>
      </c>
      <c r="U238" s="31" t="n">
        <v>0</v>
      </c>
      <c r="V238" s="32" t="n">
        <v>0</v>
      </c>
      <c r="W238" s="31" t="n">
        <v>0</v>
      </c>
      <c r="X238" s="31" t="n">
        <v>0</v>
      </c>
      <c r="Y238" s="3" t="n">
        <v>0</v>
      </c>
      <c r="Z238" s="3" t="n">
        <v>0</v>
      </c>
      <c r="AA238" s="32" t="n">
        <v>0</v>
      </c>
      <c r="AB238" s="3" t="n">
        <v>0</v>
      </c>
      <c r="AC238" s="32" t="n">
        <v>0</v>
      </c>
      <c r="AD238" s="3" t="n"/>
      <c r="AE238" s="31" t="n">
        <v>0</v>
      </c>
      <c r="AF238" s="2" t="n">
        <v>22</v>
      </c>
      <c r="AG238" s="2" t="n">
        <v>146</v>
      </c>
      <c r="AH238" s="4" t="n">
        <v>146</v>
      </c>
      <c r="AI238" s="33" t="n">
        <v>23.94</v>
      </c>
      <c r="AJ238" s="4" t="n">
        <v>3</v>
      </c>
      <c r="AK238" s="34" t="n">
        <v>0.0205</v>
      </c>
      <c r="AL238" s="34" t="n">
        <v>1</v>
      </c>
      <c r="AM238" s="2" t="n">
        <v>7020</v>
      </c>
    </row>
    <row r="239">
      <c r="A239">
        <f>HYPERLINK("https://www.walmart.com/ip/123766588", "123766588")</f>
        <v/>
      </c>
      <c r="B239">
        <f>HYPERLINK("https://app.optiwise.ai/catalog/itemdetails/360487", "Terra Active Wrap- Stylish Running workout travel waist belt w/ hidden pocket")</f>
        <v/>
      </c>
      <c r="C239" t="n">
        <v>9</v>
      </c>
      <c r="D239" t="inlineStr">
        <is>
          <t>B78691_969352</t>
        </is>
      </c>
      <c r="E239" t="inlineStr">
        <is>
          <t>TERRA-3PK-M</t>
        </is>
      </c>
      <c r="F239" t="n">
        <v>0</v>
      </c>
      <c r="G239" t="inlineStr">
        <is>
          <t>Cases &amp; Bags</t>
        </is>
      </c>
      <c r="H239" t="inlineStr">
        <is>
          <t>Running Belts</t>
        </is>
      </c>
      <c r="I239" t="inlineStr">
        <is>
          <t>Terra</t>
        </is>
      </c>
      <c r="K239" t="inlineStr">
        <is>
          <t>Optimized</t>
        </is>
      </c>
      <c r="L239" s="29" t="n">
        <v>23.94</v>
      </c>
      <c r="M239" s="30" t="n">
        <v>0.0002</v>
      </c>
      <c r="N239" s="29" t="n">
        <v>7.980000019073486</v>
      </c>
      <c r="O239" s="29" t="n">
        <v>0</v>
      </c>
      <c r="P239" s="2" t="n">
        <v>3</v>
      </c>
      <c r="Q239" s="31" t="n">
        <v>0</v>
      </c>
      <c r="R239" s="32" t="n"/>
      <c r="S239" s="32" t="n">
        <v>0</v>
      </c>
      <c r="T239" s="32" t="n">
        <v>0</v>
      </c>
      <c r="U239" s="31" t="n">
        <v>0</v>
      </c>
      <c r="V239" s="32" t="n">
        <v>0</v>
      </c>
      <c r="W239" s="31" t="n">
        <v>0</v>
      </c>
      <c r="X239" s="31" t="n">
        <v>0</v>
      </c>
      <c r="Y239" s="3" t="n">
        <v>0</v>
      </c>
      <c r="Z239" s="3" t="n">
        <v>0</v>
      </c>
      <c r="AA239" s="32" t="n">
        <v>0</v>
      </c>
      <c r="AB239" s="3" t="n">
        <v>0</v>
      </c>
      <c r="AC239" s="32" t="n">
        <v>0</v>
      </c>
      <c r="AD239" s="3" t="n"/>
      <c r="AE239" s="31" t="n">
        <v>0</v>
      </c>
      <c r="AF239" s="2" t="n">
        <v>0</v>
      </c>
      <c r="AG239" s="2" t="n">
        <v>94</v>
      </c>
      <c r="AH239" s="4" t="n">
        <v>94</v>
      </c>
      <c r="AI239" s="33" t="n">
        <v>23.94</v>
      </c>
      <c r="AJ239" s="4" t="n">
        <v>3</v>
      </c>
      <c r="AK239" s="34" t="n">
        <v>0.0319</v>
      </c>
      <c r="AL239" s="34" t="n">
        <v>1</v>
      </c>
      <c r="AM239" s="2" t="n">
        <v>16695</v>
      </c>
    </row>
    <row r="240">
      <c r="A240">
        <f>HYPERLINK("https://www.walmart.com/ip/837044486", "837044486")</f>
        <v/>
      </c>
      <c r="B240">
        <f>HYPERLINK("https://app.optiwise.ai/catalog/itemdetails/359320", "Flyingstar 2-Bottle Wine Tote Carrier, Leakproof and Insulated Padded Versatile Wine Cooler Bag for Travel, Wine Tasting, Parties and Dinner, Elegant Wine Gift Bag, Black")</f>
        <v/>
      </c>
      <c r="C240" t="n">
        <v>4</v>
      </c>
      <c r="D240" t="inlineStr">
        <is>
          <t>B78691_1679763_9D5063B40516EE47</t>
        </is>
      </c>
      <c r="E240" t="inlineStr">
        <is>
          <t>1WMWB220BK</t>
        </is>
      </c>
      <c r="F240" t="n">
        <v>1</v>
      </c>
      <c r="G240" t="inlineStr">
        <is>
          <t>Home Decor, Kitchen, &amp; Other</t>
        </is>
      </c>
      <c r="H240" t="inlineStr">
        <is>
          <t>Wine Totes, Bags &amp; Backpacks</t>
        </is>
      </c>
      <c r="I240" t="inlineStr">
        <is>
          <t>Flyingstar</t>
        </is>
      </c>
      <c r="J240" t="n">
        <v>5</v>
      </c>
      <c r="K240" t="inlineStr">
        <is>
          <t>Wine,Christmas,Valentine,SEM</t>
        </is>
      </c>
      <c r="L240" s="29" t="n">
        <v>22.99</v>
      </c>
      <c r="M240" s="30" t="n">
        <v>0.0002</v>
      </c>
      <c r="N240" s="29" t="n">
        <v>0</v>
      </c>
      <c r="O240" s="29" t="n">
        <v>0</v>
      </c>
      <c r="P240" s="2" t="n">
        <v>1</v>
      </c>
      <c r="Q240" s="31" t="n">
        <v>0</v>
      </c>
      <c r="R240" s="32" t="n"/>
      <c r="S240" s="32" t="n">
        <v>0</v>
      </c>
      <c r="T240" s="32" t="n">
        <v>0</v>
      </c>
      <c r="U240" s="31" t="n">
        <v>0</v>
      </c>
      <c r="V240" s="32" t="n">
        <v>0</v>
      </c>
      <c r="W240" s="31" t="n">
        <v>0</v>
      </c>
      <c r="X240" s="31" t="n">
        <v>0</v>
      </c>
      <c r="Y240" s="3" t="n">
        <v>0</v>
      </c>
      <c r="Z240" s="3" t="n">
        <v>0</v>
      </c>
      <c r="AA240" s="32" t="n">
        <v>0</v>
      </c>
      <c r="AB240" s="3" t="n">
        <v>0</v>
      </c>
      <c r="AC240" s="32" t="n">
        <v>0</v>
      </c>
      <c r="AD240" s="3" t="n"/>
      <c r="AE240" s="31" t="n">
        <v>0</v>
      </c>
      <c r="AF240" s="2" t="n">
        <v>0</v>
      </c>
      <c r="AG240" s="2" t="n">
        <v>32</v>
      </c>
      <c r="AH240" s="4" t="n">
        <v>32</v>
      </c>
      <c r="AI240" s="33" t="n">
        <v>22.99</v>
      </c>
      <c r="AJ240" s="4" t="n">
        <v>1</v>
      </c>
      <c r="AK240" s="34" t="n">
        <v>0.0312</v>
      </c>
      <c r="AL240" s="34" t="n">
        <v>1</v>
      </c>
      <c r="AM240" s="2" t="n">
        <v>41850</v>
      </c>
    </row>
    <row r="241">
      <c r="A241">
        <f>HYPERLINK("https://www.walmart.com/ip/572950679", "572950679")</f>
        <v/>
      </c>
      <c r="B241">
        <f>HYPERLINK("https://app.optiwise.ai/catalog/itemdetails/361205", "Flyingstar Surf Towel Robe, Quick Dry Beach Wetsuit Changing Bath Robe Poncho for Surfing, Swimming")</f>
        <v/>
      </c>
      <c r="C241" t="n">
        <v>5</v>
      </c>
      <c r="D241" t="inlineStr">
        <is>
          <t>B78691_1679970_9485C9B80AE9DC89</t>
        </is>
      </c>
      <c r="E241" t="inlineStr">
        <is>
          <t>1WMBR100-GY</t>
        </is>
      </c>
      <c r="F241" t="n">
        <v>3</v>
      </c>
      <c r="G241" t="inlineStr">
        <is>
          <t>Clothing</t>
        </is>
      </c>
      <c r="H241" t="inlineStr">
        <is>
          <t>Sleepwear Robes &amp; Bathrobes</t>
        </is>
      </c>
      <c r="I241" t="inlineStr">
        <is>
          <t>Flyingstar</t>
        </is>
      </c>
      <c r="J241" t="n">
        <v>5</v>
      </c>
      <c r="K241" t="inlineStr">
        <is>
          <t>Optimized,Beach Robe Camp</t>
        </is>
      </c>
      <c r="L241" s="29" t="n">
        <v>22.99</v>
      </c>
      <c r="M241" s="30" t="n">
        <v>0.0002</v>
      </c>
      <c r="N241" s="29" t="n">
        <v>0</v>
      </c>
      <c r="O241" s="29" t="n">
        <v>0</v>
      </c>
      <c r="P241" s="2" t="n">
        <v>1</v>
      </c>
      <c r="Q241" s="31" t="n">
        <v>0</v>
      </c>
      <c r="R241" s="32" t="n"/>
      <c r="S241" s="32" t="n">
        <v>0</v>
      </c>
      <c r="T241" s="32" t="n">
        <v>0.0152</v>
      </c>
      <c r="U241" s="31" t="n">
        <v>0</v>
      </c>
      <c r="V241" s="32" t="n">
        <v>0</v>
      </c>
      <c r="W241" s="31" t="n">
        <v>0</v>
      </c>
      <c r="X241" s="31" t="n">
        <v>0</v>
      </c>
      <c r="Y241" s="3" t="n">
        <v>0</v>
      </c>
      <c r="Z241" s="3" t="n">
        <v>0</v>
      </c>
      <c r="AA241" s="32" t="n">
        <v>0</v>
      </c>
      <c r="AB241" s="3" t="n">
        <v>0</v>
      </c>
      <c r="AC241" s="32" t="n">
        <v>0</v>
      </c>
      <c r="AD241" s="3" t="n"/>
      <c r="AE241" s="31" t="n">
        <v>0</v>
      </c>
      <c r="AF241" s="2" t="n">
        <v>0</v>
      </c>
      <c r="AG241" s="2" t="n">
        <v>50</v>
      </c>
      <c r="AH241" s="4" t="n">
        <v>50</v>
      </c>
      <c r="AI241" s="33" t="n">
        <v>22.99</v>
      </c>
      <c r="AJ241" s="4" t="n">
        <v>1</v>
      </c>
      <c r="AK241" s="34" t="n">
        <v>0.02</v>
      </c>
      <c r="AL241" s="34" t="n">
        <v>1</v>
      </c>
      <c r="AM241" s="2" t="n">
        <v>1080</v>
      </c>
    </row>
    <row r="242">
      <c r="A242">
        <f>HYPERLINK("https://www.walmart.com/ip/805646855", "805646855")</f>
        <v/>
      </c>
      <c r="B242">
        <f>HYPERLINK("https://app.optiwise.ai/catalog/itemdetails/361404", "Catalonia Beach Changing Poncho Towel with Hood, Super Absorbent Microfiber Swim Robe for Men Women Surfing Bath Shower Pool, Quick Drying, Black")</f>
        <v/>
      </c>
      <c r="C242" t="n">
        <v>2</v>
      </c>
      <c r="D242" t="inlineStr">
        <is>
          <t>B78691_1639545_C6F5D9068BE8B547</t>
        </is>
      </c>
      <c r="E242" t="inlineStr">
        <is>
          <t>1CTBR100-BK-ES</t>
        </is>
      </c>
      <c r="F242" t="n">
        <v>0</v>
      </c>
      <c r="G242" t="inlineStr">
        <is>
          <t>Clothing - Clothing</t>
        </is>
      </c>
      <c r="H242" t="inlineStr">
        <is>
          <t>Towels &amp; Washcloths</t>
        </is>
      </c>
      <c r="I242" t="inlineStr">
        <is>
          <t>Catalonia</t>
        </is>
      </c>
      <c r="K242" t="inlineStr">
        <is>
          <t>Optimized,Beach Robe Camp</t>
        </is>
      </c>
      <c r="L242" s="29" t="n">
        <v>22.99</v>
      </c>
      <c r="M242" s="30" t="n">
        <v>0.0002</v>
      </c>
      <c r="N242" s="29" t="n">
        <v>0</v>
      </c>
      <c r="O242" s="29" t="n">
        <v>0</v>
      </c>
      <c r="P242" s="2" t="n">
        <v>1</v>
      </c>
      <c r="Q242" s="31" t="n">
        <v>0</v>
      </c>
      <c r="R242" s="32" t="n"/>
      <c r="S242" s="32" t="n">
        <v>0</v>
      </c>
      <c r="T242" s="32" t="n">
        <v>0</v>
      </c>
      <c r="U242" s="31" t="n">
        <v>0</v>
      </c>
      <c r="V242" s="32" t="n">
        <v>0</v>
      </c>
      <c r="W242" s="31" t="n">
        <v>0</v>
      </c>
      <c r="X242" s="31" t="n">
        <v>0</v>
      </c>
      <c r="Y242" s="3" t="n">
        <v>0</v>
      </c>
      <c r="Z242" s="3" t="n">
        <v>0</v>
      </c>
      <c r="AA242" s="32" t="n">
        <v>0</v>
      </c>
      <c r="AB242" s="3" t="n">
        <v>0</v>
      </c>
      <c r="AC242" s="32" t="n">
        <v>0</v>
      </c>
      <c r="AD242" s="3" t="n"/>
      <c r="AE242" s="31" t="n">
        <v>0</v>
      </c>
      <c r="AF242" s="2" t="n">
        <v>0</v>
      </c>
      <c r="AG242" s="2" t="n">
        <v>43</v>
      </c>
      <c r="AH242" s="4" t="n">
        <v>43</v>
      </c>
      <c r="AI242" s="33" t="n">
        <v>22.99</v>
      </c>
      <c r="AJ242" s="4" t="n">
        <v>1</v>
      </c>
      <c r="AK242" s="34" t="n">
        <v>0.0233</v>
      </c>
      <c r="AL242" s="34" t="n">
        <v>1</v>
      </c>
      <c r="AM242" s="2" t="n">
        <v>27000</v>
      </c>
    </row>
    <row r="243">
      <c r="A243">
        <f>HYPERLINK("https://www.walmart.com/ip/287921200", "287921200")</f>
        <v/>
      </c>
      <c r="B243">
        <f>HYPERLINK("https://app.optiwise.ai/catalog/itemdetails/358765", "Tirrinia Sherpa Fleece Throw Blanket, Ultra-Soft, Dual-Sided Sherpa and Mink, Grey, 50'' x 60''")</f>
        <v/>
      </c>
      <c r="C243" t="n">
        <v>10</v>
      </c>
      <c r="D243" t="inlineStr">
        <is>
          <t>B78691_1681108_DD09AB97215DF65F</t>
        </is>
      </c>
      <c r="E243" t="inlineStr">
        <is>
          <t>1TNBF300GY-TPB</t>
        </is>
      </c>
      <c r="F243" t="n">
        <v>3</v>
      </c>
      <c r="G243" t="inlineStr">
        <is>
          <t>Bedding</t>
        </is>
      </c>
      <c r="H243" t="inlineStr">
        <is>
          <t>Throws</t>
        </is>
      </c>
      <c r="I243" t="inlineStr">
        <is>
          <t>Tirrinia</t>
        </is>
      </c>
      <c r="K243" t="inlineStr">
        <is>
          <t>Optimized,WFS,WFS Item</t>
        </is>
      </c>
      <c r="L243" s="29" t="n">
        <v>21.99</v>
      </c>
      <c r="M243" s="30" t="n">
        <v>0.0002</v>
      </c>
      <c r="N243" s="29" t="n">
        <v>0</v>
      </c>
      <c r="O243" s="29" t="n">
        <v>0</v>
      </c>
      <c r="P243" s="2" t="n">
        <v>1</v>
      </c>
      <c r="Q243" s="31" t="n">
        <v>0</v>
      </c>
      <c r="R243" s="32" t="n"/>
      <c r="S243" s="32" t="n">
        <v>0</v>
      </c>
      <c r="T243" s="32" t="n">
        <v>0</v>
      </c>
      <c r="U243" s="31" t="n">
        <v>0</v>
      </c>
      <c r="V243" s="32" t="n">
        <v>0</v>
      </c>
      <c r="W243" s="31" t="n">
        <v>0</v>
      </c>
      <c r="X243" s="31" t="n">
        <v>0</v>
      </c>
      <c r="Y243" s="3" t="n">
        <v>0</v>
      </c>
      <c r="Z243" s="3" t="n">
        <v>0</v>
      </c>
      <c r="AA243" s="32" t="n">
        <v>0</v>
      </c>
      <c r="AB243" s="3" t="n">
        <v>0</v>
      </c>
      <c r="AC243" s="32" t="n">
        <v>0</v>
      </c>
      <c r="AD243" s="3" t="n"/>
      <c r="AE243" s="31" t="n">
        <v>0</v>
      </c>
      <c r="AF243" s="2" t="n">
        <v>0</v>
      </c>
      <c r="AG243" s="2" t="n">
        <v>64</v>
      </c>
      <c r="AH243" s="4" t="n">
        <v>64</v>
      </c>
      <c r="AI243" s="33" t="n">
        <v>21.99</v>
      </c>
      <c r="AJ243" s="4" t="n">
        <v>1</v>
      </c>
      <c r="AK243" s="34" t="n">
        <v>0.0156</v>
      </c>
      <c r="AL243" s="34" t="n">
        <v>1</v>
      </c>
      <c r="AM243" s="2" t="n">
        <v>34020</v>
      </c>
    </row>
    <row r="244">
      <c r="A244">
        <f>HYPERLINK("https://www.walmart.com/ip/5508918359", "5508918359")</f>
        <v/>
      </c>
      <c r="B244">
        <f>HYPERLINK("https://app.optiwise.ai/catalog/itemdetails/8055874", "Tirrinia Large Insulated Cooler Bag Outdoor Leakproof Cooler Tote Portable Freezer Bag with Adjustable Shoulder Strap for Picnic, Beach")</f>
        <v/>
      </c>
      <c r="C244" t="n">
        <v>3</v>
      </c>
      <c r="D244" t="inlineStr">
        <is>
          <t>B78691_1682480_BC9091DFD927484B</t>
        </is>
      </c>
      <c r="E244" t="inlineStr">
        <is>
          <t>1TRCB00224BK</t>
        </is>
      </c>
      <c r="F244" t="n">
        <v>2</v>
      </c>
      <c r="G244" t="inlineStr">
        <is>
          <t>Cases &amp; Bags</t>
        </is>
      </c>
      <c r="H244" t="inlineStr">
        <is>
          <t>Soft-Sided Coolers</t>
        </is>
      </c>
      <c r="I244" t="inlineStr">
        <is>
          <t>Tirrinia</t>
        </is>
      </c>
      <c r="J244" t="n">
        <v>4</v>
      </c>
      <c r="L244" s="29" t="n">
        <v>21.99</v>
      </c>
      <c r="M244" s="30" t="n">
        <v>0.0002</v>
      </c>
      <c r="N244" s="29" t="n">
        <v>0</v>
      </c>
      <c r="O244" s="29" t="n">
        <v>0</v>
      </c>
      <c r="P244" s="2" t="n">
        <v>1</v>
      </c>
      <c r="Q244" s="31" t="n">
        <v>0</v>
      </c>
      <c r="R244" s="32" t="n"/>
      <c r="S244" s="32" t="n">
        <v>0</v>
      </c>
      <c r="T244" s="32" t="n">
        <v>0.2094</v>
      </c>
      <c r="U244" s="31" t="n">
        <v>0</v>
      </c>
      <c r="V244" s="32" t="n">
        <v>0</v>
      </c>
      <c r="W244" s="31" t="n">
        <v>0</v>
      </c>
      <c r="X244" s="31" t="n">
        <v>0</v>
      </c>
      <c r="Y244" s="3" t="n">
        <v>0</v>
      </c>
      <c r="Z244" s="3" t="n">
        <v>0</v>
      </c>
      <c r="AA244" s="32" t="n">
        <v>0</v>
      </c>
      <c r="AB244" s="3" t="n">
        <v>0</v>
      </c>
      <c r="AC244" s="32" t="n">
        <v>0</v>
      </c>
      <c r="AD244" s="3" t="n"/>
      <c r="AE244" s="31" t="n">
        <v>0</v>
      </c>
      <c r="AF244" s="2" t="n">
        <v>0</v>
      </c>
      <c r="AG244" s="2" t="n">
        <v>158</v>
      </c>
      <c r="AH244" s="4" t="n">
        <v>158</v>
      </c>
      <c r="AI244" s="33" t="n">
        <v>21.99</v>
      </c>
      <c r="AJ244" s="4" t="n">
        <v>1</v>
      </c>
      <c r="AK244" s="34" t="n">
        <v>0.0063</v>
      </c>
      <c r="AL244" s="34" t="n">
        <v>1</v>
      </c>
      <c r="AM244" s="2" t="n">
        <v>40500</v>
      </c>
    </row>
    <row r="245">
      <c r="A245">
        <f>HYPERLINK("https://www.walmart.com/ip/424789136", "424789136")</f>
        <v/>
      </c>
      <c r="B245">
        <f>HYPERLINK("https://app.optiwise.ai/catalog/itemdetails/359036", "Houndstooth Sherpa Fleece Throw Blanket, Cozy Fuzzy Jacquard Blanket for the Couch Bed | Fluffy Comfy Warm Heavy Throws | Comfort Caring Gift, 50x60 inches")</f>
        <v/>
      </c>
      <c r="C245" t="n">
        <v>8</v>
      </c>
      <c r="D245" t="inlineStr">
        <is>
          <t>B78691_1681321_2D2F2F4C82624E37</t>
        </is>
      </c>
      <c r="E245" t="inlineStr">
        <is>
          <t>1CTBF573BKDENTE</t>
        </is>
      </c>
      <c r="F245" t="n">
        <v>3</v>
      </c>
      <c r="G245" t="inlineStr">
        <is>
          <t>Bedding</t>
        </is>
      </c>
      <c r="H245" t="inlineStr">
        <is>
          <t>Throws</t>
        </is>
      </c>
      <c r="I245" t="inlineStr">
        <is>
          <t>Catalonia</t>
        </is>
      </c>
      <c r="J245" t="n">
        <v>5</v>
      </c>
      <c r="K245" t="inlineStr">
        <is>
          <t>Q2-Target,Optimized</t>
        </is>
      </c>
      <c r="L245" s="29" t="n">
        <v>20.99</v>
      </c>
      <c r="M245" s="30" t="n">
        <v>0.0002</v>
      </c>
      <c r="N245" s="29" t="n">
        <v>0</v>
      </c>
      <c r="O245" s="29" t="n">
        <v>0</v>
      </c>
      <c r="P245" s="2" t="n">
        <v>1</v>
      </c>
      <c r="Q245" s="31" t="n">
        <v>0</v>
      </c>
      <c r="R245" s="32" t="n"/>
      <c r="S245" s="32" t="n">
        <v>0</v>
      </c>
      <c r="T245" s="32" t="n">
        <v>0.0204</v>
      </c>
      <c r="U245" s="31" t="n">
        <v>0</v>
      </c>
      <c r="V245" s="32" t="n">
        <v>0</v>
      </c>
      <c r="W245" s="31" t="n">
        <v>0</v>
      </c>
      <c r="X245" s="31" t="n">
        <v>0</v>
      </c>
      <c r="Y245" s="3" t="n">
        <v>0</v>
      </c>
      <c r="Z245" s="3" t="n">
        <v>0</v>
      </c>
      <c r="AA245" s="32" t="n">
        <v>0</v>
      </c>
      <c r="AB245" s="3" t="n">
        <v>0</v>
      </c>
      <c r="AC245" s="32" t="n">
        <v>0</v>
      </c>
      <c r="AD245" s="3" t="n"/>
      <c r="AE245" s="31" t="n">
        <v>0</v>
      </c>
      <c r="AF245" s="2" t="n">
        <v>0</v>
      </c>
      <c r="AG245" s="2" t="n">
        <v>139</v>
      </c>
      <c r="AH245" s="4" t="n">
        <v>139</v>
      </c>
      <c r="AI245" s="33" t="n">
        <v>20.99</v>
      </c>
      <c r="AJ245" s="4" t="n">
        <v>1</v>
      </c>
      <c r="AK245" s="34" t="n">
        <v>0.0072</v>
      </c>
      <c r="AL245" s="34" t="n">
        <v>1</v>
      </c>
      <c r="AM245" s="2" t="n">
        <v>54000</v>
      </c>
    </row>
    <row r="246">
      <c r="A246">
        <f>HYPERLINK("https://www.walmart.com/ip/697880843", "697880843")</f>
        <v/>
      </c>
      <c r="B246">
        <f>HYPERLINK("https://app.optiwise.ai/catalog/itemdetails/362277", "Napa Super Soft Velvet Plush Throw Blanket, Reversible Fuzzy Solid Blanket, All Season Bed Throw TV Blanket, Wine, 50'' x 70''")</f>
        <v/>
      </c>
      <c r="C246" t="n">
        <v>2</v>
      </c>
      <c r="D246" t="inlineStr">
        <is>
          <t>B78691_1635959_5C9BB2671E1E9004</t>
        </is>
      </c>
      <c r="E246" t="inlineStr">
        <is>
          <t>K8023WN</t>
        </is>
      </c>
      <c r="F246" t="n">
        <v>4</v>
      </c>
      <c r="G246" t="inlineStr">
        <is>
          <t>Bedding</t>
        </is>
      </c>
      <c r="H246" t="inlineStr">
        <is>
          <t>Throws</t>
        </is>
      </c>
      <c r="I246" t="inlineStr">
        <is>
          <t>NAPA</t>
        </is>
      </c>
      <c r="J246" t="n">
        <v>5</v>
      </c>
      <c r="K246" t="inlineStr">
        <is>
          <t>Optimized</t>
        </is>
      </c>
      <c r="L246" s="29" t="n">
        <v>20.99</v>
      </c>
      <c r="M246" s="30" t="n">
        <v>0.0002</v>
      </c>
      <c r="N246" s="29" t="n">
        <v>0</v>
      </c>
      <c r="O246" s="29" t="n">
        <v>0</v>
      </c>
      <c r="P246" s="2" t="n">
        <v>1</v>
      </c>
      <c r="Q246" s="31" t="n">
        <v>0</v>
      </c>
      <c r="R246" s="32" t="n"/>
      <c r="S246" s="32" t="n">
        <v>0</v>
      </c>
      <c r="T246" s="32" t="n">
        <v>0</v>
      </c>
      <c r="U246" s="31" t="n">
        <v>0</v>
      </c>
      <c r="V246" s="32" t="n">
        <v>0</v>
      </c>
      <c r="W246" s="31" t="n">
        <v>0</v>
      </c>
      <c r="X246" s="31" t="n">
        <v>0</v>
      </c>
      <c r="Y246" s="3" t="n">
        <v>0</v>
      </c>
      <c r="Z246" s="3" t="n">
        <v>0</v>
      </c>
      <c r="AA246" s="32" t="n">
        <v>0</v>
      </c>
      <c r="AB246" s="3" t="n">
        <v>0</v>
      </c>
      <c r="AC246" s="32" t="n">
        <v>0</v>
      </c>
      <c r="AD246" s="3" t="n"/>
      <c r="AE246" s="31" t="n">
        <v>0</v>
      </c>
      <c r="AF246" s="2" t="n">
        <v>0</v>
      </c>
      <c r="AG246" s="2" t="n">
        <v>24</v>
      </c>
      <c r="AH246" s="4" t="n">
        <v>24</v>
      </c>
      <c r="AI246" s="33" t="n">
        <v>20.99</v>
      </c>
      <c r="AJ246" s="4" t="n">
        <v>1</v>
      </c>
      <c r="AK246" s="34" t="n">
        <v>0.0417</v>
      </c>
      <c r="AL246" s="34" t="n">
        <v>1</v>
      </c>
      <c r="AM246" s="2" t="n">
        <v>16470</v>
      </c>
    </row>
    <row r="247">
      <c r="A247">
        <f>HYPERLINK("https://www.walmart.com/ip/600412098", "600412098")</f>
        <v/>
      </c>
      <c r="B247">
        <f>HYPERLINK("https://app.optiwise.ai/catalog/itemdetails/361007", "Ski Gloves, Winter Warm 3M Insulation Waterproof Snow Gloves for Skiing, Snowboarding, Motorcycling,Cycling, Outdoor Sports, Gifts for Men, Size Run Small")</f>
        <v/>
      </c>
      <c r="C247" t="n">
        <v>2</v>
      </c>
      <c r="D247" t="inlineStr">
        <is>
          <t>2289436762214236219</t>
        </is>
      </c>
      <c r="E247" t="inlineStr">
        <is>
          <t>1SLWG300PKXL</t>
        </is>
      </c>
      <c r="F247" t="n">
        <v>0</v>
      </c>
      <c r="G247" t="inlineStr">
        <is>
          <t>Clothing</t>
        </is>
      </c>
      <c r="H247" t="inlineStr">
        <is>
          <t>Gloves &amp; Mittens</t>
        </is>
      </c>
      <c r="I247" t="inlineStr">
        <is>
          <t>Solaris</t>
        </is>
      </c>
      <c r="K247" t="inlineStr">
        <is>
          <t>Gloves</t>
        </is>
      </c>
      <c r="L247" s="29" t="n">
        <v>20.99</v>
      </c>
      <c r="M247" s="30" t="n">
        <v>0.0002</v>
      </c>
      <c r="N247" s="29" t="n">
        <v>0</v>
      </c>
      <c r="O247" s="29" t="n">
        <v>0</v>
      </c>
      <c r="P247" s="2" t="n">
        <v>1</v>
      </c>
      <c r="Q247" s="31" t="n">
        <v>0</v>
      </c>
      <c r="R247" s="32" t="n"/>
      <c r="S247" s="32" t="n">
        <v>0</v>
      </c>
      <c r="T247" s="32" t="n">
        <v>0</v>
      </c>
      <c r="U247" s="31" t="n">
        <v>0</v>
      </c>
      <c r="V247" s="32" t="n">
        <v>0</v>
      </c>
      <c r="W247" s="31" t="n">
        <v>0</v>
      </c>
      <c r="X247" s="31" t="n">
        <v>0</v>
      </c>
      <c r="Y247" s="3" t="n">
        <v>0</v>
      </c>
      <c r="Z247" s="3" t="n">
        <v>0</v>
      </c>
      <c r="AA247" s="32" t="n">
        <v>0</v>
      </c>
      <c r="AB247" s="3" t="n">
        <v>0</v>
      </c>
      <c r="AC247" s="32" t="n">
        <v>0</v>
      </c>
      <c r="AD247" s="3" t="n"/>
      <c r="AE247" s="31" t="n">
        <v>0</v>
      </c>
      <c r="AF247" s="2" t="n">
        <v>0</v>
      </c>
      <c r="AG247" s="2" t="n">
        <v>48</v>
      </c>
      <c r="AH247" s="4" t="n">
        <v>48</v>
      </c>
      <c r="AI247" s="33" t="n">
        <v>20.99</v>
      </c>
      <c r="AJ247" s="4" t="n">
        <v>1</v>
      </c>
      <c r="AK247" s="34" t="n">
        <v>0.0208</v>
      </c>
      <c r="AL247" s="34" t="n">
        <v>1</v>
      </c>
      <c r="AM247" s="2" t="n">
        <v>15795</v>
      </c>
    </row>
    <row r="248">
      <c r="A248">
        <f>HYPERLINK("https://www.walmart.com/ip/994532554", "994532554")</f>
        <v/>
      </c>
      <c r="B248">
        <f>HYPERLINK("https://app.optiwise.ai/catalog/itemdetails/362478", "Tirrinia Insulated 2 Bottle Wine Carrier Tote Cooler Bag for Travel Picnic Padded Champagne Glass")</f>
        <v/>
      </c>
      <c r="C248" t="n">
        <v>3</v>
      </c>
      <c r="D248" t="inlineStr">
        <is>
          <t>B78691_1681793_9EED8598396147E7</t>
        </is>
      </c>
      <c r="E248" t="inlineStr">
        <is>
          <t>1TRWB230GY</t>
        </is>
      </c>
      <c r="F248" t="n">
        <v>0</v>
      </c>
      <c r="G248" t="inlineStr">
        <is>
          <t>Home Decor, Kitchen, &amp; Other</t>
        </is>
      </c>
      <c r="H248" t="inlineStr">
        <is>
          <t>Wine Totes, Bags &amp; Backpacks</t>
        </is>
      </c>
      <c r="I248" t="inlineStr">
        <is>
          <t>Tirrinia</t>
        </is>
      </c>
      <c r="K248" t="inlineStr">
        <is>
          <t>Wine,Wine Bag Camp,Christmas,WFS,Wine WFS,Valentine,SEM,WFS Item</t>
        </is>
      </c>
      <c r="L248" s="29" t="n">
        <v>20.99</v>
      </c>
      <c r="M248" s="30" t="n">
        <v>0.0002</v>
      </c>
      <c r="N248" s="29" t="n">
        <v>0</v>
      </c>
      <c r="O248" s="29" t="n">
        <v>0</v>
      </c>
      <c r="P248" s="2" t="n">
        <v>1</v>
      </c>
      <c r="Q248" s="31" t="n">
        <v>0</v>
      </c>
      <c r="R248" s="32" t="n"/>
      <c r="S248" s="32" t="n">
        <v>0</v>
      </c>
      <c r="T248" s="32" t="n">
        <v>0</v>
      </c>
      <c r="U248" s="31" t="n">
        <v>0</v>
      </c>
      <c r="V248" s="32" t="n">
        <v>0</v>
      </c>
      <c r="W248" s="31" t="n">
        <v>0</v>
      </c>
      <c r="X248" s="31" t="n">
        <v>0</v>
      </c>
      <c r="Y248" s="3" t="n">
        <v>0</v>
      </c>
      <c r="Z248" s="3" t="n">
        <v>0</v>
      </c>
      <c r="AA248" s="32" t="n">
        <v>0</v>
      </c>
      <c r="AB248" s="3" t="n">
        <v>0</v>
      </c>
      <c r="AC248" s="32" t="n">
        <v>0</v>
      </c>
      <c r="AD248" s="3" t="n"/>
      <c r="AE248" s="31" t="n">
        <v>0</v>
      </c>
      <c r="AF248" s="2" t="n">
        <v>0</v>
      </c>
      <c r="AG248" s="2" t="n">
        <v>68</v>
      </c>
      <c r="AH248" s="4" t="n">
        <v>68</v>
      </c>
      <c r="AI248" s="33" t="n">
        <v>20.99</v>
      </c>
      <c r="AJ248" s="4" t="n">
        <v>1</v>
      </c>
      <c r="AK248" s="34" t="n">
        <v>0.0147</v>
      </c>
      <c r="AL248" s="34" t="n">
        <v>1</v>
      </c>
      <c r="AM248" s="2" t="n">
        <v>24300</v>
      </c>
    </row>
    <row r="249">
      <c r="A249">
        <f>HYPERLINK("https://www.walmart.com/ip/163742553", "163742553")</f>
        <v/>
      </c>
      <c r="B249">
        <f>HYPERLINK("https://app.optiwise.ai/catalog/itemdetails/361055", "Terra Unisex Faux Fur Pom Pom Beanie Hat Thick Slouchy Cable Knit Ski Cap Grey")</f>
        <v/>
      </c>
      <c r="C249" t="n">
        <v>5</v>
      </c>
      <c r="D249" t="inlineStr">
        <is>
          <t>B78691_1127538_A5209F758CAEE686</t>
        </is>
      </c>
      <c r="E249" t="inlineStr">
        <is>
          <t>TERRAPPH01GY</t>
        </is>
      </c>
      <c r="F249" t="n">
        <v>0</v>
      </c>
      <c r="G249" t="inlineStr">
        <is>
          <t>Clothing</t>
        </is>
      </c>
      <c r="H249" t="inlineStr">
        <is>
          <t>Hats</t>
        </is>
      </c>
      <c r="I249" t="inlineStr">
        <is>
          <t>Terra</t>
        </is>
      </c>
      <c r="K249" t="inlineStr">
        <is>
          <t>Optimized</t>
        </is>
      </c>
      <c r="L249" s="29" t="n">
        <v>19.97</v>
      </c>
      <c r="M249" s="30" t="n">
        <v>0.0002</v>
      </c>
      <c r="N249" s="29" t="n">
        <v>0</v>
      </c>
      <c r="O249" s="29" t="n">
        <v>0</v>
      </c>
      <c r="P249" s="2" t="n">
        <v>3</v>
      </c>
      <c r="Q249" s="31" t="n">
        <v>0</v>
      </c>
      <c r="R249" s="32" t="n"/>
      <c r="S249" s="32" t="n">
        <v>0</v>
      </c>
      <c r="T249" s="32" t="n">
        <v>0</v>
      </c>
      <c r="U249" s="31" t="n">
        <v>0</v>
      </c>
      <c r="V249" s="32" t="n">
        <v>0</v>
      </c>
      <c r="W249" s="31" t="n">
        <v>0</v>
      </c>
      <c r="X249" s="31" t="n">
        <v>0</v>
      </c>
      <c r="Y249" s="3" t="n">
        <v>0</v>
      </c>
      <c r="Z249" s="3" t="n">
        <v>0</v>
      </c>
      <c r="AA249" s="32" t="n">
        <v>0</v>
      </c>
      <c r="AB249" s="3" t="n">
        <v>0</v>
      </c>
      <c r="AC249" s="32" t="n">
        <v>0</v>
      </c>
      <c r="AD249" s="3" t="n"/>
      <c r="AE249" s="31" t="n">
        <v>0</v>
      </c>
      <c r="AF249" s="2" t="n">
        <v>0</v>
      </c>
      <c r="AG249" s="2" t="n">
        <v>78</v>
      </c>
      <c r="AH249" s="4" t="n">
        <v>78</v>
      </c>
      <c r="AI249" s="33" t="n">
        <v>19.97</v>
      </c>
      <c r="AJ249" s="4" t="n">
        <v>3</v>
      </c>
      <c r="AK249" s="34" t="n">
        <v>0.0385</v>
      </c>
      <c r="AL249" s="34" t="n">
        <v>1</v>
      </c>
      <c r="AM249" s="2" t="n">
        <v>22500</v>
      </c>
    </row>
    <row r="250">
      <c r="A250">
        <f>HYPERLINK("https://www.walmart.com/ip/104256747", "104256747")</f>
        <v/>
      </c>
      <c r="B250">
        <f>HYPERLINK("https://app.optiwise.ai/catalog/itemdetails/359306", "Solaris Wide Brim Boonie Sun Protection Hat for Adult, Navy")</f>
        <v/>
      </c>
      <c r="C250" t="n">
        <v>3</v>
      </c>
      <c r="D250" t="inlineStr">
        <is>
          <t>B78691_1635713_EDC1C72BD988DC9C</t>
        </is>
      </c>
      <c r="E250" t="inlineStr">
        <is>
          <t>1SLSH895NV</t>
        </is>
      </c>
      <c r="F250" t="n">
        <v>2</v>
      </c>
      <c r="G250" t="inlineStr">
        <is>
          <t>Clothing</t>
        </is>
      </c>
      <c r="H250" t="inlineStr">
        <is>
          <t>Hats</t>
        </is>
      </c>
      <c r="I250" t="inlineStr">
        <is>
          <t>Solaris</t>
        </is>
      </c>
      <c r="J250" t="n">
        <v>5</v>
      </c>
      <c r="K250" t="inlineStr">
        <is>
          <t>Optimized</t>
        </is>
      </c>
      <c r="L250" s="29" t="n">
        <v>18.98</v>
      </c>
      <c r="M250" s="30" t="n">
        <v>0.0002</v>
      </c>
      <c r="N250" s="29" t="n">
        <v>0</v>
      </c>
      <c r="O250" s="29" t="n">
        <v>0</v>
      </c>
      <c r="P250" s="2" t="n">
        <v>2</v>
      </c>
      <c r="Q250" s="31" t="n">
        <v>0</v>
      </c>
      <c r="R250" s="32" t="n"/>
      <c r="S250" s="32" t="n">
        <v>0</v>
      </c>
      <c r="T250" s="32" t="n">
        <v>0</v>
      </c>
      <c r="U250" s="31" t="n">
        <v>0</v>
      </c>
      <c r="V250" s="32" t="n">
        <v>0</v>
      </c>
      <c r="W250" s="31" t="n">
        <v>0</v>
      </c>
      <c r="X250" s="31" t="n">
        <v>0</v>
      </c>
      <c r="Y250" s="3" t="n">
        <v>0</v>
      </c>
      <c r="Z250" s="3" t="n">
        <v>0</v>
      </c>
      <c r="AA250" s="32" t="n">
        <v>0</v>
      </c>
      <c r="AB250" s="3" t="n">
        <v>0</v>
      </c>
      <c r="AC250" s="32" t="n">
        <v>0</v>
      </c>
      <c r="AD250" s="3" t="n"/>
      <c r="AE250" s="31" t="n">
        <v>0</v>
      </c>
      <c r="AF250" s="2" t="n">
        <v>0</v>
      </c>
      <c r="AG250" s="2" t="n">
        <v>36</v>
      </c>
      <c r="AH250" s="4" t="n">
        <v>36</v>
      </c>
      <c r="AI250" s="33" t="n">
        <v>18.98</v>
      </c>
      <c r="AJ250" s="4" t="n">
        <v>2</v>
      </c>
      <c r="AK250" s="34" t="n">
        <v>0.0556</v>
      </c>
      <c r="AL250" s="34" t="n">
        <v>1</v>
      </c>
      <c r="AM250" s="2" t="n">
        <v>13567</v>
      </c>
    </row>
    <row r="251">
      <c r="A251">
        <f>HYPERLINK("https://www.walmart.com/ip/125979782", "125979782")</f>
        <v/>
      </c>
      <c r="B251">
        <f>HYPERLINK("https://app.optiwise.ai/catalog/itemdetails/361477", "Napa Luxury Shu Velveteen Throw Blanket, Soft Blankets for Adults, All Seasons Plush Blanket, Cozy Reversible Fuzzy Blanket, Best Gift for Women, Pink, 50 x 60")</f>
        <v/>
      </c>
      <c r="C251" t="n">
        <v>2</v>
      </c>
      <c r="D251" t="inlineStr">
        <is>
          <t>B78691_969331_5C9BB2671E1E9004</t>
        </is>
      </c>
      <c r="E251" t="inlineStr">
        <is>
          <t>K9000PINK</t>
        </is>
      </c>
      <c r="F251" t="n">
        <v>0</v>
      </c>
      <c r="G251" t="inlineStr">
        <is>
          <t>Bedding</t>
        </is>
      </c>
      <c r="H251" t="inlineStr">
        <is>
          <t>Throws</t>
        </is>
      </c>
      <c r="I251" t="inlineStr">
        <is>
          <t>NAPA</t>
        </is>
      </c>
      <c r="K251" t="inlineStr">
        <is>
          <t>Optimized</t>
        </is>
      </c>
      <c r="L251" s="29" t="n">
        <v>18.89</v>
      </c>
      <c r="M251" s="30" t="n">
        <v>0.0002</v>
      </c>
      <c r="N251" s="29" t="n">
        <v>0</v>
      </c>
      <c r="O251" s="29" t="n">
        <v>0</v>
      </c>
      <c r="P251" s="2" t="n">
        <v>1</v>
      </c>
      <c r="Q251" s="31" t="n">
        <v>0</v>
      </c>
      <c r="R251" s="32" t="n"/>
      <c r="S251" s="32" t="n">
        <v>0</v>
      </c>
      <c r="T251" s="32" t="n">
        <v>0</v>
      </c>
      <c r="U251" s="31" t="n">
        <v>0</v>
      </c>
      <c r="V251" s="32" t="n">
        <v>0</v>
      </c>
      <c r="W251" s="31" t="n">
        <v>0</v>
      </c>
      <c r="X251" s="31" t="n">
        <v>0</v>
      </c>
      <c r="Y251" s="3" t="n">
        <v>0</v>
      </c>
      <c r="Z251" s="3" t="n">
        <v>0</v>
      </c>
      <c r="AA251" s="32" t="n">
        <v>0</v>
      </c>
      <c r="AB251" s="3" t="n">
        <v>0</v>
      </c>
      <c r="AC251" s="32" t="n">
        <v>0</v>
      </c>
      <c r="AD251" s="3" t="n"/>
      <c r="AE251" s="31" t="n">
        <v>0</v>
      </c>
      <c r="AF251" s="2" t="n">
        <v>0</v>
      </c>
      <c r="AG251" s="2" t="n">
        <v>24</v>
      </c>
      <c r="AH251" s="4" t="n">
        <v>24</v>
      </c>
      <c r="AI251" s="33" t="n">
        <v>18.89</v>
      </c>
      <c r="AJ251" s="4" t="n">
        <v>1</v>
      </c>
      <c r="AK251" s="34" t="n">
        <v>0.0417</v>
      </c>
      <c r="AL251" s="34" t="n">
        <v>1</v>
      </c>
      <c r="AM251" s="2" t="n">
        <v>27000</v>
      </c>
    </row>
    <row r="252">
      <c r="A252">
        <f>HYPERLINK("https://www.walmart.com/ip/5514470056", "5514470056")</f>
        <v/>
      </c>
      <c r="B252">
        <f>HYPERLINK("https://app.optiwise.ai/catalog/itemdetails/8061785", "Tirrinia Toiletry Bag for Men Water-Resistant Organizer Kit for Shaving Products and Toiletries Accessories, Room Essentials")</f>
        <v/>
      </c>
      <c r="C252" t="inlineStr">
        <is>
          <t>-</t>
        </is>
      </c>
      <c r="E252" t="inlineStr">
        <is>
          <t>1TRTTB001BK</t>
        </is>
      </c>
      <c r="F252" t="n">
        <v>0</v>
      </c>
      <c r="G252" t="inlineStr">
        <is>
          <t>Beauty, Personal Care, &amp; Hygiene</t>
        </is>
      </c>
      <c r="H252" t="inlineStr">
        <is>
          <t>Toiletry Kits &amp; Bags</t>
        </is>
      </c>
      <c r="I252" t="inlineStr">
        <is>
          <t>Tirrinia</t>
        </is>
      </c>
      <c r="L252" s="29" t="n">
        <v>18</v>
      </c>
      <c r="M252" s="30" t="n">
        <v>0.0002</v>
      </c>
      <c r="N252" s="29" t="n">
        <v>0</v>
      </c>
      <c r="O252" s="29" t="n">
        <v>0</v>
      </c>
      <c r="P252" s="2" t="n">
        <v>1</v>
      </c>
      <c r="Q252" s="31" t="n">
        <v>0</v>
      </c>
      <c r="R252" s="32" t="n"/>
      <c r="S252" s="32" t="n">
        <v>0</v>
      </c>
      <c r="T252" s="32" t="n">
        <v>0</v>
      </c>
      <c r="U252" s="31" t="n">
        <v>0</v>
      </c>
      <c r="V252" s="32" t="n">
        <v>0</v>
      </c>
      <c r="W252" s="31" t="n">
        <v>0</v>
      </c>
      <c r="X252" s="31" t="n">
        <v>0</v>
      </c>
      <c r="Y252" s="3" t="n">
        <v>0</v>
      </c>
      <c r="Z252" s="3" t="n">
        <v>0</v>
      </c>
      <c r="AA252" s="32" t="n">
        <v>0</v>
      </c>
      <c r="AB252" s="3" t="n">
        <v>0</v>
      </c>
      <c r="AC252" s="32" t="n">
        <v>0</v>
      </c>
      <c r="AD252" s="3" t="n"/>
      <c r="AE252" s="31" t="n">
        <v>0</v>
      </c>
      <c r="AF252" s="2" t="n">
        <v>0</v>
      </c>
      <c r="AG252" s="2" t="n">
        <v>27</v>
      </c>
      <c r="AH252" s="4" t="n">
        <v>27</v>
      </c>
      <c r="AI252" s="33" t="n">
        <v>18</v>
      </c>
      <c r="AJ252" s="4" t="n">
        <v>1</v>
      </c>
      <c r="AK252" s="34" t="n">
        <v>0.037</v>
      </c>
      <c r="AL252" s="34" t="n">
        <v>1</v>
      </c>
      <c r="AM252" s="2" t="n">
        <v>13500</v>
      </c>
    </row>
    <row r="253">
      <c r="A253">
        <f>HYPERLINK("https://www.walmart.com/ip/250260404", "250260404")</f>
        <v/>
      </c>
      <c r="B253">
        <f>HYPERLINK("https://app.optiwise.ai/catalog/itemdetails/361967", "Women Floppy Sun Hats w/ Wide Brim Summer Beach UV Protection Foldable Gardening Hiking Cap")</f>
        <v/>
      </c>
      <c r="C253" t="n">
        <v>2</v>
      </c>
      <c r="D253" t="inlineStr">
        <is>
          <t>B78691_1635694_6D675E033739F06F</t>
        </is>
      </c>
      <c r="E253" t="inlineStr">
        <is>
          <t>1SLSH101BE</t>
        </is>
      </c>
      <c r="F253" t="n">
        <v>16</v>
      </c>
      <c r="G253" t="inlineStr">
        <is>
          <t>Clothing</t>
        </is>
      </c>
      <c r="H253" t="inlineStr">
        <is>
          <t>Hats</t>
        </is>
      </c>
      <c r="I253" t="inlineStr">
        <is>
          <t>Solaris</t>
        </is>
      </c>
      <c r="J253" t="n">
        <v>4</v>
      </c>
      <c r="K253" t="inlineStr">
        <is>
          <t>Q2-Target,Hats,Batch 1 - TR</t>
        </is>
      </c>
      <c r="L253" s="29" t="n">
        <v>17.98</v>
      </c>
      <c r="M253" s="30" t="n">
        <v>0.0002</v>
      </c>
      <c r="N253" s="29" t="n">
        <v>11.98999977111816</v>
      </c>
      <c r="O253" s="29" t="n">
        <v>9.989999771118164</v>
      </c>
      <c r="P253" s="2" t="n">
        <v>2</v>
      </c>
      <c r="Q253" s="31" t="n">
        <v>0</v>
      </c>
      <c r="R253" s="32" t="n"/>
      <c r="S253" s="32" t="n">
        <v>0</v>
      </c>
      <c r="T253" s="32" t="n">
        <v>0</v>
      </c>
      <c r="U253" s="31" t="n">
        <v>0</v>
      </c>
      <c r="V253" s="32" t="n">
        <v>0</v>
      </c>
      <c r="W253" s="31" t="n">
        <v>0</v>
      </c>
      <c r="X253" s="31" t="n">
        <v>0</v>
      </c>
      <c r="Y253" s="3" t="n">
        <v>0</v>
      </c>
      <c r="Z253" s="3" t="n">
        <v>0</v>
      </c>
      <c r="AA253" s="32" t="n">
        <v>0</v>
      </c>
      <c r="AB253" s="3" t="n">
        <v>0</v>
      </c>
      <c r="AC253" s="32" t="n">
        <v>0</v>
      </c>
      <c r="AD253" s="3" t="n"/>
      <c r="AE253" s="31" t="n">
        <v>0</v>
      </c>
      <c r="AF253" s="2" t="n">
        <v>0</v>
      </c>
      <c r="AG253" s="2" t="n">
        <v>48</v>
      </c>
      <c r="AH253" s="4" t="n">
        <v>48</v>
      </c>
      <c r="AI253" s="33" t="n">
        <v>17.98</v>
      </c>
      <c r="AJ253" s="4" t="n">
        <v>2</v>
      </c>
      <c r="AK253" s="34" t="n">
        <v>0.0417</v>
      </c>
      <c r="AL253" s="34" t="n">
        <v>1</v>
      </c>
      <c r="AM253" s="2" t="n">
        <v>13567</v>
      </c>
    </row>
    <row r="254">
      <c r="A254">
        <f>HYPERLINK("https://www.walmart.com/ip/1715618699", "1715618699")</f>
        <v/>
      </c>
      <c r="B254">
        <f>HYPERLINK("https://app.optiwise.ai/catalog/itemdetails/13012121", "Every Day is Christmas Glass Blown Ornaments 2021 Cute Hand Made Figurines Tree Decoration, Chimney Santa")</f>
        <v/>
      </c>
      <c r="C254" t="n">
        <v>8</v>
      </c>
      <c r="D254" t="inlineStr">
        <is>
          <t>00850033900026</t>
        </is>
      </c>
      <c r="E254" t="inlineStr">
        <is>
          <t>EDC-FIGURINE-CHIMNEYSANTA</t>
        </is>
      </c>
      <c r="F254" t="n">
        <v>0</v>
      </c>
      <c r="G254" t="inlineStr">
        <is>
          <t>Home Decor, Kitchen, &amp; Other</t>
        </is>
      </c>
      <c r="H254" t="inlineStr">
        <is>
          <t>Ornaments</t>
        </is>
      </c>
      <c r="I254" t="inlineStr">
        <is>
          <t>Every Day is Christmas</t>
        </is>
      </c>
      <c r="L254" s="29" t="n">
        <v>16.99</v>
      </c>
      <c r="M254" s="30" t="n">
        <v>0.0001</v>
      </c>
      <c r="N254" s="29" t="n">
        <v>0</v>
      </c>
      <c r="O254" s="29" t="n">
        <v>0</v>
      </c>
      <c r="P254" s="2" t="n">
        <v>1</v>
      </c>
      <c r="Q254" s="31" t="n">
        <v>0</v>
      </c>
      <c r="R254" s="32" t="n"/>
      <c r="S254" s="32" t="n">
        <v>0</v>
      </c>
      <c r="T254" s="32" t="n">
        <v>0</v>
      </c>
      <c r="U254" s="31" t="n">
        <v>0</v>
      </c>
      <c r="V254" s="32" t="n">
        <v>0</v>
      </c>
      <c r="W254" s="31" t="n">
        <v>0</v>
      </c>
      <c r="X254" s="31" t="n">
        <v>0</v>
      </c>
      <c r="Y254" s="3" t="n">
        <v>0</v>
      </c>
      <c r="Z254" s="3" t="n">
        <v>0</v>
      </c>
      <c r="AA254" s="32" t="n">
        <v>0</v>
      </c>
      <c r="AB254" s="3" t="n">
        <v>0</v>
      </c>
      <c r="AC254" s="32" t="n">
        <v>0</v>
      </c>
      <c r="AD254" s="3" t="n"/>
      <c r="AE254" s="31" t="n">
        <v>0</v>
      </c>
      <c r="AF254" s="2" t="n">
        <v>0</v>
      </c>
      <c r="AG254" s="2" t="n">
        <v>86</v>
      </c>
      <c r="AH254" s="4" t="n">
        <v>86</v>
      </c>
      <c r="AI254" s="33" t="n">
        <v>16.99</v>
      </c>
      <c r="AJ254" s="4" t="n">
        <v>1</v>
      </c>
      <c r="AK254" s="34" t="n">
        <v>0.0116</v>
      </c>
      <c r="AL254" s="34" t="n">
        <v>1</v>
      </c>
      <c r="AM254" s="2" t="n">
        <v>105975</v>
      </c>
    </row>
    <row r="255">
      <c r="A255">
        <f>HYPERLINK("https://www.walmart.com/ip/189439981", "189439981")</f>
        <v/>
      </c>
      <c r="B255">
        <f>HYPERLINK("https://app.optiwise.ai/catalog/itemdetails/362222", "KC Caps Unisex Adjustable Snap Closure USA Flag Embroidered Unconstructed Cap Hat")</f>
        <v/>
      </c>
      <c r="C255" t="n">
        <v>3</v>
      </c>
      <c r="D255" t="inlineStr">
        <is>
          <t>B78691_974275_5C9BB2671E1E9004</t>
        </is>
      </c>
      <c r="E255" t="inlineStr">
        <is>
          <t>kc-ae-6110-wt</t>
        </is>
      </c>
      <c r="F255" t="n">
        <v>0</v>
      </c>
      <c r="G255" t="inlineStr">
        <is>
          <t>Clothing</t>
        </is>
      </c>
      <c r="H255" t="inlineStr">
        <is>
          <t>Hats</t>
        </is>
      </c>
      <c r="I255" t="inlineStr">
        <is>
          <t>KC Caps</t>
        </is>
      </c>
      <c r="K255" t="inlineStr">
        <is>
          <t>Optimized,Hats</t>
        </is>
      </c>
      <c r="L255" s="29" t="n">
        <v>15.98</v>
      </c>
      <c r="M255" s="30" t="n">
        <v>0.0001</v>
      </c>
      <c r="N255" s="29" t="n">
        <v>0</v>
      </c>
      <c r="O255" s="29" t="n">
        <v>0</v>
      </c>
      <c r="P255" s="2" t="n">
        <v>2</v>
      </c>
      <c r="Q255" s="31" t="n">
        <v>0</v>
      </c>
      <c r="R255" s="32" t="n"/>
      <c r="S255" s="32" t="n">
        <v>0</v>
      </c>
      <c r="T255" s="32" t="n">
        <v>0</v>
      </c>
      <c r="U255" s="31" t="n">
        <v>0</v>
      </c>
      <c r="V255" s="32" t="n">
        <v>0</v>
      </c>
      <c r="W255" s="31" t="n">
        <v>0</v>
      </c>
      <c r="X255" s="31" t="n">
        <v>0</v>
      </c>
      <c r="Y255" s="3" t="n">
        <v>0</v>
      </c>
      <c r="Z255" s="3" t="n">
        <v>0</v>
      </c>
      <c r="AA255" s="32" t="n">
        <v>0</v>
      </c>
      <c r="AB255" s="3" t="n">
        <v>0</v>
      </c>
      <c r="AC255" s="32" t="n">
        <v>0</v>
      </c>
      <c r="AD255" s="3" t="n"/>
      <c r="AE255" s="31" t="n">
        <v>0</v>
      </c>
      <c r="AF255" s="2" t="n">
        <v>0</v>
      </c>
      <c r="AG255" s="2" t="n">
        <v>13</v>
      </c>
      <c r="AH255" s="4" t="n">
        <v>13</v>
      </c>
      <c r="AI255" s="33" t="n">
        <v>15.98</v>
      </c>
      <c r="AJ255" s="4" t="n">
        <v>2</v>
      </c>
      <c r="AK255" s="34" t="n">
        <v>0.1538</v>
      </c>
      <c r="AL255" s="34" t="n">
        <v>1</v>
      </c>
      <c r="AM255" s="2" t="n">
        <v>12082</v>
      </c>
    </row>
    <row r="256">
      <c r="A256">
        <f>HYPERLINK("https://www.walmart.com/ip/614230216", "614230216")</f>
        <v/>
      </c>
      <c r="B256">
        <f>HYPERLINK("https://app.optiwise.ai/catalog/itemdetails/360473", "Jennis Women's Sexy Lace Nightgown Sleepwear Bathrobe 2 Piece Set ( XXXL=US 12-14 )")</f>
        <v/>
      </c>
      <c r="C256" t="n">
        <v>6</v>
      </c>
      <c r="D256" t="inlineStr">
        <is>
          <t>B78691_979660_FCBC8ABA2999A037</t>
        </is>
      </c>
      <c r="E256" t="inlineStr">
        <is>
          <t>JWRS02RD-3XL</t>
        </is>
      </c>
      <c r="F256" t="n">
        <v>6</v>
      </c>
      <c r="G256" t="inlineStr">
        <is>
          <t>Clothing</t>
        </is>
      </c>
      <c r="H256" t="inlineStr">
        <is>
          <t>Nightgowns &amp; Sleepshirts</t>
        </is>
      </c>
      <c r="I256" t="inlineStr">
        <is>
          <t>JenniWears</t>
        </is>
      </c>
      <c r="K256" t="inlineStr">
        <is>
          <t>Optimized,Valentine,Bathrobe</t>
        </is>
      </c>
      <c r="L256" s="29" t="n">
        <v>15.98</v>
      </c>
      <c r="M256" s="30" t="n">
        <v>0.0001</v>
      </c>
      <c r="N256" s="29" t="n">
        <v>0</v>
      </c>
      <c r="O256" s="29" t="n">
        <v>0</v>
      </c>
      <c r="P256" s="2" t="n">
        <v>2</v>
      </c>
      <c r="Q256" s="31" t="n">
        <v>0</v>
      </c>
      <c r="R256" s="32" t="n"/>
      <c r="S256" s="32" t="n">
        <v>0</v>
      </c>
      <c r="T256" s="32" t="n">
        <v>0</v>
      </c>
      <c r="U256" s="31" t="n">
        <v>0</v>
      </c>
      <c r="V256" s="32" t="n">
        <v>0</v>
      </c>
      <c r="W256" s="31" t="n">
        <v>0</v>
      </c>
      <c r="X256" s="31" t="n">
        <v>0</v>
      </c>
      <c r="Y256" s="3" t="n">
        <v>0</v>
      </c>
      <c r="Z256" s="3" t="n">
        <v>0</v>
      </c>
      <c r="AA256" s="32" t="n">
        <v>0</v>
      </c>
      <c r="AB256" s="3" t="n">
        <v>0</v>
      </c>
      <c r="AC256" s="32" t="n">
        <v>0</v>
      </c>
      <c r="AD256" s="3" t="n"/>
      <c r="AE256" s="31" t="n">
        <v>0</v>
      </c>
      <c r="AF256" s="2" t="n">
        <v>0</v>
      </c>
      <c r="AG256" s="2" t="n">
        <v>60</v>
      </c>
      <c r="AH256" s="4" t="n">
        <v>60</v>
      </c>
      <c r="AI256" s="33" t="n">
        <v>15.98</v>
      </c>
      <c r="AJ256" s="4" t="n">
        <v>2</v>
      </c>
      <c r="AK256" s="34" t="n">
        <v>0.0333</v>
      </c>
      <c r="AL256" s="34" t="n">
        <v>1</v>
      </c>
      <c r="AM256" s="2" t="n">
        <v>7492</v>
      </c>
    </row>
    <row r="257">
      <c r="A257">
        <f>HYPERLINK("https://www.walmart.com/ip/974013155", "974013155")</f>
        <v/>
      </c>
      <c r="B257">
        <f>HYPERLINK("https://app.optiwise.ai/catalog/itemdetails/361506", "Solaris American Flag Sun Cap Outdoor Sports Baseball Tennis Golf Summer Hats for Men Women, White")</f>
        <v/>
      </c>
      <c r="C257" t="n">
        <v>2</v>
      </c>
      <c r="D257" t="inlineStr">
        <is>
          <t>B78691_1679021</t>
        </is>
      </c>
      <c r="E257" t="inlineStr">
        <is>
          <t>1SLBC120WH</t>
        </is>
      </c>
      <c r="F257" t="n">
        <v>0</v>
      </c>
      <c r="G257" t="inlineStr">
        <is>
          <t>Clothing</t>
        </is>
      </c>
      <c r="H257" t="inlineStr">
        <is>
          <t>Hats</t>
        </is>
      </c>
      <c r="I257" t="inlineStr">
        <is>
          <t>Solaris</t>
        </is>
      </c>
      <c r="K257" t="inlineStr">
        <is>
          <t>Batch 1 - TR</t>
        </is>
      </c>
      <c r="L257" s="29" t="n">
        <v>15.98</v>
      </c>
      <c r="M257" s="30" t="n">
        <v>0.0001</v>
      </c>
      <c r="N257" s="29" t="n">
        <v>0</v>
      </c>
      <c r="O257" s="29" t="n">
        <v>0</v>
      </c>
      <c r="P257" s="2" t="n">
        <v>2</v>
      </c>
      <c r="Q257" s="31" t="n">
        <v>0</v>
      </c>
      <c r="R257" s="32" t="n"/>
      <c r="S257" s="32" t="n">
        <v>0</v>
      </c>
      <c r="T257" s="32" t="n">
        <v>0</v>
      </c>
      <c r="U257" s="31" t="n">
        <v>0</v>
      </c>
      <c r="V257" s="32" t="n">
        <v>0</v>
      </c>
      <c r="W257" s="31" t="n">
        <v>0</v>
      </c>
      <c r="X257" s="31" t="n">
        <v>0</v>
      </c>
      <c r="Y257" s="3" t="n">
        <v>0</v>
      </c>
      <c r="Z257" s="3" t="n">
        <v>0</v>
      </c>
      <c r="AA257" s="32" t="n">
        <v>0</v>
      </c>
      <c r="AB257" s="3" t="n">
        <v>0</v>
      </c>
      <c r="AC257" s="32" t="n">
        <v>0</v>
      </c>
      <c r="AD257" s="3" t="n"/>
      <c r="AE257" s="31" t="n">
        <v>0</v>
      </c>
      <c r="AF257" s="2" t="n">
        <v>0</v>
      </c>
      <c r="AG257" s="2" t="n">
        <v>37</v>
      </c>
      <c r="AH257" s="4" t="n">
        <v>37</v>
      </c>
      <c r="AI257" s="33" t="n">
        <v>15.98</v>
      </c>
      <c r="AJ257" s="4" t="n">
        <v>2</v>
      </c>
      <c r="AK257" s="34" t="n">
        <v>0.0541</v>
      </c>
      <c r="AL257" s="34" t="n">
        <v>1</v>
      </c>
      <c r="AM257" s="2" t="n">
        <v>13500</v>
      </c>
    </row>
    <row r="258">
      <c r="A258">
        <f>HYPERLINK("https://www.walmart.com/ip/147800222", "147800222")</f>
        <v/>
      </c>
      <c r="B258">
        <f>HYPERLINK("https://app.optiwise.ai/catalog/itemdetails/665419", "JenniWears® Women's Sexy See-through Lingerie Lace Fishnet Suspender")</f>
        <v/>
      </c>
      <c r="C258" t="n">
        <v>8</v>
      </c>
      <c r="D258" t="inlineStr">
        <is>
          <t>B78691_979774</t>
        </is>
      </c>
      <c r="E258" t="inlineStr">
        <is>
          <t>JWBD01BKRD-XL</t>
        </is>
      </c>
      <c r="F258" t="n">
        <v>1</v>
      </c>
      <c r="G258" t="inlineStr">
        <is>
          <t>Clothing</t>
        </is>
      </c>
      <c r="H258" t="inlineStr">
        <is>
          <t>Lingerie Sets</t>
        </is>
      </c>
      <c r="I258" t="inlineStr">
        <is>
          <t>JenniWears</t>
        </is>
      </c>
      <c r="J258" t="n">
        <v>4</v>
      </c>
      <c r="K258" t="inlineStr">
        <is>
          <t>Batch 1 - TR</t>
        </is>
      </c>
      <c r="L258" s="29" t="n">
        <v>15.96</v>
      </c>
      <c r="M258" s="30" t="n">
        <v>0.0001</v>
      </c>
      <c r="N258" s="29" t="n">
        <v>0</v>
      </c>
      <c r="O258" s="29" t="n">
        <v>0</v>
      </c>
      <c r="P258" s="2" t="n">
        <v>2</v>
      </c>
      <c r="Q258" s="31" t="n">
        <v>0</v>
      </c>
      <c r="R258" s="32" t="n"/>
      <c r="S258" s="32" t="n">
        <v>0</v>
      </c>
      <c r="T258" s="32" t="n">
        <v>0</v>
      </c>
      <c r="U258" s="31" t="n">
        <v>0</v>
      </c>
      <c r="V258" s="32" t="n">
        <v>0</v>
      </c>
      <c r="W258" s="31" t="n">
        <v>0</v>
      </c>
      <c r="X258" s="31" t="n">
        <v>0</v>
      </c>
      <c r="Y258" s="3" t="n">
        <v>0</v>
      </c>
      <c r="Z258" s="3" t="n">
        <v>0</v>
      </c>
      <c r="AA258" s="32" t="n">
        <v>0</v>
      </c>
      <c r="AB258" s="3" t="n">
        <v>0</v>
      </c>
      <c r="AC258" s="32" t="n">
        <v>0</v>
      </c>
      <c r="AD258" s="3" t="n"/>
      <c r="AE258" s="31" t="n">
        <v>0</v>
      </c>
      <c r="AF258" s="2" t="n">
        <v>0</v>
      </c>
      <c r="AG258" s="2" t="n">
        <v>89</v>
      </c>
      <c r="AH258" s="4" t="n">
        <v>89</v>
      </c>
      <c r="AI258" s="33" t="n">
        <v>15.96</v>
      </c>
      <c r="AJ258" s="4" t="n">
        <v>2</v>
      </c>
      <c r="AK258" s="34" t="n">
        <v>0.0225</v>
      </c>
      <c r="AL258" s="34" t="n">
        <v>1</v>
      </c>
      <c r="AM258" s="2" t="n">
        <v>37800</v>
      </c>
    </row>
    <row r="259">
      <c r="A259">
        <f>HYPERLINK("https://www.walmart.com/ip/100213325", "100213325")</f>
        <v/>
      </c>
      <c r="B259">
        <f>HYPERLINK("https://app.optiwise.ai/catalog/itemdetails/362824", "JenniWears® Women's Sexy Lingeri Darque Babydoll And G-string")</f>
        <v/>
      </c>
      <c r="C259" t="n">
        <v>3</v>
      </c>
      <c r="D259" t="inlineStr">
        <is>
          <t>B78691_979769_E27F9499727240B1</t>
        </is>
      </c>
      <c r="E259" t="inlineStr">
        <is>
          <t>JWBD07BK-M</t>
        </is>
      </c>
      <c r="F259" t="n">
        <v>1</v>
      </c>
      <c r="G259" t="inlineStr">
        <is>
          <t>Clothing</t>
        </is>
      </c>
      <c r="H259" t="inlineStr">
        <is>
          <t>Lingerie Sets</t>
        </is>
      </c>
      <c r="I259" t="inlineStr">
        <is>
          <t>JenniWears</t>
        </is>
      </c>
      <c r="J259" t="n">
        <v>5</v>
      </c>
      <c r="K259" t="inlineStr">
        <is>
          <t>Optimized,Valentine</t>
        </is>
      </c>
      <c r="L259" s="29" t="n">
        <v>15.96</v>
      </c>
      <c r="M259" s="30" t="n">
        <v>0.0001</v>
      </c>
      <c r="N259" s="29" t="n">
        <v>0</v>
      </c>
      <c r="O259" s="29" t="n">
        <v>0</v>
      </c>
      <c r="P259" s="2" t="n">
        <v>2</v>
      </c>
      <c r="Q259" s="31" t="n">
        <v>0</v>
      </c>
      <c r="R259" s="32" t="n"/>
      <c r="S259" s="32" t="n">
        <v>0</v>
      </c>
      <c r="T259" s="32" t="n">
        <v>0</v>
      </c>
      <c r="U259" s="31" t="n">
        <v>0</v>
      </c>
      <c r="V259" s="32" t="n">
        <v>0</v>
      </c>
      <c r="W259" s="31" t="n">
        <v>0</v>
      </c>
      <c r="X259" s="31" t="n">
        <v>0</v>
      </c>
      <c r="Y259" s="3" t="n">
        <v>0</v>
      </c>
      <c r="Z259" s="3" t="n">
        <v>0</v>
      </c>
      <c r="AA259" s="32" t="n">
        <v>0</v>
      </c>
      <c r="AB259" s="3" t="n">
        <v>0</v>
      </c>
      <c r="AC259" s="32" t="n">
        <v>0</v>
      </c>
      <c r="AD259" s="3" t="n"/>
      <c r="AE259" s="31" t="n">
        <v>0</v>
      </c>
      <c r="AF259" s="2" t="n">
        <v>0</v>
      </c>
      <c r="AG259" s="2" t="n">
        <v>67</v>
      </c>
      <c r="AH259" s="4" t="n">
        <v>67</v>
      </c>
      <c r="AI259" s="33" t="n">
        <v>15.96</v>
      </c>
      <c r="AJ259" s="4" t="n">
        <v>2</v>
      </c>
      <c r="AK259" s="34" t="n">
        <v>0.0299</v>
      </c>
      <c r="AL259" s="34" t="n">
        <v>1</v>
      </c>
      <c r="AM259" s="2" t="n">
        <v>7762</v>
      </c>
    </row>
    <row r="260">
      <c r="A260">
        <f>HYPERLINK("https://www.walmart.com/ip/923133612", "923133612")</f>
        <v/>
      </c>
      <c r="B260">
        <f>HYPERLINK("https://app.optiwise.ai/catalog/itemdetails/361977", "Vina Electric Gravity Salt Pepper Grinder Set, Adjustable Grinding Coarseness Automatic Shaker Mills with Ceramic Core, Free Garlic Roller Included, Pack of 2, Black")</f>
        <v/>
      </c>
      <c r="C260" t="n">
        <v>3</v>
      </c>
      <c r="D260" t="inlineStr">
        <is>
          <t>B78691_1636592_5C9BB2671E1E9004</t>
        </is>
      </c>
      <c r="E260" t="inlineStr">
        <is>
          <t>VINASPEG521-BK2PK</t>
        </is>
      </c>
      <c r="F260" t="n">
        <v>60</v>
      </c>
      <c r="G260" t="inlineStr">
        <is>
          <t>Home Decor, Kitchen, &amp; Other</t>
        </is>
      </c>
      <c r="H260" t="inlineStr">
        <is>
          <t>Salt &amp; Pepper Mills</t>
        </is>
      </c>
      <c r="I260" t="inlineStr">
        <is>
          <t>Vina</t>
        </is>
      </c>
      <c r="J260" t="n">
        <v>3.299999999999999</v>
      </c>
      <c r="K260" t="inlineStr">
        <is>
          <t>WFS,WFS Item</t>
        </is>
      </c>
      <c r="L260" s="29" t="n">
        <v>14.98</v>
      </c>
      <c r="M260" s="30" t="n">
        <v>0.0001</v>
      </c>
      <c r="N260" s="29" t="n">
        <v>0</v>
      </c>
      <c r="O260" s="29" t="n">
        <v>0</v>
      </c>
      <c r="P260" s="2" t="n">
        <v>1</v>
      </c>
      <c r="Q260" s="31" t="n">
        <v>0</v>
      </c>
      <c r="R260" s="32" t="n"/>
      <c r="S260" s="32" t="n">
        <v>0</v>
      </c>
      <c r="T260" s="32" t="n">
        <v>0</v>
      </c>
      <c r="U260" s="31" t="n">
        <v>0</v>
      </c>
      <c r="V260" s="32" t="n">
        <v>0</v>
      </c>
      <c r="W260" s="31" t="n">
        <v>0</v>
      </c>
      <c r="X260" s="31" t="n">
        <v>0</v>
      </c>
      <c r="Y260" s="3" t="n">
        <v>0</v>
      </c>
      <c r="Z260" s="3" t="n">
        <v>0</v>
      </c>
      <c r="AA260" s="32" t="n">
        <v>0</v>
      </c>
      <c r="AB260" s="3" t="n">
        <v>0</v>
      </c>
      <c r="AC260" s="32" t="n">
        <v>0</v>
      </c>
      <c r="AD260" s="3" t="n"/>
      <c r="AE260" s="31" t="n">
        <v>0</v>
      </c>
      <c r="AF260" s="2" t="n">
        <v>1</v>
      </c>
      <c r="AG260" s="2" t="n">
        <v>24</v>
      </c>
      <c r="AH260" s="4" t="n">
        <v>24</v>
      </c>
      <c r="AI260" s="33" t="n">
        <v>14.98</v>
      </c>
      <c r="AJ260" s="4" t="n">
        <v>1</v>
      </c>
      <c r="AK260" s="34" t="n">
        <v>0.0417</v>
      </c>
      <c r="AL260" s="34" t="n">
        <v>1</v>
      </c>
      <c r="AM260" s="2" t="n">
        <v>0</v>
      </c>
    </row>
    <row r="261">
      <c r="A261">
        <f>HYPERLINK("https://www.walmart.com/ip/531901234", "531901234")</f>
        <v/>
      </c>
      <c r="B261">
        <f>HYPERLINK("https://app.optiwise.ai/catalog/itemdetails/359264", "Surf Poncho Towel,Microfiber Water Absorbent Wetsuit Changing Robe After Surfing Swimming Bathing,Sand-Proof,Quick Drying")</f>
        <v/>
      </c>
      <c r="C261" t="n">
        <v>1</v>
      </c>
      <c r="D261" t="inlineStr">
        <is>
          <t>B78691_1669496_5C9BB2671E1E9004</t>
        </is>
      </c>
      <c r="E261" t="inlineStr">
        <is>
          <t>1PRBR101-BK</t>
        </is>
      </c>
      <c r="F261" t="n">
        <v>0</v>
      </c>
      <c r="G261" t="inlineStr">
        <is>
          <t>Clothing</t>
        </is>
      </c>
      <c r="H261" t="inlineStr">
        <is>
          <t>default</t>
        </is>
      </c>
      <c r="I261" t="inlineStr">
        <is>
          <t>PIER RAT HUNTINGTON</t>
        </is>
      </c>
      <c r="L261" s="29" t="n">
        <v>14.98</v>
      </c>
      <c r="M261" s="30" t="n">
        <v>0.0001</v>
      </c>
      <c r="N261" s="29" t="n">
        <v>0</v>
      </c>
      <c r="O261" s="29" t="n">
        <v>0</v>
      </c>
      <c r="P261" s="2" t="n">
        <v>1</v>
      </c>
      <c r="Q261" s="31" t="n">
        <v>0</v>
      </c>
      <c r="R261" s="32" t="n"/>
      <c r="S261" s="32" t="n">
        <v>0</v>
      </c>
      <c r="T261" s="32" t="n">
        <v>0.0067</v>
      </c>
      <c r="U261" s="31" t="n">
        <v>0</v>
      </c>
      <c r="V261" s="32" t="n">
        <v>0</v>
      </c>
      <c r="W261" s="31" t="n">
        <v>0</v>
      </c>
      <c r="X261" s="31" t="n">
        <v>0</v>
      </c>
      <c r="Y261" s="3" t="n">
        <v>33</v>
      </c>
      <c r="Z261" s="3" t="n">
        <v>0</v>
      </c>
      <c r="AA261" s="32" t="n">
        <v>0</v>
      </c>
      <c r="AB261" s="3" t="n">
        <v>0</v>
      </c>
      <c r="AC261" s="32" t="n">
        <v>0</v>
      </c>
      <c r="AD261" s="3" t="inlineStr">
        <is>
          <t>Need to sell these SKUs by 15th Feb</t>
        </is>
      </c>
      <c r="AE261" s="31" t="n">
        <v>0</v>
      </c>
      <c r="AF261" s="2" t="n">
        <v>0</v>
      </c>
      <c r="AG261" s="2" t="n">
        <v>14</v>
      </c>
      <c r="AH261" s="4" t="n">
        <v>14</v>
      </c>
      <c r="AI261" s="33" t="n">
        <v>14.98</v>
      </c>
      <c r="AJ261" s="4" t="n">
        <v>1</v>
      </c>
      <c r="AK261" s="34" t="n">
        <v>0.07140000000000001</v>
      </c>
      <c r="AL261" s="34" t="n">
        <v>1</v>
      </c>
      <c r="AM261" s="2" t="n">
        <v>14445</v>
      </c>
    </row>
    <row r="262">
      <c r="A262">
        <f>HYPERLINK("https://www.walmart.com/ip/997619642", "997619642")</f>
        <v/>
      </c>
      <c r="B262">
        <f>HYPERLINK("https://app.optiwise.ai/catalog/itemdetails/358774", "Solaris Women's Two Piece V Neck Bathing Suit, 5% Spandex, Black, Extra Large")</f>
        <v/>
      </c>
      <c r="C262" t="n">
        <v>3</v>
      </c>
      <c r="D262" t="inlineStr">
        <is>
          <t>B78691_1635736</t>
        </is>
      </c>
      <c r="E262" t="inlineStr">
        <is>
          <t>1SLSS005BK-XL</t>
        </is>
      </c>
      <c r="F262" t="n">
        <v>0</v>
      </c>
      <c r="G262" t="inlineStr">
        <is>
          <t>Clothing</t>
        </is>
      </c>
      <c r="H262" t="inlineStr">
        <is>
          <t>Swimsuit Sets</t>
        </is>
      </c>
      <c r="I262" t="inlineStr">
        <is>
          <t>Solaris</t>
        </is>
      </c>
      <c r="K262" t="inlineStr">
        <is>
          <t>Optimized</t>
        </is>
      </c>
      <c r="L262" s="29" t="n">
        <v>12.99</v>
      </c>
      <c r="M262" s="30" t="n">
        <v>0.0001</v>
      </c>
      <c r="N262" s="29" t="n">
        <v>0</v>
      </c>
      <c r="O262" s="29" t="n">
        <v>0</v>
      </c>
      <c r="P262" s="2" t="n">
        <v>1</v>
      </c>
      <c r="Q262" s="31" t="n">
        <v>0</v>
      </c>
      <c r="R262" s="32" t="n"/>
      <c r="S262" s="32" t="n">
        <v>0</v>
      </c>
      <c r="T262" s="32" t="n">
        <v>0</v>
      </c>
      <c r="U262" s="31" t="n">
        <v>0</v>
      </c>
      <c r="V262" s="32" t="n">
        <v>0</v>
      </c>
      <c r="W262" s="31" t="n">
        <v>0</v>
      </c>
      <c r="X262" s="31" t="n">
        <v>0</v>
      </c>
      <c r="Y262" s="3" t="n">
        <v>0</v>
      </c>
      <c r="Z262" s="3" t="n">
        <v>0</v>
      </c>
      <c r="AA262" s="32" t="n">
        <v>0</v>
      </c>
      <c r="AB262" s="3" t="n">
        <v>0</v>
      </c>
      <c r="AC262" s="32" t="n">
        <v>0</v>
      </c>
      <c r="AD262" s="3" t="n"/>
      <c r="AE262" s="31" t="n">
        <v>0</v>
      </c>
      <c r="AF262" s="2" t="n">
        <v>0</v>
      </c>
      <c r="AG262" s="2" t="n">
        <v>56</v>
      </c>
      <c r="AH262" s="4" t="n">
        <v>56</v>
      </c>
      <c r="AI262" s="33" t="n">
        <v>12.99</v>
      </c>
      <c r="AJ262" s="4" t="n">
        <v>1</v>
      </c>
      <c r="AK262" s="34" t="n">
        <v>0.0179</v>
      </c>
      <c r="AL262" s="34" t="n">
        <v>1</v>
      </c>
      <c r="AM262" s="2" t="n">
        <v>40500</v>
      </c>
    </row>
    <row r="263">
      <c r="A263">
        <f>HYPERLINK("https://www.walmart.com/ip/300905636", "300905636")</f>
        <v/>
      </c>
      <c r="B263">
        <f>HYPERLINK("https://app.optiwise.ai/catalog/itemdetails/359251", "Women’s Casual Hoodie Sweatshirt, Solid Cropped Jumper Tops, 3/4 Sleeve Oversized Pullover")</f>
        <v/>
      </c>
      <c r="C263" t="n">
        <v>6</v>
      </c>
      <c r="D263" t="inlineStr">
        <is>
          <t>B78691_1679355</t>
        </is>
      </c>
      <c r="E263" t="inlineStr">
        <is>
          <t>1WMHD520S1WT</t>
        </is>
      </c>
      <c r="F263" t="n">
        <v>4</v>
      </c>
      <c r="G263" t="inlineStr">
        <is>
          <t>Clothing</t>
        </is>
      </c>
      <c r="H263" t="inlineStr">
        <is>
          <t>Sweatshirts &amp; Hoodies</t>
        </is>
      </c>
      <c r="I263" t="inlineStr">
        <is>
          <t>Flyingstar</t>
        </is>
      </c>
      <c r="K263" t="inlineStr">
        <is>
          <t>Hoodie ForAdult,Optimized</t>
        </is>
      </c>
      <c r="L263" s="29" t="n">
        <v>12.99</v>
      </c>
      <c r="M263" s="30" t="n">
        <v>0.0001</v>
      </c>
      <c r="N263" s="29" t="n">
        <v>12.98999977111816</v>
      </c>
      <c r="O263" s="29" t="n">
        <v>0</v>
      </c>
      <c r="P263" s="2" t="n">
        <v>1</v>
      </c>
      <c r="Q263" s="31" t="n">
        <v>36.58000000000001</v>
      </c>
      <c r="R263" s="32" t="n">
        <v>0.0044</v>
      </c>
      <c r="S263" s="32" t="n">
        <v>2.816</v>
      </c>
      <c r="T263" s="32" t="n">
        <v>1.7109</v>
      </c>
      <c r="U263" s="31" t="n">
        <v>0.36</v>
      </c>
      <c r="V263" s="32" t="n">
        <v>2.82</v>
      </c>
      <c r="W263" s="31" t="n">
        <v>12.99</v>
      </c>
      <c r="X263" s="31" t="n">
        <v>12.99</v>
      </c>
      <c r="Y263" s="3" t="n">
        <v>79850</v>
      </c>
      <c r="Z263" s="3" t="n">
        <v>100</v>
      </c>
      <c r="AA263" s="32" t="n">
        <v>0.0013</v>
      </c>
      <c r="AB263" s="3" t="n">
        <v>1</v>
      </c>
      <c r="AC263" s="32" t="n">
        <v>0.01</v>
      </c>
      <c r="AD263" s="3" t="inlineStr">
        <is>
          <t>Hoodies_Auto</t>
        </is>
      </c>
      <c r="AE263" s="31" t="n">
        <v>0.37</v>
      </c>
      <c r="AF263" s="2" t="n">
        <v>0</v>
      </c>
      <c r="AG263" s="2" t="n">
        <v>59</v>
      </c>
      <c r="AH263" s="4" t="inlineStr">
        <is>
          <t>NA</t>
        </is>
      </c>
      <c r="AI263" s="33" t="n">
        <v>0</v>
      </c>
      <c r="AJ263" s="4" t="n">
        <v>0</v>
      </c>
      <c r="AK263" s="34" t="inlineStr">
        <is>
          <t>NA</t>
        </is>
      </c>
      <c r="AL263" s="34" t="n">
        <v>0</v>
      </c>
      <c r="AM263" s="2" t="n">
        <v>81000</v>
      </c>
    </row>
    <row r="264">
      <c r="A264">
        <f>HYPERLINK("https://www.walmart.com/ip/590343293", "590343293")</f>
        <v/>
      </c>
      <c r="B264">
        <f>HYPERLINK("https://app.optiwise.ai/catalog/itemdetails/362654", "JenniWears 2 Women Beileise Sexy Top Thigh High Stockings+ Garter Belt Suspender")</f>
        <v/>
      </c>
      <c r="C264" t="inlineStr">
        <is>
          <t>-</t>
        </is>
      </c>
      <c r="E264" t="inlineStr">
        <is>
          <t>JWBLSPH2011-2 Packs</t>
        </is>
      </c>
      <c r="F264" t="n">
        <v>0</v>
      </c>
      <c r="G264" t="inlineStr">
        <is>
          <t>Clothing</t>
        </is>
      </c>
      <c r="H264" t="inlineStr">
        <is>
          <t>Pantyhose &amp; Tights</t>
        </is>
      </c>
      <c r="I264" t="inlineStr">
        <is>
          <t>JenniWears</t>
        </is>
      </c>
      <c r="K264" t="inlineStr">
        <is>
          <t>Valentine</t>
        </is>
      </c>
      <c r="L264" s="29" t="n">
        <v>10.99</v>
      </c>
      <c r="M264" s="30" t="n">
        <v>0.0001</v>
      </c>
      <c r="N264" s="29" t="n">
        <v>0</v>
      </c>
      <c r="O264" s="29" t="n">
        <v>0</v>
      </c>
      <c r="P264" s="2" t="n">
        <v>1</v>
      </c>
      <c r="Q264" s="31" t="n">
        <v>0</v>
      </c>
      <c r="R264" s="32" t="n"/>
      <c r="S264" s="32" t="n">
        <v>0</v>
      </c>
      <c r="T264" s="32" t="n">
        <v>0</v>
      </c>
      <c r="U264" s="31" t="n">
        <v>0</v>
      </c>
      <c r="V264" s="32" t="n">
        <v>0</v>
      </c>
      <c r="W264" s="31" t="n">
        <v>0</v>
      </c>
      <c r="X264" s="31" t="n">
        <v>0</v>
      </c>
      <c r="Y264" s="3" t="n">
        <v>0</v>
      </c>
      <c r="Z264" s="3" t="n">
        <v>0</v>
      </c>
      <c r="AA264" s="32" t="n">
        <v>0</v>
      </c>
      <c r="AB264" s="3" t="n">
        <v>0</v>
      </c>
      <c r="AC264" s="32" t="n">
        <v>0</v>
      </c>
      <c r="AD264" s="3" t="n"/>
      <c r="AE264" s="31" t="n">
        <v>0</v>
      </c>
      <c r="AF264" s="2" t="n">
        <v>0</v>
      </c>
      <c r="AG264" s="2" t="n">
        <v>40</v>
      </c>
      <c r="AH264" s="4" t="n">
        <v>40</v>
      </c>
      <c r="AI264" s="33" t="n">
        <v>10.99</v>
      </c>
      <c r="AJ264" s="4" t="n">
        <v>1</v>
      </c>
      <c r="AK264" s="34" t="n">
        <v>0.025</v>
      </c>
      <c r="AL264" s="34" t="n">
        <v>1</v>
      </c>
      <c r="AM264" s="2" t="n">
        <v>13500</v>
      </c>
    </row>
    <row r="265">
      <c r="A265">
        <f>HYPERLINK("https://www.walmart.com/ip/186555220", "186555220")</f>
        <v/>
      </c>
      <c r="B265">
        <f>HYPERLINK("https://app.optiwise.ai/catalog/itemdetails/362171", "KC Caps Men's Vintage Style Cotton Gatsby Ivy Newsboy Hat, Cap for Camping,Travelling, and Hiking, Large")</f>
        <v/>
      </c>
      <c r="C265" t="n">
        <v>2</v>
      </c>
      <c r="D265" t="inlineStr">
        <is>
          <t>B78691_974198</t>
        </is>
      </c>
      <c r="E265" t="inlineStr">
        <is>
          <t>KC 8080GATSBY-BL-L</t>
        </is>
      </c>
      <c r="F265" t="n">
        <v>11</v>
      </c>
      <c r="G265" t="inlineStr">
        <is>
          <t>Clothing</t>
        </is>
      </c>
      <c r="H265" t="inlineStr">
        <is>
          <t>Hats</t>
        </is>
      </c>
      <c r="I265" t="inlineStr">
        <is>
          <t>KC Caps</t>
        </is>
      </c>
      <c r="J265" t="n">
        <v>3.7</v>
      </c>
      <c r="K265" t="inlineStr">
        <is>
          <t>Q2-Target,WFS,Hats,WFS Item</t>
        </is>
      </c>
      <c r="L265" s="29" t="n">
        <v>10.99</v>
      </c>
      <c r="M265" s="30" t="n">
        <v>0.0001</v>
      </c>
      <c r="N265" s="29" t="n">
        <v>0</v>
      </c>
      <c r="O265" s="29" t="n">
        <v>0</v>
      </c>
      <c r="P265" s="2" t="n">
        <v>1</v>
      </c>
      <c r="Q265" s="31" t="n">
        <v>0</v>
      </c>
      <c r="R265" s="32" t="n"/>
      <c r="S265" s="32" t="n">
        <v>0</v>
      </c>
      <c r="T265" s="32" t="n">
        <v>0</v>
      </c>
      <c r="U265" s="31" t="n">
        <v>0</v>
      </c>
      <c r="V265" s="32" t="n">
        <v>0</v>
      </c>
      <c r="W265" s="31" t="n">
        <v>0</v>
      </c>
      <c r="X265" s="31" t="n">
        <v>0</v>
      </c>
      <c r="Y265" s="3" t="n">
        <v>0</v>
      </c>
      <c r="Z265" s="3" t="n">
        <v>0</v>
      </c>
      <c r="AA265" s="32" t="n">
        <v>0</v>
      </c>
      <c r="AB265" s="3" t="n">
        <v>0</v>
      </c>
      <c r="AC265" s="32" t="n">
        <v>0</v>
      </c>
      <c r="AD265" s="3" t="n"/>
      <c r="AE265" s="31" t="n">
        <v>0</v>
      </c>
      <c r="AF265" s="2" t="n">
        <v>0</v>
      </c>
      <c r="AG265" s="2" t="n">
        <v>26</v>
      </c>
      <c r="AH265" s="4" t="n">
        <v>26</v>
      </c>
      <c r="AI265" s="33" t="n">
        <v>10.99</v>
      </c>
      <c r="AJ265" s="4" t="n">
        <v>1</v>
      </c>
      <c r="AK265" s="34" t="n">
        <v>0.0385</v>
      </c>
      <c r="AL265" s="34" t="n">
        <v>1</v>
      </c>
      <c r="AM265" s="2" t="n">
        <v>0</v>
      </c>
    </row>
    <row r="266">
      <c r="A266">
        <f>HYPERLINK("https://www.walmart.com/ip/649477384", "649477384")</f>
        <v/>
      </c>
      <c r="B266">
        <f>HYPERLINK("https://app.optiwise.ai/catalog/itemdetails/361217", "Mens Underwear Mens Boxer Briefs with Elastic Waistband Solid New Classic Fit, 3 Pack by Terra")</f>
        <v/>
      </c>
      <c r="C266" t="n">
        <v>13</v>
      </c>
      <c r="D266" t="inlineStr">
        <is>
          <t>B78691_1568179_96973AFB8D8F0C5F</t>
        </is>
      </c>
      <c r="E266" t="inlineStr">
        <is>
          <t>TERRA-BOXER4-M</t>
        </is>
      </c>
      <c r="F266" t="n">
        <v>13</v>
      </c>
      <c r="G266" t="inlineStr">
        <is>
          <t>Clothing</t>
        </is>
      </c>
      <c r="H266" t="inlineStr">
        <is>
          <t>Underpants</t>
        </is>
      </c>
      <c r="I266" t="inlineStr">
        <is>
          <t>Terra</t>
        </is>
      </c>
      <c r="J266" t="n">
        <v>3.600000000000001</v>
      </c>
      <c r="K266" t="inlineStr">
        <is>
          <t>Batch 1 - TR</t>
        </is>
      </c>
      <c r="L266" s="29" t="n">
        <v>10.99</v>
      </c>
      <c r="M266" s="30" t="n">
        <v>0.0001</v>
      </c>
      <c r="N266" s="29" t="n">
        <v>21.97999954223633</v>
      </c>
      <c r="O266" s="29" t="n">
        <v>0</v>
      </c>
      <c r="P266" s="2" t="n">
        <v>1</v>
      </c>
      <c r="Q266" s="31" t="n">
        <v>0</v>
      </c>
      <c r="R266" s="32" t="n"/>
      <c r="S266" s="32" t="n">
        <v>0</v>
      </c>
      <c r="T266" s="32" t="n">
        <v>0</v>
      </c>
      <c r="U266" s="31" t="n">
        <v>0</v>
      </c>
      <c r="V266" s="32" t="n">
        <v>0</v>
      </c>
      <c r="W266" s="31" t="n">
        <v>0</v>
      </c>
      <c r="X266" s="31" t="n">
        <v>0</v>
      </c>
      <c r="Y266" s="3" t="n">
        <v>0</v>
      </c>
      <c r="Z266" s="3" t="n">
        <v>0</v>
      </c>
      <c r="AA266" s="32" t="n">
        <v>0</v>
      </c>
      <c r="AB266" s="3" t="n">
        <v>0</v>
      </c>
      <c r="AC266" s="32" t="n">
        <v>0</v>
      </c>
      <c r="AD266" s="3" t="n"/>
      <c r="AE266" s="31" t="n">
        <v>0</v>
      </c>
      <c r="AF266" s="2" t="n">
        <v>0</v>
      </c>
      <c r="AG266" s="2" t="n">
        <v>162</v>
      </c>
      <c r="AH266" s="4" t="n">
        <v>162</v>
      </c>
      <c r="AI266" s="33" t="n">
        <v>10.99</v>
      </c>
      <c r="AJ266" s="4" t="n">
        <v>1</v>
      </c>
      <c r="AK266" s="34" t="n">
        <v>0.0062</v>
      </c>
      <c r="AL266" s="34" t="n">
        <v>1</v>
      </c>
      <c r="AM266" s="2" t="n">
        <v>93420</v>
      </c>
    </row>
    <row r="267">
      <c r="A267">
        <f>HYPERLINK("https://www.walmart.com/ip/908596766", "908596766")</f>
        <v/>
      </c>
      <c r="B267">
        <f>HYPERLINK("https://app.optiwise.ai/catalog/itemdetails/362826", "Jennis 2 Women's Beileise  Sexy Crotchless Suspender Pantyhose Stockings Black")</f>
        <v/>
      </c>
      <c r="C267" t="n">
        <v>3</v>
      </c>
      <c r="D267" t="inlineStr">
        <is>
          <t>B78691_974106</t>
        </is>
      </c>
      <c r="E267" t="inlineStr">
        <is>
          <t>JWBLSPH2028-2 Packs</t>
        </is>
      </c>
      <c r="F267" t="n">
        <v>0</v>
      </c>
      <c r="G267" t="inlineStr">
        <is>
          <t>Clothing</t>
        </is>
      </c>
      <c r="H267" t="inlineStr">
        <is>
          <t>Pantyhose &amp; Tights</t>
        </is>
      </c>
      <c r="I267" t="inlineStr">
        <is>
          <t>JenniWears</t>
        </is>
      </c>
      <c r="K267" t="inlineStr">
        <is>
          <t>WFS,Valentine,WFS Item</t>
        </is>
      </c>
      <c r="L267" s="29" t="n">
        <v>10.09</v>
      </c>
      <c r="M267" s="30" t="n">
        <v>0.0001</v>
      </c>
      <c r="N267" s="29" t="n">
        <v>10.09000015258789</v>
      </c>
      <c r="O267" s="29" t="n">
        <v>0</v>
      </c>
      <c r="P267" s="2" t="n">
        <v>1</v>
      </c>
      <c r="Q267" s="31" t="n">
        <v>0</v>
      </c>
      <c r="R267" s="32" t="n"/>
      <c r="S267" s="32" t="n">
        <v>0</v>
      </c>
      <c r="T267" s="32" t="n">
        <v>0</v>
      </c>
      <c r="U267" s="31" t="n">
        <v>0</v>
      </c>
      <c r="V267" s="32" t="n">
        <v>0</v>
      </c>
      <c r="W267" s="31" t="n">
        <v>0</v>
      </c>
      <c r="X267" s="31" t="n">
        <v>0</v>
      </c>
      <c r="Y267" s="3" t="n">
        <v>0</v>
      </c>
      <c r="Z267" s="3" t="n">
        <v>0</v>
      </c>
      <c r="AA267" s="32" t="n">
        <v>0</v>
      </c>
      <c r="AB267" s="3" t="n">
        <v>0</v>
      </c>
      <c r="AC267" s="32" t="n">
        <v>0</v>
      </c>
      <c r="AD267" s="3" t="n"/>
      <c r="AE267" s="31" t="n">
        <v>0</v>
      </c>
      <c r="AF267" s="2" t="n">
        <v>0</v>
      </c>
      <c r="AG267" s="2" t="n">
        <v>17</v>
      </c>
      <c r="AH267" s="4" t="n">
        <v>17</v>
      </c>
      <c r="AI267" s="33" t="n">
        <v>10.09</v>
      </c>
      <c r="AJ267" s="4" t="n">
        <v>1</v>
      </c>
      <c r="AK267" s="34" t="n">
        <v>0.0588</v>
      </c>
      <c r="AL267" s="34" t="n">
        <v>1</v>
      </c>
      <c r="AM267" s="2" t="n">
        <v>0</v>
      </c>
    </row>
    <row r="268">
      <c r="A268">
        <f>HYPERLINK("https://www.walmart.com/ip/574579169", "574579169")</f>
        <v/>
      </c>
      <c r="B268">
        <f>HYPERLINK("https://app.optiwise.ai/catalog/itemdetails/359327", "Women Floppy Sun Beach Hats w/ Wide Brim Straw Edge Summer UV Protection Foldable Gardening Hiking Cap by Solaris")</f>
        <v/>
      </c>
      <c r="C268" t="n">
        <v>3</v>
      </c>
      <c r="D268" t="inlineStr">
        <is>
          <t>B78691_1635703_EF9A99502214511A</t>
        </is>
      </c>
      <c r="E268" t="inlineStr">
        <is>
          <t>1SLSH371NV</t>
        </is>
      </c>
      <c r="F268" t="n">
        <v>26</v>
      </c>
      <c r="G268" t="inlineStr">
        <is>
          <t>Clothing</t>
        </is>
      </c>
      <c r="H268" t="inlineStr">
        <is>
          <t>Hats</t>
        </is>
      </c>
      <c r="I268" t="inlineStr">
        <is>
          <t>Solaris</t>
        </is>
      </c>
      <c r="J268" t="n">
        <v>4.1</v>
      </c>
      <c r="K268" t="inlineStr">
        <is>
          <t>Batch 1 - TR</t>
        </is>
      </c>
      <c r="L268" s="29" t="n">
        <v>9.99</v>
      </c>
      <c r="M268" s="30" t="n">
        <v>0.0001</v>
      </c>
      <c r="N268" s="29" t="n">
        <v>0</v>
      </c>
      <c r="O268" s="29" t="n">
        <v>0</v>
      </c>
      <c r="P268" s="2" t="n">
        <v>1</v>
      </c>
      <c r="Q268" s="31" t="n">
        <v>0</v>
      </c>
      <c r="R268" s="32" t="n"/>
      <c r="S268" s="32" t="n">
        <v>0</v>
      </c>
      <c r="T268" s="32" t="n">
        <v>0</v>
      </c>
      <c r="U268" s="31" t="n">
        <v>0</v>
      </c>
      <c r="V268" s="32" t="n">
        <v>0</v>
      </c>
      <c r="W268" s="31" t="n">
        <v>0</v>
      </c>
      <c r="X268" s="31" t="n">
        <v>0</v>
      </c>
      <c r="Y268" s="3" t="n">
        <v>0</v>
      </c>
      <c r="Z268" s="3" t="n">
        <v>0</v>
      </c>
      <c r="AA268" s="32" t="n">
        <v>0</v>
      </c>
      <c r="AB268" s="3" t="n">
        <v>0</v>
      </c>
      <c r="AC268" s="32" t="n">
        <v>0</v>
      </c>
      <c r="AD268" s="3" t="n"/>
      <c r="AE268" s="31" t="n">
        <v>0</v>
      </c>
      <c r="AF268" s="2" t="n">
        <v>0</v>
      </c>
      <c r="AG268" s="2" t="n">
        <v>58</v>
      </c>
      <c r="AH268" s="4" t="n">
        <v>58</v>
      </c>
      <c r="AI268" s="33" t="n">
        <v>9.99</v>
      </c>
      <c r="AJ268" s="4" t="n">
        <v>1</v>
      </c>
      <c r="AK268" s="34" t="n">
        <v>0.0172</v>
      </c>
      <c r="AL268" s="34" t="n">
        <v>1</v>
      </c>
      <c r="AM268" s="2" t="n">
        <v>40500</v>
      </c>
    </row>
    <row r="269">
      <c r="A269">
        <f>HYPERLINK("https://www.walmart.com/ip/634192094", "634192094")</f>
        <v/>
      </c>
      <c r="B269">
        <f>HYPERLINK("https://app.optiwise.ai/catalog/itemdetails/362570", "Terra Cool Mens Baseball Cap Hat USA American Flag Printed Flat Bill Buckle")</f>
        <v/>
      </c>
      <c r="C269" t="n">
        <v>3</v>
      </c>
      <c r="D269" t="inlineStr">
        <is>
          <t>B78691_1636003_E2A39529AC7FF8AA</t>
        </is>
      </c>
      <c r="E269" t="inlineStr">
        <is>
          <t>TERRACAP-B003A</t>
        </is>
      </c>
      <c r="F269" t="n">
        <v>0</v>
      </c>
      <c r="G269" t="inlineStr">
        <is>
          <t>Clothing</t>
        </is>
      </c>
      <c r="H269" t="inlineStr">
        <is>
          <t>Hats</t>
        </is>
      </c>
      <c r="I269" t="inlineStr">
        <is>
          <t>Terra</t>
        </is>
      </c>
      <c r="K269" t="inlineStr">
        <is>
          <t>Optimized</t>
        </is>
      </c>
      <c r="L269" s="29" t="n">
        <v>9.99</v>
      </c>
      <c r="M269" s="30" t="n">
        <v>0.0001</v>
      </c>
      <c r="N269" s="29" t="n">
        <v>0</v>
      </c>
      <c r="O269" s="29" t="n">
        <v>0</v>
      </c>
      <c r="P269" s="2" t="n">
        <v>1</v>
      </c>
      <c r="Q269" s="31" t="n">
        <v>0</v>
      </c>
      <c r="R269" s="32" t="n"/>
      <c r="S269" s="32" t="n">
        <v>0</v>
      </c>
      <c r="T269" s="32" t="n">
        <v>0</v>
      </c>
      <c r="U269" s="31" t="n">
        <v>0</v>
      </c>
      <c r="V269" s="32" t="n">
        <v>0</v>
      </c>
      <c r="W269" s="31" t="n">
        <v>0</v>
      </c>
      <c r="X269" s="31" t="n">
        <v>0</v>
      </c>
      <c r="Y269" s="3" t="n">
        <v>0</v>
      </c>
      <c r="Z269" s="3" t="n">
        <v>0</v>
      </c>
      <c r="AA269" s="32" t="n">
        <v>0</v>
      </c>
      <c r="AB269" s="3" t="n">
        <v>0</v>
      </c>
      <c r="AC269" s="32" t="n">
        <v>0</v>
      </c>
      <c r="AD269" s="3" t="n"/>
      <c r="AE269" s="31" t="n">
        <v>0</v>
      </c>
      <c r="AF269" s="2" t="n">
        <v>0</v>
      </c>
      <c r="AG269" s="2" t="n">
        <v>34</v>
      </c>
      <c r="AH269" s="4" t="n">
        <v>34</v>
      </c>
      <c r="AI269" s="33" t="n">
        <v>9.99</v>
      </c>
      <c r="AJ269" s="4" t="n">
        <v>1</v>
      </c>
      <c r="AK269" s="34" t="n">
        <v>0.0294</v>
      </c>
      <c r="AL269" s="34" t="n">
        <v>1</v>
      </c>
      <c r="AM269" s="2" t="n">
        <v>40500</v>
      </c>
    </row>
    <row r="270">
      <c r="A270">
        <f>HYPERLINK("https://www.walmart.com/ip/225498817", "225498817")</f>
        <v/>
      </c>
      <c r="B270">
        <f>HYPERLINK("https://app.optiwise.ai/catalog/itemdetails/360623", "Bucket Summer Mens Sun Hat Water Repel Mesh Net Light Weight UV Protection Outdoor Cap by Solaris")</f>
        <v/>
      </c>
      <c r="C270" t="n">
        <v>4</v>
      </c>
      <c r="D270" t="inlineStr">
        <is>
          <t>B78691_1635543_A93E1833838166BB</t>
        </is>
      </c>
      <c r="E270" t="inlineStr">
        <is>
          <t>1SLSH191GN</t>
        </is>
      </c>
      <c r="F270" t="n">
        <v>3</v>
      </c>
      <c r="G270" t="inlineStr">
        <is>
          <t>Clothing</t>
        </is>
      </c>
      <c r="H270" t="inlineStr">
        <is>
          <t>Hats</t>
        </is>
      </c>
      <c r="I270" t="inlineStr">
        <is>
          <t>Solaris</t>
        </is>
      </c>
      <c r="J270" t="n">
        <v>4.7</v>
      </c>
      <c r="K270" t="inlineStr">
        <is>
          <t>Hats,Batch 1 - TR</t>
        </is>
      </c>
      <c r="L270" s="29" t="n">
        <v>9.99</v>
      </c>
      <c r="M270" s="30" t="n">
        <v>0.0001</v>
      </c>
      <c r="N270" s="29" t="n">
        <v>0</v>
      </c>
      <c r="O270" s="29" t="n">
        <v>0</v>
      </c>
      <c r="P270" s="2" t="n">
        <v>1</v>
      </c>
      <c r="Q270" s="31" t="n">
        <v>0</v>
      </c>
      <c r="R270" s="32" t="n"/>
      <c r="S270" s="32" t="n">
        <v>0</v>
      </c>
      <c r="T270" s="32" t="n">
        <v>0</v>
      </c>
      <c r="U270" s="31" t="n">
        <v>0</v>
      </c>
      <c r="V270" s="32" t="n">
        <v>0</v>
      </c>
      <c r="W270" s="31" t="n">
        <v>0</v>
      </c>
      <c r="X270" s="31" t="n">
        <v>0</v>
      </c>
      <c r="Y270" s="3" t="n">
        <v>0</v>
      </c>
      <c r="Z270" s="3" t="n">
        <v>0</v>
      </c>
      <c r="AA270" s="32" t="n">
        <v>0</v>
      </c>
      <c r="AB270" s="3" t="n">
        <v>0</v>
      </c>
      <c r="AC270" s="32" t="n">
        <v>0</v>
      </c>
      <c r="AD270" s="3" t="n"/>
      <c r="AE270" s="31" t="n">
        <v>0</v>
      </c>
      <c r="AF270" s="2" t="n">
        <v>0</v>
      </c>
      <c r="AG270" s="2" t="n">
        <v>14</v>
      </c>
      <c r="AH270" s="4" t="n">
        <v>14</v>
      </c>
      <c r="AI270" s="33" t="n">
        <v>9.99</v>
      </c>
      <c r="AJ270" s="4" t="n">
        <v>1</v>
      </c>
      <c r="AK270" s="34" t="n">
        <v>0.07140000000000001</v>
      </c>
      <c r="AL270" s="34" t="n">
        <v>1</v>
      </c>
      <c r="AM270" s="2" t="n">
        <v>54000</v>
      </c>
    </row>
    <row r="271">
      <c r="A271">
        <f>HYPERLINK("https://www.walmart.com/ip/820497117", "820497117")</f>
        <v/>
      </c>
      <c r="B271">
        <f>HYPERLINK("https://app.optiwise.ai/catalog/itemdetails/360562", "Bucket Sun Hat Cute Cap for Women Fashion Fold-up Brim Packable Summer Beach by Solaris")</f>
        <v/>
      </c>
      <c r="C271" t="n">
        <v>6</v>
      </c>
      <c r="D271" t="inlineStr">
        <is>
          <t>B78691_1679501_92225F7BD3310E4A</t>
        </is>
      </c>
      <c r="E271" t="inlineStr">
        <is>
          <t>1SLSH9200FLWBL-FSCB</t>
        </is>
      </c>
      <c r="F271" t="n">
        <v>0</v>
      </c>
      <c r="G271" t="inlineStr">
        <is>
          <t>Clothing</t>
        </is>
      </c>
      <c r="H271" t="inlineStr">
        <is>
          <t>Hats</t>
        </is>
      </c>
      <c r="I271" t="inlineStr">
        <is>
          <t>Solaris</t>
        </is>
      </c>
      <c r="L271" s="29" t="n">
        <v>9.99</v>
      </c>
      <c r="M271" s="30" t="n">
        <v>0.0001</v>
      </c>
      <c r="N271" s="29" t="n">
        <v>0</v>
      </c>
      <c r="O271" s="29" t="n">
        <v>0</v>
      </c>
      <c r="P271" s="2" t="n">
        <v>1</v>
      </c>
      <c r="Q271" s="31" t="n">
        <v>0</v>
      </c>
      <c r="R271" s="32" t="n"/>
      <c r="S271" s="32" t="n">
        <v>0</v>
      </c>
      <c r="T271" s="32" t="n">
        <v>0</v>
      </c>
      <c r="U271" s="31" t="n">
        <v>0</v>
      </c>
      <c r="V271" s="32" t="n">
        <v>0</v>
      </c>
      <c r="W271" s="31" t="n">
        <v>0</v>
      </c>
      <c r="X271" s="31" t="n">
        <v>0</v>
      </c>
      <c r="Y271" s="3" t="n">
        <v>0</v>
      </c>
      <c r="Z271" s="3" t="n">
        <v>0</v>
      </c>
      <c r="AA271" s="32" t="n">
        <v>0</v>
      </c>
      <c r="AB271" s="3" t="n">
        <v>0</v>
      </c>
      <c r="AC271" s="32" t="n">
        <v>0</v>
      </c>
      <c r="AD271" s="3" t="n"/>
      <c r="AE271" s="31" t="n">
        <v>0</v>
      </c>
      <c r="AF271" s="2" t="n">
        <v>0</v>
      </c>
      <c r="AG271" s="2" t="n">
        <v>41</v>
      </c>
      <c r="AH271" s="4" t="n">
        <v>41</v>
      </c>
      <c r="AI271" s="33" t="n">
        <v>9.99</v>
      </c>
      <c r="AJ271" s="4" t="n">
        <v>1</v>
      </c>
      <c r="AK271" s="34" t="n">
        <v>0.0244</v>
      </c>
      <c r="AL271" s="34" t="n">
        <v>1</v>
      </c>
      <c r="AM271" s="2" t="n">
        <v>81000</v>
      </c>
    </row>
    <row r="272">
      <c r="A272">
        <f>HYPERLINK("https://www.walmart.com/ip/784406173", "784406173")</f>
        <v/>
      </c>
      <c r="B272">
        <f>HYPERLINK("https://app.optiwise.ai/catalog/itemdetails/361031", "JenniWears 2 Women's Beileise Sexy Pantyhose Lace Stockings Black Sheer Socks")</f>
        <v/>
      </c>
      <c r="C272" t="inlineStr">
        <is>
          <t>-</t>
        </is>
      </c>
      <c r="E272" t="inlineStr">
        <is>
          <t>JWBLSPH2091-2 Pack</t>
        </is>
      </c>
      <c r="F272" t="n">
        <v>0</v>
      </c>
      <c r="G272" t="inlineStr">
        <is>
          <t>Clothing</t>
        </is>
      </c>
      <c r="H272" t="inlineStr">
        <is>
          <t>Pantyhose &amp; Tights</t>
        </is>
      </c>
      <c r="I272" t="inlineStr">
        <is>
          <t>JenniWears</t>
        </is>
      </c>
      <c r="K272" t="inlineStr">
        <is>
          <t>WFS,Valentine,WFS Item</t>
        </is>
      </c>
      <c r="L272" s="29" t="n">
        <v>9.99</v>
      </c>
      <c r="M272" s="30" t="n">
        <v>0.0001</v>
      </c>
      <c r="N272" s="29" t="n">
        <v>0</v>
      </c>
      <c r="O272" s="29" t="n">
        <v>0</v>
      </c>
      <c r="P272" s="2" t="n">
        <v>1</v>
      </c>
      <c r="Q272" s="31" t="n">
        <v>0</v>
      </c>
      <c r="R272" s="32" t="n"/>
      <c r="S272" s="32" t="n">
        <v>0</v>
      </c>
      <c r="T272" s="32" t="n">
        <v>0</v>
      </c>
      <c r="U272" s="31" t="n">
        <v>0</v>
      </c>
      <c r="V272" s="32" t="n">
        <v>0</v>
      </c>
      <c r="W272" s="31" t="n">
        <v>0</v>
      </c>
      <c r="X272" s="31" t="n">
        <v>0</v>
      </c>
      <c r="Y272" s="3" t="n">
        <v>0</v>
      </c>
      <c r="Z272" s="3" t="n">
        <v>0</v>
      </c>
      <c r="AA272" s="32" t="n">
        <v>0</v>
      </c>
      <c r="AB272" s="3" t="n">
        <v>0</v>
      </c>
      <c r="AC272" s="32" t="n">
        <v>0</v>
      </c>
      <c r="AD272" s="3" t="n"/>
      <c r="AE272" s="31" t="n">
        <v>0</v>
      </c>
      <c r="AF272" s="2" t="n">
        <v>0</v>
      </c>
      <c r="AG272" s="2" t="n">
        <v>20</v>
      </c>
      <c r="AH272" s="4" t="n">
        <v>20</v>
      </c>
      <c r="AI272" s="33" t="n">
        <v>9.99</v>
      </c>
      <c r="AJ272" s="4" t="n">
        <v>1</v>
      </c>
      <c r="AK272" s="34" t="n">
        <v>0.05</v>
      </c>
      <c r="AL272" s="34" t="n">
        <v>1</v>
      </c>
      <c r="AM272" s="2" t="n">
        <v>13500</v>
      </c>
    </row>
    <row r="273">
      <c r="A273">
        <f>HYPERLINK("https://www.walmart.com/ip/740461992", "740461992")</f>
        <v/>
      </c>
      <c r="B273">
        <f>HYPERLINK("https://app.optiwise.ai/catalog/itemdetails/360814", "KC Caps® Sports Unisex plain Golf Flex Sandwich Baseball Cap Fitted Cotton Hat")</f>
        <v/>
      </c>
      <c r="C273" t="n">
        <v>3</v>
      </c>
      <c r="D273" t="inlineStr">
        <is>
          <t>B78691_1567970_5C9BB2671E1E9004</t>
        </is>
      </c>
      <c r="E273" t="inlineStr">
        <is>
          <t>KC Caps 8313 khaki</t>
        </is>
      </c>
      <c r="F273" t="n">
        <v>0</v>
      </c>
      <c r="G273" t="inlineStr">
        <is>
          <t>Sport &amp; Recreation Other</t>
        </is>
      </c>
      <c r="H273" t="inlineStr">
        <is>
          <t>Golf Hats</t>
        </is>
      </c>
      <c r="I273" t="inlineStr">
        <is>
          <t>KC Caps</t>
        </is>
      </c>
      <c r="K273" t="inlineStr">
        <is>
          <t>Optimized</t>
        </is>
      </c>
      <c r="L273" s="29" t="n">
        <v>8.99</v>
      </c>
      <c r="M273" s="30" t="n">
        <v>0.0001</v>
      </c>
      <c r="N273" s="29" t="n">
        <v>0</v>
      </c>
      <c r="O273" s="29" t="n">
        <v>0</v>
      </c>
      <c r="P273" s="2" t="n">
        <v>1</v>
      </c>
      <c r="Q273" s="31" t="n">
        <v>0</v>
      </c>
      <c r="R273" s="32" t="n"/>
      <c r="S273" s="32" t="n">
        <v>0</v>
      </c>
      <c r="T273" s="32" t="n">
        <v>0</v>
      </c>
      <c r="U273" s="31" t="n">
        <v>0</v>
      </c>
      <c r="V273" s="32" t="n">
        <v>0</v>
      </c>
      <c r="W273" s="31" t="n">
        <v>0</v>
      </c>
      <c r="X273" s="31" t="n">
        <v>0</v>
      </c>
      <c r="Y273" s="3" t="n">
        <v>0</v>
      </c>
      <c r="Z273" s="3" t="n">
        <v>0</v>
      </c>
      <c r="AA273" s="32" t="n">
        <v>0</v>
      </c>
      <c r="AB273" s="3" t="n">
        <v>0</v>
      </c>
      <c r="AC273" s="32" t="n">
        <v>0</v>
      </c>
      <c r="AD273" s="3" t="n"/>
      <c r="AE273" s="31" t="n">
        <v>0</v>
      </c>
      <c r="AF273" s="2" t="n">
        <v>0</v>
      </c>
      <c r="AG273" s="2" t="n">
        <v>52</v>
      </c>
      <c r="AH273" s="4" t="n">
        <v>52</v>
      </c>
      <c r="AI273" s="33" t="n">
        <v>8.99</v>
      </c>
      <c r="AJ273" s="4" t="n">
        <v>1</v>
      </c>
      <c r="AK273" s="34" t="n">
        <v>0.0192</v>
      </c>
      <c r="AL273" s="34" t="n">
        <v>1</v>
      </c>
      <c r="AM273" s="2" t="n">
        <v>31455</v>
      </c>
    </row>
    <row r="274">
      <c r="A274">
        <f>HYPERLINK("https://www.walmart.com/ip/275393000", "275393000")</f>
        <v/>
      </c>
      <c r="B274">
        <f>HYPERLINK("https://app.optiwise.ai/catalog/itemdetails/362621", "Tirrinia Wide Brim Sun Hat UPF 50 Foldable Bucket Summer Hat for Women Girls")</f>
        <v/>
      </c>
      <c r="C274" t="n">
        <v>3</v>
      </c>
      <c r="D274" t="inlineStr">
        <is>
          <t>B78691_1636002_D23190248CD4D723</t>
        </is>
      </c>
      <c r="E274" t="inlineStr">
        <is>
          <t>1TRSHF065BLK-TBCB</t>
        </is>
      </c>
      <c r="F274" t="n">
        <v>0</v>
      </c>
      <c r="G274" t="inlineStr">
        <is>
          <t>Clothing</t>
        </is>
      </c>
      <c r="H274" t="inlineStr">
        <is>
          <t>Hats</t>
        </is>
      </c>
      <c r="I274" t="inlineStr">
        <is>
          <t>Tirrinia</t>
        </is>
      </c>
      <c r="K274" t="inlineStr">
        <is>
          <t>Batch 1 - TR</t>
        </is>
      </c>
      <c r="L274" s="29" t="n">
        <v>8.99</v>
      </c>
      <c r="M274" s="30" t="n">
        <v>0.0001</v>
      </c>
      <c r="N274" s="29" t="n">
        <v>0</v>
      </c>
      <c r="O274" s="29" t="n">
        <v>0</v>
      </c>
      <c r="P274" s="2" t="n">
        <v>1</v>
      </c>
      <c r="Q274" s="31" t="n">
        <v>0</v>
      </c>
      <c r="R274" s="32" t="n"/>
      <c r="S274" s="32" t="n">
        <v>0</v>
      </c>
      <c r="T274" s="32" t="n">
        <v>0</v>
      </c>
      <c r="U274" s="31" t="n">
        <v>0</v>
      </c>
      <c r="V274" s="32" t="n">
        <v>0</v>
      </c>
      <c r="W274" s="31" t="n">
        <v>0</v>
      </c>
      <c r="X274" s="31" t="n">
        <v>0</v>
      </c>
      <c r="Y274" s="3" t="n">
        <v>0</v>
      </c>
      <c r="Z274" s="3" t="n">
        <v>0</v>
      </c>
      <c r="AA274" s="32" t="n">
        <v>0</v>
      </c>
      <c r="AB274" s="3" t="n">
        <v>0</v>
      </c>
      <c r="AC274" s="32" t="n">
        <v>0</v>
      </c>
      <c r="AD274" s="3" t="n"/>
      <c r="AE274" s="31" t="n">
        <v>0</v>
      </c>
      <c r="AF274" s="2" t="n">
        <v>0</v>
      </c>
      <c r="AG274" s="2" t="n">
        <v>26</v>
      </c>
      <c r="AH274" s="4" t="n">
        <v>26</v>
      </c>
      <c r="AI274" s="33" t="n">
        <v>8.99</v>
      </c>
      <c r="AJ274" s="4" t="n">
        <v>1</v>
      </c>
      <c r="AK274" s="34" t="n">
        <v>0.0385</v>
      </c>
      <c r="AL274" s="34" t="n">
        <v>1</v>
      </c>
      <c r="AM274" s="2" t="n">
        <v>40500</v>
      </c>
    </row>
    <row r="275">
      <c r="A275">
        <f>HYPERLINK("https://www.walmart.com/ip/606850559", "606850559")</f>
        <v/>
      </c>
      <c r="B275">
        <f>HYPERLINK("https://app.optiwise.ai/catalog/itemdetails/361565", "KC Caps Men's Deluxe Washed Chino Cotton Surplus Cap")</f>
        <v/>
      </c>
      <c r="C275" t="inlineStr">
        <is>
          <t>-</t>
        </is>
      </c>
      <c r="E275" t="inlineStr">
        <is>
          <t>8320-Olive</t>
        </is>
      </c>
      <c r="F275" t="n">
        <v>0</v>
      </c>
      <c r="G275" t="inlineStr">
        <is>
          <t>Clothing</t>
        </is>
      </c>
      <c r="H275" t="inlineStr">
        <is>
          <t>Hats</t>
        </is>
      </c>
      <c r="I275" t="inlineStr">
        <is>
          <t>KC Caps</t>
        </is>
      </c>
      <c r="K275" t="inlineStr">
        <is>
          <t>Optimized</t>
        </is>
      </c>
      <c r="L275" s="29" t="n">
        <v>8.99</v>
      </c>
      <c r="M275" s="30" t="n">
        <v>0.0001</v>
      </c>
      <c r="N275" s="29" t="n">
        <v>0</v>
      </c>
      <c r="O275" s="29" t="n">
        <v>0</v>
      </c>
      <c r="P275" s="2" t="n">
        <v>1</v>
      </c>
      <c r="Q275" s="31" t="n">
        <v>0</v>
      </c>
      <c r="R275" s="32" t="n"/>
      <c r="S275" s="32" t="n">
        <v>0</v>
      </c>
      <c r="T275" s="32" t="n">
        <v>0</v>
      </c>
      <c r="U275" s="31" t="n">
        <v>0</v>
      </c>
      <c r="V275" s="32" t="n">
        <v>0</v>
      </c>
      <c r="W275" s="31" t="n">
        <v>0</v>
      </c>
      <c r="X275" s="31" t="n">
        <v>0</v>
      </c>
      <c r="Y275" s="3" t="n">
        <v>0</v>
      </c>
      <c r="Z275" s="3" t="n">
        <v>0</v>
      </c>
      <c r="AA275" s="32" t="n">
        <v>0</v>
      </c>
      <c r="AB275" s="3" t="n">
        <v>0</v>
      </c>
      <c r="AC275" s="32" t="n">
        <v>0</v>
      </c>
      <c r="AD275" s="3" t="n"/>
      <c r="AE275" s="31" t="n">
        <v>0</v>
      </c>
      <c r="AF275" s="2" t="n">
        <v>0</v>
      </c>
      <c r="AG275" s="2" t="n">
        <v>5</v>
      </c>
      <c r="AH275" s="4" t="n">
        <v>5</v>
      </c>
      <c r="AI275" s="33" t="n">
        <v>8.99</v>
      </c>
      <c r="AJ275" s="4" t="n">
        <v>1</v>
      </c>
      <c r="AK275" s="34" t="n">
        <v>0.2</v>
      </c>
      <c r="AL275" s="34" t="n">
        <v>1</v>
      </c>
      <c r="AM275" s="2" t="n">
        <v>9045</v>
      </c>
    </row>
    <row r="276">
      <c r="A276">
        <f>HYPERLINK("https://www.walmart.com/ip/124131438", "124131438")</f>
        <v/>
      </c>
      <c r="B276">
        <f>HYPERLINK("https://app.optiwise.ai/catalog/itemdetails/362814", "Light up Sequin Fedora LED Hat Neon Rave Costumes Glow in Dark Party")</f>
        <v/>
      </c>
      <c r="C276" t="n">
        <v>4</v>
      </c>
      <c r="D276" t="inlineStr">
        <is>
          <t>B78691_1672338_5C9BB2671E1E9004</t>
        </is>
      </c>
      <c r="E276" t="inlineStr">
        <is>
          <t>SLLEDHATGN</t>
        </is>
      </c>
      <c r="F276" t="n">
        <v>0</v>
      </c>
      <c r="G276" t="inlineStr">
        <is>
          <t>Decorations &amp; Favors</t>
        </is>
      </c>
      <c r="H276" t="inlineStr">
        <is>
          <t>Party Hats</t>
        </is>
      </c>
      <c r="I276" t="inlineStr">
        <is>
          <t>Solaris</t>
        </is>
      </c>
      <c r="K276" t="inlineStr">
        <is>
          <t>Optimized,Halloween</t>
        </is>
      </c>
      <c r="L276" s="29" t="n">
        <v>7.99</v>
      </c>
      <c r="M276" s="30" t="n">
        <v>0.0001</v>
      </c>
      <c r="N276" s="29" t="n">
        <v>15.97999954223633</v>
      </c>
      <c r="O276" s="29" t="n">
        <v>0</v>
      </c>
      <c r="P276" s="2" t="n">
        <v>1</v>
      </c>
      <c r="Q276" s="31" t="n">
        <v>0</v>
      </c>
      <c r="R276" s="32" t="n"/>
      <c r="S276" s="32" t="n">
        <v>0</v>
      </c>
      <c r="T276" s="32" t="n">
        <v>0</v>
      </c>
      <c r="U276" s="31" t="n">
        <v>0</v>
      </c>
      <c r="V276" s="32" t="n">
        <v>0</v>
      </c>
      <c r="W276" s="31" t="n">
        <v>0</v>
      </c>
      <c r="X276" s="31" t="n">
        <v>0</v>
      </c>
      <c r="Y276" s="3" t="n">
        <v>0</v>
      </c>
      <c r="Z276" s="3" t="n">
        <v>0</v>
      </c>
      <c r="AA276" s="32" t="n">
        <v>0</v>
      </c>
      <c r="AB276" s="3" t="n">
        <v>0</v>
      </c>
      <c r="AC276" s="32" t="n">
        <v>0</v>
      </c>
      <c r="AD276" s="3" t="n"/>
      <c r="AE276" s="31" t="n">
        <v>0</v>
      </c>
      <c r="AF276" s="2" t="n">
        <v>0</v>
      </c>
      <c r="AG276" s="2" t="n">
        <v>37</v>
      </c>
      <c r="AH276" s="4" t="n">
        <v>37</v>
      </c>
      <c r="AI276" s="33" t="n">
        <v>7.99</v>
      </c>
      <c r="AJ276" s="4" t="n">
        <v>1</v>
      </c>
      <c r="AK276" s="34" t="n">
        <v>0.027</v>
      </c>
      <c r="AL276" s="34" t="n">
        <v>1</v>
      </c>
      <c r="AM276" s="2" t="n">
        <v>27135</v>
      </c>
    </row>
    <row r="277">
      <c r="A277">
        <f>HYPERLINK("https://www.walmart.com/ip/14597465043", "14597465043")</f>
        <v/>
      </c>
      <c r="B277">
        <f>HYPERLINK("https://app.optiwise.ai/catalog/itemdetails/13061819", "Solaris Open Crotch Boyshort Panties Underwear Black Lace Lingerie Thong for Women with Ribbons Removable Garters XL")</f>
        <v/>
      </c>
      <c r="C277" t="inlineStr">
        <is>
          <t>-</t>
        </is>
      </c>
      <c r="E277" t="inlineStr">
        <is>
          <t>CCPT100BK-XL-FS</t>
        </is>
      </c>
      <c r="F277" t="n">
        <v>0</v>
      </c>
      <c r="G277" t="inlineStr">
        <is>
          <t>Clothing</t>
        </is>
      </c>
      <c r="H277" t="inlineStr">
        <is>
          <t>Panties</t>
        </is>
      </c>
      <c r="I277" t="inlineStr">
        <is>
          <t>Solaris</t>
        </is>
      </c>
      <c r="L277" s="29" t="n">
        <v>7.99</v>
      </c>
      <c r="M277" s="30" t="n">
        <v>0.0001</v>
      </c>
      <c r="N277" s="29" t="n">
        <v>0</v>
      </c>
      <c r="O277" s="29" t="n">
        <v>0</v>
      </c>
      <c r="P277" s="2" t="n">
        <v>1</v>
      </c>
      <c r="Q277" s="31" t="n">
        <v>0</v>
      </c>
      <c r="R277" s="32" t="n"/>
      <c r="S277" s="32" t="n">
        <v>0</v>
      </c>
      <c r="T277" s="32" t="n">
        <v>0</v>
      </c>
      <c r="U277" s="31" t="n">
        <v>0</v>
      </c>
      <c r="V277" s="32" t="n">
        <v>0</v>
      </c>
      <c r="W277" s="31" t="n">
        <v>0</v>
      </c>
      <c r="X277" s="31" t="n">
        <v>0</v>
      </c>
      <c r="Y277" s="3" t="n">
        <v>0</v>
      </c>
      <c r="Z277" s="3" t="n">
        <v>0</v>
      </c>
      <c r="AA277" s="32" t="n">
        <v>0</v>
      </c>
      <c r="AB277" s="3" t="n">
        <v>0</v>
      </c>
      <c r="AC277" s="32" t="n">
        <v>0</v>
      </c>
      <c r="AD277" s="3" t="n"/>
      <c r="AE277" s="31" t="n">
        <v>0</v>
      </c>
      <c r="AF277" s="2" t="n">
        <v>0</v>
      </c>
      <c r="AG277" s="2" t="n">
        <v>5</v>
      </c>
      <c r="AH277" s="4" t="n">
        <v>5</v>
      </c>
      <c r="AI277" s="33" t="n">
        <v>7.99</v>
      </c>
      <c r="AJ277" s="4" t="n">
        <v>1</v>
      </c>
      <c r="AK277" s="34" t="n">
        <v>0.2</v>
      </c>
      <c r="AL277" s="34" t="n">
        <v>1</v>
      </c>
      <c r="AM277" s="2" t="n">
        <v>13500</v>
      </c>
    </row>
    <row r="278">
      <c r="A278">
        <f>HYPERLINK("https://www.walmart.com/ip/851739692", "851739692")</f>
        <v/>
      </c>
      <c r="B278">
        <f>HYPERLINK("https://app.optiwise.ai/catalog/itemdetails/362229", "Women's High Waist Yoga Pants Workout Running Capri Legging Inner Pocket")</f>
        <v/>
      </c>
      <c r="C278" t="n">
        <v>6</v>
      </c>
      <c r="D278" t="inlineStr">
        <is>
          <t>B78691_1639457_F06B9ADFE4DC1452</t>
        </is>
      </c>
      <c r="E278" t="inlineStr">
        <is>
          <t>1TRYP102PK- LXL</t>
        </is>
      </c>
      <c r="F278" t="n">
        <v>1</v>
      </c>
      <c r="G278" t="inlineStr">
        <is>
          <t>Clothing</t>
        </is>
      </c>
      <c r="H278" t="inlineStr">
        <is>
          <t>Leggings</t>
        </is>
      </c>
      <c r="I278" t="inlineStr">
        <is>
          <t>Tirrinia</t>
        </is>
      </c>
      <c r="K278" t="inlineStr">
        <is>
          <t>Optimized</t>
        </is>
      </c>
      <c r="L278" s="29" t="n">
        <v>7.99</v>
      </c>
      <c r="M278" s="30" t="n">
        <v>0.0001</v>
      </c>
      <c r="N278" s="29" t="n">
        <v>0</v>
      </c>
      <c r="O278" s="29" t="n">
        <v>0</v>
      </c>
      <c r="P278" s="2" t="n">
        <v>1</v>
      </c>
      <c r="Q278" s="31" t="n">
        <v>0</v>
      </c>
      <c r="R278" s="32" t="n"/>
      <c r="S278" s="32" t="n">
        <v>0</v>
      </c>
      <c r="T278" s="32" t="n">
        <v>0</v>
      </c>
      <c r="U278" s="31" t="n">
        <v>0</v>
      </c>
      <c r="V278" s="32" t="n">
        <v>0</v>
      </c>
      <c r="W278" s="31" t="n">
        <v>0</v>
      </c>
      <c r="X278" s="31" t="n">
        <v>0</v>
      </c>
      <c r="Y278" s="3" t="n">
        <v>0</v>
      </c>
      <c r="Z278" s="3" t="n">
        <v>0</v>
      </c>
      <c r="AA278" s="32" t="n">
        <v>0</v>
      </c>
      <c r="AB278" s="3" t="n">
        <v>0</v>
      </c>
      <c r="AC278" s="32" t="n">
        <v>0</v>
      </c>
      <c r="AD278" s="3" t="n"/>
      <c r="AE278" s="31" t="n">
        <v>0</v>
      </c>
      <c r="AF278" s="2" t="n">
        <v>0</v>
      </c>
      <c r="AG278" s="2" t="n">
        <v>53</v>
      </c>
      <c r="AH278" s="4" t="n">
        <v>53</v>
      </c>
      <c r="AI278" s="33" t="n">
        <v>7.99</v>
      </c>
      <c r="AJ278" s="4" t="n">
        <v>1</v>
      </c>
      <c r="AK278" s="34" t="n">
        <v>0.0189</v>
      </c>
      <c r="AL278" s="34" t="n">
        <v>1</v>
      </c>
      <c r="AM278" s="2" t="n">
        <v>27000</v>
      </c>
    </row>
    <row r="279">
      <c r="A279">
        <f>HYPERLINK("https://www.walmart.com/ip/122065024", "122065024")</f>
        <v/>
      </c>
      <c r="B279">
        <f>HYPERLINK("https://app.optiwise.ai/catalog/itemdetails/361487", "Jennis Women Leopard Lace Garter Belt Stretch G-string Stocking Suspender")</f>
        <v/>
      </c>
      <c r="C279" t="inlineStr">
        <is>
          <t>-</t>
        </is>
      </c>
      <c r="E279" t="inlineStr">
        <is>
          <t>JWBLSPH2108</t>
        </is>
      </c>
      <c r="F279" t="n">
        <v>2</v>
      </c>
      <c r="G279" t="inlineStr">
        <is>
          <t>Clothing</t>
        </is>
      </c>
      <c r="H279" t="inlineStr">
        <is>
          <t>Pantyhose &amp; Tights</t>
        </is>
      </c>
      <c r="I279" t="inlineStr">
        <is>
          <t>JenniWears</t>
        </is>
      </c>
      <c r="J279" t="n">
        <v>3</v>
      </c>
      <c r="K279" t="inlineStr">
        <is>
          <t>Valentine</t>
        </is>
      </c>
      <c r="L279" s="29" t="n">
        <v>7.99</v>
      </c>
      <c r="M279" s="30" t="n">
        <v>0.0001</v>
      </c>
      <c r="N279" s="29" t="n">
        <v>0</v>
      </c>
      <c r="O279" s="29" t="n">
        <v>0</v>
      </c>
      <c r="P279" s="2" t="n">
        <v>1</v>
      </c>
      <c r="Q279" s="31" t="n">
        <v>0</v>
      </c>
      <c r="R279" s="32" t="n"/>
      <c r="S279" s="32" t="n">
        <v>0</v>
      </c>
      <c r="T279" s="32" t="n">
        <v>0</v>
      </c>
      <c r="U279" s="31" t="n">
        <v>0</v>
      </c>
      <c r="V279" s="32" t="n">
        <v>0</v>
      </c>
      <c r="W279" s="31" t="n">
        <v>0</v>
      </c>
      <c r="X279" s="31" t="n">
        <v>0</v>
      </c>
      <c r="Y279" s="3" t="n">
        <v>0</v>
      </c>
      <c r="Z279" s="3" t="n">
        <v>0</v>
      </c>
      <c r="AA279" s="32" t="n">
        <v>0</v>
      </c>
      <c r="AB279" s="3" t="n">
        <v>0</v>
      </c>
      <c r="AC279" s="32" t="n">
        <v>0</v>
      </c>
      <c r="AD279" s="3" t="n"/>
      <c r="AE279" s="31" t="n">
        <v>0</v>
      </c>
      <c r="AF279" s="2" t="n">
        <v>0</v>
      </c>
      <c r="AG279" s="2" t="n">
        <v>7</v>
      </c>
      <c r="AH279" s="4" t="n">
        <v>7</v>
      </c>
      <c r="AI279" s="33" t="n">
        <v>7.99</v>
      </c>
      <c r="AJ279" s="4" t="n">
        <v>1</v>
      </c>
      <c r="AK279" s="34" t="n">
        <v>0.1429</v>
      </c>
      <c r="AL279" s="34" t="n">
        <v>1</v>
      </c>
      <c r="AM279" s="2" t="n">
        <v>13500</v>
      </c>
    </row>
    <row r="280">
      <c r="A280">
        <f>HYPERLINK("https://www.walmart.com/ip/853210539", "853210539")</f>
        <v/>
      </c>
      <c r="B280">
        <f>HYPERLINK("https://app.optiwise.ai/catalog/itemdetails/665418", "JenniWears Women Sexy Translucent Lace Panty Boyshort Plus Size Mesh Brief Lingerie Underwear - 3L Size")</f>
        <v/>
      </c>
      <c r="C280" t="n">
        <v>6</v>
      </c>
      <c r="D280" t="inlineStr">
        <is>
          <t>B78691_1251817_FCBC8ABA2999A037</t>
        </is>
      </c>
      <c r="E280" t="inlineStr">
        <is>
          <t>JWPT05BK-3XL</t>
        </is>
      </c>
      <c r="F280" t="n">
        <v>2</v>
      </c>
      <c r="G280" t="inlineStr">
        <is>
          <t>Clothing</t>
        </is>
      </c>
      <c r="H280" t="inlineStr">
        <is>
          <t>Panties</t>
        </is>
      </c>
      <c r="I280" t="inlineStr">
        <is>
          <t>JenniWears</t>
        </is>
      </c>
      <c r="K280" t="inlineStr">
        <is>
          <t>Batch 1 - TR</t>
        </is>
      </c>
      <c r="L280" s="29" t="n">
        <v>7.98</v>
      </c>
      <c r="M280" s="30" t="n">
        <v>0.0001</v>
      </c>
      <c r="N280" s="29" t="n">
        <v>0</v>
      </c>
      <c r="O280" s="29" t="n">
        <v>0</v>
      </c>
      <c r="P280" s="2" t="n">
        <v>1</v>
      </c>
      <c r="Q280" s="31" t="n">
        <v>0</v>
      </c>
      <c r="R280" s="32" t="n"/>
      <c r="S280" s="32" t="n">
        <v>0</v>
      </c>
      <c r="T280" s="32" t="n">
        <v>0</v>
      </c>
      <c r="U280" s="31" t="n">
        <v>0</v>
      </c>
      <c r="V280" s="32" t="n">
        <v>0</v>
      </c>
      <c r="W280" s="31" t="n">
        <v>0</v>
      </c>
      <c r="X280" s="31" t="n">
        <v>0</v>
      </c>
      <c r="Y280" s="3" t="n">
        <v>0</v>
      </c>
      <c r="Z280" s="3" t="n">
        <v>0</v>
      </c>
      <c r="AA280" s="32" t="n">
        <v>0</v>
      </c>
      <c r="AB280" s="3" t="n">
        <v>0</v>
      </c>
      <c r="AC280" s="32" t="n">
        <v>0</v>
      </c>
      <c r="AD280" s="3" t="n"/>
      <c r="AE280" s="31" t="n">
        <v>0</v>
      </c>
      <c r="AF280" s="2" t="n">
        <v>0</v>
      </c>
      <c r="AG280" s="2" t="n">
        <v>31</v>
      </c>
      <c r="AH280" s="4" t="n">
        <v>31</v>
      </c>
      <c r="AI280" s="33" t="n">
        <v>7.98</v>
      </c>
      <c r="AJ280" s="4" t="n">
        <v>1</v>
      </c>
      <c r="AK280" s="34" t="n">
        <v>0.0323</v>
      </c>
      <c r="AL280" s="34" t="n">
        <v>1</v>
      </c>
      <c r="AM280" s="2" t="n">
        <v>13095</v>
      </c>
    </row>
    <row r="281">
      <c r="A281">
        <f>HYPERLINK("https://www.walmart.com/ip/573207745", "573207745")</f>
        <v/>
      </c>
      <c r="B281">
        <f>HYPERLINK("https://app.optiwise.ai/catalog/itemdetails/362197", "JenniWears® Women V Neck Babydoll Strap Lingerie Lace Chemise Teddy Outfits")</f>
        <v/>
      </c>
      <c r="C281" t="n">
        <v>3</v>
      </c>
      <c r="D281" t="inlineStr">
        <is>
          <t>B78691_979771</t>
        </is>
      </c>
      <c r="E281" t="inlineStr">
        <is>
          <t>JWBD011PP-3XL</t>
        </is>
      </c>
      <c r="F281" t="n">
        <v>2</v>
      </c>
      <c r="G281" t="inlineStr">
        <is>
          <t>Clothing</t>
        </is>
      </c>
      <c r="H281" t="inlineStr">
        <is>
          <t>Lingerie Sets</t>
        </is>
      </c>
      <c r="I281" t="inlineStr">
        <is>
          <t>JenniWears</t>
        </is>
      </c>
      <c r="J281" t="n">
        <v>1</v>
      </c>
      <c r="K281" t="inlineStr">
        <is>
          <t>Optimized,Valentine</t>
        </is>
      </c>
      <c r="L281" s="29" t="n">
        <v>7.98</v>
      </c>
      <c r="M281" s="30" t="n">
        <v>0.0001</v>
      </c>
      <c r="N281" s="29" t="n">
        <v>0</v>
      </c>
      <c r="O281" s="29" t="n">
        <v>0</v>
      </c>
      <c r="P281" s="2" t="n">
        <v>1</v>
      </c>
      <c r="Q281" s="31" t="n">
        <v>0</v>
      </c>
      <c r="R281" s="32" t="n"/>
      <c r="S281" s="32" t="n">
        <v>0</v>
      </c>
      <c r="T281" s="32" t="n">
        <v>0</v>
      </c>
      <c r="U281" s="31" t="n">
        <v>0</v>
      </c>
      <c r="V281" s="32" t="n">
        <v>0</v>
      </c>
      <c r="W281" s="31" t="n">
        <v>0</v>
      </c>
      <c r="X281" s="31" t="n">
        <v>0</v>
      </c>
      <c r="Y281" s="3" t="n">
        <v>0</v>
      </c>
      <c r="Z281" s="3" t="n">
        <v>0</v>
      </c>
      <c r="AA281" s="32" t="n">
        <v>0</v>
      </c>
      <c r="AB281" s="3" t="n">
        <v>0</v>
      </c>
      <c r="AC281" s="32" t="n">
        <v>0</v>
      </c>
      <c r="AD281" s="3" t="n"/>
      <c r="AE281" s="31" t="n">
        <v>0</v>
      </c>
      <c r="AF281" s="2" t="n">
        <v>0</v>
      </c>
      <c r="AG281" s="2" t="n">
        <v>43</v>
      </c>
      <c r="AH281" s="4" t="n">
        <v>43</v>
      </c>
      <c r="AI281" s="33" t="n">
        <v>7.98</v>
      </c>
      <c r="AJ281" s="4" t="n">
        <v>1</v>
      </c>
      <c r="AK281" s="34" t="n">
        <v>0.0233</v>
      </c>
      <c r="AL281" s="34" t="n">
        <v>1</v>
      </c>
      <c r="AM281" s="2" t="n">
        <v>14580</v>
      </c>
    </row>
    <row r="282">
      <c r="A282">
        <f>HYPERLINK("https://www.walmart.com/ip/161105747", "161105747")</f>
        <v/>
      </c>
      <c r="B282">
        <f>HYPERLINK("https://app.optiwise.ai/catalog/itemdetails/362070", "Women's sexy see-through red lingerie lace fishnet suspender by JenniWears®")</f>
        <v/>
      </c>
      <c r="C282" t="n">
        <v>1</v>
      </c>
      <c r="D282" t="inlineStr">
        <is>
          <t>B78691_979768</t>
        </is>
      </c>
      <c r="E282" t="inlineStr">
        <is>
          <t>JWBD02RD-M</t>
        </is>
      </c>
      <c r="F282" t="n">
        <v>1</v>
      </c>
      <c r="G282" t="inlineStr">
        <is>
          <t>Clothing</t>
        </is>
      </c>
      <c r="H282" t="inlineStr">
        <is>
          <t>Lingerie Sets</t>
        </is>
      </c>
      <c r="I282" t="inlineStr">
        <is>
          <t>JenniWears</t>
        </is>
      </c>
      <c r="J282" t="n">
        <v>4</v>
      </c>
      <c r="K282" t="inlineStr">
        <is>
          <t>Optimized,Valentine</t>
        </is>
      </c>
      <c r="L282" s="29" t="n">
        <v>7.98</v>
      </c>
      <c r="M282" s="30" t="n">
        <v>0.0001</v>
      </c>
      <c r="N282" s="29" t="n">
        <v>0</v>
      </c>
      <c r="O282" s="29" t="n">
        <v>0</v>
      </c>
      <c r="P282" s="2" t="n">
        <v>1</v>
      </c>
      <c r="Q282" s="31" t="n">
        <v>0</v>
      </c>
      <c r="R282" s="32" t="n"/>
      <c r="S282" s="32" t="n">
        <v>0</v>
      </c>
      <c r="T282" s="32" t="n">
        <v>0</v>
      </c>
      <c r="U282" s="31" t="n">
        <v>0</v>
      </c>
      <c r="V282" s="32" t="n">
        <v>0</v>
      </c>
      <c r="W282" s="31" t="n">
        <v>0</v>
      </c>
      <c r="X282" s="31" t="n">
        <v>0</v>
      </c>
      <c r="Y282" s="3" t="n">
        <v>0</v>
      </c>
      <c r="Z282" s="3" t="n">
        <v>0</v>
      </c>
      <c r="AA282" s="32" t="n">
        <v>0</v>
      </c>
      <c r="AB282" s="3" t="n">
        <v>0</v>
      </c>
      <c r="AC282" s="32" t="n">
        <v>0</v>
      </c>
      <c r="AD282" s="3" t="n"/>
      <c r="AE282" s="31" t="n">
        <v>0</v>
      </c>
      <c r="AF282" s="2" t="n">
        <v>0</v>
      </c>
      <c r="AG282" s="2" t="n">
        <v>10</v>
      </c>
      <c r="AH282" s="4" t="n">
        <v>10</v>
      </c>
      <c r="AI282" s="33" t="n">
        <v>7.98</v>
      </c>
      <c r="AJ282" s="4" t="n">
        <v>1</v>
      </c>
      <c r="AK282" s="34" t="n">
        <v>0.1</v>
      </c>
      <c r="AL282" s="34" t="n">
        <v>1</v>
      </c>
      <c r="AM282" s="2" t="n">
        <v>0</v>
      </c>
    </row>
    <row r="283">
      <c r="A283">
        <f>HYPERLINK("https://www.walmart.com/ip/362665464", "362665464")</f>
        <v/>
      </c>
      <c r="B283">
        <f>HYPERLINK("https://app.optiwise.ai/catalog/itemdetails/358816", "JenniWears Terra Running Belt with Zipper Pocket for 4.7 inch iPhone7 6 6s 5 SE, Large, Unisex, Black")</f>
        <v/>
      </c>
      <c r="C283" t="n">
        <v>1</v>
      </c>
      <c r="D283" t="inlineStr">
        <is>
          <t>B78691_1636210_5C9BB2671E1E9004</t>
        </is>
      </c>
      <c r="E283" t="inlineStr">
        <is>
          <t>TERRA-3BK-L-JW</t>
        </is>
      </c>
      <c r="F283" t="n">
        <v>0</v>
      </c>
      <c r="G283" t="inlineStr">
        <is>
          <t>Cases &amp; Bags</t>
        </is>
      </c>
      <c r="H283" t="inlineStr">
        <is>
          <t>Running Belts</t>
        </is>
      </c>
      <c r="I283" t="inlineStr">
        <is>
          <t>Terra</t>
        </is>
      </c>
      <c r="K283" t="inlineStr">
        <is>
          <t>Optimized</t>
        </is>
      </c>
      <c r="L283" s="29" t="n">
        <v>7.98</v>
      </c>
      <c r="M283" s="30" t="n">
        <v>0.0001</v>
      </c>
      <c r="N283" s="29" t="n">
        <v>0</v>
      </c>
      <c r="O283" s="29" t="n">
        <v>0</v>
      </c>
      <c r="P283" s="2" t="n">
        <v>1</v>
      </c>
      <c r="Q283" s="31" t="n">
        <v>0</v>
      </c>
      <c r="R283" s="32" t="n"/>
      <c r="S283" s="32" t="n">
        <v>0</v>
      </c>
      <c r="T283" s="32" t="n">
        <v>0</v>
      </c>
      <c r="U283" s="31" t="n">
        <v>0</v>
      </c>
      <c r="V283" s="32" t="n">
        <v>0</v>
      </c>
      <c r="W283" s="31" t="n">
        <v>0</v>
      </c>
      <c r="X283" s="31" t="n">
        <v>0</v>
      </c>
      <c r="Y283" s="3" t="n">
        <v>0</v>
      </c>
      <c r="Z283" s="3" t="n">
        <v>0</v>
      </c>
      <c r="AA283" s="32" t="n">
        <v>0</v>
      </c>
      <c r="AB283" s="3" t="n">
        <v>0</v>
      </c>
      <c r="AC283" s="32" t="n">
        <v>0</v>
      </c>
      <c r="AD283" s="3" t="n"/>
      <c r="AE283" s="31" t="n">
        <v>0</v>
      </c>
      <c r="AF283" s="2" t="n">
        <v>0</v>
      </c>
      <c r="AG283" s="2" t="n">
        <v>11</v>
      </c>
      <c r="AH283" s="4" t="n">
        <v>11</v>
      </c>
      <c r="AI283" s="33" t="n">
        <v>7.98</v>
      </c>
      <c r="AJ283" s="4" t="n">
        <v>1</v>
      </c>
      <c r="AK283" s="34" t="n">
        <v>0.09089999999999999</v>
      </c>
      <c r="AL283" s="34" t="n">
        <v>1</v>
      </c>
      <c r="AM283" s="2" t="n">
        <v>10935</v>
      </c>
    </row>
    <row r="284">
      <c r="A284">
        <f>HYPERLINK("https://www.walmart.com/ip/158329569", "158329569")</f>
        <v/>
      </c>
      <c r="B284">
        <f>HYPERLINK("https://app.optiwise.ai/catalog/itemdetails/362528", "Ultimate Sport Unisex Running belt, Water Resistant, Touch Screen, Reflective Zipper, Fanny Waist Pouch for Exercise and")</f>
        <v/>
      </c>
      <c r="C284" t="n">
        <v>3</v>
      </c>
      <c r="D284" t="inlineStr">
        <is>
          <t>B78691_974580_5C9BB2671E1E9004</t>
        </is>
      </c>
      <c r="E284" t="inlineStr">
        <is>
          <t>TARGETWB01L-NG</t>
        </is>
      </c>
      <c r="F284" t="n">
        <v>5</v>
      </c>
      <c r="G284" t="inlineStr">
        <is>
          <t>Cases &amp; Bags</t>
        </is>
      </c>
      <c r="H284" t="inlineStr">
        <is>
          <t>Running Belts</t>
        </is>
      </c>
      <c r="I284" t="inlineStr">
        <is>
          <t>Target</t>
        </is>
      </c>
      <c r="K284" t="inlineStr">
        <is>
          <t>Optimized,ST Patrick Day</t>
        </is>
      </c>
      <c r="L284" s="29" t="n">
        <v>6.99</v>
      </c>
      <c r="M284" s="30" t="n">
        <v>0.0001</v>
      </c>
      <c r="N284" s="29" t="n">
        <v>0</v>
      </c>
      <c r="O284" s="29" t="n">
        <v>0</v>
      </c>
      <c r="P284" s="2" t="n">
        <v>1</v>
      </c>
      <c r="Q284" s="31" t="n">
        <v>0</v>
      </c>
      <c r="R284" s="32" t="n"/>
      <c r="S284" s="32" t="n">
        <v>0</v>
      </c>
      <c r="T284" s="32" t="n">
        <v>0</v>
      </c>
      <c r="U284" s="31" t="n">
        <v>0</v>
      </c>
      <c r="V284" s="32" t="n">
        <v>0</v>
      </c>
      <c r="W284" s="31" t="n">
        <v>0</v>
      </c>
      <c r="X284" s="31" t="n">
        <v>0</v>
      </c>
      <c r="Y284" s="3" t="n">
        <v>0</v>
      </c>
      <c r="Z284" s="3" t="n">
        <v>0</v>
      </c>
      <c r="AA284" s="32" t="n">
        <v>0</v>
      </c>
      <c r="AB284" s="3" t="n">
        <v>0</v>
      </c>
      <c r="AC284" s="32" t="n">
        <v>0</v>
      </c>
      <c r="AD284" s="3" t="n"/>
      <c r="AE284" s="31" t="n">
        <v>0</v>
      </c>
      <c r="AF284" s="2" t="n">
        <v>0</v>
      </c>
      <c r="AG284" s="2" t="n">
        <v>38</v>
      </c>
      <c r="AH284" s="4" t="n">
        <v>38</v>
      </c>
      <c r="AI284" s="33" t="n">
        <v>6.99</v>
      </c>
      <c r="AJ284" s="4" t="n">
        <v>1</v>
      </c>
      <c r="AK284" s="34" t="n">
        <v>0.0263</v>
      </c>
      <c r="AL284" s="34" t="n">
        <v>1</v>
      </c>
      <c r="AM284" s="2" t="n">
        <v>19980</v>
      </c>
    </row>
    <row r="285">
      <c r="A285">
        <f>HYPERLINK("https://www.walmart.com/ip/160150509", "160150509")</f>
        <v/>
      </c>
      <c r="B285">
        <f>HYPERLINK("https://app.optiwise.ai/catalog/itemdetails/362080", "KC Caps Thick Weave Waffle Knit Beanie")</f>
        <v/>
      </c>
      <c r="C285" t="n">
        <v>4</v>
      </c>
      <c r="D285" t="inlineStr">
        <is>
          <t>B78691_974422_5C9BB2671E1E9004</t>
        </is>
      </c>
      <c r="E285" t="inlineStr">
        <is>
          <t>KCW1600BK</t>
        </is>
      </c>
      <c r="F285" t="n">
        <v>0</v>
      </c>
      <c r="G285" t="inlineStr">
        <is>
          <t>Clothing</t>
        </is>
      </c>
      <c r="H285" t="inlineStr">
        <is>
          <t>Hats</t>
        </is>
      </c>
      <c r="I285" t="inlineStr">
        <is>
          <t>KC Caps</t>
        </is>
      </c>
      <c r="K285" t="inlineStr">
        <is>
          <t>Optimized</t>
        </is>
      </c>
      <c r="L285" s="29" t="n">
        <v>6.99</v>
      </c>
      <c r="M285" s="30" t="n">
        <v>0.0001</v>
      </c>
      <c r="N285" s="29" t="n">
        <v>13.97999954223633</v>
      </c>
      <c r="O285" s="29" t="n">
        <v>0</v>
      </c>
      <c r="P285" s="2" t="n">
        <v>1</v>
      </c>
      <c r="Q285" s="31" t="n">
        <v>0</v>
      </c>
      <c r="R285" s="32" t="n"/>
      <c r="S285" s="32" t="n">
        <v>0</v>
      </c>
      <c r="T285" s="32" t="n">
        <v>0</v>
      </c>
      <c r="U285" s="31" t="n">
        <v>0</v>
      </c>
      <c r="V285" s="32" t="n">
        <v>0</v>
      </c>
      <c r="W285" s="31" t="n">
        <v>0</v>
      </c>
      <c r="X285" s="31" t="n">
        <v>0</v>
      </c>
      <c r="Y285" s="3" t="n">
        <v>0</v>
      </c>
      <c r="Z285" s="3" t="n">
        <v>0</v>
      </c>
      <c r="AA285" s="32" t="n">
        <v>0</v>
      </c>
      <c r="AB285" s="3" t="n">
        <v>0</v>
      </c>
      <c r="AC285" s="32" t="n">
        <v>0</v>
      </c>
      <c r="AD285" s="3" t="n"/>
      <c r="AE285" s="31" t="n">
        <v>0</v>
      </c>
      <c r="AF285" s="2" t="n">
        <v>0</v>
      </c>
      <c r="AG285" s="2" t="n">
        <v>33</v>
      </c>
      <c r="AH285" s="4" t="n">
        <v>33</v>
      </c>
      <c r="AI285" s="33" t="n">
        <v>6.99</v>
      </c>
      <c r="AJ285" s="4" t="n">
        <v>1</v>
      </c>
      <c r="AK285" s="34" t="n">
        <v>0.0303</v>
      </c>
      <c r="AL285" s="34" t="n">
        <v>1</v>
      </c>
      <c r="AM285" s="2" t="n">
        <v>4185</v>
      </c>
    </row>
    <row r="286">
      <c r="A286">
        <f>HYPERLINK("https://www.walmart.com/ip/5186372072", "5186372072")</f>
        <v/>
      </c>
      <c r="B286">
        <f>HYPERLINK("https://app.optiwise.ai/catalog/itemdetails/20188116", "Lee Toiletry Bag for Men, PU Leather Travel Dopp Kit, Water-Resistant Men's Shaving Kit Bathroom Organizer, Gifts for Men")</f>
        <v/>
      </c>
      <c r="C286" t="n">
        <v>2</v>
      </c>
      <c r="D286" t="inlineStr">
        <is>
          <t>328B9F7_16842640_5C9BB2671E1E9004</t>
        </is>
      </c>
      <c r="E286" t="inlineStr">
        <is>
          <t>1LETTB14182BK</t>
        </is>
      </c>
      <c r="F286" t="n">
        <v>0</v>
      </c>
      <c r="G286" t="inlineStr">
        <is>
          <t>Beauty, Personal Care, &amp; Hygiene</t>
        </is>
      </c>
      <c r="H286" t="inlineStr">
        <is>
          <t>Toiletry Kits &amp; Bags</t>
        </is>
      </c>
      <c r="I286" t="inlineStr">
        <is>
          <t>Lee</t>
        </is>
      </c>
      <c r="L286" s="29" t="n">
        <v>0</v>
      </c>
      <c r="M286" s="30" t="n"/>
      <c r="N286" s="29" t="n">
        <v>0</v>
      </c>
      <c r="O286" s="29" t="n">
        <v>0</v>
      </c>
      <c r="P286" s="2" t="n">
        <v>0</v>
      </c>
      <c r="Q286" s="31" t="n">
        <v>0</v>
      </c>
      <c r="R286" s="32" t="n"/>
      <c r="S286" s="32" t="n">
        <v>0</v>
      </c>
      <c r="T286" s="32" t="n">
        <v>0</v>
      </c>
      <c r="U286" s="31" t="n">
        <v>0</v>
      </c>
      <c r="V286" s="32" t="n">
        <v>0</v>
      </c>
      <c r="W286" s="31" t="n">
        <v>0</v>
      </c>
      <c r="X286" s="31" t="n">
        <v>0</v>
      </c>
      <c r="Y286" s="3" t="n">
        <v>0</v>
      </c>
      <c r="Z286" s="3" t="n">
        <v>0</v>
      </c>
      <c r="AA286" s="32" t="n">
        <v>0</v>
      </c>
      <c r="AB286" s="3" t="n">
        <v>0</v>
      </c>
      <c r="AC286" s="32" t="n">
        <v>0</v>
      </c>
      <c r="AD286" s="3" t="n"/>
      <c r="AE286" s="31" t="n">
        <v>0</v>
      </c>
      <c r="AF286" s="2" t="n">
        <v>0</v>
      </c>
      <c r="AG286" s="2" t="n">
        <v>0</v>
      </c>
      <c r="AH286" s="4" t="n">
        <v>0</v>
      </c>
      <c r="AI286" s="33" t="n">
        <v>0</v>
      </c>
      <c r="AJ286" s="4" t="n">
        <v>0</v>
      </c>
      <c r="AK286" s="34" t="n"/>
      <c r="AL286" s="34" t="n">
        <v>0</v>
      </c>
      <c r="AM286" s="2" t="n">
        <v>0</v>
      </c>
    </row>
    <row r="287">
      <c r="A287">
        <f>HYPERLINK("https://www.walmart.com/ip/13876207015", "13876207015")</f>
        <v/>
      </c>
      <c r="B287">
        <f>HYPERLINK("https://app.optiwise.ai/catalog/itemdetails/13012154", "Every Day is Christmas Glass Blown Ornaments Cute Hand Made Figurines Tree Decoration, Coffee Set of 3")</f>
        <v/>
      </c>
      <c r="C287" t="n">
        <v>8</v>
      </c>
      <c r="D287" t="inlineStr">
        <is>
          <t>B78691_1683664_5C9BB2671E1E9004</t>
        </is>
      </c>
      <c r="E287" t="inlineStr">
        <is>
          <t>EDC-FIGURINE-BC339</t>
        </is>
      </c>
      <c r="F287" t="n">
        <v>0</v>
      </c>
      <c r="G287" t="inlineStr">
        <is>
          <t>Home Decor, Kitchen, &amp; Other</t>
        </is>
      </c>
      <c r="H287" t="inlineStr">
        <is>
          <t>Ornaments</t>
        </is>
      </c>
      <c r="I287" t="inlineStr">
        <is>
          <t>Every Day is Christmas</t>
        </is>
      </c>
      <c r="L287" s="29" t="n">
        <v>0</v>
      </c>
      <c r="M287" s="30" t="n"/>
      <c r="N287" s="29" t="n">
        <v>101.9400024414062</v>
      </c>
      <c r="O287" s="29" t="n">
        <v>0</v>
      </c>
      <c r="P287" s="2" t="n">
        <v>0</v>
      </c>
      <c r="Q287" s="31" t="n">
        <v>0</v>
      </c>
      <c r="R287" s="32" t="n"/>
      <c r="S287" s="32" t="n">
        <v>0</v>
      </c>
      <c r="T287" s="32" t="n">
        <v>1.2932</v>
      </c>
      <c r="U287" s="31" t="n">
        <v>0</v>
      </c>
      <c r="V287" s="32" t="n">
        <v>0</v>
      </c>
      <c r="W287" s="31" t="n">
        <v>0</v>
      </c>
      <c r="X287" s="31" t="n">
        <v>0</v>
      </c>
      <c r="Y287" s="3" t="n">
        <v>0</v>
      </c>
      <c r="Z287" s="3" t="n">
        <v>0</v>
      </c>
      <c r="AA287" s="32" t="n">
        <v>0</v>
      </c>
      <c r="AB287" s="3" t="n">
        <v>0</v>
      </c>
      <c r="AC287" s="32" t="n">
        <v>0</v>
      </c>
      <c r="AD287" s="3" t="n"/>
      <c r="AE287" s="31" t="n">
        <v>0</v>
      </c>
      <c r="AF287" s="2" t="n">
        <v>0</v>
      </c>
      <c r="AG287" s="2" t="n">
        <v>403</v>
      </c>
      <c r="AH287" s="4" t="n">
        <v>403</v>
      </c>
      <c r="AI287" s="33" t="n">
        <v>0</v>
      </c>
      <c r="AJ287" s="4" t="n">
        <v>0</v>
      </c>
      <c r="AK287" s="34" t="n"/>
      <c r="AL287" s="34" t="n">
        <v>0</v>
      </c>
      <c r="AM287" s="2" t="n">
        <v>0</v>
      </c>
    </row>
    <row r="288">
      <c r="A288">
        <f>HYPERLINK("https://www.walmart.com/ip/336796060", "336796060")</f>
        <v/>
      </c>
      <c r="B288">
        <f>HYPERLINK("https://app.optiwise.ai/catalog/itemdetails/360714", "Womens  5'' Super Wide Brim Sun Hats Summer Reversible UPF 50+ Beach Hat Foldable Floppy Rose Cap Red")</f>
        <v/>
      </c>
      <c r="C288" t="n">
        <v>3</v>
      </c>
      <c r="D288" t="inlineStr">
        <is>
          <t>B78691_1679500_5C9BB2671E1E9004</t>
        </is>
      </c>
      <c r="E288" t="inlineStr">
        <is>
          <t>1TRSH069RD-TBCB</t>
        </is>
      </c>
      <c r="F288" t="n">
        <v>0</v>
      </c>
      <c r="G288" t="inlineStr">
        <is>
          <t>Clothing</t>
        </is>
      </c>
      <c r="H288" t="inlineStr">
        <is>
          <t>Hats</t>
        </is>
      </c>
      <c r="I288" t="inlineStr">
        <is>
          <t>Tirrinia</t>
        </is>
      </c>
      <c r="L288" s="29" t="n">
        <v>0</v>
      </c>
      <c r="M288" s="30" t="n"/>
      <c r="N288" s="29" t="n">
        <v>0</v>
      </c>
      <c r="O288" s="29" t="n">
        <v>0</v>
      </c>
      <c r="P288" s="2" t="n">
        <v>0</v>
      </c>
      <c r="Q288" s="31" t="n">
        <v>0</v>
      </c>
      <c r="R288" s="32" t="n"/>
      <c r="S288" s="32" t="n">
        <v>0</v>
      </c>
      <c r="T288" s="32" t="n">
        <v>0</v>
      </c>
      <c r="U288" s="31" t="n">
        <v>0</v>
      </c>
      <c r="V288" s="32" t="n">
        <v>0</v>
      </c>
      <c r="W288" s="31" t="n">
        <v>0</v>
      </c>
      <c r="X288" s="31" t="n">
        <v>0</v>
      </c>
      <c r="Y288" s="3" t="n">
        <v>0</v>
      </c>
      <c r="Z288" s="3" t="n">
        <v>0</v>
      </c>
      <c r="AA288" s="32" t="n">
        <v>0</v>
      </c>
      <c r="AB288" s="3" t="n">
        <v>0</v>
      </c>
      <c r="AC288" s="32" t="n">
        <v>0</v>
      </c>
      <c r="AD288" s="3" t="n"/>
      <c r="AE288" s="31" t="n">
        <v>0</v>
      </c>
      <c r="AF288" s="2" t="n">
        <v>0</v>
      </c>
      <c r="AG288" s="2" t="n">
        <v>10</v>
      </c>
      <c r="AH288" s="4" t="n">
        <v>10</v>
      </c>
      <c r="AI288" s="33" t="n">
        <v>0</v>
      </c>
      <c r="AJ288" s="4" t="n">
        <v>0</v>
      </c>
      <c r="AK288" s="34" t="n"/>
      <c r="AL288" s="34" t="n">
        <v>0</v>
      </c>
      <c r="AM288" s="2" t="n">
        <v>0</v>
      </c>
    </row>
    <row r="289">
      <c r="A289">
        <f>HYPERLINK("https://www.walmart.com/ip/13861054097", "13861054097")</f>
        <v/>
      </c>
      <c r="B289">
        <f>HYPERLINK("https://app.optiwise.ai/catalog/itemdetails/13012137", "Every Day is Christmas Glass Blown Ornaments Cute Hand Made Figurines Tree Decoration, Toilets Set of 2")</f>
        <v/>
      </c>
      <c r="C289" t="n">
        <v>23</v>
      </c>
      <c r="D289" t="inlineStr">
        <is>
          <t>B78691_1683663_5C9BB2671E1E9004</t>
        </is>
      </c>
      <c r="E289" t="inlineStr">
        <is>
          <t>EDC-FIGURINE-WP271</t>
        </is>
      </c>
      <c r="F289" t="n">
        <v>0</v>
      </c>
      <c r="G289" t="inlineStr">
        <is>
          <t>Home Decor, Kitchen, &amp; Other</t>
        </is>
      </c>
      <c r="H289" t="inlineStr">
        <is>
          <t>Ornaments</t>
        </is>
      </c>
      <c r="I289" t="inlineStr">
        <is>
          <t>Every Day is Christmas</t>
        </is>
      </c>
      <c r="L289" s="29" t="n">
        <v>0</v>
      </c>
      <c r="M289" s="30" t="n"/>
      <c r="N289" s="29" t="n">
        <v>0</v>
      </c>
      <c r="O289" s="29" t="n">
        <v>0</v>
      </c>
      <c r="P289" s="2" t="n">
        <v>0</v>
      </c>
      <c r="Q289" s="31" t="n">
        <v>0</v>
      </c>
      <c r="R289" s="32" t="n"/>
      <c r="S289" s="32" t="n">
        <v>0</v>
      </c>
      <c r="T289" s="32" t="n">
        <v>0.1841</v>
      </c>
      <c r="U289" s="31" t="n">
        <v>0</v>
      </c>
      <c r="V289" s="32" t="n">
        <v>0</v>
      </c>
      <c r="W289" s="31" t="n">
        <v>0</v>
      </c>
      <c r="X289" s="31" t="n">
        <v>0</v>
      </c>
      <c r="Y289" s="3" t="n">
        <v>0</v>
      </c>
      <c r="Z289" s="3" t="n">
        <v>0</v>
      </c>
      <c r="AA289" s="32" t="n">
        <v>0</v>
      </c>
      <c r="AB289" s="3" t="n">
        <v>0</v>
      </c>
      <c r="AC289" s="32" t="n">
        <v>0</v>
      </c>
      <c r="AD289" s="3" t="n"/>
      <c r="AE289" s="31" t="n">
        <v>0</v>
      </c>
      <c r="AF289" s="2" t="n">
        <v>0</v>
      </c>
      <c r="AG289" s="2" t="n">
        <v>794</v>
      </c>
      <c r="AH289" s="4" t="n">
        <v>794</v>
      </c>
      <c r="AI289" s="33" t="n">
        <v>0</v>
      </c>
      <c r="AJ289" s="4" t="n">
        <v>0</v>
      </c>
      <c r="AK289" s="34" t="n"/>
      <c r="AL289" s="34" t="n">
        <v>0</v>
      </c>
      <c r="AM289" s="2" t="n">
        <v>0</v>
      </c>
    </row>
    <row r="290">
      <c r="A290">
        <f>HYPERLINK("https://www.walmart.com/ip/5076439926", "5076439926")</f>
        <v/>
      </c>
      <c r="B290">
        <f>HYPERLINK("https://app.optiwise.ai/catalog/itemdetails/7598618", "Tirrinia Women's Plush Soft Robe, Fluffy, Warm, and Fleece Sherpa Shaggy Bathrobe for Ultimate Comfort, Machine Washable, Medium Size, Purple")</f>
        <v/>
      </c>
      <c r="C290" t="n">
        <v>6</v>
      </c>
      <c r="D290" t="inlineStr">
        <is>
          <t>B78691_1682247_F898D8B10BF13E63</t>
        </is>
      </c>
      <c r="E290" t="inlineStr">
        <is>
          <t>1TRRB503PP-2</t>
        </is>
      </c>
      <c r="F290" t="n">
        <v>0</v>
      </c>
      <c r="G290" t="inlineStr">
        <is>
          <t>Clothing</t>
        </is>
      </c>
      <c r="H290" t="inlineStr">
        <is>
          <t>Sleepwear Robes &amp; Bathrobes</t>
        </is>
      </c>
      <c r="I290" t="inlineStr">
        <is>
          <t>Tirrinia</t>
        </is>
      </c>
      <c r="K290" t="inlineStr">
        <is>
          <t>Bathrobe,Coupon_Discount</t>
        </is>
      </c>
      <c r="L290" s="29" t="n">
        <v>0</v>
      </c>
      <c r="M290" s="30" t="n"/>
      <c r="N290" s="29" t="n">
        <v>0</v>
      </c>
      <c r="O290" s="29" t="n">
        <v>0</v>
      </c>
      <c r="P290" s="2" t="n">
        <v>0</v>
      </c>
      <c r="Q290" s="31" t="n">
        <v>0</v>
      </c>
      <c r="R290" s="32" t="n"/>
      <c r="S290" s="32" t="n">
        <v>0</v>
      </c>
      <c r="T290" s="32" t="n">
        <v>0</v>
      </c>
      <c r="U290" s="31" t="n">
        <v>0</v>
      </c>
      <c r="V290" s="32" t="n">
        <v>0</v>
      </c>
      <c r="W290" s="31" t="n">
        <v>0</v>
      </c>
      <c r="X290" s="31" t="n">
        <v>0</v>
      </c>
      <c r="Y290" s="3" t="n">
        <v>0</v>
      </c>
      <c r="Z290" s="3" t="n">
        <v>0</v>
      </c>
      <c r="AA290" s="32" t="n">
        <v>0</v>
      </c>
      <c r="AB290" s="3" t="n">
        <v>0</v>
      </c>
      <c r="AC290" s="32" t="n">
        <v>0</v>
      </c>
      <c r="AD290" s="3" t="n"/>
      <c r="AE290" s="31" t="n">
        <v>0</v>
      </c>
      <c r="AF290" s="2" t="n">
        <v>0</v>
      </c>
      <c r="AG290" s="2" t="n">
        <v>132</v>
      </c>
      <c r="AH290" s="4" t="n">
        <v>132</v>
      </c>
      <c r="AI290" s="33" t="n">
        <v>0</v>
      </c>
      <c r="AJ290" s="4" t="n">
        <v>0</v>
      </c>
      <c r="AK290" s="34" t="n"/>
      <c r="AL290" s="34" t="n">
        <v>0</v>
      </c>
      <c r="AM290" s="2" t="n">
        <v>0</v>
      </c>
    </row>
    <row r="291">
      <c r="A291">
        <f>HYPERLINK("https://www.walmart.com/ip/15978813433", "15978813433")</f>
        <v/>
      </c>
      <c r="B291">
        <f>HYPERLINK("https://app.optiwise.ai/catalog/itemdetails/20189553", "Wrangler Backpack for Men and Women, Water Resistant Casual Daypack for Travel, Work School")</f>
        <v/>
      </c>
      <c r="C291" t="n">
        <v>2</v>
      </c>
      <c r="D291" t="inlineStr">
        <is>
          <t>B78691_1683996_5C9BB2671E1E9004</t>
        </is>
      </c>
      <c r="E291" t="inlineStr">
        <is>
          <t>1WRBPK93932KK</t>
        </is>
      </c>
      <c r="F291" t="n">
        <v>0</v>
      </c>
      <c r="G291" t="inlineStr">
        <is>
          <t>Cases &amp; Bags</t>
        </is>
      </c>
      <c r="H291" t="inlineStr">
        <is>
          <t>Backpacks</t>
        </is>
      </c>
      <c r="I291" t="inlineStr">
        <is>
          <t>Wrangler</t>
        </is>
      </c>
      <c r="L291" s="29" t="n">
        <v>0</v>
      </c>
      <c r="M291" s="30" t="n"/>
      <c r="N291" s="29" t="n">
        <v>0</v>
      </c>
      <c r="O291" s="29" t="n">
        <v>0</v>
      </c>
      <c r="P291" s="2" t="n">
        <v>0</v>
      </c>
      <c r="Q291" s="31" t="n">
        <v>0</v>
      </c>
      <c r="R291" s="32" t="n"/>
      <c r="S291" s="32" t="n">
        <v>0</v>
      </c>
      <c r="T291" s="32" t="n">
        <v>0</v>
      </c>
      <c r="U291" s="31" t="n">
        <v>0</v>
      </c>
      <c r="V291" s="32" t="n">
        <v>0</v>
      </c>
      <c r="W291" s="31" t="n">
        <v>0</v>
      </c>
      <c r="X291" s="31" t="n">
        <v>0</v>
      </c>
      <c r="Y291" s="3" t="n">
        <v>0</v>
      </c>
      <c r="Z291" s="3" t="n">
        <v>0</v>
      </c>
      <c r="AA291" s="32" t="n">
        <v>0</v>
      </c>
      <c r="AB291" s="3" t="n">
        <v>0</v>
      </c>
      <c r="AC291" s="32" t="n">
        <v>0</v>
      </c>
      <c r="AD291" s="3" t="n"/>
      <c r="AE291" s="31" t="n">
        <v>0</v>
      </c>
      <c r="AF291" s="2" t="n">
        <v>0</v>
      </c>
      <c r="AG291" s="2" t="n">
        <v>0</v>
      </c>
      <c r="AH291" s="4" t="n">
        <v>0</v>
      </c>
      <c r="AI291" s="33" t="n">
        <v>0</v>
      </c>
      <c r="AJ291" s="4" t="n">
        <v>0</v>
      </c>
      <c r="AK291" s="34" t="n"/>
      <c r="AL291" s="34" t="n">
        <v>0</v>
      </c>
      <c r="AM291" s="2" t="n">
        <v>0</v>
      </c>
    </row>
    <row r="292">
      <c r="A292">
        <f>HYPERLINK("https://www.walmart.com/ip/5122048897", "5122048897")</f>
        <v/>
      </c>
      <c r="B292">
        <f>HYPERLINK("https://app.optiwise.ai/catalog/itemdetails/7623976", "Solaris Xmas Dwarf Print Sherpa Fleece Blanket, Super Soft Warm Cozy Flannel Reversible Throw Blanket for Couch Sofa Bed, Pink, 50 x 60")</f>
        <v/>
      </c>
      <c r="C292" t="n">
        <v>1</v>
      </c>
      <c r="D292" t="inlineStr">
        <is>
          <t>B78691_1682316_5C9BB2671E1E9004</t>
        </is>
      </c>
      <c r="E292" t="inlineStr">
        <is>
          <t>1SLBF300XMASDWARFPK</t>
        </is>
      </c>
      <c r="F292" t="n">
        <v>0</v>
      </c>
      <c r="G292" t="inlineStr">
        <is>
          <t>Bedding</t>
        </is>
      </c>
      <c r="H292" t="inlineStr">
        <is>
          <t>Throws</t>
        </is>
      </c>
      <c r="I292" t="inlineStr">
        <is>
          <t>Solaris</t>
        </is>
      </c>
      <c r="K292" t="inlineStr">
        <is>
          <t>Q2-Target,Coupon_Discount</t>
        </is>
      </c>
      <c r="L292" s="29" t="n">
        <v>0</v>
      </c>
      <c r="M292" s="30" t="n"/>
      <c r="N292" s="29" t="n">
        <v>0</v>
      </c>
      <c r="O292" s="29" t="n">
        <v>0</v>
      </c>
      <c r="P292" s="2" t="n">
        <v>0</v>
      </c>
      <c r="Q292" s="31" t="n">
        <v>0</v>
      </c>
      <c r="R292" s="32" t="n"/>
      <c r="S292" s="32" t="n">
        <v>0</v>
      </c>
      <c r="T292" s="32" t="n">
        <v>0</v>
      </c>
      <c r="U292" s="31" t="n">
        <v>0</v>
      </c>
      <c r="V292" s="32" t="n">
        <v>0</v>
      </c>
      <c r="W292" s="31" t="n">
        <v>0</v>
      </c>
      <c r="X292" s="31" t="n">
        <v>0</v>
      </c>
      <c r="Y292" s="3" t="n">
        <v>0</v>
      </c>
      <c r="Z292" s="3" t="n">
        <v>0</v>
      </c>
      <c r="AA292" s="32" t="n">
        <v>0</v>
      </c>
      <c r="AB292" s="3" t="n">
        <v>0</v>
      </c>
      <c r="AC292" s="32" t="n">
        <v>0</v>
      </c>
      <c r="AD292" s="3" t="n"/>
      <c r="AE292" s="31" t="n">
        <v>0</v>
      </c>
      <c r="AF292" s="2" t="n">
        <v>0</v>
      </c>
      <c r="AG292" s="2" t="n">
        <v>5</v>
      </c>
      <c r="AH292" s="4" t="n">
        <v>5</v>
      </c>
      <c r="AI292" s="33" t="n">
        <v>0</v>
      </c>
      <c r="AJ292" s="4" t="n">
        <v>0</v>
      </c>
      <c r="AK292" s="34" t="n"/>
      <c r="AL292" s="34" t="n">
        <v>0</v>
      </c>
      <c r="AM292" s="2" t="n">
        <v>0</v>
      </c>
    </row>
    <row r="293">
      <c r="A293">
        <f>HYPERLINK("https://www.walmart.com/ip/9584573351", "9584573351")</f>
        <v/>
      </c>
      <c r="B293">
        <f>HYPERLINK("https://app.optiwise.ai/catalog/itemdetails/9954987", "National Park Foundation Hydration Backpack with 2L Hydro Water Bladder Bag, Lightweight Hiking Backpack, Travel Backpack for Cycling, Running, and Climbing, 18L, Black")</f>
        <v/>
      </c>
      <c r="C293" t="n">
        <v>4</v>
      </c>
      <c r="D293" t="inlineStr">
        <is>
          <t>B78691_1682744_A828ED4701883EC4</t>
        </is>
      </c>
      <c r="E293" t="inlineStr">
        <is>
          <t>NPF-BACKPACK-HYDRATION-BLACK</t>
        </is>
      </c>
      <c r="F293" t="n">
        <v>0</v>
      </c>
      <c r="G293" t="inlineStr">
        <is>
          <t>Cases &amp; Bags</t>
        </is>
      </c>
      <c r="H293" t="inlineStr">
        <is>
          <t>Backpacks</t>
        </is>
      </c>
      <c r="I293" t="inlineStr">
        <is>
          <t>National Park Foundation</t>
        </is>
      </c>
      <c r="K293" t="inlineStr">
        <is>
          <t>Backpack</t>
        </is>
      </c>
      <c r="L293" s="29" t="n">
        <v>0</v>
      </c>
      <c r="M293" s="30" t="n"/>
      <c r="N293" s="29" t="n">
        <v>0</v>
      </c>
      <c r="O293" s="29" t="n">
        <v>0</v>
      </c>
      <c r="P293" s="2" t="n">
        <v>0</v>
      </c>
      <c r="Q293" s="31" t="n">
        <v>0</v>
      </c>
      <c r="R293" s="32" t="n"/>
      <c r="S293" s="32" t="n">
        <v>0</v>
      </c>
      <c r="T293" s="32" t="n">
        <v>0</v>
      </c>
      <c r="U293" s="31" t="n">
        <v>0</v>
      </c>
      <c r="V293" s="32" t="n">
        <v>0</v>
      </c>
      <c r="W293" s="31" t="n">
        <v>0</v>
      </c>
      <c r="X293" s="31" t="n">
        <v>0</v>
      </c>
      <c r="Y293" s="3" t="n">
        <v>0</v>
      </c>
      <c r="Z293" s="3" t="n">
        <v>0</v>
      </c>
      <c r="AA293" s="32" t="n">
        <v>0</v>
      </c>
      <c r="AB293" s="3" t="n">
        <v>0</v>
      </c>
      <c r="AC293" s="32" t="n">
        <v>0</v>
      </c>
      <c r="AD293" s="3" t="n"/>
      <c r="AE293" s="31" t="n">
        <v>0</v>
      </c>
      <c r="AF293" s="2" t="n">
        <v>0</v>
      </c>
      <c r="AG293" s="2" t="n">
        <v>87</v>
      </c>
      <c r="AH293" s="4" t="n">
        <v>87</v>
      </c>
      <c r="AI293" s="33" t="n">
        <v>0</v>
      </c>
      <c r="AJ293" s="4" t="n">
        <v>0</v>
      </c>
      <c r="AK293" s="34" t="n"/>
      <c r="AL293" s="34" t="n">
        <v>0</v>
      </c>
      <c r="AM293" s="2" t="n">
        <v>0</v>
      </c>
    </row>
    <row r="294">
      <c r="A294">
        <f>HYPERLINK("https://www.walmart.com/ip/1331723972", "1331723972")</f>
        <v/>
      </c>
      <c r="B294">
        <f>HYPERLINK("https://app.optiwise.ai/catalog/itemdetails/13012116", "Every Day is Christmas Glass Blown Ornaments 2021 Cute Hand Made Figurines Tree Decoration, Santa American Face Mask")</f>
        <v/>
      </c>
      <c r="C294" t="n">
        <v>8</v>
      </c>
      <c r="D294" t="inlineStr">
        <is>
          <t>00850021618094</t>
        </is>
      </c>
      <c r="E294" t="inlineStr">
        <is>
          <t>EDC-FIGURINE-DINOSAUR</t>
        </is>
      </c>
      <c r="F294" t="n">
        <v>0</v>
      </c>
      <c r="G294" t="inlineStr">
        <is>
          <t>Decorations &amp; Favors</t>
        </is>
      </c>
      <c r="H294" t="inlineStr">
        <is>
          <t>Ornaments</t>
        </is>
      </c>
      <c r="I294" t="inlineStr">
        <is>
          <t>Every Day is Christmas</t>
        </is>
      </c>
      <c r="J294" t="n">
        <v>4.8</v>
      </c>
      <c r="L294" s="29" t="n">
        <v>0</v>
      </c>
      <c r="M294" s="30" t="n"/>
      <c r="N294" s="29" t="n">
        <v>0</v>
      </c>
      <c r="O294" s="29" t="n">
        <v>0</v>
      </c>
      <c r="P294" s="2" t="n">
        <v>0</v>
      </c>
      <c r="Q294" s="31" t="n">
        <v>0</v>
      </c>
      <c r="R294" s="32" t="n"/>
      <c r="S294" s="32" t="n">
        <v>0</v>
      </c>
      <c r="T294" s="32" t="n">
        <v>0</v>
      </c>
      <c r="U294" s="31" t="n">
        <v>0</v>
      </c>
      <c r="V294" s="32" t="n">
        <v>0</v>
      </c>
      <c r="W294" s="31" t="n">
        <v>0</v>
      </c>
      <c r="X294" s="31" t="n">
        <v>0</v>
      </c>
      <c r="Y294" s="3" t="n">
        <v>0</v>
      </c>
      <c r="Z294" s="3" t="n">
        <v>0</v>
      </c>
      <c r="AA294" s="32" t="n">
        <v>0</v>
      </c>
      <c r="AB294" s="3" t="n">
        <v>0</v>
      </c>
      <c r="AC294" s="32" t="n">
        <v>0</v>
      </c>
      <c r="AD294" s="3" t="n"/>
      <c r="AE294" s="31" t="n">
        <v>0</v>
      </c>
      <c r="AF294" s="2" t="n">
        <v>0</v>
      </c>
      <c r="AG294" s="2" t="n">
        <v>85</v>
      </c>
      <c r="AH294" s="4" t="n">
        <v>85</v>
      </c>
      <c r="AI294" s="33" t="n">
        <v>0</v>
      </c>
      <c r="AJ294" s="4" t="n">
        <v>0</v>
      </c>
      <c r="AK294" s="34" t="n"/>
      <c r="AL294" s="34" t="n">
        <v>0</v>
      </c>
      <c r="AM294" s="2" t="n">
        <v>0</v>
      </c>
    </row>
    <row r="295">
      <c r="A295">
        <f>HYPERLINK("https://www.walmart.com/ip/15992106796", "15992106796")</f>
        <v/>
      </c>
      <c r="B295">
        <f>HYPERLINK("https://app.optiwise.ai/catalog/itemdetails/20189555", "Wrangler Tradesman Backpack, Water Resistant Casual Daypack for Travel Work School")</f>
        <v/>
      </c>
      <c r="C295" t="n">
        <v>2</v>
      </c>
      <c r="D295" t="inlineStr">
        <is>
          <t>B78691_1683994_5C9BB2671E1E9004</t>
        </is>
      </c>
      <c r="E295" t="inlineStr">
        <is>
          <t>1WRBPK15919BK</t>
        </is>
      </c>
      <c r="F295" t="n">
        <v>0</v>
      </c>
      <c r="G295" t="inlineStr">
        <is>
          <t>Cases &amp; Bags</t>
        </is>
      </c>
      <c r="H295" t="inlineStr">
        <is>
          <t>Backpacks</t>
        </is>
      </c>
      <c r="I295" t="inlineStr">
        <is>
          <t>Wrangler</t>
        </is>
      </c>
      <c r="L295" s="29" t="n">
        <v>0</v>
      </c>
      <c r="M295" s="30" t="n"/>
      <c r="N295" s="29" t="n">
        <v>0</v>
      </c>
      <c r="O295" s="29" t="n">
        <v>0</v>
      </c>
      <c r="P295" s="2" t="n">
        <v>0</v>
      </c>
      <c r="Q295" s="31" t="n">
        <v>0</v>
      </c>
      <c r="R295" s="32" t="n"/>
      <c r="S295" s="32" t="n">
        <v>0</v>
      </c>
      <c r="T295" s="32" t="n">
        <v>0</v>
      </c>
      <c r="U295" s="31" t="n">
        <v>0</v>
      </c>
      <c r="V295" s="32" t="n">
        <v>0</v>
      </c>
      <c r="W295" s="31" t="n">
        <v>0</v>
      </c>
      <c r="X295" s="31" t="n">
        <v>0</v>
      </c>
      <c r="Y295" s="3" t="n">
        <v>0</v>
      </c>
      <c r="Z295" s="3" t="n">
        <v>0</v>
      </c>
      <c r="AA295" s="32" t="n">
        <v>0</v>
      </c>
      <c r="AB295" s="3" t="n">
        <v>0</v>
      </c>
      <c r="AC295" s="32" t="n">
        <v>0</v>
      </c>
      <c r="AD295" s="3" t="n"/>
      <c r="AE295" s="31" t="n">
        <v>0</v>
      </c>
      <c r="AF295" s="2" t="n">
        <v>0</v>
      </c>
      <c r="AG295" s="2" t="n">
        <v>0</v>
      </c>
      <c r="AH295" s="4" t="n">
        <v>0</v>
      </c>
      <c r="AI295" s="33" t="n">
        <v>0</v>
      </c>
      <c r="AJ295" s="4" t="n">
        <v>0</v>
      </c>
      <c r="AK295" s="34" t="n"/>
      <c r="AL295" s="34" t="n">
        <v>0</v>
      </c>
      <c r="AM295" s="2" t="n">
        <v>0</v>
      </c>
    </row>
    <row r="296">
      <c r="A296">
        <f>HYPERLINK("https://www.walmart.com/ip/3188631665", "3188631665")</f>
        <v/>
      </c>
      <c r="B296">
        <f>HYPERLINK("https://app.optiwise.ai/catalog/itemdetails/7406919", "Solaris Wearable Lounging Blanket,Super Soft Warm Cozy Reversible Fuzzy,Extra Soft for Sofa Warm Blanket,Lightweight, Red Plaid.")</f>
        <v/>
      </c>
      <c r="C296" t="n">
        <v>1</v>
      </c>
      <c r="D296" t="inlineStr">
        <is>
          <t>B78691_1682102_A44A0E4C52AE9A5</t>
        </is>
      </c>
      <c r="E296" t="inlineStr">
        <is>
          <t>1SLSN201PRD</t>
        </is>
      </c>
      <c r="F296" t="n">
        <v>0</v>
      </c>
      <c r="G296" t="inlineStr">
        <is>
          <t>Bedding</t>
        </is>
      </c>
      <c r="H296" t="inlineStr">
        <is>
          <t>Throws</t>
        </is>
      </c>
      <c r="I296" t="inlineStr">
        <is>
          <t>Solaris</t>
        </is>
      </c>
      <c r="L296" s="29" t="n">
        <v>0</v>
      </c>
      <c r="M296" s="30" t="n"/>
      <c r="N296" s="29" t="n">
        <v>0</v>
      </c>
      <c r="O296" s="29" t="n">
        <v>0</v>
      </c>
      <c r="P296" s="2" t="n">
        <v>0</v>
      </c>
      <c r="Q296" s="31" t="n">
        <v>0</v>
      </c>
      <c r="R296" s="32" t="n"/>
      <c r="S296" s="32" t="n">
        <v>0</v>
      </c>
      <c r="T296" s="32" t="n">
        <v>0</v>
      </c>
      <c r="U296" s="31" t="n">
        <v>0</v>
      </c>
      <c r="V296" s="32" t="n">
        <v>0</v>
      </c>
      <c r="W296" s="31" t="n">
        <v>0</v>
      </c>
      <c r="X296" s="31" t="n">
        <v>0</v>
      </c>
      <c r="Y296" s="3" t="n">
        <v>0</v>
      </c>
      <c r="Z296" s="3" t="n">
        <v>0</v>
      </c>
      <c r="AA296" s="32" t="n">
        <v>0</v>
      </c>
      <c r="AB296" s="3" t="n">
        <v>0</v>
      </c>
      <c r="AC296" s="32" t="n">
        <v>0</v>
      </c>
      <c r="AD296" s="3" t="n"/>
      <c r="AE296" s="31" t="n">
        <v>0</v>
      </c>
      <c r="AF296" s="2" t="n">
        <v>0</v>
      </c>
      <c r="AG296" s="2" t="n">
        <v>1</v>
      </c>
      <c r="AH296" s="4" t="n">
        <v>1</v>
      </c>
      <c r="AI296" s="33" t="n">
        <v>0</v>
      </c>
      <c r="AJ296" s="4" t="n">
        <v>0</v>
      </c>
      <c r="AK296" s="34" t="n"/>
      <c r="AL296" s="34" t="n">
        <v>0</v>
      </c>
      <c r="AM296" s="2" t="n">
        <v>0</v>
      </c>
    </row>
    <row r="297">
      <c r="A297">
        <f>HYPERLINK("https://www.walmart.com/ip/244149121", "244149121")</f>
        <v/>
      </c>
      <c r="B297">
        <f>HYPERLINK("https://app.optiwise.ai/catalog/itemdetails/360691", "Catalonia Comfy Blanket 50x60, Micro Plush Fleece Throws for Couch Sofa TV Bed, Reversible, Comfy, Fuzzy")</f>
        <v/>
      </c>
      <c r="C297" t="n">
        <v>3</v>
      </c>
      <c r="D297" t="inlineStr">
        <is>
          <t>00711531925075</t>
        </is>
      </c>
      <c r="E297" t="inlineStr">
        <is>
          <t>1CTBF560GY</t>
        </is>
      </c>
      <c r="F297" t="n">
        <v>22</v>
      </c>
      <c r="G297" t="inlineStr">
        <is>
          <t>Bedding</t>
        </is>
      </c>
      <c r="H297" t="inlineStr">
        <is>
          <t>Throws</t>
        </is>
      </c>
      <c r="I297" t="inlineStr">
        <is>
          <t>Catalonia</t>
        </is>
      </c>
      <c r="J297" t="n">
        <v>4.4</v>
      </c>
      <c r="K297" t="inlineStr">
        <is>
          <t>Q2-Target,Optimized,WFS,Coupon_Discount,WFS Item</t>
        </is>
      </c>
      <c r="L297" s="29" t="n">
        <v>0</v>
      </c>
      <c r="M297" s="30" t="n"/>
      <c r="N297" s="29" t="n">
        <v>0</v>
      </c>
      <c r="O297" s="29" t="n">
        <v>0</v>
      </c>
      <c r="P297" s="2" t="n">
        <v>0</v>
      </c>
      <c r="Q297" s="31" t="n">
        <v>0</v>
      </c>
      <c r="R297" s="32" t="n"/>
      <c r="S297" s="32" t="n">
        <v>0</v>
      </c>
      <c r="T297" s="32" t="n">
        <v>0</v>
      </c>
      <c r="U297" s="31" t="n">
        <v>0</v>
      </c>
      <c r="V297" s="32" t="n">
        <v>0</v>
      </c>
      <c r="W297" s="31" t="n">
        <v>0</v>
      </c>
      <c r="X297" s="31" t="n">
        <v>0</v>
      </c>
      <c r="Y297" s="3" t="n">
        <v>0</v>
      </c>
      <c r="Z297" s="3" t="n">
        <v>0</v>
      </c>
      <c r="AA297" s="32" t="n">
        <v>0</v>
      </c>
      <c r="AB297" s="3" t="n">
        <v>0</v>
      </c>
      <c r="AC297" s="32" t="n">
        <v>0</v>
      </c>
      <c r="AD297" s="3" t="n"/>
      <c r="AE297" s="31" t="n">
        <v>0</v>
      </c>
      <c r="AF297" s="2" t="n">
        <v>0</v>
      </c>
      <c r="AG297" s="2" t="n">
        <v>52</v>
      </c>
      <c r="AH297" s="4" t="n">
        <v>52</v>
      </c>
      <c r="AI297" s="33" t="n">
        <v>0</v>
      </c>
      <c r="AJ297" s="4" t="n">
        <v>0</v>
      </c>
      <c r="AK297" s="34" t="n"/>
      <c r="AL297" s="34" t="n">
        <v>0</v>
      </c>
      <c r="AM297" s="2" t="n">
        <v>0</v>
      </c>
    </row>
    <row r="298">
      <c r="A298">
        <f>HYPERLINK("https://www.walmart.com/ip/537851876", "537851876")</f>
        <v/>
      </c>
      <c r="B298">
        <f>HYPERLINK("https://app.optiwise.ai/catalog/itemdetails/5617433", "Catalonia Long Kinky Curly Lace Front Wigs,L Part Heat Resistance Synthetic Brazilian Hair Wig for African American Black Women 20")</f>
        <v/>
      </c>
      <c r="C298" t="n">
        <v>1</v>
      </c>
      <c r="D298" t="inlineStr">
        <is>
          <t>B78691_1639594_5C9BB2671E1E9004</t>
        </is>
      </c>
      <c r="E298" t="inlineStr">
        <is>
          <t>1CTWIG941-1B-ESCB</t>
        </is>
      </c>
      <c r="F298" t="n">
        <v>0</v>
      </c>
      <c r="G298" t="inlineStr">
        <is>
          <t>Clothing</t>
        </is>
      </c>
      <c r="H298" t="inlineStr">
        <is>
          <t>Wigs &amp; Toupees</t>
        </is>
      </c>
      <c r="I298" t="inlineStr">
        <is>
          <t>Catalonia</t>
        </is>
      </c>
      <c r="L298" s="29" t="n">
        <v>0</v>
      </c>
      <c r="M298" s="30" t="n"/>
      <c r="N298" s="29" t="n">
        <v>0</v>
      </c>
      <c r="O298" s="29" t="n">
        <v>0</v>
      </c>
      <c r="P298" s="2" t="n">
        <v>0</v>
      </c>
      <c r="Q298" s="31" t="n">
        <v>0</v>
      </c>
      <c r="R298" s="32" t="n"/>
      <c r="S298" s="32" t="n">
        <v>0</v>
      </c>
      <c r="T298" s="32" t="n">
        <v>0</v>
      </c>
      <c r="U298" s="31" t="n">
        <v>0</v>
      </c>
      <c r="V298" s="32" t="n">
        <v>0</v>
      </c>
      <c r="W298" s="31" t="n">
        <v>0</v>
      </c>
      <c r="X298" s="31" t="n">
        <v>0</v>
      </c>
      <c r="Y298" s="3" t="n">
        <v>0</v>
      </c>
      <c r="Z298" s="3" t="n">
        <v>0</v>
      </c>
      <c r="AA298" s="32" t="n">
        <v>0</v>
      </c>
      <c r="AB298" s="3" t="n">
        <v>0</v>
      </c>
      <c r="AC298" s="32" t="n">
        <v>0</v>
      </c>
      <c r="AD298" s="3" t="n"/>
      <c r="AE298" s="31" t="n">
        <v>0</v>
      </c>
      <c r="AF298" s="2" t="n">
        <v>0</v>
      </c>
      <c r="AG298" s="2" t="n">
        <v>8</v>
      </c>
      <c r="AH298" s="4" t="n">
        <v>8</v>
      </c>
      <c r="AI298" s="33" t="n">
        <v>0</v>
      </c>
      <c r="AJ298" s="4" t="n">
        <v>0</v>
      </c>
      <c r="AK298" s="34" t="n"/>
      <c r="AL298" s="34" t="n">
        <v>0</v>
      </c>
      <c r="AM298" s="2" t="n">
        <v>0</v>
      </c>
    </row>
    <row r="299">
      <c r="A299">
        <f>HYPERLINK("https://www.walmart.com/ip/168709229", "168709229")</f>
        <v/>
      </c>
      <c r="B299">
        <f>HYPERLINK("https://app.optiwise.ai/catalog/itemdetails/360792", "Jenniwears Sexy Lace Lingerie Jacket Babydoll G String 3 Pieces Sleepwear Set")</f>
        <v/>
      </c>
      <c r="C299" t="n">
        <v>2</v>
      </c>
      <c r="D299" t="inlineStr">
        <is>
          <t>B78691_979693_5C9BB2671E1E9004</t>
        </is>
      </c>
      <c r="E299" t="inlineStr">
        <is>
          <t>JWND05WT</t>
        </is>
      </c>
      <c r="F299" t="n">
        <v>1</v>
      </c>
      <c r="G299" t="inlineStr">
        <is>
          <t>Clothing</t>
        </is>
      </c>
      <c r="H299" t="inlineStr">
        <is>
          <t>Lingerie Sets</t>
        </is>
      </c>
      <c r="I299" t="inlineStr">
        <is>
          <t>JenniWears</t>
        </is>
      </c>
      <c r="K299" t="inlineStr">
        <is>
          <t>Optimized,Valentine</t>
        </is>
      </c>
      <c r="L299" s="29" t="n">
        <v>0</v>
      </c>
      <c r="M299" s="30" t="n"/>
      <c r="N299" s="29" t="n">
        <v>0</v>
      </c>
      <c r="O299" s="29" t="n">
        <v>0</v>
      </c>
      <c r="P299" s="2" t="n">
        <v>0</v>
      </c>
      <c r="Q299" s="31" t="n">
        <v>0</v>
      </c>
      <c r="R299" s="32" t="n"/>
      <c r="S299" s="32" t="n">
        <v>0</v>
      </c>
      <c r="T299" s="32" t="n">
        <v>0</v>
      </c>
      <c r="U299" s="31" t="n">
        <v>0</v>
      </c>
      <c r="V299" s="32" t="n">
        <v>0</v>
      </c>
      <c r="W299" s="31" t="n">
        <v>0</v>
      </c>
      <c r="X299" s="31" t="n">
        <v>0</v>
      </c>
      <c r="Y299" s="3" t="n">
        <v>0</v>
      </c>
      <c r="Z299" s="3" t="n">
        <v>0</v>
      </c>
      <c r="AA299" s="32" t="n">
        <v>0</v>
      </c>
      <c r="AB299" s="3" t="n">
        <v>0</v>
      </c>
      <c r="AC299" s="32" t="n">
        <v>0</v>
      </c>
      <c r="AD299" s="3" t="n"/>
      <c r="AE299" s="31" t="n">
        <v>0</v>
      </c>
      <c r="AF299" s="2" t="n">
        <v>0</v>
      </c>
      <c r="AG299" s="2" t="n">
        <v>14</v>
      </c>
      <c r="AH299" s="4" t="n">
        <v>14</v>
      </c>
      <c r="AI299" s="33" t="n">
        <v>0</v>
      </c>
      <c r="AJ299" s="4" t="n">
        <v>0</v>
      </c>
      <c r="AK299" s="34" t="n"/>
      <c r="AL299" s="34" t="n">
        <v>0</v>
      </c>
      <c r="AM299" s="2" t="n">
        <v>0</v>
      </c>
    </row>
    <row r="300">
      <c r="A300">
        <f>HYPERLINK("https://www.walmart.com/ip/759415807", "759415807")</f>
        <v/>
      </c>
      <c r="B300">
        <f>HYPERLINK("https://app.optiwise.ai/catalog/itemdetails/360636", "Tirrinia Women Floppy Straw Sun Hat Wide Brim Striped Beach Cap Foldable, Black, Head Circumference Measures 22.5”, Brim Measures 3.5”.")</f>
        <v/>
      </c>
      <c r="C300" t="n">
        <v>2</v>
      </c>
      <c r="D300" t="inlineStr">
        <is>
          <t>B78691_1639383_B6CABCE7B080CED3</t>
        </is>
      </c>
      <c r="E300" t="inlineStr">
        <is>
          <t>1TRSH101BK-TBCB</t>
        </is>
      </c>
      <c r="F300" t="n">
        <v>3</v>
      </c>
      <c r="G300" t="inlineStr">
        <is>
          <t>Clothing</t>
        </is>
      </c>
      <c r="H300" t="inlineStr">
        <is>
          <t>Hats</t>
        </is>
      </c>
      <c r="I300" t="inlineStr">
        <is>
          <t>Tirrinia</t>
        </is>
      </c>
      <c r="J300" t="n">
        <v>3.3</v>
      </c>
      <c r="K300" t="inlineStr">
        <is>
          <t>Q2-Target</t>
        </is>
      </c>
      <c r="L300" s="29" t="n">
        <v>0</v>
      </c>
      <c r="M300" s="30" t="n"/>
      <c r="N300" s="29" t="n">
        <v>0</v>
      </c>
      <c r="O300" s="29" t="n">
        <v>0</v>
      </c>
      <c r="P300" s="2" t="n">
        <v>0</v>
      </c>
      <c r="Q300" s="31" t="n">
        <v>0</v>
      </c>
      <c r="R300" s="32" t="n"/>
      <c r="S300" s="32" t="n">
        <v>0</v>
      </c>
      <c r="T300" s="32" t="n">
        <v>0</v>
      </c>
      <c r="U300" s="31" t="n">
        <v>0</v>
      </c>
      <c r="V300" s="32" t="n">
        <v>0</v>
      </c>
      <c r="W300" s="31" t="n">
        <v>0</v>
      </c>
      <c r="X300" s="31" t="n">
        <v>0</v>
      </c>
      <c r="Y300" s="3" t="n">
        <v>0</v>
      </c>
      <c r="Z300" s="3" t="n">
        <v>0</v>
      </c>
      <c r="AA300" s="32" t="n">
        <v>0</v>
      </c>
      <c r="AB300" s="3" t="n">
        <v>0</v>
      </c>
      <c r="AC300" s="32" t="n">
        <v>0</v>
      </c>
      <c r="AD300" s="3" t="n"/>
      <c r="AE300" s="31" t="n">
        <v>0</v>
      </c>
      <c r="AF300" s="2" t="n">
        <v>0</v>
      </c>
      <c r="AG300" s="2" t="n">
        <v>28</v>
      </c>
      <c r="AH300" s="4" t="n">
        <v>28</v>
      </c>
      <c r="AI300" s="33" t="n">
        <v>0</v>
      </c>
      <c r="AJ300" s="4" t="n">
        <v>0</v>
      </c>
      <c r="AK300" s="34" t="n"/>
      <c r="AL300" s="34" t="n">
        <v>0</v>
      </c>
      <c r="AM300" s="2" t="n">
        <v>0</v>
      </c>
    </row>
    <row r="301">
      <c r="A301">
        <f>HYPERLINK("https://www.walmart.com/ip/1350473123", "1350473123")</f>
        <v/>
      </c>
      <c r="B301">
        <f>HYPERLINK("https://app.optiwise.ai/catalog/itemdetails/13057972", "Tirrinia Oversized Blanket Hoodie Sweatshirts, Wearable Fluffy Fleece Plush Blanket, Lightweight Cozy Sweatshirt Blanket Gift for Women Men, Purple")</f>
        <v/>
      </c>
      <c r="C301" t="n">
        <v>1</v>
      </c>
      <c r="D301" t="inlineStr">
        <is>
          <t>902286281</t>
        </is>
      </c>
      <c r="E301" t="inlineStr">
        <is>
          <t>1TROSH360PP-FS</t>
        </is>
      </c>
      <c r="F301" t="n">
        <v>0</v>
      </c>
      <c r="G301" t="inlineStr">
        <is>
          <t>Clothing</t>
        </is>
      </c>
      <c r="H301" t="inlineStr">
        <is>
          <t>Sweatshirts &amp; Hoodies</t>
        </is>
      </c>
      <c r="I301" t="inlineStr">
        <is>
          <t>Tirrinia</t>
        </is>
      </c>
      <c r="L301" s="29" t="n">
        <v>0</v>
      </c>
      <c r="M301" s="30" t="n"/>
      <c r="N301" s="29" t="n">
        <v>0</v>
      </c>
      <c r="O301" s="29" t="n">
        <v>0</v>
      </c>
      <c r="P301" s="2" t="n">
        <v>0</v>
      </c>
      <c r="Q301" s="31" t="n">
        <v>0</v>
      </c>
      <c r="R301" s="32" t="n"/>
      <c r="S301" s="32" t="n">
        <v>0</v>
      </c>
      <c r="T301" s="32" t="n">
        <v>0</v>
      </c>
      <c r="U301" s="31" t="n">
        <v>0</v>
      </c>
      <c r="V301" s="32" t="n">
        <v>0</v>
      </c>
      <c r="W301" s="31" t="n">
        <v>0</v>
      </c>
      <c r="X301" s="31" t="n">
        <v>0</v>
      </c>
      <c r="Y301" s="3" t="n">
        <v>0</v>
      </c>
      <c r="Z301" s="3" t="n">
        <v>0</v>
      </c>
      <c r="AA301" s="32" t="n">
        <v>0</v>
      </c>
      <c r="AB301" s="3" t="n">
        <v>0</v>
      </c>
      <c r="AC301" s="32" t="n">
        <v>0</v>
      </c>
      <c r="AD301" s="3" t="n"/>
      <c r="AE301" s="31" t="n">
        <v>0</v>
      </c>
      <c r="AF301" s="2" t="n">
        <v>0</v>
      </c>
      <c r="AG301" s="2" t="n">
        <v>2</v>
      </c>
      <c r="AH301" s="4" t="n">
        <v>2</v>
      </c>
      <c r="AI301" s="33" t="n">
        <v>0</v>
      </c>
      <c r="AJ301" s="4" t="n">
        <v>0</v>
      </c>
      <c r="AK301" s="34" t="n"/>
      <c r="AL301" s="34" t="n">
        <v>0</v>
      </c>
      <c r="AM301" s="2" t="n">
        <v>0</v>
      </c>
    </row>
    <row r="302">
      <c r="A302">
        <f>HYPERLINK("https://www.walmart.com/ip/5384805046", "5384805046")</f>
        <v/>
      </c>
      <c r="B302">
        <f>HYPERLINK("https://app.optiwise.ai/catalog/itemdetails/13059077", "PEANUTS Womens 100% Cotton Family Matching Pajamas Holiday Festive Nightwear Sleepwear 2-Piece Sets for Christmas Gifts (Black Plaid, M)")</f>
        <v/>
      </c>
      <c r="C302" t="n">
        <v>1</v>
      </c>
      <c r="D302" t="inlineStr">
        <is>
          <t>905572181</t>
        </is>
      </c>
      <c r="E302" t="inlineStr">
        <is>
          <t>PEA-PJS-FAMILY-WOMEN-BLACKPLAID-M</t>
        </is>
      </c>
      <c r="F302" t="n">
        <v>0</v>
      </c>
      <c r="G302" t="inlineStr">
        <is>
          <t>Clothing</t>
        </is>
      </c>
      <c r="H302" t="inlineStr">
        <is>
          <t>Pajamas</t>
        </is>
      </c>
      <c r="I302" t="inlineStr">
        <is>
          <t>Peanuts</t>
        </is>
      </c>
      <c r="L302" s="29" t="n">
        <v>0</v>
      </c>
      <c r="M302" s="30" t="n"/>
      <c r="N302" s="29" t="n">
        <v>0</v>
      </c>
      <c r="O302" s="29" t="n">
        <v>0</v>
      </c>
      <c r="P302" s="2" t="n">
        <v>0</v>
      </c>
      <c r="Q302" s="31" t="n">
        <v>0</v>
      </c>
      <c r="R302" s="32" t="n"/>
      <c r="S302" s="32" t="n">
        <v>0</v>
      </c>
      <c r="T302" s="32" t="n">
        <v>0</v>
      </c>
      <c r="U302" s="31" t="n">
        <v>0</v>
      </c>
      <c r="V302" s="32" t="n">
        <v>0</v>
      </c>
      <c r="W302" s="31" t="n">
        <v>0</v>
      </c>
      <c r="X302" s="31" t="n">
        <v>0</v>
      </c>
      <c r="Y302" s="3" t="n">
        <v>0</v>
      </c>
      <c r="Z302" s="3" t="n">
        <v>0</v>
      </c>
      <c r="AA302" s="32" t="n">
        <v>0</v>
      </c>
      <c r="AB302" s="3" t="n">
        <v>0</v>
      </c>
      <c r="AC302" s="32" t="n">
        <v>0</v>
      </c>
      <c r="AD302" s="3" t="n"/>
      <c r="AE302" s="31" t="n">
        <v>0</v>
      </c>
      <c r="AF302" s="2" t="n">
        <v>0</v>
      </c>
      <c r="AG302" s="2" t="n">
        <v>0</v>
      </c>
      <c r="AH302" s="4" t="n">
        <v>0</v>
      </c>
      <c r="AI302" s="33" t="n">
        <v>0</v>
      </c>
      <c r="AJ302" s="4" t="n">
        <v>0</v>
      </c>
      <c r="AK302" s="34" t="n"/>
      <c r="AL302" s="34" t="n">
        <v>0</v>
      </c>
      <c r="AM302" s="2" t="n">
        <v>0</v>
      </c>
    </row>
    <row r="303">
      <c r="A303">
        <f>HYPERLINK("https://www.walmart.com/ip/431906531", "431906531")</f>
        <v/>
      </c>
      <c r="B303">
        <f>HYPERLINK("https://app.optiwise.ai/catalog/itemdetails/360713", "Jennis Halloween, Masquerades, Carnivals LED Necktie Light Up Tie LED Glow Dark,Upgrade USB Rechargeable Luminous Novelty Necktie Unisex LED Tie for Party Costume Men Women Boys")</f>
        <v/>
      </c>
      <c r="C303" t="n">
        <v>2</v>
      </c>
      <c r="D303" t="inlineStr">
        <is>
          <t>B78691_1568119_5C9BB2671E1E9004</t>
        </is>
      </c>
      <c r="E303" t="inlineStr">
        <is>
          <t>LEDTIE02-RD</t>
        </is>
      </c>
      <c r="F303" t="n">
        <v>0</v>
      </c>
      <c r="G303" t="inlineStr">
        <is>
          <t>Clothing</t>
        </is>
      </c>
      <c r="H303" t="inlineStr">
        <is>
          <t>Neckties</t>
        </is>
      </c>
      <c r="I303" t="inlineStr">
        <is>
          <t>JenniWears</t>
        </is>
      </c>
      <c r="K303" t="inlineStr">
        <is>
          <t>Optimized,Halloween</t>
        </is>
      </c>
      <c r="L303" s="29" t="n">
        <v>0</v>
      </c>
      <c r="M303" s="30" t="n"/>
      <c r="N303" s="29" t="n">
        <v>0</v>
      </c>
      <c r="O303" s="29" t="n">
        <v>0</v>
      </c>
      <c r="P303" s="2" t="n">
        <v>0</v>
      </c>
      <c r="Q303" s="31" t="n">
        <v>0</v>
      </c>
      <c r="R303" s="32" t="n"/>
      <c r="S303" s="32" t="n">
        <v>0</v>
      </c>
      <c r="T303" s="32" t="n">
        <v>0</v>
      </c>
      <c r="U303" s="31" t="n">
        <v>0</v>
      </c>
      <c r="V303" s="32" t="n">
        <v>0</v>
      </c>
      <c r="W303" s="31" t="n">
        <v>0</v>
      </c>
      <c r="X303" s="31" t="n">
        <v>0</v>
      </c>
      <c r="Y303" s="3" t="n">
        <v>0</v>
      </c>
      <c r="Z303" s="3" t="n">
        <v>0</v>
      </c>
      <c r="AA303" s="32" t="n">
        <v>0</v>
      </c>
      <c r="AB303" s="3" t="n">
        <v>0</v>
      </c>
      <c r="AC303" s="32" t="n">
        <v>0</v>
      </c>
      <c r="AD303" s="3" t="n"/>
      <c r="AE303" s="31" t="n">
        <v>0</v>
      </c>
      <c r="AF303" s="2" t="n">
        <v>0</v>
      </c>
      <c r="AG303" s="2" t="n">
        <v>2</v>
      </c>
      <c r="AH303" s="4" t="n">
        <v>2</v>
      </c>
      <c r="AI303" s="33" t="n">
        <v>0</v>
      </c>
      <c r="AJ303" s="4" t="n">
        <v>0</v>
      </c>
      <c r="AK303" s="34" t="n"/>
      <c r="AL303" s="34" t="n">
        <v>0</v>
      </c>
      <c r="AM303" s="2" t="n">
        <v>0</v>
      </c>
    </row>
    <row r="304">
      <c r="A304">
        <f>HYPERLINK("https://www.walmart.com/ip/16315770596", "16315770596")</f>
        <v/>
      </c>
      <c r="B304">
        <f>HYPERLINK("https://app.optiwise.ai/catalog/itemdetails/20220942", "Summer Caps for Men and Women Patriotic Independence Day USA Flag UV Protect  Adjustable Unisex Hats for Sports, Green")</f>
        <v/>
      </c>
      <c r="C304" t="n">
        <v>2</v>
      </c>
      <c r="D304" t="inlineStr">
        <is>
          <t>B78691_1639309_5C9BB2671E1E9004</t>
        </is>
      </c>
      <c r="E304" t="inlineStr">
        <is>
          <t>1TRBC100GN</t>
        </is>
      </c>
      <c r="F304" t="n">
        <v>0</v>
      </c>
      <c r="G304" t="inlineStr">
        <is>
          <t>Clothing</t>
        </is>
      </c>
      <c r="H304" t="inlineStr">
        <is>
          <t>Hats</t>
        </is>
      </c>
      <c r="I304" t="inlineStr">
        <is>
          <t>Tirrinia</t>
        </is>
      </c>
      <c r="L304" s="29" t="n">
        <v>0</v>
      </c>
      <c r="M304" s="30" t="n"/>
      <c r="N304" s="29" t="n">
        <v>0</v>
      </c>
      <c r="O304" s="29" t="n">
        <v>0</v>
      </c>
      <c r="P304" s="2" t="n">
        <v>0</v>
      </c>
      <c r="Q304" s="31" t="n">
        <v>0</v>
      </c>
      <c r="R304" s="32" t="n"/>
      <c r="S304" s="32" t="n">
        <v>0</v>
      </c>
      <c r="T304" s="32" t="n">
        <v>0</v>
      </c>
      <c r="U304" s="31" t="n">
        <v>0</v>
      </c>
      <c r="V304" s="32" t="n">
        <v>0</v>
      </c>
      <c r="W304" s="31" t="n">
        <v>0</v>
      </c>
      <c r="X304" s="31" t="n">
        <v>0</v>
      </c>
      <c r="Y304" s="3" t="n">
        <v>0</v>
      </c>
      <c r="Z304" s="3" t="n">
        <v>0</v>
      </c>
      <c r="AA304" s="32" t="n">
        <v>0</v>
      </c>
      <c r="AB304" s="3" t="n">
        <v>0</v>
      </c>
      <c r="AC304" s="32" t="n">
        <v>0</v>
      </c>
      <c r="AD304" s="3" t="n"/>
      <c r="AE304" s="31" t="n">
        <v>0</v>
      </c>
      <c r="AF304" s="2" t="n">
        <v>0</v>
      </c>
      <c r="AG304" s="2" t="n">
        <v>0</v>
      </c>
      <c r="AH304" s="4" t="n">
        <v>0</v>
      </c>
      <c r="AI304" s="33" t="n">
        <v>0</v>
      </c>
      <c r="AJ304" s="4" t="n">
        <v>0</v>
      </c>
      <c r="AK304" s="34" t="n"/>
      <c r="AL304" s="34" t="n">
        <v>0</v>
      </c>
      <c r="AM304" s="2" t="n">
        <v>0</v>
      </c>
    </row>
    <row r="305">
      <c r="A305">
        <f>HYPERLINK("https://www.walmart.com/ip/15386869189", "15386869189")</f>
        <v/>
      </c>
      <c r="B305">
        <f>HYPERLINK("https://app.optiwise.ai/catalog/itemdetails/20119643", "Tirrinia Large Pop-Up Cooler Bag- Insulated Collapsible Cooler with Flat Drink Table, Lightweight and Portable Ice Round Cooler for Travel, Fishing, Picnics, Hiking, Camping and Beach")</f>
        <v/>
      </c>
      <c r="C305" t="n">
        <v>3</v>
      </c>
      <c r="D305" t="inlineStr">
        <is>
          <t>B78691_1683896_5C9BB2671E1E9004</t>
        </is>
      </c>
      <c r="E305" t="inlineStr">
        <is>
          <t>1TRCB20139BK</t>
        </is>
      </c>
      <c r="F305" t="n">
        <v>0</v>
      </c>
      <c r="G305" t="inlineStr">
        <is>
          <t>Sport &amp; Recreation Other</t>
        </is>
      </c>
      <c r="H305" t="inlineStr">
        <is>
          <t>Soft-Sided Coolers</t>
        </is>
      </c>
      <c r="I305" t="inlineStr">
        <is>
          <t>Tirrinia</t>
        </is>
      </c>
      <c r="L305" s="29" t="n">
        <v>0</v>
      </c>
      <c r="M305" s="30" t="n"/>
      <c r="N305" s="29" t="n">
        <v>0</v>
      </c>
      <c r="O305" s="29" t="n">
        <v>0</v>
      </c>
      <c r="P305" s="2" t="n">
        <v>0</v>
      </c>
      <c r="Q305" s="31" t="n">
        <v>0</v>
      </c>
      <c r="R305" s="32" t="n"/>
      <c r="S305" s="32" t="n">
        <v>0</v>
      </c>
      <c r="T305" s="32" t="n">
        <v>0</v>
      </c>
      <c r="U305" s="31" t="n">
        <v>0</v>
      </c>
      <c r="V305" s="32" t="n">
        <v>0</v>
      </c>
      <c r="W305" s="31" t="n">
        <v>0</v>
      </c>
      <c r="X305" s="31" t="n">
        <v>0</v>
      </c>
      <c r="Y305" s="3" t="n">
        <v>0</v>
      </c>
      <c r="Z305" s="3" t="n">
        <v>0</v>
      </c>
      <c r="AA305" s="32" t="n">
        <v>0</v>
      </c>
      <c r="AB305" s="3" t="n">
        <v>0</v>
      </c>
      <c r="AC305" s="32" t="n">
        <v>0</v>
      </c>
      <c r="AD305" s="3" t="n"/>
      <c r="AE305" s="31" t="n">
        <v>0</v>
      </c>
      <c r="AF305" s="2" t="n">
        <v>0</v>
      </c>
      <c r="AG305" s="2" t="n">
        <v>0</v>
      </c>
      <c r="AH305" s="4" t="n">
        <v>0</v>
      </c>
      <c r="AI305" s="33" t="n">
        <v>0</v>
      </c>
      <c r="AJ305" s="4" t="n">
        <v>0</v>
      </c>
      <c r="AK305" s="34" t="n"/>
      <c r="AL305" s="34" t="n">
        <v>0</v>
      </c>
      <c r="AM305" s="2" t="n">
        <v>0</v>
      </c>
    </row>
    <row r="306">
      <c r="A306">
        <f>HYPERLINK("https://www.walmart.com/ip/116188703", "116188703")</f>
        <v/>
      </c>
      <c r="B306">
        <f>HYPERLINK("https://app.optiwise.ai/catalog/itemdetails/360799", "Vina® 5 Pcs/set Deluxe Wine Bottle Opener Accessories Gift Set - Wine Bottle Opener, Wine Stopper, Wine Drip Ring, Wine Foil Cutter and Wine Pourer")</f>
        <v/>
      </c>
      <c r="C306" t="n">
        <v>1</v>
      </c>
      <c r="D306" t="inlineStr">
        <is>
          <t>B78691_980028</t>
        </is>
      </c>
      <c r="E306" t="inlineStr">
        <is>
          <t>VinaWO002RD</t>
        </is>
      </c>
      <c r="F306" t="n">
        <v>0</v>
      </c>
      <c r="G306" t="inlineStr">
        <is>
          <t>Home Decor, Kitchen, &amp; Other</t>
        </is>
      </c>
      <c r="H306" t="inlineStr">
        <is>
          <t>Corkscrews &amp; Wine Bottle Openers</t>
        </is>
      </c>
      <c r="I306" t="inlineStr">
        <is>
          <t>Vina</t>
        </is>
      </c>
      <c r="K306" t="inlineStr">
        <is>
          <t>Wine,Christmas,Optimized</t>
        </is>
      </c>
      <c r="L306" s="29" t="n">
        <v>0</v>
      </c>
      <c r="M306" s="30" t="n"/>
      <c r="N306" s="29" t="n">
        <v>0</v>
      </c>
      <c r="O306" s="29" t="n">
        <v>0</v>
      </c>
      <c r="P306" s="2" t="n">
        <v>0</v>
      </c>
      <c r="Q306" s="31" t="n">
        <v>0</v>
      </c>
      <c r="R306" s="32" t="n"/>
      <c r="S306" s="32" t="n">
        <v>0</v>
      </c>
      <c r="T306" s="32" t="n">
        <v>0</v>
      </c>
      <c r="U306" s="31" t="n">
        <v>0</v>
      </c>
      <c r="V306" s="32" t="n">
        <v>0</v>
      </c>
      <c r="W306" s="31" t="n">
        <v>0</v>
      </c>
      <c r="X306" s="31" t="n">
        <v>0</v>
      </c>
      <c r="Y306" s="3" t="n">
        <v>0</v>
      </c>
      <c r="Z306" s="3" t="n">
        <v>0</v>
      </c>
      <c r="AA306" s="32" t="n">
        <v>0</v>
      </c>
      <c r="AB306" s="3" t="n">
        <v>0</v>
      </c>
      <c r="AC306" s="32" t="n">
        <v>0</v>
      </c>
      <c r="AD306" s="3" t="n"/>
      <c r="AE306" s="31" t="n">
        <v>0</v>
      </c>
      <c r="AF306" s="2" t="n">
        <v>0</v>
      </c>
      <c r="AG306" s="2" t="n">
        <v>0</v>
      </c>
      <c r="AH306" s="4" t="n">
        <v>0</v>
      </c>
      <c r="AI306" s="33" t="n">
        <v>0</v>
      </c>
      <c r="AJ306" s="4" t="n">
        <v>0</v>
      </c>
      <c r="AK306" s="34" t="n"/>
      <c r="AL306" s="34" t="n">
        <v>0</v>
      </c>
      <c r="AM306" s="2" t="n">
        <v>0</v>
      </c>
    </row>
    <row r="307">
      <c r="A307">
        <f>HYPERLINK("https://www.walmart.com/ip/233877568", "233877568")</f>
        <v/>
      </c>
      <c r="B307">
        <f>HYPERLINK("https://app.optiwise.ai/catalog/itemdetails/5617419", "Catalonia Brazilian Curly Wigs, African American Black Women, Heat Resistance Fiber 16 Black")</f>
        <v/>
      </c>
      <c r="C307" t="n">
        <v>2</v>
      </c>
      <c r="D307" t="inlineStr">
        <is>
          <t>B78691_1639578_5C9BB2671E1E9004</t>
        </is>
      </c>
      <c r="E307" t="inlineStr">
        <is>
          <t>1CTWIG386-1B-ESCB</t>
        </is>
      </c>
      <c r="F307" t="n">
        <v>0</v>
      </c>
      <c r="G307" t="inlineStr">
        <is>
          <t>Clothing</t>
        </is>
      </c>
      <c r="H307" t="inlineStr">
        <is>
          <t>Wigs &amp; Toupees</t>
        </is>
      </c>
      <c r="I307" t="inlineStr">
        <is>
          <t>Catalonia</t>
        </is>
      </c>
      <c r="L307" s="29" t="n">
        <v>0</v>
      </c>
      <c r="M307" s="30" t="n"/>
      <c r="N307" s="29" t="n">
        <v>0</v>
      </c>
      <c r="O307" s="29" t="n">
        <v>0</v>
      </c>
      <c r="P307" s="2" t="n">
        <v>0</v>
      </c>
      <c r="Q307" s="31" t="n">
        <v>0</v>
      </c>
      <c r="R307" s="32" t="n"/>
      <c r="S307" s="32" t="n">
        <v>0</v>
      </c>
      <c r="T307" s="32" t="n">
        <v>0</v>
      </c>
      <c r="U307" s="31" t="n">
        <v>0</v>
      </c>
      <c r="V307" s="32" t="n">
        <v>0</v>
      </c>
      <c r="W307" s="31" t="n">
        <v>0</v>
      </c>
      <c r="X307" s="31" t="n">
        <v>0</v>
      </c>
      <c r="Y307" s="3" t="n">
        <v>0</v>
      </c>
      <c r="Z307" s="3" t="n">
        <v>0</v>
      </c>
      <c r="AA307" s="32" t="n">
        <v>0</v>
      </c>
      <c r="AB307" s="3" t="n">
        <v>0</v>
      </c>
      <c r="AC307" s="32" t="n">
        <v>0</v>
      </c>
      <c r="AD307" s="3" t="n"/>
      <c r="AE307" s="31" t="n">
        <v>0</v>
      </c>
      <c r="AF307" s="2" t="n">
        <v>0</v>
      </c>
      <c r="AG307" s="2" t="n">
        <v>9</v>
      </c>
      <c r="AH307" s="4" t="n">
        <v>9</v>
      </c>
      <c r="AI307" s="33" t="n">
        <v>0</v>
      </c>
      <c r="AJ307" s="4" t="n">
        <v>0</v>
      </c>
      <c r="AK307" s="34" t="n"/>
      <c r="AL307" s="34" t="n">
        <v>0</v>
      </c>
      <c r="AM307" s="2" t="n">
        <v>0</v>
      </c>
    </row>
    <row r="308">
      <c r="A308">
        <f>HYPERLINK("https://www.walmart.com/ip/5495967250", "5495967250")</f>
        <v/>
      </c>
      <c r="B308">
        <f>HYPERLINK("https://app.optiwise.ai/catalog/itemdetails/8055322", "Catalonia Plush Fleece Blanket Couch Throw Christmas Theme Shu Velveteen Lambswool Reversible Warm Super Soft 61” x 50“")</f>
        <v/>
      </c>
      <c r="C308" t="n">
        <v>3</v>
      </c>
      <c r="D308" t="inlineStr">
        <is>
          <t>B78691_1682473_8E06E71DDB227781</t>
        </is>
      </c>
      <c r="E308" t="inlineStr">
        <is>
          <t>1CTBF600FRUITPIE</t>
        </is>
      </c>
      <c r="F308" t="n">
        <v>0</v>
      </c>
      <c r="G308" t="inlineStr">
        <is>
          <t>Bedding</t>
        </is>
      </c>
      <c r="H308" t="inlineStr">
        <is>
          <t>Throws</t>
        </is>
      </c>
      <c r="I308" t="inlineStr">
        <is>
          <t>Catalonia</t>
        </is>
      </c>
      <c r="L308" s="29" t="n">
        <v>0</v>
      </c>
      <c r="M308" s="30" t="n"/>
      <c r="N308" s="29" t="n">
        <v>0</v>
      </c>
      <c r="O308" s="29" t="n">
        <v>0</v>
      </c>
      <c r="P308" s="2" t="n">
        <v>0</v>
      </c>
      <c r="Q308" s="31" t="n">
        <v>0</v>
      </c>
      <c r="R308" s="32" t="n"/>
      <c r="S308" s="32" t="n">
        <v>0</v>
      </c>
      <c r="T308" s="32" t="n">
        <v>0.4825</v>
      </c>
      <c r="U308" s="31" t="n">
        <v>0</v>
      </c>
      <c r="V308" s="32" t="n">
        <v>0</v>
      </c>
      <c r="W308" s="31" t="n">
        <v>0</v>
      </c>
      <c r="X308" s="31" t="n">
        <v>0</v>
      </c>
      <c r="Y308" s="3" t="n">
        <v>0</v>
      </c>
      <c r="Z308" s="3" t="n">
        <v>0</v>
      </c>
      <c r="AA308" s="32" t="n">
        <v>0</v>
      </c>
      <c r="AB308" s="3" t="n">
        <v>0</v>
      </c>
      <c r="AC308" s="32" t="n">
        <v>0</v>
      </c>
      <c r="AD308" s="3" t="n"/>
      <c r="AE308" s="31" t="n">
        <v>0</v>
      </c>
      <c r="AF308" s="2" t="n">
        <v>0</v>
      </c>
      <c r="AG308" s="2" t="n">
        <v>51</v>
      </c>
      <c r="AH308" s="4" t="n">
        <v>51</v>
      </c>
      <c r="AI308" s="33" t="n">
        <v>0</v>
      </c>
      <c r="AJ308" s="4" t="n">
        <v>0</v>
      </c>
      <c r="AK308" s="34" t="n"/>
      <c r="AL308" s="34" t="n">
        <v>0</v>
      </c>
      <c r="AM308" s="2" t="n">
        <v>0</v>
      </c>
    </row>
    <row r="309">
      <c r="A309">
        <f>HYPERLINK("https://www.walmart.com/ip/369508891", "369508891")</f>
        <v/>
      </c>
      <c r="B309">
        <f>HYPERLINK("https://app.optiwise.ai/catalog/itemdetails/362102", "Womens Sun Hat w/ Floppy Brim, Straw Edge Foldable Gardening Hiking Beach Hat for Women")</f>
        <v/>
      </c>
      <c r="C309" t="n">
        <v>3</v>
      </c>
      <c r="D309" t="inlineStr">
        <is>
          <t>B78691_1635687_D3E79F48FFBAC246</t>
        </is>
      </c>
      <c r="E309" t="inlineStr">
        <is>
          <t>1SLSH031BE</t>
        </is>
      </c>
      <c r="F309" t="n">
        <v>56</v>
      </c>
      <c r="G309" t="inlineStr">
        <is>
          <t>Clothing</t>
        </is>
      </c>
      <c r="H309" t="inlineStr">
        <is>
          <t>Hats</t>
        </is>
      </c>
      <c r="I309" t="inlineStr">
        <is>
          <t>Solaris</t>
        </is>
      </c>
      <c r="J309" t="n">
        <v>3.299999999999999</v>
      </c>
      <c r="K309" t="inlineStr">
        <is>
          <t>WFS,Hats,WFS Item</t>
        </is>
      </c>
      <c r="L309" s="29" t="n">
        <v>0</v>
      </c>
      <c r="M309" s="30" t="n"/>
      <c r="N309" s="29" t="n">
        <v>0</v>
      </c>
      <c r="O309" s="29" t="n">
        <v>0</v>
      </c>
      <c r="P309" s="2" t="n">
        <v>0</v>
      </c>
      <c r="Q309" s="31" t="n">
        <v>0</v>
      </c>
      <c r="R309" s="32" t="n"/>
      <c r="S309" s="32" t="n">
        <v>0</v>
      </c>
      <c r="T309" s="32" t="n">
        <v>0</v>
      </c>
      <c r="U309" s="31" t="n">
        <v>0</v>
      </c>
      <c r="V309" s="32" t="n">
        <v>0</v>
      </c>
      <c r="W309" s="31" t="n">
        <v>0</v>
      </c>
      <c r="X309" s="31" t="n">
        <v>0</v>
      </c>
      <c r="Y309" s="3" t="n">
        <v>0</v>
      </c>
      <c r="Z309" s="3" t="n">
        <v>0</v>
      </c>
      <c r="AA309" s="32" t="n">
        <v>0</v>
      </c>
      <c r="AB309" s="3" t="n">
        <v>0</v>
      </c>
      <c r="AC309" s="32" t="n">
        <v>0</v>
      </c>
      <c r="AD309" s="3" t="n"/>
      <c r="AE309" s="31" t="n">
        <v>0</v>
      </c>
      <c r="AF309" s="2" t="n">
        <v>0</v>
      </c>
      <c r="AG309" s="2" t="n">
        <v>31</v>
      </c>
      <c r="AH309" s="4" t="n">
        <v>31</v>
      </c>
      <c r="AI309" s="33" t="n">
        <v>0</v>
      </c>
      <c r="AJ309" s="4" t="n">
        <v>0</v>
      </c>
      <c r="AK309" s="34" t="n"/>
      <c r="AL309" s="34" t="n">
        <v>0</v>
      </c>
      <c r="AM309" s="2" t="n">
        <v>0</v>
      </c>
    </row>
    <row r="310">
      <c r="A310">
        <f>HYPERLINK("https://www.walmart.com/ip/2405680451", "2405680451")</f>
        <v/>
      </c>
      <c r="B310">
        <f>HYPERLINK("https://app.optiwise.ai/catalog/itemdetails/20192720", "Dickies Kids Insulated Lunch Bag for School, Thermal Reusable Lunch Box for Kids, Boys, Girls - 8 Years Old and Up (Pink)")</f>
        <v/>
      </c>
      <c r="C310" t="n">
        <v>2</v>
      </c>
      <c r="D310" t="inlineStr">
        <is>
          <t>B78691_1684012_5C9BB2671E1E9004</t>
        </is>
      </c>
      <c r="E310" t="inlineStr">
        <is>
          <t>DK-LUNCH-KIDS-BROWNDUCK</t>
        </is>
      </c>
      <c r="F310" t="n">
        <v>0</v>
      </c>
      <c r="G310" t="inlineStr">
        <is>
          <t>Home Decor, Kitchen, &amp; Other</t>
        </is>
      </c>
      <c r="H310" t="inlineStr">
        <is>
          <t>Reusable Lunch Bags &amp; Boxes</t>
        </is>
      </c>
      <c r="I310" t="inlineStr">
        <is>
          <t>Dickies</t>
        </is>
      </c>
      <c r="L310" s="29" t="n">
        <v>0</v>
      </c>
      <c r="M310" s="30" t="n"/>
      <c r="N310" s="29" t="n">
        <v>0</v>
      </c>
      <c r="O310" s="29" t="n">
        <v>0</v>
      </c>
      <c r="P310" s="2" t="n">
        <v>0</v>
      </c>
      <c r="Q310" s="31" t="n">
        <v>0</v>
      </c>
      <c r="R310" s="32" t="n"/>
      <c r="S310" s="32" t="n">
        <v>0</v>
      </c>
      <c r="T310" s="32" t="n">
        <v>0</v>
      </c>
      <c r="U310" s="31" t="n">
        <v>0</v>
      </c>
      <c r="V310" s="32" t="n">
        <v>0</v>
      </c>
      <c r="W310" s="31" t="n">
        <v>0</v>
      </c>
      <c r="X310" s="31" t="n">
        <v>0</v>
      </c>
      <c r="Y310" s="3" t="n">
        <v>0</v>
      </c>
      <c r="Z310" s="3" t="n">
        <v>0</v>
      </c>
      <c r="AA310" s="32" t="n">
        <v>0</v>
      </c>
      <c r="AB310" s="3" t="n">
        <v>0</v>
      </c>
      <c r="AC310" s="32" t="n">
        <v>0</v>
      </c>
      <c r="AD310" s="3" t="n"/>
      <c r="AE310" s="31" t="n">
        <v>0</v>
      </c>
      <c r="AF310" s="2" t="n">
        <v>0</v>
      </c>
      <c r="AG310" s="2" t="n">
        <v>0</v>
      </c>
      <c r="AH310" s="4" t="n">
        <v>0</v>
      </c>
      <c r="AI310" s="33" t="n">
        <v>0</v>
      </c>
      <c r="AJ310" s="4" t="n">
        <v>0</v>
      </c>
      <c r="AK310" s="34" t="n"/>
      <c r="AL310" s="34" t="n">
        <v>0</v>
      </c>
      <c r="AM310" s="2" t="n">
        <v>0</v>
      </c>
    </row>
    <row r="311">
      <c r="A311">
        <f>HYPERLINK("https://www.walmart.com/ip/171946676", "171946676")</f>
        <v/>
      </c>
      <c r="B311">
        <f>HYPERLINK("https://app.optiwise.ai/catalog/itemdetails/360775", "Adjustable Buckle Closure USA Flag Embroidered Cap")</f>
        <v/>
      </c>
      <c r="C311" t="n">
        <v>5</v>
      </c>
      <c r="D311" t="inlineStr">
        <is>
          <t>B78691_974285_5C9BB2671E1E9004</t>
        </is>
      </c>
      <c r="E311" t="inlineStr">
        <is>
          <t>kc-aeflag-nv</t>
        </is>
      </c>
      <c r="F311" t="n">
        <v>0</v>
      </c>
      <c r="G311" t="inlineStr">
        <is>
          <t>Clothing</t>
        </is>
      </c>
      <c r="H311" t="inlineStr">
        <is>
          <t>Hats</t>
        </is>
      </c>
      <c r="I311" t="inlineStr">
        <is>
          <t>KC Caps</t>
        </is>
      </c>
      <c r="K311" t="inlineStr">
        <is>
          <t>Optimized</t>
        </is>
      </c>
      <c r="L311" s="29" t="n">
        <v>0</v>
      </c>
      <c r="M311" s="30" t="n"/>
      <c r="N311" s="29" t="n">
        <v>0</v>
      </c>
      <c r="O311" s="29" t="n">
        <v>0</v>
      </c>
      <c r="P311" s="2" t="n">
        <v>0</v>
      </c>
      <c r="Q311" s="31" t="n">
        <v>0</v>
      </c>
      <c r="R311" s="32" t="n"/>
      <c r="S311" s="32" t="n">
        <v>0</v>
      </c>
      <c r="T311" s="32" t="n">
        <v>0</v>
      </c>
      <c r="U311" s="31" t="n">
        <v>0</v>
      </c>
      <c r="V311" s="32" t="n">
        <v>0</v>
      </c>
      <c r="W311" s="31" t="n">
        <v>0</v>
      </c>
      <c r="X311" s="31" t="n">
        <v>0</v>
      </c>
      <c r="Y311" s="3" t="n">
        <v>0</v>
      </c>
      <c r="Z311" s="3" t="n">
        <v>0</v>
      </c>
      <c r="AA311" s="32" t="n">
        <v>0</v>
      </c>
      <c r="AB311" s="3" t="n">
        <v>0</v>
      </c>
      <c r="AC311" s="32" t="n">
        <v>0</v>
      </c>
      <c r="AD311" s="3" t="n"/>
      <c r="AE311" s="31" t="n">
        <v>0</v>
      </c>
      <c r="AF311" s="2" t="n">
        <v>0</v>
      </c>
      <c r="AG311" s="2" t="n">
        <v>17</v>
      </c>
      <c r="AH311" s="4" t="n">
        <v>17</v>
      </c>
      <c r="AI311" s="33" t="n">
        <v>0</v>
      </c>
      <c r="AJ311" s="4" t="n">
        <v>0</v>
      </c>
      <c r="AK311" s="34" t="n"/>
      <c r="AL311" s="34" t="n">
        <v>0</v>
      </c>
      <c r="AM311" s="2" t="n">
        <v>0</v>
      </c>
    </row>
    <row r="312">
      <c r="A312">
        <f>HYPERLINK("https://www.walmart.com/ip/103851347", "103851347")</f>
        <v/>
      </c>
      <c r="B312">
        <f>HYPERLINK("https://app.optiwise.ai/catalog/itemdetails/360649", "Catalonia Super Soft Micro Fleece Reversible Sherpa Plush Bed Throw TV Blanket 50 x 60")</f>
        <v/>
      </c>
      <c r="C312" t="n">
        <v>1</v>
      </c>
      <c r="D312" t="inlineStr">
        <is>
          <t>B78691_1127563</t>
        </is>
      </c>
      <c r="E312" t="inlineStr">
        <is>
          <t>K8021GRAY</t>
        </is>
      </c>
      <c r="F312" t="n">
        <v>9</v>
      </c>
      <c r="G312" t="inlineStr">
        <is>
          <t>Bedding</t>
        </is>
      </c>
      <c r="H312" t="inlineStr">
        <is>
          <t>Throws</t>
        </is>
      </c>
      <c r="I312" t="inlineStr">
        <is>
          <t>Catalonia</t>
        </is>
      </c>
      <c r="J312" t="n">
        <v>4.8</v>
      </c>
      <c r="K312" t="inlineStr">
        <is>
          <t>Batch 1 - TR</t>
        </is>
      </c>
      <c r="L312" s="29" t="n">
        <v>0</v>
      </c>
      <c r="M312" s="30" t="n"/>
      <c r="N312" s="29" t="n">
        <v>0</v>
      </c>
      <c r="O312" s="29" t="n">
        <v>0</v>
      </c>
      <c r="P312" s="2" t="n">
        <v>0</v>
      </c>
      <c r="Q312" s="31" t="n">
        <v>0</v>
      </c>
      <c r="R312" s="32" t="n"/>
      <c r="S312" s="32" t="n">
        <v>0</v>
      </c>
      <c r="T312" s="32" t="n">
        <v>0</v>
      </c>
      <c r="U312" s="31" t="n">
        <v>0</v>
      </c>
      <c r="V312" s="32" t="n">
        <v>0</v>
      </c>
      <c r="W312" s="31" t="n">
        <v>0</v>
      </c>
      <c r="X312" s="31" t="n">
        <v>0</v>
      </c>
      <c r="Y312" s="3" t="n">
        <v>0</v>
      </c>
      <c r="Z312" s="3" t="n">
        <v>0</v>
      </c>
      <c r="AA312" s="32" t="n">
        <v>0</v>
      </c>
      <c r="AB312" s="3" t="n">
        <v>0</v>
      </c>
      <c r="AC312" s="32" t="n">
        <v>0</v>
      </c>
      <c r="AD312" s="3" t="n"/>
      <c r="AE312" s="31" t="n">
        <v>0</v>
      </c>
      <c r="AF312" s="2" t="n">
        <v>0</v>
      </c>
      <c r="AG312" s="2" t="n">
        <v>6</v>
      </c>
      <c r="AH312" s="4" t="n">
        <v>6</v>
      </c>
      <c r="AI312" s="33" t="n">
        <v>0</v>
      </c>
      <c r="AJ312" s="4" t="n">
        <v>0</v>
      </c>
      <c r="AK312" s="34" t="n"/>
      <c r="AL312" s="34" t="n">
        <v>0</v>
      </c>
      <c r="AM312" s="2" t="n">
        <v>0</v>
      </c>
    </row>
    <row r="313">
      <c r="A313">
        <f>HYPERLINK("https://www.walmart.com/ip/195053035", "195053035")</f>
        <v/>
      </c>
      <c r="B313">
        <f>HYPERLINK("https://app.optiwise.ai/catalog/itemdetails/360730", "KC Caps Men's Military Mesh Cap")</f>
        <v/>
      </c>
      <c r="C313" t="n">
        <v>1</v>
      </c>
      <c r="D313" t="inlineStr">
        <is>
          <t>B78691_974019_6FAB7E7BB5B5F90F</t>
        </is>
      </c>
      <c r="E313" t="inlineStr">
        <is>
          <t>7140-Shadow</t>
        </is>
      </c>
      <c r="F313" t="n">
        <v>0</v>
      </c>
      <c r="G313" t="inlineStr">
        <is>
          <t>Clothing</t>
        </is>
      </c>
      <c r="H313" t="inlineStr">
        <is>
          <t>Hats</t>
        </is>
      </c>
      <c r="I313" t="inlineStr">
        <is>
          <t>KC Caps</t>
        </is>
      </c>
      <c r="K313" t="inlineStr">
        <is>
          <t>Optimized</t>
        </is>
      </c>
      <c r="L313" s="29" t="n">
        <v>0</v>
      </c>
      <c r="M313" s="30" t="n"/>
      <c r="N313" s="29" t="n">
        <v>0</v>
      </c>
      <c r="O313" s="29" t="n">
        <v>0</v>
      </c>
      <c r="P313" s="2" t="n">
        <v>0</v>
      </c>
      <c r="Q313" s="31" t="n">
        <v>0</v>
      </c>
      <c r="R313" s="32" t="n"/>
      <c r="S313" s="32" t="n">
        <v>0</v>
      </c>
      <c r="T313" s="32" t="n">
        <v>0</v>
      </c>
      <c r="U313" s="31" t="n">
        <v>0</v>
      </c>
      <c r="V313" s="32" t="n">
        <v>0</v>
      </c>
      <c r="W313" s="31" t="n">
        <v>0</v>
      </c>
      <c r="X313" s="31" t="n">
        <v>0</v>
      </c>
      <c r="Y313" s="3" t="n">
        <v>0</v>
      </c>
      <c r="Z313" s="3" t="n">
        <v>0</v>
      </c>
      <c r="AA313" s="32" t="n">
        <v>0</v>
      </c>
      <c r="AB313" s="3" t="n">
        <v>0</v>
      </c>
      <c r="AC313" s="32" t="n">
        <v>0</v>
      </c>
      <c r="AD313" s="3" t="n"/>
      <c r="AE313" s="31" t="n">
        <v>0</v>
      </c>
      <c r="AF313" s="2" t="n">
        <v>0</v>
      </c>
      <c r="AG313" s="2" t="n">
        <v>4</v>
      </c>
      <c r="AH313" s="4" t="n">
        <v>4</v>
      </c>
      <c r="AI313" s="33" t="n">
        <v>0</v>
      </c>
      <c r="AJ313" s="4" t="n">
        <v>0</v>
      </c>
      <c r="AK313" s="34" t="n"/>
      <c r="AL313" s="34" t="n">
        <v>0</v>
      </c>
      <c r="AM313" s="2" t="n">
        <v>0</v>
      </c>
    </row>
    <row r="314">
      <c r="A314">
        <f>HYPERLINK("https://www.walmart.com/ip/13114116358", "13114116358")</f>
        <v/>
      </c>
      <c r="B314">
        <f>HYPERLINK("https://app.optiwise.ai/catalog/itemdetails/12908368", "Wrangler Slim Genuine Leather AirTag Wallet for Men Adult - Bifold RFID Blocking Design with Hidden AirTag Holder")</f>
        <v/>
      </c>
      <c r="C314" t="n">
        <v>2</v>
      </c>
      <c r="D314" t="inlineStr">
        <is>
          <t>328B9F7_16916119_5C9BB2671E1E9004</t>
        </is>
      </c>
      <c r="E314" t="inlineStr">
        <is>
          <t>WR-WA13704BLKNS</t>
        </is>
      </c>
      <c r="F314" t="n">
        <v>0</v>
      </c>
      <c r="G314" t="inlineStr">
        <is>
          <t>Cases &amp; Bags</t>
        </is>
      </c>
      <c r="H314" t="inlineStr">
        <is>
          <t>Wallets</t>
        </is>
      </c>
      <c r="I314" t="inlineStr">
        <is>
          <t>Wrangler</t>
        </is>
      </c>
      <c r="L314" s="29" t="n">
        <v>0</v>
      </c>
      <c r="M314" s="30" t="n"/>
      <c r="N314" s="29" t="n">
        <v>0</v>
      </c>
      <c r="O314" s="29" t="n">
        <v>0</v>
      </c>
      <c r="P314" s="2" t="n">
        <v>0</v>
      </c>
      <c r="Q314" s="31" t="n">
        <v>0</v>
      </c>
      <c r="R314" s="32" t="n"/>
      <c r="S314" s="32" t="n">
        <v>0</v>
      </c>
      <c r="T314" s="32" t="n">
        <v>0</v>
      </c>
      <c r="U314" s="31" t="n">
        <v>0</v>
      </c>
      <c r="V314" s="32" t="n">
        <v>0</v>
      </c>
      <c r="W314" s="31" t="n">
        <v>0</v>
      </c>
      <c r="X314" s="31" t="n">
        <v>0</v>
      </c>
      <c r="Y314" s="3" t="n">
        <v>0</v>
      </c>
      <c r="Z314" s="3" t="n">
        <v>0</v>
      </c>
      <c r="AA314" s="32" t="n">
        <v>0</v>
      </c>
      <c r="AB314" s="3" t="n">
        <v>0</v>
      </c>
      <c r="AC314" s="32" t="n">
        <v>0</v>
      </c>
      <c r="AD314" s="3" t="n"/>
      <c r="AE314" s="31" t="n">
        <v>0</v>
      </c>
      <c r="AF314" s="2" t="n">
        <v>0</v>
      </c>
      <c r="AG314" s="2" t="n">
        <v>85</v>
      </c>
      <c r="AH314" s="4" t="n">
        <v>85</v>
      </c>
      <c r="AI314" s="33" t="n">
        <v>0</v>
      </c>
      <c r="AJ314" s="4" t="n">
        <v>0</v>
      </c>
      <c r="AK314" s="34" t="n"/>
      <c r="AL314" s="34" t="n">
        <v>0</v>
      </c>
      <c r="AM314" s="2" t="n">
        <v>0</v>
      </c>
    </row>
    <row r="315">
      <c r="A315">
        <f>HYPERLINK("https://www.walmart.com/ip/163231293", "163231293")</f>
        <v/>
      </c>
      <c r="B315">
        <f>HYPERLINK("https://app.optiwise.ai/catalog/itemdetails/360731", "Unisex Realtree Hunting Cap KC Caps® Camouflage Jungle Sports Hat")</f>
        <v/>
      </c>
      <c r="C315" t="n">
        <v>1</v>
      </c>
      <c r="D315" t="inlineStr">
        <is>
          <t>B78691_974017</t>
        </is>
      </c>
      <c r="E315" t="inlineStr">
        <is>
          <t>4730-Hardwood</t>
        </is>
      </c>
      <c r="F315" t="n">
        <v>0</v>
      </c>
      <c r="G315" t="inlineStr">
        <is>
          <t>Clothing</t>
        </is>
      </c>
      <c r="H315" t="inlineStr">
        <is>
          <t>Hats</t>
        </is>
      </c>
      <c r="I315" t="inlineStr">
        <is>
          <t>KC Caps</t>
        </is>
      </c>
      <c r="K315" t="inlineStr">
        <is>
          <t>Batch 1 - TR</t>
        </is>
      </c>
      <c r="L315" s="29" t="n">
        <v>0</v>
      </c>
      <c r="M315" s="30" t="n"/>
      <c r="N315" s="29" t="n">
        <v>0</v>
      </c>
      <c r="O315" s="29" t="n">
        <v>0</v>
      </c>
      <c r="P315" s="2" t="n">
        <v>0</v>
      </c>
      <c r="Q315" s="31" t="n">
        <v>0</v>
      </c>
      <c r="R315" s="32" t="n"/>
      <c r="S315" s="32" t="n">
        <v>0</v>
      </c>
      <c r="T315" s="32" t="n">
        <v>0</v>
      </c>
      <c r="U315" s="31" t="n">
        <v>0</v>
      </c>
      <c r="V315" s="32" t="n">
        <v>0</v>
      </c>
      <c r="W315" s="31" t="n">
        <v>0</v>
      </c>
      <c r="X315" s="31" t="n">
        <v>0</v>
      </c>
      <c r="Y315" s="3" t="n">
        <v>0</v>
      </c>
      <c r="Z315" s="3" t="n">
        <v>0</v>
      </c>
      <c r="AA315" s="32" t="n">
        <v>0</v>
      </c>
      <c r="AB315" s="3" t="n">
        <v>0</v>
      </c>
      <c r="AC315" s="32" t="n">
        <v>0</v>
      </c>
      <c r="AD315" s="3" t="n"/>
      <c r="AE315" s="31" t="n">
        <v>0</v>
      </c>
      <c r="AF315" s="2" t="n">
        <v>0</v>
      </c>
      <c r="AG315" s="2" t="n">
        <v>3</v>
      </c>
      <c r="AH315" s="4" t="n">
        <v>3</v>
      </c>
      <c r="AI315" s="33" t="n">
        <v>0</v>
      </c>
      <c r="AJ315" s="4" t="n">
        <v>0</v>
      </c>
      <c r="AK315" s="34" t="n"/>
      <c r="AL315" s="34" t="n">
        <v>0</v>
      </c>
      <c r="AM315" s="2" t="n">
        <v>0</v>
      </c>
    </row>
    <row r="316">
      <c r="A316">
        <f>HYPERLINK("https://www.walmart.com/ip/100883042", "100883042")</f>
        <v/>
      </c>
      <c r="B316">
        <f>HYPERLINK("https://app.optiwise.ai/catalog/itemdetails/360729", "Vina® Premium Bamboo Cheese Board Set with Storage Drawer &amp; 4 Piece Cheese Knife")</f>
        <v/>
      </c>
      <c r="C316" t="n">
        <v>3</v>
      </c>
      <c r="D316" t="inlineStr">
        <is>
          <t>B78691_1636574_A3B759AB2088D8B2</t>
        </is>
      </c>
      <c r="E316" t="inlineStr">
        <is>
          <t>VINABCB07-4T</t>
        </is>
      </c>
      <c r="F316" t="n">
        <v>38</v>
      </c>
      <c r="G316" t="inlineStr">
        <is>
          <t>Home Decor, Kitchen, &amp; Other</t>
        </is>
      </c>
      <c r="H316" t="inlineStr">
        <is>
          <t>Cheese Board Sets</t>
        </is>
      </c>
      <c r="I316" t="inlineStr">
        <is>
          <t>Tirrinia</t>
        </is>
      </c>
      <c r="J316" t="n">
        <v>4.4</v>
      </c>
      <c r="K316" t="inlineStr">
        <is>
          <t>WFS Item</t>
        </is>
      </c>
      <c r="L316" s="29" t="n">
        <v>0</v>
      </c>
      <c r="M316" s="30" t="n"/>
      <c r="N316" s="29" t="n">
        <v>0</v>
      </c>
      <c r="O316" s="29" t="n">
        <v>0</v>
      </c>
      <c r="P316" s="2" t="n">
        <v>0</v>
      </c>
      <c r="Q316" s="31" t="n">
        <v>0</v>
      </c>
      <c r="R316" s="32" t="n"/>
      <c r="S316" s="32" t="n">
        <v>0</v>
      </c>
      <c r="T316" s="32" t="n">
        <v>0</v>
      </c>
      <c r="U316" s="31" t="n">
        <v>0</v>
      </c>
      <c r="V316" s="32" t="n">
        <v>0</v>
      </c>
      <c r="W316" s="31" t="n">
        <v>0</v>
      </c>
      <c r="X316" s="31" t="n">
        <v>0</v>
      </c>
      <c r="Y316" s="3" t="n">
        <v>0</v>
      </c>
      <c r="Z316" s="3" t="n">
        <v>0</v>
      </c>
      <c r="AA316" s="32" t="n">
        <v>0</v>
      </c>
      <c r="AB316" s="3" t="n">
        <v>0</v>
      </c>
      <c r="AC316" s="32" t="n">
        <v>0</v>
      </c>
      <c r="AD316" s="3" t="n"/>
      <c r="AE316" s="31" t="n">
        <v>0</v>
      </c>
      <c r="AF316" s="2" t="n">
        <v>0</v>
      </c>
      <c r="AG316" s="2" t="n">
        <v>2</v>
      </c>
      <c r="AH316" s="4" t="n">
        <v>2</v>
      </c>
      <c r="AI316" s="33" t="n">
        <v>0</v>
      </c>
      <c r="AJ316" s="4" t="n">
        <v>0</v>
      </c>
      <c r="AK316" s="34" t="n"/>
      <c r="AL316" s="34" t="n">
        <v>0</v>
      </c>
      <c r="AM316" s="2" t="n">
        <v>0</v>
      </c>
    </row>
    <row r="317">
      <c r="A317">
        <f>HYPERLINK("https://www.walmart.com/ip/8166813267", "8166813267")</f>
        <v/>
      </c>
      <c r="B317">
        <f>HYPERLINK("https://app.optiwise.ai/catalog/itemdetails/9840011", "Tirrinia Wearable Blanket Poncho, Cloak with hood, Women Mom Gift, Adult of All Ages, 1.68 lb")</f>
        <v/>
      </c>
      <c r="C317" t="n">
        <v>4</v>
      </c>
      <c r="D317" t="inlineStr">
        <is>
          <t>B78691_1682638_5C9BB2671E1E9004</t>
        </is>
      </c>
      <c r="E317" t="inlineStr">
        <is>
          <t>1TRBC101BKBARK</t>
        </is>
      </c>
      <c r="F317" t="n">
        <v>0</v>
      </c>
      <c r="G317" t="inlineStr">
        <is>
          <t>Bedding</t>
        </is>
      </c>
      <c r="H317" t="inlineStr">
        <is>
          <t>Throws</t>
        </is>
      </c>
      <c r="I317" t="inlineStr">
        <is>
          <t>Tirrinia</t>
        </is>
      </c>
      <c r="L317" s="29" t="n">
        <v>0</v>
      </c>
      <c r="M317" s="30" t="n"/>
      <c r="N317" s="29" t="n">
        <v>0</v>
      </c>
      <c r="O317" s="29" t="n">
        <v>0</v>
      </c>
      <c r="P317" s="2" t="n">
        <v>0</v>
      </c>
      <c r="Q317" s="31" t="n">
        <v>0</v>
      </c>
      <c r="R317" s="32" t="n"/>
      <c r="S317" s="32" t="n">
        <v>0</v>
      </c>
      <c r="T317" s="32" t="n">
        <v>0</v>
      </c>
      <c r="U317" s="31" t="n">
        <v>0</v>
      </c>
      <c r="V317" s="32" t="n">
        <v>0</v>
      </c>
      <c r="W317" s="31" t="n">
        <v>0</v>
      </c>
      <c r="X317" s="31" t="n">
        <v>0</v>
      </c>
      <c r="Y317" s="3" t="n">
        <v>0</v>
      </c>
      <c r="Z317" s="3" t="n">
        <v>0</v>
      </c>
      <c r="AA317" s="32" t="n">
        <v>0</v>
      </c>
      <c r="AB317" s="3" t="n">
        <v>0</v>
      </c>
      <c r="AC317" s="32" t="n">
        <v>0</v>
      </c>
      <c r="AD317" s="3" t="n"/>
      <c r="AE317" s="31" t="n">
        <v>0</v>
      </c>
      <c r="AF317" s="2" t="n">
        <v>0</v>
      </c>
      <c r="AG317" s="2" t="n">
        <v>53</v>
      </c>
      <c r="AH317" s="4" t="n">
        <v>53</v>
      </c>
      <c r="AI317" s="33" t="n">
        <v>0</v>
      </c>
      <c r="AJ317" s="4" t="n">
        <v>0</v>
      </c>
      <c r="AK317" s="34" t="n"/>
      <c r="AL317" s="34" t="n">
        <v>0</v>
      </c>
      <c r="AM317" s="2" t="n">
        <v>0</v>
      </c>
    </row>
    <row r="318">
      <c r="A318">
        <f>HYPERLINK("https://www.walmart.com/ip/6698168886", "6698168886")</f>
        <v/>
      </c>
      <c r="B318">
        <f>HYPERLINK("https://app.optiwise.ai/catalog/itemdetails/9758507", "Tirrinia Comfort All-Season Robe, Ultra-Smooth Womens Robe, Breathable,Luxury for Everyday Indulgence, Skin-friendly")</f>
        <v/>
      </c>
      <c r="C318" t="n">
        <v>3</v>
      </c>
      <c r="D318" t="inlineStr">
        <is>
          <t>B78691_1682623_A4A5C8E0C77F0F95</t>
        </is>
      </c>
      <c r="E318" t="inlineStr">
        <is>
          <t>1TRRB505PP-3-1</t>
        </is>
      </c>
      <c r="F318" t="n">
        <v>0</v>
      </c>
      <c r="G318" t="inlineStr">
        <is>
          <t>Clothing</t>
        </is>
      </c>
      <c r="H318" t="inlineStr">
        <is>
          <t>Sleepwear Robes &amp; Bathrobes</t>
        </is>
      </c>
      <c r="I318" t="inlineStr">
        <is>
          <t>Tirrinia</t>
        </is>
      </c>
      <c r="L318" s="29" t="n">
        <v>0</v>
      </c>
      <c r="M318" s="30" t="n"/>
      <c r="N318" s="29" t="n">
        <v>0</v>
      </c>
      <c r="O318" s="29" t="n">
        <v>0</v>
      </c>
      <c r="P318" s="2" t="n">
        <v>0</v>
      </c>
      <c r="Q318" s="31" t="n">
        <v>0</v>
      </c>
      <c r="R318" s="32" t="n"/>
      <c r="S318" s="32" t="n">
        <v>0</v>
      </c>
      <c r="T318" s="32" t="n">
        <v>0</v>
      </c>
      <c r="U318" s="31" t="n">
        <v>0</v>
      </c>
      <c r="V318" s="32" t="n">
        <v>0</v>
      </c>
      <c r="W318" s="31" t="n">
        <v>0</v>
      </c>
      <c r="X318" s="31" t="n">
        <v>0</v>
      </c>
      <c r="Y318" s="3" t="n">
        <v>0</v>
      </c>
      <c r="Z318" s="3" t="n">
        <v>0</v>
      </c>
      <c r="AA318" s="32" t="n">
        <v>0</v>
      </c>
      <c r="AB318" s="3" t="n">
        <v>0</v>
      </c>
      <c r="AC318" s="32" t="n">
        <v>0</v>
      </c>
      <c r="AD318" s="3" t="n"/>
      <c r="AE318" s="31" t="n">
        <v>0</v>
      </c>
      <c r="AF318" s="2" t="n">
        <v>0</v>
      </c>
      <c r="AG318" s="2" t="n">
        <v>193</v>
      </c>
      <c r="AH318" s="4" t="n">
        <v>193</v>
      </c>
      <c r="AI318" s="33" t="n">
        <v>0</v>
      </c>
      <c r="AJ318" s="4" t="n">
        <v>0</v>
      </c>
      <c r="AK318" s="34" t="n"/>
      <c r="AL318" s="34" t="n">
        <v>0</v>
      </c>
      <c r="AM318" s="2" t="n">
        <v>0</v>
      </c>
    </row>
    <row r="319">
      <c r="A319">
        <f>HYPERLINK("https://www.walmart.com/ip/259966807", "259966807")</f>
        <v/>
      </c>
      <c r="B319">
        <f>HYPERLINK("https://app.optiwise.ai/catalog/itemdetails/5617424", "https://www.walmart.com/ip/Long-Kinky-Curly-Wig-Lace-Front-Synthetic-Fiber-Deep-Wave-Afro-Hair-Replacement-Wig-19-Inch/259966807")</f>
        <v/>
      </c>
      <c r="C319" t="n">
        <v>7</v>
      </c>
      <c r="D319" t="inlineStr">
        <is>
          <t>B78691_1639573_5C9BB2671E1E9004</t>
        </is>
      </c>
      <c r="E319" t="inlineStr">
        <is>
          <t>1CTWIG001-1-ESCB</t>
        </is>
      </c>
      <c r="F319" t="n">
        <v>0</v>
      </c>
      <c r="L319" s="29" t="n">
        <v>0</v>
      </c>
      <c r="M319" s="30" t="n"/>
      <c r="N319" s="29" t="n">
        <v>0</v>
      </c>
      <c r="O319" s="29" t="n">
        <v>0</v>
      </c>
      <c r="P319" s="2" t="n">
        <v>0</v>
      </c>
      <c r="Q319" s="31" t="n">
        <v>0</v>
      </c>
      <c r="R319" s="32" t="n"/>
      <c r="S319" s="32" t="n">
        <v>0</v>
      </c>
      <c r="T319" s="32" t="n">
        <v>0</v>
      </c>
      <c r="U319" s="31" t="n">
        <v>0</v>
      </c>
      <c r="V319" s="32" t="n">
        <v>0</v>
      </c>
      <c r="W319" s="31" t="n">
        <v>0</v>
      </c>
      <c r="X319" s="31" t="n">
        <v>0</v>
      </c>
      <c r="Y319" s="3" t="n">
        <v>0</v>
      </c>
      <c r="Z319" s="3" t="n">
        <v>0</v>
      </c>
      <c r="AA319" s="32" t="n">
        <v>0</v>
      </c>
      <c r="AB319" s="3" t="n">
        <v>0</v>
      </c>
      <c r="AC319" s="32" t="n">
        <v>0</v>
      </c>
      <c r="AD319" s="3" t="n"/>
      <c r="AE319" s="31" t="n">
        <v>0</v>
      </c>
      <c r="AF319" s="2" t="n">
        <v>0</v>
      </c>
      <c r="AG319" s="2" t="n">
        <v>1</v>
      </c>
      <c r="AH319" s="4" t="n">
        <v>1</v>
      </c>
      <c r="AI319" s="33" t="n">
        <v>0</v>
      </c>
      <c r="AJ319" s="4" t="n">
        <v>0</v>
      </c>
      <c r="AK319" s="34" t="n"/>
      <c r="AL319" s="34" t="n">
        <v>0</v>
      </c>
      <c r="AM319" s="2" t="n">
        <v>0</v>
      </c>
    </row>
    <row r="320">
      <c r="A320">
        <f>HYPERLINK("https://www.walmart.com/ip/6125451748", "6125451748")</f>
        <v/>
      </c>
      <c r="B320">
        <f>HYPERLINK("https://app.optiwise.ai/catalog/itemdetails/9588081", "Tirrinia Surf Poncho Changing Towel, Lightweight Surf Hooded Beach Towel Quick Dry, Portable Dressing Room for Surfing Beach Pool Summer Camping Adult Women Men Gift Shark")</f>
        <v/>
      </c>
      <c r="C320" t="n">
        <v>4</v>
      </c>
      <c r="D320" t="inlineStr">
        <is>
          <t>B78691_1682606_5C9BB2671E1E9004</t>
        </is>
      </c>
      <c r="E320" t="inlineStr">
        <is>
          <t>1TRBR101SHARK</t>
        </is>
      </c>
      <c r="F320" t="n">
        <v>0</v>
      </c>
      <c r="G320" t="inlineStr">
        <is>
          <t>Clothing</t>
        </is>
      </c>
      <c r="H320" t="inlineStr">
        <is>
          <t>Sleepwear Robes &amp; Bathrobes</t>
        </is>
      </c>
      <c r="I320" t="inlineStr">
        <is>
          <t>Tirrinia</t>
        </is>
      </c>
      <c r="L320" s="29" t="n">
        <v>0</v>
      </c>
      <c r="M320" s="30" t="n"/>
      <c r="N320" s="29" t="n">
        <v>0</v>
      </c>
      <c r="O320" s="29" t="n">
        <v>0</v>
      </c>
      <c r="P320" s="2" t="n">
        <v>0</v>
      </c>
      <c r="Q320" s="31" t="n">
        <v>0</v>
      </c>
      <c r="R320" s="32" t="n"/>
      <c r="S320" s="32" t="n">
        <v>0</v>
      </c>
      <c r="T320" s="32" t="n">
        <v>0</v>
      </c>
      <c r="U320" s="31" t="n">
        <v>0</v>
      </c>
      <c r="V320" s="32" t="n">
        <v>0</v>
      </c>
      <c r="W320" s="31" t="n">
        <v>0</v>
      </c>
      <c r="X320" s="31" t="n">
        <v>0</v>
      </c>
      <c r="Y320" s="3" t="n">
        <v>0</v>
      </c>
      <c r="Z320" s="3" t="n">
        <v>0</v>
      </c>
      <c r="AA320" s="32" t="n">
        <v>0</v>
      </c>
      <c r="AB320" s="3" t="n">
        <v>0</v>
      </c>
      <c r="AC320" s="32" t="n">
        <v>0</v>
      </c>
      <c r="AD320" s="3" t="n"/>
      <c r="AE320" s="31" t="n">
        <v>0</v>
      </c>
      <c r="AF320" s="2" t="n">
        <v>0</v>
      </c>
      <c r="AG320" s="2" t="n">
        <v>52</v>
      </c>
      <c r="AH320" s="4" t="n">
        <v>52</v>
      </c>
      <c r="AI320" s="33" t="n">
        <v>0</v>
      </c>
      <c r="AJ320" s="4" t="n">
        <v>0</v>
      </c>
      <c r="AK320" s="34" t="n"/>
      <c r="AL320" s="34" t="n">
        <v>0</v>
      </c>
      <c r="AM320" s="2" t="n">
        <v>0</v>
      </c>
    </row>
    <row r="321">
      <c r="A321">
        <f>HYPERLINK("https://www.walmart.com/ip/561712246", "561712246")</f>
        <v/>
      </c>
      <c r="B321">
        <f>HYPERLINK("https://app.optiwise.ai/catalog/itemdetails/20192714", "Dickies Basic Insulated Lunch Bag for Work, Thermal Reusable Office Lunch Box for Men, Women (Purple)")</f>
        <v/>
      </c>
      <c r="C321" t="n">
        <v>4</v>
      </c>
      <c r="D321" t="inlineStr">
        <is>
          <t>B78691_1684016_5C9BB2671E1E9004</t>
        </is>
      </c>
      <c r="E321" t="inlineStr">
        <is>
          <t>DK-LUNCH-BASICBOX-GREYCAMO</t>
        </is>
      </c>
      <c r="F321" t="n">
        <v>0</v>
      </c>
      <c r="G321" t="inlineStr">
        <is>
          <t>Home Decor, Kitchen, &amp; Other</t>
        </is>
      </c>
      <c r="H321" t="inlineStr">
        <is>
          <t>Reusable Lunch Bags &amp; Boxes</t>
        </is>
      </c>
      <c r="I321" t="inlineStr">
        <is>
          <t>Dickies</t>
        </is>
      </c>
      <c r="L321" s="29" t="n">
        <v>0</v>
      </c>
      <c r="M321" s="30" t="n"/>
      <c r="N321" s="29" t="n">
        <v>0</v>
      </c>
      <c r="O321" s="29" t="n">
        <v>0</v>
      </c>
      <c r="P321" s="2" t="n">
        <v>0</v>
      </c>
      <c r="Q321" s="31" t="n">
        <v>0</v>
      </c>
      <c r="R321" s="32" t="n"/>
      <c r="S321" s="32" t="n">
        <v>0</v>
      </c>
      <c r="T321" s="32" t="n">
        <v>0</v>
      </c>
      <c r="U321" s="31" t="n">
        <v>0</v>
      </c>
      <c r="V321" s="32" t="n">
        <v>0</v>
      </c>
      <c r="W321" s="31" t="n">
        <v>0</v>
      </c>
      <c r="X321" s="31" t="n">
        <v>0</v>
      </c>
      <c r="Y321" s="3" t="n">
        <v>0</v>
      </c>
      <c r="Z321" s="3" t="n">
        <v>0</v>
      </c>
      <c r="AA321" s="32" t="n">
        <v>0</v>
      </c>
      <c r="AB321" s="3" t="n">
        <v>0</v>
      </c>
      <c r="AC321" s="32" t="n">
        <v>0</v>
      </c>
      <c r="AD321" s="3" t="n"/>
      <c r="AE321" s="31" t="n">
        <v>0</v>
      </c>
      <c r="AF321" s="2" t="n">
        <v>0</v>
      </c>
      <c r="AG321" s="2" t="n">
        <v>0</v>
      </c>
      <c r="AH321" s="4" t="n">
        <v>0</v>
      </c>
      <c r="AI321" s="33" t="n">
        <v>0</v>
      </c>
      <c r="AJ321" s="4" t="n">
        <v>0</v>
      </c>
      <c r="AK321" s="34" t="n"/>
      <c r="AL321" s="34" t="n">
        <v>0</v>
      </c>
      <c r="AM321" s="2" t="n">
        <v>0</v>
      </c>
    </row>
    <row r="322">
      <c r="A322">
        <f>HYPERLINK("https://www.walmart.com/ip/171507321", "171507321")</f>
        <v/>
      </c>
      <c r="B322">
        <f>HYPERLINK("https://app.optiwise.ai/catalog/itemdetails/361095", "KC Baseball Cap USA American Flag Embroidered Racing Cap Trucker Snapback Sport Hat for Men Women")</f>
        <v/>
      </c>
      <c r="C322" t="n">
        <v>4</v>
      </c>
      <c r="D322" t="inlineStr">
        <is>
          <t>B78691_974291_5C9BB2671E1E9004</t>
        </is>
      </c>
      <c r="E322" t="inlineStr">
        <is>
          <t>KC-AS06</t>
        </is>
      </c>
      <c r="F322" t="n">
        <v>0</v>
      </c>
      <c r="G322" t="inlineStr">
        <is>
          <t>Clothing</t>
        </is>
      </c>
      <c r="H322" t="inlineStr">
        <is>
          <t>Hats</t>
        </is>
      </c>
      <c r="I322" t="inlineStr">
        <is>
          <t>KC Caps</t>
        </is>
      </c>
      <c r="K322" t="inlineStr">
        <is>
          <t>Optimized</t>
        </is>
      </c>
      <c r="L322" s="29" t="n">
        <v>0</v>
      </c>
      <c r="M322" s="30" t="n"/>
      <c r="N322" s="29" t="n">
        <v>0</v>
      </c>
      <c r="O322" s="29" t="n">
        <v>0</v>
      </c>
      <c r="P322" s="2" t="n">
        <v>0</v>
      </c>
      <c r="Q322" s="31" t="n">
        <v>0</v>
      </c>
      <c r="R322" s="32" t="n"/>
      <c r="S322" s="32" t="n">
        <v>0</v>
      </c>
      <c r="T322" s="32" t="n">
        <v>0</v>
      </c>
      <c r="U322" s="31" t="n">
        <v>0</v>
      </c>
      <c r="V322" s="32" t="n">
        <v>0</v>
      </c>
      <c r="W322" s="31" t="n">
        <v>0</v>
      </c>
      <c r="X322" s="31" t="n">
        <v>0</v>
      </c>
      <c r="Y322" s="3" t="n">
        <v>0</v>
      </c>
      <c r="Z322" s="3" t="n">
        <v>0</v>
      </c>
      <c r="AA322" s="32" t="n">
        <v>0</v>
      </c>
      <c r="AB322" s="3" t="n">
        <v>0</v>
      </c>
      <c r="AC322" s="32" t="n">
        <v>0</v>
      </c>
      <c r="AD322" s="3" t="n"/>
      <c r="AE322" s="31" t="n">
        <v>0</v>
      </c>
      <c r="AF322" s="2" t="n">
        <v>0</v>
      </c>
      <c r="AG322" s="2" t="n">
        <v>5</v>
      </c>
      <c r="AH322" s="4" t="n">
        <v>5</v>
      </c>
      <c r="AI322" s="33" t="n">
        <v>0</v>
      </c>
      <c r="AJ322" s="4" t="n">
        <v>0</v>
      </c>
      <c r="AK322" s="34" t="n"/>
      <c r="AL322" s="34" t="n">
        <v>0</v>
      </c>
      <c r="AM322" s="2" t="n">
        <v>0</v>
      </c>
    </row>
    <row r="323">
      <c r="A323">
        <f>HYPERLINK("https://www.walmart.com/ip/6109704781", "6109704781")</f>
        <v/>
      </c>
      <c r="B323">
        <f>HYPERLINK("https://app.optiwise.ai/catalog/itemdetails/9588090", "Catalonia Cooling Blanket for Hot Sleepers, Summer Bed Blanket for Warm Night Sweat, Cool Sofa Throw Blanket for Hot Flashes, Soft Thin Lightweight Blanket for Adults Kids")</f>
        <v/>
      </c>
      <c r="C323" t="n">
        <v>4</v>
      </c>
      <c r="D323" t="inlineStr">
        <is>
          <t>B78691_1682583_E23A6E5F4EB62263</t>
        </is>
      </c>
      <c r="E323" t="inlineStr">
        <is>
          <t>1CTBQ10157GN</t>
        </is>
      </c>
      <c r="F323" t="n">
        <v>0</v>
      </c>
      <c r="G323" t="inlineStr">
        <is>
          <t>Bedding</t>
        </is>
      </c>
      <c r="H323" t="inlineStr">
        <is>
          <t>Throws</t>
        </is>
      </c>
      <c r="I323" t="inlineStr">
        <is>
          <t>Catalonia</t>
        </is>
      </c>
      <c r="L323" s="29" t="n">
        <v>0</v>
      </c>
      <c r="M323" s="30" t="n"/>
      <c r="N323" s="29" t="n">
        <v>0</v>
      </c>
      <c r="O323" s="29" t="n">
        <v>0</v>
      </c>
      <c r="P323" s="2" t="n">
        <v>0</v>
      </c>
      <c r="Q323" s="31" t="n">
        <v>0</v>
      </c>
      <c r="R323" s="32" t="n"/>
      <c r="S323" s="32" t="n">
        <v>0</v>
      </c>
      <c r="T323" s="32" t="n">
        <v>0</v>
      </c>
      <c r="U323" s="31" t="n">
        <v>0</v>
      </c>
      <c r="V323" s="32" t="n">
        <v>0</v>
      </c>
      <c r="W323" s="31" t="n">
        <v>0</v>
      </c>
      <c r="X323" s="31" t="n">
        <v>0</v>
      </c>
      <c r="Y323" s="3" t="n">
        <v>0</v>
      </c>
      <c r="Z323" s="3" t="n">
        <v>0</v>
      </c>
      <c r="AA323" s="32" t="n">
        <v>0</v>
      </c>
      <c r="AB323" s="3" t="n">
        <v>0</v>
      </c>
      <c r="AC323" s="32" t="n">
        <v>0</v>
      </c>
      <c r="AD323" s="3" t="n"/>
      <c r="AE323" s="31" t="n">
        <v>0</v>
      </c>
      <c r="AF323" s="2" t="n">
        <v>0</v>
      </c>
      <c r="AG323" s="2" t="n">
        <v>69</v>
      </c>
      <c r="AH323" s="4" t="n">
        <v>69</v>
      </c>
      <c r="AI323" s="33" t="n">
        <v>0</v>
      </c>
      <c r="AJ323" s="4" t="n">
        <v>0</v>
      </c>
      <c r="AK323" s="34" t="n"/>
      <c r="AL323" s="34" t="n">
        <v>0</v>
      </c>
      <c r="AM323" s="2" t="n">
        <v>0</v>
      </c>
    </row>
    <row r="324">
      <c r="A324">
        <f>HYPERLINK("https://www.walmart.com/ip/6123409250", "6123409250")</f>
        <v/>
      </c>
      <c r="B324">
        <f>HYPERLINK("https://app.optiwise.ai/catalog/itemdetails/9588080", "Solaris Microfiber Beach Towel, 40”x71” Personalized Beach Towels for Adult Women, Sand-Resistant, Quick-Dry Soft Lightweight Compact Camping Towel, Ideal Travel Pool Beach Gifts")</f>
        <v/>
      </c>
      <c r="C324" t="n">
        <v>3</v>
      </c>
      <c r="D324" t="inlineStr">
        <is>
          <t>B78691_1682613_EE64AFF5A281AF08</t>
        </is>
      </c>
      <c r="E324" t="inlineStr">
        <is>
          <t>1SLBM20147CHOCOLATE</t>
        </is>
      </c>
      <c r="F324" t="n">
        <v>0</v>
      </c>
      <c r="G324" t="inlineStr">
        <is>
          <t>Home Decor, Kitchen, &amp; Other</t>
        </is>
      </c>
      <c r="H324" t="inlineStr">
        <is>
          <t>Towels &amp; Washcloths</t>
        </is>
      </c>
      <c r="I324" t="inlineStr">
        <is>
          <t>Solaris</t>
        </is>
      </c>
      <c r="L324" s="29" t="n">
        <v>0</v>
      </c>
      <c r="M324" s="30" t="n"/>
      <c r="N324" s="29" t="n">
        <v>0</v>
      </c>
      <c r="O324" s="29" t="n">
        <v>0</v>
      </c>
      <c r="P324" s="2" t="n">
        <v>0</v>
      </c>
      <c r="Q324" s="31" t="n">
        <v>0</v>
      </c>
      <c r="R324" s="32" t="n"/>
      <c r="S324" s="32" t="n">
        <v>0</v>
      </c>
      <c r="T324" s="32" t="n">
        <v>0</v>
      </c>
      <c r="U324" s="31" t="n">
        <v>0</v>
      </c>
      <c r="V324" s="32" t="n">
        <v>0</v>
      </c>
      <c r="W324" s="31" t="n">
        <v>0</v>
      </c>
      <c r="X324" s="31" t="n">
        <v>0</v>
      </c>
      <c r="Y324" s="3" t="n">
        <v>0</v>
      </c>
      <c r="Z324" s="3" t="n">
        <v>0</v>
      </c>
      <c r="AA324" s="32" t="n">
        <v>0</v>
      </c>
      <c r="AB324" s="3" t="n">
        <v>0</v>
      </c>
      <c r="AC324" s="32" t="n">
        <v>0</v>
      </c>
      <c r="AD324" s="3" t="n"/>
      <c r="AE324" s="31" t="n">
        <v>0</v>
      </c>
      <c r="AF324" s="2" t="n">
        <v>0</v>
      </c>
      <c r="AG324" s="2" t="n">
        <v>37</v>
      </c>
      <c r="AH324" s="4" t="n">
        <v>37</v>
      </c>
      <c r="AI324" s="33" t="n">
        <v>0</v>
      </c>
      <c r="AJ324" s="4" t="n">
        <v>0</v>
      </c>
      <c r="AK324" s="34" t="n"/>
      <c r="AL324" s="34" t="n">
        <v>0</v>
      </c>
      <c r="AM324" s="2" t="n">
        <v>0</v>
      </c>
    </row>
    <row r="325">
      <c r="A325">
        <f>HYPERLINK("https://www.walmart.com/ip/116168425", "116168425")</f>
        <v/>
      </c>
      <c r="B325">
        <f>HYPERLINK("https://app.optiwise.ai/catalog/itemdetails/360871", "Male Female Adjustable Buckle Closure USA Flag Embroidered Cap")</f>
        <v/>
      </c>
      <c r="C325" t="n">
        <v>4</v>
      </c>
      <c r="D325" t="inlineStr">
        <is>
          <t>B78691_974280_5C9BB2671E1E9004</t>
        </is>
      </c>
      <c r="E325" t="inlineStr">
        <is>
          <t>kc-ae8010-kk</t>
        </is>
      </c>
      <c r="F325" t="n">
        <v>0</v>
      </c>
      <c r="G325" t="inlineStr">
        <is>
          <t>Clothing</t>
        </is>
      </c>
      <c r="H325" t="inlineStr">
        <is>
          <t>Hats</t>
        </is>
      </c>
      <c r="I325" t="inlineStr">
        <is>
          <t>KC Caps</t>
        </is>
      </c>
      <c r="K325" t="inlineStr">
        <is>
          <t>Optimized</t>
        </is>
      </c>
      <c r="L325" s="29" t="n">
        <v>0</v>
      </c>
      <c r="M325" s="30" t="n"/>
      <c r="N325" s="29" t="n">
        <v>0</v>
      </c>
      <c r="O325" s="29" t="n">
        <v>0</v>
      </c>
      <c r="P325" s="2" t="n">
        <v>0</v>
      </c>
      <c r="Q325" s="31" t="n">
        <v>0</v>
      </c>
      <c r="R325" s="32" t="n"/>
      <c r="S325" s="32" t="n">
        <v>0</v>
      </c>
      <c r="T325" s="32" t="n">
        <v>0</v>
      </c>
      <c r="U325" s="31" t="n">
        <v>0</v>
      </c>
      <c r="V325" s="32" t="n">
        <v>0</v>
      </c>
      <c r="W325" s="31" t="n">
        <v>0</v>
      </c>
      <c r="X325" s="31" t="n">
        <v>0</v>
      </c>
      <c r="Y325" s="3" t="n">
        <v>0</v>
      </c>
      <c r="Z325" s="3" t="n">
        <v>0</v>
      </c>
      <c r="AA325" s="32" t="n">
        <v>0</v>
      </c>
      <c r="AB325" s="3" t="n">
        <v>0</v>
      </c>
      <c r="AC325" s="32" t="n">
        <v>0</v>
      </c>
      <c r="AD325" s="3" t="n"/>
      <c r="AE325" s="31" t="n">
        <v>0</v>
      </c>
      <c r="AF325" s="2" t="n">
        <v>0</v>
      </c>
      <c r="AG325" s="2" t="n">
        <v>12</v>
      </c>
      <c r="AH325" s="4" t="n">
        <v>12</v>
      </c>
      <c r="AI325" s="33" t="n">
        <v>0</v>
      </c>
      <c r="AJ325" s="4" t="n">
        <v>0</v>
      </c>
      <c r="AK325" s="34" t="n"/>
      <c r="AL325" s="34" t="n">
        <v>0</v>
      </c>
      <c r="AM325" s="2" t="n">
        <v>0</v>
      </c>
    </row>
    <row r="326">
      <c r="A326">
        <f>HYPERLINK("https://www.walmart.com/ip/13656320276", "13656320276")</f>
        <v/>
      </c>
      <c r="B326">
        <f>HYPERLINK("https://app.optiwise.ai/catalog/itemdetails/13000984", "Catalonia Wearable Hoodie Blanket Quilted Outdoor Waterproof Hoodie for Women Men for Hiking Camping Picnic Oversized Soft Cozy Warm Hoodie Blanket Gifts with Giant Pocket and Long Sleeves Black")</f>
        <v/>
      </c>
      <c r="C326" t="n">
        <v>2</v>
      </c>
      <c r="D326" t="inlineStr">
        <is>
          <t>B78691_1683568_5C9BB2671E1E9004</t>
        </is>
      </c>
      <c r="E326" t="inlineStr">
        <is>
          <t>1CTHD301BK</t>
        </is>
      </c>
      <c r="F326" t="n">
        <v>0</v>
      </c>
      <c r="G326" t="inlineStr">
        <is>
          <t>Clothing</t>
        </is>
      </c>
      <c r="H326" t="inlineStr">
        <is>
          <t>Sweatshirts &amp; Hoodies</t>
        </is>
      </c>
      <c r="I326" t="inlineStr">
        <is>
          <t>Catalonia</t>
        </is>
      </c>
      <c r="L326" s="29" t="n">
        <v>0</v>
      </c>
      <c r="M326" s="30" t="n"/>
      <c r="N326" s="29" t="n">
        <v>0</v>
      </c>
      <c r="O326" s="29" t="n">
        <v>0</v>
      </c>
      <c r="P326" s="2" t="n">
        <v>0</v>
      </c>
      <c r="Q326" s="31" t="n">
        <v>2.9</v>
      </c>
      <c r="R326" s="32" t="n">
        <v>0.0003</v>
      </c>
      <c r="S326" s="32" t="n">
        <v>0</v>
      </c>
      <c r="T326" s="32" t="n">
        <v>0</v>
      </c>
      <c r="U326" s="31" t="n">
        <v>0</v>
      </c>
      <c r="V326" s="32" t="n">
        <v>0</v>
      </c>
      <c r="W326" s="31" t="n">
        <v>0</v>
      </c>
      <c r="X326" s="31" t="n">
        <v>0</v>
      </c>
      <c r="Y326" s="3" t="n">
        <v>3749</v>
      </c>
      <c r="Z326" s="3" t="n">
        <v>8</v>
      </c>
      <c r="AA326" s="32" t="n">
        <v>0.0021</v>
      </c>
      <c r="AB326" s="3" t="n">
        <v>0</v>
      </c>
      <c r="AC326" s="32" t="n">
        <v>0</v>
      </c>
      <c r="AD326" s="3" t="inlineStr">
        <is>
          <t>,Hoodies_Auto</t>
        </is>
      </c>
      <c r="AE326" s="31" t="n">
        <v>0.36</v>
      </c>
      <c r="AF326" s="2" t="n">
        <v>0</v>
      </c>
      <c r="AG326" s="2" t="n">
        <v>38</v>
      </c>
      <c r="AH326" s="4" t="n">
        <v>30</v>
      </c>
      <c r="AI326" s="33" t="n">
        <v>0</v>
      </c>
      <c r="AJ326" s="4" t="n">
        <v>0</v>
      </c>
      <c r="AK326" s="34" t="n"/>
      <c r="AL326" s="34" t="n">
        <v>0</v>
      </c>
      <c r="AM326" s="2" t="n">
        <v>0</v>
      </c>
    </row>
    <row r="327">
      <c r="A327">
        <f>HYPERLINK("https://www.walmart.com/ip/815484125", "815484125")</f>
        <v/>
      </c>
      <c r="B327">
        <f>HYPERLINK("https://app.optiwise.ai/catalog/itemdetails/360864", "Unisex Fishing Hat with Foldable Neck Flap Cover Wide Brim Sun UV Protection Hiking Safari Bucket Cap for Bug Free (Khaki)")</f>
        <v/>
      </c>
      <c r="C327" t="n">
        <v>2</v>
      </c>
      <c r="D327" t="inlineStr">
        <is>
          <t>B78691_1635692_A1F183B63FE32947</t>
        </is>
      </c>
      <c r="E327" t="inlineStr">
        <is>
          <t>1SLSH060KK</t>
        </is>
      </c>
      <c r="F327" t="n">
        <v>12</v>
      </c>
      <c r="G327" t="inlineStr">
        <is>
          <t>Clothing</t>
        </is>
      </c>
      <c r="H327" t="inlineStr">
        <is>
          <t>Hats</t>
        </is>
      </c>
      <c r="I327" t="inlineStr">
        <is>
          <t>Solaris</t>
        </is>
      </c>
      <c r="J327" t="n">
        <v>4.5</v>
      </c>
      <c r="K327" t="inlineStr">
        <is>
          <t>Hats,Batch 1 - TR</t>
        </is>
      </c>
      <c r="L327" s="29" t="n">
        <v>0</v>
      </c>
      <c r="M327" s="30" t="n"/>
      <c r="N327" s="29" t="n">
        <v>0</v>
      </c>
      <c r="O327" s="29" t="n">
        <v>0</v>
      </c>
      <c r="P327" s="2" t="n">
        <v>0</v>
      </c>
      <c r="Q327" s="31" t="n">
        <v>0</v>
      </c>
      <c r="R327" s="32" t="n"/>
      <c r="S327" s="32" t="n">
        <v>0</v>
      </c>
      <c r="T327" s="32" t="n">
        <v>0</v>
      </c>
      <c r="U327" s="31" t="n">
        <v>0</v>
      </c>
      <c r="V327" s="32" t="n">
        <v>0</v>
      </c>
      <c r="W327" s="31" t="n">
        <v>0</v>
      </c>
      <c r="X327" s="31" t="n">
        <v>0</v>
      </c>
      <c r="Y327" s="3" t="n">
        <v>0</v>
      </c>
      <c r="Z327" s="3" t="n">
        <v>0</v>
      </c>
      <c r="AA327" s="32" t="n">
        <v>0</v>
      </c>
      <c r="AB327" s="3" t="n">
        <v>0</v>
      </c>
      <c r="AC327" s="32" t="n">
        <v>0</v>
      </c>
      <c r="AD327" s="3" t="n"/>
      <c r="AE327" s="31" t="n">
        <v>0</v>
      </c>
      <c r="AF327" s="2" t="n">
        <v>0</v>
      </c>
      <c r="AG327" s="2" t="n">
        <v>2</v>
      </c>
      <c r="AH327" s="4" t="n">
        <v>2</v>
      </c>
      <c r="AI327" s="33" t="n">
        <v>0</v>
      </c>
      <c r="AJ327" s="4" t="n">
        <v>0</v>
      </c>
      <c r="AK327" s="34" t="n"/>
      <c r="AL327" s="34" t="n">
        <v>0</v>
      </c>
      <c r="AM327" s="2" t="n">
        <v>0</v>
      </c>
    </row>
    <row r="328">
      <c r="A328">
        <f>HYPERLINK("https://www.walmart.com/ip/565270499", "565270499")</f>
        <v/>
      </c>
      <c r="B328">
        <f>HYPERLINK("https://app.optiwise.ai/catalog/itemdetails/20192715", "Hang Ten Basic Insulated Lunch Bag for Work, Thermal Reusable Office Lunch Box for Men, Women (Palm Trees)")</f>
        <v/>
      </c>
      <c r="C328" t="n">
        <v>5</v>
      </c>
      <c r="D328" t="inlineStr">
        <is>
          <t>lunchbox 02</t>
        </is>
      </c>
      <c r="E328" t="inlineStr">
        <is>
          <t>HT-LUNCH-BASICBOX-ISLANDRAINBOW</t>
        </is>
      </c>
      <c r="F328" t="n">
        <v>0</v>
      </c>
      <c r="G328" t="inlineStr">
        <is>
          <t>Home Decor, Kitchen, &amp; Other</t>
        </is>
      </c>
      <c r="H328" t="inlineStr">
        <is>
          <t>Reusable Lunch Bags &amp; Boxes</t>
        </is>
      </c>
      <c r="I328" t="inlineStr">
        <is>
          <t>HANG TEN</t>
        </is>
      </c>
      <c r="L328" s="29" t="n">
        <v>0</v>
      </c>
      <c r="M328" s="30" t="n"/>
      <c r="N328" s="29" t="n">
        <v>0</v>
      </c>
      <c r="O328" s="29" t="n">
        <v>0</v>
      </c>
      <c r="P328" s="2" t="n">
        <v>0</v>
      </c>
      <c r="Q328" s="31" t="n">
        <v>0</v>
      </c>
      <c r="R328" s="32" t="n"/>
      <c r="S328" s="32" t="n">
        <v>0</v>
      </c>
      <c r="T328" s="32" t="n">
        <v>0</v>
      </c>
      <c r="U328" s="31" t="n">
        <v>0</v>
      </c>
      <c r="V328" s="32" t="n">
        <v>0</v>
      </c>
      <c r="W328" s="31" t="n">
        <v>0</v>
      </c>
      <c r="X328" s="31" t="n">
        <v>0</v>
      </c>
      <c r="Y328" s="3" t="n">
        <v>0</v>
      </c>
      <c r="Z328" s="3" t="n">
        <v>0</v>
      </c>
      <c r="AA328" s="32" t="n">
        <v>0</v>
      </c>
      <c r="AB328" s="3" t="n">
        <v>0</v>
      </c>
      <c r="AC328" s="32" t="n">
        <v>0</v>
      </c>
      <c r="AD328" s="3" t="n"/>
      <c r="AE328" s="31" t="n">
        <v>0</v>
      </c>
      <c r="AF328" s="2" t="n">
        <v>0</v>
      </c>
      <c r="AG328" s="2" t="n">
        <v>0</v>
      </c>
      <c r="AH328" s="4" t="n">
        <v>0</v>
      </c>
      <c r="AI328" s="33" t="n">
        <v>0</v>
      </c>
      <c r="AJ328" s="4" t="n">
        <v>0</v>
      </c>
      <c r="AK328" s="34" t="n"/>
      <c r="AL328" s="34" t="n">
        <v>0</v>
      </c>
      <c r="AM328" s="2" t="n">
        <v>0</v>
      </c>
    </row>
    <row r="329">
      <c r="A329">
        <f>HYPERLINK("https://www.walmart.com/ip/1179537793", "1179537793")</f>
        <v/>
      </c>
      <c r="B329">
        <f>HYPERLINK("https://app.optiwise.ai/catalog/itemdetails/13012098", "Every Day is Christmas Glass Blown Ornaments Cute Hand Made Figurines Tree Decoration, Garbage Truck")</f>
        <v/>
      </c>
      <c r="C329" t="n">
        <v>12</v>
      </c>
      <c r="D329" t="inlineStr">
        <is>
          <t>00850033900545</t>
        </is>
      </c>
      <c r="E329" t="inlineStr">
        <is>
          <t>EDC-FIGURINE-GARBAGETRUCK</t>
        </is>
      </c>
      <c r="F329" t="n">
        <v>1</v>
      </c>
      <c r="G329" t="inlineStr">
        <is>
          <t>Decorations &amp; Favors</t>
        </is>
      </c>
      <c r="H329" t="inlineStr">
        <is>
          <t>Ornaments</t>
        </is>
      </c>
      <c r="I329" t="inlineStr">
        <is>
          <t>Every Day is Christmas</t>
        </is>
      </c>
      <c r="J329" t="n">
        <v>1</v>
      </c>
      <c r="L329" s="29" t="n">
        <v>0</v>
      </c>
      <c r="M329" s="30" t="n"/>
      <c r="N329" s="29" t="n">
        <v>0</v>
      </c>
      <c r="O329" s="29" t="n">
        <v>0</v>
      </c>
      <c r="P329" s="2" t="n">
        <v>0</v>
      </c>
      <c r="Q329" s="31" t="n">
        <v>0</v>
      </c>
      <c r="R329" s="32" t="n"/>
      <c r="S329" s="32" t="n">
        <v>0</v>
      </c>
      <c r="T329" s="32" t="n">
        <v>0.1746</v>
      </c>
      <c r="U329" s="31" t="n">
        <v>0</v>
      </c>
      <c r="V329" s="32" t="n">
        <v>0</v>
      </c>
      <c r="W329" s="31" t="n">
        <v>0</v>
      </c>
      <c r="X329" s="31" t="n">
        <v>0</v>
      </c>
      <c r="Y329" s="3" t="n">
        <v>0</v>
      </c>
      <c r="Z329" s="3" t="n">
        <v>0</v>
      </c>
      <c r="AA329" s="32" t="n">
        <v>0</v>
      </c>
      <c r="AB329" s="3" t="n">
        <v>0</v>
      </c>
      <c r="AC329" s="32" t="n">
        <v>0</v>
      </c>
      <c r="AD329" s="3" t="n"/>
      <c r="AE329" s="31" t="n">
        <v>0</v>
      </c>
      <c r="AF329" s="2" t="n">
        <v>0</v>
      </c>
      <c r="AG329" s="2" t="n">
        <v>124</v>
      </c>
      <c r="AH329" s="4" t="n">
        <v>124</v>
      </c>
      <c r="AI329" s="33" t="n">
        <v>0</v>
      </c>
      <c r="AJ329" s="4" t="n">
        <v>0</v>
      </c>
      <c r="AK329" s="34" t="n"/>
      <c r="AL329" s="34" t="n">
        <v>0</v>
      </c>
      <c r="AM329" s="2" t="n">
        <v>0</v>
      </c>
    </row>
    <row r="330">
      <c r="A330">
        <f>HYPERLINK("https://www.walmart.com/ip/1218977585", "1218977585")</f>
        <v/>
      </c>
      <c r="B330">
        <f>HYPERLINK("https://app.optiwise.ai/catalog/itemdetails/13012130", "Every Day is Christmas Glass Blown Ornaments Cute Hand Made Figurines Tree Decoration, Popcorn Soda")</f>
        <v/>
      </c>
      <c r="C330" t="n">
        <v>18</v>
      </c>
      <c r="D330" t="inlineStr">
        <is>
          <t>00850033900576</t>
        </is>
      </c>
      <c r="E330" t="inlineStr">
        <is>
          <t>EDC-FIGURINE-POPCORNSODA</t>
        </is>
      </c>
      <c r="F330" t="n">
        <v>3</v>
      </c>
      <c r="G330" t="inlineStr">
        <is>
          <t>Decorations &amp; Favors</t>
        </is>
      </c>
      <c r="H330" t="inlineStr">
        <is>
          <t>Ornaments</t>
        </is>
      </c>
      <c r="I330" t="inlineStr">
        <is>
          <t>Every Day is Christmas</t>
        </is>
      </c>
      <c r="J330" t="n">
        <v>3.700000000000001</v>
      </c>
      <c r="L330" s="29" t="n">
        <v>0</v>
      </c>
      <c r="M330" s="30" t="n"/>
      <c r="N330" s="29" t="n">
        <v>0</v>
      </c>
      <c r="O330" s="29" t="n">
        <v>0</v>
      </c>
      <c r="P330" s="2" t="n">
        <v>0</v>
      </c>
      <c r="Q330" s="31" t="n">
        <v>0</v>
      </c>
      <c r="R330" s="32" t="n"/>
      <c r="S330" s="32" t="n">
        <v>0</v>
      </c>
      <c r="T330" s="32" t="n">
        <v>0.3358</v>
      </c>
      <c r="U330" s="31" t="n">
        <v>0</v>
      </c>
      <c r="V330" s="32" t="n">
        <v>0</v>
      </c>
      <c r="W330" s="31" t="n">
        <v>0</v>
      </c>
      <c r="X330" s="31" t="n">
        <v>0</v>
      </c>
      <c r="Y330" s="3" t="n">
        <v>0</v>
      </c>
      <c r="Z330" s="3" t="n">
        <v>0</v>
      </c>
      <c r="AA330" s="32" t="n">
        <v>0</v>
      </c>
      <c r="AB330" s="3" t="n">
        <v>0</v>
      </c>
      <c r="AC330" s="32" t="n">
        <v>0</v>
      </c>
      <c r="AD330" s="3" t="n"/>
      <c r="AE330" s="31" t="n">
        <v>0</v>
      </c>
      <c r="AF330" s="2" t="n">
        <v>0</v>
      </c>
      <c r="AG330" s="2" t="n">
        <v>334</v>
      </c>
      <c r="AH330" s="4" t="n">
        <v>334</v>
      </c>
      <c r="AI330" s="33" t="n">
        <v>0</v>
      </c>
      <c r="AJ330" s="4" t="n">
        <v>0</v>
      </c>
      <c r="AK330" s="34" t="n"/>
      <c r="AL330" s="34" t="n">
        <v>0</v>
      </c>
      <c r="AM330" s="2" t="n">
        <v>0</v>
      </c>
    </row>
    <row r="331">
      <c r="A331">
        <f>HYPERLINK("https://www.walmart.com/ip/5798977265", "5798977265")</f>
        <v/>
      </c>
      <c r="B331">
        <f>HYPERLINK("https://app.optiwise.ai/catalog/itemdetails/9588070", "Catalonia Cooling Blanket for Hot Sleepers, Summer Bed Blanket for Warm Night Sweat, Cool Sofa Throw Blanket for Hot Flashes, Soft Thin Lightweight Blanket for Adults Kids")</f>
        <v/>
      </c>
      <c r="C331" t="n">
        <v>12</v>
      </c>
      <c r="D331" t="inlineStr">
        <is>
          <t>B78691_1682583_A55810D651AC24B</t>
        </is>
      </c>
      <c r="E331" t="inlineStr">
        <is>
          <t>1CTBQ10119GY</t>
        </is>
      </c>
      <c r="F331" t="n">
        <v>0</v>
      </c>
      <c r="G331" t="inlineStr">
        <is>
          <t>Bedding</t>
        </is>
      </c>
      <c r="H331" t="inlineStr">
        <is>
          <t>Throws</t>
        </is>
      </c>
      <c r="I331" t="inlineStr">
        <is>
          <t>Catalonia</t>
        </is>
      </c>
      <c r="L331" s="29" t="n">
        <v>0</v>
      </c>
      <c r="M331" s="30" t="n"/>
      <c r="N331" s="29" t="n">
        <v>0</v>
      </c>
      <c r="O331" s="29" t="n">
        <v>0</v>
      </c>
      <c r="P331" s="2" t="n">
        <v>0</v>
      </c>
      <c r="Q331" s="31" t="n">
        <v>0</v>
      </c>
      <c r="R331" s="32" t="n"/>
      <c r="S331" s="32" t="n">
        <v>0</v>
      </c>
      <c r="T331" s="32" t="n">
        <v>0</v>
      </c>
      <c r="U331" s="31" t="n">
        <v>0</v>
      </c>
      <c r="V331" s="32" t="n">
        <v>0</v>
      </c>
      <c r="W331" s="31" t="n">
        <v>0</v>
      </c>
      <c r="X331" s="31" t="n">
        <v>0</v>
      </c>
      <c r="Y331" s="3" t="n">
        <v>0</v>
      </c>
      <c r="Z331" s="3" t="n">
        <v>0</v>
      </c>
      <c r="AA331" s="32" t="n">
        <v>0</v>
      </c>
      <c r="AB331" s="3" t="n">
        <v>0</v>
      </c>
      <c r="AC331" s="32" t="n">
        <v>0</v>
      </c>
      <c r="AD331" s="3" t="n"/>
      <c r="AE331" s="31" t="n">
        <v>0</v>
      </c>
      <c r="AF331" s="2" t="n">
        <v>0</v>
      </c>
      <c r="AG331" s="2" t="n">
        <v>106</v>
      </c>
      <c r="AH331" s="4" t="n">
        <v>106</v>
      </c>
      <c r="AI331" s="33" t="n">
        <v>0</v>
      </c>
      <c r="AJ331" s="4" t="n">
        <v>0</v>
      </c>
      <c r="AK331" s="34" t="n"/>
      <c r="AL331" s="34" t="n">
        <v>0</v>
      </c>
      <c r="AM331" s="2" t="n">
        <v>0</v>
      </c>
    </row>
    <row r="332">
      <c r="A332">
        <f>HYPERLINK("https://www.walmart.com/ip/416219452", "416219452")</f>
        <v/>
      </c>
      <c r="B332">
        <f>HYPERLINK("https://app.optiwise.ai/catalog/itemdetails/360725", "Jennis 2 Women's Beileise  Sexy Net Pantyhose  Stockings Black Sheer Socks")</f>
        <v/>
      </c>
      <c r="C332" t="n">
        <v>2</v>
      </c>
      <c r="D332" t="inlineStr">
        <is>
          <t>B78691_974108</t>
        </is>
      </c>
      <c r="E332" t="inlineStr">
        <is>
          <t>JWBLSPH2085-2 Packs</t>
        </is>
      </c>
      <c r="F332" t="n">
        <v>0</v>
      </c>
      <c r="G332" t="inlineStr">
        <is>
          <t>Clothing</t>
        </is>
      </c>
      <c r="H332" t="inlineStr">
        <is>
          <t>Pantyhose &amp; Tights</t>
        </is>
      </c>
      <c r="I332" t="inlineStr">
        <is>
          <t>JenniWears</t>
        </is>
      </c>
      <c r="K332" t="inlineStr">
        <is>
          <t>Optimized,Valentine</t>
        </is>
      </c>
      <c r="L332" s="29" t="n">
        <v>0</v>
      </c>
      <c r="M332" s="30" t="n"/>
      <c r="N332" s="29" t="n">
        <v>0</v>
      </c>
      <c r="O332" s="29" t="n">
        <v>0</v>
      </c>
      <c r="P332" s="2" t="n">
        <v>0</v>
      </c>
      <c r="Q332" s="31" t="n">
        <v>0</v>
      </c>
      <c r="R332" s="32" t="n"/>
      <c r="S332" s="32" t="n">
        <v>0</v>
      </c>
      <c r="T332" s="32" t="n">
        <v>0</v>
      </c>
      <c r="U332" s="31" t="n">
        <v>0</v>
      </c>
      <c r="V332" s="32" t="n">
        <v>0</v>
      </c>
      <c r="W332" s="31" t="n">
        <v>0</v>
      </c>
      <c r="X332" s="31" t="n">
        <v>0</v>
      </c>
      <c r="Y332" s="3" t="n">
        <v>0</v>
      </c>
      <c r="Z332" s="3" t="n">
        <v>0</v>
      </c>
      <c r="AA332" s="32" t="n">
        <v>0</v>
      </c>
      <c r="AB332" s="3" t="n">
        <v>0</v>
      </c>
      <c r="AC332" s="32" t="n">
        <v>0</v>
      </c>
      <c r="AD332" s="3" t="n"/>
      <c r="AE332" s="31" t="n">
        <v>0</v>
      </c>
      <c r="AF332" s="2" t="n">
        <v>0</v>
      </c>
      <c r="AG332" s="2" t="n">
        <v>2</v>
      </c>
      <c r="AH332" s="4" t="n">
        <v>2</v>
      </c>
      <c r="AI332" s="33" t="n">
        <v>0</v>
      </c>
      <c r="AJ332" s="4" t="n">
        <v>0</v>
      </c>
      <c r="AK332" s="34" t="n"/>
      <c r="AL332" s="34" t="n">
        <v>0</v>
      </c>
      <c r="AM332" s="2" t="n">
        <v>0</v>
      </c>
    </row>
    <row r="333">
      <c r="A333">
        <f>HYPERLINK("https://www.walmart.com/ip/5729771065", "5729771065")</f>
        <v/>
      </c>
      <c r="B333">
        <f>HYPERLINK("https://app.optiwise.ai/catalog/itemdetails/9049280", "Tirrinia Surf Poncho Changing Towel Summer Swim Robe with Hood, Portable Dressing Room, Stylish &amp; Multi-Functional for Surfing Beach Adult Men Women")</f>
        <v/>
      </c>
      <c r="C333" t="n">
        <v>4</v>
      </c>
      <c r="D333" t="inlineStr">
        <is>
          <t>B78691_1682519_9145C14F91F57801</t>
        </is>
      </c>
      <c r="E333" t="inlineStr">
        <is>
          <t>1TRBR131BK-2</t>
        </is>
      </c>
      <c r="F333" t="n">
        <v>0</v>
      </c>
      <c r="G333" t="inlineStr">
        <is>
          <t>Clothing</t>
        </is>
      </c>
      <c r="H333" t="inlineStr">
        <is>
          <t>Towels &amp; Washcloths</t>
        </is>
      </c>
      <c r="I333" t="inlineStr">
        <is>
          <t>Tirrinia</t>
        </is>
      </c>
      <c r="L333" s="29" t="n">
        <v>0</v>
      </c>
      <c r="M333" s="30" t="n"/>
      <c r="N333" s="29" t="n">
        <v>0</v>
      </c>
      <c r="O333" s="29" t="n">
        <v>0</v>
      </c>
      <c r="P333" s="2" t="n">
        <v>0</v>
      </c>
      <c r="Q333" s="31" t="n">
        <v>0</v>
      </c>
      <c r="R333" s="32" t="n"/>
      <c r="S333" s="32" t="n">
        <v>0</v>
      </c>
      <c r="T333" s="32" t="n">
        <v>0</v>
      </c>
      <c r="U333" s="31" t="n">
        <v>0</v>
      </c>
      <c r="V333" s="32" t="n">
        <v>0</v>
      </c>
      <c r="W333" s="31" t="n">
        <v>0</v>
      </c>
      <c r="X333" s="31" t="n">
        <v>0</v>
      </c>
      <c r="Y333" s="3" t="n">
        <v>0</v>
      </c>
      <c r="Z333" s="3" t="n">
        <v>0</v>
      </c>
      <c r="AA333" s="32" t="n">
        <v>0</v>
      </c>
      <c r="AB333" s="3" t="n">
        <v>0</v>
      </c>
      <c r="AC333" s="32" t="n">
        <v>0</v>
      </c>
      <c r="AD333" s="3" t="n"/>
      <c r="AE333" s="31" t="n">
        <v>0</v>
      </c>
      <c r="AF333" s="2" t="n">
        <v>0</v>
      </c>
      <c r="AG333" s="2" t="n">
        <v>37</v>
      </c>
      <c r="AH333" s="4" t="n">
        <v>37</v>
      </c>
      <c r="AI333" s="33" t="n">
        <v>0</v>
      </c>
      <c r="AJ333" s="4" t="n">
        <v>0</v>
      </c>
      <c r="AK333" s="34" t="n"/>
      <c r="AL333" s="34" t="n">
        <v>0</v>
      </c>
      <c r="AM333" s="2" t="n">
        <v>0</v>
      </c>
    </row>
    <row r="334">
      <c r="A334">
        <f>HYPERLINK("https://www.walmart.com/ip/2862247435", "2862247435")</f>
        <v/>
      </c>
      <c r="B334">
        <f>HYPERLINK("https://app.optiwise.ai/catalog/itemdetails/20192722", "Dickies Insulated Lunch Bag Satchel for Girls School and Work, Thermal Reusable Office Lunch Box for Women (Charcoal)")</f>
        <v/>
      </c>
      <c r="C334" t="n">
        <v>5</v>
      </c>
      <c r="D334" t="inlineStr">
        <is>
          <t>B78691_1684005_5C9BB2671E1E9004</t>
        </is>
      </c>
      <c r="E334" t="inlineStr">
        <is>
          <t>DK-LUNCH-SATCHEL-RETROYELLOW</t>
        </is>
      </c>
      <c r="F334" t="n">
        <v>0</v>
      </c>
      <c r="G334" t="inlineStr">
        <is>
          <t>Home Decor, Kitchen, &amp; Other</t>
        </is>
      </c>
      <c r="H334" t="inlineStr">
        <is>
          <t>Reusable Lunch Bags &amp; Boxes</t>
        </is>
      </c>
      <c r="I334" t="inlineStr">
        <is>
          <t>Dickies</t>
        </is>
      </c>
      <c r="L334" s="29" t="n">
        <v>0</v>
      </c>
      <c r="M334" s="30" t="n"/>
      <c r="N334" s="29" t="n">
        <v>0</v>
      </c>
      <c r="O334" s="29" t="n">
        <v>0</v>
      </c>
      <c r="P334" s="2" t="n">
        <v>0</v>
      </c>
      <c r="Q334" s="31" t="n">
        <v>0</v>
      </c>
      <c r="R334" s="32" t="n"/>
      <c r="S334" s="32" t="n">
        <v>0</v>
      </c>
      <c r="T334" s="32" t="n">
        <v>0</v>
      </c>
      <c r="U334" s="31" t="n">
        <v>0</v>
      </c>
      <c r="V334" s="32" t="n">
        <v>0</v>
      </c>
      <c r="W334" s="31" t="n">
        <v>0</v>
      </c>
      <c r="X334" s="31" t="n">
        <v>0</v>
      </c>
      <c r="Y334" s="3" t="n">
        <v>0</v>
      </c>
      <c r="Z334" s="3" t="n">
        <v>0</v>
      </c>
      <c r="AA334" s="32" t="n">
        <v>0</v>
      </c>
      <c r="AB334" s="3" t="n">
        <v>0</v>
      </c>
      <c r="AC334" s="32" t="n">
        <v>0</v>
      </c>
      <c r="AD334" s="3" t="n"/>
      <c r="AE334" s="31" t="n">
        <v>0</v>
      </c>
      <c r="AF334" s="2" t="n">
        <v>0</v>
      </c>
      <c r="AG334" s="2" t="n">
        <v>0</v>
      </c>
      <c r="AH334" s="4" t="n">
        <v>0</v>
      </c>
      <c r="AI334" s="33" t="n">
        <v>0</v>
      </c>
      <c r="AJ334" s="4" t="n">
        <v>0</v>
      </c>
      <c r="AK334" s="34" t="n"/>
      <c r="AL334" s="34" t="n">
        <v>0</v>
      </c>
      <c r="AM334" s="2" t="n">
        <v>0</v>
      </c>
    </row>
    <row r="335">
      <c r="A335">
        <f>HYPERLINK("https://www.walmart.com/ip/5505967232", "5505967232")</f>
        <v/>
      </c>
      <c r="B335">
        <f>HYPERLINK("https://app.optiwise.ai/catalog/itemdetails/8056323", "Insulated Cooler Bag, Leakproof Soft Cooler tote bag, Collapsible Waterproof Grocery Thermal Bag, Gift Ideas for Picnic")</f>
        <v/>
      </c>
      <c r="C335" t="n">
        <v>2</v>
      </c>
      <c r="D335" t="inlineStr">
        <is>
          <t>B78691_1682476_BE4BDBD389CD0F9C</t>
        </is>
      </c>
      <c r="E335" t="inlineStr">
        <is>
          <t>1SLCB00124BK</t>
        </is>
      </c>
      <c r="F335" t="n">
        <v>0</v>
      </c>
      <c r="G335" t="inlineStr">
        <is>
          <t>Sport &amp; Recreation Other</t>
        </is>
      </c>
      <c r="H335" t="inlineStr">
        <is>
          <t>Thermocoolers</t>
        </is>
      </c>
      <c r="I335" t="inlineStr">
        <is>
          <t>Solaris</t>
        </is>
      </c>
      <c r="L335" s="29" t="n">
        <v>0</v>
      </c>
      <c r="M335" s="30" t="n"/>
      <c r="N335" s="29" t="n">
        <v>0</v>
      </c>
      <c r="O335" s="29" t="n">
        <v>0</v>
      </c>
      <c r="P335" s="2" t="n">
        <v>0</v>
      </c>
      <c r="Q335" s="31" t="n">
        <v>0</v>
      </c>
      <c r="R335" s="32" t="n"/>
      <c r="S335" s="32" t="n">
        <v>0</v>
      </c>
      <c r="T335" s="32" t="n">
        <v>0</v>
      </c>
      <c r="U335" s="31" t="n">
        <v>0</v>
      </c>
      <c r="V335" s="32" t="n">
        <v>0</v>
      </c>
      <c r="W335" s="31" t="n">
        <v>0</v>
      </c>
      <c r="X335" s="31" t="n">
        <v>0</v>
      </c>
      <c r="Y335" s="3" t="n">
        <v>0</v>
      </c>
      <c r="Z335" s="3" t="n">
        <v>0</v>
      </c>
      <c r="AA335" s="32" t="n">
        <v>0</v>
      </c>
      <c r="AB335" s="3" t="n">
        <v>0</v>
      </c>
      <c r="AC335" s="32" t="n">
        <v>0</v>
      </c>
      <c r="AD335" s="3" t="n"/>
      <c r="AE335" s="31" t="n">
        <v>0</v>
      </c>
      <c r="AF335" s="2" t="n">
        <v>0</v>
      </c>
      <c r="AG335" s="2" t="n">
        <v>65</v>
      </c>
      <c r="AH335" s="4" t="n">
        <v>65</v>
      </c>
      <c r="AI335" s="33" t="n">
        <v>0</v>
      </c>
      <c r="AJ335" s="4" t="n">
        <v>0</v>
      </c>
      <c r="AK335" s="34" t="n"/>
      <c r="AL335" s="34" t="n">
        <v>0</v>
      </c>
      <c r="AM335" s="2" t="n">
        <v>0</v>
      </c>
    </row>
    <row r="336">
      <c r="A336">
        <f>HYPERLINK("https://www.walmart.com/ip/5466618061", "5466618061")</f>
        <v/>
      </c>
      <c r="B336">
        <f>HYPERLINK("https://app.optiwise.ai/catalog/itemdetails/7954394", "Tirrinia UV Protection Outdoor Hat Unisex Foldable Neck Flap Mesh Nets with Adjustable Drawstring")</f>
        <v/>
      </c>
      <c r="C336" t="n">
        <v>1</v>
      </c>
      <c r="D336" t="inlineStr">
        <is>
          <t>B78691_1682378_5C9BB2671E1E9004</t>
        </is>
      </c>
      <c r="E336" t="inlineStr">
        <is>
          <t>1TRSH923CAMO-C</t>
        </is>
      </c>
      <c r="F336" t="n">
        <v>0</v>
      </c>
      <c r="G336" t="inlineStr">
        <is>
          <t>Clothing</t>
        </is>
      </c>
      <c r="H336" t="inlineStr">
        <is>
          <t>Hats</t>
        </is>
      </c>
      <c r="I336" t="inlineStr">
        <is>
          <t>Tirrinia</t>
        </is>
      </c>
      <c r="L336" s="29" t="n">
        <v>0</v>
      </c>
      <c r="M336" s="30" t="n"/>
      <c r="N336" s="29" t="n">
        <v>0</v>
      </c>
      <c r="O336" s="29" t="n">
        <v>0</v>
      </c>
      <c r="P336" s="2" t="n">
        <v>0</v>
      </c>
      <c r="Q336" s="31" t="n">
        <v>0</v>
      </c>
      <c r="R336" s="32" t="n"/>
      <c r="S336" s="32" t="n">
        <v>0</v>
      </c>
      <c r="T336" s="32" t="n">
        <v>0</v>
      </c>
      <c r="U336" s="31" t="n">
        <v>0</v>
      </c>
      <c r="V336" s="32" t="n">
        <v>0</v>
      </c>
      <c r="W336" s="31" t="n">
        <v>0</v>
      </c>
      <c r="X336" s="31" t="n">
        <v>0</v>
      </c>
      <c r="Y336" s="3" t="n">
        <v>0</v>
      </c>
      <c r="Z336" s="3" t="n">
        <v>0</v>
      </c>
      <c r="AA336" s="32" t="n">
        <v>0</v>
      </c>
      <c r="AB336" s="3" t="n">
        <v>0</v>
      </c>
      <c r="AC336" s="32" t="n">
        <v>0</v>
      </c>
      <c r="AD336" s="3" t="n"/>
      <c r="AE336" s="31" t="n">
        <v>0</v>
      </c>
      <c r="AF336" s="2" t="n">
        <v>0</v>
      </c>
      <c r="AG336" s="2" t="n">
        <v>1</v>
      </c>
      <c r="AH336" s="4" t="n">
        <v>1</v>
      </c>
      <c r="AI336" s="33" t="n">
        <v>0</v>
      </c>
      <c r="AJ336" s="4" t="n">
        <v>0</v>
      </c>
      <c r="AK336" s="34" t="n"/>
      <c r="AL336" s="34" t="n">
        <v>0</v>
      </c>
      <c r="AM336" s="2" t="n">
        <v>0</v>
      </c>
    </row>
    <row r="337">
      <c r="A337">
        <f>HYPERLINK("https://www.walmart.com/ip/15523208717", "15523208717")</f>
        <v/>
      </c>
      <c r="B337">
        <f>HYPERLINK("https://app.optiwise.ai/catalog/itemdetails/20134787", "Tirrinia Waterproof Outdoor Blanket with Sherpa Lining, Windproof Triple Layers Warm Comfy Foldable for Camping Stadium, Sports, Picnic, Grass, Concerts, Pet, 51''X 59'' Grey - Machine Washable")</f>
        <v/>
      </c>
      <c r="C337" t="n">
        <v>2</v>
      </c>
      <c r="D337" t="inlineStr">
        <is>
          <t>B78691_1676794_D767369114F12759</t>
        </is>
      </c>
      <c r="E337" t="inlineStr">
        <is>
          <t>1TRBW608CAMOOR</t>
        </is>
      </c>
      <c r="F337" t="n">
        <v>0</v>
      </c>
      <c r="G337" t="inlineStr">
        <is>
          <t>Sport &amp; Recreation Other</t>
        </is>
      </c>
      <c r="H337" t="inlineStr">
        <is>
          <t>Picnic Blankets &amp; Mats</t>
        </is>
      </c>
      <c r="I337" t="inlineStr">
        <is>
          <t>Tirrinia</t>
        </is>
      </c>
      <c r="L337" s="29" t="n">
        <v>0</v>
      </c>
      <c r="M337" s="30" t="n"/>
      <c r="N337" s="29" t="n">
        <v>0</v>
      </c>
      <c r="O337" s="29" t="n">
        <v>0</v>
      </c>
      <c r="P337" s="2" t="n">
        <v>0</v>
      </c>
      <c r="Q337" s="31" t="n">
        <v>0</v>
      </c>
      <c r="R337" s="32" t="n"/>
      <c r="S337" s="32" t="n">
        <v>0</v>
      </c>
      <c r="T337" s="32" t="n">
        <v>0</v>
      </c>
      <c r="U337" s="31" t="n">
        <v>0</v>
      </c>
      <c r="V337" s="32" t="n">
        <v>0</v>
      </c>
      <c r="W337" s="31" t="n">
        <v>0</v>
      </c>
      <c r="X337" s="31" t="n">
        <v>0</v>
      </c>
      <c r="Y337" s="3" t="n">
        <v>0</v>
      </c>
      <c r="Z337" s="3" t="n">
        <v>0</v>
      </c>
      <c r="AA337" s="32" t="n">
        <v>0</v>
      </c>
      <c r="AB337" s="3" t="n">
        <v>0</v>
      </c>
      <c r="AC337" s="32" t="n">
        <v>0</v>
      </c>
      <c r="AD337" s="3" t="n"/>
      <c r="AE337" s="31" t="n">
        <v>0</v>
      </c>
      <c r="AF337" s="2" t="n">
        <v>0</v>
      </c>
      <c r="AG337" s="2" t="n">
        <v>0</v>
      </c>
      <c r="AH337" s="4" t="n">
        <v>0</v>
      </c>
      <c r="AI337" s="33" t="n">
        <v>0</v>
      </c>
      <c r="AJ337" s="4" t="n">
        <v>0</v>
      </c>
      <c r="AK337" s="34" t="n"/>
      <c r="AL337" s="34" t="n">
        <v>0</v>
      </c>
      <c r="AM337" s="2" t="n">
        <v>0</v>
      </c>
    </row>
    <row r="338">
      <c r="A338">
        <f>HYPERLINK("https://www.walmart.com/ip/168289342", "168289342")</f>
        <v/>
      </c>
      <c r="B338">
        <f>HYPERLINK("https://app.optiwise.ai/catalog/itemdetails/361679", "Napa Premium Soft Warm Plush Kid Blanket Polyester Fluffy Reversible Bedding Throw For Baby Children Teen Boy Girl")</f>
        <v/>
      </c>
      <c r="C338" t="n">
        <v>1</v>
      </c>
      <c r="D338" t="inlineStr">
        <is>
          <t>112755497e76f9a832d9</t>
        </is>
      </c>
      <c r="E338" t="inlineStr">
        <is>
          <t>K9000KD-PK</t>
        </is>
      </c>
      <c r="F338" t="n">
        <v>0</v>
      </c>
      <c r="G338" t="inlineStr">
        <is>
          <t>Bedding</t>
        </is>
      </c>
      <c r="H338" t="inlineStr">
        <is>
          <t>Throws</t>
        </is>
      </c>
      <c r="I338" t="inlineStr">
        <is>
          <t>NAPA</t>
        </is>
      </c>
      <c r="K338" t="inlineStr">
        <is>
          <t>Baby days</t>
        </is>
      </c>
      <c r="L338" s="29" t="n">
        <v>0</v>
      </c>
      <c r="M338" s="30" t="n"/>
      <c r="N338" s="29" t="n">
        <v>0</v>
      </c>
      <c r="O338" s="29" t="n">
        <v>0</v>
      </c>
      <c r="P338" s="2" t="n">
        <v>0</v>
      </c>
      <c r="Q338" s="31" t="n">
        <v>0</v>
      </c>
      <c r="R338" s="32" t="n"/>
      <c r="S338" s="32" t="n">
        <v>0</v>
      </c>
      <c r="T338" s="32" t="n">
        <v>0</v>
      </c>
      <c r="U338" s="31" t="n">
        <v>0</v>
      </c>
      <c r="V338" s="32" t="n">
        <v>0</v>
      </c>
      <c r="W338" s="31" t="n">
        <v>0</v>
      </c>
      <c r="X338" s="31" t="n">
        <v>0</v>
      </c>
      <c r="Y338" s="3" t="n">
        <v>0</v>
      </c>
      <c r="Z338" s="3" t="n">
        <v>0</v>
      </c>
      <c r="AA338" s="32" t="n">
        <v>0</v>
      </c>
      <c r="AB338" s="3" t="n">
        <v>0</v>
      </c>
      <c r="AC338" s="32" t="n">
        <v>0</v>
      </c>
      <c r="AD338" s="3" t="n"/>
      <c r="AE338" s="31" t="n">
        <v>0</v>
      </c>
      <c r="AF338" s="2" t="n">
        <v>0</v>
      </c>
      <c r="AG338" s="2" t="n">
        <v>7</v>
      </c>
      <c r="AH338" s="4" t="n">
        <v>7</v>
      </c>
      <c r="AI338" s="33" t="n">
        <v>0</v>
      </c>
      <c r="AJ338" s="4" t="n">
        <v>0</v>
      </c>
      <c r="AK338" s="34" t="n"/>
      <c r="AL338" s="34" t="n">
        <v>0</v>
      </c>
      <c r="AM338" s="2" t="n">
        <v>0</v>
      </c>
    </row>
    <row r="339">
      <c r="A339">
        <f>HYPERLINK("https://www.walmart.com/ip/3160999535", "3160999535")</f>
        <v/>
      </c>
      <c r="B339">
        <f>HYPERLINK("https://app.optiwise.ai/catalog/itemdetails/5423737", "Tirrinia 2 In 1 Outdoors UPF 50+ UV Protection Sun Hat for Womens, One Size Female Sports Baseball Cap Gardening Fishing Hat with Neck Flap, Gray")</f>
        <v/>
      </c>
      <c r="C339" t="n">
        <v>7</v>
      </c>
      <c r="D339" t="inlineStr">
        <is>
          <t>B78691_1681687_262584C9F84ED8E1</t>
        </is>
      </c>
      <c r="E339" t="inlineStr">
        <is>
          <t>1TRSH9153GY</t>
        </is>
      </c>
      <c r="F339" t="n">
        <v>0</v>
      </c>
      <c r="G339" t="inlineStr">
        <is>
          <t>Clothing</t>
        </is>
      </c>
      <c r="H339" t="inlineStr">
        <is>
          <t>Hats</t>
        </is>
      </c>
      <c r="I339" t="inlineStr">
        <is>
          <t>Tirrinia</t>
        </is>
      </c>
      <c r="L339" s="29" t="n">
        <v>0</v>
      </c>
      <c r="M339" s="30" t="n"/>
      <c r="N339" s="29" t="n">
        <v>0</v>
      </c>
      <c r="O339" s="29" t="n">
        <v>0</v>
      </c>
      <c r="P339" s="2" t="n">
        <v>0</v>
      </c>
      <c r="Q339" s="31" t="n">
        <v>0</v>
      </c>
      <c r="R339" s="32" t="n"/>
      <c r="S339" s="32" t="n">
        <v>0</v>
      </c>
      <c r="T339" s="32" t="n">
        <v>0</v>
      </c>
      <c r="U339" s="31" t="n">
        <v>0</v>
      </c>
      <c r="V339" s="32" t="n">
        <v>0</v>
      </c>
      <c r="W339" s="31" t="n">
        <v>0</v>
      </c>
      <c r="X339" s="31" t="n">
        <v>0</v>
      </c>
      <c r="Y339" s="3" t="n">
        <v>0</v>
      </c>
      <c r="Z339" s="3" t="n">
        <v>0</v>
      </c>
      <c r="AA339" s="32" t="n">
        <v>0</v>
      </c>
      <c r="AB339" s="3" t="n">
        <v>0</v>
      </c>
      <c r="AC339" s="32" t="n">
        <v>0</v>
      </c>
      <c r="AD339" s="3" t="n"/>
      <c r="AE339" s="31" t="n">
        <v>0</v>
      </c>
      <c r="AF339" s="2" t="n">
        <v>0</v>
      </c>
      <c r="AG339" s="2" t="n">
        <v>23</v>
      </c>
      <c r="AH339" s="4" t="n">
        <v>23</v>
      </c>
      <c r="AI339" s="33" t="n">
        <v>0</v>
      </c>
      <c r="AJ339" s="4" t="n">
        <v>0</v>
      </c>
      <c r="AK339" s="34" t="n"/>
      <c r="AL339" s="34" t="n">
        <v>0</v>
      </c>
      <c r="AM339" s="2" t="n">
        <v>0</v>
      </c>
    </row>
    <row r="340">
      <c r="A340">
        <f>HYPERLINK("https://www.walmart.com/ip/159343795", "159343795")</f>
        <v/>
      </c>
      <c r="B340">
        <f>HYPERLINK("https://app.optiwise.ai/catalog/itemdetails/361365", "KC Caps Pom Pom Toque Beanie")</f>
        <v/>
      </c>
      <c r="C340" t="n">
        <v>3</v>
      </c>
      <c r="D340" t="inlineStr">
        <is>
          <t>B78691_974434_22A7F9E12B1ADCAD</t>
        </is>
      </c>
      <c r="E340" t="inlineStr">
        <is>
          <t>KCW1711PK</t>
        </is>
      </c>
      <c r="F340" t="n">
        <v>0</v>
      </c>
      <c r="G340" t="inlineStr">
        <is>
          <t>Clothing</t>
        </is>
      </c>
      <c r="H340" t="inlineStr">
        <is>
          <t>Hats</t>
        </is>
      </c>
      <c r="I340" t="inlineStr">
        <is>
          <t>KC Caps</t>
        </is>
      </c>
      <c r="K340" t="inlineStr">
        <is>
          <t>Optimized</t>
        </is>
      </c>
      <c r="L340" s="29" t="n">
        <v>0</v>
      </c>
      <c r="M340" s="30" t="n"/>
      <c r="N340" s="29" t="n">
        <v>0</v>
      </c>
      <c r="O340" s="29" t="n">
        <v>0</v>
      </c>
      <c r="P340" s="2" t="n">
        <v>0</v>
      </c>
      <c r="Q340" s="31" t="n">
        <v>0</v>
      </c>
      <c r="R340" s="32" t="n"/>
      <c r="S340" s="32" t="n">
        <v>0</v>
      </c>
      <c r="T340" s="32" t="n">
        <v>0</v>
      </c>
      <c r="U340" s="31" t="n">
        <v>0</v>
      </c>
      <c r="V340" s="32" t="n">
        <v>0</v>
      </c>
      <c r="W340" s="31" t="n">
        <v>0</v>
      </c>
      <c r="X340" s="31" t="n">
        <v>0</v>
      </c>
      <c r="Y340" s="3" t="n">
        <v>0</v>
      </c>
      <c r="Z340" s="3" t="n">
        <v>0</v>
      </c>
      <c r="AA340" s="32" t="n">
        <v>0</v>
      </c>
      <c r="AB340" s="3" t="n">
        <v>0</v>
      </c>
      <c r="AC340" s="32" t="n">
        <v>0</v>
      </c>
      <c r="AD340" s="3" t="n"/>
      <c r="AE340" s="31" t="n">
        <v>0</v>
      </c>
      <c r="AF340" s="2" t="n">
        <v>0</v>
      </c>
      <c r="AG340" s="2" t="n">
        <v>8</v>
      </c>
      <c r="AH340" s="4" t="n">
        <v>8</v>
      </c>
      <c r="AI340" s="33" t="n">
        <v>0</v>
      </c>
      <c r="AJ340" s="4" t="n">
        <v>0</v>
      </c>
      <c r="AK340" s="34" t="n"/>
      <c r="AL340" s="34" t="n">
        <v>0</v>
      </c>
      <c r="AM340" s="2" t="n">
        <v>0</v>
      </c>
    </row>
    <row r="341">
      <c r="A341">
        <f>HYPERLINK("https://www.walmart.com/ip/181073728", "181073728")</f>
        <v/>
      </c>
      <c r="B341">
        <f>HYPERLINK("https://app.optiwise.ai/catalog/itemdetails/362135", "KC Caps® Unisex Two-Tone Washed Cotton Bucket Hat Cap Headwear, Medium/Large")</f>
        <v/>
      </c>
      <c r="C341" t="n">
        <v>4</v>
      </c>
      <c r="D341" t="inlineStr">
        <is>
          <t>B78691_1636459_F40781855169201F</t>
        </is>
      </c>
      <c r="E341" t="inlineStr">
        <is>
          <t>KC9120RD-M</t>
        </is>
      </c>
      <c r="F341" t="n">
        <v>13</v>
      </c>
      <c r="G341" t="inlineStr">
        <is>
          <t>Clothing</t>
        </is>
      </c>
      <c r="H341" t="inlineStr">
        <is>
          <t>Hats</t>
        </is>
      </c>
      <c r="I341" t="inlineStr">
        <is>
          <t>KC Caps</t>
        </is>
      </c>
      <c r="J341" t="n">
        <v>4.8</v>
      </c>
      <c r="K341" t="inlineStr">
        <is>
          <t>Optimized</t>
        </is>
      </c>
      <c r="L341" s="29" t="n">
        <v>0</v>
      </c>
      <c r="M341" s="30" t="n"/>
      <c r="N341" s="29" t="n">
        <v>0</v>
      </c>
      <c r="O341" s="29" t="n">
        <v>0</v>
      </c>
      <c r="P341" s="2" t="n">
        <v>0</v>
      </c>
      <c r="Q341" s="31" t="n">
        <v>0</v>
      </c>
      <c r="R341" s="32" t="n"/>
      <c r="S341" s="32" t="n">
        <v>0</v>
      </c>
      <c r="T341" s="32" t="n">
        <v>0</v>
      </c>
      <c r="U341" s="31" t="n">
        <v>0</v>
      </c>
      <c r="V341" s="32" t="n">
        <v>0</v>
      </c>
      <c r="W341" s="31" t="n">
        <v>0</v>
      </c>
      <c r="X341" s="31" t="n">
        <v>0</v>
      </c>
      <c r="Y341" s="3" t="n">
        <v>0</v>
      </c>
      <c r="Z341" s="3" t="n">
        <v>0</v>
      </c>
      <c r="AA341" s="32" t="n">
        <v>0</v>
      </c>
      <c r="AB341" s="3" t="n">
        <v>0</v>
      </c>
      <c r="AC341" s="32" t="n">
        <v>0</v>
      </c>
      <c r="AD341" s="3" t="n"/>
      <c r="AE341" s="31" t="n">
        <v>0</v>
      </c>
      <c r="AF341" s="2" t="n">
        <v>0</v>
      </c>
      <c r="AG341" s="2" t="n">
        <v>6</v>
      </c>
      <c r="AH341" s="4" t="n">
        <v>6</v>
      </c>
      <c r="AI341" s="33" t="n">
        <v>0</v>
      </c>
      <c r="AJ341" s="4" t="n">
        <v>0</v>
      </c>
      <c r="AK341" s="34" t="n"/>
      <c r="AL341" s="34" t="n">
        <v>0</v>
      </c>
      <c r="AM341" s="2" t="n">
        <v>0</v>
      </c>
    </row>
    <row r="342">
      <c r="A342">
        <f>HYPERLINK("https://www.walmart.com/ip/947602244", "947602244")</f>
        <v/>
      </c>
      <c r="B342">
        <f>HYPERLINK("https://app.optiwise.ai/catalog/itemdetails/362344", "Wine Tote Bag with Hidden Dispenser, Insulated Large Wine Carrying Carrier Set with Wine Bladder, Perfect Wine Gift for Byob, Movie Theater, Concert, Sport Events, Pool &amp; Beach, Black")</f>
        <v/>
      </c>
      <c r="C342" t="n">
        <v>5</v>
      </c>
      <c r="D342" t="inlineStr">
        <is>
          <t>B78691_1676791_5C9BB2671E1E9004</t>
        </is>
      </c>
      <c r="E342" t="inlineStr">
        <is>
          <t>1TRWT100BK</t>
        </is>
      </c>
      <c r="F342" t="n">
        <v>5</v>
      </c>
      <c r="G342" t="inlineStr">
        <is>
          <t>Home Decor, Kitchen, &amp; Other</t>
        </is>
      </c>
      <c r="H342" t="inlineStr">
        <is>
          <t>Wine Totes, Bags &amp; Backpacks</t>
        </is>
      </c>
      <c r="I342" t="inlineStr">
        <is>
          <t>Tirrinia</t>
        </is>
      </c>
      <c r="J342" t="n">
        <v>4</v>
      </c>
      <c r="K342" t="inlineStr">
        <is>
          <t>Wine,WFS,Wine WFS,SEM,WFS Item</t>
        </is>
      </c>
      <c r="L342" s="29" t="n">
        <v>0</v>
      </c>
      <c r="M342" s="30" t="n"/>
      <c r="N342" s="29" t="n">
        <v>0</v>
      </c>
      <c r="O342" s="29" t="n">
        <v>0</v>
      </c>
      <c r="P342" s="2" t="n">
        <v>0</v>
      </c>
      <c r="Q342" s="31" t="n">
        <v>0</v>
      </c>
      <c r="R342" s="32" t="n"/>
      <c r="S342" s="32" t="n">
        <v>0</v>
      </c>
      <c r="T342" s="32" t="n">
        <v>0.1038</v>
      </c>
      <c r="U342" s="31" t="n">
        <v>0</v>
      </c>
      <c r="V342" s="32" t="n">
        <v>0</v>
      </c>
      <c r="W342" s="31" t="n">
        <v>0</v>
      </c>
      <c r="X342" s="31" t="n">
        <v>0</v>
      </c>
      <c r="Y342" s="3" t="n">
        <v>8</v>
      </c>
      <c r="Z342" s="3" t="n">
        <v>0</v>
      </c>
      <c r="AA342" s="32" t="n">
        <v>0</v>
      </c>
      <c r="AB342" s="3" t="n">
        <v>0</v>
      </c>
      <c r="AC342" s="32" t="n">
        <v>0</v>
      </c>
      <c r="AD342" s="3" t="inlineStr">
        <is>
          <t>,All Items_Auto_Optiwise_24,Auto Campaign_Vinay</t>
        </is>
      </c>
      <c r="AE342" s="31" t="n">
        <v>0</v>
      </c>
      <c r="AF342" s="2" t="n">
        <v>0</v>
      </c>
      <c r="AG342" s="2" t="n">
        <v>100</v>
      </c>
      <c r="AH342" s="4" t="n">
        <v>100</v>
      </c>
      <c r="AI342" s="33" t="n">
        <v>0</v>
      </c>
      <c r="AJ342" s="4" t="n">
        <v>0</v>
      </c>
      <c r="AK342" s="34" t="n"/>
      <c r="AL342" s="34" t="n">
        <v>0</v>
      </c>
      <c r="AM342" s="2" t="n">
        <v>0</v>
      </c>
    </row>
    <row r="343">
      <c r="A343">
        <f>HYPERLINK("https://www.walmart.com/ip/305581641", "305581641")</f>
        <v/>
      </c>
      <c r="B343">
        <f>HYPERLINK("https://app.optiwise.ai/catalog/itemdetails/362305", "Tirrinia Bamboo Wine Picnic Table, Ideal Wine Lover Gift, Large Folding Portable Outdoor Snack and Cheese Tray with 4 Wine Glasses Holder for Concerts at Park, Party, or Beach, 17 x 12.6 x 7''")</f>
        <v/>
      </c>
      <c r="C343" t="n">
        <v>4</v>
      </c>
      <c r="D343" t="inlineStr">
        <is>
          <t>B78691_1679981_37FD2C1315995014</t>
        </is>
      </c>
      <c r="E343" t="inlineStr">
        <is>
          <t>1TRPT140</t>
        </is>
      </c>
      <c r="F343" t="n">
        <v>14</v>
      </c>
      <c r="G343" t="inlineStr">
        <is>
          <t>Home Decor, Kitchen, &amp; Other</t>
        </is>
      </c>
      <c r="H343" t="inlineStr">
        <is>
          <t>Wine Glasses</t>
        </is>
      </c>
      <c r="I343" t="inlineStr">
        <is>
          <t>Tirrinia</t>
        </is>
      </c>
      <c r="J343" t="n">
        <v>4.5</v>
      </c>
      <c r="K343" t="inlineStr">
        <is>
          <t>Wine,Optimized,WFS,Valentine,SEM,WFS Item</t>
        </is>
      </c>
      <c r="L343" s="29" t="n">
        <v>0</v>
      </c>
      <c r="M343" s="30" t="n"/>
      <c r="N343" s="29" t="n">
        <v>0</v>
      </c>
      <c r="O343" s="29" t="n">
        <v>0</v>
      </c>
      <c r="P343" s="2" t="n">
        <v>0</v>
      </c>
      <c r="Q343" s="31" t="n">
        <v>0</v>
      </c>
      <c r="R343" s="32" t="n"/>
      <c r="S343" s="32" t="n">
        <v>0</v>
      </c>
      <c r="T343" s="32" t="n">
        <v>0</v>
      </c>
      <c r="U343" s="31" t="n">
        <v>0</v>
      </c>
      <c r="V343" s="32" t="n">
        <v>0</v>
      </c>
      <c r="W343" s="31" t="n">
        <v>0</v>
      </c>
      <c r="X343" s="31" t="n">
        <v>0</v>
      </c>
      <c r="Y343" s="3" t="n">
        <v>0</v>
      </c>
      <c r="Z343" s="3" t="n">
        <v>0</v>
      </c>
      <c r="AA343" s="32" t="n">
        <v>0</v>
      </c>
      <c r="AB343" s="3" t="n">
        <v>0</v>
      </c>
      <c r="AC343" s="32" t="n">
        <v>0</v>
      </c>
      <c r="AD343" s="3" t="n"/>
      <c r="AE343" s="31" t="n">
        <v>0</v>
      </c>
      <c r="AF343" s="2" t="n">
        <v>0</v>
      </c>
      <c r="AG343" s="2" t="n">
        <v>164</v>
      </c>
      <c r="AH343" s="4" t="n">
        <v>164</v>
      </c>
      <c r="AI343" s="33" t="n">
        <v>0</v>
      </c>
      <c r="AJ343" s="4" t="n">
        <v>0</v>
      </c>
      <c r="AK343" s="34" t="n"/>
      <c r="AL343" s="34" t="n">
        <v>0</v>
      </c>
      <c r="AM343" s="2" t="n">
        <v>0</v>
      </c>
    </row>
    <row r="344">
      <c r="A344">
        <f>HYPERLINK("https://www.walmart.com/ip/672225548", "672225548")</f>
        <v/>
      </c>
      <c r="B344">
        <f>HYPERLINK("https://app.optiwise.ai/catalog/itemdetails/361859", "Tirrinia Insulated 2 Bottle Wine Carrier Tote Cooler Bag for Travel Picnic Padded Champagne Glass")</f>
        <v/>
      </c>
      <c r="C344" t="n">
        <v>3</v>
      </c>
      <c r="D344" t="inlineStr">
        <is>
          <t>B78691_1679778_EB540C9EC8869B88</t>
        </is>
      </c>
      <c r="E344" t="inlineStr">
        <is>
          <t>1WMWB230STR</t>
        </is>
      </c>
      <c r="F344" t="n">
        <v>0</v>
      </c>
      <c r="G344" t="inlineStr">
        <is>
          <t>Home Decor, Kitchen, &amp; Other</t>
        </is>
      </c>
      <c r="H344" t="inlineStr">
        <is>
          <t>Wine Totes, Bags &amp; Backpacks</t>
        </is>
      </c>
      <c r="I344" t="inlineStr">
        <is>
          <t>Flyingstar</t>
        </is>
      </c>
      <c r="K344" t="inlineStr">
        <is>
          <t>Wine,Christmas,Wine WFS,Valentine</t>
        </is>
      </c>
      <c r="L344" s="29" t="n">
        <v>0</v>
      </c>
      <c r="M344" s="30" t="n"/>
      <c r="N344" s="29" t="n">
        <v>0</v>
      </c>
      <c r="O344" s="29" t="n">
        <v>0</v>
      </c>
      <c r="P344" s="2" t="n">
        <v>0</v>
      </c>
      <c r="Q344" s="31" t="n">
        <v>0</v>
      </c>
      <c r="R344" s="32" t="n"/>
      <c r="S344" s="32" t="n">
        <v>0</v>
      </c>
      <c r="T344" s="32" t="n">
        <v>0</v>
      </c>
      <c r="U344" s="31" t="n">
        <v>0</v>
      </c>
      <c r="V344" s="32" t="n">
        <v>0</v>
      </c>
      <c r="W344" s="31" t="n">
        <v>0</v>
      </c>
      <c r="X344" s="31" t="n">
        <v>0</v>
      </c>
      <c r="Y344" s="3" t="n">
        <v>0</v>
      </c>
      <c r="Z344" s="3" t="n">
        <v>0</v>
      </c>
      <c r="AA344" s="32" t="n">
        <v>0</v>
      </c>
      <c r="AB344" s="3" t="n">
        <v>0</v>
      </c>
      <c r="AC344" s="32" t="n">
        <v>0</v>
      </c>
      <c r="AD344" s="3" t="n"/>
      <c r="AE344" s="31" t="n">
        <v>0</v>
      </c>
      <c r="AF344" s="2" t="n">
        <v>0</v>
      </c>
      <c r="AG344" s="2" t="n">
        <v>9</v>
      </c>
      <c r="AH344" s="4" t="n">
        <v>9</v>
      </c>
      <c r="AI344" s="33" t="n">
        <v>0</v>
      </c>
      <c r="AJ344" s="4" t="n">
        <v>0</v>
      </c>
      <c r="AK344" s="34" t="n"/>
      <c r="AL344" s="34" t="n">
        <v>0</v>
      </c>
      <c r="AM344" s="2" t="n">
        <v>0</v>
      </c>
    </row>
    <row r="345">
      <c r="A345">
        <f>HYPERLINK("https://www.walmart.com/ip/445268146", "445268146")</f>
        <v/>
      </c>
      <c r="B345">
        <f>HYPERLINK("https://app.optiwise.ai/catalog/itemdetails/361514", "Women’s Swim Bathing Suit Cover Up, Summer Chiffon Maxi Beach Dress Skirt")</f>
        <v/>
      </c>
      <c r="C345" t="n">
        <v>4</v>
      </c>
      <c r="D345" t="inlineStr">
        <is>
          <t>B78691_1680150_4924B8C72EBB1824</t>
        </is>
      </c>
      <c r="E345" t="inlineStr">
        <is>
          <t>1WMDS100BK</t>
        </is>
      </c>
      <c r="F345" t="n">
        <v>0</v>
      </c>
      <c r="G345" t="inlineStr">
        <is>
          <t>Dresses</t>
        </is>
      </c>
      <c r="H345" t="inlineStr">
        <is>
          <t>Dresses</t>
        </is>
      </c>
      <c r="I345" t="inlineStr">
        <is>
          <t>Flyingstar</t>
        </is>
      </c>
      <c r="K345" t="inlineStr">
        <is>
          <t>Batch 1 - TR</t>
        </is>
      </c>
      <c r="L345" s="29" t="n">
        <v>0</v>
      </c>
      <c r="M345" s="30" t="n"/>
      <c r="N345" s="29" t="n">
        <v>0</v>
      </c>
      <c r="O345" s="29" t="n">
        <v>0</v>
      </c>
      <c r="P345" s="2" t="n">
        <v>0</v>
      </c>
      <c r="Q345" s="31" t="n">
        <v>0</v>
      </c>
      <c r="R345" s="32" t="n"/>
      <c r="S345" s="32" t="n">
        <v>0</v>
      </c>
      <c r="T345" s="32" t="n">
        <v>0</v>
      </c>
      <c r="U345" s="31" t="n">
        <v>0</v>
      </c>
      <c r="V345" s="32" t="n">
        <v>0</v>
      </c>
      <c r="W345" s="31" t="n">
        <v>0</v>
      </c>
      <c r="X345" s="31" t="n">
        <v>0</v>
      </c>
      <c r="Y345" s="3" t="n">
        <v>0</v>
      </c>
      <c r="Z345" s="3" t="n">
        <v>0</v>
      </c>
      <c r="AA345" s="32" t="n">
        <v>0</v>
      </c>
      <c r="AB345" s="3" t="n">
        <v>0</v>
      </c>
      <c r="AC345" s="32" t="n">
        <v>0</v>
      </c>
      <c r="AD345" s="3" t="n"/>
      <c r="AE345" s="31" t="n">
        <v>0</v>
      </c>
      <c r="AF345" s="2" t="n">
        <v>0</v>
      </c>
      <c r="AG345" s="2" t="n">
        <v>2</v>
      </c>
      <c r="AH345" s="4" t="n">
        <v>2</v>
      </c>
      <c r="AI345" s="33" t="n">
        <v>0</v>
      </c>
      <c r="AJ345" s="4" t="n">
        <v>0</v>
      </c>
      <c r="AK345" s="34" t="n"/>
      <c r="AL345" s="34" t="n">
        <v>0</v>
      </c>
      <c r="AM345" s="2" t="n">
        <v>0</v>
      </c>
    </row>
    <row r="346">
      <c r="A346">
        <f>HYPERLINK("https://www.walmart.com/ip/107895894", "107895894")</f>
        <v/>
      </c>
      <c r="B346">
        <f>HYPERLINK("https://app.optiwise.ai/catalog/itemdetails/362060", "JenniWears White Sheer Sexy Ladies Panty-hose Stockings Lingeries Socks Wife Girlfriend Female Freidn Gift")</f>
        <v/>
      </c>
      <c r="C346" t="n">
        <v>2</v>
      </c>
      <c r="D346" t="inlineStr">
        <is>
          <t>B78691_974107</t>
        </is>
      </c>
      <c r="E346" t="inlineStr">
        <is>
          <t>JWBLSPH2015</t>
        </is>
      </c>
      <c r="F346" t="n">
        <v>0</v>
      </c>
      <c r="G346" t="inlineStr">
        <is>
          <t>Clothing</t>
        </is>
      </c>
      <c r="H346" t="inlineStr">
        <is>
          <t>Teddies &amp; Bodystockings</t>
        </is>
      </c>
      <c r="I346" t="inlineStr">
        <is>
          <t>JenniWears</t>
        </is>
      </c>
      <c r="K346" t="inlineStr">
        <is>
          <t>Valentine</t>
        </is>
      </c>
      <c r="L346" s="29" t="n">
        <v>0</v>
      </c>
      <c r="M346" s="30" t="n"/>
      <c r="N346" s="29" t="n">
        <v>0</v>
      </c>
      <c r="O346" s="29" t="n">
        <v>0</v>
      </c>
      <c r="P346" s="2" t="n">
        <v>0</v>
      </c>
      <c r="Q346" s="31" t="n">
        <v>0</v>
      </c>
      <c r="R346" s="32" t="n"/>
      <c r="S346" s="32" t="n">
        <v>0</v>
      </c>
      <c r="T346" s="32" t="n">
        <v>0</v>
      </c>
      <c r="U346" s="31" t="n">
        <v>0</v>
      </c>
      <c r="V346" s="32" t="n">
        <v>0</v>
      </c>
      <c r="W346" s="31" t="n">
        <v>0</v>
      </c>
      <c r="X346" s="31" t="n">
        <v>0</v>
      </c>
      <c r="Y346" s="3" t="n">
        <v>0</v>
      </c>
      <c r="Z346" s="3" t="n">
        <v>0</v>
      </c>
      <c r="AA346" s="32" t="n">
        <v>0</v>
      </c>
      <c r="AB346" s="3" t="n">
        <v>0</v>
      </c>
      <c r="AC346" s="32" t="n">
        <v>0</v>
      </c>
      <c r="AD346" s="3" t="n"/>
      <c r="AE346" s="31" t="n">
        <v>0</v>
      </c>
      <c r="AF346" s="2" t="n">
        <v>0</v>
      </c>
      <c r="AG346" s="2" t="n">
        <v>9</v>
      </c>
      <c r="AH346" s="4" t="n">
        <v>9</v>
      </c>
      <c r="AI346" s="33" t="n">
        <v>0</v>
      </c>
      <c r="AJ346" s="4" t="n">
        <v>0</v>
      </c>
      <c r="AK346" s="34" t="n"/>
      <c r="AL346" s="34" t="n">
        <v>0</v>
      </c>
      <c r="AM346" s="2" t="n">
        <v>0</v>
      </c>
    </row>
    <row r="347">
      <c r="A347">
        <f>HYPERLINK("https://www.walmart.com/ip/330511157", "330511157")</f>
        <v/>
      </c>
      <c r="B347">
        <f>HYPERLINK("https://app.optiwise.ai/catalog/itemdetails/361089", "Fleece Blanket Wearable with Sleeves and Pocket, Micro Plush Warm Comfy Sleeved TV Throw Blanket Robe for Women and Men Multi-Colors 72”X55” by Catalonia")</f>
        <v/>
      </c>
      <c r="C347" t="n">
        <v>1</v>
      </c>
      <c r="D347" t="inlineStr">
        <is>
          <t>B78691_1641946_F4AE8E0F67C99AC9</t>
        </is>
      </c>
      <c r="E347" t="inlineStr">
        <is>
          <t>1CTSN110GY-ESGM</t>
        </is>
      </c>
      <c r="F347" t="n">
        <v>2</v>
      </c>
      <c r="G347" t="inlineStr">
        <is>
          <t>Bedding</t>
        </is>
      </c>
      <c r="H347" t="inlineStr">
        <is>
          <t>Throws</t>
        </is>
      </c>
      <c r="I347" t="inlineStr">
        <is>
          <t>Catalonia</t>
        </is>
      </c>
      <c r="J347" t="n">
        <v>5</v>
      </c>
      <c r="K347" t="inlineStr">
        <is>
          <t>Optimized,Fleece Blankets</t>
        </is>
      </c>
      <c r="L347" s="29" t="n">
        <v>0</v>
      </c>
      <c r="M347" s="30" t="n"/>
      <c r="N347" s="29" t="n">
        <v>0</v>
      </c>
      <c r="O347" s="29" t="n">
        <v>0</v>
      </c>
      <c r="P347" s="2" t="n">
        <v>0</v>
      </c>
      <c r="Q347" s="31" t="n">
        <v>0</v>
      </c>
      <c r="R347" s="32" t="n"/>
      <c r="S347" s="32" t="n">
        <v>0</v>
      </c>
      <c r="T347" s="32" t="n">
        <v>0</v>
      </c>
      <c r="U347" s="31" t="n">
        <v>0</v>
      </c>
      <c r="V347" s="32" t="n">
        <v>0</v>
      </c>
      <c r="W347" s="31" t="n">
        <v>0</v>
      </c>
      <c r="X347" s="31" t="n">
        <v>0</v>
      </c>
      <c r="Y347" s="3" t="n">
        <v>0</v>
      </c>
      <c r="Z347" s="3" t="n">
        <v>0</v>
      </c>
      <c r="AA347" s="32" t="n">
        <v>0</v>
      </c>
      <c r="AB347" s="3" t="n">
        <v>0</v>
      </c>
      <c r="AC347" s="32" t="n">
        <v>0</v>
      </c>
      <c r="AD347" s="3" t="n"/>
      <c r="AE347" s="31" t="n">
        <v>0</v>
      </c>
      <c r="AF347" s="2" t="n">
        <v>0</v>
      </c>
      <c r="AG347" s="2" t="n">
        <v>9</v>
      </c>
      <c r="AH347" s="4" t="n">
        <v>9</v>
      </c>
      <c r="AI347" s="33" t="n">
        <v>0</v>
      </c>
      <c r="AJ347" s="4" t="n">
        <v>0</v>
      </c>
      <c r="AK347" s="34" t="n"/>
      <c r="AL347" s="34" t="n">
        <v>0</v>
      </c>
      <c r="AM347" s="2" t="n">
        <v>0</v>
      </c>
    </row>
    <row r="348">
      <c r="A348">
        <f>HYPERLINK("https://www.walmart.com/ip/198314685", "198314685")</f>
        <v/>
      </c>
      <c r="B348">
        <f>HYPERLINK("https://app.optiwise.ai/catalog/itemdetails/362183", "JenniWears Women's 3-Pack High Waist Control Top Reinforced Seamless Pantyhose")</f>
        <v/>
      </c>
      <c r="C348" t="n">
        <v>1</v>
      </c>
      <c r="D348" t="inlineStr">
        <is>
          <t>00742010032540</t>
        </is>
      </c>
      <c r="E348" t="inlineStr">
        <is>
          <t>JWBLSPH6001-3pcs</t>
        </is>
      </c>
      <c r="F348" t="n">
        <v>0</v>
      </c>
      <c r="G348" t="inlineStr">
        <is>
          <t>Clothing</t>
        </is>
      </c>
      <c r="H348" t="inlineStr">
        <is>
          <t>Pantyhose &amp; Tights</t>
        </is>
      </c>
      <c r="I348" t="inlineStr">
        <is>
          <t>JenniWears</t>
        </is>
      </c>
      <c r="K348" t="inlineStr">
        <is>
          <t>Optimized,Valentine</t>
        </is>
      </c>
      <c r="L348" s="29" t="n">
        <v>0</v>
      </c>
      <c r="M348" s="30" t="n"/>
      <c r="N348" s="29" t="n">
        <v>0</v>
      </c>
      <c r="O348" s="29" t="n">
        <v>0</v>
      </c>
      <c r="P348" s="2" t="n">
        <v>0</v>
      </c>
      <c r="Q348" s="31" t="n">
        <v>0</v>
      </c>
      <c r="R348" s="32" t="n"/>
      <c r="S348" s="32" t="n">
        <v>0</v>
      </c>
      <c r="T348" s="32" t="n">
        <v>0</v>
      </c>
      <c r="U348" s="31" t="n">
        <v>0</v>
      </c>
      <c r="V348" s="32" t="n">
        <v>0</v>
      </c>
      <c r="W348" s="31" t="n">
        <v>0</v>
      </c>
      <c r="X348" s="31" t="n">
        <v>0</v>
      </c>
      <c r="Y348" s="3" t="n">
        <v>0</v>
      </c>
      <c r="Z348" s="3" t="n">
        <v>0</v>
      </c>
      <c r="AA348" s="32" t="n">
        <v>0</v>
      </c>
      <c r="AB348" s="3" t="n">
        <v>0</v>
      </c>
      <c r="AC348" s="32" t="n">
        <v>0</v>
      </c>
      <c r="AD348" s="3" t="n"/>
      <c r="AE348" s="31" t="n">
        <v>0</v>
      </c>
      <c r="AF348" s="2" t="n">
        <v>0</v>
      </c>
      <c r="AG348" s="2" t="n">
        <v>14</v>
      </c>
      <c r="AH348" s="4" t="n">
        <v>14</v>
      </c>
      <c r="AI348" s="33" t="n">
        <v>0</v>
      </c>
      <c r="AJ348" s="4" t="n">
        <v>0</v>
      </c>
      <c r="AK348" s="34" t="n"/>
      <c r="AL348" s="34" t="n">
        <v>0</v>
      </c>
      <c r="AM348" s="2" t="n">
        <v>0</v>
      </c>
    </row>
    <row r="349">
      <c r="A349">
        <f>HYPERLINK("https://www.walmart.com/ip/725168068", "725168068")</f>
        <v/>
      </c>
      <c r="B349">
        <f>HYPERLINK("https://app.optiwise.ai/catalog/itemdetails/362184", "Tirrinia Large Insulated Picnic Basket, Foldable Bag, 28L Leakproof Portable Basket Set, Blue")</f>
        <v/>
      </c>
      <c r="C349" t="n">
        <v>3</v>
      </c>
      <c r="D349" t="inlineStr">
        <is>
          <t>B78691_1670546_5C9BB2671E1E9004</t>
        </is>
      </c>
      <c r="E349" t="inlineStr">
        <is>
          <t>1TRPB100-BL</t>
        </is>
      </c>
      <c r="F349" t="n">
        <v>15</v>
      </c>
      <c r="G349" t="inlineStr">
        <is>
          <t>Home Decor, Kitchen, &amp; Other</t>
        </is>
      </c>
      <c r="H349" t="inlineStr">
        <is>
          <t>Picnic Baskets &amp; Bags</t>
        </is>
      </c>
      <c r="I349" t="inlineStr">
        <is>
          <t>Tirrinia</t>
        </is>
      </c>
      <c r="J349" t="n">
        <v>3.799999999999999</v>
      </c>
      <c r="K349" t="inlineStr">
        <is>
          <t>Batch 1 - TR</t>
        </is>
      </c>
      <c r="L349" s="29" t="n">
        <v>0</v>
      </c>
      <c r="M349" s="30" t="n"/>
      <c r="N349" s="29" t="n">
        <v>27.98999977111816</v>
      </c>
      <c r="O349" s="29" t="n">
        <v>0</v>
      </c>
      <c r="P349" s="2" t="n">
        <v>0</v>
      </c>
      <c r="Q349" s="31" t="n">
        <v>0</v>
      </c>
      <c r="R349" s="32" t="n"/>
      <c r="S349" s="32" t="n">
        <v>0</v>
      </c>
      <c r="T349" s="32" t="n">
        <v>0.1543</v>
      </c>
      <c r="U349" s="31" t="n">
        <v>0</v>
      </c>
      <c r="V349" s="32" t="n">
        <v>0</v>
      </c>
      <c r="W349" s="31" t="n">
        <v>0</v>
      </c>
      <c r="X349" s="31" t="n">
        <v>0</v>
      </c>
      <c r="Y349" s="3" t="n">
        <v>165</v>
      </c>
      <c r="Z349" s="3" t="n">
        <v>0</v>
      </c>
      <c r="AA349" s="32" t="n">
        <v>0</v>
      </c>
      <c r="AB349" s="3" t="n">
        <v>0</v>
      </c>
      <c r="AC349" s="32" t="n">
        <v>0</v>
      </c>
      <c r="AD349" s="3" t="inlineStr">
        <is>
          <t>Top Selling Last Year 2023,</t>
        </is>
      </c>
      <c r="AE349" s="31" t="n">
        <v>0</v>
      </c>
      <c r="AF349" s="2" t="n">
        <v>0</v>
      </c>
      <c r="AG349" s="2" t="n">
        <v>66</v>
      </c>
      <c r="AH349" s="4" t="n">
        <v>66</v>
      </c>
      <c r="AI349" s="33" t="n">
        <v>0</v>
      </c>
      <c r="AJ349" s="4" t="n">
        <v>0</v>
      </c>
      <c r="AK349" s="34" t="n"/>
      <c r="AL349" s="34" t="n">
        <v>0</v>
      </c>
      <c r="AM349" s="2" t="n">
        <v>0</v>
      </c>
    </row>
    <row r="350">
      <c r="A350">
        <f>HYPERLINK("https://www.walmart.com/ip/363481715", "363481715")</f>
        <v/>
      </c>
      <c r="B350">
        <f>HYPERLINK("https://app.optiwise.ai/catalog/itemdetails/361045", "Waterproof Blanket for Bed, Reversible Baby Pet Doggy Pee Proof Fleece Blankets, Large Couch Sofa Cover Furniture Boat Mattress Protector, King Size 80x90 inches")</f>
        <v/>
      </c>
      <c r="C350" t="n">
        <v>1</v>
      </c>
      <c r="D350" t="inlineStr">
        <is>
          <t>B78691_1681377</t>
        </is>
      </c>
      <c r="E350" t="inlineStr">
        <is>
          <t>1CTBW982TPTP</t>
        </is>
      </c>
      <c r="F350" t="n">
        <v>21</v>
      </c>
      <c r="G350" t="inlineStr">
        <is>
          <t>Bedding</t>
        </is>
      </c>
      <c r="H350" t="inlineStr">
        <is>
          <t>Throws</t>
        </is>
      </c>
      <c r="I350" t="inlineStr">
        <is>
          <t>Catalonia</t>
        </is>
      </c>
      <c r="J350" t="n">
        <v>4.2</v>
      </c>
      <c r="K350" t="inlineStr">
        <is>
          <t>Wproof Blanket,Fleece Blankets,Batch 1 - TR</t>
        </is>
      </c>
      <c r="L350" s="29" t="n">
        <v>0</v>
      </c>
      <c r="M350" s="30" t="n"/>
      <c r="N350" s="29" t="n">
        <v>0</v>
      </c>
      <c r="O350" s="29" t="n">
        <v>59.9900016784668</v>
      </c>
      <c r="P350" s="2" t="n">
        <v>0</v>
      </c>
      <c r="Q350" s="31" t="n">
        <v>2.39</v>
      </c>
      <c r="R350" s="32" t="n">
        <v>0.0003</v>
      </c>
      <c r="S350" s="32" t="n">
        <v>0</v>
      </c>
      <c r="T350" s="32" t="n">
        <v>0.0398</v>
      </c>
      <c r="U350" s="31" t="n">
        <v>16.73</v>
      </c>
      <c r="V350" s="32" t="n">
        <v>0.06</v>
      </c>
      <c r="W350" s="31" t="n">
        <v>39.99</v>
      </c>
      <c r="X350" s="31" t="n">
        <v>39.99</v>
      </c>
      <c r="Y350" s="3" t="n">
        <v>11179</v>
      </c>
      <c r="Z350" s="3" t="n">
        <v>8</v>
      </c>
      <c r="AA350" s="32" t="n">
        <v>0.0007</v>
      </c>
      <c r="AB350" s="3" t="n">
        <v>1</v>
      </c>
      <c r="AC350" s="32" t="n">
        <v>0.125</v>
      </c>
      <c r="AD350" s="3" t="inlineStr">
        <is>
          <t>Auto for BW Indoor,Auto for Top sale---Rachel,Throws_Manual_Optiwise_24</t>
        </is>
      </c>
      <c r="AE350" s="31" t="n">
        <v>0.3</v>
      </c>
      <c r="AF350" s="2" t="n">
        <v>0</v>
      </c>
      <c r="AG350" s="2" t="n">
        <v>185</v>
      </c>
      <c r="AH350" s="4" t="n">
        <v>177</v>
      </c>
      <c r="AI350" s="33" t="n">
        <v>-39.99</v>
      </c>
      <c r="AJ350" s="4" t="n">
        <v>-1</v>
      </c>
      <c r="AK350" s="34" t="n">
        <v>-0.0056</v>
      </c>
      <c r="AL350" s="34" t="n">
        <v>0</v>
      </c>
      <c r="AM350" s="2" t="n">
        <v>0</v>
      </c>
    </row>
    <row r="351">
      <c r="A351">
        <f>HYPERLINK("https://www.walmart.com/ip/793040786", "793040786")</f>
        <v/>
      </c>
      <c r="B351">
        <f>HYPERLINK("https://app.optiwise.ai/catalog/itemdetails/362767", "Women Floppy Sun Bucket Hats w/ Wide Brim Straw Edge Summer Beach UV Protection Foldable Gardening Hiking Cap")</f>
        <v/>
      </c>
      <c r="C351" t="n">
        <v>2</v>
      </c>
      <c r="D351" t="inlineStr">
        <is>
          <t>B78691_1639379_9472116821A2BF21</t>
        </is>
      </c>
      <c r="E351" t="inlineStr">
        <is>
          <t>1TRSH031BE-TBCB</t>
        </is>
      </c>
      <c r="F351" t="n">
        <v>3</v>
      </c>
      <c r="G351" t="inlineStr">
        <is>
          <t>Clothing</t>
        </is>
      </c>
      <c r="H351" t="inlineStr">
        <is>
          <t>Hats</t>
        </is>
      </c>
      <c r="I351" t="inlineStr">
        <is>
          <t>Tirrinia</t>
        </is>
      </c>
      <c r="J351" t="n">
        <v>3.5</v>
      </c>
      <c r="K351" t="inlineStr">
        <is>
          <t>Batch 1 - TR</t>
        </is>
      </c>
      <c r="L351" s="29" t="n">
        <v>0</v>
      </c>
      <c r="M351" s="30" t="n"/>
      <c r="N351" s="29" t="n">
        <v>0</v>
      </c>
      <c r="O351" s="29" t="n">
        <v>0</v>
      </c>
      <c r="P351" s="2" t="n">
        <v>0</v>
      </c>
      <c r="Q351" s="31" t="n">
        <v>0</v>
      </c>
      <c r="R351" s="32" t="n"/>
      <c r="S351" s="32" t="n">
        <v>0</v>
      </c>
      <c r="T351" s="32" t="n">
        <v>0</v>
      </c>
      <c r="U351" s="31" t="n">
        <v>0</v>
      </c>
      <c r="V351" s="32" t="n">
        <v>0</v>
      </c>
      <c r="W351" s="31" t="n">
        <v>0</v>
      </c>
      <c r="X351" s="31" t="n">
        <v>0</v>
      </c>
      <c r="Y351" s="3" t="n">
        <v>0</v>
      </c>
      <c r="Z351" s="3" t="n">
        <v>0</v>
      </c>
      <c r="AA351" s="32" t="n">
        <v>0</v>
      </c>
      <c r="AB351" s="3" t="n">
        <v>0</v>
      </c>
      <c r="AC351" s="32" t="n">
        <v>0</v>
      </c>
      <c r="AD351" s="3" t="n"/>
      <c r="AE351" s="31" t="n">
        <v>0</v>
      </c>
      <c r="AF351" s="2" t="n">
        <v>0</v>
      </c>
      <c r="AG351" s="2" t="n">
        <v>7</v>
      </c>
      <c r="AH351" s="4" t="n">
        <v>7</v>
      </c>
      <c r="AI351" s="33" t="n">
        <v>0</v>
      </c>
      <c r="AJ351" s="4" t="n">
        <v>0</v>
      </c>
      <c r="AK351" s="34" t="n"/>
      <c r="AL351" s="34" t="n">
        <v>0</v>
      </c>
      <c r="AM351" s="2" t="n">
        <v>0</v>
      </c>
    </row>
    <row r="352">
      <c r="A352">
        <f>HYPERLINK("https://www.walmart.com/ip/941908441", "941908441")</f>
        <v/>
      </c>
      <c r="B352">
        <f>HYPERLINK("https://app.optiwise.ai/catalog/itemdetails/418749", "Tirrinia Super Soft Micro Fleece Plush Reversible Sherpa Blanket, 50 x 60, Snow Light Gray")</f>
        <v/>
      </c>
      <c r="C352" t="n">
        <v>4</v>
      </c>
      <c r="D352" t="inlineStr">
        <is>
          <t>B78691_1681111_A2777FA0CE93476B</t>
        </is>
      </c>
      <c r="E352" t="inlineStr">
        <is>
          <t>1TRBF321LG-TBGM</t>
        </is>
      </c>
      <c r="F352" t="n">
        <v>2</v>
      </c>
      <c r="G352" t="inlineStr">
        <is>
          <t>Bedding</t>
        </is>
      </c>
      <c r="H352" t="inlineStr">
        <is>
          <t>Throws</t>
        </is>
      </c>
      <c r="I352" t="inlineStr">
        <is>
          <t>Tirrinia</t>
        </is>
      </c>
      <c r="K352" t="inlineStr">
        <is>
          <t>Optimized</t>
        </is>
      </c>
      <c r="L352" s="29" t="n">
        <v>0</v>
      </c>
      <c r="M352" s="30" t="n"/>
      <c r="N352" s="29" t="n">
        <v>0</v>
      </c>
      <c r="O352" s="29" t="n">
        <v>0</v>
      </c>
      <c r="P352" s="2" t="n">
        <v>0</v>
      </c>
      <c r="Q352" s="31" t="n">
        <v>0</v>
      </c>
      <c r="R352" s="32" t="n"/>
      <c r="S352" s="32" t="n">
        <v>0</v>
      </c>
      <c r="T352" s="32" t="n">
        <v>0</v>
      </c>
      <c r="U352" s="31" t="n">
        <v>0</v>
      </c>
      <c r="V352" s="32" t="n">
        <v>0</v>
      </c>
      <c r="W352" s="31" t="n">
        <v>0</v>
      </c>
      <c r="X352" s="31" t="n">
        <v>0</v>
      </c>
      <c r="Y352" s="3" t="n">
        <v>0</v>
      </c>
      <c r="Z352" s="3" t="n">
        <v>0</v>
      </c>
      <c r="AA352" s="32" t="n">
        <v>0</v>
      </c>
      <c r="AB352" s="3" t="n">
        <v>0</v>
      </c>
      <c r="AC352" s="32" t="n">
        <v>0</v>
      </c>
      <c r="AD352" s="3" t="n"/>
      <c r="AE352" s="31" t="n">
        <v>0</v>
      </c>
      <c r="AF352" s="2" t="n">
        <v>0</v>
      </c>
      <c r="AG352" s="2" t="n">
        <v>14</v>
      </c>
      <c r="AH352" s="4" t="n">
        <v>14</v>
      </c>
      <c r="AI352" s="33" t="n">
        <v>0</v>
      </c>
      <c r="AJ352" s="4" t="n">
        <v>0</v>
      </c>
      <c r="AK352" s="34" t="n"/>
      <c r="AL352" s="34" t="n">
        <v>0</v>
      </c>
      <c r="AM352" s="2" t="n">
        <v>0</v>
      </c>
    </row>
    <row r="353">
      <c r="A353">
        <f>HYPERLINK("https://www.walmart.com/ip/146084848", "146084848")</f>
        <v/>
      </c>
      <c r="B353">
        <f>HYPERLINK("https://app.optiwise.ai/catalog/itemdetails/362267", "KC Caps Race Collection Caps Navy with Flame Flare Graphics")</f>
        <v/>
      </c>
      <c r="C353" t="n">
        <v>1</v>
      </c>
      <c r="D353" t="inlineStr">
        <is>
          <t>B78691_974393</t>
        </is>
      </c>
      <c r="E353" t="inlineStr">
        <is>
          <t>KC-HR06</t>
        </is>
      </c>
      <c r="F353" t="n">
        <v>0</v>
      </c>
      <c r="G353" t="inlineStr">
        <is>
          <t>Clothing</t>
        </is>
      </c>
      <c r="H353" t="inlineStr">
        <is>
          <t>Hats</t>
        </is>
      </c>
      <c r="I353" t="inlineStr">
        <is>
          <t>KC Caps</t>
        </is>
      </c>
      <c r="K353" t="inlineStr">
        <is>
          <t>Optimized</t>
        </is>
      </c>
      <c r="L353" s="29" t="n">
        <v>0</v>
      </c>
      <c r="M353" s="30" t="n"/>
      <c r="N353" s="29" t="n">
        <v>0</v>
      </c>
      <c r="O353" s="29" t="n">
        <v>0</v>
      </c>
      <c r="P353" s="2" t="n">
        <v>0</v>
      </c>
      <c r="Q353" s="31" t="n">
        <v>0</v>
      </c>
      <c r="R353" s="32" t="n"/>
      <c r="S353" s="32" t="n">
        <v>0</v>
      </c>
      <c r="T353" s="32" t="n">
        <v>0</v>
      </c>
      <c r="U353" s="31" t="n">
        <v>0</v>
      </c>
      <c r="V353" s="32" t="n">
        <v>0</v>
      </c>
      <c r="W353" s="31" t="n">
        <v>0</v>
      </c>
      <c r="X353" s="31" t="n">
        <v>0</v>
      </c>
      <c r="Y353" s="3" t="n">
        <v>0</v>
      </c>
      <c r="Z353" s="3" t="n">
        <v>0</v>
      </c>
      <c r="AA353" s="32" t="n">
        <v>0</v>
      </c>
      <c r="AB353" s="3" t="n">
        <v>0</v>
      </c>
      <c r="AC353" s="32" t="n">
        <v>0</v>
      </c>
      <c r="AD353" s="3" t="n"/>
      <c r="AE353" s="31" t="n">
        <v>0</v>
      </c>
      <c r="AF353" s="2" t="n">
        <v>0</v>
      </c>
      <c r="AG353" s="2" t="n">
        <v>0</v>
      </c>
      <c r="AH353" s="4" t="n">
        <v>0</v>
      </c>
      <c r="AI353" s="33" t="n">
        <v>0</v>
      </c>
      <c r="AJ353" s="4" t="n">
        <v>0</v>
      </c>
      <c r="AK353" s="34" t="n"/>
      <c r="AL353" s="34" t="n">
        <v>0</v>
      </c>
      <c r="AM353" s="2" t="n">
        <v>0</v>
      </c>
    </row>
    <row r="354">
      <c r="A354">
        <f>HYPERLINK("https://www.walmart.com/ip/935225656", "935225656")</f>
        <v/>
      </c>
      <c r="B354">
        <f>HYPERLINK("https://app.optiwise.ai/catalog/itemdetails/362374", "Tirrinia Soft Velvet Plush Throw Blanket 50”x 70” Microfiber Lightweight Warm Home Bed Sofa Couch")</f>
        <v/>
      </c>
      <c r="C354" t="n">
        <v>3</v>
      </c>
      <c r="D354" t="inlineStr">
        <is>
          <t>B78691_1681113_AF7ADB5B74D04BDD</t>
        </is>
      </c>
      <c r="E354" t="inlineStr">
        <is>
          <t>1TRBF8023GY-TBGM</t>
        </is>
      </c>
      <c r="F354" t="n">
        <v>1</v>
      </c>
      <c r="G354" t="inlineStr">
        <is>
          <t>Bedding</t>
        </is>
      </c>
      <c r="H354" t="inlineStr">
        <is>
          <t>Throws</t>
        </is>
      </c>
      <c r="I354" t="inlineStr">
        <is>
          <t>Tirrinia</t>
        </is>
      </c>
      <c r="J354" t="n">
        <v>5</v>
      </c>
      <c r="K354" t="inlineStr">
        <is>
          <t>Optimized</t>
        </is>
      </c>
      <c r="L354" s="29" t="n">
        <v>0</v>
      </c>
      <c r="M354" s="30" t="n"/>
      <c r="N354" s="29" t="n">
        <v>0</v>
      </c>
      <c r="O354" s="29" t="n">
        <v>0</v>
      </c>
      <c r="P354" s="2" t="n">
        <v>0</v>
      </c>
      <c r="Q354" s="31" t="n">
        <v>0</v>
      </c>
      <c r="R354" s="32" t="n"/>
      <c r="S354" s="32" t="n">
        <v>0</v>
      </c>
      <c r="T354" s="32" t="n">
        <v>0</v>
      </c>
      <c r="U354" s="31" t="n">
        <v>0</v>
      </c>
      <c r="V354" s="32" t="n">
        <v>0</v>
      </c>
      <c r="W354" s="31" t="n">
        <v>0</v>
      </c>
      <c r="X354" s="31" t="n">
        <v>0</v>
      </c>
      <c r="Y354" s="3" t="n">
        <v>0</v>
      </c>
      <c r="Z354" s="3" t="n">
        <v>0</v>
      </c>
      <c r="AA354" s="32" t="n">
        <v>0</v>
      </c>
      <c r="AB354" s="3" t="n">
        <v>0</v>
      </c>
      <c r="AC354" s="32" t="n">
        <v>0</v>
      </c>
      <c r="AD354" s="3" t="n"/>
      <c r="AE354" s="31" t="n">
        <v>0</v>
      </c>
      <c r="AF354" s="2" t="n">
        <v>0</v>
      </c>
      <c r="AG354" s="2" t="n">
        <v>14</v>
      </c>
      <c r="AH354" s="4" t="n">
        <v>14</v>
      </c>
      <c r="AI354" s="33" t="n">
        <v>0</v>
      </c>
      <c r="AJ354" s="4" t="n">
        <v>0</v>
      </c>
      <c r="AK354" s="34" t="n"/>
      <c r="AL354" s="34" t="n">
        <v>0</v>
      </c>
      <c r="AM354" s="2" t="n">
        <v>0</v>
      </c>
    </row>
    <row r="355">
      <c r="A355">
        <f>HYPERLINK("https://www.walmart.com/ip/460411151", "460411151")</f>
        <v/>
      </c>
      <c r="B355">
        <f>HYPERLINK("https://app.optiwise.ai/catalog/itemdetails/362486", "Solaris Youth Tulle Tutu, 3-Layered Princess Girls Skirt for Ballet, Dress Up Costume Party, and Running, Light Purple")</f>
        <v/>
      </c>
      <c r="C355" t="n">
        <v>1</v>
      </c>
      <c r="D355" t="inlineStr">
        <is>
          <t>B78691_1679134</t>
        </is>
      </c>
      <c r="E355" t="inlineStr">
        <is>
          <t>SLTUTULP</t>
        </is>
      </c>
      <c r="F355" t="n">
        <v>0</v>
      </c>
      <c r="G355" t="inlineStr">
        <is>
          <t>Costumes</t>
        </is>
      </c>
      <c r="H355" t="inlineStr">
        <is>
          <t>Skirts</t>
        </is>
      </c>
      <c r="I355" t="inlineStr">
        <is>
          <t>Solaris</t>
        </is>
      </c>
      <c r="K355" t="inlineStr">
        <is>
          <t>Optimized</t>
        </is>
      </c>
      <c r="L355" s="29" t="n">
        <v>0</v>
      </c>
      <c r="M355" s="30" t="n"/>
      <c r="N355" s="29" t="n">
        <v>0</v>
      </c>
      <c r="O355" s="29" t="n">
        <v>0</v>
      </c>
      <c r="P355" s="2" t="n">
        <v>0</v>
      </c>
      <c r="Q355" s="31" t="n">
        <v>0</v>
      </c>
      <c r="R355" s="32" t="n"/>
      <c r="S355" s="32" t="n">
        <v>0</v>
      </c>
      <c r="T355" s="32" t="n">
        <v>0</v>
      </c>
      <c r="U355" s="31" t="n">
        <v>0</v>
      </c>
      <c r="V355" s="32" t="n">
        <v>0</v>
      </c>
      <c r="W355" s="31" t="n">
        <v>0</v>
      </c>
      <c r="X355" s="31" t="n">
        <v>0</v>
      </c>
      <c r="Y355" s="3" t="n">
        <v>0</v>
      </c>
      <c r="Z355" s="3" t="n">
        <v>0</v>
      </c>
      <c r="AA355" s="32" t="n">
        <v>0</v>
      </c>
      <c r="AB355" s="3" t="n">
        <v>0</v>
      </c>
      <c r="AC355" s="32" t="n">
        <v>0</v>
      </c>
      <c r="AD355" s="3" t="n"/>
      <c r="AE355" s="31" t="n">
        <v>0</v>
      </c>
      <c r="AF355" s="2" t="n">
        <v>0</v>
      </c>
      <c r="AG355" s="2" t="n">
        <v>23</v>
      </c>
      <c r="AH355" s="4" t="n">
        <v>23</v>
      </c>
      <c r="AI355" s="33" t="n">
        <v>0</v>
      </c>
      <c r="AJ355" s="4" t="n">
        <v>0</v>
      </c>
      <c r="AK355" s="34" t="n"/>
      <c r="AL355" s="34" t="n">
        <v>0</v>
      </c>
      <c r="AM355" s="2" t="n">
        <v>0</v>
      </c>
    </row>
    <row r="356">
      <c r="A356">
        <f>HYPERLINK("https://www.walmart.com/ip/484996593", "484996593")</f>
        <v/>
      </c>
      <c r="B356">
        <f>HYPERLINK("https://app.optiwise.ai/catalog/itemdetails/362498", "Mermaid Tail Blanket Super Soft Fleece Sleeping Bag Mermaid Blanket Tail with Pillow/Cusion Gift for Kids Girls 3-12")</f>
        <v/>
      </c>
      <c r="C356" t="n">
        <v>2</v>
      </c>
      <c r="D356" t="inlineStr">
        <is>
          <t>B78691_1639360_5C9BB2671E1E9004</t>
        </is>
      </c>
      <c r="E356" t="inlineStr">
        <is>
          <t>1TRMP100LB-TBCB</t>
        </is>
      </c>
      <c r="F356" t="n">
        <v>0</v>
      </c>
      <c r="G356" t="inlineStr">
        <is>
          <t>Bedding</t>
        </is>
      </c>
      <c r="H356" t="inlineStr">
        <is>
          <t>Throws</t>
        </is>
      </c>
      <c r="I356" t="inlineStr">
        <is>
          <t>Tirrinia</t>
        </is>
      </c>
      <c r="L356" s="29" t="n">
        <v>0</v>
      </c>
      <c r="M356" s="30" t="n"/>
      <c r="N356" s="29" t="n">
        <v>0</v>
      </c>
      <c r="O356" s="29" t="n">
        <v>0</v>
      </c>
      <c r="P356" s="2" t="n">
        <v>0</v>
      </c>
      <c r="Q356" s="31" t="n">
        <v>0</v>
      </c>
      <c r="R356" s="32" t="n"/>
      <c r="S356" s="32" t="n">
        <v>0</v>
      </c>
      <c r="T356" s="32" t="n">
        <v>0</v>
      </c>
      <c r="U356" s="31" t="n">
        <v>0</v>
      </c>
      <c r="V356" s="32" t="n">
        <v>0</v>
      </c>
      <c r="W356" s="31" t="n">
        <v>0</v>
      </c>
      <c r="X356" s="31" t="n">
        <v>0</v>
      </c>
      <c r="Y356" s="3" t="n">
        <v>0</v>
      </c>
      <c r="Z356" s="3" t="n">
        <v>0</v>
      </c>
      <c r="AA356" s="32" t="n">
        <v>0</v>
      </c>
      <c r="AB356" s="3" t="n">
        <v>0</v>
      </c>
      <c r="AC356" s="32" t="n">
        <v>0</v>
      </c>
      <c r="AD356" s="3" t="n"/>
      <c r="AE356" s="31" t="n">
        <v>0</v>
      </c>
      <c r="AF356" s="2" t="n">
        <v>0</v>
      </c>
      <c r="AG356" s="2" t="n">
        <v>20</v>
      </c>
      <c r="AH356" s="4" t="n">
        <v>20</v>
      </c>
      <c r="AI356" s="33" t="n">
        <v>0</v>
      </c>
      <c r="AJ356" s="4" t="n">
        <v>0</v>
      </c>
      <c r="AK356" s="34" t="n"/>
      <c r="AL356" s="34" t="n">
        <v>0</v>
      </c>
      <c r="AM356" s="2" t="n">
        <v>0</v>
      </c>
    </row>
    <row r="357">
      <c r="A357">
        <f>HYPERLINK("https://www.walmart.com/ip/806688161", "806688161")</f>
        <v/>
      </c>
      <c r="B357">
        <f>HYPERLINK("https://app.optiwise.ai/catalog/itemdetails/362524", "Tirrinia Womens Super Soft Warm Microfiber Fleece Plush Bathrobe Spa Robe with Pockets Large")</f>
        <v/>
      </c>
      <c r="C357" t="n">
        <v>1</v>
      </c>
      <c r="D357" t="inlineStr">
        <is>
          <t>B78691_1671513_5C9BB2671E1E9004</t>
        </is>
      </c>
      <c r="E357" t="inlineStr">
        <is>
          <t>1TRRB510GY-01</t>
        </is>
      </c>
      <c r="F357" t="n">
        <v>0</v>
      </c>
      <c r="G357" t="inlineStr">
        <is>
          <t>Clothing</t>
        </is>
      </c>
      <c r="H357" t="inlineStr">
        <is>
          <t>Sleepwear Robes &amp; Bathrobes</t>
        </is>
      </c>
      <c r="I357" t="inlineStr">
        <is>
          <t>Tirrinia</t>
        </is>
      </c>
      <c r="K357" t="inlineStr">
        <is>
          <t>WFS,Bathrobe</t>
        </is>
      </c>
      <c r="L357" s="29" t="n">
        <v>0</v>
      </c>
      <c r="M357" s="30" t="n"/>
      <c r="N357" s="29" t="n">
        <v>0</v>
      </c>
      <c r="O357" s="29" t="n">
        <v>0</v>
      </c>
      <c r="P357" s="2" t="n">
        <v>0</v>
      </c>
      <c r="Q357" s="31" t="n">
        <v>0</v>
      </c>
      <c r="R357" s="32" t="n"/>
      <c r="S357" s="32" t="n">
        <v>0</v>
      </c>
      <c r="T357" s="32" t="n">
        <v>0</v>
      </c>
      <c r="U357" s="31" t="n">
        <v>0</v>
      </c>
      <c r="V357" s="32" t="n">
        <v>0</v>
      </c>
      <c r="W357" s="31" t="n">
        <v>0</v>
      </c>
      <c r="X357" s="31" t="n">
        <v>0</v>
      </c>
      <c r="Y357" s="3" t="n">
        <v>0</v>
      </c>
      <c r="Z357" s="3" t="n">
        <v>0</v>
      </c>
      <c r="AA357" s="32" t="n">
        <v>0</v>
      </c>
      <c r="AB357" s="3" t="n">
        <v>0</v>
      </c>
      <c r="AC357" s="32" t="n">
        <v>0</v>
      </c>
      <c r="AD357" s="3" t="n"/>
      <c r="AE357" s="31" t="n">
        <v>0</v>
      </c>
      <c r="AF357" s="2" t="n">
        <v>0</v>
      </c>
      <c r="AG357" s="2" t="n">
        <v>1</v>
      </c>
      <c r="AH357" s="4" t="n">
        <v>1</v>
      </c>
      <c r="AI357" s="33" t="n">
        <v>0</v>
      </c>
      <c r="AJ357" s="4" t="n">
        <v>0</v>
      </c>
      <c r="AK357" s="34" t="n"/>
      <c r="AL357" s="34" t="n">
        <v>0</v>
      </c>
      <c r="AM357" s="2" t="n">
        <v>0</v>
      </c>
    </row>
    <row r="358">
      <c r="A358">
        <f>HYPERLINK("https://www.walmart.com/ip/814209589", "814209589")</f>
        <v/>
      </c>
      <c r="B358">
        <f>HYPERLINK("https://app.optiwise.ai/catalog/itemdetails/362620", "Tirrinia Surf Poncho Changing Towel with Hood, Quick Dry Oversized Fits All Adult, Black")</f>
        <v/>
      </c>
      <c r="C358" t="n">
        <v>2</v>
      </c>
      <c r="D358" t="inlineStr">
        <is>
          <t>B78691_1639341_5C9BB2671E1E9004</t>
        </is>
      </c>
      <c r="E358" t="inlineStr">
        <is>
          <t>1TRBR100-BK-TB01</t>
        </is>
      </c>
      <c r="F358" t="n">
        <v>2</v>
      </c>
      <c r="G358" t="inlineStr">
        <is>
          <t>Clothing</t>
        </is>
      </c>
      <c r="H358" t="inlineStr">
        <is>
          <t>Towels &amp; Washcloths</t>
        </is>
      </c>
      <c r="I358" t="inlineStr">
        <is>
          <t>Tirrinia</t>
        </is>
      </c>
      <c r="J358" t="n">
        <v>5</v>
      </c>
      <c r="K358" t="inlineStr">
        <is>
          <t>Batch 1 - TR</t>
        </is>
      </c>
      <c r="L358" s="29" t="n">
        <v>0</v>
      </c>
      <c r="M358" s="30" t="n"/>
      <c r="N358" s="29" t="n">
        <v>0</v>
      </c>
      <c r="O358" s="29" t="n">
        <v>0</v>
      </c>
      <c r="P358" s="2" t="n">
        <v>0</v>
      </c>
      <c r="Q358" s="31" t="n">
        <v>0</v>
      </c>
      <c r="R358" s="32" t="n"/>
      <c r="S358" s="32" t="n">
        <v>0</v>
      </c>
      <c r="T358" s="32" t="n">
        <v>0</v>
      </c>
      <c r="U358" s="31" t="n">
        <v>0</v>
      </c>
      <c r="V358" s="32" t="n">
        <v>0</v>
      </c>
      <c r="W358" s="31" t="n">
        <v>0</v>
      </c>
      <c r="X358" s="31" t="n">
        <v>0</v>
      </c>
      <c r="Y358" s="3" t="n">
        <v>0</v>
      </c>
      <c r="Z358" s="3" t="n">
        <v>0</v>
      </c>
      <c r="AA358" s="32" t="n">
        <v>0</v>
      </c>
      <c r="AB358" s="3" t="n">
        <v>0</v>
      </c>
      <c r="AC358" s="32" t="n">
        <v>0</v>
      </c>
      <c r="AD358" s="3" t="n"/>
      <c r="AE358" s="31" t="n">
        <v>0</v>
      </c>
      <c r="AF358" s="2" t="n">
        <v>0</v>
      </c>
      <c r="AG358" s="2" t="n">
        <v>0</v>
      </c>
      <c r="AH358" s="4" t="n">
        <v>0</v>
      </c>
      <c r="AI358" s="33" t="n">
        <v>0</v>
      </c>
      <c r="AJ358" s="4" t="n">
        <v>0</v>
      </c>
      <c r="AK358" s="34" t="n"/>
      <c r="AL358" s="34" t="n">
        <v>0</v>
      </c>
      <c r="AM358" s="2" t="n">
        <v>0</v>
      </c>
    </row>
    <row r="359">
      <c r="A359">
        <f>HYPERLINK("https://www.walmart.com/ip/823531741", "823531741")</f>
        <v/>
      </c>
      <c r="B359">
        <f>HYPERLINK("https://app.optiwise.ai/catalog/itemdetails/362557", "Pawsse Dog Cuddler Bed,Soft Plush Pet Sofa Thick Kennel Cushion Pad Crate Mat Blanket Car Seat Cover for Small Medium Large Dogs Puppy Cats Grey")</f>
        <v/>
      </c>
      <c r="C359" t="n">
        <v>1</v>
      </c>
      <c r="D359" t="inlineStr">
        <is>
          <t>B78691_1635531_5C9BB2671E1E9004</t>
        </is>
      </c>
      <c r="E359" t="inlineStr">
        <is>
          <t>1PSPB406GY</t>
        </is>
      </c>
      <c r="F359" t="n">
        <v>2</v>
      </c>
      <c r="G359" t="inlineStr">
        <is>
          <t>Animal Accessories</t>
        </is>
      </c>
      <c r="H359" t="inlineStr">
        <is>
          <t>Pet Beds</t>
        </is>
      </c>
      <c r="I359" t="inlineStr">
        <is>
          <t>Pawsse</t>
        </is>
      </c>
      <c r="J359" t="n">
        <v>2.5</v>
      </c>
      <c r="K359" t="inlineStr">
        <is>
          <t>Optimized</t>
        </is>
      </c>
      <c r="L359" s="29" t="n">
        <v>0</v>
      </c>
      <c r="M359" s="30" t="n"/>
      <c r="N359" s="29" t="n">
        <v>0</v>
      </c>
      <c r="O359" s="29" t="n">
        <v>0</v>
      </c>
      <c r="P359" s="2" t="n">
        <v>0</v>
      </c>
      <c r="Q359" s="31" t="n">
        <v>0</v>
      </c>
      <c r="R359" s="32" t="n"/>
      <c r="S359" s="32" t="n">
        <v>0</v>
      </c>
      <c r="T359" s="32" t="n">
        <v>0</v>
      </c>
      <c r="U359" s="31" t="n">
        <v>0</v>
      </c>
      <c r="V359" s="32" t="n">
        <v>0</v>
      </c>
      <c r="W359" s="31" t="n">
        <v>0</v>
      </c>
      <c r="X359" s="31" t="n">
        <v>0</v>
      </c>
      <c r="Y359" s="3" t="n">
        <v>0</v>
      </c>
      <c r="Z359" s="3" t="n">
        <v>0</v>
      </c>
      <c r="AA359" s="32" t="n">
        <v>0</v>
      </c>
      <c r="AB359" s="3" t="n">
        <v>0</v>
      </c>
      <c r="AC359" s="32" t="n">
        <v>0</v>
      </c>
      <c r="AD359" s="3" t="n"/>
      <c r="AE359" s="31" t="n">
        <v>0</v>
      </c>
      <c r="AF359" s="2" t="n">
        <v>0</v>
      </c>
      <c r="AG359" s="2" t="n">
        <v>2</v>
      </c>
      <c r="AH359" s="4" t="n">
        <v>2</v>
      </c>
      <c r="AI359" s="33" t="n">
        <v>0</v>
      </c>
      <c r="AJ359" s="4" t="n">
        <v>0</v>
      </c>
      <c r="AK359" s="34" t="n"/>
      <c r="AL359" s="34" t="n">
        <v>0</v>
      </c>
      <c r="AM359" s="2" t="n">
        <v>0</v>
      </c>
    </row>
    <row r="360">
      <c r="A360">
        <f>HYPERLINK("https://www.walmart.com/ip/229712908", "229712908")</f>
        <v/>
      </c>
      <c r="B360">
        <f>HYPERLINK("https://app.optiwise.ai/catalog/itemdetails/362596", "Kato Insulated Lunch Bag for Women and Men, Leakproof Portable Cooler with Dual Compartments, Double Deck, Front Pockets, Zipper Closure for School, Office Work, Outdoor Activities, Medium Size, Black")</f>
        <v/>
      </c>
      <c r="C360" t="n">
        <v>1</v>
      </c>
      <c r="D360" t="inlineStr">
        <is>
          <t>B78691_1635628_5C9BB2671E1E9004</t>
        </is>
      </c>
      <c r="E360" t="inlineStr">
        <is>
          <t>1KTLB300BKBK</t>
        </is>
      </c>
      <c r="F360" t="n">
        <v>31</v>
      </c>
      <c r="G360" t="inlineStr">
        <is>
          <t>Home Decor, Kitchen, &amp; Other</t>
        </is>
      </c>
      <c r="H360" t="inlineStr">
        <is>
          <t>Reusable Lunch Bags &amp; Boxes</t>
        </is>
      </c>
      <c r="I360" t="inlineStr">
        <is>
          <t>Kato</t>
        </is>
      </c>
      <c r="J360" t="n">
        <v>3.8</v>
      </c>
      <c r="K360" t="inlineStr">
        <is>
          <t>Lunch Bag,WFS,Lunch Bags,SEM,WFS Item</t>
        </is>
      </c>
      <c r="L360" s="29" t="n">
        <v>0</v>
      </c>
      <c r="M360" s="30" t="n"/>
      <c r="N360" s="29" t="n">
        <v>0</v>
      </c>
      <c r="O360" s="29" t="n">
        <v>0</v>
      </c>
      <c r="P360" s="2" t="n">
        <v>0</v>
      </c>
      <c r="Q360" s="31" t="n">
        <v>0</v>
      </c>
      <c r="R360" s="32" t="n"/>
      <c r="S360" s="32" t="n">
        <v>0</v>
      </c>
      <c r="T360" s="32" t="n">
        <v>0</v>
      </c>
      <c r="U360" s="31" t="n">
        <v>0</v>
      </c>
      <c r="V360" s="32" t="n">
        <v>0</v>
      </c>
      <c r="W360" s="31" t="n">
        <v>0</v>
      </c>
      <c r="X360" s="31" t="n">
        <v>0</v>
      </c>
      <c r="Y360" s="3" t="n">
        <v>0</v>
      </c>
      <c r="Z360" s="3" t="n">
        <v>0</v>
      </c>
      <c r="AA360" s="32" t="n">
        <v>0</v>
      </c>
      <c r="AB360" s="3" t="n">
        <v>0</v>
      </c>
      <c r="AC360" s="32" t="n">
        <v>0</v>
      </c>
      <c r="AD360" s="3" t="n"/>
      <c r="AE360" s="31" t="n">
        <v>0</v>
      </c>
      <c r="AF360" s="2" t="n">
        <v>0</v>
      </c>
      <c r="AG360" s="2" t="n">
        <v>0</v>
      </c>
      <c r="AH360" s="4" t="n">
        <v>0</v>
      </c>
      <c r="AI360" s="33" t="n">
        <v>0</v>
      </c>
      <c r="AJ360" s="4" t="n">
        <v>0</v>
      </c>
      <c r="AK360" s="34" t="n"/>
      <c r="AL360" s="34" t="n">
        <v>0</v>
      </c>
      <c r="AM360" s="2" t="n">
        <v>0</v>
      </c>
    </row>
    <row r="361">
      <c r="A361">
        <f>HYPERLINK("https://www.walmart.com/ip/158738643", "158738643")</f>
        <v/>
      </c>
      <c r="B361">
        <f>HYPERLINK("https://app.optiwise.ai/catalog/itemdetails/361951", "JenniWears® Women's 6-Pack Leopard Lace Garter Belt Stretch Stocking Suspender")</f>
        <v/>
      </c>
      <c r="C361" t="n">
        <v>1</v>
      </c>
      <c r="D361" t="inlineStr">
        <is>
          <t>00742010032304</t>
        </is>
      </c>
      <c r="E361" t="inlineStr">
        <is>
          <t>JWBLSPH2108-6pcs</t>
        </is>
      </c>
      <c r="F361" t="n">
        <v>0</v>
      </c>
      <c r="G361" t="inlineStr">
        <is>
          <t>Clothing</t>
        </is>
      </c>
      <c r="H361" t="inlineStr">
        <is>
          <t>Garter Belts</t>
        </is>
      </c>
      <c r="I361" t="inlineStr">
        <is>
          <t>JenniWears</t>
        </is>
      </c>
      <c r="K361" t="inlineStr">
        <is>
          <t>Optimized,Valentine</t>
        </is>
      </c>
      <c r="L361" s="29" t="n">
        <v>0</v>
      </c>
      <c r="M361" s="30" t="n"/>
      <c r="N361" s="29" t="n">
        <v>0</v>
      </c>
      <c r="O361" s="29" t="n">
        <v>0</v>
      </c>
      <c r="P361" s="2" t="n">
        <v>0</v>
      </c>
      <c r="Q361" s="31" t="n">
        <v>0</v>
      </c>
      <c r="R361" s="32" t="n"/>
      <c r="S361" s="32" t="n">
        <v>0</v>
      </c>
      <c r="T361" s="32" t="n">
        <v>0</v>
      </c>
      <c r="U361" s="31" t="n">
        <v>0</v>
      </c>
      <c r="V361" s="32" t="n">
        <v>0</v>
      </c>
      <c r="W361" s="31" t="n">
        <v>0</v>
      </c>
      <c r="X361" s="31" t="n">
        <v>0</v>
      </c>
      <c r="Y361" s="3" t="n">
        <v>0</v>
      </c>
      <c r="Z361" s="3" t="n">
        <v>0</v>
      </c>
      <c r="AA361" s="32" t="n">
        <v>0</v>
      </c>
      <c r="AB361" s="3" t="n">
        <v>0</v>
      </c>
      <c r="AC361" s="32" t="n">
        <v>0</v>
      </c>
      <c r="AD361" s="3" t="n"/>
      <c r="AE361" s="31" t="n">
        <v>0</v>
      </c>
      <c r="AF361" s="2" t="n">
        <v>0</v>
      </c>
      <c r="AG361" s="2" t="n">
        <v>6</v>
      </c>
      <c r="AH361" s="4" t="n">
        <v>6</v>
      </c>
      <c r="AI361" s="33" t="n">
        <v>0</v>
      </c>
      <c r="AJ361" s="4" t="n">
        <v>0</v>
      </c>
      <c r="AK361" s="34" t="n"/>
      <c r="AL361" s="34" t="n">
        <v>0</v>
      </c>
      <c r="AM361" s="2" t="n">
        <v>0</v>
      </c>
    </row>
    <row r="362">
      <c r="A362">
        <f>HYPERLINK("https://www.walmart.com/ip/371292642", "371292642")</f>
        <v/>
      </c>
      <c r="B362">
        <f>HYPERLINK("https://app.optiwise.ai/catalog/itemdetails/361306", "Stemless Insulated Wine Tumbler with Lid, 12oz 2 Pack Stainless Steel Double Walled Metal Wine &amp; Champagne Tumbler, Silver")</f>
        <v/>
      </c>
      <c r="C362" t="n">
        <v>2</v>
      </c>
      <c r="D362" t="inlineStr">
        <is>
          <t>B78691_1681749_5C9BB2671E1E9004</t>
        </is>
      </c>
      <c r="E362" t="inlineStr">
        <is>
          <t>1WMWT120SL-2PK</t>
        </is>
      </c>
      <c r="F362" t="n">
        <v>4</v>
      </c>
      <c r="G362" t="inlineStr">
        <is>
          <t>Home Decor, Kitchen, &amp; Other</t>
        </is>
      </c>
      <c r="H362" t="inlineStr">
        <is>
          <t>Tumblers</t>
        </is>
      </c>
      <c r="I362" t="inlineStr">
        <is>
          <t>Flyingstar</t>
        </is>
      </c>
      <c r="J362" t="n">
        <v>5</v>
      </c>
      <c r="K362" t="inlineStr">
        <is>
          <t>Wine,Christmas,Valentine</t>
        </is>
      </c>
      <c r="L362" s="29" t="n">
        <v>0</v>
      </c>
      <c r="M362" s="30" t="n"/>
      <c r="N362" s="29" t="n">
        <v>0</v>
      </c>
      <c r="O362" s="29" t="n">
        <v>0</v>
      </c>
      <c r="P362" s="2" t="n">
        <v>0</v>
      </c>
      <c r="Q362" s="31" t="n">
        <v>0</v>
      </c>
      <c r="R362" s="32" t="n"/>
      <c r="S362" s="32" t="n">
        <v>0</v>
      </c>
      <c r="T362" s="32" t="n">
        <v>0</v>
      </c>
      <c r="U362" s="31" t="n">
        <v>0</v>
      </c>
      <c r="V362" s="32" t="n">
        <v>0</v>
      </c>
      <c r="W362" s="31" t="n">
        <v>0</v>
      </c>
      <c r="X362" s="31" t="n">
        <v>0</v>
      </c>
      <c r="Y362" s="3" t="n">
        <v>0</v>
      </c>
      <c r="Z362" s="3" t="n">
        <v>0</v>
      </c>
      <c r="AA362" s="32" t="n">
        <v>0</v>
      </c>
      <c r="AB362" s="3" t="n">
        <v>0</v>
      </c>
      <c r="AC362" s="32" t="n">
        <v>0</v>
      </c>
      <c r="AD362" s="3" t="n"/>
      <c r="AE362" s="31" t="n">
        <v>0</v>
      </c>
      <c r="AF362" s="2" t="n">
        <v>0</v>
      </c>
      <c r="AG362" s="2" t="n">
        <v>1</v>
      </c>
      <c r="AH362" s="4" t="n">
        <v>1</v>
      </c>
      <c r="AI362" s="33" t="n">
        <v>0</v>
      </c>
      <c r="AJ362" s="4" t="n">
        <v>0</v>
      </c>
      <c r="AK362" s="34" t="n"/>
      <c r="AL362" s="34" t="n">
        <v>0</v>
      </c>
      <c r="AM362" s="2" t="n">
        <v>0</v>
      </c>
    </row>
    <row r="363">
      <c r="A363">
        <f>HYPERLINK("https://www.walmart.com/ip/567389230", "567389230")</f>
        <v/>
      </c>
      <c r="B363">
        <f>HYPERLINK("https://app.optiwise.ai/catalog/itemdetails/361000", "Women’s Swim Bathing Suit Cover Up, Summer Chiffon Backless Beach Dress Skirt")</f>
        <v/>
      </c>
      <c r="C363" t="n">
        <v>4</v>
      </c>
      <c r="D363" t="inlineStr">
        <is>
          <t>B78691_1680145_4ADCDFE6F9ED4EE3</t>
        </is>
      </c>
      <c r="E363" t="inlineStr">
        <is>
          <t>1WMDS110ND</t>
        </is>
      </c>
      <c r="F363" t="n">
        <v>0</v>
      </c>
      <c r="G363" t="inlineStr">
        <is>
          <t>Dresses</t>
        </is>
      </c>
      <c r="H363" t="inlineStr">
        <is>
          <t>Dresses</t>
        </is>
      </c>
      <c r="I363" t="inlineStr">
        <is>
          <t>Flyingstar</t>
        </is>
      </c>
      <c r="K363" t="inlineStr">
        <is>
          <t>Optimized</t>
        </is>
      </c>
      <c r="L363" s="29" t="n">
        <v>0</v>
      </c>
      <c r="M363" s="30" t="n"/>
      <c r="N363" s="29" t="n">
        <v>0</v>
      </c>
      <c r="O363" s="29" t="n">
        <v>0</v>
      </c>
      <c r="P363" s="2" t="n">
        <v>0</v>
      </c>
      <c r="Q363" s="31" t="n">
        <v>0</v>
      </c>
      <c r="R363" s="32" t="n"/>
      <c r="S363" s="32" t="n">
        <v>0</v>
      </c>
      <c r="T363" s="32" t="n">
        <v>0</v>
      </c>
      <c r="U363" s="31" t="n">
        <v>0</v>
      </c>
      <c r="V363" s="32" t="n">
        <v>0</v>
      </c>
      <c r="W363" s="31" t="n">
        <v>0</v>
      </c>
      <c r="X363" s="31" t="n">
        <v>0</v>
      </c>
      <c r="Y363" s="3" t="n">
        <v>0</v>
      </c>
      <c r="Z363" s="3" t="n">
        <v>0</v>
      </c>
      <c r="AA363" s="32" t="n">
        <v>0</v>
      </c>
      <c r="AB363" s="3" t="n">
        <v>0</v>
      </c>
      <c r="AC363" s="32" t="n">
        <v>0</v>
      </c>
      <c r="AD363" s="3" t="n"/>
      <c r="AE363" s="31" t="n">
        <v>0</v>
      </c>
      <c r="AF363" s="2" t="n">
        <v>0</v>
      </c>
      <c r="AG363" s="2" t="n">
        <v>8</v>
      </c>
      <c r="AH363" s="4" t="n">
        <v>8</v>
      </c>
      <c r="AI363" s="33" t="n">
        <v>0</v>
      </c>
      <c r="AJ363" s="4" t="n">
        <v>0</v>
      </c>
      <c r="AK363" s="34" t="n"/>
      <c r="AL363" s="34" t="n">
        <v>0</v>
      </c>
      <c r="AM363" s="2" t="n">
        <v>0</v>
      </c>
    </row>
    <row r="364">
      <c r="A364">
        <f>HYPERLINK("https://www.walmart.com/ip/591670037", "591670037")</f>
        <v/>
      </c>
      <c r="B364">
        <f>HYPERLINK("https://app.optiwise.ai/catalog/itemdetails/361492", "KC Caps® Men Women Baseball Cap Snapback Hip-Hop Golf Bboy Caps Green Camo Black")</f>
        <v/>
      </c>
      <c r="C364" t="n">
        <v>1</v>
      </c>
      <c r="D364" t="inlineStr">
        <is>
          <t>B78691_1567956</t>
        </is>
      </c>
      <c r="E364" t="inlineStr">
        <is>
          <t>KC Caps 7040 Green CamoBlack-K</t>
        </is>
      </c>
      <c r="F364" t="n">
        <v>0</v>
      </c>
      <c r="G364" t="inlineStr">
        <is>
          <t>Sport &amp; Recreation Other</t>
        </is>
      </c>
      <c r="H364" t="inlineStr">
        <is>
          <t>Golf Hats</t>
        </is>
      </c>
      <c r="I364" t="inlineStr">
        <is>
          <t>KC Caps</t>
        </is>
      </c>
      <c r="K364" t="inlineStr">
        <is>
          <t>Optimized,ST Patrick Day</t>
        </is>
      </c>
      <c r="L364" s="29" t="n">
        <v>0</v>
      </c>
      <c r="M364" s="30" t="n"/>
      <c r="N364" s="29" t="n">
        <v>0</v>
      </c>
      <c r="O364" s="29" t="n">
        <v>0</v>
      </c>
      <c r="P364" s="2" t="n">
        <v>0</v>
      </c>
      <c r="Q364" s="31" t="n">
        <v>0</v>
      </c>
      <c r="R364" s="32" t="n"/>
      <c r="S364" s="32" t="n">
        <v>0</v>
      </c>
      <c r="T364" s="32" t="n">
        <v>0</v>
      </c>
      <c r="U364" s="31" t="n">
        <v>0</v>
      </c>
      <c r="V364" s="32" t="n">
        <v>0</v>
      </c>
      <c r="W364" s="31" t="n">
        <v>0</v>
      </c>
      <c r="X364" s="31" t="n">
        <v>0</v>
      </c>
      <c r="Y364" s="3" t="n">
        <v>0</v>
      </c>
      <c r="Z364" s="3" t="n">
        <v>0</v>
      </c>
      <c r="AA364" s="32" t="n">
        <v>0</v>
      </c>
      <c r="AB364" s="3" t="n">
        <v>0</v>
      </c>
      <c r="AC364" s="32" t="n">
        <v>0</v>
      </c>
      <c r="AD364" s="3" t="n"/>
      <c r="AE364" s="31" t="n">
        <v>0</v>
      </c>
      <c r="AF364" s="2" t="n">
        <v>0</v>
      </c>
      <c r="AG364" s="2" t="n">
        <v>7</v>
      </c>
      <c r="AH364" s="4" t="n">
        <v>7</v>
      </c>
      <c r="AI364" s="33" t="n">
        <v>0</v>
      </c>
      <c r="AJ364" s="4" t="n">
        <v>0</v>
      </c>
      <c r="AK364" s="34" t="n"/>
      <c r="AL364" s="34" t="n">
        <v>0</v>
      </c>
      <c r="AM364" s="2" t="n">
        <v>0</v>
      </c>
    </row>
    <row r="365">
      <c r="A365">
        <f>HYPERLINK("https://www.walmart.com/ip/126315308", "126315308")</f>
        <v/>
      </c>
      <c r="B365">
        <f>HYPERLINK("https://app.optiwise.ai/catalog/itemdetails/362258", "Terra Faux Fur Pom Pom Beanie Hat Slouchy Solid Plain Knit Unisex Stretches to Fit Most")</f>
        <v/>
      </c>
      <c r="C365" t="n">
        <v>4</v>
      </c>
      <c r="D365" t="inlineStr">
        <is>
          <t>B78691_1127549_5C9BB2671E1E9004</t>
        </is>
      </c>
      <c r="E365" t="inlineStr">
        <is>
          <t>TERRAPPH03WT</t>
        </is>
      </c>
      <c r="F365" t="n">
        <v>4</v>
      </c>
      <c r="G365" t="inlineStr">
        <is>
          <t>Clothing</t>
        </is>
      </c>
      <c r="H365" t="inlineStr">
        <is>
          <t>Hats</t>
        </is>
      </c>
      <c r="I365" t="inlineStr">
        <is>
          <t>Terra</t>
        </is>
      </c>
      <c r="J365" t="n">
        <v>2</v>
      </c>
      <c r="K365" t="inlineStr">
        <is>
          <t>Batch 1 - TR</t>
        </is>
      </c>
      <c r="L365" s="29" t="n">
        <v>0</v>
      </c>
      <c r="M365" s="30" t="n"/>
      <c r="N365" s="29" t="n">
        <v>5.989999771118164</v>
      </c>
      <c r="O365" s="29" t="n">
        <v>0</v>
      </c>
      <c r="P365" s="2" t="n">
        <v>0</v>
      </c>
      <c r="Q365" s="31" t="n">
        <v>0</v>
      </c>
      <c r="R365" s="32" t="n"/>
      <c r="S365" s="32" t="n">
        <v>0</v>
      </c>
      <c r="T365" s="32" t="n">
        <v>0</v>
      </c>
      <c r="U365" s="31" t="n">
        <v>0</v>
      </c>
      <c r="V365" s="32" t="n">
        <v>0</v>
      </c>
      <c r="W365" s="31" t="n">
        <v>0</v>
      </c>
      <c r="X365" s="31" t="n">
        <v>0</v>
      </c>
      <c r="Y365" s="3" t="n">
        <v>0</v>
      </c>
      <c r="Z365" s="3" t="n">
        <v>0</v>
      </c>
      <c r="AA365" s="32" t="n">
        <v>0</v>
      </c>
      <c r="AB365" s="3" t="n">
        <v>0</v>
      </c>
      <c r="AC365" s="32" t="n">
        <v>0</v>
      </c>
      <c r="AD365" s="3" t="n"/>
      <c r="AE365" s="31" t="n">
        <v>0</v>
      </c>
      <c r="AF365" s="2" t="n">
        <v>0</v>
      </c>
      <c r="AG365" s="2" t="n">
        <v>9</v>
      </c>
      <c r="AH365" s="4" t="n">
        <v>9</v>
      </c>
      <c r="AI365" s="33" t="n">
        <v>0</v>
      </c>
      <c r="AJ365" s="4" t="n">
        <v>0</v>
      </c>
      <c r="AK365" s="34" t="n"/>
      <c r="AL365" s="34" t="n">
        <v>0</v>
      </c>
      <c r="AM365" s="2" t="n">
        <v>0</v>
      </c>
    </row>
    <row r="366">
      <c r="A366">
        <f>HYPERLINK("https://www.walmart.com/ip/636155719", "636155719")</f>
        <v/>
      </c>
      <c r="B366">
        <f>HYPERLINK("https://app.optiwise.ai/catalog/itemdetails/361841", "Luxury Knit Throw Decorative Blanket with Pom Pom Fringe Super Soft Warm Sleeping Cover for Adults or Kids on the Couch")</f>
        <v/>
      </c>
      <c r="C366" t="n">
        <v>2</v>
      </c>
      <c r="D366" t="inlineStr">
        <is>
          <t>B78691_1639333_E927E12A31B6727D</t>
        </is>
      </c>
      <c r="E366" t="inlineStr">
        <is>
          <t>1TRBN200BN-TBCB</t>
        </is>
      </c>
      <c r="F366" t="n">
        <v>0</v>
      </c>
      <c r="G366" t="inlineStr">
        <is>
          <t>Bedding</t>
        </is>
      </c>
      <c r="H366" t="inlineStr">
        <is>
          <t>Throws</t>
        </is>
      </c>
      <c r="I366" t="inlineStr">
        <is>
          <t>Tirrinia</t>
        </is>
      </c>
      <c r="L366" s="29" t="n">
        <v>0</v>
      </c>
      <c r="M366" s="30" t="n"/>
      <c r="N366" s="29" t="n">
        <v>0</v>
      </c>
      <c r="O366" s="29" t="n">
        <v>0</v>
      </c>
      <c r="P366" s="2" t="n">
        <v>0</v>
      </c>
      <c r="Q366" s="31" t="n">
        <v>0</v>
      </c>
      <c r="R366" s="32" t="n"/>
      <c r="S366" s="32" t="n">
        <v>0</v>
      </c>
      <c r="T366" s="32" t="n">
        <v>0</v>
      </c>
      <c r="U366" s="31" t="n">
        <v>0</v>
      </c>
      <c r="V366" s="32" t="n">
        <v>0</v>
      </c>
      <c r="W366" s="31" t="n">
        <v>0</v>
      </c>
      <c r="X366" s="31" t="n">
        <v>0</v>
      </c>
      <c r="Y366" s="3" t="n">
        <v>0</v>
      </c>
      <c r="Z366" s="3" t="n">
        <v>0</v>
      </c>
      <c r="AA366" s="32" t="n">
        <v>0</v>
      </c>
      <c r="AB366" s="3" t="n">
        <v>0</v>
      </c>
      <c r="AC366" s="32" t="n">
        <v>0</v>
      </c>
      <c r="AD366" s="3" t="n"/>
      <c r="AE366" s="31" t="n">
        <v>0</v>
      </c>
      <c r="AF366" s="2" t="n">
        <v>0</v>
      </c>
      <c r="AG366" s="2" t="n">
        <v>13</v>
      </c>
      <c r="AH366" s="4" t="n">
        <v>13</v>
      </c>
      <c r="AI366" s="33" t="n">
        <v>0</v>
      </c>
      <c r="AJ366" s="4" t="n">
        <v>0</v>
      </c>
      <c r="AK366" s="34" t="n"/>
      <c r="AL366" s="34" t="n">
        <v>0</v>
      </c>
      <c r="AM366" s="2" t="n">
        <v>0</v>
      </c>
    </row>
    <row r="367">
      <c r="A367">
        <f>HYPERLINK("https://www.walmart.com/ip/972835004", "972835004")</f>
        <v/>
      </c>
      <c r="B367">
        <f>HYPERLINK("https://app.optiwise.ai/catalog/itemdetails/361732", "Type C to Type A USB 3.1-3.0 Male Sync Charging Cable by SurjTech")</f>
        <v/>
      </c>
      <c r="C367" t="n">
        <v>1</v>
      </c>
      <c r="D367" t="inlineStr">
        <is>
          <t>B78691_1671757</t>
        </is>
      </c>
      <c r="E367" t="inlineStr">
        <is>
          <t>STU3TC03WT-1M-WA</t>
        </is>
      </c>
      <c r="F367" t="n">
        <v>0</v>
      </c>
      <c r="G367" t="inlineStr">
        <is>
          <t>Electronics Cables</t>
        </is>
      </c>
      <c r="H367" t="inlineStr">
        <is>
          <t>Computer Cables</t>
        </is>
      </c>
      <c r="I367" t="inlineStr">
        <is>
          <t>Surjtech</t>
        </is>
      </c>
      <c r="K367" t="inlineStr">
        <is>
          <t>Batch 1 - TR</t>
        </is>
      </c>
      <c r="L367" s="29" t="n">
        <v>0</v>
      </c>
      <c r="M367" s="30" t="n"/>
      <c r="N367" s="29" t="n">
        <v>0</v>
      </c>
      <c r="O367" s="29" t="n">
        <v>0</v>
      </c>
      <c r="P367" s="2" t="n">
        <v>0</v>
      </c>
      <c r="Q367" s="31" t="n">
        <v>0</v>
      </c>
      <c r="R367" s="32" t="n"/>
      <c r="S367" s="32" t="n">
        <v>0</v>
      </c>
      <c r="T367" s="32" t="n">
        <v>0</v>
      </c>
      <c r="U367" s="31" t="n">
        <v>0</v>
      </c>
      <c r="V367" s="32" t="n">
        <v>0</v>
      </c>
      <c r="W367" s="31" t="n">
        <v>0</v>
      </c>
      <c r="X367" s="31" t="n">
        <v>0</v>
      </c>
      <c r="Y367" s="3" t="n">
        <v>0</v>
      </c>
      <c r="Z367" s="3" t="n">
        <v>0</v>
      </c>
      <c r="AA367" s="32" t="n">
        <v>0</v>
      </c>
      <c r="AB367" s="3" t="n">
        <v>0</v>
      </c>
      <c r="AC367" s="32" t="n">
        <v>0</v>
      </c>
      <c r="AD367" s="3" t="n"/>
      <c r="AE367" s="31" t="n">
        <v>0</v>
      </c>
      <c r="AF367" s="2" t="n">
        <v>0</v>
      </c>
      <c r="AG367" s="2" t="n">
        <v>1</v>
      </c>
      <c r="AH367" s="4" t="n">
        <v>1</v>
      </c>
      <c r="AI367" s="33" t="n">
        <v>0</v>
      </c>
      <c r="AJ367" s="4" t="n">
        <v>0</v>
      </c>
      <c r="AK367" s="34" t="n"/>
      <c r="AL367" s="34" t="n">
        <v>0</v>
      </c>
      <c r="AM367" s="2" t="n">
        <v>0</v>
      </c>
    </row>
    <row r="368">
      <c r="A368">
        <f>HYPERLINK("https://www.walmart.com/ip/585543013", "585543013")</f>
        <v/>
      </c>
      <c r="B368">
        <f>HYPERLINK("https://app.optiwise.ai/catalog/itemdetails/361648", "Silky Straight Synthetic Black Wig with Bangs for Women,Heat Resistant Natural Looking Long Hair Full Head Wig for Ameri")</f>
        <v/>
      </c>
      <c r="C368" t="n">
        <v>1</v>
      </c>
      <c r="D368" t="inlineStr">
        <is>
          <t>B78691_1639582_5C9BB2671E1E9004</t>
        </is>
      </c>
      <c r="E368" t="inlineStr">
        <is>
          <t>1CTWIG491-1B-ESCB</t>
        </is>
      </c>
      <c r="F368" t="n">
        <v>1</v>
      </c>
      <c r="G368" t="inlineStr">
        <is>
          <t>Clothing</t>
        </is>
      </c>
      <c r="H368" t="inlineStr">
        <is>
          <t>Wigs &amp; Toupees</t>
        </is>
      </c>
      <c r="I368" t="inlineStr">
        <is>
          <t>Catalonia</t>
        </is>
      </c>
      <c r="J368" t="n">
        <v>5</v>
      </c>
      <c r="K368" t="inlineStr">
        <is>
          <t>Batch 1 - TR</t>
        </is>
      </c>
      <c r="L368" s="29" t="n">
        <v>0</v>
      </c>
      <c r="M368" s="30" t="n"/>
      <c r="N368" s="29" t="n">
        <v>0</v>
      </c>
      <c r="O368" s="29" t="n">
        <v>0</v>
      </c>
      <c r="P368" s="2" t="n">
        <v>0</v>
      </c>
      <c r="Q368" s="31" t="n">
        <v>0</v>
      </c>
      <c r="R368" s="32" t="n"/>
      <c r="S368" s="32" t="n">
        <v>0</v>
      </c>
      <c r="T368" s="32" t="n">
        <v>0</v>
      </c>
      <c r="U368" s="31" t="n">
        <v>0</v>
      </c>
      <c r="V368" s="32" t="n">
        <v>0</v>
      </c>
      <c r="W368" s="31" t="n">
        <v>0</v>
      </c>
      <c r="X368" s="31" t="n">
        <v>0</v>
      </c>
      <c r="Y368" s="3" t="n">
        <v>0</v>
      </c>
      <c r="Z368" s="3" t="n">
        <v>0</v>
      </c>
      <c r="AA368" s="32" t="n">
        <v>0</v>
      </c>
      <c r="AB368" s="3" t="n">
        <v>0</v>
      </c>
      <c r="AC368" s="32" t="n">
        <v>0</v>
      </c>
      <c r="AD368" s="3" t="n"/>
      <c r="AE368" s="31" t="n">
        <v>0</v>
      </c>
      <c r="AF368" s="2" t="n">
        <v>0</v>
      </c>
      <c r="AG368" s="2" t="n">
        <v>13</v>
      </c>
      <c r="AH368" s="4" t="n">
        <v>13</v>
      </c>
      <c r="AI368" s="33" t="n">
        <v>0</v>
      </c>
      <c r="AJ368" s="4" t="n">
        <v>0</v>
      </c>
      <c r="AK368" s="34" t="n"/>
      <c r="AL368" s="34" t="n">
        <v>0</v>
      </c>
      <c r="AM368" s="2" t="n">
        <v>0</v>
      </c>
    </row>
    <row r="369">
      <c r="A369">
        <f>HYPERLINK("https://www.walmart.com/ip/101337304", "101337304")</f>
        <v/>
      </c>
      <c r="B369">
        <f>HYPERLINK("https://app.optiwise.ai/catalog/itemdetails/361853", "Jennis 8in1 Stylish Ladies Magic Scarf Shawl Woolly Charcoal Fiber Head Wrap")</f>
        <v/>
      </c>
      <c r="C369" t="n">
        <v>3</v>
      </c>
      <c r="D369" t="inlineStr">
        <is>
          <t>00745950518860</t>
        </is>
      </c>
      <c r="E369" t="inlineStr">
        <is>
          <t>MagicScarfDPBK</t>
        </is>
      </c>
      <c r="F369" t="n">
        <v>3</v>
      </c>
      <c r="G369" t="inlineStr">
        <is>
          <t>Clothing</t>
        </is>
      </c>
      <c r="H369" t="inlineStr">
        <is>
          <t>Scarves</t>
        </is>
      </c>
      <c r="I369" t="inlineStr">
        <is>
          <t>JenniWears</t>
        </is>
      </c>
      <c r="J369" t="n">
        <v>4</v>
      </c>
      <c r="K369" t="inlineStr">
        <is>
          <t>Optimized</t>
        </is>
      </c>
      <c r="L369" s="29" t="n">
        <v>0</v>
      </c>
      <c r="M369" s="30" t="n"/>
      <c r="N369" s="29" t="n">
        <v>0</v>
      </c>
      <c r="O369" s="29" t="n">
        <v>0</v>
      </c>
      <c r="P369" s="2" t="n">
        <v>0</v>
      </c>
      <c r="Q369" s="31" t="n">
        <v>0</v>
      </c>
      <c r="R369" s="32" t="n"/>
      <c r="S369" s="32" t="n">
        <v>0</v>
      </c>
      <c r="T369" s="32" t="n">
        <v>0</v>
      </c>
      <c r="U369" s="31" t="n">
        <v>0</v>
      </c>
      <c r="V369" s="32" t="n">
        <v>0</v>
      </c>
      <c r="W369" s="31" t="n">
        <v>0</v>
      </c>
      <c r="X369" s="31" t="n">
        <v>0</v>
      </c>
      <c r="Y369" s="3" t="n">
        <v>0</v>
      </c>
      <c r="Z369" s="3" t="n">
        <v>0</v>
      </c>
      <c r="AA369" s="32" t="n">
        <v>0</v>
      </c>
      <c r="AB369" s="3" t="n">
        <v>0</v>
      </c>
      <c r="AC369" s="32" t="n">
        <v>0</v>
      </c>
      <c r="AD369" s="3" t="n"/>
      <c r="AE369" s="31" t="n">
        <v>0</v>
      </c>
      <c r="AF369" s="2" t="n">
        <v>0</v>
      </c>
      <c r="AG369" s="2" t="n">
        <v>28</v>
      </c>
      <c r="AH369" s="4" t="n">
        <v>28</v>
      </c>
      <c r="AI369" s="33" t="n">
        <v>0</v>
      </c>
      <c r="AJ369" s="4" t="n">
        <v>0</v>
      </c>
      <c r="AK369" s="34" t="n"/>
      <c r="AL369" s="34" t="n">
        <v>0</v>
      </c>
      <c r="AM369" s="2" t="n">
        <v>0</v>
      </c>
    </row>
    <row r="370">
      <c r="A370">
        <f>HYPERLINK("https://www.walmart.com/ip/781423419", "781423419")</f>
        <v/>
      </c>
      <c r="B370">
        <f>HYPERLINK("https://app.optiwise.ai/catalog/itemdetails/361932", "Flyingstar Mermaid Tail Blanket, Soft Flannel Fleece All Seasons Sleeping Blanket for Kids Adults, Rainbow Ombre Fish Scale Design Snuggle Blanket, Best Gifts")</f>
        <v/>
      </c>
      <c r="C370" t="n">
        <v>2</v>
      </c>
      <c r="D370" t="inlineStr">
        <is>
          <t>B78691_1681674_6ABFC06B06711D6E</t>
        </is>
      </c>
      <c r="E370" t="inlineStr">
        <is>
          <t>1WMMP100GN</t>
        </is>
      </c>
      <c r="F370" t="n">
        <v>0</v>
      </c>
      <c r="G370" t="inlineStr">
        <is>
          <t>Bedding</t>
        </is>
      </c>
      <c r="H370" t="inlineStr">
        <is>
          <t>Throws</t>
        </is>
      </c>
      <c r="I370" t="inlineStr">
        <is>
          <t>Flyingstar</t>
        </is>
      </c>
      <c r="K370" t="inlineStr">
        <is>
          <t>Baby days,Optimized</t>
        </is>
      </c>
      <c r="L370" s="29" t="n">
        <v>0</v>
      </c>
      <c r="M370" s="30" t="n"/>
      <c r="N370" s="29" t="n">
        <v>0</v>
      </c>
      <c r="O370" s="29" t="n">
        <v>0</v>
      </c>
      <c r="P370" s="2" t="n">
        <v>0</v>
      </c>
      <c r="Q370" s="31" t="n">
        <v>0</v>
      </c>
      <c r="R370" s="32" t="n"/>
      <c r="S370" s="32" t="n">
        <v>0</v>
      </c>
      <c r="T370" s="32" t="n">
        <v>0</v>
      </c>
      <c r="U370" s="31" t="n">
        <v>0</v>
      </c>
      <c r="V370" s="32" t="n">
        <v>0</v>
      </c>
      <c r="W370" s="31" t="n">
        <v>0</v>
      </c>
      <c r="X370" s="31" t="n">
        <v>0</v>
      </c>
      <c r="Y370" s="3" t="n">
        <v>0</v>
      </c>
      <c r="Z370" s="3" t="n">
        <v>0</v>
      </c>
      <c r="AA370" s="32" t="n">
        <v>0</v>
      </c>
      <c r="AB370" s="3" t="n">
        <v>0</v>
      </c>
      <c r="AC370" s="32" t="n">
        <v>0</v>
      </c>
      <c r="AD370" s="3" t="n"/>
      <c r="AE370" s="31" t="n">
        <v>0</v>
      </c>
      <c r="AF370" s="2" t="n">
        <v>0</v>
      </c>
      <c r="AG370" s="2" t="n">
        <v>10</v>
      </c>
      <c r="AH370" s="4" t="n">
        <v>10</v>
      </c>
      <c r="AI370" s="33" t="n">
        <v>0</v>
      </c>
      <c r="AJ370" s="4" t="n">
        <v>0</v>
      </c>
      <c r="AK370" s="34" t="n"/>
      <c r="AL370" s="34" t="n">
        <v>0</v>
      </c>
      <c r="AM370" s="2" t="n">
        <v>0</v>
      </c>
    </row>
    <row r="371">
      <c r="A371">
        <f>HYPERLINK("https://www.walmart.com/ip/429846144", "429846144")</f>
        <v/>
      </c>
      <c r="B371">
        <f>HYPERLINK("https://app.optiwise.ai/catalog/itemdetails/362329", "Unisex Hunting Cap Orange Polyester Embroidery Animal Outdoor Wildlife Sport Cap")</f>
        <v/>
      </c>
      <c r="C371" t="n">
        <v>2</v>
      </c>
      <c r="D371" t="inlineStr">
        <is>
          <t>B78691_1567987_5C9BB2671E1E9004</t>
        </is>
      </c>
      <c r="E371" t="inlineStr">
        <is>
          <t>KC Caps ht22</t>
        </is>
      </c>
      <c r="F371" t="n">
        <v>1</v>
      </c>
      <c r="G371" t="inlineStr">
        <is>
          <t>Clothing</t>
        </is>
      </c>
      <c r="H371" t="inlineStr">
        <is>
          <t>Hats</t>
        </is>
      </c>
      <c r="I371" t="inlineStr">
        <is>
          <t>KC Caps</t>
        </is>
      </c>
      <c r="J371" t="n">
        <v>5</v>
      </c>
      <c r="K371" t="inlineStr">
        <is>
          <t>Optimized</t>
        </is>
      </c>
      <c r="L371" s="29" t="n">
        <v>0</v>
      </c>
      <c r="M371" s="30" t="n"/>
      <c r="N371" s="29" t="n">
        <v>0</v>
      </c>
      <c r="O371" s="29" t="n">
        <v>0</v>
      </c>
      <c r="P371" s="2" t="n">
        <v>0</v>
      </c>
      <c r="Q371" s="31" t="n">
        <v>0</v>
      </c>
      <c r="R371" s="32" t="n"/>
      <c r="S371" s="32" t="n">
        <v>0</v>
      </c>
      <c r="T371" s="32" t="n">
        <v>0</v>
      </c>
      <c r="U371" s="31" t="n">
        <v>0</v>
      </c>
      <c r="V371" s="32" t="n">
        <v>0</v>
      </c>
      <c r="W371" s="31" t="n">
        <v>0</v>
      </c>
      <c r="X371" s="31" t="n">
        <v>0</v>
      </c>
      <c r="Y371" s="3" t="n">
        <v>0</v>
      </c>
      <c r="Z371" s="3" t="n">
        <v>0</v>
      </c>
      <c r="AA371" s="32" t="n">
        <v>0</v>
      </c>
      <c r="AB371" s="3" t="n">
        <v>0</v>
      </c>
      <c r="AC371" s="32" t="n">
        <v>0</v>
      </c>
      <c r="AD371" s="3" t="n"/>
      <c r="AE371" s="31" t="n">
        <v>0</v>
      </c>
      <c r="AF371" s="2" t="n">
        <v>0</v>
      </c>
      <c r="AG371" s="2" t="n">
        <v>13</v>
      </c>
      <c r="AH371" s="4" t="n">
        <v>13</v>
      </c>
      <c r="AI371" s="33" t="n">
        <v>0</v>
      </c>
      <c r="AJ371" s="4" t="n">
        <v>0</v>
      </c>
      <c r="AK371" s="34" t="n"/>
      <c r="AL371" s="34" t="n">
        <v>0</v>
      </c>
      <c r="AM371" s="2" t="n">
        <v>0</v>
      </c>
    </row>
    <row r="372">
      <c r="A372">
        <f>HYPERLINK("https://www.walmart.com/ip/197824713", "197824713")</f>
        <v/>
      </c>
      <c r="B372">
        <f>HYPERLINK("https://app.optiwise.ai/catalog/itemdetails/362431", "KC Caps Super Soft and Comfy Knit Beanie Winter Cap Pink")</f>
        <v/>
      </c>
      <c r="C372" t="n">
        <v>6</v>
      </c>
      <c r="D372" t="inlineStr">
        <is>
          <t>B78691_974426_5C9BB2671E1E9004</t>
        </is>
      </c>
      <c r="E372" t="inlineStr">
        <is>
          <t>kc-w1600pk</t>
        </is>
      </c>
      <c r="F372" t="n">
        <v>0</v>
      </c>
      <c r="G372" t="inlineStr">
        <is>
          <t>Clothing</t>
        </is>
      </c>
      <c r="H372" t="inlineStr">
        <is>
          <t>Hats</t>
        </is>
      </c>
      <c r="I372" t="inlineStr">
        <is>
          <t>KC Caps</t>
        </is>
      </c>
      <c r="K372" t="inlineStr">
        <is>
          <t>Optimized</t>
        </is>
      </c>
      <c r="L372" s="29" t="n">
        <v>0</v>
      </c>
      <c r="M372" s="30" t="n"/>
      <c r="N372" s="29" t="n">
        <v>0</v>
      </c>
      <c r="O372" s="29" t="n">
        <v>0</v>
      </c>
      <c r="P372" s="2" t="n">
        <v>0</v>
      </c>
      <c r="Q372" s="31" t="n">
        <v>0</v>
      </c>
      <c r="R372" s="32" t="n"/>
      <c r="S372" s="32" t="n">
        <v>0</v>
      </c>
      <c r="T372" s="32" t="n">
        <v>0</v>
      </c>
      <c r="U372" s="31" t="n">
        <v>0</v>
      </c>
      <c r="V372" s="32" t="n">
        <v>0</v>
      </c>
      <c r="W372" s="31" t="n">
        <v>0</v>
      </c>
      <c r="X372" s="31" t="n">
        <v>0</v>
      </c>
      <c r="Y372" s="3" t="n">
        <v>0</v>
      </c>
      <c r="Z372" s="3" t="n">
        <v>0</v>
      </c>
      <c r="AA372" s="32" t="n">
        <v>0</v>
      </c>
      <c r="AB372" s="3" t="n">
        <v>0</v>
      </c>
      <c r="AC372" s="32" t="n">
        <v>0</v>
      </c>
      <c r="AD372" s="3" t="n"/>
      <c r="AE372" s="31" t="n">
        <v>0</v>
      </c>
      <c r="AF372" s="2" t="n">
        <v>0</v>
      </c>
      <c r="AG372" s="2" t="n">
        <v>13</v>
      </c>
      <c r="AH372" s="4" t="n">
        <v>13</v>
      </c>
      <c r="AI372" s="33" t="n">
        <v>0</v>
      </c>
      <c r="AJ372" s="4" t="n">
        <v>0</v>
      </c>
      <c r="AK372" s="34" t="n"/>
      <c r="AL372" s="34" t="n">
        <v>0</v>
      </c>
      <c r="AM372" s="2" t="n">
        <v>0</v>
      </c>
    </row>
    <row r="373">
      <c r="A373">
        <f>HYPERLINK("https://www.walmart.com/ip/275735754", "275735754")</f>
        <v/>
      </c>
      <c r="B373">
        <f>HYPERLINK("https://app.optiwise.ai/catalog/itemdetails/361501", "Sports Travel Money Belt - Unisex Fitness Fanny &amp; Waist Pack -Reflective Running Belt Flip Belt - Runners waist pack &amp; M")</f>
        <v/>
      </c>
      <c r="C373" t="n">
        <v>1</v>
      </c>
      <c r="D373" t="inlineStr">
        <is>
          <t>B78691_1636234</t>
        </is>
      </c>
      <c r="E373" t="inlineStr">
        <is>
          <t>TERRA-5NG-M-JW</t>
        </is>
      </c>
      <c r="F373" t="n">
        <v>0</v>
      </c>
      <c r="G373" t="inlineStr">
        <is>
          <t>Cases &amp; Bags</t>
        </is>
      </c>
      <c r="H373" t="inlineStr">
        <is>
          <t>Fanny Packs</t>
        </is>
      </c>
      <c r="I373" t="inlineStr">
        <is>
          <t>Terra</t>
        </is>
      </c>
      <c r="K373" t="inlineStr">
        <is>
          <t>Optimized</t>
        </is>
      </c>
      <c r="L373" s="29" t="n">
        <v>0</v>
      </c>
      <c r="M373" s="30" t="n"/>
      <c r="N373" s="29" t="n">
        <v>0</v>
      </c>
      <c r="O373" s="29" t="n">
        <v>0</v>
      </c>
      <c r="P373" s="2" t="n">
        <v>0</v>
      </c>
      <c r="Q373" s="31" t="n">
        <v>0</v>
      </c>
      <c r="R373" s="32" t="n"/>
      <c r="S373" s="32" t="n">
        <v>0</v>
      </c>
      <c r="T373" s="32" t="n">
        <v>0</v>
      </c>
      <c r="U373" s="31" t="n">
        <v>0</v>
      </c>
      <c r="V373" s="32" t="n">
        <v>0</v>
      </c>
      <c r="W373" s="31" t="n">
        <v>0</v>
      </c>
      <c r="X373" s="31" t="n">
        <v>0</v>
      </c>
      <c r="Y373" s="3" t="n">
        <v>0</v>
      </c>
      <c r="Z373" s="3" t="n">
        <v>0</v>
      </c>
      <c r="AA373" s="32" t="n">
        <v>0</v>
      </c>
      <c r="AB373" s="3" t="n">
        <v>0</v>
      </c>
      <c r="AC373" s="32" t="n">
        <v>0</v>
      </c>
      <c r="AD373" s="3" t="n"/>
      <c r="AE373" s="31" t="n">
        <v>0</v>
      </c>
      <c r="AF373" s="2" t="n">
        <v>0</v>
      </c>
      <c r="AG373" s="2" t="n">
        <v>36</v>
      </c>
      <c r="AH373" s="4" t="n">
        <v>36</v>
      </c>
      <c r="AI373" s="33" t="n">
        <v>0</v>
      </c>
      <c r="AJ373" s="4" t="n">
        <v>0</v>
      </c>
      <c r="AK373" s="34" t="n"/>
      <c r="AL373" s="34" t="n">
        <v>0</v>
      </c>
      <c r="AM373" s="2" t="n">
        <v>0</v>
      </c>
    </row>
    <row r="374">
      <c r="A374">
        <f>HYPERLINK("https://www.walmart.com/ip/158936654", "158936654")</f>
        <v/>
      </c>
      <c r="B374">
        <f>HYPERLINK("https://app.optiwise.ai/catalog/itemdetails/361475", "Vina 2-bottle Red Wine Carrier Bag Champagne Carrying Tote Picnic Cooler Insulated Travel Wine Case Brown +Free Corkscrew")</f>
        <v/>
      </c>
      <c r="C374" t="n">
        <v>1</v>
      </c>
      <c r="D374" t="inlineStr">
        <is>
          <t>B78691_979965</t>
        </is>
      </c>
      <c r="E374" t="inlineStr">
        <is>
          <t>VINAWB001BK</t>
        </is>
      </c>
      <c r="F374" t="n">
        <v>0</v>
      </c>
      <c r="G374" t="inlineStr">
        <is>
          <t>Home Decor, Kitchen, &amp; Other</t>
        </is>
      </c>
      <c r="I374" t="inlineStr">
        <is>
          <t>Vina</t>
        </is>
      </c>
      <c r="L374" s="29" t="n">
        <v>0</v>
      </c>
      <c r="M374" s="30" t="n"/>
      <c r="N374" s="29" t="n">
        <v>0</v>
      </c>
      <c r="O374" s="29" t="n">
        <v>0</v>
      </c>
      <c r="P374" s="2" t="n">
        <v>0</v>
      </c>
      <c r="Q374" s="31" t="n">
        <v>0</v>
      </c>
      <c r="R374" s="32" t="n"/>
      <c r="S374" s="32" t="n">
        <v>0</v>
      </c>
      <c r="T374" s="32" t="n">
        <v>0</v>
      </c>
      <c r="U374" s="31" t="n">
        <v>0</v>
      </c>
      <c r="V374" s="32" t="n">
        <v>0</v>
      </c>
      <c r="W374" s="31" t="n">
        <v>0</v>
      </c>
      <c r="X374" s="31" t="n">
        <v>0</v>
      </c>
      <c r="Y374" s="3" t="n">
        <v>0</v>
      </c>
      <c r="Z374" s="3" t="n">
        <v>0</v>
      </c>
      <c r="AA374" s="32" t="n">
        <v>0</v>
      </c>
      <c r="AB374" s="3" t="n">
        <v>0</v>
      </c>
      <c r="AC374" s="32" t="n">
        <v>0</v>
      </c>
      <c r="AD374" s="3" t="n"/>
      <c r="AE374" s="31" t="n">
        <v>0</v>
      </c>
      <c r="AF374" s="2" t="n">
        <v>0</v>
      </c>
      <c r="AG374" s="2" t="n">
        <v>0</v>
      </c>
      <c r="AH374" s="4" t="n">
        <v>0</v>
      </c>
      <c r="AI374" s="33" t="n">
        <v>0</v>
      </c>
      <c r="AJ374" s="4" t="n">
        <v>0</v>
      </c>
      <c r="AK374" s="34" t="n"/>
      <c r="AL374" s="34" t="n">
        <v>0</v>
      </c>
      <c r="AM374" s="2" t="n">
        <v>0</v>
      </c>
    </row>
    <row r="375">
      <c r="A375">
        <f>HYPERLINK("https://www.walmart.com/ip/656441278", "656441278")</f>
        <v/>
      </c>
      <c r="B375">
        <f>HYPERLINK("https://app.optiwise.ai/catalog/itemdetails/361317", "American Flag Sun Cap Patriotic Sports Baseball Tennis Golf Dad Hats for Men Women by Solaris")</f>
        <v/>
      </c>
      <c r="C375" t="n">
        <v>2</v>
      </c>
      <c r="D375" t="inlineStr">
        <is>
          <t>B78691_1679024_8426D44A754F6473</t>
        </is>
      </c>
      <c r="E375" t="inlineStr">
        <is>
          <t>1SLBC100NV</t>
        </is>
      </c>
      <c r="F375" t="n">
        <v>0</v>
      </c>
      <c r="G375" t="inlineStr">
        <is>
          <t>Sport &amp; Recreation Other</t>
        </is>
      </c>
      <c r="H375" t="inlineStr">
        <is>
          <t>Golf Hats</t>
        </is>
      </c>
      <c r="I375" t="inlineStr">
        <is>
          <t>Solaris</t>
        </is>
      </c>
      <c r="K375" t="inlineStr">
        <is>
          <t>Batch 1 - TR</t>
        </is>
      </c>
      <c r="L375" s="29" t="n">
        <v>0</v>
      </c>
      <c r="M375" s="30" t="n"/>
      <c r="N375" s="29" t="n">
        <v>0</v>
      </c>
      <c r="O375" s="29" t="n">
        <v>0</v>
      </c>
      <c r="P375" s="2" t="n">
        <v>0</v>
      </c>
      <c r="Q375" s="31" t="n">
        <v>0</v>
      </c>
      <c r="R375" s="32" t="n"/>
      <c r="S375" s="32" t="n">
        <v>0</v>
      </c>
      <c r="T375" s="32" t="n">
        <v>0</v>
      </c>
      <c r="U375" s="31" t="n">
        <v>0</v>
      </c>
      <c r="V375" s="32" t="n">
        <v>0</v>
      </c>
      <c r="W375" s="31" t="n">
        <v>0</v>
      </c>
      <c r="X375" s="31" t="n">
        <v>0</v>
      </c>
      <c r="Y375" s="3" t="n">
        <v>0</v>
      </c>
      <c r="Z375" s="3" t="n">
        <v>0</v>
      </c>
      <c r="AA375" s="32" t="n">
        <v>0</v>
      </c>
      <c r="AB375" s="3" t="n">
        <v>0</v>
      </c>
      <c r="AC375" s="32" t="n">
        <v>0</v>
      </c>
      <c r="AD375" s="3" t="n"/>
      <c r="AE375" s="31" t="n">
        <v>0</v>
      </c>
      <c r="AF375" s="2" t="n">
        <v>0</v>
      </c>
      <c r="AG375" s="2" t="n">
        <v>24</v>
      </c>
      <c r="AH375" s="4" t="n">
        <v>24</v>
      </c>
      <c r="AI375" s="33" t="n">
        <v>0</v>
      </c>
      <c r="AJ375" s="4" t="n">
        <v>0</v>
      </c>
      <c r="AK375" s="34" t="n"/>
      <c r="AL375" s="34" t="n">
        <v>0</v>
      </c>
      <c r="AM375" s="2" t="n">
        <v>0</v>
      </c>
    </row>
    <row r="376">
      <c r="A376">
        <f>HYPERLINK("https://www.walmart.com/ip/296299193", "296299193")</f>
        <v/>
      </c>
      <c r="B376">
        <f>HYPERLINK("https://app.optiwise.ai/catalog/itemdetails/361395", "Terra Men Boxer Brief Underwear Best 3 Pack Most Comfortable Cotton Trunk Short")</f>
        <v/>
      </c>
      <c r="C376" t="n">
        <v>1</v>
      </c>
      <c r="D376" t="inlineStr">
        <is>
          <t>B78691_1568179</t>
        </is>
      </c>
      <c r="E376" t="inlineStr">
        <is>
          <t>TERRA-BOXER7-M</t>
        </is>
      </c>
      <c r="F376" t="n">
        <v>0</v>
      </c>
      <c r="G376" t="inlineStr">
        <is>
          <t>Clothing</t>
        </is>
      </c>
      <c r="H376" t="inlineStr">
        <is>
          <t>Underpants</t>
        </is>
      </c>
      <c r="I376" t="inlineStr">
        <is>
          <t>Terra</t>
        </is>
      </c>
      <c r="K376" t="inlineStr">
        <is>
          <t>Batch 1 - TR</t>
        </is>
      </c>
      <c r="L376" s="29" t="n">
        <v>0</v>
      </c>
      <c r="M376" s="30" t="n"/>
      <c r="N376" s="29" t="n">
        <v>0</v>
      </c>
      <c r="O376" s="29" t="n">
        <v>0</v>
      </c>
      <c r="P376" s="2" t="n">
        <v>0</v>
      </c>
      <c r="Q376" s="31" t="n">
        <v>0</v>
      </c>
      <c r="R376" s="32" t="n"/>
      <c r="S376" s="32" t="n">
        <v>0</v>
      </c>
      <c r="T376" s="32" t="n">
        <v>0</v>
      </c>
      <c r="U376" s="31" t="n">
        <v>0</v>
      </c>
      <c r="V376" s="32" t="n">
        <v>0</v>
      </c>
      <c r="W376" s="31" t="n">
        <v>0</v>
      </c>
      <c r="X376" s="31" t="n">
        <v>0</v>
      </c>
      <c r="Y376" s="3" t="n">
        <v>0</v>
      </c>
      <c r="Z376" s="3" t="n">
        <v>0</v>
      </c>
      <c r="AA376" s="32" t="n">
        <v>0</v>
      </c>
      <c r="AB376" s="3" t="n">
        <v>0</v>
      </c>
      <c r="AC376" s="32" t="n">
        <v>0</v>
      </c>
      <c r="AD376" s="3" t="n"/>
      <c r="AE376" s="31" t="n">
        <v>0</v>
      </c>
      <c r="AF376" s="2" t="n">
        <v>0</v>
      </c>
      <c r="AG376" s="2" t="n">
        <v>10</v>
      </c>
      <c r="AH376" s="4" t="n">
        <v>10</v>
      </c>
      <c r="AI376" s="33" t="n">
        <v>0</v>
      </c>
      <c r="AJ376" s="4" t="n">
        <v>0</v>
      </c>
      <c r="AK376" s="34" t="n"/>
      <c r="AL376" s="34" t="n">
        <v>0</v>
      </c>
      <c r="AM376" s="2" t="n">
        <v>0</v>
      </c>
    </row>
    <row r="377">
      <c r="A377">
        <f>HYPERLINK("https://www.walmart.com/ip/143242589", "143242589")</f>
        <v/>
      </c>
      <c r="B377">
        <f>HYPERLINK("https://app.optiwise.ai/catalog/itemdetails/361388", "Real Tree Unisex Real Tree Hunting Mesh Cap trucker hat")</f>
        <v/>
      </c>
      <c r="C377" t="n">
        <v>1</v>
      </c>
      <c r="D377" t="inlineStr">
        <is>
          <t>B78691_974019_5C9BB2671E1E9004</t>
        </is>
      </c>
      <c r="E377" t="inlineStr">
        <is>
          <t>7140-Break</t>
        </is>
      </c>
      <c r="F377" t="n">
        <v>0</v>
      </c>
      <c r="G377" t="inlineStr">
        <is>
          <t>Clothing</t>
        </is>
      </c>
      <c r="H377" t="inlineStr">
        <is>
          <t>Hats</t>
        </is>
      </c>
      <c r="I377" t="inlineStr">
        <is>
          <t>KC Caps</t>
        </is>
      </c>
      <c r="K377" t="inlineStr">
        <is>
          <t>Optimized</t>
        </is>
      </c>
      <c r="L377" s="29" t="n">
        <v>0</v>
      </c>
      <c r="M377" s="30" t="n"/>
      <c r="N377" s="29" t="n">
        <v>0</v>
      </c>
      <c r="O377" s="29" t="n">
        <v>0</v>
      </c>
      <c r="P377" s="2" t="n">
        <v>0</v>
      </c>
      <c r="Q377" s="31" t="n">
        <v>0</v>
      </c>
      <c r="R377" s="32" t="n"/>
      <c r="S377" s="32" t="n">
        <v>0</v>
      </c>
      <c r="T377" s="32" t="n">
        <v>0</v>
      </c>
      <c r="U377" s="31" t="n">
        <v>0</v>
      </c>
      <c r="V377" s="32" t="n">
        <v>0</v>
      </c>
      <c r="W377" s="31" t="n">
        <v>0</v>
      </c>
      <c r="X377" s="31" t="n">
        <v>0</v>
      </c>
      <c r="Y377" s="3" t="n">
        <v>0</v>
      </c>
      <c r="Z377" s="3" t="n">
        <v>0</v>
      </c>
      <c r="AA377" s="32" t="n">
        <v>0</v>
      </c>
      <c r="AB377" s="3" t="n">
        <v>0</v>
      </c>
      <c r="AC377" s="32" t="n">
        <v>0</v>
      </c>
      <c r="AD377" s="3" t="n"/>
      <c r="AE377" s="31" t="n">
        <v>0</v>
      </c>
      <c r="AF377" s="2" t="n">
        <v>0</v>
      </c>
      <c r="AG377" s="2" t="n">
        <v>6</v>
      </c>
      <c r="AH377" s="4" t="n">
        <v>6</v>
      </c>
      <c r="AI377" s="33" t="n">
        <v>0</v>
      </c>
      <c r="AJ377" s="4" t="n">
        <v>0</v>
      </c>
      <c r="AK377" s="34" t="n"/>
      <c r="AL377" s="34" t="n">
        <v>0</v>
      </c>
      <c r="AM377" s="2" t="n">
        <v>0</v>
      </c>
    </row>
    <row r="378">
      <c r="A378">
        <f>HYPERLINK("https://www.walmart.com/ip/190246992", "190246992")</f>
        <v/>
      </c>
      <c r="B378">
        <f>HYPERLINK("https://app.optiwise.ai/catalog/itemdetails/362755", "KC Caps Blank Cuff Hat Knit Beanie")</f>
        <v/>
      </c>
      <c r="C378" t="n">
        <v>6</v>
      </c>
      <c r="D378" t="inlineStr">
        <is>
          <t>B78691_974440_5C9BB2671E1E9004</t>
        </is>
      </c>
      <c r="E378" t="inlineStr">
        <is>
          <t>KCW1720NV</t>
        </is>
      </c>
      <c r="F378" t="n">
        <v>0</v>
      </c>
      <c r="G378" t="inlineStr">
        <is>
          <t>Clothing</t>
        </is>
      </c>
      <c r="H378" t="inlineStr">
        <is>
          <t>Hats</t>
        </is>
      </c>
      <c r="I378" t="inlineStr">
        <is>
          <t>KC Caps</t>
        </is>
      </c>
      <c r="K378" t="inlineStr">
        <is>
          <t>Optimized</t>
        </is>
      </c>
      <c r="L378" s="29" t="n">
        <v>0</v>
      </c>
      <c r="M378" s="30" t="n"/>
      <c r="N378" s="29" t="n">
        <v>0</v>
      </c>
      <c r="O378" s="29" t="n">
        <v>0</v>
      </c>
      <c r="P378" s="2" t="n">
        <v>0</v>
      </c>
      <c r="Q378" s="31" t="n">
        <v>0</v>
      </c>
      <c r="R378" s="32" t="n"/>
      <c r="S378" s="32" t="n">
        <v>0</v>
      </c>
      <c r="T378" s="32" t="n">
        <v>0</v>
      </c>
      <c r="U378" s="31" t="n">
        <v>0</v>
      </c>
      <c r="V378" s="32" t="n">
        <v>0</v>
      </c>
      <c r="W378" s="31" t="n">
        <v>0</v>
      </c>
      <c r="X378" s="31" t="n">
        <v>0</v>
      </c>
      <c r="Y378" s="3" t="n">
        <v>0</v>
      </c>
      <c r="Z378" s="3" t="n">
        <v>0</v>
      </c>
      <c r="AA378" s="32" t="n">
        <v>0</v>
      </c>
      <c r="AB378" s="3" t="n">
        <v>0</v>
      </c>
      <c r="AC378" s="32" t="n">
        <v>0</v>
      </c>
      <c r="AD378" s="3" t="n"/>
      <c r="AE378" s="31" t="n">
        <v>0</v>
      </c>
      <c r="AF378" s="2" t="n">
        <v>0</v>
      </c>
      <c r="AG378" s="2" t="n">
        <v>9</v>
      </c>
      <c r="AH378" s="4" t="n">
        <v>9</v>
      </c>
      <c r="AI378" s="33" t="n">
        <v>0</v>
      </c>
      <c r="AJ378" s="4" t="n">
        <v>0</v>
      </c>
      <c r="AK378" s="34" t="n"/>
      <c r="AL378" s="34" t="n">
        <v>0</v>
      </c>
      <c r="AM378" s="2" t="n">
        <v>0</v>
      </c>
    </row>
    <row r="379">
      <c r="A379">
        <f>HYPERLINK("https://www.walmart.com/ip/186842737", "186842737")</f>
        <v/>
      </c>
      <c r="B379">
        <f>HYPERLINK("https://app.optiwise.ai/catalog/itemdetails/361922", "Jennis Women Magic Scarf Multiple Style Soft Shawl Neck Warmer Head Wrap")</f>
        <v/>
      </c>
      <c r="C379" t="n">
        <v>1</v>
      </c>
      <c r="D379" t="inlineStr">
        <is>
          <t>B78691_974512</t>
        </is>
      </c>
      <c r="E379" t="inlineStr">
        <is>
          <t>MagicScarfBL</t>
        </is>
      </c>
      <c r="F379" t="n">
        <v>0</v>
      </c>
      <c r="G379" t="inlineStr">
        <is>
          <t>Clothing</t>
        </is>
      </c>
      <c r="H379" t="inlineStr">
        <is>
          <t>Scarves</t>
        </is>
      </c>
      <c r="I379" t="inlineStr">
        <is>
          <t>JenniWears</t>
        </is>
      </c>
      <c r="K379" t="inlineStr">
        <is>
          <t>Batch 1 - TR</t>
        </is>
      </c>
      <c r="L379" s="29" t="n">
        <v>0</v>
      </c>
      <c r="M379" s="30" t="n"/>
      <c r="N379" s="29" t="n">
        <v>0</v>
      </c>
      <c r="O379" s="29" t="n">
        <v>0</v>
      </c>
      <c r="P379" s="2" t="n">
        <v>0</v>
      </c>
      <c r="Q379" s="31" t="n">
        <v>0</v>
      </c>
      <c r="R379" s="32" t="n"/>
      <c r="S379" s="32" t="n">
        <v>0</v>
      </c>
      <c r="T379" s="32" t="n">
        <v>0</v>
      </c>
      <c r="U379" s="31" t="n">
        <v>0</v>
      </c>
      <c r="V379" s="32" t="n">
        <v>0</v>
      </c>
      <c r="W379" s="31" t="n">
        <v>0</v>
      </c>
      <c r="X379" s="31" t="n">
        <v>0</v>
      </c>
      <c r="Y379" s="3" t="n">
        <v>0</v>
      </c>
      <c r="Z379" s="3" t="n">
        <v>0</v>
      </c>
      <c r="AA379" s="32" t="n">
        <v>0</v>
      </c>
      <c r="AB379" s="3" t="n">
        <v>0</v>
      </c>
      <c r="AC379" s="32" t="n">
        <v>0</v>
      </c>
      <c r="AD379" s="3" t="n"/>
      <c r="AE379" s="31" t="n">
        <v>0</v>
      </c>
      <c r="AF379" s="2" t="n">
        <v>0</v>
      </c>
      <c r="AG379" s="2" t="n">
        <v>6</v>
      </c>
      <c r="AH379" s="4" t="n">
        <v>6</v>
      </c>
      <c r="AI379" s="33" t="n">
        <v>0</v>
      </c>
      <c r="AJ379" s="4" t="n">
        <v>0</v>
      </c>
      <c r="AK379" s="34" t="n"/>
      <c r="AL379" s="34" t="n">
        <v>0</v>
      </c>
      <c r="AM379" s="2" t="n">
        <v>0</v>
      </c>
    </row>
    <row r="380">
      <c r="A380">
        <f>HYPERLINK("https://www.walmart.com/ip/891167892", "891167892")</f>
        <v/>
      </c>
      <c r="B380">
        <f>HYPERLINK("https://app.optiwise.ai/catalog/itemdetails/418758", "50 x 60 Chevron Throw Blanket Tirrinia Products")</f>
        <v/>
      </c>
      <c r="C380" t="n">
        <v>7</v>
      </c>
      <c r="D380" t="inlineStr">
        <is>
          <t>B78691_1681110_9EF20CF76C3976C5</t>
        </is>
      </c>
      <c r="E380" t="inlineStr">
        <is>
          <t>1TRBF320DBL-TBCB</t>
        </is>
      </c>
      <c r="F380" t="n">
        <v>1</v>
      </c>
      <c r="G380" t="inlineStr">
        <is>
          <t>Bedding</t>
        </is>
      </c>
      <c r="H380" t="inlineStr">
        <is>
          <t>Throws</t>
        </is>
      </c>
      <c r="I380" t="inlineStr">
        <is>
          <t>Tirrinia</t>
        </is>
      </c>
      <c r="K380" t="inlineStr">
        <is>
          <t>Batch 1 - TR</t>
        </is>
      </c>
      <c r="L380" s="29" t="n">
        <v>0</v>
      </c>
      <c r="M380" s="30" t="n"/>
      <c r="N380" s="29" t="n">
        <v>0</v>
      </c>
      <c r="O380" s="29" t="n">
        <v>0</v>
      </c>
      <c r="P380" s="2" t="n">
        <v>0</v>
      </c>
      <c r="Q380" s="31" t="n">
        <v>0</v>
      </c>
      <c r="R380" s="32" t="n"/>
      <c r="S380" s="32" t="n">
        <v>0</v>
      </c>
      <c r="T380" s="32" t="n">
        <v>0</v>
      </c>
      <c r="U380" s="31" t="n">
        <v>0</v>
      </c>
      <c r="V380" s="32" t="n">
        <v>0</v>
      </c>
      <c r="W380" s="31" t="n">
        <v>0</v>
      </c>
      <c r="X380" s="31" t="n">
        <v>0</v>
      </c>
      <c r="Y380" s="3" t="n">
        <v>0</v>
      </c>
      <c r="Z380" s="3" t="n">
        <v>0</v>
      </c>
      <c r="AA380" s="32" t="n">
        <v>0</v>
      </c>
      <c r="AB380" s="3" t="n">
        <v>0</v>
      </c>
      <c r="AC380" s="32" t="n">
        <v>0</v>
      </c>
      <c r="AD380" s="3" t="n"/>
      <c r="AE380" s="31" t="n">
        <v>0</v>
      </c>
      <c r="AF380" s="2" t="n">
        <v>0</v>
      </c>
      <c r="AG380" s="2" t="n">
        <v>41</v>
      </c>
      <c r="AH380" s="4" t="n">
        <v>41</v>
      </c>
      <c r="AI380" s="33" t="n">
        <v>0</v>
      </c>
      <c r="AJ380" s="4" t="n">
        <v>0</v>
      </c>
      <c r="AK380" s="34" t="n"/>
      <c r="AL380" s="34" t="n">
        <v>0</v>
      </c>
      <c r="AM380" s="2" t="n">
        <v>0</v>
      </c>
    </row>
    <row r="381">
      <c r="A381">
        <f>HYPERLINK("https://www.walmart.com/ip/761838379", "761838379")</f>
        <v/>
      </c>
      <c r="B381">
        <f>HYPERLINK("https://app.optiwise.ai/catalog/itemdetails/361350", "KC Caps® Unisex Realtree Hunting Cap Camouflage Jungle Sports Hat")</f>
        <v/>
      </c>
      <c r="C381" t="n">
        <v>3</v>
      </c>
      <c r="D381" t="inlineStr">
        <is>
          <t>B78691_1567953_5C9BB2671E1E9004</t>
        </is>
      </c>
      <c r="E381" t="inlineStr">
        <is>
          <t>KC Caps 4730</t>
        </is>
      </c>
      <c r="F381" t="n">
        <v>1</v>
      </c>
      <c r="G381" t="inlineStr">
        <is>
          <t>Clothing</t>
        </is>
      </c>
      <c r="H381" t="inlineStr">
        <is>
          <t>Hats</t>
        </is>
      </c>
      <c r="I381" t="inlineStr">
        <is>
          <t>KC Caps</t>
        </is>
      </c>
      <c r="K381" t="inlineStr">
        <is>
          <t>Batch 1 - TR</t>
        </is>
      </c>
      <c r="L381" s="29" t="n">
        <v>0</v>
      </c>
      <c r="M381" s="30" t="n"/>
      <c r="N381" s="29" t="n">
        <v>0</v>
      </c>
      <c r="O381" s="29" t="n">
        <v>0</v>
      </c>
      <c r="P381" s="2" t="n">
        <v>0</v>
      </c>
      <c r="Q381" s="31" t="n">
        <v>0</v>
      </c>
      <c r="R381" s="32" t="n"/>
      <c r="S381" s="32" t="n">
        <v>0</v>
      </c>
      <c r="T381" s="32" t="n">
        <v>0</v>
      </c>
      <c r="U381" s="31" t="n">
        <v>0</v>
      </c>
      <c r="V381" s="32" t="n">
        <v>0</v>
      </c>
      <c r="W381" s="31" t="n">
        <v>0</v>
      </c>
      <c r="X381" s="31" t="n">
        <v>0</v>
      </c>
      <c r="Y381" s="3" t="n">
        <v>0</v>
      </c>
      <c r="Z381" s="3" t="n">
        <v>0</v>
      </c>
      <c r="AA381" s="32" t="n">
        <v>0</v>
      </c>
      <c r="AB381" s="3" t="n">
        <v>0</v>
      </c>
      <c r="AC381" s="32" t="n">
        <v>0</v>
      </c>
      <c r="AD381" s="3" t="n"/>
      <c r="AE381" s="31" t="n">
        <v>0</v>
      </c>
      <c r="AF381" s="2" t="n">
        <v>0</v>
      </c>
      <c r="AG381" s="2" t="n">
        <v>5</v>
      </c>
      <c r="AH381" s="4" t="n">
        <v>5</v>
      </c>
      <c r="AI381" s="33" t="n">
        <v>0</v>
      </c>
      <c r="AJ381" s="4" t="n">
        <v>0</v>
      </c>
      <c r="AK381" s="34" t="n"/>
      <c r="AL381" s="34" t="n">
        <v>0</v>
      </c>
      <c r="AM381" s="2" t="n">
        <v>0</v>
      </c>
    </row>
    <row r="382">
      <c r="A382">
        <f>HYPERLINK("https://www.walmart.com/ip/331913877", "331913877")</f>
        <v/>
      </c>
      <c r="B382">
        <f>HYPERLINK("https://app.optiwise.ai/catalog/itemdetails/361334", "KC Caps Men's Neon Orange Turkey Cap")</f>
        <v/>
      </c>
      <c r="C382" t="n">
        <v>1</v>
      </c>
      <c r="D382" t="inlineStr">
        <is>
          <t>B78691_974088</t>
        </is>
      </c>
      <c r="E382" t="inlineStr">
        <is>
          <t>ht25-turkey</t>
        </is>
      </c>
      <c r="F382" t="n">
        <v>0</v>
      </c>
      <c r="G382" t="inlineStr">
        <is>
          <t>Clothing</t>
        </is>
      </c>
      <c r="H382" t="inlineStr">
        <is>
          <t>Hats</t>
        </is>
      </c>
      <c r="I382" t="inlineStr">
        <is>
          <t>KC Caps</t>
        </is>
      </c>
      <c r="K382" t="inlineStr">
        <is>
          <t>Batch 1 - TR</t>
        </is>
      </c>
      <c r="L382" s="29" t="n">
        <v>0</v>
      </c>
      <c r="M382" s="30" t="n"/>
      <c r="N382" s="29" t="n">
        <v>0</v>
      </c>
      <c r="O382" s="29" t="n">
        <v>0</v>
      </c>
      <c r="P382" s="2" t="n">
        <v>0</v>
      </c>
      <c r="Q382" s="31" t="n">
        <v>0</v>
      </c>
      <c r="R382" s="32" t="n"/>
      <c r="S382" s="32" t="n">
        <v>0</v>
      </c>
      <c r="T382" s="32" t="n">
        <v>0</v>
      </c>
      <c r="U382" s="31" t="n">
        <v>0</v>
      </c>
      <c r="V382" s="32" t="n">
        <v>0</v>
      </c>
      <c r="W382" s="31" t="n">
        <v>0</v>
      </c>
      <c r="X382" s="31" t="n">
        <v>0</v>
      </c>
      <c r="Y382" s="3" t="n">
        <v>0</v>
      </c>
      <c r="Z382" s="3" t="n">
        <v>0</v>
      </c>
      <c r="AA382" s="32" t="n">
        <v>0</v>
      </c>
      <c r="AB382" s="3" t="n">
        <v>0</v>
      </c>
      <c r="AC382" s="32" t="n">
        <v>0</v>
      </c>
      <c r="AD382" s="3" t="n"/>
      <c r="AE382" s="31" t="n">
        <v>0</v>
      </c>
      <c r="AF382" s="2" t="n">
        <v>0</v>
      </c>
      <c r="AG382" s="2" t="n">
        <v>3</v>
      </c>
      <c r="AH382" s="4" t="n">
        <v>3</v>
      </c>
      <c r="AI382" s="33" t="n">
        <v>0</v>
      </c>
      <c r="AJ382" s="4" t="n">
        <v>0</v>
      </c>
      <c r="AK382" s="34" t="n"/>
      <c r="AL382" s="34" t="n">
        <v>0</v>
      </c>
      <c r="AM382" s="2" t="n">
        <v>0</v>
      </c>
    </row>
    <row r="383">
      <c r="A383">
        <f>HYPERLINK("https://www.walmart.com/ip/766236233", "766236233")</f>
        <v/>
      </c>
      <c r="B383">
        <f>HYPERLINK("https://app.optiwise.ai/catalog/itemdetails/361988", "Napa Soft Plush Fleece Throw Blanket 50”x 70” Microfiber Moroccan Lightweight Warm Bed Sofa Couch Brown")</f>
        <v/>
      </c>
      <c r="C383" t="n">
        <v>2</v>
      </c>
      <c r="D383" t="inlineStr">
        <is>
          <t>B78691_1635958_E50E49FFE212B8C1</t>
        </is>
      </c>
      <c r="E383" t="inlineStr">
        <is>
          <t>K8022-BRN</t>
        </is>
      </c>
      <c r="F383" t="n">
        <v>9</v>
      </c>
      <c r="G383" t="inlineStr">
        <is>
          <t>Bedding</t>
        </is>
      </c>
      <c r="H383" t="inlineStr">
        <is>
          <t>Throws</t>
        </is>
      </c>
      <c r="I383" t="inlineStr">
        <is>
          <t>NAPA</t>
        </is>
      </c>
      <c r="J383" t="n">
        <v>4.8</v>
      </c>
      <c r="K383" t="inlineStr">
        <is>
          <t>Optimized</t>
        </is>
      </c>
      <c r="L383" s="29" t="n">
        <v>0</v>
      </c>
      <c r="M383" s="30" t="n"/>
      <c r="N383" s="29" t="n">
        <v>0</v>
      </c>
      <c r="O383" s="29" t="n">
        <v>0</v>
      </c>
      <c r="P383" s="2" t="n">
        <v>0</v>
      </c>
      <c r="Q383" s="31" t="n">
        <v>0</v>
      </c>
      <c r="R383" s="32" t="n"/>
      <c r="S383" s="32" t="n">
        <v>0</v>
      </c>
      <c r="T383" s="32" t="n">
        <v>0</v>
      </c>
      <c r="U383" s="31" t="n">
        <v>0</v>
      </c>
      <c r="V383" s="32" t="n">
        <v>0</v>
      </c>
      <c r="W383" s="31" t="n">
        <v>0</v>
      </c>
      <c r="X383" s="31" t="n">
        <v>0</v>
      </c>
      <c r="Y383" s="3" t="n">
        <v>0</v>
      </c>
      <c r="Z383" s="3" t="n">
        <v>0</v>
      </c>
      <c r="AA383" s="32" t="n">
        <v>0</v>
      </c>
      <c r="AB383" s="3" t="n">
        <v>0</v>
      </c>
      <c r="AC383" s="32" t="n">
        <v>0</v>
      </c>
      <c r="AD383" s="3" t="n"/>
      <c r="AE383" s="31" t="n">
        <v>0</v>
      </c>
      <c r="AF383" s="2" t="n">
        <v>0</v>
      </c>
      <c r="AG383" s="2" t="n">
        <v>3</v>
      </c>
      <c r="AH383" s="4" t="n">
        <v>3</v>
      </c>
      <c r="AI383" s="33" t="n">
        <v>0</v>
      </c>
      <c r="AJ383" s="4" t="n">
        <v>0</v>
      </c>
      <c r="AK383" s="34" t="n"/>
      <c r="AL383" s="34" t="n">
        <v>0</v>
      </c>
      <c r="AM383" s="2" t="n">
        <v>0</v>
      </c>
    </row>
    <row r="384">
      <c r="A384">
        <f>HYPERLINK("https://www.walmart.com/ip/157648196", "157648196")</f>
        <v/>
      </c>
      <c r="B384">
        <f>HYPERLINK("https://app.optiwise.ai/catalog/itemdetails/362237", "Jenniwears Women's Sexy Lingerie Lace Mesh 2-Piece Bowknot Halter Chemise with G-String")</f>
        <v/>
      </c>
      <c r="C384" t="n">
        <v>10</v>
      </c>
      <c r="D384" t="inlineStr">
        <is>
          <t>B78691_979699</t>
        </is>
      </c>
      <c r="E384" t="inlineStr">
        <is>
          <t>JWND03GN</t>
        </is>
      </c>
      <c r="F384" t="n">
        <v>0</v>
      </c>
      <c r="G384" t="inlineStr">
        <is>
          <t>Clothing</t>
        </is>
      </c>
      <c r="H384" t="inlineStr">
        <is>
          <t>Lingerie Sets</t>
        </is>
      </c>
      <c r="I384" t="inlineStr">
        <is>
          <t>JenniWears</t>
        </is>
      </c>
      <c r="K384" t="inlineStr">
        <is>
          <t>Optimized,Valentine</t>
        </is>
      </c>
      <c r="L384" s="29" t="n">
        <v>0</v>
      </c>
      <c r="M384" s="30" t="n"/>
      <c r="N384" s="29" t="n">
        <v>0</v>
      </c>
      <c r="O384" s="29" t="n">
        <v>0</v>
      </c>
      <c r="P384" s="2" t="n">
        <v>0</v>
      </c>
      <c r="Q384" s="31" t="n">
        <v>0</v>
      </c>
      <c r="R384" s="32" t="n"/>
      <c r="S384" s="32" t="n">
        <v>0</v>
      </c>
      <c r="T384" s="32" t="n">
        <v>0</v>
      </c>
      <c r="U384" s="31" t="n">
        <v>0</v>
      </c>
      <c r="V384" s="32" t="n">
        <v>0</v>
      </c>
      <c r="W384" s="31" t="n">
        <v>0</v>
      </c>
      <c r="X384" s="31" t="n">
        <v>0</v>
      </c>
      <c r="Y384" s="3" t="n">
        <v>0</v>
      </c>
      <c r="Z384" s="3" t="n">
        <v>0</v>
      </c>
      <c r="AA384" s="32" t="n">
        <v>0</v>
      </c>
      <c r="AB384" s="3" t="n">
        <v>0</v>
      </c>
      <c r="AC384" s="32" t="n">
        <v>0</v>
      </c>
      <c r="AD384" s="3" t="n"/>
      <c r="AE384" s="31" t="n">
        <v>0</v>
      </c>
      <c r="AF384" s="2" t="n">
        <v>0</v>
      </c>
      <c r="AG384" s="2" t="n">
        <v>65</v>
      </c>
      <c r="AH384" s="4" t="n">
        <v>65</v>
      </c>
      <c r="AI384" s="33" t="n">
        <v>0</v>
      </c>
      <c r="AJ384" s="4" t="n">
        <v>0</v>
      </c>
      <c r="AK384" s="34" t="n"/>
      <c r="AL384" s="34" t="n">
        <v>0</v>
      </c>
      <c r="AM384" s="2" t="n">
        <v>0</v>
      </c>
    </row>
    <row r="385">
      <c r="A385">
        <f>HYPERLINK("https://www.walmart.com/ip/677328308", "677328308")</f>
        <v/>
      </c>
      <c r="B385">
        <f>HYPERLINK("https://app.optiwise.ai/catalog/itemdetails/362598", "KC Caps® Cotton Twill Unconstructed Hat Velcro Closure Casual Trucker Cap")</f>
        <v/>
      </c>
      <c r="C385" t="n">
        <v>1</v>
      </c>
      <c r="D385" t="inlineStr">
        <is>
          <t>B78691_1567977</t>
        </is>
      </c>
      <c r="E385" t="inlineStr">
        <is>
          <t>KC Caps 8321 Camo Green</t>
        </is>
      </c>
      <c r="F385" t="n">
        <v>0</v>
      </c>
      <c r="G385" t="inlineStr">
        <is>
          <t>Clothing</t>
        </is>
      </c>
      <c r="H385" t="inlineStr">
        <is>
          <t>Hats</t>
        </is>
      </c>
      <c r="I385" t="inlineStr">
        <is>
          <t>KC Caps</t>
        </is>
      </c>
      <c r="K385" t="inlineStr">
        <is>
          <t>Optimized,ST Patrick Day</t>
        </is>
      </c>
      <c r="L385" s="29" t="n">
        <v>0</v>
      </c>
      <c r="M385" s="30" t="n"/>
      <c r="N385" s="29" t="n">
        <v>0</v>
      </c>
      <c r="O385" s="29" t="n">
        <v>0</v>
      </c>
      <c r="P385" s="2" t="n">
        <v>0</v>
      </c>
      <c r="Q385" s="31" t="n">
        <v>0</v>
      </c>
      <c r="R385" s="32" t="n"/>
      <c r="S385" s="32" t="n">
        <v>0</v>
      </c>
      <c r="T385" s="32" t="n">
        <v>0</v>
      </c>
      <c r="U385" s="31" t="n">
        <v>0</v>
      </c>
      <c r="V385" s="32" t="n">
        <v>0</v>
      </c>
      <c r="W385" s="31" t="n">
        <v>0</v>
      </c>
      <c r="X385" s="31" t="n">
        <v>0</v>
      </c>
      <c r="Y385" s="3" t="n">
        <v>0</v>
      </c>
      <c r="Z385" s="3" t="n">
        <v>0</v>
      </c>
      <c r="AA385" s="32" t="n">
        <v>0</v>
      </c>
      <c r="AB385" s="3" t="n">
        <v>0</v>
      </c>
      <c r="AC385" s="32" t="n">
        <v>0</v>
      </c>
      <c r="AD385" s="3" t="n"/>
      <c r="AE385" s="31" t="n">
        <v>0</v>
      </c>
      <c r="AF385" s="2" t="n">
        <v>0</v>
      </c>
      <c r="AG385" s="2" t="n">
        <v>1</v>
      </c>
      <c r="AH385" s="4" t="n">
        <v>1</v>
      </c>
      <c r="AI385" s="33" t="n">
        <v>0</v>
      </c>
      <c r="AJ385" s="4" t="n">
        <v>0</v>
      </c>
      <c r="AK385" s="34" t="n"/>
      <c r="AL385" s="34" t="n">
        <v>0</v>
      </c>
      <c r="AM385" s="2" t="n">
        <v>0</v>
      </c>
    </row>
    <row r="386">
      <c r="A386">
        <f>HYPERLINK("https://www.walmart.com/ip/379265869", "379265869")</f>
        <v/>
      </c>
      <c r="B386">
        <f>HYPERLINK("https://app.optiwise.ai/catalog/itemdetails/362664", "Tirrinia Adult Hooded Poncho Towels, All-match Swim Robe 34'' × 42.5''")</f>
        <v/>
      </c>
      <c r="C386" t="n">
        <v>1</v>
      </c>
      <c r="D386" t="inlineStr">
        <is>
          <t>B78691_1639341</t>
        </is>
      </c>
      <c r="E386" t="inlineStr">
        <is>
          <t>1TRBR100-GY-TB02</t>
        </is>
      </c>
      <c r="F386" t="n">
        <v>1</v>
      </c>
      <c r="G386" t="inlineStr">
        <is>
          <t>Clothing</t>
        </is>
      </c>
      <c r="H386" t="inlineStr">
        <is>
          <t>Sleepwear Robes &amp; Bathrobes</t>
        </is>
      </c>
      <c r="I386" t="inlineStr">
        <is>
          <t>Tirrinia</t>
        </is>
      </c>
      <c r="J386" t="n">
        <v>5</v>
      </c>
      <c r="K386" t="inlineStr">
        <is>
          <t>Batch 1 - TR</t>
        </is>
      </c>
      <c r="L386" s="29" t="n">
        <v>0</v>
      </c>
      <c r="M386" s="30" t="n"/>
      <c r="N386" s="29" t="n">
        <v>0</v>
      </c>
      <c r="O386" s="29" t="n">
        <v>0</v>
      </c>
      <c r="P386" s="2" t="n">
        <v>0</v>
      </c>
      <c r="Q386" s="31" t="n">
        <v>0</v>
      </c>
      <c r="R386" s="32" t="n"/>
      <c r="S386" s="32" t="n">
        <v>0</v>
      </c>
      <c r="T386" s="32" t="n">
        <v>0</v>
      </c>
      <c r="U386" s="31" t="n">
        <v>0</v>
      </c>
      <c r="V386" s="32" t="n">
        <v>0</v>
      </c>
      <c r="W386" s="31" t="n">
        <v>0</v>
      </c>
      <c r="X386" s="31" t="n">
        <v>0</v>
      </c>
      <c r="Y386" s="3" t="n">
        <v>0</v>
      </c>
      <c r="Z386" s="3" t="n">
        <v>0</v>
      </c>
      <c r="AA386" s="32" t="n">
        <v>0</v>
      </c>
      <c r="AB386" s="3" t="n">
        <v>0</v>
      </c>
      <c r="AC386" s="32" t="n">
        <v>0</v>
      </c>
      <c r="AD386" s="3" t="n"/>
      <c r="AE386" s="31" t="n">
        <v>0</v>
      </c>
      <c r="AF386" s="2" t="n">
        <v>0</v>
      </c>
      <c r="AG386" s="2" t="n">
        <v>8</v>
      </c>
      <c r="AH386" s="4" t="n">
        <v>8</v>
      </c>
      <c r="AI386" s="33" t="n">
        <v>0</v>
      </c>
      <c r="AJ386" s="4" t="n">
        <v>0</v>
      </c>
      <c r="AK386" s="34" t="n"/>
      <c r="AL386" s="34" t="n">
        <v>0</v>
      </c>
      <c r="AM386" s="2" t="n">
        <v>0</v>
      </c>
    </row>
    <row r="387">
      <c r="A387">
        <f>HYPERLINK("https://www.walmart.com/ip/122890179", "122890179")</f>
        <v/>
      </c>
      <c r="B387">
        <f>HYPERLINK("https://app.optiwise.ai/catalog/itemdetails/362678", "JenniWears® Women Strap Backless Sleepwear Lace Nightwear Mesh Babydoll Wire Lingerie")</f>
        <v/>
      </c>
      <c r="C387" t="n">
        <v>1</v>
      </c>
      <c r="D387" t="inlineStr">
        <is>
          <t>B78691_979776</t>
        </is>
      </c>
      <c r="E387" t="inlineStr">
        <is>
          <t>JWBD010BL-XL</t>
        </is>
      </c>
      <c r="F387" t="n">
        <v>0</v>
      </c>
      <c r="G387" t="inlineStr">
        <is>
          <t>Clothing</t>
        </is>
      </c>
      <c r="H387" t="inlineStr">
        <is>
          <t>Lingerie Sets</t>
        </is>
      </c>
      <c r="I387" t="inlineStr">
        <is>
          <t>JenniWears</t>
        </is>
      </c>
      <c r="K387" t="inlineStr">
        <is>
          <t>Optimized,Valentine</t>
        </is>
      </c>
      <c r="L387" s="29" t="n">
        <v>0</v>
      </c>
      <c r="M387" s="30" t="n"/>
      <c r="N387" s="29" t="n">
        <v>0</v>
      </c>
      <c r="O387" s="29" t="n">
        <v>0</v>
      </c>
      <c r="P387" s="2" t="n">
        <v>0</v>
      </c>
      <c r="Q387" s="31" t="n">
        <v>0</v>
      </c>
      <c r="R387" s="32" t="n"/>
      <c r="S387" s="32" t="n">
        <v>0</v>
      </c>
      <c r="T387" s="32" t="n">
        <v>0</v>
      </c>
      <c r="U387" s="31" t="n">
        <v>0</v>
      </c>
      <c r="V387" s="32" t="n">
        <v>0</v>
      </c>
      <c r="W387" s="31" t="n">
        <v>0</v>
      </c>
      <c r="X387" s="31" t="n">
        <v>0</v>
      </c>
      <c r="Y387" s="3" t="n">
        <v>0</v>
      </c>
      <c r="Z387" s="3" t="n">
        <v>0</v>
      </c>
      <c r="AA387" s="32" t="n">
        <v>0</v>
      </c>
      <c r="AB387" s="3" t="n">
        <v>0</v>
      </c>
      <c r="AC387" s="32" t="n">
        <v>0</v>
      </c>
      <c r="AD387" s="3" t="n"/>
      <c r="AE387" s="31" t="n">
        <v>0</v>
      </c>
      <c r="AF387" s="2" t="n">
        <v>0</v>
      </c>
      <c r="AG387" s="2" t="n">
        <v>26</v>
      </c>
      <c r="AH387" s="4" t="n">
        <v>26</v>
      </c>
      <c r="AI387" s="33" t="n">
        <v>0</v>
      </c>
      <c r="AJ387" s="4" t="n">
        <v>0</v>
      </c>
      <c r="AK387" s="34" t="n"/>
      <c r="AL387" s="34" t="n">
        <v>0</v>
      </c>
      <c r="AM387" s="2" t="n">
        <v>0</v>
      </c>
    </row>
    <row r="388">
      <c r="A388">
        <f>HYPERLINK("https://www.walmart.com/ip/1256810690", "1256810690")</f>
        <v/>
      </c>
      <c r="B388">
        <f>HYPERLINK("https://app.optiwise.ai/catalog/itemdetails/936864", "Women’s Plush Hoodie Sweatshirt Dress, Casual Pullover Sweater with Kangaroo Pocket, One Size")</f>
        <v/>
      </c>
      <c r="C388" t="n">
        <v>6</v>
      </c>
      <c r="D388" t="inlineStr">
        <is>
          <t>B78691_1681131_6EAF28B9D69B93AA</t>
        </is>
      </c>
      <c r="E388" t="inlineStr">
        <is>
          <t>1CTHD531PK</t>
        </is>
      </c>
      <c r="F388" t="n">
        <v>0</v>
      </c>
      <c r="G388" t="inlineStr">
        <is>
          <t>Clothing</t>
        </is>
      </c>
      <c r="H388" t="inlineStr">
        <is>
          <t>Sweatshirts &amp; Hoodies</t>
        </is>
      </c>
      <c r="I388" t="inlineStr">
        <is>
          <t>Catalonia</t>
        </is>
      </c>
      <c r="K388" t="inlineStr">
        <is>
          <t>Batch 1 - TR</t>
        </is>
      </c>
      <c r="L388" s="29" t="n">
        <v>0</v>
      </c>
      <c r="M388" s="30" t="n"/>
      <c r="N388" s="29" t="n">
        <v>0</v>
      </c>
      <c r="O388" s="29" t="n">
        <v>0</v>
      </c>
      <c r="P388" s="2" t="n">
        <v>0</v>
      </c>
      <c r="Q388" s="31" t="n">
        <v>8.02</v>
      </c>
      <c r="R388" s="32" t="n">
        <v>0.001</v>
      </c>
      <c r="S388" s="32" t="n">
        <v>0</v>
      </c>
      <c r="T388" s="32" t="n">
        <v>0.4018</v>
      </c>
      <c r="U388" s="31" t="n">
        <v>0</v>
      </c>
      <c r="V388" s="32" t="n">
        <v>0</v>
      </c>
      <c r="W388" s="31" t="n">
        <v>0</v>
      </c>
      <c r="X388" s="31" t="n">
        <v>0</v>
      </c>
      <c r="Y388" s="3" t="n">
        <v>24547</v>
      </c>
      <c r="Z388" s="3" t="n">
        <v>26</v>
      </c>
      <c r="AA388" s="32" t="n">
        <v>0.0011</v>
      </c>
      <c r="AB388" s="3" t="n">
        <v>0</v>
      </c>
      <c r="AC388" s="32" t="n">
        <v>0</v>
      </c>
      <c r="AD388" s="3" t="inlineStr">
        <is>
          <t>,Hoodies_Auto</t>
        </is>
      </c>
      <c r="AE388" s="31" t="n">
        <v>0.31</v>
      </c>
      <c r="AF388" s="2" t="n">
        <v>0</v>
      </c>
      <c r="AG388" s="2" t="n">
        <v>131</v>
      </c>
      <c r="AH388" s="4" t="n">
        <v>105</v>
      </c>
      <c r="AI388" s="33" t="n">
        <v>0</v>
      </c>
      <c r="AJ388" s="4" t="n">
        <v>0</v>
      </c>
      <c r="AK388" s="34" t="n"/>
      <c r="AL388" s="34" t="n">
        <v>0</v>
      </c>
      <c r="AM388" s="2" t="n">
        <v>0</v>
      </c>
    </row>
    <row r="389">
      <c r="A389">
        <f>HYPERLINK("https://www.walmart.com/ip/206726785", "206726785")</f>
        <v/>
      </c>
      <c r="B389">
        <f>HYPERLINK("https://app.optiwise.ai/catalog/itemdetails/362390", "Tirrinia Snowflake Sherpa Throw Blanket 50 x 60, Super Soft Fluffy Sherpa Throw TV Blanket Decorative Blanket for Bed Couch Holidays | Catalonia series | Beige")</f>
        <v/>
      </c>
      <c r="C389" t="n">
        <v>4</v>
      </c>
      <c r="D389" t="inlineStr">
        <is>
          <t>B78691_1639321_F15A7C6DE3FCDB71</t>
        </is>
      </c>
      <c r="E389" t="inlineStr">
        <is>
          <t>1TRBF390BG-TBCB</t>
        </is>
      </c>
      <c r="F389" t="n">
        <v>20</v>
      </c>
      <c r="G389" t="inlineStr">
        <is>
          <t>Bedding</t>
        </is>
      </c>
      <c r="H389" t="inlineStr">
        <is>
          <t>Throws</t>
        </is>
      </c>
      <c r="I389" t="inlineStr">
        <is>
          <t>Tirrinia</t>
        </is>
      </c>
      <c r="J389" t="n">
        <v>4.8</v>
      </c>
      <c r="K389" t="inlineStr">
        <is>
          <t>Batch 1 - TR</t>
        </is>
      </c>
      <c r="L389" s="29" t="n">
        <v>0</v>
      </c>
      <c r="M389" s="30" t="n"/>
      <c r="N389" s="29" t="n">
        <v>22.98999977111816</v>
      </c>
      <c r="O389" s="29" t="n">
        <v>0</v>
      </c>
      <c r="P389" s="2" t="n">
        <v>0</v>
      </c>
      <c r="Q389" s="31" t="n">
        <v>0</v>
      </c>
      <c r="R389" s="32" t="n"/>
      <c r="S389" s="32" t="n">
        <v>0</v>
      </c>
      <c r="T389" s="32" t="n">
        <v>0</v>
      </c>
      <c r="U389" s="31" t="n">
        <v>0</v>
      </c>
      <c r="V389" s="32" t="n">
        <v>0</v>
      </c>
      <c r="W389" s="31" t="n">
        <v>0</v>
      </c>
      <c r="X389" s="31" t="n">
        <v>0</v>
      </c>
      <c r="Y389" s="3" t="n">
        <v>0</v>
      </c>
      <c r="Z389" s="3" t="n">
        <v>0</v>
      </c>
      <c r="AA389" s="32" t="n">
        <v>0</v>
      </c>
      <c r="AB389" s="3" t="n">
        <v>0</v>
      </c>
      <c r="AC389" s="32" t="n">
        <v>0</v>
      </c>
      <c r="AD389" s="3" t="n"/>
      <c r="AE389" s="31" t="n">
        <v>0</v>
      </c>
      <c r="AF389" s="2" t="n">
        <v>6</v>
      </c>
      <c r="AG389" s="2" t="n">
        <v>57</v>
      </c>
      <c r="AH389" s="4" t="n">
        <v>57</v>
      </c>
      <c r="AI389" s="33" t="n">
        <v>0</v>
      </c>
      <c r="AJ389" s="4" t="n">
        <v>0</v>
      </c>
      <c r="AK389" s="34" t="n"/>
      <c r="AL389" s="34" t="n">
        <v>0</v>
      </c>
      <c r="AM389" s="2" t="n">
        <v>0</v>
      </c>
    </row>
    <row r="390">
      <c r="A390">
        <f>HYPERLINK("https://www.walmart.com/ip/1478976346", "1478976346")</f>
        <v/>
      </c>
      <c r="B390">
        <f>HYPERLINK("https://app.optiwise.ai/catalog/itemdetails/792753", "Sun Visor Sports Cotton Twill Plain Hat with Adjustable Strap for Men Women Outdoor Golf Tennis Running Jogging Hiking")</f>
        <v/>
      </c>
      <c r="C390" t="n">
        <v>4</v>
      </c>
      <c r="D390" t="inlineStr">
        <is>
          <t>B78691_1681777_A07170D5F659A5</t>
        </is>
      </c>
      <c r="E390" t="inlineStr">
        <is>
          <t>1SLVS4130DKGN - 12pcs</t>
        </is>
      </c>
      <c r="F390" t="n">
        <v>0</v>
      </c>
      <c r="G390" t="inlineStr">
        <is>
          <t>Sport &amp; Recreation Other</t>
        </is>
      </c>
      <c r="H390" t="inlineStr">
        <is>
          <t>Tennis Visors</t>
        </is>
      </c>
      <c r="I390" t="inlineStr">
        <is>
          <t>Solaris</t>
        </is>
      </c>
      <c r="K390" t="inlineStr">
        <is>
          <t>Batch 1 - TR</t>
        </is>
      </c>
      <c r="L390" s="29" t="n">
        <v>0</v>
      </c>
      <c r="M390" s="30" t="n"/>
      <c r="N390" s="29" t="n">
        <v>0</v>
      </c>
      <c r="O390" s="29" t="n">
        <v>0</v>
      </c>
      <c r="P390" s="2" t="n">
        <v>0</v>
      </c>
      <c r="Q390" s="31" t="n">
        <v>0</v>
      </c>
      <c r="R390" s="32" t="n"/>
      <c r="S390" s="32" t="n">
        <v>0</v>
      </c>
      <c r="T390" s="32" t="n">
        <v>0</v>
      </c>
      <c r="U390" s="31" t="n">
        <v>0</v>
      </c>
      <c r="V390" s="32" t="n">
        <v>0</v>
      </c>
      <c r="W390" s="31" t="n">
        <v>0</v>
      </c>
      <c r="X390" s="31" t="n">
        <v>0</v>
      </c>
      <c r="Y390" s="3" t="n">
        <v>0</v>
      </c>
      <c r="Z390" s="3" t="n">
        <v>0</v>
      </c>
      <c r="AA390" s="32" t="n">
        <v>0</v>
      </c>
      <c r="AB390" s="3" t="n">
        <v>0</v>
      </c>
      <c r="AC390" s="32" t="n">
        <v>0</v>
      </c>
      <c r="AD390" s="3" t="n"/>
      <c r="AE390" s="31" t="n">
        <v>0</v>
      </c>
      <c r="AF390" s="2" t="n">
        <v>0</v>
      </c>
      <c r="AG390" s="2" t="n">
        <v>8</v>
      </c>
      <c r="AH390" s="4" t="n">
        <v>8</v>
      </c>
      <c r="AI390" s="33" t="n">
        <v>0</v>
      </c>
      <c r="AJ390" s="4" t="n">
        <v>0</v>
      </c>
      <c r="AK390" s="34" t="n"/>
      <c r="AL390" s="34" t="n">
        <v>0</v>
      </c>
      <c r="AM390" s="2" t="n">
        <v>0</v>
      </c>
    </row>
    <row r="391">
      <c r="A391">
        <f>HYPERLINK("https://www.walmart.com/ip/1709435679", "1709435679")</f>
        <v/>
      </c>
      <c r="B391">
        <f>HYPERLINK("https://app.optiwise.ai/catalog/itemdetails/895801", "Deluxe Classic Suede Bill Baseball Cap with Leather Strap Closure")</f>
        <v/>
      </c>
      <c r="C391" t="n">
        <v>4</v>
      </c>
      <c r="D391" t="inlineStr">
        <is>
          <t>B78691_1681493</t>
        </is>
      </c>
      <c r="E391" t="inlineStr">
        <is>
          <t>KC-S6300-BK/BR-12pcs</t>
        </is>
      </c>
      <c r="F391" t="n">
        <v>0</v>
      </c>
      <c r="G391" t="inlineStr">
        <is>
          <t>Clothing</t>
        </is>
      </c>
      <c r="H391" t="inlineStr">
        <is>
          <t>Hats</t>
        </is>
      </c>
      <c r="I391" t="inlineStr">
        <is>
          <t>KC Caps</t>
        </is>
      </c>
      <c r="K391" t="inlineStr">
        <is>
          <t>Batch 1 - TR</t>
        </is>
      </c>
      <c r="L391" s="29" t="n">
        <v>0</v>
      </c>
      <c r="M391" s="30" t="n"/>
      <c r="N391" s="29" t="n">
        <v>0</v>
      </c>
      <c r="O391" s="29" t="n">
        <v>0</v>
      </c>
      <c r="P391" s="2" t="n">
        <v>0</v>
      </c>
      <c r="Q391" s="31" t="n">
        <v>0</v>
      </c>
      <c r="R391" s="32" t="n"/>
      <c r="S391" s="32" t="n">
        <v>0</v>
      </c>
      <c r="T391" s="32" t="n">
        <v>0</v>
      </c>
      <c r="U391" s="31" t="n">
        <v>0</v>
      </c>
      <c r="V391" s="32" t="n">
        <v>0</v>
      </c>
      <c r="W391" s="31" t="n">
        <v>0</v>
      </c>
      <c r="X391" s="31" t="n">
        <v>0</v>
      </c>
      <c r="Y391" s="3" t="n">
        <v>0</v>
      </c>
      <c r="Z391" s="3" t="n">
        <v>0</v>
      </c>
      <c r="AA391" s="32" t="n">
        <v>0</v>
      </c>
      <c r="AB391" s="3" t="n">
        <v>0</v>
      </c>
      <c r="AC391" s="32" t="n">
        <v>0</v>
      </c>
      <c r="AD391" s="3" t="n"/>
      <c r="AE391" s="31" t="n">
        <v>0</v>
      </c>
      <c r="AF391" s="2" t="n">
        <v>0</v>
      </c>
      <c r="AG391" s="2" t="n">
        <v>10</v>
      </c>
      <c r="AH391" s="4" t="n">
        <v>10</v>
      </c>
      <c r="AI391" s="33" t="n">
        <v>0</v>
      </c>
      <c r="AJ391" s="4" t="n">
        <v>0</v>
      </c>
      <c r="AK391" s="34" t="n"/>
      <c r="AL391" s="34" t="n">
        <v>0</v>
      </c>
      <c r="AM391" s="2" t="n">
        <v>0</v>
      </c>
    </row>
    <row r="392">
      <c r="A392">
        <f>HYPERLINK("https://www.walmart.com/ip/714263261", "714263261")</f>
        <v/>
      </c>
      <c r="B392">
        <f>HYPERLINK("https://app.optiwise.ai/catalog/itemdetails/360872", "Brazilian Body Wave Lace Front Wig,Natural Looking Synthetic Fiber Curly Long Hair Wig for Black Women African American")</f>
        <v/>
      </c>
      <c r="C392" t="n">
        <v>1</v>
      </c>
      <c r="D392" t="inlineStr">
        <is>
          <t>B78691_1639576</t>
        </is>
      </c>
      <c r="E392" t="inlineStr">
        <is>
          <t>1CTWIG272-2-ESCB</t>
        </is>
      </c>
      <c r="F392" t="n">
        <v>0</v>
      </c>
      <c r="G392" t="inlineStr">
        <is>
          <t>Clothing</t>
        </is>
      </c>
      <c r="H392" t="inlineStr">
        <is>
          <t>Wigs &amp; Toupees</t>
        </is>
      </c>
      <c r="I392" t="inlineStr">
        <is>
          <t>Catalonia</t>
        </is>
      </c>
      <c r="K392" t="inlineStr">
        <is>
          <t>Batch 1 - TR</t>
        </is>
      </c>
      <c r="L392" s="29" t="n">
        <v>0</v>
      </c>
      <c r="M392" s="30" t="n"/>
      <c r="N392" s="29" t="n">
        <v>0</v>
      </c>
      <c r="O392" s="29" t="n">
        <v>0</v>
      </c>
      <c r="P392" s="2" t="n">
        <v>0</v>
      </c>
      <c r="Q392" s="31" t="n">
        <v>0</v>
      </c>
      <c r="R392" s="32" t="n"/>
      <c r="S392" s="32" t="n">
        <v>0</v>
      </c>
      <c r="T392" s="32" t="n">
        <v>0</v>
      </c>
      <c r="U392" s="31" t="n">
        <v>0</v>
      </c>
      <c r="V392" s="32" t="n">
        <v>0</v>
      </c>
      <c r="W392" s="31" t="n">
        <v>0</v>
      </c>
      <c r="X392" s="31" t="n">
        <v>0</v>
      </c>
      <c r="Y392" s="3" t="n">
        <v>0</v>
      </c>
      <c r="Z392" s="3" t="n">
        <v>0</v>
      </c>
      <c r="AA392" s="32" t="n">
        <v>0</v>
      </c>
      <c r="AB392" s="3" t="n">
        <v>0</v>
      </c>
      <c r="AC392" s="32" t="n">
        <v>0</v>
      </c>
      <c r="AD392" s="3" t="n"/>
      <c r="AE392" s="31" t="n">
        <v>0</v>
      </c>
      <c r="AF392" s="2" t="n">
        <v>0</v>
      </c>
      <c r="AG392" s="2" t="n">
        <v>2</v>
      </c>
      <c r="AH392" s="4" t="n">
        <v>2</v>
      </c>
      <c r="AI392" s="33" t="n">
        <v>0</v>
      </c>
      <c r="AJ392" s="4" t="n">
        <v>0</v>
      </c>
      <c r="AK392" s="34" t="n"/>
      <c r="AL392" s="34" t="n">
        <v>0</v>
      </c>
      <c r="AM392" s="2" t="n">
        <v>0</v>
      </c>
    </row>
    <row r="393">
      <c r="A393">
        <f>HYPERLINK("https://www.walmart.com/ip/1208862801", "1208862801")</f>
        <v/>
      </c>
      <c r="B393">
        <f>HYPERLINK("https://app.optiwise.ai/catalog/itemdetails/911870", "Tirrinia Fleece Sherpa Throw Blanket 90 x 90 Reversible Fuzzy Micro Plush All Season TV Blanket for Bed or Couch")</f>
        <v/>
      </c>
      <c r="C393" t="n">
        <v>2</v>
      </c>
      <c r="D393" t="inlineStr">
        <is>
          <t>B78691_1681498_102DEC9499892AA3</t>
        </is>
      </c>
      <c r="E393" t="inlineStr">
        <is>
          <t>1TRBF399XMAS</t>
        </is>
      </c>
      <c r="F393" t="n">
        <v>0</v>
      </c>
      <c r="G393" t="inlineStr">
        <is>
          <t>Bedding</t>
        </is>
      </c>
      <c r="H393" t="inlineStr">
        <is>
          <t>Throws</t>
        </is>
      </c>
      <c r="I393" t="inlineStr">
        <is>
          <t>Tirrinia</t>
        </is>
      </c>
      <c r="K393" t="inlineStr">
        <is>
          <t>Batch 1 - TR</t>
        </is>
      </c>
      <c r="L393" s="29" t="n">
        <v>0</v>
      </c>
      <c r="M393" s="30" t="n"/>
      <c r="N393" s="29" t="n">
        <v>0</v>
      </c>
      <c r="O393" s="29" t="n">
        <v>0</v>
      </c>
      <c r="P393" s="2" t="n">
        <v>0</v>
      </c>
      <c r="Q393" s="31" t="n">
        <v>0</v>
      </c>
      <c r="R393" s="32" t="n"/>
      <c r="S393" s="32" t="n">
        <v>0</v>
      </c>
      <c r="T393" s="32" t="n">
        <v>0</v>
      </c>
      <c r="U393" s="31" t="n">
        <v>0</v>
      </c>
      <c r="V393" s="32" t="n">
        <v>0</v>
      </c>
      <c r="W393" s="31" t="n">
        <v>0</v>
      </c>
      <c r="X393" s="31" t="n">
        <v>0</v>
      </c>
      <c r="Y393" s="3" t="n">
        <v>0</v>
      </c>
      <c r="Z393" s="3" t="n">
        <v>0</v>
      </c>
      <c r="AA393" s="32" t="n">
        <v>0</v>
      </c>
      <c r="AB393" s="3" t="n">
        <v>0</v>
      </c>
      <c r="AC393" s="32" t="n">
        <v>0</v>
      </c>
      <c r="AD393" s="3" t="n"/>
      <c r="AE393" s="31" t="n">
        <v>0</v>
      </c>
      <c r="AF393" s="2" t="n">
        <v>0</v>
      </c>
      <c r="AG393" s="2" t="n">
        <v>5</v>
      </c>
      <c r="AH393" s="4" t="n">
        <v>5</v>
      </c>
      <c r="AI393" s="33" t="n">
        <v>0</v>
      </c>
      <c r="AJ393" s="4" t="n">
        <v>0</v>
      </c>
      <c r="AK393" s="34" t="n"/>
      <c r="AL393" s="34" t="n">
        <v>0</v>
      </c>
      <c r="AM393" s="2" t="n">
        <v>0</v>
      </c>
    </row>
    <row r="394">
      <c r="A394">
        <f>HYPERLINK("https://www.walmart.com/ip/1890050294", "1890050294")</f>
        <v/>
      </c>
      <c r="B394">
        <f>HYPERLINK("https://app.optiwise.ai/catalog/itemdetails/912022", "Tirrinia Portable Picnic Table with 4 Wine Glasses Holder, Functional Bamboo Snack Tray Table -Foldable for Party, Picnic, Camping, Beach (15.7 x 12.5 x 7.5)")</f>
        <v/>
      </c>
      <c r="C394" t="n">
        <v>2</v>
      </c>
      <c r="D394" t="inlineStr">
        <is>
          <t>B78691_1681656_CF9D57054CAF3C92</t>
        </is>
      </c>
      <c r="E394" t="inlineStr">
        <is>
          <t>1TRPT400</t>
        </is>
      </c>
      <c r="F394" t="n">
        <v>0</v>
      </c>
      <c r="G394" t="inlineStr">
        <is>
          <t>Furniture</t>
        </is>
      </c>
      <c r="H394" t="inlineStr">
        <is>
          <t>Picnic Tables</t>
        </is>
      </c>
      <c r="I394" t="inlineStr">
        <is>
          <t>Tirrinia</t>
        </is>
      </c>
      <c r="K394" t="inlineStr">
        <is>
          <t>Wine,Batch 1 - TR</t>
        </is>
      </c>
      <c r="L394" s="29" t="n">
        <v>0</v>
      </c>
      <c r="M394" s="30" t="n"/>
      <c r="N394" s="29" t="n">
        <v>0</v>
      </c>
      <c r="O394" s="29" t="n">
        <v>0</v>
      </c>
      <c r="P394" s="2" t="n">
        <v>0</v>
      </c>
      <c r="Q394" s="31" t="n">
        <v>2.36</v>
      </c>
      <c r="R394" s="32" t="n">
        <v>0.0003</v>
      </c>
      <c r="S394" s="32" t="n">
        <v>0</v>
      </c>
      <c r="T394" s="32" t="n">
        <v>0</v>
      </c>
      <c r="U394" s="31" t="n">
        <v>0</v>
      </c>
      <c r="V394" s="32" t="n">
        <v>0</v>
      </c>
      <c r="W394" s="31" t="n">
        <v>0</v>
      </c>
      <c r="X394" s="31" t="n">
        <v>0</v>
      </c>
      <c r="Y394" s="3" t="n">
        <v>1707</v>
      </c>
      <c r="Z394" s="3" t="n">
        <v>6</v>
      </c>
      <c r="AA394" s="32" t="n">
        <v>0.0035</v>
      </c>
      <c r="AB394" s="3" t="n">
        <v>0</v>
      </c>
      <c r="AC394" s="32" t="n">
        <v>0</v>
      </c>
      <c r="AD394" s="3" t="inlineStr">
        <is>
          <t>WFS Inventory,</t>
        </is>
      </c>
      <c r="AE394" s="31" t="n">
        <v>0.39</v>
      </c>
      <c r="AF394" s="2" t="n">
        <v>0</v>
      </c>
      <c r="AG394" s="2" t="n">
        <v>74</v>
      </c>
      <c r="AH394" s="4" t="n">
        <v>68</v>
      </c>
      <c r="AI394" s="33" t="n">
        <v>0</v>
      </c>
      <c r="AJ394" s="4" t="n">
        <v>0</v>
      </c>
      <c r="AK394" s="34" t="n"/>
      <c r="AL394" s="34" t="n">
        <v>0</v>
      </c>
      <c r="AM394" s="2" t="n">
        <v>0</v>
      </c>
    </row>
    <row r="395">
      <c r="A395">
        <f>HYPERLINK("https://www.walmart.com/ip/1477066822", "1477066822")</f>
        <v/>
      </c>
      <c r="B395">
        <f>HYPERLINK("https://app.optiwise.ai/catalog/itemdetails/920314", "Catalonia All Season Knitted Acrylic Throw Blanket, Cozy Leisure Lightweight Decorative Blanket with Fringe for Bed, Couch, Living Room, Machine Washable, Gey, 50'' × 60''")</f>
        <v/>
      </c>
      <c r="C395" t="n">
        <v>8</v>
      </c>
      <c r="D395" t="inlineStr">
        <is>
          <t>B78691_1681414_CEE3AFD24B0823A4</t>
        </is>
      </c>
      <c r="E395" t="inlineStr">
        <is>
          <t>1CTBN510GY</t>
        </is>
      </c>
      <c r="F395" t="n">
        <v>0</v>
      </c>
      <c r="G395" t="inlineStr">
        <is>
          <t>Bedding</t>
        </is>
      </c>
      <c r="H395" t="inlineStr">
        <is>
          <t>Throws</t>
        </is>
      </c>
      <c r="I395" t="inlineStr">
        <is>
          <t>Catalonia</t>
        </is>
      </c>
      <c r="K395" t="inlineStr">
        <is>
          <t>Q2-Target,Coupon_Discount,Batch 1 - TR</t>
        </is>
      </c>
      <c r="L395" s="29" t="n">
        <v>0</v>
      </c>
      <c r="M395" s="30" t="n"/>
      <c r="N395" s="29" t="n">
        <v>0</v>
      </c>
      <c r="O395" s="29" t="n">
        <v>0</v>
      </c>
      <c r="P395" s="2" t="n">
        <v>0</v>
      </c>
      <c r="Q395" s="31" t="n">
        <v>0</v>
      </c>
      <c r="R395" s="32" t="n"/>
      <c r="S395" s="32" t="n">
        <v>0</v>
      </c>
      <c r="T395" s="32" t="n">
        <v>0</v>
      </c>
      <c r="U395" s="31" t="n">
        <v>0</v>
      </c>
      <c r="V395" s="32" t="n">
        <v>0</v>
      </c>
      <c r="W395" s="31" t="n">
        <v>0</v>
      </c>
      <c r="X395" s="31" t="n">
        <v>0</v>
      </c>
      <c r="Y395" s="3" t="n">
        <v>0</v>
      </c>
      <c r="Z395" s="3" t="n">
        <v>0</v>
      </c>
      <c r="AA395" s="32" t="n">
        <v>0</v>
      </c>
      <c r="AB395" s="3" t="n">
        <v>0</v>
      </c>
      <c r="AC395" s="32" t="n">
        <v>0</v>
      </c>
      <c r="AD395" s="3" t="n"/>
      <c r="AE395" s="31" t="n">
        <v>0</v>
      </c>
      <c r="AF395" s="2" t="n">
        <v>0</v>
      </c>
      <c r="AG395" s="2" t="n">
        <v>86</v>
      </c>
      <c r="AH395" s="4" t="n">
        <v>86</v>
      </c>
      <c r="AI395" s="33" t="n">
        <v>0</v>
      </c>
      <c r="AJ395" s="4" t="n">
        <v>0</v>
      </c>
      <c r="AK395" s="34" t="n"/>
      <c r="AL395" s="34" t="n">
        <v>0</v>
      </c>
      <c r="AM395" s="2" t="n">
        <v>0</v>
      </c>
    </row>
    <row r="396">
      <c r="A396">
        <f>HYPERLINK("https://www.walmart.com/ip/924510521", "924510521")</f>
        <v/>
      </c>
      <c r="B396">
        <f>HYPERLINK("https://app.optiwise.ai/catalog/itemdetails/360835", "Solaris Adventure hat UPF 50+ rated Outdoor hat Wide brim with Back flap")</f>
        <v/>
      </c>
      <c r="C396" t="n">
        <v>2</v>
      </c>
      <c r="D396" t="inlineStr">
        <is>
          <t>B78691_1636283_5C9BB2671E1E9004</t>
        </is>
      </c>
      <c r="E396" t="inlineStr">
        <is>
          <t>TR-S9152TN-JWCB</t>
        </is>
      </c>
      <c r="F396" t="n">
        <v>0</v>
      </c>
      <c r="G396" t="inlineStr">
        <is>
          <t>Clothing</t>
        </is>
      </c>
      <c r="H396" t="inlineStr">
        <is>
          <t>Hats</t>
        </is>
      </c>
      <c r="I396" t="inlineStr">
        <is>
          <t>Terra</t>
        </is>
      </c>
      <c r="K396" t="inlineStr">
        <is>
          <t>Optimized</t>
        </is>
      </c>
      <c r="L396" s="29" t="n">
        <v>0</v>
      </c>
      <c r="M396" s="30" t="n"/>
      <c r="N396" s="29" t="n">
        <v>0</v>
      </c>
      <c r="O396" s="29" t="n">
        <v>0</v>
      </c>
      <c r="P396" s="2" t="n">
        <v>0</v>
      </c>
      <c r="Q396" s="31" t="n">
        <v>0</v>
      </c>
      <c r="R396" s="32" t="n"/>
      <c r="S396" s="32" t="n">
        <v>0</v>
      </c>
      <c r="T396" s="32" t="n">
        <v>0</v>
      </c>
      <c r="U396" s="31" t="n">
        <v>0</v>
      </c>
      <c r="V396" s="32" t="n">
        <v>0</v>
      </c>
      <c r="W396" s="31" t="n">
        <v>0</v>
      </c>
      <c r="X396" s="31" t="n">
        <v>0</v>
      </c>
      <c r="Y396" s="3" t="n">
        <v>0</v>
      </c>
      <c r="Z396" s="3" t="n">
        <v>0</v>
      </c>
      <c r="AA396" s="32" t="n">
        <v>0</v>
      </c>
      <c r="AB396" s="3" t="n">
        <v>0</v>
      </c>
      <c r="AC396" s="32" t="n">
        <v>0</v>
      </c>
      <c r="AD396" s="3" t="n"/>
      <c r="AE396" s="31" t="n">
        <v>0</v>
      </c>
      <c r="AF396" s="2" t="n">
        <v>0</v>
      </c>
      <c r="AG396" s="2" t="n">
        <v>6</v>
      </c>
      <c r="AH396" s="4" t="n">
        <v>6</v>
      </c>
      <c r="AI396" s="33" t="n">
        <v>0</v>
      </c>
      <c r="AJ396" s="4" t="n">
        <v>0</v>
      </c>
      <c r="AK396" s="34" t="n"/>
      <c r="AL396" s="34" t="n">
        <v>0</v>
      </c>
      <c r="AM396" s="2" t="n">
        <v>0</v>
      </c>
    </row>
    <row r="397">
      <c r="A397">
        <f>HYPERLINK("https://www.walmart.com/ip/1698766704", "1698766704")</f>
        <v/>
      </c>
      <c r="B397">
        <f>HYPERLINK("https://app.optiwise.ai/catalog/itemdetails/924447", "Kritter Planet Cow Print Dog Throw Blanket, Super Soft Fluffy Sherpa Fleece Dog Couch Blankets and Throws for Large, Medium and Small Dogs and Cats, 60'' x 50''")</f>
        <v/>
      </c>
      <c r="C397" t="n">
        <v>3</v>
      </c>
      <c r="D397" t="inlineStr">
        <is>
          <t>B78691_1681543_F914D332D6023A0B</t>
        </is>
      </c>
      <c r="E397" t="inlineStr">
        <is>
          <t>1KPBF560DMT</t>
        </is>
      </c>
      <c r="F397" t="n">
        <v>0</v>
      </c>
      <c r="G397" t="inlineStr">
        <is>
          <t>Animal Accessories</t>
        </is>
      </c>
      <c r="H397" t="inlineStr">
        <is>
          <t>Pet Blankets</t>
        </is>
      </c>
      <c r="I397" t="inlineStr">
        <is>
          <t>Kritter Planet</t>
        </is>
      </c>
      <c r="K397" t="inlineStr">
        <is>
          <t>Q2-Target,Coupon_Discount,Batch 1 - TR</t>
        </is>
      </c>
      <c r="L397" s="29" t="n">
        <v>0</v>
      </c>
      <c r="M397" s="30" t="n"/>
      <c r="N397" s="29" t="n">
        <v>0</v>
      </c>
      <c r="O397" s="29" t="n">
        <v>0</v>
      </c>
      <c r="P397" s="2" t="n">
        <v>0</v>
      </c>
      <c r="Q397" s="31" t="n">
        <v>0</v>
      </c>
      <c r="R397" s="32" t="n"/>
      <c r="S397" s="32" t="n">
        <v>0</v>
      </c>
      <c r="T397" s="32" t="n">
        <v>0</v>
      </c>
      <c r="U397" s="31" t="n">
        <v>0</v>
      </c>
      <c r="V397" s="32" t="n">
        <v>0</v>
      </c>
      <c r="W397" s="31" t="n">
        <v>0</v>
      </c>
      <c r="X397" s="31" t="n">
        <v>0</v>
      </c>
      <c r="Y397" s="3" t="n">
        <v>0</v>
      </c>
      <c r="Z397" s="3" t="n">
        <v>0</v>
      </c>
      <c r="AA397" s="32" t="n">
        <v>0</v>
      </c>
      <c r="AB397" s="3" t="n">
        <v>0</v>
      </c>
      <c r="AC397" s="32" t="n">
        <v>0</v>
      </c>
      <c r="AD397" s="3" t="n"/>
      <c r="AE397" s="31" t="n">
        <v>0</v>
      </c>
      <c r="AF397" s="2" t="n">
        <v>0</v>
      </c>
      <c r="AG397" s="2" t="n">
        <v>41</v>
      </c>
      <c r="AH397" s="4" t="n">
        <v>41</v>
      </c>
      <c r="AI397" s="33" t="n">
        <v>0</v>
      </c>
      <c r="AJ397" s="4" t="n">
        <v>0</v>
      </c>
      <c r="AK397" s="34" t="n"/>
      <c r="AL397" s="34" t="n">
        <v>0</v>
      </c>
      <c r="AM397" s="2" t="n">
        <v>0</v>
      </c>
    </row>
    <row r="398">
      <c r="A398">
        <f>HYPERLINK("https://www.walmart.com/ip/173150573", "173150573")</f>
        <v/>
      </c>
      <c r="B398">
        <f>HYPERLINK("https://app.optiwise.ai/catalog/itemdetails/362796", "Napa Super Soft Warm Micro Plush TV Blanket with Sleeves for Women and Men, Sherpa Mink Fleece Blanket, Wearable Throw Robe, Cobalt Blue, 72 x 50")</f>
        <v/>
      </c>
      <c r="C398" t="n">
        <v>3</v>
      </c>
      <c r="D398" t="inlineStr">
        <is>
          <t>B78691_1127518_5C9BB2671E1E9004</t>
        </is>
      </c>
      <c r="E398" t="inlineStr">
        <is>
          <t>K3080COBLUE</t>
        </is>
      </c>
      <c r="F398" t="n">
        <v>16</v>
      </c>
      <c r="G398" t="inlineStr">
        <is>
          <t>Clothing - Clothing</t>
        </is>
      </c>
      <c r="H398" t="inlineStr">
        <is>
          <t>Throws</t>
        </is>
      </c>
      <c r="I398" t="inlineStr">
        <is>
          <t>NAPA</t>
        </is>
      </c>
      <c r="J398" t="n">
        <v>4.6</v>
      </c>
      <c r="K398" t="inlineStr">
        <is>
          <t>Batch 1 - TR</t>
        </is>
      </c>
      <c r="L398" s="29" t="n">
        <v>0</v>
      </c>
      <c r="M398" s="30" t="n"/>
      <c r="N398" s="29" t="n">
        <v>0</v>
      </c>
      <c r="O398" s="29" t="n">
        <v>0</v>
      </c>
      <c r="P398" s="2" t="n">
        <v>0</v>
      </c>
      <c r="Q398" s="31" t="n">
        <v>0</v>
      </c>
      <c r="R398" s="32" t="n"/>
      <c r="S398" s="32" t="n">
        <v>0</v>
      </c>
      <c r="T398" s="32" t="n">
        <v>0</v>
      </c>
      <c r="U398" s="31" t="n">
        <v>0</v>
      </c>
      <c r="V398" s="32" t="n">
        <v>0</v>
      </c>
      <c r="W398" s="31" t="n">
        <v>0</v>
      </c>
      <c r="X398" s="31" t="n">
        <v>0</v>
      </c>
      <c r="Y398" s="3" t="n">
        <v>0</v>
      </c>
      <c r="Z398" s="3" t="n">
        <v>0</v>
      </c>
      <c r="AA398" s="32" t="n">
        <v>0</v>
      </c>
      <c r="AB398" s="3" t="n">
        <v>0</v>
      </c>
      <c r="AC398" s="32" t="n">
        <v>0</v>
      </c>
      <c r="AD398" s="3" t="n"/>
      <c r="AE398" s="31" t="n">
        <v>0</v>
      </c>
      <c r="AF398" s="2" t="n">
        <v>0</v>
      </c>
      <c r="AG398" s="2" t="n">
        <v>13</v>
      </c>
      <c r="AH398" s="4" t="n">
        <v>13</v>
      </c>
      <c r="AI398" s="33" t="n">
        <v>0</v>
      </c>
      <c r="AJ398" s="4" t="n">
        <v>0</v>
      </c>
      <c r="AK398" s="34" t="n"/>
      <c r="AL398" s="34" t="n">
        <v>0</v>
      </c>
      <c r="AM398" s="2" t="n">
        <v>0</v>
      </c>
    </row>
    <row r="399">
      <c r="A399">
        <f>HYPERLINK("https://www.walmart.com/ip/979279232", "979279232")</f>
        <v/>
      </c>
      <c r="B399">
        <f>HYPERLINK("https://app.optiwise.ai/catalog/itemdetails/360984", "KritterWorld 2 in 1 Front Car Seat Covers Pet Travel Protector Basket for Dog Cat Scratch Resistant Waterproof and Non-slip Black")</f>
        <v/>
      </c>
      <c r="C399" t="n">
        <v>1</v>
      </c>
      <c r="D399" t="inlineStr">
        <is>
          <t>B78691_974509</t>
        </is>
      </c>
      <c r="E399" t="inlineStr">
        <is>
          <t>KWPETCSC02-BK</t>
        </is>
      </c>
      <c r="F399" t="n">
        <v>2</v>
      </c>
      <c r="G399" t="inlineStr">
        <is>
          <t>Animal Other</t>
        </is>
      </c>
      <c r="H399" t="inlineStr">
        <is>
          <t>Pet Car Seat Covers</t>
        </is>
      </c>
      <c r="I399" t="inlineStr">
        <is>
          <t>KritterWorld</t>
        </is>
      </c>
      <c r="J399" t="n">
        <v>4</v>
      </c>
      <c r="K399" t="inlineStr">
        <is>
          <t>Batch 1 - TR</t>
        </is>
      </c>
      <c r="L399" s="29" t="n">
        <v>0</v>
      </c>
      <c r="M399" s="30" t="n"/>
      <c r="N399" s="29" t="n">
        <v>0</v>
      </c>
      <c r="O399" s="29" t="n">
        <v>0</v>
      </c>
      <c r="P399" s="2" t="n">
        <v>0</v>
      </c>
      <c r="Q399" s="31" t="n">
        <v>0</v>
      </c>
      <c r="R399" s="32" t="n"/>
      <c r="S399" s="32" t="n">
        <v>0</v>
      </c>
      <c r="T399" s="32" t="n">
        <v>0</v>
      </c>
      <c r="U399" s="31" t="n">
        <v>0</v>
      </c>
      <c r="V399" s="32" t="n">
        <v>0</v>
      </c>
      <c r="W399" s="31" t="n">
        <v>0</v>
      </c>
      <c r="X399" s="31" t="n">
        <v>0</v>
      </c>
      <c r="Y399" s="3" t="n">
        <v>0</v>
      </c>
      <c r="Z399" s="3" t="n">
        <v>0</v>
      </c>
      <c r="AA399" s="32" t="n">
        <v>0</v>
      </c>
      <c r="AB399" s="3" t="n">
        <v>0</v>
      </c>
      <c r="AC399" s="32" t="n">
        <v>0</v>
      </c>
      <c r="AD399" s="3" t="n"/>
      <c r="AE399" s="31" t="n">
        <v>0</v>
      </c>
      <c r="AF399" s="2" t="n">
        <v>0</v>
      </c>
      <c r="AG399" s="2" t="n">
        <v>24</v>
      </c>
      <c r="AH399" s="4" t="n">
        <v>24</v>
      </c>
      <c r="AI399" s="33" t="n">
        <v>0</v>
      </c>
      <c r="AJ399" s="4" t="n">
        <v>0</v>
      </c>
      <c r="AK399" s="34" t="n"/>
      <c r="AL399" s="34" t="n">
        <v>0</v>
      </c>
      <c r="AM399" s="2" t="n">
        <v>0</v>
      </c>
    </row>
    <row r="400">
      <c r="A400">
        <f>HYPERLINK("https://www.walmart.com/ip/1080329917", "1080329917")</f>
        <v/>
      </c>
      <c r="B400">
        <f>HYPERLINK("https://app.optiwise.ai/catalog/itemdetails/937596", "Kritter Planet Waterproof Pet Blanket, Pee-Proof Dog Blanket Cover for Couch and Bed, Liquid-Proof Furniture Protector for Small and Large Dogs and Cats, Black/Green, 80'' x 60''")</f>
        <v/>
      </c>
      <c r="C400" t="n">
        <v>1</v>
      </c>
      <c r="D400" t="inlineStr">
        <is>
          <t>B78691_1639256</t>
        </is>
      </c>
      <c r="E400" t="inlineStr">
        <is>
          <t>1KPBW681GNBK</t>
        </is>
      </c>
      <c r="F400" t="n">
        <v>0</v>
      </c>
      <c r="G400" t="inlineStr">
        <is>
          <t>Animal Accessories</t>
        </is>
      </c>
      <c r="H400" t="inlineStr">
        <is>
          <t>Pet Blankets</t>
        </is>
      </c>
      <c r="I400" t="inlineStr">
        <is>
          <t>Kritter Planet</t>
        </is>
      </c>
      <c r="K400" t="inlineStr">
        <is>
          <t>Batch 1 - TR</t>
        </is>
      </c>
      <c r="L400" s="29" t="n">
        <v>0</v>
      </c>
      <c r="M400" s="30" t="n"/>
      <c r="N400" s="29" t="n">
        <v>0</v>
      </c>
      <c r="O400" s="29" t="n">
        <v>0</v>
      </c>
      <c r="P400" s="2" t="n">
        <v>0</v>
      </c>
      <c r="Q400" s="31" t="n">
        <v>4.170000000000001</v>
      </c>
      <c r="R400" s="32" t="n">
        <v>0.0005</v>
      </c>
      <c r="S400" s="32" t="n">
        <v>0</v>
      </c>
      <c r="T400" s="32" t="n">
        <v>0</v>
      </c>
      <c r="U400" s="31" t="n">
        <v>0</v>
      </c>
      <c r="V400" s="32" t="n">
        <v>0</v>
      </c>
      <c r="W400" s="31" t="n">
        <v>0</v>
      </c>
      <c r="X400" s="31" t="n">
        <v>0</v>
      </c>
      <c r="Y400" s="3" t="n">
        <v>6110</v>
      </c>
      <c r="Z400" s="3" t="n">
        <v>7</v>
      </c>
      <c r="AA400" s="32" t="n">
        <v>0.0011</v>
      </c>
      <c r="AB400" s="3" t="n">
        <v>0</v>
      </c>
      <c r="AC400" s="32" t="n">
        <v>0</v>
      </c>
      <c r="AD400" s="3" t="inlineStr">
        <is>
          <t>Auto for BW PET 2 ---Rachel</t>
        </is>
      </c>
      <c r="AE400" s="31" t="n">
        <v>0.6</v>
      </c>
      <c r="AF400" s="2" t="n">
        <v>0</v>
      </c>
      <c r="AG400" s="2" t="n">
        <v>27</v>
      </c>
      <c r="AH400" s="4" t="n">
        <v>20</v>
      </c>
      <c r="AI400" s="33" t="n">
        <v>0</v>
      </c>
      <c r="AJ400" s="4" t="n">
        <v>0</v>
      </c>
      <c r="AK400" s="34" t="n"/>
      <c r="AL400" s="34" t="n">
        <v>0</v>
      </c>
      <c r="AM400" s="2" t="n">
        <v>0</v>
      </c>
    </row>
    <row r="401">
      <c r="A401">
        <f>HYPERLINK("https://www.walmart.com/ip/172482796", "172482796")</f>
        <v/>
      </c>
      <c r="B401">
        <f>HYPERLINK("https://app.optiwise.ai/catalog/itemdetails/995084", "KritterWorld® Soft-sided Pet Carrier-pet Carriers Airline Approved with Foldable and Washable")</f>
        <v/>
      </c>
      <c r="C401" t="n">
        <v>2</v>
      </c>
      <c r="D401" t="inlineStr">
        <is>
          <t>B78691_974486_5C9BB2671E1E9004</t>
        </is>
      </c>
      <c r="E401" t="inlineStr">
        <is>
          <t>KWpetbag04GY</t>
        </is>
      </c>
      <c r="F401" t="n">
        <v>6</v>
      </c>
      <c r="G401" t="inlineStr">
        <is>
          <t>Animal Other</t>
        </is>
      </c>
      <c r="H401" t="inlineStr">
        <is>
          <t>Pet Carriers</t>
        </is>
      </c>
      <c r="I401" t="inlineStr">
        <is>
          <t>KritterWorld</t>
        </is>
      </c>
      <c r="L401" s="29" t="n">
        <v>0</v>
      </c>
      <c r="M401" s="30" t="n"/>
      <c r="N401" s="29" t="n">
        <v>0</v>
      </c>
      <c r="O401" s="29" t="n">
        <v>0</v>
      </c>
      <c r="P401" s="2" t="n">
        <v>0</v>
      </c>
      <c r="Q401" s="31" t="n">
        <v>0</v>
      </c>
      <c r="R401" s="32" t="n"/>
      <c r="S401" s="32" t="n">
        <v>0</v>
      </c>
      <c r="T401" s="32" t="n">
        <v>0</v>
      </c>
      <c r="U401" s="31" t="n">
        <v>0</v>
      </c>
      <c r="V401" s="32" t="n">
        <v>0</v>
      </c>
      <c r="W401" s="31" t="n">
        <v>0</v>
      </c>
      <c r="X401" s="31" t="n">
        <v>0</v>
      </c>
      <c r="Y401" s="3" t="n">
        <v>0</v>
      </c>
      <c r="Z401" s="3" t="n">
        <v>0</v>
      </c>
      <c r="AA401" s="32" t="n">
        <v>0</v>
      </c>
      <c r="AB401" s="3" t="n">
        <v>0</v>
      </c>
      <c r="AC401" s="32" t="n">
        <v>0</v>
      </c>
      <c r="AD401" s="3" t="n"/>
      <c r="AE401" s="31" t="n">
        <v>0</v>
      </c>
      <c r="AF401" s="2" t="n">
        <v>0</v>
      </c>
      <c r="AG401" s="2" t="n">
        <v>9</v>
      </c>
      <c r="AH401" s="4" t="n">
        <v>9</v>
      </c>
      <c r="AI401" s="33" t="n">
        <v>0</v>
      </c>
      <c r="AJ401" s="4" t="n">
        <v>0</v>
      </c>
      <c r="AK401" s="34" t="n"/>
      <c r="AL401" s="34" t="n">
        <v>0</v>
      </c>
      <c r="AM401" s="2" t="n">
        <v>0</v>
      </c>
    </row>
    <row r="402">
      <c r="A402">
        <f>HYPERLINK("https://www.walmart.com/ip/1512227422", "1512227422")</f>
        <v/>
      </c>
      <c r="B402">
        <f>HYPERLINK("https://app.optiwise.ai/catalog/itemdetails/995167", "Sun Visor Sports Cotton Twill Plain Hat with Adjustable Strap for Men Women Outdoor Golf Tennis Running Jogging Hiking")</f>
        <v/>
      </c>
      <c r="C402" t="n">
        <v>3</v>
      </c>
      <c r="D402" t="inlineStr">
        <is>
          <t>B78691_1679027</t>
        </is>
      </c>
      <c r="E402" t="inlineStr">
        <is>
          <t>1SLVS4130DKGN</t>
        </is>
      </c>
      <c r="F402" t="n">
        <v>0</v>
      </c>
      <c r="G402" t="inlineStr">
        <is>
          <t>Clothing</t>
        </is>
      </c>
      <c r="H402" t="inlineStr">
        <is>
          <t>Tennis Visors</t>
        </is>
      </c>
      <c r="I402" t="inlineStr">
        <is>
          <t>Solaris</t>
        </is>
      </c>
      <c r="L402" s="29" t="n">
        <v>0</v>
      </c>
      <c r="M402" s="30" t="n"/>
      <c r="N402" s="29" t="n">
        <v>0</v>
      </c>
      <c r="O402" s="29" t="n">
        <v>0</v>
      </c>
      <c r="P402" s="2" t="n">
        <v>0</v>
      </c>
      <c r="Q402" s="31" t="n">
        <v>0</v>
      </c>
      <c r="R402" s="32" t="n"/>
      <c r="S402" s="32" t="n">
        <v>0</v>
      </c>
      <c r="T402" s="32" t="n">
        <v>0</v>
      </c>
      <c r="U402" s="31" t="n">
        <v>0</v>
      </c>
      <c r="V402" s="32" t="n">
        <v>0</v>
      </c>
      <c r="W402" s="31" t="n">
        <v>0</v>
      </c>
      <c r="X402" s="31" t="n">
        <v>0</v>
      </c>
      <c r="Y402" s="3" t="n">
        <v>0</v>
      </c>
      <c r="Z402" s="3" t="n">
        <v>0</v>
      </c>
      <c r="AA402" s="32" t="n">
        <v>0</v>
      </c>
      <c r="AB402" s="3" t="n">
        <v>0</v>
      </c>
      <c r="AC402" s="32" t="n">
        <v>0</v>
      </c>
      <c r="AD402" s="3" t="n"/>
      <c r="AE402" s="31" t="n">
        <v>0</v>
      </c>
      <c r="AF402" s="2" t="n">
        <v>0</v>
      </c>
      <c r="AG402" s="2" t="n">
        <v>7</v>
      </c>
      <c r="AH402" s="4" t="n">
        <v>7</v>
      </c>
      <c r="AI402" s="33" t="n">
        <v>0</v>
      </c>
      <c r="AJ402" s="4" t="n">
        <v>0</v>
      </c>
      <c r="AK402" s="34" t="n"/>
      <c r="AL402" s="34" t="n">
        <v>0</v>
      </c>
      <c r="AM402" s="2" t="n">
        <v>0</v>
      </c>
    </row>
    <row r="403">
      <c r="A403">
        <f>HYPERLINK("https://www.walmart.com/ip/244658784", "244658784")</f>
        <v/>
      </c>
      <c r="B403">
        <f>HYPERLINK("https://app.optiwise.ai/catalog/itemdetails/361888", "Microplush Sherpa Blanket with Sleeves for Women and Men Black")</f>
        <v/>
      </c>
      <c r="C403" t="n">
        <v>8</v>
      </c>
      <c r="D403" t="inlineStr">
        <is>
          <t>B78691_1680800_A73FBB3101E36B60</t>
        </is>
      </c>
      <c r="E403" t="inlineStr">
        <is>
          <t>1TRSN110BK</t>
        </is>
      </c>
      <c r="F403" t="n">
        <v>5</v>
      </c>
      <c r="G403" t="inlineStr">
        <is>
          <t>Bedding</t>
        </is>
      </c>
      <c r="H403" t="inlineStr">
        <is>
          <t>Throws</t>
        </is>
      </c>
      <c r="I403" t="inlineStr">
        <is>
          <t>Tirrinia</t>
        </is>
      </c>
      <c r="J403" t="n">
        <v>5</v>
      </c>
      <c r="K403" t="inlineStr">
        <is>
          <t>WFS,Coupon_Discount,WFS Item</t>
        </is>
      </c>
      <c r="L403" s="29" t="n">
        <v>0</v>
      </c>
      <c r="M403" s="30" t="n"/>
      <c r="N403" s="29" t="n">
        <v>0</v>
      </c>
      <c r="O403" s="29" t="n">
        <v>0</v>
      </c>
      <c r="P403" s="2" t="n">
        <v>0</v>
      </c>
      <c r="Q403" s="31" t="n">
        <v>0</v>
      </c>
      <c r="R403" s="32" t="n"/>
      <c r="S403" s="32" t="n">
        <v>0</v>
      </c>
      <c r="T403" s="32" t="n">
        <v>0</v>
      </c>
      <c r="U403" s="31" t="n">
        <v>0</v>
      </c>
      <c r="V403" s="32" t="n">
        <v>0</v>
      </c>
      <c r="W403" s="31" t="n">
        <v>0</v>
      </c>
      <c r="X403" s="31" t="n">
        <v>0</v>
      </c>
      <c r="Y403" s="3" t="n">
        <v>0</v>
      </c>
      <c r="Z403" s="3" t="n">
        <v>0</v>
      </c>
      <c r="AA403" s="32" t="n">
        <v>0</v>
      </c>
      <c r="AB403" s="3" t="n">
        <v>0</v>
      </c>
      <c r="AC403" s="32" t="n">
        <v>0</v>
      </c>
      <c r="AD403" s="3" t="n"/>
      <c r="AE403" s="31" t="n">
        <v>0</v>
      </c>
      <c r="AF403" s="2" t="n">
        <v>0</v>
      </c>
      <c r="AG403" s="2" t="n">
        <v>44</v>
      </c>
      <c r="AH403" s="4" t="n">
        <v>44</v>
      </c>
      <c r="AI403" s="33" t="n">
        <v>0</v>
      </c>
      <c r="AJ403" s="4" t="n">
        <v>0</v>
      </c>
      <c r="AK403" s="34" t="n"/>
      <c r="AL403" s="34" t="n">
        <v>0</v>
      </c>
      <c r="AM403" s="2" t="n">
        <v>0</v>
      </c>
    </row>
    <row r="404">
      <c r="A404">
        <f>HYPERLINK("https://www.walmart.com/ip/164941151", "164941151")</f>
        <v/>
      </c>
      <c r="B404">
        <f>HYPERLINK("https://app.optiwise.ai/catalog/itemdetails/995228", "Napa Premium Soft Warm Plush Kid Blanket Polyester Fluffy Reversible Bedding Throw For Baby Children Teen Boy Girl")</f>
        <v/>
      </c>
      <c r="C404" t="n">
        <v>1</v>
      </c>
      <c r="D404" t="inlineStr">
        <is>
          <t>B78691_1127554</t>
        </is>
      </c>
      <c r="E404" t="inlineStr">
        <is>
          <t>K9000KD-LT</t>
        </is>
      </c>
      <c r="F404" t="n">
        <v>0</v>
      </c>
      <c r="G404" t="inlineStr">
        <is>
          <t>Bedding</t>
        </is>
      </c>
      <c r="H404" t="inlineStr">
        <is>
          <t>Throws</t>
        </is>
      </c>
      <c r="I404" t="inlineStr">
        <is>
          <t>NAPA</t>
        </is>
      </c>
      <c r="L404" s="29" t="n">
        <v>0</v>
      </c>
      <c r="M404" s="30" t="n"/>
      <c r="N404" s="29" t="n">
        <v>0</v>
      </c>
      <c r="O404" s="29" t="n">
        <v>0</v>
      </c>
      <c r="P404" s="2" t="n">
        <v>0</v>
      </c>
      <c r="Q404" s="31" t="n">
        <v>0</v>
      </c>
      <c r="R404" s="32" t="n"/>
      <c r="S404" s="32" t="n">
        <v>0</v>
      </c>
      <c r="T404" s="32" t="n">
        <v>0</v>
      </c>
      <c r="U404" s="31" t="n">
        <v>0</v>
      </c>
      <c r="V404" s="32" t="n">
        <v>0</v>
      </c>
      <c r="W404" s="31" t="n">
        <v>0</v>
      </c>
      <c r="X404" s="31" t="n">
        <v>0</v>
      </c>
      <c r="Y404" s="3" t="n">
        <v>0</v>
      </c>
      <c r="Z404" s="3" t="n">
        <v>0</v>
      </c>
      <c r="AA404" s="32" t="n">
        <v>0</v>
      </c>
      <c r="AB404" s="3" t="n">
        <v>0</v>
      </c>
      <c r="AC404" s="32" t="n">
        <v>0</v>
      </c>
      <c r="AD404" s="3" t="n"/>
      <c r="AE404" s="31" t="n">
        <v>0</v>
      </c>
      <c r="AF404" s="2" t="n">
        <v>0</v>
      </c>
      <c r="AG404" s="2" t="n">
        <v>2</v>
      </c>
      <c r="AH404" s="4" t="n">
        <v>2</v>
      </c>
      <c r="AI404" s="33" t="n">
        <v>0</v>
      </c>
      <c r="AJ404" s="4" t="n">
        <v>0</v>
      </c>
      <c r="AK404" s="34" t="n"/>
      <c r="AL404" s="34" t="n">
        <v>0</v>
      </c>
      <c r="AM404" s="2" t="n">
        <v>0</v>
      </c>
    </row>
    <row r="405">
      <c r="A405">
        <f>HYPERLINK("https://www.walmart.com/ip/503352427", "503352427")</f>
        <v/>
      </c>
      <c r="B405">
        <f>HYPERLINK("https://app.optiwise.ai/catalog/itemdetails/360822", "JenniWears Women Crotchless Lace Panty Plus Size Thong Open Crotch Black 3XL")</f>
        <v/>
      </c>
      <c r="C405" t="n">
        <v>1</v>
      </c>
      <c r="D405" t="inlineStr">
        <is>
          <t>B78691_1251810</t>
        </is>
      </c>
      <c r="E405" t="inlineStr">
        <is>
          <t>JWPT04BK-3XL</t>
        </is>
      </c>
      <c r="F405" t="n">
        <v>0</v>
      </c>
      <c r="G405" t="inlineStr">
        <is>
          <t>Clothing</t>
        </is>
      </c>
      <c r="H405" t="inlineStr">
        <is>
          <t>Panties</t>
        </is>
      </c>
      <c r="I405" t="inlineStr">
        <is>
          <t>JenniWears</t>
        </is>
      </c>
      <c r="K405" t="inlineStr">
        <is>
          <t>WFS,Valentine,WFS Item</t>
        </is>
      </c>
      <c r="L405" s="29" t="n">
        <v>0</v>
      </c>
      <c r="M405" s="30" t="n"/>
      <c r="N405" s="29" t="n">
        <v>0</v>
      </c>
      <c r="O405" s="29" t="n">
        <v>0</v>
      </c>
      <c r="P405" s="2" t="n">
        <v>0</v>
      </c>
      <c r="Q405" s="31" t="n">
        <v>0</v>
      </c>
      <c r="R405" s="32" t="n"/>
      <c r="S405" s="32" t="n">
        <v>0</v>
      </c>
      <c r="T405" s="32" t="n">
        <v>0</v>
      </c>
      <c r="U405" s="31" t="n">
        <v>0</v>
      </c>
      <c r="V405" s="32" t="n">
        <v>0</v>
      </c>
      <c r="W405" s="31" t="n">
        <v>0</v>
      </c>
      <c r="X405" s="31" t="n">
        <v>0</v>
      </c>
      <c r="Y405" s="3" t="n">
        <v>0</v>
      </c>
      <c r="Z405" s="3" t="n">
        <v>0</v>
      </c>
      <c r="AA405" s="32" t="n">
        <v>0</v>
      </c>
      <c r="AB405" s="3" t="n">
        <v>0</v>
      </c>
      <c r="AC405" s="32" t="n">
        <v>0</v>
      </c>
      <c r="AD405" s="3" t="n"/>
      <c r="AE405" s="31" t="n">
        <v>0</v>
      </c>
      <c r="AF405" s="2" t="n">
        <v>0</v>
      </c>
      <c r="AG405" s="2" t="n">
        <v>1</v>
      </c>
      <c r="AH405" s="4" t="n">
        <v>1</v>
      </c>
      <c r="AI405" s="33" t="n">
        <v>0</v>
      </c>
      <c r="AJ405" s="4" t="n">
        <v>0</v>
      </c>
      <c r="AK405" s="34" t="n"/>
      <c r="AL405" s="34" t="n">
        <v>0</v>
      </c>
      <c r="AM405" s="2" t="n">
        <v>0</v>
      </c>
    </row>
    <row r="406">
      <c r="A406">
        <f>HYPERLINK("https://www.walmart.com/ip/908798016", "908798016")</f>
        <v/>
      </c>
      <c r="B406">
        <f>HYPERLINK("https://app.optiwise.ai/catalog/itemdetails/995276", "Terra Bed Blankets, Bedspreads, Bed throws, Soft Cozy Reversible Fuzzy Blanket  50 W x 60 L, Latte")</f>
        <v/>
      </c>
      <c r="C406" t="n">
        <v>2</v>
      </c>
      <c r="D406" t="inlineStr">
        <is>
          <t>B78691_1636131_5C9BB2671E1E9004</t>
        </is>
      </c>
      <c r="E406" t="inlineStr">
        <is>
          <t>1TRK9000LT-JWCB</t>
        </is>
      </c>
      <c r="F406" t="n">
        <v>0</v>
      </c>
      <c r="G406" t="inlineStr">
        <is>
          <t>Bedding</t>
        </is>
      </c>
      <c r="H406" t="inlineStr">
        <is>
          <t>Throws</t>
        </is>
      </c>
      <c r="I406" t="inlineStr">
        <is>
          <t>NAPA</t>
        </is>
      </c>
      <c r="L406" s="29" t="n">
        <v>0</v>
      </c>
      <c r="M406" s="30" t="n"/>
      <c r="N406" s="29" t="n">
        <v>0</v>
      </c>
      <c r="O406" s="29" t="n">
        <v>0</v>
      </c>
      <c r="P406" s="2" t="n">
        <v>0</v>
      </c>
      <c r="Q406" s="31" t="n">
        <v>0</v>
      </c>
      <c r="R406" s="32" t="n"/>
      <c r="S406" s="32" t="n">
        <v>0</v>
      </c>
      <c r="T406" s="32" t="n">
        <v>0</v>
      </c>
      <c r="U406" s="31" t="n">
        <v>0</v>
      </c>
      <c r="V406" s="32" t="n">
        <v>0</v>
      </c>
      <c r="W406" s="31" t="n">
        <v>0</v>
      </c>
      <c r="X406" s="31" t="n">
        <v>0</v>
      </c>
      <c r="Y406" s="3" t="n">
        <v>0</v>
      </c>
      <c r="Z406" s="3" t="n">
        <v>0</v>
      </c>
      <c r="AA406" s="32" t="n">
        <v>0</v>
      </c>
      <c r="AB406" s="3" t="n">
        <v>0</v>
      </c>
      <c r="AC406" s="32" t="n">
        <v>0</v>
      </c>
      <c r="AD406" s="3" t="n"/>
      <c r="AE406" s="31" t="n">
        <v>0</v>
      </c>
      <c r="AF406" s="2" t="n">
        <v>0</v>
      </c>
      <c r="AG406" s="2" t="n">
        <v>3</v>
      </c>
      <c r="AH406" s="4" t="n">
        <v>3</v>
      </c>
      <c r="AI406" s="33" t="n">
        <v>0</v>
      </c>
      <c r="AJ406" s="4" t="n">
        <v>0</v>
      </c>
      <c r="AK406" s="34" t="n"/>
      <c r="AL406" s="34" t="n">
        <v>0</v>
      </c>
      <c r="AM406" s="2" t="n">
        <v>0</v>
      </c>
    </row>
    <row r="407">
      <c r="A407">
        <f>HYPERLINK("https://www.walmart.com/ip/924974660", "924974660")</f>
        <v/>
      </c>
      <c r="B407">
        <f>HYPERLINK("https://app.optiwise.ai/catalog/itemdetails/995279", "Napa Women Bathrobe Kimono Waffle, Lightweight Luxurious Knee Length Long Sleeved, Gray")</f>
        <v/>
      </c>
      <c r="C407" t="n">
        <v>1</v>
      </c>
      <c r="D407" t="inlineStr">
        <is>
          <t>B78691_1568141</t>
        </is>
      </c>
      <c r="E407" t="inlineStr">
        <is>
          <t>R5030GY-01</t>
        </is>
      </c>
      <c r="F407" t="n">
        <v>0</v>
      </c>
      <c r="G407" t="inlineStr">
        <is>
          <t>Clothing</t>
        </is>
      </c>
      <c r="H407" t="inlineStr">
        <is>
          <t>Sleepwear Robes &amp; Bathrobes</t>
        </is>
      </c>
      <c r="I407" t="inlineStr">
        <is>
          <t>NAPA</t>
        </is>
      </c>
      <c r="L407" s="29" t="n">
        <v>0</v>
      </c>
      <c r="M407" s="30" t="n"/>
      <c r="N407" s="29" t="n">
        <v>0</v>
      </c>
      <c r="O407" s="29" t="n">
        <v>0</v>
      </c>
      <c r="P407" s="2" t="n">
        <v>0</v>
      </c>
      <c r="Q407" s="31" t="n">
        <v>0</v>
      </c>
      <c r="R407" s="32" t="n"/>
      <c r="S407" s="32" t="n">
        <v>0</v>
      </c>
      <c r="T407" s="32" t="n">
        <v>0</v>
      </c>
      <c r="U407" s="31" t="n">
        <v>0</v>
      </c>
      <c r="V407" s="32" t="n">
        <v>0</v>
      </c>
      <c r="W407" s="31" t="n">
        <v>0</v>
      </c>
      <c r="X407" s="31" t="n">
        <v>0</v>
      </c>
      <c r="Y407" s="3" t="n">
        <v>0</v>
      </c>
      <c r="Z407" s="3" t="n">
        <v>0</v>
      </c>
      <c r="AA407" s="32" t="n">
        <v>0</v>
      </c>
      <c r="AB407" s="3" t="n">
        <v>0</v>
      </c>
      <c r="AC407" s="32" t="n">
        <v>0</v>
      </c>
      <c r="AD407" s="3" t="n"/>
      <c r="AE407" s="31" t="n">
        <v>0</v>
      </c>
      <c r="AF407" s="2" t="n">
        <v>0</v>
      </c>
      <c r="AG407" s="2" t="n">
        <v>0</v>
      </c>
      <c r="AH407" s="4" t="n">
        <v>0</v>
      </c>
      <c r="AI407" s="33" t="n">
        <v>0</v>
      </c>
      <c r="AJ407" s="4" t="n">
        <v>0</v>
      </c>
      <c r="AK407" s="34" t="n"/>
      <c r="AL407" s="34" t="n">
        <v>0</v>
      </c>
      <c r="AM407" s="2" t="n">
        <v>0</v>
      </c>
    </row>
    <row r="408">
      <c r="A408">
        <f>HYPERLINK("https://www.walmart.com/ip/127975599", "127975599")</f>
        <v/>
      </c>
      <c r="B408">
        <f>HYPERLINK("https://app.optiwise.ai/catalog/itemdetails/362682", "Flyingstar Unisex Sun Hat with Neck Flap, UV Protection Wide Brim Fishing Hat, Hunting Hat for Women and Men, Tan")</f>
        <v/>
      </c>
      <c r="C408" t="n">
        <v>6</v>
      </c>
      <c r="D408" t="inlineStr">
        <is>
          <t>B78691_1680030_2CED5CEB5C8A4506</t>
        </is>
      </c>
      <c r="E408" t="inlineStr">
        <is>
          <t>1WMSH910TN</t>
        </is>
      </c>
      <c r="F408" t="n">
        <v>0</v>
      </c>
      <c r="G408" t="inlineStr">
        <is>
          <t>Clothing</t>
        </is>
      </c>
      <c r="H408" t="inlineStr">
        <is>
          <t>Hats</t>
        </is>
      </c>
      <c r="I408" t="inlineStr">
        <is>
          <t>Tirrinia</t>
        </is>
      </c>
      <c r="K408" t="inlineStr">
        <is>
          <t>Optimized</t>
        </is>
      </c>
      <c r="L408" s="29" t="n">
        <v>0</v>
      </c>
      <c r="M408" s="30" t="n"/>
      <c r="N408" s="29" t="n">
        <v>0</v>
      </c>
      <c r="O408" s="29" t="n">
        <v>0</v>
      </c>
      <c r="P408" s="2" t="n">
        <v>0</v>
      </c>
      <c r="Q408" s="31" t="n">
        <v>0</v>
      </c>
      <c r="R408" s="32" t="n"/>
      <c r="S408" s="32" t="n">
        <v>0</v>
      </c>
      <c r="T408" s="32" t="n">
        <v>0</v>
      </c>
      <c r="U408" s="31" t="n">
        <v>0</v>
      </c>
      <c r="V408" s="32" t="n">
        <v>0</v>
      </c>
      <c r="W408" s="31" t="n">
        <v>0</v>
      </c>
      <c r="X408" s="31" t="n">
        <v>0</v>
      </c>
      <c r="Y408" s="3" t="n">
        <v>0</v>
      </c>
      <c r="Z408" s="3" t="n">
        <v>0</v>
      </c>
      <c r="AA408" s="32" t="n">
        <v>0</v>
      </c>
      <c r="AB408" s="3" t="n">
        <v>0</v>
      </c>
      <c r="AC408" s="32" t="n">
        <v>0</v>
      </c>
      <c r="AD408" s="3" t="n"/>
      <c r="AE408" s="31" t="n">
        <v>0</v>
      </c>
      <c r="AF408" s="2" t="n">
        <v>0</v>
      </c>
      <c r="AG408" s="2" t="n">
        <v>32</v>
      </c>
      <c r="AH408" s="4" t="n">
        <v>32</v>
      </c>
      <c r="AI408" s="33" t="n">
        <v>0</v>
      </c>
      <c r="AJ408" s="4" t="n">
        <v>0</v>
      </c>
      <c r="AK408" s="34" t="n"/>
      <c r="AL408" s="34" t="n">
        <v>0</v>
      </c>
      <c r="AM408" s="2" t="n">
        <v>0</v>
      </c>
    </row>
    <row r="409">
      <c r="A409">
        <f>HYPERLINK("https://www.walmart.com/ip/1891267767", "1891267767")</f>
        <v/>
      </c>
      <c r="B409">
        <f>HYPERLINK("https://app.optiwise.ai/catalog/itemdetails/787774", "Bucket Summer Mens Sun Hat Water Repel Mesh Net Light Weight UV Protection Outdoor Cap by Solaris")</f>
        <v/>
      </c>
      <c r="C409" t="n">
        <v>4</v>
      </c>
      <c r="D409" t="inlineStr">
        <is>
          <t>B78691_1681492_3768A838A9A9FBE4</t>
        </is>
      </c>
      <c r="E409" t="inlineStr">
        <is>
          <t>1SLSH191TN-12pcs</t>
        </is>
      </c>
      <c r="F409" t="n">
        <v>0</v>
      </c>
      <c r="G409" t="inlineStr">
        <is>
          <t>Clothing</t>
        </is>
      </c>
      <c r="H409" t="inlineStr">
        <is>
          <t>Hats</t>
        </is>
      </c>
      <c r="I409" t="inlineStr">
        <is>
          <t>Solaris</t>
        </is>
      </c>
      <c r="K409" t="inlineStr">
        <is>
          <t>Batch 1 - TR</t>
        </is>
      </c>
      <c r="L409" s="29" t="n">
        <v>0</v>
      </c>
      <c r="M409" s="30" t="n"/>
      <c r="N409" s="29" t="n">
        <v>0</v>
      </c>
      <c r="O409" s="29" t="n">
        <v>0</v>
      </c>
      <c r="P409" s="2" t="n">
        <v>0</v>
      </c>
      <c r="Q409" s="31" t="n">
        <v>0</v>
      </c>
      <c r="R409" s="32" t="n"/>
      <c r="S409" s="32" t="n">
        <v>0</v>
      </c>
      <c r="T409" s="32" t="n">
        <v>0</v>
      </c>
      <c r="U409" s="31" t="n">
        <v>0</v>
      </c>
      <c r="V409" s="32" t="n">
        <v>0</v>
      </c>
      <c r="W409" s="31" t="n">
        <v>0</v>
      </c>
      <c r="X409" s="31" t="n">
        <v>0</v>
      </c>
      <c r="Y409" s="3" t="n">
        <v>0</v>
      </c>
      <c r="Z409" s="3" t="n">
        <v>0</v>
      </c>
      <c r="AA409" s="32" t="n">
        <v>0</v>
      </c>
      <c r="AB409" s="3" t="n">
        <v>0</v>
      </c>
      <c r="AC409" s="32" t="n">
        <v>0</v>
      </c>
      <c r="AD409" s="3" t="n"/>
      <c r="AE409" s="31" t="n">
        <v>0</v>
      </c>
      <c r="AF409" s="2" t="n">
        <v>0</v>
      </c>
      <c r="AG409" s="2" t="n">
        <v>4</v>
      </c>
      <c r="AH409" s="4" t="n">
        <v>4</v>
      </c>
      <c r="AI409" s="33" t="n">
        <v>0</v>
      </c>
      <c r="AJ409" s="4" t="n">
        <v>0</v>
      </c>
      <c r="AK409" s="34" t="n"/>
      <c r="AL409" s="34" t="n">
        <v>0</v>
      </c>
      <c r="AM409" s="2" t="n">
        <v>0</v>
      </c>
    </row>
    <row r="410">
      <c r="A410">
        <f>HYPERLINK("https://www.walmart.com/ip/1272875640", "1272875640")</f>
        <v/>
      </c>
      <c r="B410">
        <f>HYPERLINK("https://app.optiwise.ai/catalog/itemdetails/792754", "Tirrinia Neon Hunting Orange Safety Cap Closure")</f>
        <v/>
      </c>
      <c r="C410" t="n">
        <v>3</v>
      </c>
      <c r="D410" t="inlineStr">
        <is>
          <t>B78691_1667154_7BD7ACC6599C5042</t>
        </is>
      </c>
      <c r="E410" t="inlineStr">
        <is>
          <t>1TRHT7121BK-12pcs</t>
        </is>
      </c>
      <c r="F410" t="n">
        <v>0</v>
      </c>
      <c r="G410" t="inlineStr">
        <is>
          <t>Clothing</t>
        </is>
      </c>
      <c r="H410" t="inlineStr">
        <is>
          <t>Hats</t>
        </is>
      </c>
      <c r="I410" t="inlineStr">
        <is>
          <t>Tirrinia</t>
        </is>
      </c>
      <c r="K410" t="inlineStr">
        <is>
          <t>Batch 1 - TR</t>
        </is>
      </c>
      <c r="L410" s="29" t="n">
        <v>0</v>
      </c>
      <c r="M410" s="30" t="n"/>
      <c r="N410" s="29" t="n">
        <v>0</v>
      </c>
      <c r="O410" s="29" t="n">
        <v>0</v>
      </c>
      <c r="P410" s="2" t="n">
        <v>0</v>
      </c>
      <c r="Q410" s="31" t="n">
        <v>0</v>
      </c>
      <c r="R410" s="32" t="n"/>
      <c r="S410" s="32" t="n">
        <v>0</v>
      </c>
      <c r="T410" s="32" t="n">
        <v>0</v>
      </c>
      <c r="U410" s="31" t="n">
        <v>0</v>
      </c>
      <c r="V410" s="32" t="n">
        <v>0</v>
      </c>
      <c r="W410" s="31" t="n">
        <v>0</v>
      </c>
      <c r="X410" s="31" t="n">
        <v>0</v>
      </c>
      <c r="Y410" s="3" t="n">
        <v>0</v>
      </c>
      <c r="Z410" s="3" t="n">
        <v>0</v>
      </c>
      <c r="AA410" s="32" t="n">
        <v>0</v>
      </c>
      <c r="AB410" s="3" t="n">
        <v>0</v>
      </c>
      <c r="AC410" s="32" t="n">
        <v>0</v>
      </c>
      <c r="AD410" s="3" t="n"/>
      <c r="AE410" s="31" t="n">
        <v>0</v>
      </c>
      <c r="AF410" s="2" t="n">
        <v>0</v>
      </c>
      <c r="AG410" s="2" t="n">
        <v>12</v>
      </c>
      <c r="AH410" s="4" t="n">
        <v>12</v>
      </c>
      <c r="AI410" s="33" t="n">
        <v>0</v>
      </c>
      <c r="AJ410" s="4" t="n">
        <v>0</v>
      </c>
      <c r="AK410" s="34" t="n"/>
      <c r="AL410" s="34" t="n">
        <v>0</v>
      </c>
      <c r="AM410" s="2" t="n">
        <v>0</v>
      </c>
    </row>
    <row r="411">
      <c r="A411">
        <f>HYPERLINK("https://www.walmart.com/ip/1550368797", "1550368797")</f>
        <v/>
      </c>
      <c r="B411">
        <f>HYPERLINK("https://app.optiwise.ai/catalog/itemdetails/790619", "12 Pack Sun Blocker Women's Hawaiian Floral Sun Hat Outdoor Travel Bucket Cap, Hawaii Flower Print Green Pattern")</f>
        <v/>
      </c>
      <c r="C411" t="n">
        <v>6</v>
      </c>
      <c r="D411" t="inlineStr">
        <is>
          <t>B78691_1251846_C6A39CD8DB6A5ED6</t>
        </is>
      </c>
      <c r="E411" t="inlineStr">
        <is>
          <t>KC-S9200FLW-GR-12pcs</t>
        </is>
      </c>
      <c r="F411" t="n">
        <v>7</v>
      </c>
      <c r="G411" t="inlineStr">
        <is>
          <t>Clothing</t>
        </is>
      </c>
      <c r="H411" t="inlineStr">
        <is>
          <t>Hats</t>
        </is>
      </c>
      <c r="I411" t="inlineStr">
        <is>
          <t>Sun Blocker</t>
        </is>
      </c>
      <c r="J411" t="n">
        <v>5</v>
      </c>
      <c r="K411" t="inlineStr">
        <is>
          <t>Batch 1 - TR</t>
        </is>
      </c>
      <c r="L411" s="29" t="n">
        <v>0</v>
      </c>
      <c r="M411" s="30" t="n"/>
      <c r="N411" s="29" t="n">
        <v>0</v>
      </c>
      <c r="O411" s="29" t="n">
        <v>0</v>
      </c>
      <c r="P411" s="2" t="n">
        <v>0</v>
      </c>
      <c r="Q411" s="31" t="n">
        <v>0</v>
      </c>
      <c r="R411" s="32" t="n"/>
      <c r="S411" s="32" t="n">
        <v>0</v>
      </c>
      <c r="T411" s="32" t="n">
        <v>0</v>
      </c>
      <c r="U411" s="31" t="n">
        <v>0</v>
      </c>
      <c r="V411" s="32" t="n">
        <v>0</v>
      </c>
      <c r="W411" s="31" t="n">
        <v>0</v>
      </c>
      <c r="X411" s="31" t="n">
        <v>0</v>
      </c>
      <c r="Y411" s="3" t="n">
        <v>0</v>
      </c>
      <c r="Z411" s="3" t="n">
        <v>0</v>
      </c>
      <c r="AA411" s="32" t="n">
        <v>0</v>
      </c>
      <c r="AB411" s="3" t="n">
        <v>0</v>
      </c>
      <c r="AC411" s="32" t="n">
        <v>0</v>
      </c>
      <c r="AD411" s="3" t="n"/>
      <c r="AE411" s="31" t="n">
        <v>0</v>
      </c>
      <c r="AF411" s="2" t="n">
        <v>0</v>
      </c>
      <c r="AG411" s="2" t="n">
        <v>15</v>
      </c>
      <c r="AH411" s="4" t="n">
        <v>15</v>
      </c>
      <c r="AI411" s="33" t="n">
        <v>0</v>
      </c>
      <c r="AJ411" s="4" t="n">
        <v>0</v>
      </c>
      <c r="AK411" s="34" t="n"/>
      <c r="AL411" s="34" t="n">
        <v>0</v>
      </c>
      <c r="AM411" s="2" t="n">
        <v>0</v>
      </c>
    </row>
    <row r="412">
      <c r="A412">
        <f>HYPERLINK("https://www.walmart.com/ip/866476168", "866476168")</f>
        <v/>
      </c>
      <c r="B412">
        <f>HYPERLINK("https://app.optiwise.ai/catalog/itemdetails/360910", "Tirrinia Leggings for Women,Workout Yoga Leggings with High Waist, Tummy Control and 4-Way Stretch, Grey")</f>
        <v/>
      </c>
      <c r="C412" t="n">
        <v>3</v>
      </c>
      <c r="D412" t="inlineStr">
        <is>
          <t>B78691_1639457_91C45CEFBA811DFD</t>
        </is>
      </c>
      <c r="E412" t="inlineStr">
        <is>
          <t>1TRYP105GY-XXL</t>
        </is>
      </c>
      <c r="F412" t="n">
        <v>0</v>
      </c>
      <c r="G412" t="inlineStr">
        <is>
          <t>Clothing</t>
        </is>
      </c>
      <c r="H412" t="inlineStr">
        <is>
          <t>Leggings</t>
        </is>
      </c>
      <c r="I412" t="inlineStr">
        <is>
          <t>Tirrinia</t>
        </is>
      </c>
      <c r="K412" t="inlineStr">
        <is>
          <t>Optimized</t>
        </is>
      </c>
      <c r="L412" s="29" t="n">
        <v>0</v>
      </c>
      <c r="M412" s="30" t="n"/>
      <c r="N412" s="29" t="n">
        <v>7.980000019073486</v>
      </c>
      <c r="O412" s="29" t="n">
        <v>0</v>
      </c>
      <c r="P412" s="2" t="n">
        <v>0</v>
      </c>
      <c r="Q412" s="31" t="n">
        <v>0</v>
      </c>
      <c r="R412" s="32" t="n"/>
      <c r="S412" s="32" t="n">
        <v>0</v>
      </c>
      <c r="T412" s="32" t="n">
        <v>0</v>
      </c>
      <c r="U412" s="31" t="n">
        <v>0</v>
      </c>
      <c r="V412" s="32" t="n">
        <v>0</v>
      </c>
      <c r="W412" s="31" t="n">
        <v>0</v>
      </c>
      <c r="X412" s="31" t="n">
        <v>0</v>
      </c>
      <c r="Y412" s="3" t="n">
        <v>0</v>
      </c>
      <c r="Z412" s="3" t="n">
        <v>0</v>
      </c>
      <c r="AA412" s="32" t="n">
        <v>0</v>
      </c>
      <c r="AB412" s="3" t="n">
        <v>0</v>
      </c>
      <c r="AC412" s="32" t="n">
        <v>0</v>
      </c>
      <c r="AD412" s="3" t="n"/>
      <c r="AE412" s="31" t="n">
        <v>0</v>
      </c>
      <c r="AF412" s="2" t="n">
        <v>7</v>
      </c>
      <c r="AG412" s="2" t="n">
        <v>97</v>
      </c>
      <c r="AH412" s="4" t="n">
        <v>97</v>
      </c>
      <c r="AI412" s="33" t="n">
        <v>0</v>
      </c>
      <c r="AJ412" s="4" t="n">
        <v>0</v>
      </c>
      <c r="AK412" s="34" t="n"/>
      <c r="AL412" s="34" t="n">
        <v>0</v>
      </c>
      <c r="AM412" s="2" t="n">
        <v>0</v>
      </c>
    </row>
    <row r="413">
      <c r="A413">
        <f>HYPERLINK("https://www.walmart.com/ip/177853806", "177853806")</f>
        <v/>
      </c>
      <c r="B413">
        <f>HYPERLINK("https://app.optiwise.ai/catalog/itemdetails/362696", "Napa Super Soft Cozy Micro Plush Travel Air Conditioning TV Couch Throw Blanket 50x 60, Brown")</f>
        <v/>
      </c>
      <c r="C413" t="n">
        <v>1</v>
      </c>
      <c r="D413" t="inlineStr">
        <is>
          <t>B78691_974162_5C9BB2671E1E9004</t>
        </is>
      </c>
      <c r="E413" t="inlineStr">
        <is>
          <t>K2000-Brown</t>
        </is>
      </c>
      <c r="F413" t="n">
        <v>1</v>
      </c>
      <c r="G413" t="inlineStr">
        <is>
          <t>Bedding</t>
        </is>
      </c>
      <c r="H413" t="inlineStr">
        <is>
          <t>Throws</t>
        </is>
      </c>
      <c r="I413" t="inlineStr">
        <is>
          <t>NAPA</t>
        </is>
      </c>
      <c r="J413" t="n">
        <v>5</v>
      </c>
      <c r="K413" t="inlineStr">
        <is>
          <t>Batch 1 - TR</t>
        </is>
      </c>
      <c r="L413" s="29" t="n">
        <v>0</v>
      </c>
      <c r="M413" s="30" t="n"/>
      <c r="N413" s="29" t="n">
        <v>0</v>
      </c>
      <c r="O413" s="29" t="n">
        <v>0</v>
      </c>
      <c r="P413" s="2" t="n">
        <v>0</v>
      </c>
      <c r="Q413" s="31" t="n">
        <v>0</v>
      </c>
      <c r="R413" s="32" t="n"/>
      <c r="S413" s="32" t="n">
        <v>0</v>
      </c>
      <c r="T413" s="32" t="n">
        <v>0</v>
      </c>
      <c r="U413" s="31" t="n">
        <v>0</v>
      </c>
      <c r="V413" s="32" t="n">
        <v>0</v>
      </c>
      <c r="W413" s="31" t="n">
        <v>0</v>
      </c>
      <c r="X413" s="31" t="n">
        <v>0</v>
      </c>
      <c r="Y413" s="3" t="n">
        <v>0</v>
      </c>
      <c r="Z413" s="3" t="n">
        <v>0</v>
      </c>
      <c r="AA413" s="32" t="n">
        <v>0</v>
      </c>
      <c r="AB413" s="3" t="n">
        <v>0</v>
      </c>
      <c r="AC413" s="32" t="n">
        <v>0</v>
      </c>
      <c r="AD413" s="3" t="n"/>
      <c r="AE413" s="31" t="n">
        <v>0</v>
      </c>
      <c r="AF413" s="2" t="n">
        <v>0</v>
      </c>
      <c r="AG413" s="2" t="n">
        <v>0</v>
      </c>
      <c r="AH413" s="4" t="n">
        <v>0</v>
      </c>
      <c r="AI413" s="33" t="n">
        <v>0</v>
      </c>
      <c r="AJ413" s="4" t="n">
        <v>0</v>
      </c>
      <c r="AK413" s="34" t="n"/>
      <c r="AL413" s="34" t="n">
        <v>0</v>
      </c>
      <c r="AM413" s="2" t="n">
        <v>0</v>
      </c>
    </row>
    <row r="414">
      <c r="A414">
        <f>HYPERLINK("https://www.walmart.com/ip/917761016", "917761016")</f>
        <v/>
      </c>
      <c r="B414">
        <f>HYPERLINK("https://app.optiwise.ai/catalog/itemdetails/380741", "Catalonia Sherpa Throw Blanket, Fuzzy Snuggle Blanket for Camping Traveling Couch Bed, Super Soft, Light Weight, Reversible, All Season Use, 50x60 inches, Gray")</f>
        <v/>
      </c>
      <c r="C414" t="n">
        <v>3</v>
      </c>
      <c r="D414" t="inlineStr">
        <is>
          <t>B78691_1681379_63A9D0B9900CD088</t>
        </is>
      </c>
      <c r="E414" t="inlineStr">
        <is>
          <t>1CTBF579GY</t>
        </is>
      </c>
      <c r="F414" t="n">
        <v>17</v>
      </c>
      <c r="G414" t="inlineStr">
        <is>
          <t>Bedding</t>
        </is>
      </c>
      <c r="H414" t="inlineStr">
        <is>
          <t>Throws</t>
        </is>
      </c>
      <c r="I414" t="inlineStr">
        <is>
          <t>Catalonia</t>
        </is>
      </c>
      <c r="J414" t="n">
        <v>4.2</v>
      </c>
      <c r="K414" t="inlineStr">
        <is>
          <t>WFS,WFS Item</t>
        </is>
      </c>
      <c r="L414" s="29" t="n">
        <v>0</v>
      </c>
      <c r="M414" s="30" t="n"/>
      <c r="N414" s="29" t="n">
        <v>0</v>
      </c>
      <c r="O414" s="29" t="n">
        <v>0</v>
      </c>
      <c r="P414" s="2" t="n">
        <v>0</v>
      </c>
      <c r="Q414" s="31" t="n">
        <v>0</v>
      </c>
      <c r="R414" s="32" t="n"/>
      <c r="S414" s="32" t="n">
        <v>0</v>
      </c>
      <c r="T414" s="32" t="n">
        <v>0</v>
      </c>
      <c r="U414" s="31" t="n">
        <v>0</v>
      </c>
      <c r="V414" s="32" t="n">
        <v>0</v>
      </c>
      <c r="W414" s="31" t="n">
        <v>0</v>
      </c>
      <c r="X414" s="31" t="n">
        <v>0</v>
      </c>
      <c r="Y414" s="3" t="n">
        <v>0</v>
      </c>
      <c r="Z414" s="3" t="n">
        <v>0</v>
      </c>
      <c r="AA414" s="32" t="n">
        <v>0</v>
      </c>
      <c r="AB414" s="3" t="n">
        <v>0</v>
      </c>
      <c r="AC414" s="32" t="n">
        <v>0</v>
      </c>
      <c r="AD414" s="3" t="n"/>
      <c r="AE414" s="31" t="n">
        <v>0</v>
      </c>
      <c r="AF414" s="2" t="n">
        <v>0</v>
      </c>
      <c r="AG414" s="2" t="n">
        <v>277</v>
      </c>
      <c r="AH414" s="4" t="n">
        <v>277</v>
      </c>
      <c r="AI414" s="33" t="n">
        <v>0</v>
      </c>
      <c r="AJ414" s="4" t="n">
        <v>0</v>
      </c>
      <c r="AK414" s="34" t="n"/>
      <c r="AL414" s="34" t="n">
        <v>0</v>
      </c>
      <c r="AM414" s="2" t="n">
        <v>0</v>
      </c>
    </row>
    <row r="415">
      <c r="A415">
        <f>HYPERLINK("https://www.walmart.com/ip/533440148", "533440148")</f>
        <v/>
      </c>
      <c r="B415">
        <f>HYPERLINK("https://app.optiwise.ai/catalog/itemdetails/380709", "Catalonia Fleece Throw Blanket for Couch, Lightweight All Seasons Soft Cozy Moroccan Blanket for Home Living Room Decorative, 50'' x 60'', Black")</f>
        <v/>
      </c>
      <c r="C415" t="n">
        <v>5</v>
      </c>
      <c r="D415" t="inlineStr">
        <is>
          <t>B78691_1681320_CB6EB2FCBE83EACA</t>
        </is>
      </c>
      <c r="E415" t="inlineStr">
        <is>
          <t>1CTBF580LTSBK</t>
        </is>
      </c>
      <c r="F415" t="n">
        <v>13</v>
      </c>
      <c r="G415" t="inlineStr">
        <is>
          <t>Bedding</t>
        </is>
      </c>
      <c r="H415" t="inlineStr">
        <is>
          <t>Throws</t>
        </is>
      </c>
      <c r="I415" t="inlineStr">
        <is>
          <t>Catalonia</t>
        </is>
      </c>
      <c r="J415" t="n">
        <v>5</v>
      </c>
      <c r="K415" t="inlineStr">
        <is>
          <t>WFS,WFS Item</t>
        </is>
      </c>
      <c r="L415" s="29" t="n">
        <v>0</v>
      </c>
      <c r="M415" s="30" t="n"/>
      <c r="N415" s="29" t="n">
        <v>0</v>
      </c>
      <c r="O415" s="29" t="n">
        <v>0</v>
      </c>
      <c r="P415" s="2" t="n">
        <v>0</v>
      </c>
      <c r="Q415" s="31" t="n">
        <v>0</v>
      </c>
      <c r="R415" s="32" t="n"/>
      <c r="S415" s="32" t="n">
        <v>0</v>
      </c>
      <c r="T415" s="32" t="n">
        <v>0</v>
      </c>
      <c r="U415" s="31" t="n">
        <v>0</v>
      </c>
      <c r="V415" s="32" t="n">
        <v>0</v>
      </c>
      <c r="W415" s="31" t="n">
        <v>0</v>
      </c>
      <c r="X415" s="31" t="n">
        <v>0</v>
      </c>
      <c r="Y415" s="3" t="n">
        <v>0</v>
      </c>
      <c r="Z415" s="3" t="n">
        <v>0</v>
      </c>
      <c r="AA415" s="32" t="n">
        <v>0</v>
      </c>
      <c r="AB415" s="3" t="n">
        <v>0</v>
      </c>
      <c r="AC415" s="32" t="n">
        <v>0</v>
      </c>
      <c r="AD415" s="3" t="n"/>
      <c r="AE415" s="31" t="n">
        <v>0</v>
      </c>
      <c r="AF415" s="2" t="n">
        <v>0</v>
      </c>
      <c r="AG415" s="2" t="n">
        <v>415</v>
      </c>
      <c r="AH415" s="4" t="n">
        <v>415</v>
      </c>
      <c r="AI415" s="33" t="n">
        <v>0</v>
      </c>
      <c r="AJ415" s="4" t="n">
        <v>0</v>
      </c>
      <c r="AK415" s="34" t="n"/>
      <c r="AL415" s="34" t="n">
        <v>0</v>
      </c>
      <c r="AM415" s="2" t="n">
        <v>0</v>
      </c>
    </row>
    <row r="416">
      <c r="A416">
        <f>HYPERLINK("https://www.walmart.com/ip/380829482", "380829482")</f>
        <v/>
      </c>
      <c r="B416">
        <f>HYPERLINK("https://app.optiwise.ai/catalog/itemdetails/360965", "7 Piece Wine Opener set, Wine Enthusiast Accessory Gift Set Includes: Rabbit Corkscrew, Foil Cutter, Aerator Pourer")</f>
        <v/>
      </c>
      <c r="C416" t="n">
        <v>2</v>
      </c>
      <c r="D416" t="inlineStr">
        <is>
          <t>B78691_1680079_5C9BB2671E1E9004</t>
        </is>
      </c>
      <c r="E416" t="inlineStr">
        <is>
          <t>1KTWO700BK2</t>
        </is>
      </c>
      <c r="F416" t="n">
        <v>0</v>
      </c>
      <c r="G416" t="inlineStr">
        <is>
          <t>Home Decor, Kitchen, &amp; Other</t>
        </is>
      </c>
      <c r="H416" t="inlineStr">
        <is>
          <t>Corkscrews &amp; Wine Bottle Openers</t>
        </is>
      </c>
      <c r="I416" t="inlineStr">
        <is>
          <t>Kato</t>
        </is>
      </c>
      <c r="K416" t="inlineStr">
        <is>
          <t>Wine,Christmas,Optimized,Valentine</t>
        </is>
      </c>
      <c r="L416" s="29" t="n">
        <v>0</v>
      </c>
      <c r="M416" s="30" t="n"/>
      <c r="N416" s="29" t="n">
        <v>0</v>
      </c>
      <c r="O416" s="29" t="n">
        <v>0</v>
      </c>
      <c r="P416" s="2" t="n">
        <v>0</v>
      </c>
      <c r="Q416" s="31" t="n">
        <v>0</v>
      </c>
      <c r="R416" s="32" t="n"/>
      <c r="S416" s="32" t="n">
        <v>0</v>
      </c>
      <c r="T416" s="32" t="n">
        <v>0</v>
      </c>
      <c r="U416" s="31" t="n">
        <v>0</v>
      </c>
      <c r="V416" s="32" t="n">
        <v>0</v>
      </c>
      <c r="W416" s="31" t="n">
        <v>0</v>
      </c>
      <c r="X416" s="31" t="n">
        <v>0</v>
      </c>
      <c r="Y416" s="3" t="n">
        <v>0</v>
      </c>
      <c r="Z416" s="3" t="n">
        <v>0</v>
      </c>
      <c r="AA416" s="32" t="n">
        <v>0</v>
      </c>
      <c r="AB416" s="3" t="n">
        <v>0</v>
      </c>
      <c r="AC416" s="32" t="n">
        <v>0</v>
      </c>
      <c r="AD416" s="3" t="n"/>
      <c r="AE416" s="31" t="n">
        <v>0</v>
      </c>
      <c r="AF416" s="2" t="n">
        <v>0</v>
      </c>
      <c r="AG416" s="2" t="n">
        <v>0</v>
      </c>
      <c r="AH416" s="4" t="n">
        <v>0</v>
      </c>
      <c r="AI416" s="33" t="n">
        <v>0</v>
      </c>
      <c r="AJ416" s="4" t="n">
        <v>0</v>
      </c>
      <c r="AK416" s="34" t="n"/>
      <c r="AL416" s="34" t="n">
        <v>0</v>
      </c>
      <c r="AM416" s="2" t="n">
        <v>0</v>
      </c>
    </row>
    <row r="417">
      <c r="A417">
        <f>HYPERLINK("https://www.walmart.com/ip/981578506", "981578506")</f>
        <v/>
      </c>
      <c r="B417">
        <f>HYPERLINK("https://app.optiwise.ai/catalog/itemdetails/409175", "Tirrinia Travel Padded Insulated 3 Bottle Wine Bag, Black Stripe")</f>
        <v/>
      </c>
      <c r="C417" t="n">
        <v>4</v>
      </c>
      <c r="D417" t="inlineStr">
        <is>
          <t>B78691_1681795_260103E771C0898C</t>
        </is>
      </c>
      <c r="E417" t="inlineStr">
        <is>
          <t>1TRWB310BKSTR</t>
        </is>
      </c>
      <c r="F417" t="n">
        <v>7</v>
      </c>
      <c r="G417" t="inlineStr">
        <is>
          <t>Home Decor, Kitchen, &amp; Other</t>
        </is>
      </c>
      <c r="H417" t="inlineStr">
        <is>
          <t>Wine Totes, Bags &amp; Backpacks</t>
        </is>
      </c>
      <c r="I417" t="inlineStr">
        <is>
          <t>Tirrinia</t>
        </is>
      </c>
      <c r="J417" t="n">
        <v>5</v>
      </c>
      <c r="K417" t="inlineStr">
        <is>
          <t>Wine,Christmas,Optimized,Valentine,SEM</t>
        </is>
      </c>
      <c r="L417" s="29" t="n">
        <v>0</v>
      </c>
      <c r="M417" s="30" t="n"/>
      <c r="N417" s="29" t="n">
        <v>0</v>
      </c>
      <c r="O417" s="29" t="n">
        <v>0</v>
      </c>
      <c r="P417" s="2" t="n">
        <v>0</v>
      </c>
      <c r="Q417" s="31" t="n">
        <v>6.05</v>
      </c>
      <c r="R417" s="32" t="n">
        <v>0.0007</v>
      </c>
      <c r="S417" s="32" t="n">
        <v>0</v>
      </c>
      <c r="T417" s="32" t="n">
        <v>0.1199</v>
      </c>
      <c r="U417" s="31" t="n">
        <v>0</v>
      </c>
      <c r="V417" s="32" t="n">
        <v>0</v>
      </c>
      <c r="W417" s="31" t="n">
        <v>0</v>
      </c>
      <c r="X417" s="31" t="n">
        <v>0</v>
      </c>
      <c r="Y417" s="3" t="n">
        <v>6762</v>
      </c>
      <c r="Z417" s="3" t="n">
        <v>20</v>
      </c>
      <c r="AA417" s="32" t="n">
        <v>0.003</v>
      </c>
      <c r="AB417" s="3" t="n">
        <v>0</v>
      </c>
      <c r="AC417" s="32" t="n">
        <v>0</v>
      </c>
      <c r="AD417" s="3" t="inlineStr">
        <is>
          <t>,Auto Campaign_Vinay</t>
        </is>
      </c>
      <c r="AE417" s="31" t="n">
        <v>0.3</v>
      </c>
      <c r="AF417" s="2" t="n">
        <v>0</v>
      </c>
      <c r="AG417" s="2" t="n">
        <v>99</v>
      </c>
      <c r="AH417" s="4" t="n">
        <v>79</v>
      </c>
      <c r="AI417" s="33" t="n">
        <v>0</v>
      </c>
      <c r="AJ417" s="4" t="n">
        <v>0</v>
      </c>
      <c r="AK417" s="34" t="n"/>
      <c r="AL417" s="34" t="n">
        <v>0</v>
      </c>
      <c r="AM417" s="2" t="n">
        <v>0</v>
      </c>
    </row>
    <row r="418">
      <c r="A418">
        <f>HYPERLINK("https://www.walmart.com/ip/609433845", "609433845")</f>
        <v/>
      </c>
      <c r="B418">
        <f>HYPERLINK("https://app.optiwise.ai/catalog/itemdetails/380749", "Tirrinia Portable Travel Blanket Airplane Office 4 in 1 Premium Mink Fleece Poncho Blanket Folable with Pocket and Built-in Bag-Great for Airplane Car Train Travel Camping, 60x40, Light Grey")</f>
        <v/>
      </c>
      <c r="C418" t="n">
        <v>1</v>
      </c>
      <c r="D418" t="inlineStr">
        <is>
          <t>B78691_1670884_130FE1B7540EFC55</t>
        </is>
      </c>
      <c r="E418" t="inlineStr">
        <is>
          <t>1TRTB100LG</t>
        </is>
      </c>
      <c r="F418" t="n">
        <v>16</v>
      </c>
      <c r="G418" t="inlineStr">
        <is>
          <t>Home Decor, Kitchen, &amp; Other</t>
        </is>
      </c>
      <c r="H418" t="inlineStr">
        <is>
          <t>Throws</t>
        </is>
      </c>
      <c r="I418" t="inlineStr">
        <is>
          <t>Tirrinia</t>
        </is>
      </c>
      <c r="J418" t="n">
        <v>4.4</v>
      </c>
      <c r="K418" t="inlineStr">
        <is>
          <t>WFS,SEM,WFS Item</t>
        </is>
      </c>
      <c r="L418" s="29" t="n">
        <v>0</v>
      </c>
      <c r="M418" s="30" t="n"/>
      <c r="N418" s="29" t="n">
        <v>0</v>
      </c>
      <c r="O418" s="29" t="n">
        <v>0</v>
      </c>
      <c r="P418" s="2" t="n">
        <v>0</v>
      </c>
      <c r="Q418" s="31" t="n">
        <v>0</v>
      </c>
      <c r="R418" s="32" t="n"/>
      <c r="S418" s="32" t="n">
        <v>0</v>
      </c>
      <c r="T418" s="32" t="n">
        <v>0</v>
      </c>
      <c r="U418" s="31" t="n">
        <v>0</v>
      </c>
      <c r="V418" s="32" t="n">
        <v>0</v>
      </c>
      <c r="W418" s="31" t="n">
        <v>0</v>
      </c>
      <c r="X418" s="31" t="n">
        <v>0</v>
      </c>
      <c r="Y418" s="3" t="n">
        <v>0</v>
      </c>
      <c r="Z418" s="3" t="n">
        <v>0</v>
      </c>
      <c r="AA418" s="32" t="n">
        <v>0</v>
      </c>
      <c r="AB418" s="3" t="n">
        <v>0</v>
      </c>
      <c r="AC418" s="32" t="n">
        <v>0</v>
      </c>
      <c r="AD418" s="3" t="n"/>
      <c r="AE418" s="31" t="n">
        <v>0</v>
      </c>
      <c r="AF418" s="2" t="n">
        <v>0</v>
      </c>
      <c r="AG418" s="2" t="n">
        <v>0</v>
      </c>
      <c r="AH418" s="4" t="n">
        <v>0</v>
      </c>
      <c r="AI418" s="33" t="n">
        <v>0</v>
      </c>
      <c r="AJ418" s="4" t="n">
        <v>0</v>
      </c>
      <c r="AK418" s="34" t="n"/>
      <c r="AL418" s="34" t="n">
        <v>0</v>
      </c>
      <c r="AM418" s="2" t="n">
        <v>0</v>
      </c>
    </row>
    <row r="419">
      <c r="A419">
        <f>HYPERLINK("https://www.walmart.com/ip/179405705", "179405705")</f>
        <v/>
      </c>
      <c r="B419">
        <f>HYPERLINK("https://app.optiwise.ai/catalog/itemdetails/360960", "Fashion Light Up LED Luminous Sequin Neck Ties Changeable Colors Necktie Led Fiber Tie Flashing Tie For Male/Female")</f>
        <v/>
      </c>
      <c r="C419" t="n">
        <v>3</v>
      </c>
      <c r="D419" t="inlineStr">
        <is>
          <t>B78691_1127500_F44B518810FEBBE0</t>
        </is>
      </c>
      <c r="E419" t="inlineStr">
        <is>
          <t>LEDTIE01- PK</t>
        </is>
      </c>
      <c r="F419" t="n">
        <v>0</v>
      </c>
      <c r="G419" t="inlineStr">
        <is>
          <t>Decorations &amp; Favors</t>
        </is>
      </c>
      <c r="H419" t="inlineStr">
        <is>
          <t>Neckties</t>
        </is>
      </c>
      <c r="I419" t="inlineStr">
        <is>
          <t>JenniWears</t>
        </is>
      </c>
      <c r="K419" t="inlineStr">
        <is>
          <t>Batch 1 - TR</t>
        </is>
      </c>
      <c r="L419" s="29" t="n">
        <v>0</v>
      </c>
      <c r="M419" s="30" t="n"/>
      <c r="N419" s="29" t="n">
        <v>0</v>
      </c>
      <c r="O419" s="29" t="n">
        <v>0</v>
      </c>
      <c r="P419" s="2" t="n">
        <v>0</v>
      </c>
      <c r="Q419" s="31" t="n">
        <v>0</v>
      </c>
      <c r="R419" s="32" t="n"/>
      <c r="S419" s="32" t="n">
        <v>0</v>
      </c>
      <c r="T419" s="32" t="n">
        <v>0</v>
      </c>
      <c r="U419" s="31" t="n">
        <v>0</v>
      </c>
      <c r="V419" s="32" t="n">
        <v>0</v>
      </c>
      <c r="W419" s="31" t="n">
        <v>0</v>
      </c>
      <c r="X419" s="31" t="n">
        <v>0</v>
      </c>
      <c r="Y419" s="3" t="n">
        <v>0</v>
      </c>
      <c r="Z419" s="3" t="n">
        <v>0</v>
      </c>
      <c r="AA419" s="32" t="n">
        <v>0</v>
      </c>
      <c r="AB419" s="3" t="n">
        <v>0</v>
      </c>
      <c r="AC419" s="32" t="n">
        <v>0</v>
      </c>
      <c r="AD419" s="3" t="n"/>
      <c r="AE419" s="31" t="n">
        <v>0</v>
      </c>
      <c r="AF419" s="2" t="n">
        <v>0</v>
      </c>
      <c r="AG419" s="2" t="n">
        <v>9</v>
      </c>
      <c r="AH419" s="4" t="n">
        <v>9</v>
      </c>
      <c r="AI419" s="33" t="n">
        <v>0</v>
      </c>
      <c r="AJ419" s="4" t="n">
        <v>0</v>
      </c>
      <c r="AK419" s="34" t="n"/>
      <c r="AL419" s="34" t="n">
        <v>0</v>
      </c>
      <c r="AM419" s="2" t="n">
        <v>0</v>
      </c>
    </row>
    <row r="420">
      <c r="A420">
        <f>HYPERLINK("https://www.walmart.com/ip/803240576", "803240576")</f>
        <v/>
      </c>
      <c r="B420">
        <f>HYPERLINK("https://app.optiwise.ai/catalog/itemdetails/409180", "Tirrinia Fashionable Insulated Lunch Tote Bag with Leather Handle for Women, Black Dot")</f>
        <v/>
      </c>
      <c r="C420" t="n">
        <v>1</v>
      </c>
      <c r="D420" t="inlineStr">
        <is>
          <t>B78691_1679359_1A8BDF44CC3F64D2</t>
        </is>
      </c>
      <c r="E420" t="inlineStr">
        <is>
          <t>1TRLB703BKDOT</t>
        </is>
      </c>
      <c r="F420" t="n">
        <v>9</v>
      </c>
      <c r="G420" t="inlineStr">
        <is>
          <t>Home Decor, Kitchen, &amp; Other</t>
        </is>
      </c>
      <c r="H420" t="inlineStr">
        <is>
          <t>Reusable Lunch Bags &amp; Boxes</t>
        </is>
      </c>
      <c r="I420" t="inlineStr">
        <is>
          <t>Tirrinia</t>
        </is>
      </c>
      <c r="J420" t="n">
        <v>3.9</v>
      </c>
      <c r="L420" s="29" t="n">
        <v>0</v>
      </c>
      <c r="M420" s="30" t="n"/>
      <c r="N420" s="29" t="n">
        <v>0</v>
      </c>
      <c r="O420" s="29" t="n">
        <v>0</v>
      </c>
      <c r="P420" s="2" t="n">
        <v>0</v>
      </c>
      <c r="Q420" s="31" t="n">
        <v>0</v>
      </c>
      <c r="R420" s="32" t="n"/>
      <c r="S420" s="32" t="n">
        <v>0</v>
      </c>
      <c r="T420" s="32" t="n">
        <v>0</v>
      </c>
      <c r="U420" s="31" t="n">
        <v>0</v>
      </c>
      <c r="V420" s="32" t="n">
        <v>0</v>
      </c>
      <c r="W420" s="31" t="n">
        <v>0</v>
      </c>
      <c r="X420" s="31" t="n">
        <v>0</v>
      </c>
      <c r="Y420" s="3" t="n">
        <v>0</v>
      </c>
      <c r="Z420" s="3" t="n">
        <v>0</v>
      </c>
      <c r="AA420" s="32" t="n">
        <v>0</v>
      </c>
      <c r="AB420" s="3" t="n">
        <v>0</v>
      </c>
      <c r="AC420" s="32" t="n">
        <v>0</v>
      </c>
      <c r="AD420" s="3" t="n"/>
      <c r="AE420" s="31" t="n">
        <v>0</v>
      </c>
      <c r="AF420" s="2" t="n">
        <v>144</v>
      </c>
      <c r="AG420" s="2" t="n">
        <v>117</v>
      </c>
      <c r="AH420" s="4" t="n">
        <v>117</v>
      </c>
      <c r="AI420" s="33" t="n">
        <v>0</v>
      </c>
      <c r="AJ420" s="4" t="n">
        <v>0</v>
      </c>
      <c r="AK420" s="34" t="n"/>
      <c r="AL420" s="34" t="n">
        <v>0</v>
      </c>
      <c r="AM420" s="2" t="n">
        <v>0</v>
      </c>
    </row>
    <row r="421">
      <c r="A421">
        <f>HYPERLINK("https://www.walmart.com/ip/760775698", "760775698")</f>
        <v/>
      </c>
      <c r="B421">
        <f>HYPERLINK("https://app.optiwise.ai/catalog/itemdetails/412484", "Solaris Men Winter Ski Snow Gloves with Breathable Face Mask The Warmest 3M Insulation Waterproof Outdoor Snowboard Mitt")</f>
        <v/>
      </c>
      <c r="C421" t="n">
        <v>1</v>
      </c>
      <c r="D421" t="inlineStr">
        <is>
          <t>B78691_1679322</t>
        </is>
      </c>
      <c r="E421" t="inlineStr">
        <is>
          <t>1SLWG300PKXL-FSGM</t>
        </is>
      </c>
      <c r="F421" t="n">
        <v>0</v>
      </c>
      <c r="G421" t="inlineStr">
        <is>
          <t>Clothing</t>
        </is>
      </c>
      <c r="H421" t="inlineStr">
        <is>
          <t>Gloves &amp; Mittens</t>
        </is>
      </c>
      <c r="I421" t="inlineStr">
        <is>
          <t>Solaris</t>
        </is>
      </c>
      <c r="K421" t="inlineStr">
        <is>
          <t>Optimized,Gloves</t>
        </is>
      </c>
      <c r="L421" s="29" t="n">
        <v>0</v>
      </c>
      <c r="M421" s="30" t="n"/>
      <c r="N421" s="29" t="n">
        <v>0</v>
      </c>
      <c r="O421" s="29" t="n">
        <v>0</v>
      </c>
      <c r="P421" s="2" t="n">
        <v>0</v>
      </c>
      <c r="Q421" s="31" t="n">
        <v>0</v>
      </c>
      <c r="R421" s="32" t="n"/>
      <c r="S421" s="32" t="n">
        <v>0</v>
      </c>
      <c r="T421" s="32" t="n">
        <v>0</v>
      </c>
      <c r="U421" s="31" t="n">
        <v>0</v>
      </c>
      <c r="V421" s="32" t="n">
        <v>0</v>
      </c>
      <c r="W421" s="31" t="n">
        <v>0</v>
      </c>
      <c r="X421" s="31" t="n">
        <v>0</v>
      </c>
      <c r="Y421" s="3" t="n">
        <v>0</v>
      </c>
      <c r="Z421" s="3" t="n">
        <v>0</v>
      </c>
      <c r="AA421" s="32" t="n">
        <v>0</v>
      </c>
      <c r="AB421" s="3" t="n">
        <v>0</v>
      </c>
      <c r="AC421" s="32" t="n">
        <v>0</v>
      </c>
      <c r="AD421" s="3" t="n"/>
      <c r="AE421" s="31" t="n">
        <v>0</v>
      </c>
      <c r="AF421" s="2" t="n">
        <v>0</v>
      </c>
      <c r="AG421" s="2" t="n">
        <v>3</v>
      </c>
      <c r="AH421" s="4" t="n">
        <v>3</v>
      </c>
      <c r="AI421" s="33" t="n">
        <v>0</v>
      </c>
      <c r="AJ421" s="4" t="n">
        <v>0</v>
      </c>
      <c r="AK421" s="34" t="n"/>
      <c r="AL421" s="34" t="n">
        <v>0</v>
      </c>
      <c r="AM421" s="2" t="n">
        <v>0</v>
      </c>
    </row>
    <row r="422">
      <c r="A422">
        <f>HYPERLINK("https://www.walmart.com/ip/981254635", "981254635")</f>
        <v/>
      </c>
      <c r="B422">
        <f>HYPERLINK("https://app.optiwise.ai/catalog/itemdetails/412500", "Oversized Hoodie Blanket Sweatshirt,Super Soft Warm Comfortable Fleece Giant Pullover with Large Front Pocket,for Adults Men Women Teenagers Kids Wife Girlfriend")</f>
        <v/>
      </c>
      <c r="C422" t="n">
        <v>11</v>
      </c>
      <c r="D422" t="inlineStr">
        <is>
          <t>B78691_1680740_DADAD1042A4ED407</t>
        </is>
      </c>
      <c r="E422" t="inlineStr">
        <is>
          <t>1CTHD300LT-UPC</t>
        </is>
      </c>
      <c r="F422" t="n">
        <v>8</v>
      </c>
      <c r="G422" t="inlineStr">
        <is>
          <t>Clothing</t>
        </is>
      </c>
      <c r="H422" t="inlineStr">
        <is>
          <t>Sweatshirts &amp; Hoodies</t>
        </is>
      </c>
      <c r="I422" t="inlineStr">
        <is>
          <t>Catalonia</t>
        </is>
      </c>
      <c r="J422" t="n">
        <v>5</v>
      </c>
      <c r="K422" t="inlineStr">
        <is>
          <t>Hoodie ForAdult,Optimized,Coupon_Discount</t>
        </is>
      </c>
      <c r="L422" s="29" t="n">
        <v>0</v>
      </c>
      <c r="M422" s="30" t="n"/>
      <c r="N422" s="29" t="n">
        <v>0</v>
      </c>
      <c r="O422" s="29" t="n">
        <v>0</v>
      </c>
      <c r="P422" s="2" t="n">
        <v>0</v>
      </c>
      <c r="Q422" s="31" t="n">
        <v>0</v>
      </c>
      <c r="R422" s="32" t="n"/>
      <c r="S422" s="32" t="n">
        <v>0</v>
      </c>
      <c r="T422" s="32" t="n">
        <v>0.0781</v>
      </c>
      <c r="U422" s="31" t="n">
        <v>0</v>
      </c>
      <c r="V422" s="32" t="n">
        <v>0</v>
      </c>
      <c r="W422" s="31" t="n">
        <v>0</v>
      </c>
      <c r="X422" s="31" t="n">
        <v>0</v>
      </c>
      <c r="Y422" s="3" t="n">
        <v>648</v>
      </c>
      <c r="Z422" s="3" t="n">
        <v>0</v>
      </c>
      <c r="AA422" s="32" t="n">
        <v>0</v>
      </c>
      <c r="AB422" s="3" t="n">
        <v>0</v>
      </c>
      <c r="AC422" s="32" t="n">
        <v>0</v>
      </c>
      <c r="AD422" s="3" t="inlineStr">
        <is>
          <t>,Hoodies_Auto</t>
        </is>
      </c>
      <c r="AE422" s="31" t="n">
        <v>0</v>
      </c>
      <c r="AF422" s="2" t="n">
        <v>0</v>
      </c>
      <c r="AG422" s="2" t="n">
        <v>50</v>
      </c>
      <c r="AH422" s="4" t="n">
        <v>50</v>
      </c>
      <c r="AI422" s="33" t="n">
        <v>0</v>
      </c>
      <c r="AJ422" s="4" t="n">
        <v>0</v>
      </c>
      <c r="AK422" s="34" t="n"/>
      <c r="AL422" s="34" t="n">
        <v>0</v>
      </c>
      <c r="AM422" s="2" t="n">
        <v>0</v>
      </c>
    </row>
    <row r="423">
      <c r="A423">
        <f>HYPERLINK("https://www.walmart.com/ip/998086114", "998086114")</f>
        <v/>
      </c>
      <c r="B423">
        <f>HYPERLINK("https://app.optiwise.ai/catalog/itemdetails/417454", "Tirrinia Chevron Sherpa Throw Blanket, 60L x 50W, Gray Micro Fleece Blanket for Couch, TV")</f>
        <v/>
      </c>
      <c r="C423" t="n">
        <v>3</v>
      </c>
      <c r="D423" t="inlineStr">
        <is>
          <t>B78691_1681112_925B25B6EBCBDF86</t>
        </is>
      </c>
      <c r="E423" t="inlineStr">
        <is>
          <t>1TRBF560GY-TBCB</t>
        </is>
      </c>
      <c r="F423" t="n">
        <v>0</v>
      </c>
      <c r="G423" t="inlineStr">
        <is>
          <t>Bedding</t>
        </is>
      </c>
      <c r="H423" t="inlineStr">
        <is>
          <t>Throws</t>
        </is>
      </c>
      <c r="I423" t="inlineStr">
        <is>
          <t>Tirrinia</t>
        </is>
      </c>
      <c r="K423" t="inlineStr">
        <is>
          <t>Optimized</t>
        </is>
      </c>
      <c r="L423" s="29" t="n">
        <v>0</v>
      </c>
      <c r="M423" s="30" t="n"/>
      <c r="N423" s="29" t="n">
        <v>0</v>
      </c>
      <c r="O423" s="29" t="n">
        <v>0</v>
      </c>
      <c r="P423" s="2" t="n">
        <v>0</v>
      </c>
      <c r="Q423" s="31" t="n">
        <v>0</v>
      </c>
      <c r="R423" s="32" t="n"/>
      <c r="S423" s="32" t="n">
        <v>0</v>
      </c>
      <c r="T423" s="32" t="n">
        <v>0</v>
      </c>
      <c r="U423" s="31" t="n">
        <v>0</v>
      </c>
      <c r="V423" s="32" t="n">
        <v>0</v>
      </c>
      <c r="W423" s="31" t="n">
        <v>0</v>
      </c>
      <c r="X423" s="31" t="n">
        <v>0</v>
      </c>
      <c r="Y423" s="3" t="n">
        <v>0</v>
      </c>
      <c r="Z423" s="3" t="n">
        <v>0</v>
      </c>
      <c r="AA423" s="32" t="n">
        <v>0</v>
      </c>
      <c r="AB423" s="3" t="n">
        <v>0</v>
      </c>
      <c r="AC423" s="32" t="n">
        <v>0</v>
      </c>
      <c r="AD423" s="3" t="n"/>
      <c r="AE423" s="31" t="n">
        <v>0</v>
      </c>
      <c r="AF423" s="2" t="n">
        <v>0</v>
      </c>
      <c r="AG423" s="2" t="n">
        <v>13</v>
      </c>
      <c r="AH423" s="4" t="n">
        <v>13</v>
      </c>
      <c r="AI423" s="33" t="n">
        <v>0</v>
      </c>
      <c r="AJ423" s="4" t="n">
        <v>0</v>
      </c>
      <c r="AK423" s="34" t="n"/>
      <c r="AL423" s="34" t="n">
        <v>0</v>
      </c>
      <c r="AM423" s="2" t="n">
        <v>0</v>
      </c>
    </row>
    <row r="424">
      <c r="A424">
        <f>HYPERLINK("https://www.walmart.com/ip/600885402", "600885402")</f>
        <v/>
      </c>
      <c r="B424">
        <f>HYPERLINK("https://app.optiwise.ai/catalog/itemdetails/417471", "Tirrinia Super Comfy Soft Cozy Patriotic US Flag Knitted Throw Blanket, 50 x 60")</f>
        <v/>
      </c>
      <c r="C424" t="n">
        <v>1</v>
      </c>
      <c r="D424" t="inlineStr">
        <is>
          <t>B78691_1681109</t>
        </is>
      </c>
      <c r="E424" t="inlineStr">
        <is>
          <t>1TRBN506-USA-TBCB</t>
        </is>
      </c>
      <c r="F424" t="n">
        <v>0</v>
      </c>
      <c r="G424" t="inlineStr">
        <is>
          <t>Home Decor, Kitchen, &amp; Other</t>
        </is>
      </c>
      <c r="H424" t="inlineStr">
        <is>
          <t>Throws</t>
        </is>
      </c>
      <c r="I424" t="inlineStr">
        <is>
          <t>Tirrinia</t>
        </is>
      </c>
      <c r="K424" t="inlineStr">
        <is>
          <t>Optimized</t>
        </is>
      </c>
      <c r="L424" s="29" t="n">
        <v>0</v>
      </c>
      <c r="M424" s="30" t="n"/>
      <c r="N424" s="29" t="n">
        <v>0</v>
      </c>
      <c r="O424" s="29" t="n">
        <v>0</v>
      </c>
      <c r="P424" s="2" t="n">
        <v>0</v>
      </c>
      <c r="Q424" s="31" t="n">
        <v>0</v>
      </c>
      <c r="R424" s="32" t="n"/>
      <c r="S424" s="32" t="n">
        <v>0</v>
      </c>
      <c r="T424" s="32" t="n">
        <v>0</v>
      </c>
      <c r="U424" s="31" t="n">
        <v>0</v>
      </c>
      <c r="V424" s="32" t="n">
        <v>0</v>
      </c>
      <c r="W424" s="31" t="n">
        <v>0</v>
      </c>
      <c r="X424" s="31" t="n">
        <v>0</v>
      </c>
      <c r="Y424" s="3" t="n">
        <v>0</v>
      </c>
      <c r="Z424" s="3" t="n">
        <v>0</v>
      </c>
      <c r="AA424" s="32" t="n">
        <v>0</v>
      </c>
      <c r="AB424" s="3" t="n">
        <v>0</v>
      </c>
      <c r="AC424" s="32" t="n">
        <v>0</v>
      </c>
      <c r="AD424" s="3" t="n"/>
      <c r="AE424" s="31" t="n">
        <v>0</v>
      </c>
      <c r="AF424" s="2" t="n">
        <v>0</v>
      </c>
      <c r="AG424" s="2" t="n">
        <v>0</v>
      </c>
      <c r="AH424" s="4" t="n">
        <v>0</v>
      </c>
      <c r="AI424" s="33" t="n">
        <v>0</v>
      </c>
      <c r="AJ424" s="4" t="n">
        <v>0</v>
      </c>
      <c r="AK424" s="34" t="n"/>
      <c r="AL424" s="34" t="n">
        <v>0</v>
      </c>
      <c r="AM424" s="2" t="n">
        <v>0</v>
      </c>
    </row>
    <row r="425">
      <c r="A425">
        <f>HYPERLINK("https://www.walmart.com/ip/539257939", "539257939")</f>
        <v/>
      </c>
      <c r="B425">
        <f>HYPERLINK("https://app.optiwise.ai/catalog/itemdetails/419683", "Microplush Sherpa Blanket with Sleeves for Women and Men")</f>
        <v/>
      </c>
      <c r="C425" t="n">
        <v>1</v>
      </c>
      <c r="D425" t="inlineStr">
        <is>
          <t>B78691_1677025</t>
        </is>
      </c>
      <c r="E425" t="inlineStr">
        <is>
          <t>1TRSN410P2RD-UPC</t>
        </is>
      </c>
      <c r="F425" t="n">
        <v>0</v>
      </c>
      <c r="G425" t="inlineStr">
        <is>
          <t>Clothing</t>
        </is>
      </c>
      <c r="H425" t="inlineStr">
        <is>
          <t>Throws</t>
        </is>
      </c>
      <c r="I425" t="inlineStr">
        <is>
          <t>Tirrinia</t>
        </is>
      </c>
      <c r="K425" t="inlineStr">
        <is>
          <t>Optimized</t>
        </is>
      </c>
      <c r="L425" s="29" t="n">
        <v>0</v>
      </c>
      <c r="M425" s="30" t="n"/>
      <c r="N425" s="29" t="n">
        <v>0</v>
      </c>
      <c r="O425" s="29" t="n">
        <v>0</v>
      </c>
      <c r="P425" s="2" t="n">
        <v>0</v>
      </c>
      <c r="Q425" s="31" t="n">
        <v>0</v>
      </c>
      <c r="R425" s="32" t="n"/>
      <c r="S425" s="32" t="n">
        <v>0</v>
      </c>
      <c r="T425" s="32" t="n">
        <v>0</v>
      </c>
      <c r="U425" s="31" t="n">
        <v>0</v>
      </c>
      <c r="V425" s="32" t="n">
        <v>0</v>
      </c>
      <c r="W425" s="31" t="n">
        <v>0</v>
      </c>
      <c r="X425" s="31" t="n">
        <v>0</v>
      </c>
      <c r="Y425" s="3" t="n">
        <v>0</v>
      </c>
      <c r="Z425" s="3" t="n">
        <v>0</v>
      </c>
      <c r="AA425" s="32" t="n">
        <v>0</v>
      </c>
      <c r="AB425" s="3" t="n">
        <v>0</v>
      </c>
      <c r="AC425" s="32" t="n">
        <v>0</v>
      </c>
      <c r="AD425" s="3" t="n"/>
      <c r="AE425" s="31" t="n">
        <v>0</v>
      </c>
      <c r="AF425" s="2" t="n">
        <v>0</v>
      </c>
      <c r="AG425" s="2" t="n">
        <v>6</v>
      </c>
      <c r="AH425" s="4" t="n">
        <v>6</v>
      </c>
      <c r="AI425" s="33" t="n">
        <v>0</v>
      </c>
      <c r="AJ425" s="4" t="n">
        <v>0</v>
      </c>
      <c r="AK425" s="34" t="n"/>
      <c r="AL425" s="34" t="n">
        <v>0</v>
      </c>
      <c r="AM425" s="2" t="n">
        <v>0</v>
      </c>
    </row>
    <row r="426">
      <c r="A426">
        <f>HYPERLINK("https://www.walmart.com/ip/203372718", "203372718")</f>
        <v/>
      </c>
      <c r="B426">
        <f>HYPERLINK("https://app.optiwise.ai/catalog/itemdetails/419684", "Tirrinia Red Buffalo Plaid Sherpa Wearable Blanket for Adult Women and Men, Super Soft Comfy Warm Plush Throw with Sleeves TV Blanket Wrap Robe Cover for  Sofa, Couch 72 x 55")</f>
        <v/>
      </c>
      <c r="C426" t="n">
        <v>2</v>
      </c>
      <c r="D426" t="inlineStr">
        <is>
          <t>B78691_1682160_24F79152C3C4A936</t>
        </is>
      </c>
      <c r="E426" t="inlineStr">
        <is>
          <t>1TRSN110PRD-TBCB</t>
        </is>
      </c>
      <c r="F426" t="n">
        <v>4</v>
      </c>
      <c r="G426" t="inlineStr">
        <is>
          <t>Bedding</t>
        </is>
      </c>
      <c r="H426" t="inlineStr">
        <is>
          <t>Throws</t>
        </is>
      </c>
      <c r="I426" t="inlineStr">
        <is>
          <t>Tirrinia</t>
        </is>
      </c>
      <c r="J426" t="n">
        <v>5</v>
      </c>
      <c r="K426" t="inlineStr">
        <is>
          <t>Optimized</t>
        </is>
      </c>
      <c r="L426" s="29" t="n">
        <v>0</v>
      </c>
      <c r="M426" s="30" t="n"/>
      <c r="N426" s="29" t="n">
        <v>0</v>
      </c>
      <c r="O426" s="29" t="n">
        <v>0</v>
      </c>
      <c r="P426" s="2" t="n">
        <v>0</v>
      </c>
      <c r="Q426" s="31" t="n">
        <v>0</v>
      </c>
      <c r="R426" s="32" t="n"/>
      <c r="S426" s="32" t="n">
        <v>0</v>
      </c>
      <c r="T426" s="32" t="n">
        <v>0</v>
      </c>
      <c r="U426" s="31" t="n">
        <v>0</v>
      </c>
      <c r="V426" s="32" t="n">
        <v>0</v>
      </c>
      <c r="W426" s="31" t="n">
        <v>0</v>
      </c>
      <c r="X426" s="31" t="n">
        <v>0</v>
      </c>
      <c r="Y426" s="3" t="n">
        <v>0</v>
      </c>
      <c r="Z426" s="3" t="n">
        <v>0</v>
      </c>
      <c r="AA426" s="32" t="n">
        <v>0</v>
      </c>
      <c r="AB426" s="3" t="n">
        <v>0</v>
      </c>
      <c r="AC426" s="32" t="n">
        <v>0</v>
      </c>
      <c r="AD426" s="3" t="n"/>
      <c r="AE426" s="31" t="n">
        <v>0</v>
      </c>
      <c r="AF426" s="2" t="n">
        <v>0</v>
      </c>
      <c r="AG426" s="2" t="n">
        <v>38</v>
      </c>
      <c r="AH426" s="4" t="n">
        <v>38</v>
      </c>
      <c r="AI426" s="33" t="n">
        <v>0</v>
      </c>
      <c r="AJ426" s="4" t="n">
        <v>0</v>
      </c>
      <c r="AK426" s="34" t="n"/>
      <c r="AL426" s="34" t="n">
        <v>0</v>
      </c>
      <c r="AM426" s="2" t="n">
        <v>0</v>
      </c>
    </row>
    <row r="427">
      <c r="A427">
        <f>HYPERLINK("https://www.walmart.com/ip/584375905", "584375905")</f>
        <v/>
      </c>
      <c r="B427">
        <f>HYPERLINK("https://app.optiwise.ai/catalog/itemdetails/465348", "Youth Reflective Knit Beanie Hat For Sports Warm")</f>
        <v/>
      </c>
      <c r="C427" t="n">
        <v>7</v>
      </c>
      <c r="D427" t="inlineStr">
        <is>
          <t>B78691_1679160_AE72156E685FE92B</t>
        </is>
      </c>
      <c r="E427" t="inlineStr">
        <is>
          <t>1SLBN01OR-FSCB</t>
        </is>
      </c>
      <c r="F427" t="n">
        <v>1</v>
      </c>
      <c r="G427" t="inlineStr">
        <is>
          <t>Clothing</t>
        </is>
      </c>
      <c r="H427" t="inlineStr">
        <is>
          <t>Hats</t>
        </is>
      </c>
      <c r="I427" t="inlineStr">
        <is>
          <t>Solaris</t>
        </is>
      </c>
      <c r="J427" t="n">
        <v>5</v>
      </c>
      <c r="K427" t="inlineStr">
        <is>
          <t>Optimized</t>
        </is>
      </c>
      <c r="L427" s="29" t="n">
        <v>0</v>
      </c>
      <c r="M427" s="30" t="n"/>
      <c r="N427" s="29" t="n">
        <v>5.980000019073486</v>
      </c>
      <c r="O427" s="29" t="n">
        <v>0</v>
      </c>
      <c r="P427" s="2" t="n">
        <v>0</v>
      </c>
      <c r="Q427" s="31" t="n">
        <v>0</v>
      </c>
      <c r="R427" s="32" t="n"/>
      <c r="S427" s="32" t="n">
        <v>0</v>
      </c>
      <c r="T427" s="32" t="n">
        <v>0</v>
      </c>
      <c r="U427" s="31" t="n">
        <v>0</v>
      </c>
      <c r="V427" s="32" t="n">
        <v>0</v>
      </c>
      <c r="W427" s="31" t="n">
        <v>0</v>
      </c>
      <c r="X427" s="31" t="n">
        <v>0</v>
      </c>
      <c r="Y427" s="3" t="n">
        <v>0</v>
      </c>
      <c r="Z427" s="3" t="n">
        <v>0</v>
      </c>
      <c r="AA427" s="32" t="n">
        <v>0</v>
      </c>
      <c r="AB427" s="3" t="n">
        <v>0</v>
      </c>
      <c r="AC427" s="32" t="n">
        <v>0</v>
      </c>
      <c r="AD427" s="3" t="n"/>
      <c r="AE427" s="31" t="n">
        <v>0</v>
      </c>
      <c r="AF427" s="2" t="n">
        <v>0</v>
      </c>
      <c r="AG427" s="2" t="n">
        <v>16</v>
      </c>
      <c r="AH427" s="4" t="n">
        <v>16</v>
      </c>
      <c r="AI427" s="33" t="n">
        <v>0</v>
      </c>
      <c r="AJ427" s="4" t="n">
        <v>0</v>
      </c>
      <c r="AK427" s="34" t="n"/>
      <c r="AL427" s="34" t="n">
        <v>0</v>
      </c>
      <c r="AM427" s="2" t="n">
        <v>0</v>
      </c>
    </row>
    <row r="428">
      <c r="A428">
        <f>HYPERLINK("https://www.walmart.com/ip/655377883", "655377883")</f>
        <v/>
      </c>
      <c r="B428">
        <f>HYPERLINK("https://app.optiwise.ai/catalog/itemdetails/668904", "Tirrinia Fishing Hiking Hat for Women Safari Sun Hat Wide Brim Camping Hiking Fishing Hunting Boating Safari Cap with Adjustable Drawstring Boonie UPF 50+ Tan")</f>
        <v/>
      </c>
      <c r="C428" t="n">
        <v>2</v>
      </c>
      <c r="D428" t="inlineStr">
        <is>
          <t>B78691_1636479_9E692A043D3345ED</t>
        </is>
      </c>
      <c r="E428" t="inlineStr">
        <is>
          <t>1TRSH9154TN-TBGM</t>
        </is>
      </c>
      <c r="F428" t="n">
        <v>1</v>
      </c>
      <c r="G428" t="inlineStr">
        <is>
          <t>Clothing</t>
        </is>
      </c>
      <c r="H428" t="inlineStr">
        <is>
          <t>Hats</t>
        </is>
      </c>
      <c r="I428" t="inlineStr">
        <is>
          <t>Sun Blocker</t>
        </is>
      </c>
      <c r="J428" t="n">
        <v>5</v>
      </c>
      <c r="K428" t="inlineStr">
        <is>
          <t>Batch 1 - TR</t>
        </is>
      </c>
      <c r="L428" s="29" t="n">
        <v>0</v>
      </c>
      <c r="M428" s="30" t="n"/>
      <c r="N428" s="29" t="n">
        <v>0</v>
      </c>
      <c r="O428" s="29" t="n">
        <v>0</v>
      </c>
      <c r="P428" s="2" t="n">
        <v>0</v>
      </c>
      <c r="Q428" s="31" t="n">
        <v>0</v>
      </c>
      <c r="R428" s="32" t="n"/>
      <c r="S428" s="32" t="n">
        <v>0</v>
      </c>
      <c r="T428" s="32" t="n">
        <v>0</v>
      </c>
      <c r="U428" s="31" t="n">
        <v>0</v>
      </c>
      <c r="V428" s="32" t="n">
        <v>0</v>
      </c>
      <c r="W428" s="31" t="n">
        <v>0</v>
      </c>
      <c r="X428" s="31" t="n">
        <v>0</v>
      </c>
      <c r="Y428" s="3" t="n">
        <v>0</v>
      </c>
      <c r="Z428" s="3" t="n">
        <v>0</v>
      </c>
      <c r="AA428" s="32" t="n">
        <v>0</v>
      </c>
      <c r="AB428" s="3" t="n">
        <v>0</v>
      </c>
      <c r="AC428" s="32" t="n">
        <v>0</v>
      </c>
      <c r="AD428" s="3" t="n"/>
      <c r="AE428" s="31" t="n">
        <v>0</v>
      </c>
      <c r="AF428" s="2" t="n">
        <v>0</v>
      </c>
      <c r="AG428" s="2" t="n">
        <v>15</v>
      </c>
      <c r="AH428" s="4" t="n">
        <v>15</v>
      </c>
      <c r="AI428" s="33" t="n">
        <v>0</v>
      </c>
      <c r="AJ428" s="4" t="n">
        <v>0</v>
      </c>
      <c r="AK428" s="34" t="n"/>
      <c r="AL428" s="34" t="n">
        <v>0</v>
      </c>
      <c r="AM428" s="2" t="n">
        <v>0</v>
      </c>
    </row>
    <row r="429">
      <c r="A429">
        <f>HYPERLINK("https://www.walmart.com/ip/180458782", "180458782")</f>
        <v/>
      </c>
      <c r="B429">
        <f>HYPERLINK("https://app.optiwise.ai/catalog/itemdetails/361409", "KC Caps® Cotton Twill Deluxe Super Soft Mesh Adjustable Snapback Low Profile Trucker Baseball Cap")</f>
        <v/>
      </c>
      <c r="C429" t="n">
        <v>10</v>
      </c>
      <c r="D429" t="inlineStr">
        <is>
          <t>B78691_969402_5C9BB2671E1E9004</t>
        </is>
      </c>
      <c r="E429" t="inlineStr">
        <is>
          <t>KCCAPSSZK641CA/ST</t>
        </is>
      </c>
      <c r="F429" t="n">
        <v>0</v>
      </c>
      <c r="G429" t="inlineStr">
        <is>
          <t>Clothing</t>
        </is>
      </c>
      <c r="H429" t="inlineStr">
        <is>
          <t>Hats</t>
        </is>
      </c>
      <c r="I429" t="inlineStr">
        <is>
          <t>KC Caps</t>
        </is>
      </c>
      <c r="K429" t="inlineStr">
        <is>
          <t>Optimized</t>
        </is>
      </c>
      <c r="L429" s="29" t="n">
        <v>0</v>
      </c>
      <c r="M429" s="30" t="n"/>
      <c r="N429" s="29" t="n">
        <v>0</v>
      </c>
      <c r="O429" s="29" t="n">
        <v>0</v>
      </c>
      <c r="P429" s="2" t="n">
        <v>0</v>
      </c>
      <c r="Q429" s="31" t="n">
        <v>0</v>
      </c>
      <c r="R429" s="32" t="n"/>
      <c r="S429" s="32" t="n">
        <v>0</v>
      </c>
      <c r="T429" s="32" t="n">
        <v>0</v>
      </c>
      <c r="U429" s="31" t="n">
        <v>0</v>
      </c>
      <c r="V429" s="32" t="n">
        <v>0</v>
      </c>
      <c r="W429" s="31" t="n">
        <v>0</v>
      </c>
      <c r="X429" s="31" t="n">
        <v>0</v>
      </c>
      <c r="Y429" s="3" t="n">
        <v>0</v>
      </c>
      <c r="Z429" s="3" t="n">
        <v>0</v>
      </c>
      <c r="AA429" s="32" t="n">
        <v>0</v>
      </c>
      <c r="AB429" s="3" t="n">
        <v>0</v>
      </c>
      <c r="AC429" s="32" t="n">
        <v>0</v>
      </c>
      <c r="AD429" s="3" t="n"/>
      <c r="AE429" s="31" t="n">
        <v>0</v>
      </c>
      <c r="AF429" s="2" t="n">
        <v>0</v>
      </c>
      <c r="AG429" s="2" t="n">
        <v>26</v>
      </c>
      <c r="AH429" s="4" t="n">
        <v>26</v>
      </c>
      <c r="AI429" s="33" t="n">
        <v>0</v>
      </c>
      <c r="AJ429" s="4" t="n">
        <v>0</v>
      </c>
      <c r="AK429" s="34" t="n"/>
      <c r="AL429" s="34" t="n">
        <v>0</v>
      </c>
      <c r="AM429" s="2" t="n">
        <v>0</v>
      </c>
    </row>
    <row r="430">
      <c r="A430">
        <f>HYPERLINK("https://www.walmart.com/ip/733855921", "733855921")</f>
        <v/>
      </c>
      <c r="B430">
        <f>HYPERLINK("https://app.optiwise.ai/catalog/itemdetails/360911", "sun blocker women's sun hat upf 50+ bucket cap packable outdoor travel hat")</f>
        <v/>
      </c>
      <c r="C430" t="n">
        <v>1</v>
      </c>
      <c r="D430" t="inlineStr">
        <is>
          <t>B78691_1681789_572EDFE371F93722</t>
        </is>
      </c>
      <c r="E430" t="inlineStr">
        <is>
          <t>KC-S9200-BL</t>
        </is>
      </c>
      <c r="F430" t="n">
        <v>6</v>
      </c>
      <c r="G430" t="inlineStr">
        <is>
          <t>Clothing</t>
        </is>
      </c>
      <c r="H430" t="inlineStr">
        <is>
          <t>Hats</t>
        </is>
      </c>
      <c r="I430" t="inlineStr">
        <is>
          <t>Sun Blocker</t>
        </is>
      </c>
      <c r="J430" t="n">
        <v>5</v>
      </c>
      <c r="K430" t="inlineStr">
        <is>
          <t>Batch 1 - TR</t>
        </is>
      </c>
      <c r="L430" s="29" t="n">
        <v>0</v>
      </c>
      <c r="M430" s="30" t="n"/>
      <c r="N430" s="29" t="n">
        <v>0</v>
      </c>
      <c r="O430" s="29" t="n">
        <v>0</v>
      </c>
      <c r="P430" s="2" t="n">
        <v>0</v>
      </c>
      <c r="Q430" s="31" t="n">
        <v>0</v>
      </c>
      <c r="R430" s="32" t="n"/>
      <c r="S430" s="32" t="n">
        <v>0</v>
      </c>
      <c r="T430" s="32" t="n">
        <v>0</v>
      </c>
      <c r="U430" s="31" t="n">
        <v>0</v>
      </c>
      <c r="V430" s="32" t="n">
        <v>0</v>
      </c>
      <c r="W430" s="31" t="n">
        <v>0</v>
      </c>
      <c r="X430" s="31" t="n">
        <v>0</v>
      </c>
      <c r="Y430" s="3" t="n">
        <v>0</v>
      </c>
      <c r="Z430" s="3" t="n">
        <v>0</v>
      </c>
      <c r="AA430" s="32" t="n">
        <v>0</v>
      </c>
      <c r="AB430" s="3" t="n">
        <v>0</v>
      </c>
      <c r="AC430" s="32" t="n">
        <v>0</v>
      </c>
      <c r="AD430" s="3" t="n"/>
      <c r="AE430" s="31" t="n">
        <v>0</v>
      </c>
      <c r="AF430" s="2" t="n">
        <v>0</v>
      </c>
      <c r="AG430" s="2" t="n">
        <v>19</v>
      </c>
      <c r="AH430" s="4" t="n">
        <v>19</v>
      </c>
      <c r="AI430" s="33" t="n">
        <v>0</v>
      </c>
      <c r="AJ430" s="4" t="n">
        <v>0</v>
      </c>
      <c r="AK430" s="34" t="n"/>
      <c r="AL430" s="34" t="n">
        <v>0</v>
      </c>
      <c r="AM430" s="2" t="n">
        <v>0</v>
      </c>
    </row>
    <row r="431">
      <c r="A431">
        <f>HYPERLINK("https://www.walmart.com/ip/1857465304", "1857465304")</f>
        <v/>
      </c>
      <c r="B431">
        <f>HYPERLINK("https://app.optiwise.ai/catalog/itemdetails/787756", "Tirrinia Men's Trout Ventilate Mesh Fish Embroidery Cap Fishing Hat Navy Blue")</f>
        <v/>
      </c>
      <c r="C431" t="n">
        <v>5</v>
      </c>
      <c r="D431" t="inlineStr">
        <is>
          <t>B78691_1681776_3095F8688B81D53A</t>
        </is>
      </c>
      <c r="E431" t="inlineStr">
        <is>
          <t>1TRHT7180BRKUP-12pcs</t>
        </is>
      </c>
      <c r="F431" t="n">
        <v>0</v>
      </c>
      <c r="G431" t="inlineStr">
        <is>
          <t>Clothing</t>
        </is>
      </c>
      <c r="H431" t="inlineStr">
        <is>
          <t>Hats</t>
        </is>
      </c>
      <c r="I431" t="inlineStr">
        <is>
          <t>Tirrinia</t>
        </is>
      </c>
      <c r="L431" s="29" t="n">
        <v>0</v>
      </c>
      <c r="M431" s="30" t="n"/>
      <c r="N431" s="29" t="n">
        <v>0</v>
      </c>
      <c r="O431" s="29" t="n">
        <v>0</v>
      </c>
      <c r="P431" s="2" t="n">
        <v>0</v>
      </c>
      <c r="Q431" s="31" t="n">
        <v>0</v>
      </c>
      <c r="R431" s="32" t="n"/>
      <c r="S431" s="32" t="n">
        <v>0</v>
      </c>
      <c r="T431" s="32" t="n">
        <v>0</v>
      </c>
      <c r="U431" s="31" t="n">
        <v>0</v>
      </c>
      <c r="V431" s="32" t="n">
        <v>0</v>
      </c>
      <c r="W431" s="31" t="n">
        <v>0</v>
      </c>
      <c r="X431" s="31" t="n">
        <v>0</v>
      </c>
      <c r="Y431" s="3" t="n">
        <v>0</v>
      </c>
      <c r="Z431" s="3" t="n">
        <v>0</v>
      </c>
      <c r="AA431" s="32" t="n">
        <v>0</v>
      </c>
      <c r="AB431" s="3" t="n">
        <v>0</v>
      </c>
      <c r="AC431" s="32" t="n">
        <v>0</v>
      </c>
      <c r="AD431" s="3" t="n"/>
      <c r="AE431" s="31" t="n">
        <v>0</v>
      </c>
      <c r="AF431" s="2" t="n">
        <v>0</v>
      </c>
      <c r="AG431" s="2" t="n">
        <v>1</v>
      </c>
      <c r="AH431" s="4" t="n">
        <v>1</v>
      </c>
      <c r="AI431" s="33" t="n">
        <v>0</v>
      </c>
      <c r="AJ431" s="4" t="n">
        <v>0</v>
      </c>
      <c r="AK431" s="34" t="n"/>
      <c r="AL431" s="34" t="n">
        <v>0</v>
      </c>
      <c r="AM431" s="2" t="n">
        <v>0</v>
      </c>
    </row>
    <row r="432">
      <c r="A432">
        <f>HYPERLINK("https://www.walmart.com/ip/367461877", "367461877")</f>
        <v/>
      </c>
      <c r="B432">
        <f>HYPERLINK("https://app.optiwise.ai/catalog/itemdetails/361271", "KC Caps® Hunting Hiking Camping Camo Military Mesh Cap Travel Hat")</f>
        <v/>
      </c>
      <c r="C432" t="n">
        <v>2</v>
      </c>
      <c r="D432" t="inlineStr">
        <is>
          <t>B78691_1567994_5C9BB2671E1E9004</t>
        </is>
      </c>
      <c r="E432" t="inlineStr">
        <is>
          <t>KC7140-Break</t>
        </is>
      </c>
      <c r="F432" t="n">
        <v>0</v>
      </c>
      <c r="G432" t="inlineStr">
        <is>
          <t>Clothing</t>
        </is>
      </c>
      <c r="H432" t="inlineStr">
        <is>
          <t>Hats</t>
        </is>
      </c>
      <c r="I432" t="inlineStr">
        <is>
          <t>KC Caps</t>
        </is>
      </c>
      <c r="K432" t="inlineStr">
        <is>
          <t>Optimized</t>
        </is>
      </c>
      <c r="L432" s="29" t="n">
        <v>0</v>
      </c>
      <c r="M432" s="30" t="n"/>
      <c r="N432" s="29" t="n">
        <v>0</v>
      </c>
      <c r="O432" s="29" t="n">
        <v>0</v>
      </c>
      <c r="P432" s="2" t="n">
        <v>0</v>
      </c>
      <c r="Q432" s="31" t="n">
        <v>0</v>
      </c>
      <c r="R432" s="32" t="n"/>
      <c r="S432" s="32" t="n">
        <v>0</v>
      </c>
      <c r="T432" s="32" t="n">
        <v>0</v>
      </c>
      <c r="U432" s="31" t="n">
        <v>0</v>
      </c>
      <c r="V432" s="32" t="n">
        <v>0</v>
      </c>
      <c r="W432" s="31" t="n">
        <v>0</v>
      </c>
      <c r="X432" s="31" t="n">
        <v>0</v>
      </c>
      <c r="Y432" s="3" t="n">
        <v>0</v>
      </c>
      <c r="Z432" s="3" t="n">
        <v>0</v>
      </c>
      <c r="AA432" s="32" t="n">
        <v>0</v>
      </c>
      <c r="AB432" s="3" t="n">
        <v>0</v>
      </c>
      <c r="AC432" s="32" t="n">
        <v>0</v>
      </c>
      <c r="AD432" s="3" t="n"/>
      <c r="AE432" s="31" t="n">
        <v>0</v>
      </c>
      <c r="AF432" s="2" t="n">
        <v>0</v>
      </c>
      <c r="AG432" s="2" t="n">
        <v>9</v>
      </c>
      <c r="AH432" s="4" t="n">
        <v>9</v>
      </c>
      <c r="AI432" s="33" t="n">
        <v>0</v>
      </c>
      <c r="AJ432" s="4" t="n">
        <v>0</v>
      </c>
      <c r="AK432" s="34" t="n"/>
      <c r="AL432" s="34" t="n">
        <v>0</v>
      </c>
      <c r="AM432" s="2" t="n">
        <v>0</v>
      </c>
    </row>
    <row r="433">
      <c r="A433">
        <f>HYPERLINK("https://www.walmart.com/ip/186654469", "186654469")</f>
        <v/>
      </c>
      <c r="B433">
        <f>HYPERLINK("https://app.optiwise.ai/catalog/itemdetails/361569", "Solaris Winter Cable Knit Beanie Hats with Fur Pom Pom for Women Ski Cap")</f>
        <v/>
      </c>
      <c r="C433" t="n">
        <v>5</v>
      </c>
      <c r="D433" t="inlineStr">
        <is>
          <t>B78691_1679149_5C9BB2671E1E9004</t>
        </is>
      </c>
      <c r="E433" t="inlineStr">
        <is>
          <t>1SLPPH01GY</t>
        </is>
      </c>
      <c r="F433" t="n">
        <v>0</v>
      </c>
      <c r="G433" t="inlineStr">
        <is>
          <t>Clothing</t>
        </is>
      </c>
      <c r="H433" t="inlineStr">
        <is>
          <t>Hats</t>
        </is>
      </c>
      <c r="I433" t="inlineStr">
        <is>
          <t>Solaris</t>
        </is>
      </c>
      <c r="K433" t="inlineStr">
        <is>
          <t>Optimized</t>
        </is>
      </c>
      <c r="L433" s="29" t="n">
        <v>0</v>
      </c>
      <c r="M433" s="30" t="n"/>
      <c r="N433" s="29" t="n">
        <v>0</v>
      </c>
      <c r="O433" s="29" t="n">
        <v>0</v>
      </c>
      <c r="P433" s="2" t="n">
        <v>0</v>
      </c>
      <c r="Q433" s="31" t="n">
        <v>0</v>
      </c>
      <c r="R433" s="32" t="n"/>
      <c r="S433" s="32" t="n">
        <v>0</v>
      </c>
      <c r="T433" s="32" t="n">
        <v>0</v>
      </c>
      <c r="U433" s="31" t="n">
        <v>0</v>
      </c>
      <c r="V433" s="32" t="n">
        <v>0</v>
      </c>
      <c r="W433" s="31" t="n">
        <v>0</v>
      </c>
      <c r="X433" s="31" t="n">
        <v>0</v>
      </c>
      <c r="Y433" s="3" t="n">
        <v>0</v>
      </c>
      <c r="Z433" s="3" t="n">
        <v>0</v>
      </c>
      <c r="AA433" s="32" t="n">
        <v>0</v>
      </c>
      <c r="AB433" s="3" t="n">
        <v>0</v>
      </c>
      <c r="AC433" s="32" t="n">
        <v>0</v>
      </c>
      <c r="AD433" s="3" t="n"/>
      <c r="AE433" s="31" t="n">
        <v>0</v>
      </c>
      <c r="AF433" s="2" t="n">
        <v>0</v>
      </c>
      <c r="AG433" s="2" t="n">
        <v>13</v>
      </c>
      <c r="AH433" s="4" t="n">
        <v>13</v>
      </c>
      <c r="AI433" s="33" t="n">
        <v>0</v>
      </c>
      <c r="AJ433" s="4" t="n">
        <v>0</v>
      </c>
      <c r="AK433" s="34" t="n"/>
      <c r="AL433" s="34" t="n">
        <v>0</v>
      </c>
      <c r="AM433" s="2" t="n">
        <v>0</v>
      </c>
    </row>
    <row r="434">
      <c r="A434">
        <f>HYPERLINK("https://www.walmart.com/ip/188347146", "188347146")</f>
        <v/>
      </c>
      <c r="B434">
        <f>HYPERLINK("https://app.optiwise.ai/catalog/itemdetails/360615", "Vina® 5 Pcs/set Deluxe Wine Bottle Opener Accessories Gift Set - Wine Bottle Opener, Wine Stopper, Wine Drip Ring, Wine Foil Cutter and Wine Pourer")</f>
        <v/>
      </c>
      <c r="C434" t="n">
        <v>1</v>
      </c>
      <c r="D434" t="inlineStr">
        <is>
          <t>B78691_980017_54F59366F68C46E0</t>
        </is>
      </c>
      <c r="E434" t="inlineStr">
        <is>
          <t>VinaWO002BK</t>
        </is>
      </c>
      <c r="F434" t="n">
        <v>0</v>
      </c>
      <c r="G434" t="inlineStr">
        <is>
          <t>Home Decor, Kitchen, &amp; Other</t>
        </is>
      </c>
      <c r="H434" t="inlineStr">
        <is>
          <t>Corkscrews &amp; Wine Bottle Openers</t>
        </is>
      </c>
      <c r="I434" t="inlineStr">
        <is>
          <t>Vina</t>
        </is>
      </c>
      <c r="K434" t="inlineStr">
        <is>
          <t>Wine,Christmas</t>
        </is>
      </c>
      <c r="L434" s="29" t="n">
        <v>0</v>
      </c>
      <c r="M434" s="30" t="n"/>
      <c r="N434" s="29" t="n">
        <v>0</v>
      </c>
      <c r="O434" s="29" t="n">
        <v>0</v>
      </c>
      <c r="P434" s="2" t="n">
        <v>0</v>
      </c>
      <c r="Q434" s="31" t="n">
        <v>0</v>
      </c>
      <c r="R434" s="32" t="n"/>
      <c r="S434" s="32" t="n">
        <v>0</v>
      </c>
      <c r="T434" s="32" t="n">
        <v>0</v>
      </c>
      <c r="U434" s="31" t="n">
        <v>0</v>
      </c>
      <c r="V434" s="32" t="n">
        <v>0</v>
      </c>
      <c r="W434" s="31" t="n">
        <v>0</v>
      </c>
      <c r="X434" s="31" t="n">
        <v>0</v>
      </c>
      <c r="Y434" s="3" t="n">
        <v>0</v>
      </c>
      <c r="Z434" s="3" t="n">
        <v>0</v>
      </c>
      <c r="AA434" s="32" t="n">
        <v>0</v>
      </c>
      <c r="AB434" s="3" t="n">
        <v>0</v>
      </c>
      <c r="AC434" s="32" t="n">
        <v>0</v>
      </c>
      <c r="AD434" s="3" t="n"/>
      <c r="AE434" s="31" t="n">
        <v>0</v>
      </c>
      <c r="AF434" s="2" t="n">
        <v>0</v>
      </c>
      <c r="AG434" s="2" t="n">
        <v>0</v>
      </c>
      <c r="AH434" s="4" t="n">
        <v>0</v>
      </c>
      <c r="AI434" s="33" t="n">
        <v>0</v>
      </c>
      <c r="AJ434" s="4" t="n">
        <v>0</v>
      </c>
      <c r="AK434" s="34" t="n"/>
      <c r="AL434" s="34" t="n">
        <v>0</v>
      </c>
      <c r="AM434" s="2" t="n">
        <v>0</v>
      </c>
    </row>
    <row r="435">
      <c r="A435">
        <f>HYPERLINK("https://www.walmart.com/ip/14514615100", "14514615100")</f>
        <v/>
      </c>
      <c r="B435">
        <f>HYPERLINK("https://app.optiwise.ai/catalog/itemdetails/13057984", "Tirrinia Oversized Blanket Hoodie Sweatshirts, Wearable Fluffy Fleece Plush Blanket, Lightweight Cozy Sweatshirt Blanket Gift for Women Men, Gray")</f>
        <v/>
      </c>
      <c r="C435" t="inlineStr">
        <is>
          <t>-</t>
        </is>
      </c>
      <c r="E435" t="inlineStr">
        <is>
          <t>1TROSH360BL-FS</t>
        </is>
      </c>
      <c r="F435" t="n">
        <v>0</v>
      </c>
      <c r="G435" t="inlineStr">
        <is>
          <t>Clothing</t>
        </is>
      </c>
      <c r="H435" t="inlineStr">
        <is>
          <t>Sweatshirts &amp; Hoodies</t>
        </is>
      </c>
      <c r="I435" t="inlineStr">
        <is>
          <t>Tirrinia</t>
        </is>
      </c>
      <c r="L435" s="29" t="n">
        <v>0</v>
      </c>
      <c r="M435" s="30" t="n"/>
      <c r="N435" s="29" t="n">
        <v>0</v>
      </c>
      <c r="O435" s="29" t="n">
        <v>0</v>
      </c>
      <c r="P435" s="2" t="n">
        <v>0</v>
      </c>
      <c r="Q435" s="31" t="n">
        <v>0</v>
      </c>
      <c r="R435" s="32" t="n"/>
      <c r="S435" s="32" t="n">
        <v>0</v>
      </c>
      <c r="T435" s="32" t="n">
        <v>0</v>
      </c>
      <c r="U435" s="31" t="n">
        <v>0</v>
      </c>
      <c r="V435" s="32" t="n">
        <v>0</v>
      </c>
      <c r="W435" s="31" t="n">
        <v>0</v>
      </c>
      <c r="X435" s="31" t="n">
        <v>0</v>
      </c>
      <c r="Y435" s="3" t="n">
        <v>0</v>
      </c>
      <c r="Z435" s="3" t="n">
        <v>0</v>
      </c>
      <c r="AA435" s="32" t="n">
        <v>0</v>
      </c>
      <c r="AB435" s="3" t="n">
        <v>0</v>
      </c>
      <c r="AC435" s="32" t="n">
        <v>0</v>
      </c>
      <c r="AD435" s="3" t="n"/>
      <c r="AE435" s="31" t="n">
        <v>0</v>
      </c>
      <c r="AF435" s="2" t="n">
        <v>0</v>
      </c>
      <c r="AG435" s="2" t="n">
        <v>8</v>
      </c>
      <c r="AH435" s="4" t="n">
        <v>8</v>
      </c>
      <c r="AI435" s="33" t="n">
        <v>0</v>
      </c>
      <c r="AJ435" s="4" t="n">
        <v>0</v>
      </c>
      <c r="AK435" s="34" t="n"/>
      <c r="AL435" s="34" t="n">
        <v>0</v>
      </c>
      <c r="AM435" s="2" t="n">
        <v>0</v>
      </c>
    </row>
    <row r="436">
      <c r="A436">
        <f>HYPERLINK("https://www.walmart.com/ip/14500306112", "14500306112")</f>
        <v/>
      </c>
      <c r="B436">
        <f>HYPERLINK("https://app.optiwise.ai/catalog/itemdetails/13057982", "Catalonia Blanket Hoodie for Kids, Oversized Wearable Fleece Sweatshirt Pullover for 7-16 yr Teens Youth, Kids Gift Idea, Sea Blue")</f>
        <v/>
      </c>
      <c r="C436" t="inlineStr">
        <is>
          <t>-</t>
        </is>
      </c>
      <c r="E436" t="inlineStr">
        <is>
          <t>1CTOSH400P2RD-FS</t>
        </is>
      </c>
      <c r="F436" t="n">
        <v>0</v>
      </c>
      <c r="G436" t="inlineStr">
        <is>
          <t>Clothing</t>
        </is>
      </c>
      <c r="H436" t="inlineStr">
        <is>
          <t>Sweatshirts &amp; Hoodies</t>
        </is>
      </c>
      <c r="I436" t="inlineStr">
        <is>
          <t>Catalonia</t>
        </is>
      </c>
      <c r="L436" s="29" t="n">
        <v>0</v>
      </c>
      <c r="M436" s="30" t="n"/>
      <c r="N436" s="29" t="n">
        <v>0</v>
      </c>
      <c r="O436" s="29" t="n">
        <v>0</v>
      </c>
      <c r="P436" s="2" t="n">
        <v>0</v>
      </c>
      <c r="Q436" s="31" t="n">
        <v>0</v>
      </c>
      <c r="R436" s="32" t="n"/>
      <c r="S436" s="32" t="n">
        <v>0</v>
      </c>
      <c r="T436" s="32" t="n">
        <v>0</v>
      </c>
      <c r="U436" s="31" t="n">
        <v>0</v>
      </c>
      <c r="V436" s="32" t="n">
        <v>0</v>
      </c>
      <c r="W436" s="31" t="n">
        <v>0</v>
      </c>
      <c r="X436" s="31" t="n">
        <v>0</v>
      </c>
      <c r="Y436" s="3" t="n">
        <v>0</v>
      </c>
      <c r="Z436" s="3" t="n">
        <v>0</v>
      </c>
      <c r="AA436" s="32" t="n">
        <v>0</v>
      </c>
      <c r="AB436" s="3" t="n">
        <v>0</v>
      </c>
      <c r="AC436" s="32" t="n">
        <v>0</v>
      </c>
      <c r="AD436" s="3" t="n"/>
      <c r="AE436" s="31" t="n">
        <v>0</v>
      </c>
      <c r="AF436" s="2" t="n">
        <v>0</v>
      </c>
      <c r="AG436" s="2" t="n">
        <v>2</v>
      </c>
      <c r="AH436" s="4" t="n">
        <v>2</v>
      </c>
      <c r="AI436" s="33" t="n">
        <v>0</v>
      </c>
      <c r="AJ436" s="4" t="n">
        <v>0</v>
      </c>
      <c r="AK436" s="34" t="n"/>
      <c r="AL436" s="34" t="n">
        <v>0</v>
      </c>
      <c r="AM436" s="2" t="n">
        <v>0</v>
      </c>
    </row>
    <row r="437">
      <c r="A437">
        <f>HYPERLINK("https://www.walmart.com/ip/14489068821", "14489068821")</f>
        <v/>
      </c>
      <c r="B437">
        <f>HYPERLINK("https://app.optiwise.ai/catalog/itemdetails/13057981", "Tirrinia Womens' Hoodie Blanket Sweatshirt, Oversized Comfortable Fleece Giant Wearable Blankets, Hoodie Blanket for Men, Gift for Her Him, Latte")</f>
        <v/>
      </c>
      <c r="C437" t="inlineStr">
        <is>
          <t>-</t>
        </is>
      </c>
      <c r="E437" t="inlineStr">
        <is>
          <t>1TROSH400LT-FS</t>
        </is>
      </c>
      <c r="F437" t="n">
        <v>0</v>
      </c>
      <c r="G437" t="inlineStr">
        <is>
          <t>Clothing</t>
        </is>
      </c>
      <c r="H437" t="inlineStr">
        <is>
          <t>Sweatshirts &amp; Hoodies</t>
        </is>
      </c>
      <c r="I437" t="inlineStr">
        <is>
          <t>Tirrinia</t>
        </is>
      </c>
      <c r="L437" s="29" t="n">
        <v>0</v>
      </c>
      <c r="M437" s="30" t="n"/>
      <c r="N437" s="29" t="n">
        <v>0</v>
      </c>
      <c r="O437" s="29" t="n">
        <v>0</v>
      </c>
      <c r="P437" s="2" t="n">
        <v>0</v>
      </c>
      <c r="Q437" s="31" t="n">
        <v>0</v>
      </c>
      <c r="R437" s="32" t="n"/>
      <c r="S437" s="32" t="n">
        <v>0</v>
      </c>
      <c r="T437" s="32" t="n">
        <v>0</v>
      </c>
      <c r="U437" s="31" t="n">
        <v>0</v>
      </c>
      <c r="V437" s="32" t="n">
        <v>0</v>
      </c>
      <c r="W437" s="31" t="n">
        <v>0</v>
      </c>
      <c r="X437" s="31" t="n">
        <v>0</v>
      </c>
      <c r="Y437" s="3" t="n">
        <v>0</v>
      </c>
      <c r="Z437" s="3" t="n">
        <v>0</v>
      </c>
      <c r="AA437" s="32" t="n">
        <v>0</v>
      </c>
      <c r="AB437" s="3" t="n">
        <v>0</v>
      </c>
      <c r="AC437" s="32" t="n">
        <v>0</v>
      </c>
      <c r="AD437" s="3" t="n"/>
      <c r="AE437" s="31" t="n">
        <v>0</v>
      </c>
      <c r="AF437" s="2" t="n">
        <v>0</v>
      </c>
      <c r="AG437" s="2" t="n">
        <v>2</v>
      </c>
      <c r="AH437" s="4" t="n">
        <v>2</v>
      </c>
      <c r="AI437" s="33" t="n">
        <v>0</v>
      </c>
      <c r="AJ437" s="4" t="n">
        <v>0</v>
      </c>
      <c r="AK437" s="34" t="n"/>
      <c r="AL437" s="34" t="n">
        <v>0</v>
      </c>
      <c r="AM437" s="2" t="n">
        <v>0</v>
      </c>
    </row>
    <row r="438">
      <c r="A438">
        <f>HYPERLINK("https://www.walmart.com/ip/14488914614", "14488914614")</f>
        <v/>
      </c>
      <c r="B438">
        <f>HYPERLINK("https://app.optiwise.ai/catalog/itemdetails/13057980", "Womens Oversized Flannel Blanket Hoodie Sweatshirt, Plush Fleece Lined Lounging Pullover, Christmas Gift for Women (Dark Red) - Catalonia")</f>
        <v/>
      </c>
      <c r="C438" t="inlineStr">
        <is>
          <t>-</t>
        </is>
      </c>
      <c r="E438" t="inlineStr">
        <is>
          <t>1CTOSH400WN-FS</t>
        </is>
      </c>
      <c r="F438" t="n">
        <v>0</v>
      </c>
      <c r="G438" t="inlineStr">
        <is>
          <t>Clothing</t>
        </is>
      </c>
      <c r="H438" t="inlineStr">
        <is>
          <t>Sweatshirts &amp; Hoodies</t>
        </is>
      </c>
      <c r="I438" t="inlineStr">
        <is>
          <t>Catalonia</t>
        </is>
      </c>
      <c r="L438" s="29" t="n">
        <v>0</v>
      </c>
      <c r="M438" s="30" t="n"/>
      <c r="N438" s="29" t="n">
        <v>0</v>
      </c>
      <c r="O438" s="29" t="n">
        <v>0</v>
      </c>
      <c r="P438" s="2" t="n">
        <v>0</v>
      </c>
      <c r="Q438" s="31" t="n">
        <v>0</v>
      </c>
      <c r="R438" s="32" t="n"/>
      <c r="S438" s="32" t="n">
        <v>0</v>
      </c>
      <c r="T438" s="32" t="n">
        <v>0</v>
      </c>
      <c r="U438" s="31" t="n">
        <v>0</v>
      </c>
      <c r="V438" s="32" t="n">
        <v>0</v>
      </c>
      <c r="W438" s="31" t="n">
        <v>0</v>
      </c>
      <c r="X438" s="31" t="n">
        <v>0</v>
      </c>
      <c r="Y438" s="3" t="n">
        <v>0</v>
      </c>
      <c r="Z438" s="3" t="n">
        <v>0</v>
      </c>
      <c r="AA438" s="32" t="n">
        <v>0</v>
      </c>
      <c r="AB438" s="3" t="n">
        <v>0</v>
      </c>
      <c r="AC438" s="32" t="n">
        <v>0</v>
      </c>
      <c r="AD438" s="3" t="n"/>
      <c r="AE438" s="31" t="n">
        <v>0</v>
      </c>
      <c r="AF438" s="2" t="n">
        <v>0</v>
      </c>
      <c r="AG438" s="2" t="n">
        <v>2</v>
      </c>
      <c r="AH438" s="4" t="n">
        <v>2</v>
      </c>
      <c r="AI438" s="33" t="n">
        <v>0</v>
      </c>
      <c r="AJ438" s="4" t="n">
        <v>0</v>
      </c>
      <c r="AK438" s="34" t="n"/>
      <c r="AL438" s="34" t="n">
        <v>0</v>
      </c>
      <c r="AM438" s="2" t="n">
        <v>0</v>
      </c>
    </row>
    <row r="439">
      <c r="A439">
        <f>HYPERLINK("https://www.walmart.com/ip/14488664374", "14488664374")</f>
        <v/>
      </c>
      <c r="B439">
        <f>HYPERLINK("https://app.optiwise.ai/catalog/itemdetails/13057979", "Catalonia Oversized Blanket Hoodie Sweatshirt, Fleece Hooded Lounging Pullover with Giant Pocket, Birthday Gifts Christmas Gifts, Pink Plaid")</f>
        <v/>
      </c>
      <c r="C439" t="inlineStr">
        <is>
          <t>-</t>
        </is>
      </c>
      <c r="E439" t="inlineStr">
        <is>
          <t>1CTOSH300PGN-FS</t>
        </is>
      </c>
      <c r="F439" t="n">
        <v>0</v>
      </c>
      <c r="G439" t="inlineStr">
        <is>
          <t>Clothing</t>
        </is>
      </c>
      <c r="H439" t="inlineStr">
        <is>
          <t>Sweatshirts &amp; Hoodies</t>
        </is>
      </c>
      <c r="I439" t="inlineStr">
        <is>
          <t>Catalonia</t>
        </is>
      </c>
      <c r="L439" s="29" t="n">
        <v>0</v>
      </c>
      <c r="M439" s="30" t="n"/>
      <c r="N439" s="29" t="n">
        <v>0</v>
      </c>
      <c r="O439" s="29" t="n">
        <v>0</v>
      </c>
      <c r="P439" s="2" t="n">
        <v>0</v>
      </c>
      <c r="Q439" s="31" t="n">
        <v>0</v>
      </c>
      <c r="R439" s="32" t="n"/>
      <c r="S439" s="32" t="n">
        <v>0</v>
      </c>
      <c r="T439" s="32" t="n">
        <v>0</v>
      </c>
      <c r="U439" s="31" t="n">
        <v>0</v>
      </c>
      <c r="V439" s="32" t="n">
        <v>0</v>
      </c>
      <c r="W439" s="31" t="n">
        <v>0</v>
      </c>
      <c r="X439" s="31" t="n">
        <v>0</v>
      </c>
      <c r="Y439" s="3" t="n">
        <v>0</v>
      </c>
      <c r="Z439" s="3" t="n">
        <v>0</v>
      </c>
      <c r="AA439" s="32" t="n">
        <v>0</v>
      </c>
      <c r="AB439" s="3" t="n">
        <v>0</v>
      </c>
      <c r="AC439" s="32" t="n">
        <v>0</v>
      </c>
      <c r="AD439" s="3" t="n"/>
      <c r="AE439" s="31" t="n">
        <v>0</v>
      </c>
      <c r="AF439" s="2" t="n">
        <v>0</v>
      </c>
      <c r="AG439" s="2" t="n">
        <v>3</v>
      </c>
      <c r="AH439" s="4" t="n">
        <v>3</v>
      </c>
      <c r="AI439" s="33" t="n">
        <v>0</v>
      </c>
      <c r="AJ439" s="4" t="n">
        <v>0</v>
      </c>
      <c r="AK439" s="34" t="n"/>
      <c r="AL439" s="34" t="n">
        <v>0</v>
      </c>
      <c r="AM439" s="2" t="n">
        <v>0</v>
      </c>
    </row>
    <row r="440">
      <c r="A440">
        <f>HYPERLINK("https://www.walmart.com/ip/14487262810", "14487262810")</f>
        <v/>
      </c>
      <c r="B440">
        <f>HYPERLINK("https://app.optiwise.ai/catalog/itemdetails/13057978", "Catalonia Cotton Candy Blanket Hoodie for Kids, Oversized Wearable Fleece Sweatshirt Pullover for 7-16 yr Teens Youth, Kids Gift Idea")</f>
        <v/>
      </c>
      <c r="C440" t="inlineStr">
        <is>
          <t>-</t>
        </is>
      </c>
      <c r="E440" t="inlineStr">
        <is>
          <t>1CTOSH401COTTONCANDY-FS</t>
        </is>
      </c>
      <c r="F440" t="n">
        <v>0</v>
      </c>
      <c r="G440" t="inlineStr">
        <is>
          <t>Clothing</t>
        </is>
      </c>
      <c r="H440" t="inlineStr">
        <is>
          <t>Sweatshirts &amp; Hoodies</t>
        </is>
      </c>
      <c r="I440" t="inlineStr">
        <is>
          <t>Catalonia</t>
        </is>
      </c>
      <c r="L440" s="29" t="n">
        <v>0</v>
      </c>
      <c r="M440" s="30" t="n"/>
      <c r="N440" s="29" t="n">
        <v>0</v>
      </c>
      <c r="O440" s="29" t="n">
        <v>0</v>
      </c>
      <c r="P440" s="2" t="n">
        <v>0</v>
      </c>
      <c r="Q440" s="31" t="n">
        <v>0</v>
      </c>
      <c r="R440" s="32" t="n"/>
      <c r="S440" s="32" t="n">
        <v>0</v>
      </c>
      <c r="T440" s="32" t="n">
        <v>0</v>
      </c>
      <c r="U440" s="31" t="n">
        <v>0</v>
      </c>
      <c r="V440" s="32" t="n">
        <v>0</v>
      </c>
      <c r="W440" s="31" t="n">
        <v>0</v>
      </c>
      <c r="X440" s="31" t="n">
        <v>0</v>
      </c>
      <c r="Y440" s="3" t="n">
        <v>0</v>
      </c>
      <c r="Z440" s="3" t="n">
        <v>0</v>
      </c>
      <c r="AA440" s="32" t="n">
        <v>0</v>
      </c>
      <c r="AB440" s="3" t="n">
        <v>0</v>
      </c>
      <c r="AC440" s="32" t="n">
        <v>0</v>
      </c>
      <c r="AD440" s="3" t="n"/>
      <c r="AE440" s="31" t="n">
        <v>0</v>
      </c>
      <c r="AF440" s="2" t="n">
        <v>0</v>
      </c>
      <c r="AG440" s="2" t="n">
        <v>2</v>
      </c>
      <c r="AH440" s="4" t="n">
        <v>2</v>
      </c>
      <c r="AI440" s="33" t="n">
        <v>0</v>
      </c>
      <c r="AJ440" s="4" t="n">
        <v>0</v>
      </c>
      <c r="AK440" s="34" t="n"/>
      <c r="AL440" s="34" t="n">
        <v>0</v>
      </c>
      <c r="AM440" s="2" t="n">
        <v>0</v>
      </c>
    </row>
    <row r="441">
      <c r="A441">
        <f>HYPERLINK("https://www.walmart.com/ip/14475759275", "14475759275")</f>
        <v/>
      </c>
      <c r="B441">
        <f>HYPERLINK("https://app.optiwise.ai/catalog/itemdetails/13057977", "Catalonia Oversized Blanket Hoodie Sweatshirt, Comfortable Wearable Blanket Pullover Adults, Blue Silver")</f>
        <v/>
      </c>
      <c r="C441" t="inlineStr">
        <is>
          <t>-</t>
        </is>
      </c>
      <c r="E441" t="inlineStr">
        <is>
          <t>1CTOSH410BLSL-FS</t>
        </is>
      </c>
      <c r="F441" t="n">
        <v>0</v>
      </c>
      <c r="G441" t="inlineStr">
        <is>
          <t>Clothing</t>
        </is>
      </c>
      <c r="H441" t="inlineStr">
        <is>
          <t>Sweatshirts &amp; Hoodies</t>
        </is>
      </c>
      <c r="I441" t="inlineStr">
        <is>
          <t>Catalonia</t>
        </is>
      </c>
      <c r="L441" s="29" t="n">
        <v>0</v>
      </c>
      <c r="M441" s="30" t="n"/>
      <c r="N441" s="29" t="n">
        <v>0</v>
      </c>
      <c r="O441" s="29" t="n">
        <v>0</v>
      </c>
      <c r="P441" s="2" t="n">
        <v>0</v>
      </c>
      <c r="Q441" s="31" t="n">
        <v>0</v>
      </c>
      <c r="R441" s="32" t="n"/>
      <c r="S441" s="32" t="n">
        <v>0</v>
      </c>
      <c r="T441" s="32" t="n">
        <v>0</v>
      </c>
      <c r="U441" s="31" t="n">
        <v>0</v>
      </c>
      <c r="V441" s="32" t="n">
        <v>0</v>
      </c>
      <c r="W441" s="31" t="n">
        <v>0</v>
      </c>
      <c r="X441" s="31" t="n">
        <v>0</v>
      </c>
      <c r="Y441" s="3" t="n">
        <v>0</v>
      </c>
      <c r="Z441" s="3" t="n">
        <v>0</v>
      </c>
      <c r="AA441" s="32" t="n">
        <v>0</v>
      </c>
      <c r="AB441" s="3" t="n">
        <v>0</v>
      </c>
      <c r="AC441" s="32" t="n">
        <v>0</v>
      </c>
      <c r="AD441" s="3" t="n"/>
      <c r="AE441" s="31" t="n">
        <v>0</v>
      </c>
      <c r="AF441" s="2" t="n">
        <v>0</v>
      </c>
      <c r="AG441" s="2" t="n">
        <v>6</v>
      </c>
      <c r="AH441" s="4" t="n">
        <v>6</v>
      </c>
      <c r="AI441" s="33" t="n">
        <v>0</v>
      </c>
      <c r="AJ441" s="4" t="n">
        <v>0</v>
      </c>
      <c r="AK441" s="34" t="n"/>
      <c r="AL441" s="34" t="n">
        <v>0</v>
      </c>
      <c r="AM441" s="2" t="n">
        <v>0</v>
      </c>
    </row>
    <row r="442">
      <c r="A442">
        <f>HYPERLINK("https://www.walmart.com/ip/14475608149", "14475608149")</f>
        <v/>
      </c>
      <c r="B442">
        <f>HYPERLINK("https://app.optiwise.ai/catalog/itemdetails/13057976", "Catalonia Women's Blanket Hoodie Sweatshirt, Cozy Comfortable Fluffy Soft Fleece Lounging Pullover, Warm Fleece Hooded with Pockets Gift, Ombre Grey")</f>
        <v/>
      </c>
      <c r="C442" t="inlineStr">
        <is>
          <t>-</t>
        </is>
      </c>
      <c r="E442" t="inlineStr">
        <is>
          <t>1CTOSH330GY-FS</t>
        </is>
      </c>
      <c r="F442" t="n">
        <v>0</v>
      </c>
      <c r="G442" t="inlineStr">
        <is>
          <t>Clothing</t>
        </is>
      </c>
      <c r="H442" t="inlineStr">
        <is>
          <t>Sweatshirts &amp; Hoodies</t>
        </is>
      </c>
      <c r="I442" t="inlineStr">
        <is>
          <t>Catalonia</t>
        </is>
      </c>
      <c r="L442" s="29" t="n">
        <v>0</v>
      </c>
      <c r="M442" s="30" t="n"/>
      <c r="N442" s="29" t="n">
        <v>0</v>
      </c>
      <c r="O442" s="29" t="n">
        <v>0</v>
      </c>
      <c r="P442" s="2" t="n">
        <v>0</v>
      </c>
      <c r="Q442" s="31" t="n">
        <v>0</v>
      </c>
      <c r="R442" s="32" t="n"/>
      <c r="S442" s="32" t="n">
        <v>0</v>
      </c>
      <c r="T442" s="32" t="n">
        <v>0</v>
      </c>
      <c r="U442" s="31" t="n">
        <v>0</v>
      </c>
      <c r="V442" s="32" t="n">
        <v>0</v>
      </c>
      <c r="W442" s="31" t="n">
        <v>0</v>
      </c>
      <c r="X442" s="31" t="n">
        <v>0</v>
      </c>
      <c r="Y442" s="3" t="n">
        <v>0</v>
      </c>
      <c r="Z442" s="3" t="n">
        <v>0</v>
      </c>
      <c r="AA442" s="32" t="n">
        <v>0</v>
      </c>
      <c r="AB442" s="3" t="n">
        <v>0</v>
      </c>
      <c r="AC442" s="32" t="n">
        <v>0</v>
      </c>
      <c r="AD442" s="3" t="n"/>
      <c r="AE442" s="31" t="n">
        <v>0</v>
      </c>
      <c r="AF442" s="2" t="n">
        <v>0</v>
      </c>
      <c r="AG442" s="2" t="n">
        <v>4</v>
      </c>
      <c r="AH442" s="4" t="n">
        <v>4</v>
      </c>
      <c r="AI442" s="33" t="n">
        <v>0</v>
      </c>
      <c r="AJ442" s="4" t="n">
        <v>0</v>
      </c>
      <c r="AK442" s="34" t="n"/>
      <c r="AL442" s="34" t="n">
        <v>0</v>
      </c>
      <c r="AM442" s="2" t="n">
        <v>0</v>
      </c>
    </row>
    <row r="443">
      <c r="A443">
        <f>HYPERLINK("https://www.walmart.com/ip/14472471073", "14472471073")</f>
        <v/>
      </c>
      <c r="B443">
        <f>HYPERLINK("https://app.optiwise.ai/catalog/itemdetails/13057974", "Womens Oversized Flannel Blanket Hoodie Sweatshirt, Plush Fleece Lined Lounging Pullover, Christmas Gift for Women (Rose Print, Pink) - Catalonia")</f>
        <v/>
      </c>
      <c r="C443" t="inlineStr">
        <is>
          <t>-</t>
        </is>
      </c>
      <c r="E443" t="inlineStr">
        <is>
          <t>1CTOSH400GYDOG-FS</t>
        </is>
      </c>
      <c r="F443" t="n">
        <v>0</v>
      </c>
      <c r="G443" t="inlineStr">
        <is>
          <t>Clothing</t>
        </is>
      </c>
      <c r="H443" t="inlineStr">
        <is>
          <t>Sweatshirts &amp; Hoodies</t>
        </is>
      </c>
      <c r="I443" t="inlineStr">
        <is>
          <t>Catalonia</t>
        </is>
      </c>
      <c r="L443" s="29" t="n">
        <v>0</v>
      </c>
      <c r="M443" s="30" t="n"/>
      <c r="N443" s="29" t="n">
        <v>0</v>
      </c>
      <c r="O443" s="29" t="n">
        <v>0</v>
      </c>
      <c r="P443" s="2" t="n">
        <v>0</v>
      </c>
      <c r="Q443" s="31" t="n">
        <v>0</v>
      </c>
      <c r="R443" s="32" t="n"/>
      <c r="S443" s="32" t="n">
        <v>0</v>
      </c>
      <c r="T443" s="32" t="n">
        <v>0</v>
      </c>
      <c r="U443" s="31" t="n">
        <v>0</v>
      </c>
      <c r="V443" s="32" t="n">
        <v>0</v>
      </c>
      <c r="W443" s="31" t="n">
        <v>0</v>
      </c>
      <c r="X443" s="31" t="n">
        <v>0</v>
      </c>
      <c r="Y443" s="3" t="n">
        <v>0</v>
      </c>
      <c r="Z443" s="3" t="n">
        <v>0</v>
      </c>
      <c r="AA443" s="32" t="n">
        <v>0</v>
      </c>
      <c r="AB443" s="3" t="n">
        <v>0</v>
      </c>
      <c r="AC443" s="32" t="n">
        <v>0</v>
      </c>
      <c r="AD443" s="3" t="n"/>
      <c r="AE443" s="31" t="n">
        <v>0</v>
      </c>
      <c r="AF443" s="2" t="n">
        <v>0</v>
      </c>
      <c r="AG443" s="2" t="n">
        <v>3</v>
      </c>
      <c r="AH443" s="4" t="n">
        <v>3</v>
      </c>
      <c r="AI443" s="33" t="n">
        <v>0</v>
      </c>
      <c r="AJ443" s="4" t="n">
        <v>0</v>
      </c>
      <c r="AK443" s="34" t="n"/>
      <c r="AL443" s="34" t="n">
        <v>0</v>
      </c>
      <c r="AM443" s="2" t="n">
        <v>0</v>
      </c>
    </row>
    <row r="444">
      <c r="A444">
        <f>HYPERLINK("https://www.walmart.com/ip/14440922018", "14440922018")</f>
        <v/>
      </c>
      <c r="B444">
        <f>HYPERLINK("https://app.optiwise.ai/catalog/itemdetails/13057973", "Catalonia Blanket Hoodie for Kids, Oversized Wearable Fleece Sweatshirt Pullover for 7-16 yr Teens Youth, Kids Gift Idea, Rose")</f>
        <v/>
      </c>
      <c r="C444" t="inlineStr">
        <is>
          <t>-</t>
        </is>
      </c>
      <c r="E444" t="inlineStr">
        <is>
          <t>1CTOSH401HP-FS</t>
        </is>
      </c>
      <c r="F444" t="n">
        <v>0</v>
      </c>
      <c r="G444" t="inlineStr">
        <is>
          <t>Clothing</t>
        </is>
      </c>
      <c r="H444" t="inlineStr">
        <is>
          <t>Sweatshirts &amp; Hoodies</t>
        </is>
      </c>
      <c r="I444" t="inlineStr">
        <is>
          <t>Catalonia</t>
        </is>
      </c>
      <c r="L444" s="29" t="n">
        <v>0</v>
      </c>
      <c r="M444" s="30" t="n"/>
      <c r="N444" s="29" t="n">
        <v>0</v>
      </c>
      <c r="O444" s="29" t="n">
        <v>0</v>
      </c>
      <c r="P444" s="2" t="n">
        <v>0</v>
      </c>
      <c r="Q444" s="31" t="n">
        <v>0</v>
      </c>
      <c r="R444" s="32" t="n"/>
      <c r="S444" s="32" t="n">
        <v>0</v>
      </c>
      <c r="T444" s="32" t="n">
        <v>0</v>
      </c>
      <c r="U444" s="31" t="n">
        <v>0</v>
      </c>
      <c r="V444" s="32" t="n">
        <v>0</v>
      </c>
      <c r="W444" s="31" t="n">
        <v>0</v>
      </c>
      <c r="X444" s="31" t="n">
        <v>0</v>
      </c>
      <c r="Y444" s="3" t="n">
        <v>0</v>
      </c>
      <c r="Z444" s="3" t="n">
        <v>0</v>
      </c>
      <c r="AA444" s="32" t="n">
        <v>0</v>
      </c>
      <c r="AB444" s="3" t="n">
        <v>0</v>
      </c>
      <c r="AC444" s="32" t="n">
        <v>0</v>
      </c>
      <c r="AD444" s="3" t="n"/>
      <c r="AE444" s="31" t="n">
        <v>0</v>
      </c>
      <c r="AF444" s="2" t="n">
        <v>0</v>
      </c>
      <c r="AG444" s="2" t="n">
        <v>4</v>
      </c>
      <c r="AH444" s="4" t="n">
        <v>4</v>
      </c>
      <c r="AI444" s="33" t="n">
        <v>0</v>
      </c>
      <c r="AJ444" s="4" t="n">
        <v>0</v>
      </c>
      <c r="AK444" s="34" t="n"/>
      <c r="AL444" s="34" t="n">
        <v>0</v>
      </c>
      <c r="AM444" s="2" t="n">
        <v>0</v>
      </c>
    </row>
    <row r="445">
      <c r="A445">
        <f>HYPERLINK("https://www.walmart.com/ip/14505710525", "14505710525")</f>
        <v/>
      </c>
      <c r="B445">
        <f>HYPERLINK("https://app.optiwise.ai/catalog/itemdetails/13057971", "Catalonia Blanket Hoodie for Kids, Oversized Wearable Fleece Sweatshirt Pullover for 7-16 yr Teens Youth, Kids Gift Idea")</f>
        <v/>
      </c>
      <c r="C445" t="inlineStr">
        <is>
          <t>-</t>
        </is>
      </c>
      <c r="E445" t="inlineStr">
        <is>
          <t>1CTOSH401GYASH-FS</t>
        </is>
      </c>
      <c r="F445" t="n">
        <v>0</v>
      </c>
      <c r="G445" t="inlineStr">
        <is>
          <t>Clothing</t>
        </is>
      </c>
      <c r="H445" t="inlineStr">
        <is>
          <t>Sweatshirts &amp; Hoodies</t>
        </is>
      </c>
      <c r="I445" t="inlineStr">
        <is>
          <t>Catalonia</t>
        </is>
      </c>
      <c r="L445" s="29" t="n">
        <v>0</v>
      </c>
      <c r="M445" s="30" t="n"/>
      <c r="N445" s="29" t="n">
        <v>0</v>
      </c>
      <c r="O445" s="29" t="n">
        <v>0</v>
      </c>
      <c r="P445" s="2" t="n">
        <v>0</v>
      </c>
      <c r="Q445" s="31" t="n">
        <v>0</v>
      </c>
      <c r="R445" s="32" t="n"/>
      <c r="S445" s="32" t="n">
        <v>0</v>
      </c>
      <c r="T445" s="32" t="n">
        <v>0</v>
      </c>
      <c r="U445" s="31" t="n">
        <v>0</v>
      </c>
      <c r="V445" s="32" t="n">
        <v>0</v>
      </c>
      <c r="W445" s="31" t="n">
        <v>0</v>
      </c>
      <c r="X445" s="31" t="n">
        <v>0</v>
      </c>
      <c r="Y445" s="3" t="n">
        <v>0</v>
      </c>
      <c r="Z445" s="3" t="n">
        <v>0</v>
      </c>
      <c r="AA445" s="32" t="n">
        <v>0</v>
      </c>
      <c r="AB445" s="3" t="n">
        <v>0</v>
      </c>
      <c r="AC445" s="32" t="n">
        <v>0</v>
      </c>
      <c r="AD445" s="3" t="n"/>
      <c r="AE445" s="31" t="n">
        <v>0</v>
      </c>
      <c r="AF445" s="2" t="n">
        <v>0</v>
      </c>
      <c r="AG445" s="2" t="n">
        <v>2</v>
      </c>
      <c r="AH445" s="4" t="n">
        <v>2</v>
      </c>
      <c r="AI445" s="33" t="n">
        <v>0</v>
      </c>
      <c r="AJ445" s="4" t="n">
        <v>0</v>
      </c>
      <c r="AK445" s="34" t="n"/>
      <c r="AL445" s="34" t="n">
        <v>0</v>
      </c>
      <c r="AM445" s="2" t="n">
        <v>0</v>
      </c>
    </row>
    <row r="446">
      <c r="A446">
        <f>HYPERLINK("https://www.walmart.com/ip/14505705633", "14505705633")</f>
        <v/>
      </c>
      <c r="B446">
        <f>HYPERLINK("https://app.optiwise.ai/catalog/itemdetails/13057970", "Catalonia Blanket Hoodie for Kids, Oversized Wearable Fleece Sweatshirt Pullover for 7-16 yr Teens Youth, Kids Gift Idea, Latte")</f>
        <v/>
      </c>
      <c r="C446" t="inlineStr">
        <is>
          <t>-</t>
        </is>
      </c>
      <c r="E446" t="inlineStr">
        <is>
          <t>1CTOSH401LT-FS</t>
        </is>
      </c>
      <c r="F446" t="n">
        <v>0</v>
      </c>
      <c r="G446" t="inlineStr">
        <is>
          <t>Clothing</t>
        </is>
      </c>
      <c r="H446" t="inlineStr">
        <is>
          <t>Sweatshirts &amp; Hoodies</t>
        </is>
      </c>
      <c r="I446" t="inlineStr">
        <is>
          <t>Catalonia</t>
        </is>
      </c>
      <c r="L446" s="29" t="n">
        <v>0</v>
      </c>
      <c r="M446" s="30" t="n"/>
      <c r="N446" s="29" t="n">
        <v>0</v>
      </c>
      <c r="O446" s="29" t="n">
        <v>0</v>
      </c>
      <c r="P446" s="2" t="n">
        <v>0</v>
      </c>
      <c r="Q446" s="31" t="n">
        <v>0</v>
      </c>
      <c r="R446" s="32" t="n"/>
      <c r="S446" s="32" t="n">
        <v>0</v>
      </c>
      <c r="T446" s="32" t="n">
        <v>0</v>
      </c>
      <c r="U446" s="31" t="n">
        <v>0</v>
      </c>
      <c r="V446" s="32" t="n">
        <v>0</v>
      </c>
      <c r="W446" s="31" t="n">
        <v>0</v>
      </c>
      <c r="X446" s="31" t="n">
        <v>0</v>
      </c>
      <c r="Y446" s="3" t="n">
        <v>0</v>
      </c>
      <c r="Z446" s="3" t="n">
        <v>0</v>
      </c>
      <c r="AA446" s="32" t="n">
        <v>0</v>
      </c>
      <c r="AB446" s="3" t="n">
        <v>0</v>
      </c>
      <c r="AC446" s="32" t="n">
        <v>0</v>
      </c>
      <c r="AD446" s="3" t="n"/>
      <c r="AE446" s="31" t="n">
        <v>0</v>
      </c>
      <c r="AF446" s="2" t="n">
        <v>0</v>
      </c>
      <c r="AG446" s="2" t="n">
        <v>4</v>
      </c>
      <c r="AH446" s="4" t="n">
        <v>4</v>
      </c>
      <c r="AI446" s="33" t="n">
        <v>0</v>
      </c>
      <c r="AJ446" s="4" t="n">
        <v>0</v>
      </c>
      <c r="AK446" s="34" t="n"/>
      <c r="AL446" s="34" t="n">
        <v>0</v>
      </c>
      <c r="AM446" s="2" t="n">
        <v>0</v>
      </c>
    </row>
    <row r="447">
      <c r="A447">
        <f>HYPERLINK("https://www.walmart.com/ip/14488914626", "14488914626")</f>
        <v/>
      </c>
      <c r="B447">
        <f>HYPERLINK("https://app.optiwise.ai/catalog/itemdetails/13057969", "Tirrinia Womens' Hoodie Blanket Sweatshirt, Oversized Comfortable Fleece Giant Wearable Blankets, Hoodie Blanket for Men, Gift for Her Him, Horse")</f>
        <v/>
      </c>
      <c r="C447" t="inlineStr">
        <is>
          <t>-</t>
        </is>
      </c>
      <c r="E447" t="inlineStr">
        <is>
          <t>1TROSH400HP-FS</t>
        </is>
      </c>
      <c r="F447" t="n">
        <v>0</v>
      </c>
      <c r="G447" t="inlineStr">
        <is>
          <t>Clothing</t>
        </is>
      </c>
      <c r="H447" t="inlineStr">
        <is>
          <t>Sweatshirts &amp; Hoodies</t>
        </is>
      </c>
      <c r="I447" t="inlineStr">
        <is>
          <t>Tirrinia</t>
        </is>
      </c>
      <c r="L447" s="29" t="n">
        <v>0</v>
      </c>
      <c r="M447" s="30" t="n"/>
      <c r="N447" s="29" t="n">
        <v>0</v>
      </c>
      <c r="O447" s="29" t="n">
        <v>0</v>
      </c>
      <c r="P447" s="2" t="n">
        <v>0</v>
      </c>
      <c r="Q447" s="31" t="n">
        <v>0</v>
      </c>
      <c r="R447" s="32" t="n"/>
      <c r="S447" s="32" t="n">
        <v>0</v>
      </c>
      <c r="T447" s="32" t="n">
        <v>0</v>
      </c>
      <c r="U447" s="31" t="n">
        <v>0</v>
      </c>
      <c r="V447" s="32" t="n">
        <v>0</v>
      </c>
      <c r="W447" s="31" t="n">
        <v>0</v>
      </c>
      <c r="X447" s="31" t="n">
        <v>0</v>
      </c>
      <c r="Y447" s="3" t="n">
        <v>0</v>
      </c>
      <c r="Z447" s="3" t="n">
        <v>0</v>
      </c>
      <c r="AA447" s="32" t="n">
        <v>0</v>
      </c>
      <c r="AB447" s="3" t="n">
        <v>0</v>
      </c>
      <c r="AC447" s="32" t="n">
        <v>0</v>
      </c>
      <c r="AD447" s="3" t="n"/>
      <c r="AE447" s="31" t="n">
        <v>0</v>
      </c>
      <c r="AF447" s="2" t="n">
        <v>0</v>
      </c>
      <c r="AG447" s="2" t="n">
        <v>4</v>
      </c>
      <c r="AH447" s="4" t="n">
        <v>4</v>
      </c>
      <c r="AI447" s="33" t="n">
        <v>0</v>
      </c>
      <c r="AJ447" s="4" t="n">
        <v>0</v>
      </c>
      <c r="AK447" s="34" t="n"/>
      <c r="AL447" s="34" t="n">
        <v>0</v>
      </c>
      <c r="AM447" s="2" t="n">
        <v>0</v>
      </c>
    </row>
    <row r="448">
      <c r="A448">
        <f>HYPERLINK("https://www.walmart.com/ip/14488814829", "14488814829")</f>
        <v/>
      </c>
      <c r="B448">
        <f>HYPERLINK("https://app.optiwise.ai/catalog/itemdetails/13057967", "Tirrinia Womens' Hoodie Blanket Sweatshirt, Oversized Comfortable Fleece Giant Wearable Blankets, Hoodie Blanket for Men, Gift for Her Him, Purple")</f>
        <v/>
      </c>
      <c r="C448" t="inlineStr">
        <is>
          <t>-</t>
        </is>
      </c>
      <c r="E448" t="inlineStr">
        <is>
          <t>1TROSH400PP-FS</t>
        </is>
      </c>
      <c r="F448" t="n">
        <v>0</v>
      </c>
      <c r="G448" t="inlineStr">
        <is>
          <t>Clothing</t>
        </is>
      </c>
      <c r="H448" t="inlineStr">
        <is>
          <t>Sweatshirts &amp; Hoodies</t>
        </is>
      </c>
      <c r="I448" t="inlineStr">
        <is>
          <t>Tirrinia</t>
        </is>
      </c>
      <c r="L448" s="29" t="n">
        <v>0</v>
      </c>
      <c r="M448" s="30" t="n"/>
      <c r="N448" s="29" t="n">
        <v>0</v>
      </c>
      <c r="O448" s="29" t="n">
        <v>0</v>
      </c>
      <c r="P448" s="2" t="n">
        <v>0</v>
      </c>
      <c r="Q448" s="31" t="n">
        <v>0</v>
      </c>
      <c r="R448" s="32" t="n"/>
      <c r="S448" s="32" t="n">
        <v>0</v>
      </c>
      <c r="T448" s="32" t="n">
        <v>0</v>
      </c>
      <c r="U448" s="31" t="n">
        <v>0</v>
      </c>
      <c r="V448" s="32" t="n">
        <v>0</v>
      </c>
      <c r="W448" s="31" t="n">
        <v>0</v>
      </c>
      <c r="X448" s="31" t="n">
        <v>0</v>
      </c>
      <c r="Y448" s="3" t="n">
        <v>0</v>
      </c>
      <c r="Z448" s="3" t="n">
        <v>0</v>
      </c>
      <c r="AA448" s="32" t="n">
        <v>0</v>
      </c>
      <c r="AB448" s="3" t="n">
        <v>0</v>
      </c>
      <c r="AC448" s="32" t="n">
        <v>0</v>
      </c>
      <c r="AD448" s="3" t="n"/>
      <c r="AE448" s="31" t="n">
        <v>0</v>
      </c>
      <c r="AF448" s="2" t="n">
        <v>0</v>
      </c>
      <c r="AG448" s="2" t="n">
        <v>2</v>
      </c>
      <c r="AH448" s="4" t="n">
        <v>2</v>
      </c>
      <c r="AI448" s="33" t="n">
        <v>0</v>
      </c>
      <c r="AJ448" s="4" t="n">
        <v>0</v>
      </c>
      <c r="AK448" s="34" t="n"/>
      <c r="AL448" s="34" t="n">
        <v>0</v>
      </c>
      <c r="AM448" s="2" t="n">
        <v>0</v>
      </c>
    </row>
    <row r="449">
      <c r="A449">
        <f>HYPERLINK("https://www.walmart.com/ip/14487312722", "14487312722")</f>
        <v/>
      </c>
      <c r="B449">
        <f>HYPERLINK("https://app.optiwise.ai/catalog/itemdetails/13057966", "Womens Oversized Flannel Blanket Hoodie Sweatshirt, Plush Fleece Lined Lounging Pullover, Christmas Gift for Women (Cow Print) - Catalonia")</f>
        <v/>
      </c>
      <c r="C449" t="inlineStr">
        <is>
          <t>-</t>
        </is>
      </c>
      <c r="E449" t="inlineStr">
        <is>
          <t>1CTOSH400DMT-FS</t>
        </is>
      </c>
      <c r="F449" t="n">
        <v>0</v>
      </c>
      <c r="G449" t="inlineStr">
        <is>
          <t>Clothing</t>
        </is>
      </c>
      <c r="H449" t="inlineStr">
        <is>
          <t>Sweatshirts &amp; Hoodies</t>
        </is>
      </c>
      <c r="I449" t="inlineStr">
        <is>
          <t>Catalonia</t>
        </is>
      </c>
      <c r="L449" s="29" t="n">
        <v>0</v>
      </c>
      <c r="M449" s="30" t="n"/>
      <c r="N449" s="29" t="n">
        <v>0</v>
      </c>
      <c r="O449" s="29" t="n">
        <v>0</v>
      </c>
      <c r="P449" s="2" t="n">
        <v>0</v>
      </c>
      <c r="Q449" s="31" t="n">
        <v>0</v>
      </c>
      <c r="R449" s="32" t="n"/>
      <c r="S449" s="32" t="n">
        <v>0</v>
      </c>
      <c r="T449" s="32" t="n">
        <v>0</v>
      </c>
      <c r="U449" s="31" t="n">
        <v>0</v>
      </c>
      <c r="V449" s="32" t="n">
        <v>0</v>
      </c>
      <c r="W449" s="31" t="n">
        <v>0</v>
      </c>
      <c r="X449" s="31" t="n">
        <v>0</v>
      </c>
      <c r="Y449" s="3" t="n">
        <v>0</v>
      </c>
      <c r="Z449" s="3" t="n">
        <v>0</v>
      </c>
      <c r="AA449" s="32" t="n">
        <v>0</v>
      </c>
      <c r="AB449" s="3" t="n">
        <v>0</v>
      </c>
      <c r="AC449" s="32" t="n">
        <v>0</v>
      </c>
      <c r="AD449" s="3" t="n"/>
      <c r="AE449" s="31" t="n">
        <v>0</v>
      </c>
      <c r="AF449" s="2" t="n">
        <v>0</v>
      </c>
      <c r="AG449" s="2" t="n">
        <v>2</v>
      </c>
      <c r="AH449" s="4" t="n">
        <v>2</v>
      </c>
      <c r="AI449" s="33" t="n">
        <v>0</v>
      </c>
      <c r="AJ449" s="4" t="n">
        <v>0</v>
      </c>
      <c r="AK449" s="34" t="n"/>
      <c r="AL449" s="34" t="n">
        <v>0</v>
      </c>
      <c r="AM449" s="2" t="n">
        <v>0</v>
      </c>
    </row>
    <row r="450">
      <c r="A450">
        <f>HYPERLINK("https://www.walmart.com/ip/14486811190", "14486811190")</f>
        <v/>
      </c>
      <c r="B450">
        <f>HYPERLINK("https://app.optiwise.ai/catalog/itemdetails/13057965", "Catalonia Cat Print Blanket Hoodie for Kids, Oversized Wearable Fleece Sweatshirt Pullover for 7-16 yr Teens Youth, Kids Gift Idea")</f>
        <v/>
      </c>
      <c r="C450" t="inlineStr">
        <is>
          <t>-</t>
        </is>
      </c>
      <c r="E450" t="inlineStr">
        <is>
          <t>1CTOSH401BLCAT-FS</t>
        </is>
      </c>
      <c r="F450" t="n">
        <v>0</v>
      </c>
      <c r="G450" t="inlineStr">
        <is>
          <t>Clothing</t>
        </is>
      </c>
      <c r="H450" t="inlineStr">
        <is>
          <t>Sweatshirts &amp; Hoodies</t>
        </is>
      </c>
      <c r="I450" t="inlineStr">
        <is>
          <t>Catalonia</t>
        </is>
      </c>
      <c r="L450" s="29" t="n">
        <v>0</v>
      </c>
      <c r="M450" s="30" t="n"/>
      <c r="N450" s="29" t="n">
        <v>0</v>
      </c>
      <c r="O450" s="29" t="n">
        <v>0</v>
      </c>
      <c r="P450" s="2" t="n">
        <v>0</v>
      </c>
      <c r="Q450" s="31" t="n">
        <v>0</v>
      </c>
      <c r="R450" s="32" t="n"/>
      <c r="S450" s="32" t="n">
        <v>0</v>
      </c>
      <c r="T450" s="32" t="n">
        <v>0</v>
      </c>
      <c r="U450" s="31" t="n">
        <v>0</v>
      </c>
      <c r="V450" s="32" t="n">
        <v>0</v>
      </c>
      <c r="W450" s="31" t="n">
        <v>0</v>
      </c>
      <c r="X450" s="31" t="n">
        <v>0</v>
      </c>
      <c r="Y450" s="3" t="n">
        <v>0</v>
      </c>
      <c r="Z450" s="3" t="n">
        <v>0</v>
      </c>
      <c r="AA450" s="32" t="n">
        <v>0</v>
      </c>
      <c r="AB450" s="3" t="n">
        <v>0</v>
      </c>
      <c r="AC450" s="32" t="n">
        <v>0</v>
      </c>
      <c r="AD450" s="3" t="n"/>
      <c r="AE450" s="31" t="n">
        <v>0</v>
      </c>
      <c r="AF450" s="2" t="n">
        <v>0</v>
      </c>
      <c r="AG450" s="2" t="n">
        <v>3</v>
      </c>
      <c r="AH450" s="4" t="n">
        <v>3</v>
      </c>
      <c r="AI450" s="33" t="n">
        <v>0</v>
      </c>
      <c r="AJ450" s="4" t="n">
        <v>0</v>
      </c>
      <c r="AK450" s="34" t="n"/>
      <c r="AL450" s="34" t="n">
        <v>0</v>
      </c>
      <c r="AM450" s="2" t="n">
        <v>0</v>
      </c>
    </row>
    <row r="451">
      <c r="A451">
        <f>HYPERLINK("https://www.walmart.com/ip/14486463816", "14486463816")</f>
        <v/>
      </c>
      <c r="B451">
        <f>HYPERLINK("https://app.optiwise.ai/catalog/itemdetails/13057964", "Catalonia Women's Hoodie Sweatshirt, Casual Long Sleeves Pullover Sweater with front Pocket, Blanket Hoodie Sweatshirt, Pinkash")</f>
        <v/>
      </c>
      <c r="C451" t="inlineStr">
        <is>
          <t>-</t>
        </is>
      </c>
      <c r="E451" t="inlineStr">
        <is>
          <t>1CTOSH300S1PKASH-FS</t>
        </is>
      </c>
      <c r="F451" t="n">
        <v>0</v>
      </c>
      <c r="G451" t="inlineStr">
        <is>
          <t>Clothing</t>
        </is>
      </c>
      <c r="H451" t="inlineStr">
        <is>
          <t>Sweatshirts &amp; Hoodies</t>
        </is>
      </c>
      <c r="I451" t="inlineStr">
        <is>
          <t>Catalonia</t>
        </is>
      </c>
      <c r="L451" s="29" t="n">
        <v>0</v>
      </c>
      <c r="M451" s="30" t="n"/>
      <c r="N451" s="29" t="n">
        <v>0</v>
      </c>
      <c r="O451" s="29" t="n">
        <v>0</v>
      </c>
      <c r="P451" s="2" t="n">
        <v>0</v>
      </c>
      <c r="Q451" s="31" t="n">
        <v>0</v>
      </c>
      <c r="R451" s="32" t="n"/>
      <c r="S451" s="32" t="n">
        <v>0</v>
      </c>
      <c r="T451" s="32" t="n">
        <v>0</v>
      </c>
      <c r="U451" s="31" t="n">
        <v>0</v>
      </c>
      <c r="V451" s="32" t="n">
        <v>0</v>
      </c>
      <c r="W451" s="31" t="n">
        <v>0</v>
      </c>
      <c r="X451" s="31" t="n">
        <v>0</v>
      </c>
      <c r="Y451" s="3" t="n">
        <v>0</v>
      </c>
      <c r="Z451" s="3" t="n">
        <v>0</v>
      </c>
      <c r="AA451" s="32" t="n">
        <v>0</v>
      </c>
      <c r="AB451" s="3" t="n">
        <v>0</v>
      </c>
      <c r="AC451" s="32" t="n">
        <v>0</v>
      </c>
      <c r="AD451" s="3" t="n"/>
      <c r="AE451" s="31" t="n">
        <v>0</v>
      </c>
      <c r="AF451" s="2" t="n">
        <v>0</v>
      </c>
      <c r="AG451" s="2" t="n">
        <v>1</v>
      </c>
      <c r="AH451" s="4" t="n">
        <v>1</v>
      </c>
      <c r="AI451" s="33" t="n">
        <v>0</v>
      </c>
      <c r="AJ451" s="4" t="n">
        <v>0</v>
      </c>
      <c r="AK451" s="34" t="n"/>
      <c r="AL451" s="34" t="n">
        <v>0</v>
      </c>
      <c r="AM451" s="2" t="n">
        <v>0</v>
      </c>
    </row>
    <row r="452">
      <c r="A452">
        <f>HYPERLINK("https://www.walmart.com/ip/14483052382", "14483052382")</f>
        <v/>
      </c>
      <c r="B452">
        <f>HYPERLINK("https://app.optiwise.ai/catalog/itemdetails/13057962", "Catalonia Women's Hoodie Sweatshirt, Casual Long Sleeves Pullover Sweater with front Pocket, Blanket Hoodie Sweatshirt, Dark Gray")</f>
        <v/>
      </c>
      <c r="C452" t="inlineStr">
        <is>
          <t>-</t>
        </is>
      </c>
      <c r="E452" t="inlineStr">
        <is>
          <t>1CTOSH300S1CHEETAH-FS</t>
        </is>
      </c>
      <c r="F452" t="n">
        <v>0</v>
      </c>
      <c r="G452" t="inlineStr">
        <is>
          <t>Clothing</t>
        </is>
      </c>
      <c r="H452" t="inlineStr">
        <is>
          <t>Sweatshirts &amp; Hoodies</t>
        </is>
      </c>
      <c r="I452" t="inlineStr">
        <is>
          <t>Catalonia</t>
        </is>
      </c>
      <c r="L452" s="29" t="n">
        <v>0</v>
      </c>
      <c r="M452" s="30" t="n"/>
      <c r="N452" s="29" t="n">
        <v>0</v>
      </c>
      <c r="O452" s="29" t="n">
        <v>0</v>
      </c>
      <c r="P452" s="2" t="n">
        <v>0</v>
      </c>
      <c r="Q452" s="31" t="n">
        <v>0</v>
      </c>
      <c r="R452" s="32" t="n"/>
      <c r="S452" s="32" t="n">
        <v>0</v>
      </c>
      <c r="T452" s="32" t="n">
        <v>0</v>
      </c>
      <c r="U452" s="31" t="n">
        <v>0</v>
      </c>
      <c r="V452" s="32" t="n">
        <v>0</v>
      </c>
      <c r="W452" s="31" t="n">
        <v>0</v>
      </c>
      <c r="X452" s="31" t="n">
        <v>0</v>
      </c>
      <c r="Y452" s="3" t="n">
        <v>0</v>
      </c>
      <c r="Z452" s="3" t="n">
        <v>0</v>
      </c>
      <c r="AA452" s="32" t="n">
        <v>0</v>
      </c>
      <c r="AB452" s="3" t="n">
        <v>0</v>
      </c>
      <c r="AC452" s="32" t="n">
        <v>0</v>
      </c>
      <c r="AD452" s="3" t="n"/>
      <c r="AE452" s="31" t="n">
        <v>0</v>
      </c>
      <c r="AF452" s="2" t="n">
        <v>0</v>
      </c>
      <c r="AG452" s="2" t="n">
        <v>2</v>
      </c>
      <c r="AH452" s="4" t="n">
        <v>2</v>
      </c>
      <c r="AI452" s="33" t="n">
        <v>0</v>
      </c>
      <c r="AJ452" s="4" t="n">
        <v>0</v>
      </c>
      <c r="AK452" s="34" t="n"/>
      <c r="AL452" s="34" t="n">
        <v>0</v>
      </c>
      <c r="AM452" s="2" t="n">
        <v>0</v>
      </c>
    </row>
    <row r="453">
      <c r="A453">
        <f>HYPERLINK("https://www.walmart.com/ip/14473700583", "14473700583")</f>
        <v/>
      </c>
      <c r="B453">
        <f>HYPERLINK("https://app.optiwise.ai/catalog/itemdetails/13057961", "Tirrinia Polar Fleece Balaclava Hood Face Mask,Ski Mask Windproof Cycling Mask,Full Face Mask")</f>
        <v/>
      </c>
      <c r="C453" t="inlineStr">
        <is>
          <t>-</t>
        </is>
      </c>
      <c r="E453" t="inlineStr">
        <is>
          <t>1TRWH002ORBK</t>
        </is>
      </c>
      <c r="F453" t="n">
        <v>0</v>
      </c>
      <c r="G453" t="inlineStr">
        <is>
          <t>Clothing</t>
        </is>
      </c>
      <c r="H453" t="inlineStr">
        <is>
          <t>Balaclavas</t>
        </is>
      </c>
      <c r="I453" t="inlineStr">
        <is>
          <t>Tirrinia</t>
        </is>
      </c>
      <c r="L453" s="29" t="n">
        <v>0</v>
      </c>
      <c r="M453" s="30" t="n"/>
      <c r="N453" s="29" t="n">
        <v>0</v>
      </c>
      <c r="O453" s="29" t="n">
        <v>0</v>
      </c>
      <c r="P453" s="2" t="n">
        <v>0</v>
      </c>
      <c r="Q453" s="31" t="n">
        <v>0</v>
      </c>
      <c r="R453" s="32" t="n"/>
      <c r="S453" s="32" t="n">
        <v>0</v>
      </c>
      <c r="T453" s="32" t="n">
        <v>0</v>
      </c>
      <c r="U453" s="31" t="n">
        <v>0</v>
      </c>
      <c r="V453" s="32" t="n">
        <v>0</v>
      </c>
      <c r="W453" s="31" t="n">
        <v>0</v>
      </c>
      <c r="X453" s="31" t="n">
        <v>0</v>
      </c>
      <c r="Y453" s="3" t="n">
        <v>0</v>
      </c>
      <c r="Z453" s="3" t="n">
        <v>0</v>
      </c>
      <c r="AA453" s="32" t="n">
        <v>0</v>
      </c>
      <c r="AB453" s="3" t="n">
        <v>0</v>
      </c>
      <c r="AC453" s="32" t="n">
        <v>0</v>
      </c>
      <c r="AD453" s="3" t="n"/>
      <c r="AE453" s="31" t="n">
        <v>0</v>
      </c>
      <c r="AF453" s="2" t="n">
        <v>0</v>
      </c>
      <c r="AG453" s="2" t="n">
        <v>5</v>
      </c>
      <c r="AH453" s="4" t="n">
        <v>5</v>
      </c>
      <c r="AI453" s="33" t="n">
        <v>0</v>
      </c>
      <c r="AJ453" s="4" t="n">
        <v>0</v>
      </c>
      <c r="AK453" s="34" t="n"/>
      <c r="AL453" s="34" t="n">
        <v>0</v>
      </c>
      <c r="AM453" s="2" t="n">
        <v>0</v>
      </c>
    </row>
    <row r="454">
      <c r="A454">
        <f>HYPERLINK("https://www.walmart.com/ip/14468700704", "14468700704")</f>
        <v/>
      </c>
      <c r="B454">
        <f>HYPERLINK("https://app.optiwise.ai/catalog/itemdetails/13057960", "Tirrinia Oversized Wearable Blanket Hoodie, Fleece Home Blanket Sweatshirt, Warm Blanket with Sleeves, Gift for lover")</f>
        <v/>
      </c>
      <c r="C454" t="inlineStr">
        <is>
          <t>-</t>
        </is>
      </c>
      <c r="E454" t="inlineStr">
        <is>
          <t>1TROSH340PK-FS</t>
        </is>
      </c>
      <c r="F454" t="n">
        <v>0</v>
      </c>
      <c r="G454" t="inlineStr">
        <is>
          <t>Clothing</t>
        </is>
      </c>
      <c r="H454" t="inlineStr">
        <is>
          <t>Sweatshirts &amp; Hoodies</t>
        </is>
      </c>
      <c r="I454" t="inlineStr">
        <is>
          <t>Tirrinia</t>
        </is>
      </c>
      <c r="L454" s="29" t="n">
        <v>0</v>
      </c>
      <c r="M454" s="30" t="n"/>
      <c r="N454" s="29" t="n">
        <v>0</v>
      </c>
      <c r="O454" s="29" t="n">
        <v>0</v>
      </c>
      <c r="P454" s="2" t="n">
        <v>0</v>
      </c>
      <c r="Q454" s="31" t="n">
        <v>0</v>
      </c>
      <c r="R454" s="32" t="n"/>
      <c r="S454" s="32" t="n">
        <v>0</v>
      </c>
      <c r="T454" s="32" t="n">
        <v>0</v>
      </c>
      <c r="U454" s="31" t="n">
        <v>0</v>
      </c>
      <c r="V454" s="32" t="n">
        <v>0</v>
      </c>
      <c r="W454" s="31" t="n">
        <v>0</v>
      </c>
      <c r="X454" s="31" t="n">
        <v>0</v>
      </c>
      <c r="Y454" s="3" t="n">
        <v>0</v>
      </c>
      <c r="Z454" s="3" t="n">
        <v>0</v>
      </c>
      <c r="AA454" s="32" t="n">
        <v>0</v>
      </c>
      <c r="AB454" s="3" t="n">
        <v>0</v>
      </c>
      <c r="AC454" s="32" t="n">
        <v>0</v>
      </c>
      <c r="AD454" s="3" t="n"/>
      <c r="AE454" s="31" t="n">
        <v>0</v>
      </c>
      <c r="AF454" s="2" t="n">
        <v>0</v>
      </c>
      <c r="AG454" s="2" t="n">
        <v>7</v>
      </c>
      <c r="AH454" s="4" t="n">
        <v>7</v>
      </c>
      <c r="AI454" s="33" t="n">
        <v>0</v>
      </c>
      <c r="AJ454" s="4" t="n">
        <v>0</v>
      </c>
      <c r="AK454" s="34" t="n"/>
      <c r="AL454" s="34" t="n">
        <v>0</v>
      </c>
      <c r="AM454" s="2" t="n">
        <v>0</v>
      </c>
    </row>
    <row r="455">
      <c r="A455">
        <f>HYPERLINK("https://www.walmart.com/ip/14453423581", "14453423581")</f>
        <v/>
      </c>
      <c r="B455">
        <f>HYPERLINK("https://app.optiwise.ai/catalog/itemdetails/13057959", "Tirrinia Oversized Wearable Blanket Hoodie, Fleece Home Blanket Sweatshirt, Warm Blanket with Sleeves, Gift for lover")</f>
        <v/>
      </c>
      <c r="C455" t="inlineStr">
        <is>
          <t>-</t>
        </is>
      </c>
      <c r="E455" t="inlineStr">
        <is>
          <t>1TROSH340BK-FS</t>
        </is>
      </c>
      <c r="F455" t="n">
        <v>0</v>
      </c>
      <c r="G455" t="inlineStr">
        <is>
          <t>Clothing</t>
        </is>
      </c>
      <c r="H455" t="inlineStr">
        <is>
          <t>Sweatshirts &amp; Hoodies</t>
        </is>
      </c>
      <c r="I455" t="inlineStr">
        <is>
          <t>Tirrinia</t>
        </is>
      </c>
      <c r="L455" s="29" t="n">
        <v>0</v>
      </c>
      <c r="M455" s="30" t="n"/>
      <c r="N455" s="29" t="n">
        <v>0</v>
      </c>
      <c r="O455" s="29" t="n">
        <v>0</v>
      </c>
      <c r="P455" s="2" t="n">
        <v>0</v>
      </c>
      <c r="Q455" s="31" t="n">
        <v>0</v>
      </c>
      <c r="R455" s="32" t="n"/>
      <c r="S455" s="32" t="n">
        <v>0</v>
      </c>
      <c r="T455" s="32" t="n">
        <v>0</v>
      </c>
      <c r="U455" s="31" t="n">
        <v>0</v>
      </c>
      <c r="V455" s="32" t="n">
        <v>0</v>
      </c>
      <c r="W455" s="31" t="n">
        <v>0</v>
      </c>
      <c r="X455" s="31" t="n">
        <v>0</v>
      </c>
      <c r="Y455" s="3" t="n">
        <v>0</v>
      </c>
      <c r="Z455" s="3" t="n">
        <v>0</v>
      </c>
      <c r="AA455" s="32" t="n">
        <v>0</v>
      </c>
      <c r="AB455" s="3" t="n">
        <v>0</v>
      </c>
      <c r="AC455" s="32" t="n">
        <v>0</v>
      </c>
      <c r="AD455" s="3" t="n"/>
      <c r="AE455" s="31" t="n">
        <v>0</v>
      </c>
      <c r="AF455" s="2" t="n">
        <v>0</v>
      </c>
      <c r="AG455" s="2" t="n">
        <v>7</v>
      </c>
      <c r="AH455" s="4" t="n">
        <v>7</v>
      </c>
      <c r="AI455" s="33" t="n">
        <v>0</v>
      </c>
      <c r="AJ455" s="4" t="n">
        <v>0</v>
      </c>
      <c r="AK455" s="34" t="n"/>
      <c r="AL455" s="34" t="n">
        <v>0</v>
      </c>
      <c r="AM455" s="2" t="n">
        <v>0</v>
      </c>
    </row>
    <row r="456">
      <c r="A456">
        <f>HYPERLINK("https://www.walmart.com/ip/14505655972", "14505655972")</f>
        <v/>
      </c>
      <c r="B456">
        <f>HYPERLINK("https://app.optiwise.ai/catalog/itemdetails/13057958", "Womens Oversized Flannel Blanket Hoodie Sweatshirt, Plush Fleece Lined Lounging Pullover, Christmas Gift for Women (Charcoal) - Catalonia")</f>
        <v/>
      </c>
      <c r="C456" t="inlineStr">
        <is>
          <t>-</t>
        </is>
      </c>
      <c r="E456" t="inlineStr">
        <is>
          <t>1CTOSH400BKASH-FS</t>
        </is>
      </c>
      <c r="F456" t="n">
        <v>0</v>
      </c>
      <c r="G456" t="inlineStr">
        <is>
          <t>Clothing</t>
        </is>
      </c>
      <c r="H456" t="inlineStr">
        <is>
          <t>Sweatshirts &amp; Hoodies</t>
        </is>
      </c>
      <c r="I456" t="inlineStr">
        <is>
          <t>Catalonia</t>
        </is>
      </c>
      <c r="L456" s="29" t="n">
        <v>0</v>
      </c>
      <c r="M456" s="30" t="n"/>
      <c r="N456" s="29" t="n">
        <v>0</v>
      </c>
      <c r="O456" s="29" t="n">
        <v>0</v>
      </c>
      <c r="P456" s="2" t="n">
        <v>0</v>
      </c>
      <c r="Q456" s="31" t="n">
        <v>0</v>
      </c>
      <c r="R456" s="32" t="n"/>
      <c r="S456" s="32" t="n">
        <v>0</v>
      </c>
      <c r="T456" s="32" t="n">
        <v>0</v>
      </c>
      <c r="U456" s="31" t="n">
        <v>0</v>
      </c>
      <c r="V456" s="32" t="n">
        <v>0</v>
      </c>
      <c r="W456" s="31" t="n">
        <v>0</v>
      </c>
      <c r="X456" s="31" t="n">
        <v>0</v>
      </c>
      <c r="Y456" s="3" t="n">
        <v>0</v>
      </c>
      <c r="Z456" s="3" t="n">
        <v>0</v>
      </c>
      <c r="AA456" s="32" t="n">
        <v>0</v>
      </c>
      <c r="AB456" s="3" t="n">
        <v>0</v>
      </c>
      <c r="AC456" s="32" t="n">
        <v>0</v>
      </c>
      <c r="AD456" s="3" t="n"/>
      <c r="AE456" s="31" t="n">
        <v>0</v>
      </c>
      <c r="AF456" s="2" t="n">
        <v>0</v>
      </c>
      <c r="AG456" s="2" t="n">
        <v>1</v>
      </c>
      <c r="AH456" s="4" t="n">
        <v>1</v>
      </c>
      <c r="AI456" s="33" t="n">
        <v>0</v>
      </c>
      <c r="AJ456" s="4" t="n">
        <v>0</v>
      </c>
      <c r="AK456" s="34" t="n"/>
      <c r="AL456" s="34" t="n">
        <v>0</v>
      </c>
      <c r="AM456" s="2" t="n">
        <v>0</v>
      </c>
    </row>
    <row r="457">
      <c r="A457">
        <f>HYPERLINK("https://www.walmart.com/ip/14489118467", "14489118467")</f>
        <v/>
      </c>
      <c r="B457">
        <f>HYPERLINK("https://app.optiwise.ai/catalog/itemdetails/13057956", "Tirrinia Oversized Blanket Hoodie Sweatshirts, Wearable Fluffy Fleece Plush Blanket, Lightweight Cozy Sweatshirt Blanket Gift for Women Men, Black")</f>
        <v/>
      </c>
      <c r="C457" t="inlineStr">
        <is>
          <t>-</t>
        </is>
      </c>
      <c r="E457" t="inlineStr">
        <is>
          <t>1TROSH340PP-FS</t>
        </is>
      </c>
      <c r="F457" t="n">
        <v>0</v>
      </c>
      <c r="G457" t="inlineStr">
        <is>
          <t>Clothing</t>
        </is>
      </c>
      <c r="H457" t="inlineStr">
        <is>
          <t>Sweatshirts &amp; Hoodies</t>
        </is>
      </c>
      <c r="I457" t="inlineStr">
        <is>
          <t>Tirrinia</t>
        </is>
      </c>
      <c r="L457" s="29" t="n">
        <v>0</v>
      </c>
      <c r="M457" s="30" t="n"/>
      <c r="N457" s="29" t="n">
        <v>0</v>
      </c>
      <c r="O457" s="29" t="n">
        <v>0</v>
      </c>
      <c r="P457" s="2" t="n">
        <v>0</v>
      </c>
      <c r="Q457" s="31" t="n">
        <v>0</v>
      </c>
      <c r="R457" s="32" t="n"/>
      <c r="S457" s="32" t="n">
        <v>0</v>
      </c>
      <c r="T457" s="32" t="n">
        <v>0</v>
      </c>
      <c r="U457" s="31" t="n">
        <v>0</v>
      </c>
      <c r="V457" s="32" t="n">
        <v>0</v>
      </c>
      <c r="W457" s="31" t="n">
        <v>0</v>
      </c>
      <c r="X457" s="31" t="n">
        <v>0</v>
      </c>
      <c r="Y457" s="3" t="n">
        <v>0</v>
      </c>
      <c r="Z457" s="3" t="n">
        <v>0</v>
      </c>
      <c r="AA457" s="32" t="n">
        <v>0</v>
      </c>
      <c r="AB457" s="3" t="n">
        <v>0</v>
      </c>
      <c r="AC457" s="32" t="n">
        <v>0</v>
      </c>
      <c r="AD457" s="3" t="n"/>
      <c r="AE457" s="31" t="n">
        <v>0</v>
      </c>
      <c r="AF457" s="2" t="n">
        <v>0</v>
      </c>
      <c r="AG457" s="2" t="n">
        <v>1</v>
      </c>
      <c r="AH457" s="4" t="n">
        <v>1</v>
      </c>
      <c r="AI457" s="33" t="n">
        <v>0</v>
      </c>
      <c r="AJ457" s="4" t="n">
        <v>0</v>
      </c>
      <c r="AK457" s="34" t="n"/>
      <c r="AL457" s="34" t="n">
        <v>0</v>
      </c>
      <c r="AM457" s="2" t="n">
        <v>0</v>
      </c>
    </row>
    <row r="458">
      <c r="A458">
        <f>HYPERLINK("https://www.walmart.com/ip/14489068782", "14489068782")</f>
        <v/>
      </c>
      <c r="B458">
        <f>HYPERLINK("https://app.optiwise.ai/catalog/itemdetails/13057955", "Catalonia Pink Blanket Hoodie for Kids, Oversized Wearable Fleece Sweatshirt Pullover for 7-16 yr Teens Youth, Kids Gift Idea")</f>
        <v/>
      </c>
      <c r="C458" t="inlineStr">
        <is>
          <t>-</t>
        </is>
      </c>
      <c r="E458" t="inlineStr">
        <is>
          <t>1CTOSH401LBL-FS</t>
        </is>
      </c>
      <c r="F458" t="n">
        <v>0</v>
      </c>
      <c r="G458" t="inlineStr">
        <is>
          <t>Clothing</t>
        </is>
      </c>
      <c r="H458" t="inlineStr">
        <is>
          <t>Sweatshirts &amp; Hoodies</t>
        </is>
      </c>
      <c r="I458" t="inlineStr">
        <is>
          <t>Catalonia</t>
        </is>
      </c>
      <c r="L458" s="29" t="n">
        <v>0</v>
      </c>
      <c r="M458" s="30" t="n"/>
      <c r="N458" s="29" t="n">
        <v>0</v>
      </c>
      <c r="O458" s="29" t="n">
        <v>0</v>
      </c>
      <c r="P458" s="2" t="n">
        <v>0</v>
      </c>
      <c r="Q458" s="31" t="n">
        <v>0</v>
      </c>
      <c r="R458" s="32" t="n"/>
      <c r="S458" s="32" t="n">
        <v>0</v>
      </c>
      <c r="T458" s="32" t="n">
        <v>0</v>
      </c>
      <c r="U458" s="31" t="n">
        <v>0</v>
      </c>
      <c r="V458" s="32" t="n">
        <v>0</v>
      </c>
      <c r="W458" s="31" t="n">
        <v>0</v>
      </c>
      <c r="X458" s="31" t="n">
        <v>0</v>
      </c>
      <c r="Y458" s="3" t="n">
        <v>0</v>
      </c>
      <c r="Z458" s="3" t="n">
        <v>0</v>
      </c>
      <c r="AA458" s="32" t="n">
        <v>0</v>
      </c>
      <c r="AB458" s="3" t="n">
        <v>0</v>
      </c>
      <c r="AC458" s="32" t="n">
        <v>0</v>
      </c>
      <c r="AD458" s="3" t="n"/>
      <c r="AE458" s="31" t="n">
        <v>0</v>
      </c>
      <c r="AF458" s="2" t="n">
        <v>0</v>
      </c>
      <c r="AG458" s="2" t="n">
        <v>3</v>
      </c>
      <c r="AH458" s="4" t="n">
        <v>3</v>
      </c>
      <c r="AI458" s="33" t="n">
        <v>0</v>
      </c>
      <c r="AJ458" s="4" t="n">
        <v>0</v>
      </c>
      <c r="AK458" s="34" t="n"/>
      <c r="AL458" s="34" t="n">
        <v>0</v>
      </c>
      <c r="AM458" s="2" t="n">
        <v>0</v>
      </c>
    </row>
    <row r="459">
      <c r="A459">
        <f>HYPERLINK("https://www.walmart.com/ip/14488964547", "14488964547")</f>
        <v/>
      </c>
      <c r="B459">
        <f>HYPERLINK("https://app.optiwise.ai/catalog/itemdetails/13057954", "Catalonia Women's Hoodie Sweatshirt, Casual Pullover Sweater with front Pocket, Womens Fall Winter Clothing, Blanket Hoodie Sweatshirt, Cat Print")</f>
        <v/>
      </c>
      <c r="C459" t="inlineStr">
        <is>
          <t>-</t>
        </is>
      </c>
      <c r="E459" t="inlineStr">
        <is>
          <t>1CTOSH300S1BLCAT-FS</t>
        </is>
      </c>
      <c r="F459" t="n">
        <v>0</v>
      </c>
      <c r="G459" t="inlineStr">
        <is>
          <t>Clothing</t>
        </is>
      </c>
      <c r="H459" t="inlineStr">
        <is>
          <t>Sweatshirts &amp; Hoodies</t>
        </is>
      </c>
      <c r="I459" t="inlineStr">
        <is>
          <t>Catalonia</t>
        </is>
      </c>
      <c r="L459" s="29" t="n">
        <v>0</v>
      </c>
      <c r="M459" s="30" t="n"/>
      <c r="N459" s="29" t="n">
        <v>0</v>
      </c>
      <c r="O459" s="29" t="n">
        <v>0</v>
      </c>
      <c r="P459" s="2" t="n">
        <v>0</v>
      </c>
      <c r="Q459" s="31" t="n">
        <v>0</v>
      </c>
      <c r="R459" s="32" t="n"/>
      <c r="S459" s="32" t="n">
        <v>0</v>
      </c>
      <c r="T459" s="32" t="n">
        <v>0</v>
      </c>
      <c r="U459" s="31" t="n">
        <v>0</v>
      </c>
      <c r="V459" s="32" t="n">
        <v>0</v>
      </c>
      <c r="W459" s="31" t="n">
        <v>0</v>
      </c>
      <c r="X459" s="31" t="n">
        <v>0</v>
      </c>
      <c r="Y459" s="3" t="n">
        <v>0</v>
      </c>
      <c r="Z459" s="3" t="n">
        <v>0</v>
      </c>
      <c r="AA459" s="32" t="n">
        <v>0</v>
      </c>
      <c r="AB459" s="3" t="n">
        <v>0</v>
      </c>
      <c r="AC459" s="32" t="n">
        <v>0</v>
      </c>
      <c r="AD459" s="3" t="n"/>
      <c r="AE459" s="31" t="n">
        <v>0</v>
      </c>
      <c r="AF459" s="2" t="n">
        <v>0</v>
      </c>
      <c r="AG459" s="2" t="n">
        <v>2</v>
      </c>
      <c r="AH459" s="4" t="n">
        <v>2</v>
      </c>
      <c r="AI459" s="33" t="n">
        <v>0</v>
      </c>
      <c r="AJ459" s="4" t="n">
        <v>0</v>
      </c>
      <c r="AK459" s="34" t="n"/>
      <c r="AL459" s="34" t="n">
        <v>0</v>
      </c>
      <c r="AM459" s="2" t="n">
        <v>0</v>
      </c>
    </row>
    <row r="460">
      <c r="A460">
        <f>HYPERLINK("https://www.walmart.com/ip/14488764906", "14488764906")</f>
        <v/>
      </c>
      <c r="B460">
        <f>HYPERLINK("https://app.optiwise.ai/catalog/itemdetails/13057953", "Tirrinia Womens' Hoodie Blanket Sweatshirt, Oversized Comfortable Fleece Giant Wearable Blankets, Hoodie Blanket for Men, Gift for Her Him, Gray")</f>
        <v/>
      </c>
      <c r="C460" t="inlineStr">
        <is>
          <t>-</t>
        </is>
      </c>
      <c r="E460" t="inlineStr">
        <is>
          <t>1TROSH400GY-FS</t>
        </is>
      </c>
      <c r="F460" t="n">
        <v>0</v>
      </c>
      <c r="G460" t="inlineStr">
        <is>
          <t>Clothing</t>
        </is>
      </c>
      <c r="H460" t="inlineStr">
        <is>
          <t>Sweatshirts &amp; Hoodies</t>
        </is>
      </c>
      <c r="I460" t="inlineStr">
        <is>
          <t>Tirrinia</t>
        </is>
      </c>
      <c r="L460" s="29" t="n">
        <v>0</v>
      </c>
      <c r="M460" s="30" t="n"/>
      <c r="N460" s="29" t="n">
        <v>0</v>
      </c>
      <c r="O460" s="29" t="n">
        <v>0</v>
      </c>
      <c r="P460" s="2" t="n">
        <v>0</v>
      </c>
      <c r="Q460" s="31" t="n">
        <v>0</v>
      </c>
      <c r="R460" s="32" t="n"/>
      <c r="S460" s="32" t="n">
        <v>0</v>
      </c>
      <c r="T460" s="32" t="n">
        <v>0</v>
      </c>
      <c r="U460" s="31" t="n">
        <v>0</v>
      </c>
      <c r="V460" s="32" t="n">
        <v>0</v>
      </c>
      <c r="W460" s="31" t="n">
        <v>0</v>
      </c>
      <c r="X460" s="31" t="n">
        <v>0</v>
      </c>
      <c r="Y460" s="3" t="n">
        <v>0</v>
      </c>
      <c r="Z460" s="3" t="n">
        <v>0</v>
      </c>
      <c r="AA460" s="32" t="n">
        <v>0</v>
      </c>
      <c r="AB460" s="3" t="n">
        <v>0</v>
      </c>
      <c r="AC460" s="32" t="n">
        <v>0</v>
      </c>
      <c r="AD460" s="3" t="n"/>
      <c r="AE460" s="31" t="n">
        <v>0</v>
      </c>
      <c r="AF460" s="2" t="n">
        <v>0</v>
      </c>
      <c r="AG460" s="2" t="n">
        <v>3</v>
      </c>
      <c r="AH460" s="4" t="n">
        <v>3</v>
      </c>
      <c r="AI460" s="33" t="n">
        <v>0</v>
      </c>
      <c r="AJ460" s="4" t="n">
        <v>0</v>
      </c>
      <c r="AK460" s="34" t="n"/>
      <c r="AL460" s="34" t="n">
        <v>0</v>
      </c>
      <c r="AM460" s="2" t="n">
        <v>0</v>
      </c>
    </row>
    <row r="461">
      <c r="A461">
        <f>HYPERLINK("https://www.walmart.com/ip/14486513709", "14486513709")</f>
        <v/>
      </c>
      <c r="B461">
        <f>HYPERLINK("https://app.optiwise.ai/catalog/itemdetails/13057952", "Catalonia Oversized Blanket Hoodie Sweatshirt, Fleece Hooded Lounging Pullover with Giant Pocket, Birthday Gifts Christmas Gifts, Buffalo Plaid Green")</f>
        <v/>
      </c>
      <c r="C461" t="inlineStr">
        <is>
          <t>-</t>
        </is>
      </c>
      <c r="E461" t="inlineStr">
        <is>
          <t>1CTOSH300GNCAMO-FS</t>
        </is>
      </c>
      <c r="F461" t="n">
        <v>0</v>
      </c>
      <c r="G461" t="inlineStr">
        <is>
          <t>Clothing</t>
        </is>
      </c>
      <c r="H461" t="inlineStr">
        <is>
          <t>Sweatshirts &amp; Hoodies</t>
        </is>
      </c>
      <c r="I461" t="inlineStr">
        <is>
          <t>Catalonia</t>
        </is>
      </c>
      <c r="L461" s="29" t="n">
        <v>0</v>
      </c>
      <c r="M461" s="30" t="n"/>
      <c r="N461" s="29" t="n">
        <v>0</v>
      </c>
      <c r="O461" s="29" t="n">
        <v>0</v>
      </c>
      <c r="P461" s="2" t="n">
        <v>0</v>
      </c>
      <c r="Q461" s="31" t="n">
        <v>0</v>
      </c>
      <c r="R461" s="32" t="n"/>
      <c r="S461" s="32" t="n">
        <v>0</v>
      </c>
      <c r="T461" s="32" t="n">
        <v>0</v>
      </c>
      <c r="U461" s="31" t="n">
        <v>0</v>
      </c>
      <c r="V461" s="32" t="n">
        <v>0</v>
      </c>
      <c r="W461" s="31" t="n">
        <v>0</v>
      </c>
      <c r="X461" s="31" t="n">
        <v>0</v>
      </c>
      <c r="Y461" s="3" t="n">
        <v>0</v>
      </c>
      <c r="Z461" s="3" t="n">
        <v>0</v>
      </c>
      <c r="AA461" s="32" t="n">
        <v>0</v>
      </c>
      <c r="AB461" s="3" t="n">
        <v>0</v>
      </c>
      <c r="AC461" s="32" t="n">
        <v>0</v>
      </c>
      <c r="AD461" s="3" t="n"/>
      <c r="AE461" s="31" t="n">
        <v>0</v>
      </c>
      <c r="AF461" s="2" t="n">
        <v>0</v>
      </c>
      <c r="AG461" s="2" t="n">
        <v>3</v>
      </c>
      <c r="AH461" s="4" t="n">
        <v>3</v>
      </c>
      <c r="AI461" s="33" t="n">
        <v>0</v>
      </c>
      <c r="AJ461" s="4" t="n">
        <v>0</v>
      </c>
      <c r="AK461" s="34" t="n"/>
      <c r="AL461" s="34" t="n">
        <v>0</v>
      </c>
      <c r="AM461" s="2" t="n">
        <v>0</v>
      </c>
    </row>
    <row r="462">
      <c r="A462">
        <f>HYPERLINK("https://www.walmart.com/ip/14483052398", "14483052398")</f>
        <v/>
      </c>
      <c r="B462">
        <f>HYPERLINK("https://app.optiwise.ai/catalog/itemdetails/13057951", "Catalonia Women's Hoodie Sweatshirt, Casual Pullover Sweater with front Pocket, Womens Fall Winter Clothing, Blanket Hoodie Sweatshirt, Banana Cat")</f>
        <v/>
      </c>
      <c r="C462" t="inlineStr">
        <is>
          <t>-</t>
        </is>
      </c>
      <c r="E462" t="inlineStr">
        <is>
          <t>1CTOSH300S1BANANACATBL-FS</t>
        </is>
      </c>
      <c r="F462" t="n">
        <v>0</v>
      </c>
      <c r="G462" t="inlineStr">
        <is>
          <t>Clothing</t>
        </is>
      </c>
      <c r="H462" t="inlineStr">
        <is>
          <t>Sweatshirts &amp; Hoodies</t>
        </is>
      </c>
      <c r="I462" t="inlineStr">
        <is>
          <t>Catalonia</t>
        </is>
      </c>
      <c r="L462" s="29" t="n">
        <v>0</v>
      </c>
      <c r="M462" s="30" t="n"/>
      <c r="N462" s="29" t="n">
        <v>0</v>
      </c>
      <c r="O462" s="29" t="n">
        <v>0</v>
      </c>
      <c r="P462" s="2" t="n">
        <v>0</v>
      </c>
      <c r="Q462" s="31" t="n">
        <v>0</v>
      </c>
      <c r="R462" s="32" t="n"/>
      <c r="S462" s="32" t="n">
        <v>0</v>
      </c>
      <c r="T462" s="32" t="n">
        <v>0</v>
      </c>
      <c r="U462" s="31" t="n">
        <v>0</v>
      </c>
      <c r="V462" s="32" t="n">
        <v>0</v>
      </c>
      <c r="W462" s="31" t="n">
        <v>0</v>
      </c>
      <c r="X462" s="31" t="n">
        <v>0</v>
      </c>
      <c r="Y462" s="3" t="n">
        <v>0</v>
      </c>
      <c r="Z462" s="3" t="n">
        <v>0</v>
      </c>
      <c r="AA462" s="32" t="n">
        <v>0</v>
      </c>
      <c r="AB462" s="3" t="n">
        <v>0</v>
      </c>
      <c r="AC462" s="32" t="n">
        <v>0</v>
      </c>
      <c r="AD462" s="3" t="n"/>
      <c r="AE462" s="31" t="n">
        <v>0</v>
      </c>
      <c r="AF462" s="2" t="n">
        <v>0</v>
      </c>
      <c r="AG462" s="2" t="n">
        <v>12</v>
      </c>
      <c r="AH462" s="4" t="n">
        <v>12</v>
      </c>
      <c r="AI462" s="33" t="n">
        <v>0</v>
      </c>
      <c r="AJ462" s="4" t="n">
        <v>0</v>
      </c>
      <c r="AK462" s="34" t="n"/>
      <c r="AL462" s="34" t="n">
        <v>0</v>
      </c>
      <c r="AM462" s="2" t="n">
        <v>0</v>
      </c>
    </row>
    <row r="463">
      <c r="A463">
        <f>HYPERLINK("https://www.walmart.com/ip/14475759266", "14475759266")</f>
        <v/>
      </c>
      <c r="B463">
        <f>HYPERLINK("https://app.optiwise.ai/catalog/itemdetails/13057949", "Womens Oversized Flannel Blanket Hoodie Sweatshirt, Plush Fleece Lined Lounging Pullover, Christmas Gift for Women (Sea Blue) - Catalonia")</f>
        <v/>
      </c>
      <c r="C463" t="inlineStr">
        <is>
          <t>-</t>
        </is>
      </c>
      <c r="E463" t="inlineStr">
        <is>
          <t>1CTOSH400HP-FS</t>
        </is>
      </c>
      <c r="F463" t="n">
        <v>0</v>
      </c>
      <c r="L463" s="29" t="n">
        <v>0</v>
      </c>
      <c r="M463" s="30" t="n"/>
      <c r="N463" s="29" t="n">
        <v>0</v>
      </c>
      <c r="O463" s="29" t="n">
        <v>0</v>
      </c>
      <c r="P463" s="2" t="n">
        <v>0</v>
      </c>
      <c r="Q463" s="31" t="n">
        <v>0</v>
      </c>
      <c r="R463" s="32" t="n"/>
      <c r="S463" s="32" t="n">
        <v>0</v>
      </c>
      <c r="T463" s="32" t="n">
        <v>0</v>
      </c>
      <c r="U463" s="31" t="n">
        <v>0</v>
      </c>
      <c r="V463" s="32" t="n">
        <v>0</v>
      </c>
      <c r="W463" s="31" t="n">
        <v>0</v>
      </c>
      <c r="X463" s="31" t="n">
        <v>0</v>
      </c>
      <c r="Y463" s="3" t="n">
        <v>0</v>
      </c>
      <c r="Z463" s="3" t="n">
        <v>0</v>
      </c>
      <c r="AA463" s="32" t="n">
        <v>0</v>
      </c>
      <c r="AB463" s="3" t="n">
        <v>0</v>
      </c>
      <c r="AC463" s="32" t="n">
        <v>0</v>
      </c>
      <c r="AD463" s="3" t="n"/>
      <c r="AE463" s="31" t="n">
        <v>0</v>
      </c>
      <c r="AF463" s="2" t="n">
        <v>0</v>
      </c>
      <c r="AG463" s="2" t="n">
        <v>2</v>
      </c>
      <c r="AH463" s="4" t="n">
        <v>2</v>
      </c>
      <c r="AI463" s="33" t="n">
        <v>0</v>
      </c>
      <c r="AJ463" s="4" t="n">
        <v>0</v>
      </c>
      <c r="AK463" s="34" t="n"/>
      <c r="AL463" s="34" t="n">
        <v>0</v>
      </c>
      <c r="AM463" s="2" t="n">
        <v>0</v>
      </c>
    </row>
    <row r="464">
      <c r="A464">
        <f>HYPERLINK("https://www.walmart.com/ip/14475608815", "14475608815")</f>
        <v/>
      </c>
      <c r="B464">
        <f>HYPERLINK("https://app.optiwise.ai/catalog/itemdetails/13057948", "Tirrinia Oversized Wearable Blanket Hoodie, Fleece Home Blanket Sweatshirt, Warm Blanket with Sleeves, Gift for lover")</f>
        <v/>
      </c>
      <c r="C464" t="inlineStr">
        <is>
          <t>-</t>
        </is>
      </c>
      <c r="E464" t="inlineStr">
        <is>
          <t>1TROSH340AQ-FS</t>
        </is>
      </c>
      <c r="F464" t="n">
        <v>0</v>
      </c>
      <c r="G464" t="inlineStr">
        <is>
          <t>Clothing</t>
        </is>
      </c>
      <c r="H464" t="inlineStr">
        <is>
          <t>Sweatshirts &amp; Hoodies</t>
        </is>
      </c>
      <c r="I464" t="inlineStr">
        <is>
          <t>Tirrinia</t>
        </is>
      </c>
      <c r="L464" s="29" t="n">
        <v>0</v>
      </c>
      <c r="M464" s="30" t="n"/>
      <c r="N464" s="29" t="n">
        <v>0</v>
      </c>
      <c r="O464" s="29" t="n">
        <v>0</v>
      </c>
      <c r="P464" s="2" t="n">
        <v>0</v>
      </c>
      <c r="Q464" s="31" t="n">
        <v>0</v>
      </c>
      <c r="R464" s="32" t="n"/>
      <c r="S464" s="32" t="n">
        <v>0</v>
      </c>
      <c r="T464" s="32" t="n">
        <v>0</v>
      </c>
      <c r="U464" s="31" t="n">
        <v>0</v>
      </c>
      <c r="V464" s="32" t="n">
        <v>0</v>
      </c>
      <c r="W464" s="31" t="n">
        <v>0</v>
      </c>
      <c r="X464" s="31" t="n">
        <v>0</v>
      </c>
      <c r="Y464" s="3" t="n">
        <v>0</v>
      </c>
      <c r="Z464" s="3" t="n">
        <v>0</v>
      </c>
      <c r="AA464" s="32" t="n">
        <v>0</v>
      </c>
      <c r="AB464" s="3" t="n">
        <v>0</v>
      </c>
      <c r="AC464" s="32" t="n">
        <v>0</v>
      </c>
      <c r="AD464" s="3" t="n"/>
      <c r="AE464" s="31" t="n">
        <v>0</v>
      </c>
      <c r="AF464" s="2" t="n">
        <v>0</v>
      </c>
      <c r="AG464" s="2" t="n">
        <v>6</v>
      </c>
      <c r="AH464" s="4" t="n">
        <v>6</v>
      </c>
      <c r="AI464" s="33" t="n">
        <v>0</v>
      </c>
      <c r="AJ464" s="4" t="n">
        <v>0</v>
      </c>
      <c r="AK464" s="34" t="n"/>
      <c r="AL464" s="34" t="n">
        <v>0</v>
      </c>
      <c r="AM464" s="2" t="n">
        <v>0</v>
      </c>
    </row>
    <row r="465">
      <c r="A465">
        <f>HYPERLINK("https://www.walmart.com/ip/14505655960", "14505655960")</f>
        <v/>
      </c>
      <c r="B465">
        <f>HYPERLINK("https://app.optiwise.ai/catalog/itemdetails/13057983", "Ultra Long Fleece Blanket Hoodie Sweatshirt for Mens Womens, Full Body Warm Lounging Pullover, Southwestern Aztec - Catalonia")</f>
        <v/>
      </c>
      <c r="C465" t="inlineStr">
        <is>
          <t>-</t>
        </is>
      </c>
      <c r="E465" t="inlineStr">
        <is>
          <t>1CTOSH310SW-FS</t>
        </is>
      </c>
      <c r="F465" t="n">
        <v>0</v>
      </c>
      <c r="G465" t="inlineStr">
        <is>
          <t>Clothing</t>
        </is>
      </c>
      <c r="H465" t="inlineStr">
        <is>
          <t>Sweatshirts &amp; Hoodies</t>
        </is>
      </c>
      <c r="I465" t="inlineStr">
        <is>
          <t>Catalonia</t>
        </is>
      </c>
      <c r="L465" s="29" t="n">
        <v>0</v>
      </c>
      <c r="M465" s="30" t="n"/>
      <c r="N465" s="29" t="n">
        <v>0</v>
      </c>
      <c r="O465" s="29" t="n">
        <v>0</v>
      </c>
      <c r="P465" s="2" t="n">
        <v>0</v>
      </c>
      <c r="Q465" s="31" t="n">
        <v>0</v>
      </c>
      <c r="R465" s="32" t="n"/>
      <c r="S465" s="32" t="n">
        <v>0</v>
      </c>
      <c r="T465" s="32" t="n">
        <v>0</v>
      </c>
      <c r="U465" s="31" t="n">
        <v>0</v>
      </c>
      <c r="V465" s="32" t="n">
        <v>0</v>
      </c>
      <c r="W465" s="31" t="n">
        <v>0</v>
      </c>
      <c r="X465" s="31" t="n">
        <v>0</v>
      </c>
      <c r="Y465" s="3" t="n">
        <v>0</v>
      </c>
      <c r="Z465" s="3" t="n">
        <v>0</v>
      </c>
      <c r="AA465" s="32" t="n">
        <v>0</v>
      </c>
      <c r="AB465" s="3" t="n">
        <v>0</v>
      </c>
      <c r="AC465" s="32" t="n">
        <v>0</v>
      </c>
      <c r="AD465" s="3" t="n"/>
      <c r="AE465" s="31" t="n">
        <v>0</v>
      </c>
      <c r="AF465" s="2" t="n">
        <v>0</v>
      </c>
      <c r="AG465" s="2" t="n">
        <v>3</v>
      </c>
      <c r="AH465" s="4" t="n">
        <v>3</v>
      </c>
      <c r="AI465" s="33" t="n">
        <v>0</v>
      </c>
      <c r="AJ465" s="4" t="n">
        <v>0</v>
      </c>
      <c r="AK465" s="34" t="n"/>
      <c r="AL465" s="34" t="n">
        <v>0</v>
      </c>
      <c r="AM465" s="2" t="n">
        <v>0</v>
      </c>
    </row>
    <row r="466">
      <c r="A466">
        <f>HYPERLINK("https://www.walmart.com/ip/14486513723", "14486513723")</f>
        <v/>
      </c>
      <c r="B466">
        <f>HYPERLINK("https://app.optiwise.ai/catalog/itemdetails/13057985", "Catalonia Womens' Full Body Blanket Hoodie Sweatshirt, Extra Long Wearable Fleece Pullover, Gift for Adult Men Women Wife Girlfriend, Purple")</f>
        <v/>
      </c>
      <c r="C466" t="inlineStr">
        <is>
          <t>-</t>
        </is>
      </c>
      <c r="E466" t="inlineStr">
        <is>
          <t>1CTOSH310S1PP-FS</t>
        </is>
      </c>
      <c r="F466" t="n">
        <v>0</v>
      </c>
      <c r="G466" t="inlineStr">
        <is>
          <t>Clothing</t>
        </is>
      </c>
      <c r="H466" t="inlineStr">
        <is>
          <t>Sweatshirts &amp; Hoodies</t>
        </is>
      </c>
      <c r="I466" t="inlineStr">
        <is>
          <t>Catalonia</t>
        </is>
      </c>
      <c r="L466" s="29" t="n">
        <v>0</v>
      </c>
      <c r="M466" s="30" t="n"/>
      <c r="N466" s="29" t="n">
        <v>0</v>
      </c>
      <c r="O466" s="29" t="n">
        <v>0</v>
      </c>
      <c r="P466" s="2" t="n">
        <v>0</v>
      </c>
      <c r="Q466" s="31" t="n">
        <v>0</v>
      </c>
      <c r="R466" s="32" t="n"/>
      <c r="S466" s="32" t="n">
        <v>0</v>
      </c>
      <c r="T466" s="32" t="n">
        <v>0</v>
      </c>
      <c r="U466" s="31" t="n">
        <v>0</v>
      </c>
      <c r="V466" s="32" t="n">
        <v>0</v>
      </c>
      <c r="W466" s="31" t="n">
        <v>0</v>
      </c>
      <c r="X466" s="31" t="n">
        <v>0</v>
      </c>
      <c r="Y466" s="3" t="n">
        <v>0</v>
      </c>
      <c r="Z466" s="3" t="n">
        <v>0</v>
      </c>
      <c r="AA466" s="32" t="n">
        <v>0</v>
      </c>
      <c r="AB466" s="3" t="n">
        <v>0</v>
      </c>
      <c r="AC466" s="32" t="n">
        <v>0</v>
      </c>
      <c r="AD466" s="3" t="n"/>
      <c r="AE466" s="31" t="n">
        <v>0</v>
      </c>
      <c r="AF466" s="2" t="n">
        <v>0</v>
      </c>
      <c r="AG466" s="2" t="n">
        <v>3</v>
      </c>
      <c r="AH466" s="4" t="n">
        <v>3</v>
      </c>
      <c r="AI466" s="33" t="n">
        <v>0</v>
      </c>
      <c r="AJ466" s="4" t="n">
        <v>0</v>
      </c>
      <c r="AK466" s="34" t="n"/>
      <c r="AL466" s="34" t="n">
        <v>0</v>
      </c>
      <c r="AM466" s="2" t="n">
        <v>0</v>
      </c>
    </row>
    <row r="467">
      <c r="A467">
        <f>HYPERLINK("https://www.walmart.com/ip/14453423588", "14453423588")</f>
        <v/>
      </c>
      <c r="B467">
        <f>HYPERLINK("https://app.optiwise.ai/catalog/itemdetails/13057946", "Womens Oversized Flannel Blanket Hoodie Sweatshirt, Plush Fleece Lined Lounging Pullover, Christmas Gift for Women (Purple) - Catalonia")</f>
        <v/>
      </c>
      <c r="C467" t="inlineStr">
        <is>
          <t>-</t>
        </is>
      </c>
      <c r="E467" t="inlineStr">
        <is>
          <t>1CTOSH400PP-FS</t>
        </is>
      </c>
      <c r="F467" t="n">
        <v>0</v>
      </c>
      <c r="G467" t="inlineStr">
        <is>
          <t>Clothing</t>
        </is>
      </c>
      <c r="H467" t="inlineStr">
        <is>
          <t>Sweatshirts &amp; Hoodies</t>
        </is>
      </c>
      <c r="I467" t="inlineStr">
        <is>
          <t>Catalonia</t>
        </is>
      </c>
      <c r="L467" s="29" t="n">
        <v>0</v>
      </c>
      <c r="M467" s="30" t="n"/>
      <c r="N467" s="29" t="n">
        <v>0</v>
      </c>
      <c r="O467" s="29" t="n">
        <v>0</v>
      </c>
      <c r="P467" s="2" t="n">
        <v>0</v>
      </c>
      <c r="Q467" s="31" t="n">
        <v>0</v>
      </c>
      <c r="R467" s="32" t="n"/>
      <c r="S467" s="32" t="n">
        <v>0</v>
      </c>
      <c r="T467" s="32" t="n">
        <v>0</v>
      </c>
      <c r="U467" s="31" t="n">
        <v>0</v>
      </c>
      <c r="V467" s="32" t="n">
        <v>0</v>
      </c>
      <c r="W467" s="31" t="n">
        <v>0</v>
      </c>
      <c r="X467" s="31" t="n">
        <v>0</v>
      </c>
      <c r="Y467" s="3" t="n">
        <v>0</v>
      </c>
      <c r="Z467" s="3" t="n">
        <v>0</v>
      </c>
      <c r="AA467" s="32" t="n">
        <v>0</v>
      </c>
      <c r="AB467" s="3" t="n">
        <v>0</v>
      </c>
      <c r="AC467" s="32" t="n">
        <v>0</v>
      </c>
      <c r="AD467" s="3" t="n"/>
      <c r="AE467" s="31" t="n">
        <v>0</v>
      </c>
      <c r="AF467" s="2" t="n">
        <v>0</v>
      </c>
      <c r="AG467" s="2" t="n">
        <v>4</v>
      </c>
      <c r="AH467" s="4" t="n">
        <v>4</v>
      </c>
      <c r="AI467" s="33" t="n">
        <v>0</v>
      </c>
      <c r="AJ467" s="4" t="n">
        <v>0</v>
      </c>
      <c r="AK467" s="34" t="n"/>
      <c r="AL467" s="34" t="n">
        <v>0</v>
      </c>
      <c r="AM467" s="2" t="n">
        <v>0</v>
      </c>
    </row>
    <row r="468">
      <c r="A468">
        <f>HYPERLINK("https://www.walmart.com/ip/14488814816", "14488814816")</f>
        <v/>
      </c>
      <c r="B468">
        <f>HYPERLINK("https://app.optiwise.ai/catalog/itemdetails/13057986", "Catalonia Womens' Full Body Blanket Hoodie Sweatshirt, Extra Long Wearable Fleece Pullover, Gift for Adult Men Women Wife Girlfriend, Pink")</f>
        <v/>
      </c>
      <c r="C468" t="inlineStr">
        <is>
          <t>-</t>
        </is>
      </c>
      <c r="E468" t="inlineStr">
        <is>
          <t>1CTOSH310S1AQ-FS</t>
        </is>
      </c>
      <c r="F468" t="n">
        <v>0</v>
      </c>
      <c r="G468" t="inlineStr">
        <is>
          <t>Clothing</t>
        </is>
      </c>
      <c r="H468" t="inlineStr">
        <is>
          <t>Sweatshirts &amp; Hoodies</t>
        </is>
      </c>
      <c r="I468" t="inlineStr">
        <is>
          <t>Catalonia</t>
        </is>
      </c>
      <c r="L468" s="29" t="n">
        <v>0</v>
      </c>
      <c r="M468" s="30" t="n"/>
      <c r="N468" s="29" t="n">
        <v>0</v>
      </c>
      <c r="O468" s="29" t="n">
        <v>0</v>
      </c>
      <c r="P468" s="2" t="n">
        <v>0</v>
      </c>
      <c r="Q468" s="31" t="n">
        <v>0</v>
      </c>
      <c r="R468" s="32" t="n"/>
      <c r="S468" s="32" t="n">
        <v>0</v>
      </c>
      <c r="T468" s="32" t="n">
        <v>0</v>
      </c>
      <c r="U468" s="31" t="n">
        <v>0</v>
      </c>
      <c r="V468" s="32" t="n">
        <v>0</v>
      </c>
      <c r="W468" s="31" t="n">
        <v>0</v>
      </c>
      <c r="X468" s="31" t="n">
        <v>0</v>
      </c>
      <c r="Y468" s="3" t="n">
        <v>0</v>
      </c>
      <c r="Z468" s="3" t="n">
        <v>0</v>
      </c>
      <c r="AA468" s="32" t="n">
        <v>0</v>
      </c>
      <c r="AB468" s="3" t="n">
        <v>0</v>
      </c>
      <c r="AC468" s="32" t="n">
        <v>0</v>
      </c>
      <c r="AD468" s="3" t="n"/>
      <c r="AE468" s="31" t="n">
        <v>0</v>
      </c>
      <c r="AF468" s="2" t="n">
        <v>0</v>
      </c>
      <c r="AG468" s="2" t="n">
        <v>8</v>
      </c>
      <c r="AH468" s="4" t="n">
        <v>8</v>
      </c>
      <c r="AI468" s="33" t="n">
        <v>0</v>
      </c>
      <c r="AJ468" s="4" t="n">
        <v>0</v>
      </c>
      <c r="AK468" s="34" t="n"/>
      <c r="AL468" s="34" t="n">
        <v>0</v>
      </c>
      <c r="AM468" s="2" t="n">
        <v>0</v>
      </c>
    </row>
    <row r="469">
      <c r="A469">
        <f>HYPERLINK("https://www.walmart.com/ip/14515567521", "14515567521")</f>
        <v/>
      </c>
      <c r="B469">
        <f>HYPERLINK("https://app.optiwise.ai/catalog/itemdetails/13059100", "PEANUTS Snoopy Family Matching Pajamas Holiday Festive Nightwear Sleepwear 2-Piece Sets for Christmas - Women (Red Plaid, M)")</f>
        <v/>
      </c>
      <c r="C469" t="inlineStr">
        <is>
          <t>-</t>
        </is>
      </c>
      <c r="E469" t="inlineStr">
        <is>
          <t>PEA-PJS-FAMILY-WOMEN-REDPLAID-M</t>
        </is>
      </c>
      <c r="F469" t="n">
        <v>0</v>
      </c>
      <c r="G469" t="inlineStr">
        <is>
          <t>Clothing</t>
        </is>
      </c>
      <c r="H469" t="inlineStr">
        <is>
          <t>Pajamas</t>
        </is>
      </c>
      <c r="I469" t="inlineStr">
        <is>
          <t>Peanuts</t>
        </is>
      </c>
      <c r="L469" s="29" t="n">
        <v>0</v>
      </c>
      <c r="M469" s="30" t="n"/>
      <c r="N469" s="29" t="n">
        <v>0</v>
      </c>
      <c r="O469" s="29" t="n">
        <v>0</v>
      </c>
      <c r="P469" s="2" t="n">
        <v>0</v>
      </c>
      <c r="Q469" s="31" t="n">
        <v>0</v>
      </c>
      <c r="R469" s="32" t="n"/>
      <c r="S469" s="32" t="n">
        <v>0</v>
      </c>
      <c r="T469" s="32" t="n">
        <v>0</v>
      </c>
      <c r="U469" s="31" t="n">
        <v>0</v>
      </c>
      <c r="V469" s="32" t="n">
        <v>0</v>
      </c>
      <c r="W469" s="31" t="n">
        <v>0</v>
      </c>
      <c r="X469" s="31" t="n">
        <v>0</v>
      </c>
      <c r="Y469" s="3" t="n">
        <v>0</v>
      </c>
      <c r="Z469" s="3" t="n">
        <v>0</v>
      </c>
      <c r="AA469" s="32" t="n">
        <v>0</v>
      </c>
      <c r="AB469" s="3" t="n">
        <v>0</v>
      </c>
      <c r="AC469" s="32" t="n">
        <v>0</v>
      </c>
      <c r="AD469" s="3" t="n"/>
      <c r="AE469" s="31" t="n">
        <v>0</v>
      </c>
      <c r="AF469" s="2" t="n">
        <v>0</v>
      </c>
      <c r="AG469" s="2" t="n">
        <v>0</v>
      </c>
      <c r="AH469" s="4" t="n">
        <v>0</v>
      </c>
      <c r="AI469" s="33" t="n">
        <v>0</v>
      </c>
      <c r="AJ469" s="4" t="n">
        <v>0</v>
      </c>
      <c r="AK469" s="34" t="n"/>
      <c r="AL469" s="34" t="n">
        <v>0</v>
      </c>
      <c r="AM469" s="2" t="n">
        <v>0</v>
      </c>
    </row>
    <row r="470">
      <c r="A470">
        <f>HYPERLINK("https://www.walmart.com/ip/14514159362", "14514159362")</f>
        <v/>
      </c>
      <c r="B470">
        <f>HYPERLINK("https://app.optiwise.ai/catalog/itemdetails/13059099", "PEANUTS Snoopy 100% Cotton Family Matching Pajamas Holiday 2-Piece Sets for Christmas with Woodstock Charlie Brown Linus for Baby (Red Polka Dot, 6M)")</f>
        <v/>
      </c>
      <c r="C470" t="inlineStr">
        <is>
          <t>-</t>
        </is>
      </c>
      <c r="E470" t="inlineStr">
        <is>
          <t>PEA-PJS-FAMILY-INFANT-RED-6M</t>
        </is>
      </c>
      <c r="F470" t="n">
        <v>0</v>
      </c>
      <c r="G470" t="inlineStr">
        <is>
          <t>Clothing</t>
        </is>
      </c>
      <c r="H470" t="inlineStr">
        <is>
          <t>Pajamas</t>
        </is>
      </c>
      <c r="I470" t="inlineStr">
        <is>
          <t>Peanuts</t>
        </is>
      </c>
      <c r="L470" s="29" t="n">
        <v>0</v>
      </c>
      <c r="M470" s="30" t="n"/>
      <c r="N470" s="29" t="n">
        <v>0</v>
      </c>
      <c r="O470" s="29" t="n">
        <v>0</v>
      </c>
      <c r="P470" s="2" t="n">
        <v>0</v>
      </c>
      <c r="Q470" s="31" t="n">
        <v>0</v>
      </c>
      <c r="R470" s="32" t="n"/>
      <c r="S470" s="32" t="n">
        <v>0</v>
      </c>
      <c r="T470" s="32" t="n">
        <v>0</v>
      </c>
      <c r="U470" s="31" t="n">
        <v>0</v>
      </c>
      <c r="V470" s="32" t="n">
        <v>0</v>
      </c>
      <c r="W470" s="31" t="n">
        <v>0</v>
      </c>
      <c r="X470" s="31" t="n">
        <v>0</v>
      </c>
      <c r="Y470" s="3" t="n">
        <v>0</v>
      </c>
      <c r="Z470" s="3" t="n">
        <v>0</v>
      </c>
      <c r="AA470" s="32" t="n">
        <v>0</v>
      </c>
      <c r="AB470" s="3" t="n">
        <v>0</v>
      </c>
      <c r="AC470" s="32" t="n">
        <v>0</v>
      </c>
      <c r="AD470" s="3" t="n"/>
      <c r="AE470" s="31" t="n">
        <v>0</v>
      </c>
      <c r="AF470" s="2" t="n">
        <v>0</v>
      </c>
      <c r="AG470" s="2" t="n">
        <v>0</v>
      </c>
      <c r="AH470" s="4" t="n">
        <v>0</v>
      </c>
      <c r="AI470" s="33" t="n">
        <v>0</v>
      </c>
      <c r="AJ470" s="4" t="n">
        <v>0</v>
      </c>
      <c r="AK470" s="34" t="n"/>
      <c r="AL470" s="34" t="n">
        <v>0</v>
      </c>
      <c r="AM470" s="2" t="n">
        <v>0</v>
      </c>
    </row>
    <row r="471">
      <c r="A471">
        <f>HYPERLINK("https://www.walmart.com/ip/14510359194", "14510359194")</f>
        <v/>
      </c>
      <c r="B471">
        <f>HYPERLINK("https://app.optiwise.ai/catalog/itemdetails/13059098", "PEANUTS Snoopy 100% Cotton Family Matching Pajamas Holiday 2-Piece Sets for Christmas with Woodstock Charlie Brown Linus for Baby (Black Plaid, 6M)")</f>
        <v/>
      </c>
      <c r="C471" t="inlineStr">
        <is>
          <t>-</t>
        </is>
      </c>
      <c r="E471" t="inlineStr">
        <is>
          <t>PEA-PJS-FAMILY-INFANT-BLACKPLAID-6M</t>
        </is>
      </c>
      <c r="F471" t="n">
        <v>0</v>
      </c>
      <c r="G471" t="inlineStr">
        <is>
          <t>Clothing</t>
        </is>
      </c>
      <c r="H471" t="inlineStr">
        <is>
          <t>Pajamas</t>
        </is>
      </c>
      <c r="I471" t="inlineStr">
        <is>
          <t>Peanuts</t>
        </is>
      </c>
      <c r="L471" s="29" t="n">
        <v>0</v>
      </c>
      <c r="M471" s="30" t="n"/>
      <c r="N471" s="29" t="n">
        <v>0</v>
      </c>
      <c r="O471" s="29" t="n">
        <v>0</v>
      </c>
      <c r="P471" s="2" t="n">
        <v>0</v>
      </c>
      <c r="Q471" s="31" t="n">
        <v>0</v>
      </c>
      <c r="R471" s="32" t="n"/>
      <c r="S471" s="32" t="n">
        <v>0</v>
      </c>
      <c r="T471" s="32" t="n">
        <v>0</v>
      </c>
      <c r="U471" s="31" t="n">
        <v>0</v>
      </c>
      <c r="V471" s="32" t="n">
        <v>0</v>
      </c>
      <c r="W471" s="31" t="n">
        <v>0</v>
      </c>
      <c r="X471" s="31" t="n">
        <v>0</v>
      </c>
      <c r="Y471" s="3" t="n">
        <v>0</v>
      </c>
      <c r="Z471" s="3" t="n">
        <v>0</v>
      </c>
      <c r="AA471" s="32" t="n">
        <v>0</v>
      </c>
      <c r="AB471" s="3" t="n">
        <v>0</v>
      </c>
      <c r="AC471" s="32" t="n">
        <v>0</v>
      </c>
      <c r="AD471" s="3" t="n"/>
      <c r="AE471" s="31" t="n">
        <v>0</v>
      </c>
      <c r="AF471" s="2" t="n">
        <v>0</v>
      </c>
      <c r="AG471" s="2" t="n">
        <v>0</v>
      </c>
      <c r="AH471" s="4" t="n">
        <v>0</v>
      </c>
      <c r="AI471" s="33" t="n">
        <v>0</v>
      </c>
      <c r="AJ471" s="4" t="n">
        <v>0</v>
      </c>
      <c r="AK471" s="34" t="n"/>
      <c r="AL471" s="34" t="n">
        <v>0</v>
      </c>
      <c r="AM471" s="2" t="n">
        <v>0</v>
      </c>
    </row>
    <row r="472">
      <c r="A472">
        <f>HYPERLINK("https://www.walmart.com/ip/14509171581", "14509171581")</f>
        <v/>
      </c>
      <c r="B472">
        <f>HYPERLINK("https://app.optiwise.ai/catalog/itemdetails/13059097", "PEANUTS Toddler Boys Girls Snoopy Family Matching Pajamas Sleepwear 2-Piece Sets for Christmas with Woodstock Charlie Brown Linus (Red Polka Dot, 2T)")</f>
        <v/>
      </c>
      <c r="C472" t="inlineStr">
        <is>
          <t>-</t>
        </is>
      </c>
      <c r="E472" t="inlineStr">
        <is>
          <t>PEA-PJS-FAMILY-TODDLER-RED-2T</t>
        </is>
      </c>
      <c r="F472" t="n">
        <v>0</v>
      </c>
      <c r="G472" t="inlineStr">
        <is>
          <t>Clothing</t>
        </is>
      </c>
      <c r="H472" t="inlineStr">
        <is>
          <t>Pajamas</t>
        </is>
      </c>
      <c r="I472" t="inlineStr">
        <is>
          <t>Peanuts</t>
        </is>
      </c>
      <c r="L472" s="29" t="n">
        <v>0</v>
      </c>
      <c r="M472" s="30" t="n"/>
      <c r="N472" s="29" t="n">
        <v>0</v>
      </c>
      <c r="O472" s="29" t="n">
        <v>0</v>
      </c>
      <c r="P472" s="2" t="n">
        <v>0</v>
      </c>
      <c r="Q472" s="31" t="n">
        <v>0</v>
      </c>
      <c r="R472" s="32" t="n"/>
      <c r="S472" s="32" t="n">
        <v>0</v>
      </c>
      <c r="T472" s="32" t="n">
        <v>0</v>
      </c>
      <c r="U472" s="31" t="n">
        <v>0</v>
      </c>
      <c r="V472" s="32" t="n">
        <v>0</v>
      </c>
      <c r="W472" s="31" t="n">
        <v>0</v>
      </c>
      <c r="X472" s="31" t="n">
        <v>0</v>
      </c>
      <c r="Y472" s="3" t="n">
        <v>0</v>
      </c>
      <c r="Z472" s="3" t="n">
        <v>0</v>
      </c>
      <c r="AA472" s="32" t="n">
        <v>0</v>
      </c>
      <c r="AB472" s="3" t="n">
        <v>0</v>
      </c>
      <c r="AC472" s="32" t="n">
        <v>0</v>
      </c>
      <c r="AD472" s="3" t="n"/>
      <c r="AE472" s="31" t="n">
        <v>0</v>
      </c>
      <c r="AF472" s="2" t="n">
        <v>0</v>
      </c>
      <c r="AG472" s="2" t="n">
        <v>0</v>
      </c>
      <c r="AH472" s="4" t="n">
        <v>0</v>
      </c>
      <c r="AI472" s="33" t="n">
        <v>0</v>
      </c>
      <c r="AJ472" s="4" t="n">
        <v>0</v>
      </c>
      <c r="AK472" s="34" t="n"/>
      <c r="AL472" s="34" t="n">
        <v>0</v>
      </c>
      <c r="AM472" s="2" t="n">
        <v>0</v>
      </c>
    </row>
    <row r="473">
      <c r="A473">
        <f>HYPERLINK("https://www.walmart.com/ip/14508600270", "14508600270")</f>
        <v/>
      </c>
      <c r="B473">
        <f>HYPERLINK("https://app.optiwise.ai/catalog/itemdetails/13059096", "PEANUTS Womens 100% Cotton Family Matching Pajamas Holiday Festive Nightwear Sleepwear 2-Piece Sets for Christmas Gifts (Red Polka Dot, XL)")</f>
        <v/>
      </c>
      <c r="C473" t="inlineStr">
        <is>
          <t>-</t>
        </is>
      </c>
      <c r="E473" t="inlineStr">
        <is>
          <t>PEA-PJS-FAMILY-WOMEN-RED-XL</t>
        </is>
      </c>
      <c r="F473" t="n">
        <v>0</v>
      </c>
      <c r="G473" t="inlineStr">
        <is>
          <t>Clothing</t>
        </is>
      </c>
      <c r="H473" t="inlineStr">
        <is>
          <t>Pajamas</t>
        </is>
      </c>
      <c r="I473" t="inlineStr">
        <is>
          <t>Peanuts</t>
        </is>
      </c>
      <c r="L473" s="29" t="n">
        <v>0</v>
      </c>
      <c r="M473" s="30" t="n"/>
      <c r="N473" s="29" t="n">
        <v>0</v>
      </c>
      <c r="O473" s="29" t="n">
        <v>0</v>
      </c>
      <c r="P473" s="2" t="n">
        <v>0</v>
      </c>
      <c r="Q473" s="31" t="n">
        <v>0</v>
      </c>
      <c r="R473" s="32" t="n"/>
      <c r="S473" s="32" t="n">
        <v>0</v>
      </c>
      <c r="T473" s="32" t="n">
        <v>0</v>
      </c>
      <c r="U473" s="31" t="n">
        <v>0</v>
      </c>
      <c r="V473" s="32" t="n">
        <v>0</v>
      </c>
      <c r="W473" s="31" t="n">
        <v>0</v>
      </c>
      <c r="X473" s="31" t="n">
        <v>0</v>
      </c>
      <c r="Y473" s="3" t="n">
        <v>0</v>
      </c>
      <c r="Z473" s="3" t="n">
        <v>0</v>
      </c>
      <c r="AA473" s="32" t="n">
        <v>0</v>
      </c>
      <c r="AB473" s="3" t="n">
        <v>0</v>
      </c>
      <c r="AC473" s="32" t="n">
        <v>0</v>
      </c>
      <c r="AD473" s="3" t="n"/>
      <c r="AE473" s="31" t="n">
        <v>0</v>
      </c>
      <c r="AF473" s="2" t="n">
        <v>0</v>
      </c>
      <c r="AG473" s="2" t="n">
        <v>0</v>
      </c>
      <c r="AH473" s="4" t="n">
        <v>0</v>
      </c>
      <c r="AI473" s="33" t="n">
        <v>0</v>
      </c>
      <c r="AJ473" s="4" t="n">
        <v>0</v>
      </c>
      <c r="AK473" s="34" t="n"/>
      <c r="AL473" s="34" t="n">
        <v>0</v>
      </c>
      <c r="AM473" s="2" t="n">
        <v>0</v>
      </c>
    </row>
    <row r="474">
      <c r="A474">
        <f>HYPERLINK("https://www.walmart.com/ip/14504171589", "14504171589")</f>
        <v/>
      </c>
      <c r="B474">
        <f>HYPERLINK("https://app.optiwise.ai/catalog/itemdetails/13059095", "PEANUTS Snoopy Cotton Family Matching Pajamas Holiday 2-Piece Sets for Christmas with Woodstock Charlie Brown Linus for Baby (Green Polka Dot, 12M)")</f>
        <v/>
      </c>
      <c r="C474" t="inlineStr">
        <is>
          <t>-</t>
        </is>
      </c>
      <c r="E474" t="inlineStr">
        <is>
          <t>PEA-PJS-FAMILY-INFANT-GREEN-12M</t>
        </is>
      </c>
      <c r="F474" t="n">
        <v>0</v>
      </c>
      <c r="G474" t="inlineStr">
        <is>
          <t>Clothing</t>
        </is>
      </c>
      <c r="H474" t="inlineStr">
        <is>
          <t>Pajamas</t>
        </is>
      </c>
      <c r="I474" t="inlineStr">
        <is>
          <t>Peanuts</t>
        </is>
      </c>
      <c r="L474" s="29" t="n">
        <v>0</v>
      </c>
      <c r="M474" s="30" t="n"/>
      <c r="N474" s="29" t="n">
        <v>0</v>
      </c>
      <c r="O474" s="29" t="n">
        <v>0</v>
      </c>
      <c r="P474" s="2" t="n">
        <v>0</v>
      </c>
      <c r="Q474" s="31" t="n">
        <v>0</v>
      </c>
      <c r="R474" s="32" t="n"/>
      <c r="S474" s="32" t="n">
        <v>0</v>
      </c>
      <c r="T474" s="32" t="n">
        <v>0</v>
      </c>
      <c r="U474" s="31" t="n">
        <v>0</v>
      </c>
      <c r="V474" s="32" t="n">
        <v>0</v>
      </c>
      <c r="W474" s="31" t="n">
        <v>0</v>
      </c>
      <c r="X474" s="31" t="n">
        <v>0</v>
      </c>
      <c r="Y474" s="3" t="n">
        <v>0</v>
      </c>
      <c r="Z474" s="3" t="n">
        <v>0</v>
      </c>
      <c r="AA474" s="32" t="n">
        <v>0</v>
      </c>
      <c r="AB474" s="3" t="n">
        <v>0</v>
      </c>
      <c r="AC474" s="32" t="n">
        <v>0</v>
      </c>
      <c r="AD474" s="3" t="n"/>
      <c r="AE474" s="31" t="n">
        <v>0</v>
      </c>
      <c r="AF474" s="2" t="n">
        <v>0</v>
      </c>
      <c r="AG474" s="2" t="n">
        <v>0</v>
      </c>
      <c r="AH474" s="4" t="n">
        <v>0</v>
      </c>
      <c r="AI474" s="33" t="n">
        <v>0</v>
      </c>
      <c r="AJ474" s="4" t="n">
        <v>0</v>
      </c>
      <c r="AK474" s="34" t="n"/>
      <c r="AL474" s="34" t="n">
        <v>0</v>
      </c>
      <c r="AM474" s="2" t="n">
        <v>0</v>
      </c>
    </row>
    <row r="475">
      <c r="A475">
        <f>HYPERLINK("https://www.walmart.com/ip/14477116774", "14477116774")</f>
        <v/>
      </c>
      <c r="B475">
        <f>HYPERLINK("https://app.optiwise.ai/catalog/itemdetails/13059094", "PEANUTS Mens' Cotton Snoopy Family Matching Pajamas 2-Piece Sets for Christmas with Woodstock Charlie Brown Linus, Gift for him (Green Polka Dot, XL)")</f>
        <v/>
      </c>
      <c r="C475" t="inlineStr">
        <is>
          <t>-</t>
        </is>
      </c>
      <c r="E475" t="inlineStr">
        <is>
          <t>PEA-PJS-FAMILY-MEN-GREEN-XL</t>
        </is>
      </c>
      <c r="F475" t="n">
        <v>0</v>
      </c>
      <c r="G475" t="inlineStr">
        <is>
          <t>Clothing</t>
        </is>
      </c>
      <c r="H475" t="inlineStr">
        <is>
          <t>Pajamas</t>
        </is>
      </c>
      <c r="I475" t="inlineStr">
        <is>
          <t>Peanuts</t>
        </is>
      </c>
      <c r="L475" s="29" t="n">
        <v>0</v>
      </c>
      <c r="M475" s="30" t="n"/>
      <c r="N475" s="29" t="n">
        <v>0</v>
      </c>
      <c r="O475" s="29" t="n">
        <v>0</v>
      </c>
      <c r="P475" s="2" t="n">
        <v>0</v>
      </c>
      <c r="Q475" s="31" t="n">
        <v>0</v>
      </c>
      <c r="R475" s="32" t="n"/>
      <c r="S475" s="32" t="n">
        <v>0</v>
      </c>
      <c r="T475" s="32" t="n">
        <v>0</v>
      </c>
      <c r="U475" s="31" t="n">
        <v>0</v>
      </c>
      <c r="V475" s="32" t="n">
        <v>0</v>
      </c>
      <c r="W475" s="31" t="n">
        <v>0</v>
      </c>
      <c r="X475" s="31" t="n">
        <v>0</v>
      </c>
      <c r="Y475" s="3" t="n">
        <v>0</v>
      </c>
      <c r="Z475" s="3" t="n">
        <v>0</v>
      </c>
      <c r="AA475" s="32" t="n">
        <v>0</v>
      </c>
      <c r="AB475" s="3" t="n">
        <v>0</v>
      </c>
      <c r="AC475" s="32" t="n">
        <v>0</v>
      </c>
      <c r="AD475" s="3" t="n"/>
      <c r="AE475" s="31" t="n">
        <v>0</v>
      </c>
      <c r="AF475" s="2" t="n">
        <v>0</v>
      </c>
      <c r="AG475" s="2" t="n">
        <v>0</v>
      </c>
      <c r="AH475" s="4" t="n">
        <v>0</v>
      </c>
      <c r="AI475" s="33" t="n">
        <v>0</v>
      </c>
      <c r="AJ475" s="4" t="n">
        <v>0</v>
      </c>
      <c r="AK475" s="34" t="n"/>
      <c r="AL475" s="34" t="n">
        <v>0</v>
      </c>
      <c r="AM475" s="2" t="n">
        <v>0</v>
      </c>
    </row>
    <row r="476">
      <c r="A476">
        <f>HYPERLINK("https://www.walmart.com/ip/14544860349", "14544860349")</f>
        <v/>
      </c>
      <c r="B476">
        <f>HYPERLINK("https://app.optiwise.ai/catalog/itemdetails/13059093", "PEANUTS Mens' Cotton Snoopy Family Matching Pajamas 2-Piece Sets for Christmas with Woodstock Charlie Brown Linus, Gift for him (Black Plaid, XXL)")</f>
        <v/>
      </c>
      <c r="C476" t="inlineStr">
        <is>
          <t>-</t>
        </is>
      </c>
      <c r="E476" t="inlineStr">
        <is>
          <t>PEA-PJS-FAMILY-MEN-BLACKPLAID-2XL</t>
        </is>
      </c>
      <c r="F476" t="n">
        <v>0</v>
      </c>
      <c r="G476" t="inlineStr">
        <is>
          <t>Clothing</t>
        </is>
      </c>
      <c r="H476" t="inlineStr">
        <is>
          <t>Pajamas</t>
        </is>
      </c>
      <c r="I476" t="inlineStr">
        <is>
          <t>Peanuts</t>
        </is>
      </c>
      <c r="L476" s="29" t="n">
        <v>0</v>
      </c>
      <c r="M476" s="30" t="n"/>
      <c r="N476" s="29" t="n">
        <v>0</v>
      </c>
      <c r="O476" s="29" t="n">
        <v>0</v>
      </c>
      <c r="P476" s="2" t="n">
        <v>0</v>
      </c>
      <c r="Q476" s="31" t="n">
        <v>0</v>
      </c>
      <c r="R476" s="32" t="n"/>
      <c r="S476" s="32" t="n">
        <v>0</v>
      </c>
      <c r="T476" s="32" t="n">
        <v>0</v>
      </c>
      <c r="U476" s="31" t="n">
        <v>0</v>
      </c>
      <c r="V476" s="32" t="n">
        <v>0</v>
      </c>
      <c r="W476" s="31" t="n">
        <v>0</v>
      </c>
      <c r="X476" s="31" t="n">
        <v>0</v>
      </c>
      <c r="Y476" s="3" t="n">
        <v>0</v>
      </c>
      <c r="Z476" s="3" t="n">
        <v>0</v>
      </c>
      <c r="AA476" s="32" t="n">
        <v>0</v>
      </c>
      <c r="AB476" s="3" t="n">
        <v>0</v>
      </c>
      <c r="AC476" s="32" t="n">
        <v>0</v>
      </c>
      <c r="AD476" s="3" t="n"/>
      <c r="AE476" s="31" t="n">
        <v>0</v>
      </c>
      <c r="AF476" s="2" t="n">
        <v>0</v>
      </c>
      <c r="AG476" s="2" t="n">
        <v>0</v>
      </c>
      <c r="AH476" s="4" t="n">
        <v>0</v>
      </c>
      <c r="AI476" s="33" t="n">
        <v>0</v>
      </c>
      <c r="AJ476" s="4" t="n">
        <v>0</v>
      </c>
      <c r="AK476" s="34" t="n"/>
      <c r="AL476" s="34" t="n">
        <v>0</v>
      </c>
      <c r="AM476" s="2" t="n">
        <v>0</v>
      </c>
    </row>
    <row r="477">
      <c r="A477">
        <f>HYPERLINK("https://www.walmart.com/ip/14537357555", "14537357555")</f>
        <v/>
      </c>
      <c r="B477">
        <f>HYPERLINK("https://app.optiwise.ai/catalog/itemdetails/13059092", "PEANUTS Womens 100% Cotton Family Matching Pajamas Holiday Festive Nightwear Sleepwear 2-Piece Sets for Christmas Gifts (Red Plaid, L)")</f>
        <v/>
      </c>
      <c r="C477" t="inlineStr">
        <is>
          <t>-</t>
        </is>
      </c>
      <c r="E477" t="inlineStr">
        <is>
          <t>PEA-PJS-FAMILY-WOMEN-REDPLAID-L</t>
        </is>
      </c>
      <c r="F477" t="n">
        <v>0</v>
      </c>
      <c r="G477" t="inlineStr">
        <is>
          <t>Clothing</t>
        </is>
      </c>
      <c r="H477" t="inlineStr">
        <is>
          <t>Pajamas</t>
        </is>
      </c>
      <c r="I477" t="inlineStr">
        <is>
          <t>Peanuts</t>
        </is>
      </c>
      <c r="L477" s="29" t="n">
        <v>0</v>
      </c>
      <c r="M477" s="30" t="n"/>
      <c r="N477" s="29" t="n">
        <v>0</v>
      </c>
      <c r="O477" s="29" t="n">
        <v>0</v>
      </c>
      <c r="P477" s="2" t="n">
        <v>0</v>
      </c>
      <c r="Q477" s="31" t="n">
        <v>0</v>
      </c>
      <c r="R477" s="32" t="n"/>
      <c r="S477" s="32" t="n">
        <v>0</v>
      </c>
      <c r="T477" s="32" t="n">
        <v>0</v>
      </c>
      <c r="U477" s="31" t="n">
        <v>0</v>
      </c>
      <c r="V477" s="32" t="n">
        <v>0</v>
      </c>
      <c r="W477" s="31" t="n">
        <v>0</v>
      </c>
      <c r="X477" s="31" t="n">
        <v>0</v>
      </c>
      <c r="Y477" s="3" t="n">
        <v>0</v>
      </c>
      <c r="Z477" s="3" t="n">
        <v>0</v>
      </c>
      <c r="AA477" s="32" t="n">
        <v>0</v>
      </c>
      <c r="AB477" s="3" t="n">
        <v>0</v>
      </c>
      <c r="AC477" s="32" t="n">
        <v>0</v>
      </c>
      <c r="AD477" s="3" t="n"/>
      <c r="AE477" s="31" t="n">
        <v>0</v>
      </c>
      <c r="AF477" s="2" t="n">
        <v>0</v>
      </c>
      <c r="AG477" s="2" t="n">
        <v>0</v>
      </c>
      <c r="AH477" s="4" t="n">
        <v>0</v>
      </c>
      <c r="AI477" s="33" t="n">
        <v>0</v>
      </c>
      <c r="AJ477" s="4" t="n">
        <v>0</v>
      </c>
      <c r="AK477" s="34" t="n"/>
      <c r="AL477" s="34" t="n">
        <v>0</v>
      </c>
      <c r="AM477" s="2" t="n">
        <v>0</v>
      </c>
    </row>
    <row r="478">
      <c r="A478">
        <f>HYPERLINK("https://www.walmart.com/ip/14531053917", "14531053917")</f>
        <v/>
      </c>
      <c r="B478">
        <f>HYPERLINK("https://app.optiwise.ai/catalog/itemdetails/13059091", "PEANUTS Mens' Cotton Snoopy Family Matching Pajamas 2-Piece Sets for Christmas with Woodstock Charlie Brown Linus, Gift for him (Green Polka Dot, S)")</f>
        <v/>
      </c>
      <c r="C478" t="inlineStr">
        <is>
          <t>-</t>
        </is>
      </c>
      <c r="E478" t="inlineStr">
        <is>
          <t>PEA-PJS-FAMILY-MEN-GREEN-S</t>
        </is>
      </c>
      <c r="F478" t="n">
        <v>0</v>
      </c>
      <c r="G478" t="inlineStr">
        <is>
          <t>Clothing</t>
        </is>
      </c>
      <c r="H478" t="inlineStr">
        <is>
          <t>Pajamas</t>
        </is>
      </c>
      <c r="I478" t="inlineStr">
        <is>
          <t>Peanuts</t>
        </is>
      </c>
      <c r="L478" s="29" t="n">
        <v>0</v>
      </c>
      <c r="M478" s="30" t="n"/>
      <c r="N478" s="29" t="n">
        <v>0</v>
      </c>
      <c r="O478" s="29" t="n">
        <v>0</v>
      </c>
      <c r="P478" s="2" t="n">
        <v>0</v>
      </c>
      <c r="Q478" s="31" t="n">
        <v>0</v>
      </c>
      <c r="R478" s="32" t="n"/>
      <c r="S478" s="32" t="n">
        <v>0</v>
      </c>
      <c r="T478" s="32" t="n">
        <v>0</v>
      </c>
      <c r="U478" s="31" t="n">
        <v>0</v>
      </c>
      <c r="V478" s="32" t="n">
        <v>0</v>
      </c>
      <c r="W478" s="31" t="n">
        <v>0</v>
      </c>
      <c r="X478" s="31" t="n">
        <v>0</v>
      </c>
      <c r="Y478" s="3" t="n">
        <v>0</v>
      </c>
      <c r="Z478" s="3" t="n">
        <v>0</v>
      </c>
      <c r="AA478" s="32" t="n">
        <v>0</v>
      </c>
      <c r="AB478" s="3" t="n">
        <v>0</v>
      </c>
      <c r="AC478" s="32" t="n">
        <v>0</v>
      </c>
      <c r="AD478" s="3" t="n"/>
      <c r="AE478" s="31" t="n">
        <v>0</v>
      </c>
      <c r="AF478" s="2" t="n">
        <v>0</v>
      </c>
      <c r="AG478" s="2" t="n">
        <v>0</v>
      </c>
      <c r="AH478" s="4" t="n">
        <v>0</v>
      </c>
      <c r="AI478" s="33" t="n">
        <v>0</v>
      </c>
      <c r="AJ478" s="4" t="n">
        <v>0</v>
      </c>
      <c r="AK478" s="34" t="n"/>
      <c r="AL478" s="34" t="n">
        <v>0</v>
      </c>
      <c r="AM478" s="2" t="n">
        <v>0</v>
      </c>
    </row>
    <row r="479">
      <c r="A479">
        <f>HYPERLINK("https://www.walmart.com/ip/14531053132", "14531053132")</f>
        <v/>
      </c>
      <c r="B479">
        <f>HYPERLINK("https://app.optiwise.ai/catalog/itemdetails/13059090", "PEANUTS Mens' Cotton Snoopy Family Matching Pajamas 2-Piece Sets for Christmas with Woodstock Charlie Brown Linus, Gift for him (Red Polka Dot, M)")</f>
        <v/>
      </c>
      <c r="C479" t="inlineStr">
        <is>
          <t>-</t>
        </is>
      </c>
      <c r="E479" t="inlineStr">
        <is>
          <t>PEA-PJS-FAMILY-MEN-RED-M</t>
        </is>
      </c>
      <c r="F479" t="n">
        <v>0</v>
      </c>
      <c r="G479" t="inlineStr">
        <is>
          <t>Clothing</t>
        </is>
      </c>
      <c r="H479" t="inlineStr">
        <is>
          <t>Pajamas</t>
        </is>
      </c>
      <c r="I479" t="inlineStr">
        <is>
          <t>Peanuts</t>
        </is>
      </c>
      <c r="L479" s="29" t="n">
        <v>0</v>
      </c>
      <c r="M479" s="30" t="n"/>
      <c r="N479" s="29" t="n">
        <v>0</v>
      </c>
      <c r="O479" s="29" t="n">
        <v>0</v>
      </c>
      <c r="P479" s="2" t="n">
        <v>0</v>
      </c>
      <c r="Q479" s="31" t="n">
        <v>0</v>
      </c>
      <c r="R479" s="32" t="n"/>
      <c r="S479" s="32" t="n">
        <v>0</v>
      </c>
      <c r="T479" s="32" t="n">
        <v>0</v>
      </c>
      <c r="U479" s="31" t="n">
        <v>0</v>
      </c>
      <c r="V479" s="32" t="n">
        <v>0</v>
      </c>
      <c r="W479" s="31" t="n">
        <v>0</v>
      </c>
      <c r="X479" s="31" t="n">
        <v>0</v>
      </c>
      <c r="Y479" s="3" t="n">
        <v>0</v>
      </c>
      <c r="Z479" s="3" t="n">
        <v>0</v>
      </c>
      <c r="AA479" s="32" t="n">
        <v>0</v>
      </c>
      <c r="AB479" s="3" t="n">
        <v>0</v>
      </c>
      <c r="AC479" s="32" t="n">
        <v>0</v>
      </c>
      <c r="AD479" s="3" t="n"/>
      <c r="AE479" s="31" t="n">
        <v>0</v>
      </c>
      <c r="AF479" s="2" t="n">
        <v>0</v>
      </c>
      <c r="AG479" s="2" t="n">
        <v>0</v>
      </c>
      <c r="AH479" s="4" t="n">
        <v>0</v>
      </c>
      <c r="AI479" s="33" t="n">
        <v>0</v>
      </c>
      <c r="AJ479" s="4" t="n">
        <v>0</v>
      </c>
      <c r="AK479" s="34" t="n"/>
      <c r="AL479" s="34" t="n">
        <v>0</v>
      </c>
      <c r="AM479" s="2" t="n">
        <v>0</v>
      </c>
    </row>
    <row r="480">
      <c r="A480">
        <f>HYPERLINK("https://www.walmart.com/ip/14529970211", "14529970211")</f>
        <v/>
      </c>
      <c r="B480">
        <f>HYPERLINK("https://app.optiwise.ai/catalog/itemdetails/13059089", "PEANUTS Womens 100% Cotton Family Matching Pajamas Holiday Festive Nightwear Sleepwear 2-Piece Sets for Christmas Gifts (Green Polka Dot, M)")</f>
        <v/>
      </c>
      <c r="C480" t="inlineStr">
        <is>
          <t>-</t>
        </is>
      </c>
      <c r="E480" t="inlineStr">
        <is>
          <t>PEA-PJS-FAMILY-WOMEN-GREEN-M</t>
        </is>
      </c>
      <c r="F480" t="n">
        <v>0</v>
      </c>
      <c r="G480" t="inlineStr">
        <is>
          <t>Clothing</t>
        </is>
      </c>
      <c r="H480" t="inlineStr">
        <is>
          <t>Pajamas</t>
        </is>
      </c>
      <c r="I480" t="inlineStr">
        <is>
          <t>Peanuts</t>
        </is>
      </c>
      <c r="L480" s="29" t="n">
        <v>0</v>
      </c>
      <c r="M480" s="30" t="n"/>
      <c r="N480" s="29" t="n">
        <v>0</v>
      </c>
      <c r="O480" s="29" t="n">
        <v>0</v>
      </c>
      <c r="P480" s="2" t="n">
        <v>0</v>
      </c>
      <c r="Q480" s="31" t="n">
        <v>0</v>
      </c>
      <c r="R480" s="32" t="n"/>
      <c r="S480" s="32" t="n">
        <v>0</v>
      </c>
      <c r="T480" s="32" t="n">
        <v>0</v>
      </c>
      <c r="U480" s="31" t="n">
        <v>0</v>
      </c>
      <c r="V480" s="32" t="n">
        <v>0</v>
      </c>
      <c r="W480" s="31" t="n">
        <v>0</v>
      </c>
      <c r="X480" s="31" t="n">
        <v>0</v>
      </c>
      <c r="Y480" s="3" t="n">
        <v>0</v>
      </c>
      <c r="Z480" s="3" t="n">
        <v>0</v>
      </c>
      <c r="AA480" s="32" t="n">
        <v>0</v>
      </c>
      <c r="AB480" s="3" t="n">
        <v>0</v>
      </c>
      <c r="AC480" s="32" t="n">
        <v>0</v>
      </c>
      <c r="AD480" s="3" t="n"/>
      <c r="AE480" s="31" t="n">
        <v>0</v>
      </c>
      <c r="AF480" s="2" t="n">
        <v>0</v>
      </c>
      <c r="AG480" s="2" t="n">
        <v>0</v>
      </c>
      <c r="AH480" s="4" t="n">
        <v>0</v>
      </c>
      <c r="AI480" s="33" t="n">
        <v>0</v>
      </c>
      <c r="AJ480" s="4" t="n">
        <v>0</v>
      </c>
      <c r="AK480" s="34" t="n"/>
      <c r="AL480" s="34" t="n">
        <v>0</v>
      </c>
      <c r="AM480" s="2" t="n">
        <v>0</v>
      </c>
    </row>
    <row r="481">
      <c r="A481">
        <f>HYPERLINK("https://www.walmart.com/ip/14527013541", "14527013541")</f>
        <v/>
      </c>
      <c r="B481">
        <f>HYPERLINK("https://app.optiwise.ai/catalog/itemdetails/13059088", "PEANUTS Mens' Cotton Snoopy Family Matching Pajamas 2-Piece Sets for Christmas with Woodstock Charlie Brown Linus, Gift for him (Black Plaid, L)")</f>
        <v/>
      </c>
      <c r="C481" t="inlineStr">
        <is>
          <t>-</t>
        </is>
      </c>
      <c r="E481" t="inlineStr">
        <is>
          <t>PEA-PJS-FAMILY-MEN-BLACKPLAID-L</t>
        </is>
      </c>
      <c r="F481" t="n">
        <v>0</v>
      </c>
      <c r="G481" t="inlineStr">
        <is>
          <t>Clothing</t>
        </is>
      </c>
      <c r="H481" t="inlineStr">
        <is>
          <t>Pajamas</t>
        </is>
      </c>
      <c r="I481" t="inlineStr">
        <is>
          <t>Peanuts</t>
        </is>
      </c>
      <c r="L481" s="29" t="n">
        <v>0</v>
      </c>
      <c r="M481" s="30" t="n"/>
      <c r="N481" s="29" t="n">
        <v>0</v>
      </c>
      <c r="O481" s="29" t="n">
        <v>0</v>
      </c>
      <c r="P481" s="2" t="n">
        <v>0</v>
      </c>
      <c r="Q481" s="31" t="n">
        <v>0</v>
      </c>
      <c r="R481" s="32" t="n"/>
      <c r="S481" s="32" t="n">
        <v>0</v>
      </c>
      <c r="T481" s="32" t="n">
        <v>0</v>
      </c>
      <c r="U481" s="31" t="n">
        <v>0</v>
      </c>
      <c r="V481" s="32" t="n">
        <v>0</v>
      </c>
      <c r="W481" s="31" t="n">
        <v>0</v>
      </c>
      <c r="X481" s="31" t="n">
        <v>0</v>
      </c>
      <c r="Y481" s="3" t="n">
        <v>0</v>
      </c>
      <c r="Z481" s="3" t="n">
        <v>0</v>
      </c>
      <c r="AA481" s="32" t="n">
        <v>0</v>
      </c>
      <c r="AB481" s="3" t="n">
        <v>0</v>
      </c>
      <c r="AC481" s="32" t="n">
        <v>0</v>
      </c>
      <c r="AD481" s="3" t="n"/>
      <c r="AE481" s="31" t="n">
        <v>0</v>
      </c>
      <c r="AF481" s="2" t="n">
        <v>0</v>
      </c>
      <c r="AG481" s="2" t="n">
        <v>0</v>
      </c>
      <c r="AH481" s="4" t="n">
        <v>0</v>
      </c>
      <c r="AI481" s="33" t="n">
        <v>0</v>
      </c>
      <c r="AJ481" s="4" t="n">
        <v>0</v>
      </c>
      <c r="AK481" s="34" t="n"/>
      <c r="AL481" s="34" t="n">
        <v>0</v>
      </c>
      <c r="AM481" s="2" t="n">
        <v>0</v>
      </c>
    </row>
    <row r="482">
      <c r="A482">
        <f>HYPERLINK("https://www.walmart.com/ip/14523702239", "14523702239")</f>
        <v/>
      </c>
      <c r="B482">
        <f>HYPERLINK("https://app.optiwise.ai/catalog/itemdetails/13059087", "PEANUTS Toddler Boys Girls Snoopy Family Matching Pajamas Sleepwear 2-Piece Sets for Christmas with Woodstock Charlie Brown Linus (Red Polka Dot, 5T)")</f>
        <v/>
      </c>
      <c r="C482" t="inlineStr">
        <is>
          <t>-</t>
        </is>
      </c>
      <c r="E482" t="inlineStr">
        <is>
          <t>PEA-PJS-FAMILY-TODDLER-RED-5T</t>
        </is>
      </c>
      <c r="F482" t="n">
        <v>0</v>
      </c>
      <c r="G482" t="inlineStr">
        <is>
          <t>Clothing</t>
        </is>
      </c>
      <c r="H482" t="inlineStr">
        <is>
          <t>Pajamas</t>
        </is>
      </c>
      <c r="I482" t="inlineStr">
        <is>
          <t>Peanuts</t>
        </is>
      </c>
      <c r="L482" s="29" t="n">
        <v>0</v>
      </c>
      <c r="M482" s="30" t="n"/>
      <c r="N482" s="29" t="n">
        <v>0</v>
      </c>
      <c r="O482" s="29" t="n">
        <v>0</v>
      </c>
      <c r="P482" s="2" t="n">
        <v>0</v>
      </c>
      <c r="Q482" s="31" t="n">
        <v>0</v>
      </c>
      <c r="R482" s="32" t="n"/>
      <c r="S482" s="32" t="n">
        <v>0</v>
      </c>
      <c r="T482" s="32" t="n">
        <v>0</v>
      </c>
      <c r="U482" s="31" t="n">
        <v>0</v>
      </c>
      <c r="V482" s="32" t="n">
        <v>0</v>
      </c>
      <c r="W482" s="31" t="n">
        <v>0</v>
      </c>
      <c r="X482" s="31" t="n">
        <v>0</v>
      </c>
      <c r="Y482" s="3" t="n">
        <v>0</v>
      </c>
      <c r="Z482" s="3" t="n">
        <v>0</v>
      </c>
      <c r="AA482" s="32" t="n">
        <v>0</v>
      </c>
      <c r="AB482" s="3" t="n">
        <v>0</v>
      </c>
      <c r="AC482" s="32" t="n">
        <v>0</v>
      </c>
      <c r="AD482" s="3" t="n"/>
      <c r="AE482" s="31" t="n">
        <v>0</v>
      </c>
      <c r="AF482" s="2" t="n">
        <v>0</v>
      </c>
      <c r="AG482" s="2" t="n">
        <v>0</v>
      </c>
      <c r="AH482" s="4" t="n">
        <v>0</v>
      </c>
      <c r="AI482" s="33" t="n">
        <v>0</v>
      </c>
      <c r="AJ482" s="4" t="n">
        <v>0</v>
      </c>
      <c r="AK482" s="34" t="n"/>
      <c r="AL482" s="34" t="n">
        <v>0</v>
      </c>
      <c r="AM482" s="2" t="n">
        <v>0</v>
      </c>
    </row>
    <row r="483">
      <c r="A483">
        <f>HYPERLINK("https://www.walmart.com/ip/14516958879", "14516958879")</f>
        <v/>
      </c>
      <c r="B483">
        <f>HYPERLINK("https://app.optiwise.ai/catalog/itemdetails/13059086", "PEANUTS Snoopy 100% Cotton Family Matching Pajamas Holiday 2-Piece Sets for Christmas with Woodstock Charlie Brown Linus for Baby (Red Plaid, 6M)")</f>
        <v/>
      </c>
      <c r="C483" t="inlineStr">
        <is>
          <t>-</t>
        </is>
      </c>
      <c r="E483" t="inlineStr">
        <is>
          <t>PEA-PJS-FAMILY-INFANT-REDPLAID-6M</t>
        </is>
      </c>
      <c r="F483" t="n">
        <v>0</v>
      </c>
      <c r="G483" t="inlineStr">
        <is>
          <t>Clothing</t>
        </is>
      </c>
      <c r="H483" t="inlineStr">
        <is>
          <t>Pajamas</t>
        </is>
      </c>
      <c r="I483" t="inlineStr">
        <is>
          <t>Peanuts</t>
        </is>
      </c>
      <c r="L483" s="29" t="n">
        <v>0</v>
      </c>
      <c r="M483" s="30" t="n"/>
      <c r="N483" s="29" t="n">
        <v>0</v>
      </c>
      <c r="O483" s="29" t="n">
        <v>0</v>
      </c>
      <c r="P483" s="2" t="n">
        <v>0</v>
      </c>
      <c r="Q483" s="31" t="n">
        <v>0</v>
      </c>
      <c r="R483" s="32" t="n"/>
      <c r="S483" s="32" t="n">
        <v>0</v>
      </c>
      <c r="T483" s="32" t="n">
        <v>0</v>
      </c>
      <c r="U483" s="31" t="n">
        <v>0</v>
      </c>
      <c r="V483" s="32" t="n">
        <v>0</v>
      </c>
      <c r="W483" s="31" t="n">
        <v>0</v>
      </c>
      <c r="X483" s="31" t="n">
        <v>0</v>
      </c>
      <c r="Y483" s="3" t="n">
        <v>0</v>
      </c>
      <c r="Z483" s="3" t="n">
        <v>0</v>
      </c>
      <c r="AA483" s="32" t="n">
        <v>0</v>
      </c>
      <c r="AB483" s="3" t="n">
        <v>0</v>
      </c>
      <c r="AC483" s="32" t="n">
        <v>0</v>
      </c>
      <c r="AD483" s="3" t="n"/>
      <c r="AE483" s="31" t="n">
        <v>0</v>
      </c>
      <c r="AF483" s="2" t="n">
        <v>0</v>
      </c>
      <c r="AG483" s="2" t="n">
        <v>0</v>
      </c>
      <c r="AH483" s="4" t="n">
        <v>0</v>
      </c>
      <c r="AI483" s="33" t="n">
        <v>0</v>
      </c>
      <c r="AJ483" s="4" t="n">
        <v>0</v>
      </c>
      <c r="AK483" s="34" t="n"/>
      <c r="AL483" s="34" t="n">
        <v>0</v>
      </c>
      <c r="AM483" s="2" t="n">
        <v>0</v>
      </c>
    </row>
    <row r="484">
      <c r="A484">
        <f>HYPERLINK("https://www.walmart.com/ip/14515617539", "14515617539")</f>
        <v/>
      </c>
      <c r="B484">
        <f>HYPERLINK("https://app.optiwise.ai/catalog/itemdetails/13059085", "PEANUTS Mens' Cotton Snoopy Family Matching Pajamas 2-Piece Sets for Christmas with Woodstock Charlie Brown Linus, Gift for him (Red Polka Dot, XXL)")</f>
        <v/>
      </c>
      <c r="C484" t="inlineStr">
        <is>
          <t>-</t>
        </is>
      </c>
      <c r="E484" t="inlineStr">
        <is>
          <t>PEA-PJS-FAMILY-MEN-RED-2XL</t>
        </is>
      </c>
      <c r="F484" t="n">
        <v>0</v>
      </c>
      <c r="G484" t="inlineStr">
        <is>
          <t>Clothing</t>
        </is>
      </c>
      <c r="H484" t="inlineStr">
        <is>
          <t>Pajamas</t>
        </is>
      </c>
      <c r="I484" t="inlineStr">
        <is>
          <t>Peanuts</t>
        </is>
      </c>
      <c r="L484" s="29" t="n">
        <v>0</v>
      </c>
      <c r="M484" s="30" t="n"/>
      <c r="N484" s="29" t="n">
        <v>0</v>
      </c>
      <c r="O484" s="29" t="n">
        <v>0</v>
      </c>
      <c r="P484" s="2" t="n">
        <v>0</v>
      </c>
      <c r="Q484" s="31" t="n">
        <v>0</v>
      </c>
      <c r="R484" s="32" t="n"/>
      <c r="S484" s="32" t="n">
        <v>0</v>
      </c>
      <c r="T484" s="32" t="n">
        <v>0</v>
      </c>
      <c r="U484" s="31" t="n">
        <v>0</v>
      </c>
      <c r="V484" s="32" t="n">
        <v>0</v>
      </c>
      <c r="W484" s="31" t="n">
        <v>0</v>
      </c>
      <c r="X484" s="31" t="n">
        <v>0</v>
      </c>
      <c r="Y484" s="3" t="n">
        <v>0</v>
      </c>
      <c r="Z484" s="3" t="n">
        <v>0</v>
      </c>
      <c r="AA484" s="32" t="n">
        <v>0</v>
      </c>
      <c r="AB484" s="3" t="n">
        <v>0</v>
      </c>
      <c r="AC484" s="32" t="n">
        <v>0</v>
      </c>
      <c r="AD484" s="3" t="n"/>
      <c r="AE484" s="31" t="n">
        <v>0</v>
      </c>
      <c r="AF484" s="2" t="n">
        <v>0</v>
      </c>
      <c r="AG484" s="2" t="n">
        <v>0</v>
      </c>
      <c r="AH484" s="4" t="n">
        <v>0</v>
      </c>
      <c r="AI484" s="33" t="n">
        <v>0</v>
      </c>
      <c r="AJ484" s="4" t="n">
        <v>0</v>
      </c>
      <c r="AK484" s="34" t="n"/>
      <c r="AL484" s="34" t="n">
        <v>0</v>
      </c>
      <c r="AM484" s="2" t="n">
        <v>0</v>
      </c>
    </row>
    <row r="485">
      <c r="A485">
        <f>HYPERLINK("https://www.walmart.com/ip/14514159364", "14514159364")</f>
        <v/>
      </c>
      <c r="B485">
        <f>HYPERLINK("https://app.optiwise.ai/catalog/itemdetails/13059084", "PEANUTS Toddler Boys Girls Snoopy Family Matching Pajamas Sleepwear 2-Piece Sets for Christmas with Woodstock Charlie Brown Linus (Red Plaid, 2T)")</f>
        <v/>
      </c>
      <c r="C485" t="inlineStr">
        <is>
          <t>-</t>
        </is>
      </c>
      <c r="E485" t="inlineStr">
        <is>
          <t>PEA-PJS-FAMILY-TODDLER-REDPLAID-2T</t>
        </is>
      </c>
      <c r="F485" t="n">
        <v>0</v>
      </c>
      <c r="G485" t="inlineStr">
        <is>
          <t>Clothing</t>
        </is>
      </c>
      <c r="H485" t="inlineStr">
        <is>
          <t>Pajamas</t>
        </is>
      </c>
      <c r="I485" t="inlineStr">
        <is>
          <t>Peanuts</t>
        </is>
      </c>
      <c r="L485" s="29" t="n">
        <v>0</v>
      </c>
      <c r="M485" s="30" t="n"/>
      <c r="N485" s="29" t="n">
        <v>0</v>
      </c>
      <c r="O485" s="29" t="n">
        <v>0</v>
      </c>
      <c r="P485" s="2" t="n">
        <v>0</v>
      </c>
      <c r="Q485" s="31" t="n">
        <v>0</v>
      </c>
      <c r="R485" s="32" t="n"/>
      <c r="S485" s="32" t="n">
        <v>0</v>
      </c>
      <c r="T485" s="32" t="n">
        <v>0</v>
      </c>
      <c r="U485" s="31" t="n">
        <v>0</v>
      </c>
      <c r="V485" s="32" t="n">
        <v>0</v>
      </c>
      <c r="W485" s="31" t="n">
        <v>0</v>
      </c>
      <c r="X485" s="31" t="n">
        <v>0</v>
      </c>
      <c r="Y485" s="3" t="n">
        <v>0</v>
      </c>
      <c r="Z485" s="3" t="n">
        <v>0</v>
      </c>
      <c r="AA485" s="32" t="n">
        <v>0</v>
      </c>
      <c r="AB485" s="3" t="n">
        <v>0</v>
      </c>
      <c r="AC485" s="32" t="n">
        <v>0</v>
      </c>
      <c r="AD485" s="3" t="n"/>
      <c r="AE485" s="31" t="n">
        <v>0</v>
      </c>
      <c r="AF485" s="2" t="n">
        <v>0</v>
      </c>
      <c r="AG485" s="2" t="n">
        <v>0</v>
      </c>
      <c r="AH485" s="4" t="n">
        <v>0</v>
      </c>
      <c r="AI485" s="33" t="n">
        <v>0</v>
      </c>
      <c r="AJ485" s="4" t="n">
        <v>0</v>
      </c>
      <c r="AK485" s="34" t="n"/>
      <c r="AL485" s="34" t="n">
        <v>0</v>
      </c>
      <c r="AM485" s="2" t="n">
        <v>0</v>
      </c>
    </row>
    <row r="486">
      <c r="A486">
        <f>HYPERLINK("https://www.walmart.com/ip/14510259690", "14510259690")</f>
        <v/>
      </c>
      <c r="B486">
        <f>HYPERLINK("https://app.optiwise.ai/catalog/itemdetails/13059083", "PEANUTS Snoopy 100% Cotton Family Matching Pajamas Holiday 2-Piece Sets for Christmas with Woodstock Charlie Brown Linus for Baby (Red Polka Dot, 12M)")</f>
        <v/>
      </c>
      <c r="C486" t="inlineStr">
        <is>
          <t>-</t>
        </is>
      </c>
      <c r="E486" t="inlineStr">
        <is>
          <t>PEA-PJS-FAMILY-INFANT-RED-12M</t>
        </is>
      </c>
      <c r="F486" t="n">
        <v>0</v>
      </c>
      <c r="G486" t="inlineStr">
        <is>
          <t>Clothing</t>
        </is>
      </c>
      <c r="H486" t="inlineStr">
        <is>
          <t>Pajamas</t>
        </is>
      </c>
      <c r="I486" t="inlineStr">
        <is>
          <t>Peanuts</t>
        </is>
      </c>
      <c r="L486" s="29" t="n">
        <v>0</v>
      </c>
      <c r="M486" s="30" t="n"/>
      <c r="N486" s="29" t="n">
        <v>0</v>
      </c>
      <c r="O486" s="29" t="n">
        <v>0</v>
      </c>
      <c r="P486" s="2" t="n">
        <v>0</v>
      </c>
      <c r="Q486" s="31" t="n">
        <v>0</v>
      </c>
      <c r="R486" s="32" t="n"/>
      <c r="S486" s="32" t="n">
        <v>0</v>
      </c>
      <c r="T486" s="32" t="n">
        <v>0</v>
      </c>
      <c r="U486" s="31" t="n">
        <v>0</v>
      </c>
      <c r="V486" s="32" t="n">
        <v>0</v>
      </c>
      <c r="W486" s="31" t="n">
        <v>0</v>
      </c>
      <c r="X486" s="31" t="n">
        <v>0</v>
      </c>
      <c r="Y486" s="3" t="n">
        <v>0</v>
      </c>
      <c r="Z486" s="3" t="n">
        <v>0</v>
      </c>
      <c r="AA486" s="32" t="n">
        <v>0</v>
      </c>
      <c r="AB486" s="3" t="n">
        <v>0</v>
      </c>
      <c r="AC486" s="32" t="n">
        <v>0</v>
      </c>
      <c r="AD486" s="3" t="n"/>
      <c r="AE486" s="31" t="n">
        <v>0</v>
      </c>
      <c r="AF486" s="2" t="n">
        <v>0</v>
      </c>
      <c r="AG486" s="2" t="n">
        <v>0</v>
      </c>
      <c r="AH486" s="4" t="n">
        <v>0</v>
      </c>
      <c r="AI486" s="33" t="n">
        <v>0</v>
      </c>
      <c r="AJ486" s="4" t="n">
        <v>0</v>
      </c>
      <c r="AK486" s="34" t="n"/>
      <c r="AL486" s="34" t="n">
        <v>0</v>
      </c>
      <c r="AM486" s="2" t="n">
        <v>0</v>
      </c>
    </row>
    <row r="487">
      <c r="A487">
        <f>HYPERLINK("https://www.walmart.com/ip/14492273638", "14492273638")</f>
        <v/>
      </c>
      <c r="B487">
        <f>HYPERLINK("https://app.optiwise.ai/catalog/itemdetails/13059082", "PEANUTS Womens 100% Cotton Family Matching Pajamas Holiday Festive Nightwear Sleepwear 2-Piece Sets for Christmas Gifts (Green Polka Dot, L)")</f>
        <v/>
      </c>
      <c r="C487" t="inlineStr">
        <is>
          <t>-</t>
        </is>
      </c>
      <c r="E487" t="inlineStr">
        <is>
          <t>PEA-PJS-FAMILY-WOMEN-GREEN-L</t>
        </is>
      </c>
      <c r="F487" t="n">
        <v>0</v>
      </c>
      <c r="G487" t="inlineStr">
        <is>
          <t>Clothing</t>
        </is>
      </c>
      <c r="H487" t="inlineStr">
        <is>
          <t>Pajamas</t>
        </is>
      </c>
      <c r="I487" t="inlineStr">
        <is>
          <t>Peanuts</t>
        </is>
      </c>
      <c r="L487" s="29" t="n">
        <v>0</v>
      </c>
      <c r="M487" s="30" t="n"/>
      <c r="N487" s="29" t="n">
        <v>0</v>
      </c>
      <c r="O487" s="29" t="n">
        <v>0</v>
      </c>
      <c r="P487" s="2" t="n">
        <v>0</v>
      </c>
      <c r="Q487" s="31" t="n">
        <v>0</v>
      </c>
      <c r="R487" s="32" t="n"/>
      <c r="S487" s="32" t="n">
        <v>0</v>
      </c>
      <c r="T487" s="32" t="n">
        <v>0</v>
      </c>
      <c r="U487" s="31" t="n">
        <v>0</v>
      </c>
      <c r="V487" s="32" t="n">
        <v>0</v>
      </c>
      <c r="W487" s="31" t="n">
        <v>0</v>
      </c>
      <c r="X487" s="31" t="n">
        <v>0</v>
      </c>
      <c r="Y487" s="3" t="n">
        <v>0</v>
      </c>
      <c r="Z487" s="3" t="n">
        <v>0</v>
      </c>
      <c r="AA487" s="32" t="n">
        <v>0</v>
      </c>
      <c r="AB487" s="3" t="n">
        <v>0</v>
      </c>
      <c r="AC487" s="32" t="n">
        <v>0</v>
      </c>
      <c r="AD487" s="3" t="n"/>
      <c r="AE487" s="31" t="n">
        <v>0</v>
      </c>
      <c r="AF487" s="2" t="n">
        <v>0</v>
      </c>
      <c r="AG487" s="2" t="n">
        <v>0</v>
      </c>
      <c r="AH487" s="4" t="n">
        <v>0</v>
      </c>
      <c r="AI487" s="33" t="n">
        <v>0</v>
      </c>
      <c r="AJ487" s="4" t="n">
        <v>0</v>
      </c>
      <c r="AK487" s="34" t="n"/>
      <c r="AL487" s="34" t="n">
        <v>0</v>
      </c>
      <c r="AM487" s="2" t="n">
        <v>0</v>
      </c>
    </row>
    <row r="488">
      <c r="A488">
        <f>HYPERLINK("https://www.walmart.com/ip/14490601203", "14490601203")</f>
        <v/>
      </c>
      <c r="B488">
        <f>HYPERLINK("https://app.optiwise.ai/catalog/itemdetails/13059081", "PEANUTS Toddler Boys Girls Snoopy Family Matching Pajamas Sleepwear 2-Piece Sets for Christmas with Woodstock Charlie Brown Linus (Black Plaid, 5T)")</f>
        <v/>
      </c>
      <c r="C488" t="inlineStr">
        <is>
          <t>-</t>
        </is>
      </c>
      <c r="E488" t="inlineStr">
        <is>
          <t>PEA-PJS-FAMILY-TODDLER-BLACKPLAID-5T</t>
        </is>
      </c>
      <c r="F488" t="n">
        <v>0</v>
      </c>
      <c r="G488" t="inlineStr">
        <is>
          <t>Clothing</t>
        </is>
      </c>
      <c r="H488" t="inlineStr">
        <is>
          <t>Pajamas</t>
        </is>
      </c>
      <c r="I488" t="inlineStr">
        <is>
          <t>Peanuts</t>
        </is>
      </c>
      <c r="L488" s="29" t="n">
        <v>0</v>
      </c>
      <c r="M488" s="30" t="n"/>
      <c r="N488" s="29" t="n">
        <v>0</v>
      </c>
      <c r="O488" s="29" t="n">
        <v>0</v>
      </c>
      <c r="P488" s="2" t="n">
        <v>0</v>
      </c>
      <c r="Q488" s="31" t="n">
        <v>0</v>
      </c>
      <c r="R488" s="32" t="n"/>
      <c r="S488" s="32" t="n">
        <v>0</v>
      </c>
      <c r="T488" s="32" t="n">
        <v>0</v>
      </c>
      <c r="U488" s="31" t="n">
        <v>0</v>
      </c>
      <c r="V488" s="32" t="n">
        <v>0</v>
      </c>
      <c r="W488" s="31" t="n">
        <v>0</v>
      </c>
      <c r="X488" s="31" t="n">
        <v>0</v>
      </c>
      <c r="Y488" s="3" t="n">
        <v>0</v>
      </c>
      <c r="Z488" s="3" t="n">
        <v>0</v>
      </c>
      <c r="AA488" s="32" t="n">
        <v>0</v>
      </c>
      <c r="AB488" s="3" t="n">
        <v>0</v>
      </c>
      <c r="AC488" s="32" t="n">
        <v>0</v>
      </c>
      <c r="AD488" s="3" t="n"/>
      <c r="AE488" s="31" t="n">
        <v>0</v>
      </c>
      <c r="AF488" s="2" t="n">
        <v>0</v>
      </c>
      <c r="AG488" s="2" t="n">
        <v>0</v>
      </c>
      <c r="AH488" s="4" t="n">
        <v>0</v>
      </c>
      <c r="AI488" s="33" t="n">
        <v>0</v>
      </c>
      <c r="AJ488" s="4" t="n">
        <v>0</v>
      </c>
      <c r="AK488" s="34" t="n"/>
      <c r="AL488" s="34" t="n">
        <v>0</v>
      </c>
      <c r="AM488" s="2" t="n">
        <v>0</v>
      </c>
    </row>
    <row r="489">
      <c r="A489">
        <f>HYPERLINK("https://www.walmart.com/ip/14477216504", "14477216504")</f>
        <v/>
      </c>
      <c r="B489">
        <f>HYPERLINK("https://app.optiwise.ai/catalog/itemdetails/13059080", "PEANUTS Toddler Boys Girls Snoopy Family Matching Pajamas Sleepwear 2-Piece Sets for Christmas with Woodstock Charlie Brown Linus (Red Polka Dot, 4T)")</f>
        <v/>
      </c>
      <c r="C489" t="inlineStr">
        <is>
          <t>-</t>
        </is>
      </c>
      <c r="E489" t="inlineStr">
        <is>
          <t>PEA-PJS-FAMILY-TODDLER-RED-4T</t>
        </is>
      </c>
      <c r="F489" t="n">
        <v>0</v>
      </c>
      <c r="G489" t="inlineStr">
        <is>
          <t>Clothing</t>
        </is>
      </c>
      <c r="H489" t="inlineStr">
        <is>
          <t>Pajamas</t>
        </is>
      </c>
      <c r="I489" t="inlineStr">
        <is>
          <t>Peanuts</t>
        </is>
      </c>
      <c r="L489" s="29" t="n">
        <v>0</v>
      </c>
      <c r="M489" s="30" t="n"/>
      <c r="N489" s="29" t="n">
        <v>0</v>
      </c>
      <c r="O489" s="29" t="n">
        <v>0</v>
      </c>
      <c r="P489" s="2" t="n">
        <v>0</v>
      </c>
      <c r="Q489" s="31" t="n">
        <v>0</v>
      </c>
      <c r="R489" s="32" t="n"/>
      <c r="S489" s="32" t="n">
        <v>0</v>
      </c>
      <c r="T489" s="32" t="n">
        <v>0</v>
      </c>
      <c r="U489" s="31" t="n">
        <v>0</v>
      </c>
      <c r="V489" s="32" t="n">
        <v>0</v>
      </c>
      <c r="W489" s="31" t="n">
        <v>0</v>
      </c>
      <c r="X489" s="31" t="n">
        <v>0</v>
      </c>
      <c r="Y489" s="3" t="n">
        <v>0</v>
      </c>
      <c r="Z489" s="3" t="n">
        <v>0</v>
      </c>
      <c r="AA489" s="32" t="n">
        <v>0</v>
      </c>
      <c r="AB489" s="3" t="n">
        <v>0</v>
      </c>
      <c r="AC489" s="32" t="n">
        <v>0</v>
      </c>
      <c r="AD489" s="3" t="n"/>
      <c r="AE489" s="31" t="n">
        <v>0</v>
      </c>
      <c r="AF489" s="2" t="n">
        <v>0</v>
      </c>
      <c r="AG489" s="2" t="n">
        <v>0</v>
      </c>
      <c r="AH489" s="4" t="n">
        <v>0</v>
      </c>
      <c r="AI489" s="33" t="n">
        <v>0</v>
      </c>
      <c r="AJ489" s="4" t="n">
        <v>0</v>
      </c>
      <c r="AK489" s="34" t="n"/>
      <c r="AL489" s="34" t="n">
        <v>0</v>
      </c>
      <c r="AM489" s="2" t="n">
        <v>0</v>
      </c>
    </row>
    <row r="490">
      <c r="A490">
        <f>HYPERLINK("https://www.walmart.com/ip/14477166539", "14477166539")</f>
        <v/>
      </c>
      <c r="B490">
        <f>HYPERLINK("https://app.optiwise.ai/catalog/itemdetails/13059079", "PEANUTS Toddler Boys Girls Snoopy Family Matching Pajamas Sleepwear 2-Piece Sets for Christmas with Woodstock Charlie Brown Linus (Black Plaid, 4T)")</f>
        <v/>
      </c>
      <c r="C490" t="inlineStr">
        <is>
          <t>-</t>
        </is>
      </c>
      <c r="E490" t="inlineStr">
        <is>
          <t>PEA-PJS-FAMILY-TODDLER-BLACKPLAID-4T</t>
        </is>
      </c>
      <c r="F490" t="n">
        <v>0</v>
      </c>
      <c r="G490" t="inlineStr">
        <is>
          <t>Clothing</t>
        </is>
      </c>
      <c r="H490" t="inlineStr">
        <is>
          <t>Pajamas</t>
        </is>
      </c>
      <c r="I490" t="inlineStr">
        <is>
          <t>Peanuts</t>
        </is>
      </c>
      <c r="L490" s="29" t="n">
        <v>0</v>
      </c>
      <c r="M490" s="30" t="n"/>
      <c r="N490" s="29" t="n">
        <v>0</v>
      </c>
      <c r="O490" s="29" t="n">
        <v>0</v>
      </c>
      <c r="P490" s="2" t="n">
        <v>0</v>
      </c>
      <c r="Q490" s="31" t="n">
        <v>0</v>
      </c>
      <c r="R490" s="32" t="n"/>
      <c r="S490" s="32" t="n">
        <v>0</v>
      </c>
      <c r="T490" s="32" t="n">
        <v>0</v>
      </c>
      <c r="U490" s="31" t="n">
        <v>0</v>
      </c>
      <c r="V490" s="32" t="n">
        <v>0</v>
      </c>
      <c r="W490" s="31" t="n">
        <v>0</v>
      </c>
      <c r="X490" s="31" t="n">
        <v>0</v>
      </c>
      <c r="Y490" s="3" t="n">
        <v>0</v>
      </c>
      <c r="Z490" s="3" t="n">
        <v>0</v>
      </c>
      <c r="AA490" s="32" t="n">
        <v>0</v>
      </c>
      <c r="AB490" s="3" t="n">
        <v>0</v>
      </c>
      <c r="AC490" s="32" t="n">
        <v>0</v>
      </c>
      <c r="AD490" s="3" t="n"/>
      <c r="AE490" s="31" t="n">
        <v>0</v>
      </c>
      <c r="AF490" s="2" t="n">
        <v>0</v>
      </c>
      <c r="AG490" s="2" t="n">
        <v>0</v>
      </c>
      <c r="AH490" s="4" t="n">
        <v>0</v>
      </c>
      <c r="AI490" s="33" t="n">
        <v>0</v>
      </c>
      <c r="AJ490" s="4" t="n">
        <v>0</v>
      </c>
      <c r="AK490" s="34" t="n"/>
      <c r="AL490" s="34" t="n">
        <v>0</v>
      </c>
      <c r="AM490" s="2" t="n">
        <v>0</v>
      </c>
    </row>
    <row r="491">
      <c r="A491">
        <f>HYPERLINK("https://www.walmart.com/ip/10297918357", "10297918357")</f>
        <v/>
      </c>
      <c r="B491">
        <f>HYPERLINK("https://app.optiwise.ai/catalog/itemdetails/13059078", "PEANUTS Womens 100% Cotton Family Matching Pajamas Holiday Festive Nightwear Sleepwear 2-Piece Sets for Christmas Gifts (Red Polka Dot, M)")</f>
        <v/>
      </c>
      <c r="C491" t="inlineStr">
        <is>
          <t>-</t>
        </is>
      </c>
      <c r="E491" t="inlineStr">
        <is>
          <t>PEA-PJS-FAMILY-WOMEN-RED-M</t>
        </is>
      </c>
      <c r="F491" t="n">
        <v>0</v>
      </c>
      <c r="G491" t="inlineStr">
        <is>
          <t>Clothing</t>
        </is>
      </c>
      <c r="H491" t="inlineStr">
        <is>
          <t>Pajamas</t>
        </is>
      </c>
      <c r="I491" t="inlineStr">
        <is>
          <t>Peanuts</t>
        </is>
      </c>
      <c r="J491" t="n">
        <v>4.5</v>
      </c>
      <c r="L491" s="29" t="n">
        <v>0</v>
      </c>
      <c r="M491" s="30" t="n"/>
      <c r="N491" s="29" t="n">
        <v>0</v>
      </c>
      <c r="O491" s="29" t="n">
        <v>0</v>
      </c>
      <c r="P491" s="2" t="n">
        <v>0</v>
      </c>
      <c r="Q491" s="31" t="n">
        <v>0</v>
      </c>
      <c r="R491" s="32" t="n"/>
      <c r="S491" s="32" t="n">
        <v>0</v>
      </c>
      <c r="T491" s="32" t="n">
        <v>0</v>
      </c>
      <c r="U491" s="31" t="n">
        <v>0</v>
      </c>
      <c r="V491" s="32" t="n">
        <v>0</v>
      </c>
      <c r="W491" s="31" t="n">
        <v>0</v>
      </c>
      <c r="X491" s="31" t="n">
        <v>0</v>
      </c>
      <c r="Y491" s="3" t="n">
        <v>0</v>
      </c>
      <c r="Z491" s="3" t="n">
        <v>0</v>
      </c>
      <c r="AA491" s="32" t="n">
        <v>0</v>
      </c>
      <c r="AB491" s="3" t="n">
        <v>0</v>
      </c>
      <c r="AC491" s="32" t="n">
        <v>0</v>
      </c>
      <c r="AD491" s="3" t="n"/>
      <c r="AE491" s="31" t="n">
        <v>0</v>
      </c>
      <c r="AF491" s="2" t="n">
        <v>0</v>
      </c>
      <c r="AG491" s="2" t="n">
        <v>0</v>
      </c>
      <c r="AH491" s="4" t="n">
        <v>0</v>
      </c>
      <c r="AI491" s="33" t="n">
        <v>0</v>
      </c>
      <c r="AJ491" s="4" t="n">
        <v>0</v>
      </c>
      <c r="AK491" s="34" t="n"/>
      <c r="AL491" s="34" t="n">
        <v>0</v>
      </c>
      <c r="AM491" s="2" t="n">
        <v>0</v>
      </c>
    </row>
    <row r="492">
      <c r="A492">
        <f>HYPERLINK("https://www.walmart.com/ip/14491120088", "14491120088")</f>
        <v/>
      </c>
      <c r="B492">
        <f>HYPERLINK("https://app.optiwise.ai/catalog/itemdetails/13058359", "Tirrinia Womens' Hoodie Blanket Sweatshirt, Oversized Comfortable Fleece Giant Wearable Blankets, Hoodie Blanket for Men, Gift for Her Him, Red Solid")</f>
        <v/>
      </c>
      <c r="C492" t="inlineStr">
        <is>
          <t>-</t>
        </is>
      </c>
      <c r="E492" t="inlineStr">
        <is>
          <t>1TROSH400WN-FS</t>
        </is>
      </c>
      <c r="F492" t="n">
        <v>0</v>
      </c>
      <c r="G492" t="inlineStr">
        <is>
          <t>Clothing</t>
        </is>
      </c>
      <c r="H492" t="inlineStr">
        <is>
          <t>Sweatshirts &amp; Hoodies</t>
        </is>
      </c>
      <c r="I492" t="inlineStr">
        <is>
          <t>Tirrinia</t>
        </is>
      </c>
      <c r="L492" s="29" t="n">
        <v>0</v>
      </c>
      <c r="M492" s="30" t="n"/>
      <c r="N492" s="29" t="n">
        <v>0</v>
      </c>
      <c r="O492" s="29" t="n">
        <v>0</v>
      </c>
      <c r="P492" s="2" t="n">
        <v>0</v>
      </c>
      <c r="Q492" s="31" t="n">
        <v>0</v>
      </c>
      <c r="R492" s="32" t="n"/>
      <c r="S492" s="32" t="n">
        <v>0</v>
      </c>
      <c r="T492" s="32" t="n">
        <v>0</v>
      </c>
      <c r="U492" s="31" t="n">
        <v>0</v>
      </c>
      <c r="V492" s="32" t="n">
        <v>0</v>
      </c>
      <c r="W492" s="31" t="n">
        <v>0</v>
      </c>
      <c r="X492" s="31" t="n">
        <v>0</v>
      </c>
      <c r="Y492" s="3" t="n">
        <v>0</v>
      </c>
      <c r="Z492" s="3" t="n">
        <v>0</v>
      </c>
      <c r="AA492" s="32" t="n">
        <v>0</v>
      </c>
      <c r="AB492" s="3" t="n">
        <v>0</v>
      </c>
      <c r="AC492" s="32" t="n">
        <v>0</v>
      </c>
      <c r="AD492" s="3" t="n"/>
      <c r="AE492" s="31" t="n">
        <v>0</v>
      </c>
      <c r="AF492" s="2" t="n">
        <v>0</v>
      </c>
      <c r="AG492" s="2" t="n">
        <v>2</v>
      </c>
      <c r="AH492" s="4" t="n">
        <v>2</v>
      </c>
      <c r="AI492" s="33" t="n">
        <v>0</v>
      </c>
      <c r="AJ492" s="4" t="n">
        <v>0</v>
      </c>
      <c r="AK492" s="34" t="n"/>
      <c r="AL492" s="34" t="n">
        <v>0</v>
      </c>
      <c r="AM492" s="2" t="n">
        <v>0</v>
      </c>
    </row>
    <row r="493">
      <c r="A493">
        <f>HYPERLINK("https://www.walmart.com/ip/14488058718", "14488058718")</f>
        <v/>
      </c>
      <c r="B493">
        <f>HYPERLINK("https://app.optiwise.ai/catalog/itemdetails/13058261", "Aeropostale  Backpack for School, College, and Travel， Water Resistant Bookbag")</f>
        <v/>
      </c>
      <c r="C493" t="inlineStr">
        <is>
          <t>-</t>
        </is>
      </c>
      <c r="E493" t="inlineStr">
        <is>
          <t>1AEBPK92079BK</t>
        </is>
      </c>
      <c r="F493" t="n">
        <v>0</v>
      </c>
      <c r="G493" t="inlineStr">
        <is>
          <t>Cases &amp; Bags</t>
        </is>
      </c>
      <c r="H493" t="inlineStr">
        <is>
          <t>Backpacks</t>
        </is>
      </c>
      <c r="I493" t="inlineStr">
        <is>
          <t>Aeropostale</t>
        </is>
      </c>
      <c r="L493" s="29" t="n">
        <v>0</v>
      </c>
      <c r="M493" s="30" t="n"/>
      <c r="N493" s="29" t="n">
        <v>0</v>
      </c>
      <c r="O493" s="29" t="n">
        <v>0</v>
      </c>
      <c r="P493" s="2" t="n">
        <v>0</v>
      </c>
      <c r="Q493" s="31" t="n">
        <v>0</v>
      </c>
      <c r="R493" s="32" t="n"/>
      <c r="S493" s="32" t="n">
        <v>0</v>
      </c>
      <c r="T493" s="32" t="n">
        <v>0</v>
      </c>
      <c r="U493" s="31" t="n">
        <v>0</v>
      </c>
      <c r="V493" s="32" t="n">
        <v>0</v>
      </c>
      <c r="W493" s="31" t="n">
        <v>0</v>
      </c>
      <c r="X493" s="31" t="n">
        <v>0</v>
      </c>
      <c r="Y493" s="3" t="n">
        <v>0</v>
      </c>
      <c r="Z493" s="3" t="n">
        <v>0</v>
      </c>
      <c r="AA493" s="32" t="n">
        <v>0</v>
      </c>
      <c r="AB493" s="3" t="n">
        <v>0</v>
      </c>
      <c r="AC493" s="32" t="n">
        <v>0</v>
      </c>
      <c r="AD493" s="3" t="n"/>
      <c r="AE493" s="31" t="n">
        <v>0</v>
      </c>
      <c r="AF493" s="2" t="n">
        <v>0</v>
      </c>
      <c r="AG493" s="2" t="n">
        <v>14</v>
      </c>
      <c r="AH493" s="4" t="n">
        <v>14</v>
      </c>
      <c r="AI493" s="33" t="n">
        <v>0</v>
      </c>
      <c r="AJ493" s="4" t="n">
        <v>0</v>
      </c>
      <c r="AK493" s="34" t="n"/>
      <c r="AL493" s="34" t="n">
        <v>0</v>
      </c>
      <c r="AM493" s="2" t="n">
        <v>0</v>
      </c>
    </row>
    <row r="494">
      <c r="A494">
        <f>HYPERLINK("https://www.walmart.com/ip/14505655144", "14505655144")</f>
        <v/>
      </c>
      <c r="B494">
        <f>HYPERLINK("https://app.optiwise.ai/catalog/itemdetails/13057990", "Womens Oversized Flannel Blanket Hoodie Sweatshirt, Plush Fleece Lined Lounging Pullover, Christmas Gift for Women (Cheetah) - Catalonia")</f>
        <v/>
      </c>
      <c r="C494" t="inlineStr">
        <is>
          <t>-</t>
        </is>
      </c>
      <c r="E494" t="inlineStr">
        <is>
          <t>1CTOSH400CHEETAH-FS</t>
        </is>
      </c>
      <c r="F494" t="n">
        <v>0</v>
      </c>
      <c r="G494" t="inlineStr">
        <is>
          <t>Clothing</t>
        </is>
      </c>
      <c r="H494" t="inlineStr">
        <is>
          <t>Sweatshirts &amp; Hoodies</t>
        </is>
      </c>
      <c r="I494" t="inlineStr">
        <is>
          <t>Catalonia</t>
        </is>
      </c>
      <c r="L494" s="29" t="n">
        <v>0</v>
      </c>
      <c r="M494" s="30" t="n"/>
      <c r="N494" s="29" t="n">
        <v>0</v>
      </c>
      <c r="O494" s="29" t="n">
        <v>0</v>
      </c>
      <c r="P494" s="2" t="n">
        <v>0</v>
      </c>
      <c r="Q494" s="31" t="n">
        <v>0</v>
      </c>
      <c r="R494" s="32" t="n"/>
      <c r="S494" s="32" t="n">
        <v>0</v>
      </c>
      <c r="T494" s="32" t="n">
        <v>0</v>
      </c>
      <c r="U494" s="31" t="n">
        <v>0</v>
      </c>
      <c r="V494" s="32" t="n">
        <v>0</v>
      </c>
      <c r="W494" s="31" t="n">
        <v>0</v>
      </c>
      <c r="X494" s="31" t="n">
        <v>0</v>
      </c>
      <c r="Y494" s="3" t="n">
        <v>0</v>
      </c>
      <c r="Z494" s="3" t="n">
        <v>0</v>
      </c>
      <c r="AA494" s="32" t="n">
        <v>0</v>
      </c>
      <c r="AB494" s="3" t="n">
        <v>0</v>
      </c>
      <c r="AC494" s="32" t="n">
        <v>0</v>
      </c>
      <c r="AD494" s="3" t="n"/>
      <c r="AE494" s="31" t="n">
        <v>0</v>
      </c>
      <c r="AF494" s="2" t="n">
        <v>0</v>
      </c>
      <c r="AG494" s="2" t="n">
        <v>11</v>
      </c>
      <c r="AH494" s="4" t="n">
        <v>11</v>
      </c>
      <c r="AI494" s="33" t="n">
        <v>0</v>
      </c>
      <c r="AJ494" s="4" t="n">
        <v>0</v>
      </c>
      <c r="AK494" s="34" t="n"/>
      <c r="AL494" s="34" t="n">
        <v>0</v>
      </c>
      <c r="AM494" s="2" t="n">
        <v>0</v>
      </c>
    </row>
    <row r="495">
      <c r="A495">
        <f>HYPERLINK("https://www.walmart.com/ip/14505655140", "14505655140")</f>
        <v/>
      </c>
      <c r="B495">
        <f>HYPERLINK("https://app.optiwise.ai/catalog/itemdetails/13057989", "Catalonia Blanket Hoodie for Kids, Oversized Wearable Fleece Sweatshirt Pullover for 7-16 yr Teens Youth, Kids Gift Idea, Pink Dot")</f>
        <v/>
      </c>
      <c r="C495" t="inlineStr">
        <is>
          <t>-</t>
        </is>
      </c>
      <c r="E495" t="inlineStr">
        <is>
          <t>1CTOSH401PKDOT-FS</t>
        </is>
      </c>
      <c r="F495" t="n">
        <v>0</v>
      </c>
      <c r="G495" t="inlineStr">
        <is>
          <t>Clothing</t>
        </is>
      </c>
      <c r="H495" t="inlineStr">
        <is>
          <t>Sweatshirts &amp; Hoodies</t>
        </is>
      </c>
      <c r="I495" t="inlineStr">
        <is>
          <t>Catalonia</t>
        </is>
      </c>
      <c r="L495" s="29" t="n">
        <v>0</v>
      </c>
      <c r="M495" s="30" t="n"/>
      <c r="N495" s="29" t="n">
        <v>0</v>
      </c>
      <c r="O495" s="29" t="n">
        <v>0</v>
      </c>
      <c r="P495" s="2" t="n">
        <v>0</v>
      </c>
      <c r="Q495" s="31" t="n">
        <v>0</v>
      </c>
      <c r="R495" s="32" t="n"/>
      <c r="S495" s="32" t="n">
        <v>0</v>
      </c>
      <c r="T495" s="32" t="n">
        <v>0</v>
      </c>
      <c r="U495" s="31" t="n">
        <v>0</v>
      </c>
      <c r="V495" s="32" t="n">
        <v>0</v>
      </c>
      <c r="W495" s="31" t="n">
        <v>0</v>
      </c>
      <c r="X495" s="31" t="n">
        <v>0</v>
      </c>
      <c r="Y495" s="3" t="n">
        <v>0</v>
      </c>
      <c r="Z495" s="3" t="n">
        <v>0</v>
      </c>
      <c r="AA495" s="32" t="n">
        <v>0</v>
      </c>
      <c r="AB495" s="3" t="n">
        <v>0</v>
      </c>
      <c r="AC495" s="32" t="n">
        <v>0</v>
      </c>
      <c r="AD495" s="3" t="n"/>
      <c r="AE495" s="31" t="n">
        <v>0</v>
      </c>
      <c r="AF495" s="2" t="n">
        <v>0</v>
      </c>
      <c r="AG495" s="2" t="n">
        <v>7</v>
      </c>
      <c r="AH495" s="4" t="n">
        <v>7</v>
      </c>
      <c r="AI495" s="33" t="n">
        <v>0</v>
      </c>
      <c r="AJ495" s="4" t="n">
        <v>0</v>
      </c>
      <c r="AK495" s="34" t="n"/>
      <c r="AL495" s="34" t="n">
        <v>0</v>
      </c>
      <c r="AM495" s="2" t="n">
        <v>0</v>
      </c>
    </row>
    <row r="496">
      <c r="A496">
        <f>HYPERLINK("https://www.walmart.com/ip/14505610982", "14505610982")</f>
        <v/>
      </c>
      <c r="B496">
        <f>HYPERLINK("https://app.optiwise.ai/catalog/itemdetails/13057988", "Womens Oversized Flannel Blanket Hoodie Sweatshirt, Plush Fleece Lined Lounging Pullover, Christmas Gift for Women (Black) - Catalonia")</f>
        <v/>
      </c>
      <c r="C496" t="inlineStr">
        <is>
          <t>-</t>
        </is>
      </c>
      <c r="E496" t="inlineStr">
        <is>
          <t>1CTOSH310S1PK-FS</t>
        </is>
      </c>
      <c r="F496" t="n">
        <v>0</v>
      </c>
      <c r="G496" t="inlineStr">
        <is>
          <t>Clothing</t>
        </is>
      </c>
      <c r="H496" t="inlineStr">
        <is>
          <t>Sweatshirts &amp; Hoodies</t>
        </is>
      </c>
      <c r="I496" t="inlineStr">
        <is>
          <t>Catalonia</t>
        </is>
      </c>
      <c r="L496" s="29" t="n">
        <v>0</v>
      </c>
      <c r="M496" s="30" t="n"/>
      <c r="N496" s="29" t="n">
        <v>0</v>
      </c>
      <c r="O496" s="29" t="n">
        <v>0</v>
      </c>
      <c r="P496" s="2" t="n">
        <v>0</v>
      </c>
      <c r="Q496" s="31" t="n">
        <v>0</v>
      </c>
      <c r="R496" s="32" t="n"/>
      <c r="S496" s="32" t="n">
        <v>0</v>
      </c>
      <c r="T496" s="32" t="n">
        <v>0</v>
      </c>
      <c r="U496" s="31" t="n">
        <v>0</v>
      </c>
      <c r="V496" s="32" t="n">
        <v>0</v>
      </c>
      <c r="W496" s="31" t="n">
        <v>0</v>
      </c>
      <c r="X496" s="31" t="n">
        <v>0</v>
      </c>
      <c r="Y496" s="3" t="n">
        <v>0</v>
      </c>
      <c r="Z496" s="3" t="n">
        <v>0</v>
      </c>
      <c r="AA496" s="32" t="n">
        <v>0</v>
      </c>
      <c r="AB496" s="3" t="n">
        <v>0</v>
      </c>
      <c r="AC496" s="32" t="n">
        <v>0</v>
      </c>
      <c r="AD496" s="3" t="n"/>
      <c r="AE496" s="31" t="n">
        <v>0</v>
      </c>
      <c r="AF496" s="2" t="n">
        <v>0</v>
      </c>
      <c r="AG496" s="2" t="n">
        <v>2</v>
      </c>
      <c r="AH496" s="4" t="n">
        <v>2</v>
      </c>
      <c r="AI496" s="33" t="n">
        <v>0</v>
      </c>
      <c r="AJ496" s="4" t="n">
        <v>0</v>
      </c>
      <c r="AK496" s="34" t="n"/>
      <c r="AL496" s="34" t="n">
        <v>0</v>
      </c>
      <c r="AM496" s="2" t="n">
        <v>0</v>
      </c>
    </row>
    <row r="497">
      <c r="A497">
        <f>HYPERLINK("https://www.walmart.com/ip/14505610242", "14505610242")</f>
        <v/>
      </c>
      <c r="B497">
        <f>HYPERLINK("https://app.optiwise.ai/catalog/itemdetails/13057987", "Catalonia Women's Hoodie Sweatshirt, Casual Pullover Sweater with front Pocket, Womens Fall Winter Clothing, Blanket Hoodie Sweatshirt, Cotton Candy")</f>
        <v/>
      </c>
      <c r="C497" t="inlineStr">
        <is>
          <t>-</t>
        </is>
      </c>
      <c r="E497" t="inlineStr">
        <is>
          <t>1CTOSH300S1COTTONCANDY-FS</t>
        </is>
      </c>
      <c r="F497" t="n">
        <v>0</v>
      </c>
      <c r="G497" t="inlineStr">
        <is>
          <t>Clothing</t>
        </is>
      </c>
      <c r="H497" t="inlineStr">
        <is>
          <t>Sweatshirts &amp; Hoodies</t>
        </is>
      </c>
      <c r="I497" t="inlineStr">
        <is>
          <t>Catalonia</t>
        </is>
      </c>
      <c r="L497" s="29" t="n">
        <v>0</v>
      </c>
      <c r="M497" s="30" t="n"/>
      <c r="N497" s="29" t="n">
        <v>0</v>
      </c>
      <c r="O497" s="29" t="n">
        <v>0</v>
      </c>
      <c r="P497" s="2" t="n">
        <v>0</v>
      </c>
      <c r="Q497" s="31" t="n">
        <v>0</v>
      </c>
      <c r="R497" s="32" t="n"/>
      <c r="S497" s="32" t="n">
        <v>0</v>
      </c>
      <c r="T497" s="32" t="n">
        <v>0</v>
      </c>
      <c r="U497" s="31" t="n">
        <v>0</v>
      </c>
      <c r="V497" s="32" t="n">
        <v>0</v>
      </c>
      <c r="W497" s="31" t="n">
        <v>0</v>
      </c>
      <c r="X497" s="31" t="n">
        <v>0</v>
      </c>
      <c r="Y497" s="3" t="n">
        <v>0</v>
      </c>
      <c r="Z497" s="3" t="n">
        <v>0</v>
      </c>
      <c r="AA497" s="32" t="n">
        <v>0</v>
      </c>
      <c r="AB497" s="3" t="n">
        <v>0</v>
      </c>
      <c r="AC497" s="32" t="n">
        <v>0</v>
      </c>
      <c r="AD497" s="3" t="n"/>
      <c r="AE497" s="31" t="n">
        <v>0</v>
      </c>
      <c r="AF497" s="2" t="n">
        <v>0</v>
      </c>
      <c r="AG497" s="2" t="n">
        <v>4</v>
      </c>
      <c r="AH497" s="4" t="n">
        <v>4</v>
      </c>
      <c r="AI497" s="33" t="n">
        <v>0</v>
      </c>
      <c r="AJ497" s="4" t="n">
        <v>0</v>
      </c>
      <c r="AK497" s="34" t="n"/>
      <c r="AL497" s="34" t="n">
        <v>0</v>
      </c>
      <c r="AM497" s="2" t="n">
        <v>0</v>
      </c>
    </row>
    <row r="498">
      <c r="A498">
        <f>HYPERLINK("https://www.walmart.com/ip/14475608139", "14475608139")</f>
        <v/>
      </c>
      <c r="B498">
        <f>HYPERLINK("https://app.optiwise.ai/catalog/itemdetails/13057947", "Tirrinia Oversized Wearable Blanket Hoodie, Fleece Home Blanket Sweatshirt, Warm Blanket with Sleeves, Gift for lover")</f>
        <v/>
      </c>
      <c r="C498" t="inlineStr">
        <is>
          <t>-</t>
        </is>
      </c>
      <c r="E498" t="inlineStr">
        <is>
          <t>1TROSH340GY-FS</t>
        </is>
      </c>
      <c r="F498" t="n">
        <v>0</v>
      </c>
      <c r="G498" t="inlineStr">
        <is>
          <t>Clothing</t>
        </is>
      </c>
      <c r="H498" t="inlineStr">
        <is>
          <t>Sweatshirts &amp; Hoodies</t>
        </is>
      </c>
      <c r="I498" t="inlineStr">
        <is>
          <t>Tirrinia</t>
        </is>
      </c>
      <c r="L498" s="29" t="n">
        <v>0</v>
      </c>
      <c r="M498" s="30" t="n"/>
      <c r="N498" s="29" t="n">
        <v>0</v>
      </c>
      <c r="O498" s="29" t="n">
        <v>0</v>
      </c>
      <c r="P498" s="2" t="n">
        <v>0</v>
      </c>
      <c r="Q498" s="31" t="n">
        <v>0</v>
      </c>
      <c r="R498" s="32" t="n"/>
      <c r="S498" s="32" t="n">
        <v>0</v>
      </c>
      <c r="T498" s="32" t="n">
        <v>0</v>
      </c>
      <c r="U498" s="31" t="n">
        <v>0</v>
      </c>
      <c r="V498" s="32" t="n">
        <v>0</v>
      </c>
      <c r="W498" s="31" t="n">
        <v>0</v>
      </c>
      <c r="X498" s="31" t="n">
        <v>0</v>
      </c>
      <c r="Y498" s="3" t="n">
        <v>0</v>
      </c>
      <c r="Z498" s="3" t="n">
        <v>0</v>
      </c>
      <c r="AA498" s="32" t="n">
        <v>0</v>
      </c>
      <c r="AB498" s="3" t="n">
        <v>0</v>
      </c>
      <c r="AC498" s="32" t="n">
        <v>0</v>
      </c>
      <c r="AD498" s="3" t="n"/>
      <c r="AE498" s="31" t="n">
        <v>0</v>
      </c>
      <c r="AF498" s="2" t="n">
        <v>0</v>
      </c>
      <c r="AG498" s="2" t="n">
        <v>7</v>
      </c>
      <c r="AH498" s="4" t="n">
        <v>7</v>
      </c>
      <c r="AI498" s="33" t="n">
        <v>0</v>
      </c>
      <c r="AJ498" s="4" t="n">
        <v>0</v>
      </c>
      <c r="AK498" s="34" t="n"/>
      <c r="AL498" s="34" t="n">
        <v>0</v>
      </c>
      <c r="AM498" s="2" t="n">
        <v>0</v>
      </c>
    </row>
    <row r="499">
      <c r="A499">
        <f>HYPERLINK("https://www.walmart.com/ip/14522665306", "14522665306")</f>
        <v/>
      </c>
      <c r="B499">
        <f>HYPERLINK("https://app.optiwise.ai/catalog/itemdetails/13057945", "Catalonia Oversized Blanket Hoodie Sweatshirt, Comfortable Wearable Blanket Pullover Adults, Black Golden")</f>
        <v/>
      </c>
      <c r="C499" t="inlineStr">
        <is>
          <t>-</t>
        </is>
      </c>
      <c r="E499" t="inlineStr">
        <is>
          <t>1CTOSH401RAINBOW-FS</t>
        </is>
      </c>
      <c r="F499" t="n">
        <v>0</v>
      </c>
      <c r="G499" t="inlineStr">
        <is>
          <t>Clothing</t>
        </is>
      </c>
      <c r="H499" t="inlineStr">
        <is>
          <t>Sweatshirts &amp; Hoodies</t>
        </is>
      </c>
      <c r="I499" t="inlineStr">
        <is>
          <t>Catalonia</t>
        </is>
      </c>
      <c r="L499" s="29" t="n">
        <v>0</v>
      </c>
      <c r="M499" s="30" t="n"/>
      <c r="N499" s="29" t="n">
        <v>0</v>
      </c>
      <c r="O499" s="29" t="n">
        <v>0</v>
      </c>
      <c r="P499" s="2" t="n">
        <v>0</v>
      </c>
      <c r="Q499" s="31" t="n">
        <v>0</v>
      </c>
      <c r="R499" s="32" t="n"/>
      <c r="S499" s="32" t="n">
        <v>0</v>
      </c>
      <c r="T499" s="32" t="n">
        <v>0</v>
      </c>
      <c r="U499" s="31" t="n">
        <v>0</v>
      </c>
      <c r="V499" s="32" t="n">
        <v>0</v>
      </c>
      <c r="W499" s="31" t="n">
        <v>0</v>
      </c>
      <c r="X499" s="31" t="n">
        <v>0</v>
      </c>
      <c r="Y499" s="3" t="n">
        <v>0</v>
      </c>
      <c r="Z499" s="3" t="n">
        <v>0</v>
      </c>
      <c r="AA499" s="32" t="n">
        <v>0</v>
      </c>
      <c r="AB499" s="3" t="n">
        <v>0</v>
      </c>
      <c r="AC499" s="32" t="n">
        <v>0</v>
      </c>
      <c r="AD499" s="3" t="n"/>
      <c r="AE499" s="31" t="n">
        <v>0</v>
      </c>
      <c r="AF499" s="2" t="n">
        <v>0</v>
      </c>
      <c r="AG499" s="2" t="n">
        <v>4</v>
      </c>
      <c r="AH499" s="4" t="n">
        <v>4</v>
      </c>
      <c r="AI499" s="33" t="n">
        <v>0</v>
      </c>
      <c r="AJ499" s="4" t="n">
        <v>0</v>
      </c>
      <c r="AK499" s="34" t="n"/>
      <c r="AL499" s="34" t="n">
        <v>0</v>
      </c>
      <c r="AM499" s="2" t="n">
        <v>0</v>
      </c>
    </row>
    <row r="500">
      <c r="A500">
        <f>HYPERLINK("https://www.walmart.com/ip/149457462", "149457462")</f>
        <v/>
      </c>
      <c r="B500">
        <f>HYPERLINK("https://app.optiwise.ai/catalog/itemdetails/360612", "Napa® Mens Super Soft Warm Microfiber Fleece Plush Bathrobe Spa Robe with Pockets Latte")</f>
        <v/>
      </c>
      <c r="C500" t="n">
        <v>1</v>
      </c>
      <c r="D500" t="inlineStr">
        <is>
          <t>B78691_974538</t>
        </is>
      </c>
      <c r="E500" t="inlineStr">
        <is>
          <t>R5000LATTE-02</t>
        </is>
      </c>
      <c r="F500" t="n">
        <v>2</v>
      </c>
      <c r="G500" t="inlineStr">
        <is>
          <t>Clothing</t>
        </is>
      </c>
      <c r="H500" t="inlineStr">
        <is>
          <t>Sleepwear Robes &amp; Bathrobes</t>
        </is>
      </c>
      <c r="I500" t="inlineStr">
        <is>
          <t>NAPA</t>
        </is>
      </c>
      <c r="J500" t="n">
        <v>5</v>
      </c>
      <c r="L500" s="29" t="n">
        <v>0</v>
      </c>
      <c r="M500" s="30" t="n"/>
      <c r="N500" s="29" t="n">
        <v>0</v>
      </c>
      <c r="O500" s="29" t="n">
        <v>0</v>
      </c>
      <c r="P500" s="2" t="n">
        <v>0</v>
      </c>
      <c r="Q500" s="31" t="n">
        <v>0</v>
      </c>
      <c r="R500" s="32" t="n"/>
      <c r="S500" s="32" t="n">
        <v>0</v>
      </c>
      <c r="T500" s="32" t="n">
        <v>0</v>
      </c>
      <c r="U500" s="31" t="n">
        <v>0</v>
      </c>
      <c r="V500" s="32" t="n">
        <v>0</v>
      </c>
      <c r="W500" s="31" t="n">
        <v>0</v>
      </c>
      <c r="X500" s="31" t="n">
        <v>0</v>
      </c>
      <c r="Y500" s="3" t="n">
        <v>0</v>
      </c>
      <c r="Z500" s="3" t="n">
        <v>0</v>
      </c>
      <c r="AA500" s="32" t="n">
        <v>0</v>
      </c>
      <c r="AB500" s="3" t="n">
        <v>0</v>
      </c>
      <c r="AC500" s="32" t="n">
        <v>0</v>
      </c>
      <c r="AD500" s="3" t="n"/>
      <c r="AE500" s="31" t="n">
        <v>0</v>
      </c>
      <c r="AF500" s="2" t="n">
        <v>0</v>
      </c>
      <c r="AG500" s="2" t="n">
        <v>3</v>
      </c>
      <c r="AH500" s="4" t="n">
        <v>3</v>
      </c>
      <c r="AI500" s="33" t="n">
        <v>0</v>
      </c>
      <c r="AJ500" s="4" t="n">
        <v>0</v>
      </c>
      <c r="AK500" s="34" t="n"/>
      <c r="AL500" s="34" t="n">
        <v>0</v>
      </c>
      <c r="AM500" s="2" t="n">
        <v>0</v>
      </c>
    </row>
    <row r="501">
      <c r="A501">
        <f>HYPERLINK("https://www.walmart.com/ip/324640382", "324640382")</f>
        <v/>
      </c>
      <c r="B501">
        <f>HYPERLINK("https://app.optiwise.ai/catalog/itemdetails/417467", "Tirrinia Sherpa Wearable Blanket Super Soft Comfy Plush Fleece Poncho, 55'' x 80'', Navy")</f>
        <v/>
      </c>
      <c r="C501" t="inlineStr">
        <is>
          <t>-</t>
        </is>
      </c>
      <c r="E501" t="inlineStr">
        <is>
          <t>1TRBP110NY-TBCB</t>
        </is>
      </c>
      <c r="F501" t="n">
        <v>0</v>
      </c>
      <c r="G501" t="inlineStr">
        <is>
          <t>Bedding</t>
        </is>
      </c>
      <c r="H501" t="inlineStr">
        <is>
          <t>default</t>
        </is>
      </c>
      <c r="I501" t="inlineStr">
        <is>
          <t>Tirrinia</t>
        </is>
      </c>
      <c r="K501" t="inlineStr">
        <is>
          <t>Optimized</t>
        </is>
      </c>
      <c r="L501" s="29" t="n">
        <v>0</v>
      </c>
      <c r="M501" s="30" t="n"/>
      <c r="N501" s="29" t="n">
        <v>0</v>
      </c>
      <c r="O501" s="29" t="n">
        <v>0</v>
      </c>
      <c r="P501" s="2" t="n">
        <v>0</v>
      </c>
      <c r="Q501" s="31" t="n">
        <v>0</v>
      </c>
      <c r="R501" s="32" t="n"/>
      <c r="S501" s="32" t="n">
        <v>0</v>
      </c>
      <c r="T501" s="32" t="n">
        <v>0</v>
      </c>
      <c r="U501" s="31" t="n">
        <v>0</v>
      </c>
      <c r="V501" s="32" t="n">
        <v>0</v>
      </c>
      <c r="W501" s="31" t="n">
        <v>0</v>
      </c>
      <c r="X501" s="31" t="n">
        <v>0</v>
      </c>
      <c r="Y501" s="3" t="n">
        <v>0</v>
      </c>
      <c r="Z501" s="3" t="n">
        <v>0</v>
      </c>
      <c r="AA501" s="32" t="n">
        <v>0</v>
      </c>
      <c r="AB501" s="3" t="n">
        <v>0</v>
      </c>
      <c r="AC501" s="32" t="n">
        <v>0</v>
      </c>
      <c r="AD501" s="3" t="n"/>
      <c r="AE501" s="31" t="n">
        <v>0</v>
      </c>
      <c r="AF501" s="2" t="n">
        <v>0</v>
      </c>
      <c r="AG501" s="2" t="n">
        <v>3</v>
      </c>
      <c r="AH501" s="4" t="n">
        <v>3</v>
      </c>
      <c r="AI501" s="33" t="n">
        <v>0</v>
      </c>
      <c r="AJ501" s="4" t="n">
        <v>0</v>
      </c>
      <c r="AK501" s="34" t="n"/>
      <c r="AL501" s="34" t="n">
        <v>0</v>
      </c>
      <c r="AM501" s="2" t="n">
        <v>0</v>
      </c>
    </row>
    <row r="502">
      <c r="A502">
        <f>HYPERLINK("https://www.walmart.com/ip/500709074", "500709074")</f>
        <v/>
      </c>
      <c r="B502">
        <f>HYPERLINK("https://app.optiwise.ai/catalog/itemdetails/362489", "Catalonia Wearable Fleece Blanket with Sleeves and Foot Pockets for Adult Women Men, Micro Plush Comfy Wrap Sleeved Throw Blanket Robe Large, Pink")</f>
        <v/>
      </c>
      <c r="C502" t="inlineStr">
        <is>
          <t>-</t>
        </is>
      </c>
      <c r="E502" t="inlineStr">
        <is>
          <t>1CTSN101PK</t>
        </is>
      </c>
      <c r="F502" t="n">
        <v>0</v>
      </c>
      <c r="G502" t="inlineStr">
        <is>
          <t>Bedding</t>
        </is>
      </c>
      <c r="H502" t="inlineStr">
        <is>
          <t>Throws</t>
        </is>
      </c>
      <c r="I502" t="inlineStr">
        <is>
          <t>Catalonia</t>
        </is>
      </c>
      <c r="K502" t="inlineStr">
        <is>
          <t>WFS,Coupon_Discount,WFS Item,Fleece Blankets</t>
        </is>
      </c>
      <c r="L502" s="29" t="n">
        <v>0</v>
      </c>
      <c r="M502" s="30" t="n"/>
      <c r="N502" s="29" t="n">
        <v>0</v>
      </c>
      <c r="O502" s="29" t="n">
        <v>0</v>
      </c>
      <c r="P502" s="2" t="n">
        <v>0</v>
      </c>
      <c r="Q502" s="31" t="n">
        <v>0</v>
      </c>
      <c r="R502" s="32" t="n"/>
      <c r="S502" s="32" t="n">
        <v>0</v>
      </c>
      <c r="T502" s="32" t="n">
        <v>0</v>
      </c>
      <c r="U502" s="31" t="n">
        <v>0</v>
      </c>
      <c r="V502" s="32" t="n">
        <v>0</v>
      </c>
      <c r="W502" s="31" t="n">
        <v>0</v>
      </c>
      <c r="X502" s="31" t="n">
        <v>0</v>
      </c>
      <c r="Y502" s="3" t="n">
        <v>0</v>
      </c>
      <c r="Z502" s="3" t="n">
        <v>0</v>
      </c>
      <c r="AA502" s="32" t="n">
        <v>0</v>
      </c>
      <c r="AB502" s="3" t="n">
        <v>0</v>
      </c>
      <c r="AC502" s="32" t="n">
        <v>0</v>
      </c>
      <c r="AD502" s="3" t="n"/>
      <c r="AE502" s="31" t="n">
        <v>0</v>
      </c>
      <c r="AF502" s="2" t="n">
        <v>7</v>
      </c>
      <c r="AG502" s="2" t="n">
        <v>43</v>
      </c>
      <c r="AH502" s="4" t="n">
        <v>43</v>
      </c>
      <c r="AI502" s="33" t="n">
        <v>0</v>
      </c>
      <c r="AJ502" s="4" t="n">
        <v>0</v>
      </c>
      <c r="AK502" s="34" t="n"/>
      <c r="AL502" s="34" t="n">
        <v>0</v>
      </c>
      <c r="AM502" s="2" t="n">
        <v>0</v>
      </c>
    </row>
    <row r="503">
      <c r="A503">
        <f>HYPERLINK("https://www.walmart.com/ip/485205296", "485205296")</f>
        <v/>
      </c>
      <c r="B503">
        <f>HYPERLINK("https://app.optiwise.ai/catalog/itemdetails/362415", "KC Caps®Women's Men's Beanie Unisex Warm Winter Knit Hat Fashion cap Beanie Hats")</f>
        <v/>
      </c>
      <c r="C503" t="inlineStr">
        <is>
          <t>-</t>
        </is>
      </c>
      <c r="E503" t="inlineStr">
        <is>
          <t>KC-W1740-OR</t>
        </is>
      </c>
      <c r="F503" t="n">
        <v>0</v>
      </c>
      <c r="G503" t="inlineStr">
        <is>
          <t>Clothing</t>
        </is>
      </c>
      <c r="H503" t="inlineStr">
        <is>
          <t>Hats</t>
        </is>
      </c>
      <c r="I503" t="inlineStr">
        <is>
          <t>KC Caps</t>
        </is>
      </c>
      <c r="K503" t="inlineStr">
        <is>
          <t>Optimized</t>
        </is>
      </c>
      <c r="L503" s="29" t="n">
        <v>0</v>
      </c>
      <c r="M503" s="30" t="n"/>
      <c r="N503" s="29" t="n">
        <v>0</v>
      </c>
      <c r="O503" s="29" t="n">
        <v>0</v>
      </c>
      <c r="P503" s="2" t="n">
        <v>0</v>
      </c>
      <c r="Q503" s="31" t="n">
        <v>0</v>
      </c>
      <c r="R503" s="32" t="n"/>
      <c r="S503" s="32" t="n">
        <v>0</v>
      </c>
      <c r="T503" s="32" t="n">
        <v>0</v>
      </c>
      <c r="U503" s="31" t="n">
        <v>0</v>
      </c>
      <c r="V503" s="32" t="n">
        <v>0</v>
      </c>
      <c r="W503" s="31" t="n">
        <v>0</v>
      </c>
      <c r="X503" s="31" t="n">
        <v>0</v>
      </c>
      <c r="Y503" s="3" t="n">
        <v>0</v>
      </c>
      <c r="Z503" s="3" t="n">
        <v>0</v>
      </c>
      <c r="AA503" s="32" t="n">
        <v>0</v>
      </c>
      <c r="AB503" s="3" t="n">
        <v>0</v>
      </c>
      <c r="AC503" s="32" t="n">
        <v>0</v>
      </c>
      <c r="AD503" s="3" t="n"/>
      <c r="AE503" s="31" t="n">
        <v>0</v>
      </c>
      <c r="AF503" s="2" t="n">
        <v>0</v>
      </c>
      <c r="AG503" s="2" t="n">
        <v>1</v>
      </c>
      <c r="AH503" s="4" t="n">
        <v>1</v>
      </c>
      <c r="AI503" s="33" t="n">
        <v>0</v>
      </c>
      <c r="AJ503" s="4" t="n">
        <v>0</v>
      </c>
      <c r="AK503" s="34" t="n"/>
      <c r="AL503" s="34" t="n">
        <v>0</v>
      </c>
      <c r="AM503" s="2" t="n">
        <v>0</v>
      </c>
    </row>
    <row r="504">
      <c r="A504">
        <f>HYPERLINK("https://www.walmart.com/ip/117100856", "117100856")</f>
        <v/>
      </c>
      <c r="B504">
        <f>HYPERLINK("https://app.optiwise.ai/catalog/itemdetails/362393", "Catalonia Adult Knitted Mermaid Tail Blanket with Anti-Slip Neck Strap Soft Snuggie Throw All Seasons Sleep Bag 66.5” x")</f>
        <v/>
      </c>
      <c r="C504" t="inlineStr">
        <is>
          <t>-</t>
        </is>
      </c>
      <c r="E504" t="inlineStr">
        <is>
          <t>1CTMM100PK</t>
        </is>
      </c>
      <c r="F504" t="n">
        <v>2</v>
      </c>
      <c r="G504" t="inlineStr">
        <is>
          <t>Bedding</t>
        </is>
      </c>
      <c r="H504" t="inlineStr">
        <is>
          <t>Throws</t>
        </is>
      </c>
      <c r="I504" t="inlineStr">
        <is>
          <t>Catalonia</t>
        </is>
      </c>
      <c r="J504" t="n">
        <v>3</v>
      </c>
      <c r="K504" t="inlineStr">
        <is>
          <t>Optimized</t>
        </is>
      </c>
      <c r="L504" s="29" t="n">
        <v>0</v>
      </c>
      <c r="M504" s="30" t="n"/>
      <c r="N504" s="29" t="n">
        <v>0</v>
      </c>
      <c r="O504" s="29" t="n">
        <v>0</v>
      </c>
      <c r="P504" s="2" t="n">
        <v>0</v>
      </c>
      <c r="Q504" s="31" t="n">
        <v>0</v>
      </c>
      <c r="R504" s="32" t="n"/>
      <c r="S504" s="32" t="n">
        <v>0</v>
      </c>
      <c r="T504" s="32" t="n">
        <v>0</v>
      </c>
      <c r="U504" s="31" t="n">
        <v>0</v>
      </c>
      <c r="V504" s="32" t="n">
        <v>0</v>
      </c>
      <c r="W504" s="31" t="n">
        <v>0</v>
      </c>
      <c r="X504" s="31" t="n">
        <v>0</v>
      </c>
      <c r="Y504" s="3" t="n">
        <v>0</v>
      </c>
      <c r="Z504" s="3" t="n">
        <v>0</v>
      </c>
      <c r="AA504" s="32" t="n">
        <v>0</v>
      </c>
      <c r="AB504" s="3" t="n">
        <v>0</v>
      </c>
      <c r="AC504" s="32" t="n">
        <v>0</v>
      </c>
      <c r="AD504" s="3" t="n"/>
      <c r="AE504" s="31" t="n">
        <v>0</v>
      </c>
      <c r="AF504" s="2" t="n">
        <v>0</v>
      </c>
      <c r="AG504" s="2" t="n">
        <v>16</v>
      </c>
      <c r="AH504" s="4" t="n">
        <v>16</v>
      </c>
      <c r="AI504" s="33" t="n">
        <v>0</v>
      </c>
      <c r="AJ504" s="4" t="n">
        <v>0</v>
      </c>
      <c r="AK504" s="34" t="n"/>
      <c r="AL504" s="34" t="n">
        <v>0</v>
      </c>
      <c r="AM504" s="2" t="n">
        <v>0</v>
      </c>
    </row>
    <row r="505">
      <c r="A505">
        <f>HYPERLINK("https://www.walmart.com/ip/109273590", "109273590")</f>
        <v/>
      </c>
      <c r="B505">
        <f>HYPERLINK("https://app.optiwise.ai/catalog/itemdetails/362257", "Vina® Premium Bamboo Cutting Board – Medium 12 x 9 Kitchen Chopping board with")</f>
        <v/>
      </c>
      <c r="C505" t="inlineStr">
        <is>
          <t>-</t>
        </is>
      </c>
      <c r="E505" t="inlineStr">
        <is>
          <t>VINABCB05</t>
        </is>
      </c>
      <c r="F505" t="n">
        <v>0</v>
      </c>
      <c r="G505" t="inlineStr">
        <is>
          <t>Home Decor, Kitchen, &amp; Other</t>
        </is>
      </c>
      <c r="H505" t="inlineStr">
        <is>
          <t>Cutting Boards &amp; Butcher Blocks</t>
        </is>
      </c>
      <c r="I505" t="inlineStr">
        <is>
          <t>Vina</t>
        </is>
      </c>
      <c r="L505" s="29" t="n">
        <v>0</v>
      </c>
      <c r="M505" s="30" t="n"/>
      <c r="N505" s="29" t="n">
        <v>0</v>
      </c>
      <c r="O505" s="29" t="n">
        <v>0</v>
      </c>
      <c r="P505" s="2" t="n">
        <v>0</v>
      </c>
      <c r="Q505" s="31" t="n">
        <v>0</v>
      </c>
      <c r="R505" s="32" t="n"/>
      <c r="S505" s="32" t="n">
        <v>0</v>
      </c>
      <c r="T505" s="32" t="n">
        <v>0</v>
      </c>
      <c r="U505" s="31" t="n">
        <v>0</v>
      </c>
      <c r="V505" s="32" t="n">
        <v>0</v>
      </c>
      <c r="W505" s="31" t="n">
        <v>0</v>
      </c>
      <c r="X505" s="31" t="n">
        <v>0</v>
      </c>
      <c r="Y505" s="3" t="n">
        <v>0</v>
      </c>
      <c r="Z505" s="3" t="n">
        <v>0</v>
      </c>
      <c r="AA505" s="32" t="n">
        <v>0</v>
      </c>
      <c r="AB505" s="3" t="n">
        <v>0</v>
      </c>
      <c r="AC505" s="32" t="n">
        <v>0</v>
      </c>
      <c r="AD505" s="3" t="n"/>
      <c r="AE505" s="31" t="n">
        <v>0</v>
      </c>
      <c r="AF505" s="2" t="n">
        <v>0</v>
      </c>
      <c r="AG505" s="2" t="n">
        <v>0</v>
      </c>
      <c r="AH505" s="4" t="n">
        <v>0</v>
      </c>
      <c r="AI505" s="33" t="n">
        <v>0</v>
      </c>
      <c r="AJ505" s="4" t="n">
        <v>0</v>
      </c>
      <c r="AK505" s="34" t="n"/>
      <c r="AL505" s="34" t="n">
        <v>0</v>
      </c>
      <c r="AM505" s="2" t="n">
        <v>0</v>
      </c>
    </row>
    <row r="506">
      <c r="A506">
        <f>HYPERLINK("https://www.walmart.com/ip/311390337", "311390337")</f>
        <v/>
      </c>
      <c r="B506">
        <f>HYPERLINK("https://app.optiwise.ai/catalog/itemdetails/362021", "JenniWears 2 White Sheer Sexy Ladies Panty-hose Stockings Lingeries Socks Wife Gift")</f>
        <v/>
      </c>
      <c r="C506" t="inlineStr">
        <is>
          <t>-</t>
        </is>
      </c>
      <c r="E506" t="inlineStr">
        <is>
          <t>JWBLSPH2015-2 Packs</t>
        </is>
      </c>
      <c r="F506" t="n">
        <v>0</v>
      </c>
      <c r="G506" t="inlineStr">
        <is>
          <t>Clothing</t>
        </is>
      </c>
      <c r="H506" t="inlineStr">
        <is>
          <t>Pantyhose &amp; Tights</t>
        </is>
      </c>
      <c r="I506" t="inlineStr">
        <is>
          <t>JenniWears</t>
        </is>
      </c>
      <c r="K506" t="inlineStr">
        <is>
          <t>Optimized,Valentine</t>
        </is>
      </c>
      <c r="L506" s="29" t="n">
        <v>0</v>
      </c>
      <c r="M506" s="30" t="n"/>
      <c r="N506" s="29" t="n">
        <v>0</v>
      </c>
      <c r="O506" s="29" t="n">
        <v>0</v>
      </c>
      <c r="P506" s="2" t="n">
        <v>0</v>
      </c>
      <c r="Q506" s="31" t="n">
        <v>0</v>
      </c>
      <c r="R506" s="32" t="n"/>
      <c r="S506" s="32" t="n">
        <v>0</v>
      </c>
      <c r="T506" s="32" t="n">
        <v>0</v>
      </c>
      <c r="U506" s="31" t="n">
        <v>0</v>
      </c>
      <c r="V506" s="32" t="n">
        <v>0</v>
      </c>
      <c r="W506" s="31" t="n">
        <v>0</v>
      </c>
      <c r="X506" s="31" t="n">
        <v>0</v>
      </c>
      <c r="Y506" s="3" t="n">
        <v>0</v>
      </c>
      <c r="Z506" s="3" t="n">
        <v>0</v>
      </c>
      <c r="AA506" s="32" t="n">
        <v>0</v>
      </c>
      <c r="AB506" s="3" t="n">
        <v>0</v>
      </c>
      <c r="AC506" s="32" t="n">
        <v>0</v>
      </c>
      <c r="AD506" s="3" t="n"/>
      <c r="AE506" s="31" t="n">
        <v>0</v>
      </c>
      <c r="AF506" s="2" t="n">
        <v>0</v>
      </c>
      <c r="AG506" s="2" t="n">
        <v>5</v>
      </c>
      <c r="AH506" s="4" t="n">
        <v>5</v>
      </c>
      <c r="AI506" s="33" t="n">
        <v>0</v>
      </c>
      <c r="AJ506" s="4" t="n">
        <v>0</v>
      </c>
      <c r="AK506" s="34" t="n"/>
      <c r="AL506" s="34" t="n">
        <v>0</v>
      </c>
      <c r="AM506" s="2" t="n">
        <v>0</v>
      </c>
    </row>
    <row r="507">
      <c r="A507">
        <f>HYPERLINK("https://www.walmart.com/ip/984075304", "984075304")</f>
        <v/>
      </c>
      <c r="B507">
        <f>HYPERLINK("https://app.optiwise.ai/catalog/itemdetails/361628", "Orico® 5 Ports USB Quick-acting Travel Wall Charger for iPhone 6s LG Cell Phone")</f>
        <v/>
      </c>
      <c r="C507" t="inlineStr">
        <is>
          <t>-</t>
        </is>
      </c>
      <c r="E507" t="inlineStr">
        <is>
          <t>ORICO DCH-5U BK</t>
        </is>
      </c>
      <c r="F507" t="n">
        <v>1</v>
      </c>
      <c r="G507" t="inlineStr">
        <is>
          <t>Electronics Other</t>
        </is>
      </c>
      <c r="H507" t="inlineStr">
        <is>
          <t>USB Hubs</t>
        </is>
      </c>
      <c r="I507" t="inlineStr">
        <is>
          <t>ORICO</t>
        </is>
      </c>
      <c r="J507" t="n">
        <v>5</v>
      </c>
      <c r="K507" t="inlineStr">
        <is>
          <t>Batch 1 - TR</t>
        </is>
      </c>
      <c r="L507" s="29" t="n">
        <v>0</v>
      </c>
      <c r="M507" s="30" t="n"/>
      <c r="N507" s="29" t="n">
        <v>0</v>
      </c>
      <c r="O507" s="29" t="n">
        <v>0</v>
      </c>
      <c r="P507" s="2" t="n">
        <v>0</v>
      </c>
      <c r="Q507" s="31" t="n">
        <v>0</v>
      </c>
      <c r="R507" s="32" t="n"/>
      <c r="S507" s="32" t="n">
        <v>0</v>
      </c>
      <c r="T507" s="32" t="n">
        <v>0</v>
      </c>
      <c r="U507" s="31" t="n">
        <v>0</v>
      </c>
      <c r="V507" s="32" t="n">
        <v>0</v>
      </c>
      <c r="W507" s="31" t="n">
        <v>0</v>
      </c>
      <c r="X507" s="31" t="n">
        <v>0</v>
      </c>
      <c r="Y507" s="3" t="n">
        <v>0</v>
      </c>
      <c r="Z507" s="3" t="n">
        <v>0</v>
      </c>
      <c r="AA507" s="32" t="n">
        <v>0</v>
      </c>
      <c r="AB507" s="3" t="n">
        <v>0</v>
      </c>
      <c r="AC507" s="32" t="n">
        <v>0</v>
      </c>
      <c r="AD507" s="3" t="n"/>
      <c r="AE507" s="31" t="n">
        <v>0</v>
      </c>
      <c r="AF507" s="2" t="n">
        <v>0</v>
      </c>
      <c r="AG507" s="2" t="n">
        <v>0</v>
      </c>
      <c r="AH507" s="4" t="n">
        <v>0</v>
      </c>
      <c r="AI507" s="33" t="n">
        <v>0</v>
      </c>
      <c r="AJ507" s="4" t="n">
        <v>0</v>
      </c>
      <c r="AK507" s="34" t="n"/>
      <c r="AL507" s="34" t="n">
        <v>0</v>
      </c>
      <c r="AM507" s="2" t="n">
        <v>0</v>
      </c>
    </row>
    <row r="508">
      <c r="A508">
        <f>HYPERLINK("https://www.walmart.com/ip/620436100", "620436100")</f>
        <v/>
      </c>
      <c r="B508">
        <f>HYPERLINK("https://app.optiwise.ai/catalog/itemdetails/361619", "Jennis  8in1 Stylish Ladies Magic Scarf Shawl Woolly Charcoal Fiber Head Wrap")</f>
        <v/>
      </c>
      <c r="C508" t="inlineStr">
        <is>
          <t>-</t>
        </is>
      </c>
      <c r="E508" t="inlineStr">
        <is>
          <t>MagicScarfLilac</t>
        </is>
      </c>
      <c r="F508" t="n">
        <v>5</v>
      </c>
      <c r="G508" t="inlineStr">
        <is>
          <t>Clothing</t>
        </is>
      </c>
      <c r="H508" t="inlineStr">
        <is>
          <t>Scarves</t>
        </is>
      </c>
      <c r="I508" t="inlineStr">
        <is>
          <t>JenniWears</t>
        </is>
      </c>
      <c r="J508" t="n">
        <v>3.2</v>
      </c>
      <c r="K508" t="inlineStr">
        <is>
          <t>Optimized,SEM</t>
        </is>
      </c>
      <c r="L508" s="29" t="n">
        <v>0</v>
      </c>
      <c r="M508" s="30" t="n"/>
      <c r="N508" s="29" t="n">
        <v>0</v>
      </c>
      <c r="O508" s="29" t="n">
        <v>0</v>
      </c>
      <c r="P508" s="2" t="n">
        <v>0</v>
      </c>
      <c r="Q508" s="31" t="n">
        <v>0</v>
      </c>
      <c r="R508" s="32" t="n"/>
      <c r="S508" s="32" t="n">
        <v>0</v>
      </c>
      <c r="T508" s="32" t="n">
        <v>0</v>
      </c>
      <c r="U508" s="31" t="n">
        <v>0</v>
      </c>
      <c r="V508" s="32" t="n">
        <v>0</v>
      </c>
      <c r="W508" s="31" t="n">
        <v>0</v>
      </c>
      <c r="X508" s="31" t="n">
        <v>0</v>
      </c>
      <c r="Y508" s="3" t="n">
        <v>0</v>
      </c>
      <c r="Z508" s="3" t="n">
        <v>0</v>
      </c>
      <c r="AA508" s="32" t="n">
        <v>0</v>
      </c>
      <c r="AB508" s="3" t="n">
        <v>0</v>
      </c>
      <c r="AC508" s="32" t="n">
        <v>0</v>
      </c>
      <c r="AD508" s="3" t="n"/>
      <c r="AE508" s="31" t="n">
        <v>0</v>
      </c>
      <c r="AF508" s="2" t="n">
        <v>1</v>
      </c>
      <c r="AG508" s="2" t="n">
        <v>52</v>
      </c>
      <c r="AH508" s="4" t="n">
        <v>52</v>
      </c>
      <c r="AI508" s="33" t="n">
        <v>0</v>
      </c>
      <c r="AJ508" s="4" t="n">
        <v>0</v>
      </c>
      <c r="AK508" s="34" t="n"/>
      <c r="AL508" s="34" t="n">
        <v>0</v>
      </c>
      <c r="AM508" s="2" t="n">
        <v>0</v>
      </c>
    </row>
    <row r="509">
      <c r="A509">
        <f>HYPERLINK("https://www.walmart.com/ip/535105838", "535105838")</f>
        <v/>
      </c>
      <c r="B509">
        <f>HYPERLINK("https://app.optiwise.ai/catalog/itemdetails/361596", "Explorer® 17x 9 x11 Multicam Military Tactical MOLLE Backpack B3-ML")</f>
        <v/>
      </c>
      <c r="C509" t="inlineStr">
        <is>
          <t>-</t>
        </is>
      </c>
      <c r="E509" t="inlineStr">
        <is>
          <t>EXPLORER-B3-ML</t>
        </is>
      </c>
      <c r="F509" t="n">
        <v>0</v>
      </c>
      <c r="G509" t="inlineStr">
        <is>
          <t>Sport &amp; Recreation Other</t>
        </is>
      </c>
      <c r="H509" t="inlineStr">
        <is>
          <t>Backpacking Backpacks</t>
        </is>
      </c>
      <c r="I509" t="inlineStr">
        <is>
          <t>Explorer</t>
        </is>
      </c>
      <c r="L509" s="29" t="n">
        <v>0</v>
      </c>
      <c r="M509" s="30" t="n"/>
      <c r="N509" s="29" t="n">
        <v>0</v>
      </c>
      <c r="O509" s="29" t="n">
        <v>0</v>
      </c>
      <c r="P509" s="2" t="n">
        <v>0</v>
      </c>
      <c r="Q509" s="31" t="n">
        <v>0</v>
      </c>
      <c r="R509" s="32" t="n"/>
      <c r="S509" s="32" t="n">
        <v>0</v>
      </c>
      <c r="T509" s="32" t="n">
        <v>0</v>
      </c>
      <c r="U509" s="31" t="n">
        <v>0</v>
      </c>
      <c r="V509" s="32" t="n">
        <v>0</v>
      </c>
      <c r="W509" s="31" t="n">
        <v>0</v>
      </c>
      <c r="X509" s="31" t="n">
        <v>0</v>
      </c>
      <c r="Y509" s="3" t="n">
        <v>0</v>
      </c>
      <c r="Z509" s="3" t="n">
        <v>0</v>
      </c>
      <c r="AA509" s="32" t="n">
        <v>0</v>
      </c>
      <c r="AB509" s="3" t="n">
        <v>0</v>
      </c>
      <c r="AC509" s="32" t="n">
        <v>0</v>
      </c>
      <c r="AD509" s="3" t="n"/>
      <c r="AE509" s="31" t="n">
        <v>0</v>
      </c>
      <c r="AF509" s="2" t="n">
        <v>0</v>
      </c>
      <c r="AG509" s="2" t="n">
        <v>3</v>
      </c>
      <c r="AH509" s="4" t="n">
        <v>3</v>
      </c>
      <c r="AI509" s="33" t="n">
        <v>0</v>
      </c>
      <c r="AJ509" s="4" t="n">
        <v>0</v>
      </c>
      <c r="AK509" s="34" t="n"/>
      <c r="AL509" s="34" t="n">
        <v>0</v>
      </c>
      <c r="AM509" s="2" t="n">
        <v>0</v>
      </c>
    </row>
    <row r="510">
      <c r="A510">
        <f>HYPERLINK("https://www.walmart.com/ip/471360729", "471360729")</f>
        <v/>
      </c>
      <c r="B510">
        <f>HYPERLINK("https://app.optiwise.ai/catalog/itemdetails/361461", "Flyingstar Wine Picnic Table, Large Folding Portable Bamboo Snack &amp; Cheese Tray with 4 Wine Glasses Holder for Concerts at Park, Beach, Ideal Wine Lover Gift")</f>
        <v/>
      </c>
      <c r="C510" t="inlineStr">
        <is>
          <t>-</t>
        </is>
      </c>
      <c r="E510" t="inlineStr">
        <is>
          <t>1WMPT140</t>
        </is>
      </c>
      <c r="F510" t="n">
        <v>0</v>
      </c>
      <c r="G510" t="inlineStr">
        <is>
          <t>Home Decor, Kitchen, &amp; Other</t>
        </is>
      </c>
      <c r="H510" t="inlineStr">
        <is>
          <t>Serving Trays</t>
        </is>
      </c>
      <c r="I510" t="inlineStr">
        <is>
          <t>Flyingstar</t>
        </is>
      </c>
      <c r="K510" t="inlineStr">
        <is>
          <t>Wine,Optimized,Valentine</t>
        </is>
      </c>
      <c r="L510" s="29" t="n">
        <v>0</v>
      </c>
      <c r="M510" s="30" t="n"/>
      <c r="N510" s="29" t="n">
        <v>0</v>
      </c>
      <c r="O510" s="29" t="n">
        <v>0</v>
      </c>
      <c r="P510" s="2" t="n">
        <v>0</v>
      </c>
      <c r="Q510" s="31" t="n">
        <v>0</v>
      </c>
      <c r="R510" s="32" t="n"/>
      <c r="S510" s="32" t="n">
        <v>0</v>
      </c>
      <c r="T510" s="32" t="n">
        <v>0</v>
      </c>
      <c r="U510" s="31" t="n">
        <v>0</v>
      </c>
      <c r="V510" s="32" t="n">
        <v>0</v>
      </c>
      <c r="W510" s="31" t="n">
        <v>0</v>
      </c>
      <c r="X510" s="31" t="n">
        <v>0</v>
      </c>
      <c r="Y510" s="3" t="n">
        <v>0</v>
      </c>
      <c r="Z510" s="3" t="n">
        <v>0</v>
      </c>
      <c r="AA510" s="32" t="n">
        <v>0</v>
      </c>
      <c r="AB510" s="3" t="n">
        <v>0</v>
      </c>
      <c r="AC510" s="32" t="n">
        <v>0</v>
      </c>
      <c r="AD510" s="3" t="n"/>
      <c r="AE510" s="31" t="n">
        <v>0</v>
      </c>
      <c r="AF510" s="2" t="n">
        <v>0</v>
      </c>
      <c r="AG510" s="2" t="n">
        <v>9</v>
      </c>
      <c r="AH510" s="4" t="n">
        <v>9</v>
      </c>
      <c r="AI510" s="33" t="n">
        <v>0</v>
      </c>
      <c r="AJ510" s="4" t="n">
        <v>0</v>
      </c>
      <c r="AK510" s="34" t="n"/>
      <c r="AL510" s="34" t="n">
        <v>0</v>
      </c>
      <c r="AM510" s="2" t="n">
        <v>0</v>
      </c>
    </row>
    <row r="511">
      <c r="A511">
        <f>HYPERLINK("https://www.walmart.com/ip/159323359", "159323359")</f>
        <v/>
      </c>
      <c r="B511">
        <f>HYPERLINK("https://app.optiwise.ai/catalog/itemdetails/361375", "JenniWears® Women's Sexy Eyelash Underwire Sleepwear Bra and Skirt Set")</f>
        <v/>
      </c>
      <c r="C511" t="inlineStr">
        <is>
          <t>-</t>
        </is>
      </c>
      <c r="E511" t="inlineStr">
        <is>
          <t>JWBASS01BK-M</t>
        </is>
      </c>
      <c r="F511" t="n">
        <v>0</v>
      </c>
      <c r="G511" t="inlineStr">
        <is>
          <t>Clothing</t>
        </is>
      </c>
      <c r="H511" t="inlineStr">
        <is>
          <t>Lingerie Sets</t>
        </is>
      </c>
      <c r="I511" t="inlineStr">
        <is>
          <t>JenniWears</t>
        </is>
      </c>
      <c r="K511" t="inlineStr">
        <is>
          <t>Optimized,Valentine</t>
        </is>
      </c>
      <c r="L511" s="29" t="n">
        <v>0</v>
      </c>
      <c r="M511" s="30" t="n"/>
      <c r="N511" s="29" t="n">
        <v>0</v>
      </c>
      <c r="O511" s="29" t="n">
        <v>0</v>
      </c>
      <c r="P511" s="2" t="n">
        <v>0</v>
      </c>
      <c r="Q511" s="31" t="n">
        <v>0</v>
      </c>
      <c r="R511" s="32" t="n"/>
      <c r="S511" s="32" t="n">
        <v>0</v>
      </c>
      <c r="T511" s="32" t="n">
        <v>0</v>
      </c>
      <c r="U511" s="31" t="n">
        <v>0</v>
      </c>
      <c r="V511" s="32" t="n">
        <v>0</v>
      </c>
      <c r="W511" s="31" t="n">
        <v>0</v>
      </c>
      <c r="X511" s="31" t="n">
        <v>0</v>
      </c>
      <c r="Y511" s="3" t="n">
        <v>0</v>
      </c>
      <c r="Z511" s="3" t="n">
        <v>0</v>
      </c>
      <c r="AA511" s="32" t="n">
        <v>0</v>
      </c>
      <c r="AB511" s="3" t="n">
        <v>0</v>
      </c>
      <c r="AC511" s="32" t="n">
        <v>0</v>
      </c>
      <c r="AD511" s="3" t="n"/>
      <c r="AE511" s="31" t="n">
        <v>0</v>
      </c>
      <c r="AF511" s="2" t="n">
        <v>0</v>
      </c>
      <c r="AG511" s="2" t="n">
        <v>14</v>
      </c>
      <c r="AH511" s="4" t="n">
        <v>14</v>
      </c>
      <c r="AI511" s="33" t="n">
        <v>0</v>
      </c>
      <c r="AJ511" s="4" t="n">
        <v>0</v>
      </c>
      <c r="AK511" s="34" t="n"/>
      <c r="AL511" s="34" t="n">
        <v>0</v>
      </c>
      <c r="AM511" s="2" t="n">
        <v>0</v>
      </c>
    </row>
    <row r="512">
      <c r="A512">
        <f>HYPERLINK("https://www.walmart.com/ip/484675016", "484675016")</f>
        <v/>
      </c>
      <c r="B512">
        <f>HYPERLINK("https://app.optiwise.ai/catalog/itemdetails/361262", "Catalonia Microfiber Plush Throw Blanket for Couch and Bed, Holiday Theme Sherpa Fleece Throw Christmas Gift Blanket, Super Soft, Comfy, Cozy, Fluffy, and Warm, Dalmatian, 90'' x 90''")</f>
        <v/>
      </c>
      <c r="C512" t="inlineStr">
        <is>
          <t>-</t>
        </is>
      </c>
      <c r="E512" t="inlineStr">
        <is>
          <t>1CTBF399DMT</t>
        </is>
      </c>
      <c r="F512" t="n">
        <v>0</v>
      </c>
      <c r="G512" t="inlineStr">
        <is>
          <t>Bedding</t>
        </is>
      </c>
      <c r="H512" t="inlineStr">
        <is>
          <t>Throws</t>
        </is>
      </c>
      <c r="I512" t="inlineStr">
        <is>
          <t>Catalonia</t>
        </is>
      </c>
      <c r="J512" t="n">
        <v>4.7</v>
      </c>
      <c r="K512" t="inlineStr">
        <is>
          <t>WFS,Coupon_Discount,WFS Item</t>
        </is>
      </c>
      <c r="L512" s="29" t="n">
        <v>0</v>
      </c>
      <c r="M512" s="30" t="n"/>
      <c r="N512" s="29" t="n">
        <v>0</v>
      </c>
      <c r="O512" s="29" t="n">
        <v>0</v>
      </c>
      <c r="P512" s="2" t="n">
        <v>0</v>
      </c>
      <c r="Q512" s="31" t="n">
        <v>0</v>
      </c>
      <c r="R512" s="32" t="n"/>
      <c r="S512" s="32" t="n">
        <v>0</v>
      </c>
      <c r="T512" s="32" t="n">
        <v>0</v>
      </c>
      <c r="U512" s="31" t="n">
        <v>0</v>
      </c>
      <c r="V512" s="32" t="n">
        <v>0</v>
      </c>
      <c r="W512" s="31" t="n">
        <v>0</v>
      </c>
      <c r="X512" s="31" t="n">
        <v>0</v>
      </c>
      <c r="Y512" s="3" t="n">
        <v>0</v>
      </c>
      <c r="Z512" s="3" t="n">
        <v>0</v>
      </c>
      <c r="AA512" s="32" t="n">
        <v>0</v>
      </c>
      <c r="AB512" s="3" t="n">
        <v>0</v>
      </c>
      <c r="AC512" s="32" t="n">
        <v>0</v>
      </c>
      <c r="AD512" s="3" t="n"/>
      <c r="AE512" s="31" t="n">
        <v>0</v>
      </c>
      <c r="AF512" s="2" t="n">
        <v>0</v>
      </c>
      <c r="AG512" s="2" t="n">
        <v>18</v>
      </c>
      <c r="AH512" s="4" t="n">
        <v>18</v>
      </c>
      <c r="AI512" s="33" t="n">
        <v>0</v>
      </c>
      <c r="AJ512" s="4" t="n">
        <v>0</v>
      </c>
      <c r="AK512" s="34" t="n"/>
      <c r="AL512" s="34" t="n">
        <v>0</v>
      </c>
      <c r="AM512" s="2" t="n">
        <v>0</v>
      </c>
    </row>
    <row r="513">
      <c r="A513">
        <f>HYPERLINK("https://www.walmart.com/ip/187126912", "187126912")</f>
        <v/>
      </c>
      <c r="B513">
        <f>HYPERLINK("https://app.optiwise.ai/catalog/itemdetails/361225", "JenniWears® Women's Sexy Lingerie Lace Bra with Strappy Tulle Panty - Black")</f>
        <v/>
      </c>
      <c r="C513" t="inlineStr">
        <is>
          <t>-</t>
        </is>
      </c>
      <c r="E513" t="inlineStr">
        <is>
          <t>JWBASS03BK-M</t>
        </is>
      </c>
      <c r="F513" t="n">
        <v>1</v>
      </c>
      <c r="G513" t="inlineStr">
        <is>
          <t>Clothing</t>
        </is>
      </c>
      <c r="H513" t="inlineStr">
        <is>
          <t>Lingerie Sets</t>
        </is>
      </c>
      <c r="I513" t="inlineStr">
        <is>
          <t>JenniWears</t>
        </is>
      </c>
      <c r="J513" t="n">
        <v>5</v>
      </c>
      <c r="K513" t="inlineStr">
        <is>
          <t>Valentine</t>
        </is>
      </c>
      <c r="L513" s="29" t="n">
        <v>0</v>
      </c>
      <c r="M513" s="30" t="n"/>
      <c r="N513" s="29" t="n">
        <v>0</v>
      </c>
      <c r="O513" s="29" t="n">
        <v>0</v>
      </c>
      <c r="P513" s="2" t="n">
        <v>0</v>
      </c>
      <c r="Q513" s="31" t="n">
        <v>0</v>
      </c>
      <c r="R513" s="32" t="n"/>
      <c r="S513" s="32" t="n">
        <v>0</v>
      </c>
      <c r="T513" s="32" t="n">
        <v>0</v>
      </c>
      <c r="U513" s="31" t="n">
        <v>0</v>
      </c>
      <c r="V513" s="32" t="n">
        <v>0</v>
      </c>
      <c r="W513" s="31" t="n">
        <v>0</v>
      </c>
      <c r="X513" s="31" t="n">
        <v>0</v>
      </c>
      <c r="Y513" s="3" t="n">
        <v>0</v>
      </c>
      <c r="Z513" s="3" t="n">
        <v>0</v>
      </c>
      <c r="AA513" s="32" t="n">
        <v>0</v>
      </c>
      <c r="AB513" s="3" t="n">
        <v>0</v>
      </c>
      <c r="AC513" s="32" t="n">
        <v>0</v>
      </c>
      <c r="AD513" s="3" t="n"/>
      <c r="AE513" s="31" t="n">
        <v>0</v>
      </c>
      <c r="AF513" s="2" t="n">
        <v>0</v>
      </c>
      <c r="AG513" s="2" t="n">
        <v>0</v>
      </c>
      <c r="AH513" s="4" t="n">
        <v>0</v>
      </c>
      <c r="AI513" s="33" t="n">
        <v>0</v>
      </c>
      <c r="AJ513" s="4" t="n">
        <v>0</v>
      </c>
      <c r="AK513" s="34" t="n"/>
      <c r="AL513" s="34" t="n">
        <v>0</v>
      </c>
      <c r="AM513" s="2" t="n">
        <v>0</v>
      </c>
    </row>
    <row r="514">
      <c r="A514">
        <f>HYPERLINK("https://www.walmart.com/ip/705345484", "705345484")</f>
        <v/>
      </c>
      <c r="B514">
        <f>HYPERLINK("https://app.optiwise.ai/catalog/itemdetails/361184", "Catalonia Microfiber Plush Blanket for Couch and Bed, Holiday Theme Sherpa Fleece Throw Christmas Gift Blanket | Super Soft, Comfy, Cozy, Fluffy, Warm | 90x90 inch, Camel")</f>
        <v/>
      </c>
      <c r="C514" t="inlineStr">
        <is>
          <t>-</t>
        </is>
      </c>
      <c r="E514" t="inlineStr">
        <is>
          <t>1CTBF399CA</t>
        </is>
      </c>
      <c r="F514" t="n">
        <v>3</v>
      </c>
      <c r="G514" t="inlineStr">
        <is>
          <t>Bedding</t>
        </is>
      </c>
      <c r="H514" t="inlineStr">
        <is>
          <t>Throws</t>
        </is>
      </c>
      <c r="I514" t="inlineStr">
        <is>
          <t>Catalonia</t>
        </is>
      </c>
      <c r="J514" t="n">
        <v>5</v>
      </c>
      <c r="K514" t="inlineStr">
        <is>
          <t>Q2-Target,WFS,Coupon_Discount,WFS Item</t>
        </is>
      </c>
      <c r="L514" s="29" t="n">
        <v>0</v>
      </c>
      <c r="M514" s="30" t="n"/>
      <c r="N514" s="29" t="n">
        <v>0</v>
      </c>
      <c r="O514" s="29" t="n">
        <v>0</v>
      </c>
      <c r="P514" s="2" t="n">
        <v>0</v>
      </c>
      <c r="Q514" s="31" t="n">
        <v>0</v>
      </c>
      <c r="R514" s="32" t="n"/>
      <c r="S514" s="32" t="n">
        <v>0</v>
      </c>
      <c r="T514" s="32" t="n">
        <v>0</v>
      </c>
      <c r="U514" s="31" t="n">
        <v>0</v>
      </c>
      <c r="V514" s="32" t="n">
        <v>0</v>
      </c>
      <c r="W514" s="31" t="n">
        <v>0</v>
      </c>
      <c r="X514" s="31" t="n">
        <v>0</v>
      </c>
      <c r="Y514" s="3" t="n">
        <v>0</v>
      </c>
      <c r="Z514" s="3" t="n">
        <v>0</v>
      </c>
      <c r="AA514" s="32" t="n">
        <v>0</v>
      </c>
      <c r="AB514" s="3" t="n">
        <v>0</v>
      </c>
      <c r="AC514" s="32" t="n">
        <v>0</v>
      </c>
      <c r="AD514" s="3" t="n"/>
      <c r="AE514" s="31" t="n">
        <v>0</v>
      </c>
      <c r="AF514" s="2" t="n">
        <v>0</v>
      </c>
      <c r="AG514" s="2" t="n">
        <v>19</v>
      </c>
      <c r="AH514" s="4" t="n">
        <v>19</v>
      </c>
      <c r="AI514" s="33" t="n">
        <v>0</v>
      </c>
      <c r="AJ514" s="4" t="n">
        <v>0</v>
      </c>
      <c r="AK514" s="34" t="n"/>
      <c r="AL514" s="34" t="n">
        <v>0</v>
      </c>
      <c r="AM514" s="2" t="n">
        <v>0</v>
      </c>
    </row>
    <row r="515">
      <c r="A515">
        <f>HYPERLINK("https://www.walmart.com/ip/551981396", "551981396")</f>
        <v/>
      </c>
      <c r="B515">
        <f>HYPERLINK("https://app.optiwise.ai/catalog/itemdetails/361063", "Fleece Blanket Wearable with Sleeves &amp; Foot pockets for Men and Women, Micro Plush Wrap Sleeved Throw Blanket Robe Multi-Colors 75”x53” by Catalonia")</f>
        <v/>
      </c>
      <c r="C515" t="inlineStr">
        <is>
          <t>-</t>
        </is>
      </c>
      <c r="E515" t="inlineStr">
        <is>
          <t>1CTSN101LG</t>
        </is>
      </c>
      <c r="F515" t="n">
        <v>0</v>
      </c>
      <c r="G515" t="inlineStr">
        <is>
          <t>Bedding</t>
        </is>
      </c>
      <c r="H515" t="inlineStr">
        <is>
          <t>Throws</t>
        </is>
      </c>
      <c r="I515" t="inlineStr">
        <is>
          <t>Catalonia</t>
        </is>
      </c>
      <c r="K515" t="inlineStr">
        <is>
          <t>WFS,Coupon_Discount,WFS Item,Fleece Blankets</t>
        </is>
      </c>
      <c r="L515" s="29" t="n">
        <v>0</v>
      </c>
      <c r="M515" s="30" t="n"/>
      <c r="N515" s="29" t="n">
        <v>0</v>
      </c>
      <c r="O515" s="29" t="n">
        <v>0</v>
      </c>
      <c r="P515" s="2" t="n">
        <v>0</v>
      </c>
      <c r="Q515" s="31" t="n">
        <v>0</v>
      </c>
      <c r="R515" s="32" t="n"/>
      <c r="S515" s="32" t="n">
        <v>0</v>
      </c>
      <c r="T515" s="32" t="n">
        <v>0</v>
      </c>
      <c r="U515" s="31" t="n">
        <v>0</v>
      </c>
      <c r="V515" s="32" t="n">
        <v>0</v>
      </c>
      <c r="W515" s="31" t="n">
        <v>0</v>
      </c>
      <c r="X515" s="31" t="n">
        <v>0</v>
      </c>
      <c r="Y515" s="3" t="n">
        <v>0</v>
      </c>
      <c r="Z515" s="3" t="n">
        <v>0</v>
      </c>
      <c r="AA515" s="32" t="n">
        <v>0</v>
      </c>
      <c r="AB515" s="3" t="n">
        <v>0</v>
      </c>
      <c r="AC515" s="32" t="n">
        <v>0</v>
      </c>
      <c r="AD515" s="3" t="n"/>
      <c r="AE515" s="31" t="n">
        <v>0</v>
      </c>
      <c r="AF515" s="2" t="n">
        <v>21</v>
      </c>
      <c r="AG515" s="2" t="n">
        <v>70</v>
      </c>
      <c r="AH515" s="4" t="n">
        <v>70</v>
      </c>
      <c r="AI515" s="33" t="n">
        <v>0</v>
      </c>
      <c r="AJ515" s="4" t="n">
        <v>0</v>
      </c>
      <c r="AK515" s="34" t="n"/>
      <c r="AL515" s="34" t="n">
        <v>0</v>
      </c>
      <c r="AM515" s="2" t="n">
        <v>0</v>
      </c>
    </row>
    <row r="516">
      <c r="A516">
        <f>HYPERLINK("https://www.walmart.com/ip/798889565", "798889565")</f>
        <v/>
      </c>
      <c r="B516">
        <f>HYPERLINK("https://app.optiwise.ai/catalog/itemdetails/361028", "Terra Cool Mens Baseball Cap Hat Camo Pattern Printed Flat Bill Buckle Closure")</f>
        <v/>
      </c>
      <c r="C516" t="inlineStr">
        <is>
          <t>-</t>
        </is>
      </c>
      <c r="E516" t="inlineStr">
        <is>
          <t>TERRACAP-B010</t>
        </is>
      </c>
      <c r="F516" t="n">
        <v>0</v>
      </c>
      <c r="G516" t="inlineStr">
        <is>
          <t>Clothing</t>
        </is>
      </c>
      <c r="H516" t="inlineStr">
        <is>
          <t>Hats</t>
        </is>
      </c>
      <c r="I516" t="inlineStr">
        <is>
          <t>Terra</t>
        </is>
      </c>
      <c r="K516" t="inlineStr">
        <is>
          <t>Optimized</t>
        </is>
      </c>
      <c r="L516" s="29" t="n">
        <v>0</v>
      </c>
      <c r="M516" s="30" t="n"/>
      <c r="N516" s="29" t="n">
        <v>0</v>
      </c>
      <c r="O516" s="29" t="n">
        <v>0</v>
      </c>
      <c r="P516" s="2" t="n">
        <v>0</v>
      </c>
      <c r="Q516" s="31" t="n">
        <v>0</v>
      </c>
      <c r="R516" s="32" t="n"/>
      <c r="S516" s="32" t="n">
        <v>0</v>
      </c>
      <c r="T516" s="32" t="n">
        <v>0</v>
      </c>
      <c r="U516" s="31" t="n">
        <v>0</v>
      </c>
      <c r="V516" s="32" t="n">
        <v>0</v>
      </c>
      <c r="W516" s="31" t="n">
        <v>0</v>
      </c>
      <c r="X516" s="31" t="n">
        <v>0</v>
      </c>
      <c r="Y516" s="3" t="n">
        <v>0</v>
      </c>
      <c r="Z516" s="3" t="n">
        <v>0</v>
      </c>
      <c r="AA516" s="32" t="n">
        <v>0</v>
      </c>
      <c r="AB516" s="3" t="n">
        <v>0</v>
      </c>
      <c r="AC516" s="32" t="n">
        <v>0</v>
      </c>
      <c r="AD516" s="3" t="n"/>
      <c r="AE516" s="31" t="n">
        <v>0</v>
      </c>
      <c r="AF516" s="2" t="n">
        <v>0</v>
      </c>
      <c r="AG516" s="2" t="n">
        <v>1</v>
      </c>
      <c r="AH516" s="4" t="n">
        <v>1</v>
      </c>
      <c r="AI516" s="33" t="n">
        <v>0</v>
      </c>
      <c r="AJ516" s="4" t="n">
        <v>0</v>
      </c>
      <c r="AK516" s="34" t="n"/>
      <c r="AL516" s="34" t="n">
        <v>0</v>
      </c>
      <c r="AM516" s="2" t="n">
        <v>0</v>
      </c>
    </row>
    <row r="517">
      <c r="A517">
        <f>HYPERLINK("https://www.walmart.com/ip/195868779", "195868779")</f>
        <v/>
      </c>
      <c r="B517">
        <f>HYPERLINK("https://app.optiwise.ai/catalog/itemdetails/360983", "Women Lingerie Net Garter Belt Stretch Thigh Stocking Pantyhose")</f>
        <v/>
      </c>
      <c r="C517" t="inlineStr">
        <is>
          <t>-</t>
        </is>
      </c>
      <c r="E517" t="inlineStr">
        <is>
          <t>JWBLSPH3052</t>
        </is>
      </c>
      <c r="F517" t="n">
        <v>2</v>
      </c>
      <c r="G517" t="inlineStr">
        <is>
          <t>Clothing</t>
        </is>
      </c>
      <c r="H517" t="inlineStr">
        <is>
          <t>Pantyhose &amp; Tights</t>
        </is>
      </c>
      <c r="I517" t="inlineStr">
        <is>
          <t>JenniWears</t>
        </is>
      </c>
      <c r="J517" t="n">
        <v>3</v>
      </c>
      <c r="K517" t="inlineStr">
        <is>
          <t>WFS,Valentine,WFS Item</t>
        </is>
      </c>
      <c r="L517" s="29" t="n">
        <v>0</v>
      </c>
      <c r="M517" s="30" t="n"/>
      <c r="N517" s="29" t="n">
        <v>0</v>
      </c>
      <c r="O517" s="29" t="n">
        <v>0</v>
      </c>
      <c r="P517" s="2" t="n">
        <v>0</v>
      </c>
      <c r="Q517" s="31" t="n">
        <v>0</v>
      </c>
      <c r="R517" s="32" t="n"/>
      <c r="S517" s="32" t="n">
        <v>0</v>
      </c>
      <c r="T517" s="32" t="n">
        <v>0</v>
      </c>
      <c r="U517" s="31" t="n">
        <v>0</v>
      </c>
      <c r="V517" s="32" t="n">
        <v>0</v>
      </c>
      <c r="W517" s="31" t="n">
        <v>0</v>
      </c>
      <c r="X517" s="31" t="n">
        <v>0</v>
      </c>
      <c r="Y517" s="3" t="n">
        <v>0</v>
      </c>
      <c r="Z517" s="3" t="n">
        <v>0</v>
      </c>
      <c r="AA517" s="32" t="n">
        <v>0</v>
      </c>
      <c r="AB517" s="3" t="n">
        <v>0</v>
      </c>
      <c r="AC517" s="32" t="n">
        <v>0</v>
      </c>
      <c r="AD517" s="3" t="n"/>
      <c r="AE517" s="31" t="n">
        <v>0</v>
      </c>
      <c r="AF517" s="2" t="n">
        <v>0</v>
      </c>
      <c r="AG517" s="2" t="n">
        <v>7</v>
      </c>
      <c r="AH517" s="4" t="n">
        <v>7</v>
      </c>
      <c r="AI517" s="33" t="n">
        <v>0</v>
      </c>
      <c r="AJ517" s="4" t="n">
        <v>0</v>
      </c>
      <c r="AK517" s="34" t="n"/>
      <c r="AL517" s="34" t="n">
        <v>0</v>
      </c>
      <c r="AM517" s="2" t="n">
        <v>0</v>
      </c>
    </row>
    <row r="518">
      <c r="A518">
        <f>HYPERLINK("https://www.walmart.com/ip/892569675", "892569675")</f>
        <v/>
      </c>
      <c r="B518">
        <f>HYPERLINK("https://app.optiwise.ai/catalog/itemdetails/360932", "Fleece Blanket Wearable with Sleeves &amp; Foot pockets for Men and Women, Micro Plush Wrap Sleeved Throw Blanket Robe Multi-Colors 75”x53” by Catalonia")</f>
        <v/>
      </c>
      <c r="C518" t="inlineStr">
        <is>
          <t>-</t>
        </is>
      </c>
      <c r="E518" t="inlineStr">
        <is>
          <t>1CTSN101BL</t>
        </is>
      </c>
      <c r="F518" t="n">
        <v>42</v>
      </c>
      <c r="G518" t="inlineStr">
        <is>
          <t>Bedding</t>
        </is>
      </c>
      <c r="H518" t="inlineStr">
        <is>
          <t>Throws</t>
        </is>
      </c>
      <c r="I518" t="inlineStr">
        <is>
          <t>Catalonia</t>
        </is>
      </c>
      <c r="J518" t="n">
        <v>4.3</v>
      </c>
      <c r="K518" t="inlineStr">
        <is>
          <t>WFS,Coupon_Discount,WFS Item,Fleece Blankets</t>
        </is>
      </c>
      <c r="L518" s="29" t="n">
        <v>0</v>
      </c>
      <c r="M518" s="30" t="n"/>
      <c r="N518" s="29" t="n">
        <v>0</v>
      </c>
      <c r="O518" s="29" t="n">
        <v>0</v>
      </c>
      <c r="P518" s="2" t="n">
        <v>0</v>
      </c>
      <c r="Q518" s="31" t="n">
        <v>0</v>
      </c>
      <c r="R518" s="32" t="n"/>
      <c r="S518" s="32" t="n">
        <v>0</v>
      </c>
      <c r="T518" s="32" t="n">
        <v>0</v>
      </c>
      <c r="U518" s="31" t="n">
        <v>0</v>
      </c>
      <c r="V518" s="32" t="n">
        <v>0</v>
      </c>
      <c r="W518" s="31" t="n">
        <v>0</v>
      </c>
      <c r="X518" s="31" t="n">
        <v>0</v>
      </c>
      <c r="Y518" s="3" t="n">
        <v>0</v>
      </c>
      <c r="Z518" s="3" t="n">
        <v>0</v>
      </c>
      <c r="AA518" s="32" t="n">
        <v>0</v>
      </c>
      <c r="AB518" s="3" t="n">
        <v>0</v>
      </c>
      <c r="AC518" s="32" t="n">
        <v>0</v>
      </c>
      <c r="AD518" s="3" t="n"/>
      <c r="AE518" s="31" t="n">
        <v>0</v>
      </c>
      <c r="AF518" s="2" t="n">
        <v>0</v>
      </c>
      <c r="AG518" s="2" t="n">
        <v>55</v>
      </c>
      <c r="AH518" s="4" t="n">
        <v>55</v>
      </c>
      <c r="AI518" s="33" t="n">
        <v>0</v>
      </c>
      <c r="AJ518" s="4" t="n">
        <v>0</v>
      </c>
      <c r="AK518" s="34" t="n"/>
      <c r="AL518" s="34" t="n">
        <v>0</v>
      </c>
      <c r="AM518" s="2" t="n">
        <v>0</v>
      </c>
    </row>
    <row r="519">
      <c r="A519">
        <f>HYPERLINK("https://www.walmart.com/ip/444384518", "444384518")</f>
        <v/>
      </c>
      <c r="B519">
        <f>HYPERLINK("https://app.optiwise.ai/catalog/itemdetails/360914", "KC Caps Men's Deluxe Washed Chino Cotton Surplus Cap")</f>
        <v/>
      </c>
      <c r="C519" t="inlineStr">
        <is>
          <t>-</t>
        </is>
      </c>
      <c r="E519" t="inlineStr">
        <is>
          <t>8320-Kahaki</t>
        </is>
      </c>
      <c r="F519" t="n">
        <v>0</v>
      </c>
      <c r="G519" t="inlineStr">
        <is>
          <t>Clothing</t>
        </is>
      </c>
      <c r="H519" t="inlineStr">
        <is>
          <t>Hats</t>
        </is>
      </c>
      <c r="I519" t="inlineStr">
        <is>
          <t>KC Caps</t>
        </is>
      </c>
      <c r="K519" t="inlineStr">
        <is>
          <t>Optimized</t>
        </is>
      </c>
      <c r="L519" s="29" t="n">
        <v>0</v>
      </c>
      <c r="M519" s="30" t="n"/>
      <c r="N519" s="29" t="n">
        <v>0</v>
      </c>
      <c r="O519" s="29" t="n">
        <v>0</v>
      </c>
      <c r="P519" s="2" t="n">
        <v>0</v>
      </c>
      <c r="Q519" s="31" t="n">
        <v>0</v>
      </c>
      <c r="R519" s="32" t="n"/>
      <c r="S519" s="32" t="n">
        <v>0</v>
      </c>
      <c r="T519" s="32" t="n">
        <v>0</v>
      </c>
      <c r="U519" s="31" t="n">
        <v>0</v>
      </c>
      <c r="V519" s="32" t="n">
        <v>0</v>
      </c>
      <c r="W519" s="31" t="n">
        <v>0</v>
      </c>
      <c r="X519" s="31" t="n">
        <v>0</v>
      </c>
      <c r="Y519" s="3" t="n">
        <v>0</v>
      </c>
      <c r="Z519" s="3" t="n">
        <v>0</v>
      </c>
      <c r="AA519" s="32" t="n">
        <v>0</v>
      </c>
      <c r="AB519" s="3" t="n">
        <v>0</v>
      </c>
      <c r="AC519" s="32" t="n">
        <v>0</v>
      </c>
      <c r="AD519" s="3" t="n"/>
      <c r="AE519" s="31" t="n">
        <v>0</v>
      </c>
      <c r="AF519" s="2" t="n">
        <v>0</v>
      </c>
      <c r="AG519" s="2" t="n">
        <v>5</v>
      </c>
      <c r="AH519" s="4" t="n">
        <v>5</v>
      </c>
      <c r="AI519" s="33" t="n">
        <v>0</v>
      </c>
      <c r="AJ519" s="4" t="n">
        <v>0</v>
      </c>
      <c r="AK519" s="34" t="n"/>
      <c r="AL519" s="34" t="n">
        <v>0</v>
      </c>
      <c r="AM519" s="2" t="n">
        <v>0</v>
      </c>
    </row>
    <row r="520">
      <c r="A520">
        <f>HYPERLINK("https://www.walmart.com/ip/815510126", "815510126")</f>
        <v/>
      </c>
      <c r="B520">
        <f>HYPERLINK("https://app.optiwise.ai/catalog/itemdetails/360878", "Fleece Blanket Wearable with Sleeves &amp; Foot pockets for Men and Women, Micro Plush Wrap Sleeved Throw Blanket Robe Multi-Colors 75”x53” by Catalonia")</f>
        <v/>
      </c>
      <c r="C520" t="inlineStr">
        <is>
          <t>-</t>
        </is>
      </c>
      <c r="E520" t="inlineStr">
        <is>
          <t>1CTSN101GY</t>
        </is>
      </c>
      <c r="F520" t="n">
        <v>5</v>
      </c>
      <c r="G520" t="inlineStr">
        <is>
          <t>Bedding</t>
        </is>
      </c>
      <c r="H520" t="inlineStr">
        <is>
          <t>Throws</t>
        </is>
      </c>
      <c r="I520" t="inlineStr">
        <is>
          <t>Catalonia</t>
        </is>
      </c>
      <c r="J520" t="n">
        <v>5</v>
      </c>
      <c r="K520" t="inlineStr">
        <is>
          <t>WFS,Coupon_Discount,WFS Item,Fleece Blankets</t>
        </is>
      </c>
      <c r="L520" s="29" t="n">
        <v>0</v>
      </c>
      <c r="M520" s="30" t="n"/>
      <c r="N520" s="29" t="n">
        <v>0</v>
      </c>
      <c r="O520" s="29" t="n">
        <v>0</v>
      </c>
      <c r="P520" s="2" t="n">
        <v>0</v>
      </c>
      <c r="Q520" s="31" t="n">
        <v>0</v>
      </c>
      <c r="R520" s="32" t="n"/>
      <c r="S520" s="32" t="n">
        <v>0</v>
      </c>
      <c r="T520" s="32" t="n">
        <v>0</v>
      </c>
      <c r="U520" s="31" t="n">
        <v>0</v>
      </c>
      <c r="V520" s="32" t="n">
        <v>0</v>
      </c>
      <c r="W520" s="31" t="n">
        <v>0</v>
      </c>
      <c r="X520" s="31" t="n">
        <v>0</v>
      </c>
      <c r="Y520" s="3" t="n">
        <v>0</v>
      </c>
      <c r="Z520" s="3" t="n">
        <v>0</v>
      </c>
      <c r="AA520" s="32" t="n">
        <v>0</v>
      </c>
      <c r="AB520" s="3" t="n">
        <v>0</v>
      </c>
      <c r="AC520" s="32" t="n">
        <v>0</v>
      </c>
      <c r="AD520" s="3" t="n"/>
      <c r="AE520" s="31" t="n">
        <v>0</v>
      </c>
      <c r="AF520" s="2" t="n">
        <v>37</v>
      </c>
      <c r="AG520" s="2" t="n">
        <v>78</v>
      </c>
      <c r="AH520" s="4" t="n">
        <v>78</v>
      </c>
      <c r="AI520" s="33" t="n">
        <v>0</v>
      </c>
      <c r="AJ520" s="4" t="n">
        <v>0</v>
      </c>
      <c r="AK520" s="34" t="n"/>
      <c r="AL520" s="34" t="n">
        <v>0</v>
      </c>
      <c r="AM520" s="2" t="n">
        <v>0</v>
      </c>
    </row>
    <row r="521">
      <c r="A521">
        <f>HYPERLINK("https://www.walmart.com/ip/306725543", "306725543")</f>
        <v/>
      </c>
      <c r="B521">
        <f>HYPERLINK("https://app.optiwise.ai/catalog/itemdetails/360492", "Catalonia Snowman Sherpa Throw Blanket, Super Soft Fleece Plush Sofa Couch Blanket, TV Bed Blanket, Comfy Cozy Fluffy Warm, Christmas Theme Throws, Holiday Gift( 50x60 inch, Grey)")</f>
        <v/>
      </c>
      <c r="C521" t="inlineStr">
        <is>
          <t>-</t>
        </is>
      </c>
      <c r="E521" t="inlineStr">
        <is>
          <t>1CTBF571SNOWMAN</t>
        </is>
      </c>
      <c r="F521" t="n">
        <v>12</v>
      </c>
      <c r="G521" t="inlineStr">
        <is>
          <t>Bedding</t>
        </is>
      </c>
      <c r="H521" t="inlineStr">
        <is>
          <t>Throws</t>
        </is>
      </c>
      <c r="I521" t="inlineStr">
        <is>
          <t>Catalonia</t>
        </is>
      </c>
      <c r="J521" t="n">
        <v>4.9</v>
      </c>
      <c r="K521" t="inlineStr">
        <is>
          <t>Christmas,Optimized,Hero 5 Holidays</t>
        </is>
      </c>
      <c r="L521" s="29" t="n">
        <v>0</v>
      </c>
      <c r="M521" s="30" t="n"/>
      <c r="N521" s="29" t="n">
        <v>0</v>
      </c>
      <c r="O521" s="29" t="n">
        <v>0</v>
      </c>
      <c r="P521" s="2" t="n">
        <v>0</v>
      </c>
      <c r="Q521" s="31" t="n">
        <v>0.41</v>
      </c>
      <c r="R521" s="32" t="n"/>
      <c r="S521" s="32" t="n">
        <v>0</v>
      </c>
      <c r="T521" s="32" t="n">
        <v>1.319</v>
      </c>
      <c r="U521" s="31" t="n">
        <v>0</v>
      </c>
      <c r="V521" s="32" t="n">
        <v>0</v>
      </c>
      <c r="W521" s="31" t="n">
        <v>0</v>
      </c>
      <c r="X521" s="31" t="n">
        <v>0</v>
      </c>
      <c r="Y521" s="3" t="n">
        <v>348</v>
      </c>
      <c r="Z521" s="3" t="n">
        <v>1</v>
      </c>
      <c r="AA521" s="32" t="n">
        <v>0.0029</v>
      </c>
      <c r="AB521" s="3" t="n">
        <v>0</v>
      </c>
      <c r="AC521" s="32" t="n">
        <v>0</v>
      </c>
      <c r="AD521" s="3" t="inlineStr">
        <is>
          <t>Christmas Products_Optiwise,Top Selling Last Year 2023</t>
        </is>
      </c>
      <c r="AE521" s="31" t="n">
        <v>0.41</v>
      </c>
      <c r="AF521" s="2" t="n">
        <v>44</v>
      </c>
      <c r="AG521" s="2" t="n">
        <v>28</v>
      </c>
      <c r="AH521" s="4" t="n">
        <v>27</v>
      </c>
      <c r="AI521" s="33" t="n">
        <v>0</v>
      </c>
      <c r="AJ521" s="4" t="n">
        <v>0</v>
      </c>
      <c r="AK521" s="34" t="n"/>
      <c r="AL521" s="34" t="n">
        <v>0</v>
      </c>
      <c r="AM521" s="2" t="n">
        <v>0</v>
      </c>
    </row>
    <row r="522">
      <c r="A522">
        <f>HYPERLINK("https://www.walmart.com/ip/916273017", "916273017")</f>
        <v/>
      </c>
      <c r="B522">
        <f>HYPERLINK("https://app.optiwise.ai/catalog/itemdetails/360385", "Catalonia Microfiber Plush Throw Blanket for Couch and Bed, Holiday Theme Sherpa Fleece Throw Christmas Gift Blanket, Super Soft, Comfy, Cozy, Fluffy, and Warm, Blue, 90'' x 90''")</f>
        <v/>
      </c>
      <c r="C522" t="inlineStr">
        <is>
          <t>-</t>
        </is>
      </c>
      <c r="E522" t="inlineStr">
        <is>
          <t>1CTBF399BL</t>
        </is>
      </c>
      <c r="F522" t="n">
        <v>0</v>
      </c>
      <c r="G522" t="inlineStr">
        <is>
          <t>Bedding</t>
        </is>
      </c>
      <c r="H522" t="inlineStr">
        <is>
          <t>Throws</t>
        </is>
      </c>
      <c r="I522" t="inlineStr">
        <is>
          <t>Catalonia</t>
        </is>
      </c>
      <c r="K522" t="inlineStr">
        <is>
          <t>WFS,Coupon_Discount,WFS Item</t>
        </is>
      </c>
      <c r="L522" s="29" t="n">
        <v>0</v>
      </c>
      <c r="M522" s="30" t="n"/>
      <c r="N522" s="29" t="n">
        <v>0</v>
      </c>
      <c r="O522" s="29" t="n">
        <v>0</v>
      </c>
      <c r="P522" s="2" t="n">
        <v>0</v>
      </c>
      <c r="Q522" s="31" t="n">
        <v>0</v>
      </c>
      <c r="R522" s="32" t="n"/>
      <c r="S522" s="32" t="n">
        <v>0</v>
      </c>
      <c r="T522" s="32" t="n">
        <v>0</v>
      </c>
      <c r="U522" s="31" t="n">
        <v>0</v>
      </c>
      <c r="V522" s="32" t="n">
        <v>0</v>
      </c>
      <c r="W522" s="31" t="n">
        <v>0</v>
      </c>
      <c r="X522" s="31" t="n">
        <v>0</v>
      </c>
      <c r="Y522" s="3" t="n">
        <v>0</v>
      </c>
      <c r="Z522" s="3" t="n">
        <v>0</v>
      </c>
      <c r="AA522" s="32" t="n">
        <v>0</v>
      </c>
      <c r="AB522" s="3" t="n">
        <v>0</v>
      </c>
      <c r="AC522" s="32" t="n">
        <v>0</v>
      </c>
      <c r="AD522" s="3" t="n"/>
      <c r="AE522" s="31" t="n">
        <v>0</v>
      </c>
      <c r="AF522" s="2" t="n">
        <v>0</v>
      </c>
      <c r="AG522" s="2" t="n">
        <v>27</v>
      </c>
      <c r="AH522" s="4" t="n">
        <v>27</v>
      </c>
      <c r="AI522" s="33" t="n">
        <v>0</v>
      </c>
      <c r="AJ522" s="4" t="n">
        <v>0</v>
      </c>
      <c r="AK522" s="34" t="n"/>
      <c r="AL522" s="34" t="n">
        <v>0</v>
      </c>
      <c r="AM522" s="2" t="n">
        <v>0</v>
      </c>
    </row>
    <row r="523">
      <c r="A523">
        <f>HYPERLINK("https://www.walmart.com/ip/687361170", "687361170")</f>
        <v/>
      </c>
      <c r="B523">
        <f>HYPERLINK("https://app.optiwise.ai/catalog/itemdetails/360380", "JenniWears® Women Strap Backless Sleepwear Lace Nightwear Mesh Babydoll Wire")</f>
        <v/>
      </c>
      <c r="C523" t="inlineStr">
        <is>
          <t>-</t>
        </is>
      </c>
      <c r="E523" t="inlineStr">
        <is>
          <t>JWBD010BL-3XL</t>
        </is>
      </c>
      <c r="F523" t="n">
        <v>0</v>
      </c>
      <c r="G523" t="inlineStr">
        <is>
          <t>Clothing</t>
        </is>
      </c>
      <c r="H523" t="inlineStr">
        <is>
          <t>Lingerie Sets</t>
        </is>
      </c>
      <c r="I523" t="inlineStr">
        <is>
          <t>JenniWears</t>
        </is>
      </c>
      <c r="L523" s="29" t="n">
        <v>0</v>
      </c>
      <c r="M523" s="30" t="n"/>
      <c r="N523" s="29" t="n">
        <v>0</v>
      </c>
      <c r="O523" s="29" t="n">
        <v>0</v>
      </c>
      <c r="P523" s="2" t="n">
        <v>0</v>
      </c>
      <c r="Q523" s="31" t="n">
        <v>0</v>
      </c>
      <c r="R523" s="32" t="n"/>
      <c r="S523" s="32" t="n">
        <v>0</v>
      </c>
      <c r="T523" s="32" t="n">
        <v>0</v>
      </c>
      <c r="U523" s="31" t="n">
        <v>0</v>
      </c>
      <c r="V523" s="32" t="n">
        <v>0</v>
      </c>
      <c r="W523" s="31" t="n">
        <v>0</v>
      </c>
      <c r="X523" s="31" t="n">
        <v>0</v>
      </c>
      <c r="Y523" s="3" t="n">
        <v>0</v>
      </c>
      <c r="Z523" s="3" t="n">
        <v>0</v>
      </c>
      <c r="AA523" s="32" t="n">
        <v>0</v>
      </c>
      <c r="AB523" s="3" t="n">
        <v>0</v>
      </c>
      <c r="AC523" s="32" t="n">
        <v>0</v>
      </c>
      <c r="AD523" s="3" t="n"/>
      <c r="AE523" s="31" t="n">
        <v>0</v>
      </c>
      <c r="AF523" s="2" t="n">
        <v>0</v>
      </c>
      <c r="AG523" s="2" t="n">
        <v>17</v>
      </c>
      <c r="AH523" s="4" t="n">
        <v>17</v>
      </c>
      <c r="AI523" s="33" t="n">
        <v>0</v>
      </c>
      <c r="AJ523" s="4" t="n">
        <v>0</v>
      </c>
      <c r="AK523" s="34" t="n"/>
      <c r="AL523" s="34" t="n">
        <v>0</v>
      </c>
      <c r="AM523" s="2" t="n">
        <v>0</v>
      </c>
    </row>
    <row r="524">
      <c r="A524">
        <f>HYPERLINK("https://www.walmart.com/ip/519184826", "519184826")</f>
        <v/>
      </c>
      <c r="B524">
        <f>HYPERLINK("https://app.optiwise.ai/catalog/itemdetails/360350", "Catalonia Mermaid Tail Blanket, Adult Mermaid Blanket with Anti-Slip Neck Strap, Silky Hand Knitted Sleeping Blanket for Adults All Season Sleeping Bag Multi-Colors 66.5x22.5 Green")</f>
        <v/>
      </c>
      <c r="C524" t="inlineStr">
        <is>
          <t>-</t>
        </is>
      </c>
      <c r="E524" t="inlineStr">
        <is>
          <t>1CTMM100GN</t>
        </is>
      </c>
      <c r="F524" t="n">
        <v>0</v>
      </c>
      <c r="G524" t="inlineStr">
        <is>
          <t>Bedding</t>
        </is>
      </c>
      <c r="H524" t="inlineStr">
        <is>
          <t>Throws</t>
        </is>
      </c>
      <c r="I524" t="inlineStr">
        <is>
          <t>Catalonia</t>
        </is>
      </c>
      <c r="K524" t="inlineStr">
        <is>
          <t>WFS,WFS Item</t>
        </is>
      </c>
      <c r="L524" s="29" t="n">
        <v>0</v>
      </c>
      <c r="M524" s="30" t="n"/>
      <c r="N524" s="29" t="n">
        <v>0</v>
      </c>
      <c r="O524" s="29" t="n">
        <v>0</v>
      </c>
      <c r="P524" s="2" t="n">
        <v>0</v>
      </c>
      <c r="Q524" s="31" t="n">
        <v>0</v>
      </c>
      <c r="R524" s="32" t="n"/>
      <c r="S524" s="32" t="n">
        <v>0</v>
      </c>
      <c r="T524" s="32" t="n">
        <v>0</v>
      </c>
      <c r="U524" s="31" t="n">
        <v>0</v>
      </c>
      <c r="V524" s="32" t="n">
        <v>0</v>
      </c>
      <c r="W524" s="31" t="n">
        <v>0</v>
      </c>
      <c r="X524" s="31" t="n">
        <v>0</v>
      </c>
      <c r="Y524" s="3" t="n">
        <v>0</v>
      </c>
      <c r="Z524" s="3" t="n">
        <v>0</v>
      </c>
      <c r="AA524" s="32" t="n">
        <v>0</v>
      </c>
      <c r="AB524" s="3" t="n">
        <v>0</v>
      </c>
      <c r="AC524" s="32" t="n">
        <v>0</v>
      </c>
      <c r="AD524" s="3" t="n"/>
      <c r="AE524" s="31" t="n">
        <v>0</v>
      </c>
      <c r="AF524" s="2" t="n">
        <v>0</v>
      </c>
      <c r="AG524" s="2" t="n">
        <v>16</v>
      </c>
      <c r="AH524" s="4" t="n">
        <v>16</v>
      </c>
      <c r="AI524" s="33" t="n">
        <v>0</v>
      </c>
      <c r="AJ524" s="4" t="n">
        <v>0</v>
      </c>
      <c r="AK524" s="34" t="n"/>
      <c r="AL524" s="34" t="n">
        <v>0</v>
      </c>
      <c r="AM524" s="2" t="n">
        <v>0</v>
      </c>
    </row>
    <row r="525">
      <c r="A525">
        <f>HYPERLINK("https://www.walmart.com/ip/534793727", "534793727")</f>
        <v/>
      </c>
      <c r="B525">
        <f>HYPERLINK("https://app.optiwise.ai/catalog/itemdetails/359281", "New Camo Break Up Heavy Duty Backpack Shoulder Bag for Hunting Fishing Camping")</f>
        <v/>
      </c>
      <c r="C525" t="inlineStr">
        <is>
          <t>-</t>
        </is>
      </c>
      <c r="E525" t="inlineStr">
        <is>
          <t>b1818-Backpack</t>
        </is>
      </c>
      <c r="F525" t="n">
        <v>0</v>
      </c>
      <c r="G525" t="inlineStr">
        <is>
          <t>Cases &amp; Bags</t>
        </is>
      </c>
      <c r="H525" t="inlineStr">
        <is>
          <t>Backpacks</t>
        </is>
      </c>
      <c r="I525" t="inlineStr">
        <is>
          <t>KC Caps</t>
        </is>
      </c>
      <c r="K525" t="inlineStr">
        <is>
          <t>Backpack,Optimized</t>
        </is>
      </c>
      <c r="L525" s="29" t="n">
        <v>0</v>
      </c>
      <c r="M525" s="30" t="n"/>
      <c r="N525" s="29" t="n">
        <v>0</v>
      </c>
      <c r="O525" s="29" t="n">
        <v>0</v>
      </c>
      <c r="P525" s="2" t="n">
        <v>0</v>
      </c>
      <c r="Q525" s="31" t="n">
        <v>0</v>
      </c>
      <c r="R525" s="32" t="n"/>
      <c r="S525" s="32" t="n">
        <v>0</v>
      </c>
      <c r="T525" s="32" t="n">
        <v>0</v>
      </c>
      <c r="U525" s="31" t="n">
        <v>0</v>
      </c>
      <c r="V525" s="32" t="n">
        <v>0</v>
      </c>
      <c r="W525" s="31" t="n">
        <v>0</v>
      </c>
      <c r="X525" s="31" t="n">
        <v>0</v>
      </c>
      <c r="Y525" s="3" t="n">
        <v>0</v>
      </c>
      <c r="Z525" s="3" t="n">
        <v>0</v>
      </c>
      <c r="AA525" s="32" t="n">
        <v>0</v>
      </c>
      <c r="AB525" s="3" t="n">
        <v>0</v>
      </c>
      <c r="AC525" s="32" t="n">
        <v>0</v>
      </c>
      <c r="AD525" s="3" t="n"/>
      <c r="AE525" s="31" t="n">
        <v>0</v>
      </c>
      <c r="AF525" s="2" t="n">
        <v>0</v>
      </c>
      <c r="AG525" s="2" t="n">
        <v>1</v>
      </c>
      <c r="AH525" s="4" t="n">
        <v>1</v>
      </c>
      <c r="AI525" s="33" t="n">
        <v>0</v>
      </c>
      <c r="AJ525" s="4" t="n">
        <v>0</v>
      </c>
      <c r="AK525" s="34" t="n"/>
      <c r="AL525" s="34" t="n">
        <v>0</v>
      </c>
      <c r="AM525" s="2" t="n">
        <v>0</v>
      </c>
    </row>
    <row r="526">
      <c r="A526">
        <f>HYPERLINK("https://www.walmart.com/ip/158840453", "158840453")</f>
        <v/>
      </c>
      <c r="B526">
        <f>HYPERLINK("https://app.optiwise.ai/catalog/itemdetails/359280", "Vina® Wine Accessory Set,Stainless Steel Wine Bottle Opener Hippocampal Knife Corkscrew + Vacuum Wine Stopper")</f>
        <v/>
      </c>
      <c r="C526" t="inlineStr">
        <is>
          <t>-</t>
        </is>
      </c>
      <c r="E526" t="inlineStr">
        <is>
          <t>VinaWO004SL</t>
        </is>
      </c>
      <c r="F526" t="n">
        <v>0</v>
      </c>
      <c r="G526" t="inlineStr">
        <is>
          <t>Home Decor, Kitchen, &amp; Other</t>
        </is>
      </c>
      <c r="H526" t="inlineStr">
        <is>
          <t>Corkscrews &amp; Wine Bottle Openers</t>
        </is>
      </c>
      <c r="I526" t="inlineStr">
        <is>
          <t>Vina</t>
        </is>
      </c>
      <c r="K526" t="inlineStr">
        <is>
          <t>Wine,Christmas,Optimized</t>
        </is>
      </c>
      <c r="L526" s="29" t="n">
        <v>0</v>
      </c>
      <c r="M526" s="30" t="n"/>
      <c r="N526" s="29" t="n">
        <v>0</v>
      </c>
      <c r="O526" s="29" t="n">
        <v>0</v>
      </c>
      <c r="P526" s="2" t="n">
        <v>0</v>
      </c>
      <c r="Q526" s="31" t="n">
        <v>0</v>
      </c>
      <c r="R526" s="32" t="n"/>
      <c r="S526" s="32" t="n">
        <v>0</v>
      </c>
      <c r="T526" s="32" t="n">
        <v>0</v>
      </c>
      <c r="U526" s="31" t="n">
        <v>0</v>
      </c>
      <c r="V526" s="32" t="n">
        <v>0</v>
      </c>
      <c r="W526" s="31" t="n">
        <v>0</v>
      </c>
      <c r="X526" s="31" t="n">
        <v>0</v>
      </c>
      <c r="Y526" s="3" t="n">
        <v>0</v>
      </c>
      <c r="Z526" s="3" t="n">
        <v>0</v>
      </c>
      <c r="AA526" s="32" t="n">
        <v>0</v>
      </c>
      <c r="AB526" s="3" t="n">
        <v>0</v>
      </c>
      <c r="AC526" s="32" t="n">
        <v>0</v>
      </c>
      <c r="AD526" s="3" t="n"/>
      <c r="AE526" s="31" t="n">
        <v>0</v>
      </c>
      <c r="AF526" s="2" t="n">
        <v>0</v>
      </c>
      <c r="AG526" s="2" t="n">
        <v>0</v>
      </c>
      <c r="AH526" s="4" t="n">
        <v>0</v>
      </c>
      <c r="AI526" s="33" t="n">
        <v>0</v>
      </c>
      <c r="AJ526" s="4" t="n">
        <v>0</v>
      </c>
      <c r="AK526" s="34" t="n"/>
      <c r="AL526" s="34" t="n">
        <v>0</v>
      </c>
      <c r="AM526" s="2" t="n">
        <v>0</v>
      </c>
    </row>
    <row r="527">
      <c r="A527">
        <f>HYPERLINK("https://www.walmart.com/ip/419719505", "419719505")</f>
        <v/>
      </c>
      <c r="B527">
        <f>HYPERLINK("https://app.optiwise.ai/catalog/itemdetails/359127", "Catalonia Throw Blanket, Super Soft Plush Blanket, Sofa Couch Fleece Blanket, TV Bed Blanket, Comfy Cozy Fluffy Warm, Christmas Theme Throws, Holiday Gift Blanket 50x60 inch - Reindeer")</f>
        <v/>
      </c>
      <c r="C527" t="inlineStr">
        <is>
          <t>-</t>
        </is>
      </c>
      <c r="E527" t="inlineStr">
        <is>
          <t>1CTBF571XMAS</t>
        </is>
      </c>
      <c r="F527" t="n">
        <v>19</v>
      </c>
      <c r="G527" t="inlineStr">
        <is>
          <t>Bedding</t>
        </is>
      </c>
      <c r="H527" t="inlineStr">
        <is>
          <t>Throws</t>
        </is>
      </c>
      <c r="I527" t="inlineStr">
        <is>
          <t>Catalonia</t>
        </is>
      </c>
      <c r="J527" t="n">
        <v>4.9</v>
      </c>
      <c r="K527" t="inlineStr">
        <is>
          <t>Q2-Target,Christmas,Optimized,Hero 5 Holidays,WFS Item</t>
        </is>
      </c>
      <c r="L527" s="29" t="n">
        <v>0</v>
      </c>
      <c r="M527" s="30" t="n"/>
      <c r="N527" s="29" t="n">
        <v>0</v>
      </c>
      <c r="O527" s="29" t="n">
        <v>0</v>
      </c>
      <c r="P527" s="2" t="n">
        <v>0</v>
      </c>
      <c r="Q527" s="31" t="n">
        <v>0</v>
      </c>
      <c r="R527" s="32" t="n"/>
      <c r="S527" s="32" t="n">
        <v>0</v>
      </c>
      <c r="T527" s="32" t="n">
        <v>0.2217</v>
      </c>
      <c r="U527" s="31" t="n">
        <v>0</v>
      </c>
      <c r="V527" s="32" t="n">
        <v>0</v>
      </c>
      <c r="W527" s="31" t="n">
        <v>0</v>
      </c>
      <c r="X527" s="31" t="n">
        <v>0</v>
      </c>
      <c r="Y527" s="3" t="n">
        <v>0</v>
      </c>
      <c r="Z527" s="3" t="n">
        <v>0</v>
      </c>
      <c r="AA527" s="32" t="n">
        <v>0</v>
      </c>
      <c r="AB527" s="3" t="n">
        <v>0</v>
      </c>
      <c r="AC527" s="32" t="n">
        <v>0</v>
      </c>
      <c r="AD527" s="3" t="n"/>
      <c r="AE527" s="31" t="n">
        <v>0</v>
      </c>
      <c r="AF527" s="2" t="n">
        <v>24</v>
      </c>
      <c r="AG527" s="2" t="n">
        <v>62</v>
      </c>
      <c r="AH527" s="4" t="n">
        <v>62</v>
      </c>
      <c r="AI527" s="33" t="n">
        <v>0</v>
      </c>
      <c r="AJ527" s="4" t="n">
        <v>0</v>
      </c>
      <c r="AK527" s="34" t="n"/>
      <c r="AL527" s="34" t="n">
        <v>0</v>
      </c>
      <c r="AM527" s="2" t="n">
        <v>0</v>
      </c>
    </row>
    <row r="528">
      <c r="A528">
        <f>HYPERLINK("https://www.walmart.com/ip/152145176", "152145176")</f>
        <v/>
      </c>
      <c r="B528">
        <f>HYPERLINK("https://app.optiwise.ai/catalog/itemdetails/359051", "Jenniwears Women's Leopard Print Bodysuit Jumpsuit")</f>
        <v/>
      </c>
      <c r="C528" t="inlineStr">
        <is>
          <t>-</t>
        </is>
      </c>
      <c r="E528" t="inlineStr">
        <is>
          <t>JWND04LE</t>
        </is>
      </c>
      <c r="F528" t="n">
        <v>0</v>
      </c>
      <c r="G528" t="inlineStr">
        <is>
          <t>Clothing</t>
        </is>
      </c>
      <c r="H528" t="inlineStr">
        <is>
          <t>Lingerie Sets</t>
        </is>
      </c>
      <c r="I528" t="inlineStr">
        <is>
          <t>JenniWears</t>
        </is>
      </c>
      <c r="K528" t="inlineStr">
        <is>
          <t>Optimized,Valentine</t>
        </is>
      </c>
      <c r="L528" s="29" t="n">
        <v>0</v>
      </c>
      <c r="M528" s="30" t="n"/>
      <c r="N528" s="29" t="n">
        <v>0</v>
      </c>
      <c r="O528" s="29" t="n">
        <v>0</v>
      </c>
      <c r="P528" s="2" t="n">
        <v>0</v>
      </c>
      <c r="Q528" s="31" t="n">
        <v>0</v>
      </c>
      <c r="R528" s="32" t="n"/>
      <c r="S528" s="32" t="n">
        <v>0</v>
      </c>
      <c r="T528" s="32" t="n">
        <v>0</v>
      </c>
      <c r="U528" s="31" t="n">
        <v>0</v>
      </c>
      <c r="V528" s="32" t="n">
        <v>0</v>
      </c>
      <c r="W528" s="31" t="n">
        <v>0</v>
      </c>
      <c r="X528" s="31" t="n">
        <v>0</v>
      </c>
      <c r="Y528" s="3" t="n">
        <v>0</v>
      </c>
      <c r="Z528" s="3" t="n">
        <v>0</v>
      </c>
      <c r="AA528" s="32" t="n">
        <v>0</v>
      </c>
      <c r="AB528" s="3" t="n">
        <v>0</v>
      </c>
      <c r="AC528" s="32" t="n">
        <v>0</v>
      </c>
      <c r="AD528" s="3" t="n"/>
      <c r="AE528" s="31" t="n">
        <v>0</v>
      </c>
      <c r="AF528" s="2" t="n">
        <v>0</v>
      </c>
      <c r="AG528" s="2" t="n">
        <v>4</v>
      </c>
      <c r="AH528" s="4" t="n">
        <v>4</v>
      </c>
      <c r="AI528" s="33" t="n">
        <v>0</v>
      </c>
      <c r="AJ528" s="4" t="n">
        <v>0</v>
      </c>
      <c r="AK528" s="34" t="n"/>
      <c r="AL528" s="34" t="n">
        <v>0</v>
      </c>
      <c r="AM528" s="2" t="n">
        <v>0</v>
      </c>
    </row>
    <row r="529">
      <c r="A529">
        <f>HYPERLINK("https://www.walmart.com/ip/890773297", "890773297")</f>
        <v/>
      </c>
      <c r="B529">
        <f>HYPERLINK("https://app.optiwise.ai/catalog/itemdetails/359035", "Catalonia Microfiber Throw Blanket for Couch and Bed, Fleece Blanket, Sherpa Blankets and Throws, Super Soft, Comfy, Cozy, Fluffy, Warm, Gray, 90'' x 90''")</f>
        <v/>
      </c>
      <c r="C529" t="inlineStr">
        <is>
          <t>-</t>
        </is>
      </c>
      <c r="E529" t="inlineStr">
        <is>
          <t>1CTBF399GY</t>
        </is>
      </c>
      <c r="F529" t="n">
        <v>0</v>
      </c>
      <c r="G529" t="inlineStr">
        <is>
          <t>Bedding</t>
        </is>
      </c>
      <c r="H529" t="inlineStr">
        <is>
          <t>Throws</t>
        </is>
      </c>
      <c r="I529" t="inlineStr">
        <is>
          <t>Catalonia</t>
        </is>
      </c>
      <c r="K529" t="inlineStr">
        <is>
          <t>Optimized,WFS,Coupon_Discount,SeePriceInCart,WFS Item</t>
        </is>
      </c>
      <c r="L529" s="29" t="n">
        <v>0</v>
      </c>
      <c r="M529" s="30" t="n"/>
      <c r="N529" s="29" t="n">
        <v>0</v>
      </c>
      <c r="O529" s="29" t="n">
        <v>0</v>
      </c>
      <c r="P529" s="2" t="n">
        <v>0</v>
      </c>
      <c r="Q529" s="31" t="n">
        <v>0</v>
      </c>
      <c r="R529" s="32" t="n"/>
      <c r="S529" s="32" t="n">
        <v>0</v>
      </c>
      <c r="T529" s="32" t="n">
        <v>0</v>
      </c>
      <c r="U529" s="31" t="n">
        <v>0</v>
      </c>
      <c r="V529" s="32" t="n">
        <v>0</v>
      </c>
      <c r="W529" s="31" t="n">
        <v>0</v>
      </c>
      <c r="X529" s="31" t="n">
        <v>0</v>
      </c>
      <c r="Y529" s="3" t="n">
        <v>0</v>
      </c>
      <c r="Z529" s="3" t="n">
        <v>0</v>
      </c>
      <c r="AA529" s="32" t="n">
        <v>0</v>
      </c>
      <c r="AB529" s="3" t="n">
        <v>0</v>
      </c>
      <c r="AC529" s="32" t="n">
        <v>0</v>
      </c>
      <c r="AD529" s="3" t="n"/>
      <c r="AE529" s="31" t="n">
        <v>0</v>
      </c>
      <c r="AF529" s="2" t="n">
        <v>0</v>
      </c>
      <c r="AG529" s="2" t="n">
        <v>0</v>
      </c>
      <c r="AH529" s="4" t="n">
        <v>0</v>
      </c>
      <c r="AI529" s="33" t="n">
        <v>0</v>
      </c>
      <c r="AJ529" s="4" t="n">
        <v>0</v>
      </c>
      <c r="AK529" s="34" t="n"/>
      <c r="AL529" s="34" t="n">
        <v>0</v>
      </c>
      <c r="AM529" s="2" t="n">
        <v>0</v>
      </c>
    </row>
    <row r="530">
      <c r="A530">
        <f>HYPERLINK("https://www.walmart.com/ip/815170101", "815170101")</f>
        <v/>
      </c>
      <c r="B530">
        <f>HYPERLINK("https://app.optiwise.ai/catalog/itemdetails/358745", "Kato 6 Bottle Insulated Portable Wine Tote Bag for Travel/Picnic/Party, Black")</f>
        <v/>
      </c>
      <c r="C530" t="inlineStr">
        <is>
          <t>-</t>
        </is>
      </c>
      <c r="E530" t="inlineStr">
        <is>
          <t>1KTWB600BK-CDGM</t>
        </is>
      </c>
      <c r="F530" t="n">
        <v>0</v>
      </c>
      <c r="G530" t="inlineStr">
        <is>
          <t>Home Decor, Kitchen, &amp; Other</t>
        </is>
      </c>
      <c r="H530" t="inlineStr">
        <is>
          <t>Wine Totes, Bags &amp; Backpacks</t>
        </is>
      </c>
      <c r="I530" t="inlineStr">
        <is>
          <t>Kato</t>
        </is>
      </c>
      <c r="L530" s="29" t="n">
        <v>0</v>
      </c>
      <c r="M530" s="30" t="n"/>
      <c r="N530" s="29" t="n">
        <v>0</v>
      </c>
      <c r="O530" s="29" t="n">
        <v>0</v>
      </c>
      <c r="P530" s="2" t="n">
        <v>0</v>
      </c>
      <c r="Q530" s="31" t="n">
        <v>0</v>
      </c>
      <c r="R530" s="32" t="n"/>
      <c r="S530" s="32" t="n">
        <v>0</v>
      </c>
      <c r="T530" s="32" t="n">
        <v>0</v>
      </c>
      <c r="U530" s="31" t="n">
        <v>0</v>
      </c>
      <c r="V530" s="32" t="n">
        <v>0</v>
      </c>
      <c r="W530" s="31" t="n">
        <v>0</v>
      </c>
      <c r="X530" s="31" t="n">
        <v>0</v>
      </c>
      <c r="Y530" s="3" t="n">
        <v>0</v>
      </c>
      <c r="Z530" s="3" t="n">
        <v>0</v>
      </c>
      <c r="AA530" s="32" t="n">
        <v>0</v>
      </c>
      <c r="AB530" s="3" t="n">
        <v>0</v>
      </c>
      <c r="AC530" s="32" t="n">
        <v>0</v>
      </c>
      <c r="AD530" s="3" t="n"/>
      <c r="AE530" s="31" t="n">
        <v>0</v>
      </c>
      <c r="AF530" s="2" t="n">
        <v>0</v>
      </c>
      <c r="AG530" s="2" t="n">
        <v>4</v>
      </c>
      <c r="AH530" s="4" t="n">
        <v>4</v>
      </c>
      <c r="AI530" s="33" t="n">
        <v>0</v>
      </c>
      <c r="AJ530" s="4" t="n">
        <v>0</v>
      </c>
      <c r="AK530" s="34" t="n"/>
      <c r="AL530" s="34" t="n">
        <v>0</v>
      </c>
      <c r="AM530" s="2" t="n">
        <v>0</v>
      </c>
    </row>
    <row r="531">
      <c r="A531">
        <f>HYPERLINK("https://www.walmart.com/ip/184833020", "184833020")</f>
        <v/>
      </c>
      <c r="B531">
        <f>HYPERLINK("https://app.optiwise.ai/catalog/itemdetails/362703", "Catalonia Adult Knitted Mermaid Tail Blanket with Anti-Slip Neck Strap Soft Snuggie Throw All Seasons Sleep Bag 66.5” x")</f>
        <v/>
      </c>
      <c r="C531" t="inlineStr">
        <is>
          <t>-</t>
        </is>
      </c>
      <c r="E531" t="inlineStr">
        <is>
          <t>1CTMM100BL</t>
        </is>
      </c>
      <c r="F531" t="n">
        <v>0</v>
      </c>
      <c r="G531" t="inlineStr">
        <is>
          <t>Bedding</t>
        </is>
      </c>
      <c r="H531" t="inlineStr">
        <is>
          <t>Throws</t>
        </is>
      </c>
      <c r="I531" t="inlineStr">
        <is>
          <t>Catalonia</t>
        </is>
      </c>
      <c r="K531" t="inlineStr">
        <is>
          <t>Optimized</t>
        </is>
      </c>
      <c r="L531" s="29" t="n">
        <v>0</v>
      </c>
      <c r="M531" s="30" t="n"/>
      <c r="N531" s="29" t="n">
        <v>0</v>
      </c>
      <c r="O531" s="29" t="n">
        <v>0</v>
      </c>
      <c r="P531" s="2" t="n">
        <v>0</v>
      </c>
      <c r="Q531" s="31" t="n">
        <v>0</v>
      </c>
      <c r="R531" s="32" t="n"/>
      <c r="S531" s="32" t="n">
        <v>0</v>
      </c>
      <c r="T531" s="32" t="n">
        <v>0</v>
      </c>
      <c r="U531" s="31" t="n">
        <v>0</v>
      </c>
      <c r="V531" s="32" t="n">
        <v>0</v>
      </c>
      <c r="W531" s="31" t="n">
        <v>0</v>
      </c>
      <c r="X531" s="31" t="n">
        <v>0</v>
      </c>
      <c r="Y531" s="3" t="n">
        <v>0</v>
      </c>
      <c r="Z531" s="3" t="n">
        <v>0</v>
      </c>
      <c r="AA531" s="32" t="n">
        <v>0</v>
      </c>
      <c r="AB531" s="3" t="n">
        <v>0</v>
      </c>
      <c r="AC531" s="32" t="n">
        <v>0</v>
      </c>
      <c r="AD531" s="3" t="n"/>
      <c r="AE531" s="31" t="n">
        <v>0</v>
      </c>
      <c r="AF531" s="2" t="n">
        <v>0</v>
      </c>
      <c r="AG531" s="2" t="n">
        <v>25</v>
      </c>
      <c r="AH531" s="4" t="n">
        <v>25</v>
      </c>
      <c r="AI531" s="33" t="n">
        <v>0</v>
      </c>
      <c r="AJ531" s="4" t="n">
        <v>0</v>
      </c>
      <c r="AK531" s="34" t="n"/>
      <c r="AL531" s="34" t="n">
        <v>0</v>
      </c>
      <c r="AM531" s="2" t="n">
        <v>0</v>
      </c>
    </row>
    <row r="532">
      <c r="A532">
        <f>HYPERLINK("https://www.walmart.com/ip/824381021", "824381021")</f>
        <v/>
      </c>
      <c r="B532">
        <f>HYPERLINK("https://app.optiwise.ai/catalog/itemdetails/924450", "Sun Visor Sports Cotton Twill Plain Hat with Adjustable Strap for Men Women Outdoor Golf Tennis Running Jogging Hiking")</f>
        <v/>
      </c>
      <c r="C532" t="inlineStr">
        <is>
          <t>-</t>
        </is>
      </c>
      <c r="E532" t="inlineStr">
        <is>
          <t>1SLVS4130LIME</t>
        </is>
      </c>
      <c r="F532" t="n">
        <v>0</v>
      </c>
      <c r="G532" t="inlineStr">
        <is>
          <t>Other</t>
        </is>
      </c>
      <c r="H532" t="inlineStr">
        <is>
          <t>Hats</t>
        </is>
      </c>
      <c r="I532" t="inlineStr">
        <is>
          <t>Solaris</t>
        </is>
      </c>
      <c r="L532" s="29" t="n">
        <v>0</v>
      </c>
      <c r="M532" s="30" t="n"/>
      <c r="N532" s="29" t="n">
        <v>0</v>
      </c>
      <c r="O532" s="29" t="n">
        <v>0</v>
      </c>
      <c r="P532" s="2" t="n">
        <v>0</v>
      </c>
      <c r="Q532" s="31" t="n">
        <v>0</v>
      </c>
      <c r="R532" s="32" t="n"/>
      <c r="S532" s="32" t="n">
        <v>0</v>
      </c>
      <c r="T532" s="32" t="n">
        <v>0</v>
      </c>
      <c r="U532" s="31" t="n">
        <v>0</v>
      </c>
      <c r="V532" s="32" t="n">
        <v>0</v>
      </c>
      <c r="W532" s="31" t="n">
        <v>0</v>
      </c>
      <c r="X532" s="31" t="n">
        <v>0</v>
      </c>
      <c r="Y532" s="3" t="n">
        <v>0</v>
      </c>
      <c r="Z532" s="3" t="n">
        <v>0</v>
      </c>
      <c r="AA532" s="32" t="n">
        <v>0</v>
      </c>
      <c r="AB532" s="3" t="n">
        <v>0</v>
      </c>
      <c r="AC532" s="32" t="n">
        <v>0</v>
      </c>
      <c r="AD532" s="3" t="n"/>
      <c r="AE532" s="31" t="n">
        <v>0</v>
      </c>
      <c r="AF532" s="2" t="n">
        <v>0</v>
      </c>
      <c r="AG532" s="2" t="n">
        <v>1</v>
      </c>
      <c r="AH532" s="4" t="n">
        <v>1</v>
      </c>
      <c r="AI532" s="33" t="n">
        <v>0</v>
      </c>
      <c r="AJ532" s="4" t="n">
        <v>0</v>
      </c>
      <c r="AK532" s="34" t="n"/>
      <c r="AL532" s="34" t="n">
        <v>0</v>
      </c>
      <c r="AM532" s="2" t="n">
        <v>0</v>
      </c>
    </row>
    <row r="533">
      <c r="A533">
        <f>HYPERLINK("https://www.walmart.com/ip/14514565156", "14514565156")</f>
        <v/>
      </c>
      <c r="B533">
        <f>HYPERLINK("https://app.optiwise.ai/catalog/itemdetails/13057944", "Tirrinia Oversized Blanket Hoodie Sweatshirts, Wearable Fluffy Fleece Plush Blanket, Lightweight Cozy Sweatshirt Blanket Gift for Women Men, Blue")</f>
        <v/>
      </c>
      <c r="C533" t="inlineStr">
        <is>
          <t>-</t>
        </is>
      </c>
      <c r="E533" t="inlineStr">
        <is>
          <t>1TROSH360BK-FS</t>
        </is>
      </c>
      <c r="F533" t="n">
        <v>0</v>
      </c>
      <c r="G533" t="inlineStr">
        <is>
          <t>Clothing</t>
        </is>
      </c>
      <c r="H533" t="inlineStr">
        <is>
          <t>Sweatshirts &amp; Hoodies</t>
        </is>
      </c>
      <c r="I533" t="inlineStr">
        <is>
          <t>Tirrinia</t>
        </is>
      </c>
      <c r="L533" s="29" t="n">
        <v>0</v>
      </c>
      <c r="M533" s="30" t="n"/>
      <c r="N533" s="29" t="n">
        <v>0</v>
      </c>
      <c r="O533" s="29" t="n">
        <v>0</v>
      </c>
      <c r="P533" s="2" t="n">
        <v>0</v>
      </c>
      <c r="Q533" s="31" t="n">
        <v>0</v>
      </c>
      <c r="R533" s="32" t="n"/>
      <c r="S533" s="32" t="n">
        <v>0</v>
      </c>
      <c r="T533" s="32" t="n">
        <v>0</v>
      </c>
      <c r="U533" s="31" t="n">
        <v>0</v>
      </c>
      <c r="V533" s="32" t="n">
        <v>0</v>
      </c>
      <c r="W533" s="31" t="n">
        <v>0</v>
      </c>
      <c r="X533" s="31" t="n">
        <v>0</v>
      </c>
      <c r="Y533" s="3" t="n">
        <v>0</v>
      </c>
      <c r="Z533" s="3" t="n">
        <v>0</v>
      </c>
      <c r="AA533" s="32" t="n">
        <v>0</v>
      </c>
      <c r="AB533" s="3" t="n">
        <v>0</v>
      </c>
      <c r="AC533" s="32" t="n">
        <v>0</v>
      </c>
      <c r="AD533" s="3" t="n"/>
      <c r="AE533" s="31" t="n">
        <v>0</v>
      </c>
      <c r="AF533" s="2" t="n">
        <v>0</v>
      </c>
      <c r="AG533" s="2" t="n">
        <v>5</v>
      </c>
      <c r="AH533" s="4" t="n">
        <v>5</v>
      </c>
      <c r="AI533" s="33" t="n">
        <v>0</v>
      </c>
      <c r="AJ533" s="4" t="n">
        <v>0</v>
      </c>
      <c r="AK533" s="34" t="n"/>
      <c r="AL533" s="34" t="n">
        <v>0</v>
      </c>
      <c r="AM533" s="2" t="n">
        <v>0</v>
      </c>
    </row>
    <row r="534">
      <c r="A534">
        <f>HYPERLINK("https://www.walmart.com/ip/1061206456", "1061206456")</f>
        <v/>
      </c>
      <c r="B534">
        <f>HYPERLINK("https://app.optiwise.ai/catalog/itemdetails/938298", "Catalonia Microfiber Plush Blanket for Bed and Couch, Holiday Theme Sherpa Fleece Throw Blanket, Christmas Gift Blanket, Super Soft, Comfy, Cozy, Fluffy, Warm, Red Plaid, 90 x 90")</f>
        <v/>
      </c>
      <c r="C534" t="inlineStr">
        <is>
          <t>-</t>
        </is>
      </c>
      <c r="E534" t="inlineStr">
        <is>
          <t>1CTBF399PRD</t>
        </is>
      </c>
      <c r="F534" t="n">
        <v>0</v>
      </c>
      <c r="G534" t="inlineStr">
        <is>
          <t>Bedding</t>
        </is>
      </c>
      <c r="H534" t="inlineStr">
        <is>
          <t>Throws</t>
        </is>
      </c>
      <c r="I534" t="inlineStr">
        <is>
          <t>Catalonia</t>
        </is>
      </c>
      <c r="K534" t="inlineStr">
        <is>
          <t>Q2-Target,Batch 1 - TR</t>
        </is>
      </c>
      <c r="L534" s="29" t="n">
        <v>0</v>
      </c>
      <c r="M534" s="30" t="n"/>
      <c r="N534" s="29" t="n">
        <v>0</v>
      </c>
      <c r="O534" s="29" t="n">
        <v>0</v>
      </c>
      <c r="P534" s="2" t="n">
        <v>0</v>
      </c>
      <c r="Q534" s="31" t="n">
        <v>0</v>
      </c>
      <c r="R534" s="32" t="n"/>
      <c r="S534" s="32" t="n">
        <v>0</v>
      </c>
      <c r="T534" s="32" t="n">
        <v>0.0349</v>
      </c>
      <c r="U534" s="31" t="n">
        <v>0</v>
      </c>
      <c r="V534" s="32" t="n">
        <v>0</v>
      </c>
      <c r="W534" s="31" t="n">
        <v>0</v>
      </c>
      <c r="X534" s="31" t="n">
        <v>0</v>
      </c>
      <c r="Y534" s="3" t="n">
        <v>0</v>
      </c>
      <c r="Z534" s="3" t="n">
        <v>0</v>
      </c>
      <c r="AA534" s="32" t="n">
        <v>0</v>
      </c>
      <c r="AB534" s="3" t="n">
        <v>0</v>
      </c>
      <c r="AC534" s="32" t="n">
        <v>0</v>
      </c>
      <c r="AD534" s="3" t="n"/>
      <c r="AE534" s="31" t="n">
        <v>0</v>
      </c>
      <c r="AF534" s="2" t="n">
        <v>0</v>
      </c>
      <c r="AG534" s="2" t="n">
        <v>6</v>
      </c>
      <c r="AH534" s="4" t="n">
        <v>6</v>
      </c>
      <c r="AI534" s="33" t="n">
        <v>0</v>
      </c>
      <c r="AJ534" s="4" t="n">
        <v>0</v>
      </c>
      <c r="AK534" s="34" t="n"/>
      <c r="AL534" s="34" t="n">
        <v>0</v>
      </c>
      <c r="AM534" s="2" t="n">
        <v>0</v>
      </c>
    </row>
    <row r="535">
      <c r="A535">
        <f>HYPERLINK("https://www.walmart.com/ip/14505710529", "14505710529")</f>
        <v/>
      </c>
      <c r="B535">
        <f>HYPERLINK("https://app.optiwise.ai/catalog/itemdetails/13057943", "Catalonia Women's Hoodie Sweatshirt, Casual Pullover Sweater with front Pocket, Womens Fall Winter Clothing, Blanket Hoodie Sweatshirt, Dog Pattern")</f>
        <v/>
      </c>
      <c r="C535" t="inlineStr">
        <is>
          <t>-</t>
        </is>
      </c>
      <c r="E535" t="inlineStr">
        <is>
          <t>1CTOSH300S1GYDOG-FS</t>
        </is>
      </c>
      <c r="F535" t="n">
        <v>0</v>
      </c>
      <c r="G535" t="inlineStr">
        <is>
          <t>Clothing</t>
        </is>
      </c>
      <c r="H535" t="inlineStr">
        <is>
          <t>Sweatshirts &amp; Hoodies</t>
        </is>
      </c>
      <c r="I535" t="inlineStr">
        <is>
          <t>Catalonia</t>
        </is>
      </c>
      <c r="L535" s="29" t="n">
        <v>0</v>
      </c>
      <c r="M535" s="30" t="n"/>
      <c r="N535" s="29" t="n">
        <v>0</v>
      </c>
      <c r="O535" s="29" t="n">
        <v>0</v>
      </c>
      <c r="P535" s="2" t="n">
        <v>0</v>
      </c>
      <c r="Q535" s="31" t="n">
        <v>0</v>
      </c>
      <c r="R535" s="32" t="n"/>
      <c r="S535" s="32" t="n">
        <v>0</v>
      </c>
      <c r="T535" s="32" t="n">
        <v>0</v>
      </c>
      <c r="U535" s="31" t="n">
        <v>0</v>
      </c>
      <c r="V535" s="32" t="n">
        <v>0</v>
      </c>
      <c r="W535" s="31" t="n">
        <v>0</v>
      </c>
      <c r="X535" s="31" t="n">
        <v>0</v>
      </c>
      <c r="Y535" s="3" t="n">
        <v>0</v>
      </c>
      <c r="Z535" s="3" t="n">
        <v>0</v>
      </c>
      <c r="AA535" s="32" t="n">
        <v>0</v>
      </c>
      <c r="AB535" s="3" t="n">
        <v>0</v>
      </c>
      <c r="AC535" s="32" t="n">
        <v>0</v>
      </c>
      <c r="AD535" s="3" t="n"/>
      <c r="AE535" s="31" t="n">
        <v>0</v>
      </c>
      <c r="AF535" s="2" t="n">
        <v>0</v>
      </c>
      <c r="AG535" s="2" t="n">
        <v>11</v>
      </c>
      <c r="AH535" s="4" t="n">
        <v>11</v>
      </c>
      <c r="AI535" s="33" t="n">
        <v>0</v>
      </c>
      <c r="AJ535" s="4" t="n">
        <v>0</v>
      </c>
      <c r="AK535" s="34" t="n"/>
      <c r="AL535" s="34" t="n">
        <v>0</v>
      </c>
      <c r="AM535" s="2" t="n">
        <v>0</v>
      </c>
    </row>
    <row r="536">
      <c r="A536">
        <f>HYPERLINK("https://www.walmart.com/ip/14505705639", "14505705639")</f>
        <v/>
      </c>
      <c r="B536">
        <f>HYPERLINK("https://app.optiwise.ai/catalog/itemdetails/13057942", "Catalonia Oversized Blanket Hoodie Sweatshirt, Fleece Hooded Lounging Pullover with Giant Pocket, Birthday Gifts Christmas Gifts, Southwestern Aztec")</f>
        <v/>
      </c>
      <c r="C536" t="inlineStr">
        <is>
          <t>-</t>
        </is>
      </c>
      <c r="E536" t="inlineStr">
        <is>
          <t>1CTOSH300SW-FS</t>
        </is>
      </c>
      <c r="F536" t="n">
        <v>0</v>
      </c>
      <c r="G536" t="inlineStr">
        <is>
          <t>Clothing</t>
        </is>
      </c>
      <c r="H536" t="inlineStr">
        <is>
          <t>Sweatshirts &amp; Hoodies</t>
        </is>
      </c>
      <c r="I536" t="inlineStr">
        <is>
          <t>Catalonia</t>
        </is>
      </c>
      <c r="L536" s="29" t="n">
        <v>0</v>
      </c>
      <c r="M536" s="30" t="n"/>
      <c r="N536" s="29" t="n">
        <v>0</v>
      </c>
      <c r="O536" s="29" t="n">
        <v>0</v>
      </c>
      <c r="P536" s="2" t="n">
        <v>0</v>
      </c>
      <c r="Q536" s="31" t="n">
        <v>0</v>
      </c>
      <c r="R536" s="32" t="n"/>
      <c r="S536" s="32" t="n">
        <v>0</v>
      </c>
      <c r="T536" s="32" t="n">
        <v>0</v>
      </c>
      <c r="U536" s="31" t="n">
        <v>0</v>
      </c>
      <c r="V536" s="32" t="n">
        <v>0</v>
      </c>
      <c r="W536" s="31" t="n">
        <v>0</v>
      </c>
      <c r="X536" s="31" t="n">
        <v>0</v>
      </c>
      <c r="Y536" s="3" t="n">
        <v>0</v>
      </c>
      <c r="Z536" s="3" t="n">
        <v>0</v>
      </c>
      <c r="AA536" s="32" t="n">
        <v>0</v>
      </c>
      <c r="AB536" s="3" t="n">
        <v>0</v>
      </c>
      <c r="AC536" s="32" t="n">
        <v>0</v>
      </c>
      <c r="AD536" s="3" t="n"/>
      <c r="AE536" s="31" t="n">
        <v>0</v>
      </c>
      <c r="AF536" s="2" t="n">
        <v>0</v>
      </c>
      <c r="AG536" s="2" t="n">
        <v>2</v>
      </c>
      <c r="AH536" s="4" t="n">
        <v>2</v>
      </c>
      <c r="AI536" s="33" t="n">
        <v>0</v>
      </c>
      <c r="AJ536" s="4" t="n">
        <v>0</v>
      </c>
      <c r="AK536" s="34" t="n"/>
      <c r="AL536" s="34" t="n">
        <v>0</v>
      </c>
      <c r="AM536" s="2" t="n">
        <v>0</v>
      </c>
    </row>
    <row r="537">
      <c r="A537">
        <f>HYPERLINK("https://www.walmart.com/ip/14498457694", "14498457694")</f>
        <v/>
      </c>
      <c r="B537">
        <f>HYPERLINK("https://app.optiwise.ai/catalog/itemdetails/13057941", "Catalonia Oversized Blanket Hoodie Sweatshirt, Fleece Hooded Lounging Pullover with Giant Pocket, Birthday Gifts Christmas Gifts, Buffalo Plaid Black")</f>
        <v/>
      </c>
      <c r="C537" t="inlineStr">
        <is>
          <t>-</t>
        </is>
      </c>
      <c r="E537" t="inlineStr">
        <is>
          <t>1CTOSH300PPK-FS</t>
        </is>
      </c>
      <c r="F537" t="n">
        <v>0</v>
      </c>
      <c r="G537" t="inlineStr">
        <is>
          <t>Clothing</t>
        </is>
      </c>
      <c r="H537" t="inlineStr">
        <is>
          <t>Sweatshirts &amp; Hoodies</t>
        </is>
      </c>
      <c r="I537" t="inlineStr">
        <is>
          <t>Catalonia</t>
        </is>
      </c>
      <c r="L537" s="29" t="n">
        <v>0</v>
      </c>
      <c r="M537" s="30" t="n"/>
      <c r="N537" s="29" t="n">
        <v>0</v>
      </c>
      <c r="O537" s="29" t="n">
        <v>0</v>
      </c>
      <c r="P537" s="2" t="n">
        <v>0</v>
      </c>
      <c r="Q537" s="31" t="n">
        <v>0</v>
      </c>
      <c r="R537" s="32" t="n"/>
      <c r="S537" s="32" t="n">
        <v>0</v>
      </c>
      <c r="T537" s="32" t="n">
        <v>0</v>
      </c>
      <c r="U537" s="31" t="n">
        <v>0</v>
      </c>
      <c r="V537" s="32" t="n">
        <v>0</v>
      </c>
      <c r="W537" s="31" t="n">
        <v>0</v>
      </c>
      <c r="X537" s="31" t="n">
        <v>0</v>
      </c>
      <c r="Y537" s="3" t="n">
        <v>0</v>
      </c>
      <c r="Z537" s="3" t="n">
        <v>0</v>
      </c>
      <c r="AA537" s="32" t="n">
        <v>0</v>
      </c>
      <c r="AB537" s="3" t="n">
        <v>0</v>
      </c>
      <c r="AC537" s="32" t="n">
        <v>0</v>
      </c>
      <c r="AD537" s="3" t="n"/>
      <c r="AE537" s="31" t="n">
        <v>0</v>
      </c>
      <c r="AF537" s="2" t="n">
        <v>0</v>
      </c>
      <c r="AG537" s="2" t="n">
        <v>2</v>
      </c>
      <c r="AH537" s="4" t="n">
        <v>2</v>
      </c>
      <c r="AI537" s="33" t="n">
        <v>0</v>
      </c>
      <c r="AJ537" s="4" t="n">
        <v>0</v>
      </c>
      <c r="AK537" s="34" t="n"/>
      <c r="AL537" s="34" t="n">
        <v>0</v>
      </c>
      <c r="AM537" s="2" t="n">
        <v>0</v>
      </c>
    </row>
    <row r="538">
      <c r="A538">
        <f>HYPERLINK("https://www.walmart.com/ip/14489014458", "14489014458")</f>
        <v/>
      </c>
      <c r="B538">
        <f>HYPERLINK("https://app.optiwise.ai/catalog/itemdetails/13057940", "Tirrinia Womens' Hoodie Blanket Sweatshirt, Oversized Comfortable Fleece Giant Wearable Blankets, Hoodie Blanket for Men, Gift for Her Him, Black")</f>
        <v/>
      </c>
      <c r="C538" t="inlineStr">
        <is>
          <t>-</t>
        </is>
      </c>
      <c r="E538" t="inlineStr">
        <is>
          <t>1TROSH400BK-FS</t>
        </is>
      </c>
      <c r="F538" t="n">
        <v>0</v>
      </c>
      <c r="G538" t="inlineStr">
        <is>
          <t>Clothing</t>
        </is>
      </c>
      <c r="H538" t="inlineStr">
        <is>
          <t>Sweatshirts &amp; Hoodies</t>
        </is>
      </c>
      <c r="I538" t="inlineStr">
        <is>
          <t>Tirrinia</t>
        </is>
      </c>
      <c r="L538" s="29" t="n">
        <v>0</v>
      </c>
      <c r="M538" s="30" t="n"/>
      <c r="N538" s="29" t="n">
        <v>0</v>
      </c>
      <c r="O538" s="29" t="n">
        <v>0</v>
      </c>
      <c r="P538" s="2" t="n">
        <v>0</v>
      </c>
      <c r="Q538" s="31" t="n">
        <v>0</v>
      </c>
      <c r="R538" s="32" t="n"/>
      <c r="S538" s="32" t="n">
        <v>0</v>
      </c>
      <c r="T538" s="32" t="n">
        <v>0</v>
      </c>
      <c r="U538" s="31" t="n">
        <v>0</v>
      </c>
      <c r="V538" s="32" t="n">
        <v>0</v>
      </c>
      <c r="W538" s="31" t="n">
        <v>0</v>
      </c>
      <c r="X538" s="31" t="n">
        <v>0</v>
      </c>
      <c r="Y538" s="3" t="n">
        <v>0</v>
      </c>
      <c r="Z538" s="3" t="n">
        <v>0</v>
      </c>
      <c r="AA538" s="32" t="n">
        <v>0</v>
      </c>
      <c r="AB538" s="3" t="n">
        <v>0</v>
      </c>
      <c r="AC538" s="32" t="n">
        <v>0</v>
      </c>
      <c r="AD538" s="3" t="n"/>
      <c r="AE538" s="31" t="n">
        <v>0</v>
      </c>
      <c r="AF538" s="2" t="n">
        <v>0</v>
      </c>
      <c r="AG538" s="2" t="n">
        <v>1</v>
      </c>
      <c r="AH538" s="4" t="n">
        <v>1</v>
      </c>
      <c r="AI538" s="33" t="n">
        <v>0</v>
      </c>
      <c r="AJ538" s="4" t="n">
        <v>0</v>
      </c>
      <c r="AK538" s="34" t="n"/>
      <c r="AL538" s="34" t="n">
        <v>0</v>
      </c>
      <c r="AM538" s="2" t="n">
        <v>0</v>
      </c>
    </row>
    <row r="539">
      <c r="A539">
        <f>HYPERLINK("https://www.walmart.com/ip/14488764892", "14488764892")</f>
        <v/>
      </c>
      <c r="B539">
        <f>HYPERLINK("https://app.optiwise.ai/catalog/itemdetails/13057939", "Catalonia Cow Print Kid's Oversized Wearable Blanket Hoodie Sweatshirt,  Comfortable Fleece  Pullover for 7-16 yr Teens Youth, Cow Gift for Cow Lovers")</f>
        <v/>
      </c>
      <c r="C539" t="inlineStr">
        <is>
          <t>-</t>
        </is>
      </c>
      <c r="E539" t="inlineStr">
        <is>
          <t>1CTOSH401DMT-FS</t>
        </is>
      </c>
      <c r="F539" t="n">
        <v>0</v>
      </c>
      <c r="G539" t="inlineStr">
        <is>
          <t>Clothing</t>
        </is>
      </c>
      <c r="H539" t="inlineStr">
        <is>
          <t>Sweatshirts &amp; Hoodies</t>
        </is>
      </c>
      <c r="I539" t="inlineStr">
        <is>
          <t>Catalonia</t>
        </is>
      </c>
      <c r="L539" s="29" t="n">
        <v>0</v>
      </c>
      <c r="M539" s="30" t="n"/>
      <c r="N539" s="29" t="n">
        <v>0</v>
      </c>
      <c r="O539" s="29" t="n">
        <v>0</v>
      </c>
      <c r="P539" s="2" t="n">
        <v>0</v>
      </c>
      <c r="Q539" s="31" t="n">
        <v>0</v>
      </c>
      <c r="R539" s="32" t="n"/>
      <c r="S539" s="32" t="n">
        <v>0</v>
      </c>
      <c r="T539" s="32" t="n">
        <v>0</v>
      </c>
      <c r="U539" s="31" t="n">
        <v>0</v>
      </c>
      <c r="V539" s="32" t="n">
        <v>0</v>
      </c>
      <c r="W539" s="31" t="n">
        <v>0</v>
      </c>
      <c r="X539" s="31" t="n">
        <v>0</v>
      </c>
      <c r="Y539" s="3" t="n">
        <v>0</v>
      </c>
      <c r="Z539" s="3" t="n">
        <v>0</v>
      </c>
      <c r="AA539" s="32" t="n">
        <v>0</v>
      </c>
      <c r="AB539" s="3" t="n">
        <v>0</v>
      </c>
      <c r="AC539" s="32" t="n">
        <v>0</v>
      </c>
      <c r="AD539" s="3" t="n"/>
      <c r="AE539" s="31" t="n">
        <v>0</v>
      </c>
      <c r="AF539" s="2" t="n">
        <v>0</v>
      </c>
      <c r="AG539" s="2" t="n">
        <v>2</v>
      </c>
      <c r="AH539" s="4" t="n">
        <v>2</v>
      </c>
      <c r="AI539" s="33" t="n">
        <v>0</v>
      </c>
      <c r="AJ539" s="4" t="n">
        <v>0</v>
      </c>
      <c r="AK539" s="34" t="n"/>
      <c r="AL539" s="34" t="n">
        <v>0</v>
      </c>
      <c r="AM539" s="2" t="n">
        <v>0</v>
      </c>
    </row>
    <row r="540">
      <c r="A540">
        <f>HYPERLINK("https://www.walmart.com/ip/14486513711", "14486513711")</f>
        <v/>
      </c>
      <c r="B540">
        <f>HYPERLINK("https://app.optiwise.ai/catalog/itemdetails/13057938", "Catalonia Women's Hoodie Sweatshirt, Casual Long Sleeves Pullover Sweater with front Pocket, Blanket Hoodie Sweatshirt, Black")</f>
        <v/>
      </c>
      <c r="C540" t="inlineStr">
        <is>
          <t>-</t>
        </is>
      </c>
      <c r="E540" t="inlineStr">
        <is>
          <t>1CTOSH300PWT-FS</t>
        </is>
      </c>
      <c r="F540" t="n">
        <v>0</v>
      </c>
      <c r="G540" t="inlineStr">
        <is>
          <t>Clothing</t>
        </is>
      </c>
      <c r="H540" t="inlineStr">
        <is>
          <t>Sweatshirts &amp; Hoodies</t>
        </is>
      </c>
      <c r="I540" t="inlineStr">
        <is>
          <t>Catalonia</t>
        </is>
      </c>
      <c r="L540" s="29" t="n">
        <v>0</v>
      </c>
      <c r="M540" s="30" t="n"/>
      <c r="N540" s="29" t="n">
        <v>0</v>
      </c>
      <c r="O540" s="29" t="n">
        <v>0</v>
      </c>
      <c r="P540" s="2" t="n">
        <v>0</v>
      </c>
      <c r="Q540" s="31" t="n">
        <v>0</v>
      </c>
      <c r="R540" s="32" t="n"/>
      <c r="S540" s="32" t="n">
        <v>0</v>
      </c>
      <c r="T540" s="32" t="n">
        <v>0</v>
      </c>
      <c r="U540" s="31" t="n">
        <v>0</v>
      </c>
      <c r="V540" s="32" t="n">
        <v>0</v>
      </c>
      <c r="W540" s="31" t="n">
        <v>0</v>
      </c>
      <c r="X540" s="31" t="n">
        <v>0</v>
      </c>
      <c r="Y540" s="3" t="n">
        <v>0</v>
      </c>
      <c r="Z540" s="3" t="n">
        <v>0</v>
      </c>
      <c r="AA540" s="32" t="n">
        <v>0</v>
      </c>
      <c r="AB540" s="3" t="n">
        <v>0</v>
      </c>
      <c r="AC540" s="32" t="n">
        <v>0</v>
      </c>
      <c r="AD540" s="3" t="n"/>
      <c r="AE540" s="31" t="n">
        <v>0</v>
      </c>
      <c r="AF540" s="2" t="n">
        <v>0</v>
      </c>
      <c r="AG540" s="2" t="n">
        <v>2</v>
      </c>
      <c r="AH540" s="4" t="n">
        <v>2</v>
      </c>
      <c r="AI540" s="33" t="n">
        <v>0</v>
      </c>
      <c r="AJ540" s="4" t="n">
        <v>0</v>
      </c>
      <c r="AK540" s="34" t="n"/>
      <c r="AL540" s="34" t="n">
        <v>0</v>
      </c>
      <c r="AM540" s="2" t="n">
        <v>0</v>
      </c>
    </row>
    <row r="541">
      <c r="A541">
        <f>HYPERLINK("https://www.walmart.com/ip/14483052392", "14483052392")</f>
        <v/>
      </c>
      <c r="B541">
        <f>HYPERLINK("https://app.optiwise.ai/catalog/itemdetails/13057936", "Womens Oversized Flannel Blanket Hoodie Sweatshirt, Plush Fleece Lined Lounging Pullover, Christmas Gift for Women (Ash Gray) - Catalonia")</f>
        <v/>
      </c>
      <c r="C541" t="inlineStr">
        <is>
          <t>-</t>
        </is>
      </c>
      <c r="E541" t="inlineStr">
        <is>
          <t>1CTOSH400GYASH-FS</t>
        </is>
      </c>
      <c r="F541" t="n">
        <v>0</v>
      </c>
      <c r="G541" t="inlineStr">
        <is>
          <t>Clothing</t>
        </is>
      </c>
      <c r="H541" t="inlineStr">
        <is>
          <t>Sweatshirts &amp; Hoodies</t>
        </is>
      </c>
      <c r="I541" t="inlineStr">
        <is>
          <t>Catalonia</t>
        </is>
      </c>
      <c r="L541" s="29" t="n">
        <v>0</v>
      </c>
      <c r="M541" s="30" t="n"/>
      <c r="N541" s="29" t="n">
        <v>0</v>
      </c>
      <c r="O541" s="29" t="n">
        <v>0</v>
      </c>
      <c r="P541" s="2" t="n">
        <v>0</v>
      </c>
      <c r="Q541" s="31" t="n">
        <v>0</v>
      </c>
      <c r="R541" s="32" t="n"/>
      <c r="S541" s="32" t="n">
        <v>0</v>
      </c>
      <c r="T541" s="32" t="n">
        <v>0</v>
      </c>
      <c r="U541" s="31" t="n">
        <v>0</v>
      </c>
      <c r="V541" s="32" t="n">
        <v>0</v>
      </c>
      <c r="W541" s="31" t="n">
        <v>0</v>
      </c>
      <c r="X541" s="31" t="n">
        <v>0</v>
      </c>
      <c r="Y541" s="3" t="n">
        <v>0</v>
      </c>
      <c r="Z541" s="3" t="n">
        <v>0</v>
      </c>
      <c r="AA541" s="32" t="n">
        <v>0</v>
      </c>
      <c r="AB541" s="3" t="n">
        <v>0</v>
      </c>
      <c r="AC541" s="32" t="n">
        <v>0</v>
      </c>
      <c r="AD541" s="3" t="n"/>
      <c r="AE541" s="31" t="n">
        <v>0</v>
      </c>
      <c r="AF541" s="2" t="n">
        <v>0</v>
      </c>
      <c r="AG541" s="2" t="n">
        <v>9</v>
      </c>
      <c r="AH541" s="4" t="n">
        <v>9</v>
      </c>
      <c r="AI541" s="33" t="n">
        <v>0</v>
      </c>
      <c r="AJ541" s="4" t="n">
        <v>0</v>
      </c>
      <c r="AK541" s="34" t="n"/>
      <c r="AL541" s="34" t="n">
        <v>0</v>
      </c>
      <c r="AM541" s="2" t="n">
        <v>0</v>
      </c>
    </row>
    <row r="542">
      <c r="A542">
        <f>HYPERLINK("https://www.walmart.com/ip/14476367286", "14476367286")</f>
        <v/>
      </c>
      <c r="B542">
        <f>HYPERLINK("https://app.optiwise.ai/catalog/itemdetails/13057935", "Catalonia Women's Blanket Hoodie Sweatshirt, Cozy Comfortable Fluffy Soft Fleece Lounging Pullover, Warm Fleece Hooded with Pockets Gift,  Ombre Purple")</f>
        <v/>
      </c>
      <c r="C542" t="inlineStr">
        <is>
          <t>-</t>
        </is>
      </c>
      <c r="E542" t="inlineStr">
        <is>
          <t>1CTOSH330PP-FS</t>
        </is>
      </c>
      <c r="F542" t="n">
        <v>0</v>
      </c>
      <c r="G542" t="inlineStr">
        <is>
          <t>Clothing</t>
        </is>
      </c>
      <c r="H542" t="inlineStr">
        <is>
          <t>Sweatshirts &amp; Hoodies</t>
        </is>
      </c>
      <c r="I542" t="inlineStr">
        <is>
          <t>Catalonia</t>
        </is>
      </c>
      <c r="L542" s="29" t="n">
        <v>0</v>
      </c>
      <c r="M542" s="30" t="n"/>
      <c r="N542" s="29" t="n">
        <v>0</v>
      </c>
      <c r="O542" s="29" t="n">
        <v>0</v>
      </c>
      <c r="P542" s="2" t="n">
        <v>0</v>
      </c>
      <c r="Q542" s="31" t="n">
        <v>0</v>
      </c>
      <c r="R542" s="32" t="n"/>
      <c r="S542" s="32" t="n">
        <v>0</v>
      </c>
      <c r="T542" s="32" t="n">
        <v>0</v>
      </c>
      <c r="U542" s="31" t="n">
        <v>0</v>
      </c>
      <c r="V542" s="32" t="n">
        <v>0</v>
      </c>
      <c r="W542" s="31" t="n">
        <v>0</v>
      </c>
      <c r="X542" s="31" t="n">
        <v>0</v>
      </c>
      <c r="Y542" s="3" t="n">
        <v>0</v>
      </c>
      <c r="Z542" s="3" t="n">
        <v>0</v>
      </c>
      <c r="AA542" s="32" t="n">
        <v>0</v>
      </c>
      <c r="AB542" s="3" t="n">
        <v>0</v>
      </c>
      <c r="AC542" s="32" t="n">
        <v>0</v>
      </c>
      <c r="AD542" s="3" t="n"/>
      <c r="AE542" s="31" t="n">
        <v>0</v>
      </c>
      <c r="AF542" s="2" t="n">
        <v>0</v>
      </c>
      <c r="AG542" s="2" t="n">
        <v>4</v>
      </c>
      <c r="AH542" s="4" t="n">
        <v>4</v>
      </c>
      <c r="AI542" s="33" t="n">
        <v>0</v>
      </c>
      <c r="AJ542" s="4" t="n">
        <v>0</v>
      </c>
      <c r="AK542" s="34" t="n"/>
      <c r="AL542" s="34" t="n">
        <v>0</v>
      </c>
      <c r="AM542" s="2" t="n">
        <v>0</v>
      </c>
    </row>
    <row r="543">
      <c r="A543">
        <f>HYPERLINK("https://www.walmart.com/ip/14475608810", "14475608810")</f>
        <v/>
      </c>
      <c r="B543">
        <f>HYPERLINK("https://app.optiwise.ai/catalog/itemdetails/13057934", "Catalonia Blanket Hoodie for Kids, Oversized Purple Wearable Fleece Sweatshirt Pullover for 7-16 yr Teens Youth, Kids Gift Idea")</f>
        <v/>
      </c>
      <c r="C543" t="inlineStr">
        <is>
          <t>-</t>
        </is>
      </c>
      <c r="E543" t="inlineStr">
        <is>
          <t>1CTOSH401PK-FS</t>
        </is>
      </c>
      <c r="F543" t="n">
        <v>0</v>
      </c>
      <c r="G543" t="inlineStr">
        <is>
          <t>Clothing</t>
        </is>
      </c>
      <c r="H543" t="inlineStr">
        <is>
          <t>Sweatshirts &amp; Hoodies</t>
        </is>
      </c>
      <c r="I543" t="inlineStr">
        <is>
          <t>Catalonia</t>
        </is>
      </c>
      <c r="L543" s="29" t="n">
        <v>0</v>
      </c>
      <c r="M543" s="30" t="n"/>
      <c r="N543" s="29" t="n">
        <v>36.9900016784668</v>
      </c>
      <c r="O543" s="29" t="n">
        <v>0</v>
      </c>
      <c r="P543" s="2" t="n">
        <v>0</v>
      </c>
      <c r="Q543" s="31" t="n">
        <v>0</v>
      </c>
      <c r="R543" s="32" t="n"/>
      <c r="S543" s="32" t="n">
        <v>0</v>
      </c>
      <c r="T543" s="32" t="n">
        <v>0</v>
      </c>
      <c r="U543" s="31" t="n">
        <v>0</v>
      </c>
      <c r="V543" s="32" t="n">
        <v>0</v>
      </c>
      <c r="W543" s="31" t="n">
        <v>0</v>
      </c>
      <c r="X543" s="31" t="n">
        <v>0</v>
      </c>
      <c r="Y543" s="3" t="n">
        <v>0</v>
      </c>
      <c r="Z543" s="3" t="n">
        <v>0</v>
      </c>
      <c r="AA543" s="32" t="n">
        <v>0</v>
      </c>
      <c r="AB543" s="3" t="n">
        <v>0</v>
      </c>
      <c r="AC543" s="32" t="n">
        <v>0</v>
      </c>
      <c r="AD543" s="3" t="n"/>
      <c r="AE543" s="31" t="n">
        <v>0</v>
      </c>
      <c r="AF543" s="2" t="n">
        <v>0</v>
      </c>
      <c r="AG543" s="2" t="n">
        <v>2</v>
      </c>
      <c r="AH543" s="4" t="n">
        <v>2</v>
      </c>
      <c r="AI543" s="33" t="n">
        <v>0</v>
      </c>
      <c r="AJ543" s="4" t="n">
        <v>0</v>
      </c>
      <c r="AK543" s="34" t="n"/>
      <c r="AL543" s="34" t="n">
        <v>0</v>
      </c>
      <c r="AM543" s="2" t="n">
        <v>0</v>
      </c>
    </row>
    <row r="544">
      <c r="A544">
        <f>HYPERLINK("https://www.walmart.com/ip/14464804270", "14464804270")</f>
        <v/>
      </c>
      <c r="B544">
        <f>HYPERLINK("https://app.optiwise.ai/catalog/itemdetails/13056819", "PEANUTS Snoopy 100% Cotton Family Matching Pajamas Holiday 2-Piece Sets for Christmas with Woodstock Charlie Brown Linus for Baby (Black Plaid, 12M)")</f>
        <v/>
      </c>
      <c r="C544" t="inlineStr">
        <is>
          <t>-</t>
        </is>
      </c>
      <c r="E544" t="inlineStr">
        <is>
          <t>PEA-PJS-FAMILY-INFANT-BLACKPLAID-12M</t>
        </is>
      </c>
      <c r="F544" t="n">
        <v>0</v>
      </c>
      <c r="G544" t="inlineStr">
        <is>
          <t>Clothing</t>
        </is>
      </c>
      <c r="H544" t="inlineStr">
        <is>
          <t>Pajamas</t>
        </is>
      </c>
      <c r="I544" t="inlineStr">
        <is>
          <t>Peanuts</t>
        </is>
      </c>
      <c r="L544" s="29" t="n">
        <v>0</v>
      </c>
      <c r="M544" s="30" t="n"/>
      <c r="N544" s="29" t="n">
        <v>0</v>
      </c>
      <c r="O544" s="29" t="n">
        <v>0</v>
      </c>
      <c r="P544" s="2" t="n">
        <v>0</v>
      </c>
      <c r="Q544" s="31" t="n">
        <v>0</v>
      </c>
      <c r="R544" s="32" t="n"/>
      <c r="S544" s="32" t="n">
        <v>0</v>
      </c>
      <c r="T544" s="32" t="n">
        <v>0</v>
      </c>
      <c r="U544" s="31" t="n">
        <v>0</v>
      </c>
      <c r="V544" s="32" t="n">
        <v>0</v>
      </c>
      <c r="W544" s="31" t="n">
        <v>0</v>
      </c>
      <c r="X544" s="31" t="n">
        <v>0</v>
      </c>
      <c r="Y544" s="3" t="n">
        <v>0</v>
      </c>
      <c r="Z544" s="3" t="n">
        <v>0</v>
      </c>
      <c r="AA544" s="32" t="n">
        <v>0</v>
      </c>
      <c r="AB544" s="3" t="n">
        <v>0</v>
      </c>
      <c r="AC544" s="32" t="n">
        <v>0</v>
      </c>
      <c r="AD544" s="3" t="n"/>
      <c r="AE544" s="31" t="n">
        <v>0</v>
      </c>
      <c r="AF544" s="2" t="n">
        <v>0</v>
      </c>
      <c r="AG544" s="2" t="n">
        <v>0</v>
      </c>
      <c r="AH544" s="4" t="n">
        <v>0</v>
      </c>
      <c r="AI544" s="33" t="n">
        <v>0</v>
      </c>
      <c r="AJ544" s="4" t="n">
        <v>0</v>
      </c>
      <c r="AK544" s="34" t="n"/>
      <c r="AL544" s="34" t="n">
        <v>0</v>
      </c>
      <c r="AM544" s="2" t="n">
        <v>0</v>
      </c>
    </row>
    <row r="545">
      <c r="A545">
        <f>HYPERLINK("https://www.walmart.com/ip/14143910129", "14143910129")</f>
        <v/>
      </c>
      <c r="B545">
        <f>HYPERLINK("https://app.optiwise.ai/catalog/itemdetails/13022258", "Tirrinia 2 Bottle Wine Tote Carrier, Leakproof, Insulated and Padded Versatile Cooler Bag for Travel, BYOB Restaurant, Wine Tasting, Party, Wine Gifts Bag, Cork")</f>
        <v/>
      </c>
      <c r="C545" t="inlineStr">
        <is>
          <t>-</t>
        </is>
      </c>
      <c r="E545" t="inlineStr">
        <is>
          <t>1TRWB222BR</t>
        </is>
      </c>
      <c r="F545" t="n">
        <v>0</v>
      </c>
      <c r="G545" t="inlineStr">
        <is>
          <t>Home Decor, Kitchen, &amp; Other</t>
        </is>
      </c>
      <c r="H545" t="inlineStr">
        <is>
          <t>Wine Totes, Bags &amp; Backpacks</t>
        </is>
      </c>
      <c r="I545" t="inlineStr">
        <is>
          <t>Tirrinia</t>
        </is>
      </c>
      <c r="L545" s="29" t="n">
        <v>0</v>
      </c>
      <c r="M545" s="30" t="n"/>
      <c r="N545" s="29" t="n">
        <v>0</v>
      </c>
      <c r="O545" s="29" t="n">
        <v>0</v>
      </c>
      <c r="P545" s="2" t="n">
        <v>0</v>
      </c>
      <c r="Q545" s="31" t="n">
        <v>0</v>
      </c>
      <c r="R545" s="32" t="n"/>
      <c r="S545" s="32" t="n">
        <v>0</v>
      </c>
      <c r="T545" s="32" t="n">
        <v>0</v>
      </c>
      <c r="U545" s="31" t="n">
        <v>0</v>
      </c>
      <c r="V545" s="32" t="n">
        <v>0</v>
      </c>
      <c r="W545" s="31" t="n">
        <v>0</v>
      </c>
      <c r="X545" s="31" t="n">
        <v>0</v>
      </c>
      <c r="Y545" s="3" t="n">
        <v>0</v>
      </c>
      <c r="Z545" s="3" t="n">
        <v>0</v>
      </c>
      <c r="AA545" s="32" t="n">
        <v>0</v>
      </c>
      <c r="AB545" s="3" t="n">
        <v>0</v>
      </c>
      <c r="AC545" s="32" t="n">
        <v>0</v>
      </c>
      <c r="AD545" s="3" t="n"/>
      <c r="AE545" s="31" t="n">
        <v>0</v>
      </c>
      <c r="AF545" s="2" t="n">
        <v>0</v>
      </c>
      <c r="AG545" s="2" t="n">
        <v>16</v>
      </c>
      <c r="AH545" s="4" t="n">
        <v>16</v>
      </c>
      <c r="AI545" s="33" t="n">
        <v>0</v>
      </c>
      <c r="AJ545" s="4" t="n">
        <v>0</v>
      </c>
      <c r="AK545" s="34" t="n"/>
      <c r="AL545" s="34" t="n">
        <v>0</v>
      </c>
      <c r="AM545" s="2" t="n">
        <v>0</v>
      </c>
    </row>
    <row r="546">
      <c r="A546">
        <f>HYPERLINK("https://www.walmart.com/ip/14099269232", "14099269232")</f>
        <v/>
      </c>
      <c r="B546">
        <f>HYPERLINK("https://app.optiwise.ai/catalog/itemdetails/13022257", "Tirrinia 2 Bottle Wine Tote Carrier, Leakproof, Insulated and Padded Versatile Cooler Bag for Travel, BYOB Restaurant, Wine Tasting, Party, Wine Gifts Bag, Cork")</f>
        <v/>
      </c>
      <c r="C546" t="inlineStr">
        <is>
          <t>-</t>
        </is>
      </c>
      <c r="E546" t="inlineStr">
        <is>
          <t>1TRWB220BR</t>
        </is>
      </c>
      <c r="F546" t="n">
        <v>0</v>
      </c>
      <c r="G546" t="inlineStr">
        <is>
          <t>Home Decor, Kitchen, &amp; Other</t>
        </is>
      </c>
      <c r="H546" t="inlineStr">
        <is>
          <t>Wine Totes, Bags &amp; Backpacks</t>
        </is>
      </c>
      <c r="I546" t="inlineStr">
        <is>
          <t>Tirrinia</t>
        </is>
      </c>
      <c r="L546" s="29" t="n">
        <v>0</v>
      </c>
      <c r="M546" s="30" t="n"/>
      <c r="N546" s="29" t="n">
        <v>0</v>
      </c>
      <c r="O546" s="29" t="n">
        <v>0</v>
      </c>
      <c r="P546" s="2" t="n">
        <v>0</v>
      </c>
      <c r="Q546" s="31" t="n">
        <v>0</v>
      </c>
      <c r="R546" s="32" t="n"/>
      <c r="S546" s="32" t="n">
        <v>0</v>
      </c>
      <c r="T546" s="32" t="n">
        <v>0</v>
      </c>
      <c r="U546" s="31" t="n">
        <v>0</v>
      </c>
      <c r="V546" s="32" t="n">
        <v>0</v>
      </c>
      <c r="W546" s="31" t="n">
        <v>0</v>
      </c>
      <c r="X546" s="31" t="n">
        <v>0</v>
      </c>
      <c r="Y546" s="3" t="n">
        <v>0</v>
      </c>
      <c r="Z546" s="3" t="n">
        <v>0</v>
      </c>
      <c r="AA546" s="32" t="n">
        <v>0</v>
      </c>
      <c r="AB546" s="3" t="n">
        <v>0</v>
      </c>
      <c r="AC546" s="32" t="n">
        <v>0</v>
      </c>
      <c r="AD546" s="3" t="n"/>
      <c r="AE546" s="31" t="n">
        <v>0</v>
      </c>
      <c r="AF546" s="2" t="n">
        <v>0</v>
      </c>
      <c r="AG546" s="2" t="n">
        <v>17</v>
      </c>
      <c r="AH546" s="4" t="n">
        <v>17</v>
      </c>
      <c r="AI546" s="33" t="n">
        <v>0</v>
      </c>
      <c r="AJ546" s="4" t="n">
        <v>0</v>
      </c>
      <c r="AK546" s="34" t="n"/>
      <c r="AL546" s="34" t="n">
        <v>0</v>
      </c>
      <c r="AM546" s="2" t="n">
        <v>0</v>
      </c>
    </row>
    <row r="547">
      <c r="A547">
        <f>HYPERLINK("https://www.walmart.com/ip/14058965608", "14058965608")</f>
        <v/>
      </c>
      <c r="B547">
        <f>HYPERLINK("https://app.optiwise.ai/catalog/itemdetails/13019839", "Tirrinia Beach Wine Tote Bag, Wine Cooler Bag Leakproof Insulated Purse Carrier with Spout Hidden Compartments, Holds 2 bottles of Wine for Travel, BYOB Restaurant, Party, Dinner")</f>
        <v/>
      </c>
      <c r="C547" t="inlineStr">
        <is>
          <t>-</t>
        </is>
      </c>
      <c r="E547" t="inlineStr">
        <is>
          <t>1TRWT100RAINBOW</t>
        </is>
      </c>
      <c r="F547" t="n">
        <v>0</v>
      </c>
      <c r="G547" t="inlineStr">
        <is>
          <t>Home Decor, Kitchen, &amp; Other</t>
        </is>
      </c>
      <c r="H547" t="inlineStr">
        <is>
          <t>Wine Totes, Bags &amp; Backpacks</t>
        </is>
      </c>
      <c r="I547" t="inlineStr">
        <is>
          <t>Tirrinia</t>
        </is>
      </c>
      <c r="L547" s="29" t="n">
        <v>0</v>
      </c>
      <c r="M547" s="30" t="n"/>
      <c r="N547" s="29" t="n">
        <v>0</v>
      </c>
      <c r="O547" s="29" t="n">
        <v>0</v>
      </c>
      <c r="P547" s="2" t="n">
        <v>0</v>
      </c>
      <c r="Q547" s="31" t="n">
        <v>0</v>
      </c>
      <c r="R547" s="32" t="n"/>
      <c r="S547" s="32" t="n">
        <v>0</v>
      </c>
      <c r="T547" s="32" t="n">
        <v>0</v>
      </c>
      <c r="U547" s="31" t="n">
        <v>0</v>
      </c>
      <c r="V547" s="32" t="n">
        <v>0</v>
      </c>
      <c r="W547" s="31" t="n">
        <v>0</v>
      </c>
      <c r="X547" s="31" t="n">
        <v>0</v>
      </c>
      <c r="Y547" s="3" t="n">
        <v>0</v>
      </c>
      <c r="Z547" s="3" t="n">
        <v>0</v>
      </c>
      <c r="AA547" s="32" t="n">
        <v>0</v>
      </c>
      <c r="AB547" s="3" t="n">
        <v>0</v>
      </c>
      <c r="AC547" s="32" t="n">
        <v>0</v>
      </c>
      <c r="AD547" s="3" t="n"/>
      <c r="AE547" s="31" t="n">
        <v>0</v>
      </c>
      <c r="AF547" s="2" t="n">
        <v>0</v>
      </c>
      <c r="AG547" s="2" t="n">
        <v>23</v>
      </c>
      <c r="AH547" s="4" t="n">
        <v>23</v>
      </c>
      <c r="AI547" s="33" t="n">
        <v>0</v>
      </c>
      <c r="AJ547" s="4" t="n">
        <v>0</v>
      </c>
      <c r="AK547" s="34" t="n"/>
      <c r="AL547" s="34" t="n">
        <v>0</v>
      </c>
      <c r="AM547" s="2" t="n">
        <v>0</v>
      </c>
    </row>
    <row r="548">
      <c r="A548">
        <f>HYPERLINK("https://www.walmart.com/ip/13885267327", "13885267327")</f>
        <v/>
      </c>
      <c r="B548">
        <f>HYPERLINK("https://app.optiwise.ai/catalog/itemdetails/13012972", "Tirrinia Wearable Heated Blanket for Adults Women Sherpa Christmas Thanksgiving Gift,Ultra Soft Comfy Warm Plush Full Body Throw with Sleeves for Reading Wrap, TV Blanket, Robe Cover")</f>
        <v/>
      </c>
      <c r="C548" t="inlineStr">
        <is>
          <t>-</t>
        </is>
      </c>
      <c r="E548" t="inlineStr">
        <is>
          <t>1TRSNH110CA</t>
        </is>
      </c>
      <c r="F548" t="n">
        <v>0</v>
      </c>
      <c r="G548" t="inlineStr">
        <is>
          <t>Bedding</t>
        </is>
      </c>
      <c r="H548" t="inlineStr">
        <is>
          <t>Throws</t>
        </is>
      </c>
      <c r="I548" t="inlineStr">
        <is>
          <t>Tirrina</t>
        </is>
      </c>
      <c r="L548" s="29" t="n">
        <v>0</v>
      </c>
      <c r="M548" s="30" t="n"/>
      <c r="N548" s="29" t="n">
        <v>179.9799957275391</v>
      </c>
      <c r="O548" s="29" t="n">
        <v>0</v>
      </c>
      <c r="P548" s="2" t="n">
        <v>0</v>
      </c>
      <c r="Q548" s="31" t="n">
        <v>0</v>
      </c>
      <c r="R548" s="32" t="n"/>
      <c r="S548" s="32" t="n">
        <v>0</v>
      </c>
      <c r="T548" s="32" t="n">
        <v>0</v>
      </c>
      <c r="U548" s="31" t="n">
        <v>0</v>
      </c>
      <c r="V548" s="32" t="n">
        <v>0</v>
      </c>
      <c r="W548" s="31" t="n">
        <v>0</v>
      </c>
      <c r="X548" s="31" t="n">
        <v>0</v>
      </c>
      <c r="Y548" s="3" t="n">
        <v>0</v>
      </c>
      <c r="Z548" s="3" t="n">
        <v>0</v>
      </c>
      <c r="AA548" s="32" t="n">
        <v>0</v>
      </c>
      <c r="AB548" s="3" t="n">
        <v>0</v>
      </c>
      <c r="AC548" s="32" t="n">
        <v>0</v>
      </c>
      <c r="AD548" s="3" t="n"/>
      <c r="AE548" s="31" t="n">
        <v>0</v>
      </c>
      <c r="AF548" s="2" t="n">
        <v>8</v>
      </c>
      <c r="AG548" s="2" t="n">
        <v>20</v>
      </c>
      <c r="AH548" s="4" t="n">
        <v>20</v>
      </c>
      <c r="AI548" s="33" t="n">
        <v>0</v>
      </c>
      <c r="AJ548" s="4" t="n">
        <v>0</v>
      </c>
      <c r="AK548" s="34" t="n"/>
      <c r="AL548" s="34" t="n">
        <v>0</v>
      </c>
      <c r="AM548" s="2" t="n">
        <v>0</v>
      </c>
    </row>
    <row r="549">
      <c r="A549">
        <f>HYPERLINK("https://www.walmart.com/ip/13890368369", "13890368369")</f>
        <v/>
      </c>
      <c r="B549">
        <f>HYPERLINK("https://app.optiwise.ai/catalog/itemdetails/13012960", "Tirrinia Wearable Heated Blanket for Adults Women Sherpa Christmas Thanksgiving Gift,Ultra Soft Comfy Warm Plush Full Body Throw with Sleeves for Reading Wrap, TV Blanket, Robe Cover")</f>
        <v/>
      </c>
      <c r="C549" t="inlineStr">
        <is>
          <t>-</t>
        </is>
      </c>
      <c r="E549" t="inlineStr">
        <is>
          <t>1TRSNH110BL</t>
        </is>
      </c>
      <c r="F549" t="n">
        <v>0</v>
      </c>
      <c r="G549" t="inlineStr">
        <is>
          <t>Bedding</t>
        </is>
      </c>
      <c r="H549" t="inlineStr">
        <is>
          <t>Throws</t>
        </is>
      </c>
      <c r="I549" t="inlineStr">
        <is>
          <t>Tirrina</t>
        </is>
      </c>
      <c r="L549" s="29" t="n">
        <v>0</v>
      </c>
      <c r="M549" s="30" t="n"/>
      <c r="N549" s="29" t="n">
        <v>0</v>
      </c>
      <c r="O549" s="29" t="n">
        <v>0</v>
      </c>
      <c r="P549" s="2" t="n">
        <v>0</v>
      </c>
      <c r="Q549" s="31" t="n">
        <v>0</v>
      </c>
      <c r="R549" s="32" t="n"/>
      <c r="S549" s="32" t="n">
        <v>0</v>
      </c>
      <c r="T549" s="32" t="n">
        <v>0</v>
      </c>
      <c r="U549" s="31" t="n">
        <v>0</v>
      </c>
      <c r="V549" s="32" t="n">
        <v>0</v>
      </c>
      <c r="W549" s="31" t="n">
        <v>0</v>
      </c>
      <c r="X549" s="31" t="n">
        <v>0</v>
      </c>
      <c r="Y549" s="3" t="n">
        <v>0</v>
      </c>
      <c r="Z549" s="3" t="n">
        <v>0</v>
      </c>
      <c r="AA549" s="32" t="n">
        <v>0</v>
      </c>
      <c r="AB549" s="3" t="n">
        <v>0</v>
      </c>
      <c r="AC549" s="32" t="n">
        <v>0</v>
      </c>
      <c r="AD549" s="3" t="n"/>
      <c r="AE549" s="31" t="n">
        <v>0</v>
      </c>
      <c r="AF549" s="2" t="n">
        <v>0</v>
      </c>
      <c r="AG549" s="2" t="n">
        <v>5</v>
      </c>
      <c r="AH549" s="4" t="n">
        <v>5</v>
      </c>
      <c r="AI549" s="33" t="n">
        <v>0</v>
      </c>
      <c r="AJ549" s="4" t="n">
        <v>0</v>
      </c>
      <c r="AK549" s="34" t="n"/>
      <c r="AL549" s="34" t="n">
        <v>0</v>
      </c>
      <c r="AM549" s="2" t="n">
        <v>0</v>
      </c>
    </row>
    <row r="550">
      <c r="A550">
        <f>HYPERLINK("https://www.walmart.com/ip/13886707079", "13886707079")</f>
        <v/>
      </c>
      <c r="B550">
        <f>HYPERLINK("https://app.optiwise.ai/catalog/itemdetails/13012138", "Tirrinia Wearable Heated Blanket for Adults Women Sherpa Christmas Thanksgiving Gift,Ultra Soft Comfy Warm Plush Full Body Throw with Sleeves for Reading Wrap, TV Blanket, Robe Cover")</f>
        <v/>
      </c>
      <c r="C550" t="inlineStr">
        <is>
          <t>-</t>
        </is>
      </c>
      <c r="E550" t="inlineStr">
        <is>
          <t>1TRSNH110GY</t>
        </is>
      </c>
      <c r="F550" t="n">
        <v>0</v>
      </c>
      <c r="G550" t="inlineStr">
        <is>
          <t>Bedding</t>
        </is>
      </c>
      <c r="H550" t="inlineStr">
        <is>
          <t>Throws</t>
        </is>
      </c>
      <c r="I550" t="inlineStr">
        <is>
          <t>Tirrina</t>
        </is>
      </c>
      <c r="L550" s="29" t="n">
        <v>0</v>
      </c>
      <c r="M550" s="30" t="n"/>
      <c r="N550" s="29" t="n">
        <v>0</v>
      </c>
      <c r="O550" s="29" t="n">
        <v>0</v>
      </c>
      <c r="P550" s="2" t="n">
        <v>0</v>
      </c>
      <c r="Q550" s="31" t="n">
        <v>0</v>
      </c>
      <c r="R550" s="32" t="n"/>
      <c r="S550" s="32" t="n">
        <v>0</v>
      </c>
      <c r="T550" s="32" t="n">
        <v>0.08400000000000001</v>
      </c>
      <c r="U550" s="31" t="n">
        <v>0</v>
      </c>
      <c r="V550" s="32" t="n">
        <v>0</v>
      </c>
      <c r="W550" s="31" t="n">
        <v>0</v>
      </c>
      <c r="X550" s="31" t="n">
        <v>0</v>
      </c>
      <c r="Y550" s="3" t="n">
        <v>0</v>
      </c>
      <c r="Z550" s="3" t="n">
        <v>0</v>
      </c>
      <c r="AA550" s="32" t="n">
        <v>0</v>
      </c>
      <c r="AB550" s="3" t="n">
        <v>0</v>
      </c>
      <c r="AC550" s="32" t="n">
        <v>0</v>
      </c>
      <c r="AD550" s="3" t="n"/>
      <c r="AE550" s="31" t="n">
        <v>0</v>
      </c>
      <c r="AF550" s="2" t="n">
        <v>0</v>
      </c>
      <c r="AG550" s="2" t="n">
        <v>11</v>
      </c>
      <c r="AH550" s="4" t="n">
        <v>11</v>
      </c>
      <c r="AI550" s="33" t="n">
        <v>0</v>
      </c>
      <c r="AJ550" s="4" t="n">
        <v>0</v>
      </c>
      <c r="AK550" s="34" t="n"/>
      <c r="AL550" s="34" t="n">
        <v>0</v>
      </c>
      <c r="AM550" s="2" t="n">
        <v>0</v>
      </c>
    </row>
    <row r="551">
      <c r="A551">
        <f>HYPERLINK("https://www.walmart.com/ip/1419593821", "1419593821")</f>
        <v/>
      </c>
      <c r="B551">
        <f>HYPERLINK("https://app.optiwise.ai/catalog/itemdetails/13012132", "Every Day is Christmas Glass Blown Ornaments 2022 Cute Hand Made Figurines Tree Decoration - 12.7cm glass wrench and vice and hammer and screwdriver ornament")</f>
        <v/>
      </c>
      <c r="C551" t="inlineStr">
        <is>
          <t>-</t>
        </is>
      </c>
      <c r="E551" t="inlineStr">
        <is>
          <t>EDC-FIGURINE-SCHOOLBUS</t>
        </is>
      </c>
      <c r="F551" t="n">
        <v>0</v>
      </c>
      <c r="G551" t="inlineStr">
        <is>
          <t>Decorations &amp; Favors</t>
        </is>
      </c>
      <c r="H551" t="inlineStr">
        <is>
          <t>Ornaments</t>
        </is>
      </c>
      <c r="I551" t="inlineStr">
        <is>
          <t>Every Day is Christmas</t>
        </is>
      </c>
      <c r="L551" s="29" t="n">
        <v>0</v>
      </c>
      <c r="M551" s="30" t="n"/>
      <c r="N551" s="29" t="n">
        <v>0</v>
      </c>
      <c r="O551" s="29" t="n">
        <v>0</v>
      </c>
      <c r="P551" s="2" t="n">
        <v>0</v>
      </c>
      <c r="Q551" s="31" t="n">
        <v>0</v>
      </c>
      <c r="R551" s="32" t="n"/>
      <c r="S551" s="32" t="n">
        <v>0</v>
      </c>
      <c r="T551" s="32" t="n">
        <v>0</v>
      </c>
      <c r="U551" s="31" t="n">
        <v>0</v>
      </c>
      <c r="V551" s="32" t="n">
        <v>0</v>
      </c>
      <c r="W551" s="31" t="n">
        <v>0</v>
      </c>
      <c r="X551" s="31" t="n">
        <v>0</v>
      </c>
      <c r="Y551" s="3" t="n">
        <v>0</v>
      </c>
      <c r="Z551" s="3" t="n">
        <v>0</v>
      </c>
      <c r="AA551" s="32" t="n">
        <v>0</v>
      </c>
      <c r="AB551" s="3" t="n">
        <v>0</v>
      </c>
      <c r="AC551" s="32" t="n">
        <v>0</v>
      </c>
      <c r="AD551" s="3" t="n"/>
      <c r="AE551" s="31" t="n">
        <v>0</v>
      </c>
      <c r="AF551" s="2" t="n">
        <v>0</v>
      </c>
      <c r="AG551" s="2" t="n">
        <v>8</v>
      </c>
      <c r="AH551" s="4" t="n">
        <v>8</v>
      </c>
      <c r="AI551" s="33" t="n">
        <v>0</v>
      </c>
      <c r="AJ551" s="4" t="n">
        <v>0</v>
      </c>
      <c r="AK551" s="34" t="n"/>
      <c r="AL551" s="34" t="n">
        <v>0</v>
      </c>
      <c r="AM551" s="2" t="n">
        <v>0</v>
      </c>
    </row>
    <row r="552">
      <c r="A552">
        <f>HYPERLINK("https://www.walmart.com/ip/1264144525", "1264144525")</f>
        <v/>
      </c>
      <c r="B552">
        <f>HYPERLINK("https://app.optiwise.ai/catalog/itemdetails/13012115", "Every Day is Christmas Glass Blown Ornaments 2021 Cute Hand Made Figurines Tree Decoration, Ski Santa")</f>
        <v/>
      </c>
      <c r="C552" t="inlineStr">
        <is>
          <t>-</t>
        </is>
      </c>
      <c r="E552" t="inlineStr">
        <is>
          <t>EDC-FIGURINE-SPACE</t>
        </is>
      </c>
      <c r="F552" t="n">
        <v>0</v>
      </c>
      <c r="G552" t="inlineStr">
        <is>
          <t>Decorations &amp; Favors</t>
        </is>
      </c>
      <c r="H552" t="inlineStr">
        <is>
          <t>Ornaments</t>
        </is>
      </c>
      <c r="I552" t="inlineStr">
        <is>
          <t>Every Day is Christmas</t>
        </is>
      </c>
      <c r="L552" s="29" t="n">
        <v>0</v>
      </c>
      <c r="M552" s="30" t="n"/>
      <c r="N552" s="29" t="n">
        <v>0</v>
      </c>
      <c r="O552" s="29" t="n">
        <v>0</v>
      </c>
      <c r="P552" s="2" t="n">
        <v>0</v>
      </c>
      <c r="Q552" s="31" t="n">
        <v>0</v>
      </c>
      <c r="R552" s="32" t="n"/>
      <c r="S552" s="32" t="n">
        <v>0</v>
      </c>
      <c r="T552" s="32" t="n">
        <v>0</v>
      </c>
      <c r="U552" s="31" t="n">
        <v>0</v>
      </c>
      <c r="V552" s="32" t="n">
        <v>0</v>
      </c>
      <c r="W552" s="31" t="n">
        <v>0</v>
      </c>
      <c r="X552" s="31" t="n">
        <v>0</v>
      </c>
      <c r="Y552" s="3" t="n">
        <v>0</v>
      </c>
      <c r="Z552" s="3" t="n">
        <v>0</v>
      </c>
      <c r="AA552" s="32" t="n">
        <v>0</v>
      </c>
      <c r="AB552" s="3" t="n">
        <v>0</v>
      </c>
      <c r="AC552" s="32" t="n">
        <v>0</v>
      </c>
      <c r="AD552" s="3" t="n"/>
      <c r="AE552" s="31" t="n">
        <v>0</v>
      </c>
      <c r="AF552" s="2" t="n">
        <v>0</v>
      </c>
      <c r="AG552" s="2" t="n">
        <v>13</v>
      </c>
      <c r="AH552" s="4" t="n">
        <v>13</v>
      </c>
      <c r="AI552" s="33" t="n">
        <v>0</v>
      </c>
      <c r="AJ552" s="4" t="n">
        <v>0</v>
      </c>
      <c r="AK552" s="34" t="n"/>
      <c r="AL552" s="34" t="n">
        <v>0</v>
      </c>
      <c r="AM552" s="2" t="n">
        <v>0</v>
      </c>
    </row>
    <row r="553">
      <c r="A553">
        <f>HYPERLINK("https://www.walmart.com/ip/13283657135", "13283657135")</f>
        <v/>
      </c>
      <c r="B553">
        <f>HYPERLINK("https://app.optiwise.ai/catalog/itemdetails/12910885", "Tirrina Wine Opener Set  Corkscrew Opener Kit Seahorse Knife, Wine Stopper, Drip Stopper Ring, Decanter, Tin Knife in Novelty Champagne Bottle-Shaped  for Party Wedding Gift, Black")</f>
        <v/>
      </c>
      <c r="C553" t="inlineStr">
        <is>
          <t>-</t>
        </is>
      </c>
      <c r="E553" t="inlineStr">
        <is>
          <t>1TRWO503GDBK</t>
        </is>
      </c>
      <c r="F553" t="n">
        <v>0</v>
      </c>
      <c r="G553" t="inlineStr">
        <is>
          <t>Home Decor, Kitchen, &amp; Other</t>
        </is>
      </c>
      <c r="H553" t="inlineStr">
        <is>
          <t>Barware Sets</t>
        </is>
      </c>
      <c r="I553" t="inlineStr">
        <is>
          <t>Tirrinia</t>
        </is>
      </c>
      <c r="L553" s="29" t="n">
        <v>0</v>
      </c>
      <c r="M553" s="30" t="n"/>
      <c r="N553" s="29" t="n">
        <v>0</v>
      </c>
      <c r="O553" s="29" t="n">
        <v>0</v>
      </c>
      <c r="P553" s="2" t="n">
        <v>0</v>
      </c>
      <c r="Q553" s="31" t="n">
        <v>0</v>
      </c>
      <c r="R553" s="32" t="n"/>
      <c r="S553" s="32" t="n">
        <v>0</v>
      </c>
      <c r="T553" s="32" t="n">
        <v>0</v>
      </c>
      <c r="U553" s="31" t="n">
        <v>0</v>
      </c>
      <c r="V553" s="32" t="n">
        <v>0</v>
      </c>
      <c r="W553" s="31" t="n">
        <v>0</v>
      </c>
      <c r="X553" s="31" t="n">
        <v>0</v>
      </c>
      <c r="Y553" s="3" t="n">
        <v>0</v>
      </c>
      <c r="Z553" s="3" t="n">
        <v>0</v>
      </c>
      <c r="AA553" s="32" t="n">
        <v>0</v>
      </c>
      <c r="AB553" s="3" t="n">
        <v>0</v>
      </c>
      <c r="AC553" s="32" t="n">
        <v>0</v>
      </c>
      <c r="AD553" s="3" t="n"/>
      <c r="AE553" s="31" t="n">
        <v>0</v>
      </c>
      <c r="AF553" s="2" t="n">
        <v>0</v>
      </c>
      <c r="AG553" s="2" t="n">
        <v>24</v>
      </c>
      <c r="AH553" s="4" t="n">
        <v>24</v>
      </c>
      <c r="AI553" s="33" t="n">
        <v>0</v>
      </c>
      <c r="AJ553" s="4" t="n">
        <v>0</v>
      </c>
      <c r="AK553" s="34" t="n"/>
      <c r="AL553" s="34" t="n">
        <v>0</v>
      </c>
      <c r="AM553" s="2" t="n">
        <v>0</v>
      </c>
    </row>
    <row r="554">
      <c r="A554">
        <f>HYPERLINK("https://www.walmart.com/ip/13218868784", "13218868784")</f>
        <v/>
      </c>
      <c r="B554">
        <f>HYPERLINK("https://app.optiwise.ai/catalog/itemdetails/12909179", "Wrangler Slim Genuine Leather AirTag Wallet for Men - Bifold RFID Blocking Design with Hidden AirTag Holder")</f>
        <v/>
      </c>
      <c r="C554" t="inlineStr">
        <is>
          <t>-</t>
        </is>
      </c>
      <c r="E554" t="inlineStr">
        <is>
          <t>WR-WA13705BLKNS</t>
        </is>
      </c>
      <c r="F554" t="n">
        <v>0</v>
      </c>
      <c r="G554" t="inlineStr">
        <is>
          <t>Cases &amp; Bags</t>
        </is>
      </c>
      <c r="H554" t="inlineStr">
        <is>
          <t>Wallets</t>
        </is>
      </c>
      <c r="I554" t="inlineStr">
        <is>
          <t>Wrangler</t>
        </is>
      </c>
      <c r="L554" s="29" t="n">
        <v>0</v>
      </c>
      <c r="M554" s="30" t="n"/>
      <c r="N554" s="29" t="n">
        <v>0</v>
      </c>
      <c r="O554" s="29" t="n">
        <v>0</v>
      </c>
      <c r="P554" s="2" t="n">
        <v>0</v>
      </c>
      <c r="Q554" s="31" t="n">
        <v>0.44</v>
      </c>
      <c r="R554" s="32" t="n">
        <v>0.0001</v>
      </c>
      <c r="S554" s="32" t="n">
        <v>0</v>
      </c>
      <c r="T554" s="32" t="n">
        <v>0</v>
      </c>
      <c r="U554" s="31" t="n">
        <v>0</v>
      </c>
      <c r="V554" s="32" t="n">
        <v>0</v>
      </c>
      <c r="W554" s="31" t="n">
        <v>0</v>
      </c>
      <c r="X554" s="31" t="n">
        <v>0</v>
      </c>
      <c r="Y554" s="3" t="n">
        <v>444</v>
      </c>
      <c r="Z554" s="3" t="n">
        <v>1</v>
      </c>
      <c r="AA554" s="32" t="n">
        <v>0.0023</v>
      </c>
      <c r="AB554" s="3" t="n">
        <v>0</v>
      </c>
      <c r="AC554" s="32" t="n">
        <v>0</v>
      </c>
      <c r="AD554" s="3" t="inlineStr">
        <is>
          <t>Wallet Campaign</t>
        </is>
      </c>
      <c r="AE554" s="31" t="n">
        <v>0.44</v>
      </c>
      <c r="AF554" s="2" t="n">
        <v>0</v>
      </c>
      <c r="AG554" s="2" t="n">
        <v>14</v>
      </c>
      <c r="AH554" s="4" t="n">
        <v>13</v>
      </c>
      <c r="AI554" s="33" t="n">
        <v>0</v>
      </c>
      <c r="AJ554" s="4" t="n">
        <v>0</v>
      </c>
      <c r="AK554" s="34" t="n"/>
      <c r="AL554" s="34" t="n">
        <v>0</v>
      </c>
      <c r="AM554" s="2" t="n">
        <v>0</v>
      </c>
    </row>
    <row r="555">
      <c r="A555">
        <f>HYPERLINK("https://www.walmart.com/ip/13234570365", "13234570365")</f>
        <v/>
      </c>
      <c r="B555">
        <f>HYPERLINK("https://app.optiwise.ai/catalog/itemdetails/12909176", "Wrangler Slim Genuine Leather AirTag Wallet for Men - Bifold RFID Blocking Design with Hidden AirTag Holder")</f>
        <v/>
      </c>
      <c r="C555" t="inlineStr">
        <is>
          <t>-</t>
        </is>
      </c>
      <c r="E555" t="inlineStr">
        <is>
          <t>WR-WA49101BLKOS</t>
        </is>
      </c>
      <c r="F555" t="n">
        <v>0</v>
      </c>
      <c r="G555" t="inlineStr">
        <is>
          <t>Cases &amp; Bags</t>
        </is>
      </c>
      <c r="H555" t="inlineStr">
        <is>
          <t>Wallets</t>
        </is>
      </c>
      <c r="I555" t="inlineStr">
        <is>
          <t>Wrangler</t>
        </is>
      </c>
      <c r="L555" s="29" t="n">
        <v>0</v>
      </c>
      <c r="M555" s="30" t="n"/>
      <c r="N555" s="29" t="n">
        <v>0</v>
      </c>
      <c r="O555" s="29" t="n">
        <v>0</v>
      </c>
      <c r="P555" s="2" t="n">
        <v>0</v>
      </c>
      <c r="Q555" s="31" t="n">
        <v>0</v>
      </c>
      <c r="R555" s="32" t="n"/>
      <c r="S555" s="32" t="n">
        <v>0</v>
      </c>
      <c r="T555" s="32" t="n">
        <v>0.546</v>
      </c>
      <c r="U555" s="31" t="n">
        <v>0</v>
      </c>
      <c r="V555" s="32" t="n">
        <v>0</v>
      </c>
      <c r="W555" s="31" t="n">
        <v>0</v>
      </c>
      <c r="X555" s="31" t="n">
        <v>0</v>
      </c>
      <c r="Y555" s="3" t="n">
        <v>0</v>
      </c>
      <c r="Z555" s="3" t="n">
        <v>0</v>
      </c>
      <c r="AA555" s="32" t="n">
        <v>0</v>
      </c>
      <c r="AB555" s="3" t="n">
        <v>0</v>
      </c>
      <c r="AC555" s="32" t="n">
        <v>0</v>
      </c>
      <c r="AD555" s="3" t="n"/>
      <c r="AE555" s="31" t="n">
        <v>0</v>
      </c>
      <c r="AF555" s="2" t="n">
        <v>0</v>
      </c>
      <c r="AG555" s="2" t="n">
        <v>21</v>
      </c>
      <c r="AH555" s="4" t="n">
        <v>21</v>
      </c>
      <c r="AI555" s="33" t="n">
        <v>0</v>
      </c>
      <c r="AJ555" s="4" t="n">
        <v>0</v>
      </c>
      <c r="AK555" s="34" t="n"/>
      <c r="AL555" s="34" t="n">
        <v>0</v>
      </c>
      <c r="AM555" s="2" t="n">
        <v>0</v>
      </c>
    </row>
    <row r="556">
      <c r="A556">
        <f>HYPERLINK("https://www.walmart.com/ip/13120069162", "13120069162")</f>
        <v/>
      </c>
      <c r="B556">
        <f>HYPERLINK("https://app.optiwise.ai/catalog/itemdetails/12908369", "Wrangler Slim Genuine Leather AirTag Wallet for Men - Bifold RFID Blocking Design with Hidden AirTag Holder")</f>
        <v/>
      </c>
      <c r="C556" t="inlineStr">
        <is>
          <t>-</t>
        </is>
      </c>
      <c r="E556" t="inlineStr">
        <is>
          <t>WR-WA49101DKBOS</t>
        </is>
      </c>
      <c r="F556" t="n">
        <v>0</v>
      </c>
      <c r="G556" t="inlineStr">
        <is>
          <t>Cases &amp; Bags</t>
        </is>
      </c>
      <c r="H556" t="inlineStr">
        <is>
          <t>Wallets</t>
        </is>
      </c>
      <c r="I556" t="inlineStr">
        <is>
          <t>Wrangler</t>
        </is>
      </c>
      <c r="L556" s="29" t="n">
        <v>0</v>
      </c>
      <c r="M556" s="30" t="n"/>
      <c r="N556" s="29" t="n">
        <v>0</v>
      </c>
      <c r="O556" s="29" t="n">
        <v>0</v>
      </c>
      <c r="P556" s="2" t="n">
        <v>0</v>
      </c>
      <c r="Q556" s="31" t="n">
        <v>0</v>
      </c>
      <c r="R556" s="32" t="n"/>
      <c r="S556" s="32" t="n">
        <v>0</v>
      </c>
      <c r="T556" s="32" t="n">
        <v>0</v>
      </c>
      <c r="U556" s="31" t="n">
        <v>0</v>
      </c>
      <c r="V556" s="32" t="n">
        <v>0</v>
      </c>
      <c r="W556" s="31" t="n">
        <v>0</v>
      </c>
      <c r="X556" s="31" t="n">
        <v>0</v>
      </c>
      <c r="Y556" s="3" t="n">
        <v>0</v>
      </c>
      <c r="Z556" s="3" t="n">
        <v>0</v>
      </c>
      <c r="AA556" s="32" t="n">
        <v>0</v>
      </c>
      <c r="AB556" s="3" t="n">
        <v>0</v>
      </c>
      <c r="AC556" s="32" t="n">
        <v>0</v>
      </c>
      <c r="AD556" s="3" t="n"/>
      <c r="AE556" s="31" t="n">
        <v>0</v>
      </c>
      <c r="AF556" s="2" t="n">
        <v>0</v>
      </c>
      <c r="AG556" s="2" t="n">
        <v>22</v>
      </c>
      <c r="AH556" s="4" t="n">
        <v>22</v>
      </c>
      <c r="AI556" s="33" t="n">
        <v>0</v>
      </c>
      <c r="AJ556" s="4" t="n">
        <v>0</v>
      </c>
      <c r="AK556" s="34" t="n"/>
      <c r="AL556" s="34" t="n">
        <v>0</v>
      </c>
      <c r="AM556" s="2" t="n">
        <v>0</v>
      </c>
    </row>
    <row r="557">
      <c r="A557">
        <f>HYPERLINK("https://www.walmart.com/ip/1737269416", "1737269416")</f>
        <v/>
      </c>
      <c r="B557">
        <f>HYPERLINK("https://app.optiwise.ai/catalog/itemdetails/7417719", "Tirrinia Bamboo Picnic Table with Carrying Bag &amp; Free Picnic Pad, Outdoor Portable All-Purpose Patio Tables for Concerts, Camping, Beach, Tailgating, Patio, Kitchen, Living Room")</f>
        <v/>
      </c>
      <c r="C557" t="inlineStr">
        <is>
          <t>-</t>
        </is>
      </c>
      <c r="E557" t="inlineStr">
        <is>
          <t>1TRPT300</t>
        </is>
      </c>
      <c r="F557" t="n">
        <v>0</v>
      </c>
      <c r="G557" t="inlineStr">
        <is>
          <t>Furniture</t>
        </is>
      </c>
      <c r="H557" t="inlineStr">
        <is>
          <t>Picnic Tables</t>
        </is>
      </c>
      <c r="I557" t="inlineStr">
        <is>
          <t>Tirrinia</t>
        </is>
      </c>
      <c r="L557" s="29" t="n">
        <v>0</v>
      </c>
      <c r="M557" s="30" t="n"/>
      <c r="N557" s="29" t="n">
        <v>0</v>
      </c>
      <c r="O557" s="29" t="n">
        <v>0</v>
      </c>
      <c r="P557" s="2" t="n">
        <v>0</v>
      </c>
      <c r="Q557" s="31" t="n">
        <v>0</v>
      </c>
      <c r="R557" s="32" t="n"/>
      <c r="S557" s="32" t="n">
        <v>0</v>
      </c>
      <c r="T557" s="32" t="n">
        <v>0</v>
      </c>
      <c r="U557" s="31" t="n">
        <v>0</v>
      </c>
      <c r="V557" s="32" t="n">
        <v>0</v>
      </c>
      <c r="W557" s="31" t="n">
        <v>0</v>
      </c>
      <c r="X557" s="31" t="n">
        <v>0</v>
      </c>
      <c r="Y557" s="3" t="n">
        <v>0</v>
      </c>
      <c r="Z557" s="3" t="n">
        <v>0</v>
      </c>
      <c r="AA557" s="32" t="n">
        <v>0</v>
      </c>
      <c r="AB557" s="3" t="n">
        <v>0</v>
      </c>
      <c r="AC557" s="32" t="n">
        <v>0</v>
      </c>
      <c r="AD557" s="3" t="n"/>
      <c r="AE557" s="31" t="n">
        <v>0</v>
      </c>
      <c r="AF557" s="2" t="n">
        <v>0</v>
      </c>
      <c r="AG557" s="2" t="n">
        <v>94</v>
      </c>
      <c r="AH557" s="4" t="n">
        <v>94</v>
      </c>
      <c r="AI557" s="33" t="n">
        <v>0</v>
      </c>
      <c r="AJ557" s="4" t="n">
        <v>0</v>
      </c>
      <c r="AK557" s="34" t="n"/>
      <c r="AL557" s="34" t="n">
        <v>0</v>
      </c>
      <c r="AM557" s="2" t="n">
        <v>0</v>
      </c>
    </row>
    <row r="558">
      <c r="A558">
        <f>HYPERLINK("https://www.walmart.com/ip/3783505054", "3783505054")</f>
        <v/>
      </c>
      <c r="B558">
        <f>HYPERLINK("https://app.optiwise.ai/catalog/itemdetails/6051372", "Tirrinia Corduroy Backpack Classic Travel Rucksack for Both Men and Women")</f>
        <v/>
      </c>
      <c r="C558" t="inlineStr">
        <is>
          <t>-</t>
        </is>
      </c>
      <c r="E558" t="inlineStr">
        <is>
          <t>1TRBPK001OR</t>
        </is>
      </c>
      <c r="F558" t="n">
        <v>0</v>
      </c>
      <c r="G558" t="inlineStr">
        <is>
          <t>Cases &amp; Bags</t>
        </is>
      </c>
      <c r="H558" t="inlineStr">
        <is>
          <t>Backpacks</t>
        </is>
      </c>
      <c r="I558" t="inlineStr">
        <is>
          <t>Tirrinia</t>
        </is>
      </c>
      <c r="L558" s="29" t="n">
        <v>0</v>
      </c>
      <c r="M558" s="30" t="n"/>
      <c r="N558" s="29" t="n">
        <v>0</v>
      </c>
      <c r="O558" s="29" t="n">
        <v>0</v>
      </c>
      <c r="P558" s="2" t="n">
        <v>0</v>
      </c>
      <c r="Q558" s="31" t="n">
        <v>0</v>
      </c>
      <c r="R558" s="32" t="n"/>
      <c r="S558" s="32" t="n">
        <v>0</v>
      </c>
      <c r="T558" s="32" t="n">
        <v>0</v>
      </c>
      <c r="U558" s="31" t="n">
        <v>0</v>
      </c>
      <c r="V558" s="32" t="n">
        <v>0</v>
      </c>
      <c r="W558" s="31" t="n">
        <v>0</v>
      </c>
      <c r="X558" s="31" t="n">
        <v>0</v>
      </c>
      <c r="Y558" s="3" t="n">
        <v>0</v>
      </c>
      <c r="Z558" s="3" t="n">
        <v>0</v>
      </c>
      <c r="AA558" s="32" t="n">
        <v>0</v>
      </c>
      <c r="AB558" s="3" t="n">
        <v>0</v>
      </c>
      <c r="AC558" s="32" t="n">
        <v>0</v>
      </c>
      <c r="AD558" s="3" t="n"/>
      <c r="AE558" s="31" t="n">
        <v>0</v>
      </c>
      <c r="AF558" s="2" t="n">
        <v>0</v>
      </c>
      <c r="AG558" s="2" t="n">
        <v>28</v>
      </c>
      <c r="AH558" s="4" t="n">
        <v>28</v>
      </c>
      <c r="AI558" s="33" t="n">
        <v>0</v>
      </c>
      <c r="AJ558" s="4" t="n">
        <v>0</v>
      </c>
      <c r="AK558" s="34" t="n"/>
      <c r="AL558" s="34" t="n">
        <v>0</v>
      </c>
      <c r="AM558" s="2" t="n">
        <v>0</v>
      </c>
    </row>
    <row r="559">
      <c r="A559">
        <f>HYPERLINK("https://www.walmart.com/ip/-", "-")</f>
        <v/>
      </c>
      <c r="B559">
        <f>HYPERLINK("https://app.optiwise.ai/catalog/itemdetails/5677948", "Tirrinia Outdoors Waterproof Throw Blanket, 51x 59 Sherpa Fleece Stadium Windproof Mat for Travel, Navy Blue")</f>
        <v/>
      </c>
      <c r="C559" t="n">
        <v>1</v>
      </c>
      <c r="D559" t="inlineStr">
        <is>
          <t>1KTWB220-Parent-grp</t>
        </is>
      </c>
      <c r="E559" t="inlineStr">
        <is>
          <t>1TRBW506NYGY-CDGM</t>
        </is>
      </c>
      <c r="F559" t="n">
        <v>0</v>
      </c>
      <c r="G559" t="inlineStr">
        <is>
          <t>Bedding</t>
        </is>
      </c>
      <c r="L559" s="29" t="n">
        <v>0</v>
      </c>
      <c r="M559" s="30" t="n"/>
      <c r="N559" s="29" t="n">
        <v>0</v>
      </c>
      <c r="O559" s="29" t="n">
        <v>0</v>
      </c>
      <c r="P559" s="2" t="n">
        <v>0</v>
      </c>
      <c r="Q559" s="31" t="n">
        <v>0</v>
      </c>
      <c r="R559" s="32" t="n"/>
      <c r="S559" s="32" t="n">
        <v>0</v>
      </c>
      <c r="T559" s="32" t="n">
        <v>0</v>
      </c>
      <c r="U559" s="31" t="n">
        <v>0</v>
      </c>
      <c r="V559" s="32" t="n">
        <v>0</v>
      </c>
      <c r="W559" s="31" t="n">
        <v>0</v>
      </c>
      <c r="X559" s="31" t="n">
        <v>0</v>
      </c>
      <c r="Y559" s="3" t="n">
        <v>0</v>
      </c>
      <c r="Z559" s="3" t="n">
        <v>0</v>
      </c>
      <c r="AA559" s="32" t="n">
        <v>0</v>
      </c>
      <c r="AB559" s="3" t="n">
        <v>0</v>
      </c>
      <c r="AC559" s="32" t="n">
        <v>0</v>
      </c>
      <c r="AD559" s="3" t="n"/>
      <c r="AE559" s="31" t="n">
        <v>0</v>
      </c>
      <c r="AF559" s="2" t="n">
        <v>0</v>
      </c>
      <c r="AG559" s="2" t="n">
        <v>0</v>
      </c>
      <c r="AH559" s="4" t="n">
        <v>0</v>
      </c>
      <c r="AI559" s="33" t="n">
        <v>0</v>
      </c>
      <c r="AJ559" s="4" t="n">
        <v>0</v>
      </c>
      <c r="AK559" s="34" t="n"/>
      <c r="AL559" s="34" t="n">
        <v>0</v>
      </c>
      <c r="AM559" s="2" t="n">
        <v>0</v>
      </c>
    </row>
    <row r="560">
      <c r="A560">
        <f>HYPERLINK("https://www.walmart.com/ip/685340221", "685340221")</f>
        <v/>
      </c>
      <c r="B560">
        <f>HYPERLINK("https://app.optiwise.ai/catalog/itemdetails/5617440", "https://www.walmart.com/ip/Women-s-Open-Cup-Crotchless-Babydoll-Lingerie-Strappy-Bra-G-string-by-Jenniwears/685340221")</f>
        <v/>
      </c>
      <c r="C560" t="inlineStr">
        <is>
          <t>-</t>
        </is>
      </c>
      <c r="E560" t="inlineStr">
        <is>
          <t>JWBASS02BK-M-WA</t>
        </is>
      </c>
      <c r="F560" t="n">
        <v>0</v>
      </c>
      <c r="L560" s="29" t="n">
        <v>0</v>
      </c>
      <c r="M560" s="30" t="n"/>
      <c r="N560" s="29" t="n">
        <v>0</v>
      </c>
      <c r="O560" s="29" t="n">
        <v>0</v>
      </c>
      <c r="P560" s="2" t="n">
        <v>0</v>
      </c>
      <c r="Q560" s="31" t="n">
        <v>0</v>
      </c>
      <c r="R560" s="32" t="n"/>
      <c r="S560" s="32" t="n">
        <v>0</v>
      </c>
      <c r="T560" s="32" t="n">
        <v>0</v>
      </c>
      <c r="U560" s="31" t="n">
        <v>0</v>
      </c>
      <c r="V560" s="32" t="n">
        <v>0</v>
      </c>
      <c r="W560" s="31" t="n">
        <v>0</v>
      </c>
      <c r="X560" s="31" t="n">
        <v>0</v>
      </c>
      <c r="Y560" s="3" t="n">
        <v>0</v>
      </c>
      <c r="Z560" s="3" t="n">
        <v>0</v>
      </c>
      <c r="AA560" s="32" t="n">
        <v>0</v>
      </c>
      <c r="AB560" s="3" t="n">
        <v>0</v>
      </c>
      <c r="AC560" s="32" t="n">
        <v>0</v>
      </c>
      <c r="AD560" s="3" t="n"/>
      <c r="AE560" s="31" t="n">
        <v>0</v>
      </c>
      <c r="AF560" s="2" t="n">
        <v>0</v>
      </c>
      <c r="AG560" s="2" t="n">
        <v>0</v>
      </c>
      <c r="AH560" s="4" t="n">
        <v>0</v>
      </c>
      <c r="AI560" s="33" t="n">
        <v>0</v>
      </c>
      <c r="AJ560" s="4" t="n">
        <v>0</v>
      </c>
      <c r="AK560" s="34" t="n"/>
      <c r="AL560" s="34" t="n">
        <v>0</v>
      </c>
      <c r="AM560" s="2" t="n">
        <v>0</v>
      </c>
    </row>
    <row r="561">
      <c r="A561">
        <f>HYPERLINK("https://www.walmart.com/ip/196942750", "196942750")</f>
        <v/>
      </c>
      <c r="B561">
        <f>HYPERLINK("https://app.optiwise.ai/catalog/itemdetails/5617414", "https://www.walmart.com/ip/JenniWears-Women-Sexy-Fishnet-Suspender-Crotchless-Pantyhose-Stocking-2-Packs/196942750")</f>
        <v/>
      </c>
      <c r="C561" t="inlineStr">
        <is>
          <t>-</t>
        </is>
      </c>
      <c r="E561" t="inlineStr">
        <is>
          <t>JWBLSPH2012-2 Packs</t>
        </is>
      </c>
      <c r="F561" t="n">
        <v>0</v>
      </c>
      <c r="L561" s="29" t="n">
        <v>0</v>
      </c>
      <c r="M561" s="30" t="n"/>
      <c r="N561" s="29" t="n">
        <v>0</v>
      </c>
      <c r="O561" s="29" t="n">
        <v>0</v>
      </c>
      <c r="P561" s="2" t="n">
        <v>0</v>
      </c>
      <c r="Q561" s="31" t="n">
        <v>0</v>
      </c>
      <c r="R561" s="32" t="n"/>
      <c r="S561" s="32" t="n">
        <v>0</v>
      </c>
      <c r="T561" s="32" t="n">
        <v>0</v>
      </c>
      <c r="U561" s="31" t="n">
        <v>0</v>
      </c>
      <c r="V561" s="32" t="n">
        <v>0</v>
      </c>
      <c r="W561" s="31" t="n">
        <v>0</v>
      </c>
      <c r="X561" s="31" t="n">
        <v>0</v>
      </c>
      <c r="Y561" s="3" t="n">
        <v>0</v>
      </c>
      <c r="Z561" s="3" t="n">
        <v>0</v>
      </c>
      <c r="AA561" s="32" t="n">
        <v>0</v>
      </c>
      <c r="AB561" s="3" t="n">
        <v>0</v>
      </c>
      <c r="AC561" s="32" t="n">
        <v>0</v>
      </c>
      <c r="AD561" s="3" t="n"/>
      <c r="AE561" s="31" t="n">
        <v>0</v>
      </c>
      <c r="AF561" s="2" t="n">
        <v>0</v>
      </c>
      <c r="AG561" s="2" t="n">
        <v>0</v>
      </c>
      <c r="AH561" s="4" t="n">
        <v>0</v>
      </c>
      <c r="AI561" s="33" t="n">
        <v>0</v>
      </c>
      <c r="AJ561" s="4" t="n">
        <v>0</v>
      </c>
      <c r="AK561" s="34" t="n"/>
      <c r="AL561" s="34" t="n">
        <v>0</v>
      </c>
      <c r="AM561" s="2" t="n">
        <v>0</v>
      </c>
    </row>
    <row r="562">
      <c r="A562">
        <f>HYPERLINK("https://www.walmart.com/ip/103794423", "103794423")</f>
        <v/>
      </c>
      <c r="B562">
        <f>HYPERLINK("https://app.optiwise.ai/catalog/itemdetails/5612536", "Explorer Target Double 3 Case 52 Length Padded Sniper Scoped Tactical Hunting Carrying Shooting Mat, Adjustable Backpack Strap, Pouch")</f>
        <v/>
      </c>
      <c r="C562" t="inlineStr">
        <is>
          <t>-</t>
        </is>
      </c>
      <c r="E562" t="inlineStr">
        <is>
          <t>TARGETGBD52+CAP</t>
        </is>
      </c>
      <c r="F562" t="n">
        <v>0</v>
      </c>
      <c r="G562" t="inlineStr">
        <is>
          <t>Weapons</t>
        </is>
      </c>
      <c r="H562" t="inlineStr">
        <is>
          <t>Gun Cases</t>
        </is>
      </c>
      <c r="I562" t="inlineStr">
        <is>
          <t>Target</t>
        </is>
      </c>
      <c r="L562" s="29" t="n">
        <v>0</v>
      </c>
      <c r="M562" s="30" t="n"/>
      <c r="N562" s="29" t="n">
        <v>0</v>
      </c>
      <c r="O562" s="29" t="n">
        <v>0</v>
      </c>
      <c r="P562" s="2" t="n">
        <v>0</v>
      </c>
      <c r="Q562" s="31" t="n">
        <v>0</v>
      </c>
      <c r="R562" s="32" t="n"/>
      <c r="S562" s="32" t="n">
        <v>0</v>
      </c>
      <c r="T562" s="32" t="n">
        <v>0</v>
      </c>
      <c r="U562" s="31" t="n">
        <v>0</v>
      </c>
      <c r="V562" s="32" t="n">
        <v>0</v>
      </c>
      <c r="W562" s="31" t="n">
        <v>0</v>
      </c>
      <c r="X562" s="31" t="n">
        <v>0</v>
      </c>
      <c r="Y562" s="3" t="n">
        <v>0</v>
      </c>
      <c r="Z562" s="3" t="n">
        <v>0</v>
      </c>
      <c r="AA562" s="32" t="n">
        <v>0</v>
      </c>
      <c r="AB562" s="3" t="n">
        <v>0</v>
      </c>
      <c r="AC562" s="32" t="n">
        <v>0</v>
      </c>
      <c r="AD562" s="3" t="n"/>
      <c r="AE562" s="31" t="n">
        <v>0</v>
      </c>
      <c r="AF562" s="2" t="n">
        <v>0</v>
      </c>
      <c r="AG562" s="2" t="n">
        <v>0</v>
      </c>
      <c r="AH562" s="4" t="n">
        <v>0</v>
      </c>
      <c r="AI562" s="33" t="n">
        <v>0</v>
      </c>
      <c r="AJ562" s="4" t="n">
        <v>0</v>
      </c>
      <c r="AK562" s="34" t="n"/>
      <c r="AL562" s="34" t="n">
        <v>0</v>
      </c>
      <c r="AM562" s="2" t="n">
        <v>0</v>
      </c>
    </row>
    <row r="563">
      <c r="A563">
        <f>HYPERLINK("https://www.walmart.com/ip/801779048", "801779048")</f>
        <v/>
      </c>
      <c r="B563">
        <f>HYPERLINK("https://app.optiwise.ai/catalog/itemdetails/995161", "Terra Bed Blankets, Bedspreads, Bed throws, Soft Cozy Reversible Fuzzy Blanket  50 W x 60 L, Latte")</f>
        <v/>
      </c>
      <c r="C563" t="inlineStr">
        <is>
          <t>-</t>
        </is>
      </c>
      <c r="E563" t="inlineStr">
        <is>
          <t>1TRK9000WN-JWCB</t>
        </is>
      </c>
      <c r="F563" t="n">
        <v>0</v>
      </c>
      <c r="G563" t="inlineStr">
        <is>
          <t>Home Decor, Kitchen, &amp; Other</t>
        </is>
      </c>
      <c r="H563" t="inlineStr">
        <is>
          <t>Throws</t>
        </is>
      </c>
      <c r="I563" t="inlineStr">
        <is>
          <t>NAPA</t>
        </is>
      </c>
      <c r="L563" s="29" t="n">
        <v>0</v>
      </c>
      <c r="M563" s="30" t="n"/>
      <c r="N563" s="29" t="n">
        <v>0</v>
      </c>
      <c r="O563" s="29" t="n">
        <v>0</v>
      </c>
      <c r="P563" s="2" t="n">
        <v>0</v>
      </c>
      <c r="Q563" s="31" t="n">
        <v>0</v>
      </c>
      <c r="R563" s="32" t="n"/>
      <c r="S563" s="32" t="n">
        <v>0</v>
      </c>
      <c r="T563" s="32" t="n">
        <v>0</v>
      </c>
      <c r="U563" s="31" t="n">
        <v>0</v>
      </c>
      <c r="V563" s="32" t="n">
        <v>0</v>
      </c>
      <c r="W563" s="31" t="n">
        <v>0</v>
      </c>
      <c r="X563" s="31" t="n">
        <v>0</v>
      </c>
      <c r="Y563" s="3" t="n">
        <v>0</v>
      </c>
      <c r="Z563" s="3" t="n">
        <v>0</v>
      </c>
      <c r="AA563" s="32" t="n">
        <v>0</v>
      </c>
      <c r="AB563" s="3" t="n">
        <v>0</v>
      </c>
      <c r="AC563" s="32" t="n">
        <v>0</v>
      </c>
      <c r="AD563" s="3" t="n"/>
      <c r="AE563" s="31" t="n">
        <v>0</v>
      </c>
      <c r="AF563" s="2" t="n">
        <v>0</v>
      </c>
      <c r="AG563" s="2" t="n">
        <v>1</v>
      </c>
      <c r="AH563" s="4" t="n">
        <v>1</v>
      </c>
      <c r="AI563" s="33" t="n">
        <v>0</v>
      </c>
      <c r="AJ563" s="4" t="n">
        <v>0</v>
      </c>
      <c r="AK563" s="34" t="n"/>
      <c r="AL563" s="34" t="n">
        <v>0</v>
      </c>
      <c r="AM563" s="2" t="n">
        <v>0</v>
      </c>
    </row>
    <row r="564">
      <c r="A564">
        <f>HYPERLINK("https://www.walmart.com/ip/14515717039", "14515717039")</f>
        <v/>
      </c>
      <c r="B564">
        <f>HYPERLINK("https://app.optiwise.ai/catalog/itemdetails/13059101", "PEANUTS Mens' Cotton Snoopy Family Matching Pajamas 2-Piece Sets for Christmas with Woodstock Charlie Brown Linus, Gift for him (Black Plaid, XL)")</f>
        <v/>
      </c>
      <c r="C564" t="inlineStr">
        <is>
          <t>-</t>
        </is>
      </c>
      <c r="E564" t="inlineStr">
        <is>
          <t>PEA-PJS-FAMILY-MEN-BLACKPLAID-XL</t>
        </is>
      </c>
      <c r="F564" t="n">
        <v>0</v>
      </c>
      <c r="G564" t="inlineStr">
        <is>
          <t>Clothing</t>
        </is>
      </c>
      <c r="H564" t="inlineStr">
        <is>
          <t>Pajamas</t>
        </is>
      </c>
      <c r="I564" t="inlineStr">
        <is>
          <t>Peanuts</t>
        </is>
      </c>
      <c r="L564" s="29" t="n">
        <v>0</v>
      </c>
      <c r="M564" s="30" t="n"/>
      <c r="N564" s="29" t="n">
        <v>0</v>
      </c>
      <c r="O564" s="29" t="n">
        <v>0</v>
      </c>
      <c r="P564" s="2" t="n">
        <v>0</v>
      </c>
      <c r="Q564" s="31" t="n">
        <v>0</v>
      </c>
      <c r="R564" s="32" t="n"/>
      <c r="S564" s="32" t="n">
        <v>0</v>
      </c>
      <c r="T564" s="32" t="n">
        <v>0</v>
      </c>
      <c r="U564" s="31" t="n">
        <v>0</v>
      </c>
      <c r="V564" s="32" t="n">
        <v>0</v>
      </c>
      <c r="W564" s="31" t="n">
        <v>0</v>
      </c>
      <c r="X564" s="31" t="n">
        <v>0</v>
      </c>
      <c r="Y564" s="3" t="n">
        <v>0</v>
      </c>
      <c r="Z564" s="3" t="n">
        <v>0</v>
      </c>
      <c r="AA564" s="32" t="n">
        <v>0</v>
      </c>
      <c r="AB564" s="3" t="n">
        <v>0</v>
      </c>
      <c r="AC564" s="32" t="n">
        <v>0</v>
      </c>
      <c r="AD564" s="3" t="n"/>
      <c r="AE564" s="31" t="n">
        <v>0</v>
      </c>
      <c r="AF564" s="2" t="n">
        <v>0</v>
      </c>
      <c r="AG564" s="2" t="n">
        <v>0</v>
      </c>
      <c r="AH564" s="4" t="n">
        <v>0</v>
      </c>
      <c r="AI564" s="33" t="n">
        <v>0</v>
      </c>
      <c r="AJ564" s="4" t="n">
        <v>0</v>
      </c>
      <c r="AK564" s="34" t="n"/>
      <c r="AL564" s="34" t="n">
        <v>0</v>
      </c>
      <c r="AM564" s="2" t="n">
        <v>0</v>
      </c>
    </row>
    <row r="565">
      <c r="A565">
        <f>HYPERLINK("https://www.walmart.com/ip/14516958877", "14516958877")</f>
        <v/>
      </c>
      <c r="B565">
        <f>HYPERLINK("https://app.optiwise.ai/catalog/itemdetails/13059102", "PEANUTS Mens' Cotton Snoopy Family Matching Pajamas 2-Piece Sets for Christmas with Woodstock Charlie Brown Linus, Gift for him (Green Polka Dot, L)")</f>
        <v/>
      </c>
      <c r="C565" t="inlineStr">
        <is>
          <t>-</t>
        </is>
      </c>
      <c r="E565" t="inlineStr">
        <is>
          <t>PEA-PJS-FAMILY-MEN-GREEN-L</t>
        </is>
      </c>
      <c r="F565" t="n">
        <v>0</v>
      </c>
      <c r="G565" t="inlineStr">
        <is>
          <t>Clothing</t>
        </is>
      </c>
      <c r="H565" t="inlineStr">
        <is>
          <t>Pajamas</t>
        </is>
      </c>
      <c r="I565" t="inlineStr">
        <is>
          <t>Peanuts</t>
        </is>
      </c>
      <c r="L565" s="29" t="n">
        <v>0</v>
      </c>
      <c r="M565" s="30" t="n"/>
      <c r="N565" s="29" t="n">
        <v>0</v>
      </c>
      <c r="O565" s="29" t="n">
        <v>0</v>
      </c>
      <c r="P565" s="2" t="n">
        <v>0</v>
      </c>
      <c r="Q565" s="31" t="n">
        <v>0</v>
      </c>
      <c r="R565" s="32" t="n"/>
      <c r="S565" s="32" t="n">
        <v>0</v>
      </c>
      <c r="T565" s="32" t="n">
        <v>0</v>
      </c>
      <c r="U565" s="31" t="n">
        <v>0</v>
      </c>
      <c r="V565" s="32" t="n">
        <v>0</v>
      </c>
      <c r="W565" s="31" t="n">
        <v>0</v>
      </c>
      <c r="X565" s="31" t="n">
        <v>0</v>
      </c>
      <c r="Y565" s="3" t="n">
        <v>0</v>
      </c>
      <c r="Z565" s="3" t="n">
        <v>0</v>
      </c>
      <c r="AA565" s="32" t="n">
        <v>0</v>
      </c>
      <c r="AB565" s="3" t="n">
        <v>0</v>
      </c>
      <c r="AC565" s="32" t="n">
        <v>0</v>
      </c>
      <c r="AD565" s="3" t="n"/>
      <c r="AE565" s="31" t="n">
        <v>0</v>
      </c>
      <c r="AF565" s="2" t="n">
        <v>0</v>
      </c>
      <c r="AG565" s="2" t="n">
        <v>0</v>
      </c>
      <c r="AH565" s="4" t="n">
        <v>0</v>
      </c>
      <c r="AI565" s="33" t="n">
        <v>0</v>
      </c>
      <c r="AJ565" s="4" t="n">
        <v>0</v>
      </c>
      <c r="AK565" s="34" t="n"/>
      <c r="AL565" s="34" t="n">
        <v>0</v>
      </c>
      <c r="AM565" s="2" t="n">
        <v>0</v>
      </c>
    </row>
    <row r="566">
      <c r="A566">
        <f>HYPERLINK("https://www.walmart.com/ip/14516958881", "14516958881")</f>
        <v/>
      </c>
      <c r="B566">
        <f>HYPERLINK("https://app.optiwise.ai/catalog/itemdetails/13059103", "PEANUTS Womens 100% Cotton Family Matching Pajamas Holiday Festive Nightwear Sleepwear 2-Piece Sets for Christmas Gifts (Green Polka Dot, XS)")</f>
        <v/>
      </c>
      <c r="C566" t="inlineStr">
        <is>
          <t>-</t>
        </is>
      </c>
      <c r="E566" t="inlineStr">
        <is>
          <t>PEA-PJS-FAMILY-WOMEN-GREEN-XS</t>
        </is>
      </c>
      <c r="F566" t="n">
        <v>0</v>
      </c>
      <c r="G566" t="inlineStr">
        <is>
          <t>Clothing</t>
        </is>
      </c>
      <c r="H566" t="inlineStr">
        <is>
          <t>Pajamas</t>
        </is>
      </c>
      <c r="I566" t="inlineStr">
        <is>
          <t>Peanuts</t>
        </is>
      </c>
      <c r="L566" s="29" t="n">
        <v>0</v>
      </c>
      <c r="M566" s="30" t="n"/>
      <c r="N566" s="29" t="n">
        <v>0</v>
      </c>
      <c r="O566" s="29" t="n">
        <v>0</v>
      </c>
      <c r="P566" s="2" t="n">
        <v>0</v>
      </c>
      <c r="Q566" s="31" t="n">
        <v>0</v>
      </c>
      <c r="R566" s="32" t="n"/>
      <c r="S566" s="32" t="n">
        <v>0</v>
      </c>
      <c r="T566" s="32" t="n">
        <v>0</v>
      </c>
      <c r="U566" s="31" t="n">
        <v>0</v>
      </c>
      <c r="V566" s="32" t="n">
        <v>0</v>
      </c>
      <c r="W566" s="31" t="n">
        <v>0</v>
      </c>
      <c r="X566" s="31" t="n">
        <v>0</v>
      </c>
      <c r="Y566" s="3" t="n">
        <v>0</v>
      </c>
      <c r="Z566" s="3" t="n">
        <v>0</v>
      </c>
      <c r="AA566" s="32" t="n">
        <v>0</v>
      </c>
      <c r="AB566" s="3" t="n">
        <v>0</v>
      </c>
      <c r="AC566" s="32" t="n">
        <v>0</v>
      </c>
      <c r="AD566" s="3" t="n"/>
      <c r="AE566" s="31" t="n">
        <v>0</v>
      </c>
      <c r="AF566" s="2" t="n">
        <v>0</v>
      </c>
      <c r="AG566" s="2" t="n">
        <v>0</v>
      </c>
      <c r="AH566" s="4" t="n">
        <v>0</v>
      </c>
      <c r="AI566" s="33" t="n">
        <v>0</v>
      </c>
      <c r="AJ566" s="4" t="n">
        <v>0</v>
      </c>
      <c r="AK566" s="34" t="n"/>
      <c r="AL566" s="34" t="n">
        <v>0</v>
      </c>
      <c r="AM566" s="2" t="n">
        <v>0</v>
      </c>
    </row>
    <row r="567">
      <c r="A567">
        <f>HYPERLINK("https://www.walmart.com/ip/14550674659", "14550674659")</f>
        <v/>
      </c>
      <c r="B567">
        <f>HYPERLINK("https://app.optiwise.ai/catalog/itemdetails/13061822", "Solaris Womens Wigs Double Long Braid Plaits Costume Wigs Hairpiece Rainbow Shade")</f>
        <v/>
      </c>
      <c r="C567" t="inlineStr">
        <is>
          <t>-</t>
        </is>
      </c>
      <c r="E567" t="inlineStr">
        <is>
          <t>FZWIGHW1384-FS</t>
        </is>
      </c>
      <c r="F567" t="n">
        <v>0</v>
      </c>
      <c r="G567" t="inlineStr">
        <is>
          <t>Costumes</t>
        </is>
      </c>
      <c r="H567" t="inlineStr">
        <is>
          <t>Costume Wigs</t>
        </is>
      </c>
      <c r="I567" t="inlineStr">
        <is>
          <t>Solaris</t>
        </is>
      </c>
      <c r="L567" s="29" t="n">
        <v>0</v>
      </c>
      <c r="M567" s="30" t="n"/>
      <c r="N567" s="29" t="n">
        <v>0</v>
      </c>
      <c r="O567" s="29" t="n">
        <v>0</v>
      </c>
      <c r="P567" s="2" t="n">
        <v>0</v>
      </c>
      <c r="Q567" s="31" t="n">
        <v>0</v>
      </c>
      <c r="R567" s="32" t="n"/>
      <c r="S567" s="32" t="n">
        <v>0</v>
      </c>
      <c r="T567" s="32" t="n">
        <v>0</v>
      </c>
      <c r="U567" s="31" t="n">
        <v>0</v>
      </c>
      <c r="V567" s="32" t="n">
        <v>0</v>
      </c>
      <c r="W567" s="31" t="n">
        <v>0</v>
      </c>
      <c r="X567" s="31" t="n">
        <v>0</v>
      </c>
      <c r="Y567" s="3" t="n">
        <v>0</v>
      </c>
      <c r="Z567" s="3" t="n">
        <v>0</v>
      </c>
      <c r="AA567" s="32" t="n">
        <v>0</v>
      </c>
      <c r="AB567" s="3" t="n">
        <v>0</v>
      </c>
      <c r="AC567" s="32" t="n">
        <v>0</v>
      </c>
      <c r="AD567" s="3" t="n"/>
      <c r="AE567" s="31" t="n">
        <v>0</v>
      </c>
      <c r="AF567" s="2" t="n">
        <v>0</v>
      </c>
      <c r="AG567" s="2" t="n">
        <v>6</v>
      </c>
      <c r="AH567" s="4" t="n">
        <v>6</v>
      </c>
      <c r="AI567" s="33" t="n">
        <v>0</v>
      </c>
      <c r="AJ567" s="4" t="n">
        <v>0</v>
      </c>
      <c r="AK567" s="34" t="n"/>
      <c r="AL567" s="34" t="n">
        <v>0</v>
      </c>
      <c r="AM567" s="2" t="n">
        <v>0</v>
      </c>
    </row>
    <row r="568">
      <c r="A568">
        <f>HYPERLINK("https://www.walmart.com/ip/111893217", "111893217")</f>
        <v/>
      </c>
      <c r="B568">
        <f>HYPERLINK("https://app.optiwise.ai/catalog/itemdetails/359310", "Pawsse Water Resistant Dog Blanket, Premium Pet Puppy Furniture Protector Cover, Large 80 x 60, Gray")</f>
        <v/>
      </c>
      <c r="C568" t="n">
        <v>1</v>
      </c>
      <c r="D568" t="inlineStr">
        <is>
          <t>B78691_1681647_4DDED83F97BC3D1F</t>
        </is>
      </c>
      <c r="E568" t="inlineStr">
        <is>
          <t>1PSBW681GYTP</t>
        </is>
      </c>
      <c r="F568" t="n">
        <v>0</v>
      </c>
      <c r="G568" t="inlineStr">
        <is>
          <t>Animal Accessories</t>
        </is>
      </c>
      <c r="H568" t="inlineStr">
        <is>
          <t>Pet Blankets</t>
        </is>
      </c>
      <c r="I568" t="inlineStr">
        <is>
          <t>Pawsse</t>
        </is>
      </c>
      <c r="K568" t="inlineStr">
        <is>
          <t>Optimized,WFS,WFS Item</t>
        </is>
      </c>
      <c r="L568" s="29" t="n">
        <v>0</v>
      </c>
      <c r="M568" s="30" t="n"/>
      <c r="N568" s="29" t="n">
        <v>0</v>
      </c>
      <c r="O568" s="29" t="n">
        <v>0</v>
      </c>
      <c r="P568" s="2" t="n">
        <v>0</v>
      </c>
      <c r="Q568" s="31" t="n">
        <v>0</v>
      </c>
      <c r="R568" s="32" t="n"/>
      <c r="S568" s="32" t="n">
        <v>0</v>
      </c>
      <c r="T568" s="32" t="n">
        <v>0.06</v>
      </c>
      <c r="U568" s="31" t="n">
        <v>0</v>
      </c>
      <c r="V568" s="32" t="n">
        <v>0</v>
      </c>
      <c r="W568" s="31" t="n">
        <v>0</v>
      </c>
      <c r="X568" s="31" t="n">
        <v>0</v>
      </c>
      <c r="Y568" s="3" t="n">
        <v>0</v>
      </c>
      <c r="Z568" s="3" t="n">
        <v>0</v>
      </c>
      <c r="AA568" s="32" t="n">
        <v>0</v>
      </c>
      <c r="AB568" s="3" t="n">
        <v>0</v>
      </c>
      <c r="AC568" s="32" t="n">
        <v>0</v>
      </c>
      <c r="AD568" s="3" t="n"/>
      <c r="AE568" s="31" t="n">
        <v>0</v>
      </c>
      <c r="AF568" s="2" t="n">
        <v>0</v>
      </c>
      <c r="AG568" s="2" t="n">
        <v>28</v>
      </c>
      <c r="AH568" s="4" t="n">
        <v>28</v>
      </c>
      <c r="AI568" s="33" t="n">
        <v>0</v>
      </c>
      <c r="AJ568" s="4" t="n">
        <v>0</v>
      </c>
      <c r="AK568" s="34" t="n"/>
      <c r="AL568" s="34" t="n">
        <v>0</v>
      </c>
      <c r="AM568" s="2" t="n">
        <v>0</v>
      </c>
    </row>
    <row r="569">
      <c r="A569">
        <f>HYPERLINK("https://www.walmart.com/ip/413859906", "413859906")</f>
        <v/>
      </c>
      <c r="B569">
        <f>HYPERLINK("https://app.optiwise.ai/catalog/itemdetails/359298", "Flyingstar Monkey Blanket for Kids, Hooded Wearable Snuggle Tail Blanket, Super Soft Plush Slumber Bags for Toddlers and Children, All Seasons")</f>
        <v/>
      </c>
      <c r="C569" t="n">
        <v>3</v>
      </c>
      <c r="D569" t="inlineStr">
        <is>
          <t>B78691_1679525_E6BC1EB58C7DD073</t>
        </is>
      </c>
      <c r="E569" t="inlineStr">
        <is>
          <t>1WMMM200MK</t>
        </is>
      </c>
      <c r="F569" t="n">
        <v>2</v>
      </c>
      <c r="G569" t="inlineStr">
        <is>
          <t>Home Decor, Kitchen, &amp; Other</t>
        </is>
      </c>
      <c r="H569" t="inlineStr">
        <is>
          <t>Baby Blankets</t>
        </is>
      </c>
      <c r="I569" t="inlineStr">
        <is>
          <t>Flyingstar</t>
        </is>
      </c>
      <c r="J569" t="n">
        <v>3.5</v>
      </c>
      <c r="K569" t="inlineStr">
        <is>
          <t>Baby days,Optimized</t>
        </is>
      </c>
      <c r="L569" s="29" t="n">
        <v>0</v>
      </c>
      <c r="M569" s="30" t="n"/>
      <c r="N569" s="29" t="n">
        <v>0</v>
      </c>
      <c r="O569" s="29" t="n">
        <v>0</v>
      </c>
      <c r="P569" s="2" t="n">
        <v>0</v>
      </c>
      <c r="Q569" s="31" t="n">
        <v>0</v>
      </c>
      <c r="R569" s="32" t="n"/>
      <c r="S569" s="32" t="n">
        <v>0</v>
      </c>
      <c r="T569" s="32" t="n">
        <v>0</v>
      </c>
      <c r="U569" s="31" t="n">
        <v>0</v>
      </c>
      <c r="V569" s="32" t="n">
        <v>0</v>
      </c>
      <c r="W569" s="31" t="n">
        <v>0</v>
      </c>
      <c r="X569" s="31" t="n">
        <v>0</v>
      </c>
      <c r="Y569" s="3" t="n">
        <v>0</v>
      </c>
      <c r="Z569" s="3" t="n">
        <v>0</v>
      </c>
      <c r="AA569" s="32" t="n">
        <v>0</v>
      </c>
      <c r="AB569" s="3" t="n">
        <v>0</v>
      </c>
      <c r="AC569" s="32" t="n">
        <v>0</v>
      </c>
      <c r="AD569" s="3" t="n"/>
      <c r="AE569" s="31" t="n">
        <v>0</v>
      </c>
      <c r="AF569" s="2" t="n">
        <v>0</v>
      </c>
      <c r="AG569" s="2" t="n">
        <v>7</v>
      </c>
      <c r="AH569" s="4" t="n">
        <v>7</v>
      </c>
      <c r="AI569" s="33" t="n">
        <v>0</v>
      </c>
      <c r="AJ569" s="4" t="n">
        <v>0</v>
      </c>
      <c r="AK569" s="34" t="n"/>
      <c r="AL569" s="34" t="n">
        <v>0</v>
      </c>
      <c r="AM569" s="2" t="n">
        <v>0</v>
      </c>
    </row>
    <row r="570">
      <c r="A570">
        <f>HYPERLINK("https://www.walmart.com/ip/542705229", "542705229")</f>
        <v/>
      </c>
      <c r="B570">
        <f>HYPERLINK("https://app.optiwise.ai/catalog/itemdetails/359293", "Flyingstar Blanket with Sleeves and Pocket, Wearable Throws Blanket, Robe for Women and Men 73” x 51” Gray")</f>
        <v/>
      </c>
      <c r="C570" t="n">
        <v>14</v>
      </c>
      <c r="D570" t="inlineStr">
        <is>
          <t>B78691_1679605_510D4AE9E6A64381</t>
        </is>
      </c>
      <c r="E570" t="inlineStr">
        <is>
          <t>1WMSN100GY-ESGM</t>
        </is>
      </c>
      <c r="F570" t="n">
        <v>3</v>
      </c>
      <c r="G570" t="inlineStr">
        <is>
          <t>Bedding</t>
        </is>
      </c>
      <c r="H570" t="inlineStr">
        <is>
          <t>Throws</t>
        </is>
      </c>
      <c r="I570" t="inlineStr">
        <is>
          <t>Flyingstar</t>
        </is>
      </c>
      <c r="J570" t="n">
        <v>5</v>
      </c>
      <c r="K570" t="inlineStr">
        <is>
          <t>Batch 1 - TR</t>
        </is>
      </c>
      <c r="L570" s="29" t="n">
        <v>0</v>
      </c>
      <c r="M570" s="30" t="n"/>
      <c r="N570" s="29" t="n">
        <v>0</v>
      </c>
      <c r="O570" s="29" t="n">
        <v>0</v>
      </c>
      <c r="P570" s="2" t="n">
        <v>0</v>
      </c>
      <c r="Q570" s="31" t="n">
        <v>0</v>
      </c>
      <c r="R570" s="32" t="n"/>
      <c r="S570" s="32" t="n">
        <v>0</v>
      </c>
      <c r="T570" s="32" t="n">
        <v>0</v>
      </c>
      <c r="U570" s="31" t="n">
        <v>0</v>
      </c>
      <c r="V570" s="32" t="n">
        <v>0</v>
      </c>
      <c r="W570" s="31" t="n">
        <v>0</v>
      </c>
      <c r="X570" s="31" t="n">
        <v>0</v>
      </c>
      <c r="Y570" s="3" t="n">
        <v>0</v>
      </c>
      <c r="Z570" s="3" t="n">
        <v>0</v>
      </c>
      <c r="AA570" s="32" t="n">
        <v>0</v>
      </c>
      <c r="AB570" s="3" t="n">
        <v>0</v>
      </c>
      <c r="AC570" s="32" t="n">
        <v>0</v>
      </c>
      <c r="AD570" s="3" t="n"/>
      <c r="AE570" s="31" t="n">
        <v>0</v>
      </c>
      <c r="AF570" s="2" t="n">
        <v>0</v>
      </c>
      <c r="AG570" s="2" t="n">
        <v>25</v>
      </c>
      <c r="AH570" s="4" t="n">
        <v>25</v>
      </c>
      <c r="AI570" s="33" t="n">
        <v>0</v>
      </c>
      <c r="AJ570" s="4" t="n">
        <v>0</v>
      </c>
      <c r="AK570" s="34" t="n"/>
      <c r="AL570" s="34" t="n">
        <v>0</v>
      </c>
      <c r="AM570" s="2" t="n">
        <v>0</v>
      </c>
    </row>
    <row r="571">
      <c r="A571">
        <f>HYPERLINK("https://www.walmart.com/ip/988235552", "988235552")</f>
        <v/>
      </c>
      <c r="B571">
        <f>HYPERLINK("https://app.optiwise.ai/catalog/itemdetails/359287", "Two-Piece Ladies Tankini Swimsuit for Women Swimsuits by Tirrinia")</f>
        <v/>
      </c>
      <c r="C571" t="n">
        <v>4</v>
      </c>
      <c r="D571" t="inlineStr">
        <is>
          <t>B78691_1635561</t>
        </is>
      </c>
      <c r="E571" t="inlineStr">
        <is>
          <t>1TRSS003BL-L</t>
        </is>
      </c>
      <c r="F571" t="n">
        <v>2</v>
      </c>
      <c r="G571" t="inlineStr">
        <is>
          <t>Clothing</t>
        </is>
      </c>
      <c r="H571" t="inlineStr">
        <is>
          <t>Swimsuit Sets</t>
        </is>
      </c>
      <c r="I571" t="inlineStr">
        <is>
          <t>Tirrinia</t>
        </is>
      </c>
      <c r="J571" t="n">
        <v>4</v>
      </c>
      <c r="L571" s="29" t="n">
        <v>0</v>
      </c>
      <c r="M571" s="30" t="n"/>
      <c r="N571" s="29" t="n">
        <v>0</v>
      </c>
      <c r="O571" s="29" t="n">
        <v>0</v>
      </c>
      <c r="P571" s="2" t="n">
        <v>0</v>
      </c>
      <c r="Q571" s="31" t="n">
        <v>0</v>
      </c>
      <c r="R571" s="32" t="n"/>
      <c r="S571" s="32" t="n">
        <v>0</v>
      </c>
      <c r="T571" s="32" t="n">
        <v>0</v>
      </c>
      <c r="U571" s="31" t="n">
        <v>0</v>
      </c>
      <c r="V571" s="32" t="n">
        <v>0</v>
      </c>
      <c r="W571" s="31" t="n">
        <v>0</v>
      </c>
      <c r="X571" s="31" t="n">
        <v>0</v>
      </c>
      <c r="Y571" s="3" t="n">
        <v>0</v>
      </c>
      <c r="Z571" s="3" t="n">
        <v>0</v>
      </c>
      <c r="AA571" s="32" t="n">
        <v>0</v>
      </c>
      <c r="AB571" s="3" t="n">
        <v>0</v>
      </c>
      <c r="AC571" s="32" t="n">
        <v>0</v>
      </c>
      <c r="AD571" s="3" t="n"/>
      <c r="AE571" s="31" t="n">
        <v>0</v>
      </c>
      <c r="AF571" s="2" t="n">
        <v>0</v>
      </c>
      <c r="AG571" s="2" t="n">
        <v>5</v>
      </c>
      <c r="AH571" s="4" t="n">
        <v>5</v>
      </c>
      <c r="AI571" s="33" t="n">
        <v>0</v>
      </c>
      <c r="AJ571" s="4" t="n">
        <v>0</v>
      </c>
      <c r="AK571" s="34" t="n"/>
      <c r="AL571" s="34" t="n">
        <v>0</v>
      </c>
      <c r="AM571" s="2" t="n">
        <v>0</v>
      </c>
    </row>
    <row r="572">
      <c r="A572">
        <f>HYPERLINK("https://www.walmart.com/ip/701571669", "701571669")</f>
        <v/>
      </c>
      <c r="B572">
        <f>HYPERLINK("https://app.optiwise.ai/catalog/itemdetails/362291", "Kato Wine Accessories Gift Set - Wine Bottle Corkscrew Opener Kit, Drip Ring, Foil Cutter and Wine Pourer and Stopper in Novelty Bottle-Shaped Case for Wine Lover Gift, Red")</f>
        <v/>
      </c>
      <c r="C572" t="n">
        <v>2</v>
      </c>
      <c r="D572" t="inlineStr">
        <is>
          <t>B78691_1635595_F90025EC6A433C61</t>
        </is>
      </c>
      <c r="E572" t="inlineStr">
        <is>
          <t>1KTWO500RD</t>
        </is>
      </c>
      <c r="F572" t="n">
        <v>1</v>
      </c>
      <c r="G572" t="inlineStr">
        <is>
          <t>Home Decor, Kitchen, &amp; Other</t>
        </is>
      </c>
      <c r="H572" t="inlineStr">
        <is>
          <t>Corkscrews &amp; Wine Bottle Openers</t>
        </is>
      </c>
      <c r="I572" t="inlineStr">
        <is>
          <t>Kato</t>
        </is>
      </c>
      <c r="J572" t="n">
        <v>5</v>
      </c>
      <c r="K572" t="inlineStr">
        <is>
          <t>Wine,Christmas,WFS,Wine WFS,Valentine,WFS Item</t>
        </is>
      </c>
      <c r="L572" s="29" t="n">
        <v>0</v>
      </c>
      <c r="M572" s="30" t="n"/>
      <c r="N572" s="29" t="n">
        <v>0</v>
      </c>
      <c r="O572" s="29" t="n">
        <v>0</v>
      </c>
      <c r="P572" s="2" t="n">
        <v>0</v>
      </c>
      <c r="Q572" s="31" t="n">
        <v>14.74</v>
      </c>
      <c r="R572" s="32" t="n">
        <v>0.0018</v>
      </c>
      <c r="S572" s="32" t="n">
        <v>0</v>
      </c>
      <c r="T572" s="32" t="n">
        <v>0.1825</v>
      </c>
      <c r="U572" s="31" t="n">
        <v>0</v>
      </c>
      <c r="V572" s="32" t="n">
        <v>0</v>
      </c>
      <c r="W572" s="31" t="n">
        <v>0</v>
      </c>
      <c r="X572" s="31" t="n">
        <v>0</v>
      </c>
      <c r="Y572" s="3" t="n">
        <v>24929</v>
      </c>
      <c r="Z572" s="3" t="n">
        <v>33</v>
      </c>
      <c r="AA572" s="32" t="n">
        <v>0.0013</v>
      </c>
      <c r="AB572" s="3" t="n">
        <v>0</v>
      </c>
      <c r="AC572" s="32" t="n">
        <v>0</v>
      </c>
      <c r="AD572" s="3" t="inlineStr">
        <is>
          <t>Auto Campaign_Vinay</t>
        </is>
      </c>
      <c r="AE572" s="31" t="n">
        <v>0.45</v>
      </c>
      <c r="AF572" s="2" t="n">
        <v>5</v>
      </c>
      <c r="AG572" s="2" t="n">
        <v>61</v>
      </c>
      <c r="AH572" s="4" t="n">
        <v>28</v>
      </c>
      <c r="AI572" s="33" t="n">
        <v>0</v>
      </c>
      <c r="AJ572" s="4" t="n">
        <v>0</v>
      </c>
      <c r="AK572" s="34" t="n"/>
      <c r="AL572" s="34" t="n">
        <v>0</v>
      </c>
      <c r="AM572" s="2" t="n">
        <v>0</v>
      </c>
    </row>
    <row r="573">
      <c r="A573">
        <f>HYPERLINK("https://www.walmart.com/ip/240851800", "240851800")</f>
        <v/>
      </c>
      <c r="B573">
        <f>HYPERLINK("https://app.optiwise.ai/catalog/itemdetails/359268", "Catalonia Black Sherpa Hooded Winter Coats for Women, Super Soft Comfy Foxy Plush Reversible Casual, Jackets for Women, Black")</f>
        <v/>
      </c>
      <c r="C573" t="n">
        <v>4</v>
      </c>
      <c r="D573" t="inlineStr">
        <is>
          <t>B78691_1680851_5C9BB2671E1E9004</t>
        </is>
      </c>
      <c r="E573" t="inlineStr">
        <is>
          <t>1CTJK200BK</t>
        </is>
      </c>
      <c r="F573" t="n">
        <v>4</v>
      </c>
      <c r="G573" t="inlineStr">
        <is>
          <t>Clothing</t>
        </is>
      </c>
      <c r="H573" t="inlineStr">
        <is>
          <t>Sweatshirts &amp; Hoodies</t>
        </is>
      </c>
      <c r="I573" t="inlineStr">
        <is>
          <t>Catalonia</t>
        </is>
      </c>
      <c r="J573" t="n">
        <v>3</v>
      </c>
      <c r="K573" t="inlineStr">
        <is>
          <t>Jacket ForAdult,Optimized,WFS,Coupon_Discount,WFS Item</t>
        </is>
      </c>
      <c r="L573" s="29" t="n">
        <v>0</v>
      </c>
      <c r="M573" s="30" t="n"/>
      <c r="N573" s="29" t="n">
        <v>0</v>
      </c>
      <c r="O573" s="29" t="n">
        <v>0</v>
      </c>
      <c r="P573" s="2" t="n">
        <v>0</v>
      </c>
      <c r="Q573" s="31" t="n">
        <v>0</v>
      </c>
      <c r="R573" s="32" t="n"/>
      <c r="S573" s="32" t="n">
        <v>0</v>
      </c>
      <c r="T573" s="32" t="n">
        <v>0</v>
      </c>
      <c r="U573" s="31" t="n">
        <v>0</v>
      </c>
      <c r="V573" s="32" t="n">
        <v>0</v>
      </c>
      <c r="W573" s="31" t="n">
        <v>0</v>
      </c>
      <c r="X573" s="31" t="n">
        <v>0</v>
      </c>
      <c r="Y573" s="3" t="n">
        <v>0</v>
      </c>
      <c r="Z573" s="3" t="n">
        <v>0</v>
      </c>
      <c r="AA573" s="32" t="n">
        <v>0</v>
      </c>
      <c r="AB573" s="3" t="n">
        <v>0</v>
      </c>
      <c r="AC573" s="32" t="n">
        <v>0</v>
      </c>
      <c r="AD573" s="3" t="n"/>
      <c r="AE573" s="31" t="n">
        <v>0</v>
      </c>
      <c r="AF573" s="2" t="n">
        <v>0</v>
      </c>
      <c r="AG573" s="2" t="n">
        <v>86</v>
      </c>
      <c r="AH573" s="4" t="n">
        <v>86</v>
      </c>
      <c r="AI573" s="33" t="n">
        <v>0</v>
      </c>
      <c r="AJ573" s="4" t="n">
        <v>0</v>
      </c>
      <c r="AK573" s="34" t="n"/>
      <c r="AL573" s="34" t="n">
        <v>0</v>
      </c>
      <c r="AM573" s="2" t="n">
        <v>0</v>
      </c>
    </row>
    <row r="574">
      <c r="A574">
        <f>HYPERLINK("https://www.walmart.com/ip/185396814", "185396814")</f>
        <v/>
      </c>
      <c r="B574">
        <f>HYPERLINK("https://app.optiwise.ai/catalog/itemdetails/359243", "JenniWears Women Beileise Sexy Top Thigh High Stockings+ Garter Belt Suspender")</f>
        <v/>
      </c>
      <c r="C574" t="n">
        <v>1</v>
      </c>
      <c r="D574" t="inlineStr">
        <is>
          <t>B78691_974122</t>
        </is>
      </c>
      <c r="E574" t="inlineStr">
        <is>
          <t>JWBLSPH2011</t>
        </is>
      </c>
      <c r="F574" t="n">
        <v>1</v>
      </c>
      <c r="G574" t="inlineStr">
        <is>
          <t>Clothing</t>
        </is>
      </c>
      <c r="H574" t="inlineStr">
        <is>
          <t>Pantyhose &amp; Tights</t>
        </is>
      </c>
      <c r="I574" t="inlineStr">
        <is>
          <t>JenniWears</t>
        </is>
      </c>
      <c r="J574" t="n">
        <v>1</v>
      </c>
      <c r="K574" t="inlineStr">
        <is>
          <t>Optimized,Valentine</t>
        </is>
      </c>
      <c r="L574" s="29" t="n">
        <v>0</v>
      </c>
      <c r="M574" s="30" t="n"/>
      <c r="N574" s="29" t="n">
        <v>0</v>
      </c>
      <c r="O574" s="29" t="n">
        <v>0</v>
      </c>
      <c r="P574" s="2" t="n">
        <v>0</v>
      </c>
      <c r="Q574" s="31" t="n">
        <v>0</v>
      </c>
      <c r="R574" s="32" t="n"/>
      <c r="S574" s="32" t="n">
        <v>0</v>
      </c>
      <c r="T574" s="32" t="n">
        <v>0</v>
      </c>
      <c r="U574" s="31" t="n">
        <v>0</v>
      </c>
      <c r="V574" s="32" t="n">
        <v>0</v>
      </c>
      <c r="W574" s="31" t="n">
        <v>0</v>
      </c>
      <c r="X574" s="31" t="n">
        <v>0</v>
      </c>
      <c r="Y574" s="3" t="n">
        <v>0</v>
      </c>
      <c r="Z574" s="3" t="n">
        <v>0</v>
      </c>
      <c r="AA574" s="32" t="n">
        <v>0</v>
      </c>
      <c r="AB574" s="3" t="n">
        <v>0</v>
      </c>
      <c r="AC574" s="32" t="n">
        <v>0</v>
      </c>
      <c r="AD574" s="3" t="n"/>
      <c r="AE574" s="31" t="n">
        <v>0</v>
      </c>
      <c r="AF574" s="2" t="n">
        <v>0</v>
      </c>
      <c r="AG574" s="2" t="n">
        <v>5</v>
      </c>
      <c r="AH574" s="4" t="n">
        <v>5</v>
      </c>
      <c r="AI574" s="33" t="n">
        <v>0</v>
      </c>
      <c r="AJ574" s="4" t="n">
        <v>0</v>
      </c>
      <c r="AK574" s="34" t="n"/>
      <c r="AL574" s="34" t="n">
        <v>0</v>
      </c>
      <c r="AM574" s="2" t="n">
        <v>0</v>
      </c>
    </row>
    <row r="575">
      <c r="A575">
        <f>HYPERLINK("https://www.walmart.com/ip/763048311", "763048311")</f>
        <v/>
      </c>
      <c r="B575">
        <f>HYPERLINK("https://app.optiwise.ai/catalog/itemdetails/362602", "Tirrinia Two Pieces Tankini Swimsuit for Women Open Back Swimwear Bathing Suits Set, Black, XLarge")</f>
        <v/>
      </c>
      <c r="C575" t="n">
        <v>3</v>
      </c>
      <c r="D575" t="inlineStr">
        <is>
          <t>B78691_1635568</t>
        </is>
      </c>
      <c r="E575" t="inlineStr">
        <is>
          <t>1TRSS005BK-XL</t>
        </is>
      </c>
      <c r="F575" t="n">
        <v>5</v>
      </c>
      <c r="G575" t="inlineStr">
        <is>
          <t>Clothing</t>
        </is>
      </c>
      <c r="H575" t="inlineStr">
        <is>
          <t>Bikini &amp; Tankini Tops</t>
        </is>
      </c>
      <c r="I575" t="inlineStr">
        <is>
          <t>Tirrinia</t>
        </is>
      </c>
      <c r="J575" t="n">
        <v>2</v>
      </c>
      <c r="K575" t="inlineStr">
        <is>
          <t>Optimized</t>
        </is>
      </c>
      <c r="L575" s="29" t="n">
        <v>0</v>
      </c>
      <c r="M575" s="30" t="n"/>
      <c r="N575" s="29" t="n">
        <v>0</v>
      </c>
      <c r="O575" s="29" t="n">
        <v>0</v>
      </c>
      <c r="P575" s="2" t="n">
        <v>0</v>
      </c>
      <c r="Q575" s="31" t="n">
        <v>0</v>
      </c>
      <c r="R575" s="32" t="n"/>
      <c r="S575" s="32" t="n">
        <v>0</v>
      </c>
      <c r="T575" s="32" t="n">
        <v>0</v>
      </c>
      <c r="U575" s="31" t="n">
        <v>0</v>
      </c>
      <c r="V575" s="32" t="n">
        <v>0</v>
      </c>
      <c r="W575" s="31" t="n">
        <v>0</v>
      </c>
      <c r="X575" s="31" t="n">
        <v>0</v>
      </c>
      <c r="Y575" s="3" t="n">
        <v>0</v>
      </c>
      <c r="Z575" s="3" t="n">
        <v>0</v>
      </c>
      <c r="AA575" s="32" t="n">
        <v>0</v>
      </c>
      <c r="AB575" s="3" t="n">
        <v>0</v>
      </c>
      <c r="AC575" s="32" t="n">
        <v>0</v>
      </c>
      <c r="AD575" s="3" t="n"/>
      <c r="AE575" s="31" t="n">
        <v>0</v>
      </c>
      <c r="AF575" s="2" t="n">
        <v>0</v>
      </c>
      <c r="AG575" s="2" t="n">
        <v>31</v>
      </c>
      <c r="AH575" s="4" t="n">
        <v>31</v>
      </c>
      <c r="AI575" s="33" t="n">
        <v>0</v>
      </c>
      <c r="AJ575" s="4" t="n">
        <v>0</v>
      </c>
      <c r="AK575" s="34" t="n"/>
      <c r="AL575" s="34" t="n">
        <v>0</v>
      </c>
      <c r="AM575" s="2" t="n">
        <v>0</v>
      </c>
    </row>
    <row r="576">
      <c r="A576">
        <f>HYPERLINK("https://www.walmart.com/ip/738735577", "738735577")</f>
        <v/>
      </c>
      <c r="B576">
        <f>HYPERLINK("https://app.optiwise.ai/catalog/itemdetails/359155", "Catalonia 15lb Weighted Blanket for Kids Adult, Premium Heavy Blanket with Removable Cover, 60×80, Cotton, Grey")</f>
        <v/>
      </c>
      <c r="C576" t="n">
        <v>1</v>
      </c>
      <c r="D576" t="inlineStr">
        <is>
          <t>B78691_1680677</t>
        </is>
      </c>
      <c r="E576" t="inlineStr">
        <is>
          <t>1CTBG806GY-15M+C</t>
        </is>
      </c>
      <c r="F576" t="n">
        <v>0</v>
      </c>
      <c r="G576" t="inlineStr">
        <is>
          <t>Bedding</t>
        </is>
      </c>
      <c r="H576" t="inlineStr">
        <is>
          <t>Bed Blankets</t>
        </is>
      </c>
      <c r="I576" t="inlineStr">
        <is>
          <t>Catalonia</t>
        </is>
      </c>
      <c r="K576" t="inlineStr">
        <is>
          <t>WFS,Valentine,WFS Item</t>
        </is>
      </c>
      <c r="L576" s="29" t="n">
        <v>0</v>
      </c>
      <c r="M576" s="30" t="n"/>
      <c r="N576" s="29" t="n">
        <v>0</v>
      </c>
      <c r="O576" s="29" t="n">
        <v>0</v>
      </c>
      <c r="P576" s="2" t="n">
        <v>0</v>
      </c>
      <c r="Q576" s="31" t="n">
        <v>0</v>
      </c>
      <c r="R576" s="32" t="n"/>
      <c r="S576" s="32" t="n">
        <v>0</v>
      </c>
      <c r="T576" s="32" t="n">
        <v>0.1607</v>
      </c>
      <c r="U576" s="31" t="n">
        <v>0</v>
      </c>
      <c r="V576" s="32" t="n">
        <v>0</v>
      </c>
      <c r="W576" s="31" t="n">
        <v>0</v>
      </c>
      <c r="X576" s="31" t="n">
        <v>0</v>
      </c>
      <c r="Y576" s="3" t="n">
        <v>0</v>
      </c>
      <c r="Z576" s="3" t="n">
        <v>0</v>
      </c>
      <c r="AA576" s="32" t="n">
        <v>0</v>
      </c>
      <c r="AB576" s="3" t="n">
        <v>0</v>
      </c>
      <c r="AC576" s="32" t="n">
        <v>0</v>
      </c>
      <c r="AD576" s="3" t="n"/>
      <c r="AE576" s="31" t="n">
        <v>0</v>
      </c>
      <c r="AF576" s="2" t="n">
        <v>2</v>
      </c>
      <c r="AG576" s="2" t="n">
        <v>20</v>
      </c>
      <c r="AH576" s="4" t="n">
        <v>20</v>
      </c>
      <c r="AI576" s="33" t="n">
        <v>0</v>
      </c>
      <c r="AJ576" s="4" t="n">
        <v>0</v>
      </c>
      <c r="AK576" s="34" t="n"/>
      <c r="AL576" s="34" t="n">
        <v>0</v>
      </c>
      <c r="AM576" s="2" t="n">
        <v>0</v>
      </c>
    </row>
    <row r="577">
      <c r="A577">
        <f>HYPERLINK("https://www.walmart.com/ip/911302345", "911302345")</f>
        <v/>
      </c>
      <c r="B577">
        <f>HYPERLINK("https://app.optiwise.ai/catalog/itemdetails/359145", "Catalonia Sherpa Fleece Blanket, Super Soft Warm Fuzzy Snowflake Throw Blanket for Family,  Reversible, Blue, 60 x 50")</f>
        <v/>
      </c>
      <c r="C577" t="n">
        <v>4</v>
      </c>
      <c r="D577" t="inlineStr">
        <is>
          <t>B78691_1635802_94D5213CFE732422</t>
        </is>
      </c>
      <c r="E577" t="inlineStr">
        <is>
          <t>1CTBF390BL</t>
        </is>
      </c>
      <c r="F577" t="n">
        <v>5</v>
      </c>
      <c r="G577" t="inlineStr">
        <is>
          <t>Bedding</t>
        </is>
      </c>
      <c r="H577" t="inlineStr">
        <is>
          <t>Throws</t>
        </is>
      </c>
      <c r="I577" t="inlineStr">
        <is>
          <t>Catalonia</t>
        </is>
      </c>
      <c r="J577" t="n">
        <v>5</v>
      </c>
      <c r="K577" t="inlineStr">
        <is>
          <t>Coupon_Discount,Batch 1 - TR</t>
        </is>
      </c>
      <c r="L577" s="29" t="n">
        <v>0</v>
      </c>
      <c r="M577" s="30" t="n"/>
      <c r="N577" s="29" t="n">
        <v>0</v>
      </c>
      <c r="O577" s="29" t="n">
        <v>0</v>
      </c>
      <c r="P577" s="2" t="n">
        <v>0</v>
      </c>
      <c r="Q577" s="31" t="n">
        <v>0</v>
      </c>
      <c r="R577" s="32" t="n"/>
      <c r="S577" s="32" t="n">
        <v>0</v>
      </c>
      <c r="T577" s="32" t="n">
        <v>0.5233</v>
      </c>
      <c r="U577" s="31" t="n">
        <v>0</v>
      </c>
      <c r="V577" s="32" t="n">
        <v>0</v>
      </c>
      <c r="W577" s="31" t="n">
        <v>0</v>
      </c>
      <c r="X577" s="31" t="n">
        <v>0</v>
      </c>
      <c r="Y577" s="3" t="n">
        <v>0</v>
      </c>
      <c r="Z577" s="3" t="n">
        <v>0</v>
      </c>
      <c r="AA577" s="32" t="n">
        <v>0</v>
      </c>
      <c r="AB577" s="3" t="n">
        <v>0</v>
      </c>
      <c r="AC577" s="32" t="n">
        <v>0</v>
      </c>
      <c r="AD577" s="3" t="n"/>
      <c r="AE577" s="31" t="n">
        <v>0</v>
      </c>
      <c r="AF577" s="2" t="n">
        <v>0</v>
      </c>
      <c r="AG577" s="2" t="n">
        <v>18</v>
      </c>
      <c r="AH577" s="4" t="n">
        <v>18</v>
      </c>
      <c r="AI577" s="33" t="n">
        <v>0</v>
      </c>
      <c r="AJ577" s="4" t="n">
        <v>0</v>
      </c>
      <c r="AK577" s="34" t="n"/>
      <c r="AL577" s="34" t="n">
        <v>0</v>
      </c>
      <c r="AM577" s="2" t="n">
        <v>0</v>
      </c>
    </row>
    <row r="578">
      <c r="A578">
        <f>HYPERLINK("https://www.walmart.com/ip/160338746", "160338746")</f>
        <v/>
      </c>
      <c r="B578">
        <f>HYPERLINK("https://app.optiwise.ai/catalog/itemdetails/359137", "Tirrinia 6 Bottle Wine Cooler Bag - Insulated Padded Portable Versatile Wine Carrier Tote Bag for Travel, BYOB Restaurant, Wine Tasting, Party, Pecfect Gift for Wine Lover, Blue Stripe")</f>
        <v/>
      </c>
      <c r="C578" t="n">
        <v>1</v>
      </c>
      <c r="D578" t="inlineStr">
        <is>
          <t>00711531927437</t>
        </is>
      </c>
      <c r="E578" t="inlineStr">
        <is>
          <t>1TRWB602STR</t>
        </is>
      </c>
      <c r="F578" t="n">
        <v>1</v>
      </c>
      <c r="G578" t="inlineStr">
        <is>
          <t>Home Decor, Kitchen, &amp; Other</t>
        </is>
      </c>
      <c r="H578" t="inlineStr">
        <is>
          <t>Wine Totes, Bags &amp; Backpacks</t>
        </is>
      </c>
      <c r="I578" t="inlineStr">
        <is>
          <t>Tirrinia</t>
        </is>
      </c>
      <c r="J578" t="n">
        <v>3</v>
      </c>
      <c r="K578" t="inlineStr">
        <is>
          <t>Wine,Christmas,WFS,Wine WFS,Valentine,SEM,WFS Item,Lily Brand Camp</t>
        </is>
      </c>
      <c r="L578" s="29" t="n">
        <v>0</v>
      </c>
      <c r="M578" s="30" t="n"/>
      <c r="N578" s="29" t="n">
        <v>0</v>
      </c>
      <c r="O578" s="29" t="n">
        <v>0</v>
      </c>
      <c r="P578" s="2" t="n">
        <v>0</v>
      </c>
      <c r="Q578" s="31" t="n">
        <v>0.34</v>
      </c>
      <c r="R578" s="32" t="n"/>
      <c r="S578" s="32" t="n">
        <v>0</v>
      </c>
      <c r="T578" s="32" t="n">
        <v>0.1551</v>
      </c>
      <c r="U578" s="31" t="n">
        <v>0</v>
      </c>
      <c r="V578" s="32" t="n">
        <v>0</v>
      </c>
      <c r="W578" s="31" t="n">
        <v>0</v>
      </c>
      <c r="X578" s="31" t="n">
        <v>0</v>
      </c>
      <c r="Y578" s="3" t="n">
        <v>3321</v>
      </c>
      <c r="Z578" s="3" t="n">
        <v>1</v>
      </c>
      <c r="AA578" s="32" t="n">
        <v>0.0003</v>
      </c>
      <c r="AB578" s="3" t="n">
        <v>0</v>
      </c>
      <c r="AC578" s="32" t="n">
        <v>0</v>
      </c>
      <c r="AD578" s="3" t="inlineStr">
        <is>
          <t>Auto Campaign_Vinay</t>
        </is>
      </c>
      <c r="AE578" s="31" t="n">
        <v>0.34</v>
      </c>
      <c r="AF578" s="2" t="n">
        <v>0</v>
      </c>
      <c r="AG578" s="2" t="n">
        <v>27</v>
      </c>
      <c r="AH578" s="4" t="n">
        <v>26</v>
      </c>
      <c r="AI578" s="33" t="n">
        <v>0</v>
      </c>
      <c r="AJ578" s="4" t="n">
        <v>0</v>
      </c>
      <c r="AK578" s="34" t="n"/>
      <c r="AL578" s="34" t="n">
        <v>0</v>
      </c>
      <c r="AM578" s="2" t="n">
        <v>0</v>
      </c>
    </row>
    <row r="579">
      <c r="A579">
        <f>HYPERLINK("https://www.walmart.com/ip/527482974", "527482974")</f>
        <v/>
      </c>
      <c r="B579">
        <f>HYPERLINK("https://app.optiwise.ai/catalog/itemdetails/360444", "Catalonia Pink Sherpa Throw Blanket, Snuggle Super Soft Blanket for Girls 50x60, Comfy Fuzzy Micro Plush Fleece for Sofa Couch TV Bed Reversible Match Color All Season")</f>
        <v/>
      </c>
      <c r="C579" t="n">
        <v>7</v>
      </c>
      <c r="D579" t="inlineStr">
        <is>
          <t>B78691_1635793_B07CC3D4460B56B6</t>
        </is>
      </c>
      <c r="E579" t="inlineStr">
        <is>
          <t>1CTBF301PK</t>
        </is>
      </c>
      <c r="F579" t="n">
        <v>31</v>
      </c>
      <c r="G579" t="inlineStr">
        <is>
          <t>Bedding</t>
        </is>
      </c>
      <c r="H579" t="inlineStr">
        <is>
          <t>Throws</t>
        </is>
      </c>
      <c r="I579" t="inlineStr">
        <is>
          <t>Catalonia</t>
        </is>
      </c>
      <c r="J579" t="n">
        <v>5</v>
      </c>
      <c r="K579" t="inlineStr">
        <is>
          <t>Optimized,WFS,Valentine,WFS Item</t>
        </is>
      </c>
      <c r="L579" s="29" t="n">
        <v>0</v>
      </c>
      <c r="M579" s="30" t="n"/>
      <c r="N579" s="29" t="n">
        <v>0</v>
      </c>
      <c r="O579" s="29" t="n">
        <v>0</v>
      </c>
      <c r="P579" s="2" t="n">
        <v>0</v>
      </c>
      <c r="Q579" s="31" t="n">
        <v>0</v>
      </c>
      <c r="R579" s="32" t="n"/>
      <c r="S579" s="32" t="n">
        <v>0</v>
      </c>
      <c r="T579" s="32" t="n">
        <v>0</v>
      </c>
      <c r="U579" s="31" t="n">
        <v>0</v>
      </c>
      <c r="V579" s="32" t="n">
        <v>0</v>
      </c>
      <c r="W579" s="31" t="n">
        <v>0</v>
      </c>
      <c r="X579" s="31" t="n">
        <v>0</v>
      </c>
      <c r="Y579" s="3" t="n">
        <v>0</v>
      </c>
      <c r="Z579" s="3" t="n">
        <v>0</v>
      </c>
      <c r="AA579" s="32" t="n">
        <v>0</v>
      </c>
      <c r="AB579" s="3" t="n">
        <v>0</v>
      </c>
      <c r="AC579" s="32" t="n">
        <v>0</v>
      </c>
      <c r="AD579" s="3" t="n"/>
      <c r="AE579" s="31" t="n">
        <v>0</v>
      </c>
      <c r="AF579" s="2" t="n">
        <v>0</v>
      </c>
      <c r="AG579" s="2" t="n">
        <v>23</v>
      </c>
      <c r="AH579" s="4" t="n">
        <v>23</v>
      </c>
      <c r="AI579" s="33" t="n">
        <v>0</v>
      </c>
      <c r="AJ579" s="4" t="n">
        <v>0</v>
      </c>
      <c r="AK579" s="34" t="n"/>
      <c r="AL579" s="34" t="n">
        <v>0</v>
      </c>
      <c r="AM579" s="2" t="n">
        <v>0</v>
      </c>
    </row>
    <row r="580">
      <c r="A580">
        <f>HYPERLINK("https://www.walmart.com/ip/943090625", "943090625")</f>
        <v/>
      </c>
      <c r="B580">
        <f>HYPERLINK("https://app.optiwise.ai/catalog/itemdetails/359260", "Catalonia Sherpa Throw Blanket Velvet Plush Fleece Melange Blue  50”x60” For Adults Child, Super Soft Fluffy Fuzzy Comfy TV and Throws for Sofa Couch Bed by Catalonia")</f>
        <v/>
      </c>
      <c r="C580" t="n">
        <v>4</v>
      </c>
      <c r="D580" t="inlineStr">
        <is>
          <t>B78691_1635581_3CC9403B6BD86C2B</t>
        </is>
      </c>
      <c r="E580" t="inlineStr">
        <is>
          <t>1CTBF321BL</t>
        </is>
      </c>
      <c r="F580" t="n">
        <v>67</v>
      </c>
      <c r="G580" t="inlineStr">
        <is>
          <t>Bedding</t>
        </is>
      </c>
      <c r="H580" t="inlineStr">
        <is>
          <t>Throws</t>
        </is>
      </c>
      <c r="I580" t="inlineStr">
        <is>
          <t>Catalonia</t>
        </is>
      </c>
      <c r="J580" t="n">
        <v>4.9</v>
      </c>
      <c r="K580" t="inlineStr">
        <is>
          <t>Q2-Target,Optimized,WFS,Coupon_Discount,SeePriceInCart,WFS Item</t>
        </is>
      </c>
      <c r="L580" s="29" t="n">
        <v>0</v>
      </c>
      <c r="M580" s="30" t="n"/>
      <c r="N580" s="29" t="n">
        <v>0</v>
      </c>
      <c r="O580" s="29" t="n">
        <v>0</v>
      </c>
      <c r="P580" s="2" t="n">
        <v>0</v>
      </c>
      <c r="Q580" s="31" t="n">
        <v>0</v>
      </c>
      <c r="R580" s="32" t="n"/>
      <c r="S580" s="32" t="n">
        <v>0</v>
      </c>
      <c r="T580" s="32" t="n">
        <v>0</v>
      </c>
      <c r="U580" s="31" t="n">
        <v>0</v>
      </c>
      <c r="V580" s="32" t="n">
        <v>0</v>
      </c>
      <c r="W580" s="31" t="n">
        <v>0</v>
      </c>
      <c r="X580" s="31" t="n">
        <v>0</v>
      </c>
      <c r="Y580" s="3" t="n">
        <v>0</v>
      </c>
      <c r="Z580" s="3" t="n">
        <v>0</v>
      </c>
      <c r="AA580" s="32" t="n">
        <v>0</v>
      </c>
      <c r="AB580" s="3" t="n">
        <v>0</v>
      </c>
      <c r="AC580" s="32" t="n">
        <v>0</v>
      </c>
      <c r="AD580" s="3" t="n"/>
      <c r="AE580" s="31" t="n">
        <v>0</v>
      </c>
      <c r="AF580" s="2" t="n">
        <v>2</v>
      </c>
      <c r="AG580" s="2" t="n">
        <v>247</v>
      </c>
      <c r="AH580" s="4" t="n">
        <v>247</v>
      </c>
      <c r="AI580" s="33" t="n">
        <v>0</v>
      </c>
      <c r="AJ580" s="4" t="n">
        <v>0</v>
      </c>
      <c r="AK580" s="34" t="n"/>
      <c r="AL580" s="34" t="n">
        <v>0</v>
      </c>
      <c r="AM580" s="2" t="n">
        <v>0</v>
      </c>
    </row>
    <row r="581">
      <c r="A581">
        <f>HYPERLINK("https://www.walmart.com/ip/569808871", "569808871")</f>
        <v/>
      </c>
      <c r="B581">
        <f>HYPERLINK("https://app.optiwise.ai/catalog/itemdetails/359109", "Pawsse Microfleece Snuggle Pet Blanket, Plush Sherpa Cat Blanket, Dog Throw Blanket Cushion Mat for Small Animals, Large Size, Brown, 60'' x 49''")</f>
        <v/>
      </c>
      <c r="C581" t="n">
        <v>1</v>
      </c>
      <c r="D581" t="inlineStr">
        <is>
          <t>B78691_1639242_C83B78927AF3B558</t>
        </is>
      </c>
      <c r="E581" t="inlineStr">
        <is>
          <t>1PSBF560BRLT</t>
        </is>
      </c>
      <c r="F581" t="n">
        <v>5</v>
      </c>
      <c r="G581" t="inlineStr">
        <is>
          <t>Animal Accessories</t>
        </is>
      </c>
      <c r="H581" t="inlineStr">
        <is>
          <t>Pet Blankets</t>
        </is>
      </c>
      <c r="I581" t="inlineStr">
        <is>
          <t>Pawsse</t>
        </is>
      </c>
      <c r="J581" t="n">
        <v>5</v>
      </c>
      <c r="K581" t="inlineStr">
        <is>
          <t>WFS,WFS Item</t>
        </is>
      </c>
      <c r="L581" s="29" t="n">
        <v>0</v>
      </c>
      <c r="M581" s="30" t="n"/>
      <c r="N581" s="29" t="n">
        <v>0</v>
      </c>
      <c r="O581" s="29" t="n">
        <v>0</v>
      </c>
      <c r="P581" s="2" t="n">
        <v>0</v>
      </c>
      <c r="Q581" s="31" t="n">
        <v>0</v>
      </c>
      <c r="R581" s="32" t="n"/>
      <c r="S581" s="32" t="n">
        <v>0</v>
      </c>
      <c r="T581" s="32" t="n">
        <v>0</v>
      </c>
      <c r="U581" s="31" t="n">
        <v>0</v>
      </c>
      <c r="V581" s="32" t="n">
        <v>0</v>
      </c>
      <c r="W581" s="31" t="n">
        <v>0</v>
      </c>
      <c r="X581" s="31" t="n">
        <v>0</v>
      </c>
      <c r="Y581" s="3" t="n">
        <v>0</v>
      </c>
      <c r="Z581" s="3" t="n">
        <v>0</v>
      </c>
      <c r="AA581" s="32" t="n">
        <v>0</v>
      </c>
      <c r="AB581" s="3" t="n">
        <v>0</v>
      </c>
      <c r="AC581" s="32" t="n">
        <v>0</v>
      </c>
      <c r="AD581" s="3" t="n"/>
      <c r="AE581" s="31" t="n">
        <v>0</v>
      </c>
      <c r="AF581" s="2" t="n">
        <v>0</v>
      </c>
      <c r="AG581" s="2" t="n">
        <v>27</v>
      </c>
      <c r="AH581" s="4" t="n">
        <v>27</v>
      </c>
      <c r="AI581" s="33" t="n">
        <v>0</v>
      </c>
      <c r="AJ581" s="4" t="n">
        <v>0</v>
      </c>
      <c r="AK581" s="34" t="n"/>
      <c r="AL581" s="34" t="n">
        <v>0</v>
      </c>
      <c r="AM581" s="2" t="n">
        <v>0</v>
      </c>
    </row>
    <row r="582">
      <c r="A582">
        <f>HYPERLINK("https://www.walmart.com/ip/896951293", "896951293")</f>
        <v/>
      </c>
      <c r="B582">
        <f>HYPERLINK("https://app.optiwise.ai/catalog/itemdetails/359104", "Wearable Blanket with Sleeves and Kangaroo Pocket for Adult Soft Warm Comfy Throws Wrap Robe Blanket in Little PlaidRed.")</f>
        <v/>
      </c>
      <c r="C582" t="n">
        <v>5</v>
      </c>
      <c r="D582" t="inlineStr">
        <is>
          <t>B78691_1680875_E999BABF11771FA2</t>
        </is>
      </c>
      <c r="E582" t="inlineStr">
        <is>
          <t>1CTSN200P2RD</t>
        </is>
      </c>
      <c r="F582" t="n">
        <v>7</v>
      </c>
      <c r="G582" t="inlineStr">
        <is>
          <t>Bedding</t>
        </is>
      </c>
      <c r="H582" t="inlineStr">
        <is>
          <t>Throws</t>
        </is>
      </c>
      <c r="I582" t="inlineStr">
        <is>
          <t>Catalonia</t>
        </is>
      </c>
      <c r="J582" t="n">
        <v>4</v>
      </c>
      <c r="K582" t="inlineStr">
        <is>
          <t>WFS,Coupon_Discount,WFS Item</t>
        </is>
      </c>
      <c r="L582" s="29" t="n">
        <v>0</v>
      </c>
      <c r="M582" s="30" t="n"/>
      <c r="N582" s="29" t="n">
        <v>0</v>
      </c>
      <c r="O582" s="29" t="n">
        <v>0</v>
      </c>
      <c r="P582" s="2" t="n">
        <v>0</v>
      </c>
      <c r="Q582" s="31" t="n">
        <v>0</v>
      </c>
      <c r="R582" s="32" t="n"/>
      <c r="S582" s="32" t="n">
        <v>0</v>
      </c>
      <c r="T582" s="32" t="n">
        <v>0</v>
      </c>
      <c r="U582" s="31" t="n">
        <v>0</v>
      </c>
      <c r="V582" s="32" t="n">
        <v>0</v>
      </c>
      <c r="W582" s="31" t="n">
        <v>0</v>
      </c>
      <c r="X582" s="31" t="n">
        <v>0</v>
      </c>
      <c r="Y582" s="3" t="n">
        <v>0</v>
      </c>
      <c r="Z582" s="3" t="n">
        <v>0</v>
      </c>
      <c r="AA582" s="32" t="n">
        <v>0</v>
      </c>
      <c r="AB582" s="3" t="n">
        <v>0</v>
      </c>
      <c r="AC582" s="32" t="n">
        <v>0</v>
      </c>
      <c r="AD582" s="3" t="n"/>
      <c r="AE582" s="31" t="n">
        <v>0</v>
      </c>
      <c r="AF582" s="2" t="n">
        <v>0</v>
      </c>
      <c r="AG582" s="2" t="n">
        <v>17</v>
      </c>
      <c r="AH582" s="4" t="n">
        <v>17</v>
      </c>
      <c r="AI582" s="33" t="n">
        <v>0</v>
      </c>
      <c r="AJ582" s="4" t="n">
        <v>0</v>
      </c>
      <c r="AK582" s="34" t="n"/>
      <c r="AL582" s="34" t="n">
        <v>0</v>
      </c>
      <c r="AM582" s="2" t="n">
        <v>0</v>
      </c>
    </row>
    <row r="583">
      <c r="A583">
        <f>HYPERLINK("https://www.walmart.com/ip/619585970", "619585970")</f>
        <v/>
      </c>
      <c r="B583">
        <f>HYPERLINK("https://app.optiwise.ai/catalog/itemdetails/362163", "Wearable Lounging Blanket, Super Soft Warm Cozy Reversible Fuzzy, Extra Soft for Sofa Warm Blanket, Lightweight, Red Plaid, 55 X 71.")</f>
        <v/>
      </c>
      <c r="C583" t="n">
        <v>3</v>
      </c>
      <c r="D583" t="inlineStr">
        <is>
          <t>B78691_1680867_AFB642FB6676C4F</t>
        </is>
      </c>
      <c r="E583" t="inlineStr">
        <is>
          <t>1CTSN201PRD</t>
        </is>
      </c>
      <c r="F583" t="n">
        <v>2</v>
      </c>
      <c r="G583" t="inlineStr">
        <is>
          <t>Bedding</t>
        </is>
      </c>
      <c r="H583" t="inlineStr">
        <is>
          <t>Throws</t>
        </is>
      </c>
      <c r="I583" t="inlineStr">
        <is>
          <t>Catalonia</t>
        </is>
      </c>
      <c r="K583" t="inlineStr">
        <is>
          <t>Q2-Target,WFS,Coupon_Discount,WFS Item</t>
        </is>
      </c>
      <c r="L583" s="29" t="n">
        <v>0</v>
      </c>
      <c r="M583" s="30" t="n"/>
      <c r="N583" s="29" t="n">
        <v>0</v>
      </c>
      <c r="O583" s="29" t="n">
        <v>0</v>
      </c>
      <c r="P583" s="2" t="n">
        <v>0</v>
      </c>
      <c r="Q583" s="31" t="n">
        <v>0</v>
      </c>
      <c r="R583" s="32" t="n"/>
      <c r="S583" s="32" t="n">
        <v>0</v>
      </c>
      <c r="T583" s="32" t="n">
        <v>0</v>
      </c>
      <c r="U583" s="31" t="n">
        <v>0</v>
      </c>
      <c r="V583" s="32" t="n">
        <v>0</v>
      </c>
      <c r="W583" s="31" t="n">
        <v>0</v>
      </c>
      <c r="X583" s="31" t="n">
        <v>0</v>
      </c>
      <c r="Y583" s="3" t="n">
        <v>0</v>
      </c>
      <c r="Z583" s="3" t="n">
        <v>0</v>
      </c>
      <c r="AA583" s="32" t="n">
        <v>0</v>
      </c>
      <c r="AB583" s="3" t="n">
        <v>0</v>
      </c>
      <c r="AC583" s="32" t="n">
        <v>0</v>
      </c>
      <c r="AD583" s="3" t="n"/>
      <c r="AE583" s="31" t="n">
        <v>0</v>
      </c>
      <c r="AF583" s="2" t="n">
        <v>0</v>
      </c>
      <c r="AG583" s="2" t="n">
        <v>30</v>
      </c>
      <c r="AH583" s="4" t="n">
        <v>30</v>
      </c>
      <c r="AI583" s="33" t="n">
        <v>0</v>
      </c>
      <c r="AJ583" s="4" t="n">
        <v>0</v>
      </c>
      <c r="AK583" s="34" t="n"/>
      <c r="AL583" s="34" t="n">
        <v>0</v>
      </c>
      <c r="AM583" s="2" t="n">
        <v>0</v>
      </c>
    </row>
    <row r="584">
      <c r="A584">
        <f>HYPERLINK("https://www.walmart.com/ip/837714023", "837714023")</f>
        <v/>
      </c>
      <c r="B584">
        <f>HYPERLINK("https://app.optiwise.ai/catalog/itemdetails/359102", "Tirrinia Sherpa Wearable Blanket for Adult Women and Men, Super Soft Comfy Warm Plush Throw with Sleeves TV Blanket Wrap Robe Cover for Sofa and Couch, Red Plaid, 72 x 55")</f>
        <v/>
      </c>
      <c r="C584" t="n">
        <v>9</v>
      </c>
      <c r="D584" t="inlineStr">
        <is>
          <t>B78691_1682160_AB09E295D9E05377</t>
        </is>
      </c>
      <c r="E584" t="inlineStr">
        <is>
          <t>1TRSN110P2RD</t>
        </is>
      </c>
      <c r="F584" t="n">
        <v>6</v>
      </c>
      <c r="G584" t="inlineStr">
        <is>
          <t>Bedding</t>
        </is>
      </c>
      <c r="H584" t="inlineStr">
        <is>
          <t>Throws</t>
        </is>
      </c>
      <c r="I584" t="inlineStr">
        <is>
          <t>Terrania</t>
        </is>
      </c>
      <c r="J584" t="n">
        <v>5</v>
      </c>
      <c r="K584" t="inlineStr">
        <is>
          <t>Q2-Target,Coupon_Discount,Batch 1 - TR</t>
        </is>
      </c>
      <c r="L584" s="29" t="n">
        <v>0</v>
      </c>
      <c r="M584" s="30" t="n"/>
      <c r="N584" s="29" t="n">
        <v>0</v>
      </c>
      <c r="O584" s="29" t="n">
        <v>0</v>
      </c>
      <c r="P584" s="2" t="n">
        <v>0</v>
      </c>
      <c r="Q584" s="31" t="n">
        <v>0</v>
      </c>
      <c r="R584" s="32" t="n"/>
      <c r="S584" s="32" t="n">
        <v>0</v>
      </c>
      <c r="T584" s="32" t="n">
        <v>0.2494</v>
      </c>
      <c r="U584" s="31" t="n">
        <v>0</v>
      </c>
      <c r="V584" s="32" t="n">
        <v>0</v>
      </c>
      <c r="W584" s="31" t="n">
        <v>0</v>
      </c>
      <c r="X584" s="31" t="n">
        <v>0</v>
      </c>
      <c r="Y584" s="3" t="n">
        <v>0</v>
      </c>
      <c r="Z584" s="3" t="n">
        <v>0</v>
      </c>
      <c r="AA584" s="32" t="n">
        <v>0</v>
      </c>
      <c r="AB584" s="3" t="n">
        <v>0</v>
      </c>
      <c r="AC584" s="32" t="n">
        <v>0</v>
      </c>
      <c r="AD584" s="3" t="n"/>
      <c r="AE584" s="31" t="n">
        <v>0</v>
      </c>
      <c r="AF584" s="2" t="n">
        <v>0</v>
      </c>
      <c r="AG584" s="2" t="n">
        <v>589</v>
      </c>
      <c r="AH584" s="4" t="n">
        <v>589</v>
      </c>
      <c r="AI584" s="33" t="n">
        <v>0</v>
      </c>
      <c r="AJ584" s="4" t="n">
        <v>0</v>
      </c>
      <c r="AK584" s="34" t="n"/>
      <c r="AL584" s="34" t="n">
        <v>0</v>
      </c>
      <c r="AM584" s="2" t="n">
        <v>0</v>
      </c>
    </row>
    <row r="585">
      <c r="A585">
        <f>HYPERLINK("https://www.walmart.com/ip/206151418", "206151418")</f>
        <v/>
      </c>
      <c r="B585">
        <f>HYPERLINK("https://app.optiwise.ai/catalog/itemdetails/361537", "Catalonia Sherpa Throw Blanket Super Soft Comfy Fluffy Fleece 50”x60”, Fuzzy Plush for Sofa Couch Bed Reversible All Season for Adults Children")</f>
        <v/>
      </c>
      <c r="C585" t="n">
        <v>7</v>
      </c>
      <c r="D585" t="inlineStr">
        <is>
          <t>B78691_1635526_C32AFF57ED06687D</t>
        </is>
      </c>
      <c r="E585" t="inlineStr">
        <is>
          <t>1CTBF320BL</t>
        </is>
      </c>
      <c r="F585" t="n">
        <v>11</v>
      </c>
      <c r="G585" t="inlineStr">
        <is>
          <t>Bedding</t>
        </is>
      </c>
      <c r="H585" t="inlineStr">
        <is>
          <t>Throws</t>
        </is>
      </c>
      <c r="I585" t="inlineStr">
        <is>
          <t>Catalonia</t>
        </is>
      </c>
      <c r="J585" t="n">
        <v>4.8</v>
      </c>
      <c r="K585" t="inlineStr">
        <is>
          <t>Q2-Target,Optimized,WFS,Coupon_Discount,WFS Item</t>
        </is>
      </c>
      <c r="L585" s="29" t="n">
        <v>0</v>
      </c>
      <c r="M585" s="30" t="n"/>
      <c r="N585" s="29" t="n">
        <v>20.98999977111816</v>
      </c>
      <c r="O585" s="29" t="n">
        <v>0</v>
      </c>
      <c r="P585" s="2" t="n">
        <v>0</v>
      </c>
      <c r="Q585" s="31" t="n">
        <v>0</v>
      </c>
      <c r="R585" s="32" t="n"/>
      <c r="S585" s="32" t="n">
        <v>0</v>
      </c>
      <c r="T585" s="32" t="n">
        <v>0</v>
      </c>
      <c r="U585" s="31" t="n">
        <v>0</v>
      </c>
      <c r="V585" s="32" t="n">
        <v>0</v>
      </c>
      <c r="W585" s="31" t="n">
        <v>0</v>
      </c>
      <c r="X585" s="31" t="n">
        <v>0</v>
      </c>
      <c r="Y585" s="3" t="n">
        <v>0</v>
      </c>
      <c r="Z585" s="3" t="n">
        <v>0</v>
      </c>
      <c r="AA585" s="32" t="n">
        <v>0</v>
      </c>
      <c r="AB585" s="3" t="n">
        <v>0</v>
      </c>
      <c r="AC585" s="32" t="n">
        <v>0</v>
      </c>
      <c r="AD585" s="3" t="n"/>
      <c r="AE585" s="31" t="n">
        <v>0</v>
      </c>
      <c r="AF585" s="2" t="n">
        <v>0</v>
      </c>
      <c r="AG585" s="2" t="n">
        <v>173</v>
      </c>
      <c r="AH585" s="4" t="n">
        <v>173</v>
      </c>
      <c r="AI585" s="33" t="n">
        <v>0</v>
      </c>
      <c r="AJ585" s="4" t="n">
        <v>0</v>
      </c>
      <c r="AK585" s="34" t="n"/>
      <c r="AL585" s="34" t="n">
        <v>0</v>
      </c>
      <c r="AM585" s="2" t="n">
        <v>0</v>
      </c>
    </row>
    <row r="586">
      <c r="A586">
        <f>HYPERLINK("https://www.walmart.com/ip/829040273", "829040273")</f>
        <v/>
      </c>
      <c r="B586">
        <f>HYPERLINK("https://app.optiwise.ai/catalog/itemdetails/358795", "Tirrinia Women's Tankini Swimsuit Flyaway Swimdress Top, 2-Piece Bathing Suits, Black, Small")</f>
        <v/>
      </c>
      <c r="C586" t="n">
        <v>6</v>
      </c>
      <c r="D586" t="inlineStr">
        <is>
          <t>B78691_1635572</t>
        </is>
      </c>
      <c r="E586" t="inlineStr">
        <is>
          <t>1TRSS006BKBK-M</t>
        </is>
      </c>
      <c r="F586" t="n">
        <v>0</v>
      </c>
      <c r="G586" t="inlineStr">
        <is>
          <t>Clothing</t>
        </is>
      </c>
      <c r="H586" t="inlineStr">
        <is>
          <t>Swimsuit Sets</t>
        </is>
      </c>
      <c r="I586" t="inlineStr">
        <is>
          <t>Tirrinia</t>
        </is>
      </c>
      <c r="K586" t="inlineStr">
        <is>
          <t>Batch 1 - TR</t>
        </is>
      </c>
      <c r="L586" s="29" t="n">
        <v>0</v>
      </c>
      <c r="M586" s="30" t="n"/>
      <c r="N586" s="29" t="n">
        <v>0</v>
      </c>
      <c r="O586" s="29" t="n">
        <v>0</v>
      </c>
      <c r="P586" s="2" t="n">
        <v>0</v>
      </c>
      <c r="Q586" s="31" t="n">
        <v>0</v>
      </c>
      <c r="R586" s="32" t="n"/>
      <c r="S586" s="32" t="n">
        <v>0</v>
      </c>
      <c r="T586" s="32" t="n">
        <v>0</v>
      </c>
      <c r="U586" s="31" t="n">
        <v>0</v>
      </c>
      <c r="V586" s="32" t="n">
        <v>0</v>
      </c>
      <c r="W586" s="31" t="n">
        <v>0</v>
      </c>
      <c r="X586" s="31" t="n">
        <v>0</v>
      </c>
      <c r="Y586" s="3" t="n">
        <v>0</v>
      </c>
      <c r="Z586" s="3" t="n">
        <v>0</v>
      </c>
      <c r="AA586" s="32" t="n">
        <v>0</v>
      </c>
      <c r="AB586" s="3" t="n">
        <v>0</v>
      </c>
      <c r="AC586" s="32" t="n">
        <v>0</v>
      </c>
      <c r="AD586" s="3" t="n"/>
      <c r="AE586" s="31" t="n">
        <v>0</v>
      </c>
      <c r="AF586" s="2" t="n">
        <v>0</v>
      </c>
      <c r="AG586" s="2" t="n">
        <v>69</v>
      </c>
      <c r="AH586" s="4" t="n">
        <v>69</v>
      </c>
      <c r="AI586" s="33" t="n">
        <v>0</v>
      </c>
      <c r="AJ586" s="4" t="n">
        <v>0</v>
      </c>
      <c r="AK586" s="34" t="n"/>
      <c r="AL586" s="34" t="n">
        <v>0</v>
      </c>
      <c r="AM586" s="2" t="n">
        <v>0</v>
      </c>
    </row>
    <row r="587">
      <c r="A587">
        <f>HYPERLINK("https://www.walmart.com/ip/371351927", "371351927")</f>
        <v/>
      </c>
      <c r="B587">
        <f>HYPERLINK("https://app.optiwise.ai/catalog/itemdetails/361533", "Tirrinia UV Protection Hat Unisex Wide Brim Large Bill Neck Flap Mesh Nets with Adjustable Drawstring Khaki")</f>
        <v/>
      </c>
      <c r="C587" t="n">
        <v>3</v>
      </c>
      <c r="D587" t="inlineStr">
        <is>
          <t>B78691_1681695_462120996834361A</t>
        </is>
      </c>
      <c r="E587" t="inlineStr">
        <is>
          <t>1TRSH9152KK-TBGM</t>
        </is>
      </c>
      <c r="F587" t="n">
        <v>12</v>
      </c>
      <c r="G587" t="inlineStr">
        <is>
          <t>Clothing</t>
        </is>
      </c>
      <c r="H587" t="inlineStr">
        <is>
          <t>Hats</t>
        </is>
      </c>
      <c r="I587" t="inlineStr">
        <is>
          <t>Tirrinia</t>
        </is>
      </c>
      <c r="J587" t="n">
        <v>4</v>
      </c>
      <c r="K587" t="inlineStr">
        <is>
          <t>Optimized</t>
        </is>
      </c>
      <c r="L587" s="29" t="n">
        <v>0</v>
      </c>
      <c r="M587" s="30" t="n"/>
      <c r="N587" s="29" t="n">
        <v>0</v>
      </c>
      <c r="O587" s="29" t="n">
        <v>0</v>
      </c>
      <c r="P587" s="2" t="n">
        <v>0</v>
      </c>
      <c r="Q587" s="31" t="n">
        <v>0</v>
      </c>
      <c r="R587" s="32" t="n"/>
      <c r="S587" s="32" t="n">
        <v>0</v>
      </c>
      <c r="T587" s="32" t="n">
        <v>0</v>
      </c>
      <c r="U587" s="31" t="n">
        <v>0</v>
      </c>
      <c r="V587" s="32" t="n">
        <v>0</v>
      </c>
      <c r="W587" s="31" t="n">
        <v>0</v>
      </c>
      <c r="X587" s="31" t="n">
        <v>0</v>
      </c>
      <c r="Y587" s="3" t="n">
        <v>283</v>
      </c>
      <c r="Z587" s="3" t="n">
        <v>0</v>
      </c>
      <c r="AA587" s="32" t="n">
        <v>0</v>
      </c>
      <c r="AB587" s="3" t="n">
        <v>0</v>
      </c>
      <c r="AC587" s="32" t="n">
        <v>0</v>
      </c>
      <c r="AD587" s="3" t="inlineStr">
        <is>
          <t>Need to sell these SKUs by 15th Feb,</t>
        </is>
      </c>
      <c r="AE587" s="31" t="n">
        <v>0</v>
      </c>
      <c r="AF587" s="2" t="n">
        <v>0</v>
      </c>
      <c r="AG587" s="2" t="n">
        <v>21</v>
      </c>
      <c r="AH587" s="4" t="n">
        <v>21</v>
      </c>
      <c r="AI587" s="33" t="n">
        <v>0</v>
      </c>
      <c r="AJ587" s="4" t="n">
        <v>0</v>
      </c>
      <c r="AK587" s="34" t="n"/>
      <c r="AL587" s="34" t="n">
        <v>0</v>
      </c>
      <c r="AM587" s="2" t="n">
        <v>0</v>
      </c>
    </row>
    <row r="588">
      <c r="A588">
        <f>HYPERLINK("https://www.walmart.com/ip/772452784", "772452784")</f>
        <v/>
      </c>
      <c r="B588">
        <f>HYPERLINK("https://app.optiwise.ai/catalog/itemdetails/362321", "Tirrinia Super Soft Fluffy Hooded Robe Long Plush Fuzzy Bathrobe for Women with Hood Sherpa Lined, Machine Washable, Dalmation")</f>
        <v/>
      </c>
      <c r="C588" t="n">
        <v>6</v>
      </c>
      <c r="D588" t="inlineStr">
        <is>
          <t>B78691_1639369_2B2C7EAD168B4AD1</t>
        </is>
      </c>
      <c r="E588" t="inlineStr">
        <is>
          <t>1TRRB100DMT</t>
        </is>
      </c>
      <c r="F588" t="n">
        <v>40</v>
      </c>
      <c r="G588" t="inlineStr">
        <is>
          <t>Clothing</t>
        </is>
      </c>
      <c r="H588" t="inlineStr">
        <is>
          <t>Sleepwear Robes &amp; Bathrobes</t>
        </is>
      </c>
      <c r="I588" t="inlineStr">
        <is>
          <t>Tirrinia</t>
        </is>
      </c>
      <c r="J588" t="n">
        <v>4.100000000000001</v>
      </c>
      <c r="K588" t="inlineStr">
        <is>
          <t>WFS,Bathrobe,Coupon_Discount,WFS Item</t>
        </is>
      </c>
      <c r="L588" s="29" t="n">
        <v>0</v>
      </c>
      <c r="M588" s="30" t="n"/>
      <c r="N588" s="29" t="n">
        <v>0</v>
      </c>
      <c r="O588" s="29" t="n">
        <v>0</v>
      </c>
      <c r="P588" s="2" t="n">
        <v>0</v>
      </c>
      <c r="Q588" s="31" t="n">
        <v>0</v>
      </c>
      <c r="R588" s="32" t="n"/>
      <c r="S588" s="32" t="n">
        <v>0</v>
      </c>
      <c r="T588" s="32" t="n">
        <v>0</v>
      </c>
      <c r="U588" s="31" t="n">
        <v>0</v>
      </c>
      <c r="V588" s="32" t="n">
        <v>0</v>
      </c>
      <c r="W588" s="31" t="n">
        <v>0</v>
      </c>
      <c r="X588" s="31" t="n">
        <v>0</v>
      </c>
      <c r="Y588" s="3" t="n">
        <v>0</v>
      </c>
      <c r="Z588" s="3" t="n">
        <v>0</v>
      </c>
      <c r="AA588" s="32" t="n">
        <v>0</v>
      </c>
      <c r="AB588" s="3" t="n">
        <v>0</v>
      </c>
      <c r="AC588" s="32" t="n">
        <v>0</v>
      </c>
      <c r="AD588" s="3" t="n"/>
      <c r="AE588" s="31" t="n">
        <v>0</v>
      </c>
      <c r="AF588" s="2" t="n">
        <v>21</v>
      </c>
      <c r="AG588" s="2" t="n">
        <v>308</v>
      </c>
      <c r="AH588" s="4" t="n">
        <v>308</v>
      </c>
      <c r="AI588" s="33" t="n">
        <v>0</v>
      </c>
      <c r="AJ588" s="4" t="n">
        <v>0</v>
      </c>
      <c r="AK588" s="34" t="n"/>
      <c r="AL588" s="34" t="n">
        <v>0</v>
      </c>
      <c r="AM588" s="2" t="n">
        <v>0</v>
      </c>
    </row>
    <row r="589">
      <c r="A589">
        <f>HYPERLINK("https://www.walmart.com/ip/447116159", "447116159")</f>
        <v/>
      </c>
      <c r="B589">
        <f>HYPERLINK("https://app.optiwise.ai/catalog/itemdetails/360853", "Sun Hat UV Protection Wide Brim Boonie Safari Fishing Cap Adjustable Drawstring")</f>
        <v/>
      </c>
      <c r="C589" t="n">
        <v>4</v>
      </c>
      <c r="D589" t="inlineStr">
        <is>
          <t>B78691_1678874_39EBB009D4805F4B</t>
        </is>
      </c>
      <c r="E589" t="inlineStr">
        <is>
          <t>1WMSH911TN</t>
        </is>
      </c>
      <c r="F589" t="n">
        <v>2</v>
      </c>
      <c r="G589" t="inlineStr">
        <is>
          <t>Clothing</t>
        </is>
      </c>
      <c r="H589" t="inlineStr">
        <is>
          <t>Hats</t>
        </is>
      </c>
      <c r="I589" t="inlineStr">
        <is>
          <t>Flyingstar</t>
        </is>
      </c>
      <c r="J589" t="n">
        <v>5</v>
      </c>
      <c r="K589" t="inlineStr">
        <is>
          <t>Optimized</t>
        </is>
      </c>
      <c r="L589" s="29" t="n">
        <v>0</v>
      </c>
      <c r="M589" s="30" t="n"/>
      <c r="N589" s="29" t="n">
        <v>0</v>
      </c>
      <c r="O589" s="29" t="n">
        <v>0</v>
      </c>
      <c r="P589" s="2" t="n">
        <v>0</v>
      </c>
      <c r="Q589" s="31" t="n">
        <v>0</v>
      </c>
      <c r="R589" s="32" t="n"/>
      <c r="S589" s="32" t="n">
        <v>0</v>
      </c>
      <c r="T589" s="32" t="n">
        <v>0</v>
      </c>
      <c r="U589" s="31" t="n">
        <v>0</v>
      </c>
      <c r="V589" s="32" t="n">
        <v>0</v>
      </c>
      <c r="W589" s="31" t="n">
        <v>0</v>
      </c>
      <c r="X589" s="31" t="n">
        <v>0</v>
      </c>
      <c r="Y589" s="3" t="n">
        <v>0</v>
      </c>
      <c r="Z589" s="3" t="n">
        <v>0</v>
      </c>
      <c r="AA589" s="32" t="n">
        <v>0</v>
      </c>
      <c r="AB589" s="3" t="n">
        <v>0</v>
      </c>
      <c r="AC589" s="32" t="n">
        <v>0</v>
      </c>
      <c r="AD589" s="3" t="n"/>
      <c r="AE589" s="31" t="n">
        <v>0</v>
      </c>
      <c r="AF589" s="2" t="n">
        <v>0</v>
      </c>
      <c r="AG589" s="2" t="n">
        <v>8</v>
      </c>
      <c r="AH589" s="4" t="n">
        <v>8</v>
      </c>
      <c r="AI589" s="33" t="n">
        <v>0</v>
      </c>
      <c r="AJ589" s="4" t="n">
        <v>0</v>
      </c>
      <c r="AK589" s="34" t="n"/>
      <c r="AL589" s="34" t="n">
        <v>0</v>
      </c>
      <c r="AM589" s="2" t="n">
        <v>0</v>
      </c>
    </row>
    <row r="590">
      <c r="A590">
        <f>HYPERLINK("https://www.walmart.com/ip/184938055", "184938055")</f>
        <v/>
      </c>
      <c r="B590">
        <f>HYPERLINK("https://app.optiwise.ai/catalog/itemdetails/358768", "Vina 2-Bottle Wine Tote Carrier, Insulated Travel Wine Cooler Bag with Leather Handles, Grey")</f>
        <v/>
      </c>
      <c r="C590" t="n">
        <v>4</v>
      </c>
      <c r="D590" t="inlineStr">
        <is>
          <t>B78691_1127568_BF9C68F16484986C</t>
        </is>
      </c>
      <c r="E590" t="inlineStr">
        <is>
          <t>VINAWB007GY</t>
        </is>
      </c>
      <c r="F590" t="n">
        <v>1</v>
      </c>
      <c r="G590" t="inlineStr">
        <is>
          <t>Home Decor, Kitchen, &amp; Other</t>
        </is>
      </c>
      <c r="H590" t="inlineStr">
        <is>
          <t>Wine Totes, Bags &amp; Backpacks</t>
        </is>
      </c>
      <c r="I590" t="inlineStr">
        <is>
          <t>Vina</t>
        </is>
      </c>
      <c r="J590" t="n">
        <v>1</v>
      </c>
      <c r="K590" t="inlineStr">
        <is>
          <t>Wine,Christmas,Optimized,Valentine</t>
        </is>
      </c>
      <c r="L590" s="29" t="n">
        <v>0</v>
      </c>
      <c r="M590" s="30" t="n"/>
      <c r="N590" s="29" t="n">
        <v>0</v>
      </c>
      <c r="O590" s="29" t="n">
        <v>0</v>
      </c>
      <c r="P590" s="2" t="n">
        <v>0</v>
      </c>
      <c r="Q590" s="31" t="n">
        <v>0</v>
      </c>
      <c r="R590" s="32" t="n"/>
      <c r="S590" s="32" t="n">
        <v>0</v>
      </c>
      <c r="T590" s="32" t="n">
        <v>0</v>
      </c>
      <c r="U590" s="31" t="n">
        <v>0</v>
      </c>
      <c r="V590" s="32" t="n">
        <v>0</v>
      </c>
      <c r="W590" s="31" t="n">
        <v>0</v>
      </c>
      <c r="X590" s="31" t="n">
        <v>0</v>
      </c>
      <c r="Y590" s="3" t="n">
        <v>0</v>
      </c>
      <c r="Z590" s="3" t="n">
        <v>0</v>
      </c>
      <c r="AA590" s="32" t="n">
        <v>0</v>
      </c>
      <c r="AB590" s="3" t="n">
        <v>0</v>
      </c>
      <c r="AC590" s="32" t="n">
        <v>0</v>
      </c>
      <c r="AD590" s="3" t="n"/>
      <c r="AE590" s="31" t="n">
        <v>0</v>
      </c>
      <c r="AF590" s="2" t="n">
        <v>0</v>
      </c>
      <c r="AG590" s="2" t="n">
        <v>4</v>
      </c>
      <c r="AH590" s="4" t="n">
        <v>4</v>
      </c>
      <c r="AI590" s="33" t="n">
        <v>0</v>
      </c>
      <c r="AJ590" s="4" t="n">
        <v>0</v>
      </c>
      <c r="AK590" s="34" t="n"/>
      <c r="AL590" s="34" t="n">
        <v>0</v>
      </c>
      <c r="AM590" s="2" t="n">
        <v>0</v>
      </c>
    </row>
    <row r="591">
      <c r="A591">
        <f>HYPERLINK("https://www.walmart.com/ip/774715896", "774715896")</f>
        <v/>
      </c>
      <c r="B591">
        <f>HYPERLINK("https://app.optiwise.ai/catalog/itemdetails/361791", "Tirrinia Insulated 3 Bottle Wine Carrier Tote Cooler Bag for Travel Picnic Padded Champagne Glass Carrying Case")</f>
        <v/>
      </c>
      <c r="C591" t="n">
        <v>4</v>
      </c>
      <c r="D591" t="inlineStr">
        <is>
          <t>B78691_1679744_B4E58CDFDDC7400E</t>
        </is>
      </c>
      <c r="E591" t="inlineStr">
        <is>
          <t>1WMWB300GY-SC</t>
        </is>
      </c>
      <c r="F591" t="n">
        <v>0</v>
      </c>
      <c r="G591" t="inlineStr">
        <is>
          <t>Home Decor, Kitchen, &amp; Other</t>
        </is>
      </c>
      <c r="H591" t="inlineStr">
        <is>
          <t>Wine Totes, Bags &amp; Backpacks</t>
        </is>
      </c>
      <c r="I591" t="inlineStr">
        <is>
          <t>Flyingstar</t>
        </is>
      </c>
      <c r="K591" t="inlineStr">
        <is>
          <t>Wine,Christmas,Optimized,Wine WFS,Valentine</t>
        </is>
      </c>
      <c r="L591" s="29" t="n">
        <v>0</v>
      </c>
      <c r="M591" s="30" t="n"/>
      <c r="N591" s="29" t="n">
        <v>35.97999954223633</v>
      </c>
      <c r="O591" s="29" t="n">
        <v>0</v>
      </c>
      <c r="P591" s="2" t="n">
        <v>0</v>
      </c>
      <c r="Q591" s="31" t="n">
        <v>0</v>
      </c>
      <c r="R591" s="32" t="n"/>
      <c r="S591" s="32" t="n">
        <v>0</v>
      </c>
      <c r="T591" s="32" t="n">
        <v>0</v>
      </c>
      <c r="U591" s="31" t="n">
        <v>0</v>
      </c>
      <c r="V591" s="32" t="n">
        <v>0</v>
      </c>
      <c r="W591" s="31" t="n">
        <v>0</v>
      </c>
      <c r="X591" s="31" t="n">
        <v>0</v>
      </c>
      <c r="Y591" s="3" t="n">
        <v>0</v>
      </c>
      <c r="Z591" s="3" t="n">
        <v>0</v>
      </c>
      <c r="AA591" s="32" t="n">
        <v>0</v>
      </c>
      <c r="AB591" s="3" t="n">
        <v>0</v>
      </c>
      <c r="AC591" s="32" t="n">
        <v>0</v>
      </c>
      <c r="AD591" s="3" t="n"/>
      <c r="AE591" s="31" t="n">
        <v>0</v>
      </c>
      <c r="AF591" s="2" t="n">
        <v>0</v>
      </c>
      <c r="AG591" s="2" t="n">
        <v>54</v>
      </c>
      <c r="AH591" s="4" t="n">
        <v>54</v>
      </c>
      <c r="AI591" s="33" t="n">
        <v>0</v>
      </c>
      <c r="AJ591" s="4" t="n">
        <v>0</v>
      </c>
      <c r="AK591" s="34" t="n"/>
      <c r="AL591" s="34" t="n">
        <v>0</v>
      </c>
      <c r="AM591" s="2" t="n">
        <v>0</v>
      </c>
    </row>
    <row r="592">
      <c r="A592">
        <f>HYPERLINK("https://www.walmart.com/ip/137619751", "137619751")</f>
        <v/>
      </c>
      <c r="B592">
        <f>HYPERLINK("https://app.optiwise.ai/catalog/itemdetails/361561", "Deluxe Classic Suede Bill Baseball Cap with Leather Strap Closure")</f>
        <v/>
      </c>
      <c r="C592" t="n">
        <v>6</v>
      </c>
      <c r="D592" t="inlineStr">
        <is>
          <t>B78691_974396_5C9BB2671E1E9004</t>
        </is>
      </c>
      <c r="E592" t="inlineStr">
        <is>
          <t>KC-S6300-RD/BK</t>
        </is>
      </c>
      <c r="F592" t="n">
        <v>0</v>
      </c>
      <c r="G592" t="inlineStr">
        <is>
          <t>Clothing</t>
        </is>
      </c>
      <c r="H592" t="inlineStr">
        <is>
          <t>Hats</t>
        </is>
      </c>
      <c r="I592" t="inlineStr">
        <is>
          <t>KC Caps</t>
        </is>
      </c>
      <c r="K592" t="inlineStr">
        <is>
          <t>Optimized</t>
        </is>
      </c>
      <c r="L592" s="29" t="n">
        <v>0</v>
      </c>
      <c r="M592" s="30" t="n"/>
      <c r="N592" s="29" t="n">
        <v>0</v>
      </c>
      <c r="O592" s="29" t="n">
        <v>0</v>
      </c>
      <c r="P592" s="2" t="n">
        <v>0</v>
      </c>
      <c r="Q592" s="31" t="n">
        <v>0</v>
      </c>
      <c r="R592" s="32" t="n"/>
      <c r="S592" s="32" t="n">
        <v>0</v>
      </c>
      <c r="T592" s="32" t="n">
        <v>0</v>
      </c>
      <c r="U592" s="31" t="n">
        <v>0</v>
      </c>
      <c r="V592" s="32" t="n">
        <v>0</v>
      </c>
      <c r="W592" s="31" t="n">
        <v>0</v>
      </c>
      <c r="X592" s="31" t="n">
        <v>0</v>
      </c>
      <c r="Y592" s="3" t="n">
        <v>0</v>
      </c>
      <c r="Z592" s="3" t="n">
        <v>0</v>
      </c>
      <c r="AA592" s="32" t="n">
        <v>0</v>
      </c>
      <c r="AB592" s="3" t="n">
        <v>0</v>
      </c>
      <c r="AC592" s="32" t="n">
        <v>0</v>
      </c>
      <c r="AD592" s="3" t="n"/>
      <c r="AE592" s="31" t="n">
        <v>0</v>
      </c>
      <c r="AF592" s="2" t="n">
        <v>0</v>
      </c>
      <c r="AG592" s="2" t="n">
        <v>16</v>
      </c>
      <c r="AH592" s="4" t="n">
        <v>16</v>
      </c>
      <c r="AI592" s="33" t="n">
        <v>0</v>
      </c>
      <c r="AJ592" s="4" t="n">
        <v>0</v>
      </c>
      <c r="AK592" s="34" t="n"/>
      <c r="AL592" s="34" t="n">
        <v>0</v>
      </c>
      <c r="AM592" s="2" t="n">
        <v>0</v>
      </c>
    </row>
    <row r="593">
      <c r="A593">
        <f>HYPERLINK("https://www.walmart.com/ip/934428968", "934428968")</f>
        <v/>
      </c>
      <c r="B593">
        <f>HYPERLINK("https://app.optiwise.ai/catalog/itemdetails/358725", "Solaris Women's Tankini Swimsuit, Two-Piece Swimwear Bikini Set, Summer Bathing Suits, Large, Black")</f>
        <v/>
      </c>
      <c r="C593" t="n">
        <v>5</v>
      </c>
      <c r="D593" t="inlineStr">
        <is>
          <t>B78691_1635739</t>
        </is>
      </c>
      <c r="E593" t="inlineStr">
        <is>
          <t>1SLSS006BKBK-L</t>
        </is>
      </c>
      <c r="F593" t="n">
        <v>0</v>
      </c>
      <c r="G593" t="inlineStr">
        <is>
          <t>Clothing</t>
        </is>
      </c>
      <c r="H593" t="inlineStr">
        <is>
          <t>Swimsuit Sets</t>
        </is>
      </c>
      <c r="I593" t="inlineStr">
        <is>
          <t>Solaris</t>
        </is>
      </c>
      <c r="K593" t="inlineStr">
        <is>
          <t>Optimized,WFS,Valentine,WFS Item</t>
        </is>
      </c>
      <c r="L593" s="29" t="n">
        <v>0</v>
      </c>
      <c r="M593" s="30" t="n"/>
      <c r="N593" s="29" t="n">
        <v>0</v>
      </c>
      <c r="O593" s="29" t="n">
        <v>0</v>
      </c>
      <c r="P593" s="2" t="n">
        <v>0</v>
      </c>
      <c r="Q593" s="31" t="n">
        <v>0</v>
      </c>
      <c r="R593" s="32" t="n"/>
      <c r="S593" s="32" t="n">
        <v>0</v>
      </c>
      <c r="T593" s="32" t="n">
        <v>0</v>
      </c>
      <c r="U593" s="31" t="n">
        <v>0</v>
      </c>
      <c r="V593" s="32" t="n">
        <v>0</v>
      </c>
      <c r="W593" s="31" t="n">
        <v>0</v>
      </c>
      <c r="X593" s="31" t="n">
        <v>0</v>
      </c>
      <c r="Y593" s="3" t="n">
        <v>0</v>
      </c>
      <c r="Z593" s="3" t="n">
        <v>0</v>
      </c>
      <c r="AA593" s="32" t="n">
        <v>0</v>
      </c>
      <c r="AB593" s="3" t="n">
        <v>0</v>
      </c>
      <c r="AC593" s="32" t="n">
        <v>0</v>
      </c>
      <c r="AD593" s="3" t="n"/>
      <c r="AE593" s="31" t="n">
        <v>0</v>
      </c>
      <c r="AF593" s="2" t="n">
        <v>0</v>
      </c>
      <c r="AG593" s="2" t="n">
        <v>58</v>
      </c>
      <c r="AH593" s="4" t="n">
        <v>58</v>
      </c>
      <c r="AI593" s="33" t="n">
        <v>0</v>
      </c>
      <c r="AJ593" s="4" t="n">
        <v>0</v>
      </c>
      <c r="AK593" s="34" t="n"/>
      <c r="AL593" s="34" t="n">
        <v>0</v>
      </c>
      <c r="AM593" s="2" t="n">
        <v>0</v>
      </c>
    </row>
    <row r="594">
      <c r="A594">
        <f>HYPERLINK("https://www.walmart.com/ip/16301850024", "16301850024")</f>
        <v/>
      </c>
      <c r="B594">
        <f>HYPERLINK("https://app.optiwise.ai/catalog/itemdetails/20220940", "Tirrinia Beach Lounge Chair Cover, Portable Chaise Beach Towel, Sunbathing for Beach Pool Patio Garden Courtyard Outdoor Trips, 31 x 78 inch BLUE + Stripe")</f>
        <v/>
      </c>
      <c r="C594" t="inlineStr">
        <is>
          <t>-</t>
        </is>
      </c>
      <c r="E594" t="inlineStr">
        <is>
          <t>1TRBM20237BLSTR</t>
        </is>
      </c>
      <c r="F594" t="n">
        <v>0</v>
      </c>
      <c r="G594" t="inlineStr">
        <is>
          <t>Sport &amp; Recreation Other</t>
        </is>
      </c>
      <c r="H594" t="inlineStr">
        <is>
          <t>Patio Furniture Covers</t>
        </is>
      </c>
      <c r="I594" t="inlineStr">
        <is>
          <t>Tirrinia</t>
        </is>
      </c>
      <c r="L594" s="29" t="n">
        <v>0</v>
      </c>
      <c r="M594" s="30" t="n"/>
      <c r="N594" s="29" t="n">
        <v>0</v>
      </c>
      <c r="O594" s="29" t="n">
        <v>0</v>
      </c>
      <c r="P594" s="2" t="n">
        <v>0</v>
      </c>
      <c r="Q594" s="31" t="n">
        <v>0</v>
      </c>
      <c r="R594" s="32" t="n"/>
      <c r="S594" s="32" t="n">
        <v>0</v>
      </c>
      <c r="T594" s="32" t="n">
        <v>0</v>
      </c>
      <c r="U594" s="31" t="n">
        <v>0</v>
      </c>
      <c r="V594" s="32" t="n">
        <v>0</v>
      </c>
      <c r="W594" s="31" t="n">
        <v>0</v>
      </c>
      <c r="X594" s="31" t="n">
        <v>0</v>
      </c>
      <c r="Y594" s="3" t="n">
        <v>0</v>
      </c>
      <c r="Z594" s="3" t="n">
        <v>0</v>
      </c>
      <c r="AA594" s="32" t="n">
        <v>0</v>
      </c>
      <c r="AB594" s="3" t="n">
        <v>0</v>
      </c>
      <c r="AC594" s="32" t="n">
        <v>0</v>
      </c>
      <c r="AD594" s="3" t="n"/>
      <c r="AE594" s="31" t="n">
        <v>0</v>
      </c>
      <c r="AF594" s="2" t="n">
        <v>0</v>
      </c>
      <c r="AG594" s="2" t="n">
        <v>0</v>
      </c>
      <c r="AH594" s="4" t="n">
        <v>0</v>
      </c>
      <c r="AI594" s="33" t="n">
        <v>0</v>
      </c>
      <c r="AJ594" s="4" t="n">
        <v>0</v>
      </c>
      <c r="AK594" s="34" t="n"/>
      <c r="AL594" s="34" t="n">
        <v>0</v>
      </c>
      <c r="AM594" s="2" t="n">
        <v>0</v>
      </c>
    </row>
    <row r="595">
      <c r="A595">
        <f>HYPERLINK("https://www.walmart.com/ip/15947921277", "15947921277")</f>
        <v/>
      </c>
      <c r="B595">
        <f>HYPERLINK("https://app.optiwise.ai/catalog/itemdetails/20188117", "Wrangler Toiletry Bag for Men, Travel Shaving Dopp Kit, Oxford Fabric Tech Kit Bathroom Organizer, Gifts for Men")</f>
        <v/>
      </c>
      <c r="C595" t="inlineStr">
        <is>
          <t>-</t>
        </is>
      </c>
      <c r="E595" t="inlineStr">
        <is>
          <t>1WRTTB93954BK</t>
        </is>
      </c>
      <c r="F595" t="n">
        <v>0</v>
      </c>
      <c r="G595" t="inlineStr">
        <is>
          <t>Beauty, Personal Care, &amp; Hygiene</t>
        </is>
      </c>
      <c r="H595" t="inlineStr">
        <is>
          <t>Toiletry Kits &amp; Bags</t>
        </is>
      </c>
      <c r="I595" t="inlineStr">
        <is>
          <t>Wrangler</t>
        </is>
      </c>
      <c r="L595" s="29" t="n">
        <v>0</v>
      </c>
      <c r="M595" s="30" t="n"/>
      <c r="N595" s="29" t="n">
        <v>0</v>
      </c>
      <c r="O595" s="29" t="n">
        <v>0</v>
      </c>
      <c r="P595" s="2" t="n">
        <v>0</v>
      </c>
      <c r="Q595" s="31" t="n">
        <v>0</v>
      </c>
      <c r="R595" s="32" t="n"/>
      <c r="S595" s="32" t="n">
        <v>0</v>
      </c>
      <c r="T595" s="32" t="n">
        <v>0</v>
      </c>
      <c r="U595" s="31" t="n">
        <v>0</v>
      </c>
      <c r="V595" s="32" t="n">
        <v>0</v>
      </c>
      <c r="W595" s="31" t="n">
        <v>0</v>
      </c>
      <c r="X595" s="31" t="n">
        <v>0</v>
      </c>
      <c r="Y595" s="3" t="n">
        <v>0</v>
      </c>
      <c r="Z595" s="3" t="n">
        <v>0</v>
      </c>
      <c r="AA595" s="32" t="n">
        <v>0</v>
      </c>
      <c r="AB595" s="3" t="n">
        <v>0</v>
      </c>
      <c r="AC595" s="32" t="n">
        <v>0</v>
      </c>
      <c r="AD595" s="3" t="n"/>
      <c r="AE595" s="31" t="n">
        <v>0</v>
      </c>
      <c r="AF595" s="2" t="n">
        <v>0</v>
      </c>
      <c r="AG595" s="2" t="n">
        <v>0</v>
      </c>
      <c r="AH595" s="4" t="n">
        <v>0</v>
      </c>
      <c r="AI595" s="33" t="n">
        <v>0</v>
      </c>
      <c r="AJ595" s="4" t="n">
        <v>0</v>
      </c>
      <c r="AK595" s="34" t="n"/>
      <c r="AL595" s="34" t="n">
        <v>0</v>
      </c>
      <c r="AM595" s="2" t="n">
        <v>0</v>
      </c>
    </row>
    <row r="596">
      <c r="A596">
        <f>HYPERLINK("https://www.walmart.com/ip/15169814317", "15169814317")</f>
        <v/>
      </c>
      <c r="B596">
        <f>HYPERLINK("https://app.optiwise.ai/catalog/itemdetails/18832551", "Catalonia Kids Mermaid Tail Blanket,Super Soft Plush Flannel Sleeping Snuggle Blanket for Girls,Rainbow Ombre,Fish Scale Pattern,Gift Idea")</f>
        <v/>
      </c>
      <c r="C596" t="inlineStr">
        <is>
          <t>-</t>
        </is>
      </c>
      <c r="E596" t="inlineStr">
        <is>
          <t>1CTMM510STARLIGHT</t>
        </is>
      </c>
      <c r="F596" t="n">
        <v>0</v>
      </c>
      <c r="G596" t="inlineStr">
        <is>
          <t>Bedding</t>
        </is>
      </c>
      <c r="H596" t="inlineStr">
        <is>
          <t>Throws</t>
        </is>
      </c>
      <c r="I596" t="inlineStr">
        <is>
          <t>Catalonia</t>
        </is>
      </c>
      <c r="L596" s="29" t="n">
        <v>0</v>
      </c>
      <c r="M596" s="30" t="n"/>
      <c r="N596" s="29" t="n">
        <v>0</v>
      </c>
      <c r="O596" s="29" t="n">
        <v>0</v>
      </c>
      <c r="P596" s="2" t="n">
        <v>0</v>
      </c>
      <c r="Q596" s="31" t="n">
        <v>0</v>
      </c>
      <c r="R596" s="32" t="n"/>
      <c r="S596" s="32" t="n">
        <v>0</v>
      </c>
      <c r="T596" s="32" t="n">
        <v>0</v>
      </c>
      <c r="U596" s="31" t="n">
        <v>0</v>
      </c>
      <c r="V596" s="32" t="n">
        <v>0</v>
      </c>
      <c r="W596" s="31" t="n">
        <v>0</v>
      </c>
      <c r="X596" s="31" t="n">
        <v>0</v>
      </c>
      <c r="Y596" s="3" t="n">
        <v>0</v>
      </c>
      <c r="Z596" s="3" t="n">
        <v>0</v>
      </c>
      <c r="AA596" s="32" t="n">
        <v>0</v>
      </c>
      <c r="AB596" s="3" t="n">
        <v>0</v>
      </c>
      <c r="AC596" s="32" t="n">
        <v>0</v>
      </c>
      <c r="AD596" s="3" t="n"/>
      <c r="AE596" s="31" t="n">
        <v>0</v>
      </c>
      <c r="AF596" s="2" t="n">
        <v>0</v>
      </c>
      <c r="AG596" s="2" t="n">
        <v>0</v>
      </c>
      <c r="AH596" s="4" t="n">
        <v>0</v>
      </c>
      <c r="AI596" s="33" t="n">
        <v>0</v>
      </c>
      <c r="AJ596" s="4" t="n">
        <v>0</v>
      </c>
      <c r="AK596" s="34" t="n"/>
      <c r="AL596" s="34" t="n">
        <v>0</v>
      </c>
      <c r="AM596" s="2" t="n">
        <v>0</v>
      </c>
    </row>
    <row r="597">
      <c r="A597">
        <f>HYPERLINK("https://www.walmart.com/ip/312640915", "312640915")</f>
        <v/>
      </c>
      <c r="B597">
        <f>HYPERLINK("https://app.optiwise.ai/catalog/itemdetails/361919", "Catalonia Sherpa Throw Blanket, Reversible Cozy Waffle Pattern Knitted Blanket Throw for Couch Bed 60x50, Light Grey")</f>
        <v/>
      </c>
      <c r="C597" t="n">
        <v>10</v>
      </c>
      <c r="D597" t="inlineStr">
        <is>
          <t>B78691_1635811_56CE473207FE4A77</t>
        </is>
      </c>
      <c r="E597" t="inlineStr">
        <is>
          <t>1CTBN110LG</t>
        </is>
      </c>
      <c r="F597" t="n">
        <v>60</v>
      </c>
      <c r="G597" t="inlineStr">
        <is>
          <t>Bedding</t>
        </is>
      </c>
      <c r="H597" t="inlineStr">
        <is>
          <t>Throws</t>
        </is>
      </c>
      <c r="I597" t="inlineStr">
        <is>
          <t>Catalonia</t>
        </is>
      </c>
      <c r="J597" t="n">
        <v>4.899999999999999</v>
      </c>
      <c r="K597" t="inlineStr">
        <is>
          <t>Q2-Target,WFS,SEM,WFS Item,Fleece Blankets</t>
        </is>
      </c>
      <c r="L597" s="29" t="n">
        <v>0</v>
      </c>
      <c r="M597" s="30" t="n"/>
      <c r="N597" s="29" t="n">
        <v>0</v>
      </c>
      <c r="O597" s="29" t="n">
        <v>0</v>
      </c>
      <c r="P597" s="2" t="n">
        <v>0</v>
      </c>
      <c r="Q597" s="31" t="n">
        <v>0</v>
      </c>
      <c r="R597" s="32" t="n"/>
      <c r="S597" s="32" t="n">
        <v>0</v>
      </c>
      <c r="T597" s="32" t="n">
        <v>0</v>
      </c>
      <c r="U597" s="31" t="n">
        <v>0</v>
      </c>
      <c r="V597" s="32" t="n">
        <v>0</v>
      </c>
      <c r="W597" s="31" t="n">
        <v>0</v>
      </c>
      <c r="X597" s="31" t="n">
        <v>0</v>
      </c>
      <c r="Y597" s="3" t="n">
        <v>0</v>
      </c>
      <c r="Z597" s="3" t="n">
        <v>0</v>
      </c>
      <c r="AA597" s="32" t="n">
        <v>0</v>
      </c>
      <c r="AB597" s="3" t="n">
        <v>0</v>
      </c>
      <c r="AC597" s="32" t="n">
        <v>0</v>
      </c>
      <c r="AD597" s="3" t="n"/>
      <c r="AE597" s="31" t="n">
        <v>0</v>
      </c>
      <c r="AF597" s="2" t="n">
        <v>0</v>
      </c>
      <c r="AG597" s="2" t="n">
        <v>612</v>
      </c>
      <c r="AH597" s="4" t="n">
        <v>612</v>
      </c>
      <c r="AI597" s="33" t="n">
        <v>0</v>
      </c>
      <c r="AJ597" s="4" t="n">
        <v>0</v>
      </c>
      <c r="AK597" s="34" t="n"/>
      <c r="AL597" s="34" t="n">
        <v>0</v>
      </c>
      <c r="AM597" s="2" t="n">
        <v>0</v>
      </c>
    </row>
    <row r="598">
      <c r="A598">
        <f>HYPERLINK("https://www.walmart.com/ip/945452259", "945452259")</f>
        <v/>
      </c>
      <c r="B598">
        <f>HYPERLINK("https://app.optiwise.ai/catalog/itemdetails/360475", "Tirrinia Pressure Pump Opener Set Corkscrew, Foil Cutter, Wine Pourer, Vacuum Stopper, Gray")</f>
        <v/>
      </c>
      <c r="C598" t="n">
        <v>2</v>
      </c>
      <c r="D598" t="inlineStr">
        <is>
          <t>B78691_1635591_5C9BB2671E1E9004</t>
        </is>
      </c>
      <c r="E598" t="inlineStr">
        <is>
          <t>1KTWO400GY</t>
        </is>
      </c>
      <c r="F598" t="n">
        <v>14</v>
      </c>
      <c r="G598" t="inlineStr">
        <is>
          <t>Home Decor, Kitchen, &amp; Other</t>
        </is>
      </c>
      <c r="H598" t="inlineStr">
        <is>
          <t>Barware Sets</t>
        </is>
      </c>
      <c r="I598" t="inlineStr">
        <is>
          <t>Tirrinia</t>
        </is>
      </c>
      <c r="K598" t="inlineStr">
        <is>
          <t>Wine,Christmas,Optimized,WFS,Wine WFS,Valentine,WFS Item</t>
        </is>
      </c>
      <c r="L598" s="29" t="n">
        <v>0</v>
      </c>
      <c r="M598" s="30" t="n"/>
      <c r="N598" s="29" t="n">
        <v>0</v>
      </c>
      <c r="O598" s="29" t="n">
        <v>0</v>
      </c>
      <c r="P598" s="2" t="n">
        <v>0</v>
      </c>
      <c r="Q598" s="31" t="n">
        <v>0</v>
      </c>
      <c r="R598" s="32" t="n"/>
      <c r="S598" s="32" t="n">
        <v>0</v>
      </c>
      <c r="T598" s="32" t="n">
        <v>0</v>
      </c>
      <c r="U598" s="31" t="n">
        <v>0</v>
      </c>
      <c r="V598" s="32" t="n">
        <v>0</v>
      </c>
      <c r="W598" s="31" t="n">
        <v>0</v>
      </c>
      <c r="X598" s="31" t="n">
        <v>0</v>
      </c>
      <c r="Y598" s="3" t="n">
        <v>0</v>
      </c>
      <c r="Z598" s="3" t="n">
        <v>0</v>
      </c>
      <c r="AA598" s="32" t="n">
        <v>0</v>
      </c>
      <c r="AB598" s="3" t="n">
        <v>0</v>
      </c>
      <c r="AC598" s="32" t="n">
        <v>0</v>
      </c>
      <c r="AD598" s="3" t="n"/>
      <c r="AE598" s="31" t="n">
        <v>0</v>
      </c>
      <c r="AF598" s="2" t="n">
        <v>0</v>
      </c>
      <c r="AG598" s="2" t="n">
        <v>1</v>
      </c>
      <c r="AH598" s="4" t="n">
        <v>1</v>
      </c>
      <c r="AI598" s="33" t="n">
        <v>0</v>
      </c>
      <c r="AJ598" s="4" t="n">
        <v>0</v>
      </c>
      <c r="AK598" s="34" t="n"/>
      <c r="AL598" s="34" t="n">
        <v>0</v>
      </c>
      <c r="AM598" s="2" t="n">
        <v>0</v>
      </c>
    </row>
    <row r="599">
      <c r="A599">
        <f>HYPERLINK("https://www.walmart.com/ip/834217535", "834217535")</f>
        <v/>
      </c>
      <c r="B599">
        <f>HYPERLINK("https://app.optiwise.ai/catalog/itemdetails/359331", "Catalonia Penguin Tails Blanket, Super Soft Plush Kids Sleeping Blanket Bag for Children Teens Boys Girls,Gift Idea")</f>
        <v/>
      </c>
      <c r="C599" t="n">
        <v>1</v>
      </c>
      <c r="D599" t="inlineStr">
        <is>
          <t>B78691_1635844_4CA768D28FC0E85A</t>
        </is>
      </c>
      <c r="E599" t="inlineStr">
        <is>
          <t>1CTMM200PG</t>
        </is>
      </c>
      <c r="F599" t="n">
        <v>27</v>
      </c>
      <c r="G599" t="inlineStr">
        <is>
          <t>Bedding</t>
        </is>
      </c>
      <c r="H599" t="inlineStr">
        <is>
          <t>Throws</t>
        </is>
      </c>
      <c r="I599" t="inlineStr">
        <is>
          <t>Catalonia</t>
        </is>
      </c>
      <c r="J599" t="n">
        <v>4.3</v>
      </c>
      <c r="K599" t="inlineStr">
        <is>
          <t>Baby days,WFS,WFS Item</t>
        </is>
      </c>
      <c r="L599" s="29" t="n">
        <v>0</v>
      </c>
      <c r="M599" s="30" t="n"/>
      <c r="N599" s="29" t="n">
        <v>0</v>
      </c>
      <c r="O599" s="29" t="n">
        <v>0</v>
      </c>
      <c r="P599" s="2" t="n">
        <v>0</v>
      </c>
      <c r="Q599" s="31" t="n">
        <v>0</v>
      </c>
      <c r="R599" s="32" t="n"/>
      <c r="S599" s="32" t="n">
        <v>0</v>
      </c>
      <c r="T599" s="32" t="n">
        <v>0</v>
      </c>
      <c r="U599" s="31" t="n">
        <v>0</v>
      </c>
      <c r="V599" s="32" t="n">
        <v>0</v>
      </c>
      <c r="W599" s="31" t="n">
        <v>0</v>
      </c>
      <c r="X599" s="31" t="n">
        <v>0</v>
      </c>
      <c r="Y599" s="3" t="n">
        <v>0</v>
      </c>
      <c r="Z599" s="3" t="n">
        <v>0</v>
      </c>
      <c r="AA599" s="32" t="n">
        <v>0</v>
      </c>
      <c r="AB599" s="3" t="n">
        <v>0</v>
      </c>
      <c r="AC599" s="32" t="n">
        <v>0</v>
      </c>
      <c r="AD599" s="3" t="n"/>
      <c r="AE599" s="31" t="n">
        <v>0</v>
      </c>
      <c r="AF599" s="2" t="n">
        <v>0</v>
      </c>
      <c r="AG599" s="2" t="n">
        <v>13</v>
      </c>
      <c r="AH599" s="4" t="n">
        <v>13</v>
      </c>
      <c r="AI599" s="33" t="n">
        <v>0</v>
      </c>
      <c r="AJ599" s="4" t="n">
        <v>0</v>
      </c>
      <c r="AK599" s="34" t="n"/>
      <c r="AL599" s="34" t="n">
        <v>0</v>
      </c>
      <c r="AM599" s="2" t="n">
        <v>0</v>
      </c>
    </row>
    <row r="600">
      <c r="A600">
        <f>HYPERLINK("https://www.walmart.com/ip/497765958", "497765958")</f>
        <v/>
      </c>
      <c r="B600">
        <f>HYPERLINK("https://app.optiwise.ai/catalog/itemdetails/361832", "Oversized Hoodie Blanket Sweatshirt Sherpa")</f>
        <v/>
      </c>
      <c r="C600" t="n">
        <v>3</v>
      </c>
      <c r="D600" t="inlineStr">
        <is>
          <t>B78691_1681478_5C48F4914C099302</t>
        </is>
      </c>
      <c r="E600" t="inlineStr">
        <is>
          <t>1CTHD201UNI</t>
        </is>
      </c>
      <c r="F600" t="n">
        <v>1</v>
      </c>
      <c r="G600" t="inlineStr">
        <is>
          <t>Clothing</t>
        </is>
      </c>
      <c r="H600" t="inlineStr">
        <is>
          <t>Sweatshirts &amp; Hoodies</t>
        </is>
      </c>
      <c r="I600" t="inlineStr">
        <is>
          <t>Catalonia</t>
        </is>
      </c>
      <c r="J600" t="n">
        <v>5</v>
      </c>
      <c r="K600" t="inlineStr">
        <is>
          <t>Hoodie For Kids,WFS,WFS Item</t>
        </is>
      </c>
      <c r="L600" s="29" t="n">
        <v>0</v>
      </c>
      <c r="M600" s="30" t="n"/>
      <c r="N600" s="29" t="n">
        <v>0</v>
      </c>
      <c r="O600" s="29" t="n">
        <v>0</v>
      </c>
      <c r="P600" s="2" t="n">
        <v>0</v>
      </c>
      <c r="Q600" s="31" t="n">
        <v>8.139999999999997</v>
      </c>
      <c r="R600" s="32" t="n">
        <v>0.001</v>
      </c>
      <c r="S600" s="32" t="n">
        <v>0</v>
      </c>
      <c r="T600" s="32" t="n">
        <v>0</v>
      </c>
      <c r="U600" s="31" t="n">
        <v>0</v>
      </c>
      <c r="V600" s="32" t="n">
        <v>0</v>
      </c>
      <c r="W600" s="31" t="n">
        <v>0</v>
      </c>
      <c r="X600" s="31" t="n">
        <v>0</v>
      </c>
      <c r="Y600" s="3" t="n">
        <v>40221</v>
      </c>
      <c r="Z600" s="3" t="n">
        <v>21</v>
      </c>
      <c r="AA600" s="32" t="n">
        <v>0.0005</v>
      </c>
      <c r="AB600" s="3" t="n">
        <v>0</v>
      </c>
      <c r="AC600" s="32" t="n">
        <v>0</v>
      </c>
      <c r="AD600" s="3" t="inlineStr">
        <is>
          <t>Hoodies_Auto</t>
        </is>
      </c>
      <c r="AE600" s="31" t="n">
        <v>0.39</v>
      </c>
      <c r="AF600" s="2" t="n">
        <v>0</v>
      </c>
      <c r="AG600" s="2" t="n">
        <v>70</v>
      </c>
      <c r="AH600" s="4" t="n">
        <v>49</v>
      </c>
      <c r="AI600" s="33" t="n">
        <v>0</v>
      </c>
      <c r="AJ600" s="4" t="n">
        <v>0</v>
      </c>
      <c r="AK600" s="34" t="n"/>
      <c r="AL600" s="34" t="n">
        <v>0</v>
      </c>
      <c r="AM600" s="2" t="n">
        <v>0</v>
      </c>
    </row>
    <row r="601">
      <c r="A601">
        <f>HYPERLINK("https://www.walmart.com/ip/890059500", "890059500")</f>
        <v/>
      </c>
      <c r="B601">
        <f>HYPERLINK("https://app.optiwise.ai/catalog/itemdetails/360588", "Summer Caps for Men and Women Patriotic Independence Day USA Flag UV Protect  Adjustable Unisex Hats for Sports")</f>
        <v/>
      </c>
      <c r="C601" t="n">
        <v>2</v>
      </c>
      <c r="D601" t="inlineStr">
        <is>
          <t>B78691_1679447_5C9BB2671E1E9004</t>
        </is>
      </c>
      <c r="E601" t="inlineStr">
        <is>
          <t>1WMBC100WH</t>
        </is>
      </c>
      <c r="F601" t="n">
        <v>2</v>
      </c>
      <c r="G601" t="inlineStr">
        <is>
          <t>Sport &amp; Recreation Other</t>
        </is>
      </c>
      <c r="H601" t="inlineStr">
        <is>
          <t>Hats</t>
        </is>
      </c>
      <c r="I601" t="inlineStr">
        <is>
          <t>Flyingstar</t>
        </is>
      </c>
      <c r="J601" t="n">
        <v>5</v>
      </c>
      <c r="K601" t="inlineStr">
        <is>
          <t>Hats,Batch 1 - TR</t>
        </is>
      </c>
      <c r="L601" s="29" t="n">
        <v>0</v>
      </c>
      <c r="M601" s="30" t="n"/>
      <c r="N601" s="29" t="n">
        <v>0</v>
      </c>
      <c r="O601" s="29" t="n">
        <v>0</v>
      </c>
      <c r="P601" s="2" t="n">
        <v>0</v>
      </c>
      <c r="Q601" s="31" t="n">
        <v>0</v>
      </c>
      <c r="R601" s="32" t="n"/>
      <c r="S601" s="32" t="n">
        <v>0</v>
      </c>
      <c r="T601" s="32" t="n">
        <v>0</v>
      </c>
      <c r="U601" s="31" t="n">
        <v>0</v>
      </c>
      <c r="V601" s="32" t="n">
        <v>0</v>
      </c>
      <c r="W601" s="31" t="n">
        <v>0</v>
      </c>
      <c r="X601" s="31" t="n">
        <v>0</v>
      </c>
      <c r="Y601" s="3" t="n">
        <v>0</v>
      </c>
      <c r="Z601" s="3" t="n">
        <v>0</v>
      </c>
      <c r="AA601" s="32" t="n">
        <v>0</v>
      </c>
      <c r="AB601" s="3" t="n">
        <v>0</v>
      </c>
      <c r="AC601" s="32" t="n">
        <v>0</v>
      </c>
      <c r="AD601" s="3" t="n"/>
      <c r="AE601" s="31" t="n">
        <v>0</v>
      </c>
      <c r="AF601" s="2" t="n">
        <v>0</v>
      </c>
      <c r="AG601" s="2" t="n">
        <v>40</v>
      </c>
      <c r="AH601" s="4" t="n">
        <v>40</v>
      </c>
      <c r="AI601" s="33" t="n">
        <v>0</v>
      </c>
      <c r="AJ601" s="4" t="n">
        <v>0</v>
      </c>
      <c r="AK601" s="34" t="n"/>
      <c r="AL601" s="34" t="n">
        <v>0</v>
      </c>
      <c r="AM601" s="2" t="n">
        <v>0</v>
      </c>
    </row>
    <row r="602">
      <c r="A602">
        <f>HYPERLINK("https://www.walmart.com/ip/133994242", "133994242")</f>
        <v/>
      </c>
      <c r="B602">
        <f>HYPERLINK("https://app.optiwise.ai/catalog/itemdetails/360572", "KC Caps Sun Flare Racing Cap Black")</f>
        <v/>
      </c>
      <c r="C602" t="n">
        <v>3</v>
      </c>
      <c r="D602" t="inlineStr">
        <is>
          <t>B78691_974385_5C9BB2671E1E9004</t>
        </is>
      </c>
      <c r="E602" t="inlineStr">
        <is>
          <t>KC-FL01</t>
        </is>
      </c>
      <c r="F602" t="n">
        <v>0</v>
      </c>
      <c r="G602" t="inlineStr">
        <is>
          <t>Clothing</t>
        </is>
      </c>
      <c r="H602" t="inlineStr">
        <is>
          <t>Hats</t>
        </is>
      </c>
      <c r="I602" t="inlineStr">
        <is>
          <t>KC Caps</t>
        </is>
      </c>
      <c r="K602" t="inlineStr">
        <is>
          <t>Optimized</t>
        </is>
      </c>
      <c r="L602" s="29" t="n">
        <v>0</v>
      </c>
      <c r="M602" s="30" t="n"/>
      <c r="N602" s="29" t="n">
        <v>0</v>
      </c>
      <c r="O602" s="29" t="n">
        <v>0</v>
      </c>
      <c r="P602" s="2" t="n">
        <v>0</v>
      </c>
      <c r="Q602" s="31" t="n">
        <v>0</v>
      </c>
      <c r="R602" s="32" t="n"/>
      <c r="S602" s="32" t="n">
        <v>0</v>
      </c>
      <c r="T602" s="32" t="n">
        <v>0</v>
      </c>
      <c r="U602" s="31" t="n">
        <v>0</v>
      </c>
      <c r="V602" s="32" t="n">
        <v>0</v>
      </c>
      <c r="W602" s="31" t="n">
        <v>0</v>
      </c>
      <c r="X602" s="31" t="n">
        <v>0</v>
      </c>
      <c r="Y602" s="3" t="n">
        <v>0</v>
      </c>
      <c r="Z602" s="3" t="n">
        <v>0</v>
      </c>
      <c r="AA602" s="32" t="n">
        <v>0</v>
      </c>
      <c r="AB602" s="3" t="n">
        <v>0</v>
      </c>
      <c r="AC602" s="32" t="n">
        <v>0</v>
      </c>
      <c r="AD602" s="3" t="n"/>
      <c r="AE602" s="31" t="n">
        <v>0</v>
      </c>
      <c r="AF602" s="2" t="n">
        <v>0</v>
      </c>
      <c r="AG602" s="2" t="n">
        <v>10</v>
      </c>
      <c r="AH602" s="4" t="n">
        <v>10</v>
      </c>
      <c r="AI602" s="33" t="n">
        <v>0</v>
      </c>
      <c r="AJ602" s="4" t="n">
        <v>0</v>
      </c>
      <c r="AK602" s="34" t="n"/>
      <c r="AL602" s="34" t="n">
        <v>0</v>
      </c>
      <c r="AM602" s="2" t="n">
        <v>0</v>
      </c>
    </row>
    <row r="603">
      <c r="A603">
        <f>HYPERLINK("https://www.walmart.com/ip/536999791", "536999791")</f>
        <v/>
      </c>
      <c r="B603">
        <f>HYPERLINK("https://app.optiwise.ai/catalog/itemdetails/361148", "Sun Blocker Adventure hat UPF 50+ rated Outdoor hat Wide brim with Back flap")</f>
        <v/>
      </c>
      <c r="C603" t="n">
        <v>2</v>
      </c>
      <c r="D603" t="inlineStr">
        <is>
          <t>00745950521990</t>
        </is>
      </c>
      <c r="E603" t="inlineStr">
        <is>
          <t>kc-s9150-pk</t>
        </is>
      </c>
      <c r="F603" t="n">
        <v>11</v>
      </c>
      <c r="G603" t="inlineStr">
        <is>
          <t>Clothing</t>
        </is>
      </c>
      <c r="H603" t="inlineStr">
        <is>
          <t>Hats</t>
        </is>
      </c>
      <c r="I603" t="inlineStr">
        <is>
          <t>Sun Blocker</t>
        </is>
      </c>
      <c r="K603" t="inlineStr">
        <is>
          <t>Optimized</t>
        </is>
      </c>
      <c r="L603" s="29" t="n">
        <v>0</v>
      </c>
      <c r="M603" s="30" t="n"/>
      <c r="N603" s="29" t="n">
        <v>0</v>
      </c>
      <c r="O603" s="29" t="n">
        <v>0</v>
      </c>
      <c r="P603" s="2" t="n">
        <v>0</v>
      </c>
      <c r="Q603" s="31" t="n">
        <v>0</v>
      </c>
      <c r="R603" s="32" t="n"/>
      <c r="S603" s="32" t="n">
        <v>0</v>
      </c>
      <c r="T603" s="32" t="n">
        <v>0</v>
      </c>
      <c r="U603" s="31" t="n">
        <v>0</v>
      </c>
      <c r="V603" s="32" t="n">
        <v>0</v>
      </c>
      <c r="W603" s="31" t="n">
        <v>0</v>
      </c>
      <c r="X603" s="31" t="n">
        <v>0</v>
      </c>
      <c r="Y603" s="3" t="n">
        <v>0</v>
      </c>
      <c r="Z603" s="3" t="n">
        <v>0</v>
      </c>
      <c r="AA603" s="32" t="n">
        <v>0</v>
      </c>
      <c r="AB603" s="3" t="n">
        <v>0</v>
      </c>
      <c r="AC603" s="32" t="n">
        <v>0</v>
      </c>
      <c r="AD603" s="3" t="n"/>
      <c r="AE603" s="31" t="n">
        <v>0</v>
      </c>
      <c r="AF603" s="2" t="n">
        <v>0</v>
      </c>
      <c r="AG603" s="2" t="n">
        <v>2</v>
      </c>
      <c r="AH603" s="4" t="n">
        <v>2</v>
      </c>
      <c r="AI603" s="33" t="n">
        <v>0</v>
      </c>
      <c r="AJ603" s="4" t="n">
        <v>0</v>
      </c>
      <c r="AK603" s="34" t="n"/>
      <c r="AL603" s="34" t="n">
        <v>0</v>
      </c>
      <c r="AM603" s="2" t="n">
        <v>0</v>
      </c>
    </row>
    <row r="604">
      <c r="A604">
        <f>HYPERLINK("https://www.walmart.com/ip/181224146", "181224146")</f>
        <v/>
      </c>
      <c r="B604">
        <f>HYPERLINK("https://app.optiwise.ai/catalog/itemdetails/360568", "KC Caps Youth Washed Bucket Hat One Size Fit Most")</f>
        <v/>
      </c>
      <c r="C604" t="n">
        <v>3</v>
      </c>
      <c r="D604" t="inlineStr">
        <is>
          <t>B78691_974264_5C9BB2671E1E9004</t>
        </is>
      </c>
      <c r="E604" t="inlineStr">
        <is>
          <t>KC9180BK-Y</t>
        </is>
      </c>
      <c r="F604" t="n">
        <v>1</v>
      </c>
      <c r="G604" t="inlineStr">
        <is>
          <t>Clothing</t>
        </is>
      </c>
      <c r="H604" t="inlineStr">
        <is>
          <t>Hats</t>
        </is>
      </c>
      <c r="I604" t="inlineStr">
        <is>
          <t>KC Caps</t>
        </is>
      </c>
      <c r="J604" t="n">
        <v>1</v>
      </c>
      <c r="K604" t="inlineStr">
        <is>
          <t>Batch 1 - TR</t>
        </is>
      </c>
      <c r="L604" s="29" t="n">
        <v>0</v>
      </c>
      <c r="M604" s="30" t="n"/>
      <c r="N604" s="29" t="n">
        <v>0</v>
      </c>
      <c r="O604" s="29" t="n">
        <v>0</v>
      </c>
      <c r="P604" s="2" t="n">
        <v>0</v>
      </c>
      <c r="Q604" s="31" t="n">
        <v>0</v>
      </c>
      <c r="R604" s="32" t="n"/>
      <c r="S604" s="32" t="n">
        <v>0</v>
      </c>
      <c r="T604" s="32" t="n">
        <v>0</v>
      </c>
      <c r="U604" s="31" t="n">
        <v>0</v>
      </c>
      <c r="V604" s="32" t="n">
        <v>0</v>
      </c>
      <c r="W604" s="31" t="n">
        <v>0</v>
      </c>
      <c r="X604" s="31" t="n">
        <v>0</v>
      </c>
      <c r="Y604" s="3" t="n">
        <v>0</v>
      </c>
      <c r="Z604" s="3" t="n">
        <v>0</v>
      </c>
      <c r="AA604" s="32" t="n">
        <v>0</v>
      </c>
      <c r="AB604" s="3" t="n">
        <v>0</v>
      </c>
      <c r="AC604" s="32" t="n">
        <v>0</v>
      </c>
      <c r="AD604" s="3" t="n"/>
      <c r="AE604" s="31" t="n">
        <v>0</v>
      </c>
      <c r="AF604" s="2" t="n">
        <v>0</v>
      </c>
      <c r="AG604" s="2" t="n">
        <v>4</v>
      </c>
      <c r="AH604" s="4" t="n">
        <v>4</v>
      </c>
      <c r="AI604" s="33" t="n">
        <v>0</v>
      </c>
      <c r="AJ604" s="4" t="n">
        <v>0</v>
      </c>
      <c r="AK604" s="34" t="n"/>
      <c r="AL604" s="34" t="n">
        <v>0</v>
      </c>
      <c r="AM604" s="2" t="n">
        <v>0</v>
      </c>
    </row>
    <row r="605">
      <c r="A605">
        <f>HYPERLINK("https://www.walmart.com/ip/847414691", "847414691")</f>
        <v/>
      </c>
      <c r="B605">
        <f>HYPERLINK("https://app.optiwise.ai/catalog/itemdetails/361550", "Tirrinia Insulated 2 Bottle Wine Carrier Tote Cooler Bag for Travel Picnic Padded Champagne Glass")</f>
        <v/>
      </c>
      <c r="C605" t="n">
        <v>7</v>
      </c>
      <c r="D605" t="inlineStr">
        <is>
          <t>B78691_1681746_D4BF8CF83DCDAE9</t>
        </is>
      </c>
      <c r="E605" t="inlineStr">
        <is>
          <t>1WMWB231CHEETAH</t>
        </is>
      </c>
      <c r="F605" t="n">
        <v>0</v>
      </c>
      <c r="G605" t="inlineStr">
        <is>
          <t>Home Decor, Kitchen, &amp; Other</t>
        </is>
      </c>
      <c r="H605" t="inlineStr">
        <is>
          <t>Wine Totes, Bags &amp; Backpacks</t>
        </is>
      </c>
      <c r="I605" t="inlineStr">
        <is>
          <t>Flyingstar</t>
        </is>
      </c>
      <c r="K605" t="inlineStr">
        <is>
          <t>Wine,Christmas,Valentine,SEM</t>
        </is>
      </c>
      <c r="L605" s="29" t="n">
        <v>0</v>
      </c>
      <c r="M605" s="30" t="n"/>
      <c r="N605" s="29" t="n">
        <v>0</v>
      </c>
      <c r="O605" s="29" t="n">
        <v>0</v>
      </c>
      <c r="P605" s="2" t="n">
        <v>0</v>
      </c>
      <c r="Q605" s="31" t="n">
        <v>0</v>
      </c>
      <c r="R605" s="32" t="n"/>
      <c r="S605" s="32" t="n">
        <v>0</v>
      </c>
      <c r="T605" s="32" t="n">
        <v>0</v>
      </c>
      <c r="U605" s="31" t="n">
        <v>0</v>
      </c>
      <c r="V605" s="32" t="n">
        <v>0</v>
      </c>
      <c r="W605" s="31" t="n">
        <v>0</v>
      </c>
      <c r="X605" s="31" t="n">
        <v>0</v>
      </c>
      <c r="Y605" s="3" t="n">
        <v>0</v>
      </c>
      <c r="Z605" s="3" t="n">
        <v>0</v>
      </c>
      <c r="AA605" s="32" t="n">
        <v>0</v>
      </c>
      <c r="AB605" s="3" t="n">
        <v>0</v>
      </c>
      <c r="AC605" s="32" t="n">
        <v>0</v>
      </c>
      <c r="AD605" s="3" t="n"/>
      <c r="AE605" s="31" t="n">
        <v>0</v>
      </c>
      <c r="AF605" s="2" t="n">
        <v>0</v>
      </c>
      <c r="AG605" s="2" t="n">
        <v>15</v>
      </c>
      <c r="AH605" s="4" t="n">
        <v>15</v>
      </c>
      <c r="AI605" s="33" t="n">
        <v>0</v>
      </c>
      <c r="AJ605" s="4" t="n">
        <v>0</v>
      </c>
      <c r="AK605" s="34" t="n"/>
      <c r="AL605" s="34" t="n">
        <v>0</v>
      </c>
      <c r="AM605" s="2" t="n">
        <v>0</v>
      </c>
    </row>
    <row r="606">
      <c r="A606">
        <f>HYPERLINK("https://www.walmart.com/ip/896978644", "896978644")</f>
        <v/>
      </c>
      <c r="B606">
        <f>HYPERLINK("https://app.optiwise.ai/catalog/itemdetails/360645", "Kato Deluxe Pet Carrier Backpack for Small Cats and Dogs, Two-Sided Entry Airline-Approved, Padded Back Support Travel Carrier for Hiking, Walking, Cycling and Outdoor, Light Grey")</f>
        <v/>
      </c>
      <c r="C606" t="n">
        <v>6</v>
      </c>
      <c r="D606" t="inlineStr">
        <is>
          <t>00791315383840</t>
        </is>
      </c>
      <c r="E606" t="inlineStr">
        <is>
          <t>1TRPB200LGY</t>
        </is>
      </c>
      <c r="F606" t="n">
        <v>18</v>
      </c>
      <c r="G606" t="inlineStr">
        <is>
          <t>Animal Other</t>
        </is>
      </c>
      <c r="H606" t="inlineStr">
        <is>
          <t>Pet Carriers</t>
        </is>
      </c>
      <c r="I606" t="inlineStr">
        <is>
          <t>Kato</t>
        </is>
      </c>
      <c r="J606" t="n">
        <v>4.8</v>
      </c>
      <c r="K606" t="inlineStr">
        <is>
          <t>Optimized,WFS,WFS Item</t>
        </is>
      </c>
      <c r="L606" s="29" t="n">
        <v>0</v>
      </c>
      <c r="M606" s="30" t="n"/>
      <c r="N606" s="29" t="n">
        <v>0</v>
      </c>
      <c r="O606" s="29" t="n">
        <v>0</v>
      </c>
      <c r="P606" s="2" t="n">
        <v>0</v>
      </c>
      <c r="Q606" s="31" t="n">
        <v>0</v>
      </c>
      <c r="R606" s="32" t="n"/>
      <c r="S606" s="32" t="n">
        <v>0</v>
      </c>
      <c r="T606" s="32" t="n">
        <v>0</v>
      </c>
      <c r="U606" s="31" t="n">
        <v>0</v>
      </c>
      <c r="V606" s="32" t="n">
        <v>0</v>
      </c>
      <c r="W606" s="31" t="n">
        <v>0</v>
      </c>
      <c r="X606" s="31" t="n">
        <v>0</v>
      </c>
      <c r="Y606" s="3" t="n">
        <v>0</v>
      </c>
      <c r="Z606" s="3" t="n">
        <v>0</v>
      </c>
      <c r="AA606" s="32" t="n">
        <v>0</v>
      </c>
      <c r="AB606" s="3" t="n">
        <v>0</v>
      </c>
      <c r="AC606" s="32" t="n">
        <v>0</v>
      </c>
      <c r="AD606" s="3" t="n"/>
      <c r="AE606" s="31" t="n">
        <v>0</v>
      </c>
      <c r="AF606" s="2" t="n">
        <v>0</v>
      </c>
      <c r="AG606" s="2" t="n">
        <v>102</v>
      </c>
      <c r="AH606" s="4" t="n">
        <v>102</v>
      </c>
      <c r="AI606" s="33" t="n">
        <v>0</v>
      </c>
      <c r="AJ606" s="4" t="n">
        <v>0</v>
      </c>
      <c r="AK606" s="34" t="n"/>
      <c r="AL606" s="34" t="n">
        <v>0</v>
      </c>
      <c r="AM606" s="2" t="n">
        <v>0</v>
      </c>
    </row>
    <row r="607">
      <c r="A607">
        <f>HYPERLINK("https://www.walmart.com/ip/878891906", "878891906")</f>
        <v/>
      </c>
      <c r="B607">
        <f>HYPERLINK("https://app.optiwise.ai/catalog/itemdetails/361169", "Flyingstar Sherpa Throws Blanket, Fleece Soft Cozy Blanket Throws for Sofa Bed 50x60")</f>
        <v/>
      </c>
      <c r="C607" t="n">
        <v>4</v>
      </c>
      <c r="D607" t="inlineStr">
        <is>
          <t>B78691_1679726_56876DB42734D445</t>
        </is>
      </c>
      <c r="E607" t="inlineStr">
        <is>
          <t>1WMBF301RD-ESGM</t>
        </is>
      </c>
      <c r="F607" t="n">
        <v>0</v>
      </c>
      <c r="G607" t="inlineStr">
        <is>
          <t>Bedding</t>
        </is>
      </c>
      <c r="H607" t="inlineStr">
        <is>
          <t>Throws</t>
        </is>
      </c>
      <c r="I607" t="inlineStr">
        <is>
          <t>Flyingstar</t>
        </is>
      </c>
      <c r="K607" t="inlineStr">
        <is>
          <t>Optimized</t>
        </is>
      </c>
      <c r="L607" s="29" t="n">
        <v>0</v>
      </c>
      <c r="M607" s="30" t="n"/>
      <c r="N607" s="29" t="n">
        <v>0</v>
      </c>
      <c r="O607" s="29" t="n">
        <v>0</v>
      </c>
      <c r="P607" s="2" t="n">
        <v>0</v>
      </c>
      <c r="Q607" s="31" t="n">
        <v>0</v>
      </c>
      <c r="R607" s="32" t="n"/>
      <c r="S607" s="32" t="n">
        <v>0</v>
      </c>
      <c r="T607" s="32" t="n">
        <v>0</v>
      </c>
      <c r="U607" s="31" t="n">
        <v>0</v>
      </c>
      <c r="V607" s="32" t="n">
        <v>0</v>
      </c>
      <c r="W607" s="31" t="n">
        <v>0</v>
      </c>
      <c r="X607" s="31" t="n">
        <v>0</v>
      </c>
      <c r="Y607" s="3" t="n">
        <v>0</v>
      </c>
      <c r="Z607" s="3" t="n">
        <v>0</v>
      </c>
      <c r="AA607" s="32" t="n">
        <v>0</v>
      </c>
      <c r="AB607" s="3" t="n">
        <v>0</v>
      </c>
      <c r="AC607" s="32" t="n">
        <v>0</v>
      </c>
      <c r="AD607" s="3" t="n"/>
      <c r="AE607" s="31" t="n">
        <v>0</v>
      </c>
      <c r="AF607" s="2" t="n">
        <v>0</v>
      </c>
      <c r="AG607" s="2" t="n">
        <v>6</v>
      </c>
      <c r="AH607" s="4" t="n">
        <v>6</v>
      </c>
      <c r="AI607" s="33" t="n">
        <v>0</v>
      </c>
      <c r="AJ607" s="4" t="n">
        <v>0</v>
      </c>
      <c r="AK607" s="34" t="n"/>
      <c r="AL607" s="34" t="n">
        <v>0</v>
      </c>
      <c r="AM607" s="2" t="n">
        <v>0</v>
      </c>
    </row>
    <row r="608">
      <c r="A608">
        <f>HYPERLINK("https://www.walmart.com/ip/128704352", "128704352")</f>
        <v/>
      </c>
      <c r="B608">
        <f>HYPERLINK("https://app.optiwise.ai/catalog/itemdetails/360528", "KC Caps Fleece Shawl Wrap Scarf with Pockets, Cozy and Beanie Hats Set, Adult Women Men, 1.87 lbs")</f>
        <v/>
      </c>
      <c r="C608" t="n">
        <v>2</v>
      </c>
      <c r="D608" t="inlineStr">
        <is>
          <t>B78691_974454</t>
        </is>
      </c>
      <c r="E608" t="inlineStr">
        <is>
          <t>KC-W1810-W1850-CHT</t>
        </is>
      </c>
      <c r="F608" t="n">
        <v>0</v>
      </c>
      <c r="G608" t="inlineStr">
        <is>
          <t>Clothing</t>
        </is>
      </c>
      <c r="H608" t="inlineStr">
        <is>
          <t>Scarves</t>
        </is>
      </c>
      <c r="I608" t="inlineStr">
        <is>
          <t>KC Caps</t>
        </is>
      </c>
      <c r="K608" t="inlineStr">
        <is>
          <t>Batch 1 - TR</t>
        </is>
      </c>
      <c r="L608" s="29" t="n">
        <v>0</v>
      </c>
      <c r="M608" s="30" t="n"/>
      <c r="N608" s="29" t="n">
        <v>104.7000045776367</v>
      </c>
      <c r="O608" s="29" t="n">
        <v>0</v>
      </c>
      <c r="P608" s="2" t="n">
        <v>0</v>
      </c>
      <c r="Q608" s="31" t="n">
        <v>0</v>
      </c>
      <c r="R608" s="32" t="n"/>
      <c r="S608" s="32" t="n">
        <v>0</v>
      </c>
      <c r="T608" s="32" t="n">
        <v>0</v>
      </c>
      <c r="U608" s="31" t="n">
        <v>0</v>
      </c>
      <c r="V608" s="32" t="n">
        <v>0</v>
      </c>
      <c r="W608" s="31" t="n">
        <v>0</v>
      </c>
      <c r="X608" s="31" t="n">
        <v>0</v>
      </c>
      <c r="Y608" s="3" t="n">
        <v>0</v>
      </c>
      <c r="Z608" s="3" t="n">
        <v>0</v>
      </c>
      <c r="AA608" s="32" t="n">
        <v>0</v>
      </c>
      <c r="AB608" s="3" t="n">
        <v>0</v>
      </c>
      <c r="AC608" s="32" t="n">
        <v>0</v>
      </c>
      <c r="AD608" s="3" t="n"/>
      <c r="AE608" s="31" t="n">
        <v>0</v>
      </c>
      <c r="AF608" s="2" t="n">
        <v>8</v>
      </c>
      <c r="AG608" s="2" t="n">
        <v>36</v>
      </c>
      <c r="AH608" s="4" t="n">
        <v>36</v>
      </c>
      <c r="AI608" s="33" t="n">
        <v>0</v>
      </c>
      <c r="AJ608" s="4" t="n">
        <v>0</v>
      </c>
      <c r="AK608" s="34" t="n"/>
      <c r="AL608" s="34" t="n">
        <v>0</v>
      </c>
      <c r="AM608" s="2" t="n">
        <v>0</v>
      </c>
    </row>
    <row r="609">
      <c r="A609">
        <f>HYPERLINK("https://www.walmart.com/ip/212399897", "212399897")</f>
        <v/>
      </c>
      <c r="B609">
        <f>HYPERLINK("https://app.optiwise.ai/catalog/itemdetails/360506", "Luxury Sherpa Knit Throw Blanket 50 x 60, Home Decorative Blanket for Sofa Couch Chair All Season TV Blanket | Super Soft, Warm, Waffle Weave Knit | Catalonia series by Tirrinia, Blue")</f>
        <v/>
      </c>
      <c r="C609" t="n">
        <v>3</v>
      </c>
      <c r="D609" t="inlineStr">
        <is>
          <t>B78691_1639337_5C9BB2671E1E9004</t>
        </is>
      </c>
      <c r="E609" t="inlineStr">
        <is>
          <t>1TRBN300BL-TBCB</t>
        </is>
      </c>
      <c r="F609" t="n">
        <v>1</v>
      </c>
      <c r="G609" t="inlineStr">
        <is>
          <t>Bedding</t>
        </is>
      </c>
      <c r="H609" t="inlineStr">
        <is>
          <t>Throws</t>
        </is>
      </c>
      <c r="I609" t="inlineStr">
        <is>
          <t>Tirrinia</t>
        </is>
      </c>
      <c r="K609" t="inlineStr">
        <is>
          <t>Batch 1 - TR</t>
        </is>
      </c>
      <c r="L609" s="29" t="n">
        <v>0</v>
      </c>
      <c r="M609" s="30" t="n"/>
      <c r="N609" s="29" t="n">
        <v>47.97999954223633</v>
      </c>
      <c r="O609" s="29" t="n">
        <v>0</v>
      </c>
      <c r="P609" s="2" t="n">
        <v>0</v>
      </c>
      <c r="Q609" s="31" t="n">
        <v>0</v>
      </c>
      <c r="R609" s="32" t="n"/>
      <c r="S609" s="32" t="n">
        <v>0</v>
      </c>
      <c r="T609" s="32" t="n">
        <v>0</v>
      </c>
      <c r="U609" s="31" t="n">
        <v>0</v>
      </c>
      <c r="V609" s="32" t="n">
        <v>0</v>
      </c>
      <c r="W609" s="31" t="n">
        <v>0</v>
      </c>
      <c r="X609" s="31" t="n">
        <v>0</v>
      </c>
      <c r="Y609" s="3" t="n">
        <v>0</v>
      </c>
      <c r="Z609" s="3" t="n">
        <v>0</v>
      </c>
      <c r="AA609" s="32" t="n">
        <v>0</v>
      </c>
      <c r="AB609" s="3" t="n">
        <v>0</v>
      </c>
      <c r="AC609" s="32" t="n">
        <v>0</v>
      </c>
      <c r="AD609" s="3" t="n"/>
      <c r="AE609" s="31" t="n">
        <v>0</v>
      </c>
      <c r="AF609" s="2" t="n">
        <v>0</v>
      </c>
      <c r="AG609" s="2" t="n">
        <v>38</v>
      </c>
      <c r="AH609" s="4" t="n">
        <v>38</v>
      </c>
      <c r="AI609" s="33" t="n">
        <v>0</v>
      </c>
      <c r="AJ609" s="4" t="n">
        <v>0</v>
      </c>
      <c r="AK609" s="34" t="n"/>
      <c r="AL609" s="34" t="n">
        <v>0</v>
      </c>
      <c r="AM609" s="2" t="n">
        <v>0</v>
      </c>
    </row>
    <row r="610">
      <c r="A610">
        <f>HYPERLINK("https://www.walmart.com/ip/113817246", "113817246")</f>
        <v/>
      </c>
      <c r="B610">
        <f>HYPERLINK("https://app.optiwise.ai/catalog/itemdetails/361107", "KC Caps Unisex Adjustable Snap Closure USA Flag Embroidered Cap Hat")</f>
        <v/>
      </c>
      <c r="C610" t="n">
        <v>4</v>
      </c>
      <c r="D610" t="inlineStr">
        <is>
          <t>B78691_974269_5C9BB2671E1E9004</t>
        </is>
      </c>
      <c r="E610" t="inlineStr">
        <is>
          <t>kc-ae-6100-ry</t>
        </is>
      </c>
      <c r="F610" t="n">
        <v>0</v>
      </c>
      <c r="G610" t="inlineStr">
        <is>
          <t>Clothing</t>
        </is>
      </c>
      <c r="H610" t="inlineStr">
        <is>
          <t>Hats</t>
        </is>
      </c>
      <c r="I610" t="inlineStr">
        <is>
          <t>KC Caps</t>
        </is>
      </c>
      <c r="K610" t="inlineStr">
        <is>
          <t>Optimized</t>
        </is>
      </c>
      <c r="L610" s="29" t="n">
        <v>0</v>
      </c>
      <c r="M610" s="30" t="n"/>
      <c r="N610" s="29" t="n">
        <v>0</v>
      </c>
      <c r="O610" s="29" t="n">
        <v>0</v>
      </c>
      <c r="P610" s="2" t="n">
        <v>0</v>
      </c>
      <c r="Q610" s="31" t="n">
        <v>0</v>
      </c>
      <c r="R610" s="32" t="n"/>
      <c r="S610" s="32" t="n">
        <v>0</v>
      </c>
      <c r="T610" s="32" t="n">
        <v>0</v>
      </c>
      <c r="U610" s="31" t="n">
        <v>0</v>
      </c>
      <c r="V610" s="32" t="n">
        <v>0</v>
      </c>
      <c r="W610" s="31" t="n">
        <v>0</v>
      </c>
      <c r="X610" s="31" t="n">
        <v>0</v>
      </c>
      <c r="Y610" s="3" t="n">
        <v>0</v>
      </c>
      <c r="Z610" s="3" t="n">
        <v>0</v>
      </c>
      <c r="AA610" s="32" t="n">
        <v>0</v>
      </c>
      <c r="AB610" s="3" t="n">
        <v>0</v>
      </c>
      <c r="AC610" s="32" t="n">
        <v>0</v>
      </c>
      <c r="AD610" s="3" t="n"/>
      <c r="AE610" s="31" t="n">
        <v>0</v>
      </c>
      <c r="AF610" s="2" t="n">
        <v>0</v>
      </c>
      <c r="AG610" s="2" t="n">
        <v>5</v>
      </c>
      <c r="AH610" s="4" t="n">
        <v>5</v>
      </c>
      <c r="AI610" s="33" t="n">
        <v>0</v>
      </c>
      <c r="AJ610" s="4" t="n">
        <v>0</v>
      </c>
      <c r="AK610" s="34" t="n"/>
      <c r="AL610" s="34" t="n">
        <v>0</v>
      </c>
      <c r="AM610" s="2" t="n">
        <v>0</v>
      </c>
    </row>
    <row r="611">
      <c r="A611">
        <f>HYPERLINK("https://www.walmart.com/ip/348595969", "348595969")</f>
        <v/>
      </c>
      <c r="B611">
        <f>HYPERLINK("https://app.optiwise.ai/catalog/itemdetails/360465", "KC Caps® Large 2 Pocket Bib Cooking Restaurant Kitchen Chef Apron Dress Canvas")</f>
        <v/>
      </c>
      <c r="C611" t="n">
        <v>2</v>
      </c>
      <c r="D611" t="inlineStr">
        <is>
          <t>B78691_1567998_5C9BB2671E1E9004</t>
        </is>
      </c>
      <c r="E611" t="inlineStr">
        <is>
          <t>KC-A9324-ROYAL</t>
        </is>
      </c>
      <c r="F611" t="n">
        <v>0</v>
      </c>
      <c r="G611" t="inlineStr">
        <is>
          <t>Home Decor, Kitchen, &amp; Other</t>
        </is>
      </c>
      <c r="H611" t="inlineStr">
        <is>
          <t>Cooking Aprons</t>
        </is>
      </c>
      <c r="I611" t="inlineStr">
        <is>
          <t>KC Caps</t>
        </is>
      </c>
      <c r="K611" t="inlineStr">
        <is>
          <t>Batch 1 - TR</t>
        </is>
      </c>
      <c r="L611" s="29" t="n">
        <v>0</v>
      </c>
      <c r="M611" s="30" t="n"/>
      <c r="N611" s="29" t="n">
        <v>0</v>
      </c>
      <c r="O611" s="29" t="n">
        <v>0</v>
      </c>
      <c r="P611" s="2" t="n">
        <v>0</v>
      </c>
      <c r="Q611" s="31" t="n">
        <v>0</v>
      </c>
      <c r="R611" s="32" t="n"/>
      <c r="S611" s="32" t="n">
        <v>0</v>
      </c>
      <c r="T611" s="32" t="n">
        <v>0</v>
      </c>
      <c r="U611" s="31" t="n">
        <v>0</v>
      </c>
      <c r="V611" s="32" t="n">
        <v>0</v>
      </c>
      <c r="W611" s="31" t="n">
        <v>0</v>
      </c>
      <c r="X611" s="31" t="n">
        <v>0</v>
      </c>
      <c r="Y611" s="3" t="n">
        <v>0</v>
      </c>
      <c r="Z611" s="3" t="n">
        <v>0</v>
      </c>
      <c r="AA611" s="32" t="n">
        <v>0</v>
      </c>
      <c r="AB611" s="3" t="n">
        <v>0</v>
      </c>
      <c r="AC611" s="32" t="n">
        <v>0</v>
      </c>
      <c r="AD611" s="3" t="n"/>
      <c r="AE611" s="31" t="n">
        <v>0</v>
      </c>
      <c r="AF611" s="2" t="n">
        <v>0</v>
      </c>
      <c r="AG611" s="2" t="n">
        <v>10</v>
      </c>
      <c r="AH611" s="4" t="n">
        <v>10</v>
      </c>
      <c r="AI611" s="33" t="n">
        <v>0</v>
      </c>
      <c r="AJ611" s="4" t="n">
        <v>0</v>
      </c>
      <c r="AK611" s="34" t="n"/>
      <c r="AL611" s="34" t="n">
        <v>0</v>
      </c>
      <c r="AM611" s="2" t="n">
        <v>0</v>
      </c>
    </row>
    <row r="612">
      <c r="A612">
        <f>HYPERLINK("https://www.walmart.com/ip/113714018", "113714018")</f>
        <v/>
      </c>
      <c r="B612">
        <f>HYPERLINK("https://app.optiwise.ai/catalog/itemdetails/360450", "KC Caps® Unstructured Low-profile Two-Tone Denim Garment Washed Baseball Cap")</f>
        <v/>
      </c>
      <c r="C612" t="n">
        <v>3</v>
      </c>
      <c r="D612" t="inlineStr">
        <is>
          <t>B78691_974237_5C9BB2671E1E9004</t>
        </is>
      </c>
      <c r="E612" t="inlineStr">
        <is>
          <t>KC8080JEANKK</t>
        </is>
      </c>
      <c r="F612" t="n">
        <v>0</v>
      </c>
      <c r="G612" t="inlineStr">
        <is>
          <t>Clothing</t>
        </is>
      </c>
      <c r="H612" t="inlineStr">
        <is>
          <t>Hats</t>
        </is>
      </c>
      <c r="I612" t="inlineStr">
        <is>
          <t>KC Caps</t>
        </is>
      </c>
      <c r="K612" t="inlineStr">
        <is>
          <t>Optimized</t>
        </is>
      </c>
      <c r="L612" s="29" t="n">
        <v>0</v>
      </c>
      <c r="M612" s="30" t="n"/>
      <c r="N612" s="29" t="n">
        <v>0</v>
      </c>
      <c r="O612" s="29" t="n">
        <v>0</v>
      </c>
      <c r="P612" s="2" t="n">
        <v>0</v>
      </c>
      <c r="Q612" s="31" t="n">
        <v>0</v>
      </c>
      <c r="R612" s="32" t="n"/>
      <c r="S612" s="32" t="n">
        <v>0</v>
      </c>
      <c r="T612" s="32" t="n">
        <v>0</v>
      </c>
      <c r="U612" s="31" t="n">
        <v>0</v>
      </c>
      <c r="V612" s="32" t="n">
        <v>0</v>
      </c>
      <c r="W612" s="31" t="n">
        <v>0</v>
      </c>
      <c r="X612" s="31" t="n">
        <v>0</v>
      </c>
      <c r="Y612" s="3" t="n">
        <v>0</v>
      </c>
      <c r="Z612" s="3" t="n">
        <v>0</v>
      </c>
      <c r="AA612" s="32" t="n">
        <v>0</v>
      </c>
      <c r="AB612" s="3" t="n">
        <v>0</v>
      </c>
      <c r="AC612" s="32" t="n">
        <v>0</v>
      </c>
      <c r="AD612" s="3" t="n"/>
      <c r="AE612" s="31" t="n">
        <v>0</v>
      </c>
      <c r="AF612" s="2" t="n">
        <v>0</v>
      </c>
      <c r="AG612" s="2" t="n">
        <v>19</v>
      </c>
      <c r="AH612" s="4" t="n">
        <v>19</v>
      </c>
      <c r="AI612" s="33" t="n">
        <v>0</v>
      </c>
      <c r="AJ612" s="4" t="n">
        <v>0</v>
      </c>
      <c r="AK612" s="34" t="n"/>
      <c r="AL612" s="34" t="n">
        <v>0</v>
      </c>
      <c r="AM612" s="2" t="n">
        <v>0</v>
      </c>
    </row>
    <row r="613">
      <c r="A613">
        <f>HYPERLINK("https://www.walmart.com/ip/248204253", "248204253")</f>
        <v/>
      </c>
      <c r="B613">
        <f>HYPERLINK("https://app.optiwise.ai/catalog/itemdetails/360429", "Catalonia Weighted Blanket for Kids and Adults, 20lb Heavy Blanket, Cotton, Grey, 60 × 80 Inches")</f>
        <v/>
      </c>
      <c r="C613" t="n">
        <v>1</v>
      </c>
      <c r="D613" t="inlineStr">
        <is>
          <t>B78691_1680677_650BC48FC4805AEB</t>
        </is>
      </c>
      <c r="E613" t="inlineStr">
        <is>
          <t>1CTBG806GY-20C</t>
        </is>
      </c>
      <c r="F613" t="n">
        <v>0</v>
      </c>
      <c r="G613" t="inlineStr">
        <is>
          <t>Bedding</t>
        </is>
      </c>
      <c r="H613" t="inlineStr">
        <is>
          <t>Bed Blankets</t>
        </is>
      </c>
      <c r="I613" t="inlineStr">
        <is>
          <t>Catalonia</t>
        </is>
      </c>
      <c r="K613" t="inlineStr">
        <is>
          <t>Optimized,Valentine</t>
        </is>
      </c>
      <c r="L613" s="29" t="n">
        <v>0</v>
      </c>
      <c r="M613" s="30" t="n"/>
      <c r="N613" s="29" t="n">
        <v>0</v>
      </c>
      <c r="O613" s="29" t="n">
        <v>0</v>
      </c>
      <c r="P613" s="2" t="n">
        <v>0</v>
      </c>
      <c r="Q613" s="31" t="n">
        <v>0</v>
      </c>
      <c r="R613" s="32" t="n"/>
      <c r="S613" s="32" t="n">
        <v>0</v>
      </c>
      <c r="T613" s="32" t="n">
        <v>0</v>
      </c>
      <c r="U613" s="31" t="n">
        <v>0</v>
      </c>
      <c r="V613" s="32" t="n">
        <v>0</v>
      </c>
      <c r="W613" s="31" t="n">
        <v>0</v>
      </c>
      <c r="X613" s="31" t="n">
        <v>0</v>
      </c>
      <c r="Y613" s="3" t="n">
        <v>0</v>
      </c>
      <c r="Z613" s="3" t="n">
        <v>0</v>
      </c>
      <c r="AA613" s="32" t="n">
        <v>0</v>
      </c>
      <c r="AB613" s="3" t="n">
        <v>0</v>
      </c>
      <c r="AC613" s="32" t="n">
        <v>0</v>
      </c>
      <c r="AD613" s="3" t="n"/>
      <c r="AE613" s="31" t="n">
        <v>0</v>
      </c>
      <c r="AF613" s="2" t="n">
        <v>0</v>
      </c>
      <c r="AG613" s="2" t="n">
        <v>5</v>
      </c>
      <c r="AH613" s="4" t="n">
        <v>5</v>
      </c>
      <c r="AI613" s="33" t="n">
        <v>0</v>
      </c>
      <c r="AJ613" s="4" t="n">
        <v>0</v>
      </c>
      <c r="AK613" s="34" t="n"/>
      <c r="AL613" s="34" t="n">
        <v>0</v>
      </c>
      <c r="AM613" s="2" t="n">
        <v>0</v>
      </c>
    </row>
    <row r="614">
      <c r="A614">
        <f>HYPERLINK("https://www.walmart.com/ip/136742793", "136742793")</f>
        <v/>
      </c>
      <c r="B614">
        <f>HYPERLINK("https://app.optiwise.ai/catalog/itemdetails/361683", "Napa Premium Chevron Micro Plush Fleece Sherpa Bed Throw TV Blanket 50” x 60” Sea Blue")</f>
        <v/>
      </c>
      <c r="C614" t="n">
        <v>2</v>
      </c>
      <c r="D614" t="inlineStr">
        <is>
          <t>B78691_974193</t>
        </is>
      </c>
      <c r="E614" t="inlineStr">
        <is>
          <t>K8020SEABLUE</t>
        </is>
      </c>
      <c r="F614" t="n">
        <v>2</v>
      </c>
      <c r="G614" t="inlineStr">
        <is>
          <t>Bedding</t>
        </is>
      </c>
      <c r="H614" t="inlineStr">
        <is>
          <t>Throws</t>
        </is>
      </c>
      <c r="I614" t="inlineStr">
        <is>
          <t>NAPA</t>
        </is>
      </c>
      <c r="J614" t="n">
        <v>5</v>
      </c>
      <c r="K614" t="inlineStr">
        <is>
          <t>Optimized</t>
        </is>
      </c>
      <c r="L614" s="29" t="n">
        <v>0</v>
      </c>
      <c r="M614" s="30" t="n"/>
      <c r="N614" s="29" t="n">
        <v>0</v>
      </c>
      <c r="O614" s="29" t="n">
        <v>0</v>
      </c>
      <c r="P614" s="2" t="n">
        <v>0</v>
      </c>
      <c r="Q614" s="31" t="n">
        <v>0</v>
      </c>
      <c r="R614" s="32" t="n"/>
      <c r="S614" s="32" t="n">
        <v>0</v>
      </c>
      <c r="T614" s="32" t="n">
        <v>0</v>
      </c>
      <c r="U614" s="31" t="n">
        <v>0</v>
      </c>
      <c r="V614" s="32" t="n">
        <v>0</v>
      </c>
      <c r="W614" s="31" t="n">
        <v>0</v>
      </c>
      <c r="X614" s="31" t="n">
        <v>0</v>
      </c>
      <c r="Y614" s="3" t="n">
        <v>0</v>
      </c>
      <c r="Z614" s="3" t="n">
        <v>0</v>
      </c>
      <c r="AA614" s="32" t="n">
        <v>0</v>
      </c>
      <c r="AB614" s="3" t="n">
        <v>0</v>
      </c>
      <c r="AC614" s="32" t="n">
        <v>0</v>
      </c>
      <c r="AD614" s="3" t="n"/>
      <c r="AE614" s="31" t="n">
        <v>0</v>
      </c>
      <c r="AF614" s="2" t="n">
        <v>0</v>
      </c>
      <c r="AG614" s="2" t="n">
        <v>2</v>
      </c>
      <c r="AH614" s="4" t="n">
        <v>2</v>
      </c>
      <c r="AI614" s="33" t="n">
        <v>0</v>
      </c>
      <c r="AJ614" s="4" t="n">
        <v>0</v>
      </c>
      <c r="AK614" s="34" t="n"/>
      <c r="AL614" s="34" t="n">
        <v>0</v>
      </c>
      <c r="AM614" s="2" t="n">
        <v>0</v>
      </c>
    </row>
    <row r="615">
      <c r="A615">
        <f>HYPERLINK("https://www.walmart.com/ip/544771597", "544771597")</f>
        <v/>
      </c>
      <c r="B615">
        <f>HYPERLINK("https://app.optiwise.ai/catalog/itemdetails/360247", "E27 9W LED Bulb Corn Lights 2800-3200K Warm White Light Lamp Super Bright (100w brightness) 810-900lm 58-SMD 2835 (AC 100~240V)")</f>
        <v/>
      </c>
      <c r="C615" t="n">
        <v>1</v>
      </c>
      <c r="D615" t="inlineStr">
        <is>
          <t>B78691_1568147</t>
        </is>
      </c>
      <c r="E615" t="inlineStr">
        <is>
          <t>ST-HZT-1006X-WWT</t>
        </is>
      </c>
      <c r="F615" t="n">
        <v>0</v>
      </c>
      <c r="G615" t="inlineStr">
        <is>
          <t>Home Decor, Kitchen, &amp; Other</t>
        </is>
      </c>
      <c r="H615" t="inlineStr">
        <is>
          <t>Light Bulbs</t>
        </is>
      </c>
      <c r="I615" t="inlineStr">
        <is>
          <t>Surjtech</t>
        </is>
      </c>
      <c r="K615" t="inlineStr">
        <is>
          <t>Optimized</t>
        </is>
      </c>
      <c r="L615" s="29" t="n">
        <v>0</v>
      </c>
      <c r="M615" s="30" t="n"/>
      <c r="N615" s="29" t="n">
        <v>0</v>
      </c>
      <c r="O615" s="29" t="n">
        <v>0</v>
      </c>
      <c r="P615" s="2" t="n">
        <v>0</v>
      </c>
      <c r="Q615" s="31" t="n">
        <v>0</v>
      </c>
      <c r="R615" s="32" t="n"/>
      <c r="S615" s="32" t="n">
        <v>0</v>
      </c>
      <c r="T615" s="32" t="n">
        <v>0</v>
      </c>
      <c r="U615" s="31" t="n">
        <v>0</v>
      </c>
      <c r="V615" s="32" t="n">
        <v>0</v>
      </c>
      <c r="W615" s="31" t="n">
        <v>0</v>
      </c>
      <c r="X615" s="31" t="n">
        <v>0</v>
      </c>
      <c r="Y615" s="3" t="n">
        <v>0</v>
      </c>
      <c r="Z615" s="3" t="n">
        <v>0</v>
      </c>
      <c r="AA615" s="32" t="n">
        <v>0</v>
      </c>
      <c r="AB615" s="3" t="n">
        <v>0</v>
      </c>
      <c r="AC615" s="32" t="n">
        <v>0</v>
      </c>
      <c r="AD615" s="3" t="n"/>
      <c r="AE615" s="31" t="n">
        <v>0</v>
      </c>
      <c r="AF615" s="2" t="n">
        <v>0</v>
      </c>
      <c r="AG615" s="2" t="n">
        <v>1</v>
      </c>
      <c r="AH615" s="4" t="n">
        <v>1</v>
      </c>
      <c r="AI615" s="33" t="n">
        <v>0</v>
      </c>
      <c r="AJ615" s="4" t="n">
        <v>0</v>
      </c>
      <c r="AK615" s="34" t="n"/>
      <c r="AL615" s="34" t="n">
        <v>0</v>
      </c>
      <c r="AM615" s="2" t="n">
        <v>0</v>
      </c>
    </row>
    <row r="616">
      <c r="A616">
        <f>HYPERLINK("https://www.walmart.com/ip/117539586", "117539586")</f>
        <v/>
      </c>
      <c r="B616">
        <f>HYPERLINK("https://app.optiwise.ai/catalog/itemdetails/360762", "Unisex Outdoor Sun Hat Protection Fishing Cap Boonie Hat with Neck Flap Wide Brim for Safari Camping Hiking Hunting Boating and Outdoor Adventures by Sun Blocker, Olive")</f>
        <v/>
      </c>
      <c r="C616" t="n">
        <v>5</v>
      </c>
      <c r="D616" t="inlineStr">
        <is>
          <t>B78691_1635973_1E1F71F808197C76</t>
        </is>
      </c>
      <c r="E616" t="inlineStr">
        <is>
          <t>KC-S9150-OLIVE-ZFH</t>
        </is>
      </c>
      <c r="F616" t="n">
        <v>23</v>
      </c>
      <c r="G616" t="inlineStr">
        <is>
          <t>Clothing</t>
        </is>
      </c>
      <c r="H616" t="inlineStr">
        <is>
          <t>Hats</t>
        </is>
      </c>
      <c r="I616" t="inlineStr">
        <is>
          <t>Sun Blocker</t>
        </is>
      </c>
      <c r="K616" t="inlineStr">
        <is>
          <t>Optimized</t>
        </is>
      </c>
      <c r="L616" s="29" t="n">
        <v>0</v>
      </c>
      <c r="M616" s="30" t="n"/>
      <c r="N616" s="29" t="n">
        <v>0</v>
      </c>
      <c r="O616" s="29" t="n">
        <v>0</v>
      </c>
      <c r="P616" s="2" t="n">
        <v>0</v>
      </c>
      <c r="Q616" s="31" t="n">
        <v>0</v>
      </c>
      <c r="R616" s="32" t="n"/>
      <c r="S616" s="32" t="n">
        <v>0</v>
      </c>
      <c r="T616" s="32" t="n">
        <v>0</v>
      </c>
      <c r="U616" s="31" t="n">
        <v>0</v>
      </c>
      <c r="V616" s="32" t="n">
        <v>0</v>
      </c>
      <c r="W616" s="31" t="n">
        <v>0</v>
      </c>
      <c r="X616" s="31" t="n">
        <v>0</v>
      </c>
      <c r="Y616" s="3" t="n">
        <v>0</v>
      </c>
      <c r="Z616" s="3" t="n">
        <v>0</v>
      </c>
      <c r="AA616" s="32" t="n">
        <v>0</v>
      </c>
      <c r="AB616" s="3" t="n">
        <v>0</v>
      </c>
      <c r="AC616" s="32" t="n">
        <v>0</v>
      </c>
      <c r="AD616" s="3" t="n"/>
      <c r="AE616" s="31" t="n">
        <v>0</v>
      </c>
      <c r="AF616" s="2" t="n">
        <v>0</v>
      </c>
      <c r="AG616" s="2" t="n">
        <v>27</v>
      </c>
      <c r="AH616" s="4" t="n">
        <v>27</v>
      </c>
      <c r="AI616" s="33" t="n">
        <v>0</v>
      </c>
      <c r="AJ616" s="4" t="n">
        <v>0</v>
      </c>
      <c r="AK616" s="34" t="n"/>
      <c r="AL616" s="34" t="n">
        <v>0</v>
      </c>
      <c r="AM616" s="2" t="n">
        <v>0</v>
      </c>
    </row>
    <row r="617">
      <c r="A617">
        <f>HYPERLINK("https://www.walmart.com/ip/915377193", "915377193")</f>
        <v/>
      </c>
      <c r="B617">
        <f>HYPERLINK("https://app.optiwise.ai/catalog/itemdetails/360388", "Flyingstar Surf Beach Changing Towel With Hood, Super Absorbent Microfiber Swim Robe Poncho for Men Women Bath Shower Pool,Navy")</f>
        <v/>
      </c>
      <c r="C617" t="n">
        <v>1</v>
      </c>
      <c r="D617" t="inlineStr">
        <is>
          <t>B78691_1681323</t>
        </is>
      </c>
      <c r="E617" t="inlineStr">
        <is>
          <t>1WMBR102-NY</t>
        </is>
      </c>
      <c r="F617" t="n">
        <v>0</v>
      </c>
      <c r="G617" t="inlineStr">
        <is>
          <t>Home Decor, Kitchen, &amp; Other</t>
        </is>
      </c>
      <c r="H617" t="inlineStr">
        <is>
          <t>Towels &amp; Washcloths</t>
        </is>
      </c>
      <c r="I617" t="inlineStr">
        <is>
          <t>Flyingstar</t>
        </is>
      </c>
      <c r="K617" t="inlineStr">
        <is>
          <t>Batch 1 - TR</t>
        </is>
      </c>
      <c r="L617" s="29" t="n">
        <v>0</v>
      </c>
      <c r="M617" s="30" t="n"/>
      <c r="N617" s="29" t="n">
        <v>0</v>
      </c>
      <c r="O617" s="29" t="n">
        <v>0</v>
      </c>
      <c r="P617" s="2" t="n">
        <v>0</v>
      </c>
      <c r="Q617" s="31" t="n">
        <v>0</v>
      </c>
      <c r="R617" s="32" t="n"/>
      <c r="S617" s="32" t="n">
        <v>0</v>
      </c>
      <c r="T617" s="32" t="n">
        <v>0</v>
      </c>
      <c r="U617" s="31" t="n">
        <v>0</v>
      </c>
      <c r="V617" s="32" t="n">
        <v>0</v>
      </c>
      <c r="W617" s="31" t="n">
        <v>0</v>
      </c>
      <c r="X617" s="31" t="n">
        <v>0</v>
      </c>
      <c r="Y617" s="3" t="n">
        <v>0</v>
      </c>
      <c r="Z617" s="3" t="n">
        <v>0</v>
      </c>
      <c r="AA617" s="32" t="n">
        <v>0</v>
      </c>
      <c r="AB617" s="3" t="n">
        <v>0</v>
      </c>
      <c r="AC617" s="32" t="n">
        <v>0</v>
      </c>
      <c r="AD617" s="3" t="n"/>
      <c r="AE617" s="31" t="n">
        <v>0</v>
      </c>
      <c r="AF617" s="2" t="n">
        <v>0</v>
      </c>
      <c r="AG617" s="2" t="n">
        <v>5</v>
      </c>
      <c r="AH617" s="4" t="n">
        <v>5</v>
      </c>
      <c r="AI617" s="33" t="n">
        <v>0</v>
      </c>
      <c r="AJ617" s="4" t="n">
        <v>0</v>
      </c>
      <c r="AK617" s="34" t="n"/>
      <c r="AL617" s="34" t="n">
        <v>0</v>
      </c>
      <c r="AM617" s="2" t="n">
        <v>0</v>
      </c>
    </row>
    <row r="618">
      <c r="A618">
        <f>HYPERLINK("https://www.walmart.com/ip/120850786", "120850786")</f>
        <v/>
      </c>
      <c r="B618">
        <f>HYPERLINK("https://app.optiwise.ai/catalog/itemdetails/360366", "KC Caps Washed Cotton Twill Hat")</f>
        <v/>
      </c>
      <c r="C618" t="n">
        <v>4</v>
      </c>
      <c r="D618" t="inlineStr">
        <is>
          <t>B78691_969415_5C9BB2671E1E9004</t>
        </is>
      </c>
      <c r="E618" t="inlineStr">
        <is>
          <t>KCS4130DKGN</t>
        </is>
      </c>
      <c r="F618" t="n">
        <v>0</v>
      </c>
      <c r="G618" t="inlineStr">
        <is>
          <t>Clothing</t>
        </is>
      </c>
      <c r="H618" t="inlineStr">
        <is>
          <t>Hats</t>
        </is>
      </c>
      <c r="I618" t="inlineStr">
        <is>
          <t>KC Caps</t>
        </is>
      </c>
      <c r="K618" t="inlineStr">
        <is>
          <t>Optimized,ST Patrick Day</t>
        </is>
      </c>
      <c r="L618" s="29" t="n">
        <v>0</v>
      </c>
      <c r="M618" s="30" t="n"/>
      <c r="N618" s="29" t="n">
        <v>0</v>
      </c>
      <c r="O618" s="29" t="n">
        <v>0</v>
      </c>
      <c r="P618" s="2" t="n">
        <v>0</v>
      </c>
      <c r="Q618" s="31" t="n">
        <v>0</v>
      </c>
      <c r="R618" s="32" t="n"/>
      <c r="S618" s="32" t="n">
        <v>0</v>
      </c>
      <c r="T618" s="32" t="n">
        <v>0</v>
      </c>
      <c r="U618" s="31" t="n">
        <v>0</v>
      </c>
      <c r="V618" s="32" t="n">
        <v>0</v>
      </c>
      <c r="W618" s="31" t="n">
        <v>0</v>
      </c>
      <c r="X618" s="31" t="n">
        <v>0</v>
      </c>
      <c r="Y618" s="3" t="n">
        <v>0</v>
      </c>
      <c r="Z618" s="3" t="n">
        <v>0</v>
      </c>
      <c r="AA618" s="32" t="n">
        <v>0</v>
      </c>
      <c r="AB618" s="3" t="n">
        <v>0</v>
      </c>
      <c r="AC618" s="32" t="n">
        <v>0</v>
      </c>
      <c r="AD618" s="3" t="n"/>
      <c r="AE618" s="31" t="n">
        <v>0</v>
      </c>
      <c r="AF618" s="2" t="n">
        <v>0</v>
      </c>
      <c r="AG618" s="2" t="n">
        <v>13</v>
      </c>
      <c r="AH618" s="4" t="n">
        <v>13</v>
      </c>
      <c r="AI618" s="33" t="n">
        <v>0</v>
      </c>
      <c r="AJ618" s="4" t="n">
        <v>0</v>
      </c>
      <c r="AK618" s="34" t="n"/>
      <c r="AL618" s="34" t="n">
        <v>0</v>
      </c>
      <c r="AM618" s="2" t="n">
        <v>0</v>
      </c>
    </row>
    <row r="619">
      <c r="A619">
        <f>HYPERLINK("https://www.walmart.com/ip/559993924", "559993924")</f>
        <v/>
      </c>
      <c r="B619">
        <f>HYPERLINK("https://app.optiwise.ai/catalog/itemdetails/360881", "Catalonia Coral Fleece Throw Blanket for Couch, All Seasons Lightweight Soft Cozy Throws for Home Living Room Decoration, 50'' x 60'', Blue")</f>
        <v/>
      </c>
      <c r="C619" t="n">
        <v>4</v>
      </c>
      <c r="D619" t="inlineStr">
        <is>
          <t>B78691_1680513_F12A52779BF99651</t>
        </is>
      </c>
      <c r="E619" t="inlineStr">
        <is>
          <t>1CTBF577BL</t>
        </is>
      </c>
      <c r="F619" t="n">
        <v>4</v>
      </c>
      <c r="G619" t="inlineStr">
        <is>
          <t>Bedding</t>
        </is>
      </c>
      <c r="H619" t="inlineStr">
        <is>
          <t>Throws</t>
        </is>
      </c>
      <c r="I619" t="inlineStr">
        <is>
          <t>Catalonia</t>
        </is>
      </c>
      <c r="J619" t="n">
        <v>4.5</v>
      </c>
      <c r="K619" t="inlineStr">
        <is>
          <t>Q2-Target,WFS,Coupon_Discount,cost-added,WFS Item</t>
        </is>
      </c>
      <c r="L619" s="29" t="n">
        <v>0</v>
      </c>
      <c r="M619" s="30" t="n"/>
      <c r="N619" s="29" t="n">
        <v>0</v>
      </c>
      <c r="O619" s="29" t="n">
        <v>0</v>
      </c>
      <c r="P619" s="2" t="n">
        <v>0</v>
      </c>
      <c r="Q619" s="31" t="n">
        <v>0</v>
      </c>
      <c r="R619" s="32" t="n"/>
      <c r="S619" s="32" t="n">
        <v>0</v>
      </c>
      <c r="T619" s="32" t="n">
        <v>0</v>
      </c>
      <c r="U619" s="31" t="n">
        <v>0</v>
      </c>
      <c r="V619" s="32" t="n">
        <v>0</v>
      </c>
      <c r="W619" s="31" t="n">
        <v>0</v>
      </c>
      <c r="X619" s="31" t="n">
        <v>0</v>
      </c>
      <c r="Y619" s="3" t="n">
        <v>0</v>
      </c>
      <c r="Z619" s="3" t="n">
        <v>0</v>
      </c>
      <c r="AA619" s="32" t="n">
        <v>0</v>
      </c>
      <c r="AB619" s="3" t="n">
        <v>0</v>
      </c>
      <c r="AC619" s="32" t="n">
        <v>0</v>
      </c>
      <c r="AD619" s="3" t="n"/>
      <c r="AE619" s="31" t="n">
        <v>0</v>
      </c>
      <c r="AF619" s="2" t="n">
        <v>0</v>
      </c>
      <c r="AG619" s="2" t="n">
        <v>173</v>
      </c>
      <c r="AH619" s="4" t="n">
        <v>173</v>
      </c>
      <c r="AI619" s="33" t="n">
        <v>0</v>
      </c>
      <c r="AJ619" s="4" t="n">
        <v>0</v>
      </c>
      <c r="AK619" s="34" t="n"/>
      <c r="AL619" s="34" t="n">
        <v>0</v>
      </c>
      <c r="AM619" s="2" t="n">
        <v>0</v>
      </c>
    </row>
    <row r="620">
      <c r="A620">
        <f>HYPERLINK("https://www.walmart.com/ip/512424115", "512424115")</f>
        <v/>
      </c>
      <c r="B620">
        <f>HYPERLINK("https://app.optiwise.ai/catalog/itemdetails/361682", "Terra Youth Reflective Knit Hat High Visibility Cold Weather Running Beanie Cool")</f>
        <v/>
      </c>
      <c r="C620" t="n">
        <v>5</v>
      </c>
      <c r="D620" t="inlineStr">
        <is>
          <t>B78691_1568174_5C9BB2671E1E9004</t>
        </is>
      </c>
      <c r="E620" t="inlineStr">
        <is>
          <t>TERRABN01-DR</t>
        </is>
      </c>
      <c r="F620" t="n">
        <v>0</v>
      </c>
      <c r="G620" t="inlineStr">
        <is>
          <t>Clothing</t>
        </is>
      </c>
      <c r="H620" t="inlineStr">
        <is>
          <t>Hats</t>
        </is>
      </c>
      <c r="I620" t="inlineStr">
        <is>
          <t>Terra</t>
        </is>
      </c>
      <c r="L620" s="29" t="n">
        <v>0</v>
      </c>
      <c r="M620" s="30" t="n"/>
      <c r="N620" s="29" t="n">
        <v>0</v>
      </c>
      <c r="O620" s="29" t="n">
        <v>0</v>
      </c>
      <c r="P620" s="2" t="n">
        <v>0</v>
      </c>
      <c r="Q620" s="31" t="n">
        <v>0</v>
      </c>
      <c r="R620" s="32" t="n"/>
      <c r="S620" s="32" t="n">
        <v>0</v>
      </c>
      <c r="T620" s="32" t="n">
        <v>0</v>
      </c>
      <c r="U620" s="31" t="n">
        <v>0</v>
      </c>
      <c r="V620" s="32" t="n">
        <v>0</v>
      </c>
      <c r="W620" s="31" t="n">
        <v>0</v>
      </c>
      <c r="X620" s="31" t="n">
        <v>0</v>
      </c>
      <c r="Y620" s="3" t="n">
        <v>0</v>
      </c>
      <c r="Z620" s="3" t="n">
        <v>0</v>
      </c>
      <c r="AA620" s="32" t="n">
        <v>0</v>
      </c>
      <c r="AB620" s="3" t="n">
        <v>0</v>
      </c>
      <c r="AC620" s="32" t="n">
        <v>0</v>
      </c>
      <c r="AD620" s="3" t="n"/>
      <c r="AE620" s="31" t="n">
        <v>0</v>
      </c>
      <c r="AF620" s="2" t="n">
        <v>0</v>
      </c>
      <c r="AG620" s="2" t="n">
        <v>14</v>
      </c>
      <c r="AH620" s="4" t="n">
        <v>14</v>
      </c>
      <c r="AI620" s="33" t="n">
        <v>0</v>
      </c>
      <c r="AJ620" s="4" t="n">
        <v>0</v>
      </c>
      <c r="AK620" s="34" t="n"/>
      <c r="AL620" s="34" t="n">
        <v>0</v>
      </c>
      <c r="AM620" s="2" t="n">
        <v>0</v>
      </c>
    </row>
    <row r="621">
      <c r="A621">
        <f>HYPERLINK("https://www.walmart.com/ip/135460967", "135460967")</f>
        <v/>
      </c>
      <c r="B621">
        <f>HYPERLINK("https://app.optiwise.ai/catalog/itemdetails/360469", "Light up Sequin Fedora LED Hat Neon Rave Costumes Glow in Dark Party music concerts,night clubs,holiday,parties,festival")</f>
        <v/>
      </c>
      <c r="C621" t="n">
        <v>4</v>
      </c>
      <c r="D621" t="inlineStr">
        <is>
          <t>B78691_1127474_5C9BB2671E1E9004</t>
        </is>
      </c>
      <c r="E621" t="inlineStr">
        <is>
          <t>JWLEDHAT01-BL</t>
        </is>
      </c>
      <c r="F621" t="n">
        <v>2</v>
      </c>
      <c r="G621" t="inlineStr">
        <is>
          <t>Decorations &amp; Favors</t>
        </is>
      </c>
      <c r="H621" t="inlineStr">
        <is>
          <t>Party Hats</t>
        </is>
      </c>
      <c r="I621" t="inlineStr">
        <is>
          <t>JenniWears</t>
        </is>
      </c>
      <c r="J621" t="n">
        <v>5</v>
      </c>
      <c r="K621" t="inlineStr">
        <is>
          <t>Halloween</t>
        </is>
      </c>
      <c r="L621" s="29" t="n">
        <v>0</v>
      </c>
      <c r="M621" s="30" t="n"/>
      <c r="N621" s="29" t="n">
        <v>0</v>
      </c>
      <c r="O621" s="29" t="n">
        <v>0</v>
      </c>
      <c r="P621" s="2" t="n">
        <v>0</v>
      </c>
      <c r="Q621" s="31" t="n">
        <v>0</v>
      </c>
      <c r="R621" s="32" t="n"/>
      <c r="S621" s="32" t="n">
        <v>0</v>
      </c>
      <c r="T621" s="32" t="n">
        <v>0</v>
      </c>
      <c r="U621" s="31" t="n">
        <v>0</v>
      </c>
      <c r="V621" s="32" t="n">
        <v>0</v>
      </c>
      <c r="W621" s="31" t="n">
        <v>0</v>
      </c>
      <c r="X621" s="31" t="n">
        <v>0</v>
      </c>
      <c r="Y621" s="3" t="n">
        <v>0</v>
      </c>
      <c r="Z621" s="3" t="n">
        <v>0</v>
      </c>
      <c r="AA621" s="32" t="n">
        <v>0</v>
      </c>
      <c r="AB621" s="3" t="n">
        <v>0</v>
      </c>
      <c r="AC621" s="32" t="n">
        <v>0</v>
      </c>
      <c r="AD621" s="3" t="n"/>
      <c r="AE621" s="31" t="n">
        <v>0</v>
      </c>
      <c r="AF621" s="2" t="n">
        <v>0</v>
      </c>
      <c r="AG621" s="2" t="n">
        <v>39</v>
      </c>
      <c r="AH621" s="4" t="n">
        <v>39</v>
      </c>
      <c r="AI621" s="33" t="n">
        <v>0</v>
      </c>
      <c r="AJ621" s="4" t="n">
        <v>0</v>
      </c>
      <c r="AK621" s="34" t="n"/>
      <c r="AL621" s="34" t="n">
        <v>0</v>
      </c>
      <c r="AM621" s="2" t="n">
        <v>0</v>
      </c>
    </row>
    <row r="622">
      <c r="A622">
        <f>HYPERLINK("https://www.walmart.com/ip/174380113", "174380113")</f>
        <v/>
      </c>
      <c r="B622">
        <f>HYPERLINK("https://app.optiwise.ai/catalog/itemdetails/361472", "JenniWears® Classic Elastic, 3-layered Tulle Tutu Skirt")</f>
        <v/>
      </c>
      <c r="C622" t="n">
        <v>2</v>
      </c>
      <c r="D622" t="inlineStr">
        <is>
          <t>B78691_974597_4D028D9E3748CA54</t>
        </is>
      </c>
      <c r="E622" t="inlineStr">
        <is>
          <t>tutus-light purple</t>
        </is>
      </c>
      <c r="F622" t="n">
        <v>20</v>
      </c>
      <c r="G622" t="inlineStr">
        <is>
          <t>Skirts</t>
        </is>
      </c>
      <c r="H622" t="inlineStr">
        <is>
          <t>Skirts</t>
        </is>
      </c>
      <c r="I622" t="inlineStr">
        <is>
          <t>JenniWears</t>
        </is>
      </c>
      <c r="J622" t="n">
        <v>3.2</v>
      </c>
      <c r="K622" t="inlineStr">
        <is>
          <t>Batch 1 - TR</t>
        </is>
      </c>
      <c r="L622" s="29" t="n">
        <v>0</v>
      </c>
      <c r="M622" s="30" t="n"/>
      <c r="N622" s="29" t="n">
        <v>0</v>
      </c>
      <c r="O622" s="29" t="n">
        <v>0</v>
      </c>
      <c r="P622" s="2" t="n">
        <v>0</v>
      </c>
      <c r="Q622" s="31" t="n">
        <v>0</v>
      </c>
      <c r="R622" s="32" t="n"/>
      <c r="S622" s="32" t="n">
        <v>0</v>
      </c>
      <c r="T622" s="32" t="n">
        <v>0</v>
      </c>
      <c r="U622" s="31" t="n">
        <v>0</v>
      </c>
      <c r="V622" s="32" t="n">
        <v>0</v>
      </c>
      <c r="W622" s="31" t="n">
        <v>0</v>
      </c>
      <c r="X622" s="31" t="n">
        <v>0</v>
      </c>
      <c r="Y622" s="3" t="n">
        <v>0</v>
      </c>
      <c r="Z622" s="3" t="n">
        <v>0</v>
      </c>
      <c r="AA622" s="32" t="n">
        <v>0</v>
      </c>
      <c r="AB622" s="3" t="n">
        <v>0</v>
      </c>
      <c r="AC622" s="32" t="n">
        <v>0</v>
      </c>
      <c r="AD622" s="3" t="n"/>
      <c r="AE622" s="31" t="n">
        <v>0</v>
      </c>
      <c r="AF622" s="2" t="n">
        <v>0</v>
      </c>
      <c r="AG622" s="2" t="n">
        <v>14</v>
      </c>
      <c r="AH622" s="4" t="n">
        <v>14</v>
      </c>
      <c r="AI622" s="33" t="n">
        <v>0</v>
      </c>
      <c r="AJ622" s="4" t="n">
        <v>0</v>
      </c>
      <c r="AK622" s="34" t="n"/>
      <c r="AL622" s="34" t="n">
        <v>0</v>
      </c>
      <c r="AM622" s="2" t="n">
        <v>0</v>
      </c>
    </row>
    <row r="623">
      <c r="A623">
        <f>HYPERLINK("https://www.walmart.com/ip/981535425", "981535425")</f>
        <v/>
      </c>
      <c r="B623">
        <f>HYPERLINK("https://app.optiwise.ai/catalog/itemdetails/361215", "Flyingstar Sherpa Throws Blanket, Fleece Soft Cozy Blanket Throws for Sofa Bed 50x60")</f>
        <v/>
      </c>
      <c r="C623" t="n">
        <v>10</v>
      </c>
      <c r="D623" t="inlineStr">
        <is>
          <t>B78691_1682092_8A68AD65F4576BB1</t>
        </is>
      </c>
      <c r="E623" t="inlineStr">
        <is>
          <t>1WMBF571SNOWMAN</t>
        </is>
      </c>
      <c r="F623" t="n">
        <v>0</v>
      </c>
      <c r="G623" t="inlineStr">
        <is>
          <t>Bedding</t>
        </is>
      </c>
      <c r="H623" t="inlineStr">
        <is>
          <t>Throws</t>
        </is>
      </c>
      <c r="I623" t="inlineStr">
        <is>
          <t>Flyingstar</t>
        </is>
      </c>
      <c r="K623" t="inlineStr">
        <is>
          <t>Christmas,Optimized</t>
        </is>
      </c>
      <c r="L623" s="29" t="n">
        <v>0</v>
      </c>
      <c r="M623" s="30" t="n"/>
      <c r="N623" s="29" t="n">
        <v>0</v>
      </c>
      <c r="O623" s="29" t="n">
        <v>0</v>
      </c>
      <c r="P623" s="2" t="n">
        <v>0</v>
      </c>
      <c r="Q623" s="31" t="n">
        <v>0</v>
      </c>
      <c r="R623" s="32" t="n"/>
      <c r="S623" s="32" t="n">
        <v>0</v>
      </c>
      <c r="T623" s="32" t="n">
        <v>0</v>
      </c>
      <c r="U623" s="31" t="n">
        <v>0</v>
      </c>
      <c r="V623" s="32" t="n">
        <v>0</v>
      </c>
      <c r="W623" s="31" t="n">
        <v>0</v>
      </c>
      <c r="X623" s="31" t="n">
        <v>0</v>
      </c>
      <c r="Y623" s="3" t="n">
        <v>0</v>
      </c>
      <c r="Z623" s="3" t="n">
        <v>0</v>
      </c>
      <c r="AA623" s="32" t="n">
        <v>0</v>
      </c>
      <c r="AB623" s="3" t="n">
        <v>0</v>
      </c>
      <c r="AC623" s="32" t="n">
        <v>0</v>
      </c>
      <c r="AD623" s="3" t="n"/>
      <c r="AE623" s="31" t="n">
        <v>0</v>
      </c>
      <c r="AF623" s="2" t="n">
        <v>0</v>
      </c>
      <c r="AG623" s="2" t="n">
        <v>12</v>
      </c>
      <c r="AH623" s="4" t="n">
        <v>12</v>
      </c>
      <c r="AI623" s="33" t="n">
        <v>0</v>
      </c>
      <c r="AJ623" s="4" t="n">
        <v>0</v>
      </c>
      <c r="AK623" s="34" t="n"/>
      <c r="AL623" s="34" t="n">
        <v>0</v>
      </c>
      <c r="AM623" s="2" t="n">
        <v>0</v>
      </c>
    </row>
    <row r="624">
      <c r="A624">
        <f>HYPERLINK("https://www.walmart.com/ip/910034340", "910034340")</f>
        <v/>
      </c>
      <c r="B624">
        <f>HYPERLINK("https://app.optiwise.ai/catalog/itemdetails/360309", "KC Caps Unisex Hunting Hiking Camping Camo Military Mesh Cap for Adults, Travel Outdoor Sports Hat")</f>
        <v/>
      </c>
      <c r="C624" t="n">
        <v>1</v>
      </c>
      <c r="D624" t="inlineStr">
        <is>
          <t>B78691_974019</t>
        </is>
      </c>
      <c r="E624" t="inlineStr">
        <is>
          <t>KC Caps 7140 Break up</t>
        </is>
      </c>
      <c r="F624" t="n">
        <v>0</v>
      </c>
      <c r="G624" t="inlineStr">
        <is>
          <t>Clothing</t>
        </is>
      </c>
      <c r="H624" t="inlineStr">
        <is>
          <t>Hats</t>
        </is>
      </c>
      <c r="I624" t="inlineStr">
        <is>
          <t>KC Caps</t>
        </is>
      </c>
      <c r="K624" t="inlineStr">
        <is>
          <t>Optimized</t>
        </is>
      </c>
      <c r="L624" s="29" t="n">
        <v>0</v>
      </c>
      <c r="M624" s="30" t="n"/>
      <c r="N624" s="29" t="n">
        <v>0</v>
      </c>
      <c r="O624" s="29" t="n">
        <v>0</v>
      </c>
      <c r="P624" s="2" t="n">
        <v>0</v>
      </c>
      <c r="Q624" s="31" t="n">
        <v>0</v>
      </c>
      <c r="R624" s="32" t="n"/>
      <c r="S624" s="32" t="n">
        <v>0</v>
      </c>
      <c r="T624" s="32" t="n">
        <v>0</v>
      </c>
      <c r="U624" s="31" t="n">
        <v>0</v>
      </c>
      <c r="V624" s="32" t="n">
        <v>0</v>
      </c>
      <c r="W624" s="31" t="n">
        <v>0</v>
      </c>
      <c r="X624" s="31" t="n">
        <v>0</v>
      </c>
      <c r="Y624" s="3" t="n">
        <v>0</v>
      </c>
      <c r="Z624" s="3" t="n">
        <v>0</v>
      </c>
      <c r="AA624" s="32" t="n">
        <v>0</v>
      </c>
      <c r="AB624" s="3" t="n">
        <v>0</v>
      </c>
      <c r="AC624" s="32" t="n">
        <v>0</v>
      </c>
      <c r="AD624" s="3" t="n"/>
      <c r="AE624" s="31" t="n">
        <v>0</v>
      </c>
      <c r="AF624" s="2" t="n">
        <v>0</v>
      </c>
      <c r="AG624" s="2" t="n">
        <v>0</v>
      </c>
      <c r="AH624" s="4" t="n">
        <v>0</v>
      </c>
      <c r="AI624" s="33" t="n">
        <v>0</v>
      </c>
      <c r="AJ624" s="4" t="n">
        <v>0</v>
      </c>
      <c r="AK624" s="34" t="n"/>
      <c r="AL624" s="34" t="n">
        <v>0</v>
      </c>
      <c r="AM624" s="2" t="n">
        <v>0</v>
      </c>
    </row>
    <row r="625">
      <c r="A625">
        <f>HYPERLINK("https://www.walmart.com/ip/336399157", "336399157")</f>
        <v/>
      </c>
      <c r="B625">
        <f>HYPERLINK("https://app.optiwise.ai/catalog/itemdetails/358729", "Vina 5-Piece Rabbit Wine Bottle Opener Set with Bamboo Stand, Ideal Gift for Wine Lover")</f>
        <v/>
      </c>
      <c r="C625" t="inlineStr">
        <is>
          <t>-</t>
        </is>
      </c>
      <c r="E625" t="inlineStr">
        <is>
          <t>VINAWO010-SR</t>
        </is>
      </c>
      <c r="F625" t="n">
        <v>9</v>
      </c>
      <c r="G625" t="inlineStr">
        <is>
          <t>Home Decor, Kitchen, &amp; Other</t>
        </is>
      </c>
      <c r="H625" t="inlineStr">
        <is>
          <t>Corkscrews &amp; Wine Bottle Openers</t>
        </is>
      </c>
      <c r="I625" t="inlineStr">
        <is>
          <t>Vina</t>
        </is>
      </c>
      <c r="J625" t="n">
        <v>2</v>
      </c>
      <c r="K625" t="inlineStr">
        <is>
          <t>Wine,Optimized</t>
        </is>
      </c>
      <c r="L625" s="29" t="n">
        <v>0</v>
      </c>
      <c r="M625" s="30" t="n"/>
      <c r="N625" s="29" t="n">
        <v>0</v>
      </c>
      <c r="O625" s="29" t="n">
        <v>0</v>
      </c>
      <c r="P625" s="2" t="n">
        <v>0</v>
      </c>
      <c r="Q625" s="31" t="n">
        <v>0</v>
      </c>
      <c r="R625" s="32" t="n"/>
      <c r="S625" s="32" t="n">
        <v>0</v>
      </c>
      <c r="T625" s="32" t="n">
        <v>0</v>
      </c>
      <c r="U625" s="31" t="n">
        <v>0</v>
      </c>
      <c r="V625" s="32" t="n">
        <v>0</v>
      </c>
      <c r="W625" s="31" t="n">
        <v>0</v>
      </c>
      <c r="X625" s="31" t="n">
        <v>0</v>
      </c>
      <c r="Y625" s="3" t="n">
        <v>0</v>
      </c>
      <c r="Z625" s="3" t="n">
        <v>0</v>
      </c>
      <c r="AA625" s="32" t="n">
        <v>0</v>
      </c>
      <c r="AB625" s="3" t="n">
        <v>0</v>
      </c>
      <c r="AC625" s="32" t="n">
        <v>0</v>
      </c>
      <c r="AD625" s="3" t="n"/>
      <c r="AE625" s="31" t="n">
        <v>0</v>
      </c>
      <c r="AF625" s="2" t="n">
        <v>0</v>
      </c>
      <c r="AG625" s="2" t="n">
        <v>0</v>
      </c>
      <c r="AH625" s="4" t="n">
        <v>0</v>
      </c>
      <c r="AI625" s="33" t="n">
        <v>0</v>
      </c>
      <c r="AJ625" s="4" t="n">
        <v>0</v>
      </c>
      <c r="AK625" s="34" t="n"/>
      <c r="AL625" s="34" t="n">
        <v>0</v>
      </c>
      <c r="AM625" s="2" t="n">
        <v>0</v>
      </c>
    </row>
    <row r="626">
      <c r="A626">
        <f>HYPERLINK("https://www.walmart.com/ip/172851444", "172851444")</f>
        <v/>
      </c>
      <c r="B626">
        <f>HYPERLINK("https://app.optiwise.ai/catalog/itemdetails/362747", "JenniWears® Women Intimate Night Babydoll Robe w/ Satin Ribbon Belt G-string Set")</f>
        <v/>
      </c>
      <c r="C626" t="n">
        <v>3</v>
      </c>
      <c r="D626" t="inlineStr">
        <is>
          <t>B78691_979655_5C9BB2671E1E9004</t>
        </is>
      </c>
      <c r="E626" t="inlineStr">
        <is>
          <t>JWRS03PK-M</t>
        </is>
      </c>
      <c r="F626" t="n">
        <v>3</v>
      </c>
      <c r="G626" t="inlineStr">
        <is>
          <t>Clothing</t>
        </is>
      </c>
      <c r="H626" t="inlineStr">
        <is>
          <t>Lingerie Sets</t>
        </is>
      </c>
      <c r="I626" t="inlineStr">
        <is>
          <t>JenniWears</t>
        </is>
      </c>
      <c r="J626" t="n">
        <v>1</v>
      </c>
      <c r="K626" t="inlineStr">
        <is>
          <t>Optimized,Valentine</t>
        </is>
      </c>
      <c r="L626" s="29" t="n">
        <v>0</v>
      </c>
      <c r="M626" s="30" t="n"/>
      <c r="N626" s="29" t="n">
        <v>17.97999954223633</v>
      </c>
      <c r="O626" s="29" t="n">
        <v>0</v>
      </c>
      <c r="P626" s="2" t="n">
        <v>0</v>
      </c>
      <c r="Q626" s="31" t="n">
        <v>0</v>
      </c>
      <c r="R626" s="32" t="n"/>
      <c r="S626" s="32" t="n">
        <v>0</v>
      </c>
      <c r="T626" s="32" t="n">
        <v>0</v>
      </c>
      <c r="U626" s="31" t="n">
        <v>0</v>
      </c>
      <c r="V626" s="32" t="n">
        <v>0</v>
      </c>
      <c r="W626" s="31" t="n">
        <v>0</v>
      </c>
      <c r="X626" s="31" t="n">
        <v>0</v>
      </c>
      <c r="Y626" s="3" t="n">
        <v>0</v>
      </c>
      <c r="Z626" s="3" t="n">
        <v>0</v>
      </c>
      <c r="AA626" s="32" t="n">
        <v>0</v>
      </c>
      <c r="AB626" s="3" t="n">
        <v>0</v>
      </c>
      <c r="AC626" s="32" t="n">
        <v>0</v>
      </c>
      <c r="AD626" s="3" t="n"/>
      <c r="AE626" s="31" t="n">
        <v>0</v>
      </c>
      <c r="AF626" s="2" t="n">
        <v>0</v>
      </c>
      <c r="AG626" s="2" t="n">
        <v>13</v>
      </c>
      <c r="AH626" s="4" t="n">
        <v>13</v>
      </c>
      <c r="AI626" s="33" t="n">
        <v>0</v>
      </c>
      <c r="AJ626" s="4" t="n">
        <v>0</v>
      </c>
      <c r="AK626" s="34" t="n"/>
      <c r="AL626" s="34" t="n">
        <v>0</v>
      </c>
      <c r="AM626" s="2" t="n">
        <v>0</v>
      </c>
    </row>
    <row r="627">
      <c r="A627">
        <f>HYPERLINK("https://www.walmart.com/ip/615365342", "615365342")</f>
        <v/>
      </c>
      <c r="B627">
        <f>HYPERLINK("https://app.optiwise.ai/catalog/itemdetails/362185", "Flyingstar Wine Tote Carrier, 2-Bottle Insulated Versatile Cooler Bag for Travel and BYOB, Wine Gift Bag, Black Stripe")</f>
        <v/>
      </c>
      <c r="C627" t="n">
        <v>6</v>
      </c>
      <c r="D627" t="inlineStr">
        <is>
          <t>B78691_1681745_DAD9183F96D2BF88</t>
        </is>
      </c>
      <c r="E627" t="inlineStr">
        <is>
          <t>1WMWB221BKSTR</t>
        </is>
      </c>
      <c r="F627" t="n">
        <v>0</v>
      </c>
      <c r="G627" t="inlineStr">
        <is>
          <t>Home Decor, Kitchen, &amp; Other</t>
        </is>
      </c>
      <c r="H627" t="inlineStr">
        <is>
          <t>Wine Totes, Bags &amp; Backpacks</t>
        </is>
      </c>
      <c r="I627" t="inlineStr">
        <is>
          <t>Flyingstar</t>
        </is>
      </c>
      <c r="K627" t="inlineStr">
        <is>
          <t>Wine,Christmas,Valentine</t>
        </is>
      </c>
      <c r="L627" s="29" t="n">
        <v>0</v>
      </c>
      <c r="M627" s="30" t="n"/>
      <c r="N627" s="29" t="n">
        <v>0</v>
      </c>
      <c r="O627" s="29" t="n">
        <v>0</v>
      </c>
      <c r="P627" s="2" t="n">
        <v>0</v>
      </c>
      <c r="Q627" s="31" t="n">
        <v>0</v>
      </c>
      <c r="R627" s="32" t="n"/>
      <c r="S627" s="32" t="n">
        <v>0</v>
      </c>
      <c r="T627" s="32" t="n">
        <v>0</v>
      </c>
      <c r="U627" s="31" t="n">
        <v>0</v>
      </c>
      <c r="V627" s="32" t="n">
        <v>0</v>
      </c>
      <c r="W627" s="31" t="n">
        <v>0</v>
      </c>
      <c r="X627" s="31" t="n">
        <v>0</v>
      </c>
      <c r="Y627" s="3" t="n">
        <v>0</v>
      </c>
      <c r="Z627" s="3" t="n">
        <v>0</v>
      </c>
      <c r="AA627" s="32" t="n">
        <v>0</v>
      </c>
      <c r="AB627" s="3" t="n">
        <v>0</v>
      </c>
      <c r="AC627" s="32" t="n">
        <v>0</v>
      </c>
      <c r="AD627" s="3" t="n"/>
      <c r="AE627" s="31" t="n">
        <v>0</v>
      </c>
      <c r="AF627" s="2" t="n">
        <v>0</v>
      </c>
      <c r="AG627" s="2" t="n">
        <v>30</v>
      </c>
      <c r="AH627" s="4" t="n">
        <v>30</v>
      </c>
      <c r="AI627" s="33" t="n">
        <v>0</v>
      </c>
      <c r="AJ627" s="4" t="n">
        <v>0</v>
      </c>
      <c r="AK627" s="34" t="n"/>
      <c r="AL627" s="34" t="n">
        <v>0</v>
      </c>
      <c r="AM627" s="2" t="n">
        <v>0</v>
      </c>
    </row>
    <row r="628">
      <c r="A628">
        <f>HYPERLINK("https://www.walmart.com/ip/118436957", "118436957")</f>
        <v/>
      </c>
      <c r="B628">
        <f>HYPERLINK("https://app.optiwise.ai/catalog/itemdetails/360253", "KC Caps Unisex Khaki Sports Baseball Flat Top Cap, Outdoor Travel Washed Canvas Hat, Casual Military Style")</f>
        <v/>
      </c>
      <c r="C628" t="n">
        <v>2</v>
      </c>
      <c r="D628" t="inlineStr">
        <is>
          <t>00602766182831</t>
        </is>
      </c>
      <c r="E628" t="inlineStr">
        <is>
          <t>KC Caps 8320 Khaki</t>
        </is>
      </c>
      <c r="F628" t="n">
        <v>0</v>
      </c>
      <c r="G628" t="inlineStr">
        <is>
          <t>Clothing</t>
        </is>
      </c>
      <c r="H628" t="inlineStr">
        <is>
          <t>Hats</t>
        </is>
      </c>
      <c r="I628" t="inlineStr">
        <is>
          <t>KC Caps</t>
        </is>
      </c>
      <c r="K628" t="inlineStr">
        <is>
          <t>Batch 1 - TR</t>
        </is>
      </c>
      <c r="L628" s="29" t="n">
        <v>0</v>
      </c>
      <c r="M628" s="30" t="n"/>
      <c r="N628" s="29" t="n">
        <v>0</v>
      </c>
      <c r="O628" s="29" t="n">
        <v>0</v>
      </c>
      <c r="P628" s="2" t="n">
        <v>0</v>
      </c>
      <c r="Q628" s="31" t="n">
        <v>0</v>
      </c>
      <c r="R628" s="32" t="n"/>
      <c r="S628" s="32" t="n">
        <v>0</v>
      </c>
      <c r="T628" s="32" t="n">
        <v>0</v>
      </c>
      <c r="U628" s="31" t="n">
        <v>0</v>
      </c>
      <c r="V628" s="32" t="n">
        <v>0</v>
      </c>
      <c r="W628" s="31" t="n">
        <v>0</v>
      </c>
      <c r="X628" s="31" t="n">
        <v>0</v>
      </c>
      <c r="Y628" s="3" t="n">
        <v>0</v>
      </c>
      <c r="Z628" s="3" t="n">
        <v>0</v>
      </c>
      <c r="AA628" s="32" t="n">
        <v>0</v>
      </c>
      <c r="AB628" s="3" t="n">
        <v>0</v>
      </c>
      <c r="AC628" s="32" t="n">
        <v>0</v>
      </c>
      <c r="AD628" s="3" t="n"/>
      <c r="AE628" s="31" t="n">
        <v>0</v>
      </c>
      <c r="AF628" s="2" t="n">
        <v>0</v>
      </c>
      <c r="AG628" s="2" t="n">
        <v>7</v>
      </c>
      <c r="AH628" s="4" t="n">
        <v>7</v>
      </c>
      <c r="AI628" s="33" t="n">
        <v>0</v>
      </c>
      <c r="AJ628" s="4" t="n">
        <v>0</v>
      </c>
      <c r="AK628" s="34" t="n"/>
      <c r="AL628" s="34" t="n">
        <v>0</v>
      </c>
      <c r="AM628" s="2" t="n">
        <v>0</v>
      </c>
    </row>
    <row r="629">
      <c r="A629">
        <f>HYPERLINK("https://www.walmart.com/ip/14523702233", "14523702233")</f>
        <v/>
      </c>
      <c r="B629">
        <f>HYPERLINK("https://app.optiwise.ai/catalog/itemdetails/13059104", "PEANUTS Womens 100% Cotton Family Matching Pajamas Holiday Festive Nightwear Sleepwear 2-Piece Sets for Christmas Gifts (Red Plaid, XS)")</f>
        <v/>
      </c>
      <c r="C629" t="inlineStr">
        <is>
          <t>-</t>
        </is>
      </c>
      <c r="E629" t="inlineStr">
        <is>
          <t>PEA-PJS-FAMILY-WOMEN-REDPLAID-XS</t>
        </is>
      </c>
      <c r="F629" t="n">
        <v>0</v>
      </c>
      <c r="G629" t="inlineStr">
        <is>
          <t>Clothing</t>
        </is>
      </c>
      <c r="H629" t="inlineStr">
        <is>
          <t>Pajamas</t>
        </is>
      </c>
      <c r="I629" t="inlineStr">
        <is>
          <t>Peanuts</t>
        </is>
      </c>
      <c r="L629" s="29" t="n">
        <v>0</v>
      </c>
      <c r="M629" s="30" t="n"/>
      <c r="N629" s="29" t="n">
        <v>0</v>
      </c>
      <c r="O629" s="29" t="n">
        <v>0</v>
      </c>
      <c r="P629" s="2" t="n">
        <v>0</v>
      </c>
      <c r="Q629" s="31" t="n">
        <v>0</v>
      </c>
      <c r="R629" s="32" t="n"/>
      <c r="S629" s="32" t="n">
        <v>0</v>
      </c>
      <c r="T629" s="32" t="n">
        <v>0</v>
      </c>
      <c r="U629" s="31" t="n">
        <v>0</v>
      </c>
      <c r="V629" s="32" t="n">
        <v>0</v>
      </c>
      <c r="W629" s="31" t="n">
        <v>0</v>
      </c>
      <c r="X629" s="31" t="n">
        <v>0</v>
      </c>
      <c r="Y629" s="3" t="n">
        <v>0</v>
      </c>
      <c r="Z629" s="3" t="n">
        <v>0</v>
      </c>
      <c r="AA629" s="32" t="n">
        <v>0</v>
      </c>
      <c r="AB629" s="3" t="n">
        <v>0</v>
      </c>
      <c r="AC629" s="32" t="n">
        <v>0</v>
      </c>
      <c r="AD629" s="3" t="n"/>
      <c r="AE629" s="31" t="n">
        <v>0</v>
      </c>
      <c r="AF629" s="2" t="n">
        <v>0</v>
      </c>
      <c r="AG629" s="2" t="n">
        <v>0</v>
      </c>
      <c r="AH629" s="4" t="n">
        <v>0</v>
      </c>
      <c r="AI629" s="33" t="n">
        <v>0</v>
      </c>
      <c r="AJ629" s="4" t="n">
        <v>0</v>
      </c>
      <c r="AK629" s="34" t="n"/>
      <c r="AL629" s="34" t="n">
        <v>0</v>
      </c>
      <c r="AM629" s="2" t="n">
        <v>0</v>
      </c>
    </row>
    <row r="630">
      <c r="A630">
        <f>HYPERLINK("https://www.walmart.com/ip/15190256647", "15190256647")</f>
        <v/>
      </c>
      <c r="B630">
        <f>HYPERLINK("https://app.optiwise.ai/catalog/itemdetails/18832550", "Catalonia Kids Mermaid Tail Blanket,Super Soft Plush Flannel Sleeping Snuggle Blanket for Girls,Rainbow Ombre,Fish Scale Pattern,Gift Idea")</f>
        <v/>
      </c>
      <c r="C630" t="inlineStr">
        <is>
          <t>-</t>
        </is>
      </c>
      <c r="E630" t="inlineStr">
        <is>
          <t>1CTMM210STARLIGHT</t>
        </is>
      </c>
      <c r="F630" t="n">
        <v>0</v>
      </c>
      <c r="G630" t="inlineStr">
        <is>
          <t>Bedding</t>
        </is>
      </c>
      <c r="H630" t="inlineStr">
        <is>
          <t>Throws</t>
        </is>
      </c>
      <c r="I630" t="inlineStr">
        <is>
          <t>Catalonia</t>
        </is>
      </c>
      <c r="L630" s="29" t="n">
        <v>0</v>
      </c>
      <c r="M630" s="30" t="n"/>
      <c r="N630" s="29" t="n">
        <v>0</v>
      </c>
      <c r="O630" s="29" t="n">
        <v>0</v>
      </c>
      <c r="P630" s="2" t="n">
        <v>0</v>
      </c>
      <c r="Q630" s="31" t="n">
        <v>0</v>
      </c>
      <c r="R630" s="32" t="n"/>
      <c r="S630" s="32" t="n">
        <v>0</v>
      </c>
      <c r="T630" s="32" t="n">
        <v>0</v>
      </c>
      <c r="U630" s="31" t="n">
        <v>0</v>
      </c>
      <c r="V630" s="32" t="n">
        <v>0</v>
      </c>
      <c r="W630" s="31" t="n">
        <v>0</v>
      </c>
      <c r="X630" s="31" t="n">
        <v>0</v>
      </c>
      <c r="Y630" s="3" t="n">
        <v>0</v>
      </c>
      <c r="Z630" s="3" t="n">
        <v>0</v>
      </c>
      <c r="AA630" s="32" t="n">
        <v>0</v>
      </c>
      <c r="AB630" s="3" t="n">
        <v>0</v>
      </c>
      <c r="AC630" s="32" t="n">
        <v>0</v>
      </c>
      <c r="AD630" s="3" t="n"/>
      <c r="AE630" s="31" t="n">
        <v>0</v>
      </c>
      <c r="AF630" s="2" t="n">
        <v>0</v>
      </c>
      <c r="AG630" s="2" t="n">
        <v>0</v>
      </c>
      <c r="AH630" s="4" t="n">
        <v>0</v>
      </c>
      <c r="AI630" s="33" t="n">
        <v>0</v>
      </c>
      <c r="AJ630" s="4" t="n">
        <v>0</v>
      </c>
      <c r="AK630" s="34" t="n"/>
      <c r="AL630" s="34" t="n">
        <v>0</v>
      </c>
      <c r="AM630" s="2" t="n">
        <v>0</v>
      </c>
    </row>
    <row r="631">
      <c r="A631">
        <f>HYPERLINK("https://www.walmart.com/ip/14531901789", "14531901789")</f>
        <v/>
      </c>
      <c r="B631">
        <f>HYPERLINK("https://app.optiwise.ai/catalog/itemdetails/13061821", "Solaris Open Crotch Boyshort Panties Underwear Black Lace Lingerie Thong for Women with Ribbons Removable Garters 2XL")</f>
        <v/>
      </c>
      <c r="C631" t="inlineStr">
        <is>
          <t>-</t>
        </is>
      </c>
      <c r="E631" t="inlineStr">
        <is>
          <t>CCPT100BK-2XL-FS</t>
        </is>
      </c>
      <c r="F631" t="n">
        <v>0</v>
      </c>
      <c r="G631" t="inlineStr">
        <is>
          <t>Clothing</t>
        </is>
      </c>
      <c r="H631" t="inlineStr">
        <is>
          <t>Panties</t>
        </is>
      </c>
      <c r="I631" t="inlineStr">
        <is>
          <t>Solaris</t>
        </is>
      </c>
      <c r="L631" s="29" t="n">
        <v>0</v>
      </c>
      <c r="M631" s="30" t="n"/>
      <c r="N631" s="29" t="n">
        <v>7.989999771118164</v>
      </c>
      <c r="O631" s="29" t="n">
        <v>0</v>
      </c>
      <c r="P631" s="2" t="n">
        <v>0</v>
      </c>
      <c r="Q631" s="31" t="n">
        <v>0</v>
      </c>
      <c r="R631" s="32" t="n"/>
      <c r="S631" s="32" t="n">
        <v>0</v>
      </c>
      <c r="T631" s="32" t="n">
        <v>0</v>
      </c>
      <c r="U631" s="31" t="n">
        <v>0</v>
      </c>
      <c r="V631" s="32" t="n">
        <v>0</v>
      </c>
      <c r="W631" s="31" t="n">
        <v>0</v>
      </c>
      <c r="X631" s="31" t="n">
        <v>0</v>
      </c>
      <c r="Y631" s="3" t="n">
        <v>0</v>
      </c>
      <c r="Z631" s="3" t="n">
        <v>0</v>
      </c>
      <c r="AA631" s="32" t="n">
        <v>0</v>
      </c>
      <c r="AB631" s="3" t="n">
        <v>0</v>
      </c>
      <c r="AC631" s="32" t="n">
        <v>0</v>
      </c>
      <c r="AD631" s="3" t="n"/>
      <c r="AE631" s="31" t="n">
        <v>0</v>
      </c>
      <c r="AF631" s="2" t="n">
        <v>0</v>
      </c>
      <c r="AG631" s="2" t="n">
        <v>7</v>
      </c>
      <c r="AH631" s="4" t="n">
        <v>7</v>
      </c>
      <c r="AI631" s="33" t="n">
        <v>0</v>
      </c>
      <c r="AJ631" s="4" t="n">
        <v>0</v>
      </c>
      <c r="AK631" s="34" t="n"/>
      <c r="AL631" s="34" t="n">
        <v>0</v>
      </c>
      <c r="AM631" s="2" t="n">
        <v>0</v>
      </c>
    </row>
    <row r="632">
      <c r="A632">
        <f>HYPERLINK("https://www.walmart.com/ip/14527764278", "14527764278")</f>
        <v/>
      </c>
      <c r="B632">
        <f>HYPERLINK("https://app.optiwise.ai/catalog/itemdetails/13059135", "PEANUTS Womens 100% Cotton Family Matching Pajamas Holiday Festive Nightwear Sleepwear 2-Piece Sets for Christmas Gifts (Red Polka Dot, S)")</f>
        <v/>
      </c>
      <c r="C632" t="inlineStr">
        <is>
          <t>-</t>
        </is>
      </c>
      <c r="E632" t="inlineStr">
        <is>
          <t>PEA-PJS-FAMILY-WOMEN-RED-S</t>
        </is>
      </c>
      <c r="F632" t="n">
        <v>0</v>
      </c>
      <c r="G632" t="inlineStr">
        <is>
          <t>Clothing</t>
        </is>
      </c>
      <c r="H632" t="inlineStr">
        <is>
          <t>Pajamas</t>
        </is>
      </c>
      <c r="I632" t="inlineStr">
        <is>
          <t>Peanuts</t>
        </is>
      </c>
      <c r="L632" s="29" t="n">
        <v>0</v>
      </c>
      <c r="M632" s="30" t="n"/>
      <c r="N632" s="29" t="n">
        <v>0</v>
      </c>
      <c r="O632" s="29" t="n">
        <v>0</v>
      </c>
      <c r="P632" s="2" t="n">
        <v>0</v>
      </c>
      <c r="Q632" s="31" t="n">
        <v>0</v>
      </c>
      <c r="R632" s="32" t="n"/>
      <c r="S632" s="32" t="n">
        <v>0</v>
      </c>
      <c r="T632" s="32" t="n">
        <v>0</v>
      </c>
      <c r="U632" s="31" t="n">
        <v>0</v>
      </c>
      <c r="V632" s="32" t="n">
        <v>0</v>
      </c>
      <c r="W632" s="31" t="n">
        <v>0</v>
      </c>
      <c r="X632" s="31" t="n">
        <v>0</v>
      </c>
      <c r="Y632" s="3" t="n">
        <v>0</v>
      </c>
      <c r="Z632" s="3" t="n">
        <v>0</v>
      </c>
      <c r="AA632" s="32" t="n">
        <v>0</v>
      </c>
      <c r="AB632" s="3" t="n">
        <v>0</v>
      </c>
      <c r="AC632" s="32" t="n">
        <v>0</v>
      </c>
      <c r="AD632" s="3" t="n"/>
      <c r="AE632" s="31" t="n">
        <v>0</v>
      </c>
      <c r="AF632" s="2" t="n">
        <v>0</v>
      </c>
      <c r="AG632" s="2" t="n">
        <v>0</v>
      </c>
      <c r="AH632" s="4" t="n">
        <v>0</v>
      </c>
      <c r="AI632" s="33" t="n">
        <v>0</v>
      </c>
      <c r="AJ632" s="4" t="n">
        <v>0</v>
      </c>
      <c r="AK632" s="34" t="n"/>
      <c r="AL632" s="34" t="n">
        <v>0</v>
      </c>
      <c r="AM632" s="2" t="n">
        <v>0</v>
      </c>
    </row>
    <row r="633">
      <c r="A633">
        <f>HYPERLINK("https://www.walmart.com/ip/14560258399", "14560258399")</f>
        <v/>
      </c>
      <c r="B633">
        <f>HYPERLINK("https://app.optiwise.ai/catalog/itemdetails/13061820", "Solaris Womens Wigs Two Tone Long Curly Wigs with Straight Bangs Pink Themed Party Lavender and Black")</f>
        <v/>
      </c>
      <c r="C633" t="inlineStr">
        <is>
          <t>-</t>
        </is>
      </c>
      <c r="E633" t="inlineStr">
        <is>
          <t>FZWIGHW-558-FS</t>
        </is>
      </c>
      <c r="F633" t="n">
        <v>0</v>
      </c>
      <c r="G633" t="inlineStr">
        <is>
          <t>Costumes</t>
        </is>
      </c>
      <c r="H633" t="inlineStr">
        <is>
          <t>Costume Wigs</t>
        </is>
      </c>
      <c r="I633" t="inlineStr">
        <is>
          <t>Solaris</t>
        </is>
      </c>
      <c r="L633" s="29" t="n">
        <v>0</v>
      </c>
      <c r="M633" s="30" t="n"/>
      <c r="N633" s="29" t="n">
        <v>0</v>
      </c>
      <c r="O633" s="29" t="n">
        <v>0</v>
      </c>
      <c r="P633" s="2" t="n">
        <v>0</v>
      </c>
      <c r="Q633" s="31" t="n">
        <v>0</v>
      </c>
      <c r="R633" s="32" t="n"/>
      <c r="S633" s="32" t="n">
        <v>0</v>
      </c>
      <c r="T633" s="32" t="n">
        <v>0</v>
      </c>
      <c r="U633" s="31" t="n">
        <v>0</v>
      </c>
      <c r="V633" s="32" t="n">
        <v>0</v>
      </c>
      <c r="W633" s="31" t="n">
        <v>0</v>
      </c>
      <c r="X633" s="31" t="n">
        <v>0</v>
      </c>
      <c r="Y633" s="3" t="n">
        <v>0</v>
      </c>
      <c r="Z633" s="3" t="n">
        <v>0</v>
      </c>
      <c r="AA633" s="32" t="n">
        <v>0</v>
      </c>
      <c r="AB633" s="3" t="n">
        <v>0</v>
      </c>
      <c r="AC633" s="32" t="n">
        <v>0</v>
      </c>
      <c r="AD633" s="3" t="n"/>
      <c r="AE633" s="31" t="n">
        <v>0</v>
      </c>
      <c r="AF633" s="2" t="n">
        <v>0</v>
      </c>
      <c r="AG633" s="2" t="n">
        <v>0</v>
      </c>
      <c r="AH633" s="4" t="n">
        <v>0</v>
      </c>
      <c r="AI633" s="33" t="n">
        <v>0</v>
      </c>
      <c r="AJ633" s="4" t="n">
        <v>0</v>
      </c>
      <c r="AK633" s="34" t="n"/>
      <c r="AL633" s="34" t="n">
        <v>0</v>
      </c>
      <c r="AM633" s="2" t="n">
        <v>0</v>
      </c>
    </row>
    <row r="634">
      <c r="A634">
        <f>HYPERLINK("https://www.walmart.com/ip/14515667164", "14515667164")</f>
        <v/>
      </c>
      <c r="B634">
        <f>HYPERLINK("https://app.optiwise.ai/catalog/itemdetails/13059132", "PEANUTS Snoopy 100% Cotton Family Matching Pajamas Holiday 2-Piece Sets for Christmas with Woodstock Charlie Brown Linus for Baby (Red Plaid, 18M)")</f>
        <v/>
      </c>
      <c r="C634" t="inlineStr">
        <is>
          <t>-</t>
        </is>
      </c>
      <c r="E634" t="inlineStr">
        <is>
          <t>PEA-PJS-FAMILY-INFANT-REDPLAID-18M</t>
        </is>
      </c>
      <c r="F634" t="n">
        <v>0</v>
      </c>
      <c r="G634" t="inlineStr">
        <is>
          <t>Clothing</t>
        </is>
      </c>
      <c r="H634" t="inlineStr">
        <is>
          <t>Pajamas</t>
        </is>
      </c>
      <c r="I634" t="inlineStr">
        <is>
          <t>Peanuts</t>
        </is>
      </c>
      <c r="L634" s="29" t="n">
        <v>0</v>
      </c>
      <c r="M634" s="30" t="n"/>
      <c r="N634" s="29" t="n">
        <v>0</v>
      </c>
      <c r="O634" s="29" t="n">
        <v>0</v>
      </c>
      <c r="P634" s="2" t="n">
        <v>0</v>
      </c>
      <c r="Q634" s="31" t="n">
        <v>0</v>
      </c>
      <c r="R634" s="32" t="n"/>
      <c r="S634" s="32" t="n">
        <v>0</v>
      </c>
      <c r="T634" s="32" t="n">
        <v>0</v>
      </c>
      <c r="U634" s="31" t="n">
        <v>0</v>
      </c>
      <c r="V634" s="32" t="n">
        <v>0</v>
      </c>
      <c r="W634" s="31" t="n">
        <v>0</v>
      </c>
      <c r="X634" s="31" t="n">
        <v>0</v>
      </c>
      <c r="Y634" s="3" t="n">
        <v>0</v>
      </c>
      <c r="Z634" s="3" t="n">
        <v>0</v>
      </c>
      <c r="AA634" s="32" t="n">
        <v>0</v>
      </c>
      <c r="AB634" s="3" t="n">
        <v>0</v>
      </c>
      <c r="AC634" s="32" t="n">
        <v>0</v>
      </c>
      <c r="AD634" s="3" t="n"/>
      <c r="AE634" s="31" t="n">
        <v>0</v>
      </c>
      <c r="AF634" s="2" t="n">
        <v>0</v>
      </c>
      <c r="AG634" s="2" t="n">
        <v>0</v>
      </c>
      <c r="AH634" s="4" t="n">
        <v>0</v>
      </c>
      <c r="AI634" s="33" t="n">
        <v>0</v>
      </c>
      <c r="AJ634" s="4" t="n">
        <v>0</v>
      </c>
      <c r="AK634" s="34" t="n"/>
      <c r="AL634" s="34" t="n">
        <v>0</v>
      </c>
      <c r="AM634" s="2" t="n">
        <v>0</v>
      </c>
    </row>
    <row r="635">
      <c r="A635">
        <f>HYPERLINK("https://www.walmart.com/ip/14514109808", "14514109808")</f>
        <v/>
      </c>
      <c r="B635">
        <f>HYPERLINK("https://app.optiwise.ai/catalog/itemdetails/13059131", "PEANUTS Womens Family Matching Pajamas Comfy Cotton PJ Sleepwear 2-Piece Sets for Christmas with Woodstock Charlie Brown (Green Polka Dot, XL)")</f>
        <v/>
      </c>
      <c r="C635" t="inlineStr">
        <is>
          <t>-</t>
        </is>
      </c>
      <c r="E635" t="inlineStr">
        <is>
          <t>PEA-PJS-FAMILY-WOMEN-GREEN-XL</t>
        </is>
      </c>
      <c r="F635" t="n">
        <v>0</v>
      </c>
      <c r="G635" t="inlineStr">
        <is>
          <t>Clothing</t>
        </is>
      </c>
      <c r="H635" t="inlineStr">
        <is>
          <t>Pajamas</t>
        </is>
      </c>
      <c r="I635" t="inlineStr">
        <is>
          <t>Peanuts</t>
        </is>
      </c>
      <c r="L635" s="29" t="n">
        <v>0</v>
      </c>
      <c r="M635" s="30" t="n"/>
      <c r="N635" s="29" t="n">
        <v>0</v>
      </c>
      <c r="O635" s="29" t="n">
        <v>0</v>
      </c>
      <c r="P635" s="2" t="n">
        <v>0</v>
      </c>
      <c r="Q635" s="31" t="n">
        <v>0</v>
      </c>
      <c r="R635" s="32" t="n"/>
      <c r="S635" s="32" t="n">
        <v>0</v>
      </c>
      <c r="T635" s="32" t="n">
        <v>0</v>
      </c>
      <c r="U635" s="31" t="n">
        <v>0</v>
      </c>
      <c r="V635" s="32" t="n">
        <v>0</v>
      </c>
      <c r="W635" s="31" t="n">
        <v>0</v>
      </c>
      <c r="X635" s="31" t="n">
        <v>0</v>
      </c>
      <c r="Y635" s="3" t="n">
        <v>0</v>
      </c>
      <c r="Z635" s="3" t="n">
        <v>0</v>
      </c>
      <c r="AA635" s="32" t="n">
        <v>0</v>
      </c>
      <c r="AB635" s="3" t="n">
        <v>0</v>
      </c>
      <c r="AC635" s="32" t="n">
        <v>0</v>
      </c>
      <c r="AD635" s="3" t="n"/>
      <c r="AE635" s="31" t="n">
        <v>0</v>
      </c>
      <c r="AF635" s="2" t="n">
        <v>0</v>
      </c>
      <c r="AG635" s="2" t="n">
        <v>0</v>
      </c>
      <c r="AH635" s="4" t="n">
        <v>0</v>
      </c>
      <c r="AI635" s="33" t="n">
        <v>0</v>
      </c>
      <c r="AJ635" s="4" t="n">
        <v>0</v>
      </c>
      <c r="AK635" s="34" t="n"/>
      <c r="AL635" s="34" t="n">
        <v>0</v>
      </c>
      <c r="AM635" s="2" t="n">
        <v>0</v>
      </c>
    </row>
    <row r="636">
      <c r="A636">
        <f>HYPERLINK("https://www.walmart.com/ip/14510674941", "14510674941")</f>
        <v/>
      </c>
      <c r="B636">
        <f>HYPERLINK("https://app.optiwise.ai/catalog/itemdetails/13059130", "PEANUTS Mens' Cotton Snoopy Family Matching Pajamas 2-Piece Sets for Christmas with Woodstock Charlie Brown Linus, Gift for him (Black Plaid, S)")</f>
        <v/>
      </c>
      <c r="C636" t="inlineStr">
        <is>
          <t>-</t>
        </is>
      </c>
      <c r="E636" t="inlineStr">
        <is>
          <t>PEA-PJS-FAMILY-MEN-BLACKPLAID-S</t>
        </is>
      </c>
      <c r="F636" t="n">
        <v>0</v>
      </c>
      <c r="G636" t="inlineStr">
        <is>
          <t>Clothing</t>
        </is>
      </c>
      <c r="H636" t="inlineStr">
        <is>
          <t>Pajamas</t>
        </is>
      </c>
      <c r="I636" t="inlineStr">
        <is>
          <t>Peanuts</t>
        </is>
      </c>
      <c r="L636" s="29" t="n">
        <v>0</v>
      </c>
      <c r="M636" s="30" t="n"/>
      <c r="N636" s="29" t="n">
        <v>0</v>
      </c>
      <c r="O636" s="29" t="n">
        <v>0</v>
      </c>
      <c r="P636" s="2" t="n">
        <v>0</v>
      </c>
      <c r="Q636" s="31" t="n">
        <v>0</v>
      </c>
      <c r="R636" s="32" t="n"/>
      <c r="S636" s="32" t="n">
        <v>0</v>
      </c>
      <c r="T636" s="32" t="n">
        <v>0</v>
      </c>
      <c r="U636" s="31" t="n">
        <v>0</v>
      </c>
      <c r="V636" s="32" t="n">
        <v>0</v>
      </c>
      <c r="W636" s="31" t="n">
        <v>0</v>
      </c>
      <c r="X636" s="31" t="n">
        <v>0</v>
      </c>
      <c r="Y636" s="3" t="n">
        <v>0</v>
      </c>
      <c r="Z636" s="3" t="n">
        <v>0</v>
      </c>
      <c r="AA636" s="32" t="n">
        <v>0</v>
      </c>
      <c r="AB636" s="3" t="n">
        <v>0</v>
      </c>
      <c r="AC636" s="32" t="n">
        <v>0</v>
      </c>
      <c r="AD636" s="3" t="n"/>
      <c r="AE636" s="31" t="n">
        <v>0</v>
      </c>
      <c r="AF636" s="2" t="n">
        <v>0</v>
      </c>
      <c r="AG636" s="2" t="n">
        <v>0</v>
      </c>
      <c r="AH636" s="4" t="n">
        <v>0</v>
      </c>
      <c r="AI636" s="33" t="n">
        <v>0</v>
      </c>
      <c r="AJ636" s="4" t="n">
        <v>0</v>
      </c>
      <c r="AK636" s="34" t="n"/>
      <c r="AL636" s="34" t="n">
        <v>0</v>
      </c>
      <c r="AM636" s="2" t="n">
        <v>0</v>
      </c>
    </row>
    <row r="637">
      <c r="A637">
        <f>HYPERLINK("https://www.walmart.com/ip/14477216506", "14477216506")</f>
        <v/>
      </c>
      <c r="B637">
        <f>HYPERLINK("https://app.optiwise.ai/catalog/itemdetails/13059129", "PEANUTS Snoopy 100% Cotton Family Matching Pajamas Holiday 2-Piece Sets for Christmas with Woodstock Charlie Brown Linus for Baby (Red Plaid, 12M)")</f>
        <v/>
      </c>
      <c r="C637" t="inlineStr">
        <is>
          <t>-</t>
        </is>
      </c>
      <c r="E637" t="inlineStr">
        <is>
          <t>PEA-PJS-FAMILY-INFANT-REDPLAID-12M</t>
        </is>
      </c>
      <c r="F637" t="n">
        <v>0</v>
      </c>
      <c r="G637" t="inlineStr">
        <is>
          <t>Clothing</t>
        </is>
      </c>
      <c r="H637" t="inlineStr">
        <is>
          <t>Pajamas</t>
        </is>
      </c>
      <c r="I637" t="inlineStr">
        <is>
          <t>Peanuts</t>
        </is>
      </c>
      <c r="L637" s="29" t="n">
        <v>0</v>
      </c>
      <c r="M637" s="30" t="n"/>
      <c r="N637" s="29" t="n">
        <v>0</v>
      </c>
      <c r="O637" s="29" t="n">
        <v>0</v>
      </c>
      <c r="P637" s="2" t="n">
        <v>0</v>
      </c>
      <c r="Q637" s="31" t="n">
        <v>0</v>
      </c>
      <c r="R637" s="32" t="n"/>
      <c r="S637" s="32" t="n">
        <v>0</v>
      </c>
      <c r="T637" s="32" t="n">
        <v>0</v>
      </c>
      <c r="U637" s="31" t="n">
        <v>0</v>
      </c>
      <c r="V637" s="32" t="n">
        <v>0</v>
      </c>
      <c r="W637" s="31" t="n">
        <v>0</v>
      </c>
      <c r="X637" s="31" t="n">
        <v>0</v>
      </c>
      <c r="Y637" s="3" t="n">
        <v>0</v>
      </c>
      <c r="Z637" s="3" t="n">
        <v>0</v>
      </c>
      <c r="AA637" s="32" t="n">
        <v>0</v>
      </c>
      <c r="AB637" s="3" t="n">
        <v>0</v>
      </c>
      <c r="AC637" s="32" t="n">
        <v>0</v>
      </c>
      <c r="AD637" s="3" t="n"/>
      <c r="AE637" s="31" t="n">
        <v>0</v>
      </c>
      <c r="AF637" s="2" t="n">
        <v>0</v>
      </c>
      <c r="AG637" s="2" t="n">
        <v>0</v>
      </c>
      <c r="AH637" s="4" t="n">
        <v>0</v>
      </c>
      <c r="AI637" s="33" t="n">
        <v>0</v>
      </c>
      <c r="AJ637" s="4" t="n">
        <v>0</v>
      </c>
      <c r="AK637" s="34" t="n"/>
      <c r="AL637" s="34" t="n">
        <v>0</v>
      </c>
      <c r="AM637" s="2" t="n">
        <v>0</v>
      </c>
    </row>
    <row r="638">
      <c r="A638">
        <f>HYPERLINK("https://www.walmart.com/ip/10306055739", "10306055739")</f>
        <v/>
      </c>
      <c r="B638">
        <f>HYPERLINK("https://app.optiwise.ai/catalog/itemdetails/13059128", "PEANUTS Toddler Boys Girls Snoopy Family Matching Pajamas 2-Piece Sets for Christmas with Woodstock Charlie Brown Linus (Green Polka Dot, 4T)")</f>
        <v/>
      </c>
      <c r="C638" t="inlineStr">
        <is>
          <t>-</t>
        </is>
      </c>
      <c r="E638" t="inlineStr">
        <is>
          <t>PEA-PJS-FAMILY-TODDLER-GREEN-4T</t>
        </is>
      </c>
      <c r="F638" t="n">
        <v>0</v>
      </c>
      <c r="G638" t="inlineStr">
        <is>
          <t>Clothing</t>
        </is>
      </c>
      <c r="H638" t="inlineStr">
        <is>
          <t>Pajamas</t>
        </is>
      </c>
      <c r="I638" t="inlineStr">
        <is>
          <t>Peanuts</t>
        </is>
      </c>
      <c r="L638" s="29" t="n">
        <v>0</v>
      </c>
      <c r="M638" s="30" t="n"/>
      <c r="N638" s="29" t="n">
        <v>0</v>
      </c>
      <c r="O638" s="29" t="n">
        <v>0</v>
      </c>
      <c r="P638" s="2" t="n">
        <v>0</v>
      </c>
      <c r="Q638" s="31" t="n">
        <v>0</v>
      </c>
      <c r="R638" s="32" t="n"/>
      <c r="S638" s="32" t="n">
        <v>0</v>
      </c>
      <c r="T638" s="32" t="n">
        <v>0</v>
      </c>
      <c r="U638" s="31" t="n">
        <v>0</v>
      </c>
      <c r="V638" s="32" t="n">
        <v>0</v>
      </c>
      <c r="W638" s="31" t="n">
        <v>0</v>
      </c>
      <c r="X638" s="31" t="n">
        <v>0</v>
      </c>
      <c r="Y638" s="3" t="n">
        <v>0</v>
      </c>
      <c r="Z638" s="3" t="n">
        <v>0</v>
      </c>
      <c r="AA638" s="32" t="n">
        <v>0</v>
      </c>
      <c r="AB638" s="3" t="n">
        <v>0</v>
      </c>
      <c r="AC638" s="32" t="n">
        <v>0</v>
      </c>
      <c r="AD638" s="3" t="n"/>
      <c r="AE638" s="31" t="n">
        <v>0</v>
      </c>
      <c r="AF638" s="2" t="n">
        <v>0</v>
      </c>
      <c r="AG638" s="2" t="n">
        <v>0</v>
      </c>
      <c r="AH638" s="4" t="n">
        <v>0</v>
      </c>
      <c r="AI638" s="33" t="n">
        <v>0</v>
      </c>
      <c r="AJ638" s="4" t="n">
        <v>0</v>
      </c>
      <c r="AK638" s="34" t="n"/>
      <c r="AL638" s="34" t="n">
        <v>0</v>
      </c>
      <c r="AM638" s="2" t="n">
        <v>0</v>
      </c>
    </row>
    <row r="639">
      <c r="A639">
        <f>HYPERLINK("https://www.walmart.com/ip/10292551967", "10292551967")</f>
        <v/>
      </c>
      <c r="B639">
        <f>HYPERLINK("https://app.optiwise.ai/catalog/itemdetails/13059127", "PEANUTS Toddler Boys Girls Snoopy Family Matching Pajamas 2-Piece Sets for Christmas with Woodstock Charlie Brown Linus (Green Polka Dot, 5T)")</f>
        <v/>
      </c>
      <c r="C639" t="inlineStr">
        <is>
          <t>-</t>
        </is>
      </c>
      <c r="E639" t="inlineStr">
        <is>
          <t>PEA-PJS-FAMILY-TODDLER-GREEN-5T</t>
        </is>
      </c>
      <c r="F639" t="n">
        <v>0</v>
      </c>
      <c r="G639" t="inlineStr">
        <is>
          <t>Clothing</t>
        </is>
      </c>
      <c r="H639" t="inlineStr">
        <is>
          <t>Pajamas</t>
        </is>
      </c>
      <c r="I639" t="inlineStr">
        <is>
          <t>Peanuts</t>
        </is>
      </c>
      <c r="L639" s="29" t="n">
        <v>0</v>
      </c>
      <c r="M639" s="30" t="n"/>
      <c r="N639" s="29" t="n">
        <v>0</v>
      </c>
      <c r="O639" s="29" t="n">
        <v>0</v>
      </c>
      <c r="P639" s="2" t="n">
        <v>0</v>
      </c>
      <c r="Q639" s="31" t="n">
        <v>0</v>
      </c>
      <c r="R639" s="32" t="n"/>
      <c r="S639" s="32" t="n">
        <v>0</v>
      </c>
      <c r="T639" s="32" t="n">
        <v>0</v>
      </c>
      <c r="U639" s="31" t="n">
        <v>0</v>
      </c>
      <c r="V639" s="32" t="n">
        <v>0</v>
      </c>
      <c r="W639" s="31" t="n">
        <v>0</v>
      </c>
      <c r="X639" s="31" t="n">
        <v>0</v>
      </c>
      <c r="Y639" s="3" t="n">
        <v>0</v>
      </c>
      <c r="Z639" s="3" t="n">
        <v>0</v>
      </c>
      <c r="AA639" s="32" t="n">
        <v>0</v>
      </c>
      <c r="AB639" s="3" t="n">
        <v>0</v>
      </c>
      <c r="AC639" s="32" t="n">
        <v>0</v>
      </c>
      <c r="AD639" s="3" t="n"/>
      <c r="AE639" s="31" t="n">
        <v>0</v>
      </c>
      <c r="AF639" s="2" t="n">
        <v>0</v>
      </c>
      <c r="AG639" s="2" t="n">
        <v>0</v>
      </c>
      <c r="AH639" s="4" t="n">
        <v>0</v>
      </c>
      <c r="AI639" s="33" t="n">
        <v>0</v>
      </c>
      <c r="AJ639" s="4" t="n">
        <v>0</v>
      </c>
      <c r="AK639" s="34" t="n"/>
      <c r="AL639" s="34" t="n">
        <v>0</v>
      </c>
      <c r="AM639" s="2" t="n">
        <v>0</v>
      </c>
    </row>
    <row r="640">
      <c r="A640">
        <f>HYPERLINK("https://www.walmart.com/ip/14554465241", "14554465241")</f>
        <v/>
      </c>
      <c r="B640">
        <f>HYPERLINK("https://app.optiwise.ai/catalog/itemdetails/13059126", "PEANUTS Mens' Cotton Snoopy Family Matching Pajamas 2-Piece Sets for Christmas with Woodstock Charlie Brown Linus, Gift for him (Red Polka Dot, L)")</f>
        <v/>
      </c>
      <c r="C640" t="inlineStr">
        <is>
          <t>-</t>
        </is>
      </c>
      <c r="E640" t="inlineStr">
        <is>
          <t>PEA-PJS-FAMILY-MEN-RED-L</t>
        </is>
      </c>
      <c r="F640" t="n">
        <v>0</v>
      </c>
      <c r="G640" t="inlineStr">
        <is>
          <t>Clothing</t>
        </is>
      </c>
      <c r="H640" t="inlineStr">
        <is>
          <t>Pajamas</t>
        </is>
      </c>
      <c r="I640" t="inlineStr">
        <is>
          <t>Peanuts</t>
        </is>
      </c>
      <c r="L640" s="29" t="n">
        <v>0</v>
      </c>
      <c r="M640" s="30" t="n"/>
      <c r="N640" s="29" t="n">
        <v>0</v>
      </c>
      <c r="O640" s="29" t="n">
        <v>0</v>
      </c>
      <c r="P640" s="2" t="n">
        <v>0</v>
      </c>
      <c r="Q640" s="31" t="n">
        <v>0</v>
      </c>
      <c r="R640" s="32" t="n"/>
      <c r="S640" s="32" t="n">
        <v>0</v>
      </c>
      <c r="T640" s="32" t="n">
        <v>0</v>
      </c>
      <c r="U640" s="31" t="n">
        <v>0</v>
      </c>
      <c r="V640" s="32" t="n">
        <v>0</v>
      </c>
      <c r="W640" s="31" t="n">
        <v>0</v>
      </c>
      <c r="X640" s="31" t="n">
        <v>0</v>
      </c>
      <c r="Y640" s="3" t="n">
        <v>0</v>
      </c>
      <c r="Z640" s="3" t="n">
        <v>0</v>
      </c>
      <c r="AA640" s="32" t="n">
        <v>0</v>
      </c>
      <c r="AB640" s="3" t="n">
        <v>0</v>
      </c>
      <c r="AC640" s="32" t="n">
        <v>0</v>
      </c>
      <c r="AD640" s="3" t="n"/>
      <c r="AE640" s="31" t="n">
        <v>0</v>
      </c>
      <c r="AF640" s="2" t="n">
        <v>0</v>
      </c>
      <c r="AG640" s="2" t="n">
        <v>0</v>
      </c>
      <c r="AH640" s="4" t="n">
        <v>0</v>
      </c>
      <c r="AI640" s="33" t="n">
        <v>0</v>
      </c>
      <c r="AJ640" s="4" t="n">
        <v>0</v>
      </c>
      <c r="AK640" s="34" t="n"/>
      <c r="AL640" s="34" t="n">
        <v>0</v>
      </c>
      <c r="AM640" s="2" t="n">
        <v>0</v>
      </c>
    </row>
    <row r="641">
      <c r="A641">
        <f>HYPERLINK("https://www.walmart.com/ip/14542705719", "14542705719")</f>
        <v/>
      </c>
      <c r="B641">
        <f>HYPERLINK("https://app.optiwise.ai/catalog/itemdetails/13059125", "PEANUTS Mens' Cotton Snoopy Family Matching Pajamas 2-Piece Sets for Christmas with Woodstock Charlie Brown Linus, Gift for him (Red Plaid, XL)")</f>
        <v/>
      </c>
      <c r="C641" t="inlineStr">
        <is>
          <t>-</t>
        </is>
      </c>
      <c r="E641" t="inlineStr">
        <is>
          <t>PEA-PJS-FAMILY-MEN-REDPLAID-XL</t>
        </is>
      </c>
      <c r="F641" t="n">
        <v>0</v>
      </c>
      <c r="G641" t="inlineStr">
        <is>
          <t>Clothing</t>
        </is>
      </c>
      <c r="H641" t="inlineStr">
        <is>
          <t>Pajamas</t>
        </is>
      </c>
      <c r="I641" t="inlineStr">
        <is>
          <t>Peanuts</t>
        </is>
      </c>
      <c r="L641" s="29" t="n">
        <v>0</v>
      </c>
      <c r="M641" s="30" t="n"/>
      <c r="N641" s="29" t="n">
        <v>0</v>
      </c>
      <c r="O641" s="29" t="n">
        <v>0</v>
      </c>
      <c r="P641" s="2" t="n">
        <v>0</v>
      </c>
      <c r="Q641" s="31" t="n">
        <v>0</v>
      </c>
      <c r="R641" s="32" t="n"/>
      <c r="S641" s="32" t="n">
        <v>0</v>
      </c>
      <c r="T641" s="32" t="n">
        <v>0</v>
      </c>
      <c r="U641" s="31" t="n">
        <v>0</v>
      </c>
      <c r="V641" s="32" t="n">
        <v>0</v>
      </c>
      <c r="W641" s="31" t="n">
        <v>0</v>
      </c>
      <c r="X641" s="31" t="n">
        <v>0</v>
      </c>
      <c r="Y641" s="3" t="n">
        <v>0</v>
      </c>
      <c r="Z641" s="3" t="n">
        <v>0</v>
      </c>
      <c r="AA641" s="32" t="n">
        <v>0</v>
      </c>
      <c r="AB641" s="3" t="n">
        <v>0</v>
      </c>
      <c r="AC641" s="32" t="n">
        <v>0</v>
      </c>
      <c r="AD641" s="3" t="n"/>
      <c r="AE641" s="31" t="n">
        <v>0</v>
      </c>
      <c r="AF641" s="2" t="n">
        <v>0</v>
      </c>
      <c r="AG641" s="2" t="n">
        <v>0</v>
      </c>
      <c r="AH641" s="4" t="n">
        <v>0</v>
      </c>
      <c r="AI641" s="33" t="n">
        <v>0</v>
      </c>
      <c r="AJ641" s="4" t="n">
        <v>0</v>
      </c>
      <c r="AK641" s="34" t="n"/>
      <c r="AL641" s="34" t="n">
        <v>0</v>
      </c>
      <c r="AM641" s="2" t="n">
        <v>0</v>
      </c>
    </row>
    <row r="642">
      <c r="A642">
        <f>HYPERLINK("https://www.walmart.com/ip/14541560711", "14541560711")</f>
        <v/>
      </c>
      <c r="B642">
        <f>HYPERLINK("https://app.optiwise.ai/catalog/itemdetails/13059124", "PEANUTS Snoopy 100% Cotton Family Matching Pajamas Holiday 2-Piece Sets for Christmas with Woodstock Charlie Brown Linus for Baby (Black Plaid, 18M)")</f>
        <v/>
      </c>
      <c r="C642" t="inlineStr">
        <is>
          <t>-</t>
        </is>
      </c>
      <c r="E642" t="inlineStr">
        <is>
          <t>PEA-PJS-FAMILY-INFANT-BLACKPLAID-18M</t>
        </is>
      </c>
      <c r="F642" t="n">
        <v>0</v>
      </c>
      <c r="G642" t="inlineStr">
        <is>
          <t>Clothing</t>
        </is>
      </c>
      <c r="H642" t="inlineStr">
        <is>
          <t>Pajamas</t>
        </is>
      </c>
      <c r="I642" t="inlineStr">
        <is>
          <t>Peanuts</t>
        </is>
      </c>
      <c r="L642" s="29" t="n">
        <v>0</v>
      </c>
      <c r="M642" s="30" t="n"/>
      <c r="N642" s="29" t="n">
        <v>0</v>
      </c>
      <c r="O642" s="29" t="n">
        <v>0</v>
      </c>
      <c r="P642" s="2" t="n">
        <v>0</v>
      </c>
      <c r="Q642" s="31" t="n">
        <v>0</v>
      </c>
      <c r="R642" s="32" t="n"/>
      <c r="S642" s="32" t="n">
        <v>0</v>
      </c>
      <c r="T642" s="32" t="n">
        <v>0</v>
      </c>
      <c r="U642" s="31" t="n">
        <v>0</v>
      </c>
      <c r="V642" s="32" t="n">
        <v>0</v>
      </c>
      <c r="W642" s="31" t="n">
        <v>0</v>
      </c>
      <c r="X642" s="31" t="n">
        <v>0</v>
      </c>
      <c r="Y642" s="3" t="n">
        <v>0</v>
      </c>
      <c r="Z642" s="3" t="n">
        <v>0</v>
      </c>
      <c r="AA642" s="32" t="n">
        <v>0</v>
      </c>
      <c r="AB642" s="3" t="n">
        <v>0</v>
      </c>
      <c r="AC642" s="32" t="n">
        <v>0</v>
      </c>
      <c r="AD642" s="3" t="n"/>
      <c r="AE642" s="31" t="n">
        <v>0</v>
      </c>
      <c r="AF642" s="2" t="n">
        <v>0</v>
      </c>
      <c r="AG642" s="2" t="n">
        <v>0</v>
      </c>
      <c r="AH642" s="4" t="n">
        <v>0</v>
      </c>
      <c r="AI642" s="33" t="n">
        <v>0</v>
      </c>
      <c r="AJ642" s="4" t="n">
        <v>0</v>
      </c>
      <c r="AK642" s="34" t="n"/>
      <c r="AL642" s="34" t="n">
        <v>0</v>
      </c>
      <c r="AM642" s="2" t="n">
        <v>0</v>
      </c>
    </row>
    <row r="643">
      <c r="A643">
        <f>HYPERLINK("https://www.walmart.com/ip/14537357559", "14537357559")</f>
        <v/>
      </c>
      <c r="B643">
        <f>HYPERLINK("https://app.optiwise.ai/catalog/itemdetails/13059123", "PEANUTS Womens 100% Cotton Family Matching Pajamas Holiday Festive Nightwear Sleepwear 2-Piece Sets for Christmas Gifts (Black Plaid, S)")</f>
        <v/>
      </c>
      <c r="C643" t="inlineStr">
        <is>
          <t>-</t>
        </is>
      </c>
      <c r="E643" t="inlineStr">
        <is>
          <t>PEA-PJS-FAMILY-WOMEN-BLACKPLAID-S</t>
        </is>
      </c>
      <c r="F643" t="n">
        <v>0</v>
      </c>
      <c r="G643" t="inlineStr">
        <is>
          <t>Clothing</t>
        </is>
      </c>
      <c r="H643" t="inlineStr">
        <is>
          <t>Pajamas</t>
        </is>
      </c>
      <c r="I643" t="inlineStr">
        <is>
          <t>Peanuts</t>
        </is>
      </c>
      <c r="L643" s="29" t="n">
        <v>0</v>
      </c>
      <c r="M643" s="30" t="n"/>
      <c r="N643" s="29" t="n">
        <v>0</v>
      </c>
      <c r="O643" s="29" t="n">
        <v>0</v>
      </c>
      <c r="P643" s="2" t="n">
        <v>0</v>
      </c>
      <c r="Q643" s="31" t="n">
        <v>0</v>
      </c>
      <c r="R643" s="32" t="n"/>
      <c r="S643" s="32" t="n">
        <v>0</v>
      </c>
      <c r="T643" s="32" t="n">
        <v>0</v>
      </c>
      <c r="U643" s="31" t="n">
        <v>0</v>
      </c>
      <c r="V643" s="32" t="n">
        <v>0</v>
      </c>
      <c r="W643" s="31" t="n">
        <v>0</v>
      </c>
      <c r="X643" s="31" t="n">
        <v>0</v>
      </c>
      <c r="Y643" s="3" t="n">
        <v>0</v>
      </c>
      <c r="Z643" s="3" t="n">
        <v>0</v>
      </c>
      <c r="AA643" s="32" t="n">
        <v>0</v>
      </c>
      <c r="AB643" s="3" t="n">
        <v>0</v>
      </c>
      <c r="AC643" s="32" t="n">
        <v>0</v>
      </c>
      <c r="AD643" s="3" t="n"/>
      <c r="AE643" s="31" t="n">
        <v>0</v>
      </c>
      <c r="AF643" s="2" t="n">
        <v>0</v>
      </c>
      <c r="AG643" s="2" t="n">
        <v>0</v>
      </c>
      <c r="AH643" s="4" t="n">
        <v>0</v>
      </c>
      <c r="AI643" s="33" t="n">
        <v>0</v>
      </c>
      <c r="AJ643" s="4" t="n">
        <v>0</v>
      </c>
      <c r="AK643" s="34" t="n"/>
      <c r="AL643" s="34" t="n">
        <v>0</v>
      </c>
      <c r="AM643" s="2" t="n">
        <v>0</v>
      </c>
    </row>
    <row r="644">
      <c r="A644">
        <f>HYPERLINK("https://www.walmart.com/ip/14537357557", "14537357557")</f>
        <v/>
      </c>
      <c r="B644">
        <f>HYPERLINK("https://app.optiwise.ai/catalog/itemdetails/13059122", "PEANUTS Toddler Boys Girls Snoopy Family Matching Pajamas Sleepwear 2-Piece Sets for Christmas with Woodstock Charlie Brown Linus (Red Polka Dot, 3T)")</f>
        <v/>
      </c>
      <c r="C644" t="inlineStr">
        <is>
          <t>-</t>
        </is>
      </c>
      <c r="E644" t="inlineStr">
        <is>
          <t>PEA-PJS-FAMILY-TODDLER-RED-3T</t>
        </is>
      </c>
      <c r="F644" t="n">
        <v>0</v>
      </c>
      <c r="G644" t="inlineStr">
        <is>
          <t>Clothing</t>
        </is>
      </c>
      <c r="H644" t="inlineStr">
        <is>
          <t>Pajamas</t>
        </is>
      </c>
      <c r="I644" t="inlineStr">
        <is>
          <t>Peanuts</t>
        </is>
      </c>
      <c r="L644" s="29" t="n">
        <v>0</v>
      </c>
      <c r="M644" s="30" t="n"/>
      <c r="N644" s="29" t="n">
        <v>0</v>
      </c>
      <c r="O644" s="29" t="n">
        <v>0</v>
      </c>
      <c r="P644" s="2" t="n">
        <v>0</v>
      </c>
      <c r="Q644" s="31" t="n">
        <v>0</v>
      </c>
      <c r="R644" s="32" t="n"/>
      <c r="S644" s="32" t="n">
        <v>0</v>
      </c>
      <c r="T644" s="32" t="n">
        <v>0</v>
      </c>
      <c r="U644" s="31" t="n">
        <v>0</v>
      </c>
      <c r="V644" s="32" t="n">
        <v>0</v>
      </c>
      <c r="W644" s="31" t="n">
        <v>0</v>
      </c>
      <c r="X644" s="31" t="n">
        <v>0</v>
      </c>
      <c r="Y644" s="3" t="n">
        <v>0</v>
      </c>
      <c r="Z644" s="3" t="n">
        <v>0</v>
      </c>
      <c r="AA644" s="32" t="n">
        <v>0</v>
      </c>
      <c r="AB644" s="3" t="n">
        <v>0</v>
      </c>
      <c r="AC644" s="32" t="n">
        <v>0</v>
      </c>
      <c r="AD644" s="3" t="n"/>
      <c r="AE644" s="31" t="n">
        <v>0</v>
      </c>
      <c r="AF644" s="2" t="n">
        <v>0</v>
      </c>
      <c r="AG644" s="2" t="n">
        <v>0</v>
      </c>
      <c r="AH644" s="4" t="n">
        <v>0</v>
      </c>
      <c r="AI644" s="33" t="n">
        <v>0</v>
      </c>
      <c r="AJ644" s="4" t="n">
        <v>0</v>
      </c>
      <c r="AK644" s="34" t="n"/>
      <c r="AL644" s="34" t="n">
        <v>0</v>
      </c>
      <c r="AM644" s="2" t="n">
        <v>0</v>
      </c>
    </row>
    <row r="645">
      <c r="A645">
        <f>HYPERLINK("https://www.walmart.com/ip/14531103493", "14531103493")</f>
        <v/>
      </c>
      <c r="B645">
        <f>HYPERLINK("https://app.optiwise.ai/catalog/itemdetails/13059121", "PEANUTS Mens' Cotton Snoopy Family Matching Pajamas 2-Piece Sets for Christmas with Woodstock Charlie Brown Linus, Gift for him (Red Plaid, L)")</f>
        <v/>
      </c>
      <c r="C645" t="inlineStr">
        <is>
          <t>-</t>
        </is>
      </c>
      <c r="E645" t="inlineStr">
        <is>
          <t>PEA-PJS-FAMILY-MEN-REDPLAID-L</t>
        </is>
      </c>
      <c r="F645" t="n">
        <v>0</v>
      </c>
      <c r="G645" t="inlineStr">
        <is>
          <t>Clothing</t>
        </is>
      </c>
      <c r="H645" t="inlineStr">
        <is>
          <t>Pajamas</t>
        </is>
      </c>
      <c r="I645" t="inlineStr">
        <is>
          <t>Peanuts</t>
        </is>
      </c>
      <c r="L645" s="29" t="n">
        <v>0</v>
      </c>
      <c r="M645" s="30" t="n"/>
      <c r="N645" s="29" t="n">
        <v>0</v>
      </c>
      <c r="O645" s="29" t="n">
        <v>0</v>
      </c>
      <c r="P645" s="2" t="n">
        <v>0</v>
      </c>
      <c r="Q645" s="31" t="n">
        <v>0</v>
      </c>
      <c r="R645" s="32" t="n"/>
      <c r="S645" s="32" t="n">
        <v>0</v>
      </c>
      <c r="T645" s="32" t="n">
        <v>0</v>
      </c>
      <c r="U645" s="31" t="n">
        <v>0</v>
      </c>
      <c r="V645" s="32" t="n">
        <v>0</v>
      </c>
      <c r="W645" s="31" t="n">
        <v>0</v>
      </c>
      <c r="X645" s="31" t="n">
        <v>0</v>
      </c>
      <c r="Y645" s="3" t="n">
        <v>0</v>
      </c>
      <c r="Z645" s="3" t="n">
        <v>0</v>
      </c>
      <c r="AA645" s="32" t="n">
        <v>0</v>
      </c>
      <c r="AB645" s="3" t="n">
        <v>0</v>
      </c>
      <c r="AC645" s="32" t="n">
        <v>0</v>
      </c>
      <c r="AD645" s="3" t="n"/>
      <c r="AE645" s="31" t="n">
        <v>0</v>
      </c>
      <c r="AF645" s="2" t="n">
        <v>0</v>
      </c>
      <c r="AG645" s="2" t="n">
        <v>0</v>
      </c>
      <c r="AH645" s="4" t="n">
        <v>0</v>
      </c>
      <c r="AI645" s="33" t="n">
        <v>0</v>
      </c>
      <c r="AJ645" s="4" t="n">
        <v>0</v>
      </c>
      <c r="AK645" s="34" t="n"/>
      <c r="AL645" s="34" t="n">
        <v>0</v>
      </c>
      <c r="AM645" s="2" t="n">
        <v>0</v>
      </c>
    </row>
    <row r="646">
      <c r="A646">
        <f>HYPERLINK("https://www.walmart.com/ip/14531053915", "14531053915")</f>
        <v/>
      </c>
      <c r="B646">
        <f>HYPERLINK("https://app.optiwise.ai/catalog/itemdetails/13059120", "PEANUTS Toddler Boys Girls Snoopy Family Matching Pajamas 2-Piece Sets for Christmas with Woodstock Charlie Brown Linus (Green Polka Dot, 2T)")</f>
        <v/>
      </c>
      <c r="C646" t="inlineStr">
        <is>
          <t>-</t>
        </is>
      </c>
      <c r="E646" t="inlineStr">
        <is>
          <t>PEA-PJS-FAMILY-TODDLER-GREEN-2T</t>
        </is>
      </c>
      <c r="F646" t="n">
        <v>0</v>
      </c>
      <c r="G646" t="inlineStr">
        <is>
          <t>Clothing</t>
        </is>
      </c>
      <c r="H646" t="inlineStr">
        <is>
          <t>Pajamas</t>
        </is>
      </c>
      <c r="I646" t="inlineStr">
        <is>
          <t>Peanuts</t>
        </is>
      </c>
      <c r="L646" s="29" t="n">
        <v>0</v>
      </c>
      <c r="M646" s="30" t="n"/>
      <c r="N646" s="29" t="n">
        <v>0</v>
      </c>
      <c r="O646" s="29" t="n">
        <v>0</v>
      </c>
      <c r="P646" s="2" t="n">
        <v>0</v>
      </c>
      <c r="Q646" s="31" t="n">
        <v>0</v>
      </c>
      <c r="R646" s="32" t="n"/>
      <c r="S646" s="32" t="n">
        <v>0</v>
      </c>
      <c r="T646" s="32" t="n">
        <v>0</v>
      </c>
      <c r="U646" s="31" t="n">
        <v>0</v>
      </c>
      <c r="V646" s="32" t="n">
        <v>0</v>
      </c>
      <c r="W646" s="31" t="n">
        <v>0</v>
      </c>
      <c r="X646" s="31" t="n">
        <v>0</v>
      </c>
      <c r="Y646" s="3" t="n">
        <v>0</v>
      </c>
      <c r="Z646" s="3" t="n">
        <v>0</v>
      </c>
      <c r="AA646" s="32" t="n">
        <v>0</v>
      </c>
      <c r="AB646" s="3" t="n">
        <v>0</v>
      </c>
      <c r="AC646" s="32" t="n">
        <v>0</v>
      </c>
      <c r="AD646" s="3" t="n"/>
      <c r="AE646" s="31" t="n">
        <v>0</v>
      </c>
      <c r="AF646" s="2" t="n">
        <v>0</v>
      </c>
      <c r="AG646" s="2" t="n">
        <v>0</v>
      </c>
      <c r="AH646" s="4" t="n">
        <v>0</v>
      </c>
      <c r="AI646" s="33" t="n">
        <v>0</v>
      </c>
      <c r="AJ646" s="4" t="n">
        <v>0</v>
      </c>
      <c r="AK646" s="34" t="n"/>
      <c r="AL646" s="34" t="n">
        <v>0</v>
      </c>
      <c r="AM646" s="2" t="n">
        <v>0</v>
      </c>
    </row>
    <row r="647">
      <c r="A647">
        <f>HYPERLINK("https://www.walmart.com/ip/14531053130", "14531053130")</f>
        <v/>
      </c>
      <c r="B647">
        <f>HYPERLINK("https://app.optiwise.ai/catalog/itemdetails/13059119", "PEANUTS Womens 100% Cotton Family Matching Pajamas Holiday Festive Nightwear Sleepwear 2-Piece Sets for Christmas Gifts (Red Plaid, XL)")</f>
        <v/>
      </c>
      <c r="C647" t="inlineStr">
        <is>
          <t>-</t>
        </is>
      </c>
      <c r="E647" t="inlineStr">
        <is>
          <t>PEA-PJS-FAMILY-WOMEN-REDPLAID-XL</t>
        </is>
      </c>
      <c r="F647" t="n">
        <v>0</v>
      </c>
      <c r="G647" t="inlineStr">
        <is>
          <t>Clothing</t>
        </is>
      </c>
      <c r="H647" t="inlineStr">
        <is>
          <t>Pajamas</t>
        </is>
      </c>
      <c r="I647" t="inlineStr">
        <is>
          <t>Peanuts</t>
        </is>
      </c>
      <c r="L647" s="29" t="n">
        <v>0</v>
      </c>
      <c r="M647" s="30" t="n"/>
      <c r="N647" s="29" t="n">
        <v>0</v>
      </c>
      <c r="O647" s="29" t="n">
        <v>0</v>
      </c>
      <c r="P647" s="2" t="n">
        <v>0</v>
      </c>
      <c r="Q647" s="31" t="n">
        <v>0</v>
      </c>
      <c r="R647" s="32" t="n"/>
      <c r="S647" s="32" t="n">
        <v>0</v>
      </c>
      <c r="T647" s="32" t="n">
        <v>0</v>
      </c>
      <c r="U647" s="31" t="n">
        <v>0</v>
      </c>
      <c r="V647" s="32" t="n">
        <v>0</v>
      </c>
      <c r="W647" s="31" t="n">
        <v>0</v>
      </c>
      <c r="X647" s="31" t="n">
        <v>0</v>
      </c>
      <c r="Y647" s="3" t="n">
        <v>0</v>
      </c>
      <c r="Z647" s="3" t="n">
        <v>0</v>
      </c>
      <c r="AA647" s="32" t="n">
        <v>0</v>
      </c>
      <c r="AB647" s="3" t="n">
        <v>0</v>
      </c>
      <c r="AC647" s="32" t="n">
        <v>0</v>
      </c>
      <c r="AD647" s="3" t="n"/>
      <c r="AE647" s="31" t="n">
        <v>0</v>
      </c>
      <c r="AF647" s="2" t="n">
        <v>0</v>
      </c>
      <c r="AG647" s="2" t="n">
        <v>0</v>
      </c>
      <c r="AH647" s="4" t="n">
        <v>0</v>
      </c>
      <c r="AI647" s="33" t="n">
        <v>0</v>
      </c>
      <c r="AJ647" s="4" t="n">
        <v>0</v>
      </c>
      <c r="AK647" s="34" t="n"/>
      <c r="AL647" s="34" t="n">
        <v>0</v>
      </c>
      <c r="AM647" s="2" t="n">
        <v>0</v>
      </c>
    </row>
    <row r="648">
      <c r="A648">
        <f>HYPERLINK("https://www.walmart.com/ip/14526353104", "14526353104")</f>
        <v/>
      </c>
      <c r="B648">
        <f>HYPERLINK("https://app.optiwise.ai/catalog/itemdetails/13059118", "PEANUTS Snoopy Cotton Family Matching Pajamas Holiday 2-Piece Sets for Christmas with Woodstock Charlie Brown Linus for Baby (Green Polka Dot, 18M)")</f>
        <v/>
      </c>
      <c r="C648" t="inlineStr">
        <is>
          <t>-</t>
        </is>
      </c>
      <c r="E648" t="inlineStr">
        <is>
          <t>PEA-PJS-FAMILY-INFANT-GREEN-18M</t>
        </is>
      </c>
      <c r="F648" t="n">
        <v>0</v>
      </c>
      <c r="G648" t="inlineStr">
        <is>
          <t>Clothing</t>
        </is>
      </c>
      <c r="H648" t="inlineStr">
        <is>
          <t>Pajamas</t>
        </is>
      </c>
      <c r="I648" t="inlineStr">
        <is>
          <t>Peanuts</t>
        </is>
      </c>
      <c r="L648" s="29" t="n">
        <v>0</v>
      </c>
      <c r="M648" s="30" t="n"/>
      <c r="N648" s="29" t="n">
        <v>0</v>
      </c>
      <c r="O648" s="29" t="n">
        <v>0</v>
      </c>
      <c r="P648" s="2" t="n">
        <v>0</v>
      </c>
      <c r="Q648" s="31" t="n">
        <v>0</v>
      </c>
      <c r="R648" s="32" t="n"/>
      <c r="S648" s="32" t="n">
        <v>0</v>
      </c>
      <c r="T648" s="32" t="n">
        <v>0</v>
      </c>
      <c r="U648" s="31" t="n">
        <v>0</v>
      </c>
      <c r="V648" s="32" t="n">
        <v>0</v>
      </c>
      <c r="W648" s="31" t="n">
        <v>0</v>
      </c>
      <c r="X648" s="31" t="n">
        <v>0</v>
      </c>
      <c r="Y648" s="3" t="n">
        <v>0</v>
      </c>
      <c r="Z648" s="3" t="n">
        <v>0</v>
      </c>
      <c r="AA648" s="32" t="n">
        <v>0</v>
      </c>
      <c r="AB648" s="3" t="n">
        <v>0</v>
      </c>
      <c r="AC648" s="32" t="n">
        <v>0</v>
      </c>
      <c r="AD648" s="3" t="n"/>
      <c r="AE648" s="31" t="n">
        <v>0</v>
      </c>
      <c r="AF648" s="2" t="n">
        <v>0</v>
      </c>
      <c r="AG648" s="2" t="n">
        <v>0</v>
      </c>
      <c r="AH648" s="4" t="n">
        <v>0</v>
      </c>
      <c r="AI648" s="33" t="n">
        <v>0</v>
      </c>
      <c r="AJ648" s="4" t="n">
        <v>0</v>
      </c>
      <c r="AK648" s="34" t="n"/>
      <c r="AL648" s="34" t="n">
        <v>0</v>
      </c>
      <c r="AM648" s="2" t="n">
        <v>0</v>
      </c>
    </row>
    <row r="649">
      <c r="A649">
        <f>HYPERLINK("https://www.walmart.com/ip/14525011718", "14525011718")</f>
        <v/>
      </c>
      <c r="B649">
        <f>HYPERLINK("https://app.optiwise.ai/catalog/itemdetails/13059117", "PEANUTS Snoopy 100% Cotton Family Matching Pajamas Holiday 2-Piece Sets for Christmas with Woodstock Charlie Brown Linus for Baby (Red Polka Dot, 18M)")</f>
        <v/>
      </c>
      <c r="C649" t="inlineStr">
        <is>
          <t>-</t>
        </is>
      </c>
      <c r="E649" t="inlineStr">
        <is>
          <t>PEA-PJS-FAMILY-INFANT-RED-18M</t>
        </is>
      </c>
      <c r="F649" t="n">
        <v>0</v>
      </c>
      <c r="G649" t="inlineStr">
        <is>
          <t>Clothing</t>
        </is>
      </c>
      <c r="H649" t="inlineStr">
        <is>
          <t>Pajamas</t>
        </is>
      </c>
      <c r="I649" t="inlineStr">
        <is>
          <t>Peanuts</t>
        </is>
      </c>
      <c r="L649" s="29" t="n">
        <v>0</v>
      </c>
      <c r="M649" s="30" t="n"/>
      <c r="N649" s="29" t="n">
        <v>0</v>
      </c>
      <c r="O649" s="29" t="n">
        <v>0</v>
      </c>
      <c r="P649" s="2" t="n">
        <v>0</v>
      </c>
      <c r="Q649" s="31" t="n">
        <v>0</v>
      </c>
      <c r="R649" s="32" t="n"/>
      <c r="S649" s="32" t="n">
        <v>0</v>
      </c>
      <c r="T649" s="32" t="n">
        <v>0</v>
      </c>
      <c r="U649" s="31" t="n">
        <v>0</v>
      </c>
      <c r="V649" s="32" t="n">
        <v>0</v>
      </c>
      <c r="W649" s="31" t="n">
        <v>0</v>
      </c>
      <c r="X649" s="31" t="n">
        <v>0</v>
      </c>
      <c r="Y649" s="3" t="n">
        <v>0</v>
      </c>
      <c r="Z649" s="3" t="n">
        <v>0</v>
      </c>
      <c r="AA649" s="32" t="n">
        <v>0</v>
      </c>
      <c r="AB649" s="3" t="n">
        <v>0</v>
      </c>
      <c r="AC649" s="32" t="n">
        <v>0</v>
      </c>
      <c r="AD649" s="3" t="n"/>
      <c r="AE649" s="31" t="n">
        <v>0</v>
      </c>
      <c r="AF649" s="2" t="n">
        <v>0</v>
      </c>
      <c r="AG649" s="2" t="n">
        <v>0</v>
      </c>
      <c r="AH649" s="4" t="n">
        <v>0</v>
      </c>
      <c r="AI649" s="33" t="n">
        <v>0</v>
      </c>
      <c r="AJ649" s="4" t="n">
        <v>0</v>
      </c>
      <c r="AK649" s="34" t="n"/>
      <c r="AL649" s="34" t="n">
        <v>0</v>
      </c>
      <c r="AM649" s="2" t="n">
        <v>0</v>
      </c>
    </row>
    <row r="650">
      <c r="A650">
        <f>HYPERLINK("https://www.walmart.com/ip/14524812334", "14524812334")</f>
        <v/>
      </c>
      <c r="B650">
        <f>HYPERLINK("https://app.optiwise.ai/catalog/itemdetails/13059116", "PEANUTS Toddler Boys Girls Snoopy Family Matching Pajamas Sleepwear 2-Piece Sets for Christmas with Woodstock Charlie Brown Linus (Red Plaid, 5T)")</f>
        <v/>
      </c>
      <c r="C650" t="inlineStr">
        <is>
          <t>-</t>
        </is>
      </c>
      <c r="E650" t="inlineStr">
        <is>
          <t>PEA-PJS-FAMILY-TODDLER-REDPLAID-5T</t>
        </is>
      </c>
      <c r="F650" t="n">
        <v>0</v>
      </c>
      <c r="G650" t="inlineStr">
        <is>
          <t>Clothing</t>
        </is>
      </c>
      <c r="H650" t="inlineStr">
        <is>
          <t>Pajamas</t>
        </is>
      </c>
      <c r="I650" t="inlineStr">
        <is>
          <t>Peanuts</t>
        </is>
      </c>
      <c r="L650" s="29" t="n">
        <v>0</v>
      </c>
      <c r="M650" s="30" t="n"/>
      <c r="N650" s="29" t="n">
        <v>0</v>
      </c>
      <c r="O650" s="29" t="n">
        <v>0</v>
      </c>
      <c r="P650" s="2" t="n">
        <v>0</v>
      </c>
      <c r="Q650" s="31" t="n">
        <v>0</v>
      </c>
      <c r="R650" s="32" t="n"/>
      <c r="S650" s="32" t="n">
        <v>0</v>
      </c>
      <c r="T650" s="32" t="n">
        <v>0</v>
      </c>
      <c r="U650" s="31" t="n">
        <v>0</v>
      </c>
      <c r="V650" s="32" t="n">
        <v>0</v>
      </c>
      <c r="W650" s="31" t="n">
        <v>0</v>
      </c>
      <c r="X650" s="31" t="n">
        <v>0</v>
      </c>
      <c r="Y650" s="3" t="n">
        <v>0</v>
      </c>
      <c r="Z650" s="3" t="n">
        <v>0</v>
      </c>
      <c r="AA650" s="32" t="n">
        <v>0</v>
      </c>
      <c r="AB650" s="3" t="n">
        <v>0</v>
      </c>
      <c r="AC650" s="32" t="n">
        <v>0</v>
      </c>
      <c r="AD650" s="3" t="n"/>
      <c r="AE650" s="31" t="n">
        <v>0</v>
      </c>
      <c r="AF650" s="2" t="n">
        <v>0</v>
      </c>
      <c r="AG650" s="2" t="n">
        <v>0</v>
      </c>
      <c r="AH650" s="4" t="n">
        <v>0</v>
      </c>
      <c r="AI650" s="33" t="n">
        <v>0</v>
      </c>
      <c r="AJ650" s="4" t="n">
        <v>0</v>
      </c>
      <c r="AK650" s="34" t="n"/>
      <c r="AL650" s="34" t="n">
        <v>0</v>
      </c>
      <c r="AM650" s="2" t="n">
        <v>0</v>
      </c>
    </row>
    <row r="651">
      <c r="A651">
        <f>HYPERLINK("https://www.walmart.com/ip/14514109806", "14514109806")</f>
        <v/>
      </c>
      <c r="B651">
        <f>HYPERLINK("https://app.optiwise.ai/catalog/itemdetails/13059115", "PEANUTS Mens' Cotton Snoopy Family Matching Pajamas 2-Piece Sets for Christmas with Woodstock Charlie Brown Linus, Gift for him (Black Plaid, M)")</f>
        <v/>
      </c>
      <c r="C651" t="inlineStr">
        <is>
          <t>-</t>
        </is>
      </c>
      <c r="E651" t="inlineStr">
        <is>
          <t>PEA-PJS-FAMILY-MEN-BLACKPLAID-M</t>
        </is>
      </c>
      <c r="F651" t="n">
        <v>0</v>
      </c>
      <c r="G651" t="inlineStr">
        <is>
          <t>Clothing</t>
        </is>
      </c>
      <c r="H651" t="inlineStr">
        <is>
          <t>Pajamas</t>
        </is>
      </c>
      <c r="I651" t="inlineStr">
        <is>
          <t>Peanuts</t>
        </is>
      </c>
      <c r="L651" s="29" t="n">
        <v>0</v>
      </c>
      <c r="M651" s="30" t="n"/>
      <c r="N651" s="29" t="n">
        <v>0</v>
      </c>
      <c r="O651" s="29" t="n">
        <v>0</v>
      </c>
      <c r="P651" s="2" t="n">
        <v>0</v>
      </c>
      <c r="Q651" s="31" t="n">
        <v>0</v>
      </c>
      <c r="R651" s="32" t="n"/>
      <c r="S651" s="32" t="n">
        <v>0</v>
      </c>
      <c r="T651" s="32" t="n">
        <v>0</v>
      </c>
      <c r="U651" s="31" t="n">
        <v>0</v>
      </c>
      <c r="V651" s="32" t="n">
        <v>0</v>
      </c>
      <c r="W651" s="31" t="n">
        <v>0</v>
      </c>
      <c r="X651" s="31" t="n">
        <v>0</v>
      </c>
      <c r="Y651" s="3" t="n">
        <v>0</v>
      </c>
      <c r="Z651" s="3" t="n">
        <v>0</v>
      </c>
      <c r="AA651" s="32" t="n">
        <v>0</v>
      </c>
      <c r="AB651" s="3" t="n">
        <v>0</v>
      </c>
      <c r="AC651" s="32" t="n">
        <v>0</v>
      </c>
      <c r="AD651" s="3" t="n"/>
      <c r="AE651" s="31" t="n">
        <v>0</v>
      </c>
      <c r="AF651" s="2" t="n">
        <v>0</v>
      </c>
      <c r="AG651" s="2" t="n">
        <v>0</v>
      </c>
      <c r="AH651" s="4" t="n">
        <v>0</v>
      </c>
      <c r="AI651" s="33" t="n">
        <v>0</v>
      </c>
      <c r="AJ651" s="4" t="n">
        <v>0</v>
      </c>
      <c r="AK651" s="34" t="n"/>
      <c r="AL651" s="34" t="n">
        <v>0</v>
      </c>
      <c r="AM651" s="2" t="n">
        <v>0</v>
      </c>
    </row>
    <row r="652">
      <c r="A652">
        <f>HYPERLINK("https://www.walmart.com/ip/14510674943", "14510674943")</f>
        <v/>
      </c>
      <c r="B652">
        <f>HYPERLINK("https://app.optiwise.ai/catalog/itemdetails/13059114", "PEANUTS Womens 100% Cotton Family Matching Pajamas Holiday Festive Nightwear Sleepwear 2-Piece Sets for Christmas Gifts (Black Plaid, XS)")</f>
        <v/>
      </c>
      <c r="C652" t="inlineStr">
        <is>
          <t>-</t>
        </is>
      </c>
      <c r="E652" t="inlineStr">
        <is>
          <t>PEA-PJS-FAMILY-WOMEN-BLACKPLAID-XS</t>
        </is>
      </c>
      <c r="F652" t="n">
        <v>0</v>
      </c>
      <c r="G652" t="inlineStr">
        <is>
          <t>Clothing</t>
        </is>
      </c>
      <c r="H652" t="inlineStr">
        <is>
          <t>Pajamas</t>
        </is>
      </c>
      <c r="I652" t="inlineStr">
        <is>
          <t>Peanuts</t>
        </is>
      </c>
      <c r="L652" s="29" t="n">
        <v>0</v>
      </c>
      <c r="M652" s="30" t="n"/>
      <c r="N652" s="29" t="n">
        <v>0</v>
      </c>
      <c r="O652" s="29" t="n">
        <v>0</v>
      </c>
      <c r="P652" s="2" t="n">
        <v>0</v>
      </c>
      <c r="Q652" s="31" t="n">
        <v>0</v>
      </c>
      <c r="R652" s="32" t="n"/>
      <c r="S652" s="32" t="n">
        <v>0</v>
      </c>
      <c r="T652" s="32" t="n">
        <v>0</v>
      </c>
      <c r="U652" s="31" t="n">
        <v>0</v>
      </c>
      <c r="V652" s="32" t="n">
        <v>0</v>
      </c>
      <c r="W652" s="31" t="n">
        <v>0</v>
      </c>
      <c r="X652" s="31" t="n">
        <v>0</v>
      </c>
      <c r="Y652" s="3" t="n">
        <v>0</v>
      </c>
      <c r="Z652" s="3" t="n">
        <v>0</v>
      </c>
      <c r="AA652" s="32" t="n">
        <v>0</v>
      </c>
      <c r="AB652" s="3" t="n">
        <v>0</v>
      </c>
      <c r="AC652" s="32" t="n">
        <v>0</v>
      </c>
      <c r="AD652" s="3" t="n"/>
      <c r="AE652" s="31" t="n">
        <v>0</v>
      </c>
      <c r="AF652" s="2" t="n">
        <v>0</v>
      </c>
      <c r="AG652" s="2" t="n">
        <v>0</v>
      </c>
      <c r="AH652" s="4" t="n">
        <v>0</v>
      </c>
      <c r="AI652" s="33" t="n">
        <v>0</v>
      </c>
      <c r="AJ652" s="4" t="n">
        <v>0</v>
      </c>
      <c r="AK652" s="34" t="n"/>
      <c r="AL652" s="34" t="n">
        <v>0</v>
      </c>
      <c r="AM652" s="2" t="n">
        <v>0</v>
      </c>
    </row>
    <row r="653">
      <c r="A653">
        <f>HYPERLINK("https://www.walmart.com/ip/14503719585", "14503719585")</f>
        <v/>
      </c>
      <c r="B653">
        <f>HYPERLINK("https://app.optiwise.ai/catalog/itemdetails/13059113", "PEANUTS Toddler Boys Girls Snoopy Family Matching Pajamas Sleepwear 2-Piece Sets for Christmas with Woodstock Charlie Brown Linus (Black Plaid, 3T)")</f>
        <v/>
      </c>
      <c r="C653" t="inlineStr">
        <is>
          <t>-</t>
        </is>
      </c>
      <c r="E653" t="inlineStr">
        <is>
          <t>PEA-PJS-FAMILY-TODDLER-BLACKPLAID-3T</t>
        </is>
      </c>
      <c r="F653" t="n">
        <v>0</v>
      </c>
      <c r="G653" t="inlineStr">
        <is>
          <t>Clothing</t>
        </is>
      </c>
      <c r="H653" t="inlineStr">
        <is>
          <t>Pajamas</t>
        </is>
      </c>
      <c r="I653" t="inlineStr">
        <is>
          <t>Peanuts</t>
        </is>
      </c>
      <c r="L653" s="29" t="n">
        <v>0</v>
      </c>
      <c r="M653" s="30" t="n"/>
      <c r="N653" s="29" t="n">
        <v>0</v>
      </c>
      <c r="O653" s="29" t="n">
        <v>0</v>
      </c>
      <c r="P653" s="2" t="n">
        <v>0</v>
      </c>
      <c r="Q653" s="31" t="n">
        <v>0</v>
      </c>
      <c r="R653" s="32" t="n"/>
      <c r="S653" s="32" t="n">
        <v>0</v>
      </c>
      <c r="T653" s="32" t="n">
        <v>0</v>
      </c>
      <c r="U653" s="31" t="n">
        <v>0</v>
      </c>
      <c r="V653" s="32" t="n">
        <v>0</v>
      </c>
      <c r="W653" s="31" t="n">
        <v>0</v>
      </c>
      <c r="X653" s="31" t="n">
        <v>0</v>
      </c>
      <c r="Y653" s="3" t="n">
        <v>0</v>
      </c>
      <c r="Z653" s="3" t="n">
        <v>0</v>
      </c>
      <c r="AA653" s="32" t="n">
        <v>0</v>
      </c>
      <c r="AB653" s="3" t="n">
        <v>0</v>
      </c>
      <c r="AC653" s="32" t="n">
        <v>0</v>
      </c>
      <c r="AD653" s="3" t="n"/>
      <c r="AE653" s="31" t="n">
        <v>0</v>
      </c>
      <c r="AF653" s="2" t="n">
        <v>0</v>
      </c>
      <c r="AG653" s="2" t="n">
        <v>0</v>
      </c>
      <c r="AH653" s="4" t="n">
        <v>0</v>
      </c>
      <c r="AI653" s="33" t="n">
        <v>0</v>
      </c>
      <c r="AJ653" s="4" t="n">
        <v>0</v>
      </c>
      <c r="AK653" s="34" t="n"/>
      <c r="AL653" s="34" t="n">
        <v>0</v>
      </c>
      <c r="AM653" s="2" t="n">
        <v>0</v>
      </c>
    </row>
    <row r="654">
      <c r="A654">
        <f>HYPERLINK("https://www.walmart.com/ip/14490551305", "14490551305")</f>
        <v/>
      </c>
      <c r="B654">
        <f>HYPERLINK("https://app.optiwise.ai/catalog/itemdetails/13059112", "PEANUTS Mens' Cotton Snoopy Family Matching Pajamas 2-Piece Sets for Christmas with Woodstock Charlie Brown Linus, Gift for him (Green Polka Dot, M)")</f>
        <v/>
      </c>
      <c r="C654" t="inlineStr">
        <is>
          <t>-</t>
        </is>
      </c>
      <c r="E654" t="inlineStr">
        <is>
          <t>PEA-PJS-FAMILY-MEN-GREEN-M</t>
        </is>
      </c>
      <c r="F654" t="n">
        <v>0</v>
      </c>
      <c r="G654" t="inlineStr">
        <is>
          <t>Clothing</t>
        </is>
      </c>
      <c r="H654" t="inlineStr">
        <is>
          <t>Pajamas</t>
        </is>
      </c>
      <c r="I654" t="inlineStr">
        <is>
          <t>Peanuts</t>
        </is>
      </c>
      <c r="L654" s="29" t="n">
        <v>0</v>
      </c>
      <c r="M654" s="30" t="n"/>
      <c r="N654" s="29" t="n">
        <v>0</v>
      </c>
      <c r="O654" s="29" t="n">
        <v>0</v>
      </c>
      <c r="P654" s="2" t="n">
        <v>0</v>
      </c>
      <c r="Q654" s="31" t="n">
        <v>0</v>
      </c>
      <c r="R654" s="32" t="n"/>
      <c r="S654" s="32" t="n">
        <v>0</v>
      </c>
      <c r="T654" s="32" t="n">
        <v>0</v>
      </c>
      <c r="U654" s="31" t="n">
        <v>0</v>
      </c>
      <c r="V654" s="32" t="n">
        <v>0</v>
      </c>
      <c r="W654" s="31" t="n">
        <v>0</v>
      </c>
      <c r="X654" s="31" t="n">
        <v>0</v>
      </c>
      <c r="Y654" s="3" t="n">
        <v>0</v>
      </c>
      <c r="Z654" s="3" t="n">
        <v>0</v>
      </c>
      <c r="AA654" s="32" t="n">
        <v>0</v>
      </c>
      <c r="AB654" s="3" t="n">
        <v>0</v>
      </c>
      <c r="AC654" s="32" t="n">
        <v>0</v>
      </c>
      <c r="AD654" s="3" t="n"/>
      <c r="AE654" s="31" t="n">
        <v>0</v>
      </c>
      <c r="AF654" s="2" t="n">
        <v>0</v>
      </c>
      <c r="AG654" s="2" t="n">
        <v>0</v>
      </c>
      <c r="AH654" s="4" t="n">
        <v>0</v>
      </c>
      <c r="AI654" s="33" t="n">
        <v>0</v>
      </c>
      <c r="AJ654" s="4" t="n">
        <v>0</v>
      </c>
      <c r="AK654" s="34" t="n"/>
      <c r="AL654" s="34" t="n">
        <v>0</v>
      </c>
      <c r="AM654" s="2" t="n">
        <v>0</v>
      </c>
    </row>
    <row r="655">
      <c r="A655">
        <f>HYPERLINK("https://www.walmart.com/ip/14490551303", "14490551303")</f>
        <v/>
      </c>
      <c r="B655">
        <f>HYPERLINK("https://app.optiwise.ai/catalog/itemdetails/13059111", "PEANUTS Mens' Cotton Snoopy Family Matching Pajamas 2-Piece Sets for Christmas with Woodstock Charlie Brown Linus, Gift for him (Red Polka Dot, S)")</f>
        <v/>
      </c>
      <c r="C655" t="inlineStr">
        <is>
          <t>-</t>
        </is>
      </c>
      <c r="E655" t="inlineStr">
        <is>
          <t>PEA-PJS-FAMILY-MEN-RED-S</t>
        </is>
      </c>
      <c r="F655" t="n">
        <v>0</v>
      </c>
      <c r="G655" t="inlineStr">
        <is>
          <t>Clothing</t>
        </is>
      </c>
      <c r="H655" t="inlineStr">
        <is>
          <t>Pajamas</t>
        </is>
      </c>
      <c r="I655" t="inlineStr">
        <is>
          <t>Peanuts</t>
        </is>
      </c>
      <c r="L655" s="29" t="n">
        <v>0</v>
      </c>
      <c r="M655" s="30" t="n"/>
      <c r="N655" s="29" t="n">
        <v>0</v>
      </c>
      <c r="O655" s="29" t="n">
        <v>0</v>
      </c>
      <c r="P655" s="2" t="n">
        <v>0</v>
      </c>
      <c r="Q655" s="31" t="n">
        <v>0</v>
      </c>
      <c r="R655" s="32" t="n"/>
      <c r="S655" s="32" t="n">
        <v>0</v>
      </c>
      <c r="T655" s="32" t="n">
        <v>0</v>
      </c>
      <c r="U655" s="31" t="n">
        <v>0</v>
      </c>
      <c r="V655" s="32" t="n">
        <v>0</v>
      </c>
      <c r="W655" s="31" t="n">
        <v>0</v>
      </c>
      <c r="X655" s="31" t="n">
        <v>0</v>
      </c>
      <c r="Y655" s="3" t="n">
        <v>0</v>
      </c>
      <c r="Z655" s="3" t="n">
        <v>0</v>
      </c>
      <c r="AA655" s="32" t="n">
        <v>0</v>
      </c>
      <c r="AB655" s="3" t="n">
        <v>0</v>
      </c>
      <c r="AC655" s="32" t="n">
        <v>0</v>
      </c>
      <c r="AD655" s="3" t="n"/>
      <c r="AE655" s="31" t="n">
        <v>0</v>
      </c>
      <c r="AF655" s="2" t="n">
        <v>0</v>
      </c>
      <c r="AG655" s="2" t="n">
        <v>0</v>
      </c>
      <c r="AH655" s="4" t="n">
        <v>0</v>
      </c>
      <c r="AI655" s="33" t="n">
        <v>0</v>
      </c>
      <c r="AJ655" s="4" t="n">
        <v>0</v>
      </c>
      <c r="AK655" s="34" t="n"/>
      <c r="AL655" s="34" t="n">
        <v>0</v>
      </c>
      <c r="AM655" s="2" t="n">
        <v>0</v>
      </c>
    </row>
    <row r="656">
      <c r="A656">
        <f>HYPERLINK("https://www.walmart.com/ip/14544860347", "14544860347")</f>
        <v/>
      </c>
      <c r="B656">
        <f>HYPERLINK("https://app.optiwise.ai/catalog/itemdetails/13059110", "PEANUTS Toddler Boys Girls Snoopy Family Matching Pajamas 2-Piece Sets for Christmas with Woodstock Charlie Brown Linus (Green Polka Dot, 3T)")</f>
        <v/>
      </c>
      <c r="C656" t="inlineStr">
        <is>
          <t>-</t>
        </is>
      </c>
      <c r="E656" t="inlineStr">
        <is>
          <t>PEA-PJS-FAMILY-TODDLER-GREEN-3T</t>
        </is>
      </c>
      <c r="F656" t="n">
        <v>0</v>
      </c>
      <c r="G656" t="inlineStr">
        <is>
          <t>Clothing</t>
        </is>
      </c>
      <c r="H656" t="inlineStr">
        <is>
          <t>Pajamas</t>
        </is>
      </c>
      <c r="I656" t="inlineStr">
        <is>
          <t>Peanuts</t>
        </is>
      </c>
      <c r="L656" s="29" t="n">
        <v>0</v>
      </c>
      <c r="M656" s="30" t="n"/>
      <c r="N656" s="29" t="n">
        <v>0</v>
      </c>
      <c r="O656" s="29" t="n">
        <v>0</v>
      </c>
      <c r="P656" s="2" t="n">
        <v>0</v>
      </c>
      <c r="Q656" s="31" t="n">
        <v>0</v>
      </c>
      <c r="R656" s="32" t="n"/>
      <c r="S656" s="32" t="n">
        <v>0</v>
      </c>
      <c r="T656" s="32" t="n">
        <v>0</v>
      </c>
      <c r="U656" s="31" t="n">
        <v>0</v>
      </c>
      <c r="V656" s="32" t="n">
        <v>0</v>
      </c>
      <c r="W656" s="31" t="n">
        <v>0</v>
      </c>
      <c r="X656" s="31" t="n">
        <v>0</v>
      </c>
      <c r="Y656" s="3" t="n">
        <v>0</v>
      </c>
      <c r="Z656" s="3" t="n">
        <v>0</v>
      </c>
      <c r="AA656" s="32" t="n">
        <v>0</v>
      </c>
      <c r="AB656" s="3" t="n">
        <v>0</v>
      </c>
      <c r="AC656" s="32" t="n">
        <v>0</v>
      </c>
      <c r="AD656" s="3" t="n"/>
      <c r="AE656" s="31" t="n">
        <v>0</v>
      </c>
      <c r="AF656" s="2" t="n">
        <v>0</v>
      </c>
      <c r="AG656" s="2" t="n">
        <v>0</v>
      </c>
      <c r="AH656" s="4" t="n">
        <v>0</v>
      </c>
      <c r="AI656" s="33" t="n">
        <v>0</v>
      </c>
      <c r="AJ656" s="4" t="n">
        <v>0</v>
      </c>
      <c r="AK656" s="34" t="n"/>
      <c r="AL656" s="34" t="n">
        <v>0</v>
      </c>
      <c r="AM656" s="2" t="n">
        <v>0</v>
      </c>
    </row>
    <row r="657">
      <c r="A657">
        <f>HYPERLINK("https://www.walmart.com/ip/14542755473", "14542755473")</f>
        <v/>
      </c>
      <c r="B657">
        <f>HYPERLINK("https://app.optiwise.ai/catalog/itemdetails/13059109", "PEANUTS Mens' Cotton Snoopy Family Matching Pajamas 2-Piece Sets for Christmas with Woodstock Charlie Brown Linus, Gift for him (Red Plaid, M)")</f>
        <v/>
      </c>
      <c r="C657" t="inlineStr">
        <is>
          <t>-</t>
        </is>
      </c>
      <c r="E657" t="inlineStr">
        <is>
          <t>PEA-PJS-FAMILY-MEN-REDPLAID-M</t>
        </is>
      </c>
      <c r="F657" t="n">
        <v>0</v>
      </c>
      <c r="G657" t="inlineStr">
        <is>
          <t>Clothing</t>
        </is>
      </c>
      <c r="H657" t="inlineStr">
        <is>
          <t>Pajamas</t>
        </is>
      </c>
      <c r="I657" t="inlineStr">
        <is>
          <t>Peanuts</t>
        </is>
      </c>
      <c r="L657" s="29" t="n">
        <v>0</v>
      </c>
      <c r="M657" s="30" t="n"/>
      <c r="N657" s="29" t="n">
        <v>0</v>
      </c>
      <c r="O657" s="29" t="n">
        <v>0</v>
      </c>
      <c r="P657" s="2" t="n">
        <v>0</v>
      </c>
      <c r="Q657" s="31" t="n">
        <v>0</v>
      </c>
      <c r="R657" s="32" t="n"/>
      <c r="S657" s="32" t="n">
        <v>0</v>
      </c>
      <c r="T657" s="32" t="n">
        <v>0</v>
      </c>
      <c r="U657" s="31" t="n">
        <v>0</v>
      </c>
      <c r="V657" s="32" t="n">
        <v>0</v>
      </c>
      <c r="W657" s="31" t="n">
        <v>0</v>
      </c>
      <c r="X657" s="31" t="n">
        <v>0</v>
      </c>
      <c r="Y657" s="3" t="n">
        <v>0</v>
      </c>
      <c r="Z657" s="3" t="n">
        <v>0</v>
      </c>
      <c r="AA657" s="32" t="n">
        <v>0</v>
      </c>
      <c r="AB657" s="3" t="n">
        <v>0</v>
      </c>
      <c r="AC657" s="32" t="n">
        <v>0</v>
      </c>
      <c r="AD657" s="3" t="n"/>
      <c r="AE657" s="31" t="n">
        <v>0</v>
      </c>
      <c r="AF657" s="2" t="n">
        <v>0</v>
      </c>
      <c r="AG657" s="2" t="n">
        <v>0</v>
      </c>
      <c r="AH657" s="4" t="n">
        <v>0</v>
      </c>
      <c r="AI657" s="33" t="n">
        <v>0</v>
      </c>
      <c r="AJ657" s="4" t="n">
        <v>0</v>
      </c>
      <c r="AK657" s="34" t="n"/>
      <c r="AL657" s="34" t="n">
        <v>0</v>
      </c>
      <c r="AM657" s="2" t="n">
        <v>0</v>
      </c>
    </row>
    <row r="658">
      <c r="A658">
        <f>HYPERLINK("https://www.walmart.com/ip/14542755471", "14542755471")</f>
        <v/>
      </c>
      <c r="B658">
        <f>HYPERLINK("https://app.optiwise.ai/catalog/itemdetails/13059108", "PEANUTS Womens 100% Cotton Family Matching Pajamas Holiday Festive Nightwear Sleepwear 2-Piece Sets for Christmas Gifts (Red Polka Dot, XS)")</f>
        <v/>
      </c>
      <c r="C658" t="inlineStr">
        <is>
          <t>-</t>
        </is>
      </c>
      <c r="E658" t="inlineStr">
        <is>
          <t>PEA-PJS-FAMILY-WOMEN-RED-XS</t>
        </is>
      </c>
      <c r="F658" t="n">
        <v>0</v>
      </c>
      <c r="G658" t="inlineStr">
        <is>
          <t>Clothing</t>
        </is>
      </c>
      <c r="H658" t="inlineStr">
        <is>
          <t>Pajamas</t>
        </is>
      </c>
      <c r="I658" t="inlineStr">
        <is>
          <t>Peanuts</t>
        </is>
      </c>
      <c r="L658" s="29" t="n">
        <v>0</v>
      </c>
      <c r="M658" s="30" t="n"/>
      <c r="N658" s="29" t="n">
        <v>0</v>
      </c>
      <c r="O658" s="29" t="n">
        <v>0</v>
      </c>
      <c r="P658" s="2" t="n">
        <v>0</v>
      </c>
      <c r="Q658" s="31" t="n">
        <v>0</v>
      </c>
      <c r="R658" s="32" t="n"/>
      <c r="S658" s="32" t="n">
        <v>0</v>
      </c>
      <c r="T658" s="32" t="n">
        <v>0</v>
      </c>
      <c r="U658" s="31" t="n">
        <v>0</v>
      </c>
      <c r="V658" s="32" t="n">
        <v>0</v>
      </c>
      <c r="W658" s="31" t="n">
        <v>0</v>
      </c>
      <c r="X658" s="31" t="n">
        <v>0</v>
      </c>
      <c r="Y658" s="3" t="n">
        <v>0</v>
      </c>
      <c r="Z658" s="3" t="n">
        <v>0</v>
      </c>
      <c r="AA658" s="32" t="n">
        <v>0</v>
      </c>
      <c r="AB658" s="3" t="n">
        <v>0</v>
      </c>
      <c r="AC658" s="32" t="n">
        <v>0</v>
      </c>
      <c r="AD658" s="3" t="n"/>
      <c r="AE658" s="31" t="n">
        <v>0</v>
      </c>
      <c r="AF658" s="2" t="n">
        <v>0</v>
      </c>
      <c r="AG658" s="2" t="n">
        <v>0</v>
      </c>
      <c r="AH658" s="4" t="n">
        <v>0</v>
      </c>
      <c r="AI658" s="33" t="n">
        <v>0</v>
      </c>
      <c r="AJ658" s="4" t="n">
        <v>0</v>
      </c>
      <c r="AK658" s="34" t="n"/>
      <c r="AL658" s="34" t="n">
        <v>0</v>
      </c>
      <c r="AM658" s="2" t="n">
        <v>0</v>
      </c>
    </row>
    <row r="659">
      <c r="A659">
        <f>HYPERLINK("https://www.walmart.com/ip/14541560073", "14541560073")</f>
        <v/>
      </c>
      <c r="B659">
        <f>HYPERLINK("https://app.optiwise.ai/catalog/itemdetails/13059107", "PEANUTS Snoopy Cotton Family Matching Pajamas Holiday 2-Piece Sets for Christmas with Woodstock Charlie Brown Linus for Baby (Green Polka Dot, 6M)")</f>
        <v/>
      </c>
      <c r="C659" t="inlineStr">
        <is>
          <t>-</t>
        </is>
      </c>
      <c r="E659" t="inlineStr">
        <is>
          <t>PEA-PJS-FAMILY-INFANT-GREEN-6M</t>
        </is>
      </c>
      <c r="F659" t="n">
        <v>0</v>
      </c>
      <c r="G659" t="inlineStr">
        <is>
          <t>Clothing</t>
        </is>
      </c>
      <c r="H659" t="inlineStr">
        <is>
          <t>Pajamas</t>
        </is>
      </c>
      <c r="I659" t="inlineStr">
        <is>
          <t>Peanuts</t>
        </is>
      </c>
      <c r="L659" s="29" t="n">
        <v>0</v>
      </c>
      <c r="M659" s="30" t="n"/>
      <c r="N659" s="29" t="n">
        <v>0</v>
      </c>
      <c r="O659" s="29" t="n">
        <v>0</v>
      </c>
      <c r="P659" s="2" t="n">
        <v>0</v>
      </c>
      <c r="Q659" s="31" t="n">
        <v>0</v>
      </c>
      <c r="R659" s="32" t="n"/>
      <c r="S659" s="32" t="n">
        <v>0</v>
      </c>
      <c r="T659" s="32" t="n">
        <v>0</v>
      </c>
      <c r="U659" s="31" t="n">
        <v>0</v>
      </c>
      <c r="V659" s="32" t="n">
        <v>0</v>
      </c>
      <c r="W659" s="31" t="n">
        <v>0</v>
      </c>
      <c r="X659" s="31" t="n">
        <v>0</v>
      </c>
      <c r="Y659" s="3" t="n">
        <v>0</v>
      </c>
      <c r="Z659" s="3" t="n">
        <v>0</v>
      </c>
      <c r="AA659" s="32" t="n">
        <v>0</v>
      </c>
      <c r="AB659" s="3" t="n">
        <v>0</v>
      </c>
      <c r="AC659" s="32" t="n">
        <v>0</v>
      </c>
      <c r="AD659" s="3" t="n"/>
      <c r="AE659" s="31" t="n">
        <v>0</v>
      </c>
      <c r="AF659" s="2" t="n">
        <v>0</v>
      </c>
      <c r="AG659" s="2" t="n">
        <v>0</v>
      </c>
      <c r="AH659" s="4" t="n">
        <v>0</v>
      </c>
      <c r="AI659" s="33" t="n">
        <v>0</v>
      </c>
      <c r="AJ659" s="4" t="n">
        <v>0</v>
      </c>
      <c r="AK659" s="34" t="n"/>
      <c r="AL659" s="34" t="n">
        <v>0</v>
      </c>
      <c r="AM659" s="2" t="n">
        <v>0</v>
      </c>
    </row>
    <row r="660">
      <c r="A660">
        <f>HYPERLINK("https://www.walmart.com/ip/14527764280", "14527764280")</f>
        <v/>
      </c>
      <c r="B660">
        <f>HYPERLINK("https://app.optiwise.ai/catalog/itemdetails/13059106", "PEANUTS Mens' Cotton Snoopy Family Matching Pajamas 2-Piece Sets for Christmas with Woodstock Charlie Brown Linus, Gift for him (Red Plaid, S)")</f>
        <v/>
      </c>
      <c r="C660" t="inlineStr">
        <is>
          <t>-</t>
        </is>
      </c>
      <c r="E660" t="inlineStr">
        <is>
          <t>PEA-PJS-FAMILY-MEN-REDPLAID-S</t>
        </is>
      </c>
      <c r="F660" t="n">
        <v>0</v>
      </c>
      <c r="G660" t="inlineStr">
        <is>
          <t>Clothing</t>
        </is>
      </c>
      <c r="H660" t="inlineStr">
        <is>
          <t>Pajamas</t>
        </is>
      </c>
      <c r="I660" t="inlineStr">
        <is>
          <t>Peanuts</t>
        </is>
      </c>
      <c r="L660" s="29" t="n">
        <v>0</v>
      </c>
      <c r="M660" s="30" t="n"/>
      <c r="N660" s="29" t="n">
        <v>0</v>
      </c>
      <c r="O660" s="29" t="n">
        <v>0</v>
      </c>
      <c r="P660" s="2" t="n">
        <v>0</v>
      </c>
      <c r="Q660" s="31" t="n">
        <v>0</v>
      </c>
      <c r="R660" s="32" t="n"/>
      <c r="S660" s="32" t="n">
        <v>0</v>
      </c>
      <c r="T660" s="32" t="n">
        <v>0</v>
      </c>
      <c r="U660" s="31" t="n">
        <v>0</v>
      </c>
      <c r="V660" s="32" t="n">
        <v>0</v>
      </c>
      <c r="W660" s="31" t="n">
        <v>0</v>
      </c>
      <c r="X660" s="31" t="n">
        <v>0</v>
      </c>
      <c r="Y660" s="3" t="n">
        <v>0</v>
      </c>
      <c r="Z660" s="3" t="n">
        <v>0</v>
      </c>
      <c r="AA660" s="32" t="n">
        <v>0</v>
      </c>
      <c r="AB660" s="3" t="n">
        <v>0</v>
      </c>
      <c r="AC660" s="32" t="n">
        <v>0</v>
      </c>
      <c r="AD660" s="3" t="n"/>
      <c r="AE660" s="31" t="n">
        <v>0</v>
      </c>
      <c r="AF660" s="2" t="n">
        <v>0</v>
      </c>
      <c r="AG660" s="2" t="n">
        <v>0</v>
      </c>
      <c r="AH660" s="4" t="n">
        <v>0</v>
      </c>
      <c r="AI660" s="33" t="n">
        <v>0</v>
      </c>
      <c r="AJ660" s="4" t="n">
        <v>0</v>
      </c>
      <c r="AK660" s="34" t="n"/>
      <c r="AL660" s="34" t="n">
        <v>0</v>
      </c>
      <c r="AM660" s="2" t="n">
        <v>0</v>
      </c>
    </row>
    <row r="661">
      <c r="A661">
        <f>HYPERLINK("https://www.walmart.com/ip/14523702237", "14523702237")</f>
        <v/>
      </c>
      <c r="B661">
        <f>HYPERLINK("https://app.optiwise.ai/catalog/itemdetails/13059105", "PEANUTS Toddler Boys Girls Snoopy Family Matching Pajamas Sleepwear 2-Piece Sets for Christmas with Woodstock Charlie Brown Linus (Red Plaid, 3T)")</f>
        <v/>
      </c>
      <c r="C661" t="inlineStr">
        <is>
          <t>-</t>
        </is>
      </c>
      <c r="E661" t="inlineStr">
        <is>
          <t>PEA-PJS-FAMILY-TODDLER-REDPLAID-3T</t>
        </is>
      </c>
      <c r="F661" t="n">
        <v>0</v>
      </c>
      <c r="G661" t="inlineStr">
        <is>
          <t>Clothing</t>
        </is>
      </c>
      <c r="H661" t="inlineStr">
        <is>
          <t>Pajamas</t>
        </is>
      </c>
      <c r="I661" t="inlineStr">
        <is>
          <t>Peanuts</t>
        </is>
      </c>
      <c r="L661" s="29" t="n">
        <v>0</v>
      </c>
      <c r="M661" s="30" t="n"/>
      <c r="N661" s="29" t="n">
        <v>0</v>
      </c>
      <c r="O661" s="29" t="n">
        <v>0</v>
      </c>
      <c r="P661" s="2" t="n">
        <v>0</v>
      </c>
      <c r="Q661" s="31" t="n">
        <v>0</v>
      </c>
      <c r="R661" s="32" t="n"/>
      <c r="S661" s="32" t="n">
        <v>0</v>
      </c>
      <c r="T661" s="32" t="n">
        <v>0</v>
      </c>
      <c r="U661" s="31" t="n">
        <v>0</v>
      </c>
      <c r="V661" s="32" t="n">
        <v>0</v>
      </c>
      <c r="W661" s="31" t="n">
        <v>0</v>
      </c>
      <c r="X661" s="31" t="n">
        <v>0</v>
      </c>
      <c r="Y661" s="3" t="n">
        <v>0</v>
      </c>
      <c r="Z661" s="3" t="n">
        <v>0</v>
      </c>
      <c r="AA661" s="32" t="n">
        <v>0</v>
      </c>
      <c r="AB661" s="3" t="n">
        <v>0</v>
      </c>
      <c r="AC661" s="32" t="n">
        <v>0</v>
      </c>
      <c r="AD661" s="3" t="n"/>
      <c r="AE661" s="31" t="n">
        <v>0</v>
      </c>
      <c r="AF661" s="2" t="n">
        <v>0</v>
      </c>
      <c r="AG661" s="2" t="n">
        <v>0</v>
      </c>
      <c r="AH661" s="4" t="n">
        <v>0</v>
      </c>
      <c r="AI661" s="33" t="n">
        <v>0</v>
      </c>
      <c r="AJ661" s="4" t="n">
        <v>0</v>
      </c>
      <c r="AK661" s="34" t="n"/>
      <c r="AL661" s="34" t="n">
        <v>0</v>
      </c>
      <c r="AM661" s="2" t="n">
        <v>0</v>
      </c>
    </row>
    <row r="662">
      <c r="A662">
        <f>HYPERLINK("https://www.walmart.com/ip/14527013543", "14527013543")</f>
        <v/>
      </c>
      <c r="B662">
        <f>HYPERLINK("https://app.optiwise.ai/catalog/itemdetails/13059134", "PEANUTS Womens 100% Cotton Family Matching Pajamas Holiday Festive Nightwear Sleepwear 2-Piece Sets for Christmas Gifts Gifts (Black Plaid, L)")</f>
        <v/>
      </c>
      <c r="C662" t="inlineStr">
        <is>
          <t>-</t>
        </is>
      </c>
      <c r="E662" t="inlineStr">
        <is>
          <t>PEA-PJS-FAMILY-WOMEN-BLACKPLAID-L</t>
        </is>
      </c>
      <c r="F662" t="n">
        <v>0</v>
      </c>
      <c r="G662" t="inlineStr">
        <is>
          <t>Clothing</t>
        </is>
      </c>
      <c r="H662" t="inlineStr">
        <is>
          <t>Pajamas</t>
        </is>
      </c>
      <c r="I662" t="inlineStr">
        <is>
          <t>Peanuts</t>
        </is>
      </c>
      <c r="L662" s="29" t="n">
        <v>0</v>
      </c>
      <c r="M662" s="30" t="n"/>
      <c r="N662" s="29" t="n">
        <v>0</v>
      </c>
      <c r="O662" s="29" t="n">
        <v>0</v>
      </c>
      <c r="P662" s="2" t="n">
        <v>0</v>
      </c>
      <c r="Q662" s="31" t="n">
        <v>0</v>
      </c>
      <c r="R662" s="32" t="n"/>
      <c r="S662" s="32" t="n">
        <v>0</v>
      </c>
      <c r="T662" s="32" t="n">
        <v>0</v>
      </c>
      <c r="U662" s="31" t="n">
        <v>0</v>
      </c>
      <c r="V662" s="32" t="n">
        <v>0</v>
      </c>
      <c r="W662" s="31" t="n">
        <v>0</v>
      </c>
      <c r="X662" s="31" t="n">
        <v>0</v>
      </c>
      <c r="Y662" s="3" t="n">
        <v>0</v>
      </c>
      <c r="Z662" s="3" t="n">
        <v>0</v>
      </c>
      <c r="AA662" s="32" t="n">
        <v>0</v>
      </c>
      <c r="AB662" s="3" t="n">
        <v>0</v>
      </c>
      <c r="AC662" s="32" t="n">
        <v>0</v>
      </c>
      <c r="AD662" s="3" t="n"/>
      <c r="AE662" s="31" t="n">
        <v>0</v>
      </c>
      <c r="AF662" s="2" t="n">
        <v>0</v>
      </c>
      <c r="AG662" s="2" t="n">
        <v>0</v>
      </c>
      <c r="AH662" s="4" t="n">
        <v>0</v>
      </c>
      <c r="AI662" s="33" t="n">
        <v>0</v>
      </c>
      <c r="AJ662" s="4" t="n">
        <v>0</v>
      </c>
      <c r="AK662" s="34" t="n"/>
      <c r="AL662" s="34" t="n">
        <v>0</v>
      </c>
      <c r="AM662" s="2" t="n">
        <v>0</v>
      </c>
    </row>
    <row r="663">
      <c r="A663">
        <f>HYPERLINK("https://www.walmart.com/ip/14523702235", "14523702235")</f>
        <v/>
      </c>
      <c r="B663">
        <f>HYPERLINK("https://app.optiwise.ai/catalog/itemdetails/13059133", "PEANUTS Womens 100% Cotton Family Matching Pajamas Holiday Festive Nightwear Sleepwear 2-Piece Sets for Christmas Gifts (Black Plaid, XL)")</f>
        <v/>
      </c>
      <c r="C663" t="inlineStr">
        <is>
          <t>-</t>
        </is>
      </c>
      <c r="E663" t="inlineStr">
        <is>
          <t>PEA-PJS-FAMILY-WOMEN-BLACKPLAID-XL</t>
        </is>
      </c>
      <c r="F663" t="n">
        <v>0</v>
      </c>
      <c r="G663" t="inlineStr">
        <is>
          <t>Clothing</t>
        </is>
      </c>
      <c r="H663" t="inlineStr">
        <is>
          <t>Pajamas</t>
        </is>
      </c>
      <c r="I663" t="inlineStr">
        <is>
          <t>Peanuts</t>
        </is>
      </c>
      <c r="L663" s="29" t="n">
        <v>0</v>
      </c>
      <c r="M663" s="30" t="n"/>
      <c r="N663" s="29" t="n">
        <v>0</v>
      </c>
      <c r="O663" s="29" t="n">
        <v>0</v>
      </c>
      <c r="P663" s="2" t="n">
        <v>0</v>
      </c>
      <c r="Q663" s="31" t="n">
        <v>0</v>
      </c>
      <c r="R663" s="32" t="n"/>
      <c r="S663" s="32" t="n">
        <v>0</v>
      </c>
      <c r="T663" s="32" t="n">
        <v>0</v>
      </c>
      <c r="U663" s="31" t="n">
        <v>0</v>
      </c>
      <c r="V663" s="32" t="n">
        <v>0</v>
      </c>
      <c r="W663" s="31" t="n">
        <v>0</v>
      </c>
      <c r="X663" s="31" t="n">
        <v>0</v>
      </c>
      <c r="Y663" s="3" t="n">
        <v>0</v>
      </c>
      <c r="Z663" s="3" t="n">
        <v>0</v>
      </c>
      <c r="AA663" s="32" t="n">
        <v>0</v>
      </c>
      <c r="AB663" s="3" t="n">
        <v>0</v>
      </c>
      <c r="AC663" s="32" t="n">
        <v>0</v>
      </c>
      <c r="AD663" s="3" t="n"/>
      <c r="AE663" s="31" t="n">
        <v>0</v>
      </c>
      <c r="AF663" s="2" t="n">
        <v>0</v>
      </c>
      <c r="AG663" s="2" t="n">
        <v>0</v>
      </c>
      <c r="AH663" s="4" t="n">
        <v>0</v>
      </c>
      <c r="AI663" s="33" t="n">
        <v>0</v>
      </c>
      <c r="AJ663" s="4" t="n">
        <v>0</v>
      </c>
      <c r="AK663" s="34" t="n"/>
      <c r="AL663" s="34" t="n">
        <v>0</v>
      </c>
      <c r="AM663" s="2" t="n">
        <v>0</v>
      </c>
    </row>
    <row r="664">
      <c r="A664">
        <f>HYPERLINK("https://www.walmart.com/ip/14542705721", "14542705721")</f>
        <v/>
      </c>
      <c r="B664">
        <f>HYPERLINK("https://app.optiwise.ai/catalog/itemdetails/13059136", "PEANUTS Toddler Boys Girls Snoopy Family Matching Pajamas Sleepwear 2-Piece Sets for Christmas with Woodstock Charlie Brown Linus (Red Plaid, 4T)")</f>
        <v/>
      </c>
      <c r="C664" t="inlineStr">
        <is>
          <t>-</t>
        </is>
      </c>
      <c r="E664" t="inlineStr">
        <is>
          <t>PEA-PJS-FAMILY-TODDLER-REDPLAID-4T</t>
        </is>
      </c>
      <c r="F664" t="n">
        <v>0</v>
      </c>
      <c r="G664" t="inlineStr">
        <is>
          <t>Clothing</t>
        </is>
      </c>
      <c r="H664" t="inlineStr">
        <is>
          <t>Pajamas</t>
        </is>
      </c>
      <c r="I664" t="inlineStr">
        <is>
          <t>Peanuts</t>
        </is>
      </c>
      <c r="L664" s="29" t="n">
        <v>0</v>
      </c>
      <c r="M664" s="30" t="n"/>
      <c r="N664" s="29" t="n">
        <v>0</v>
      </c>
      <c r="O664" s="29" t="n">
        <v>0</v>
      </c>
      <c r="P664" s="2" t="n">
        <v>0</v>
      </c>
      <c r="Q664" s="31" t="n">
        <v>0</v>
      </c>
      <c r="R664" s="32" t="n"/>
      <c r="S664" s="32" t="n">
        <v>0</v>
      </c>
      <c r="T664" s="32" t="n">
        <v>0</v>
      </c>
      <c r="U664" s="31" t="n">
        <v>0</v>
      </c>
      <c r="V664" s="32" t="n">
        <v>0</v>
      </c>
      <c r="W664" s="31" t="n">
        <v>0</v>
      </c>
      <c r="X664" s="31" t="n">
        <v>0</v>
      </c>
      <c r="Y664" s="3" t="n">
        <v>0</v>
      </c>
      <c r="Z664" s="3" t="n">
        <v>0</v>
      </c>
      <c r="AA664" s="32" t="n">
        <v>0</v>
      </c>
      <c r="AB664" s="3" t="n">
        <v>0</v>
      </c>
      <c r="AC664" s="32" t="n">
        <v>0</v>
      </c>
      <c r="AD664" s="3" t="n"/>
      <c r="AE664" s="31" t="n">
        <v>0</v>
      </c>
      <c r="AF664" s="2" t="n">
        <v>0</v>
      </c>
      <c r="AG664" s="2" t="n">
        <v>0</v>
      </c>
      <c r="AH664" s="4" t="n">
        <v>0</v>
      </c>
      <c r="AI664" s="33" t="n">
        <v>0</v>
      </c>
      <c r="AJ664" s="4" t="n">
        <v>0</v>
      </c>
      <c r="AK664" s="34" t="n"/>
      <c r="AL664" s="34" t="n">
        <v>0</v>
      </c>
      <c r="AM664" s="2" t="n">
        <v>0</v>
      </c>
    </row>
    <row r="665">
      <c r="A665">
        <f>HYPERLINK("https://www.walmart.com/ip/14544254611", "14544254611")</f>
        <v/>
      </c>
      <c r="B665">
        <f>HYPERLINK("https://app.optiwise.ai/catalog/itemdetails/13059600", "Aeropostale  Backpack for School, College, and Travel， Water Resistant Bookbag Blue Smile")</f>
        <v/>
      </c>
      <c r="C665" t="inlineStr">
        <is>
          <t>-</t>
        </is>
      </c>
      <c r="E665" t="inlineStr">
        <is>
          <t>1AEBPK92029BLSMILE</t>
        </is>
      </c>
      <c r="F665" t="n">
        <v>0</v>
      </c>
      <c r="G665" t="inlineStr">
        <is>
          <t>Cases &amp; Bags</t>
        </is>
      </c>
      <c r="H665" t="inlineStr">
        <is>
          <t>Backpacks</t>
        </is>
      </c>
      <c r="I665" t="inlineStr">
        <is>
          <t>Aeropostale</t>
        </is>
      </c>
      <c r="L665" s="29" t="n">
        <v>0</v>
      </c>
      <c r="M665" s="30" t="n"/>
      <c r="N665" s="29" t="n">
        <v>0</v>
      </c>
      <c r="O665" s="29" t="n">
        <v>0</v>
      </c>
      <c r="P665" s="2" t="n">
        <v>0</v>
      </c>
      <c r="Q665" s="31" t="n">
        <v>0</v>
      </c>
      <c r="R665" s="32" t="n"/>
      <c r="S665" s="32" t="n">
        <v>0</v>
      </c>
      <c r="T665" s="32" t="n">
        <v>0</v>
      </c>
      <c r="U665" s="31" t="n">
        <v>0</v>
      </c>
      <c r="V665" s="32" t="n">
        <v>0</v>
      </c>
      <c r="W665" s="31" t="n">
        <v>0</v>
      </c>
      <c r="X665" s="31" t="n">
        <v>0</v>
      </c>
      <c r="Y665" s="3" t="n">
        <v>0</v>
      </c>
      <c r="Z665" s="3" t="n">
        <v>0</v>
      </c>
      <c r="AA665" s="32" t="n">
        <v>0</v>
      </c>
      <c r="AB665" s="3" t="n">
        <v>0</v>
      </c>
      <c r="AC665" s="32" t="n">
        <v>0</v>
      </c>
      <c r="AD665" s="3" t="n"/>
      <c r="AE665" s="31" t="n">
        <v>0</v>
      </c>
      <c r="AF665" s="2" t="n">
        <v>0</v>
      </c>
      <c r="AG665" s="2" t="n">
        <v>0</v>
      </c>
      <c r="AH665" s="4" t="n">
        <v>0</v>
      </c>
      <c r="AI665" s="33" t="n">
        <v>0</v>
      </c>
      <c r="AJ665" s="4" t="n">
        <v>0</v>
      </c>
      <c r="AK665" s="34" t="n"/>
      <c r="AL665" s="34" t="n">
        <v>0</v>
      </c>
      <c r="AM665" s="2" t="n">
        <v>0</v>
      </c>
    </row>
    <row r="666">
      <c r="A666">
        <f>HYPERLINK("https://www.walmart.com/ip/14554421927", "14554421927")</f>
        <v/>
      </c>
      <c r="B666">
        <f>HYPERLINK("https://app.optiwise.ai/catalog/itemdetails/13061805", "Solaris Open Crotch Boyshort Panties Underwear Black Lace Lingerie Thong for Women with Ribbons Removable Garters M")</f>
        <v/>
      </c>
      <c r="C666" t="inlineStr">
        <is>
          <t>-</t>
        </is>
      </c>
      <c r="E666" t="inlineStr">
        <is>
          <t>CCPT100BK-M-FS</t>
        </is>
      </c>
      <c r="F666" t="n">
        <v>0</v>
      </c>
      <c r="G666" t="inlineStr">
        <is>
          <t>Clothing</t>
        </is>
      </c>
      <c r="H666" t="inlineStr">
        <is>
          <t>Panties</t>
        </is>
      </c>
      <c r="I666" t="inlineStr">
        <is>
          <t>Solaris</t>
        </is>
      </c>
      <c r="L666" s="29" t="n">
        <v>0</v>
      </c>
      <c r="M666" s="30" t="n"/>
      <c r="N666" s="29" t="n">
        <v>8.979999542236328</v>
      </c>
      <c r="O666" s="29" t="n">
        <v>0</v>
      </c>
      <c r="P666" s="2" t="n">
        <v>0</v>
      </c>
      <c r="Q666" s="31" t="n">
        <v>0</v>
      </c>
      <c r="R666" s="32" t="n"/>
      <c r="S666" s="32" t="n">
        <v>0</v>
      </c>
      <c r="T666" s="32" t="n">
        <v>0</v>
      </c>
      <c r="U666" s="31" t="n">
        <v>0</v>
      </c>
      <c r="V666" s="32" t="n">
        <v>0</v>
      </c>
      <c r="W666" s="31" t="n">
        <v>0</v>
      </c>
      <c r="X666" s="31" t="n">
        <v>0</v>
      </c>
      <c r="Y666" s="3" t="n">
        <v>0</v>
      </c>
      <c r="Z666" s="3" t="n">
        <v>0</v>
      </c>
      <c r="AA666" s="32" t="n">
        <v>0</v>
      </c>
      <c r="AB666" s="3" t="n">
        <v>0</v>
      </c>
      <c r="AC666" s="32" t="n">
        <v>0</v>
      </c>
      <c r="AD666" s="3" t="n"/>
      <c r="AE666" s="31" t="n">
        <v>0</v>
      </c>
      <c r="AF666" s="2" t="n">
        <v>0</v>
      </c>
      <c r="AG666" s="2" t="n">
        <v>5</v>
      </c>
      <c r="AH666" s="4" t="n">
        <v>5</v>
      </c>
      <c r="AI666" s="33" t="n">
        <v>0</v>
      </c>
      <c r="AJ666" s="4" t="n">
        <v>0</v>
      </c>
      <c r="AK666" s="34" t="n"/>
      <c r="AL666" s="34" t="n">
        <v>0</v>
      </c>
      <c r="AM666" s="2" t="n">
        <v>0</v>
      </c>
    </row>
    <row r="667">
      <c r="A667">
        <f>HYPERLINK("https://www.walmart.com/ip/14546152958", "14546152958")</f>
        <v/>
      </c>
      <c r="B667">
        <f>HYPERLINK("https://app.optiwise.ai/catalog/itemdetails/13059614", "Aeropostale  Backpack for School, College, and Travel， Water Resistant Bookbag Black Aero")</f>
        <v/>
      </c>
      <c r="C667" t="inlineStr">
        <is>
          <t>-</t>
        </is>
      </c>
      <c r="E667" t="inlineStr">
        <is>
          <t>1AEBPK92029BKAERO</t>
        </is>
      </c>
      <c r="F667" t="n">
        <v>0</v>
      </c>
      <c r="G667" t="inlineStr">
        <is>
          <t>Cases &amp; Bags</t>
        </is>
      </c>
      <c r="H667" t="inlineStr">
        <is>
          <t>Backpacks</t>
        </is>
      </c>
      <c r="I667" t="inlineStr">
        <is>
          <t>Aeropostale</t>
        </is>
      </c>
      <c r="L667" s="29" t="n">
        <v>0</v>
      </c>
      <c r="M667" s="30" t="n"/>
      <c r="N667" s="29" t="n">
        <v>0</v>
      </c>
      <c r="O667" s="29" t="n">
        <v>0</v>
      </c>
      <c r="P667" s="2" t="n">
        <v>0</v>
      </c>
      <c r="Q667" s="31" t="n">
        <v>0</v>
      </c>
      <c r="R667" s="32" t="n"/>
      <c r="S667" s="32" t="n">
        <v>0</v>
      </c>
      <c r="T667" s="32" t="n">
        <v>0</v>
      </c>
      <c r="U667" s="31" t="n">
        <v>0</v>
      </c>
      <c r="V667" s="32" t="n">
        <v>0</v>
      </c>
      <c r="W667" s="31" t="n">
        <v>0</v>
      </c>
      <c r="X667" s="31" t="n">
        <v>0</v>
      </c>
      <c r="Y667" s="3" t="n">
        <v>0</v>
      </c>
      <c r="Z667" s="3" t="n">
        <v>0</v>
      </c>
      <c r="AA667" s="32" t="n">
        <v>0</v>
      </c>
      <c r="AB667" s="3" t="n">
        <v>0</v>
      </c>
      <c r="AC667" s="32" t="n">
        <v>0</v>
      </c>
      <c r="AD667" s="3" t="n"/>
      <c r="AE667" s="31" t="n">
        <v>0</v>
      </c>
      <c r="AF667" s="2" t="n">
        <v>0</v>
      </c>
      <c r="AG667" s="2" t="n">
        <v>11</v>
      </c>
      <c r="AH667" s="4" t="n">
        <v>11</v>
      </c>
      <c r="AI667" s="33" t="n">
        <v>0</v>
      </c>
      <c r="AJ667" s="4" t="n">
        <v>0</v>
      </c>
      <c r="AK667" s="34" t="n"/>
      <c r="AL667" s="34" t="n">
        <v>0</v>
      </c>
      <c r="AM667" s="2" t="n">
        <v>0</v>
      </c>
    </row>
    <row r="668">
      <c r="A668">
        <f>HYPERLINK("https://www.walmart.com/ip/14539058939", "14539058939")</f>
        <v/>
      </c>
      <c r="B668">
        <f>HYPERLINK("https://app.optiwise.ai/catalog/itemdetails/13059613", "Aeropostale  Backpack for School, College, and Travel， Water Resistant Bookbag Hot Pink Cherry")</f>
        <v/>
      </c>
      <c r="C668" t="inlineStr">
        <is>
          <t>-</t>
        </is>
      </c>
      <c r="E668" t="inlineStr">
        <is>
          <t>1AEBPK92029HPCHERRY</t>
        </is>
      </c>
      <c r="F668" t="n">
        <v>0</v>
      </c>
      <c r="G668" t="inlineStr">
        <is>
          <t>Cases &amp; Bags</t>
        </is>
      </c>
      <c r="H668" t="inlineStr">
        <is>
          <t>Backpacks</t>
        </is>
      </c>
      <c r="I668" t="inlineStr">
        <is>
          <t>Aeropostale</t>
        </is>
      </c>
      <c r="L668" s="29" t="n">
        <v>0</v>
      </c>
      <c r="M668" s="30" t="n"/>
      <c r="N668" s="29" t="n">
        <v>0</v>
      </c>
      <c r="O668" s="29" t="n">
        <v>0</v>
      </c>
      <c r="P668" s="2" t="n">
        <v>0</v>
      </c>
      <c r="Q668" s="31" t="n">
        <v>0</v>
      </c>
      <c r="R668" s="32" t="n"/>
      <c r="S668" s="32" t="n">
        <v>0</v>
      </c>
      <c r="T668" s="32" t="n">
        <v>0</v>
      </c>
      <c r="U668" s="31" t="n">
        <v>0</v>
      </c>
      <c r="V668" s="32" t="n">
        <v>0</v>
      </c>
      <c r="W668" s="31" t="n">
        <v>0</v>
      </c>
      <c r="X668" s="31" t="n">
        <v>0</v>
      </c>
      <c r="Y668" s="3" t="n">
        <v>0</v>
      </c>
      <c r="Z668" s="3" t="n">
        <v>0</v>
      </c>
      <c r="AA668" s="32" t="n">
        <v>0</v>
      </c>
      <c r="AB668" s="3" t="n">
        <v>0</v>
      </c>
      <c r="AC668" s="32" t="n">
        <v>0</v>
      </c>
      <c r="AD668" s="3" t="n"/>
      <c r="AE668" s="31" t="n">
        <v>0</v>
      </c>
      <c r="AF668" s="2" t="n">
        <v>0</v>
      </c>
      <c r="AG668" s="2" t="n">
        <v>36</v>
      </c>
      <c r="AH668" s="4" t="n">
        <v>36</v>
      </c>
      <c r="AI668" s="33" t="n">
        <v>0</v>
      </c>
      <c r="AJ668" s="4" t="n">
        <v>0</v>
      </c>
      <c r="AK668" s="34" t="n"/>
      <c r="AL668" s="34" t="n">
        <v>0</v>
      </c>
      <c r="AM668" s="2" t="n">
        <v>0</v>
      </c>
    </row>
    <row r="669">
      <c r="A669">
        <f>HYPERLINK("https://www.walmart.com/ip/14544254613", "14544254613")</f>
        <v/>
      </c>
      <c r="B669">
        <f>HYPERLINK("https://app.optiwise.ai/catalog/itemdetails/13059612", "Aeropostale  Backpack for School, College, and Travel， Water Resistant Bookbag Dark Green Smile")</f>
        <v/>
      </c>
      <c r="C669" t="inlineStr">
        <is>
          <t>-</t>
        </is>
      </c>
      <c r="E669" t="inlineStr">
        <is>
          <t>1AEBPK92029DGNSMILE</t>
        </is>
      </c>
      <c r="F669" t="n">
        <v>0</v>
      </c>
      <c r="G669" t="inlineStr">
        <is>
          <t>Cases &amp; Bags</t>
        </is>
      </c>
      <c r="H669" t="inlineStr">
        <is>
          <t>Backpacks</t>
        </is>
      </c>
      <c r="I669" t="inlineStr">
        <is>
          <t>Aeropostale</t>
        </is>
      </c>
      <c r="L669" s="29" t="n">
        <v>0</v>
      </c>
      <c r="M669" s="30" t="n"/>
      <c r="N669" s="29" t="n">
        <v>0</v>
      </c>
      <c r="O669" s="29" t="n">
        <v>0</v>
      </c>
      <c r="P669" s="2" t="n">
        <v>0</v>
      </c>
      <c r="Q669" s="31" t="n">
        <v>0</v>
      </c>
      <c r="R669" s="32" t="n"/>
      <c r="S669" s="32" t="n">
        <v>0</v>
      </c>
      <c r="T669" s="32" t="n">
        <v>0</v>
      </c>
      <c r="U669" s="31" t="n">
        <v>0</v>
      </c>
      <c r="V669" s="32" t="n">
        <v>0</v>
      </c>
      <c r="W669" s="31" t="n">
        <v>0</v>
      </c>
      <c r="X669" s="31" t="n">
        <v>0</v>
      </c>
      <c r="Y669" s="3" t="n">
        <v>0</v>
      </c>
      <c r="Z669" s="3" t="n">
        <v>0</v>
      </c>
      <c r="AA669" s="32" t="n">
        <v>0</v>
      </c>
      <c r="AB669" s="3" t="n">
        <v>0</v>
      </c>
      <c r="AC669" s="32" t="n">
        <v>0</v>
      </c>
      <c r="AD669" s="3" t="n"/>
      <c r="AE669" s="31" t="n">
        <v>0</v>
      </c>
      <c r="AF669" s="2" t="n">
        <v>0</v>
      </c>
      <c r="AG669" s="2" t="n">
        <v>11</v>
      </c>
      <c r="AH669" s="4" t="n">
        <v>11</v>
      </c>
      <c r="AI669" s="33" t="n">
        <v>0</v>
      </c>
      <c r="AJ669" s="4" t="n">
        <v>0</v>
      </c>
      <c r="AK669" s="34" t="n"/>
      <c r="AL669" s="34" t="n">
        <v>0</v>
      </c>
      <c r="AM669" s="2" t="n">
        <v>0</v>
      </c>
    </row>
    <row r="670">
      <c r="A670">
        <f>HYPERLINK("https://www.walmart.com/ip/14543512940", "14543512940")</f>
        <v/>
      </c>
      <c r="B670">
        <f>HYPERLINK("https://app.optiwise.ai/catalog/itemdetails/13059611", "Aeropostale  Backpack for School, College, and Travel， Water Resistant Bookbag Taupe Marble")</f>
        <v/>
      </c>
      <c r="C670" t="inlineStr">
        <is>
          <t>-</t>
        </is>
      </c>
      <c r="E670" t="inlineStr">
        <is>
          <t>1AEBPK92029TPMARBLE</t>
        </is>
      </c>
      <c r="F670" t="n">
        <v>0</v>
      </c>
      <c r="G670" t="inlineStr">
        <is>
          <t>Cases &amp; Bags</t>
        </is>
      </c>
      <c r="H670" t="inlineStr">
        <is>
          <t>Backpacks</t>
        </is>
      </c>
      <c r="I670" t="inlineStr">
        <is>
          <t>Aeropostale</t>
        </is>
      </c>
      <c r="L670" s="29" t="n">
        <v>0</v>
      </c>
      <c r="M670" s="30" t="n"/>
      <c r="N670" s="29" t="n">
        <v>0</v>
      </c>
      <c r="O670" s="29" t="n">
        <v>0</v>
      </c>
      <c r="P670" s="2" t="n">
        <v>0</v>
      </c>
      <c r="Q670" s="31" t="n">
        <v>0</v>
      </c>
      <c r="R670" s="32" t="n"/>
      <c r="S670" s="32" t="n">
        <v>0</v>
      </c>
      <c r="T670" s="32" t="n">
        <v>0</v>
      </c>
      <c r="U670" s="31" t="n">
        <v>0</v>
      </c>
      <c r="V670" s="32" t="n">
        <v>0</v>
      </c>
      <c r="W670" s="31" t="n">
        <v>0</v>
      </c>
      <c r="X670" s="31" t="n">
        <v>0</v>
      </c>
      <c r="Y670" s="3" t="n">
        <v>0</v>
      </c>
      <c r="Z670" s="3" t="n">
        <v>0</v>
      </c>
      <c r="AA670" s="32" t="n">
        <v>0</v>
      </c>
      <c r="AB670" s="3" t="n">
        <v>0</v>
      </c>
      <c r="AC670" s="32" t="n">
        <v>0</v>
      </c>
      <c r="AD670" s="3" t="n"/>
      <c r="AE670" s="31" t="n">
        <v>0</v>
      </c>
      <c r="AF670" s="2" t="n">
        <v>0</v>
      </c>
      <c r="AG670" s="2" t="n">
        <v>11</v>
      </c>
      <c r="AH670" s="4" t="n">
        <v>11</v>
      </c>
      <c r="AI670" s="33" t="n">
        <v>0</v>
      </c>
      <c r="AJ670" s="4" t="n">
        <v>0</v>
      </c>
      <c r="AK670" s="34" t="n"/>
      <c r="AL670" s="34" t="n">
        <v>0</v>
      </c>
      <c r="AM670" s="2" t="n">
        <v>0</v>
      </c>
    </row>
    <row r="671">
      <c r="A671">
        <f>HYPERLINK("https://www.walmart.com/ip/14529374153", "14529374153")</f>
        <v/>
      </c>
      <c r="B671">
        <f>HYPERLINK("https://app.optiwise.ai/catalog/itemdetails/13059610", "Aeropostale  Backpack for School, College, and Travel， Water Resistant Bookbag Navy Red")</f>
        <v/>
      </c>
      <c r="C671" t="inlineStr">
        <is>
          <t>-</t>
        </is>
      </c>
      <c r="E671" t="inlineStr">
        <is>
          <t>1AEBPK92029NYRD</t>
        </is>
      </c>
      <c r="F671" t="n">
        <v>0</v>
      </c>
      <c r="G671" t="inlineStr">
        <is>
          <t>Cases &amp; Bags</t>
        </is>
      </c>
      <c r="H671" t="inlineStr">
        <is>
          <t>Backpacks</t>
        </is>
      </c>
      <c r="I671" t="inlineStr">
        <is>
          <t>Aeropostale</t>
        </is>
      </c>
      <c r="L671" s="29" t="n">
        <v>0</v>
      </c>
      <c r="M671" s="30" t="n"/>
      <c r="N671" s="29" t="n">
        <v>0</v>
      </c>
      <c r="O671" s="29" t="n">
        <v>0</v>
      </c>
      <c r="P671" s="2" t="n">
        <v>0</v>
      </c>
      <c r="Q671" s="31" t="n">
        <v>0</v>
      </c>
      <c r="R671" s="32" t="n"/>
      <c r="S671" s="32" t="n">
        <v>0</v>
      </c>
      <c r="T671" s="32" t="n">
        <v>0</v>
      </c>
      <c r="U671" s="31" t="n">
        <v>0</v>
      </c>
      <c r="V671" s="32" t="n">
        <v>0</v>
      </c>
      <c r="W671" s="31" t="n">
        <v>0</v>
      </c>
      <c r="X671" s="31" t="n">
        <v>0</v>
      </c>
      <c r="Y671" s="3" t="n">
        <v>0</v>
      </c>
      <c r="Z671" s="3" t="n">
        <v>0</v>
      </c>
      <c r="AA671" s="32" t="n">
        <v>0</v>
      </c>
      <c r="AB671" s="3" t="n">
        <v>0</v>
      </c>
      <c r="AC671" s="32" t="n">
        <v>0</v>
      </c>
      <c r="AD671" s="3" t="n"/>
      <c r="AE671" s="31" t="n">
        <v>0</v>
      </c>
      <c r="AF671" s="2" t="n">
        <v>0</v>
      </c>
      <c r="AG671" s="2" t="n">
        <v>10</v>
      </c>
      <c r="AH671" s="4" t="n">
        <v>10</v>
      </c>
      <c r="AI671" s="33" t="n">
        <v>0</v>
      </c>
      <c r="AJ671" s="4" t="n">
        <v>0</v>
      </c>
      <c r="AK671" s="34" t="n"/>
      <c r="AL671" s="34" t="n">
        <v>0</v>
      </c>
      <c r="AM671" s="2" t="n">
        <v>0</v>
      </c>
    </row>
    <row r="672">
      <c r="A672">
        <f>HYPERLINK("https://www.walmart.com/ip/14511051595", "14511051595")</f>
        <v/>
      </c>
      <c r="B672">
        <f>HYPERLINK("https://app.optiwise.ai/catalog/itemdetails/13059609", "Aeropostale  Backpack for School, College, and Travel， Water Resistant Bookbag Lilac BOBA")</f>
        <v/>
      </c>
      <c r="C672" t="inlineStr">
        <is>
          <t>-</t>
        </is>
      </c>
      <c r="E672" t="inlineStr">
        <is>
          <t>1AEBPK92029LLBOBA</t>
        </is>
      </c>
      <c r="F672" t="n">
        <v>0</v>
      </c>
      <c r="G672" t="inlineStr">
        <is>
          <t>Cases &amp; Bags</t>
        </is>
      </c>
      <c r="H672" t="inlineStr">
        <is>
          <t>Backpacks</t>
        </is>
      </c>
      <c r="I672" t="inlineStr">
        <is>
          <t>Aeropostale</t>
        </is>
      </c>
      <c r="L672" s="29" t="n">
        <v>0</v>
      </c>
      <c r="M672" s="30" t="n"/>
      <c r="N672" s="29" t="n">
        <v>0</v>
      </c>
      <c r="O672" s="29" t="n">
        <v>0</v>
      </c>
      <c r="P672" s="2" t="n">
        <v>0</v>
      </c>
      <c r="Q672" s="31" t="n">
        <v>0</v>
      </c>
      <c r="R672" s="32" t="n"/>
      <c r="S672" s="32" t="n">
        <v>0</v>
      </c>
      <c r="T672" s="32" t="n">
        <v>0</v>
      </c>
      <c r="U672" s="31" t="n">
        <v>0</v>
      </c>
      <c r="V672" s="32" t="n">
        <v>0</v>
      </c>
      <c r="W672" s="31" t="n">
        <v>0</v>
      </c>
      <c r="X672" s="31" t="n">
        <v>0</v>
      </c>
      <c r="Y672" s="3" t="n">
        <v>0</v>
      </c>
      <c r="Z672" s="3" t="n">
        <v>0</v>
      </c>
      <c r="AA672" s="32" t="n">
        <v>0</v>
      </c>
      <c r="AB672" s="3" t="n">
        <v>0</v>
      </c>
      <c r="AC672" s="32" t="n">
        <v>0</v>
      </c>
      <c r="AD672" s="3" t="n"/>
      <c r="AE672" s="31" t="n">
        <v>0</v>
      </c>
      <c r="AF672" s="2" t="n">
        <v>0</v>
      </c>
      <c r="AG672" s="2" t="n">
        <v>22</v>
      </c>
      <c r="AH672" s="4" t="n">
        <v>22</v>
      </c>
      <c r="AI672" s="33" t="n">
        <v>0</v>
      </c>
      <c r="AJ672" s="4" t="n">
        <v>0</v>
      </c>
      <c r="AK672" s="34" t="n"/>
      <c r="AL672" s="34" t="n">
        <v>0</v>
      </c>
      <c r="AM672" s="2" t="n">
        <v>0</v>
      </c>
    </row>
    <row r="673">
      <c r="A673">
        <f>HYPERLINK("https://www.walmart.com/ip/14564610338", "14564610338")</f>
        <v/>
      </c>
      <c r="B673">
        <f>HYPERLINK("https://app.optiwise.ai/catalog/itemdetails/13059608", "Aeropostale  Backpack for School, College, and Travel， Water Resistant Bookbag Light Blue Egg")</f>
        <v/>
      </c>
      <c r="C673" t="inlineStr">
        <is>
          <t>-</t>
        </is>
      </c>
      <c r="E673" t="inlineStr">
        <is>
          <t>1AEBPK92029LBLEGG</t>
        </is>
      </c>
      <c r="F673" t="n">
        <v>0</v>
      </c>
      <c r="G673" t="inlineStr">
        <is>
          <t>Cases &amp; Bags</t>
        </is>
      </c>
      <c r="H673" t="inlineStr">
        <is>
          <t>Backpacks</t>
        </is>
      </c>
      <c r="I673" t="inlineStr">
        <is>
          <t>Aeropostale</t>
        </is>
      </c>
      <c r="L673" s="29" t="n">
        <v>0</v>
      </c>
      <c r="M673" s="30" t="n"/>
      <c r="N673" s="29" t="n">
        <v>0</v>
      </c>
      <c r="O673" s="29" t="n">
        <v>0</v>
      </c>
      <c r="P673" s="2" t="n">
        <v>0</v>
      </c>
      <c r="Q673" s="31" t="n">
        <v>0</v>
      </c>
      <c r="R673" s="32" t="n"/>
      <c r="S673" s="32" t="n">
        <v>0</v>
      </c>
      <c r="T673" s="32" t="n">
        <v>0</v>
      </c>
      <c r="U673" s="31" t="n">
        <v>0</v>
      </c>
      <c r="V673" s="32" t="n">
        <v>0</v>
      </c>
      <c r="W673" s="31" t="n">
        <v>0</v>
      </c>
      <c r="X673" s="31" t="n">
        <v>0</v>
      </c>
      <c r="Y673" s="3" t="n">
        <v>0</v>
      </c>
      <c r="Z673" s="3" t="n">
        <v>0</v>
      </c>
      <c r="AA673" s="32" t="n">
        <v>0</v>
      </c>
      <c r="AB673" s="3" t="n">
        <v>0</v>
      </c>
      <c r="AC673" s="32" t="n">
        <v>0</v>
      </c>
      <c r="AD673" s="3" t="n"/>
      <c r="AE673" s="31" t="n">
        <v>0</v>
      </c>
      <c r="AF673" s="2" t="n">
        <v>0</v>
      </c>
      <c r="AG673" s="2" t="n">
        <v>0</v>
      </c>
      <c r="AH673" s="4" t="n">
        <v>0</v>
      </c>
      <c r="AI673" s="33" t="n">
        <v>0</v>
      </c>
      <c r="AJ673" s="4" t="n">
        <v>0</v>
      </c>
      <c r="AK673" s="34" t="n"/>
      <c r="AL673" s="34" t="n">
        <v>0</v>
      </c>
      <c r="AM673" s="2" t="n">
        <v>0</v>
      </c>
    </row>
    <row r="674">
      <c r="A674">
        <f>HYPERLINK("https://www.walmart.com/ip/14546152960", "14546152960")</f>
        <v/>
      </c>
      <c r="B674">
        <f>HYPERLINK("https://app.optiwise.ai/catalog/itemdetails/13059606", "Aeropostale  Backpack for School, College, and Travel， Water Resistant Bookbag Blue")</f>
        <v/>
      </c>
      <c r="C674" t="inlineStr">
        <is>
          <t>-</t>
        </is>
      </c>
      <c r="E674" t="inlineStr">
        <is>
          <t>1AEBPK92029BL</t>
        </is>
      </c>
      <c r="F674" t="n">
        <v>0</v>
      </c>
      <c r="G674" t="inlineStr">
        <is>
          <t>Cases &amp; Bags</t>
        </is>
      </c>
      <c r="H674" t="inlineStr">
        <is>
          <t>Backpacks</t>
        </is>
      </c>
      <c r="I674" t="inlineStr">
        <is>
          <t>Aeropostale</t>
        </is>
      </c>
      <c r="L674" s="29" t="n">
        <v>0</v>
      </c>
      <c r="M674" s="30" t="n"/>
      <c r="N674" s="29" t="n">
        <v>0</v>
      </c>
      <c r="O674" s="29" t="n">
        <v>0</v>
      </c>
      <c r="P674" s="2" t="n">
        <v>0</v>
      </c>
      <c r="Q674" s="31" t="n">
        <v>0</v>
      </c>
      <c r="R674" s="32" t="n"/>
      <c r="S674" s="32" t="n">
        <v>0</v>
      </c>
      <c r="T674" s="32" t="n">
        <v>0</v>
      </c>
      <c r="U674" s="31" t="n">
        <v>0</v>
      </c>
      <c r="V674" s="32" t="n">
        <v>0</v>
      </c>
      <c r="W674" s="31" t="n">
        <v>0</v>
      </c>
      <c r="X674" s="31" t="n">
        <v>0</v>
      </c>
      <c r="Y674" s="3" t="n">
        <v>0</v>
      </c>
      <c r="Z674" s="3" t="n">
        <v>0</v>
      </c>
      <c r="AA674" s="32" t="n">
        <v>0</v>
      </c>
      <c r="AB674" s="3" t="n">
        <v>0</v>
      </c>
      <c r="AC674" s="32" t="n">
        <v>0</v>
      </c>
      <c r="AD674" s="3" t="n"/>
      <c r="AE674" s="31" t="n">
        <v>0</v>
      </c>
      <c r="AF674" s="2" t="n">
        <v>0</v>
      </c>
      <c r="AG674" s="2" t="n">
        <v>14</v>
      </c>
      <c r="AH674" s="4" t="n">
        <v>14</v>
      </c>
      <c r="AI674" s="33" t="n">
        <v>0</v>
      </c>
      <c r="AJ674" s="4" t="n">
        <v>0</v>
      </c>
      <c r="AK674" s="34" t="n"/>
      <c r="AL674" s="34" t="n">
        <v>0</v>
      </c>
      <c r="AM674" s="2" t="n">
        <v>0</v>
      </c>
    </row>
    <row r="675">
      <c r="A675">
        <f>HYPERLINK("https://www.walmart.com/ip/14539058447", "14539058447")</f>
        <v/>
      </c>
      <c r="B675">
        <f>HYPERLINK("https://app.optiwise.ai/catalog/itemdetails/13059605", "Aeropostale  Backpack for School, College, and Travel， Water Resistant Bookbag Green")</f>
        <v/>
      </c>
      <c r="C675" t="inlineStr">
        <is>
          <t>-</t>
        </is>
      </c>
      <c r="E675" t="inlineStr">
        <is>
          <t>1AEBPK92029GN</t>
        </is>
      </c>
      <c r="F675" t="n">
        <v>0</v>
      </c>
      <c r="G675" t="inlineStr">
        <is>
          <t>Cases &amp; Bags</t>
        </is>
      </c>
      <c r="H675" t="inlineStr">
        <is>
          <t>Backpacks</t>
        </is>
      </c>
      <c r="I675" t="inlineStr">
        <is>
          <t>Aeropostale</t>
        </is>
      </c>
      <c r="L675" s="29" t="n">
        <v>0</v>
      </c>
      <c r="M675" s="30" t="n"/>
      <c r="N675" s="29" t="n">
        <v>0</v>
      </c>
      <c r="O675" s="29" t="n">
        <v>0</v>
      </c>
      <c r="P675" s="2" t="n">
        <v>0</v>
      </c>
      <c r="Q675" s="31" t="n">
        <v>0</v>
      </c>
      <c r="R675" s="32" t="n"/>
      <c r="S675" s="32" t="n">
        <v>0</v>
      </c>
      <c r="T675" s="32" t="n">
        <v>0</v>
      </c>
      <c r="U675" s="31" t="n">
        <v>0</v>
      </c>
      <c r="V675" s="32" t="n">
        <v>0</v>
      </c>
      <c r="W675" s="31" t="n">
        <v>0</v>
      </c>
      <c r="X675" s="31" t="n">
        <v>0</v>
      </c>
      <c r="Y675" s="3" t="n">
        <v>0</v>
      </c>
      <c r="Z675" s="3" t="n">
        <v>0</v>
      </c>
      <c r="AA675" s="32" t="n">
        <v>0</v>
      </c>
      <c r="AB675" s="3" t="n">
        <v>0</v>
      </c>
      <c r="AC675" s="32" t="n">
        <v>0</v>
      </c>
      <c r="AD675" s="3" t="n"/>
      <c r="AE675" s="31" t="n">
        <v>0</v>
      </c>
      <c r="AF675" s="2" t="n">
        <v>0</v>
      </c>
      <c r="AG675" s="2" t="n">
        <v>10</v>
      </c>
      <c r="AH675" s="4" t="n">
        <v>10</v>
      </c>
      <c r="AI675" s="33" t="n">
        <v>0</v>
      </c>
      <c r="AJ675" s="4" t="n">
        <v>0</v>
      </c>
      <c r="AK675" s="34" t="n"/>
      <c r="AL675" s="34" t="n">
        <v>0</v>
      </c>
      <c r="AM675" s="2" t="n">
        <v>0</v>
      </c>
    </row>
    <row r="676">
      <c r="A676">
        <f>HYPERLINK("https://www.walmart.com/ip/14535967778", "14535967778")</f>
        <v/>
      </c>
      <c r="B676">
        <f>HYPERLINK("https://app.optiwise.ai/catalog/itemdetails/13059604", "Aeropostale  Backpack for School, College, and Travel， Water Resistant Bookbag Pink Cloud")</f>
        <v/>
      </c>
      <c r="C676" t="inlineStr">
        <is>
          <t>-</t>
        </is>
      </c>
      <c r="E676" t="inlineStr">
        <is>
          <t>1AEBPK92029PKCLOUD</t>
        </is>
      </c>
      <c r="F676" t="n">
        <v>0</v>
      </c>
      <c r="G676" t="inlineStr">
        <is>
          <t>Cases &amp; Bags</t>
        </is>
      </c>
      <c r="H676" t="inlineStr">
        <is>
          <t>Backpacks</t>
        </is>
      </c>
      <c r="I676" t="inlineStr">
        <is>
          <t>Aeropostale</t>
        </is>
      </c>
      <c r="L676" s="29" t="n">
        <v>0</v>
      </c>
      <c r="M676" s="30" t="n"/>
      <c r="N676" s="29" t="n">
        <v>0</v>
      </c>
      <c r="O676" s="29" t="n">
        <v>0</v>
      </c>
      <c r="P676" s="2" t="n">
        <v>0</v>
      </c>
      <c r="Q676" s="31" t="n">
        <v>0</v>
      </c>
      <c r="R676" s="32" t="n"/>
      <c r="S676" s="32" t="n">
        <v>0</v>
      </c>
      <c r="T676" s="32" t="n">
        <v>0</v>
      </c>
      <c r="U676" s="31" t="n">
        <v>0</v>
      </c>
      <c r="V676" s="32" t="n">
        <v>0</v>
      </c>
      <c r="W676" s="31" t="n">
        <v>0</v>
      </c>
      <c r="X676" s="31" t="n">
        <v>0</v>
      </c>
      <c r="Y676" s="3" t="n">
        <v>0</v>
      </c>
      <c r="Z676" s="3" t="n">
        <v>0</v>
      </c>
      <c r="AA676" s="32" t="n">
        <v>0</v>
      </c>
      <c r="AB676" s="3" t="n">
        <v>0</v>
      </c>
      <c r="AC676" s="32" t="n">
        <v>0</v>
      </c>
      <c r="AD676" s="3" t="n"/>
      <c r="AE676" s="31" t="n">
        <v>0</v>
      </c>
      <c r="AF676" s="2" t="n">
        <v>0</v>
      </c>
      <c r="AG676" s="2" t="n">
        <v>0</v>
      </c>
      <c r="AH676" s="4" t="n">
        <v>0</v>
      </c>
      <c r="AI676" s="33" t="n">
        <v>0</v>
      </c>
      <c r="AJ676" s="4" t="n">
        <v>0</v>
      </c>
      <c r="AK676" s="34" t="n"/>
      <c r="AL676" s="34" t="n">
        <v>0</v>
      </c>
      <c r="AM676" s="2" t="n">
        <v>0</v>
      </c>
    </row>
    <row r="677">
      <c r="A677">
        <f>HYPERLINK("https://www.walmart.com/ip/14535917854", "14535917854")</f>
        <v/>
      </c>
      <c r="B677">
        <f>HYPERLINK("https://app.optiwise.ai/catalog/itemdetails/13059603", "Aeropostale  Backpack for School, College, and Travel， Water Resistant Bookbag Gray Aero")</f>
        <v/>
      </c>
      <c r="C677" t="inlineStr">
        <is>
          <t>-</t>
        </is>
      </c>
      <c r="E677" t="inlineStr">
        <is>
          <t>1AEBPK92029GYAERO</t>
        </is>
      </c>
      <c r="F677" t="n">
        <v>0</v>
      </c>
      <c r="G677" t="inlineStr">
        <is>
          <t>Cases &amp; Bags</t>
        </is>
      </c>
      <c r="H677" t="inlineStr">
        <is>
          <t>Backpacks</t>
        </is>
      </c>
      <c r="I677" t="inlineStr">
        <is>
          <t>Aeropostale</t>
        </is>
      </c>
      <c r="L677" s="29" t="n">
        <v>0</v>
      </c>
      <c r="M677" s="30" t="n"/>
      <c r="N677" s="29" t="n">
        <v>0</v>
      </c>
      <c r="O677" s="29" t="n">
        <v>0</v>
      </c>
      <c r="P677" s="2" t="n">
        <v>0</v>
      </c>
      <c r="Q677" s="31" t="n">
        <v>0</v>
      </c>
      <c r="R677" s="32" t="n"/>
      <c r="S677" s="32" t="n">
        <v>0</v>
      </c>
      <c r="T677" s="32" t="n">
        <v>0</v>
      </c>
      <c r="U677" s="31" t="n">
        <v>0</v>
      </c>
      <c r="V677" s="32" t="n">
        <v>0</v>
      </c>
      <c r="W677" s="31" t="n">
        <v>0</v>
      </c>
      <c r="X677" s="31" t="n">
        <v>0</v>
      </c>
      <c r="Y677" s="3" t="n">
        <v>0</v>
      </c>
      <c r="Z677" s="3" t="n">
        <v>0</v>
      </c>
      <c r="AA677" s="32" t="n">
        <v>0</v>
      </c>
      <c r="AB677" s="3" t="n">
        <v>0</v>
      </c>
      <c r="AC677" s="32" t="n">
        <v>0</v>
      </c>
      <c r="AD677" s="3" t="n"/>
      <c r="AE677" s="31" t="n">
        <v>0</v>
      </c>
      <c r="AF677" s="2" t="n">
        <v>0</v>
      </c>
      <c r="AG677" s="2" t="n">
        <v>10</v>
      </c>
      <c r="AH677" s="4" t="n">
        <v>10</v>
      </c>
      <c r="AI677" s="33" t="n">
        <v>0</v>
      </c>
      <c r="AJ677" s="4" t="n">
        <v>0</v>
      </c>
      <c r="AK677" s="34" t="n"/>
      <c r="AL677" s="34" t="n">
        <v>0</v>
      </c>
      <c r="AM677" s="2" t="n">
        <v>0</v>
      </c>
    </row>
    <row r="678">
      <c r="A678">
        <f>HYPERLINK("https://www.walmart.com/ip/14534159428", "14534159428")</f>
        <v/>
      </c>
      <c r="B678">
        <f>HYPERLINK("https://app.optiwise.ai/catalog/itemdetails/13059602", "Aeropostale  Backpack for School, College, and Travel， Water Resistant Bookbag Navy Bear")</f>
        <v/>
      </c>
      <c r="C678" t="inlineStr">
        <is>
          <t>-</t>
        </is>
      </c>
      <c r="E678" t="inlineStr">
        <is>
          <t>1AEBPK92029NYBEAR</t>
        </is>
      </c>
      <c r="F678" t="n">
        <v>0</v>
      </c>
      <c r="G678" t="inlineStr">
        <is>
          <t>Cases &amp; Bags</t>
        </is>
      </c>
      <c r="H678" t="inlineStr">
        <is>
          <t>Backpacks</t>
        </is>
      </c>
      <c r="I678" t="inlineStr">
        <is>
          <t>Aeropostale</t>
        </is>
      </c>
      <c r="L678" s="29" t="n">
        <v>0</v>
      </c>
      <c r="M678" s="30" t="n"/>
      <c r="N678" s="29" t="n">
        <v>0</v>
      </c>
      <c r="O678" s="29" t="n">
        <v>0</v>
      </c>
      <c r="P678" s="2" t="n">
        <v>0</v>
      </c>
      <c r="Q678" s="31" t="n">
        <v>0</v>
      </c>
      <c r="R678" s="32" t="n"/>
      <c r="S678" s="32" t="n">
        <v>0</v>
      </c>
      <c r="T678" s="32" t="n">
        <v>0</v>
      </c>
      <c r="U678" s="31" t="n">
        <v>0</v>
      </c>
      <c r="V678" s="32" t="n">
        <v>0</v>
      </c>
      <c r="W678" s="31" t="n">
        <v>0</v>
      </c>
      <c r="X678" s="31" t="n">
        <v>0</v>
      </c>
      <c r="Y678" s="3" t="n">
        <v>0</v>
      </c>
      <c r="Z678" s="3" t="n">
        <v>0</v>
      </c>
      <c r="AA678" s="32" t="n">
        <v>0</v>
      </c>
      <c r="AB678" s="3" t="n">
        <v>0</v>
      </c>
      <c r="AC678" s="32" t="n">
        <v>0</v>
      </c>
      <c r="AD678" s="3" t="n"/>
      <c r="AE678" s="31" t="n">
        <v>0</v>
      </c>
      <c r="AF678" s="2" t="n">
        <v>0</v>
      </c>
      <c r="AG678" s="2" t="n">
        <v>8</v>
      </c>
      <c r="AH678" s="4" t="n">
        <v>8</v>
      </c>
      <c r="AI678" s="33" t="n">
        <v>0</v>
      </c>
      <c r="AJ678" s="4" t="n">
        <v>0</v>
      </c>
      <c r="AK678" s="34" t="n"/>
      <c r="AL678" s="34" t="n">
        <v>0</v>
      </c>
      <c r="AM678" s="2" t="n">
        <v>0</v>
      </c>
    </row>
    <row r="679">
      <c r="A679">
        <f>HYPERLINK("https://www.walmart.com/ip/14490451678", "14490451678")</f>
        <v/>
      </c>
      <c r="B679">
        <f>HYPERLINK("https://app.optiwise.ai/catalog/itemdetails/13059137", "PEANUTS Womens 100% Cotton Family Matching Pajamas Holiday Festive Nightwear Sleepwear 2-Piece Sets for Christmas Gifts (Red Plaid, S)")</f>
        <v/>
      </c>
      <c r="C679" t="inlineStr">
        <is>
          <t>-</t>
        </is>
      </c>
      <c r="E679" t="inlineStr">
        <is>
          <t>PEA-PJS-FAMILY-WOMEN-REDPLAID-S</t>
        </is>
      </c>
      <c r="F679" t="n">
        <v>0</v>
      </c>
      <c r="G679" t="inlineStr">
        <is>
          <t>Clothing</t>
        </is>
      </c>
      <c r="H679" t="inlineStr">
        <is>
          <t>Pajamas</t>
        </is>
      </c>
      <c r="I679" t="inlineStr">
        <is>
          <t>Peanuts</t>
        </is>
      </c>
      <c r="L679" s="29" t="n">
        <v>0</v>
      </c>
      <c r="M679" s="30" t="n"/>
      <c r="N679" s="29" t="n">
        <v>0</v>
      </c>
      <c r="O679" s="29" t="n">
        <v>0</v>
      </c>
      <c r="P679" s="2" t="n">
        <v>0</v>
      </c>
      <c r="Q679" s="31" t="n">
        <v>0</v>
      </c>
      <c r="R679" s="32" t="n"/>
      <c r="S679" s="32" t="n">
        <v>0</v>
      </c>
      <c r="T679" s="32" t="n">
        <v>0</v>
      </c>
      <c r="U679" s="31" t="n">
        <v>0</v>
      </c>
      <c r="V679" s="32" t="n">
        <v>0</v>
      </c>
      <c r="W679" s="31" t="n">
        <v>0</v>
      </c>
      <c r="X679" s="31" t="n">
        <v>0</v>
      </c>
      <c r="Y679" s="3" t="n">
        <v>0</v>
      </c>
      <c r="Z679" s="3" t="n">
        <v>0</v>
      </c>
      <c r="AA679" s="32" t="n">
        <v>0</v>
      </c>
      <c r="AB679" s="3" t="n">
        <v>0</v>
      </c>
      <c r="AC679" s="32" t="n">
        <v>0</v>
      </c>
      <c r="AD679" s="3" t="n"/>
      <c r="AE679" s="31" t="n">
        <v>0</v>
      </c>
      <c r="AF679" s="2" t="n">
        <v>0</v>
      </c>
      <c r="AG679" s="2" t="n">
        <v>0</v>
      </c>
      <c r="AH679" s="4" t="n">
        <v>0</v>
      </c>
      <c r="AI679" s="33" t="n">
        <v>0</v>
      </c>
      <c r="AJ679" s="4" t="n">
        <v>0</v>
      </c>
      <c r="AK679" s="34" t="n"/>
      <c r="AL679" s="34" t="n">
        <v>0</v>
      </c>
      <c r="AM679" s="2" t="n">
        <v>0</v>
      </c>
    </row>
    <row r="680">
      <c r="A680">
        <f>HYPERLINK("https://www.walmart.com/ip/14534159426", "14534159426")</f>
        <v/>
      </c>
      <c r="B680">
        <f>HYPERLINK("https://app.optiwise.ai/catalog/itemdetails/13059601", "Aeropostale  Backpack for School, College, and Travel， Water Resistant Bookbag Black Astro")</f>
        <v/>
      </c>
      <c r="C680" t="inlineStr">
        <is>
          <t>-</t>
        </is>
      </c>
      <c r="E680" t="inlineStr">
        <is>
          <t>1AEBPK92029BKASTRO</t>
        </is>
      </c>
      <c r="F680" t="n">
        <v>0</v>
      </c>
      <c r="G680" t="inlineStr">
        <is>
          <t>Cases &amp; Bags</t>
        </is>
      </c>
      <c r="H680" t="inlineStr">
        <is>
          <t>Backpacks</t>
        </is>
      </c>
      <c r="I680" t="inlineStr">
        <is>
          <t>Aeropostale</t>
        </is>
      </c>
      <c r="L680" s="29" t="n">
        <v>0</v>
      </c>
      <c r="M680" s="30" t="n"/>
      <c r="N680" s="29" t="n">
        <v>0</v>
      </c>
      <c r="O680" s="29" t="n">
        <v>0</v>
      </c>
      <c r="P680" s="2" t="n">
        <v>0</v>
      </c>
      <c r="Q680" s="31" t="n">
        <v>0</v>
      </c>
      <c r="R680" s="32" t="n"/>
      <c r="S680" s="32" t="n">
        <v>0</v>
      </c>
      <c r="T680" s="32" t="n">
        <v>0</v>
      </c>
      <c r="U680" s="31" t="n">
        <v>0</v>
      </c>
      <c r="V680" s="32" t="n">
        <v>0</v>
      </c>
      <c r="W680" s="31" t="n">
        <v>0</v>
      </c>
      <c r="X680" s="31" t="n">
        <v>0</v>
      </c>
      <c r="Y680" s="3" t="n">
        <v>0</v>
      </c>
      <c r="Z680" s="3" t="n">
        <v>0</v>
      </c>
      <c r="AA680" s="32" t="n">
        <v>0</v>
      </c>
      <c r="AB680" s="3" t="n">
        <v>0</v>
      </c>
      <c r="AC680" s="32" t="n">
        <v>0</v>
      </c>
      <c r="AD680" s="3" t="n"/>
      <c r="AE680" s="31" t="n">
        <v>0</v>
      </c>
      <c r="AF680" s="2" t="n">
        <v>0</v>
      </c>
      <c r="AG680" s="2" t="n">
        <v>11</v>
      </c>
      <c r="AH680" s="4" t="n">
        <v>11</v>
      </c>
      <c r="AI680" s="33" t="n">
        <v>0</v>
      </c>
      <c r="AJ680" s="4" t="n">
        <v>0</v>
      </c>
      <c r="AK680" s="34" t="n"/>
      <c r="AL680" s="34" t="n">
        <v>0</v>
      </c>
      <c r="AM680" s="2" t="n">
        <v>0</v>
      </c>
    </row>
    <row r="681">
      <c r="A681">
        <f>HYPERLINK("https://www.walmart.com/ip/14534159424", "14534159424")</f>
        <v/>
      </c>
      <c r="B681">
        <f>HYPERLINK("https://app.optiwise.ai/catalog/itemdetails/13059599", "Aeropostale  Backpack for School, College, and Travel， Water Resistant Bookbag Plaid Blue")</f>
        <v/>
      </c>
      <c r="C681" t="inlineStr">
        <is>
          <t>-</t>
        </is>
      </c>
      <c r="E681" t="inlineStr">
        <is>
          <t>1AEBPK92029PBL</t>
        </is>
      </c>
      <c r="F681" t="n">
        <v>0</v>
      </c>
      <c r="G681" t="inlineStr">
        <is>
          <t>Cases &amp; Bags</t>
        </is>
      </c>
      <c r="H681" t="inlineStr">
        <is>
          <t>Backpacks</t>
        </is>
      </c>
      <c r="I681" t="inlineStr">
        <is>
          <t>Aeropostale</t>
        </is>
      </c>
      <c r="L681" s="29" t="n">
        <v>0</v>
      </c>
      <c r="M681" s="30" t="n"/>
      <c r="N681" s="29" t="n">
        <v>0</v>
      </c>
      <c r="O681" s="29" t="n">
        <v>0</v>
      </c>
      <c r="P681" s="2" t="n">
        <v>0</v>
      </c>
      <c r="Q681" s="31" t="n">
        <v>0</v>
      </c>
      <c r="R681" s="32" t="n"/>
      <c r="S681" s="32" t="n">
        <v>0</v>
      </c>
      <c r="T681" s="32" t="n">
        <v>0</v>
      </c>
      <c r="U681" s="31" t="n">
        <v>0</v>
      </c>
      <c r="V681" s="32" t="n">
        <v>0</v>
      </c>
      <c r="W681" s="31" t="n">
        <v>0</v>
      </c>
      <c r="X681" s="31" t="n">
        <v>0</v>
      </c>
      <c r="Y681" s="3" t="n">
        <v>0</v>
      </c>
      <c r="Z681" s="3" t="n">
        <v>0</v>
      </c>
      <c r="AA681" s="32" t="n">
        <v>0</v>
      </c>
      <c r="AB681" s="3" t="n">
        <v>0</v>
      </c>
      <c r="AC681" s="32" t="n">
        <v>0</v>
      </c>
      <c r="AD681" s="3" t="n"/>
      <c r="AE681" s="31" t="n">
        <v>0</v>
      </c>
      <c r="AF681" s="2" t="n">
        <v>0</v>
      </c>
      <c r="AG681" s="2" t="n">
        <v>3</v>
      </c>
      <c r="AH681" s="4" t="n">
        <v>3</v>
      </c>
      <c r="AI681" s="33" t="n">
        <v>0</v>
      </c>
      <c r="AJ681" s="4" t="n">
        <v>0</v>
      </c>
      <c r="AK681" s="34" t="n"/>
      <c r="AL681" s="34" t="n">
        <v>0</v>
      </c>
      <c r="AM681" s="2" t="n">
        <v>0</v>
      </c>
    </row>
    <row r="682">
      <c r="A682">
        <f>HYPERLINK("https://www.walmart.com/ip/14529374149", "14529374149")</f>
        <v/>
      </c>
      <c r="B682">
        <f>HYPERLINK("https://app.optiwise.ai/catalog/itemdetails/13059594", "Aeropostale  Backpack for School, College, and Travel， Water Resistant Bookbag Black")</f>
        <v/>
      </c>
      <c r="C682" t="inlineStr">
        <is>
          <t>-</t>
        </is>
      </c>
      <c r="E682" t="inlineStr">
        <is>
          <t>1AEBPK92029BK</t>
        </is>
      </c>
      <c r="F682" t="n">
        <v>0</v>
      </c>
      <c r="G682" t="inlineStr">
        <is>
          <t>Cases &amp; Bags</t>
        </is>
      </c>
      <c r="H682" t="inlineStr">
        <is>
          <t>Backpacks</t>
        </is>
      </c>
      <c r="I682" t="inlineStr">
        <is>
          <t>Aeropostale</t>
        </is>
      </c>
      <c r="L682" s="29" t="n">
        <v>0</v>
      </c>
      <c r="M682" s="30" t="n"/>
      <c r="N682" s="29" t="n">
        <v>0</v>
      </c>
      <c r="O682" s="29" t="n">
        <v>0</v>
      </c>
      <c r="P682" s="2" t="n">
        <v>0</v>
      </c>
      <c r="Q682" s="31" t="n">
        <v>0</v>
      </c>
      <c r="R682" s="32" t="n"/>
      <c r="S682" s="32" t="n">
        <v>0</v>
      </c>
      <c r="T682" s="32" t="n">
        <v>0</v>
      </c>
      <c r="U682" s="31" t="n">
        <v>0</v>
      </c>
      <c r="V682" s="32" t="n">
        <v>0</v>
      </c>
      <c r="W682" s="31" t="n">
        <v>0</v>
      </c>
      <c r="X682" s="31" t="n">
        <v>0</v>
      </c>
      <c r="Y682" s="3" t="n">
        <v>0</v>
      </c>
      <c r="Z682" s="3" t="n">
        <v>0</v>
      </c>
      <c r="AA682" s="32" t="n">
        <v>0</v>
      </c>
      <c r="AB682" s="3" t="n">
        <v>0</v>
      </c>
      <c r="AC682" s="32" t="n">
        <v>0</v>
      </c>
      <c r="AD682" s="3" t="n"/>
      <c r="AE682" s="31" t="n">
        <v>0</v>
      </c>
      <c r="AF682" s="2" t="n">
        <v>0</v>
      </c>
      <c r="AG682" s="2" t="n">
        <v>2</v>
      </c>
      <c r="AH682" s="4" t="n">
        <v>2</v>
      </c>
      <c r="AI682" s="33" t="n">
        <v>0</v>
      </c>
      <c r="AJ682" s="4" t="n">
        <v>0</v>
      </c>
      <c r="AK682" s="34" t="n"/>
      <c r="AL682" s="34" t="n">
        <v>0</v>
      </c>
      <c r="AM682" s="2" t="n">
        <v>0</v>
      </c>
    </row>
    <row r="683">
      <c r="A683">
        <f>HYPERLINK("https://www.walmart.com/ip/14503719010", "14503719010")</f>
        <v/>
      </c>
      <c r="B683">
        <f>HYPERLINK("https://app.optiwise.ai/catalog/itemdetails/13059138", "PEANUTS Womens 100% Cotton Family Matching Pajamas Holiday Festive Nightwear Sleepwear 2-Piece Sets for Christmas Gifts (Red Polka Dot, L)")</f>
        <v/>
      </c>
      <c r="C683" t="inlineStr">
        <is>
          <t>-</t>
        </is>
      </c>
      <c r="E683" t="inlineStr">
        <is>
          <t>PEA-PJS-FAMILY-WOMEN-RED-L</t>
        </is>
      </c>
      <c r="F683" t="n">
        <v>0</v>
      </c>
      <c r="G683" t="inlineStr">
        <is>
          <t>Clothing</t>
        </is>
      </c>
      <c r="H683" t="inlineStr">
        <is>
          <t>Pajamas</t>
        </is>
      </c>
      <c r="I683" t="inlineStr">
        <is>
          <t>Peanuts</t>
        </is>
      </c>
      <c r="L683" s="29" t="n">
        <v>0</v>
      </c>
      <c r="M683" s="30" t="n"/>
      <c r="N683" s="29" t="n">
        <v>0</v>
      </c>
      <c r="O683" s="29" t="n">
        <v>0</v>
      </c>
      <c r="P683" s="2" t="n">
        <v>0</v>
      </c>
      <c r="Q683" s="31" t="n">
        <v>0</v>
      </c>
      <c r="R683" s="32" t="n"/>
      <c r="S683" s="32" t="n">
        <v>0</v>
      </c>
      <c r="T683" s="32" t="n">
        <v>0</v>
      </c>
      <c r="U683" s="31" t="n">
        <v>0</v>
      </c>
      <c r="V683" s="32" t="n">
        <v>0</v>
      </c>
      <c r="W683" s="31" t="n">
        <v>0</v>
      </c>
      <c r="X683" s="31" t="n">
        <v>0</v>
      </c>
      <c r="Y683" s="3" t="n">
        <v>0</v>
      </c>
      <c r="Z683" s="3" t="n">
        <v>0</v>
      </c>
      <c r="AA683" s="32" t="n">
        <v>0</v>
      </c>
      <c r="AB683" s="3" t="n">
        <v>0</v>
      </c>
      <c r="AC683" s="32" t="n">
        <v>0</v>
      </c>
      <c r="AD683" s="3" t="n"/>
      <c r="AE683" s="31" t="n">
        <v>0</v>
      </c>
      <c r="AF683" s="2" t="n">
        <v>0</v>
      </c>
      <c r="AG683" s="2" t="n">
        <v>0</v>
      </c>
      <c r="AH683" s="4" t="n">
        <v>0</v>
      </c>
      <c r="AI683" s="33" t="n">
        <v>0</v>
      </c>
      <c r="AJ683" s="4" t="n">
        <v>0</v>
      </c>
      <c r="AK683" s="34" t="n"/>
      <c r="AL683" s="34" t="n">
        <v>0</v>
      </c>
      <c r="AM683" s="2" t="n">
        <v>0</v>
      </c>
    </row>
    <row r="684">
      <c r="A684">
        <f>HYPERLINK("https://www.walmart.com/ip/14508550385", "14508550385")</f>
        <v/>
      </c>
      <c r="B684">
        <f>HYPERLINK("https://app.optiwise.ai/catalog/itemdetails/13059139", "PEANUTS Womens 100% Cotton Family Matching Pajamas Holiday Festive Nightwear Sleepwear 2-Piece Sets for Christmas Gifts (Green Polka Dot, S)")</f>
        <v/>
      </c>
      <c r="C684" t="inlineStr">
        <is>
          <t>-</t>
        </is>
      </c>
      <c r="E684" t="inlineStr">
        <is>
          <t>PEA-PJS-FAMILY-WOMEN-GREEN-S</t>
        </is>
      </c>
      <c r="F684" t="n">
        <v>0</v>
      </c>
      <c r="G684" t="inlineStr">
        <is>
          <t>Clothing</t>
        </is>
      </c>
      <c r="H684" t="inlineStr">
        <is>
          <t>Pajamas</t>
        </is>
      </c>
      <c r="I684" t="inlineStr">
        <is>
          <t>Peanuts</t>
        </is>
      </c>
      <c r="L684" s="29" t="n">
        <v>0</v>
      </c>
      <c r="M684" s="30" t="n"/>
      <c r="N684" s="29" t="n">
        <v>0</v>
      </c>
      <c r="O684" s="29" t="n">
        <v>0</v>
      </c>
      <c r="P684" s="2" t="n">
        <v>0</v>
      </c>
      <c r="Q684" s="31" t="n">
        <v>0</v>
      </c>
      <c r="R684" s="32" t="n"/>
      <c r="S684" s="32" t="n">
        <v>0</v>
      </c>
      <c r="T684" s="32" t="n">
        <v>0</v>
      </c>
      <c r="U684" s="31" t="n">
        <v>0</v>
      </c>
      <c r="V684" s="32" t="n">
        <v>0</v>
      </c>
      <c r="W684" s="31" t="n">
        <v>0</v>
      </c>
      <c r="X684" s="31" t="n">
        <v>0</v>
      </c>
      <c r="Y684" s="3" t="n">
        <v>0</v>
      </c>
      <c r="Z684" s="3" t="n">
        <v>0</v>
      </c>
      <c r="AA684" s="32" t="n">
        <v>0</v>
      </c>
      <c r="AB684" s="3" t="n">
        <v>0</v>
      </c>
      <c r="AC684" s="32" t="n">
        <v>0</v>
      </c>
      <c r="AD684" s="3" t="n"/>
      <c r="AE684" s="31" t="n">
        <v>0</v>
      </c>
      <c r="AF684" s="2" t="n">
        <v>0</v>
      </c>
      <c r="AG684" s="2" t="n">
        <v>0</v>
      </c>
      <c r="AH684" s="4" t="n">
        <v>0</v>
      </c>
      <c r="AI684" s="33" t="n">
        <v>0</v>
      </c>
      <c r="AJ684" s="4" t="n">
        <v>0</v>
      </c>
      <c r="AK684" s="34" t="n"/>
      <c r="AL684" s="34" t="n">
        <v>0</v>
      </c>
      <c r="AM684" s="2" t="n">
        <v>0</v>
      </c>
    </row>
    <row r="685">
      <c r="A685">
        <f>HYPERLINK("https://www.walmart.com/ip/14516958875", "14516958875")</f>
        <v/>
      </c>
      <c r="B685">
        <f>HYPERLINK("https://app.optiwise.ai/catalog/itemdetails/13059140", "PEANUTS Mens' Cotton Snoopy Family Matching Pajamas 2-Piece Sets for Christmas with Woodstock Charlie Brown Linus, Gift for him (Red Plaid, XXL)")</f>
        <v/>
      </c>
      <c r="C685" t="inlineStr">
        <is>
          <t>-</t>
        </is>
      </c>
      <c r="E685" t="inlineStr">
        <is>
          <t>PEA-PJS-FAMILY-MEN-REDPLAID-2XL</t>
        </is>
      </c>
      <c r="F685" t="n">
        <v>0</v>
      </c>
      <c r="G685" t="inlineStr">
        <is>
          <t>Clothing</t>
        </is>
      </c>
      <c r="H685" t="inlineStr">
        <is>
          <t>Pajamas</t>
        </is>
      </c>
      <c r="I685" t="inlineStr">
        <is>
          <t>Peanuts</t>
        </is>
      </c>
      <c r="L685" s="29" t="n">
        <v>0</v>
      </c>
      <c r="M685" s="30" t="n"/>
      <c r="N685" s="29" t="n">
        <v>0</v>
      </c>
      <c r="O685" s="29" t="n">
        <v>0</v>
      </c>
      <c r="P685" s="2" t="n">
        <v>0</v>
      </c>
      <c r="Q685" s="31" t="n">
        <v>0</v>
      </c>
      <c r="R685" s="32" t="n"/>
      <c r="S685" s="32" t="n">
        <v>0</v>
      </c>
      <c r="T685" s="32" t="n">
        <v>0</v>
      </c>
      <c r="U685" s="31" t="n">
        <v>0</v>
      </c>
      <c r="V685" s="32" t="n">
        <v>0</v>
      </c>
      <c r="W685" s="31" t="n">
        <v>0</v>
      </c>
      <c r="X685" s="31" t="n">
        <v>0</v>
      </c>
      <c r="Y685" s="3" t="n">
        <v>0</v>
      </c>
      <c r="Z685" s="3" t="n">
        <v>0</v>
      </c>
      <c r="AA685" s="32" t="n">
        <v>0</v>
      </c>
      <c r="AB685" s="3" t="n">
        <v>0</v>
      </c>
      <c r="AC685" s="32" t="n">
        <v>0</v>
      </c>
      <c r="AD685" s="3" t="n"/>
      <c r="AE685" s="31" t="n">
        <v>0</v>
      </c>
      <c r="AF685" s="2" t="n">
        <v>0</v>
      </c>
      <c r="AG685" s="2" t="n">
        <v>0</v>
      </c>
      <c r="AH685" s="4" t="n">
        <v>0</v>
      </c>
      <c r="AI685" s="33" t="n">
        <v>0</v>
      </c>
      <c r="AJ685" s="4" t="n">
        <v>0</v>
      </c>
      <c r="AK685" s="34" t="n"/>
      <c r="AL685" s="34" t="n">
        <v>0</v>
      </c>
      <c r="AM685" s="2" t="n">
        <v>0</v>
      </c>
    </row>
    <row r="686">
      <c r="A686">
        <f>HYPERLINK("https://www.walmart.com/ip/14522704428", "14522704428")</f>
        <v/>
      </c>
      <c r="B686">
        <f>HYPERLINK("https://app.optiwise.ai/catalog/itemdetails/13059141", "PEANUTS Toddler Boys Girls Snoopy Family Matching Pajamas Sleepwear 2-Piece Sets for Christmas with Woodstock Charlie Brown Linus (Black Plaid, 2T)")</f>
        <v/>
      </c>
      <c r="C686" t="inlineStr">
        <is>
          <t>-</t>
        </is>
      </c>
      <c r="E686" t="inlineStr">
        <is>
          <t>PEA-PJS-FAMILY-TODDLER-BLACKPLAID-2T</t>
        </is>
      </c>
      <c r="F686" t="n">
        <v>0</v>
      </c>
      <c r="G686" t="inlineStr">
        <is>
          <t>Clothing</t>
        </is>
      </c>
      <c r="H686" t="inlineStr">
        <is>
          <t>Pajamas</t>
        </is>
      </c>
      <c r="I686" t="inlineStr">
        <is>
          <t>Peanuts</t>
        </is>
      </c>
      <c r="L686" s="29" t="n">
        <v>0</v>
      </c>
      <c r="M686" s="30" t="n"/>
      <c r="N686" s="29" t="n">
        <v>0</v>
      </c>
      <c r="O686" s="29" t="n">
        <v>0</v>
      </c>
      <c r="P686" s="2" t="n">
        <v>0</v>
      </c>
      <c r="Q686" s="31" t="n">
        <v>0</v>
      </c>
      <c r="R686" s="32" t="n"/>
      <c r="S686" s="32" t="n">
        <v>0</v>
      </c>
      <c r="T686" s="32" t="n">
        <v>0</v>
      </c>
      <c r="U686" s="31" t="n">
        <v>0</v>
      </c>
      <c r="V686" s="32" t="n">
        <v>0</v>
      </c>
      <c r="W686" s="31" t="n">
        <v>0</v>
      </c>
      <c r="X686" s="31" t="n">
        <v>0</v>
      </c>
      <c r="Y686" s="3" t="n">
        <v>0</v>
      </c>
      <c r="Z686" s="3" t="n">
        <v>0</v>
      </c>
      <c r="AA686" s="32" t="n">
        <v>0</v>
      </c>
      <c r="AB686" s="3" t="n">
        <v>0</v>
      </c>
      <c r="AC686" s="32" t="n">
        <v>0</v>
      </c>
      <c r="AD686" s="3" t="n"/>
      <c r="AE686" s="31" t="n">
        <v>0</v>
      </c>
      <c r="AF686" s="2" t="n">
        <v>0</v>
      </c>
      <c r="AG686" s="2" t="n">
        <v>0</v>
      </c>
      <c r="AH686" s="4" t="n">
        <v>0</v>
      </c>
      <c r="AI686" s="33" t="n">
        <v>0</v>
      </c>
      <c r="AJ686" s="4" t="n">
        <v>0</v>
      </c>
      <c r="AK686" s="34" t="n"/>
      <c r="AL686" s="34" t="n">
        <v>0</v>
      </c>
      <c r="AM686" s="2" t="n">
        <v>0</v>
      </c>
    </row>
    <row r="687">
      <c r="A687">
        <f>HYPERLINK("https://www.walmart.com/ip/14529424212", "14529424212")</f>
        <v/>
      </c>
      <c r="B687">
        <f>HYPERLINK("https://app.optiwise.ai/catalog/itemdetails/13059598", "Aeropostale  Backpack for School, College, and Travel， Water Resistant Bookbag Pink Rose")</f>
        <v/>
      </c>
      <c r="C687" t="inlineStr">
        <is>
          <t>-</t>
        </is>
      </c>
      <c r="E687" t="inlineStr">
        <is>
          <t>1AEBPK92029PKROSE</t>
        </is>
      </c>
      <c r="F687" t="n">
        <v>0</v>
      </c>
      <c r="G687" t="inlineStr">
        <is>
          <t>Cases &amp; Bags</t>
        </is>
      </c>
      <c r="H687" t="inlineStr">
        <is>
          <t>Backpacks</t>
        </is>
      </c>
      <c r="I687" t="inlineStr">
        <is>
          <t>Aeropostale</t>
        </is>
      </c>
      <c r="L687" s="29" t="n">
        <v>0</v>
      </c>
      <c r="M687" s="30" t="n"/>
      <c r="N687" s="29" t="n">
        <v>0</v>
      </c>
      <c r="O687" s="29" t="n">
        <v>0</v>
      </c>
      <c r="P687" s="2" t="n">
        <v>0</v>
      </c>
      <c r="Q687" s="31" t="n">
        <v>0</v>
      </c>
      <c r="R687" s="32" t="n"/>
      <c r="S687" s="32" t="n">
        <v>0</v>
      </c>
      <c r="T687" s="32" t="n">
        <v>0</v>
      </c>
      <c r="U687" s="31" t="n">
        <v>0</v>
      </c>
      <c r="V687" s="32" t="n">
        <v>0</v>
      </c>
      <c r="W687" s="31" t="n">
        <v>0</v>
      </c>
      <c r="X687" s="31" t="n">
        <v>0</v>
      </c>
      <c r="Y687" s="3" t="n">
        <v>0</v>
      </c>
      <c r="Z687" s="3" t="n">
        <v>0</v>
      </c>
      <c r="AA687" s="32" t="n">
        <v>0</v>
      </c>
      <c r="AB687" s="3" t="n">
        <v>0</v>
      </c>
      <c r="AC687" s="32" t="n">
        <v>0</v>
      </c>
      <c r="AD687" s="3" t="n"/>
      <c r="AE687" s="31" t="n">
        <v>0</v>
      </c>
      <c r="AF687" s="2" t="n">
        <v>0</v>
      </c>
      <c r="AG687" s="2" t="n">
        <v>0</v>
      </c>
      <c r="AH687" s="4" t="n">
        <v>0</v>
      </c>
      <c r="AI687" s="33" t="n">
        <v>0</v>
      </c>
      <c r="AJ687" s="4" t="n">
        <v>0</v>
      </c>
      <c r="AK687" s="34" t="n"/>
      <c r="AL687" s="34" t="n">
        <v>0</v>
      </c>
      <c r="AM687" s="2" t="n">
        <v>0</v>
      </c>
    </row>
    <row r="688">
      <c r="A688">
        <f>HYPERLINK("https://www.walmart.com/ip/14527764282", "14527764282")</f>
        <v/>
      </c>
      <c r="B688">
        <f>HYPERLINK("https://app.optiwise.ai/catalog/itemdetails/13059142", "PEANUTS Mens' Cotton Snoopy Family Matching Pajamas 2-Piece Sets for Christmas with Woodstock Charlie Brown Linus, Gift for him (Green Polka Dot, XXL)")</f>
        <v/>
      </c>
      <c r="C688" t="inlineStr">
        <is>
          <t>-</t>
        </is>
      </c>
      <c r="E688" t="inlineStr">
        <is>
          <t>PEA-PJS-FAMILY-MEN-GREEN-2XL</t>
        </is>
      </c>
      <c r="F688" t="n">
        <v>0</v>
      </c>
      <c r="G688" t="inlineStr">
        <is>
          <t>Clothing</t>
        </is>
      </c>
      <c r="H688" t="inlineStr">
        <is>
          <t>Pajamas</t>
        </is>
      </c>
      <c r="I688" t="inlineStr">
        <is>
          <t>Peanuts</t>
        </is>
      </c>
      <c r="L688" s="29" t="n">
        <v>0</v>
      </c>
      <c r="M688" s="30" t="n"/>
      <c r="N688" s="29" t="n">
        <v>0</v>
      </c>
      <c r="O688" s="29" t="n">
        <v>0</v>
      </c>
      <c r="P688" s="2" t="n">
        <v>0</v>
      </c>
      <c r="Q688" s="31" t="n">
        <v>0</v>
      </c>
      <c r="R688" s="32" t="n"/>
      <c r="S688" s="32" t="n">
        <v>0</v>
      </c>
      <c r="T688" s="32" t="n">
        <v>0</v>
      </c>
      <c r="U688" s="31" t="n">
        <v>0</v>
      </c>
      <c r="V688" s="32" t="n">
        <v>0</v>
      </c>
      <c r="W688" s="31" t="n">
        <v>0</v>
      </c>
      <c r="X688" s="31" t="n">
        <v>0</v>
      </c>
      <c r="Y688" s="3" t="n">
        <v>0</v>
      </c>
      <c r="Z688" s="3" t="n">
        <v>0</v>
      </c>
      <c r="AA688" s="32" t="n">
        <v>0</v>
      </c>
      <c r="AB688" s="3" t="n">
        <v>0</v>
      </c>
      <c r="AC688" s="32" t="n">
        <v>0</v>
      </c>
      <c r="AD688" s="3" t="n"/>
      <c r="AE688" s="31" t="n">
        <v>0</v>
      </c>
      <c r="AF688" s="2" t="n">
        <v>0</v>
      </c>
      <c r="AG688" s="2" t="n">
        <v>0</v>
      </c>
      <c r="AH688" s="4" t="n">
        <v>0</v>
      </c>
      <c r="AI688" s="33" t="n">
        <v>0</v>
      </c>
      <c r="AJ688" s="4" t="n">
        <v>0</v>
      </c>
      <c r="AK688" s="34" t="n"/>
      <c r="AL688" s="34" t="n">
        <v>0</v>
      </c>
      <c r="AM688" s="2" t="n">
        <v>0</v>
      </c>
    </row>
    <row r="689">
      <c r="A689">
        <f>HYPERLINK("https://www.walmart.com/ip/14546161227", "14546161227")</f>
        <v/>
      </c>
      <c r="B689">
        <f>HYPERLINK("https://app.optiwise.ai/catalog/itemdetails/13059595", "Aeropostale  Backpack for School, College, and Travel， Water Resistant Bookbag Black White")</f>
        <v/>
      </c>
      <c r="C689" t="inlineStr">
        <is>
          <t>-</t>
        </is>
      </c>
      <c r="E689" t="inlineStr">
        <is>
          <t>1AEBPK92029BKWH</t>
        </is>
      </c>
      <c r="F689" t="n">
        <v>0</v>
      </c>
      <c r="G689" t="inlineStr">
        <is>
          <t>Cases &amp; Bags</t>
        </is>
      </c>
      <c r="H689" t="inlineStr">
        <is>
          <t>Backpacks</t>
        </is>
      </c>
      <c r="I689" t="inlineStr">
        <is>
          <t>Aeropostale</t>
        </is>
      </c>
      <c r="L689" s="29" t="n">
        <v>0</v>
      </c>
      <c r="M689" s="30" t="n"/>
      <c r="N689" s="29" t="n">
        <v>0</v>
      </c>
      <c r="O689" s="29" t="n">
        <v>0</v>
      </c>
      <c r="P689" s="2" t="n">
        <v>0</v>
      </c>
      <c r="Q689" s="31" t="n">
        <v>0</v>
      </c>
      <c r="R689" s="32" t="n"/>
      <c r="S689" s="32" t="n">
        <v>0</v>
      </c>
      <c r="T689" s="32" t="n">
        <v>0</v>
      </c>
      <c r="U689" s="31" t="n">
        <v>0</v>
      </c>
      <c r="V689" s="32" t="n">
        <v>0</v>
      </c>
      <c r="W689" s="31" t="n">
        <v>0</v>
      </c>
      <c r="X689" s="31" t="n">
        <v>0</v>
      </c>
      <c r="Y689" s="3" t="n">
        <v>0</v>
      </c>
      <c r="Z689" s="3" t="n">
        <v>0</v>
      </c>
      <c r="AA689" s="32" t="n">
        <v>0</v>
      </c>
      <c r="AB689" s="3" t="n">
        <v>0</v>
      </c>
      <c r="AC689" s="32" t="n">
        <v>0</v>
      </c>
      <c r="AD689" s="3" t="n"/>
      <c r="AE689" s="31" t="n">
        <v>0</v>
      </c>
      <c r="AF689" s="2" t="n">
        <v>0</v>
      </c>
      <c r="AG689" s="2" t="n">
        <v>11</v>
      </c>
      <c r="AH689" s="4" t="n">
        <v>11</v>
      </c>
      <c r="AI689" s="33" t="n">
        <v>0</v>
      </c>
      <c r="AJ689" s="4" t="n">
        <v>0</v>
      </c>
      <c r="AK689" s="34" t="n"/>
      <c r="AL689" s="34" t="n">
        <v>0</v>
      </c>
      <c r="AM689" s="2" t="n">
        <v>0</v>
      </c>
    </row>
    <row r="690">
      <c r="A690">
        <f>HYPERLINK("https://www.walmart.com/ip/14546252468", "14546252468")</f>
        <v/>
      </c>
      <c r="B690">
        <f>HYPERLINK("https://app.optiwise.ai/catalog/itemdetails/13059596", "Aeropostale  Backpack for School, College, and Travel， Water Resistant Bookbag Black Game")</f>
        <v/>
      </c>
      <c r="C690" t="inlineStr">
        <is>
          <t>-</t>
        </is>
      </c>
      <c r="E690" t="inlineStr">
        <is>
          <t>1AEBPK92029BKGAME</t>
        </is>
      </c>
      <c r="F690" t="n">
        <v>0</v>
      </c>
      <c r="G690" t="inlineStr">
        <is>
          <t>Cases &amp; Bags</t>
        </is>
      </c>
      <c r="H690" t="inlineStr">
        <is>
          <t>Backpacks</t>
        </is>
      </c>
      <c r="I690" t="inlineStr">
        <is>
          <t>Aeropostale</t>
        </is>
      </c>
      <c r="L690" s="29" t="n">
        <v>0</v>
      </c>
      <c r="M690" s="30" t="n"/>
      <c r="N690" s="29" t="n">
        <v>0</v>
      </c>
      <c r="O690" s="29" t="n">
        <v>0</v>
      </c>
      <c r="P690" s="2" t="n">
        <v>0</v>
      </c>
      <c r="Q690" s="31" t="n">
        <v>0</v>
      </c>
      <c r="R690" s="32" t="n"/>
      <c r="S690" s="32" t="n">
        <v>0</v>
      </c>
      <c r="T690" s="32" t="n">
        <v>0</v>
      </c>
      <c r="U690" s="31" t="n">
        <v>0</v>
      </c>
      <c r="V690" s="32" t="n">
        <v>0</v>
      </c>
      <c r="W690" s="31" t="n">
        <v>0</v>
      </c>
      <c r="X690" s="31" t="n">
        <v>0</v>
      </c>
      <c r="Y690" s="3" t="n">
        <v>0</v>
      </c>
      <c r="Z690" s="3" t="n">
        <v>0</v>
      </c>
      <c r="AA690" s="32" t="n">
        <v>0</v>
      </c>
      <c r="AB690" s="3" t="n">
        <v>0</v>
      </c>
      <c r="AC690" s="32" t="n">
        <v>0</v>
      </c>
      <c r="AD690" s="3" t="n"/>
      <c r="AE690" s="31" t="n">
        <v>0</v>
      </c>
      <c r="AF690" s="2" t="n">
        <v>0</v>
      </c>
      <c r="AG690" s="2" t="n">
        <v>12</v>
      </c>
      <c r="AH690" s="4" t="n">
        <v>12</v>
      </c>
      <c r="AI690" s="33" t="n">
        <v>0</v>
      </c>
      <c r="AJ690" s="4" t="n">
        <v>0</v>
      </c>
      <c r="AK690" s="34" t="n"/>
      <c r="AL690" s="34" t="n">
        <v>0</v>
      </c>
      <c r="AM690" s="2" t="n">
        <v>0</v>
      </c>
    </row>
    <row r="691">
      <c r="A691">
        <f>HYPERLINK("https://www.walmart.com/ip/14546302305", "14546302305")</f>
        <v/>
      </c>
      <c r="B691">
        <f>HYPERLINK("https://app.optiwise.ai/catalog/itemdetails/13059597", "Aeropostale  Backpack for School, College, and Travel， Water Resistant Bookbag Brown")</f>
        <v/>
      </c>
      <c r="C691" t="inlineStr">
        <is>
          <t>-</t>
        </is>
      </c>
      <c r="E691" t="inlineStr">
        <is>
          <t>1AEBPK92029BR</t>
        </is>
      </c>
      <c r="F691" t="n">
        <v>0</v>
      </c>
      <c r="G691" t="inlineStr">
        <is>
          <t>Cases &amp; Bags</t>
        </is>
      </c>
      <c r="H691" t="inlineStr">
        <is>
          <t>Backpacks</t>
        </is>
      </c>
      <c r="I691" t="inlineStr">
        <is>
          <t>Aeropostale</t>
        </is>
      </c>
      <c r="L691" s="29" t="n">
        <v>0</v>
      </c>
      <c r="M691" s="30" t="n"/>
      <c r="N691" s="29" t="n">
        <v>0</v>
      </c>
      <c r="O691" s="29" t="n">
        <v>0</v>
      </c>
      <c r="P691" s="2" t="n">
        <v>0</v>
      </c>
      <c r="Q691" s="31" t="n">
        <v>0</v>
      </c>
      <c r="R691" s="32" t="n"/>
      <c r="S691" s="32" t="n">
        <v>0</v>
      </c>
      <c r="T691" s="32" t="n">
        <v>0</v>
      </c>
      <c r="U691" s="31" t="n">
        <v>0</v>
      </c>
      <c r="V691" s="32" t="n">
        <v>0</v>
      </c>
      <c r="W691" s="31" t="n">
        <v>0</v>
      </c>
      <c r="X691" s="31" t="n">
        <v>0</v>
      </c>
      <c r="Y691" s="3" t="n">
        <v>0</v>
      </c>
      <c r="Z691" s="3" t="n">
        <v>0</v>
      </c>
      <c r="AA691" s="32" t="n">
        <v>0</v>
      </c>
      <c r="AB691" s="3" t="n">
        <v>0</v>
      </c>
      <c r="AC691" s="32" t="n">
        <v>0</v>
      </c>
      <c r="AD691" s="3" t="n"/>
      <c r="AE691" s="31" t="n">
        <v>0</v>
      </c>
      <c r="AF691" s="2" t="n">
        <v>0</v>
      </c>
      <c r="AG691" s="2" t="n">
        <v>12</v>
      </c>
      <c r="AH691" s="4" t="n">
        <v>12</v>
      </c>
      <c r="AI691" s="33" t="n">
        <v>0</v>
      </c>
      <c r="AJ691" s="4" t="n">
        <v>0</v>
      </c>
      <c r="AK691" s="34" t="n"/>
      <c r="AL691" s="34" t="n">
        <v>0</v>
      </c>
      <c r="AM691" s="2" t="n">
        <v>0</v>
      </c>
    </row>
    <row r="692">
      <c r="A692">
        <f>HYPERLINK("https://www.walmart.com/ip/16335621485", "16335621485")</f>
        <v/>
      </c>
      <c r="B692">
        <f>HYPERLINK("https://app.optiwise.ai/catalog/itemdetails/20226544", "Catalonia Lightweight Ladies Bathrobe, Long Summer Robe with Pockets,Soft Summer Robes for Women, Kimono Gift for Her, Lilac")</f>
        <v/>
      </c>
      <c r="C692" t="n">
        <v>18</v>
      </c>
      <c r="D692" t="inlineStr">
        <is>
          <t>B78691_1684049_26C131EF3C27525D</t>
        </is>
      </c>
      <c r="E692" t="inlineStr">
        <is>
          <t>1CTRB504LL-2</t>
        </is>
      </c>
      <c r="F692" t="n">
        <v>0</v>
      </c>
      <c r="G692" t="inlineStr">
        <is>
          <t>Clothing</t>
        </is>
      </c>
      <c r="H692" t="inlineStr">
        <is>
          <t>Sleepwear Robes &amp; Bathrobes</t>
        </is>
      </c>
      <c r="I692" t="inlineStr">
        <is>
          <t>Catalonia</t>
        </is>
      </c>
      <c r="L692" s="29" t="n">
        <v>0</v>
      </c>
      <c r="M692" s="30" t="n"/>
      <c r="N692" s="29" t="n">
        <v>0</v>
      </c>
      <c r="O692" s="29" t="n">
        <v>0</v>
      </c>
      <c r="P692" s="2" t="n">
        <v>0</v>
      </c>
      <c r="Q692" s="31" t="n">
        <v>0</v>
      </c>
      <c r="R692" s="32" t="n"/>
      <c r="S692" s="32" t="n">
        <v>0</v>
      </c>
      <c r="T692" s="32" t="n">
        <v>0</v>
      </c>
      <c r="U692" s="31" t="n">
        <v>0</v>
      </c>
      <c r="V692" s="32" t="n">
        <v>0</v>
      </c>
      <c r="W692" s="31" t="n">
        <v>0</v>
      </c>
      <c r="X692" s="31" t="n">
        <v>0</v>
      </c>
      <c r="Y692" s="3" t="n">
        <v>0</v>
      </c>
      <c r="Z692" s="3" t="n">
        <v>0</v>
      </c>
      <c r="AA692" s="32" t="n">
        <v>0</v>
      </c>
      <c r="AB692" s="3" t="n">
        <v>0</v>
      </c>
      <c r="AC692" s="32" t="n">
        <v>0</v>
      </c>
      <c r="AD692" s="3" t="n"/>
      <c r="AE692" s="31" t="n">
        <v>0</v>
      </c>
      <c r="AF692" s="2" t="n">
        <v>0</v>
      </c>
      <c r="AG692" s="2" t="n">
        <v>0</v>
      </c>
      <c r="AH692" s="4" t="n">
        <v>0</v>
      </c>
      <c r="AI692" s="33" t="n">
        <v>0</v>
      </c>
      <c r="AJ692" s="4" t="n">
        <v>0</v>
      </c>
      <c r="AK692" s="34" t="n"/>
      <c r="AL692" s="34" t="n">
        <v>0</v>
      </c>
      <c r="AM692" s="2" t="n">
        <v>0</v>
      </c>
    </row>
    <row r="693">
      <c r="A693">
        <f>HYPERLINK("https://www.walmart.com/ip/889537466", "889537466")</f>
        <v/>
      </c>
      <c r="B693">
        <f>HYPERLINK("https://app.optiwise.ai/catalog/itemdetails/358734", "Flyingstar Men's Wide Brim Sun Hat for Hiking, Fishing and Safari, Adult Male, Gray")</f>
        <v/>
      </c>
      <c r="C693" t="n">
        <v>3</v>
      </c>
      <c r="D693" t="inlineStr">
        <is>
          <t>B78691_1680078_A59844ABAD4925FF</t>
        </is>
      </c>
      <c r="E693" t="inlineStr">
        <is>
          <t>1WMCH100GY</t>
        </is>
      </c>
      <c r="F693" t="n">
        <v>27</v>
      </c>
      <c r="G693" t="inlineStr">
        <is>
          <t>Clothing</t>
        </is>
      </c>
      <c r="H693" t="inlineStr">
        <is>
          <t>Hats</t>
        </is>
      </c>
      <c r="I693" t="inlineStr">
        <is>
          <t>Flyingstar</t>
        </is>
      </c>
      <c r="J693" t="n">
        <v>4.7</v>
      </c>
      <c r="K693" t="inlineStr">
        <is>
          <t>Optimized,Hats</t>
        </is>
      </c>
      <c r="L693" s="29" t="n">
        <v>-11.99</v>
      </c>
      <c r="M693" s="30" t="n">
        <v>-0.0001</v>
      </c>
      <c r="N693" s="29" t="n">
        <v>23.97999954223633</v>
      </c>
      <c r="O693" s="29" t="n">
        <v>0</v>
      </c>
      <c r="P693" s="2" t="n">
        <v>-1</v>
      </c>
      <c r="Q693" s="31" t="n">
        <v>0</v>
      </c>
      <c r="R693" s="32" t="n"/>
      <c r="S693" s="32" t="n">
        <v>0</v>
      </c>
      <c r="T693" s="32" t="n">
        <v>0.0362</v>
      </c>
      <c r="U693" s="31" t="n">
        <v>0</v>
      </c>
      <c r="V693" s="32" t="n">
        <v>0</v>
      </c>
      <c r="W693" s="31" t="n">
        <v>0</v>
      </c>
      <c r="X693" s="31" t="n">
        <v>0</v>
      </c>
      <c r="Y693" s="3" t="n">
        <v>0</v>
      </c>
      <c r="Z693" s="3" t="n">
        <v>0</v>
      </c>
      <c r="AA693" s="32" t="n">
        <v>0</v>
      </c>
      <c r="AB693" s="3" t="n">
        <v>0</v>
      </c>
      <c r="AC693" s="32" t="n">
        <v>0</v>
      </c>
      <c r="AD693" s="3" t="n"/>
      <c r="AE693" s="31" t="n">
        <v>0</v>
      </c>
      <c r="AF693" s="2" t="n">
        <v>0</v>
      </c>
      <c r="AG693" s="2" t="n">
        <v>55</v>
      </c>
      <c r="AH693" s="4" t="n">
        <v>55</v>
      </c>
      <c r="AI693" s="33" t="n">
        <v>-11.99</v>
      </c>
      <c r="AJ693" s="4" t="n">
        <v>-1</v>
      </c>
      <c r="AK693" s="34" t="n">
        <v>-0.0182</v>
      </c>
      <c r="AL693" s="34" t="n">
        <v>1</v>
      </c>
      <c r="AM693" s="2" t="n">
        <v>0</v>
      </c>
    </row>
    <row r="694">
      <c r="A694">
        <f>HYPERLINK("https://www.walmart.com/ip/970542815", "970542815")</f>
        <v/>
      </c>
      <c r="B694">
        <f>HYPERLINK("https://app.optiwise.ai/catalog/itemdetails/418915", "Sherpa Throw Blanket Snowflake Pattern, Reversible Micro Fleece TV Blanket All Season for Bed or Couch 50 x 60")</f>
        <v/>
      </c>
      <c r="C694" t="n">
        <v>3</v>
      </c>
      <c r="D694" t="inlineStr">
        <is>
          <t>B78691_1682091_75AF20124428CF1F</t>
        </is>
      </c>
      <c r="E694" t="inlineStr">
        <is>
          <t>1TRBF571XMAS-TBCB</t>
        </is>
      </c>
      <c r="F694" t="n">
        <v>2</v>
      </c>
      <c r="G694" t="inlineStr">
        <is>
          <t>Bedding</t>
        </is>
      </c>
      <c r="H694" t="inlineStr">
        <is>
          <t>Throws</t>
        </is>
      </c>
      <c r="I694" t="inlineStr">
        <is>
          <t>Tirrinia</t>
        </is>
      </c>
      <c r="J694" t="n">
        <v>3</v>
      </c>
      <c r="K694" t="inlineStr">
        <is>
          <t>Christmas</t>
        </is>
      </c>
      <c r="L694" s="29" t="n">
        <v>-25.99</v>
      </c>
      <c r="M694" s="30" t="n">
        <v>-0.0002</v>
      </c>
      <c r="N694" s="29" t="n">
        <v>25.98999977111816</v>
      </c>
      <c r="O694" s="29" t="n">
        <v>20.98999977111816</v>
      </c>
      <c r="P694" s="2" t="n">
        <v>-1</v>
      </c>
      <c r="Q694" s="31" t="n">
        <v>0</v>
      </c>
      <c r="R694" s="32" t="n"/>
      <c r="S694" s="32" t="n">
        <v>0</v>
      </c>
      <c r="T694" s="32" t="n">
        <v>0</v>
      </c>
      <c r="U694" s="31" t="n">
        <v>0</v>
      </c>
      <c r="V694" s="32" t="n">
        <v>0</v>
      </c>
      <c r="W694" s="31" t="n">
        <v>0</v>
      </c>
      <c r="X694" s="31" t="n">
        <v>0</v>
      </c>
      <c r="Y694" s="3" t="n">
        <v>0</v>
      </c>
      <c r="Z694" s="3" t="n">
        <v>0</v>
      </c>
      <c r="AA694" s="32" t="n">
        <v>0</v>
      </c>
      <c r="AB694" s="3" t="n">
        <v>0</v>
      </c>
      <c r="AC694" s="32" t="n">
        <v>0</v>
      </c>
      <c r="AD694" s="3" t="n"/>
      <c r="AE694" s="31" t="n">
        <v>0</v>
      </c>
      <c r="AF694" s="2" t="n">
        <v>0</v>
      </c>
      <c r="AG694" s="2" t="n">
        <v>7</v>
      </c>
      <c r="AH694" s="4" t="n">
        <v>7</v>
      </c>
      <c r="AI694" s="33" t="n">
        <v>-25.99</v>
      </c>
      <c r="AJ694" s="4" t="n">
        <v>-1</v>
      </c>
      <c r="AK694" s="34" t="n">
        <v>-0.1429</v>
      </c>
      <c r="AL694" s="34" t="n">
        <v>1</v>
      </c>
      <c r="AM694" s="2" t="n">
        <v>0</v>
      </c>
    </row>
    <row r="695">
      <c r="A695">
        <f>HYPERLINK("https://www.walmart.com/ip/972319326", "972319326")</f>
        <v/>
      </c>
      <c r="B695">
        <f>HYPERLINK("https://app.optiwise.ai/catalog/itemdetails/361481", "Fleece Blanket Wearable with Sleeves &amp; Foot pockets for Men and Women, Micro Plush Wrap Sleeved Throw Blanket Robe Multi-Colors 75”x53” by Catalonia")</f>
        <v/>
      </c>
      <c r="C695" t="inlineStr">
        <is>
          <t>-</t>
        </is>
      </c>
      <c r="E695" t="inlineStr">
        <is>
          <t>1CTSN101WN</t>
        </is>
      </c>
      <c r="F695" t="n">
        <v>9</v>
      </c>
      <c r="G695" t="inlineStr">
        <is>
          <t>Bedding</t>
        </is>
      </c>
      <c r="H695" t="inlineStr">
        <is>
          <t>Throws</t>
        </is>
      </c>
      <c r="I695" t="inlineStr">
        <is>
          <t>Catalonia</t>
        </is>
      </c>
      <c r="J695" t="n">
        <v>4.9</v>
      </c>
      <c r="K695" t="inlineStr">
        <is>
          <t>WFS,Coupon_Discount,WFS Item,Fleece Blankets</t>
        </is>
      </c>
      <c r="L695" s="29" t="n">
        <v>-25.99</v>
      </c>
      <c r="M695" s="30" t="n">
        <v>-0.0002</v>
      </c>
      <c r="N695" s="29" t="n">
        <v>25.98999977111816</v>
      </c>
      <c r="O695" s="29" t="n">
        <v>0</v>
      </c>
      <c r="P695" s="2" t="n">
        <v>-1</v>
      </c>
      <c r="Q695" s="31" t="n">
        <v>0</v>
      </c>
      <c r="R695" s="32" t="n"/>
      <c r="S695" s="32" t="n">
        <v>0</v>
      </c>
      <c r="T695" s="32" t="n">
        <v>0</v>
      </c>
      <c r="U695" s="31" t="n">
        <v>0</v>
      </c>
      <c r="V695" s="32" t="n">
        <v>0</v>
      </c>
      <c r="W695" s="31" t="n">
        <v>0</v>
      </c>
      <c r="X695" s="31" t="n">
        <v>0</v>
      </c>
      <c r="Y695" s="3" t="n">
        <v>0</v>
      </c>
      <c r="Z695" s="3" t="n">
        <v>0</v>
      </c>
      <c r="AA695" s="32" t="n">
        <v>0</v>
      </c>
      <c r="AB695" s="3" t="n">
        <v>0</v>
      </c>
      <c r="AC695" s="32" t="n">
        <v>0</v>
      </c>
      <c r="AD695" s="3" t="n"/>
      <c r="AE695" s="31" t="n">
        <v>0</v>
      </c>
      <c r="AF695" s="2" t="n">
        <v>19</v>
      </c>
      <c r="AG695" s="2" t="n">
        <v>54</v>
      </c>
      <c r="AH695" s="4" t="n">
        <v>54</v>
      </c>
      <c r="AI695" s="33" t="n">
        <v>-25.99</v>
      </c>
      <c r="AJ695" s="4" t="n">
        <v>-1</v>
      </c>
      <c r="AK695" s="34" t="n">
        <v>-0.0185</v>
      </c>
      <c r="AL695" s="34" t="n">
        <v>1</v>
      </c>
      <c r="AM695" s="2" t="n">
        <v>0</v>
      </c>
    </row>
    <row r="696">
      <c r="A696">
        <f>HYPERLINK("https://www.walmart.com/ip/545152348", "545152348")</f>
        <v/>
      </c>
      <c r="B696">
        <f>HYPERLINK("https://app.optiwise.ai/catalog/itemdetails/362275", "Catalonia Mermaid Tail Fleece Blanket, Mermaid Blankets for Beds, Super Soft Coral Plush Snuggle Sleeping Bag for Teen Girls, Green, 60'' x 21''")</f>
        <v/>
      </c>
      <c r="C696" t="n">
        <v>2</v>
      </c>
      <c r="D696" t="inlineStr">
        <is>
          <t>B78691_1635846_E425DFCFAB368612</t>
        </is>
      </c>
      <c r="E696" t="inlineStr">
        <is>
          <t>1CTMP100GN</t>
        </is>
      </c>
      <c r="F696" t="n">
        <v>4</v>
      </c>
      <c r="G696" t="inlineStr">
        <is>
          <t>Bedding</t>
        </is>
      </c>
      <c r="H696" t="inlineStr">
        <is>
          <t>Mermaid Tails</t>
        </is>
      </c>
      <c r="I696" t="inlineStr">
        <is>
          <t>Catalonia</t>
        </is>
      </c>
      <c r="J696" t="n">
        <v>5</v>
      </c>
      <c r="K696" t="inlineStr">
        <is>
          <t>Baby days,WFS,Coupon_Discount,WFS Item</t>
        </is>
      </c>
      <c r="L696" s="29" t="n">
        <v>-29.96</v>
      </c>
      <c r="M696" s="30" t="n">
        <v>-0.0003</v>
      </c>
      <c r="N696" s="29" t="n">
        <v>29.95999908447266</v>
      </c>
      <c r="O696" s="29" t="n">
        <v>0</v>
      </c>
      <c r="P696" s="2" t="n">
        <v>-2</v>
      </c>
      <c r="Q696" s="31" t="n">
        <v>0</v>
      </c>
      <c r="R696" s="32" t="n"/>
      <c r="S696" s="32" t="n">
        <v>0</v>
      </c>
      <c r="T696" s="32" t="n">
        <v>0.0329</v>
      </c>
      <c r="U696" s="31" t="n">
        <v>0</v>
      </c>
      <c r="V696" s="32" t="n">
        <v>0</v>
      </c>
      <c r="W696" s="31" t="n">
        <v>0</v>
      </c>
      <c r="X696" s="31" t="n">
        <v>0</v>
      </c>
      <c r="Y696" s="3" t="n">
        <v>0</v>
      </c>
      <c r="Z696" s="3" t="n">
        <v>0</v>
      </c>
      <c r="AA696" s="32" t="n">
        <v>0</v>
      </c>
      <c r="AB696" s="3" t="n">
        <v>0</v>
      </c>
      <c r="AC696" s="32" t="n">
        <v>0</v>
      </c>
      <c r="AD696" s="3" t="n"/>
      <c r="AE696" s="31" t="n">
        <v>0</v>
      </c>
      <c r="AF696" s="2" t="n">
        <v>12</v>
      </c>
      <c r="AG696" s="2" t="n">
        <v>155</v>
      </c>
      <c r="AH696" s="4" t="n">
        <v>155</v>
      </c>
      <c r="AI696" s="33" t="n">
        <v>-29.96</v>
      </c>
      <c r="AJ696" s="4" t="n">
        <v>-2</v>
      </c>
      <c r="AK696" s="34" t="n">
        <v>-0.0129</v>
      </c>
      <c r="AL696" s="34" t="n">
        <v>1</v>
      </c>
      <c r="AM696" s="2" t="n">
        <v>0</v>
      </c>
    </row>
    <row r="697">
      <c r="A697">
        <f>HYPERLINK("https://www.walmart.com/ip/326279523", "326279523")</f>
        <v/>
      </c>
      <c r="B697">
        <f>HYPERLINK("https://app.optiwise.ai/catalog/itemdetails/359126", "Catalonia 15lb Weighted Blanket for Kids Adult, Premium Heavy Blanket, 48×72, Cotton, Grey")</f>
        <v/>
      </c>
      <c r="C697" t="n">
        <v>3</v>
      </c>
      <c r="D697" t="inlineStr">
        <is>
          <t>B78691_1680677_A09944D14E2170F0</t>
        </is>
      </c>
      <c r="E697" t="inlineStr">
        <is>
          <t>1CTBG724GY-15C</t>
        </is>
      </c>
      <c r="F697" t="n">
        <v>9</v>
      </c>
      <c r="G697" t="inlineStr">
        <is>
          <t>Bedding</t>
        </is>
      </c>
      <c r="H697" t="inlineStr">
        <is>
          <t>Bed Blankets</t>
        </is>
      </c>
      <c r="I697" t="inlineStr">
        <is>
          <t>Catalonia</t>
        </is>
      </c>
      <c r="J697" t="n">
        <v>4.2</v>
      </c>
      <c r="K697" t="inlineStr">
        <is>
          <t>WFS,Valentine,WFS Item</t>
        </is>
      </c>
      <c r="L697" s="29" t="n">
        <v>-39.99</v>
      </c>
      <c r="M697" s="30" t="n">
        <v>-0.0003</v>
      </c>
      <c r="N697" s="29" t="n">
        <v>79.98000335693359</v>
      </c>
      <c r="O697" s="29" t="n">
        <v>0</v>
      </c>
      <c r="P697" s="2" t="n">
        <v>-1</v>
      </c>
      <c r="Q697" s="31" t="n">
        <v>0</v>
      </c>
      <c r="R697" s="32" t="n"/>
      <c r="S697" s="32" t="n">
        <v>0</v>
      </c>
      <c r="T697" s="32" t="n">
        <v>0</v>
      </c>
      <c r="U697" s="31" t="n">
        <v>0</v>
      </c>
      <c r="V697" s="32" t="n">
        <v>0</v>
      </c>
      <c r="W697" s="31" t="n">
        <v>0</v>
      </c>
      <c r="X697" s="31" t="n">
        <v>0</v>
      </c>
      <c r="Y697" s="3" t="n">
        <v>0</v>
      </c>
      <c r="Z697" s="3" t="n">
        <v>0</v>
      </c>
      <c r="AA697" s="32" t="n">
        <v>0</v>
      </c>
      <c r="AB697" s="3" t="n">
        <v>0</v>
      </c>
      <c r="AC697" s="32" t="n">
        <v>0</v>
      </c>
      <c r="AD697" s="3" t="n"/>
      <c r="AE697" s="31" t="n">
        <v>0</v>
      </c>
      <c r="AF697" s="2" t="n">
        <v>9</v>
      </c>
      <c r="AG697" s="2" t="n">
        <v>37</v>
      </c>
      <c r="AH697" s="4" t="n">
        <v>37</v>
      </c>
      <c r="AI697" s="33" t="n">
        <v>-39.99</v>
      </c>
      <c r="AJ697" s="4" t="n">
        <v>-1</v>
      </c>
      <c r="AK697" s="34" t="n">
        <v>-0.027</v>
      </c>
      <c r="AL697" s="34" t="n">
        <v>1</v>
      </c>
      <c r="AM697" s="2" t="n">
        <v>0</v>
      </c>
    </row>
    <row r="698">
      <c r="A698">
        <f>HYPERLINK("https://www.walmart.com/ip/113173878", "113173878")</f>
        <v/>
      </c>
      <c r="B698">
        <f>HYPERLINK("https://app.optiwise.ai/catalog/itemdetails/362208", "Target Golf Laser Rangefinder 600M Flag Seeker Ultimate Portability Binocular")</f>
        <v/>
      </c>
      <c r="C698" t="n">
        <v>1</v>
      </c>
      <c r="D698" t="inlineStr">
        <is>
          <t>B78691_1576360</t>
        </is>
      </c>
      <c r="E698" t="inlineStr">
        <is>
          <t>TARGETGRF003WT</t>
        </is>
      </c>
      <c r="F698" t="n">
        <v>1</v>
      </c>
      <c r="G698" t="inlineStr">
        <is>
          <t>Sport &amp; Recreation Other</t>
        </is>
      </c>
      <c r="H698" t="inlineStr">
        <is>
          <t>Golf Rangefinders</t>
        </is>
      </c>
      <c r="I698" t="inlineStr">
        <is>
          <t>Target</t>
        </is>
      </c>
      <c r="J698" t="n">
        <v>4</v>
      </c>
      <c r="K698" t="inlineStr">
        <is>
          <t>Optimized</t>
        </is>
      </c>
      <c r="L698" s="29" t="n">
        <v>-49.99</v>
      </c>
      <c r="M698" s="30" t="n">
        <v>-0.0004</v>
      </c>
      <c r="N698" s="29" t="n">
        <v>49.9900016784668</v>
      </c>
      <c r="O698" s="29" t="n">
        <v>0</v>
      </c>
      <c r="P698" s="2" t="n">
        <v>-1</v>
      </c>
      <c r="Q698" s="31" t="n">
        <v>0</v>
      </c>
      <c r="R698" s="32" t="n"/>
      <c r="S698" s="32" t="n">
        <v>0</v>
      </c>
      <c r="T698" s="32" t="n">
        <v>0</v>
      </c>
      <c r="U698" s="31" t="n">
        <v>0</v>
      </c>
      <c r="V698" s="32" t="n">
        <v>0</v>
      </c>
      <c r="W698" s="31" t="n">
        <v>0</v>
      </c>
      <c r="X698" s="31" t="n">
        <v>0</v>
      </c>
      <c r="Y698" s="3" t="n">
        <v>0</v>
      </c>
      <c r="Z698" s="3" t="n">
        <v>0</v>
      </c>
      <c r="AA698" s="32" t="n">
        <v>0</v>
      </c>
      <c r="AB698" s="3" t="n">
        <v>0</v>
      </c>
      <c r="AC698" s="32" t="n">
        <v>0</v>
      </c>
      <c r="AD698" s="3" t="n"/>
      <c r="AE698" s="31" t="n">
        <v>0</v>
      </c>
      <c r="AF698" s="2" t="n">
        <v>0</v>
      </c>
      <c r="AG698" s="2" t="n">
        <v>0</v>
      </c>
      <c r="AH698" s="4" t="n">
        <v>0</v>
      </c>
      <c r="AI698" s="33" t="n">
        <v>-49.99</v>
      </c>
      <c r="AJ698" s="4" t="n">
        <v>-1</v>
      </c>
      <c r="AK698" s="34" t="n"/>
      <c r="AL698" s="34" t="n">
        <v>1</v>
      </c>
      <c r="AM698" s="2" t="n">
        <v>0</v>
      </c>
    </row>
  </sheetData>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R306"/>
  <sheetViews>
    <sheetView workbookViewId="0">
      <pane xSplit="1" ySplit="3" topLeftCell="B4" activePane="bottomRight" state="frozen"/>
      <selection pane="topRight" activeCell="A1" sqref="A1"/>
      <selection pane="bottomLeft" activeCell="A1" sqref="A1"/>
      <selection pane="bottomRight" activeCell="O28" sqref="O28"/>
    </sheetView>
  </sheetViews>
  <sheetFormatPr baseColWidth="10" defaultColWidth="8.83203125" defaultRowHeight="15"/>
  <sheetData>
    <row r="1">
      <c r="A1" s="9" t="inlineStr">
        <is>
          <t>01/01/2025 - 05/15/2025 (135 days)</t>
        </is>
      </c>
      <c r="B1" s="8" t="n"/>
      <c r="C1" s="7" t="n"/>
      <c r="E1" s="8" t="n"/>
      <c r="F1" s="7" t="n"/>
      <c r="G1" s="7" t="n"/>
      <c r="H1" s="8" t="n"/>
      <c r="I1" s="7" t="n"/>
      <c r="J1" s="8" t="n"/>
      <c r="K1" s="8" t="n"/>
      <c r="L1" s="35" t="n"/>
      <c r="M1" s="35" t="n"/>
      <c r="N1" s="7" t="n"/>
      <c r="O1" s="35" t="n"/>
    </row>
    <row r="2">
      <c r="B2" s="36">
        <f>SUBTOTAL(9, B3:B306)</f>
        <v/>
      </c>
      <c r="D2" s="37">
        <f>SUBTOTAL(9, D3:D306)</f>
        <v/>
      </c>
      <c r="E2" s="38">
        <f>SUBTOTAL(9, E3:E306)</f>
        <v/>
      </c>
      <c r="G2" s="39">
        <f>E2/B2</f>
        <v/>
      </c>
      <c r="H2" s="38">
        <f>J2/E2</f>
        <v/>
      </c>
      <c r="I2" s="39">
        <f>E2/J2</f>
        <v/>
      </c>
      <c r="J2" s="38">
        <f>SUBTOTAL(9, J3:J306)</f>
        <v/>
      </c>
      <c r="K2" s="38">
        <f>SUBTOTAL(9, K3:K306)</f>
        <v/>
      </c>
      <c r="L2" s="40">
        <f>SUBTOTAL(9, L3:L306)</f>
        <v/>
      </c>
      <c r="M2" s="40">
        <f>SUBTOTAL(9, M3:M306)</f>
        <v/>
      </c>
      <c r="N2" s="39">
        <f>M2/L2</f>
        <v/>
      </c>
      <c r="O2" s="40">
        <f>SUBTOTAL(9, O3:O306)</f>
        <v/>
      </c>
      <c r="P2" s="37">
        <f>SUBTOTAL(9, P3:P306)</f>
        <v/>
      </c>
      <c r="Q2" s="37">
        <f>SUBTOTAL(9, Q3:Q306)</f>
        <v/>
      </c>
    </row>
    <row r="3" ht="48" customHeight="1">
      <c r="A3" s="6" t="inlineStr">
        <is>
          <t>Tag</t>
        </is>
      </c>
      <c r="B3" s="41" t="inlineStr">
        <is>
          <t>Total Net Sales</t>
        </is>
      </c>
      <c r="C3" s="42" t="inlineStr">
        <is>
          <t>Share of Sales</t>
        </is>
      </c>
      <c r="D3" s="6" t="inlineStr">
        <is>
          <t>Total Net Unit Sold</t>
        </is>
      </c>
      <c r="E3" s="41" t="inlineStr">
        <is>
          <t>Ad Spend</t>
        </is>
      </c>
      <c r="F3" s="42" t="inlineStr">
        <is>
          <t>Share of Ad Spend</t>
        </is>
      </c>
      <c r="G3" s="42" t="inlineStr">
        <is>
          <t>TACOS</t>
        </is>
      </c>
      <c r="H3" s="41" t="inlineStr">
        <is>
          <t>ROAS</t>
        </is>
      </c>
      <c r="I3" s="42" t="inlineStr">
        <is>
          <t>ACOS</t>
        </is>
      </c>
      <c r="J3" s="41" t="inlineStr">
        <is>
          <t>Ad Sales</t>
        </is>
      </c>
      <c r="K3" s="41" t="inlineStr">
        <is>
          <t>Ad SKU Sales</t>
        </is>
      </c>
      <c r="L3" s="43" t="inlineStr">
        <is>
          <t>Ad Impressions</t>
        </is>
      </c>
      <c r="M3" s="43" t="inlineStr">
        <is>
          <t>Ad Clicks</t>
        </is>
      </c>
      <c r="N3" s="42" t="inlineStr">
        <is>
          <t>CTR</t>
        </is>
      </c>
      <c r="O3" s="43" t="inlineStr">
        <is>
          <t>Ad Units Sold</t>
        </is>
      </c>
      <c r="P3" s="6" t="inlineStr">
        <is>
          <t>Walmart Item Page Views</t>
        </is>
      </c>
      <c r="Q3" s="6" t="inlineStr">
        <is>
          <t>EBC Page Views</t>
        </is>
      </c>
      <c r="R3" s="6" t="inlineStr">
        <is>
          <t>Count of Item IDs</t>
        </is>
      </c>
    </row>
    <row r="4">
      <c r="A4" t="inlineStr">
        <is>
          <t>No Tags</t>
        </is>
      </c>
      <c r="B4" s="29" t="n">
        <v>9339.989999999991</v>
      </c>
      <c r="C4" s="30" t="n">
        <v>0.0806</v>
      </c>
      <c r="D4" s="2" t="n">
        <v>379</v>
      </c>
      <c r="E4" s="31" t="n">
        <v>442.74</v>
      </c>
      <c r="F4" s="32" t="n">
        <v>0.0531</v>
      </c>
      <c r="G4" s="32" t="n">
        <v>0.0474</v>
      </c>
      <c r="H4" s="31" t="n">
        <v>3.28</v>
      </c>
      <c r="I4" s="32" t="n">
        <v>0.31</v>
      </c>
      <c r="J4" s="31" t="n">
        <v>1451.14</v>
      </c>
      <c r="K4" s="31" t="n">
        <v>1273.21</v>
      </c>
      <c r="L4" s="44" t="n">
        <v>416385</v>
      </c>
      <c r="M4" s="44" t="n">
        <v>1078</v>
      </c>
      <c r="N4" s="32" t="n">
        <v>0.0026</v>
      </c>
      <c r="O4" s="44" t="n">
        <v>67</v>
      </c>
      <c r="P4" s="2" t="n">
        <v>1347</v>
      </c>
      <c r="Q4" s="2" t="n">
        <v>10692</v>
      </c>
      <c r="R4" s="2" t="n">
        <v>597</v>
      </c>
    </row>
    <row r="5">
      <c r="A5" t="inlineStr">
        <is>
          <t>Q2-Target,Brand Camp VD,Lunch Bag,WFS,Lunch Bags,SEM,Wal-Exl-Price,WFS Item,AMZ Bestsellers</t>
        </is>
      </c>
      <c r="B5" s="29" t="n">
        <v>9081.34</v>
      </c>
      <c r="C5" s="30" t="n">
        <v>0.07829999999999999</v>
      </c>
      <c r="D5" s="2" t="n">
        <v>785</v>
      </c>
      <c r="E5" s="31" t="n">
        <v>0</v>
      </c>
      <c r="F5" s="32" t="n">
        <v>0</v>
      </c>
      <c r="G5" s="32" t="n">
        <v>0</v>
      </c>
      <c r="H5" s="31" t="n">
        <v>0</v>
      </c>
      <c r="I5" s="32" t="n">
        <v>0</v>
      </c>
      <c r="J5" s="31" t="n">
        <v>0</v>
      </c>
      <c r="K5" s="31" t="n">
        <v>0</v>
      </c>
      <c r="L5" s="44" t="n">
        <v>0</v>
      </c>
      <c r="M5" s="44" t="n">
        <v>0</v>
      </c>
      <c r="N5" s="32" t="n">
        <v>0</v>
      </c>
      <c r="O5" s="44" t="n">
        <v>0</v>
      </c>
      <c r="P5" s="2" t="n">
        <v>23727</v>
      </c>
      <c r="Q5" s="2" t="n">
        <v>3392</v>
      </c>
      <c r="R5" s="2" t="n">
        <v>1</v>
      </c>
    </row>
    <row r="6">
      <c r="A6" t="inlineStr">
        <is>
          <t>Belts</t>
        </is>
      </c>
      <c r="B6" s="29" t="n">
        <v>6864.830000000001</v>
      </c>
      <c r="C6" s="30" t="n">
        <v>0.0592</v>
      </c>
      <c r="D6" s="2" t="n">
        <v>341</v>
      </c>
      <c r="E6" s="31" t="n">
        <v>542.86</v>
      </c>
      <c r="F6" s="32" t="n">
        <v>0.06510000000000001</v>
      </c>
      <c r="G6" s="32" t="n">
        <v>0.0791</v>
      </c>
      <c r="H6" s="31" t="n">
        <v>5.14</v>
      </c>
      <c r="I6" s="32" t="n">
        <v>0.19</v>
      </c>
      <c r="J6" s="31" t="n">
        <v>2788.6</v>
      </c>
      <c r="K6" s="31" t="n">
        <v>2668.66</v>
      </c>
      <c r="L6" s="44" t="n">
        <v>112147</v>
      </c>
      <c r="M6" s="44" t="n">
        <v>1226</v>
      </c>
      <c r="N6" s="32" t="n">
        <v>0.0109</v>
      </c>
      <c r="O6" s="44" t="n">
        <v>140</v>
      </c>
      <c r="P6" s="2" t="n">
        <v>1043</v>
      </c>
      <c r="Q6" s="2" t="n">
        <v>3082</v>
      </c>
      <c r="R6" s="2" t="n">
        <v>41</v>
      </c>
    </row>
    <row r="7">
      <c r="A7" t="inlineStr">
        <is>
          <t>Batch 1 - TR</t>
        </is>
      </c>
      <c r="B7" s="29" t="n">
        <v>4142.82</v>
      </c>
      <c r="C7" s="30" t="n">
        <v>0.0357</v>
      </c>
      <c r="D7" s="2" t="n">
        <v>247</v>
      </c>
      <c r="E7" s="31" t="n">
        <v>297.7400000000001</v>
      </c>
      <c r="F7" s="32" t="n">
        <v>0.0357</v>
      </c>
      <c r="G7" s="32" t="n">
        <v>0.07190000000000001</v>
      </c>
      <c r="H7" s="31" t="n">
        <v>2.75</v>
      </c>
      <c r="I7" s="32" t="n">
        <v>0.36</v>
      </c>
      <c r="J7" s="31" t="n">
        <v>818.59</v>
      </c>
      <c r="K7" s="31" t="n">
        <v>800.6</v>
      </c>
      <c r="L7" s="44" t="n">
        <v>231791</v>
      </c>
      <c r="M7" s="44" t="n">
        <v>706</v>
      </c>
      <c r="N7" s="32" t="n">
        <v>0.003</v>
      </c>
      <c r="O7" s="44" t="n">
        <v>41</v>
      </c>
      <c r="P7" s="2" t="n">
        <v>1510</v>
      </c>
      <c r="Q7" s="2" t="n">
        <v>3971</v>
      </c>
      <c r="R7" s="2" t="n">
        <v>273</v>
      </c>
    </row>
    <row r="8">
      <c r="A8" t="inlineStr">
        <is>
          <t>Q2-Target,Brand Camp VD,Lunch Bag,WFS,Lunch Bags,SEM,WFS Item</t>
        </is>
      </c>
      <c r="B8" s="29" t="n">
        <v>3998.09</v>
      </c>
      <c r="C8" s="30" t="n">
        <v>0.0345</v>
      </c>
      <c r="D8" s="2" t="n">
        <v>267</v>
      </c>
      <c r="E8" s="31" t="n">
        <v>0</v>
      </c>
      <c r="F8" s="32" t="n">
        <v>0</v>
      </c>
      <c r="G8" s="32" t="n">
        <v>0</v>
      </c>
      <c r="H8" s="31" t="n">
        <v>0</v>
      </c>
      <c r="I8" s="32" t="n">
        <v>0</v>
      </c>
      <c r="J8" s="31" t="n">
        <v>0</v>
      </c>
      <c r="K8" s="31" t="n">
        <v>0</v>
      </c>
      <c r="L8" s="44" t="n">
        <v>0</v>
      </c>
      <c r="M8" s="44" t="n">
        <v>0</v>
      </c>
      <c r="N8" s="32" t="n">
        <v>0</v>
      </c>
      <c r="O8" s="44" t="n">
        <v>0</v>
      </c>
      <c r="P8" s="2" t="n">
        <v>7486</v>
      </c>
      <c r="Q8" s="2" t="n">
        <v>2950</v>
      </c>
      <c r="R8" s="2" t="n">
        <v>14</v>
      </c>
    </row>
    <row r="9">
      <c r="A9" t="inlineStr">
        <is>
          <t>Q2-Target,Optimized</t>
        </is>
      </c>
      <c r="B9" s="29" t="n">
        <v>3484.39</v>
      </c>
      <c r="C9" s="30" t="n">
        <v>0.0301</v>
      </c>
      <c r="D9" s="2" t="n">
        <v>145</v>
      </c>
      <c r="E9" s="31" t="n">
        <v>258.9599999999999</v>
      </c>
      <c r="F9" s="32" t="n">
        <v>0.0311</v>
      </c>
      <c r="G9" s="32" t="n">
        <v>0.0743</v>
      </c>
      <c r="H9" s="31" t="n">
        <v>5.6</v>
      </c>
      <c r="I9" s="32" t="n">
        <v>0.18</v>
      </c>
      <c r="J9" s="31" t="n">
        <v>1449.35</v>
      </c>
      <c r="K9" s="31" t="n">
        <v>1409.37</v>
      </c>
      <c r="L9" s="44" t="n">
        <v>204259</v>
      </c>
      <c r="M9" s="44" t="n">
        <v>787</v>
      </c>
      <c r="N9" s="32" t="n">
        <v>0.0039</v>
      </c>
      <c r="O9" s="44" t="n">
        <v>65</v>
      </c>
      <c r="P9" s="2" t="n">
        <v>1550</v>
      </c>
      <c r="Q9" s="2" t="n">
        <v>1521</v>
      </c>
      <c r="R9" s="2" t="n">
        <v>18</v>
      </c>
    </row>
    <row r="10">
      <c r="A10" t="inlineStr">
        <is>
          <t>Q2-Target,Batch 1 - TR</t>
        </is>
      </c>
      <c r="B10" s="29" t="n">
        <v>3042.7</v>
      </c>
      <c r="C10" s="30" t="n">
        <v>0.0262</v>
      </c>
      <c r="D10" s="2" t="n">
        <v>146</v>
      </c>
      <c r="E10" s="31" t="n">
        <v>491.56</v>
      </c>
      <c r="F10" s="32" t="n">
        <v>0.0589</v>
      </c>
      <c r="G10" s="32" t="n">
        <v>0.1616</v>
      </c>
      <c r="H10" s="31" t="n">
        <v>3.58</v>
      </c>
      <c r="I10" s="32" t="n">
        <v>0.28</v>
      </c>
      <c r="J10" s="31" t="n">
        <v>1760.14</v>
      </c>
      <c r="K10" s="31" t="n">
        <v>1630.19</v>
      </c>
      <c r="L10" s="44" t="n">
        <v>416122</v>
      </c>
      <c r="M10" s="44" t="n">
        <v>1253</v>
      </c>
      <c r="N10" s="32" t="n">
        <v>0.003</v>
      </c>
      <c r="O10" s="44" t="n">
        <v>86</v>
      </c>
      <c r="P10" s="2" t="n">
        <v>1676</v>
      </c>
      <c r="Q10" s="2" t="n">
        <v>1826</v>
      </c>
      <c r="R10" s="2" t="n">
        <v>22</v>
      </c>
    </row>
    <row r="11">
      <c r="A11" t="inlineStr">
        <is>
          <t>WFS,WFS Item</t>
        </is>
      </c>
      <c r="B11" s="29" t="n">
        <v>3011.63</v>
      </c>
      <c r="C11" s="30" t="n">
        <v>0.026</v>
      </c>
      <c r="D11" s="2" t="n">
        <v>126</v>
      </c>
      <c r="E11" s="31" t="n">
        <v>316.1700000000001</v>
      </c>
      <c r="F11" s="32" t="n">
        <v>0.0379</v>
      </c>
      <c r="G11" s="32" t="n">
        <v>0.105</v>
      </c>
      <c r="H11" s="31" t="n">
        <v>2.97</v>
      </c>
      <c r="I11" s="32" t="n">
        <v>0.34</v>
      </c>
      <c r="J11" s="31" t="n">
        <v>940.5600000000001</v>
      </c>
      <c r="K11" s="31" t="n">
        <v>758.6500000000001</v>
      </c>
      <c r="L11" s="44" t="n">
        <v>329463</v>
      </c>
      <c r="M11" s="44" t="n">
        <v>820</v>
      </c>
      <c r="N11" s="32" t="n">
        <v>0.0025</v>
      </c>
      <c r="O11" s="44" t="n">
        <v>43</v>
      </c>
      <c r="P11" s="2" t="n">
        <v>3208</v>
      </c>
      <c r="Q11" s="2" t="n">
        <v>4104</v>
      </c>
      <c r="R11" s="2" t="n">
        <v>95</v>
      </c>
    </row>
    <row r="12">
      <c r="A12" t="inlineStr">
        <is>
          <t>Q2-Target</t>
        </is>
      </c>
      <c r="B12" s="29" t="n">
        <v>2938.32</v>
      </c>
      <c r="C12" s="30" t="n">
        <v>0.0253</v>
      </c>
      <c r="D12" s="2" t="n">
        <v>122</v>
      </c>
      <c r="E12" s="31" t="n">
        <v>201.45</v>
      </c>
      <c r="F12" s="32" t="n">
        <v>0.0242</v>
      </c>
      <c r="G12" s="32" t="n">
        <v>0.06859999999999999</v>
      </c>
      <c r="H12" s="31" t="n">
        <v>2.89</v>
      </c>
      <c r="I12" s="32" t="n">
        <v>0.35</v>
      </c>
      <c r="J12" s="31" t="n">
        <v>582.8100000000001</v>
      </c>
      <c r="K12" s="31" t="n">
        <v>582.8100000000001</v>
      </c>
      <c r="L12" s="44" t="n">
        <v>263884</v>
      </c>
      <c r="M12" s="44" t="n">
        <v>532</v>
      </c>
      <c r="N12" s="32" t="n">
        <v>0.002</v>
      </c>
      <c r="O12" s="44" t="n">
        <v>19</v>
      </c>
      <c r="P12" s="2" t="n">
        <v>1660</v>
      </c>
      <c r="Q12" s="2" t="n">
        <v>2232</v>
      </c>
      <c r="R12" s="2" t="n">
        <v>31</v>
      </c>
    </row>
    <row r="13">
      <c r="A13" t="inlineStr">
        <is>
          <t>Hero 5 Holidays,WFS,WFS Item</t>
        </is>
      </c>
      <c r="B13" s="29" t="n">
        <v>2364.03</v>
      </c>
      <c r="C13" s="30" t="n">
        <v>0.0204</v>
      </c>
      <c r="D13" s="2" t="n">
        <v>100</v>
      </c>
      <c r="E13" s="31" t="n">
        <v>324.8099999999999</v>
      </c>
      <c r="F13" s="32" t="n">
        <v>0.0389</v>
      </c>
      <c r="G13" s="32" t="n">
        <v>0.1374</v>
      </c>
      <c r="H13" s="31" t="n">
        <v>2.09</v>
      </c>
      <c r="I13" s="32" t="n">
        <v>0.48</v>
      </c>
      <c r="J13" s="31" t="n">
        <v>679.75</v>
      </c>
      <c r="K13" s="31" t="n">
        <v>540.79</v>
      </c>
      <c r="L13" s="44" t="n">
        <v>371188</v>
      </c>
      <c r="M13" s="44" t="n">
        <v>897</v>
      </c>
      <c r="N13" s="32" t="n">
        <v>0.0024</v>
      </c>
      <c r="O13" s="44" t="n">
        <v>25</v>
      </c>
      <c r="P13" s="2" t="n">
        <v>4497</v>
      </c>
      <c r="Q13" s="2" t="n">
        <v>1096</v>
      </c>
      <c r="R13" s="2" t="n">
        <v>9</v>
      </c>
    </row>
    <row r="14">
      <c r="A14" t="inlineStr">
        <is>
          <t>Optimized</t>
        </is>
      </c>
      <c r="B14" s="29" t="n">
        <v>2080.58</v>
      </c>
      <c r="C14" s="30" t="n">
        <v>0.0179</v>
      </c>
      <c r="D14" s="2" t="n">
        <v>110</v>
      </c>
      <c r="E14" s="31" t="n">
        <v>238.78</v>
      </c>
      <c r="F14" s="32" t="n">
        <v>0.0286</v>
      </c>
      <c r="G14" s="32" t="n">
        <v>0.1148</v>
      </c>
      <c r="H14" s="31" t="n">
        <v>3.9</v>
      </c>
      <c r="I14" s="32" t="n">
        <v>0.26</v>
      </c>
      <c r="J14" s="31" t="n">
        <v>930.6500000000001</v>
      </c>
      <c r="K14" s="31" t="n">
        <v>804.6900000000001</v>
      </c>
      <c r="L14" s="44" t="n">
        <v>240847</v>
      </c>
      <c r="M14" s="44" t="n">
        <v>672</v>
      </c>
      <c r="N14" s="32" t="n">
        <v>0.0028</v>
      </c>
      <c r="O14" s="44" t="n">
        <v>35</v>
      </c>
      <c r="P14" s="2" t="n">
        <v>741</v>
      </c>
      <c r="Q14" s="2" t="n">
        <v>3159</v>
      </c>
      <c r="R14" s="2" t="n">
        <v>271</v>
      </c>
    </row>
    <row r="15">
      <c r="A15" t="inlineStr">
        <is>
          <t>Q2-Target,Baby days,Optimized,WFS,WFS Item</t>
        </is>
      </c>
      <c r="B15" s="29" t="n">
        <v>2049.84</v>
      </c>
      <c r="C15" s="30" t="n">
        <v>0.0177</v>
      </c>
      <c r="D15" s="2" t="n">
        <v>114</v>
      </c>
      <c r="E15" s="31" t="n">
        <v>317.15</v>
      </c>
      <c r="F15" s="32" t="n">
        <v>0.038</v>
      </c>
      <c r="G15" s="32" t="n">
        <v>0.1547</v>
      </c>
      <c r="H15" s="31" t="n">
        <v>4.35</v>
      </c>
      <c r="I15" s="32" t="n">
        <v>0.23</v>
      </c>
      <c r="J15" s="31" t="n">
        <v>1378.23</v>
      </c>
      <c r="K15" s="31" t="n">
        <v>1358.24</v>
      </c>
      <c r="L15" s="44" t="n">
        <v>282817</v>
      </c>
      <c r="M15" s="44" t="n">
        <v>875</v>
      </c>
      <c r="N15" s="32" t="n">
        <v>0.0031</v>
      </c>
      <c r="O15" s="44" t="n">
        <v>77</v>
      </c>
      <c r="P15" s="2" t="n">
        <v>1464</v>
      </c>
      <c r="Q15" s="2" t="n">
        <v>680</v>
      </c>
      <c r="R15" s="2" t="n">
        <v>3</v>
      </c>
    </row>
    <row r="16">
      <c r="A16" t="inlineStr">
        <is>
          <t>Q2-Target,Optimized,WFS,WFS Item</t>
        </is>
      </c>
      <c r="B16" s="29" t="n">
        <v>1708.49</v>
      </c>
      <c r="C16" s="30" t="n">
        <v>0.0147</v>
      </c>
      <c r="D16" s="2" t="n">
        <v>51</v>
      </c>
      <c r="E16" s="31" t="n">
        <v>227.25</v>
      </c>
      <c r="F16" s="32" t="n">
        <v>0.0272</v>
      </c>
      <c r="G16" s="32" t="n">
        <v>0.133</v>
      </c>
      <c r="H16" s="31" t="n">
        <v>3.87</v>
      </c>
      <c r="I16" s="32" t="n">
        <v>0.26</v>
      </c>
      <c r="J16" s="31" t="n">
        <v>878.72</v>
      </c>
      <c r="K16" s="31" t="n">
        <v>846.74</v>
      </c>
      <c r="L16" s="44" t="n">
        <v>300034</v>
      </c>
      <c r="M16" s="44" t="n">
        <v>605</v>
      </c>
      <c r="N16" s="32" t="n">
        <v>0.002</v>
      </c>
      <c r="O16" s="44" t="n">
        <v>28</v>
      </c>
      <c r="P16" s="2" t="n">
        <v>532</v>
      </c>
      <c r="Q16" s="2" t="n">
        <v>673</v>
      </c>
      <c r="R16" s="2" t="n">
        <v>8</v>
      </c>
    </row>
    <row r="17">
      <c r="A17" t="inlineStr">
        <is>
          <t>Q2-Target,WFS,Hats,WFS Item</t>
        </is>
      </c>
      <c r="B17" s="29" t="n">
        <v>1673.54</v>
      </c>
      <c r="C17" s="30" t="n">
        <v>0.0144</v>
      </c>
      <c r="D17" s="2" t="n">
        <v>94</v>
      </c>
      <c r="E17" s="31" t="n">
        <v>311.3000000000001</v>
      </c>
      <c r="F17" s="32" t="n">
        <v>0.0373</v>
      </c>
      <c r="G17" s="32" t="n">
        <v>0.186</v>
      </c>
      <c r="H17" s="31" t="n">
        <v>3.09</v>
      </c>
      <c r="I17" s="32" t="n">
        <v>0.32</v>
      </c>
      <c r="J17" s="31" t="n">
        <v>962.3200000000002</v>
      </c>
      <c r="K17" s="31" t="n">
        <v>883.3700000000001</v>
      </c>
      <c r="L17" s="44" t="n">
        <v>716280</v>
      </c>
      <c r="M17" s="44" t="n">
        <v>1157</v>
      </c>
      <c r="N17" s="32" t="n">
        <v>0.0016</v>
      </c>
      <c r="O17" s="44" t="n">
        <v>57</v>
      </c>
      <c r="P17" s="2" t="n">
        <v>1189</v>
      </c>
      <c r="Q17" s="2" t="n">
        <v>1291</v>
      </c>
      <c r="R17" s="2" t="n">
        <v>9</v>
      </c>
    </row>
    <row r="18">
      <c r="A18" t="inlineStr">
        <is>
          <t>Wproof Blanket,Batch 1 - TR</t>
        </is>
      </c>
      <c r="B18" s="29" t="n">
        <v>1659.61</v>
      </c>
      <c r="C18" s="30" t="n">
        <v>0.0143</v>
      </c>
      <c r="D18" s="2" t="n">
        <v>39</v>
      </c>
      <c r="E18" s="31" t="n">
        <v>86.07000000000001</v>
      </c>
      <c r="F18" s="32" t="n">
        <v>0.0103</v>
      </c>
      <c r="G18" s="32" t="n">
        <v>0.0519</v>
      </c>
      <c r="H18" s="31" t="n">
        <v>5.85</v>
      </c>
      <c r="I18" s="32" t="n">
        <v>0.17</v>
      </c>
      <c r="J18" s="31" t="n">
        <v>503.89</v>
      </c>
      <c r="K18" s="31" t="n">
        <v>473.9</v>
      </c>
      <c r="L18" s="44" t="n">
        <v>193215</v>
      </c>
      <c r="M18" s="44" t="n">
        <v>206</v>
      </c>
      <c r="N18" s="32" t="n">
        <v>0.0011</v>
      </c>
      <c r="O18" s="44" t="n">
        <v>11</v>
      </c>
      <c r="P18" s="2" t="n">
        <v>481</v>
      </c>
      <c r="Q18" s="2" t="n">
        <v>1286</v>
      </c>
      <c r="R18" s="2" t="n">
        <v>7</v>
      </c>
    </row>
    <row r="19">
      <c r="A19" t="inlineStr">
        <is>
          <t>Q2-Target,WFS,Coupon_Discount,WFS Item</t>
        </is>
      </c>
      <c r="B19" s="29" t="n">
        <v>1595.1</v>
      </c>
      <c r="C19" s="30" t="n">
        <v>0.0138</v>
      </c>
      <c r="D19" s="2" t="n">
        <v>72</v>
      </c>
      <c r="E19" s="31" t="n">
        <v>239.8700000000001</v>
      </c>
      <c r="F19" s="32" t="n">
        <v>0.0288</v>
      </c>
      <c r="G19" s="32" t="n">
        <v>0.1504</v>
      </c>
      <c r="H19" s="31" t="n">
        <v>1.94</v>
      </c>
      <c r="I19" s="32" t="n">
        <v>0.52</v>
      </c>
      <c r="J19" s="31" t="n">
        <v>464.7699999999999</v>
      </c>
      <c r="K19" s="31" t="n">
        <v>447.78</v>
      </c>
      <c r="L19" s="44" t="n">
        <v>393762</v>
      </c>
      <c r="M19" s="44" t="n">
        <v>670</v>
      </c>
      <c r="N19" s="32" t="n">
        <v>0.0017</v>
      </c>
      <c r="O19" s="44" t="n">
        <v>23</v>
      </c>
      <c r="P19" s="2" t="n">
        <v>1317</v>
      </c>
      <c r="Q19" s="2" t="n">
        <v>2136</v>
      </c>
      <c r="R19" s="2" t="n">
        <v>35</v>
      </c>
    </row>
    <row r="20">
      <c r="A20" t="inlineStr">
        <is>
          <t>Q2-Target,Lunch Bag,Optimized,Lunch Bags,SEM</t>
        </is>
      </c>
      <c r="B20" s="29" t="n">
        <v>1391.74</v>
      </c>
      <c r="C20" s="30" t="n">
        <v>0.012</v>
      </c>
      <c r="D20" s="2" t="n">
        <v>125</v>
      </c>
      <c r="E20" s="31" t="n">
        <v>0</v>
      </c>
      <c r="F20" s="32" t="n">
        <v>0</v>
      </c>
      <c r="G20" s="32" t="n">
        <v>0</v>
      </c>
      <c r="H20" s="31" t="n">
        <v>0</v>
      </c>
      <c r="I20" s="32" t="n">
        <v>0</v>
      </c>
      <c r="J20" s="31" t="n">
        <v>0</v>
      </c>
      <c r="K20" s="31" t="n">
        <v>0</v>
      </c>
      <c r="L20" s="44" t="n">
        <v>0</v>
      </c>
      <c r="M20" s="44" t="n">
        <v>0</v>
      </c>
      <c r="N20" s="32" t="n">
        <v>0</v>
      </c>
      <c r="O20" s="44" t="n">
        <v>0</v>
      </c>
      <c r="P20" s="2" t="n">
        <v>5047</v>
      </c>
      <c r="Q20" s="2" t="n">
        <v>1040</v>
      </c>
      <c r="R20" s="2" t="n">
        <v>4</v>
      </c>
    </row>
    <row r="21">
      <c r="A21" t="inlineStr">
        <is>
          <t>Q2-Target,Brand Camp VD,Lunch Bag,Optimized,WFS,Lunch Bags,SEM,Wal-Exl-Price,WFS Item</t>
        </is>
      </c>
      <c r="B21" s="29" t="n">
        <v>1348.4</v>
      </c>
      <c r="C21" s="30" t="n">
        <v>0.0116</v>
      </c>
      <c r="D21" s="2" t="n">
        <v>107</v>
      </c>
      <c r="E21" s="31" t="n">
        <v>0</v>
      </c>
      <c r="F21" s="32" t="n">
        <v>0</v>
      </c>
      <c r="G21" s="32" t="n">
        <v>0</v>
      </c>
      <c r="H21" s="31" t="n">
        <v>0</v>
      </c>
      <c r="I21" s="32" t="n">
        <v>0</v>
      </c>
      <c r="J21" s="31" t="n">
        <v>0</v>
      </c>
      <c r="K21" s="31" t="n">
        <v>0</v>
      </c>
      <c r="L21" s="44" t="n">
        <v>0</v>
      </c>
      <c r="M21" s="44" t="n">
        <v>0</v>
      </c>
      <c r="N21" s="32" t="n">
        <v>0</v>
      </c>
      <c r="O21" s="44" t="n">
        <v>0</v>
      </c>
      <c r="P21" s="2" t="n">
        <v>3142</v>
      </c>
      <c r="Q21" s="2" t="n">
        <v>554</v>
      </c>
      <c r="R21" s="2" t="n">
        <v>2</v>
      </c>
    </row>
    <row r="22">
      <c r="A22" t="inlineStr">
        <is>
          <t>Fleece Blankets,Batch 1 - TR</t>
        </is>
      </c>
      <c r="B22" s="29" t="n">
        <v>1286.53</v>
      </c>
      <c r="C22" s="30" t="n">
        <v>0.0111</v>
      </c>
      <c r="D22" s="2" t="n">
        <v>46</v>
      </c>
      <c r="E22" s="31" t="n">
        <v>122.92</v>
      </c>
      <c r="F22" s="32" t="n">
        <v>0.0147</v>
      </c>
      <c r="G22" s="32" t="n">
        <v>0.0955</v>
      </c>
      <c r="H22" s="31" t="n">
        <v>2.89</v>
      </c>
      <c r="I22" s="32" t="n">
        <v>0.35</v>
      </c>
      <c r="J22" s="31" t="n">
        <v>354.87</v>
      </c>
      <c r="K22" s="31" t="n">
        <v>354.87</v>
      </c>
      <c r="L22" s="44" t="n">
        <v>23167</v>
      </c>
      <c r="M22" s="44" t="n">
        <v>246</v>
      </c>
      <c r="N22" s="32" t="n">
        <v>0.0106</v>
      </c>
      <c r="O22" s="44" t="n">
        <v>13</v>
      </c>
      <c r="P22" s="2" t="n">
        <v>561</v>
      </c>
      <c r="Q22" s="2" t="n">
        <v>488</v>
      </c>
      <c r="R22" s="2" t="n">
        <v>14</v>
      </c>
    </row>
    <row r="23">
      <c r="A23" t="inlineStr">
        <is>
          <t>Lunch Bag,Lunch Bags</t>
        </is>
      </c>
      <c r="B23" s="29" t="n">
        <v>1250.27</v>
      </c>
      <c r="C23" s="30" t="n">
        <v>0.0108</v>
      </c>
      <c r="D23" s="2" t="n">
        <v>104</v>
      </c>
      <c r="E23" s="31" t="n">
        <v>0</v>
      </c>
      <c r="F23" s="32" t="n">
        <v>0</v>
      </c>
      <c r="G23" s="32" t="n">
        <v>0</v>
      </c>
      <c r="H23" s="31" t="n">
        <v>0</v>
      </c>
      <c r="I23" s="32" t="n">
        <v>0</v>
      </c>
      <c r="J23" s="31" t="n">
        <v>0</v>
      </c>
      <c r="K23" s="31" t="n">
        <v>0</v>
      </c>
      <c r="L23" s="44" t="n">
        <v>0</v>
      </c>
      <c r="M23" s="44" t="n">
        <v>0</v>
      </c>
      <c r="N23" s="32" t="n">
        <v>0</v>
      </c>
      <c r="O23" s="44" t="n">
        <v>0</v>
      </c>
      <c r="P23" s="2" t="n">
        <v>677</v>
      </c>
      <c r="Q23" s="2" t="n">
        <v>331</v>
      </c>
      <c r="R23" s="2" t="n">
        <v>3</v>
      </c>
    </row>
    <row r="24">
      <c r="A24" t="inlineStr">
        <is>
          <t>Optimized,Wproof Blanket</t>
        </is>
      </c>
      <c r="B24" s="29" t="n">
        <v>1232.53</v>
      </c>
      <c r="C24" s="30" t="n">
        <v>0.0106</v>
      </c>
      <c r="D24" s="2" t="n">
        <v>38</v>
      </c>
      <c r="E24" s="31" t="n">
        <v>58.03</v>
      </c>
      <c r="F24" s="32" t="n">
        <v>0.007</v>
      </c>
      <c r="G24" s="32" t="n">
        <v>0.0471</v>
      </c>
      <c r="H24" s="31" t="n">
        <v>2.88</v>
      </c>
      <c r="I24" s="32" t="n">
        <v>0.35</v>
      </c>
      <c r="J24" s="31" t="n">
        <v>166.95</v>
      </c>
      <c r="K24" s="31" t="n">
        <v>166.95</v>
      </c>
      <c r="L24" s="44" t="n">
        <v>245743</v>
      </c>
      <c r="M24" s="44" t="n">
        <v>148</v>
      </c>
      <c r="N24" s="32" t="n">
        <v>0.0005999999999999999</v>
      </c>
      <c r="O24" s="44" t="n">
        <v>5</v>
      </c>
      <c r="P24" s="2" t="n">
        <v>370</v>
      </c>
      <c r="Q24" s="2" t="n">
        <v>467</v>
      </c>
      <c r="R24" s="2" t="n">
        <v>4</v>
      </c>
    </row>
    <row r="25">
      <c r="A25" t="inlineStr">
        <is>
          <t>Q2-Target,Brand Camp VD,Lunch Bag,Optimized,Lunch Bags,SEM</t>
        </is>
      </c>
      <c r="B25" s="29" t="n">
        <v>1217.08</v>
      </c>
      <c r="C25" s="30" t="n">
        <v>0.0105</v>
      </c>
      <c r="D25" s="2" t="n">
        <v>98</v>
      </c>
      <c r="E25" s="31" t="n">
        <v>0</v>
      </c>
      <c r="F25" s="32" t="n">
        <v>0</v>
      </c>
      <c r="G25" s="32" t="n">
        <v>0</v>
      </c>
      <c r="H25" s="31" t="n">
        <v>0</v>
      </c>
      <c r="I25" s="32" t="n">
        <v>0</v>
      </c>
      <c r="J25" s="31" t="n">
        <v>0</v>
      </c>
      <c r="K25" s="31" t="n">
        <v>0</v>
      </c>
      <c r="L25" s="44" t="n">
        <v>0</v>
      </c>
      <c r="M25" s="44" t="n">
        <v>0</v>
      </c>
      <c r="N25" s="32" t="n">
        <v>0</v>
      </c>
      <c r="O25" s="44" t="n">
        <v>0</v>
      </c>
      <c r="P25" s="2" t="n">
        <v>2370</v>
      </c>
      <c r="Q25" s="2" t="n">
        <v>1025</v>
      </c>
      <c r="R25" s="2" t="n">
        <v>3</v>
      </c>
    </row>
    <row r="26">
      <c r="A26" t="inlineStr">
        <is>
          <t>Q2-Target,WFS,Coupon_Discount,SeePriceInCart,WFS Item</t>
        </is>
      </c>
      <c r="B26" s="29" t="n">
        <v>1210.31</v>
      </c>
      <c r="C26" s="30" t="n">
        <v>0.0104</v>
      </c>
      <c r="D26" s="2" t="n">
        <v>67</v>
      </c>
      <c r="E26" s="31" t="n">
        <v>164.17</v>
      </c>
      <c r="F26" s="32" t="n">
        <v>0.0197</v>
      </c>
      <c r="G26" s="32" t="n">
        <v>0.1356</v>
      </c>
      <c r="H26" s="31" t="n">
        <v>2.09</v>
      </c>
      <c r="I26" s="32" t="n">
        <v>0.48</v>
      </c>
      <c r="J26" s="31" t="n">
        <v>342.81</v>
      </c>
      <c r="K26" s="31" t="n">
        <v>342.81</v>
      </c>
      <c r="L26" s="44" t="n">
        <v>270186</v>
      </c>
      <c r="M26" s="44" t="n">
        <v>545</v>
      </c>
      <c r="N26" s="32" t="n">
        <v>0.002</v>
      </c>
      <c r="O26" s="44" t="n">
        <v>19</v>
      </c>
      <c r="P26" s="2" t="n">
        <v>3939</v>
      </c>
      <c r="Q26" s="2" t="n">
        <v>696</v>
      </c>
      <c r="R26" s="2" t="n">
        <v>2</v>
      </c>
    </row>
    <row r="27">
      <c r="A27" t="inlineStr">
        <is>
          <t>Q2-Target,Brand Camp VD,Lunch Bag,WFS,Lunch Bags,Wal-Exl-Price,WFS Item</t>
        </is>
      </c>
      <c r="B27" s="29" t="n">
        <v>1193.03</v>
      </c>
      <c r="C27" s="30" t="n">
        <v>0.0103</v>
      </c>
      <c r="D27" s="2" t="n">
        <v>57</v>
      </c>
      <c r="E27" s="31" t="n">
        <v>0</v>
      </c>
      <c r="F27" s="32" t="n">
        <v>0</v>
      </c>
      <c r="G27" s="32" t="n">
        <v>0</v>
      </c>
      <c r="H27" s="31" t="n">
        <v>0</v>
      </c>
      <c r="I27" s="32" t="n">
        <v>0</v>
      </c>
      <c r="J27" s="31" t="n">
        <v>0</v>
      </c>
      <c r="K27" s="31" t="n">
        <v>0</v>
      </c>
      <c r="L27" s="44" t="n">
        <v>0</v>
      </c>
      <c r="M27" s="44" t="n">
        <v>0</v>
      </c>
      <c r="N27" s="32" t="n">
        <v>0</v>
      </c>
      <c r="O27" s="44" t="n">
        <v>0</v>
      </c>
      <c r="P27" s="2" t="n">
        <v>1060</v>
      </c>
      <c r="Q27" s="2" t="n">
        <v>267</v>
      </c>
      <c r="R27" s="2" t="n">
        <v>1</v>
      </c>
    </row>
    <row r="28">
      <c r="A28" t="inlineStr">
        <is>
          <t>WFS,High AUR Items,Coupon_Discount,WFS Item</t>
        </is>
      </c>
      <c r="B28" s="29" t="n">
        <v>1134.72</v>
      </c>
      <c r="C28" s="30" t="n">
        <v>0.0098</v>
      </c>
      <c r="D28" s="2" t="n">
        <v>28</v>
      </c>
      <c r="E28" s="31" t="n">
        <v>218.14</v>
      </c>
      <c r="F28" s="32" t="n">
        <v>0.0262</v>
      </c>
      <c r="G28" s="32" t="n">
        <v>0.1922</v>
      </c>
      <c r="H28" s="31" t="n">
        <v>1.92</v>
      </c>
      <c r="I28" s="32" t="n">
        <v>0.52</v>
      </c>
      <c r="J28" s="31" t="n">
        <v>419.9</v>
      </c>
      <c r="K28" s="31" t="n">
        <v>419.9</v>
      </c>
      <c r="L28" s="44" t="n">
        <v>83469</v>
      </c>
      <c r="M28" s="44" t="n">
        <v>467</v>
      </c>
      <c r="N28" s="32" t="n">
        <v>0.0056</v>
      </c>
      <c r="O28" s="44" t="n">
        <v>10</v>
      </c>
      <c r="P28" s="2" t="n">
        <v>1698</v>
      </c>
      <c r="Q28" s="2" t="n">
        <v>286</v>
      </c>
      <c r="R28" s="2" t="n">
        <v>1</v>
      </c>
    </row>
    <row r="29">
      <c r="A29" t="inlineStr">
        <is>
          <t>Q2-Target,Lunch Bag,WFS,WFS Item</t>
        </is>
      </c>
      <c r="B29" s="29" t="n">
        <v>1129.06</v>
      </c>
      <c r="C29" s="30" t="n">
        <v>0.0097</v>
      </c>
      <c r="D29" s="2" t="n">
        <v>115</v>
      </c>
      <c r="E29" s="31" t="n">
        <v>0</v>
      </c>
      <c r="F29" s="32" t="n">
        <v>0</v>
      </c>
      <c r="G29" s="32" t="n">
        <v>0</v>
      </c>
      <c r="H29" s="31" t="n">
        <v>0</v>
      </c>
      <c r="I29" s="32" t="n">
        <v>0</v>
      </c>
      <c r="J29" s="31" t="n">
        <v>0</v>
      </c>
      <c r="K29" s="31" t="n">
        <v>0</v>
      </c>
      <c r="L29" s="44" t="n">
        <v>0</v>
      </c>
      <c r="M29" s="44" t="n">
        <v>0</v>
      </c>
      <c r="N29" s="32" t="n">
        <v>0</v>
      </c>
      <c r="O29" s="44" t="n">
        <v>0</v>
      </c>
      <c r="P29" s="2" t="n">
        <v>7489</v>
      </c>
      <c r="Q29" s="2" t="n">
        <v>1227</v>
      </c>
      <c r="R29" s="2" t="n">
        <v>2</v>
      </c>
    </row>
    <row r="30">
      <c r="A30" t="inlineStr">
        <is>
          <t>Q2-Target,Lunch Bag</t>
        </is>
      </c>
      <c r="B30" s="29" t="n">
        <v>1081.32</v>
      </c>
      <c r="C30" s="30" t="n">
        <v>0.009299999999999999</v>
      </c>
      <c r="D30" s="2" t="n">
        <v>121</v>
      </c>
      <c r="E30" s="31" t="n">
        <v>0</v>
      </c>
      <c r="F30" s="32" t="n">
        <v>0</v>
      </c>
      <c r="G30" s="32" t="n">
        <v>0</v>
      </c>
      <c r="H30" s="31" t="n">
        <v>0</v>
      </c>
      <c r="I30" s="32" t="n">
        <v>0</v>
      </c>
      <c r="J30" s="31" t="n">
        <v>0</v>
      </c>
      <c r="K30" s="31" t="n">
        <v>0</v>
      </c>
      <c r="L30" s="44" t="n">
        <v>0</v>
      </c>
      <c r="M30" s="44" t="n">
        <v>0</v>
      </c>
      <c r="N30" s="32" t="n">
        <v>0</v>
      </c>
      <c r="O30" s="44" t="n">
        <v>0</v>
      </c>
      <c r="P30" s="2" t="n">
        <v>5845</v>
      </c>
      <c r="Q30" s="2" t="n">
        <v>1826</v>
      </c>
      <c r="R30" s="2" t="n">
        <v>11</v>
      </c>
    </row>
    <row r="31">
      <c r="A31" t="inlineStr">
        <is>
          <t>Q2-Target,Optimized,SEM</t>
        </is>
      </c>
      <c r="B31" s="29" t="n">
        <v>1060.47</v>
      </c>
      <c r="C31" s="30" t="n">
        <v>0.0091</v>
      </c>
      <c r="D31" s="2" t="n">
        <v>46</v>
      </c>
      <c r="E31" s="31" t="n">
        <v>106.35</v>
      </c>
      <c r="F31" s="32" t="n">
        <v>0.0128</v>
      </c>
      <c r="G31" s="32" t="n">
        <v>0.1003</v>
      </c>
      <c r="H31" s="31" t="n">
        <v>5.24</v>
      </c>
      <c r="I31" s="32" t="n">
        <v>0.19</v>
      </c>
      <c r="J31" s="31" t="n">
        <v>556.78</v>
      </c>
      <c r="K31" s="31" t="n">
        <v>542.79</v>
      </c>
      <c r="L31" s="44" t="n">
        <v>137113</v>
      </c>
      <c r="M31" s="44" t="n">
        <v>331</v>
      </c>
      <c r="N31" s="32" t="n">
        <v>0.0024</v>
      </c>
      <c r="O31" s="44" t="n">
        <v>22</v>
      </c>
      <c r="P31" s="2" t="n">
        <v>680</v>
      </c>
      <c r="Q31" s="2" t="n">
        <v>579</v>
      </c>
      <c r="R31" s="2" t="n">
        <v>3</v>
      </c>
    </row>
    <row r="32">
      <c r="A32" t="inlineStr">
        <is>
          <t>High AUR Items,Wproof Blanket,Batch 1 - TR</t>
        </is>
      </c>
      <c r="B32" s="29" t="n">
        <v>1055.82</v>
      </c>
      <c r="C32" s="30" t="n">
        <v>0.0091</v>
      </c>
      <c r="D32" s="2" t="n">
        <v>18</v>
      </c>
      <c r="E32" s="31" t="n">
        <v>11.99</v>
      </c>
      <c r="F32" s="32" t="n">
        <v>0.0014</v>
      </c>
      <c r="G32" s="32" t="n">
        <v>0.0114</v>
      </c>
      <c r="H32" s="31" t="n">
        <v>32.85</v>
      </c>
      <c r="I32" s="32" t="n">
        <v>0.03</v>
      </c>
      <c r="J32" s="31" t="n">
        <v>393.92</v>
      </c>
      <c r="K32" s="31" t="n">
        <v>303.95</v>
      </c>
      <c r="L32" s="44" t="n">
        <v>14738</v>
      </c>
      <c r="M32" s="44" t="n">
        <v>32</v>
      </c>
      <c r="N32" s="32" t="n">
        <v>0.0022</v>
      </c>
      <c r="O32" s="44" t="n">
        <v>8</v>
      </c>
      <c r="P32" s="2" t="n">
        <v>63</v>
      </c>
      <c r="Q32" s="2" t="n">
        <v>338</v>
      </c>
      <c r="R32" s="2" t="n">
        <v>4</v>
      </c>
    </row>
    <row r="33">
      <c r="A33" t="inlineStr">
        <is>
          <t>Q2-Target,Brand Camp VD</t>
        </is>
      </c>
      <c r="B33" s="29" t="n">
        <v>1044</v>
      </c>
      <c r="C33" s="30" t="n">
        <v>0.008999999999999999</v>
      </c>
      <c r="D33" s="2" t="n">
        <v>99</v>
      </c>
      <c r="E33" s="31" t="n">
        <v>0</v>
      </c>
      <c r="F33" s="32" t="n">
        <v>0</v>
      </c>
      <c r="G33" s="32" t="n">
        <v>0</v>
      </c>
      <c r="H33" s="31" t="n">
        <v>0</v>
      </c>
      <c r="I33" s="32" t="n">
        <v>0</v>
      </c>
      <c r="J33" s="31" t="n">
        <v>0</v>
      </c>
      <c r="K33" s="31" t="n">
        <v>0</v>
      </c>
      <c r="L33" s="44" t="n">
        <v>0</v>
      </c>
      <c r="M33" s="44" t="n">
        <v>0</v>
      </c>
      <c r="N33" s="32" t="n">
        <v>0</v>
      </c>
      <c r="O33" s="44" t="n">
        <v>0</v>
      </c>
      <c r="P33" s="2" t="n">
        <v>2100</v>
      </c>
      <c r="Q33" s="2" t="n">
        <v>1539</v>
      </c>
      <c r="R33" s="2" t="n">
        <v>10</v>
      </c>
    </row>
    <row r="34">
      <c r="A34" t="inlineStr">
        <is>
          <t>Q2-Target,Brand Camp VD,Lunch Bag,WFS,Lunch Bags,WFS Item</t>
        </is>
      </c>
      <c r="B34" s="29" t="n">
        <v>1009.7</v>
      </c>
      <c r="C34" s="30" t="n">
        <v>0.008699999999999999</v>
      </c>
      <c r="D34" s="2" t="n">
        <v>65</v>
      </c>
      <c r="E34" s="31" t="n">
        <v>0</v>
      </c>
      <c r="F34" s="32" t="n">
        <v>0</v>
      </c>
      <c r="G34" s="32" t="n">
        <v>0</v>
      </c>
      <c r="H34" s="31" t="n">
        <v>0</v>
      </c>
      <c r="I34" s="32" t="n">
        <v>0</v>
      </c>
      <c r="J34" s="31" t="n">
        <v>0</v>
      </c>
      <c r="K34" s="31" t="n">
        <v>0</v>
      </c>
      <c r="L34" s="44" t="n">
        <v>0</v>
      </c>
      <c r="M34" s="44" t="n">
        <v>0</v>
      </c>
      <c r="N34" s="32" t="n">
        <v>0</v>
      </c>
      <c r="O34" s="44" t="n">
        <v>0</v>
      </c>
      <c r="P34" s="2" t="n">
        <v>1226</v>
      </c>
      <c r="Q34" s="2" t="n">
        <v>1584</v>
      </c>
      <c r="R34" s="2" t="n">
        <v>9</v>
      </c>
    </row>
    <row r="35">
      <c r="A35" t="inlineStr">
        <is>
          <t>Q2-Target,WFS,WFS Item</t>
        </is>
      </c>
      <c r="B35" s="29" t="n">
        <v>1002.63</v>
      </c>
      <c r="C35" s="30" t="n">
        <v>0.0086</v>
      </c>
      <c r="D35" s="2" t="n">
        <v>36</v>
      </c>
      <c r="E35" s="31" t="n">
        <v>127.34</v>
      </c>
      <c r="F35" s="32" t="n">
        <v>0.0153</v>
      </c>
      <c r="G35" s="32" t="n">
        <v>0.127</v>
      </c>
      <c r="H35" s="31" t="n">
        <v>2.86</v>
      </c>
      <c r="I35" s="32" t="n">
        <v>0.35</v>
      </c>
      <c r="J35" s="31" t="n">
        <v>363.87</v>
      </c>
      <c r="K35" s="31" t="n">
        <v>343.88</v>
      </c>
      <c r="L35" s="44" t="n">
        <v>134017</v>
      </c>
      <c r="M35" s="44" t="n">
        <v>388</v>
      </c>
      <c r="N35" s="32" t="n">
        <v>0.0029</v>
      </c>
      <c r="O35" s="44" t="n">
        <v>13</v>
      </c>
      <c r="P35" s="2" t="n">
        <v>1473</v>
      </c>
      <c r="Q35" s="2" t="n">
        <v>1012</v>
      </c>
      <c r="R35" s="2" t="n">
        <v>12</v>
      </c>
    </row>
    <row r="36">
      <c r="A36" t="inlineStr">
        <is>
          <t>Q2-Target,WFS,Wproof Blanket,WFS Item</t>
        </is>
      </c>
      <c r="B36" s="29" t="n">
        <v>983.61</v>
      </c>
      <c r="C36" s="30" t="n">
        <v>0.008500000000000001</v>
      </c>
      <c r="D36" s="2" t="n">
        <v>32</v>
      </c>
      <c r="E36" s="31" t="n">
        <v>37.41000000000002</v>
      </c>
      <c r="F36" s="32" t="n">
        <v>0.0045</v>
      </c>
      <c r="G36" s="32" t="n">
        <v>0.038</v>
      </c>
      <c r="H36" s="31" t="n">
        <v>6.09</v>
      </c>
      <c r="I36" s="32" t="n">
        <v>0.16</v>
      </c>
      <c r="J36" s="31" t="n">
        <v>227.92</v>
      </c>
      <c r="K36" s="31" t="n">
        <v>227.92</v>
      </c>
      <c r="L36" s="44" t="n">
        <v>27811</v>
      </c>
      <c r="M36" s="44" t="n">
        <v>89</v>
      </c>
      <c r="N36" s="32" t="n">
        <v>0.0032</v>
      </c>
      <c r="O36" s="44" t="n">
        <v>8</v>
      </c>
      <c r="P36" s="2" t="n">
        <v>527</v>
      </c>
      <c r="Q36" s="2" t="n">
        <v>545</v>
      </c>
      <c r="R36" s="2" t="n">
        <v>1</v>
      </c>
    </row>
    <row r="37">
      <c r="A37" t="inlineStr">
        <is>
          <t>Q2-Target,Hats,Batch 1 - TR</t>
        </is>
      </c>
      <c r="B37" s="29" t="n">
        <v>955.0200000000001</v>
      </c>
      <c r="C37" s="30" t="n">
        <v>0.008200000000000001</v>
      </c>
      <c r="D37" s="2" t="n">
        <v>60</v>
      </c>
      <c r="E37" s="31" t="n">
        <v>102.01</v>
      </c>
      <c r="F37" s="32" t="n">
        <v>0.0122</v>
      </c>
      <c r="G37" s="32" t="n">
        <v>0.1068</v>
      </c>
      <c r="H37" s="31" t="n">
        <v>2.36</v>
      </c>
      <c r="I37" s="32" t="n">
        <v>0.42</v>
      </c>
      <c r="J37" s="31" t="n">
        <v>240.86</v>
      </c>
      <c r="K37" s="31" t="n">
        <v>206.88</v>
      </c>
      <c r="L37" s="44" t="n">
        <v>148635</v>
      </c>
      <c r="M37" s="44" t="n">
        <v>370</v>
      </c>
      <c r="N37" s="32" t="n">
        <v>0.0025</v>
      </c>
      <c r="O37" s="44" t="n">
        <v>14</v>
      </c>
      <c r="P37" s="2" t="n">
        <v>923</v>
      </c>
      <c r="Q37" s="2" t="n">
        <v>982</v>
      </c>
      <c r="R37" s="2" t="n">
        <v>12</v>
      </c>
    </row>
    <row r="38">
      <c r="A38" t="inlineStr">
        <is>
          <t>Hats,Batch 1 - TR</t>
        </is>
      </c>
      <c r="B38" s="29" t="n">
        <v>896.1100000000001</v>
      </c>
      <c r="C38" s="30" t="n">
        <v>0.0077</v>
      </c>
      <c r="D38" s="2" t="n">
        <v>55</v>
      </c>
      <c r="E38" s="31" t="n">
        <v>32.48999999999998</v>
      </c>
      <c r="F38" s="32" t="n">
        <v>0.0039</v>
      </c>
      <c r="G38" s="32" t="n">
        <v>0.0363</v>
      </c>
      <c r="H38" s="31" t="n">
        <v>2.89</v>
      </c>
      <c r="I38" s="32" t="n">
        <v>0.35</v>
      </c>
      <c r="J38" s="31" t="n">
        <v>93.94</v>
      </c>
      <c r="K38" s="31" t="n">
        <v>93.94</v>
      </c>
      <c r="L38" s="44" t="n">
        <v>111967</v>
      </c>
      <c r="M38" s="44" t="n">
        <v>152</v>
      </c>
      <c r="N38" s="32" t="n">
        <v>0.0014</v>
      </c>
      <c r="O38" s="44" t="n">
        <v>6</v>
      </c>
      <c r="P38" s="2" t="n">
        <v>86</v>
      </c>
      <c r="Q38" s="2" t="n">
        <v>1251</v>
      </c>
      <c r="R38" s="2" t="n">
        <v>34</v>
      </c>
    </row>
    <row r="39">
      <c r="A39" t="inlineStr">
        <is>
          <t>Q2-Target,SEM,Batch 1 - TR</t>
        </is>
      </c>
      <c r="B39" s="29" t="n">
        <v>889.62</v>
      </c>
      <c r="C39" s="30" t="n">
        <v>0.0077</v>
      </c>
      <c r="D39" s="2" t="n">
        <v>36</v>
      </c>
      <c r="E39" s="31" t="n">
        <v>104.54</v>
      </c>
      <c r="F39" s="32" t="n">
        <v>0.0125</v>
      </c>
      <c r="G39" s="32" t="n">
        <v>0.1175</v>
      </c>
      <c r="H39" s="31" t="n">
        <v>5.52</v>
      </c>
      <c r="I39" s="32" t="n">
        <v>0.18</v>
      </c>
      <c r="J39" s="31" t="n">
        <v>577.4100000000001</v>
      </c>
      <c r="K39" s="31" t="n">
        <v>577.4100000000001</v>
      </c>
      <c r="L39" s="44" t="n">
        <v>65430</v>
      </c>
      <c r="M39" s="44" t="n">
        <v>278</v>
      </c>
      <c r="N39" s="32" t="n">
        <v>0.0042</v>
      </c>
      <c r="O39" s="44" t="n">
        <v>25</v>
      </c>
      <c r="P39" s="2" t="n">
        <v>351</v>
      </c>
      <c r="Q39" s="2" t="n">
        <v>248</v>
      </c>
      <c r="R39" s="2" t="n">
        <v>2</v>
      </c>
    </row>
    <row r="40">
      <c r="A40" t="inlineStr">
        <is>
          <t>Q2-Target,Lunch Bag,Lunch Bags</t>
        </is>
      </c>
      <c r="B40" s="29" t="n">
        <v>838.86</v>
      </c>
      <c r="C40" s="30" t="n">
        <v>0.0072</v>
      </c>
      <c r="D40" s="2" t="n">
        <v>64</v>
      </c>
      <c r="E40" s="31" t="n">
        <v>0</v>
      </c>
      <c r="F40" s="32" t="n">
        <v>0</v>
      </c>
      <c r="G40" s="32" t="n">
        <v>0</v>
      </c>
      <c r="H40" s="31" t="n">
        <v>0</v>
      </c>
      <c r="I40" s="32" t="n">
        <v>0</v>
      </c>
      <c r="J40" s="31" t="n">
        <v>0</v>
      </c>
      <c r="K40" s="31" t="n">
        <v>0</v>
      </c>
      <c r="L40" s="44" t="n">
        <v>0</v>
      </c>
      <c r="M40" s="44" t="n">
        <v>0</v>
      </c>
      <c r="N40" s="32" t="n">
        <v>0</v>
      </c>
      <c r="O40" s="44" t="n">
        <v>0</v>
      </c>
      <c r="P40" s="2" t="n">
        <v>2229</v>
      </c>
      <c r="Q40" s="2" t="n">
        <v>851</v>
      </c>
      <c r="R40" s="2" t="n">
        <v>8</v>
      </c>
    </row>
    <row r="41">
      <c r="A41" t="inlineStr">
        <is>
          <t>Q2-Target,Brand Camp VD,Lunch Bags,SEM,Batch 1 - TR</t>
        </is>
      </c>
      <c r="B41" s="29" t="n">
        <v>833.46</v>
      </c>
      <c r="C41" s="30" t="n">
        <v>0.0072</v>
      </c>
      <c r="D41" s="2" t="n">
        <v>51</v>
      </c>
      <c r="E41" s="31" t="n">
        <v>0</v>
      </c>
      <c r="F41" s="32" t="n">
        <v>0</v>
      </c>
      <c r="G41" s="32" t="n">
        <v>0</v>
      </c>
      <c r="H41" s="31" t="n">
        <v>0</v>
      </c>
      <c r="I41" s="32" t="n">
        <v>0</v>
      </c>
      <c r="J41" s="31" t="n">
        <v>0</v>
      </c>
      <c r="K41" s="31" t="n">
        <v>0</v>
      </c>
      <c r="L41" s="44" t="n">
        <v>0</v>
      </c>
      <c r="M41" s="44" t="n">
        <v>0</v>
      </c>
      <c r="N41" s="32" t="n">
        <v>0</v>
      </c>
      <c r="O41" s="44" t="n">
        <v>0</v>
      </c>
      <c r="P41" s="2" t="n">
        <v>428</v>
      </c>
      <c r="Q41" s="2" t="n">
        <v>555</v>
      </c>
      <c r="R41" s="2" t="n">
        <v>6</v>
      </c>
    </row>
    <row r="42">
      <c r="A42" t="inlineStr">
        <is>
          <t>Q2-Target,Lunch Bag,Optimized,Lunch Bags,SEM,Wal-Exl-Price</t>
        </is>
      </c>
      <c r="B42" s="29" t="n">
        <v>795.45</v>
      </c>
      <c r="C42" s="30" t="n">
        <v>0.0069</v>
      </c>
      <c r="D42" s="2" t="n">
        <v>51</v>
      </c>
      <c r="E42" s="31" t="n">
        <v>0</v>
      </c>
      <c r="F42" s="32" t="n">
        <v>0</v>
      </c>
      <c r="G42" s="32" t="n">
        <v>0</v>
      </c>
      <c r="H42" s="31" t="n">
        <v>0</v>
      </c>
      <c r="I42" s="32" t="n">
        <v>0</v>
      </c>
      <c r="J42" s="31" t="n">
        <v>0</v>
      </c>
      <c r="K42" s="31" t="n">
        <v>0</v>
      </c>
      <c r="L42" s="44" t="n">
        <v>0</v>
      </c>
      <c r="M42" s="44" t="n">
        <v>0</v>
      </c>
      <c r="N42" s="32" t="n">
        <v>0</v>
      </c>
      <c r="O42" s="44" t="n">
        <v>0</v>
      </c>
      <c r="P42" s="2" t="n">
        <v>539</v>
      </c>
      <c r="Q42" s="2" t="n">
        <v>227</v>
      </c>
      <c r="R42" s="2" t="n">
        <v>1</v>
      </c>
    </row>
    <row r="43">
      <c r="A43" t="inlineStr">
        <is>
          <t>Q2-Target,Brand Camp VD,Lunch Bags,Batch 1 - TR</t>
        </is>
      </c>
      <c r="B43" s="29" t="n">
        <v>705.96</v>
      </c>
      <c r="C43" s="30" t="n">
        <v>0.0061</v>
      </c>
      <c r="D43" s="2" t="n">
        <v>45</v>
      </c>
      <c r="E43" s="31" t="n">
        <v>0</v>
      </c>
      <c r="F43" s="32" t="n">
        <v>0</v>
      </c>
      <c r="G43" s="32" t="n">
        <v>0</v>
      </c>
      <c r="H43" s="31" t="n">
        <v>0</v>
      </c>
      <c r="I43" s="32" t="n">
        <v>0</v>
      </c>
      <c r="J43" s="31" t="n">
        <v>0</v>
      </c>
      <c r="K43" s="31" t="n">
        <v>0</v>
      </c>
      <c r="L43" s="44" t="n">
        <v>0</v>
      </c>
      <c r="M43" s="44" t="n">
        <v>0</v>
      </c>
      <c r="N43" s="32" t="n">
        <v>0</v>
      </c>
      <c r="O43" s="44" t="n">
        <v>0</v>
      </c>
      <c r="P43" s="2" t="n">
        <v>1271</v>
      </c>
      <c r="Q43" s="2" t="n">
        <v>576</v>
      </c>
      <c r="R43" s="2" t="n">
        <v>5</v>
      </c>
    </row>
    <row r="44">
      <c r="A44" t="inlineStr">
        <is>
          <t>Lunch Bag,Optimized,Lunch Bags</t>
        </is>
      </c>
      <c r="B44" s="29" t="n">
        <v>656.95</v>
      </c>
      <c r="C44" s="30" t="n">
        <v>0.0057</v>
      </c>
      <c r="D44" s="2" t="n">
        <v>65</v>
      </c>
      <c r="E44" s="31" t="n">
        <v>0</v>
      </c>
      <c r="F44" s="32" t="n">
        <v>0</v>
      </c>
      <c r="G44" s="32" t="n">
        <v>0</v>
      </c>
      <c r="H44" s="31" t="n">
        <v>0</v>
      </c>
      <c r="I44" s="32" t="n">
        <v>0</v>
      </c>
      <c r="J44" s="31" t="n">
        <v>0</v>
      </c>
      <c r="K44" s="31" t="n">
        <v>0</v>
      </c>
      <c r="L44" s="44" t="n">
        <v>0</v>
      </c>
      <c r="M44" s="44" t="n">
        <v>0</v>
      </c>
      <c r="N44" s="32" t="n">
        <v>0</v>
      </c>
      <c r="O44" s="44" t="n">
        <v>0</v>
      </c>
      <c r="P44" s="2" t="n">
        <v>9296</v>
      </c>
      <c r="Q44" s="2" t="n">
        <v>904</v>
      </c>
      <c r="R44" s="2" t="n">
        <v>3</v>
      </c>
    </row>
    <row r="45">
      <c r="A45" t="inlineStr">
        <is>
          <t>Wine,Christmas,Optimized,Valentine</t>
        </is>
      </c>
      <c r="B45" s="29" t="n">
        <v>636.27</v>
      </c>
      <c r="C45" s="30" t="n">
        <v>0.0055</v>
      </c>
      <c r="D45" s="2" t="n">
        <v>53</v>
      </c>
      <c r="E45" s="31" t="n">
        <v>96.95999999999998</v>
      </c>
      <c r="F45" s="32" t="n">
        <v>0.0116</v>
      </c>
      <c r="G45" s="32" t="n">
        <v>0.1524</v>
      </c>
      <c r="H45" s="31" t="n">
        <v>2</v>
      </c>
      <c r="I45" s="32" t="n">
        <v>0.5</v>
      </c>
      <c r="J45" s="31" t="n">
        <v>193.85</v>
      </c>
      <c r="K45" s="31" t="n">
        <v>193.85</v>
      </c>
      <c r="L45" s="44" t="n">
        <v>83005</v>
      </c>
      <c r="M45" s="44" t="n">
        <v>231</v>
      </c>
      <c r="N45" s="32" t="n">
        <v>0.0028</v>
      </c>
      <c r="O45" s="44" t="n">
        <v>15</v>
      </c>
      <c r="P45" s="2" t="n">
        <v>188</v>
      </c>
      <c r="Q45" s="2" t="n">
        <v>680</v>
      </c>
      <c r="R45" s="2" t="n">
        <v>21</v>
      </c>
    </row>
    <row r="46">
      <c r="A46" t="inlineStr">
        <is>
          <t>Q2-Target,High AUR Items,Wproof Blanket,Batch 1 - TR</t>
        </is>
      </c>
      <c r="B46" s="29" t="n">
        <v>599.85</v>
      </c>
      <c r="C46" s="30" t="n">
        <v>0.0052</v>
      </c>
      <c r="D46" s="2" t="n">
        <v>15</v>
      </c>
      <c r="E46" s="31" t="n">
        <v>101.82</v>
      </c>
      <c r="F46" s="32" t="n">
        <v>0.0122</v>
      </c>
      <c r="G46" s="32" t="n">
        <v>0.1697</v>
      </c>
      <c r="H46" s="31" t="n">
        <v>4.67</v>
      </c>
      <c r="I46" s="32" t="n">
        <v>0.21</v>
      </c>
      <c r="J46" s="31" t="n">
        <v>475.89</v>
      </c>
      <c r="K46" s="31" t="n">
        <v>305.93</v>
      </c>
      <c r="L46" s="44" t="n">
        <v>164262</v>
      </c>
      <c r="M46" s="44" t="n">
        <v>248</v>
      </c>
      <c r="N46" s="32" t="n">
        <v>0.0015</v>
      </c>
      <c r="O46" s="44" t="n">
        <v>11</v>
      </c>
      <c r="P46" s="2" t="n">
        <v>182</v>
      </c>
      <c r="Q46" s="2" t="n">
        <v>241</v>
      </c>
      <c r="R46" s="2" t="n">
        <v>2</v>
      </c>
    </row>
    <row r="47">
      <c r="A47" t="inlineStr">
        <is>
          <t>Q2-Target,High AUR Items</t>
        </is>
      </c>
      <c r="B47" s="29" t="n">
        <v>593.91</v>
      </c>
      <c r="C47" s="30" t="n">
        <v>0.0051</v>
      </c>
      <c r="D47" s="2" t="n">
        <v>9</v>
      </c>
      <c r="E47" s="31" t="n">
        <v>9.609999999999998</v>
      </c>
      <c r="F47" s="32" t="n">
        <v>0.0012</v>
      </c>
      <c r="G47" s="32" t="n">
        <v>0.0162</v>
      </c>
      <c r="H47" s="31" t="n">
        <v>6.87</v>
      </c>
      <c r="I47" s="32" t="n">
        <v>0.15</v>
      </c>
      <c r="J47" s="31" t="n">
        <v>65.98999999999999</v>
      </c>
      <c r="K47" s="31" t="n">
        <v>65.98999999999999</v>
      </c>
      <c r="L47" s="44" t="n">
        <v>45605</v>
      </c>
      <c r="M47" s="44" t="n">
        <v>27</v>
      </c>
      <c r="N47" s="32" t="n">
        <v>0.0005999999999999999</v>
      </c>
      <c r="O47" s="44" t="n">
        <v>1</v>
      </c>
      <c r="P47" s="2" t="n">
        <v>64</v>
      </c>
      <c r="Q47" s="2" t="n">
        <v>75</v>
      </c>
      <c r="R47" s="2" t="n">
        <v>1</v>
      </c>
    </row>
    <row r="48">
      <c r="A48" t="inlineStr">
        <is>
          <t>Q2-Target,WFS,Coupon_Discount,WFS Item,Fleece Blankets</t>
        </is>
      </c>
      <c r="B48" s="29" t="n">
        <v>564.62</v>
      </c>
      <c r="C48" s="30" t="n">
        <v>0.0049</v>
      </c>
      <c r="D48" s="2" t="n">
        <v>37</v>
      </c>
      <c r="E48" s="31" t="n">
        <v>20.02</v>
      </c>
      <c r="F48" s="32" t="n">
        <v>0.0024</v>
      </c>
      <c r="G48" s="32" t="n">
        <v>0.0355</v>
      </c>
      <c r="H48" s="31" t="n">
        <v>3.59</v>
      </c>
      <c r="I48" s="32" t="n">
        <v>0.28</v>
      </c>
      <c r="J48" s="31" t="n">
        <v>71.97</v>
      </c>
      <c r="K48" s="31" t="n">
        <v>71.97</v>
      </c>
      <c r="L48" s="44" t="n">
        <v>10446</v>
      </c>
      <c r="M48" s="44" t="n">
        <v>46</v>
      </c>
      <c r="N48" s="32" t="n">
        <v>0.0044</v>
      </c>
      <c r="O48" s="44" t="n">
        <v>3</v>
      </c>
      <c r="P48" s="2" t="n">
        <v>299</v>
      </c>
      <c r="Q48" s="2" t="n">
        <v>513</v>
      </c>
      <c r="R48" s="2" t="n">
        <v>8</v>
      </c>
    </row>
    <row r="49">
      <c r="A49" t="inlineStr">
        <is>
          <t>Wproof Blanket</t>
        </is>
      </c>
      <c r="B49" s="29" t="n">
        <v>559.76</v>
      </c>
      <c r="C49" s="30" t="n">
        <v>0.0048</v>
      </c>
      <c r="D49" s="2" t="n">
        <v>21</v>
      </c>
      <c r="E49" s="31" t="n">
        <v>0.8</v>
      </c>
      <c r="F49" s="32" t="n">
        <v>0.0001</v>
      </c>
      <c r="G49" s="32" t="n">
        <v>0.0014</v>
      </c>
      <c r="H49" s="31" t="n">
        <v>0</v>
      </c>
      <c r="I49" s="32" t="n">
        <v>0</v>
      </c>
      <c r="J49" s="31" t="n">
        <v>0</v>
      </c>
      <c r="K49" s="31" t="n">
        <v>0</v>
      </c>
      <c r="L49" s="44" t="n">
        <v>5365</v>
      </c>
      <c r="M49" s="44" t="n">
        <v>4</v>
      </c>
      <c r="N49" s="32" t="n">
        <v>0.0007</v>
      </c>
      <c r="O49" s="44" t="n">
        <v>0</v>
      </c>
      <c r="P49" s="2" t="n">
        <v>23</v>
      </c>
      <c r="Q49" s="2" t="n">
        <v>321</v>
      </c>
      <c r="R49" s="2" t="n">
        <v>6</v>
      </c>
    </row>
    <row r="50">
      <c r="A50" t="inlineStr">
        <is>
          <t>Q2-Target,Optimized,WFS,Coupon_Discount,WFS Item</t>
        </is>
      </c>
      <c r="B50" s="29" t="n">
        <v>544.85</v>
      </c>
      <c r="C50" s="30" t="n">
        <v>0.0047</v>
      </c>
      <c r="D50" s="2" t="n">
        <v>15</v>
      </c>
      <c r="E50" s="31" t="n">
        <v>30.24</v>
      </c>
      <c r="F50" s="32" t="n">
        <v>0.0036</v>
      </c>
      <c r="G50" s="32" t="n">
        <v>0.0555</v>
      </c>
      <c r="H50" s="31" t="n">
        <v>5.85</v>
      </c>
      <c r="I50" s="32" t="n">
        <v>0.17</v>
      </c>
      <c r="J50" s="31" t="n">
        <v>176.96</v>
      </c>
      <c r="K50" s="31" t="n">
        <v>130.97</v>
      </c>
      <c r="L50" s="44" t="n">
        <v>20427</v>
      </c>
      <c r="M50" s="44" t="n">
        <v>62</v>
      </c>
      <c r="N50" s="32" t="n">
        <v>0.003</v>
      </c>
      <c r="O50" s="44" t="n">
        <v>4</v>
      </c>
      <c r="P50" s="2" t="n">
        <v>386</v>
      </c>
      <c r="Q50" s="2" t="n">
        <v>1068</v>
      </c>
      <c r="R50" s="2" t="n">
        <v>17</v>
      </c>
    </row>
    <row r="51">
      <c r="A51" t="inlineStr">
        <is>
          <t>Optimized,WFS,WFS Item</t>
        </is>
      </c>
      <c r="B51" s="29" t="n">
        <v>543.77</v>
      </c>
      <c r="C51" s="30" t="n">
        <v>0.0047</v>
      </c>
      <c r="D51" s="2" t="n">
        <v>23</v>
      </c>
      <c r="E51" s="31" t="n">
        <v>100.1</v>
      </c>
      <c r="F51" s="32" t="n">
        <v>0.012</v>
      </c>
      <c r="G51" s="32" t="n">
        <v>0.1841</v>
      </c>
      <c r="H51" s="31" t="n">
        <v>1.01</v>
      </c>
      <c r="I51" s="32" t="n">
        <v>0.99</v>
      </c>
      <c r="J51" s="31" t="n">
        <v>100.95</v>
      </c>
      <c r="K51" s="31" t="n">
        <v>100.95</v>
      </c>
      <c r="L51" s="44" t="n">
        <v>55797</v>
      </c>
      <c r="M51" s="44" t="n">
        <v>267</v>
      </c>
      <c r="N51" s="32" t="n">
        <v>0.0048</v>
      </c>
      <c r="O51" s="44" t="n">
        <v>5</v>
      </c>
      <c r="P51" s="2" t="n">
        <v>192</v>
      </c>
      <c r="Q51" s="2" t="n">
        <v>776</v>
      </c>
      <c r="R51" s="2" t="n">
        <v>22</v>
      </c>
    </row>
    <row r="52">
      <c r="A52" t="inlineStr">
        <is>
          <t>High AUR Items,Wproof Blanket,Fleece Blankets,Batch 1 - TR</t>
        </is>
      </c>
      <c r="B52" s="29" t="n">
        <v>537.91</v>
      </c>
      <c r="C52" s="30" t="n">
        <v>0.0046</v>
      </c>
      <c r="D52" s="2" t="n">
        <v>9</v>
      </c>
      <c r="E52" s="31" t="n">
        <v>25.56</v>
      </c>
      <c r="F52" s="32" t="n">
        <v>0.0031</v>
      </c>
      <c r="G52" s="32" t="n">
        <v>0.0475</v>
      </c>
      <c r="H52" s="31" t="n">
        <v>0</v>
      </c>
      <c r="I52" s="32" t="n">
        <v>0</v>
      </c>
      <c r="J52" s="31" t="n">
        <v>0</v>
      </c>
      <c r="K52" s="31" t="n">
        <v>0</v>
      </c>
      <c r="L52" s="44" t="n">
        <v>8459</v>
      </c>
      <c r="M52" s="44" t="n">
        <v>59</v>
      </c>
      <c r="N52" s="32" t="n">
        <v>0.007</v>
      </c>
      <c r="O52" s="44" t="n">
        <v>0</v>
      </c>
      <c r="P52" s="2" t="n">
        <v>121</v>
      </c>
      <c r="Q52" s="2" t="n">
        <v>205</v>
      </c>
      <c r="R52" s="2" t="n">
        <v>1</v>
      </c>
    </row>
    <row r="53">
      <c r="A53" t="inlineStr">
        <is>
          <t>Q2-Target,Lunch Bag,WFS,Lunch Bags,WFS Item</t>
        </is>
      </c>
      <c r="B53" s="29" t="n">
        <v>514.72</v>
      </c>
      <c r="C53" s="30" t="n">
        <v>0.0044</v>
      </c>
      <c r="D53" s="2" t="n">
        <v>48</v>
      </c>
      <c r="E53" s="31" t="n">
        <v>0</v>
      </c>
      <c r="F53" s="32" t="n">
        <v>0</v>
      </c>
      <c r="G53" s="32" t="n">
        <v>0</v>
      </c>
      <c r="H53" s="31" t="n">
        <v>0</v>
      </c>
      <c r="I53" s="32" t="n">
        <v>0</v>
      </c>
      <c r="J53" s="31" t="n">
        <v>0</v>
      </c>
      <c r="K53" s="31" t="n">
        <v>0</v>
      </c>
      <c r="L53" s="44" t="n">
        <v>0</v>
      </c>
      <c r="M53" s="44" t="n">
        <v>0</v>
      </c>
      <c r="N53" s="32" t="n">
        <v>0</v>
      </c>
      <c r="O53" s="44" t="n">
        <v>0</v>
      </c>
      <c r="P53" s="2" t="n">
        <v>1436</v>
      </c>
      <c r="Q53" s="2" t="n">
        <v>540</v>
      </c>
      <c r="R53" s="2" t="n">
        <v>3</v>
      </c>
    </row>
    <row r="54">
      <c r="A54" t="inlineStr">
        <is>
          <t>Backpack</t>
        </is>
      </c>
      <c r="B54" s="29" t="n">
        <v>470.83</v>
      </c>
      <c r="C54" s="30" t="n">
        <v>0.0041</v>
      </c>
      <c r="D54" s="2" t="n">
        <v>14</v>
      </c>
      <c r="E54" s="31" t="n">
        <v>0</v>
      </c>
      <c r="F54" s="32" t="n">
        <v>0</v>
      </c>
      <c r="G54" s="32" t="n">
        <v>0</v>
      </c>
      <c r="H54" s="31" t="n">
        <v>0</v>
      </c>
      <c r="I54" s="32" t="n">
        <v>0</v>
      </c>
      <c r="J54" s="31" t="n">
        <v>0</v>
      </c>
      <c r="K54" s="31" t="n">
        <v>0</v>
      </c>
      <c r="L54" s="44" t="n">
        <v>0</v>
      </c>
      <c r="M54" s="44" t="n">
        <v>0</v>
      </c>
      <c r="N54" s="32" t="n">
        <v>0</v>
      </c>
      <c r="O54" s="44" t="n">
        <v>0</v>
      </c>
      <c r="P54" s="2" t="n">
        <v>30</v>
      </c>
      <c r="Q54" s="2" t="n">
        <v>1019</v>
      </c>
      <c r="R54" s="2" t="n">
        <v>33</v>
      </c>
    </row>
    <row r="55">
      <c r="A55" t="inlineStr">
        <is>
          <t>Hero 5 Holidays,WFS,Wal-Exl-Price,cost-added,WFS Item</t>
        </is>
      </c>
      <c r="B55" s="29" t="n">
        <v>458.83</v>
      </c>
      <c r="C55" s="30" t="n">
        <v>0.004</v>
      </c>
      <c r="D55" s="2" t="n">
        <v>14</v>
      </c>
      <c r="E55" s="31" t="n">
        <v>191.19</v>
      </c>
      <c r="F55" s="32" t="n">
        <v>0.0229</v>
      </c>
      <c r="G55" s="32" t="n">
        <v>0.4167</v>
      </c>
      <c r="H55" s="31" t="n">
        <v>2.86</v>
      </c>
      <c r="I55" s="32" t="n">
        <v>0.35</v>
      </c>
      <c r="J55" s="31" t="n">
        <v>546.8000000000001</v>
      </c>
      <c r="K55" s="31" t="n">
        <v>474.8300000000001</v>
      </c>
      <c r="L55" s="44" t="n">
        <v>247414</v>
      </c>
      <c r="M55" s="44" t="n">
        <v>441</v>
      </c>
      <c r="N55" s="32" t="n">
        <v>0.0018</v>
      </c>
      <c r="O55" s="44" t="n">
        <v>20</v>
      </c>
      <c r="P55" s="2" t="n">
        <v>504</v>
      </c>
      <c r="Q55" s="2" t="n">
        <v>196</v>
      </c>
      <c r="R55" s="2" t="n">
        <v>1</v>
      </c>
    </row>
    <row r="56">
      <c r="A56" t="inlineStr">
        <is>
          <t>Wine,Wine Bag Camp,Christmas,WFS,Wine WFS,Valentine,SEM,WFS Item</t>
        </is>
      </c>
      <c r="B56" s="29" t="n">
        <v>454.8</v>
      </c>
      <c r="C56" s="30" t="n">
        <v>0.0039</v>
      </c>
      <c r="D56" s="2" t="n">
        <v>25</v>
      </c>
      <c r="E56" s="31" t="n">
        <v>46.29000000000001</v>
      </c>
      <c r="F56" s="32" t="n">
        <v>0.0056</v>
      </c>
      <c r="G56" s="32" t="n">
        <v>0.1018</v>
      </c>
      <c r="H56" s="31" t="n">
        <v>3.11</v>
      </c>
      <c r="I56" s="32" t="n">
        <v>0.32</v>
      </c>
      <c r="J56" s="31" t="n">
        <v>143.92</v>
      </c>
      <c r="K56" s="31" t="n">
        <v>143.92</v>
      </c>
      <c r="L56" s="44" t="n">
        <v>49816</v>
      </c>
      <c r="M56" s="44" t="n">
        <v>92</v>
      </c>
      <c r="N56" s="32" t="n">
        <v>0.0018</v>
      </c>
      <c r="O56" s="44" t="n">
        <v>8</v>
      </c>
      <c r="P56" s="2" t="n">
        <v>38</v>
      </c>
      <c r="Q56" s="2" t="n">
        <v>253</v>
      </c>
      <c r="R56" s="2" t="n">
        <v>4</v>
      </c>
    </row>
    <row r="57">
      <c r="A57" t="inlineStr">
        <is>
          <t>Beach Robe Camp</t>
        </is>
      </c>
      <c r="B57" s="29" t="n">
        <v>449.55</v>
      </c>
      <c r="C57" s="30" t="n">
        <v>0.0039</v>
      </c>
      <c r="D57" s="2" t="n">
        <v>45</v>
      </c>
      <c r="E57" s="31" t="n">
        <v>0</v>
      </c>
      <c r="F57" s="32" t="n">
        <v>0</v>
      </c>
      <c r="G57" s="32" t="n">
        <v>0</v>
      </c>
      <c r="H57" s="31" t="n">
        <v>0</v>
      </c>
      <c r="I57" s="32" t="n">
        <v>0</v>
      </c>
      <c r="J57" s="31" t="n">
        <v>0</v>
      </c>
      <c r="K57" s="31" t="n">
        <v>0</v>
      </c>
      <c r="L57" s="44" t="n">
        <v>0</v>
      </c>
      <c r="M57" s="44" t="n">
        <v>0</v>
      </c>
      <c r="N57" s="32" t="n">
        <v>0</v>
      </c>
      <c r="O57" s="44" t="n">
        <v>0</v>
      </c>
      <c r="P57" s="2" t="n">
        <v>36</v>
      </c>
      <c r="Q57" s="2" t="n">
        <v>212</v>
      </c>
      <c r="R57" s="2" t="n">
        <v>1</v>
      </c>
    </row>
    <row r="58">
      <c r="A58" t="inlineStr">
        <is>
          <t>Q2-Target,Wproof Blanket,Batch 1 - TR</t>
        </is>
      </c>
      <c r="B58" s="29" t="n">
        <v>436.89</v>
      </c>
      <c r="C58" s="30" t="n">
        <v>0.0038</v>
      </c>
      <c r="D58" s="2" t="n">
        <v>11</v>
      </c>
      <c r="E58" s="31" t="n">
        <v>60.89999999999998</v>
      </c>
      <c r="F58" s="32" t="n">
        <v>0.0073</v>
      </c>
      <c r="G58" s="32" t="n">
        <v>0.1394</v>
      </c>
      <c r="H58" s="31" t="n">
        <v>2.82</v>
      </c>
      <c r="I58" s="32" t="n">
        <v>0.35</v>
      </c>
      <c r="J58" s="31" t="n">
        <v>171.96</v>
      </c>
      <c r="K58" s="31" t="n">
        <v>171.96</v>
      </c>
      <c r="L58" s="44" t="n">
        <v>130816</v>
      </c>
      <c r="M58" s="44" t="n">
        <v>159</v>
      </c>
      <c r="N58" s="32" t="n">
        <v>0.0012</v>
      </c>
      <c r="O58" s="44" t="n">
        <v>4</v>
      </c>
      <c r="P58" s="2" t="n">
        <v>62</v>
      </c>
      <c r="Q58" s="2" t="n">
        <v>555</v>
      </c>
      <c r="R58" s="2" t="n">
        <v>5</v>
      </c>
    </row>
    <row r="59">
      <c r="A59" t="inlineStr">
        <is>
          <t>Wine,Wine Bag Camp,Christmas,Wine WFS,Valentine,WFS Item,AMZ Bestsellers</t>
        </is>
      </c>
      <c r="B59" s="29" t="n">
        <v>423.72</v>
      </c>
      <c r="C59" s="30" t="n">
        <v>0.0037</v>
      </c>
      <c r="D59" s="2" t="n">
        <v>19</v>
      </c>
      <c r="E59" s="31" t="n">
        <v>14.83</v>
      </c>
      <c r="F59" s="32" t="n">
        <v>0.0018</v>
      </c>
      <c r="G59" s="32" t="n">
        <v>0.035</v>
      </c>
      <c r="H59" s="31" t="n">
        <v>12.74</v>
      </c>
      <c r="I59" s="32" t="n">
        <v>0.08</v>
      </c>
      <c r="J59" s="31" t="n">
        <v>188.91</v>
      </c>
      <c r="K59" s="31" t="n">
        <v>188.91</v>
      </c>
      <c r="L59" s="44" t="n">
        <v>7611</v>
      </c>
      <c r="M59" s="44" t="n">
        <v>38</v>
      </c>
      <c r="N59" s="32" t="n">
        <v>0.005</v>
      </c>
      <c r="O59" s="44" t="n">
        <v>9</v>
      </c>
      <c r="P59" s="2" t="n">
        <v>109</v>
      </c>
      <c r="Q59" s="2" t="n">
        <v>117</v>
      </c>
      <c r="R59" s="2" t="n">
        <v>1</v>
      </c>
    </row>
    <row r="60">
      <c r="A60" t="inlineStr">
        <is>
          <t>WFS,High AUR Items,Wproof Blanket,WFS Item</t>
        </is>
      </c>
      <c r="B60" s="29" t="n">
        <v>406.89</v>
      </c>
      <c r="C60" s="30" t="n">
        <v>0.0035</v>
      </c>
      <c r="D60" s="2" t="n">
        <v>11</v>
      </c>
      <c r="E60" s="31" t="n">
        <v>35.12000000000001</v>
      </c>
      <c r="F60" s="32" t="n">
        <v>0.0042</v>
      </c>
      <c r="G60" s="32" t="n">
        <v>0.0863</v>
      </c>
      <c r="H60" s="31" t="n">
        <v>6.43</v>
      </c>
      <c r="I60" s="32" t="n">
        <v>0.16</v>
      </c>
      <c r="J60" s="31" t="n">
        <v>225.94</v>
      </c>
      <c r="K60" s="31" t="n">
        <v>130.97</v>
      </c>
      <c r="L60" s="44" t="n">
        <v>57076</v>
      </c>
      <c r="M60" s="44" t="n">
        <v>87</v>
      </c>
      <c r="N60" s="32" t="n">
        <v>0.0015</v>
      </c>
      <c r="O60" s="44" t="n">
        <v>6</v>
      </c>
      <c r="P60" s="2" t="n">
        <v>84</v>
      </c>
      <c r="Q60" s="2" t="n">
        <v>166</v>
      </c>
      <c r="R60" s="2" t="n">
        <v>1</v>
      </c>
    </row>
    <row r="61">
      <c r="A61" t="inlineStr">
        <is>
          <t>Q2-Target,Hero 5 Holidays,WFS,WFS Item</t>
        </is>
      </c>
      <c r="B61" s="29" t="n">
        <v>405.43</v>
      </c>
      <c r="C61" s="30" t="n">
        <v>0.0035</v>
      </c>
      <c r="D61" s="2" t="n">
        <v>18</v>
      </c>
      <c r="E61" s="31" t="n">
        <v>91.49000000000004</v>
      </c>
      <c r="F61" s="32" t="n">
        <v>0.011</v>
      </c>
      <c r="G61" s="32" t="n">
        <v>0.2257</v>
      </c>
      <c r="H61" s="31" t="n">
        <v>1.65</v>
      </c>
      <c r="I61" s="32" t="n">
        <v>0.61</v>
      </c>
      <c r="J61" s="31" t="n">
        <v>150.94</v>
      </c>
      <c r="K61" s="31" t="n">
        <v>76.97</v>
      </c>
      <c r="L61" s="44" t="n">
        <v>183380</v>
      </c>
      <c r="M61" s="44" t="n">
        <v>229</v>
      </c>
      <c r="N61" s="32" t="n">
        <v>0.0012</v>
      </c>
      <c r="O61" s="44" t="n">
        <v>6</v>
      </c>
      <c r="P61" s="2" t="n">
        <v>948</v>
      </c>
      <c r="Q61" s="2" t="n">
        <v>181</v>
      </c>
      <c r="R61" s="2" t="n">
        <v>2</v>
      </c>
    </row>
    <row r="62">
      <c r="A62" t="inlineStr">
        <is>
          <t>Q2-Target,WFS</t>
        </is>
      </c>
      <c r="B62" s="29" t="n">
        <v>404.73</v>
      </c>
      <c r="C62" s="30" t="n">
        <v>0.0035</v>
      </c>
      <c r="D62" s="2" t="n">
        <v>24</v>
      </c>
      <c r="E62" s="31" t="n">
        <v>118.65</v>
      </c>
      <c r="F62" s="32" t="n">
        <v>0.0142</v>
      </c>
      <c r="G62" s="32" t="n">
        <v>0.2932</v>
      </c>
      <c r="H62" s="31" t="n">
        <v>4.21</v>
      </c>
      <c r="I62" s="32" t="n">
        <v>0.24</v>
      </c>
      <c r="J62" s="31" t="n">
        <v>499.6800000000001</v>
      </c>
      <c r="K62" s="31" t="n">
        <v>499.6800000000001</v>
      </c>
      <c r="L62" s="44" t="n">
        <v>139100</v>
      </c>
      <c r="M62" s="44" t="n">
        <v>381</v>
      </c>
      <c r="N62" s="32" t="n">
        <v>0.0027</v>
      </c>
      <c r="O62" s="44" t="n">
        <v>32</v>
      </c>
      <c r="P62" s="2" t="n">
        <v>229</v>
      </c>
      <c r="Q62" s="2" t="n">
        <v>287</v>
      </c>
      <c r="R62" s="2" t="n">
        <v>1</v>
      </c>
    </row>
    <row r="63">
      <c r="A63" t="inlineStr">
        <is>
          <t>Q2-Target,Brand Camp VD,Lunch Bag,WFS,Lunch Bags,SEM,WFS Item,AMZ Bestsellers</t>
        </is>
      </c>
      <c r="B63" s="29" t="n">
        <v>403.73</v>
      </c>
      <c r="C63" s="30" t="n">
        <v>0.0035</v>
      </c>
      <c r="D63" s="2" t="n">
        <v>28</v>
      </c>
      <c r="E63" s="31" t="n">
        <v>0</v>
      </c>
      <c r="F63" s="32" t="n">
        <v>0</v>
      </c>
      <c r="G63" s="32" t="n">
        <v>0</v>
      </c>
      <c r="H63" s="31" t="n">
        <v>0</v>
      </c>
      <c r="I63" s="32" t="n">
        <v>0</v>
      </c>
      <c r="J63" s="31" t="n">
        <v>0</v>
      </c>
      <c r="K63" s="31" t="n">
        <v>0</v>
      </c>
      <c r="L63" s="44" t="n">
        <v>0</v>
      </c>
      <c r="M63" s="44" t="n">
        <v>0</v>
      </c>
      <c r="N63" s="32" t="n">
        <v>0</v>
      </c>
      <c r="O63" s="44" t="n">
        <v>0</v>
      </c>
      <c r="P63" s="2" t="n">
        <v>1512</v>
      </c>
      <c r="Q63" s="2" t="n">
        <v>1041</v>
      </c>
      <c r="R63" s="2" t="n">
        <v>2</v>
      </c>
    </row>
    <row r="64">
      <c r="A64" t="inlineStr">
        <is>
          <t>Optimized,Valentine</t>
        </is>
      </c>
      <c r="B64" s="29" t="n">
        <v>392.31</v>
      </c>
      <c r="C64" s="30" t="n">
        <v>0.0034</v>
      </c>
      <c r="D64" s="2" t="n">
        <v>47</v>
      </c>
      <c r="E64" s="31" t="n">
        <v>0</v>
      </c>
      <c r="F64" s="32" t="n">
        <v>0</v>
      </c>
      <c r="G64" s="32" t="n">
        <v>0</v>
      </c>
      <c r="H64" s="31" t="n">
        <v>0</v>
      </c>
      <c r="I64" s="32" t="n">
        <v>0</v>
      </c>
      <c r="J64" s="31" t="n">
        <v>0</v>
      </c>
      <c r="K64" s="31" t="n">
        <v>0</v>
      </c>
      <c r="L64" s="44" t="n">
        <v>0</v>
      </c>
      <c r="M64" s="44" t="n">
        <v>0</v>
      </c>
      <c r="N64" s="32" t="n">
        <v>0</v>
      </c>
      <c r="O64" s="44" t="n">
        <v>0</v>
      </c>
      <c r="P64" s="2" t="n">
        <v>132</v>
      </c>
      <c r="Q64" s="2" t="n">
        <v>1632</v>
      </c>
      <c r="R64" s="2" t="n">
        <v>76</v>
      </c>
    </row>
    <row r="65">
      <c r="A65" t="inlineStr">
        <is>
          <t>Optimized,AMZ Bestsellers</t>
        </is>
      </c>
      <c r="B65" s="29" t="n">
        <v>375.9</v>
      </c>
      <c r="C65" s="30" t="n">
        <v>0.0032</v>
      </c>
      <c r="D65" s="2" t="n">
        <v>10</v>
      </c>
      <c r="E65" s="31" t="n">
        <v>27.17000000000002</v>
      </c>
      <c r="F65" s="32" t="n">
        <v>0.0033</v>
      </c>
      <c r="G65" s="32" t="n">
        <v>0.0723</v>
      </c>
      <c r="H65" s="31" t="n">
        <v>6.14</v>
      </c>
      <c r="I65" s="32" t="n">
        <v>0.16</v>
      </c>
      <c r="J65" s="31" t="n">
        <v>166.95</v>
      </c>
      <c r="K65" s="31" t="n">
        <v>166.95</v>
      </c>
      <c r="L65" s="44" t="n">
        <v>41921</v>
      </c>
      <c r="M65" s="44" t="n">
        <v>65</v>
      </c>
      <c r="N65" s="32" t="n">
        <v>0.0016</v>
      </c>
      <c r="O65" s="44" t="n">
        <v>5</v>
      </c>
      <c r="P65" s="2" t="n">
        <v>88</v>
      </c>
      <c r="Q65" s="2" t="n">
        <v>272</v>
      </c>
      <c r="R65" s="2" t="n">
        <v>1</v>
      </c>
    </row>
    <row r="66">
      <c r="A66" t="inlineStr">
        <is>
          <t>Q2-Target,Lunch Bag,WFS,Lunch Bags,SEM,WFS Item</t>
        </is>
      </c>
      <c r="B66" s="29" t="n">
        <v>362.03</v>
      </c>
      <c r="C66" s="30" t="n">
        <v>0.0031</v>
      </c>
      <c r="D66" s="2" t="n">
        <v>17</v>
      </c>
      <c r="E66" s="31" t="n">
        <v>0</v>
      </c>
      <c r="F66" s="32" t="n">
        <v>0</v>
      </c>
      <c r="G66" s="32" t="n">
        <v>0</v>
      </c>
      <c r="H66" s="31" t="n">
        <v>0</v>
      </c>
      <c r="I66" s="32" t="n">
        <v>0</v>
      </c>
      <c r="J66" s="31" t="n">
        <v>0</v>
      </c>
      <c r="K66" s="31" t="n">
        <v>0</v>
      </c>
      <c r="L66" s="44" t="n">
        <v>0</v>
      </c>
      <c r="M66" s="44" t="n">
        <v>0</v>
      </c>
      <c r="N66" s="32" t="n">
        <v>0</v>
      </c>
      <c r="O66" s="44" t="n">
        <v>0</v>
      </c>
      <c r="P66" s="2" t="n">
        <v>347</v>
      </c>
      <c r="Q66" s="2" t="n">
        <v>120</v>
      </c>
      <c r="R66" s="2" t="n">
        <v>3</v>
      </c>
    </row>
    <row r="67">
      <c r="A67" t="inlineStr">
        <is>
          <t>Baby days,Hero 5 Holidays,WFS,SEM,WFS Item</t>
        </is>
      </c>
      <c r="B67" s="29" t="n">
        <v>360.22</v>
      </c>
      <c r="C67" s="30" t="n">
        <v>0.0031</v>
      </c>
      <c r="D67" s="2" t="n">
        <v>18</v>
      </c>
      <c r="E67" s="31" t="n">
        <v>85.63999999999997</v>
      </c>
      <c r="F67" s="32" t="n">
        <v>0.0103</v>
      </c>
      <c r="G67" s="32" t="n">
        <v>0.2377</v>
      </c>
      <c r="H67" s="31" t="n">
        <v>4.21</v>
      </c>
      <c r="I67" s="32" t="n">
        <v>0.24</v>
      </c>
      <c r="J67" s="31" t="n">
        <v>360.8100000000001</v>
      </c>
      <c r="K67" s="31" t="n">
        <v>360.8100000000001</v>
      </c>
      <c r="L67" s="44" t="n">
        <v>49751</v>
      </c>
      <c r="M67" s="44" t="n">
        <v>205</v>
      </c>
      <c r="N67" s="32" t="n">
        <v>0.0041</v>
      </c>
      <c r="O67" s="44" t="n">
        <v>19</v>
      </c>
      <c r="P67" s="2" t="n">
        <v>303</v>
      </c>
      <c r="Q67" s="2" t="n">
        <v>200</v>
      </c>
      <c r="R67" s="2" t="n">
        <v>1</v>
      </c>
    </row>
    <row r="68">
      <c r="A68" t="inlineStr">
        <is>
          <t>Wproof Blanket,Fleece Blankets,Batch 1 - TR</t>
        </is>
      </c>
      <c r="B68" s="29" t="n">
        <v>359.94</v>
      </c>
      <c r="C68" s="30" t="n">
        <v>0.0031</v>
      </c>
      <c r="D68" s="2" t="n">
        <v>6</v>
      </c>
      <c r="E68" s="31" t="n">
        <v>11.43</v>
      </c>
      <c r="F68" s="32" t="n">
        <v>0.0014</v>
      </c>
      <c r="G68" s="32" t="n">
        <v>0.0318</v>
      </c>
      <c r="H68" s="31" t="n">
        <v>8.75</v>
      </c>
      <c r="I68" s="32" t="n">
        <v>0.11</v>
      </c>
      <c r="J68" s="31" t="n">
        <v>99.98</v>
      </c>
      <c r="K68" s="31" t="n">
        <v>99.98</v>
      </c>
      <c r="L68" s="44" t="n">
        <v>50160</v>
      </c>
      <c r="M68" s="44" t="n">
        <v>30</v>
      </c>
      <c r="N68" s="32" t="n">
        <v>0.0005999999999999999</v>
      </c>
      <c r="O68" s="44" t="n">
        <v>2</v>
      </c>
      <c r="P68" s="2" t="n">
        <v>34</v>
      </c>
      <c r="Q68" s="2" t="n">
        <v>243</v>
      </c>
      <c r="R68" s="2" t="n">
        <v>2</v>
      </c>
    </row>
    <row r="69">
      <c r="A69" t="inlineStr">
        <is>
          <t>Optimized,SEM</t>
        </is>
      </c>
      <c r="B69" s="29" t="n">
        <v>356.81</v>
      </c>
      <c r="C69" s="30" t="n">
        <v>0.0031</v>
      </c>
      <c r="D69" s="2" t="n">
        <v>13</v>
      </c>
      <c r="E69" s="31" t="n">
        <v>72.57999999999998</v>
      </c>
      <c r="F69" s="32" t="n">
        <v>0.008699999999999999</v>
      </c>
      <c r="G69" s="32" t="n">
        <v>0.2034</v>
      </c>
      <c r="H69" s="31" t="n">
        <v>2.48</v>
      </c>
      <c r="I69" s="32" t="n">
        <v>0.4</v>
      </c>
      <c r="J69" s="31" t="n">
        <v>179.94</v>
      </c>
      <c r="K69" s="31" t="n">
        <v>179.94</v>
      </c>
      <c r="L69" s="44" t="n">
        <v>57915</v>
      </c>
      <c r="M69" s="44" t="n">
        <v>169</v>
      </c>
      <c r="N69" s="32" t="n">
        <v>0.0029</v>
      </c>
      <c r="O69" s="44" t="n">
        <v>6</v>
      </c>
      <c r="P69" s="2" t="n">
        <v>184</v>
      </c>
      <c r="Q69" s="2" t="n">
        <v>692</v>
      </c>
      <c r="R69" s="2" t="n">
        <v>5</v>
      </c>
    </row>
    <row r="70">
      <c r="A70" t="inlineStr">
        <is>
          <t>Q2-Target,Optimized,WFS,Hats,WFS Item</t>
        </is>
      </c>
      <c r="B70" s="29" t="n">
        <v>353.8099999999999</v>
      </c>
      <c r="C70" s="30" t="n">
        <v>0.0031</v>
      </c>
      <c r="D70" s="2" t="n">
        <v>17</v>
      </c>
      <c r="E70" s="31" t="n">
        <v>0</v>
      </c>
      <c r="F70" s="32" t="n">
        <v>0</v>
      </c>
      <c r="G70" s="32" t="n">
        <v>0</v>
      </c>
      <c r="H70" s="31" t="n">
        <v>0</v>
      </c>
      <c r="I70" s="32" t="n">
        <v>0</v>
      </c>
      <c r="J70" s="31" t="n">
        <v>0</v>
      </c>
      <c r="K70" s="31" t="n">
        <v>0</v>
      </c>
      <c r="L70" s="44" t="n">
        <v>0</v>
      </c>
      <c r="M70" s="44" t="n">
        <v>0</v>
      </c>
      <c r="N70" s="32" t="n">
        <v>0</v>
      </c>
      <c r="O70" s="44" t="n">
        <v>0</v>
      </c>
      <c r="P70" s="2" t="n">
        <v>126</v>
      </c>
      <c r="Q70" s="2" t="n">
        <v>134</v>
      </c>
      <c r="R70" s="2" t="n">
        <v>2</v>
      </c>
    </row>
    <row r="71">
      <c r="A71" t="inlineStr">
        <is>
          <t>Q2-Target,Brand Camp VD,Batch 1 - TR</t>
        </is>
      </c>
      <c r="B71" s="29" t="n">
        <v>347.01</v>
      </c>
      <c r="C71" s="30" t="n">
        <v>0.003</v>
      </c>
      <c r="D71" s="2" t="n">
        <v>25</v>
      </c>
      <c r="E71" s="31" t="n">
        <v>0</v>
      </c>
      <c r="F71" s="32" t="n">
        <v>0</v>
      </c>
      <c r="G71" s="32" t="n">
        <v>0</v>
      </c>
      <c r="H71" s="31" t="n">
        <v>0</v>
      </c>
      <c r="I71" s="32" t="n">
        <v>0</v>
      </c>
      <c r="J71" s="31" t="n">
        <v>0</v>
      </c>
      <c r="K71" s="31" t="n">
        <v>0</v>
      </c>
      <c r="L71" s="44" t="n">
        <v>0</v>
      </c>
      <c r="M71" s="44" t="n">
        <v>0</v>
      </c>
      <c r="N71" s="32" t="n">
        <v>0</v>
      </c>
      <c r="O71" s="44" t="n">
        <v>0</v>
      </c>
      <c r="P71" s="2" t="n">
        <v>429</v>
      </c>
      <c r="Q71" s="2" t="n">
        <v>400</v>
      </c>
      <c r="R71" s="2" t="n">
        <v>3</v>
      </c>
    </row>
    <row r="72">
      <c r="A72" t="inlineStr">
        <is>
          <t>Optimized,Hero 5 Holidays,WFS Item</t>
        </is>
      </c>
      <c r="B72" s="29" t="n">
        <v>344.86</v>
      </c>
      <c r="C72" s="30" t="n">
        <v>0.003</v>
      </c>
      <c r="D72" s="2" t="n">
        <v>13</v>
      </c>
      <c r="E72" s="31" t="n">
        <v>0</v>
      </c>
      <c r="F72" s="32" t="n">
        <v>0</v>
      </c>
      <c r="G72" s="32" t="n">
        <v>0</v>
      </c>
      <c r="H72" s="31" t="n">
        <v>0</v>
      </c>
      <c r="I72" s="32" t="n">
        <v>0</v>
      </c>
      <c r="J72" s="31" t="n">
        <v>0</v>
      </c>
      <c r="K72" s="31" t="n">
        <v>0</v>
      </c>
      <c r="L72" s="44" t="n">
        <v>0</v>
      </c>
      <c r="M72" s="44" t="n">
        <v>0</v>
      </c>
      <c r="N72" s="32" t="n">
        <v>0</v>
      </c>
      <c r="O72" s="44" t="n">
        <v>0</v>
      </c>
      <c r="P72" s="2" t="n">
        <v>169</v>
      </c>
      <c r="Q72" s="2" t="n">
        <v>70</v>
      </c>
      <c r="R72" s="2" t="n">
        <v>1</v>
      </c>
    </row>
    <row r="73">
      <c r="A73" t="inlineStr">
        <is>
          <t>Optimized,WFS,SEM,Wal-Exl-Price,WFS Item</t>
        </is>
      </c>
      <c r="B73" s="29" t="n">
        <v>343.88</v>
      </c>
      <c r="C73" s="30" t="n">
        <v>0.003</v>
      </c>
      <c r="D73" s="2" t="n">
        <v>10</v>
      </c>
      <c r="E73" s="31" t="n">
        <v>44.67999999999999</v>
      </c>
      <c r="F73" s="32" t="n">
        <v>0.0054</v>
      </c>
      <c r="G73" s="32" t="n">
        <v>0.1299</v>
      </c>
      <c r="H73" s="31" t="n">
        <v>0.74</v>
      </c>
      <c r="I73" s="32" t="n">
        <v>1.35</v>
      </c>
      <c r="J73" s="31" t="n">
        <v>32.99</v>
      </c>
      <c r="K73" s="31" t="n">
        <v>32.99</v>
      </c>
      <c r="L73" s="44" t="n">
        <v>39696</v>
      </c>
      <c r="M73" s="44" t="n">
        <v>105</v>
      </c>
      <c r="N73" s="32" t="n">
        <v>0.0026</v>
      </c>
      <c r="O73" s="44" t="n">
        <v>1</v>
      </c>
      <c r="P73" s="2" t="n">
        <v>253</v>
      </c>
      <c r="Q73" s="2" t="n">
        <v>216</v>
      </c>
      <c r="R73" s="2" t="n">
        <v>1</v>
      </c>
    </row>
    <row r="74">
      <c r="A74" t="inlineStr">
        <is>
          <t>Hats</t>
        </is>
      </c>
      <c r="B74" s="29" t="n">
        <v>342.8</v>
      </c>
      <c r="C74" s="30" t="n">
        <v>0.003</v>
      </c>
      <c r="D74" s="2" t="n">
        <v>20</v>
      </c>
      <c r="E74" s="31" t="n">
        <v>0.62</v>
      </c>
      <c r="F74" s="32" t="n">
        <v>0.0001</v>
      </c>
      <c r="G74" s="32" t="n">
        <v>0.0018</v>
      </c>
      <c r="H74" s="31" t="n">
        <v>0</v>
      </c>
      <c r="I74" s="32" t="n">
        <v>0</v>
      </c>
      <c r="J74" s="31" t="n">
        <v>0</v>
      </c>
      <c r="K74" s="31" t="n">
        <v>0</v>
      </c>
      <c r="L74" s="44" t="n">
        <v>1920</v>
      </c>
      <c r="M74" s="44" t="n">
        <v>2</v>
      </c>
      <c r="N74" s="32" t="n">
        <v>0.001</v>
      </c>
      <c r="O74" s="44" t="n">
        <v>0</v>
      </c>
      <c r="P74" s="2" t="n">
        <v>57</v>
      </c>
      <c r="Q74" s="2" t="n">
        <v>183</v>
      </c>
      <c r="R74" s="2" t="n">
        <v>6</v>
      </c>
    </row>
    <row r="75">
      <c r="A75" t="inlineStr">
        <is>
          <t>Wine,Christmas,WFS,Wine WFS,Valentine,WFS Item</t>
        </is>
      </c>
      <c r="B75" s="29" t="n">
        <v>338.79</v>
      </c>
      <c r="C75" s="30" t="n">
        <v>0.0029</v>
      </c>
      <c r="D75" s="2" t="n">
        <v>18</v>
      </c>
      <c r="E75" s="31" t="n">
        <v>213.66</v>
      </c>
      <c r="F75" s="32" t="n">
        <v>0.0256</v>
      </c>
      <c r="G75" s="32" t="n">
        <v>0.6307</v>
      </c>
      <c r="H75" s="31" t="n">
        <v>1.58</v>
      </c>
      <c r="I75" s="32" t="n">
        <v>0.63</v>
      </c>
      <c r="J75" s="31" t="n">
        <v>337.83</v>
      </c>
      <c r="K75" s="31" t="n">
        <v>237.88</v>
      </c>
      <c r="L75" s="44" t="n">
        <v>141002</v>
      </c>
      <c r="M75" s="44" t="n">
        <v>454</v>
      </c>
      <c r="N75" s="32" t="n">
        <v>0.0032</v>
      </c>
      <c r="O75" s="44" t="n">
        <v>17</v>
      </c>
      <c r="P75" s="2" t="n">
        <v>244</v>
      </c>
      <c r="Q75" s="2" t="n">
        <v>277</v>
      </c>
      <c r="R75" s="2" t="n">
        <v>8</v>
      </c>
    </row>
    <row r="76">
      <c r="A76" t="inlineStr">
        <is>
          <t>WFS,Coupon_Discount,WFS Item</t>
        </is>
      </c>
      <c r="B76" s="29" t="n">
        <v>337.92</v>
      </c>
      <c r="C76" s="30" t="n">
        <v>0.0029</v>
      </c>
      <c r="D76" s="2" t="n">
        <v>8</v>
      </c>
      <c r="E76" s="31" t="n">
        <v>6.16</v>
      </c>
      <c r="F76" s="32" t="n">
        <v>0.0007</v>
      </c>
      <c r="G76" s="32" t="n">
        <v>0.0182</v>
      </c>
      <c r="H76" s="31" t="n">
        <v>6.98</v>
      </c>
      <c r="I76" s="32" t="n">
        <v>0.14</v>
      </c>
      <c r="J76" s="31" t="n">
        <v>42.99</v>
      </c>
      <c r="K76" s="31" t="n">
        <v>42.99</v>
      </c>
      <c r="L76" s="44" t="n">
        <v>4348</v>
      </c>
      <c r="M76" s="44" t="n">
        <v>16</v>
      </c>
      <c r="N76" s="32" t="n">
        <v>0.0037</v>
      </c>
      <c r="O76" s="44" t="n">
        <v>1</v>
      </c>
      <c r="P76" s="2" t="n">
        <v>340</v>
      </c>
      <c r="Q76" s="2" t="n">
        <v>542</v>
      </c>
      <c r="R76" s="2" t="n">
        <v>19</v>
      </c>
    </row>
    <row r="77">
      <c r="A77" t="inlineStr">
        <is>
          <t>Q2-Target,Hats</t>
        </is>
      </c>
      <c r="B77" s="29" t="n">
        <v>336.75</v>
      </c>
      <c r="C77" s="30" t="n">
        <v>0.0029</v>
      </c>
      <c r="D77" s="2" t="n">
        <v>23</v>
      </c>
      <c r="E77" s="31" t="n">
        <v>0</v>
      </c>
      <c r="F77" s="32" t="n">
        <v>0</v>
      </c>
      <c r="G77" s="32" t="n">
        <v>0</v>
      </c>
      <c r="H77" s="31" t="n">
        <v>0</v>
      </c>
      <c r="I77" s="32" t="n">
        <v>0</v>
      </c>
      <c r="J77" s="31" t="n">
        <v>0</v>
      </c>
      <c r="K77" s="31" t="n">
        <v>0</v>
      </c>
      <c r="L77" s="44" t="n">
        <v>0</v>
      </c>
      <c r="M77" s="44" t="n">
        <v>0</v>
      </c>
      <c r="N77" s="32" t="n">
        <v>0</v>
      </c>
      <c r="O77" s="44" t="n">
        <v>0</v>
      </c>
      <c r="P77" s="2" t="n">
        <v>114</v>
      </c>
      <c r="Q77" s="2" t="n">
        <v>385</v>
      </c>
      <c r="R77" s="2" t="n">
        <v>6</v>
      </c>
    </row>
    <row r="78">
      <c r="A78" t="inlineStr">
        <is>
          <t>Optimized,Hero 5 Holidays,WFS,WFS Item</t>
        </is>
      </c>
      <c r="B78" s="29" t="n">
        <v>311.88</v>
      </c>
      <c r="C78" s="30" t="n">
        <v>0.0027</v>
      </c>
      <c r="D78" s="2" t="n">
        <v>12</v>
      </c>
      <c r="E78" s="31" t="n">
        <v>12.2</v>
      </c>
      <c r="F78" s="32" t="n">
        <v>0.0015</v>
      </c>
      <c r="G78" s="32" t="n">
        <v>0.0391</v>
      </c>
      <c r="H78" s="31" t="n">
        <v>4.26</v>
      </c>
      <c r="I78" s="32" t="n">
        <v>0.23</v>
      </c>
      <c r="J78" s="31" t="n">
        <v>51.98</v>
      </c>
      <c r="K78" s="31" t="n">
        <v>51.98</v>
      </c>
      <c r="L78" s="44" t="n">
        <v>10123</v>
      </c>
      <c r="M78" s="44" t="n">
        <v>51</v>
      </c>
      <c r="N78" s="32" t="n">
        <v>0.005</v>
      </c>
      <c r="O78" s="44" t="n">
        <v>2</v>
      </c>
      <c r="P78" s="2" t="n">
        <v>337</v>
      </c>
      <c r="Q78" s="2" t="n">
        <v>129</v>
      </c>
      <c r="R78" s="2" t="n">
        <v>1</v>
      </c>
    </row>
    <row r="79">
      <c r="A79" t="inlineStr">
        <is>
          <t>Brand Camp VD,Lunch Bag,WFS,Lunch Bags,SEM</t>
        </is>
      </c>
      <c r="B79" s="29" t="n">
        <v>311.25</v>
      </c>
      <c r="C79" s="30" t="n">
        <v>0.0027</v>
      </c>
      <c r="D79" s="2" t="n">
        <v>25</v>
      </c>
      <c r="E79" s="31" t="n">
        <v>0</v>
      </c>
      <c r="F79" s="32" t="n">
        <v>0</v>
      </c>
      <c r="G79" s="32" t="n">
        <v>0</v>
      </c>
      <c r="H79" s="31" t="n">
        <v>0</v>
      </c>
      <c r="I79" s="32" t="n">
        <v>0</v>
      </c>
      <c r="J79" s="31" t="n">
        <v>0</v>
      </c>
      <c r="K79" s="31" t="n">
        <v>0</v>
      </c>
      <c r="L79" s="44" t="n">
        <v>0</v>
      </c>
      <c r="M79" s="44" t="n">
        <v>0</v>
      </c>
      <c r="N79" s="32" t="n">
        <v>0</v>
      </c>
      <c r="O79" s="44" t="n">
        <v>0</v>
      </c>
      <c r="P79" s="2" t="n">
        <v>81</v>
      </c>
      <c r="Q79" s="2" t="n">
        <v>160</v>
      </c>
      <c r="R79" s="2" t="n">
        <v>1</v>
      </c>
    </row>
    <row r="80">
      <c r="A80" t="inlineStr">
        <is>
          <t>Q2-Target,Optimized,WFS,SEM,WFS Item</t>
        </is>
      </c>
      <c r="B80" s="29" t="n">
        <v>305.88</v>
      </c>
      <c r="C80" s="30" t="n">
        <v>0.0026</v>
      </c>
      <c r="D80" s="2" t="n">
        <v>12</v>
      </c>
      <c r="E80" s="31" t="n">
        <v>106.0199999999999</v>
      </c>
      <c r="F80" s="32" t="n">
        <v>0.0127</v>
      </c>
      <c r="G80" s="32" t="n">
        <v>0.3466</v>
      </c>
      <c r="H80" s="31" t="n">
        <v>1.85</v>
      </c>
      <c r="I80" s="32" t="n">
        <v>0.54</v>
      </c>
      <c r="J80" s="31" t="n">
        <v>195.93</v>
      </c>
      <c r="K80" s="31" t="n">
        <v>195.93</v>
      </c>
      <c r="L80" s="44" t="n">
        <v>73246</v>
      </c>
      <c r="M80" s="44" t="n">
        <v>252</v>
      </c>
      <c r="N80" s="32" t="n">
        <v>0.0034</v>
      </c>
      <c r="O80" s="44" t="n">
        <v>7</v>
      </c>
      <c r="P80" s="2" t="n">
        <v>152</v>
      </c>
      <c r="Q80" s="2" t="n">
        <v>181</v>
      </c>
      <c r="R80" s="2" t="n">
        <v>2</v>
      </c>
    </row>
    <row r="81">
      <c r="A81" t="inlineStr">
        <is>
          <t>Q2-Target,Lunch Bag,WFS,Lunch Bags,SEM,WFS Item,AMZ Bestsellers</t>
        </is>
      </c>
      <c r="B81" s="29" t="n">
        <v>305.82</v>
      </c>
      <c r="C81" s="30" t="n">
        <v>0.0026</v>
      </c>
      <c r="D81" s="2" t="n">
        <v>18</v>
      </c>
      <c r="E81" s="31" t="n">
        <v>0</v>
      </c>
      <c r="F81" s="32" t="n">
        <v>0</v>
      </c>
      <c r="G81" s="32" t="n">
        <v>0</v>
      </c>
      <c r="H81" s="31" t="n">
        <v>0</v>
      </c>
      <c r="I81" s="32" t="n">
        <v>0</v>
      </c>
      <c r="J81" s="31" t="n">
        <v>0</v>
      </c>
      <c r="K81" s="31" t="n">
        <v>0</v>
      </c>
      <c r="L81" s="44" t="n">
        <v>0</v>
      </c>
      <c r="M81" s="44" t="n">
        <v>0</v>
      </c>
      <c r="N81" s="32" t="n">
        <v>0</v>
      </c>
      <c r="O81" s="44" t="n">
        <v>0</v>
      </c>
      <c r="P81" s="2" t="n">
        <v>552</v>
      </c>
      <c r="Q81" s="2" t="n">
        <v>357</v>
      </c>
      <c r="R81" s="2" t="n">
        <v>1</v>
      </c>
    </row>
    <row r="82">
      <c r="A82" t="inlineStr">
        <is>
          <t>Q2-Target,Lunch Bags,SEM,Batch 1 - TR</t>
        </is>
      </c>
      <c r="B82" s="29" t="n">
        <v>303.74</v>
      </c>
      <c r="C82" s="30" t="n">
        <v>0.0026</v>
      </c>
      <c r="D82" s="2" t="n">
        <v>25</v>
      </c>
      <c r="E82" s="31" t="n">
        <v>0</v>
      </c>
      <c r="F82" s="32" t="n">
        <v>0</v>
      </c>
      <c r="G82" s="32" t="n">
        <v>0</v>
      </c>
      <c r="H82" s="31" t="n">
        <v>0</v>
      </c>
      <c r="I82" s="32" t="n">
        <v>0</v>
      </c>
      <c r="J82" s="31" t="n">
        <v>0</v>
      </c>
      <c r="K82" s="31" t="n">
        <v>0</v>
      </c>
      <c r="L82" s="44" t="n">
        <v>0</v>
      </c>
      <c r="M82" s="44" t="n">
        <v>0</v>
      </c>
      <c r="N82" s="32" t="n">
        <v>0</v>
      </c>
      <c r="O82" s="44" t="n">
        <v>0</v>
      </c>
      <c r="P82" s="2" t="n">
        <v>238</v>
      </c>
      <c r="Q82" s="2" t="n">
        <v>124</v>
      </c>
      <c r="R82" s="2" t="n">
        <v>1</v>
      </c>
    </row>
    <row r="83">
      <c r="A83" t="inlineStr">
        <is>
          <t>Wine,Christmas,Optimized,Wine WFS,Valentine,SEM</t>
        </is>
      </c>
      <c r="B83" s="29" t="n">
        <v>294.78</v>
      </c>
      <c r="C83" s="30" t="n">
        <v>0.0025</v>
      </c>
      <c r="D83" s="2" t="n">
        <v>21</v>
      </c>
      <c r="E83" s="31" t="n">
        <v>36.79</v>
      </c>
      <c r="F83" s="32" t="n">
        <v>0.0044</v>
      </c>
      <c r="G83" s="32" t="n">
        <v>0.1248</v>
      </c>
      <c r="H83" s="31" t="n">
        <v>2.25</v>
      </c>
      <c r="I83" s="32" t="n">
        <v>0.44</v>
      </c>
      <c r="J83" s="31" t="n">
        <v>82.94999999999999</v>
      </c>
      <c r="K83" s="31" t="n">
        <v>82.94999999999999</v>
      </c>
      <c r="L83" s="44" t="n">
        <v>47146</v>
      </c>
      <c r="M83" s="44" t="n">
        <v>68</v>
      </c>
      <c r="N83" s="32" t="n">
        <v>0.0014</v>
      </c>
      <c r="O83" s="44" t="n">
        <v>5</v>
      </c>
      <c r="P83" s="2" t="n">
        <v>32</v>
      </c>
      <c r="Q83" s="2" t="n">
        <v>149</v>
      </c>
      <c r="R83" s="2" t="n">
        <v>3</v>
      </c>
    </row>
    <row r="84">
      <c r="A84" t="inlineStr">
        <is>
          <t>Q2-Target,Optimized,Hats</t>
        </is>
      </c>
      <c r="B84" s="29" t="n">
        <v>285.79</v>
      </c>
      <c r="C84" s="30" t="n">
        <v>0.0025</v>
      </c>
      <c r="D84" s="2" t="n">
        <v>21</v>
      </c>
      <c r="E84" s="31" t="n">
        <v>8.229999999999999</v>
      </c>
      <c r="F84" s="32" t="n">
        <v>0.001</v>
      </c>
      <c r="G84" s="32" t="n">
        <v>0.0288</v>
      </c>
      <c r="H84" s="31" t="n">
        <v>6.44</v>
      </c>
      <c r="I84" s="32" t="n">
        <v>0.16</v>
      </c>
      <c r="J84" s="31" t="n">
        <v>52.97</v>
      </c>
      <c r="K84" s="31" t="n">
        <v>52.97</v>
      </c>
      <c r="L84" s="44" t="n">
        <v>15431</v>
      </c>
      <c r="M84" s="44" t="n">
        <v>27</v>
      </c>
      <c r="N84" s="32" t="n">
        <v>0.0017</v>
      </c>
      <c r="O84" s="44" t="n">
        <v>3</v>
      </c>
      <c r="P84" s="2" t="n">
        <v>28</v>
      </c>
      <c r="Q84" s="2" t="n">
        <v>188</v>
      </c>
      <c r="R84" s="2" t="n">
        <v>5</v>
      </c>
    </row>
    <row r="85">
      <c r="A85" t="inlineStr">
        <is>
          <t>Wine,Wine Bag Camp,Christmas,WFS,Wine WFS,Valentine,WFS Item</t>
        </is>
      </c>
      <c r="B85" s="29" t="n">
        <v>282.02</v>
      </c>
      <c r="C85" s="30" t="n">
        <v>0.0024</v>
      </c>
      <c r="D85" s="2" t="n">
        <v>13</v>
      </c>
      <c r="E85" s="31" t="n">
        <v>58.20000000000002</v>
      </c>
      <c r="F85" s="32" t="n">
        <v>0.007</v>
      </c>
      <c r="G85" s="32" t="n">
        <v>0.2064</v>
      </c>
      <c r="H85" s="31" t="n">
        <v>3.8</v>
      </c>
      <c r="I85" s="32" t="n">
        <v>0.26</v>
      </c>
      <c r="J85" s="31" t="n">
        <v>220.89</v>
      </c>
      <c r="K85" s="31" t="n">
        <v>146.93</v>
      </c>
      <c r="L85" s="44" t="n">
        <v>58626</v>
      </c>
      <c r="M85" s="44" t="n">
        <v>146</v>
      </c>
      <c r="N85" s="32" t="n">
        <v>0.0025</v>
      </c>
      <c r="O85" s="44" t="n">
        <v>11</v>
      </c>
      <c r="P85" s="2" t="n">
        <v>196</v>
      </c>
      <c r="Q85" s="2" t="n">
        <v>183</v>
      </c>
      <c r="R85" s="2" t="n">
        <v>2</v>
      </c>
    </row>
    <row r="86">
      <c r="A86" t="inlineStr">
        <is>
          <t>SEM,WFS Item</t>
        </is>
      </c>
      <c r="B86" s="29" t="n">
        <v>279.93</v>
      </c>
      <c r="C86" s="30" t="n">
        <v>0.0024</v>
      </c>
      <c r="D86" s="2" t="n">
        <v>7</v>
      </c>
      <c r="E86" s="31" t="n">
        <v>0</v>
      </c>
      <c r="F86" s="32" t="n">
        <v>0</v>
      </c>
      <c r="G86" s="32" t="n">
        <v>0</v>
      </c>
      <c r="H86" s="31" t="n">
        <v>0</v>
      </c>
      <c r="I86" s="32" t="n">
        <v>0</v>
      </c>
      <c r="J86" s="31" t="n">
        <v>0</v>
      </c>
      <c r="K86" s="31" t="n">
        <v>0</v>
      </c>
      <c r="L86" s="44" t="n">
        <v>0</v>
      </c>
      <c r="M86" s="44" t="n">
        <v>0</v>
      </c>
      <c r="N86" s="32" t="n">
        <v>0</v>
      </c>
      <c r="O86" s="44" t="n">
        <v>0</v>
      </c>
      <c r="P86" s="2" t="n">
        <v>266</v>
      </c>
      <c r="Q86" s="2" t="n">
        <v>308</v>
      </c>
      <c r="R86" s="2" t="n">
        <v>2</v>
      </c>
    </row>
    <row r="87">
      <c r="A87" t="inlineStr">
        <is>
          <t>Q2-Target,Lunch Bag,Lunch Bags,SEM,Wal-Exl-Price</t>
        </is>
      </c>
      <c r="B87" s="29" t="n">
        <v>275.8</v>
      </c>
      <c r="C87" s="30" t="n">
        <v>0.0024</v>
      </c>
      <c r="D87" s="2" t="n">
        <v>19</v>
      </c>
      <c r="E87" s="31" t="n">
        <v>0</v>
      </c>
      <c r="F87" s="32" t="n">
        <v>0</v>
      </c>
      <c r="G87" s="32" t="n">
        <v>0</v>
      </c>
      <c r="H87" s="31" t="n">
        <v>0</v>
      </c>
      <c r="I87" s="32" t="n">
        <v>0</v>
      </c>
      <c r="J87" s="31" t="n">
        <v>0</v>
      </c>
      <c r="K87" s="31" t="n">
        <v>0</v>
      </c>
      <c r="L87" s="44" t="n">
        <v>0</v>
      </c>
      <c r="M87" s="44" t="n">
        <v>0</v>
      </c>
      <c r="N87" s="32" t="n">
        <v>0</v>
      </c>
      <c r="O87" s="44" t="n">
        <v>0</v>
      </c>
      <c r="P87" s="2" t="n">
        <v>910</v>
      </c>
      <c r="Q87" s="2" t="n">
        <v>602</v>
      </c>
      <c r="R87" s="2" t="n">
        <v>1</v>
      </c>
    </row>
    <row r="88">
      <c r="A88" t="inlineStr">
        <is>
          <t>Brand Camp VD,Lunch Bag,WFS,Lunch Bags,SEM,WFS Item</t>
        </is>
      </c>
      <c r="B88" s="29" t="n">
        <v>272.79</v>
      </c>
      <c r="C88" s="30" t="n">
        <v>0.0024</v>
      </c>
      <c r="D88" s="2" t="n">
        <v>19</v>
      </c>
      <c r="E88" s="31" t="n">
        <v>0</v>
      </c>
      <c r="F88" s="32" t="n">
        <v>0</v>
      </c>
      <c r="G88" s="32" t="n">
        <v>0</v>
      </c>
      <c r="H88" s="31" t="n">
        <v>0</v>
      </c>
      <c r="I88" s="32" t="n">
        <v>0</v>
      </c>
      <c r="J88" s="31" t="n">
        <v>0</v>
      </c>
      <c r="K88" s="31" t="n">
        <v>0</v>
      </c>
      <c r="L88" s="44" t="n">
        <v>0</v>
      </c>
      <c r="M88" s="44" t="n">
        <v>0</v>
      </c>
      <c r="N88" s="32" t="n">
        <v>0</v>
      </c>
      <c r="O88" s="44" t="n">
        <v>0</v>
      </c>
      <c r="P88" s="2" t="n">
        <v>548</v>
      </c>
      <c r="Q88" s="2" t="n">
        <v>286</v>
      </c>
      <c r="R88" s="2" t="n">
        <v>2</v>
      </c>
    </row>
    <row r="89">
      <c r="A89" t="inlineStr">
        <is>
          <t>Q2-Target,Baby days,Optimized,Hero 5 Holidays,WFS,WFS Item</t>
        </is>
      </c>
      <c r="B89" s="29" t="n">
        <v>269.77</v>
      </c>
      <c r="C89" s="30" t="n">
        <v>0.0023</v>
      </c>
      <c r="D89" s="2" t="n">
        <v>14</v>
      </c>
      <c r="E89" s="31" t="n">
        <v>19.88</v>
      </c>
      <c r="F89" s="32" t="n">
        <v>0.0024</v>
      </c>
      <c r="G89" s="32" t="n">
        <v>0.0737</v>
      </c>
      <c r="H89" s="31" t="n">
        <v>2.87</v>
      </c>
      <c r="I89" s="32" t="n">
        <v>0.35</v>
      </c>
      <c r="J89" s="31" t="n">
        <v>56.97</v>
      </c>
      <c r="K89" s="31" t="n">
        <v>56.97</v>
      </c>
      <c r="L89" s="44" t="n">
        <v>33657</v>
      </c>
      <c r="M89" s="44" t="n">
        <v>61</v>
      </c>
      <c r="N89" s="32" t="n">
        <v>0.0018</v>
      </c>
      <c r="O89" s="44" t="n">
        <v>3</v>
      </c>
      <c r="P89" s="2" t="n">
        <v>467</v>
      </c>
      <c r="Q89" s="2" t="n">
        <v>246</v>
      </c>
      <c r="R89" s="2" t="n">
        <v>1</v>
      </c>
    </row>
    <row r="90">
      <c r="A90" t="inlineStr">
        <is>
          <t>Hoodie ForAdult,WFS,Coupon_Discount,WFS Item</t>
        </is>
      </c>
      <c r="B90" s="29" t="n">
        <v>264.94</v>
      </c>
      <c r="C90" s="30" t="n">
        <v>0.0023</v>
      </c>
      <c r="D90" s="2" t="n">
        <v>6</v>
      </c>
      <c r="E90" s="31" t="n">
        <v>13.3</v>
      </c>
      <c r="F90" s="32" t="n">
        <v>0.0016</v>
      </c>
      <c r="G90" s="32" t="n">
        <v>0.0502</v>
      </c>
      <c r="H90" s="31" t="n">
        <v>0</v>
      </c>
      <c r="I90" s="32" t="n">
        <v>0</v>
      </c>
      <c r="J90" s="31" t="n">
        <v>0</v>
      </c>
      <c r="K90" s="31" t="n">
        <v>0</v>
      </c>
      <c r="L90" s="44" t="n">
        <v>25080</v>
      </c>
      <c r="M90" s="44" t="n">
        <v>35</v>
      </c>
      <c r="N90" s="32" t="n">
        <v>0.0014</v>
      </c>
      <c r="O90" s="44" t="n">
        <v>0</v>
      </c>
      <c r="P90" s="2" t="n">
        <v>131</v>
      </c>
      <c r="Q90" s="2" t="n">
        <v>257</v>
      </c>
      <c r="R90" s="2" t="n">
        <v>5</v>
      </c>
    </row>
    <row r="91">
      <c r="A91" t="inlineStr">
        <is>
          <t>SEM,Batch 1 - TR</t>
        </is>
      </c>
      <c r="B91" s="29" t="n">
        <v>264.84</v>
      </c>
      <c r="C91" s="30" t="n">
        <v>0.0023</v>
      </c>
      <c r="D91" s="2" t="n">
        <v>14</v>
      </c>
      <c r="E91" s="31" t="n">
        <v>45.70999999999999</v>
      </c>
      <c r="F91" s="32" t="n">
        <v>0.0055</v>
      </c>
      <c r="G91" s="32" t="n">
        <v>0.1726</v>
      </c>
      <c r="H91" s="31" t="n">
        <v>4.59</v>
      </c>
      <c r="I91" s="32" t="n">
        <v>0.22</v>
      </c>
      <c r="J91" s="31" t="n">
        <v>209.9</v>
      </c>
      <c r="K91" s="31" t="n">
        <v>183.91</v>
      </c>
      <c r="L91" s="44" t="n">
        <v>92850</v>
      </c>
      <c r="M91" s="44" t="n">
        <v>116</v>
      </c>
      <c r="N91" s="32" t="n">
        <v>0.0012</v>
      </c>
      <c r="O91" s="44" t="n">
        <v>10</v>
      </c>
      <c r="P91" s="2" t="n">
        <v>115</v>
      </c>
      <c r="Q91" s="2" t="n">
        <v>247</v>
      </c>
      <c r="R91" s="2" t="n">
        <v>3</v>
      </c>
    </row>
    <row r="92">
      <c r="A92" t="inlineStr">
        <is>
          <t>Q2-Target,SEM,Batch 1 - TR,AMZ Bestsellers</t>
        </is>
      </c>
      <c r="B92" s="29" t="n">
        <v>261.93</v>
      </c>
      <c r="C92" s="30" t="n">
        <v>0.0023</v>
      </c>
      <c r="D92" s="2" t="n">
        <v>7</v>
      </c>
      <c r="E92" s="31" t="n">
        <v>7.750000000000002</v>
      </c>
      <c r="F92" s="32" t="n">
        <v>0.0009</v>
      </c>
      <c r="G92" s="32" t="n">
        <v>0.0296</v>
      </c>
      <c r="H92" s="31" t="n">
        <v>10.96</v>
      </c>
      <c r="I92" s="32" t="n">
        <v>0.09</v>
      </c>
      <c r="J92" s="31" t="n">
        <v>84.97</v>
      </c>
      <c r="K92" s="31" t="n">
        <v>84.97</v>
      </c>
      <c r="L92" s="44" t="n">
        <v>19291</v>
      </c>
      <c r="M92" s="44" t="n">
        <v>18</v>
      </c>
      <c r="N92" s="32" t="n">
        <v>0.0009</v>
      </c>
      <c r="O92" s="44" t="n">
        <v>3</v>
      </c>
      <c r="P92" s="2" t="n">
        <v>55</v>
      </c>
      <c r="Q92" s="2" t="n">
        <v>108</v>
      </c>
      <c r="R92" s="2" t="n">
        <v>1</v>
      </c>
    </row>
    <row r="93">
      <c r="A93" t="inlineStr">
        <is>
          <t>Valentine</t>
        </is>
      </c>
      <c r="B93" s="29" t="n">
        <v>256.57</v>
      </c>
      <c r="C93" s="30" t="n">
        <v>0.0022</v>
      </c>
      <c r="D93" s="2" t="n">
        <v>32</v>
      </c>
      <c r="E93" s="31" t="n">
        <v>0</v>
      </c>
      <c r="F93" s="32" t="n">
        <v>0</v>
      </c>
      <c r="G93" s="32" t="n">
        <v>0</v>
      </c>
      <c r="H93" s="31" t="n">
        <v>0</v>
      </c>
      <c r="I93" s="32" t="n">
        <v>0</v>
      </c>
      <c r="J93" s="31" t="n">
        <v>0</v>
      </c>
      <c r="K93" s="31" t="n">
        <v>0</v>
      </c>
      <c r="L93" s="44" t="n">
        <v>0</v>
      </c>
      <c r="M93" s="44" t="n">
        <v>0</v>
      </c>
      <c r="N93" s="32" t="n">
        <v>0</v>
      </c>
      <c r="O93" s="44" t="n">
        <v>0</v>
      </c>
      <c r="P93" s="2" t="n">
        <v>80</v>
      </c>
      <c r="Q93" s="2" t="n">
        <v>886</v>
      </c>
      <c r="R93" s="2" t="n">
        <v>43</v>
      </c>
    </row>
    <row r="94">
      <c r="A94" t="inlineStr">
        <is>
          <t>Q2-Target,Optimized,WFS,Coupon_Discount,WFS Item,Fleece Blankets</t>
        </is>
      </c>
      <c r="B94" s="29" t="n">
        <v>255.88</v>
      </c>
      <c r="C94" s="30" t="n">
        <v>0.0022</v>
      </c>
      <c r="D94" s="2" t="n">
        <v>11</v>
      </c>
      <c r="E94" s="31" t="n">
        <v>92.39999999999999</v>
      </c>
      <c r="F94" s="32" t="n">
        <v>0.0111</v>
      </c>
      <c r="G94" s="32" t="n">
        <v>0.3611</v>
      </c>
      <c r="H94" s="31" t="n">
        <v>2.23</v>
      </c>
      <c r="I94" s="32" t="n">
        <v>0.45</v>
      </c>
      <c r="J94" s="31" t="n">
        <v>205.91</v>
      </c>
      <c r="K94" s="31" t="n">
        <v>175.92</v>
      </c>
      <c r="L94" s="44" t="n">
        <v>43584</v>
      </c>
      <c r="M94" s="44" t="n">
        <v>222</v>
      </c>
      <c r="N94" s="32" t="n">
        <v>0.0051</v>
      </c>
      <c r="O94" s="44" t="n">
        <v>9</v>
      </c>
      <c r="P94" s="2" t="n">
        <v>202</v>
      </c>
      <c r="Q94" s="2" t="n">
        <v>210</v>
      </c>
      <c r="R94" s="2" t="n">
        <v>5</v>
      </c>
    </row>
    <row r="95">
      <c r="A95" t="inlineStr">
        <is>
          <t>Q2-Target,Optimized,WFS,Beach Robe Camp,WFS Item</t>
        </is>
      </c>
      <c r="B95" s="29" t="n">
        <v>249.9</v>
      </c>
      <c r="C95" s="30" t="n">
        <v>0.0022</v>
      </c>
      <c r="D95" s="2" t="n">
        <v>5</v>
      </c>
      <c r="E95" s="31" t="n">
        <v>34.35</v>
      </c>
      <c r="F95" s="32" t="n">
        <v>0.0041</v>
      </c>
      <c r="G95" s="32" t="n">
        <v>0.1375</v>
      </c>
      <c r="H95" s="31" t="n">
        <v>2.36</v>
      </c>
      <c r="I95" s="32" t="n">
        <v>0.42</v>
      </c>
      <c r="J95" s="31" t="n">
        <v>80.97</v>
      </c>
      <c r="K95" s="31" t="n">
        <v>80.97</v>
      </c>
      <c r="L95" s="44" t="n">
        <v>139052</v>
      </c>
      <c r="M95" s="44" t="n">
        <v>102</v>
      </c>
      <c r="N95" s="32" t="n">
        <v>0.0007</v>
      </c>
      <c r="O95" s="44" t="n">
        <v>3</v>
      </c>
      <c r="P95" s="2" t="n">
        <v>30</v>
      </c>
      <c r="Q95" s="2" t="n">
        <v>119</v>
      </c>
      <c r="R95" s="2" t="n">
        <v>1</v>
      </c>
    </row>
    <row r="96">
      <c r="A96" t="inlineStr">
        <is>
          <t>WFS,WFS Item,Fleece Blankets</t>
        </is>
      </c>
      <c r="B96" s="29" t="n">
        <v>248.13</v>
      </c>
      <c r="C96" s="30" t="n">
        <v>0.0021</v>
      </c>
      <c r="D96" s="2" t="n">
        <v>10</v>
      </c>
      <c r="E96" s="31" t="n">
        <v>70.33000000000003</v>
      </c>
      <c r="F96" s="32" t="n">
        <v>0.008399999999999999</v>
      </c>
      <c r="G96" s="32" t="n">
        <v>0.2834</v>
      </c>
      <c r="H96" s="31" t="n">
        <v>2.89</v>
      </c>
      <c r="I96" s="32" t="n">
        <v>0.35</v>
      </c>
      <c r="J96" s="31" t="n">
        <v>202.92</v>
      </c>
      <c r="K96" s="31" t="n">
        <v>132.95</v>
      </c>
      <c r="L96" s="44" t="n">
        <v>146975</v>
      </c>
      <c r="M96" s="44" t="n">
        <v>156</v>
      </c>
      <c r="N96" s="32" t="n">
        <v>0.0011</v>
      </c>
      <c r="O96" s="44" t="n">
        <v>8</v>
      </c>
      <c r="P96" s="2" t="n">
        <v>49</v>
      </c>
      <c r="Q96" s="2" t="n">
        <v>629</v>
      </c>
      <c r="R96" s="2" t="n">
        <v>21</v>
      </c>
    </row>
    <row r="97">
      <c r="A97" t="inlineStr">
        <is>
          <t>Q2-Target,Wproof Blanket</t>
        </is>
      </c>
      <c r="B97" s="29" t="n">
        <v>247.9</v>
      </c>
      <c r="C97" s="30" t="n">
        <v>0.0021</v>
      </c>
      <c r="D97" s="2" t="n">
        <v>9</v>
      </c>
      <c r="E97" s="31" t="n">
        <v>96.08000000000003</v>
      </c>
      <c r="F97" s="32" t="n">
        <v>0.0115</v>
      </c>
      <c r="G97" s="32" t="n">
        <v>0.3876</v>
      </c>
      <c r="H97" s="31" t="n">
        <v>3.07</v>
      </c>
      <c r="I97" s="32" t="n">
        <v>0.33</v>
      </c>
      <c r="J97" s="31" t="n">
        <v>294.89</v>
      </c>
      <c r="K97" s="31" t="n">
        <v>294.89</v>
      </c>
      <c r="L97" s="44" t="n">
        <v>78058</v>
      </c>
      <c r="M97" s="44" t="n">
        <v>232</v>
      </c>
      <c r="N97" s="32" t="n">
        <v>0.003</v>
      </c>
      <c r="O97" s="44" t="n">
        <v>11</v>
      </c>
      <c r="P97" s="2" t="n">
        <v>59</v>
      </c>
      <c r="Q97" s="2" t="n">
        <v>224</v>
      </c>
      <c r="R97" s="2" t="n">
        <v>3</v>
      </c>
    </row>
    <row r="98">
      <c r="A98" t="inlineStr">
        <is>
          <t>Optimized,WFS,Coupon_Discount,WFS Item</t>
        </is>
      </c>
      <c r="B98" s="29" t="n">
        <v>236.91</v>
      </c>
      <c r="C98" s="30" t="n">
        <v>0.002</v>
      </c>
      <c r="D98" s="2" t="n">
        <v>9</v>
      </c>
      <c r="E98" s="31" t="n">
        <v>0</v>
      </c>
      <c r="F98" s="32" t="n">
        <v>0</v>
      </c>
      <c r="G98" s="32" t="n">
        <v>0</v>
      </c>
      <c r="H98" s="31" t="n">
        <v>0</v>
      </c>
      <c r="I98" s="32" t="n">
        <v>0</v>
      </c>
      <c r="J98" s="31" t="n">
        <v>0</v>
      </c>
      <c r="K98" s="31" t="n">
        <v>0</v>
      </c>
      <c r="L98" s="44" t="n">
        <v>1</v>
      </c>
      <c r="M98" s="44" t="n">
        <v>0</v>
      </c>
      <c r="N98" s="32" t="n">
        <v>0</v>
      </c>
      <c r="O98" s="44" t="n">
        <v>0</v>
      </c>
      <c r="P98" s="2" t="n">
        <v>123</v>
      </c>
      <c r="Q98" s="2" t="n">
        <v>242</v>
      </c>
      <c r="R98" s="2" t="n">
        <v>6</v>
      </c>
    </row>
    <row r="99">
      <c r="A99" t="inlineStr">
        <is>
          <t>Q2-Target,Lunch Bag,SEM</t>
        </is>
      </c>
      <c r="B99" s="29" t="n">
        <v>230.79</v>
      </c>
      <c r="C99" s="30" t="n">
        <v>0.002</v>
      </c>
      <c r="D99" s="2" t="n">
        <v>21</v>
      </c>
      <c r="E99" s="31" t="n">
        <v>0</v>
      </c>
      <c r="F99" s="32" t="n">
        <v>0</v>
      </c>
      <c r="G99" s="32" t="n">
        <v>0</v>
      </c>
      <c r="H99" s="31" t="n">
        <v>0</v>
      </c>
      <c r="I99" s="32" t="n">
        <v>0</v>
      </c>
      <c r="J99" s="31" t="n">
        <v>0</v>
      </c>
      <c r="K99" s="31" t="n">
        <v>0</v>
      </c>
      <c r="L99" s="44" t="n">
        <v>0</v>
      </c>
      <c r="M99" s="44" t="n">
        <v>0</v>
      </c>
      <c r="N99" s="32" t="n">
        <v>0</v>
      </c>
      <c r="O99" s="44" t="n">
        <v>0</v>
      </c>
      <c r="P99" s="2" t="n">
        <v>73</v>
      </c>
      <c r="Q99" s="2" t="n">
        <v>89</v>
      </c>
      <c r="R99" s="2" t="n">
        <v>1</v>
      </c>
    </row>
    <row r="100">
      <c r="A100" t="inlineStr">
        <is>
          <t>Hoodie ForAdult,Optimized</t>
        </is>
      </c>
      <c r="B100" s="29" t="n">
        <v>226.91</v>
      </c>
      <c r="C100" s="30" t="n">
        <v>0.002</v>
      </c>
      <c r="D100" s="2" t="n">
        <v>9</v>
      </c>
      <c r="E100" s="31" t="n">
        <v>86.46000000000001</v>
      </c>
      <c r="F100" s="32" t="n">
        <v>0.0104</v>
      </c>
      <c r="G100" s="32" t="n">
        <v>0.381</v>
      </c>
      <c r="H100" s="31" t="n">
        <v>0.65</v>
      </c>
      <c r="I100" s="32" t="n">
        <v>1.55</v>
      </c>
      <c r="J100" s="31" t="n">
        <v>55.96</v>
      </c>
      <c r="K100" s="31" t="n">
        <v>41.97</v>
      </c>
      <c r="L100" s="44" t="n">
        <v>137319</v>
      </c>
      <c r="M100" s="44" t="n">
        <v>241</v>
      </c>
      <c r="N100" s="32" t="n">
        <v>0.0018</v>
      </c>
      <c r="O100" s="44" t="n">
        <v>4</v>
      </c>
      <c r="P100" s="2" t="n">
        <v>145</v>
      </c>
      <c r="Q100" s="2" t="n">
        <v>526</v>
      </c>
      <c r="R100" s="2" t="n">
        <v>41</v>
      </c>
    </row>
    <row r="101">
      <c r="A101" t="inlineStr">
        <is>
          <t>Wine,Christmas,Optimized,Valentine,Lily Brand Camp</t>
        </is>
      </c>
      <c r="B101" s="29" t="n">
        <v>226.87</v>
      </c>
      <c r="C101" s="30" t="n">
        <v>0.002</v>
      </c>
      <c r="D101" s="2" t="n">
        <v>12</v>
      </c>
      <c r="E101" s="31" t="n">
        <v>15.15</v>
      </c>
      <c r="F101" s="32" t="n">
        <v>0.0018</v>
      </c>
      <c r="G101" s="32" t="n">
        <v>0.0668</v>
      </c>
      <c r="H101" s="31" t="n">
        <v>1.19</v>
      </c>
      <c r="I101" s="32" t="n">
        <v>0.84</v>
      </c>
      <c r="J101" s="31" t="n">
        <v>17.99</v>
      </c>
      <c r="K101" s="31" t="n">
        <v>17.99</v>
      </c>
      <c r="L101" s="44" t="n">
        <v>25317</v>
      </c>
      <c r="M101" s="44" t="n">
        <v>40</v>
      </c>
      <c r="N101" s="32" t="n">
        <v>0.0016</v>
      </c>
      <c r="O101" s="44" t="n">
        <v>1</v>
      </c>
      <c r="P101" s="2" t="n">
        <v>145</v>
      </c>
      <c r="Q101" s="2" t="n">
        <v>183</v>
      </c>
      <c r="R101" s="2" t="n">
        <v>4</v>
      </c>
    </row>
    <row r="102">
      <c r="A102" t="inlineStr">
        <is>
          <t>Wine,Christmas,WFS,Valentine,SEM,WFS Item</t>
        </is>
      </c>
      <c r="B102" s="29" t="n">
        <v>217.95</v>
      </c>
      <c r="C102" s="30" t="n">
        <v>0.0019</v>
      </c>
      <c r="D102" s="2" t="n">
        <v>11</v>
      </c>
      <c r="E102" s="31" t="n">
        <v>17.51</v>
      </c>
      <c r="F102" s="32" t="n">
        <v>0.0021</v>
      </c>
      <c r="G102" s="32" t="n">
        <v>0.0803</v>
      </c>
      <c r="H102" s="31" t="n">
        <v>2.51</v>
      </c>
      <c r="I102" s="32" t="n">
        <v>0.4</v>
      </c>
      <c r="J102" s="31" t="n">
        <v>43.98</v>
      </c>
      <c r="K102" s="31" t="n">
        <v>43.98</v>
      </c>
      <c r="L102" s="44" t="n">
        <v>35751</v>
      </c>
      <c r="M102" s="44" t="n">
        <v>40</v>
      </c>
      <c r="N102" s="32" t="n">
        <v>0.0011</v>
      </c>
      <c r="O102" s="44" t="n">
        <v>2</v>
      </c>
      <c r="P102" s="2" t="n">
        <v>107</v>
      </c>
      <c r="Q102" s="2" t="n">
        <v>234</v>
      </c>
      <c r="R102" s="2" t="n">
        <v>5</v>
      </c>
    </row>
    <row r="103">
      <c r="A103" t="inlineStr">
        <is>
          <t>Lunch Bag</t>
        </is>
      </c>
      <c r="B103" s="29" t="n">
        <v>216.76</v>
      </c>
      <c r="C103" s="30" t="n">
        <v>0.0019</v>
      </c>
      <c r="D103" s="2" t="n">
        <v>21</v>
      </c>
      <c r="E103" s="31" t="n">
        <v>0</v>
      </c>
      <c r="F103" s="32" t="n">
        <v>0</v>
      </c>
      <c r="G103" s="32" t="n">
        <v>0</v>
      </c>
      <c r="H103" s="31" t="n">
        <v>0</v>
      </c>
      <c r="I103" s="32" t="n">
        <v>0</v>
      </c>
      <c r="J103" s="31" t="n">
        <v>0</v>
      </c>
      <c r="K103" s="31" t="n">
        <v>0</v>
      </c>
      <c r="L103" s="44" t="n">
        <v>0</v>
      </c>
      <c r="M103" s="44" t="n">
        <v>0</v>
      </c>
      <c r="N103" s="32" t="n">
        <v>0</v>
      </c>
      <c r="O103" s="44" t="n">
        <v>0</v>
      </c>
      <c r="P103" s="2" t="n">
        <v>912</v>
      </c>
      <c r="Q103" s="2" t="n">
        <v>440</v>
      </c>
      <c r="R103" s="2" t="n">
        <v>2</v>
      </c>
    </row>
    <row r="104">
      <c r="A104" t="inlineStr">
        <is>
          <t>Gloves,Batch 1 - TR</t>
        </is>
      </c>
      <c r="B104" s="29" t="n">
        <v>208.9</v>
      </c>
      <c r="C104" s="30" t="n">
        <v>0.0018</v>
      </c>
      <c r="D104" s="2" t="n">
        <v>10</v>
      </c>
      <c r="E104" s="31" t="n">
        <v>0</v>
      </c>
      <c r="F104" s="32" t="n">
        <v>0</v>
      </c>
      <c r="G104" s="32" t="n">
        <v>0</v>
      </c>
      <c r="H104" s="31" t="n">
        <v>0</v>
      </c>
      <c r="I104" s="32" t="n">
        <v>0</v>
      </c>
      <c r="J104" s="31" t="n">
        <v>0</v>
      </c>
      <c r="K104" s="31" t="n">
        <v>0</v>
      </c>
      <c r="L104" s="44" t="n">
        <v>0</v>
      </c>
      <c r="M104" s="44" t="n">
        <v>0</v>
      </c>
      <c r="N104" s="32" t="n">
        <v>0</v>
      </c>
      <c r="O104" s="44" t="n">
        <v>0</v>
      </c>
      <c r="P104" s="2" t="n">
        <v>9</v>
      </c>
      <c r="Q104" s="2" t="n">
        <v>68</v>
      </c>
      <c r="R104" s="2" t="n">
        <v>4</v>
      </c>
    </row>
    <row r="105">
      <c r="A105" t="inlineStr">
        <is>
          <t>Q2-Target,Brand Camp VD,SEM,Batch 1 - TR</t>
        </is>
      </c>
      <c r="B105" s="29" t="n">
        <v>195.84</v>
      </c>
      <c r="C105" s="30" t="n">
        <v>0.0017</v>
      </c>
      <c r="D105" s="2" t="n">
        <v>16</v>
      </c>
      <c r="E105" s="31" t="n">
        <v>0</v>
      </c>
      <c r="F105" s="32" t="n">
        <v>0</v>
      </c>
      <c r="G105" s="32" t="n">
        <v>0</v>
      </c>
      <c r="H105" s="31" t="n">
        <v>0</v>
      </c>
      <c r="I105" s="32" t="n">
        <v>0</v>
      </c>
      <c r="J105" s="31" t="n">
        <v>0</v>
      </c>
      <c r="K105" s="31" t="n">
        <v>0</v>
      </c>
      <c r="L105" s="44" t="n">
        <v>0</v>
      </c>
      <c r="M105" s="44" t="n">
        <v>0</v>
      </c>
      <c r="N105" s="32" t="n">
        <v>0</v>
      </c>
      <c r="O105" s="44" t="n">
        <v>0</v>
      </c>
      <c r="P105" s="2" t="n">
        <v>135</v>
      </c>
      <c r="Q105" s="2" t="n">
        <v>125</v>
      </c>
      <c r="R105" s="2" t="n">
        <v>1</v>
      </c>
    </row>
    <row r="106">
      <c r="A106" t="inlineStr">
        <is>
          <t>Q2-Target,Lunch Bag,Optimized,SEM</t>
        </is>
      </c>
      <c r="B106" s="29" t="n">
        <v>193.78</v>
      </c>
      <c r="C106" s="30" t="n">
        <v>0.0017</v>
      </c>
      <c r="D106" s="2" t="n">
        <v>12</v>
      </c>
      <c r="E106" s="31" t="n">
        <v>0</v>
      </c>
      <c r="F106" s="32" t="n">
        <v>0</v>
      </c>
      <c r="G106" s="32" t="n">
        <v>0</v>
      </c>
      <c r="H106" s="31" t="n">
        <v>0</v>
      </c>
      <c r="I106" s="32" t="n">
        <v>0</v>
      </c>
      <c r="J106" s="31" t="n">
        <v>0</v>
      </c>
      <c r="K106" s="31" t="n">
        <v>0</v>
      </c>
      <c r="L106" s="44" t="n">
        <v>0</v>
      </c>
      <c r="M106" s="44" t="n">
        <v>0</v>
      </c>
      <c r="N106" s="32" t="n">
        <v>0</v>
      </c>
      <c r="O106" s="44" t="n">
        <v>0</v>
      </c>
      <c r="P106" s="2" t="n">
        <v>57</v>
      </c>
      <c r="Q106" s="2" t="n">
        <v>69</v>
      </c>
      <c r="R106" s="2" t="n">
        <v>1</v>
      </c>
    </row>
    <row r="107">
      <c r="A107" t="inlineStr">
        <is>
          <t>Hoodie ForAdult,Optimized,Coupon_Discount</t>
        </is>
      </c>
      <c r="B107" s="29" t="n">
        <v>189.95</v>
      </c>
      <c r="C107" s="30" t="n">
        <v>0.0016</v>
      </c>
      <c r="D107" s="2" t="n">
        <v>5</v>
      </c>
      <c r="E107" s="31" t="n">
        <v>28.20000000000001</v>
      </c>
      <c r="F107" s="32" t="n">
        <v>0.0034</v>
      </c>
      <c r="G107" s="32" t="n">
        <v>0.1485</v>
      </c>
      <c r="H107" s="31" t="n">
        <v>0</v>
      </c>
      <c r="I107" s="32" t="n">
        <v>0</v>
      </c>
      <c r="J107" s="31" t="n">
        <v>0</v>
      </c>
      <c r="K107" s="31" t="n">
        <v>0</v>
      </c>
      <c r="L107" s="44" t="n">
        <v>29725</v>
      </c>
      <c r="M107" s="44" t="n">
        <v>73</v>
      </c>
      <c r="N107" s="32" t="n">
        <v>0.0025</v>
      </c>
      <c r="O107" s="44" t="n">
        <v>0</v>
      </c>
      <c r="P107" s="2" t="n">
        <v>24</v>
      </c>
      <c r="Q107" s="2" t="n">
        <v>204</v>
      </c>
      <c r="R107" s="2" t="n">
        <v>10</v>
      </c>
    </row>
    <row r="108">
      <c r="A108" t="inlineStr">
        <is>
          <t>Beach Robe Camp,Batch 1 - TR</t>
        </is>
      </c>
      <c r="B108" s="29" t="n">
        <v>185.92</v>
      </c>
      <c r="C108" s="30" t="n">
        <v>0.0016</v>
      </c>
      <c r="D108" s="2" t="n">
        <v>8</v>
      </c>
      <c r="E108" s="31" t="n">
        <v>0</v>
      </c>
      <c r="F108" s="32" t="n">
        <v>0</v>
      </c>
      <c r="G108" s="32" t="n">
        <v>0</v>
      </c>
      <c r="H108" s="31" t="n">
        <v>0</v>
      </c>
      <c r="I108" s="32" t="n">
        <v>0</v>
      </c>
      <c r="J108" s="31" t="n">
        <v>0</v>
      </c>
      <c r="K108" s="31" t="n">
        <v>0</v>
      </c>
      <c r="L108" s="44" t="n">
        <v>0</v>
      </c>
      <c r="M108" s="44" t="n">
        <v>0</v>
      </c>
      <c r="N108" s="32" t="n">
        <v>0</v>
      </c>
      <c r="O108" s="44" t="n">
        <v>0</v>
      </c>
      <c r="P108" s="2" t="n">
        <v>3</v>
      </c>
      <c r="Q108" s="2" t="n">
        <v>126</v>
      </c>
      <c r="R108" s="2" t="n">
        <v>5</v>
      </c>
    </row>
    <row r="109">
      <c r="A109" t="inlineStr">
        <is>
          <t>Q2-Target,WFS,SEM,WFS Item</t>
        </is>
      </c>
      <c r="B109" s="29" t="n">
        <v>181.93</v>
      </c>
      <c r="C109" s="30" t="n">
        <v>0.0016</v>
      </c>
      <c r="D109" s="2" t="n">
        <v>7</v>
      </c>
      <c r="E109" s="31" t="n">
        <v>4.21</v>
      </c>
      <c r="F109" s="32" t="n">
        <v>0.0005</v>
      </c>
      <c r="G109" s="32" t="n">
        <v>0.0231</v>
      </c>
      <c r="H109" s="31" t="n">
        <v>24.69</v>
      </c>
      <c r="I109" s="32" t="n">
        <v>0.04</v>
      </c>
      <c r="J109" s="31" t="n">
        <v>103.96</v>
      </c>
      <c r="K109" s="31" t="n">
        <v>51.98</v>
      </c>
      <c r="L109" s="44" t="n">
        <v>5698</v>
      </c>
      <c r="M109" s="44" t="n">
        <v>20</v>
      </c>
      <c r="N109" s="32" t="n">
        <v>0.0035</v>
      </c>
      <c r="O109" s="44" t="n">
        <v>4</v>
      </c>
      <c r="P109" s="2" t="n">
        <v>48</v>
      </c>
      <c r="Q109" s="2" t="n">
        <v>178</v>
      </c>
      <c r="R109" s="2" t="n">
        <v>1</v>
      </c>
    </row>
    <row r="110">
      <c r="A110" t="inlineStr">
        <is>
          <t>Optimized,WFS,Wproof Blanket,WFS Item</t>
        </is>
      </c>
      <c r="B110" s="29" t="n">
        <v>179.97</v>
      </c>
      <c r="C110" s="30" t="n">
        <v>0.0016</v>
      </c>
      <c r="D110" s="2" t="n">
        <v>3</v>
      </c>
      <c r="E110" s="31" t="n">
        <v>4.78</v>
      </c>
      <c r="F110" s="32" t="n">
        <v>0.0005999999999999999</v>
      </c>
      <c r="G110" s="32" t="n">
        <v>0.0266</v>
      </c>
      <c r="H110" s="31" t="n">
        <v>0</v>
      </c>
      <c r="I110" s="32" t="n">
        <v>0</v>
      </c>
      <c r="J110" s="31" t="n">
        <v>0</v>
      </c>
      <c r="K110" s="31" t="n">
        <v>0</v>
      </c>
      <c r="L110" s="44" t="n">
        <v>8057</v>
      </c>
      <c r="M110" s="44" t="n">
        <v>12</v>
      </c>
      <c r="N110" s="32" t="n">
        <v>0.0015</v>
      </c>
      <c r="O110" s="44" t="n">
        <v>0</v>
      </c>
      <c r="P110" s="2" t="n">
        <v>0</v>
      </c>
      <c r="Q110" s="2" t="n">
        <v>131</v>
      </c>
      <c r="R110" s="2" t="n">
        <v>1</v>
      </c>
    </row>
    <row r="111">
      <c r="A111" t="inlineStr">
        <is>
          <t>Q2-Target,Optimized,High AUR Items</t>
        </is>
      </c>
      <c r="B111" s="29" t="n">
        <v>178.95</v>
      </c>
      <c r="C111" s="30" t="n">
        <v>0.0015</v>
      </c>
      <c r="D111" s="2" t="n">
        <v>5</v>
      </c>
      <c r="E111" s="31" t="n">
        <v>36.6</v>
      </c>
      <c r="F111" s="32" t="n">
        <v>0.0044</v>
      </c>
      <c r="G111" s="32" t="n">
        <v>0.2045</v>
      </c>
      <c r="H111" s="31" t="n">
        <v>1.26</v>
      </c>
      <c r="I111" s="32" t="n">
        <v>0.8</v>
      </c>
      <c r="J111" s="31" t="n">
        <v>45.99</v>
      </c>
      <c r="K111" s="31" t="n">
        <v>45.99</v>
      </c>
      <c r="L111" s="44" t="n">
        <v>8140</v>
      </c>
      <c r="M111" s="44" t="n">
        <v>53</v>
      </c>
      <c r="N111" s="32" t="n">
        <v>0.0065</v>
      </c>
      <c r="O111" s="44" t="n">
        <v>1</v>
      </c>
      <c r="P111" s="2" t="n">
        <v>71</v>
      </c>
      <c r="Q111" s="2" t="n">
        <v>100</v>
      </c>
      <c r="R111" s="2" t="n">
        <v>1</v>
      </c>
    </row>
    <row r="112">
      <c r="A112" t="inlineStr">
        <is>
          <t>Wine,Christmas,WFS,Valentine,WFS Item</t>
        </is>
      </c>
      <c r="B112" s="29" t="n">
        <v>173.88</v>
      </c>
      <c r="C112" s="30" t="n">
        <v>0.0015</v>
      </c>
      <c r="D112" s="2" t="n">
        <v>9</v>
      </c>
      <c r="E112" s="31" t="n">
        <v>44.17</v>
      </c>
      <c r="F112" s="32" t="n">
        <v>0.0053</v>
      </c>
      <c r="G112" s="32" t="n">
        <v>0.254</v>
      </c>
      <c r="H112" s="31" t="n">
        <v>2.24</v>
      </c>
      <c r="I112" s="32" t="n">
        <v>0.45</v>
      </c>
      <c r="J112" s="31" t="n">
        <v>98.94</v>
      </c>
      <c r="K112" s="31" t="n">
        <v>77.95</v>
      </c>
      <c r="L112" s="44" t="n">
        <v>59343</v>
      </c>
      <c r="M112" s="44" t="n">
        <v>91</v>
      </c>
      <c r="N112" s="32" t="n">
        <v>0.0015</v>
      </c>
      <c r="O112" s="44" t="n">
        <v>6</v>
      </c>
      <c r="P112" s="2" t="n">
        <v>19</v>
      </c>
      <c r="Q112" s="2" t="n">
        <v>160</v>
      </c>
      <c r="R112" s="2" t="n">
        <v>4</v>
      </c>
    </row>
    <row r="113">
      <c r="A113" t="inlineStr">
        <is>
          <t>Q2-Target,Coupon_Discount,Fleece Blankets</t>
        </is>
      </c>
      <c r="B113" s="29" t="n">
        <v>168.92</v>
      </c>
      <c r="C113" s="30" t="n">
        <v>0.0015</v>
      </c>
      <c r="D113" s="2" t="n">
        <v>8</v>
      </c>
      <c r="E113" s="31" t="n">
        <v>0</v>
      </c>
      <c r="F113" s="32" t="n">
        <v>0</v>
      </c>
      <c r="G113" s="32" t="n">
        <v>0</v>
      </c>
      <c r="H113" s="31" t="n">
        <v>0</v>
      </c>
      <c r="I113" s="32" t="n">
        <v>0</v>
      </c>
      <c r="J113" s="31" t="n">
        <v>0</v>
      </c>
      <c r="K113" s="31" t="n">
        <v>0</v>
      </c>
      <c r="L113" s="44" t="n">
        <v>0</v>
      </c>
      <c r="M113" s="44" t="n">
        <v>0</v>
      </c>
      <c r="N113" s="32" t="n">
        <v>0</v>
      </c>
      <c r="O113" s="44" t="n">
        <v>0</v>
      </c>
      <c r="P113" s="2" t="n">
        <v>278</v>
      </c>
      <c r="Q113" s="2" t="n">
        <v>212</v>
      </c>
      <c r="R113" s="2" t="n">
        <v>5</v>
      </c>
    </row>
    <row r="114">
      <c r="A114" t="inlineStr">
        <is>
          <t>Wine,Christmas,WFS,Wine WFS,Valentine,WFS Item,Lily Brand Camp</t>
        </is>
      </c>
      <c r="B114" s="29" t="n">
        <v>165.92</v>
      </c>
      <c r="C114" s="30" t="n">
        <v>0.0014</v>
      </c>
      <c r="D114" s="2" t="n">
        <v>7</v>
      </c>
      <c r="E114" s="31" t="n">
        <v>22.95</v>
      </c>
      <c r="F114" s="32" t="n">
        <v>0.0028</v>
      </c>
      <c r="G114" s="32" t="n">
        <v>0.1383</v>
      </c>
      <c r="H114" s="31" t="n">
        <v>7.36</v>
      </c>
      <c r="I114" s="32" t="n">
        <v>0.14</v>
      </c>
      <c r="J114" s="31" t="n">
        <v>168.92</v>
      </c>
      <c r="K114" s="31" t="n">
        <v>86.95999999999999</v>
      </c>
      <c r="L114" s="44" t="n">
        <v>75521</v>
      </c>
      <c r="M114" s="44" t="n">
        <v>59</v>
      </c>
      <c r="N114" s="32" t="n">
        <v>0.0008</v>
      </c>
      <c r="O114" s="44" t="n">
        <v>8</v>
      </c>
      <c r="P114" s="2" t="n">
        <v>33</v>
      </c>
      <c r="Q114" s="2" t="n">
        <v>185</v>
      </c>
      <c r="R114" s="2" t="n">
        <v>4</v>
      </c>
    </row>
    <row r="115">
      <c r="A115" t="inlineStr">
        <is>
          <t>WFS,Bathrobe,Coupon_Discount,WFS Item</t>
        </is>
      </c>
      <c r="B115" s="29" t="n">
        <v>160.93</v>
      </c>
      <c r="C115" s="30" t="n">
        <v>0.0014</v>
      </c>
      <c r="D115" s="2" t="n">
        <v>7</v>
      </c>
      <c r="E115" s="31" t="n">
        <v>0</v>
      </c>
      <c r="F115" s="32" t="n">
        <v>0</v>
      </c>
      <c r="G115" s="32" t="n">
        <v>0</v>
      </c>
      <c r="H115" s="31" t="n">
        <v>0</v>
      </c>
      <c r="I115" s="32" t="n">
        <v>0</v>
      </c>
      <c r="J115" s="31" t="n">
        <v>0</v>
      </c>
      <c r="K115" s="31" t="n">
        <v>0</v>
      </c>
      <c r="L115" s="44" t="n">
        <v>0</v>
      </c>
      <c r="M115" s="44" t="n">
        <v>0</v>
      </c>
      <c r="N115" s="32" t="n">
        <v>0</v>
      </c>
      <c r="O115" s="44" t="n">
        <v>0</v>
      </c>
      <c r="P115" s="2" t="n">
        <v>172</v>
      </c>
      <c r="Q115" s="2" t="n">
        <v>447</v>
      </c>
      <c r="R115" s="2" t="n">
        <v>6</v>
      </c>
    </row>
    <row r="116">
      <c r="A116" t="inlineStr">
        <is>
          <t>Q2-Target,Lunch Bag,Optimized</t>
        </is>
      </c>
      <c r="B116" s="29" t="n">
        <v>160.54</v>
      </c>
      <c r="C116" s="30" t="n">
        <v>0.0014</v>
      </c>
      <c r="D116" s="2" t="n">
        <v>16</v>
      </c>
      <c r="E116" s="31" t="n">
        <v>0</v>
      </c>
      <c r="F116" s="32" t="n">
        <v>0</v>
      </c>
      <c r="G116" s="32" t="n">
        <v>0</v>
      </c>
      <c r="H116" s="31" t="n">
        <v>0</v>
      </c>
      <c r="I116" s="32" t="n">
        <v>0</v>
      </c>
      <c r="J116" s="31" t="n">
        <v>0</v>
      </c>
      <c r="K116" s="31" t="n">
        <v>0</v>
      </c>
      <c r="L116" s="44" t="n">
        <v>0</v>
      </c>
      <c r="M116" s="44" t="n">
        <v>0</v>
      </c>
      <c r="N116" s="32" t="n">
        <v>0</v>
      </c>
      <c r="O116" s="44" t="n">
        <v>0</v>
      </c>
      <c r="P116" s="2" t="n">
        <v>968</v>
      </c>
      <c r="Q116" s="2" t="n">
        <v>253</v>
      </c>
      <c r="R116" s="2" t="n">
        <v>1</v>
      </c>
    </row>
    <row r="117">
      <c r="A117" t="inlineStr">
        <is>
          <t>Wine,Christmas,Optimized,Valentine,SEM</t>
        </is>
      </c>
      <c r="B117" s="29" t="n">
        <v>156.91</v>
      </c>
      <c r="C117" s="30" t="n">
        <v>0.0014</v>
      </c>
      <c r="D117" s="2" t="n">
        <v>9</v>
      </c>
      <c r="E117" s="31" t="n">
        <v>4.72</v>
      </c>
      <c r="F117" s="32" t="n">
        <v>0.0005999999999999999</v>
      </c>
      <c r="G117" s="32" t="n">
        <v>0.0301</v>
      </c>
      <c r="H117" s="31" t="n">
        <v>0</v>
      </c>
      <c r="I117" s="32" t="n">
        <v>0</v>
      </c>
      <c r="J117" s="31" t="n">
        <v>0</v>
      </c>
      <c r="K117" s="31" t="n">
        <v>0</v>
      </c>
      <c r="L117" s="44" t="n">
        <v>7888</v>
      </c>
      <c r="M117" s="44" t="n">
        <v>16</v>
      </c>
      <c r="N117" s="32" t="n">
        <v>0.002</v>
      </c>
      <c r="O117" s="44" t="n">
        <v>0</v>
      </c>
      <c r="P117" s="2" t="n">
        <v>0</v>
      </c>
      <c r="Q117" s="2" t="n">
        <v>201</v>
      </c>
      <c r="R117" s="2" t="n">
        <v>8</v>
      </c>
    </row>
    <row r="118">
      <c r="A118" t="inlineStr">
        <is>
          <t>Coupon_Discount,Batch 1 - TR</t>
        </is>
      </c>
      <c r="B118" s="29" t="n">
        <v>153.95</v>
      </c>
      <c r="C118" s="30" t="n">
        <v>0.0013</v>
      </c>
      <c r="D118" s="2" t="n">
        <v>5</v>
      </c>
      <c r="E118" s="31" t="n">
        <v>75.00000000000006</v>
      </c>
      <c r="F118" s="32" t="n">
        <v>0.008999999999999999</v>
      </c>
      <c r="G118" s="32" t="n">
        <v>0.4872</v>
      </c>
      <c r="H118" s="31" t="n">
        <v>3.05</v>
      </c>
      <c r="I118" s="32" t="n">
        <v>0.33</v>
      </c>
      <c r="J118" s="31" t="n">
        <v>228.94</v>
      </c>
      <c r="K118" s="31" t="n">
        <v>198.95</v>
      </c>
      <c r="L118" s="44" t="n">
        <v>66313</v>
      </c>
      <c r="M118" s="44" t="n">
        <v>186</v>
      </c>
      <c r="N118" s="32" t="n">
        <v>0.0028</v>
      </c>
      <c r="O118" s="44" t="n">
        <v>6</v>
      </c>
      <c r="P118" s="2" t="n">
        <v>30</v>
      </c>
      <c r="Q118" s="2" t="n">
        <v>435</v>
      </c>
      <c r="R118" s="2" t="n">
        <v>14</v>
      </c>
    </row>
    <row r="119">
      <c r="A119" t="inlineStr">
        <is>
          <t>Q2-Target,Brand Camp VD,Lunch Bag,WFS,Lunch Bags,SEM,Wal-Exl-Price,WFS Item</t>
        </is>
      </c>
      <c r="B119" s="29" t="n">
        <v>151.78</v>
      </c>
      <c r="C119" s="30" t="n">
        <v>0.0013</v>
      </c>
      <c r="D119" s="2" t="n">
        <v>9</v>
      </c>
      <c r="E119" s="31" t="n">
        <v>0</v>
      </c>
      <c r="F119" s="32" t="n">
        <v>0</v>
      </c>
      <c r="G119" s="32" t="n">
        <v>0</v>
      </c>
      <c r="H119" s="31" t="n">
        <v>0</v>
      </c>
      <c r="I119" s="32" t="n">
        <v>0</v>
      </c>
      <c r="J119" s="31" t="n">
        <v>0</v>
      </c>
      <c r="K119" s="31" t="n">
        <v>0</v>
      </c>
      <c r="L119" s="44" t="n">
        <v>0</v>
      </c>
      <c r="M119" s="44" t="n">
        <v>0</v>
      </c>
      <c r="N119" s="32" t="n">
        <v>0</v>
      </c>
      <c r="O119" s="44" t="n">
        <v>0</v>
      </c>
      <c r="P119" s="2" t="n">
        <v>179</v>
      </c>
      <c r="Q119" s="2" t="n">
        <v>494</v>
      </c>
      <c r="R119" s="2" t="n">
        <v>1</v>
      </c>
    </row>
    <row r="120">
      <c r="A120" t="inlineStr">
        <is>
          <t>WFS,Valentine,WFS Item</t>
        </is>
      </c>
      <c r="B120" s="29" t="n">
        <v>147.85</v>
      </c>
      <c r="C120" s="30" t="n">
        <v>0.0013</v>
      </c>
      <c r="D120" s="2" t="n">
        <v>19</v>
      </c>
      <c r="E120" s="31" t="n">
        <v>0</v>
      </c>
      <c r="F120" s="32" t="n">
        <v>0</v>
      </c>
      <c r="G120" s="32" t="n">
        <v>0</v>
      </c>
      <c r="H120" s="31" t="n">
        <v>0</v>
      </c>
      <c r="I120" s="32" t="n">
        <v>0</v>
      </c>
      <c r="J120" s="31" t="n">
        <v>0</v>
      </c>
      <c r="K120" s="31" t="n">
        <v>0</v>
      </c>
      <c r="L120" s="44" t="n">
        <v>0</v>
      </c>
      <c r="M120" s="44" t="n">
        <v>0</v>
      </c>
      <c r="N120" s="32" t="n">
        <v>0</v>
      </c>
      <c r="O120" s="44" t="n">
        <v>0</v>
      </c>
      <c r="P120" s="2" t="n">
        <v>284</v>
      </c>
      <c r="Q120" s="2" t="n">
        <v>564</v>
      </c>
      <c r="R120" s="2" t="n">
        <v>16</v>
      </c>
    </row>
    <row r="121">
      <c r="A121" t="inlineStr">
        <is>
          <t>Q2-Target,Brand Camp VD,Lunch Bag,Lunch Bags,SEM,WFS Item</t>
        </is>
      </c>
      <c r="B121" s="29" t="n">
        <v>147.37</v>
      </c>
      <c r="C121" s="30" t="n">
        <v>0.0013</v>
      </c>
      <c r="D121" s="2" t="n">
        <v>10</v>
      </c>
      <c r="E121" s="31" t="n">
        <v>0</v>
      </c>
      <c r="F121" s="32" t="n">
        <v>0</v>
      </c>
      <c r="G121" s="32" t="n">
        <v>0</v>
      </c>
      <c r="H121" s="31" t="n">
        <v>0</v>
      </c>
      <c r="I121" s="32" t="n">
        <v>0</v>
      </c>
      <c r="J121" s="31" t="n">
        <v>0</v>
      </c>
      <c r="K121" s="31" t="n">
        <v>0</v>
      </c>
      <c r="L121" s="44" t="n">
        <v>0</v>
      </c>
      <c r="M121" s="44" t="n">
        <v>0</v>
      </c>
      <c r="N121" s="32" t="n">
        <v>0</v>
      </c>
      <c r="O121" s="44" t="n">
        <v>0</v>
      </c>
      <c r="P121" s="2" t="n">
        <v>149</v>
      </c>
      <c r="Q121" s="2" t="n">
        <v>486</v>
      </c>
      <c r="R121" s="2" t="n">
        <v>1</v>
      </c>
    </row>
    <row r="122">
      <c r="A122" t="inlineStr">
        <is>
          <t>Hero 5 Holidays,Batch 1 - TR</t>
        </is>
      </c>
      <c r="B122" s="29" t="n">
        <v>146.95</v>
      </c>
      <c r="C122" s="30" t="n">
        <v>0.0013</v>
      </c>
      <c r="D122" s="2" t="n">
        <v>5</v>
      </c>
      <c r="E122" s="31" t="n">
        <v>1.87</v>
      </c>
      <c r="F122" s="32" t="n">
        <v>0.0002</v>
      </c>
      <c r="G122" s="32" t="n">
        <v>0.0127</v>
      </c>
      <c r="H122" s="31" t="n">
        <v>0</v>
      </c>
      <c r="I122" s="32" t="n">
        <v>0</v>
      </c>
      <c r="J122" s="31" t="n">
        <v>0</v>
      </c>
      <c r="K122" s="31" t="n">
        <v>0</v>
      </c>
      <c r="L122" s="44" t="n">
        <v>1668</v>
      </c>
      <c r="M122" s="44" t="n">
        <v>8</v>
      </c>
      <c r="N122" s="32" t="n">
        <v>0.0048</v>
      </c>
      <c r="O122" s="44" t="n">
        <v>0</v>
      </c>
      <c r="P122" s="2" t="n">
        <v>5</v>
      </c>
      <c r="Q122" s="2" t="n">
        <v>129</v>
      </c>
      <c r="R122" s="2" t="n">
        <v>4</v>
      </c>
    </row>
    <row r="123">
      <c r="A123" t="inlineStr">
        <is>
          <t>Q2-Target,Brand Camp VD,Lunch Bag,Optimized,WFS,Lunch Bags,SEM,WFS Item</t>
        </is>
      </c>
      <c r="B123" s="29" t="n">
        <v>146.89</v>
      </c>
      <c r="C123" s="30" t="n">
        <v>0.0013</v>
      </c>
      <c r="D123" s="2" t="n">
        <v>7</v>
      </c>
      <c r="E123" s="31" t="n">
        <v>0</v>
      </c>
      <c r="F123" s="32" t="n">
        <v>0</v>
      </c>
      <c r="G123" s="32" t="n">
        <v>0</v>
      </c>
      <c r="H123" s="31" t="n">
        <v>0</v>
      </c>
      <c r="I123" s="32" t="n">
        <v>0</v>
      </c>
      <c r="J123" s="31" t="n">
        <v>0</v>
      </c>
      <c r="K123" s="31" t="n">
        <v>0</v>
      </c>
      <c r="L123" s="44" t="n">
        <v>0</v>
      </c>
      <c r="M123" s="44" t="n">
        <v>0</v>
      </c>
      <c r="N123" s="32" t="n">
        <v>0</v>
      </c>
      <c r="O123" s="44" t="n">
        <v>0</v>
      </c>
      <c r="P123" s="2" t="n">
        <v>223</v>
      </c>
      <c r="Q123" s="2" t="n">
        <v>189</v>
      </c>
      <c r="R123" s="2" t="n">
        <v>2</v>
      </c>
    </row>
    <row r="124">
      <c r="A124" t="inlineStr">
        <is>
          <t>Optimized,Coupon_Discount</t>
        </is>
      </c>
      <c r="B124" s="29" t="n">
        <v>136.95</v>
      </c>
      <c r="C124" s="30" t="n">
        <v>0.0012</v>
      </c>
      <c r="D124" s="2" t="n">
        <v>5</v>
      </c>
      <c r="E124" s="31" t="n">
        <v>52.30000000000002</v>
      </c>
      <c r="F124" s="32" t="n">
        <v>0.0063</v>
      </c>
      <c r="G124" s="32" t="n">
        <v>0.3819</v>
      </c>
      <c r="H124" s="31" t="n">
        <v>0</v>
      </c>
      <c r="I124" s="32" t="n">
        <v>0</v>
      </c>
      <c r="J124" s="31" t="n">
        <v>0</v>
      </c>
      <c r="K124" s="31" t="n">
        <v>0</v>
      </c>
      <c r="L124" s="44" t="n">
        <v>130152</v>
      </c>
      <c r="M124" s="44" t="n">
        <v>126</v>
      </c>
      <c r="N124" s="32" t="n">
        <v>0.001</v>
      </c>
      <c r="O124" s="44" t="n">
        <v>0</v>
      </c>
      <c r="P124" s="2" t="n">
        <v>285</v>
      </c>
      <c r="Q124" s="2" t="n">
        <v>190</v>
      </c>
      <c r="R124" s="2" t="n">
        <v>5</v>
      </c>
    </row>
    <row r="125">
      <c r="A125" t="inlineStr">
        <is>
          <t>Optimized,Coupon_Discount,cost-added</t>
        </is>
      </c>
      <c r="B125" s="29" t="n">
        <v>134.82</v>
      </c>
      <c r="C125" s="30" t="n">
        <v>0.0012</v>
      </c>
      <c r="D125" s="2" t="n">
        <v>9</v>
      </c>
      <c r="E125" s="31" t="n">
        <v>0</v>
      </c>
      <c r="F125" s="32" t="n">
        <v>0</v>
      </c>
      <c r="G125" s="32" t="n">
        <v>0</v>
      </c>
      <c r="H125" s="31" t="n">
        <v>0</v>
      </c>
      <c r="I125" s="32" t="n">
        <v>0</v>
      </c>
      <c r="J125" s="31" t="n">
        <v>0</v>
      </c>
      <c r="K125" s="31" t="n">
        <v>0</v>
      </c>
      <c r="L125" s="44" t="n">
        <v>0</v>
      </c>
      <c r="M125" s="44" t="n">
        <v>0</v>
      </c>
      <c r="N125" s="32" t="n">
        <v>0</v>
      </c>
      <c r="O125" s="44" t="n">
        <v>0</v>
      </c>
      <c r="P125" s="2" t="n">
        <v>8</v>
      </c>
      <c r="Q125" s="2" t="n">
        <v>17</v>
      </c>
      <c r="R125" s="2" t="n">
        <v>1</v>
      </c>
    </row>
    <row r="126">
      <c r="A126" t="inlineStr">
        <is>
          <t>Q2-Target,Hero 5 Holidays,Coupon_Discount,Batch 1 - TR</t>
        </is>
      </c>
      <c r="B126" s="29" t="n">
        <v>131.96</v>
      </c>
      <c r="C126" s="30" t="n">
        <v>0.0011</v>
      </c>
      <c r="D126" s="2" t="n">
        <v>4</v>
      </c>
      <c r="E126" s="31" t="n">
        <v>28.85000000000001</v>
      </c>
      <c r="F126" s="32" t="n">
        <v>0.0035</v>
      </c>
      <c r="G126" s="32" t="n">
        <v>0.2186</v>
      </c>
      <c r="H126" s="31" t="n">
        <v>7.45</v>
      </c>
      <c r="I126" s="32" t="n">
        <v>0.13</v>
      </c>
      <c r="J126" s="31" t="n">
        <v>214.92</v>
      </c>
      <c r="K126" s="31" t="n">
        <v>164.94</v>
      </c>
      <c r="L126" s="44" t="n">
        <v>26374</v>
      </c>
      <c r="M126" s="44" t="n">
        <v>76</v>
      </c>
      <c r="N126" s="32" t="n">
        <v>0.0029</v>
      </c>
      <c r="O126" s="44" t="n">
        <v>8</v>
      </c>
      <c r="P126" s="2" t="n">
        <v>170</v>
      </c>
      <c r="Q126" s="2" t="n">
        <v>80</v>
      </c>
      <c r="R126" s="2" t="n">
        <v>1</v>
      </c>
    </row>
    <row r="127">
      <c r="A127" t="inlineStr">
        <is>
          <t>Wine,Christmas,WFS,Wine WFS,Valentine,SEM,WFS Item</t>
        </is>
      </c>
      <c r="B127" s="29" t="n">
        <v>129.94</v>
      </c>
      <c r="C127" s="30" t="n">
        <v>0.0011</v>
      </c>
      <c r="D127" s="2" t="n">
        <v>6</v>
      </c>
      <c r="E127" s="31" t="n">
        <v>17.87</v>
      </c>
      <c r="F127" s="32" t="n">
        <v>0.0021</v>
      </c>
      <c r="G127" s="32" t="n">
        <v>0.1375</v>
      </c>
      <c r="H127" s="31" t="n">
        <v>2.52</v>
      </c>
      <c r="I127" s="32" t="n">
        <v>0.4</v>
      </c>
      <c r="J127" s="31" t="n">
        <v>44.98</v>
      </c>
      <c r="K127" s="31" t="n">
        <v>44.98</v>
      </c>
      <c r="L127" s="44" t="n">
        <v>19881</v>
      </c>
      <c r="M127" s="44" t="n">
        <v>44</v>
      </c>
      <c r="N127" s="32" t="n">
        <v>0.0022</v>
      </c>
      <c r="O127" s="44" t="n">
        <v>2</v>
      </c>
      <c r="P127" s="2" t="n">
        <v>69</v>
      </c>
      <c r="Q127" s="2" t="n">
        <v>221</v>
      </c>
      <c r="R127" s="2" t="n">
        <v>5</v>
      </c>
    </row>
    <row r="128">
      <c r="A128" t="inlineStr">
        <is>
          <t>Brand Camp VD</t>
        </is>
      </c>
      <c r="B128" s="29" t="n">
        <v>129.38</v>
      </c>
      <c r="C128" s="30" t="n">
        <v>0.0011</v>
      </c>
      <c r="D128" s="2" t="n">
        <v>11</v>
      </c>
      <c r="E128" s="31" t="n">
        <v>0</v>
      </c>
      <c r="F128" s="32" t="n">
        <v>0</v>
      </c>
      <c r="G128" s="32" t="n">
        <v>0</v>
      </c>
      <c r="H128" s="31" t="n">
        <v>0</v>
      </c>
      <c r="I128" s="32" t="n">
        <v>0</v>
      </c>
      <c r="J128" s="31" t="n">
        <v>0</v>
      </c>
      <c r="K128" s="31" t="n">
        <v>0</v>
      </c>
      <c r="L128" s="44" t="n">
        <v>0</v>
      </c>
      <c r="M128" s="44" t="n">
        <v>0</v>
      </c>
      <c r="N128" s="32" t="n">
        <v>0</v>
      </c>
      <c r="O128" s="44" t="n">
        <v>0</v>
      </c>
      <c r="P128" s="2" t="n">
        <v>156</v>
      </c>
      <c r="Q128" s="2" t="n">
        <v>155</v>
      </c>
      <c r="R128" s="2" t="n">
        <v>3</v>
      </c>
    </row>
    <row r="129">
      <c r="A129" t="inlineStr">
        <is>
          <t>Wine,SEM,Batch 1 - TR</t>
        </is>
      </c>
      <c r="B129" s="29" t="n">
        <v>128.93</v>
      </c>
      <c r="C129" s="30" t="n">
        <v>0.0011</v>
      </c>
      <c r="D129" s="2" t="n">
        <v>7</v>
      </c>
      <c r="E129" s="31" t="n">
        <v>31.25</v>
      </c>
      <c r="F129" s="32" t="n">
        <v>0.0037</v>
      </c>
      <c r="G129" s="32" t="n">
        <v>0.2424</v>
      </c>
      <c r="H129" s="31" t="n">
        <v>2.37</v>
      </c>
      <c r="I129" s="32" t="n">
        <v>0.42</v>
      </c>
      <c r="J129" s="31" t="n">
        <v>73.95999999999999</v>
      </c>
      <c r="K129" s="31" t="n">
        <v>73.95999999999999</v>
      </c>
      <c r="L129" s="44" t="n">
        <v>39038</v>
      </c>
      <c r="M129" s="44" t="n">
        <v>65</v>
      </c>
      <c r="N129" s="32" t="n">
        <v>0.0017</v>
      </c>
      <c r="O129" s="44" t="n">
        <v>4</v>
      </c>
      <c r="P129" s="2" t="n">
        <v>1</v>
      </c>
      <c r="Q129" s="2" t="n">
        <v>154</v>
      </c>
      <c r="R129" s="2" t="n">
        <v>2</v>
      </c>
    </row>
    <row r="130">
      <c r="A130" t="inlineStr">
        <is>
          <t>Wine,Christmas,Optimized,WFS,Wine WFS,Valentine,SEM,WFS Item,Lily Brand Camp</t>
        </is>
      </c>
      <c r="B130" s="29" t="n">
        <v>125.94</v>
      </c>
      <c r="C130" s="30" t="n">
        <v>0.0011</v>
      </c>
      <c r="D130" s="2" t="n">
        <v>6</v>
      </c>
      <c r="E130" s="31" t="n">
        <v>3.669999999999999</v>
      </c>
      <c r="F130" s="32" t="n">
        <v>0.0004</v>
      </c>
      <c r="G130" s="32" t="n">
        <v>0.0291</v>
      </c>
      <c r="H130" s="31" t="n">
        <v>5.72</v>
      </c>
      <c r="I130" s="32" t="n">
        <v>0.17</v>
      </c>
      <c r="J130" s="31" t="n">
        <v>20.99</v>
      </c>
      <c r="K130" s="31" t="n">
        <v>20.99</v>
      </c>
      <c r="L130" s="44" t="n">
        <v>5109</v>
      </c>
      <c r="M130" s="44" t="n">
        <v>11</v>
      </c>
      <c r="N130" s="32" t="n">
        <v>0.0022</v>
      </c>
      <c r="O130" s="44" t="n">
        <v>1</v>
      </c>
      <c r="P130" s="2" t="n">
        <v>33</v>
      </c>
      <c r="Q130" s="2" t="n">
        <v>48</v>
      </c>
      <c r="R130" s="2" t="n">
        <v>1</v>
      </c>
    </row>
    <row r="131">
      <c r="A131" t="inlineStr">
        <is>
          <t>Q2-Target,WFS,WFS Item,Fleece Blankets</t>
        </is>
      </c>
      <c r="B131" s="29" t="n">
        <v>124.94</v>
      </c>
      <c r="C131" s="30" t="n">
        <v>0.0011</v>
      </c>
      <c r="D131" s="2" t="n">
        <v>5</v>
      </c>
      <c r="E131" s="31" t="n">
        <v>52.67999999999999</v>
      </c>
      <c r="F131" s="32" t="n">
        <v>0.0063</v>
      </c>
      <c r="G131" s="32" t="n">
        <v>0.4216</v>
      </c>
      <c r="H131" s="31" t="n">
        <v>2.01</v>
      </c>
      <c r="I131" s="32" t="n">
        <v>0.5</v>
      </c>
      <c r="J131" s="31" t="n">
        <v>105.96</v>
      </c>
      <c r="K131" s="31" t="n">
        <v>105.96</v>
      </c>
      <c r="L131" s="44" t="n">
        <v>66323</v>
      </c>
      <c r="M131" s="44" t="n">
        <v>128</v>
      </c>
      <c r="N131" s="32" t="n">
        <v>0.0019</v>
      </c>
      <c r="O131" s="44" t="n">
        <v>4</v>
      </c>
      <c r="P131" s="2" t="n">
        <v>66</v>
      </c>
      <c r="Q131" s="2" t="n">
        <v>88</v>
      </c>
      <c r="R131" s="2" t="n">
        <v>2</v>
      </c>
    </row>
    <row r="132">
      <c r="A132" t="inlineStr">
        <is>
          <t>Wine,Christmas,Valentine,SEM</t>
        </is>
      </c>
      <c r="B132" s="29" t="n">
        <v>124.93</v>
      </c>
      <c r="C132" s="30" t="n">
        <v>0.0011</v>
      </c>
      <c r="D132" s="2" t="n">
        <v>6</v>
      </c>
      <c r="E132" s="31" t="n">
        <v>36.53</v>
      </c>
      <c r="F132" s="32" t="n">
        <v>0.0044</v>
      </c>
      <c r="G132" s="32" t="n">
        <v>0.2924</v>
      </c>
      <c r="H132" s="31" t="n">
        <v>1.12</v>
      </c>
      <c r="I132" s="32" t="n">
        <v>0.89</v>
      </c>
      <c r="J132" s="31" t="n">
        <v>40.98</v>
      </c>
      <c r="K132" s="31" t="n">
        <v>40.98</v>
      </c>
      <c r="L132" s="44" t="n">
        <v>39675</v>
      </c>
      <c r="M132" s="44" t="n">
        <v>84</v>
      </c>
      <c r="N132" s="32" t="n">
        <v>0.0021</v>
      </c>
      <c r="O132" s="44" t="n">
        <v>2</v>
      </c>
      <c r="P132" s="2" t="n">
        <v>0</v>
      </c>
      <c r="Q132" s="2" t="n">
        <v>156</v>
      </c>
      <c r="R132" s="2" t="n">
        <v>7</v>
      </c>
    </row>
    <row r="133">
      <c r="A133" t="inlineStr">
        <is>
          <t>Q2-Target,Coupon_Discount</t>
        </is>
      </c>
      <c r="B133" s="29" t="n">
        <v>123.96</v>
      </c>
      <c r="C133" s="30" t="n">
        <v>0.0011</v>
      </c>
      <c r="D133" s="2" t="n">
        <v>4</v>
      </c>
      <c r="E133" s="31" t="n">
        <v>0</v>
      </c>
      <c r="F133" s="32" t="n">
        <v>0</v>
      </c>
      <c r="G133" s="32" t="n">
        <v>0</v>
      </c>
      <c r="H133" s="31" t="n">
        <v>0</v>
      </c>
      <c r="I133" s="32" t="n">
        <v>0</v>
      </c>
      <c r="J133" s="31" t="n">
        <v>0</v>
      </c>
      <c r="K133" s="31" t="n">
        <v>0</v>
      </c>
      <c r="L133" s="44" t="n">
        <v>0</v>
      </c>
      <c r="M133" s="44" t="n">
        <v>0</v>
      </c>
      <c r="N133" s="32" t="n">
        <v>0</v>
      </c>
      <c r="O133" s="44" t="n">
        <v>0</v>
      </c>
      <c r="P133" s="2" t="n">
        <v>38</v>
      </c>
      <c r="Q133" s="2" t="n">
        <v>374</v>
      </c>
      <c r="R133" s="2" t="n">
        <v>8</v>
      </c>
    </row>
    <row r="134">
      <c r="A134" t="inlineStr">
        <is>
          <t>Q2-Target,Optimized,Wproof Blanket</t>
        </is>
      </c>
      <c r="B134" s="29" t="n">
        <v>119.96</v>
      </c>
      <c r="C134" s="30" t="n">
        <v>0.001</v>
      </c>
      <c r="D134" s="2" t="n">
        <v>4</v>
      </c>
      <c r="E134" s="31" t="n">
        <v>34.37</v>
      </c>
      <c r="F134" s="32" t="n">
        <v>0.0041</v>
      </c>
      <c r="G134" s="32" t="n">
        <v>0.2865</v>
      </c>
      <c r="H134" s="31" t="n">
        <v>4.36</v>
      </c>
      <c r="I134" s="32" t="n">
        <v>0.23</v>
      </c>
      <c r="J134" s="31" t="n">
        <v>149.95</v>
      </c>
      <c r="K134" s="31" t="n">
        <v>149.95</v>
      </c>
      <c r="L134" s="44" t="n">
        <v>21734</v>
      </c>
      <c r="M134" s="44" t="n">
        <v>82</v>
      </c>
      <c r="N134" s="32" t="n">
        <v>0.0038</v>
      </c>
      <c r="O134" s="44" t="n">
        <v>5</v>
      </c>
      <c r="P134" s="2" t="n">
        <v>31</v>
      </c>
      <c r="Q134" s="2" t="n">
        <v>288</v>
      </c>
      <c r="R134" s="2" t="n">
        <v>2</v>
      </c>
    </row>
    <row r="135">
      <c r="A135" t="inlineStr">
        <is>
          <t>Optimized,Lunch Bags,SEM</t>
        </is>
      </c>
      <c r="B135" s="29" t="n">
        <v>113.93</v>
      </c>
      <c r="C135" s="30" t="n">
        <v>0.001</v>
      </c>
      <c r="D135" s="2" t="n">
        <v>7</v>
      </c>
      <c r="E135" s="31" t="n">
        <v>0</v>
      </c>
      <c r="F135" s="32" t="n">
        <v>0</v>
      </c>
      <c r="G135" s="32" t="n">
        <v>0</v>
      </c>
      <c r="H135" s="31" t="n">
        <v>0</v>
      </c>
      <c r="I135" s="32" t="n">
        <v>0</v>
      </c>
      <c r="J135" s="31" t="n">
        <v>0</v>
      </c>
      <c r="K135" s="31" t="n">
        <v>0</v>
      </c>
      <c r="L135" s="44" t="n">
        <v>0</v>
      </c>
      <c r="M135" s="44" t="n">
        <v>0</v>
      </c>
      <c r="N135" s="32" t="n">
        <v>0</v>
      </c>
      <c r="O135" s="44" t="n">
        <v>0</v>
      </c>
      <c r="P135" s="2" t="n">
        <v>32</v>
      </c>
      <c r="Q135" s="2" t="n">
        <v>142</v>
      </c>
      <c r="R135" s="2" t="n">
        <v>1</v>
      </c>
    </row>
    <row r="136">
      <c r="A136" t="inlineStr">
        <is>
          <t>Q2-Target,Brand Camp VD,Lunch Bag,Optimized,WFS,Lunch Bags,SEM,WFS Item,AMZ Bestsellers</t>
        </is>
      </c>
      <c r="B136" s="29" t="n">
        <v>111.93</v>
      </c>
      <c r="C136" s="30" t="n">
        <v>0.001</v>
      </c>
      <c r="D136" s="2" t="n">
        <v>7</v>
      </c>
      <c r="E136" s="31" t="n">
        <v>0</v>
      </c>
      <c r="F136" s="32" t="n">
        <v>0</v>
      </c>
      <c r="G136" s="32" t="n">
        <v>0</v>
      </c>
      <c r="H136" s="31" t="n">
        <v>0</v>
      </c>
      <c r="I136" s="32" t="n">
        <v>0</v>
      </c>
      <c r="J136" s="31" t="n">
        <v>0</v>
      </c>
      <c r="K136" s="31" t="n">
        <v>0</v>
      </c>
      <c r="L136" s="44" t="n">
        <v>0</v>
      </c>
      <c r="M136" s="44" t="n">
        <v>0</v>
      </c>
      <c r="N136" s="32" t="n">
        <v>0</v>
      </c>
      <c r="O136" s="44" t="n">
        <v>0</v>
      </c>
      <c r="P136" s="2" t="n">
        <v>141</v>
      </c>
      <c r="Q136" s="2" t="n">
        <v>141</v>
      </c>
      <c r="R136" s="2" t="n">
        <v>1</v>
      </c>
    </row>
    <row r="137">
      <c r="A137" t="inlineStr">
        <is>
          <t>Optimized,Fleece Blankets</t>
        </is>
      </c>
      <c r="B137" s="29" t="n">
        <v>109.93</v>
      </c>
      <c r="C137" s="30" t="n">
        <v>0.0009</v>
      </c>
      <c r="D137" s="2" t="n">
        <v>7</v>
      </c>
      <c r="E137" s="31" t="n">
        <v>3.09</v>
      </c>
      <c r="F137" s="32" t="n">
        <v>0.0004</v>
      </c>
      <c r="G137" s="32" t="n">
        <v>0.0281</v>
      </c>
      <c r="H137" s="31" t="n">
        <v>0</v>
      </c>
      <c r="I137" s="32" t="n">
        <v>0</v>
      </c>
      <c r="J137" s="31" t="n">
        <v>0</v>
      </c>
      <c r="K137" s="31" t="n">
        <v>0</v>
      </c>
      <c r="L137" s="44" t="n">
        <v>2084</v>
      </c>
      <c r="M137" s="44" t="n">
        <v>8</v>
      </c>
      <c r="N137" s="32" t="n">
        <v>0.0038</v>
      </c>
      <c r="O137" s="44" t="n">
        <v>0</v>
      </c>
      <c r="P137" s="2" t="n">
        <v>46</v>
      </c>
      <c r="Q137" s="2" t="n">
        <v>120</v>
      </c>
      <c r="R137" s="2" t="n">
        <v>9</v>
      </c>
    </row>
    <row r="138">
      <c r="A138" t="inlineStr">
        <is>
          <t>Optimized,WFS,Hats,WFS Item</t>
        </is>
      </c>
      <c r="B138" s="29" t="n">
        <v>109.19</v>
      </c>
      <c r="C138" s="30" t="n">
        <v>0.0009</v>
      </c>
      <c r="D138" s="2" t="n">
        <v>6</v>
      </c>
      <c r="E138" s="31" t="n">
        <v>10.84</v>
      </c>
      <c r="F138" s="32" t="n">
        <v>0.0013</v>
      </c>
      <c r="G138" s="32" t="n">
        <v>0.0993</v>
      </c>
      <c r="H138" s="31" t="n">
        <v>2.95</v>
      </c>
      <c r="I138" s="32" t="n">
        <v>0.34</v>
      </c>
      <c r="J138" s="31" t="n">
        <v>31.96</v>
      </c>
      <c r="K138" s="31" t="n">
        <v>31.96</v>
      </c>
      <c r="L138" s="44" t="n">
        <v>4357</v>
      </c>
      <c r="M138" s="44" t="n">
        <v>37</v>
      </c>
      <c r="N138" s="32" t="n">
        <v>0.008500000000000001</v>
      </c>
      <c r="O138" s="44" t="n">
        <v>2</v>
      </c>
      <c r="P138" s="2" t="n">
        <v>7</v>
      </c>
      <c r="Q138" s="2" t="n">
        <v>92</v>
      </c>
      <c r="R138" s="2" t="n">
        <v>2</v>
      </c>
    </row>
    <row r="139">
      <c r="A139" t="inlineStr">
        <is>
          <t>Q2-Target,Lunch Bag,Optimized,Lunch Bags</t>
        </is>
      </c>
      <c r="B139" s="29" t="n">
        <v>107.2</v>
      </c>
      <c r="C139" s="30" t="n">
        <v>0.0009</v>
      </c>
      <c r="D139" s="2" t="n">
        <v>10</v>
      </c>
      <c r="E139" s="31" t="n">
        <v>0</v>
      </c>
      <c r="F139" s="32" t="n">
        <v>0</v>
      </c>
      <c r="G139" s="32" t="n">
        <v>0</v>
      </c>
      <c r="H139" s="31" t="n">
        <v>0</v>
      </c>
      <c r="I139" s="32" t="n">
        <v>0</v>
      </c>
      <c r="J139" s="31" t="n">
        <v>0</v>
      </c>
      <c r="K139" s="31" t="n">
        <v>0</v>
      </c>
      <c r="L139" s="44" t="n">
        <v>0</v>
      </c>
      <c r="M139" s="44" t="n">
        <v>0</v>
      </c>
      <c r="N139" s="32" t="n">
        <v>0</v>
      </c>
      <c r="O139" s="44" t="n">
        <v>0</v>
      </c>
      <c r="P139" s="2" t="n">
        <v>503</v>
      </c>
      <c r="Q139" s="2" t="n">
        <v>325</v>
      </c>
      <c r="R139" s="2" t="n">
        <v>3</v>
      </c>
    </row>
    <row r="140">
      <c r="A140" t="inlineStr">
        <is>
          <t>Christmas,Optimized,Valentine</t>
        </is>
      </c>
      <c r="B140" s="29" t="n">
        <v>104.92</v>
      </c>
      <c r="C140" s="30" t="n">
        <v>0.0009</v>
      </c>
      <c r="D140" s="2" t="n">
        <v>7</v>
      </c>
      <c r="E140" s="31" t="n">
        <v>13.14</v>
      </c>
      <c r="F140" s="32" t="n">
        <v>0.0016</v>
      </c>
      <c r="G140" s="32" t="n">
        <v>0.1252</v>
      </c>
      <c r="H140" s="31" t="n">
        <v>4.26</v>
      </c>
      <c r="I140" s="32" t="n">
        <v>0.23</v>
      </c>
      <c r="J140" s="31" t="n">
        <v>55.96</v>
      </c>
      <c r="K140" s="31" t="n">
        <v>55.96</v>
      </c>
      <c r="L140" s="44" t="n">
        <v>12703</v>
      </c>
      <c r="M140" s="44" t="n">
        <v>36</v>
      </c>
      <c r="N140" s="32" t="n">
        <v>0.0028</v>
      </c>
      <c r="O140" s="44" t="n">
        <v>4</v>
      </c>
      <c r="P140" s="2" t="n">
        <v>99</v>
      </c>
      <c r="Q140" s="2" t="n">
        <v>107</v>
      </c>
      <c r="R140" s="2" t="n">
        <v>2</v>
      </c>
    </row>
    <row r="141">
      <c r="A141" t="inlineStr">
        <is>
          <t>Q2-Target,Optimized,ST Patrick Day</t>
        </is>
      </c>
      <c r="B141" s="29" t="n">
        <v>104.86</v>
      </c>
      <c r="C141" s="30" t="n">
        <v>0.0009</v>
      </c>
      <c r="D141" s="2" t="n">
        <v>7</v>
      </c>
      <c r="E141" s="31" t="n">
        <v>0</v>
      </c>
      <c r="F141" s="32" t="n">
        <v>0</v>
      </c>
      <c r="G141" s="32" t="n">
        <v>0</v>
      </c>
      <c r="H141" s="31" t="n">
        <v>0</v>
      </c>
      <c r="I141" s="32" t="n">
        <v>0</v>
      </c>
      <c r="J141" s="31" t="n">
        <v>0</v>
      </c>
      <c r="K141" s="31" t="n">
        <v>0</v>
      </c>
      <c r="L141" s="44" t="n">
        <v>0</v>
      </c>
      <c r="M141" s="44" t="n">
        <v>0</v>
      </c>
      <c r="N141" s="32" t="n">
        <v>0</v>
      </c>
      <c r="O141" s="44" t="n">
        <v>0</v>
      </c>
      <c r="P141" s="2" t="n">
        <v>0</v>
      </c>
      <c r="Q141" s="2" t="n">
        <v>39</v>
      </c>
      <c r="R141" s="2" t="n">
        <v>1</v>
      </c>
    </row>
    <row r="142">
      <c r="A142" t="inlineStr">
        <is>
          <t>Lunch Bag,Optimized,Lunch Bags,SEM</t>
        </is>
      </c>
      <c r="B142" s="29" t="n">
        <v>102.94</v>
      </c>
      <c r="C142" s="30" t="n">
        <v>0.0009</v>
      </c>
      <c r="D142" s="2" t="n">
        <v>6</v>
      </c>
      <c r="E142" s="31" t="n">
        <v>0</v>
      </c>
      <c r="F142" s="32" t="n">
        <v>0</v>
      </c>
      <c r="G142" s="32" t="n">
        <v>0</v>
      </c>
      <c r="H142" s="31" t="n">
        <v>0</v>
      </c>
      <c r="I142" s="32" t="n">
        <v>0</v>
      </c>
      <c r="J142" s="31" t="n">
        <v>0</v>
      </c>
      <c r="K142" s="31" t="n">
        <v>0</v>
      </c>
      <c r="L142" s="44" t="n">
        <v>0</v>
      </c>
      <c r="M142" s="44" t="n">
        <v>0</v>
      </c>
      <c r="N142" s="32" t="n">
        <v>0</v>
      </c>
      <c r="O142" s="44" t="n">
        <v>0</v>
      </c>
      <c r="P142" s="2" t="n">
        <v>12</v>
      </c>
      <c r="Q142" s="2" t="n">
        <v>83</v>
      </c>
      <c r="R142" s="2" t="n">
        <v>3</v>
      </c>
    </row>
    <row r="143">
      <c r="A143" t="inlineStr">
        <is>
          <t>Wine,Christmas,Valentine</t>
        </is>
      </c>
      <c r="B143" s="29" t="n">
        <v>101.94</v>
      </c>
      <c r="C143" s="30" t="n">
        <v>0.0009</v>
      </c>
      <c r="D143" s="2" t="n">
        <v>6</v>
      </c>
      <c r="E143" s="31" t="n">
        <v>6.320000000000001</v>
      </c>
      <c r="F143" s="32" t="n">
        <v>0.0008</v>
      </c>
      <c r="G143" s="32" t="n">
        <v>0.062</v>
      </c>
      <c r="H143" s="31" t="n">
        <v>0</v>
      </c>
      <c r="I143" s="32" t="n">
        <v>0</v>
      </c>
      <c r="J143" s="31" t="n">
        <v>0</v>
      </c>
      <c r="K143" s="31" t="n">
        <v>0</v>
      </c>
      <c r="L143" s="44" t="n">
        <v>9844</v>
      </c>
      <c r="M143" s="44" t="n">
        <v>14</v>
      </c>
      <c r="N143" s="32" t="n">
        <v>0.0014</v>
      </c>
      <c r="O143" s="44" t="n">
        <v>0</v>
      </c>
      <c r="P143" s="2" t="n">
        <v>0</v>
      </c>
      <c r="Q143" s="2" t="n">
        <v>179</v>
      </c>
      <c r="R143" s="2" t="n">
        <v>22</v>
      </c>
    </row>
    <row r="144">
      <c r="A144" t="inlineStr">
        <is>
          <t>Q2-Target,WFS,Hats,SEM,WFS Item</t>
        </is>
      </c>
      <c r="B144" s="29" t="n">
        <v>99.95</v>
      </c>
      <c r="C144" s="30" t="n">
        <v>0.0009</v>
      </c>
      <c r="D144" s="2" t="n">
        <v>5</v>
      </c>
      <c r="E144" s="31" t="n">
        <v>0</v>
      </c>
      <c r="F144" s="32" t="n">
        <v>0</v>
      </c>
      <c r="G144" s="32" t="n">
        <v>0</v>
      </c>
      <c r="H144" s="31" t="n">
        <v>0</v>
      </c>
      <c r="I144" s="32" t="n">
        <v>0</v>
      </c>
      <c r="J144" s="31" t="n">
        <v>0</v>
      </c>
      <c r="K144" s="31" t="n">
        <v>0</v>
      </c>
      <c r="L144" s="44" t="n">
        <v>0</v>
      </c>
      <c r="M144" s="44" t="n">
        <v>0</v>
      </c>
      <c r="N144" s="32" t="n">
        <v>0</v>
      </c>
      <c r="O144" s="44" t="n">
        <v>0</v>
      </c>
      <c r="P144" s="2" t="n">
        <v>103</v>
      </c>
      <c r="Q144" s="2" t="n">
        <v>176</v>
      </c>
      <c r="R144" s="2" t="n">
        <v>1</v>
      </c>
    </row>
    <row r="145">
      <c r="A145" t="inlineStr">
        <is>
          <t>Gloves,WFS,WFS Item</t>
        </is>
      </c>
      <c r="B145" s="29" t="n">
        <v>97.94999999999999</v>
      </c>
      <c r="C145" s="30" t="n">
        <v>0.0008</v>
      </c>
      <c r="D145" s="2" t="n">
        <v>5</v>
      </c>
      <c r="E145" s="31" t="n">
        <v>0</v>
      </c>
      <c r="F145" s="32" t="n">
        <v>0</v>
      </c>
      <c r="G145" s="32" t="n">
        <v>0</v>
      </c>
      <c r="H145" s="31" t="n">
        <v>0</v>
      </c>
      <c r="I145" s="32" t="n">
        <v>0</v>
      </c>
      <c r="J145" s="31" t="n">
        <v>0</v>
      </c>
      <c r="K145" s="31" t="n">
        <v>0</v>
      </c>
      <c r="L145" s="44" t="n">
        <v>0</v>
      </c>
      <c r="M145" s="44" t="n">
        <v>0</v>
      </c>
      <c r="N145" s="32" t="n">
        <v>0</v>
      </c>
      <c r="O145" s="44" t="n">
        <v>0</v>
      </c>
      <c r="P145" s="2" t="n">
        <v>77</v>
      </c>
      <c r="Q145" s="2" t="n">
        <v>243</v>
      </c>
      <c r="R145" s="2" t="n">
        <v>11</v>
      </c>
    </row>
    <row r="146">
      <c r="A146" t="inlineStr">
        <is>
          <t>Q2-Target,Hats,SEM,Batch 1 - TR</t>
        </is>
      </c>
      <c r="B146" s="29" t="n">
        <v>94.95</v>
      </c>
      <c r="C146" s="30" t="n">
        <v>0.0008</v>
      </c>
      <c r="D146" s="2" t="n">
        <v>5</v>
      </c>
      <c r="E146" s="31" t="n">
        <v>0</v>
      </c>
      <c r="F146" s="32" t="n">
        <v>0</v>
      </c>
      <c r="G146" s="32" t="n">
        <v>0</v>
      </c>
      <c r="H146" s="31" t="n">
        <v>0</v>
      </c>
      <c r="I146" s="32" t="n">
        <v>0</v>
      </c>
      <c r="J146" s="31" t="n">
        <v>0</v>
      </c>
      <c r="K146" s="31" t="n">
        <v>0</v>
      </c>
      <c r="L146" s="44" t="n">
        <v>0</v>
      </c>
      <c r="M146" s="44" t="n">
        <v>0</v>
      </c>
      <c r="N146" s="32" t="n">
        <v>0</v>
      </c>
      <c r="O146" s="44" t="n">
        <v>0</v>
      </c>
      <c r="P146" s="2" t="n">
        <v>18</v>
      </c>
      <c r="Q146" s="2" t="n">
        <v>73</v>
      </c>
      <c r="R146" s="2" t="n">
        <v>1</v>
      </c>
    </row>
    <row r="147">
      <c r="A147" t="inlineStr">
        <is>
          <t>Q2-Target,Optimized,Coupon_Discount,Fleece Blankets</t>
        </is>
      </c>
      <c r="B147" s="29" t="n">
        <v>91.94</v>
      </c>
      <c r="C147" s="30" t="n">
        <v>0.0008</v>
      </c>
      <c r="D147" s="2" t="n">
        <v>5</v>
      </c>
      <c r="E147" s="31" t="n">
        <v>17.93</v>
      </c>
      <c r="F147" s="32" t="n">
        <v>0.0021</v>
      </c>
      <c r="G147" s="32" t="n">
        <v>0.195</v>
      </c>
      <c r="H147" s="31" t="n">
        <v>0</v>
      </c>
      <c r="I147" s="32" t="n">
        <v>0</v>
      </c>
      <c r="J147" s="31" t="n">
        <v>0</v>
      </c>
      <c r="K147" s="31" t="n">
        <v>0</v>
      </c>
      <c r="L147" s="44" t="n">
        <v>8238</v>
      </c>
      <c r="M147" s="44" t="n">
        <v>43</v>
      </c>
      <c r="N147" s="32" t="n">
        <v>0.0052</v>
      </c>
      <c r="O147" s="44" t="n">
        <v>0</v>
      </c>
      <c r="P147" s="2" t="n">
        <v>82</v>
      </c>
      <c r="Q147" s="2" t="n">
        <v>69</v>
      </c>
      <c r="R147" s="2" t="n">
        <v>1</v>
      </c>
    </row>
    <row r="148">
      <c r="A148" t="inlineStr">
        <is>
          <t>Optimized,Beach Robe Camp</t>
        </is>
      </c>
      <c r="B148" s="29" t="n">
        <v>85.95999999999999</v>
      </c>
      <c r="C148" s="30" t="n">
        <v>0.0007</v>
      </c>
      <c r="D148" s="2" t="n">
        <v>4</v>
      </c>
      <c r="E148" s="31" t="n">
        <v>0</v>
      </c>
      <c r="F148" s="32" t="n">
        <v>0</v>
      </c>
      <c r="G148" s="32" t="n">
        <v>0</v>
      </c>
      <c r="H148" s="31" t="n">
        <v>0</v>
      </c>
      <c r="I148" s="32" t="n">
        <v>0</v>
      </c>
      <c r="J148" s="31" t="n">
        <v>0</v>
      </c>
      <c r="K148" s="31" t="n">
        <v>0</v>
      </c>
      <c r="L148" s="44" t="n">
        <v>0</v>
      </c>
      <c r="M148" s="44" t="n">
        <v>0</v>
      </c>
      <c r="N148" s="32" t="n">
        <v>0</v>
      </c>
      <c r="O148" s="44" t="n">
        <v>0</v>
      </c>
      <c r="P148" s="2" t="n">
        <v>0</v>
      </c>
      <c r="Q148" s="2" t="n">
        <v>133</v>
      </c>
      <c r="R148" s="2" t="n">
        <v>7</v>
      </c>
    </row>
    <row r="149">
      <c r="A149" t="inlineStr">
        <is>
          <t>Q2-Target,Brand Camp VD,Lunch Bag,WFS,SEM,WFS Item</t>
        </is>
      </c>
      <c r="B149" s="29" t="n">
        <v>85.09</v>
      </c>
      <c r="C149" s="30" t="n">
        <v>0.0007</v>
      </c>
      <c r="D149" s="2" t="n">
        <v>7</v>
      </c>
      <c r="E149" s="31" t="n">
        <v>0</v>
      </c>
      <c r="F149" s="32" t="n">
        <v>0</v>
      </c>
      <c r="G149" s="32" t="n">
        <v>0</v>
      </c>
      <c r="H149" s="31" t="n">
        <v>0</v>
      </c>
      <c r="I149" s="32" t="n">
        <v>0</v>
      </c>
      <c r="J149" s="31" t="n">
        <v>0</v>
      </c>
      <c r="K149" s="31" t="n">
        <v>0</v>
      </c>
      <c r="L149" s="44" t="n">
        <v>0</v>
      </c>
      <c r="M149" s="44" t="n">
        <v>0</v>
      </c>
      <c r="N149" s="32" t="n">
        <v>0</v>
      </c>
      <c r="O149" s="44" t="n">
        <v>0</v>
      </c>
      <c r="P149" s="2" t="n">
        <v>14</v>
      </c>
      <c r="Q149" s="2" t="n">
        <v>66</v>
      </c>
      <c r="R149" s="2" t="n">
        <v>1</v>
      </c>
    </row>
    <row r="150">
      <c r="A150" t="inlineStr">
        <is>
          <t>WFS,Coupon_Discount,WFS Item,Fleece Blankets</t>
        </is>
      </c>
      <c r="B150" s="29" t="n">
        <v>83.95999999999999</v>
      </c>
      <c r="C150" s="30" t="n">
        <v>0.0007</v>
      </c>
      <c r="D150" s="2" t="n">
        <v>3</v>
      </c>
      <c r="E150" s="31" t="n">
        <v>0</v>
      </c>
      <c r="F150" s="32" t="n">
        <v>0</v>
      </c>
      <c r="G150" s="32" t="n">
        <v>0</v>
      </c>
      <c r="H150" s="31" t="n">
        <v>0</v>
      </c>
      <c r="I150" s="32" t="n">
        <v>0</v>
      </c>
      <c r="J150" s="31" t="n">
        <v>0</v>
      </c>
      <c r="K150" s="31" t="n">
        <v>0</v>
      </c>
      <c r="L150" s="44" t="n">
        <v>0</v>
      </c>
      <c r="M150" s="44" t="n">
        <v>0</v>
      </c>
      <c r="N150" s="32" t="n">
        <v>0</v>
      </c>
      <c r="O150" s="44" t="n">
        <v>0</v>
      </c>
      <c r="P150" s="2" t="n">
        <v>118</v>
      </c>
      <c r="Q150" s="2" t="n">
        <v>409</v>
      </c>
      <c r="R150" s="2" t="n">
        <v>7</v>
      </c>
    </row>
    <row r="151">
      <c r="A151" t="inlineStr">
        <is>
          <t>Q2-Target,Baby days,WFS,WFS Item</t>
        </is>
      </c>
      <c r="B151" s="29" t="n">
        <v>83.95999999999999</v>
      </c>
      <c r="C151" s="30" t="n">
        <v>0.0007</v>
      </c>
      <c r="D151" s="2" t="n">
        <v>4</v>
      </c>
      <c r="E151" s="31" t="n">
        <v>1.6</v>
      </c>
      <c r="F151" s="32" t="n">
        <v>0.0002</v>
      </c>
      <c r="G151" s="32" t="n">
        <v>0.0191</v>
      </c>
      <c r="H151" s="31" t="n">
        <v>0</v>
      </c>
      <c r="I151" s="32" t="n">
        <v>0</v>
      </c>
      <c r="J151" s="31" t="n">
        <v>0</v>
      </c>
      <c r="K151" s="31" t="n">
        <v>0</v>
      </c>
      <c r="L151" s="44" t="n">
        <v>11596</v>
      </c>
      <c r="M151" s="44" t="n">
        <v>8</v>
      </c>
      <c r="N151" s="32" t="n">
        <v>0.0007</v>
      </c>
      <c r="O151" s="44" t="n">
        <v>0</v>
      </c>
      <c r="P151" s="2" t="n">
        <v>42</v>
      </c>
      <c r="Q151" s="2" t="n">
        <v>92</v>
      </c>
      <c r="R151" s="2" t="n">
        <v>1</v>
      </c>
    </row>
    <row r="152">
      <c r="A152" t="inlineStr">
        <is>
          <t>Baby days,Optimized</t>
        </is>
      </c>
      <c r="B152" s="29" t="n">
        <v>83.95</v>
      </c>
      <c r="C152" s="30" t="n">
        <v>0.0007</v>
      </c>
      <c r="D152" s="2" t="n">
        <v>3</v>
      </c>
      <c r="E152" s="31" t="n">
        <v>0</v>
      </c>
      <c r="F152" s="32" t="n">
        <v>0</v>
      </c>
      <c r="G152" s="32" t="n">
        <v>0</v>
      </c>
      <c r="H152" s="31" t="n">
        <v>0</v>
      </c>
      <c r="I152" s="32" t="n">
        <v>0</v>
      </c>
      <c r="J152" s="31" t="n">
        <v>0</v>
      </c>
      <c r="K152" s="31" t="n">
        <v>0</v>
      </c>
      <c r="L152" s="44" t="n">
        <v>0</v>
      </c>
      <c r="M152" s="44" t="n">
        <v>0</v>
      </c>
      <c r="N152" s="32" t="n">
        <v>0</v>
      </c>
      <c r="O152" s="44" t="n">
        <v>0</v>
      </c>
      <c r="P152" s="2" t="n">
        <v>5</v>
      </c>
      <c r="Q152" s="2" t="n">
        <v>283</v>
      </c>
      <c r="R152" s="2" t="n">
        <v>9</v>
      </c>
    </row>
    <row r="153">
      <c r="A153" t="inlineStr">
        <is>
          <t>High AUR Items,Batch 1 - TR</t>
        </is>
      </c>
      <c r="B153" s="29" t="n">
        <v>79.98</v>
      </c>
      <c r="C153" s="30" t="n">
        <v>0.0007</v>
      </c>
      <c r="D153" s="2" t="n">
        <v>2</v>
      </c>
      <c r="E153" s="31" t="n">
        <v>56.33000000000003</v>
      </c>
      <c r="F153" s="32" t="n">
        <v>0.0068</v>
      </c>
      <c r="G153" s="32" t="n">
        <v>0.7043</v>
      </c>
      <c r="H153" s="31" t="n">
        <v>1.42</v>
      </c>
      <c r="I153" s="32" t="n">
        <v>0.7</v>
      </c>
      <c r="J153" s="31" t="n">
        <v>79.98</v>
      </c>
      <c r="K153" s="31" t="n">
        <v>79.98</v>
      </c>
      <c r="L153" s="44" t="n">
        <v>74422</v>
      </c>
      <c r="M153" s="44" t="n">
        <v>135</v>
      </c>
      <c r="N153" s="32" t="n">
        <v>0.0018</v>
      </c>
      <c r="O153" s="44" t="n">
        <v>2</v>
      </c>
      <c r="P153" s="2" t="n">
        <v>0</v>
      </c>
      <c r="Q153" s="2" t="n">
        <v>102</v>
      </c>
      <c r="R153" s="2" t="n">
        <v>1</v>
      </c>
    </row>
    <row r="154">
      <c r="A154" t="inlineStr">
        <is>
          <t>Wine,Wine Bag Camp,Christmas,WFS,Wine WFS,Valentine,SEM,WFS Item,Lily Brand Camp</t>
        </is>
      </c>
      <c r="B154" s="29" t="n">
        <v>78.95</v>
      </c>
      <c r="C154" s="30" t="n">
        <v>0.0007</v>
      </c>
      <c r="D154" s="2" t="n">
        <v>4</v>
      </c>
      <c r="E154" s="31" t="n">
        <v>17.57</v>
      </c>
      <c r="F154" s="32" t="n">
        <v>0.0021</v>
      </c>
      <c r="G154" s="32" t="n">
        <v>0.2225</v>
      </c>
      <c r="H154" s="31" t="n">
        <v>4.32</v>
      </c>
      <c r="I154" s="32" t="n">
        <v>0.23</v>
      </c>
      <c r="J154" s="31" t="n">
        <v>75.95999999999999</v>
      </c>
      <c r="K154" s="31" t="n">
        <v>53.97</v>
      </c>
      <c r="L154" s="44" t="n">
        <v>26403</v>
      </c>
      <c r="M154" s="44" t="n">
        <v>43</v>
      </c>
      <c r="N154" s="32" t="n">
        <v>0.0016</v>
      </c>
      <c r="O154" s="44" t="n">
        <v>4</v>
      </c>
      <c r="P154" s="2" t="n">
        <v>28</v>
      </c>
      <c r="Q154" s="2" t="n">
        <v>94</v>
      </c>
      <c r="R154" s="2" t="n">
        <v>1</v>
      </c>
    </row>
    <row r="155">
      <c r="A155" t="inlineStr">
        <is>
          <t>Q2-Target,Brand Camp VD,Lunch Bag,Optimized,SEM</t>
        </is>
      </c>
      <c r="B155" s="29" t="n">
        <v>75.39999999999999</v>
      </c>
      <c r="C155" s="30" t="n">
        <v>0.0007</v>
      </c>
      <c r="D155" s="2" t="n">
        <v>5</v>
      </c>
      <c r="E155" s="31" t="n">
        <v>0</v>
      </c>
      <c r="F155" s="32" t="n">
        <v>0</v>
      </c>
      <c r="G155" s="32" t="n">
        <v>0</v>
      </c>
      <c r="H155" s="31" t="n">
        <v>0</v>
      </c>
      <c r="I155" s="32" t="n">
        <v>0</v>
      </c>
      <c r="J155" s="31" t="n">
        <v>0</v>
      </c>
      <c r="K155" s="31" t="n">
        <v>0</v>
      </c>
      <c r="L155" s="44" t="n">
        <v>0</v>
      </c>
      <c r="M155" s="44" t="n">
        <v>0</v>
      </c>
      <c r="N155" s="32" t="n">
        <v>0</v>
      </c>
      <c r="O155" s="44" t="n">
        <v>0</v>
      </c>
      <c r="P155" s="2" t="n">
        <v>85</v>
      </c>
      <c r="Q155" s="2" t="n">
        <v>343</v>
      </c>
      <c r="R155" s="2" t="n">
        <v>4</v>
      </c>
    </row>
    <row r="156">
      <c r="A156" t="inlineStr">
        <is>
          <t>Coupon_Discount,Fleece Blankets</t>
        </is>
      </c>
      <c r="B156" s="29" t="n">
        <v>73.97</v>
      </c>
      <c r="C156" s="30" t="n">
        <v>0.0005999999999999999</v>
      </c>
      <c r="D156" s="2" t="n">
        <v>3</v>
      </c>
      <c r="E156" s="31" t="n">
        <v>0</v>
      </c>
      <c r="F156" s="32" t="n">
        <v>0</v>
      </c>
      <c r="G156" s="32" t="n">
        <v>0</v>
      </c>
      <c r="H156" s="31" t="n">
        <v>0</v>
      </c>
      <c r="I156" s="32" t="n">
        <v>0</v>
      </c>
      <c r="J156" s="31" t="n">
        <v>0</v>
      </c>
      <c r="K156" s="31" t="n">
        <v>0</v>
      </c>
      <c r="L156" s="44" t="n">
        <v>0</v>
      </c>
      <c r="M156" s="44" t="n">
        <v>0</v>
      </c>
      <c r="N156" s="32" t="n">
        <v>0</v>
      </c>
      <c r="O156" s="44" t="n">
        <v>0</v>
      </c>
      <c r="P156" s="2" t="n">
        <v>95</v>
      </c>
      <c r="Q156" s="2" t="n">
        <v>179</v>
      </c>
      <c r="R156" s="2" t="n">
        <v>3</v>
      </c>
    </row>
    <row r="157">
      <c r="A157" t="inlineStr">
        <is>
          <t>Q2-Target,Brand Camp VD,Lunch Bag,Lunch Bags,SEM</t>
        </is>
      </c>
      <c r="B157" s="29" t="n">
        <v>71.79000000000001</v>
      </c>
      <c r="C157" s="30" t="n">
        <v>0.0005999999999999999</v>
      </c>
      <c r="D157" s="2" t="n">
        <v>4</v>
      </c>
      <c r="E157" s="31" t="n">
        <v>0</v>
      </c>
      <c r="F157" s="32" t="n">
        <v>0</v>
      </c>
      <c r="G157" s="32" t="n">
        <v>0</v>
      </c>
      <c r="H157" s="31" t="n">
        <v>0</v>
      </c>
      <c r="I157" s="32" t="n">
        <v>0</v>
      </c>
      <c r="J157" s="31" t="n">
        <v>0</v>
      </c>
      <c r="K157" s="31" t="n">
        <v>0</v>
      </c>
      <c r="L157" s="44" t="n">
        <v>0</v>
      </c>
      <c r="M157" s="44" t="n">
        <v>0</v>
      </c>
      <c r="N157" s="32" t="n">
        <v>0</v>
      </c>
      <c r="O157" s="44" t="n">
        <v>0</v>
      </c>
      <c r="P157" s="2" t="n">
        <v>11</v>
      </c>
      <c r="Q157" s="2" t="n">
        <v>121</v>
      </c>
      <c r="R157" s="2" t="n">
        <v>2</v>
      </c>
    </row>
    <row r="158">
      <c r="A158" t="inlineStr">
        <is>
          <t>Hats,SEM,Batch 1 - TR</t>
        </is>
      </c>
      <c r="B158" s="29" t="n">
        <v>70.95</v>
      </c>
      <c r="C158" s="30" t="n">
        <v>0.0005999999999999999</v>
      </c>
      <c r="D158" s="2" t="n">
        <v>4</v>
      </c>
      <c r="E158" s="31" t="n">
        <v>0</v>
      </c>
      <c r="F158" s="32" t="n">
        <v>0</v>
      </c>
      <c r="G158" s="32" t="n">
        <v>0</v>
      </c>
      <c r="H158" s="31" t="n">
        <v>0</v>
      </c>
      <c r="I158" s="32" t="n">
        <v>0</v>
      </c>
      <c r="J158" s="31" t="n">
        <v>0</v>
      </c>
      <c r="K158" s="31" t="n">
        <v>0</v>
      </c>
      <c r="L158" s="44" t="n">
        <v>0</v>
      </c>
      <c r="M158" s="44" t="n">
        <v>0</v>
      </c>
      <c r="N158" s="32" t="n">
        <v>0</v>
      </c>
      <c r="O158" s="44" t="n">
        <v>0</v>
      </c>
      <c r="P158" s="2" t="n">
        <v>0</v>
      </c>
      <c r="Q158" s="2" t="n">
        <v>19</v>
      </c>
      <c r="R158" s="2" t="n">
        <v>1</v>
      </c>
    </row>
    <row r="159">
      <c r="A159" t="inlineStr">
        <is>
          <t>Halloween</t>
        </is>
      </c>
      <c r="B159" s="29" t="n">
        <v>69.80000000000001</v>
      </c>
      <c r="C159" s="30" t="n">
        <v>0.0005999999999999999</v>
      </c>
      <c r="D159" s="2" t="n">
        <v>10</v>
      </c>
      <c r="E159" s="31" t="n">
        <v>0</v>
      </c>
      <c r="F159" s="32" t="n">
        <v>0</v>
      </c>
      <c r="G159" s="32" t="n">
        <v>0</v>
      </c>
      <c r="H159" s="31" t="n">
        <v>0</v>
      </c>
      <c r="I159" s="32" t="n">
        <v>0</v>
      </c>
      <c r="J159" s="31" t="n">
        <v>0</v>
      </c>
      <c r="K159" s="31" t="n">
        <v>0</v>
      </c>
      <c r="L159" s="44" t="n">
        <v>0</v>
      </c>
      <c r="M159" s="44" t="n">
        <v>0</v>
      </c>
      <c r="N159" s="32" t="n">
        <v>0</v>
      </c>
      <c r="O159" s="44" t="n">
        <v>0</v>
      </c>
      <c r="P159" s="2" t="n">
        <v>0</v>
      </c>
      <c r="Q159" s="2" t="n">
        <v>141</v>
      </c>
      <c r="R159" s="2" t="n">
        <v>7</v>
      </c>
    </row>
    <row r="160">
      <c r="A160" t="inlineStr">
        <is>
          <t>Q2-Target,Optimized,WFS,WFS Item,Fleece Blankets</t>
        </is>
      </c>
      <c r="B160" s="29" t="n">
        <v>65.97</v>
      </c>
      <c r="C160" s="30" t="n">
        <v>0.0005999999999999999</v>
      </c>
      <c r="D160" s="2" t="n">
        <v>3</v>
      </c>
      <c r="E160" s="31" t="n">
        <v>40.98</v>
      </c>
      <c r="F160" s="32" t="n">
        <v>0.0049</v>
      </c>
      <c r="G160" s="32" t="n">
        <v>0.6212</v>
      </c>
      <c r="H160" s="31" t="n">
        <v>0.49</v>
      </c>
      <c r="I160" s="32" t="n">
        <v>2.05</v>
      </c>
      <c r="J160" s="31" t="n">
        <v>19.99</v>
      </c>
      <c r="K160" s="31" t="n">
        <v>19.99</v>
      </c>
      <c r="L160" s="44" t="n">
        <v>56361</v>
      </c>
      <c r="M160" s="44" t="n">
        <v>107</v>
      </c>
      <c r="N160" s="32" t="n">
        <v>0.0019</v>
      </c>
      <c r="O160" s="44" t="n">
        <v>1</v>
      </c>
      <c r="P160" s="2" t="n">
        <v>64</v>
      </c>
      <c r="Q160" s="2" t="n">
        <v>214</v>
      </c>
      <c r="R160" s="2" t="n">
        <v>2</v>
      </c>
    </row>
    <row r="161">
      <c r="A161" t="inlineStr">
        <is>
          <t>Wine,Wine Bag Camp,Wine WFS,Batch 1 - TR,Lily Brand Camp</t>
        </is>
      </c>
      <c r="B161" s="29" t="n">
        <v>65.97</v>
      </c>
      <c r="C161" s="30" t="n">
        <v>0.0005999999999999999</v>
      </c>
      <c r="D161" s="2" t="n">
        <v>3</v>
      </c>
      <c r="E161" s="31" t="n">
        <v>5.159999999999999</v>
      </c>
      <c r="F161" s="32" t="n">
        <v>0.0005999999999999999</v>
      </c>
      <c r="G161" s="32" t="n">
        <v>0.07820000000000001</v>
      </c>
      <c r="H161" s="31" t="n">
        <v>0</v>
      </c>
      <c r="I161" s="32" t="n">
        <v>0</v>
      </c>
      <c r="J161" s="31" t="n">
        <v>0</v>
      </c>
      <c r="K161" s="31" t="n">
        <v>0</v>
      </c>
      <c r="L161" s="44" t="n">
        <v>11294</v>
      </c>
      <c r="M161" s="44" t="n">
        <v>14</v>
      </c>
      <c r="N161" s="32" t="n">
        <v>0.0012</v>
      </c>
      <c r="O161" s="44" t="n">
        <v>0</v>
      </c>
      <c r="P161" s="2" t="n">
        <v>24</v>
      </c>
      <c r="Q161" s="2" t="n">
        <v>49</v>
      </c>
      <c r="R161" s="2" t="n">
        <v>1</v>
      </c>
    </row>
    <row r="162">
      <c r="A162" t="inlineStr">
        <is>
          <t>Baby days,Beach Robe Camp</t>
        </is>
      </c>
      <c r="B162" s="29" t="n">
        <v>65.95999999999999</v>
      </c>
      <c r="C162" s="30" t="n">
        <v>0.0005999999999999999</v>
      </c>
      <c r="D162" s="2" t="n">
        <v>4</v>
      </c>
      <c r="E162" s="31" t="n">
        <v>0</v>
      </c>
      <c r="F162" s="32" t="n">
        <v>0</v>
      </c>
      <c r="G162" s="32" t="n">
        <v>0</v>
      </c>
      <c r="H162" s="31" t="n">
        <v>0</v>
      </c>
      <c r="I162" s="32" t="n">
        <v>0</v>
      </c>
      <c r="J162" s="31" t="n">
        <v>0</v>
      </c>
      <c r="K162" s="31" t="n">
        <v>0</v>
      </c>
      <c r="L162" s="44" t="n">
        <v>0</v>
      </c>
      <c r="M162" s="44" t="n">
        <v>0</v>
      </c>
      <c r="N162" s="32" t="n">
        <v>0</v>
      </c>
      <c r="O162" s="44" t="n">
        <v>0</v>
      </c>
      <c r="P162" s="2" t="n">
        <v>0</v>
      </c>
      <c r="Q162" s="2" t="n">
        <v>161</v>
      </c>
      <c r="R162" s="2" t="n">
        <v>2</v>
      </c>
    </row>
    <row r="163">
      <c r="A163" t="inlineStr">
        <is>
          <t>Brand Camp VD,Lunch Bag,WFS,Lunch Bags,SEM,WFS Item,ST Patrick Day</t>
        </is>
      </c>
      <c r="B163" s="29" t="n">
        <v>64.90000000000001</v>
      </c>
      <c r="C163" s="30" t="n">
        <v>0.0005999999999999999</v>
      </c>
      <c r="D163" s="2" t="n">
        <v>5</v>
      </c>
      <c r="E163" s="31" t="n">
        <v>0</v>
      </c>
      <c r="F163" s="32" t="n">
        <v>0</v>
      </c>
      <c r="G163" s="32" t="n">
        <v>0</v>
      </c>
      <c r="H163" s="31" t="n">
        <v>0</v>
      </c>
      <c r="I163" s="32" t="n">
        <v>0</v>
      </c>
      <c r="J163" s="31" t="n">
        <v>0</v>
      </c>
      <c r="K163" s="31" t="n">
        <v>0</v>
      </c>
      <c r="L163" s="44" t="n">
        <v>0</v>
      </c>
      <c r="M163" s="44" t="n">
        <v>0</v>
      </c>
      <c r="N163" s="32" t="n">
        <v>0</v>
      </c>
      <c r="O163" s="44" t="n">
        <v>0</v>
      </c>
      <c r="P163" s="2" t="n">
        <v>31</v>
      </c>
      <c r="Q163" s="2" t="n">
        <v>107</v>
      </c>
      <c r="R163" s="2" t="n">
        <v>1</v>
      </c>
    </row>
    <row r="164">
      <c r="A164" t="inlineStr">
        <is>
          <t>Q2-Target,Baby days,Optimized,Hero 5 Holidays</t>
        </is>
      </c>
      <c r="B164" s="29" t="n">
        <v>62.97</v>
      </c>
      <c r="C164" s="30" t="n">
        <v>0.0005</v>
      </c>
      <c r="D164" s="2" t="n">
        <v>3</v>
      </c>
      <c r="E164" s="31" t="n">
        <v>40.47999999999999</v>
      </c>
      <c r="F164" s="32" t="n">
        <v>0.0049</v>
      </c>
      <c r="G164" s="32" t="n">
        <v>0.6428</v>
      </c>
      <c r="H164" s="31" t="n">
        <v>1.01</v>
      </c>
      <c r="I164" s="32" t="n">
        <v>0.99</v>
      </c>
      <c r="J164" s="31" t="n">
        <v>40.98</v>
      </c>
      <c r="K164" s="31" t="n">
        <v>40.98</v>
      </c>
      <c r="L164" s="44" t="n">
        <v>92674</v>
      </c>
      <c r="M164" s="44" t="n">
        <v>103</v>
      </c>
      <c r="N164" s="32" t="n">
        <v>0.0011</v>
      </c>
      <c r="O164" s="44" t="n">
        <v>2</v>
      </c>
      <c r="P164" s="2" t="n">
        <v>28</v>
      </c>
      <c r="Q164" s="2" t="n">
        <v>116</v>
      </c>
      <c r="R164" s="2" t="n">
        <v>2</v>
      </c>
    </row>
    <row r="165">
      <c r="A165" t="inlineStr">
        <is>
          <t>WFS,Hats,WFS Item</t>
        </is>
      </c>
      <c r="B165" s="29" t="n">
        <v>62.91</v>
      </c>
      <c r="C165" s="30" t="n">
        <v>0.0005</v>
      </c>
      <c r="D165" s="2" t="n">
        <v>5</v>
      </c>
      <c r="E165" s="31" t="n">
        <v>0</v>
      </c>
      <c r="F165" s="32" t="n">
        <v>0</v>
      </c>
      <c r="G165" s="32" t="n">
        <v>0</v>
      </c>
      <c r="H165" s="31" t="n">
        <v>0</v>
      </c>
      <c r="I165" s="32" t="n">
        <v>0</v>
      </c>
      <c r="J165" s="31" t="n">
        <v>0</v>
      </c>
      <c r="K165" s="31" t="n">
        <v>0</v>
      </c>
      <c r="L165" s="44" t="n">
        <v>0</v>
      </c>
      <c r="M165" s="44" t="n">
        <v>0</v>
      </c>
      <c r="N165" s="32" t="n">
        <v>0</v>
      </c>
      <c r="O165" s="44" t="n">
        <v>0</v>
      </c>
      <c r="P165" s="2" t="n">
        <v>0</v>
      </c>
      <c r="Q165" s="2" t="n">
        <v>100</v>
      </c>
      <c r="R165" s="2" t="n">
        <v>4</v>
      </c>
    </row>
    <row r="166">
      <c r="A166" t="inlineStr">
        <is>
          <t>Optimized,WFS,SEM,WFS Item</t>
        </is>
      </c>
      <c r="B166" s="29" t="n">
        <v>60.99</v>
      </c>
      <c r="C166" s="30" t="n">
        <v>0.0005</v>
      </c>
      <c r="D166" s="2" t="n">
        <v>1</v>
      </c>
      <c r="E166" s="31" t="n">
        <v>0.82</v>
      </c>
      <c r="F166" s="32" t="n">
        <v>0.0001</v>
      </c>
      <c r="G166" s="32" t="n">
        <v>0.0134</v>
      </c>
      <c r="H166" s="31" t="n">
        <v>0</v>
      </c>
      <c r="I166" s="32" t="n">
        <v>0</v>
      </c>
      <c r="J166" s="31" t="n">
        <v>0</v>
      </c>
      <c r="K166" s="31" t="n">
        <v>0</v>
      </c>
      <c r="L166" s="44" t="n">
        <v>1082</v>
      </c>
      <c r="M166" s="44" t="n">
        <v>2</v>
      </c>
      <c r="N166" s="32" t="n">
        <v>0.0018</v>
      </c>
      <c r="O166" s="44" t="n">
        <v>0</v>
      </c>
      <c r="P166" s="2" t="n">
        <v>0</v>
      </c>
      <c r="Q166" s="2" t="n">
        <v>101</v>
      </c>
      <c r="R166" s="2" t="n">
        <v>2</v>
      </c>
    </row>
    <row r="167">
      <c r="A167" t="inlineStr">
        <is>
          <t>Lunch Bag,Optimized</t>
        </is>
      </c>
      <c r="B167" s="29" t="n">
        <v>60.54</v>
      </c>
      <c r="C167" s="30" t="n">
        <v>0.0005</v>
      </c>
      <c r="D167" s="2" t="n">
        <v>6</v>
      </c>
      <c r="E167" s="31" t="n">
        <v>0</v>
      </c>
      <c r="F167" s="32" t="n">
        <v>0</v>
      </c>
      <c r="G167" s="32" t="n">
        <v>0</v>
      </c>
      <c r="H167" s="31" t="n">
        <v>0</v>
      </c>
      <c r="I167" s="32" t="n">
        <v>0</v>
      </c>
      <c r="J167" s="31" t="n">
        <v>0</v>
      </c>
      <c r="K167" s="31" t="n">
        <v>0</v>
      </c>
      <c r="L167" s="44" t="n">
        <v>0</v>
      </c>
      <c r="M167" s="44" t="n">
        <v>0</v>
      </c>
      <c r="N167" s="32" t="n">
        <v>0</v>
      </c>
      <c r="O167" s="44" t="n">
        <v>0</v>
      </c>
      <c r="P167" s="2" t="n">
        <v>128</v>
      </c>
      <c r="Q167" s="2" t="n">
        <v>39</v>
      </c>
      <c r="R167" s="2" t="n">
        <v>1</v>
      </c>
    </row>
    <row r="168">
      <c r="A168" t="inlineStr">
        <is>
          <t>Q2-Target,Wproof Blanket,Fleece Blankets,Batch 1 - TR</t>
        </is>
      </c>
      <c r="B168" s="29" t="n">
        <v>59.99</v>
      </c>
      <c r="C168" s="30" t="n">
        <v>0.0005</v>
      </c>
      <c r="D168" s="2" t="n">
        <v>1</v>
      </c>
      <c r="E168" s="31" t="n">
        <v>8.93</v>
      </c>
      <c r="F168" s="32" t="n">
        <v>0.0011</v>
      </c>
      <c r="G168" s="32" t="n">
        <v>0.1489</v>
      </c>
      <c r="H168" s="31" t="n">
        <v>0</v>
      </c>
      <c r="I168" s="32" t="n">
        <v>0</v>
      </c>
      <c r="J168" s="31" t="n">
        <v>0</v>
      </c>
      <c r="K168" s="31" t="n">
        <v>0</v>
      </c>
      <c r="L168" s="44" t="n">
        <v>18288</v>
      </c>
      <c r="M168" s="44" t="n">
        <v>23</v>
      </c>
      <c r="N168" s="32" t="n">
        <v>0.0013</v>
      </c>
      <c r="O168" s="44" t="n">
        <v>0</v>
      </c>
      <c r="P168" s="2" t="n">
        <v>0</v>
      </c>
      <c r="Q168" s="2" t="n">
        <v>42</v>
      </c>
      <c r="R168" s="2" t="n">
        <v>1</v>
      </c>
    </row>
    <row r="169">
      <c r="A169" t="inlineStr">
        <is>
          <t>WFS,Bathrobe,WFS Item</t>
        </is>
      </c>
      <c r="B169" s="29" t="n">
        <v>59.98</v>
      </c>
      <c r="C169" s="30" t="n">
        <v>0.0005</v>
      </c>
      <c r="D169" s="2" t="n">
        <v>2</v>
      </c>
      <c r="E169" s="31" t="n">
        <v>0</v>
      </c>
      <c r="F169" s="32" t="n">
        <v>0</v>
      </c>
      <c r="G169" s="32" t="n">
        <v>0</v>
      </c>
      <c r="H169" s="31" t="n">
        <v>0</v>
      </c>
      <c r="I169" s="32" t="n">
        <v>0</v>
      </c>
      <c r="J169" s="31" t="n">
        <v>0</v>
      </c>
      <c r="K169" s="31" t="n">
        <v>0</v>
      </c>
      <c r="L169" s="44" t="n">
        <v>0</v>
      </c>
      <c r="M169" s="44" t="n">
        <v>0</v>
      </c>
      <c r="N169" s="32" t="n">
        <v>0</v>
      </c>
      <c r="O169" s="44" t="n">
        <v>0</v>
      </c>
      <c r="P169" s="2" t="n">
        <v>0</v>
      </c>
      <c r="Q169" s="2" t="n">
        <v>9</v>
      </c>
      <c r="R169" s="2" t="n">
        <v>2</v>
      </c>
    </row>
    <row r="170">
      <c r="A170" t="inlineStr">
        <is>
          <t>WFS,WFS Item,ST Patrick Day</t>
        </is>
      </c>
      <c r="B170" s="29" t="n">
        <v>59.98</v>
      </c>
      <c r="C170" s="30" t="n">
        <v>0.0005</v>
      </c>
      <c r="D170" s="2" t="n">
        <v>2</v>
      </c>
      <c r="E170" s="31" t="n">
        <v>0</v>
      </c>
      <c r="F170" s="32" t="n">
        <v>0</v>
      </c>
      <c r="G170" s="32" t="n">
        <v>0</v>
      </c>
      <c r="H170" s="31" t="n">
        <v>0</v>
      </c>
      <c r="I170" s="32" t="n">
        <v>0</v>
      </c>
      <c r="J170" s="31" t="n">
        <v>0</v>
      </c>
      <c r="K170" s="31" t="n">
        <v>0</v>
      </c>
      <c r="L170" s="44" t="n">
        <v>0</v>
      </c>
      <c r="M170" s="44" t="n">
        <v>0</v>
      </c>
      <c r="N170" s="32" t="n">
        <v>0</v>
      </c>
      <c r="O170" s="44" t="n">
        <v>0</v>
      </c>
      <c r="P170" s="2" t="n">
        <v>2</v>
      </c>
      <c r="Q170" s="2" t="n">
        <v>87</v>
      </c>
      <c r="R170" s="2" t="n">
        <v>2</v>
      </c>
    </row>
    <row r="171">
      <c r="A171" t="inlineStr">
        <is>
          <t>Optimized,Hero 5 Holidays,Bathrobe</t>
        </is>
      </c>
      <c r="B171" s="29" t="n">
        <v>55.98</v>
      </c>
      <c r="C171" s="30" t="n">
        <v>0.0005</v>
      </c>
      <c r="D171" s="2" t="n">
        <v>2</v>
      </c>
      <c r="E171" s="31" t="n">
        <v>0</v>
      </c>
      <c r="F171" s="32" t="n">
        <v>0</v>
      </c>
      <c r="G171" s="32" t="n">
        <v>0</v>
      </c>
      <c r="H171" s="31" t="n">
        <v>0</v>
      </c>
      <c r="I171" s="32" t="n">
        <v>0</v>
      </c>
      <c r="J171" s="31" t="n">
        <v>0</v>
      </c>
      <c r="K171" s="31" t="n">
        <v>0</v>
      </c>
      <c r="L171" s="44" t="n">
        <v>0</v>
      </c>
      <c r="M171" s="44" t="n">
        <v>0</v>
      </c>
      <c r="N171" s="32" t="n">
        <v>0</v>
      </c>
      <c r="O171" s="44" t="n">
        <v>0</v>
      </c>
      <c r="P171" s="2" t="n">
        <v>11</v>
      </c>
      <c r="Q171" s="2" t="n">
        <v>33</v>
      </c>
      <c r="R171" s="2" t="n">
        <v>1</v>
      </c>
    </row>
    <row r="172">
      <c r="A172" t="inlineStr">
        <is>
          <t>Fleece Blankets</t>
        </is>
      </c>
      <c r="B172" s="29" t="n">
        <v>53.98</v>
      </c>
      <c r="C172" s="30" t="n">
        <v>0.0005</v>
      </c>
      <c r="D172" s="2" t="n">
        <v>2</v>
      </c>
      <c r="E172" s="31" t="n">
        <v>0</v>
      </c>
      <c r="F172" s="32" t="n">
        <v>0</v>
      </c>
      <c r="G172" s="32" t="n">
        <v>0</v>
      </c>
      <c r="H172" s="31" t="n">
        <v>0</v>
      </c>
      <c r="I172" s="32" t="n">
        <v>0</v>
      </c>
      <c r="J172" s="31" t="n">
        <v>0</v>
      </c>
      <c r="K172" s="31" t="n">
        <v>0</v>
      </c>
      <c r="L172" s="44" t="n">
        <v>0</v>
      </c>
      <c r="M172" s="44" t="n">
        <v>0</v>
      </c>
      <c r="N172" s="32" t="n">
        <v>0</v>
      </c>
      <c r="O172" s="44" t="n">
        <v>0</v>
      </c>
      <c r="P172" s="2" t="n">
        <v>0</v>
      </c>
      <c r="Q172" s="2" t="n">
        <v>70</v>
      </c>
      <c r="R172" s="2" t="n">
        <v>2</v>
      </c>
    </row>
    <row r="173">
      <c r="A173" t="inlineStr">
        <is>
          <t>Q2-Target,Fleece Blankets</t>
        </is>
      </c>
      <c r="B173" s="29" t="n">
        <v>53.98</v>
      </c>
      <c r="C173" s="30" t="n">
        <v>0.0005</v>
      </c>
      <c r="D173" s="2" t="n">
        <v>2</v>
      </c>
      <c r="E173" s="31" t="n">
        <v>0</v>
      </c>
      <c r="F173" s="32" t="n">
        <v>0</v>
      </c>
      <c r="G173" s="32" t="n">
        <v>0</v>
      </c>
      <c r="H173" s="31" t="n">
        <v>0</v>
      </c>
      <c r="I173" s="32" t="n">
        <v>0</v>
      </c>
      <c r="J173" s="31" t="n">
        <v>0</v>
      </c>
      <c r="K173" s="31" t="n">
        <v>0</v>
      </c>
      <c r="L173" s="44" t="n">
        <v>0</v>
      </c>
      <c r="M173" s="44" t="n">
        <v>0</v>
      </c>
      <c r="N173" s="32" t="n">
        <v>0</v>
      </c>
      <c r="O173" s="44" t="n">
        <v>0</v>
      </c>
      <c r="P173" s="2" t="n">
        <v>3</v>
      </c>
      <c r="Q173" s="2" t="n">
        <v>71</v>
      </c>
      <c r="R173" s="2" t="n">
        <v>1</v>
      </c>
    </row>
    <row r="174">
      <c r="A174" t="inlineStr">
        <is>
          <t>Optimized,ST Patrick Day</t>
        </is>
      </c>
      <c r="B174" s="29" t="n">
        <v>52.95</v>
      </c>
      <c r="C174" s="30" t="n">
        <v>0.0005</v>
      </c>
      <c r="D174" s="2" t="n">
        <v>5</v>
      </c>
      <c r="E174" s="31" t="n">
        <v>0</v>
      </c>
      <c r="F174" s="32" t="n">
        <v>0</v>
      </c>
      <c r="G174" s="32" t="n">
        <v>0</v>
      </c>
      <c r="H174" s="31" t="n">
        <v>0</v>
      </c>
      <c r="I174" s="32" t="n">
        <v>0</v>
      </c>
      <c r="J174" s="31" t="n">
        <v>0</v>
      </c>
      <c r="K174" s="31" t="n">
        <v>0</v>
      </c>
      <c r="L174" s="44" t="n">
        <v>0</v>
      </c>
      <c r="M174" s="44" t="n">
        <v>0</v>
      </c>
      <c r="N174" s="32" t="n">
        <v>0</v>
      </c>
      <c r="O174" s="44" t="n">
        <v>0</v>
      </c>
      <c r="P174" s="2" t="n">
        <v>0</v>
      </c>
      <c r="Q174" s="2" t="n">
        <v>64</v>
      </c>
      <c r="R174" s="2" t="n">
        <v>10</v>
      </c>
    </row>
    <row r="175">
      <c r="A175" t="inlineStr">
        <is>
          <t>Q2-Target,Lunch Bag,Optimized,Lunch Bags,WFS Item</t>
        </is>
      </c>
      <c r="B175" s="29" t="n">
        <v>52.06</v>
      </c>
      <c r="C175" s="30" t="n">
        <v>0.0004</v>
      </c>
      <c r="D175" s="2" t="n">
        <v>4</v>
      </c>
      <c r="E175" s="31" t="n">
        <v>0</v>
      </c>
      <c r="F175" s="32" t="n">
        <v>0</v>
      </c>
      <c r="G175" s="32" t="n">
        <v>0</v>
      </c>
      <c r="H175" s="31" t="n">
        <v>0</v>
      </c>
      <c r="I175" s="32" t="n">
        <v>0</v>
      </c>
      <c r="J175" s="31" t="n">
        <v>0</v>
      </c>
      <c r="K175" s="31" t="n">
        <v>0</v>
      </c>
      <c r="L175" s="44" t="n">
        <v>0</v>
      </c>
      <c r="M175" s="44" t="n">
        <v>0</v>
      </c>
      <c r="N175" s="32" t="n">
        <v>0</v>
      </c>
      <c r="O175" s="44" t="n">
        <v>0</v>
      </c>
      <c r="P175" s="2" t="n">
        <v>633</v>
      </c>
      <c r="Q175" s="2" t="n">
        <v>256</v>
      </c>
      <c r="R175" s="2" t="n">
        <v>2</v>
      </c>
    </row>
    <row r="176">
      <c r="A176" t="inlineStr">
        <is>
          <t>Wine,Q2-Target,Christmas,Optimized,Wine WFS,Valentine</t>
        </is>
      </c>
      <c r="B176" s="29" t="n">
        <v>49.98</v>
      </c>
      <c r="C176" s="30" t="n">
        <v>0.0004</v>
      </c>
      <c r="D176" s="2" t="n">
        <v>2</v>
      </c>
      <c r="E176" s="31" t="n">
        <v>0</v>
      </c>
      <c r="F176" s="32" t="n">
        <v>0</v>
      </c>
      <c r="G176" s="32" t="n">
        <v>0</v>
      </c>
      <c r="H176" s="31" t="n">
        <v>0</v>
      </c>
      <c r="I176" s="32" t="n">
        <v>0</v>
      </c>
      <c r="J176" s="31" t="n">
        <v>0</v>
      </c>
      <c r="K176" s="31" t="n">
        <v>0</v>
      </c>
      <c r="L176" s="44" t="n">
        <v>0</v>
      </c>
      <c r="M176" s="44" t="n">
        <v>0</v>
      </c>
      <c r="N176" s="32" t="n">
        <v>0</v>
      </c>
      <c r="O176" s="44" t="n">
        <v>0</v>
      </c>
      <c r="P176" s="2" t="n">
        <v>84</v>
      </c>
      <c r="Q176" s="2" t="n">
        <v>107</v>
      </c>
      <c r="R176" s="2" t="n">
        <v>1</v>
      </c>
    </row>
    <row r="177">
      <c r="A177" t="inlineStr">
        <is>
          <t>Q2-Target,Brand Camp VD,Lunch Bag,Optimized,Lunch Bags</t>
        </is>
      </c>
      <c r="B177" s="29" t="n">
        <v>47.97</v>
      </c>
      <c r="C177" s="30" t="n">
        <v>0.0004</v>
      </c>
      <c r="D177" s="2" t="n">
        <v>3</v>
      </c>
      <c r="E177" s="31" t="n">
        <v>0</v>
      </c>
      <c r="F177" s="32" t="n">
        <v>0</v>
      </c>
      <c r="G177" s="32" t="n">
        <v>0</v>
      </c>
      <c r="H177" s="31" t="n">
        <v>0</v>
      </c>
      <c r="I177" s="32" t="n">
        <v>0</v>
      </c>
      <c r="J177" s="31" t="n">
        <v>0</v>
      </c>
      <c r="K177" s="31" t="n">
        <v>0</v>
      </c>
      <c r="L177" s="44" t="n">
        <v>0</v>
      </c>
      <c r="M177" s="44" t="n">
        <v>0</v>
      </c>
      <c r="N177" s="32" t="n">
        <v>0</v>
      </c>
      <c r="O177" s="44" t="n">
        <v>0</v>
      </c>
      <c r="P177" s="2" t="n">
        <v>14</v>
      </c>
      <c r="Q177" s="2" t="n">
        <v>36</v>
      </c>
      <c r="R177" s="2" t="n">
        <v>1</v>
      </c>
    </row>
    <row r="178">
      <c r="A178" t="inlineStr">
        <is>
          <t>Q2-Target,SEM</t>
        </is>
      </c>
      <c r="B178" s="29" t="n">
        <v>46.96</v>
      </c>
      <c r="C178" s="30" t="n">
        <v>0.0004</v>
      </c>
      <c r="D178" s="2" t="n">
        <v>4</v>
      </c>
      <c r="E178" s="31" t="n">
        <v>0</v>
      </c>
      <c r="F178" s="32" t="n">
        <v>0</v>
      </c>
      <c r="G178" s="32" t="n">
        <v>0</v>
      </c>
      <c r="H178" s="31" t="n">
        <v>0</v>
      </c>
      <c r="I178" s="32" t="n">
        <v>0</v>
      </c>
      <c r="J178" s="31" t="n">
        <v>0</v>
      </c>
      <c r="K178" s="31" t="n">
        <v>0</v>
      </c>
      <c r="L178" s="44" t="n">
        <v>0</v>
      </c>
      <c r="M178" s="44" t="n">
        <v>0</v>
      </c>
      <c r="N178" s="32" t="n">
        <v>0</v>
      </c>
      <c r="O178" s="44" t="n">
        <v>0</v>
      </c>
      <c r="P178" s="2" t="n">
        <v>31</v>
      </c>
      <c r="Q178" s="2" t="n">
        <v>74</v>
      </c>
      <c r="R178" s="2" t="n">
        <v>1</v>
      </c>
    </row>
    <row r="179">
      <c r="A179" t="inlineStr">
        <is>
          <t>Wine,Christmas,Wine WFS,Valentine,WFS Item,Lily Brand Camp</t>
        </is>
      </c>
      <c r="B179" s="29" t="n">
        <v>45.98</v>
      </c>
      <c r="C179" s="30" t="n">
        <v>0.0004</v>
      </c>
      <c r="D179" s="2" t="n">
        <v>2</v>
      </c>
      <c r="E179" s="31" t="n">
        <v>3.900000000000001</v>
      </c>
      <c r="F179" s="32" t="n">
        <v>0.0005</v>
      </c>
      <c r="G179" s="32" t="n">
        <v>0.0848</v>
      </c>
      <c r="H179" s="31" t="n">
        <v>0</v>
      </c>
      <c r="I179" s="32" t="n">
        <v>0</v>
      </c>
      <c r="J179" s="31" t="n">
        <v>0</v>
      </c>
      <c r="K179" s="31" t="n">
        <v>0</v>
      </c>
      <c r="L179" s="44" t="n">
        <v>8323</v>
      </c>
      <c r="M179" s="44" t="n">
        <v>10</v>
      </c>
      <c r="N179" s="32" t="n">
        <v>0.0012</v>
      </c>
      <c r="O179" s="44" t="n">
        <v>0</v>
      </c>
      <c r="P179" s="2" t="n">
        <v>0</v>
      </c>
      <c r="Q179" s="2" t="n">
        <v>30</v>
      </c>
      <c r="R179" s="2" t="n">
        <v>1</v>
      </c>
    </row>
    <row r="180">
      <c r="A180" t="inlineStr">
        <is>
          <t>Optimized,Hats</t>
        </is>
      </c>
      <c r="B180" s="29" t="n">
        <v>45.95</v>
      </c>
      <c r="C180" s="30" t="n">
        <v>0.0004</v>
      </c>
      <c r="D180" s="2" t="n">
        <v>5</v>
      </c>
      <c r="E180" s="31" t="n">
        <v>0</v>
      </c>
      <c r="F180" s="32" t="n">
        <v>0</v>
      </c>
      <c r="G180" s="32" t="n">
        <v>0</v>
      </c>
      <c r="H180" s="31" t="n">
        <v>0</v>
      </c>
      <c r="I180" s="32" t="n">
        <v>0</v>
      </c>
      <c r="J180" s="31" t="n">
        <v>0</v>
      </c>
      <c r="K180" s="31" t="n">
        <v>0</v>
      </c>
      <c r="L180" s="44" t="n">
        <v>0</v>
      </c>
      <c r="M180" s="44" t="n">
        <v>0</v>
      </c>
      <c r="N180" s="32" t="n">
        <v>0</v>
      </c>
      <c r="O180" s="44" t="n">
        <v>0</v>
      </c>
      <c r="P180" s="2" t="n">
        <v>0</v>
      </c>
      <c r="Q180" s="2" t="n">
        <v>187</v>
      </c>
      <c r="R180" s="2" t="n">
        <v>10</v>
      </c>
    </row>
    <row r="181">
      <c r="A181" t="inlineStr">
        <is>
          <t>Coupon_Discount</t>
        </is>
      </c>
      <c r="B181" s="29" t="n">
        <v>44.99</v>
      </c>
      <c r="C181" s="30" t="n">
        <v>0.0004</v>
      </c>
      <c r="D181" s="2" t="n">
        <v>1</v>
      </c>
      <c r="E181" s="31" t="n">
        <v>7.460000000000001</v>
      </c>
      <c r="F181" s="32" t="n">
        <v>0.0009</v>
      </c>
      <c r="G181" s="32" t="n">
        <v>0.1658</v>
      </c>
      <c r="H181" s="31" t="n">
        <v>0</v>
      </c>
      <c r="I181" s="32" t="n">
        <v>0</v>
      </c>
      <c r="J181" s="31" t="n">
        <v>0</v>
      </c>
      <c r="K181" s="31" t="n">
        <v>0</v>
      </c>
      <c r="L181" s="44" t="n">
        <v>7204</v>
      </c>
      <c r="M181" s="44" t="n">
        <v>21</v>
      </c>
      <c r="N181" s="32" t="n">
        <v>0.0029</v>
      </c>
      <c r="O181" s="44" t="n">
        <v>0</v>
      </c>
      <c r="P181" s="2" t="n">
        <v>13</v>
      </c>
      <c r="Q181" s="2" t="n">
        <v>73</v>
      </c>
      <c r="R181" s="2" t="n">
        <v>3</v>
      </c>
    </row>
    <row r="182">
      <c r="A182" t="inlineStr">
        <is>
          <t>Wine,Wine Bag Camp,Christmas,Wine WFS,Valentine,WFS Item,Lily Brand Camp</t>
        </is>
      </c>
      <c r="B182" s="29" t="n">
        <v>43.98</v>
      </c>
      <c r="C182" s="30" t="n">
        <v>0.0004</v>
      </c>
      <c r="D182" s="2" t="n">
        <v>2</v>
      </c>
      <c r="E182" s="31" t="n">
        <v>52.41999999999999</v>
      </c>
      <c r="F182" s="32" t="n">
        <v>0.0063</v>
      </c>
      <c r="G182" s="32" t="n">
        <v>1.1919</v>
      </c>
      <c r="H182" s="31" t="n">
        <v>2.06</v>
      </c>
      <c r="I182" s="32" t="n">
        <v>0.49</v>
      </c>
      <c r="J182" s="31" t="n">
        <v>107.95</v>
      </c>
      <c r="K182" s="31" t="n">
        <v>41.98</v>
      </c>
      <c r="L182" s="44" t="n">
        <v>54944</v>
      </c>
      <c r="M182" s="44" t="n">
        <v>110</v>
      </c>
      <c r="N182" s="32" t="n">
        <v>0.002</v>
      </c>
      <c r="O182" s="44" t="n">
        <v>5</v>
      </c>
      <c r="P182" s="2" t="n">
        <v>93</v>
      </c>
      <c r="Q182" s="2" t="n">
        <v>140</v>
      </c>
      <c r="R182" s="2" t="n">
        <v>1</v>
      </c>
    </row>
    <row r="183">
      <c r="A183" t="inlineStr">
        <is>
          <t>Q2-Target,Brand Camp VD,Lunch Bag,Lunch Bags</t>
        </is>
      </c>
      <c r="B183" s="29" t="n">
        <v>43.97</v>
      </c>
      <c r="C183" s="30" t="n">
        <v>0.0004</v>
      </c>
      <c r="D183" s="2" t="n">
        <v>3</v>
      </c>
      <c r="E183" s="31" t="n">
        <v>0</v>
      </c>
      <c r="F183" s="32" t="n">
        <v>0</v>
      </c>
      <c r="G183" s="32" t="n">
        <v>0</v>
      </c>
      <c r="H183" s="31" t="n">
        <v>0</v>
      </c>
      <c r="I183" s="32" t="n">
        <v>0</v>
      </c>
      <c r="J183" s="31" t="n">
        <v>0</v>
      </c>
      <c r="K183" s="31" t="n">
        <v>0</v>
      </c>
      <c r="L183" s="44" t="n">
        <v>0</v>
      </c>
      <c r="M183" s="44" t="n">
        <v>0</v>
      </c>
      <c r="N183" s="32" t="n">
        <v>0</v>
      </c>
      <c r="O183" s="44" t="n">
        <v>0</v>
      </c>
      <c r="P183" s="2" t="n">
        <v>12</v>
      </c>
      <c r="Q183" s="2" t="n">
        <v>82</v>
      </c>
      <c r="R183" s="2" t="n">
        <v>2</v>
      </c>
    </row>
    <row r="184">
      <c r="A184" t="inlineStr">
        <is>
          <t>WFS Item</t>
        </is>
      </c>
      <c r="B184" s="29" t="n">
        <v>39.99</v>
      </c>
      <c r="C184" s="30" t="n">
        <v>0.0003</v>
      </c>
      <c r="D184" s="2" t="n">
        <v>1</v>
      </c>
      <c r="E184" s="31" t="n">
        <v>0</v>
      </c>
      <c r="F184" s="32" t="n">
        <v>0</v>
      </c>
      <c r="G184" s="32" t="n">
        <v>0</v>
      </c>
      <c r="H184" s="31" t="n">
        <v>0</v>
      </c>
      <c r="I184" s="32" t="n">
        <v>0</v>
      </c>
      <c r="J184" s="31" t="n">
        <v>0</v>
      </c>
      <c r="K184" s="31" t="n">
        <v>0</v>
      </c>
      <c r="L184" s="44" t="n">
        <v>0</v>
      </c>
      <c r="M184" s="44" t="n">
        <v>0</v>
      </c>
      <c r="N184" s="32" t="n">
        <v>0</v>
      </c>
      <c r="O184" s="44" t="n">
        <v>0</v>
      </c>
      <c r="P184" s="2" t="n">
        <v>91</v>
      </c>
      <c r="Q184" s="2" t="n">
        <v>120</v>
      </c>
      <c r="R184" s="2" t="n">
        <v>2</v>
      </c>
    </row>
    <row r="185">
      <c r="A185" t="inlineStr">
        <is>
          <t>Hero 5 Holidays,WFS,Coupon_Discount,WFS Item</t>
        </is>
      </c>
      <c r="B185" s="29" t="n">
        <v>39.98</v>
      </c>
      <c r="C185" s="30" t="n">
        <v>0.0003</v>
      </c>
      <c r="D185" s="2" t="n">
        <v>2</v>
      </c>
      <c r="E185" s="31" t="n">
        <v>0</v>
      </c>
      <c r="F185" s="32" t="n">
        <v>0</v>
      </c>
      <c r="G185" s="32" t="n">
        <v>0</v>
      </c>
      <c r="H185" s="31" t="n">
        <v>0</v>
      </c>
      <c r="I185" s="32" t="n">
        <v>0</v>
      </c>
      <c r="J185" s="31" t="n">
        <v>0</v>
      </c>
      <c r="K185" s="31" t="n">
        <v>0</v>
      </c>
      <c r="L185" s="44" t="n">
        <v>0</v>
      </c>
      <c r="M185" s="44" t="n">
        <v>0</v>
      </c>
      <c r="N185" s="32" t="n">
        <v>0</v>
      </c>
      <c r="O185" s="44" t="n">
        <v>0</v>
      </c>
      <c r="P185" s="2" t="n">
        <v>69</v>
      </c>
      <c r="Q185" s="2" t="n">
        <v>82</v>
      </c>
      <c r="R185" s="2" t="n">
        <v>3</v>
      </c>
    </row>
    <row r="186">
      <c r="A186" t="inlineStr">
        <is>
          <t>Optimized,WFS,Valentine,WFS Item</t>
        </is>
      </c>
      <c r="B186" s="29" t="n">
        <v>39.90000000000001</v>
      </c>
      <c r="C186" s="30" t="n">
        <v>0.0003</v>
      </c>
      <c r="D186" s="2" t="n">
        <v>5</v>
      </c>
      <c r="E186" s="31" t="n">
        <v>0</v>
      </c>
      <c r="F186" s="32" t="n">
        <v>0</v>
      </c>
      <c r="G186" s="32" t="n">
        <v>0</v>
      </c>
      <c r="H186" s="31" t="n">
        <v>0</v>
      </c>
      <c r="I186" s="32" t="n">
        <v>0</v>
      </c>
      <c r="J186" s="31" t="n">
        <v>0</v>
      </c>
      <c r="K186" s="31" t="n">
        <v>0</v>
      </c>
      <c r="L186" s="44" t="n">
        <v>0</v>
      </c>
      <c r="M186" s="44" t="n">
        <v>0</v>
      </c>
      <c r="N186" s="32" t="n">
        <v>0</v>
      </c>
      <c r="O186" s="44" t="n">
        <v>0</v>
      </c>
      <c r="P186" s="2" t="n">
        <v>0</v>
      </c>
      <c r="Q186" s="2" t="n">
        <v>260</v>
      </c>
      <c r="R186" s="2" t="n">
        <v>8</v>
      </c>
    </row>
    <row r="187">
      <c r="A187" t="inlineStr">
        <is>
          <t>WFS</t>
        </is>
      </c>
      <c r="B187" s="29" t="n">
        <v>35.94</v>
      </c>
      <c r="C187" s="30" t="n">
        <v>0.0003</v>
      </c>
      <c r="D187" s="2" t="n">
        <v>3</v>
      </c>
      <c r="E187" s="31" t="n">
        <v>0</v>
      </c>
      <c r="F187" s="32" t="n">
        <v>0</v>
      </c>
      <c r="G187" s="32" t="n">
        <v>0</v>
      </c>
      <c r="H187" s="31" t="n">
        <v>0</v>
      </c>
      <c r="I187" s="32" t="n">
        <v>0</v>
      </c>
      <c r="J187" s="31" t="n">
        <v>0</v>
      </c>
      <c r="K187" s="31" t="n">
        <v>0</v>
      </c>
      <c r="L187" s="44" t="n">
        <v>0</v>
      </c>
      <c r="M187" s="44" t="n">
        <v>0</v>
      </c>
      <c r="N187" s="32" t="n">
        <v>0</v>
      </c>
      <c r="O187" s="44" t="n">
        <v>0</v>
      </c>
      <c r="P187" s="2" t="n">
        <v>0</v>
      </c>
      <c r="Q187" s="2" t="n">
        <v>7</v>
      </c>
      <c r="R187" s="2" t="n">
        <v>1</v>
      </c>
    </row>
    <row r="188">
      <c r="A188" t="inlineStr">
        <is>
          <t>Brand Camp VD,Lunch Bag,SEM</t>
        </is>
      </c>
      <c r="B188" s="29" t="n">
        <v>34.97</v>
      </c>
      <c r="C188" s="30" t="n">
        <v>0.0003</v>
      </c>
      <c r="D188" s="2" t="n">
        <v>2</v>
      </c>
      <c r="E188" s="31" t="n">
        <v>0</v>
      </c>
      <c r="F188" s="32" t="n">
        <v>0</v>
      </c>
      <c r="G188" s="32" t="n">
        <v>0</v>
      </c>
      <c r="H188" s="31" t="n">
        <v>0</v>
      </c>
      <c r="I188" s="32" t="n">
        <v>0</v>
      </c>
      <c r="J188" s="31" t="n">
        <v>0</v>
      </c>
      <c r="K188" s="31" t="n">
        <v>0</v>
      </c>
      <c r="L188" s="44" t="n">
        <v>0</v>
      </c>
      <c r="M188" s="44" t="n">
        <v>0</v>
      </c>
      <c r="N188" s="32" t="n">
        <v>0</v>
      </c>
      <c r="O188" s="44" t="n">
        <v>0</v>
      </c>
      <c r="P188" s="2" t="n">
        <v>0</v>
      </c>
      <c r="Q188" s="2" t="n">
        <v>47</v>
      </c>
      <c r="R188" s="2" t="n">
        <v>1</v>
      </c>
    </row>
    <row r="189">
      <c r="A189" t="inlineStr">
        <is>
          <t>Q2-Target,Hero 5 Holidays,WFS,Coupon_Discount,WFS Item</t>
        </is>
      </c>
      <c r="B189" s="29" t="n">
        <v>32.99</v>
      </c>
      <c r="C189" s="30" t="n">
        <v>0.0003</v>
      </c>
      <c r="D189" s="2" t="n">
        <v>1</v>
      </c>
      <c r="E189" s="31" t="n">
        <v>0</v>
      </c>
      <c r="F189" s="32" t="n">
        <v>0</v>
      </c>
      <c r="G189" s="32" t="n">
        <v>0</v>
      </c>
      <c r="H189" s="31" t="n">
        <v>0</v>
      </c>
      <c r="I189" s="32" t="n">
        <v>0</v>
      </c>
      <c r="J189" s="31" t="n">
        <v>0</v>
      </c>
      <c r="K189" s="31" t="n">
        <v>0</v>
      </c>
      <c r="L189" s="44" t="n">
        <v>0</v>
      </c>
      <c r="M189" s="44" t="n">
        <v>0</v>
      </c>
      <c r="N189" s="32" t="n">
        <v>0</v>
      </c>
      <c r="O189" s="44" t="n">
        <v>0</v>
      </c>
      <c r="P189" s="2" t="n">
        <v>26</v>
      </c>
      <c r="Q189" s="2" t="n">
        <v>89</v>
      </c>
      <c r="R189" s="2" t="n">
        <v>1</v>
      </c>
    </row>
    <row r="190">
      <c r="A190" t="inlineStr">
        <is>
          <t>Hero 5 Holidays,WFS,Bathrobe,WFS Item</t>
        </is>
      </c>
      <c r="B190" s="29" t="n">
        <v>32.99</v>
      </c>
      <c r="C190" s="30" t="n">
        <v>0.0003</v>
      </c>
      <c r="D190" s="2" t="n">
        <v>1</v>
      </c>
      <c r="E190" s="31" t="n">
        <v>0</v>
      </c>
      <c r="F190" s="32" t="n">
        <v>0</v>
      </c>
      <c r="G190" s="32" t="n">
        <v>0</v>
      </c>
      <c r="H190" s="31" t="n">
        <v>0</v>
      </c>
      <c r="I190" s="32" t="n">
        <v>0</v>
      </c>
      <c r="J190" s="31" t="n">
        <v>0</v>
      </c>
      <c r="K190" s="31" t="n">
        <v>0</v>
      </c>
      <c r="L190" s="44" t="n">
        <v>0</v>
      </c>
      <c r="M190" s="44" t="n">
        <v>0</v>
      </c>
      <c r="N190" s="32" t="n">
        <v>0</v>
      </c>
      <c r="O190" s="44" t="n">
        <v>0</v>
      </c>
      <c r="P190" s="2" t="n">
        <v>0</v>
      </c>
      <c r="Q190" s="2" t="n">
        <v>11</v>
      </c>
      <c r="R190" s="2" t="n">
        <v>1</v>
      </c>
    </row>
    <row r="191">
      <c r="A191" t="inlineStr">
        <is>
          <t>Optimized,WFS,Quilt_Vinay,WFS Item</t>
        </is>
      </c>
      <c r="B191" s="29" t="n">
        <v>31.98</v>
      </c>
      <c r="C191" s="30" t="n">
        <v>0.0003</v>
      </c>
      <c r="D191" s="2" t="n">
        <v>1</v>
      </c>
      <c r="E191" s="31" t="n">
        <v>0</v>
      </c>
      <c r="F191" s="32" t="n">
        <v>0</v>
      </c>
      <c r="G191" s="32" t="n">
        <v>0</v>
      </c>
      <c r="H191" s="31" t="n">
        <v>0</v>
      </c>
      <c r="I191" s="32" t="n">
        <v>0</v>
      </c>
      <c r="J191" s="31" t="n">
        <v>0</v>
      </c>
      <c r="K191" s="31" t="n">
        <v>0</v>
      </c>
      <c r="L191" s="44" t="n">
        <v>0</v>
      </c>
      <c r="M191" s="44" t="n">
        <v>0</v>
      </c>
      <c r="N191" s="32" t="n">
        <v>0</v>
      </c>
      <c r="O191" s="44" t="n">
        <v>0</v>
      </c>
      <c r="P191" s="2" t="n">
        <v>0</v>
      </c>
      <c r="Q191" s="2" t="n">
        <v>106</v>
      </c>
      <c r="R191" s="2" t="n">
        <v>1</v>
      </c>
    </row>
    <row r="192">
      <c r="A192" t="inlineStr">
        <is>
          <t>Hats,ST Patrick Day</t>
        </is>
      </c>
      <c r="B192" s="29" t="n">
        <v>31.96</v>
      </c>
      <c r="C192" s="30" t="n">
        <v>0.0003</v>
      </c>
      <c r="D192" s="2" t="n">
        <v>4</v>
      </c>
      <c r="E192" s="31" t="n">
        <v>0</v>
      </c>
      <c r="F192" s="32" t="n">
        <v>0</v>
      </c>
      <c r="G192" s="32" t="n">
        <v>0</v>
      </c>
      <c r="H192" s="31" t="n">
        <v>0</v>
      </c>
      <c r="I192" s="32" t="n">
        <v>0</v>
      </c>
      <c r="J192" s="31" t="n">
        <v>0</v>
      </c>
      <c r="K192" s="31" t="n">
        <v>0</v>
      </c>
      <c r="L192" s="44" t="n">
        <v>0</v>
      </c>
      <c r="M192" s="44" t="n">
        <v>0</v>
      </c>
      <c r="N192" s="32" t="n">
        <v>0</v>
      </c>
      <c r="O192" s="44" t="n">
        <v>0</v>
      </c>
      <c r="P192" s="2" t="n">
        <v>6</v>
      </c>
      <c r="Q192" s="2" t="n">
        <v>63</v>
      </c>
      <c r="R192" s="2" t="n">
        <v>2</v>
      </c>
    </row>
    <row r="193">
      <c r="A193" t="inlineStr">
        <is>
          <t>Coupon_Discount,Fleece Blankets,Batch 1 - TR</t>
        </is>
      </c>
      <c r="B193" s="29" t="n">
        <v>31.19</v>
      </c>
      <c r="C193" s="30" t="n">
        <v>0.0003</v>
      </c>
      <c r="D193" s="2" t="n">
        <v>1</v>
      </c>
      <c r="E193" s="31" t="n">
        <v>0</v>
      </c>
      <c r="F193" s="32" t="n">
        <v>0</v>
      </c>
      <c r="G193" s="32" t="n">
        <v>0</v>
      </c>
      <c r="H193" s="31" t="n">
        <v>0</v>
      </c>
      <c r="I193" s="32" t="n">
        <v>0</v>
      </c>
      <c r="J193" s="31" t="n">
        <v>0</v>
      </c>
      <c r="K193" s="31" t="n">
        <v>0</v>
      </c>
      <c r="L193" s="44" t="n">
        <v>0</v>
      </c>
      <c r="M193" s="44" t="n">
        <v>0</v>
      </c>
      <c r="N193" s="32" t="n">
        <v>0</v>
      </c>
      <c r="O193" s="44" t="n">
        <v>0</v>
      </c>
      <c r="P193" s="2" t="n">
        <v>0</v>
      </c>
      <c r="Q193" s="2" t="n">
        <v>9</v>
      </c>
      <c r="R193" s="2" t="n">
        <v>2</v>
      </c>
    </row>
    <row r="194">
      <c r="A194" t="inlineStr">
        <is>
          <t>Optimized,Bathrobe</t>
        </is>
      </c>
      <c r="B194" s="29" t="n">
        <v>29.99</v>
      </c>
      <c r="C194" s="30" t="n">
        <v>0.0003</v>
      </c>
      <c r="D194" s="2" t="n">
        <v>1</v>
      </c>
      <c r="E194" s="31" t="n">
        <v>0</v>
      </c>
      <c r="F194" s="32" t="n">
        <v>0</v>
      </c>
      <c r="G194" s="32" t="n">
        <v>0</v>
      </c>
      <c r="H194" s="31" t="n">
        <v>0</v>
      </c>
      <c r="I194" s="32" t="n">
        <v>0</v>
      </c>
      <c r="J194" s="31" t="n">
        <v>0</v>
      </c>
      <c r="K194" s="31" t="n">
        <v>0</v>
      </c>
      <c r="L194" s="44" t="n">
        <v>0</v>
      </c>
      <c r="M194" s="44" t="n">
        <v>0</v>
      </c>
      <c r="N194" s="32" t="n">
        <v>0</v>
      </c>
      <c r="O194" s="44" t="n">
        <v>0</v>
      </c>
      <c r="P194" s="2" t="n">
        <v>0</v>
      </c>
      <c r="Q194" s="2" t="n">
        <v>3</v>
      </c>
      <c r="R194" s="2" t="n">
        <v>2</v>
      </c>
    </row>
    <row r="195">
      <c r="A195" t="inlineStr">
        <is>
          <t>Q2-Target,Optimized,Wproof Blanket,SEM</t>
        </is>
      </c>
      <c r="B195" s="29" t="n">
        <v>29.99</v>
      </c>
      <c r="C195" s="30" t="n">
        <v>0.0003</v>
      </c>
      <c r="D195" s="2" t="n">
        <v>1</v>
      </c>
      <c r="E195" s="31" t="n">
        <v>11.87</v>
      </c>
      <c r="F195" s="32" t="n">
        <v>0.0014</v>
      </c>
      <c r="G195" s="32" t="n">
        <v>0.3958</v>
      </c>
      <c r="H195" s="31" t="n">
        <v>5.05</v>
      </c>
      <c r="I195" s="32" t="n">
        <v>0.2</v>
      </c>
      <c r="J195" s="31" t="n">
        <v>59.98</v>
      </c>
      <c r="K195" s="31" t="n">
        <v>59.98</v>
      </c>
      <c r="L195" s="44" t="n">
        <v>8461</v>
      </c>
      <c r="M195" s="44" t="n">
        <v>28</v>
      </c>
      <c r="N195" s="32" t="n">
        <v>0.0033</v>
      </c>
      <c r="O195" s="44" t="n">
        <v>2</v>
      </c>
      <c r="P195" s="2" t="n">
        <v>0</v>
      </c>
      <c r="Q195" s="2" t="n">
        <v>181</v>
      </c>
      <c r="R195" s="2" t="n">
        <v>2</v>
      </c>
    </row>
    <row r="196">
      <c r="A196" t="inlineStr">
        <is>
          <t>Lunch Bag,SEM</t>
        </is>
      </c>
      <c r="B196" s="29" t="n">
        <v>29.98</v>
      </c>
      <c r="C196" s="30" t="n">
        <v>0.0003</v>
      </c>
      <c r="D196" s="2" t="n">
        <v>2</v>
      </c>
      <c r="E196" s="31" t="n">
        <v>0</v>
      </c>
      <c r="F196" s="32" t="n">
        <v>0</v>
      </c>
      <c r="G196" s="32" t="n">
        <v>0</v>
      </c>
      <c r="H196" s="31" t="n">
        <v>0</v>
      </c>
      <c r="I196" s="32" t="n">
        <v>0</v>
      </c>
      <c r="J196" s="31" t="n">
        <v>0</v>
      </c>
      <c r="K196" s="31" t="n">
        <v>0</v>
      </c>
      <c r="L196" s="44" t="n">
        <v>0</v>
      </c>
      <c r="M196" s="44" t="n">
        <v>0</v>
      </c>
      <c r="N196" s="32" t="n">
        <v>0</v>
      </c>
      <c r="O196" s="44" t="n">
        <v>0</v>
      </c>
      <c r="P196" s="2" t="n">
        <v>0</v>
      </c>
      <c r="Q196" s="2" t="n">
        <v>69</v>
      </c>
      <c r="R196" s="2" t="n">
        <v>2</v>
      </c>
    </row>
    <row r="197">
      <c r="A197" t="inlineStr">
        <is>
          <t>Q2-Target,Brand Camp VD,Lunch Bag</t>
        </is>
      </c>
      <c r="B197" s="29" t="n">
        <v>27.98</v>
      </c>
      <c r="C197" s="30" t="n">
        <v>0.0002</v>
      </c>
      <c r="D197" s="2" t="n">
        <v>2</v>
      </c>
      <c r="E197" s="31" t="n">
        <v>0</v>
      </c>
      <c r="F197" s="32" t="n">
        <v>0</v>
      </c>
      <c r="G197" s="32" t="n">
        <v>0</v>
      </c>
      <c r="H197" s="31" t="n">
        <v>0</v>
      </c>
      <c r="I197" s="32" t="n">
        <v>0</v>
      </c>
      <c r="J197" s="31" t="n">
        <v>0</v>
      </c>
      <c r="K197" s="31" t="n">
        <v>0</v>
      </c>
      <c r="L197" s="44" t="n">
        <v>0</v>
      </c>
      <c r="M197" s="44" t="n">
        <v>0</v>
      </c>
      <c r="N197" s="32" t="n">
        <v>0</v>
      </c>
      <c r="O197" s="44" t="n">
        <v>0</v>
      </c>
      <c r="P197" s="2" t="n">
        <v>0</v>
      </c>
      <c r="Q197" s="2" t="n">
        <v>46</v>
      </c>
      <c r="R197" s="2" t="n">
        <v>1</v>
      </c>
    </row>
    <row r="198">
      <c r="A198" t="inlineStr">
        <is>
          <t>Baby days,Optimized,Beach Robe Camp,SEM</t>
        </is>
      </c>
      <c r="B198" s="29" t="n">
        <v>27.98</v>
      </c>
      <c r="C198" s="30" t="n">
        <v>0.0002</v>
      </c>
      <c r="D198" s="2" t="n">
        <v>2</v>
      </c>
      <c r="E198" s="31" t="n">
        <v>0.2</v>
      </c>
      <c r="F198" s="32" t="n">
        <v>0</v>
      </c>
      <c r="G198" s="32" t="n">
        <v>0.0071</v>
      </c>
      <c r="H198" s="31" t="n">
        <v>0</v>
      </c>
      <c r="I198" s="32" t="n">
        <v>0</v>
      </c>
      <c r="J198" s="31" t="n">
        <v>0</v>
      </c>
      <c r="K198" s="31" t="n">
        <v>0</v>
      </c>
      <c r="L198" s="44" t="n">
        <v>575</v>
      </c>
      <c r="M198" s="44" t="n">
        <v>1</v>
      </c>
      <c r="N198" s="32" t="n">
        <v>0.0017</v>
      </c>
      <c r="O198" s="44" t="n">
        <v>0</v>
      </c>
      <c r="P198" s="2" t="n">
        <v>0</v>
      </c>
      <c r="Q198" s="2" t="n">
        <v>46</v>
      </c>
      <c r="R198" s="2" t="n">
        <v>1</v>
      </c>
    </row>
    <row r="199">
      <c r="A199" t="inlineStr">
        <is>
          <t>Q2-Target,Lunch Bag,Lunch Bags,SEM</t>
        </is>
      </c>
      <c r="B199" s="29" t="n">
        <v>27.98</v>
      </c>
      <c r="C199" s="30" t="n">
        <v>0.0002</v>
      </c>
      <c r="D199" s="2" t="n">
        <v>2</v>
      </c>
      <c r="E199" s="31" t="n">
        <v>0</v>
      </c>
      <c r="F199" s="32" t="n">
        <v>0</v>
      </c>
      <c r="G199" s="32" t="n">
        <v>0</v>
      </c>
      <c r="H199" s="31" t="n">
        <v>0</v>
      </c>
      <c r="I199" s="32" t="n">
        <v>0</v>
      </c>
      <c r="J199" s="31" t="n">
        <v>0</v>
      </c>
      <c r="K199" s="31" t="n">
        <v>0</v>
      </c>
      <c r="L199" s="44" t="n">
        <v>0</v>
      </c>
      <c r="M199" s="44" t="n">
        <v>0</v>
      </c>
      <c r="N199" s="32" t="n">
        <v>0</v>
      </c>
      <c r="O199" s="44" t="n">
        <v>0</v>
      </c>
      <c r="P199" s="2" t="n">
        <v>0</v>
      </c>
      <c r="Q199" s="2" t="n">
        <v>48</v>
      </c>
      <c r="R199" s="2" t="n">
        <v>1</v>
      </c>
    </row>
    <row r="200">
      <c r="A200" t="inlineStr">
        <is>
          <t>Christmas,Hero 5 Holidays,WFS,WFS Item</t>
        </is>
      </c>
      <c r="B200" s="29" t="n">
        <v>25.99</v>
      </c>
      <c r="C200" s="30" t="n">
        <v>0.0002</v>
      </c>
      <c r="D200" s="2" t="n">
        <v>1</v>
      </c>
      <c r="E200" s="31" t="n">
        <v>0</v>
      </c>
      <c r="F200" s="32" t="n">
        <v>0</v>
      </c>
      <c r="G200" s="32" t="n">
        <v>0</v>
      </c>
      <c r="H200" s="31" t="n">
        <v>0</v>
      </c>
      <c r="I200" s="32" t="n">
        <v>0</v>
      </c>
      <c r="J200" s="31" t="n">
        <v>0</v>
      </c>
      <c r="K200" s="31" t="n">
        <v>0</v>
      </c>
      <c r="L200" s="44" t="n">
        <v>0</v>
      </c>
      <c r="M200" s="44" t="n">
        <v>0</v>
      </c>
      <c r="N200" s="32" t="n">
        <v>0</v>
      </c>
      <c r="O200" s="44" t="n">
        <v>0</v>
      </c>
      <c r="P200" s="2" t="n">
        <v>30</v>
      </c>
      <c r="Q200" s="2" t="n">
        <v>13</v>
      </c>
      <c r="R200" s="2" t="n">
        <v>1</v>
      </c>
    </row>
    <row r="201">
      <c r="A201" t="inlineStr">
        <is>
          <t>Hoodie ForAdult,Optimized,WFS,WFS Item</t>
        </is>
      </c>
      <c r="B201" s="29" t="n">
        <v>25.99</v>
      </c>
      <c r="C201" s="30" t="n">
        <v>0.0002</v>
      </c>
      <c r="D201" s="2" t="n">
        <v>1</v>
      </c>
      <c r="E201" s="31" t="n">
        <v>0</v>
      </c>
      <c r="F201" s="32" t="n">
        <v>0</v>
      </c>
      <c r="G201" s="32" t="n">
        <v>0</v>
      </c>
      <c r="H201" s="31" t="n">
        <v>0</v>
      </c>
      <c r="I201" s="32" t="n">
        <v>0</v>
      </c>
      <c r="J201" s="31" t="n">
        <v>0</v>
      </c>
      <c r="K201" s="31" t="n">
        <v>0</v>
      </c>
      <c r="L201" s="44" t="n">
        <v>0</v>
      </c>
      <c r="M201" s="44" t="n">
        <v>0</v>
      </c>
      <c r="N201" s="32" t="n">
        <v>0</v>
      </c>
      <c r="O201" s="44" t="n">
        <v>0</v>
      </c>
      <c r="P201" s="2" t="n">
        <v>0</v>
      </c>
      <c r="Q201" s="2" t="n">
        <v>36</v>
      </c>
      <c r="R201" s="2" t="n">
        <v>2</v>
      </c>
    </row>
    <row r="202">
      <c r="A202" t="inlineStr">
        <is>
          <t>Wine,Wine Bag Camp,Christmas,Wine WFS,Valentine,WFS Item</t>
        </is>
      </c>
      <c r="B202" s="29" t="n">
        <v>24.99</v>
      </c>
      <c r="C202" s="30" t="n">
        <v>0.0002</v>
      </c>
      <c r="D202" s="2" t="n">
        <v>1</v>
      </c>
      <c r="E202" s="31" t="n">
        <v>0.31</v>
      </c>
      <c r="F202" s="32" t="n">
        <v>0</v>
      </c>
      <c r="G202" s="32" t="n">
        <v>0.0124</v>
      </c>
      <c r="H202" s="31" t="n">
        <v>0</v>
      </c>
      <c r="I202" s="32" t="n">
        <v>0</v>
      </c>
      <c r="J202" s="31" t="n">
        <v>0</v>
      </c>
      <c r="K202" s="31" t="n">
        <v>0</v>
      </c>
      <c r="L202" s="44" t="n">
        <v>2494</v>
      </c>
      <c r="M202" s="44" t="n">
        <v>1</v>
      </c>
      <c r="N202" s="32" t="n">
        <v>0.0004</v>
      </c>
      <c r="O202" s="44" t="n">
        <v>0</v>
      </c>
      <c r="P202" s="2" t="n">
        <v>0</v>
      </c>
      <c r="Q202" s="2" t="n">
        <v>46</v>
      </c>
      <c r="R202" s="2" t="n">
        <v>1</v>
      </c>
    </row>
    <row r="203">
      <c r="A203" t="inlineStr">
        <is>
          <t>Q2-Target,Baby days,Beach Robe Camp</t>
        </is>
      </c>
      <c r="B203" s="29" t="n">
        <v>24.98</v>
      </c>
      <c r="C203" s="30" t="n">
        <v>0.0002</v>
      </c>
      <c r="D203" s="2" t="n">
        <v>1</v>
      </c>
      <c r="E203" s="31" t="n">
        <v>0</v>
      </c>
      <c r="F203" s="32" t="n">
        <v>0</v>
      </c>
      <c r="G203" s="32" t="n">
        <v>0</v>
      </c>
      <c r="H203" s="31" t="n">
        <v>0</v>
      </c>
      <c r="I203" s="32" t="n">
        <v>0</v>
      </c>
      <c r="J203" s="31" t="n">
        <v>0</v>
      </c>
      <c r="K203" s="31" t="n">
        <v>0</v>
      </c>
      <c r="L203" s="44" t="n">
        <v>0</v>
      </c>
      <c r="M203" s="44" t="n">
        <v>0</v>
      </c>
      <c r="N203" s="32" t="n">
        <v>0</v>
      </c>
      <c r="O203" s="44" t="n">
        <v>0</v>
      </c>
      <c r="P203" s="2" t="n">
        <v>0</v>
      </c>
      <c r="Q203" s="2" t="n">
        <v>201</v>
      </c>
      <c r="R203" s="2" t="n">
        <v>1</v>
      </c>
    </row>
    <row r="204">
      <c r="A204" t="inlineStr">
        <is>
          <t>Hero 5 Holidays,Coupon_Discount,Batch 1 - TR</t>
        </is>
      </c>
      <c r="B204" s="29" t="n">
        <v>23.99</v>
      </c>
      <c r="C204" s="30" t="n">
        <v>0.0002</v>
      </c>
      <c r="D204" s="2" t="n">
        <v>1</v>
      </c>
      <c r="E204" s="31" t="n">
        <v>0.7</v>
      </c>
      <c r="F204" s="32" t="n">
        <v>0.0001</v>
      </c>
      <c r="G204" s="32" t="n">
        <v>0.0292</v>
      </c>
      <c r="H204" s="31" t="n">
        <v>0</v>
      </c>
      <c r="I204" s="32" t="n">
        <v>0</v>
      </c>
      <c r="J204" s="31" t="n">
        <v>0</v>
      </c>
      <c r="K204" s="31" t="n">
        <v>0</v>
      </c>
      <c r="L204" s="44" t="n">
        <v>2937</v>
      </c>
      <c r="M204" s="44" t="n">
        <v>2</v>
      </c>
      <c r="N204" s="32" t="n">
        <v>0.0007</v>
      </c>
      <c r="O204" s="44" t="n">
        <v>0</v>
      </c>
      <c r="P204" s="2" t="n">
        <v>59</v>
      </c>
      <c r="Q204" s="2" t="n">
        <v>103</v>
      </c>
      <c r="R204" s="2" t="n">
        <v>3</v>
      </c>
    </row>
    <row r="205">
      <c r="A205" t="inlineStr">
        <is>
          <t>Optimized,Coupon_Discount,Fleece Blankets</t>
        </is>
      </c>
      <c r="B205" s="29" t="n">
        <v>23.99</v>
      </c>
      <c r="C205" s="30" t="n">
        <v>0.0002</v>
      </c>
      <c r="D205" s="2" t="n">
        <v>1</v>
      </c>
      <c r="E205" s="31" t="n">
        <v>0</v>
      </c>
      <c r="F205" s="32" t="n">
        <v>0</v>
      </c>
      <c r="G205" s="32" t="n">
        <v>0</v>
      </c>
      <c r="H205" s="31" t="n">
        <v>0</v>
      </c>
      <c r="I205" s="32" t="n">
        <v>0</v>
      </c>
      <c r="J205" s="31" t="n">
        <v>0</v>
      </c>
      <c r="K205" s="31" t="n">
        <v>0</v>
      </c>
      <c r="L205" s="44" t="n">
        <v>0</v>
      </c>
      <c r="M205" s="44" t="n">
        <v>0</v>
      </c>
      <c r="N205" s="32" t="n">
        <v>0</v>
      </c>
      <c r="O205" s="44" t="n">
        <v>0</v>
      </c>
      <c r="P205" s="2" t="n">
        <v>0</v>
      </c>
      <c r="Q205" s="2" t="n">
        <v>13</v>
      </c>
      <c r="R205" s="2" t="n">
        <v>1</v>
      </c>
    </row>
    <row r="206">
      <c r="A206" t="inlineStr">
        <is>
          <t>Valentine,WFS Item</t>
        </is>
      </c>
      <c r="B206" s="29" t="n">
        <v>23.96</v>
      </c>
      <c r="C206" s="30" t="n">
        <v>0.0002</v>
      </c>
      <c r="D206" s="2" t="n">
        <v>3</v>
      </c>
      <c r="E206" s="31" t="n">
        <v>0</v>
      </c>
      <c r="F206" s="32" t="n">
        <v>0</v>
      </c>
      <c r="G206" s="32" t="n">
        <v>0</v>
      </c>
      <c r="H206" s="31" t="n">
        <v>0</v>
      </c>
      <c r="I206" s="32" t="n">
        <v>0</v>
      </c>
      <c r="J206" s="31" t="n">
        <v>0</v>
      </c>
      <c r="K206" s="31" t="n">
        <v>0</v>
      </c>
      <c r="L206" s="44" t="n">
        <v>0</v>
      </c>
      <c r="M206" s="44" t="n">
        <v>0</v>
      </c>
      <c r="N206" s="32" t="n">
        <v>0</v>
      </c>
      <c r="O206" s="44" t="n">
        <v>0</v>
      </c>
      <c r="P206" s="2" t="n">
        <v>0</v>
      </c>
      <c r="Q206" s="2" t="n">
        <v>161</v>
      </c>
      <c r="R206" s="2" t="n">
        <v>5</v>
      </c>
    </row>
    <row r="207">
      <c r="A207" t="inlineStr">
        <is>
          <t>Q2-Target,WFS,Coupon_Discount,WFS Item,Fleece Blankets,ST Patrick Day</t>
        </is>
      </c>
      <c r="B207" s="29" t="n">
        <v>22.99</v>
      </c>
      <c r="C207" s="30" t="n">
        <v>0.0002</v>
      </c>
      <c r="D207" s="2" t="n">
        <v>1</v>
      </c>
      <c r="E207" s="31" t="n">
        <v>0</v>
      </c>
      <c r="F207" s="32" t="n">
        <v>0</v>
      </c>
      <c r="G207" s="32" t="n">
        <v>0</v>
      </c>
      <c r="H207" s="31" t="n">
        <v>0</v>
      </c>
      <c r="I207" s="32" t="n">
        <v>0</v>
      </c>
      <c r="J207" s="31" t="n">
        <v>0</v>
      </c>
      <c r="K207" s="31" t="n">
        <v>0</v>
      </c>
      <c r="L207" s="44" t="n">
        <v>0</v>
      </c>
      <c r="M207" s="44" t="n">
        <v>0</v>
      </c>
      <c r="N207" s="32" t="n">
        <v>0</v>
      </c>
      <c r="O207" s="44" t="n">
        <v>0</v>
      </c>
      <c r="P207" s="2" t="n">
        <v>0</v>
      </c>
      <c r="Q207" s="2" t="n">
        <v>10</v>
      </c>
      <c r="R207" s="2" t="n">
        <v>1</v>
      </c>
    </row>
    <row r="208">
      <c r="A208" t="inlineStr">
        <is>
          <t>Wine</t>
        </is>
      </c>
      <c r="B208" s="29" t="n">
        <v>22.99</v>
      </c>
      <c r="C208" s="30" t="n">
        <v>0.0002</v>
      </c>
      <c r="D208" s="2" t="n">
        <v>1</v>
      </c>
      <c r="E208" s="31" t="n">
        <v>0.96</v>
      </c>
      <c r="F208" s="32" t="n">
        <v>0.0001</v>
      </c>
      <c r="G208" s="32" t="n">
        <v>0.0418</v>
      </c>
      <c r="H208" s="31" t="n">
        <v>0</v>
      </c>
      <c r="I208" s="32" t="n">
        <v>0</v>
      </c>
      <c r="J208" s="31" t="n">
        <v>0</v>
      </c>
      <c r="K208" s="31" t="n">
        <v>0</v>
      </c>
      <c r="L208" s="44" t="n">
        <v>2357</v>
      </c>
      <c r="M208" s="44" t="n">
        <v>3</v>
      </c>
      <c r="N208" s="32" t="n">
        <v>0.0013</v>
      </c>
      <c r="O208" s="44" t="n">
        <v>0</v>
      </c>
      <c r="P208" s="2" t="n">
        <v>0</v>
      </c>
      <c r="Q208" s="2" t="n">
        <v>36</v>
      </c>
      <c r="R208" s="2" t="n">
        <v>1</v>
      </c>
    </row>
    <row r="209">
      <c r="A209" t="inlineStr">
        <is>
          <t>Wine,Christmas,WFS,Wine WFS,Valentine,Lily Brand Camp</t>
        </is>
      </c>
      <c r="B209" s="29" t="n">
        <v>21.99</v>
      </c>
      <c r="C209" s="30" t="n">
        <v>0.0002</v>
      </c>
      <c r="D209" s="2" t="n">
        <v>1</v>
      </c>
      <c r="E209" s="31" t="n">
        <v>1.52</v>
      </c>
      <c r="F209" s="32" t="n">
        <v>0.0002</v>
      </c>
      <c r="G209" s="32" t="n">
        <v>0.06909999999999999</v>
      </c>
      <c r="H209" s="31" t="n">
        <v>14.47</v>
      </c>
      <c r="I209" s="32" t="n">
        <v>0.07000000000000001</v>
      </c>
      <c r="J209" s="31" t="n">
        <v>21.99</v>
      </c>
      <c r="K209" s="31" t="n">
        <v>21.99</v>
      </c>
      <c r="L209" s="44" t="n">
        <v>5179</v>
      </c>
      <c r="M209" s="44" t="n">
        <v>5</v>
      </c>
      <c r="N209" s="32" t="n">
        <v>0.001</v>
      </c>
      <c r="O209" s="44" t="n">
        <v>1</v>
      </c>
      <c r="P209" s="2" t="n">
        <v>0</v>
      </c>
      <c r="Q209" s="2" t="n">
        <v>38</v>
      </c>
      <c r="R209" s="2" t="n">
        <v>1</v>
      </c>
    </row>
    <row r="210">
      <c r="A210" t="inlineStr">
        <is>
          <t>Wine,SEM,Lily Brand Camp</t>
        </is>
      </c>
      <c r="B210" s="29" t="n">
        <v>21.99</v>
      </c>
      <c r="C210" s="30" t="n">
        <v>0.0002</v>
      </c>
      <c r="D210" s="2" t="n">
        <v>1</v>
      </c>
      <c r="E210" s="31" t="n">
        <v>0</v>
      </c>
      <c r="F210" s="32" t="n">
        <v>0</v>
      </c>
      <c r="G210" s="32" t="n">
        <v>0</v>
      </c>
      <c r="H210" s="31" t="n">
        <v>0</v>
      </c>
      <c r="I210" s="32" t="n">
        <v>0</v>
      </c>
      <c r="J210" s="31" t="n">
        <v>0</v>
      </c>
      <c r="K210" s="31" t="n">
        <v>0</v>
      </c>
      <c r="L210" s="44" t="n">
        <v>0</v>
      </c>
      <c r="M210" s="44" t="n">
        <v>0</v>
      </c>
      <c r="N210" s="32" t="n">
        <v>0</v>
      </c>
      <c r="O210" s="44" t="n">
        <v>0</v>
      </c>
      <c r="P210" s="2" t="n">
        <v>0</v>
      </c>
      <c r="Q210" s="2" t="n">
        <v>24</v>
      </c>
      <c r="R210" s="2" t="n">
        <v>1</v>
      </c>
    </row>
    <row r="211">
      <c r="A211" t="inlineStr">
        <is>
          <t>Wine,Christmas,WFS,Wine WFS,Valentine,SEM,WFS Item,Lily Brand Camp</t>
        </is>
      </c>
      <c r="B211" s="29" t="n">
        <v>20.99</v>
      </c>
      <c r="C211" s="30" t="n">
        <v>0.0002</v>
      </c>
      <c r="D211" s="2" t="n">
        <v>1</v>
      </c>
      <c r="E211" s="31" t="n">
        <v>0.34</v>
      </c>
      <c r="F211" s="32" t="n">
        <v>0</v>
      </c>
      <c r="G211" s="32" t="n">
        <v>0.0162</v>
      </c>
      <c r="H211" s="31" t="n">
        <v>0</v>
      </c>
      <c r="I211" s="32" t="n">
        <v>0</v>
      </c>
      <c r="J211" s="31" t="n">
        <v>0</v>
      </c>
      <c r="K211" s="31" t="n">
        <v>0</v>
      </c>
      <c r="L211" s="44" t="n">
        <v>3321</v>
      </c>
      <c r="M211" s="44" t="n">
        <v>1</v>
      </c>
      <c r="N211" s="32" t="n">
        <v>0.0003</v>
      </c>
      <c r="O211" s="44" t="n">
        <v>0</v>
      </c>
      <c r="P211" s="2" t="n">
        <v>0</v>
      </c>
      <c r="Q211" s="2" t="n">
        <v>68</v>
      </c>
      <c r="R211" s="2" t="n">
        <v>2</v>
      </c>
    </row>
    <row r="212">
      <c r="A212" t="inlineStr">
        <is>
          <t>Q2-Target,Coupon_Discount,Batch 1 - TR</t>
        </is>
      </c>
      <c r="B212" s="29" t="n">
        <v>20.99</v>
      </c>
      <c r="C212" s="30" t="n">
        <v>0.0002</v>
      </c>
      <c r="D212" s="2" t="n">
        <v>1</v>
      </c>
      <c r="E212" s="31" t="n">
        <v>0</v>
      </c>
      <c r="F212" s="32" t="n">
        <v>0</v>
      </c>
      <c r="G212" s="32" t="n">
        <v>0</v>
      </c>
      <c r="H212" s="31" t="n">
        <v>0</v>
      </c>
      <c r="I212" s="32" t="n">
        <v>0</v>
      </c>
      <c r="J212" s="31" t="n">
        <v>0</v>
      </c>
      <c r="K212" s="31" t="n">
        <v>0</v>
      </c>
      <c r="L212" s="44" t="n">
        <v>0</v>
      </c>
      <c r="M212" s="44" t="n">
        <v>0</v>
      </c>
      <c r="N212" s="32" t="n">
        <v>0</v>
      </c>
      <c r="O212" s="44" t="n">
        <v>0</v>
      </c>
      <c r="P212" s="2" t="n">
        <v>36</v>
      </c>
      <c r="Q212" s="2" t="n">
        <v>201</v>
      </c>
      <c r="R212" s="2" t="n">
        <v>15</v>
      </c>
    </row>
    <row r="213">
      <c r="A213" t="inlineStr">
        <is>
          <t>Q2-Target,WFS,Coupon_Discount,SeePriceInCart,WFS Item,Fleece Blankets</t>
        </is>
      </c>
      <c r="B213" s="29" t="n">
        <v>20.99</v>
      </c>
      <c r="C213" s="30" t="n">
        <v>0.0002</v>
      </c>
      <c r="D213" s="2" t="n">
        <v>1</v>
      </c>
      <c r="E213" s="31" t="n">
        <v>0</v>
      </c>
      <c r="F213" s="32" t="n">
        <v>0</v>
      </c>
      <c r="G213" s="32" t="n">
        <v>0</v>
      </c>
      <c r="H213" s="31" t="n">
        <v>0</v>
      </c>
      <c r="I213" s="32" t="n">
        <v>0</v>
      </c>
      <c r="J213" s="31" t="n">
        <v>0</v>
      </c>
      <c r="K213" s="31" t="n">
        <v>0</v>
      </c>
      <c r="L213" s="44" t="n">
        <v>0</v>
      </c>
      <c r="M213" s="44" t="n">
        <v>0</v>
      </c>
      <c r="N213" s="32" t="n">
        <v>0</v>
      </c>
      <c r="O213" s="44" t="n">
        <v>0</v>
      </c>
      <c r="P213" s="2" t="n">
        <v>3</v>
      </c>
      <c r="Q213" s="2" t="n">
        <v>33</v>
      </c>
      <c r="R213" s="2" t="n">
        <v>1</v>
      </c>
    </row>
    <row r="214">
      <c r="A214" t="inlineStr">
        <is>
          <t>Optimized,Gloves</t>
        </is>
      </c>
      <c r="B214" s="29" t="n">
        <v>20.99</v>
      </c>
      <c r="C214" s="30" t="n">
        <v>0.0002</v>
      </c>
      <c r="D214" s="2" t="n">
        <v>1</v>
      </c>
      <c r="E214" s="31" t="n">
        <v>0</v>
      </c>
      <c r="F214" s="32" t="n">
        <v>0</v>
      </c>
      <c r="G214" s="32" t="n">
        <v>0</v>
      </c>
      <c r="H214" s="31" t="n">
        <v>0</v>
      </c>
      <c r="I214" s="32" t="n">
        <v>0</v>
      </c>
      <c r="J214" s="31" t="n">
        <v>0</v>
      </c>
      <c r="K214" s="31" t="n">
        <v>0</v>
      </c>
      <c r="L214" s="44" t="n">
        <v>0</v>
      </c>
      <c r="M214" s="44" t="n">
        <v>0</v>
      </c>
      <c r="N214" s="32" t="n">
        <v>0</v>
      </c>
      <c r="O214" s="44" t="n">
        <v>0</v>
      </c>
      <c r="P214" s="2" t="n">
        <v>0</v>
      </c>
      <c r="Q214" s="2" t="n">
        <v>102</v>
      </c>
      <c r="R214" s="2" t="n">
        <v>5</v>
      </c>
    </row>
    <row r="215">
      <c r="A215" t="inlineStr">
        <is>
          <t>Optimized,Gloves,WFS,WFS Item</t>
        </is>
      </c>
      <c r="B215" s="29" t="n">
        <v>19.99</v>
      </c>
      <c r="C215" s="30" t="n">
        <v>0.0002</v>
      </c>
      <c r="D215" s="2" t="n">
        <v>1</v>
      </c>
      <c r="E215" s="31" t="n">
        <v>0</v>
      </c>
      <c r="F215" s="32" t="n">
        <v>0</v>
      </c>
      <c r="G215" s="32" t="n">
        <v>0</v>
      </c>
      <c r="H215" s="31" t="n">
        <v>0</v>
      </c>
      <c r="I215" s="32" t="n">
        <v>0</v>
      </c>
      <c r="J215" s="31" t="n">
        <v>0</v>
      </c>
      <c r="K215" s="31" t="n">
        <v>0</v>
      </c>
      <c r="L215" s="44" t="n">
        <v>0</v>
      </c>
      <c r="M215" s="44" t="n">
        <v>0</v>
      </c>
      <c r="N215" s="32" t="n">
        <v>0</v>
      </c>
      <c r="O215" s="44" t="n">
        <v>0</v>
      </c>
      <c r="P215" s="2" t="n">
        <v>67</v>
      </c>
      <c r="Q215" s="2" t="n">
        <v>90</v>
      </c>
      <c r="R215" s="2" t="n">
        <v>2</v>
      </c>
    </row>
    <row r="216">
      <c r="A216" t="inlineStr">
        <is>
          <t>Wine,Christmas,Wine WFS,Valentine</t>
        </is>
      </c>
      <c r="B216" s="29" t="n">
        <v>19.98</v>
      </c>
      <c r="C216" s="30" t="n">
        <v>0.0002</v>
      </c>
      <c r="D216" s="2" t="n">
        <v>2</v>
      </c>
      <c r="E216" s="31" t="n">
        <v>0</v>
      </c>
      <c r="F216" s="32" t="n">
        <v>0</v>
      </c>
      <c r="G216" s="32" t="n">
        <v>0</v>
      </c>
      <c r="H216" s="31" t="n">
        <v>0</v>
      </c>
      <c r="I216" s="32" t="n">
        <v>0</v>
      </c>
      <c r="J216" s="31" t="n">
        <v>0</v>
      </c>
      <c r="K216" s="31" t="n">
        <v>0</v>
      </c>
      <c r="L216" s="44" t="n">
        <v>0</v>
      </c>
      <c r="M216" s="44" t="n">
        <v>0</v>
      </c>
      <c r="N216" s="32" t="n">
        <v>0</v>
      </c>
      <c r="O216" s="44" t="n">
        <v>0</v>
      </c>
      <c r="P216" s="2" t="n">
        <v>0</v>
      </c>
      <c r="Q216" s="2" t="n">
        <v>61</v>
      </c>
      <c r="R216" s="2" t="n">
        <v>3</v>
      </c>
    </row>
    <row r="217">
      <c r="A217" t="inlineStr">
        <is>
          <t>WFS,Hats,SEM,WFS Item</t>
        </is>
      </c>
      <c r="B217" s="29" t="n">
        <v>17.99</v>
      </c>
      <c r="C217" s="30" t="n">
        <v>0.0002</v>
      </c>
      <c r="D217" s="2" t="n">
        <v>1</v>
      </c>
      <c r="E217" s="31" t="n">
        <v>0.9299999999999999</v>
      </c>
      <c r="F217" s="32" t="n">
        <v>0.0001</v>
      </c>
      <c r="G217" s="32" t="n">
        <v>0.0517</v>
      </c>
      <c r="H217" s="31" t="n">
        <v>0</v>
      </c>
      <c r="I217" s="32" t="n">
        <v>0</v>
      </c>
      <c r="J217" s="31" t="n">
        <v>0</v>
      </c>
      <c r="K217" s="31" t="n">
        <v>0</v>
      </c>
      <c r="L217" s="44" t="n">
        <v>1173</v>
      </c>
      <c r="M217" s="44" t="n">
        <v>3</v>
      </c>
      <c r="N217" s="32" t="n">
        <v>0.0026</v>
      </c>
      <c r="O217" s="44" t="n">
        <v>0</v>
      </c>
      <c r="P217" s="2" t="n">
        <v>0</v>
      </c>
      <c r="Q217" s="2" t="n">
        <v>29</v>
      </c>
      <c r="R217" s="2" t="n">
        <v>1</v>
      </c>
    </row>
    <row r="218">
      <c r="A218" t="inlineStr">
        <is>
          <t>Lunch Bag,Optimized,SEM</t>
        </is>
      </c>
      <c r="B218" s="29" t="n">
        <v>17.99</v>
      </c>
      <c r="C218" s="30" t="n">
        <v>0.0002</v>
      </c>
      <c r="D218" s="2" t="n">
        <v>1</v>
      </c>
      <c r="E218" s="31" t="n">
        <v>0</v>
      </c>
      <c r="F218" s="32" t="n">
        <v>0</v>
      </c>
      <c r="G218" s="32" t="n">
        <v>0</v>
      </c>
      <c r="H218" s="31" t="n">
        <v>0</v>
      </c>
      <c r="I218" s="32" t="n">
        <v>0</v>
      </c>
      <c r="J218" s="31" t="n">
        <v>0</v>
      </c>
      <c r="K218" s="31" t="n">
        <v>0</v>
      </c>
      <c r="L218" s="44" t="n">
        <v>0</v>
      </c>
      <c r="M218" s="44" t="n">
        <v>0</v>
      </c>
      <c r="N218" s="32" t="n">
        <v>0</v>
      </c>
      <c r="O218" s="44" t="n">
        <v>0</v>
      </c>
      <c r="P218" s="2" t="n">
        <v>0</v>
      </c>
      <c r="Q218" s="2" t="n">
        <v>115</v>
      </c>
      <c r="R218" s="2" t="n">
        <v>2</v>
      </c>
    </row>
    <row r="219">
      <c r="A219" t="inlineStr">
        <is>
          <t>Q2-Target,ST Patrick Day</t>
        </is>
      </c>
      <c r="B219" s="29" t="n">
        <v>17.98</v>
      </c>
      <c r="C219" s="30" t="n">
        <v>0.0002</v>
      </c>
      <c r="D219" s="2" t="n">
        <v>2</v>
      </c>
      <c r="E219" s="31" t="n">
        <v>0</v>
      </c>
      <c r="F219" s="32" t="n">
        <v>0</v>
      </c>
      <c r="G219" s="32" t="n">
        <v>0</v>
      </c>
      <c r="H219" s="31" t="n">
        <v>0</v>
      </c>
      <c r="I219" s="32" t="n">
        <v>0</v>
      </c>
      <c r="J219" s="31" t="n">
        <v>0</v>
      </c>
      <c r="K219" s="31" t="n">
        <v>0</v>
      </c>
      <c r="L219" s="44" t="n">
        <v>0</v>
      </c>
      <c r="M219" s="44" t="n">
        <v>0</v>
      </c>
      <c r="N219" s="32" t="n">
        <v>0</v>
      </c>
      <c r="O219" s="44" t="n">
        <v>0</v>
      </c>
      <c r="P219" s="2" t="n">
        <v>0</v>
      </c>
      <c r="Q219" s="2" t="n">
        <v>37</v>
      </c>
      <c r="R219" s="2" t="n">
        <v>1</v>
      </c>
    </row>
    <row r="220">
      <c r="A220" t="inlineStr">
        <is>
          <t>Optimized,cost-added</t>
        </is>
      </c>
      <c r="B220" s="29" t="n">
        <v>16.99</v>
      </c>
      <c r="C220" s="30" t="n">
        <v>0.0001</v>
      </c>
      <c r="D220" s="2" t="n">
        <v>1</v>
      </c>
      <c r="E220" s="31" t="n">
        <v>0</v>
      </c>
      <c r="F220" s="32" t="n">
        <v>0</v>
      </c>
      <c r="G220" s="32" t="n">
        <v>0</v>
      </c>
      <c r="H220" s="31" t="n">
        <v>0</v>
      </c>
      <c r="I220" s="32" t="n">
        <v>0</v>
      </c>
      <c r="J220" s="31" t="n">
        <v>0</v>
      </c>
      <c r="K220" s="31" t="n">
        <v>0</v>
      </c>
      <c r="L220" s="44" t="n">
        <v>0</v>
      </c>
      <c r="M220" s="44" t="n">
        <v>0</v>
      </c>
      <c r="N220" s="32" t="n">
        <v>0</v>
      </c>
      <c r="O220" s="44" t="n">
        <v>0</v>
      </c>
      <c r="P220" s="2" t="n">
        <v>12</v>
      </c>
      <c r="Q220" s="2" t="n">
        <v>16</v>
      </c>
      <c r="R220" s="2" t="n">
        <v>3</v>
      </c>
    </row>
    <row r="221">
      <c r="A221" t="inlineStr">
        <is>
          <t>WFS,Kitchen Items,SEM,WFS Item</t>
        </is>
      </c>
      <c r="B221" s="29" t="n">
        <v>14.98</v>
      </c>
      <c r="C221" s="30" t="n">
        <v>0.0001</v>
      </c>
      <c r="D221" s="2" t="n">
        <v>1</v>
      </c>
      <c r="E221" s="31" t="n">
        <v>0</v>
      </c>
      <c r="F221" s="32" t="n">
        <v>0</v>
      </c>
      <c r="G221" s="32" t="n">
        <v>0</v>
      </c>
      <c r="H221" s="31" t="n">
        <v>0</v>
      </c>
      <c r="I221" s="32" t="n">
        <v>0</v>
      </c>
      <c r="J221" s="31" t="n">
        <v>0</v>
      </c>
      <c r="K221" s="31" t="n">
        <v>0</v>
      </c>
      <c r="L221" s="44" t="n">
        <v>0</v>
      </c>
      <c r="M221" s="44" t="n">
        <v>0</v>
      </c>
      <c r="N221" s="32" t="n">
        <v>0</v>
      </c>
      <c r="O221" s="44" t="n">
        <v>0</v>
      </c>
      <c r="P221" s="2" t="n">
        <v>0</v>
      </c>
      <c r="Q221" s="2" t="n">
        <v>18</v>
      </c>
      <c r="R221" s="2" t="n">
        <v>1</v>
      </c>
    </row>
    <row r="222">
      <c r="A222" t="inlineStr">
        <is>
          <t>Q2-Target,Brand Camp VD,Lunch Bag,SEM</t>
        </is>
      </c>
      <c r="B222" s="29" t="n">
        <v>12.99</v>
      </c>
      <c r="C222" s="30" t="n">
        <v>0.0001</v>
      </c>
      <c r="D222" s="2" t="n">
        <v>1</v>
      </c>
      <c r="E222" s="31" t="n">
        <v>0</v>
      </c>
      <c r="F222" s="32" t="n">
        <v>0</v>
      </c>
      <c r="G222" s="32" t="n">
        <v>0</v>
      </c>
      <c r="H222" s="31" t="n">
        <v>0</v>
      </c>
      <c r="I222" s="32" t="n">
        <v>0</v>
      </c>
      <c r="J222" s="31" t="n">
        <v>0</v>
      </c>
      <c r="K222" s="31" t="n">
        <v>0</v>
      </c>
      <c r="L222" s="44" t="n">
        <v>0</v>
      </c>
      <c r="M222" s="44" t="n">
        <v>0</v>
      </c>
      <c r="N222" s="32" t="n">
        <v>0</v>
      </c>
      <c r="O222" s="44" t="n">
        <v>0</v>
      </c>
      <c r="P222" s="2" t="n">
        <v>0</v>
      </c>
      <c r="Q222" s="2" t="n">
        <v>70</v>
      </c>
      <c r="R222" s="2" t="n">
        <v>1</v>
      </c>
    </row>
    <row r="223">
      <c r="A223" t="inlineStr">
        <is>
          <t>Wine,Wine Bag Camp,Christmas,Optimized,Wine WFS,Valentine,SEM</t>
        </is>
      </c>
      <c r="B223" s="29" t="n">
        <v>11.99</v>
      </c>
      <c r="C223" s="30" t="n">
        <v>0.0001</v>
      </c>
      <c r="D223" s="2" t="n">
        <v>1</v>
      </c>
      <c r="E223" s="31" t="n">
        <v>17.5</v>
      </c>
      <c r="F223" s="32" t="n">
        <v>0.0021</v>
      </c>
      <c r="G223" s="32" t="n">
        <v>1.4595</v>
      </c>
      <c r="H223" s="31" t="n">
        <v>2.17</v>
      </c>
      <c r="I223" s="32" t="n">
        <v>0.46</v>
      </c>
      <c r="J223" s="31" t="n">
        <v>37.97</v>
      </c>
      <c r="K223" s="31" t="n">
        <v>11.99</v>
      </c>
      <c r="L223" s="44" t="n">
        <v>14505</v>
      </c>
      <c r="M223" s="44" t="n">
        <v>29</v>
      </c>
      <c r="N223" s="32" t="n">
        <v>0.002</v>
      </c>
      <c r="O223" s="44" t="n">
        <v>3</v>
      </c>
      <c r="P223" s="2" t="n">
        <v>0</v>
      </c>
      <c r="Q223" s="2" t="n">
        <v>41</v>
      </c>
      <c r="R223" s="2" t="n">
        <v>1</v>
      </c>
    </row>
    <row r="224">
      <c r="A224" t="inlineStr">
        <is>
          <t>Valentine,Bathrobe</t>
        </is>
      </c>
      <c r="B224" s="29" t="n">
        <v>7.99</v>
      </c>
      <c r="C224" s="30" t="n">
        <v>0.0001</v>
      </c>
      <c r="D224" s="2" t="n">
        <v>1</v>
      </c>
      <c r="E224" s="31" t="n">
        <v>0</v>
      </c>
      <c r="F224" s="32" t="n">
        <v>0</v>
      </c>
      <c r="G224" s="32" t="n">
        <v>0</v>
      </c>
      <c r="H224" s="31" t="n">
        <v>0</v>
      </c>
      <c r="I224" s="32" t="n">
        <v>0</v>
      </c>
      <c r="J224" s="31" t="n">
        <v>0</v>
      </c>
      <c r="K224" s="31" t="n">
        <v>0</v>
      </c>
      <c r="L224" s="44" t="n">
        <v>0</v>
      </c>
      <c r="M224" s="44" t="n">
        <v>0</v>
      </c>
      <c r="N224" s="32" t="n">
        <v>0</v>
      </c>
      <c r="O224" s="44" t="n">
        <v>0</v>
      </c>
      <c r="P224" s="2" t="n">
        <v>0</v>
      </c>
      <c r="Q224" s="2" t="n">
        <v>8</v>
      </c>
      <c r="R224" s="2" t="n">
        <v>1</v>
      </c>
    </row>
    <row r="225">
      <c r="A225" t="inlineStr">
        <is>
          <t>Optimized,Halloween</t>
        </is>
      </c>
      <c r="B225" s="29" t="n">
        <v>7.99</v>
      </c>
      <c r="C225" s="30" t="n">
        <v>0.0001</v>
      </c>
      <c r="D225" s="2" t="n">
        <v>1</v>
      </c>
      <c r="E225" s="31" t="n">
        <v>0</v>
      </c>
      <c r="F225" s="32" t="n">
        <v>0</v>
      </c>
      <c r="G225" s="32" t="n">
        <v>0</v>
      </c>
      <c r="H225" s="31" t="n">
        <v>0</v>
      </c>
      <c r="I225" s="32" t="n">
        <v>0</v>
      </c>
      <c r="J225" s="31" t="n">
        <v>0</v>
      </c>
      <c r="K225" s="31" t="n">
        <v>0</v>
      </c>
      <c r="L225" s="44" t="n">
        <v>0</v>
      </c>
      <c r="M225" s="44" t="n">
        <v>0</v>
      </c>
      <c r="N225" s="32" t="n">
        <v>0</v>
      </c>
      <c r="O225" s="44" t="n">
        <v>0</v>
      </c>
      <c r="P225" s="2" t="n">
        <v>0</v>
      </c>
      <c r="Q225" s="2" t="n">
        <v>41</v>
      </c>
      <c r="R225" s="2" t="n">
        <v>7</v>
      </c>
    </row>
    <row r="226">
      <c r="A226" t="inlineStr">
        <is>
          <t>ST Patrick Day</t>
        </is>
      </c>
      <c r="B226" s="29" t="n">
        <v>5.98</v>
      </c>
      <c r="C226" s="30" t="n">
        <v>0.0001</v>
      </c>
      <c r="D226" s="2" t="n">
        <v>1</v>
      </c>
      <c r="E226" s="31" t="n">
        <v>0</v>
      </c>
      <c r="F226" s="32" t="n">
        <v>0</v>
      </c>
      <c r="G226" s="32" t="n">
        <v>0</v>
      </c>
      <c r="H226" s="31" t="n">
        <v>0</v>
      </c>
      <c r="I226" s="32" t="n">
        <v>0</v>
      </c>
      <c r="J226" s="31" t="n">
        <v>0</v>
      </c>
      <c r="K226" s="31" t="n">
        <v>0</v>
      </c>
      <c r="L226" s="44" t="n">
        <v>0</v>
      </c>
      <c r="M226" s="44" t="n">
        <v>0</v>
      </c>
      <c r="N226" s="32" t="n">
        <v>0</v>
      </c>
      <c r="O226" s="44" t="n">
        <v>0</v>
      </c>
      <c r="P226" s="2" t="n">
        <v>0</v>
      </c>
      <c r="Q226" s="2" t="n">
        <v>13</v>
      </c>
      <c r="R226" s="2" t="n">
        <v>3</v>
      </c>
    </row>
    <row r="227">
      <c r="A227" t="inlineStr">
        <is>
          <t>Hoodie ForAdult,Coupon_Discount</t>
        </is>
      </c>
      <c r="B227" s="29" t="n">
        <v>0</v>
      </c>
      <c r="C227" s="30" t="n">
        <v>0</v>
      </c>
      <c r="D227" s="2" t="n">
        <v>0</v>
      </c>
      <c r="E227" s="31" t="n">
        <v>0</v>
      </c>
      <c r="F227" s="32" t="n">
        <v>0</v>
      </c>
      <c r="G227" s="32" t="n">
        <v>0</v>
      </c>
      <c r="H227" s="31" t="n">
        <v>0</v>
      </c>
      <c r="I227" s="32" t="n">
        <v>0</v>
      </c>
      <c r="J227" s="31" t="n">
        <v>0</v>
      </c>
      <c r="K227" s="31" t="n">
        <v>0</v>
      </c>
      <c r="L227" s="44" t="n">
        <v>491</v>
      </c>
      <c r="M227" s="44" t="n">
        <v>0</v>
      </c>
      <c r="N227" s="32" t="n">
        <v>0</v>
      </c>
      <c r="O227" s="44" t="n">
        <v>0</v>
      </c>
      <c r="P227" s="2" t="n">
        <v>0</v>
      </c>
      <c r="Q227" s="2" t="n">
        <v>27</v>
      </c>
      <c r="R227" s="2" t="n">
        <v>1</v>
      </c>
    </row>
    <row r="228">
      <c r="A228" t="inlineStr">
        <is>
          <t>Hero 5 Holidays,WFS,Bathrobe,Coupon_Discount,WFS Item</t>
        </is>
      </c>
      <c r="B228" s="29" t="n">
        <v>0</v>
      </c>
      <c r="C228" s="30" t="n">
        <v>0</v>
      </c>
      <c r="D228" s="2" t="n">
        <v>0</v>
      </c>
      <c r="E228" s="31" t="n">
        <v>0</v>
      </c>
      <c r="F228" s="32" t="n">
        <v>0</v>
      </c>
      <c r="G228" s="32" t="n">
        <v>0</v>
      </c>
      <c r="H228" s="31" t="n">
        <v>0</v>
      </c>
      <c r="I228" s="32" t="n">
        <v>0</v>
      </c>
      <c r="J228" s="31" t="n">
        <v>0</v>
      </c>
      <c r="K228" s="31" t="n">
        <v>0</v>
      </c>
      <c r="L228" s="44" t="n">
        <v>0</v>
      </c>
      <c r="M228" s="44" t="n">
        <v>0</v>
      </c>
      <c r="N228" s="32" t="n">
        <v>0</v>
      </c>
      <c r="O228" s="44" t="n">
        <v>0</v>
      </c>
      <c r="P228" s="2" t="n">
        <v>19</v>
      </c>
      <c r="Q228" s="2" t="n">
        <v>41</v>
      </c>
      <c r="R228" s="2" t="n">
        <v>1</v>
      </c>
    </row>
    <row r="229">
      <c r="A229" t="inlineStr">
        <is>
          <t>Hero 5 Holidays,WFS,Wal-Exl-Price,WFS Item</t>
        </is>
      </c>
      <c r="B229" s="29" t="n">
        <v>0</v>
      </c>
      <c r="C229" s="30" t="n">
        <v>0</v>
      </c>
      <c r="D229" s="2" t="n">
        <v>0</v>
      </c>
      <c r="E229" s="31" t="n">
        <v>0</v>
      </c>
      <c r="F229" s="32" t="n">
        <v>0</v>
      </c>
      <c r="G229" s="32" t="n">
        <v>0</v>
      </c>
      <c r="H229" s="31" t="n">
        <v>0</v>
      </c>
      <c r="I229" s="32" t="n">
        <v>0</v>
      </c>
      <c r="J229" s="31" t="n">
        <v>0</v>
      </c>
      <c r="K229" s="31" t="n">
        <v>0</v>
      </c>
      <c r="L229" s="44" t="n">
        <v>381</v>
      </c>
      <c r="M229" s="44" t="n">
        <v>0</v>
      </c>
      <c r="N229" s="32" t="n">
        <v>0</v>
      </c>
      <c r="O229" s="44" t="n">
        <v>0</v>
      </c>
      <c r="P229" s="2" t="n">
        <v>40</v>
      </c>
      <c r="Q229" s="2" t="n">
        <v>37</v>
      </c>
      <c r="R229" s="2" t="n">
        <v>1</v>
      </c>
    </row>
    <row r="230">
      <c r="A230" t="inlineStr">
        <is>
          <t>High AUR Items</t>
        </is>
      </c>
      <c r="B230" s="29" t="n">
        <v>0</v>
      </c>
      <c r="C230" s="30" t="n">
        <v>0</v>
      </c>
      <c r="D230" s="2" t="n">
        <v>0</v>
      </c>
      <c r="E230" s="31" t="n">
        <v>0</v>
      </c>
      <c r="F230" s="32" t="n">
        <v>0</v>
      </c>
      <c r="G230" s="32" t="n">
        <v>0</v>
      </c>
      <c r="H230" s="31" t="n">
        <v>0</v>
      </c>
      <c r="I230" s="32" t="n">
        <v>0</v>
      </c>
      <c r="J230" s="31" t="n">
        <v>0</v>
      </c>
      <c r="K230" s="31" t="n">
        <v>0</v>
      </c>
      <c r="L230" s="44" t="n">
        <v>0</v>
      </c>
      <c r="M230" s="44" t="n">
        <v>0</v>
      </c>
      <c r="N230" s="32" t="n">
        <v>0</v>
      </c>
      <c r="O230" s="44" t="n">
        <v>0</v>
      </c>
      <c r="P230" s="2" t="n">
        <v>0</v>
      </c>
      <c r="Q230" s="2" t="n">
        <v>14</v>
      </c>
      <c r="R230" s="2" t="n">
        <v>1</v>
      </c>
    </row>
    <row r="231">
      <c r="A231" t="inlineStr">
        <is>
          <t>Hoodie For Kids,Optimized,WFS,WFS Item</t>
        </is>
      </c>
      <c r="B231" s="29" t="n">
        <v>0</v>
      </c>
      <c r="C231" s="30" t="n">
        <v>0</v>
      </c>
      <c r="D231" s="2" t="n">
        <v>0</v>
      </c>
      <c r="E231" s="31" t="n">
        <v>1.2</v>
      </c>
      <c r="F231" s="32" t="n">
        <v>0.0001</v>
      </c>
      <c r="G231" s="32" t="n">
        <v>0</v>
      </c>
      <c r="H231" s="31" t="n">
        <v>0</v>
      </c>
      <c r="I231" s="32" t="n">
        <v>0</v>
      </c>
      <c r="J231" s="31" t="n">
        <v>0</v>
      </c>
      <c r="K231" s="31" t="n">
        <v>0</v>
      </c>
      <c r="L231" s="44" t="n">
        <v>8082</v>
      </c>
      <c r="M231" s="44" t="n">
        <v>3</v>
      </c>
      <c r="N231" s="32" t="n">
        <v>0.0004</v>
      </c>
      <c r="O231" s="44" t="n">
        <v>0</v>
      </c>
      <c r="P231" s="2" t="n">
        <v>0</v>
      </c>
      <c r="Q231" s="2" t="n">
        <v>7</v>
      </c>
      <c r="R231" s="2" t="n">
        <v>1</v>
      </c>
    </row>
    <row r="232">
      <c r="A232" t="inlineStr">
        <is>
          <t>Hoodie For Kids,WFS,Coupon_Discount,WFS Item</t>
        </is>
      </c>
      <c r="B232" s="29" t="n">
        <v>0</v>
      </c>
      <c r="C232" s="30" t="n">
        <v>0</v>
      </c>
      <c r="D232" s="2" t="n">
        <v>0</v>
      </c>
      <c r="E232" s="31" t="n">
        <v>0.4</v>
      </c>
      <c r="F232" s="32" t="n">
        <v>0</v>
      </c>
      <c r="G232" s="32" t="n">
        <v>0</v>
      </c>
      <c r="H232" s="31" t="n">
        <v>0</v>
      </c>
      <c r="I232" s="32" t="n">
        <v>0</v>
      </c>
      <c r="J232" s="31" t="n">
        <v>0</v>
      </c>
      <c r="K232" s="31" t="n">
        <v>0</v>
      </c>
      <c r="L232" s="44" t="n">
        <v>6476</v>
      </c>
      <c r="M232" s="44" t="n">
        <v>1</v>
      </c>
      <c r="N232" s="32" t="n">
        <v>0.0002</v>
      </c>
      <c r="O232" s="44" t="n">
        <v>0</v>
      </c>
      <c r="P232" s="2" t="n">
        <v>0</v>
      </c>
      <c r="Q232" s="2" t="n">
        <v>11</v>
      </c>
      <c r="R232" s="2" t="n">
        <v>1</v>
      </c>
    </row>
    <row r="233">
      <c r="A233" t="inlineStr">
        <is>
          <t>Hoodie For Kids,WFS,WFS Item</t>
        </is>
      </c>
      <c r="B233" s="29" t="n">
        <v>0</v>
      </c>
      <c r="C233" s="30" t="n">
        <v>0</v>
      </c>
      <c r="D233" s="2" t="n">
        <v>0</v>
      </c>
      <c r="E233" s="31" t="n">
        <v>6.539999999999997</v>
      </c>
      <c r="F233" s="32" t="n">
        <v>0.0008</v>
      </c>
      <c r="G233" s="32" t="n">
        <v>0</v>
      </c>
      <c r="H233" s="31" t="n">
        <v>0</v>
      </c>
      <c r="I233" s="32" t="n">
        <v>0</v>
      </c>
      <c r="J233" s="31" t="n">
        <v>0</v>
      </c>
      <c r="K233" s="31" t="n">
        <v>0</v>
      </c>
      <c r="L233" s="44" t="n">
        <v>25663</v>
      </c>
      <c r="M233" s="44" t="n">
        <v>17</v>
      </c>
      <c r="N233" s="32" t="n">
        <v>0.0007</v>
      </c>
      <c r="O233" s="44" t="n">
        <v>0</v>
      </c>
      <c r="P233" s="2" t="n">
        <v>0</v>
      </c>
      <c r="Q233" s="2" t="n">
        <v>52</v>
      </c>
      <c r="R233" s="2" t="n">
        <v>1</v>
      </c>
    </row>
    <row r="234">
      <c r="A234" t="inlineStr">
        <is>
          <t>Wine,Christmas,Valentine,Lily Brand Camp</t>
        </is>
      </c>
      <c r="B234" s="29" t="n">
        <v>0</v>
      </c>
      <c r="C234" s="30" t="n">
        <v>0</v>
      </c>
      <c r="D234" s="2" t="n">
        <v>0</v>
      </c>
      <c r="E234" s="31" t="n">
        <v>8.269999999999998</v>
      </c>
      <c r="F234" s="32" t="n">
        <v>0.001</v>
      </c>
      <c r="G234" s="32" t="n">
        <v>0</v>
      </c>
      <c r="H234" s="31" t="n">
        <v>4.35</v>
      </c>
      <c r="I234" s="32" t="n">
        <v>0.23</v>
      </c>
      <c r="J234" s="31" t="n">
        <v>35.98</v>
      </c>
      <c r="K234" s="31" t="n">
        <v>21.99</v>
      </c>
      <c r="L234" s="44" t="n">
        <v>17845</v>
      </c>
      <c r="M234" s="44" t="n">
        <v>23</v>
      </c>
      <c r="N234" s="32" t="n">
        <v>0.0013</v>
      </c>
      <c r="O234" s="44" t="n">
        <v>2</v>
      </c>
      <c r="P234" s="2" t="n">
        <v>12</v>
      </c>
      <c r="Q234" s="2" t="n">
        <v>101</v>
      </c>
      <c r="R234" s="2" t="n">
        <v>3</v>
      </c>
    </row>
    <row r="235">
      <c r="A235" t="inlineStr">
        <is>
          <t>Hoodie ForAdult,Optimized,High AUR Items</t>
        </is>
      </c>
      <c r="B235" s="29" t="n">
        <v>0</v>
      </c>
      <c r="C235" s="30" t="n">
        <v>0</v>
      </c>
      <c r="D235" s="2" t="n">
        <v>0</v>
      </c>
      <c r="E235" s="31" t="n">
        <v>0</v>
      </c>
      <c r="F235" s="32" t="n">
        <v>0</v>
      </c>
      <c r="G235" s="32" t="n">
        <v>0</v>
      </c>
      <c r="H235" s="31" t="n">
        <v>0</v>
      </c>
      <c r="I235" s="32" t="n">
        <v>0</v>
      </c>
      <c r="J235" s="31" t="n">
        <v>0</v>
      </c>
      <c r="K235" s="31" t="n">
        <v>0</v>
      </c>
      <c r="L235" s="44" t="n">
        <v>0</v>
      </c>
      <c r="M235" s="44" t="n">
        <v>0</v>
      </c>
      <c r="N235" s="32" t="n">
        <v>0</v>
      </c>
      <c r="O235" s="44" t="n">
        <v>0</v>
      </c>
      <c r="P235" s="2" t="n">
        <v>0</v>
      </c>
      <c r="Q235" s="2" t="n">
        <v>21</v>
      </c>
      <c r="R235" s="2" t="n">
        <v>1</v>
      </c>
    </row>
    <row r="236">
      <c r="A236" t="inlineStr">
        <is>
          <t>Jacket ForAdult,Optimized,WFS,WFS Item</t>
        </is>
      </c>
      <c r="B236" s="29" t="n">
        <v>0</v>
      </c>
      <c r="C236" s="30" t="n">
        <v>0</v>
      </c>
      <c r="D236" s="2" t="n">
        <v>0</v>
      </c>
      <c r="E236" s="31" t="n">
        <v>0</v>
      </c>
      <c r="F236" s="32" t="n">
        <v>0</v>
      </c>
      <c r="G236" s="32" t="n">
        <v>0</v>
      </c>
      <c r="H236" s="31" t="n">
        <v>0</v>
      </c>
      <c r="I236" s="32" t="n">
        <v>0</v>
      </c>
      <c r="J236" s="31" t="n">
        <v>0</v>
      </c>
      <c r="K236" s="31" t="n">
        <v>0</v>
      </c>
      <c r="L236" s="44" t="n">
        <v>0</v>
      </c>
      <c r="M236" s="44" t="n">
        <v>0</v>
      </c>
      <c r="N236" s="32" t="n">
        <v>0</v>
      </c>
      <c r="O236" s="44" t="n">
        <v>0</v>
      </c>
      <c r="P236" s="2" t="n">
        <v>0</v>
      </c>
      <c r="Q236" s="2" t="n">
        <v>10</v>
      </c>
      <c r="R236" s="2" t="n">
        <v>1</v>
      </c>
    </row>
    <row r="237">
      <c r="A237" t="inlineStr">
        <is>
          <t>Jacket ForAdult,WFS,WFS Item</t>
        </is>
      </c>
      <c r="B237" s="29" t="n">
        <v>0</v>
      </c>
      <c r="C237" s="30" t="n">
        <v>0</v>
      </c>
      <c r="D237" s="2" t="n">
        <v>0</v>
      </c>
      <c r="E237" s="31" t="n">
        <v>0</v>
      </c>
      <c r="F237" s="32" t="n">
        <v>0</v>
      </c>
      <c r="G237" s="32" t="n">
        <v>0</v>
      </c>
      <c r="H237" s="31" t="n">
        <v>0</v>
      </c>
      <c r="I237" s="32" t="n">
        <v>0</v>
      </c>
      <c r="J237" s="31" t="n">
        <v>0</v>
      </c>
      <c r="K237" s="31" t="n">
        <v>0</v>
      </c>
      <c r="L237" s="44" t="n">
        <v>0</v>
      </c>
      <c r="M237" s="44" t="n">
        <v>0</v>
      </c>
      <c r="N237" s="32" t="n">
        <v>0</v>
      </c>
      <c r="O237" s="44" t="n">
        <v>0</v>
      </c>
      <c r="P237" s="2" t="n">
        <v>0</v>
      </c>
      <c r="Q237" s="2" t="n">
        <v>49</v>
      </c>
      <c r="R237" s="2" t="n">
        <v>2</v>
      </c>
    </row>
    <row r="238">
      <c r="A238" t="inlineStr">
        <is>
          <t>Wine,Christmas,Optimized,Wine WFS,Valentine</t>
        </is>
      </c>
      <c r="B238" s="29" t="n">
        <v>0</v>
      </c>
      <c r="C238" s="30" t="n">
        <v>0</v>
      </c>
      <c r="D238" s="2" t="n">
        <v>0</v>
      </c>
      <c r="E238" s="31" t="n">
        <v>0</v>
      </c>
      <c r="F238" s="32" t="n">
        <v>0</v>
      </c>
      <c r="G238" s="32" t="n">
        <v>0</v>
      </c>
      <c r="H238" s="31" t="n">
        <v>0</v>
      </c>
      <c r="I238" s="32" t="n">
        <v>0</v>
      </c>
      <c r="J238" s="31" t="n">
        <v>0</v>
      </c>
      <c r="K238" s="31" t="n">
        <v>0</v>
      </c>
      <c r="L238" s="44" t="n">
        <v>0</v>
      </c>
      <c r="M238" s="44" t="n">
        <v>0</v>
      </c>
      <c r="N238" s="32" t="n">
        <v>0</v>
      </c>
      <c r="O238" s="44" t="n">
        <v>0</v>
      </c>
      <c r="P238" s="2" t="n">
        <v>0</v>
      </c>
      <c r="Q238" s="2" t="n">
        <v>14</v>
      </c>
      <c r="R238" s="2" t="n">
        <v>1</v>
      </c>
    </row>
    <row r="239">
      <c r="A239" t="inlineStr">
        <is>
          <t>Wine,Christmas,WFS,Valentine,SEM,WFS Item,Lily Brand Camp</t>
        </is>
      </c>
      <c r="B239" s="29" t="n">
        <v>0</v>
      </c>
      <c r="C239" s="30" t="n">
        <v>0</v>
      </c>
      <c r="D239" s="2" t="n">
        <v>0</v>
      </c>
      <c r="E239" s="31" t="n">
        <v>0</v>
      </c>
      <c r="F239" s="32" t="n">
        <v>0</v>
      </c>
      <c r="G239" s="32" t="n">
        <v>0</v>
      </c>
      <c r="H239" s="31" t="n">
        <v>0</v>
      </c>
      <c r="I239" s="32" t="n">
        <v>0</v>
      </c>
      <c r="J239" s="31" t="n">
        <v>0</v>
      </c>
      <c r="K239" s="31" t="n">
        <v>0</v>
      </c>
      <c r="L239" s="44" t="n">
        <v>30</v>
      </c>
      <c r="M239" s="44" t="n">
        <v>0</v>
      </c>
      <c r="N239" s="32" t="n">
        <v>0</v>
      </c>
      <c r="O239" s="44" t="n">
        <v>0</v>
      </c>
      <c r="P239" s="2" t="n">
        <v>0</v>
      </c>
      <c r="Q239" s="2" t="n">
        <v>16</v>
      </c>
      <c r="R239" s="2" t="n">
        <v>1</v>
      </c>
    </row>
    <row r="240">
      <c r="A240" t="inlineStr">
        <is>
          <t>Jacket ForAdult,Optimized,WFS,Coupon_Discount,WFS Item</t>
        </is>
      </c>
      <c r="B240" s="29" t="n">
        <v>0</v>
      </c>
      <c r="C240" s="30" t="n">
        <v>0</v>
      </c>
      <c r="D240" s="2" t="n">
        <v>0</v>
      </c>
      <c r="E240" s="31" t="n">
        <v>0</v>
      </c>
      <c r="F240" s="32" t="n">
        <v>0</v>
      </c>
      <c r="G240" s="32" t="n">
        <v>0</v>
      </c>
      <c r="H240" s="31" t="n">
        <v>0</v>
      </c>
      <c r="I240" s="32" t="n">
        <v>0</v>
      </c>
      <c r="J240" s="31" t="n">
        <v>0</v>
      </c>
      <c r="K240" s="31" t="n">
        <v>0</v>
      </c>
      <c r="L240" s="44" t="n">
        <v>0</v>
      </c>
      <c r="M240" s="44" t="n">
        <v>0</v>
      </c>
      <c r="N240" s="32" t="n">
        <v>0</v>
      </c>
      <c r="O240" s="44" t="n">
        <v>0</v>
      </c>
      <c r="P240" s="2" t="n">
        <v>0</v>
      </c>
      <c r="Q240" s="2" t="n">
        <v>27</v>
      </c>
      <c r="R240" s="2" t="n">
        <v>1</v>
      </c>
    </row>
    <row r="241">
      <c r="A241" t="inlineStr">
        <is>
          <t>Wine,Christmas,Optimized</t>
        </is>
      </c>
      <c r="B241" s="29" t="n">
        <v>0</v>
      </c>
      <c r="C241" s="30" t="n">
        <v>0</v>
      </c>
      <c r="D241" s="2" t="n">
        <v>0</v>
      </c>
      <c r="E241" s="31" t="n">
        <v>0</v>
      </c>
      <c r="F241" s="32" t="n">
        <v>0</v>
      </c>
      <c r="G241" s="32" t="n">
        <v>0</v>
      </c>
      <c r="H241" s="31" t="n">
        <v>0</v>
      </c>
      <c r="I241" s="32" t="n">
        <v>0</v>
      </c>
      <c r="J241" s="31" t="n">
        <v>0</v>
      </c>
      <c r="K241" s="31" t="n">
        <v>0</v>
      </c>
      <c r="L241" s="44" t="n">
        <v>0</v>
      </c>
      <c r="M241" s="44" t="n">
        <v>0</v>
      </c>
      <c r="N241" s="32" t="n">
        <v>0</v>
      </c>
      <c r="O241" s="44" t="n">
        <v>0</v>
      </c>
      <c r="P241" s="2" t="n">
        <v>0</v>
      </c>
      <c r="Q241" s="2" t="n">
        <v>0</v>
      </c>
      <c r="R241" s="2" t="n">
        <v>2</v>
      </c>
    </row>
    <row r="242">
      <c r="A242" t="inlineStr">
        <is>
          <t>Q2-Target,WFS,Coupon_Discount,SeePriceInCart,cost-added,WFS Item</t>
        </is>
      </c>
      <c r="B242" s="29" t="n">
        <v>0</v>
      </c>
      <c r="C242" s="30" t="n">
        <v>0</v>
      </c>
      <c r="D242" s="2" t="n">
        <v>0</v>
      </c>
      <c r="E242" s="31" t="n">
        <v>0</v>
      </c>
      <c r="F242" s="32" t="n">
        <v>0</v>
      </c>
      <c r="G242" s="32" t="n">
        <v>0</v>
      </c>
      <c r="H242" s="31" t="n">
        <v>0</v>
      </c>
      <c r="I242" s="32" t="n">
        <v>0</v>
      </c>
      <c r="J242" s="31" t="n">
        <v>0</v>
      </c>
      <c r="K242" s="31" t="n">
        <v>0</v>
      </c>
      <c r="L242" s="44" t="n">
        <v>0</v>
      </c>
      <c r="M242" s="44" t="n">
        <v>0</v>
      </c>
      <c r="N242" s="32" t="n">
        <v>0</v>
      </c>
      <c r="O242" s="44" t="n">
        <v>0</v>
      </c>
      <c r="P242" s="2" t="n">
        <v>0</v>
      </c>
      <c r="Q242" s="2" t="n">
        <v>45</v>
      </c>
      <c r="R242" s="2" t="n">
        <v>1</v>
      </c>
    </row>
    <row r="243">
      <c r="A243" t="inlineStr">
        <is>
          <t>Wine,Optimized,WFS,Valentine,SEM,WFS Item</t>
        </is>
      </c>
      <c r="B243" s="29" t="n">
        <v>0</v>
      </c>
      <c r="C243" s="30" t="n">
        <v>0</v>
      </c>
      <c r="D243" s="2" t="n">
        <v>0</v>
      </c>
      <c r="E243" s="31" t="n">
        <v>0</v>
      </c>
      <c r="F243" s="32" t="n">
        <v>0</v>
      </c>
      <c r="G243" s="32" t="n">
        <v>0</v>
      </c>
      <c r="H243" s="31" t="n">
        <v>0</v>
      </c>
      <c r="I243" s="32" t="n">
        <v>0</v>
      </c>
      <c r="J243" s="31" t="n">
        <v>0</v>
      </c>
      <c r="K243" s="31" t="n">
        <v>0</v>
      </c>
      <c r="L243" s="44" t="n">
        <v>0</v>
      </c>
      <c r="M243" s="44" t="n">
        <v>0</v>
      </c>
      <c r="N243" s="32" t="n">
        <v>0</v>
      </c>
      <c r="O243" s="44" t="n">
        <v>0</v>
      </c>
      <c r="P243" s="2" t="n">
        <v>0</v>
      </c>
      <c r="Q243" s="2" t="n">
        <v>55</v>
      </c>
      <c r="R243" s="2" t="n">
        <v>1</v>
      </c>
    </row>
    <row r="244">
      <c r="A244" t="inlineStr">
        <is>
          <t>Wine,Christmas</t>
        </is>
      </c>
      <c r="B244" s="29" t="n">
        <v>0</v>
      </c>
      <c r="C244" s="30" t="n">
        <v>0</v>
      </c>
      <c r="D244" s="2" t="n">
        <v>0</v>
      </c>
      <c r="E244" s="31" t="n">
        <v>0</v>
      </c>
      <c r="F244" s="32" t="n">
        <v>0</v>
      </c>
      <c r="G244" s="32" t="n">
        <v>0</v>
      </c>
      <c r="H244" s="31" t="n">
        <v>0</v>
      </c>
      <c r="I244" s="32" t="n">
        <v>0</v>
      </c>
      <c r="J244" s="31" t="n">
        <v>0</v>
      </c>
      <c r="K244" s="31" t="n">
        <v>0</v>
      </c>
      <c r="L244" s="44" t="n">
        <v>0</v>
      </c>
      <c r="M244" s="44" t="n">
        <v>0</v>
      </c>
      <c r="N244" s="32" t="n">
        <v>0</v>
      </c>
      <c r="O244" s="44" t="n">
        <v>0</v>
      </c>
      <c r="P244" s="2" t="n">
        <v>0</v>
      </c>
      <c r="Q244" s="2" t="n">
        <v>0</v>
      </c>
      <c r="R244" s="2" t="n">
        <v>1</v>
      </c>
    </row>
    <row r="245">
      <c r="A245" t="inlineStr">
        <is>
          <t>Christmas</t>
        </is>
      </c>
      <c r="B245" s="29" t="n">
        <v>0</v>
      </c>
      <c r="C245" s="30" t="n">
        <v>0</v>
      </c>
      <c r="D245" s="2" t="n">
        <v>0</v>
      </c>
      <c r="E245" s="31" t="n">
        <v>0</v>
      </c>
      <c r="F245" s="32" t="n">
        <v>0</v>
      </c>
      <c r="G245" s="32" t="n">
        <v>0</v>
      </c>
      <c r="H245" s="31" t="n">
        <v>0</v>
      </c>
      <c r="I245" s="32" t="n">
        <v>0</v>
      </c>
      <c r="J245" s="31" t="n">
        <v>0</v>
      </c>
      <c r="K245" s="31" t="n">
        <v>0</v>
      </c>
      <c r="L245" s="44" t="n">
        <v>0</v>
      </c>
      <c r="M245" s="44" t="n">
        <v>0</v>
      </c>
      <c r="N245" s="32" t="n">
        <v>0</v>
      </c>
      <c r="O245" s="44" t="n">
        <v>0</v>
      </c>
      <c r="P245" s="2" t="n">
        <v>0</v>
      </c>
      <c r="Q245" s="2" t="n">
        <v>6</v>
      </c>
      <c r="R245" s="2" t="n">
        <v>2</v>
      </c>
    </row>
    <row r="246">
      <c r="A246" t="inlineStr">
        <is>
          <t>Baby days,WFS,Coupon_Discount,WFS Item</t>
        </is>
      </c>
      <c r="B246" s="29" t="n">
        <v>0</v>
      </c>
      <c r="C246" s="30" t="n">
        <v>0</v>
      </c>
      <c r="D246" s="2" t="n">
        <v>0</v>
      </c>
      <c r="E246" s="31" t="n">
        <v>0</v>
      </c>
      <c r="F246" s="32" t="n">
        <v>0</v>
      </c>
      <c r="G246" s="32" t="n">
        <v>0</v>
      </c>
      <c r="H246" s="31" t="n">
        <v>0</v>
      </c>
      <c r="I246" s="32" t="n">
        <v>0</v>
      </c>
      <c r="J246" s="31" t="n">
        <v>0</v>
      </c>
      <c r="K246" s="31" t="n">
        <v>0</v>
      </c>
      <c r="L246" s="44" t="n">
        <v>0</v>
      </c>
      <c r="M246" s="44" t="n">
        <v>0</v>
      </c>
      <c r="N246" s="32" t="n">
        <v>0</v>
      </c>
      <c r="O246" s="44" t="n">
        <v>0</v>
      </c>
      <c r="P246" s="2" t="n">
        <v>0</v>
      </c>
      <c r="Q246" s="2" t="n">
        <v>53</v>
      </c>
      <c r="R246" s="2" t="n">
        <v>1</v>
      </c>
    </row>
    <row r="247">
      <c r="A247" t="inlineStr">
        <is>
          <t>Baby days,WFS,SEM</t>
        </is>
      </c>
      <c r="B247" s="29" t="n">
        <v>0</v>
      </c>
      <c r="C247" s="30" t="n">
        <v>0</v>
      </c>
      <c r="D247" s="2" t="n">
        <v>0</v>
      </c>
      <c r="E247" s="31" t="n">
        <v>0</v>
      </c>
      <c r="F247" s="32" t="n">
        <v>0</v>
      </c>
      <c r="G247" s="32" t="n">
        <v>0</v>
      </c>
      <c r="H247" s="31" t="n">
        <v>0</v>
      </c>
      <c r="I247" s="32" t="n">
        <v>0</v>
      </c>
      <c r="J247" s="31" t="n">
        <v>0</v>
      </c>
      <c r="K247" s="31" t="n">
        <v>0</v>
      </c>
      <c r="L247" s="44" t="n">
        <v>0</v>
      </c>
      <c r="M247" s="44" t="n">
        <v>0</v>
      </c>
      <c r="N247" s="32" t="n">
        <v>0</v>
      </c>
      <c r="O247" s="44" t="n">
        <v>0</v>
      </c>
      <c r="P247" s="2" t="n">
        <v>0</v>
      </c>
      <c r="Q247" s="2" t="n">
        <v>27</v>
      </c>
      <c r="R247" s="2" t="n">
        <v>1</v>
      </c>
    </row>
    <row r="248">
      <c r="A248" t="inlineStr">
        <is>
          <t>Baby days</t>
        </is>
      </c>
      <c r="B248" s="29" t="n">
        <v>0</v>
      </c>
      <c r="C248" s="30" t="n">
        <v>0</v>
      </c>
      <c r="D248" s="2" t="n">
        <v>0</v>
      </c>
      <c r="E248" s="31" t="n">
        <v>0</v>
      </c>
      <c r="F248" s="32" t="n">
        <v>0</v>
      </c>
      <c r="G248" s="32" t="n">
        <v>0</v>
      </c>
      <c r="H248" s="31" t="n">
        <v>0</v>
      </c>
      <c r="I248" s="32" t="n">
        <v>0</v>
      </c>
      <c r="J248" s="31" t="n">
        <v>0</v>
      </c>
      <c r="K248" s="31" t="n">
        <v>0</v>
      </c>
      <c r="L248" s="44" t="n">
        <v>0</v>
      </c>
      <c r="M248" s="44" t="n">
        <v>0</v>
      </c>
      <c r="N248" s="32" t="n">
        <v>0</v>
      </c>
      <c r="O248" s="44" t="n">
        <v>0</v>
      </c>
      <c r="P248" s="2" t="n">
        <v>0</v>
      </c>
      <c r="Q248" s="2" t="n">
        <v>7</v>
      </c>
      <c r="R248" s="2" t="n">
        <v>1</v>
      </c>
    </row>
    <row r="249">
      <c r="A249" t="inlineStr">
        <is>
          <t>Wine,Wine WFS,Batch 1 - TR,Lily Brand Camp</t>
        </is>
      </c>
      <c r="B249" s="29" t="n">
        <v>0</v>
      </c>
      <c r="C249" s="30" t="n">
        <v>0</v>
      </c>
      <c r="D249" s="2" t="n">
        <v>0</v>
      </c>
      <c r="E249" s="31" t="n">
        <v>4.58</v>
      </c>
      <c r="F249" s="32" t="n">
        <v>0.0005</v>
      </c>
      <c r="G249" s="32" t="n">
        <v>0</v>
      </c>
      <c r="H249" s="31" t="n">
        <v>0</v>
      </c>
      <c r="I249" s="32" t="n">
        <v>0</v>
      </c>
      <c r="J249" s="31" t="n">
        <v>0</v>
      </c>
      <c r="K249" s="31" t="n">
        <v>0</v>
      </c>
      <c r="L249" s="44" t="n">
        <v>7972</v>
      </c>
      <c r="M249" s="44" t="n">
        <v>9</v>
      </c>
      <c r="N249" s="32" t="n">
        <v>0.0011</v>
      </c>
      <c r="O249" s="44" t="n">
        <v>0</v>
      </c>
      <c r="P249" s="2" t="n">
        <v>8</v>
      </c>
      <c r="Q249" s="2" t="n">
        <v>29</v>
      </c>
      <c r="R249" s="2" t="n">
        <v>1</v>
      </c>
    </row>
    <row r="250">
      <c r="A250" t="inlineStr">
        <is>
          <t>Backpack,Optimized</t>
        </is>
      </c>
      <c r="B250" s="29" t="n">
        <v>0</v>
      </c>
      <c r="C250" s="30" t="n">
        <v>0</v>
      </c>
      <c r="D250" s="2" t="n">
        <v>0</v>
      </c>
      <c r="E250" s="31" t="n">
        <v>0</v>
      </c>
      <c r="F250" s="32" t="n">
        <v>0</v>
      </c>
      <c r="G250" s="32" t="n">
        <v>0</v>
      </c>
      <c r="H250" s="31" t="n">
        <v>0</v>
      </c>
      <c r="I250" s="32" t="n">
        <v>0</v>
      </c>
      <c r="J250" s="31" t="n">
        <v>0</v>
      </c>
      <c r="K250" s="31" t="n">
        <v>0</v>
      </c>
      <c r="L250" s="44" t="n">
        <v>0</v>
      </c>
      <c r="M250" s="44" t="n">
        <v>0</v>
      </c>
      <c r="N250" s="32" t="n">
        <v>0</v>
      </c>
      <c r="O250" s="44" t="n">
        <v>0</v>
      </c>
      <c r="P250" s="2" t="n">
        <v>0</v>
      </c>
      <c r="Q250" s="2" t="n">
        <v>1</v>
      </c>
      <c r="R250" s="2" t="n">
        <v>1</v>
      </c>
    </row>
    <row r="251">
      <c r="A251" t="inlineStr">
        <is>
          <t>Bathrobe,Coupon_Discount</t>
        </is>
      </c>
      <c r="B251" s="29" t="n">
        <v>0</v>
      </c>
      <c r="C251" s="30" t="n">
        <v>0</v>
      </c>
      <c r="D251" s="2" t="n">
        <v>0</v>
      </c>
      <c r="E251" s="31" t="n">
        <v>0</v>
      </c>
      <c r="F251" s="32" t="n">
        <v>0</v>
      </c>
      <c r="G251" s="32" t="n">
        <v>0</v>
      </c>
      <c r="H251" s="31" t="n">
        <v>0</v>
      </c>
      <c r="I251" s="32" t="n">
        <v>0</v>
      </c>
      <c r="J251" s="31" t="n">
        <v>0</v>
      </c>
      <c r="K251" s="31" t="n">
        <v>0</v>
      </c>
      <c r="L251" s="44" t="n">
        <v>0</v>
      </c>
      <c r="M251" s="44" t="n">
        <v>0</v>
      </c>
      <c r="N251" s="32" t="n">
        <v>0</v>
      </c>
      <c r="O251" s="44" t="n">
        <v>0</v>
      </c>
      <c r="P251" s="2" t="n">
        <v>0</v>
      </c>
      <c r="Q251" s="2" t="n">
        <v>132</v>
      </c>
      <c r="R251" s="2" t="n">
        <v>6</v>
      </c>
    </row>
    <row r="252">
      <c r="A252" t="inlineStr">
        <is>
          <t>Christmas,Optimized,Hero 5 Holidays</t>
        </is>
      </c>
      <c r="B252" s="29" t="n">
        <v>0</v>
      </c>
      <c r="C252" s="30" t="n">
        <v>0</v>
      </c>
      <c r="D252" s="2" t="n">
        <v>0</v>
      </c>
      <c r="E252" s="31" t="n">
        <v>0.41</v>
      </c>
      <c r="F252" s="32" t="n">
        <v>0</v>
      </c>
      <c r="G252" s="32" t="n">
        <v>0</v>
      </c>
      <c r="H252" s="31" t="n">
        <v>0</v>
      </c>
      <c r="I252" s="32" t="n">
        <v>0</v>
      </c>
      <c r="J252" s="31" t="n">
        <v>0</v>
      </c>
      <c r="K252" s="31" t="n">
        <v>0</v>
      </c>
      <c r="L252" s="44" t="n">
        <v>348</v>
      </c>
      <c r="M252" s="44" t="n">
        <v>1</v>
      </c>
      <c r="N252" s="32" t="n">
        <v>0.0029</v>
      </c>
      <c r="O252" s="44" t="n">
        <v>0</v>
      </c>
      <c r="P252" s="2" t="n">
        <v>44</v>
      </c>
      <c r="Q252" s="2" t="n">
        <v>28</v>
      </c>
      <c r="R252" s="2" t="n">
        <v>1</v>
      </c>
    </row>
    <row r="253">
      <c r="A253" t="inlineStr">
        <is>
          <t>Christmas,Optimized,WFS,Coupon_Discount,WFS Item,Fleece Blankets</t>
        </is>
      </c>
      <c r="B253" s="29" t="n">
        <v>0</v>
      </c>
      <c r="C253" s="30" t="n">
        <v>0</v>
      </c>
      <c r="D253" s="2" t="n">
        <v>0</v>
      </c>
      <c r="E253" s="31" t="n">
        <v>0</v>
      </c>
      <c r="F253" s="32" t="n">
        <v>0</v>
      </c>
      <c r="G253" s="32" t="n">
        <v>0</v>
      </c>
      <c r="H253" s="31" t="n">
        <v>0</v>
      </c>
      <c r="I253" s="32" t="n">
        <v>0</v>
      </c>
      <c r="J253" s="31" t="n">
        <v>0</v>
      </c>
      <c r="K253" s="31" t="n">
        <v>0</v>
      </c>
      <c r="L253" s="44" t="n">
        <v>0</v>
      </c>
      <c r="M253" s="44" t="n">
        <v>0</v>
      </c>
      <c r="N253" s="32" t="n">
        <v>0</v>
      </c>
      <c r="O253" s="44" t="n">
        <v>0</v>
      </c>
      <c r="P253" s="2" t="n">
        <v>0</v>
      </c>
      <c r="Q253" s="2" t="n">
        <v>2</v>
      </c>
      <c r="R253" s="2" t="n">
        <v>1</v>
      </c>
    </row>
    <row r="254">
      <c r="A254" t="inlineStr">
        <is>
          <t>Coupon_Discount,WFS Item</t>
        </is>
      </c>
      <c r="B254" s="29" t="n">
        <v>0</v>
      </c>
      <c r="C254" s="30" t="n">
        <v>0</v>
      </c>
      <c r="D254" s="2" t="n">
        <v>0</v>
      </c>
      <c r="E254" s="31" t="n">
        <v>0</v>
      </c>
      <c r="F254" s="32" t="n">
        <v>0</v>
      </c>
      <c r="G254" s="32" t="n">
        <v>0</v>
      </c>
      <c r="H254" s="31" t="n">
        <v>0</v>
      </c>
      <c r="I254" s="32" t="n">
        <v>0</v>
      </c>
      <c r="J254" s="31" t="n">
        <v>0</v>
      </c>
      <c r="K254" s="31" t="n">
        <v>0</v>
      </c>
      <c r="L254" s="44" t="n">
        <v>0</v>
      </c>
      <c r="M254" s="44" t="n">
        <v>0</v>
      </c>
      <c r="N254" s="32" t="n">
        <v>0</v>
      </c>
      <c r="O254" s="44" t="n">
        <v>0</v>
      </c>
      <c r="P254" s="2" t="n">
        <v>0</v>
      </c>
      <c r="Q254" s="2" t="n">
        <v>5</v>
      </c>
      <c r="R254" s="2" t="n">
        <v>1</v>
      </c>
    </row>
    <row r="255">
      <c r="A255" t="inlineStr">
        <is>
          <t>Wine,Optimized,Valentine</t>
        </is>
      </c>
      <c r="B255" s="29" t="n">
        <v>0</v>
      </c>
      <c r="C255" s="30" t="n">
        <v>0</v>
      </c>
      <c r="D255" s="2" t="n">
        <v>0</v>
      </c>
      <c r="E255" s="31" t="n">
        <v>0</v>
      </c>
      <c r="F255" s="32" t="n">
        <v>0</v>
      </c>
      <c r="G255" s="32" t="n">
        <v>0</v>
      </c>
      <c r="H255" s="31" t="n">
        <v>0</v>
      </c>
      <c r="I255" s="32" t="n">
        <v>0</v>
      </c>
      <c r="J255" s="31" t="n">
        <v>0</v>
      </c>
      <c r="K255" s="31" t="n">
        <v>0</v>
      </c>
      <c r="L255" s="44" t="n">
        <v>0</v>
      </c>
      <c r="M255" s="44" t="n">
        <v>0</v>
      </c>
      <c r="N255" s="32" t="n">
        <v>0</v>
      </c>
      <c r="O255" s="44" t="n">
        <v>0</v>
      </c>
      <c r="P255" s="2" t="n">
        <v>0</v>
      </c>
      <c r="Q255" s="2" t="n">
        <v>9</v>
      </c>
      <c r="R255" s="2" t="n">
        <v>1</v>
      </c>
    </row>
    <row r="256">
      <c r="A256" t="inlineStr">
        <is>
          <t>Wine,WFS,Wine WFS,SEM,WFS Item</t>
        </is>
      </c>
      <c r="B256" s="29" t="n">
        <v>0</v>
      </c>
      <c r="C256" s="30" t="n">
        <v>0</v>
      </c>
      <c r="D256" s="2" t="n">
        <v>0</v>
      </c>
      <c r="E256" s="31" t="n">
        <v>0</v>
      </c>
      <c r="F256" s="32" t="n">
        <v>0</v>
      </c>
      <c r="G256" s="32" t="n">
        <v>0</v>
      </c>
      <c r="H256" s="31" t="n">
        <v>0</v>
      </c>
      <c r="I256" s="32" t="n">
        <v>0</v>
      </c>
      <c r="J256" s="31" t="n">
        <v>0</v>
      </c>
      <c r="K256" s="31" t="n">
        <v>0</v>
      </c>
      <c r="L256" s="44" t="n">
        <v>0</v>
      </c>
      <c r="M256" s="44" t="n">
        <v>0</v>
      </c>
      <c r="N256" s="32" t="n">
        <v>0</v>
      </c>
      <c r="O256" s="44" t="n">
        <v>0</v>
      </c>
      <c r="P256" s="2" t="n">
        <v>0</v>
      </c>
      <c r="Q256" s="2" t="n">
        <v>15</v>
      </c>
      <c r="R256" s="2" t="n">
        <v>1</v>
      </c>
    </row>
    <row r="257">
      <c r="A257" t="inlineStr">
        <is>
          <t>Gloves</t>
        </is>
      </c>
      <c r="B257" s="29" t="n">
        <v>0</v>
      </c>
      <c r="C257" s="30" t="n">
        <v>0</v>
      </c>
      <c r="D257" s="2" t="n">
        <v>0</v>
      </c>
      <c r="E257" s="31" t="n">
        <v>0</v>
      </c>
      <c r="F257" s="32" t="n">
        <v>0</v>
      </c>
      <c r="G257" s="32" t="n">
        <v>0</v>
      </c>
      <c r="H257" s="31" t="n">
        <v>0</v>
      </c>
      <c r="I257" s="32" t="n">
        <v>0</v>
      </c>
      <c r="J257" s="31" t="n">
        <v>0</v>
      </c>
      <c r="K257" s="31" t="n">
        <v>0</v>
      </c>
      <c r="L257" s="44" t="n">
        <v>0</v>
      </c>
      <c r="M257" s="44" t="n">
        <v>0</v>
      </c>
      <c r="N257" s="32" t="n">
        <v>0</v>
      </c>
      <c r="O257" s="44" t="n">
        <v>0</v>
      </c>
      <c r="P257" s="2" t="n">
        <v>0</v>
      </c>
      <c r="Q257" s="2" t="n">
        <v>25</v>
      </c>
      <c r="R257" s="2" t="n">
        <v>1</v>
      </c>
    </row>
    <row r="258">
      <c r="A258" t="inlineStr">
        <is>
          <t>Hats,WFS Item</t>
        </is>
      </c>
      <c r="B258" s="29" t="n">
        <v>0</v>
      </c>
      <c r="C258" s="30" t="n">
        <v>0</v>
      </c>
      <c r="D258" s="2" t="n">
        <v>0</v>
      </c>
      <c r="E258" s="31" t="n">
        <v>0</v>
      </c>
      <c r="F258" s="32" t="n">
        <v>0</v>
      </c>
      <c r="G258" s="32" t="n">
        <v>0</v>
      </c>
      <c r="H258" s="31" t="n">
        <v>0</v>
      </c>
      <c r="I258" s="32" t="n">
        <v>0</v>
      </c>
      <c r="J258" s="31" t="n">
        <v>0</v>
      </c>
      <c r="K258" s="31" t="n">
        <v>0</v>
      </c>
      <c r="L258" s="44" t="n">
        <v>0</v>
      </c>
      <c r="M258" s="44" t="n">
        <v>0</v>
      </c>
      <c r="N258" s="32" t="n">
        <v>0</v>
      </c>
      <c r="O258" s="44" t="n">
        <v>0</v>
      </c>
      <c r="P258" s="2" t="n">
        <v>0</v>
      </c>
      <c r="Q258" s="2" t="n">
        <v>3</v>
      </c>
      <c r="R258" s="2" t="n">
        <v>1</v>
      </c>
    </row>
    <row r="259">
      <c r="A259" t="inlineStr">
        <is>
          <t>Hero 5 Holidays,Bathrobe,Batch 1 - TR</t>
        </is>
      </c>
      <c r="B259" s="29" t="n">
        <v>0</v>
      </c>
      <c r="C259" s="30" t="n">
        <v>0</v>
      </c>
      <c r="D259" s="2" t="n">
        <v>0</v>
      </c>
      <c r="E259" s="31" t="n">
        <v>0</v>
      </c>
      <c r="F259" s="32" t="n">
        <v>0</v>
      </c>
      <c r="G259" s="32" t="n">
        <v>0</v>
      </c>
      <c r="H259" s="31" t="n">
        <v>0</v>
      </c>
      <c r="I259" s="32" t="n">
        <v>0</v>
      </c>
      <c r="J259" s="31" t="n">
        <v>0</v>
      </c>
      <c r="K259" s="31" t="n">
        <v>0</v>
      </c>
      <c r="L259" s="44" t="n">
        <v>0</v>
      </c>
      <c r="M259" s="44" t="n">
        <v>0</v>
      </c>
      <c r="N259" s="32" t="n">
        <v>0</v>
      </c>
      <c r="O259" s="44" t="n">
        <v>0</v>
      </c>
      <c r="P259" s="2" t="n">
        <v>5</v>
      </c>
      <c r="Q259" s="2" t="n">
        <v>12</v>
      </c>
      <c r="R259" s="2" t="n">
        <v>1</v>
      </c>
    </row>
    <row r="260">
      <c r="A260" t="inlineStr">
        <is>
          <t>Wine,Optimized</t>
        </is>
      </c>
      <c r="B260" s="29" t="n">
        <v>0</v>
      </c>
      <c r="C260" s="30" t="n">
        <v>0</v>
      </c>
      <c r="D260" s="2" t="n">
        <v>0</v>
      </c>
      <c r="E260" s="31" t="n">
        <v>0</v>
      </c>
      <c r="F260" s="32" t="n">
        <v>0</v>
      </c>
      <c r="G260" s="32" t="n">
        <v>0</v>
      </c>
      <c r="H260" s="31" t="n">
        <v>0</v>
      </c>
      <c r="I260" s="32" t="n">
        <v>0</v>
      </c>
      <c r="J260" s="31" t="n">
        <v>0</v>
      </c>
      <c r="K260" s="31" t="n">
        <v>0</v>
      </c>
      <c r="L260" s="44" t="n">
        <v>0</v>
      </c>
      <c r="M260" s="44" t="n">
        <v>0</v>
      </c>
      <c r="N260" s="32" t="n">
        <v>0</v>
      </c>
      <c r="O260" s="44" t="n">
        <v>0</v>
      </c>
      <c r="P260" s="2" t="n">
        <v>0</v>
      </c>
      <c r="Q260" s="2" t="n">
        <v>22</v>
      </c>
      <c r="R260" s="2" t="n">
        <v>2</v>
      </c>
    </row>
    <row r="261">
      <c r="A261" t="inlineStr">
        <is>
          <t>Wine,Optimized,Wine WFS</t>
        </is>
      </c>
      <c r="B261" s="29" t="n">
        <v>0</v>
      </c>
      <c r="C261" s="30" t="n">
        <v>0</v>
      </c>
      <c r="D261" s="2" t="n">
        <v>0</v>
      </c>
      <c r="E261" s="31" t="n">
        <v>0</v>
      </c>
      <c r="F261" s="32" t="n">
        <v>0</v>
      </c>
      <c r="G261" s="32" t="n">
        <v>0</v>
      </c>
      <c r="H261" s="31" t="n">
        <v>0</v>
      </c>
      <c r="I261" s="32" t="n">
        <v>0</v>
      </c>
      <c r="J261" s="31" t="n">
        <v>0</v>
      </c>
      <c r="K261" s="31" t="n">
        <v>0</v>
      </c>
      <c r="L261" s="44" t="n">
        <v>0</v>
      </c>
      <c r="M261" s="44" t="n">
        <v>0</v>
      </c>
      <c r="N261" s="32" t="n">
        <v>0</v>
      </c>
      <c r="O261" s="44" t="n">
        <v>0</v>
      </c>
      <c r="P261" s="2" t="n">
        <v>0</v>
      </c>
      <c r="Q261" s="2" t="n">
        <v>54</v>
      </c>
      <c r="R261" s="2" t="n">
        <v>1</v>
      </c>
    </row>
    <row r="262">
      <c r="A262" t="inlineStr">
        <is>
          <t>Wine,Optimized,WFS,Wine WFS,Valentine,SEM,WFS Item</t>
        </is>
      </c>
      <c r="B262" s="29" t="n">
        <v>0</v>
      </c>
      <c r="C262" s="30" t="n">
        <v>0</v>
      </c>
      <c r="D262" s="2" t="n">
        <v>0</v>
      </c>
      <c r="E262" s="31" t="n">
        <v>0</v>
      </c>
      <c r="F262" s="32" t="n">
        <v>0</v>
      </c>
      <c r="G262" s="32" t="n">
        <v>0</v>
      </c>
      <c r="H262" s="31" t="n">
        <v>0</v>
      </c>
      <c r="I262" s="32" t="n">
        <v>0</v>
      </c>
      <c r="J262" s="31" t="n">
        <v>0</v>
      </c>
      <c r="K262" s="31" t="n">
        <v>0</v>
      </c>
      <c r="L262" s="44" t="n">
        <v>0</v>
      </c>
      <c r="M262" s="44" t="n">
        <v>0</v>
      </c>
      <c r="N262" s="32" t="n">
        <v>0</v>
      </c>
      <c r="O262" s="44" t="n">
        <v>0</v>
      </c>
      <c r="P262" s="2" t="n">
        <v>0</v>
      </c>
      <c r="Q262" s="2" t="n">
        <v>41</v>
      </c>
      <c r="R262" s="2" t="n">
        <v>1</v>
      </c>
    </row>
    <row r="263">
      <c r="A263" t="inlineStr">
        <is>
          <t>Wine,Christmas,Optimized,WFS,Wine WFS,Valentine,SEM,WFS Item</t>
        </is>
      </c>
      <c r="B263" s="29" t="n">
        <v>0</v>
      </c>
      <c r="C263" s="30" t="n">
        <v>0</v>
      </c>
      <c r="D263" s="2" t="n">
        <v>0</v>
      </c>
      <c r="E263" s="31" t="n">
        <v>0.96</v>
      </c>
      <c r="F263" s="32" t="n">
        <v>0.0001</v>
      </c>
      <c r="G263" s="32" t="n">
        <v>0</v>
      </c>
      <c r="H263" s="31" t="n">
        <v>0</v>
      </c>
      <c r="I263" s="32" t="n">
        <v>0</v>
      </c>
      <c r="J263" s="31" t="n">
        <v>0</v>
      </c>
      <c r="K263" s="31" t="n">
        <v>0</v>
      </c>
      <c r="L263" s="44" t="n">
        <v>13</v>
      </c>
      <c r="M263" s="44" t="n">
        <v>2</v>
      </c>
      <c r="N263" s="32" t="n">
        <v>0.1538</v>
      </c>
      <c r="O263" s="44" t="n">
        <v>0</v>
      </c>
      <c r="P263" s="2" t="n">
        <v>0</v>
      </c>
      <c r="Q263" s="2" t="n">
        <v>17</v>
      </c>
      <c r="R263" s="2" t="n">
        <v>1</v>
      </c>
    </row>
    <row r="264">
      <c r="A264" t="inlineStr">
        <is>
          <t>Wine,Christmas,Optimized,WFS,Wine WFS,Valentine,WFS Item</t>
        </is>
      </c>
      <c r="B264" s="29" t="n">
        <v>0</v>
      </c>
      <c r="C264" s="30" t="n">
        <v>0</v>
      </c>
      <c r="D264" s="2" t="n">
        <v>0</v>
      </c>
      <c r="E264" s="31" t="n">
        <v>0</v>
      </c>
      <c r="F264" s="32" t="n">
        <v>0</v>
      </c>
      <c r="G264" s="32" t="n">
        <v>0</v>
      </c>
      <c r="H264" s="31" t="n">
        <v>0</v>
      </c>
      <c r="I264" s="32" t="n">
        <v>0</v>
      </c>
      <c r="J264" s="31" t="n">
        <v>0</v>
      </c>
      <c r="K264" s="31" t="n">
        <v>0</v>
      </c>
      <c r="L264" s="44" t="n">
        <v>0</v>
      </c>
      <c r="M264" s="44" t="n">
        <v>0</v>
      </c>
      <c r="N264" s="32" t="n">
        <v>0</v>
      </c>
      <c r="O264" s="44" t="n">
        <v>0</v>
      </c>
      <c r="P264" s="2" t="n">
        <v>0</v>
      </c>
      <c r="Q264" s="2" t="n">
        <v>2</v>
      </c>
      <c r="R264" s="2" t="n">
        <v>2</v>
      </c>
    </row>
    <row r="265">
      <c r="A265" t="inlineStr">
        <is>
          <t>Wine,Christmas,Optimized,Valentine,SEM,cost-added</t>
        </is>
      </c>
      <c r="B265" s="29" t="n">
        <v>0</v>
      </c>
      <c r="C265" s="30" t="n">
        <v>0</v>
      </c>
      <c r="D265" s="2" t="n">
        <v>0</v>
      </c>
      <c r="E265" s="31" t="n">
        <v>0</v>
      </c>
      <c r="F265" s="32" t="n">
        <v>0</v>
      </c>
      <c r="G265" s="32" t="n">
        <v>0</v>
      </c>
      <c r="H265" s="31" t="n">
        <v>0</v>
      </c>
      <c r="I265" s="32" t="n">
        <v>0</v>
      </c>
      <c r="J265" s="31" t="n">
        <v>0</v>
      </c>
      <c r="K265" s="31" t="n">
        <v>0</v>
      </c>
      <c r="L265" s="44" t="n">
        <v>0</v>
      </c>
      <c r="M265" s="44" t="n">
        <v>0</v>
      </c>
      <c r="N265" s="32" t="n">
        <v>0</v>
      </c>
      <c r="O265" s="44" t="n">
        <v>0</v>
      </c>
      <c r="P265" s="2" t="n">
        <v>0</v>
      </c>
      <c r="Q265" s="2" t="n">
        <v>0</v>
      </c>
      <c r="R265" s="2" t="n">
        <v>1</v>
      </c>
    </row>
    <row r="266">
      <c r="A266" t="inlineStr">
        <is>
          <t>Lunch Bag,Optimized,Lunch Bags,WFS Item</t>
        </is>
      </c>
      <c r="B266" s="29" t="n">
        <v>0</v>
      </c>
      <c r="C266" s="30" t="n">
        <v>0</v>
      </c>
      <c r="D266" s="2" t="n">
        <v>0</v>
      </c>
      <c r="E266" s="31" t="n">
        <v>0</v>
      </c>
      <c r="F266" s="32" t="n">
        <v>0</v>
      </c>
      <c r="G266" s="32" t="n">
        <v>0</v>
      </c>
      <c r="H266" s="31" t="n">
        <v>0</v>
      </c>
      <c r="I266" s="32" t="n">
        <v>0</v>
      </c>
      <c r="J266" s="31" t="n">
        <v>0</v>
      </c>
      <c r="K266" s="31" t="n">
        <v>0</v>
      </c>
      <c r="L266" s="44" t="n">
        <v>0</v>
      </c>
      <c r="M266" s="44" t="n">
        <v>0</v>
      </c>
      <c r="N266" s="32" t="n">
        <v>0</v>
      </c>
      <c r="O266" s="44" t="n">
        <v>0</v>
      </c>
      <c r="P266" s="2" t="n">
        <v>55</v>
      </c>
      <c r="Q266" s="2" t="n">
        <v>17</v>
      </c>
      <c r="R266" s="2" t="n">
        <v>1</v>
      </c>
    </row>
    <row r="267">
      <c r="A267" t="inlineStr">
        <is>
          <t>Q2-Target,Hero 5 Holidays,WFS,cost-added,WFS Item</t>
        </is>
      </c>
      <c r="B267" s="29" t="n">
        <v>0</v>
      </c>
      <c r="C267" s="30" t="n">
        <v>0</v>
      </c>
      <c r="D267" s="2" t="n">
        <v>0</v>
      </c>
      <c r="E267" s="31" t="n">
        <v>0</v>
      </c>
      <c r="F267" s="32" t="n">
        <v>0</v>
      </c>
      <c r="G267" s="32" t="n">
        <v>0</v>
      </c>
      <c r="H267" s="31" t="n">
        <v>0</v>
      </c>
      <c r="I267" s="32" t="n">
        <v>0</v>
      </c>
      <c r="J267" s="31" t="n">
        <v>0</v>
      </c>
      <c r="K267" s="31" t="n">
        <v>0</v>
      </c>
      <c r="L267" s="44" t="n">
        <v>0</v>
      </c>
      <c r="M267" s="44" t="n">
        <v>0</v>
      </c>
      <c r="N267" s="32" t="n">
        <v>0</v>
      </c>
      <c r="O267" s="44" t="n">
        <v>0</v>
      </c>
      <c r="P267" s="2" t="n">
        <v>21</v>
      </c>
      <c r="Q267" s="2" t="n">
        <v>7</v>
      </c>
      <c r="R267" s="2" t="n">
        <v>1</v>
      </c>
    </row>
    <row r="268">
      <c r="A268" t="inlineStr">
        <is>
          <t>Optimized,WFS,Coupon_Discount,SeePriceInCart,WFS Item</t>
        </is>
      </c>
      <c r="B268" s="29" t="n">
        <v>0</v>
      </c>
      <c r="C268" s="30" t="n">
        <v>0</v>
      </c>
      <c r="D268" s="2" t="n">
        <v>0</v>
      </c>
      <c r="E268" s="31" t="n">
        <v>0</v>
      </c>
      <c r="F268" s="32" t="n">
        <v>0</v>
      </c>
      <c r="G268" s="32" t="n">
        <v>0</v>
      </c>
      <c r="H268" s="31" t="n">
        <v>0</v>
      </c>
      <c r="I268" s="32" t="n">
        <v>0</v>
      </c>
      <c r="J268" s="31" t="n">
        <v>0</v>
      </c>
      <c r="K268" s="31" t="n">
        <v>0</v>
      </c>
      <c r="L268" s="44" t="n">
        <v>0</v>
      </c>
      <c r="M268" s="44" t="n">
        <v>0</v>
      </c>
      <c r="N268" s="32" t="n">
        <v>0</v>
      </c>
      <c r="O268" s="44" t="n">
        <v>0</v>
      </c>
      <c r="P268" s="2" t="n">
        <v>0</v>
      </c>
      <c r="Q268" s="2" t="n">
        <v>0</v>
      </c>
      <c r="R268" s="2" t="n">
        <v>1</v>
      </c>
    </row>
    <row r="269">
      <c r="A269" t="inlineStr">
        <is>
          <t>WFS Item,Fleece Blankets,ST Patrick Day</t>
        </is>
      </c>
      <c r="B269" s="29" t="n">
        <v>0</v>
      </c>
      <c r="C269" s="30" t="n">
        <v>0</v>
      </c>
      <c r="D269" s="2" t="n">
        <v>0</v>
      </c>
      <c r="E269" s="31" t="n">
        <v>0</v>
      </c>
      <c r="F269" s="32" t="n">
        <v>0</v>
      </c>
      <c r="G269" s="32" t="n">
        <v>0</v>
      </c>
      <c r="H269" s="31" t="n">
        <v>0</v>
      </c>
      <c r="I269" s="32" t="n">
        <v>0</v>
      </c>
      <c r="J269" s="31" t="n">
        <v>0</v>
      </c>
      <c r="K269" s="31" t="n">
        <v>0</v>
      </c>
      <c r="L269" s="44" t="n">
        <v>0</v>
      </c>
      <c r="M269" s="44" t="n">
        <v>0</v>
      </c>
      <c r="N269" s="32" t="n">
        <v>0</v>
      </c>
      <c r="O269" s="44" t="n">
        <v>0</v>
      </c>
      <c r="P269" s="2" t="n">
        <v>9</v>
      </c>
      <c r="Q269" s="2" t="n">
        <v>19</v>
      </c>
      <c r="R269" s="2" t="n">
        <v>1</v>
      </c>
    </row>
    <row r="270">
      <c r="A270" t="inlineStr">
        <is>
          <t>Optimized,WFS,High AUR Items,Wproof Blanket,SEM,WFS Item</t>
        </is>
      </c>
      <c r="B270" s="29" t="n">
        <v>0</v>
      </c>
      <c r="C270" s="30" t="n">
        <v>0</v>
      </c>
      <c r="D270" s="2" t="n">
        <v>0</v>
      </c>
      <c r="E270" s="31" t="n">
        <v>0</v>
      </c>
      <c r="F270" s="32" t="n">
        <v>0</v>
      </c>
      <c r="G270" s="32" t="n">
        <v>0</v>
      </c>
      <c r="H270" s="31" t="n">
        <v>0</v>
      </c>
      <c r="I270" s="32" t="n">
        <v>0</v>
      </c>
      <c r="J270" s="31" t="n">
        <v>0</v>
      </c>
      <c r="K270" s="31" t="n">
        <v>0</v>
      </c>
      <c r="L270" s="44" t="n">
        <v>2895</v>
      </c>
      <c r="M270" s="44" t="n">
        <v>0</v>
      </c>
      <c r="N270" s="32" t="n">
        <v>0</v>
      </c>
      <c r="O270" s="44" t="n">
        <v>0</v>
      </c>
      <c r="P270" s="2" t="n">
        <v>0</v>
      </c>
      <c r="Q270" s="2" t="n">
        <v>20</v>
      </c>
      <c r="R270" s="2" t="n">
        <v>1</v>
      </c>
    </row>
    <row r="271">
      <c r="A271" t="inlineStr">
        <is>
          <t>Optimized,WFS,SEM,Coupon_Discount,WFS Item</t>
        </is>
      </c>
      <c r="B271" s="29" t="n">
        <v>0</v>
      </c>
      <c r="C271" s="30" t="n">
        <v>0</v>
      </c>
      <c r="D271" s="2" t="n">
        <v>0</v>
      </c>
      <c r="E271" s="31" t="n">
        <v>0</v>
      </c>
      <c r="F271" s="32" t="n">
        <v>0</v>
      </c>
      <c r="G271" s="32" t="n">
        <v>0</v>
      </c>
      <c r="H271" s="31" t="n">
        <v>0</v>
      </c>
      <c r="I271" s="32" t="n">
        <v>0</v>
      </c>
      <c r="J271" s="31" t="n">
        <v>0</v>
      </c>
      <c r="K271" s="31" t="n">
        <v>0</v>
      </c>
      <c r="L271" s="44" t="n">
        <v>0</v>
      </c>
      <c r="M271" s="44" t="n">
        <v>0</v>
      </c>
      <c r="N271" s="32" t="n">
        <v>0</v>
      </c>
      <c r="O271" s="44" t="n">
        <v>0</v>
      </c>
      <c r="P271" s="2" t="n">
        <v>33</v>
      </c>
      <c r="Q271" s="2" t="n">
        <v>124</v>
      </c>
      <c r="R271" s="2" t="n">
        <v>1</v>
      </c>
    </row>
    <row r="272">
      <c r="A272" t="inlineStr">
        <is>
          <t>Optimized,WFS,Valentine,WFS Item,AMZ Bestsellers</t>
        </is>
      </c>
      <c r="B272" s="29" t="n">
        <v>0</v>
      </c>
      <c r="C272" s="30" t="n">
        <v>0</v>
      </c>
      <c r="D272" s="2" t="n">
        <v>0</v>
      </c>
      <c r="E272" s="31" t="n">
        <v>0</v>
      </c>
      <c r="F272" s="32" t="n">
        <v>0</v>
      </c>
      <c r="G272" s="32" t="n">
        <v>0</v>
      </c>
      <c r="H272" s="31" t="n">
        <v>0</v>
      </c>
      <c r="I272" s="32" t="n">
        <v>0</v>
      </c>
      <c r="J272" s="31" t="n">
        <v>0</v>
      </c>
      <c r="K272" s="31" t="n">
        <v>0</v>
      </c>
      <c r="L272" s="44" t="n">
        <v>0</v>
      </c>
      <c r="M272" s="44" t="n">
        <v>0</v>
      </c>
      <c r="N272" s="32" t="n">
        <v>0</v>
      </c>
      <c r="O272" s="44" t="n">
        <v>0</v>
      </c>
      <c r="P272" s="2" t="n">
        <v>0</v>
      </c>
      <c r="Q272" s="2" t="n">
        <v>48</v>
      </c>
      <c r="R272" s="2" t="n">
        <v>1</v>
      </c>
    </row>
    <row r="273">
      <c r="A273" t="inlineStr">
        <is>
          <t>Optimized,WFS,WFS Item,Fleece Blankets</t>
        </is>
      </c>
      <c r="B273" s="29" t="n">
        <v>0</v>
      </c>
      <c r="C273" s="30" t="n">
        <v>0</v>
      </c>
      <c r="D273" s="2" t="n">
        <v>0</v>
      </c>
      <c r="E273" s="31" t="n">
        <v>0</v>
      </c>
      <c r="F273" s="32" t="n">
        <v>0</v>
      </c>
      <c r="G273" s="32" t="n">
        <v>0</v>
      </c>
      <c r="H273" s="31" t="n">
        <v>0</v>
      </c>
      <c r="I273" s="32" t="n">
        <v>0</v>
      </c>
      <c r="J273" s="31" t="n">
        <v>0</v>
      </c>
      <c r="K273" s="31" t="n">
        <v>0</v>
      </c>
      <c r="L273" s="44" t="n">
        <v>0</v>
      </c>
      <c r="M273" s="44" t="n">
        <v>0</v>
      </c>
      <c r="N273" s="32" t="n">
        <v>0</v>
      </c>
      <c r="O273" s="44" t="n">
        <v>0</v>
      </c>
      <c r="P273" s="2" t="n">
        <v>1</v>
      </c>
      <c r="Q273" s="2" t="n">
        <v>90</v>
      </c>
      <c r="R273" s="2" t="n">
        <v>2</v>
      </c>
    </row>
    <row r="274">
      <c r="A274" t="inlineStr">
        <is>
          <t>Q2-Target,Christmas,Optimized,Hero 5 Holidays,WFS Item</t>
        </is>
      </c>
      <c r="B274" s="29" t="n">
        <v>0</v>
      </c>
      <c r="C274" s="30" t="n">
        <v>0</v>
      </c>
      <c r="D274" s="2" t="n">
        <v>0</v>
      </c>
      <c r="E274" s="31" t="n">
        <v>0</v>
      </c>
      <c r="F274" s="32" t="n">
        <v>0</v>
      </c>
      <c r="G274" s="32" t="n">
        <v>0</v>
      </c>
      <c r="H274" s="31" t="n">
        <v>0</v>
      </c>
      <c r="I274" s="32" t="n">
        <v>0</v>
      </c>
      <c r="J274" s="31" t="n">
        <v>0</v>
      </c>
      <c r="K274" s="31" t="n">
        <v>0</v>
      </c>
      <c r="L274" s="44" t="n">
        <v>0</v>
      </c>
      <c r="M274" s="44" t="n">
        <v>0</v>
      </c>
      <c r="N274" s="32" t="n">
        <v>0</v>
      </c>
      <c r="O274" s="44" t="n">
        <v>0</v>
      </c>
      <c r="P274" s="2" t="n">
        <v>24</v>
      </c>
      <c r="Q274" s="2" t="n">
        <v>62</v>
      </c>
      <c r="R274" s="2" t="n">
        <v>1</v>
      </c>
    </row>
    <row r="275">
      <c r="A275" t="inlineStr">
        <is>
          <t>Q2-Target,Lunch Bag,Optimized,WFS,Lunch Bags,SEM,WFS Item</t>
        </is>
      </c>
      <c r="B275" s="29" t="n">
        <v>0</v>
      </c>
      <c r="C275" s="30" t="n">
        <v>0</v>
      </c>
      <c r="D275" s="2" t="n">
        <v>0</v>
      </c>
      <c r="E275" s="31" t="n">
        <v>0</v>
      </c>
      <c r="F275" s="32" t="n">
        <v>0</v>
      </c>
      <c r="G275" s="32" t="n">
        <v>0</v>
      </c>
      <c r="H275" s="31" t="n">
        <v>0</v>
      </c>
      <c r="I275" s="32" t="n">
        <v>0</v>
      </c>
      <c r="J275" s="31" t="n">
        <v>0</v>
      </c>
      <c r="K275" s="31" t="n">
        <v>0</v>
      </c>
      <c r="L275" s="44" t="n">
        <v>0</v>
      </c>
      <c r="M275" s="44" t="n">
        <v>0</v>
      </c>
      <c r="N275" s="32" t="n">
        <v>0</v>
      </c>
      <c r="O275" s="44" t="n">
        <v>0</v>
      </c>
      <c r="P275" s="2" t="n">
        <v>111</v>
      </c>
      <c r="Q275" s="2" t="n">
        <v>10</v>
      </c>
      <c r="R275" s="2" t="n">
        <v>1</v>
      </c>
    </row>
    <row r="276">
      <c r="A276" t="inlineStr">
        <is>
          <t>Wine,Christmas,Optimized,WFS,Valentine,WFS Item</t>
        </is>
      </c>
      <c r="B276" s="29" t="n">
        <v>0</v>
      </c>
      <c r="C276" s="30" t="n">
        <v>0</v>
      </c>
      <c r="D276" s="2" t="n">
        <v>0</v>
      </c>
      <c r="E276" s="31" t="n">
        <v>0</v>
      </c>
      <c r="F276" s="32" t="n">
        <v>0</v>
      </c>
      <c r="G276" s="32" t="n">
        <v>0</v>
      </c>
      <c r="H276" s="31" t="n">
        <v>0</v>
      </c>
      <c r="I276" s="32" t="n">
        <v>0</v>
      </c>
      <c r="J276" s="31" t="n">
        <v>0</v>
      </c>
      <c r="K276" s="31" t="n">
        <v>0</v>
      </c>
      <c r="L276" s="44" t="n">
        <v>0</v>
      </c>
      <c r="M276" s="44" t="n">
        <v>0</v>
      </c>
      <c r="N276" s="32" t="n">
        <v>0</v>
      </c>
      <c r="O276" s="44" t="n">
        <v>0</v>
      </c>
      <c r="P276" s="2" t="n">
        <v>0</v>
      </c>
      <c r="Q276" s="2" t="n">
        <v>1</v>
      </c>
      <c r="R276" s="2" t="n">
        <v>1</v>
      </c>
    </row>
    <row r="277">
      <c r="A277" t="inlineStr">
        <is>
          <t>Q2-Target,Optimized,Coupon_Discount</t>
        </is>
      </c>
      <c r="B277" s="29" t="n">
        <v>0</v>
      </c>
      <c r="C277" s="30" t="n">
        <v>0</v>
      </c>
      <c r="D277" s="2" t="n">
        <v>0</v>
      </c>
      <c r="E277" s="31" t="n">
        <v>0</v>
      </c>
      <c r="F277" s="32" t="n">
        <v>0</v>
      </c>
      <c r="G277" s="32" t="n">
        <v>0</v>
      </c>
      <c r="H277" s="31" t="n">
        <v>0</v>
      </c>
      <c r="I277" s="32" t="n">
        <v>0</v>
      </c>
      <c r="J277" s="31" t="n">
        <v>0</v>
      </c>
      <c r="K277" s="31" t="n">
        <v>0</v>
      </c>
      <c r="L277" s="44" t="n">
        <v>0</v>
      </c>
      <c r="M277" s="44" t="n">
        <v>0</v>
      </c>
      <c r="N277" s="32" t="n">
        <v>0</v>
      </c>
      <c r="O277" s="44" t="n">
        <v>0</v>
      </c>
      <c r="P277" s="2" t="n">
        <v>46</v>
      </c>
      <c r="Q277" s="2" t="n">
        <v>93</v>
      </c>
      <c r="R277" s="2" t="n">
        <v>5</v>
      </c>
    </row>
    <row r="278">
      <c r="A278" t="inlineStr">
        <is>
          <t>Q2-Target,Optimized,WFS,Coupon_Discount,SeePriceInCart,WFS Item,Fleece Blankets</t>
        </is>
      </c>
      <c r="B278" s="29" t="n">
        <v>0</v>
      </c>
      <c r="C278" s="30" t="n">
        <v>0</v>
      </c>
      <c r="D278" s="2" t="n">
        <v>0</v>
      </c>
      <c r="E278" s="31" t="n">
        <v>0</v>
      </c>
      <c r="F278" s="32" t="n">
        <v>0</v>
      </c>
      <c r="G278" s="32" t="n">
        <v>0</v>
      </c>
      <c r="H278" s="31" t="n">
        <v>0</v>
      </c>
      <c r="I278" s="32" t="n">
        <v>0</v>
      </c>
      <c r="J278" s="31" t="n">
        <v>0</v>
      </c>
      <c r="K278" s="31" t="n">
        <v>0</v>
      </c>
      <c r="L278" s="44" t="n">
        <v>0</v>
      </c>
      <c r="M278" s="44" t="n">
        <v>0</v>
      </c>
      <c r="N278" s="32" t="n">
        <v>0</v>
      </c>
      <c r="O278" s="44" t="n">
        <v>0</v>
      </c>
      <c r="P278" s="2" t="n">
        <v>0</v>
      </c>
      <c r="Q278" s="2" t="n">
        <v>29</v>
      </c>
      <c r="R278" s="2" t="n">
        <v>1</v>
      </c>
    </row>
    <row r="279">
      <c r="A279" t="inlineStr">
        <is>
          <t>Q2-Target,Optimized,WFS,Coupon_Discount,SeePriceInCart,WFS Item</t>
        </is>
      </c>
      <c r="B279" s="29" t="n">
        <v>0</v>
      </c>
      <c r="C279" s="30" t="n">
        <v>0</v>
      </c>
      <c r="D279" s="2" t="n">
        <v>0</v>
      </c>
      <c r="E279" s="31" t="n">
        <v>0</v>
      </c>
      <c r="F279" s="32" t="n">
        <v>0</v>
      </c>
      <c r="G279" s="32" t="n">
        <v>0</v>
      </c>
      <c r="H279" s="31" t="n">
        <v>0</v>
      </c>
      <c r="I279" s="32" t="n">
        <v>0</v>
      </c>
      <c r="J279" s="31" t="n">
        <v>0</v>
      </c>
      <c r="K279" s="31" t="n">
        <v>0</v>
      </c>
      <c r="L279" s="44" t="n">
        <v>0</v>
      </c>
      <c r="M279" s="44" t="n">
        <v>0</v>
      </c>
      <c r="N279" s="32" t="n">
        <v>0</v>
      </c>
      <c r="O279" s="44" t="n">
        <v>0</v>
      </c>
      <c r="P279" s="2" t="n">
        <v>2</v>
      </c>
      <c r="Q279" s="2" t="n">
        <v>25</v>
      </c>
      <c r="R279" s="2" t="n">
        <v>1</v>
      </c>
    </row>
    <row r="280">
      <c r="A280" t="inlineStr">
        <is>
          <t>Q2-Target,WFS,Valentine,Coupon_Discount,WFS Item</t>
        </is>
      </c>
      <c r="B280" s="29" t="n">
        <v>0</v>
      </c>
      <c r="C280" s="30" t="n">
        <v>0</v>
      </c>
      <c r="D280" s="2" t="n">
        <v>0</v>
      </c>
      <c r="E280" s="31" t="n">
        <v>0</v>
      </c>
      <c r="F280" s="32" t="n">
        <v>0</v>
      </c>
      <c r="G280" s="32" t="n">
        <v>0</v>
      </c>
      <c r="H280" s="31" t="n">
        <v>0</v>
      </c>
      <c r="I280" s="32" t="n">
        <v>0</v>
      </c>
      <c r="J280" s="31" t="n">
        <v>0</v>
      </c>
      <c r="K280" s="31" t="n">
        <v>0</v>
      </c>
      <c r="L280" s="44" t="n">
        <v>0</v>
      </c>
      <c r="M280" s="44" t="n">
        <v>0</v>
      </c>
      <c r="N280" s="32" t="n">
        <v>0</v>
      </c>
      <c r="O280" s="44" t="n">
        <v>0</v>
      </c>
      <c r="P280" s="2" t="n">
        <v>0</v>
      </c>
      <c r="Q280" s="2" t="n">
        <v>19</v>
      </c>
      <c r="R280" s="2" t="n">
        <v>1</v>
      </c>
    </row>
    <row r="281">
      <c r="A281" t="inlineStr">
        <is>
          <t>Q2-Target,WFS,SeePriceInCart,WFS Item,Fleece Blankets</t>
        </is>
      </c>
      <c r="B281" s="29" t="n">
        <v>0</v>
      </c>
      <c r="C281" s="30" t="n">
        <v>0</v>
      </c>
      <c r="D281" s="2" t="n">
        <v>0</v>
      </c>
      <c r="E281" s="31" t="n">
        <v>0</v>
      </c>
      <c r="F281" s="32" t="n">
        <v>0</v>
      </c>
      <c r="G281" s="32" t="n">
        <v>0</v>
      </c>
      <c r="H281" s="31" t="n">
        <v>0</v>
      </c>
      <c r="I281" s="32" t="n">
        <v>0</v>
      </c>
      <c r="J281" s="31" t="n">
        <v>0</v>
      </c>
      <c r="K281" s="31" t="n">
        <v>0</v>
      </c>
      <c r="L281" s="44" t="n">
        <v>1052</v>
      </c>
      <c r="M281" s="44" t="n">
        <v>0</v>
      </c>
      <c r="N281" s="32" t="n">
        <v>0</v>
      </c>
      <c r="O281" s="44" t="n">
        <v>0</v>
      </c>
      <c r="P281" s="2" t="n">
        <v>17</v>
      </c>
      <c r="Q281" s="2" t="n">
        <v>16</v>
      </c>
      <c r="R281" s="2" t="n">
        <v>1</v>
      </c>
    </row>
    <row r="282">
      <c r="A282" t="inlineStr">
        <is>
          <t>Q2-Target,Optimized,WFS,Valentine,Coupon_Discount,WFS Item</t>
        </is>
      </c>
      <c r="B282" s="29" t="n">
        <v>0</v>
      </c>
      <c r="C282" s="30" t="n">
        <v>0</v>
      </c>
      <c r="D282" s="2" t="n">
        <v>0</v>
      </c>
      <c r="E282" s="31" t="n">
        <v>0</v>
      </c>
      <c r="F282" s="32" t="n">
        <v>0</v>
      </c>
      <c r="G282" s="32" t="n">
        <v>0</v>
      </c>
      <c r="H282" s="31" t="n">
        <v>0</v>
      </c>
      <c r="I282" s="32" t="n">
        <v>0</v>
      </c>
      <c r="J282" s="31" t="n">
        <v>0</v>
      </c>
      <c r="K282" s="31" t="n">
        <v>0</v>
      </c>
      <c r="L282" s="44" t="n">
        <v>0</v>
      </c>
      <c r="M282" s="44" t="n">
        <v>0</v>
      </c>
      <c r="N282" s="32" t="n">
        <v>0</v>
      </c>
      <c r="O282" s="44" t="n">
        <v>0</v>
      </c>
      <c r="P282" s="2" t="n">
        <v>0</v>
      </c>
      <c r="Q282" s="2" t="n">
        <v>8</v>
      </c>
      <c r="R282" s="2" t="n">
        <v>1</v>
      </c>
    </row>
    <row r="283">
      <c r="A283" t="inlineStr">
        <is>
          <t>Q2-Target,WFS,SEM,WFS Item,Fleece Blankets</t>
        </is>
      </c>
      <c r="B283" s="29" t="n">
        <v>0</v>
      </c>
      <c r="C283" s="30" t="n">
        <v>0</v>
      </c>
      <c r="D283" s="2" t="n">
        <v>0</v>
      </c>
      <c r="E283" s="31" t="n">
        <v>0</v>
      </c>
      <c r="F283" s="32" t="n">
        <v>0</v>
      </c>
      <c r="G283" s="32" t="n">
        <v>0</v>
      </c>
      <c r="H283" s="31" t="n">
        <v>0</v>
      </c>
      <c r="I283" s="32" t="n">
        <v>0</v>
      </c>
      <c r="J283" s="31" t="n">
        <v>0</v>
      </c>
      <c r="K283" s="31" t="n">
        <v>0</v>
      </c>
      <c r="L283" s="44" t="n">
        <v>0</v>
      </c>
      <c r="M283" s="44" t="n">
        <v>0</v>
      </c>
      <c r="N283" s="32" t="n">
        <v>0</v>
      </c>
      <c r="O283" s="44" t="n">
        <v>0</v>
      </c>
      <c r="P283" s="2" t="n">
        <v>0</v>
      </c>
      <c r="Q283" s="2" t="n">
        <v>49</v>
      </c>
      <c r="R283" s="2" t="n">
        <v>1</v>
      </c>
    </row>
    <row r="284">
      <c r="A284" t="inlineStr">
        <is>
          <t>Optimized,WFS,Bathrobe,Coupon_Discount,WFS Item</t>
        </is>
      </c>
      <c r="B284" s="29" t="n">
        <v>0</v>
      </c>
      <c r="C284" s="30" t="n">
        <v>0</v>
      </c>
      <c r="D284" s="2" t="n">
        <v>0</v>
      </c>
      <c r="E284" s="31" t="n">
        <v>0</v>
      </c>
      <c r="F284" s="32" t="n">
        <v>0</v>
      </c>
      <c r="G284" s="32" t="n">
        <v>0</v>
      </c>
      <c r="H284" s="31" t="n">
        <v>0</v>
      </c>
      <c r="I284" s="32" t="n">
        <v>0</v>
      </c>
      <c r="J284" s="31" t="n">
        <v>0</v>
      </c>
      <c r="K284" s="31" t="n">
        <v>0</v>
      </c>
      <c r="L284" s="44" t="n">
        <v>0</v>
      </c>
      <c r="M284" s="44" t="n">
        <v>0</v>
      </c>
      <c r="N284" s="32" t="n">
        <v>0</v>
      </c>
      <c r="O284" s="44" t="n">
        <v>0</v>
      </c>
      <c r="P284" s="2" t="n">
        <v>0</v>
      </c>
      <c r="Q284" s="2" t="n">
        <v>32</v>
      </c>
      <c r="R284" s="2" t="n">
        <v>1</v>
      </c>
    </row>
    <row r="285">
      <c r="A285" t="inlineStr">
        <is>
          <t>Optimized,WFS Item</t>
        </is>
      </c>
      <c r="B285" s="29" t="n">
        <v>0</v>
      </c>
      <c r="C285" s="30" t="n">
        <v>0</v>
      </c>
      <c r="D285" s="2" t="n">
        <v>0</v>
      </c>
      <c r="E285" s="31" t="n">
        <v>0</v>
      </c>
      <c r="F285" s="32" t="n">
        <v>0</v>
      </c>
      <c r="G285" s="32" t="n">
        <v>0</v>
      </c>
      <c r="H285" s="31" t="n">
        <v>0</v>
      </c>
      <c r="I285" s="32" t="n">
        <v>0</v>
      </c>
      <c r="J285" s="31" t="n">
        <v>0</v>
      </c>
      <c r="K285" s="31" t="n">
        <v>0</v>
      </c>
      <c r="L285" s="44" t="n">
        <v>0</v>
      </c>
      <c r="M285" s="44" t="n">
        <v>0</v>
      </c>
      <c r="N285" s="32" t="n">
        <v>0</v>
      </c>
      <c r="O285" s="44" t="n">
        <v>0</v>
      </c>
      <c r="P285" s="2" t="n">
        <v>0</v>
      </c>
      <c r="Q285" s="2" t="n">
        <v>19</v>
      </c>
      <c r="R285" s="2" t="n">
        <v>1</v>
      </c>
    </row>
    <row r="286">
      <c r="A286" t="inlineStr">
        <is>
          <t>WFS,Bathrobe</t>
        </is>
      </c>
      <c r="B286" s="29" t="n">
        <v>0</v>
      </c>
      <c r="C286" s="30" t="n">
        <v>0</v>
      </c>
      <c r="D286" s="2" t="n">
        <v>0</v>
      </c>
      <c r="E286" s="31" t="n">
        <v>0</v>
      </c>
      <c r="F286" s="32" t="n">
        <v>0</v>
      </c>
      <c r="G286" s="32" t="n">
        <v>0</v>
      </c>
      <c r="H286" s="31" t="n">
        <v>0</v>
      </c>
      <c r="I286" s="32" t="n">
        <v>0</v>
      </c>
      <c r="J286" s="31" t="n">
        <v>0</v>
      </c>
      <c r="K286" s="31" t="n">
        <v>0</v>
      </c>
      <c r="L286" s="44" t="n">
        <v>0</v>
      </c>
      <c r="M286" s="44" t="n">
        <v>0</v>
      </c>
      <c r="N286" s="32" t="n">
        <v>0</v>
      </c>
      <c r="O286" s="44" t="n">
        <v>0</v>
      </c>
      <c r="P286" s="2" t="n">
        <v>0</v>
      </c>
      <c r="Q286" s="2" t="n">
        <v>1</v>
      </c>
      <c r="R286" s="2" t="n">
        <v>1</v>
      </c>
    </row>
    <row r="287">
      <c r="A287" t="inlineStr">
        <is>
          <t>Optimized,WFS Item,Fleece Blankets</t>
        </is>
      </c>
      <c r="B287" s="29" t="n">
        <v>0</v>
      </c>
      <c r="C287" s="30" t="n">
        <v>0</v>
      </c>
      <c r="D287" s="2" t="n">
        <v>0</v>
      </c>
      <c r="E287" s="31" t="n">
        <v>0</v>
      </c>
      <c r="F287" s="32" t="n">
        <v>0</v>
      </c>
      <c r="G287" s="32" t="n">
        <v>0</v>
      </c>
      <c r="H287" s="31" t="n">
        <v>0</v>
      </c>
      <c r="I287" s="32" t="n">
        <v>0</v>
      </c>
      <c r="J287" s="31" t="n">
        <v>0</v>
      </c>
      <c r="K287" s="31" t="n">
        <v>0</v>
      </c>
      <c r="L287" s="44" t="n">
        <v>0</v>
      </c>
      <c r="M287" s="44" t="n">
        <v>0</v>
      </c>
      <c r="N287" s="32" t="n">
        <v>0</v>
      </c>
      <c r="O287" s="44" t="n">
        <v>0</v>
      </c>
      <c r="P287" s="2" t="n">
        <v>0</v>
      </c>
      <c r="Q287" s="2" t="n">
        <v>6</v>
      </c>
      <c r="R287" s="2" t="n">
        <v>1</v>
      </c>
    </row>
    <row r="288">
      <c r="A288" t="inlineStr">
        <is>
          <t>Lunch Bag,WFS,Lunch Bags,SEM,WFS Item</t>
        </is>
      </c>
      <c r="B288" s="29" t="n">
        <v>0</v>
      </c>
      <c r="C288" s="30" t="n">
        <v>0</v>
      </c>
      <c r="D288" s="2" t="n">
        <v>0</v>
      </c>
      <c r="E288" s="31" t="n">
        <v>0</v>
      </c>
      <c r="F288" s="32" t="n">
        <v>0</v>
      </c>
      <c r="G288" s="32" t="n">
        <v>0</v>
      </c>
      <c r="H288" s="31" t="n">
        <v>0</v>
      </c>
      <c r="I288" s="32" t="n">
        <v>0</v>
      </c>
      <c r="J288" s="31" t="n">
        <v>0</v>
      </c>
      <c r="K288" s="31" t="n">
        <v>0</v>
      </c>
      <c r="L288" s="44" t="n">
        <v>0</v>
      </c>
      <c r="M288" s="44" t="n">
        <v>0</v>
      </c>
      <c r="N288" s="32" t="n">
        <v>0</v>
      </c>
      <c r="O288" s="44" t="n">
        <v>0</v>
      </c>
      <c r="P288" s="2" t="n">
        <v>0</v>
      </c>
      <c r="Q288" s="2" t="n">
        <v>0</v>
      </c>
      <c r="R288" s="2" t="n">
        <v>1</v>
      </c>
    </row>
    <row r="289">
      <c r="A289" t="inlineStr">
        <is>
          <t>Q2-Target,WFS,Coupon_Discount,cost-added,WFS Item</t>
        </is>
      </c>
      <c r="B289" s="29" t="n">
        <v>0</v>
      </c>
      <c r="C289" s="30" t="n">
        <v>0</v>
      </c>
      <c r="D289" s="2" t="n">
        <v>0</v>
      </c>
      <c r="E289" s="31" t="n">
        <v>0</v>
      </c>
      <c r="F289" s="32" t="n">
        <v>0</v>
      </c>
      <c r="G289" s="32" t="n">
        <v>0</v>
      </c>
      <c r="H289" s="31" t="n">
        <v>0</v>
      </c>
      <c r="I289" s="32" t="n">
        <v>0</v>
      </c>
      <c r="J289" s="31" t="n">
        <v>0</v>
      </c>
      <c r="K289" s="31" t="n">
        <v>0</v>
      </c>
      <c r="L289" s="44" t="n">
        <v>0</v>
      </c>
      <c r="M289" s="44" t="n">
        <v>0</v>
      </c>
      <c r="N289" s="32" t="n">
        <v>0</v>
      </c>
      <c r="O289" s="44" t="n">
        <v>0</v>
      </c>
      <c r="P289" s="2" t="n">
        <v>0</v>
      </c>
      <c r="Q289" s="2" t="n">
        <v>128</v>
      </c>
      <c r="R289" s="2" t="n">
        <v>2</v>
      </c>
    </row>
    <row r="290">
      <c r="A290" t="inlineStr">
        <is>
          <t>Optimized,Bathrobe,WFS Item</t>
        </is>
      </c>
      <c r="B290" s="29" t="n">
        <v>0</v>
      </c>
      <c r="C290" s="30" t="n">
        <v>0</v>
      </c>
      <c r="D290" s="2" t="n">
        <v>0</v>
      </c>
      <c r="E290" s="31" t="n">
        <v>0</v>
      </c>
      <c r="F290" s="32" t="n">
        <v>0</v>
      </c>
      <c r="G290" s="32" t="n">
        <v>0</v>
      </c>
      <c r="H290" s="31" t="n">
        <v>0</v>
      </c>
      <c r="I290" s="32" t="n">
        <v>0</v>
      </c>
      <c r="J290" s="31" t="n">
        <v>0</v>
      </c>
      <c r="K290" s="31" t="n">
        <v>0</v>
      </c>
      <c r="L290" s="44" t="n">
        <v>0</v>
      </c>
      <c r="M290" s="44" t="n">
        <v>0</v>
      </c>
      <c r="N290" s="32" t="n">
        <v>0</v>
      </c>
      <c r="O290" s="44" t="n">
        <v>0</v>
      </c>
      <c r="P290" s="2" t="n">
        <v>0</v>
      </c>
      <c r="Q290" s="2" t="n">
        <v>0</v>
      </c>
      <c r="R290" s="2" t="n">
        <v>1</v>
      </c>
    </row>
    <row r="291">
      <c r="A291" t="inlineStr">
        <is>
          <t>Wine,Batch 1 - TR</t>
        </is>
      </c>
      <c r="B291" s="29" t="n">
        <v>0</v>
      </c>
      <c r="C291" s="30" t="n">
        <v>0</v>
      </c>
      <c r="D291" s="2" t="n">
        <v>0</v>
      </c>
      <c r="E291" s="31" t="n">
        <v>2.36</v>
      </c>
      <c r="F291" s="32" t="n">
        <v>0.0003</v>
      </c>
      <c r="G291" s="32" t="n">
        <v>0</v>
      </c>
      <c r="H291" s="31" t="n">
        <v>0</v>
      </c>
      <c r="I291" s="32" t="n">
        <v>0</v>
      </c>
      <c r="J291" s="31" t="n">
        <v>0</v>
      </c>
      <c r="K291" s="31" t="n">
        <v>0</v>
      </c>
      <c r="L291" s="44" t="n">
        <v>1707</v>
      </c>
      <c r="M291" s="44" t="n">
        <v>6</v>
      </c>
      <c r="N291" s="32" t="n">
        <v>0.0035</v>
      </c>
      <c r="O291" s="44" t="n">
        <v>0</v>
      </c>
      <c r="P291" s="2" t="n">
        <v>0</v>
      </c>
      <c r="Q291" s="2" t="n">
        <v>119</v>
      </c>
      <c r="R291" s="2" t="n">
        <v>3</v>
      </c>
    </row>
    <row r="292">
      <c r="A292" t="inlineStr">
        <is>
          <t>WFS,cost-added,WFS Item</t>
        </is>
      </c>
      <c r="B292" s="29" t="n">
        <v>0</v>
      </c>
      <c r="C292" s="30" t="n">
        <v>0</v>
      </c>
      <c r="D292" s="2" t="n">
        <v>0</v>
      </c>
      <c r="E292" s="31" t="n">
        <v>0</v>
      </c>
      <c r="F292" s="32" t="n">
        <v>0</v>
      </c>
      <c r="G292" s="32" t="n">
        <v>0</v>
      </c>
      <c r="H292" s="31" t="n">
        <v>0</v>
      </c>
      <c r="I292" s="32" t="n">
        <v>0</v>
      </c>
      <c r="J292" s="31" t="n">
        <v>0</v>
      </c>
      <c r="K292" s="31" t="n">
        <v>0</v>
      </c>
      <c r="L292" s="44" t="n">
        <v>0</v>
      </c>
      <c r="M292" s="44" t="n">
        <v>0</v>
      </c>
      <c r="N292" s="32" t="n">
        <v>0</v>
      </c>
      <c r="O292" s="44" t="n">
        <v>0</v>
      </c>
      <c r="P292" s="2" t="n">
        <v>0</v>
      </c>
      <c r="Q292" s="2" t="n">
        <v>54</v>
      </c>
      <c r="R292" s="2" t="n">
        <v>3</v>
      </c>
    </row>
    <row r="293">
      <c r="A293" t="inlineStr">
        <is>
          <t>WFS,cost-added,WFS Item,Fleece Blankets</t>
        </is>
      </c>
      <c r="B293" s="29" t="n">
        <v>0</v>
      </c>
      <c r="C293" s="30" t="n">
        <v>0</v>
      </c>
      <c r="D293" s="2" t="n">
        <v>0</v>
      </c>
      <c r="E293" s="31" t="n">
        <v>0</v>
      </c>
      <c r="F293" s="32" t="n">
        <v>0</v>
      </c>
      <c r="G293" s="32" t="n">
        <v>0</v>
      </c>
      <c r="H293" s="31" t="n">
        <v>0</v>
      </c>
      <c r="I293" s="32" t="n">
        <v>0</v>
      </c>
      <c r="J293" s="31" t="n">
        <v>0</v>
      </c>
      <c r="K293" s="31" t="n">
        <v>0</v>
      </c>
      <c r="L293" s="44" t="n">
        <v>0</v>
      </c>
      <c r="M293" s="44" t="n">
        <v>0</v>
      </c>
      <c r="N293" s="32" t="n">
        <v>0</v>
      </c>
      <c r="O293" s="44" t="n">
        <v>0</v>
      </c>
      <c r="P293" s="2" t="n">
        <v>0</v>
      </c>
      <c r="Q293" s="2" t="n">
        <v>36</v>
      </c>
      <c r="R293" s="2" t="n">
        <v>1</v>
      </c>
    </row>
    <row r="294">
      <c r="A294" t="inlineStr">
        <is>
          <t>Optimized,Hero 5 Holidays,Coupon_Discount</t>
        </is>
      </c>
      <c r="B294" s="29" t="n">
        <v>0</v>
      </c>
      <c r="C294" s="30" t="n">
        <v>0</v>
      </c>
      <c r="D294" s="2" t="n">
        <v>0</v>
      </c>
      <c r="E294" s="31" t="n">
        <v>2.620000000000001</v>
      </c>
      <c r="F294" s="32" t="n">
        <v>0.0003</v>
      </c>
      <c r="G294" s="32" t="n">
        <v>0</v>
      </c>
      <c r="H294" s="31" t="n">
        <v>19.84</v>
      </c>
      <c r="I294" s="32" t="n">
        <v>0.05</v>
      </c>
      <c r="J294" s="31" t="n">
        <v>51.98</v>
      </c>
      <c r="K294" s="31" t="n">
        <v>51.98</v>
      </c>
      <c r="L294" s="44" t="n">
        <v>6749</v>
      </c>
      <c r="M294" s="44" t="n">
        <v>10</v>
      </c>
      <c r="N294" s="32" t="n">
        <v>0.0015</v>
      </c>
      <c r="O294" s="44" t="n">
        <v>2</v>
      </c>
      <c r="P294" s="2" t="n">
        <v>0</v>
      </c>
      <c r="Q294" s="2" t="n">
        <v>25</v>
      </c>
      <c r="R294" s="2" t="n">
        <v>1</v>
      </c>
    </row>
    <row r="295">
      <c r="A295" t="inlineStr">
        <is>
          <t>Optimized,Hero 5 Holidays,WFS,Coupon_Discount,WFS Item</t>
        </is>
      </c>
      <c r="B295" s="29" t="n">
        <v>0</v>
      </c>
      <c r="C295" s="30" t="n">
        <v>0</v>
      </c>
      <c r="D295" s="2" t="n">
        <v>0</v>
      </c>
      <c r="E295" s="31" t="n">
        <v>0.2</v>
      </c>
      <c r="F295" s="32" t="n">
        <v>0</v>
      </c>
      <c r="G295" s="32" t="n">
        <v>0</v>
      </c>
      <c r="H295" s="31" t="n">
        <v>0</v>
      </c>
      <c r="I295" s="32" t="n">
        <v>0</v>
      </c>
      <c r="J295" s="31" t="n">
        <v>0</v>
      </c>
      <c r="K295" s="31" t="n">
        <v>0</v>
      </c>
      <c r="L295" s="44" t="n">
        <v>1489</v>
      </c>
      <c r="M295" s="44" t="n">
        <v>1</v>
      </c>
      <c r="N295" s="32" t="n">
        <v>0.0007</v>
      </c>
      <c r="O295" s="44" t="n">
        <v>0</v>
      </c>
      <c r="P295" s="2" t="n">
        <v>0</v>
      </c>
      <c r="Q295" s="2" t="n">
        <v>31</v>
      </c>
      <c r="R295" s="2" t="n">
        <v>1</v>
      </c>
    </row>
    <row r="296">
      <c r="A296" t="inlineStr">
        <is>
          <t>cost-added</t>
        </is>
      </c>
      <c r="B296" s="29" t="n">
        <v>0</v>
      </c>
      <c r="C296" s="30" t="n">
        <v>0</v>
      </c>
      <c r="D296" s="2" t="n">
        <v>0</v>
      </c>
      <c r="E296" s="31" t="n">
        <v>0</v>
      </c>
      <c r="F296" s="32" t="n">
        <v>0</v>
      </c>
      <c r="G296" s="32" t="n">
        <v>0</v>
      </c>
      <c r="H296" s="31" t="n">
        <v>0</v>
      </c>
      <c r="I296" s="32" t="n">
        <v>0</v>
      </c>
      <c r="J296" s="31" t="n">
        <v>0</v>
      </c>
      <c r="K296" s="31" t="n">
        <v>0</v>
      </c>
      <c r="L296" s="44" t="n">
        <v>0</v>
      </c>
      <c r="M296" s="44" t="n">
        <v>0</v>
      </c>
      <c r="N296" s="32" t="n">
        <v>0</v>
      </c>
      <c r="O296" s="44" t="n">
        <v>0</v>
      </c>
      <c r="P296" s="2" t="n">
        <v>0</v>
      </c>
      <c r="Q296" s="2" t="n">
        <v>5</v>
      </c>
      <c r="R296" s="2" t="n">
        <v>1</v>
      </c>
    </row>
    <row r="297">
      <c r="A297" t="inlineStr">
        <is>
          <t>WFS,Valentine,Coupon_Discount,WFS Item,Fleece Blankets</t>
        </is>
      </c>
      <c r="B297" s="29" t="n">
        <v>0</v>
      </c>
      <c r="C297" s="30" t="n">
        <v>0</v>
      </c>
      <c r="D297" s="2" t="n">
        <v>0</v>
      </c>
      <c r="E297" s="31" t="n">
        <v>0</v>
      </c>
      <c r="F297" s="32" t="n">
        <v>0</v>
      </c>
      <c r="G297" s="32" t="n">
        <v>0</v>
      </c>
      <c r="H297" s="31" t="n">
        <v>0</v>
      </c>
      <c r="I297" s="32" t="n">
        <v>0</v>
      </c>
      <c r="J297" s="31" t="n">
        <v>0</v>
      </c>
      <c r="K297" s="31" t="n">
        <v>0</v>
      </c>
      <c r="L297" s="44" t="n">
        <v>0</v>
      </c>
      <c r="M297" s="44" t="n">
        <v>0</v>
      </c>
      <c r="N297" s="32" t="n">
        <v>0</v>
      </c>
      <c r="O297" s="44" t="n">
        <v>0</v>
      </c>
      <c r="P297" s="2" t="n">
        <v>0</v>
      </c>
      <c r="Q297" s="2" t="n">
        <v>6</v>
      </c>
      <c r="R297" s="2" t="n">
        <v>1</v>
      </c>
    </row>
    <row r="298">
      <c r="A298" t="inlineStr">
        <is>
          <t>WFS,SEM,WFS Item</t>
        </is>
      </c>
      <c r="B298" s="29" t="n">
        <v>0</v>
      </c>
      <c r="C298" s="30" t="n">
        <v>0</v>
      </c>
      <c r="D298" s="2" t="n">
        <v>0</v>
      </c>
      <c r="E298" s="31" t="n">
        <v>0</v>
      </c>
      <c r="F298" s="32" t="n">
        <v>0</v>
      </c>
      <c r="G298" s="32" t="n">
        <v>0</v>
      </c>
      <c r="H298" s="31" t="n">
        <v>0</v>
      </c>
      <c r="I298" s="32" t="n">
        <v>0</v>
      </c>
      <c r="J298" s="31" t="n">
        <v>0</v>
      </c>
      <c r="K298" s="31" t="n">
        <v>0</v>
      </c>
      <c r="L298" s="44" t="n">
        <v>0</v>
      </c>
      <c r="M298" s="44" t="n">
        <v>0</v>
      </c>
      <c r="N298" s="32" t="n">
        <v>0</v>
      </c>
      <c r="O298" s="44" t="n">
        <v>0</v>
      </c>
      <c r="P298" s="2" t="n">
        <v>0</v>
      </c>
      <c r="Q298" s="2" t="n">
        <v>26</v>
      </c>
      <c r="R298" s="2" t="n">
        <v>2</v>
      </c>
    </row>
    <row r="299">
      <c r="A299" t="inlineStr">
        <is>
          <t>Optimized,Hero 5 Holidays</t>
        </is>
      </c>
      <c r="B299" s="29" t="n">
        <v>0</v>
      </c>
      <c r="C299" s="30" t="n">
        <v>0</v>
      </c>
      <c r="D299" s="2" t="n">
        <v>0</v>
      </c>
      <c r="E299" s="31" t="n">
        <v>2.8</v>
      </c>
      <c r="F299" s="32" t="n">
        <v>0.0003</v>
      </c>
      <c r="G299" s="32" t="n">
        <v>0</v>
      </c>
      <c r="H299" s="31" t="n">
        <v>0</v>
      </c>
      <c r="I299" s="32" t="n">
        <v>0</v>
      </c>
      <c r="J299" s="31" t="n">
        <v>0</v>
      </c>
      <c r="K299" s="31" t="n">
        <v>0</v>
      </c>
      <c r="L299" s="44" t="n">
        <v>3210</v>
      </c>
      <c r="M299" s="44" t="n">
        <v>8</v>
      </c>
      <c r="N299" s="32" t="n">
        <v>0.0025</v>
      </c>
      <c r="O299" s="44" t="n">
        <v>0</v>
      </c>
      <c r="P299" s="2" t="n">
        <v>0</v>
      </c>
      <c r="Q299" s="2" t="n">
        <v>25</v>
      </c>
      <c r="R299" s="2" t="n">
        <v>1</v>
      </c>
    </row>
    <row r="300">
      <c r="A300" t="inlineStr">
        <is>
          <t>WFS,High AUR Items,WFS Item</t>
        </is>
      </c>
      <c r="B300" s="29" t="n">
        <v>0</v>
      </c>
      <c r="C300" s="30" t="n">
        <v>0</v>
      </c>
      <c r="D300" s="2" t="n">
        <v>0</v>
      </c>
      <c r="E300" s="31" t="n">
        <v>0</v>
      </c>
      <c r="F300" s="32" t="n">
        <v>0</v>
      </c>
      <c r="G300" s="32" t="n">
        <v>0</v>
      </c>
      <c r="H300" s="31" t="n">
        <v>0</v>
      </c>
      <c r="I300" s="32" t="n">
        <v>0</v>
      </c>
      <c r="J300" s="31" t="n">
        <v>0</v>
      </c>
      <c r="K300" s="31" t="n">
        <v>0</v>
      </c>
      <c r="L300" s="44" t="n">
        <v>0</v>
      </c>
      <c r="M300" s="44" t="n">
        <v>0</v>
      </c>
      <c r="N300" s="32" t="n">
        <v>0</v>
      </c>
      <c r="O300" s="44" t="n">
        <v>0</v>
      </c>
      <c r="P300" s="2" t="n">
        <v>76</v>
      </c>
      <c r="Q300" s="2" t="n">
        <v>154</v>
      </c>
      <c r="R300" s="2" t="n">
        <v>2</v>
      </c>
    </row>
    <row r="301">
      <c r="A301" t="inlineStr">
        <is>
          <t>Optimized,Quilt_Vinay</t>
        </is>
      </c>
      <c r="B301" s="29" t="n">
        <v>0</v>
      </c>
      <c r="C301" s="30" t="n">
        <v>0</v>
      </c>
      <c r="D301" s="2" t="n">
        <v>0</v>
      </c>
      <c r="E301" s="31" t="n">
        <v>0</v>
      </c>
      <c r="F301" s="32" t="n">
        <v>0</v>
      </c>
      <c r="G301" s="32" t="n">
        <v>0</v>
      </c>
      <c r="H301" s="31" t="n">
        <v>0</v>
      </c>
      <c r="I301" s="32" t="n">
        <v>0</v>
      </c>
      <c r="J301" s="31" t="n">
        <v>0</v>
      </c>
      <c r="K301" s="31" t="n">
        <v>0</v>
      </c>
      <c r="L301" s="44" t="n">
        <v>0</v>
      </c>
      <c r="M301" s="44" t="n">
        <v>0</v>
      </c>
      <c r="N301" s="32" t="n">
        <v>0</v>
      </c>
      <c r="O301" s="44" t="n">
        <v>0</v>
      </c>
      <c r="P301" s="2" t="n">
        <v>0</v>
      </c>
      <c r="Q301" s="2" t="n">
        <v>30</v>
      </c>
      <c r="R301" s="2" t="n">
        <v>2</v>
      </c>
    </row>
    <row r="302">
      <c r="A302" t="inlineStr">
        <is>
          <t>Optimized,SEM,Quilt_Vinay</t>
        </is>
      </c>
      <c r="B302" s="29" t="n">
        <v>0</v>
      </c>
      <c r="C302" s="30" t="n">
        <v>0</v>
      </c>
      <c r="D302" s="2" t="n">
        <v>0</v>
      </c>
      <c r="E302" s="31" t="n">
        <v>0</v>
      </c>
      <c r="F302" s="32" t="n">
        <v>0</v>
      </c>
      <c r="G302" s="32" t="n">
        <v>0</v>
      </c>
      <c r="H302" s="31" t="n">
        <v>0</v>
      </c>
      <c r="I302" s="32" t="n">
        <v>0</v>
      </c>
      <c r="J302" s="31" t="n">
        <v>0</v>
      </c>
      <c r="K302" s="31" t="n">
        <v>0</v>
      </c>
      <c r="L302" s="44" t="n">
        <v>0</v>
      </c>
      <c r="M302" s="44" t="n">
        <v>0</v>
      </c>
      <c r="N302" s="32" t="n">
        <v>0</v>
      </c>
      <c r="O302" s="44" t="n">
        <v>0</v>
      </c>
      <c r="P302" s="2" t="n">
        <v>0</v>
      </c>
      <c r="Q302" s="2" t="n">
        <v>32</v>
      </c>
      <c r="R302" s="2" t="n">
        <v>2</v>
      </c>
    </row>
    <row r="303">
      <c r="A303" t="inlineStr">
        <is>
          <t>Optimized,Valentine,Bathrobe</t>
        </is>
      </c>
      <c r="B303" s="29" t="n">
        <v>0</v>
      </c>
      <c r="C303" s="30" t="n">
        <v>0</v>
      </c>
      <c r="D303" s="2" t="n">
        <v>0</v>
      </c>
      <c r="E303" s="31" t="n">
        <v>0</v>
      </c>
      <c r="F303" s="32" t="n">
        <v>0</v>
      </c>
      <c r="G303" s="32" t="n">
        <v>0</v>
      </c>
      <c r="H303" s="31" t="n">
        <v>0</v>
      </c>
      <c r="I303" s="32" t="n">
        <v>0</v>
      </c>
      <c r="J303" s="31" t="n">
        <v>0</v>
      </c>
      <c r="K303" s="31" t="n">
        <v>0</v>
      </c>
      <c r="L303" s="44" t="n">
        <v>0</v>
      </c>
      <c r="M303" s="44" t="n">
        <v>0</v>
      </c>
      <c r="N303" s="32" t="n">
        <v>0</v>
      </c>
      <c r="O303" s="44" t="n">
        <v>0</v>
      </c>
      <c r="P303" s="2" t="n">
        <v>0</v>
      </c>
      <c r="Q303" s="2" t="n">
        <v>45</v>
      </c>
      <c r="R303" s="2" t="n">
        <v>4</v>
      </c>
    </row>
    <row r="304">
      <c r="A304" t="inlineStr">
        <is>
          <t>WFS,Coupon_Discount,WFS Item,ST Patrick Day</t>
        </is>
      </c>
      <c r="B304" s="29" t="n">
        <v>0</v>
      </c>
      <c r="C304" s="30" t="n">
        <v>0</v>
      </c>
      <c r="D304" s="2" t="n">
        <v>0</v>
      </c>
      <c r="E304" s="31" t="n">
        <v>0</v>
      </c>
      <c r="F304" s="32" t="n">
        <v>0</v>
      </c>
      <c r="G304" s="32" t="n">
        <v>0</v>
      </c>
      <c r="H304" s="31" t="n">
        <v>0</v>
      </c>
      <c r="I304" s="32" t="n">
        <v>0</v>
      </c>
      <c r="J304" s="31" t="n">
        <v>0</v>
      </c>
      <c r="K304" s="31" t="n">
        <v>0</v>
      </c>
      <c r="L304" s="44" t="n">
        <v>0</v>
      </c>
      <c r="M304" s="44" t="n">
        <v>0</v>
      </c>
      <c r="N304" s="32" t="n">
        <v>0</v>
      </c>
      <c r="O304" s="44" t="n">
        <v>0</v>
      </c>
      <c r="P304" s="2" t="n">
        <v>0</v>
      </c>
      <c r="Q304" s="2" t="n">
        <v>0</v>
      </c>
      <c r="R304" s="2" t="n">
        <v>1</v>
      </c>
    </row>
    <row r="305">
      <c r="A305" t="inlineStr">
        <is>
          <t>Christmas,Optimized</t>
        </is>
      </c>
      <c r="B305" s="29" t="n">
        <v>-25.99</v>
      </c>
      <c r="C305" s="30" t="n">
        <v>-0.0002</v>
      </c>
      <c r="D305" s="2" t="n">
        <v>-1</v>
      </c>
      <c r="E305" s="31" t="n">
        <v>0</v>
      </c>
      <c r="F305" s="32" t="n">
        <v>0</v>
      </c>
      <c r="G305" s="32" t="n">
        <v>0</v>
      </c>
      <c r="H305" s="31" t="n">
        <v>0</v>
      </c>
      <c r="I305" s="32" t="n">
        <v>0</v>
      </c>
      <c r="J305" s="31" t="n">
        <v>0</v>
      </c>
      <c r="K305" s="31" t="n">
        <v>0</v>
      </c>
      <c r="L305" s="44" t="n">
        <v>0</v>
      </c>
      <c r="M305" s="44" t="n">
        <v>0</v>
      </c>
      <c r="N305" s="32" t="n">
        <v>0</v>
      </c>
      <c r="O305" s="44" t="n">
        <v>0</v>
      </c>
      <c r="P305" s="2" t="n">
        <v>101</v>
      </c>
      <c r="Q305" s="2" t="n">
        <v>30</v>
      </c>
      <c r="R305" s="2" t="n">
        <v>5</v>
      </c>
    </row>
    <row r="306">
      <c r="A306" t="inlineStr">
        <is>
          <t>Baby days,WFS,WFS Item</t>
        </is>
      </c>
      <c r="B306" s="29" t="n">
        <v>-29.96</v>
      </c>
      <c r="C306" s="30" t="n">
        <v>-0.0003</v>
      </c>
      <c r="D306" s="2" t="n">
        <v>-2</v>
      </c>
      <c r="E306" s="31" t="n">
        <v>0</v>
      </c>
      <c r="F306" s="32" t="n">
        <v>0</v>
      </c>
      <c r="G306" s="32" t="n">
        <v>0</v>
      </c>
      <c r="H306" s="31" t="n">
        <v>0</v>
      </c>
      <c r="I306" s="32" t="n">
        <v>0</v>
      </c>
      <c r="J306" s="31" t="n">
        <v>0</v>
      </c>
      <c r="K306" s="31" t="n">
        <v>0</v>
      </c>
      <c r="L306" s="44" t="n">
        <v>0</v>
      </c>
      <c r="M306" s="44" t="n">
        <v>0</v>
      </c>
      <c r="N306" s="32" t="n">
        <v>0</v>
      </c>
      <c r="O306" s="44" t="n">
        <v>0</v>
      </c>
      <c r="P306" s="2" t="n">
        <v>12</v>
      </c>
      <c r="Q306" s="2" t="n">
        <v>139</v>
      </c>
      <c r="R306" s="2" t="n">
        <v>3</v>
      </c>
    </row>
  </sheetData>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BF2521"/>
  <sheetViews>
    <sheetView workbookViewId="0">
      <pane xSplit="1" ySplit="3" topLeftCell="B4" activePane="bottomRight" state="frozen"/>
      <selection pane="topRight" activeCell="A1" sqref="A1"/>
      <selection pane="bottomLeft" activeCell="A1" sqref="A1"/>
      <selection pane="bottomRight" activeCell="H18" sqref="H18"/>
    </sheetView>
  </sheetViews>
  <sheetFormatPr baseColWidth="10" defaultColWidth="8.83203125" defaultRowHeight="15"/>
  <cols>
    <col width="13" customWidth="1" min="19" max="19"/>
  </cols>
  <sheetData>
    <row r="1">
      <c r="A1" s="54" t="n"/>
      <c r="B1" s="54" t="n"/>
      <c r="C1" s="54" t="n"/>
      <c r="D1" s="54" t="n"/>
      <c r="E1" s="54" t="n"/>
      <c r="F1" s="54" t="inlineStr">
        <is>
          <t>Tags</t>
        </is>
      </c>
      <c r="G1" s="54" t="inlineStr">
        <is>
          <t>Week 19 (2025-05-05 - 2025-05-11)</t>
        </is>
      </c>
      <c r="H1" s="55" t="n"/>
      <c r="I1" s="55" t="n"/>
      <c r="J1" s="55" t="n"/>
      <c r="K1" s="55" t="n"/>
      <c r="L1" s="55" t="n"/>
      <c r="M1" s="55" t="n"/>
      <c r="N1" s="55" t="n"/>
      <c r="O1" s="55" t="n"/>
      <c r="P1" s="55" t="n"/>
      <c r="Q1" s="55" t="n"/>
      <c r="R1" s="55" t="n"/>
      <c r="S1" s="56" t="n"/>
      <c r="T1" s="54" t="inlineStr">
        <is>
          <t>Week 18 (2025-04-28 - 2025-05-04)</t>
        </is>
      </c>
      <c r="U1" s="55" t="n"/>
      <c r="V1" s="55" t="n"/>
      <c r="W1" s="55" t="n"/>
      <c r="X1" s="55" t="n"/>
      <c r="Y1" s="55" t="n"/>
      <c r="Z1" s="55" t="n"/>
      <c r="AA1" s="55" t="n"/>
      <c r="AB1" s="55" t="n"/>
      <c r="AC1" s="55" t="n"/>
      <c r="AD1" s="55" t="n"/>
      <c r="AE1" s="55" t="n"/>
      <c r="AF1" s="56" t="n"/>
      <c r="AG1" s="54" t="inlineStr">
        <is>
          <t>Week 17 (2025-04-21 - 2025-04-27)</t>
        </is>
      </c>
      <c r="AH1" s="55" t="n"/>
      <c r="AI1" s="55" t="n"/>
      <c r="AJ1" s="55" t="n"/>
      <c r="AK1" s="55" t="n"/>
      <c r="AL1" s="55" t="n"/>
      <c r="AM1" s="55" t="n"/>
      <c r="AN1" s="55" t="n"/>
      <c r="AO1" s="55" t="n"/>
      <c r="AP1" s="55" t="n"/>
      <c r="AQ1" s="55" t="n"/>
      <c r="AR1" s="55" t="n"/>
      <c r="AS1" s="56" t="n"/>
      <c r="AT1" s="54" t="inlineStr">
        <is>
          <t>Week 16 (2025-04-14 - 2025-04-20)</t>
        </is>
      </c>
      <c r="AU1" s="55" t="n"/>
      <c r="AV1" s="55" t="n"/>
      <c r="AW1" s="55" t="n"/>
      <c r="AX1" s="55" t="n"/>
      <c r="AY1" s="55" t="n"/>
      <c r="AZ1" s="55" t="n"/>
      <c r="BA1" s="55" t="n"/>
      <c r="BB1" s="55" t="n"/>
      <c r="BC1" s="55" t="n"/>
      <c r="BD1" s="55" t="n"/>
      <c r="BE1" s="55" t="n"/>
      <c r="BF1" s="56" t="n"/>
    </row>
    <row r="2">
      <c r="G2" s="13">
        <f>SUBTOTAL(9, G3:G2521)</f>
        <v/>
      </c>
      <c r="H2" s="45">
        <f>SUBTOTAL(9, H3:H2521)</f>
        <v/>
      </c>
      <c r="I2" s="45">
        <f>SUBTOTAL(9, I3:I2521)</f>
        <v/>
      </c>
      <c r="J2" s="46">
        <f>H2/I2</f>
        <v/>
      </c>
      <c r="K2" s="47">
        <f>SUBTOTAL(9, K3:K2521)</f>
        <v/>
      </c>
      <c r="L2" s="15">
        <f>SUBTOTAL(9, L3:L2521)</f>
        <v/>
      </c>
      <c r="M2" s="15">
        <f>SUBTOTAL(9, M3:M2521)</f>
        <v/>
      </c>
      <c r="N2" s="15">
        <f>M2/L2</f>
        <v/>
      </c>
      <c r="O2" s="16">
        <f>K2/S2</f>
        <v/>
      </c>
      <c r="P2" s="15">
        <f>L2/K2</f>
        <v/>
      </c>
      <c r="Q2" s="16">
        <f>L2/G2</f>
        <v/>
      </c>
      <c r="R2" s="15">
        <f>SUBTOTAL(9, R3:R2521)</f>
        <v/>
      </c>
      <c r="S2" s="47">
        <f>SUBTOTAL(9, S3:S2521)</f>
        <v/>
      </c>
      <c r="T2" s="13">
        <f>SUBTOTAL(9, T3:T2521)</f>
        <v/>
      </c>
      <c r="U2" s="45">
        <f>SUBTOTAL(9, U3:U2521)</f>
        <v/>
      </c>
      <c r="V2" s="45">
        <f>SUBTOTAL(9, V3:V2521)</f>
        <v/>
      </c>
      <c r="W2" s="46">
        <f>U2/V2</f>
        <v/>
      </c>
      <c r="X2" s="47">
        <f>SUBTOTAL(9, X3:X2521)</f>
        <v/>
      </c>
      <c r="Y2" s="15">
        <f>SUBTOTAL(9, Y3:Y2521)</f>
        <v/>
      </c>
      <c r="Z2" s="15">
        <f>SUBTOTAL(9, Z3:Z2521)</f>
        <v/>
      </c>
      <c r="AA2" s="15">
        <f>Z2/Y2</f>
        <v/>
      </c>
      <c r="AB2" s="16">
        <f>X2/AF2</f>
        <v/>
      </c>
      <c r="AC2" s="15">
        <f>Y2/X2</f>
        <v/>
      </c>
      <c r="AD2" s="16">
        <f>Y2/T2</f>
        <v/>
      </c>
      <c r="AE2" s="15">
        <f>SUBTOTAL(9, AE3:AE2521)</f>
        <v/>
      </c>
      <c r="AF2" s="47">
        <f>SUBTOTAL(9, AF3:AF2521)</f>
        <v/>
      </c>
      <c r="AG2" s="13">
        <f>SUBTOTAL(9, AG3:AG2521)</f>
        <v/>
      </c>
      <c r="AH2" s="45">
        <f>SUBTOTAL(9, AH3:AH2521)</f>
        <v/>
      </c>
      <c r="AI2" s="45">
        <f>SUBTOTAL(9, AI3:AI2521)</f>
        <v/>
      </c>
      <c r="AJ2" s="46">
        <f>AH2/AI2</f>
        <v/>
      </c>
      <c r="AK2" s="47">
        <f>SUBTOTAL(9, AK3:AK2521)</f>
        <v/>
      </c>
      <c r="AL2" s="15">
        <f>SUBTOTAL(9, AL3:AL2521)</f>
        <v/>
      </c>
      <c r="AM2" s="15">
        <f>SUBTOTAL(9, AM3:AM2521)</f>
        <v/>
      </c>
      <c r="AN2" s="15">
        <f>AM2/AL2</f>
        <v/>
      </c>
      <c r="AO2" s="16">
        <f>AK2/AS2</f>
        <v/>
      </c>
      <c r="AP2" s="15">
        <f>AL2/AK2</f>
        <v/>
      </c>
      <c r="AQ2" s="16">
        <f>AL2/AG2</f>
        <v/>
      </c>
      <c r="AR2" s="15">
        <f>SUBTOTAL(9, AR3:AR2521)</f>
        <v/>
      </c>
      <c r="AS2" s="47">
        <f>SUBTOTAL(9, AS3:AS2521)</f>
        <v/>
      </c>
      <c r="AT2" s="13">
        <f>SUBTOTAL(9, AT3:AT2521)</f>
        <v/>
      </c>
      <c r="AU2" s="45">
        <f>SUBTOTAL(9, AU3:AU2521)</f>
        <v/>
      </c>
      <c r="AV2" s="45">
        <f>SUBTOTAL(9, AV3:AV2521)</f>
        <v/>
      </c>
      <c r="AW2" s="46">
        <f>AU2/AV2</f>
        <v/>
      </c>
      <c r="AX2" s="47">
        <f>SUBTOTAL(9, AX3:AX2521)</f>
        <v/>
      </c>
      <c r="AY2" s="15">
        <f>SUBTOTAL(9, AY3:AY2521)</f>
        <v/>
      </c>
      <c r="AZ2" s="15">
        <f>SUBTOTAL(9, AZ3:AZ2521)</f>
        <v/>
      </c>
      <c r="BA2" s="15">
        <f>AZ2/AY2</f>
        <v/>
      </c>
      <c r="BB2" s="16">
        <f>AX2/BF2</f>
        <v/>
      </c>
      <c r="BC2" s="15">
        <f>AY2/AX2</f>
        <v/>
      </c>
      <c r="BD2" s="16">
        <f>AY2/AT2</f>
        <v/>
      </c>
      <c r="BE2" s="15">
        <f>SUBTOTAL(9, BE3:BE2521)</f>
        <v/>
      </c>
      <c r="BF2" s="47">
        <f>SUBTOTAL(9, BF3:BF2521)</f>
        <v/>
      </c>
    </row>
    <row r="3" ht="32" customHeight="1">
      <c r="A3" s="6" t="inlineStr">
        <is>
          <t>Item Id</t>
        </is>
      </c>
      <c r="B3" s="6" t="inlineStr">
        <is>
          <t>Product Name</t>
        </is>
      </c>
      <c r="C3" s="6" t="inlineStr">
        <is>
          <t>SKU</t>
        </is>
      </c>
      <c r="D3" s="6" t="inlineStr">
        <is>
          <t>Product Type</t>
        </is>
      </c>
      <c r="E3" s="6" t="inlineStr">
        <is>
          <t>Brand</t>
        </is>
      </c>
      <c r="F3" s="6" t="n"/>
      <c r="G3" s="6" t="inlineStr">
        <is>
          <t>GMV</t>
        </is>
      </c>
      <c r="H3" s="6" t="inlineStr">
        <is>
          <t>Units Sold</t>
        </is>
      </c>
      <c r="I3" s="6" t="inlineStr">
        <is>
          <t>Page Views</t>
        </is>
      </c>
      <c r="J3" s="6" t="inlineStr">
        <is>
          <t>Conversion Rate</t>
        </is>
      </c>
      <c r="K3" s="6" t="inlineStr">
        <is>
          <t>Ad Clicks</t>
        </is>
      </c>
      <c r="L3" s="6" t="inlineStr">
        <is>
          <t>Ad Spend</t>
        </is>
      </c>
      <c r="M3" s="6" t="inlineStr">
        <is>
          <t>Ad Sales</t>
        </is>
      </c>
      <c r="N3" s="6" t="inlineStr">
        <is>
          <t>ROAS</t>
        </is>
      </c>
      <c r="O3" s="6" t="inlineStr">
        <is>
          <t>CTR</t>
        </is>
      </c>
      <c r="P3" s="6" t="inlineStr">
        <is>
          <t>CPC</t>
        </is>
      </c>
      <c r="Q3" s="6" t="inlineStr">
        <is>
          <t>TACOS</t>
        </is>
      </c>
      <c r="R3" s="6" t="inlineStr">
        <is>
          <t>AUR</t>
        </is>
      </c>
      <c r="S3" s="6" t="inlineStr">
        <is>
          <t>Impressions</t>
        </is>
      </c>
      <c r="T3" s="6" t="inlineStr">
        <is>
          <t>GMV</t>
        </is>
      </c>
      <c r="U3" s="6" t="inlineStr">
        <is>
          <t>Units Sold</t>
        </is>
      </c>
      <c r="V3" s="6" t="inlineStr">
        <is>
          <t>Page Views</t>
        </is>
      </c>
      <c r="W3" s="6" t="inlineStr">
        <is>
          <t>Conversion Rate</t>
        </is>
      </c>
      <c r="X3" s="6" t="inlineStr">
        <is>
          <t>Ad Clicks</t>
        </is>
      </c>
      <c r="Y3" s="6" t="inlineStr">
        <is>
          <t>Ad Spend</t>
        </is>
      </c>
      <c r="Z3" s="6" t="inlineStr">
        <is>
          <t>Ad Sales</t>
        </is>
      </c>
      <c r="AA3" s="6" t="inlineStr">
        <is>
          <t>ROAS</t>
        </is>
      </c>
      <c r="AB3" s="6" t="inlineStr">
        <is>
          <t>CTR</t>
        </is>
      </c>
      <c r="AC3" s="6" t="inlineStr">
        <is>
          <t>CPC</t>
        </is>
      </c>
      <c r="AD3" s="6" t="inlineStr">
        <is>
          <t>TACOS</t>
        </is>
      </c>
      <c r="AE3" s="6" t="inlineStr">
        <is>
          <t>AUR</t>
        </is>
      </c>
      <c r="AF3" s="6" t="inlineStr">
        <is>
          <t>Impressions</t>
        </is>
      </c>
      <c r="AG3" s="6" t="inlineStr">
        <is>
          <t>GMV</t>
        </is>
      </c>
      <c r="AH3" s="6" t="inlineStr">
        <is>
          <t>Units Sold</t>
        </is>
      </c>
      <c r="AI3" s="6" t="inlineStr">
        <is>
          <t>Page Views</t>
        </is>
      </c>
      <c r="AJ3" s="6" t="inlineStr">
        <is>
          <t>Conversion Rate</t>
        </is>
      </c>
      <c r="AK3" s="6" t="inlineStr">
        <is>
          <t>Ad Clicks</t>
        </is>
      </c>
      <c r="AL3" s="6" t="inlineStr">
        <is>
          <t>Ad Spend</t>
        </is>
      </c>
      <c r="AM3" s="6" t="inlineStr">
        <is>
          <t>Ad Sales</t>
        </is>
      </c>
      <c r="AN3" s="6" t="inlineStr">
        <is>
          <t>ROAS</t>
        </is>
      </c>
      <c r="AO3" s="6" t="inlineStr">
        <is>
          <t>CTR</t>
        </is>
      </c>
      <c r="AP3" s="6" t="inlineStr">
        <is>
          <t>CPC</t>
        </is>
      </c>
      <c r="AQ3" s="6" t="inlineStr">
        <is>
          <t>TACOS</t>
        </is>
      </c>
      <c r="AR3" s="6" t="inlineStr">
        <is>
          <t>AUR</t>
        </is>
      </c>
      <c r="AS3" s="6" t="inlineStr">
        <is>
          <t>Impressions</t>
        </is>
      </c>
      <c r="AT3" s="6" t="inlineStr">
        <is>
          <t>GMV</t>
        </is>
      </c>
      <c r="AU3" s="6" t="inlineStr">
        <is>
          <t>Units Sold</t>
        </is>
      </c>
      <c r="AV3" s="6" t="inlineStr">
        <is>
          <t>Page Views</t>
        </is>
      </c>
      <c r="AW3" s="6" t="inlineStr">
        <is>
          <t>Conversion Rate</t>
        </is>
      </c>
      <c r="AX3" s="6" t="inlineStr">
        <is>
          <t>Ad Clicks</t>
        </is>
      </c>
      <c r="AY3" s="6" t="inlineStr">
        <is>
          <t>Ad Spend</t>
        </is>
      </c>
      <c r="AZ3" s="6" t="inlineStr">
        <is>
          <t>Ad Sales</t>
        </is>
      </c>
      <c r="BA3" s="6" t="inlineStr">
        <is>
          <t>ROAS</t>
        </is>
      </c>
      <c r="BB3" s="6" t="inlineStr">
        <is>
          <t>CTR</t>
        </is>
      </c>
      <c r="BC3" s="6" t="inlineStr">
        <is>
          <t>CPC</t>
        </is>
      </c>
      <c r="BD3" s="6" t="inlineStr">
        <is>
          <t>TACOS</t>
        </is>
      </c>
      <c r="BE3" s="6" t="inlineStr">
        <is>
          <t>AUR</t>
        </is>
      </c>
      <c r="BF3" s="6" t="inlineStr">
        <is>
          <t>Impressions</t>
        </is>
      </c>
    </row>
    <row r="4">
      <c r="A4">
        <f>HYPERLINK("https://www.walmart.com/ip/621903168", "621903168")</f>
        <v/>
      </c>
      <c r="B4" t="inlineStr">
        <is>
          <t>Catalonia Fleece Wearable Blanket Poncho for Adult Women Men, Wrap Blanket Cape with Pocket | Warm, Soft, Cozy, Snuggly, Comfort Gift, No Sleeves | All-Season, Gift Idea</t>
        </is>
      </c>
      <c r="C4" t="inlineStr">
        <is>
          <t>1CTBP200PP</t>
        </is>
      </c>
      <c r="D4" t="inlineStr">
        <is>
          <t>Throws</t>
        </is>
      </c>
      <c r="E4" t="inlineStr">
        <is>
          <t>Catalonia</t>
        </is>
      </c>
      <c r="F4" t="inlineStr">
        <is>
          <t>Hero 5 Holidays,WFS,WFS Item</t>
        </is>
      </c>
      <c r="G4" s="48" t="n">
        <v>263.88</v>
      </c>
      <c r="H4" s="49" t="n">
        <v>12</v>
      </c>
      <c r="I4" s="49" t="n">
        <v>367</v>
      </c>
      <c r="J4" s="50" t="n">
        <v>0.0326975476839237</v>
      </c>
      <c r="K4" s="51" t="n">
        <v>20</v>
      </c>
      <c r="L4" s="52" t="n">
        <v>5.57</v>
      </c>
      <c r="M4" s="52" t="n">
        <v>21.99</v>
      </c>
      <c r="N4" s="52" t="n">
        <v>3.95</v>
      </c>
      <c r="O4" s="53" t="n">
        <v>0.0094</v>
      </c>
      <c r="P4" s="52" t="n">
        <v>0.2785</v>
      </c>
      <c r="Q4" s="53" t="n">
        <v>0.02110807943004396</v>
      </c>
      <c r="R4" s="52" t="n">
        <v>21.99</v>
      </c>
      <c r="S4" s="51" t="n">
        <v>2118</v>
      </c>
      <c r="T4" s="48" t="n">
        <v>109.95</v>
      </c>
      <c r="U4" s="49" t="n">
        <v>5</v>
      </c>
      <c r="V4" s="49" t="n">
        <v>493</v>
      </c>
      <c r="W4" s="50" t="n">
        <v>0.0101419878296146</v>
      </c>
      <c r="X4" s="51" t="n">
        <v>9</v>
      </c>
      <c r="Y4" s="52" t="n">
        <v>2.52</v>
      </c>
      <c r="Z4" s="52" t="n">
        <v>89.98</v>
      </c>
      <c r="AA4" s="52" t="n">
        <v>35.71</v>
      </c>
      <c r="AB4" s="53" t="n">
        <v>0.0041</v>
      </c>
      <c r="AC4" s="52" t="n">
        <v>0.28</v>
      </c>
      <c r="AD4" s="53" t="n">
        <v>0.02291950886766712</v>
      </c>
      <c r="AE4" s="52" t="n">
        <v>21.99</v>
      </c>
      <c r="AF4" s="51" t="n">
        <v>2216</v>
      </c>
      <c r="AG4" s="48" t="n">
        <v>0</v>
      </c>
      <c r="AH4" s="49" t="n">
        <v>0</v>
      </c>
      <c r="AI4" s="49" t="n">
        <v>154</v>
      </c>
      <c r="AJ4" s="50" t="n">
        <v>0</v>
      </c>
      <c r="AK4" s="51" t="n">
        <v>0</v>
      </c>
      <c r="AL4" s="52" t="n">
        <v>0</v>
      </c>
      <c r="AM4" s="52" t="n">
        <v>0</v>
      </c>
      <c r="AN4" s="52" t="n">
        <v>0</v>
      </c>
      <c r="AO4" s="53" t="n">
        <v>0</v>
      </c>
      <c r="AP4" s="52" t="n">
        <v>0</v>
      </c>
      <c r="AQ4" s="53" t="n">
        <v>0</v>
      </c>
      <c r="AR4" s="52" t="n">
        <v>0</v>
      </c>
      <c r="AS4" s="51" t="n">
        <v>0</v>
      </c>
      <c r="AT4" s="48" t="n">
        <v>65.97</v>
      </c>
      <c r="AU4" s="49" t="n">
        <v>3</v>
      </c>
      <c r="AV4" s="49" t="n">
        <v>228</v>
      </c>
      <c r="AW4" s="50" t="n">
        <v>0.0131578947368421</v>
      </c>
      <c r="AX4" s="51" t="n">
        <v>16</v>
      </c>
      <c r="AY4" s="52" t="n">
        <v>4.5</v>
      </c>
      <c r="AZ4" s="52" t="n">
        <v>0</v>
      </c>
      <c r="BA4" s="52" t="n">
        <v>0</v>
      </c>
      <c r="BB4" s="53" t="n">
        <v>0.0105</v>
      </c>
      <c r="BC4" s="52" t="n">
        <v>0.28125</v>
      </c>
      <c r="BD4" s="53" t="n">
        <v>0.06821282401091405</v>
      </c>
      <c r="BE4" s="52" t="n">
        <v>21.99</v>
      </c>
      <c r="BF4" s="51" t="n">
        <v>1520</v>
      </c>
    </row>
    <row r="5">
      <c r="A5">
        <f>HYPERLINK("https://www.walmart.com/ip/10286421989", "10286421989")</f>
        <v/>
      </c>
      <c r="B5" t="inlineStr">
        <is>
          <t>Wrangler Men’s Leather Country Casual Every Day Dress Belt for Jeans, Khakis Black 40</t>
        </is>
      </c>
      <c r="C5" t="inlineStr">
        <is>
          <t>WR-BELT-MENS-COUNTRY-BLACK-40</t>
        </is>
      </c>
      <c r="D5" t="inlineStr">
        <is>
          <t>Belts</t>
        </is>
      </c>
      <c r="E5" t="inlineStr">
        <is>
          <t>Wrangler</t>
        </is>
      </c>
      <c r="F5" t="inlineStr">
        <is>
          <t>Belts</t>
        </is>
      </c>
      <c r="G5" s="48" t="n">
        <v>159.92</v>
      </c>
      <c r="H5" s="49" t="n">
        <v>8</v>
      </c>
      <c r="I5" s="49" t="n">
        <v>6</v>
      </c>
      <c r="J5" s="50" t="n">
        <v>1.333333333333333</v>
      </c>
      <c r="K5" s="51" t="n">
        <v>0</v>
      </c>
      <c r="L5" s="52" t="n">
        <v>0</v>
      </c>
      <c r="M5" s="52" t="n">
        <v>0</v>
      </c>
      <c r="N5" s="52" t="n">
        <v>0</v>
      </c>
      <c r="O5" s="53" t="n">
        <v>0</v>
      </c>
      <c r="P5" s="52" t="n">
        <v>0</v>
      </c>
      <c r="Q5" s="53" t="n">
        <v>0</v>
      </c>
      <c r="R5" s="52" t="n">
        <v>19.99</v>
      </c>
      <c r="S5" s="51" t="n">
        <v>9</v>
      </c>
      <c r="T5" s="48" t="n">
        <v>19.99</v>
      </c>
      <c r="U5" s="49" t="n">
        <v>1</v>
      </c>
      <c r="V5" s="49" t="n">
        <v>5</v>
      </c>
      <c r="W5" s="50" t="n">
        <v>0.2</v>
      </c>
      <c r="X5" s="51" t="n">
        <v>0</v>
      </c>
      <c r="Y5" s="52" t="n">
        <v>0</v>
      </c>
      <c r="Z5" s="52" t="n">
        <v>0</v>
      </c>
      <c r="AA5" s="52" t="n">
        <v>0</v>
      </c>
      <c r="AB5" s="53" t="n">
        <v>0</v>
      </c>
      <c r="AC5" s="52" t="n">
        <v>0</v>
      </c>
      <c r="AD5" s="53" t="n">
        <v>0</v>
      </c>
      <c r="AE5" s="52" t="n">
        <v>19.99</v>
      </c>
      <c r="AF5" s="51" t="n">
        <v>0</v>
      </c>
      <c r="AG5" s="48" t="n">
        <v>59.97</v>
      </c>
      <c r="AH5" s="49" t="n">
        <v>3</v>
      </c>
      <c r="AI5" s="49" t="n">
        <v>5</v>
      </c>
      <c r="AJ5" s="50" t="n">
        <v>0.6</v>
      </c>
      <c r="AK5" s="51" t="n">
        <v>0</v>
      </c>
      <c r="AL5" s="52" t="n">
        <v>0</v>
      </c>
      <c r="AM5" s="52" t="n">
        <v>0</v>
      </c>
      <c r="AN5" s="52" t="n">
        <v>0</v>
      </c>
      <c r="AO5" s="53" t="n">
        <v>0</v>
      </c>
      <c r="AP5" s="52" t="n">
        <v>0</v>
      </c>
      <c r="AQ5" s="53" t="n">
        <v>0</v>
      </c>
      <c r="AR5" s="52" t="n">
        <v>19.99</v>
      </c>
      <c r="AS5" s="51" t="n">
        <v>0</v>
      </c>
      <c r="AT5" s="48" t="n">
        <v>0</v>
      </c>
      <c r="AU5" s="49" t="n">
        <v>0</v>
      </c>
      <c r="AV5" s="49" t="n">
        <v>4</v>
      </c>
      <c r="AW5" s="50" t="n">
        <v>0</v>
      </c>
      <c r="AX5" s="51" t="n">
        <v>0</v>
      </c>
      <c r="AY5" s="52" t="n">
        <v>0</v>
      </c>
      <c r="AZ5" s="52" t="n">
        <v>0</v>
      </c>
      <c r="BA5" s="52" t="n">
        <v>0</v>
      </c>
      <c r="BB5" s="53" t="n">
        <v>0</v>
      </c>
      <c r="BC5" s="52" t="n">
        <v>0</v>
      </c>
      <c r="BD5" s="53" t="n">
        <v>0</v>
      </c>
      <c r="BE5" s="52" t="n">
        <v>0</v>
      </c>
      <c r="BF5" s="51" t="n">
        <v>0</v>
      </c>
    </row>
    <row r="6">
      <c r="A6">
        <f>HYPERLINK("https://www.walmart.com/ip/606072192", "606072192")</f>
        <v/>
      </c>
      <c r="B6" t="inlineStr">
        <is>
          <t>Single Wine Cooler Bags - Insulated &amp; Padded Portable Wine Tote Carrier for Travel, BYOB Restaurant, Wine Tasting, Party, Great Gift for Wine Lover, Beige</t>
        </is>
      </c>
      <c r="C6" t="inlineStr">
        <is>
          <t>1WMWB101BG</t>
        </is>
      </c>
      <c r="D6" t="inlineStr">
        <is>
          <t>Wine Totes, Bags &amp; Backpacks</t>
        </is>
      </c>
      <c r="E6" t="inlineStr">
        <is>
          <t>Flyingstar</t>
        </is>
      </c>
      <c r="F6" t="inlineStr">
        <is>
          <t>Wine,Christmas,Optimized,Wine WFS,Valentine,SEM</t>
        </is>
      </c>
      <c r="G6" s="48" t="n">
        <v>143.88</v>
      </c>
      <c r="H6" s="49" t="n">
        <v>12</v>
      </c>
      <c r="I6" s="49" t="n">
        <v>4</v>
      </c>
      <c r="J6" s="50" t="n">
        <v>3</v>
      </c>
      <c r="K6" s="51" t="n">
        <v>0</v>
      </c>
      <c r="L6" s="52" t="n">
        <v>0</v>
      </c>
      <c r="M6" s="52" t="n">
        <v>0</v>
      </c>
      <c r="N6" s="52" t="n">
        <v>0</v>
      </c>
      <c r="O6" s="53" t="n">
        <v>0</v>
      </c>
      <c r="P6" s="52" t="n">
        <v>0</v>
      </c>
      <c r="Q6" s="53" t="n">
        <v>0</v>
      </c>
      <c r="R6" s="52" t="n">
        <v>11.99</v>
      </c>
      <c r="S6" s="51" t="n">
        <v>0</v>
      </c>
      <c r="T6" s="48" t="n">
        <v>11.99</v>
      </c>
      <c r="U6" s="49" t="n">
        <v>1</v>
      </c>
      <c r="V6" s="49" t="n">
        <v>4</v>
      </c>
      <c r="W6" s="50" t="n">
        <v>0.25</v>
      </c>
      <c r="X6" s="51" t="n">
        <v>0</v>
      </c>
      <c r="Y6" s="52" t="n">
        <v>0</v>
      </c>
      <c r="Z6" s="52" t="n">
        <v>0</v>
      </c>
      <c r="AA6" s="52" t="n">
        <v>0</v>
      </c>
      <c r="AB6" s="53" t="n">
        <v>0</v>
      </c>
      <c r="AC6" s="52" t="n">
        <v>0</v>
      </c>
      <c r="AD6" s="53" t="n">
        <v>0</v>
      </c>
      <c r="AE6" s="52" t="n">
        <v>11.99</v>
      </c>
      <c r="AF6" s="51" t="n">
        <v>0</v>
      </c>
      <c r="AG6" s="48" t="n">
        <v>23.98</v>
      </c>
      <c r="AH6" s="49" t="n">
        <v>2</v>
      </c>
      <c r="AI6" s="49" t="n">
        <v>4</v>
      </c>
      <c r="AJ6" s="50" t="n">
        <v>0.5</v>
      </c>
      <c r="AK6" s="51" t="n">
        <v>0</v>
      </c>
      <c r="AL6" s="52" t="n">
        <v>0</v>
      </c>
      <c r="AM6" s="52" t="n">
        <v>0</v>
      </c>
      <c r="AN6" s="52" t="n">
        <v>0</v>
      </c>
      <c r="AO6" s="53" t="n">
        <v>0</v>
      </c>
      <c r="AP6" s="52" t="n">
        <v>0</v>
      </c>
      <c r="AQ6" s="53" t="n">
        <v>0</v>
      </c>
      <c r="AR6" s="52" t="n">
        <v>11.99</v>
      </c>
      <c r="AS6" s="51" t="n">
        <v>0</v>
      </c>
      <c r="AT6" s="48" t="n">
        <v>0</v>
      </c>
      <c r="AU6" s="49" t="n">
        <v>0</v>
      </c>
      <c r="AV6" s="49" t="n">
        <v>4</v>
      </c>
      <c r="AW6" s="50" t="n">
        <v>0</v>
      </c>
      <c r="AX6" s="51" t="n">
        <v>0</v>
      </c>
      <c r="AY6" s="52" t="n">
        <v>0</v>
      </c>
      <c r="AZ6" s="52" t="n">
        <v>0</v>
      </c>
      <c r="BA6" s="52" t="n">
        <v>0</v>
      </c>
      <c r="BB6" s="53" t="n">
        <v>0</v>
      </c>
      <c r="BC6" s="52" t="n">
        <v>0</v>
      </c>
      <c r="BD6" s="53" t="n">
        <v>0</v>
      </c>
      <c r="BE6" s="52" t="n">
        <v>0</v>
      </c>
      <c r="BF6" s="51" t="n">
        <v>0</v>
      </c>
    </row>
    <row r="7">
      <c r="A7">
        <f>HYPERLINK("https://www.walmart.com/ip/775282043", "775282043")</f>
        <v/>
      </c>
      <c r="B7" t="inlineStr">
        <is>
          <t>Tirrinia Insulated Lunch Bag for Women, Men, and Kids, Leakproof Thermal Reusable Insulated Cooler Bag for Office, Work, Back to School, Medium, Charcoal, 8L, 10" X 7" X 7.7"</t>
        </is>
      </c>
      <c r="C7" t="inlineStr">
        <is>
          <t>1TRLB701CH-N</t>
        </is>
      </c>
      <c r="D7" t="inlineStr">
        <is>
          <t>Reusable Lunch Bags &amp; Boxes</t>
        </is>
      </c>
      <c r="E7" t="inlineStr">
        <is>
          <t>Tirrinia</t>
        </is>
      </c>
      <c r="F7" t="inlineStr">
        <is>
          <t>Q2-Target,Brand Camp VD,Lunch Bag,WFS,Lunch Bags,SEM,Wal-Exl-Price,WFS Item,AMZ Bestsellers</t>
        </is>
      </c>
      <c r="G7" s="48" t="n">
        <v>132.89</v>
      </c>
      <c r="H7" s="49" t="n">
        <v>11</v>
      </c>
      <c r="I7" s="49" t="n">
        <v>1065</v>
      </c>
      <c r="J7" s="50" t="n">
        <v>0.01032863849765258</v>
      </c>
      <c r="K7" s="51" t="n">
        <v>0</v>
      </c>
      <c r="L7" s="52" t="n">
        <v>0</v>
      </c>
      <c r="M7" s="52" t="n">
        <v>0</v>
      </c>
      <c r="N7" s="52" t="n">
        <v>0</v>
      </c>
      <c r="O7" s="53" t="n">
        <v>0</v>
      </c>
      <c r="P7" s="52" t="n">
        <v>0</v>
      </c>
      <c r="Q7" s="53" t="n">
        <v>0</v>
      </c>
      <c r="R7" s="52" t="n">
        <v>12.08090909090909</v>
      </c>
      <c r="S7" s="51" t="n">
        <v>0</v>
      </c>
      <c r="T7" s="48" t="n">
        <v>357.93</v>
      </c>
      <c r="U7" s="49" t="n">
        <v>29</v>
      </c>
      <c r="V7" s="49" t="n">
        <v>1221</v>
      </c>
      <c r="W7" s="50" t="n">
        <v>0.02375102375102375</v>
      </c>
      <c r="X7" s="51" t="n">
        <v>0</v>
      </c>
      <c r="Y7" s="52" t="n">
        <v>0</v>
      </c>
      <c r="Z7" s="52" t="n">
        <v>0</v>
      </c>
      <c r="AA7" s="52" t="n">
        <v>0</v>
      </c>
      <c r="AB7" s="53" t="n">
        <v>0</v>
      </c>
      <c r="AC7" s="52" t="n">
        <v>0</v>
      </c>
      <c r="AD7" s="53" t="n">
        <v>0</v>
      </c>
      <c r="AE7" s="52" t="n">
        <v>12.34241379310345</v>
      </c>
      <c r="AF7" s="51" t="n">
        <v>0</v>
      </c>
      <c r="AG7" s="48" t="n">
        <v>313.74</v>
      </c>
      <c r="AH7" s="49" t="n">
        <v>26</v>
      </c>
      <c r="AI7" s="49" t="n">
        <v>1437</v>
      </c>
      <c r="AJ7" s="50" t="n">
        <v>0.01809324982602644</v>
      </c>
      <c r="AK7" s="51" t="n">
        <v>0</v>
      </c>
      <c r="AL7" s="52" t="n">
        <v>0</v>
      </c>
      <c r="AM7" s="52" t="n">
        <v>0</v>
      </c>
      <c r="AN7" s="52" t="n">
        <v>0</v>
      </c>
      <c r="AO7" s="53" t="n">
        <v>0</v>
      </c>
      <c r="AP7" s="52" t="n">
        <v>0</v>
      </c>
      <c r="AQ7" s="53" t="n">
        <v>0</v>
      </c>
      <c r="AR7" s="52" t="n">
        <v>12.06692307692308</v>
      </c>
      <c r="AS7" s="51" t="n">
        <v>0</v>
      </c>
      <c r="AT7" s="48" t="n">
        <v>938.1900000000001</v>
      </c>
      <c r="AU7" s="49" t="n">
        <v>74</v>
      </c>
      <c r="AV7" s="49" t="n">
        <v>1610</v>
      </c>
      <c r="AW7" s="50" t="n">
        <v>0.04596273291925466</v>
      </c>
      <c r="AX7" s="51" t="n">
        <v>0</v>
      </c>
      <c r="AY7" s="52" t="n">
        <v>0</v>
      </c>
      <c r="AZ7" s="52" t="n">
        <v>0</v>
      </c>
      <c r="BA7" s="52" t="n">
        <v>0</v>
      </c>
      <c r="BB7" s="53" t="n">
        <v>0</v>
      </c>
      <c r="BC7" s="52" t="n">
        <v>0</v>
      </c>
      <c r="BD7" s="53" t="n">
        <v>0</v>
      </c>
      <c r="BE7" s="52" t="n">
        <v>12.67824324324324</v>
      </c>
      <c r="BF7" s="51" t="n">
        <v>0</v>
      </c>
    </row>
    <row r="8">
      <c r="A8">
        <f>HYPERLINK("https://www.walmart.com/ip/138121626", "138121626")</f>
        <v/>
      </c>
      <c r="B8" t="inlineStr">
        <is>
          <t>Realtree Unisex Hardwood Mesh Baseball Cap Outdoor Sports Embroidery Hunting Trucker Hat</t>
        </is>
      </c>
      <c r="C8" t="inlineStr">
        <is>
          <t>KC Caps HT01</t>
        </is>
      </c>
      <c r="D8" t="inlineStr">
        <is>
          <t>Hats</t>
        </is>
      </c>
      <c r="E8" t="inlineStr">
        <is>
          <t>KC Caps</t>
        </is>
      </c>
      <c r="F8" t="inlineStr">
        <is>
          <t>WFS,WFS Item</t>
        </is>
      </c>
      <c r="G8" s="48" t="n">
        <v>120</v>
      </c>
      <c r="H8" s="49" t="n">
        <v>12</v>
      </c>
      <c r="I8" s="49" t="n">
        <v>0</v>
      </c>
      <c r="J8" s="50" t="n">
        <v>0</v>
      </c>
      <c r="K8" s="51" t="n">
        <v>0</v>
      </c>
      <c r="L8" s="52" t="n">
        <v>0</v>
      </c>
      <c r="M8" s="52" t="n">
        <v>0</v>
      </c>
      <c r="N8" s="52" t="n">
        <v>0</v>
      </c>
      <c r="O8" s="53" t="n">
        <v>0</v>
      </c>
      <c r="P8" s="52" t="n">
        <v>0</v>
      </c>
      <c r="Q8" s="53" t="n">
        <v>0</v>
      </c>
      <c r="R8" s="52" t="n">
        <v>10</v>
      </c>
      <c r="S8" s="51" t="n">
        <v>0</v>
      </c>
      <c r="T8" s="48" t="n">
        <v>0</v>
      </c>
      <c r="U8" s="49" t="n">
        <v>0</v>
      </c>
      <c r="V8" s="49" t="n">
        <v>0</v>
      </c>
      <c r="W8" s="50" t="n">
        <v>0</v>
      </c>
      <c r="X8" s="51" t="n">
        <v>0</v>
      </c>
      <c r="Y8" s="52" t="n">
        <v>0</v>
      </c>
      <c r="Z8" s="52" t="n">
        <v>0</v>
      </c>
      <c r="AA8" s="52" t="n">
        <v>0</v>
      </c>
      <c r="AB8" s="53" t="n">
        <v>0</v>
      </c>
      <c r="AC8" s="52" t="n">
        <v>0</v>
      </c>
      <c r="AD8" s="53" t="n">
        <v>0</v>
      </c>
      <c r="AE8" s="52" t="n">
        <v>0</v>
      </c>
      <c r="AF8" s="51" t="n">
        <v>0</v>
      </c>
      <c r="AG8" s="48" t="n">
        <v>0</v>
      </c>
      <c r="AH8" s="49" t="n">
        <v>0</v>
      </c>
      <c r="AI8" s="49" t="n">
        <v>0</v>
      </c>
      <c r="AJ8" s="50" t="n">
        <v>0</v>
      </c>
      <c r="AK8" s="51" t="n">
        <v>0</v>
      </c>
      <c r="AL8" s="52" t="n">
        <v>0</v>
      </c>
      <c r="AM8" s="52" t="n">
        <v>0</v>
      </c>
      <c r="AN8" s="52" t="n">
        <v>0</v>
      </c>
      <c r="AO8" s="53" t="n">
        <v>0</v>
      </c>
      <c r="AP8" s="52" t="n">
        <v>0</v>
      </c>
      <c r="AQ8" s="53" t="n">
        <v>0</v>
      </c>
      <c r="AR8" s="52" t="n">
        <v>0</v>
      </c>
      <c r="AS8" s="51" t="n">
        <v>0</v>
      </c>
      <c r="AT8" s="48" t="n">
        <v>0</v>
      </c>
      <c r="AU8" s="49" t="n">
        <v>0</v>
      </c>
      <c r="AV8" s="49" t="n">
        <v>0</v>
      </c>
      <c r="AW8" s="50" t="n">
        <v>0</v>
      </c>
      <c r="AX8" s="51" t="n">
        <v>0</v>
      </c>
      <c r="AY8" s="52" t="n">
        <v>0</v>
      </c>
      <c r="AZ8" s="52" t="n">
        <v>0</v>
      </c>
      <c r="BA8" s="52" t="n">
        <v>0</v>
      </c>
      <c r="BB8" s="53" t="n">
        <v>0</v>
      </c>
      <c r="BC8" s="52" t="n">
        <v>0</v>
      </c>
      <c r="BD8" s="53" t="n">
        <v>0</v>
      </c>
      <c r="BE8" s="52" t="n">
        <v>0</v>
      </c>
      <c r="BF8" s="51" t="n">
        <v>0</v>
      </c>
    </row>
    <row r="9">
      <c r="A9">
        <f>HYPERLINK("https://www.walmart.com/ip/511031817", "511031817")</f>
        <v/>
      </c>
      <c r="B9" t="inlineStr">
        <is>
          <t>Catalonia Wearable Blanket for Adults, Women, Men, Poncho Fleece Blanket, Wrap Blanket Cape with Pocket, Warm, Soft, Cozy, Snuggly, Comfort Gift, No Sleeves, All Season, Grey</t>
        </is>
      </c>
      <c r="C9" t="inlineStr">
        <is>
          <t>1CTBP200GY</t>
        </is>
      </c>
      <c r="D9" t="inlineStr">
        <is>
          <t>Throws</t>
        </is>
      </c>
      <c r="E9" t="inlineStr">
        <is>
          <t>Catalonia</t>
        </is>
      </c>
      <c r="F9" t="inlineStr">
        <is>
          <t>Hero 5 Holidays,WFS,WFS Item</t>
        </is>
      </c>
      <c r="G9" s="48" t="n">
        <v>109.95</v>
      </c>
      <c r="H9" s="49" t="n">
        <v>5</v>
      </c>
      <c r="I9" s="49" t="n">
        <v>42</v>
      </c>
      <c r="J9" s="50" t="n">
        <v>0.119047619047619</v>
      </c>
      <c r="K9" s="51" t="n">
        <v>0</v>
      </c>
      <c r="L9" s="52" t="n">
        <v>0</v>
      </c>
      <c r="M9" s="52" t="n">
        <v>0</v>
      </c>
      <c r="N9" s="52" t="n">
        <v>0</v>
      </c>
      <c r="O9" s="53" t="n">
        <v>0</v>
      </c>
      <c r="P9" s="52" t="n">
        <v>0</v>
      </c>
      <c r="Q9" s="53" t="n">
        <v>0</v>
      </c>
      <c r="R9" s="52" t="n">
        <v>21.99</v>
      </c>
      <c r="S9" s="51" t="n">
        <v>0</v>
      </c>
      <c r="T9" s="48" t="n">
        <v>0</v>
      </c>
      <c r="U9" s="49" t="n">
        <v>0</v>
      </c>
      <c r="V9" s="49" t="n">
        <v>24</v>
      </c>
      <c r="W9" s="50" t="n">
        <v>0</v>
      </c>
      <c r="X9" s="51" t="n">
        <v>0</v>
      </c>
      <c r="Y9" s="52" t="n">
        <v>0</v>
      </c>
      <c r="Z9" s="52" t="n">
        <v>0</v>
      </c>
      <c r="AA9" s="52" t="n">
        <v>0</v>
      </c>
      <c r="AB9" s="53" t="n">
        <v>0</v>
      </c>
      <c r="AC9" s="52" t="n">
        <v>0</v>
      </c>
      <c r="AD9" s="53" t="n">
        <v>0</v>
      </c>
      <c r="AE9" s="52" t="n">
        <v>0</v>
      </c>
      <c r="AF9" s="51" t="n">
        <v>0</v>
      </c>
      <c r="AG9" s="48" t="n">
        <v>0</v>
      </c>
      <c r="AH9" s="49" t="n">
        <v>0</v>
      </c>
      <c r="AI9" s="49" t="n">
        <v>25</v>
      </c>
      <c r="AJ9" s="50" t="n">
        <v>0</v>
      </c>
      <c r="AK9" s="51" t="n">
        <v>0</v>
      </c>
      <c r="AL9" s="52" t="n">
        <v>0</v>
      </c>
      <c r="AM9" s="52" t="n">
        <v>0</v>
      </c>
      <c r="AN9" s="52" t="n">
        <v>0</v>
      </c>
      <c r="AO9" s="53" t="n">
        <v>0</v>
      </c>
      <c r="AP9" s="52" t="n">
        <v>0</v>
      </c>
      <c r="AQ9" s="53" t="n">
        <v>0</v>
      </c>
      <c r="AR9" s="52" t="n">
        <v>0</v>
      </c>
      <c r="AS9" s="51" t="n">
        <v>0</v>
      </c>
      <c r="AT9" s="48" t="n">
        <v>87.95999999999999</v>
      </c>
      <c r="AU9" s="49" t="n">
        <v>4</v>
      </c>
      <c r="AV9" s="49" t="n">
        <v>36</v>
      </c>
      <c r="AW9" s="50" t="n">
        <v>0.1111111111111111</v>
      </c>
      <c r="AX9" s="51" t="n">
        <v>0</v>
      </c>
      <c r="AY9" s="52" t="n">
        <v>0</v>
      </c>
      <c r="AZ9" s="52" t="n">
        <v>0</v>
      </c>
      <c r="BA9" s="52" t="n">
        <v>0</v>
      </c>
      <c r="BB9" s="53" t="n">
        <v>0</v>
      </c>
      <c r="BC9" s="52" t="n">
        <v>0</v>
      </c>
      <c r="BD9" s="53" t="n">
        <v>0</v>
      </c>
      <c r="BE9" s="52" t="n">
        <v>21.99</v>
      </c>
      <c r="BF9" s="51" t="n">
        <v>0</v>
      </c>
    </row>
    <row r="10">
      <c r="A10">
        <f>HYPERLINK("https://www.walmart.com/ip/10298168407", "10298168407")</f>
        <v/>
      </c>
      <c r="B10" t="inlineStr">
        <is>
          <t>Wrangler Men’s Leather Country Casual Every Day Dress Belt for Jeans, Khakis Brown 40</t>
        </is>
      </c>
      <c r="C10" t="inlineStr">
        <is>
          <t>WR-BELT-MENS-COUNTRY-BROWN-40</t>
        </is>
      </c>
      <c r="D10" t="inlineStr">
        <is>
          <t>Belts</t>
        </is>
      </c>
      <c r="E10" t="inlineStr">
        <is>
          <t>Wrangler</t>
        </is>
      </c>
      <c r="F10" t="inlineStr">
        <is>
          <t>Belts</t>
        </is>
      </c>
      <c r="G10" s="48" t="n">
        <v>99.95</v>
      </c>
      <c r="H10" s="49" t="n">
        <v>5</v>
      </c>
      <c r="I10" s="49" t="n">
        <v>56</v>
      </c>
      <c r="J10" s="50" t="n">
        <v>0.08928571428571429</v>
      </c>
      <c r="K10" s="51" t="n">
        <v>37</v>
      </c>
      <c r="L10" s="52" t="n">
        <v>19.02</v>
      </c>
      <c r="M10" s="52" t="n">
        <v>139.93</v>
      </c>
      <c r="N10" s="52" t="n">
        <v>7.36</v>
      </c>
      <c r="O10" s="53" t="n">
        <v>0.0125</v>
      </c>
      <c r="P10" s="52" t="n">
        <v>0.514054054054054</v>
      </c>
      <c r="Q10" s="53" t="n">
        <v>0.1902951475737869</v>
      </c>
      <c r="R10" s="52" t="n">
        <v>19.99</v>
      </c>
      <c r="S10" s="51" t="n">
        <v>2970</v>
      </c>
      <c r="T10" s="48" t="n">
        <v>99.95</v>
      </c>
      <c r="U10" s="49" t="n">
        <v>5</v>
      </c>
      <c r="V10" s="49" t="n">
        <v>43</v>
      </c>
      <c r="W10" s="50" t="n">
        <v>0.1162790697674419</v>
      </c>
      <c r="X10" s="51" t="n">
        <v>91</v>
      </c>
      <c r="Y10" s="52" t="n">
        <v>48.04</v>
      </c>
      <c r="Z10" s="52" t="n">
        <v>219.89</v>
      </c>
      <c r="AA10" s="52" t="n">
        <v>4.58</v>
      </c>
      <c r="AB10" s="53" t="n">
        <v>0.0146</v>
      </c>
      <c r="AC10" s="52" t="n">
        <v>0.5279120879120879</v>
      </c>
      <c r="AD10" s="53" t="n">
        <v>0.48064032016008</v>
      </c>
      <c r="AE10" s="52" t="n">
        <v>19.99</v>
      </c>
      <c r="AF10" s="51" t="n">
        <v>6237</v>
      </c>
      <c r="AG10" s="48" t="n">
        <v>139.93</v>
      </c>
      <c r="AH10" s="49" t="n">
        <v>7</v>
      </c>
      <c r="AI10" s="49" t="n">
        <v>24</v>
      </c>
      <c r="AJ10" s="50" t="n">
        <v>0.2916666666666667</v>
      </c>
      <c r="AK10" s="51" t="n">
        <v>69</v>
      </c>
      <c r="AL10" s="52" t="n">
        <v>34.74</v>
      </c>
      <c r="AM10" s="52" t="n">
        <v>199.9</v>
      </c>
      <c r="AN10" s="52" t="n">
        <v>5.75</v>
      </c>
      <c r="AO10" s="53" t="n">
        <v>0.0102</v>
      </c>
      <c r="AP10" s="52" t="n">
        <v>0.5034782608695653</v>
      </c>
      <c r="AQ10" s="53" t="n">
        <v>0.2482669906381762</v>
      </c>
      <c r="AR10" s="52" t="n">
        <v>19.99</v>
      </c>
      <c r="AS10" s="51" t="n">
        <v>6767</v>
      </c>
      <c r="AT10" s="48" t="n">
        <v>0</v>
      </c>
      <c r="AU10" s="49" t="n">
        <v>0</v>
      </c>
      <c r="AV10" s="49" t="n">
        <v>13</v>
      </c>
      <c r="AW10" s="50" t="n">
        <v>0</v>
      </c>
      <c r="AX10" s="51" t="n">
        <v>29</v>
      </c>
      <c r="AY10" s="52" t="n">
        <v>14.27</v>
      </c>
      <c r="AZ10" s="52" t="n">
        <v>39.98</v>
      </c>
      <c r="BA10" s="52" t="n">
        <v>2.8</v>
      </c>
      <c r="BB10" s="53" t="n">
        <v>0.0074</v>
      </c>
      <c r="BC10" s="52" t="n">
        <v>0.4920689655172414</v>
      </c>
      <c r="BD10" s="53" t="n">
        <v>0</v>
      </c>
      <c r="BE10" s="52" t="n">
        <v>0</v>
      </c>
      <c r="BF10" s="51" t="n">
        <v>3919</v>
      </c>
    </row>
    <row r="11">
      <c r="A11">
        <f>HYPERLINK("https://www.walmart.com/ip/111712195", "111712195")</f>
        <v/>
      </c>
      <c r="B11" t="inlineStr">
        <is>
          <t>Solaris Unisex Large Bill Flap Sun Hat Camping Hiking Hunting Fishing Cap</t>
        </is>
      </c>
      <c r="C11" t="inlineStr">
        <is>
          <t>1SLSH911TN</t>
        </is>
      </c>
      <c r="D11" t="inlineStr">
        <is>
          <t>Hats</t>
        </is>
      </c>
      <c r="E11" t="inlineStr">
        <is>
          <t>Solaris</t>
        </is>
      </c>
      <c r="F11" t="inlineStr">
        <is>
          <t>Q2-Target,Optimized,WFS,Hats,WFS Item</t>
        </is>
      </c>
      <c r="G11" s="48" t="n">
        <v>99.95</v>
      </c>
      <c r="H11" s="49" t="n">
        <v>5</v>
      </c>
      <c r="I11" s="49" t="n">
        <v>18</v>
      </c>
      <c r="J11" s="50" t="n">
        <v>0.2777777777777778</v>
      </c>
      <c r="K11" s="51" t="n">
        <v>0</v>
      </c>
      <c r="L11" s="52" t="n">
        <v>0</v>
      </c>
      <c r="M11" s="52" t="n">
        <v>0</v>
      </c>
      <c r="N11" s="52" t="n">
        <v>0</v>
      </c>
      <c r="O11" s="53" t="n">
        <v>0</v>
      </c>
      <c r="P11" s="52" t="n">
        <v>0</v>
      </c>
      <c r="Q11" s="53" t="n">
        <v>0</v>
      </c>
      <c r="R11" s="52" t="n">
        <v>19.99</v>
      </c>
      <c r="S11" s="51" t="n">
        <v>0</v>
      </c>
      <c r="T11" s="48" t="n">
        <v>19.99</v>
      </c>
      <c r="U11" s="49" t="n">
        <v>1</v>
      </c>
      <c r="V11" s="49" t="n">
        <v>13</v>
      </c>
      <c r="W11" s="50" t="n">
        <v>0.07692307692307693</v>
      </c>
      <c r="X11" s="51" t="n">
        <v>0</v>
      </c>
      <c r="Y11" s="52" t="n">
        <v>0</v>
      </c>
      <c r="Z11" s="52" t="n">
        <v>0</v>
      </c>
      <c r="AA11" s="52" t="n">
        <v>0</v>
      </c>
      <c r="AB11" s="53" t="n">
        <v>0</v>
      </c>
      <c r="AC11" s="52" t="n">
        <v>0</v>
      </c>
      <c r="AD11" s="53" t="n">
        <v>0</v>
      </c>
      <c r="AE11" s="52" t="n">
        <v>19.99</v>
      </c>
      <c r="AF11" s="51" t="n">
        <v>0</v>
      </c>
      <c r="AG11" s="48" t="n">
        <v>0</v>
      </c>
      <c r="AH11" s="49" t="n">
        <v>0</v>
      </c>
      <c r="AI11" s="49" t="n">
        <v>8</v>
      </c>
      <c r="AJ11" s="50" t="n">
        <v>0</v>
      </c>
      <c r="AK11" s="51" t="n">
        <v>0</v>
      </c>
      <c r="AL11" s="52" t="n">
        <v>0</v>
      </c>
      <c r="AM11" s="52" t="n">
        <v>0</v>
      </c>
      <c r="AN11" s="52" t="n">
        <v>0</v>
      </c>
      <c r="AO11" s="53" t="n">
        <v>0</v>
      </c>
      <c r="AP11" s="52" t="n">
        <v>0</v>
      </c>
      <c r="AQ11" s="53" t="n">
        <v>0</v>
      </c>
      <c r="AR11" s="52" t="n">
        <v>0</v>
      </c>
      <c r="AS11" s="51" t="n">
        <v>0</v>
      </c>
      <c r="AT11" s="48" t="n">
        <v>0</v>
      </c>
      <c r="AU11" s="49" t="n">
        <v>0</v>
      </c>
      <c r="AV11" s="49" t="n">
        <v>8</v>
      </c>
      <c r="AW11" s="50" t="n">
        <v>0</v>
      </c>
      <c r="AX11" s="51" t="n">
        <v>0</v>
      </c>
      <c r="AY11" s="52" t="n">
        <v>0</v>
      </c>
      <c r="AZ11" s="52" t="n">
        <v>0</v>
      </c>
      <c r="BA11" s="52" t="n">
        <v>0</v>
      </c>
      <c r="BB11" s="53" t="n">
        <v>0</v>
      </c>
      <c r="BC11" s="52" t="n">
        <v>0</v>
      </c>
      <c r="BD11" s="53" t="n">
        <v>0</v>
      </c>
      <c r="BE11" s="52" t="n">
        <v>0</v>
      </c>
      <c r="BF11" s="51" t="n">
        <v>0</v>
      </c>
    </row>
    <row r="12">
      <c r="A12">
        <f>HYPERLINK("https://www.walmart.com/ip/809495686", "809495686")</f>
        <v/>
      </c>
      <c r="B12" t="inlineStr">
        <is>
          <t>Kritter Planet Waterproof Dog Blanket for Couch, Washable Pet Couch Cover, Non-slip Bed Sofa Furniture Protector Mat, Navy, 80''x60''.</t>
        </is>
      </c>
      <c r="C12" t="inlineStr">
        <is>
          <t>1KPBW686NY</t>
        </is>
      </c>
      <c r="D12" t="inlineStr">
        <is>
          <t>Pet Blankets</t>
        </is>
      </c>
      <c r="E12" t="inlineStr">
        <is>
          <t>Kritter Planet</t>
        </is>
      </c>
      <c r="F12" t="inlineStr">
        <is>
          <t>Batch 1 - TR</t>
        </is>
      </c>
      <c r="G12" s="48" t="n">
        <v>99.95</v>
      </c>
      <c r="H12" s="49" t="n">
        <v>5</v>
      </c>
      <c r="I12" s="49" t="n">
        <v>18</v>
      </c>
      <c r="J12" s="50" t="n">
        <v>0.2777777777777778</v>
      </c>
      <c r="K12" s="51" t="n">
        <v>20</v>
      </c>
      <c r="L12" s="52" t="n">
        <v>6.2</v>
      </c>
      <c r="M12" s="52" t="n">
        <v>0</v>
      </c>
      <c r="N12" s="52" t="n">
        <v>0</v>
      </c>
      <c r="O12" s="53" t="n">
        <v>0.0053</v>
      </c>
      <c r="P12" s="52" t="n">
        <v>0.31</v>
      </c>
      <c r="Q12" s="53" t="n">
        <v>0.06203101550775388</v>
      </c>
      <c r="R12" s="52" t="n">
        <v>19.99</v>
      </c>
      <c r="S12" s="51" t="n">
        <v>3768</v>
      </c>
      <c r="T12" s="48" t="n">
        <v>86.95</v>
      </c>
      <c r="U12" s="49" t="n">
        <v>4</v>
      </c>
      <c r="V12" s="49" t="n">
        <v>18</v>
      </c>
      <c r="W12" s="50" t="n">
        <v>0.2222222222222222</v>
      </c>
      <c r="X12" s="51" t="n">
        <v>24</v>
      </c>
      <c r="Y12" s="52" t="n">
        <v>7.390000000000001</v>
      </c>
      <c r="Z12" s="52" t="n">
        <v>39.98</v>
      </c>
      <c r="AA12" s="52" t="n">
        <v>5.41</v>
      </c>
      <c r="AB12" s="53" t="n">
        <v>0.0056</v>
      </c>
      <c r="AC12" s="52" t="n">
        <v>0.3079166666666667</v>
      </c>
      <c r="AD12" s="53" t="n">
        <v>0.08499137435307648</v>
      </c>
      <c r="AE12" s="52" t="n">
        <v>21.7375</v>
      </c>
      <c r="AF12" s="51" t="n">
        <v>4292</v>
      </c>
      <c r="AG12" s="48" t="n">
        <v>66.95999999999999</v>
      </c>
      <c r="AH12" s="49" t="n">
        <v>3</v>
      </c>
      <c r="AI12" s="49" t="n">
        <v>18</v>
      </c>
      <c r="AJ12" s="50" t="n">
        <v>0.1666666666666667</v>
      </c>
      <c r="AK12" s="51" t="n">
        <v>27</v>
      </c>
      <c r="AL12" s="52" t="n">
        <v>8.050000000000001</v>
      </c>
      <c r="AM12" s="52" t="n">
        <v>39.98</v>
      </c>
      <c r="AN12" s="52" t="n">
        <v>4.97</v>
      </c>
      <c r="AO12" s="53" t="n">
        <v>0.0055</v>
      </c>
      <c r="AP12" s="52" t="n">
        <v>0.2981481481481482</v>
      </c>
      <c r="AQ12" s="53" t="n">
        <v>0.120221027479092</v>
      </c>
      <c r="AR12" s="52" t="n">
        <v>22.32</v>
      </c>
      <c r="AS12" s="51" t="n">
        <v>4872</v>
      </c>
      <c r="AT12" s="48" t="n">
        <v>19.99</v>
      </c>
      <c r="AU12" s="49" t="n">
        <v>1</v>
      </c>
      <c r="AV12" s="49" t="n">
        <v>12</v>
      </c>
      <c r="AW12" s="50" t="n">
        <v>0.08333333333333333</v>
      </c>
      <c r="AX12" s="51" t="n">
        <v>23</v>
      </c>
      <c r="AY12" s="52" t="n">
        <v>7.04</v>
      </c>
      <c r="AZ12" s="52" t="n">
        <v>25.99</v>
      </c>
      <c r="BA12" s="52" t="n">
        <v>3.69</v>
      </c>
      <c r="BB12" s="53" t="n">
        <v>0.0076</v>
      </c>
      <c r="BC12" s="52" t="n">
        <v>0.3060869565217391</v>
      </c>
      <c r="BD12" s="53" t="n">
        <v>0.3521760880440221</v>
      </c>
      <c r="BE12" s="52" t="n">
        <v>19.99</v>
      </c>
      <c r="BF12" s="51" t="n">
        <v>3013</v>
      </c>
    </row>
    <row r="13">
      <c r="A13">
        <f>HYPERLINK("https://www.walmart.com/ip/691452920", "691452920")</f>
        <v/>
      </c>
      <c r="B13" t="inlineStr">
        <is>
          <t>Solaris Sun Hat for Women Neck Flap Wide Brim UV Protection UPF 50+ Foldable Fishing Cap with 2 Replaceable Ribbon For Outdoor Camping,Travelling,Hiking,Silver Gray</t>
        </is>
      </c>
      <c r="C13" t="inlineStr">
        <is>
          <t>1SLSH922SL</t>
        </is>
      </c>
      <c r="D13" t="inlineStr">
        <is>
          <t>Hats</t>
        </is>
      </c>
      <c r="E13" t="inlineStr">
        <is>
          <t>Solaris</t>
        </is>
      </c>
      <c r="F13" t="inlineStr">
        <is>
          <t>Q2-Target,WFS,Hats,WFS Item</t>
        </is>
      </c>
      <c r="G13" s="48" t="n">
        <v>95.94</v>
      </c>
      <c r="H13" s="49" t="n">
        <v>6</v>
      </c>
      <c r="I13" s="49" t="n">
        <v>145</v>
      </c>
      <c r="J13" s="50" t="n">
        <v>0.04137931034482759</v>
      </c>
      <c r="K13" s="51" t="n">
        <v>62</v>
      </c>
      <c r="L13" s="52" t="n">
        <v>18.94</v>
      </c>
      <c r="M13" s="52" t="n">
        <v>59.96</v>
      </c>
      <c r="N13" s="52" t="n">
        <v>3.17</v>
      </c>
      <c r="O13" s="53" t="n">
        <v>0.0024</v>
      </c>
      <c r="P13" s="52" t="n">
        <v>0.3054838709677419</v>
      </c>
      <c r="Q13" s="53" t="n">
        <v>0.1974150510735876</v>
      </c>
      <c r="R13" s="52" t="n">
        <v>15.99</v>
      </c>
      <c r="S13" s="51" t="n">
        <v>25405</v>
      </c>
      <c r="T13" s="48" t="n">
        <v>79.95</v>
      </c>
      <c r="U13" s="49" t="n">
        <v>5</v>
      </c>
      <c r="V13" s="49" t="n">
        <v>129</v>
      </c>
      <c r="W13" s="50" t="n">
        <v>0.03875968992248062</v>
      </c>
      <c r="X13" s="51" t="n">
        <v>179</v>
      </c>
      <c r="Y13" s="52" t="n">
        <v>55.04</v>
      </c>
      <c r="Z13" s="52" t="n">
        <v>131.92</v>
      </c>
      <c r="AA13" s="52" t="n">
        <v>2.4</v>
      </c>
      <c r="AB13" s="53" t="n">
        <v>0.0023</v>
      </c>
      <c r="AC13" s="52" t="n">
        <v>0.3074860335195531</v>
      </c>
      <c r="AD13" s="53" t="n">
        <v>0.6884302689180738</v>
      </c>
      <c r="AE13" s="52" t="n">
        <v>15.99</v>
      </c>
      <c r="AF13" s="51" t="n">
        <v>78939</v>
      </c>
      <c r="AG13" s="48" t="n">
        <v>63.96</v>
      </c>
      <c r="AH13" s="49" t="n">
        <v>4</v>
      </c>
      <c r="AI13" s="49" t="n">
        <v>82</v>
      </c>
      <c r="AJ13" s="50" t="n">
        <v>0.04878048780487805</v>
      </c>
      <c r="AK13" s="51" t="n">
        <v>171</v>
      </c>
      <c r="AL13" s="52" t="n">
        <v>53.41</v>
      </c>
      <c r="AM13" s="52" t="n">
        <v>139.42</v>
      </c>
      <c r="AN13" s="52" t="n">
        <v>2.61</v>
      </c>
      <c r="AO13" s="53" t="n">
        <v>0.0021</v>
      </c>
      <c r="AP13" s="52" t="n">
        <v>0.3123391812865497</v>
      </c>
      <c r="AQ13" s="53" t="n">
        <v>0.8350531582238898</v>
      </c>
      <c r="AR13" s="52" t="n">
        <v>15.99</v>
      </c>
      <c r="AS13" s="51" t="n">
        <v>80986</v>
      </c>
      <c r="AT13" s="48" t="n">
        <v>47.97</v>
      </c>
      <c r="AU13" s="49" t="n">
        <v>3</v>
      </c>
      <c r="AV13" s="49" t="n">
        <v>56</v>
      </c>
      <c r="AW13" s="50" t="n">
        <v>0.05357142857142857</v>
      </c>
      <c r="AX13" s="51" t="n">
        <v>208</v>
      </c>
      <c r="AY13" s="52" t="n">
        <v>63.88</v>
      </c>
      <c r="AZ13" s="52" t="n">
        <v>221.87</v>
      </c>
      <c r="BA13" s="52" t="n">
        <v>3.47</v>
      </c>
      <c r="BB13" s="53" t="n">
        <v>0.0036</v>
      </c>
      <c r="BC13" s="52" t="n">
        <v>0.3071153846153846</v>
      </c>
      <c r="BD13" s="53" t="n">
        <v>1.331665624348551</v>
      </c>
      <c r="BE13" s="52" t="n">
        <v>15.99</v>
      </c>
      <c r="BF13" s="51" t="n">
        <v>57926</v>
      </c>
    </row>
    <row r="14">
      <c r="A14">
        <f>HYPERLINK("https://www.walmart.com/ip/15386869522", "15386869522")</f>
        <v/>
      </c>
      <c r="B14" t="inlineStr">
        <is>
          <t>Catalonia Swim Parka Kids with Hood, Lightweight Youth Surf Swim Jacket, Waterproof &amp; Warm Sherpa Lined Swim Coat for Boys Girls, Changing Poncho Robe for Pool Beach Stadium, Black, 9-13 Years</t>
        </is>
      </c>
      <c r="C14" t="inlineStr">
        <is>
          <t>1CTPKR202BK-1</t>
        </is>
      </c>
      <c r="D14" t="inlineStr">
        <is>
          <t>Swim Parkas</t>
        </is>
      </c>
      <c r="E14" t="inlineStr">
        <is>
          <t>Catalonia</t>
        </is>
      </c>
      <c r="G14" s="48" t="n">
        <v>91.98</v>
      </c>
      <c r="H14" s="49" t="n">
        <v>2</v>
      </c>
      <c r="I14" s="49" t="n">
        <v>0</v>
      </c>
      <c r="J14" s="50" t="n">
        <v>0</v>
      </c>
      <c r="K14" s="51" t="n">
        <v>0</v>
      </c>
      <c r="L14" s="52" t="n">
        <v>0</v>
      </c>
      <c r="M14" s="52" t="n">
        <v>0</v>
      </c>
      <c r="N14" s="52" t="n">
        <v>0</v>
      </c>
      <c r="O14" s="53" t="n">
        <v>0</v>
      </c>
      <c r="P14" s="52" t="n">
        <v>0</v>
      </c>
      <c r="Q14" s="53" t="n">
        <v>0</v>
      </c>
      <c r="R14" s="52" t="n">
        <v>45.99</v>
      </c>
      <c r="S14" s="51" t="n">
        <v>0</v>
      </c>
      <c r="T14" s="48" t="n">
        <v>0</v>
      </c>
      <c r="U14" s="49" t="n">
        <v>0</v>
      </c>
      <c r="V14" s="49" t="n">
        <v>0</v>
      </c>
      <c r="W14" s="50" t="n">
        <v>0</v>
      </c>
      <c r="X14" s="51" t="n">
        <v>0</v>
      </c>
      <c r="Y14" s="52" t="n">
        <v>0</v>
      </c>
      <c r="Z14" s="52" t="n">
        <v>0</v>
      </c>
      <c r="AA14" s="52" t="n">
        <v>0</v>
      </c>
      <c r="AB14" s="53" t="n">
        <v>0</v>
      </c>
      <c r="AC14" s="52" t="n">
        <v>0</v>
      </c>
      <c r="AD14" s="53" t="n">
        <v>0</v>
      </c>
      <c r="AE14" s="52" t="n">
        <v>0</v>
      </c>
      <c r="AF14" s="51" t="n">
        <v>0</v>
      </c>
      <c r="AG14" s="48" t="n">
        <v>0</v>
      </c>
      <c r="AH14" s="49" t="n">
        <v>0</v>
      </c>
      <c r="AI14" s="49" t="n">
        <v>0</v>
      </c>
      <c r="AJ14" s="50" t="n">
        <v>0</v>
      </c>
      <c r="AK14" s="51" t="n">
        <v>0</v>
      </c>
      <c r="AL14" s="52" t="n">
        <v>0</v>
      </c>
      <c r="AM14" s="52" t="n">
        <v>0</v>
      </c>
      <c r="AN14" s="52" t="n">
        <v>0</v>
      </c>
      <c r="AO14" s="53" t="n">
        <v>0</v>
      </c>
      <c r="AP14" s="52" t="n">
        <v>0</v>
      </c>
      <c r="AQ14" s="53" t="n">
        <v>0</v>
      </c>
      <c r="AR14" s="52" t="n">
        <v>0</v>
      </c>
      <c r="AS14" s="51" t="n">
        <v>0</v>
      </c>
      <c r="AT14" s="48" t="n">
        <v>0</v>
      </c>
      <c r="AU14" s="49" t="n">
        <v>0</v>
      </c>
      <c r="AV14" s="49" t="n">
        <v>0</v>
      </c>
      <c r="AW14" s="50" t="n">
        <v>0</v>
      </c>
      <c r="AX14" s="51" t="n">
        <v>0</v>
      </c>
      <c r="AY14" s="52" t="n">
        <v>0</v>
      </c>
      <c r="AZ14" s="52" t="n">
        <v>0</v>
      </c>
      <c r="BA14" s="52" t="n">
        <v>0</v>
      </c>
      <c r="BB14" s="53" t="n">
        <v>0</v>
      </c>
      <c r="BC14" s="52" t="n">
        <v>0</v>
      </c>
      <c r="BD14" s="53" t="n">
        <v>0</v>
      </c>
      <c r="BE14" s="52" t="n">
        <v>0</v>
      </c>
      <c r="BF14" s="51" t="n">
        <v>0</v>
      </c>
    </row>
    <row r="15">
      <c r="A15">
        <f>HYPERLINK("https://www.walmart.com/ip/206900049", "206900049")</f>
        <v/>
      </c>
      <c r="B15" t="inlineStr">
        <is>
          <t>Tirrinia 2 Bottle Wine Tote Carrier - Leakproof &amp; Insulated &amp; Padded Versatile Cooler Bag for Travel, BYOB Restaurant, Wine Tasting, Party, Great Christmas Gift for Wine Lover, Stripe</t>
        </is>
      </c>
      <c r="C15" t="inlineStr">
        <is>
          <t>1KTWB220STR</t>
        </is>
      </c>
      <c r="D15" t="inlineStr">
        <is>
          <t>Wine Totes, Bags &amp; Backpacks</t>
        </is>
      </c>
      <c r="E15" t="inlineStr">
        <is>
          <t>Tirrinia</t>
        </is>
      </c>
      <c r="F15" t="inlineStr">
        <is>
          <t>Wine,Wine Bag Camp,Christmas,Wine WFS,Valentine,WFS Item,AMZ Bestsellers</t>
        </is>
      </c>
      <c r="G15" s="48" t="n">
        <v>89.03</v>
      </c>
      <c r="H15" s="49" t="n">
        <v>4</v>
      </c>
      <c r="I15" s="49" t="n">
        <v>15</v>
      </c>
      <c r="J15" s="50" t="n">
        <v>0.2666666666666667</v>
      </c>
      <c r="K15" s="51" t="n">
        <v>13</v>
      </c>
      <c r="L15" s="52" t="n">
        <v>4.9</v>
      </c>
      <c r="M15" s="52" t="n">
        <v>41.98</v>
      </c>
      <c r="N15" s="52" t="n">
        <v>8.57</v>
      </c>
      <c r="O15" s="53" t="n">
        <v>0.0075</v>
      </c>
      <c r="P15" s="52" t="n">
        <v>0.376923076923077</v>
      </c>
      <c r="Q15" s="53" t="n">
        <v>0.0550376277659216</v>
      </c>
      <c r="R15" s="52" t="n">
        <v>22.2575</v>
      </c>
      <c r="S15" s="51" t="n">
        <v>1740</v>
      </c>
      <c r="T15" s="48" t="n">
        <v>83.95999999999999</v>
      </c>
      <c r="U15" s="49" t="n">
        <v>4</v>
      </c>
      <c r="V15" s="49" t="n">
        <v>6</v>
      </c>
      <c r="W15" s="50" t="n">
        <v>0.6666666666666666</v>
      </c>
      <c r="X15" s="51" t="n">
        <v>11</v>
      </c>
      <c r="Y15" s="52" t="n">
        <v>4.2</v>
      </c>
      <c r="Z15" s="52" t="n">
        <v>83.95999999999999</v>
      </c>
      <c r="AA15" s="52" t="n">
        <v>19.99</v>
      </c>
      <c r="AB15" s="53" t="n">
        <v>0.0064</v>
      </c>
      <c r="AC15" s="52" t="n">
        <v>0.3818181818181818</v>
      </c>
      <c r="AD15" s="53" t="n">
        <v>0.05002382086707956</v>
      </c>
      <c r="AE15" s="52" t="n">
        <v>20.99</v>
      </c>
      <c r="AF15" s="51" t="n">
        <v>1727</v>
      </c>
      <c r="AG15" s="48" t="n">
        <v>67.81999999999999</v>
      </c>
      <c r="AH15" s="49" t="n">
        <v>3</v>
      </c>
      <c r="AI15" s="49" t="n">
        <v>0</v>
      </c>
      <c r="AJ15" s="50" t="n">
        <v>0</v>
      </c>
      <c r="AK15" s="51" t="n">
        <v>4</v>
      </c>
      <c r="AL15" s="52" t="n">
        <v>1.6</v>
      </c>
      <c r="AM15" s="52" t="n">
        <v>41.98</v>
      </c>
      <c r="AN15" s="52" t="n">
        <v>26.24</v>
      </c>
      <c r="AO15" s="53" t="n">
        <v>0.0031</v>
      </c>
      <c r="AP15" s="52" t="n">
        <v>0.4</v>
      </c>
      <c r="AQ15" s="53" t="n">
        <v>0.02359186080802124</v>
      </c>
      <c r="AR15" s="52" t="n">
        <v>22.60666666666667</v>
      </c>
      <c r="AS15" s="51" t="n">
        <v>1296</v>
      </c>
      <c r="AT15" s="48" t="n">
        <v>0</v>
      </c>
      <c r="AU15" s="49" t="n">
        <v>0</v>
      </c>
      <c r="AV15" s="49" t="n">
        <v>0</v>
      </c>
      <c r="AW15" s="50" t="n">
        <v>0</v>
      </c>
      <c r="AX15" s="51" t="n">
        <v>2</v>
      </c>
      <c r="AY15" s="52" t="n">
        <v>0.8</v>
      </c>
      <c r="AZ15" s="52" t="n">
        <v>0</v>
      </c>
      <c r="BA15" s="52" t="n">
        <v>0</v>
      </c>
      <c r="BB15" s="53" t="n">
        <v>0.0019</v>
      </c>
      <c r="BC15" s="52" t="n">
        <v>0.4</v>
      </c>
      <c r="BD15" s="53" t="n">
        <v>0</v>
      </c>
      <c r="BE15" s="52" t="n">
        <v>0</v>
      </c>
      <c r="BF15" s="51" t="n">
        <v>1045</v>
      </c>
    </row>
    <row r="16">
      <c r="A16">
        <f>HYPERLINK("https://www.walmart.com/ip/5674861245", "5674861245")</f>
        <v/>
      </c>
      <c r="B16" t="inlineStr">
        <is>
          <t>Tirrinia Large Cooler Bag,48 Cans Insulated Leakproof Soft Ice Chest, Portable Beach Cooler with Heavy-Duty Handles for Picnic, Beach, Camping, Road Trips</t>
        </is>
      </c>
      <c r="C16" t="inlineStr">
        <is>
          <t>1TRCB00148GYBK</t>
        </is>
      </c>
      <c r="D16" t="inlineStr">
        <is>
          <t>Soft-Sided Coolers</t>
        </is>
      </c>
      <c r="E16" t="inlineStr">
        <is>
          <t>Tirrinia</t>
        </is>
      </c>
      <c r="G16" s="48" t="n">
        <v>82.34999999999999</v>
      </c>
      <c r="H16" s="49" t="n">
        <v>3</v>
      </c>
      <c r="I16" s="49" t="n">
        <v>21</v>
      </c>
      <c r="J16" s="50" t="n">
        <v>0.1428571428571428</v>
      </c>
      <c r="K16" s="51" t="n">
        <v>0</v>
      </c>
      <c r="L16" s="52" t="n">
        <v>0</v>
      </c>
      <c r="M16" s="52" t="n">
        <v>0</v>
      </c>
      <c r="N16" s="52" t="n">
        <v>0</v>
      </c>
      <c r="O16" s="53" t="n">
        <v>0</v>
      </c>
      <c r="P16" s="52" t="n">
        <v>0</v>
      </c>
      <c r="Q16" s="53" t="n">
        <v>0</v>
      </c>
      <c r="R16" s="52" t="n">
        <v>27.45</v>
      </c>
      <c r="S16" s="51" t="n">
        <v>0</v>
      </c>
      <c r="T16" s="48" t="n">
        <v>27.45</v>
      </c>
      <c r="U16" s="49" t="n">
        <v>1</v>
      </c>
      <c r="V16" s="49" t="n">
        <v>13</v>
      </c>
      <c r="W16" s="50" t="n">
        <v>0.07692307692307693</v>
      </c>
      <c r="X16" s="51" t="n">
        <v>0</v>
      </c>
      <c r="Y16" s="52" t="n">
        <v>0</v>
      </c>
      <c r="Z16" s="52" t="n">
        <v>0</v>
      </c>
      <c r="AA16" s="52" t="n">
        <v>0</v>
      </c>
      <c r="AB16" s="53" t="n">
        <v>0</v>
      </c>
      <c r="AC16" s="52" t="n">
        <v>0</v>
      </c>
      <c r="AD16" s="53" t="n">
        <v>0</v>
      </c>
      <c r="AE16" s="52" t="n">
        <v>27.45</v>
      </c>
      <c r="AF16" s="51" t="n">
        <v>0</v>
      </c>
      <c r="AG16" s="48" t="n">
        <v>0</v>
      </c>
      <c r="AH16" s="49" t="n">
        <v>0</v>
      </c>
      <c r="AI16" s="49" t="n">
        <v>0</v>
      </c>
      <c r="AJ16" s="50" t="n">
        <v>0</v>
      </c>
      <c r="AK16" s="51" t="n">
        <v>0</v>
      </c>
      <c r="AL16" s="52" t="n">
        <v>0</v>
      </c>
      <c r="AM16" s="52" t="n">
        <v>0</v>
      </c>
      <c r="AN16" s="52" t="n">
        <v>0</v>
      </c>
      <c r="AO16" s="53" t="n">
        <v>0</v>
      </c>
      <c r="AP16" s="52" t="n">
        <v>0</v>
      </c>
      <c r="AQ16" s="53" t="n">
        <v>0</v>
      </c>
      <c r="AR16" s="52" t="n">
        <v>0</v>
      </c>
      <c r="AS16" s="51" t="n">
        <v>0</v>
      </c>
      <c r="AT16" s="48" t="n">
        <v>27.45</v>
      </c>
      <c r="AU16" s="49" t="n">
        <v>1</v>
      </c>
      <c r="AV16" s="49" t="n">
        <v>0</v>
      </c>
      <c r="AW16" s="50" t="n">
        <v>0</v>
      </c>
      <c r="AX16" s="51" t="n">
        <v>0</v>
      </c>
      <c r="AY16" s="52" t="n">
        <v>0</v>
      </c>
      <c r="AZ16" s="52" t="n">
        <v>0</v>
      </c>
      <c r="BA16" s="52" t="n">
        <v>0</v>
      </c>
      <c r="BB16" s="53" t="n">
        <v>0</v>
      </c>
      <c r="BC16" s="52" t="n">
        <v>0</v>
      </c>
      <c r="BD16" s="53" t="n">
        <v>0</v>
      </c>
      <c r="BE16" s="52" t="n">
        <v>27.45</v>
      </c>
      <c r="BF16" s="51" t="n">
        <v>0</v>
      </c>
    </row>
    <row r="17">
      <c r="A17">
        <f>HYPERLINK("https://www.walmart.com/ip/991591501", "991591501")</f>
        <v/>
      </c>
      <c r="B17" t="inlineStr">
        <is>
          <t>Sun Blocker Sun Hats for Women Summer Beach Flap Hat Large Brim Packable Blue</t>
        </is>
      </c>
      <c r="C17" t="inlineStr">
        <is>
          <t>KC-S9201-BL</t>
        </is>
      </c>
      <c r="D17" t="inlineStr">
        <is>
          <t>Hats</t>
        </is>
      </c>
      <c r="E17" t="inlineStr">
        <is>
          <t>Sun Blocker</t>
        </is>
      </c>
      <c r="F17" t="inlineStr">
        <is>
          <t>Q2-Target,Hats,Batch 1 - TR</t>
        </is>
      </c>
      <c r="G17" s="48" t="n">
        <v>79.95</v>
      </c>
      <c r="H17" s="49" t="n">
        <v>5</v>
      </c>
      <c r="I17" s="49" t="n">
        <v>22</v>
      </c>
      <c r="J17" s="50" t="n">
        <v>0.2272727272727273</v>
      </c>
      <c r="K17" s="51" t="n">
        <v>0</v>
      </c>
      <c r="L17" s="52" t="n">
        <v>0</v>
      </c>
      <c r="M17" s="52" t="n">
        <v>0</v>
      </c>
      <c r="N17" s="52" t="n">
        <v>0</v>
      </c>
      <c r="O17" s="53" t="n">
        <v>0</v>
      </c>
      <c r="P17" s="52" t="n">
        <v>0</v>
      </c>
      <c r="Q17" s="53" t="n">
        <v>0</v>
      </c>
      <c r="R17" s="52" t="n">
        <v>15.99</v>
      </c>
      <c r="S17" s="51" t="n">
        <v>0</v>
      </c>
      <c r="T17" s="48" t="n">
        <v>0</v>
      </c>
      <c r="U17" s="49" t="n">
        <v>0</v>
      </c>
      <c r="V17" s="49" t="n">
        <v>12</v>
      </c>
      <c r="W17" s="50" t="n">
        <v>0</v>
      </c>
      <c r="X17" s="51" t="n">
        <v>0</v>
      </c>
      <c r="Y17" s="52" t="n">
        <v>0</v>
      </c>
      <c r="Z17" s="52" t="n">
        <v>0</v>
      </c>
      <c r="AA17" s="52" t="n">
        <v>0</v>
      </c>
      <c r="AB17" s="53" t="n">
        <v>0</v>
      </c>
      <c r="AC17" s="52" t="n">
        <v>0</v>
      </c>
      <c r="AD17" s="53" t="n">
        <v>0</v>
      </c>
      <c r="AE17" s="52" t="n">
        <v>0</v>
      </c>
      <c r="AF17" s="51" t="n">
        <v>0</v>
      </c>
      <c r="AG17" s="48" t="n">
        <v>0</v>
      </c>
      <c r="AH17" s="49" t="n">
        <v>0</v>
      </c>
      <c r="AI17" s="49" t="n">
        <v>11</v>
      </c>
      <c r="AJ17" s="50" t="n">
        <v>0</v>
      </c>
      <c r="AK17" s="51" t="n">
        <v>0</v>
      </c>
      <c r="AL17" s="52" t="n">
        <v>0</v>
      </c>
      <c r="AM17" s="52" t="n">
        <v>0</v>
      </c>
      <c r="AN17" s="52" t="n">
        <v>0</v>
      </c>
      <c r="AO17" s="53" t="n">
        <v>0</v>
      </c>
      <c r="AP17" s="52" t="n">
        <v>0</v>
      </c>
      <c r="AQ17" s="53" t="n">
        <v>0</v>
      </c>
      <c r="AR17" s="52" t="n">
        <v>0</v>
      </c>
      <c r="AS17" s="51" t="n">
        <v>0</v>
      </c>
      <c r="AT17" s="48" t="n">
        <v>0</v>
      </c>
      <c r="AU17" s="49" t="n">
        <v>0</v>
      </c>
      <c r="AV17" s="49" t="n">
        <v>10</v>
      </c>
      <c r="AW17" s="50" t="n">
        <v>0</v>
      </c>
      <c r="AX17" s="51" t="n">
        <v>0</v>
      </c>
      <c r="AY17" s="52" t="n">
        <v>0</v>
      </c>
      <c r="AZ17" s="52" t="n">
        <v>0</v>
      </c>
      <c r="BA17" s="52" t="n">
        <v>0</v>
      </c>
      <c r="BB17" s="53" t="n">
        <v>0</v>
      </c>
      <c r="BC17" s="52" t="n">
        <v>0</v>
      </c>
      <c r="BD17" s="53" t="n">
        <v>0</v>
      </c>
      <c r="BE17" s="52" t="n">
        <v>0</v>
      </c>
      <c r="BF17" s="51" t="n">
        <v>0</v>
      </c>
    </row>
    <row r="18">
      <c r="A18">
        <f>HYPERLINK("https://www.walmart.com/ip/489010795", "489010795")</f>
        <v/>
      </c>
      <c r="B18" t="inlineStr">
        <is>
          <t>Catalonia Surf Beach Changing Towel With Hood, Super Absorbent Microfiber Swim Robe Poncho for Men and Women, Bath Shower Pool, Black</t>
        </is>
      </c>
      <c r="C18" t="inlineStr">
        <is>
          <t>1CTBR102-BK</t>
        </is>
      </c>
      <c r="D18" t="inlineStr">
        <is>
          <t>Towels &amp; Washcloths</t>
        </is>
      </c>
      <c r="E18" t="inlineStr">
        <is>
          <t>Catalonia</t>
        </is>
      </c>
      <c r="G18" s="48" t="n">
        <v>74.97</v>
      </c>
      <c r="H18" s="49" t="n">
        <v>3</v>
      </c>
      <c r="I18" s="49" t="n">
        <v>0</v>
      </c>
      <c r="J18" s="50" t="n">
        <v>0</v>
      </c>
      <c r="K18" s="51" t="n">
        <v>0</v>
      </c>
      <c r="L18" s="52" t="n">
        <v>0</v>
      </c>
      <c r="M18" s="52" t="n">
        <v>0</v>
      </c>
      <c r="N18" s="52" t="n">
        <v>0</v>
      </c>
      <c r="O18" s="53" t="n">
        <v>0</v>
      </c>
      <c r="P18" s="52" t="n">
        <v>0</v>
      </c>
      <c r="Q18" s="53" t="n">
        <v>0</v>
      </c>
      <c r="R18" s="52" t="n">
        <v>24.99</v>
      </c>
      <c r="S18" s="51" t="n">
        <v>0</v>
      </c>
      <c r="T18" s="48" t="n">
        <v>0</v>
      </c>
      <c r="U18" s="49" t="n">
        <v>0</v>
      </c>
      <c r="V18" s="49" t="n">
        <v>0</v>
      </c>
      <c r="W18" s="50" t="n">
        <v>0</v>
      </c>
      <c r="X18" s="51" t="n">
        <v>0</v>
      </c>
      <c r="Y18" s="52" t="n">
        <v>0</v>
      </c>
      <c r="Z18" s="52" t="n">
        <v>0</v>
      </c>
      <c r="AA18" s="52" t="n">
        <v>0</v>
      </c>
      <c r="AB18" s="53" t="n">
        <v>0</v>
      </c>
      <c r="AC18" s="52" t="n">
        <v>0</v>
      </c>
      <c r="AD18" s="53" t="n">
        <v>0</v>
      </c>
      <c r="AE18" s="52" t="n">
        <v>0</v>
      </c>
      <c r="AF18" s="51" t="n">
        <v>0</v>
      </c>
      <c r="AG18" s="48" t="n">
        <v>0</v>
      </c>
      <c r="AH18" s="49" t="n">
        <v>0</v>
      </c>
      <c r="AI18" s="49" t="n">
        <v>0</v>
      </c>
      <c r="AJ18" s="50" t="n">
        <v>0</v>
      </c>
      <c r="AK18" s="51" t="n">
        <v>0</v>
      </c>
      <c r="AL18" s="52" t="n">
        <v>0</v>
      </c>
      <c r="AM18" s="52" t="n">
        <v>0</v>
      </c>
      <c r="AN18" s="52" t="n">
        <v>0</v>
      </c>
      <c r="AO18" s="53" t="n">
        <v>0</v>
      </c>
      <c r="AP18" s="52" t="n">
        <v>0</v>
      </c>
      <c r="AQ18" s="53" t="n">
        <v>0</v>
      </c>
      <c r="AR18" s="52" t="n">
        <v>0</v>
      </c>
      <c r="AS18" s="51" t="n">
        <v>0</v>
      </c>
      <c r="AT18" s="48" t="n">
        <v>0</v>
      </c>
      <c r="AU18" s="49" t="n">
        <v>0</v>
      </c>
      <c r="AV18" s="49" t="n">
        <v>0</v>
      </c>
      <c r="AW18" s="50" t="n">
        <v>0</v>
      </c>
      <c r="AX18" s="51" t="n">
        <v>0</v>
      </c>
      <c r="AY18" s="52" t="n">
        <v>0</v>
      </c>
      <c r="AZ18" s="52" t="n">
        <v>0</v>
      </c>
      <c r="BA18" s="52" t="n">
        <v>0</v>
      </c>
      <c r="BB18" s="53" t="n">
        <v>0</v>
      </c>
      <c r="BC18" s="52" t="n">
        <v>0</v>
      </c>
      <c r="BD18" s="53" t="n">
        <v>0</v>
      </c>
      <c r="BE18" s="52" t="n">
        <v>0</v>
      </c>
      <c r="BF18" s="51" t="n">
        <v>0</v>
      </c>
    </row>
    <row r="19">
      <c r="A19">
        <f>HYPERLINK("https://www.walmart.com/ip/630170738", "630170738")</f>
        <v/>
      </c>
      <c r="B19" t="inlineStr">
        <is>
          <t>Catalonia Surf Beach Changing Towel With Hood, Super Absorbent Microfiber Swim Robe Poncho for Men Women Bath Shower Pool, Navy</t>
        </is>
      </c>
      <c r="C19" t="inlineStr">
        <is>
          <t>1CTBR102-NY</t>
        </is>
      </c>
      <c r="D19" t="inlineStr">
        <is>
          <t>Towels &amp; Washcloths</t>
        </is>
      </c>
      <c r="E19" t="inlineStr">
        <is>
          <t>Catalonia</t>
        </is>
      </c>
      <c r="G19" s="48" t="n">
        <v>71.97</v>
      </c>
      <c r="H19" s="49" t="n">
        <v>3</v>
      </c>
      <c r="I19" s="49" t="n">
        <v>2</v>
      </c>
      <c r="J19" s="50" t="n">
        <v>1.5</v>
      </c>
      <c r="K19" s="51" t="n">
        <v>0</v>
      </c>
      <c r="L19" s="52" t="n">
        <v>0</v>
      </c>
      <c r="M19" s="52" t="n">
        <v>0</v>
      </c>
      <c r="N19" s="52" t="n">
        <v>0</v>
      </c>
      <c r="O19" s="53" t="n">
        <v>0</v>
      </c>
      <c r="P19" s="52" t="n">
        <v>0</v>
      </c>
      <c r="Q19" s="53" t="n">
        <v>0</v>
      </c>
      <c r="R19" s="52" t="n">
        <v>23.99</v>
      </c>
      <c r="S19" s="51" t="n">
        <v>0</v>
      </c>
      <c r="T19" s="48" t="n">
        <v>47.98</v>
      </c>
      <c r="U19" s="49" t="n">
        <v>2</v>
      </c>
      <c r="V19" s="49" t="n">
        <v>4</v>
      </c>
      <c r="W19" s="50" t="n">
        <v>0.5</v>
      </c>
      <c r="X19" s="51" t="n">
        <v>0</v>
      </c>
      <c r="Y19" s="52" t="n">
        <v>0</v>
      </c>
      <c r="Z19" s="52" t="n">
        <v>0</v>
      </c>
      <c r="AA19" s="52" t="n">
        <v>0</v>
      </c>
      <c r="AB19" s="53" t="n">
        <v>0</v>
      </c>
      <c r="AC19" s="52" t="n">
        <v>0</v>
      </c>
      <c r="AD19" s="53" t="n">
        <v>0</v>
      </c>
      <c r="AE19" s="52" t="n">
        <v>23.99</v>
      </c>
      <c r="AF19" s="51" t="n">
        <v>0</v>
      </c>
      <c r="AG19" s="48" t="n">
        <v>0</v>
      </c>
      <c r="AH19" s="49" t="n">
        <v>0</v>
      </c>
      <c r="AI19" s="49" t="n">
        <v>1</v>
      </c>
      <c r="AJ19" s="50" t="n">
        <v>0</v>
      </c>
      <c r="AK19" s="51" t="n">
        <v>0</v>
      </c>
      <c r="AL19" s="52" t="n">
        <v>0</v>
      </c>
      <c r="AM19" s="52" t="n">
        <v>0</v>
      </c>
      <c r="AN19" s="52" t="n">
        <v>0</v>
      </c>
      <c r="AO19" s="53" t="n">
        <v>0</v>
      </c>
      <c r="AP19" s="52" t="n">
        <v>0</v>
      </c>
      <c r="AQ19" s="53" t="n">
        <v>0</v>
      </c>
      <c r="AR19" s="52" t="n">
        <v>0</v>
      </c>
      <c r="AS19" s="51" t="n">
        <v>0</v>
      </c>
      <c r="AT19" s="48" t="n">
        <v>23.99</v>
      </c>
      <c r="AU19" s="49" t="n">
        <v>1</v>
      </c>
      <c r="AV19" s="49" t="n">
        <v>0</v>
      </c>
      <c r="AW19" s="50" t="n">
        <v>0</v>
      </c>
      <c r="AX19" s="51" t="n">
        <v>0</v>
      </c>
      <c r="AY19" s="52" t="n">
        <v>0</v>
      </c>
      <c r="AZ19" s="52" t="n">
        <v>0</v>
      </c>
      <c r="BA19" s="52" t="n">
        <v>0</v>
      </c>
      <c r="BB19" s="53" t="n">
        <v>0</v>
      </c>
      <c r="BC19" s="52" t="n">
        <v>0</v>
      </c>
      <c r="BD19" s="53" t="n">
        <v>0</v>
      </c>
      <c r="BE19" s="52" t="n">
        <v>23.99</v>
      </c>
      <c r="BF19" s="51" t="n">
        <v>0</v>
      </c>
    </row>
    <row r="20">
      <c r="A20">
        <f>HYPERLINK("https://www.walmart.com/ip/1324704566", "1324704566")</f>
        <v/>
      </c>
      <c r="B20" t="inlineStr">
        <is>
          <t>Tirrinia Wearable Blanket with Feet Pockets for Women and Men, Fleece Blanket with Zippered Front Pocket, Super Soft Lightweight Car Pillow, One Size Fits All, Dark blue</t>
        </is>
      </c>
      <c r="C20" t="inlineStr">
        <is>
          <t>1TRTB102DBL</t>
        </is>
      </c>
      <c r="D20" t="inlineStr">
        <is>
          <t>Throws</t>
        </is>
      </c>
      <c r="E20" t="inlineStr">
        <is>
          <t>Tirrinia</t>
        </is>
      </c>
      <c r="G20" s="48" t="n">
        <v>69.95999999999999</v>
      </c>
      <c r="H20" s="49" t="n">
        <v>4</v>
      </c>
      <c r="I20" s="49" t="n">
        <v>7</v>
      </c>
      <c r="J20" s="50" t="n">
        <v>0.5714285714285714</v>
      </c>
      <c r="K20" s="51" t="n">
        <v>0</v>
      </c>
      <c r="L20" s="52" t="n">
        <v>0</v>
      </c>
      <c r="M20" s="52" t="n">
        <v>0</v>
      </c>
      <c r="N20" s="52" t="n">
        <v>0</v>
      </c>
      <c r="O20" s="53" t="n">
        <v>0</v>
      </c>
      <c r="P20" s="52" t="n">
        <v>0</v>
      </c>
      <c r="Q20" s="53" t="n">
        <v>0</v>
      </c>
      <c r="R20" s="52" t="n">
        <v>17.49</v>
      </c>
      <c r="S20" s="51" t="n">
        <v>0</v>
      </c>
      <c r="T20" s="48" t="n">
        <v>33.98</v>
      </c>
      <c r="U20" s="49" t="n">
        <v>2</v>
      </c>
      <c r="V20" s="49" t="n">
        <v>5</v>
      </c>
      <c r="W20" s="50" t="n">
        <v>0.4</v>
      </c>
      <c r="X20" s="51" t="n">
        <v>0</v>
      </c>
      <c r="Y20" s="52" t="n">
        <v>0</v>
      </c>
      <c r="Z20" s="52" t="n">
        <v>0</v>
      </c>
      <c r="AA20" s="52" t="n">
        <v>0</v>
      </c>
      <c r="AB20" s="53" t="n">
        <v>0</v>
      </c>
      <c r="AC20" s="52" t="n">
        <v>0</v>
      </c>
      <c r="AD20" s="53" t="n">
        <v>0</v>
      </c>
      <c r="AE20" s="52" t="n">
        <v>16.99</v>
      </c>
      <c r="AF20" s="51" t="n">
        <v>0</v>
      </c>
      <c r="AG20" s="48" t="n">
        <v>0</v>
      </c>
      <c r="AH20" s="49" t="n">
        <v>0</v>
      </c>
      <c r="AI20" s="49" t="n">
        <v>0</v>
      </c>
      <c r="AJ20" s="50" t="n">
        <v>0</v>
      </c>
      <c r="AK20" s="51" t="n">
        <v>0</v>
      </c>
      <c r="AL20" s="52" t="n">
        <v>0</v>
      </c>
      <c r="AM20" s="52" t="n">
        <v>0</v>
      </c>
      <c r="AN20" s="52" t="n">
        <v>0</v>
      </c>
      <c r="AO20" s="53" t="n">
        <v>0</v>
      </c>
      <c r="AP20" s="52" t="n">
        <v>0</v>
      </c>
      <c r="AQ20" s="53" t="n">
        <v>0</v>
      </c>
      <c r="AR20" s="52" t="n">
        <v>0</v>
      </c>
      <c r="AS20" s="51" t="n">
        <v>0</v>
      </c>
      <c r="AT20" s="48" t="n">
        <v>-16.99</v>
      </c>
      <c r="AU20" s="49" t="n">
        <v>-1</v>
      </c>
      <c r="AV20" s="49" t="n">
        <v>0</v>
      </c>
      <c r="AW20" s="50" t="n">
        <v>0</v>
      </c>
      <c r="AX20" s="51" t="n">
        <v>0</v>
      </c>
      <c r="AY20" s="52" t="n">
        <v>0</v>
      </c>
      <c r="AZ20" s="52" t="n">
        <v>0</v>
      </c>
      <c r="BA20" s="52" t="n">
        <v>0</v>
      </c>
      <c r="BB20" s="53" t="n">
        <v>0</v>
      </c>
      <c r="BC20" s="52" t="n">
        <v>0</v>
      </c>
      <c r="BD20" s="53" t="n">
        <v>0</v>
      </c>
      <c r="BE20" s="52" t="n">
        <v>0</v>
      </c>
      <c r="BF20" s="51" t="n">
        <v>0</v>
      </c>
    </row>
    <row r="21">
      <c r="A21">
        <f>HYPERLINK("https://www.walmart.com/ip/537572511", "537572511")</f>
        <v/>
      </c>
      <c r="B21" t="inlineStr">
        <is>
          <t>Catalonia Surf Beach Changing Towel With Hood, Super Absorbent Microfiber Swim Robe Poncho for Men Women Bath Shower Pool,Gray</t>
        </is>
      </c>
      <c r="C21" t="inlineStr">
        <is>
          <t>1CTBR102-GY</t>
        </is>
      </c>
      <c r="D21" t="inlineStr">
        <is>
          <t>Towels &amp; Washcloths</t>
        </is>
      </c>
      <c r="E21" t="inlineStr">
        <is>
          <t>Catalonia</t>
        </is>
      </c>
      <c r="G21" s="48" t="n">
        <v>68.97</v>
      </c>
      <c r="H21" s="49" t="n">
        <v>3</v>
      </c>
      <c r="I21" s="49" t="n">
        <v>5</v>
      </c>
      <c r="J21" s="50" t="n">
        <v>0.6</v>
      </c>
      <c r="K21" s="51" t="n">
        <v>11</v>
      </c>
      <c r="L21" s="52" t="n">
        <v>6.199999999999999</v>
      </c>
      <c r="M21" s="52" t="n">
        <v>0</v>
      </c>
      <c r="N21" s="52" t="n">
        <v>0</v>
      </c>
      <c r="O21" s="53" t="n">
        <v>0.0068</v>
      </c>
      <c r="P21" s="52" t="n">
        <v>0.5636363636363636</v>
      </c>
      <c r="Q21" s="53" t="n">
        <v>0.0898941568798028</v>
      </c>
      <c r="R21" s="52" t="n">
        <v>22.99</v>
      </c>
      <c r="S21" s="51" t="n">
        <v>1610</v>
      </c>
      <c r="T21" s="48" t="n">
        <v>22.99</v>
      </c>
      <c r="U21" s="49" t="n">
        <v>1</v>
      </c>
      <c r="V21" s="49" t="n">
        <v>6</v>
      </c>
      <c r="W21" s="50" t="n">
        <v>0.1666666666666667</v>
      </c>
      <c r="X21" s="51" t="n">
        <v>28</v>
      </c>
      <c r="Y21" s="52" t="n">
        <v>17.22</v>
      </c>
      <c r="Z21" s="52" t="n">
        <v>309.87</v>
      </c>
      <c r="AA21" s="52" t="n">
        <v>17.99</v>
      </c>
      <c r="AB21" s="53" t="n">
        <v>0.0112</v>
      </c>
      <c r="AC21" s="52" t="n">
        <v>0.615</v>
      </c>
      <c r="AD21" s="53" t="n">
        <v>0.7490213136146151</v>
      </c>
      <c r="AE21" s="52" t="n">
        <v>22.99</v>
      </c>
      <c r="AF21" s="51" t="n">
        <v>2501</v>
      </c>
      <c r="AG21" s="48" t="n">
        <v>0</v>
      </c>
      <c r="AH21" s="49" t="n">
        <v>0</v>
      </c>
      <c r="AI21" s="49" t="n">
        <v>4</v>
      </c>
      <c r="AJ21" s="50" t="n">
        <v>0</v>
      </c>
      <c r="AK21" s="51" t="n">
        <v>23</v>
      </c>
      <c r="AL21" s="52" t="n">
        <v>11.02</v>
      </c>
      <c r="AM21" s="52" t="n">
        <v>23.8</v>
      </c>
      <c r="AN21" s="52" t="n">
        <v>2.16</v>
      </c>
      <c r="AO21" s="53" t="n">
        <v>0.008699999999999999</v>
      </c>
      <c r="AP21" s="52" t="n">
        <v>0.4791304347826087</v>
      </c>
      <c r="AQ21" s="53" t="n">
        <v>0</v>
      </c>
      <c r="AR21" s="52" t="n">
        <v>0</v>
      </c>
      <c r="AS21" s="51" t="n">
        <v>2643</v>
      </c>
      <c r="AT21" s="48" t="n">
        <v>74.52</v>
      </c>
      <c r="AU21" s="49" t="n">
        <v>3</v>
      </c>
      <c r="AV21" s="49" t="n">
        <v>7</v>
      </c>
      <c r="AW21" s="50" t="n">
        <v>0.4285714285714285</v>
      </c>
      <c r="AX21" s="51" t="n">
        <v>27</v>
      </c>
      <c r="AY21" s="52" t="n">
        <v>15.12</v>
      </c>
      <c r="AZ21" s="52" t="n">
        <v>92.95999999999999</v>
      </c>
      <c r="BA21" s="52" t="n">
        <v>6.15</v>
      </c>
      <c r="BB21" s="53" t="n">
        <v>0.0113</v>
      </c>
      <c r="BC21" s="52" t="n">
        <v>0.5600000000000001</v>
      </c>
      <c r="BD21" s="53" t="n">
        <v>0.2028985507246377</v>
      </c>
      <c r="BE21" s="52" t="n">
        <v>24.84</v>
      </c>
      <c r="BF21" s="51" t="n">
        <v>2394</v>
      </c>
    </row>
    <row r="22">
      <c r="A22">
        <f>HYPERLINK("https://www.walmart.com/ip/102593448", "102593448")</f>
        <v/>
      </c>
      <c r="B22" t="inlineStr">
        <is>
          <t>Tirrinia Insulated Lunch Bags for Women and Men, Leakproof Reusable Meal Prep Bento Box Insulated Cooler Bag with Dual Compartment, Black, 13L/ 22 Can</t>
        </is>
      </c>
      <c r="C22" t="inlineStr">
        <is>
          <t>1KTLB410BK</t>
        </is>
      </c>
      <c r="D22" t="inlineStr">
        <is>
          <t>Reusable Lunch Bags &amp; Boxes</t>
        </is>
      </c>
      <c r="E22" t="inlineStr">
        <is>
          <t>Tirrinia</t>
        </is>
      </c>
      <c r="F22" t="inlineStr">
        <is>
          <t>Q2-Target,Brand Camp VD,Lunch Bag,WFS,Lunch Bags,Wal-Exl-Price,WFS Item</t>
        </is>
      </c>
      <c r="G22" s="48" t="n">
        <v>66.95999999999999</v>
      </c>
      <c r="H22" s="49" t="n">
        <v>3</v>
      </c>
      <c r="I22" s="49" t="n">
        <v>50</v>
      </c>
      <c r="J22" s="50" t="n">
        <v>0.06</v>
      </c>
      <c r="K22" s="51" t="n">
        <v>0</v>
      </c>
      <c r="L22" s="52" t="n">
        <v>0</v>
      </c>
      <c r="M22" s="52" t="n">
        <v>0</v>
      </c>
      <c r="N22" s="52" t="n">
        <v>0</v>
      </c>
      <c r="O22" s="53" t="n">
        <v>0</v>
      </c>
      <c r="P22" s="52" t="n">
        <v>0</v>
      </c>
      <c r="Q22" s="53" t="n">
        <v>0</v>
      </c>
      <c r="R22" s="52" t="n">
        <v>22.32</v>
      </c>
      <c r="S22" s="51" t="n">
        <v>0</v>
      </c>
      <c r="T22" s="48" t="n">
        <v>124.61</v>
      </c>
      <c r="U22" s="49" t="n">
        <v>6</v>
      </c>
      <c r="V22" s="49" t="n">
        <v>66</v>
      </c>
      <c r="W22" s="50" t="n">
        <v>0.09090909090909091</v>
      </c>
      <c r="X22" s="51" t="n">
        <v>0</v>
      </c>
      <c r="Y22" s="52" t="n">
        <v>0</v>
      </c>
      <c r="Z22" s="52" t="n">
        <v>0</v>
      </c>
      <c r="AA22" s="52" t="n">
        <v>0</v>
      </c>
      <c r="AB22" s="53" t="n">
        <v>0</v>
      </c>
      <c r="AC22" s="52" t="n">
        <v>0</v>
      </c>
      <c r="AD22" s="53" t="n">
        <v>0</v>
      </c>
      <c r="AE22" s="52" t="n">
        <v>20.76833333333333</v>
      </c>
      <c r="AF22" s="51" t="n">
        <v>0</v>
      </c>
      <c r="AG22" s="48" t="n">
        <v>79.95999999999999</v>
      </c>
      <c r="AH22" s="49" t="n">
        <v>4</v>
      </c>
      <c r="AI22" s="49" t="n">
        <v>57</v>
      </c>
      <c r="AJ22" s="50" t="n">
        <v>0.07017543859649122</v>
      </c>
      <c r="AK22" s="51" t="n">
        <v>0</v>
      </c>
      <c r="AL22" s="52" t="n">
        <v>0</v>
      </c>
      <c r="AM22" s="52" t="n">
        <v>0</v>
      </c>
      <c r="AN22" s="52" t="n">
        <v>0</v>
      </c>
      <c r="AO22" s="53" t="n">
        <v>0</v>
      </c>
      <c r="AP22" s="52" t="n">
        <v>0</v>
      </c>
      <c r="AQ22" s="53" t="n">
        <v>0</v>
      </c>
      <c r="AR22" s="52" t="n">
        <v>19.99</v>
      </c>
      <c r="AS22" s="51" t="n">
        <v>0</v>
      </c>
      <c r="AT22" s="48" t="n">
        <v>113.93</v>
      </c>
      <c r="AU22" s="49" t="n">
        <v>5</v>
      </c>
      <c r="AV22" s="49" t="n">
        <v>59</v>
      </c>
      <c r="AW22" s="50" t="n">
        <v>0.0847457627118644</v>
      </c>
      <c r="AX22" s="51" t="n">
        <v>0</v>
      </c>
      <c r="AY22" s="52" t="n">
        <v>0</v>
      </c>
      <c r="AZ22" s="52" t="n">
        <v>0</v>
      </c>
      <c r="BA22" s="52" t="n">
        <v>0</v>
      </c>
      <c r="BB22" s="53" t="n">
        <v>0</v>
      </c>
      <c r="BC22" s="52" t="n">
        <v>0</v>
      </c>
      <c r="BD22" s="53" t="n">
        <v>0</v>
      </c>
      <c r="BE22" s="52" t="n">
        <v>22.786</v>
      </c>
      <c r="BF22" s="51" t="n">
        <v>0</v>
      </c>
    </row>
    <row r="23">
      <c r="A23">
        <f>HYPERLINK("https://www.walmart.com/ip/5276644453", "5276644453")</f>
        <v/>
      </c>
      <c r="B23" t="inlineStr">
        <is>
          <t>Catalonia Waterproof Blanket for Bed, Reversible Baby Pet Pee Proof Dog Blanket, Large Couch Sofa Cover Furniture Boat Mattress Protector, Grey, King Size 96" x 102".</t>
        </is>
      </c>
      <c r="C23" t="inlineStr">
        <is>
          <t>1CTBW20119LGDG</t>
        </is>
      </c>
      <c r="D23" t="inlineStr">
        <is>
          <t>Throws</t>
        </is>
      </c>
      <c r="E23" t="inlineStr">
        <is>
          <t>Catalonia</t>
        </is>
      </c>
      <c r="F23" t="inlineStr">
        <is>
          <t>Q2-Target,High AUR Items</t>
        </is>
      </c>
      <c r="G23" s="48" t="n">
        <v>65.98999999999999</v>
      </c>
      <c r="H23" s="49" t="n">
        <v>1</v>
      </c>
      <c r="I23" s="49" t="n">
        <v>0</v>
      </c>
      <c r="J23" s="50" t="n">
        <v>0</v>
      </c>
      <c r="K23" s="51" t="n">
        <v>3</v>
      </c>
      <c r="L23" s="52" t="n">
        <v>0.8200000000000001</v>
      </c>
      <c r="M23" s="52" t="n">
        <v>0</v>
      </c>
      <c r="N23" s="52" t="n">
        <v>0</v>
      </c>
      <c r="O23" s="53" t="n">
        <v>0.0021</v>
      </c>
      <c r="P23" s="52" t="n">
        <v>0.2733333333333334</v>
      </c>
      <c r="Q23" s="53" t="n">
        <v>0.01242612517048038</v>
      </c>
      <c r="R23" s="52" t="n">
        <v>65.98999999999999</v>
      </c>
      <c r="S23" s="51" t="n">
        <v>1442</v>
      </c>
      <c r="T23" s="48" t="n">
        <v>131.98</v>
      </c>
      <c r="U23" s="49" t="n">
        <v>2</v>
      </c>
      <c r="V23" s="49" t="n">
        <v>0</v>
      </c>
      <c r="W23" s="50" t="n">
        <v>0</v>
      </c>
      <c r="X23" s="51" t="n">
        <v>2</v>
      </c>
      <c r="Y23" s="52" t="n">
        <v>0.62</v>
      </c>
      <c r="Z23" s="52" t="n">
        <v>0</v>
      </c>
      <c r="AA23" s="52" t="n">
        <v>0</v>
      </c>
      <c r="AB23" s="53" t="n">
        <v>0.0007</v>
      </c>
      <c r="AC23" s="52" t="n">
        <v>0.31</v>
      </c>
      <c r="AD23" s="53" t="n">
        <v>0.004697681466888923</v>
      </c>
      <c r="AE23" s="52" t="n">
        <v>65.98999999999999</v>
      </c>
      <c r="AF23" s="51" t="n">
        <v>2833</v>
      </c>
      <c r="AG23" s="48" t="n">
        <v>0</v>
      </c>
      <c r="AH23" s="49" t="n">
        <v>0</v>
      </c>
      <c r="AI23" s="49" t="n">
        <v>0</v>
      </c>
      <c r="AJ23" s="50" t="n">
        <v>0</v>
      </c>
      <c r="AK23" s="51" t="n">
        <v>0</v>
      </c>
      <c r="AL23" s="52" t="n">
        <v>0</v>
      </c>
      <c r="AM23" s="52" t="n">
        <v>0</v>
      </c>
      <c r="AN23" s="52" t="n">
        <v>0</v>
      </c>
      <c r="AO23" s="53" t="n">
        <v>0</v>
      </c>
      <c r="AP23" s="52" t="n">
        <v>0</v>
      </c>
      <c r="AQ23" s="53" t="n">
        <v>0</v>
      </c>
      <c r="AR23" s="52" t="n">
        <v>0</v>
      </c>
      <c r="AS23" s="51" t="n">
        <v>0</v>
      </c>
      <c r="AT23" s="48" t="n">
        <v>0</v>
      </c>
      <c r="AU23" s="49" t="n">
        <v>0</v>
      </c>
      <c r="AV23" s="49" t="n">
        <v>0</v>
      </c>
      <c r="AW23" s="50" t="n">
        <v>0</v>
      </c>
      <c r="AX23" s="51" t="n">
        <v>1</v>
      </c>
      <c r="AY23" s="52" t="n">
        <v>0.22</v>
      </c>
      <c r="AZ23" s="52" t="n">
        <v>0</v>
      </c>
      <c r="BA23" s="52" t="n">
        <v>0</v>
      </c>
      <c r="BB23" s="53" t="n">
        <v>0.0022</v>
      </c>
      <c r="BC23" s="52" t="n">
        <v>0.22</v>
      </c>
      <c r="BD23" s="53" t="n">
        <v>0</v>
      </c>
      <c r="BE23" s="52" t="n">
        <v>0</v>
      </c>
      <c r="BF23" s="51" t="n">
        <v>455</v>
      </c>
    </row>
    <row r="24">
      <c r="A24">
        <f>HYPERLINK("https://www.walmart.com/ip/983813650", "983813650")</f>
        <v/>
      </c>
      <c r="B24" t="inlineStr">
        <is>
          <t>Sun Blocker Unisex Travel Sun Hat UPF 50+ Female Large Brim Beach Neck Flap Hat for Camping Gardening Travel, Tan</t>
        </is>
      </c>
      <c r="C24" t="inlineStr">
        <is>
          <t>KC-S9201-TN</t>
        </is>
      </c>
      <c r="D24" t="inlineStr">
        <is>
          <t>Hats</t>
        </is>
      </c>
      <c r="E24" t="inlineStr">
        <is>
          <t>Sun Blocker</t>
        </is>
      </c>
      <c r="F24" t="inlineStr">
        <is>
          <t>Q2-Target,Batch 1 - TR</t>
        </is>
      </c>
      <c r="G24" s="48" t="n">
        <v>63.96</v>
      </c>
      <c r="H24" s="49" t="n">
        <v>4</v>
      </c>
      <c r="I24" s="49" t="n">
        <v>12</v>
      </c>
      <c r="J24" s="50" t="n">
        <v>0.3333333333333333</v>
      </c>
      <c r="K24" s="51" t="n">
        <v>0</v>
      </c>
      <c r="L24" s="52" t="n">
        <v>0</v>
      </c>
      <c r="M24" s="52" t="n">
        <v>0</v>
      </c>
      <c r="N24" s="52" t="n">
        <v>0</v>
      </c>
      <c r="O24" s="53" t="n">
        <v>0</v>
      </c>
      <c r="P24" s="52" t="n">
        <v>0</v>
      </c>
      <c r="Q24" s="53" t="n">
        <v>0</v>
      </c>
      <c r="R24" s="52" t="n">
        <v>15.99</v>
      </c>
      <c r="S24" s="51" t="n">
        <v>0</v>
      </c>
      <c r="T24" s="48" t="n">
        <v>15.99</v>
      </c>
      <c r="U24" s="49" t="n">
        <v>1</v>
      </c>
      <c r="V24" s="49" t="n">
        <v>5</v>
      </c>
      <c r="W24" s="50" t="n">
        <v>0.2</v>
      </c>
      <c r="X24" s="51" t="n">
        <v>0</v>
      </c>
      <c r="Y24" s="52" t="n">
        <v>0</v>
      </c>
      <c r="Z24" s="52" t="n">
        <v>0</v>
      </c>
      <c r="AA24" s="52" t="n">
        <v>0</v>
      </c>
      <c r="AB24" s="53" t="n">
        <v>0</v>
      </c>
      <c r="AC24" s="52" t="n">
        <v>0</v>
      </c>
      <c r="AD24" s="53" t="n">
        <v>0</v>
      </c>
      <c r="AE24" s="52" t="n">
        <v>15.99</v>
      </c>
      <c r="AF24" s="51" t="n">
        <v>0</v>
      </c>
      <c r="AG24" s="48" t="n">
        <v>22.98</v>
      </c>
      <c r="AH24" s="49" t="n">
        <v>1</v>
      </c>
      <c r="AI24" s="49" t="n">
        <v>6</v>
      </c>
      <c r="AJ24" s="50" t="n">
        <v>0.1666666666666667</v>
      </c>
      <c r="AK24" s="51" t="n">
        <v>0</v>
      </c>
      <c r="AL24" s="52" t="n">
        <v>0</v>
      </c>
      <c r="AM24" s="52" t="n">
        <v>0</v>
      </c>
      <c r="AN24" s="52" t="n">
        <v>0</v>
      </c>
      <c r="AO24" s="53" t="n">
        <v>0</v>
      </c>
      <c r="AP24" s="52" t="n">
        <v>0</v>
      </c>
      <c r="AQ24" s="53" t="n">
        <v>0</v>
      </c>
      <c r="AR24" s="52" t="n">
        <v>22.98</v>
      </c>
      <c r="AS24" s="51" t="n">
        <v>0</v>
      </c>
      <c r="AT24" s="48" t="n">
        <v>0</v>
      </c>
      <c r="AU24" s="49" t="n">
        <v>0</v>
      </c>
      <c r="AV24" s="49" t="n">
        <v>6</v>
      </c>
      <c r="AW24" s="50" t="n">
        <v>0</v>
      </c>
      <c r="AX24" s="51" t="n">
        <v>0</v>
      </c>
      <c r="AY24" s="52" t="n">
        <v>0</v>
      </c>
      <c r="AZ24" s="52" t="n">
        <v>0</v>
      </c>
      <c r="BA24" s="52" t="n">
        <v>0</v>
      </c>
      <c r="BB24" s="53" t="n">
        <v>0</v>
      </c>
      <c r="BC24" s="52" t="n">
        <v>0</v>
      </c>
      <c r="BD24" s="53" t="n">
        <v>0</v>
      </c>
      <c r="BE24" s="52" t="n">
        <v>0</v>
      </c>
      <c r="BF24" s="51" t="n">
        <v>0</v>
      </c>
    </row>
    <row r="25">
      <c r="A25">
        <f>HYPERLINK("https://www.walmart.com/ip/607791061", "607791061")</f>
        <v/>
      </c>
      <c r="B25" t="inlineStr">
        <is>
          <t>Solaris Sun Hat for Women, Wide Brim Summer Beach Hat with Neck Flap, UPF 50+ Fishing Hat for Hiking, Gray</t>
        </is>
      </c>
      <c r="C25" t="inlineStr">
        <is>
          <t>KC-S9201-GY</t>
        </is>
      </c>
      <c r="D25" t="inlineStr">
        <is>
          <t>Hats</t>
        </is>
      </c>
      <c r="E25" t="inlineStr">
        <is>
          <t>Sun Blocker</t>
        </is>
      </c>
      <c r="F25" t="inlineStr">
        <is>
          <t>Q2-Target,Hats,Batch 1 - TR</t>
        </is>
      </c>
      <c r="G25" s="48" t="n">
        <v>63.96</v>
      </c>
      <c r="H25" s="49" t="n">
        <v>4</v>
      </c>
      <c r="I25" s="49" t="n">
        <v>143</v>
      </c>
      <c r="J25" s="50" t="n">
        <v>0.02797202797202797</v>
      </c>
      <c r="K25" s="51" t="n">
        <v>0</v>
      </c>
      <c r="L25" s="52" t="n">
        <v>0</v>
      </c>
      <c r="M25" s="52" t="n">
        <v>0</v>
      </c>
      <c r="N25" s="52" t="n">
        <v>0</v>
      </c>
      <c r="O25" s="53" t="n">
        <v>0</v>
      </c>
      <c r="P25" s="52" t="n">
        <v>0</v>
      </c>
      <c r="Q25" s="53" t="n">
        <v>0</v>
      </c>
      <c r="R25" s="52" t="n">
        <v>15.99</v>
      </c>
      <c r="S25" s="51" t="n">
        <v>0</v>
      </c>
      <c r="T25" s="48" t="n">
        <v>47.97</v>
      </c>
      <c r="U25" s="49" t="n">
        <v>3</v>
      </c>
      <c r="V25" s="49" t="n">
        <v>114</v>
      </c>
      <c r="W25" s="50" t="n">
        <v>0.02631578947368421</v>
      </c>
      <c r="X25" s="51" t="n">
        <v>0</v>
      </c>
      <c r="Y25" s="52" t="n">
        <v>0</v>
      </c>
      <c r="Z25" s="52" t="n">
        <v>0</v>
      </c>
      <c r="AA25" s="52" t="n">
        <v>0</v>
      </c>
      <c r="AB25" s="53" t="n">
        <v>0</v>
      </c>
      <c r="AC25" s="52" t="n">
        <v>0</v>
      </c>
      <c r="AD25" s="53" t="n">
        <v>0</v>
      </c>
      <c r="AE25" s="52" t="n">
        <v>15.99</v>
      </c>
      <c r="AF25" s="51" t="n">
        <v>0</v>
      </c>
      <c r="AG25" s="48" t="n">
        <v>47.97</v>
      </c>
      <c r="AH25" s="49" t="n">
        <v>3</v>
      </c>
      <c r="AI25" s="49" t="n">
        <v>116</v>
      </c>
      <c r="AJ25" s="50" t="n">
        <v>0.02586206896551724</v>
      </c>
      <c r="AK25" s="51" t="n">
        <v>0</v>
      </c>
      <c r="AL25" s="52" t="n">
        <v>0</v>
      </c>
      <c r="AM25" s="52" t="n">
        <v>0</v>
      </c>
      <c r="AN25" s="52" t="n">
        <v>0</v>
      </c>
      <c r="AO25" s="53" t="n">
        <v>0</v>
      </c>
      <c r="AP25" s="52" t="n">
        <v>0</v>
      </c>
      <c r="AQ25" s="53" t="n">
        <v>0</v>
      </c>
      <c r="AR25" s="52" t="n">
        <v>15.99</v>
      </c>
      <c r="AS25" s="51" t="n">
        <v>0</v>
      </c>
      <c r="AT25" s="48" t="n">
        <v>47.97</v>
      </c>
      <c r="AU25" s="49" t="n">
        <v>3</v>
      </c>
      <c r="AV25" s="49" t="n">
        <v>72</v>
      </c>
      <c r="AW25" s="50" t="n">
        <v>0.04166666666666666</v>
      </c>
      <c r="AX25" s="51" t="n">
        <v>0</v>
      </c>
      <c r="AY25" s="52" t="n">
        <v>0</v>
      </c>
      <c r="AZ25" s="52" t="n">
        <v>0</v>
      </c>
      <c r="BA25" s="52" t="n">
        <v>0</v>
      </c>
      <c r="BB25" s="53" t="n">
        <v>0</v>
      </c>
      <c r="BC25" s="52" t="n">
        <v>0</v>
      </c>
      <c r="BD25" s="53" t="n">
        <v>0</v>
      </c>
      <c r="BE25" s="52" t="n">
        <v>15.99</v>
      </c>
      <c r="BF25" s="51" t="n">
        <v>0</v>
      </c>
    </row>
    <row r="26">
      <c r="A26">
        <f>HYPERLINK("https://www.walmart.com/ip/942219918", "942219918")</f>
        <v/>
      </c>
      <c r="B26" t="inlineStr">
        <is>
          <t>Catalonia Flyingstar Mermaid Tail Blanket, Soft Flannel Fleece Blanket, All Seasons Sleeping Blanket for Kids, Rainbow Ombre Fish Scale Design Snuggle Blanket, 61" x 19"</t>
        </is>
      </c>
      <c r="C26" t="inlineStr">
        <is>
          <t>1WMMM500MUL</t>
        </is>
      </c>
      <c r="D26" t="inlineStr">
        <is>
          <t>Baby Blankets</t>
        </is>
      </c>
      <c r="E26" t="inlineStr">
        <is>
          <t>Flyingstar</t>
        </is>
      </c>
      <c r="F26" t="inlineStr">
        <is>
          <t>Baby days,Hero 5 Holidays,WFS,SEM,WFS Item</t>
        </is>
      </c>
      <c r="G26" s="48" t="n">
        <v>61.39</v>
      </c>
      <c r="H26" s="49" t="n">
        <v>3</v>
      </c>
      <c r="I26" s="49" t="n">
        <v>7</v>
      </c>
      <c r="J26" s="50" t="n">
        <v>0.4285714285714285</v>
      </c>
      <c r="K26" s="51" t="n">
        <v>24</v>
      </c>
      <c r="L26" s="52" t="n">
        <v>8.91</v>
      </c>
      <c r="M26" s="52" t="n">
        <v>37.98</v>
      </c>
      <c r="N26" s="52" t="n">
        <v>4.26</v>
      </c>
      <c r="O26" s="53" t="n">
        <v>0.0054</v>
      </c>
      <c r="P26" s="52" t="n">
        <v>0.37125</v>
      </c>
      <c r="Q26" s="53" t="n">
        <v>0.1451376445675192</v>
      </c>
      <c r="R26" s="52" t="n">
        <v>20.46333333333333</v>
      </c>
      <c r="S26" s="51" t="n">
        <v>4441</v>
      </c>
      <c r="T26" s="48" t="n">
        <v>18.99</v>
      </c>
      <c r="U26" s="49" t="n">
        <v>1</v>
      </c>
      <c r="V26" s="49" t="n">
        <v>7</v>
      </c>
      <c r="W26" s="50" t="n">
        <v>0.1428571428571428</v>
      </c>
      <c r="X26" s="51" t="n">
        <v>30</v>
      </c>
      <c r="Y26" s="52" t="n">
        <v>11.92</v>
      </c>
      <c r="Z26" s="52" t="n">
        <v>37.98</v>
      </c>
      <c r="AA26" s="52" t="n">
        <v>3.19</v>
      </c>
      <c r="AB26" s="53" t="n">
        <v>0.0054</v>
      </c>
      <c r="AC26" s="52" t="n">
        <v>0.3973333333333334</v>
      </c>
      <c r="AD26" s="53" t="n">
        <v>0.6276987888362298</v>
      </c>
      <c r="AE26" s="52" t="n">
        <v>18.99</v>
      </c>
      <c r="AF26" s="51" t="n">
        <v>5549</v>
      </c>
      <c r="AG26" s="48" t="n">
        <v>63.96</v>
      </c>
      <c r="AH26" s="49" t="n">
        <v>3</v>
      </c>
      <c r="AI26" s="49" t="n">
        <v>7</v>
      </c>
      <c r="AJ26" s="50" t="n">
        <v>0.4285714285714285</v>
      </c>
      <c r="AK26" s="51" t="n">
        <v>27</v>
      </c>
      <c r="AL26" s="52" t="n">
        <v>11.99</v>
      </c>
      <c r="AM26" s="52" t="n">
        <v>18.99</v>
      </c>
      <c r="AN26" s="52" t="n">
        <v>1.58</v>
      </c>
      <c r="AO26" s="53" t="n">
        <v>0.0061</v>
      </c>
      <c r="AP26" s="52" t="n">
        <v>0.4440740740740741</v>
      </c>
      <c r="AQ26" s="53" t="n">
        <v>0.1874609130706692</v>
      </c>
      <c r="AR26" s="52" t="n">
        <v>21.32</v>
      </c>
      <c r="AS26" s="51" t="n">
        <v>4407</v>
      </c>
      <c r="AT26" s="48" t="n">
        <v>18.99</v>
      </c>
      <c r="AU26" s="49" t="n">
        <v>1</v>
      </c>
      <c r="AV26" s="49" t="n">
        <v>6</v>
      </c>
      <c r="AW26" s="50" t="n">
        <v>0.1666666666666667</v>
      </c>
      <c r="AX26" s="51" t="n">
        <v>14</v>
      </c>
      <c r="AY26" s="52" t="n">
        <v>6.15</v>
      </c>
      <c r="AZ26" s="52" t="n">
        <v>56.97</v>
      </c>
      <c r="BA26" s="52" t="n">
        <v>9.26</v>
      </c>
      <c r="BB26" s="53" t="n">
        <v>0.004</v>
      </c>
      <c r="BC26" s="52" t="n">
        <v>0.4392857142857143</v>
      </c>
      <c r="BD26" s="53" t="n">
        <v>0.3238546603475514</v>
      </c>
      <c r="BE26" s="52" t="n">
        <v>18.99</v>
      </c>
      <c r="BF26" s="51" t="n">
        <v>3503</v>
      </c>
    </row>
    <row r="27">
      <c r="A27">
        <f>HYPERLINK("https://www.walmart.com/ip/5231363049", "5231363049")</f>
        <v/>
      </c>
      <c r="B27" t="inlineStr">
        <is>
          <t>Catalonia Waterproof Blanket for Couch, Reversible Sofa Bed Coverlet Protector, Leak Proof, Comfortable Blanket for People and Pets, Grey/Grey, 50" x 60"</t>
        </is>
      </c>
      <c r="C27" t="inlineStr">
        <is>
          <t>1CTBW565LGDG</t>
        </is>
      </c>
      <c r="D27" t="inlineStr">
        <is>
          <t>Throws</t>
        </is>
      </c>
      <c r="E27" t="inlineStr">
        <is>
          <t>Catalonia</t>
        </is>
      </c>
      <c r="G27" s="48" t="n">
        <v>59.98</v>
      </c>
      <c r="H27" s="49" t="n">
        <v>2</v>
      </c>
      <c r="I27" s="49" t="n">
        <v>0</v>
      </c>
      <c r="J27" s="50" t="n">
        <v>0</v>
      </c>
      <c r="K27" s="51" t="n">
        <v>0</v>
      </c>
      <c r="L27" s="52" t="n">
        <v>0</v>
      </c>
      <c r="M27" s="52" t="n">
        <v>0</v>
      </c>
      <c r="N27" s="52" t="n">
        <v>0</v>
      </c>
      <c r="O27" s="53" t="n">
        <v>0</v>
      </c>
      <c r="P27" s="52" t="n">
        <v>0</v>
      </c>
      <c r="Q27" s="53" t="n">
        <v>0</v>
      </c>
      <c r="R27" s="52" t="n">
        <v>29.99</v>
      </c>
      <c r="S27" s="51" t="n">
        <v>0</v>
      </c>
      <c r="T27" s="48" t="n">
        <v>0</v>
      </c>
      <c r="U27" s="49" t="n">
        <v>0</v>
      </c>
      <c r="V27" s="49" t="n">
        <v>0</v>
      </c>
      <c r="W27" s="50" t="n">
        <v>0</v>
      </c>
      <c r="X27" s="51" t="n">
        <v>0</v>
      </c>
      <c r="Y27" s="52" t="n">
        <v>0</v>
      </c>
      <c r="Z27" s="52" t="n">
        <v>0</v>
      </c>
      <c r="AA27" s="52" t="n">
        <v>0</v>
      </c>
      <c r="AB27" s="53" t="n">
        <v>0</v>
      </c>
      <c r="AC27" s="52" t="n">
        <v>0</v>
      </c>
      <c r="AD27" s="53" t="n">
        <v>0</v>
      </c>
      <c r="AE27" s="52" t="n">
        <v>0</v>
      </c>
      <c r="AF27" s="51" t="n">
        <v>0</v>
      </c>
      <c r="AG27" s="48" t="n">
        <v>0</v>
      </c>
      <c r="AH27" s="49" t="n">
        <v>0</v>
      </c>
      <c r="AI27" s="49" t="n">
        <v>0</v>
      </c>
      <c r="AJ27" s="50" t="n">
        <v>0</v>
      </c>
      <c r="AK27" s="51" t="n">
        <v>0</v>
      </c>
      <c r="AL27" s="52" t="n">
        <v>0</v>
      </c>
      <c r="AM27" s="52" t="n">
        <v>0</v>
      </c>
      <c r="AN27" s="52" t="n">
        <v>0</v>
      </c>
      <c r="AO27" s="53" t="n">
        <v>0</v>
      </c>
      <c r="AP27" s="52" t="n">
        <v>0</v>
      </c>
      <c r="AQ27" s="53" t="n">
        <v>0</v>
      </c>
      <c r="AR27" s="52" t="n">
        <v>0</v>
      </c>
      <c r="AS27" s="51" t="n">
        <v>0</v>
      </c>
      <c r="AT27" s="48" t="n">
        <v>0</v>
      </c>
      <c r="AU27" s="49" t="n">
        <v>0</v>
      </c>
      <c r="AV27" s="49" t="n">
        <v>0</v>
      </c>
      <c r="AW27" s="50" t="n">
        <v>0</v>
      </c>
      <c r="AX27" s="51" t="n">
        <v>0</v>
      </c>
      <c r="AY27" s="52" t="n">
        <v>0</v>
      </c>
      <c r="AZ27" s="52" t="n">
        <v>0</v>
      </c>
      <c r="BA27" s="52" t="n">
        <v>0</v>
      </c>
      <c r="BB27" s="53" t="n">
        <v>0</v>
      </c>
      <c r="BC27" s="52" t="n">
        <v>0</v>
      </c>
      <c r="BD27" s="53" t="n">
        <v>0</v>
      </c>
      <c r="BE27" s="52" t="n">
        <v>0</v>
      </c>
      <c r="BF27" s="51" t="n">
        <v>0</v>
      </c>
    </row>
    <row r="28">
      <c r="A28">
        <f>HYPERLINK("https://www.walmart.com/ip/631208819", "631208819")</f>
        <v/>
      </c>
      <c r="B28" t="inlineStr">
        <is>
          <t>Catalonia Waterproof Blanket for Baby, Pee Proof Pet Cover for Couch Bed, Reversible Sherpa Fleece Throws for Relaxing Traveling Camping, Gray/Tuape, 60" x 50".</t>
        </is>
      </c>
      <c r="C28" t="inlineStr">
        <is>
          <t>1CTBW561GYTP</t>
        </is>
      </c>
      <c r="D28" t="inlineStr">
        <is>
          <t>Throws</t>
        </is>
      </c>
      <c r="E28" t="inlineStr">
        <is>
          <t>Catalonia</t>
        </is>
      </c>
      <c r="F28" t="inlineStr">
        <is>
          <t>Q2-Target,Optimized,Wproof Blanket</t>
        </is>
      </c>
      <c r="G28" s="48" t="n">
        <v>59.98</v>
      </c>
      <c r="H28" s="49" t="n">
        <v>2</v>
      </c>
      <c r="I28" s="49" t="n">
        <v>7</v>
      </c>
      <c r="J28" s="50" t="n">
        <v>0.2857142857142857</v>
      </c>
      <c r="K28" s="51" t="n">
        <v>16</v>
      </c>
      <c r="L28" s="52" t="n">
        <v>6.840000000000001</v>
      </c>
      <c r="M28" s="52" t="n">
        <v>89.97</v>
      </c>
      <c r="N28" s="52" t="n">
        <v>13.15</v>
      </c>
      <c r="O28" s="53" t="n">
        <v>0.005</v>
      </c>
      <c r="P28" s="52" t="n">
        <v>0.4275</v>
      </c>
      <c r="Q28" s="53" t="n">
        <v>0.1140380126708903</v>
      </c>
      <c r="R28" s="52" t="n">
        <v>29.99</v>
      </c>
      <c r="S28" s="51" t="n">
        <v>3192</v>
      </c>
      <c r="T28" s="48" t="n">
        <v>0</v>
      </c>
      <c r="U28" s="49" t="n">
        <v>0</v>
      </c>
      <c r="V28" s="49" t="n">
        <v>0</v>
      </c>
      <c r="W28" s="50" t="n">
        <v>0</v>
      </c>
      <c r="X28" s="51" t="n">
        <v>22</v>
      </c>
      <c r="Y28" s="52" t="n">
        <v>9.390000000000001</v>
      </c>
      <c r="Z28" s="52" t="n">
        <v>59.98</v>
      </c>
      <c r="AA28" s="52" t="n">
        <v>6.39</v>
      </c>
      <c r="AB28" s="53" t="n">
        <v>0.0074</v>
      </c>
      <c r="AC28" s="52" t="n">
        <v>0.4268181818181818</v>
      </c>
      <c r="AD28" s="53" t="n">
        <v>0</v>
      </c>
      <c r="AE28" s="52" t="n">
        <v>0</v>
      </c>
      <c r="AF28" s="51" t="n">
        <v>2959</v>
      </c>
      <c r="AG28" s="48" t="n">
        <v>0</v>
      </c>
      <c r="AH28" s="49" t="n">
        <v>0</v>
      </c>
      <c r="AI28" s="49" t="n">
        <v>0</v>
      </c>
      <c r="AJ28" s="50" t="n">
        <v>0</v>
      </c>
      <c r="AK28" s="51" t="n">
        <v>12</v>
      </c>
      <c r="AL28" s="52" t="n">
        <v>5</v>
      </c>
      <c r="AM28" s="52" t="n">
        <v>0</v>
      </c>
      <c r="AN28" s="52" t="n">
        <v>0</v>
      </c>
      <c r="AO28" s="53" t="n">
        <v>0.0057</v>
      </c>
      <c r="AP28" s="52" t="n">
        <v>0.4166666666666667</v>
      </c>
      <c r="AQ28" s="53" t="n">
        <v>0</v>
      </c>
      <c r="AR28" s="52" t="n">
        <v>0</v>
      </c>
      <c r="AS28" s="51" t="n">
        <v>2094</v>
      </c>
      <c r="AT28" s="48" t="n">
        <v>0</v>
      </c>
      <c r="AU28" s="49" t="n">
        <v>0</v>
      </c>
      <c r="AV28" s="49" t="n">
        <v>0</v>
      </c>
      <c r="AW28" s="50" t="n">
        <v>0</v>
      </c>
      <c r="AX28" s="51" t="n">
        <v>10</v>
      </c>
      <c r="AY28" s="52" t="n">
        <v>4.16</v>
      </c>
      <c r="AZ28" s="52" t="n">
        <v>0</v>
      </c>
      <c r="BA28" s="52" t="n">
        <v>0</v>
      </c>
      <c r="BB28" s="53" t="n">
        <v>0.0067</v>
      </c>
      <c r="BC28" s="52" t="n">
        <v>0.416</v>
      </c>
      <c r="BD28" s="53" t="n">
        <v>0</v>
      </c>
      <c r="BE28" s="52" t="n">
        <v>0</v>
      </c>
      <c r="BF28" s="51" t="n">
        <v>1496</v>
      </c>
    </row>
    <row r="29">
      <c r="A29">
        <f>HYPERLINK("https://www.walmart.com/ip/10282916962", "10282916962")</f>
        <v/>
      </c>
      <c r="B29" t="inlineStr">
        <is>
          <t>Wrangler Men’s Leather Country Casual Every Day Dress Belt for Jeans, Khakis Brown 42</t>
        </is>
      </c>
      <c r="C29" t="inlineStr">
        <is>
          <t>WR-BELT-MENS-COUNTRY-BROWN-42</t>
        </is>
      </c>
      <c r="D29" t="inlineStr">
        <is>
          <t>Belts</t>
        </is>
      </c>
      <c r="E29" t="inlineStr">
        <is>
          <t>Wrangler</t>
        </is>
      </c>
      <c r="F29" t="inlineStr">
        <is>
          <t>Belts</t>
        </is>
      </c>
      <c r="G29" s="48" t="n">
        <v>59.97</v>
      </c>
      <c r="H29" s="49" t="n">
        <v>3</v>
      </c>
      <c r="I29" s="49" t="n">
        <v>3</v>
      </c>
      <c r="J29" s="50" t="n">
        <v>1</v>
      </c>
      <c r="K29" s="51" t="n">
        <v>0</v>
      </c>
      <c r="L29" s="52" t="n">
        <v>0</v>
      </c>
      <c r="M29" s="52" t="n">
        <v>0</v>
      </c>
      <c r="N29" s="52" t="n">
        <v>0</v>
      </c>
      <c r="O29" s="53" t="n">
        <v>0</v>
      </c>
      <c r="P29" s="52" t="n">
        <v>0</v>
      </c>
      <c r="Q29" s="53" t="n">
        <v>0</v>
      </c>
      <c r="R29" s="52" t="n">
        <v>19.99</v>
      </c>
      <c r="S29" s="51" t="n">
        <v>0</v>
      </c>
      <c r="T29" s="48" t="n">
        <v>39.98</v>
      </c>
      <c r="U29" s="49" t="n">
        <v>2</v>
      </c>
      <c r="V29" s="49" t="n">
        <v>2</v>
      </c>
      <c r="W29" s="50" t="n">
        <v>1</v>
      </c>
      <c r="X29" s="51" t="n">
        <v>0</v>
      </c>
      <c r="Y29" s="52" t="n">
        <v>0</v>
      </c>
      <c r="Z29" s="52" t="n">
        <v>0</v>
      </c>
      <c r="AA29" s="52" t="n">
        <v>0</v>
      </c>
      <c r="AB29" s="53" t="n">
        <v>0</v>
      </c>
      <c r="AC29" s="52" t="n">
        <v>0</v>
      </c>
      <c r="AD29" s="53" t="n">
        <v>0</v>
      </c>
      <c r="AE29" s="52" t="n">
        <v>19.99</v>
      </c>
      <c r="AF29" s="51" t="n">
        <v>0</v>
      </c>
      <c r="AG29" s="48" t="n">
        <v>0</v>
      </c>
      <c r="AH29" s="49" t="n">
        <v>0</v>
      </c>
      <c r="AI29" s="49" t="n">
        <v>0</v>
      </c>
      <c r="AJ29" s="50" t="n">
        <v>0</v>
      </c>
      <c r="AK29" s="51" t="n">
        <v>0</v>
      </c>
      <c r="AL29" s="52" t="n">
        <v>0</v>
      </c>
      <c r="AM29" s="52" t="n">
        <v>0</v>
      </c>
      <c r="AN29" s="52" t="n">
        <v>0</v>
      </c>
      <c r="AO29" s="53" t="n">
        <v>0</v>
      </c>
      <c r="AP29" s="52" t="n">
        <v>0</v>
      </c>
      <c r="AQ29" s="53" t="n">
        <v>0</v>
      </c>
      <c r="AR29" s="52" t="n">
        <v>0</v>
      </c>
      <c r="AS29" s="51" t="n">
        <v>0</v>
      </c>
      <c r="AT29" s="48" t="n">
        <v>0</v>
      </c>
      <c r="AU29" s="49" t="n">
        <v>0</v>
      </c>
      <c r="AV29" s="49" t="n">
        <v>0</v>
      </c>
      <c r="AW29" s="50" t="n">
        <v>0</v>
      </c>
      <c r="AX29" s="51" t="n">
        <v>0</v>
      </c>
      <c r="AY29" s="52" t="n">
        <v>0</v>
      </c>
      <c r="AZ29" s="52" t="n">
        <v>0</v>
      </c>
      <c r="BA29" s="52" t="n">
        <v>0</v>
      </c>
      <c r="BB29" s="53" t="n">
        <v>0</v>
      </c>
      <c r="BC29" s="52" t="n">
        <v>0</v>
      </c>
      <c r="BD29" s="53" t="n">
        <v>0</v>
      </c>
      <c r="BE29" s="52" t="n">
        <v>0</v>
      </c>
      <c r="BF29" s="51" t="n">
        <v>0</v>
      </c>
    </row>
    <row r="30">
      <c r="A30">
        <f>HYPERLINK("https://www.walmart.com/ip/1587778886", "1587778886")</f>
        <v/>
      </c>
      <c r="B30" t="inlineStr">
        <is>
          <t>Catalonia Waterproof Dog Blanket for Couch, Reversible Sofa and Bed Coverlet Protector, Leak Proof, Comfortable Blanket for People and Pets, Grey/Taupe, 80" x 90"</t>
        </is>
      </c>
      <c r="C30" t="inlineStr">
        <is>
          <t>1CTBW985GYTP</t>
        </is>
      </c>
      <c r="D30" t="inlineStr">
        <is>
          <t>Throws</t>
        </is>
      </c>
      <c r="E30" t="inlineStr">
        <is>
          <t>Catalonia</t>
        </is>
      </c>
      <c r="F30" t="inlineStr">
        <is>
          <t>High AUR Items,Wproof Blanket,Batch 1 - TR</t>
        </is>
      </c>
      <c r="G30" s="48" t="n">
        <v>53.99</v>
      </c>
      <c r="H30" s="49" t="n">
        <v>1</v>
      </c>
      <c r="I30" s="49" t="n">
        <v>0</v>
      </c>
      <c r="J30" s="50" t="n">
        <v>0</v>
      </c>
      <c r="K30" s="51" t="n">
        <v>0</v>
      </c>
      <c r="L30" s="52" t="n">
        <v>0</v>
      </c>
      <c r="M30" s="52" t="n">
        <v>0</v>
      </c>
      <c r="N30" s="52" t="n">
        <v>0</v>
      </c>
      <c r="O30" s="53" t="n">
        <v>0</v>
      </c>
      <c r="P30" s="52" t="n">
        <v>0</v>
      </c>
      <c r="Q30" s="53" t="n">
        <v>0</v>
      </c>
      <c r="R30" s="52" t="n">
        <v>53.99</v>
      </c>
      <c r="S30" s="51" t="n">
        <v>0</v>
      </c>
      <c r="T30" s="48" t="n">
        <v>0</v>
      </c>
      <c r="U30" s="49" t="n">
        <v>0</v>
      </c>
      <c r="V30" s="49" t="n">
        <v>0</v>
      </c>
      <c r="W30" s="50" t="n">
        <v>0</v>
      </c>
      <c r="X30" s="51" t="n">
        <v>0</v>
      </c>
      <c r="Y30" s="52" t="n">
        <v>0</v>
      </c>
      <c r="Z30" s="52" t="n">
        <v>0</v>
      </c>
      <c r="AA30" s="52" t="n">
        <v>0</v>
      </c>
      <c r="AB30" s="53" t="n">
        <v>0</v>
      </c>
      <c r="AC30" s="52" t="n">
        <v>0</v>
      </c>
      <c r="AD30" s="53" t="n">
        <v>0</v>
      </c>
      <c r="AE30" s="52" t="n">
        <v>0</v>
      </c>
      <c r="AF30" s="51" t="n">
        <v>0</v>
      </c>
      <c r="AG30" s="48" t="n">
        <v>0</v>
      </c>
      <c r="AH30" s="49" t="n">
        <v>0</v>
      </c>
      <c r="AI30" s="49" t="n">
        <v>0</v>
      </c>
      <c r="AJ30" s="50" t="n">
        <v>0</v>
      </c>
      <c r="AK30" s="51" t="n">
        <v>0</v>
      </c>
      <c r="AL30" s="52" t="n">
        <v>0</v>
      </c>
      <c r="AM30" s="52" t="n">
        <v>0</v>
      </c>
      <c r="AN30" s="52" t="n">
        <v>0</v>
      </c>
      <c r="AO30" s="53" t="n">
        <v>0</v>
      </c>
      <c r="AP30" s="52" t="n">
        <v>0</v>
      </c>
      <c r="AQ30" s="53" t="n">
        <v>0</v>
      </c>
      <c r="AR30" s="52" t="n">
        <v>0</v>
      </c>
      <c r="AS30" s="51" t="n">
        <v>0</v>
      </c>
      <c r="AT30" s="48" t="n">
        <v>53.99</v>
      </c>
      <c r="AU30" s="49" t="n">
        <v>1</v>
      </c>
      <c r="AV30" s="49" t="n">
        <v>0</v>
      </c>
      <c r="AW30" s="50" t="n">
        <v>0</v>
      </c>
      <c r="AX30" s="51" t="n">
        <v>0</v>
      </c>
      <c r="AY30" s="52" t="n">
        <v>0</v>
      </c>
      <c r="AZ30" s="52" t="n">
        <v>0</v>
      </c>
      <c r="BA30" s="52" t="n">
        <v>0</v>
      </c>
      <c r="BB30" s="53" t="n">
        <v>0</v>
      </c>
      <c r="BC30" s="52" t="n">
        <v>0</v>
      </c>
      <c r="BD30" s="53" t="n">
        <v>0</v>
      </c>
      <c r="BE30" s="52" t="n">
        <v>53.99</v>
      </c>
      <c r="BF30" s="51" t="n">
        <v>0</v>
      </c>
    </row>
    <row r="31">
      <c r="A31">
        <f>HYPERLINK("https://www.walmart.com/ip/768244496", "768244496")</f>
        <v/>
      </c>
      <c r="B31" t="inlineStr">
        <is>
          <t>Catalonia Hooded Wearable Blanket Poncho for Adult Women Men, Fleece Wrap Blanket Cape with Hood | Warm, Soft, Cozy, Snuggly | Comfort Gift, No Sleeves, Gray</t>
        </is>
      </c>
      <c r="C31" t="inlineStr">
        <is>
          <t>1CTBP120GY</t>
        </is>
      </c>
      <c r="D31" t="inlineStr">
        <is>
          <t>Throws</t>
        </is>
      </c>
      <c r="E31" t="inlineStr">
        <is>
          <t>Catalonia</t>
        </is>
      </c>
      <c r="F31" t="inlineStr">
        <is>
          <t>Hero 5 Holidays,WFS,Wal-Exl-Price,cost-added,WFS Item</t>
        </is>
      </c>
      <c r="G31" s="48" t="n">
        <v>53.98</v>
      </c>
      <c r="H31" s="49" t="n">
        <v>2</v>
      </c>
      <c r="I31" s="49" t="n">
        <v>6</v>
      </c>
      <c r="J31" s="50" t="n">
        <v>0.3333333333333333</v>
      </c>
      <c r="K31" s="51" t="n">
        <v>13</v>
      </c>
      <c r="L31" s="52" t="n">
        <v>2.73</v>
      </c>
      <c r="M31" s="52" t="n">
        <v>0</v>
      </c>
      <c r="N31" s="52" t="n">
        <v>0</v>
      </c>
      <c r="O31" s="53" t="n">
        <v>0.0011</v>
      </c>
      <c r="P31" s="52" t="n">
        <v>0.21</v>
      </c>
      <c r="Q31" s="53" t="n">
        <v>0.05057428677287885</v>
      </c>
      <c r="R31" s="52" t="n">
        <v>26.99</v>
      </c>
      <c r="S31" s="51" t="n">
        <v>11329</v>
      </c>
      <c r="T31" s="48" t="n">
        <v>0</v>
      </c>
      <c r="U31" s="49" t="n">
        <v>0</v>
      </c>
      <c r="V31" s="49" t="n">
        <v>6</v>
      </c>
      <c r="W31" s="50" t="n">
        <v>0</v>
      </c>
      <c r="X31" s="51" t="n">
        <v>2</v>
      </c>
      <c r="Y31" s="52" t="n">
        <v>0.41</v>
      </c>
      <c r="Z31" s="52" t="n">
        <v>0</v>
      </c>
      <c r="AA31" s="52" t="n">
        <v>0</v>
      </c>
      <c r="AB31" s="53" t="n">
        <v>0.0002</v>
      </c>
      <c r="AC31" s="52" t="n">
        <v>0.205</v>
      </c>
      <c r="AD31" s="53" t="n">
        <v>0</v>
      </c>
      <c r="AE31" s="52" t="n">
        <v>0</v>
      </c>
      <c r="AF31" s="51" t="n">
        <v>9297</v>
      </c>
      <c r="AG31" s="48" t="n">
        <v>0</v>
      </c>
      <c r="AH31" s="49" t="n">
        <v>0</v>
      </c>
      <c r="AI31" s="49" t="n">
        <v>0</v>
      </c>
      <c r="AJ31" s="50" t="n">
        <v>0</v>
      </c>
      <c r="AK31" s="51" t="n">
        <v>18</v>
      </c>
      <c r="AL31" s="52" t="n">
        <v>7.74</v>
      </c>
      <c r="AM31" s="52" t="n">
        <v>0</v>
      </c>
      <c r="AN31" s="52" t="n">
        <v>0</v>
      </c>
      <c r="AO31" s="53" t="n">
        <v>0.0277</v>
      </c>
      <c r="AP31" s="52" t="n">
        <v>0.43</v>
      </c>
      <c r="AQ31" s="53" t="n">
        <v>0</v>
      </c>
      <c r="AR31" s="52" t="n">
        <v>0</v>
      </c>
      <c r="AS31" s="51" t="n">
        <v>649</v>
      </c>
      <c r="AT31" s="48" t="n">
        <v>0</v>
      </c>
      <c r="AU31" s="49" t="n">
        <v>0</v>
      </c>
      <c r="AV31" s="49" t="n">
        <v>6</v>
      </c>
      <c r="AW31" s="50" t="n">
        <v>0</v>
      </c>
      <c r="AX31" s="51" t="n">
        <v>38</v>
      </c>
      <c r="AY31" s="52" t="n">
        <v>15.79</v>
      </c>
      <c r="AZ31" s="52" t="n">
        <v>0</v>
      </c>
      <c r="BA31" s="52" t="n">
        <v>0</v>
      </c>
      <c r="BB31" s="53" t="n">
        <v>0.0089</v>
      </c>
      <c r="BC31" s="52" t="n">
        <v>0.4155263157894737</v>
      </c>
      <c r="BD31" s="53" t="n">
        <v>0</v>
      </c>
      <c r="BE31" s="52" t="n">
        <v>0</v>
      </c>
      <c r="BF31" s="51" t="n">
        <v>4256</v>
      </c>
    </row>
    <row r="32">
      <c r="A32">
        <f>HYPERLINK("https://www.walmart.com/ip/1983560818", "1983560818")</f>
        <v/>
      </c>
      <c r="B32" t="inlineStr">
        <is>
          <t>Waterproof Blanket for Outdoors, Hooded Blanket Poncho | Windproof, Warm, Wearable, Portable | for Stadium, Picnics, Sports Events, Camping, Yoga, Beach, Outdoor Adventure, Black</t>
        </is>
      </c>
      <c r="C32" t="inlineStr">
        <is>
          <t>1CTBC200BKBK</t>
        </is>
      </c>
      <c r="D32" t="inlineStr">
        <is>
          <t>Throws</t>
        </is>
      </c>
      <c r="E32" t="inlineStr">
        <is>
          <t>Catalonia</t>
        </is>
      </c>
      <c r="F32" t="inlineStr">
        <is>
          <t>Q2-Target,Wproof Blanket</t>
        </is>
      </c>
      <c r="G32" s="48" t="n">
        <v>53.98</v>
      </c>
      <c r="H32" s="49" t="n">
        <v>2</v>
      </c>
      <c r="I32" s="49" t="n">
        <v>1</v>
      </c>
      <c r="J32" s="50" t="n">
        <v>2</v>
      </c>
      <c r="K32" s="51" t="n">
        <v>6</v>
      </c>
      <c r="L32" s="52" t="n">
        <v>1.7</v>
      </c>
      <c r="M32" s="52" t="n">
        <v>0</v>
      </c>
      <c r="N32" s="52" t="n">
        <v>0</v>
      </c>
      <c r="O32" s="53" t="n">
        <v>0.0032</v>
      </c>
      <c r="P32" s="52" t="n">
        <v>0.2833333333333333</v>
      </c>
      <c r="Q32" s="53" t="n">
        <v>0.031493145609485</v>
      </c>
      <c r="R32" s="52" t="n">
        <v>26.99</v>
      </c>
      <c r="S32" s="51" t="n">
        <v>1900</v>
      </c>
      <c r="T32" s="48" t="n">
        <v>-26.99</v>
      </c>
      <c r="U32" s="49" t="n">
        <v>-1</v>
      </c>
      <c r="V32" s="49" t="n">
        <v>3</v>
      </c>
      <c r="W32" s="50" t="n">
        <v>-0.3333333333333333</v>
      </c>
      <c r="X32" s="51" t="n">
        <v>2</v>
      </c>
      <c r="Y32" s="52" t="n">
        <v>0.62</v>
      </c>
      <c r="Z32" s="52" t="n">
        <v>0</v>
      </c>
      <c r="AA32" s="52" t="n">
        <v>0</v>
      </c>
      <c r="AB32" s="53" t="n">
        <v>0.0011</v>
      </c>
      <c r="AC32" s="52" t="n">
        <v>0.31</v>
      </c>
      <c r="AD32" s="53" t="n">
        <v>0</v>
      </c>
      <c r="AE32" s="52" t="n">
        <v>0</v>
      </c>
      <c r="AF32" s="51" t="n">
        <v>1837</v>
      </c>
      <c r="AG32" s="48" t="n">
        <v>53.98</v>
      </c>
      <c r="AH32" s="49" t="n">
        <v>2</v>
      </c>
      <c r="AI32" s="49" t="n">
        <v>5</v>
      </c>
      <c r="AJ32" s="50" t="n">
        <v>0.4</v>
      </c>
      <c r="AK32" s="51" t="n">
        <v>10</v>
      </c>
      <c r="AL32" s="52" t="n">
        <v>3.01</v>
      </c>
      <c r="AM32" s="52" t="n">
        <v>26.99</v>
      </c>
      <c r="AN32" s="52" t="n">
        <v>8.970000000000001</v>
      </c>
      <c r="AO32" s="53" t="n">
        <v>0.006</v>
      </c>
      <c r="AP32" s="52" t="n">
        <v>0.301</v>
      </c>
      <c r="AQ32" s="53" t="n">
        <v>0.05576139310855873</v>
      </c>
      <c r="AR32" s="52" t="n">
        <v>26.99</v>
      </c>
      <c r="AS32" s="51" t="n">
        <v>1679</v>
      </c>
      <c r="AT32" s="48" t="n">
        <v>26.99</v>
      </c>
      <c r="AU32" s="49" t="n">
        <v>1</v>
      </c>
      <c r="AV32" s="49" t="n">
        <v>0</v>
      </c>
      <c r="AW32" s="50" t="n">
        <v>0</v>
      </c>
      <c r="AX32" s="51" t="n">
        <v>5</v>
      </c>
      <c r="AY32" s="52" t="n">
        <v>1.47</v>
      </c>
      <c r="AZ32" s="52" t="n">
        <v>0</v>
      </c>
      <c r="BA32" s="52" t="n">
        <v>0</v>
      </c>
      <c r="BB32" s="53" t="n">
        <v>0.0038</v>
      </c>
      <c r="BC32" s="52" t="n">
        <v>0.294</v>
      </c>
      <c r="BD32" s="53" t="n">
        <v>0.05446461652463876</v>
      </c>
      <c r="BE32" s="52" t="n">
        <v>26.99</v>
      </c>
      <c r="BF32" s="51" t="n">
        <v>1299</v>
      </c>
    </row>
    <row r="33">
      <c r="A33">
        <f>HYPERLINK("https://www.walmart.com/ip/2582941898", "2582941898")</f>
        <v/>
      </c>
      <c r="B33" t="inlineStr">
        <is>
          <t>Sun Hat for Women Neck Flap Wide Brim UV Protection UPF 50+ Foldable Fishing Cap with 2 Replaceable Ribbon by Solaris</t>
        </is>
      </c>
      <c r="C33" t="inlineStr">
        <is>
          <t>1SLSH922PP</t>
        </is>
      </c>
      <c r="D33" t="inlineStr">
        <is>
          <t>Hats</t>
        </is>
      </c>
      <c r="E33" t="inlineStr">
        <is>
          <t>Solaris</t>
        </is>
      </c>
      <c r="F33" t="inlineStr">
        <is>
          <t>Hats</t>
        </is>
      </c>
      <c r="G33" s="48" t="n">
        <v>53.97</v>
      </c>
      <c r="H33" s="49" t="n">
        <v>3</v>
      </c>
      <c r="I33" s="49" t="n">
        <v>18</v>
      </c>
      <c r="J33" s="50" t="n">
        <v>0.1666666666666667</v>
      </c>
      <c r="K33" s="51" t="n">
        <v>0</v>
      </c>
      <c r="L33" s="52" t="n">
        <v>0</v>
      </c>
      <c r="M33" s="52" t="n">
        <v>0</v>
      </c>
      <c r="N33" s="52" t="n">
        <v>0</v>
      </c>
      <c r="O33" s="53" t="n">
        <v>0</v>
      </c>
      <c r="P33" s="52" t="n">
        <v>0</v>
      </c>
      <c r="Q33" s="53" t="n">
        <v>0</v>
      </c>
      <c r="R33" s="52" t="n">
        <v>17.99</v>
      </c>
      <c r="S33" s="51" t="n">
        <v>0</v>
      </c>
      <c r="T33" s="48" t="n">
        <v>17.99</v>
      </c>
      <c r="U33" s="49" t="n">
        <v>1</v>
      </c>
      <c r="V33" s="49" t="n">
        <v>9</v>
      </c>
      <c r="W33" s="50" t="n">
        <v>0.1111111111111111</v>
      </c>
      <c r="X33" s="51" t="n">
        <v>0</v>
      </c>
      <c r="Y33" s="52" t="n">
        <v>0</v>
      </c>
      <c r="Z33" s="52" t="n">
        <v>0</v>
      </c>
      <c r="AA33" s="52" t="n">
        <v>0</v>
      </c>
      <c r="AB33" s="53" t="n">
        <v>0</v>
      </c>
      <c r="AC33" s="52" t="n">
        <v>0</v>
      </c>
      <c r="AD33" s="53" t="n">
        <v>0</v>
      </c>
      <c r="AE33" s="52" t="n">
        <v>17.99</v>
      </c>
      <c r="AF33" s="51" t="n">
        <v>0</v>
      </c>
      <c r="AG33" s="48" t="n">
        <v>53.97</v>
      </c>
      <c r="AH33" s="49" t="n">
        <v>3</v>
      </c>
      <c r="AI33" s="49" t="n">
        <v>17</v>
      </c>
      <c r="AJ33" s="50" t="n">
        <v>0.1764705882352941</v>
      </c>
      <c r="AK33" s="51" t="n">
        <v>0</v>
      </c>
      <c r="AL33" s="52" t="n">
        <v>0</v>
      </c>
      <c r="AM33" s="52" t="n">
        <v>0</v>
      </c>
      <c r="AN33" s="52" t="n">
        <v>0</v>
      </c>
      <c r="AO33" s="53" t="n">
        <v>0</v>
      </c>
      <c r="AP33" s="52" t="n">
        <v>0</v>
      </c>
      <c r="AQ33" s="53" t="n">
        <v>0</v>
      </c>
      <c r="AR33" s="52" t="n">
        <v>17.99</v>
      </c>
      <c r="AS33" s="51" t="n">
        <v>0</v>
      </c>
      <c r="AT33" s="48" t="n">
        <v>0</v>
      </c>
      <c r="AU33" s="49" t="n">
        <v>0</v>
      </c>
      <c r="AV33" s="49" t="n">
        <v>5</v>
      </c>
      <c r="AW33" s="50" t="n">
        <v>0</v>
      </c>
      <c r="AX33" s="51" t="n">
        <v>0</v>
      </c>
      <c r="AY33" s="52" t="n">
        <v>0</v>
      </c>
      <c r="AZ33" s="52" t="n">
        <v>0</v>
      </c>
      <c r="BA33" s="52" t="n">
        <v>0</v>
      </c>
      <c r="BB33" s="53" t="n">
        <v>0</v>
      </c>
      <c r="BC33" s="52" t="n">
        <v>0</v>
      </c>
      <c r="BD33" s="53" t="n">
        <v>0</v>
      </c>
      <c r="BE33" s="52" t="n">
        <v>0</v>
      </c>
      <c r="BF33" s="51" t="n">
        <v>0</v>
      </c>
    </row>
    <row r="34">
      <c r="A34">
        <f>HYPERLINK("https://www.walmart.com/ip/537141265", "537141265")</f>
        <v/>
      </c>
      <c r="B34" t="inlineStr">
        <is>
          <t>Single Wine Cooler Bags - Insulated &amp; Padded Portable Wine Tote Carrier for Travel, BYOB Restaurant, Wine Tasting, Party, Great Gift for Wine Lover, Wine Stripe</t>
        </is>
      </c>
      <c r="C34" t="inlineStr">
        <is>
          <t>1WMWB101WNSTR</t>
        </is>
      </c>
      <c r="D34" t="inlineStr">
        <is>
          <t>Wine Totes, Bags &amp; Backpacks</t>
        </is>
      </c>
      <c r="E34" t="inlineStr">
        <is>
          <t>Flyingstar</t>
        </is>
      </c>
      <c r="F34" t="inlineStr">
        <is>
          <t>Wine,Christmas,Optimized,Valentine</t>
        </is>
      </c>
      <c r="G34" s="48" t="n">
        <v>47.96</v>
      </c>
      <c r="H34" s="49" t="n">
        <v>4</v>
      </c>
      <c r="I34" s="49" t="n">
        <v>20</v>
      </c>
      <c r="J34" s="50" t="n">
        <v>0.2</v>
      </c>
      <c r="K34" s="51" t="n">
        <v>23</v>
      </c>
      <c r="L34" s="52" t="n">
        <v>9.390000000000001</v>
      </c>
      <c r="M34" s="52" t="n">
        <v>11.99</v>
      </c>
      <c r="N34" s="52" t="n">
        <v>1.28</v>
      </c>
      <c r="O34" s="53" t="n">
        <v>0.0069</v>
      </c>
      <c r="P34" s="52" t="n">
        <v>0.4082608695652174</v>
      </c>
      <c r="Q34" s="53" t="n">
        <v>0.1957881567973311</v>
      </c>
      <c r="R34" s="52" t="n">
        <v>11.99</v>
      </c>
      <c r="S34" s="51" t="n">
        <v>3351</v>
      </c>
      <c r="T34" s="48" t="n">
        <v>114.9</v>
      </c>
      <c r="U34" s="49" t="n">
        <v>9</v>
      </c>
      <c r="V34" s="49" t="n">
        <v>23</v>
      </c>
      <c r="W34" s="50" t="n">
        <v>0.391304347826087</v>
      </c>
      <c r="X34" s="51" t="n">
        <v>38</v>
      </c>
      <c r="Y34" s="52" t="n">
        <v>15.34</v>
      </c>
      <c r="Z34" s="52" t="n">
        <v>71.94</v>
      </c>
      <c r="AA34" s="52" t="n">
        <v>4.69</v>
      </c>
      <c r="AB34" s="53" t="n">
        <v>0.0051</v>
      </c>
      <c r="AC34" s="52" t="n">
        <v>0.4036842105263158</v>
      </c>
      <c r="AD34" s="53" t="n">
        <v>0.1335073977371627</v>
      </c>
      <c r="AE34" s="52" t="n">
        <v>12.76666666666667</v>
      </c>
      <c r="AF34" s="51" t="n">
        <v>7476</v>
      </c>
      <c r="AG34" s="48" t="n">
        <v>0</v>
      </c>
      <c r="AH34" s="49" t="n">
        <v>0</v>
      </c>
      <c r="AI34" s="49" t="n">
        <v>12</v>
      </c>
      <c r="AJ34" s="50" t="n">
        <v>0</v>
      </c>
      <c r="AK34" s="51" t="n">
        <v>26</v>
      </c>
      <c r="AL34" s="52" t="n">
        <v>10.66</v>
      </c>
      <c r="AM34" s="52" t="n">
        <v>13.99</v>
      </c>
      <c r="AN34" s="52" t="n">
        <v>1.31</v>
      </c>
      <c r="AO34" s="53" t="n">
        <v>0.0052</v>
      </c>
      <c r="AP34" s="52" t="n">
        <v>0.41</v>
      </c>
      <c r="AQ34" s="53" t="n">
        <v>0</v>
      </c>
      <c r="AR34" s="52" t="n">
        <v>0</v>
      </c>
      <c r="AS34" s="51" t="n">
        <v>4972</v>
      </c>
      <c r="AT34" s="48" t="n">
        <v>30.97</v>
      </c>
      <c r="AU34" s="49" t="n">
        <v>2</v>
      </c>
      <c r="AV34" s="49" t="n">
        <v>6</v>
      </c>
      <c r="AW34" s="50" t="n">
        <v>0.3333333333333333</v>
      </c>
      <c r="AX34" s="51" t="n">
        <v>27</v>
      </c>
      <c r="AY34" s="52" t="n">
        <v>10.9</v>
      </c>
      <c r="AZ34" s="52" t="n">
        <v>23.98</v>
      </c>
      <c r="BA34" s="52" t="n">
        <v>2.2</v>
      </c>
      <c r="BB34" s="53" t="n">
        <v>0.0062</v>
      </c>
      <c r="BC34" s="52" t="n">
        <v>0.4037037037037037</v>
      </c>
      <c r="BD34" s="53" t="n">
        <v>0.3519535033903778</v>
      </c>
      <c r="BE34" s="52" t="n">
        <v>15.485</v>
      </c>
      <c r="BF34" s="51" t="n">
        <v>4332</v>
      </c>
    </row>
    <row r="35">
      <c r="A35">
        <f>HYPERLINK("https://www.walmart.com/ip/15393804349", "15393804349")</f>
        <v/>
      </c>
      <c r="B35" t="inlineStr">
        <is>
          <t>Catalonia Swim Parka Kids with Hood, Lightweight Youth Surf Swim Jacket, Waterproof &amp; Warm Sherpa Lined Swim Coat for Boys Girls, Changing Poncho Robe for Pool Beach Stadium, Blue, 9-13 Years</t>
        </is>
      </c>
      <c r="C35" t="inlineStr">
        <is>
          <t>1CTPKR202BL-1</t>
        </is>
      </c>
      <c r="D35" t="inlineStr">
        <is>
          <t>Swim Parkas</t>
        </is>
      </c>
      <c r="E35" t="inlineStr">
        <is>
          <t>Catalonia</t>
        </is>
      </c>
      <c r="G35" s="48" t="n">
        <v>45.99</v>
      </c>
      <c r="H35" s="49" t="n">
        <v>1</v>
      </c>
      <c r="I35" s="49" t="n">
        <v>0</v>
      </c>
      <c r="J35" s="50" t="n">
        <v>0</v>
      </c>
      <c r="K35" s="51" t="n">
        <v>0</v>
      </c>
      <c r="L35" s="52" t="n">
        <v>0</v>
      </c>
      <c r="M35" s="52" t="n">
        <v>0</v>
      </c>
      <c r="N35" s="52" t="n">
        <v>0</v>
      </c>
      <c r="O35" s="53" t="n">
        <v>0</v>
      </c>
      <c r="P35" s="52" t="n">
        <v>0</v>
      </c>
      <c r="Q35" s="53" t="n">
        <v>0</v>
      </c>
      <c r="R35" s="52" t="n">
        <v>45.99</v>
      </c>
      <c r="S35" s="51" t="n">
        <v>0</v>
      </c>
      <c r="T35" s="48" t="n">
        <v>0</v>
      </c>
      <c r="U35" s="49" t="n">
        <v>0</v>
      </c>
      <c r="V35" s="49" t="n">
        <v>0</v>
      </c>
      <c r="W35" s="50" t="n">
        <v>0</v>
      </c>
      <c r="X35" s="51" t="n">
        <v>0</v>
      </c>
      <c r="Y35" s="52" t="n">
        <v>0</v>
      </c>
      <c r="Z35" s="52" t="n">
        <v>0</v>
      </c>
      <c r="AA35" s="52" t="n">
        <v>0</v>
      </c>
      <c r="AB35" s="53" t="n">
        <v>0</v>
      </c>
      <c r="AC35" s="52" t="n">
        <v>0</v>
      </c>
      <c r="AD35" s="53" t="n">
        <v>0</v>
      </c>
      <c r="AE35" s="52" t="n">
        <v>0</v>
      </c>
      <c r="AF35" s="51" t="n">
        <v>0</v>
      </c>
      <c r="AG35" s="48" t="n">
        <v>0</v>
      </c>
      <c r="AH35" s="49" t="n">
        <v>0</v>
      </c>
      <c r="AI35" s="49" t="n">
        <v>0</v>
      </c>
      <c r="AJ35" s="50" t="n">
        <v>0</v>
      </c>
      <c r="AK35" s="51" t="n">
        <v>0</v>
      </c>
      <c r="AL35" s="52" t="n">
        <v>0</v>
      </c>
      <c r="AM35" s="52" t="n">
        <v>0</v>
      </c>
      <c r="AN35" s="52" t="n">
        <v>0</v>
      </c>
      <c r="AO35" s="53" t="n">
        <v>0</v>
      </c>
      <c r="AP35" s="52" t="n">
        <v>0</v>
      </c>
      <c r="AQ35" s="53" t="n">
        <v>0</v>
      </c>
      <c r="AR35" s="52" t="n">
        <v>0</v>
      </c>
      <c r="AS35" s="51" t="n">
        <v>0</v>
      </c>
      <c r="AT35" s="48" t="n">
        <v>45.99</v>
      </c>
      <c r="AU35" s="49" t="n">
        <v>1</v>
      </c>
      <c r="AV35" s="49" t="n">
        <v>0</v>
      </c>
      <c r="AW35" s="50" t="n">
        <v>0</v>
      </c>
      <c r="AX35" s="51" t="n">
        <v>0</v>
      </c>
      <c r="AY35" s="52" t="n">
        <v>0</v>
      </c>
      <c r="AZ35" s="52" t="n">
        <v>0</v>
      </c>
      <c r="BA35" s="52" t="n">
        <v>0</v>
      </c>
      <c r="BB35" s="53" t="n">
        <v>0</v>
      </c>
      <c r="BC35" s="52" t="n">
        <v>0</v>
      </c>
      <c r="BD35" s="53" t="n">
        <v>0</v>
      </c>
      <c r="BE35" s="52" t="n">
        <v>45.99</v>
      </c>
      <c r="BF35" s="51" t="n">
        <v>0</v>
      </c>
    </row>
    <row r="36">
      <c r="A36">
        <f>HYPERLINK("https://www.walmart.com/ip/327234960", "327234960")</f>
        <v/>
      </c>
      <c r="B36" t="inlineStr">
        <is>
          <t>Surf Poncho Changing Towel Robe for Adults Men Women, Hooded Wetsuit Change Poncho for Surfing Swimming Bathing, Water Absorbent, Oversized, Grey</t>
        </is>
      </c>
      <c r="C36" t="inlineStr">
        <is>
          <t>1CTBR100GY-ESCB</t>
        </is>
      </c>
      <c r="D36" t="inlineStr">
        <is>
          <t>Sleepwear Robes &amp; Bathrobes</t>
        </is>
      </c>
      <c r="E36" t="inlineStr">
        <is>
          <t>Catalonia</t>
        </is>
      </c>
      <c r="F36" t="inlineStr">
        <is>
          <t>Batch 1 - TR</t>
        </is>
      </c>
      <c r="G36" s="48" t="n">
        <v>45.98</v>
      </c>
      <c r="H36" s="49" t="n">
        <v>2</v>
      </c>
      <c r="I36" s="49" t="n">
        <v>0</v>
      </c>
      <c r="J36" s="50" t="n">
        <v>0</v>
      </c>
      <c r="K36" s="51" t="n">
        <v>0</v>
      </c>
      <c r="L36" s="52" t="n">
        <v>0</v>
      </c>
      <c r="M36" s="52" t="n">
        <v>0</v>
      </c>
      <c r="N36" s="52" t="n">
        <v>0</v>
      </c>
      <c r="O36" s="53" t="n">
        <v>0</v>
      </c>
      <c r="P36" s="52" t="n">
        <v>0</v>
      </c>
      <c r="Q36" s="53" t="n">
        <v>0</v>
      </c>
      <c r="R36" s="52" t="n">
        <v>22.99</v>
      </c>
      <c r="S36" s="51" t="n">
        <v>0</v>
      </c>
      <c r="T36" s="48" t="n">
        <v>0</v>
      </c>
      <c r="U36" s="49" t="n">
        <v>0</v>
      </c>
      <c r="V36" s="49" t="n">
        <v>0</v>
      </c>
      <c r="W36" s="50" t="n">
        <v>0</v>
      </c>
      <c r="X36" s="51" t="n">
        <v>0</v>
      </c>
      <c r="Y36" s="52" t="n">
        <v>0</v>
      </c>
      <c r="Z36" s="52" t="n">
        <v>0</v>
      </c>
      <c r="AA36" s="52" t="n">
        <v>0</v>
      </c>
      <c r="AB36" s="53" t="n">
        <v>0</v>
      </c>
      <c r="AC36" s="52" t="n">
        <v>0</v>
      </c>
      <c r="AD36" s="53" t="n">
        <v>0</v>
      </c>
      <c r="AE36" s="52" t="n">
        <v>0</v>
      </c>
      <c r="AF36" s="51" t="n">
        <v>0</v>
      </c>
      <c r="AG36" s="48" t="n">
        <v>0</v>
      </c>
      <c r="AH36" s="49" t="n">
        <v>0</v>
      </c>
      <c r="AI36" s="49" t="n">
        <v>0</v>
      </c>
      <c r="AJ36" s="50" t="n">
        <v>0</v>
      </c>
      <c r="AK36" s="51" t="n">
        <v>0</v>
      </c>
      <c r="AL36" s="52" t="n">
        <v>0</v>
      </c>
      <c r="AM36" s="52" t="n">
        <v>0</v>
      </c>
      <c r="AN36" s="52" t="n">
        <v>0</v>
      </c>
      <c r="AO36" s="53" t="n">
        <v>0</v>
      </c>
      <c r="AP36" s="52" t="n">
        <v>0</v>
      </c>
      <c r="AQ36" s="53" t="n">
        <v>0</v>
      </c>
      <c r="AR36" s="52" t="n">
        <v>0</v>
      </c>
      <c r="AS36" s="51" t="n">
        <v>0</v>
      </c>
      <c r="AT36" s="48" t="n">
        <v>0</v>
      </c>
      <c r="AU36" s="49" t="n">
        <v>0</v>
      </c>
      <c r="AV36" s="49" t="n">
        <v>0</v>
      </c>
      <c r="AW36" s="50" t="n">
        <v>0</v>
      </c>
      <c r="AX36" s="51" t="n">
        <v>0</v>
      </c>
      <c r="AY36" s="52" t="n">
        <v>0</v>
      </c>
      <c r="AZ36" s="52" t="n">
        <v>0</v>
      </c>
      <c r="BA36" s="52" t="n">
        <v>0</v>
      </c>
      <c r="BB36" s="53" t="n">
        <v>0</v>
      </c>
      <c r="BC36" s="52" t="n">
        <v>0</v>
      </c>
      <c r="BD36" s="53" t="n">
        <v>0</v>
      </c>
      <c r="BE36" s="52" t="n">
        <v>0</v>
      </c>
      <c r="BF36" s="51" t="n">
        <v>0</v>
      </c>
    </row>
    <row r="37">
      <c r="A37">
        <f>HYPERLINK("https://www.walmart.com/ip/3805601721", "3805601721")</f>
        <v/>
      </c>
      <c r="B37" t="inlineStr">
        <is>
          <t>Tirrinia Waterproof Outdoor Blanket with Sherpa Lining, Windproof, Triple-Layered, Warm, Comfy, and Foldable Fleece Blanket for Camping, Stadiums, and Pets, Black/Grey, Extra Large Size: 66'' x 90''</t>
        </is>
      </c>
      <c r="C37" t="inlineStr">
        <is>
          <t>1TRBW669BKGY</t>
        </is>
      </c>
      <c r="D37" t="inlineStr">
        <is>
          <t>Picnic Blankets &amp; Mats</t>
        </is>
      </c>
      <c r="E37" t="inlineStr">
        <is>
          <t>Tirrinia</t>
        </is>
      </c>
      <c r="F37" t="inlineStr">
        <is>
          <t>Q2-Target</t>
        </is>
      </c>
      <c r="G37" s="48" t="n">
        <v>44.99</v>
      </c>
      <c r="H37" s="49" t="n">
        <v>1</v>
      </c>
      <c r="I37" s="49" t="n">
        <v>0</v>
      </c>
      <c r="J37" s="50" t="n">
        <v>0</v>
      </c>
      <c r="K37" s="51" t="n">
        <v>0</v>
      </c>
      <c r="L37" s="52" t="n">
        <v>0</v>
      </c>
      <c r="M37" s="52" t="n">
        <v>0</v>
      </c>
      <c r="N37" s="52" t="n">
        <v>0</v>
      </c>
      <c r="O37" s="53" t="n">
        <v>0</v>
      </c>
      <c r="P37" s="52" t="n">
        <v>0</v>
      </c>
      <c r="Q37" s="53" t="n">
        <v>0</v>
      </c>
      <c r="R37" s="52" t="n">
        <v>44.99</v>
      </c>
      <c r="S37" s="51" t="n">
        <v>0</v>
      </c>
      <c r="T37" s="48" t="n">
        <v>0</v>
      </c>
      <c r="U37" s="49" t="n">
        <v>0</v>
      </c>
      <c r="V37" s="49" t="n">
        <v>0</v>
      </c>
      <c r="W37" s="50" t="n">
        <v>0</v>
      </c>
      <c r="X37" s="51" t="n">
        <v>0</v>
      </c>
      <c r="Y37" s="52" t="n">
        <v>0</v>
      </c>
      <c r="Z37" s="52" t="n">
        <v>0</v>
      </c>
      <c r="AA37" s="52" t="n">
        <v>0</v>
      </c>
      <c r="AB37" s="53" t="n">
        <v>0</v>
      </c>
      <c r="AC37" s="52" t="n">
        <v>0</v>
      </c>
      <c r="AD37" s="53" t="n">
        <v>0</v>
      </c>
      <c r="AE37" s="52" t="n">
        <v>0</v>
      </c>
      <c r="AF37" s="51" t="n">
        <v>0</v>
      </c>
      <c r="AG37" s="48" t="n">
        <v>0</v>
      </c>
      <c r="AH37" s="49" t="n">
        <v>0</v>
      </c>
      <c r="AI37" s="49" t="n">
        <v>0</v>
      </c>
      <c r="AJ37" s="50" t="n">
        <v>0</v>
      </c>
      <c r="AK37" s="51" t="n">
        <v>0</v>
      </c>
      <c r="AL37" s="52" t="n">
        <v>0</v>
      </c>
      <c r="AM37" s="52" t="n">
        <v>0</v>
      </c>
      <c r="AN37" s="52" t="n">
        <v>0</v>
      </c>
      <c r="AO37" s="53" t="n">
        <v>0</v>
      </c>
      <c r="AP37" s="52" t="n">
        <v>0</v>
      </c>
      <c r="AQ37" s="53" t="n">
        <v>0</v>
      </c>
      <c r="AR37" s="52" t="n">
        <v>0</v>
      </c>
      <c r="AS37" s="51" t="n">
        <v>0</v>
      </c>
      <c r="AT37" s="48" t="n">
        <v>0</v>
      </c>
      <c r="AU37" s="49" t="n">
        <v>0</v>
      </c>
      <c r="AV37" s="49" t="n">
        <v>0</v>
      </c>
      <c r="AW37" s="50" t="n">
        <v>0</v>
      </c>
      <c r="AX37" s="51" t="n">
        <v>0</v>
      </c>
      <c r="AY37" s="52" t="n">
        <v>0</v>
      </c>
      <c r="AZ37" s="52" t="n">
        <v>0</v>
      </c>
      <c r="BA37" s="52" t="n">
        <v>0</v>
      </c>
      <c r="BB37" s="53" t="n">
        <v>0</v>
      </c>
      <c r="BC37" s="52" t="n">
        <v>0</v>
      </c>
      <c r="BD37" s="53" t="n">
        <v>0</v>
      </c>
      <c r="BE37" s="52" t="n">
        <v>0</v>
      </c>
      <c r="BF37" s="51" t="n">
        <v>0</v>
      </c>
    </row>
    <row r="38">
      <c r="A38">
        <f>HYPERLINK("https://www.walmart.com/ip/153729474", "153729474")</f>
        <v/>
      </c>
      <c r="B38" t="inlineStr">
        <is>
          <t>Microplush Sherpa Blanket with Sleeves for Women and Men Brown</t>
        </is>
      </c>
      <c r="C38" t="inlineStr">
        <is>
          <t>1TNSN110BR-TPB</t>
        </is>
      </c>
      <c r="D38" t="inlineStr">
        <is>
          <t>Throws</t>
        </is>
      </c>
      <c r="E38" t="inlineStr">
        <is>
          <t>Terrania</t>
        </is>
      </c>
      <c r="G38" s="48" t="n">
        <v>42.99</v>
      </c>
      <c r="H38" s="49" t="n">
        <v>1</v>
      </c>
      <c r="I38" s="49" t="n">
        <v>0</v>
      </c>
      <c r="J38" s="50" t="n">
        <v>0</v>
      </c>
      <c r="K38" s="51" t="n">
        <v>0</v>
      </c>
      <c r="L38" s="52" t="n">
        <v>0</v>
      </c>
      <c r="M38" s="52" t="n">
        <v>0</v>
      </c>
      <c r="N38" s="52" t="n">
        <v>0</v>
      </c>
      <c r="O38" s="53" t="n">
        <v>0</v>
      </c>
      <c r="P38" s="52" t="n">
        <v>0</v>
      </c>
      <c r="Q38" s="53" t="n">
        <v>0</v>
      </c>
      <c r="R38" s="52" t="n">
        <v>42.99</v>
      </c>
      <c r="S38" s="51" t="n">
        <v>0</v>
      </c>
      <c r="T38" s="48" t="n">
        <v>0</v>
      </c>
      <c r="U38" s="49" t="n">
        <v>0</v>
      </c>
      <c r="V38" s="49" t="n">
        <v>0</v>
      </c>
      <c r="W38" s="50" t="n">
        <v>0</v>
      </c>
      <c r="X38" s="51" t="n">
        <v>0</v>
      </c>
      <c r="Y38" s="52" t="n">
        <v>0</v>
      </c>
      <c r="Z38" s="52" t="n">
        <v>0</v>
      </c>
      <c r="AA38" s="52" t="n">
        <v>0</v>
      </c>
      <c r="AB38" s="53" t="n">
        <v>0</v>
      </c>
      <c r="AC38" s="52" t="n">
        <v>0</v>
      </c>
      <c r="AD38" s="53" t="n">
        <v>0</v>
      </c>
      <c r="AE38" s="52" t="n">
        <v>0</v>
      </c>
      <c r="AF38" s="51" t="n">
        <v>0</v>
      </c>
      <c r="AG38" s="48" t="n">
        <v>0</v>
      </c>
      <c r="AH38" s="49" t="n">
        <v>0</v>
      </c>
      <c r="AI38" s="49" t="n">
        <v>0</v>
      </c>
      <c r="AJ38" s="50" t="n">
        <v>0</v>
      </c>
      <c r="AK38" s="51" t="n">
        <v>0</v>
      </c>
      <c r="AL38" s="52" t="n">
        <v>0</v>
      </c>
      <c r="AM38" s="52" t="n">
        <v>0</v>
      </c>
      <c r="AN38" s="52" t="n">
        <v>0</v>
      </c>
      <c r="AO38" s="53" t="n">
        <v>0</v>
      </c>
      <c r="AP38" s="52" t="n">
        <v>0</v>
      </c>
      <c r="AQ38" s="53" t="n">
        <v>0</v>
      </c>
      <c r="AR38" s="52" t="n">
        <v>0</v>
      </c>
      <c r="AS38" s="51" t="n">
        <v>0</v>
      </c>
      <c r="AT38" s="48" t="n">
        <v>0</v>
      </c>
      <c r="AU38" s="49" t="n">
        <v>0</v>
      </c>
      <c r="AV38" s="49" t="n">
        <v>0</v>
      </c>
      <c r="AW38" s="50" t="n">
        <v>0</v>
      </c>
      <c r="AX38" s="51" t="n">
        <v>0</v>
      </c>
      <c r="AY38" s="52" t="n">
        <v>0</v>
      </c>
      <c r="AZ38" s="52" t="n">
        <v>0</v>
      </c>
      <c r="BA38" s="52" t="n">
        <v>0</v>
      </c>
      <c r="BB38" s="53" t="n">
        <v>0</v>
      </c>
      <c r="BC38" s="52" t="n">
        <v>0</v>
      </c>
      <c r="BD38" s="53" t="n">
        <v>0</v>
      </c>
      <c r="BE38" s="52" t="n">
        <v>0</v>
      </c>
      <c r="BF38" s="51" t="n">
        <v>0</v>
      </c>
    </row>
    <row r="39">
      <c r="A39">
        <f>HYPERLINK("https://www.walmart.com/ip/683624021", "683624021")</f>
        <v/>
      </c>
      <c r="B39" t="inlineStr">
        <is>
          <t>Solaris Sun Hat for Women with Neck Flap, Wide Brim, UV Protection UPF 50+, Foldable Fishing Cap with 2 Replaceable Ribbons for Outdoor Camping, Traveling, and Hiking, White</t>
        </is>
      </c>
      <c r="C39" t="inlineStr">
        <is>
          <t>1SLSH922WH</t>
        </is>
      </c>
      <c r="D39" t="inlineStr">
        <is>
          <t>Hats</t>
        </is>
      </c>
      <c r="E39" t="inlineStr">
        <is>
          <t>Solaris</t>
        </is>
      </c>
      <c r="F39" t="inlineStr">
        <is>
          <t>Q2-Target,WFS,Hats,WFS Item</t>
        </is>
      </c>
      <c r="G39" s="48" t="n">
        <v>42.97</v>
      </c>
      <c r="H39" s="49" t="n">
        <v>2</v>
      </c>
      <c r="I39" s="49" t="n">
        <v>34</v>
      </c>
      <c r="J39" s="50" t="n">
        <v>0.05882352941176471</v>
      </c>
      <c r="K39" s="51" t="n">
        <v>17</v>
      </c>
      <c r="L39" s="52" t="n">
        <v>6.81</v>
      </c>
      <c r="M39" s="52" t="n">
        <v>33.98</v>
      </c>
      <c r="N39" s="52" t="n">
        <v>4.99</v>
      </c>
      <c r="O39" s="53" t="n">
        <v>0.0016</v>
      </c>
      <c r="P39" s="52" t="n">
        <v>0.4005882352941177</v>
      </c>
      <c r="Q39" s="53" t="n">
        <v>0.1584826623225506</v>
      </c>
      <c r="R39" s="52" t="n">
        <v>21.485</v>
      </c>
      <c r="S39" s="51" t="n">
        <v>10657</v>
      </c>
      <c r="T39" s="48" t="n">
        <v>0</v>
      </c>
      <c r="U39" s="49" t="n">
        <v>0</v>
      </c>
      <c r="V39" s="49" t="n">
        <v>30</v>
      </c>
      <c r="W39" s="50" t="n">
        <v>0</v>
      </c>
      <c r="X39" s="51" t="n">
        <v>0</v>
      </c>
      <c r="Y39" s="52" t="n">
        <v>0</v>
      </c>
      <c r="Z39" s="52" t="n">
        <v>0</v>
      </c>
      <c r="AA39" s="52" t="n">
        <v>0</v>
      </c>
      <c r="AB39" s="53" t="n">
        <v>0</v>
      </c>
      <c r="AC39" s="52" t="n">
        <v>0</v>
      </c>
      <c r="AD39" s="53" t="n">
        <v>0</v>
      </c>
      <c r="AE39" s="52" t="n">
        <v>0</v>
      </c>
      <c r="AF39" s="51" t="n">
        <v>0</v>
      </c>
      <c r="AG39" s="48" t="n">
        <v>24.98</v>
      </c>
      <c r="AH39" s="49" t="n">
        <v>1</v>
      </c>
      <c r="AI39" s="49" t="n">
        <v>13</v>
      </c>
      <c r="AJ39" s="50" t="n">
        <v>0.07692307692307693</v>
      </c>
      <c r="AK39" s="51" t="n">
        <v>0</v>
      </c>
      <c r="AL39" s="52" t="n">
        <v>0</v>
      </c>
      <c r="AM39" s="52" t="n">
        <v>0</v>
      </c>
      <c r="AN39" s="52" t="n">
        <v>0</v>
      </c>
      <c r="AO39" s="53" t="n">
        <v>0</v>
      </c>
      <c r="AP39" s="52" t="n">
        <v>0</v>
      </c>
      <c r="AQ39" s="53" t="n">
        <v>0</v>
      </c>
      <c r="AR39" s="52" t="n">
        <v>24.98</v>
      </c>
      <c r="AS39" s="51" t="n">
        <v>0</v>
      </c>
      <c r="AT39" s="48" t="n">
        <v>71.95999999999999</v>
      </c>
      <c r="AU39" s="49" t="n">
        <v>4</v>
      </c>
      <c r="AV39" s="49" t="n">
        <v>19</v>
      </c>
      <c r="AW39" s="50" t="n">
        <v>0.2105263157894737</v>
      </c>
      <c r="AX39" s="51" t="n">
        <v>0</v>
      </c>
      <c r="AY39" s="52" t="n">
        <v>0</v>
      </c>
      <c r="AZ39" s="52" t="n">
        <v>0</v>
      </c>
      <c r="BA39" s="52" t="n">
        <v>0</v>
      </c>
      <c r="BB39" s="53" t="n">
        <v>0</v>
      </c>
      <c r="BC39" s="52" t="n">
        <v>0</v>
      </c>
      <c r="BD39" s="53" t="n">
        <v>0</v>
      </c>
      <c r="BE39" s="52" t="n">
        <v>17.99</v>
      </c>
      <c r="BF39" s="51" t="n">
        <v>0</v>
      </c>
    </row>
    <row r="40">
      <c r="A40">
        <f>HYPERLINK("https://www.walmart.com/ip/265727425", "265727425")</f>
        <v/>
      </c>
      <c r="B40" t="inlineStr">
        <is>
          <t>Catalonia Red Black Checkered Sherpa Blanket, Buffalo Plaid Sherpa Throw Blanket, Reversible Super Soft Warm Comfy Fuzzy Snuggle Micro Fleece Plush Christmas Throws for Bedding Couch TV 60"x50"</t>
        </is>
      </c>
      <c r="C40" t="inlineStr">
        <is>
          <t>1CTBF562PRD</t>
        </is>
      </c>
      <c r="D40" t="inlineStr">
        <is>
          <t>Throws</t>
        </is>
      </c>
      <c r="E40" t="inlineStr">
        <is>
          <t>Catalonia</t>
        </is>
      </c>
      <c r="F40" t="inlineStr">
        <is>
          <t>Q2-Target,WFS,WFS Item</t>
        </is>
      </c>
      <c r="G40" s="48" t="n">
        <v>41.97</v>
      </c>
      <c r="H40" s="49" t="n">
        <v>3</v>
      </c>
      <c r="I40" s="49" t="n">
        <v>0</v>
      </c>
      <c r="J40" s="50" t="n">
        <v>0</v>
      </c>
      <c r="K40" s="51" t="n">
        <v>0</v>
      </c>
      <c r="L40" s="52" t="n">
        <v>0</v>
      </c>
      <c r="M40" s="52" t="n">
        <v>0</v>
      </c>
      <c r="N40" s="52" t="n">
        <v>0</v>
      </c>
      <c r="O40" s="53" t="n">
        <v>0</v>
      </c>
      <c r="P40" s="52" t="n">
        <v>0</v>
      </c>
      <c r="Q40" s="53" t="n">
        <v>0</v>
      </c>
      <c r="R40" s="52" t="n">
        <v>13.99</v>
      </c>
      <c r="S40" s="51" t="n">
        <v>0</v>
      </c>
      <c r="T40" s="48" t="n">
        <v>13.99</v>
      </c>
      <c r="U40" s="49" t="n">
        <v>1</v>
      </c>
      <c r="V40" s="49" t="n">
        <v>0</v>
      </c>
      <c r="W40" s="50" t="n">
        <v>0</v>
      </c>
      <c r="X40" s="51" t="n">
        <v>0</v>
      </c>
      <c r="Y40" s="52" t="n">
        <v>0</v>
      </c>
      <c r="Z40" s="52" t="n">
        <v>0</v>
      </c>
      <c r="AA40" s="52" t="n">
        <v>0</v>
      </c>
      <c r="AB40" s="53" t="n">
        <v>0</v>
      </c>
      <c r="AC40" s="52" t="n">
        <v>0</v>
      </c>
      <c r="AD40" s="53" t="n">
        <v>0</v>
      </c>
      <c r="AE40" s="52" t="n">
        <v>13.99</v>
      </c>
      <c r="AF40" s="51" t="n">
        <v>0</v>
      </c>
      <c r="AG40" s="48" t="n">
        <v>0</v>
      </c>
      <c r="AH40" s="49" t="n">
        <v>0</v>
      </c>
      <c r="AI40" s="49" t="n">
        <v>0</v>
      </c>
      <c r="AJ40" s="50" t="n">
        <v>0</v>
      </c>
      <c r="AK40" s="51" t="n">
        <v>0</v>
      </c>
      <c r="AL40" s="52" t="n">
        <v>0</v>
      </c>
      <c r="AM40" s="52" t="n">
        <v>0</v>
      </c>
      <c r="AN40" s="52" t="n">
        <v>0</v>
      </c>
      <c r="AO40" s="53" t="n">
        <v>0</v>
      </c>
      <c r="AP40" s="52" t="n">
        <v>0</v>
      </c>
      <c r="AQ40" s="53" t="n">
        <v>0</v>
      </c>
      <c r="AR40" s="52" t="n">
        <v>0</v>
      </c>
      <c r="AS40" s="51" t="n">
        <v>0</v>
      </c>
      <c r="AT40" s="48" t="n">
        <v>0</v>
      </c>
      <c r="AU40" s="49" t="n">
        <v>0</v>
      </c>
      <c r="AV40" s="49" t="n">
        <v>0</v>
      </c>
      <c r="AW40" s="50" t="n">
        <v>0</v>
      </c>
      <c r="AX40" s="51" t="n">
        <v>0</v>
      </c>
      <c r="AY40" s="52" t="n">
        <v>0</v>
      </c>
      <c r="AZ40" s="52" t="n">
        <v>0</v>
      </c>
      <c r="BA40" s="52" t="n">
        <v>0</v>
      </c>
      <c r="BB40" s="53" t="n">
        <v>0</v>
      </c>
      <c r="BC40" s="52" t="n">
        <v>0</v>
      </c>
      <c r="BD40" s="53" t="n">
        <v>0</v>
      </c>
      <c r="BE40" s="52" t="n">
        <v>0</v>
      </c>
      <c r="BF40" s="51" t="n">
        <v>0</v>
      </c>
    </row>
    <row r="41">
      <c r="A41">
        <f>HYPERLINK("https://www.walmart.com/ip/807759063", "807759063")</f>
        <v/>
      </c>
      <c r="B41" t="inlineStr">
        <is>
          <t>Flyingstar Wind and Waterproof Blanket, Sherpa Lining Fleece Blanket, Triple Layers Warm Comfy Foldable Blanket for Camping, Stadium, Picnics, Sports, Grass, Concerts, and Pets, Navy Blue/Grey, 59" X 80"</t>
        </is>
      </c>
      <c r="C41" t="inlineStr">
        <is>
          <t>1WMBW608NYGY-TBCB</t>
        </is>
      </c>
      <c r="D41" t="inlineStr">
        <is>
          <t>Picnic Blankets &amp; Mats</t>
        </is>
      </c>
      <c r="E41" t="inlineStr">
        <is>
          <t>Flyingstar</t>
        </is>
      </c>
      <c r="F41" t="inlineStr">
        <is>
          <t>Q2-Target,Optimized,WFS,WFS Item</t>
        </is>
      </c>
      <c r="G41" s="48" t="n">
        <v>39.99</v>
      </c>
      <c r="H41" s="49" t="n">
        <v>1</v>
      </c>
      <c r="I41" s="49" t="n">
        <v>24</v>
      </c>
      <c r="J41" s="50" t="n">
        <v>0.04166666666666666</v>
      </c>
      <c r="K41" s="51" t="n">
        <v>24</v>
      </c>
      <c r="L41" s="52" t="n">
        <v>8.059999999999999</v>
      </c>
      <c r="M41" s="52" t="n">
        <v>39.99</v>
      </c>
      <c r="N41" s="52" t="n">
        <v>4.96</v>
      </c>
      <c r="O41" s="53" t="n">
        <v>0.0017</v>
      </c>
      <c r="P41" s="52" t="n">
        <v>0.3358333333333333</v>
      </c>
      <c r="Q41" s="53" t="n">
        <v>0.2015503875968992</v>
      </c>
      <c r="R41" s="52" t="n">
        <v>39.99</v>
      </c>
      <c r="S41" s="51" t="n">
        <v>14170</v>
      </c>
      <c r="T41" s="48" t="n">
        <v>79.98</v>
      </c>
      <c r="U41" s="49" t="n">
        <v>2</v>
      </c>
      <c r="V41" s="49" t="n">
        <v>24</v>
      </c>
      <c r="W41" s="50" t="n">
        <v>0.08333333333333333</v>
      </c>
      <c r="X41" s="51" t="n">
        <v>35</v>
      </c>
      <c r="Y41" s="52" t="n">
        <v>13.69</v>
      </c>
      <c r="Z41" s="52" t="n">
        <v>39.99</v>
      </c>
      <c r="AA41" s="52" t="n">
        <v>2.92</v>
      </c>
      <c r="AB41" s="53" t="n">
        <v>0.0021</v>
      </c>
      <c r="AC41" s="52" t="n">
        <v>0.3911428571428572</v>
      </c>
      <c r="AD41" s="53" t="n">
        <v>0.171167791947987</v>
      </c>
      <c r="AE41" s="52" t="n">
        <v>39.99</v>
      </c>
      <c r="AF41" s="51" t="n">
        <v>16664</v>
      </c>
      <c r="AG41" s="48" t="n">
        <v>36.99</v>
      </c>
      <c r="AH41" s="49" t="n">
        <v>1</v>
      </c>
      <c r="AI41" s="49" t="n">
        <v>24</v>
      </c>
      <c r="AJ41" s="50" t="n">
        <v>0.04166666666666666</v>
      </c>
      <c r="AK41" s="51" t="n">
        <v>29</v>
      </c>
      <c r="AL41" s="52" t="n">
        <v>11.65</v>
      </c>
      <c r="AM41" s="52" t="n">
        <v>36.99</v>
      </c>
      <c r="AN41" s="52" t="n">
        <v>3.18</v>
      </c>
      <c r="AO41" s="53" t="n">
        <v>0.0021</v>
      </c>
      <c r="AP41" s="52" t="n">
        <v>0.4017241379310346</v>
      </c>
      <c r="AQ41" s="53" t="n">
        <v>0.3149499864828332</v>
      </c>
      <c r="AR41" s="52" t="n">
        <v>36.99</v>
      </c>
      <c r="AS41" s="51" t="n">
        <v>14128</v>
      </c>
      <c r="AT41" s="48" t="n">
        <v>36.99</v>
      </c>
      <c r="AU41" s="49" t="n">
        <v>1</v>
      </c>
      <c r="AV41" s="49" t="n">
        <v>28</v>
      </c>
      <c r="AW41" s="50" t="n">
        <v>0.03571428571428571</v>
      </c>
      <c r="AX41" s="51" t="n">
        <v>34</v>
      </c>
      <c r="AY41" s="52" t="n">
        <v>13.02</v>
      </c>
      <c r="AZ41" s="52" t="n">
        <v>64.98</v>
      </c>
      <c r="BA41" s="52" t="n">
        <v>4.99</v>
      </c>
      <c r="BB41" s="53" t="n">
        <v>0.0026</v>
      </c>
      <c r="BC41" s="52" t="n">
        <v>0.3829411764705882</v>
      </c>
      <c r="BD41" s="53" t="n">
        <v>0.3519870235198702</v>
      </c>
      <c r="BE41" s="52" t="n">
        <v>36.99</v>
      </c>
      <c r="BF41" s="51" t="n">
        <v>12838</v>
      </c>
    </row>
    <row r="42">
      <c r="A42">
        <f>HYPERLINK("https://www.walmart.com/ip/866228722", "866228722")</f>
        <v/>
      </c>
      <c r="B42" t="inlineStr">
        <is>
          <t>Catalonia Waterproof Blanket, Pee Proof Couch Sofa Bed Protector Cover for Baby, Super Cozy Plush Fleece Warm Sherpa Lining Throws and Blankets for Boating Camping, 60x80 inches, Taupe</t>
        </is>
      </c>
      <c r="C42" t="inlineStr">
        <is>
          <t>1CTBW682TPTP</t>
        </is>
      </c>
      <c r="D42" t="inlineStr">
        <is>
          <t>Throws</t>
        </is>
      </c>
      <c r="E42" t="inlineStr">
        <is>
          <t>Catalonia</t>
        </is>
      </c>
      <c r="F42" t="inlineStr">
        <is>
          <t>Q2-Target,High AUR Items,Wproof Blanket,Batch 1 - TR</t>
        </is>
      </c>
      <c r="G42" s="48" t="n">
        <v>39.99</v>
      </c>
      <c r="H42" s="49" t="n">
        <v>1</v>
      </c>
      <c r="I42" s="49" t="n">
        <v>0</v>
      </c>
      <c r="J42" s="50" t="n">
        <v>0</v>
      </c>
      <c r="K42" s="51" t="n">
        <v>7</v>
      </c>
      <c r="L42" s="52" t="n">
        <v>3.4</v>
      </c>
      <c r="M42" s="52" t="n">
        <v>0</v>
      </c>
      <c r="N42" s="52" t="n">
        <v>0</v>
      </c>
      <c r="O42" s="53" t="n">
        <v>0.0031</v>
      </c>
      <c r="P42" s="52" t="n">
        <v>0.4857142857142858</v>
      </c>
      <c r="Q42" s="53" t="n">
        <v>0.08502125531382847</v>
      </c>
      <c r="R42" s="52" t="n">
        <v>39.99</v>
      </c>
      <c r="S42" s="51" t="n">
        <v>2266</v>
      </c>
      <c r="T42" s="48" t="n">
        <v>0</v>
      </c>
      <c r="U42" s="49" t="n">
        <v>0</v>
      </c>
      <c r="V42" s="49" t="n">
        <v>0</v>
      </c>
      <c r="W42" s="50" t="n">
        <v>0</v>
      </c>
      <c r="X42" s="51" t="n">
        <v>2</v>
      </c>
      <c r="Y42" s="52" t="n">
        <v>1</v>
      </c>
      <c r="Z42" s="52" t="n">
        <v>0</v>
      </c>
      <c r="AA42" s="52" t="n">
        <v>0</v>
      </c>
      <c r="AB42" s="53" t="n">
        <v>0.0012</v>
      </c>
      <c r="AC42" s="52" t="n">
        <v>0.5</v>
      </c>
      <c r="AD42" s="53" t="n">
        <v>0</v>
      </c>
      <c r="AE42" s="52" t="n">
        <v>0</v>
      </c>
      <c r="AF42" s="51" t="n">
        <v>1687</v>
      </c>
      <c r="AG42" s="48" t="n">
        <v>0</v>
      </c>
      <c r="AH42" s="49" t="n">
        <v>0</v>
      </c>
      <c r="AI42" s="49" t="n">
        <v>0</v>
      </c>
      <c r="AJ42" s="50" t="n">
        <v>0</v>
      </c>
      <c r="AK42" s="51" t="n">
        <v>2</v>
      </c>
      <c r="AL42" s="52" t="n">
        <v>1.04</v>
      </c>
      <c r="AM42" s="52" t="n">
        <v>0</v>
      </c>
      <c r="AN42" s="52" t="n">
        <v>0</v>
      </c>
      <c r="AO42" s="53" t="n">
        <v>0.0014</v>
      </c>
      <c r="AP42" s="52" t="n">
        <v>0.52</v>
      </c>
      <c r="AQ42" s="53" t="n">
        <v>0</v>
      </c>
      <c r="AR42" s="52" t="n">
        <v>0</v>
      </c>
      <c r="AS42" s="51" t="n">
        <v>1469</v>
      </c>
      <c r="AT42" s="48" t="n">
        <v>0</v>
      </c>
      <c r="AU42" s="49" t="n">
        <v>0</v>
      </c>
      <c r="AV42" s="49" t="n">
        <v>0</v>
      </c>
      <c r="AW42" s="50" t="n">
        <v>0</v>
      </c>
      <c r="AX42" s="51" t="n">
        <v>0</v>
      </c>
      <c r="AY42" s="52" t="n">
        <v>0</v>
      </c>
      <c r="AZ42" s="52" t="n">
        <v>0</v>
      </c>
      <c r="BA42" s="52" t="n">
        <v>0</v>
      </c>
      <c r="BB42" s="53" t="n">
        <v>0</v>
      </c>
      <c r="BC42" s="52" t="n">
        <v>0</v>
      </c>
      <c r="BD42" s="53" t="n">
        <v>0</v>
      </c>
      <c r="BE42" s="52" t="n">
        <v>0</v>
      </c>
      <c r="BF42" s="51" t="n">
        <v>1364</v>
      </c>
    </row>
    <row r="43">
      <c r="A43">
        <f>HYPERLINK("https://www.walmart.com/ip/323669219", "323669219")</f>
        <v/>
      </c>
      <c r="B43" t="inlineStr">
        <is>
          <t>Tirrinia Wind and Waterproof Blanket, Sherpa Lining Fleece Blanket, Triple Layers Warm Comfy Foldable Blanket for Camping, Stadium, Picnics, Sports, Grass, Concerts and Pets, Navy Blue/Grey, 60'' x 80''</t>
        </is>
      </c>
      <c r="C43" t="inlineStr">
        <is>
          <t>1TRBW608NYGY-TBCB</t>
        </is>
      </c>
      <c r="D43" t="inlineStr">
        <is>
          <t>Picnic Blankets &amp; Mats</t>
        </is>
      </c>
      <c r="E43" t="inlineStr">
        <is>
          <t>Tirrinia</t>
        </is>
      </c>
      <c r="F43" t="inlineStr">
        <is>
          <t>Q2-Target,Optimized,High AUR Items</t>
        </is>
      </c>
      <c r="G43" s="48" t="n">
        <v>39.99</v>
      </c>
      <c r="H43" s="49" t="n">
        <v>1</v>
      </c>
      <c r="I43" s="49" t="n">
        <v>0</v>
      </c>
      <c r="J43" s="50" t="n">
        <v>0</v>
      </c>
      <c r="K43" s="51" t="n">
        <v>0</v>
      </c>
      <c r="L43" s="52" t="n">
        <v>0</v>
      </c>
      <c r="M43" s="52" t="n">
        <v>0</v>
      </c>
      <c r="N43" s="52" t="n">
        <v>0</v>
      </c>
      <c r="O43" s="53" t="n">
        <v>0</v>
      </c>
      <c r="P43" s="52" t="n">
        <v>0</v>
      </c>
      <c r="Q43" s="53" t="n">
        <v>0</v>
      </c>
      <c r="R43" s="52" t="n">
        <v>39.99</v>
      </c>
      <c r="S43" s="51" t="n">
        <v>0</v>
      </c>
      <c r="T43" s="48" t="n">
        <v>0</v>
      </c>
      <c r="U43" s="49" t="n">
        <v>0</v>
      </c>
      <c r="V43" s="49" t="n">
        <v>0</v>
      </c>
      <c r="W43" s="50" t="n">
        <v>0</v>
      </c>
      <c r="X43" s="51" t="n">
        <v>0</v>
      </c>
      <c r="Y43" s="52" t="n">
        <v>0</v>
      </c>
      <c r="Z43" s="52" t="n">
        <v>0</v>
      </c>
      <c r="AA43" s="52" t="n">
        <v>0</v>
      </c>
      <c r="AB43" s="53" t="n">
        <v>0</v>
      </c>
      <c r="AC43" s="52" t="n">
        <v>0</v>
      </c>
      <c r="AD43" s="53" t="n">
        <v>0</v>
      </c>
      <c r="AE43" s="52" t="n">
        <v>0</v>
      </c>
      <c r="AF43" s="51" t="n">
        <v>0</v>
      </c>
      <c r="AG43" s="48" t="n">
        <v>39.99</v>
      </c>
      <c r="AH43" s="49" t="n">
        <v>1</v>
      </c>
      <c r="AI43" s="49" t="n">
        <v>0</v>
      </c>
      <c r="AJ43" s="50" t="n">
        <v>0</v>
      </c>
      <c r="AK43" s="51" t="n">
        <v>0</v>
      </c>
      <c r="AL43" s="52" t="n">
        <v>0</v>
      </c>
      <c r="AM43" s="52" t="n">
        <v>0</v>
      </c>
      <c r="AN43" s="52" t="n">
        <v>0</v>
      </c>
      <c r="AO43" s="53" t="n">
        <v>0</v>
      </c>
      <c r="AP43" s="52" t="n">
        <v>0</v>
      </c>
      <c r="AQ43" s="53" t="n">
        <v>0</v>
      </c>
      <c r="AR43" s="52" t="n">
        <v>39.99</v>
      </c>
      <c r="AS43" s="51" t="n">
        <v>0</v>
      </c>
      <c r="AT43" s="48" t="n">
        <v>0</v>
      </c>
      <c r="AU43" s="49" t="n">
        <v>0</v>
      </c>
      <c r="AV43" s="49" t="n">
        <v>0</v>
      </c>
      <c r="AW43" s="50" t="n">
        <v>0</v>
      </c>
      <c r="AX43" s="51" t="n">
        <v>0</v>
      </c>
      <c r="AY43" s="52" t="n">
        <v>0</v>
      </c>
      <c r="AZ43" s="52" t="n">
        <v>0</v>
      </c>
      <c r="BA43" s="52" t="n">
        <v>0</v>
      </c>
      <c r="BB43" s="53" t="n">
        <v>0</v>
      </c>
      <c r="BC43" s="52" t="n">
        <v>0</v>
      </c>
      <c r="BD43" s="53" t="n">
        <v>0</v>
      </c>
      <c r="BE43" s="52" t="n">
        <v>0</v>
      </c>
      <c r="BF43" s="51" t="n">
        <v>0</v>
      </c>
    </row>
    <row r="44">
      <c r="A44">
        <f>HYPERLINK("https://www.walmart.com/ip/703963438", "703963438")</f>
        <v/>
      </c>
      <c r="B44" t="inlineStr">
        <is>
          <t>Tirrinia Outdoors Waterproof Throw Blanket, Stadium Windproof Sherpa Fleece Blanket for Traveling, Camping, Hiking, and Football, Machine Washable, Navy Blue, 60'' x 80''</t>
        </is>
      </c>
      <c r="C44" t="inlineStr">
        <is>
          <t>1TRBW608NYGY</t>
        </is>
      </c>
      <c r="D44" t="inlineStr">
        <is>
          <t>Throws</t>
        </is>
      </c>
      <c r="E44" t="inlineStr">
        <is>
          <t>Tirrinia</t>
        </is>
      </c>
      <c r="F44" t="inlineStr">
        <is>
          <t>Optimized,AMZ Bestsellers</t>
        </is>
      </c>
      <c r="G44" s="48" t="n">
        <v>39.99</v>
      </c>
      <c r="H44" s="49" t="n">
        <v>1</v>
      </c>
      <c r="I44" s="49" t="n">
        <v>5</v>
      </c>
      <c r="J44" s="50" t="n">
        <v>0.2</v>
      </c>
      <c r="K44" s="51" t="n">
        <v>2</v>
      </c>
      <c r="L44" s="52" t="n">
        <v>0.9199999999999999</v>
      </c>
      <c r="M44" s="52" t="n">
        <v>0</v>
      </c>
      <c r="N44" s="52" t="n">
        <v>0</v>
      </c>
      <c r="O44" s="53" t="n">
        <v>0.0005999999999999999</v>
      </c>
      <c r="P44" s="52" t="n">
        <v>0.46</v>
      </c>
      <c r="Q44" s="53" t="n">
        <v>0.02300575143785946</v>
      </c>
      <c r="R44" s="52" t="n">
        <v>39.99</v>
      </c>
      <c r="S44" s="51" t="n">
        <v>3220</v>
      </c>
      <c r="T44" s="48" t="n">
        <v>0</v>
      </c>
      <c r="U44" s="49" t="n">
        <v>0</v>
      </c>
      <c r="V44" s="49" t="n">
        <v>5</v>
      </c>
      <c r="W44" s="50" t="n">
        <v>0</v>
      </c>
      <c r="X44" s="51" t="n">
        <v>9</v>
      </c>
      <c r="Y44" s="52" t="n">
        <v>4.02</v>
      </c>
      <c r="Z44" s="52" t="n">
        <v>0</v>
      </c>
      <c r="AA44" s="52" t="n">
        <v>0</v>
      </c>
      <c r="AB44" s="53" t="n">
        <v>0.0021</v>
      </c>
      <c r="AC44" s="52" t="n">
        <v>0.4466666666666666</v>
      </c>
      <c r="AD44" s="53" t="n">
        <v>0</v>
      </c>
      <c r="AE44" s="52" t="n">
        <v>0</v>
      </c>
      <c r="AF44" s="51" t="n">
        <v>4245</v>
      </c>
      <c r="AG44" s="48" t="n">
        <v>0</v>
      </c>
      <c r="AH44" s="49" t="n">
        <v>0</v>
      </c>
      <c r="AI44" s="49" t="n">
        <v>4</v>
      </c>
      <c r="AJ44" s="50" t="n">
        <v>0</v>
      </c>
      <c r="AK44" s="51" t="n">
        <v>0</v>
      </c>
      <c r="AL44" s="52" t="n">
        <v>0</v>
      </c>
      <c r="AM44" s="52" t="n">
        <v>0</v>
      </c>
      <c r="AN44" s="52" t="n">
        <v>0</v>
      </c>
      <c r="AO44" s="53" t="n">
        <v>0</v>
      </c>
      <c r="AP44" s="52" t="n">
        <v>0</v>
      </c>
      <c r="AQ44" s="53" t="n">
        <v>0</v>
      </c>
      <c r="AR44" s="52" t="n">
        <v>0</v>
      </c>
      <c r="AS44" s="51" t="n">
        <v>0</v>
      </c>
      <c r="AT44" s="48" t="n">
        <v>0</v>
      </c>
      <c r="AU44" s="49" t="n">
        <v>0</v>
      </c>
      <c r="AV44" s="49" t="n">
        <v>0</v>
      </c>
      <c r="AW44" s="50" t="n">
        <v>0</v>
      </c>
      <c r="AX44" s="51" t="n">
        <v>1</v>
      </c>
      <c r="AY44" s="52" t="n">
        <v>0.48</v>
      </c>
      <c r="AZ44" s="52" t="n">
        <v>0</v>
      </c>
      <c r="BA44" s="52" t="n">
        <v>0</v>
      </c>
      <c r="BB44" s="53" t="n">
        <v>0.0019</v>
      </c>
      <c r="BC44" s="52" t="n">
        <v>0.48</v>
      </c>
      <c r="BD44" s="53" t="n">
        <v>0</v>
      </c>
      <c r="BE44" s="52" t="n">
        <v>0</v>
      </c>
      <c r="BF44" s="51" t="n">
        <v>525</v>
      </c>
    </row>
    <row r="45">
      <c r="A45">
        <f>HYPERLINK("https://www.walmart.com/ip/2709770044", "2709770044")</f>
        <v/>
      </c>
      <c r="B45" t="inlineStr">
        <is>
          <t>Wrangler Men’s Leather Country Casual Every Day Dress Belt for Jeans, Khakis Brown 38</t>
        </is>
      </c>
      <c r="C45" t="inlineStr">
        <is>
          <t>WR-BELT-MENS-COUNTRY-BROWN-38</t>
        </is>
      </c>
      <c r="D45" t="inlineStr">
        <is>
          <t>Belts</t>
        </is>
      </c>
      <c r="E45" t="inlineStr">
        <is>
          <t>Wrangler</t>
        </is>
      </c>
      <c r="F45" t="inlineStr">
        <is>
          <t>Belts</t>
        </is>
      </c>
      <c r="G45" s="48" t="n">
        <v>39.98</v>
      </c>
      <c r="H45" s="49" t="n">
        <v>2</v>
      </c>
      <c r="I45" s="49" t="n">
        <v>0</v>
      </c>
      <c r="J45" s="50" t="n">
        <v>0</v>
      </c>
      <c r="K45" s="51" t="n">
        <v>0</v>
      </c>
      <c r="L45" s="52" t="n">
        <v>0</v>
      </c>
      <c r="M45" s="52" t="n">
        <v>0</v>
      </c>
      <c r="N45" s="52" t="n">
        <v>0</v>
      </c>
      <c r="O45" s="53" t="n">
        <v>0</v>
      </c>
      <c r="P45" s="52" t="n">
        <v>0</v>
      </c>
      <c r="Q45" s="53" t="n">
        <v>0</v>
      </c>
      <c r="R45" s="52" t="n">
        <v>19.99</v>
      </c>
      <c r="S45" s="51" t="n">
        <v>0</v>
      </c>
      <c r="T45" s="48" t="n">
        <v>-19.99</v>
      </c>
      <c r="U45" s="49" t="n">
        <v>-1</v>
      </c>
      <c r="V45" s="49" t="n">
        <v>0</v>
      </c>
      <c r="W45" s="50" t="n">
        <v>0</v>
      </c>
      <c r="X45" s="51" t="n">
        <v>0</v>
      </c>
      <c r="Y45" s="52" t="n">
        <v>0</v>
      </c>
      <c r="Z45" s="52" t="n">
        <v>0</v>
      </c>
      <c r="AA45" s="52" t="n">
        <v>0</v>
      </c>
      <c r="AB45" s="53" t="n">
        <v>0</v>
      </c>
      <c r="AC45" s="52" t="n">
        <v>0</v>
      </c>
      <c r="AD45" s="53" t="n">
        <v>0</v>
      </c>
      <c r="AE45" s="52" t="n">
        <v>0</v>
      </c>
      <c r="AF45" s="51" t="n">
        <v>0</v>
      </c>
      <c r="AG45" s="48" t="n">
        <v>19.99</v>
      </c>
      <c r="AH45" s="49" t="n">
        <v>1</v>
      </c>
      <c r="AI45" s="49" t="n">
        <v>0</v>
      </c>
      <c r="AJ45" s="50" t="n">
        <v>0</v>
      </c>
      <c r="AK45" s="51" t="n">
        <v>0</v>
      </c>
      <c r="AL45" s="52" t="n">
        <v>0</v>
      </c>
      <c r="AM45" s="52" t="n">
        <v>0</v>
      </c>
      <c r="AN45" s="52" t="n">
        <v>0</v>
      </c>
      <c r="AO45" s="53" t="n">
        <v>0</v>
      </c>
      <c r="AP45" s="52" t="n">
        <v>0</v>
      </c>
      <c r="AQ45" s="53" t="n">
        <v>0</v>
      </c>
      <c r="AR45" s="52" t="n">
        <v>19.99</v>
      </c>
      <c r="AS45" s="51" t="n">
        <v>0</v>
      </c>
      <c r="AT45" s="48" t="n">
        <v>-19.99</v>
      </c>
      <c r="AU45" s="49" t="n">
        <v>-1</v>
      </c>
      <c r="AV45" s="49" t="n">
        <v>0</v>
      </c>
      <c r="AW45" s="50" t="n">
        <v>0</v>
      </c>
      <c r="AX45" s="51" t="n">
        <v>0</v>
      </c>
      <c r="AY45" s="52" t="n">
        <v>0</v>
      </c>
      <c r="AZ45" s="52" t="n">
        <v>0</v>
      </c>
      <c r="BA45" s="52" t="n">
        <v>0</v>
      </c>
      <c r="BB45" s="53" t="n">
        <v>0</v>
      </c>
      <c r="BC45" s="52" t="n">
        <v>0</v>
      </c>
      <c r="BD45" s="53" t="n">
        <v>0</v>
      </c>
      <c r="BE45" s="52" t="n">
        <v>0</v>
      </c>
      <c r="BF45" s="51" t="n">
        <v>0</v>
      </c>
    </row>
    <row r="46">
      <c r="A46">
        <f>HYPERLINK("https://www.walmart.com/ip/3532120861", "3532120861")</f>
        <v/>
      </c>
      <c r="B46" t="inlineStr">
        <is>
          <t>Wrangler Men’s Leather Country Casual Every Day Dress Belt for Jeans, Khakis Brown 36</t>
        </is>
      </c>
      <c r="C46" t="inlineStr">
        <is>
          <t>WR-BELT-MENS-COUNTRY-BROWN-36</t>
        </is>
      </c>
      <c r="D46" t="inlineStr">
        <is>
          <t>Belts</t>
        </is>
      </c>
      <c r="E46" t="inlineStr">
        <is>
          <t>Wrangler</t>
        </is>
      </c>
      <c r="F46" t="inlineStr">
        <is>
          <t>Belts</t>
        </is>
      </c>
      <c r="G46" s="48" t="n">
        <v>39.98</v>
      </c>
      <c r="H46" s="49" t="n">
        <v>2</v>
      </c>
      <c r="I46" s="49" t="n">
        <v>2</v>
      </c>
      <c r="J46" s="50" t="n">
        <v>1</v>
      </c>
      <c r="K46" s="51" t="n">
        <v>0</v>
      </c>
      <c r="L46" s="52" t="n">
        <v>0</v>
      </c>
      <c r="M46" s="52" t="n">
        <v>0</v>
      </c>
      <c r="N46" s="52" t="n">
        <v>0</v>
      </c>
      <c r="O46" s="53" t="n">
        <v>0</v>
      </c>
      <c r="P46" s="52" t="n">
        <v>0</v>
      </c>
      <c r="Q46" s="53" t="n">
        <v>0</v>
      </c>
      <c r="R46" s="52" t="n">
        <v>19.99</v>
      </c>
      <c r="S46" s="51" t="n">
        <v>0</v>
      </c>
      <c r="T46" s="48" t="n">
        <v>19.99</v>
      </c>
      <c r="U46" s="49" t="n">
        <v>1</v>
      </c>
      <c r="V46" s="49" t="n">
        <v>2</v>
      </c>
      <c r="W46" s="50" t="n">
        <v>0.5</v>
      </c>
      <c r="X46" s="51" t="n">
        <v>0</v>
      </c>
      <c r="Y46" s="52" t="n">
        <v>0</v>
      </c>
      <c r="Z46" s="52" t="n">
        <v>0</v>
      </c>
      <c r="AA46" s="52" t="n">
        <v>0</v>
      </c>
      <c r="AB46" s="53" t="n">
        <v>0</v>
      </c>
      <c r="AC46" s="52" t="n">
        <v>0</v>
      </c>
      <c r="AD46" s="53" t="n">
        <v>0</v>
      </c>
      <c r="AE46" s="52" t="n">
        <v>19.99</v>
      </c>
      <c r="AF46" s="51" t="n">
        <v>0</v>
      </c>
      <c r="AG46" s="48" t="n">
        <v>19.99</v>
      </c>
      <c r="AH46" s="49" t="n">
        <v>1</v>
      </c>
      <c r="AI46" s="49" t="n">
        <v>3</v>
      </c>
      <c r="AJ46" s="50" t="n">
        <v>0.3333333333333333</v>
      </c>
      <c r="AK46" s="51" t="n">
        <v>0</v>
      </c>
      <c r="AL46" s="52" t="n">
        <v>0</v>
      </c>
      <c r="AM46" s="52" t="n">
        <v>0</v>
      </c>
      <c r="AN46" s="52" t="n">
        <v>0</v>
      </c>
      <c r="AO46" s="53" t="n">
        <v>0</v>
      </c>
      <c r="AP46" s="52" t="n">
        <v>0</v>
      </c>
      <c r="AQ46" s="53" t="n">
        <v>0</v>
      </c>
      <c r="AR46" s="52" t="n">
        <v>19.99</v>
      </c>
      <c r="AS46" s="51" t="n">
        <v>0</v>
      </c>
      <c r="AT46" s="48" t="n">
        <v>0</v>
      </c>
      <c r="AU46" s="49" t="n">
        <v>0</v>
      </c>
      <c r="AV46" s="49" t="n">
        <v>2</v>
      </c>
      <c r="AW46" s="50" t="n">
        <v>0</v>
      </c>
      <c r="AX46" s="51" t="n">
        <v>0</v>
      </c>
      <c r="AY46" s="52" t="n">
        <v>0</v>
      </c>
      <c r="AZ46" s="52" t="n">
        <v>0</v>
      </c>
      <c r="BA46" s="52" t="n">
        <v>0</v>
      </c>
      <c r="BB46" s="53" t="n">
        <v>0</v>
      </c>
      <c r="BC46" s="52" t="n">
        <v>0</v>
      </c>
      <c r="BD46" s="53" t="n">
        <v>0</v>
      </c>
      <c r="BE46" s="52" t="n">
        <v>0</v>
      </c>
      <c r="BF46" s="51" t="n">
        <v>0</v>
      </c>
    </row>
    <row r="47">
      <c r="A47">
        <f>HYPERLINK("https://www.walmart.com/ip/10305562753", "10305562753")</f>
        <v/>
      </c>
      <c r="B47" t="inlineStr">
        <is>
          <t>Wrangler Men’s Full Grain Genuine Leather 35mm Thick Casual Belt for Jeans, Pants - Brown, 36</t>
        </is>
      </c>
      <c r="C47" t="inlineStr">
        <is>
          <t>WR-BELT-MENS-35MM-BROWN-36</t>
        </is>
      </c>
      <c r="D47" t="inlineStr">
        <is>
          <t>Belts</t>
        </is>
      </c>
      <c r="E47" t="inlineStr">
        <is>
          <t>Wrangler</t>
        </is>
      </c>
      <c r="F47" t="inlineStr">
        <is>
          <t>Belts</t>
        </is>
      </c>
      <c r="G47" s="48" t="n">
        <v>39.98</v>
      </c>
      <c r="H47" s="49" t="n">
        <v>2</v>
      </c>
      <c r="I47" s="49" t="n">
        <v>0</v>
      </c>
      <c r="J47" s="50" t="n">
        <v>0</v>
      </c>
      <c r="K47" s="51" t="n">
        <v>0</v>
      </c>
      <c r="L47" s="52" t="n">
        <v>0</v>
      </c>
      <c r="M47" s="52" t="n">
        <v>0</v>
      </c>
      <c r="N47" s="52" t="n">
        <v>0</v>
      </c>
      <c r="O47" s="53" t="n">
        <v>0</v>
      </c>
      <c r="P47" s="52" t="n">
        <v>0</v>
      </c>
      <c r="Q47" s="53" t="n">
        <v>0</v>
      </c>
      <c r="R47" s="52" t="n">
        <v>19.99</v>
      </c>
      <c r="S47" s="51" t="n">
        <v>0</v>
      </c>
      <c r="T47" s="48" t="n">
        <v>0</v>
      </c>
      <c r="U47" s="49" t="n">
        <v>0</v>
      </c>
      <c r="V47" s="49" t="n">
        <v>0</v>
      </c>
      <c r="W47" s="50" t="n">
        <v>0</v>
      </c>
      <c r="X47" s="51" t="n">
        <v>0</v>
      </c>
      <c r="Y47" s="52" t="n">
        <v>0</v>
      </c>
      <c r="Z47" s="52" t="n">
        <v>0</v>
      </c>
      <c r="AA47" s="52" t="n">
        <v>0</v>
      </c>
      <c r="AB47" s="53" t="n">
        <v>0</v>
      </c>
      <c r="AC47" s="52" t="n">
        <v>0</v>
      </c>
      <c r="AD47" s="53" t="n">
        <v>0</v>
      </c>
      <c r="AE47" s="52" t="n">
        <v>0</v>
      </c>
      <c r="AF47" s="51" t="n">
        <v>0</v>
      </c>
      <c r="AG47" s="48" t="n">
        <v>0</v>
      </c>
      <c r="AH47" s="49" t="n">
        <v>0</v>
      </c>
      <c r="AI47" s="49" t="n">
        <v>0</v>
      </c>
      <c r="AJ47" s="50" t="n">
        <v>0</v>
      </c>
      <c r="AK47" s="51" t="n">
        <v>0</v>
      </c>
      <c r="AL47" s="52" t="n">
        <v>0</v>
      </c>
      <c r="AM47" s="52" t="n">
        <v>0</v>
      </c>
      <c r="AN47" s="52" t="n">
        <v>0</v>
      </c>
      <c r="AO47" s="53" t="n">
        <v>0</v>
      </c>
      <c r="AP47" s="52" t="n">
        <v>0</v>
      </c>
      <c r="AQ47" s="53" t="n">
        <v>0</v>
      </c>
      <c r="AR47" s="52" t="n">
        <v>0</v>
      </c>
      <c r="AS47" s="51" t="n">
        <v>0</v>
      </c>
      <c r="AT47" s="48" t="n">
        <v>19.99</v>
      </c>
      <c r="AU47" s="49" t="n">
        <v>1</v>
      </c>
      <c r="AV47" s="49" t="n">
        <v>0</v>
      </c>
      <c r="AW47" s="50" t="n">
        <v>0</v>
      </c>
      <c r="AX47" s="51" t="n">
        <v>0</v>
      </c>
      <c r="AY47" s="52" t="n">
        <v>0</v>
      </c>
      <c r="AZ47" s="52" t="n">
        <v>0</v>
      </c>
      <c r="BA47" s="52" t="n">
        <v>0</v>
      </c>
      <c r="BB47" s="53" t="n">
        <v>0</v>
      </c>
      <c r="BC47" s="52" t="n">
        <v>0</v>
      </c>
      <c r="BD47" s="53" t="n">
        <v>0</v>
      </c>
      <c r="BE47" s="52" t="n">
        <v>19.99</v>
      </c>
      <c r="BF47" s="51" t="n">
        <v>0</v>
      </c>
    </row>
    <row r="48">
      <c r="A48">
        <f>HYPERLINK("https://www.walmart.com/ip/10303765497", "10303765497")</f>
        <v/>
      </c>
      <c r="B48" t="inlineStr">
        <is>
          <t>Wrangler Men’s Full Grain Genuine Leather 35mm Thick Casual Belt for Jeans, Pants - Light Brown, 34</t>
        </is>
      </c>
      <c r="C48" t="inlineStr">
        <is>
          <t>WR-BELT-MENS-35MM-LTBROWN-34</t>
        </is>
      </c>
      <c r="D48" t="inlineStr">
        <is>
          <t>Belts</t>
        </is>
      </c>
      <c r="E48" t="inlineStr">
        <is>
          <t>Wrangler</t>
        </is>
      </c>
      <c r="F48" t="inlineStr">
        <is>
          <t>Belts</t>
        </is>
      </c>
      <c r="G48" s="48" t="n">
        <v>39.98</v>
      </c>
      <c r="H48" s="49" t="n">
        <v>2</v>
      </c>
      <c r="I48" s="49" t="n">
        <v>19</v>
      </c>
      <c r="J48" s="50" t="n">
        <v>0.1052631578947368</v>
      </c>
      <c r="K48" s="51" t="n">
        <v>15</v>
      </c>
      <c r="L48" s="52" t="n">
        <v>4.42</v>
      </c>
      <c r="M48" s="52" t="n">
        <v>39.98</v>
      </c>
      <c r="N48" s="52" t="n">
        <v>9.050000000000001</v>
      </c>
      <c r="O48" s="53" t="n">
        <v>0.015</v>
      </c>
      <c r="P48" s="52" t="n">
        <v>0.2946666666666667</v>
      </c>
      <c r="Q48" s="53" t="n">
        <v>0.1105552776388194</v>
      </c>
      <c r="R48" s="52" t="n">
        <v>19.99</v>
      </c>
      <c r="S48" s="51" t="n">
        <v>998</v>
      </c>
      <c r="T48" s="48" t="n">
        <v>39.98</v>
      </c>
      <c r="U48" s="49" t="n">
        <v>2</v>
      </c>
      <c r="V48" s="49" t="n">
        <v>12</v>
      </c>
      <c r="W48" s="50" t="n">
        <v>0.1666666666666667</v>
      </c>
      <c r="X48" s="51" t="n">
        <v>19</v>
      </c>
      <c r="Y48" s="52" t="n">
        <v>5.529999999999999</v>
      </c>
      <c r="Z48" s="52" t="n">
        <v>19.99</v>
      </c>
      <c r="AA48" s="52" t="n">
        <v>3.61</v>
      </c>
      <c r="AB48" s="53" t="n">
        <v>0.0164</v>
      </c>
      <c r="AC48" s="52" t="n">
        <v>0.2910526315789473</v>
      </c>
      <c r="AD48" s="53" t="n">
        <v>0.1383191595797899</v>
      </c>
      <c r="AE48" s="52" t="n">
        <v>19.99</v>
      </c>
      <c r="AF48" s="51" t="n">
        <v>1156</v>
      </c>
      <c r="AG48" s="48" t="n">
        <v>0</v>
      </c>
      <c r="AH48" s="49" t="n">
        <v>0</v>
      </c>
      <c r="AI48" s="49" t="n">
        <v>13</v>
      </c>
      <c r="AJ48" s="50" t="n">
        <v>0</v>
      </c>
      <c r="AK48" s="51" t="n">
        <v>23</v>
      </c>
      <c r="AL48" s="52" t="n">
        <v>6.800000000000001</v>
      </c>
      <c r="AM48" s="52" t="n">
        <v>79.95999999999999</v>
      </c>
      <c r="AN48" s="52" t="n">
        <v>11.76</v>
      </c>
      <c r="AO48" s="53" t="n">
        <v>0.0157</v>
      </c>
      <c r="AP48" s="52" t="n">
        <v>0.2956521739130435</v>
      </c>
      <c r="AQ48" s="53" t="n">
        <v>0</v>
      </c>
      <c r="AR48" s="52" t="n">
        <v>0</v>
      </c>
      <c r="AS48" s="51" t="n">
        <v>1463</v>
      </c>
      <c r="AT48" s="48" t="n">
        <v>79.95999999999999</v>
      </c>
      <c r="AU48" s="49" t="n">
        <v>4</v>
      </c>
      <c r="AV48" s="49" t="n">
        <v>14</v>
      </c>
      <c r="AW48" s="50" t="n">
        <v>0.2857142857142857</v>
      </c>
      <c r="AX48" s="51" t="n">
        <v>31</v>
      </c>
      <c r="AY48" s="52" t="n">
        <v>9.059999999999999</v>
      </c>
      <c r="AZ48" s="52" t="n">
        <v>59.97</v>
      </c>
      <c r="BA48" s="52" t="n">
        <v>6.62</v>
      </c>
      <c r="BB48" s="53" t="n">
        <v>0.0194</v>
      </c>
      <c r="BC48" s="52" t="n">
        <v>0.292258064516129</v>
      </c>
      <c r="BD48" s="53" t="n">
        <v>0.1133066533266633</v>
      </c>
      <c r="BE48" s="52" t="n">
        <v>19.99</v>
      </c>
      <c r="BF48" s="51" t="n">
        <v>1601</v>
      </c>
    </row>
    <row r="49">
      <c r="A49">
        <f>HYPERLINK("https://www.walmart.com/ip/107158532", "107158532")</f>
        <v/>
      </c>
      <c r="B49" t="inlineStr">
        <is>
          <t>Catalonia Wearable Blanket with Sleeves and Pocket, Cozy Soft Fleece Micro Plush Wrap Adult Snuggie Blanket Robe for Women Men, Cheetah Pattern Makes a Great Gift for Holidays.</t>
        </is>
      </c>
      <c r="C49" t="inlineStr">
        <is>
          <t>1CTSN100CHEETAH</t>
        </is>
      </c>
      <c r="D49" t="inlineStr">
        <is>
          <t>Throws</t>
        </is>
      </c>
      <c r="E49" t="inlineStr">
        <is>
          <t>Catalonia</t>
        </is>
      </c>
      <c r="F49" t="inlineStr">
        <is>
          <t>WFS,WFS Item</t>
        </is>
      </c>
      <c r="G49" s="48" t="n">
        <v>39.98</v>
      </c>
      <c r="H49" s="49" t="n">
        <v>2</v>
      </c>
      <c r="I49" s="49" t="n">
        <v>12</v>
      </c>
      <c r="J49" s="50" t="n">
        <v>0.1666666666666667</v>
      </c>
      <c r="K49" s="51" t="n">
        <v>0</v>
      </c>
      <c r="L49" s="52" t="n">
        <v>0</v>
      </c>
      <c r="M49" s="52" t="n">
        <v>0</v>
      </c>
      <c r="N49" s="52" t="n">
        <v>0</v>
      </c>
      <c r="O49" s="53" t="n">
        <v>0</v>
      </c>
      <c r="P49" s="52" t="n">
        <v>0</v>
      </c>
      <c r="Q49" s="53" t="n">
        <v>0</v>
      </c>
      <c r="R49" s="52" t="n">
        <v>19.99</v>
      </c>
      <c r="S49" s="51" t="n">
        <v>0</v>
      </c>
      <c r="T49" s="48" t="n">
        <v>19.99</v>
      </c>
      <c r="U49" s="49" t="n">
        <v>1</v>
      </c>
      <c r="V49" s="49" t="n">
        <v>2</v>
      </c>
      <c r="W49" s="50" t="n">
        <v>0.5</v>
      </c>
      <c r="X49" s="51" t="n">
        <v>0</v>
      </c>
      <c r="Y49" s="52" t="n">
        <v>0</v>
      </c>
      <c r="Z49" s="52" t="n">
        <v>0</v>
      </c>
      <c r="AA49" s="52" t="n">
        <v>0</v>
      </c>
      <c r="AB49" s="53" t="n">
        <v>0</v>
      </c>
      <c r="AC49" s="52" t="n">
        <v>0</v>
      </c>
      <c r="AD49" s="53" t="n">
        <v>0</v>
      </c>
      <c r="AE49" s="52" t="n">
        <v>19.99</v>
      </c>
      <c r="AF49" s="51" t="n">
        <v>0</v>
      </c>
      <c r="AG49" s="48" t="n">
        <v>0</v>
      </c>
      <c r="AH49" s="49" t="n">
        <v>0</v>
      </c>
      <c r="AI49" s="49" t="n">
        <v>1</v>
      </c>
      <c r="AJ49" s="50" t="n">
        <v>0</v>
      </c>
      <c r="AK49" s="51" t="n">
        <v>0</v>
      </c>
      <c r="AL49" s="52" t="n">
        <v>0</v>
      </c>
      <c r="AM49" s="52" t="n">
        <v>0</v>
      </c>
      <c r="AN49" s="52" t="n">
        <v>0</v>
      </c>
      <c r="AO49" s="53" t="n">
        <v>0</v>
      </c>
      <c r="AP49" s="52" t="n">
        <v>0</v>
      </c>
      <c r="AQ49" s="53" t="n">
        <v>0</v>
      </c>
      <c r="AR49" s="52" t="n">
        <v>0</v>
      </c>
      <c r="AS49" s="51" t="n">
        <v>0</v>
      </c>
      <c r="AT49" s="48" t="n">
        <v>0</v>
      </c>
      <c r="AU49" s="49" t="n">
        <v>0</v>
      </c>
      <c r="AV49" s="49" t="n">
        <v>6</v>
      </c>
      <c r="AW49" s="50" t="n">
        <v>0</v>
      </c>
      <c r="AX49" s="51" t="n">
        <v>0</v>
      </c>
      <c r="AY49" s="52" t="n">
        <v>0</v>
      </c>
      <c r="AZ49" s="52" t="n">
        <v>0</v>
      </c>
      <c r="BA49" s="52" t="n">
        <v>0</v>
      </c>
      <c r="BB49" s="53" t="n">
        <v>0</v>
      </c>
      <c r="BC49" s="52" t="n">
        <v>0</v>
      </c>
      <c r="BD49" s="53" t="n">
        <v>0</v>
      </c>
      <c r="BE49" s="52" t="n">
        <v>0</v>
      </c>
      <c r="BF49" s="51" t="n">
        <v>0</v>
      </c>
    </row>
    <row r="50">
      <c r="A50">
        <f>HYPERLINK("https://www.walmart.com/ip/10298970245", "10298970245")</f>
        <v/>
      </c>
      <c r="B50" t="inlineStr">
        <is>
          <t>Wrangler Men’s Full Grain Genuine Leather 35mm Thick Casual Belt for Jeans, Pants - Black, 38</t>
        </is>
      </c>
      <c r="C50" t="inlineStr">
        <is>
          <t>WR-BELT-MENS-35MM-BLACK-38</t>
        </is>
      </c>
      <c r="D50" t="inlineStr">
        <is>
          <t>Belts</t>
        </is>
      </c>
      <c r="E50" t="inlineStr">
        <is>
          <t>Wrangler</t>
        </is>
      </c>
      <c r="F50" t="inlineStr">
        <is>
          <t>Belts</t>
        </is>
      </c>
      <c r="G50" s="48" t="n">
        <v>39.98</v>
      </c>
      <c r="H50" s="49" t="n">
        <v>2</v>
      </c>
      <c r="I50" s="49" t="n">
        <v>0</v>
      </c>
      <c r="J50" s="50" t="n">
        <v>0</v>
      </c>
      <c r="K50" s="51" t="n">
        <v>0</v>
      </c>
      <c r="L50" s="52" t="n">
        <v>0</v>
      </c>
      <c r="M50" s="52" t="n">
        <v>0</v>
      </c>
      <c r="N50" s="52" t="n">
        <v>0</v>
      </c>
      <c r="O50" s="53" t="n">
        <v>0</v>
      </c>
      <c r="P50" s="52" t="n">
        <v>0</v>
      </c>
      <c r="Q50" s="53" t="n">
        <v>0</v>
      </c>
      <c r="R50" s="52" t="n">
        <v>19.99</v>
      </c>
      <c r="S50" s="51" t="n">
        <v>0</v>
      </c>
      <c r="T50" s="48" t="n">
        <v>0</v>
      </c>
      <c r="U50" s="49" t="n">
        <v>0</v>
      </c>
      <c r="V50" s="49" t="n">
        <v>0</v>
      </c>
      <c r="W50" s="50" t="n">
        <v>0</v>
      </c>
      <c r="X50" s="51" t="n">
        <v>0</v>
      </c>
      <c r="Y50" s="52" t="n">
        <v>0</v>
      </c>
      <c r="Z50" s="52" t="n">
        <v>0</v>
      </c>
      <c r="AA50" s="52" t="n">
        <v>0</v>
      </c>
      <c r="AB50" s="53" t="n">
        <v>0</v>
      </c>
      <c r="AC50" s="52" t="n">
        <v>0</v>
      </c>
      <c r="AD50" s="53" t="n">
        <v>0</v>
      </c>
      <c r="AE50" s="52" t="n">
        <v>0</v>
      </c>
      <c r="AF50" s="51" t="n">
        <v>0</v>
      </c>
      <c r="AG50" s="48" t="n">
        <v>0</v>
      </c>
      <c r="AH50" s="49" t="n">
        <v>0</v>
      </c>
      <c r="AI50" s="49" t="n">
        <v>0</v>
      </c>
      <c r="AJ50" s="50" t="n">
        <v>0</v>
      </c>
      <c r="AK50" s="51" t="n">
        <v>0</v>
      </c>
      <c r="AL50" s="52" t="n">
        <v>0</v>
      </c>
      <c r="AM50" s="52" t="n">
        <v>0</v>
      </c>
      <c r="AN50" s="52" t="n">
        <v>0</v>
      </c>
      <c r="AO50" s="53" t="n">
        <v>0</v>
      </c>
      <c r="AP50" s="52" t="n">
        <v>0</v>
      </c>
      <c r="AQ50" s="53" t="n">
        <v>0</v>
      </c>
      <c r="AR50" s="52" t="n">
        <v>0</v>
      </c>
      <c r="AS50" s="51" t="n">
        <v>0</v>
      </c>
      <c r="AT50" s="48" t="n">
        <v>-19.99</v>
      </c>
      <c r="AU50" s="49" t="n">
        <v>-1</v>
      </c>
      <c r="AV50" s="49" t="n">
        <v>0</v>
      </c>
      <c r="AW50" s="50" t="n">
        <v>0</v>
      </c>
      <c r="AX50" s="51" t="n">
        <v>0</v>
      </c>
      <c r="AY50" s="52" t="n">
        <v>0</v>
      </c>
      <c r="AZ50" s="52" t="n">
        <v>0</v>
      </c>
      <c r="BA50" s="52" t="n">
        <v>0</v>
      </c>
      <c r="BB50" s="53" t="n">
        <v>0</v>
      </c>
      <c r="BC50" s="52" t="n">
        <v>0</v>
      </c>
      <c r="BD50" s="53" t="n">
        <v>0</v>
      </c>
      <c r="BE50" s="52" t="n">
        <v>0</v>
      </c>
      <c r="BF50" s="51" t="n">
        <v>0</v>
      </c>
    </row>
    <row r="51">
      <c r="A51">
        <f>HYPERLINK("https://www.walmart.com/ip/10298970243", "10298970243")</f>
        <v/>
      </c>
      <c r="B51" t="inlineStr">
        <is>
          <t>Wrangler Men’s Leather Country Casual Every Day Dress Belt for Jeans, Khakis Brown 32</t>
        </is>
      </c>
      <c r="C51" t="inlineStr">
        <is>
          <t>WR-BELT-MENS-COUNTRY-BROWN-32</t>
        </is>
      </c>
      <c r="D51" t="inlineStr">
        <is>
          <t>Belts</t>
        </is>
      </c>
      <c r="E51" t="inlineStr">
        <is>
          <t>Wrangler</t>
        </is>
      </c>
      <c r="F51" t="inlineStr">
        <is>
          <t>Belts</t>
        </is>
      </c>
      <c r="G51" s="48" t="n">
        <v>39.98</v>
      </c>
      <c r="H51" s="49" t="n">
        <v>2</v>
      </c>
      <c r="I51" s="49" t="n">
        <v>5</v>
      </c>
      <c r="J51" s="50" t="n">
        <v>0.4</v>
      </c>
      <c r="K51" s="51" t="n">
        <v>29</v>
      </c>
      <c r="L51" s="52" t="n">
        <v>14.41</v>
      </c>
      <c r="M51" s="52" t="n">
        <v>119.94</v>
      </c>
      <c r="N51" s="52" t="n">
        <v>8.32</v>
      </c>
      <c r="O51" s="53" t="n">
        <v>0.0137</v>
      </c>
      <c r="P51" s="52" t="n">
        <v>0.4968965517241379</v>
      </c>
      <c r="Q51" s="53" t="n">
        <v>0.3604302151075538</v>
      </c>
      <c r="R51" s="52" t="n">
        <v>19.99</v>
      </c>
      <c r="S51" s="51" t="n">
        <v>2114</v>
      </c>
      <c r="T51" s="48" t="n">
        <v>0</v>
      </c>
      <c r="U51" s="49" t="n">
        <v>0</v>
      </c>
      <c r="V51" s="49" t="n">
        <v>0</v>
      </c>
      <c r="W51" s="50" t="n">
        <v>0</v>
      </c>
      <c r="X51" s="51" t="n">
        <v>9</v>
      </c>
      <c r="Y51" s="52" t="n">
        <v>4.62</v>
      </c>
      <c r="Z51" s="52" t="n">
        <v>19.99</v>
      </c>
      <c r="AA51" s="52" t="n">
        <v>4.33</v>
      </c>
      <c r="AB51" s="53" t="n">
        <v>0.0067</v>
      </c>
      <c r="AC51" s="52" t="n">
        <v>0.5133333333333333</v>
      </c>
      <c r="AD51" s="53" t="n">
        <v>0</v>
      </c>
      <c r="AE51" s="52" t="n">
        <v>0</v>
      </c>
      <c r="AF51" s="51" t="n">
        <v>1342</v>
      </c>
      <c r="AG51" s="48" t="n">
        <v>19.99</v>
      </c>
      <c r="AH51" s="49" t="n">
        <v>1</v>
      </c>
      <c r="AI51" s="49" t="n">
        <v>0</v>
      </c>
      <c r="AJ51" s="50" t="n">
        <v>0</v>
      </c>
      <c r="AK51" s="51" t="n">
        <v>6</v>
      </c>
      <c r="AL51" s="52" t="n">
        <v>2.71</v>
      </c>
      <c r="AM51" s="52" t="n">
        <v>0</v>
      </c>
      <c r="AN51" s="52" t="n">
        <v>0</v>
      </c>
      <c r="AO51" s="53" t="n">
        <v>0.0037</v>
      </c>
      <c r="AP51" s="52" t="n">
        <v>0.4516666666666667</v>
      </c>
      <c r="AQ51" s="53" t="n">
        <v>0.135567783891946</v>
      </c>
      <c r="AR51" s="52" t="n">
        <v>19.99</v>
      </c>
      <c r="AS51" s="51" t="n">
        <v>1635</v>
      </c>
      <c r="AT51" s="48" t="n">
        <v>0</v>
      </c>
      <c r="AU51" s="49" t="n">
        <v>0</v>
      </c>
      <c r="AV51" s="49" t="n">
        <v>0</v>
      </c>
      <c r="AW51" s="50" t="n">
        <v>0</v>
      </c>
      <c r="AX51" s="51" t="n">
        <v>10</v>
      </c>
      <c r="AY51" s="52" t="n">
        <v>4.53</v>
      </c>
      <c r="AZ51" s="52" t="n">
        <v>0</v>
      </c>
      <c r="BA51" s="52" t="n">
        <v>0</v>
      </c>
      <c r="BB51" s="53" t="n">
        <v>0.0065</v>
      </c>
      <c r="BC51" s="52" t="n">
        <v>0.453</v>
      </c>
      <c r="BD51" s="53" t="n">
        <v>0</v>
      </c>
      <c r="BE51" s="52" t="n">
        <v>0</v>
      </c>
      <c r="BF51" s="51" t="n">
        <v>1542</v>
      </c>
    </row>
    <row r="52">
      <c r="A52">
        <f>HYPERLINK("https://www.walmart.com/ip/340135878", "340135878")</f>
        <v/>
      </c>
      <c r="B52" t="inlineStr">
        <is>
          <t>Beige Buffalo Plaid Decorative Throw TV Sherpa Blanket, Soft, Warm, Comfy, Plush Fleece for Bedding, Couch and Cabin, Gray Throw Blanket, 50" x 60".</t>
        </is>
      </c>
      <c r="C52" t="inlineStr">
        <is>
          <t>1CTBF569PBG</t>
        </is>
      </c>
      <c r="D52" t="inlineStr">
        <is>
          <t>Throws</t>
        </is>
      </c>
      <c r="E52" t="inlineStr">
        <is>
          <t>Catalonia</t>
        </is>
      </c>
      <c r="F52" t="inlineStr">
        <is>
          <t>Q2-Target,WFS,Coupon_Discount,WFS Item</t>
        </is>
      </c>
      <c r="G52" s="48" t="n">
        <v>39.98</v>
      </c>
      <c r="H52" s="49" t="n">
        <v>2</v>
      </c>
      <c r="I52" s="49" t="n">
        <v>11</v>
      </c>
      <c r="J52" s="50" t="n">
        <v>0.1818181818181818</v>
      </c>
      <c r="K52" s="51" t="n">
        <v>8</v>
      </c>
      <c r="L52" s="52" t="n">
        <v>3.5</v>
      </c>
      <c r="M52" s="52" t="n">
        <v>0</v>
      </c>
      <c r="N52" s="52" t="n">
        <v>0</v>
      </c>
      <c r="O52" s="53" t="n">
        <v>0.0008</v>
      </c>
      <c r="P52" s="52" t="n">
        <v>0.4375</v>
      </c>
      <c r="Q52" s="53" t="n">
        <v>0.08754377188594298</v>
      </c>
      <c r="R52" s="52" t="n">
        <v>19.99</v>
      </c>
      <c r="S52" s="51" t="n">
        <v>9485</v>
      </c>
      <c r="T52" s="48" t="n">
        <v>-14.99</v>
      </c>
      <c r="U52" s="49" t="n">
        <v>-1</v>
      </c>
      <c r="V52" s="49" t="n">
        <v>14</v>
      </c>
      <c r="W52" s="50" t="n">
        <v>-0.07142857142857142</v>
      </c>
      <c r="X52" s="51" t="n">
        <v>24</v>
      </c>
      <c r="Y52" s="52" t="n">
        <v>10.34</v>
      </c>
      <c r="Z52" s="52" t="n">
        <v>0</v>
      </c>
      <c r="AA52" s="52" t="n">
        <v>0</v>
      </c>
      <c r="AB52" s="53" t="n">
        <v>0.001</v>
      </c>
      <c r="AC52" s="52" t="n">
        <v>0.4308333333333333</v>
      </c>
      <c r="AD52" s="53" t="n">
        <v>0</v>
      </c>
      <c r="AE52" s="52" t="n">
        <v>0</v>
      </c>
      <c r="AF52" s="51" t="n">
        <v>22922</v>
      </c>
      <c r="AG52" s="48" t="n">
        <v>29.98</v>
      </c>
      <c r="AH52" s="49" t="n">
        <v>2</v>
      </c>
      <c r="AI52" s="49" t="n">
        <v>14</v>
      </c>
      <c r="AJ52" s="50" t="n">
        <v>0.1428571428571428</v>
      </c>
      <c r="AK52" s="51" t="n">
        <v>35</v>
      </c>
      <c r="AL52" s="52" t="n">
        <v>14.7</v>
      </c>
      <c r="AM52" s="52" t="n">
        <v>29.98</v>
      </c>
      <c r="AN52" s="52" t="n">
        <v>2.04</v>
      </c>
      <c r="AO52" s="53" t="n">
        <v>0.0016</v>
      </c>
      <c r="AP52" s="52" t="n">
        <v>0.42</v>
      </c>
      <c r="AQ52" s="53" t="n">
        <v>0.4903268845897265</v>
      </c>
      <c r="AR52" s="52" t="n">
        <v>14.99</v>
      </c>
      <c r="AS52" s="51" t="n">
        <v>21937</v>
      </c>
      <c r="AT52" s="48" t="n">
        <v>14.99</v>
      </c>
      <c r="AU52" s="49" t="n">
        <v>1</v>
      </c>
      <c r="AV52" s="49" t="n">
        <v>6</v>
      </c>
      <c r="AW52" s="50" t="n">
        <v>0.1666666666666667</v>
      </c>
      <c r="AX52" s="51" t="n">
        <v>17</v>
      </c>
      <c r="AY52" s="52" t="n">
        <v>7.13</v>
      </c>
      <c r="AZ52" s="52" t="n">
        <v>0</v>
      </c>
      <c r="BA52" s="52" t="n">
        <v>0</v>
      </c>
      <c r="BB52" s="53" t="n">
        <v>0.0008</v>
      </c>
      <c r="BC52" s="52" t="n">
        <v>0.4194117647058824</v>
      </c>
      <c r="BD52" s="53" t="n">
        <v>0.4756504336224149</v>
      </c>
      <c r="BE52" s="52" t="n">
        <v>14.99</v>
      </c>
      <c r="BF52" s="51" t="n">
        <v>20058</v>
      </c>
    </row>
    <row r="53">
      <c r="A53">
        <f>HYPERLINK("https://www.walmart.com/ip/1245439279", "1245439279")</f>
        <v/>
      </c>
      <c r="B53" t="inlineStr">
        <is>
          <t>Wrangler Men’s Leather Country Casual Every Day Dress Belt for Jeans, Khakis Brown 34</t>
        </is>
      </c>
      <c r="C53" t="inlineStr">
        <is>
          <t>WR-BELT-MENS-COUNTRY-BROWN-34</t>
        </is>
      </c>
      <c r="D53" t="inlineStr">
        <is>
          <t>Belts</t>
        </is>
      </c>
      <c r="E53" t="inlineStr">
        <is>
          <t>Wrangler</t>
        </is>
      </c>
      <c r="F53" t="inlineStr">
        <is>
          <t>Belts</t>
        </is>
      </c>
      <c r="G53" s="48" t="n">
        <v>39.98</v>
      </c>
      <c r="H53" s="49" t="n">
        <v>2</v>
      </c>
      <c r="I53" s="49" t="n">
        <v>0</v>
      </c>
      <c r="J53" s="50" t="n">
        <v>0</v>
      </c>
      <c r="K53" s="51" t="n">
        <v>0</v>
      </c>
      <c r="L53" s="52" t="n">
        <v>0</v>
      </c>
      <c r="M53" s="52" t="n">
        <v>0</v>
      </c>
      <c r="N53" s="52" t="n">
        <v>0</v>
      </c>
      <c r="O53" s="53" t="n">
        <v>0</v>
      </c>
      <c r="P53" s="52" t="n">
        <v>0</v>
      </c>
      <c r="Q53" s="53" t="n">
        <v>0</v>
      </c>
      <c r="R53" s="52" t="n">
        <v>19.99</v>
      </c>
      <c r="S53" s="51" t="n">
        <v>0</v>
      </c>
      <c r="T53" s="48" t="n">
        <v>19.99</v>
      </c>
      <c r="U53" s="49" t="n">
        <v>1</v>
      </c>
      <c r="V53" s="49" t="n">
        <v>0</v>
      </c>
      <c r="W53" s="50" t="n">
        <v>0</v>
      </c>
      <c r="X53" s="51" t="n">
        <v>0</v>
      </c>
      <c r="Y53" s="52" t="n">
        <v>0</v>
      </c>
      <c r="Z53" s="52" t="n">
        <v>0</v>
      </c>
      <c r="AA53" s="52" t="n">
        <v>0</v>
      </c>
      <c r="AB53" s="53" t="n">
        <v>0</v>
      </c>
      <c r="AC53" s="52" t="n">
        <v>0</v>
      </c>
      <c r="AD53" s="53" t="n">
        <v>0</v>
      </c>
      <c r="AE53" s="52" t="n">
        <v>19.99</v>
      </c>
      <c r="AF53" s="51" t="n">
        <v>0</v>
      </c>
      <c r="AG53" s="48" t="n">
        <v>0</v>
      </c>
      <c r="AH53" s="49" t="n">
        <v>0</v>
      </c>
      <c r="AI53" s="49" t="n">
        <v>0</v>
      </c>
      <c r="AJ53" s="50" t="n">
        <v>0</v>
      </c>
      <c r="AK53" s="51" t="n">
        <v>0</v>
      </c>
      <c r="AL53" s="52" t="n">
        <v>0</v>
      </c>
      <c r="AM53" s="52" t="n">
        <v>0</v>
      </c>
      <c r="AN53" s="52" t="n">
        <v>0</v>
      </c>
      <c r="AO53" s="53" t="n">
        <v>0</v>
      </c>
      <c r="AP53" s="52" t="n">
        <v>0</v>
      </c>
      <c r="AQ53" s="53" t="n">
        <v>0</v>
      </c>
      <c r="AR53" s="52" t="n">
        <v>0</v>
      </c>
      <c r="AS53" s="51" t="n">
        <v>0</v>
      </c>
      <c r="AT53" s="48" t="n">
        <v>0</v>
      </c>
      <c r="AU53" s="49" t="n">
        <v>0</v>
      </c>
      <c r="AV53" s="49" t="n">
        <v>0</v>
      </c>
      <c r="AW53" s="50" t="n">
        <v>0</v>
      </c>
      <c r="AX53" s="51" t="n">
        <v>0</v>
      </c>
      <c r="AY53" s="52" t="n">
        <v>0</v>
      </c>
      <c r="AZ53" s="52" t="n">
        <v>0</v>
      </c>
      <c r="BA53" s="52" t="n">
        <v>0</v>
      </c>
      <c r="BB53" s="53" t="n">
        <v>0</v>
      </c>
      <c r="BC53" s="52" t="n">
        <v>0</v>
      </c>
      <c r="BD53" s="53" t="n">
        <v>0</v>
      </c>
      <c r="BE53" s="52" t="n">
        <v>0</v>
      </c>
      <c r="BF53" s="51" t="n">
        <v>0</v>
      </c>
    </row>
    <row r="54">
      <c r="A54">
        <f>HYPERLINK("https://www.walmart.com/ip/2204516610", "2204516610")</f>
        <v/>
      </c>
      <c r="B54" t="inlineStr">
        <is>
          <t>Wrangler Men’s Leather Country Casual Every Day Belt for Jeans, Khakis Black 34</t>
        </is>
      </c>
      <c r="C54" t="inlineStr">
        <is>
          <t>WR-BELT-MENS-COUNTRY-BLACK-34</t>
        </is>
      </c>
      <c r="D54" t="inlineStr">
        <is>
          <t>Belts</t>
        </is>
      </c>
      <c r="E54" t="inlineStr">
        <is>
          <t>Wrangler</t>
        </is>
      </c>
      <c r="F54" t="inlineStr">
        <is>
          <t>Belts</t>
        </is>
      </c>
      <c r="G54" s="48" t="n">
        <v>39.98</v>
      </c>
      <c r="H54" s="49" t="n">
        <v>2</v>
      </c>
      <c r="I54" s="49" t="n">
        <v>4</v>
      </c>
      <c r="J54" s="50" t="n">
        <v>0.5</v>
      </c>
      <c r="K54" s="51" t="n">
        <v>0</v>
      </c>
      <c r="L54" s="52" t="n">
        <v>0</v>
      </c>
      <c r="M54" s="52" t="n">
        <v>0</v>
      </c>
      <c r="N54" s="52" t="n">
        <v>0</v>
      </c>
      <c r="O54" s="53" t="n">
        <v>0</v>
      </c>
      <c r="P54" s="52" t="n">
        <v>0</v>
      </c>
      <c r="Q54" s="53" t="n">
        <v>0</v>
      </c>
      <c r="R54" s="52" t="n">
        <v>19.99</v>
      </c>
      <c r="S54" s="51" t="n">
        <v>0</v>
      </c>
      <c r="T54" s="48" t="n">
        <v>19.99</v>
      </c>
      <c r="U54" s="49" t="n">
        <v>1</v>
      </c>
      <c r="V54" s="49" t="n">
        <v>2</v>
      </c>
      <c r="W54" s="50" t="n">
        <v>0.5</v>
      </c>
      <c r="X54" s="51" t="n">
        <v>0</v>
      </c>
      <c r="Y54" s="52" t="n">
        <v>0</v>
      </c>
      <c r="Z54" s="52" t="n">
        <v>0</v>
      </c>
      <c r="AA54" s="52" t="n">
        <v>0</v>
      </c>
      <c r="AB54" s="53" t="n">
        <v>0</v>
      </c>
      <c r="AC54" s="52" t="n">
        <v>0</v>
      </c>
      <c r="AD54" s="53" t="n">
        <v>0</v>
      </c>
      <c r="AE54" s="52" t="n">
        <v>19.99</v>
      </c>
      <c r="AF54" s="51" t="n">
        <v>0</v>
      </c>
      <c r="AG54" s="48" t="n">
        <v>0</v>
      </c>
      <c r="AH54" s="49" t="n">
        <v>0</v>
      </c>
      <c r="AI54" s="49" t="n">
        <v>2</v>
      </c>
      <c r="AJ54" s="50" t="n">
        <v>0</v>
      </c>
      <c r="AK54" s="51" t="n">
        <v>0</v>
      </c>
      <c r="AL54" s="52" t="n">
        <v>0</v>
      </c>
      <c r="AM54" s="52" t="n">
        <v>0</v>
      </c>
      <c r="AN54" s="52" t="n">
        <v>0</v>
      </c>
      <c r="AO54" s="53" t="n">
        <v>0</v>
      </c>
      <c r="AP54" s="52" t="n">
        <v>0</v>
      </c>
      <c r="AQ54" s="53" t="n">
        <v>0</v>
      </c>
      <c r="AR54" s="52" t="n">
        <v>0</v>
      </c>
      <c r="AS54" s="51" t="n">
        <v>0</v>
      </c>
      <c r="AT54" s="48" t="n">
        <v>19.99</v>
      </c>
      <c r="AU54" s="49" t="n">
        <v>1</v>
      </c>
      <c r="AV54" s="49" t="n">
        <v>6</v>
      </c>
      <c r="AW54" s="50" t="n">
        <v>0.1666666666666667</v>
      </c>
      <c r="AX54" s="51" t="n">
        <v>0</v>
      </c>
      <c r="AY54" s="52" t="n">
        <v>0</v>
      </c>
      <c r="AZ54" s="52" t="n">
        <v>0</v>
      </c>
      <c r="BA54" s="52" t="n">
        <v>0</v>
      </c>
      <c r="BB54" s="53" t="n">
        <v>0</v>
      </c>
      <c r="BC54" s="52" t="n">
        <v>0</v>
      </c>
      <c r="BD54" s="53" t="n">
        <v>0</v>
      </c>
      <c r="BE54" s="52" t="n">
        <v>19.99</v>
      </c>
      <c r="BF54" s="51" t="n">
        <v>0</v>
      </c>
    </row>
    <row r="55">
      <c r="A55">
        <f>HYPERLINK("https://www.walmart.com/ip/9531102601", "9531102601")</f>
        <v/>
      </c>
      <c r="B55" t="inlineStr">
        <is>
          <t>Wrangler Yellowstone Sturdy Laptop Backpack for Travel, Hiking Backpack with Classic Logo, Water Resistant Casual Daypack, Padded Sleeve College Backpack for Notebook, Out West</t>
        </is>
      </c>
      <c r="C55" t="inlineStr">
        <is>
          <t>WR-BACKPACK-16273-OUTWEST</t>
        </is>
      </c>
      <c r="D55" t="inlineStr">
        <is>
          <t>Backpacks</t>
        </is>
      </c>
      <c r="E55" t="inlineStr">
        <is>
          <t>Wrangler</t>
        </is>
      </c>
      <c r="F55" t="inlineStr">
        <is>
          <t>Backpack</t>
        </is>
      </c>
      <c r="G55" s="48" t="n">
        <v>38.99</v>
      </c>
      <c r="H55" s="49" t="n">
        <v>1</v>
      </c>
      <c r="I55" s="49" t="n">
        <v>0</v>
      </c>
      <c r="J55" s="50" t="n">
        <v>0</v>
      </c>
      <c r="K55" s="51" t="n">
        <v>0</v>
      </c>
      <c r="L55" s="52" t="n">
        <v>0</v>
      </c>
      <c r="M55" s="52" t="n">
        <v>0</v>
      </c>
      <c r="N55" s="52" t="n">
        <v>0</v>
      </c>
      <c r="O55" s="53" t="n">
        <v>0</v>
      </c>
      <c r="P55" s="52" t="n">
        <v>0</v>
      </c>
      <c r="Q55" s="53" t="n">
        <v>0</v>
      </c>
      <c r="R55" s="52" t="n">
        <v>38.99</v>
      </c>
      <c r="S55" s="51" t="n">
        <v>0</v>
      </c>
      <c r="T55" s="48" t="n">
        <v>0</v>
      </c>
      <c r="U55" s="49" t="n">
        <v>0</v>
      </c>
      <c r="V55" s="49" t="n">
        <v>0</v>
      </c>
      <c r="W55" s="50" t="n">
        <v>0</v>
      </c>
      <c r="X55" s="51" t="n">
        <v>0</v>
      </c>
      <c r="Y55" s="52" t="n">
        <v>0</v>
      </c>
      <c r="Z55" s="52" t="n">
        <v>0</v>
      </c>
      <c r="AA55" s="52" t="n">
        <v>0</v>
      </c>
      <c r="AB55" s="53" t="n">
        <v>0</v>
      </c>
      <c r="AC55" s="52" t="n">
        <v>0</v>
      </c>
      <c r="AD55" s="53" t="n">
        <v>0</v>
      </c>
      <c r="AE55" s="52" t="n">
        <v>0</v>
      </c>
      <c r="AF55" s="51" t="n">
        <v>0</v>
      </c>
      <c r="AG55" s="48" t="n">
        <v>0</v>
      </c>
      <c r="AH55" s="49" t="n">
        <v>0</v>
      </c>
      <c r="AI55" s="49" t="n">
        <v>0</v>
      </c>
      <c r="AJ55" s="50" t="n">
        <v>0</v>
      </c>
      <c r="AK55" s="51" t="n">
        <v>0</v>
      </c>
      <c r="AL55" s="52" t="n">
        <v>0</v>
      </c>
      <c r="AM55" s="52" t="n">
        <v>0</v>
      </c>
      <c r="AN55" s="52" t="n">
        <v>0</v>
      </c>
      <c r="AO55" s="53" t="n">
        <v>0</v>
      </c>
      <c r="AP55" s="52" t="n">
        <v>0</v>
      </c>
      <c r="AQ55" s="53" t="n">
        <v>0</v>
      </c>
      <c r="AR55" s="52" t="n">
        <v>0</v>
      </c>
      <c r="AS55" s="51" t="n">
        <v>0</v>
      </c>
      <c r="AT55" s="48" t="n">
        <v>0</v>
      </c>
      <c r="AU55" s="49" t="n">
        <v>0</v>
      </c>
      <c r="AV55" s="49" t="n">
        <v>0</v>
      </c>
      <c r="AW55" s="50" t="n">
        <v>0</v>
      </c>
      <c r="AX55" s="51" t="n">
        <v>0</v>
      </c>
      <c r="AY55" s="52" t="n">
        <v>0</v>
      </c>
      <c r="AZ55" s="52" t="n">
        <v>0</v>
      </c>
      <c r="BA55" s="52" t="n">
        <v>0</v>
      </c>
      <c r="BB55" s="53" t="n">
        <v>0</v>
      </c>
      <c r="BC55" s="52" t="n">
        <v>0</v>
      </c>
      <c r="BD55" s="53" t="n">
        <v>0</v>
      </c>
      <c r="BE55" s="52" t="n">
        <v>0</v>
      </c>
      <c r="BF55" s="51" t="n">
        <v>0</v>
      </c>
    </row>
    <row r="56">
      <c r="A56">
        <f>HYPERLINK("https://www.walmart.com/ip/208255234", "208255234")</f>
        <v/>
      </c>
      <c r="B56" t="inlineStr">
        <is>
          <t>Tirrinia Insulated Leakproof Lunch Bag, Adjustable Strap, Medium, 10" L x 7" W x 7.7" H</t>
        </is>
      </c>
      <c r="C56" t="inlineStr">
        <is>
          <t>1TRLB701DGY-N</t>
        </is>
      </c>
      <c r="D56" t="inlineStr">
        <is>
          <t>Reusable Lunch Bags &amp; Boxes</t>
        </is>
      </c>
      <c r="E56" t="inlineStr">
        <is>
          <t>Tirrinia</t>
        </is>
      </c>
      <c r="F56" t="inlineStr">
        <is>
          <t>Q2-Target,Brand Camp VD,Lunch Bag,Optimized,WFS,Lunch Bags,SEM,Wal-Exl-Price,WFS Item</t>
        </is>
      </c>
      <c r="G56" s="48" t="n">
        <v>38.97</v>
      </c>
      <c r="H56" s="49" t="n">
        <v>3</v>
      </c>
      <c r="I56" s="49" t="n">
        <v>95</v>
      </c>
      <c r="J56" s="50" t="n">
        <v>0.03157894736842105</v>
      </c>
      <c r="K56" s="51" t="n">
        <v>0</v>
      </c>
      <c r="L56" s="52" t="n">
        <v>0</v>
      </c>
      <c r="M56" s="52" t="n">
        <v>0</v>
      </c>
      <c r="N56" s="52" t="n">
        <v>0</v>
      </c>
      <c r="O56" s="53" t="n">
        <v>0</v>
      </c>
      <c r="P56" s="52" t="n">
        <v>0</v>
      </c>
      <c r="Q56" s="53" t="n">
        <v>0</v>
      </c>
      <c r="R56" s="52" t="n">
        <v>12.99</v>
      </c>
      <c r="S56" s="51" t="n">
        <v>0</v>
      </c>
      <c r="T56" s="48" t="n">
        <v>25.98</v>
      </c>
      <c r="U56" s="49" t="n">
        <v>2</v>
      </c>
      <c r="V56" s="49" t="n">
        <v>111</v>
      </c>
      <c r="W56" s="50" t="n">
        <v>0.01801801801801802</v>
      </c>
      <c r="X56" s="51" t="n">
        <v>0</v>
      </c>
      <c r="Y56" s="52" t="n">
        <v>0</v>
      </c>
      <c r="Z56" s="52" t="n">
        <v>0</v>
      </c>
      <c r="AA56" s="52" t="n">
        <v>0</v>
      </c>
      <c r="AB56" s="53" t="n">
        <v>0</v>
      </c>
      <c r="AC56" s="52" t="n">
        <v>0</v>
      </c>
      <c r="AD56" s="53" t="n">
        <v>0</v>
      </c>
      <c r="AE56" s="52" t="n">
        <v>12.99</v>
      </c>
      <c r="AF56" s="51" t="n">
        <v>0</v>
      </c>
      <c r="AG56" s="48" t="n">
        <v>-25.98</v>
      </c>
      <c r="AH56" s="49" t="n">
        <v>-2</v>
      </c>
      <c r="AI56" s="49" t="n">
        <v>113</v>
      </c>
      <c r="AJ56" s="50" t="n">
        <v>-0.01769911504424779</v>
      </c>
      <c r="AK56" s="51" t="n">
        <v>0</v>
      </c>
      <c r="AL56" s="52" t="n">
        <v>0</v>
      </c>
      <c r="AM56" s="52" t="n">
        <v>0</v>
      </c>
      <c r="AN56" s="52" t="n">
        <v>0</v>
      </c>
      <c r="AO56" s="53" t="n">
        <v>0</v>
      </c>
      <c r="AP56" s="52" t="n">
        <v>0</v>
      </c>
      <c r="AQ56" s="53" t="n">
        <v>0</v>
      </c>
      <c r="AR56" s="52" t="n">
        <v>0</v>
      </c>
      <c r="AS56" s="51" t="n">
        <v>0</v>
      </c>
      <c r="AT56" s="48" t="n">
        <v>27.52</v>
      </c>
      <c r="AU56" s="49" t="n">
        <v>2</v>
      </c>
      <c r="AV56" s="49" t="n">
        <v>161</v>
      </c>
      <c r="AW56" s="50" t="n">
        <v>0.0124223602484472</v>
      </c>
      <c r="AX56" s="51" t="n">
        <v>0</v>
      </c>
      <c r="AY56" s="52" t="n">
        <v>0</v>
      </c>
      <c r="AZ56" s="52" t="n">
        <v>0</v>
      </c>
      <c r="BA56" s="52" t="n">
        <v>0</v>
      </c>
      <c r="BB56" s="53" t="n">
        <v>0</v>
      </c>
      <c r="BC56" s="52" t="n">
        <v>0</v>
      </c>
      <c r="BD56" s="53" t="n">
        <v>0</v>
      </c>
      <c r="BE56" s="52" t="n">
        <v>13.76</v>
      </c>
      <c r="BF56" s="51" t="n">
        <v>0</v>
      </c>
    </row>
    <row r="57">
      <c r="A57">
        <f>HYPERLINK("https://www.walmart.com/ip/170996420", "170996420")</f>
        <v/>
      </c>
      <c r="B57" t="inlineStr">
        <is>
          <t>Tirrinia Single Wine Gift Tote Bag, Insulated Padded Thermal Wine Bottle Carrying Cooler Carrier for Travel, Picnic, Great Gift for Wine Lover, Brown Diamond</t>
        </is>
      </c>
      <c r="C57" t="inlineStr">
        <is>
          <t>1TRWB102BRDO</t>
        </is>
      </c>
      <c r="D57" t="inlineStr">
        <is>
          <t>Wine Totes, Bags &amp; Backpacks</t>
        </is>
      </c>
      <c r="E57" t="inlineStr">
        <is>
          <t>Tirrinia</t>
        </is>
      </c>
      <c r="G57" s="48" t="n">
        <v>38.97</v>
      </c>
      <c r="H57" s="49" t="n">
        <v>3</v>
      </c>
      <c r="I57" s="49" t="n">
        <v>4</v>
      </c>
      <c r="J57" s="50" t="n">
        <v>0.75</v>
      </c>
      <c r="K57" s="51" t="n">
        <v>1</v>
      </c>
      <c r="L57" s="52" t="n">
        <v>0.22</v>
      </c>
      <c r="M57" s="52" t="n">
        <v>0</v>
      </c>
      <c r="N57" s="52" t="n">
        <v>0</v>
      </c>
      <c r="O57" s="53" t="n">
        <v>0.0008</v>
      </c>
      <c r="P57" s="52" t="n">
        <v>0.22</v>
      </c>
      <c r="Q57" s="53" t="n">
        <v>0.005645368231973313</v>
      </c>
      <c r="R57" s="52" t="n">
        <v>12.99</v>
      </c>
      <c r="S57" s="51" t="n">
        <v>1180</v>
      </c>
      <c r="T57" s="48" t="n">
        <v>0</v>
      </c>
      <c r="U57" s="49" t="n">
        <v>0</v>
      </c>
      <c r="V57" s="49" t="n">
        <v>1</v>
      </c>
      <c r="W57" s="50" t="n">
        <v>0</v>
      </c>
      <c r="X57" s="51" t="n">
        <v>1</v>
      </c>
      <c r="Y57" s="52" t="n">
        <v>0.41</v>
      </c>
      <c r="Z57" s="52" t="n">
        <v>0</v>
      </c>
      <c r="AA57" s="52" t="n">
        <v>0</v>
      </c>
      <c r="AB57" s="53" t="n">
        <v>0.0013</v>
      </c>
      <c r="AC57" s="52" t="n">
        <v>0.41</v>
      </c>
      <c r="AD57" s="53" t="n">
        <v>0</v>
      </c>
      <c r="AE57" s="52" t="n">
        <v>0</v>
      </c>
      <c r="AF57" s="51" t="n">
        <v>786</v>
      </c>
      <c r="AG57" s="48" t="n">
        <v>0</v>
      </c>
      <c r="AH57" s="49" t="n">
        <v>0</v>
      </c>
      <c r="AI57" s="49" t="n">
        <v>0</v>
      </c>
      <c r="AJ57" s="50" t="n">
        <v>0</v>
      </c>
      <c r="AK57" s="51" t="n">
        <v>0</v>
      </c>
      <c r="AL57" s="52" t="n">
        <v>0</v>
      </c>
      <c r="AM57" s="52" t="n">
        <v>0</v>
      </c>
      <c r="AN57" s="52" t="n">
        <v>0</v>
      </c>
      <c r="AO57" s="53" t="n">
        <v>0</v>
      </c>
      <c r="AP57" s="52" t="n">
        <v>0</v>
      </c>
      <c r="AQ57" s="53" t="n">
        <v>0</v>
      </c>
      <c r="AR57" s="52" t="n">
        <v>0</v>
      </c>
      <c r="AS57" s="51" t="n">
        <v>873</v>
      </c>
      <c r="AT57" s="48" t="n">
        <v>0</v>
      </c>
      <c r="AU57" s="49" t="n">
        <v>0</v>
      </c>
      <c r="AV57" s="49" t="n">
        <v>0</v>
      </c>
      <c r="AW57" s="50" t="n">
        <v>0</v>
      </c>
      <c r="AX57" s="51" t="n">
        <v>1</v>
      </c>
      <c r="AY57" s="52" t="n">
        <v>0.41</v>
      </c>
      <c r="AZ57" s="52" t="n">
        <v>0</v>
      </c>
      <c r="BA57" s="52" t="n">
        <v>0</v>
      </c>
      <c r="BB57" s="53" t="n">
        <v>0.0012</v>
      </c>
      <c r="BC57" s="52" t="n">
        <v>0.41</v>
      </c>
      <c r="BD57" s="53" t="n">
        <v>0</v>
      </c>
      <c r="BE57" s="52" t="n">
        <v>0</v>
      </c>
      <c r="BF57" s="51" t="n">
        <v>838</v>
      </c>
    </row>
    <row r="58">
      <c r="A58">
        <f>HYPERLINK("https://www.walmart.com/ip/6044655190", "6044655190")</f>
        <v/>
      </c>
      <c r="B58" t="inlineStr">
        <is>
          <t>Tirrinia Waterproof Outdoor Blanket with Sherpa Lining, Insulated Waterproof Oxford &amp; Plush Sherpa, Foldable for Stadium Camping, Sports, Picnic, Grass, Concerts, Pet,60” x 80”</t>
        </is>
      </c>
      <c r="C58" t="inlineStr">
        <is>
          <t>1TRBW70168BKGY</t>
        </is>
      </c>
      <c r="D58" t="inlineStr">
        <is>
          <t>Picnic Blankets &amp; Mats</t>
        </is>
      </c>
      <c r="E58" t="inlineStr">
        <is>
          <t>Tirrinia</t>
        </is>
      </c>
      <c r="G58" s="48" t="n">
        <v>37.99</v>
      </c>
      <c r="H58" s="49" t="n">
        <v>1</v>
      </c>
      <c r="I58" s="49" t="n">
        <v>0</v>
      </c>
      <c r="J58" s="50" t="n">
        <v>0</v>
      </c>
      <c r="K58" s="51" t="n">
        <v>5</v>
      </c>
      <c r="L58" s="52" t="n">
        <v>2.03</v>
      </c>
      <c r="M58" s="52" t="n">
        <v>0</v>
      </c>
      <c r="N58" s="52" t="n">
        <v>0</v>
      </c>
      <c r="O58" s="53" t="n">
        <v>0.001</v>
      </c>
      <c r="P58" s="52" t="n">
        <v>0.406</v>
      </c>
      <c r="Q58" s="53" t="n">
        <v>0.05343511450381679</v>
      </c>
      <c r="R58" s="52" t="n">
        <v>37.99</v>
      </c>
      <c r="S58" s="51" t="n">
        <v>4762</v>
      </c>
      <c r="T58" s="48" t="n">
        <v>0</v>
      </c>
      <c r="U58" s="49" t="n">
        <v>0</v>
      </c>
      <c r="V58" s="49" t="n">
        <v>0</v>
      </c>
      <c r="W58" s="50" t="n">
        <v>0</v>
      </c>
      <c r="X58" s="51" t="n">
        <v>3</v>
      </c>
      <c r="Y58" s="52" t="n">
        <v>1.23</v>
      </c>
      <c r="Z58" s="52" t="n">
        <v>0</v>
      </c>
      <c r="AA58" s="52" t="n">
        <v>0</v>
      </c>
      <c r="AB58" s="53" t="n">
        <v>0.0014</v>
      </c>
      <c r="AC58" s="52" t="n">
        <v>0.41</v>
      </c>
      <c r="AD58" s="53" t="n">
        <v>0</v>
      </c>
      <c r="AE58" s="52" t="n">
        <v>0</v>
      </c>
      <c r="AF58" s="51" t="n">
        <v>2121</v>
      </c>
      <c r="AG58" s="48" t="n">
        <v>0</v>
      </c>
      <c r="AH58" s="49" t="n">
        <v>0</v>
      </c>
      <c r="AI58" s="49" t="n">
        <v>0</v>
      </c>
      <c r="AJ58" s="50" t="n">
        <v>0</v>
      </c>
      <c r="AK58" s="51" t="n">
        <v>0</v>
      </c>
      <c r="AL58" s="52" t="n">
        <v>0</v>
      </c>
      <c r="AM58" s="52" t="n">
        <v>0</v>
      </c>
      <c r="AN58" s="52" t="n">
        <v>0</v>
      </c>
      <c r="AO58" s="53" t="n">
        <v>0</v>
      </c>
      <c r="AP58" s="52" t="n">
        <v>0</v>
      </c>
      <c r="AQ58" s="53" t="n">
        <v>0</v>
      </c>
      <c r="AR58" s="52" t="n">
        <v>0</v>
      </c>
      <c r="AS58" s="51" t="n">
        <v>0</v>
      </c>
      <c r="AT58" s="48" t="n">
        <v>0</v>
      </c>
      <c r="AU58" s="49" t="n">
        <v>0</v>
      </c>
      <c r="AV58" s="49" t="n">
        <v>0</v>
      </c>
      <c r="AW58" s="50" t="n">
        <v>0</v>
      </c>
      <c r="AX58" s="51" t="n">
        <v>0</v>
      </c>
      <c r="AY58" s="52" t="n">
        <v>0</v>
      </c>
      <c r="AZ58" s="52" t="n">
        <v>0</v>
      </c>
      <c r="BA58" s="52" t="n">
        <v>0</v>
      </c>
      <c r="BB58" s="53" t="n">
        <v>0</v>
      </c>
      <c r="BC58" s="52" t="n">
        <v>0</v>
      </c>
      <c r="BD58" s="53" t="n">
        <v>0</v>
      </c>
      <c r="BE58" s="52" t="n">
        <v>0</v>
      </c>
      <c r="BF58" s="51" t="n">
        <v>0</v>
      </c>
    </row>
    <row r="59">
      <c r="A59">
        <f>HYPERLINK("https://www.walmart.com/ip/630587616", "630587616")</f>
        <v/>
      </c>
      <c r="B59" t="inlineStr">
        <is>
          <t>Tirrinia Insulated 2 Bottle Wine Tote Bag - Wine Tumbler Glass Cooler Carrier for BYOB Restaurants,  Wine Tasting, Travel, Park, Beach, Great Wine Lover Gift, Red Stripe</t>
        </is>
      </c>
      <c r="C59" t="inlineStr">
        <is>
          <t>1TRWB231RDSTR</t>
        </is>
      </c>
      <c r="D59" t="inlineStr">
        <is>
          <t>Wine Totes, Bags &amp; Backpacks</t>
        </is>
      </c>
      <c r="E59" t="inlineStr">
        <is>
          <t>Tirrinia</t>
        </is>
      </c>
      <c r="F59" t="inlineStr">
        <is>
          <t>Wine,Christmas,WFS,Wine WFS,Valentine,WFS Item</t>
        </is>
      </c>
      <c r="G59" s="48" t="n">
        <v>37.98</v>
      </c>
      <c r="H59" s="49" t="n">
        <v>2</v>
      </c>
      <c r="I59" s="49" t="n">
        <v>0</v>
      </c>
      <c r="J59" s="50" t="n">
        <v>0</v>
      </c>
      <c r="K59" s="51" t="n">
        <v>36</v>
      </c>
      <c r="L59" s="52" t="n">
        <v>18.13</v>
      </c>
      <c r="M59" s="52" t="n">
        <v>37.98</v>
      </c>
      <c r="N59" s="52" t="n">
        <v>2.09</v>
      </c>
      <c r="O59" s="53" t="n">
        <v>0.0032</v>
      </c>
      <c r="P59" s="52" t="n">
        <v>0.5036111111111111</v>
      </c>
      <c r="Q59" s="53" t="n">
        <v>0.4773565034228541</v>
      </c>
      <c r="R59" s="52" t="n">
        <v>18.99</v>
      </c>
      <c r="S59" s="51" t="n">
        <v>11297</v>
      </c>
      <c r="T59" s="48" t="n">
        <v>0</v>
      </c>
      <c r="U59" s="49" t="n">
        <v>0</v>
      </c>
      <c r="V59" s="49" t="n">
        <v>0</v>
      </c>
      <c r="W59" s="50" t="n">
        <v>0</v>
      </c>
      <c r="X59" s="51" t="n">
        <v>21</v>
      </c>
      <c r="Y59" s="52" t="n">
        <v>10.17</v>
      </c>
      <c r="Z59" s="52" t="n">
        <v>45.98</v>
      </c>
      <c r="AA59" s="52" t="n">
        <v>4.52</v>
      </c>
      <c r="AB59" s="53" t="n">
        <v>0.0035</v>
      </c>
      <c r="AC59" s="52" t="n">
        <v>0.4842857142857142</v>
      </c>
      <c r="AD59" s="53" t="n">
        <v>0</v>
      </c>
      <c r="AE59" s="52" t="n">
        <v>0</v>
      </c>
      <c r="AF59" s="51" t="n">
        <v>5972</v>
      </c>
      <c r="AG59" s="48" t="n">
        <v>0</v>
      </c>
      <c r="AH59" s="49" t="n">
        <v>0</v>
      </c>
      <c r="AI59" s="49" t="n">
        <v>0</v>
      </c>
      <c r="AJ59" s="50" t="n">
        <v>0</v>
      </c>
      <c r="AK59" s="51" t="n">
        <v>5</v>
      </c>
      <c r="AL59" s="52" t="n">
        <v>2.49</v>
      </c>
      <c r="AM59" s="52" t="n">
        <v>0</v>
      </c>
      <c r="AN59" s="52" t="n">
        <v>0</v>
      </c>
      <c r="AO59" s="53" t="n">
        <v>0.0032</v>
      </c>
      <c r="AP59" s="52" t="n">
        <v>0.4980000000000001</v>
      </c>
      <c r="AQ59" s="53" t="n">
        <v>0</v>
      </c>
      <c r="AR59" s="52" t="n">
        <v>0</v>
      </c>
      <c r="AS59" s="51" t="n">
        <v>1587</v>
      </c>
      <c r="AT59" s="48" t="n">
        <v>0</v>
      </c>
      <c r="AU59" s="49" t="n">
        <v>0</v>
      </c>
      <c r="AV59" s="49" t="n">
        <v>0</v>
      </c>
      <c r="AW59" s="50" t="n">
        <v>0</v>
      </c>
      <c r="AX59" s="51" t="n">
        <v>0</v>
      </c>
      <c r="AY59" s="52" t="n">
        <v>0</v>
      </c>
      <c r="AZ59" s="52" t="n">
        <v>0</v>
      </c>
      <c r="BA59" s="52" t="n">
        <v>0</v>
      </c>
      <c r="BB59" s="53" t="n">
        <v>0</v>
      </c>
      <c r="BC59" s="52" t="n">
        <v>0</v>
      </c>
      <c r="BD59" s="53" t="n">
        <v>0</v>
      </c>
      <c r="BE59" s="52" t="n">
        <v>0</v>
      </c>
      <c r="BF59" s="51" t="n">
        <v>1399</v>
      </c>
    </row>
    <row r="60">
      <c r="A60">
        <f>HYPERLINK("https://www.walmart.com/ip/1880841758", "1880841758")</f>
        <v/>
      </c>
      <c r="B60" t="inlineStr">
        <is>
          <t>Tirrinia Insulated Lunch Bag, Leakproof Thermal Bento Cooler Tote for Women and Men, Dual Compartment with Shoulder Strap, 10.2" x 7.5" x 9", Camo</t>
        </is>
      </c>
      <c r="C60" t="inlineStr">
        <is>
          <t>1TRLB601CAMO</t>
        </is>
      </c>
      <c r="D60" t="inlineStr">
        <is>
          <t>Reusable Lunch Bags &amp; Boxes</t>
        </is>
      </c>
      <c r="E60" t="inlineStr">
        <is>
          <t>Tirrinia</t>
        </is>
      </c>
      <c r="F60" t="inlineStr">
        <is>
          <t>Q2-Target,Brand Camp VD,Lunch Bags,SEM,Batch 1 - TR</t>
        </is>
      </c>
      <c r="G60" s="48" t="n">
        <v>37.98</v>
      </c>
      <c r="H60" s="49" t="n">
        <v>2</v>
      </c>
      <c r="I60" s="49" t="n">
        <v>6</v>
      </c>
      <c r="J60" s="50" t="n">
        <v>0.3333333333333333</v>
      </c>
      <c r="K60" s="51" t="n">
        <v>0</v>
      </c>
      <c r="L60" s="52" t="n">
        <v>0</v>
      </c>
      <c r="M60" s="52" t="n">
        <v>0</v>
      </c>
      <c r="N60" s="52" t="n">
        <v>0</v>
      </c>
      <c r="O60" s="53" t="n">
        <v>0</v>
      </c>
      <c r="P60" s="52" t="n">
        <v>0</v>
      </c>
      <c r="Q60" s="53" t="n">
        <v>0</v>
      </c>
      <c r="R60" s="52" t="n">
        <v>18.99</v>
      </c>
      <c r="S60" s="51" t="n">
        <v>0</v>
      </c>
      <c r="T60" s="48" t="n">
        <v>0</v>
      </c>
      <c r="U60" s="49" t="n">
        <v>0</v>
      </c>
      <c r="V60" s="49" t="n">
        <v>0</v>
      </c>
      <c r="W60" s="50" t="n">
        <v>0</v>
      </c>
      <c r="X60" s="51" t="n">
        <v>0</v>
      </c>
      <c r="Y60" s="52" t="n">
        <v>0</v>
      </c>
      <c r="Z60" s="52" t="n">
        <v>0</v>
      </c>
      <c r="AA60" s="52" t="n">
        <v>0</v>
      </c>
      <c r="AB60" s="53" t="n">
        <v>0</v>
      </c>
      <c r="AC60" s="52" t="n">
        <v>0</v>
      </c>
      <c r="AD60" s="53" t="n">
        <v>0</v>
      </c>
      <c r="AE60" s="52" t="n">
        <v>0</v>
      </c>
      <c r="AF60" s="51" t="n">
        <v>0</v>
      </c>
      <c r="AG60" s="48" t="n">
        <v>0</v>
      </c>
      <c r="AH60" s="49" t="n">
        <v>0</v>
      </c>
      <c r="AI60" s="49" t="n">
        <v>0</v>
      </c>
      <c r="AJ60" s="50" t="n">
        <v>0</v>
      </c>
      <c r="AK60" s="51" t="n">
        <v>0</v>
      </c>
      <c r="AL60" s="52" t="n">
        <v>0</v>
      </c>
      <c r="AM60" s="52" t="n">
        <v>0</v>
      </c>
      <c r="AN60" s="52" t="n">
        <v>0</v>
      </c>
      <c r="AO60" s="53" t="n">
        <v>0</v>
      </c>
      <c r="AP60" s="52" t="n">
        <v>0</v>
      </c>
      <c r="AQ60" s="53" t="n">
        <v>0</v>
      </c>
      <c r="AR60" s="52" t="n">
        <v>0</v>
      </c>
      <c r="AS60" s="51" t="n">
        <v>0</v>
      </c>
      <c r="AT60" s="48" t="n">
        <v>0</v>
      </c>
      <c r="AU60" s="49" t="n">
        <v>0</v>
      </c>
      <c r="AV60" s="49" t="n">
        <v>0</v>
      </c>
      <c r="AW60" s="50" t="n">
        <v>0</v>
      </c>
      <c r="AX60" s="51" t="n">
        <v>0</v>
      </c>
      <c r="AY60" s="52" t="n">
        <v>0</v>
      </c>
      <c r="AZ60" s="52" t="n">
        <v>0</v>
      </c>
      <c r="BA60" s="52" t="n">
        <v>0</v>
      </c>
      <c r="BB60" s="53" t="n">
        <v>0</v>
      </c>
      <c r="BC60" s="52" t="n">
        <v>0</v>
      </c>
      <c r="BD60" s="53" t="n">
        <v>0</v>
      </c>
      <c r="BE60" s="52" t="n">
        <v>0</v>
      </c>
      <c r="BF60" s="51" t="n">
        <v>0</v>
      </c>
    </row>
    <row r="61">
      <c r="A61">
        <f>HYPERLINK("https://www.walmart.com/ip/756075150", "756075150")</f>
        <v/>
      </c>
      <c r="B61" t="inlineStr">
        <is>
          <t>Solaris Sun Hats UV Protection Wide Brim Hat Unisex Adult Multicolor</t>
        </is>
      </c>
      <c r="C61" t="inlineStr">
        <is>
          <t>1SLSH910TN</t>
        </is>
      </c>
      <c r="D61" t="inlineStr">
        <is>
          <t>Hats</t>
        </is>
      </c>
      <c r="E61" t="inlineStr">
        <is>
          <t>Solaris</t>
        </is>
      </c>
      <c r="F61" t="inlineStr">
        <is>
          <t>Hats,Batch 1 - TR</t>
        </is>
      </c>
      <c r="G61" s="48" t="n">
        <v>36.98</v>
      </c>
      <c r="H61" s="49" t="n">
        <v>2</v>
      </c>
      <c r="I61" s="49" t="n">
        <v>0</v>
      </c>
      <c r="J61" s="50" t="n">
        <v>0</v>
      </c>
      <c r="K61" s="51" t="n">
        <v>0</v>
      </c>
      <c r="L61" s="52" t="n">
        <v>0</v>
      </c>
      <c r="M61" s="52" t="n">
        <v>0</v>
      </c>
      <c r="N61" s="52" t="n">
        <v>0</v>
      </c>
      <c r="O61" s="53" t="n">
        <v>0</v>
      </c>
      <c r="P61" s="52" t="n">
        <v>0</v>
      </c>
      <c r="Q61" s="53" t="n">
        <v>0</v>
      </c>
      <c r="R61" s="52" t="n">
        <v>18.49</v>
      </c>
      <c r="S61" s="51" t="n">
        <v>0</v>
      </c>
      <c r="T61" s="48" t="n">
        <v>0</v>
      </c>
      <c r="U61" s="49" t="n">
        <v>0</v>
      </c>
      <c r="V61" s="49" t="n">
        <v>0</v>
      </c>
      <c r="W61" s="50" t="n">
        <v>0</v>
      </c>
      <c r="X61" s="51" t="n">
        <v>0</v>
      </c>
      <c r="Y61" s="52" t="n">
        <v>0</v>
      </c>
      <c r="Z61" s="52" t="n">
        <v>0</v>
      </c>
      <c r="AA61" s="52" t="n">
        <v>0</v>
      </c>
      <c r="AB61" s="53" t="n">
        <v>0</v>
      </c>
      <c r="AC61" s="52" t="n">
        <v>0</v>
      </c>
      <c r="AD61" s="53" t="n">
        <v>0</v>
      </c>
      <c r="AE61" s="52" t="n">
        <v>0</v>
      </c>
      <c r="AF61" s="51" t="n">
        <v>0</v>
      </c>
      <c r="AG61" s="48" t="n">
        <v>36.98</v>
      </c>
      <c r="AH61" s="49" t="n">
        <v>2</v>
      </c>
      <c r="AI61" s="49" t="n">
        <v>0</v>
      </c>
      <c r="AJ61" s="50" t="n">
        <v>0</v>
      </c>
      <c r="AK61" s="51" t="n">
        <v>0</v>
      </c>
      <c r="AL61" s="52" t="n">
        <v>0</v>
      </c>
      <c r="AM61" s="52" t="n">
        <v>0</v>
      </c>
      <c r="AN61" s="52" t="n">
        <v>0</v>
      </c>
      <c r="AO61" s="53" t="n">
        <v>0</v>
      </c>
      <c r="AP61" s="52" t="n">
        <v>0</v>
      </c>
      <c r="AQ61" s="53" t="n">
        <v>0</v>
      </c>
      <c r="AR61" s="52" t="n">
        <v>18.49</v>
      </c>
      <c r="AS61" s="51" t="n">
        <v>0</v>
      </c>
      <c r="AT61" s="48" t="n">
        <v>0</v>
      </c>
      <c r="AU61" s="49" t="n">
        <v>0</v>
      </c>
      <c r="AV61" s="49" t="n">
        <v>0</v>
      </c>
      <c r="AW61" s="50" t="n">
        <v>0</v>
      </c>
      <c r="AX61" s="51" t="n">
        <v>0</v>
      </c>
      <c r="AY61" s="52" t="n">
        <v>0</v>
      </c>
      <c r="AZ61" s="52" t="n">
        <v>0</v>
      </c>
      <c r="BA61" s="52" t="n">
        <v>0</v>
      </c>
      <c r="BB61" s="53" t="n">
        <v>0</v>
      </c>
      <c r="BC61" s="52" t="n">
        <v>0</v>
      </c>
      <c r="BD61" s="53" t="n">
        <v>0</v>
      </c>
      <c r="BE61" s="52" t="n">
        <v>0</v>
      </c>
      <c r="BF61" s="51" t="n">
        <v>0</v>
      </c>
    </row>
    <row r="62">
      <c r="A62">
        <f>HYPERLINK("https://www.walmart.com/ip/697188346", "697188346")</f>
        <v/>
      </c>
      <c r="B62" t="inlineStr">
        <is>
          <t>Microplush Sherpa Blanket with Sleeves for Women and Men</t>
        </is>
      </c>
      <c r="C62" t="inlineStr">
        <is>
          <t>1TRSN410GY</t>
        </is>
      </c>
      <c r="D62" t="inlineStr">
        <is>
          <t>Throws</t>
        </is>
      </c>
      <c r="E62" t="inlineStr">
        <is>
          <t>Tirrinia</t>
        </is>
      </c>
      <c r="F62" t="inlineStr">
        <is>
          <t>WFS,WFS Item</t>
        </is>
      </c>
      <c r="G62" s="48" t="n">
        <v>35.99</v>
      </c>
      <c r="H62" s="49" t="n">
        <v>1</v>
      </c>
      <c r="I62" s="49" t="n">
        <v>0</v>
      </c>
      <c r="J62" s="50" t="n">
        <v>0</v>
      </c>
      <c r="K62" s="51" t="n">
        <v>7</v>
      </c>
      <c r="L62" s="52" t="n">
        <v>3.19</v>
      </c>
      <c r="M62" s="52" t="n">
        <v>52.98</v>
      </c>
      <c r="N62" s="52" t="n">
        <v>16.61</v>
      </c>
      <c r="O62" s="53" t="n">
        <v>0.0034</v>
      </c>
      <c r="P62" s="52" t="n">
        <v>0.4557142857142858</v>
      </c>
      <c r="Q62" s="53" t="n">
        <v>0.08863573214781885</v>
      </c>
      <c r="R62" s="52" t="n">
        <v>35.99</v>
      </c>
      <c r="S62" s="51" t="n">
        <v>2070</v>
      </c>
      <c r="T62" s="48" t="n">
        <v>0</v>
      </c>
      <c r="U62" s="49" t="n">
        <v>0</v>
      </c>
      <c r="V62" s="49" t="n">
        <v>0</v>
      </c>
      <c r="W62" s="50" t="n">
        <v>0</v>
      </c>
      <c r="X62" s="51" t="n">
        <v>6</v>
      </c>
      <c r="Y62" s="52" t="n">
        <v>2.94</v>
      </c>
      <c r="Z62" s="52" t="n">
        <v>0</v>
      </c>
      <c r="AA62" s="52" t="n">
        <v>0</v>
      </c>
      <c r="AB62" s="53" t="n">
        <v>0.0039</v>
      </c>
      <c r="AC62" s="52" t="n">
        <v>0.49</v>
      </c>
      <c r="AD62" s="53" t="n">
        <v>0</v>
      </c>
      <c r="AE62" s="52" t="n">
        <v>0</v>
      </c>
      <c r="AF62" s="51" t="n">
        <v>1556</v>
      </c>
      <c r="AG62" s="48" t="n">
        <v>0</v>
      </c>
      <c r="AH62" s="49" t="n">
        <v>0</v>
      </c>
      <c r="AI62" s="49" t="n">
        <v>0</v>
      </c>
      <c r="AJ62" s="50" t="n">
        <v>0</v>
      </c>
      <c r="AK62" s="51" t="n">
        <v>0</v>
      </c>
      <c r="AL62" s="52" t="n">
        <v>0</v>
      </c>
      <c r="AM62" s="52" t="n">
        <v>0</v>
      </c>
      <c r="AN62" s="52" t="n">
        <v>0</v>
      </c>
      <c r="AO62" s="53" t="n">
        <v>0</v>
      </c>
      <c r="AP62" s="52" t="n">
        <v>0</v>
      </c>
      <c r="AQ62" s="53" t="n">
        <v>0</v>
      </c>
      <c r="AR62" s="52" t="n">
        <v>0</v>
      </c>
      <c r="AS62" s="51" t="n">
        <v>0</v>
      </c>
      <c r="AT62" s="48" t="n">
        <v>0</v>
      </c>
      <c r="AU62" s="49" t="n">
        <v>0</v>
      </c>
      <c r="AV62" s="49" t="n">
        <v>0</v>
      </c>
      <c r="AW62" s="50" t="n">
        <v>0</v>
      </c>
      <c r="AX62" s="51" t="n">
        <v>0</v>
      </c>
      <c r="AY62" s="52" t="n">
        <v>0</v>
      </c>
      <c r="AZ62" s="52" t="n">
        <v>0</v>
      </c>
      <c r="BA62" s="52" t="n">
        <v>0</v>
      </c>
      <c r="BB62" s="53" t="n">
        <v>0</v>
      </c>
      <c r="BC62" s="52" t="n">
        <v>0</v>
      </c>
      <c r="BD62" s="53" t="n">
        <v>0</v>
      </c>
      <c r="BE62" s="52" t="n">
        <v>0</v>
      </c>
      <c r="BF62" s="51" t="n">
        <v>2</v>
      </c>
    </row>
    <row r="63">
      <c r="A63">
        <f>HYPERLINK("https://www.walmart.com/ip/1606747764", "1606747764")</f>
        <v/>
      </c>
      <c r="B63" t="inlineStr">
        <is>
          <t>Tirrinia 2 Bottle Wine Tote Carrier - Insulated &amp; Padded Versatile Cooler Bag for Travel, BYOB Restaurant, Wine Tasting, Party, Great Gift for Wine Lover, Red</t>
        </is>
      </c>
      <c r="C63" t="inlineStr">
        <is>
          <t>1TRWB221RD</t>
        </is>
      </c>
      <c r="D63" t="inlineStr">
        <is>
          <t>Wine Totes, Bags &amp; Backpacks</t>
        </is>
      </c>
      <c r="E63" t="inlineStr">
        <is>
          <t>Tirrinia</t>
        </is>
      </c>
      <c r="F63" t="inlineStr">
        <is>
          <t>Wine,SEM,Batch 1 - TR</t>
        </is>
      </c>
      <c r="G63" s="48" t="n">
        <v>35.98</v>
      </c>
      <c r="H63" s="49" t="n">
        <v>2</v>
      </c>
      <c r="I63" s="49" t="n">
        <v>0</v>
      </c>
      <c r="J63" s="50" t="n">
        <v>0</v>
      </c>
      <c r="K63" s="51" t="n">
        <v>2</v>
      </c>
      <c r="L63" s="52" t="n">
        <v>0.8400000000000001</v>
      </c>
      <c r="M63" s="52" t="n">
        <v>19.99</v>
      </c>
      <c r="N63" s="52" t="n">
        <v>23.8</v>
      </c>
      <c r="O63" s="53" t="n">
        <v>0.0032</v>
      </c>
      <c r="P63" s="52" t="n">
        <v>0.42</v>
      </c>
      <c r="Q63" s="53" t="n">
        <v>0.02334630350194553</v>
      </c>
      <c r="R63" s="52" t="n">
        <v>17.99</v>
      </c>
      <c r="S63" s="51" t="n">
        <v>622</v>
      </c>
      <c r="T63" s="48" t="n">
        <v>0</v>
      </c>
      <c r="U63" s="49" t="n">
        <v>0</v>
      </c>
      <c r="V63" s="49" t="n">
        <v>0</v>
      </c>
      <c r="W63" s="50" t="n">
        <v>0</v>
      </c>
      <c r="X63" s="51" t="n">
        <v>0</v>
      </c>
      <c r="Y63" s="52" t="n">
        <v>0</v>
      </c>
      <c r="Z63" s="52" t="n">
        <v>0</v>
      </c>
      <c r="AA63" s="52" t="n">
        <v>0</v>
      </c>
      <c r="AB63" s="53" t="n">
        <v>0</v>
      </c>
      <c r="AC63" s="52" t="n">
        <v>0</v>
      </c>
      <c r="AD63" s="53" t="n">
        <v>0</v>
      </c>
      <c r="AE63" s="52" t="n">
        <v>0</v>
      </c>
      <c r="AF63" s="51" t="n">
        <v>356</v>
      </c>
      <c r="AG63" s="48" t="n">
        <v>17.99</v>
      </c>
      <c r="AH63" s="49" t="n">
        <v>1</v>
      </c>
      <c r="AI63" s="49" t="n">
        <v>0</v>
      </c>
      <c r="AJ63" s="50" t="n">
        <v>0</v>
      </c>
      <c r="AK63" s="51" t="n">
        <v>2</v>
      </c>
      <c r="AL63" s="52" t="n">
        <v>0.88</v>
      </c>
      <c r="AM63" s="52" t="n">
        <v>0</v>
      </c>
      <c r="AN63" s="52" t="n">
        <v>0</v>
      </c>
      <c r="AO63" s="53" t="n">
        <v>0.0023</v>
      </c>
      <c r="AP63" s="52" t="n">
        <v>0.44</v>
      </c>
      <c r="AQ63" s="53" t="n">
        <v>0.04891606448026682</v>
      </c>
      <c r="AR63" s="52" t="n">
        <v>17.99</v>
      </c>
      <c r="AS63" s="51" t="n">
        <v>878</v>
      </c>
      <c r="AT63" s="48" t="n">
        <v>17.99</v>
      </c>
      <c r="AU63" s="49" t="n">
        <v>1</v>
      </c>
      <c r="AV63" s="49" t="n">
        <v>1</v>
      </c>
      <c r="AW63" s="50" t="n">
        <v>1</v>
      </c>
      <c r="AX63" s="51" t="n">
        <v>1</v>
      </c>
      <c r="AY63" s="52" t="n">
        <v>0.44</v>
      </c>
      <c r="AZ63" s="52" t="n">
        <v>0</v>
      </c>
      <c r="BA63" s="52" t="n">
        <v>0</v>
      </c>
      <c r="BB63" s="53" t="n">
        <v>0.0028</v>
      </c>
      <c r="BC63" s="52" t="n">
        <v>0.44</v>
      </c>
      <c r="BD63" s="53" t="n">
        <v>0.02445803224013341</v>
      </c>
      <c r="BE63" s="52" t="n">
        <v>17.99</v>
      </c>
      <c r="BF63" s="51" t="n">
        <v>362</v>
      </c>
    </row>
    <row r="64">
      <c r="A64">
        <f>HYPERLINK("https://www.walmart.com/ip/787385705", "787385705")</f>
        <v/>
      </c>
      <c r="B64" t="inlineStr">
        <is>
          <t>Tirrinia Insulated Lunch Bag for Women Men, 10L Leakproof Thermal Reusable Lunch Box for Adult Kids, Tall Meal Prep Lunch Cooler Tote for Office Work, Back to School, Large, Dark Grey</t>
        </is>
      </c>
      <c r="C64" t="inlineStr">
        <is>
          <t>1TRLB701DGY-T</t>
        </is>
      </c>
      <c r="D64" t="inlineStr">
        <is>
          <t>Reusable Lunch Bags &amp; Boxes</t>
        </is>
      </c>
      <c r="E64" t="inlineStr">
        <is>
          <t>Tirrinia</t>
        </is>
      </c>
      <c r="F64" t="inlineStr">
        <is>
          <t>Q2-Target,Brand Camp VD,Lunch Bag,WFS,Lunch Bags,SEM,WFS Item</t>
        </is>
      </c>
      <c r="G64" s="48" t="n">
        <v>34.97</v>
      </c>
      <c r="H64" s="49" t="n">
        <v>2</v>
      </c>
      <c r="I64" s="49" t="n">
        <v>94</v>
      </c>
      <c r="J64" s="50" t="n">
        <v>0.02127659574468085</v>
      </c>
      <c r="K64" s="51" t="n">
        <v>0</v>
      </c>
      <c r="L64" s="52" t="n">
        <v>0</v>
      </c>
      <c r="M64" s="52" t="n">
        <v>0</v>
      </c>
      <c r="N64" s="52" t="n">
        <v>0</v>
      </c>
      <c r="O64" s="53" t="n">
        <v>0</v>
      </c>
      <c r="P64" s="52" t="n">
        <v>0</v>
      </c>
      <c r="Q64" s="53" t="n">
        <v>0</v>
      </c>
      <c r="R64" s="52" t="n">
        <v>17.485</v>
      </c>
      <c r="S64" s="51" t="n">
        <v>0</v>
      </c>
      <c r="T64" s="48" t="n">
        <v>27.98</v>
      </c>
      <c r="U64" s="49" t="n">
        <v>2</v>
      </c>
      <c r="V64" s="49" t="n">
        <v>129</v>
      </c>
      <c r="W64" s="50" t="n">
        <v>0.01550387596899225</v>
      </c>
      <c r="X64" s="51" t="n">
        <v>0</v>
      </c>
      <c r="Y64" s="52" t="n">
        <v>0</v>
      </c>
      <c r="Z64" s="52" t="n">
        <v>0</v>
      </c>
      <c r="AA64" s="52" t="n">
        <v>0</v>
      </c>
      <c r="AB64" s="53" t="n">
        <v>0</v>
      </c>
      <c r="AC64" s="52" t="n">
        <v>0</v>
      </c>
      <c r="AD64" s="53" t="n">
        <v>0</v>
      </c>
      <c r="AE64" s="52" t="n">
        <v>13.99</v>
      </c>
      <c r="AF64" s="51" t="n">
        <v>0</v>
      </c>
      <c r="AG64" s="48" t="n">
        <v>41.97</v>
      </c>
      <c r="AH64" s="49" t="n">
        <v>3</v>
      </c>
      <c r="AI64" s="49" t="n">
        <v>144</v>
      </c>
      <c r="AJ64" s="50" t="n">
        <v>0.02083333333333333</v>
      </c>
      <c r="AK64" s="51" t="n">
        <v>0</v>
      </c>
      <c r="AL64" s="52" t="n">
        <v>0</v>
      </c>
      <c r="AM64" s="52" t="n">
        <v>0</v>
      </c>
      <c r="AN64" s="52" t="n">
        <v>0</v>
      </c>
      <c r="AO64" s="53" t="n">
        <v>0</v>
      </c>
      <c r="AP64" s="52" t="n">
        <v>0</v>
      </c>
      <c r="AQ64" s="53" t="n">
        <v>0</v>
      </c>
      <c r="AR64" s="52" t="n">
        <v>13.99</v>
      </c>
      <c r="AS64" s="51" t="n">
        <v>0</v>
      </c>
      <c r="AT64" s="48" t="n">
        <v>76.94</v>
      </c>
      <c r="AU64" s="49" t="n">
        <v>5</v>
      </c>
      <c r="AV64" s="49" t="n">
        <v>157</v>
      </c>
      <c r="AW64" s="50" t="n">
        <v>0.03184713375796178</v>
      </c>
      <c r="AX64" s="51" t="n">
        <v>0</v>
      </c>
      <c r="AY64" s="52" t="n">
        <v>0</v>
      </c>
      <c r="AZ64" s="52" t="n">
        <v>0</v>
      </c>
      <c r="BA64" s="52" t="n">
        <v>0</v>
      </c>
      <c r="BB64" s="53" t="n">
        <v>0</v>
      </c>
      <c r="BC64" s="52" t="n">
        <v>0</v>
      </c>
      <c r="BD64" s="53" t="n">
        <v>0</v>
      </c>
      <c r="BE64" s="52" t="n">
        <v>15.388</v>
      </c>
      <c r="BF64" s="51" t="n">
        <v>0</v>
      </c>
    </row>
    <row r="65">
      <c r="A65">
        <f>HYPERLINK("https://www.walmart.com/ip/5322547934", "5322547934")</f>
        <v/>
      </c>
      <c r="B65" t="inlineStr">
        <is>
          <t>Outdoor Wide Brim Sun Hats with Neck Flap Blocking UV Protection Cap by Solaris Unisex UPF 50+ Foldable Mesh Net for Fin</t>
        </is>
      </c>
      <c r="C65" t="inlineStr">
        <is>
          <t>1SLSH910CAMO-B</t>
        </is>
      </c>
      <c r="D65" t="inlineStr">
        <is>
          <t>Hats</t>
        </is>
      </c>
      <c r="E65" t="inlineStr">
        <is>
          <t>Solaris</t>
        </is>
      </c>
      <c r="G65" s="48" t="n">
        <v>33.98</v>
      </c>
      <c r="H65" s="49" t="n">
        <v>2</v>
      </c>
      <c r="I65" s="49" t="n">
        <v>2</v>
      </c>
      <c r="J65" s="50" t="n">
        <v>1</v>
      </c>
      <c r="K65" s="51" t="n">
        <v>0</v>
      </c>
      <c r="L65" s="52" t="n">
        <v>0</v>
      </c>
      <c r="M65" s="52" t="n">
        <v>0</v>
      </c>
      <c r="N65" s="52" t="n">
        <v>0</v>
      </c>
      <c r="O65" s="53" t="n">
        <v>0</v>
      </c>
      <c r="P65" s="52" t="n">
        <v>0</v>
      </c>
      <c r="Q65" s="53" t="n">
        <v>0</v>
      </c>
      <c r="R65" s="52" t="n">
        <v>16.99</v>
      </c>
      <c r="S65" s="51" t="n">
        <v>0</v>
      </c>
      <c r="T65" s="48" t="n">
        <v>0</v>
      </c>
      <c r="U65" s="49" t="n">
        <v>0</v>
      </c>
      <c r="V65" s="49" t="n">
        <v>1</v>
      </c>
      <c r="W65" s="50" t="n">
        <v>0</v>
      </c>
      <c r="X65" s="51" t="n">
        <v>0</v>
      </c>
      <c r="Y65" s="52" t="n">
        <v>0</v>
      </c>
      <c r="Z65" s="52" t="n">
        <v>0</v>
      </c>
      <c r="AA65" s="52" t="n">
        <v>0</v>
      </c>
      <c r="AB65" s="53" t="n">
        <v>0</v>
      </c>
      <c r="AC65" s="52" t="n">
        <v>0</v>
      </c>
      <c r="AD65" s="53" t="n">
        <v>0</v>
      </c>
      <c r="AE65" s="52" t="n">
        <v>0</v>
      </c>
      <c r="AF65" s="51" t="n">
        <v>0</v>
      </c>
      <c r="AG65" s="48" t="n">
        <v>0</v>
      </c>
      <c r="AH65" s="49" t="n">
        <v>0</v>
      </c>
      <c r="AI65" s="49" t="n">
        <v>0</v>
      </c>
      <c r="AJ65" s="50" t="n">
        <v>0</v>
      </c>
      <c r="AK65" s="51" t="n">
        <v>0</v>
      </c>
      <c r="AL65" s="52" t="n">
        <v>0</v>
      </c>
      <c r="AM65" s="52" t="n">
        <v>0</v>
      </c>
      <c r="AN65" s="52" t="n">
        <v>0</v>
      </c>
      <c r="AO65" s="53" t="n">
        <v>0</v>
      </c>
      <c r="AP65" s="52" t="n">
        <v>0</v>
      </c>
      <c r="AQ65" s="53" t="n">
        <v>0</v>
      </c>
      <c r="AR65" s="52" t="n">
        <v>0</v>
      </c>
      <c r="AS65" s="51" t="n">
        <v>0</v>
      </c>
      <c r="AT65" s="48" t="n">
        <v>0</v>
      </c>
      <c r="AU65" s="49" t="n">
        <v>0</v>
      </c>
      <c r="AV65" s="49" t="n">
        <v>0</v>
      </c>
      <c r="AW65" s="50" t="n">
        <v>0</v>
      </c>
      <c r="AX65" s="51" t="n">
        <v>0</v>
      </c>
      <c r="AY65" s="52" t="n">
        <v>0</v>
      </c>
      <c r="AZ65" s="52" t="n">
        <v>0</v>
      </c>
      <c r="BA65" s="52" t="n">
        <v>0</v>
      </c>
      <c r="BB65" s="53" t="n">
        <v>0</v>
      </c>
      <c r="BC65" s="52" t="n">
        <v>0</v>
      </c>
      <c r="BD65" s="53" t="n">
        <v>0</v>
      </c>
      <c r="BE65" s="52" t="n">
        <v>0</v>
      </c>
      <c r="BF65" s="51" t="n">
        <v>0</v>
      </c>
    </row>
    <row r="66">
      <c r="A66">
        <f>HYPERLINK("https://www.walmart.com/ip/724471437", "724471437")</f>
        <v/>
      </c>
      <c r="B66" t="inlineStr">
        <is>
          <t>Tirrinia Adult Insulated Lunch Bag Totes Best Thermos Cooler Container, Leakproof Expandable Reusable Lunch Box</t>
        </is>
      </c>
      <c r="C66" t="inlineStr">
        <is>
          <t>1TRCB106RD</t>
        </is>
      </c>
      <c r="D66" t="inlineStr">
        <is>
          <t>Reusable Lunch Bags &amp; Boxes</t>
        </is>
      </c>
      <c r="E66" t="inlineStr">
        <is>
          <t>Tirrinia</t>
        </is>
      </c>
      <c r="F66" t="inlineStr">
        <is>
          <t>Q2-Target,Brand Camp VD,Lunch Bag,WFS,Lunch Bags,WFS Item</t>
        </is>
      </c>
      <c r="G66" s="48" t="n">
        <v>32.97</v>
      </c>
      <c r="H66" s="49" t="n">
        <v>2</v>
      </c>
      <c r="I66" s="49" t="n">
        <v>28</v>
      </c>
      <c r="J66" s="50" t="n">
        <v>0.07142857142857142</v>
      </c>
      <c r="K66" s="51" t="n">
        <v>0</v>
      </c>
      <c r="L66" s="52" t="n">
        <v>0</v>
      </c>
      <c r="M66" s="52" t="n">
        <v>0</v>
      </c>
      <c r="N66" s="52" t="n">
        <v>0</v>
      </c>
      <c r="O66" s="53" t="n">
        <v>0</v>
      </c>
      <c r="P66" s="52" t="n">
        <v>0</v>
      </c>
      <c r="Q66" s="53" t="n">
        <v>0</v>
      </c>
      <c r="R66" s="52" t="n">
        <v>16.485</v>
      </c>
      <c r="S66" s="51" t="n">
        <v>0</v>
      </c>
      <c r="T66" s="48" t="n">
        <v>12.99</v>
      </c>
      <c r="U66" s="49" t="n">
        <v>1</v>
      </c>
      <c r="V66" s="49" t="n">
        <v>28</v>
      </c>
      <c r="W66" s="50" t="n">
        <v>0.03571428571428571</v>
      </c>
      <c r="X66" s="51" t="n">
        <v>0</v>
      </c>
      <c r="Y66" s="52" t="n">
        <v>0</v>
      </c>
      <c r="Z66" s="52" t="n">
        <v>0</v>
      </c>
      <c r="AA66" s="52" t="n">
        <v>0</v>
      </c>
      <c r="AB66" s="53" t="n">
        <v>0</v>
      </c>
      <c r="AC66" s="52" t="n">
        <v>0</v>
      </c>
      <c r="AD66" s="53" t="n">
        <v>0</v>
      </c>
      <c r="AE66" s="52" t="n">
        <v>12.99</v>
      </c>
      <c r="AF66" s="51" t="n">
        <v>0</v>
      </c>
      <c r="AG66" s="48" t="n">
        <v>12.99</v>
      </c>
      <c r="AH66" s="49" t="n">
        <v>1</v>
      </c>
      <c r="AI66" s="49" t="n">
        <v>29</v>
      </c>
      <c r="AJ66" s="50" t="n">
        <v>0.03448275862068965</v>
      </c>
      <c r="AK66" s="51" t="n">
        <v>0</v>
      </c>
      <c r="AL66" s="52" t="n">
        <v>0</v>
      </c>
      <c r="AM66" s="52" t="n">
        <v>0</v>
      </c>
      <c r="AN66" s="52" t="n">
        <v>0</v>
      </c>
      <c r="AO66" s="53" t="n">
        <v>0</v>
      </c>
      <c r="AP66" s="52" t="n">
        <v>0</v>
      </c>
      <c r="AQ66" s="53" t="n">
        <v>0</v>
      </c>
      <c r="AR66" s="52" t="n">
        <v>12.99</v>
      </c>
      <c r="AS66" s="51" t="n">
        <v>0</v>
      </c>
      <c r="AT66" s="48" t="n">
        <v>38.97</v>
      </c>
      <c r="AU66" s="49" t="n">
        <v>3</v>
      </c>
      <c r="AV66" s="49" t="n">
        <v>34</v>
      </c>
      <c r="AW66" s="50" t="n">
        <v>0.08823529411764706</v>
      </c>
      <c r="AX66" s="51" t="n">
        <v>0</v>
      </c>
      <c r="AY66" s="52" t="n">
        <v>0</v>
      </c>
      <c r="AZ66" s="52" t="n">
        <v>0</v>
      </c>
      <c r="BA66" s="52" t="n">
        <v>0</v>
      </c>
      <c r="BB66" s="53" t="n">
        <v>0</v>
      </c>
      <c r="BC66" s="52" t="n">
        <v>0</v>
      </c>
      <c r="BD66" s="53" t="n">
        <v>0</v>
      </c>
      <c r="BE66" s="52" t="n">
        <v>12.99</v>
      </c>
      <c r="BF66" s="51" t="n">
        <v>0</v>
      </c>
    </row>
    <row r="67">
      <c r="A67">
        <f>HYPERLINK("https://www.walmart.com/ip/5734394641", "5734394641")</f>
        <v/>
      </c>
      <c r="B67" t="inlineStr">
        <is>
          <t>Tirrinia Mesh Beach Bag with Cooler Compartment, Extra Large Totes for Beach Travel, Functional Fashion Beach Bag for Women</t>
        </is>
      </c>
      <c r="C67" t="inlineStr">
        <is>
          <t>1TRCB00112BK</t>
        </is>
      </c>
      <c r="D67" t="inlineStr">
        <is>
          <t>Handbags</t>
        </is>
      </c>
      <c r="E67" t="inlineStr">
        <is>
          <t>Tirrinia</t>
        </is>
      </c>
      <c r="G67" s="48" t="n">
        <v>31.99</v>
      </c>
      <c r="H67" s="49" t="n">
        <v>1</v>
      </c>
      <c r="I67" s="49" t="n">
        <v>0</v>
      </c>
      <c r="J67" s="50" t="n">
        <v>0</v>
      </c>
      <c r="K67" s="51" t="n">
        <v>0</v>
      </c>
      <c r="L67" s="52" t="n">
        <v>0</v>
      </c>
      <c r="M67" s="52" t="n">
        <v>0</v>
      </c>
      <c r="N67" s="52" t="n">
        <v>0</v>
      </c>
      <c r="O67" s="53" t="n">
        <v>0</v>
      </c>
      <c r="P67" s="52" t="n">
        <v>0</v>
      </c>
      <c r="Q67" s="53" t="n">
        <v>0</v>
      </c>
      <c r="R67" s="52" t="n">
        <v>31.99</v>
      </c>
      <c r="S67" s="51" t="n">
        <v>0</v>
      </c>
      <c r="T67" s="48" t="n">
        <v>0</v>
      </c>
      <c r="U67" s="49" t="n">
        <v>0</v>
      </c>
      <c r="V67" s="49" t="n">
        <v>0</v>
      </c>
      <c r="W67" s="50" t="n">
        <v>0</v>
      </c>
      <c r="X67" s="51" t="n">
        <v>0</v>
      </c>
      <c r="Y67" s="52" t="n">
        <v>0</v>
      </c>
      <c r="Z67" s="52" t="n">
        <v>0</v>
      </c>
      <c r="AA67" s="52" t="n">
        <v>0</v>
      </c>
      <c r="AB67" s="53" t="n">
        <v>0</v>
      </c>
      <c r="AC67" s="52" t="n">
        <v>0</v>
      </c>
      <c r="AD67" s="53" t="n">
        <v>0</v>
      </c>
      <c r="AE67" s="52" t="n">
        <v>0</v>
      </c>
      <c r="AF67" s="51" t="n">
        <v>0</v>
      </c>
      <c r="AG67" s="48" t="n">
        <v>0</v>
      </c>
      <c r="AH67" s="49" t="n">
        <v>0</v>
      </c>
      <c r="AI67" s="49" t="n">
        <v>0</v>
      </c>
      <c r="AJ67" s="50" t="n">
        <v>0</v>
      </c>
      <c r="AK67" s="51" t="n">
        <v>0</v>
      </c>
      <c r="AL67" s="52" t="n">
        <v>0</v>
      </c>
      <c r="AM67" s="52" t="n">
        <v>0</v>
      </c>
      <c r="AN67" s="52" t="n">
        <v>0</v>
      </c>
      <c r="AO67" s="53" t="n">
        <v>0</v>
      </c>
      <c r="AP67" s="52" t="n">
        <v>0</v>
      </c>
      <c r="AQ67" s="53" t="n">
        <v>0</v>
      </c>
      <c r="AR67" s="52" t="n">
        <v>0</v>
      </c>
      <c r="AS67" s="51" t="n">
        <v>0</v>
      </c>
      <c r="AT67" s="48" t="n">
        <v>0</v>
      </c>
      <c r="AU67" s="49" t="n">
        <v>0</v>
      </c>
      <c r="AV67" s="49" t="n">
        <v>0</v>
      </c>
      <c r="AW67" s="50" t="n">
        <v>0</v>
      </c>
      <c r="AX67" s="51" t="n">
        <v>0</v>
      </c>
      <c r="AY67" s="52" t="n">
        <v>0</v>
      </c>
      <c r="AZ67" s="52" t="n">
        <v>0</v>
      </c>
      <c r="BA67" s="52" t="n">
        <v>0</v>
      </c>
      <c r="BB67" s="53" t="n">
        <v>0</v>
      </c>
      <c r="BC67" s="52" t="n">
        <v>0</v>
      </c>
      <c r="BD67" s="53" t="n">
        <v>0</v>
      </c>
      <c r="BE67" s="52" t="n">
        <v>0</v>
      </c>
      <c r="BF67" s="51" t="n">
        <v>0</v>
      </c>
    </row>
    <row r="68">
      <c r="A68">
        <f>HYPERLINK("https://www.walmart.com/ip/566409020", "566409020")</f>
        <v/>
      </c>
      <c r="B68" t="inlineStr">
        <is>
          <t>Lightweight Queen Bedspread Quilt Set for Summer and Spring,Bedding Coverlet - Quilt and Pillow Shams</t>
        </is>
      </c>
      <c r="C68" t="inlineStr">
        <is>
          <t>1CTBQ203QF-GYWT</t>
        </is>
      </c>
      <c r="D68" t="inlineStr">
        <is>
          <t>Bedding Sets</t>
        </is>
      </c>
      <c r="E68" t="inlineStr">
        <is>
          <t>Catalonia</t>
        </is>
      </c>
      <c r="F68" t="inlineStr">
        <is>
          <t>Optimized,WFS,Quilt_Vinay,WFS Item</t>
        </is>
      </c>
      <c r="G68" s="48" t="n">
        <v>31.98</v>
      </c>
      <c r="H68" s="49" t="n">
        <v>1</v>
      </c>
      <c r="I68" s="49" t="n">
        <v>0</v>
      </c>
      <c r="J68" s="50" t="n">
        <v>0</v>
      </c>
      <c r="K68" s="51" t="n">
        <v>0</v>
      </c>
      <c r="L68" s="52" t="n">
        <v>0</v>
      </c>
      <c r="M68" s="52" t="n">
        <v>0</v>
      </c>
      <c r="N68" s="52" t="n">
        <v>0</v>
      </c>
      <c r="O68" s="53" t="n">
        <v>0</v>
      </c>
      <c r="P68" s="52" t="n">
        <v>0</v>
      </c>
      <c r="Q68" s="53" t="n">
        <v>0</v>
      </c>
      <c r="R68" s="52" t="n">
        <v>31.98</v>
      </c>
      <c r="S68" s="51" t="n">
        <v>0</v>
      </c>
      <c r="T68" s="48" t="n">
        <v>0</v>
      </c>
      <c r="U68" s="49" t="n">
        <v>0</v>
      </c>
      <c r="V68" s="49" t="n">
        <v>0</v>
      </c>
      <c r="W68" s="50" t="n">
        <v>0</v>
      </c>
      <c r="X68" s="51" t="n">
        <v>0</v>
      </c>
      <c r="Y68" s="52" t="n">
        <v>0</v>
      </c>
      <c r="Z68" s="52" t="n">
        <v>0</v>
      </c>
      <c r="AA68" s="52" t="n">
        <v>0</v>
      </c>
      <c r="AB68" s="53" t="n">
        <v>0</v>
      </c>
      <c r="AC68" s="52" t="n">
        <v>0</v>
      </c>
      <c r="AD68" s="53" t="n">
        <v>0</v>
      </c>
      <c r="AE68" s="52" t="n">
        <v>0</v>
      </c>
      <c r="AF68" s="51" t="n">
        <v>0</v>
      </c>
      <c r="AG68" s="48" t="n">
        <v>0</v>
      </c>
      <c r="AH68" s="49" t="n">
        <v>0</v>
      </c>
      <c r="AI68" s="49" t="n">
        <v>0</v>
      </c>
      <c r="AJ68" s="50" t="n">
        <v>0</v>
      </c>
      <c r="AK68" s="51" t="n">
        <v>0</v>
      </c>
      <c r="AL68" s="52" t="n">
        <v>0</v>
      </c>
      <c r="AM68" s="52" t="n">
        <v>0</v>
      </c>
      <c r="AN68" s="52" t="n">
        <v>0</v>
      </c>
      <c r="AO68" s="53" t="n">
        <v>0</v>
      </c>
      <c r="AP68" s="52" t="n">
        <v>0</v>
      </c>
      <c r="AQ68" s="53" t="n">
        <v>0</v>
      </c>
      <c r="AR68" s="52" t="n">
        <v>0</v>
      </c>
      <c r="AS68" s="51" t="n">
        <v>0</v>
      </c>
      <c r="AT68" s="48" t="n">
        <v>0</v>
      </c>
      <c r="AU68" s="49" t="n">
        <v>0</v>
      </c>
      <c r="AV68" s="49" t="n">
        <v>0</v>
      </c>
      <c r="AW68" s="50" t="n">
        <v>0</v>
      </c>
      <c r="AX68" s="51" t="n">
        <v>0</v>
      </c>
      <c r="AY68" s="52" t="n">
        <v>0</v>
      </c>
      <c r="AZ68" s="52" t="n">
        <v>0</v>
      </c>
      <c r="BA68" s="52" t="n">
        <v>0</v>
      </c>
      <c r="BB68" s="53" t="n">
        <v>0</v>
      </c>
      <c r="BC68" s="52" t="n">
        <v>0</v>
      </c>
      <c r="BD68" s="53" t="n">
        <v>0</v>
      </c>
      <c r="BE68" s="52" t="n">
        <v>0</v>
      </c>
      <c r="BF68" s="51" t="n">
        <v>0</v>
      </c>
    </row>
    <row r="69">
      <c r="A69">
        <f>HYPERLINK("https://www.walmart.com/ip/660673214", "660673214")</f>
        <v/>
      </c>
      <c r="B69" t="inlineStr">
        <is>
          <t>Sun Blocker Women's Travel Sun Hat UPF 50+ Large Brim Beach Neck Flap Hat Purple</t>
        </is>
      </c>
      <c r="C69" t="inlineStr">
        <is>
          <t>KC-S9201-PP</t>
        </is>
      </c>
      <c r="D69" t="inlineStr">
        <is>
          <t>Hats</t>
        </is>
      </c>
      <c r="E69" t="inlineStr">
        <is>
          <t>Sun Blocker</t>
        </is>
      </c>
      <c r="F69" t="inlineStr">
        <is>
          <t>Q2-Target,Hats,Batch 1 - TR</t>
        </is>
      </c>
      <c r="G69" s="48" t="n">
        <v>31.98</v>
      </c>
      <c r="H69" s="49" t="n">
        <v>2</v>
      </c>
      <c r="I69" s="49" t="n">
        <v>5</v>
      </c>
      <c r="J69" s="50" t="n">
        <v>0.4</v>
      </c>
      <c r="K69" s="51" t="n">
        <v>0</v>
      </c>
      <c r="L69" s="52" t="n">
        <v>0</v>
      </c>
      <c r="M69" s="52" t="n">
        <v>0</v>
      </c>
      <c r="N69" s="52" t="n">
        <v>0</v>
      </c>
      <c r="O69" s="53" t="n">
        <v>0</v>
      </c>
      <c r="P69" s="52" t="n">
        <v>0</v>
      </c>
      <c r="Q69" s="53" t="n">
        <v>0</v>
      </c>
      <c r="R69" s="52" t="n">
        <v>15.99</v>
      </c>
      <c r="S69" s="51" t="n">
        <v>0</v>
      </c>
      <c r="T69" s="48" t="n">
        <v>15.99</v>
      </c>
      <c r="U69" s="49" t="n">
        <v>1</v>
      </c>
      <c r="V69" s="49" t="n">
        <v>5</v>
      </c>
      <c r="W69" s="50" t="n">
        <v>0.2</v>
      </c>
      <c r="X69" s="51" t="n">
        <v>0</v>
      </c>
      <c r="Y69" s="52" t="n">
        <v>0</v>
      </c>
      <c r="Z69" s="52" t="n">
        <v>0</v>
      </c>
      <c r="AA69" s="52" t="n">
        <v>0</v>
      </c>
      <c r="AB69" s="53" t="n">
        <v>0</v>
      </c>
      <c r="AC69" s="52" t="n">
        <v>0</v>
      </c>
      <c r="AD69" s="53" t="n">
        <v>0</v>
      </c>
      <c r="AE69" s="52" t="n">
        <v>15.99</v>
      </c>
      <c r="AF69" s="51" t="n">
        <v>0</v>
      </c>
      <c r="AG69" s="48" t="n">
        <v>0</v>
      </c>
      <c r="AH69" s="49" t="n">
        <v>0</v>
      </c>
      <c r="AI69" s="49" t="n">
        <v>3</v>
      </c>
      <c r="AJ69" s="50" t="n">
        <v>0</v>
      </c>
      <c r="AK69" s="51" t="n">
        <v>0</v>
      </c>
      <c r="AL69" s="52" t="n">
        <v>0</v>
      </c>
      <c r="AM69" s="52" t="n">
        <v>0</v>
      </c>
      <c r="AN69" s="52" t="n">
        <v>0</v>
      </c>
      <c r="AO69" s="53" t="n">
        <v>0</v>
      </c>
      <c r="AP69" s="52" t="n">
        <v>0</v>
      </c>
      <c r="AQ69" s="53" t="n">
        <v>0</v>
      </c>
      <c r="AR69" s="52" t="n">
        <v>0</v>
      </c>
      <c r="AS69" s="51" t="n">
        <v>0</v>
      </c>
      <c r="AT69" s="48" t="n">
        <v>0</v>
      </c>
      <c r="AU69" s="49" t="n">
        <v>0</v>
      </c>
      <c r="AV69" s="49" t="n">
        <v>4</v>
      </c>
      <c r="AW69" s="50" t="n">
        <v>0</v>
      </c>
      <c r="AX69" s="51" t="n">
        <v>0</v>
      </c>
      <c r="AY69" s="52" t="n">
        <v>0</v>
      </c>
      <c r="AZ69" s="52" t="n">
        <v>0</v>
      </c>
      <c r="BA69" s="52" t="n">
        <v>0</v>
      </c>
      <c r="BB69" s="53" t="n">
        <v>0</v>
      </c>
      <c r="BC69" s="52" t="n">
        <v>0</v>
      </c>
      <c r="BD69" s="53" t="n">
        <v>0</v>
      </c>
      <c r="BE69" s="52" t="n">
        <v>0</v>
      </c>
      <c r="BF69" s="51" t="n">
        <v>0</v>
      </c>
    </row>
    <row r="70">
      <c r="A70">
        <f>HYPERLINK("https://www.walmart.com/ip/364974733", "364974733")</f>
        <v/>
      </c>
      <c r="B70" t="inlineStr">
        <is>
          <t>Pawsse Waterproof Pet Blanket, Pee Urine Proof Dog Blanket Cover for Couch Bed Furniture Protector, Liquid Proof Blanket for Small Medium Dogs, 50” x 30”,  Lt Gray/Dk Gray</t>
        </is>
      </c>
      <c r="C70" t="inlineStr">
        <is>
          <t>1PSBW351LGDG</t>
        </is>
      </c>
      <c r="D70" t="inlineStr">
        <is>
          <t>Pet Blankets</t>
        </is>
      </c>
      <c r="E70" t="inlineStr">
        <is>
          <t>Pawsse</t>
        </is>
      </c>
      <c r="F70" t="inlineStr">
        <is>
          <t>Batch 1 - TR</t>
        </is>
      </c>
      <c r="G70" s="48" t="n">
        <v>31.98</v>
      </c>
      <c r="H70" s="49" t="n">
        <v>2</v>
      </c>
      <c r="I70" s="49" t="n">
        <v>4</v>
      </c>
      <c r="J70" s="50" t="n">
        <v>0.5</v>
      </c>
      <c r="K70" s="51" t="n">
        <v>0</v>
      </c>
      <c r="L70" s="52" t="n">
        <v>0</v>
      </c>
      <c r="M70" s="52" t="n">
        <v>0</v>
      </c>
      <c r="N70" s="52" t="n">
        <v>0</v>
      </c>
      <c r="O70" s="53" t="n">
        <v>0</v>
      </c>
      <c r="P70" s="52" t="n">
        <v>0</v>
      </c>
      <c r="Q70" s="53" t="n">
        <v>0</v>
      </c>
      <c r="R70" s="52" t="n">
        <v>15.99</v>
      </c>
      <c r="S70" s="51" t="n">
        <v>0</v>
      </c>
      <c r="T70" s="48" t="n">
        <v>0</v>
      </c>
      <c r="U70" s="49" t="n">
        <v>0</v>
      </c>
      <c r="V70" s="49" t="n">
        <v>4</v>
      </c>
      <c r="W70" s="50" t="n">
        <v>0</v>
      </c>
      <c r="X70" s="51" t="n">
        <v>0</v>
      </c>
      <c r="Y70" s="52" t="n">
        <v>0</v>
      </c>
      <c r="Z70" s="52" t="n">
        <v>0</v>
      </c>
      <c r="AA70" s="52" t="n">
        <v>0</v>
      </c>
      <c r="AB70" s="53" t="n">
        <v>0</v>
      </c>
      <c r="AC70" s="52" t="n">
        <v>0</v>
      </c>
      <c r="AD70" s="53" t="n">
        <v>0</v>
      </c>
      <c r="AE70" s="52" t="n">
        <v>0</v>
      </c>
      <c r="AF70" s="51" t="n">
        <v>0</v>
      </c>
      <c r="AG70" s="48" t="n">
        <v>47.97</v>
      </c>
      <c r="AH70" s="49" t="n">
        <v>3</v>
      </c>
      <c r="AI70" s="49" t="n">
        <v>8</v>
      </c>
      <c r="AJ70" s="50" t="n">
        <v>0.375</v>
      </c>
      <c r="AK70" s="51" t="n">
        <v>0</v>
      </c>
      <c r="AL70" s="52" t="n">
        <v>0</v>
      </c>
      <c r="AM70" s="52" t="n">
        <v>0</v>
      </c>
      <c r="AN70" s="52" t="n">
        <v>0</v>
      </c>
      <c r="AO70" s="53" t="n">
        <v>0</v>
      </c>
      <c r="AP70" s="52" t="n">
        <v>0</v>
      </c>
      <c r="AQ70" s="53" t="n">
        <v>0</v>
      </c>
      <c r="AR70" s="52" t="n">
        <v>15.99</v>
      </c>
      <c r="AS70" s="51" t="n">
        <v>0</v>
      </c>
      <c r="AT70" s="48" t="n">
        <v>15.99</v>
      </c>
      <c r="AU70" s="49" t="n">
        <v>1</v>
      </c>
      <c r="AV70" s="49" t="n">
        <v>3</v>
      </c>
      <c r="AW70" s="50" t="n">
        <v>0.3333333333333333</v>
      </c>
      <c r="AX70" s="51" t="n">
        <v>0</v>
      </c>
      <c r="AY70" s="52" t="n">
        <v>0</v>
      </c>
      <c r="AZ70" s="52" t="n">
        <v>0</v>
      </c>
      <c r="BA70" s="52" t="n">
        <v>0</v>
      </c>
      <c r="BB70" s="53" t="n">
        <v>0</v>
      </c>
      <c r="BC70" s="52" t="n">
        <v>0</v>
      </c>
      <c r="BD70" s="53" t="n">
        <v>0</v>
      </c>
      <c r="BE70" s="52" t="n">
        <v>15.99</v>
      </c>
      <c r="BF70" s="51" t="n">
        <v>0</v>
      </c>
    </row>
    <row r="71">
      <c r="A71">
        <f>HYPERLINK("https://www.walmart.com/ip/127000472", "127000472")</f>
        <v/>
      </c>
      <c r="B71" t="inlineStr">
        <is>
          <t>Men's Sun Hat with Neck Flap, Wide Brim Fishing Safari Hiking Hat, UPF 50+ Protection, Adjustable Chin Strap</t>
        </is>
      </c>
      <c r="C71" t="inlineStr">
        <is>
          <t>1SlSH923TN</t>
        </is>
      </c>
      <c r="D71" t="inlineStr">
        <is>
          <t>Hats</t>
        </is>
      </c>
      <c r="E71" t="inlineStr">
        <is>
          <t>Solaris</t>
        </is>
      </c>
      <c r="F71" t="inlineStr">
        <is>
          <t>Q2-Target,WFS</t>
        </is>
      </c>
      <c r="G71" s="48" t="n">
        <v>31.98</v>
      </c>
      <c r="H71" s="49" t="n">
        <v>2</v>
      </c>
      <c r="I71" s="49" t="n">
        <v>58</v>
      </c>
      <c r="J71" s="50" t="n">
        <v>0.03448275862068965</v>
      </c>
      <c r="K71" s="51" t="n">
        <v>93</v>
      </c>
      <c r="L71" s="52" t="n">
        <v>28.86</v>
      </c>
      <c r="M71" s="52" t="n">
        <v>43.97</v>
      </c>
      <c r="N71" s="52" t="n">
        <v>1.52</v>
      </c>
      <c r="O71" s="53" t="n">
        <v>0.0031</v>
      </c>
      <c r="P71" s="52" t="n">
        <v>0.3103225806451613</v>
      </c>
      <c r="Q71" s="53" t="n">
        <v>0.9024390243902439</v>
      </c>
      <c r="R71" s="52" t="n">
        <v>15.99</v>
      </c>
      <c r="S71" s="51" t="n">
        <v>29653</v>
      </c>
      <c r="T71" s="48" t="n">
        <v>134.91</v>
      </c>
      <c r="U71" s="49" t="n">
        <v>8</v>
      </c>
      <c r="V71" s="49" t="n">
        <v>46</v>
      </c>
      <c r="W71" s="50" t="n">
        <v>0.1739130434782609</v>
      </c>
      <c r="X71" s="51" t="n">
        <v>71</v>
      </c>
      <c r="Y71" s="52" t="n">
        <v>22.09</v>
      </c>
      <c r="Z71" s="52" t="n">
        <v>155.9</v>
      </c>
      <c r="AA71" s="52" t="n">
        <v>7.06</v>
      </c>
      <c r="AB71" s="53" t="n">
        <v>0.0024</v>
      </c>
      <c r="AC71" s="52" t="n">
        <v>0.3111267605633803</v>
      </c>
      <c r="AD71" s="53" t="n">
        <v>0.1637387888221778</v>
      </c>
      <c r="AE71" s="52" t="n">
        <v>16.86375</v>
      </c>
      <c r="AF71" s="51" t="n">
        <v>29652</v>
      </c>
      <c r="AG71" s="48" t="n">
        <v>38.97</v>
      </c>
      <c r="AH71" s="49" t="n">
        <v>2</v>
      </c>
      <c r="AI71" s="49" t="n">
        <v>37</v>
      </c>
      <c r="AJ71" s="50" t="n">
        <v>0.05405405405405406</v>
      </c>
      <c r="AK71" s="51" t="n">
        <v>74</v>
      </c>
      <c r="AL71" s="52" t="n">
        <v>23.09</v>
      </c>
      <c r="AM71" s="52" t="n">
        <v>97.93999999999998</v>
      </c>
      <c r="AN71" s="52" t="n">
        <v>4.24</v>
      </c>
      <c r="AO71" s="53" t="n">
        <v>0.0024</v>
      </c>
      <c r="AP71" s="52" t="n">
        <v>0.312027027027027</v>
      </c>
      <c r="AQ71" s="53" t="n">
        <v>0.59250705671029</v>
      </c>
      <c r="AR71" s="52" t="n">
        <v>19.485</v>
      </c>
      <c r="AS71" s="51" t="n">
        <v>30445</v>
      </c>
      <c r="AT71" s="48" t="n">
        <v>15.99</v>
      </c>
      <c r="AU71" s="49" t="n">
        <v>1</v>
      </c>
      <c r="AV71" s="49" t="n">
        <v>27</v>
      </c>
      <c r="AW71" s="50" t="n">
        <v>0.03703703703703703</v>
      </c>
      <c r="AX71" s="51" t="n">
        <v>58</v>
      </c>
      <c r="AY71" s="52" t="n">
        <v>18.16</v>
      </c>
      <c r="AZ71" s="52" t="n">
        <v>81.94999999999999</v>
      </c>
      <c r="BA71" s="52" t="n">
        <v>4.51</v>
      </c>
      <c r="BB71" s="53" t="n">
        <v>0.0026</v>
      </c>
      <c r="BC71" s="52" t="n">
        <v>0.3131034482758621</v>
      </c>
      <c r="BD71" s="53" t="n">
        <v>1.135709818636648</v>
      </c>
      <c r="BE71" s="52" t="n">
        <v>15.99</v>
      </c>
      <c r="BF71" s="51" t="n">
        <v>22079</v>
      </c>
    </row>
    <row r="72">
      <c r="A72">
        <f>HYPERLINK("https://www.walmart.com/ip/563387065", "563387065")</f>
        <v/>
      </c>
      <c r="B72" t="inlineStr">
        <is>
          <t>Pawsse Waterproof Pet Blanket, Pee Urine Proof Dog Blanket Cover for Couch Bed Furniture Protector, Liquid Proof Blanket for Small Medium Dogs, 50” x 30”, Gray/Tuape</t>
        </is>
      </c>
      <c r="C72" t="inlineStr">
        <is>
          <t>1PSBW351GYTP</t>
        </is>
      </c>
      <c r="D72" t="inlineStr">
        <is>
          <t>Pet Blankets</t>
        </is>
      </c>
      <c r="E72" t="inlineStr">
        <is>
          <t>Pawsse</t>
        </is>
      </c>
      <c r="F72" t="inlineStr">
        <is>
          <t>Q2-Target,Batch 1 - TR</t>
        </is>
      </c>
      <c r="G72" s="48" t="n">
        <v>31.98</v>
      </c>
      <c r="H72" s="49" t="n">
        <v>2</v>
      </c>
      <c r="I72" s="49" t="n">
        <v>30</v>
      </c>
      <c r="J72" s="50" t="n">
        <v>0.06666666666666667</v>
      </c>
      <c r="K72" s="51" t="n">
        <v>50</v>
      </c>
      <c r="L72" s="52" t="n">
        <v>21.61</v>
      </c>
      <c r="M72" s="52" t="n">
        <v>57.97</v>
      </c>
      <c r="N72" s="52" t="n">
        <v>2.68</v>
      </c>
      <c r="O72" s="53" t="n">
        <v>0.0106</v>
      </c>
      <c r="P72" s="52" t="n">
        <v>0.4322</v>
      </c>
      <c r="Q72" s="53" t="n">
        <v>0.6757348342714196</v>
      </c>
      <c r="R72" s="52" t="n">
        <v>15.99</v>
      </c>
      <c r="S72" s="51" t="n">
        <v>4734</v>
      </c>
      <c r="T72" s="48" t="n">
        <v>47.97</v>
      </c>
      <c r="U72" s="49" t="n">
        <v>3</v>
      </c>
      <c r="V72" s="49" t="n">
        <v>30</v>
      </c>
      <c r="W72" s="50" t="n">
        <v>0.1</v>
      </c>
      <c r="X72" s="51" t="n">
        <v>55</v>
      </c>
      <c r="Y72" s="52" t="n">
        <v>24.76</v>
      </c>
      <c r="Z72" s="52" t="n">
        <v>47.97</v>
      </c>
      <c r="AA72" s="52" t="n">
        <v>1.94</v>
      </c>
      <c r="AB72" s="53" t="n">
        <v>0.0097</v>
      </c>
      <c r="AC72" s="52" t="n">
        <v>0.4501818181818181</v>
      </c>
      <c r="AD72" s="53" t="n">
        <v>0.5161559307900772</v>
      </c>
      <c r="AE72" s="52" t="n">
        <v>15.99</v>
      </c>
      <c r="AF72" s="51" t="n">
        <v>5680</v>
      </c>
      <c r="AG72" s="48" t="n">
        <v>70.95</v>
      </c>
      <c r="AH72" s="49" t="n">
        <v>4</v>
      </c>
      <c r="AI72" s="49" t="n">
        <v>29</v>
      </c>
      <c r="AJ72" s="50" t="n">
        <v>0.1379310344827586</v>
      </c>
      <c r="AK72" s="51" t="n">
        <v>71</v>
      </c>
      <c r="AL72" s="52" t="n">
        <v>32.28</v>
      </c>
      <c r="AM72" s="52" t="n">
        <v>121.93</v>
      </c>
      <c r="AN72" s="52" t="n">
        <v>3.78</v>
      </c>
      <c r="AO72" s="53" t="n">
        <v>0.0113</v>
      </c>
      <c r="AP72" s="52" t="n">
        <v>0.4546478873239437</v>
      </c>
      <c r="AQ72" s="53" t="n">
        <v>0.454968287526427</v>
      </c>
      <c r="AR72" s="52" t="n">
        <v>17.7375</v>
      </c>
      <c r="AS72" s="51" t="n">
        <v>6297</v>
      </c>
      <c r="AT72" s="48" t="n">
        <v>102.93</v>
      </c>
      <c r="AU72" s="49" t="n">
        <v>6</v>
      </c>
      <c r="AV72" s="49" t="n">
        <v>19</v>
      </c>
      <c r="AW72" s="50" t="n">
        <v>0.3157894736842105</v>
      </c>
      <c r="AX72" s="51" t="n">
        <v>83</v>
      </c>
      <c r="AY72" s="52" t="n">
        <v>37.98</v>
      </c>
      <c r="AZ72" s="52" t="n">
        <v>111.93</v>
      </c>
      <c r="BA72" s="52" t="n">
        <v>2.95</v>
      </c>
      <c r="BB72" s="53" t="n">
        <v>0.0137</v>
      </c>
      <c r="BC72" s="52" t="n">
        <v>0.4575903614457832</v>
      </c>
      <c r="BD72" s="53" t="n">
        <v>0.3689886330515885</v>
      </c>
      <c r="BE72" s="52" t="n">
        <v>17.155</v>
      </c>
      <c r="BF72" s="51" t="n">
        <v>6051</v>
      </c>
    </row>
    <row r="73">
      <c r="A73">
        <f>HYPERLINK("https://www.walmart.com/ip/873609379", "873609379")</f>
        <v/>
      </c>
      <c r="B73" t="inlineStr">
        <is>
          <t>Fleece Blanket Wearable with Sleeves &amp; Foot pockets for Men and Women, Micro Plush Wrap Sleeved Throw Blanket Robe Multi-Colors 75”x53” by Catalonia</t>
        </is>
      </c>
      <c r="C73" t="inlineStr">
        <is>
          <t>1CTSN101BR</t>
        </is>
      </c>
      <c r="D73" t="inlineStr">
        <is>
          <t>Throws</t>
        </is>
      </c>
      <c r="E73" t="inlineStr">
        <is>
          <t>Catalonia</t>
        </is>
      </c>
      <c r="F73" t="inlineStr">
        <is>
          <t>Q2-Target,WFS,Coupon_Discount,WFS Item</t>
        </is>
      </c>
      <c r="G73" s="48" t="n">
        <v>30.98</v>
      </c>
      <c r="H73" s="49" t="n">
        <v>1</v>
      </c>
      <c r="I73" s="49" t="n">
        <v>0</v>
      </c>
      <c r="J73" s="50" t="n">
        <v>0</v>
      </c>
      <c r="K73" s="51" t="n">
        <v>4</v>
      </c>
      <c r="L73" s="52" t="n">
        <v>1.76</v>
      </c>
      <c r="M73" s="52" t="n">
        <v>0</v>
      </c>
      <c r="N73" s="52" t="n">
        <v>0</v>
      </c>
      <c r="O73" s="53" t="n">
        <v>0.0021</v>
      </c>
      <c r="P73" s="52" t="n">
        <v>0.44</v>
      </c>
      <c r="Q73" s="53" t="n">
        <v>0.05681084570690768</v>
      </c>
      <c r="R73" s="52" t="n">
        <v>30.98</v>
      </c>
      <c r="S73" s="51" t="n">
        <v>1892</v>
      </c>
      <c r="T73" s="48" t="n">
        <v>23.99</v>
      </c>
      <c r="U73" s="49" t="n">
        <v>1</v>
      </c>
      <c r="V73" s="49" t="n">
        <v>0</v>
      </c>
      <c r="W73" s="50" t="n">
        <v>0</v>
      </c>
      <c r="X73" s="51" t="n">
        <v>5</v>
      </c>
      <c r="Y73" s="52" t="n">
        <v>1.85</v>
      </c>
      <c r="Z73" s="52" t="n">
        <v>23.99</v>
      </c>
      <c r="AA73" s="52" t="n">
        <v>12.97</v>
      </c>
      <c r="AB73" s="53" t="n">
        <v>0.0044</v>
      </c>
      <c r="AC73" s="52" t="n">
        <v>0.37</v>
      </c>
      <c r="AD73" s="53" t="n">
        <v>0.07711546477699041</v>
      </c>
      <c r="AE73" s="52" t="n">
        <v>23.99</v>
      </c>
      <c r="AF73" s="51" t="n">
        <v>1138</v>
      </c>
      <c r="AG73" s="48" t="n">
        <v>0</v>
      </c>
      <c r="AH73" s="49" t="n">
        <v>0</v>
      </c>
      <c r="AI73" s="49" t="n">
        <v>0</v>
      </c>
      <c r="AJ73" s="50" t="n">
        <v>0</v>
      </c>
      <c r="AK73" s="51" t="n">
        <v>3</v>
      </c>
      <c r="AL73" s="52" t="n">
        <v>1.32</v>
      </c>
      <c r="AM73" s="52" t="n">
        <v>0</v>
      </c>
      <c r="AN73" s="52" t="n">
        <v>0</v>
      </c>
      <c r="AO73" s="53" t="n">
        <v>0.0033</v>
      </c>
      <c r="AP73" s="52" t="n">
        <v>0.44</v>
      </c>
      <c r="AQ73" s="53" t="n">
        <v>0</v>
      </c>
      <c r="AR73" s="52" t="n">
        <v>0</v>
      </c>
      <c r="AS73" s="51" t="n">
        <v>912</v>
      </c>
      <c r="AT73" s="48" t="n">
        <v>0</v>
      </c>
      <c r="AU73" s="49" t="n">
        <v>0</v>
      </c>
      <c r="AV73" s="49" t="n">
        <v>0</v>
      </c>
      <c r="AW73" s="50" t="n">
        <v>0</v>
      </c>
      <c r="AX73" s="51" t="n">
        <v>5</v>
      </c>
      <c r="AY73" s="52" t="n">
        <v>2.2</v>
      </c>
      <c r="AZ73" s="52" t="n">
        <v>0</v>
      </c>
      <c r="BA73" s="52" t="n">
        <v>0</v>
      </c>
      <c r="BB73" s="53" t="n">
        <v>0.0017</v>
      </c>
      <c r="BC73" s="52" t="n">
        <v>0.4400000000000001</v>
      </c>
      <c r="BD73" s="53" t="n">
        <v>0</v>
      </c>
      <c r="BE73" s="52" t="n">
        <v>0</v>
      </c>
      <c r="BF73" s="51" t="n">
        <v>2980</v>
      </c>
    </row>
    <row r="74">
      <c r="A74">
        <f>HYPERLINK("https://www.walmart.com/ip/908265210", "908265210")</f>
        <v/>
      </c>
      <c r="B74" t="inlineStr">
        <is>
          <t>Tirrinia Waterproof Outdoor Blanket with Sherpa Lining, Windproof Triple Layers Warm Comfy Foldable for Camping  Stadium, Sports, Picnic, Grass, Concerts, Pet, 51''X 59'',Light Grey</t>
        </is>
      </c>
      <c r="C74" t="inlineStr">
        <is>
          <t>1TRBW506LGDG-CDCB</t>
        </is>
      </c>
      <c r="D74" t="inlineStr">
        <is>
          <t>Picnic Blankets &amp; Mats</t>
        </is>
      </c>
      <c r="E74" t="inlineStr">
        <is>
          <t>Tirrinia</t>
        </is>
      </c>
      <c r="F74" t="inlineStr">
        <is>
          <t>Optimized,SEM</t>
        </is>
      </c>
      <c r="G74" s="48" t="n">
        <v>29.99</v>
      </c>
      <c r="H74" s="49" t="n">
        <v>1</v>
      </c>
      <c r="I74" s="49" t="n">
        <v>4</v>
      </c>
      <c r="J74" s="50" t="n">
        <v>0.25</v>
      </c>
      <c r="K74" s="51" t="n">
        <v>6</v>
      </c>
      <c r="L74" s="52" t="n">
        <v>2.03</v>
      </c>
      <c r="M74" s="52" t="n">
        <v>0</v>
      </c>
      <c r="N74" s="52" t="n">
        <v>0</v>
      </c>
      <c r="O74" s="53" t="n">
        <v>0.0028</v>
      </c>
      <c r="P74" s="52" t="n">
        <v>0.3383333333333333</v>
      </c>
      <c r="Q74" s="53" t="n">
        <v>0.06768922974324774</v>
      </c>
      <c r="R74" s="52" t="n">
        <v>29.99</v>
      </c>
      <c r="S74" s="51" t="n">
        <v>2175</v>
      </c>
      <c r="T74" s="48" t="n">
        <v>29.99</v>
      </c>
      <c r="U74" s="49" t="n">
        <v>1</v>
      </c>
      <c r="V74" s="49" t="n">
        <v>6</v>
      </c>
      <c r="W74" s="50" t="n">
        <v>0.1666666666666667</v>
      </c>
      <c r="X74" s="51" t="n">
        <v>11</v>
      </c>
      <c r="Y74" s="52" t="n">
        <v>5.17</v>
      </c>
      <c r="Z74" s="52" t="n">
        <v>0</v>
      </c>
      <c r="AA74" s="52" t="n">
        <v>0</v>
      </c>
      <c r="AB74" s="53" t="n">
        <v>0.0032</v>
      </c>
      <c r="AC74" s="52" t="n">
        <v>0.47</v>
      </c>
      <c r="AD74" s="53" t="n">
        <v>0.1723907969323108</v>
      </c>
      <c r="AE74" s="52" t="n">
        <v>29.99</v>
      </c>
      <c r="AF74" s="51" t="n">
        <v>3392</v>
      </c>
      <c r="AG74" s="48" t="n">
        <v>27.99</v>
      </c>
      <c r="AH74" s="49" t="n">
        <v>1</v>
      </c>
      <c r="AI74" s="49" t="n">
        <v>5</v>
      </c>
      <c r="AJ74" s="50" t="n">
        <v>0.2</v>
      </c>
      <c r="AK74" s="51" t="n">
        <v>10</v>
      </c>
      <c r="AL74" s="52" t="n">
        <v>4.13</v>
      </c>
      <c r="AM74" s="52" t="n">
        <v>27.99</v>
      </c>
      <c r="AN74" s="52" t="n">
        <v>6.78</v>
      </c>
      <c r="AO74" s="53" t="n">
        <v>0.0028</v>
      </c>
      <c r="AP74" s="52" t="n">
        <v>0.413</v>
      </c>
      <c r="AQ74" s="53" t="n">
        <v>0.1475526973919257</v>
      </c>
      <c r="AR74" s="52" t="n">
        <v>27.99</v>
      </c>
      <c r="AS74" s="51" t="n">
        <v>3575</v>
      </c>
      <c r="AT74" s="48" t="n">
        <v>27.99</v>
      </c>
      <c r="AU74" s="49" t="n">
        <v>1</v>
      </c>
      <c r="AV74" s="49" t="n">
        <v>7</v>
      </c>
      <c r="AW74" s="50" t="n">
        <v>0.1428571428571428</v>
      </c>
      <c r="AX74" s="51" t="n">
        <v>42</v>
      </c>
      <c r="AY74" s="52" t="n">
        <v>17.81</v>
      </c>
      <c r="AZ74" s="52" t="n">
        <v>25.99</v>
      </c>
      <c r="BA74" s="52" t="n">
        <v>1.46</v>
      </c>
      <c r="BB74" s="53" t="n">
        <v>0.0045</v>
      </c>
      <c r="BC74" s="52" t="n">
        <v>0.4240476190476191</v>
      </c>
      <c r="BD74" s="53" t="n">
        <v>0.6362986780993213</v>
      </c>
      <c r="BE74" s="52" t="n">
        <v>27.99</v>
      </c>
      <c r="BF74" s="51" t="n">
        <v>9285</v>
      </c>
    </row>
    <row r="75">
      <c r="A75">
        <f>HYPERLINK("https://www.walmart.com/ip/1339831181", "1339831181")</f>
        <v/>
      </c>
      <c r="B75" t="inlineStr">
        <is>
          <t>Tirrinia Waterproof Outdoor Blanket with Sherpa Lining, Windproof Triple Layers Warm Comfy Foldable for Camping Stadium, Sports, Picnic, Grass, Concerts, Machine Washable, Dark Green/Grey, Pet, 51''X 59''.</t>
        </is>
      </c>
      <c r="C75" t="inlineStr">
        <is>
          <t>1TRBW506GNBK</t>
        </is>
      </c>
      <c r="D75" t="inlineStr">
        <is>
          <t>Picnic Blankets &amp; Mats</t>
        </is>
      </c>
      <c r="E75" t="inlineStr">
        <is>
          <t>Tirrinia</t>
        </is>
      </c>
      <c r="F75" t="inlineStr">
        <is>
          <t>Q2-Target,Batch 1 - TR</t>
        </is>
      </c>
      <c r="G75" s="48" t="n">
        <v>29.99</v>
      </c>
      <c r="H75" s="49" t="n">
        <v>1</v>
      </c>
      <c r="I75" s="49" t="n">
        <v>5</v>
      </c>
      <c r="J75" s="50" t="n">
        <v>0.2</v>
      </c>
      <c r="K75" s="51" t="n">
        <v>21</v>
      </c>
      <c r="L75" s="52" t="n">
        <v>8.75</v>
      </c>
      <c r="M75" s="52" t="n">
        <v>0</v>
      </c>
      <c r="N75" s="52" t="n">
        <v>0</v>
      </c>
      <c r="O75" s="53" t="n">
        <v>0.0028</v>
      </c>
      <c r="P75" s="52" t="n">
        <v>0.4166666666666667</v>
      </c>
      <c r="Q75" s="53" t="n">
        <v>0.2917639213071024</v>
      </c>
      <c r="R75" s="52" t="n">
        <v>29.99</v>
      </c>
      <c r="S75" s="51" t="n">
        <v>7473</v>
      </c>
      <c r="T75" s="48" t="n">
        <v>0</v>
      </c>
      <c r="U75" s="49" t="n">
        <v>0</v>
      </c>
      <c r="V75" s="49" t="n">
        <v>1</v>
      </c>
      <c r="W75" s="50" t="n">
        <v>0</v>
      </c>
      <c r="X75" s="51" t="n">
        <v>13</v>
      </c>
      <c r="Y75" s="52" t="n">
        <v>5.5</v>
      </c>
      <c r="Z75" s="52" t="n">
        <v>0</v>
      </c>
      <c r="AA75" s="52" t="n">
        <v>0</v>
      </c>
      <c r="AB75" s="53" t="n">
        <v>0.0022</v>
      </c>
      <c r="AC75" s="52" t="n">
        <v>0.4230769230769231</v>
      </c>
      <c r="AD75" s="53" t="n">
        <v>0</v>
      </c>
      <c r="AE75" s="52" t="n">
        <v>0</v>
      </c>
      <c r="AF75" s="51" t="n">
        <v>5944</v>
      </c>
      <c r="AG75" s="48" t="n">
        <v>0</v>
      </c>
      <c r="AH75" s="49" t="n">
        <v>0</v>
      </c>
      <c r="AI75" s="49" t="n">
        <v>0</v>
      </c>
      <c r="AJ75" s="50" t="n">
        <v>0</v>
      </c>
      <c r="AK75" s="51" t="n">
        <v>0</v>
      </c>
      <c r="AL75" s="52" t="n">
        <v>0</v>
      </c>
      <c r="AM75" s="52" t="n">
        <v>0</v>
      </c>
      <c r="AN75" s="52" t="n">
        <v>0</v>
      </c>
      <c r="AO75" s="53" t="n">
        <v>0</v>
      </c>
      <c r="AP75" s="52" t="n">
        <v>0</v>
      </c>
      <c r="AQ75" s="53" t="n">
        <v>0</v>
      </c>
      <c r="AR75" s="52" t="n">
        <v>0</v>
      </c>
      <c r="AS75" s="51" t="n">
        <v>0</v>
      </c>
      <c r="AT75" s="48" t="n">
        <v>27.99</v>
      </c>
      <c r="AU75" s="49" t="n">
        <v>1</v>
      </c>
      <c r="AV75" s="49" t="n">
        <v>0</v>
      </c>
      <c r="AW75" s="50" t="n">
        <v>0</v>
      </c>
      <c r="AX75" s="51" t="n">
        <v>4</v>
      </c>
      <c r="AY75" s="52" t="n">
        <v>1.3</v>
      </c>
      <c r="AZ75" s="52" t="n">
        <v>0</v>
      </c>
      <c r="BA75" s="52" t="n">
        <v>0</v>
      </c>
      <c r="BB75" s="53" t="n">
        <v>0.0026</v>
      </c>
      <c r="BC75" s="52" t="n">
        <v>0.325</v>
      </c>
      <c r="BD75" s="53" t="n">
        <v>0.04644515898535192</v>
      </c>
      <c r="BE75" s="52" t="n">
        <v>27.99</v>
      </c>
      <c r="BF75" s="51" t="n">
        <v>1548</v>
      </c>
    </row>
    <row r="76">
      <c r="A76">
        <f>HYPERLINK("https://www.walmart.com/ip/889442605", "889442605")</f>
        <v/>
      </c>
      <c r="B76" t="inlineStr">
        <is>
          <t>Catalonia Waterproof Blanket for Baby, Pee Proof Pet Cover for Couch Bed, Reversible Sherpa Fleece Throws for Relaxing Traveling Camping, 60"x50", Buffale Red/Tuape</t>
        </is>
      </c>
      <c r="C76" t="inlineStr">
        <is>
          <t>1CTBW561BRTP</t>
        </is>
      </c>
      <c r="D76" t="inlineStr">
        <is>
          <t>Throws</t>
        </is>
      </c>
      <c r="E76" t="inlineStr">
        <is>
          <t>Catalonia</t>
        </is>
      </c>
      <c r="F76" t="inlineStr">
        <is>
          <t>Q2-Target,Optimized,Wproof Blanket</t>
        </is>
      </c>
      <c r="G76" s="48" t="n">
        <v>29.99</v>
      </c>
      <c r="H76" s="49" t="n">
        <v>1</v>
      </c>
      <c r="I76" s="49" t="n">
        <v>0</v>
      </c>
      <c r="J76" s="50" t="n">
        <v>0</v>
      </c>
      <c r="K76" s="51" t="n">
        <v>0</v>
      </c>
      <c r="L76" s="52" t="n">
        <v>0</v>
      </c>
      <c r="M76" s="52" t="n">
        <v>0</v>
      </c>
      <c r="N76" s="52" t="n">
        <v>0</v>
      </c>
      <c r="O76" s="53" t="n">
        <v>0</v>
      </c>
      <c r="P76" s="52" t="n">
        <v>0</v>
      </c>
      <c r="Q76" s="53" t="n">
        <v>0</v>
      </c>
      <c r="R76" s="52" t="n">
        <v>29.99</v>
      </c>
      <c r="S76" s="51" t="n">
        <v>96</v>
      </c>
      <c r="T76" s="48" t="n">
        <v>0</v>
      </c>
      <c r="U76" s="49" t="n">
        <v>0</v>
      </c>
      <c r="V76" s="49" t="n">
        <v>0</v>
      </c>
      <c r="W76" s="50" t="n">
        <v>0</v>
      </c>
      <c r="X76" s="51" t="n">
        <v>0</v>
      </c>
      <c r="Y76" s="52" t="n">
        <v>0</v>
      </c>
      <c r="Z76" s="52" t="n">
        <v>0</v>
      </c>
      <c r="AA76" s="52" t="n">
        <v>0</v>
      </c>
      <c r="AB76" s="53" t="n">
        <v>0</v>
      </c>
      <c r="AC76" s="52" t="n">
        <v>0</v>
      </c>
      <c r="AD76" s="53" t="n">
        <v>0</v>
      </c>
      <c r="AE76" s="52" t="n">
        <v>0</v>
      </c>
      <c r="AF76" s="51" t="n">
        <v>98</v>
      </c>
      <c r="AG76" s="48" t="n">
        <v>0</v>
      </c>
      <c r="AH76" s="49" t="n">
        <v>0</v>
      </c>
      <c r="AI76" s="49" t="n">
        <v>0</v>
      </c>
      <c r="AJ76" s="50" t="n">
        <v>0</v>
      </c>
      <c r="AK76" s="51" t="n">
        <v>0</v>
      </c>
      <c r="AL76" s="52" t="n">
        <v>0</v>
      </c>
      <c r="AM76" s="52" t="n">
        <v>0</v>
      </c>
      <c r="AN76" s="52" t="n">
        <v>0</v>
      </c>
      <c r="AO76" s="53" t="n">
        <v>0</v>
      </c>
      <c r="AP76" s="52" t="n">
        <v>0</v>
      </c>
      <c r="AQ76" s="53" t="n">
        <v>0</v>
      </c>
      <c r="AR76" s="52" t="n">
        <v>0</v>
      </c>
      <c r="AS76" s="51" t="n">
        <v>0</v>
      </c>
      <c r="AT76" s="48" t="n">
        <v>0</v>
      </c>
      <c r="AU76" s="49" t="n">
        <v>0</v>
      </c>
      <c r="AV76" s="49" t="n">
        <v>0</v>
      </c>
      <c r="AW76" s="50" t="n">
        <v>0</v>
      </c>
      <c r="AX76" s="51" t="n">
        <v>0</v>
      </c>
      <c r="AY76" s="52" t="n">
        <v>0</v>
      </c>
      <c r="AZ76" s="52" t="n">
        <v>0</v>
      </c>
      <c r="BA76" s="52" t="n">
        <v>0</v>
      </c>
      <c r="BB76" s="53" t="n">
        <v>0</v>
      </c>
      <c r="BC76" s="52" t="n">
        <v>0</v>
      </c>
      <c r="BD76" s="53" t="n">
        <v>0</v>
      </c>
      <c r="BE76" s="52" t="n">
        <v>0</v>
      </c>
      <c r="BF76" s="51" t="n">
        <v>44</v>
      </c>
    </row>
    <row r="77">
      <c r="A77">
        <f>HYPERLINK("https://www.walmart.com/ip/15438174665", "15438174665")</f>
        <v/>
      </c>
      <c r="B77" t="inlineStr">
        <is>
          <t>Wrangler Men’s Bifold Wallet Genuine Leather, RFID Blocking, Casual Everyday 10-20 Cards Purse with AirTag Holder, Gift for Him</t>
        </is>
      </c>
      <c r="C77" t="inlineStr">
        <is>
          <t>WR-WALLET-59007-BROWN</t>
        </is>
      </c>
      <c r="D77" t="inlineStr">
        <is>
          <t>Wallets</t>
        </is>
      </c>
      <c r="E77" t="inlineStr">
        <is>
          <t>Wrangler</t>
        </is>
      </c>
      <c r="G77" s="48" t="n">
        <v>29.99</v>
      </c>
      <c r="H77" s="49" t="n">
        <v>1</v>
      </c>
      <c r="I77" s="49" t="n">
        <v>2</v>
      </c>
      <c r="J77" s="50" t="n">
        <v>0.5</v>
      </c>
      <c r="K77" s="51" t="n">
        <v>0</v>
      </c>
      <c r="L77" s="52" t="n">
        <v>0</v>
      </c>
      <c r="M77" s="52" t="n">
        <v>0</v>
      </c>
      <c r="N77" s="52" t="n">
        <v>0</v>
      </c>
      <c r="O77" s="53" t="n">
        <v>0</v>
      </c>
      <c r="P77" s="52" t="n">
        <v>0</v>
      </c>
      <c r="Q77" s="53" t="n">
        <v>0</v>
      </c>
      <c r="R77" s="52" t="n">
        <v>29.99</v>
      </c>
      <c r="S77" s="51" t="n">
        <v>0</v>
      </c>
      <c r="T77" s="48" t="n">
        <v>29.99</v>
      </c>
      <c r="U77" s="49" t="n">
        <v>1</v>
      </c>
      <c r="V77" s="49" t="n">
        <v>2</v>
      </c>
      <c r="W77" s="50" t="n">
        <v>0.5</v>
      </c>
      <c r="X77" s="51" t="n">
        <v>0</v>
      </c>
      <c r="Y77" s="52" t="n">
        <v>0</v>
      </c>
      <c r="Z77" s="52" t="n">
        <v>0</v>
      </c>
      <c r="AA77" s="52" t="n">
        <v>0</v>
      </c>
      <c r="AB77" s="53" t="n">
        <v>0</v>
      </c>
      <c r="AC77" s="52" t="n">
        <v>0</v>
      </c>
      <c r="AD77" s="53" t="n">
        <v>0</v>
      </c>
      <c r="AE77" s="52" t="n">
        <v>29.99</v>
      </c>
      <c r="AF77" s="51" t="n">
        <v>0</v>
      </c>
      <c r="AG77" s="48" t="n">
        <v>29.99</v>
      </c>
      <c r="AH77" s="49" t="n">
        <v>1</v>
      </c>
      <c r="AI77" s="49" t="n">
        <v>2</v>
      </c>
      <c r="AJ77" s="50" t="n">
        <v>0.5</v>
      </c>
      <c r="AK77" s="51" t="n">
        <v>0</v>
      </c>
      <c r="AL77" s="52" t="n">
        <v>0</v>
      </c>
      <c r="AM77" s="52" t="n">
        <v>0</v>
      </c>
      <c r="AN77" s="52" t="n">
        <v>0</v>
      </c>
      <c r="AO77" s="53" t="n">
        <v>0</v>
      </c>
      <c r="AP77" s="52" t="n">
        <v>0</v>
      </c>
      <c r="AQ77" s="53" t="n">
        <v>0</v>
      </c>
      <c r="AR77" s="52" t="n">
        <v>29.99</v>
      </c>
      <c r="AS77" s="51" t="n">
        <v>0</v>
      </c>
      <c r="AT77" s="48" t="n">
        <v>59.98</v>
      </c>
      <c r="AU77" s="49" t="n">
        <v>2</v>
      </c>
      <c r="AV77" s="49" t="n">
        <v>3</v>
      </c>
      <c r="AW77" s="50" t="n">
        <v>0.6666666666666666</v>
      </c>
      <c r="AX77" s="51" t="n">
        <v>0</v>
      </c>
      <c r="AY77" s="52" t="n">
        <v>0</v>
      </c>
      <c r="AZ77" s="52" t="n">
        <v>0</v>
      </c>
      <c r="BA77" s="52" t="n">
        <v>0</v>
      </c>
      <c r="BB77" s="53" t="n">
        <v>0</v>
      </c>
      <c r="BC77" s="52" t="n">
        <v>0</v>
      </c>
      <c r="BD77" s="53" t="n">
        <v>0</v>
      </c>
      <c r="BE77" s="52" t="n">
        <v>29.99</v>
      </c>
      <c r="BF77" s="51" t="n">
        <v>0</v>
      </c>
    </row>
    <row r="78">
      <c r="A78">
        <f>HYPERLINK("https://www.walmart.com/ip/5595944476", "5595944476")</f>
        <v/>
      </c>
      <c r="B78" t="inlineStr">
        <is>
          <t>Tirrinia Large Cooler Bag,48 Cans Insulated Leakproof Soft Ice Chest, Portable Beach Cooler with Heavy-Duty Handles for Picnic, Beach, Camping, Road Trips</t>
        </is>
      </c>
      <c r="C78" t="inlineStr">
        <is>
          <t>1TRCB00148GNBK</t>
        </is>
      </c>
      <c r="D78" t="inlineStr">
        <is>
          <t>Soft-Sided Coolers</t>
        </is>
      </c>
      <c r="E78" t="inlineStr">
        <is>
          <t>Tirrinia</t>
        </is>
      </c>
      <c r="G78" s="48" t="n">
        <v>29.99</v>
      </c>
      <c r="H78" s="49" t="n">
        <v>1</v>
      </c>
      <c r="I78" s="49" t="n">
        <v>0</v>
      </c>
      <c r="J78" s="50" t="n">
        <v>0</v>
      </c>
      <c r="K78" s="51" t="n">
        <v>0</v>
      </c>
      <c r="L78" s="52" t="n">
        <v>0</v>
      </c>
      <c r="M78" s="52" t="n">
        <v>0</v>
      </c>
      <c r="N78" s="52" t="n">
        <v>0</v>
      </c>
      <c r="O78" s="53" t="n">
        <v>0</v>
      </c>
      <c r="P78" s="52" t="n">
        <v>0</v>
      </c>
      <c r="Q78" s="53" t="n">
        <v>0</v>
      </c>
      <c r="R78" s="52" t="n">
        <v>29.99</v>
      </c>
      <c r="S78" s="51" t="n">
        <v>0</v>
      </c>
      <c r="T78" s="48" t="n">
        <v>29.99</v>
      </c>
      <c r="U78" s="49" t="n">
        <v>1</v>
      </c>
      <c r="V78" s="49" t="n">
        <v>0</v>
      </c>
      <c r="W78" s="50" t="n">
        <v>0</v>
      </c>
      <c r="X78" s="51" t="n">
        <v>0</v>
      </c>
      <c r="Y78" s="52" t="n">
        <v>0</v>
      </c>
      <c r="Z78" s="52" t="n">
        <v>0</v>
      </c>
      <c r="AA78" s="52" t="n">
        <v>0</v>
      </c>
      <c r="AB78" s="53" t="n">
        <v>0</v>
      </c>
      <c r="AC78" s="52" t="n">
        <v>0</v>
      </c>
      <c r="AD78" s="53" t="n">
        <v>0</v>
      </c>
      <c r="AE78" s="52" t="n">
        <v>29.99</v>
      </c>
      <c r="AF78" s="51" t="n">
        <v>0</v>
      </c>
      <c r="AG78" s="48" t="n">
        <v>29.99</v>
      </c>
      <c r="AH78" s="49" t="n">
        <v>1</v>
      </c>
      <c r="AI78" s="49" t="n">
        <v>0</v>
      </c>
      <c r="AJ78" s="50" t="n">
        <v>0</v>
      </c>
      <c r="AK78" s="51" t="n">
        <v>0</v>
      </c>
      <c r="AL78" s="52" t="n">
        <v>0</v>
      </c>
      <c r="AM78" s="52" t="n">
        <v>0</v>
      </c>
      <c r="AN78" s="52" t="n">
        <v>0</v>
      </c>
      <c r="AO78" s="53" t="n">
        <v>0</v>
      </c>
      <c r="AP78" s="52" t="n">
        <v>0</v>
      </c>
      <c r="AQ78" s="53" t="n">
        <v>0</v>
      </c>
      <c r="AR78" s="52" t="n">
        <v>29.99</v>
      </c>
      <c r="AS78" s="51" t="n">
        <v>0</v>
      </c>
      <c r="AT78" s="48" t="n">
        <v>0</v>
      </c>
      <c r="AU78" s="49" t="n">
        <v>0</v>
      </c>
      <c r="AV78" s="49" t="n">
        <v>0</v>
      </c>
      <c r="AW78" s="50" t="n">
        <v>0</v>
      </c>
      <c r="AX78" s="51" t="n">
        <v>0</v>
      </c>
      <c r="AY78" s="52" t="n">
        <v>0</v>
      </c>
      <c r="AZ78" s="52" t="n">
        <v>0</v>
      </c>
      <c r="BA78" s="52" t="n">
        <v>0</v>
      </c>
      <c r="BB78" s="53" t="n">
        <v>0</v>
      </c>
      <c r="BC78" s="52" t="n">
        <v>0</v>
      </c>
      <c r="BD78" s="53" t="n">
        <v>0</v>
      </c>
      <c r="BE78" s="52" t="n">
        <v>0</v>
      </c>
      <c r="BF78" s="51" t="n">
        <v>0</v>
      </c>
    </row>
    <row r="79">
      <c r="A79">
        <f>HYPERLINK("https://www.walmart.com/ip/260397586", "260397586")</f>
        <v/>
      </c>
      <c r="B79" t="inlineStr">
        <is>
          <t>Premium Plush Fleece Snuggie Blanket Reversible Soft Sherpa Waterproof Throws</t>
        </is>
      </c>
      <c r="C79" t="inlineStr">
        <is>
          <t>1CTBW561LGDG</t>
        </is>
      </c>
      <c r="D79" t="inlineStr">
        <is>
          <t>Throws</t>
        </is>
      </c>
      <c r="E79" t="inlineStr">
        <is>
          <t>Catalonia</t>
        </is>
      </c>
      <c r="F79" t="inlineStr">
        <is>
          <t>Optimized,Wproof Blanket</t>
        </is>
      </c>
      <c r="G79" s="48" t="n">
        <v>29.99</v>
      </c>
      <c r="H79" s="49" t="n">
        <v>1</v>
      </c>
      <c r="I79" s="49" t="n">
        <v>8</v>
      </c>
      <c r="J79" s="50" t="n">
        <v>0.125</v>
      </c>
      <c r="K79" s="51" t="n">
        <v>6</v>
      </c>
      <c r="L79" s="52" t="n">
        <v>2.88</v>
      </c>
      <c r="M79" s="52" t="n">
        <v>0</v>
      </c>
      <c r="N79" s="52" t="n">
        <v>0</v>
      </c>
      <c r="O79" s="53" t="n">
        <v>0.0005</v>
      </c>
      <c r="P79" s="52" t="n">
        <v>0.48</v>
      </c>
      <c r="Q79" s="53" t="n">
        <v>0.09603201067022341</v>
      </c>
      <c r="R79" s="52" t="n">
        <v>29.99</v>
      </c>
      <c r="S79" s="51" t="n">
        <v>12726</v>
      </c>
      <c r="T79" s="48" t="n">
        <v>29.99</v>
      </c>
      <c r="U79" s="49" t="n">
        <v>1</v>
      </c>
      <c r="V79" s="49" t="n">
        <v>6</v>
      </c>
      <c r="W79" s="50" t="n">
        <v>0.1666666666666667</v>
      </c>
      <c r="X79" s="51" t="n">
        <v>6</v>
      </c>
      <c r="Y79" s="52" t="n">
        <v>2.86</v>
      </c>
      <c r="Z79" s="52" t="n">
        <v>29.99</v>
      </c>
      <c r="AA79" s="52" t="n">
        <v>10.49</v>
      </c>
      <c r="AB79" s="53" t="n">
        <v>0.0005</v>
      </c>
      <c r="AC79" s="52" t="n">
        <v>0.4766666666666666</v>
      </c>
      <c r="AD79" s="53" t="n">
        <v>0.09536512170723574</v>
      </c>
      <c r="AE79" s="52" t="n">
        <v>29.99</v>
      </c>
      <c r="AF79" s="51" t="n">
        <v>11160</v>
      </c>
      <c r="AG79" s="48" t="n">
        <v>66.97</v>
      </c>
      <c r="AH79" s="49" t="n">
        <v>2</v>
      </c>
      <c r="AI79" s="49" t="n">
        <v>6</v>
      </c>
      <c r="AJ79" s="50" t="n">
        <v>0.3333333333333333</v>
      </c>
      <c r="AK79" s="51" t="n">
        <v>8</v>
      </c>
      <c r="AL79" s="52" t="n">
        <v>3.38</v>
      </c>
      <c r="AM79" s="52" t="n">
        <v>0</v>
      </c>
      <c r="AN79" s="52" t="n">
        <v>0</v>
      </c>
      <c r="AO79" s="53" t="n">
        <v>0.0005999999999999999</v>
      </c>
      <c r="AP79" s="52" t="n">
        <v>0.4225</v>
      </c>
      <c r="AQ79" s="53" t="n">
        <v>0.05047035986262505</v>
      </c>
      <c r="AR79" s="52" t="n">
        <v>33.485</v>
      </c>
      <c r="AS79" s="51" t="n">
        <v>13796</v>
      </c>
      <c r="AT79" s="48" t="n">
        <v>0</v>
      </c>
      <c r="AU79" s="49" t="n">
        <v>0</v>
      </c>
      <c r="AV79" s="49" t="n">
        <v>6</v>
      </c>
      <c r="AW79" s="50" t="n">
        <v>0</v>
      </c>
      <c r="AX79" s="51" t="n">
        <v>6</v>
      </c>
      <c r="AY79" s="52" t="n">
        <v>2.22</v>
      </c>
      <c r="AZ79" s="52" t="n">
        <v>0</v>
      </c>
      <c r="BA79" s="52" t="n">
        <v>0</v>
      </c>
      <c r="BB79" s="53" t="n">
        <v>0.0005</v>
      </c>
      <c r="BC79" s="52" t="n">
        <v>0.3699999999999999</v>
      </c>
      <c r="BD79" s="53" t="n">
        <v>0</v>
      </c>
      <c r="BE79" s="52" t="n">
        <v>0</v>
      </c>
      <c r="BF79" s="51" t="n">
        <v>12918</v>
      </c>
    </row>
    <row r="80">
      <c r="A80">
        <f>HYPERLINK("https://www.walmart.com/ip/346915715", "346915715")</f>
        <v/>
      </c>
      <c r="B80" t="inlineStr">
        <is>
          <t>Kato Outdoors Waterproof Throw Blanket, Stadium Windproof Sherpa Fleece Blanket For Traveling, Camping, Hiking, and Football, Machine Washable, Red Plaid, 51'' x 59''</t>
        </is>
      </c>
      <c r="C80" t="inlineStr">
        <is>
          <t>1KTBW506PRD</t>
        </is>
      </c>
      <c r="D80" t="inlineStr">
        <is>
          <t>Throws</t>
        </is>
      </c>
      <c r="E80" t="inlineStr">
        <is>
          <t>Kato</t>
        </is>
      </c>
      <c r="F80" t="inlineStr">
        <is>
          <t>Optimized</t>
        </is>
      </c>
      <c r="G80" s="48" t="n">
        <v>29.99</v>
      </c>
      <c r="H80" s="49" t="n">
        <v>1</v>
      </c>
      <c r="I80" s="49" t="n">
        <v>7</v>
      </c>
      <c r="J80" s="50" t="n">
        <v>0.1428571428571428</v>
      </c>
      <c r="K80" s="51" t="n">
        <v>11</v>
      </c>
      <c r="L80" s="52" t="n">
        <v>2.31</v>
      </c>
      <c r="M80" s="52" t="n">
        <v>29.99</v>
      </c>
      <c r="N80" s="52" t="n">
        <v>12.98</v>
      </c>
      <c r="O80" s="53" t="n">
        <v>0.0059</v>
      </c>
      <c r="P80" s="52" t="n">
        <v>0.21</v>
      </c>
      <c r="Q80" s="53" t="n">
        <v>0.07702567522507503</v>
      </c>
      <c r="R80" s="52" t="n">
        <v>29.99</v>
      </c>
      <c r="S80" s="51" t="n">
        <v>1869</v>
      </c>
      <c r="T80" s="48" t="n">
        <v>0</v>
      </c>
      <c r="U80" s="49" t="n">
        <v>0</v>
      </c>
      <c r="V80" s="49" t="n">
        <v>6</v>
      </c>
      <c r="W80" s="50" t="n">
        <v>0</v>
      </c>
      <c r="X80" s="51" t="n">
        <v>9</v>
      </c>
      <c r="Y80" s="52" t="n">
        <v>1.89</v>
      </c>
      <c r="Z80" s="52" t="n">
        <v>0</v>
      </c>
      <c r="AA80" s="52" t="n">
        <v>0</v>
      </c>
      <c r="AB80" s="53" t="n">
        <v>0.0048</v>
      </c>
      <c r="AC80" s="52" t="n">
        <v>0.21</v>
      </c>
      <c r="AD80" s="53" t="n">
        <v>0</v>
      </c>
      <c r="AE80" s="52" t="n">
        <v>0</v>
      </c>
      <c r="AF80" s="51" t="n">
        <v>1858</v>
      </c>
      <c r="AG80" s="48" t="n">
        <v>26.99</v>
      </c>
      <c r="AH80" s="49" t="n">
        <v>1</v>
      </c>
      <c r="AI80" s="49" t="n">
        <v>7</v>
      </c>
      <c r="AJ80" s="50" t="n">
        <v>0.1428571428571428</v>
      </c>
      <c r="AK80" s="51" t="n">
        <v>20</v>
      </c>
      <c r="AL80" s="52" t="n">
        <v>4.17</v>
      </c>
      <c r="AM80" s="52" t="n">
        <v>0</v>
      </c>
      <c r="AN80" s="52" t="n">
        <v>0</v>
      </c>
      <c r="AO80" s="53" t="n">
        <v>0.0066</v>
      </c>
      <c r="AP80" s="52" t="n">
        <v>0.2085</v>
      </c>
      <c r="AQ80" s="53" t="n">
        <v>0.1545016672841793</v>
      </c>
      <c r="AR80" s="52" t="n">
        <v>26.99</v>
      </c>
      <c r="AS80" s="51" t="n">
        <v>3037</v>
      </c>
      <c r="AT80" s="48" t="n">
        <v>60.97</v>
      </c>
      <c r="AU80" s="49" t="n">
        <v>2</v>
      </c>
      <c r="AV80" s="49" t="n">
        <v>5</v>
      </c>
      <c r="AW80" s="50" t="n">
        <v>0.4</v>
      </c>
      <c r="AX80" s="51" t="n">
        <v>11</v>
      </c>
      <c r="AY80" s="52" t="n">
        <v>2.3</v>
      </c>
      <c r="AZ80" s="52" t="n">
        <v>26.99</v>
      </c>
      <c r="BA80" s="52" t="n">
        <v>11.73</v>
      </c>
      <c r="BB80" s="53" t="n">
        <v>0.0059</v>
      </c>
      <c r="BC80" s="52" t="n">
        <v>0.2090909090909091</v>
      </c>
      <c r="BD80" s="53" t="n">
        <v>0.03772347055929146</v>
      </c>
      <c r="BE80" s="52" t="n">
        <v>30.485</v>
      </c>
      <c r="BF80" s="51" t="n">
        <v>1867</v>
      </c>
    </row>
    <row r="81">
      <c r="A81">
        <f>HYPERLINK("https://www.walmart.com/ip/5232716740", "5232716740")</f>
        <v/>
      </c>
      <c r="B81" t="inlineStr">
        <is>
          <t>Catalonia Waterproof Blanket for Couch, Reversible Washable Sofa Bed Coverlet Protector | Leak Proof, Comfortable | for People and Pets, 50" x 60", Grey/Taupe</t>
        </is>
      </c>
      <c r="C81" t="inlineStr">
        <is>
          <t>1CTBW565GYTP</t>
        </is>
      </c>
      <c r="D81" t="inlineStr">
        <is>
          <t>Throws</t>
        </is>
      </c>
      <c r="E81" t="inlineStr">
        <is>
          <t>Catalonia</t>
        </is>
      </c>
      <c r="G81" s="48" t="n">
        <v>29.99</v>
      </c>
      <c r="H81" s="49" t="n">
        <v>1</v>
      </c>
      <c r="I81" s="49" t="n">
        <v>3</v>
      </c>
      <c r="J81" s="50" t="n">
        <v>0.3333333333333333</v>
      </c>
      <c r="K81" s="51" t="n">
        <v>0</v>
      </c>
      <c r="L81" s="52" t="n">
        <v>0</v>
      </c>
      <c r="M81" s="52" t="n">
        <v>0</v>
      </c>
      <c r="N81" s="52" t="n">
        <v>0</v>
      </c>
      <c r="O81" s="53" t="n">
        <v>0</v>
      </c>
      <c r="P81" s="52" t="n">
        <v>0</v>
      </c>
      <c r="Q81" s="53" t="n">
        <v>0</v>
      </c>
      <c r="R81" s="52" t="n">
        <v>29.99</v>
      </c>
      <c r="S81" s="51" t="n">
        <v>0</v>
      </c>
      <c r="T81" s="48" t="n">
        <v>0</v>
      </c>
      <c r="U81" s="49" t="n">
        <v>0</v>
      </c>
      <c r="V81" s="49" t="n">
        <v>2</v>
      </c>
      <c r="W81" s="50" t="n">
        <v>0</v>
      </c>
      <c r="X81" s="51" t="n">
        <v>0</v>
      </c>
      <c r="Y81" s="52" t="n">
        <v>0</v>
      </c>
      <c r="Z81" s="52" t="n">
        <v>0</v>
      </c>
      <c r="AA81" s="52" t="n">
        <v>0</v>
      </c>
      <c r="AB81" s="53" t="n">
        <v>0</v>
      </c>
      <c r="AC81" s="52" t="n">
        <v>0</v>
      </c>
      <c r="AD81" s="53" t="n">
        <v>0</v>
      </c>
      <c r="AE81" s="52" t="n">
        <v>0</v>
      </c>
      <c r="AF81" s="51" t="n">
        <v>0</v>
      </c>
      <c r="AG81" s="48" t="n">
        <v>0</v>
      </c>
      <c r="AH81" s="49" t="n">
        <v>0</v>
      </c>
      <c r="AI81" s="49" t="n">
        <v>0</v>
      </c>
      <c r="AJ81" s="50" t="n">
        <v>0</v>
      </c>
      <c r="AK81" s="51" t="n">
        <v>0</v>
      </c>
      <c r="AL81" s="52" t="n">
        <v>0</v>
      </c>
      <c r="AM81" s="52" t="n">
        <v>0</v>
      </c>
      <c r="AN81" s="52" t="n">
        <v>0</v>
      </c>
      <c r="AO81" s="53" t="n">
        <v>0</v>
      </c>
      <c r="AP81" s="52" t="n">
        <v>0</v>
      </c>
      <c r="AQ81" s="53" t="n">
        <v>0</v>
      </c>
      <c r="AR81" s="52" t="n">
        <v>0</v>
      </c>
      <c r="AS81" s="51" t="n">
        <v>0</v>
      </c>
      <c r="AT81" s="48" t="n">
        <v>29.99</v>
      </c>
      <c r="AU81" s="49" t="n">
        <v>1</v>
      </c>
      <c r="AV81" s="49" t="n">
        <v>0</v>
      </c>
      <c r="AW81" s="50" t="n">
        <v>0</v>
      </c>
      <c r="AX81" s="51" t="n">
        <v>0</v>
      </c>
      <c r="AY81" s="52" t="n">
        <v>0</v>
      </c>
      <c r="AZ81" s="52" t="n">
        <v>0</v>
      </c>
      <c r="BA81" s="52" t="n">
        <v>0</v>
      </c>
      <c r="BB81" s="53" t="n">
        <v>0</v>
      </c>
      <c r="BC81" s="52" t="n">
        <v>0</v>
      </c>
      <c r="BD81" s="53" t="n">
        <v>0</v>
      </c>
      <c r="BE81" s="52" t="n">
        <v>29.99</v>
      </c>
      <c r="BF81" s="51" t="n">
        <v>0</v>
      </c>
    </row>
    <row r="82">
      <c r="A82">
        <f>HYPERLINK("https://www.walmart.com/ip/604345466", "604345466")</f>
        <v/>
      </c>
      <c r="B82" t="inlineStr">
        <is>
          <t>Tirrinia Small Insulated Lunch Bag for Adult &amp; Kids, Splash Proof Portable Reusable Thermal Lunch Box Cooler Tote for Student Back to School, Black</t>
        </is>
      </c>
      <c r="C82" t="inlineStr">
        <is>
          <t>1TRLB100BK</t>
        </is>
      </c>
      <c r="D82" t="inlineStr">
        <is>
          <t>Reusable Lunch Bags &amp; Boxes</t>
        </is>
      </c>
      <c r="E82" t="inlineStr">
        <is>
          <t>Tirrinia</t>
        </is>
      </c>
      <c r="F82" t="inlineStr">
        <is>
          <t>Q2-Target,Lunch Bag,Optimized,Lunch Bags,SEM,Wal-Exl-Price</t>
        </is>
      </c>
      <c r="G82" s="48" t="n">
        <v>29.98</v>
      </c>
      <c r="H82" s="49" t="n">
        <v>2</v>
      </c>
      <c r="I82" s="49" t="n">
        <v>9</v>
      </c>
      <c r="J82" s="50" t="n">
        <v>0.2222222222222222</v>
      </c>
      <c r="K82" s="51" t="n">
        <v>0</v>
      </c>
      <c r="L82" s="52" t="n">
        <v>0</v>
      </c>
      <c r="M82" s="52" t="n">
        <v>0</v>
      </c>
      <c r="N82" s="52" t="n">
        <v>0</v>
      </c>
      <c r="O82" s="53" t="n">
        <v>0</v>
      </c>
      <c r="P82" s="52" t="n">
        <v>0</v>
      </c>
      <c r="Q82" s="53" t="n">
        <v>0</v>
      </c>
      <c r="R82" s="52" t="n">
        <v>14.99</v>
      </c>
      <c r="S82" s="51" t="n">
        <v>0</v>
      </c>
      <c r="T82" s="48" t="n">
        <v>14.99</v>
      </c>
      <c r="U82" s="49" t="n">
        <v>1</v>
      </c>
      <c r="V82" s="49" t="n">
        <v>18</v>
      </c>
      <c r="W82" s="50" t="n">
        <v>0.05555555555555555</v>
      </c>
      <c r="X82" s="51" t="n">
        <v>0</v>
      </c>
      <c r="Y82" s="52" t="n">
        <v>0</v>
      </c>
      <c r="Z82" s="52" t="n">
        <v>0</v>
      </c>
      <c r="AA82" s="52" t="n">
        <v>0</v>
      </c>
      <c r="AB82" s="53" t="n">
        <v>0</v>
      </c>
      <c r="AC82" s="52" t="n">
        <v>0</v>
      </c>
      <c r="AD82" s="53" t="n">
        <v>0</v>
      </c>
      <c r="AE82" s="52" t="n">
        <v>14.99</v>
      </c>
      <c r="AF82" s="51" t="n">
        <v>0</v>
      </c>
      <c r="AG82" s="48" t="n">
        <v>44.97</v>
      </c>
      <c r="AH82" s="49" t="n">
        <v>3</v>
      </c>
      <c r="AI82" s="49" t="n">
        <v>15</v>
      </c>
      <c r="AJ82" s="50" t="n">
        <v>0.2</v>
      </c>
      <c r="AK82" s="51" t="n">
        <v>0</v>
      </c>
      <c r="AL82" s="52" t="n">
        <v>0</v>
      </c>
      <c r="AM82" s="52" t="n">
        <v>0</v>
      </c>
      <c r="AN82" s="52" t="n">
        <v>0</v>
      </c>
      <c r="AO82" s="53" t="n">
        <v>0</v>
      </c>
      <c r="AP82" s="52" t="n">
        <v>0</v>
      </c>
      <c r="AQ82" s="53" t="n">
        <v>0</v>
      </c>
      <c r="AR82" s="52" t="n">
        <v>14.99</v>
      </c>
      <c r="AS82" s="51" t="n">
        <v>0</v>
      </c>
      <c r="AT82" s="48" t="n">
        <v>14.99</v>
      </c>
      <c r="AU82" s="49" t="n">
        <v>1</v>
      </c>
      <c r="AV82" s="49" t="n">
        <v>11</v>
      </c>
      <c r="AW82" s="50" t="n">
        <v>0.09090909090909091</v>
      </c>
      <c r="AX82" s="51" t="n">
        <v>0</v>
      </c>
      <c r="AY82" s="52" t="n">
        <v>0</v>
      </c>
      <c r="AZ82" s="52" t="n">
        <v>0</v>
      </c>
      <c r="BA82" s="52" t="n">
        <v>0</v>
      </c>
      <c r="BB82" s="53" t="n">
        <v>0</v>
      </c>
      <c r="BC82" s="52" t="n">
        <v>0</v>
      </c>
      <c r="BD82" s="53" t="n">
        <v>0</v>
      </c>
      <c r="BE82" s="52" t="n">
        <v>14.99</v>
      </c>
      <c r="BF82" s="51" t="n">
        <v>0</v>
      </c>
    </row>
    <row r="83">
      <c r="A83">
        <f>HYPERLINK("https://www.walmart.com/ip/129119638", "129119638")</f>
        <v/>
      </c>
      <c r="B83" t="inlineStr">
        <is>
          <t>Tirrinia Insulated Lunch Bag for Women, Men, and Kids, Leakproof Thermal Reusable Insulated Cooler Bag for Office, Work, Back to School, Medium, Dark Blue, 8L, 10" X 7" X 7.7"</t>
        </is>
      </c>
      <c r="C83" t="inlineStr">
        <is>
          <t>1TRLB701DBL-N</t>
        </is>
      </c>
      <c r="D83" t="inlineStr">
        <is>
          <t>Reusable Lunch Bags &amp; Boxes</t>
        </is>
      </c>
      <c r="E83" t="inlineStr">
        <is>
          <t>Tirrinia</t>
        </is>
      </c>
      <c r="F83" t="inlineStr">
        <is>
          <t>Q2-Target,Brand Camp VD,Lunch Bag,WFS,Lunch Bags,SEM,WFS Item</t>
        </is>
      </c>
      <c r="G83" s="48" t="n">
        <v>29.98</v>
      </c>
      <c r="H83" s="49" t="n">
        <v>2</v>
      </c>
      <c r="I83" s="49" t="n">
        <v>75</v>
      </c>
      <c r="J83" s="50" t="n">
        <v>0.02666666666666667</v>
      </c>
      <c r="K83" s="51" t="n">
        <v>0</v>
      </c>
      <c r="L83" s="52" t="n">
        <v>0</v>
      </c>
      <c r="M83" s="52" t="n">
        <v>0</v>
      </c>
      <c r="N83" s="52" t="n">
        <v>0</v>
      </c>
      <c r="O83" s="53" t="n">
        <v>0</v>
      </c>
      <c r="P83" s="52" t="n">
        <v>0</v>
      </c>
      <c r="Q83" s="53" t="n">
        <v>0</v>
      </c>
      <c r="R83" s="52" t="n">
        <v>14.99</v>
      </c>
      <c r="S83" s="51" t="n">
        <v>0</v>
      </c>
      <c r="T83" s="48" t="n">
        <v>0</v>
      </c>
      <c r="U83" s="49" t="n">
        <v>0</v>
      </c>
      <c r="V83" s="49" t="n">
        <v>73</v>
      </c>
      <c r="W83" s="50" t="n">
        <v>0</v>
      </c>
      <c r="X83" s="51" t="n">
        <v>0</v>
      </c>
      <c r="Y83" s="52" t="n">
        <v>0</v>
      </c>
      <c r="Z83" s="52" t="n">
        <v>0</v>
      </c>
      <c r="AA83" s="52" t="n">
        <v>0</v>
      </c>
      <c r="AB83" s="53" t="n">
        <v>0</v>
      </c>
      <c r="AC83" s="52" t="n">
        <v>0</v>
      </c>
      <c r="AD83" s="53" t="n">
        <v>0</v>
      </c>
      <c r="AE83" s="52" t="n">
        <v>0</v>
      </c>
      <c r="AF83" s="51" t="n">
        <v>0</v>
      </c>
      <c r="AG83" s="48" t="n">
        <v>0</v>
      </c>
      <c r="AH83" s="49" t="n">
        <v>0</v>
      </c>
      <c r="AI83" s="49" t="n">
        <v>87</v>
      </c>
      <c r="AJ83" s="50" t="n">
        <v>0</v>
      </c>
      <c r="AK83" s="51" t="n">
        <v>0</v>
      </c>
      <c r="AL83" s="52" t="n">
        <v>0</v>
      </c>
      <c r="AM83" s="52" t="n">
        <v>0</v>
      </c>
      <c r="AN83" s="52" t="n">
        <v>0</v>
      </c>
      <c r="AO83" s="53" t="n">
        <v>0</v>
      </c>
      <c r="AP83" s="52" t="n">
        <v>0</v>
      </c>
      <c r="AQ83" s="53" t="n">
        <v>0</v>
      </c>
      <c r="AR83" s="52" t="n">
        <v>0</v>
      </c>
      <c r="AS83" s="51" t="n">
        <v>0</v>
      </c>
      <c r="AT83" s="48" t="n">
        <v>14.99</v>
      </c>
      <c r="AU83" s="49" t="n">
        <v>1</v>
      </c>
      <c r="AV83" s="49" t="n">
        <v>99</v>
      </c>
      <c r="AW83" s="50" t="n">
        <v>0.0101010101010101</v>
      </c>
      <c r="AX83" s="51" t="n">
        <v>0</v>
      </c>
      <c r="AY83" s="52" t="n">
        <v>0</v>
      </c>
      <c r="AZ83" s="52" t="n">
        <v>0</v>
      </c>
      <c r="BA83" s="52" t="n">
        <v>0</v>
      </c>
      <c r="BB83" s="53" t="n">
        <v>0</v>
      </c>
      <c r="BC83" s="52" t="n">
        <v>0</v>
      </c>
      <c r="BD83" s="53" t="n">
        <v>0</v>
      </c>
      <c r="BE83" s="52" t="n">
        <v>14.99</v>
      </c>
      <c r="BF83" s="51" t="n">
        <v>0</v>
      </c>
    </row>
    <row r="84">
      <c r="A84">
        <f>HYPERLINK("https://www.walmart.com/ip/238219006", "238219006")</f>
        <v/>
      </c>
      <c r="B84" t="inlineStr">
        <is>
          <t>Flyingstar Lunch Bag for Women, Men and Kids, Insulated Lunch Tote for Work, School and Picnic, Fashionable Cooler Bag, Black Dot, Medium Size</t>
        </is>
      </c>
      <c r="C84" t="inlineStr">
        <is>
          <t>1WMLB704BKDOT</t>
        </is>
      </c>
      <c r="D84" t="inlineStr">
        <is>
          <t>Reusable Lunch Bags &amp; Boxes</t>
        </is>
      </c>
      <c r="E84" t="inlineStr">
        <is>
          <t>Flyingstar</t>
        </is>
      </c>
      <c r="F84" t="inlineStr">
        <is>
          <t>Q2-Target,Lunch Bag,WFS,Lunch Bags,WFS Item</t>
        </is>
      </c>
      <c r="G84" s="48" t="n">
        <v>29.97</v>
      </c>
      <c r="H84" s="49" t="n">
        <v>3</v>
      </c>
      <c r="I84" s="49" t="n">
        <v>26</v>
      </c>
      <c r="J84" s="50" t="n">
        <v>0.1153846153846154</v>
      </c>
      <c r="K84" s="51" t="n">
        <v>0</v>
      </c>
      <c r="L84" s="52" t="n">
        <v>0</v>
      </c>
      <c r="M84" s="52" t="n">
        <v>0</v>
      </c>
      <c r="N84" s="52" t="n">
        <v>0</v>
      </c>
      <c r="O84" s="53" t="n">
        <v>0</v>
      </c>
      <c r="P84" s="52" t="n">
        <v>0</v>
      </c>
      <c r="Q84" s="53" t="n">
        <v>0</v>
      </c>
      <c r="R84" s="52" t="n">
        <v>9.99</v>
      </c>
      <c r="S84" s="51" t="n">
        <v>0</v>
      </c>
      <c r="T84" s="48" t="n">
        <v>19.98</v>
      </c>
      <c r="U84" s="49" t="n">
        <v>2</v>
      </c>
      <c r="V84" s="49" t="n">
        <v>31</v>
      </c>
      <c r="W84" s="50" t="n">
        <v>0.06451612903225806</v>
      </c>
      <c r="X84" s="51" t="n">
        <v>0</v>
      </c>
      <c r="Y84" s="52" t="n">
        <v>0</v>
      </c>
      <c r="Z84" s="52" t="n">
        <v>0</v>
      </c>
      <c r="AA84" s="52" t="n">
        <v>0</v>
      </c>
      <c r="AB84" s="53" t="n">
        <v>0</v>
      </c>
      <c r="AC84" s="52" t="n">
        <v>0</v>
      </c>
      <c r="AD84" s="53" t="n">
        <v>0</v>
      </c>
      <c r="AE84" s="52" t="n">
        <v>9.99</v>
      </c>
      <c r="AF84" s="51" t="n">
        <v>0</v>
      </c>
      <c r="AG84" s="48" t="n">
        <v>0</v>
      </c>
      <c r="AH84" s="49" t="n">
        <v>0</v>
      </c>
      <c r="AI84" s="49" t="n">
        <v>40</v>
      </c>
      <c r="AJ84" s="50" t="n">
        <v>0</v>
      </c>
      <c r="AK84" s="51" t="n">
        <v>0</v>
      </c>
      <c r="AL84" s="52" t="n">
        <v>0</v>
      </c>
      <c r="AM84" s="52" t="n">
        <v>0</v>
      </c>
      <c r="AN84" s="52" t="n">
        <v>0</v>
      </c>
      <c r="AO84" s="53" t="n">
        <v>0</v>
      </c>
      <c r="AP84" s="52" t="n">
        <v>0</v>
      </c>
      <c r="AQ84" s="53" t="n">
        <v>0</v>
      </c>
      <c r="AR84" s="52" t="n">
        <v>0</v>
      </c>
      <c r="AS84" s="51" t="n">
        <v>0</v>
      </c>
      <c r="AT84" s="48" t="n">
        <v>19.98</v>
      </c>
      <c r="AU84" s="49" t="n">
        <v>2</v>
      </c>
      <c r="AV84" s="49" t="n">
        <v>42</v>
      </c>
      <c r="AW84" s="50" t="n">
        <v>0.04761904761904762</v>
      </c>
      <c r="AX84" s="51" t="n">
        <v>0</v>
      </c>
      <c r="AY84" s="52" t="n">
        <v>0</v>
      </c>
      <c r="AZ84" s="52" t="n">
        <v>0</v>
      </c>
      <c r="BA84" s="52" t="n">
        <v>0</v>
      </c>
      <c r="BB84" s="53" t="n">
        <v>0</v>
      </c>
      <c r="BC84" s="52" t="n">
        <v>0</v>
      </c>
      <c r="BD84" s="53" t="n">
        <v>0</v>
      </c>
      <c r="BE84" s="52" t="n">
        <v>9.99</v>
      </c>
      <c r="BF84" s="51" t="n">
        <v>0</v>
      </c>
    </row>
    <row r="85">
      <c r="A85">
        <f>HYPERLINK("https://www.walmart.com/ip/709728605", "709728605")</f>
        <v/>
      </c>
      <c r="B85" t="inlineStr">
        <is>
          <t>Flyingstar Surf Towel Robe, Quick Dry Beach Wetsuit Changing / Bath Robe Poncho for Surfing Swimming Bathing Unisex</t>
        </is>
      </c>
      <c r="C85" t="inlineStr">
        <is>
          <t>1WMBR101-BK</t>
        </is>
      </c>
      <c r="D85" t="inlineStr">
        <is>
          <t>Sleepwear Robes &amp; Bathrobes</t>
        </is>
      </c>
      <c r="E85" t="inlineStr">
        <is>
          <t>Flyingstar</t>
        </is>
      </c>
      <c r="F85" t="inlineStr">
        <is>
          <t>Optimized</t>
        </is>
      </c>
      <c r="G85" s="48" t="n">
        <v>29.96</v>
      </c>
      <c r="H85" s="49" t="n">
        <v>2</v>
      </c>
      <c r="I85" s="49" t="n">
        <v>0</v>
      </c>
      <c r="J85" s="50" t="n">
        <v>0</v>
      </c>
      <c r="K85" s="51" t="n">
        <v>0</v>
      </c>
      <c r="L85" s="52" t="n">
        <v>0</v>
      </c>
      <c r="M85" s="52" t="n">
        <v>0</v>
      </c>
      <c r="N85" s="52" t="n">
        <v>0</v>
      </c>
      <c r="O85" s="53" t="n">
        <v>0</v>
      </c>
      <c r="P85" s="52" t="n">
        <v>0</v>
      </c>
      <c r="Q85" s="53" t="n">
        <v>0</v>
      </c>
      <c r="R85" s="52" t="n">
        <v>14.98</v>
      </c>
      <c r="S85" s="51" t="n">
        <v>0</v>
      </c>
      <c r="T85" s="48" t="n">
        <v>0</v>
      </c>
      <c r="U85" s="49" t="n">
        <v>0</v>
      </c>
      <c r="V85" s="49" t="n">
        <v>0</v>
      </c>
      <c r="W85" s="50" t="n">
        <v>0</v>
      </c>
      <c r="X85" s="51" t="n">
        <v>0</v>
      </c>
      <c r="Y85" s="52" t="n">
        <v>0</v>
      </c>
      <c r="Z85" s="52" t="n">
        <v>0</v>
      </c>
      <c r="AA85" s="52" t="n">
        <v>0</v>
      </c>
      <c r="AB85" s="53" t="n">
        <v>0</v>
      </c>
      <c r="AC85" s="52" t="n">
        <v>0</v>
      </c>
      <c r="AD85" s="53" t="n">
        <v>0</v>
      </c>
      <c r="AE85" s="52" t="n">
        <v>0</v>
      </c>
      <c r="AF85" s="51" t="n">
        <v>0</v>
      </c>
      <c r="AG85" s="48" t="n">
        <v>0</v>
      </c>
      <c r="AH85" s="49" t="n">
        <v>0</v>
      </c>
      <c r="AI85" s="49" t="n">
        <v>0</v>
      </c>
      <c r="AJ85" s="50" t="n">
        <v>0</v>
      </c>
      <c r="AK85" s="51" t="n">
        <v>0</v>
      </c>
      <c r="AL85" s="52" t="n">
        <v>0</v>
      </c>
      <c r="AM85" s="52" t="n">
        <v>0</v>
      </c>
      <c r="AN85" s="52" t="n">
        <v>0</v>
      </c>
      <c r="AO85" s="53" t="n">
        <v>0</v>
      </c>
      <c r="AP85" s="52" t="n">
        <v>0</v>
      </c>
      <c r="AQ85" s="53" t="n">
        <v>0</v>
      </c>
      <c r="AR85" s="52" t="n">
        <v>0</v>
      </c>
      <c r="AS85" s="51" t="n">
        <v>0</v>
      </c>
      <c r="AT85" s="48" t="n">
        <v>0</v>
      </c>
      <c r="AU85" s="49" t="n">
        <v>0</v>
      </c>
      <c r="AV85" s="49" t="n">
        <v>0</v>
      </c>
      <c r="AW85" s="50" t="n">
        <v>0</v>
      </c>
      <c r="AX85" s="51" t="n">
        <v>0</v>
      </c>
      <c r="AY85" s="52" t="n">
        <v>0</v>
      </c>
      <c r="AZ85" s="52" t="n">
        <v>0</v>
      </c>
      <c r="BA85" s="52" t="n">
        <v>0</v>
      </c>
      <c r="BB85" s="53" t="n">
        <v>0</v>
      </c>
      <c r="BC85" s="52" t="n">
        <v>0</v>
      </c>
      <c r="BD85" s="53" t="n">
        <v>0</v>
      </c>
      <c r="BE85" s="52" t="n">
        <v>0</v>
      </c>
      <c r="BF85" s="51" t="n">
        <v>0</v>
      </c>
    </row>
    <row r="86">
      <c r="A86">
        <f>HYPERLINK("https://www.walmart.com/ip/535137364", "535137364")</f>
        <v/>
      </c>
      <c r="B86" t="inlineStr">
        <is>
          <t>Napa Plush  Throw Blanket Dark Blue, Twin 60"x90", Striped Reversible Velvet Luxury Fleece Warm Bed Couch Blanket, Super Soft and Cozy</t>
        </is>
      </c>
      <c r="C86" t="inlineStr">
        <is>
          <t>K8030TW-DBL</t>
        </is>
      </c>
      <c r="D86" t="inlineStr">
        <is>
          <t>Throws</t>
        </is>
      </c>
      <c r="E86" t="inlineStr">
        <is>
          <t>NAPA</t>
        </is>
      </c>
      <c r="F86" t="inlineStr">
        <is>
          <t>Optimized,Coupon_Discount,cost-added</t>
        </is>
      </c>
      <c r="G86" s="48" t="n">
        <v>29.96</v>
      </c>
      <c r="H86" s="49" t="n">
        <v>2</v>
      </c>
      <c r="I86" s="49" t="n">
        <v>0</v>
      </c>
      <c r="J86" s="50" t="n">
        <v>0</v>
      </c>
      <c r="K86" s="51" t="n">
        <v>0</v>
      </c>
      <c r="L86" s="52" t="n">
        <v>0</v>
      </c>
      <c r="M86" s="52" t="n">
        <v>0</v>
      </c>
      <c r="N86" s="52" t="n">
        <v>0</v>
      </c>
      <c r="O86" s="53" t="n">
        <v>0</v>
      </c>
      <c r="P86" s="52" t="n">
        <v>0</v>
      </c>
      <c r="Q86" s="53" t="n">
        <v>0</v>
      </c>
      <c r="R86" s="52" t="n">
        <v>14.98</v>
      </c>
      <c r="S86" s="51" t="n">
        <v>0</v>
      </c>
      <c r="T86" s="48" t="n">
        <v>0</v>
      </c>
      <c r="U86" s="49" t="n">
        <v>0</v>
      </c>
      <c r="V86" s="49" t="n">
        <v>0</v>
      </c>
      <c r="W86" s="50" t="n">
        <v>0</v>
      </c>
      <c r="X86" s="51" t="n">
        <v>0</v>
      </c>
      <c r="Y86" s="52" t="n">
        <v>0</v>
      </c>
      <c r="Z86" s="52" t="n">
        <v>0</v>
      </c>
      <c r="AA86" s="52" t="n">
        <v>0</v>
      </c>
      <c r="AB86" s="53" t="n">
        <v>0</v>
      </c>
      <c r="AC86" s="52" t="n">
        <v>0</v>
      </c>
      <c r="AD86" s="53" t="n">
        <v>0</v>
      </c>
      <c r="AE86" s="52" t="n">
        <v>0</v>
      </c>
      <c r="AF86" s="51" t="n">
        <v>0</v>
      </c>
      <c r="AG86" s="48" t="n">
        <v>0</v>
      </c>
      <c r="AH86" s="49" t="n">
        <v>0</v>
      </c>
      <c r="AI86" s="49" t="n">
        <v>0</v>
      </c>
      <c r="AJ86" s="50" t="n">
        <v>0</v>
      </c>
      <c r="AK86" s="51" t="n">
        <v>0</v>
      </c>
      <c r="AL86" s="52" t="n">
        <v>0</v>
      </c>
      <c r="AM86" s="52" t="n">
        <v>0</v>
      </c>
      <c r="AN86" s="52" t="n">
        <v>0</v>
      </c>
      <c r="AO86" s="53" t="n">
        <v>0</v>
      </c>
      <c r="AP86" s="52" t="n">
        <v>0</v>
      </c>
      <c r="AQ86" s="53" t="n">
        <v>0</v>
      </c>
      <c r="AR86" s="52" t="n">
        <v>0</v>
      </c>
      <c r="AS86" s="51" t="n">
        <v>0</v>
      </c>
      <c r="AT86" s="48" t="n">
        <v>0</v>
      </c>
      <c r="AU86" s="49" t="n">
        <v>0</v>
      </c>
      <c r="AV86" s="49" t="n">
        <v>0</v>
      </c>
      <c r="AW86" s="50" t="n">
        <v>0</v>
      </c>
      <c r="AX86" s="51" t="n">
        <v>0</v>
      </c>
      <c r="AY86" s="52" t="n">
        <v>0</v>
      </c>
      <c r="AZ86" s="52" t="n">
        <v>0</v>
      </c>
      <c r="BA86" s="52" t="n">
        <v>0</v>
      </c>
      <c r="BB86" s="53" t="n">
        <v>0</v>
      </c>
      <c r="BC86" s="52" t="n">
        <v>0</v>
      </c>
      <c r="BD86" s="53" t="n">
        <v>0</v>
      </c>
      <c r="BE86" s="52" t="n">
        <v>0</v>
      </c>
      <c r="BF86" s="51" t="n">
        <v>0</v>
      </c>
    </row>
    <row r="87">
      <c r="A87">
        <f>HYPERLINK("https://www.walmart.com/ip/191373832", "191373832")</f>
        <v/>
      </c>
      <c r="B87" t="inlineStr">
        <is>
          <t>Kato 6 Bottle Wine Cooler Bag, Leak-Proof Insulated Wine Carrier for Travel, Picnic &amp;amp; Camping, Gray</t>
        </is>
      </c>
      <c r="C87" t="inlineStr">
        <is>
          <t>1KTWB610GY</t>
        </is>
      </c>
      <c r="D87" t="inlineStr">
        <is>
          <t>Wine Totes, Bags &amp; Backpacks</t>
        </is>
      </c>
      <c r="E87" t="inlineStr">
        <is>
          <t>Kato</t>
        </is>
      </c>
      <c r="G87" s="48" t="n">
        <v>28.98</v>
      </c>
      <c r="H87" s="49" t="n">
        <v>1</v>
      </c>
      <c r="I87" s="49" t="n">
        <v>0</v>
      </c>
      <c r="J87" s="50" t="n">
        <v>0</v>
      </c>
      <c r="K87" s="51" t="n">
        <v>1</v>
      </c>
      <c r="L87" s="52" t="n">
        <v>0.4</v>
      </c>
      <c r="M87" s="52" t="n">
        <v>21.99</v>
      </c>
      <c r="N87" s="52" t="n">
        <v>54.97</v>
      </c>
      <c r="O87" s="53" t="n">
        <v>0.0005</v>
      </c>
      <c r="P87" s="52" t="n">
        <v>0.4</v>
      </c>
      <c r="Q87" s="53" t="n">
        <v>0.01380262249827467</v>
      </c>
      <c r="R87" s="52" t="n">
        <v>28.98</v>
      </c>
      <c r="S87" s="51" t="n">
        <v>1877</v>
      </c>
      <c r="T87" s="48" t="n">
        <v>0</v>
      </c>
      <c r="U87" s="49" t="n">
        <v>0</v>
      </c>
      <c r="V87" s="49" t="n">
        <v>0</v>
      </c>
      <c r="W87" s="50" t="n">
        <v>0</v>
      </c>
      <c r="X87" s="51" t="n">
        <v>1</v>
      </c>
      <c r="Y87" s="52" t="n">
        <v>0.44</v>
      </c>
      <c r="Z87" s="52" t="n">
        <v>0</v>
      </c>
      <c r="AA87" s="52" t="n">
        <v>0</v>
      </c>
      <c r="AB87" s="53" t="n">
        <v>0.0005999999999999999</v>
      </c>
      <c r="AC87" s="52" t="n">
        <v>0.44</v>
      </c>
      <c r="AD87" s="53" t="n">
        <v>0</v>
      </c>
      <c r="AE87" s="52" t="n">
        <v>0</v>
      </c>
      <c r="AF87" s="51" t="n">
        <v>1746</v>
      </c>
      <c r="AG87" s="48" t="n">
        <v>0</v>
      </c>
      <c r="AH87" s="49" t="n">
        <v>0</v>
      </c>
      <c r="AI87" s="49" t="n">
        <v>0</v>
      </c>
      <c r="AJ87" s="50" t="n">
        <v>0</v>
      </c>
      <c r="AK87" s="51" t="n">
        <v>1</v>
      </c>
      <c r="AL87" s="52" t="n">
        <v>0.4</v>
      </c>
      <c r="AM87" s="52" t="n">
        <v>0</v>
      </c>
      <c r="AN87" s="52" t="n">
        <v>0</v>
      </c>
      <c r="AO87" s="53" t="n">
        <v>0.0009</v>
      </c>
      <c r="AP87" s="52" t="n">
        <v>0.4</v>
      </c>
      <c r="AQ87" s="53" t="n">
        <v>0</v>
      </c>
      <c r="AR87" s="52" t="n">
        <v>0</v>
      </c>
      <c r="AS87" s="51" t="n">
        <v>1129</v>
      </c>
      <c r="AT87" s="48" t="n">
        <v>21.99</v>
      </c>
      <c r="AU87" s="49" t="n">
        <v>1</v>
      </c>
      <c r="AV87" s="49" t="n">
        <v>0</v>
      </c>
      <c r="AW87" s="50" t="n">
        <v>0</v>
      </c>
      <c r="AX87" s="51" t="n">
        <v>0</v>
      </c>
      <c r="AY87" s="52" t="n">
        <v>0</v>
      </c>
      <c r="AZ87" s="52" t="n">
        <v>0</v>
      </c>
      <c r="BA87" s="52" t="n">
        <v>0</v>
      </c>
      <c r="BB87" s="53" t="n">
        <v>0</v>
      </c>
      <c r="BC87" s="52" t="n">
        <v>0</v>
      </c>
      <c r="BD87" s="53" t="n">
        <v>0</v>
      </c>
      <c r="BE87" s="52" t="n">
        <v>21.99</v>
      </c>
      <c r="BF87" s="51" t="n">
        <v>867</v>
      </c>
    </row>
    <row r="88">
      <c r="A88">
        <f>HYPERLINK("https://www.walmart.com/ip/5791519141", "5791519141")</f>
        <v/>
      </c>
      <c r="B88" t="inlineStr">
        <is>
          <t>Tirrinia  Camping Cooler Bag Insulated w/ Shoulder Strap and Bottle Opener 20 Cans Portable Ice Chest for Camping Hiking Picnic Beach</t>
        </is>
      </c>
      <c r="C88" t="inlineStr">
        <is>
          <t>1TRCB00120GNBK</t>
        </is>
      </c>
      <c r="D88" t="inlineStr">
        <is>
          <t>Soft-Sided Coolers</t>
        </is>
      </c>
      <c r="E88" t="inlineStr">
        <is>
          <t>Tirrinia</t>
        </is>
      </c>
      <c r="G88" s="48" t="n">
        <v>28.98</v>
      </c>
      <c r="H88" s="49" t="n">
        <v>1</v>
      </c>
      <c r="I88" s="49" t="n">
        <v>0</v>
      </c>
      <c r="J88" s="50" t="n">
        <v>0</v>
      </c>
      <c r="K88" s="51" t="n">
        <v>0</v>
      </c>
      <c r="L88" s="52" t="n">
        <v>0</v>
      </c>
      <c r="M88" s="52" t="n">
        <v>0</v>
      </c>
      <c r="N88" s="52" t="n">
        <v>0</v>
      </c>
      <c r="O88" s="53" t="n">
        <v>0</v>
      </c>
      <c r="P88" s="52" t="n">
        <v>0</v>
      </c>
      <c r="Q88" s="53" t="n">
        <v>0</v>
      </c>
      <c r="R88" s="52" t="n">
        <v>28.98</v>
      </c>
      <c r="S88" s="51" t="n">
        <v>0</v>
      </c>
      <c r="T88" s="48" t="n">
        <v>0</v>
      </c>
      <c r="U88" s="49" t="n">
        <v>0</v>
      </c>
      <c r="V88" s="49" t="n">
        <v>0</v>
      </c>
      <c r="W88" s="50" t="n">
        <v>0</v>
      </c>
      <c r="X88" s="51" t="n">
        <v>0</v>
      </c>
      <c r="Y88" s="52" t="n">
        <v>0</v>
      </c>
      <c r="Z88" s="52" t="n">
        <v>0</v>
      </c>
      <c r="AA88" s="52" t="n">
        <v>0</v>
      </c>
      <c r="AB88" s="53" t="n">
        <v>0</v>
      </c>
      <c r="AC88" s="52" t="n">
        <v>0</v>
      </c>
      <c r="AD88" s="53" t="n">
        <v>0</v>
      </c>
      <c r="AE88" s="52" t="n">
        <v>0</v>
      </c>
      <c r="AF88" s="51" t="n">
        <v>0</v>
      </c>
      <c r="AG88" s="48" t="n">
        <v>21.99</v>
      </c>
      <c r="AH88" s="49" t="n">
        <v>1</v>
      </c>
      <c r="AI88" s="49" t="n">
        <v>0</v>
      </c>
      <c r="AJ88" s="50" t="n">
        <v>0</v>
      </c>
      <c r="AK88" s="51" t="n">
        <v>0</v>
      </c>
      <c r="AL88" s="52" t="n">
        <v>0</v>
      </c>
      <c r="AM88" s="52" t="n">
        <v>0</v>
      </c>
      <c r="AN88" s="52" t="n">
        <v>0</v>
      </c>
      <c r="AO88" s="53" t="n">
        <v>0</v>
      </c>
      <c r="AP88" s="52" t="n">
        <v>0</v>
      </c>
      <c r="AQ88" s="53" t="n">
        <v>0</v>
      </c>
      <c r="AR88" s="52" t="n">
        <v>21.99</v>
      </c>
      <c r="AS88" s="51" t="n">
        <v>0</v>
      </c>
      <c r="AT88" s="48" t="n">
        <v>0</v>
      </c>
      <c r="AU88" s="49" t="n">
        <v>0</v>
      </c>
      <c r="AV88" s="49" t="n">
        <v>0</v>
      </c>
      <c r="AW88" s="50" t="n">
        <v>0</v>
      </c>
      <c r="AX88" s="51" t="n">
        <v>0</v>
      </c>
      <c r="AY88" s="52" t="n">
        <v>0</v>
      </c>
      <c r="AZ88" s="52" t="n">
        <v>0</v>
      </c>
      <c r="BA88" s="52" t="n">
        <v>0</v>
      </c>
      <c r="BB88" s="53" t="n">
        <v>0</v>
      </c>
      <c r="BC88" s="52" t="n">
        <v>0</v>
      </c>
      <c r="BD88" s="53" t="n">
        <v>0</v>
      </c>
      <c r="BE88" s="52" t="n">
        <v>0</v>
      </c>
      <c r="BF88" s="51" t="n">
        <v>0</v>
      </c>
    </row>
    <row r="89">
      <c r="A89">
        <f>HYPERLINK("https://www.walmart.com/ip/448077121", "448077121")</f>
        <v/>
      </c>
      <c r="B89" t="inlineStr">
        <is>
          <t>Flyingstar Waterproof Fleece Blanket, Wearable Windproof Hooded Blanket Poncho for Sports, Stadium, Camping, Beach, Picnic, Car or Pet Friendly Use, Black/Black</t>
        </is>
      </c>
      <c r="C89" t="inlineStr">
        <is>
          <t>1WMBC200BKBK</t>
        </is>
      </c>
      <c r="D89" t="inlineStr">
        <is>
          <t>Picnic Blankets &amp; Mats</t>
        </is>
      </c>
      <c r="E89" t="inlineStr">
        <is>
          <t>Flyingstar</t>
        </is>
      </c>
      <c r="F89" t="inlineStr">
        <is>
          <t>Q2-Target,Optimized,WFS,Beach Robe Camp,WFS Item</t>
        </is>
      </c>
      <c r="G89" s="48" t="n">
        <v>26.99</v>
      </c>
      <c r="H89" s="49" t="n">
        <v>1</v>
      </c>
      <c r="I89" s="49" t="n">
        <v>6</v>
      </c>
      <c r="J89" s="50" t="n">
        <v>0.1666666666666667</v>
      </c>
      <c r="K89" s="51" t="n">
        <v>2</v>
      </c>
      <c r="L89" s="52" t="n">
        <v>0.8100000000000001</v>
      </c>
      <c r="M89" s="52" t="n">
        <v>26.99</v>
      </c>
      <c r="N89" s="52" t="n">
        <v>33.32</v>
      </c>
      <c r="O89" s="53" t="n">
        <v>0.0011</v>
      </c>
      <c r="P89" s="52" t="n">
        <v>0.405</v>
      </c>
      <c r="Q89" s="53" t="n">
        <v>0.03001111522786217</v>
      </c>
      <c r="R89" s="52" t="n">
        <v>26.99</v>
      </c>
      <c r="S89" s="51" t="n">
        <v>1846</v>
      </c>
      <c r="T89" s="48" t="n">
        <v>0</v>
      </c>
      <c r="U89" s="49" t="n">
        <v>0</v>
      </c>
      <c r="V89" s="49" t="n">
        <v>4</v>
      </c>
      <c r="W89" s="50" t="n">
        <v>0</v>
      </c>
      <c r="X89" s="51" t="n">
        <v>1</v>
      </c>
      <c r="Y89" s="52" t="n">
        <v>0.41</v>
      </c>
      <c r="Z89" s="52" t="n">
        <v>26.99</v>
      </c>
      <c r="AA89" s="52" t="n">
        <v>65.83</v>
      </c>
      <c r="AB89" s="53" t="n">
        <v>0.0005999999999999999</v>
      </c>
      <c r="AC89" s="52" t="n">
        <v>0.41</v>
      </c>
      <c r="AD89" s="53" t="n">
        <v>0</v>
      </c>
      <c r="AE89" s="52" t="n">
        <v>0</v>
      </c>
      <c r="AF89" s="51" t="n">
        <v>1589</v>
      </c>
      <c r="AG89" s="48" t="n">
        <v>53.98</v>
      </c>
      <c r="AH89" s="49" t="n">
        <v>2</v>
      </c>
      <c r="AI89" s="49" t="n">
        <v>5</v>
      </c>
      <c r="AJ89" s="50" t="n">
        <v>0.4</v>
      </c>
      <c r="AK89" s="51" t="n">
        <v>0</v>
      </c>
      <c r="AL89" s="52" t="n">
        <v>0</v>
      </c>
      <c r="AM89" s="52" t="n">
        <v>0</v>
      </c>
      <c r="AN89" s="52" t="n">
        <v>0</v>
      </c>
      <c r="AO89" s="53" t="n">
        <v>0</v>
      </c>
      <c r="AP89" s="52" t="n">
        <v>0</v>
      </c>
      <c r="AQ89" s="53" t="n">
        <v>0</v>
      </c>
      <c r="AR89" s="52" t="n">
        <v>26.99</v>
      </c>
      <c r="AS89" s="51" t="n">
        <v>1856</v>
      </c>
      <c r="AT89" s="48" t="n">
        <v>0</v>
      </c>
      <c r="AU89" s="49" t="n">
        <v>0</v>
      </c>
      <c r="AV89" s="49" t="n">
        <v>2</v>
      </c>
      <c r="AW89" s="50" t="n">
        <v>0</v>
      </c>
      <c r="AX89" s="51" t="n">
        <v>1</v>
      </c>
      <c r="AY89" s="52" t="n">
        <v>0.41</v>
      </c>
      <c r="AZ89" s="52" t="n">
        <v>0</v>
      </c>
      <c r="BA89" s="52" t="n">
        <v>0</v>
      </c>
      <c r="BB89" s="53" t="n">
        <v>0.0004</v>
      </c>
      <c r="BC89" s="52" t="n">
        <v>0.41</v>
      </c>
      <c r="BD89" s="53" t="n">
        <v>0</v>
      </c>
      <c r="BE89" s="52" t="n">
        <v>0</v>
      </c>
      <c r="BF89" s="51" t="n">
        <v>2459</v>
      </c>
    </row>
    <row r="90">
      <c r="A90">
        <f>HYPERLINK("https://www.walmart.com/ip/3213812554", "3213812554")</f>
        <v/>
      </c>
      <c r="B90" t="inlineStr">
        <is>
          <t>Catalonia Waterproof Fleece Blanket for Outdoors, Hooded Blanket Poncho | Windproof, Warm, Wearable, Portable | for Stadium, Picnics, School Sporting Events, Camping, Beach, Outdoor Adventure</t>
        </is>
      </c>
      <c r="C90" t="inlineStr">
        <is>
          <t>1CTBC200BALLBL</t>
        </is>
      </c>
      <c r="D90" t="inlineStr">
        <is>
          <t>Throws</t>
        </is>
      </c>
      <c r="E90" t="inlineStr">
        <is>
          <t>Catalonia</t>
        </is>
      </c>
      <c r="F90" t="inlineStr">
        <is>
          <t>Q2-Target,Wproof Blanket</t>
        </is>
      </c>
      <c r="G90" s="48" t="n">
        <v>26.99</v>
      </c>
      <c r="H90" s="49" t="n">
        <v>1</v>
      </c>
      <c r="I90" s="49" t="n">
        <v>0</v>
      </c>
      <c r="J90" s="50" t="n">
        <v>0</v>
      </c>
      <c r="K90" s="51" t="n">
        <v>0</v>
      </c>
      <c r="L90" s="52" t="n">
        <v>0</v>
      </c>
      <c r="M90" s="52" t="n">
        <v>0</v>
      </c>
      <c r="N90" s="52" t="n">
        <v>0</v>
      </c>
      <c r="O90" s="53" t="n">
        <v>0</v>
      </c>
      <c r="P90" s="52" t="n">
        <v>0</v>
      </c>
      <c r="Q90" s="53" t="n">
        <v>0</v>
      </c>
      <c r="R90" s="52" t="n">
        <v>26.99</v>
      </c>
      <c r="S90" s="51" t="n">
        <v>0</v>
      </c>
      <c r="T90" s="48" t="n">
        <v>0</v>
      </c>
      <c r="U90" s="49" t="n">
        <v>0</v>
      </c>
      <c r="V90" s="49" t="n">
        <v>0</v>
      </c>
      <c r="W90" s="50" t="n">
        <v>0</v>
      </c>
      <c r="X90" s="51" t="n">
        <v>0</v>
      </c>
      <c r="Y90" s="52" t="n">
        <v>0</v>
      </c>
      <c r="Z90" s="52" t="n">
        <v>0</v>
      </c>
      <c r="AA90" s="52" t="n">
        <v>0</v>
      </c>
      <c r="AB90" s="53" t="n">
        <v>0</v>
      </c>
      <c r="AC90" s="52" t="n">
        <v>0</v>
      </c>
      <c r="AD90" s="53" t="n">
        <v>0</v>
      </c>
      <c r="AE90" s="52" t="n">
        <v>0</v>
      </c>
      <c r="AF90" s="51" t="n">
        <v>0</v>
      </c>
      <c r="AG90" s="48" t="n">
        <v>0</v>
      </c>
      <c r="AH90" s="49" t="n">
        <v>0</v>
      </c>
      <c r="AI90" s="49" t="n">
        <v>0</v>
      </c>
      <c r="AJ90" s="50" t="n">
        <v>0</v>
      </c>
      <c r="AK90" s="51" t="n">
        <v>0</v>
      </c>
      <c r="AL90" s="52" t="n">
        <v>0</v>
      </c>
      <c r="AM90" s="52" t="n">
        <v>0</v>
      </c>
      <c r="AN90" s="52" t="n">
        <v>0</v>
      </c>
      <c r="AO90" s="53" t="n">
        <v>0</v>
      </c>
      <c r="AP90" s="52" t="n">
        <v>0</v>
      </c>
      <c r="AQ90" s="53" t="n">
        <v>0</v>
      </c>
      <c r="AR90" s="52" t="n">
        <v>0</v>
      </c>
      <c r="AS90" s="51" t="n">
        <v>0</v>
      </c>
      <c r="AT90" s="48" t="n">
        <v>0</v>
      </c>
      <c r="AU90" s="49" t="n">
        <v>0</v>
      </c>
      <c r="AV90" s="49" t="n">
        <v>0</v>
      </c>
      <c r="AW90" s="50" t="n">
        <v>0</v>
      </c>
      <c r="AX90" s="51" t="n">
        <v>0</v>
      </c>
      <c r="AY90" s="52" t="n">
        <v>0</v>
      </c>
      <c r="AZ90" s="52" t="n">
        <v>0</v>
      </c>
      <c r="BA90" s="52" t="n">
        <v>0</v>
      </c>
      <c r="BB90" s="53" t="n">
        <v>0</v>
      </c>
      <c r="BC90" s="52" t="n">
        <v>0</v>
      </c>
      <c r="BD90" s="53" t="n">
        <v>0</v>
      </c>
      <c r="BE90" s="52" t="n">
        <v>0</v>
      </c>
      <c r="BF90" s="51" t="n">
        <v>0</v>
      </c>
    </row>
    <row r="91">
      <c r="A91">
        <f>HYPERLINK("https://www.walmart.com/ip/3081948362", "3081948362")</f>
        <v/>
      </c>
      <c r="B91" t="inlineStr">
        <is>
          <t>Outdoor Wide Brim Sun Hats Blocking UV Protection Cap UPF 50+ Foldable Mesh Net for Finishing, Hiking, Camping by Solari</t>
        </is>
      </c>
      <c r="C91" t="inlineStr">
        <is>
          <t>1SLSH912GN</t>
        </is>
      </c>
      <c r="D91" t="inlineStr">
        <is>
          <t>Hats</t>
        </is>
      </c>
      <c r="E91" t="inlineStr">
        <is>
          <t>Solaris</t>
        </is>
      </c>
      <c r="G91" s="48" t="n">
        <v>26.97</v>
      </c>
      <c r="H91" s="49" t="n">
        <v>3</v>
      </c>
      <c r="I91" s="49" t="n">
        <v>3</v>
      </c>
      <c r="J91" s="50" t="n">
        <v>1</v>
      </c>
      <c r="K91" s="51" t="n">
        <v>0</v>
      </c>
      <c r="L91" s="52" t="n">
        <v>0</v>
      </c>
      <c r="M91" s="52" t="n">
        <v>0</v>
      </c>
      <c r="N91" s="52" t="n">
        <v>0</v>
      </c>
      <c r="O91" s="53" t="n">
        <v>0</v>
      </c>
      <c r="P91" s="52" t="n">
        <v>0</v>
      </c>
      <c r="Q91" s="53" t="n">
        <v>0</v>
      </c>
      <c r="R91" s="52" t="n">
        <v>8.99</v>
      </c>
      <c r="S91" s="51" t="n">
        <v>0</v>
      </c>
      <c r="T91" s="48" t="n">
        <v>8.99</v>
      </c>
      <c r="U91" s="49" t="n">
        <v>1</v>
      </c>
      <c r="V91" s="49" t="n">
        <v>0</v>
      </c>
      <c r="W91" s="50" t="n">
        <v>0</v>
      </c>
      <c r="X91" s="51" t="n">
        <v>0</v>
      </c>
      <c r="Y91" s="52" t="n">
        <v>0</v>
      </c>
      <c r="Z91" s="52" t="n">
        <v>0</v>
      </c>
      <c r="AA91" s="52" t="n">
        <v>0</v>
      </c>
      <c r="AB91" s="53" t="n">
        <v>0</v>
      </c>
      <c r="AC91" s="52" t="n">
        <v>0</v>
      </c>
      <c r="AD91" s="53" t="n">
        <v>0</v>
      </c>
      <c r="AE91" s="52" t="n">
        <v>8.99</v>
      </c>
      <c r="AF91" s="51" t="n">
        <v>0</v>
      </c>
      <c r="AG91" s="48" t="n">
        <v>0</v>
      </c>
      <c r="AH91" s="49" t="n">
        <v>0</v>
      </c>
      <c r="AI91" s="49" t="n">
        <v>0</v>
      </c>
      <c r="AJ91" s="50" t="n">
        <v>0</v>
      </c>
      <c r="AK91" s="51" t="n">
        <v>0</v>
      </c>
      <c r="AL91" s="52" t="n">
        <v>0</v>
      </c>
      <c r="AM91" s="52" t="n">
        <v>0</v>
      </c>
      <c r="AN91" s="52" t="n">
        <v>0</v>
      </c>
      <c r="AO91" s="53" t="n">
        <v>0</v>
      </c>
      <c r="AP91" s="52" t="n">
        <v>0</v>
      </c>
      <c r="AQ91" s="53" t="n">
        <v>0</v>
      </c>
      <c r="AR91" s="52" t="n">
        <v>0</v>
      </c>
      <c r="AS91" s="51" t="n">
        <v>0</v>
      </c>
      <c r="AT91" s="48" t="n">
        <v>0</v>
      </c>
      <c r="AU91" s="49" t="n">
        <v>0</v>
      </c>
      <c r="AV91" s="49" t="n">
        <v>0</v>
      </c>
      <c r="AW91" s="50" t="n">
        <v>0</v>
      </c>
      <c r="AX91" s="51" t="n">
        <v>0</v>
      </c>
      <c r="AY91" s="52" t="n">
        <v>0</v>
      </c>
      <c r="AZ91" s="52" t="n">
        <v>0</v>
      </c>
      <c r="BA91" s="52" t="n">
        <v>0</v>
      </c>
      <c r="BB91" s="53" t="n">
        <v>0</v>
      </c>
      <c r="BC91" s="52" t="n">
        <v>0</v>
      </c>
      <c r="BD91" s="53" t="n">
        <v>0</v>
      </c>
      <c r="BE91" s="52" t="n">
        <v>0</v>
      </c>
      <c r="BF91" s="51" t="n">
        <v>0</v>
      </c>
    </row>
    <row r="92">
      <c r="A92">
        <f>HYPERLINK("https://www.walmart.com/ip/244456244", "244456244")</f>
        <v/>
      </c>
      <c r="B92" t="inlineStr">
        <is>
          <t>Pawsse Waterproof Pet Snuggle Blanket, Dog Puppy Cat Fleece Sherpa Throws Cushion Mat for Car Seat Furniture Protector Cover Medium 50"x60"</t>
        </is>
      </c>
      <c r="C92" t="inlineStr">
        <is>
          <t>1PSBW561GYTP</t>
        </is>
      </c>
      <c r="D92" t="inlineStr">
        <is>
          <t>Pet Blankets</t>
        </is>
      </c>
      <c r="E92" t="inlineStr">
        <is>
          <t>Pawsse</t>
        </is>
      </c>
      <c r="F92" t="inlineStr">
        <is>
          <t>Batch 1 - TR</t>
        </is>
      </c>
      <c r="G92" s="48" t="n">
        <v>25.99</v>
      </c>
      <c r="H92" s="49" t="n">
        <v>1</v>
      </c>
      <c r="I92" s="49" t="n">
        <v>12</v>
      </c>
      <c r="J92" s="50" t="n">
        <v>0.08333333333333333</v>
      </c>
      <c r="K92" s="51" t="n">
        <v>0</v>
      </c>
      <c r="L92" s="52" t="n">
        <v>0</v>
      </c>
      <c r="M92" s="52" t="n">
        <v>0</v>
      </c>
      <c r="N92" s="52" t="n">
        <v>0</v>
      </c>
      <c r="O92" s="53" t="n">
        <v>0</v>
      </c>
      <c r="P92" s="52" t="n">
        <v>0</v>
      </c>
      <c r="Q92" s="53" t="n">
        <v>0</v>
      </c>
      <c r="R92" s="52" t="n">
        <v>25.99</v>
      </c>
      <c r="S92" s="51" t="n">
        <v>0</v>
      </c>
      <c r="T92" s="48" t="n">
        <v>0</v>
      </c>
      <c r="U92" s="49" t="n">
        <v>0</v>
      </c>
      <c r="V92" s="49" t="n">
        <v>2</v>
      </c>
      <c r="W92" s="50" t="n">
        <v>0</v>
      </c>
      <c r="X92" s="51" t="n">
        <v>0</v>
      </c>
      <c r="Y92" s="52" t="n">
        <v>0</v>
      </c>
      <c r="Z92" s="52" t="n">
        <v>0</v>
      </c>
      <c r="AA92" s="52" t="n">
        <v>0</v>
      </c>
      <c r="AB92" s="53" t="n">
        <v>0</v>
      </c>
      <c r="AC92" s="52" t="n">
        <v>0</v>
      </c>
      <c r="AD92" s="53" t="n">
        <v>0</v>
      </c>
      <c r="AE92" s="52" t="n">
        <v>0</v>
      </c>
      <c r="AF92" s="51" t="n">
        <v>0</v>
      </c>
      <c r="AG92" s="48" t="n">
        <v>0</v>
      </c>
      <c r="AH92" s="49" t="n">
        <v>0</v>
      </c>
      <c r="AI92" s="49" t="n">
        <v>0</v>
      </c>
      <c r="AJ92" s="50" t="n">
        <v>0</v>
      </c>
      <c r="AK92" s="51" t="n">
        <v>0</v>
      </c>
      <c r="AL92" s="52" t="n">
        <v>0</v>
      </c>
      <c r="AM92" s="52" t="n">
        <v>0</v>
      </c>
      <c r="AN92" s="52" t="n">
        <v>0</v>
      </c>
      <c r="AO92" s="53" t="n">
        <v>0</v>
      </c>
      <c r="AP92" s="52" t="n">
        <v>0</v>
      </c>
      <c r="AQ92" s="53" t="n">
        <v>0</v>
      </c>
      <c r="AR92" s="52" t="n">
        <v>0</v>
      </c>
      <c r="AS92" s="51" t="n">
        <v>0</v>
      </c>
      <c r="AT92" s="48" t="n">
        <v>0</v>
      </c>
      <c r="AU92" s="49" t="n">
        <v>0</v>
      </c>
      <c r="AV92" s="49" t="n">
        <v>5</v>
      </c>
      <c r="AW92" s="50" t="n">
        <v>0</v>
      </c>
      <c r="AX92" s="51" t="n">
        <v>0</v>
      </c>
      <c r="AY92" s="52" t="n">
        <v>0</v>
      </c>
      <c r="AZ92" s="52" t="n">
        <v>0</v>
      </c>
      <c r="BA92" s="52" t="n">
        <v>0</v>
      </c>
      <c r="BB92" s="53" t="n">
        <v>0</v>
      </c>
      <c r="BC92" s="52" t="n">
        <v>0</v>
      </c>
      <c r="BD92" s="53" t="n">
        <v>0</v>
      </c>
      <c r="BE92" s="52" t="n">
        <v>0</v>
      </c>
      <c r="BF92" s="51" t="n">
        <v>0</v>
      </c>
    </row>
    <row r="93">
      <c r="A93">
        <f>HYPERLINK("https://www.walmart.com/ip/736926147", "736926147")</f>
        <v/>
      </c>
      <c r="B93" t="inlineStr">
        <is>
          <t>Kritter Planet Waterproof Dog Blanket for Couch, Washable Pet Couch Cover, Non-slip Bed Sofa Furniture Protector Mat, Latte, 80''x60''.</t>
        </is>
      </c>
      <c r="C93" t="inlineStr">
        <is>
          <t>1KPBW686LT</t>
        </is>
      </c>
      <c r="D93" t="inlineStr">
        <is>
          <t>Pet Blankets</t>
        </is>
      </c>
      <c r="E93" t="inlineStr">
        <is>
          <t>Kritter Planet</t>
        </is>
      </c>
      <c r="F93" t="inlineStr">
        <is>
          <t>Q2-Target,SEM,Batch 1 - TR</t>
        </is>
      </c>
      <c r="G93" s="48" t="n">
        <v>25.99</v>
      </c>
      <c r="H93" s="49" t="n">
        <v>1</v>
      </c>
      <c r="I93" s="49" t="n">
        <v>12</v>
      </c>
      <c r="J93" s="50" t="n">
        <v>0.08333333333333333</v>
      </c>
      <c r="K93" s="51" t="n">
        <v>20</v>
      </c>
      <c r="L93" s="52" t="n">
        <v>6.62</v>
      </c>
      <c r="M93" s="52" t="n">
        <v>89.95999999999999</v>
      </c>
      <c r="N93" s="52" t="n">
        <v>13.59</v>
      </c>
      <c r="O93" s="53" t="n">
        <v>0.0057</v>
      </c>
      <c r="P93" s="52" t="n">
        <v>0.331</v>
      </c>
      <c r="Q93" s="53" t="n">
        <v>0.2547133512889573</v>
      </c>
      <c r="R93" s="52" t="n">
        <v>25.99</v>
      </c>
      <c r="S93" s="51" t="n">
        <v>3527</v>
      </c>
      <c r="T93" s="48" t="n">
        <v>77.97</v>
      </c>
      <c r="U93" s="49" t="n">
        <v>3</v>
      </c>
      <c r="V93" s="49" t="n">
        <v>13</v>
      </c>
      <c r="W93" s="50" t="n">
        <v>0.2307692307692308</v>
      </c>
      <c r="X93" s="51" t="n">
        <v>20</v>
      </c>
      <c r="Y93" s="52" t="n">
        <v>6.5</v>
      </c>
      <c r="Z93" s="52" t="n">
        <v>51.98</v>
      </c>
      <c r="AA93" s="52" t="n">
        <v>8</v>
      </c>
      <c r="AB93" s="53" t="n">
        <v>0.0048</v>
      </c>
      <c r="AC93" s="52" t="n">
        <v>0.325</v>
      </c>
      <c r="AD93" s="53" t="n">
        <v>0.08336539694754393</v>
      </c>
      <c r="AE93" s="52" t="n">
        <v>25.99</v>
      </c>
      <c r="AF93" s="51" t="n">
        <v>4205</v>
      </c>
      <c r="AG93" s="48" t="n">
        <v>51.98</v>
      </c>
      <c r="AH93" s="49" t="n">
        <v>2</v>
      </c>
      <c r="AI93" s="49" t="n">
        <v>16</v>
      </c>
      <c r="AJ93" s="50" t="n">
        <v>0.125</v>
      </c>
      <c r="AK93" s="51" t="n">
        <v>21</v>
      </c>
      <c r="AL93" s="52" t="n">
        <v>6.88</v>
      </c>
      <c r="AM93" s="52" t="n">
        <v>23.99</v>
      </c>
      <c r="AN93" s="52" t="n">
        <v>3.49</v>
      </c>
      <c r="AO93" s="53" t="n">
        <v>0.0048</v>
      </c>
      <c r="AP93" s="52" t="n">
        <v>0.3276190476190476</v>
      </c>
      <c r="AQ93" s="53" t="n">
        <v>0.1323585994613313</v>
      </c>
      <c r="AR93" s="52" t="n">
        <v>25.99</v>
      </c>
      <c r="AS93" s="51" t="n">
        <v>4346</v>
      </c>
      <c r="AT93" s="48" t="n">
        <v>77.97</v>
      </c>
      <c r="AU93" s="49" t="n">
        <v>3</v>
      </c>
      <c r="AV93" s="49" t="n">
        <v>22</v>
      </c>
      <c r="AW93" s="50" t="n">
        <v>0.1363636363636364</v>
      </c>
      <c r="AX93" s="51" t="n">
        <v>9</v>
      </c>
      <c r="AY93" s="52" t="n">
        <v>2.9</v>
      </c>
      <c r="AZ93" s="52" t="n">
        <v>73.97</v>
      </c>
      <c r="BA93" s="52" t="n">
        <v>25.51</v>
      </c>
      <c r="BB93" s="53" t="n">
        <v>0.0033</v>
      </c>
      <c r="BC93" s="52" t="n">
        <v>0.3222222222222222</v>
      </c>
      <c r="BD93" s="53" t="n">
        <v>0.03719379248428883</v>
      </c>
      <c r="BE93" s="52" t="n">
        <v>25.99</v>
      </c>
      <c r="BF93" s="51" t="n">
        <v>2758</v>
      </c>
    </row>
    <row r="94">
      <c r="A94">
        <f>HYPERLINK("https://www.walmart.com/ip/950464832", "950464832")</f>
        <v/>
      </c>
      <c r="B94" t="inlineStr">
        <is>
          <t>Catalonia Sherpa Fleece Blanket, Super Soft Plush Cheetah Print 60x80 inches for Bed, Sofa, Couch Throw, Comfy Cozy Fluffy Warm Comforter, Caring Gift</t>
        </is>
      </c>
      <c r="C94" t="inlineStr">
        <is>
          <t>1CTBF368CHEETAH</t>
        </is>
      </c>
      <c r="D94" t="inlineStr">
        <is>
          <t>Throws</t>
        </is>
      </c>
      <c r="E94" t="inlineStr">
        <is>
          <t>Catalonia</t>
        </is>
      </c>
      <c r="F94" t="inlineStr">
        <is>
          <t>Q2-Target,Optimized,WFS,Coupon_Discount,WFS Item,Fleece Blankets</t>
        </is>
      </c>
      <c r="G94" s="48" t="n">
        <v>24.99</v>
      </c>
      <c r="H94" s="49" t="n">
        <v>1</v>
      </c>
      <c r="I94" s="49" t="n">
        <v>0</v>
      </c>
      <c r="J94" s="50" t="n">
        <v>0</v>
      </c>
      <c r="K94" s="51" t="n">
        <v>0</v>
      </c>
      <c r="L94" s="52" t="n">
        <v>0</v>
      </c>
      <c r="M94" s="52" t="n">
        <v>0</v>
      </c>
      <c r="N94" s="52" t="n">
        <v>0</v>
      </c>
      <c r="O94" s="53" t="n">
        <v>0</v>
      </c>
      <c r="P94" s="52" t="n">
        <v>0</v>
      </c>
      <c r="Q94" s="53" t="n">
        <v>0</v>
      </c>
      <c r="R94" s="52" t="n">
        <v>24.99</v>
      </c>
      <c r="S94" s="51" t="n">
        <v>0</v>
      </c>
      <c r="T94" s="48" t="n">
        <v>0</v>
      </c>
      <c r="U94" s="49" t="n">
        <v>0</v>
      </c>
      <c r="V94" s="49" t="n">
        <v>0</v>
      </c>
      <c r="W94" s="50" t="n">
        <v>0</v>
      </c>
      <c r="X94" s="51" t="n">
        <v>0</v>
      </c>
      <c r="Y94" s="52" t="n">
        <v>0</v>
      </c>
      <c r="Z94" s="52" t="n">
        <v>0</v>
      </c>
      <c r="AA94" s="52" t="n">
        <v>0</v>
      </c>
      <c r="AB94" s="53" t="n">
        <v>0</v>
      </c>
      <c r="AC94" s="52" t="n">
        <v>0</v>
      </c>
      <c r="AD94" s="53" t="n">
        <v>0</v>
      </c>
      <c r="AE94" s="52" t="n">
        <v>0</v>
      </c>
      <c r="AF94" s="51" t="n">
        <v>0</v>
      </c>
      <c r="AG94" s="48" t="n">
        <v>0</v>
      </c>
      <c r="AH94" s="49" t="n">
        <v>0</v>
      </c>
      <c r="AI94" s="49" t="n">
        <v>0</v>
      </c>
      <c r="AJ94" s="50" t="n">
        <v>0</v>
      </c>
      <c r="AK94" s="51" t="n">
        <v>0</v>
      </c>
      <c r="AL94" s="52" t="n">
        <v>0</v>
      </c>
      <c r="AM94" s="52" t="n">
        <v>0</v>
      </c>
      <c r="AN94" s="52" t="n">
        <v>0</v>
      </c>
      <c r="AO94" s="53" t="n">
        <v>0</v>
      </c>
      <c r="AP94" s="52" t="n">
        <v>0</v>
      </c>
      <c r="AQ94" s="53" t="n">
        <v>0</v>
      </c>
      <c r="AR94" s="52" t="n">
        <v>0</v>
      </c>
      <c r="AS94" s="51" t="n">
        <v>0</v>
      </c>
      <c r="AT94" s="48" t="n">
        <v>0</v>
      </c>
      <c r="AU94" s="49" t="n">
        <v>0</v>
      </c>
      <c r="AV94" s="49" t="n">
        <v>0</v>
      </c>
      <c r="AW94" s="50" t="n">
        <v>0</v>
      </c>
      <c r="AX94" s="51" t="n">
        <v>0</v>
      </c>
      <c r="AY94" s="52" t="n">
        <v>0</v>
      </c>
      <c r="AZ94" s="52" t="n">
        <v>0</v>
      </c>
      <c r="BA94" s="52" t="n">
        <v>0</v>
      </c>
      <c r="BB94" s="53" t="n">
        <v>0</v>
      </c>
      <c r="BC94" s="52" t="n">
        <v>0</v>
      </c>
      <c r="BD94" s="53" t="n">
        <v>0</v>
      </c>
      <c r="BE94" s="52" t="n">
        <v>0</v>
      </c>
      <c r="BF94" s="51" t="n">
        <v>0</v>
      </c>
    </row>
    <row r="95">
      <c r="A95">
        <f>HYPERLINK("https://www.walmart.com/ip/643661221", "643661221")</f>
        <v/>
      </c>
      <c r="B95" t="inlineStr">
        <is>
          <t>Kato 4 Glass and 2 Wine Bottle Holder, Wine Glass Hanging Drying Stand Organizer on Countertop with Free Corkscrew, Wine Rack, Bamboo</t>
        </is>
      </c>
      <c r="C95" t="inlineStr">
        <is>
          <t>1KTBR100</t>
        </is>
      </c>
      <c r="D95" t="inlineStr">
        <is>
          <t>Wine Racks</t>
        </is>
      </c>
      <c r="E95" t="inlineStr">
        <is>
          <t>Kato</t>
        </is>
      </c>
      <c r="F95" t="inlineStr">
        <is>
          <t>Wine,Q2-Target,Christmas,Optimized,Wine WFS,Valentine</t>
        </is>
      </c>
      <c r="G95" s="48" t="n">
        <v>24.99</v>
      </c>
      <c r="H95" s="49" t="n">
        <v>1</v>
      </c>
      <c r="I95" s="49" t="n">
        <v>7</v>
      </c>
      <c r="J95" s="50" t="n">
        <v>0.1428571428571428</v>
      </c>
      <c r="K95" s="51" t="n">
        <v>0</v>
      </c>
      <c r="L95" s="52" t="n">
        <v>0</v>
      </c>
      <c r="M95" s="52" t="n">
        <v>0</v>
      </c>
      <c r="N95" s="52" t="n">
        <v>0</v>
      </c>
      <c r="O95" s="53" t="n">
        <v>0</v>
      </c>
      <c r="P95" s="52" t="n">
        <v>0</v>
      </c>
      <c r="Q95" s="53" t="n">
        <v>0</v>
      </c>
      <c r="R95" s="52" t="n">
        <v>24.99</v>
      </c>
      <c r="S95" s="51" t="n">
        <v>0</v>
      </c>
      <c r="T95" s="48" t="n">
        <v>0</v>
      </c>
      <c r="U95" s="49" t="n">
        <v>0</v>
      </c>
      <c r="V95" s="49" t="n">
        <v>4</v>
      </c>
      <c r="W95" s="50" t="n">
        <v>0</v>
      </c>
      <c r="X95" s="51" t="n">
        <v>0</v>
      </c>
      <c r="Y95" s="52" t="n">
        <v>0</v>
      </c>
      <c r="Z95" s="52" t="n">
        <v>0</v>
      </c>
      <c r="AA95" s="52" t="n">
        <v>0</v>
      </c>
      <c r="AB95" s="53" t="n">
        <v>0</v>
      </c>
      <c r="AC95" s="52" t="n">
        <v>0</v>
      </c>
      <c r="AD95" s="53" t="n">
        <v>0</v>
      </c>
      <c r="AE95" s="52" t="n">
        <v>0</v>
      </c>
      <c r="AF95" s="51" t="n">
        <v>0</v>
      </c>
      <c r="AG95" s="48" t="n">
        <v>0</v>
      </c>
      <c r="AH95" s="49" t="n">
        <v>0</v>
      </c>
      <c r="AI95" s="49" t="n">
        <v>3</v>
      </c>
      <c r="AJ95" s="50" t="n">
        <v>0</v>
      </c>
      <c r="AK95" s="51" t="n">
        <v>0</v>
      </c>
      <c r="AL95" s="52" t="n">
        <v>0</v>
      </c>
      <c r="AM95" s="52" t="n">
        <v>0</v>
      </c>
      <c r="AN95" s="52" t="n">
        <v>0</v>
      </c>
      <c r="AO95" s="53" t="n">
        <v>0</v>
      </c>
      <c r="AP95" s="52" t="n">
        <v>0</v>
      </c>
      <c r="AQ95" s="53" t="n">
        <v>0</v>
      </c>
      <c r="AR95" s="52" t="n">
        <v>0</v>
      </c>
      <c r="AS95" s="51" t="n">
        <v>0</v>
      </c>
      <c r="AT95" s="48" t="n">
        <v>0</v>
      </c>
      <c r="AU95" s="49" t="n">
        <v>0</v>
      </c>
      <c r="AV95" s="49" t="n">
        <v>4</v>
      </c>
      <c r="AW95" s="50" t="n">
        <v>0</v>
      </c>
      <c r="AX95" s="51" t="n">
        <v>0</v>
      </c>
      <c r="AY95" s="52" t="n">
        <v>0</v>
      </c>
      <c r="AZ95" s="52" t="n">
        <v>0</v>
      </c>
      <c r="BA95" s="52" t="n">
        <v>0</v>
      </c>
      <c r="BB95" s="53" t="n">
        <v>0</v>
      </c>
      <c r="BC95" s="52" t="n">
        <v>0</v>
      </c>
      <c r="BD95" s="53" t="n">
        <v>0</v>
      </c>
      <c r="BE95" s="52" t="n">
        <v>0</v>
      </c>
      <c r="BF95" s="51" t="n">
        <v>0</v>
      </c>
    </row>
    <row r="96">
      <c r="A96">
        <f>HYPERLINK("https://www.walmart.com/ip/410899457", "410899457")</f>
        <v/>
      </c>
      <c r="B96" t="inlineStr">
        <is>
          <t>Sun Blocker Outdoor Sun Protection Cap with Neck Flap and Wide Brim, Sun Hat for Men and Women for Baseball, Backpacking, Cycling, Hiking, Garden, Hunting, and Camping, Gray</t>
        </is>
      </c>
      <c r="C96" t="inlineStr">
        <is>
          <t>KC-S9155-GY</t>
        </is>
      </c>
      <c r="D96" t="inlineStr">
        <is>
          <t>Hats</t>
        </is>
      </c>
      <c r="E96" t="inlineStr">
        <is>
          <t>Sun Blocker</t>
        </is>
      </c>
      <c r="F96" t="inlineStr">
        <is>
          <t>Q2-Target,Hats</t>
        </is>
      </c>
      <c r="G96" s="48" t="n">
        <v>24.98</v>
      </c>
      <c r="H96" s="49" t="n">
        <v>1</v>
      </c>
      <c r="I96" s="49" t="n">
        <v>0</v>
      </c>
      <c r="J96" s="50" t="n">
        <v>0</v>
      </c>
      <c r="K96" s="51" t="n">
        <v>0</v>
      </c>
      <c r="L96" s="52" t="n">
        <v>0</v>
      </c>
      <c r="M96" s="52" t="n">
        <v>0</v>
      </c>
      <c r="N96" s="52" t="n">
        <v>0</v>
      </c>
      <c r="O96" s="53" t="n">
        <v>0</v>
      </c>
      <c r="P96" s="52" t="n">
        <v>0</v>
      </c>
      <c r="Q96" s="53" t="n">
        <v>0</v>
      </c>
      <c r="R96" s="52" t="n">
        <v>24.98</v>
      </c>
      <c r="S96" s="51" t="n">
        <v>0</v>
      </c>
      <c r="T96" s="48" t="n">
        <v>0</v>
      </c>
      <c r="U96" s="49" t="n">
        <v>0</v>
      </c>
      <c r="V96" s="49" t="n">
        <v>0</v>
      </c>
      <c r="W96" s="50" t="n">
        <v>0</v>
      </c>
      <c r="X96" s="51" t="n">
        <v>0</v>
      </c>
      <c r="Y96" s="52" t="n">
        <v>0</v>
      </c>
      <c r="Z96" s="52" t="n">
        <v>0</v>
      </c>
      <c r="AA96" s="52" t="n">
        <v>0</v>
      </c>
      <c r="AB96" s="53" t="n">
        <v>0</v>
      </c>
      <c r="AC96" s="52" t="n">
        <v>0</v>
      </c>
      <c r="AD96" s="53" t="n">
        <v>0</v>
      </c>
      <c r="AE96" s="52" t="n">
        <v>0</v>
      </c>
      <c r="AF96" s="51" t="n">
        <v>0</v>
      </c>
      <c r="AG96" s="48" t="n">
        <v>0</v>
      </c>
      <c r="AH96" s="49" t="n">
        <v>0</v>
      </c>
      <c r="AI96" s="49" t="n">
        <v>0</v>
      </c>
      <c r="AJ96" s="50" t="n">
        <v>0</v>
      </c>
      <c r="AK96" s="51" t="n">
        <v>0</v>
      </c>
      <c r="AL96" s="52" t="n">
        <v>0</v>
      </c>
      <c r="AM96" s="52" t="n">
        <v>0</v>
      </c>
      <c r="AN96" s="52" t="n">
        <v>0</v>
      </c>
      <c r="AO96" s="53" t="n">
        <v>0</v>
      </c>
      <c r="AP96" s="52" t="n">
        <v>0</v>
      </c>
      <c r="AQ96" s="53" t="n">
        <v>0</v>
      </c>
      <c r="AR96" s="52" t="n">
        <v>0</v>
      </c>
      <c r="AS96" s="51" t="n">
        <v>0</v>
      </c>
      <c r="AT96" s="48" t="n">
        <v>0</v>
      </c>
      <c r="AU96" s="49" t="n">
        <v>0</v>
      </c>
      <c r="AV96" s="49" t="n">
        <v>0</v>
      </c>
      <c r="AW96" s="50" t="n">
        <v>0</v>
      </c>
      <c r="AX96" s="51" t="n">
        <v>0</v>
      </c>
      <c r="AY96" s="52" t="n">
        <v>0</v>
      </c>
      <c r="AZ96" s="52" t="n">
        <v>0</v>
      </c>
      <c r="BA96" s="52" t="n">
        <v>0</v>
      </c>
      <c r="BB96" s="53" t="n">
        <v>0</v>
      </c>
      <c r="BC96" s="52" t="n">
        <v>0</v>
      </c>
      <c r="BD96" s="53" t="n">
        <v>0</v>
      </c>
      <c r="BE96" s="52" t="n">
        <v>0</v>
      </c>
      <c r="BF96" s="51" t="n">
        <v>0</v>
      </c>
    </row>
    <row r="97">
      <c r="A97">
        <f>HYPERLINK("https://www.walmart.com/ip/849129071", "849129071")</f>
        <v/>
      </c>
      <c r="B97" t="inlineStr">
        <is>
          <t>Kritter Planet Waterproof Dog Blanket for Couch, Washable Pet Couch Cover, Non-slip Bed Sofa Furniture Protector Mat, Gray, 60''x80''.</t>
        </is>
      </c>
      <c r="C97" t="inlineStr">
        <is>
          <t>1KPBW686GY</t>
        </is>
      </c>
      <c r="D97" t="inlineStr">
        <is>
          <t>Pet Blankets</t>
        </is>
      </c>
      <c r="E97" t="inlineStr">
        <is>
          <t>Kritter Planet</t>
        </is>
      </c>
      <c r="F97" t="inlineStr">
        <is>
          <t>Q2-Target,Optimized</t>
        </is>
      </c>
      <c r="G97" s="48" t="n">
        <v>23.99</v>
      </c>
      <c r="H97" s="49" t="n">
        <v>1</v>
      </c>
      <c r="I97" s="49" t="n">
        <v>10</v>
      </c>
      <c r="J97" s="50" t="n">
        <v>0.1</v>
      </c>
      <c r="K97" s="51" t="n">
        <v>4</v>
      </c>
      <c r="L97" s="52" t="n">
        <v>0.84</v>
      </c>
      <c r="M97" s="52" t="n">
        <v>0</v>
      </c>
      <c r="N97" s="52" t="n">
        <v>0</v>
      </c>
      <c r="O97" s="53" t="n">
        <v>0.0022</v>
      </c>
      <c r="P97" s="52" t="n">
        <v>0.21</v>
      </c>
      <c r="Q97" s="53" t="n">
        <v>0.03501458941225511</v>
      </c>
      <c r="R97" s="52" t="n">
        <v>23.99</v>
      </c>
      <c r="S97" s="51" t="n">
        <v>1807</v>
      </c>
      <c r="T97" s="48" t="n">
        <v>23.99</v>
      </c>
      <c r="U97" s="49" t="n">
        <v>1</v>
      </c>
      <c r="V97" s="49" t="n">
        <v>9</v>
      </c>
      <c r="W97" s="50" t="n">
        <v>0.1111111111111111</v>
      </c>
      <c r="X97" s="51" t="n">
        <v>6</v>
      </c>
      <c r="Y97" s="52" t="n">
        <v>1.26</v>
      </c>
      <c r="Z97" s="52" t="n">
        <v>14.99</v>
      </c>
      <c r="AA97" s="52" t="n">
        <v>11.9</v>
      </c>
      <c r="AB97" s="53" t="n">
        <v>0.0023</v>
      </c>
      <c r="AC97" s="52" t="n">
        <v>0.21</v>
      </c>
      <c r="AD97" s="53" t="n">
        <v>0.05252188411838266</v>
      </c>
      <c r="AE97" s="52" t="n">
        <v>23.99</v>
      </c>
      <c r="AF97" s="51" t="n">
        <v>2643</v>
      </c>
      <c r="AG97" s="48" t="n">
        <v>24.99</v>
      </c>
      <c r="AH97" s="49" t="n">
        <v>1</v>
      </c>
      <c r="AI97" s="49" t="n">
        <v>12</v>
      </c>
      <c r="AJ97" s="50" t="n">
        <v>0.08333333333333333</v>
      </c>
      <c r="AK97" s="51" t="n">
        <v>2</v>
      </c>
      <c r="AL97" s="52" t="n">
        <v>0.42</v>
      </c>
      <c r="AM97" s="52" t="n">
        <v>0</v>
      </c>
      <c r="AN97" s="52" t="n">
        <v>0</v>
      </c>
      <c r="AO97" s="53" t="n">
        <v>0.0005999999999999999</v>
      </c>
      <c r="AP97" s="52" t="n">
        <v>0.21</v>
      </c>
      <c r="AQ97" s="53" t="n">
        <v>0.01680672268907563</v>
      </c>
      <c r="AR97" s="52" t="n">
        <v>24.99</v>
      </c>
      <c r="AS97" s="51" t="n">
        <v>3607</v>
      </c>
      <c r="AT97" s="48" t="n">
        <v>23.99</v>
      </c>
      <c r="AU97" s="49" t="n">
        <v>1</v>
      </c>
      <c r="AV97" s="49" t="n">
        <v>11</v>
      </c>
      <c r="AW97" s="50" t="n">
        <v>0.09090909090909091</v>
      </c>
      <c r="AX97" s="51" t="n">
        <v>4</v>
      </c>
      <c r="AY97" s="52" t="n">
        <v>0.84</v>
      </c>
      <c r="AZ97" s="52" t="n">
        <v>0</v>
      </c>
      <c r="BA97" s="52" t="n">
        <v>0</v>
      </c>
      <c r="BB97" s="53" t="n">
        <v>0.002</v>
      </c>
      <c r="BC97" s="52" t="n">
        <v>0.21</v>
      </c>
      <c r="BD97" s="53" t="n">
        <v>0.03501458941225511</v>
      </c>
      <c r="BE97" s="52" t="n">
        <v>23.99</v>
      </c>
      <c r="BF97" s="51" t="n">
        <v>1993</v>
      </c>
    </row>
    <row r="98">
      <c r="A98">
        <f>HYPERLINK("https://www.walmart.com/ip/2066581075", "2066581075")</f>
        <v/>
      </c>
      <c r="B98" t="inlineStr">
        <is>
          <t>Tirrinia Wearable Fleece Blanket for Women and Men, Super-Soft Microplush TV Blanket, Adult Wrap, Full Body Robe for Lounge Couch, Dalmation, 73" x 51"</t>
        </is>
      </c>
      <c r="C98" t="inlineStr">
        <is>
          <t>1TRSN100DMT-TBCB</t>
        </is>
      </c>
      <c r="D98" t="inlineStr">
        <is>
          <t>Throws</t>
        </is>
      </c>
      <c r="E98" t="inlineStr">
        <is>
          <t>Tirrinia</t>
        </is>
      </c>
      <c r="F98" t="inlineStr">
        <is>
          <t>Q2-Target,Coupon_Discount,Fleece Blankets</t>
        </is>
      </c>
      <c r="G98" s="48" t="n">
        <v>23.99</v>
      </c>
      <c r="H98" s="49" t="n">
        <v>1</v>
      </c>
      <c r="I98" s="49" t="n">
        <v>0</v>
      </c>
      <c r="J98" s="50" t="n">
        <v>0</v>
      </c>
      <c r="K98" s="51" t="n">
        <v>0</v>
      </c>
      <c r="L98" s="52" t="n">
        <v>0</v>
      </c>
      <c r="M98" s="52" t="n">
        <v>0</v>
      </c>
      <c r="N98" s="52" t="n">
        <v>0</v>
      </c>
      <c r="O98" s="53" t="n">
        <v>0</v>
      </c>
      <c r="P98" s="52" t="n">
        <v>0</v>
      </c>
      <c r="Q98" s="53" t="n">
        <v>0</v>
      </c>
      <c r="R98" s="52" t="n">
        <v>23.99</v>
      </c>
      <c r="S98" s="51" t="n">
        <v>0</v>
      </c>
      <c r="T98" s="48" t="n">
        <v>0</v>
      </c>
      <c r="U98" s="49" t="n">
        <v>0</v>
      </c>
      <c r="V98" s="49" t="n">
        <v>0</v>
      </c>
      <c r="W98" s="50" t="n">
        <v>0</v>
      </c>
      <c r="X98" s="51" t="n">
        <v>0</v>
      </c>
      <c r="Y98" s="52" t="n">
        <v>0</v>
      </c>
      <c r="Z98" s="52" t="n">
        <v>0</v>
      </c>
      <c r="AA98" s="52" t="n">
        <v>0</v>
      </c>
      <c r="AB98" s="53" t="n">
        <v>0</v>
      </c>
      <c r="AC98" s="52" t="n">
        <v>0</v>
      </c>
      <c r="AD98" s="53" t="n">
        <v>0</v>
      </c>
      <c r="AE98" s="52" t="n">
        <v>0</v>
      </c>
      <c r="AF98" s="51" t="n">
        <v>0</v>
      </c>
      <c r="AG98" s="48" t="n">
        <v>0</v>
      </c>
      <c r="AH98" s="49" t="n">
        <v>0</v>
      </c>
      <c r="AI98" s="49" t="n">
        <v>0</v>
      </c>
      <c r="AJ98" s="50" t="n">
        <v>0</v>
      </c>
      <c r="AK98" s="51" t="n">
        <v>0</v>
      </c>
      <c r="AL98" s="52" t="n">
        <v>0</v>
      </c>
      <c r="AM98" s="52" t="n">
        <v>0</v>
      </c>
      <c r="AN98" s="52" t="n">
        <v>0</v>
      </c>
      <c r="AO98" s="53" t="n">
        <v>0</v>
      </c>
      <c r="AP98" s="52" t="n">
        <v>0</v>
      </c>
      <c r="AQ98" s="53" t="n">
        <v>0</v>
      </c>
      <c r="AR98" s="52" t="n">
        <v>0</v>
      </c>
      <c r="AS98" s="51" t="n">
        <v>0</v>
      </c>
      <c r="AT98" s="48" t="n">
        <v>0</v>
      </c>
      <c r="AU98" s="49" t="n">
        <v>0</v>
      </c>
      <c r="AV98" s="49" t="n">
        <v>0</v>
      </c>
      <c r="AW98" s="50" t="n">
        <v>0</v>
      </c>
      <c r="AX98" s="51" t="n">
        <v>0</v>
      </c>
      <c r="AY98" s="52" t="n">
        <v>0</v>
      </c>
      <c r="AZ98" s="52" t="n">
        <v>0</v>
      </c>
      <c r="BA98" s="52" t="n">
        <v>0</v>
      </c>
      <c r="BB98" s="53" t="n">
        <v>0</v>
      </c>
      <c r="BC98" s="52" t="n">
        <v>0</v>
      </c>
      <c r="BD98" s="53" t="n">
        <v>0</v>
      </c>
      <c r="BE98" s="52" t="n">
        <v>0</v>
      </c>
      <c r="BF98" s="51" t="n">
        <v>0</v>
      </c>
    </row>
    <row r="99">
      <c r="A99">
        <f>HYPERLINK("https://www.walmart.com/ip/5691251411", "5691251411")</f>
        <v/>
      </c>
      <c r="B99" t="inlineStr">
        <is>
          <t>Tirrinia Insulated Cooler Bag-24 Cans Portable Collapsible Soft Sided Ice Chest, Leak-Proof with Zipper Cooler Box for Beach, Drink, Travel, Camping, Picnic</t>
        </is>
      </c>
      <c r="C99" t="inlineStr">
        <is>
          <t>1TRCB00324GYBK</t>
        </is>
      </c>
      <c r="D99" t="inlineStr">
        <is>
          <t>Soft-Sided Coolers</t>
        </is>
      </c>
      <c r="E99" t="inlineStr">
        <is>
          <t>Tirrinia</t>
        </is>
      </c>
      <c r="G99" s="48" t="n">
        <v>22.99</v>
      </c>
      <c r="H99" s="49" t="n">
        <v>1</v>
      </c>
      <c r="I99" s="49" t="n">
        <v>0</v>
      </c>
      <c r="J99" s="50" t="n">
        <v>0</v>
      </c>
      <c r="K99" s="51" t="n">
        <v>0</v>
      </c>
      <c r="L99" s="52" t="n">
        <v>0</v>
      </c>
      <c r="M99" s="52" t="n">
        <v>0</v>
      </c>
      <c r="N99" s="52" t="n">
        <v>0</v>
      </c>
      <c r="O99" s="53" t="n">
        <v>0</v>
      </c>
      <c r="P99" s="52" t="n">
        <v>0</v>
      </c>
      <c r="Q99" s="53" t="n">
        <v>0</v>
      </c>
      <c r="R99" s="52" t="n">
        <v>22.99</v>
      </c>
      <c r="S99" s="51" t="n">
        <v>0</v>
      </c>
      <c r="T99" s="48" t="n">
        <v>22.99</v>
      </c>
      <c r="U99" s="49" t="n">
        <v>1</v>
      </c>
      <c r="V99" s="49" t="n">
        <v>0</v>
      </c>
      <c r="W99" s="50" t="n">
        <v>0</v>
      </c>
      <c r="X99" s="51" t="n">
        <v>0</v>
      </c>
      <c r="Y99" s="52" t="n">
        <v>0</v>
      </c>
      <c r="Z99" s="52" t="n">
        <v>0</v>
      </c>
      <c r="AA99" s="52" t="n">
        <v>0</v>
      </c>
      <c r="AB99" s="53" t="n">
        <v>0</v>
      </c>
      <c r="AC99" s="52" t="n">
        <v>0</v>
      </c>
      <c r="AD99" s="53" t="n">
        <v>0</v>
      </c>
      <c r="AE99" s="52" t="n">
        <v>22.99</v>
      </c>
      <c r="AF99" s="51" t="n">
        <v>0</v>
      </c>
      <c r="AG99" s="48" t="n">
        <v>0</v>
      </c>
      <c r="AH99" s="49" t="n">
        <v>0</v>
      </c>
      <c r="AI99" s="49" t="n">
        <v>0</v>
      </c>
      <c r="AJ99" s="50" t="n">
        <v>0</v>
      </c>
      <c r="AK99" s="51" t="n">
        <v>0</v>
      </c>
      <c r="AL99" s="52" t="n">
        <v>0</v>
      </c>
      <c r="AM99" s="52" t="n">
        <v>0</v>
      </c>
      <c r="AN99" s="52" t="n">
        <v>0</v>
      </c>
      <c r="AO99" s="53" t="n">
        <v>0</v>
      </c>
      <c r="AP99" s="52" t="n">
        <v>0</v>
      </c>
      <c r="AQ99" s="53" t="n">
        <v>0</v>
      </c>
      <c r="AR99" s="52" t="n">
        <v>0</v>
      </c>
      <c r="AS99" s="51" t="n">
        <v>0</v>
      </c>
      <c r="AT99" s="48" t="n">
        <v>0</v>
      </c>
      <c r="AU99" s="49" t="n">
        <v>0</v>
      </c>
      <c r="AV99" s="49" t="n">
        <v>0</v>
      </c>
      <c r="AW99" s="50" t="n">
        <v>0</v>
      </c>
      <c r="AX99" s="51" t="n">
        <v>0</v>
      </c>
      <c r="AY99" s="52" t="n">
        <v>0</v>
      </c>
      <c r="AZ99" s="52" t="n">
        <v>0</v>
      </c>
      <c r="BA99" s="52" t="n">
        <v>0</v>
      </c>
      <c r="BB99" s="53" t="n">
        <v>0</v>
      </c>
      <c r="BC99" s="52" t="n">
        <v>0</v>
      </c>
      <c r="BD99" s="53" t="n">
        <v>0</v>
      </c>
      <c r="BE99" s="52" t="n">
        <v>0</v>
      </c>
      <c r="BF99" s="51" t="n">
        <v>0</v>
      </c>
    </row>
    <row r="100">
      <c r="A100">
        <f>HYPERLINK("https://www.walmart.com/ip/310981723", "310981723")</f>
        <v/>
      </c>
      <c r="B100" t="inlineStr">
        <is>
          <t>Kato Insulated Wine Carrier Bag - 4 Bottle Travel Padded Wine Carrying Cooler Tote with Handle and Shoulder Strap, Great Gift for Wine Lover, Gray</t>
        </is>
      </c>
      <c r="C100" t="inlineStr">
        <is>
          <t>1KTWB420GY</t>
        </is>
      </c>
      <c r="D100" t="inlineStr">
        <is>
          <t>Wine Totes, Bags &amp; Backpacks</t>
        </is>
      </c>
      <c r="E100" t="inlineStr">
        <is>
          <t>Kato</t>
        </is>
      </c>
      <c r="F100" t="inlineStr">
        <is>
          <t>Wine,Christmas,Wine WFS,Valentine,WFS Item,Lily Brand Camp</t>
        </is>
      </c>
      <c r="G100" s="48" t="n">
        <v>22.99</v>
      </c>
      <c r="H100" s="49" t="n">
        <v>1</v>
      </c>
      <c r="I100" s="49" t="n">
        <v>0</v>
      </c>
      <c r="J100" s="50" t="n">
        <v>0</v>
      </c>
      <c r="K100" s="51" t="n">
        <v>3</v>
      </c>
      <c r="L100" s="52" t="n">
        <v>1.33</v>
      </c>
      <c r="M100" s="52" t="n">
        <v>0</v>
      </c>
      <c r="N100" s="52" t="n">
        <v>0</v>
      </c>
      <c r="O100" s="53" t="n">
        <v>0.0033</v>
      </c>
      <c r="P100" s="52" t="n">
        <v>0.4433333333333334</v>
      </c>
      <c r="Q100" s="53" t="n">
        <v>0.0578512396694215</v>
      </c>
      <c r="R100" s="52" t="n">
        <v>22.99</v>
      </c>
      <c r="S100" s="51" t="n">
        <v>920</v>
      </c>
      <c r="T100" s="48" t="n">
        <v>22.99</v>
      </c>
      <c r="U100" s="49" t="n">
        <v>1</v>
      </c>
      <c r="V100" s="49" t="n">
        <v>0</v>
      </c>
      <c r="W100" s="50" t="n">
        <v>0</v>
      </c>
      <c r="X100" s="51" t="n">
        <v>0</v>
      </c>
      <c r="Y100" s="52" t="n">
        <v>0</v>
      </c>
      <c r="Z100" s="52" t="n">
        <v>0</v>
      </c>
      <c r="AA100" s="52" t="n">
        <v>0</v>
      </c>
      <c r="AB100" s="53" t="n">
        <v>0</v>
      </c>
      <c r="AC100" s="52" t="n">
        <v>0</v>
      </c>
      <c r="AD100" s="53" t="n">
        <v>0</v>
      </c>
      <c r="AE100" s="52" t="n">
        <v>22.99</v>
      </c>
      <c r="AF100" s="51" t="n">
        <v>297</v>
      </c>
      <c r="AG100" s="48" t="n">
        <v>0</v>
      </c>
      <c r="AH100" s="49" t="n">
        <v>0</v>
      </c>
      <c r="AI100" s="49" t="n">
        <v>0</v>
      </c>
      <c r="AJ100" s="50" t="n">
        <v>0</v>
      </c>
      <c r="AK100" s="51" t="n">
        <v>0</v>
      </c>
      <c r="AL100" s="52" t="n">
        <v>0</v>
      </c>
      <c r="AM100" s="52" t="n">
        <v>0</v>
      </c>
      <c r="AN100" s="52" t="n">
        <v>0</v>
      </c>
      <c r="AO100" s="53" t="n">
        <v>0</v>
      </c>
      <c r="AP100" s="52" t="n">
        <v>0</v>
      </c>
      <c r="AQ100" s="53" t="n">
        <v>0</v>
      </c>
      <c r="AR100" s="52" t="n">
        <v>0</v>
      </c>
      <c r="AS100" s="51" t="n">
        <v>360</v>
      </c>
      <c r="AT100" s="48" t="n">
        <v>0</v>
      </c>
      <c r="AU100" s="49" t="n">
        <v>0</v>
      </c>
      <c r="AV100" s="49" t="n">
        <v>0</v>
      </c>
      <c r="AW100" s="50" t="n">
        <v>0</v>
      </c>
      <c r="AX100" s="51" t="n">
        <v>2</v>
      </c>
      <c r="AY100" s="52" t="n">
        <v>0.9</v>
      </c>
      <c r="AZ100" s="52" t="n">
        <v>0</v>
      </c>
      <c r="BA100" s="52" t="n">
        <v>0</v>
      </c>
      <c r="BB100" s="53" t="n">
        <v>0.0044</v>
      </c>
      <c r="BC100" s="52" t="n">
        <v>0.45</v>
      </c>
      <c r="BD100" s="53" t="n">
        <v>0</v>
      </c>
      <c r="BE100" s="52" t="n">
        <v>0</v>
      </c>
      <c r="BF100" s="51" t="n">
        <v>451</v>
      </c>
    </row>
    <row r="101">
      <c r="A101">
        <f>HYPERLINK("https://www.walmart.com/ip/5594586798", "5594586798")</f>
        <v/>
      </c>
      <c r="B101" t="inlineStr">
        <is>
          <t>Tirrinia Insulated Cooler Bag-24 Cans Portable Collapsible Soft Sided Ice Chest, Leak-Proof with Zipper Cooler Box for Beach, Drink, Travel, Camping, Picnic</t>
        </is>
      </c>
      <c r="C101" t="inlineStr">
        <is>
          <t>1TRCB00324BK</t>
        </is>
      </c>
      <c r="D101" t="inlineStr">
        <is>
          <t>Soft-Sided Coolers</t>
        </is>
      </c>
      <c r="E101" t="inlineStr">
        <is>
          <t>Tirrinia</t>
        </is>
      </c>
      <c r="G101" s="48" t="n">
        <v>22.99</v>
      </c>
      <c r="H101" s="49" t="n">
        <v>1</v>
      </c>
      <c r="I101" s="49" t="n">
        <v>0</v>
      </c>
      <c r="J101" s="50" t="n">
        <v>0</v>
      </c>
      <c r="K101" s="51" t="n">
        <v>0</v>
      </c>
      <c r="L101" s="52" t="n">
        <v>0</v>
      </c>
      <c r="M101" s="52" t="n">
        <v>0</v>
      </c>
      <c r="N101" s="52" t="n">
        <v>0</v>
      </c>
      <c r="O101" s="53" t="n">
        <v>0</v>
      </c>
      <c r="P101" s="52" t="n">
        <v>0</v>
      </c>
      <c r="Q101" s="53" t="n">
        <v>0</v>
      </c>
      <c r="R101" s="52" t="n">
        <v>22.99</v>
      </c>
      <c r="S101" s="51" t="n">
        <v>0</v>
      </c>
      <c r="T101" s="48" t="n">
        <v>0</v>
      </c>
      <c r="U101" s="49" t="n">
        <v>0</v>
      </c>
      <c r="V101" s="49" t="n">
        <v>0</v>
      </c>
      <c r="W101" s="50" t="n">
        <v>0</v>
      </c>
      <c r="X101" s="51" t="n">
        <v>0</v>
      </c>
      <c r="Y101" s="52" t="n">
        <v>0</v>
      </c>
      <c r="Z101" s="52" t="n">
        <v>0</v>
      </c>
      <c r="AA101" s="52" t="n">
        <v>0</v>
      </c>
      <c r="AB101" s="53" t="n">
        <v>0</v>
      </c>
      <c r="AC101" s="52" t="n">
        <v>0</v>
      </c>
      <c r="AD101" s="53" t="n">
        <v>0</v>
      </c>
      <c r="AE101" s="52" t="n">
        <v>0</v>
      </c>
      <c r="AF101" s="51" t="n">
        <v>0</v>
      </c>
      <c r="AG101" s="48" t="n">
        <v>0</v>
      </c>
      <c r="AH101" s="49" t="n">
        <v>0</v>
      </c>
      <c r="AI101" s="49" t="n">
        <v>0</v>
      </c>
      <c r="AJ101" s="50" t="n">
        <v>0</v>
      </c>
      <c r="AK101" s="51" t="n">
        <v>0</v>
      </c>
      <c r="AL101" s="52" t="n">
        <v>0</v>
      </c>
      <c r="AM101" s="52" t="n">
        <v>0</v>
      </c>
      <c r="AN101" s="52" t="n">
        <v>0</v>
      </c>
      <c r="AO101" s="53" t="n">
        <v>0</v>
      </c>
      <c r="AP101" s="52" t="n">
        <v>0</v>
      </c>
      <c r="AQ101" s="53" t="n">
        <v>0</v>
      </c>
      <c r="AR101" s="52" t="n">
        <v>0</v>
      </c>
      <c r="AS101" s="51" t="n">
        <v>0</v>
      </c>
      <c r="AT101" s="48" t="n">
        <v>22.99</v>
      </c>
      <c r="AU101" s="49" t="n">
        <v>1</v>
      </c>
      <c r="AV101" s="49" t="n">
        <v>0</v>
      </c>
      <c r="AW101" s="50" t="n">
        <v>0</v>
      </c>
      <c r="AX101" s="51" t="n">
        <v>0</v>
      </c>
      <c r="AY101" s="52" t="n">
        <v>0</v>
      </c>
      <c r="AZ101" s="52" t="n">
        <v>0</v>
      </c>
      <c r="BA101" s="52" t="n">
        <v>0</v>
      </c>
      <c r="BB101" s="53" t="n">
        <v>0</v>
      </c>
      <c r="BC101" s="52" t="n">
        <v>0</v>
      </c>
      <c r="BD101" s="53" t="n">
        <v>0</v>
      </c>
      <c r="BE101" s="52" t="n">
        <v>22.99</v>
      </c>
      <c r="BF101" s="51" t="n">
        <v>0</v>
      </c>
    </row>
    <row r="102">
      <c r="A102">
        <f>HYPERLINK("https://www.walmart.com/ip/1189650495", "1189650495")</f>
        <v/>
      </c>
      <c r="B102" t="inlineStr">
        <is>
          <t>Tirrinia Indoor/Outdoor Blanket, Foldable Picnic Blanket, Waterproof Blanket for Sand and Grass picnics, Green Camouflage, 50" x 60"</t>
        </is>
      </c>
      <c r="C102" t="inlineStr">
        <is>
          <t>1TRBW00156GNCAMO</t>
        </is>
      </c>
      <c r="D102" t="inlineStr">
        <is>
          <t>Picnic Blankets &amp; Mats</t>
        </is>
      </c>
      <c r="E102" t="inlineStr">
        <is>
          <t>Tirrinia</t>
        </is>
      </c>
      <c r="F102" t="inlineStr">
        <is>
          <t>Wproof Blanket</t>
        </is>
      </c>
      <c r="G102" s="48" t="n">
        <v>22.99</v>
      </c>
      <c r="H102" s="49" t="n">
        <v>1</v>
      </c>
      <c r="I102" s="49" t="n">
        <v>0</v>
      </c>
      <c r="J102" s="50" t="n">
        <v>0</v>
      </c>
      <c r="K102" s="51" t="n">
        <v>0</v>
      </c>
      <c r="L102" s="52" t="n">
        <v>0</v>
      </c>
      <c r="M102" s="52" t="n">
        <v>0</v>
      </c>
      <c r="N102" s="52" t="n">
        <v>0</v>
      </c>
      <c r="O102" s="53" t="n">
        <v>0</v>
      </c>
      <c r="P102" s="52" t="n">
        <v>0</v>
      </c>
      <c r="Q102" s="53" t="n">
        <v>0</v>
      </c>
      <c r="R102" s="52" t="n">
        <v>22.99</v>
      </c>
      <c r="S102" s="51" t="n">
        <v>0</v>
      </c>
      <c r="T102" s="48" t="n">
        <v>0</v>
      </c>
      <c r="U102" s="49" t="n">
        <v>0</v>
      </c>
      <c r="V102" s="49" t="n">
        <v>0</v>
      </c>
      <c r="W102" s="50" t="n">
        <v>0</v>
      </c>
      <c r="X102" s="51" t="n">
        <v>0</v>
      </c>
      <c r="Y102" s="52" t="n">
        <v>0</v>
      </c>
      <c r="Z102" s="52" t="n">
        <v>0</v>
      </c>
      <c r="AA102" s="52" t="n">
        <v>0</v>
      </c>
      <c r="AB102" s="53" t="n">
        <v>0</v>
      </c>
      <c r="AC102" s="52" t="n">
        <v>0</v>
      </c>
      <c r="AD102" s="53" t="n">
        <v>0</v>
      </c>
      <c r="AE102" s="52" t="n">
        <v>0</v>
      </c>
      <c r="AF102" s="51" t="n">
        <v>0</v>
      </c>
      <c r="AG102" s="48" t="n">
        <v>0</v>
      </c>
      <c r="AH102" s="49" t="n">
        <v>0</v>
      </c>
      <c r="AI102" s="49" t="n">
        <v>0</v>
      </c>
      <c r="AJ102" s="50" t="n">
        <v>0</v>
      </c>
      <c r="AK102" s="51" t="n">
        <v>0</v>
      </c>
      <c r="AL102" s="52" t="n">
        <v>0</v>
      </c>
      <c r="AM102" s="52" t="n">
        <v>0</v>
      </c>
      <c r="AN102" s="52" t="n">
        <v>0</v>
      </c>
      <c r="AO102" s="53" t="n">
        <v>0</v>
      </c>
      <c r="AP102" s="52" t="n">
        <v>0</v>
      </c>
      <c r="AQ102" s="53" t="n">
        <v>0</v>
      </c>
      <c r="AR102" s="52" t="n">
        <v>0</v>
      </c>
      <c r="AS102" s="51" t="n">
        <v>0</v>
      </c>
      <c r="AT102" s="48" t="n">
        <v>0</v>
      </c>
      <c r="AU102" s="49" t="n">
        <v>0</v>
      </c>
      <c r="AV102" s="49" t="n">
        <v>0</v>
      </c>
      <c r="AW102" s="50" t="n">
        <v>0</v>
      </c>
      <c r="AX102" s="51" t="n">
        <v>0</v>
      </c>
      <c r="AY102" s="52" t="n">
        <v>0</v>
      </c>
      <c r="AZ102" s="52" t="n">
        <v>0</v>
      </c>
      <c r="BA102" s="52" t="n">
        <v>0</v>
      </c>
      <c r="BB102" s="53" t="n">
        <v>0</v>
      </c>
      <c r="BC102" s="52" t="n">
        <v>0</v>
      </c>
      <c r="BD102" s="53" t="n">
        <v>0</v>
      </c>
      <c r="BE102" s="52" t="n">
        <v>0</v>
      </c>
      <c r="BF102" s="51" t="n">
        <v>0</v>
      </c>
    </row>
    <row r="103">
      <c r="A103">
        <f>HYPERLINK("https://www.walmart.com/ip/5508918359", "5508918359")</f>
        <v/>
      </c>
      <c r="B103" t="inlineStr">
        <is>
          <t>Tirrinia Large Insulated Cooler Bag Outdoor Leakproof Cooler Tote Portable Freezer Bag with Adjustable Shoulder Strap for Picnic, Beach</t>
        </is>
      </c>
      <c r="C103" t="inlineStr">
        <is>
          <t>1TRCB00224BK</t>
        </is>
      </c>
      <c r="D103" t="inlineStr">
        <is>
          <t>Soft-Sided Coolers</t>
        </is>
      </c>
      <c r="E103" t="inlineStr">
        <is>
          <t>Tirrinia</t>
        </is>
      </c>
      <c r="G103" s="48" t="n">
        <v>21.99</v>
      </c>
      <c r="H103" s="49" t="n">
        <v>1</v>
      </c>
      <c r="I103" s="49" t="n">
        <v>0</v>
      </c>
      <c r="J103" s="50" t="n">
        <v>0</v>
      </c>
      <c r="K103" s="51" t="n">
        <v>0</v>
      </c>
      <c r="L103" s="52" t="n">
        <v>0</v>
      </c>
      <c r="M103" s="52" t="n">
        <v>0</v>
      </c>
      <c r="N103" s="52" t="n">
        <v>0</v>
      </c>
      <c r="O103" s="53" t="n">
        <v>0</v>
      </c>
      <c r="P103" s="52" t="n">
        <v>0</v>
      </c>
      <c r="Q103" s="53" t="n">
        <v>0</v>
      </c>
      <c r="R103" s="52" t="n">
        <v>21.99</v>
      </c>
      <c r="S103" s="51" t="n">
        <v>0</v>
      </c>
      <c r="T103" s="48" t="n">
        <v>0</v>
      </c>
      <c r="U103" s="49" t="n">
        <v>0</v>
      </c>
      <c r="V103" s="49" t="n">
        <v>0</v>
      </c>
      <c r="W103" s="50" t="n">
        <v>0</v>
      </c>
      <c r="X103" s="51" t="n">
        <v>0</v>
      </c>
      <c r="Y103" s="52" t="n">
        <v>0</v>
      </c>
      <c r="Z103" s="52" t="n">
        <v>0</v>
      </c>
      <c r="AA103" s="52" t="n">
        <v>0</v>
      </c>
      <c r="AB103" s="53" t="n">
        <v>0</v>
      </c>
      <c r="AC103" s="52" t="n">
        <v>0</v>
      </c>
      <c r="AD103" s="53" t="n">
        <v>0</v>
      </c>
      <c r="AE103" s="52" t="n">
        <v>0</v>
      </c>
      <c r="AF103" s="51" t="n">
        <v>0</v>
      </c>
      <c r="AG103" s="48" t="n">
        <v>0</v>
      </c>
      <c r="AH103" s="49" t="n">
        <v>0</v>
      </c>
      <c r="AI103" s="49" t="n">
        <v>0</v>
      </c>
      <c r="AJ103" s="50" t="n">
        <v>0</v>
      </c>
      <c r="AK103" s="51" t="n">
        <v>0</v>
      </c>
      <c r="AL103" s="52" t="n">
        <v>0</v>
      </c>
      <c r="AM103" s="52" t="n">
        <v>0</v>
      </c>
      <c r="AN103" s="52" t="n">
        <v>0</v>
      </c>
      <c r="AO103" s="53" t="n">
        <v>0</v>
      </c>
      <c r="AP103" s="52" t="n">
        <v>0</v>
      </c>
      <c r="AQ103" s="53" t="n">
        <v>0</v>
      </c>
      <c r="AR103" s="52" t="n">
        <v>0</v>
      </c>
      <c r="AS103" s="51" t="n">
        <v>0</v>
      </c>
      <c r="AT103" s="48" t="n">
        <v>0</v>
      </c>
      <c r="AU103" s="49" t="n">
        <v>0</v>
      </c>
      <c r="AV103" s="49" t="n">
        <v>0</v>
      </c>
      <c r="AW103" s="50" t="n">
        <v>0</v>
      </c>
      <c r="AX103" s="51" t="n">
        <v>0</v>
      </c>
      <c r="AY103" s="52" t="n">
        <v>0</v>
      </c>
      <c r="AZ103" s="52" t="n">
        <v>0</v>
      </c>
      <c r="BA103" s="52" t="n">
        <v>0</v>
      </c>
      <c r="BB103" s="53" t="n">
        <v>0</v>
      </c>
      <c r="BC103" s="52" t="n">
        <v>0</v>
      </c>
      <c r="BD103" s="53" t="n">
        <v>0</v>
      </c>
      <c r="BE103" s="52" t="n">
        <v>0</v>
      </c>
      <c r="BF103" s="51" t="n">
        <v>0</v>
      </c>
    </row>
    <row r="104">
      <c r="A104">
        <f>HYPERLINK("https://www.walmart.com/ip/474235521", "474235521")</f>
        <v/>
      </c>
      <c r="B104" t="inlineStr">
        <is>
          <t>6 Bottle Wine Carrier,  Insulated and Padded Wine Carrying Cooler Tote Bag with Handle and Adjustable Shoulder Strap for Travel or Picnic, Wine Lover Gift, Oliver, 8.6" x 7.1" x 12.5".</t>
        </is>
      </c>
      <c r="C104" t="inlineStr">
        <is>
          <t>1TRWB620OL</t>
        </is>
      </c>
      <c r="D104" t="inlineStr">
        <is>
          <t>Wine Totes, Bags &amp; Backpacks</t>
        </is>
      </c>
      <c r="E104" t="inlineStr">
        <is>
          <t>Tirrinia</t>
        </is>
      </c>
      <c r="F104" t="inlineStr">
        <is>
          <t>Wine,Christmas,WFS,Wine WFS,Valentine,WFS Item,Lily Brand Camp</t>
        </is>
      </c>
      <c r="G104" s="48" t="n">
        <v>21.99</v>
      </c>
      <c r="H104" s="49" t="n">
        <v>1</v>
      </c>
      <c r="I104" s="49" t="n">
        <v>0</v>
      </c>
      <c r="J104" s="50" t="n">
        <v>0</v>
      </c>
      <c r="K104" s="51" t="n">
        <v>3</v>
      </c>
      <c r="L104" s="52" t="n">
        <v>1.2</v>
      </c>
      <c r="M104" s="52" t="n">
        <v>21.99</v>
      </c>
      <c r="N104" s="52" t="n">
        <v>18.32</v>
      </c>
      <c r="O104" s="53" t="n">
        <v>0.0005999999999999999</v>
      </c>
      <c r="P104" s="52" t="n">
        <v>0.4000000000000001</v>
      </c>
      <c r="Q104" s="53" t="n">
        <v>0.05457025920873125</v>
      </c>
      <c r="R104" s="52" t="n">
        <v>21.99</v>
      </c>
      <c r="S104" s="51" t="n">
        <v>4809</v>
      </c>
      <c r="T104" s="48" t="n">
        <v>0</v>
      </c>
      <c r="U104" s="49" t="n">
        <v>0</v>
      </c>
      <c r="V104" s="49" t="n">
        <v>0</v>
      </c>
      <c r="W104" s="50" t="n">
        <v>0</v>
      </c>
      <c r="X104" s="51" t="n">
        <v>2</v>
      </c>
      <c r="Y104" s="52" t="n">
        <v>0.8</v>
      </c>
      <c r="Z104" s="52" t="n">
        <v>0</v>
      </c>
      <c r="AA104" s="52" t="n">
        <v>0</v>
      </c>
      <c r="AB104" s="53" t="n">
        <v>0.0005</v>
      </c>
      <c r="AC104" s="52" t="n">
        <v>0.4</v>
      </c>
      <c r="AD104" s="53" t="n">
        <v>0</v>
      </c>
      <c r="AE104" s="52" t="n">
        <v>0</v>
      </c>
      <c r="AF104" s="51" t="n">
        <v>4293</v>
      </c>
      <c r="AG104" s="48" t="n">
        <v>0</v>
      </c>
      <c r="AH104" s="49" t="n">
        <v>0</v>
      </c>
      <c r="AI104" s="49" t="n">
        <v>0</v>
      </c>
      <c r="AJ104" s="50" t="n">
        <v>0</v>
      </c>
      <c r="AK104" s="51" t="n">
        <v>0</v>
      </c>
      <c r="AL104" s="52" t="n">
        <v>0</v>
      </c>
      <c r="AM104" s="52" t="n">
        <v>0</v>
      </c>
      <c r="AN104" s="52" t="n">
        <v>0</v>
      </c>
      <c r="AO104" s="53" t="n">
        <v>0</v>
      </c>
      <c r="AP104" s="52" t="n">
        <v>0</v>
      </c>
      <c r="AQ104" s="53" t="n">
        <v>0</v>
      </c>
      <c r="AR104" s="52" t="n">
        <v>0</v>
      </c>
      <c r="AS104" s="51" t="n">
        <v>2953</v>
      </c>
      <c r="AT104" s="48" t="n">
        <v>0</v>
      </c>
      <c r="AU104" s="49" t="n">
        <v>0</v>
      </c>
      <c r="AV104" s="49" t="n">
        <v>0</v>
      </c>
      <c r="AW104" s="50" t="n">
        <v>0</v>
      </c>
      <c r="AX104" s="51" t="n">
        <v>0</v>
      </c>
      <c r="AY104" s="52" t="n">
        <v>0</v>
      </c>
      <c r="AZ104" s="52" t="n">
        <v>0</v>
      </c>
      <c r="BA104" s="52" t="n">
        <v>0</v>
      </c>
      <c r="BB104" s="53" t="n">
        <v>0</v>
      </c>
      <c r="BC104" s="52" t="n">
        <v>0</v>
      </c>
      <c r="BD104" s="53" t="n">
        <v>0</v>
      </c>
      <c r="BE104" s="52" t="n">
        <v>0</v>
      </c>
      <c r="BF104" s="51" t="n">
        <v>2896</v>
      </c>
    </row>
    <row r="105">
      <c r="A105">
        <f>HYPERLINK("https://www.walmart.com/ip/1815222738", "1815222738")</f>
        <v/>
      </c>
      <c r="B105" t="inlineStr">
        <is>
          <t>Tirrinia Insulated Cooler Toto Lunch Bag, Thermos Organizer Container, Camo, 8.5" x 4" x 9.5"</t>
        </is>
      </c>
      <c r="C105" t="inlineStr">
        <is>
          <t>1TRLB100CAMO</t>
        </is>
      </c>
      <c r="D105" t="inlineStr">
        <is>
          <t>Reusable Lunch Bags &amp; Boxes</t>
        </is>
      </c>
      <c r="E105" t="inlineStr">
        <is>
          <t>Tirrinia</t>
        </is>
      </c>
      <c r="F105" t="inlineStr">
        <is>
          <t>Q2-Target,Brand Camp VD,SEM,Batch 1 - TR</t>
        </is>
      </c>
      <c r="G105" s="48" t="n">
        <v>21.98</v>
      </c>
      <c r="H105" s="49" t="n">
        <v>2</v>
      </c>
      <c r="I105" s="49" t="n">
        <v>10</v>
      </c>
      <c r="J105" s="50" t="n">
        <v>0.2</v>
      </c>
      <c r="K105" s="51" t="n">
        <v>0</v>
      </c>
      <c r="L105" s="52" t="n">
        <v>0</v>
      </c>
      <c r="M105" s="52" t="n">
        <v>0</v>
      </c>
      <c r="N105" s="52" t="n">
        <v>0</v>
      </c>
      <c r="O105" s="53" t="n">
        <v>0</v>
      </c>
      <c r="P105" s="52" t="n">
        <v>0</v>
      </c>
      <c r="Q105" s="53" t="n">
        <v>0</v>
      </c>
      <c r="R105" s="52" t="n">
        <v>10.99</v>
      </c>
      <c r="S105" s="51" t="n">
        <v>0</v>
      </c>
      <c r="T105" s="48" t="n">
        <v>-10.99</v>
      </c>
      <c r="U105" s="49" t="n">
        <v>-1</v>
      </c>
      <c r="V105" s="49" t="n">
        <v>12</v>
      </c>
      <c r="W105" s="50" t="n">
        <v>-0.08333333333333333</v>
      </c>
      <c r="X105" s="51" t="n">
        <v>0</v>
      </c>
      <c r="Y105" s="52" t="n">
        <v>0</v>
      </c>
      <c r="Z105" s="52" t="n">
        <v>0</v>
      </c>
      <c r="AA105" s="52" t="n">
        <v>0</v>
      </c>
      <c r="AB105" s="53" t="n">
        <v>0</v>
      </c>
      <c r="AC105" s="52" t="n">
        <v>0</v>
      </c>
      <c r="AD105" s="53" t="n">
        <v>0</v>
      </c>
      <c r="AE105" s="52" t="n">
        <v>0</v>
      </c>
      <c r="AF105" s="51" t="n">
        <v>0</v>
      </c>
      <c r="AG105" s="48" t="n">
        <v>21.98</v>
      </c>
      <c r="AH105" s="49" t="n">
        <v>2</v>
      </c>
      <c r="AI105" s="49" t="n">
        <v>14</v>
      </c>
      <c r="AJ105" s="50" t="n">
        <v>0.1428571428571428</v>
      </c>
      <c r="AK105" s="51" t="n">
        <v>0</v>
      </c>
      <c r="AL105" s="52" t="n">
        <v>0</v>
      </c>
      <c r="AM105" s="52" t="n">
        <v>0</v>
      </c>
      <c r="AN105" s="52" t="n">
        <v>0</v>
      </c>
      <c r="AO105" s="53" t="n">
        <v>0</v>
      </c>
      <c r="AP105" s="52" t="n">
        <v>0</v>
      </c>
      <c r="AQ105" s="53" t="n">
        <v>0</v>
      </c>
      <c r="AR105" s="52" t="n">
        <v>10.99</v>
      </c>
      <c r="AS105" s="51" t="n">
        <v>0</v>
      </c>
      <c r="AT105" s="48" t="n">
        <v>21.98</v>
      </c>
      <c r="AU105" s="49" t="n">
        <v>2</v>
      </c>
      <c r="AV105" s="49" t="n">
        <v>12</v>
      </c>
      <c r="AW105" s="50" t="n">
        <v>0.1666666666666667</v>
      </c>
      <c r="AX105" s="51" t="n">
        <v>0</v>
      </c>
      <c r="AY105" s="52" t="n">
        <v>0</v>
      </c>
      <c r="AZ105" s="52" t="n">
        <v>0</v>
      </c>
      <c r="BA105" s="52" t="n">
        <v>0</v>
      </c>
      <c r="BB105" s="53" t="n">
        <v>0</v>
      </c>
      <c r="BC105" s="52" t="n">
        <v>0</v>
      </c>
      <c r="BD105" s="53" t="n">
        <v>0</v>
      </c>
      <c r="BE105" s="52" t="n">
        <v>10.99</v>
      </c>
      <c r="BF105" s="51" t="n">
        <v>0</v>
      </c>
    </row>
    <row r="106">
      <c r="A106">
        <f>HYPERLINK("https://www.walmart.com/ip/634503661", "634503661")</f>
        <v/>
      </c>
      <c r="B106" t="inlineStr">
        <is>
          <t>Kato 9 Cans Small Insulated Lunch Bag, Mini Thermal Portable Cooler Lunch Box Tote with Dual Zipper Closure for Student Men and Women, Back to School</t>
        </is>
      </c>
      <c r="C106" t="inlineStr">
        <is>
          <t>1KTLB100GN</t>
        </is>
      </c>
      <c r="D106" t="inlineStr">
        <is>
          <t>Reusable Lunch Bags &amp; Boxes</t>
        </is>
      </c>
      <c r="E106" t="inlineStr">
        <is>
          <t>Kato</t>
        </is>
      </c>
      <c r="F106" t="inlineStr">
        <is>
          <t>Q2-Target,Lunch Bag,Optimized,Lunch Bags,SEM</t>
        </is>
      </c>
      <c r="G106" s="48" t="n">
        <v>21.98</v>
      </c>
      <c r="H106" s="49" t="n">
        <v>2</v>
      </c>
      <c r="I106" s="49" t="n">
        <v>0</v>
      </c>
      <c r="J106" s="50" t="n">
        <v>0</v>
      </c>
      <c r="K106" s="51" t="n">
        <v>0</v>
      </c>
      <c r="L106" s="52" t="n">
        <v>0</v>
      </c>
      <c r="M106" s="52" t="n">
        <v>0</v>
      </c>
      <c r="N106" s="52" t="n">
        <v>0</v>
      </c>
      <c r="O106" s="53" t="n">
        <v>0</v>
      </c>
      <c r="P106" s="52" t="n">
        <v>0</v>
      </c>
      <c r="Q106" s="53" t="n">
        <v>0</v>
      </c>
      <c r="R106" s="52" t="n">
        <v>10.99</v>
      </c>
      <c r="S106" s="51" t="n">
        <v>0</v>
      </c>
      <c r="T106" s="48" t="n">
        <v>0</v>
      </c>
      <c r="U106" s="49" t="n">
        <v>0</v>
      </c>
      <c r="V106" s="49" t="n">
        <v>0</v>
      </c>
      <c r="W106" s="50" t="n">
        <v>0</v>
      </c>
      <c r="X106" s="51" t="n">
        <v>0</v>
      </c>
      <c r="Y106" s="52" t="n">
        <v>0</v>
      </c>
      <c r="Z106" s="52" t="n">
        <v>0</v>
      </c>
      <c r="AA106" s="52" t="n">
        <v>0</v>
      </c>
      <c r="AB106" s="53" t="n">
        <v>0</v>
      </c>
      <c r="AC106" s="52" t="n">
        <v>0</v>
      </c>
      <c r="AD106" s="53" t="n">
        <v>0</v>
      </c>
      <c r="AE106" s="52" t="n">
        <v>0</v>
      </c>
      <c r="AF106" s="51" t="n">
        <v>0</v>
      </c>
      <c r="AG106" s="48" t="n">
        <v>0</v>
      </c>
      <c r="AH106" s="49" t="n">
        <v>0</v>
      </c>
      <c r="AI106" s="49" t="n">
        <v>0</v>
      </c>
      <c r="AJ106" s="50" t="n">
        <v>0</v>
      </c>
      <c r="AK106" s="51" t="n">
        <v>0</v>
      </c>
      <c r="AL106" s="52" t="n">
        <v>0</v>
      </c>
      <c r="AM106" s="52" t="n">
        <v>0</v>
      </c>
      <c r="AN106" s="52" t="n">
        <v>0</v>
      </c>
      <c r="AO106" s="53" t="n">
        <v>0</v>
      </c>
      <c r="AP106" s="52" t="n">
        <v>0</v>
      </c>
      <c r="AQ106" s="53" t="n">
        <v>0</v>
      </c>
      <c r="AR106" s="52" t="n">
        <v>0</v>
      </c>
      <c r="AS106" s="51" t="n">
        <v>0</v>
      </c>
      <c r="AT106" s="48" t="n">
        <v>0</v>
      </c>
      <c r="AU106" s="49" t="n">
        <v>0</v>
      </c>
      <c r="AV106" s="49" t="n">
        <v>3</v>
      </c>
      <c r="AW106" s="50" t="n">
        <v>0</v>
      </c>
      <c r="AX106" s="51" t="n">
        <v>0</v>
      </c>
      <c r="AY106" s="52" t="n">
        <v>0</v>
      </c>
      <c r="AZ106" s="52" t="n">
        <v>0</v>
      </c>
      <c r="BA106" s="52" t="n">
        <v>0</v>
      </c>
      <c r="BB106" s="53" t="n">
        <v>0</v>
      </c>
      <c r="BC106" s="52" t="n">
        <v>0</v>
      </c>
      <c r="BD106" s="53" t="n">
        <v>0</v>
      </c>
      <c r="BE106" s="52" t="n">
        <v>0</v>
      </c>
      <c r="BF106" s="51" t="n">
        <v>0</v>
      </c>
    </row>
    <row r="107">
      <c r="A107">
        <f>HYPERLINK("https://www.walmart.com/ip/2062415654", "2062415654")</f>
        <v/>
      </c>
      <c r="B107" t="inlineStr">
        <is>
          <t>Tirrinia Insulated Lunch Box for Women | Lunch Bags for Women, Girls, Teens | Cute Yellow Reusable Thermal Lunch Tote Purse Cooler for Kids, School, Work, Office, Adult | Fits 10 Cans (Yellow Lemon)</t>
        </is>
      </c>
      <c r="C107" t="inlineStr">
        <is>
          <t>1WMLB706YLLEM</t>
        </is>
      </c>
      <c r="D107" t="inlineStr">
        <is>
          <t>Reusable Lunch Bags &amp; Boxes</t>
        </is>
      </c>
      <c r="E107" t="inlineStr">
        <is>
          <t>Tirrinia</t>
        </is>
      </c>
      <c r="F107" t="inlineStr">
        <is>
          <t>Q2-Target,Brand Camp VD</t>
        </is>
      </c>
      <c r="G107" s="48" t="n">
        <v>21.98</v>
      </c>
      <c r="H107" s="49" t="n">
        <v>2</v>
      </c>
      <c r="I107" s="49" t="n">
        <v>3</v>
      </c>
      <c r="J107" s="50" t="n">
        <v>0.6666666666666666</v>
      </c>
      <c r="K107" s="51" t="n">
        <v>0</v>
      </c>
      <c r="L107" s="52" t="n">
        <v>0</v>
      </c>
      <c r="M107" s="52" t="n">
        <v>0</v>
      </c>
      <c r="N107" s="52" t="n">
        <v>0</v>
      </c>
      <c r="O107" s="53" t="n">
        <v>0</v>
      </c>
      <c r="P107" s="52" t="n">
        <v>0</v>
      </c>
      <c r="Q107" s="53" t="n">
        <v>0</v>
      </c>
      <c r="R107" s="52" t="n">
        <v>10.99</v>
      </c>
      <c r="S107" s="51" t="n">
        <v>0</v>
      </c>
      <c r="T107" s="48" t="n">
        <v>0</v>
      </c>
      <c r="U107" s="49" t="n">
        <v>0</v>
      </c>
      <c r="V107" s="49" t="n">
        <v>0</v>
      </c>
      <c r="W107" s="50" t="n">
        <v>0</v>
      </c>
      <c r="X107" s="51" t="n">
        <v>0</v>
      </c>
      <c r="Y107" s="52" t="n">
        <v>0</v>
      </c>
      <c r="Z107" s="52" t="n">
        <v>0</v>
      </c>
      <c r="AA107" s="52" t="n">
        <v>0</v>
      </c>
      <c r="AB107" s="53" t="n">
        <v>0</v>
      </c>
      <c r="AC107" s="52" t="n">
        <v>0</v>
      </c>
      <c r="AD107" s="53" t="n">
        <v>0</v>
      </c>
      <c r="AE107" s="52" t="n">
        <v>0</v>
      </c>
      <c r="AF107" s="51" t="n">
        <v>0</v>
      </c>
      <c r="AG107" s="48" t="n">
        <v>21.98</v>
      </c>
      <c r="AH107" s="49" t="n">
        <v>2</v>
      </c>
      <c r="AI107" s="49" t="n">
        <v>4</v>
      </c>
      <c r="AJ107" s="50" t="n">
        <v>0.5</v>
      </c>
      <c r="AK107" s="51" t="n">
        <v>0</v>
      </c>
      <c r="AL107" s="52" t="n">
        <v>0</v>
      </c>
      <c r="AM107" s="52" t="n">
        <v>0</v>
      </c>
      <c r="AN107" s="52" t="n">
        <v>0</v>
      </c>
      <c r="AO107" s="53" t="n">
        <v>0</v>
      </c>
      <c r="AP107" s="52" t="n">
        <v>0</v>
      </c>
      <c r="AQ107" s="53" t="n">
        <v>0</v>
      </c>
      <c r="AR107" s="52" t="n">
        <v>10.99</v>
      </c>
      <c r="AS107" s="51" t="n">
        <v>0</v>
      </c>
      <c r="AT107" s="48" t="n">
        <v>0</v>
      </c>
      <c r="AU107" s="49" t="n">
        <v>0</v>
      </c>
      <c r="AV107" s="49" t="n">
        <v>4</v>
      </c>
      <c r="AW107" s="50" t="n">
        <v>0</v>
      </c>
      <c r="AX107" s="51" t="n">
        <v>0</v>
      </c>
      <c r="AY107" s="52" t="n">
        <v>0</v>
      </c>
      <c r="AZ107" s="52" t="n">
        <v>0</v>
      </c>
      <c r="BA107" s="52" t="n">
        <v>0</v>
      </c>
      <c r="BB107" s="53" t="n">
        <v>0</v>
      </c>
      <c r="BC107" s="52" t="n">
        <v>0</v>
      </c>
      <c r="BD107" s="53" t="n">
        <v>0</v>
      </c>
      <c r="BE107" s="52" t="n">
        <v>0</v>
      </c>
      <c r="BF107" s="51" t="n">
        <v>0</v>
      </c>
    </row>
    <row r="108">
      <c r="A108">
        <f>HYPERLINK("https://www.walmart.com/ip/819492779", "819492779")</f>
        <v/>
      </c>
      <c r="B108" t="inlineStr">
        <is>
          <t>Catalonia Reversible Sherpa Throw Blanket, Super Soft Fluffy Blanket for Couch,  Fuzzy Comfy Warm Throws, Comfort Caring Gift, 50x60 inches, Aqua</t>
        </is>
      </c>
      <c r="C108" t="inlineStr">
        <is>
          <t>1CTBF578AQ</t>
        </is>
      </c>
      <c r="D108" t="inlineStr">
        <is>
          <t>Throws</t>
        </is>
      </c>
      <c r="E108" t="inlineStr">
        <is>
          <t>Catalonia</t>
        </is>
      </c>
      <c r="F108" t="inlineStr">
        <is>
          <t>Q2-Target,WFS,Coupon_Discount,SeePriceInCart,WFS Item</t>
        </is>
      </c>
      <c r="G108" s="48" t="n">
        <v>20.99</v>
      </c>
      <c r="H108" s="49" t="n">
        <v>1</v>
      </c>
      <c r="I108" s="49" t="n">
        <v>142</v>
      </c>
      <c r="J108" s="50" t="n">
        <v>0.007042253521126761</v>
      </c>
      <c r="K108" s="51" t="n">
        <v>49</v>
      </c>
      <c r="L108" s="52" t="n">
        <v>10.93</v>
      </c>
      <c r="M108" s="52" t="n">
        <v>20.99</v>
      </c>
      <c r="N108" s="52" t="n">
        <v>1.92</v>
      </c>
      <c r="O108" s="53" t="n">
        <v>0.0011</v>
      </c>
      <c r="P108" s="52" t="n">
        <v>0.2230612244897959</v>
      </c>
      <c r="Q108" s="53" t="n">
        <v>0.5207241543592187</v>
      </c>
      <c r="R108" s="52" t="n">
        <v>20.99</v>
      </c>
      <c r="S108" s="51" t="n">
        <v>45335</v>
      </c>
      <c r="T108" s="48" t="n">
        <v>104.95</v>
      </c>
      <c r="U108" s="49" t="n">
        <v>5</v>
      </c>
      <c r="V108" s="49" t="n">
        <v>556</v>
      </c>
      <c r="W108" s="50" t="n">
        <v>0.008992805755395683</v>
      </c>
      <c r="X108" s="51" t="n">
        <v>39</v>
      </c>
      <c r="Y108" s="52" t="n">
        <v>10.18</v>
      </c>
      <c r="Z108" s="52" t="n">
        <v>20.99</v>
      </c>
      <c r="AA108" s="52" t="n">
        <v>2.06</v>
      </c>
      <c r="AB108" s="53" t="n">
        <v>0.0009</v>
      </c>
      <c r="AC108" s="52" t="n">
        <v>0.261025641025641</v>
      </c>
      <c r="AD108" s="53" t="n">
        <v>0.09699857074797522</v>
      </c>
      <c r="AE108" s="52" t="n">
        <v>20.99</v>
      </c>
      <c r="AF108" s="51" t="n">
        <v>42465</v>
      </c>
      <c r="AG108" s="48" t="n">
        <v>20.99</v>
      </c>
      <c r="AH108" s="49" t="n">
        <v>1</v>
      </c>
      <c r="AI108" s="49" t="n">
        <v>591</v>
      </c>
      <c r="AJ108" s="50" t="n">
        <v>0.001692047377326565</v>
      </c>
      <c r="AK108" s="51" t="n">
        <v>0</v>
      </c>
      <c r="AL108" s="52" t="n">
        <v>0</v>
      </c>
      <c r="AM108" s="52" t="n">
        <v>0</v>
      </c>
      <c r="AN108" s="52" t="n">
        <v>0</v>
      </c>
      <c r="AO108" s="53" t="n">
        <v>0</v>
      </c>
      <c r="AP108" s="52" t="n">
        <v>0</v>
      </c>
      <c r="AQ108" s="53" t="n">
        <v>0</v>
      </c>
      <c r="AR108" s="52" t="n">
        <v>20.99</v>
      </c>
      <c r="AS108" s="51" t="n">
        <v>0</v>
      </c>
      <c r="AT108" s="48" t="n">
        <v>24.99</v>
      </c>
      <c r="AU108" s="49" t="n">
        <v>1</v>
      </c>
      <c r="AV108" s="49" t="n">
        <v>583</v>
      </c>
      <c r="AW108" s="50" t="n">
        <v>0.001715265866209262</v>
      </c>
      <c r="AX108" s="51" t="n">
        <v>26</v>
      </c>
      <c r="AY108" s="52" t="n">
        <v>6.83</v>
      </c>
      <c r="AZ108" s="52" t="n">
        <v>0</v>
      </c>
      <c r="BA108" s="52" t="n">
        <v>0</v>
      </c>
      <c r="BB108" s="53" t="n">
        <v>0.0022</v>
      </c>
      <c r="BC108" s="52" t="n">
        <v>0.2626923076923077</v>
      </c>
      <c r="BD108" s="53" t="n">
        <v>0.2733093237294918</v>
      </c>
      <c r="BE108" s="52" t="n">
        <v>24.99</v>
      </c>
      <c r="BF108" s="51" t="n">
        <v>11839</v>
      </c>
    </row>
    <row r="109">
      <c r="A109">
        <f>HYPERLINK("https://www.walmart.com/ip/429541623", "429541623")</f>
        <v/>
      </c>
      <c r="B109" t="inlineStr">
        <is>
          <t>Tirrinia Surf Beach Changing Towel With Hood, Absorbent Microfiber Robe Poncho, Men &amp; Women, Pink</t>
        </is>
      </c>
      <c r="C109" t="inlineStr">
        <is>
          <t>1TRBR100-PB</t>
        </is>
      </c>
      <c r="D109" t="inlineStr">
        <is>
          <t>Towels &amp; Washcloths</t>
        </is>
      </c>
      <c r="E109" t="inlineStr">
        <is>
          <t>Tirrinia</t>
        </is>
      </c>
      <c r="G109" s="48" t="n">
        <v>19.99</v>
      </c>
      <c r="H109" s="49" t="n">
        <v>1</v>
      </c>
      <c r="I109" s="49" t="n">
        <v>0</v>
      </c>
      <c r="J109" s="50" t="n">
        <v>0</v>
      </c>
      <c r="K109" s="51" t="n">
        <v>0</v>
      </c>
      <c r="L109" s="52" t="n">
        <v>0</v>
      </c>
      <c r="M109" s="52" t="n">
        <v>0</v>
      </c>
      <c r="N109" s="52" t="n">
        <v>0</v>
      </c>
      <c r="O109" s="53" t="n">
        <v>0</v>
      </c>
      <c r="P109" s="52" t="n">
        <v>0</v>
      </c>
      <c r="Q109" s="53" t="n">
        <v>0</v>
      </c>
      <c r="R109" s="52" t="n">
        <v>19.99</v>
      </c>
      <c r="S109" s="51" t="n">
        <v>0</v>
      </c>
      <c r="T109" s="48" t="n">
        <v>0</v>
      </c>
      <c r="U109" s="49" t="n">
        <v>0</v>
      </c>
      <c r="V109" s="49" t="n">
        <v>0</v>
      </c>
      <c r="W109" s="50" t="n">
        <v>0</v>
      </c>
      <c r="X109" s="51" t="n">
        <v>0</v>
      </c>
      <c r="Y109" s="52" t="n">
        <v>0</v>
      </c>
      <c r="Z109" s="52" t="n">
        <v>0</v>
      </c>
      <c r="AA109" s="52" t="n">
        <v>0</v>
      </c>
      <c r="AB109" s="53" t="n">
        <v>0</v>
      </c>
      <c r="AC109" s="52" t="n">
        <v>0</v>
      </c>
      <c r="AD109" s="53" t="n">
        <v>0</v>
      </c>
      <c r="AE109" s="52" t="n">
        <v>0</v>
      </c>
      <c r="AF109" s="51" t="n">
        <v>0</v>
      </c>
      <c r="AG109" s="48" t="n">
        <v>0</v>
      </c>
      <c r="AH109" s="49" t="n">
        <v>0</v>
      </c>
      <c r="AI109" s="49" t="n">
        <v>0</v>
      </c>
      <c r="AJ109" s="50" t="n">
        <v>0</v>
      </c>
      <c r="AK109" s="51" t="n">
        <v>0</v>
      </c>
      <c r="AL109" s="52" t="n">
        <v>0</v>
      </c>
      <c r="AM109" s="52" t="n">
        <v>0</v>
      </c>
      <c r="AN109" s="52" t="n">
        <v>0</v>
      </c>
      <c r="AO109" s="53" t="n">
        <v>0</v>
      </c>
      <c r="AP109" s="52" t="n">
        <v>0</v>
      </c>
      <c r="AQ109" s="53" t="n">
        <v>0</v>
      </c>
      <c r="AR109" s="52" t="n">
        <v>0</v>
      </c>
      <c r="AS109" s="51" t="n">
        <v>0</v>
      </c>
      <c r="AT109" s="48" t="n">
        <v>0</v>
      </c>
      <c r="AU109" s="49" t="n">
        <v>0</v>
      </c>
      <c r="AV109" s="49" t="n">
        <v>0</v>
      </c>
      <c r="AW109" s="50" t="n">
        <v>0</v>
      </c>
      <c r="AX109" s="51" t="n">
        <v>0</v>
      </c>
      <c r="AY109" s="52" t="n">
        <v>0</v>
      </c>
      <c r="AZ109" s="52" t="n">
        <v>0</v>
      </c>
      <c r="BA109" s="52" t="n">
        <v>0</v>
      </c>
      <c r="BB109" s="53" t="n">
        <v>0</v>
      </c>
      <c r="BC109" s="52" t="n">
        <v>0</v>
      </c>
      <c r="BD109" s="53" t="n">
        <v>0</v>
      </c>
      <c r="BE109" s="52" t="n">
        <v>0</v>
      </c>
      <c r="BF109" s="51" t="n">
        <v>0</v>
      </c>
    </row>
    <row r="110">
      <c r="A110">
        <f>HYPERLINK("https://www.walmart.com/ip/10279411640", "10279411640")</f>
        <v/>
      </c>
      <c r="B110" t="inlineStr">
        <is>
          <t>Wrangler Men’s Leather Country Casual Every Day Dress Belt for Jeans, Khakis Light Brown 40</t>
        </is>
      </c>
      <c r="C110" t="inlineStr">
        <is>
          <t>WR-BELT-MENS-COUNTRY-LTBROWN-40</t>
        </is>
      </c>
      <c r="D110" t="inlineStr">
        <is>
          <t>Belts</t>
        </is>
      </c>
      <c r="E110" t="inlineStr">
        <is>
          <t>Wrangler</t>
        </is>
      </c>
      <c r="F110" t="inlineStr">
        <is>
          <t>Belts</t>
        </is>
      </c>
      <c r="G110" s="48" t="n">
        <v>19.99</v>
      </c>
      <c r="H110" s="49" t="n">
        <v>1</v>
      </c>
      <c r="I110" s="49" t="n">
        <v>0</v>
      </c>
      <c r="J110" s="50" t="n">
        <v>0</v>
      </c>
      <c r="K110" s="51" t="n">
        <v>0</v>
      </c>
      <c r="L110" s="52" t="n">
        <v>0</v>
      </c>
      <c r="M110" s="52" t="n">
        <v>0</v>
      </c>
      <c r="N110" s="52" t="n">
        <v>0</v>
      </c>
      <c r="O110" s="53" t="n">
        <v>0</v>
      </c>
      <c r="P110" s="52" t="n">
        <v>0</v>
      </c>
      <c r="Q110" s="53" t="n">
        <v>0</v>
      </c>
      <c r="R110" s="52" t="n">
        <v>19.99</v>
      </c>
      <c r="S110" s="51" t="n">
        <v>0</v>
      </c>
      <c r="T110" s="48" t="n">
        <v>19.99</v>
      </c>
      <c r="U110" s="49" t="n">
        <v>1</v>
      </c>
      <c r="V110" s="49" t="n">
        <v>0</v>
      </c>
      <c r="W110" s="50" t="n">
        <v>0</v>
      </c>
      <c r="X110" s="51" t="n">
        <v>0</v>
      </c>
      <c r="Y110" s="52" t="n">
        <v>0</v>
      </c>
      <c r="Z110" s="52" t="n">
        <v>0</v>
      </c>
      <c r="AA110" s="52" t="n">
        <v>0</v>
      </c>
      <c r="AB110" s="53" t="n">
        <v>0</v>
      </c>
      <c r="AC110" s="52" t="n">
        <v>0</v>
      </c>
      <c r="AD110" s="53" t="n">
        <v>0</v>
      </c>
      <c r="AE110" s="52" t="n">
        <v>19.99</v>
      </c>
      <c r="AF110" s="51" t="n">
        <v>0</v>
      </c>
      <c r="AG110" s="48" t="n">
        <v>0</v>
      </c>
      <c r="AH110" s="49" t="n">
        <v>0</v>
      </c>
      <c r="AI110" s="49" t="n">
        <v>0</v>
      </c>
      <c r="AJ110" s="50" t="n">
        <v>0</v>
      </c>
      <c r="AK110" s="51" t="n">
        <v>0</v>
      </c>
      <c r="AL110" s="52" t="n">
        <v>0</v>
      </c>
      <c r="AM110" s="52" t="n">
        <v>0</v>
      </c>
      <c r="AN110" s="52" t="n">
        <v>0</v>
      </c>
      <c r="AO110" s="53" t="n">
        <v>0</v>
      </c>
      <c r="AP110" s="52" t="n">
        <v>0</v>
      </c>
      <c r="AQ110" s="53" t="n">
        <v>0</v>
      </c>
      <c r="AR110" s="52" t="n">
        <v>0</v>
      </c>
      <c r="AS110" s="51" t="n">
        <v>0</v>
      </c>
      <c r="AT110" s="48" t="n">
        <v>0</v>
      </c>
      <c r="AU110" s="49" t="n">
        <v>0</v>
      </c>
      <c r="AV110" s="49" t="n">
        <v>0</v>
      </c>
      <c r="AW110" s="50" t="n">
        <v>0</v>
      </c>
      <c r="AX110" s="51" t="n">
        <v>0</v>
      </c>
      <c r="AY110" s="52" t="n">
        <v>0</v>
      </c>
      <c r="AZ110" s="52" t="n">
        <v>0</v>
      </c>
      <c r="BA110" s="52" t="n">
        <v>0</v>
      </c>
      <c r="BB110" s="53" t="n">
        <v>0</v>
      </c>
      <c r="BC110" s="52" t="n">
        <v>0</v>
      </c>
      <c r="BD110" s="53" t="n">
        <v>0</v>
      </c>
      <c r="BE110" s="52" t="n">
        <v>0</v>
      </c>
      <c r="BF110" s="51" t="n">
        <v>0</v>
      </c>
    </row>
    <row r="111">
      <c r="A111">
        <f>HYPERLINK("https://www.walmart.com/ip/10299774309", "10299774309")</f>
        <v/>
      </c>
      <c r="B111" t="inlineStr">
        <is>
          <t>Wrangler Men’s Full Grain Genuine Leather 35mm Thick Casual Belt for Jeans, Pants - Brown, 40</t>
        </is>
      </c>
      <c r="C111" t="inlineStr">
        <is>
          <t>WR-BELT-MENS-35MM-BROWN-40</t>
        </is>
      </c>
      <c r="D111" t="inlineStr">
        <is>
          <t>Belts</t>
        </is>
      </c>
      <c r="E111" t="inlineStr">
        <is>
          <t>Wrangler</t>
        </is>
      </c>
      <c r="F111" t="inlineStr">
        <is>
          <t>Belts</t>
        </is>
      </c>
      <c r="G111" s="48" t="n">
        <v>19.99</v>
      </c>
      <c r="H111" s="49" t="n">
        <v>1</v>
      </c>
      <c r="I111" s="49" t="n">
        <v>0</v>
      </c>
      <c r="J111" s="50" t="n">
        <v>0</v>
      </c>
      <c r="K111" s="51" t="n">
        <v>0</v>
      </c>
      <c r="L111" s="52" t="n">
        <v>0</v>
      </c>
      <c r="M111" s="52" t="n">
        <v>0</v>
      </c>
      <c r="N111" s="52" t="n">
        <v>0</v>
      </c>
      <c r="O111" s="53" t="n">
        <v>0</v>
      </c>
      <c r="P111" s="52" t="n">
        <v>0</v>
      </c>
      <c r="Q111" s="53" t="n">
        <v>0</v>
      </c>
      <c r="R111" s="52" t="n">
        <v>19.99</v>
      </c>
      <c r="S111" s="51" t="n">
        <v>0</v>
      </c>
      <c r="T111" s="48" t="n">
        <v>19.99</v>
      </c>
      <c r="U111" s="49" t="n">
        <v>1</v>
      </c>
      <c r="V111" s="49" t="n">
        <v>0</v>
      </c>
      <c r="W111" s="50" t="n">
        <v>0</v>
      </c>
      <c r="X111" s="51" t="n">
        <v>0</v>
      </c>
      <c r="Y111" s="52" t="n">
        <v>0</v>
      </c>
      <c r="Z111" s="52" t="n">
        <v>0</v>
      </c>
      <c r="AA111" s="52" t="n">
        <v>0</v>
      </c>
      <c r="AB111" s="53" t="n">
        <v>0</v>
      </c>
      <c r="AC111" s="52" t="n">
        <v>0</v>
      </c>
      <c r="AD111" s="53" t="n">
        <v>0</v>
      </c>
      <c r="AE111" s="52" t="n">
        <v>19.99</v>
      </c>
      <c r="AF111" s="51" t="n">
        <v>0</v>
      </c>
      <c r="AG111" s="48" t="n">
        <v>19.99</v>
      </c>
      <c r="AH111" s="49" t="n">
        <v>1</v>
      </c>
      <c r="AI111" s="49" t="n">
        <v>0</v>
      </c>
      <c r="AJ111" s="50" t="n">
        <v>0</v>
      </c>
      <c r="AK111" s="51" t="n">
        <v>0</v>
      </c>
      <c r="AL111" s="52" t="n">
        <v>0</v>
      </c>
      <c r="AM111" s="52" t="n">
        <v>0</v>
      </c>
      <c r="AN111" s="52" t="n">
        <v>0</v>
      </c>
      <c r="AO111" s="53" t="n">
        <v>0</v>
      </c>
      <c r="AP111" s="52" t="n">
        <v>0</v>
      </c>
      <c r="AQ111" s="53" t="n">
        <v>0</v>
      </c>
      <c r="AR111" s="52" t="n">
        <v>19.99</v>
      </c>
      <c r="AS111" s="51" t="n">
        <v>0</v>
      </c>
      <c r="AT111" s="48" t="n">
        <v>0</v>
      </c>
      <c r="AU111" s="49" t="n">
        <v>0</v>
      </c>
      <c r="AV111" s="49" t="n">
        <v>0</v>
      </c>
      <c r="AW111" s="50" t="n">
        <v>0</v>
      </c>
      <c r="AX111" s="51" t="n">
        <v>0</v>
      </c>
      <c r="AY111" s="52" t="n">
        <v>0</v>
      </c>
      <c r="AZ111" s="52" t="n">
        <v>0</v>
      </c>
      <c r="BA111" s="52" t="n">
        <v>0</v>
      </c>
      <c r="BB111" s="53" t="n">
        <v>0</v>
      </c>
      <c r="BC111" s="52" t="n">
        <v>0</v>
      </c>
      <c r="BD111" s="53" t="n">
        <v>0</v>
      </c>
      <c r="BE111" s="52" t="n">
        <v>0</v>
      </c>
      <c r="BF111" s="51" t="n">
        <v>0</v>
      </c>
    </row>
    <row r="112">
      <c r="A112">
        <f>HYPERLINK("https://www.walmart.com/ip/15460768310", "15460768310")</f>
        <v/>
      </c>
      <c r="B112" t="inlineStr">
        <is>
          <t>Wrangler Men’s Leather Embossed Logo Casual Every Day Belt for Jeans, Khakis Brown</t>
        </is>
      </c>
      <c r="C112" t="inlineStr">
        <is>
          <t>WR-BELT-MENS-EMBOSSED-BROWN-38</t>
        </is>
      </c>
      <c r="D112" t="inlineStr">
        <is>
          <t>Belts</t>
        </is>
      </c>
      <c r="E112" t="inlineStr">
        <is>
          <t>Wrangler</t>
        </is>
      </c>
      <c r="G112" s="48" t="n">
        <v>19.99</v>
      </c>
      <c r="H112" s="49" t="n">
        <v>1</v>
      </c>
      <c r="I112" s="49" t="n">
        <v>0</v>
      </c>
      <c r="J112" s="50" t="n">
        <v>0</v>
      </c>
      <c r="K112" s="51" t="n">
        <v>0</v>
      </c>
      <c r="L112" s="52" t="n">
        <v>0</v>
      </c>
      <c r="M112" s="52" t="n">
        <v>0</v>
      </c>
      <c r="N112" s="52" t="n">
        <v>0</v>
      </c>
      <c r="O112" s="53" t="n">
        <v>0</v>
      </c>
      <c r="P112" s="52" t="n">
        <v>0</v>
      </c>
      <c r="Q112" s="53" t="n">
        <v>0</v>
      </c>
      <c r="R112" s="52" t="n">
        <v>19.99</v>
      </c>
      <c r="S112" s="51" t="n">
        <v>0</v>
      </c>
      <c r="T112" s="48" t="n">
        <v>0</v>
      </c>
      <c r="U112" s="49" t="n">
        <v>0</v>
      </c>
      <c r="V112" s="49" t="n">
        <v>0</v>
      </c>
      <c r="W112" s="50" t="n">
        <v>0</v>
      </c>
      <c r="X112" s="51" t="n">
        <v>0</v>
      </c>
      <c r="Y112" s="52" t="n">
        <v>0</v>
      </c>
      <c r="Z112" s="52" t="n">
        <v>0</v>
      </c>
      <c r="AA112" s="52" t="n">
        <v>0</v>
      </c>
      <c r="AB112" s="53" t="n">
        <v>0</v>
      </c>
      <c r="AC112" s="52" t="n">
        <v>0</v>
      </c>
      <c r="AD112" s="53" t="n">
        <v>0</v>
      </c>
      <c r="AE112" s="52" t="n">
        <v>0</v>
      </c>
      <c r="AF112" s="51" t="n">
        <v>0</v>
      </c>
      <c r="AG112" s="48" t="n">
        <v>0</v>
      </c>
      <c r="AH112" s="49" t="n">
        <v>0</v>
      </c>
      <c r="AI112" s="49" t="n">
        <v>0</v>
      </c>
      <c r="AJ112" s="50" t="n">
        <v>0</v>
      </c>
      <c r="AK112" s="51" t="n">
        <v>0</v>
      </c>
      <c r="AL112" s="52" t="n">
        <v>0</v>
      </c>
      <c r="AM112" s="52" t="n">
        <v>0</v>
      </c>
      <c r="AN112" s="52" t="n">
        <v>0</v>
      </c>
      <c r="AO112" s="53" t="n">
        <v>0</v>
      </c>
      <c r="AP112" s="52" t="n">
        <v>0</v>
      </c>
      <c r="AQ112" s="53" t="n">
        <v>0</v>
      </c>
      <c r="AR112" s="52" t="n">
        <v>0</v>
      </c>
      <c r="AS112" s="51" t="n">
        <v>0</v>
      </c>
      <c r="AT112" s="48" t="n">
        <v>0</v>
      </c>
      <c r="AU112" s="49" t="n">
        <v>0</v>
      </c>
      <c r="AV112" s="49" t="n">
        <v>0</v>
      </c>
      <c r="AW112" s="50" t="n">
        <v>0</v>
      </c>
      <c r="AX112" s="51" t="n">
        <v>0</v>
      </c>
      <c r="AY112" s="52" t="n">
        <v>0</v>
      </c>
      <c r="AZ112" s="52" t="n">
        <v>0</v>
      </c>
      <c r="BA112" s="52" t="n">
        <v>0</v>
      </c>
      <c r="BB112" s="53" t="n">
        <v>0</v>
      </c>
      <c r="BC112" s="52" t="n">
        <v>0</v>
      </c>
      <c r="BD112" s="53" t="n">
        <v>0</v>
      </c>
      <c r="BE112" s="52" t="n">
        <v>0</v>
      </c>
      <c r="BF112" s="51" t="n">
        <v>0</v>
      </c>
    </row>
    <row r="113">
      <c r="A113">
        <f>HYPERLINK("https://www.walmart.com/ip/10291700385", "10291700385")</f>
        <v/>
      </c>
      <c r="B113" t="inlineStr">
        <is>
          <t>Wrangler Men’s Full Grain Genuine Leather 35mm Thick Casual Belt for Jeans, Pants - Black, 36</t>
        </is>
      </c>
      <c r="C113" t="inlineStr">
        <is>
          <t>WR-BELT-MENS-35MM-BLACK-36</t>
        </is>
      </c>
      <c r="D113" t="inlineStr">
        <is>
          <t>Belts</t>
        </is>
      </c>
      <c r="E113" t="inlineStr">
        <is>
          <t>Wrangler</t>
        </is>
      </c>
      <c r="F113" t="inlineStr">
        <is>
          <t>Belts</t>
        </is>
      </c>
      <c r="G113" s="48" t="n">
        <v>19.99</v>
      </c>
      <c r="H113" s="49" t="n">
        <v>1</v>
      </c>
      <c r="I113" s="49" t="n">
        <v>1</v>
      </c>
      <c r="J113" s="50" t="n">
        <v>1</v>
      </c>
      <c r="K113" s="51" t="n">
        <v>0</v>
      </c>
      <c r="L113" s="52" t="n">
        <v>0</v>
      </c>
      <c r="M113" s="52" t="n">
        <v>0</v>
      </c>
      <c r="N113" s="52" t="n">
        <v>0</v>
      </c>
      <c r="O113" s="53" t="n">
        <v>0</v>
      </c>
      <c r="P113" s="52" t="n">
        <v>0</v>
      </c>
      <c r="Q113" s="53" t="n">
        <v>0</v>
      </c>
      <c r="R113" s="52" t="n">
        <v>19.99</v>
      </c>
      <c r="S113" s="51" t="n">
        <v>0</v>
      </c>
      <c r="T113" s="48" t="n">
        <v>19.99</v>
      </c>
      <c r="U113" s="49" t="n">
        <v>1</v>
      </c>
      <c r="V113" s="49" t="n">
        <v>0</v>
      </c>
      <c r="W113" s="50" t="n">
        <v>0</v>
      </c>
      <c r="X113" s="51" t="n">
        <v>0</v>
      </c>
      <c r="Y113" s="52" t="n">
        <v>0</v>
      </c>
      <c r="Z113" s="52" t="n">
        <v>0</v>
      </c>
      <c r="AA113" s="52" t="n">
        <v>0</v>
      </c>
      <c r="AB113" s="53" t="n">
        <v>0</v>
      </c>
      <c r="AC113" s="52" t="n">
        <v>0</v>
      </c>
      <c r="AD113" s="53" t="n">
        <v>0</v>
      </c>
      <c r="AE113" s="52" t="n">
        <v>19.99</v>
      </c>
      <c r="AF113" s="51" t="n">
        <v>0</v>
      </c>
      <c r="AG113" s="48" t="n">
        <v>0</v>
      </c>
      <c r="AH113" s="49" t="n">
        <v>0</v>
      </c>
      <c r="AI113" s="49" t="n">
        <v>0</v>
      </c>
      <c r="AJ113" s="50" t="n">
        <v>0</v>
      </c>
      <c r="AK113" s="51" t="n">
        <v>0</v>
      </c>
      <c r="AL113" s="52" t="n">
        <v>0</v>
      </c>
      <c r="AM113" s="52" t="n">
        <v>0</v>
      </c>
      <c r="AN113" s="52" t="n">
        <v>0</v>
      </c>
      <c r="AO113" s="53" t="n">
        <v>0</v>
      </c>
      <c r="AP113" s="52" t="n">
        <v>0</v>
      </c>
      <c r="AQ113" s="53" t="n">
        <v>0</v>
      </c>
      <c r="AR113" s="52" t="n">
        <v>0</v>
      </c>
      <c r="AS113" s="51" t="n">
        <v>0</v>
      </c>
      <c r="AT113" s="48" t="n">
        <v>19.99</v>
      </c>
      <c r="AU113" s="49" t="n">
        <v>1</v>
      </c>
      <c r="AV113" s="49" t="n">
        <v>0</v>
      </c>
      <c r="AW113" s="50" t="n">
        <v>0</v>
      </c>
      <c r="AX113" s="51" t="n">
        <v>0</v>
      </c>
      <c r="AY113" s="52" t="n">
        <v>0</v>
      </c>
      <c r="AZ113" s="52" t="n">
        <v>0</v>
      </c>
      <c r="BA113" s="52" t="n">
        <v>0</v>
      </c>
      <c r="BB113" s="53" t="n">
        <v>0</v>
      </c>
      <c r="BC113" s="52" t="n">
        <v>0</v>
      </c>
      <c r="BD113" s="53" t="n">
        <v>0</v>
      </c>
      <c r="BE113" s="52" t="n">
        <v>19.99</v>
      </c>
      <c r="BF113" s="51" t="n">
        <v>0</v>
      </c>
    </row>
    <row r="114">
      <c r="A114">
        <f>HYPERLINK("https://www.walmart.com/ip/10294163517", "10294163517")</f>
        <v/>
      </c>
      <c r="B114" t="inlineStr">
        <is>
          <t>Wrangler Men’s Leather Country Casual Every Day Dress Belt for Jeans, Khakis Black 32</t>
        </is>
      </c>
      <c r="C114" t="inlineStr">
        <is>
          <t>WR-BELT-MENS-COUNTRY-BLACK-32</t>
        </is>
      </c>
      <c r="D114" t="inlineStr">
        <is>
          <t>Belts</t>
        </is>
      </c>
      <c r="E114" t="inlineStr">
        <is>
          <t>Wrangler</t>
        </is>
      </c>
      <c r="F114" t="inlineStr">
        <is>
          <t>Belts</t>
        </is>
      </c>
      <c r="G114" s="48" t="n">
        <v>19.99</v>
      </c>
      <c r="H114" s="49" t="n">
        <v>1</v>
      </c>
      <c r="I114" s="49" t="n">
        <v>6</v>
      </c>
      <c r="J114" s="50" t="n">
        <v>0.1666666666666667</v>
      </c>
      <c r="K114" s="51" t="n">
        <v>0</v>
      </c>
      <c r="L114" s="52" t="n">
        <v>0</v>
      </c>
      <c r="M114" s="52" t="n">
        <v>0</v>
      </c>
      <c r="N114" s="52" t="n">
        <v>0</v>
      </c>
      <c r="O114" s="53" t="n">
        <v>0</v>
      </c>
      <c r="P114" s="52" t="n">
        <v>0</v>
      </c>
      <c r="Q114" s="53" t="n">
        <v>0</v>
      </c>
      <c r="R114" s="52" t="n">
        <v>19.99</v>
      </c>
      <c r="S114" s="51" t="n">
        <v>0</v>
      </c>
      <c r="T114" s="48" t="n">
        <v>39.98</v>
      </c>
      <c r="U114" s="49" t="n">
        <v>2</v>
      </c>
      <c r="V114" s="49" t="n">
        <v>6</v>
      </c>
      <c r="W114" s="50" t="n">
        <v>0.3333333333333333</v>
      </c>
      <c r="X114" s="51" t="n">
        <v>0</v>
      </c>
      <c r="Y114" s="52" t="n">
        <v>0</v>
      </c>
      <c r="Z114" s="52" t="n">
        <v>0</v>
      </c>
      <c r="AA114" s="52" t="n">
        <v>0</v>
      </c>
      <c r="AB114" s="53" t="n">
        <v>0</v>
      </c>
      <c r="AC114" s="52" t="n">
        <v>0</v>
      </c>
      <c r="AD114" s="53" t="n">
        <v>0</v>
      </c>
      <c r="AE114" s="52" t="n">
        <v>19.99</v>
      </c>
      <c r="AF114" s="51" t="n">
        <v>0</v>
      </c>
      <c r="AG114" s="48" t="n">
        <v>19.99</v>
      </c>
      <c r="AH114" s="49" t="n">
        <v>1</v>
      </c>
      <c r="AI114" s="49" t="n">
        <v>1</v>
      </c>
      <c r="AJ114" s="50" t="n">
        <v>1</v>
      </c>
      <c r="AK114" s="51" t="n">
        <v>0</v>
      </c>
      <c r="AL114" s="52" t="n">
        <v>0</v>
      </c>
      <c r="AM114" s="52" t="n">
        <v>0</v>
      </c>
      <c r="AN114" s="52" t="n">
        <v>0</v>
      </c>
      <c r="AO114" s="53" t="n">
        <v>0</v>
      </c>
      <c r="AP114" s="52" t="n">
        <v>0</v>
      </c>
      <c r="AQ114" s="53" t="n">
        <v>0</v>
      </c>
      <c r="AR114" s="52" t="n">
        <v>19.99</v>
      </c>
      <c r="AS114" s="51" t="n">
        <v>0</v>
      </c>
      <c r="AT114" s="48" t="n">
        <v>0</v>
      </c>
      <c r="AU114" s="49" t="n">
        <v>0</v>
      </c>
      <c r="AV114" s="49" t="n">
        <v>0</v>
      </c>
      <c r="AW114" s="50" t="n">
        <v>0</v>
      </c>
      <c r="AX114" s="51" t="n">
        <v>0</v>
      </c>
      <c r="AY114" s="52" t="n">
        <v>0</v>
      </c>
      <c r="AZ114" s="52" t="n">
        <v>0</v>
      </c>
      <c r="BA114" s="52" t="n">
        <v>0</v>
      </c>
      <c r="BB114" s="53" t="n">
        <v>0</v>
      </c>
      <c r="BC114" s="52" t="n">
        <v>0</v>
      </c>
      <c r="BD114" s="53" t="n">
        <v>0</v>
      </c>
      <c r="BE114" s="52" t="n">
        <v>0</v>
      </c>
      <c r="BF114" s="51" t="n">
        <v>0</v>
      </c>
    </row>
    <row r="115">
      <c r="A115">
        <f>HYPERLINK("https://www.walmart.com/ip/127358445", "127358445")</f>
        <v/>
      </c>
      <c r="B115" t="inlineStr">
        <is>
          <t>Solaris Unisex Large Bill Flap Sun Hat Camping Hiking Hunting Fishing Cap</t>
        </is>
      </c>
      <c r="C115" t="inlineStr">
        <is>
          <t>1SLSH911OL</t>
        </is>
      </c>
      <c r="D115" t="inlineStr">
        <is>
          <t>Hats</t>
        </is>
      </c>
      <c r="E115" t="inlineStr">
        <is>
          <t>Solaris</t>
        </is>
      </c>
      <c r="F115" t="inlineStr">
        <is>
          <t>Q2-Target,Hats,Batch 1 - TR</t>
        </is>
      </c>
      <c r="G115" s="48" t="n">
        <v>19.99</v>
      </c>
      <c r="H115" s="49" t="n">
        <v>1</v>
      </c>
      <c r="I115" s="49" t="n">
        <v>4</v>
      </c>
      <c r="J115" s="50" t="n">
        <v>0.25</v>
      </c>
      <c r="K115" s="51" t="n">
        <v>0</v>
      </c>
      <c r="L115" s="52" t="n">
        <v>0</v>
      </c>
      <c r="M115" s="52" t="n">
        <v>0</v>
      </c>
      <c r="N115" s="52" t="n">
        <v>0</v>
      </c>
      <c r="O115" s="53" t="n">
        <v>0</v>
      </c>
      <c r="P115" s="52" t="n">
        <v>0</v>
      </c>
      <c r="Q115" s="53" t="n">
        <v>0</v>
      </c>
      <c r="R115" s="52" t="n">
        <v>19.99</v>
      </c>
      <c r="S115" s="51" t="n">
        <v>0</v>
      </c>
      <c r="T115" s="48" t="n">
        <v>0</v>
      </c>
      <c r="U115" s="49" t="n">
        <v>0</v>
      </c>
      <c r="V115" s="49" t="n">
        <v>2</v>
      </c>
      <c r="W115" s="50" t="n">
        <v>0</v>
      </c>
      <c r="X115" s="51" t="n">
        <v>0</v>
      </c>
      <c r="Y115" s="52" t="n">
        <v>0</v>
      </c>
      <c r="Z115" s="52" t="n">
        <v>0</v>
      </c>
      <c r="AA115" s="52" t="n">
        <v>0</v>
      </c>
      <c r="AB115" s="53" t="n">
        <v>0</v>
      </c>
      <c r="AC115" s="52" t="n">
        <v>0</v>
      </c>
      <c r="AD115" s="53" t="n">
        <v>0</v>
      </c>
      <c r="AE115" s="52" t="n">
        <v>0</v>
      </c>
      <c r="AF115" s="51" t="n">
        <v>0</v>
      </c>
      <c r="AG115" s="48" t="n">
        <v>0</v>
      </c>
      <c r="AH115" s="49" t="n">
        <v>0</v>
      </c>
      <c r="AI115" s="49" t="n">
        <v>2</v>
      </c>
      <c r="AJ115" s="50" t="n">
        <v>0</v>
      </c>
      <c r="AK115" s="51" t="n">
        <v>0</v>
      </c>
      <c r="AL115" s="52" t="n">
        <v>0</v>
      </c>
      <c r="AM115" s="52" t="n">
        <v>0</v>
      </c>
      <c r="AN115" s="52" t="n">
        <v>0</v>
      </c>
      <c r="AO115" s="53" t="n">
        <v>0</v>
      </c>
      <c r="AP115" s="52" t="n">
        <v>0</v>
      </c>
      <c r="AQ115" s="53" t="n">
        <v>0</v>
      </c>
      <c r="AR115" s="52" t="n">
        <v>0</v>
      </c>
      <c r="AS115" s="51" t="n">
        <v>0</v>
      </c>
      <c r="AT115" s="48" t="n">
        <v>0</v>
      </c>
      <c r="AU115" s="49" t="n">
        <v>0</v>
      </c>
      <c r="AV115" s="49" t="n">
        <v>4</v>
      </c>
      <c r="AW115" s="50" t="n">
        <v>0</v>
      </c>
      <c r="AX115" s="51" t="n">
        <v>0</v>
      </c>
      <c r="AY115" s="52" t="n">
        <v>0</v>
      </c>
      <c r="AZ115" s="52" t="n">
        <v>0</v>
      </c>
      <c r="BA115" s="52" t="n">
        <v>0</v>
      </c>
      <c r="BB115" s="53" t="n">
        <v>0</v>
      </c>
      <c r="BC115" s="52" t="n">
        <v>0</v>
      </c>
      <c r="BD115" s="53" t="n">
        <v>0</v>
      </c>
      <c r="BE115" s="52" t="n">
        <v>0</v>
      </c>
      <c r="BF115" s="51" t="n">
        <v>0</v>
      </c>
    </row>
    <row r="116">
      <c r="A116">
        <f>HYPERLINK("https://www.walmart.com/ip/10298018192", "10298018192")</f>
        <v/>
      </c>
      <c r="B116" t="inlineStr">
        <is>
          <t>Wrangler Men’s Leather Country Casual Every Day Dress Belt for Jeans, Khakis Brown 44</t>
        </is>
      </c>
      <c r="C116" t="inlineStr">
        <is>
          <t>WR-BELT-MENS-COUNTRY-BROWN-44</t>
        </is>
      </c>
      <c r="D116" t="inlineStr">
        <is>
          <t>Belts</t>
        </is>
      </c>
      <c r="E116" t="inlineStr">
        <is>
          <t>Wrangler</t>
        </is>
      </c>
      <c r="F116" t="inlineStr">
        <is>
          <t>Belts</t>
        </is>
      </c>
      <c r="G116" s="48" t="n">
        <v>19.99</v>
      </c>
      <c r="H116" s="49" t="n">
        <v>1</v>
      </c>
      <c r="I116" s="49" t="n">
        <v>0</v>
      </c>
      <c r="J116" s="50" t="n">
        <v>0</v>
      </c>
      <c r="K116" s="51" t="n">
        <v>0</v>
      </c>
      <c r="L116" s="52" t="n">
        <v>0</v>
      </c>
      <c r="M116" s="52" t="n">
        <v>0</v>
      </c>
      <c r="N116" s="52" t="n">
        <v>0</v>
      </c>
      <c r="O116" s="53" t="n">
        <v>0</v>
      </c>
      <c r="P116" s="52" t="n">
        <v>0</v>
      </c>
      <c r="Q116" s="53" t="n">
        <v>0</v>
      </c>
      <c r="R116" s="52" t="n">
        <v>19.99</v>
      </c>
      <c r="S116" s="51" t="n">
        <v>0</v>
      </c>
      <c r="T116" s="48" t="n">
        <v>19.99</v>
      </c>
      <c r="U116" s="49" t="n">
        <v>1</v>
      </c>
      <c r="V116" s="49" t="n">
        <v>0</v>
      </c>
      <c r="W116" s="50" t="n">
        <v>0</v>
      </c>
      <c r="X116" s="51" t="n">
        <v>0</v>
      </c>
      <c r="Y116" s="52" t="n">
        <v>0</v>
      </c>
      <c r="Z116" s="52" t="n">
        <v>0</v>
      </c>
      <c r="AA116" s="52" t="n">
        <v>0</v>
      </c>
      <c r="AB116" s="53" t="n">
        <v>0</v>
      </c>
      <c r="AC116" s="52" t="n">
        <v>0</v>
      </c>
      <c r="AD116" s="53" t="n">
        <v>0</v>
      </c>
      <c r="AE116" s="52" t="n">
        <v>19.99</v>
      </c>
      <c r="AF116" s="51" t="n">
        <v>0</v>
      </c>
      <c r="AG116" s="48" t="n">
        <v>19.99</v>
      </c>
      <c r="AH116" s="49" t="n">
        <v>1</v>
      </c>
      <c r="AI116" s="49" t="n">
        <v>0</v>
      </c>
      <c r="AJ116" s="50" t="n">
        <v>0</v>
      </c>
      <c r="AK116" s="51" t="n">
        <v>0</v>
      </c>
      <c r="AL116" s="52" t="n">
        <v>0</v>
      </c>
      <c r="AM116" s="52" t="n">
        <v>0</v>
      </c>
      <c r="AN116" s="52" t="n">
        <v>0</v>
      </c>
      <c r="AO116" s="53" t="n">
        <v>0</v>
      </c>
      <c r="AP116" s="52" t="n">
        <v>0</v>
      </c>
      <c r="AQ116" s="53" t="n">
        <v>0</v>
      </c>
      <c r="AR116" s="52" t="n">
        <v>19.99</v>
      </c>
      <c r="AS116" s="51" t="n">
        <v>0</v>
      </c>
      <c r="AT116" s="48" t="n">
        <v>0</v>
      </c>
      <c r="AU116" s="49" t="n">
        <v>0</v>
      </c>
      <c r="AV116" s="49" t="n">
        <v>0</v>
      </c>
      <c r="AW116" s="50" t="n">
        <v>0</v>
      </c>
      <c r="AX116" s="51" t="n">
        <v>0</v>
      </c>
      <c r="AY116" s="52" t="n">
        <v>0</v>
      </c>
      <c r="AZ116" s="52" t="n">
        <v>0</v>
      </c>
      <c r="BA116" s="52" t="n">
        <v>0</v>
      </c>
      <c r="BB116" s="53" t="n">
        <v>0</v>
      </c>
      <c r="BC116" s="52" t="n">
        <v>0</v>
      </c>
      <c r="BD116" s="53" t="n">
        <v>0</v>
      </c>
      <c r="BE116" s="52" t="n">
        <v>0</v>
      </c>
      <c r="BF116" s="51" t="n">
        <v>0</v>
      </c>
    </row>
    <row r="117">
      <c r="A117">
        <f>HYPERLINK("https://www.walmart.com/ip/10298068829", "10298068829")</f>
        <v/>
      </c>
      <c r="B117" t="inlineStr">
        <is>
          <t>Wrangler Men’s Leather Country Casual Every Day Belt for Jeans, Khakis Black 44</t>
        </is>
      </c>
      <c r="C117" t="inlineStr">
        <is>
          <t>WR-BELT-MENS-COUNTRY-BLACK-44</t>
        </is>
      </c>
      <c r="D117" t="inlineStr">
        <is>
          <t>Belts</t>
        </is>
      </c>
      <c r="E117" t="inlineStr">
        <is>
          <t>Wrangler</t>
        </is>
      </c>
      <c r="F117" t="inlineStr">
        <is>
          <t>Belts</t>
        </is>
      </c>
      <c r="G117" s="48" t="n">
        <v>19.99</v>
      </c>
      <c r="H117" s="49" t="n">
        <v>0</v>
      </c>
      <c r="I117" s="49" t="n">
        <v>4</v>
      </c>
      <c r="J117" s="50" t="n">
        <v>0</v>
      </c>
      <c r="K117" s="51" t="n">
        <v>0</v>
      </c>
      <c r="L117" s="52" t="n">
        <v>0</v>
      </c>
      <c r="M117" s="52" t="n">
        <v>0</v>
      </c>
      <c r="N117" s="52" t="n">
        <v>0</v>
      </c>
      <c r="O117" s="53" t="n">
        <v>0</v>
      </c>
      <c r="P117" s="52" t="n">
        <v>0</v>
      </c>
      <c r="Q117" s="53" t="n">
        <v>0</v>
      </c>
      <c r="R117" s="52" t="n">
        <v>0</v>
      </c>
      <c r="S117" s="51" t="n">
        <v>0</v>
      </c>
      <c r="T117" s="48" t="n">
        <v>79.95999999999999</v>
      </c>
      <c r="U117" s="49" t="n">
        <v>4</v>
      </c>
      <c r="V117" s="49" t="n">
        <v>3</v>
      </c>
      <c r="W117" s="50" t="n">
        <v>1.333333333333333</v>
      </c>
      <c r="X117" s="51" t="n">
        <v>0</v>
      </c>
      <c r="Y117" s="52" t="n">
        <v>0</v>
      </c>
      <c r="Z117" s="52" t="n">
        <v>0</v>
      </c>
      <c r="AA117" s="52" t="n">
        <v>0</v>
      </c>
      <c r="AB117" s="53" t="n">
        <v>0</v>
      </c>
      <c r="AC117" s="52" t="n">
        <v>0</v>
      </c>
      <c r="AD117" s="53" t="n">
        <v>0</v>
      </c>
      <c r="AE117" s="52" t="n">
        <v>19.99</v>
      </c>
      <c r="AF117" s="51" t="n">
        <v>0</v>
      </c>
      <c r="AG117" s="48" t="n">
        <v>39.98</v>
      </c>
      <c r="AH117" s="49" t="n">
        <v>2</v>
      </c>
      <c r="AI117" s="49" t="n">
        <v>4</v>
      </c>
      <c r="AJ117" s="50" t="n">
        <v>0.5</v>
      </c>
      <c r="AK117" s="51" t="n">
        <v>0</v>
      </c>
      <c r="AL117" s="52" t="n">
        <v>0</v>
      </c>
      <c r="AM117" s="52" t="n">
        <v>0</v>
      </c>
      <c r="AN117" s="52" t="n">
        <v>0</v>
      </c>
      <c r="AO117" s="53" t="n">
        <v>0</v>
      </c>
      <c r="AP117" s="52" t="n">
        <v>0</v>
      </c>
      <c r="AQ117" s="53" t="n">
        <v>0</v>
      </c>
      <c r="AR117" s="52" t="n">
        <v>19.99</v>
      </c>
      <c r="AS117" s="51" t="n">
        <v>0</v>
      </c>
      <c r="AT117" s="48" t="n">
        <v>59.97</v>
      </c>
      <c r="AU117" s="49" t="n">
        <v>3</v>
      </c>
      <c r="AV117" s="49" t="n">
        <v>1</v>
      </c>
      <c r="AW117" s="50" t="n">
        <v>3</v>
      </c>
      <c r="AX117" s="51" t="n">
        <v>0</v>
      </c>
      <c r="AY117" s="52" t="n">
        <v>0</v>
      </c>
      <c r="AZ117" s="52" t="n">
        <v>0</v>
      </c>
      <c r="BA117" s="52" t="n">
        <v>0</v>
      </c>
      <c r="BB117" s="53" t="n">
        <v>0</v>
      </c>
      <c r="BC117" s="52" t="n">
        <v>0</v>
      </c>
      <c r="BD117" s="53" t="n">
        <v>0</v>
      </c>
      <c r="BE117" s="52" t="n">
        <v>19.99</v>
      </c>
      <c r="BF117" s="51" t="n">
        <v>0</v>
      </c>
    </row>
    <row r="118">
      <c r="A118">
        <f>HYPERLINK("https://www.walmart.com/ip/10261422163", "10261422163")</f>
        <v/>
      </c>
      <c r="B118" t="inlineStr">
        <is>
          <t>Wrangler Men’s Leather Country Casual Every Day Dress Belt for Jeans, Khakis Light Brown 34</t>
        </is>
      </c>
      <c r="C118" t="inlineStr">
        <is>
          <t>WR-BELT-MENS-COUNTRY-LTBROWN-34</t>
        </is>
      </c>
      <c r="D118" t="inlineStr">
        <is>
          <t>Belts</t>
        </is>
      </c>
      <c r="E118" t="inlineStr">
        <is>
          <t>Wrangler</t>
        </is>
      </c>
      <c r="F118" t="inlineStr">
        <is>
          <t>Belts</t>
        </is>
      </c>
      <c r="G118" s="48" t="n">
        <v>19.99</v>
      </c>
      <c r="H118" s="49" t="n">
        <v>1</v>
      </c>
      <c r="I118" s="49" t="n">
        <v>0</v>
      </c>
      <c r="J118" s="50" t="n">
        <v>0</v>
      </c>
      <c r="K118" s="51" t="n">
        <v>0</v>
      </c>
      <c r="L118" s="52" t="n">
        <v>0</v>
      </c>
      <c r="M118" s="52" t="n">
        <v>0</v>
      </c>
      <c r="N118" s="52" t="n">
        <v>0</v>
      </c>
      <c r="O118" s="53" t="n">
        <v>0</v>
      </c>
      <c r="P118" s="52" t="n">
        <v>0</v>
      </c>
      <c r="Q118" s="53" t="n">
        <v>0</v>
      </c>
      <c r="R118" s="52" t="n">
        <v>19.99</v>
      </c>
      <c r="S118" s="51" t="n">
        <v>207</v>
      </c>
      <c r="T118" s="48" t="n">
        <v>0</v>
      </c>
      <c r="U118" s="49" t="n">
        <v>0</v>
      </c>
      <c r="V118" s="49" t="n">
        <v>1</v>
      </c>
      <c r="W118" s="50" t="n">
        <v>0</v>
      </c>
      <c r="X118" s="51" t="n">
        <v>0</v>
      </c>
      <c r="Y118" s="52" t="n">
        <v>0</v>
      </c>
      <c r="Z118" s="52" t="n">
        <v>0</v>
      </c>
      <c r="AA118" s="52" t="n">
        <v>0</v>
      </c>
      <c r="AB118" s="53" t="n">
        <v>0</v>
      </c>
      <c r="AC118" s="52" t="n">
        <v>0</v>
      </c>
      <c r="AD118" s="53" t="n">
        <v>0</v>
      </c>
      <c r="AE118" s="52" t="n">
        <v>0</v>
      </c>
      <c r="AF118" s="51" t="n">
        <v>537</v>
      </c>
      <c r="AG118" s="48" t="n">
        <v>19.99</v>
      </c>
      <c r="AH118" s="49" t="n">
        <v>1</v>
      </c>
      <c r="AI118" s="49" t="n">
        <v>4</v>
      </c>
      <c r="AJ118" s="50" t="n">
        <v>0.25</v>
      </c>
      <c r="AK118" s="51" t="n">
        <v>2</v>
      </c>
      <c r="AL118" s="52" t="n">
        <v>0.61</v>
      </c>
      <c r="AM118" s="52" t="n">
        <v>19.99</v>
      </c>
      <c r="AN118" s="52" t="n">
        <v>32.77</v>
      </c>
      <c r="AO118" s="53" t="n">
        <v>0.0022</v>
      </c>
      <c r="AP118" s="52" t="n">
        <v>0.305</v>
      </c>
      <c r="AQ118" s="53" t="n">
        <v>0.03051525762881441</v>
      </c>
      <c r="AR118" s="52" t="n">
        <v>19.99</v>
      </c>
      <c r="AS118" s="51" t="n">
        <v>893</v>
      </c>
      <c r="AT118" s="48" t="n">
        <v>0</v>
      </c>
      <c r="AU118" s="49" t="n">
        <v>0</v>
      </c>
      <c r="AV118" s="49" t="n">
        <v>4</v>
      </c>
      <c r="AW118" s="50" t="n">
        <v>0</v>
      </c>
      <c r="AX118" s="51" t="n">
        <v>6</v>
      </c>
      <c r="AY118" s="52" t="n">
        <v>2.14</v>
      </c>
      <c r="AZ118" s="52" t="n">
        <v>0</v>
      </c>
      <c r="BA118" s="52" t="n">
        <v>0</v>
      </c>
      <c r="BB118" s="53" t="n">
        <v>0.0109</v>
      </c>
      <c r="BC118" s="52" t="n">
        <v>0.3566666666666667</v>
      </c>
      <c r="BD118" s="53" t="n">
        <v>0</v>
      </c>
      <c r="BE118" s="52" t="n">
        <v>0</v>
      </c>
      <c r="BF118" s="51" t="n">
        <v>549</v>
      </c>
    </row>
    <row r="119">
      <c r="A119">
        <f>HYPERLINK("https://www.walmart.com/ip/276368017", "276368017")</f>
        <v/>
      </c>
      <c r="B119" t="inlineStr">
        <is>
          <t>Tirrinia 2 Bottle Wine Tote Carrier - Insulated and Padded Versatile Cooler Bag for Travel, BYOB Restaurant, Wine Tasting, Party, Great Gift for Wine Lover, Dark Blue, 8.5" x 3.8" x 14".</t>
        </is>
      </c>
      <c r="C119" t="inlineStr">
        <is>
          <t>1TRWB221DBL</t>
        </is>
      </c>
      <c r="D119" t="inlineStr">
        <is>
          <t>Wine Totes, Bags &amp; Backpacks</t>
        </is>
      </c>
      <c r="E119" t="inlineStr">
        <is>
          <t>Tirrinia</t>
        </is>
      </c>
      <c r="F119" t="inlineStr">
        <is>
          <t>Wine,Christmas,Optimized,Valentine</t>
        </is>
      </c>
      <c r="G119" s="48" t="n">
        <v>19.99</v>
      </c>
      <c r="H119" s="49" t="n">
        <v>1</v>
      </c>
      <c r="I119" s="49" t="n">
        <v>0</v>
      </c>
      <c r="J119" s="50" t="n">
        <v>0</v>
      </c>
      <c r="K119" s="51" t="n">
        <v>0</v>
      </c>
      <c r="L119" s="52" t="n">
        <v>0</v>
      </c>
      <c r="M119" s="52" t="n">
        <v>0</v>
      </c>
      <c r="N119" s="52" t="n">
        <v>0</v>
      </c>
      <c r="O119" s="53" t="n">
        <v>0</v>
      </c>
      <c r="P119" s="52" t="n">
        <v>0</v>
      </c>
      <c r="Q119" s="53" t="n">
        <v>0</v>
      </c>
      <c r="R119" s="52" t="n">
        <v>19.99</v>
      </c>
      <c r="S119" s="51" t="n">
        <v>1157</v>
      </c>
      <c r="T119" s="48" t="n">
        <v>0</v>
      </c>
      <c r="U119" s="49" t="n">
        <v>0</v>
      </c>
      <c r="V119" s="49" t="n">
        <v>0</v>
      </c>
      <c r="W119" s="50" t="n">
        <v>0</v>
      </c>
      <c r="X119" s="51" t="n">
        <v>1</v>
      </c>
      <c r="Y119" s="52" t="n">
        <v>0.4</v>
      </c>
      <c r="Z119" s="52" t="n">
        <v>17.99</v>
      </c>
      <c r="AA119" s="52" t="n">
        <v>44.97</v>
      </c>
      <c r="AB119" s="53" t="n">
        <v>0.0025</v>
      </c>
      <c r="AC119" s="52" t="n">
        <v>0.4</v>
      </c>
      <c r="AD119" s="53" t="n">
        <v>0</v>
      </c>
      <c r="AE119" s="52" t="n">
        <v>0</v>
      </c>
      <c r="AF119" s="51" t="n">
        <v>394</v>
      </c>
      <c r="AG119" s="48" t="n">
        <v>0</v>
      </c>
      <c r="AH119" s="49" t="n">
        <v>0</v>
      </c>
      <c r="AI119" s="49" t="n">
        <v>0</v>
      </c>
      <c r="AJ119" s="50" t="n">
        <v>0</v>
      </c>
      <c r="AK119" s="51" t="n">
        <v>0</v>
      </c>
      <c r="AL119" s="52" t="n">
        <v>0</v>
      </c>
      <c r="AM119" s="52" t="n">
        <v>0</v>
      </c>
      <c r="AN119" s="52" t="n">
        <v>0</v>
      </c>
      <c r="AO119" s="53" t="n">
        <v>0</v>
      </c>
      <c r="AP119" s="52" t="n">
        <v>0</v>
      </c>
      <c r="AQ119" s="53" t="n">
        <v>0</v>
      </c>
      <c r="AR119" s="52" t="n">
        <v>0</v>
      </c>
      <c r="AS119" s="51" t="n">
        <v>452</v>
      </c>
      <c r="AT119" s="48" t="n">
        <v>0</v>
      </c>
      <c r="AU119" s="49" t="n">
        <v>0</v>
      </c>
      <c r="AV119" s="49" t="n">
        <v>0</v>
      </c>
      <c r="AW119" s="50" t="n">
        <v>0</v>
      </c>
      <c r="AX119" s="51" t="n">
        <v>0</v>
      </c>
      <c r="AY119" s="52" t="n">
        <v>0</v>
      </c>
      <c r="AZ119" s="52" t="n">
        <v>0</v>
      </c>
      <c r="BA119" s="52" t="n">
        <v>0</v>
      </c>
      <c r="BB119" s="53" t="n">
        <v>0</v>
      </c>
      <c r="BC119" s="52" t="n">
        <v>0</v>
      </c>
      <c r="BD119" s="53" t="n">
        <v>0</v>
      </c>
      <c r="BE119" s="52" t="n">
        <v>0</v>
      </c>
      <c r="BF119" s="51" t="n">
        <v>317</v>
      </c>
    </row>
    <row r="120">
      <c r="A120">
        <f>HYPERLINK("https://www.walmart.com/ip/1882729772", "1882729772")</f>
        <v/>
      </c>
      <c r="B120" t="inlineStr">
        <is>
          <t>Wrangler Men’s Leather Embossed Logo Casual Every Day Belt for Jeans, Khakis Brown</t>
        </is>
      </c>
      <c r="C120" t="inlineStr">
        <is>
          <t>WR-BELT-MENS-EMBOSSED-BROWN-36</t>
        </is>
      </c>
      <c r="D120" t="inlineStr">
        <is>
          <t>Belts</t>
        </is>
      </c>
      <c r="E120" t="inlineStr">
        <is>
          <t>Wrangler</t>
        </is>
      </c>
      <c r="G120" s="48" t="n">
        <v>19.99</v>
      </c>
      <c r="H120" s="49" t="n">
        <v>1</v>
      </c>
      <c r="I120" s="49" t="n">
        <v>0</v>
      </c>
      <c r="J120" s="50" t="n">
        <v>0</v>
      </c>
      <c r="K120" s="51" t="n">
        <v>0</v>
      </c>
      <c r="L120" s="52" t="n">
        <v>0</v>
      </c>
      <c r="M120" s="52" t="n">
        <v>0</v>
      </c>
      <c r="N120" s="52" t="n">
        <v>0</v>
      </c>
      <c r="O120" s="53" t="n">
        <v>0</v>
      </c>
      <c r="P120" s="52" t="n">
        <v>0</v>
      </c>
      <c r="Q120" s="53" t="n">
        <v>0</v>
      </c>
      <c r="R120" s="52" t="n">
        <v>19.99</v>
      </c>
      <c r="S120" s="51" t="n">
        <v>0</v>
      </c>
      <c r="T120" s="48" t="n">
        <v>0</v>
      </c>
      <c r="U120" s="49" t="n">
        <v>0</v>
      </c>
      <c r="V120" s="49" t="n">
        <v>0</v>
      </c>
      <c r="W120" s="50" t="n">
        <v>0</v>
      </c>
      <c r="X120" s="51" t="n">
        <v>0</v>
      </c>
      <c r="Y120" s="52" t="n">
        <v>0</v>
      </c>
      <c r="Z120" s="52" t="n">
        <v>0</v>
      </c>
      <c r="AA120" s="52" t="n">
        <v>0</v>
      </c>
      <c r="AB120" s="53" t="n">
        <v>0</v>
      </c>
      <c r="AC120" s="52" t="n">
        <v>0</v>
      </c>
      <c r="AD120" s="53" t="n">
        <v>0</v>
      </c>
      <c r="AE120" s="52" t="n">
        <v>0</v>
      </c>
      <c r="AF120" s="51" t="n">
        <v>0</v>
      </c>
      <c r="AG120" s="48" t="n">
        <v>0</v>
      </c>
      <c r="AH120" s="49" t="n">
        <v>0</v>
      </c>
      <c r="AI120" s="49" t="n">
        <v>0</v>
      </c>
      <c r="AJ120" s="50" t="n">
        <v>0</v>
      </c>
      <c r="AK120" s="51" t="n">
        <v>0</v>
      </c>
      <c r="AL120" s="52" t="n">
        <v>0</v>
      </c>
      <c r="AM120" s="52" t="n">
        <v>0</v>
      </c>
      <c r="AN120" s="52" t="n">
        <v>0</v>
      </c>
      <c r="AO120" s="53" t="n">
        <v>0</v>
      </c>
      <c r="AP120" s="52" t="n">
        <v>0</v>
      </c>
      <c r="AQ120" s="53" t="n">
        <v>0</v>
      </c>
      <c r="AR120" s="52" t="n">
        <v>0</v>
      </c>
      <c r="AS120" s="51" t="n">
        <v>0</v>
      </c>
      <c r="AT120" s="48" t="n">
        <v>0</v>
      </c>
      <c r="AU120" s="49" t="n">
        <v>0</v>
      </c>
      <c r="AV120" s="49" t="n">
        <v>0</v>
      </c>
      <c r="AW120" s="50" t="n">
        <v>0</v>
      </c>
      <c r="AX120" s="51" t="n">
        <v>0</v>
      </c>
      <c r="AY120" s="52" t="n">
        <v>0</v>
      </c>
      <c r="AZ120" s="52" t="n">
        <v>0</v>
      </c>
      <c r="BA120" s="52" t="n">
        <v>0</v>
      </c>
      <c r="BB120" s="53" t="n">
        <v>0</v>
      </c>
      <c r="BC120" s="52" t="n">
        <v>0</v>
      </c>
      <c r="BD120" s="53" t="n">
        <v>0</v>
      </c>
      <c r="BE120" s="52" t="n">
        <v>0</v>
      </c>
      <c r="BF120" s="51" t="n">
        <v>0</v>
      </c>
    </row>
    <row r="121">
      <c r="A121">
        <f>HYPERLINK("https://www.walmart.com/ip/3238174835", "3238174835")</f>
        <v/>
      </c>
      <c r="B121" t="inlineStr">
        <is>
          <t>Solaris Women Ponytail Sun Hat for Hiking Fishing Gardening Outdoor UV Protection Safari Cap, Breathable Mesh and Ponytail Hole Opening, Olive</t>
        </is>
      </c>
      <c r="C121" t="inlineStr">
        <is>
          <t>1SLSH912OL</t>
        </is>
      </c>
      <c r="D121" t="inlineStr">
        <is>
          <t>Hats</t>
        </is>
      </c>
      <c r="E121" t="inlineStr">
        <is>
          <t>Solaris</t>
        </is>
      </c>
      <c r="F121" t="inlineStr">
        <is>
          <t>Q2-Target,Hats</t>
        </is>
      </c>
      <c r="G121" s="48" t="n">
        <v>19.98</v>
      </c>
      <c r="H121" s="49" t="n">
        <v>2</v>
      </c>
      <c r="I121" s="49" t="n">
        <v>5</v>
      </c>
      <c r="J121" s="50" t="n">
        <v>0.4</v>
      </c>
      <c r="K121" s="51" t="n">
        <v>0</v>
      </c>
      <c r="L121" s="52" t="n">
        <v>0</v>
      </c>
      <c r="M121" s="52" t="n">
        <v>0</v>
      </c>
      <c r="N121" s="52" t="n">
        <v>0</v>
      </c>
      <c r="O121" s="53" t="n">
        <v>0</v>
      </c>
      <c r="P121" s="52" t="n">
        <v>0</v>
      </c>
      <c r="Q121" s="53" t="n">
        <v>0</v>
      </c>
      <c r="R121" s="52" t="n">
        <v>9.99</v>
      </c>
      <c r="S121" s="51" t="n">
        <v>0</v>
      </c>
      <c r="T121" s="48" t="n">
        <v>0</v>
      </c>
      <c r="U121" s="49" t="n">
        <v>0</v>
      </c>
      <c r="V121" s="49" t="n">
        <v>2</v>
      </c>
      <c r="W121" s="50" t="n">
        <v>0</v>
      </c>
      <c r="X121" s="51" t="n">
        <v>0</v>
      </c>
      <c r="Y121" s="52" t="n">
        <v>0</v>
      </c>
      <c r="Z121" s="52" t="n">
        <v>0</v>
      </c>
      <c r="AA121" s="52" t="n">
        <v>0</v>
      </c>
      <c r="AB121" s="53" t="n">
        <v>0</v>
      </c>
      <c r="AC121" s="52" t="n">
        <v>0</v>
      </c>
      <c r="AD121" s="53" t="n">
        <v>0</v>
      </c>
      <c r="AE121" s="52" t="n">
        <v>0</v>
      </c>
      <c r="AF121" s="51" t="n">
        <v>0</v>
      </c>
      <c r="AG121" s="48" t="n">
        <v>0</v>
      </c>
      <c r="AH121" s="49" t="n">
        <v>0</v>
      </c>
      <c r="AI121" s="49" t="n">
        <v>0</v>
      </c>
      <c r="AJ121" s="50" t="n">
        <v>0</v>
      </c>
      <c r="AK121" s="51" t="n">
        <v>0</v>
      </c>
      <c r="AL121" s="52" t="n">
        <v>0</v>
      </c>
      <c r="AM121" s="52" t="n">
        <v>0</v>
      </c>
      <c r="AN121" s="52" t="n">
        <v>0</v>
      </c>
      <c r="AO121" s="53" t="n">
        <v>0</v>
      </c>
      <c r="AP121" s="52" t="n">
        <v>0</v>
      </c>
      <c r="AQ121" s="53" t="n">
        <v>0</v>
      </c>
      <c r="AR121" s="52" t="n">
        <v>0</v>
      </c>
      <c r="AS121" s="51" t="n">
        <v>0</v>
      </c>
      <c r="AT121" s="48" t="n">
        <v>9.99</v>
      </c>
      <c r="AU121" s="49" t="n">
        <v>1</v>
      </c>
      <c r="AV121" s="49" t="n">
        <v>0</v>
      </c>
      <c r="AW121" s="50" t="n">
        <v>0</v>
      </c>
      <c r="AX121" s="51" t="n">
        <v>0</v>
      </c>
      <c r="AY121" s="52" t="n">
        <v>0</v>
      </c>
      <c r="AZ121" s="52" t="n">
        <v>0</v>
      </c>
      <c r="BA121" s="52" t="n">
        <v>0</v>
      </c>
      <c r="BB121" s="53" t="n">
        <v>0</v>
      </c>
      <c r="BC121" s="52" t="n">
        <v>0</v>
      </c>
      <c r="BD121" s="53" t="n">
        <v>0</v>
      </c>
      <c r="BE121" s="52" t="n">
        <v>9.99</v>
      </c>
      <c r="BF121" s="51" t="n">
        <v>0</v>
      </c>
    </row>
    <row r="122">
      <c r="A122">
        <f>HYPERLINK("https://www.walmart.com/ip/1023440539", "1023440539")</f>
        <v/>
      </c>
      <c r="B122" t="inlineStr">
        <is>
          <t>Tirrinia Insulated Lunch Bag, Leakproof Thermal Bento Cooler Tote for Women and Men, Dual Compartment with Shoulder Strap, 10.2" x 7.5" x 9", Gray</t>
        </is>
      </c>
      <c r="C122" t="inlineStr">
        <is>
          <t>1TRLB601GY</t>
        </is>
      </c>
      <c r="D122" t="inlineStr">
        <is>
          <t>Reusable Lunch Bags &amp; Boxes</t>
        </is>
      </c>
      <c r="E122" t="inlineStr">
        <is>
          <t>Tirrinia</t>
        </is>
      </c>
      <c r="F122" t="inlineStr">
        <is>
          <t>Q2-Target</t>
        </is>
      </c>
      <c r="G122" s="48" t="n">
        <v>18.99</v>
      </c>
      <c r="H122" s="49" t="n">
        <v>1</v>
      </c>
      <c r="I122" s="49" t="n">
        <v>0</v>
      </c>
      <c r="J122" s="50" t="n">
        <v>0</v>
      </c>
      <c r="K122" s="51" t="n">
        <v>0</v>
      </c>
      <c r="L122" s="52" t="n">
        <v>0</v>
      </c>
      <c r="M122" s="52" t="n">
        <v>0</v>
      </c>
      <c r="N122" s="52" t="n">
        <v>0</v>
      </c>
      <c r="O122" s="53" t="n">
        <v>0</v>
      </c>
      <c r="P122" s="52" t="n">
        <v>0</v>
      </c>
      <c r="Q122" s="53" t="n">
        <v>0</v>
      </c>
      <c r="R122" s="52" t="n">
        <v>18.99</v>
      </c>
      <c r="S122" s="51" t="n">
        <v>0</v>
      </c>
      <c r="T122" s="48" t="n">
        <v>0</v>
      </c>
      <c r="U122" s="49" t="n">
        <v>0</v>
      </c>
      <c r="V122" s="49" t="n">
        <v>0</v>
      </c>
      <c r="W122" s="50" t="n">
        <v>0</v>
      </c>
      <c r="X122" s="51" t="n">
        <v>0</v>
      </c>
      <c r="Y122" s="52" t="n">
        <v>0</v>
      </c>
      <c r="Z122" s="52" t="n">
        <v>0</v>
      </c>
      <c r="AA122" s="52" t="n">
        <v>0</v>
      </c>
      <c r="AB122" s="53" t="n">
        <v>0</v>
      </c>
      <c r="AC122" s="52" t="n">
        <v>0</v>
      </c>
      <c r="AD122" s="53" t="n">
        <v>0</v>
      </c>
      <c r="AE122" s="52" t="n">
        <v>0</v>
      </c>
      <c r="AF122" s="51" t="n">
        <v>0</v>
      </c>
      <c r="AG122" s="48" t="n">
        <v>0</v>
      </c>
      <c r="AH122" s="49" t="n">
        <v>0</v>
      </c>
      <c r="AI122" s="49" t="n">
        <v>0</v>
      </c>
      <c r="AJ122" s="50" t="n">
        <v>0</v>
      </c>
      <c r="AK122" s="51" t="n">
        <v>0</v>
      </c>
      <c r="AL122" s="52" t="n">
        <v>0</v>
      </c>
      <c r="AM122" s="52" t="n">
        <v>0</v>
      </c>
      <c r="AN122" s="52" t="n">
        <v>0</v>
      </c>
      <c r="AO122" s="53" t="n">
        <v>0</v>
      </c>
      <c r="AP122" s="52" t="n">
        <v>0</v>
      </c>
      <c r="AQ122" s="53" t="n">
        <v>0</v>
      </c>
      <c r="AR122" s="52" t="n">
        <v>0</v>
      </c>
      <c r="AS122" s="51" t="n">
        <v>0</v>
      </c>
      <c r="AT122" s="48" t="n">
        <v>0</v>
      </c>
      <c r="AU122" s="49" t="n">
        <v>0</v>
      </c>
      <c r="AV122" s="49" t="n">
        <v>0</v>
      </c>
      <c r="AW122" s="50" t="n">
        <v>0</v>
      </c>
      <c r="AX122" s="51" t="n">
        <v>0</v>
      </c>
      <c r="AY122" s="52" t="n">
        <v>0</v>
      </c>
      <c r="AZ122" s="52" t="n">
        <v>0</v>
      </c>
      <c r="BA122" s="52" t="n">
        <v>0</v>
      </c>
      <c r="BB122" s="53" t="n">
        <v>0</v>
      </c>
      <c r="BC122" s="52" t="n">
        <v>0</v>
      </c>
      <c r="BD122" s="53" t="n">
        <v>0</v>
      </c>
      <c r="BE122" s="52" t="n">
        <v>0</v>
      </c>
      <c r="BF122" s="51" t="n">
        <v>0</v>
      </c>
    </row>
    <row r="123">
      <c r="A123">
        <f>HYPERLINK("https://www.walmart.com/ip/945718003", "945718003")</f>
        <v/>
      </c>
      <c r="B123" t="inlineStr">
        <is>
          <t>Solaris Sun Hat for Women, Wide Brim Summer Beach Hat with Neck Flap, UPF 50+ Fishing Hat for Hiking, Blue</t>
        </is>
      </c>
      <c r="C123" t="inlineStr">
        <is>
          <t>1SLSH921BL</t>
        </is>
      </c>
      <c r="D123" t="inlineStr">
        <is>
          <t>Hats</t>
        </is>
      </c>
      <c r="E123" t="inlineStr">
        <is>
          <t>Solaris</t>
        </is>
      </c>
      <c r="F123" t="inlineStr">
        <is>
          <t>Q2-Target,Hats,Batch 1 - TR</t>
        </is>
      </c>
      <c r="G123" s="48" t="n">
        <v>18.99</v>
      </c>
      <c r="H123" s="49" t="n">
        <v>1</v>
      </c>
      <c r="I123" s="49" t="n">
        <v>3</v>
      </c>
      <c r="J123" s="50" t="n">
        <v>0.3333333333333333</v>
      </c>
      <c r="K123" s="51" t="n">
        <v>0</v>
      </c>
      <c r="L123" s="52" t="n">
        <v>0</v>
      </c>
      <c r="M123" s="52" t="n">
        <v>0</v>
      </c>
      <c r="N123" s="52" t="n">
        <v>0</v>
      </c>
      <c r="O123" s="53" t="n">
        <v>0</v>
      </c>
      <c r="P123" s="52" t="n">
        <v>0</v>
      </c>
      <c r="Q123" s="53" t="n">
        <v>0</v>
      </c>
      <c r="R123" s="52" t="n">
        <v>18.99</v>
      </c>
      <c r="S123" s="51" t="n">
        <v>0</v>
      </c>
      <c r="T123" s="48" t="n">
        <v>18.99</v>
      </c>
      <c r="U123" s="49" t="n">
        <v>1</v>
      </c>
      <c r="V123" s="49" t="n">
        <v>3</v>
      </c>
      <c r="W123" s="50" t="n">
        <v>0.3333333333333333</v>
      </c>
      <c r="X123" s="51" t="n">
        <v>0</v>
      </c>
      <c r="Y123" s="52" t="n">
        <v>0</v>
      </c>
      <c r="Z123" s="52" t="n">
        <v>0</v>
      </c>
      <c r="AA123" s="52" t="n">
        <v>0</v>
      </c>
      <c r="AB123" s="53" t="n">
        <v>0</v>
      </c>
      <c r="AC123" s="52" t="n">
        <v>0</v>
      </c>
      <c r="AD123" s="53" t="n">
        <v>0</v>
      </c>
      <c r="AE123" s="52" t="n">
        <v>18.99</v>
      </c>
      <c r="AF123" s="51" t="n">
        <v>0</v>
      </c>
      <c r="AG123" s="48" t="n">
        <v>0</v>
      </c>
      <c r="AH123" s="49" t="n">
        <v>0</v>
      </c>
      <c r="AI123" s="49" t="n">
        <v>4</v>
      </c>
      <c r="AJ123" s="50" t="n">
        <v>0</v>
      </c>
      <c r="AK123" s="51" t="n">
        <v>0</v>
      </c>
      <c r="AL123" s="52" t="n">
        <v>0</v>
      </c>
      <c r="AM123" s="52" t="n">
        <v>0</v>
      </c>
      <c r="AN123" s="52" t="n">
        <v>0</v>
      </c>
      <c r="AO123" s="53" t="n">
        <v>0</v>
      </c>
      <c r="AP123" s="52" t="n">
        <v>0</v>
      </c>
      <c r="AQ123" s="53" t="n">
        <v>0</v>
      </c>
      <c r="AR123" s="52" t="n">
        <v>0</v>
      </c>
      <c r="AS123" s="51" t="n">
        <v>0</v>
      </c>
      <c r="AT123" s="48" t="n">
        <v>0</v>
      </c>
      <c r="AU123" s="49" t="n">
        <v>0</v>
      </c>
      <c r="AV123" s="49" t="n">
        <v>4</v>
      </c>
      <c r="AW123" s="50" t="n">
        <v>0</v>
      </c>
      <c r="AX123" s="51" t="n">
        <v>0</v>
      </c>
      <c r="AY123" s="52" t="n">
        <v>0</v>
      </c>
      <c r="AZ123" s="52" t="n">
        <v>0</v>
      </c>
      <c r="BA123" s="52" t="n">
        <v>0</v>
      </c>
      <c r="BB123" s="53" t="n">
        <v>0</v>
      </c>
      <c r="BC123" s="52" t="n">
        <v>0</v>
      </c>
      <c r="BD123" s="53" t="n">
        <v>0</v>
      </c>
      <c r="BE123" s="52" t="n">
        <v>0</v>
      </c>
      <c r="BF123" s="51" t="n">
        <v>0</v>
      </c>
    </row>
    <row r="124">
      <c r="A124">
        <f>HYPERLINK("https://www.walmart.com/ip/904345997", "904345997")</f>
        <v/>
      </c>
      <c r="B124" t="inlineStr">
        <is>
          <t>Catalonia Mermaid Tail Fleece Blanket, Soft Flannel All Seasons Bed Blanket for Kids, Adults, Rainbow Ombre Fish Scale Design Snuggle Blanket, Ideal Gift for Holidays, 61" x 19"</t>
        </is>
      </c>
      <c r="C124" t="inlineStr">
        <is>
          <t>1WMMM500PK</t>
        </is>
      </c>
      <c r="D124" t="inlineStr">
        <is>
          <t>Throws</t>
        </is>
      </c>
      <c r="E124" t="inlineStr">
        <is>
          <t>Flyingstar</t>
        </is>
      </c>
      <c r="F124" t="inlineStr">
        <is>
          <t>Q2-Target,Baby days,Optimized,Hero 5 Holidays,WFS,WFS Item</t>
        </is>
      </c>
      <c r="G124" s="48" t="n">
        <v>18.99</v>
      </c>
      <c r="H124" s="49" t="n">
        <v>1</v>
      </c>
      <c r="I124" s="49" t="n">
        <v>14</v>
      </c>
      <c r="J124" s="50" t="n">
        <v>0.07142857142857142</v>
      </c>
      <c r="K124" s="51" t="n">
        <v>4</v>
      </c>
      <c r="L124" s="52" t="n">
        <v>0.8200000000000001</v>
      </c>
      <c r="M124" s="52" t="n">
        <v>18.99</v>
      </c>
      <c r="N124" s="52" t="n">
        <v>23.16</v>
      </c>
      <c r="O124" s="53" t="n">
        <v>0.0014</v>
      </c>
      <c r="P124" s="52" t="n">
        <v>0.205</v>
      </c>
      <c r="Q124" s="53" t="n">
        <v>0.04318062137967352</v>
      </c>
      <c r="R124" s="52" t="n">
        <v>18.99</v>
      </c>
      <c r="S124" s="51" t="n">
        <v>2928</v>
      </c>
      <c r="T124" s="48" t="n">
        <v>18.99</v>
      </c>
      <c r="U124" s="49" t="n">
        <v>1</v>
      </c>
      <c r="V124" s="49" t="n">
        <v>13</v>
      </c>
      <c r="W124" s="50" t="n">
        <v>0.07692307692307693</v>
      </c>
      <c r="X124" s="51" t="n">
        <v>9</v>
      </c>
      <c r="Y124" s="52" t="n">
        <v>1.82</v>
      </c>
      <c r="Z124" s="52" t="n">
        <v>0</v>
      </c>
      <c r="AA124" s="52" t="n">
        <v>0</v>
      </c>
      <c r="AB124" s="53" t="n">
        <v>0.003</v>
      </c>
      <c r="AC124" s="52" t="n">
        <v>0.2022222222222222</v>
      </c>
      <c r="AD124" s="53" t="n">
        <v>0.09583991574512903</v>
      </c>
      <c r="AE124" s="52" t="n">
        <v>18.99</v>
      </c>
      <c r="AF124" s="51" t="n">
        <v>2969</v>
      </c>
      <c r="AG124" s="48" t="n">
        <v>0</v>
      </c>
      <c r="AH124" s="49" t="n">
        <v>0</v>
      </c>
      <c r="AI124" s="49" t="n">
        <v>11</v>
      </c>
      <c r="AJ124" s="50" t="n">
        <v>0</v>
      </c>
      <c r="AK124" s="51" t="n">
        <v>0</v>
      </c>
      <c r="AL124" s="52" t="n">
        <v>0</v>
      </c>
      <c r="AM124" s="52" t="n">
        <v>0</v>
      </c>
      <c r="AN124" s="52" t="n">
        <v>0</v>
      </c>
      <c r="AO124" s="53" t="n">
        <v>0</v>
      </c>
      <c r="AP124" s="52" t="n">
        <v>0</v>
      </c>
      <c r="AQ124" s="53" t="n">
        <v>0</v>
      </c>
      <c r="AR124" s="52" t="n">
        <v>0</v>
      </c>
      <c r="AS124" s="51" t="n">
        <v>0</v>
      </c>
      <c r="AT124" s="48" t="n">
        <v>0</v>
      </c>
      <c r="AU124" s="49" t="n">
        <v>0</v>
      </c>
      <c r="AV124" s="49" t="n">
        <v>6</v>
      </c>
      <c r="AW124" s="50" t="n">
        <v>0</v>
      </c>
      <c r="AX124" s="51" t="n">
        <v>0</v>
      </c>
      <c r="AY124" s="52" t="n">
        <v>0</v>
      </c>
      <c r="AZ124" s="52" t="n">
        <v>0</v>
      </c>
      <c r="BA124" s="52" t="n">
        <v>0</v>
      </c>
      <c r="BB124" s="53" t="n">
        <v>0</v>
      </c>
      <c r="BC124" s="52" t="n">
        <v>0</v>
      </c>
      <c r="BD124" s="53" t="n">
        <v>0</v>
      </c>
      <c r="BE124" s="52" t="n">
        <v>0</v>
      </c>
      <c r="BF124" s="51" t="n">
        <v>239</v>
      </c>
    </row>
    <row r="125">
      <c r="A125">
        <f>HYPERLINK("https://www.walmart.com/ip/1881428781", "1881428781")</f>
        <v/>
      </c>
      <c r="B125" t="inlineStr">
        <is>
          <t>Tirrinia Insulated Lunch Bag, Leakproof Thermal Bento Cooler Tote for Women and Men, Dual Compartment with Shoulder Strap, 10.2" x 7.5" x 9", Green</t>
        </is>
      </c>
      <c r="C125" t="inlineStr">
        <is>
          <t>1TRLB601GN</t>
        </is>
      </c>
      <c r="D125" t="inlineStr">
        <is>
          <t>Reusable Lunch Bags &amp; Boxes</t>
        </is>
      </c>
      <c r="E125" t="inlineStr">
        <is>
          <t>Tirrinia</t>
        </is>
      </c>
      <c r="F125" t="inlineStr">
        <is>
          <t>Q2-Target,Brand Camp VD,Lunch Bags,SEM,Batch 1 - TR</t>
        </is>
      </c>
      <c r="G125" s="48" t="n">
        <v>18.99</v>
      </c>
      <c r="H125" s="49" t="n">
        <v>1</v>
      </c>
      <c r="I125" s="49" t="n">
        <v>0</v>
      </c>
      <c r="J125" s="50" t="n">
        <v>0</v>
      </c>
      <c r="K125" s="51" t="n">
        <v>0</v>
      </c>
      <c r="L125" s="52" t="n">
        <v>0</v>
      </c>
      <c r="M125" s="52" t="n">
        <v>0</v>
      </c>
      <c r="N125" s="52" t="n">
        <v>0</v>
      </c>
      <c r="O125" s="53" t="n">
        <v>0</v>
      </c>
      <c r="P125" s="52" t="n">
        <v>0</v>
      </c>
      <c r="Q125" s="53" t="n">
        <v>0</v>
      </c>
      <c r="R125" s="52" t="n">
        <v>18.99</v>
      </c>
      <c r="S125" s="51" t="n">
        <v>0</v>
      </c>
      <c r="T125" s="48" t="n">
        <v>0</v>
      </c>
      <c r="U125" s="49" t="n">
        <v>0</v>
      </c>
      <c r="V125" s="49" t="n">
        <v>0</v>
      </c>
      <c r="W125" s="50" t="n">
        <v>0</v>
      </c>
      <c r="X125" s="51" t="n">
        <v>0</v>
      </c>
      <c r="Y125" s="52" t="n">
        <v>0</v>
      </c>
      <c r="Z125" s="52" t="n">
        <v>0</v>
      </c>
      <c r="AA125" s="52" t="n">
        <v>0</v>
      </c>
      <c r="AB125" s="53" t="n">
        <v>0</v>
      </c>
      <c r="AC125" s="52" t="n">
        <v>0</v>
      </c>
      <c r="AD125" s="53" t="n">
        <v>0</v>
      </c>
      <c r="AE125" s="52" t="n">
        <v>0</v>
      </c>
      <c r="AF125" s="51" t="n">
        <v>0</v>
      </c>
      <c r="AG125" s="48" t="n">
        <v>0</v>
      </c>
      <c r="AH125" s="49" t="n">
        <v>0</v>
      </c>
      <c r="AI125" s="49" t="n">
        <v>1</v>
      </c>
      <c r="AJ125" s="50" t="n">
        <v>0</v>
      </c>
      <c r="AK125" s="51" t="n">
        <v>0</v>
      </c>
      <c r="AL125" s="52" t="n">
        <v>0</v>
      </c>
      <c r="AM125" s="52" t="n">
        <v>0</v>
      </c>
      <c r="AN125" s="52" t="n">
        <v>0</v>
      </c>
      <c r="AO125" s="53" t="n">
        <v>0</v>
      </c>
      <c r="AP125" s="52" t="n">
        <v>0</v>
      </c>
      <c r="AQ125" s="53" t="n">
        <v>0</v>
      </c>
      <c r="AR125" s="52" t="n">
        <v>0</v>
      </c>
      <c r="AS125" s="51" t="n">
        <v>0</v>
      </c>
      <c r="AT125" s="48" t="n">
        <v>0</v>
      </c>
      <c r="AU125" s="49" t="n">
        <v>0</v>
      </c>
      <c r="AV125" s="49" t="n">
        <v>0</v>
      </c>
      <c r="AW125" s="50" t="n">
        <v>0</v>
      </c>
      <c r="AX125" s="51" t="n">
        <v>0</v>
      </c>
      <c r="AY125" s="52" t="n">
        <v>0</v>
      </c>
      <c r="AZ125" s="52" t="n">
        <v>0</v>
      </c>
      <c r="BA125" s="52" t="n">
        <v>0</v>
      </c>
      <c r="BB125" s="53" t="n">
        <v>0</v>
      </c>
      <c r="BC125" s="52" t="n">
        <v>0</v>
      </c>
      <c r="BD125" s="53" t="n">
        <v>0</v>
      </c>
      <c r="BE125" s="52" t="n">
        <v>0</v>
      </c>
      <c r="BF125" s="51" t="n">
        <v>0</v>
      </c>
    </row>
    <row r="126">
      <c r="A126">
        <f>HYPERLINK("https://www.walmart.com/ip/295672837", "295672837")</f>
        <v/>
      </c>
      <c r="B126" t="inlineStr">
        <is>
          <t>Tirrinia Insulated Lunch Bag, Leakproof Thermal Bento Cooler Tote for Women and Men, Dual Compartment with Shoulder Strap, 10.2" x 7.5" x 9", Dark Blue</t>
        </is>
      </c>
      <c r="C126" t="inlineStr">
        <is>
          <t>1TRLB601DB</t>
        </is>
      </c>
      <c r="D126" t="inlineStr">
        <is>
          <t>Reusable Lunch Bags &amp; Boxes</t>
        </is>
      </c>
      <c r="E126" t="inlineStr">
        <is>
          <t>Tirrinia</t>
        </is>
      </c>
      <c r="F126" t="inlineStr">
        <is>
          <t>Q2-Target,Brand Camp VD,Lunch Bag,WFS,Lunch Bags,SEM,WFS Item</t>
        </is>
      </c>
      <c r="G126" s="48" t="n">
        <v>18.99</v>
      </c>
      <c r="H126" s="49" t="n">
        <v>1</v>
      </c>
      <c r="I126" s="49" t="n">
        <v>0</v>
      </c>
      <c r="J126" s="50" t="n">
        <v>0</v>
      </c>
      <c r="K126" s="51" t="n">
        <v>0</v>
      </c>
      <c r="L126" s="52" t="n">
        <v>0</v>
      </c>
      <c r="M126" s="52" t="n">
        <v>0</v>
      </c>
      <c r="N126" s="52" t="n">
        <v>0</v>
      </c>
      <c r="O126" s="53" t="n">
        <v>0</v>
      </c>
      <c r="P126" s="52" t="n">
        <v>0</v>
      </c>
      <c r="Q126" s="53" t="n">
        <v>0</v>
      </c>
      <c r="R126" s="52" t="n">
        <v>18.99</v>
      </c>
      <c r="S126" s="51" t="n">
        <v>0</v>
      </c>
      <c r="T126" s="48" t="n">
        <v>0</v>
      </c>
      <c r="U126" s="49" t="n">
        <v>0</v>
      </c>
      <c r="V126" s="49" t="n">
        <v>0</v>
      </c>
      <c r="W126" s="50" t="n">
        <v>0</v>
      </c>
      <c r="X126" s="51" t="n">
        <v>0</v>
      </c>
      <c r="Y126" s="52" t="n">
        <v>0</v>
      </c>
      <c r="Z126" s="52" t="n">
        <v>0</v>
      </c>
      <c r="AA126" s="52" t="n">
        <v>0</v>
      </c>
      <c r="AB126" s="53" t="n">
        <v>0</v>
      </c>
      <c r="AC126" s="52" t="n">
        <v>0</v>
      </c>
      <c r="AD126" s="53" t="n">
        <v>0</v>
      </c>
      <c r="AE126" s="52" t="n">
        <v>0</v>
      </c>
      <c r="AF126" s="51" t="n">
        <v>0</v>
      </c>
      <c r="AG126" s="48" t="n">
        <v>0</v>
      </c>
      <c r="AH126" s="49" t="n">
        <v>0</v>
      </c>
      <c r="AI126" s="49" t="n">
        <v>0</v>
      </c>
      <c r="AJ126" s="50" t="n">
        <v>0</v>
      </c>
      <c r="AK126" s="51" t="n">
        <v>0</v>
      </c>
      <c r="AL126" s="52" t="n">
        <v>0</v>
      </c>
      <c r="AM126" s="52" t="n">
        <v>0</v>
      </c>
      <c r="AN126" s="52" t="n">
        <v>0</v>
      </c>
      <c r="AO126" s="53" t="n">
        <v>0</v>
      </c>
      <c r="AP126" s="52" t="n">
        <v>0</v>
      </c>
      <c r="AQ126" s="53" t="n">
        <v>0</v>
      </c>
      <c r="AR126" s="52" t="n">
        <v>0</v>
      </c>
      <c r="AS126" s="51" t="n">
        <v>0</v>
      </c>
      <c r="AT126" s="48" t="n">
        <v>0</v>
      </c>
      <c r="AU126" s="49" t="n">
        <v>0</v>
      </c>
      <c r="AV126" s="49" t="n">
        <v>0</v>
      </c>
      <c r="AW126" s="50" t="n">
        <v>0</v>
      </c>
      <c r="AX126" s="51" t="n">
        <v>0</v>
      </c>
      <c r="AY126" s="52" t="n">
        <v>0</v>
      </c>
      <c r="AZ126" s="52" t="n">
        <v>0</v>
      </c>
      <c r="BA126" s="52" t="n">
        <v>0</v>
      </c>
      <c r="BB126" s="53" t="n">
        <v>0</v>
      </c>
      <c r="BC126" s="52" t="n">
        <v>0</v>
      </c>
      <c r="BD126" s="53" t="n">
        <v>0</v>
      </c>
      <c r="BE126" s="52" t="n">
        <v>0</v>
      </c>
      <c r="BF126" s="51" t="n">
        <v>0</v>
      </c>
    </row>
    <row r="127">
      <c r="A127">
        <f>HYPERLINK("https://www.walmart.com/ip/263284201", "263284201")</f>
        <v/>
      </c>
      <c r="B127" t="inlineStr">
        <is>
          <t>Sun Hat for Women Neck Flap Wide Brim UV Protection UPF 50+ Foldable Fishing Cap with 2 Replaceable Ribbon by Solaris</t>
        </is>
      </c>
      <c r="C127" t="inlineStr">
        <is>
          <t>1SLSH922PK</t>
        </is>
      </c>
      <c r="D127" t="inlineStr">
        <is>
          <t>Hats</t>
        </is>
      </c>
      <c r="E127" t="inlineStr">
        <is>
          <t>Solaris</t>
        </is>
      </c>
      <c r="F127" t="inlineStr">
        <is>
          <t>Hats,Batch 1 - TR</t>
        </is>
      </c>
      <c r="G127" s="48" t="n">
        <v>18.49</v>
      </c>
      <c r="H127" s="49" t="n">
        <v>1</v>
      </c>
      <c r="I127" s="49" t="n">
        <v>5</v>
      </c>
      <c r="J127" s="50" t="n">
        <v>0.2</v>
      </c>
      <c r="K127" s="51" t="n">
        <v>0</v>
      </c>
      <c r="L127" s="52" t="n">
        <v>0</v>
      </c>
      <c r="M127" s="52" t="n">
        <v>0</v>
      </c>
      <c r="N127" s="52" t="n">
        <v>0</v>
      </c>
      <c r="O127" s="53" t="n">
        <v>0</v>
      </c>
      <c r="P127" s="52" t="n">
        <v>0</v>
      </c>
      <c r="Q127" s="53" t="n">
        <v>0</v>
      </c>
      <c r="R127" s="52" t="n">
        <v>18.49</v>
      </c>
      <c r="S127" s="51" t="n">
        <v>0</v>
      </c>
      <c r="T127" s="48" t="n">
        <v>-18.49</v>
      </c>
      <c r="U127" s="49" t="n">
        <v>-1</v>
      </c>
      <c r="V127" s="49" t="n">
        <v>7</v>
      </c>
      <c r="W127" s="50" t="n">
        <v>-0.1428571428571428</v>
      </c>
      <c r="X127" s="51" t="n">
        <v>0</v>
      </c>
      <c r="Y127" s="52" t="n">
        <v>0</v>
      </c>
      <c r="Z127" s="52" t="n">
        <v>0</v>
      </c>
      <c r="AA127" s="52" t="n">
        <v>0</v>
      </c>
      <c r="AB127" s="53" t="n">
        <v>0</v>
      </c>
      <c r="AC127" s="52" t="n">
        <v>0</v>
      </c>
      <c r="AD127" s="53" t="n">
        <v>0</v>
      </c>
      <c r="AE127" s="52" t="n">
        <v>0</v>
      </c>
      <c r="AF127" s="51" t="n">
        <v>0</v>
      </c>
      <c r="AG127" s="48" t="n">
        <v>18.49</v>
      </c>
      <c r="AH127" s="49" t="n">
        <v>1</v>
      </c>
      <c r="AI127" s="49" t="n">
        <v>3</v>
      </c>
      <c r="AJ127" s="50" t="n">
        <v>0.3333333333333333</v>
      </c>
      <c r="AK127" s="51" t="n">
        <v>0</v>
      </c>
      <c r="AL127" s="52" t="n">
        <v>0</v>
      </c>
      <c r="AM127" s="52" t="n">
        <v>0</v>
      </c>
      <c r="AN127" s="52" t="n">
        <v>0</v>
      </c>
      <c r="AO127" s="53" t="n">
        <v>0</v>
      </c>
      <c r="AP127" s="52" t="n">
        <v>0</v>
      </c>
      <c r="AQ127" s="53" t="n">
        <v>0</v>
      </c>
      <c r="AR127" s="52" t="n">
        <v>18.49</v>
      </c>
      <c r="AS127" s="51" t="n">
        <v>0</v>
      </c>
      <c r="AT127" s="48" t="n">
        <v>0</v>
      </c>
      <c r="AU127" s="49" t="n">
        <v>0</v>
      </c>
      <c r="AV127" s="49" t="n">
        <v>0</v>
      </c>
      <c r="AW127" s="50" t="n">
        <v>0</v>
      </c>
      <c r="AX127" s="51" t="n">
        <v>0</v>
      </c>
      <c r="AY127" s="52" t="n">
        <v>0</v>
      </c>
      <c r="AZ127" s="52" t="n">
        <v>0</v>
      </c>
      <c r="BA127" s="52" t="n">
        <v>0</v>
      </c>
      <c r="BB127" s="53" t="n">
        <v>0</v>
      </c>
      <c r="BC127" s="52" t="n">
        <v>0</v>
      </c>
      <c r="BD127" s="53" t="n">
        <v>0</v>
      </c>
      <c r="BE127" s="52" t="n">
        <v>0</v>
      </c>
      <c r="BF127" s="51" t="n">
        <v>0</v>
      </c>
    </row>
    <row r="128">
      <c r="A128">
        <f>HYPERLINK("https://www.walmart.com/ip/980576375", "980576375")</f>
        <v/>
      </c>
      <c r="B128" t="inlineStr">
        <is>
          <t>Large Dog Blanket, Super Soft Fluffy Sherpa Fleece Dog Couch Blankets and Throws for Large Medium  Small Dogs Puppy Doggy Pet Cats, Blue</t>
        </is>
      </c>
      <c r="C128" t="inlineStr">
        <is>
          <t>1PSBF560BLLT</t>
        </is>
      </c>
      <c r="D128" t="inlineStr">
        <is>
          <t>Pet Blankets</t>
        </is>
      </c>
      <c r="E128" t="inlineStr">
        <is>
          <t>Pawsse</t>
        </is>
      </c>
      <c r="F128" t="inlineStr">
        <is>
          <t>Q2-Target,Optimized,WFS,SEM,WFS Item</t>
        </is>
      </c>
      <c r="G128" s="48" t="n">
        <v>17.99</v>
      </c>
      <c r="H128" s="49" t="n">
        <v>1</v>
      </c>
      <c r="I128" s="49" t="n">
        <v>0</v>
      </c>
      <c r="J128" s="50" t="n">
        <v>0</v>
      </c>
      <c r="K128" s="51" t="n">
        <v>0</v>
      </c>
      <c r="L128" s="52" t="n">
        <v>0</v>
      </c>
      <c r="M128" s="52" t="n">
        <v>0</v>
      </c>
      <c r="N128" s="52" t="n">
        <v>0</v>
      </c>
      <c r="O128" s="53" t="n">
        <v>0</v>
      </c>
      <c r="P128" s="52" t="n">
        <v>0</v>
      </c>
      <c r="Q128" s="53" t="n">
        <v>0</v>
      </c>
      <c r="R128" s="52" t="n">
        <v>17.99</v>
      </c>
      <c r="S128" s="51" t="n">
        <v>0</v>
      </c>
      <c r="T128" s="48" t="n">
        <v>0</v>
      </c>
      <c r="U128" s="49" t="n">
        <v>0</v>
      </c>
      <c r="V128" s="49" t="n">
        <v>0</v>
      </c>
      <c r="W128" s="50" t="n">
        <v>0</v>
      </c>
      <c r="X128" s="51" t="n">
        <v>0</v>
      </c>
      <c r="Y128" s="52" t="n">
        <v>0</v>
      </c>
      <c r="Z128" s="52" t="n">
        <v>0</v>
      </c>
      <c r="AA128" s="52" t="n">
        <v>0</v>
      </c>
      <c r="AB128" s="53" t="n">
        <v>0</v>
      </c>
      <c r="AC128" s="52" t="n">
        <v>0</v>
      </c>
      <c r="AD128" s="53" t="n">
        <v>0</v>
      </c>
      <c r="AE128" s="52" t="n">
        <v>0</v>
      </c>
      <c r="AF128" s="51" t="n">
        <v>0</v>
      </c>
      <c r="AG128" s="48" t="n">
        <v>0</v>
      </c>
      <c r="AH128" s="49" t="n">
        <v>0</v>
      </c>
      <c r="AI128" s="49" t="n">
        <v>0</v>
      </c>
      <c r="AJ128" s="50" t="n">
        <v>0</v>
      </c>
      <c r="AK128" s="51" t="n">
        <v>0</v>
      </c>
      <c r="AL128" s="52" t="n">
        <v>0</v>
      </c>
      <c r="AM128" s="52" t="n">
        <v>0</v>
      </c>
      <c r="AN128" s="52" t="n">
        <v>0</v>
      </c>
      <c r="AO128" s="53" t="n">
        <v>0</v>
      </c>
      <c r="AP128" s="52" t="n">
        <v>0</v>
      </c>
      <c r="AQ128" s="53" t="n">
        <v>0</v>
      </c>
      <c r="AR128" s="52" t="n">
        <v>0</v>
      </c>
      <c r="AS128" s="51" t="n">
        <v>0</v>
      </c>
      <c r="AT128" s="48" t="n">
        <v>0</v>
      </c>
      <c r="AU128" s="49" t="n">
        <v>0</v>
      </c>
      <c r="AV128" s="49" t="n">
        <v>0</v>
      </c>
      <c r="AW128" s="50" t="n">
        <v>0</v>
      </c>
      <c r="AX128" s="51" t="n">
        <v>0</v>
      </c>
      <c r="AY128" s="52" t="n">
        <v>0</v>
      </c>
      <c r="AZ128" s="52" t="n">
        <v>0</v>
      </c>
      <c r="BA128" s="52" t="n">
        <v>0</v>
      </c>
      <c r="BB128" s="53" t="n">
        <v>0</v>
      </c>
      <c r="BC128" s="52" t="n">
        <v>0</v>
      </c>
      <c r="BD128" s="53" t="n">
        <v>0</v>
      </c>
      <c r="BE128" s="52" t="n">
        <v>0</v>
      </c>
      <c r="BF128" s="51" t="n">
        <v>0</v>
      </c>
    </row>
    <row r="129">
      <c r="A129">
        <f>HYPERLINK("https://www.walmart.com/ip/2293955752", "2293955752")</f>
        <v/>
      </c>
      <c r="B129" t="inlineStr">
        <is>
          <t>Tirrinia Insulated Lunch Bag for Women and Men, Double-Layer Leak-Proof Reusable Lunch Box with 4 Pockets, Large Double Layer, 17L, Black, 9.85" x 8.72" x 10.63"</t>
        </is>
      </c>
      <c r="C129" t="inlineStr">
        <is>
          <t>1TRLB701BK-D</t>
        </is>
      </c>
      <c r="D129" t="inlineStr">
        <is>
          <t>Reusable Lunch Bags &amp; Boxes</t>
        </is>
      </c>
      <c r="E129" t="inlineStr">
        <is>
          <t>Tirrinia</t>
        </is>
      </c>
      <c r="F129" t="inlineStr">
        <is>
          <t>Q2-Target</t>
        </is>
      </c>
      <c r="G129" s="48" t="n">
        <v>17.99</v>
      </c>
      <c r="H129" s="49" t="n">
        <v>1</v>
      </c>
      <c r="I129" s="49" t="n">
        <v>2</v>
      </c>
      <c r="J129" s="50" t="n">
        <v>0.5</v>
      </c>
      <c r="K129" s="51" t="n">
        <v>0</v>
      </c>
      <c r="L129" s="52" t="n">
        <v>0</v>
      </c>
      <c r="M129" s="52" t="n">
        <v>0</v>
      </c>
      <c r="N129" s="52" t="n">
        <v>0</v>
      </c>
      <c r="O129" s="53" t="n">
        <v>0</v>
      </c>
      <c r="P129" s="52" t="n">
        <v>0</v>
      </c>
      <c r="Q129" s="53" t="n">
        <v>0</v>
      </c>
      <c r="R129" s="52" t="n">
        <v>17.99</v>
      </c>
      <c r="S129" s="51" t="n">
        <v>0</v>
      </c>
      <c r="T129" s="48" t="n">
        <v>0</v>
      </c>
      <c r="U129" s="49" t="n">
        <v>0</v>
      </c>
      <c r="V129" s="49" t="n">
        <v>5</v>
      </c>
      <c r="W129" s="50" t="n">
        <v>0</v>
      </c>
      <c r="X129" s="51" t="n">
        <v>0</v>
      </c>
      <c r="Y129" s="52" t="n">
        <v>0</v>
      </c>
      <c r="Z129" s="52" t="n">
        <v>0</v>
      </c>
      <c r="AA129" s="52" t="n">
        <v>0</v>
      </c>
      <c r="AB129" s="53" t="n">
        <v>0</v>
      </c>
      <c r="AC129" s="52" t="n">
        <v>0</v>
      </c>
      <c r="AD129" s="53" t="n">
        <v>0</v>
      </c>
      <c r="AE129" s="52" t="n">
        <v>0</v>
      </c>
      <c r="AF129" s="51" t="n">
        <v>0</v>
      </c>
      <c r="AG129" s="48" t="n">
        <v>0</v>
      </c>
      <c r="AH129" s="49" t="n">
        <v>0</v>
      </c>
      <c r="AI129" s="49" t="n">
        <v>2</v>
      </c>
      <c r="AJ129" s="50" t="n">
        <v>0</v>
      </c>
      <c r="AK129" s="51" t="n">
        <v>0</v>
      </c>
      <c r="AL129" s="52" t="n">
        <v>0</v>
      </c>
      <c r="AM129" s="52" t="n">
        <v>0</v>
      </c>
      <c r="AN129" s="52" t="n">
        <v>0</v>
      </c>
      <c r="AO129" s="53" t="n">
        <v>0</v>
      </c>
      <c r="AP129" s="52" t="n">
        <v>0</v>
      </c>
      <c r="AQ129" s="53" t="n">
        <v>0</v>
      </c>
      <c r="AR129" s="52" t="n">
        <v>0</v>
      </c>
      <c r="AS129" s="51" t="n">
        <v>0</v>
      </c>
      <c r="AT129" s="48" t="n">
        <v>35.98</v>
      </c>
      <c r="AU129" s="49" t="n">
        <v>2</v>
      </c>
      <c r="AV129" s="49" t="n">
        <v>0</v>
      </c>
      <c r="AW129" s="50" t="n">
        <v>0</v>
      </c>
      <c r="AX129" s="51" t="n">
        <v>0</v>
      </c>
      <c r="AY129" s="52" t="n">
        <v>0</v>
      </c>
      <c r="AZ129" s="52" t="n">
        <v>0</v>
      </c>
      <c r="BA129" s="52" t="n">
        <v>0</v>
      </c>
      <c r="BB129" s="53" t="n">
        <v>0</v>
      </c>
      <c r="BC129" s="52" t="n">
        <v>0</v>
      </c>
      <c r="BD129" s="53" t="n">
        <v>0</v>
      </c>
      <c r="BE129" s="52" t="n">
        <v>17.99</v>
      </c>
      <c r="BF129" s="51" t="n">
        <v>0</v>
      </c>
    </row>
    <row r="130">
      <c r="A130">
        <f>HYPERLINK("https://www.walmart.com/ip/3383613008", "3383613008")</f>
        <v/>
      </c>
      <c r="B130" t="inlineStr">
        <is>
          <t>Sun Blocker Unisex Travel Sun Hat UPF 50+ Female Large Brim Beach Neck Flap Hat for Camping Gardening Travel, White</t>
        </is>
      </c>
      <c r="C130" t="inlineStr">
        <is>
          <t>KC-S9201-WH</t>
        </is>
      </c>
      <c r="D130" t="inlineStr">
        <is>
          <t>Hats</t>
        </is>
      </c>
      <c r="E130" t="inlineStr">
        <is>
          <t>Sun Blocker</t>
        </is>
      </c>
      <c r="F130" t="inlineStr">
        <is>
          <t>Q2-Target,Hats</t>
        </is>
      </c>
      <c r="G130" s="48" t="n">
        <v>17.99</v>
      </c>
      <c r="H130" s="49" t="n">
        <v>1</v>
      </c>
      <c r="I130" s="49" t="n">
        <v>10</v>
      </c>
      <c r="J130" s="50" t="n">
        <v>0.1</v>
      </c>
      <c r="K130" s="51" t="n">
        <v>0</v>
      </c>
      <c r="L130" s="52" t="n">
        <v>0</v>
      </c>
      <c r="M130" s="52" t="n">
        <v>0</v>
      </c>
      <c r="N130" s="52" t="n">
        <v>0</v>
      </c>
      <c r="O130" s="53" t="n">
        <v>0</v>
      </c>
      <c r="P130" s="52" t="n">
        <v>0</v>
      </c>
      <c r="Q130" s="53" t="n">
        <v>0</v>
      </c>
      <c r="R130" s="52" t="n">
        <v>17.99</v>
      </c>
      <c r="S130" s="51" t="n">
        <v>0</v>
      </c>
      <c r="T130" s="48" t="n">
        <v>0</v>
      </c>
      <c r="U130" s="49" t="n">
        <v>0</v>
      </c>
      <c r="V130" s="49" t="n">
        <v>10</v>
      </c>
      <c r="W130" s="50" t="n">
        <v>0</v>
      </c>
      <c r="X130" s="51" t="n">
        <v>0</v>
      </c>
      <c r="Y130" s="52" t="n">
        <v>0</v>
      </c>
      <c r="Z130" s="52" t="n">
        <v>0</v>
      </c>
      <c r="AA130" s="52" t="n">
        <v>0</v>
      </c>
      <c r="AB130" s="53" t="n">
        <v>0</v>
      </c>
      <c r="AC130" s="52" t="n">
        <v>0</v>
      </c>
      <c r="AD130" s="53" t="n">
        <v>0</v>
      </c>
      <c r="AE130" s="52" t="n">
        <v>0</v>
      </c>
      <c r="AF130" s="51" t="n">
        <v>0</v>
      </c>
      <c r="AG130" s="48" t="n">
        <v>35.98</v>
      </c>
      <c r="AH130" s="49" t="n">
        <v>2</v>
      </c>
      <c r="AI130" s="49" t="n">
        <v>14</v>
      </c>
      <c r="AJ130" s="50" t="n">
        <v>0.1428571428571428</v>
      </c>
      <c r="AK130" s="51" t="n">
        <v>0</v>
      </c>
      <c r="AL130" s="52" t="n">
        <v>0</v>
      </c>
      <c r="AM130" s="52" t="n">
        <v>0</v>
      </c>
      <c r="AN130" s="52" t="n">
        <v>0</v>
      </c>
      <c r="AO130" s="53" t="n">
        <v>0</v>
      </c>
      <c r="AP130" s="52" t="n">
        <v>0</v>
      </c>
      <c r="AQ130" s="53" t="n">
        <v>0</v>
      </c>
      <c r="AR130" s="52" t="n">
        <v>17.99</v>
      </c>
      <c r="AS130" s="51" t="n">
        <v>0</v>
      </c>
      <c r="AT130" s="48" t="n">
        <v>0</v>
      </c>
      <c r="AU130" s="49" t="n">
        <v>0</v>
      </c>
      <c r="AV130" s="49" t="n">
        <v>4</v>
      </c>
      <c r="AW130" s="50" t="n">
        <v>0</v>
      </c>
      <c r="AX130" s="51" t="n">
        <v>0</v>
      </c>
      <c r="AY130" s="52" t="n">
        <v>0</v>
      </c>
      <c r="AZ130" s="52" t="n">
        <v>0</v>
      </c>
      <c r="BA130" s="52" t="n">
        <v>0</v>
      </c>
      <c r="BB130" s="53" t="n">
        <v>0</v>
      </c>
      <c r="BC130" s="52" t="n">
        <v>0</v>
      </c>
      <c r="BD130" s="53" t="n">
        <v>0</v>
      </c>
      <c r="BE130" s="52" t="n">
        <v>0</v>
      </c>
      <c r="BF130" s="51" t="n">
        <v>0</v>
      </c>
    </row>
    <row r="131">
      <c r="A131">
        <f>HYPERLINK("https://www.walmart.com/ip/536768084", "536768084")</f>
        <v/>
      </c>
      <c r="B131" t="inlineStr">
        <is>
          <t>Solaris Men's Sun Hat with Neck Flap, Wide Brim Fishing Safari Hiking Hat, UPF 50+ Protection, Adjustable Chin Strap, Gray</t>
        </is>
      </c>
      <c r="C131" t="inlineStr">
        <is>
          <t>1SLSH923GY</t>
        </is>
      </c>
      <c r="D131" t="inlineStr">
        <is>
          <t>Hats</t>
        </is>
      </c>
      <c r="E131" t="inlineStr">
        <is>
          <t>Solaris</t>
        </is>
      </c>
      <c r="F131" t="inlineStr">
        <is>
          <t>Q2-Target,WFS,Hats,WFS Item</t>
        </is>
      </c>
      <c r="G131" s="48" t="n">
        <v>17.99</v>
      </c>
      <c r="H131" s="49" t="n">
        <v>1</v>
      </c>
      <c r="I131" s="49" t="n">
        <v>66</v>
      </c>
      <c r="J131" s="50" t="n">
        <v>0.01515151515151515</v>
      </c>
      <c r="K131" s="51" t="n">
        <v>0</v>
      </c>
      <c r="L131" s="52" t="n">
        <v>0</v>
      </c>
      <c r="M131" s="52" t="n">
        <v>0</v>
      </c>
      <c r="N131" s="52" t="n">
        <v>0</v>
      </c>
      <c r="O131" s="53" t="n">
        <v>0</v>
      </c>
      <c r="P131" s="52" t="n">
        <v>0</v>
      </c>
      <c r="Q131" s="53" t="n">
        <v>0</v>
      </c>
      <c r="R131" s="52" t="n">
        <v>17.99</v>
      </c>
      <c r="S131" s="51" t="n">
        <v>0</v>
      </c>
      <c r="T131" s="48" t="n">
        <v>42.97</v>
      </c>
      <c r="U131" s="49" t="n">
        <v>2</v>
      </c>
      <c r="V131" s="49" t="n">
        <v>51</v>
      </c>
      <c r="W131" s="50" t="n">
        <v>0.0392156862745098</v>
      </c>
      <c r="X131" s="51" t="n">
        <v>0</v>
      </c>
      <c r="Y131" s="52" t="n">
        <v>0</v>
      </c>
      <c r="Z131" s="52" t="n">
        <v>0</v>
      </c>
      <c r="AA131" s="52" t="n">
        <v>0</v>
      </c>
      <c r="AB131" s="53" t="n">
        <v>0</v>
      </c>
      <c r="AC131" s="52" t="n">
        <v>0</v>
      </c>
      <c r="AD131" s="53" t="n">
        <v>0</v>
      </c>
      <c r="AE131" s="52" t="n">
        <v>21.485</v>
      </c>
      <c r="AF131" s="51" t="n">
        <v>0</v>
      </c>
      <c r="AG131" s="48" t="n">
        <v>53.97</v>
      </c>
      <c r="AH131" s="49" t="n">
        <v>3</v>
      </c>
      <c r="AI131" s="49" t="n">
        <v>50</v>
      </c>
      <c r="AJ131" s="50" t="n">
        <v>0.06</v>
      </c>
      <c r="AK131" s="51" t="n">
        <v>0</v>
      </c>
      <c r="AL131" s="52" t="n">
        <v>0</v>
      </c>
      <c r="AM131" s="52" t="n">
        <v>0</v>
      </c>
      <c r="AN131" s="52" t="n">
        <v>0</v>
      </c>
      <c r="AO131" s="53" t="n">
        <v>0</v>
      </c>
      <c r="AP131" s="52" t="n">
        <v>0</v>
      </c>
      <c r="AQ131" s="53" t="n">
        <v>0</v>
      </c>
      <c r="AR131" s="52" t="n">
        <v>17.99</v>
      </c>
      <c r="AS131" s="51" t="n">
        <v>0</v>
      </c>
      <c r="AT131" s="48" t="n">
        <v>24.98</v>
      </c>
      <c r="AU131" s="49" t="n">
        <v>1</v>
      </c>
      <c r="AV131" s="49" t="n">
        <v>42</v>
      </c>
      <c r="AW131" s="50" t="n">
        <v>0.02380952380952381</v>
      </c>
      <c r="AX131" s="51" t="n">
        <v>0</v>
      </c>
      <c r="AY131" s="52" t="n">
        <v>0</v>
      </c>
      <c r="AZ131" s="52" t="n">
        <v>0</v>
      </c>
      <c r="BA131" s="52" t="n">
        <v>0</v>
      </c>
      <c r="BB131" s="53" t="n">
        <v>0</v>
      </c>
      <c r="BC131" s="52" t="n">
        <v>0</v>
      </c>
      <c r="BD131" s="53" t="n">
        <v>0</v>
      </c>
      <c r="BE131" s="52" t="n">
        <v>24.98</v>
      </c>
      <c r="BF131" s="51" t="n">
        <v>0</v>
      </c>
    </row>
    <row r="132">
      <c r="A132">
        <f>HYPERLINK("https://www.walmart.com/ip/2836368661", "2836368661")</f>
        <v/>
      </c>
      <c r="B132" t="inlineStr">
        <is>
          <t>Tirrinia Sun Hat with Adjustable Drawstring for Women, Large Wide Brim Hat for Outdoor Fishing Hiking Hunting Boating Desert Hawaiian, Green</t>
        </is>
      </c>
      <c r="C132" t="inlineStr">
        <is>
          <t>1TRSH911GN-TBCB</t>
        </is>
      </c>
      <c r="D132" t="inlineStr">
        <is>
          <t>Hats</t>
        </is>
      </c>
      <c r="E132" t="inlineStr">
        <is>
          <t>Tirrinia</t>
        </is>
      </c>
      <c r="F132" t="inlineStr">
        <is>
          <t>Hats</t>
        </is>
      </c>
      <c r="G132" s="48" t="n">
        <v>17.99</v>
      </c>
      <c r="H132" s="49" t="n">
        <v>1</v>
      </c>
      <c r="I132" s="49" t="n">
        <v>0</v>
      </c>
      <c r="J132" s="50" t="n">
        <v>0</v>
      </c>
      <c r="K132" s="51" t="n">
        <v>0</v>
      </c>
      <c r="L132" s="52" t="n">
        <v>0</v>
      </c>
      <c r="M132" s="52" t="n">
        <v>0</v>
      </c>
      <c r="N132" s="52" t="n">
        <v>0</v>
      </c>
      <c r="O132" s="53" t="n">
        <v>0</v>
      </c>
      <c r="P132" s="52" t="n">
        <v>0</v>
      </c>
      <c r="Q132" s="53" t="n">
        <v>0</v>
      </c>
      <c r="R132" s="52" t="n">
        <v>17.99</v>
      </c>
      <c r="S132" s="51" t="n">
        <v>0</v>
      </c>
      <c r="T132" s="48" t="n">
        <v>0</v>
      </c>
      <c r="U132" s="49" t="n">
        <v>0</v>
      </c>
      <c r="V132" s="49" t="n">
        <v>0</v>
      </c>
      <c r="W132" s="50" t="n">
        <v>0</v>
      </c>
      <c r="X132" s="51" t="n">
        <v>0</v>
      </c>
      <c r="Y132" s="52" t="n">
        <v>0</v>
      </c>
      <c r="Z132" s="52" t="n">
        <v>0</v>
      </c>
      <c r="AA132" s="52" t="n">
        <v>0</v>
      </c>
      <c r="AB132" s="53" t="n">
        <v>0</v>
      </c>
      <c r="AC132" s="52" t="n">
        <v>0</v>
      </c>
      <c r="AD132" s="53" t="n">
        <v>0</v>
      </c>
      <c r="AE132" s="52" t="n">
        <v>0</v>
      </c>
      <c r="AF132" s="51" t="n">
        <v>0</v>
      </c>
      <c r="AG132" s="48" t="n">
        <v>0</v>
      </c>
      <c r="AH132" s="49" t="n">
        <v>0</v>
      </c>
      <c r="AI132" s="49" t="n">
        <v>0</v>
      </c>
      <c r="AJ132" s="50" t="n">
        <v>0</v>
      </c>
      <c r="AK132" s="51" t="n">
        <v>0</v>
      </c>
      <c r="AL132" s="52" t="n">
        <v>0</v>
      </c>
      <c r="AM132" s="52" t="n">
        <v>0</v>
      </c>
      <c r="AN132" s="52" t="n">
        <v>0</v>
      </c>
      <c r="AO132" s="53" t="n">
        <v>0</v>
      </c>
      <c r="AP132" s="52" t="n">
        <v>0</v>
      </c>
      <c r="AQ132" s="53" t="n">
        <v>0</v>
      </c>
      <c r="AR132" s="52" t="n">
        <v>0</v>
      </c>
      <c r="AS132" s="51" t="n">
        <v>0</v>
      </c>
      <c r="AT132" s="48" t="n">
        <v>0</v>
      </c>
      <c r="AU132" s="49" t="n">
        <v>0</v>
      </c>
      <c r="AV132" s="49" t="n">
        <v>0</v>
      </c>
      <c r="AW132" s="50" t="n">
        <v>0</v>
      </c>
      <c r="AX132" s="51" t="n">
        <v>0</v>
      </c>
      <c r="AY132" s="52" t="n">
        <v>0</v>
      </c>
      <c r="AZ132" s="52" t="n">
        <v>0</v>
      </c>
      <c r="BA132" s="52" t="n">
        <v>0</v>
      </c>
      <c r="BB132" s="53" t="n">
        <v>0</v>
      </c>
      <c r="BC132" s="52" t="n">
        <v>0</v>
      </c>
      <c r="BD132" s="53" t="n">
        <v>0</v>
      </c>
      <c r="BE132" s="52" t="n">
        <v>0</v>
      </c>
      <c r="BF132" s="51" t="n">
        <v>0</v>
      </c>
    </row>
    <row r="133">
      <c r="A133">
        <f>HYPERLINK("https://www.walmart.com/ip/856027355", "856027355")</f>
        <v/>
      </c>
      <c r="B133" t="inlineStr">
        <is>
          <t>Catalonia Kids Mermaid Tail Blanket,Super Soft Plush Flannel Sleeping Snuggle Blanket for Girls,Rainbow Ombre,Fish Scale Pattern,Gift Idea</t>
        </is>
      </c>
      <c r="C133" t="inlineStr">
        <is>
          <t>1CTMM500PK</t>
        </is>
      </c>
      <c r="D133" t="inlineStr">
        <is>
          <t>Throws</t>
        </is>
      </c>
      <c r="E133" t="inlineStr">
        <is>
          <t>Catalonia</t>
        </is>
      </c>
      <c r="F133" t="inlineStr">
        <is>
          <t>Q2-Target,Baby days,Optimized,WFS,WFS Item</t>
        </is>
      </c>
      <c r="G133" s="48" t="n">
        <v>17.99</v>
      </c>
      <c r="H133" s="49" t="n">
        <v>1</v>
      </c>
      <c r="I133" s="49" t="n">
        <v>25</v>
      </c>
      <c r="J133" s="50" t="n">
        <v>0.04</v>
      </c>
      <c r="K133" s="51" t="n">
        <v>16</v>
      </c>
      <c r="L133" s="52" t="n">
        <v>3.95</v>
      </c>
      <c r="M133" s="52" t="n">
        <v>17.99</v>
      </c>
      <c r="N133" s="52" t="n">
        <v>4.55</v>
      </c>
      <c r="O133" s="53" t="n">
        <v>0.0041</v>
      </c>
      <c r="P133" s="52" t="n">
        <v>0.246875</v>
      </c>
      <c r="Q133" s="53" t="n">
        <v>0.2195664257921068</v>
      </c>
      <c r="R133" s="52" t="n">
        <v>17.99</v>
      </c>
      <c r="S133" s="51" t="n">
        <v>3914</v>
      </c>
      <c r="T133" s="48" t="n">
        <v>53.97</v>
      </c>
      <c r="U133" s="49" t="n">
        <v>3</v>
      </c>
      <c r="V133" s="49" t="n">
        <v>39</v>
      </c>
      <c r="W133" s="50" t="n">
        <v>0.07692307692307693</v>
      </c>
      <c r="X133" s="51" t="n">
        <v>23</v>
      </c>
      <c r="Y133" s="52" t="n">
        <v>5.68</v>
      </c>
      <c r="Z133" s="52" t="n">
        <v>38.98</v>
      </c>
      <c r="AA133" s="52" t="n">
        <v>6.86</v>
      </c>
      <c r="AB133" s="53" t="n">
        <v>0.0044</v>
      </c>
      <c r="AC133" s="52" t="n">
        <v>0.2469565217391304</v>
      </c>
      <c r="AD133" s="53" t="n">
        <v>0.1052436538817862</v>
      </c>
      <c r="AE133" s="52" t="n">
        <v>17.99</v>
      </c>
      <c r="AF133" s="51" t="n">
        <v>5229</v>
      </c>
      <c r="AG133" s="48" t="n">
        <v>53.97</v>
      </c>
      <c r="AH133" s="49" t="n">
        <v>3</v>
      </c>
      <c r="AI133" s="49" t="n">
        <v>34</v>
      </c>
      <c r="AJ133" s="50" t="n">
        <v>0.08823529411764706</v>
      </c>
      <c r="AK133" s="51" t="n">
        <v>15</v>
      </c>
      <c r="AL133" s="52" t="n">
        <v>4.82</v>
      </c>
      <c r="AM133" s="52" t="n">
        <v>0</v>
      </c>
      <c r="AN133" s="52" t="n">
        <v>0</v>
      </c>
      <c r="AO133" s="53" t="n">
        <v>0.0543</v>
      </c>
      <c r="AP133" s="52" t="n">
        <v>0.3213333333333334</v>
      </c>
      <c r="AQ133" s="53" t="n">
        <v>0.0893088753010932</v>
      </c>
      <c r="AR133" s="52" t="n">
        <v>17.99</v>
      </c>
      <c r="AS133" s="51" t="n">
        <v>276</v>
      </c>
      <c r="AT133" s="48" t="n">
        <v>125.93</v>
      </c>
      <c r="AU133" s="49" t="n">
        <v>7</v>
      </c>
      <c r="AV133" s="49" t="n">
        <v>56</v>
      </c>
      <c r="AW133" s="50" t="n">
        <v>0.125</v>
      </c>
      <c r="AX133" s="51" t="n">
        <v>22</v>
      </c>
      <c r="AY133" s="52" t="n">
        <v>6.31</v>
      </c>
      <c r="AZ133" s="52" t="n">
        <v>17.99</v>
      </c>
      <c r="BA133" s="52" t="n">
        <v>2.85</v>
      </c>
      <c r="BB133" s="53" t="n">
        <v>0.0094</v>
      </c>
      <c r="BC133" s="52" t="n">
        <v>0.2868181818181818</v>
      </c>
      <c r="BD133" s="53" t="n">
        <v>0.05010720241403954</v>
      </c>
      <c r="BE133" s="52" t="n">
        <v>17.99</v>
      </c>
      <c r="BF133" s="51" t="n">
        <v>2344</v>
      </c>
    </row>
    <row r="134">
      <c r="A134">
        <f>HYPERLINK("https://www.walmart.com/ip/121165611", "121165611")</f>
        <v/>
      </c>
      <c r="B134" t="inlineStr">
        <is>
          <t>Tirrinia Insulated Lunch Bag, Leakproof Thermal Bento Lunch Bag For Women, Men And Kids, 8 Cans, Black, 10"L x 6.5"W x 2.3"H</t>
        </is>
      </c>
      <c r="C134" t="inlineStr">
        <is>
          <t>1KTLB600BK</t>
        </is>
      </c>
      <c r="D134" t="inlineStr">
        <is>
          <t>Reusable Lunch Bags &amp; Boxes</t>
        </is>
      </c>
      <c r="E134" t="inlineStr">
        <is>
          <t>Tirrinia</t>
        </is>
      </c>
      <c r="F134" t="inlineStr">
        <is>
          <t>Q2-Target,Lunch Bag,WFS,Lunch Bags,SEM,WFS Item,AMZ Bestsellers</t>
        </is>
      </c>
      <c r="G134" s="48" t="n">
        <v>16.99</v>
      </c>
      <c r="H134" s="49" t="n">
        <v>1</v>
      </c>
      <c r="I134" s="49" t="n">
        <v>23</v>
      </c>
      <c r="J134" s="50" t="n">
        <v>0.04347826086956522</v>
      </c>
      <c r="K134" s="51" t="n">
        <v>0</v>
      </c>
      <c r="L134" s="52" t="n">
        <v>0</v>
      </c>
      <c r="M134" s="52" t="n">
        <v>0</v>
      </c>
      <c r="N134" s="52" t="n">
        <v>0</v>
      </c>
      <c r="O134" s="53" t="n">
        <v>0</v>
      </c>
      <c r="P134" s="52" t="n">
        <v>0</v>
      </c>
      <c r="Q134" s="53" t="n">
        <v>0</v>
      </c>
      <c r="R134" s="52" t="n">
        <v>16.99</v>
      </c>
      <c r="S134" s="51" t="n">
        <v>0</v>
      </c>
      <c r="T134" s="48" t="n">
        <v>0</v>
      </c>
      <c r="U134" s="49" t="n">
        <v>0</v>
      </c>
      <c r="V134" s="49" t="n">
        <v>24</v>
      </c>
      <c r="W134" s="50" t="n">
        <v>0</v>
      </c>
      <c r="X134" s="51" t="n">
        <v>0</v>
      </c>
      <c r="Y134" s="52" t="n">
        <v>0</v>
      </c>
      <c r="Z134" s="52" t="n">
        <v>0</v>
      </c>
      <c r="AA134" s="52" t="n">
        <v>0</v>
      </c>
      <c r="AB134" s="53" t="n">
        <v>0</v>
      </c>
      <c r="AC134" s="52" t="n">
        <v>0</v>
      </c>
      <c r="AD134" s="53" t="n">
        <v>0</v>
      </c>
      <c r="AE134" s="52" t="n">
        <v>0</v>
      </c>
      <c r="AF134" s="51" t="n">
        <v>0</v>
      </c>
      <c r="AG134" s="48" t="n">
        <v>0</v>
      </c>
      <c r="AH134" s="49" t="n">
        <v>0</v>
      </c>
      <c r="AI134" s="49" t="n">
        <v>21</v>
      </c>
      <c r="AJ134" s="50" t="n">
        <v>0</v>
      </c>
      <c r="AK134" s="51" t="n">
        <v>0</v>
      </c>
      <c r="AL134" s="52" t="n">
        <v>0</v>
      </c>
      <c r="AM134" s="52" t="n">
        <v>0</v>
      </c>
      <c r="AN134" s="52" t="n">
        <v>0</v>
      </c>
      <c r="AO134" s="53" t="n">
        <v>0</v>
      </c>
      <c r="AP134" s="52" t="n">
        <v>0</v>
      </c>
      <c r="AQ134" s="53" t="n">
        <v>0</v>
      </c>
      <c r="AR134" s="52" t="n">
        <v>0</v>
      </c>
      <c r="AS134" s="51" t="n">
        <v>0</v>
      </c>
      <c r="AT134" s="48" t="n">
        <v>16.99</v>
      </c>
      <c r="AU134" s="49" t="n">
        <v>1</v>
      </c>
      <c r="AV134" s="49" t="n">
        <v>21</v>
      </c>
      <c r="AW134" s="50" t="n">
        <v>0.04761904761904762</v>
      </c>
      <c r="AX134" s="51" t="n">
        <v>0</v>
      </c>
      <c r="AY134" s="52" t="n">
        <v>0</v>
      </c>
      <c r="AZ134" s="52" t="n">
        <v>0</v>
      </c>
      <c r="BA134" s="52" t="n">
        <v>0</v>
      </c>
      <c r="BB134" s="53" t="n">
        <v>0</v>
      </c>
      <c r="BC134" s="52" t="n">
        <v>0</v>
      </c>
      <c r="BD134" s="53" t="n">
        <v>0</v>
      </c>
      <c r="BE134" s="52" t="n">
        <v>16.99</v>
      </c>
      <c r="BF134" s="51" t="n">
        <v>0</v>
      </c>
    </row>
    <row r="135">
      <c r="A135">
        <f>HYPERLINK("https://www.walmart.com/ip/436991822", "436991822")</f>
        <v/>
      </c>
      <c r="B135" t="inlineStr">
        <is>
          <t>Solaris Sun Hat For Women Wide Brim Summer Beach Hat With Neck Flap, UPF 50+ Fishing Hat For Outdoor Hiking, Camping,Travelling, One Size, Pink</t>
        </is>
      </c>
      <c r="C135" t="inlineStr">
        <is>
          <t>1SLSH921PK</t>
        </is>
      </c>
      <c r="D135" t="inlineStr">
        <is>
          <t>Hats</t>
        </is>
      </c>
      <c r="E135" t="inlineStr">
        <is>
          <t>Solaris</t>
        </is>
      </c>
      <c r="F135" t="inlineStr">
        <is>
          <t>Q2-Target,WFS,Hats,WFS Item</t>
        </is>
      </c>
      <c r="G135" s="48" t="n">
        <v>16.99</v>
      </c>
      <c r="H135" s="49" t="n">
        <v>1</v>
      </c>
      <c r="I135" s="49" t="n">
        <v>5</v>
      </c>
      <c r="J135" s="50" t="n">
        <v>0.2</v>
      </c>
      <c r="K135" s="51" t="n">
        <v>1</v>
      </c>
      <c r="L135" s="52" t="n">
        <v>0.31</v>
      </c>
      <c r="M135" s="52" t="n">
        <v>0</v>
      </c>
      <c r="N135" s="52" t="n">
        <v>0</v>
      </c>
      <c r="O135" s="53" t="n">
        <v>0.0005</v>
      </c>
      <c r="P135" s="52" t="n">
        <v>0.31</v>
      </c>
      <c r="Q135" s="53" t="n">
        <v>0.01824602707474985</v>
      </c>
      <c r="R135" s="52" t="n">
        <v>16.99</v>
      </c>
      <c r="S135" s="51" t="n">
        <v>2174</v>
      </c>
      <c r="T135" s="48" t="n">
        <v>16.99</v>
      </c>
      <c r="U135" s="49" t="n">
        <v>1</v>
      </c>
      <c r="V135" s="49" t="n">
        <v>2</v>
      </c>
      <c r="W135" s="50" t="n">
        <v>0.5</v>
      </c>
      <c r="X135" s="51" t="n">
        <v>0</v>
      </c>
      <c r="Y135" s="52" t="n">
        <v>0</v>
      </c>
      <c r="Z135" s="52" t="n">
        <v>0</v>
      </c>
      <c r="AA135" s="52" t="n">
        <v>0</v>
      </c>
      <c r="AB135" s="53" t="n">
        <v>0</v>
      </c>
      <c r="AC135" s="52" t="n">
        <v>0</v>
      </c>
      <c r="AD135" s="53" t="n">
        <v>0</v>
      </c>
      <c r="AE135" s="52" t="n">
        <v>16.99</v>
      </c>
      <c r="AF135" s="51" t="n">
        <v>0</v>
      </c>
      <c r="AG135" s="48" t="n">
        <v>0</v>
      </c>
      <c r="AH135" s="49" t="n">
        <v>0</v>
      </c>
      <c r="AI135" s="49" t="n">
        <v>0</v>
      </c>
      <c r="AJ135" s="50" t="n">
        <v>0</v>
      </c>
      <c r="AK135" s="51" t="n">
        <v>0</v>
      </c>
      <c r="AL135" s="52" t="n">
        <v>0</v>
      </c>
      <c r="AM135" s="52" t="n">
        <v>0</v>
      </c>
      <c r="AN135" s="52" t="n">
        <v>0</v>
      </c>
      <c r="AO135" s="53" t="n">
        <v>0</v>
      </c>
      <c r="AP135" s="52" t="n">
        <v>0</v>
      </c>
      <c r="AQ135" s="53" t="n">
        <v>0</v>
      </c>
      <c r="AR135" s="52" t="n">
        <v>0</v>
      </c>
      <c r="AS135" s="51" t="n">
        <v>0</v>
      </c>
      <c r="AT135" s="48" t="n">
        <v>0</v>
      </c>
      <c r="AU135" s="49" t="n">
        <v>0</v>
      </c>
      <c r="AV135" s="49" t="n">
        <v>0</v>
      </c>
      <c r="AW135" s="50" t="n">
        <v>0</v>
      </c>
      <c r="AX135" s="51" t="n">
        <v>0</v>
      </c>
      <c r="AY135" s="52" t="n">
        <v>0</v>
      </c>
      <c r="AZ135" s="52" t="n">
        <v>0</v>
      </c>
      <c r="BA135" s="52" t="n">
        <v>0</v>
      </c>
      <c r="BB135" s="53" t="n">
        <v>0</v>
      </c>
      <c r="BC135" s="52" t="n">
        <v>0</v>
      </c>
      <c r="BD135" s="53" t="n">
        <v>0</v>
      </c>
      <c r="BE135" s="52" t="n">
        <v>0</v>
      </c>
      <c r="BF135" s="51" t="n">
        <v>0</v>
      </c>
    </row>
    <row r="136">
      <c r="A136">
        <f>HYPERLINK("https://www.walmart.com/ip/681069331", "681069331")</f>
        <v/>
      </c>
      <c r="B136" t="inlineStr">
        <is>
          <t>Tirrinia Insulated Lunch Bag, Leakproof Thermal Bento Lunch Bag For Women, Men And Kids, 8 Cans, Black &amp; Purple, 10"L x 6.5"W x 6"H</t>
        </is>
      </c>
      <c r="C136" t="inlineStr">
        <is>
          <t>1KTLB600BKPP</t>
        </is>
      </c>
      <c r="D136" t="inlineStr">
        <is>
          <t>Reusable Lunch Bags &amp; Boxes</t>
        </is>
      </c>
      <c r="E136" t="inlineStr">
        <is>
          <t>Tirrinia</t>
        </is>
      </c>
      <c r="F136" t="inlineStr">
        <is>
          <t>Q2-Target,Brand Camp VD,Lunch Bag,WFS,Lunch Bags,SEM,Wal-Exl-Price,WFS Item</t>
        </is>
      </c>
      <c r="G136" s="48" t="n">
        <v>16.99</v>
      </c>
      <c r="H136" s="49" t="n">
        <v>1</v>
      </c>
      <c r="I136" s="49" t="n">
        <v>7</v>
      </c>
      <c r="J136" s="50" t="n">
        <v>0.1428571428571428</v>
      </c>
      <c r="K136" s="51" t="n">
        <v>0</v>
      </c>
      <c r="L136" s="52" t="n">
        <v>0</v>
      </c>
      <c r="M136" s="52" t="n">
        <v>0</v>
      </c>
      <c r="N136" s="52" t="n">
        <v>0</v>
      </c>
      <c r="O136" s="53" t="n">
        <v>0</v>
      </c>
      <c r="P136" s="52" t="n">
        <v>0</v>
      </c>
      <c r="Q136" s="53" t="n">
        <v>0</v>
      </c>
      <c r="R136" s="52" t="n">
        <v>16.99</v>
      </c>
      <c r="S136" s="51" t="n">
        <v>0</v>
      </c>
      <c r="T136" s="48" t="n">
        <v>-16.99</v>
      </c>
      <c r="U136" s="49" t="n">
        <v>-1</v>
      </c>
      <c r="V136" s="49" t="n">
        <v>7</v>
      </c>
      <c r="W136" s="50" t="n">
        <v>-0.1428571428571428</v>
      </c>
      <c r="X136" s="51" t="n">
        <v>0</v>
      </c>
      <c r="Y136" s="52" t="n">
        <v>0</v>
      </c>
      <c r="Z136" s="52" t="n">
        <v>0</v>
      </c>
      <c r="AA136" s="52" t="n">
        <v>0</v>
      </c>
      <c r="AB136" s="53" t="n">
        <v>0</v>
      </c>
      <c r="AC136" s="52" t="n">
        <v>0</v>
      </c>
      <c r="AD136" s="53" t="n">
        <v>0</v>
      </c>
      <c r="AE136" s="52" t="n">
        <v>0</v>
      </c>
      <c r="AF136" s="51" t="n">
        <v>0</v>
      </c>
      <c r="AG136" s="48" t="n">
        <v>-16.99</v>
      </c>
      <c r="AH136" s="49" t="n">
        <v>-1</v>
      </c>
      <c r="AI136" s="49" t="n">
        <v>13</v>
      </c>
      <c r="AJ136" s="50" t="n">
        <v>-0.07692307692307693</v>
      </c>
      <c r="AK136" s="51" t="n">
        <v>0</v>
      </c>
      <c r="AL136" s="52" t="n">
        <v>0</v>
      </c>
      <c r="AM136" s="52" t="n">
        <v>0</v>
      </c>
      <c r="AN136" s="52" t="n">
        <v>0</v>
      </c>
      <c r="AO136" s="53" t="n">
        <v>0</v>
      </c>
      <c r="AP136" s="52" t="n">
        <v>0</v>
      </c>
      <c r="AQ136" s="53" t="n">
        <v>0</v>
      </c>
      <c r="AR136" s="52" t="n">
        <v>0</v>
      </c>
      <c r="AS136" s="51" t="n">
        <v>0</v>
      </c>
      <c r="AT136" s="48" t="n">
        <v>16.99</v>
      </c>
      <c r="AU136" s="49" t="n">
        <v>1</v>
      </c>
      <c r="AV136" s="49" t="n">
        <v>15</v>
      </c>
      <c r="AW136" s="50" t="n">
        <v>0.06666666666666667</v>
      </c>
      <c r="AX136" s="51" t="n">
        <v>0</v>
      </c>
      <c r="AY136" s="52" t="n">
        <v>0</v>
      </c>
      <c r="AZ136" s="52" t="n">
        <v>0</v>
      </c>
      <c r="BA136" s="52" t="n">
        <v>0</v>
      </c>
      <c r="BB136" s="53" t="n">
        <v>0</v>
      </c>
      <c r="BC136" s="52" t="n">
        <v>0</v>
      </c>
      <c r="BD136" s="53" t="n">
        <v>0</v>
      </c>
      <c r="BE136" s="52" t="n">
        <v>16.99</v>
      </c>
      <c r="BF136" s="51" t="n">
        <v>0</v>
      </c>
    </row>
    <row r="137">
      <c r="A137">
        <f>HYPERLINK("https://www.walmart.com/ip/192337997", "192337997")</f>
        <v/>
      </c>
      <c r="B137" t="inlineStr">
        <is>
          <t>Solaris Sun Hats UV Protection Wide Brim Hat Unisex Adult Multicolor</t>
        </is>
      </c>
      <c r="C137" t="inlineStr">
        <is>
          <t>1SLSH910OL</t>
        </is>
      </c>
      <c r="D137" t="inlineStr">
        <is>
          <t>Hats</t>
        </is>
      </c>
      <c r="E137" t="inlineStr">
        <is>
          <t>Solaris</t>
        </is>
      </c>
      <c r="F137" t="inlineStr">
        <is>
          <t>Hats,SEM,Batch 1 - TR</t>
        </is>
      </c>
      <c r="G137" s="48" t="n">
        <v>15.99</v>
      </c>
      <c r="H137" s="49" t="n">
        <v>1</v>
      </c>
      <c r="I137" s="49" t="n">
        <v>0</v>
      </c>
      <c r="J137" s="50" t="n">
        <v>0</v>
      </c>
      <c r="K137" s="51" t="n">
        <v>0</v>
      </c>
      <c r="L137" s="52" t="n">
        <v>0</v>
      </c>
      <c r="M137" s="52" t="n">
        <v>0</v>
      </c>
      <c r="N137" s="52" t="n">
        <v>0</v>
      </c>
      <c r="O137" s="53" t="n">
        <v>0</v>
      </c>
      <c r="P137" s="52" t="n">
        <v>0</v>
      </c>
      <c r="Q137" s="53" t="n">
        <v>0</v>
      </c>
      <c r="R137" s="52" t="n">
        <v>15.99</v>
      </c>
      <c r="S137" s="51" t="n">
        <v>0</v>
      </c>
      <c r="T137" s="48" t="n">
        <v>0</v>
      </c>
      <c r="U137" s="49" t="n">
        <v>0</v>
      </c>
      <c r="V137" s="49" t="n">
        <v>0</v>
      </c>
      <c r="W137" s="50" t="n">
        <v>0</v>
      </c>
      <c r="X137" s="51" t="n">
        <v>0</v>
      </c>
      <c r="Y137" s="52" t="n">
        <v>0</v>
      </c>
      <c r="Z137" s="52" t="n">
        <v>0</v>
      </c>
      <c r="AA137" s="52" t="n">
        <v>0</v>
      </c>
      <c r="AB137" s="53" t="n">
        <v>0</v>
      </c>
      <c r="AC137" s="52" t="n">
        <v>0</v>
      </c>
      <c r="AD137" s="53" t="n">
        <v>0</v>
      </c>
      <c r="AE137" s="52" t="n">
        <v>0</v>
      </c>
      <c r="AF137" s="51" t="n">
        <v>0</v>
      </c>
      <c r="AG137" s="48" t="n">
        <v>22.98</v>
      </c>
      <c r="AH137" s="49" t="n">
        <v>1</v>
      </c>
      <c r="AI137" s="49" t="n">
        <v>0</v>
      </c>
      <c r="AJ137" s="50" t="n">
        <v>0</v>
      </c>
      <c r="AK137" s="51" t="n">
        <v>0</v>
      </c>
      <c r="AL137" s="52" t="n">
        <v>0</v>
      </c>
      <c r="AM137" s="52" t="n">
        <v>0</v>
      </c>
      <c r="AN137" s="52" t="n">
        <v>0</v>
      </c>
      <c r="AO137" s="53" t="n">
        <v>0</v>
      </c>
      <c r="AP137" s="52" t="n">
        <v>0</v>
      </c>
      <c r="AQ137" s="53" t="n">
        <v>0</v>
      </c>
      <c r="AR137" s="52" t="n">
        <v>22.98</v>
      </c>
      <c r="AS137" s="51" t="n">
        <v>0</v>
      </c>
      <c r="AT137" s="48" t="n">
        <v>0</v>
      </c>
      <c r="AU137" s="49" t="n">
        <v>0</v>
      </c>
      <c r="AV137" s="49" t="n">
        <v>0</v>
      </c>
      <c r="AW137" s="50" t="n">
        <v>0</v>
      </c>
      <c r="AX137" s="51" t="n">
        <v>0</v>
      </c>
      <c r="AY137" s="52" t="n">
        <v>0</v>
      </c>
      <c r="AZ137" s="52" t="n">
        <v>0</v>
      </c>
      <c r="BA137" s="52" t="n">
        <v>0</v>
      </c>
      <c r="BB137" s="53" t="n">
        <v>0</v>
      </c>
      <c r="BC137" s="52" t="n">
        <v>0</v>
      </c>
      <c r="BD137" s="53" t="n">
        <v>0</v>
      </c>
      <c r="BE137" s="52" t="n">
        <v>0</v>
      </c>
      <c r="BF137" s="51" t="n">
        <v>0</v>
      </c>
    </row>
    <row r="138">
      <c r="A138">
        <f>HYPERLINK("https://www.walmart.com/ip/1161160219", "1161160219")</f>
        <v/>
      </c>
      <c r="B138" t="inlineStr">
        <is>
          <t>TirriniaInsulated Lunch Bag for Women Men, Leakproof Thermal Reusable Lunch Box for Adult &amp; Kids, Lunch Cooler Tote for Office Work Back to School, Camo</t>
        </is>
      </c>
      <c r="C138" t="inlineStr">
        <is>
          <t>1TRLB701CAMO-N</t>
        </is>
      </c>
      <c r="D138" t="inlineStr">
        <is>
          <t>Reusable Lunch Bags &amp; Boxes</t>
        </is>
      </c>
      <c r="E138" t="inlineStr">
        <is>
          <t>Tirrinia</t>
        </is>
      </c>
      <c r="F138" t="inlineStr">
        <is>
          <t>Q2-Target,Brand Camp VD,Lunch Bags,Batch 1 - TR</t>
        </is>
      </c>
      <c r="G138" s="48" t="n">
        <v>15.99</v>
      </c>
      <c r="H138" s="49" t="n">
        <v>1</v>
      </c>
      <c r="I138" s="49" t="n">
        <v>22</v>
      </c>
      <c r="J138" s="50" t="n">
        <v>0.04545454545454546</v>
      </c>
      <c r="K138" s="51" t="n">
        <v>0</v>
      </c>
      <c r="L138" s="52" t="n">
        <v>0</v>
      </c>
      <c r="M138" s="52" t="n">
        <v>0</v>
      </c>
      <c r="N138" s="52" t="n">
        <v>0</v>
      </c>
      <c r="O138" s="53" t="n">
        <v>0</v>
      </c>
      <c r="P138" s="52" t="n">
        <v>0</v>
      </c>
      <c r="Q138" s="53" t="n">
        <v>0</v>
      </c>
      <c r="R138" s="52" t="n">
        <v>15.99</v>
      </c>
      <c r="S138" s="51" t="n">
        <v>0</v>
      </c>
      <c r="T138" s="48" t="n">
        <v>15.99</v>
      </c>
      <c r="U138" s="49" t="n">
        <v>1</v>
      </c>
      <c r="V138" s="49" t="n">
        <v>40</v>
      </c>
      <c r="W138" s="50" t="n">
        <v>0.025</v>
      </c>
      <c r="X138" s="51" t="n">
        <v>0</v>
      </c>
      <c r="Y138" s="52" t="n">
        <v>0</v>
      </c>
      <c r="Z138" s="52" t="n">
        <v>0</v>
      </c>
      <c r="AA138" s="52" t="n">
        <v>0</v>
      </c>
      <c r="AB138" s="53" t="n">
        <v>0</v>
      </c>
      <c r="AC138" s="52" t="n">
        <v>0</v>
      </c>
      <c r="AD138" s="53" t="n">
        <v>0</v>
      </c>
      <c r="AE138" s="52" t="n">
        <v>15.99</v>
      </c>
      <c r="AF138" s="51" t="n">
        <v>0</v>
      </c>
      <c r="AG138" s="48" t="n">
        <v>0</v>
      </c>
      <c r="AH138" s="49" t="n">
        <v>0</v>
      </c>
      <c r="AI138" s="49" t="n">
        <v>39</v>
      </c>
      <c r="AJ138" s="50" t="n">
        <v>0</v>
      </c>
      <c r="AK138" s="51" t="n">
        <v>0</v>
      </c>
      <c r="AL138" s="52" t="n">
        <v>0</v>
      </c>
      <c r="AM138" s="52" t="n">
        <v>0</v>
      </c>
      <c r="AN138" s="52" t="n">
        <v>0</v>
      </c>
      <c r="AO138" s="53" t="n">
        <v>0</v>
      </c>
      <c r="AP138" s="52" t="n">
        <v>0</v>
      </c>
      <c r="AQ138" s="53" t="n">
        <v>0</v>
      </c>
      <c r="AR138" s="52" t="n">
        <v>0</v>
      </c>
      <c r="AS138" s="51" t="n">
        <v>0</v>
      </c>
      <c r="AT138" s="48" t="n">
        <v>47.97</v>
      </c>
      <c r="AU138" s="49" t="n">
        <v>3</v>
      </c>
      <c r="AV138" s="49" t="n">
        <v>57</v>
      </c>
      <c r="AW138" s="50" t="n">
        <v>0.05263157894736842</v>
      </c>
      <c r="AX138" s="51" t="n">
        <v>0</v>
      </c>
      <c r="AY138" s="52" t="n">
        <v>0</v>
      </c>
      <c r="AZ138" s="52" t="n">
        <v>0</v>
      </c>
      <c r="BA138" s="52" t="n">
        <v>0</v>
      </c>
      <c r="BB138" s="53" t="n">
        <v>0</v>
      </c>
      <c r="BC138" s="52" t="n">
        <v>0</v>
      </c>
      <c r="BD138" s="53" t="n">
        <v>0</v>
      </c>
      <c r="BE138" s="52" t="n">
        <v>15.99</v>
      </c>
      <c r="BF138" s="51" t="n">
        <v>0</v>
      </c>
    </row>
    <row r="139">
      <c r="A139">
        <f>HYPERLINK("https://www.walmart.com/ip/124908512", "124908512")</f>
        <v/>
      </c>
      <c r="B139" t="inlineStr">
        <is>
          <t>Sun Blocker Women’s Large Brim UV Protection Fishing Hat, Neck Flap Hat, Silver</t>
        </is>
      </c>
      <c r="C139" t="inlineStr">
        <is>
          <t>KC-S9202-SL</t>
        </is>
      </c>
      <c r="D139" t="inlineStr">
        <is>
          <t>Hats</t>
        </is>
      </c>
      <c r="E139" t="inlineStr">
        <is>
          <t>Sun Blocker</t>
        </is>
      </c>
      <c r="F139" t="inlineStr">
        <is>
          <t>Hats,Batch 1 - TR</t>
        </is>
      </c>
      <c r="G139" s="48" t="n">
        <v>15.99</v>
      </c>
      <c r="H139" s="49" t="n">
        <v>1</v>
      </c>
      <c r="I139" s="49" t="n">
        <v>1</v>
      </c>
      <c r="J139" s="50" t="n">
        <v>1</v>
      </c>
      <c r="K139" s="51" t="n">
        <v>0</v>
      </c>
      <c r="L139" s="52" t="n">
        <v>0</v>
      </c>
      <c r="M139" s="52" t="n">
        <v>0</v>
      </c>
      <c r="N139" s="52" t="n">
        <v>0</v>
      </c>
      <c r="O139" s="53" t="n">
        <v>0</v>
      </c>
      <c r="P139" s="52" t="n">
        <v>0</v>
      </c>
      <c r="Q139" s="53" t="n">
        <v>0</v>
      </c>
      <c r="R139" s="52" t="n">
        <v>15.99</v>
      </c>
      <c r="S139" s="51" t="n">
        <v>0</v>
      </c>
      <c r="T139" s="48" t="n">
        <v>0</v>
      </c>
      <c r="U139" s="49" t="n">
        <v>0</v>
      </c>
      <c r="V139" s="49" t="n">
        <v>1</v>
      </c>
      <c r="W139" s="50" t="n">
        <v>0</v>
      </c>
      <c r="X139" s="51" t="n">
        <v>0</v>
      </c>
      <c r="Y139" s="52" t="n">
        <v>0</v>
      </c>
      <c r="Z139" s="52" t="n">
        <v>0</v>
      </c>
      <c r="AA139" s="52" t="n">
        <v>0</v>
      </c>
      <c r="AB139" s="53" t="n">
        <v>0</v>
      </c>
      <c r="AC139" s="52" t="n">
        <v>0</v>
      </c>
      <c r="AD139" s="53" t="n">
        <v>0</v>
      </c>
      <c r="AE139" s="52" t="n">
        <v>0</v>
      </c>
      <c r="AF139" s="51" t="n">
        <v>0</v>
      </c>
      <c r="AG139" s="48" t="n">
        <v>15.99</v>
      </c>
      <c r="AH139" s="49" t="n">
        <v>1</v>
      </c>
      <c r="AI139" s="49" t="n">
        <v>0</v>
      </c>
      <c r="AJ139" s="50" t="n">
        <v>0</v>
      </c>
      <c r="AK139" s="51" t="n">
        <v>0</v>
      </c>
      <c r="AL139" s="52" t="n">
        <v>0</v>
      </c>
      <c r="AM139" s="52" t="n">
        <v>0</v>
      </c>
      <c r="AN139" s="52" t="n">
        <v>0</v>
      </c>
      <c r="AO139" s="53" t="n">
        <v>0</v>
      </c>
      <c r="AP139" s="52" t="n">
        <v>0</v>
      </c>
      <c r="AQ139" s="53" t="n">
        <v>0</v>
      </c>
      <c r="AR139" s="52" t="n">
        <v>15.99</v>
      </c>
      <c r="AS139" s="51" t="n">
        <v>0</v>
      </c>
      <c r="AT139" s="48" t="n">
        <v>0</v>
      </c>
      <c r="AU139" s="49" t="n">
        <v>0</v>
      </c>
      <c r="AV139" s="49" t="n">
        <v>0</v>
      </c>
      <c r="AW139" s="50" t="n">
        <v>0</v>
      </c>
      <c r="AX139" s="51" t="n">
        <v>0</v>
      </c>
      <c r="AY139" s="52" t="n">
        <v>0</v>
      </c>
      <c r="AZ139" s="52" t="n">
        <v>0</v>
      </c>
      <c r="BA139" s="52" t="n">
        <v>0</v>
      </c>
      <c r="BB139" s="53" t="n">
        <v>0</v>
      </c>
      <c r="BC139" s="52" t="n">
        <v>0</v>
      </c>
      <c r="BD139" s="53" t="n">
        <v>0</v>
      </c>
      <c r="BE139" s="52" t="n">
        <v>0</v>
      </c>
      <c r="BF139" s="51" t="n">
        <v>0</v>
      </c>
    </row>
    <row r="140">
      <c r="A140">
        <f>HYPERLINK("https://www.walmart.com/ip/1923398427", "1923398427")</f>
        <v/>
      </c>
      <c r="B140" t="inlineStr">
        <is>
          <t>Tirrinia Large Insulated Lunch Tote Bag for Women,Waterproof Oxford Cloth Leakproof Cooler Bag,Shopping Food Grocery Bags for Work Beach, Pink Melon</t>
        </is>
      </c>
      <c r="C140" t="inlineStr">
        <is>
          <t>1TRCB800PKMEL</t>
        </is>
      </c>
      <c r="D140" t="inlineStr">
        <is>
          <t>Reusable Lunch Bags &amp; Boxes</t>
        </is>
      </c>
      <c r="E140" t="inlineStr">
        <is>
          <t>Tirrinia</t>
        </is>
      </c>
      <c r="F140" t="inlineStr">
        <is>
          <t>Q2-Target,Batch 1 - TR</t>
        </is>
      </c>
      <c r="G140" s="48" t="n">
        <v>15.99</v>
      </c>
      <c r="H140" s="49" t="n">
        <v>1</v>
      </c>
      <c r="I140" s="49" t="n">
        <v>3</v>
      </c>
      <c r="J140" s="50" t="n">
        <v>0.3333333333333333</v>
      </c>
      <c r="K140" s="51" t="n">
        <v>0</v>
      </c>
      <c r="L140" s="52" t="n">
        <v>0</v>
      </c>
      <c r="M140" s="52" t="n">
        <v>0</v>
      </c>
      <c r="N140" s="52" t="n">
        <v>0</v>
      </c>
      <c r="O140" s="53" t="n">
        <v>0</v>
      </c>
      <c r="P140" s="52" t="n">
        <v>0</v>
      </c>
      <c r="Q140" s="53" t="n">
        <v>0</v>
      </c>
      <c r="R140" s="52" t="n">
        <v>15.99</v>
      </c>
      <c r="S140" s="51" t="n">
        <v>0</v>
      </c>
      <c r="T140" s="48" t="n">
        <v>0</v>
      </c>
      <c r="U140" s="49" t="n">
        <v>0</v>
      </c>
      <c r="V140" s="49" t="n">
        <v>0</v>
      </c>
      <c r="W140" s="50" t="n">
        <v>0</v>
      </c>
      <c r="X140" s="51" t="n">
        <v>0</v>
      </c>
      <c r="Y140" s="52" t="n">
        <v>0</v>
      </c>
      <c r="Z140" s="52" t="n">
        <v>0</v>
      </c>
      <c r="AA140" s="52" t="n">
        <v>0</v>
      </c>
      <c r="AB140" s="53" t="n">
        <v>0</v>
      </c>
      <c r="AC140" s="52" t="n">
        <v>0</v>
      </c>
      <c r="AD140" s="53" t="n">
        <v>0</v>
      </c>
      <c r="AE140" s="52" t="n">
        <v>0</v>
      </c>
      <c r="AF140" s="51" t="n">
        <v>0</v>
      </c>
      <c r="AG140" s="48" t="n">
        <v>0</v>
      </c>
      <c r="AH140" s="49" t="n">
        <v>0</v>
      </c>
      <c r="AI140" s="49" t="n">
        <v>3</v>
      </c>
      <c r="AJ140" s="50" t="n">
        <v>0</v>
      </c>
      <c r="AK140" s="51" t="n">
        <v>0</v>
      </c>
      <c r="AL140" s="52" t="n">
        <v>0</v>
      </c>
      <c r="AM140" s="52" t="n">
        <v>0</v>
      </c>
      <c r="AN140" s="52" t="n">
        <v>0</v>
      </c>
      <c r="AO140" s="53" t="n">
        <v>0</v>
      </c>
      <c r="AP140" s="52" t="n">
        <v>0</v>
      </c>
      <c r="AQ140" s="53" t="n">
        <v>0</v>
      </c>
      <c r="AR140" s="52" t="n">
        <v>0</v>
      </c>
      <c r="AS140" s="51" t="n">
        <v>0</v>
      </c>
      <c r="AT140" s="48" t="n">
        <v>0</v>
      </c>
      <c r="AU140" s="49" t="n">
        <v>0</v>
      </c>
      <c r="AV140" s="49" t="n">
        <v>2</v>
      </c>
      <c r="AW140" s="50" t="n">
        <v>0</v>
      </c>
      <c r="AX140" s="51" t="n">
        <v>0</v>
      </c>
      <c r="AY140" s="52" t="n">
        <v>0</v>
      </c>
      <c r="AZ140" s="52" t="n">
        <v>0</v>
      </c>
      <c r="BA140" s="52" t="n">
        <v>0</v>
      </c>
      <c r="BB140" s="53" t="n">
        <v>0</v>
      </c>
      <c r="BC140" s="52" t="n">
        <v>0</v>
      </c>
      <c r="BD140" s="53" t="n">
        <v>0</v>
      </c>
      <c r="BE140" s="52" t="n">
        <v>0</v>
      </c>
      <c r="BF140" s="51" t="n">
        <v>0</v>
      </c>
    </row>
    <row r="141">
      <c r="A141">
        <f>HYPERLINK("https://www.walmart.com/ip/685992579", "685992579")</f>
        <v/>
      </c>
      <c r="B141" t="inlineStr">
        <is>
          <t>Sun Hat for Women Wide Brim Summer Beach Hat with Neck Flap, UPF 50+ Fishing Hat for Hiking Beach, Purple</t>
        </is>
      </c>
      <c r="C141" t="inlineStr">
        <is>
          <t>1SLSH921PP</t>
        </is>
      </c>
      <c r="D141" t="inlineStr">
        <is>
          <t>Hats</t>
        </is>
      </c>
      <c r="E141" t="inlineStr">
        <is>
          <t>Solaris</t>
        </is>
      </c>
      <c r="F141" t="inlineStr">
        <is>
          <t>Q2-Target,Hats,Batch 1 - TR</t>
        </is>
      </c>
      <c r="G141" s="48" t="n">
        <v>15.99</v>
      </c>
      <c r="H141" s="49" t="n">
        <v>1</v>
      </c>
      <c r="I141" s="49" t="n">
        <v>25</v>
      </c>
      <c r="J141" s="50" t="n">
        <v>0.04</v>
      </c>
      <c r="K141" s="51" t="n">
        <v>54</v>
      </c>
      <c r="L141" s="52" t="n">
        <v>22.81</v>
      </c>
      <c r="M141" s="52" t="n">
        <v>33.98</v>
      </c>
      <c r="N141" s="52" t="n">
        <v>1.49</v>
      </c>
      <c r="O141" s="53" t="n">
        <v>0.0027</v>
      </c>
      <c r="P141" s="52" t="n">
        <v>0.4224074074074074</v>
      </c>
      <c r="Q141" s="53" t="n">
        <v>1.426516572858036</v>
      </c>
      <c r="R141" s="52" t="n">
        <v>15.99</v>
      </c>
      <c r="S141" s="51" t="n">
        <v>20266</v>
      </c>
      <c r="T141" s="48" t="n">
        <v>47.97</v>
      </c>
      <c r="U141" s="49" t="n">
        <v>3</v>
      </c>
      <c r="V141" s="49" t="n">
        <v>9</v>
      </c>
      <c r="W141" s="50" t="n">
        <v>0.3333333333333333</v>
      </c>
      <c r="X141" s="51" t="n">
        <v>0</v>
      </c>
      <c r="Y141" s="52" t="n">
        <v>0</v>
      </c>
      <c r="Z141" s="52" t="n">
        <v>0</v>
      </c>
      <c r="AA141" s="52" t="n">
        <v>0</v>
      </c>
      <c r="AB141" s="53" t="n">
        <v>0</v>
      </c>
      <c r="AC141" s="52" t="n">
        <v>0</v>
      </c>
      <c r="AD141" s="53" t="n">
        <v>0</v>
      </c>
      <c r="AE141" s="52" t="n">
        <v>15.99</v>
      </c>
      <c r="AF141" s="51" t="n">
        <v>0</v>
      </c>
      <c r="AG141" s="48" t="n">
        <v>15.99</v>
      </c>
      <c r="AH141" s="49" t="n">
        <v>1</v>
      </c>
      <c r="AI141" s="49" t="n">
        <v>2</v>
      </c>
      <c r="AJ141" s="50" t="n">
        <v>0.5</v>
      </c>
      <c r="AK141" s="51" t="n">
        <v>0</v>
      </c>
      <c r="AL141" s="52" t="n">
        <v>0</v>
      </c>
      <c r="AM141" s="52" t="n">
        <v>0</v>
      </c>
      <c r="AN141" s="52" t="n">
        <v>0</v>
      </c>
      <c r="AO141" s="53" t="n">
        <v>0</v>
      </c>
      <c r="AP141" s="52" t="n">
        <v>0</v>
      </c>
      <c r="AQ141" s="53" t="n">
        <v>0</v>
      </c>
      <c r="AR141" s="52" t="n">
        <v>15.99</v>
      </c>
      <c r="AS141" s="51" t="n">
        <v>0</v>
      </c>
      <c r="AT141" s="48" t="n">
        <v>0</v>
      </c>
      <c r="AU141" s="49" t="n">
        <v>0</v>
      </c>
      <c r="AV141" s="49" t="n">
        <v>3</v>
      </c>
      <c r="AW141" s="50" t="n">
        <v>0</v>
      </c>
      <c r="AX141" s="51" t="n">
        <v>0</v>
      </c>
      <c r="AY141" s="52" t="n">
        <v>0</v>
      </c>
      <c r="AZ141" s="52" t="n">
        <v>0</v>
      </c>
      <c r="BA141" s="52" t="n">
        <v>0</v>
      </c>
      <c r="BB141" s="53" t="n">
        <v>0</v>
      </c>
      <c r="BC141" s="52" t="n">
        <v>0</v>
      </c>
      <c r="BD141" s="53" t="n">
        <v>0</v>
      </c>
      <c r="BE141" s="52" t="n">
        <v>0</v>
      </c>
      <c r="BF141" s="51" t="n">
        <v>0</v>
      </c>
    </row>
    <row r="142">
      <c r="A142">
        <f>HYPERLINK("https://www.walmart.com/ip/799046318", "799046318")</f>
        <v/>
      </c>
      <c r="B142" t="inlineStr">
        <is>
          <t>Sun Blocker Women's Sun Hat  Wide Brim Flap Cap with Floral Ribbon for Beach Gardening Hiking Fishing Safari UPF 50+ White</t>
        </is>
      </c>
      <c r="C142" t="inlineStr">
        <is>
          <t>KC-S9202-WT</t>
        </is>
      </c>
      <c r="D142" t="inlineStr">
        <is>
          <t>Hats</t>
        </is>
      </c>
      <c r="E142" t="inlineStr">
        <is>
          <t>Sun Blocker</t>
        </is>
      </c>
      <c r="F142" t="inlineStr">
        <is>
          <t>Hats,Batch 1 - TR</t>
        </is>
      </c>
      <c r="G142" s="48" t="n">
        <v>15.99</v>
      </c>
      <c r="H142" s="49" t="n">
        <v>1</v>
      </c>
      <c r="I142" s="49" t="n">
        <v>3</v>
      </c>
      <c r="J142" s="50" t="n">
        <v>0.3333333333333333</v>
      </c>
      <c r="K142" s="51" t="n">
        <v>0</v>
      </c>
      <c r="L142" s="52" t="n">
        <v>0</v>
      </c>
      <c r="M142" s="52" t="n">
        <v>0</v>
      </c>
      <c r="N142" s="52" t="n">
        <v>0</v>
      </c>
      <c r="O142" s="53" t="n">
        <v>0</v>
      </c>
      <c r="P142" s="52" t="n">
        <v>0</v>
      </c>
      <c r="Q142" s="53" t="n">
        <v>0</v>
      </c>
      <c r="R142" s="52" t="n">
        <v>15.99</v>
      </c>
      <c r="S142" s="51" t="n">
        <v>0</v>
      </c>
      <c r="T142" s="48" t="n">
        <v>0</v>
      </c>
      <c r="U142" s="49" t="n">
        <v>0</v>
      </c>
      <c r="V142" s="49" t="n">
        <v>2</v>
      </c>
      <c r="W142" s="50" t="n">
        <v>0</v>
      </c>
      <c r="X142" s="51" t="n">
        <v>0</v>
      </c>
      <c r="Y142" s="52" t="n">
        <v>0</v>
      </c>
      <c r="Z142" s="52" t="n">
        <v>0</v>
      </c>
      <c r="AA142" s="52" t="n">
        <v>0</v>
      </c>
      <c r="AB142" s="53" t="n">
        <v>0</v>
      </c>
      <c r="AC142" s="52" t="n">
        <v>0</v>
      </c>
      <c r="AD142" s="53" t="n">
        <v>0</v>
      </c>
      <c r="AE142" s="52" t="n">
        <v>0</v>
      </c>
      <c r="AF142" s="51" t="n">
        <v>0</v>
      </c>
      <c r="AG142" s="48" t="n">
        <v>0</v>
      </c>
      <c r="AH142" s="49" t="n">
        <v>0</v>
      </c>
      <c r="AI142" s="49" t="n">
        <v>0</v>
      </c>
      <c r="AJ142" s="50" t="n">
        <v>0</v>
      </c>
      <c r="AK142" s="51" t="n">
        <v>0</v>
      </c>
      <c r="AL142" s="52" t="n">
        <v>0</v>
      </c>
      <c r="AM142" s="52" t="n">
        <v>0</v>
      </c>
      <c r="AN142" s="52" t="n">
        <v>0</v>
      </c>
      <c r="AO142" s="53" t="n">
        <v>0</v>
      </c>
      <c r="AP142" s="52" t="n">
        <v>0</v>
      </c>
      <c r="AQ142" s="53" t="n">
        <v>0</v>
      </c>
      <c r="AR142" s="52" t="n">
        <v>0</v>
      </c>
      <c r="AS142" s="51" t="n">
        <v>0</v>
      </c>
      <c r="AT142" s="48" t="n">
        <v>0</v>
      </c>
      <c r="AU142" s="49" t="n">
        <v>0</v>
      </c>
      <c r="AV142" s="49" t="n">
        <v>0</v>
      </c>
      <c r="AW142" s="50" t="n">
        <v>0</v>
      </c>
      <c r="AX142" s="51" t="n">
        <v>0</v>
      </c>
      <c r="AY142" s="52" t="n">
        <v>0</v>
      </c>
      <c r="AZ142" s="52" t="n">
        <v>0</v>
      </c>
      <c r="BA142" s="52" t="n">
        <v>0</v>
      </c>
      <c r="BB142" s="53" t="n">
        <v>0</v>
      </c>
      <c r="BC142" s="52" t="n">
        <v>0</v>
      </c>
      <c r="BD142" s="53" t="n">
        <v>0</v>
      </c>
      <c r="BE142" s="52" t="n">
        <v>0</v>
      </c>
      <c r="BF142" s="51" t="n">
        <v>0</v>
      </c>
    </row>
    <row r="143">
      <c r="A143">
        <f>HYPERLINK("https://www.walmart.com/ip/1358389098", "1358389098")</f>
        <v/>
      </c>
      <c r="B143" t="inlineStr">
        <is>
          <t>Sun Blocker Women's Sun Hat  Wide Brim Flap Cap with Floral Ribbon for Beach Gardening Hiking Fishing Safari UPF 50+ Purple</t>
        </is>
      </c>
      <c r="C143" t="inlineStr">
        <is>
          <t>KC-S9202-PP</t>
        </is>
      </c>
      <c r="D143" t="inlineStr">
        <is>
          <t>Hats</t>
        </is>
      </c>
      <c r="E143" t="inlineStr">
        <is>
          <t>Sun Blocker</t>
        </is>
      </c>
      <c r="G143" s="48" t="n">
        <v>15.99</v>
      </c>
      <c r="H143" s="49" t="n">
        <v>1</v>
      </c>
      <c r="I143" s="49" t="n">
        <v>4</v>
      </c>
      <c r="J143" s="50" t="n">
        <v>0.25</v>
      </c>
      <c r="K143" s="51" t="n">
        <v>0</v>
      </c>
      <c r="L143" s="52" t="n">
        <v>0</v>
      </c>
      <c r="M143" s="52" t="n">
        <v>0</v>
      </c>
      <c r="N143" s="52" t="n">
        <v>0</v>
      </c>
      <c r="O143" s="53" t="n">
        <v>0</v>
      </c>
      <c r="P143" s="52" t="n">
        <v>0</v>
      </c>
      <c r="Q143" s="53" t="n">
        <v>0</v>
      </c>
      <c r="R143" s="52" t="n">
        <v>15.99</v>
      </c>
      <c r="S143" s="51" t="n">
        <v>0</v>
      </c>
      <c r="T143" s="48" t="n">
        <v>31.98</v>
      </c>
      <c r="U143" s="49" t="n">
        <v>2</v>
      </c>
      <c r="V143" s="49" t="n">
        <v>2</v>
      </c>
      <c r="W143" s="50" t="n">
        <v>1</v>
      </c>
      <c r="X143" s="51" t="n">
        <v>0</v>
      </c>
      <c r="Y143" s="52" t="n">
        <v>0</v>
      </c>
      <c r="Z143" s="52" t="n">
        <v>0</v>
      </c>
      <c r="AA143" s="52" t="n">
        <v>0</v>
      </c>
      <c r="AB143" s="53" t="n">
        <v>0</v>
      </c>
      <c r="AC143" s="52" t="n">
        <v>0</v>
      </c>
      <c r="AD143" s="53" t="n">
        <v>0</v>
      </c>
      <c r="AE143" s="52" t="n">
        <v>15.99</v>
      </c>
      <c r="AF143" s="51" t="n">
        <v>0</v>
      </c>
      <c r="AG143" s="48" t="n">
        <v>0</v>
      </c>
      <c r="AH143" s="49" t="n">
        <v>0</v>
      </c>
      <c r="AI143" s="49" t="n">
        <v>0</v>
      </c>
      <c r="AJ143" s="50" t="n">
        <v>0</v>
      </c>
      <c r="AK143" s="51" t="n">
        <v>0</v>
      </c>
      <c r="AL143" s="52" t="n">
        <v>0</v>
      </c>
      <c r="AM143" s="52" t="n">
        <v>0</v>
      </c>
      <c r="AN143" s="52" t="n">
        <v>0</v>
      </c>
      <c r="AO143" s="53" t="n">
        <v>0</v>
      </c>
      <c r="AP143" s="52" t="n">
        <v>0</v>
      </c>
      <c r="AQ143" s="53" t="n">
        <v>0</v>
      </c>
      <c r="AR143" s="52" t="n">
        <v>0</v>
      </c>
      <c r="AS143" s="51" t="n">
        <v>0</v>
      </c>
      <c r="AT143" s="48" t="n">
        <v>15.99</v>
      </c>
      <c r="AU143" s="49" t="n">
        <v>1</v>
      </c>
      <c r="AV143" s="49" t="n">
        <v>0</v>
      </c>
      <c r="AW143" s="50" t="n">
        <v>0</v>
      </c>
      <c r="AX143" s="51" t="n">
        <v>0</v>
      </c>
      <c r="AY143" s="52" t="n">
        <v>0</v>
      </c>
      <c r="AZ143" s="52" t="n">
        <v>0</v>
      </c>
      <c r="BA143" s="52" t="n">
        <v>0</v>
      </c>
      <c r="BB143" s="53" t="n">
        <v>0</v>
      </c>
      <c r="BC143" s="52" t="n">
        <v>0</v>
      </c>
      <c r="BD143" s="53" t="n">
        <v>0</v>
      </c>
      <c r="BE143" s="52" t="n">
        <v>15.99</v>
      </c>
      <c r="BF143" s="51" t="n">
        <v>0</v>
      </c>
    </row>
    <row r="144">
      <c r="A144">
        <f>HYPERLINK("https://www.walmart.com/ip/945087727", "945087727")</f>
        <v/>
      </c>
      <c r="B144" t="inlineStr">
        <is>
          <t>Tirrinia Blaze Orange Hunting Neon Basics Cap Low Profile Tangerine Safety Baseball Hat with Adjustable Closure</t>
        </is>
      </c>
      <c r="C144" t="inlineStr">
        <is>
          <t>1TRHT8120OR</t>
        </is>
      </c>
      <c r="D144" t="inlineStr">
        <is>
          <t>Hats</t>
        </is>
      </c>
      <c r="E144" t="inlineStr">
        <is>
          <t>Tirrinia</t>
        </is>
      </c>
      <c r="F144" t="inlineStr">
        <is>
          <t>Optimized,WFS,Hats,WFS Item</t>
        </is>
      </c>
      <c r="G144" s="48" t="n">
        <v>15.98</v>
      </c>
      <c r="H144" s="49" t="n">
        <v>1</v>
      </c>
      <c r="I144" s="49" t="n">
        <v>0</v>
      </c>
      <c r="J144" s="50" t="n">
        <v>0</v>
      </c>
      <c r="K144" s="51" t="n">
        <v>5</v>
      </c>
      <c r="L144" s="52" t="n">
        <v>1.55</v>
      </c>
      <c r="M144" s="52" t="n">
        <v>15.98</v>
      </c>
      <c r="N144" s="52" t="n">
        <v>10.31</v>
      </c>
      <c r="O144" s="53" t="n">
        <v>0.0081</v>
      </c>
      <c r="P144" s="52" t="n">
        <v>0.3099999999999999</v>
      </c>
      <c r="Q144" s="53" t="n">
        <v>0.09699624530663328</v>
      </c>
      <c r="R144" s="52" t="n">
        <v>15.98</v>
      </c>
      <c r="S144" s="51" t="n">
        <v>615</v>
      </c>
      <c r="T144" s="48" t="n">
        <v>0</v>
      </c>
      <c r="U144" s="49" t="n">
        <v>0</v>
      </c>
      <c r="V144" s="49" t="n">
        <v>0</v>
      </c>
      <c r="W144" s="50" t="n">
        <v>0</v>
      </c>
      <c r="X144" s="51" t="n">
        <v>6</v>
      </c>
      <c r="Y144" s="52" t="n">
        <v>1.86</v>
      </c>
      <c r="Z144" s="52" t="n">
        <v>0</v>
      </c>
      <c r="AA144" s="52" t="n">
        <v>0</v>
      </c>
      <c r="AB144" s="53" t="n">
        <v>0.0059</v>
      </c>
      <c r="AC144" s="52" t="n">
        <v>0.31</v>
      </c>
      <c r="AD144" s="53" t="n">
        <v>0</v>
      </c>
      <c r="AE144" s="52" t="n">
        <v>0</v>
      </c>
      <c r="AF144" s="51" t="n">
        <v>1023</v>
      </c>
      <c r="AG144" s="48" t="n">
        <v>20.28</v>
      </c>
      <c r="AH144" s="49" t="n">
        <v>1</v>
      </c>
      <c r="AI144" s="49" t="n">
        <v>0</v>
      </c>
      <c r="AJ144" s="50" t="n">
        <v>0</v>
      </c>
      <c r="AK144" s="51" t="n">
        <v>12</v>
      </c>
      <c r="AL144" s="52" t="n">
        <v>3.48</v>
      </c>
      <c r="AM144" s="52" t="n">
        <v>15.98</v>
      </c>
      <c r="AN144" s="52" t="n">
        <v>4.59</v>
      </c>
      <c r="AO144" s="53" t="n">
        <v>0.0107</v>
      </c>
      <c r="AP144" s="52" t="n">
        <v>0.29</v>
      </c>
      <c r="AQ144" s="53" t="n">
        <v>0.1715976331360947</v>
      </c>
      <c r="AR144" s="52" t="n">
        <v>20.28</v>
      </c>
      <c r="AS144" s="51" t="n">
        <v>1118</v>
      </c>
      <c r="AT144" s="48" t="n">
        <v>0</v>
      </c>
      <c r="AU144" s="49" t="n">
        <v>0</v>
      </c>
      <c r="AV144" s="49" t="n">
        <v>0</v>
      </c>
      <c r="AW144" s="50" t="n">
        <v>0</v>
      </c>
      <c r="AX144" s="51" t="n">
        <v>9</v>
      </c>
      <c r="AY144" s="52" t="n">
        <v>2.51</v>
      </c>
      <c r="AZ144" s="52" t="n">
        <v>0</v>
      </c>
      <c r="BA144" s="52" t="n">
        <v>0</v>
      </c>
      <c r="BB144" s="53" t="n">
        <v>0.0102</v>
      </c>
      <c r="BC144" s="52" t="n">
        <v>0.2788888888888889</v>
      </c>
      <c r="BD144" s="53" t="n">
        <v>0</v>
      </c>
      <c r="BE144" s="52" t="n">
        <v>0</v>
      </c>
      <c r="BF144" s="51" t="n">
        <v>880</v>
      </c>
    </row>
    <row r="145">
      <c r="A145">
        <f>HYPERLINK("https://www.walmart.com/ip/328068898", "328068898")</f>
        <v/>
      </c>
      <c r="B145" t="inlineStr">
        <is>
          <t>Insulated Expandable Lunch Bags Tote Thermal Cooler Leak Proof Travel Container Food Case for Adults Adjustable Shoulder</t>
        </is>
      </c>
      <c r="C145" t="inlineStr">
        <is>
          <t>1KTLB110BL</t>
        </is>
      </c>
      <c r="D145" t="inlineStr">
        <is>
          <t>Reusable Lunch Bags &amp; Boxes</t>
        </is>
      </c>
      <c r="E145" t="inlineStr">
        <is>
          <t>Kato</t>
        </is>
      </c>
      <c r="F145" t="inlineStr">
        <is>
          <t>Lunch Bag,SEM</t>
        </is>
      </c>
      <c r="G145" s="48" t="n">
        <v>14.99</v>
      </c>
      <c r="H145" s="49" t="n">
        <v>1</v>
      </c>
      <c r="I145" s="49" t="n">
        <v>0</v>
      </c>
      <c r="J145" s="50" t="n">
        <v>0</v>
      </c>
      <c r="K145" s="51" t="n">
        <v>0</v>
      </c>
      <c r="L145" s="52" t="n">
        <v>0</v>
      </c>
      <c r="M145" s="52" t="n">
        <v>0</v>
      </c>
      <c r="N145" s="52" t="n">
        <v>0</v>
      </c>
      <c r="O145" s="53" t="n">
        <v>0</v>
      </c>
      <c r="P145" s="52" t="n">
        <v>0</v>
      </c>
      <c r="Q145" s="53" t="n">
        <v>0</v>
      </c>
      <c r="R145" s="52" t="n">
        <v>14.99</v>
      </c>
      <c r="S145" s="51" t="n">
        <v>0</v>
      </c>
      <c r="T145" s="48" t="n">
        <v>0</v>
      </c>
      <c r="U145" s="49" t="n">
        <v>0</v>
      </c>
      <c r="V145" s="49" t="n">
        <v>0</v>
      </c>
      <c r="W145" s="50" t="n">
        <v>0</v>
      </c>
      <c r="X145" s="51" t="n">
        <v>0</v>
      </c>
      <c r="Y145" s="52" t="n">
        <v>0</v>
      </c>
      <c r="Z145" s="52" t="n">
        <v>0</v>
      </c>
      <c r="AA145" s="52" t="n">
        <v>0</v>
      </c>
      <c r="AB145" s="53" t="n">
        <v>0</v>
      </c>
      <c r="AC145" s="52" t="n">
        <v>0</v>
      </c>
      <c r="AD145" s="53" t="n">
        <v>0</v>
      </c>
      <c r="AE145" s="52" t="n">
        <v>0</v>
      </c>
      <c r="AF145" s="51" t="n">
        <v>0</v>
      </c>
      <c r="AG145" s="48" t="n">
        <v>0</v>
      </c>
      <c r="AH145" s="49" t="n">
        <v>0</v>
      </c>
      <c r="AI145" s="49" t="n">
        <v>0</v>
      </c>
      <c r="AJ145" s="50" t="n">
        <v>0</v>
      </c>
      <c r="AK145" s="51" t="n">
        <v>0</v>
      </c>
      <c r="AL145" s="52" t="n">
        <v>0</v>
      </c>
      <c r="AM145" s="52" t="n">
        <v>0</v>
      </c>
      <c r="AN145" s="52" t="n">
        <v>0</v>
      </c>
      <c r="AO145" s="53" t="n">
        <v>0</v>
      </c>
      <c r="AP145" s="52" t="n">
        <v>0</v>
      </c>
      <c r="AQ145" s="53" t="n">
        <v>0</v>
      </c>
      <c r="AR145" s="52" t="n">
        <v>0</v>
      </c>
      <c r="AS145" s="51" t="n">
        <v>0</v>
      </c>
      <c r="AT145" s="48" t="n">
        <v>0</v>
      </c>
      <c r="AU145" s="49" t="n">
        <v>0</v>
      </c>
      <c r="AV145" s="49" t="n">
        <v>0</v>
      </c>
      <c r="AW145" s="50" t="n">
        <v>0</v>
      </c>
      <c r="AX145" s="51" t="n">
        <v>0</v>
      </c>
      <c r="AY145" s="52" t="n">
        <v>0</v>
      </c>
      <c r="AZ145" s="52" t="n">
        <v>0</v>
      </c>
      <c r="BA145" s="52" t="n">
        <v>0</v>
      </c>
      <c r="BB145" s="53" t="n">
        <v>0</v>
      </c>
      <c r="BC145" s="52" t="n">
        <v>0</v>
      </c>
      <c r="BD145" s="53" t="n">
        <v>0</v>
      </c>
      <c r="BE145" s="52" t="n">
        <v>0</v>
      </c>
      <c r="BF145" s="51" t="n">
        <v>0</v>
      </c>
    </row>
    <row r="146">
      <c r="A146">
        <f>HYPERLINK("https://www.walmart.com/ip/1899414496", "1899414496")</f>
        <v/>
      </c>
      <c r="B146" t="inlineStr">
        <is>
          <t>Tirrinia Large Insulated Lunch Tote Bag for Women,Waterproof Oxford Cloth Leakproof Cooler Bag,Shopping Food Grocery Bags for Work Beach, Blue Leaf</t>
        </is>
      </c>
      <c r="C146" t="inlineStr">
        <is>
          <t>1TRCB800AQLEA</t>
        </is>
      </c>
      <c r="D146" t="inlineStr">
        <is>
          <t>Reusable Lunch Bags &amp; Boxes</t>
        </is>
      </c>
      <c r="E146" t="inlineStr">
        <is>
          <t>Tirrinia</t>
        </is>
      </c>
      <c r="F146" t="inlineStr">
        <is>
          <t>SEM,Batch 1 - TR</t>
        </is>
      </c>
      <c r="G146" s="48" t="n">
        <v>14.99</v>
      </c>
      <c r="H146" s="49" t="n">
        <v>1</v>
      </c>
      <c r="I146" s="49" t="n">
        <v>0</v>
      </c>
      <c r="J146" s="50" t="n">
        <v>0</v>
      </c>
      <c r="K146" s="51" t="n">
        <v>0</v>
      </c>
      <c r="L146" s="52" t="n">
        <v>0</v>
      </c>
      <c r="M146" s="52" t="n">
        <v>0</v>
      </c>
      <c r="N146" s="52" t="n">
        <v>0</v>
      </c>
      <c r="O146" s="53" t="n">
        <v>0</v>
      </c>
      <c r="P146" s="52" t="n">
        <v>0</v>
      </c>
      <c r="Q146" s="53" t="n">
        <v>0</v>
      </c>
      <c r="R146" s="52" t="n">
        <v>14.99</v>
      </c>
      <c r="S146" s="51" t="n">
        <v>0</v>
      </c>
      <c r="T146" s="48" t="n">
        <v>0</v>
      </c>
      <c r="U146" s="49" t="n">
        <v>0</v>
      </c>
      <c r="V146" s="49" t="n">
        <v>0</v>
      </c>
      <c r="W146" s="50" t="n">
        <v>0</v>
      </c>
      <c r="X146" s="51" t="n">
        <v>0</v>
      </c>
      <c r="Y146" s="52" t="n">
        <v>0</v>
      </c>
      <c r="Z146" s="52" t="n">
        <v>0</v>
      </c>
      <c r="AA146" s="52" t="n">
        <v>0</v>
      </c>
      <c r="AB146" s="53" t="n">
        <v>0</v>
      </c>
      <c r="AC146" s="52" t="n">
        <v>0</v>
      </c>
      <c r="AD146" s="53" t="n">
        <v>0</v>
      </c>
      <c r="AE146" s="52" t="n">
        <v>0</v>
      </c>
      <c r="AF146" s="51" t="n">
        <v>0</v>
      </c>
      <c r="AG146" s="48" t="n">
        <v>0</v>
      </c>
      <c r="AH146" s="49" t="n">
        <v>0</v>
      </c>
      <c r="AI146" s="49" t="n">
        <v>0</v>
      </c>
      <c r="AJ146" s="50" t="n">
        <v>0</v>
      </c>
      <c r="AK146" s="51" t="n">
        <v>0</v>
      </c>
      <c r="AL146" s="52" t="n">
        <v>0</v>
      </c>
      <c r="AM146" s="52" t="n">
        <v>0</v>
      </c>
      <c r="AN146" s="52" t="n">
        <v>0</v>
      </c>
      <c r="AO146" s="53" t="n">
        <v>0</v>
      </c>
      <c r="AP146" s="52" t="n">
        <v>0</v>
      </c>
      <c r="AQ146" s="53" t="n">
        <v>0</v>
      </c>
      <c r="AR146" s="52" t="n">
        <v>0</v>
      </c>
      <c r="AS146" s="51" t="n">
        <v>0</v>
      </c>
      <c r="AT146" s="48" t="n">
        <v>0</v>
      </c>
      <c r="AU146" s="49" t="n">
        <v>0</v>
      </c>
      <c r="AV146" s="49" t="n">
        <v>0</v>
      </c>
      <c r="AW146" s="50" t="n">
        <v>0</v>
      </c>
      <c r="AX146" s="51" t="n">
        <v>0</v>
      </c>
      <c r="AY146" s="52" t="n">
        <v>0</v>
      </c>
      <c r="AZ146" s="52" t="n">
        <v>0</v>
      </c>
      <c r="BA146" s="52" t="n">
        <v>0</v>
      </c>
      <c r="BB146" s="53" t="n">
        <v>0</v>
      </c>
      <c r="BC146" s="52" t="n">
        <v>0</v>
      </c>
      <c r="BD146" s="53" t="n">
        <v>0</v>
      </c>
      <c r="BE146" s="52" t="n">
        <v>0</v>
      </c>
      <c r="BF146" s="51" t="n">
        <v>0</v>
      </c>
    </row>
    <row r="147">
      <c r="A147">
        <f>HYPERLINK("https://www.walmart.com/ip/923196431", "923196431")</f>
        <v/>
      </c>
      <c r="B147" t="inlineStr">
        <is>
          <t>Tirrinia Insulated Lunch Bag for Women and Men, Leakproof Thermal Reusable Lunch Box, Tall Meal Prep Lunch Cooler Tote, Large, 10L, Dark Blue, 10” x 8.5” x 9.3”.</t>
        </is>
      </c>
      <c r="C147" t="inlineStr">
        <is>
          <t>1TRLB701DBL-T</t>
        </is>
      </c>
      <c r="D147" t="inlineStr">
        <is>
          <t>Reusable Lunch Bags &amp; Boxes</t>
        </is>
      </c>
      <c r="E147" t="inlineStr">
        <is>
          <t>Tirrinia</t>
        </is>
      </c>
      <c r="F147" t="inlineStr">
        <is>
          <t>Q2-Target,Brand Camp VD,Lunch Bag,WFS,Lunch Bags,SEM,WFS Item</t>
        </is>
      </c>
      <c r="G147" s="48" t="n">
        <v>13.99</v>
      </c>
      <c r="H147" s="49" t="n">
        <v>1</v>
      </c>
      <c r="I147" s="49" t="n">
        <v>4</v>
      </c>
      <c r="J147" s="50" t="n">
        <v>0.25</v>
      </c>
      <c r="K147" s="51" t="n">
        <v>0</v>
      </c>
      <c r="L147" s="52" t="n">
        <v>0</v>
      </c>
      <c r="M147" s="52" t="n">
        <v>0</v>
      </c>
      <c r="N147" s="52" t="n">
        <v>0</v>
      </c>
      <c r="O147" s="53" t="n">
        <v>0</v>
      </c>
      <c r="P147" s="52" t="n">
        <v>0</v>
      </c>
      <c r="Q147" s="53" t="n">
        <v>0</v>
      </c>
      <c r="R147" s="52" t="n">
        <v>13.99</v>
      </c>
      <c r="S147" s="51" t="n">
        <v>0</v>
      </c>
      <c r="T147" s="48" t="n">
        <v>167.88</v>
      </c>
      <c r="U147" s="49" t="n">
        <v>12</v>
      </c>
      <c r="V147" s="49" t="n">
        <v>4</v>
      </c>
      <c r="W147" s="50" t="n">
        <v>3</v>
      </c>
      <c r="X147" s="51" t="n">
        <v>0</v>
      </c>
      <c r="Y147" s="52" t="n">
        <v>0</v>
      </c>
      <c r="Z147" s="52" t="n">
        <v>0</v>
      </c>
      <c r="AA147" s="52" t="n">
        <v>0</v>
      </c>
      <c r="AB147" s="53" t="n">
        <v>0</v>
      </c>
      <c r="AC147" s="52" t="n">
        <v>0</v>
      </c>
      <c r="AD147" s="53" t="n">
        <v>0</v>
      </c>
      <c r="AE147" s="52" t="n">
        <v>13.99</v>
      </c>
      <c r="AF147" s="51" t="n">
        <v>0</v>
      </c>
      <c r="AG147" s="48" t="n">
        <v>13.99</v>
      </c>
      <c r="AH147" s="49" t="n">
        <v>1</v>
      </c>
      <c r="AI147" s="49" t="n">
        <v>0</v>
      </c>
      <c r="AJ147" s="50" t="n">
        <v>0</v>
      </c>
      <c r="AK147" s="51" t="n">
        <v>0</v>
      </c>
      <c r="AL147" s="52" t="n">
        <v>0</v>
      </c>
      <c r="AM147" s="52" t="n">
        <v>0</v>
      </c>
      <c r="AN147" s="52" t="n">
        <v>0</v>
      </c>
      <c r="AO147" s="53" t="n">
        <v>0</v>
      </c>
      <c r="AP147" s="52" t="n">
        <v>0</v>
      </c>
      <c r="AQ147" s="53" t="n">
        <v>0</v>
      </c>
      <c r="AR147" s="52" t="n">
        <v>13.99</v>
      </c>
      <c r="AS147" s="51" t="n">
        <v>0</v>
      </c>
      <c r="AT147" s="48" t="n">
        <v>13.99</v>
      </c>
      <c r="AU147" s="49" t="n">
        <v>1</v>
      </c>
      <c r="AV147" s="49" t="n">
        <v>0</v>
      </c>
      <c r="AW147" s="50" t="n">
        <v>0</v>
      </c>
      <c r="AX147" s="51" t="n">
        <v>0</v>
      </c>
      <c r="AY147" s="52" t="n">
        <v>0</v>
      </c>
      <c r="AZ147" s="52" t="n">
        <v>0</v>
      </c>
      <c r="BA147" s="52" t="n">
        <v>0</v>
      </c>
      <c r="BB147" s="53" t="n">
        <v>0</v>
      </c>
      <c r="BC147" s="52" t="n">
        <v>0</v>
      </c>
      <c r="BD147" s="53" t="n">
        <v>0</v>
      </c>
      <c r="BE147" s="52" t="n">
        <v>13.99</v>
      </c>
      <c r="BF147" s="51" t="n">
        <v>0</v>
      </c>
    </row>
    <row r="148">
      <c r="A148">
        <f>HYPERLINK("https://www.walmart.com/ip/1722087404", "1722087404")</f>
        <v/>
      </c>
      <c r="B148" t="inlineStr">
        <is>
          <t>Tirrinia Insulated Lunch Bag for Women Men, Leakproof Thermal Reusable Lunch Box for Adult &amp; Kids, Lunch Cooler Tote for Office Work Back to School,Large size, Camo</t>
        </is>
      </c>
      <c r="C148" t="inlineStr">
        <is>
          <t>1TRLB701CAMO-T</t>
        </is>
      </c>
      <c r="D148" t="inlineStr">
        <is>
          <t>Reusable Lunch Bags &amp; Boxes</t>
        </is>
      </c>
      <c r="E148" t="inlineStr">
        <is>
          <t>Tirrinia</t>
        </is>
      </c>
      <c r="F148" t="inlineStr">
        <is>
          <t>Q2-Target,Brand Camp VD,Lunch Bags,Batch 1 - TR</t>
        </is>
      </c>
      <c r="G148" s="48" t="n">
        <v>13.99</v>
      </c>
      <c r="H148" s="49" t="n">
        <v>1</v>
      </c>
      <c r="I148" s="49" t="n">
        <v>10</v>
      </c>
      <c r="J148" s="50" t="n">
        <v>0.1</v>
      </c>
      <c r="K148" s="51" t="n">
        <v>0</v>
      </c>
      <c r="L148" s="52" t="n">
        <v>0</v>
      </c>
      <c r="M148" s="52" t="n">
        <v>0</v>
      </c>
      <c r="N148" s="52" t="n">
        <v>0</v>
      </c>
      <c r="O148" s="53" t="n">
        <v>0</v>
      </c>
      <c r="P148" s="52" t="n">
        <v>0</v>
      </c>
      <c r="Q148" s="53" t="n">
        <v>0</v>
      </c>
      <c r="R148" s="52" t="n">
        <v>13.99</v>
      </c>
      <c r="S148" s="51" t="n">
        <v>0</v>
      </c>
      <c r="T148" s="48" t="n">
        <v>18.99</v>
      </c>
      <c r="U148" s="49" t="n">
        <v>1</v>
      </c>
      <c r="V148" s="49" t="n">
        <v>12</v>
      </c>
      <c r="W148" s="50" t="n">
        <v>0.08333333333333333</v>
      </c>
      <c r="X148" s="51" t="n">
        <v>0</v>
      </c>
      <c r="Y148" s="52" t="n">
        <v>0</v>
      </c>
      <c r="Z148" s="52" t="n">
        <v>0</v>
      </c>
      <c r="AA148" s="52" t="n">
        <v>0</v>
      </c>
      <c r="AB148" s="53" t="n">
        <v>0</v>
      </c>
      <c r="AC148" s="52" t="n">
        <v>0</v>
      </c>
      <c r="AD148" s="53" t="n">
        <v>0</v>
      </c>
      <c r="AE148" s="52" t="n">
        <v>18.99</v>
      </c>
      <c r="AF148" s="51" t="n">
        <v>0</v>
      </c>
      <c r="AG148" s="48" t="n">
        <v>0</v>
      </c>
      <c r="AH148" s="49" t="n">
        <v>0</v>
      </c>
      <c r="AI148" s="49" t="n">
        <v>4</v>
      </c>
      <c r="AJ148" s="50" t="n">
        <v>0</v>
      </c>
      <c r="AK148" s="51" t="n">
        <v>0</v>
      </c>
      <c r="AL148" s="52" t="n">
        <v>0</v>
      </c>
      <c r="AM148" s="52" t="n">
        <v>0</v>
      </c>
      <c r="AN148" s="52" t="n">
        <v>0</v>
      </c>
      <c r="AO148" s="53" t="n">
        <v>0</v>
      </c>
      <c r="AP148" s="52" t="n">
        <v>0</v>
      </c>
      <c r="AQ148" s="53" t="n">
        <v>0</v>
      </c>
      <c r="AR148" s="52" t="n">
        <v>0</v>
      </c>
      <c r="AS148" s="51" t="n">
        <v>0</v>
      </c>
      <c r="AT148" s="48" t="n">
        <v>18.99</v>
      </c>
      <c r="AU148" s="49" t="n">
        <v>1</v>
      </c>
      <c r="AV148" s="49" t="n">
        <v>23</v>
      </c>
      <c r="AW148" s="50" t="n">
        <v>0.04347826086956522</v>
      </c>
      <c r="AX148" s="51" t="n">
        <v>0</v>
      </c>
      <c r="AY148" s="52" t="n">
        <v>0</v>
      </c>
      <c r="AZ148" s="52" t="n">
        <v>0</v>
      </c>
      <c r="BA148" s="52" t="n">
        <v>0</v>
      </c>
      <c r="BB148" s="53" t="n">
        <v>0</v>
      </c>
      <c r="BC148" s="52" t="n">
        <v>0</v>
      </c>
      <c r="BD148" s="53" t="n">
        <v>0</v>
      </c>
      <c r="BE148" s="52" t="n">
        <v>18.99</v>
      </c>
      <c r="BF148" s="51" t="n">
        <v>0</v>
      </c>
    </row>
    <row r="149">
      <c r="A149">
        <f>HYPERLINK("https://www.walmart.com/ip/405691402", "405691402")</f>
        <v/>
      </c>
      <c r="B149" t="inlineStr">
        <is>
          <t>Tirrinia Insulated Single Bottle Wine Gift Bags for Travel and Picnic, Padded Champagne Carrying Wine Bags for gifts, Blue Stripe Wine Bag</t>
        </is>
      </c>
      <c r="C149" t="inlineStr">
        <is>
          <t>1TRWB101STR</t>
        </is>
      </c>
      <c r="D149" t="inlineStr">
        <is>
          <t>Wine Totes, Bags &amp; Backpacks</t>
        </is>
      </c>
      <c r="E149" t="inlineStr">
        <is>
          <t>Tirrinia</t>
        </is>
      </c>
      <c r="F149" t="inlineStr">
        <is>
          <t>Wine,Wine Bag Camp,Christmas,WFS,Wine WFS,Valentine,SEM,WFS Item</t>
        </is>
      </c>
      <c r="G149" s="48" t="n">
        <v>13.99</v>
      </c>
      <c r="H149" s="49" t="n">
        <v>1</v>
      </c>
      <c r="I149" s="49" t="n">
        <v>0</v>
      </c>
      <c r="J149" s="50" t="n">
        <v>0</v>
      </c>
      <c r="K149" s="51" t="n">
        <v>0</v>
      </c>
      <c r="L149" s="52" t="n">
        <v>0</v>
      </c>
      <c r="M149" s="52" t="n">
        <v>0</v>
      </c>
      <c r="N149" s="52" t="n">
        <v>0</v>
      </c>
      <c r="O149" s="53" t="n">
        <v>0</v>
      </c>
      <c r="P149" s="52" t="n">
        <v>0</v>
      </c>
      <c r="Q149" s="53" t="n">
        <v>0</v>
      </c>
      <c r="R149" s="52" t="n">
        <v>13.99</v>
      </c>
      <c r="S149" s="51" t="n">
        <v>0</v>
      </c>
      <c r="T149" s="48" t="n">
        <v>41.97</v>
      </c>
      <c r="U149" s="49" t="n">
        <v>3</v>
      </c>
      <c r="V149" s="49" t="n">
        <v>0</v>
      </c>
      <c r="W149" s="50" t="n">
        <v>0</v>
      </c>
      <c r="X149" s="51" t="n">
        <v>0</v>
      </c>
      <c r="Y149" s="52" t="n">
        <v>0</v>
      </c>
      <c r="Z149" s="52" t="n">
        <v>0</v>
      </c>
      <c r="AA149" s="52" t="n">
        <v>0</v>
      </c>
      <c r="AB149" s="53" t="n">
        <v>0</v>
      </c>
      <c r="AC149" s="52" t="n">
        <v>0</v>
      </c>
      <c r="AD149" s="53" t="n">
        <v>0</v>
      </c>
      <c r="AE149" s="52" t="n">
        <v>13.99</v>
      </c>
      <c r="AF149" s="51" t="n">
        <v>0</v>
      </c>
      <c r="AG149" s="48" t="n">
        <v>0</v>
      </c>
      <c r="AH149" s="49" t="n">
        <v>0</v>
      </c>
      <c r="AI149" s="49" t="n">
        <v>0</v>
      </c>
      <c r="AJ149" s="50" t="n">
        <v>0</v>
      </c>
      <c r="AK149" s="51" t="n">
        <v>0</v>
      </c>
      <c r="AL149" s="52" t="n">
        <v>0</v>
      </c>
      <c r="AM149" s="52" t="n">
        <v>0</v>
      </c>
      <c r="AN149" s="52" t="n">
        <v>0</v>
      </c>
      <c r="AO149" s="53" t="n">
        <v>0</v>
      </c>
      <c r="AP149" s="52" t="n">
        <v>0</v>
      </c>
      <c r="AQ149" s="53" t="n">
        <v>0</v>
      </c>
      <c r="AR149" s="52" t="n">
        <v>0</v>
      </c>
      <c r="AS149" s="51" t="n">
        <v>0</v>
      </c>
      <c r="AT149" s="48" t="n">
        <v>0</v>
      </c>
      <c r="AU149" s="49" t="n">
        <v>0</v>
      </c>
      <c r="AV149" s="49" t="n">
        <v>0</v>
      </c>
      <c r="AW149" s="50" t="n">
        <v>0</v>
      </c>
      <c r="AX149" s="51" t="n">
        <v>0</v>
      </c>
      <c r="AY149" s="52" t="n">
        <v>0</v>
      </c>
      <c r="AZ149" s="52" t="n">
        <v>0</v>
      </c>
      <c r="BA149" s="52" t="n">
        <v>0</v>
      </c>
      <c r="BB149" s="53" t="n">
        <v>0</v>
      </c>
      <c r="BC149" s="52" t="n">
        <v>0</v>
      </c>
      <c r="BD149" s="53" t="n">
        <v>0</v>
      </c>
      <c r="BE149" s="52" t="n">
        <v>0</v>
      </c>
      <c r="BF149" s="51" t="n">
        <v>0</v>
      </c>
    </row>
    <row r="150">
      <c r="A150">
        <f>HYPERLINK("https://www.walmart.com/ip/712152551", "712152551")</f>
        <v/>
      </c>
      <c r="B150" t="inlineStr">
        <is>
          <t>Sun Blocker Women's Sun Hat  Wide Brim Flap Cap with Floral Ribbon for Beach Gardening Hiking Fishing Safari UPF 50+ Pink</t>
        </is>
      </c>
      <c r="C150" t="inlineStr">
        <is>
          <t>KC-S9202-PK</t>
        </is>
      </c>
      <c r="D150" t="inlineStr">
        <is>
          <t>Hats</t>
        </is>
      </c>
      <c r="E150" t="inlineStr">
        <is>
          <t>Sun Blocker</t>
        </is>
      </c>
      <c r="F150" t="inlineStr">
        <is>
          <t>Hats,Batch 1 - TR</t>
        </is>
      </c>
      <c r="G150" s="48" t="n">
        <v>12.99</v>
      </c>
      <c r="H150" s="49" t="n">
        <v>1</v>
      </c>
      <c r="I150" s="49" t="n">
        <v>0</v>
      </c>
      <c r="J150" s="50" t="n">
        <v>0</v>
      </c>
      <c r="K150" s="51" t="n">
        <v>0</v>
      </c>
      <c r="L150" s="52" t="n">
        <v>0</v>
      </c>
      <c r="M150" s="52" t="n">
        <v>0</v>
      </c>
      <c r="N150" s="52" t="n">
        <v>0</v>
      </c>
      <c r="O150" s="53" t="n">
        <v>0</v>
      </c>
      <c r="P150" s="52" t="n">
        <v>0</v>
      </c>
      <c r="Q150" s="53" t="n">
        <v>0</v>
      </c>
      <c r="R150" s="52" t="n">
        <v>12.99</v>
      </c>
      <c r="S150" s="51" t="n">
        <v>0</v>
      </c>
      <c r="T150" s="48" t="n">
        <v>0</v>
      </c>
      <c r="U150" s="49" t="n">
        <v>0</v>
      </c>
      <c r="V150" s="49" t="n">
        <v>0</v>
      </c>
      <c r="W150" s="50" t="n">
        <v>0</v>
      </c>
      <c r="X150" s="51" t="n">
        <v>0</v>
      </c>
      <c r="Y150" s="52" t="n">
        <v>0</v>
      </c>
      <c r="Z150" s="52" t="n">
        <v>0</v>
      </c>
      <c r="AA150" s="52" t="n">
        <v>0</v>
      </c>
      <c r="AB150" s="53" t="n">
        <v>0</v>
      </c>
      <c r="AC150" s="52" t="n">
        <v>0</v>
      </c>
      <c r="AD150" s="53" t="n">
        <v>0</v>
      </c>
      <c r="AE150" s="52" t="n">
        <v>0</v>
      </c>
      <c r="AF150" s="51" t="n">
        <v>0</v>
      </c>
      <c r="AG150" s="48" t="n">
        <v>0</v>
      </c>
      <c r="AH150" s="49" t="n">
        <v>0</v>
      </c>
      <c r="AI150" s="49" t="n">
        <v>0</v>
      </c>
      <c r="AJ150" s="50" t="n">
        <v>0</v>
      </c>
      <c r="AK150" s="51" t="n">
        <v>0</v>
      </c>
      <c r="AL150" s="52" t="n">
        <v>0</v>
      </c>
      <c r="AM150" s="52" t="n">
        <v>0</v>
      </c>
      <c r="AN150" s="52" t="n">
        <v>0</v>
      </c>
      <c r="AO150" s="53" t="n">
        <v>0</v>
      </c>
      <c r="AP150" s="52" t="n">
        <v>0</v>
      </c>
      <c r="AQ150" s="53" t="n">
        <v>0</v>
      </c>
      <c r="AR150" s="52" t="n">
        <v>0</v>
      </c>
      <c r="AS150" s="51" t="n">
        <v>0</v>
      </c>
      <c r="AT150" s="48" t="n">
        <v>0</v>
      </c>
      <c r="AU150" s="49" t="n">
        <v>0</v>
      </c>
      <c r="AV150" s="49" t="n">
        <v>0</v>
      </c>
      <c r="AW150" s="50" t="n">
        <v>0</v>
      </c>
      <c r="AX150" s="51" t="n">
        <v>0</v>
      </c>
      <c r="AY150" s="52" t="n">
        <v>0</v>
      </c>
      <c r="AZ150" s="52" t="n">
        <v>0</v>
      </c>
      <c r="BA150" s="52" t="n">
        <v>0</v>
      </c>
      <c r="BB150" s="53" t="n">
        <v>0</v>
      </c>
      <c r="BC150" s="52" t="n">
        <v>0</v>
      </c>
      <c r="BD150" s="53" t="n">
        <v>0</v>
      </c>
      <c r="BE150" s="52" t="n">
        <v>0</v>
      </c>
      <c r="BF150" s="51" t="n">
        <v>0</v>
      </c>
    </row>
    <row r="151">
      <c r="A151">
        <f>HYPERLINK("https://www.walmart.com/ip/116656995", "116656995")</f>
        <v/>
      </c>
      <c r="B151" t="inlineStr">
        <is>
          <t>Tirrinia Insulated Lunch Bag for Women, Men, and Kids, Leakproof Thermal Reusable Insulated Cooler Bag for Office, Work, Back to School, Medium, Red, 7.8L, 10" X 7" X 7.7"</t>
        </is>
      </c>
      <c r="C151" t="inlineStr">
        <is>
          <t>1TRLB702RD-N</t>
        </is>
      </c>
      <c r="D151" t="inlineStr">
        <is>
          <t>Reusable Lunch Bags &amp; Boxes</t>
        </is>
      </c>
      <c r="E151" t="inlineStr">
        <is>
          <t>Tirrinia</t>
        </is>
      </c>
      <c r="F151" t="inlineStr">
        <is>
          <t>Q2-Target,Brand Camp VD,Lunch Bag,SEM</t>
        </is>
      </c>
      <c r="G151" s="48" t="n">
        <v>12.99</v>
      </c>
      <c r="H151" s="49" t="n">
        <v>1</v>
      </c>
      <c r="I151" s="49" t="n">
        <v>0</v>
      </c>
      <c r="J151" s="50" t="n">
        <v>0</v>
      </c>
      <c r="K151" s="51" t="n">
        <v>0</v>
      </c>
      <c r="L151" s="52" t="n">
        <v>0</v>
      </c>
      <c r="M151" s="52" t="n">
        <v>0</v>
      </c>
      <c r="N151" s="52" t="n">
        <v>0</v>
      </c>
      <c r="O151" s="53" t="n">
        <v>0</v>
      </c>
      <c r="P151" s="52" t="n">
        <v>0</v>
      </c>
      <c r="Q151" s="53" t="n">
        <v>0</v>
      </c>
      <c r="R151" s="52" t="n">
        <v>12.99</v>
      </c>
      <c r="S151" s="51" t="n">
        <v>0</v>
      </c>
      <c r="T151" s="48" t="n">
        <v>0</v>
      </c>
      <c r="U151" s="49" t="n">
        <v>0</v>
      </c>
      <c r="V151" s="49" t="n">
        <v>0</v>
      </c>
      <c r="W151" s="50" t="n">
        <v>0</v>
      </c>
      <c r="X151" s="51" t="n">
        <v>0</v>
      </c>
      <c r="Y151" s="52" t="n">
        <v>0</v>
      </c>
      <c r="Z151" s="52" t="n">
        <v>0</v>
      </c>
      <c r="AA151" s="52" t="n">
        <v>0</v>
      </c>
      <c r="AB151" s="53" t="n">
        <v>0</v>
      </c>
      <c r="AC151" s="52" t="n">
        <v>0</v>
      </c>
      <c r="AD151" s="53" t="n">
        <v>0</v>
      </c>
      <c r="AE151" s="52" t="n">
        <v>0</v>
      </c>
      <c r="AF151" s="51" t="n">
        <v>0</v>
      </c>
      <c r="AG151" s="48" t="n">
        <v>0</v>
      </c>
      <c r="AH151" s="49" t="n">
        <v>0</v>
      </c>
      <c r="AI151" s="49" t="n">
        <v>0</v>
      </c>
      <c r="AJ151" s="50" t="n">
        <v>0</v>
      </c>
      <c r="AK151" s="51" t="n">
        <v>0</v>
      </c>
      <c r="AL151" s="52" t="n">
        <v>0</v>
      </c>
      <c r="AM151" s="52" t="n">
        <v>0</v>
      </c>
      <c r="AN151" s="52" t="n">
        <v>0</v>
      </c>
      <c r="AO151" s="53" t="n">
        <v>0</v>
      </c>
      <c r="AP151" s="52" t="n">
        <v>0</v>
      </c>
      <c r="AQ151" s="53" t="n">
        <v>0</v>
      </c>
      <c r="AR151" s="52" t="n">
        <v>0</v>
      </c>
      <c r="AS151" s="51" t="n">
        <v>0</v>
      </c>
      <c r="AT151" s="48" t="n">
        <v>0</v>
      </c>
      <c r="AU151" s="49" t="n">
        <v>0</v>
      </c>
      <c r="AV151" s="49" t="n">
        <v>0</v>
      </c>
      <c r="AW151" s="50" t="n">
        <v>0</v>
      </c>
      <c r="AX151" s="51" t="n">
        <v>0</v>
      </c>
      <c r="AY151" s="52" t="n">
        <v>0</v>
      </c>
      <c r="AZ151" s="52" t="n">
        <v>0</v>
      </c>
      <c r="BA151" s="52" t="n">
        <v>0</v>
      </c>
      <c r="BB151" s="53" t="n">
        <v>0</v>
      </c>
      <c r="BC151" s="52" t="n">
        <v>0</v>
      </c>
      <c r="BD151" s="53" t="n">
        <v>0</v>
      </c>
      <c r="BE151" s="52" t="n">
        <v>0</v>
      </c>
      <c r="BF151" s="51" t="n">
        <v>0</v>
      </c>
    </row>
    <row r="152">
      <c r="A152">
        <f>HYPERLINK("https://www.walmart.com/ip/1806715755", "1806715755")</f>
        <v/>
      </c>
      <c r="B152" t="inlineStr">
        <is>
          <t>Tirrinia Large Insulated Lunch Tote Bag for Women,Waterproof Oxford Cloth Leakproof Cooler Bag,Shopping Food Grocery Bags for Work Beach, Navy Diamond</t>
        </is>
      </c>
      <c r="C152" t="inlineStr">
        <is>
          <t>1TRCB800NYDIA</t>
        </is>
      </c>
      <c r="D152" t="inlineStr">
        <is>
          <t>Reusable Lunch Bags &amp; Boxes</t>
        </is>
      </c>
      <c r="E152" t="inlineStr">
        <is>
          <t>Tirrinia</t>
        </is>
      </c>
      <c r="F152" t="inlineStr">
        <is>
          <t>Batch 1 - TR</t>
        </is>
      </c>
      <c r="G152" s="48" t="n">
        <v>12.99</v>
      </c>
      <c r="H152" s="49" t="n">
        <v>1</v>
      </c>
      <c r="I152" s="49" t="n">
        <v>5</v>
      </c>
      <c r="J152" s="50" t="n">
        <v>0.2</v>
      </c>
      <c r="K152" s="51" t="n">
        <v>0</v>
      </c>
      <c r="L152" s="52" t="n">
        <v>0</v>
      </c>
      <c r="M152" s="52" t="n">
        <v>0</v>
      </c>
      <c r="N152" s="52" t="n">
        <v>0</v>
      </c>
      <c r="O152" s="53" t="n">
        <v>0</v>
      </c>
      <c r="P152" s="52" t="n">
        <v>0</v>
      </c>
      <c r="Q152" s="53" t="n">
        <v>0</v>
      </c>
      <c r="R152" s="52" t="n">
        <v>12.99</v>
      </c>
      <c r="S152" s="51" t="n">
        <v>0</v>
      </c>
      <c r="T152" s="48" t="n">
        <v>0</v>
      </c>
      <c r="U152" s="49" t="n">
        <v>0</v>
      </c>
      <c r="V152" s="49" t="n">
        <v>4</v>
      </c>
      <c r="W152" s="50" t="n">
        <v>0</v>
      </c>
      <c r="X152" s="51" t="n">
        <v>0</v>
      </c>
      <c r="Y152" s="52" t="n">
        <v>0</v>
      </c>
      <c r="Z152" s="52" t="n">
        <v>0</v>
      </c>
      <c r="AA152" s="52" t="n">
        <v>0</v>
      </c>
      <c r="AB152" s="53" t="n">
        <v>0</v>
      </c>
      <c r="AC152" s="52" t="n">
        <v>0</v>
      </c>
      <c r="AD152" s="53" t="n">
        <v>0</v>
      </c>
      <c r="AE152" s="52" t="n">
        <v>0</v>
      </c>
      <c r="AF152" s="51" t="n">
        <v>0</v>
      </c>
      <c r="AG152" s="48" t="n">
        <v>0</v>
      </c>
      <c r="AH152" s="49" t="n">
        <v>0</v>
      </c>
      <c r="AI152" s="49" t="n">
        <v>1</v>
      </c>
      <c r="AJ152" s="50" t="n">
        <v>0</v>
      </c>
      <c r="AK152" s="51" t="n">
        <v>0</v>
      </c>
      <c r="AL152" s="52" t="n">
        <v>0</v>
      </c>
      <c r="AM152" s="52" t="n">
        <v>0</v>
      </c>
      <c r="AN152" s="52" t="n">
        <v>0</v>
      </c>
      <c r="AO152" s="53" t="n">
        <v>0</v>
      </c>
      <c r="AP152" s="52" t="n">
        <v>0</v>
      </c>
      <c r="AQ152" s="53" t="n">
        <v>0</v>
      </c>
      <c r="AR152" s="52" t="n">
        <v>0</v>
      </c>
      <c r="AS152" s="51" t="n">
        <v>0</v>
      </c>
      <c r="AT152" s="48" t="n">
        <v>0</v>
      </c>
      <c r="AU152" s="49" t="n">
        <v>0</v>
      </c>
      <c r="AV152" s="49" t="n">
        <v>2</v>
      </c>
      <c r="AW152" s="50" t="n">
        <v>0</v>
      </c>
      <c r="AX152" s="51" t="n">
        <v>0</v>
      </c>
      <c r="AY152" s="52" t="n">
        <v>0</v>
      </c>
      <c r="AZ152" s="52" t="n">
        <v>0</v>
      </c>
      <c r="BA152" s="52" t="n">
        <v>0</v>
      </c>
      <c r="BB152" s="53" t="n">
        <v>0</v>
      </c>
      <c r="BC152" s="52" t="n">
        <v>0</v>
      </c>
      <c r="BD152" s="53" t="n">
        <v>0</v>
      </c>
      <c r="BE152" s="52" t="n">
        <v>0</v>
      </c>
      <c r="BF152" s="51" t="n">
        <v>0</v>
      </c>
    </row>
    <row r="153">
      <c r="A153">
        <f>HYPERLINK("https://www.walmart.com/ip/658014935", "658014935")</f>
        <v/>
      </c>
      <c r="B153" t="inlineStr">
        <is>
          <t>Tirrinia Insulated Lunch Bag for Women and Men, Double-Layer Leak-Proof Reusable Lunch Box with 4 Pockets, Large-Sized, 10L, Charcoal, 10” x 8.5” x 9.3".</t>
        </is>
      </c>
      <c r="C153" t="inlineStr">
        <is>
          <t>1TRLB701CH-T</t>
        </is>
      </c>
      <c r="D153" t="inlineStr">
        <is>
          <t>Reusable Lunch Bags &amp; Boxes</t>
        </is>
      </c>
      <c r="E153" t="inlineStr">
        <is>
          <t>Tirrinia</t>
        </is>
      </c>
      <c r="F153" t="inlineStr">
        <is>
          <t>Q2-Target,Brand Camp VD,Lunch Bag,WFS,Lunch Bags,WFS Item</t>
        </is>
      </c>
      <c r="G153" s="48" t="n">
        <v>12.45</v>
      </c>
      <c r="H153" s="49" t="n">
        <v>1</v>
      </c>
      <c r="I153" s="49" t="n">
        <v>1</v>
      </c>
      <c r="J153" s="50" t="n">
        <v>1</v>
      </c>
      <c r="K153" s="51" t="n">
        <v>0</v>
      </c>
      <c r="L153" s="52" t="n">
        <v>0</v>
      </c>
      <c r="M153" s="52" t="n">
        <v>0</v>
      </c>
      <c r="N153" s="52" t="n">
        <v>0</v>
      </c>
      <c r="O153" s="53" t="n">
        <v>0</v>
      </c>
      <c r="P153" s="52" t="n">
        <v>0</v>
      </c>
      <c r="Q153" s="53" t="n">
        <v>0</v>
      </c>
      <c r="R153" s="52" t="n">
        <v>12.45</v>
      </c>
      <c r="S153" s="51" t="n">
        <v>0</v>
      </c>
      <c r="T153" s="48" t="n">
        <v>0</v>
      </c>
      <c r="U153" s="49" t="n">
        <v>0</v>
      </c>
      <c r="V153" s="49" t="n">
        <v>0</v>
      </c>
      <c r="W153" s="50" t="n">
        <v>0</v>
      </c>
      <c r="X153" s="51" t="n">
        <v>0</v>
      </c>
      <c r="Y153" s="52" t="n">
        <v>0</v>
      </c>
      <c r="Z153" s="52" t="n">
        <v>0</v>
      </c>
      <c r="AA153" s="52" t="n">
        <v>0</v>
      </c>
      <c r="AB153" s="53" t="n">
        <v>0</v>
      </c>
      <c r="AC153" s="52" t="n">
        <v>0</v>
      </c>
      <c r="AD153" s="53" t="n">
        <v>0</v>
      </c>
      <c r="AE153" s="52" t="n">
        <v>0</v>
      </c>
      <c r="AF153" s="51" t="n">
        <v>0</v>
      </c>
      <c r="AG153" s="48" t="n">
        <v>0</v>
      </c>
      <c r="AH153" s="49" t="n">
        <v>0</v>
      </c>
      <c r="AI153" s="49" t="n">
        <v>0</v>
      </c>
      <c r="AJ153" s="50" t="n">
        <v>0</v>
      </c>
      <c r="AK153" s="51" t="n">
        <v>0</v>
      </c>
      <c r="AL153" s="52" t="n">
        <v>0</v>
      </c>
      <c r="AM153" s="52" t="n">
        <v>0</v>
      </c>
      <c r="AN153" s="52" t="n">
        <v>0</v>
      </c>
      <c r="AO153" s="53" t="n">
        <v>0</v>
      </c>
      <c r="AP153" s="52" t="n">
        <v>0</v>
      </c>
      <c r="AQ153" s="53" t="n">
        <v>0</v>
      </c>
      <c r="AR153" s="52" t="n">
        <v>0</v>
      </c>
      <c r="AS153" s="51" t="n">
        <v>0</v>
      </c>
      <c r="AT153" s="48" t="n">
        <v>0</v>
      </c>
      <c r="AU153" s="49" t="n">
        <v>0</v>
      </c>
      <c r="AV153" s="49" t="n">
        <v>0</v>
      </c>
      <c r="AW153" s="50" t="n">
        <v>0</v>
      </c>
      <c r="AX153" s="51" t="n">
        <v>0</v>
      </c>
      <c r="AY153" s="52" t="n">
        <v>0</v>
      </c>
      <c r="AZ153" s="52" t="n">
        <v>0</v>
      </c>
      <c r="BA153" s="52" t="n">
        <v>0</v>
      </c>
      <c r="BB153" s="53" t="n">
        <v>0</v>
      </c>
      <c r="BC153" s="52" t="n">
        <v>0</v>
      </c>
      <c r="BD153" s="53" t="n">
        <v>0</v>
      </c>
      <c r="BE153" s="52" t="n">
        <v>0</v>
      </c>
      <c r="BF153" s="51" t="n">
        <v>0</v>
      </c>
    </row>
    <row r="154">
      <c r="A154">
        <f>HYPERLINK("https://www.walmart.com/ip/3958613295", "3958613295")</f>
        <v/>
      </c>
      <c r="B154" t="inlineStr">
        <is>
          <t>Tirrinia Insulated Lunch Box for Women | Lunch Bags for Women, Girls, Teens | Cute Blue Reusable Thermal Lunch Tote Purse Cooler for Kids, School, Work, Office, Adult | Fits 10 Cans (Navy Diamond)</t>
        </is>
      </c>
      <c r="C154" t="inlineStr">
        <is>
          <t>1WMLB706NYDIA</t>
        </is>
      </c>
      <c r="D154" t="inlineStr">
        <is>
          <t>Reusable Lunch Bags &amp; Boxes</t>
        </is>
      </c>
      <c r="E154" t="inlineStr">
        <is>
          <t>Tirrinia</t>
        </is>
      </c>
      <c r="F154" t="inlineStr">
        <is>
          <t>Q2-Target,Brand Camp VD</t>
        </is>
      </c>
      <c r="G154" s="48" t="n">
        <v>11.99</v>
      </c>
      <c r="H154" s="49" t="n">
        <v>1</v>
      </c>
      <c r="I154" s="49" t="n">
        <v>0</v>
      </c>
      <c r="J154" s="50" t="n">
        <v>0</v>
      </c>
      <c r="K154" s="51" t="n">
        <v>0</v>
      </c>
      <c r="L154" s="52" t="n">
        <v>0</v>
      </c>
      <c r="M154" s="52" t="n">
        <v>0</v>
      </c>
      <c r="N154" s="52" t="n">
        <v>0</v>
      </c>
      <c r="O154" s="53" t="n">
        <v>0</v>
      </c>
      <c r="P154" s="52" t="n">
        <v>0</v>
      </c>
      <c r="Q154" s="53" t="n">
        <v>0</v>
      </c>
      <c r="R154" s="52" t="n">
        <v>11.99</v>
      </c>
      <c r="S154" s="51" t="n">
        <v>0</v>
      </c>
      <c r="T154" s="48" t="n">
        <v>0</v>
      </c>
      <c r="U154" s="49" t="n">
        <v>0</v>
      </c>
      <c r="V154" s="49" t="n">
        <v>0</v>
      </c>
      <c r="W154" s="50" t="n">
        <v>0</v>
      </c>
      <c r="X154" s="51" t="n">
        <v>0</v>
      </c>
      <c r="Y154" s="52" t="n">
        <v>0</v>
      </c>
      <c r="Z154" s="52" t="n">
        <v>0</v>
      </c>
      <c r="AA154" s="52" t="n">
        <v>0</v>
      </c>
      <c r="AB154" s="53" t="n">
        <v>0</v>
      </c>
      <c r="AC154" s="52" t="n">
        <v>0</v>
      </c>
      <c r="AD154" s="53" t="n">
        <v>0</v>
      </c>
      <c r="AE154" s="52" t="n">
        <v>0</v>
      </c>
      <c r="AF154" s="51" t="n">
        <v>0</v>
      </c>
      <c r="AG154" s="48" t="n">
        <v>35.97</v>
      </c>
      <c r="AH154" s="49" t="n">
        <v>3</v>
      </c>
      <c r="AI154" s="49" t="n">
        <v>0</v>
      </c>
      <c r="AJ154" s="50" t="n">
        <v>0</v>
      </c>
      <c r="AK154" s="51" t="n">
        <v>0</v>
      </c>
      <c r="AL154" s="52" t="n">
        <v>0</v>
      </c>
      <c r="AM154" s="52" t="n">
        <v>0</v>
      </c>
      <c r="AN154" s="52" t="n">
        <v>0</v>
      </c>
      <c r="AO154" s="53" t="n">
        <v>0</v>
      </c>
      <c r="AP154" s="52" t="n">
        <v>0</v>
      </c>
      <c r="AQ154" s="53" t="n">
        <v>0</v>
      </c>
      <c r="AR154" s="52" t="n">
        <v>11.99</v>
      </c>
      <c r="AS154" s="51" t="n">
        <v>0</v>
      </c>
      <c r="AT154" s="48" t="n">
        <v>0</v>
      </c>
      <c r="AU154" s="49" t="n">
        <v>0</v>
      </c>
      <c r="AV154" s="49" t="n">
        <v>0</v>
      </c>
      <c r="AW154" s="50" t="n">
        <v>0</v>
      </c>
      <c r="AX154" s="51" t="n">
        <v>0</v>
      </c>
      <c r="AY154" s="52" t="n">
        <v>0</v>
      </c>
      <c r="AZ154" s="52" t="n">
        <v>0</v>
      </c>
      <c r="BA154" s="52" t="n">
        <v>0</v>
      </c>
      <c r="BB154" s="53" t="n">
        <v>0</v>
      </c>
      <c r="BC154" s="52" t="n">
        <v>0</v>
      </c>
      <c r="BD154" s="53" t="n">
        <v>0</v>
      </c>
      <c r="BE154" s="52" t="n">
        <v>0</v>
      </c>
      <c r="BF154" s="51" t="n">
        <v>0</v>
      </c>
    </row>
    <row r="155">
      <c r="A155">
        <f>HYPERLINK("https://www.walmart.com/ip/861900554", "861900554")</f>
        <v/>
      </c>
      <c r="B155" t="inlineStr">
        <is>
          <t>Tirrinia Insulated Lunch Bag for Women Men, Leakproof Thermal Reusable Lunch Box with 4 Pockets for Adult Kids, Lunch Bag Cooler Tote for Office Work, Back to School, Dark Blue</t>
        </is>
      </c>
      <c r="C155" t="inlineStr">
        <is>
          <t>1TRLB702DBL-N</t>
        </is>
      </c>
      <c r="D155" t="inlineStr">
        <is>
          <t>Reusable Lunch Bags &amp; Boxes</t>
        </is>
      </c>
      <c r="E155" t="inlineStr">
        <is>
          <t>Tirrinia</t>
        </is>
      </c>
      <c r="F155" t="inlineStr">
        <is>
          <t>Q2-Target,Brand Camp VD,Lunch Bag,WFS,SEM,WFS Item</t>
        </is>
      </c>
      <c r="G155" s="48" t="n">
        <v>11.99</v>
      </c>
      <c r="H155" s="49" t="n">
        <v>1</v>
      </c>
      <c r="I155" s="49" t="n">
        <v>0</v>
      </c>
      <c r="J155" s="50" t="n">
        <v>0</v>
      </c>
      <c r="K155" s="51" t="n">
        <v>0</v>
      </c>
      <c r="L155" s="52" t="n">
        <v>0</v>
      </c>
      <c r="M155" s="52" t="n">
        <v>0</v>
      </c>
      <c r="N155" s="52" t="n">
        <v>0</v>
      </c>
      <c r="O155" s="53" t="n">
        <v>0</v>
      </c>
      <c r="P155" s="52" t="n">
        <v>0</v>
      </c>
      <c r="Q155" s="53" t="n">
        <v>0</v>
      </c>
      <c r="R155" s="52" t="n">
        <v>11.99</v>
      </c>
      <c r="S155" s="51" t="n">
        <v>0</v>
      </c>
      <c r="T155" s="48" t="n">
        <v>0</v>
      </c>
      <c r="U155" s="49" t="n">
        <v>0</v>
      </c>
      <c r="V155" s="49" t="n">
        <v>0</v>
      </c>
      <c r="W155" s="50" t="n">
        <v>0</v>
      </c>
      <c r="X155" s="51" t="n">
        <v>0</v>
      </c>
      <c r="Y155" s="52" t="n">
        <v>0</v>
      </c>
      <c r="Z155" s="52" t="n">
        <v>0</v>
      </c>
      <c r="AA155" s="52" t="n">
        <v>0</v>
      </c>
      <c r="AB155" s="53" t="n">
        <v>0</v>
      </c>
      <c r="AC155" s="52" t="n">
        <v>0</v>
      </c>
      <c r="AD155" s="53" t="n">
        <v>0</v>
      </c>
      <c r="AE155" s="52" t="n">
        <v>0</v>
      </c>
      <c r="AF155" s="51" t="n">
        <v>0</v>
      </c>
      <c r="AG155" s="48" t="n">
        <v>11.99</v>
      </c>
      <c r="AH155" s="49" t="n">
        <v>1</v>
      </c>
      <c r="AI155" s="49" t="n">
        <v>3</v>
      </c>
      <c r="AJ155" s="50" t="n">
        <v>0.3333333333333333</v>
      </c>
      <c r="AK155" s="51" t="n">
        <v>0</v>
      </c>
      <c r="AL155" s="52" t="n">
        <v>0</v>
      </c>
      <c r="AM155" s="52" t="n">
        <v>0</v>
      </c>
      <c r="AN155" s="52" t="n">
        <v>0</v>
      </c>
      <c r="AO155" s="53" t="n">
        <v>0</v>
      </c>
      <c r="AP155" s="52" t="n">
        <v>0</v>
      </c>
      <c r="AQ155" s="53" t="n">
        <v>0</v>
      </c>
      <c r="AR155" s="52" t="n">
        <v>11.99</v>
      </c>
      <c r="AS155" s="51" t="n">
        <v>0</v>
      </c>
      <c r="AT155" s="48" t="n">
        <v>0</v>
      </c>
      <c r="AU155" s="49" t="n">
        <v>0</v>
      </c>
      <c r="AV155" s="49" t="n">
        <v>0</v>
      </c>
      <c r="AW155" s="50" t="n">
        <v>0</v>
      </c>
      <c r="AX155" s="51" t="n">
        <v>0</v>
      </c>
      <c r="AY155" s="52" t="n">
        <v>0</v>
      </c>
      <c r="AZ155" s="52" t="n">
        <v>0</v>
      </c>
      <c r="BA155" s="52" t="n">
        <v>0</v>
      </c>
      <c r="BB155" s="53" t="n">
        <v>0</v>
      </c>
      <c r="BC155" s="52" t="n">
        <v>0</v>
      </c>
      <c r="BD155" s="53" t="n">
        <v>0</v>
      </c>
      <c r="BE155" s="52" t="n">
        <v>0</v>
      </c>
      <c r="BF155" s="51" t="n">
        <v>0</v>
      </c>
    </row>
    <row r="156">
      <c r="A156">
        <f>HYPERLINK("https://www.walmart.com/ip/131869749", "131869749")</f>
        <v/>
      </c>
      <c r="B156" t="inlineStr">
        <is>
          <t>Tirrinia Small Insulated Lunch Bag for Adult&amp;Kids,Splash Proof Mini Portable Reusable Thermal Lunch Box Cooler Tote for Student Back to School,Black &amp; Dark Blue</t>
        </is>
      </c>
      <c r="C156" t="inlineStr">
        <is>
          <t>1TRLB100BKDB</t>
        </is>
      </c>
      <c r="D156" t="inlineStr">
        <is>
          <t>Reusable Lunch Bags &amp; Boxes</t>
        </is>
      </c>
      <c r="E156" t="inlineStr">
        <is>
          <t>Tirrinia</t>
        </is>
      </c>
      <c r="F156" t="inlineStr">
        <is>
          <t>Lunch Bag,Lunch Bags</t>
        </is>
      </c>
      <c r="G156" s="48" t="n">
        <v>11.99</v>
      </c>
      <c r="H156" s="49" t="n">
        <v>1</v>
      </c>
      <c r="I156" s="49" t="n">
        <v>3</v>
      </c>
      <c r="J156" s="50" t="n">
        <v>0.3333333333333333</v>
      </c>
      <c r="K156" s="51" t="n">
        <v>0</v>
      </c>
      <c r="L156" s="52" t="n">
        <v>0</v>
      </c>
      <c r="M156" s="52" t="n">
        <v>0</v>
      </c>
      <c r="N156" s="52" t="n">
        <v>0</v>
      </c>
      <c r="O156" s="53" t="n">
        <v>0</v>
      </c>
      <c r="P156" s="52" t="n">
        <v>0</v>
      </c>
      <c r="Q156" s="53" t="n">
        <v>0</v>
      </c>
      <c r="R156" s="52" t="n">
        <v>11.99</v>
      </c>
      <c r="S156" s="51" t="n">
        <v>0</v>
      </c>
      <c r="T156" s="48" t="n">
        <v>0</v>
      </c>
      <c r="U156" s="49" t="n">
        <v>0</v>
      </c>
      <c r="V156" s="49" t="n">
        <v>10</v>
      </c>
      <c r="W156" s="50" t="n">
        <v>0</v>
      </c>
      <c r="X156" s="51" t="n">
        <v>0</v>
      </c>
      <c r="Y156" s="52" t="n">
        <v>0</v>
      </c>
      <c r="Z156" s="52" t="n">
        <v>0</v>
      </c>
      <c r="AA156" s="52" t="n">
        <v>0</v>
      </c>
      <c r="AB156" s="53" t="n">
        <v>0</v>
      </c>
      <c r="AC156" s="52" t="n">
        <v>0</v>
      </c>
      <c r="AD156" s="53" t="n">
        <v>0</v>
      </c>
      <c r="AE156" s="52" t="n">
        <v>0</v>
      </c>
      <c r="AF156" s="51" t="n">
        <v>0</v>
      </c>
      <c r="AG156" s="48" t="n">
        <v>11.99</v>
      </c>
      <c r="AH156" s="49" t="n">
        <v>1</v>
      </c>
      <c r="AI156" s="49" t="n">
        <v>14</v>
      </c>
      <c r="AJ156" s="50" t="n">
        <v>0.07142857142857142</v>
      </c>
      <c r="AK156" s="51" t="n">
        <v>0</v>
      </c>
      <c r="AL156" s="52" t="n">
        <v>0</v>
      </c>
      <c r="AM156" s="52" t="n">
        <v>0</v>
      </c>
      <c r="AN156" s="52" t="n">
        <v>0</v>
      </c>
      <c r="AO156" s="53" t="n">
        <v>0</v>
      </c>
      <c r="AP156" s="52" t="n">
        <v>0</v>
      </c>
      <c r="AQ156" s="53" t="n">
        <v>0</v>
      </c>
      <c r="AR156" s="52" t="n">
        <v>11.99</v>
      </c>
      <c r="AS156" s="51" t="n">
        <v>0</v>
      </c>
      <c r="AT156" s="48" t="n">
        <v>11.99</v>
      </c>
      <c r="AU156" s="49" t="n">
        <v>1</v>
      </c>
      <c r="AV156" s="49" t="n">
        <v>9</v>
      </c>
      <c r="AW156" s="50" t="n">
        <v>0.1111111111111111</v>
      </c>
      <c r="AX156" s="51" t="n">
        <v>0</v>
      </c>
      <c r="AY156" s="52" t="n">
        <v>0</v>
      </c>
      <c r="AZ156" s="52" t="n">
        <v>0</v>
      </c>
      <c r="BA156" s="52" t="n">
        <v>0</v>
      </c>
      <c r="BB156" s="53" t="n">
        <v>0</v>
      </c>
      <c r="BC156" s="52" t="n">
        <v>0</v>
      </c>
      <c r="BD156" s="53" t="n">
        <v>0</v>
      </c>
      <c r="BE156" s="52" t="n">
        <v>11.99</v>
      </c>
      <c r="BF156" s="51" t="n">
        <v>0</v>
      </c>
    </row>
    <row r="157">
      <c r="A157">
        <f>HYPERLINK("https://www.walmart.com/ip/641453139", "641453139")</f>
        <v/>
      </c>
      <c r="B157" t="inlineStr">
        <is>
          <t>Kato Insulated Lunch Bags for Students, Women, and Men, Mini Thermal Portable Cooler Box Tote with Dual Zipper Closure, Blue, 9 Cans Capacity, 8.5" x 9.5" x 3.8"</t>
        </is>
      </c>
      <c r="C157" t="inlineStr">
        <is>
          <t>1KTLB100BL</t>
        </is>
      </c>
      <c r="D157" t="inlineStr">
        <is>
          <t>Reusable Lunch Bags &amp; Boxes</t>
        </is>
      </c>
      <c r="E157" t="inlineStr">
        <is>
          <t>Kato</t>
        </is>
      </c>
      <c r="F157" t="inlineStr">
        <is>
          <t>Q2-Target,Lunch Bag,Optimized,Lunch Bags,SEM</t>
        </is>
      </c>
      <c r="G157" s="48" t="n">
        <v>10.99</v>
      </c>
      <c r="H157" s="49" t="n">
        <v>1</v>
      </c>
      <c r="I157" s="49" t="n">
        <v>18</v>
      </c>
      <c r="J157" s="50" t="n">
        <v>0.05555555555555555</v>
      </c>
      <c r="K157" s="51" t="n">
        <v>0</v>
      </c>
      <c r="L157" s="52" t="n">
        <v>0</v>
      </c>
      <c r="M157" s="52" t="n">
        <v>0</v>
      </c>
      <c r="N157" s="52" t="n">
        <v>0</v>
      </c>
      <c r="O157" s="53" t="n">
        <v>0</v>
      </c>
      <c r="P157" s="52" t="n">
        <v>0</v>
      </c>
      <c r="Q157" s="53" t="n">
        <v>0</v>
      </c>
      <c r="R157" s="52" t="n">
        <v>10.99</v>
      </c>
      <c r="S157" s="51" t="n">
        <v>0</v>
      </c>
      <c r="T157" s="48" t="n">
        <v>32.97</v>
      </c>
      <c r="U157" s="49" t="n">
        <v>3</v>
      </c>
      <c r="V157" s="49" t="n">
        <v>15</v>
      </c>
      <c r="W157" s="50" t="n">
        <v>0.2</v>
      </c>
      <c r="X157" s="51" t="n">
        <v>0</v>
      </c>
      <c r="Y157" s="52" t="n">
        <v>0</v>
      </c>
      <c r="Z157" s="52" t="n">
        <v>0</v>
      </c>
      <c r="AA157" s="52" t="n">
        <v>0</v>
      </c>
      <c r="AB157" s="53" t="n">
        <v>0</v>
      </c>
      <c r="AC157" s="52" t="n">
        <v>0</v>
      </c>
      <c r="AD157" s="53" t="n">
        <v>0</v>
      </c>
      <c r="AE157" s="52" t="n">
        <v>10.99</v>
      </c>
      <c r="AF157" s="51" t="n">
        <v>0</v>
      </c>
      <c r="AG157" s="48" t="n">
        <v>0</v>
      </c>
      <c r="AH157" s="49" t="n">
        <v>0</v>
      </c>
      <c r="AI157" s="49" t="n">
        <v>13</v>
      </c>
      <c r="AJ157" s="50" t="n">
        <v>0</v>
      </c>
      <c r="AK157" s="51" t="n">
        <v>0</v>
      </c>
      <c r="AL157" s="52" t="n">
        <v>0</v>
      </c>
      <c r="AM157" s="52" t="n">
        <v>0</v>
      </c>
      <c r="AN157" s="52" t="n">
        <v>0</v>
      </c>
      <c r="AO157" s="53" t="n">
        <v>0</v>
      </c>
      <c r="AP157" s="52" t="n">
        <v>0</v>
      </c>
      <c r="AQ157" s="53" t="n">
        <v>0</v>
      </c>
      <c r="AR157" s="52" t="n">
        <v>0</v>
      </c>
      <c r="AS157" s="51" t="n">
        <v>0</v>
      </c>
      <c r="AT157" s="48" t="n">
        <v>32.97</v>
      </c>
      <c r="AU157" s="49" t="n">
        <v>3</v>
      </c>
      <c r="AV157" s="49" t="n">
        <v>18</v>
      </c>
      <c r="AW157" s="50" t="n">
        <v>0.1666666666666667</v>
      </c>
      <c r="AX157" s="51" t="n">
        <v>0</v>
      </c>
      <c r="AY157" s="52" t="n">
        <v>0</v>
      </c>
      <c r="AZ157" s="52" t="n">
        <v>0</v>
      </c>
      <c r="BA157" s="52" t="n">
        <v>0</v>
      </c>
      <c r="BB157" s="53" t="n">
        <v>0</v>
      </c>
      <c r="BC157" s="52" t="n">
        <v>0</v>
      </c>
      <c r="BD157" s="53" t="n">
        <v>0</v>
      </c>
      <c r="BE157" s="52" t="n">
        <v>10.99</v>
      </c>
      <c r="BF157" s="51" t="n">
        <v>0</v>
      </c>
    </row>
    <row r="158">
      <c r="A158">
        <f>HYPERLINK("https://www.walmart.com/ip/786403253", "786403253")</f>
        <v/>
      </c>
      <c r="B158" t="inlineStr">
        <is>
          <t>Tirrinia Small Insulated Lunch Bag for Adult&amp;Kids,Splash Proof Mini Portable Reusable Thermal Lunch Box Cooler Tote for Student Back to School,Dark Blue</t>
        </is>
      </c>
      <c r="C158" t="inlineStr">
        <is>
          <t>1TRLB100DB</t>
        </is>
      </c>
      <c r="D158" t="inlineStr">
        <is>
          <t>Reusable Lunch Bags &amp; Boxes</t>
        </is>
      </c>
      <c r="E158" t="inlineStr">
        <is>
          <t>Tirrinia</t>
        </is>
      </c>
      <c r="F158" t="inlineStr">
        <is>
          <t>Q2-Target,Lunch Bag,SEM</t>
        </is>
      </c>
      <c r="G158" s="48" t="n">
        <v>10.99</v>
      </c>
      <c r="H158" s="49" t="n">
        <v>1</v>
      </c>
      <c r="I158" s="49" t="n">
        <v>8</v>
      </c>
      <c r="J158" s="50" t="n">
        <v>0.125</v>
      </c>
      <c r="K158" s="51" t="n">
        <v>0</v>
      </c>
      <c r="L158" s="52" t="n">
        <v>0</v>
      </c>
      <c r="M158" s="52" t="n">
        <v>0</v>
      </c>
      <c r="N158" s="52" t="n">
        <v>0</v>
      </c>
      <c r="O158" s="53" t="n">
        <v>0</v>
      </c>
      <c r="P158" s="52" t="n">
        <v>0</v>
      </c>
      <c r="Q158" s="53" t="n">
        <v>0</v>
      </c>
      <c r="R158" s="52" t="n">
        <v>10.99</v>
      </c>
      <c r="S158" s="51" t="n">
        <v>0</v>
      </c>
      <c r="T158" s="48" t="n">
        <v>65.94</v>
      </c>
      <c r="U158" s="49" t="n">
        <v>6</v>
      </c>
      <c r="V158" s="49" t="n">
        <v>16</v>
      </c>
      <c r="W158" s="50" t="n">
        <v>0.375</v>
      </c>
      <c r="X158" s="51" t="n">
        <v>0</v>
      </c>
      <c r="Y158" s="52" t="n">
        <v>0</v>
      </c>
      <c r="Z158" s="52" t="n">
        <v>0</v>
      </c>
      <c r="AA158" s="52" t="n">
        <v>0</v>
      </c>
      <c r="AB158" s="53" t="n">
        <v>0</v>
      </c>
      <c r="AC158" s="52" t="n">
        <v>0</v>
      </c>
      <c r="AD158" s="53" t="n">
        <v>0</v>
      </c>
      <c r="AE158" s="52" t="n">
        <v>10.99</v>
      </c>
      <c r="AF158" s="51" t="n">
        <v>0</v>
      </c>
      <c r="AG158" s="48" t="n">
        <v>21.98</v>
      </c>
      <c r="AH158" s="49" t="n">
        <v>2</v>
      </c>
      <c r="AI158" s="49" t="n">
        <v>12</v>
      </c>
      <c r="AJ158" s="50" t="n">
        <v>0.1666666666666667</v>
      </c>
      <c r="AK158" s="51" t="n">
        <v>0</v>
      </c>
      <c r="AL158" s="52" t="n">
        <v>0</v>
      </c>
      <c r="AM158" s="52" t="n">
        <v>0</v>
      </c>
      <c r="AN158" s="52" t="n">
        <v>0</v>
      </c>
      <c r="AO158" s="53" t="n">
        <v>0</v>
      </c>
      <c r="AP158" s="52" t="n">
        <v>0</v>
      </c>
      <c r="AQ158" s="53" t="n">
        <v>0</v>
      </c>
      <c r="AR158" s="52" t="n">
        <v>10.99</v>
      </c>
      <c r="AS158" s="51" t="n">
        <v>0</v>
      </c>
      <c r="AT158" s="48" t="n">
        <v>32.97</v>
      </c>
      <c r="AU158" s="49" t="n">
        <v>3</v>
      </c>
      <c r="AV158" s="49" t="n">
        <v>4</v>
      </c>
      <c r="AW158" s="50" t="n">
        <v>0.75</v>
      </c>
      <c r="AX158" s="51" t="n">
        <v>0</v>
      </c>
      <c r="AY158" s="52" t="n">
        <v>0</v>
      </c>
      <c r="AZ158" s="52" t="n">
        <v>0</v>
      </c>
      <c r="BA158" s="52" t="n">
        <v>0</v>
      </c>
      <c r="BB158" s="53" t="n">
        <v>0</v>
      </c>
      <c r="BC158" s="52" t="n">
        <v>0</v>
      </c>
      <c r="BD158" s="53" t="n">
        <v>0</v>
      </c>
      <c r="BE158" s="52" t="n">
        <v>10.99</v>
      </c>
      <c r="BF158" s="51" t="n">
        <v>0</v>
      </c>
    </row>
    <row r="159">
      <c r="A159">
        <f>HYPERLINK("https://www.walmart.com/ip/1960805917", "1960805917")</f>
        <v/>
      </c>
      <c r="B159" t="inlineStr">
        <is>
          <t>Tirrinia Insulated Lunch Box for Women | Lunch Bags for Women, Girls, Teens | Cute Pink Reusable Thermal Lunch Tote Purse Cooler for Kids, School, Work, Office, Adult | Fits 10 Cans (Pink Watermelon)</t>
        </is>
      </c>
      <c r="C159" t="inlineStr">
        <is>
          <t>1WMLB706PKMEL</t>
        </is>
      </c>
      <c r="D159" t="inlineStr">
        <is>
          <t>Reusable Lunch Bags &amp; Boxes</t>
        </is>
      </c>
      <c r="E159" t="inlineStr">
        <is>
          <t>Tirrinia</t>
        </is>
      </c>
      <c r="F159" t="inlineStr">
        <is>
          <t>Q2-Target,Brand Camp VD</t>
        </is>
      </c>
      <c r="G159" s="48" t="n">
        <v>10.99</v>
      </c>
      <c r="H159" s="49" t="n">
        <v>1</v>
      </c>
      <c r="I159" s="49" t="n">
        <v>26</v>
      </c>
      <c r="J159" s="50" t="n">
        <v>0.03846153846153846</v>
      </c>
      <c r="K159" s="51" t="n">
        <v>0</v>
      </c>
      <c r="L159" s="52" t="n">
        <v>0</v>
      </c>
      <c r="M159" s="52" t="n">
        <v>0</v>
      </c>
      <c r="N159" s="52" t="n">
        <v>0</v>
      </c>
      <c r="O159" s="53" t="n">
        <v>0</v>
      </c>
      <c r="P159" s="52" t="n">
        <v>0</v>
      </c>
      <c r="Q159" s="53" t="n">
        <v>0</v>
      </c>
      <c r="R159" s="52" t="n">
        <v>10.99</v>
      </c>
      <c r="S159" s="51" t="n">
        <v>0</v>
      </c>
      <c r="T159" s="48" t="n">
        <v>0</v>
      </c>
      <c r="U159" s="49" t="n">
        <v>0</v>
      </c>
      <c r="V159" s="49" t="n">
        <v>25</v>
      </c>
      <c r="W159" s="50" t="n">
        <v>0</v>
      </c>
      <c r="X159" s="51" t="n">
        <v>0</v>
      </c>
      <c r="Y159" s="52" t="n">
        <v>0</v>
      </c>
      <c r="Z159" s="52" t="n">
        <v>0</v>
      </c>
      <c r="AA159" s="52" t="n">
        <v>0</v>
      </c>
      <c r="AB159" s="53" t="n">
        <v>0</v>
      </c>
      <c r="AC159" s="52" t="n">
        <v>0</v>
      </c>
      <c r="AD159" s="53" t="n">
        <v>0</v>
      </c>
      <c r="AE159" s="52" t="n">
        <v>0</v>
      </c>
      <c r="AF159" s="51" t="n">
        <v>0</v>
      </c>
      <c r="AG159" s="48" t="n">
        <v>21.98</v>
      </c>
      <c r="AH159" s="49" t="n">
        <v>2</v>
      </c>
      <c r="AI159" s="49" t="n">
        <v>39</v>
      </c>
      <c r="AJ159" s="50" t="n">
        <v>0.05128205128205128</v>
      </c>
      <c r="AK159" s="51" t="n">
        <v>0</v>
      </c>
      <c r="AL159" s="52" t="n">
        <v>0</v>
      </c>
      <c r="AM159" s="52" t="n">
        <v>0</v>
      </c>
      <c r="AN159" s="52" t="n">
        <v>0</v>
      </c>
      <c r="AO159" s="53" t="n">
        <v>0</v>
      </c>
      <c r="AP159" s="52" t="n">
        <v>0</v>
      </c>
      <c r="AQ159" s="53" t="n">
        <v>0</v>
      </c>
      <c r="AR159" s="52" t="n">
        <v>10.99</v>
      </c>
      <c r="AS159" s="51" t="n">
        <v>0</v>
      </c>
      <c r="AT159" s="48" t="n">
        <v>21.98</v>
      </c>
      <c r="AU159" s="49" t="n">
        <v>2</v>
      </c>
      <c r="AV159" s="49" t="n">
        <v>54</v>
      </c>
      <c r="AW159" s="50" t="n">
        <v>0.03703703703703703</v>
      </c>
      <c r="AX159" s="51" t="n">
        <v>0</v>
      </c>
      <c r="AY159" s="52" t="n">
        <v>0</v>
      </c>
      <c r="AZ159" s="52" t="n">
        <v>0</v>
      </c>
      <c r="BA159" s="52" t="n">
        <v>0</v>
      </c>
      <c r="BB159" s="53" t="n">
        <v>0</v>
      </c>
      <c r="BC159" s="52" t="n">
        <v>0</v>
      </c>
      <c r="BD159" s="53" t="n">
        <v>0</v>
      </c>
      <c r="BE159" s="52" t="n">
        <v>10.99</v>
      </c>
      <c r="BF159" s="51" t="n">
        <v>0</v>
      </c>
    </row>
    <row r="160">
      <c r="A160">
        <f>HYPERLINK("https://www.walmart.com/ip/509023872", "509023872")</f>
        <v/>
      </c>
      <c r="B160" t="inlineStr">
        <is>
          <t>Tirrinia Small Portable Reusable Thermal Insulated Lunch Bag To Keep Your Snacks,Drinks And Meals At A Consistent Temperature For Adult Kids,Charcoal</t>
        </is>
      </c>
      <c r="C160" t="inlineStr">
        <is>
          <t>1TRLB100CH</t>
        </is>
      </c>
      <c r="D160" t="inlineStr">
        <is>
          <t>Reusable Lunch Bags &amp; Boxes</t>
        </is>
      </c>
      <c r="E160" t="inlineStr">
        <is>
          <t>Tirrinia</t>
        </is>
      </c>
      <c r="F160" t="inlineStr">
        <is>
          <t>Q2-Target,Brand Camp VD,Lunch Bag,Optimized,Lunch Bags,SEM</t>
        </is>
      </c>
      <c r="G160" s="48" t="n">
        <v>10.99</v>
      </c>
      <c r="H160" s="49" t="n">
        <v>1</v>
      </c>
      <c r="I160" s="49" t="n">
        <v>69</v>
      </c>
      <c r="J160" s="50" t="n">
        <v>0.01449275362318841</v>
      </c>
      <c r="K160" s="51" t="n">
        <v>0</v>
      </c>
      <c r="L160" s="52" t="n">
        <v>0</v>
      </c>
      <c r="M160" s="52" t="n">
        <v>0</v>
      </c>
      <c r="N160" s="52" t="n">
        <v>0</v>
      </c>
      <c r="O160" s="53" t="n">
        <v>0</v>
      </c>
      <c r="P160" s="52" t="n">
        <v>0</v>
      </c>
      <c r="Q160" s="53" t="n">
        <v>0</v>
      </c>
      <c r="R160" s="52" t="n">
        <v>10.99</v>
      </c>
      <c r="S160" s="51" t="n">
        <v>0</v>
      </c>
      <c r="T160" s="48" t="n">
        <v>0</v>
      </c>
      <c r="U160" s="49" t="n">
        <v>0</v>
      </c>
      <c r="V160" s="49" t="n">
        <v>58</v>
      </c>
      <c r="W160" s="50" t="n">
        <v>0</v>
      </c>
      <c r="X160" s="51" t="n">
        <v>0</v>
      </c>
      <c r="Y160" s="52" t="n">
        <v>0</v>
      </c>
      <c r="Z160" s="52" t="n">
        <v>0</v>
      </c>
      <c r="AA160" s="52" t="n">
        <v>0</v>
      </c>
      <c r="AB160" s="53" t="n">
        <v>0</v>
      </c>
      <c r="AC160" s="52" t="n">
        <v>0</v>
      </c>
      <c r="AD160" s="53" t="n">
        <v>0</v>
      </c>
      <c r="AE160" s="52" t="n">
        <v>0</v>
      </c>
      <c r="AF160" s="51" t="n">
        <v>0</v>
      </c>
      <c r="AG160" s="48" t="n">
        <v>58.95</v>
      </c>
      <c r="AH160" s="49" t="n">
        <v>4</v>
      </c>
      <c r="AI160" s="49" t="n">
        <v>73</v>
      </c>
      <c r="AJ160" s="50" t="n">
        <v>0.0547945205479452</v>
      </c>
      <c r="AK160" s="51" t="n">
        <v>0</v>
      </c>
      <c r="AL160" s="52" t="n">
        <v>0</v>
      </c>
      <c r="AM160" s="52" t="n">
        <v>0</v>
      </c>
      <c r="AN160" s="52" t="n">
        <v>0</v>
      </c>
      <c r="AO160" s="53" t="n">
        <v>0</v>
      </c>
      <c r="AP160" s="52" t="n">
        <v>0</v>
      </c>
      <c r="AQ160" s="53" t="n">
        <v>0</v>
      </c>
      <c r="AR160" s="52" t="n">
        <v>14.7375</v>
      </c>
      <c r="AS160" s="51" t="n">
        <v>0</v>
      </c>
      <c r="AT160" s="48" t="n">
        <v>12.99</v>
      </c>
      <c r="AU160" s="49" t="n">
        <v>1</v>
      </c>
      <c r="AV160" s="49" t="n">
        <v>64</v>
      </c>
      <c r="AW160" s="50" t="n">
        <v>0.015625</v>
      </c>
      <c r="AX160" s="51" t="n">
        <v>0</v>
      </c>
      <c r="AY160" s="52" t="n">
        <v>0</v>
      </c>
      <c r="AZ160" s="52" t="n">
        <v>0</v>
      </c>
      <c r="BA160" s="52" t="n">
        <v>0</v>
      </c>
      <c r="BB160" s="53" t="n">
        <v>0</v>
      </c>
      <c r="BC160" s="52" t="n">
        <v>0</v>
      </c>
      <c r="BD160" s="53" t="n">
        <v>0</v>
      </c>
      <c r="BE160" s="52" t="n">
        <v>12.99</v>
      </c>
      <c r="BF160" s="51" t="n">
        <v>0</v>
      </c>
    </row>
    <row r="161">
      <c r="A161">
        <f>HYPERLINK("https://www.walmart.com/ip/838748281", "838748281")</f>
        <v/>
      </c>
      <c r="B161" t="inlineStr">
        <is>
          <t>Tirrinia Small Insulated Lunch Bag for Adult&amp;Kids,Splash Proof Mini Portable Reusable Thermal Lunch Box Cooler Tote for Student Back to School,Black &amp; Grey</t>
        </is>
      </c>
      <c r="C161" t="inlineStr">
        <is>
          <t>1TRLB100BKGY</t>
        </is>
      </c>
      <c r="D161" t="inlineStr">
        <is>
          <t>Reusable Lunch Bags &amp; Boxes</t>
        </is>
      </c>
      <c r="E161" t="inlineStr">
        <is>
          <t>Tirrinia</t>
        </is>
      </c>
      <c r="F161" t="inlineStr">
        <is>
          <t>Lunch Bag,Lunch Bags</t>
        </is>
      </c>
      <c r="G161" s="48" t="n">
        <v>10.99</v>
      </c>
      <c r="H161" s="49" t="n">
        <v>1</v>
      </c>
      <c r="I161" s="49" t="n">
        <v>6</v>
      </c>
      <c r="J161" s="50" t="n">
        <v>0.1666666666666667</v>
      </c>
      <c r="K161" s="51" t="n">
        <v>0</v>
      </c>
      <c r="L161" s="52" t="n">
        <v>0</v>
      </c>
      <c r="M161" s="52" t="n">
        <v>0</v>
      </c>
      <c r="N161" s="52" t="n">
        <v>0</v>
      </c>
      <c r="O161" s="53" t="n">
        <v>0</v>
      </c>
      <c r="P161" s="52" t="n">
        <v>0</v>
      </c>
      <c r="Q161" s="53" t="n">
        <v>0</v>
      </c>
      <c r="R161" s="52" t="n">
        <v>10.99</v>
      </c>
      <c r="S161" s="51" t="n">
        <v>0</v>
      </c>
      <c r="T161" s="48" t="n">
        <v>87.92</v>
      </c>
      <c r="U161" s="49" t="n">
        <v>8</v>
      </c>
      <c r="V161" s="49" t="n">
        <v>23</v>
      </c>
      <c r="W161" s="50" t="n">
        <v>0.3478260869565217</v>
      </c>
      <c r="X161" s="51" t="n">
        <v>0</v>
      </c>
      <c r="Y161" s="52" t="n">
        <v>0</v>
      </c>
      <c r="Z161" s="52" t="n">
        <v>0</v>
      </c>
      <c r="AA161" s="52" t="n">
        <v>0</v>
      </c>
      <c r="AB161" s="53" t="n">
        <v>0</v>
      </c>
      <c r="AC161" s="52" t="n">
        <v>0</v>
      </c>
      <c r="AD161" s="53" t="n">
        <v>0</v>
      </c>
      <c r="AE161" s="52" t="n">
        <v>10.99</v>
      </c>
      <c r="AF161" s="51" t="n">
        <v>0</v>
      </c>
      <c r="AG161" s="48" t="n">
        <v>21.98</v>
      </c>
      <c r="AH161" s="49" t="n">
        <v>2</v>
      </c>
      <c r="AI161" s="49" t="n">
        <v>17</v>
      </c>
      <c r="AJ161" s="50" t="n">
        <v>0.1176470588235294</v>
      </c>
      <c r="AK161" s="51" t="n">
        <v>0</v>
      </c>
      <c r="AL161" s="52" t="n">
        <v>0</v>
      </c>
      <c r="AM161" s="52" t="n">
        <v>0</v>
      </c>
      <c r="AN161" s="52" t="n">
        <v>0</v>
      </c>
      <c r="AO161" s="53" t="n">
        <v>0</v>
      </c>
      <c r="AP161" s="52" t="n">
        <v>0</v>
      </c>
      <c r="AQ161" s="53" t="n">
        <v>0</v>
      </c>
      <c r="AR161" s="52" t="n">
        <v>10.99</v>
      </c>
      <c r="AS161" s="51" t="n">
        <v>0</v>
      </c>
      <c r="AT161" s="48" t="n">
        <v>21.98</v>
      </c>
      <c r="AU161" s="49" t="n">
        <v>2</v>
      </c>
      <c r="AV161" s="49" t="n">
        <v>8</v>
      </c>
      <c r="AW161" s="50" t="n">
        <v>0.25</v>
      </c>
      <c r="AX161" s="51" t="n">
        <v>0</v>
      </c>
      <c r="AY161" s="52" t="n">
        <v>0</v>
      </c>
      <c r="AZ161" s="52" t="n">
        <v>0</v>
      </c>
      <c r="BA161" s="52" t="n">
        <v>0</v>
      </c>
      <c r="BB161" s="53" t="n">
        <v>0</v>
      </c>
      <c r="BC161" s="52" t="n">
        <v>0</v>
      </c>
      <c r="BD161" s="53" t="n">
        <v>0</v>
      </c>
      <c r="BE161" s="52" t="n">
        <v>10.99</v>
      </c>
      <c r="BF161" s="51" t="n">
        <v>0</v>
      </c>
    </row>
    <row r="162">
      <c r="A162">
        <f>HYPERLINK("https://www.walmart.com/ip/3062581289", "3062581289")</f>
        <v/>
      </c>
      <c r="B162" t="inlineStr">
        <is>
          <t>Tirrinia Insulated Lunch Box for Women | Lunch Bags for Women, Girls, Teens | Cute Grey Reusable Thermal Lunch Tote Purse Cooler for Kids, School, Work, Office, Adult | Fits 10 Cans (Gray Stripe)</t>
        </is>
      </c>
      <c r="C162" t="inlineStr">
        <is>
          <t>1WMLB706GYSTR</t>
        </is>
      </c>
      <c r="D162" t="inlineStr">
        <is>
          <t>Reusable Lunch Bags &amp; Boxes</t>
        </is>
      </c>
      <c r="E162" t="inlineStr">
        <is>
          <t>Tirrinia</t>
        </is>
      </c>
      <c r="F162" t="inlineStr">
        <is>
          <t>Q2-Target,Brand Camp VD</t>
        </is>
      </c>
      <c r="G162" s="48" t="n">
        <v>9.99</v>
      </c>
      <c r="H162" s="49" t="n">
        <v>1</v>
      </c>
      <c r="I162" s="49" t="n">
        <v>16</v>
      </c>
      <c r="J162" s="50" t="n">
        <v>0.0625</v>
      </c>
      <c r="K162" s="51" t="n">
        <v>0</v>
      </c>
      <c r="L162" s="52" t="n">
        <v>0</v>
      </c>
      <c r="M162" s="52" t="n">
        <v>0</v>
      </c>
      <c r="N162" s="52" t="n">
        <v>0</v>
      </c>
      <c r="O162" s="53" t="n">
        <v>0</v>
      </c>
      <c r="P162" s="52" t="n">
        <v>0</v>
      </c>
      <c r="Q162" s="53" t="n">
        <v>0</v>
      </c>
      <c r="R162" s="52" t="n">
        <v>9.99</v>
      </c>
      <c r="S162" s="51" t="n">
        <v>0</v>
      </c>
      <c r="T162" s="48" t="n">
        <v>29.97</v>
      </c>
      <c r="U162" s="49" t="n">
        <v>3</v>
      </c>
      <c r="V162" s="49" t="n">
        <v>16</v>
      </c>
      <c r="W162" s="50" t="n">
        <v>0.1875</v>
      </c>
      <c r="X162" s="51" t="n">
        <v>0</v>
      </c>
      <c r="Y162" s="52" t="n">
        <v>0</v>
      </c>
      <c r="Z162" s="52" t="n">
        <v>0</v>
      </c>
      <c r="AA162" s="52" t="n">
        <v>0</v>
      </c>
      <c r="AB162" s="53" t="n">
        <v>0</v>
      </c>
      <c r="AC162" s="52" t="n">
        <v>0</v>
      </c>
      <c r="AD162" s="53" t="n">
        <v>0</v>
      </c>
      <c r="AE162" s="52" t="n">
        <v>9.99</v>
      </c>
      <c r="AF162" s="51" t="n">
        <v>0</v>
      </c>
      <c r="AG162" s="48" t="n">
        <v>69.93000000000001</v>
      </c>
      <c r="AH162" s="49" t="n">
        <v>7</v>
      </c>
      <c r="AI162" s="49" t="n">
        <v>10</v>
      </c>
      <c r="AJ162" s="50" t="n">
        <v>0.7</v>
      </c>
      <c r="AK162" s="51" t="n">
        <v>0</v>
      </c>
      <c r="AL162" s="52" t="n">
        <v>0</v>
      </c>
      <c r="AM162" s="52" t="n">
        <v>0</v>
      </c>
      <c r="AN162" s="52" t="n">
        <v>0</v>
      </c>
      <c r="AO162" s="53" t="n">
        <v>0</v>
      </c>
      <c r="AP162" s="52" t="n">
        <v>0</v>
      </c>
      <c r="AQ162" s="53" t="n">
        <v>0</v>
      </c>
      <c r="AR162" s="52" t="n">
        <v>9.99</v>
      </c>
      <c r="AS162" s="51" t="n">
        <v>0</v>
      </c>
      <c r="AT162" s="48" t="n">
        <v>0</v>
      </c>
      <c r="AU162" s="49" t="n">
        <v>0</v>
      </c>
      <c r="AV162" s="49" t="n">
        <v>2</v>
      </c>
      <c r="AW162" s="50" t="n">
        <v>0</v>
      </c>
      <c r="AX162" s="51" t="n">
        <v>0</v>
      </c>
      <c r="AY162" s="52" t="n">
        <v>0</v>
      </c>
      <c r="AZ162" s="52" t="n">
        <v>0</v>
      </c>
      <c r="BA162" s="52" t="n">
        <v>0</v>
      </c>
      <c r="BB162" s="53" t="n">
        <v>0</v>
      </c>
      <c r="BC162" s="52" t="n">
        <v>0</v>
      </c>
      <c r="BD162" s="53" t="n">
        <v>0</v>
      </c>
      <c r="BE162" s="52" t="n">
        <v>0</v>
      </c>
      <c r="BF162" s="51" t="n">
        <v>0</v>
      </c>
    </row>
    <row r="163">
      <c r="A163">
        <f>HYPERLINK("https://www.walmart.com/ip/857437937", "857437937")</f>
        <v/>
      </c>
      <c r="B163" t="inlineStr">
        <is>
          <t>Tirrinia  Womens Wide Brim Bucket Hats UPF 50+ Outdoor Gardening Sun Caps Khaki</t>
        </is>
      </c>
      <c r="C163" t="inlineStr">
        <is>
          <t>1TRSH189KK-TBCB</t>
        </is>
      </c>
      <c r="D163" t="inlineStr">
        <is>
          <t>Hats</t>
        </is>
      </c>
      <c r="E163" t="inlineStr">
        <is>
          <t>Tirrinia</t>
        </is>
      </c>
      <c r="F163" t="inlineStr">
        <is>
          <t>Batch 1 - TR</t>
        </is>
      </c>
      <c r="G163" s="48" t="n">
        <v>9.99</v>
      </c>
      <c r="H163" s="49" t="n">
        <v>1</v>
      </c>
      <c r="I163" s="49" t="n">
        <v>0</v>
      </c>
      <c r="J163" s="50" t="n">
        <v>0</v>
      </c>
      <c r="K163" s="51" t="n">
        <v>0</v>
      </c>
      <c r="L163" s="52" t="n">
        <v>0</v>
      </c>
      <c r="M163" s="52" t="n">
        <v>0</v>
      </c>
      <c r="N163" s="52" t="n">
        <v>0</v>
      </c>
      <c r="O163" s="53" t="n">
        <v>0</v>
      </c>
      <c r="P163" s="52" t="n">
        <v>0</v>
      </c>
      <c r="Q163" s="53" t="n">
        <v>0</v>
      </c>
      <c r="R163" s="52" t="n">
        <v>9.99</v>
      </c>
      <c r="S163" s="51" t="n">
        <v>0</v>
      </c>
      <c r="T163" s="48" t="n">
        <v>9.99</v>
      </c>
      <c r="U163" s="49" t="n">
        <v>1</v>
      </c>
      <c r="V163" s="49" t="n">
        <v>0</v>
      </c>
      <c r="W163" s="50" t="n">
        <v>0</v>
      </c>
      <c r="X163" s="51" t="n">
        <v>0</v>
      </c>
      <c r="Y163" s="52" t="n">
        <v>0</v>
      </c>
      <c r="Z163" s="52" t="n">
        <v>0</v>
      </c>
      <c r="AA163" s="52" t="n">
        <v>0</v>
      </c>
      <c r="AB163" s="53" t="n">
        <v>0</v>
      </c>
      <c r="AC163" s="52" t="n">
        <v>0</v>
      </c>
      <c r="AD163" s="53" t="n">
        <v>0</v>
      </c>
      <c r="AE163" s="52" t="n">
        <v>9.99</v>
      </c>
      <c r="AF163" s="51" t="n">
        <v>0</v>
      </c>
      <c r="AG163" s="48" t="n">
        <v>0</v>
      </c>
      <c r="AH163" s="49" t="n">
        <v>0</v>
      </c>
      <c r="AI163" s="49" t="n">
        <v>0</v>
      </c>
      <c r="AJ163" s="50" t="n">
        <v>0</v>
      </c>
      <c r="AK163" s="51" t="n">
        <v>0</v>
      </c>
      <c r="AL163" s="52" t="n">
        <v>0</v>
      </c>
      <c r="AM163" s="52" t="n">
        <v>0</v>
      </c>
      <c r="AN163" s="52" t="n">
        <v>0</v>
      </c>
      <c r="AO163" s="53" t="n">
        <v>0</v>
      </c>
      <c r="AP163" s="52" t="n">
        <v>0</v>
      </c>
      <c r="AQ163" s="53" t="n">
        <v>0</v>
      </c>
      <c r="AR163" s="52" t="n">
        <v>0</v>
      </c>
      <c r="AS163" s="51" t="n">
        <v>0</v>
      </c>
      <c r="AT163" s="48" t="n">
        <v>0</v>
      </c>
      <c r="AU163" s="49" t="n">
        <v>0</v>
      </c>
      <c r="AV163" s="49" t="n">
        <v>0</v>
      </c>
      <c r="AW163" s="50" t="n">
        <v>0</v>
      </c>
      <c r="AX163" s="51" t="n">
        <v>0</v>
      </c>
      <c r="AY163" s="52" t="n">
        <v>0</v>
      </c>
      <c r="AZ163" s="52" t="n">
        <v>0</v>
      </c>
      <c r="BA163" s="52" t="n">
        <v>0</v>
      </c>
      <c r="BB163" s="53" t="n">
        <v>0</v>
      </c>
      <c r="BC163" s="52" t="n">
        <v>0</v>
      </c>
      <c r="BD163" s="53" t="n">
        <v>0</v>
      </c>
      <c r="BE163" s="52" t="n">
        <v>0</v>
      </c>
      <c r="BF163" s="51" t="n">
        <v>0</v>
      </c>
    </row>
    <row r="164">
      <c r="A164">
        <f>HYPERLINK("https://www.walmart.com/ip/752540737", "752540737")</f>
        <v/>
      </c>
      <c r="B164" t="inlineStr">
        <is>
          <t>Tirrinia Bucket Hats for Women with Hawaii Flower Print | UPF 50+ Sun Protection Cap for Garden, Beach, Travel</t>
        </is>
      </c>
      <c r="C164" t="inlineStr">
        <is>
          <t>1TRSH9200FGR-TBGM</t>
        </is>
      </c>
      <c r="D164" t="inlineStr">
        <is>
          <t>Hats</t>
        </is>
      </c>
      <c r="E164" t="inlineStr">
        <is>
          <t>Tirrinia</t>
        </is>
      </c>
      <c r="F164" t="inlineStr">
        <is>
          <t>Batch 1 - TR</t>
        </is>
      </c>
      <c r="G164" s="48" t="n">
        <v>9.99</v>
      </c>
      <c r="H164" s="49" t="n">
        <v>1</v>
      </c>
      <c r="I164" s="49" t="n">
        <v>0</v>
      </c>
      <c r="J164" s="50" t="n">
        <v>0</v>
      </c>
      <c r="K164" s="51" t="n">
        <v>0</v>
      </c>
      <c r="L164" s="52" t="n">
        <v>0</v>
      </c>
      <c r="M164" s="52" t="n">
        <v>0</v>
      </c>
      <c r="N164" s="52" t="n">
        <v>0</v>
      </c>
      <c r="O164" s="53" t="n">
        <v>0</v>
      </c>
      <c r="P164" s="52" t="n">
        <v>0</v>
      </c>
      <c r="Q164" s="53" t="n">
        <v>0</v>
      </c>
      <c r="R164" s="52" t="n">
        <v>9.99</v>
      </c>
      <c r="S164" s="51" t="n">
        <v>0</v>
      </c>
      <c r="T164" s="48" t="n">
        <v>0</v>
      </c>
      <c r="U164" s="49" t="n">
        <v>0</v>
      </c>
      <c r="V164" s="49" t="n">
        <v>0</v>
      </c>
      <c r="W164" s="50" t="n">
        <v>0</v>
      </c>
      <c r="X164" s="51" t="n">
        <v>0</v>
      </c>
      <c r="Y164" s="52" t="n">
        <v>0</v>
      </c>
      <c r="Z164" s="52" t="n">
        <v>0</v>
      </c>
      <c r="AA164" s="52" t="n">
        <v>0</v>
      </c>
      <c r="AB164" s="53" t="n">
        <v>0</v>
      </c>
      <c r="AC164" s="52" t="n">
        <v>0</v>
      </c>
      <c r="AD164" s="53" t="n">
        <v>0</v>
      </c>
      <c r="AE164" s="52" t="n">
        <v>0</v>
      </c>
      <c r="AF164" s="51" t="n">
        <v>0</v>
      </c>
      <c r="AG164" s="48" t="n">
        <v>0</v>
      </c>
      <c r="AH164" s="49" t="n">
        <v>0</v>
      </c>
      <c r="AI164" s="49" t="n">
        <v>0</v>
      </c>
      <c r="AJ164" s="50" t="n">
        <v>0</v>
      </c>
      <c r="AK164" s="51" t="n">
        <v>0</v>
      </c>
      <c r="AL164" s="52" t="n">
        <v>0</v>
      </c>
      <c r="AM164" s="52" t="n">
        <v>0</v>
      </c>
      <c r="AN164" s="52" t="n">
        <v>0</v>
      </c>
      <c r="AO164" s="53" t="n">
        <v>0</v>
      </c>
      <c r="AP164" s="52" t="n">
        <v>0</v>
      </c>
      <c r="AQ164" s="53" t="n">
        <v>0</v>
      </c>
      <c r="AR164" s="52" t="n">
        <v>0</v>
      </c>
      <c r="AS164" s="51" t="n">
        <v>0</v>
      </c>
      <c r="AT164" s="48" t="n">
        <v>0</v>
      </c>
      <c r="AU164" s="49" t="n">
        <v>0</v>
      </c>
      <c r="AV164" s="49" t="n">
        <v>0</v>
      </c>
      <c r="AW164" s="50" t="n">
        <v>0</v>
      </c>
      <c r="AX164" s="51" t="n">
        <v>0</v>
      </c>
      <c r="AY164" s="52" t="n">
        <v>0</v>
      </c>
      <c r="AZ164" s="52" t="n">
        <v>0</v>
      </c>
      <c r="BA164" s="52" t="n">
        <v>0</v>
      </c>
      <c r="BB164" s="53" t="n">
        <v>0</v>
      </c>
      <c r="BC164" s="52" t="n">
        <v>0</v>
      </c>
      <c r="BD164" s="53" t="n">
        <v>0</v>
      </c>
      <c r="BE164" s="52" t="n">
        <v>0</v>
      </c>
      <c r="BF164" s="51" t="n">
        <v>0</v>
      </c>
    </row>
    <row r="165">
      <c r="A165">
        <f>HYPERLINK("https://www.walmart.com/ip/838734473", "838734473")</f>
        <v/>
      </c>
      <c r="B165" t="inlineStr">
        <is>
          <t>Solaris Men's Sun Protection Hat, Wide Brim Hat with Removable Bill Neck Flap for Men Women, Beige</t>
        </is>
      </c>
      <c r="C165" t="inlineStr">
        <is>
          <t>1SLSH382BE</t>
        </is>
      </c>
      <c r="D165" t="inlineStr">
        <is>
          <t>Hats</t>
        </is>
      </c>
      <c r="E165" t="inlineStr">
        <is>
          <t>Solaris</t>
        </is>
      </c>
      <c r="F165" t="inlineStr">
        <is>
          <t>Q2-Target,Optimized,Hats</t>
        </is>
      </c>
      <c r="G165" s="48" t="n">
        <v>9.99</v>
      </c>
      <c r="H165" s="49" t="n">
        <v>1</v>
      </c>
      <c r="I165" s="49" t="n">
        <v>4</v>
      </c>
      <c r="J165" s="50" t="n">
        <v>0.25</v>
      </c>
      <c r="K165" s="51" t="n">
        <v>0</v>
      </c>
      <c r="L165" s="52" t="n">
        <v>0</v>
      </c>
      <c r="M165" s="52" t="n">
        <v>0</v>
      </c>
      <c r="N165" s="52" t="n">
        <v>0</v>
      </c>
      <c r="O165" s="53" t="n">
        <v>0</v>
      </c>
      <c r="P165" s="52" t="n">
        <v>0</v>
      </c>
      <c r="Q165" s="53" t="n">
        <v>0</v>
      </c>
      <c r="R165" s="52" t="n">
        <v>9.99</v>
      </c>
      <c r="S165" s="51" t="n">
        <v>0</v>
      </c>
      <c r="T165" s="48" t="n">
        <v>9.99</v>
      </c>
      <c r="U165" s="49" t="n">
        <v>1</v>
      </c>
      <c r="V165" s="49" t="n">
        <v>3</v>
      </c>
      <c r="W165" s="50" t="n">
        <v>0.3333333333333333</v>
      </c>
      <c r="X165" s="51" t="n">
        <v>0</v>
      </c>
      <c r="Y165" s="52" t="n">
        <v>0</v>
      </c>
      <c r="Z165" s="52" t="n">
        <v>0</v>
      </c>
      <c r="AA165" s="52" t="n">
        <v>0</v>
      </c>
      <c r="AB165" s="53" t="n">
        <v>0</v>
      </c>
      <c r="AC165" s="52" t="n">
        <v>0</v>
      </c>
      <c r="AD165" s="53" t="n">
        <v>0</v>
      </c>
      <c r="AE165" s="52" t="n">
        <v>9.99</v>
      </c>
      <c r="AF165" s="51" t="n">
        <v>0</v>
      </c>
      <c r="AG165" s="48" t="n">
        <v>9.99</v>
      </c>
      <c r="AH165" s="49" t="n">
        <v>1</v>
      </c>
      <c r="AI165" s="49" t="n">
        <v>2</v>
      </c>
      <c r="AJ165" s="50" t="n">
        <v>0.5</v>
      </c>
      <c r="AK165" s="51" t="n">
        <v>0</v>
      </c>
      <c r="AL165" s="52" t="n">
        <v>0</v>
      </c>
      <c r="AM165" s="52" t="n">
        <v>0</v>
      </c>
      <c r="AN165" s="52" t="n">
        <v>0</v>
      </c>
      <c r="AO165" s="53" t="n">
        <v>0</v>
      </c>
      <c r="AP165" s="52" t="n">
        <v>0</v>
      </c>
      <c r="AQ165" s="53" t="n">
        <v>0</v>
      </c>
      <c r="AR165" s="52" t="n">
        <v>9.99</v>
      </c>
      <c r="AS165" s="51" t="n">
        <v>0</v>
      </c>
      <c r="AT165" s="48" t="n">
        <v>0</v>
      </c>
      <c r="AU165" s="49" t="n">
        <v>0</v>
      </c>
      <c r="AV165" s="49" t="n">
        <v>1</v>
      </c>
      <c r="AW165" s="50" t="n">
        <v>0</v>
      </c>
      <c r="AX165" s="51" t="n">
        <v>0</v>
      </c>
      <c r="AY165" s="52" t="n">
        <v>0</v>
      </c>
      <c r="AZ165" s="52" t="n">
        <v>0</v>
      </c>
      <c r="BA165" s="52" t="n">
        <v>0</v>
      </c>
      <c r="BB165" s="53" t="n">
        <v>0</v>
      </c>
      <c r="BC165" s="52" t="n">
        <v>0</v>
      </c>
      <c r="BD165" s="53" t="n">
        <v>0</v>
      </c>
      <c r="BE165" s="52" t="n">
        <v>0</v>
      </c>
      <c r="BF165" s="51" t="n">
        <v>0</v>
      </c>
    </row>
    <row r="166">
      <c r="A166">
        <f>HYPERLINK("https://www.walmart.com/ip/166343585", "166343585")</f>
        <v/>
      </c>
      <c r="B166" t="inlineStr">
        <is>
          <t>Terra Women's Reversible Sun Hat - UPF 50+, Floppy Hat for Summer Beach and Hiking, Foldable Wide Brim Cap</t>
        </is>
      </c>
      <c r="C166" t="inlineStr">
        <is>
          <t>TERRACAP-F069-RED</t>
        </is>
      </c>
      <c r="D166" t="inlineStr">
        <is>
          <t>Hats</t>
        </is>
      </c>
      <c r="E166" t="inlineStr">
        <is>
          <t>Terra</t>
        </is>
      </c>
      <c r="F166" t="inlineStr">
        <is>
          <t>Q2-Target,Hats,Batch 1 - TR</t>
        </is>
      </c>
      <c r="G166" s="48" t="n">
        <v>9.99</v>
      </c>
      <c r="H166" s="49" t="n">
        <v>1</v>
      </c>
      <c r="I166" s="49" t="n">
        <v>0</v>
      </c>
      <c r="J166" s="50" t="n">
        <v>0</v>
      </c>
      <c r="K166" s="51" t="n">
        <v>0</v>
      </c>
      <c r="L166" s="52" t="n">
        <v>0</v>
      </c>
      <c r="M166" s="52" t="n">
        <v>0</v>
      </c>
      <c r="N166" s="52" t="n">
        <v>0</v>
      </c>
      <c r="O166" s="53" t="n">
        <v>0</v>
      </c>
      <c r="P166" s="52" t="n">
        <v>0</v>
      </c>
      <c r="Q166" s="53" t="n">
        <v>0</v>
      </c>
      <c r="R166" s="52" t="n">
        <v>9.99</v>
      </c>
      <c r="S166" s="51" t="n">
        <v>0</v>
      </c>
      <c r="T166" s="48" t="n">
        <v>0</v>
      </c>
      <c r="U166" s="49" t="n">
        <v>0</v>
      </c>
      <c r="V166" s="49" t="n">
        <v>0</v>
      </c>
      <c r="W166" s="50" t="n">
        <v>0</v>
      </c>
      <c r="X166" s="51" t="n">
        <v>0</v>
      </c>
      <c r="Y166" s="52" t="n">
        <v>0</v>
      </c>
      <c r="Z166" s="52" t="n">
        <v>0</v>
      </c>
      <c r="AA166" s="52" t="n">
        <v>0</v>
      </c>
      <c r="AB166" s="53" t="n">
        <v>0</v>
      </c>
      <c r="AC166" s="52" t="n">
        <v>0</v>
      </c>
      <c r="AD166" s="53" t="n">
        <v>0</v>
      </c>
      <c r="AE166" s="52" t="n">
        <v>0</v>
      </c>
      <c r="AF166" s="51" t="n">
        <v>0</v>
      </c>
      <c r="AG166" s="48" t="n">
        <v>0</v>
      </c>
      <c r="AH166" s="49" t="n">
        <v>0</v>
      </c>
      <c r="AI166" s="49" t="n">
        <v>0</v>
      </c>
      <c r="AJ166" s="50" t="n">
        <v>0</v>
      </c>
      <c r="AK166" s="51" t="n">
        <v>0</v>
      </c>
      <c r="AL166" s="52" t="n">
        <v>0</v>
      </c>
      <c r="AM166" s="52" t="n">
        <v>0</v>
      </c>
      <c r="AN166" s="52" t="n">
        <v>0</v>
      </c>
      <c r="AO166" s="53" t="n">
        <v>0</v>
      </c>
      <c r="AP166" s="52" t="n">
        <v>0</v>
      </c>
      <c r="AQ166" s="53" t="n">
        <v>0</v>
      </c>
      <c r="AR166" s="52" t="n">
        <v>0</v>
      </c>
      <c r="AS166" s="51" t="n">
        <v>0</v>
      </c>
      <c r="AT166" s="48" t="n">
        <v>0</v>
      </c>
      <c r="AU166" s="49" t="n">
        <v>0</v>
      </c>
      <c r="AV166" s="49" t="n">
        <v>0</v>
      </c>
      <c r="AW166" s="50" t="n">
        <v>0</v>
      </c>
      <c r="AX166" s="51" t="n">
        <v>0</v>
      </c>
      <c r="AY166" s="52" t="n">
        <v>0</v>
      </c>
      <c r="AZ166" s="52" t="n">
        <v>0</v>
      </c>
      <c r="BA166" s="52" t="n">
        <v>0</v>
      </c>
      <c r="BB166" s="53" t="n">
        <v>0</v>
      </c>
      <c r="BC166" s="52" t="n">
        <v>0</v>
      </c>
      <c r="BD166" s="53" t="n">
        <v>0</v>
      </c>
      <c r="BE166" s="52" t="n">
        <v>0</v>
      </c>
      <c r="BF166" s="51" t="n">
        <v>0</v>
      </c>
    </row>
    <row r="167">
      <c r="A167">
        <f>HYPERLINK("https://www.walmart.com/ip/3686611392", "3686611392")</f>
        <v/>
      </c>
      <c r="B167" t="inlineStr">
        <is>
          <t>Tirrinia Lunch Bag for Women, Men and Kids, Cute Insulated Lunch Tote Bag, Reusable Large Cooler Lunch Bag for School, Work, Office, Picnic, 10 Cans, Medium, Blue Stripe</t>
        </is>
      </c>
      <c r="C167" t="inlineStr">
        <is>
          <t>1WMLB706BLSTR</t>
        </is>
      </c>
      <c r="D167" t="inlineStr">
        <is>
          <t>Reusable Lunch Bags &amp; Boxes</t>
        </is>
      </c>
      <c r="E167" t="inlineStr">
        <is>
          <t>Tirrinia</t>
        </is>
      </c>
      <c r="F167" t="inlineStr">
        <is>
          <t>Q2-Target,Brand Camp VD</t>
        </is>
      </c>
      <c r="G167" s="48" t="n">
        <v>9.99</v>
      </c>
      <c r="H167" s="49" t="n">
        <v>1</v>
      </c>
      <c r="I167" s="49" t="n">
        <v>21</v>
      </c>
      <c r="J167" s="50" t="n">
        <v>0.04761904761904762</v>
      </c>
      <c r="K167" s="51" t="n">
        <v>0</v>
      </c>
      <c r="L167" s="52" t="n">
        <v>0</v>
      </c>
      <c r="M167" s="52" t="n">
        <v>0</v>
      </c>
      <c r="N167" s="52" t="n">
        <v>0</v>
      </c>
      <c r="O167" s="53" t="n">
        <v>0</v>
      </c>
      <c r="P167" s="52" t="n">
        <v>0</v>
      </c>
      <c r="Q167" s="53" t="n">
        <v>0</v>
      </c>
      <c r="R167" s="52" t="n">
        <v>9.99</v>
      </c>
      <c r="S167" s="51" t="n">
        <v>0</v>
      </c>
      <c r="T167" s="48" t="n">
        <v>9.99</v>
      </c>
      <c r="U167" s="49" t="n">
        <v>1</v>
      </c>
      <c r="V167" s="49" t="n">
        <v>16</v>
      </c>
      <c r="W167" s="50" t="n">
        <v>0.0625</v>
      </c>
      <c r="X167" s="51" t="n">
        <v>0</v>
      </c>
      <c r="Y167" s="52" t="n">
        <v>0</v>
      </c>
      <c r="Z167" s="52" t="n">
        <v>0</v>
      </c>
      <c r="AA167" s="52" t="n">
        <v>0</v>
      </c>
      <c r="AB167" s="53" t="n">
        <v>0</v>
      </c>
      <c r="AC167" s="52" t="n">
        <v>0</v>
      </c>
      <c r="AD167" s="53" t="n">
        <v>0</v>
      </c>
      <c r="AE167" s="52" t="n">
        <v>9.99</v>
      </c>
      <c r="AF167" s="51" t="n">
        <v>0</v>
      </c>
      <c r="AG167" s="48" t="n">
        <v>59.94</v>
      </c>
      <c r="AH167" s="49" t="n">
        <v>6</v>
      </c>
      <c r="AI167" s="49" t="n">
        <v>16</v>
      </c>
      <c r="AJ167" s="50" t="n">
        <v>0.375</v>
      </c>
      <c r="AK167" s="51" t="n">
        <v>0</v>
      </c>
      <c r="AL167" s="52" t="n">
        <v>0</v>
      </c>
      <c r="AM167" s="52" t="n">
        <v>0</v>
      </c>
      <c r="AN167" s="52" t="n">
        <v>0</v>
      </c>
      <c r="AO167" s="53" t="n">
        <v>0</v>
      </c>
      <c r="AP167" s="52" t="n">
        <v>0</v>
      </c>
      <c r="AQ167" s="53" t="n">
        <v>0</v>
      </c>
      <c r="AR167" s="52" t="n">
        <v>9.99</v>
      </c>
      <c r="AS167" s="51" t="n">
        <v>0</v>
      </c>
      <c r="AT167" s="48" t="n">
        <v>9.99</v>
      </c>
      <c r="AU167" s="49" t="n">
        <v>1</v>
      </c>
      <c r="AV167" s="49" t="n">
        <v>27</v>
      </c>
      <c r="AW167" s="50" t="n">
        <v>0.03703703703703703</v>
      </c>
      <c r="AX167" s="51" t="n">
        <v>0</v>
      </c>
      <c r="AY167" s="52" t="n">
        <v>0</v>
      </c>
      <c r="AZ167" s="52" t="n">
        <v>0</v>
      </c>
      <c r="BA167" s="52" t="n">
        <v>0</v>
      </c>
      <c r="BB167" s="53" t="n">
        <v>0</v>
      </c>
      <c r="BC167" s="52" t="n">
        <v>0</v>
      </c>
      <c r="BD167" s="53" t="n">
        <v>0</v>
      </c>
      <c r="BE167" s="52" t="n">
        <v>9.99</v>
      </c>
      <c r="BF167" s="51" t="n">
        <v>0</v>
      </c>
    </row>
    <row r="168">
      <c r="A168">
        <f>HYPERLINK("https://www.walmart.com/ip/383430144", "383430144")</f>
        <v/>
      </c>
      <c r="B168" t="inlineStr">
        <is>
          <t>Summer Outdoor UV Protection Sun Hats Unisex Caps Wide Brim Removable Crown Mesh Net Adjustable Drawstring</t>
        </is>
      </c>
      <c r="C168" t="inlineStr">
        <is>
          <t>1TRSH895NV-TBCB</t>
        </is>
      </c>
      <c r="D168" t="inlineStr">
        <is>
          <t>Hats</t>
        </is>
      </c>
      <c r="E168" t="inlineStr">
        <is>
          <t>Tirrinia</t>
        </is>
      </c>
      <c r="F168" t="inlineStr">
        <is>
          <t>Hats,Batch 1 - TR</t>
        </is>
      </c>
      <c r="G168" s="48" t="n">
        <v>9.99</v>
      </c>
      <c r="H168" s="49" t="n">
        <v>1</v>
      </c>
      <c r="I168" s="49" t="n">
        <v>0</v>
      </c>
      <c r="J168" s="50" t="n">
        <v>0</v>
      </c>
      <c r="K168" s="51" t="n">
        <v>0</v>
      </c>
      <c r="L168" s="52" t="n">
        <v>0</v>
      </c>
      <c r="M168" s="52" t="n">
        <v>0</v>
      </c>
      <c r="N168" s="52" t="n">
        <v>0</v>
      </c>
      <c r="O168" s="53" t="n">
        <v>0</v>
      </c>
      <c r="P168" s="52" t="n">
        <v>0</v>
      </c>
      <c r="Q168" s="53" t="n">
        <v>0</v>
      </c>
      <c r="R168" s="52" t="n">
        <v>9.99</v>
      </c>
      <c r="S168" s="51" t="n">
        <v>0</v>
      </c>
      <c r="T168" s="48" t="n">
        <v>0</v>
      </c>
      <c r="U168" s="49" t="n">
        <v>0</v>
      </c>
      <c r="V168" s="49" t="n">
        <v>0</v>
      </c>
      <c r="W168" s="50" t="n">
        <v>0</v>
      </c>
      <c r="X168" s="51" t="n">
        <v>0</v>
      </c>
      <c r="Y168" s="52" t="n">
        <v>0</v>
      </c>
      <c r="Z168" s="52" t="n">
        <v>0</v>
      </c>
      <c r="AA168" s="52" t="n">
        <v>0</v>
      </c>
      <c r="AB168" s="53" t="n">
        <v>0</v>
      </c>
      <c r="AC168" s="52" t="n">
        <v>0</v>
      </c>
      <c r="AD168" s="53" t="n">
        <v>0</v>
      </c>
      <c r="AE168" s="52" t="n">
        <v>0</v>
      </c>
      <c r="AF168" s="51" t="n">
        <v>0</v>
      </c>
      <c r="AG168" s="48" t="n">
        <v>0</v>
      </c>
      <c r="AH168" s="49" t="n">
        <v>0</v>
      </c>
      <c r="AI168" s="49" t="n">
        <v>0</v>
      </c>
      <c r="AJ168" s="50" t="n">
        <v>0</v>
      </c>
      <c r="AK168" s="51" t="n">
        <v>0</v>
      </c>
      <c r="AL168" s="52" t="n">
        <v>0</v>
      </c>
      <c r="AM168" s="52" t="n">
        <v>0</v>
      </c>
      <c r="AN168" s="52" t="n">
        <v>0</v>
      </c>
      <c r="AO168" s="53" t="n">
        <v>0</v>
      </c>
      <c r="AP168" s="52" t="n">
        <v>0</v>
      </c>
      <c r="AQ168" s="53" t="n">
        <v>0</v>
      </c>
      <c r="AR168" s="52" t="n">
        <v>0</v>
      </c>
      <c r="AS168" s="51" t="n">
        <v>0</v>
      </c>
      <c r="AT168" s="48" t="n">
        <v>0</v>
      </c>
      <c r="AU168" s="49" t="n">
        <v>0</v>
      </c>
      <c r="AV168" s="49" t="n">
        <v>0</v>
      </c>
      <c r="AW168" s="50" t="n">
        <v>0</v>
      </c>
      <c r="AX168" s="51" t="n">
        <v>0</v>
      </c>
      <c r="AY168" s="52" t="n">
        <v>0</v>
      </c>
      <c r="AZ168" s="52" t="n">
        <v>0</v>
      </c>
      <c r="BA168" s="52" t="n">
        <v>0</v>
      </c>
      <c r="BB168" s="53" t="n">
        <v>0</v>
      </c>
      <c r="BC168" s="52" t="n">
        <v>0</v>
      </c>
      <c r="BD168" s="53" t="n">
        <v>0</v>
      </c>
      <c r="BE168" s="52" t="n">
        <v>0</v>
      </c>
      <c r="BF168" s="51" t="n">
        <v>0</v>
      </c>
    </row>
    <row r="169">
      <c r="A169">
        <f>HYPERLINK("https://www.walmart.com/ip/671647846", "671647846")</f>
        <v/>
      </c>
      <c r="B169" t="inlineStr">
        <is>
          <t>Sun Blocker Sun Hat for women, Canvas Reversible Bucket Hat, UV Sun Protection UPF 50+, Double Sided Outdoor Safari Travel Beach Golf Cap, Pink Flower</t>
        </is>
      </c>
      <c r="C169" t="inlineStr">
        <is>
          <t>KC-S9200FLW-PK</t>
        </is>
      </c>
      <c r="D169" t="inlineStr">
        <is>
          <t>Hats</t>
        </is>
      </c>
      <c r="E169" t="inlineStr">
        <is>
          <t>Sun Blocker</t>
        </is>
      </c>
      <c r="F169" t="inlineStr">
        <is>
          <t>Batch 1 - TR</t>
        </is>
      </c>
      <c r="G169" s="48" t="n">
        <v>9.99</v>
      </c>
      <c r="H169" s="49" t="n">
        <v>1</v>
      </c>
      <c r="I169" s="49" t="n">
        <v>12</v>
      </c>
      <c r="J169" s="50" t="n">
        <v>0.08333333333333333</v>
      </c>
      <c r="K169" s="51" t="n">
        <v>33</v>
      </c>
      <c r="L169" s="52" t="n">
        <v>10.11</v>
      </c>
      <c r="M169" s="52" t="n">
        <v>19.98</v>
      </c>
      <c r="N169" s="52" t="n">
        <v>1.98</v>
      </c>
      <c r="O169" s="53" t="n">
        <v>0.003</v>
      </c>
      <c r="P169" s="52" t="n">
        <v>0.3063636363636364</v>
      </c>
      <c r="Q169" s="53" t="n">
        <v>1.012012012012012</v>
      </c>
      <c r="R169" s="52" t="n">
        <v>9.99</v>
      </c>
      <c r="S169" s="51" t="n">
        <v>10982</v>
      </c>
      <c r="T169" s="48" t="n">
        <v>-9.99</v>
      </c>
      <c r="U169" s="49" t="n">
        <v>-1</v>
      </c>
      <c r="V169" s="49" t="n">
        <v>0</v>
      </c>
      <c r="W169" s="50" t="n">
        <v>0</v>
      </c>
      <c r="X169" s="51" t="n">
        <v>0</v>
      </c>
      <c r="Y169" s="52" t="n">
        <v>0</v>
      </c>
      <c r="Z169" s="52" t="n">
        <v>0</v>
      </c>
      <c r="AA169" s="52" t="n">
        <v>0</v>
      </c>
      <c r="AB169" s="53" t="n">
        <v>0</v>
      </c>
      <c r="AC169" s="52" t="n">
        <v>0</v>
      </c>
      <c r="AD169" s="53" t="n">
        <v>0</v>
      </c>
      <c r="AE169" s="52" t="n">
        <v>0</v>
      </c>
      <c r="AF169" s="51" t="n">
        <v>0</v>
      </c>
      <c r="AG169" s="48" t="n">
        <v>9.99</v>
      </c>
      <c r="AH169" s="49" t="n">
        <v>1</v>
      </c>
      <c r="AI169" s="49" t="n">
        <v>0</v>
      </c>
      <c r="AJ169" s="50" t="n">
        <v>0</v>
      </c>
      <c r="AK169" s="51" t="n">
        <v>0</v>
      </c>
      <c r="AL169" s="52" t="n">
        <v>0</v>
      </c>
      <c r="AM169" s="52" t="n">
        <v>0</v>
      </c>
      <c r="AN169" s="52" t="n">
        <v>0</v>
      </c>
      <c r="AO169" s="53" t="n">
        <v>0</v>
      </c>
      <c r="AP169" s="52" t="n">
        <v>0</v>
      </c>
      <c r="AQ169" s="53" t="n">
        <v>0</v>
      </c>
      <c r="AR169" s="52" t="n">
        <v>9.99</v>
      </c>
      <c r="AS169" s="51" t="n">
        <v>0</v>
      </c>
      <c r="AT169" s="48" t="n">
        <v>0</v>
      </c>
      <c r="AU169" s="49" t="n">
        <v>0</v>
      </c>
      <c r="AV169" s="49" t="n">
        <v>0</v>
      </c>
      <c r="AW169" s="50" t="n">
        <v>0</v>
      </c>
      <c r="AX169" s="51" t="n">
        <v>0</v>
      </c>
      <c r="AY169" s="52" t="n">
        <v>0</v>
      </c>
      <c r="AZ169" s="52" t="n">
        <v>0</v>
      </c>
      <c r="BA169" s="52" t="n">
        <v>0</v>
      </c>
      <c r="BB169" s="53" t="n">
        <v>0</v>
      </c>
      <c r="BC169" s="52" t="n">
        <v>0</v>
      </c>
      <c r="BD169" s="53" t="n">
        <v>0</v>
      </c>
      <c r="BE169" s="52" t="n">
        <v>0</v>
      </c>
      <c r="BF169" s="51" t="n">
        <v>0</v>
      </c>
    </row>
    <row r="170">
      <c r="A170">
        <f>HYPERLINK("https://www.walmart.com/ip/364605040", "364605040")</f>
        <v/>
      </c>
      <c r="B170" t="inlineStr">
        <is>
          <t>Terra Outdoor Summer Sun Hat for Women, UPF 50+ Fold Up Wide Brim Bucket Hat, Green</t>
        </is>
      </c>
      <c r="C170" t="inlineStr">
        <is>
          <t>TERRACAP-F057-GRN</t>
        </is>
      </c>
      <c r="D170" t="inlineStr">
        <is>
          <t>Hats</t>
        </is>
      </c>
      <c r="E170" t="inlineStr">
        <is>
          <t>Terra</t>
        </is>
      </c>
      <c r="F170" t="inlineStr">
        <is>
          <t>Hats,ST Patrick Day</t>
        </is>
      </c>
      <c r="G170" s="48" t="n">
        <v>7.99</v>
      </c>
      <c r="H170" s="49" t="n">
        <v>1</v>
      </c>
      <c r="I170" s="49" t="n">
        <v>4</v>
      </c>
      <c r="J170" s="50" t="n">
        <v>0.25</v>
      </c>
      <c r="K170" s="51" t="n">
        <v>0</v>
      </c>
      <c r="L170" s="52" t="n">
        <v>0</v>
      </c>
      <c r="M170" s="52" t="n">
        <v>0</v>
      </c>
      <c r="N170" s="52" t="n">
        <v>0</v>
      </c>
      <c r="O170" s="53" t="n">
        <v>0</v>
      </c>
      <c r="P170" s="52" t="n">
        <v>0</v>
      </c>
      <c r="Q170" s="53" t="n">
        <v>0</v>
      </c>
      <c r="R170" s="52" t="n">
        <v>7.99</v>
      </c>
      <c r="S170" s="51" t="n">
        <v>0</v>
      </c>
      <c r="T170" s="48" t="n">
        <v>7.99</v>
      </c>
      <c r="U170" s="49" t="n">
        <v>1</v>
      </c>
      <c r="V170" s="49" t="n">
        <v>0</v>
      </c>
      <c r="W170" s="50" t="n">
        <v>0</v>
      </c>
      <c r="X170" s="51" t="n">
        <v>0</v>
      </c>
      <c r="Y170" s="52" t="n">
        <v>0</v>
      </c>
      <c r="Z170" s="52" t="n">
        <v>0</v>
      </c>
      <c r="AA170" s="52" t="n">
        <v>0</v>
      </c>
      <c r="AB170" s="53" t="n">
        <v>0</v>
      </c>
      <c r="AC170" s="52" t="n">
        <v>0</v>
      </c>
      <c r="AD170" s="53" t="n">
        <v>0</v>
      </c>
      <c r="AE170" s="52" t="n">
        <v>7.99</v>
      </c>
      <c r="AF170" s="51" t="n">
        <v>0</v>
      </c>
      <c r="AG170" s="48" t="n">
        <v>0</v>
      </c>
      <c r="AH170" s="49" t="n">
        <v>0</v>
      </c>
      <c r="AI170" s="49" t="n">
        <v>0</v>
      </c>
      <c r="AJ170" s="50" t="n">
        <v>0</v>
      </c>
      <c r="AK170" s="51" t="n">
        <v>0</v>
      </c>
      <c r="AL170" s="52" t="n">
        <v>0</v>
      </c>
      <c r="AM170" s="52" t="n">
        <v>0</v>
      </c>
      <c r="AN170" s="52" t="n">
        <v>0</v>
      </c>
      <c r="AO170" s="53" t="n">
        <v>0</v>
      </c>
      <c r="AP170" s="52" t="n">
        <v>0</v>
      </c>
      <c r="AQ170" s="53" t="n">
        <v>0</v>
      </c>
      <c r="AR170" s="52" t="n">
        <v>0</v>
      </c>
      <c r="AS170" s="51" t="n">
        <v>0</v>
      </c>
      <c r="AT170" s="48" t="n">
        <v>0</v>
      </c>
      <c r="AU170" s="49" t="n">
        <v>0</v>
      </c>
      <c r="AV170" s="49" t="n">
        <v>0</v>
      </c>
      <c r="AW170" s="50" t="n">
        <v>0</v>
      </c>
      <c r="AX170" s="51" t="n">
        <v>0</v>
      </c>
      <c r="AY170" s="52" t="n">
        <v>0</v>
      </c>
      <c r="AZ170" s="52" t="n">
        <v>0</v>
      </c>
      <c r="BA170" s="52" t="n">
        <v>0</v>
      </c>
      <c r="BB170" s="53" t="n">
        <v>0</v>
      </c>
      <c r="BC170" s="52" t="n">
        <v>0</v>
      </c>
      <c r="BD170" s="53" t="n">
        <v>0</v>
      </c>
      <c r="BE170" s="52" t="n">
        <v>0</v>
      </c>
      <c r="BF170" s="51" t="n">
        <v>0</v>
      </c>
    </row>
    <row r="171">
      <c r="A171">
        <f>HYPERLINK("https://www.walmart.com/ip/541525796", "541525796")</f>
        <v/>
      </c>
      <c r="B171" t="inlineStr">
        <is>
          <t>Terra Sun Hat for Women Summer Beach UPF 50+ Wide Brim Bucket, Beige</t>
        </is>
      </c>
      <c r="C171" t="inlineStr">
        <is>
          <t>TERRACAP-F065-BEI</t>
        </is>
      </c>
      <c r="D171" t="inlineStr">
        <is>
          <t>Hats</t>
        </is>
      </c>
      <c r="E171" t="inlineStr">
        <is>
          <t>Terra</t>
        </is>
      </c>
      <c r="F171" t="inlineStr">
        <is>
          <t>Optimized</t>
        </is>
      </c>
      <c r="G171" s="48" t="n">
        <v>7.99</v>
      </c>
      <c r="H171" s="49" t="n">
        <v>1</v>
      </c>
      <c r="I171" s="49" t="n">
        <v>0</v>
      </c>
      <c r="J171" s="50" t="n">
        <v>0</v>
      </c>
      <c r="K171" s="51" t="n">
        <v>0</v>
      </c>
      <c r="L171" s="52" t="n">
        <v>0</v>
      </c>
      <c r="M171" s="52" t="n">
        <v>0</v>
      </c>
      <c r="N171" s="52" t="n">
        <v>0</v>
      </c>
      <c r="O171" s="53" t="n">
        <v>0</v>
      </c>
      <c r="P171" s="52" t="n">
        <v>0</v>
      </c>
      <c r="Q171" s="53" t="n">
        <v>0</v>
      </c>
      <c r="R171" s="52" t="n">
        <v>7.99</v>
      </c>
      <c r="S171" s="51" t="n">
        <v>0</v>
      </c>
      <c r="T171" s="48" t="n">
        <v>0</v>
      </c>
      <c r="U171" s="49" t="n">
        <v>0</v>
      </c>
      <c r="V171" s="49" t="n">
        <v>0</v>
      </c>
      <c r="W171" s="50" t="n">
        <v>0</v>
      </c>
      <c r="X171" s="51" t="n">
        <v>0</v>
      </c>
      <c r="Y171" s="52" t="n">
        <v>0</v>
      </c>
      <c r="Z171" s="52" t="n">
        <v>0</v>
      </c>
      <c r="AA171" s="52" t="n">
        <v>0</v>
      </c>
      <c r="AB171" s="53" t="n">
        <v>0</v>
      </c>
      <c r="AC171" s="52" t="n">
        <v>0</v>
      </c>
      <c r="AD171" s="53" t="n">
        <v>0</v>
      </c>
      <c r="AE171" s="52" t="n">
        <v>0</v>
      </c>
      <c r="AF171" s="51" t="n">
        <v>0</v>
      </c>
      <c r="AG171" s="48" t="n">
        <v>0</v>
      </c>
      <c r="AH171" s="49" t="n">
        <v>0</v>
      </c>
      <c r="AI171" s="49" t="n">
        <v>0</v>
      </c>
      <c r="AJ171" s="50" t="n">
        <v>0</v>
      </c>
      <c r="AK171" s="51" t="n">
        <v>0</v>
      </c>
      <c r="AL171" s="52" t="n">
        <v>0</v>
      </c>
      <c r="AM171" s="52" t="n">
        <v>0</v>
      </c>
      <c r="AN171" s="52" t="n">
        <v>0</v>
      </c>
      <c r="AO171" s="53" t="n">
        <v>0</v>
      </c>
      <c r="AP171" s="52" t="n">
        <v>0</v>
      </c>
      <c r="AQ171" s="53" t="n">
        <v>0</v>
      </c>
      <c r="AR171" s="52" t="n">
        <v>0</v>
      </c>
      <c r="AS171" s="51" t="n">
        <v>0</v>
      </c>
      <c r="AT171" s="48" t="n">
        <v>0</v>
      </c>
      <c r="AU171" s="49" t="n">
        <v>0</v>
      </c>
      <c r="AV171" s="49" t="n">
        <v>0</v>
      </c>
      <c r="AW171" s="50" t="n">
        <v>0</v>
      </c>
      <c r="AX171" s="51" t="n">
        <v>0</v>
      </c>
      <c r="AY171" s="52" t="n">
        <v>0</v>
      </c>
      <c r="AZ171" s="52" t="n">
        <v>0</v>
      </c>
      <c r="BA171" s="52" t="n">
        <v>0</v>
      </c>
      <c r="BB171" s="53" t="n">
        <v>0</v>
      </c>
      <c r="BC171" s="52" t="n">
        <v>0</v>
      </c>
      <c r="BD171" s="53" t="n">
        <v>0</v>
      </c>
      <c r="BE171" s="52" t="n">
        <v>0</v>
      </c>
      <c r="BF171" s="51" t="n">
        <v>0</v>
      </c>
    </row>
    <row r="172">
      <c r="A172">
        <f>HYPERLINK("https://www.walmart.com/ip/188467913", "188467913")</f>
        <v/>
      </c>
      <c r="B172" t="inlineStr">
        <is>
          <t>Terra Sun Hat for Women Summer Beach UPF 50+ Wide Brim Bucket, Tan Zebra</t>
        </is>
      </c>
      <c r="C172" t="inlineStr">
        <is>
          <t>TERRACAP-F065-TAN</t>
        </is>
      </c>
      <c r="D172" t="inlineStr">
        <is>
          <t>Hats</t>
        </is>
      </c>
      <c r="E172" t="inlineStr">
        <is>
          <t>Terra</t>
        </is>
      </c>
      <c r="F172" t="inlineStr">
        <is>
          <t>Optimized,Hats</t>
        </is>
      </c>
      <c r="G172" s="48" t="n">
        <v>7.99</v>
      </c>
      <c r="H172" s="49" t="n">
        <v>1</v>
      </c>
      <c r="I172" s="49" t="n">
        <v>0</v>
      </c>
      <c r="J172" s="50" t="n">
        <v>0</v>
      </c>
      <c r="K172" s="51" t="n">
        <v>0</v>
      </c>
      <c r="L172" s="52" t="n">
        <v>0</v>
      </c>
      <c r="M172" s="52" t="n">
        <v>0</v>
      </c>
      <c r="N172" s="52" t="n">
        <v>0</v>
      </c>
      <c r="O172" s="53" t="n">
        <v>0</v>
      </c>
      <c r="P172" s="52" t="n">
        <v>0</v>
      </c>
      <c r="Q172" s="53" t="n">
        <v>0</v>
      </c>
      <c r="R172" s="52" t="n">
        <v>7.99</v>
      </c>
      <c r="S172" s="51" t="n">
        <v>0</v>
      </c>
      <c r="T172" s="48" t="n">
        <v>0</v>
      </c>
      <c r="U172" s="49" t="n">
        <v>0</v>
      </c>
      <c r="V172" s="49" t="n">
        <v>0</v>
      </c>
      <c r="W172" s="50" t="n">
        <v>0</v>
      </c>
      <c r="X172" s="51" t="n">
        <v>0</v>
      </c>
      <c r="Y172" s="52" t="n">
        <v>0</v>
      </c>
      <c r="Z172" s="52" t="n">
        <v>0</v>
      </c>
      <c r="AA172" s="52" t="n">
        <v>0</v>
      </c>
      <c r="AB172" s="53" t="n">
        <v>0</v>
      </c>
      <c r="AC172" s="52" t="n">
        <v>0</v>
      </c>
      <c r="AD172" s="53" t="n">
        <v>0</v>
      </c>
      <c r="AE172" s="52" t="n">
        <v>0</v>
      </c>
      <c r="AF172" s="51" t="n">
        <v>0</v>
      </c>
      <c r="AG172" s="48" t="n">
        <v>0</v>
      </c>
      <c r="AH172" s="49" t="n">
        <v>0</v>
      </c>
      <c r="AI172" s="49" t="n">
        <v>0</v>
      </c>
      <c r="AJ172" s="50" t="n">
        <v>0</v>
      </c>
      <c r="AK172" s="51" t="n">
        <v>0</v>
      </c>
      <c r="AL172" s="52" t="n">
        <v>0</v>
      </c>
      <c r="AM172" s="52" t="n">
        <v>0</v>
      </c>
      <c r="AN172" s="52" t="n">
        <v>0</v>
      </c>
      <c r="AO172" s="53" t="n">
        <v>0</v>
      </c>
      <c r="AP172" s="52" t="n">
        <v>0</v>
      </c>
      <c r="AQ172" s="53" t="n">
        <v>0</v>
      </c>
      <c r="AR172" s="52" t="n">
        <v>0</v>
      </c>
      <c r="AS172" s="51" t="n">
        <v>0</v>
      </c>
      <c r="AT172" s="48" t="n">
        <v>0</v>
      </c>
      <c r="AU172" s="49" t="n">
        <v>0</v>
      </c>
      <c r="AV172" s="49" t="n">
        <v>0</v>
      </c>
      <c r="AW172" s="50" t="n">
        <v>0</v>
      </c>
      <c r="AX172" s="51" t="n">
        <v>0</v>
      </c>
      <c r="AY172" s="52" t="n">
        <v>0</v>
      </c>
      <c r="AZ172" s="52" t="n">
        <v>0</v>
      </c>
      <c r="BA172" s="52" t="n">
        <v>0</v>
      </c>
      <c r="BB172" s="53" t="n">
        <v>0</v>
      </c>
      <c r="BC172" s="52" t="n">
        <v>0</v>
      </c>
      <c r="BD172" s="53" t="n">
        <v>0</v>
      </c>
      <c r="BE172" s="52" t="n">
        <v>0</v>
      </c>
      <c r="BF172" s="51" t="n">
        <v>0</v>
      </c>
    </row>
    <row r="173">
      <c r="A173">
        <f>HYPERLINK("https://www.walmart.com/ip/158342906", "158342906")</f>
        <v/>
      </c>
      <c r="B173" t="inlineStr">
        <is>
          <t>JenniWears Women's Sexy Crotchless Suspender Pantyhose Stockings Black Sheer Socks</t>
        </is>
      </c>
      <c r="C173" t="inlineStr">
        <is>
          <t>JWBLSPH6001</t>
        </is>
      </c>
      <c r="D173" t="inlineStr">
        <is>
          <t>Pantyhose &amp; Tights</t>
        </is>
      </c>
      <c r="E173" t="inlineStr">
        <is>
          <t>JenniWears</t>
        </is>
      </c>
      <c r="F173" t="inlineStr">
        <is>
          <t>Optimized,Valentine</t>
        </is>
      </c>
      <c r="G173" s="48" t="n">
        <v>7.98</v>
      </c>
      <c r="H173" s="49" t="n">
        <v>1</v>
      </c>
      <c r="I173" s="49" t="n">
        <v>0</v>
      </c>
      <c r="J173" s="50" t="n">
        <v>0</v>
      </c>
      <c r="K173" s="51" t="n">
        <v>0</v>
      </c>
      <c r="L173" s="52" t="n">
        <v>0</v>
      </c>
      <c r="M173" s="52" t="n">
        <v>0</v>
      </c>
      <c r="N173" s="52" t="n">
        <v>0</v>
      </c>
      <c r="O173" s="53" t="n">
        <v>0</v>
      </c>
      <c r="P173" s="52" t="n">
        <v>0</v>
      </c>
      <c r="Q173" s="53" t="n">
        <v>0</v>
      </c>
      <c r="R173" s="52" t="n">
        <v>7.98</v>
      </c>
      <c r="S173" s="51" t="n">
        <v>0</v>
      </c>
      <c r="T173" s="48" t="n">
        <v>0</v>
      </c>
      <c r="U173" s="49" t="n">
        <v>0</v>
      </c>
      <c r="V173" s="49" t="n">
        <v>0</v>
      </c>
      <c r="W173" s="50" t="n">
        <v>0</v>
      </c>
      <c r="X173" s="51" t="n">
        <v>0</v>
      </c>
      <c r="Y173" s="52" t="n">
        <v>0</v>
      </c>
      <c r="Z173" s="52" t="n">
        <v>0</v>
      </c>
      <c r="AA173" s="52" t="n">
        <v>0</v>
      </c>
      <c r="AB173" s="53" t="n">
        <v>0</v>
      </c>
      <c r="AC173" s="52" t="n">
        <v>0</v>
      </c>
      <c r="AD173" s="53" t="n">
        <v>0</v>
      </c>
      <c r="AE173" s="52" t="n">
        <v>0</v>
      </c>
      <c r="AF173" s="51" t="n">
        <v>0</v>
      </c>
      <c r="AG173" s="48" t="n">
        <v>0</v>
      </c>
      <c r="AH173" s="49" t="n">
        <v>0</v>
      </c>
      <c r="AI173" s="49" t="n">
        <v>0</v>
      </c>
      <c r="AJ173" s="50" t="n">
        <v>0</v>
      </c>
      <c r="AK173" s="51" t="n">
        <v>0</v>
      </c>
      <c r="AL173" s="52" t="n">
        <v>0</v>
      </c>
      <c r="AM173" s="52" t="n">
        <v>0</v>
      </c>
      <c r="AN173" s="52" t="n">
        <v>0</v>
      </c>
      <c r="AO173" s="53" t="n">
        <v>0</v>
      </c>
      <c r="AP173" s="52" t="n">
        <v>0</v>
      </c>
      <c r="AQ173" s="53" t="n">
        <v>0</v>
      </c>
      <c r="AR173" s="52" t="n">
        <v>0</v>
      </c>
      <c r="AS173" s="51" t="n">
        <v>0</v>
      </c>
      <c r="AT173" s="48" t="n">
        <v>0</v>
      </c>
      <c r="AU173" s="49" t="n">
        <v>0</v>
      </c>
      <c r="AV173" s="49" t="n">
        <v>0</v>
      </c>
      <c r="AW173" s="50" t="n">
        <v>0</v>
      </c>
      <c r="AX173" s="51" t="n">
        <v>0</v>
      </c>
      <c r="AY173" s="52" t="n">
        <v>0</v>
      </c>
      <c r="AZ173" s="52" t="n">
        <v>0</v>
      </c>
      <c r="BA173" s="52" t="n">
        <v>0</v>
      </c>
      <c r="BB173" s="53" t="n">
        <v>0</v>
      </c>
      <c r="BC173" s="52" t="n">
        <v>0</v>
      </c>
      <c r="BD173" s="53" t="n">
        <v>0</v>
      </c>
      <c r="BE173" s="52" t="n">
        <v>0</v>
      </c>
      <c r="BF173" s="51" t="n">
        <v>0</v>
      </c>
    </row>
    <row r="174">
      <c r="A174">
        <f>HYPERLINK("https://www.walmart.com/ip/123766588", "123766588")</f>
        <v/>
      </c>
      <c r="B174" t="inlineStr">
        <is>
          <t>Terra Active Wrap- Stylish Running workout travel waist belt w/ hidden pocket</t>
        </is>
      </c>
      <c r="C174" t="inlineStr">
        <is>
          <t>TERRA-3PK-M</t>
        </is>
      </c>
      <c r="D174" t="inlineStr">
        <is>
          <t>Running Belts</t>
        </is>
      </c>
      <c r="E174" t="inlineStr">
        <is>
          <t>Terra</t>
        </is>
      </c>
      <c r="F174" t="inlineStr">
        <is>
          <t>Optimized</t>
        </is>
      </c>
      <c r="G174" s="48" t="n">
        <v>7.98</v>
      </c>
      <c r="H174" s="49" t="n">
        <v>1</v>
      </c>
      <c r="I174" s="49" t="n">
        <v>0</v>
      </c>
      <c r="J174" s="50" t="n">
        <v>0</v>
      </c>
      <c r="K174" s="51" t="n">
        <v>0</v>
      </c>
      <c r="L174" s="52" t="n">
        <v>0</v>
      </c>
      <c r="M174" s="52" t="n">
        <v>0</v>
      </c>
      <c r="N174" s="52" t="n">
        <v>0</v>
      </c>
      <c r="O174" s="53" t="n">
        <v>0</v>
      </c>
      <c r="P174" s="52" t="n">
        <v>0</v>
      </c>
      <c r="Q174" s="53" t="n">
        <v>0</v>
      </c>
      <c r="R174" s="52" t="n">
        <v>7.98</v>
      </c>
      <c r="S174" s="51" t="n">
        <v>0</v>
      </c>
      <c r="T174" s="48" t="n">
        <v>0</v>
      </c>
      <c r="U174" s="49" t="n">
        <v>0</v>
      </c>
      <c r="V174" s="49" t="n">
        <v>0</v>
      </c>
      <c r="W174" s="50" t="n">
        <v>0</v>
      </c>
      <c r="X174" s="51" t="n">
        <v>0</v>
      </c>
      <c r="Y174" s="52" t="n">
        <v>0</v>
      </c>
      <c r="Z174" s="52" t="n">
        <v>0</v>
      </c>
      <c r="AA174" s="52" t="n">
        <v>0</v>
      </c>
      <c r="AB174" s="53" t="n">
        <v>0</v>
      </c>
      <c r="AC174" s="52" t="n">
        <v>0</v>
      </c>
      <c r="AD174" s="53" t="n">
        <v>0</v>
      </c>
      <c r="AE174" s="52" t="n">
        <v>0</v>
      </c>
      <c r="AF174" s="51" t="n">
        <v>0</v>
      </c>
      <c r="AG174" s="48" t="n">
        <v>0</v>
      </c>
      <c r="AH174" s="49" t="n">
        <v>0</v>
      </c>
      <c r="AI174" s="49" t="n">
        <v>0</v>
      </c>
      <c r="AJ174" s="50" t="n">
        <v>0</v>
      </c>
      <c r="AK174" s="51" t="n">
        <v>0</v>
      </c>
      <c r="AL174" s="52" t="n">
        <v>0</v>
      </c>
      <c r="AM174" s="52" t="n">
        <v>0</v>
      </c>
      <c r="AN174" s="52" t="n">
        <v>0</v>
      </c>
      <c r="AO174" s="53" t="n">
        <v>0</v>
      </c>
      <c r="AP174" s="52" t="n">
        <v>0</v>
      </c>
      <c r="AQ174" s="53" t="n">
        <v>0</v>
      </c>
      <c r="AR174" s="52" t="n">
        <v>0</v>
      </c>
      <c r="AS174" s="51" t="n">
        <v>0</v>
      </c>
      <c r="AT174" s="48" t="n">
        <v>0</v>
      </c>
      <c r="AU174" s="49" t="n">
        <v>0</v>
      </c>
      <c r="AV174" s="49" t="n">
        <v>0</v>
      </c>
      <c r="AW174" s="50" t="n">
        <v>0</v>
      </c>
      <c r="AX174" s="51" t="n">
        <v>0</v>
      </c>
      <c r="AY174" s="52" t="n">
        <v>0</v>
      </c>
      <c r="AZ174" s="52" t="n">
        <v>0</v>
      </c>
      <c r="BA174" s="52" t="n">
        <v>0</v>
      </c>
      <c r="BB174" s="53" t="n">
        <v>0</v>
      </c>
      <c r="BC174" s="52" t="n">
        <v>0</v>
      </c>
      <c r="BD174" s="53" t="n">
        <v>0</v>
      </c>
      <c r="BE174" s="52" t="n">
        <v>0</v>
      </c>
      <c r="BF174" s="51" t="n">
        <v>0</v>
      </c>
    </row>
    <row r="175">
      <c r="A175">
        <f>HYPERLINK("https://www.walmart.com/ip/748370321", "748370321")</f>
        <v/>
      </c>
      <c r="B175" t="inlineStr">
        <is>
          <t>Tirrinia Insulated Wine Tumbler, Rose Gold</t>
        </is>
      </c>
      <c r="C175" t="inlineStr">
        <is>
          <t>1TRWT120RG</t>
        </is>
      </c>
      <c r="D175" t="inlineStr">
        <is>
          <t>Tumblers</t>
        </is>
      </c>
      <c r="E175" t="inlineStr">
        <is>
          <t>Tirrinia</t>
        </is>
      </c>
      <c r="F175" t="inlineStr">
        <is>
          <t>Wine,Christmas,Optimized,Valentine</t>
        </is>
      </c>
      <c r="G175" s="48" t="n">
        <v>7.98</v>
      </c>
      <c r="H175" s="49" t="n">
        <v>1</v>
      </c>
      <c r="I175" s="49" t="n">
        <v>5</v>
      </c>
      <c r="J175" s="50" t="n">
        <v>0.2</v>
      </c>
      <c r="K175" s="51" t="n">
        <v>0</v>
      </c>
      <c r="L175" s="52" t="n">
        <v>0</v>
      </c>
      <c r="M175" s="52" t="n">
        <v>0</v>
      </c>
      <c r="N175" s="52" t="n">
        <v>0</v>
      </c>
      <c r="O175" s="53" t="n">
        <v>0</v>
      </c>
      <c r="P175" s="52" t="n">
        <v>0</v>
      </c>
      <c r="Q175" s="53" t="n">
        <v>0</v>
      </c>
      <c r="R175" s="52" t="n">
        <v>7.98</v>
      </c>
      <c r="S175" s="51" t="n">
        <v>0</v>
      </c>
      <c r="T175" s="48" t="n">
        <v>7.98</v>
      </c>
      <c r="U175" s="49" t="n">
        <v>1</v>
      </c>
      <c r="V175" s="49" t="n">
        <v>6</v>
      </c>
      <c r="W175" s="50" t="n">
        <v>0.1666666666666667</v>
      </c>
      <c r="X175" s="51" t="n">
        <v>0</v>
      </c>
      <c r="Y175" s="52" t="n">
        <v>0</v>
      </c>
      <c r="Z175" s="52" t="n">
        <v>0</v>
      </c>
      <c r="AA175" s="52" t="n">
        <v>0</v>
      </c>
      <c r="AB175" s="53" t="n">
        <v>0</v>
      </c>
      <c r="AC175" s="52" t="n">
        <v>0</v>
      </c>
      <c r="AD175" s="53" t="n">
        <v>0</v>
      </c>
      <c r="AE175" s="52" t="n">
        <v>7.98</v>
      </c>
      <c r="AF175" s="51" t="n">
        <v>0</v>
      </c>
      <c r="AG175" s="48" t="n">
        <v>7.98</v>
      </c>
      <c r="AH175" s="49" t="n">
        <v>1</v>
      </c>
      <c r="AI175" s="49" t="n">
        <v>0</v>
      </c>
      <c r="AJ175" s="50" t="n">
        <v>0</v>
      </c>
      <c r="AK175" s="51" t="n">
        <v>0</v>
      </c>
      <c r="AL175" s="52" t="n">
        <v>0</v>
      </c>
      <c r="AM175" s="52" t="n">
        <v>0</v>
      </c>
      <c r="AN175" s="52" t="n">
        <v>0</v>
      </c>
      <c r="AO175" s="53" t="n">
        <v>0</v>
      </c>
      <c r="AP175" s="52" t="n">
        <v>0</v>
      </c>
      <c r="AQ175" s="53" t="n">
        <v>0</v>
      </c>
      <c r="AR175" s="52" t="n">
        <v>7.98</v>
      </c>
      <c r="AS175" s="51" t="n">
        <v>0</v>
      </c>
      <c r="AT175" s="48" t="n">
        <v>0</v>
      </c>
      <c r="AU175" s="49" t="n">
        <v>0</v>
      </c>
      <c r="AV175" s="49" t="n">
        <v>0</v>
      </c>
      <c r="AW175" s="50" t="n">
        <v>0</v>
      </c>
      <c r="AX175" s="51" t="n">
        <v>0</v>
      </c>
      <c r="AY175" s="52" t="n">
        <v>0</v>
      </c>
      <c r="AZ175" s="52" t="n">
        <v>0</v>
      </c>
      <c r="BA175" s="52" t="n">
        <v>0</v>
      </c>
      <c r="BB175" s="53" t="n">
        <v>0</v>
      </c>
      <c r="BC175" s="52" t="n">
        <v>0</v>
      </c>
      <c r="BD175" s="53" t="n">
        <v>0</v>
      </c>
      <c r="BE175" s="52" t="n">
        <v>0</v>
      </c>
      <c r="BF175" s="51" t="n">
        <v>0</v>
      </c>
    </row>
    <row r="176">
      <c r="A176">
        <f>HYPERLINK("https://www.walmart.com/ip/311195176", "311195176")</f>
        <v/>
      </c>
      <c r="B176" t="inlineStr">
        <is>
          <t>100% Polar Fleece Skull Cap Warm and Cozy Beanie</t>
        </is>
      </c>
      <c r="C176" t="inlineStr">
        <is>
          <t>1SLW1810BK-FSCB</t>
        </is>
      </c>
      <c r="D176" t="inlineStr">
        <is>
          <t>Hats</t>
        </is>
      </c>
      <c r="E176" t="inlineStr">
        <is>
          <t>Solaris</t>
        </is>
      </c>
      <c r="F176" t="inlineStr">
        <is>
          <t>Optimized</t>
        </is>
      </c>
      <c r="G176" s="48" t="n">
        <v>5.98</v>
      </c>
      <c r="H176" s="49" t="n">
        <v>1</v>
      </c>
      <c r="I176" s="49" t="n">
        <v>0</v>
      </c>
      <c r="J176" s="50" t="n">
        <v>0</v>
      </c>
      <c r="K176" s="51" t="n">
        <v>0</v>
      </c>
      <c r="L176" s="52" t="n">
        <v>0</v>
      </c>
      <c r="M176" s="52" t="n">
        <v>0</v>
      </c>
      <c r="N176" s="52" t="n">
        <v>0</v>
      </c>
      <c r="O176" s="53" t="n">
        <v>0</v>
      </c>
      <c r="P176" s="52" t="n">
        <v>0</v>
      </c>
      <c r="Q176" s="53" t="n">
        <v>0</v>
      </c>
      <c r="R176" s="52" t="n">
        <v>5.98</v>
      </c>
      <c r="S176" s="51" t="n">
        <v>0</v>
      </c>
      <c r="T176" s="48" t="n">
        <v>0</v>
      </c>
      <c r="U176" s="49" t="n">
        <v>0</v>
      </c>
      <c r="V176" s="49" t="n">
        <v>0</v>
      </c>
      <c r="W176" s="50" t="n">
        <v>0</v>
      </c>
      <c r="X176" s="51" t="n">
        <v>0</v>
      </c>
      <c r="Y176" s="52" t="n">
        <v>0</v>
      </c>
      <c r="Z176" s="52" t="n">
        <v>0</v>
      </c>
      <c r="AA176" s="52" t="n">
        <v>0</v>
      </c>
      <c r="AB176" s="53" t="n">
        <v>0</v>
      </c>
      <c r="AC176" s="52" t="n">
        <v>0</v>
      </c>
      <c r="AD176" s="53" t="n">
        <v>0</v>
      </c>
      <c r="AE176" s="52" t="n">
        <v>0</v>
      </c>
      <c r="AF176" s="51" t="n">
        <v>0</v>
      </c>
      <c r="AG176" s="48" t="n">
        <v>0</v>
      </c>
      <c r="AH176" s="49" t="n">
        <v>0</v>
      </c>
      <c r="AI176" s="49" t="n">
        <v>0</v>
      </c>
      <c r="AJ176" s="50" t="n">
        <v>0</v>
      </c>
      <c r="AK176" s="51" t="n">
        <v>0</v>
      </c>
      <c r="AL176" s="52" t="n">
        <v>0</v>
      </c>
      <c r="AM176" s="52" t="n">
        <v>0</v>
      </c>
      <c r="AN176" s="52" t="n">
        <v>0</v>
      </c>
      <c r="AO176" s="53" t="n">
        <v>0</v>
      </c>
      <c r="AP176" s="52" t="n">
        <v>0</v>
      </c>
      <c r="AQ176" s="53" t="n">
        <v>0</v>
      </c>
      <c r="AR176" s="52" t="n">
        <v>0</v>
      </c>
      <c r="AS176" s="51" t="n">
        <v>0</v>
      </c>
      <c r="AT176" s="48" t="n">
        <v>0</v>
      </c>
      <c r="AU176" s="49" t="n">
        <v>0</v>
      </c>
      <c r="AV176" s="49" t="n">
        <v>0</v>
      </c>
      <c r="AW176" s="50" t="n">
        <v>0</v>
      </c>
      <c r="AX176" s="51" t="n">
        <v>0</v>
      </c>
      <c r="AY176" s="52" t="n">
        <v>0</v>
      </c>
      <c r="AZ176" s="52" t="n">
        <v>0</v>
      </c>
      <c r="BA176" s="52" t="n">
        <v>0</v>
      </c>
      <c r="BB176" s="53" t="n">
        <v>0</v>
      </c>
      <c r="BC176" s="52" t="n">
        <v>0</v>
      </c>
      <c r="BD176" s="53" t="n">
        <v>0</v>
      </c>
      <c r="BE176" s="52" t="n">
        <v>0</v>
      </c>
      <c r="BF176" s="51" t="n">
        <v>0</v>
      </c>
    </row>
    <row r="177">
      <c r="A177">
        <f>HYPERLINK("https://www.walmart.com/ip/5513752876", "5513752876")</f>
        <v/>
      </c>
      <c r="B177" t="inlineStr">
        <is>
          <t>Insulated Cooler Bag, Leakproof Soft Cooler tote bag, Collapsible Waterproof Grocery Thermal Bag, Gift Ideas for Picnic</t>
        </is>
      </c>
      <c r="C177" t="inlineStr">
        <is>
          <t>1SLCB00124STR</t>
        </is>
      </c>
      <c r="D177" t="inlineStr">
        <is>
          <t>Soft-Sided Coolers</t>
        </is>
      </c>
      <c r="E177" t="inlineStr">
        <is>
          <t>Solaris</t>
        </is>
      </c>
      <c r="G177" s="48" t="n">
        <v>0</v>
      </c>
      <c r="H177" s="49" t="n">
        <v>0</v>
      </c>
      <c r="I177" s="49" t="n">
        <v>0</v>
      </c>
      <c r="J177" s="50" t="n">
        <v>0</v>
      </c>
      <c r="K177" s="51" t="n">
        <v>0</v>
      </c>
      <c r="L177" s="52" t="n">
        <v>0</v>
      </c>
      <c r="M177" s="52" t="n">
        <v>0</v>
      </c>
      <c r="N177" s="52" t="n">
        <v>0</v>
      </c>
      <c r="O177" s="53" t="n">
        <v>0</v>
      </c>
      <c r="P177" s="52" t="n">
        <v>0</v>
      </c>
      <c r="Q177" s="53" t="n">
        <v>0</v>
      </c>
      <c r="R177" s="52" t="n">
        <v>0</v>
      </c>
      <c r="S177" s="51" t="n">
        <v>0</v>
      </c>
      <c r="T177" s="48" t="n">
        <v>0</v>
      </c>
      <c r="U177" s="49" t="n">
        <v>0</v>
      </c>
      <c r="V177" s="49" t="n">
        <v>0</v>
      </c>
      <c r="W177" s="50" t="n">
        <v>0</v>
      </c>
      <c r="X177" s="51" t="n">
        <v>0</v>
      </c>
      <c r="Y177" s="52" t="n">
        <v>0</v>
      </c>
      <c r="Z177" s="52" t="n">
        <v>0</v>
      </c>
      <c r="AA177" s="52" t="n">
        <v>0</v>
      </c>
      <c r="AB177" s="53" t="n">
        <v>0</v>
      </c>
      <c r="AC177" s="52" t="n">
        <v>0</v>
      </c>
      <c r="AD177" s="53" t="n">
        <v>0</v>
      </c>
      <c r="AE177" s="52" t="n">
        <v>0</v>
      </c>
      <c r="AF177" s="51" t="n">
        <v>0</v>
      </c>
      <c r="AG177" s="48" t="n">
        <v>0</v>
      </c>
      <c r="AH177" s="49" t="n">
        <v>0</v>
      </c>
      <c r="AI177" s="49" t="n">
        <v>0</v>
      </c>
      <c r="AJ177" s="50" t="n">
        <v>0</v>
      </c>
      <c r="AK177" s="51" t="n">
        <v>0</v>
      </c>
      <c r="AL177" s="52" t="n">
        <v>0</v>
      </c>
      <c r="AM177" s="52" t="n">
        <v>0</v>
      </c>
      <c r="AN177" s="52" t="n">
        <v>0</v>
      </c>
      <c r="AO177" s="53" t="n">
        <v>0</v>
      </c>
      <c r="AP177" s="52" t="n">
        <v>0</v>
      </c>
      <c r="AQ177" s="53" t="n">
        <v>0</v>
      </c>
      <c r="AR177" s="52" t="n">
        <v>0</v>
      </c>
      <c r="AS177" s="51" t="n">
        <v>0</v>
      </c>
      <c r="AT177" s="48" t="n">
        <v>0</v>
      </c>
      <c r="AU177" s="49" t="n">
        <v>0</v>
      </c>
      <c r="AV177" s="49" t="n">
        <v>0</v>
      </c>
      <c r="AW177" s="50" t="n">
        <v>0</v>
      </c>
      <c r="AX177" s="51" t="n">
        <v>0</v>
      </c>
      <c r="AY177" s="52" t="n">
        <v>0</v>
      </c>
      <c r="AZ177" s="52" t="n">
        <v>0</v>
      </c>
      <c r="BA177" s="52" t="n">
        <v>0</v>
      </c>
      <c r="BB177" s="53" t="n">
        <v>0</v>
      </c>
      <c r="BC177" s="52" t="n">
        <v>0</v>
      </c>
      <c r="BD177" s="53" t="n">
        <v>0</v>
      </c>
      <c r="BE177" s="52" t="n">
        <v>0</v>
      </c>
      <c r="BF177" s="51" t="n">
        <v>0</v>
      </c>
    </row>
    <row r="178">
      <c r="A178">
        <f>HYPERLINK("https://www.walmart.com/ip/616466620", "616466620")</f>
        <v/>
      </c>
      <c r="B178" t="inlineStr">
        <is>
          <t>Tirrinia Buffalo Plaid Fleece Blanket, Super Soft Warm Comfy Flannel Fleece for Bedding, Couch Cabin Throw, Decorative Blankets, Black &amp; Grey, TV Throw Measures 50" x 60"</t>
        </is>
      </c>
      <c r="C178" t="inlineStr">
        <is>
          <t>1TRBF576PBK</t>
        </is>
      </c>
      <c r="D178" t="inlineStr">
        <is>
          <t>Throws</t>
        </is>
      </c>
      <c r="E178" t="inlineStr">
        <is>
          <t>Tirrinia</t>
        </is>
      </c>
      <c r="F178" t="inlineStr">
        <is>
          <t>Q2-Target,WFS,Coupon_Discount,SeePriceInCart,WFS Item,Fleece Blankets</t>
        </is>
      </c>
      <c r="G178" s="48" t="n">
        <v>0</v>
      </c>
      <c r="H178" s="49" t="n">
        <v>0</v>
      </c>
      <c r="I178" s="49" t="n">
        <v>0</v>
      </c>
      <c r="J178" s="50" t="n">
        <v>0</v>
      </c>
      <c r="K178" s="51" t="n">
        <v>0</v>
      </c>
      <c r="L178" s="52" t="n">
        <v>0</v>
      </c>
      <c r="M178" s="52" t="n">
        <v>0</v>
      </c>
      <c r="N178" s="52" t="n">
        <v>0</v>
      </c>
      <c r="O178" s="53" t="n">
        <v>0</v>
      </c>
      <c r="P178" s="52" t="n">
        <v>0</v>
      </c>
      <c r="Q178" s="53" t="n">
        <v>0</v>
      </c>
      <c r="R178" s="52" t="n">
        <v>0</v>
      </c>
      <c r="S178" s="51" t="n">
        <v>0</v>
      </c>
      <c r="T178" s="48" t="n">
        <v>0</v>
      </c>
      <c r="U178" s="49" t="n">
        <v>0</v>
      </c>
      <c r="V178" s="49" t="n">
        <v>0</v>
      </c>
      <c r="W178" s="50" t="n">
        <v>0</v>
      </c>
      <c r="X178" s="51" t="n">
        <v>0</v>
      </c>
      <c r="Y178" s="52" t="n">
        <v>0</v>
      </c>
      <c r="Z178" s="52" t="n">
        <v>0</v>
      </c>
      <c r="AA178" s="52" t="n">
        <v>0</v>
      </c>
      <c r="AB178" s="53" t="n">
        <v>0</v>
      </c>
      <c r="AC178" s="52" t="n">
        <v>0</v>
      </c>
      <c r="AD178" s="53" t="n">
        <v>0</v>
      </c>
      <c r="AE178" s="52" t="n">
        <v>0</v>
      </c>
      <c r="AF178" s="51" t="n">
        <v>0</v>
      </c>
      <c r="AG178" s="48" t="n">
        <v>0</v>
      </c>
      <c r="AH178" s="49" t="n">
        <v>0</v>
      </c>
      <c r="AI178" s="49" t="n">
        <v>0</v>
      </c>
      <c r="AJ178" s="50" t="n">
        <v>0</v>
      </c>
      <c r="AK178" s="51" t="n">
        <v>0</v>
      </c>
      <c r="AL178" s="52" t="n">
        <v>0</v>
      </c>
      <c r="AM178" s="52" t="n">
        <v>0</v>
      </c>
      <c r="AN178" s="52" t="n">
        <v>0</v>
      </c>
      <c r="AO178" s="53" t="n">
        <v>0</v>
      </c>
      <c r="AP178" s="52" t="n">
        <v>0</v>
      </c>
      <c r="AQ178" s="53" t="n">
        <v>0</v>
      </c>
      <c r="AR178" s="52" t="n">
        <v>0</v>
      </c>
      <c r="AS178" s="51" t="n">
        <v>0</v>
      </c>
      <c r="AT178" s="48" t="n">
        <v>0</v>
      </c>
      <c r="AU178" s="49" t="n">
        <v>0</v>
      </c>
      <c r="AV178" s="49" t="n">
        <v>0</v>
      </c>
      <c r="AW178" s="50" t="n">
        <v>0</v>
      </c>
      <c r="AX178" s="51" t="n">
        <v>0</v>
      </c>
      <c r="AY178" s="52" t="n">
        <v>0</v>
      </c>
      <c r="AZ178" s="52" t="n">
        <v>0</v>
      </c>
      <c r="BA178" s="52" t="n">
        <v>0</v>
      </c>
      <c r="BB178" s="53" t="n">
        <v>0</v>
      </c>
      <c r="BC178" s="52" t="n">
        <v>0</v>
      </c>
      <c r="BD178" s="53" t="n">
        <v>0</v>
      </c>
      <c r="BE178" s="52" t="n">
        <v>0</v>
      </c>
      <c r="BF178" s="51" t="n">
        <v>0</v>
      </c>
    </row>
    <row r="179">
      <c r="A179">
        <f>HYPERLINK("https://www.walmart.com/ip/5514470056", "5514470056")</f>
        <v/>
      </c>
      <c r="B179" t="inlineStr">
        <is>
          <t>Tirrinia Toiletry Bag for Men Water-Resistant Organizer Kit for Shaving Products and Toiletries Accessories, Room Essentials</t>
        </is>
      </c>
      <c r="C179" t="inlineStr">
        <is>
          <t>1TRTTB001BK</t>
        </is>
      </c>
      <c r="D179" t="inlineStr">
        <is>
          <t>Toiletry Kits &amp; Bags</t>
        </is>
      </c>
      <c r="E179" t="inlineStr">
        <is>
          <t>Tirrinia</t>
        </is>
      </c>
      <c r="G179" s="48" t="n">
        <v>0</v>
      </c>
      <c r="H179" s="49" t="n">
        <v>0</v>
      </c>
      <c r="I179" s="49" t="n">
        <v>0</v>
      </c>
      <c r="J179" s="50" t="n">
        <v>0</v>
      </c>
      <c r="K179" s="51" t="n">
        <v>0</v>
      </c>
      <c r="L179" s="52" t="n">
        <v>0</v>
      </c>
      <c r="M179" s="52" t="n">
        <v>0</v>
      </c>
      <c r="N179" s="52" t="n">
        <v>0</v>
      </c>
      <c r="O179" s="53" t="n">
        <v>0</v>
      </c>
      <c r="P179" s="52" t="n">
        <v>0</v>
      </c>
      <c r="Q179" s="53" t="n">
        <v>0</v>
      </c>
      <c r="R179" s="52" t="n">
        <v>0</v>
      </c>
      <c r="S179" s="51" t="n">
        <v>0</v>
      </c>
      <c r="T179" s="48" t="n">
        <v>0</v>
      </c>
      <c r="U179" s="49" t="n">
        <v>0</v>
      </c>
      <c r="V179" s="49" t="n">
        <v>0</v>
      </c>
      <c r="W179" s="50" t="n">
        <v>0</v>
      </c>
      <c r="X179" s="51" t="n">
        <v>0</v>
      </c>
      <c r="Y179" s="52" t="n">
        <v>0</v>
      </c>
      <c r="Z179" s="52" t="n">
        <v>0</v>
      </c>
      <c r="AA179" s="52" t="n">
        <v>0</v>
      </c>
      <c r="AB179" s="53" t="n">
        <v>0</v>
      </c>
      <c r="AC179" s="52" t="n">
        <v>0</v>
      </c>
      <c r="AD179" s="53" t="n">
        <v>0</v>
      </c>
      <c r="AE179" s="52" t="n">
        <v>0</v>
      </c>
      <c r="AF179" s="51" t="n">
        <v>0</v>
      </c>
      <c r="AG179" s="48" t="n">
        <v>0</v>
      </c>
      <c r="AH179" s="49" t="n">
        <v>0</v>
      </c>
      <c r="AI179" s="49" t="n">
        <v>0</v>
      </c>
      <c r="AJ179" s="50" t="n">
        <v>0</v>
      </c>
      <c r="AK179" s="51" t="n">
        <v>0</v>
      </c>
      <c r="AL179" s="52" t="n">
        <v>0</v>
      </c>
      <c r="AM179" s="52" t="n">
        <v>0</v>
      </c>
      <c r="AN179" s="52" t="n">
        <v>0</v>
      </c>
      <c r="AO179" s="53" t="n">
        <v>0</v>
      </c>
      <c r="AP179" s="52" t="n">
        <v>0</v>
      </c>
      <c r="AQ179" s="53" t="n">
        <v>0</v>
      </c>
      <c r="AR179" s="52" t="n">
        <v>0</v>
      </c>
      <c r="AS179" s="51" t="n">
        <v>0</v>
      </c>
      <c r="AT179" s="48" t="n">
        <v>18</v>
      </c>
      <c r="AU179" s="49" t="n">
        <v>1</v>
      </c>
      <c r="AV179" s="49" t="n">
        <v>0</v>
      </c>
      <c r="AW179" s="50" t="n">
        <v>0</v>
      </c>
      <c r="AX179" s="51" t="n">
        <v>0</v>
      </c>
      <c r="AY179" s="52" t="n">
        <v>0</v>
      </c>
      <c r="AZ179" s="52" t="n">
        <v>0</v>
      </c>
      <c r="BA179" s="52" t="n">
        <v>0</v>
      </c>
      <c r="BB179" s="53" t="n">
        <v>0</v>
      </c>
      <c r="BC179" s="52" t="n">
        <v>0</v>
      </c>
      <c r="BD179" s="53" t="n">
        <v>0</v>
      </c>
      <c r="BE179" s="52" t="n">
        <v>18</v>
      </c>
      <c r="BF179" s="51" t="n">
        <v>0</v>
      </c>
    </row>
    <row r="180">
      <c r="A180">
        <f>HYPERLINK("https://www.walmart.com/ip/618417622", "618417622")</f>
        <v/>
      </c>
      <c r="B180" t="inlineStr">
        <is>
          <t>Tirrinia Single Wine Gift Tote Bag, Insulated Padded Thermal Wine Bottle Carrying Cooler Carrier for Travel, Picnic, Great Gift for Wine Lover, Dark Blue</t>
        </is>
      </c>
      <c r="C180" t="inlineStr">
        <is>
          <t>1TRWB102DBL</t>
        </is>
      </c>
      <c r="D180" t="inlineStr">
        <is>
          <t>Wine Totes, Bags &amp; Backpacks</t>
        </is>
      </c>
      <c r="E180" t="inlineStr">
        <is>
          <t>Tirrinia</t>
        </is>
      </c>
      <c r="G180" s="48" t="n">
        <v>0</v>
      </c>
      <c r="H180" s="49" t="n">
        <v>0</v>
      </c>
      <c r="I180" s="49" t="n">
        <v>0</v>
      </c>
      <c r="J180" s="50" t="n">
        <v>0</v>
      </c>
      <c r="K180" s="51" t="n">
        <v>7</v>
      </c>
      <c r="L180" s="52" t="n">
        <v>2.96</v>
      </c>
      <c r="M180" s="52" t="n">
        <v>0</v>
      </c>
      <c r="N180" s="52" t="n">
        <v>0</v>
      </c>
      <c r="O180" s="53" t="n">
        <v>0.0031</v>
      </c>
      <c r="P180" s="52" t="n">
        <v>0.4228571428571429</v>
      </c>
      <c r="Q180" s="53" t="n">
        <v>0</v>
      </c>
      <c r="R180" s="52" t="n">
        <v>0</v>
      </c>
      <c r="S180" s="51" t="n">
        <v>2280</v>
      </c>
      <c r="T180" s="48" t="n">
        <v>0</v>
      </c>
      <c r="U180" s="49" t="n">
        <v>0</v>
      </c>
      <c r="V180" s="49" t="n">
        <v>0</v>
      </c>
      <c r="W180" s="50" t="n">
        <v>0</v>
      </c>
      <c r="X180" s="51" t="n">
        <v>4</v>
      </c>
      <c r="Y180" s="52" t="n">
        <v>1.49</v>
      </c>
      <c r="Z180" s="52" t="n">
        <v>0</v>
      </c>
      <c r="AA180" s="52" t="n">
        <v>0</v>
      </c>
      <c r="AB180" s="53" t="n">
        <v>0.0031</v>
      </c>
      <c r="AC180" s="52" t="n">
        <v>0.3725</v>
      </c>
      <c r="AD180" s="53" t="n">
        <v>0</v>
      </c>
      <c r="AE180" s="52" t="n">
        <v>0</v>
      </c>
      <c r="AF180" s="51" t="n">
        <v>1292</v>
      </c>
      <c r="AG180" s="48" t="n">
        <v>11.99</v>
      </c>
      <c r="AH180" s="49" t="n">
        <v>1</v>
      </c>
      <c r="AI180" s="49" t="n">
        <v>0</v>
      </c>
      <c r="AJ180" s="50" t="n">
        <v>0</v>
      </c>
      <c r="AK180" s="51" t="n">
        <v>2</v>
      </c>
      <c r="AL180" s="52" t="n">
        <v>0.79</v>
      </c>
      <c r="AM180" s="52" t="n">
        <v>11.99</v>
      </c>
      <c r="AN180" s="52" t="n">
        <v>15.18</v>
      </c>
      <c r="AO180" s="53" t="n">
        <v>0.0028</v>
      </c>
      <c r="AP180" s="52" t="n">
        <v>0.395</v>
      </c>
      <c r="AQ180" s="53" t="n">
        <v>0.06588824020016681</v>
      </c>
      <c r="AR180" s="52" t="n">
        <v>11.99</v>
      </c>
      <c r="AS180" s="51" t="n">
        <v>718</v>
      </c>
      <c r="AT180" s="48" t="n">
        <v>11.99</v>
      </c>
      <c r="AU180" s="49" t="n">
        <v>1</v>
      </c>
      <c r="AV180" s="49" t="n">
        <v>0</v>
      </c>
      <c r="AW180" s="50" t="n">
        <v>0</v>
      </c>
      <c r="AX180" s="51" t="n">
        <v>1</v>
      </c>
      <c r="AY180" s="52" t="n">
        <v>0.44</v>
      </c>
      <c r="AZ180" s="52" t="n">
        <v>0</v>
      </c>
      <c r="BA180" s="52" t="n">
        <v>0</v>
      </c>
      <c r="BB180" s="53" t="n">
        <v>0.0012</v>
      </c>
      <c r="BC180" s="52" t="n">
        <v>0.44</v>
      </c>
      <c r="BD180" s="53" t="n">
        <v>0.03669724770642202</v>
      </c>
      <c r="BE180" s="52" t="n">
        <v>11.99</v>
      </c>
      <c r="BF180" s="51" t="n">
        <v>865</v>
      </c>
    </row>
    <row r="181">
      <c r="A181">
        <f>HYPERLINK("https://www.walmart.com/ip/617000595", "617000595")</f>
        <v/>
      </c>
      <c r="B181" t="inlineStr">
        <is>
          <t>Tirrinia Insulated Lunch Bag for Women, Men and Kids, Leakproof Thermal Reusable Insulated Cooler Bag for Office Work and Back to School, Black and Blue</t>
        </is>
      </c>
      <c r="C181" t="inlineStr">
        <is>
          <t>1KTLB600BKBL</t>
        </is>
      </c>
      <c r="D181" t="inlineStr">
        <is>
          <t>Reusable Lunch Bags &amp; Boxes</t>
        </is>
      </c>
      <c r="E181" t="inlineStr">
        <is>
          <t>Tirrinia</t>
        </is>
      </c>
      <c r="F181" t="inlineStr">
        <is>
          <t>Q2-Target,Brand Camp VD,Lunch Bag,Optimized,WFS,Lunch Bags,SEM,WFS Item</t>
        </is>
      </c>
      <c r="G181" s="48" t="n">
        <v>0</v>
      </c>
      <c r="H181" s="49" t="n">
        <v>0</v>
      </c>
      <c r="I181" s="49" t="n">
        <v>0</v>
      </c>
      <c r="J181" s="50" t="n">
        <v>0</v>
      </c>
      <c r="K181" s="51" t="n">
        <v>0</v>
      </c>
      <c r="L181" s="52" t="n">
        <v>0</v>
      </c>
      <c r="M181" s="52" t="n">
        <v>0</v>
      </c>
      <c r="N181" s="52" t="n">
        <v>0</v>
      </c>
      <c r="O181" s="53" t="n">
        <v>0</v>
      </c>
      <c r="P181" s="52" t="n">
        <v>0</v>
      </c>
      <c r="Q181" s="53" t="n">
        <v>0</v>
      </c>
      <c r="R181" s="52" t="n">
        <v>0</v>
      </c>
      <c r="S181" s="51" t="n">
        <v>0</v>
      </c>
      <c r="T181" s="48" t="n">
        <v>0</v>
      </c>
      <c r="U181" s="49" t="n">
        <v>0</v>
      </c>
      <c r="V181" s="49" t="n">
        <v>0</v>
      </c>
      <c r="W181" s="50" t="n">
        <v>0</v>
      </c>
      <c r="X181" s="51" t="n">
        <v>0</v>
      </c>
      <c r="Y181" s="52" t="n">
        <v>0</v>
      </c>
      <c r="Z181" s="52" t="n">
        <v>0</v>
      </c>
      <c r="AA181" s="52" t="n">
        <v>0</v>
      </c>
      <c r="AB181" s="53" t="n">
        <v>0</v>
      </c>
      <c r="AC181" s="52" t="n">
        <v>0</v>
      </c>
      <c r="AD181" s="53" t="n">
        <v>0</v>
      </c>
      <c r="AE181" s="52" t="n">
        <v>0</v>
      </c>
      <c r="AF181" s="51" t="n">
        <v>0</v>
      </c>
      <c r="AG181" s="48" t="n">
        <v>0</v>
      </c>
      <c r="AH181" s="49" t="n">
        <v>0</v>
      </c>
      <c r="AI181" s="49" t="n">
        <v>0</v>
      </c>
      <c r="AJ181" s="50" t="n">
        <v>0</v>
      </c>
      <c r="AK181" s="51" t="n">
        <v>0</v>
      </c>
      <c r="AL181" s="52" t="n">
        <v>0</v>
      </c>
      <c r="AM181" s="52" t="n">
        <v>0</v>
      </c>
      <c r="AN181" s="52" t="n">
        <v>0</v>
      </c>
      <c r="AO181" s="53" t="n">
        <v>0</v>
      </c>
      <c r="AP181" s="52" t="n">
        <v>0</v>
      </c>
      <c r="AQ181" s="53" t="n">
        <v>0</v>
      </c>
      <c r="AR181" s="52" t="n">
        <v>0</v>
      </c>
      <c r="AS181" s="51" t="n">
        <v>0</v>
      </c>
      <c r="AT181" s="48" t="n">
        <v>0</v>
      </c>
      <c r="AU181" s="49" t="n">
        <v>0</v>
      </c>
      <c r="AV181" s="49" t="n">
        <v>0</v>
      </c>
      <c r="AW181" s="50" t="n">
        <v>0</v>
      </c>
      <c r="AX181" s="51" t="n">
        <v>0</v>
      </c>
      <c r="AY181" s="52" t="n">
        <v>0</v>
      </c>
      <c r="AZ181" s="52" t="n">
        <v>0</v>
      </c>
      <c r="BA181" s="52" t="n">
        <v>0</v>
      </c>
      <c r="BB181" s="53" t="n">
        <v>0</v>
      </c>
      <c r="BC181" s="52" t="n">
        <v>0</v>
      </c>
      <c r="BD181" s="53" t="n">
        <v>0</v>
      </c>
      <c r="BE181" s="52" t="n">
        <v>0</v>
      </c>
      <c r="BF181" s="51" t="n">
        <v>0</v>
      </c>
    </row>
    <row r="182">
      <c r="A182">
        <f>HYPERLINK("https://www.walmart.com/ip/617807629", "617807629")</f>
        <v/>
      </c>
      <c r="B182" t="inlineStr">
        <is>
          <t>Flyingstar Faux Shearling Oversized Wearable Blanket, Hooded Blanket Sweatshirt for Women and Men, Black</t>
        </is>
      </c>
      <c r="C182" t="inlineStr">
        <is>
          <t>1WMHD300BK</t>
        </is>
      </c>
      <c r="D182" t="inlineStr">
        <is>
          <t>Sweatshirts &amp; Hoodies</t>
        </is>
      </c>
      <c r="E182" t="inlineStr">
        <is>
          <t>Flyingstar</t>
        </is>
      </c>
      <c r="F182" t="inlineStr">
        <is>
          <t>Hoodie ForAdult,Optimized,WFS,WFS Item</t>
        </is>
      </c>
      <c r="G182" s="48" t="n">
        <v>0</v>
      </c>
      <c r="H182" s="49" t="n">
        <v>0</v>
      </c>
      <c r="I182" s="49" t="n">
        <v>0</v>
      </c>
      <c r="J182" s="50" t="n">
        <v>0</v>
      </c>
      <c r="K182" s="51" t="n">
        <v>0</v>
      </c>
      <c r="L182" s="52" t="n">
        <v>0</v>
      </c>
      <c r="M182" s="52" t="n">
        <v>0</v>
      </c>
      <c r="N182" s="52" t="n">
        <v>0</v>
      </c>
      <c r="O182" s="53" t="n">
        <v>0</v>
      </c>
      <c r="P182" s="52" t="n">
        <v>0</v>
      </c>
      <c r="Q182" s="53" t="n">
        <v>0</v>
      </c>
      <c r="R182" s="52" t="n">
        <v>0</v>
      </c>
      <c r="S182" s="51" t="n">
        <v>0</v>
      </c>
      <c r="T182" s="48" t="n">
        <v>0</v>
      </c>
      <c r="U182" s="49" t="n">
        <v>0</v>
      </c>
      <c r="V182" s="49" t="n">
        <v>0</v>
      </c>
      <c r="W182" s="50" t="n">
        <v>0</v>
      </c>
      <c r="X182" s="51" t="n">
        <v>0</v>
      </c>
      <c r="Y182" s="52" t="n">
        <v>0</v>
      </c>
      <c r="Z182" s="52" t="n">
        <v>0</v>
      </c>
      <c r="AA182" s="52" t="n">
        <v>0</v>
      </c>
      <c r="AB182" s="53" t="n">
        <v>0</v>
      </c>
      <c r="AC182" s="52" t="n">
        <v>0</v>
      </c>
      <c r="AD182" s="53" t="n">
        <v>0</v>
      </c>
      <c r="AE182" s="52" t="n">
        <v>0</v>
      </c>
      <c r="AF182" s="51" t="n">
        <v>0</v>
      </c>
      <c r="AG182" s="48" t="n">
        <v>0</v>
      </c>
      <c r="AH182" s="49" t="n">
        <v>0</v>
      </c>
      <c r="AI182" s="49" t="n">
        <v>0</v>
      </c>
      <c r="AJ182" s="50" t="n">
        <v>0</v>
      </c>
      <c r="AK182" s="51" t="n">
        <v>0</v>
      </c>
      <c r="AL182" s="52" t="n">
        <v>0</v>
      </c>
      <c r="AM182" s="52" t="n">
        <v>0</v>
      </c>
      <c r="AN182" s="52" t="n">
        <v>0</v>
      </c>
      <c r="AO182" s="53" t="n">
        <v>0</v>
      </c>
      <c r="AP182" s="52" t="n">
        <v>0</v>
      </c>
      <c r="AQ182" s="53" t="n">
        <v>0</v>
      </c>
      <c r="AR182" s="52" t="n">
        <v>0</v>
      </c>
      <c r="AS182" s="51" t="n">
        <v>0</v>
      </c>
      <c r="AT182" s="48" t="n">
        <v>0</v>
      </c>
      <c r="AU182" s="49" t="n">
        <v>0</v>
      </c>
      <c r="AV182" s="49" t="n">
        <v>0</v>
      </c>
      <c r="AW182" s="50" t="n">
        <v>0</v>
      </c>
      <c r="AX182" s="51" t="n">
        <v>0</v>
      </c>
      <c r="AY182" s="52" t="n">
        <v>0</v>
      </c>
      <c r="AZ182" s="52" t="n">
        <v>0</v>
      </c>
      <c r="BA182" s="52" t="n">
        <v>0</v>
      </c>
      <c r="BB182" s="53" t="n">
        <v>0</v>
      </c>
      <c r="BC182" s="52" t="n">
        <v>0</v>
      </c>
      <c r="BD182" s="53" t="n">
        <v>0</v>
      </c>
      <c r="BE182" s="52" t="n">
        <v>0</v>
      </c>
      <c r="BF182" s="51" t="n">
        <v>0</v>
      </c>
    </row>
    <row r="183">
      <c r="A183">
        <f>HYPERLINK("https://www.walmart.com/ip/618025979", "618025979")</f>
        <v/>
      </c>
      <c r="B183" t="inlineStr">
        <is>
          <t>Napa Plush  Throw Blanket Mocha, Twin 60"x90", Striped Reversible Velvet Luxury Fleece Warm Bed Couch Blanket, Super Soft and Cozy</t>
        </is>
      </c>
      <c r="C183" t="inlineStr">
        <is>
          <t>K8030TW-MOC</t>
        </is>
      </c>
      <c r="D183" t="inlineStr">
        <is>
          <t>Throws</t>
        </is>
      </c>
      <c r="E183" t="inlineStr">
        <is>
          <t>NAPA</t>
        </is>
      </c>
      <c r="F183" t="inlineStr">
        <is>
          <t>Optimized</t>
        </is>
      </c>
      <c r="G183" s="48" t="n">
        <v>0</v>
      </c>
      <c r="H183" s="49" t="n">
        <v>0</v>
      </c>
      <c r="I183" s="49" t="n">
        <v>0</v>
      </c>
      <c r="J183" s="50" t="n">
        <v>0</v>
      </c>
      <c r="K183" s="51" t="n">
        <v>0</v>
      </c>
      <c r="L183" s="52" t="n">
        <v>0</v>
      </c>
      <c r="M183" s="52" t="n">
        <v>0</v>
      </c>
      <c r="N183" s="52" t="n">
        <v>0</v>
      </c>
      <c r="O183" s="53" t="n">
        <v>0</v>
      </c>
      <c r="P183" s="52" t="n">
        <v>0</v>
      </c>
      <c r="Q183" s="53" t="n">
        <v>0</v>
      </c>
      <c r="R183" s="52" t="n">
        <v>0</v>
      </c>
      <c r="S183" s="51" t="n">
        <v>0</v>
      </c>
      <c r="T183" s="48" t="n">
        <v>0</v>
      </c>
      <c r="U183" s="49" t="n">
        <v>0</v>
      </c>
      <c r="V183" s="49" t="n">
        <v>0</v>
      </c>
      <c r="W183" s="50" t="n">
        <v>0</v>
      </c>
      <c r="X183" s="51" t="n">
        <v>0</v>
      </c>
      <c r="Y183" s="52" t="n">
        <v>0</v>
      </c>
      <c r="Z183" s="52" t="n">
        <v>0</v>
      </c>
      <c r="AA183" s="52" t="n">
        <v>0</v>
      </c>
      <c r="AB183" s="53" t="n">
        <v>0</v>
      </c>
      <c r="AC183" s="52" t="n">
        <v>0</v>
      </c>
      <c r="AD183" s="53" t="n">
        <v>0</v>
      </c>
      <c r="AE183" s="52" t="n">
        <v>0</v>
      </c>
      <c r="AF183" s="51" t="n">
        <v>0</v>
      </c>
      <c r="AG183" s="48" t="n">
        <v>0</v>
      </c>
      <c r="AH183" s="49" t="n">
        <v>0</v>
      </c>
      <c r="AI183" s="49" t="n">
        <v>0</v>
      </c>
      <c r="AJ183" s="50" t="n">
        <v>0</v>
      </c>
      <c r="AK183" s="51" t="n">
        <v>0</v>
      </c>
      <c r="AL183" s="52" t="n">
        <v>0</v>
      </c>
      <c r="AM183" s="52" t="n">
        <v>0</v>
      </c>
      <c r="AN183" s="52" t="n">
        <v>0</v>
      </c>
      <c r="AO183" s="53" t="n">
        <v>0</v>
      </c>
      <c r="AP183" s="52" t="n">
        <v>0</v>
      </c>
      <c r="AQ183" s="53" t="n">
        <v>0</v>
      </c>
      <c r="AR183" s="52" t="n">
        <v>0</v>
      </c>
      <c r="AS183" s="51" t="n">
        <v>0</v>
      </c>
      <c r="AT183" s="48" t="n">
        <v>0</v>
      </c>
      <c r="AU183" s="49" t="n">
        <v>0</v>
      </c>
      <c r="AV183" s="49" t="n">
        <v>0</v>
      </c>
      <c r="AW183" s="50" t="n">
        <v>0</v>
      </c>
      <c r="AX183" s="51" t="n">
        <v>0</v>
      </c>
      <c r="AY183" s="52" t="n">
        <v>0</v>
      </c>
      <c r="AZ183" s="52" t="n">
        <v>0</v>
      </c>
      <c r="BA183" s="52" t="n">
        <v>0</v>
      </c>
      <c r="BB183" s="53" t="n">
        <v>0</v>
      </c>
      <c r="BC183" s="52" t="n">
        <v>0</v>
      </c>
      <c r="BD183" s="53" t="n">
        <v>0</v>
      </c>
      <c r="BE183" s="52" t="n">
        <v>0</v>
      </c>
      <c r="BF183" s="51" t="n">
        <v>0</v>
      </c>
    </row>
    <row r="184">
      <c r="A184">
        <f>HYPERLINK("https://www.walmart.com/ip/5518297090", "5518297090")</f>
        <v/>
      </c>
      <c r="B184" t="inlineStr">
        <is>
          <t>American Flag Sherpa Throw Blanket Polar Fleece, Super Cozy Warm TV Blankets for Bed or Couch Reversible 50" x 60"</t>
        </is>
      </c>
      <c r="C184" t="inlineStr">
        <is>
          <t>1TRBF300USA5</t>
        </is>
      </c>
      <c r="D184" t="inlineStr">
        <is>
          <t>Throws</t>
        </is>
      </c>
      <c r="E184" t="inlineStr">
        <is>
          <t>Tirrinia</t>
        </is>
      </c>
      <c r="G184" s="48" t="n">
        <v>0</v>
      </c>
      <c r="H184" s="49" t="n">
        <v>0</v>
      </c>
      <c r="I184" s="49" t="n">
        <v>0</v>
      </c>
      <c r="J184" s="50" t="n">
        <v>0</v>
      </c>
      <c r="K184" s="51" t="n">
        <v>0</v>
      </c>
      <c r="L184" s="52" t="n">
        <v>0</v>
      </c>
      <c r="M184" s="52" t="n">
        <v>0</v>
      </c>
      <c r="N184" s="52" t="n">
        <v>0</v>
      </c>
      <c r="O184" s="53" t="n">
        <v>0</v>
      </c>
      <c r="P184" s="52" t="n">
        <v>0</v>
      </c>
      <c r="Q184" s="53" t="n">
        <v>0</v>
      </c>
      <c r="R184" s="52" t="n">
        <v>0</v>
      </c>
      <c r="S184" s="51" t="n">
        <v>0</v>
      </c>
      <c r="T184" s="48" t="n">
        <v>0</v>
      </c>
      <c r="U184" s="49" t="n">
        <v>0</v>
      </c>
      <c r="V184" s="49" t="n">
        <v>0</v>
      </c>
      <c r="W184" s="50" t="n">
        <v>0</v>
      </c>
      <c r="X184" s="51" t="n">
        <v>0</v>
      </c>
      <c r="Y184" s="52" t="n">
        <v>0</v>
      </c>
      <c r="Z184" s="52" t="n">
        <v>0</v>
      </c>
      <c r="AA184" s="52" t="n">
        <v>0</v>
      </c>
      <c r="AB184" s="53" t="n">
        <v>0</v>
      </c>
      <c r="AC184" s="52" t="n">
        <v>0</v>
      </c>
      <c r="AD184" s="53" t="n">
        <v>0</v>
      </c>
      <c r="AE184" s="52" t="n">
        <v>0</v>
      </c>
      <c r="AF184" s="51" t="n">
        <v>0</v>
      </c>
      <c r="AG184" s="48" t="n">
        <v>0</v>
      </c>
      <c r="AH184" s="49" t="n">
        <v>0</v>
      </c>
      <c r="AI184" s="49" t="n">
        <v>0</v>
      </c>
      <c r="AJ184" s="50" t="n">
        <v>0</v>
      </c>
      <c r="AK184" s="51" t="n">
        <v>0</v>
      </c>
      <c r="AL184" s="52" t="n">
        <v>0</v>
      </c>
      <c r="AM184" s="52" t="n">
        <v>0</v>
      </c>
      <c r="AN184" s="52" t="n">
        <v>0</v>
      </c>
      <c r="AO184" s="53" t="n">
        <v>0</v>
      </c>
      <c r="AP184" s="52" t="n">
        <v>0</v>
      </c>
      <c r="AQ184" s="53" t="n">
        <v>0</v>
      </c>
      <c r="AR184" s="52" t="n">
        <v>0</v>
      </c>
      <c r="AS184" s="51" t="n">
        <v>0</v>
      </c>
      <c r="AT184" s="48" t="n">
        <v>0</v>
      </c>
      <c r="AU184" s="49" t="n">
        <v>0</v>
      </c>
      <c r="AV184" s="49" t="n">
        <v>0</v>
      </c>
      <c r="AW184" s="50" t="n">
        <v>0</v>
      </c>
      <c r="AX184" s="51" t="n">
        <v>0</v>
      </c>
      <c r="AY184" s="52" t="n">
        <v>0</v>
      </c>
      <c r="AZ184" s="52" t="n">
        <v>0</v>
      </c>
      <c r="BA184" s="52" t="n">
        <v>0</v>
      </c>
      <c r="BB184" s="53" t="n">
        <v>0</v>
      </c>
      <c r="BC184" s="52" t="n">
        <v>0</v>
      </c>
      <c r="BD184" s="53" t="n">
        <v>0</v>
      </c>
      <c r="BE184" s="52" t="n">
        <v>0</v>
      </c>
      <c r="BF184" s="51" t="n">
        <v>0</v>
      </c>
    </row>
    <row r="185">
      <c r="A185">
        <f>HYPERLINK("https://www.walmart.com/ip/5505967232", "5505967232")</f>
        <v/>
      </c>
      <c r="B185" t="inlineStr">
        <is>
          <t>Insulated Cooler Bag, Leakproof Soft Cooler tote bag, Collapsible Waterproof Grocery Thermal Bag, Gift Ideas for Picnic</t>
        </is>
      </c>
      <c r="C185" t="inlineStr">
        <is>
          <t>1SLCB00124BK</t>
        </is>
      </c>
      <c r="D185" t="inlineStr">
        <is>
          <t>Thermocoolers</t>
        </is>
      </c>
      <c r="E185" t="inlineStr">
        <is>
          <t>Solaris</t>
        </is>
      </c>
      <c r="G185" s="48" t="n">
        <v>0</v>
      </c>
      <c r="H185" s="49" t="n">
        <v>0</v>
      </c>
      <c r="I185" s="49" t="n">
        <v>0</v>
      </c>
      <c r="J185" s="50" t="n">
        <v>0</v>
      </c>
      <c r="K185" s="51" t="n">
        <v>0</v>
      </c>
      <c r="L185" s="52" t="n">
        <v>0</v>
      </c>
      <c r="M185" s="52" t="n">
        <v>0</v>
      </c>
      <c r="N185" s="52" t="n">
        <v>0</v>
      </c>
      <c r="O185" s="53" t="n">
        <v>0</v>
      </c>
      <c r="P185" s="52" t="n">
        <v>0</v>
      </c>
      <c r="Q185" s="53" t="n">
        <v>0</v>
      </c>
      <c r="R185" s="52" t="n">
        <v>0</v>
      </c>
      <c r="S185" s="51" t="n">
        <v>0</v>
      </c>
      <c r="T185" s="48" t="n">
        <v>0</v>
      </c>
      <c r="U185" s="49" t="n">
        <v>0</v>
      </c>
      <c r="V185" s="49" t="n">
        <v>0</v>
      </c>
      <c r="W185" s="50" t="n">
        <v>0</v>
      </c>
      <c r="X185" s="51" t="n">
        <v>0</v>
      </c>
      <c r="Y185" s="52" t="n">
        <v>0</v>
      </c>
      <c r="Z185" s="52" t="n">
        <v>0</v>
      </c>
      <c r="AA185" s="52" t="n">
        <v>0</v>
      </c>
      <c r="AB185" s="53" t="n">
        <v>0</v>
      </c>
      <c r="AC185" s="52" t="n">
        <v>0</v>
      </c>
      <c r="AD185" s="53" t="n">
        <v>0</v>
      </c>
      <c r="AE185" s="52" t="n">
        <v>0</v>
      </c>
      <c r="AF185" s="51" t="n">
        <v>0</v>
      </c>
      <c r="AG185" s="48" t="n">
        <v>0</v>
      </c>
      <c r="AH185" s="49" t="n">
        <v>0</v>
      </c>
      <c r="AI185" s="49" t="n">
        <v>0</v>
      </c>
      <c r="AJ185" s="50" t="n">
        <v>0</v>
      </c>
      <c r="AK185" s="51" t="n">
        <v>0</v>
      </c>
      <c r="AL185" s="52" t="n">
        <v>0</v>
      </c>
      <c r="AM185" s="52" t="n">
        <v>0</v>
      </c>
      <c r="AN185" s="52" t="n">
        <v>0</v>
      </c>
      <c r="AO185" s="53" t="n">
        <v>0</v>
      </c>
      <c r="AP185" s="52" t="n">
        <v>0</v>
      </c>
      <c r="AQ185" s="53" t="n">
        <v>0</v>
      </c>
      <c r="AR185" s="52" t="n">
        <v>0</v>
      </c>
      <c r="AS185" s="51" t="n">
        <v>0</v>
      </c>
      <c r="AT185" s="48" t="n">
        <v>0</v>
      </c>
      <c r="AU185" s="49" t="n">
        <v>0</v>
      </c>
      <c r="AV185" s="49" t="n">
        <v>0</v>
      </c>
      <c r="AW185" s="50" t="n">
        <v>0</v>
      </c>
      <c r="AX185" s="51" t="n">
        <v>0</v>
      </c>
      <c r="AY185" s="52" t="n">
        <v>0</v>
      </c>
      <c r="AZ185" s="52" t="n">
        <v>0</v>
      </c>
      <c r="BA185" s="52" t="n">
        <v>0</v>
      </c>
      <c r="BB185" s="53" t="n">
        <v>0</v>
      </c>
      <c r="BC185" s="52" t="n">
        <v>0</v>
      </c>
      <c r="BD185" s="53" t="n">
        <v>0</v>
      </c>
      <c r="BE185" s="52" t="n">
        <v>0</v>
      </c>
      <c r="BF185" s="51" t="n">
        <v>0</v>
      </c>
    </row>
    <row r="186">
      <c r="A186">
        <f>HYPERLINK("https://www.walmart.com/ip/618608855", "618608855")</f>
        <v/>
      </c>
      <c r="B186" t="inlineStr">
        <is>
          <t>Jennis Women's Sexy Net Pantyhose Stockings Sheer Ultrathin Socks - 2 Packs</t>
        </is>
      </c>
      <c r="C186" t="inlineStr">
        <is>
          <t>JWBLSPH2086-2 Packs</t>
        </is>
      </c>
      <c r="D186" t="inlineStr">
        <is>
          <t>Pantyhose &amp; Tights</t>
        </is>
      </c>
      <c r="E186" t="inlineStr">
        <is>
          <t>JenniWears</t>
        </is>
      </c>
      <c r="F186" t="inlineStr">
        <is>
          <t>Optimized,Valentine</t>
        </is>
      </c>
      <c r="G186" s="48" t="n">
        <v>0</v>
      </c>
      <c r="H186" s="49" t="n">
        <v>0</v>
      </c>
      <c r="I186" s="49" t="n">
        <v>0</v>
      </c>
      <c r="J186" s="50" t="n">
        <v>0</v>
      </c>
      <c r="K186" s="51" t="n">
        <v>0</v>
      </c>
      <c r="L186" s="52" t="n">
        <v>0</v>
      </c>
      <c r="M186" s="52" t="n">
        <v>0</v>
      </c>
      <c r="N186" s="52" t="n">
        <v>0</v>
      </c>
      <c r="O186" s="53" t="n">
        <v>0</v>
      </c>
      <c r="P186" s="52" t="n">
        <v>0</v>
      </c>
      <c r="Q186" s="53" t="n">
        <v>0</v>
      </c>
      <c r="R186" s="52" t="n">
        <v>0</v>
      </c>
      <c r="S186" s="51" t="n">
        <v>0</v>
      </c>
      <c r="T186" s="48" t="n">
        <v>0</v>
      </c>
      <c r="U186" s="49" t="n">
        <v>0</v>
      </c>
      <c r="V186" s="49" t="n">
        <v>0</v>
      </c>
      <c r="W186" s="50" t="n">
        <v>0</v>
      </c>
      <c r="X186" s="51" t="n">
        <v>0</v>
      </c>
      <c r="Y186" s="52" t="n">
        <v>0</v>
      </c>
      <c r="Z186" s="52" t="n">
        <v>0</v>
      </c>
      <c r="AA186" s="52" t="n">
        <v>0</v>
      </c>
      <c r="AB186" s="53" t="n">
        <v>0</v>
      </c>
      <c r="AC186" s="52" t="n">
        <v>0</v>
      </c>
      <c r="AD186" s="53" t="n">
        <v>0</v>
      </c>
      <c r="AE186" s="52" t="n">
        <v>0</v>
      </c>
      <c r="AF186" s="51" t="n">
        <v>0</v>
      </c>
      <c r="AG186" s="48" t="n">
        <v>0</v>
      </c>
      <c r="AH186" s="49" t="n">
        <v>0</v>
      </c>
      <c r="AI186" s="49" t="n">
        <v>0</v>
      </c>
      <c r="AJ186" s="50" t="n">
        <v>0</v>
      </c>
      <c r="AK186" s="51" t="n">
        <v>0</v>
      </c>
      <c r="AL186" s="52" t="n">
        <v>0</v>
      </c>
      <c r="AM186" s="52" t="n">
        <v>0</v>
      </c>
      <c r="AN186" s="52" t="n">
        <v>0</v>
      </c>
      <c r="AO186" s="53" t="n">
        <v>0</v>
      </c>
      <c r="AP186" s="52" t="n">
        <v>0</v>
      </c>
      <c r="AQ186" s="53" t="n">
        <v>0</v>
      </c>
      <c r="AR186" s="52" t="n">
        <v>0</v>
      </c>
      <c r="AS186" s="51" t="n">
        <v>0</v>
      </c>
      <c r="AT186" s="48" t="n">
        <v>0</v>
      </c>
      <c r="AU186" s="49" t="n">
        <v>0</v>
      </c>
      <c r="AV186" s="49" t="n">
        <v>0</v>
      </c>
      <c r="AW186" s="50" t="n">
        <v>0</v>
      </c>
      <c r="AX186" s="51" t="n">
        <v>0</v>
      </c>
      <c r="AY186" s="52" t="n">
        <v>0</v>
      </c>
      <c r="AZ186" s="52" t="n">
        <v>0</v>
      </c>
      <c r="BA186" s="52" t="n">
        <v>0</v>
      </c>
      <c r="BB186" s="53" t="n">
        <v>0</v>
      </c>
      <c r="BC186" s="52" t="n">
        <v>0</v>
      </c>
      <c r="BD186" s="53" t="n">
        <v>0</v>
      </c>
      <c r="BE186" s="52" t="n">
        <v>0</v>
      </c>
      <c r="BF186" s="51" t="n">
        <v>0</v>
      </c>
    </row>
    <row r="187">
      <c r="A187">
        <f>HYPERLINK("https://www.walmart.com/ip/550319306", "550319306")</f>
        <v/>
      </c>
      <c r="B187" t="inlineStr">
        <is>
          <t>Solaris Winter Cable Knit Beanie Hats with Fur Pom Pom for Women Ski Cap</t>
        </is>
      </c>
      <c r="C187" t="inlineStr">
        <is>
          <t>1SLPPH01BL</t>
        </is>
      </c>
      <c r="D187" t="inlineStr">
        <is>
          <t>Hats</t>
        </is>
      </c>
      <c r="E187" t="inlineStr">
        <is>
          <t>Solaris</t>
        </is>
      </c>
      <c r="F187" t="inlineStr">
        <is>
          <t>Batch 1 - TR</t>
        </is>
      </c>
      <c r="G187" s="48" t="n">
        <v>0</v>
      </c>
      <c r="H187" s="49" t="n">
        <v>0</v>
      </c>
      <c r="I187" s="49" t="n">
        <v>0</v>
      </c>
      <c r="J187" s="50" t="n">
        <v>0</v>
      </c>
      <c r="K187" s="51" t="n">
        <v>0</v>
      </c>
      <c r="L187" s="52" t="n">
        <v>0</v>
      </c>
      <c r="M187" s="52" t="n">
        <v>0</v>
      </c>
      <c r="N187" s="52" t="n">
        <v>0</v>
      </c>
      <c r="O187" s="53" t="n">
        <v>0</v>
      </c>
      <c r="P187" s="52" t="n">
        <v>0</v>
      </c>
      <c r="Q187" s="53" t="n">
        <v>0</v>
      </c>
      <c r="R187" s="52" t="n">
        <v>0</v>
      </c>
      <c r="S187" s="51" t="n">
        <v>0</v>
      </c>
      <c r="T187" s="48" t="n">
        <v>0</v>
      </c>
      <c r="U187" s="49" t="n">
        <v>0</v>
      </c>
      <c r="V187" s="49" t="n">
        <v>0</v>
      </c>
      <c r="W187" s="50" t="n">
        <v>0</v>
      </c>
      <c r="X187" s="51" t="n">
        <v>0</v>
      </c>
      <c r="Y187" s="52" t="n">
        <v>0</v>
      </c>
      <c r="Z187" s="52" t="n">
        <v>0</v>
      </c>
      <c r="AA187" s="52" t="n">
        <v>0</v>
      </c>
      <c r="AB187" s="53" t="n">
        <v>0</v>
      </c>
      <c r="AC187" s="52" t="n">
        <v>0</v>
      </c>
      <c r="AD187" s="53" t="n">
        <v>0</v>
      </c>
      <c r="AE187" s="52" t="n">
        <v>0</v>
      </c>
      <c r="AF187" s="51" t="n">
        <v>0</v>
      </c>
      <c r="AG187" s="48" t="n">
        <v>0</v>
      </c>
      <c r="AH187" s="49" t="n">
        <v>0</v>
      </c>
      <c r="AI187" s="49" t="n">
        <v>0</v>
      </c>
      <c r="AJ187" s="50" t="n">
        <v>0</v>
      </c>
      <c r="AK187" s="51" t="n">
        <v>0</v>
      </c>
      <c r="AL187" s="52" t="n">
        <v>0</v>
      </c>
      <c r="AM187" s="52" t="n">
        <v>0</v>
      </c>
      <c r="AN187" s="52" t="n">
        <v>0</v>
      </c>
      <c r="AO187" s="53" t="n">
        <v>0</v>
      </c>
      <c r="AP187" s="52" t="n">
        <v>0</v>
      </c>
      <c r="AQ187" s="53" t="n">
        <v>0</v>
      </c>
      <c r="AR187" s="52" t="n">
        <v>0</v>
      </c>
      <c r="AS187" s="51" t="n">
        <v>0</v>
      </c>
      <c r="AT187" s="48" t="n">
        <v>0</v>
      </c>
      <c r="AU187" s="49" t="n">
        <v>0</v>
      </c>
      <c r="AV187" s="49" t="n">
        <v>0</v>
      </c>
      <c r="AW187" s="50" t="n">
        <v>0</v>
      </c>
      <c r="AX187" s="51" t="n">
        <v>0</v>
      </c>
      <c r="AY187" s="52" t="n">
        <v>0</v>
      </c>
      <c r="AZ187" s="52" t="n">
        <v>0</v>
      </c>
      <c r="BA187" s="52" t="n">
        <v>0</v>
      </c>
      <c r="BB187" s="53" t="n">
        <v>0</v>
      </c>
      <c r="BC187" s="52" t="n">
        <v>0</v>
      </c>
      <c r="BD187" s="53" t="n">
        <v>0</v>
      </c>
      <c r="BE187" s="52" t="n">
        <v>0</v>
      </c>
      <c r="BF187" s="51" t="n">
        <v>0</v>
      </c>
    </row>
    <row r="188">
      <c r="A188">
        <f>HYPERLINK("https://www.walmart.com/ip/550143832", "550143832")</f>
        <v/>
      </c>
      <c r="B188" t="inlineStr">
        <is>
          <t>Tirrinia Sun Blocker Unisex Sun Hat with Neck Flap and Wide Brim for Outdoor Camping, Hiking, Hunting, and Fishing, Sun Hat for Men and Women, Tan</t>
        </is>
      </c>
      <c r="C188" t="inlineStr">
        <is>
          <t>1TRSH910TN-TBCB</t>
        </is>
      </c>
      <c r="D188" t="inlineStr">
        <is>
          <t>Hats</t>
        </is>
      </c>
      <c r="E188" t="inlineStr">
        <is>
          <t>Tirrinia</t>
        </is>
      </c>
      <c r="F188" t="inlineStr">
        <is>
          <t>Hats,Batch 1 - TR</t>
        </is>
      </c>
      <c r="G188" s="48" t="n">
        <v>0</v>
      </c>
      <c r="H188" s="49" t="n">
        <v>0</v>
      </c>
      <c r="I188" s="49" t="n">
        <v>0</v>
      </c>
      <c r="J188" s="50" t="n">
        <v>0</v>
      </c>
      <c r="K188" s="51" t="n">
        <v>2</v>
      </c>
      <c r="L188" s="52" t="n">
        <v>0.62</v>
      </c>
      <c r="M188" s="52" t="n">
        <v>0</v>
      </c>
      <c r="N188" s="52" t="n">
        <v>0</v>
      </c>
      <c r="O188" s="53" t="n">
        <v>0.0003</v>
      </c>
      <c r="P188" s="52" t="n">
        <v>0.31</v>
      </c>
      <c r="Q188" s="53" t="n">
        <v>0</v>
      </c>
      <c r="R188" s="52" t="n">
        <v>0</v>
      </c>
      <c r="S188" s="51" t="n">
        <v>6042</v>
      </c>
      <c r="T188" s="48" t="n">
        <v>15.99</v>
      </c>
      <c r="U188" s="49" t="n">
        <v>1</v>
      </c>
      <c r="V188" s="49" t="n">
        <v>0</v>
      </c>
      <c r="W188" s="50" t="n">
        <v>0</v>
      </c>
      <c r="X188" s="51" t="n">
        <v>0</v>
      </c>
      <c r="Y188" s="52" t="n">
        <v>0</v>
      </c>
      <c r="Z188" s="52" t="n">
        <v>0</v>
      </c>
      <c r="AA188" s="52" t="n">
        <v>0</v>
      </c>
      <c r="AB188" s="53" t="n">
        <v>0</v>
      </c>
      <c r="AC188" s="52" t="n">
        <v>0</v>
      </c>
      <c r="AD188" s="53" t="n">
        <v>0</v>
      </c>
      <c r="AE188" s="52" t="n">
        <v>15.99</v>
      </c>
      <c r="AF188" s="51" t="n">
        <v>0</v>
      </c>
      <c r="AG188" s="48" t="n">
        <v>0</v>
      </c>
      <c r="AH188" s="49" t="n">
        <v>0</v>
      </c>
      <c r="AI188" s="49" t="n">
        <v>0</v>
      </c>
      <c r="AJ188" s="50" t="n">
        <v>0</v>
      </c>
      <c r="AK188" s="51" t="n">
        <v>0</v>
      </c>
      <c r="AL188" s="52" t="n">
        <v>0</v>
      </c>
      <c r="AM188" s="52" t="n">
        <v>0</v>
      </c>
      <c r="AN188" s="52" t="n">
        <v>0</v>
      </c>
      <c r="AO188" s="53" t="n">
        <v>0</v>
      </c>
      <c r="AP188" s="52" t="n">
        <v>0</v>
      </c>
      <c r="AQ188" s="53" t="n">
        <v>0</v>
      </c>
      <c r="AR188" s="52" t="n">
        <v>0</v>
      </c>
      <c r="AS188" s="51" t="n">
        <v>0</v>
      </c>
      <c r="AT188" s="48" t="n">
        <v>0</v>
      </c>
      <c r="AU188" s="49" t="n">
        <v>0</v>
      </c>
      <c r="AV188" s="49" t="n">
        <v>0</v>
      </c>
      <c r="AW188" s="50" t="n">
        <v>0</v>
      </c>
      <c r="AX188" s="51" t="n">
        <v>0</v>
      </c>
      <c r="AY188" s="52" t="n">
        <v>0</v>
      </c>
      <c r="AZ188" s="52" t="n">
        <v>0</v>
      </c>
      <c r="BA188" s="52" t="n">
        <v>0</v>
      </c>
      <c r="BB188" s="53" t="n">
        <v>0</v>
      </c>
      <c r="BC188" s="52" t="n">
        <v>0</v>
      </c>
      <c r="BD188" s="53" t="n">
        <v>0</v>
      </c>
      <c r="BE188" s="52" t="n">
        <v>0</v>
      </c>
      <c r="BF188" s="51" t="n">
        <v>0</v>
      </c>
    </row>
    <row r="189">
      <c r="A189">
        <f>HYPERLINK("https://www.walmart.com/ip/5500120560", "5500120560")</f>
        <v/>
      </c>
      <c r="B189" t="inlineStr">
        <is>
          <t>Solaris Surf Poncho Changing Towel Robe for Women Men, Lightweight Changing Robe with Packable Bags, Water Absorbent Wetsuit Beach Hoode Towel for Surfing Swimming</t>
        </is>
      </c>
      <c r="C189" t="inlineStr">
        <is>
          <t>1SLBR103-BK</t>
        </is>
      </c>
      <c r="D189" t="inlineStr">
        <is>
          <t>Towels &amp; Washcloths</t>
        </is>
      </c>
      <c r="E189" t="inlineStr">
        <is>
          <t>Solaris</t>
        </is>
      </c>
      <c r="G189" s="48" t="n">
        <v>0</v>
      </c>
      <c r="H189" s="49" t="n">
        <v>0</v>
      </c>
      <c r="I189" s="49" t="n">
        <v>0</v>
      </c>
      <c r="J189" s="50" t="n">
        <v>0</v>
      </c>
      <c r="K189" s="51" t="n">
        <v>0</v>
      </c>
      <c r="L189" s="52" t="n">
        <v>0</v>
      </c>
      <c r="M189" s="52" t="n">
        <v>0</v>
      </c>
      <c r="N189" s="52" t="n">
        <v>0</v>
      </c>
      <c r="O189" s="53" t="n">
        <v>0</v>
      </c>
      <c r="P189" s="52" t="n">
        <v>0</v>
      </c>
      <c r="Q189" s="53" t="n">
        <v>0</v>
      </c>
      <c r="R189" s="52" t="n">
        <v>0</v>
      </c>
      <c r="S189" s="51" t="n">
        <v>0</v>
      </c>
      <c r="T189" s="48" t="n">
        <v>0</v>
      </c>
      <c r="U189" s="49" t="n">
        <v>0</v>
      </c>
      <c r="V189" s="49" t="n">
        <v>0</v>
      </c>
      <c r="W189" s="50" t="n">
        <v>0</v>
      </c>
      <c r="X189" s="51" t="n">
        <v>0</v>
      </c>
      <c r="Y189" s="52" t="n">
        <v>0</v>
      </c>
      <c r="Z189" s="52" t="n">
        <v>0</v>
      </c>
      <c r="AA189" s="52" t="n">
        <v>0</v>
      </c>
      <c r="AB189" s="53" t="n">
        <v>0</v>
      </c>
      <c r="AC189" s="52" t="n">
        <v>0</v>
      </c>
      <c r="AD189" s="53" t="n">
        <v>0</v>
      </c>
      <c r="AE189" s="52" t="n">
        <v>0</v>
      </c>
      <c r="AF189" s="51" t="n">
        <v>0</v>
      </c>
      <c r="AG189" s="48" t="n">
        <v>0</v>
      </c>
      <c r="AH189" s="49" t="n">
        <v>0</v>
      </c>
      <c r="AI189" s="49" t="n">
        <v>0</v>
      </c>
      <c r="AJ189" s="50" t="n">
        <v>0</v>
      </c>
      <c r="AK189" s="51" t="n">
        <v>0</v>
      </c>
      <c r="AL189" s="52" t="n">
        <v>0</v>
      </c>
      <c r="AM189" s="52" t="n">
        <v>0</v>
      </c>
      <c r="AN189" s="52" t="n">
        <v>0</v>
      </c>
      <c r="AO189" s="53" t="n">
        <v>0</v>
      </c>
      <c r="AP189" s="52" t="n">
        <v>0</v>
      </c>
      <c r="AQ189" s="53" t="n">
        <v>0</v>
      </c>
      <c r="AR189" s="52" t="n">
        <v>0</v>
      </c>
      <c r="AS189" s="51" t="n">
        <v>0</v>
      </c>
      <c r="AT189" s="48" t="n">
        <v>0</v>
      </c>
      <c r="AU189" s="49" t="n">
        <v>0</v>
      </c>
      <c r="AV189" s="49" t="n">
        <v>0</v>
      </c>
      <c r="AW189" s="50" t="n">
        <v>0</v>
      </c>
      <c r="AX189" s="51" t="n">
        <v>0</v>
      </c>
      <c r="AY189" s="52" t="n">
        <v>0</v>
      </c>
      <c r="AZ189" s="52" t="n">
        <v>0</v>
      </c>
      <c r="BA189" s="52" t="n">
        <v>0</v>
      </c>
      <c r="BB189" s="53" t="n">
        <v>0</v>
      </c>
      <c r="BC189" s="52" t="n">
        <v>0</v>
      </c>
      <c r="BD189" s="53" t="n">
        <v>0</v>
      </c>
      <c r="BE189" s="52" t="n">
        <v>0</v>
      </c>
      <c r="BF189" s="51" t="n">
        <v>0</v>
      </c>
    </row>
    <row r="190">
      <c r="A190">
        <f>HYPERLINK("https://www.walmart.com/ip/549985566", "549985566")</f>
        <v/>
      </c>
      <c r="B190" t="inlineStr">
        <is>
          <t>Sherpa Slipper Socks for Women,Winter Indoor Home Non Skid Booties</t>
        </is>
      </c>
      <c r="C190" t="inlineStr">
        <is>
          <t>1CTST200WN-2</t>
        </is>
      </c>
      <c r="D190" t="inlineStr">
        <is>
          <t>Socks</t>
        </is>
      </c>
      <c r="E190" t="inlineStr">
        <is>
          <t>Catalonia</t>
        </is>
      </c>
      <c r="F190" t="inlineStr">
        <is>
          <t>WFS,WFS Item</t>
        </is>
      </c>
      <c r="G190" s="48" t="n">
        <v>0</v>
      </c>
      <c r="H190" s="49" t="n">
        <v>0</v>
      </c>
      <c r="I190" s="49" t="n">
        <v>0</v>
      </c>
      <c r="J190" s="50" t="n">
        <v>0</v>
      </c>
      <c r="K190" s="51" t="n">
        <v>0</v>
      </c>
      <c r="L190" s="52" t="n">
        <v>0</v>
      </c>
      <c r="M190" s="52" t="n">
        <v>0</v>
      </c>
      <c r="N190" s="52" t="n">
        <v>0</v>
      </c>
      <c r="O190" s="53" t="n">
        <v>0</v>
      </c>
      <c r="P190" s="52" t="n">
        <v>0</v>
      </c>
      <c r="Q190" s="53" t="n">
        <v>0</v>
      </c>
      <c r="R190" s="52" t="n">
        <v>0</v>
      </c>
      <c r="S190" s="51" t="n">
        <v>0</v>
      </c>
      <c r="T190" s="48" t="n">
        <v>0</v>
      </c>
      <c r="U190" s="49" t="n">
        <v>0</v>
      </c>
      <c r="V190" s="49" t="n">
        <v>0</v>
      </c>
      <c r="W190" s="50" t="n">
        <v>0</v>
      </c>
      <c r="X190" s="51" t="n">
        <v>0</v>
      </c>
      <c r="Y190" s="52" t="n">
        <v>0</v>
      </c>
      <c r="Z190" s="52" t="n">
        <v>0</v>
      </c>
      <c r="AA190" s="52" t="n">
        <v>0</v>
      </c>
      <c r="AB190" s="53" t="n">
        <v>0</v>
      </c>
      <c r="AC190" s="52" t="n">
        <v>0</v>
      </c>
      <c r="AD190" s="53" t="n">
        <v>0</v>
      </c>
      <c r="AE190" s="52" t="n">
        <v>0</v>
      </c>
      <c r="AF190" s="51" t="n">
        <v>0</v>
      </c>
      <c r="AG190" s="48" t="n">
        <v>0</v>
      </c>
      <c r="AH190" s="49" t="n">
        <v>0</v>
      </c>
      <c r="AI190" s="49" t="n">
        <v>0</v>
      </c>
      <c r="AJ190" s="50" t="n">
        <v>0</v>
      </c>
      <c r="AK190" s="51" t="n">
        <v>0</v>
      </c>
      <c r="AL190" s="52" t="n">
        <v>0</v>
      </c>
      <c r="AM190" s="52" t="n">
        <v>0</v>
      </c>
      <c r="AN190" s="52" t="n">
        <v>0</v>
      </c>
      <c r="AO190" s="53" t="n">
        <v>0</v>
      </c>
      <c r="AP190" s="52" t="n">
        <v>0</v>
      </c>
      <c r="AQ190" s="53" t="n">
        <v>0</v>
      </c>
      <c r="AR190" s="52" t="n">
        <v>0</v>
      </c>
      <c r="AS190" s="51" t="n">
        <v>0</v>
      </c>
      <c r="AT190" s="48" t="n">
        <v>0</v>
      </c>
      <c r="AU190" s="49" t="n">
        <v>0</v>
      </c>
      <c r="AV190" s="49" t="n">
        <v>0</v>
      </c>
      <c r="AW190" s="50" t="n">
        <v>0</v>
      </c>
      <c r="AX190" s="51" t="n">
        <v>0</v>
      </c>
      <c r="AY190" s="52" t="n">
        <v>0</v>
      </c>
      <c r="AZ190" s="52" t="n">
        <v>0</v>
      </c>
      <c r="BA190" s="52" t="n">
        <v>0</v>
      </c>
      <c r="BB190" s="53" t="n">
        <v>0</v>
      </c>
      <c r="BC190" s="52" t="n">
        <v>0</v>
      </c>
      <c r="BD190" s="53" t="n">
        <v>0</v>
      </c>
      <c r="BE190" s="52" t="n">
        <v>0</v>
      </c>
      <c r="BF190" s="51" t="n">
        <v>0</v>
      </c>
    </row>
    <row r="191">
      <c r="A191">
        <f>HYPERLINK("https://www.walmart.com/ip/618925662", "618925662")</f>
        <v/>
      </c>
      <c r="B191" t="inlineStr">
        <is>
          <t>Catalonia Sherpa Fleece Throw Blanket, Super Soft TV Throw for Bed; Plush Sofa Couch Throw, Comfy-Cozy, Fluffy, Warm Comforter, Caring Gift, Purple, 60" x 80"</t>
        </is>
      </c>
      <c r="C191" t="inlineStr">
        <is>
          <t>1CTBF368PP</t>
        </is>
      </c>
      <c r="D191" t="inlineStr">
        <is>
          <t>Throws</t>
        </is>
      </c>
      <c r="E191" t="inlineStr">
        <is>
          <t>Catalonia</t>
        </is>
      </c>
      <c r="F191" t="inlineStr">
        <is>
          <t>Q2-Target,Optimized,WFS,Coupon_Discount,WFS Item,Fleece Blankets</t>
        </is>
      </c>
      <c r="G191" s="48" t="n">
        <v>0</v>
      </c>
      <c r="H191" s="49" t="n">
        <v>0</v>
      </c>
      <c r="I191" s="49" t="n">
        <v>0</v>
      </c>
      <c r="J191" s="50" t="n">
        <v>0</v>
      </c>
      <c r="K191" s="51" t="n">
        <v>0</v>
      </c>
      <c r="L191" s="52" t="n">
        <v>0</v>
      </c>
      <c r="M191" s="52" t="n">
        <v>0</v>
      </c>
      <c r="N191" s="52" t="n">
        <v>0</v>
      </c>
      <c r="O191" s="53" t="n">
        <v>0</v>
      </c>
      <c r="P191" s="52" t="n">
        <v>0</v>
      </c>
      <c r="Q191" s="53" t="n">
        <v>0</v>
      </c>
      <c r="R191" s="52" t="n">
        <v>0</v>
      </c>
      <c r="S191" s="51" t="n">
        <v>0</v>
      </c>
      <c r="T191" s="48" t="n">
        <v>0</v>
      </c>
      <c r="U191" s="49" t="n">
        <v>0</v>
      </c>
      <c r="V191" s="49" t="n">
        <v>0</v>
      </c>
      <c r="W191" s="50" t="n">
        <v>0</v>
      </c>
      <c r="X191" s="51" t="n">
        <v>0</v>
      </c>
      <c r="Y191" s="52" t="n">
        <v>0</v>
      </c>
      <c r="Z191" s="52" t="n">
        <v>0</v>
      </c>
      <c r="AA191" s="52" t="n">
        <v>0</v>
      </c>
      <c r="AB191" s="53" t="n">
        <v>0</v>
      </c>
      <c r="AC191" s="52" t="n">
        <v>0</v>
      </c>
      <c r="AD191" s="53" t="n">
        <v>0</v>
      </c>
      <c r="AE191" s="52" t="n">
        <v>0</v>
      </c>
      <c r="AF191" s="51" t="n">
        <v>0</v>
      </c>
      <c r="AG191" s="48" t="n">
        <v>0</v>
      </c>
      <c r="AH191" s="49" t="n">
        <v>0</v>
      </c>
      <c r="AI191" s="49" t="n">
        <v>0</v>
      </c>
      <c r="AJ191" s="50" t="n">
        <v>0</v>
      </c>
      <c r="AK191" s="51" t="n">
        <v>0</v>
      </c>
      <c r="AL191" s="52" t="n">
        <v>0</v>
      </c>
      <c r="AM191" s="52" t="n">
        <v>0</v>
      </c>
      <c r="AN191" s="52" t="n">
        <v>0</v>
      </c>
      <c r="AO191" s="53" t="n">
        <v>0</v>
      </c>
      <c r="AP191" s="52" t="n">
        <v>0</v>
      </c>
      <c r="AQ191" s="53" t="n">
        <v>0</v>
      </c>
      <c r="AR191" s="52" t="n">
        <v>0</v>
      </c>
      <c r="AS191" s="51" t="n">
        <v>0</v>
      </c>
      <c r="AT191" s="48" t="n">
        <v>0</v>
      </c>
      <c r="AU191" s="49" t="n">
        <v>0</v>
      </c>
      <c r="AV191" s="49" t="n">
        <v>0</v>
      </c>
      <c r="AW191" s="50" t="n">
        <v>0</v>
      </c>
      <c r="AX191" s="51" t="n">
        <v>0</v>
      </c>
      <c r="AY191" s="52" t="n">
        <v>0</v>
      </c>
      <c r="AZ191" s="52" t="n">
        <v>0</v>
      </c>
      <c r="BA191" s="52" t="n">
        <v>0</v>
      </c>
      <c r="BB191" s="53" t="n">
        <v>0</v>
      </c>
      <c r="BC191" s="52" t="n">
        <v>0</v>
      </c>
      <c r="BD191" s="53" t="n">
        <v>0</v>
      </c>
      <c r="BE191" s="52" t="n">
        <v>0</v>
      </c>
      <c r="BF191" s="51" t="n">
        <v>0</v>
      </c>
    </row>
    <row r="192">
      <c r="A192">
        <f>HYPERLINK("https://www.walmart.com/ip/5495967250", "5495967250")</f>
        <v/>
      </c>
      <c r="B192" t="inlineStr">
        <is>
          <t>Catalonia Plush Fleece Blanket Couch Throw Christmas Theme Shu Velveteen Lambswool Reversible Warm Super Soft 61” x 50“</t>
        </is>
      </c>
      <c r="C192" t="inlineStr">
        <is>
          <t>1CTBF600FRUITPIE</t>
        </is>
      </c>
      <c r="D192" t="inlineStr">
        <is>
          <t>Throws</t>
        </is>
      </c>
      <c r="E192" t="inlineStr">
        <is>
          <t>Catalonia</t>
        </is>
      </c>
      <c r="G192" s="48" t="n">
        <v>0</v>
      </c>
      <c r="H192" s="49" t="n">
        <v>0</v>
      </c>
      <c r="I192" s="49" t="n">
        <v>0</v>
      </c>
      <c r="J192" s="50" t="n">
        <v>0</v>
      </c>
      <c r="K192" s="51" t="n">
        <v>0</v>
      </c>
      <c r="L192" s="52" t="n">
        <v>0</v>
      </c>
      <c r="M192" s="52" t="n">
        <v>0</v>
      </c>
      <c r="N192" s="52" t="n">
        <v>0</v>
      </c>
      <c r="O192" s="53" t="n">
        <v>0</v>
      </c>
      <c r="P192" s="52" t="n">
        <v>0</v>
      </c>
      <c r="Q192" s="53" t="n">
        <v>0</v>
      </c>
      <c r="R192" s="52" t="n">
        <v>0</v>
      </c>
      <c r="S192" s="51" t="n">
        <v>0</v>
      </c>
      <c r="T192" s="48" t="n">
        <v>0</v>
      </c>
      <c r="U192" s="49" t="n">
        <v>0</v>
      </c>
      <c r="V192" s="49" t="n">
        <v>0</v>
      </c>
      <c r="W192" s="50" t="n">
        <v>0</v>
      </c>
      <c r="X192" s="51" t="n">
        <v>0</v>
      </c>
      <c r="Y192" s="52" t="n">
        <v>0</v>
      </c>
      <c r="Z192" s="52" t="n">
        <v>0</v>
      </c>
      <c r="AA192" s="52" t="n">
        <v>0</v>
      </c>
      <c r="AB192" s="53" t="n">
        <v>0</v>
      </c>
      <c r="AC192" s="52" t="n">
        <v>0</v>
      </c>
      <c r="AD192" s="53" t="n">
        <v>0</v>
      </c>
      <c r="AE192" s="52" t="n">
        <v>0</v>
      </c>
      <c r="AF192" s="51" t="n">
        <v>0</v>
      </c>
      <c r="AG192" s="48" t="n">
        <v>0</v>
      </c>
      <c r="AH192" s="49" t="n">
        <v>0</v>
      </c>
      <c r="AI192" s="49" t="n">
        <v>0</v>
      </c>
      <c r="AJ192" s="50" t="n">
        <v>0</v>
      </c>
      <c r="AK192" s="51" t="n">
        <v>0</v>
      </c>
      <c r="AL192" s="52" t="n">
        <v>0</v>
      </c>
      <c r="AM192" s="52" t="n">
        <v>0</v>
      </c>
      <c r="AN192" s="52" t="n">
        <v>0</v>
      </c>
      <c r="AO192" s="53" t="n">
        <v>0</v>
      </c>
      <c r="AP192" s="52" t="n">
        <v>0</v>
      </c>
      <c r="AQ192" s="53" t="n">
        <v>0</v>
      </c>
      <c r="AR192" s="52" t="n">
        <v>0</v>
      </c>
      <c r="AS192" s="51" t="n">
        <v>0</v>
      </c>
      <c r="AT192" s="48" t="n">
        <v>0</v>
      </c>
      <c r="AU192" s="49" t="n">
        <v>0</v>
      </c>
      <c r="AV192" s="49" t="n">
        <v>0</v>
      </c>
      <c r="AW192" s="50" t="n">
        <v>0</v>
      </c>
      <c r="AX192" s="51" t="n">
        <v>0</v>
      </c>
      <c r="AY192" s="52" t="n">
        <v>0</v>
      </c>
      <c r="AZ192" s="52" t="n">
        <v>0</v>
      </c>
      <c r="BA192" s="52" t="n">
        <v>0</v>
      </c>
      <c r="BB192" s="53" t="n">
        <v>0</v>
      </c>
      <c r="BC192" s="52" t="n">
        <v>0</v>
      </c>
      <c r="BD192" s="53" t="n">
        <v>0</v>
      </c>
      <c r="BE192" s="52" t="n">
        <v>0</v>
      </c>
      <c r="BF192" s="51" t="n">
        <v>0</v>
      </c>
    </row>
    <row r="193">
      <c r="A193">
        <f>HYPERLINK("https://www.walmart.com/ip/551700085", "551700085")</f>
        <v/>
      </c>
      <c r="B193" t="inlineStr">
        <is>
          <t>Tirrinia Insulated Lunch Bag for Women Men, Leakproof Thermal Reusable Lunch Box Tote for Adult &amp; Kids by Tirrinia, Lunch Cooler for Office Work, Teal</t>
        </is>
      </c>
      <c r="C193" t="inlineStr">
        <is>
          <t>1WMLB701P1TL</t>
        </is>
      </c>
      <c r="D193" t="inlineStr">
        <is>
          <t>Reusable Lunch Bags &amp; Boxes</t>
        </is>
      </c>
      <c r="E193" t="inlineStr">
        <is>
          <t>Flyingstar</t>
        </is>
      </c>
      <c r="F193" t="inlineStr">
        <is>
          <t>Q2-Target,Lunch Bag,Lunch Bags,SEM</t>
        </is>
      </c>
      <c r="G193" s="48" t="n">
        <v>0</v>
      </c>
      <c r="H193" s="49" t="n">
        <v>0</v>
      </c>
      <c r="I193" s="49" t="n">
        <v>0</v>
      </c>
      <c r="J193" s="50" t="n">
        <v>0</v>
      </c>
      <c r="K193" s="51" t="n">
        <v>0</v>
      </c>
      <c r="L193" s="52" t="n">
        <v>0</v>
      </c>
      <c r="M193" s="52" t="n">
        <v>0</v>
      </c>
      <c r="N193" s="52" t="n">
        <v>0</v>
      </c>
      <c r="O193" s="53" t="n">
        <v>0</v>
      </c>
      <c r="P193" s="52" t="n">
        <v>0</v>
      </c>
      <c r="Q193" s="53" t="n">
        <v>0</v>
      </c>
      <c r="R193" s="52" t="n">
        <v>0</v>
      </c>
      <c r="S193" s="51" t="n">
        <v>0</v>
      </c>
      <c r="T193" s="48" t="n">
        <v>0</v>
      </c>
      <c r="U193" s="49" t="n">
        <v>0</v>
      </c>
      <c r="V193" s="49" t="n">
        <v>0</v>
      </c>
      <c r="W193" s="50" t="n">
        <v>0</v>
      </c>
      <c r="X193" s="51" t="n">
        <v>0</v>
      </c>
      <c r="Y193" s="52" t="n">
        <v>0</v>
      </c>
      <c r="Z193" s="52" t="n">
        <v>0</v>
      </c>
      <c r="AA193" s="52" t="n">
        <v>0</v>
      </c>
      <c r="AB193" s="53" t="n">
        <v>0</v>
      </c>
      <c r="AC193" s="52" t="n">
        <v>0</v>
      </c>
      <c r="AD193" s="53" t="n">
        <v>0</v>
      </c>
      <c r="AE193" s="52" t="n">
        <v>0</v>
      </c>
      <c r="AF193" s="51" t="n">
        <v>0</v>
      </c>
      <c r="AG193" s="48" t="n">
        <v>0</v>
      </c>
      <c r="AH193" s="49" t="n">
        <v>0</v>
      </c>
      <c r="AI193" s="49" t="n">
        <v>0</v>
      </c>
      <c r="AJ193" s="50" t="n">
        <v>0</v>
      </c>
      <c r="AK193" s="51" t="n">
        <v>0</v>
      </c>
      <c r="AL193" s="52" t="n">
        <v>0</v>
      </c>
      <c r="AM193" s="52" t="n">
        <v>0</v>
      </c>
      <c r="AN193" s="52" t="n">
        <v>0</v>
      </c>
      <c r="AO193" s="53" t="n">
        <v>0</v>
      </c>
      <c r="AP193" s="52" t="n">
        <v>0</v>
      </c>
      <c r="AQ193" s="53" t="n">
        <v>0</v>
      </c>
      <c r="AR193" s="52" t="n">
        <v>0</v>
      </c>
      <c r="AS193" s="51" t="n">
        <v>0</v>
      </c>
      <c r="AT193" s="48" t="n">
        <v>0</v>
      </c>
      <c r="AU193" s="49" t="n">
        <v>0</v>
      </c>
      <c r="AV193" s="49" t="n">
        <v>0</v>
      </c>
      <c r="AW193" s="50" t="n">
        <v>0</v>
      </c>
      <c r="AX193" s="51" t="n">
        <v>0</v>
      </c>
      <c r="AY193" s="52" t="n">
        <v>0</v>
      </c>
      <c r="AZ193" s="52" t="n">
        <v>0</v>
      </c>
      <c r="BA193" s="52" t="n">
        <v>0</v>
      </c>
      <c r="BB193" s="53" t="n">
        <v>0</v>
      </c>
      <c r="BC193" s="52" t="n">
        <v>0</v>
      </c>
      <c r="BD193" s="53" t="n">
        <v>0</v>
      </c>
      <c r="BE193" s="52" t="n">
        <v>0</v>
      </c>
      <c r="BF193" s="51" t="n">
        <v>0</v>
      </c>
    </row>
    <row r="194">
      <c r="A194">
        <f>HYPERLINK("https://www.walmart.com/ip/597594664", "597594664")</f>
        <v/>
      </c>
      <c r="B194" t="inlineStr">
        <is>
          <t>Tirrinia Stemless Insulated Wine Tumbler with Lid, Stainless Steel Double Walled Metal Wine and Champagne Tumbler, Rose Gold, 12oz, 2-Pack</t>
        </is>
      </c>
      <c r="C194" t="inlineStr">
        <is>
          <t>1WMWT120RG -2PK</t>
        </is>
      </c>
      <c r="D194" t="inlineStr">
        <is>
          <t>Tumblers</t>
        </is>
      </c>
      <c r="E194" t="inlineStr">
        <is>
          <t>Flyingstar</t>
        </is>
      </c>
      <c r="F194" t="inlineStr">
        <is>
          <t>Wine,Christmas,Wine WFS,Valentine</t>
        </is>
      </c>
      <c r="G194" s="48" t="n">
        <v>0</v>
      </c>
      <c r="H194" s="49" t="n">
        <v>0</v>
      </c>
      <c r="I194" s="49" t="n">
        <v>0</v>
      </c>
      <c r="J194" s="50" t="n">
        <v>0</v>
      </c>
      <c r="K194" s="51" t="n">
        <v>0</v>
      </c>
      <c r="L194" s="52" t="n">
        <v>0</v>
      </c>
      <c r="M194" s="52" t="n">
        <v>0</v>
      </c>
      <c r="N194" s="52" t="n">
        <v>0</v>
      </c>
      <c r="O194" s="53" t="n">
        <v>0</v>
      </c>
      <c r="P194" s="52" t="n">
        <v>0</v>
      </c>
      <c r="Q194" s="53" t="n">
        <v>0</v>
      </c>
      <c r="R194" s="52" t="n">
        <v>0</v>
      </c>
      <c r="S194" s="51" t="n">
        <v>0</v>
      </c>
      <c r="T194" s="48" t="n">
        <v>0</v>
      </c>
      <c r="U194" s="49" t="n">
        <v>0</v>
      </c>
      <c r="V194" s="49" t="n">
        <v>0</v>
      </c>
      <c r="W194" s="50" t="n">
        <v>0</v>
      </c>
      <c r="X194" s="51" t="n">
        <v>0</v>
      </c>
      <c r="Y194" s="52" t="n">
        <v>0</v>
      </c>
      <c r="Z194" s="52" t="n">
        <v>0</v>
      </c>
      <c r="AA194" s="52" t="n">
        <v>0</v>
      </c>
      <c r="AB194" s="53" t="n">
        <v>0</v>
      </c>
      <c r="AC194" s="52" t="n">
        <v>0</v>
      </c>
      <c r="AD194" s="53" t="n">
        <v>0</v>
      </c>
      <c r="AE194" s="52" t="n">
        <v>0</v>
      </c>
      <c r="AF194" s="51" t="n">
        <v>0</v>
      </c>
      <c r="AG194" s="48" t="n">
        <v>0</v>
      </c>
      <c r="AH194" s="49" t="n">
        <v>0</v>
      </c>
      <c r="AI194" s="49" t="n">
        <v>0</v>
      </c>
      <c r="AJ194" s="50" t="n">
        <v>0</v>
      </c>
      <c r="AK194" s="51" t="n">
        <v>0</v>
      </c>
      <c r="AL194" s="52" t="n">
        <v>0</v>
      </c>
      <c r="AM194" s="52" t="n">
        <v>0</v>
      </c>
      <c r="AN194" s="52" t="n">
        <v>0</v>
      </c>
      <c r="AO194" s="53" t="n">
        <v>0</v>
      </c>
      <c r="AP194" s="52" t="n">
        <v>0</v>
      </c>
      <c r="AQ194" s="53" t="n">
        <v>0</v>
      </c>
      <c r="AR194" s="52" t="n">
        <v>0</v>
      </c>
      <c r="AS194" s="51" t="n">
        <v>0</v>
      </c>
      <c r="AT194" s="48" t="n">
        <v>0</v>
      </c>
      <c r="AU194" s="49" t="n">
        <v>0</v>
      </c>
      <c r="AV194" s="49" t="n">
        <v>0</v>
      </c>
      <c r="AW194" s="50" t="n">
        <v>0</v>
      </c>
      <c r="AX194" s="51" t="n">
        <v>0</v>
      </c>
      <c r="AY194" s="52" t="n">
        <v>0</v>
      </c>
      <c r="AZ194" s="52" t="n">
        <v>0</v>
      </c>
      <c r="BA194" s="52" t="n">
        <v>0</v>
      </c>
      <c r="BB194" s="53" t="n">
        <v>0</v>
      </c>
      <c r="BC194" s="52" t="n">
        <v>0</v>
      </c>
      <c r="BD194" s="53" t="n">
        <v>0</v>
      </c>
      <c r="BE194" s="52" t="n">
        <v>0</v>
      </c>
      <c r="BF194" s="51" t="n">
        <v>0</v>
      </c>
    </row>
    <row r="195">
      <c r="A195">
        <f>HYPERLINK("https://www.walmart.com/ip/551967690", "551967690")</f>
        <v/>
      </c>
      <c r="B195" t="inlineStr">
        <is>
          <t>Tirrinia Insulated Lunch Box for Women Men, Leakproof Thermal Reusable Lunch Bag with 2 Zipper Pockets for Adult &amp; Kids, Lunch Bag Cooler Tote for Office Work, Green Orange</t>
        </is>
      </c>
      <c r="C195" t="inlineStr">
        <is>
          <t>1TRLB705GNOR</t>
        </is>
      </c>
      <c r="D195" t="inlineStr">
        <is>
          <t>Reusable Lunch Bags &amp; Boxes</t>
        </is>
      </c>
      <c r="E195" t="inlineStr">
        <is>
          <t>Tirrinia</t>
        </is>
      </c>
      <c r="F195" t="inlineStr">
        <is>
          <t>Brand Camp VD,Lunch Bag,WFS,Lunch Bags,SEM,WFS Item,ST Patrick Day</t>
        </is>
      </c>
      <c r="G195" s="48" t="n">
        <v>0</v>
      </c>
      <c r="H195" s="49" t="n">
        <v>0</v>
      </c>
      <c r="I195" s="49" t="n">
        <v>0</v>
      </c>
      <c r="J195" s="50" t="n">
        <v>0</v>
      </c>
      <c r="K195" s="51" t="n">
        <v>0</v>
      </c>
      <c r="L195" s="52" t="n">
        <v>0</v>
      </c>
      <c r="M195" s="52" t="n">
        <v>0</v>
      </c>
      <c r="N195" s="52" t="n">
        <v>0</v>
      </c>
      <c r="O195" s="53" t="n">
        <v>0</v>
      </c>
      <c r="P195" s="52" t="n">
        <v>0</v>
      </c>
      <c r="Q195" s="53" t="n">
        <v>0</v>
      </c>
      <c r="R195" s="52" t="n">
        <v>0</v>
      </c>
      <c r="S195" s="51" t="n">
        <v>0</v>
      </c>
      <c r="T195" s="48" t="n">
        <v>0</v>
      </c>
      <c r="U195" s="49" t="n">
        <v>0</v>
      </c>
      <c r="V195" s="49" t="n">
        <v>0</v>
      </c>
      <c r="W195" s="50" t="n">
        <v>0</v>
      </c>
      <c r="X195" s="51" t="n">
        <v>0</v>
      </c>
      <c r="Y195" s="52" t="n">
        <v>0</v>
      </c>
      <c r="Z195" s="52" t="n">
        <v>0</v>
      </c>
      <c r="AA195" s="52" t="n">
        <v>0</v>
      </c>
      <c r="AB195" s="53" t="n">
        <v>0</v>
      </c>
      <c r="AC195" s="52" t="n">
        <v>0</v>
      </c>
      <c r="AD195" s="53" t="n">
        <v>0</v>
      </c>
      <c r="AE195" s="52" t="n">
        <v>0</v>
      </c>
      <c r="AF195" s="51" t="n">
        <v>0</v>
      </c>
      <c r="AG195" s="48" t="n">
        <v>38.94</v>
      </c>
      <c r="AH195" s="49" t="n">
        <v>3</v>
      </c>
      <c r="AI195" s="49" t="n">
        <v>0</v>
      </c>
      <c r="AJ195" s="50" t="n">
        <v>0</v>
      </c>
      <c r="AK195" s="51" t="n">
        <v>0</v>
      </c>
      <c r="AL195" s="52" t="n">
        <v>0</v>
      </c>
      <c r="AM195" s="52" t="n">
        <v>0</v>
      </c>
      <c r="AN195" s="52" t="n">
        <v>0</v>
      </c>
      <c r="AO195" s="53" t="n">
        <v>0</v>
      </c>
      <c r="AP195" s="52" t="n">
        <v>0</v>
      </c>
      <c r="AQ195" s="53" t="n">
        <v>0</v>
      </c>
      <c r="AR195" s="52" t="n">
        <v>12.98</v>
      </c>
      <c r="AS195" s="51" t="n">
        <v>0</v>
      </c>
      <c r="AT195" s="48" t="n">
        <v>0</v>
      </c>
      <c r="AU195" s="49" t="n">
        <v>0</v>
      </c>
      <c r="AV195" s="49" t="n">
        <v>0</v>
      </c>
      <c r="AW195" s="50" t="n">
        <v>0</v>
      </c>
      <c r="AX195" s="51" t="n">
        <v>0</v>
      </c>
      <c r="AY195" s="52" t="n">
        <v>0</v>
      </c>
      <c r="AZ195" s="52" t="n">
        <v>0</v>
      </c>
      <c r="BA195" s="52" t="n">
        <v>0</v>
      </c>
      <c r="BB195" s="53" t="n">
        <v>0</v>
      </c>
      <c r="BC195" s="52" t="n">
        <v>0</v>
      </c>
      <c r="BD195" s="53" t="n">
        <v>0</v>
      </c>
      <c r="BE195" s="52" t="n">
        <v>0</v>
      </c>
      <c r="BF195" s="51" t="n">
        <v>0</v>
      </c>
    </row>
    <row r="196">
      <c r="A196">
        <f>HYPERLINK("https://www.walmart.com/ip/551981396", "551981396")</f>
        <v/>
      </c>
      <c r="B196" t="inlineStr">
        <is>
          <t>Fleece Blanket Wearable with Sleeves &amp; Foot pockets for Men and Women, Micro Plush Wrap Sleeved Throw Blanket Robe Multi-Colors 75”x53” by Catalonia</t>
        </is>
      </c>
      <c r="C196" t="inlineStr">
        <is>
          <t>1CTSN101LG</t>
        </is>
      </c>
      <c r="D196" t="inlineStr">
        <is>
          <t>Throws</t>
        </is>
      </c>
      <c r="E196" t="inlineStr">
        <is>
          <t>Catalonia</t>
        </is>
      </c>
      <c r="F196" t="inlineStr">
        <is>
          <t>WFS,Coupon_Discount,WFS Item,Fleece Blankets</t>
        </is>
      </c>
      <c r="G196" s="48" t="n">
        <v>0</v>
      </c>
      <c r="H196" s="49" t="n">
        <v>0</v>
      </c>
      <c r="I196" s="49" t="n">
        <v>0</v>
      </c>
      <c r="J196" s="50" t="n">
        <v>0</v>
      </c>
      <c r="K196" s="51" t="n">
        <v>0</v>
      </c>
      <c r="L196" s="52" t="n">
        <v>0</v>
      </c>
      <c r="M196" s="52" t="n">
        <v>0</v>
      </c>
      <c r="N196" s="52" t="n">
        <v>0</v>
      </c>
      <c r="O196" s="53" t="n">
        <v>0</v>
      </c>
      <c r="P196" s="52" t="n">
        <v>0</v>
      </c>
      <c r="Q196" s="53" t="n">
        <v>0</v>
      </c>
      <c r="R196" s="52" t="n">
        <v>0</v>
      </c>
      <c r="S196" s="51" t="n">
        <v>0</v>
      </c>
      <c r="T196" s="48" t="n">
        <v>0</v>
      </c>
      <c r="U196" s="49" t="n">
        <v>0</v>
      </c>
      <c r="V196" s="49" t="n">
        <v>0</v>
      </c>
      <c r="W196" s="50" t="n">
        <v>0</v>
      </c>
      <c r="X196" s="51" t="n">
        <v>0</v>
      </c>
      <c r="Y196" s="52" t="n">
        <v>0</v>
      </c>
      <c r="Z196" s="52" t="n">
        <v>0</v>
      </c>
      <c r="AA196" s="52" t="n">
        <v>0</v>
      </c>
      <c r="AB196" s="53" t="n">
        <v>0</v>
      </c>
      <c r="AC196" s="52" t="n">
        <v>0</v>
      </c>
      <c r="AD196" s="53" t="n">
        <v>0</v>
      </c>
      <c r="AE196" s="52" t="n">
        <v>0</v>
      </c>
      <c r="AF196" s="51" t="n">
        <v>0</v>
      </c>
      <c r="AG196" s="48" t="n">
        <v>0</v>
      </c>
      <c r="AH196" s="49" t="n">
        <v>0</v>
      </c>
      <c r="AI196" s="49" t="n">
        <v>0</v>
      </c>
      <c r="AJ196" s="50" t="n">
        <v>0</v>
      </c>
      <c r="AK196" s="51" t="n">
        <v>0</v>
      </c>
      <c r="AL196" s="52" t="n">
        <v>0</v>
      </c>
      <c r="AM196" s="52" t="n">
        <v>0</v>
      </c>
      <c r="AN196" s="52" t="n">
        <v>0</v>
      </c>
      <c r="AO196" s="53" t="n">
        <v>0</v>
      </c>
      <c r="AP196" s="52" t="n">
        <v>0</v>
      </c>
      <c r="AQ196" s="53" t="n">
        <v>0</v>
      </c>
      <c r="AR196" s="52" t="n">
        <v>0</v>
      </c>
      <c r="AS196" s="51" t="n">
        <v>0</v>
      </c>
      <c r="AT196" s="48" t="n">
        <v>0</v>
      </c>
      <c r="AU196" s="49" t="n">
        <v>0</v>
      </c>
      <c r="AV196" s="49" t="n">
        <v>0</v>
      </c>
      <c r="AW196" s="50" t="n">
        <v>0</v>
      </c>
      <c r="AX196" s="51" t="n">
        <v>0</v>
      </c>
      <c r="AY196" s="52" t="n">
        <v>0</v>
      </c>
      <c r="AZ196" s="52" t="n">
        <v>0</v>
      </c>
      <c r="BA196" s="52" t="n">
        <v>0</v>
      </c>
      <c r="BB196" s="53" t="n">
        <v>0</v>
      </c>
      <c r="BC196" s="52" t="n">
        <v>0</v>
      </c>
      <c r="BD196" s="53" t="n">
        <v>0</v>
      </c>
      <c r="BE196" s="52" t="n">
        <v>0</v>
      </c>
      <c r="BF196" s="51" t="n">
        <v>0</v>
      </c>
    </row>
    <row r="197">
      <c r="A197">
        <f>HYPERLINK("https://www.walmart.com/ip/561712246", "561712246")</f>
        <v/>
      </c>
      <c r="B197" t="inlineStr">
        <is>
          <t>Dickies Basic Insulated Lunch Bag for Work, Thermal Reusable Office Lunch Box for Men, Women (Purple)</t>
        </is>
      </c>
      <c r="C197" t="inlineStr">
        <is>
          <t>DK-LUNCH-BASICBOX-GREYCAMO</t>
        </is>
      </c>
      <c r="D197" t="inlineStr">
        <is>
          <t>Reusable Lunch Bags &amp; Boxes</t>
        </is>
      </c>
      <c r="E197" t="inlineStr">
        <is>
          <t>Dickies</t>
        </is>
      </c>
      <c r="G197" s="48" t="n">
        <v>0</v>
      </c>
      <c r="H197" s="49" t="n">
        <v>0</v>
      </c>
      <c r="I197" s="49" t="n">
        <v>0</v>
      </c>
      <c r="J197" s="50" t="n">
        <v>0</v>
      </c>
      <c r="K197" s="51" t="n">
        <v>0</v>
      </c>
      <c r="L197" s="52" t="n">
        <v>0</v>
      </c>
      <c r="M197" s="52" t="n">
        <v>0</v>
      </c>
      <c r="N197" s="52" t="n">
        <v>0</v>
      </c>
      <c r="O197" s="53" t="n">
        <v>0</v>
      </c>
      <c r="P197" s="52" t="n">
        <v>0</v>
      </c>
      <c r="Q197" s="53" t="n">
        <v>0</v>
      </c>
      <c r="R197" s="52" t="n">
        <v>0</v>
      </c>
      <c r="S197" s="51" t="n">
        <v>0</v>
      </c>
      <c r="T197" s="48" t="n">
        <v>0</v>
      </c>
      <c r="U197" s="49" t="n">
        <v>0</v>
      </c>
      <c r="V197" s="49" t="n">
        <v>0</v>
      </c>
      <c r="W197" s="50" t="n">
        <v>0</v>
      </c>
      <c r="X197" s="51" t="n">
        <v>0</v>
      </c>
      <c r="Y197" s="52" t="n">
        <v>0</v>
      </c>
      <c r="Z197" s="52" t="n">
        <v>0</v>
      </c>
      <c r="AA197" s="52" t="n">
        <v>0</v>
      </c>
      <c r="AB197" s="53" t="n">
        <v>0</v>
      </c>
      <c r="AC197" s="52" t="n">
        <v>0</v>
      </c>
      <c r="AD197" s="53" t="n">
        <v>0</v>
      </c>
      <c r="AE197" s="52" t="n">
        <v>0</v>
      </c>
      <c r="AF197" s="51" t="n">
        <v>0</v>
      </c>
      <c r="AG197" s="48" t="n">
        <v>0</v>
      </c>
      <c r="AH197" s="49" t="n">
        <v>0</v>
      </c>
      <c r="AI197" s="49" t="n">
        <v>0</v>
      </c>
      <c r="AJ197" s="50" t="n">
        <v>0</v>
      </c>
      <c r="AK197" s="51" t="n">
        <v>0</v>
      </c>
      <c r="AL197" s="52" t="n">
        <v>0</v>
      </c>
      <c r="AM197" s="52" t="n">
        <v>0</v>
      </c>
      <c r="AN197" s="52" t="n">
        <v>0</v>
      </c>
      <c r="AO197" s="53" t="n">
        <v>0</v>
      </c>
      <c r="AP197" s="52" t="n">
        <v>0</v>
      </c>
      <c r="AQ197" s="53" t="n">
        <v>0</v>
      </c>
      <c r="AR197" s="52" t="n">
        <v>0</v>
      </c>
      <c r="AS197" s="51" t="n">
        <v>0</v>
      </c>
      <c r="AT197" s="48" t="n">
        <v>0</v>
      </c>
      <c r="AU197" s="49" t="n">
        <v>0</v>
      </c>
      <c r="AV197" s="49" t="n">
        <v>0</v>
      </c>
      <c r="AW197" s="50" t="n">
        <v>0</v>
      </c>
      <c r="AX197" s="51" t="n">
        <v>0</v>
      </c>
      <c r="AY197" s="52" t="n">
        <v>0</v>
      </c>
      <c r="AZ197" s="52" t="n">
        <v>0</v>
      </c>
      <c r="BA197" s="52" t="n">
        <v>0</v>
      </c>
      <c r="BB197" s="53" t="n">
        <v>0</v>
      </c>
      <c r="BC197" s="52" t="n">
        <v>0</v>
      </c>
      <c r="BD197" s="53" t="n">
        <v>0</v>
      </c>
      <c r="BE197" s="52" t="n">
        <v>0</v>
      </c>
      <c r="BF197" s="51" t="n">
        <v>0</v>
      </c>
    </row>
    <row r="198">
      <c r="A198">
        <f>HYPERLINK("https://www.walmart.com/ip/5609831109", "5609831109")</f>
        <v/>
      </c>
      <c r="B198" t="inlineStr">
        <is>
          <t>Tirrinia  Camping Cooler Bag Insulated w/ Shoulder Strap and Bottle Opener 20 Cans Portable Ice Chest for Camping Hiking Picnic Beach</t>
        </is>
      </c>
      <c r="C198" t="inlineStr">
        <is>
          <t>1TRCB00130BK</t>
        </is>
      </c>
      <c r="D198" t="inlineStr">
        <is>
          <t>Soft-Sided Coolers</t>
        </is>
      </c>
      <c r="E198" t="inlineStr">
        <is>
          <t>Tirrinia</t>
        </is>
      </c>
      <c r="G198" s="48" t="n">
        <v>0</v>
      </c>
      <c r="H198" s="49" t="n">
        <v>0</v>
      </c>
      <c r="I198" s="49" t="n">
        <v>0</v>
      </c>
      <c r="J198" s="50" t="n">
        <v>0</v>
      </c>
      <c r="K198" s="51" t="n">
        <v>0</v>
      </c>
      <c r="L198" s="52" t="n">
        <v>0</v>
      </c>
      <c r="M198" s="52" t="n">
        <v>0</v>
      </c>
      <c r="N198" s="52" t="n">
        <v>0</v>
      </c>
      <c r="O198" s="53" t="n">
        <v>0</v>
      </c>
      <c r="P198" s="52" t="n">
        <v>0</v>
      </c>
      <c r="Q198" s="53" t="n">
        <v>0</v>
      </c>
      <c r="R198" s="52" t="n">
        <v>0</v>
      </c>
      <c r="S198" s="51" t="n">
        <v>0</v>
      </c>
      <c r="T198" s="48" t="n">
        <v>21.99</v>
      </c>
      <c r="U198" s="49" t="n">
        <v>1</v>
      </c>
      <c r="V198" s="49" t="n">
        <v>0</v>
      </c>
      <c r="W198" s="50" t="n">
        <v>0</v>
      </c>
      <c r="X198" s="51" t="n">
        <v>0</v>
      </c>
      <c r="Y198" s="52" t="n">
        <v>0</v>
      </c>
      <c r="Z198" s="52" t="n">
        <v>0</v>
      </c>
      <c r="AA198" s="52" t="n">
        <v>0</v>
      </c>
      <c r="AB198" s="53" t="n">
        <v>0</v>
      </c>
      <c r="AC198" s="52" t="n">
        <v>0</v>
      </c>
      <c r="AD198" s="53" t="n">
        <v>0</v>
      </c>
      <c r="AE198" s="52" t="n">
        <v>21.99</v>
      </c>
      <c r="AF198" s="51" t="n">
        <v>0</v>
      </c>
      <c r="AG198" s="48" t="n">
        <v>0</v>
      </c>
      <c r="AH198" s="49" t="n">
        <v>0</v>
      </c>
      <c r="AI198" s="49" t="n">
        <v>0</v>
      </c>
      <c r="AJ198" s="50" t="n">
        <v>0</v>
      </c>
      <c r="AK198" s="51" t="n">
        <v>0</v>
      </c>
      <c r="AL198" s="52" t="n">
        <v>0</v>
      </c>
      <c r="AM198" s="52" t="n">
        <v>0</v>
      </c>
      <c r="AN198" s="52" t="n">
        <v>0</v>
      </c>
      <c r="AO198" s="53" t="n">
        <v>0</v>
      </c>
      <c r="AP198" s="52" t="n">
        <v>0</v>
      </c>
      <c r="AQ198" s="53" t="n">
        <v>0</v>
      </c>
      <c r="AR198" s="52" t="n">
        <v>0</v>
      </c>
      <c r="AS198" s="51" t="n">
        <v>0</v>
      </c>
      <c r="AT198" s="48" t="n">
        <v>0</v>
      </c>
      <c r="AU198" s="49" t="n">
        <v>0</v>
      </c>
      <c r="AV198" s="49" t="n">
        <v>0</v>
      </c>
      <c r="AW198" s="50" t="n">
        <v>0</v>
      </c>
      <c r="AX198" s="51" t="n">
        <v>0</v>
      </c>
      <c r="AY198" s="52" t="n">
        <v>0</v>
      </c>
      <c r="AZ198" s="52" t="n">
        <v>0</v>
      </c>
      <c r="BA198" s="52" t="n">
        <v>0</v>
      </c>
      <c r="BB198" s="53" t="n">
        <v>0</v>
      </c>
      <c r="BC198" s="52" t="n">
        <v>0</v>
      </c>
      <c r="BD198" s="53" t="n">
        <v>0</v>
      </c>
      <c r="BE198" s="52" t="n">
        <v>0</v>
      </c>
      <c r="BF198" s="51" t="n">
        <v>0</v>
      </c>
    </row>
    <row r="199">
      <c r="A199">
        <f>HYPERLINK("https://www.walmart.com/ip/5606433843", "5606433843")</f>
        <v/>
      </c>
      <c r="B199" t="inlineStr">
        <is>
          <t>Tirrinia  Camping Cooler Bag Insulated w/ Shoulder Strap and Bottle Opener 20 Cans Portable Ice Chest for Camping Hiking Picnic Beach Black</t>
        </is>
      </c>
      <c r="C199" t="inlineStr">
        <is>
          <t>1TRCB00120BK</t>
        </is>
      </c>
      <c r="D199" t="inlineStr">
        <is>
          <t>Soft-Sided Coolers</t>
        </is>
      </c>
      <c r="E199" t="inlineStr">
        <is>
          <t>Tirrinia</t>
        </is>
      </c>
      <c r="G199" s="48" t="n">
        <v>0</v>
      </c>
      <c r="H199" s="49" t="n">
        <v>0</v>
      </c>
      <c r="I199" s="49" t="n">
        <v>0</v>
      </c>
      <c r="J199" s="50" t="n">
        <v>0</v>
      </c>
      <c r="K199" s="51" t="n">
        <v>0</v>
      </c>
      <c r="L199" s="52" t="n">
        <v>0</v>
      </c>
      <c r="M199" s="52" t="n">
        <v>0</v>
      </c>
      <c r="N199" s="52" t="n">
        <v>0</v>
      </c>
      <c r="O199" s="53" t="n">
        <v>0</v>
      </c>
      <c r="P199" s="52" t="n">
        <v>0</v>
      </c>
      <c r="Q199" s="53" t="n">
        <v>0</v>
      </c>
      <c r="R199" s="52" t="n">
        <v>0</v>
      </c>
      <c r="S199" s="51" t="n">
        <v>0</v>
      </c>
      <c r="T199" s="48" t="n">
        <v>24.99</v>
      </c>
      <c r="U199" s="49" t="n">
        <v>1</v>
      </c>
      <c r="V199" s="49" t="n">
        <v>0</v>
      </c>
      <c r="W199" s="50" t="n">
        <v>0</v>
      </c>
      <c r="X199" s="51" t="n">
        <v>0</v>
      </c>
      <c r="Y199" s="52" t="n">
        <v>0</v>
      </c>
      <c r="Z199" s="52" t="n">
        <v>0</v>
      </c>
      <c r="AA199" s="52" t="n">
        <v>0</v>
      </c>
      <c r="AB199" s="53" t="n">
        <v>0</v>
      </c>
      <c r="AC199" s="52" t="n">
        <v>0</v>
      </c>
      <c r="AD199" s="53" t="n">
        <v>0</v>
      </c>
      <c r="AE199" s="52" t="n">
        <v>24.99</v>
      </c>
      <c r="AF199" s="51" t="n">
        <v>0</v>
      </c>
      <c r="AG199" s="48" t="n">
        <v>0</v>
      </c>
      <c r="AH199" s="49" t="n">
        <v>0</v>
      </c>
      <c r="AI199" s="49" t="n">
        <v>0</v>
      </c>
      <c r="AJ199" s="50" t="n">
        <v>0</v>
      </c>
      <c r="AK199" s="51" t="n">
        <v>0</v>
      </c>
      <c r="AL199" s="52" t="n">
        <v>0</v>
      </c>
      <c r="AM199" s="52" t="n">
        <v>0</v>
      </c>
      <c r="AN199" s="52" t="n">
        <v>0</v>
      </c>
      <c r="AO199" s="53" t="n">
        <v>0</v>
      </c>
      <c r="AP199" s="52" t="n">
        <v>0</v>
      </c>
      <c r="AQ199" s="53" t="n">
        <v>0</v>
      </c>
      <c r="AR199" s="52" t="n">
        <v>0</v>
      </c>
      <c r="AS199" s="51" t="n">
        <v>0</v>
      </c>
      <c r="AT199" s="48" t="n">
        <v>0</v>
      </c>
      <c r="AU199" s="49" t="n">
        <v>0</v>
      </c>
      <c r="AV199" s="49" t="n">
        <v>0</v>
      </c>
      <c r="AW199" s="50" t="n">
        <v>0</v>
      </c>
      <c r="AX199" s="51" t="n">
        <v>0</v>
      </c>
      <c r="AY199" s="52" t="n">
        <v>0</v>
      </c>
      <c r="AZ199" s="52" t="n">
        <v>0</v>
      </c>
      <c r="BA199" s="52" t="n">
        <v>0</v>
      </c>
      <c r="BB199" s="53" t="n">
        <v>0</v>
      </c>
      <c r="BC199" s="52" t="n">
        <v>0</v>
      </c>
      <c r="BD199" s="53" t="n">
        <v>0</v>
      </c>
      <c r="BE199" s="52" t="n">
        <v>0</v>
      </c>
      <c r="BF199" s="51" t="n">
        <v>0</v>
      </c>
    </row>
    <row r="200">
      <c r="A200">
        <f>HYPERLINK("https://www.walmart.com/ip/560042875", "560042875")</f>
        <v/>
      </c>
      <c r="B200" t="inlineStr">
        <is>
          <t>Women’s Swim Bathing Suit Cover Up, Summer Chiffon Backless Beach Dress Skirt</t>
        </is>
      </c>
      <c r="C200" t="inlineStr">
        <is>
          <t>1WMDS110PP</t>
        </is>
      </c>
      <c r="D200" t="inlineStr">
        <is>
          <t>Dresses</t>
        </is>
      </c>
      <c r="E200" t="inlineStr">
        <is>
          <t>Flyingstar</t>
        </is>
      </c>
      <c r="F200" t="inlineStr">
        <is>
          <t>Optimized</t>
        </is>
      </c>
      <c r="G200" s="48" t="n">
        <v>0</v>
      </c>
      <c r="H200" s="49" t="n">
        <v>0</v>
      </c>
      <c r="I200" s="49" t="n">
        <v>0</v>
      </c>
      <c r="J200" s="50" t="n">
        <v>0</v>
      </c>
      <c r="K200" s="51" t="n">
        <v>0</v>
      </c>
      <c r="L200" s="52" t="n">
        <v>0</v>
      </c>
      <c r="M200" s="52" t="n">
        <v>0</v>
      </c>
      <c r="N200" s="52" t="n">
        <v>0</v>
      </c>
      <c r="O200" s="53" t="n">
        <v>0</v>
      </c>
      <c r="P200" s="52" t="n">
        <v>0</v>
      </c>
      <c r="Q200" s="53" t="n">
        <v>0</v>
      </c>
      <c r="R200" s="52" t="n">
        <v>0</v>
      </c>
      <c r="S200" s="51" t="n">
        <v>0</v>
      </c>
      <c r="T200" s="48" t="n">
        <v>0</v>
      </c>
      <c r="U200" s="49" t="n">
        <v>0</v>
      </c>
      <c r="V200" s="49" t="n">
        <v>0</v>
      </c>
      <c r="W200" s="50" t="n">
        <v>0</v>
      </c>
      <c r="X200" s="51" t="n">
        <v>0</v>
      </c>
      <c r="Y200" s="52" t="n">
        <v>0</v>
      </c>
      <c r="Z200" s="52" t="n">
        <v>0</v>
      </c>
      <c r="AA200" s="52" t="n">
        <v>0</v>
      </c>
      <c r="AB200" s="53" t="n">
        <v>0</v>
      </c>
      <c r="AC200" s="52" t="n">
        <v>0</v>
      </c>
      <c r="AD200" s="53" t="n">
        <v>0</v>
      </c>
      <c r="AE200" s="52" t="n">
        <v>0</v>
      </c>
      <c r="AF200" s="51" t="n">
        <v>0</v>
      </c>
      <c r="AG200" s="48" t="n">
        <v>0</v>
      </c>
      <c r="AH200" s="49" t="n">
        <v>0</v>
      </c>
      <c r="AI200" s="49" t="n">
        <v>0</v>
      </c>
      <c r="AJ200" s="50" t="n">
        <v>0</v>
      </c>
      <c r="AK200" s="51" t="n">
        <v>0</v>
      </c>
      <c r="AL200" s="52" t="n">
        <v>0</v>
      </c>
      <c r="AM200" s="52" t="n">
        <v>0</v>
      </c>
      <c r="AN200" s="52" t="n">
        <v>0</v>
      </c>
      <c r="AO200" s="53" t="n">
        <v>0</v>
      </c>
      <c r="AP200" s="52" t="n">
        <v>0</v>
      </c>
      <c r="AQ200" s="53" t="n">
        <v>0</v>
      </c>
      <c r="AR200" s="52" t="n">
        <v>0</v>
      </c>
      <c r="AS200" s="51" t="n">
        <v>0</v>
      </c>
      <c r="AT200" s="48" t="n">
        <v>0</v>
      </c>
      <c r="AU200" s="49" t="n">
        <v>0</v>
      </c>
      <c r="AV200" s="49" t="n">
        <v>0</v>
      </c>
      <c r="AW200" s="50" t="n">
        <v>0</v>
      </c>
      <c r="AX200" s="51" t="n">
        <v>0</v>
      </c>
      <c r="AY200" s="52" t="n">
        <v>0</v>
      </c>
      <c r="AZ200" s="52" t="n">
        <v>0</v>
      </c>
      <c r="BA200" s="52" t="n">
        <v>0</v>
      </c>
      <c r="BB200" s="53" t="n">
        <v>0</v>
      </c>
      <c r="BC200" s="52" t="n">
        <v>0</v>
      </c>
      <c r="BD200" s="53" t="n">
        <v>0</v>
      </c>
      <c r="BE200" s="52" t="n">
        <v>0</v>
      </c>
      <c r="BF200" s="51" t="n">
        <v>0</v>
      </c>
    </row>
    <row r="201">
      <c r="A201">
        <f>HYPERLINK("https://www.walmart.com/ip/6129116557", "6129116557")</f>
        <v/>
      </c>
      <c r="B201" t="inlineStr">
        <is>
          <t>Cute Child Cotton Hooded Poncho Towels Mermaid Cartoon Changing Robe Swimmer Outdoor Beach 23” x 52” By Tirrinia</t>
        </is>
      </c>
      <c r="C201" t="inlineStr">
        <is>
          <t>1TRBR203MUL</t>
        </is>
      </c>
      <c r="D201" t="inlineStr">
        <is>
          <t>Towels &amp; Washcloths</t>
        </is>
      </c>
      <c r="E201" t="inlineStr">
        <is>
          <t>Tirrinia</t>
        </is>
      </c>
      <c r="G201" s="48" t="n">
        <v>0</v>
      </c>
      <c r="H201" s="49" t="n">
        <v>0</v>
      </c>
      <c r="I201" s="49" t="n">
        <v>0</v>
      </c>
      <c r="J201" s="50" t="n">
        <v>0</v>
      </c>
      <c r="K201" s="51" t="n">
        <v>0</v>
      </c>
      <c r="L201" s="52" t="n">
        <v>0</v>
      </c>
      <c r="M201" s="52" t="n">
        <v>0</v>
      </c>
      <c r="N201" s="52" t="n">
        <v>0</v>
      </c>
      <c r="O201" s="53" t="n">
        <v>0</v>
      </c>
      <c r="P201" s="52" t="n">
        <v>0</v>
      </c>
      <c r="Q201" s="53" t="n">
        <v>0</v>
      </c>
      <c r="R201" s="52" t="n">
        <v>0</v>
      </c>
      <c r="S201" s="51" t="n">
        <v>0</v>
      </c>
      <c r="T201" s="48" t="n">
        <v>0</v>
      </c>
      <c r="U201" s="49" t="n">
        <v>0</v>
      </c>
      <c r="V201" s="49" t="n">
        <v>0</v>
      </c>
      <c r="W201" s="50" t="n">
        <v>0</v>
      </c>
      <c r="X201" s="51" t="n">
        <v>0</v>
      </c>
      <c r="Y201" s="52" t="n">
        <v>0</v>
      </c>
      <c r="Z201" s="52" t="n">
        <v>0</v>
      </c>
      <c r="AA201" s="52" t="n">
        <v>0</v>
      </c>
      <c r="AB201" s="53" t="n">
        <v>0</v>
      </c>
      <c r="AC201" s="52" t="n">
        <v>0</v>
      </c>
      <c r="AD201" s="53" t="n">
        <v>0</v>
      </c>
      <c r="AE201" s="52" t="n">
        <v>0</v>
      </c>
      <c r="AF201" s="51" t="n">
        <v>0</v>
      </c>
      <c r="AG201" s="48" t="n">
        <v>0</v>
      </c>
      <c r="AH201" s="49" t="n">
        <v>0</v>
      </c>
      <c r="AI201" s="49" t="n">
        <v>0</v>
      </c>
      <c r="AJ201" s="50" t="n">
        <v>0</v>
      </c>
      <c r="AK201" s="51" t="n">
        <v>0</v>
      </c>
      <c r="AL201" s="52" t="n">
        <v>0</v>
      </c>
      <c r="AM201" s="52" t="n">
        <v>0</v>
      </c>
      <c r="AN201" s="52" t="n">
        <v>0</v>
      </c>
      <c r="AO201" s="53" t="n">
        <v>0</v>
      </c>
      <c r="AP201" s="52" t="n">
        <v>0</v>
      </c>
      <c r="AQ201" s="53" t="n">
        <v>0</v>
      </c>
      <c r="AR201" s="52" t="n">
        <v>0</v>
      </c>
      <c r="AS201" s="51" t="n">
        <v>0</v>
      </c>
      <c r="AT201" s="48" t="n">
        <v>17.99</v>
      </c>
      <c r="AU201" s="49" t="n">
        <v>1</v>
      </c>
      <c r="AV201" s="49" t="n">
        <v>0</v>
      </c>
      <c r="AW201" s="50" t="n">
        <v>0</v>
      </c>
      <c r="AX201" s="51" t="n">
        <v>0</v>
      </c>
      <c r="AY201" s="52" t="n">
        <v>0</v>
      </c>
      <c r="AZ201" s="52" t="n">
        <v>0</v>
      </c>
      <c r="BA201" s="52" t="n">
        <v>0</v>
      </c>
      <c r="BB201" s="53" t="n">
        <v>0</v>
      </c>
      <c r="BC201" s="52" t="n">
        <v>0</v>
      </c>
      <c r="BD201" s="53" t="n">
        <v>0</v>
      </c>
      <c r="BE201" s="52" t="n">
        <v>17.99</v>
      </c>
      <c r="BF201" s="51" t="n">
        <v>0</v>
      </c>
    </row>
    <row r="202">
      <c r="A202">
        <f>HYPERLINK("https://www.walmart.com/ip/5600420592", "5600420592")</f>
        <v/>
      </c>
      <c r="B202" t="inlineStr">
        <is>
          <t>Tirrinia Bamboo Wine Picnic Table, Ideal Wine Lover Gift, Large Folding Portable Outdoor Snack &amp; Cheese Tray with 4 Wine Glasses Holder for Concerts at Park or Party, Beach</t>
        </is>
      </c>
      <c r="C202" t="inlineStr">
        <is>
          <t>1TRPT402</t>
        </is>
      </c>
      <c r="D202" t="inlineStr">
        <is>
          <t>Wine Racks</t>
        </is>
      </c>
      <c r="E202" t="inlineStr">
        <is>
          <t>Tirrinia</t>
        </is>
      </c>
      <c r="G202" s="48" t="n">
        <v>0</v>
      </c>
      <c r="H202" s="49" t="n">
        <v>0</v>
      </c>
      <c r="I202" s="49" t="n">
        <v>0</v>
      </c>
      <c r="J202" s="50" t="n">
        <v>0</v>
      </c>
      <c r="K202" s="51" t="n">
        <v>0</v>
      </c>
      <c r="L202" s="52" t="n">
        <v>0</v>
      </c>
      <c r="M202" s="52" t="n">
        <v>0</v>
      </c>
      <c r="N202" s="52" t="n">
        <v>0</v>
      </c>
      <c r="O202" s="53" t="n">
        <v>0</v>
      </c>
      <c r="P202" s="52" t="n">
        <v>0</v>
      </c>
      <c r="Q202" s="53" t="n">
        <v>0</v>
      </c>
      <c r="R202" s="52" t="n">
        <v>0</v>
      </c>
      <c r="S202" s="51" t="n">
        <v>0</v>
      </c>
      <c r="T202" s="48" t="n">
        <v>0</v>
      </c>
      <c r="U202" s="49" t="n">
        <v>0</v>
      </c>
      <c r="V202" s="49" t="n">
        <v>0</v>
      </c>
      <c r="W202" s="50" t="n">
        <v>0</v>
      </c>
      <c r="X202" s="51" t="n">
        <v>0</v>
      </c>
      <c r="Y202" s="52" t="n">
        <v>0</v>
      </c>
      <c r="Z202" s="52" t="n">
        <v>0</v>
      </c>
      <c r="AA202" s="52" t="n">
        <v>0</v>
      </c>
      <c r="AB202" s="53" t="n">
        <v>0</v>
      </c>
      <c r="AC202" s="52" t="n">
        <v>0</v>
      </c>
      <c r="AD202" s="53" t="n">
        <v>0</v>
      </c>
      <c r="AE202" s="52" t="n">
        <v>0</v>
      </c>
      <c r="AF202" s="51" t="n">
        <v>0</v>
      </c>
      <c r="AG202" s="48" t="n">
        <v>0</v>
      </c>
      <c r="AH202" s="49" t="n">
        <v>0</v>
      </c>
      <c r="AI202" s="49" t="n">
        <v>0</v>
      </c>
      <c r="AJ202" s="50" t="n">
        <v>0</v>
      </c>
      <c r="AK202" s="51" t="n">
        <v>0</v>
      </c>
      <c r="AL202" s="52" t="n">
        <v>0</v>
      </c>
      <c r="AM202" s="52" t="n">
        <v>0</v>
      </c>
      <c r="AN202" s="52" t="n">
        <v>0</v>
      </c>
      <c r="AO202" s="53" t="n">
        <v>0</v>
      </c>
      <c r="AP202" s="52" t="n">
        <v>0</v>
      </c>
      <c r="AQ202" s="53" t="n">
        <v>0</v>
      </c>
      <c r="AR202" s="52" t="n">
        <v>0</v>
      </c>
      <c r="AS202" s="51" t="n">
        <v>0</v>
      </c>
      <c r="AT202" s="48" t="n">
        <v>0</v>
      </c>
      <c r="AU202" s="49" t="n">
        <v>0</v>
      </c>
      <c r="AV202" s="49" t="n">
        <v>0</v>
      </c>
      <c r="AW202" s="50" t="n">
        <v>0</v>
      </c>
      <c r="AX202" s="51" t="n">
        <v>0</v>
      </c>
      <c r="AY202" s="52" t="n">
        <v>0</v>
      </c>
      <c r="AZ202" s="52" t="n">
        <v>0</v>
      </c>
      <c r="BA202" s="52" t="n">
        <v>0</v>
      </c>
      <c r="BB202" s="53" t="n">
        <v>0</v>
      </c>
      <c r="BC202" s="52" t="n">
        <v>0</v>
      </c>
      <c r="BD202" s="53" t="n">
        <v>0</v>
      </c>
      <c r="BE202" s="52" t="n">
        <v>0</v>
      </c>
      <c r="BF202" s="51" t="n">
        <v>0</v>
      </c>
    </row>
    <row r="203">
      <c r="A203">
        <f>HYPERLINK("https://www.walmart.com/ip/559993924", "559993924")</f>
        <v/>
      </c>
      <c r="B203" t="inlineStr">
        <is>
          <t>Catalonia Coral Fleece Throw Blanket for Couch, All Seasons Lightweight Soft Cozy Throws for Home Living Room Decoration, 50'' x 60'', Blue</t>
        </is>
      </c>
      <c r="C203" t="inlineStr">
        <is>
          <t>1CTBF577BL</t>
        </is>
      </c>
      <c r="D203" t="inlineStr">
        <is>
          <t>Throws</t>
        </is>
      </c>
      <c r="E203" t="inlineStr">
        <is>
          <t>Catalonia</t>
        </is>
      </c>
      <c r="F203" t="inlineStr">
        <is>
          <t>Q2-Target,WFS,Coupon_Discount,cost-added,WFS Item</t>
        </is>
      </c>
      <c r="G203" s="48" t="n">
        <v>0</v>
      </c>
      <c r="H203" s="49" t="n">
        <v>0</v>
      </c>
      <c r="I203" s="49" t="n">
        <v>0</v>
      </c>
      <c r="J203" s="50" t="n">
        <v>0</v>
      </c>
      <c r="K203" s="51" t="n">
        <v>0</v>
      </c>
      <c r="L203" s="52" t="n">
        <v>0</v>
      </c>
      <c r="M203" s="52" t="n">
        <v>0</v>
      </c>
      <c r="N203" s="52" t="n">
        <v>0</v>
      </c>
      <c r="O203" s="53" t="n">
        <v>0</v>
      </c>
      <c r="P203" s="52" t="n">
        <v>0</v>
      </c>
      <c r="Q203" s="53" t="n">
        <v>0</v>
      </c>
      <c r="R203" s="52" t="n">
        <v>0</v>
      </c>
      <c r="S203" s="51" t="n">
        <v>0</v>
      </c>
      <c r="T203" s="48" t="n">
        <v>0</v>
      </c>
      <c r="U203" s="49" t="n">
        <v>0</v>
      </c>
      <c r="V203" s="49" t="n">
        <v>0</v>
      </c>
      <c r="W203" s="50" t="n">
        <v>0</v>
      </c>
      <c r="X203" s="51" t="n">
        <v>0</v>
      </c>
      <c r="Y203" s="52" t="n">
        <v>0</v>
      </c>
      <c r="Z203" s="52" t="n">
        <v>0</v>
      </c>
      <c r="AA203" s="52" t="n">
        <v>0</v>
      </c>
      <c r="AB203" s="53" t="n">
        <v>0</v>
      </c>
      <c r="AC203" s="52" t="n">
        <v>0</v>
      </c>
      <c r="AD203" s="53" t="n">
        <v>0</v>
      </c>
      <c r="AE203" s="52" t="n">
        <v>0</v>
      </c>
      <c r="AF203" s="51" t="n">
        <v>0</v>
      </c>
      <c r="AG203" s="48" t="n">
        <v>0</v>
      </c>
      <c r="AH203" s="49" t="n">
        <v>0</v>
      </c>
      <c r="AI203" s="49" t="n">
        <v>0</v>
      </c>
      <c r="AJ203" s="50" t="n">
        <v>0</v>
      </c>
      <c r="AK203" s="51" t="n">
        <v>0</v>
      </c>
      <c r="AL203" s="52" t="n">
        <v>0</v>
      </c>
      <c r="AM203" s="52" t="n">
        <v>0</v>
      </c>
      <c r="AN203" s="52" t="n">
        <v>0</v>
      </c>
      <c r="AO203" s="53" t="n">
        <v>0</v>
      </c>
      <c r="AP203" s="52" t="n">
        <v>0</v>
      </c>
      <c r="AQ203" s="53" t="n">
        <v>0</v>
      </c>
      <c r="AR203" s="52" t="n">
        <v>0</v>
      </c>
      <c r="AS203" s="51" t="n">
        <v>0</v>
      </c>
      <c r="AT203" s="48" t="n">
        <v>0</v>
      </c>
      <c r="AU203" s="49" t="n">
        <v>0</v>
      </c>
      <c r="AV203" s="49" t="n">
        <v>0</v>
      </c>
      <c r="AW203" s="50" t="n">
        <v>0</v>
      </c>
      <c r="AX203" s="51" t="n">
        <v>0</v>
      </c>
      <c r="AY203" s="52" t="n">
        <v>0</v>
      </c>
      <c r="AZ203" s="52" t="n">
        <v>0</v>
      </c>
      <c r="BA203" s="52" t="n">
        <v>0</v>
      </c>
      <c r="BB203" s="53" t="n">
        <v>0</v>
      </c>
      <c r="BC203" s="52" t="n">
        <v>0</v>
      </c>
      <c r="BD203" s="53" t="n">
        <v>0</v>
      </c>
      <c r="BE203" s="52" t="n">
        <v>0</v>
      </c>
      <c r="BF203" s="51" t="n">
        <v>0</v>
      </c>
    </row>
    <row r="204">
      <c r="A204">
        <f>HYPERLINK("https://www.walmart.com/ip/6129366271", "6129366271")</f>
        <v/>
      </c>
      <c r="B204" t="inlineStr">
        <is>
          <t>Tirrinia Surf Poncho Changing Towel Summer Swim Robe with Hood, Portable Dressing Room, Stylish &amp; Multi-Functional for Surfing Beach Adult Men Women</t>
        </is>
      </c>
      <c r="C204" t="inlineStr">
        <is>
          <t>1TRBR131BK-4</t>
        </is>
      </c>
      <c r="D204" t="inlineStr">
        <is>
          <t>default</t>
        </is>
      </c>
      <c r="E204" t="inlineStr">
        <is>
          <t>Tirrinia</t>
        </is>
      </c>
      <c r="G204" s="48" t="n">
        <v>0</v>
      </c>
      <c r="H204" s="49" t="n">
        <v>0</v>
      </c>
      <c r="I204" s="49" t="n">
        <v>0</v>
      </c>
      <c r="J204" s="50" t="n">
        <v>0</v>
      </c>
      <c r="K204" s="51" t="n">
        <v>0</v>
      </c>
      <c r="L204" s="52" t="n">
        <v>0</v>
      </c>
      <c r="M204" s="52" t="n">
        <v>0</v>
      </c>
      <c r="N204" s="52" t="n">
        <v>0</v>
      </c>
      <c r="O204" s="53" t="n">
        <v>0</v>
      </c>
      <c r="P204" s="52" t="n">
        <v>0</v>
      </c>
      <c r="Q204" s="53" t="n">
        <v>0</v>
      </c>
      <c r="R204" s="52" t="n">
        <v>0</v>
      </c>
      <c r="S204" s="51" t="n">
        <v>0</v>
      </c>
      <c r="T204" s="48" t="n">
        <v>0</v>
      </c>
      <c r="U204" s="49" t="n">
        <v>0</v>
      </c>
      <c r="V204" s="49" t="n">
        <v>0</v>
      </c>
      <c r="W204" s="50" t="n">
        <v>0</v>
      </c>
      <c r="X204" s="51" t="n">
        <v>0</v>
      </c>
      <c r="Y204" s="52" t="n">
        <v>0</v>
      </c>
      <c r="Z204" s="52" t="n">
        <v>0</v>
      </c>
      <c r="AA204" s="52" t="n">
        <v>0</v>
      </c>
      <c r="AB204" s="53" t="n">
        <v>0</v>
      </c>
      <c r="AC204" s="52" t="n">
        <v>0</v>
      </c>
      <c r="AD204" s="53" t="n">
        <v>0</v>
      </c>
      <c r="AE204" s="52" t="n">
        <v>0</v>
      </c>
      <c r="AF204" s="51" t="n">
        <v>0</v>
      </c>
      <c r="AG204" s="48" t="n">
        <v>0</v>
      </c>
      <c r="AH204" s="49" t="n">
        <v>0</v>
      </c>
      <c r="AI204" s="49" t="n">
        <v>0</v>
      </c>
      <c r="AJ204" s="50" t="n">
        <v>0</v>
      </c>
      <c r="AK204" s="51" t="n">
        <v>0</v>
      </c>
      <c r="AL204" s="52" t="n">
        <v>0</v>
      </c>
      <c r="AM204" s="52" t="n">
        <v>0</v>
      </c>
      <c r="AN204" s="52" t="n">
        <v>0</v>
      </c>
      <c r="AO204" s="53" t="n">
        <v>0</v>
      </c>
      <c r="AP204" s="52" t="n">
        <v>0</v>
      </c>
      <c r="AQ204" s="53" t="n">
        <v>0</v>
      </c>
      <c r="AR204" s="52" t="n">
        <v>0</v>
      </c>
      <c r="AS204" s="51" t="n">
        <v>0</v>
      </c>
      <c r="AT204" s="48" t="n">
        <v>0</v>
      </c>
      <c r="AU204" s="49" t="n">
        <v>0</v>
      </c>
      <c r="AV204" s="49" t="n">
        <v>0</v>
      </c>
      <c r="AW204" s="50" t="n">
        <v>0</v>
      </c>
      <c r="AX204" s="51" t="n">
        <v>0</v>
      </c>
      <c r="AY204" s="52" t="n">
        <v>0</v>
      </c>
      <c r="AZ204" s="52" t="n">
        <v>0</v>
      </c>
      <c r="BA204" s="52" t="n">
        <v>0</v>
      </c>
      <c r="BB204" s="53" t="n">
        <v>0</v>
      </c>
      <c r="BC204" s="52" t="n">
        <v>0</v>
      </c>
      <c r="BD204" s="53" t="n">
        <v>0</v>
      </c>
      <c r="BE204" s="52" t="n">
        <v>0</v>
      </c>
      <c r="BF204" s="51" t="n">
        <v>0</v>
      </c>
    </row>
    <row r="205">
      <c r="A205">
        <f>HYPERLINK("https://www.walmart.com/ip/613444135", "613444135")</f>
        <v/>
      </c>
      <c r="B205" t="inlineStr">
        <is>
          <t>Red Green Plaid Decorative Throw TV Sherpa Blanket, Soft, Warm, Comfy, Plush Fleece for Bedding, Couch and Cabin, Red Blue Buffalo Throw Blanket, 50"" x 60"".</t>
        </is>
      </c>
      <c r="C205" t="inlineStr">
        <is>
          <t>1CTBF569PRD</t>
        </is>
      </c>
      <c r="D205" t="inlineStr">
        <is>
          <t>Throws</t>
        </is>
      </c>
      <c r="E205" t="inlineStr">
        <is>
          <t>Catalonia</t>
        </is>
      </c>
      <c r="F205" t="inlineStr">
        <is>
          <t>Q2-Target,WFS,Valentine,Coupon_Discount,WFS Item</t>
        </is>
      </c>
      <c r="G205" s="48" t="n">
        <v>0</v>
      </c>
      <c r="H205" s="49" t="n">
        <v>0</v>
      </c>
      <c r="I205" s="49" t="n">
        <v>0</v>
      </c>
      <c r="J205" s="50" t="n">
        <v>0</v>
      </c>
      <c r="K205" s="51" t="n">
        <v>0</v>
      </c>
      <c r="L205" s="52" t="n">
        <v>0</v>
      </c>
      <c r="M205" s="52" t="n">
        <v>0</v>
      </c>
      <c r="N205" s="52" t="n">
        <v>0</v>
      </c>
      <c r="O205" s="53" t="n">
        <v>0</v>
      </c>
      <c r="P205" s="52" t="n">
        <v>0</v>
      </c>
      <c r="Q205" s="53" t="n">
        <v>0</v>
      </c>
      <c r="R205" s="52" t="n">
        <v>0</v>
      </c>
      <c r="S205" s="51" t="n">
        <v>0</v>
      </c>
      <c r="T205" s="48" t="n">
        <v>0</v>
      </c>
      <c r="U205" s="49" t="n">
        <v>0</v>
      </c>
      <c r="V205" s="49" t="n">
        <v>0</v>
      </c>
      <c r="W205" s="50" t="n">
        <v>0</v>
      </c>
      <c r="X205" s="51" t="n">
        <v>0</v>
      </c>
      <c r="Y205" s="52" t="n">
        <v>0</v>
      </c>
      <c r="Z205" s="52" t="n">
        <v>0</v>
      </c>
      <c r="AA205" s="52" t="n">
        <v>0</v>
      </c>
      <c r="AB205" s="53" t="n">
        <v>0</v>
      </c>
      <c r="AC205" s="52" t="n">
        <v>0</v>
      </c>
      <c r="AD205" s="53" t="n">
        <v>0</v>
      </c>
      <c r="AE205" s="52" t="n">
        <v>0</v>
      </c>
      <c r="AF205" s="51" t="n">
        <v>0</v>
      </c>
      <c r="AG205" s="48" t="n">
        <v>0</v>
      </c>
      <c r="AH205" s="49" t="n">
        <v>0</v>
      </c>
      <c r="AI205" s="49" t="n">
        <v>0</v>
      </c>
      <c r="AJ205" s="50" t="n">
        <v>0</v>
      </c>
      <c r="AK205" s="51" t="n">
        <v>0</v>
      </c>
      <c r="AL205" s="52" t="n">
        <v>0</v>
      </c>
      <c r="AM205" s="52" t="n">
        <v>0</v>
      </c>
      <c r="AN205" s="52" t="n">
        <v>0</v>
      </c>
      <c r="AO205" s="53" t="n">
        <v>0</v>
      </c>
      <c r="AP205" s="52" t="n">
        <v>0</v>
      </c>
      <c r="AQ205" s="53" t="n">
        <v>0</v>
      </c>
      <c r="AR205" s="52" t="n">
        <v>0</v>
      </c>
      <c r="AS205" s="51" t="n">
        <v>0</v>
      </c>
      <c r="AT205" s="48" t="n">
        <v>0</v>
      </c>
      <c r="AU205" s="49" t="n">
        <v>0</v>
      </c>
      <c r="AV205" s="49" t="n">
        <v>0</v>
      </c>
      <c r="AW205" s="50" t="n">
        <v>0</v>
      </c>
      <c r="AX205" s="51" t="n">
        <v>0</v>
      </c>
      <c r="AY205" s="52" t="n">
        <v>0</v>
      </c>
      <c r="AZ205" s="52" t="n">
        <v>0</v>
      </c>
      <c r="BA205" s="52" t="n">
        <v>0</v>
      </c>
      <c r="BB205" s="53" t="n">
        <v>0</v>
      </c>
      <c r="BC205" s="52" t="n">
        <v>0</v>
      </c>
      <c r="BD205" s="53" t="n">
        <v>0</v>
      </c>
      <c r="BE205" s="52" t="n">
        <v>0</v>
      </c>
      <c r="BF205" s="51" t="n">
        <v>0</v>
      </c>
    </row>
    <row r="206">
      <c r="A206">
        <f>HYPERLINK("https://www.walmart.com/ip/557499884", "557499884")</f>
        <v/>
      </c>
      <c r="B206" t="inlineStr">
        <is>
          <t>Tirrinia Beach Elements Cotton Towels &amp; Washcloths, Surf boy</t>
        </is>
      </c>
      <c r="C206" t="inlineStr">
        <is>
          <t>1TRBR200-SF01</t>
        </is>
      </c>
      <c r="D206" t="inlineStr">
        <is>
          <t>Towels &amp; Washcloths</t>
        </is>
      </c>
      <c r="E206" t="inlineStr">
        <is>
          <t>Tirrinia</t>
        </is>
      </c>
      <c r="F206" t="inlineStr">
        <is>
          <t>Baby days,Optimized,Beach Robe Camp,SEM</t>
        </is>
      </c>
      <c r="G206" s="48" t="n">
        <v>0</v>
      </c>
      <c r="H206" s="49" t="n">
        <v>0</v>
      </c>
      <c r="I206" s="49" t="n">
        <v>0</v>
      </c>
      <c r="J206" s="50" t="n">
        <v>0</v>
      </c>
      <c r="K206" s="51" t="n">
        <v>0</v>
      </c>
      <c r="L206" s="52" t="n">
        <v>0</v>
      </c>
      <c r="M206" s="52" t="n">
        <v>0</v>
      </c>
      <c r="N206" s="52" t="n">
        <v>0</v>
      </c>
      <c r="O206" s="53" t="n">
        <v>0</v>
      </c>
      <c r="P206" s="52" t="n">
        <v>0</v>
      </c>
      <c r="Q206" s="53" t="n">
        <v>0</v>
      </c>
      <c r="R206" s="52" t="n">
        <v>0</v>
      </c>
      <c r="S206" s="51" t="n">
        <v>0</v>
      </c>
      <c r="T206" s="48" t="n">
        <v>-14.99</v>
      </c>
      <c r="U206" s="49" t="n">
        <v>-1</v>
      </c>
      <c r="V206" s="49" t="n">
        <v>0</v>
      </c>
      <c r="W206" s="50" t="n">
        <v>0</v>
      </c>
      <c r="X206" s="51" t="n">
        <v>0</v>
      </c>
      <c r="Y206" s="52" t="n">
        <v>0</v>
      </c>
      <c r="Z206" s="52" t="n">
        <v>0</v>
      </c>
      <c r="AA206" s="52" t="n">
        <v>0</v>
      </c>
      <c r="AB206" s="53" t="n">
        <v>0</v>
      </c>
      <c r="AC206" s="52" t="n">
        <v>0</v>
      </c>
      <c r="AD206" s="53" t="n">
        <v>0</v>
      </c>
      <c r="AE206" s="52" t="n">
        <v>0</v>
      </c>
      <c r="AF206" s="51" t="n">
        <v>0</v>
      </c>
      <c r="AG206" s="48" t="n">
        <v>14.99</v>
      </c>
      <c r="AH206" s="49" t="n">
        <v>1</v>
      </c>
      <c r="AI206" s="49" t="n">
        <v>0</v>
      </c>
      <c r="AJ206" s="50" t="n">
        <v>0</v>
      </c>
      <c r="AK206" s="51" t="n">
        <v>0</v>
      </c>
      <c r="AL206" s="52" t="n">
        <v>0</v>
      </c>
      <c r="AM206" s="52" t="n">
        <v>0</v>
      </c>
      <c r="AN206" s="52" t="n">
        <v>0</v>
      </c>
      <c r="AO206" s="53" t="n">
        <v>0</v>
      </c>
      <c r="AP206" s="52" t="n">
        <v>0</v>
      </c>
      <c r="AQ206" s="53" t="n">
        <v>0</v>
      </c>
      <c r="AR206" s="52" t="n">
        <v>14.99</v>
      </c>
      <c r="AS206" s="51" t="n">
        <v>0</v>
      </c>
      <c r="AT206" s="48" t="n">
        <v>0</v>
      </c>
      <c r="AU206" s="49" t="n">
        <v>0</v>
      </c>
      <c r="AV206" s="49" t="n">
        <v>0</v>
      </c>
      <c r="AW206" s="50" t="n">
        <v>0</v>
      </c>
      <c r="AX206" s="51" t="n">
        <v>0</v>
      </c>
      <c r="AY206" s="52" t="n">
        <v>0</v>
      </c>
      <c r="AZ206" s="52" t="n">
        <v>0</v>
      </c>
      <c r="BA206" s="52" t="n">
        <v>0</v>
      </c>
      <c r="BB206" s="53" t="n">
        <v>0</v>
      </c>
      <c r="BC206" s="52" t="n">
        <v>0</v>
      </c>
      <c r="BD206" s="53" t="n">
        <v>0</v>
      </c>
      <c r="BE206" s="52" t="n">
        <v>0</v>
      </c>
      <c r="BF206" s="51" t="n">
        <v>0</v>
      </c>
    </row>
    <row r="207">
      <c r="A207">
        <f>HYPERLINK("https://www.walmart.com/ip/614230216", "614230216")</f>
        <v/>
      </c>
      <c r="B207" t="inlineStr">
        <is>
          <t>Jennis Women's Sexy Lace Nightgown Sleepwear Bathrobe 2 Piece Set ( XXXL=US 12-14 )</t>
        </is>
      </c>
      <c r="C207" t="inlineStr">
        <is>
          <t>JWRS02RD-3XL</t>
        </is>
      </c>
      <c r="D207" t="inlineStr">
        <is>
          <t>Nightgowns &amp; Sleepshirts</t>
        </is>
      </c>
      <c r="E207" t="inlineStr">
        <is>
          <t>JenniWears</t>
        </is>
      </c>
      <c r="F207" t="inlineStr">
        <is>
          <t>Optimized,Valentine,Bathrobe</t>
        </is>
      </c>
      <c r="G207" s="48" t="n">
        <v>0</v>
      </c>
      <c r="H207" s="49" t="n">
        <v>0</v>
      </c>
      <c r="I207" s="49" t="n">
        <v>0</v>
      </c>
      <c r="J207" s="50" t="n">
        <v>0</v>
      </c>
      <c r="K207" s="51" t="n">
        <v>0</v>
      </c>
      <c r="L207" s="52" t="n">
        <v>0</v>
      </c>
      <c r="M207" s="52" t="n">
        <v>0</v>
      </c>
      <c r="N207" s="52" t="n">
        <v>0</v>
      </c>
      <c r="O207" s="53" t="n">
        <v>0</v>
      </c>
      <c r="P207" s="52" t="n">
        <v>0</v>
      </c>
      <c r="Q207" s="53" t="n">
        <v>0</v>
      </c>
      <c r="R207" s="52" t="n">
        <v>0</v>
      </c>
      <c r="S207" s="51" t="n">
        <v>0</v>
      </c>
      <c r="T207" s="48" t="n">
        <v>0</v>
      </c>
      <c r="U207" s="49" t="n">
        <v>0</v>
      </c>
      <c r="V207" s="49" t="n">
        <v>0</v>
      </c>
      <c r="W207" s="50" t="n">
        <v>0</v>
      </c>
      <c r="X207" s="51" t="n">
        <v>0</v>
      </c>
      <c r="Y207" s="52" t="n">
        <v>0</v>
      </c>
      <c r="Z207" s="52" t="n">
        <v>0</v>
      </c>
      <c r="AA207" s="52" t="n">
        <v>0</v>
      </c>
      <c r="AB207" s="53" t="n">
        <v>0</v>
      </c>
      <c r="AC207" s="52" t="n">
        <v>0</v>
      </c>
      <c r="AD207" s="53" t="n">
        <v>0</v>
      </c>
      <c r="AE207" s="52" t="n">
        <v>0</v>
      </c>
      <c r="AF207" s="51" t="n">
        <v>0</v>
      </c>
      <c r="AG207" s="48" t="n">
        <v>0</v>
      </c>
      <c r="AH207" s="49" t="n">
        <v>0</v>
      </c>
      <c r="AI207" s="49" t="n">
        <v>0</v>
      </c>
      <c r="AJ207" s="50" t="n">
        <v>0</v>
      </c>
      <c r="AK207" s="51" t="n">
        <v>0</v>
      </c>
      <c r="AL207" s="52" t="n">
        <v>0</v>
      </c>
      <c r="AM207" s="52" t="n">
        <v>0</v>
      </c>
      <c r="AN207" s="52" t="n">
        <v>0</v>
      </c>
      <c r="AO207" s="53" t="n">
        <v>0</v>
      </c>
      <c r="AP207" s="52" t="n">
        <v>0</v>
      </c>
      <c r="AQ207" s="53" t="n">
        <v>0</v>
      </c>
      <c r="AR207" s="52" t="n">
        <v>0</v>
      </c>
      <c r="AS207" s="51" t="n">
        <v>0</v>
      </c>
      <c r="AT207" s="48" t="n">
        <v>0</v>
      </c>
      <c r="AU207" s="49" t="n">
        <v>0</v>
      </c>
      <c r="AV207" s="49" t="n">
        <v>0</v>
      </c>
      <c r="AW207" s="50" t="n">
        <v>0</v>
      </c>
      <c r="AX207" s="51" t="n">
        <v>0</v>
      </c>
      <c r="AY207" s="52" t="n">
        <v>0</v>
      </c>
      <c r="AZ207" s="52" t="n">
        <v>0</v>
      </c>
      <c r="BA207" s="52" t="n">
        <v>0</v>
      </c>
      <c r="BB207" s="53" t="n">
        <v>0</v>
      </c>
      <c r="BC207" s="52" t="n">
        <v>0</v>
      </c>
      <c r="BD207" s="53" t="n">
        <v>0</v>
      </c>
      <c r="BE207" s="52" t="n">
        <v>0</v>
      </c>
      <c r="BF207" s="51" t="n">
        <v>0</v>
      </c>
    </row>
    <row r="208">
      <c r="A208">
        <f>HYPERLINK("https://www.walmart.com/ip/556839284", "556839284")</f>
        <v/>
      </c>
      <c r="B208" t="inlineStr">
        <is>
          <t>Flyingstar Woman Sweatshirt Dress, Casual Ladies Pullover, Juniors Hoodie Dress with Kangaroo Pocket, One Size, Black</t>
        </is>
      </c>
      <c r="C208" t="inlineStr">
        <is>
          <t>1WMHD530S1BK</t>
        </is>
      </c>
      <c r="D208" t="inlineStr">
        <is>
          <t>Sweatshirts &amp; Hoodies</t>
        </is>
      </c>
      <c r="E208" t="inlineStr">
        <is>
          <t>Flyingstar</t>
        </is>
      </c>
      <c r="F208" t="inlineStr">
        <is>
          <t>Hoodie ForAdult,Optimized</t>
        </is>
      </c>
      <c r="G208" s="48" t="n">
        <v>0</v>
      </c>
      <c r="H208" s="49" t="n">
        <v>0</v>
      </c>
      <c r="I208" s="49" t="n">
        <v>0</v>
      </c>
      <c r="J208" s="50" t="n">
        <v>0</v>
      </c>
      <c r="K208" s="51" t="n">
        <v>0</v>
      </c>
      <c r="L208" s="52" t="n">
        <v>0</v>
      </c>
      <c r="M208" s="52" t="n">
        <v>0</v>
      </c>
      <c r="N208" s="52" t="n">
        <v>0</v>
      </c>
      <c r="O208" s="53" t="n">
        <v>0</v>
      </c>
      <c r="P208" s="52" t="n">
        <v>0</v>
      </c>
      <c r="Q208" s="53" t="n">
        <v>0</v>
      </c>
      <c r="R208" s="52" t="n">
        <v>0</v>
      </c>
      <c r="S208" s="51" t="n">
        <v>0</v>
      </c>
      <c r="T208" s="48" t="n">
        <v>0</v>
      </c>
      <c r="U208" s="49" t="n">
        <v>0</v>
      </c>
      <c r="V208" s="49" t="n">
        <v>0</v>
      </c>
      <c r="W208" s="50" t="n">
        <v>0</v>
      </c>
      <c r="X208" s="51" t="n">
        <v>0</v>
      </c>
      <c r="Y208" s="52" t="n">
        <v>0</v>
      </c>
      <c r="Z208" s="52" t="n">
        <v>0</v>
      </c>
      <c r="AA208" s="52" t="n">
        <v>0</v>
      </c>
      <c r="AB208" s="53" t="n">
        <v>0</v>
      </c>
      <c r="AC208" s="52" t="n">
        <v>0</v>
      </c>
      <c r="AD208" s="53" t="n">
        <v>0</v>
      </c>
      <c r="AE208" s="52" t="n">
        <v>0</v>
      </c>
      <c r="AF208" s="51" t="n">
        <v>0</v>
      </c>
      <c r="AG208" s="48" t="n">
        <v>0</v>
      </c>
      <c r="AH208" s="49" t="n">
        <v>0</v>
      </c>
      <c r="AI208" s="49" t="n">
        <v>0</v>
      </c>
      <c r="AJ208" s="50" t="n">
        <v>0</v>
      </c>
      <c r="AK208" s="51" t="n">
        <v>0</v>
      </c>
      <c r="AL208" s="52" t="n">
        <v>0</v>
      </c>
      <c r="AM208" s="52" t="n">
        <v>0</v>
      </c>
      <c r="AN208" s="52" t="n">
        <v>0</v>
      </c>
      <c r="AO208" s="53" t="n">
        <v>0</v>
      </c>
      <c r="AP208" s="52" t="n">
        <v>0</v>
      </c>
      <c r="AQ208" s="53" t="n">
        <v>0</v>
      </c>
      <c r="AR208" s="52" t="n">
        <v>0</v>
      </c>
      <c r="AS208" s="51" t="n">
        <v>0</v>
      </c>
      <c r="AT208" s="48" t="n">
        <v>0</v>
      </c>
      <c r="AU208" s="49" t="n">
        <v>0</v>
      </c>
      <c r="AV208" s="49" t="n">
        <v>0</v>
      </c>
      <c r="AW208" s="50" t="n">
        <v>0</v>
      </c>
      <c r="AX208" s="51" t="n">
        <v>0</v>
      </c>
      <c r="AY208" s="52" t="n">
        <v>0</v>
      </c>
      <c r="AZ208" s="52" t="n">
        <v>0</v>
      </c>
      <c r="BA208" s="52" t="n">
        <v>0</v>
      </c>
      <c r="BB208" s="53" t="n">
        <v>0</v>
      </c>
      <c r="BC208" s="52" t="n">
        <v>0</v>
      </c>
      <c r="BD208" s="53" t="n">
        <v>0</v>
      </c>
      <c r="BE208" s="52" t="n">
        <v>0</v>
      </c>
      <c r="BF208" s="51" t="n">
        <v>0</v>
      </c>
    </row>
    <row r="209">
      <c r="A209">
        <f>HYPERLINK("https://www.walmart.com/ip/556234919", "556234919")</f>
        <v/>
      </c>
      <c r="B209" t="inlineStr">
        <is>
          <t>Catalonia Fleece Wearable Blanket Poncho for Adult Women Men, Wrap Blanket Cape with Pocket | Warm, Soft, Cozy, Snuggly, Comfort Gift, No Sleeves | All-Season, Gift Idea</t>
        </is>
      </c>
      <c r="C209" t="inlineStr">
        <is>
          <t>1CTBP200WN</t>
        </is>
      </c>
      <c r="D209" t="inlineStr">
        <is>
          <t>Throws</t>
        </is>
      </c>
      <c r="E209" t="inlineStr">
        <is>
          <t>Catalonia</t>
        </is>
      </c>
      <c r="F209" t="inlineStr">
        <is>
          <t>Hero 5 Holidays,WFS,WFS Item</t>
        </is>
      </c>
      <c r="G209" s="48" t="n">
        <v>0</v>
      </c>
      <c r="H209" s="49" t="n">
        <v>0</v>
      </c>
      <c r="I209" s="49" t="n">
        <v>0</v>
      </c>
      <c r="J209" s="50" t="n">
        <v>0</v>
      </c>
      <c r="K209" s="51" t="n">
        <v>0</v>
      </c>
      <c r="L209" s="52" t="n">
        <v>0</v>
      </c>
      <c r="M209" s="52" t="n">
        <v>0</v>
      </c>
      <c r="N209" s="52" t="n">
        <v>0</v>
      </c>
      <c r="O209" s="53" t="n">
        <v>0</v>
      </c>
      <c r="P209" s="52" t="n">
        <v>0</v>
      </c>
      <c r="Q209" s="53" t="n">
        <v>0</v>
      </c>
      <c r="R209" s="52" t="n">
        <v>0</v>
      </c>
      <c r="S209" s="51" t="n">
        <v>0</v>
      </c>
      <c r="T209" s="48" t="n">
        <v>0</v>
      </c>
      <c r="U209" s="49" t="n">
        <v>0</v>
      </c>
      <c r="V209" s="49" t="n">
        <v>0</v>
      </c>
      <c r="W209" s="50" t="n">
        <v>0</v>
      </c>
      <c r="X209" s="51" t="n">
        <v>0</v>
      </c>
      <c r="Y209" s="52" t="n">
        <v>0</v>
      </c>
      <c r="Z209" s="52" t="n">
        <v>0</v>
      </c>
      <c r="AA209" s="52" t="n">
        <v>0</v>
      </c>
      <c r="AB209" s="53" t="n">
        <v>0</v>
      </c>
      <c r="AC209" s="52" t="n">
        <v>0</v>
      </c>
      <c r="AD209" s="53" t="n">
        <v>0</v>
      </c>
      <c r="AE209" s="52" t="n">
        <v>0</v>
      </c>
      <c r="AF209" s="51" t="n">
        <v>0</v>
      </c>
      <c r="AG209" s="48" t="n">
        <v>0</v>
      </c>
      <c r="AH209" s="49" t="n">
        <v>0</v>
      </c>
      <c r="AI209" s="49" t="n">
        <v>0</v>
      </c>
      <c r="AJ209" s="50" t="n">
        <v>0</v>
      </c>
      <c r="AK209" s="51" t="n">
        <v>0</v>
      </c>
      <c r="AL209" s="52" t="n">
        <v>0</v>
      </c>
      <c r="AM209" s="52" t="n">
        <v>0</v>
      </c>
      <c r="AN209" s="52" t="n">
        <v>0</v>
      </c>
      <c r="AO209" s="53" t="n">
        <v>0</v>
      </c>
      <c r="AP209" s="52" t="n">
        <v>0</v>
      </c>
      <c r="AQ209" s="53" t="n">
        <v>0</v>
      </c>
      <c r="AR209" s="52" t="n">
        <v>0</v>
      </c>
      <c r="AS209" s="51" t="n">
        <v>0</v>
      </c>
      <c r="AT209" s="48" t="n">
        <v>0</v>
      </c>
      <c r="AU209" s="49" t="n">
        <v>0</v>
      </c>
      <c r="AV209" s="49" t="n">
        <v>0</v>
      </c>
      <c r="AW209" s="50" t="n">
        <v>0</v>
      </c>
      <c r="AX209" s="51" t="n">
        <v>0</v>
      </c>
      <c r="AY209" s="52" t="n">
        <v>0</v>
      </c>
      <c r="AZ209" s="52" t="n">
        <v>0</v>
      </c>
      <c r="BA209" s="52" t="n">
        <v>0</v>
      </c>
      <c r="BB209" s="53" t="n">
        <v>0</v>
      </c>
      <c r="BC209" s="52" t="n">
        <v>0</v>
      </c>
      <c r="BD209" s="53" t="n">
        <v>0</v>
      </c>
      <c r="BE209" s="52" t="n">
        <v>0</v>
      </c>
      <c r="BF209" s="51" t="n">
        <v>0</v>
      </c>
    </row>
    <row r="210">
      <c r="A210">
        <f>HYPERLINK("https://www.walmart.com/ip/5562298567", "5562298567")</f>
        <v/>
      </c>
      <c r="B210" t="inlineStr">
        <is>
          <t>Tirrinia Surf Poncho Changing Towel Summer Swim Robe with Hood, Portable Dressing Room, Stylish &amp; Multi-Functional for Surfing Beach Adult Men Women</t>
        </is>
      </c>
      <c r="C210" t="inlineStr">
        <is>
          <t>1TRBR131GL-2</t>
        </is>
      </c>
      <c r="D210" t="inlineStr">
        <is>
          <t>default</t>
        </is>
      </c>
      <c r="E210" t="inlineStr">
        <is>
          <t>Tirrinia</t>
        </is>
      </c>
      <c r="G210" s="48" t="n">
        <v>0</v>
      </c>
      <c r="H210" s="49" t="n">
        <v>0</v>
      </c>
      <c r="I210" s="49" t="n">
        <v>0</v>
      </c>
      <c r="J210" s="50" t="n">
        <v>0</v>
      </c>
      <c r="K210" s="51" t="n">
        <v>0</v>
      </c>
      <c r="L210" s="52" t="n">
        <v>0</v>
      </c>
      <c r="M210" s="52" t="n">
        <v>0</v>
      </c>
      <c r="N210" s="52" t="n">
        <v>0</v>
      </c>
      <c r="O210" s="53" t="n">
        <v>0</v>
      </c>
      <c r="P210" s="52" t="n">
        <v>0</v>
      </c>
      <c r="Q210" s="53" t="n">
        <v>0</v>
      </c>
      <c r="R210" s="52" t="n">
        <v>0</v>
      </c>
      <c r="S210" s="51" t="n">
        <v>0</v>
      </c>
      <c r="T210" s="48" t="n">
        <v>0</v>
      </c>
      <c r="U210" s="49" t="n">
        <v>0</v>
      </c>
      <c r="V210" s="49" t="n">
        <v>0</v>
      </c>
      <c r="W210" s="50" t="n">
        <v>0</v>
      </c>
      <c r="X210" s="51" t="n">
        <v>0</v>
      </c>
      <c r="Y210" s="52" t="n">
        <v>0</v>
      </c>
      <c r="Z210" s="52" t="n">
        <v>0</v>
      </c>
      <c r="AA210" s="52" t="n">
        <v>0</v>
      </c>
      <c r="AB210" s="53" t="n">
        <v>0</v>
      </c>
      <c r="AC210" s="52" t="n">
        <v>0</v>
      </c>
      <c r="AD210" s="53" t="n">
        <v>0</v>
      </c>
      <c r="AE210" s="52" t="n">
        <v>0</v>
      </c>
      <c r="AF210" s="51" t="n">
        <v>0</v>
      </c>
      <c r="AG210" s="48" t="n">
        <v>0</v>
      </c>
      <c r="AH210" s="49" t="n">
        <v>0</v>
      </c>
      <c r="AI210" s="49" t="n">
        <v>0</v>
      </c>
      <c r="AJ210" s="50" t="n">
        <v>0</v>
      </c>
      <c r="AK210" s="51" t="n">
        <v>0</v>
      </c>
      <c r="AL210" s="52" t="n">
        <v>0</v>
      </c>
      <c r="AM210" s="52" t="n">
        <v>0</v>
      </c>
      <c r="AN210" s="52" t="n">
        <v>0</v>
      </c>
      <c r="AO210" s="53" t="n">
        <v>0</v>
      </c>
      <c r="AP210" s="52" t="n">
        <v>0</v>
      </c>
      <c r="AQ210" s="53" t="n">
        <v>0</v>
      </c>
      <c r="AR210" s="52" t="n">
        <v>0</v>
      </c>
      <c r="AS210" s="51" t="n">
        <v>0</v>
      </c>
      <c r="AT210" s="48" t="n">
        <v>0</v>
      </c>
      <c r="AU210" s="49" t="n">
        <v>0</v>
      </c>
      <c r="AV210" s="49" t="n">
        <v>0</v>
      </c>
      <c r="AW210" s="50" t="n">
        <v>0</v>
      </c>
      <c r="AX210" s="51" t="n">
        <v>0</v>
      </c>
      <c r="AY210" s="52" t="n">
        <v>0</v>
      </c>
      <c r="AZ210" s="52" t="n">
        <v>0</v>
      </c>
      <c r="BA210" s="52" t="n">
        <v>0</v>
      </c>
      <c r="BB210" s="53" t="n">
        <v>0</v>
      </c>
      <c r="BC210" s="52" t="n">
        <v>0</v>
      </c>
      <c r="BD210" s="53" t="n">
        <v>0</v>
      </c>
      <c r="BE210" s="52" t="n">
        <v>0</v>
      </c>
      <c r="BF210" s="51" t="n">
        <v>0</v>
      </c>
    </row>
    <row r="211">
      <c r="A211">
        <f>HYPERLINK("https://www.walmart.com/ip/614508217", "614508217")</f>
        <v/>
      </c>
      <c r="B211" t="inlineStr">
        <is>
          <t>Wearable Blanket with Sleeves and Kangaroo Pocket for Adult Soft Warm Comfy Throws Wrap Robe Blanket in Green.</t>
        </is>
      </c>
      <c r="C211" t="inlineStr">
        <is>
          <t>1CTSN200GN</t>
        </is>
      </c>
      <c r="D211" t="inlineStr">
        <is>
          <t>Throws</t>
        </is>
      </c>
      <c r="E211" t="inlineStr">
        <is>
          <t>Catalonia</t>
        </is>
      </c>
      <c r="F211" t="inlineStr">
        <is>
          <t>WFS,Coupon_Discount,WFS Item,ST Patrick Day</t>
        </is>
      </c>
      <c r="G211" s="48" t="n">
        <v>0</v>
      </c>
      <c r="H211" s="49" t="n">
        <v>0</v>
      </c>
      <c r="I211" s="49" t="n">
        <v>0</v>
      </c>
      <c r="J211" s="50" t="n">
        <v>0</v>
      </c>
      <c r="K211" s="51" t="n">
        <v>0</v>
      </c>
      <c r="L211" s="52" t="n">
        <v>0</v>
      </c>
      <c r="M211" s="52" t="n">
        <v>0</v>
      </c>
      <c r="N211" s="52" t="n">
        <v>0</v>
      </c>
      <c r="O211" s="53" t="n">
        <v>0</v>
      </c>
      <c r="P211" s="52" t="n">
        <v>0</v>
      </c>
      <c r="Q211" s="53" t="n">
        <v>0</v>
      </c>
      <c r="R211" s="52" t="n">
        <v>0</v>
      </c>
      <c r="S211" s="51" t="n">
        <v>0</v>
      </c>
      <c r="T211" s="48" t="n">
        <v>0</v>
      </c>
      <c r="U211" s="49" t="n">
        <v>0</v>
      </c>
      <c r="V211" s="49" t="n">
        <v>0</v>
      </c>
      <c r="W211" s="50" t="n">
        <v>0</v>
      </c>
      <c r="X211" s="51" t="n">
        <v>0</v>
      </c>
      <c r="Y211" s="52" t="n">
        <v>0</v>
      </c>
      <c r="Z211" s="52" t="n">
        <v>0</v>
      </c>
      <c r="AA211" s="52" t="n">
        <v>0</v>
      </c>
      <c r="AB211" s="53" t="n">
        <v>0</v>
      </c>
      <c r="AC211" s="52" t="n">
        <v>0</v>
      </c>
      <c r="AD211" s="53" t="n">
        <v>0</v>
      </c>
      <c r="AE211" s="52" t="n">
        <v>0</v>
      </c>
      <c r="AF211" s="51" t="n">
        <v>0</v>
      </c>
      <c r="AG211" s="48" t="n">
        <v>0</v>
      </c>
      <c r="AH211" s="49" t="n">
        <v>0</v>
      </c>
      <c r="AI211" s="49" t="n">
        <v>0</v>
      </c>
      <c r="AJ211" s="50" t="n">
        <v>0</v>
      </c>
      <c r="AK211" s="51" t="n">
        <v>0</v>
      </c>
      <c r="AL211" s="52" t="n">
        <v>0</v>
      </c>
      <c r="AM211" s="52" t="n">
        <v>0</v>
      </c>
      <c r="AN211" s="52" t="n">
        <v>0</v>
      </c>
      <c r="AO211" s="53" t="n">
        <v>0</v>
      </c>
      <c r="AP211" s="52" t="n">
        <v>0</v>
      </c>
      <c r="AQ211" s="53" t="n">
        <v>0</v>
      </c>
      <c r="AR211" s="52" t="n">
        <v>0</v>
      </c>
      <c r="AS211" s="51" t="n">
        <v>0</v>
      </c>
      <c r="AT211" s="48" t="n">
        <v>0</v>
      </c>
      <c r="AU211" s="49" t="n">
        <v>0</v>
      </c>
      <c r="AV211" s="49" t="n">
        <v>0</v>
      </c>
      <c r="AW211" s="50" t="n">
        <v>0</v>
      </c>
      <c r="AX211" s="51" t="n">
        <v>0</v>
      </c>
      <c r="AY211" s="52" t="n">
        <v>0</v>
      </c>
      <c r="AZ211" s="52" t="n">
        <v>0</v>
      </c>
      <c r="BA211" s="52" t="n">
        <v>0</v>
      </c>
      <c r="BB211" s="53" t="n">
        <v>0</v>
      </c>
      <c r="BC211" s="52" t="n">
        <v>0</v>
      </c>
      <c r="BD211" s="53" t="n">
        <v>0</v>
      </c>
      <c r="BE211" s="52" t="n">
        <v>0</v>
      </c>
      <c r="BF211" s="51" t="n">
        <v>0</v>
      </c>
    </row>
    <row r="212">
      <c r="A212">
        <f>HYPERLINK("https://www.walmart.com/ip/614520723", "614520723")</f>
        <v/>
      </c>
      <c r="B212" t="inlineStr">
        <is>
          <t>Catalonia Wearable Fleece Blanket with Sleeves and Kangaroo Pocket for Adults, Soft, Warm, Comfy Throws Wrap Robe Blanket in Gray</t>
        </is>
      </c>
      <c r="C212" t="inlineStr">
        <is>
          <t>1CTSN200GY</t>
        </is>
      </c>
      <c r="D212" t="inlineStr">
        <is>
          <t>Throws</t>
        </is>
      </c>
      <c r="E212" t="inlineStr">
        <is>
          <t>Catalonia</t>
        </is>
      </c>
      <c r="F212" t="inlineStr">
        <is>
          <t>Q2-Target,WFS,Coupon_Discount,WFS Item</t>
        </is>
      </c>
      <c r="G212" s="48" t="n">
        <v>0</v>
      </c>
      <c r="H212" s="49" t="n">
        <v>0</v>
      </c>
      <c r="I212" s="49" t="n">
        <v>0</v>
      </c>
      <c r="J212" s="50" t="n">
        <v>0</v>
      </c>
      <c r="K212" s="51" t="n">
        <v>0</v>
      </c>
      <c r="L212" s="52" t="n">
        <v>0</v>
      </c>
      <c r="M212" s="52" t="n">
        <v>0</v>
      </c>
      <c r="N212" s="52" t="n">
        <v>0</v>
      </c>
      <c r="O212" s="53" t="n">
        <v>0</v>
      </c>
      <c r="P212" s="52" t="n">
        <v>0</v>
      </c>
      <c r="Q212" s="53" t="n">
        <v>0</v>
      </c>
      <c r="R212" s="52" t="n">
        <v>0</v>
      </c>
      <c r="S212" s="51" t="n">
        <v>0</v>
      </c>
      <c r="T212" s="48" t="n">
        <v>0</v>
      </c>
      <c r="U212" s="49" t="n">
        <v>0</v>
      </c>
      <c r="V212" s="49" t="n">
        <v>0</v>
      </c>
      <c r="W212" s="50" t="n">
        <v>0</v>
      </c>
      <c r="X212" s="51" t="n">
        <v>0</v>
      </c>
      <c r="Y212" s="52" t="n">
        <v>0</v>
      </c>
      <c r="Z212" s="52" t="n">
        <v>0</v>
      </c>
      <c r="AA212" s="52" t="n">
        <v>0</v>
      </c>
      <c r="AB212" s="53" t="n">
        <v>0</v>
      </c>
      <c r="AC212" s="52" t="n">
        <v>0</v>
      </c>
      <c r="AD212" s="53" t="n">
        <v>0</v>
      </c>
      <c r="AE212" s="52" t="n">
        <v>0</v>
      </c>
      <c r="AF212" s="51" t="n">
        <v>0</v>
      </c>
      <c r="AG212" s="48" t="n">
        <v>0</v>
      </c>
      <c r="AH212" s="49" t="n">
        <v>0</v>
      </c>
      <c r="AI212" s="49" t="n">
        <v>0</v>
      </c>
      <c r="AJ212" s="50" t="n">
        <v>0</v>
      </c>
      <c r="AK212" s="51" t="n">
        <v>0</v>
      </c>
      <c r="AL212" s="52" t="n">
        <v>0</v>
      </c>
      <c r="AM212" s="52" t="n">
        <v>0</v>
      </c>
      <c r="AN212" s="52" t="n">
        <v>0</v>
      </c>
      <c r="AO212" s="53" t="n">
        <v>0</v>
      </c>
      <c r="AP212" s="52" t="n">
        <v>0</v>
      </c>
      <c r="AQ212" s="53" t="n">
        <v>0</v>
      </c>
      <c r="AR212" s="52" t="n">
        <v>0</v>
      </c>
      <c r="AS212" s="51" t="n">
        <v>0</v>
      </c>
      <c r="AT212" s="48" t="n">
        <v>0</v>
      </c>
      <c r="AU212" s="49" t="n">
        <v>0</v>
      </c>
      <c r="AV212" s="49" t="n">
        <v>0</v>
      </c>
      <c r="AW212" s="50" t="n">
        <v>0</v>
      </c>
      <c r="AX212" s="51" t="n">
        <v>0</v>
      </c>
      <c r="AY212" s="52" t="n">
        <v>0</v>
      </c>
      <c r="AZ212" s="52" t="n">
        <v>0</v>
      </c>
      <c r="BA212" s="52" t="n">
        <v>0</v>
      </c>
      <c r="BB212" s="53" t="n">
        <v>0</v>
      </c>
      <c r="BC212" s="52" t="n">
        <v>0</v>
      </c>
      <c r="BD212" s="53" t="n">
        <v>0</v>
      </c>
      <c r="BE212" s="52" t="n">
        <v>0</v>
      </c>
      <c r="BF212" s="51" t="n">
        <v>0</v>
      </c>
    </row>
    <row r="213">
      <c r="A213">
        <f>HYPERLINK("https://www.walmart.com/ip/554846099", "554846099")</f>
        <v/>
      </c>
      <c r="B213" t="inlineStr">
        <is>
          <t>Wine Tote Bag with Hidden Dispenser, Insulated Large Wine Carrying Carrier Set with Wine Bladder, Perfect Wine Gift for Byob, Movie Theater, Concert, Sport Events, Pool &amp; Beach</t>
        </is>
      </c>
      <c r="C213" t="inlineStr">
        <is>
          <t>1TRWT100GY</t>
        </is>
      </c>
      <c r="D213" t="inlineStr">
        <is>
          <t>Wine Totes, Bags &amp; Backpacks</t>
        </is>
      </c>
      <c r="E213" t="inlineStr">
        <is>
          <t>Tirrinia</t>
        </is>
      </c>
      <c r="F213" t="inlineStr">
        <is>
          <t>Wine,Optimized,Wine WFS</t>
        </is>
      </c>
      <c r="G213" s="48" t="n">
        <v>0</v>
      </c>
      <c r="H213" s="49" t="n">
        <v>0</v>
      </c>
      <c r="I213" s="49" t="n">
        <v>0</v>
      </c>
      <c r="J213" s="50" t="n">
        <v>0</v>
      </c>
      <c r="K213" s="51" t="n">
        <v>0</v>
      </c>
      <c r="L213" s="52" t="n">
        <v>0</v>
      </c>
      <c r="M213" s="52" t="n">
        <v>0</v>
      </c>
      <c r="N213" s="52" t="n">
        <v>0</v>
      </c>
      <c r="O213" s="53" t="n">
        <v>0</v>
      </c>
      <c r="P213" s="52" t="n">
        <v>0</v>
      </c>
      <c r="Q213" s="53" t="n">
        <v>0</v>
      </c>
      <c r="R213" s="52" t="n">
        <v>0</v>
      </c>
      <c r="S213" s="51" t="n">
        <v>0</v>
      </c>
      <c r="T213" s="48" t="n">
        <v>0</v>
      </c>
      <c r="U213" s="49" t="n">
        <v>0</v>
      </c>
      <c r="V213" s="49" t="n">
        <v>0</v>
      </c>
      <c r="W213" s="50" t="n">
        <v>0</v>
      </c>
      <c r="X213" s="51" t="n">
        <v>0</v>
      </c>
      <c r="Y213" s="52" t="n">
        <v>0</v>
      </c>
      <c r="Z213" s="52" t="n">
        <v>0</v>
      </c>
      <c r="AA213" s="52" t="n">
        <v>0</v>
      </c>
      <c r="AB213" s="53" t="n">
        <v>0</v>
      </c>
      <c r="AC213" s="52" t="n">
        <v>0</v>
      </c>
      <c r="AD213" s="53" t="n">
        <v>0</v>
      </c>
      <c r="AE213" s="52" t="n">
        <v>0</v>
      </c>
      <c r="AF213" s="51" t="n">
        <v>0</v>
      </c>
      <c r="AG213" s="48" t="n">
        <v>0</v>
      </c>
      <c r="AH213" s="49" t="n">
        <v>0</v>
      </c>
      <c r="AI213" s="49" t="n">
        <v>0</v>
      </c>
      <c r="AJ213" s="50" t="n">
        <v>0</v>
      </c>
      <c r="AK213" s="51" t="n">
        <v>0</v>
      </c>
      <c r="AL213" s="52" t="n">
        <v>0</v>
      </c>
      <c r="AM213" s="52" t="n">
        <v>0</v>
      </c>
      <c r="AN213" s="52" t="n">
        <v>0</v>
      </c>
      <c r="AO213" s="53" t="n">
        <v>0</v>
      </c>
      <c r="AP213" s="52" t="n">
        <v>0</v>
      </c>
      <c r="AQ213" s="53" t="n">
        <v>0</v>
      </c>
      <c r="AR213" s="52" t="n">
        <v>0</v>
      </c>
      <c r="AS213" s="51" t="n">
        <v>0</v>
      </c>
      <c r="AT213" s="48" t="n">
        <v>0</v>
      </c>
      <c r="AU213" s="49" t="n">
        <v>0</v>
      </c>
      <c r="AV213" s="49" t="n">
        <v>0</v>
      </c>
      <c r="AW213" s="50" t="n">
        <v>0</v>
      </c>
      <c r="AX213" s="51" t="n">
        <v>0</v>
      </c>
      <c r="AY213" s="52" t="n">
        <v>0</v>
      </c>
      <c r="AZ213" s="52" t="n">
        <v>0</v>
      </c>
      <c r="BA213" s="52" t="n">
        <v>0</v>
      </c>
      <c r="BB213" s="53" t="n">
        <v>0</v>
      </c>
      <c r="BC213" s="52" t="n">
        <v>0</v>
      </c>
      <c r="BD213" s="53" t="n">
        <v>0</v>
      </c>
      <c r="BE213" s="52" t="n">
        <v>0</v>
      </c>
      <c r="BF213" s="51" t="n">
        <v>0</v>
      </c>
    </row>
    <row r="214">
      <c r="A214">
        <f>HYPERLINK("https://www.walmart.com/ip/554495477", "554495477")</f>
        <v/>
      </c>
      <c r="B214" t="inlineStr">
        <is>
          <t>Flyingstar Surf Beach Changing Towel With Hood, Absorbent Microfiber Robe Poncho, Men &amp; Women,Grey</t>
        </is>
      </c>
      <c r="C214" t="inlineStr">
        <is>
          <t>1WMBR102-GY</t>
        </is>
      </c>
      <c r="D214" t="inlineStr">
        <is>
          <t>default</t>
        </is>
      </c>
      <c r="E214" t="inlineStr">
        <is>
          <t>Flyingstar</t>
        </is>
      </c>
      <c r="F214" t="inlineStr">
        <is>
          <t>Batch 1 - TR</t>
        </is>
      </c>
      <c r="G214" s="48" t="n">
        <v>0</v>
      </c>
      <c r="H214" s="49" t="n">
        <v>0</v>
      </c>
      <c r="I214" s="49" t="n">
        <v>0</v>
      </c>
      <c r="J214" s="50" t="n">
        <v>0</v>
      </c>
      <c r="K214" s="51" t="n">
        <v>0</v>
      </c>
      <c r="L214" s="52" t="n">
        <v>0</v>
      </c>
      <c r="M214" s="52" t="n">
        <v>0</v>
      </c>
      <c r="N214" s="52" t="n">
        <v>0</v>
      </c>
      <c r="O214" s="53" t="n">
        <v>0</v>
      </c>
      <c r="P214" s="52" t="n">
        <v>0</v>
      </c>
      <c r="Q214" s="53" t="n">
        <v>0</v>
      </c>
      <c r="R214" s="52" t="n">
        <v>0</v>
      </c>
      <c r="S214" s="51" t="n">
        <v>0</v>
      </c>
      <c r="T214" s="48" t="n">
        <v>0</v>
      </c>
      <c r="U214" s="49" t="n">
        <v>0</v>
      </c>
      <c r="V214" s="49" t="n">
        <v>0</v>
      </c>
      <c r="W214" s="50" t="n">
        <v>0</v>
      </c>
      <c r="X214" s="51" t="n">
        <v>0</v>
      </c>
      <c r="Y214" s="52" t="n">
        <v>0</v>
      </c>
      <c r="Z214" s="52" t="n">
        <v>0</v>
      </c>
      <c r="AA214" s="52" t="n">
        <v>0</v>
      </c>
      <c r="AB214" s="53" t="n">
        <v>0</v>
      </c>
      <c r="AC214" s="52" t="n">
        <v>0</v>
      </c>
      <c r="AD214" s="53" t="n">
        <v>0</v>
      </c>
      <c r="AE214" s="52" t="n">
        <v>0</v>
      </c>
      <c r="AF214" s="51" t="n">
        <v>0</v>
      </c>
      <c r="AG214" s="48" t="n">
        <v>0</v>
      </c>
      <c r="AH214" s="49" t="n">
        <v>0</v>
      </c>
      <c r="AI214" s="49" t="n">
        <v>0</v>
      </c>
      <c r="AJ214" s="50" t="n">
        <v>0</v>
      </c>
      <c r="AK214" s="51" t="n">
        <v>0</v>
      </c>
      <c r="AL214" s="52" t="n">
        <v>0</v>
      </c>
      <c r="AM214" s="52" t="n">
        <v>0</v>
      </c>
      <c r="AN214" s="52" t="n">
        <v>0</v>
      </c>
      <c r="AO214" s="53" t="n">
        <v>0</v>
      </c>
      <c r="AP214" s="52" t="n">
        <v>0</v>
      </c>
      <c r="AQ214" s="53" t="n">
        <v>0</v>
      </c>
      <c r="AR214" s="52" t="n">
        <v>0</v>
      </c>
      <c r="AS214" s="51" t="n">
        <v>0</v>
      </c>
      <c r="AT214" s="48" t="n">
        <v>22.99</v>
      </c>
      <c r="AU214" s="49" t="n">
        <v>1</v>
      </c>
      <c r="AV214" s="49" t="n">
        <v>0</v>
      </c>
      <c r="AW214" s="50" t="n">
        <v>0</v>
      </c>
      <c r="AX214" s="51" t="n">
        <v>0</v>
      </c>
      <c r="AY214" s="52" t="n">
        <v>0</v>
      </c>
      <c r="AZ214" s="52" t="n">
        <v>0</v>
      </c>
      <c r="BA214" s="52" t="n">
        <v>0</v>
      </c>
      <c r="BB214" s="53" t="n">
        <v>0</v>
      </c>
      <c r="BC214" s="52" t="n">
        <v>0</v>
      </c>
      <c r="BD214" s="53" t="n">
        <v>0</v>
      </c>
      <c r="BE214" s="52" t="n">
        <v>22.99</v>
      </c>
      <c r="BF214" s="51" t="n">
        <v>0</v>
      </c>
    </row>
    <row r="215">
      <c r="A215">
        <f>HYPERLINK("https://www.walmart.com/ip/554090745", "554090745")</f>
        <v/>
      </c>
      <c r="B215" t="inlineStr">
        <is>
          <t>Tirrinia Portable Travel Blanket Airplane Office 4 in 1 Premium Fleece Poncho Blanket Folable with Pocket and Built-in Bag-Great for Airplane Car Train Travel Camping, 60"x40", Gray</t>
        </is>
      </c>
      <c r="C215" t="inlineStr">
        <is>
          <t>1TRTB100GY</t>
        </is>
      </c>
      <c r="D215" t="inlineStr">
        <is>
          <t>Throws</t>
        </is>
      </c>
      <c r="E215" t="inlineStr">
        <is>
          <t>Tirrinia</t>
        </is>
      </c>
      <c r="F215" t="inlineStr">
        <is>
          <t>Optimized,WFS,Coupon_Discount,WFS Item</t>
        </is>
      </c>
      <c r="G215" s="48" t="n">
        <v>0</v>
      </c>
      <c r="H215" s="49" t="n">
        <v>0</v>
      </c>
      <c r="I215" s="49" t="n">
        <v>0</v>
      </c>
      <c r="J215" s="50" t="n">
        <v>0</v>
      </c>
      <c r="K215" s="51" t="n">
        <v>0</v>
      </c>
      <c r="L215" s="52" t="n">
        <v>0</v>
      </c>
      <c r="M215" s="52" t="n">
        <v>0</v>
      </c>
      <c r="N215" s="52" t="n">
        <v>0</v>
      </c>
      <c r="O215" s="53" t="n">
        <v>0</v>
      </c>
      <c r="P215" s="52" t="n">
        <v>0</v>
      </c>
      <c r="Q215" s="53" t="n">
        <v>0</v>
      </c>
      <c r="R215" s="52" t="n">
        <v>0</v>
      </c>
      <c r="S215" s="51" t="n">
        <v>0</v>
      </c>
      <c r="T215" s="48" t="n">
        <v>0</v>
      </c>
      <c r="U215" s="49" t="n">
        <v>0</v>
      </c>
      <c r="V215" s="49" t="n">
        <v>0</v>
      </c>
      <c r="W215" s="50" t="n">
        <v>0</v>
      </c>
      <c r="X215" s="51" t="n">
        <v>0</v>
      </c>
      <c r="Y215" s="52" t="n">
        <v>0</v>
      </c>
      <c r="Z215" s="52" t="n">
        <v>0</v>
      </c>
      <c r="AA215" s="52" t="n">
        <v>0</v>
      </c>
      <c r="AB215" s="53" t="n">
        <v>0</v>
      </c>
      <c r="AC215" s="52" t="n">
        <v>0</v>
      </c>
      <c r="AD215" s="53" t="n">
        <v>0</v>
      </c>
      <c r="AE215" s="52" t="n">
        <v>0</v>
      </c>
      <c r="AF215" s="51" t="n">
        <v>0</v>
      </c>
      <c r="AG215" s="48" t="n">
        <v>20.99</v>
      </c>
      <c r="AH215" s="49" t="n">
        <v>1</v>
      </c>
      <c r="AI215" s="49" t="n">
        <v>0</v>
      </c>
      <c r="AJ215" s="50" t="n">
        <v>0</v>
      </c>
      <c r="AK215" s="51" t="n">
        <v>0</v>
      </c>
      <c r="AL215" s="52" t="n">
        <v>0</v>
      </c>
      <c r="AM215" s="52" t="n">
        <v>0</v>
      </c>
      <c r="AN215" s="52" t="n">
        <v>0</v>
      </c>
      <c r="AO215" s="53" t="n">
        <v>0</v>
      </c>
      <c r="AP215" s="52" t="n">
        <v>0</v>
      </c>
      <c r="AQ215" s="53" t="n">
        <v>0</v>
      </c>
      <c r="AR215" s="52" t="n">
        <v>20.99</v>
      </c>
      <c r="AS215" s="51" t="n">
        <v>0</v>
      </c>
      <c r="AT215" s="48" t="n">
        <v>0</v>
      </c>
      <c r="AU215" s="49" t="n">
        <v>0</v>
      </c>
      <c r="AV215" s="49" t="n">
        <v>0</v>
      </c>
      <c r="AW215" s="50" t="n">
        <v>0</v>
      </c>
      <c r="AX215" s="51" t="n">
        <v>0</v>
      </c>
      <c r="AY215" s="52" t="n">
        <v>0</v>
      </c>
      <c r="AZ215" s="52" t="n">
        <v>0</v>
      </c>
      <c r="BA215" s="52" t="n">
        <v>0</v>
      </c>
      <c r="BB215" s="53" t="n">
        <v>0</v>
      </c>
      <c r="BC215" s="52" t="n">
        <v>0</v>
      </c>
      <c r="BD215" s="53" t="n">
        <v>0</v>
      </c>
      <c r="BE215" s="52" t="n">
        <v>0</v>
      </c>
      <c r="BF215" s="51" t="n">
        <v>0</v>
      </c>
    </row>
    <row r="216">
      <c r="A216">
        <f>HYPERLINK("https://www.walmart.com/ip/5537696486", "5537696486")</f>
        <v/>
      </c>
      <c r="B216" t="inlineStr">
        <is>
          <t>Solaris Kids Sun Hat UPF50+ Sun Protection, Large Mesh Super Breathable Travel Beach Play Bucket Hats for Girs Boys Teenagers</t>
        </is>
      </c>
      <c r="C216" t="inlineStr">
        <is>
          <t>1SLSH925TN</t>
        </is>
      </c>
      <c r="D216" t="inlineStr">
        <is>
          <t>Hats</t>
        </is>
      </c>
      <c r="E216" t="inlineStr">
        <is>
          <t>Solaris</t>
        </is>
      </c>
      <c r="G216" s="48" t="n">
        <v>0</v>
      </c>
      <c r="H216" s="49" t="n">
        <v>0</v>
      </c>
      <c r="I216" s="49" t="n">
        <v>0</v>
      </c>
      <c r="J216" s="50" t="n">
        <v>0</v>
      </c>
      <c r="K216" s="51" t="n">
        <v>0</v>
      </c>
      <c r="L216" s="52" t="n">
        <v>0</v>
      </c>
      <c r="M216" s="52" t="n">
        <v>0</v>
      </c>
      <c r="N216" s="52" t="n">
        <v>0</v>
      </c>
      <c r="O216" s="53" t="n">
        <v>0</v>
      </c>
      <c r="P216" s="52" t="n">
        <v>0</v>
      </c>
      <c r="Q216" s="53" t="n">
        <v>0</v>
      </c>
      <c r="R216" s="52" t="n">
        <v>0</v>
      </c>
      <c r="S216" s="51" t="n">
        <v>0</v>
      </c>
      <c r="T216" s="48" t="n">
        <v>0</v>
      </c>
      <c r="U216" s="49" t="n">
        <v>0</v>
      </c>
      <c r="V216" s="49" t="n">
        <v>0</v>
      </c>
      <c r="W216" s="50" t="n">
        <v>0</v>
      </c>
      <c r="X216" s="51" t="n">
        <v>0</v>
      </c>
      <c r="Y216" s="52" t="n">
        <v>0</v>
      </c>
      <c r="Z216" s="52" t="n">
        <v>0</v>
      </c>
      <c r="AA216" s="52" t="n">
        <v>0</v>
      </c>
      <c r="AB216" s="53" t="n">
        <v>0</v>
      </c>
      <c r="AC216" s="52" t="n">
        <v>0</v>
      </c>
      <c r="AD216" s="53" t="n">
        <v>0</v>
      </c>
      <c r="AE216" s="52" t="n">
        <v>0</v>
      </c>
      <c r="AF216" s="51" t="n">
        <v>0</v>
      </c>
      <c r="AG216" s="48" t="n">
        <v>0</v>
      </c>
      <c r="AH216" s="49" t="n">
        <v>0</v>
      </c>
      <c r="AI216" s="49" t="n">
        <v>0</v>
      </c>
      <c r="AJ216" s="50" t="n">
        <v>0</v>
      </c>
      <c r="AK216" s="51" t="n">
        <v>0</v>
      </c>
      <c r="AL216" s="52" t="n">
        <v>0</v>
      </c>
      <c r="AM216" s="52" t="n">
        <v>0</v>
      </c>
      <c r="AN216" s="52" t="n">
        <v>0</v>
      </c>
      <c r="AO216" s="53" t="n">
        <v>0</v>
      </c>
      <c r="AP216" s="52" t="n">
        <v>0</v>
      </c>
      <c r="AQ216" s="53" t="n">
        <v>0</v>
      </c>
      <c r="AR216" s="52" t="n">
        <v>0</v>
      </c>
      <c r="AS216" s="51" t="n">
        <v>0</v>
      </c>
      <c r="AT216" s="48" t="n">
        <v>0</v>
      </c>
      <c r="AU216" s="49" t="n">
        <v>0</v>
      </c>
      <c r="AV216" s="49" t="n">
        <v>0</v>
      </c>
      <c r="AW216" s="50" t="n">
        <v>0</v>
      </c>
      <c r="AX216" s="51" t="n">
        <v>0</v>
      </c>
      <c r="AY216" s="52" t="n">
        <v>0</v>
      </c>
      <c r="AZ216" s="52" t="n">
        <v>0</v>
      </c>
      <c r="BA216" s="52" t="n">
        <v>0</v>
      </c>
      <c r="BB216" s="53" t="n">
        <v>0</v>
      </c>
      <c r="BC216" s="52" t="n">
        <v>0</v>
      </c>
      <c r="BD216" s="53" t="n">
        <v>0</v>
      </c>
      <c r="BE216" s="52" t="n">
        <v>0</v>
      </c>
      <c r="BF216" s="51" t="n">
        <v>0</v>
      </c>
    </row>
    <row r="217">
      <c r="A217">
        <f>HYPERLINK("https://www.walmart.com/ip/5536189949", "5536189949")</f>
        <v/>
      </c>
      <c r="B217" t="inlineStr">
        <is>
          <t>Solaris Kids Sun Hat UPF50+ Sun Protection, Large Mesh Super Breathable Travel Beach Play Bucket Hats for Girs Boys Teenagers</t>
        </is>
      </c>
      <c r="C217" t="inlineStr">
        <is>
          <t>1SLSH925GY</t>
        </is>
      </c>
      <c r="D217" t="inlineStr">
        <is>
          <t>Hats</t>
        </is>
      </c>
      <c r="E217" t="inlineStr">
        <is>
          <t>Solaris</t>
        </is>
      </c>
      <c r="G217" s="48" t="n">
        <v>0</v>
      </c>
      <c r="H217" s="49" t="n">
        <v>0</v>
      </c>
      <c r="I217" s="49" t="n">
        <v>0</v>
      </c>
      <c r="J217" s="50" t="n">
        <v>0</v>
      </c>
      <c r="K217" s="51" t="n">
        <v>0</v>
      </c>
      <c r="L217" s="52" t="n">
        <v>0</v>
      </c>
      <c r="M217" s="52" t="n">
        <v>0</v>
      </c>
      <c r="N217" s="52" t="n">
        <v>0</v>
      </c>
      <c r="O217" s="53" t="n">
        <v>0</v>
      </c>
      <c r="P217" s="52" t="n">
        <v>0</v>
      </c>
      <c r="Q217" s="53" t="n">
        <v>0</v>
      </c>
      <c r="R217" s="52" t="n">
        <v>0</v>
      </c>
      <c r="S217" s="51" t="n">
        <v>0</v>
      </c>
      <c r="T217" s="48" t="n">
        <v>0</v>
      </c>
      <c r="U217" s="49" t="n">
        <v>0</v>
      </c>
      <c r="V217" s="49" t="n">
        <v>0</v>
      </c>
      <c r="W217" s="50" t="n">
        <v>0</v>
      </c>
      <c r="X217" s="51" t="n">
        <v>0</v>
      </c>
      <c r="Y217" s="52" t="n">
        <v>0</v>
      </c>
      <c r="Z217" s="52" t="n">
        <v>0</v>
      </c>
      <c r="AA217" s="52" t="n">
        <v>0</v>
      </c>
      <c r="AB217" s="53" t="n">
        <v>0</v>
      </c>
      <c r="AC217" s="52" t="n">
        <v>0</v>
      </c>
      <c r="AD217" s="53" t="n">
        <v>0</v>
      </c>
      <c r="AE217" s="52" t="n">
        <v>0</v>
      </c>
      <c r="AF217" s="51" t="n">
        <v>0</v>
      </c>
      <c r="AG217" s="48" t="n">
        <v>0</v>
      </c>
      <c r="AH217" s="49" t="n">
        <v>0</v>
      </c>
      <c r="AI217" s="49" t="n">
        <v>0</v>
      </c>
      <c r="AJ217" s="50" t="n">
        <v>0</v>
      </c>
      <c r="AK217" s="51" t="n">
        <v>0</v>
      </c>
      <c r="AL217" s="52" t="n">
        <v>0</v>
      </c>
      <c r="AM217" s="52" t="n">
        <v>0</v>
      </c>
      <c r="AN217" s="52" t="n">
        <v>0</v>
      </c>
      <c r="AO217" s="53" t="n">
        <v>0</v>
      </c>
      <c r="AP217" s="52" t="n">
        <v>0</v>
      </c>
      <c r="AQ217" s="53" t="n">
        <v>0</v>
      </c>
      <c r="AR217" s="52" t="n">
        <v>0</v>
      </c>
      <c r="AS217" s="51" t="n">
        <v>0</v>
      </c>
      <c r="AT217" s="48" t="n">
        <v>0</v>
      </c>
      <c r="AU217" s="49" t="n">
        <v>0</v>
      </c>
      <c r="AV217" s="49" t="n">
        <v>0</v>
      </c>
      <c r="AW217" s="50" t="n">
        <v>0</v>
      </c>
      <c r="AX217" s="51" t="n">
        <v>0</v>
      </c>
      <c r="AY217" s="52" t="n">
        <v>0</v>
      </c>
      <c r="AZ217" s="52" t="n">
        <v>0</v>
      </c>
      <c r="BA217" s="52" t="n">
        <v>0</v>
      </c>
      <c r="BB217" s="53" t="n">
        <v>0</v>
      </c>
      <c r="BC217" s="52" t="n">
        <v>0</v>
      </c>
      <c r="BD217" s="53" t="n">
        <v>0</v>
      </c>
      <c r="BE217" s="52" t="n">
        <v>0</v>
      </c>
      <c r="BF217" s="51" t="n">
        <v>0</v>
      </c>
    </row>
    <row r="218">
      <c r="A218">
        <f>HYPERLINK("https://www.walmart.com/ip/5493422988", "5493422988")</f>
        <v/>
      </c>
      <c r="B218" t="inlineStr">
        <is>
          <t>Catalonia Plush Fleece Blanket Couch Throw Christmas Theme Shu Velveteen Lambswool Reversible Warm Super Soft 61” x 50“</t>
        </is>
      </c>
      <c r="C218" t="inlineStr">
        <is>
          <t>1CTBF600NAAN</t>
        </is>
      </c>
      <c r="D218" t="inlineStr">
        <is>
          <t>Throws</t>
        </is>
      </c>
      <c r="E218" t="inlineStr">
        <is>
          <t>Catalonia</t>
        </is>
      </c>
      <c r="G218" s="48" t="n">
        <v>0</v>
      </c>
      <c r="H218" s="49" t="n">
        <v>0</v>
      </c>
      <c r="I218" s="49" t="n">
        <v>0</v>
      </c>
      <c r="J218" s="50" t="n">
        <v>0</v>
      </c>
      <c r="K218" s="51" t="n">
        <v>0</v>
      </c>
      <c r="L218" s="52" t="n">
        <v>0</v>
      </c>
      <c r="M218" s="52" t="n">
        <v>0</v>
      </c>
      <c r="N218" s="52" t="n">
        <v>0</v>
      </c>
      <c r="O218" s="53" t="n">
        <v>0</v>
      </c>
      <c r="P218" s="52" t="n">
        <v>0</v>
      </c>
      <c r="Q218" s="53" t="n">
        <v>0</v>
      </c>
      <c r="R218" s="52" t="n">
        <v>0</v>
      </c>
      <c r="S218" s="51" t="n">
        <v>0</v>
      </c>
      <c r="T218" s="48" t="n">
        <v>0</v>
      </c>
      <c r="U218" s="49" t="n">
        <v>0</v>
      </c>
      <c r="V218" s="49" t="n">
        <v>0</v>
      </c>
      <c r="W218" s="50" t="n">
        <v>0</v>
      </c>
      <c r="X218" s="51" t="n">
        <v>0</v>
      </c>
      <c r="Y218" s="52" t="n">
        <v>0</v>
      </c>
      <c r="Z218" s="52" t="n">
        <v>0</v>
      </c>
      <c r="AA218" s="52" t="n">
        <v>0</v>
      </c>
      <c r="AB218" s="53" t="n">
        <v>0</v>
      </c>
      <c r="AC218" s="52" t="n">
        <v>0</v>
      </c>
      <c r="AD218" s="53" t="n">
        <v>0</v>
      </c>
      <c r="AE218" s="52" t="n">
        <v>0</v>
      </c>
      <c r="AF218" s="51" t="n">
        <v>0</v>
      </c>
      <c r="AG218" s="48" t="n">
        <v>0</v>
      </c>
      <c r="AH218" s="49" t="n">
        <v>0</v>
      </c>
      <c r="AI218" s="49" t="n">
        <v>0</v>
      </c>
      <c r="AJ218" s="50" t="n">
        <v>0</v>
      </c>
      <c r="AK218" s="51" t="n">
        <v>0</v>
      </c>
      <c r="AL218" s="52" t="n">
        <v>0</v>
      </c>
      <c r="AM218" s="52" t="n">
        <v>0</v>
      </c>
      <c r="AN218" s="52" t="n">
        <v>0</v>
      </c>
      <c r="AO218" s="53" t="n">
        <v>0</v>
      </c>
      <c r="AP218" s="52" t="n">
        <v>0</v>
      </c>
      <c r="AQ218" s="53" t="n">
        <v>0</v>
      </c>
      <c r="AR218" s="52" t="n">
        <v>0</v>
      </c>
      <c r="AS218" s="51" t="n">
        <v>0</v>
      </c>
      <c r="AT218" s="48" t="n">
        <v>0</v>
      </c>
      <c r="AU218" s="49" t="n">
        <v>0</v>
      </c>
      <c r="AV218" s="49" t="n">
        <v>0</v>
      </c>
      <c r="AW218" s="50" t="n">
        <v>0</v>
      </c>
      <c r="AX218" s="51" t="n">
        <v>0</v>
      </c>
      <c r="AY218" s="52" t="n">
        <v>0</v>
      </c>
      <c r="AZ218" s="52" t="n">
        <v>0</v>
      </c>
      <c r="BA218" s="52" t="n">
        <v>0</v>
      </c>
      <c r="BB218" s="53" t="n">
        <v>0</v>
      </c>
      <c r="BC218" s="52" t="n">
        <v>0</v>
      </c>
      <c r="BD218" s="53" t="n">
        <v>0</v>
      </c>
      <c r="BE218" s="52" t="n">
        <v>0</v>
      </c>
      <c r="BF218" s="51" t="n">
        <v>0</v>
      </c>
    </row>
    <row r="219">
      <c r="A219">
        <f>HYPERLINK("https://www.walmart.com/ip/5524926141", "5524926141")</f>
        <v/>
      </c>
      <c r="B219" t="inlineStr">
        <is>
          <t>Solaris Kids Sun Hat UPF50+ Sun Protection, Large Mesh Super Breathable Travel Beach Play Bucket Hats for Girs Boys Teenagers</t>
        </is>
      </c>
      <c r="C219" t="inlineStr">
        <is>
          <t>1SLSH925DIGIGN</t>
        </is>
      </c>
      <c r="D219" t="inlineStr">
        <is>
          <t>Hats</t>
        </is>
      </c>
      <c r="E219" t="inlineStr">
        <is>
          <t>Solaris</t>
        </is>
      </c>
      <c r="G219" s="48" t="n">
        <v>0</v>
      </c>
      <c r="H219" s="49" t="n">
        <v>0</v>
      </c>
      <c r="I219" s="49" t="n">
        <v>0</v>
      </c>
      <c r="J219" s="50" t="n">
        <v>0</v>
      </c>
      <c r="K219" s="51" t="n">
        <v>0</v>
      </c>
      <c r="L219" s="52" t="n">
        <v>0</v>
      </c>
      <c r="M219" s="52" t="n">
        <v>0</v>
      </c>
      <c r="N219" s="52" t="n">
        <v>0</v>
      </c>
      <c r="O219" s="53" t="n">
        <v>0</v>
      </c>
      <c r="P219" s="52" t="n">
        <v>0</v>
      </c>
      <c r="Q219" s="53" t="n">
        <v>0</v>
      </c>
      <c r="R219" s="52" t="n">
        <v>0</v>
      </c>
      <c r="S219" s="51" t="n">
        <v>0</v>
      </c>
      <c r="T219" s="48" t="n">
        <v>0</v>
      </c>
      <c r="U219" s="49" t="n">
        <v>0</v>
      </c>
      <c r="V219" s="49" t="n">
        <v>0</v>
      </c>
      <c r="W219" s="50" t="n">
        <v>0</v>
      </c>
      <c r="X219" s="51" t="n">
        <v>0</v>
      </c>
      <c r="Y219" s="52" t="n">
        <v>0</v>
      </c>
      <c r="Z219" s="52" t="n">
        <v>0</v>
      </c>
      <c r="AA219" s="52" t="n">
        <v>0</v>
      </c>
      <c r="AB219" s="53" t="n">
        <v>0</v>
      </c>
      <c r="AC219" s="52" t="n">
        <v>0</v>
      </c>
      <c r="AD219" s="53" t="n">
        <v>0</v>
      </c>
      <c r="AE219" s="52" t="n">
        <v>0</v>
      </c>
      <c r="AF219" s="51" t="n">
        <v>0</v>
      </c>
      <c r="AG219" s="48" t="n">
        <v>0</v>
      </c>
      <c r="AH219" s="49" t="n">
        <v>0</v>
      </c>
      <c r="AI219" s="49" t="n">
        <v>0</v>
      </c>
      <c r="AJ219" s="50" t="n">
        <v>0</v>
      </c>
      <c r="AK219" s="51" t="n">
        <v>0</v>
      </c>
      <c r="AL219" s="52" t="n">
        <v>0</v>
      </c>
      <c r="AM219" s="52" t="n">
        <v>0</v>
      </c>
      <c r="AN219" s="52" t="n">
        <v>0</v>
      </c>
      <c r="AO219" s="53" t="n">
        <v>0</v>
      </c>
      <c r="AP219" s="52" t="n">
        <v>0</v>
      </c>
      <c r="AQ219" s="53" t="n">
        <v>0</v>
      </c>
      <c r="AR219" s="52" t="n">
        <v>0</v>
      </c>
      <c r="AS219" s="51" t="n">
        <v>0</v>
      </c>
      <c r="AT219" s="48" t="n">
        <v>0</v>
      </c>
      <c r="AU219" s="49" t="n">
        <v>0</v>
      </c>
      <c r="AV219" s="49" t="n">
        <v>0</v>
      </c>
      <c r="AW219" s="50" t="n">
        <v>0</v>
      </c>
      <c r="AX219" s="51" t="n">
        <v>0</v>
      </c>
      <c r="AY219" s="52" t="n">
        <v>0</v>
      </c>
      <c r="AZ219" s="52" t="n">
        <v>0</v>
      </c>
      <c r="BA219" s="52" t="n">
        <v>0</v>
      </c>
      <c r="BB219" s="53" t="n">
        <v>0</v>
      </c>
      <c r="BC219" s="52" t="n">
        <v>0</v>
      </c>
      <c r="BD219" s="53" t="n">
        <v>0</v>
      </c>
      <c r="BE219" s="52" t="n">
        <v>0</v>
      </c>
      <c r="BF219" s="51" t="n">
        <v>0</v>
      </c>
    </row>
    <row r="220">
      <c r="A220">
        <f>HYPERLINK("https://www.walmart.com/ip/615365342", "615365342")</f>
        <v/>
      </c>
      <c r="B220" t="inlineStr">
        <is>
          <t>Flyingstar Wine Tote Carrier, 2-Bottle Insulated Versatile Cooler Bag for Travel and BYOB, Wine Gift Bag, Black Stripe</t>
        </is>
      </c>
      <c r="C220" t="inlineStr">
        <is>
          <t>1WMWB221BKSTR</t>
        </is>
      </c>
      <c r="D220" t="inlineStr">
        <is>
          <t>Wine Totes, Bags &amp; Backpacks</t>
        </is>
      </c>
      <c r="E220" t="inlineStr">
        <is>
          <t>Flyingstar</t>
        </is>
      </c>
      <c r="F220" t="inlineStr">
        <is>
          <t>Wine,Christmas,Valentine</t>
        </is>
      </c>
      <c r="G220" s="48" t="n">
        <v>0</v>
      </c>
      <c r="H220" s="49" t="n">
        <v>0</v>
      </c>
      <c r="I220" s="49" t="n">
        <v>0</v>
      </c>
      <c r="J220" s="50" t="n">
        <v>0</v>
      </c>
      <c r="K220" s="51" t="n">
        <v>0</v>
      </c>
      <c r="L220" s="52" t="n">
        <v>0</v>
      </c>
      <c r="M220" s="52" t="n">
        <v>0</v>
      </c>
      <c r="N220" s="52" t="n">
        <v>0</v>
      </c>
      <c r="O220" s="53" t="n">
        <v>0</v>
      </c>
      <c r="P220" s="52" t="n">
        <v>0</v>
      </c>
      <c r="Q220" s="53" t="n">
        <v>0</v>
      </c>
      <c r="R220" s="52" t="n">
        <v>0</v>
      </c>
      <c r="S220" s="51" t="n">
        <v>0</v>
      </c>
      <c r="T220" s="48" t="n">
        <v>0</v>
      </c>
      <c r="U220" s="49" t="n">
        <v>0</v>
      </c>
      <c r="V220" s="49" t="n">
        <v>0</v>
      </c>
      <c r="W220" s="50" t="n">
        <v>0</v>
      </c>
      <c r="X220" s="51" t="n">
        <v>0</v>
      </c>
      <c r="Y220" s="52" t="n">
        <v>0</v>
      </c>
      <c r="Z220" s="52" t="n">
        <v>0</v>
      </c>
      <c r="AA220" s="52" t="n">
        <v>0</v>
      </c>
      <c r="AB220" s="53" t="n">
        <v>0</v>
      </c>
      <c r="AC220" s="52" t="n">
        <v>0</v>
      </c>
      <c r="AD220" s="53" t="n">
        <v>0</v>
      </c>
      <c r="AE220" s="52" t="n">
        <v>0</v>
      </c>
      <c r="AF220" s="51" t="n">
        <v>0</v>
      </c>
      <c r="AG220" s="48" t="n">
        <v>0</v>
      </c>
      <c r="AH220" s="49" t="n">
        <v>0</v>
      </c>
      <c r="AI220" s="49" t="n">
        <v>0</v>
      </c>
      <c r="AJ220" s="50" t="n">
        <v>0</v>
      </c>
      <c r="AK220" s="51" t="n">
        <v>0</v>
      </c>
      <c r="AL220" s="52" t="n">
        <v>0</v>
      </c>
      <c r="AM220" s="52" t="n">
        <v>0</v>
      </c>
      <c r="AN220" s="52" t="n">
        <v>0</v>
      </c>
      <c r="AO220" s="53" t="n">
        <v>0</v>
      </c>
      <c r="AP220" s="52" t="n">
        <v>0</v>
      </c>
      <c r="AQ220" s="53" t="n">
        <v>0</v>
      </c>
      <c r="AR220" s="52" t="n">
        <v>0</v>
      </c>
      <c r="AS220" s="51" t="n">
        <v>0</v>
      </c>
      <c r="AT220" s="48" t="n">
        <v>0</v>
      </c>
      <c r="AU220" s="49" t="n">
        <v>0</v>
      </c>
      <c r="AV220" s="49" t="n">
        <v>0</v>
      </c>
      <c r="AW220" s="50" t="n">
        <v>0</v>
      </c>
      <c r="AX220" s="51" t="n">
        <v>0</v>
      </c>
      <c r="AY220" s="52" t="n">
        <v>0</v>
      </c>
      <c r="AZ220" s="52" t="n">
        <v>0</v>
      </c>
      <c r="BA220" s="52" t="n">
        <v>0</v>
      </c>
      <c r="BB220" s="53" t="n">
        <v>0</v>
      </c>
      <c r="BC220" s="52" t="n">
        <v>0</v>
      </c>
      <c r="BD220" s="53" t="n">
        <v>0</v>
      </c>
      <c r="BE220" s="52" t="n">
        <v>0</v>
      </c>
      <c r="BF220" s="51" t="n">
        <v>0</v>
      </c>
    </row>
    <row r="221">
      <c r="A221">
        <f>HYPERLINK("https://www.walmart.com/ip/6163367974", "6163367974")</f>
        <v/>
      </c>
      <c r="B221" t="inlineStr">
        <is>
          <t>Tirrinia Comfort All-Season Robe, Ultra-Smooth Womens Robe, Breathable,Luxury for Everyday Indulgence, Skin-friendly</t>
        </is>
      </c>
      <c r="C221" t="inlineStr">
        <is>
          <t>1TRRB505PK-3</t>
        </is>
      </c>
      <c r="D221" t="inlineStr">
        <is>
          <t>Sleepwear Robes &amp; Bathrobes</t>
        </is>
      </c>
      <c r="E221" t="inlineStr">
        <is>
          <t>Tirrinia</t>
        </is>
      </c>
      <c r="G221" s="48" t="n">
        <v>0</v>
      </c>
      <c r="H221" s="49" t="n">
        <v>0</v>
      </c>
      <c r="I221" s="49" t="n">
        <v>0</v>
      </c>
      <c r="J221" s="50" t="n">
        <v>0</v>
      </c>
      <c r="K221" s="51" t="n">
        <v>0</v>
      </c>
      <c r="L221" s="52" t="n">
        <v>0</v>
      </c>
      <c r="M221" s="52" t="n">
        <v>0</v>
      </c>
      <c r="N221" s="52" t="n">
        <v>0</v>
      </c>
      <c r="O221" s="53" t="n">
        <v>0</v>
      </c>
      <c r="P221" s="52" t="n">
        <v>0</v>
      </c>
      <c r="Q221" s="53" t="n">
        <v>0</v>
      </c>
      <c r="R221" s="52" t="n">
        <v>0</v>
      </c>
      <c r="S221" s="51" t="n">
        <v>0</v>
      </c>
      <c r="T221" s="48" t="n">
        <v>0</v>
      </c>
      <c r="U221" s="49" t="n">
        <v>0</v>
      </c>
      <c r="V221" s="49" t="n">
        <v>0</v>
      </c>
      <c r="W221" s="50" t="n">
        <v>0</v>
      </c>
      <c r="X221" s="51" t="n">
        <v>0</v>
      </c>
      <c r="Y221" s="52" t="n">
        <v>0</v>
      </c>
      <c r="Z221" s="52" t="n">
        <v>0</v>
      </c>
      <c r="AA221" s="52" t="n">
        <v>0</v>
      </c>
      <c r="AB221" s="53" t="n">
        <v>0</v>
      </c>
      <c r="AC221" s="52" t="n">
        <v>0</v>
      </c>
      <c r="AD221" s="53" t="n">
        <v>0</v>
      </c>
      <c r="AE221" s="52" t="n">
        <v>0</v>
      </c>
      <c r="AF221" s="51" t="n">
        <v>0</v>
      </c>
      <c r="AG221" s="48" t="n">
        <v>0</v>
      </c>
      <c r="AH221" s="49" t="n">
        <v>0</v>
      </c>
      <c r="AI221" s="49" t="n">
        <v>0</v>
      </c>
      <c r="AJ221" s="50" t="n">
        <v>0</v>
      </c>
      <c r="AK221" s="51" t="n">
        <v>0</v>
      </c>
      <c r="AL221" s="52" t="n">
        <v>0</v>
      </c>
      <c r="AM221" s="52" t="n">
        <v>0</v>
      </c>
      <c r="AN221" s="52" t="n">
        <v>0</v>
      </c>
      <c r="AO221" s="53" t="n">
        <v>0</v>
      </c>
      <c r="AP221" s="52" t="n">
        <v>0</v>
      </c>
      <c r="AQ221" s="53" t="n">
        <v>0</v>
      </c>
      <c r="AR221" s="52" t="n">
        <v>0</v>
      </c>
      <c r="AS221" s="51" t="n">
        <v>0</v>
      </c>
      <c r="AT221" s="48" t="n">
        <v>0</v>
      </c>
      <c r="AU221" s="49" t="n">
        <v>0</v>
      </c>
      <c r="AV221" s="49" t="n">
        <v>0</v>
      </c>
      <c r="AW221" s="50" t="n">
        <v>0</v>
      </c>
      <c r="AX221" s="51" t="n">
        <v>0</v>
      </c>
      <c r="AY221" s="52" t="n">
        <v>0</v>
      </c>
      <c r="AZ221" s="52" t="n">
        <v>0</v>
      </c>
      <c r="BA221" s="52" t="n">
        <v>0</v>
      </c>
      <c r="BB221" s="53" t="n">
        <v>0</v>
      </c>
      <c r="BC221" s="52" t="n">
        <v>0</v>
      </c>
      <c r="BD221" s="53" t="n">
        <v>0</v>
      </c>
      <c r="BE221" s="52" t="n">
        <v>0</v>
      </c>
      <c r="BF221" s="51" t="n">
        <v>0</v>
      </c>
    </row>
    <row r="222">
      <c r="A222">
        <f>HYPERLINK("https://www.walmart.com/ip/5532545199", "5532545199")</f>
        <v/>
      </c>
      <c r="B222" t="inlineStr">
        <is>
          <t>Tirrinia  Camping Cooler Bag Insulated w/ Shoulder Strap and Bottle Opener 20 Cans Portable Ice Chest for Camping Hiking Picnic Beach</t>
        </is>
      </c>
      <c r="C222" t="inlineStr">
        <is>
          <t>1TRCB00120GYBK</t>
        </is>
      </c>
      <c r="D222" t="inlineStr">
        <is>
          <t>Thermocoolers</t>
        </is>
      </c>
      <c r="E222" t="inlineStr">
        <is>
          <t>Tirrinia</t>
        </is>
      </c>
      <c r="G222" s="48" t="n">
        <v>0</v>
      </c>
      <c r="H222" s="49" t="n">
        <v>0</v>
      </c>
      <c r="I222" s="49" t="n">
        <v>21</v>
      </c>
      <c r="J222" s="50" t="n">
        <v>0</v>
      </c>
      <c r="K222" s="51" t="n">
        <v>0</v>
      </c>
      <c r="L222" s="52" t="n">
        <v>0</v>
      </c>
      <c r="M222" s="52" t="n">
        <v>0</v>
      </c>
      <c r="N222" s="52" t="n">
        <v>0</v>
      </c>
      <c r="O222" s="53" t="n">
        <v>0</v>
      </c>
      <c r="P222" s="52" t="n">
        <v>0</v>
      </c>
      <c r="Q222" s="53" t="n">
        <v>0</v>
      </c>
      <c r="R222" s="52" t="n">
        <v>0</v>
      </c>
      <c r="S222" s="51" t="n">
        <v>0</v>
      </c>
      <c r="T222" s="48" t="n">
        <v>74.97</v>
      </c>
      <c r="U222" s="49" t="n">
        <v>3</v>
      </c>
      <c r="V222" s="49" t="n">
        <v>22</v>
      </c>
      <c r="W222" s="50" t="n">
        <v>0.1363636363636364</v>
      </c>
      <c r="X222" s="51" t="n">
        <v>0</v>
      </c>
      <c r="Y222" s="52" t="n">
        <v>0</v>
      </c>
      <c r="Z222" s="52" t="n">
        <v>0</v>
      </c>
      <c r="AA222" s="52" t="n">
        <v>0</v>
      </c>
      <c r="AB222" s="53" t="n">
        <v>0</v>
      </c>
      <c r="AC222" s="52" t="n">
        <v>0</v>
      </c>
      <c r="AD222" s="53" t="n">
        <v>0</v>
      </c>
      <c r="AE222" s="52" t="n">
        <v>24.99</v>
      </c>
      <c r="AF222" s="51" t="n">
        <v>0</v>
      </c>
      <c r="AG222" s="48" t="n">
        <v>31.98</v>
      </c>
      <c r="AH222" s="49" t="n">
        <v>1</v>
      </c>
      <c r="AI222" s="49" t="n">
        <v>16</v>
      </c>
      <c r="AJ222" s="50" t="n">
        <v>0.0625</v>
      </c>
      <c r="AK222" s="51" t="n">
        <v>0</v>
      </c>
      <c r="AL222" s="52" t="n">
        <v>0</v>
      </c>
      <c r="AM222" s="52" t="n">
        <v>0</v>
      </c>
      <c r="AN222" s="52" t="n">
        <v>0</v>
      </c>
      <c r="AO222" s="53" t="n">
        <v>0</v>
      </c>
      <c r="AP222" s="52" t="n">
        <v>0</v>
      </c>
      <c r="AQ222" s="53" t="n">
        <v>0</v>
      </c>
      <c r="AR222" s="52" t="n">
        <v>31.98</v>
      </c>
      <c r="AS222" s="51" t="n">
        <v>0</v>
      </c>
      <c r="AT222" s="48" t="n">
        <v>31.98</v>
      </c>
      <c r="AU222" s="49" t="n">
        <v>1</v>
      </c>
      <c r="AV222" s="49" t="n">
        <v>13</v>
      </c>
      <c r="AW222" s="50" t="n">
        <v>0.07692307692307693</v>
      </c>
      <c r="AX222" s="51" t="n">
        <v>0</v>
      </c>
      <c r="AY222" s="52" t="n">
        <v>0</v>
      </c>
      <c r="AZ222" s="52" t="n">
        <v>0</v>
      </c>
      <c r="BA222" s="52" t="n">
        <v>0</v>
      </c>
      <c r="BB222" s="53" t="n">
        <v>0</v>
      </c>
      <c r="BC222" s="52" t="n">
        <v>0</v>
      </c>
      <c r="BD222" s="53" t="n">
        <v>0</v>
      </c>
      <c r="BE222" s="52" t="n">
        <v>31.98</v>
      </c>
      <c r="BF222" s="51" t="n">
        <v>0</v>
      </c>
    </row>
    <row r="223">
      <c r="A223">
        <f>HYPERLINK("https://www.walmart.com/ip/5466618061", "5466618061")</f>
        <v/>
      </c>
      <c r="B223" t="inlineStr">
        <is>
          <t>Tirrinia UV Protection Outdoor Hat Unisex Foldable Neck Flap Mesh Nets with Adjustable Drawstring</t>
        </is>
      </c>
      <c r="C223" t="inlineStr">
        <is>
          <t>1TRSH923CAMO-C</t>
        </is>
      </c>
      <c r="D223" t="inlineStr">
        <is>
          <t>Hats</t>
        </is>
      </c>
      <c r="E223" t="inlineStr">
        <is>
          <t>Tirrinia</t>
        </is>
      </c>
      <c r="G223" s="48" t="n">
        <v>0</v>
      </c>
      <c r="H223" s="49" t="n">
        <v>0</v>
      </c>
      <c r="I223" s="49" t="n">
        <v>0</v>
      </c>
      <c r="J223" s="50" t="n">
        <v>0</v>
      </c>
      <c r="K223" s="51" t="n">
        <v>0</v>
      </c>
      <c r="L223" s="52" t="n">
        <v>0</v>
      </c>
      <c r="M223" s="52" t="n">
        <v>0</v>
      </c>
      <c r="N223" s="52" t="n">
        <v>0</v>
      </c>
      <c r="O223" s="53" t="n">
        <v>0</v>
      </c>
      <c r="P223" s="52" t="n">
        <v>0</v>
      </c>
      <c r="Q223" s="53" t="n">
        <v>0</v>
      </c>
      <c r="R223" s="52" t="n">
        <v>0</v>
      </c>
      <c r="S223" s="51" t="n">
        <v>0</v>
      </c>
      <c r="T223" s="48" t="n">
        <v>0</v>
      </c>
      <c r="U223" s="49" t="n">
        <v>0</v>
      </c>
      <c r="V223" s="49" t="n">
        <v>0</v>
      </c>
      <c r="W223" s="50" t="n">
        <v>0</v>
      </c>
      <c r="X223" s="51" t="n">
        <v>0</v>
      </c>
      <c r="Y223" s="52" t="n">
        <v>0</v>
      </c>
      <c r="Z223" s="52" t="n">
        <v>0</v>
      </c>
      <c r="AA223" s="52" t="n">
        <v>0</v>
      </c>
      <c r="AB223" s="53" t="n">
        <v>0</v>
      </c>
      <c r="AC223" s="52" t="n">
        <v>0</v>
      </c>
      <c r="AD223" s="53" t="n">
        <v>0</v>
      </c>
      <c r="AE223" s="52" t="n">
        <v>0</v>
      </c>
      <c r="AF223" s="51" t="n">
        <v>0</v>
      </c>
      <c r="AG223" s="48" t="n">
        <v>0</v>
      </c>
      <c r="AH223" s="49" t="n">
        <v>0</v>
      </c>
      <c r="AI223" s="49" t="n">
        <v>0</v>
      </c>
      <c r="AJ223" s="50" t="n">
        <v>0</v>
      </c>
      <c r="AK223" s="51" t="n">
        <v>0</v>
      </c>
      <c r="AL223" s="52" t="n">
        <v>0</v>
      </c>
      <c r="AM223" s="52" t="n">
        <v>0</v>
      </c>
      <c r="AN223" s="52" t="n">
        <v>0</v>
      </c>
      <c r="AO223" s="53" t="n">
        <v>0</v>
      </c>
      <c r="AP223" s="52" t="n">
        <v>0</v>
      </c>
      <c r="AQ223" s="53" t="n">
        <v>0</v>
      </c>
      <c r="AR223" s="52" t="n">
        <v>0</v>
      </c>
      <c r="AS223" s="51" t="n">
        <v>0</v>
      </c>
      <c r="AT223" s="48" t="n">
        <v>0</v>
      </c>
      <c r="AU223" s="49" t="n">
        <v>0</v>
      </c>
      <c r="AV223" s="49" t="n">
        <v>0</v>
      </c>
      <c r="AW223" s="50" t="n">
        <v>0</v>
      </c>
      <c r="AX223" s="51" t="n">
        <v>0</v>
      </c>
      <c r="AY223" s="52" t="n">
        <v>0</v>
      </c>
      <c r="AZ223" s="52" t="n">
        <v>0</v>
      </c>
      <c r="BA223" s="52" t="n">
        <v>0</v>
      </c>
      <c r="BB223" s="53" t="n">
        <v>0</v>
      </c>
      <c r="BC223" s="52" t="n">
        <v>0</v>
      </c>
      <c r="BD223" s="53" t="n">
        <v>0</v>
      </c>
      <c r="BE223" s="52" t="n">
        <v>0</v>
      </c>
      <c r="BF223" s="51" t="n">
        <v>0</v>
      </c>
    </row>
    <row r="224">
      <c r="A224">
        <f>HYPERLINK("https://www.walmart.com/ip/549091363", "549091363")</f>
        <v/>
      </c>
      <c r="B224" t="inlineStr">
        <is>
          <t>Tirrinia Insulated Lunch Bag for Women Men, Leakproof Thermal Reusable Lunch Box for Adult, Kids, Student, Lunch Cooler Tote for Office Work, Back to School, Medium, Red</t>
        </is>
      </c>
      <c r="C224" t="inlineStr">
        <is>
          <t>1TRLB701RD-N</t>
        </is>
      </c>
      <c r="D224" t="inlineStr">
        <is>
          <t>Reusable Lunch Bags &amp; Boxes</t>
        </is>
      </c>
      <c r="E224" t="inlineStr">
        <is>
          <t>Tirrinia</t>
        </is>
      </c>
      <c r="F224" t="inlineStr">
        <is>
          <t>Q2-Target,Brand Camp VD,Lunch Bag,WFS,Lunch Bags,SEM,WFS Item</t>
        </is>
      </c>
      <c r="G224" s="48" t="n">
        <v>0</v>
      </c>
      <c r="H224" s="49" t="n">
        <v>0</v>
      </c>
      <c r="I224" s="49" t="n">
        <v>1</v>
      </c>
      <c r="J224" s="50" t="n">
        <v>0</v>
      </c>
      <c r="K224" s="51" t="n">
        <v>0</v>
      </c>
      <c r="L224" s="52" t="n">
        <v>0</v>
      </c>
      <c r="M224" s="52" t="n">
        <v>0</v>
      </c>
      <c r="N224" s="52" t="n">
        <v>0</v>
      </c>
      <c r="O224" s="53" t="n">
        <v>0</v>
      </c>
      <c r="P224" s="52" t="n">
        <v>0</v>
      </c>
      <c r="Q224" s="53" t="n">
        <v>0</v>
      </c>
      <c r="R224" s="52" t="n">
        <v>0</v>
      </c>
      <c r="S224" s="51" t="n">
        <v>0</v>
      </c>
      <c r="T224" s="48" t="n">
        <v>0</v>
      </c>
      <c r="U224" s="49" t="n">
        <v>0</v>
      </c>
      <c r="V224" s="49" t="n">
        <v>6</v>
      </c>
      <c r="W224" s="50" t="n">
        <v>0</v>
      </c>
      <c r="X224" s="51" t="n">
        <v>0</v>
      </c>
      <c r="Y224" s="52" t="n">
        <v>0</v>
      </c>
      <c r="Z224" s="52" t="n">
        <v>0</v>
      </c>
      <c r="AA224" s="52" t="n">
        <v>0</v>
      </c>
      <c r="AB224" s="53" t="n">
        <v>0</v>
      </c>
      <c r="AC224" s="52" t="n">
        <v>0</v>
      </c>
      <c r="AD224" s="53" t="n">
        <v>0</v>
      </c>
      <c r="AE224" s="52" t="n">
        <v>0</v>
      </c>
      <c r="AF224" s="51" t="n">
        <v>0</v>
      </c>
      <c r="AG224" s="48" t="n">
        <v>0</v>
      </c>
      <c r="AH224" s="49" t="n">
        <v>0</v>
      </c>
      <c r="AI224" s="49" t="n">
        <v>5</v>
      </c>
      <c r="AJ224" s="50" t="n">
        <v>0</v>
      </c>
      <c r="AK224" s="51" t="n">
        <v>0</v>
      </c>
      <c r="AL224" s="52" t="n">
        <v>0</v>
      </c>
      <c r="AM224" s="52" t="n">
        <v>0</v>
      </c>
      <c r="AN224" s="52" t="n">
        <v>0</v>
      </c>
      <c r="AO224" s="53" t="n">
        <v>0</v>
      </c>
      <c r="AP224" s="52" t="n">
        <v>0</v>
      </c>
      <c r="AQ224" s="53" t="n">
        <v>0</v>
      </c>
      <c r="AR224" s="52" t="n">
        <v>0</v>
      </c>
      <c r="AS224" s="51" t="n">
        <v>0</v>
      </c>
      <c r="AT224" s="48" t="n">
        <v>0</v>
      </c>
      <c r="AU224" s="49" t="n">
        <v>0</v>
      </c>
      <c r="AV224" s="49" t="n">
        <v>14</v>
      </c>
      <c r="AW224" s="50" t="n">
        <v>0</v>
      </c>
      <c r="AX224" s="51" t="n">
        <v>0</v>
      </c>
      <c r="AY224" s="52" t="n">
        <v>0</v>
      </c>
      <c r="AZ224" s="52" t="n">
        <v>0</v>
      </c>
      <c r="BA224" s="52" t="n">
        <v>0</v>
      </c>
      <c r="BB224" s="53" t="n">
        <v>0</v>
      </c>
      <c r="BC224" s="52" t="n">
        <v>0</v>
      </c>
      <c r="BD224" s="53" t="n">
        <v>0</v>
      </c>
      <c r="BE224" s="52" t="n">
        <v>0</v>
      </c>
      <c r="BF224" s="51" t="n">
        <v>0</v>
      </c>
    </row>
    <row r="225">
      <c r="A225">
        <f>HYPERLINK("https://www.walmart.com/ip/623777316", "623777316")</f>
        <v/>
      </c>
      <c r="B225" t="inlineStr">
        <is>
          <t>Pawsse Water Resistant Dog Blanket, Premium Pet Puppy Cat Sherpa Throws Cushion Mat for Car Seat Furniture Protector Cover Large 80” x 60” Brown</t>
        </is>
      </c>
      <c r="C225" t="inlineStr">
        <is>
          <t>1PSBW681BNTP</t>
        </is>
      </c>
      <c r="D225" t="inlineStr">
        <is>
          <t>Pet Blankets</t>
        </is>
      </c>
      <c r="E225" t="inlineStr">
        <is>
          <t>Pawsse</t>
        </is>
      </c>
      <c r="F225" t="inlineStr">
        <is>
          <t>Q2-Target,Batch 1 - TR</t>
        </is>
      </c>
      <c r="G225" s="48" t="n">
        <v>0</v>
      </c>
      <c r="H225" s="49" t="n">
        <v>0</v>
      </c>
      <c r="I225" s="49" t="n">
        <v>0</v>
      </c>
      <c r="J225" s="50" t="n">
        <v>0</v>
      </c>
      <c r="K225" s="51" t="n">
        <v>3</v>
      </c>
      <c r="L225" s="52" t="n">
        <v>1.33</v>
      </c>
      <c r="M225" s="52" t="n">
        <v>0</v>
      </c>
      <c r="N225" s="52" t="n">
        <v>0</v>
      </c>
      <c r="O225" s="53" t="n">
        <v>0.0022</v>
      </c>
      <c r="P225" s="52" t="n">
        <v>0.4433333333333334</v>
      </c>
      <c r="Q225" s="53" t="n">
        <v>0</v>
      </c>
      <c r="R225" s="52" t="n">
        <v>0</v>
      </c>
      <c r="S225" s="51" t="n">
        <v>1375</v>
      </c>
      <c r="T225" s="48" t="n">
        <v>0</v>
      </c>
      <c r="U225" s="49" t="n">
        <v>0</v>
      </c>
      <c r="V225" s="49" t="n">
        <v>0</v>
      </c>
      <c r="W225" s="50" t="n">
        <v>0</v>
      </c>
      <c r="X225" s="51" t="n">
        <v>3</v>
      </c>
      <c r="Y225" s="52" t="n">
        <v>1.18</v>
      </c>
      <c r="Z225" s="52" t="n">
        <v>0</v>
      </c>
      <c r="AA225" s="52" t="n">
        <v>0</v>
      </c>
      <c r="AB225" s="53" t="n">
        <v>0.0016</v>
      </c>
      <c r="AC225" s="52" t="n">
        <v>0.3933333333333334</v>
      </c>
      <c r="AD225" s="53" t="n">
        <v>0</v>
      </c>
      <c r="AE225" s="52" t="n">
        <v>0</v>
      </c>
      <c r="AF225" s="51" t="n">
        <v>1903</v>
      </c>
      <c r="AG225" s="48" t="n">
        <v>0</v>
      </c>
      <c r="AH225" s="49" t="n">
        <v>0</v>
      </c>
      <c r="AI225" s="49" t="n">
        <v>0</v>
      </c>
      <c r="AJ225" s="50" t="n">
        <v>0</v>
      </c>
      <c r="AK225" s="51" t="n">
        <v>1</v>
      </c>
      <c r="AL225" s="52" t="n">
        <v>0.41</v>
      </c>
      <c r="AM225" s="52" t="n">
        <v>0</v>
      </c>
      <c r="AN225" s="52" t="n">
        <v>0</v>
      </c>
      <c r="AO225" s="53" t="n">
        <v>0.0007</v>
      </c>
      <c r="AP225" s="52" t="n">
        <v>0.41</v>
      </c>
      <c r="AQ225" s="53" t="n">
        <v>0</v>
      </c>
      <c r="AR225" s="52" t="n">
        <v>0</v>
      </c>
      <c r="AS225" s="51" t="n">
        <v>1432</v>
      </c>
      <c r="AT225" s="48" t="n">
        <v>36.99</v>
      </c>
      <c r="AU225" s="49" t="n">
        <v>1</v>
      </c>
      <c r="AV225" s="49" t="n">
        <v>0</v>
      </c>
      <c r="AW225" s="50" t="n">
        <v>0</v>
      </c>
      <c r="AX225" s="51" t="n">
        <v>4</v>
      </c>
      <c r="AY225" s="52" t="n">
        <v>1.73</v>
      </c>
      <c r="AZ225" s="52" t="n">
        <v>0</v>
      </c>
      <c r="BA225" s="52" t="n">
        <v>0</v>
      </c>
      <c r="BB225" s="53" t="n">
        <v>0.0038</v>
      </c>
      <c r="BC225" s="52" t="n">
        <v>0.4325</v>
      </c>
      <c r="BD225" s="53" t="n">
        <v>0.04676939713436064</v>
      </c>
      <c r="BE225" s="52" t="n">
        <v>36.99</v>
      </c>
      <c r="BF225" s="51" t="n">
        <v>1051</v>
      </c>
    </row>
    <row r="226">
      <c r="A226">
        <f>HYPERLINK("https://www.walmart.com/ip/620836851", "620836851")</f>
        <v/>
      </c>
      <c r="B226" t="inlineStr">
        <is>
          <t>Flyingstar Insulated Lunch Bag for Women Men, Leakproof Thermal Reusable Lunch Box Tote for Adult &amp; Kids Lunch Cooler for Office Work, Red</t>
        </is>
      </c>
      <c r="C226" t="inlineStr">
        <is>
          <t>1WMLB701P1RD</t>
        </is>
      </c>
      <c r="D226" t="inlineStr">
        <is>
          <t>Reusable Lunch Bags &amp; Boxes</t>
        </is>
      </c>
      <c r="E226" t="inlineStr">
        <is>
          <t>Flyingstar</t>
        </is>
      </c>
      <c r="F226" t="inlineStr">
        <is>
          <t>Q2-Target,Lunch Bag,Lunch Bags</t>
        </is>
      </c>
      <c r="G226" s="48" t="n">
        <v>0</v>
      </c>
      <c r="H226" s="49" t="n">
        <v>0</v>
      </c>
      <c r="I226" s="49" t="n">
        <v>0</v>
      </c>
      <c r="J226" s="50" t="n">
        <v>0</v>
      </c>
      <c r="K226" s="51" t="n">
        <v>0</v>
      </c>
      <c r="L226" s="52" t="n">
        <v>0</v>
      </c>
      <c r="M226" s="52" t="n">
        <v>0</v>
      </c>
      <c r="N226" s="52" t="n">
        <v>0</v>
      </c>
      <c r="O226" s="53" t="n">
        <v>0</v>
      </c>
      <c r="P226" s="52" t="n">
        <v>0</v>
      </c>
      <c r="Q226" s="53" t="n">
        <v>0</v>
      </c>
      <c r="R226" s="52" t="n">
        <v>0</v>
      </c>
      <c r="S226" s="51" t="n">
        <v>0</v>
      </c>
      <c r="T226" s="48" t="n">
        <v>0</v>
      </c>
      <c r="U226" s="49" t="n">
        <v>0</v>
      </c>
      <c r="V226" s="49" t="n">
        <v>0</v>
      </c>
      <c r="W226" s="50" t="n">
        <v>0</v>
      </c>
      <c r="X226" s="51" t="n">
        <v>0</v>
      </c>
      <c r="Y226" s="52" t="n">
        <v>0</v>
      </c>
      <c r="Z226" s="52" t="n">
        <v>0</v>
      </c>
      <c r="AA226" s="52" t="n">
        <v>0</v>
      </c>
      <c r="AB226" s="53" t="n">
        <v>0</v>
      </c>
      <c r="AC226" s="52" t="n">
        <v>0</v>
      </c>
      <c r="AD226" s="53" t="n">
        <v>0</v>
      </c>
      <c r="AE226" s="52" t="n">
        <v>0</v>
      </c>
      <c r="AF226" s="51" t="n">
        <v>0</v>
      </c>
      <c r="AG226" s="48" t="n">
        <v>0</v>
      </c>
      <c r="AH226" s="49" t="n">
        <v>0</v>
      </c>
      <c r="AI226" s="49" t="n">
        <v>0</v>
      </c>
      <c r="AJ226" s="50" t="n">
        <v>0</v>
      </c>
      <c r="AK226" s="51" t="n">
        <v>0</v>
      </c>
      <c r="AL226" s="52" t="n">
        <v>0</v>
      </c>
      <c r="AM226" s="52" t="n">
        <v>0</v>
      </c>
      <c r="AN226" s="52" t="n">
        <v>0</v>
      </c>
      <c r="AO226" s="53" t="n">
        <v>0</v>
      </c>
      <c r="AP226" s="52" t="n">
        <v>0</v>
      </c>
      <c r="AQ226" s="53" t="n">
        <v>0</v>
      </c>
      <c r="AR226" s="52" t="n">
        <v>0</v>
      </c>
      <c r="AS226" s="51" t="n">
        <v>0</v>
      </c>
      <c r="AT226" s="48" t="n">
        <v>0</v>
      </c>
      <c r="AU226" s="49" t="n">
        <v>0</v>
      </c>
      <c r="AV226" s="49" t="n">
        <v>0</v>
      </c>
      <c r="AW226" s="50" t="n">
        <v>0</v>
      </c>
      <c r="AX226" s="51" t="n">
        <v>0</v>
      </c>
      <c r="AY226" s="52" t="n">
        <v>0</v>
      </c>
      <c r="AZ226" s="52" t="n">
        <v>0</v>
      </c>
      <c r="BA226" s="52" t="n">
        <v>0</v>
      </c>
      <c r="BB226" s="53" t="n">
        <v>0</v>
      </c>
      <c r="BC226" s="52" t="n">
        <v>0</v>
      </c>
      <c r="BD226" s="53" t="n">
        <v>0</v>
      </c>
      <c r="BE226" s="52" t="n">
        <v>0</v>
      </c>
      <c r="BF226" s="51" t="n">
        <v>0</v>
      </c>
    </row>
    <row r="227">
      <c r="A227">
        <f>HYPERLINK("https://www.walmart.com/ip/537851876", "537851876")</f>
        <v/>
      </c>
      <c r="B227" t="inlineStr">
        <is>
          <t>Catalonia Long Kinky Curly Lace Front Wigs,L Part Heat Resistance Synthetic Brazilian Hair Wig for African American Black Women 20"</t>
        </is>
      </c>
      <c r="C227" t="inlineStr">
        <is>
          <t>1CTWIG941-1B-ESCB</t>
        </is>
      </c>
      <c r="D227" t="inlineStr">
        <is>
          <t>Wigs &amp; Toupees</t>
        </is>
      </c>
      <c r="E227" t="inlineStr">
        <is>
          <t>Catalonia</t>
        </is>
      </c>
      <c r="G227" s="48" t="n">
        <v>0</v>
      </c>
      <c r="H227" s="49" t="n">
        <v>0</v>
      </c>
      <c r="I227" s="49" t="n">
        <v>0</v>
      </c>
      <c r="J227" s="50" t="n">
        <v>0</v>
      </c>
      <c r="K227" s="51" t="n">
        <v>0</v>
      </c>
      <c r="L227" s="52" t="n">
        <v>0</v>
      </c>
      <c r="M227" s="52" t="n">
        <v>0</v>
      </c>
      <c r="N227" s="52" t="n">
        <v>0</v>
      </c>
      <c r="O227" s="53" t="n">
        <v>0</v>
      </c>
      <c r="P227" s="52" t="n">
        <v>0</v>
      </c>
      <c r="Q227" s="53" t="n">
        <v>0</v>
      </c>
      <c r="R227" s="52" t="n">
        <v>0</v>
      </c>
      <c r="S227" s="51" t="n">
        <v>0</v>
      </c>
      <c r="T227" s="48" t="n">
        <v>0</v>
      </c>
      <c r="U227" s="49" t="n">
        <v>0</v>
      </c>
      <c r="V227" s="49" t="n">
        <v>0</v>
      </c>
      <c r="W227" s="50" t="n">
        <v>0</v>
      </c>
      <c r="X227" s="51" t="n">
        <v>0</v>
      </c>
      <c r="Y227" s="52" t="n">
        <v>0</v>
      </c>
      <c r="Z227" s="52" t="n">
        <v>0</v>
      </c>
      <c r="AA227" s="52" t="n">
        <v>0</v>
      </c>
      <c r="AB227" s="53" t="n">
        <v>0</v>
      </c>
      <c r="AC227" s="52" t="n">
        <v>0</v>
      </c>
      <c r="AD227" s="53" t="n">
        <v>0</v>
      </c>
      <c r="AE227" s="52" t="n">
        <v>0</v>
      </c>
      <c r="AF227" s="51" t="n">
        <v>0</v>
      </c>
      <c r="AG227" s="48" t="n">
        <v>0</v>
      </c>
      <c r="AH227" s="49" t="n">
        <v>0</v>
      </c>
      <c r="AI227" s="49" t="n">
        <v>0</v>
      </c>
      <c r="AJ227" s="50" t="n">
        <v>0</v>
      </c>
      <c r="AK227" s="51" t="n">
        <v>0</v>
      </c>
      <c r="AL227" s="52" t="n">
        <v>0</v>
      </c>
      <c r="AM227" s="52" t="n">
        <v>0</v>
      </c>
      <c r="AN227" s="52" t="n">
        <v>0</v>
      </c>
      <c r="AO227" s="53" t="n">
        <v>0</v>
      </c>
      <c r="AP227" s="52" t="n">
        <v>0</v>
      </c>
      <c r="AQ227" s="53" t="n">
        <v>0</v>
      </c>
      <c r="AR227" s="52" t="n">
        <v>0</v>
      </c>
      <c r="AS227" s="51" t="n">
        <v>0</v>
      </c>
      <c r="AT227" s="48" t="n">
        <v>0</v>
      </c>
      <c r="AU227" s="49" t="n">
        <v>0</v>
      </c>
      <c r="AV227" s="49" t="n">
        <v>0</v>
      </c>
      <c r="AW227" s="50" t="n">
        <v>0</v>
      </c>
      <c r="AX227" s="51" t="n">
        <v>0</v>
      </c>
      <c r="AY227" s="52" t="n">
        <v>0</v>
      </c>
      <c r="AZ227" s="52" t="n">
        <v>0</v>
      </c>
      <c r="BA227" s="52" t="n">
        <v>0</v>
      </c>
      <c r="BB227" s="53" t="n">
        <v>0</v>
      </c>
      <c r="BC227" s="52" t="n">
        <v>0</v>
      </c>
      <c r="BD227" s="53" t="n">
        <v>0</v>
      </c>
      <c r="BE227" s="52" t="n">
        <v>0</v>
      </c>
      <c r="BF227" s="51" t="n">
        <v>0</v>
      </c>
    </row>
    <row r="228">
      <c r="A228">
        <f>HYPERLINK("https://www.walmart.com/ip/537782764", "537782764")</f>
        <v/>
      </c>
      <c r="B228" t="inlineStr">
        <is>
          <t>Tirrinia Super Soft Fluffy Sherpa Christmas Throw Blanket, 50" x 60", Snow Man Pattern, Grey</t>
        </is>
      </c>
      <c r="C228" t="inlineStr">
        <is>
          <t>1TRBF571SM-TBCB</t>
        </is>
      </c>
      <c r="D228" t="inlineStr">
        <is>
          <t>Throws</t>
        </is>
      </c>
      <c r="E228" t="inlineStr">
        <is>
          <t>Tirrinia</t>
        </is>
      </c>
      <c r="F228" t="inlineStr">
        <is>
          <t>Christmas,Optimized</t>
        </is>
      </c>
      <c r="G228" s="48" t="n">
        <v>0</v>
      </c>
      <c r="H228" s="49" t="n">
        <v>0</v>
      </c>
      <c r="I228" s="49" t="n">
        <v>0</v>
      </c>
      <c r="J228" s="50" t="n">
        <v>0</v>
      </c>
      <c r="K228" s="51" t="n">
        <v>0</v>
      </c>
      <c r="L228" s="52" t="n">
        <v>0</v>
      </c>
      <c r="M228" s="52" t="n">
        <v>0</v>
      </c>
      <c r="N228" s="52" t="n">
        <v>0</v>
      </c>
      <c r="O228" s="53" t="n">
        <v>0</v>
      </c>
      <c r="P228" s="52" t="n">
        <v>0</v>
      </c>
      <c r="Q228" s="53" t="n">
        <v>0</v>
      </c>
      <c r="R228" s="52" t="n">
        <v>0</v>
      </c>
      <c r="S228" s="51" t="n">
        <v>0</v>
      </c>
      <c r="T228" s="48" t="n">
        <v>0</v>
      </c>
      <c r="U228" s="49" t="n">
        <v>0</v>
      </c>
      <c r="V228" s="49" t="n">
        <v>0</v>
      </c>
      <c r="W228" s="50" t="n">
        <v>0</v>
      </c>
      <c r="X228" s="51" t="n">
        <v>0</v>
      </c>
      <c r="Y228" s="52" t="n">
        <v>0</v>
      </c>
      <c r="Z228" s="52" t="n">
        <v>0</v>
      </c>
      <c r="AA228" s="52" t="n">
        <v>0</v>
      </c>
      <c r="AB228" s="53" t="n">
        <v>0</v>
      </c>
      <c r="AC228" s="52" t="n">
        <v>0</v>
      </c>
      <c r="AD228" s="53" t="n">
        <v>0</v>
      </c>
      <c r="AE228" s="52" t="n">
        <v>0</v>
      </c>
      <c r="AF228" s="51" t="n">
        <v>0</v>
      </c>
      <c r="AG228" s="48" t="n">
        <v>0</v>
      </c>
      <c r="AH228" s="49" t="n">
        <v>0</v>
      </c>
      <c r="AI228" s="49" t="n">
        <v>0</v>
      </c>
      <c r="AJ228" s="50" t="n">
        <v>0</v>
      </c>
      <c r="AK228" s="51" t="n">
        <v>0</v>
      </c>
      <c r="AL228" s="52" t="n">
        <v>0</v>
      </c>
      <c r="AM228" s="52" t="n">
        <v>0</v>
      </c>
      <c r="AN228" s="52" t="n">
        <v>0</v>
      </c>
      <c r="AO228" s="53" t="n">
        <v>0</v>
      </c>
      <c r="AP228" s="52" t="n">
        <v>0</v>
      </c>
      <c r="AQ228" s="53" t="n">
        <v>0</v>
      </c>
      <c r="AR228" s="52" t="n">
        <v>0</v>
      </c>
      <c r="AS228" s="51" t="n">
        <v>0</v>
      </c>
      <c r="AT228" s="48" t="n">
        <v>0</v>
      </c>
      <c r="AU228" s="49" t="n">
        <v>0</v>
      </c>
      <c r="AV228" s="49" t="n">
        <v>0</v>
      </c>
      <c r="AW228" s="50" t="n">
        <v>0</v>
      </c>
      <c r="AX228" s="51" t="n">
        <v>0</v>
      </c>
      <c r="AY228" s="52" t="n">
        <v>0</v>
      </c>
      <c r="AZ228" s="52" t="n">
        <v>0</v>
      </c>
      <c r="BA228" s="52" t="n">
        <v>0</v>
      </c>
      <c r="BB228" s="53" t="n">
        <v>0</v>
      </c>
      <c r="BC228" s="52" t="n">
        <v>0</v>
      </c>
      <c r="BD228" s="53" t="n">
        <v>0</v>
      </c>
      <c r="BE228" s="52" t="n">
        <v>0</v>
      </c>
      <c r="BF228" s="51" t="n">
        <v>0</v>
      </c>
    </row>
    <row r="229">
      <c r="A229">
        <f>HYPERLINK("https://www.walmart.com/ip/537700757", "537700757")</f>
        <v/>
      </c>
      <c r="B229" t="inlineStr">
        <is>
          <t>Bucket Sun Hat Cute Cap for Women Fashion Fold-up Brim Packable Summer Beach by Solaris</t>
        </is>
      </c>
      <c r="C229" t="inlineStr">
        <is>
          <t>1SLSH189CM</t>
        </is>
      </c>
      <c r="D229" t="inlineStr">
        <is>
          <t>Hats</t>
        </is>
      </c>
      <c r="E229" t="inlineStr">
        <is>
          <t>Solaris</t>
        </is>
      </c>
      <c r="F229" t="inlineStr">
        <is>
          <t>Hats,Batch 1 - TR</t>
        </is>
      </c>
      <c r="G229" s="48" t="n">
        <v>0</v>
      </c>
      <c r="H229" s="49" t="n">
        <v>0</v>
      </c>
      <c r="I229" s="49" t="n">
        <v>0</v>
      </c>
      <c r="J229" s="50" t="n">
        <v>0</v>
      </c>
      <c r="K229" s="51" t="n">
        <v>0</v>
      </c>
      <c r="L229" s="52" t="n">
        <v>0</v>
      </c>
      <c r="M229" s="52" t="n">
        <v>0</v>
      </c>
      <c r="N229" s="52" t="n">
        <v>0</v>
      </c>
      <c r="O229" s="53" t="n">
        <v>0</v>
      </c>
      <c r="P229" s="52" t="n">
        <v>0</v>
      </c>
      <c r="Q229" s="53" t="n">
        <v>0</v>
      </c>
      <c r="R229" s="52" t="n">
        <v>0</v>
      </c>
      <c r="S229" s="51" t="n">
        <v>0</v>
      </c>
      <c r="T229" s="48" t="n">
        <v>0</v>
      </c>
      <c r="U229" s="49" t="n">
        <v>0</v>
      </c>
      <c r="V229" s="49" t="n">
        <v>0</v>
      </c>
      <c r="W229" s="50" t="n">
        <v>0</v>
      </c>
      <c r="X229" s="51" t="n">
        <v>0</v>
      </c>
      <c r="Y229" s="52" t="n">
        <v>0</v>
      </c>
      <c r="Z229" s="52" t="n">
        <v>0</v>
      </c>
      <c r="AA229" s="52" t="n">
        <v>0</v>
      </c>
      <c r="AB229" s="53" t="n">
        <v>0</v>
      </c>
      <c r="AC229" s="52" t="n">
        <v>0</v>
      </c>
      <c r="AD229" s="53" t="n">
        <v>0</v>
      </c>
      <c r="AE229" s="52" t="n">
        <v>0</v>
      </c>
      <c r="AF229" s="51" t="n">
        <v>0</v>
      </c>
      <c r="AG229" s="48" t="n">
        <v>0</v>
      </c>
      <c r="AH229" s="49" t="n">
        <v>0</v>
      </c>
      <c r="AI229" s="49" t="n">
        <v>0</v>
      </c>
      <c r="AJ229" s="50" t="n">
        <v>0</v>
      </c>
      <c r="AK229" s="51" t="n">
        <v>0</v>
      </c>
      <c r="AL229" s="52" t="n">
        <v>0</v>
      </c>
      <c r="AM229" s="52" t="n">
        <v>0</v>
      </c>
      <c r="AN229" s="52" t="n">
        <v>0</v>
      </c>
      <c r="AO229" s="53" t="n">
        <v>0</v>
      </c>
      <c r="AP229" s="52" t="n">
        <v>0</v>
      </c>
      <c r="AQ229" s="53" t="n">
        <v>0</v>
      </c>
      <c r="AR229" s="52" t="n">
        <v>0</v>
      </c>
      <c r="AS229" s="51" t="n">
        <v>0</v>
      </c>
      <c r="AT229" s="48" t="n">
        <v>0</v>
      </c>
      <c r="AU229" s="49" t="n">
        <v>0</v>
      </c>
      <c r="AV229" s="49" t="n">
        <v>0</v>
      </c>
      <c r="AW229" s="50" t="n">
        <v>0</v>
      </c>
      <c r="AX229" s="51" t="n">
        <v>0</v>
      </c>
      <c r="AY229" s="52" t="n">
        <v>0</v>
      </c>
      <c r="AZ229" s="52" t="n">
        <v>0</v>
      </c>
      <c r="BA229" s="52" t="n">
        <v>0</v>
      </c>
      <c r="BB229" s="53" t="n">
        <v>0</v>
      </c>
      <c r="BC229" s="52" t="n">
        <v>0</v>
      </c>
      <c r="BD229" s="53" t="n">
        <v>0</v>
      </c>
      <c r="BE229" s="52" t="n">
        <v>0</v>
      </c>
      <c r="BF229" s="51" t="n">
        <v>0</v>
      </c>
    </row>
    <row r="230">
      <c r="A230">
        <f>HYPERLINK("https://www.walmart.com/ip/5376149814", "5376149814")</f>
        <v/>
      </c>
      <c r="B230" t="inlineStr">
        <is>
          <t>Tirrinia Golf Cooler Bag - Golf Accessories Small 5 Cans Insulated Cooler Sleeve with Storage Pocket</t>
        </is>
      </c>
      <c r="C230" t="inlineStr">
        <is>
          <t>1TRCB00205GY</t>
        </is>
      </c>
      <c r="D230" t="inlineStr">
        <is>
          <t>Thermocoolers</t>
        </is>
      </c>
      <c r="E230" t="inlineStr">
        <is>
          <t>Tirrinia</t>
        </is>
      </c>
      <c r="G230" s="48" t="n">
        <v>0</v>
      </c>
      <c r="H230" s="49" t="n">
        <v>0</v>
      </c>
      <c r="I230" s="49" t="n">
        <v>0</v>
      </c>
      <c r="J230" s="50" t="n">
        <v>0</v>
      </c>
      <c r="K230" s="51" t="n">
        <v>0</v>
      </c>
      <c r="L230" s="52" t="n">
        <v>0</v>
      </c>
      <c r="M230" s="52" t="n">
        <v>0</v>
      </c>
      <c r="N230" s="52" t="n">
        <v>0</v>
      </c>
      <c r="O230" s="53" t="n">
        <v>0</v>
      </c>
      <c r="P230" s="52" t="n">
        <v>0</v>
      </c>
      <c r="Q230" s="53" t="n">
        <v>0</v>
      </c>
      <c r="R230" s="52" t="n">
        <v>0</v>
      </c>
      <c r="S230" s="51" t="n">
        <v>0</v>
      </c>
      <c r="T230" s="48" t="n">
        <v>0</v>
      </c>
      <c r="U230" s="49" t="n">
        <v>0</v>
      </c>
      <c r="V230" s="49" t="n">
        <v>0</v>
      </c>
      <c r="W230" s="50" t="n">
        <v>0</v>
      </c>
      <c r="X230" s="51" t="n">
        <v>0</v>
      </c>
      <c r="Y230" s="52" t="n">
        <v>0</v>
      </c>
      <c r="Z230" s="52" t="n">
        <v>0</v>
      </c>
      <c r="AA230" s="52" t="n">
        <v>0</v>
      </c>
      <c r="AB230" s="53" t="n">
        <v>0</v>
      </c>
      <c r="AC230" s="52" t="n">
        <v>0</v>
      </c>
      <c r="AD230" s="53" t="n">
        <v>0</v>
      </c>
      <c r="AE230" s="52" t="n">
        <v>0</v>
      </c>
      <c r="AF230" s="51" t="n">
        <v>0</v>
      </c>
      <c r="AG230" s="48" t="n">
        <v>0</v>
      </c>
      <c r="AH230" s="49" t="n">
        <v>0</v>
      </c>
      <c r="AI230" s="49" t="n">
        <v>0</v>
      </c>
      <c r="AJ230" s="50" t="n">
        <v>0</v>
      </c>
      <c r="AK230" s="51" t="n">
        <v>0</v>
      </c>
      <c r="AL230" s="52" t="n">
        <v>0</v>
      </c>
      <c r="AM230" s="52" t="n">
        <v>0</v>
      </c>
      <c r="AN230" s="52" t="n">
        <v>0</v>
      </c>
      <c r="AO230" s="53" t="n">
        <v>0</v>
      </c>
      <c r="AP230" s="52" t="n">
        <v>0</v>
      </c>
      <c r="AQ230" s="53" t="n">
        <v>0</v>
      </c>
      <c r="AR230" s="52" t="n">
        <v>0</v>
      </c>
      <c r="AS230" s="51" t="n">
        <v>0</v>
      </c>
      <c r="AT230" s="48" t="n">
        <v>0</v>
      </c>
      <c r="AU230" s="49" t="n">
        <v>0</v>
      </c>
      <c r="AV230" s="49" t="n">
        <v>0</v>
      </c>
      <c r="AW230" s="50" t="n">
        <v>0</v>
      </c>
      <c r="AX230" s="51" t="n">
        <v>0</v>
      </c>
      <c r="AY230" s="52" t="n">
        <v>0</v>
      </c>
      <c r="AZ230" s="52" t="n">
        <v>0</v>
      </c>
      <c r="BA230" s="52" t="n">
        <v>0</v>
      </c>
      <c r="BB230" s="53" t="n">
        <v>0</v>
      </c>
      <c r="BC230" s="52" t="n">
        <v>0</v>
      </c>
      <c r="BD230" s="53" t="n">
        <v>0</v>
      </c>
      <c r="BE230" s="52" t="n">
        <v>0</v>
      </c>
      <c r="BF230" s="51" t="n">
        <v>0</v>
      </c>
    </row>
    <row r="231">
      <c r="A231">
        <f>HYPERLINK("https://www.walmart.com/ip/621860932", "621860932")</f>
        <v/>
      </c>
      <c r="B231" t="inlineStr">
        <is>
          <t>Sun Blocker Sun Hat women Canvas Reversible Bucket Hat UV Sun Protection UPF 50+ Double Sided Outdoor Safari Travel Beach Golf Cap, Floral Blue</t>
        </is>
      </c>
      <c r="C231" t="inlineStr">
        <is>
          <t>KC-S9200FLW-BL</t>
        </is>
      </c>
      <c r="D231" t="inlineStr">
        <is>
          <t>Hats</t>
        </is>
      </c>
      <c r="E231" t="inlineStr">
        <is>
          <t>Sun Blocker</t>
        </is>
      </c>
      <c r="F231" t="inlineStr">
        <is>
          <t>Batch 1 - TR</t>
        </is>
      </c>
      <c r="G231" s="48" t="n">
        <v>0</v>
      </c>
      <c r="H231" s="49" t="n">
        <v>0</v>
      </c>
      <c r="I231" s="49" t="n">
        <v>0</v>
      </c>
      <c r="J231" s="50" t="n">
        <v>0</v>
      </c>
      <c r="K231" s="51" t="n">
        <v>0</v>
      </c>
      <c r="L231" s="52" t="n">
        <v>0</v>
      </c>
      <c r="M231" s="52" t="n">
        <v>0</v>
      </c>
      <c r="N231" s="52" t="n">
        <v>0</v>
      </c>
      <c r="O231" s="53" t="n">
        <v>0</v>
      </c>
      <c r="P231" s="52" t="n">
        <v>0</v>
      </c>
      <c r="Q231" s="53" t="n">
        <v>0</v>
      </c>
      <c r="R231" s="52" t="n">
        <v>0</v>
      </c>
      <c r="S231" s="51" t="n">
        <v>0</v>
      </c>
      <c r="T231" s="48" t="n">
        <v>0</v>
      </c>
      <c r="U231" s="49" t="n">
        <v>0</v>
      </c>
      <c r="V231" s="49" t="n">
        <v>0</v>
      </c>
      <c r="W231" s="50" t="n">
        <v>0</v>
      </c>
      <c r="X231" s="51" t="n">
        <v>0</v>
      </c>
      <c r="Y231" s="52" t="n">
        <v>0</v>
      </c>
      <c r="Z231" s="52" t="n">
        <v>0</v>
      </c>
      <c r="AA231" s="52" t="n">
        <v>0</v>
      </c>
      <c r="AB231" s="53" t="n">
        <v>0</v>
      </c>
      <c r="AC231" s="52" t="n">
        <v>0</v>
      </c>
      <c r="AD231" s="53" t="n">
        <v>0</v>
      </c>
      <c r="AE231" s="52" t="n">
        <v>0</v>
      </c>
      <c r="AF231" s="51" t="n">
        <v>0</v>
      </c>
      <c r="AG231" s="48" t="n">
        <v>9.99</v>
      </c>
      <c r="AH231" s="49" t="n">
        <v>1</v>
      </c>
      <c r="AI231" s="49" t="n">
        <v>4</v>
      </c>
      <c r="AJ231" s="50" t="n">
        <v>0.25</v>
      </c>
      <c r="AK231" s="51" t="n">
        <v>0</v>
      </c>
      <c r="AL231" s="52" t="n">
        <v>0</v>
      </c>
      <c r="AM231" s="52" t="n">
        <v>0</v>
      </c>
      <c r="AN231" s="52" t="n">
        <v>0</v>
      </c>
      <c r="AO231" s="53" t="n">
        <v>0</v>
      </c>
      <c r="AP231" s="52" t="n">
        <v>0</v>
      </c>
      <c r="AQ231" s="53" t="n">
        <v>0</v>
      </c>
      <c r="AR231" s="52" t="n">
        <v>9.99</v>
      </c>
      <c r="AS231" s="51" t="n">
        <v>0</v>
      </c>
      <c r="AT231" s="48" t="n">
        <v>0</v>
      </c>
      <c r="AU231" s="49" t="n">
        <v>0</v>
      </c>
      <c r="AV231" s="49" t="n">
        <v>1</v>
      </c>
      <c r="AW231" s="50" t="n">
        <v>0</v>
      </c>
      <c r="AX231" s="51" t="n">
        <v>0</v>
      </c>
      <c r="AY231" s="52" t="n">
        <v>0</v>
      </c>
      <c r="AZ231" s="52" t="n">
        <v>0</v>
      </c>
      <c r="BA231" s="52" t="n">
        <v>0</v>
      </c>
      <c r="BB231" s="53" t="n">
        <v>0</v>
      </c>
      <c r="BC231" s="52" t="n">
        <v>0</v>
      </c>
      <c r="BD231" s="53" t="n">
        <v>0</v>
      </c>
      <c r="BE231" s="52" t="n">
        <v>0</v>
      </c>
      <c r="BF231" s="51" t="n">
        <v>0</v>
      </c>
    </row>
    <row r="232">
      <c r="A232">
        <f>HYPERLINK("https://www.walmart.com/ip/621862689", "621862689")</f>
        <v/>
      </c>
      <c r="B232" t="inlineStr">
        <is>
          <t>Catalonia Plaid Sherpa Throw Blanket 50" x 60", for Couch and Bed, Super Soft Reversible, Comfy Caring Gift</t>
        </is>
      </c>
      <c r="C232" t="inlineStr">
        <is>
          <t>1CTBF565PPK</t>
        </is>
      </c>
      <c r="D232" t="inlineStr">
        <is>
          <t>Throws</t>
        </is>
      </c>
      <c r="E232" t="inlineStr">
        <is>
          <t>Catalonia</t>
        </is>
      </c>
      <c r="F232" t="inlineStr">
        <is>
          <t>Optimized,WFS,Coupon_Discount,WFS Item</t>
        </is>
      </c>
      <c r="G232" s="48" t="n">
        <v>0</v>
      </c>
      <c r="H232" s="49" t="n">
        <v>0</v>
      </c>
      <c r="I232" s="49" t="n">
        <v>0</v>
      </c>
      <c r="J232" s="50" t="n">
        <v>0</v>
      </c>
      <c r="K232" s="51" t="n">
        <v>0</v>
      </c>
      <c r="L232" s="52" t="n">
        <v>0</v>
      </c>
      <c r="M232" s="52" t="n">
        <v>0</v>
      </c>
      <c r="N232" s="52" t="n">
        <v>0</v>
      </c>
      <c r="O232" s="53" t="n">
        <v>0</v>
      </c>
      <c r="P232" s="52" t="n">
        <v>0</v>
      </c>
      <c r="Q232" s="53" t="n">
        <v>0</v>
      </c>
      <c r="R232" s="52" t="n">
        <v>0</v>
      </c>
      <c r="S232" s="51" t="n">
        <v>0</v>
      </c>
      <c r="T232" s="48" t="n">
        <v>0</v>
      </c>
      <c r="U232" s="49" t="n">
        <v>0</v>
      </c>
      <c r="V232" s="49" t="n">
        <v>0</v>
      </c>
      <c r="W232" s="50" t="n">
        <v>0</v>
      </c>
      <c r="X232" s="51" t="n">
        <v>0</v>
      </c>
      <c r="Y232" s="52" t="n">
        <v>0</v>
      </c>
      <c r="Z232" s="52" t="n">
        <v>0</v>
      </c>
      <c r="AA232" s="52" t="n">
        <v>0</v>
      </c>
      <c r="AB232" s="53" t="n">
        <v>0</v>
      </c>
      <c r="AC232" s="52" t="n">
        <v>0</v>
      </c>
      <c r="AD232" s="53" t="n">
        <v>0</v>
      </c>
      <c r="AE232" s="52" t="n">
        <v>0</v>
      </c>
      <c r="AF232" s="51" t="n">
        <v>0</v>
      </c>
      <c r="AG232" s="48" t="n">
        <v>0</v>
      </c>
      <c r="AH232" s="49" t="n">
        <v>0</v>
      </c>
      <c r="AI232" s="49" t="n">
        <v>0</v>
      </c>
      <c r="AJ232" s="50" t="n">
        <v>0</v>
      </c>
      <c r="AK232" s="51" t="n">
        <v>0</v>
      </c>
      <c r="AL232" s="52" t="n">
        <v>0</v>
      </c>
      <c r="AM232" s="52" t="n">
        <v>0</v>
      </c>
      <c r="AN232" s="52" t="n">
        <v>0</v>
      </c>
      <c r="AO232" s="53" t="n">
        <v>0</v>
      </c>
      <c r="AP232" s="52" t="n">
        <v>0</v>
      </c>
      <c r="AQ232" s="53" t="n">
        <v>0</v>
      </c>
      <c r="AR232" s="52" t="n">
        <v>0</v>
      </c>
      <c r="AS232" s="51" t="n">
        <v>0</v>
      </c>
      <c r="AT232" s="48" t="n">
        <v>0</v>
      </c>
      <c r="AU232" s="49" t="n">
        <v>0</v>
      </c>
      <c r="AV232" s="49" t="n">
        <v>0</v>
      </c>
      <c r="AW232" s="50" t="n">
        <v>0</v>
      </c>
      <c r="AX232" s="51" t="n">
        <v>0</v>
      </c>
      <c r="AY232" s="52" t="n">
        <v>0</v>
      </c>
      <c r="AZ232" s="52" t="n">
        <v>0</v>
      </c>
      <c r="BA232" s="52" t="n">
        <v>0</v>
      </c>
      <c r="BB232" s="53" t="n">
        <v>0</v>
      </c>
      <c r="BC232" s="52" t="n">
        <v>0</v>
      </c>
      <c r="BD232" s="53" t="n">
        <v>0</v>
      </c>
      <c r="BE232" s="52" t="n">
        <v>0</v>
      </c>
      <c r="BF232" s="51" t="n">
        <v>0</v>
      </c>
    </row>
    <row r="233">
      <c r="A233">
        <f>HYPERLINK("https://www.walmart.com/ip/622124362", "622124362")</f>
        <v/>
      </c>
      <c r="B233" t="inlineStr">
        <is>
          <t>Catalonia Sherpa Fleece Blanket for Bed, Super Soft  Plush Sofa Couch Throw Blanket, TV Bed Blanket, Comfy Cozy Fluffy Warm Comforter, Caring Gift(Wine, 60x80 inches)</t>
        </is>
      </c>
      <c r="C233" t="inlineStr">
        <is>
          <t>1CTBF368WN</t>
        </is>
      </c>
      <c r="D233" t="inlineStr">
        <is>
          <t>Throws</t>
        </is>
      </c>
      <c r="E233" t="inlineStr">
        <is>
          <t>Catalonia</t>
        </is>
      </c>
      <c r="F233" t="inlineStr">
        <is>
          <t>WFS,WFS Item,Fleece Blankets</t>
        </is>
      </c>
      <c r="G233" s="48" t="n">
        <v>0</v>
      </c>
      <c r="H233" s="49" t="n">
        <v>0</v>
      </c>
      <c r="I233" s="49" t="n">
        <v>0</v>
      </c>
      <c r="J233" s="50" t="n">
        <v>0</v>
      </c>
      <c r="K233" s="51" t="n">
        <v>0</v>
      </c>
      <c r="L233" s="52" t="n">
        <v>0</v>
      </c>
      <c r="M233" s="52" t="n">
        <v>0</v>
      </c>
      <c r="N233" s="52" t="n">
        <v>0</v>
      </c>
      <c r="O233" s="53" t="n">
        <v>0</v>
      </c>
      <c r="P233" s="52" t="n">
        <v>0</v>
      </c>
      <c r="Q233" s="53" t="n">
        <v>0</v>
      </c>
      <c r="R233" s="52" t="n">
        <v>0</v>
      </c>
      <c r="S233" s="51" t="n">
        <v>0</v>
      </c>
      <c r="T233" s="48" t="n">
        <v>0</v>
      </c>
      <c r="U233" s="49" t="n">
        <v>0</v>
      </c>
      <c r="V233" s="49" t="n">
        <v>0</v>
      </c>
      <c r="W233" s="50" t="n">
        <v>0</v>
      </c>
      <c r="X233" s="51" t="n">
        <v>0</v>
      </c>
      <c r="Y233" s="52" t="n">
        <v>0</v>
      </c>
      <c r="Z233" s="52" t="n">
        <v>0</v>
      </c>
      <c r="AA233" s="52" t="n">
        <v>0</v>
      </c>
      <c r="AB233" s="53" t="n">
        <v>0</v>
      </c>
      <c r="AC233" s="52" t="n">
        <v>0</v>
      </c>
      <c r="AD233" s="53" t="n">
        <v>0</v>
      </c>
      <c r="AE233" s="52" t="n">
        <v>0</v>
      </c>
      <c r="AF233" s="51" t="n">
        <v>0</v>
      </c>
      <c r="AG233" s="48" t="n">
        <v>0</v>
      </c>
      <c r="AH233" s="49" t="n">
        <v>0</v>
      </c>
      <c r="AI233" s="49" t="n">
        <v>0</v>
      </c>
      <c r="AJ233" s="50" t="n">
        <v>0</v>
      </c>
      <c r="AK233" s="51" t="n">
        <v>0</v>
      </c>
      <c r="AL233" s="52" t="n">
        <v>0</v>
      </c>
      <c r="AM233" s="52" t="n">
        <v>0</v>
      </c>
      <c r="AN233" s="52" t="n">
        <v>0</v>
      </c>
      <c r="AO233" s="53" t="n">
        <v>0</v>
      </c>
      <c r="AP233" s="52" t="n">
        <v>0</v>
      </c>
      <c r="AQ233" s="53" t="n">
        <v>0</v>
      </c>
      <c r="AR233" s="52" t="n">
        <v>0</v>
      </c>
      <c r="AS233" s="51" t="n">
        <v>0</v>
      </c>
      <c r="AT233" s="48" t="n">
        <v>0</v>
      </c>
      <c r="AU233" s="49" t="n">
        <v>0</v>
      </c>
      <c r="AV233" s="49" t="n">
        <v>0</v>
      </c>
      <c r="AW233" s="50" t="n">
        <v>0</v>
      </c>
      <c r="AX233" s="51" t="n">
        <v>0</v>
      </c>
      <c r="AY233" s="52" t="n">
        <v>0</v>
      </c>
      <c r="AZ233" s="52" t="n">
        <v>0</v>
      </c>
      <c r="BA233" s="52" t="n">
        <v>0</v>
      </c>
      <c r="BB233" s="53" t="n">
        <v>0</v>
      </c>
      <c r="BC233" s="52" t="n">
        <v>0</v>
      </c>
      <c r="BD233" s="53" t="n">
        <v>0</v>
      </c>
      <c r="BE233" s="52" t="n">
        <v>0</v>
      </c>
      <c r="BF233" s="51" t="n">
        <v>0</v>
      </c>
    </row>
    <row r="234">
      <c r="A234">
        <f>HYPERLINK("https://www.walmart.com/ip/537523593", "537523593")</f>
        <v/>
      </c>
      <c r="B234" t="inlineStr">
        <is>
          <t>Catalonia Mermaid Tail Blanket, Super Soft Blanket Sherpa Lined Knit with Non-slip Neck Strap, Fleece Blanket for Adult Women or Teen Girls, Pink, 67'' x 22.5''</t>
        </is>
      </c>
      <c r="C234" t="inlineStr">
        <is>
          <t>1CTMM300PK</t>
        </is>
      </c>
      <c r="D234" t="inlineStr">
        <is>
          <t>Throws</t>
        </is>
      </c>
      <c r="E234" t="inlineStr">
        <is>
          <t>Catalonia</t>
        </is>
      </c>
      <c r="F234" t="inlineStr">
        <is>
          <t>WFS,WFS Item</t>
        </is>
      </c>
      <c r="G234" s="48" t="n">
        <v>0</v>
      </c>
      <c r="H234" s="49" t="n">
        <v>0</v>
      </c>
      <c r="I234" s="49" t="n">
        <v>0</v>
      </c>
      <c r="J234" s="50" t="n">
        <v>0</v>
      </c>
      <c r="K234" s="51" t="n">
        <v>0</v>
      </c>
      <c r="L234" s="52" t="n">
        <v>0</v>
      </c>
      <c r="M234" s="52" t="n">
        <v>0</v>
      </c>
      <c r="N234" s="52" t="n">
        <v>0</v>
      </c>
      <c r="O234" s="53" t="n">
        <v>0</v>
      </c>
      <c r="P234" s="52" t="n">
        <v>0</v>
      </c>
      <c r="Q234" s="53" t="n">
        <v>0</v>
      </c>
      <c r="R234" s="52" t="n">
        <v>0</v>
      </c>
      <c r="S234" s="51" t="n">
        <v>0</v>
      </c>
      <c r="T234" s="48" t="n">
        <v>0</v>
      </c>
      <c r="U234" s="49" t="n">
        <v>0</v>
      </c>
      <c r="V234" s="49" t="n">
        <v>0</v>
      </c>
      <c r="W234" s="50" t="n">
        <v>0</v>
      </c>
      <c r="X234" s="51" t="n">
        <v>0</v>
      </c>
      <c r="Y234" s="52" t="n">
        <v>0</v>
      </c>
      <c r="Z234" s="52" t="n">
        <v>0</v>
      </c>
      <c r="AA234" s="52" t="n">
        <v>0</v>
      </c>
      <c r="AB234" s="53" t="n">
        <v>0</v>
      </c>
      <c r="AC234" s="52" t="n">
        <v>0</v>
      </c>
      <c r="AD234" s="53" t="n">
        <v>0</v>
      </c>
      <c r="AE234" s="52" t="n">
        <v>0</v>
      </c>
      <c r="AF234" s="51" t="n">
        <v>0</v>
      </c>
      <c r="AG234" s="48" t="n">
        <v>0</v>
      </c>
      <c r="AH234" s="49" t="n">
        <v>0</v>
      </c>
      <c r="AI234" s="49" t="n">
        <v>0</v>
      </c>
      <c r="AJ234" s="50" t="n">
        <v>0</v>
      </c>
      <c r="AK234" s="51" t="n">
        <v>0</v>
      </c>
      <c r="AL234" s="52" t="n">
        <v>0</v>
      </c>
      <c r="AM234" s="52" t="n">
        <v>0</v>
      </c>
      <c r="AN234" s="52" t="n">
        <v>0</v>
      </c>
      <c r="AO234" s="53" t="n">
        <v>0</v>
      </c>
      <c r="AP234" s="52" t="n">
        <v>0</v>
      </c>
      <c r="AQ234" s="53" t="n">
        <v>0</v>
      </c>
      <c r="AR234" s="52" t="n">
        <v>0</v>
      </c>
      <c r="AS234" s="51" t="n">
        <v>0</v>
      </c>
      <c r="AT234" s="48" t="n">
        <v>0</v>
      </c>
      <c r="AU234" s="49" t="n">
        <v>0</v>
      </c>
      <c r="AV234" s="49" t="n">
        <v>0</v>
      </c>
      <c r="AW234" s="50" t="n">
        <v>0</v>
      </c>
      <c r="AX234" s="51" t="n">
        <v>0</v>
      </c>
      <c r="AY234" s="52" t="n">
        <v>0</v>
      </c>
      <c r="AZ234" s="52" t="n">
        <v>0</v>
      </c>
      <c r="BA234" s="52" t="n">
        <v>0</v>
      </c>
      <c r="BB234" s="53" t="n">
        <v>0</v>
      </c>
      <c r="BC234" s="52" t="n">
        <v>0</v>
      </c>
      <c r="BD234" s="53" t="n">
        <v>0</v>
      </c>
      <c r="BE234" s="52" t="n">
        <v>0</v>
      </c>
      <c r="BF234" s="51" t="n">
        <v>0</v>
      </c>
    </row>
    <row r="235">
      <c r="A235">
        <f>HYPERLINK("https://www.walmart.com/ip/5374435927", "5374435927")</f>
        <v/>
      </c>
      <c r="B235" t="inlineStr">
        <is>
          <t>Solaris Surf Poncho Changing Towel Robe for Women Men, Lightweight Changing Robe with Packable Bags, Water Absorbent Wetsuit Beach Hoode Towel for Surfing Swimming</t>
        </is>
      </c>
      <c r="C235" t="inlineStr">
        <is>
          <t>1SLBR103-GY</t>
        </is>
      </c>
      <c r="D235" t="inlineStr">
        <is>
          <t>Towels &amp; Washcloths</t>
        </is>
      </c>
      <c r="E235" t="inlineStr">
        <is>
          <t>Solaris</t>
        </is>
      </c>
      <c r="G235" s="48" t="n">
        <v>0</v>
      </c>
      <c r="H235" s="49" t="n">
        <v>0</v>
      </c>
      <c r="I235" s="49" t="n">
        <v>0</v>
      </c>
      <c r="J235" s="50" t="n">
        <v>0</v>
      </c>
      <c r="K235" s="51" t="n">
        <v>0</v>
      </c>
      <c r="L235" s="52" t="n">
        <v>0</v>
      </c>
      <c r="M235" s="52" t="n">
        <v>0</v>
      </c>
      <c r="N235" s="52" t="n">
        <v>0</v>
      </c>
      <c r="O235" s="53" t="n">
        <v>0</v>
      </c>
      <c r="P235" s="52" t="n">
        <v>0</v>
      </c>
      <c r="Q235" s="53" t="n">
        <v>0</v>
      </c>
      <c r="R235" s="52" t="n">
        <v>0</v>
      </c>
      <c r="S235" s="51" t="n">
        <v>0</v>
      </c>
      <c r="T235" s="48" t="n">
        <v>21.99</v>
      </c>
      <c r="U235" s="49" t="n">
        <v>1</v>
      </c>
      <c r="V235" s="49" t="n">
        <v>0</v>
      </c>
      <c r="W235" s="50" t="n">
        <v>0</v>
      </c>
      <c r="X235" s="51" t="n">
        <v>0</v>
      </c>
      <c r="Y235" s="52" t="n">
        <v>0</v>
      </c>
      <c r="Z235" s="52" t="n">
        <v>0</v>
      </c>
      <c r="AA235" s="52" t="n">
        <v>0</v>
      </c>
      <c r="AB235" s="53" t="n">
        <v>0</v>
      </c>
      <c r="AC235" s="52" t="n">
        <v>0</v>
      </c>
      <c r="AD235" s="53" t="n">
        <v>0</v>
      </c>
      <c r="AE235" s="52" t="n">
        <v>21.99</v>
      </c>
      <c r="AF235" s="51" t="n">
        <v>0</v>
      </c>
      <c r="AG235" s="48" t="n">
        <v>0</v>
      </c>
      <c r="AH235" s="49" t="n">
        <v>0</v>
      </c>
      <c r="AI235" s="49" t="n">
        <v>0</v>
      </c>
      <c r="AJ235" s="50" t="n">
        <v>0</v>
      </c>
      <c r="AK235" s="51" t="n">
        <v>0</v>
      </c>
      <c r="AL235" s="52" t="n">
        <v>0</v>
      </c>
      <c r="AM235" s="52" t="n">
        <v>0</v>
      </c>
      <c r="AN235" s="52" t="n">
        <v>0</v>
      </c>
      <c r="AO235" s="53" t="n">
        <v>0</v>
      </c>
      <c r="AP235" s="52" t="n">
        <v>0</v>
      </c>
      <c r="AQ235" s="53" t="n">
        <v>0</v>
      </c>
      <c r="AR235" s="52" t="n">
        <v>0</v>
      </c>
      <c r="AS235" s="51" t="n">
        <v>0</v>
      </c>
      <c r="AT235" s="48" t="n">
        <v>0</v>
      </c>
      <c r="AU235" s="49" t="n">
        <v>0</v>
      </c>
      <c r="AV235" s="49" t="n">
        <v>0</v>
      </c>
      <c r="AW235" s="50" t="n">
        <v>0</v>
      </c>
      <c r="AX235" s="51" t="n">
        <v>0</v>
      </c>
      <c r="AY235" s="52" t="n">
        <v>0</v>
      </c>
      <c r="AZ235" s="52" t="n">
        <v>0</v>
      </c>
      <c r="BA235" s="52" t="n">
        <v>0</v>
      </c>
      <c r="BB235" s="53" t="n">
        <v>0</v>
      </c>
      <c r="BC235" s="52" t="n">
        <v>0</v>
      </c>
      <c r="BD235" s="53" t="n">
        <v>0</v>
      </c>
      <c r="BE235" s="52" t="n">
        <v>0</v>
      </c>
      <c r="BF235" s="51" t="n">
        <v>0</v>
      </c>
    </row>
    <row r="236">
      <c r="A236">
        <f>HYPERLINK("https://www.walmart.com/ip/5373928874", "5373928874")</f>
        <v/>
      </c>
      <c r="B236" t="inlineStr">
        <is>
          <t>Tirrinia Golf Cooler Bag - Golf Accessories Small 5 Cans Insulated Cooler Sleeve with Storage Pocket</t>
        </is>
      </c>
      <c r="C236" t="inlineStr">
        <is>
          <t>1TRCB00205BK</t>
        </is>
      </c>
      <c r="D236" t="inlineStr">
        <is>
          <t>Thermocoolers</t>
        </is>
      </c>
      <c r="E236" t="inlineStr">
        <is>
          <t>Tirrinia</t>
        </is>
      </c>
      <c r="G236" s="48" t="n">
        <v>0</v>
      </c>
      <c r="H236" s="49" t="n">
        <v>0</v>
      </c>
      <c r="I236" s="49" t="n">
        <v>0</v>
      </c>
      <c r="J236" s="50" t="n">
        <v>0</v>
      </c>
      <c r="K236" s="51" t="n">
        <v>0</v>
      </c>
      <c r="L236" s="52" t="n">
        <v>0</v>
      </c>
      <c r="M236" s="52" t="n">
        <v>0</v>
      </c>
      <c r="N236" s="52" t="n">
        <v>0</v>
      </c>
      <c r="O236" s="53" t="n">
        <v>0</v>
      </c>
      <c r="P236" s="52" t="n">
        <v>0</v>
      </c>
      <c r="Q236" s="53" t="n">
        <v>0</v>
      </c>
      <c r="R236" s="52" t="n">
        <v>0</v>
      </c>
      <c r="S236" s="51" t="n">
        <v>0</v>
      </c>
      <c r="T236" s="48" t="n">
        <v>0</v>
      </c>
      <c r="U236" s="49" t="n">
        <v>0</v>
      </c>
      <c r="V236" s="49" t="n">
        <v>0</v>
      </c>
      <c r="W236" s="50" t="n">
        <v>0</v>
      </c>
      <c r="X236" s="51" t="n">
        <v>0</v>
      </c>
      <c r="Y236" s="52" t="n">
        <v>0</v>
      </c>
      <c r="Z236" s="52" t="n">
        <v>0</v>
      </c>
      <c r="AA236" s="52" t="n">
        <v>0</v>
      </c>
      <c r="AB236" s="53" t="n">
        <v>0</v>
      </c>
      <c r="AC236" s="52" t="n">
        <v>0</v>
      </c>
      <c r="AD236" s="53" t="n">
        <v>0</v>
      </c>
      <c r="AE236" s="52" t="n">
        <v>0</v>
      </c>
      <c r="AF236" s="51" t="n">
        <v>0</v>
      </c>
      <c r="AG236" s="48" t="n">
        <v>0</v>
      </c>
      <c r="AH236" s="49" t="n">
        <v>0</v>
      </c>
      <c r="AI236" s="49" t="n">
        <v>0</v>
      </c>
      <c r="AJ236" s="50" t="n">
        <v>0</v>
      </c>
      <c r="AK236" s="51" t="n">
        <v>0</v>
      </c>
      <c r="AL236" s="52" t="n">
        <v>0</v>
      </c>
      <c r="AM236" s="52" t="n">
        <v>0</v>
      </c>
      <c r="AN236" s="52" t="n">
        <v>0</v>
      </c>
      <c r="AO236" s="53" t="n">
        <v>0</v>
      </c>
      <c r="AP236" s="52" t="n">
        <v>0</v>
      </c>
      <c r="AQ236" s="53" t="n">
        <v>0</v>
      </c>
      <c r="AR236" s="52" t="n">
        <v>0</v>
      </c>
      <c r="AS236" s="51" t="n">
        <v>0</v>
      </c>
      <c r="AT236" s="48" t="n">
        <v>0</v>
      </c>
      <c r="AU236" s="49" t="n">
        <v>0</v>
      </c>
      <c r="AV236" s="49" t="n">
        <v>0</v>
      </c>
      <c r="AW236" s="50" t="n">
        <v>0</v>
      </c>
      <c r="AX236" s="51" t="n">
        <v>0</v>
      </c>
      <c r="AY236" s="52" t="n">
        <v>0</v>
      </c>
      <c r="AZ236" s="52" t="n">
        <v>0</v>
      </c>
      <c r="BA236" s="52" t="n">
        <v>0</v>
      </c>
      <c r="BB236" s="53" t="n">
        <v>0</v>
      </c>
      <c r="BC236" s="52" t="n">
        <v>0</v>
      </c>
      <c r="BD236" s="53" t="n">
        <v>0</v>
      </c>
      <c r="BE236" s="52" t="n">
        <v>0</v>
      </c>
      <c r="BF236" s="51" t="n">
        <v>0</v>
      </c>
    </row>
    <row r="237">
      <c r="A237">
        <f>HYPERLINK("https://www.walmart.com/ip/537345676", "537345676")</f>
        <v/>
      </c>
      <c r="B237" t="inlineStr">
        <is>
          <t>Catalonia Sherpa Wearable Blanket Poncho for Adult Women Men, Wrap Blanket Cape with Pocket, Warm, Soft, Cozy, Snuggly, Comfort Gift, No Sleeves, Cheetah</t>
        </is>
      </c>
      <c r="C237" t="inlineStr">
        <is>
          <t>1CTBP110CHEETAH</t>
        </is>
      </c>
      <c r="D237" t="inlineStr">
        <is>
          <t>Throws</t>
        </is>
      </c>
      <c r="E237" t="inlineStr">
        <is>
          <t>Catalonia</t>
        </is>
      </c>
      <c r="F237" t="inlineStr">
        <is>
          <t>Hero 5 Holidays,Coupon_Discount,Batch 1 - TR</t>
        </is>
      </c>
      <c r="G237" s="48" t="n">
        <v>0</v>
      </c>
      <c r="H237" s="49" t="n">
        <v>0</v>
      </c>
      <c r="I237" s="49" t="n">
        <v>0</v>
      </c>
      <c r="J237" s="50" t="n">
        <v>0</v>
      </c>
      <c r="K237" s="51" t="n">
        <v>0</v>
      </c>
      <c r="L237" s="52" t="n">
        <v>0</v>
      </c>
      <c r="M237" s="52" t="n">
        <v>0</v>
      </c>
      <c r="N237" s="52" t="n">
        <v>0</v>
      </c>
      <c r="O237" s="53" t="n">
        <v>0</v>
      </c>
      <c r="P237" s="52" t="n">
        <v>0</v>
      </c>
      <c r="Q237" s="53" t="n">
        <v>0</v>
      </c>
      <c r="R237" s="52" t="n">
        <v>0</v>
      </c>
      <c r="S237" s="51" t="n">
        <v>2</v>
      </c>
      <c r="T237" s="48" t="n">
        <v>0</v>
      </c>
      <c r="U237" s="49" t="n">
        <v>0</v>
      </c>
      <c r="V237" s="49" t="n">
        <v>0</v>
      </c>
      <c r="W237" s="50" t="n">
        <v>0</v>
      </c>
      <c r="X237" s="51" t="n">
        <v>0</v>
      </c>
      <c r="Y237" s="52" t="n">
        <v>0</v>
      </c>
      <c r="Z237" s="52" t="n">
        <v>0</v>
      </c>
      <c r="AA237" s="52" t="n">
        <v>0</v>
      </c>
      <c r="AB237" s="53" t="n">
        <v>0</v>
      </c>
      <c r="AC237" s="52" t="n">
        <v>0</v>
      </c>
      <c r="AD237" s="53" t="n">
        <v>0</v>
      </c>
      <c r="AE237" s="52" t="n">
        <v>0</v>
      </c>
      <c r="AF237" s="51" t="n">
        <v>0</v>
      </c>
      <c r="AG237" s="48" t="n">
        <v>0</v>
      </c>
      <c r="AH237" s="49" t="n">
        <v>0</v>
      </c>
      <c r="AI237" s="49" t="n">
        <v>0</v>
      </c>
      <c r="AJ237" s="50" t="n">
        <v>0</v>
      </c>
      <c r="AK237" s="51" t="n">
        <v>0</v>
      </c>
      <c r="AL237" s="52" t="n">
        <v>0</v>
      </c>
      <c r="AM237" s="52" t="n">
        <v>0</v>
      </c>
      <c r="AN237" s="52" t="n">
        <v>0</v>
      </c>
      <c r="AO237" s="53" t="n">
        <v>0</v>
      </c>
      <c r="AP237" s="52" t="n">
        <v>0</v>
      </c>
      <c r="AQ237" s="53" t="n">
        <v>0</v>
      </c>
      <c r="AR237" s="52" t="n">
        <v>0</v>
      </c>
      <c r="AS237" s="51" t="n">
        <v>0</v>
      </c>
      <c r="AT237" s="48" t="n">
        <v>0</v>
      </c>
      <c r="AU237" s="49" t="n">
        <v>0</v>
      </c>
      <c r="AV237" s="49" t="n">
        <v>0</v>
      </c>
      <c r="AW237" s="50" t="n">
        <v>0</v>
      </c>
      <c r="AX237" s="51" t="n">
        <v>0</v>
      </c>
      <c r="AY237" s="52" t="n">
        <v>0</v>
      </c>
      <c r="AZ237" s="52" t="n">
        <v>0</v>
      </c>
      <c r="BA237" s="52" t="n">
        <v>0</v>
      </c>
      <c r="BB237" s="53" t="n">
        <v>0</v>
      </c>
      <c r="BC237" s="52" t="n">
        <v>0</v>
      </c>
      <c r="BD237" s="53" t="n">
        <v>0</v>
      </c>
      <c r="BE237" s="52" t="n">
        <v>0</v>
      </c>
      <c r="BF237" s="51" t="n">
        <v>0</v>
      </c>
    </row>
    <row r="238">
      <c r="A238">
        <f>HYPERLINK("https://www.walmart.com/ip/624075240", "624075240")</f>
        <v/>
      </c>
      <c r="B238" t="inlineStr">
        <is>
          <t>Tirrinia Insulated 4 Bottle Wine Carrier Tote Cooler Bag for Travel Picnic Padded Champagne Glass Carrying Case Leather</t>
        </is>
      </c>
      <c r="C238" t="inlineStr">
        <is>
          <t>1WMWB421STR</t>
        </is>
      </c>
      <c r="D238" t="inlineStr">
        <is>
          <t>Wine Totes, Bags &amp; Backpacks</t>
        </is>
      </c>
      <c r="E238" t="inlineStr">
        <is>
          <t>Flyingstar</t>
        </is>
      </c>
      <c r="F238" t="inlineStr">
        <is>
          <t>Wine,Christmas,Optimized,Valentine,SEM</t>
        </is>
      </c>
      <c r="G238" s="48" t="n">
        <v>0</v>
      </c>
      <c r="H238" s="49" t="n">
        <v>0</v>
      </c>
      <c r="I238" s="49" t="n">
        <v>0</v>
      </c>
      <c r="J238" s="50" t="n">
        <v>0</v>
      </c>
      <c r="K238" s="51" t="n">
        <v>0</v>
      </c>
      <c r="L238" s="52" t="n">
        <v>0</v>
      </c>
      <c r="M238" s="52" t="n">
        <v>0</v>
      </c>
      <c r="N238" s="52" t="n">
        <v>0</v>
      </c>
      <c r="O238" s="53" t="n">
        <v>0</v>
      </c>
      <c r="P238" s="52" t="n">
        <v>0</v>
      </c>
      <c r="Q238" s="53" t="n">
        <v>0</v>
      </c>
      <c r="R238" s="52" t="n">
        <v>0</v>
      </c>
      <c r="S238" s="51" t="n">
        <v>0</v>
      </c>
      <c r="T238" s="48" t="n">
        <v>0</v>
      </c>
      <c r="U238" s="49" t="n">
        <v>0</v>
      </c>
      <c r="V238" s="49" t="n">
        <v>0</v>
      </c>
      <c r="W238" s="50" t="n">
        <v>0</v>
      </c>
      <c r="X238" s="51" t="n">
        <v>0</v>
      </c>
      <c r="Y238" s="52" t="n">
        <v>0</v>
      </c>
      <c r="Z238" s="52" t="n">
        <v>0</v>
      </c>
      <c r="AA238" s="52" t="n">
        <v>0</v>
      </c>
      <c r="AB238" s="53" t="n">
        <v>0</v>
      </c>
      <c r="AC238" s="52" t="n">
        <v>0</v>
      </c>
      <c r="AD238" s="53" t="n">
        <v>0</v>
      </c>
      <c r="AE238" s="52" t="n">
        <v>0</v>
      </c>
      <c r="AF238" s="51" t="n">
        <v>0</v>
      </c>
      <c r="AG238" s="48" t="n">
        <v>0</v>
      </c>
      <c r="AH238" s="49" t="n">
        <v>0</v>
      </c>
      <c r="AI238" s="49" t="n">
        <v>0</v>
      </c>
      <c r="AJ238" s="50" t="n">
        <v>0</v>
      </c>
      <c r="AK238" s="51" t="n">
        <v>0</v>
      </c>
      <c r="AL238" s="52" t="n">
        <v>0</v>
      </c>
      <c r="AM238" s="52" t="n">
        <v>0</v>
      </c>
      <c r="AN238" s="52" t="n">
        <v>0</v>
      </c>
      <c r="AO238" s="53" t="n">
        <v>0</v>
      </c>
      <c r="AP238" s="52" t="n">
        <v>0</v>
      </c>
      <c r="AQ238" s="53" t="n">
        <v>0</v>
      </c>
      <c r="AR238" s="52" t="n">
        <v>0</v>
      </c>
      <c r="AS238" s="51" t="n">
        <v>0</v>
      </c>
      <c r="AT238" s="48" t="n">
        <v>0</v>
      </c>
      <c r="AU238" s="49" t="n">
        <v>0</v>
      </c>
      <c r="AV238" s="49" t="n">
        <v>0</v>
      </c>
      <c r="AW238" s="50" t="n">
        <v>0</v>
      </c>
      <c r="AX238" s="51" t="n">
        <v>0</v>
      </c>
      <c r="AY238" s="52" t="n">
        <v>0</v>
      </c>
      <c r="AZ238" s="52" t="n">
        <v>0</v>
      </c>
      <c r="BA238" s="52" t="n">
        <v>0</v>
      </c>
      <c r="BB238" s="53" t="n">
        <v>0</v>
      </c>
      <c r="BC238" s="52" t="n">
        <v>0</v>
      </c>
      <c r="BD238" s="53" t="n">
        <v>0</v>
      </c>
      <c r="BE238" s="52" t="n">
        <v>0</v>
      </c>
      <c r="BF238" s="51" t="n">
        <v>0</v>
      </c>
    </row>
    <row r="239">
      <c r="A239">
        <f>HYPERLINK("https://www.walmart.com/ip/5384805046", "5384805046")</f>
        <v/>
      </c>
      <c r="B239" t="inlineStr">
        <is>
          <t>PEANUTS Womens 100% Cotton Family Matching Pajamas Holiday Festive Nightwear Sleepwear 2-Piece Sets for Christmas Gifts (Black Plaid, M)</t>
        </is>
      </c>
      <c r="C239" t="inlineStr">
        <is>
          <t>PEA-PJS-FAMILY-WOMEN-BLACKPLAID-M</t>
        </is>
      </c>
      <c r="D239" t="inlineStr">
        <is>
          <t>Pajamas</t>
        </is>
      </c>
      <c r="E239" t="inlineStr">
        <is>
          <t>Peanuts</t>
        </is>
      </c>
      <c r="G239" s="48" t="n">
        <v>0</v>
      </c>
      <c r="H239" s="49" t="n">
        <v>0</v>
      </c>
      <c r="I239" s="49" t="n">
        <v>0</v>
      </c>
      <c r="J239" s="50" t="n">
        <v>0</v>
      </c>
      <c r="K239" s="51" t="n">
        <v>0</v>
      </c>
      <c r="L239" s="52" t="n">
        <v>0</v>
      </c>
      <c r="M239" s="52" t="n">
        <v>0</v>
      </c>
      <c r="N239" s="52" t="n">
        <v>0</v>
      </c>
      <c r="O239" s="53" t="n">
        <v>0</v>
      </c>
      <c r="P239" s="52" t="n">
        <v>0</v>
      </c>
      <c r="Q239" s="53" t="n">
        <v>0</v>
      </c>
      <c r="R239" s="52" t="n">
        <v>0</v>
      </c>
      <c r="S239" s="51" t="n">
        <v>0</v>
      </c>
      <c r="T239" s="48" t="n">
        <v>0</v>
      </c>
      <c r="U239" s="49" t="n">
        <v>0</v>
      </c>
      <c r="V239" s="49" t="n">
        <v>0</v>
      </c>
      <c r="W239" s="50" t="n">
        <v>0</v>
      </c>
      <c r="X239" s="51" t="n">
        <v>0</v>
      </c>
      <c r="Y239" s="52" t="n">
        <v>0</v>
      </c>
      <c r="Z239" s="52" t="n">
        <v>0</v>
      </c>
      <c r="AA239" s="52" t="n">
        <v>0</v>
      </c>
      <c r="AB239" s="53" t="n">
        <v>0</v>
      </c>
      <c r="AC239" s="52" t="n">
        <v>0</v>
      </c>
      <c r="AD239" s="53" t="n">
        <v>0</v>
      </c>
      <c r="AE239" s="52" t="n">
        <v>0</v>
      </c>
      <c r="AF239" s="51" t="n">
        <v>0</v>
      </c>
      <c r="AG239" s="48" t="n">
        <v>0</v>
      </c>
      <c r="AH239" s="49" t="n">
        <v>0</v>
      </c>
      <c r="AI239" s="49" t="n">
        <v>0</v>
      </c>
      <c r="AJ239" s="50" t="n">
        <v>0</v>
      </c>
      <c r="AK239" s="51" t="n">
        <v>0</v>
      </c>
      <c r="AL239" s="52" t="n">
        <v>0</v>
      </c>
      <c r="AM239" s="52" t="n">
        <v>0</v>
      </c>
      <c r="AN239" s="52" t="n">
        <v>0</v>
      </c>
      <c r="AO239" s="53" t="n">
        <v>0</v>
      </c>
      <c r="AP239" s="52" t="n">
        <v>0</v>
      </c>
      <c r="AQ239" s="53" t="n">
        <v>0</v>
      </c>
      <c r="AR239" s="52" t="n">
        <v>0</v>
      </c>
      <c r="AS239" s="51" t="n">
        <v>0</v>
      </c>
      <c r="AT239" s="48" t="n">
        <v>0</v>
      </c>
      <c r="AU239" s="49" t="n">
        <v>0</v>
      </c>
      <c r="AV239" s="49" t="n">
        <v>0</v>
      </c>
      <c r="AW239" s="50" t="n">
        <v>0</v>
      </c>
      <c r="AX239" s="51" t="n">
        <v>0</v>
      </c>
      <c r="AY239" s="52" t="n">
        <v>0</v>
      </c>
      <c r="AZ239" s="52" t="n">
        <v>0</v>
      </c>
      <c r="BA239" s="52" t="n">
        <v>0</v>
      </c>
      <c r="BB239" s="53" t="n">
        <v>0</v>
      </c>
      <c r="BC239" s="52" t="n">
        <v>0</v>
      </c>
      <c r="BD239" s="53" t="n">
        <v>0</v>
      </c>
      <c r="BE239" s="52" t="n">
        <v>0</v>
      </c>
      <c r="BF239" s="51" t="n">
        <v>0</v>
      </c>
    </row>
    <row r="240">
      <c r="A240">
        <f>HYPERLINK("https://www.walmart.com/ip/626311869", "626311869")</f>
        <v/>
      </c>
      <c r="B240" t="inlineStr">
        <is>
          <t>Kato 9 Cans Small Insulated Lunch Bag, Mini Thermal Portable Cooler Lunch Box Tote with Dual Zipper Closure for Student Men and Women, Back to School, Black</t>
        </is>
      </c>
      <c r="C240" t="inlineStr">
        <is>
          <t>1KTLB100BK-CB</t>
        </is>
      </c>
      <c r="D240" t="inlineStr">
        <is>
          <t>Reusable Lunch Bags &amp; Boxes</t>
        </is>
      </c>
      <c r="E240" t="inlineStr">
        <is>
          <t>Kato</t>
        </is>
      </c>
      <c r="F240" t="inlineStr">
        <is>
          <t>Q2-Target,Lunch Bag,Lunch Bags</t>
        </is>
      </c>
      <c r="G240" s="48" t="n">
        <v>0</v>
      </c>
      <c r="H240" s="49" t="n">
        <v>0</v>
      </c>
      <c r="I240" s="49" t="n">
        <v>3</v>
      </c>
      <c r="J240" s="50" t="n">
        <v>0</v>
      </c>
      <c r="K240" s="51" t="n">
        <v>0</v>
      </c>
      <c r="L240" s="52" t="n">
        <v>0</v>
      </c>
      <c r="M240" s="52" t="n">
        <v>0</v>
      </c>
      <c r="N240" s="52" t="n">
        <v>0</v>
      </c>
      <c r="O240" s="53" t="n">
        <v>0</v>
      </c>
      <c r="P240" s="52" t="n">
        <v>0</v>
      </c>
      <c r="Q240" s="53" t="n">
        <v>0</v>
      </c>
      <c r="R240" s="52" t="n">
        <v>0</v>
      </c>
      <c r="S240" s="51" t="n">
        <v>0</v>
      </c>
      <c r="T240" s="48" t="n">
        <v>0</v>
      </c>
      <c r="U240" s="49" t="n">
        <v>0</v>
      </c>
      <c r="V240" s="49" t="n">
        <v>2</v>
      </c>
      <c r="W240" s="50" t="n">
        <v>0</v>
      </c>
      <c r="X240" s="51" t="n">
        <v>0</v>
      </c>
      <c r="Y240" s="52" t="n">
        <v>0</v>
      </c>
      <c r="Z240" s="52" t="n">
        <v>0</v>
      </c>
      <c r="AA240" s="52" t="n">
        <v>0</v>
      </c>
      <c r="AB240" s="53" t="n">
        <v>0</v>
      </c>
      <c r="AC240" s="52" t="n">
        <v>0</v>
      </c>
      <c r="AD240" s="53" t="n">
        <v>0</v>
      </c>
      <c r="AE240" s="52" t="n">
        <v>0</v>
      </c>
      <c r="AF240" s="51" t="n">
        <v>0</v>
      </c>
      <c r="AG240" s="48" t="n">
        <v>0</v>
      </c>
      <c r="AH240" s="49" t="n">
        <v>0</v>
      </c>
      <c r="AI240" s="49" t="n">
        <v>2</v>
      </c>
      <c r="AJ240" s="50" t="n">
        <v>0</v>
      </c>
      <c r="AK240" s="51" t="n">
        <v>0</v>
      </c>
      <c r="AL240" s="52" t="n">
        <v>0</v>
      </c>
      <c r="AM240" s="52" t="n">
        <v>0</v>
      </c>
      <c r="AN240" s="52" t="n">
        <v>0</v>
      </c>
      <c r="AO240" s="53" t="n">
        <v>0</v>
      </c>
      <c r="AP240" s="52" t="n">
        <v>0</v>
      </c>
      <c r="AQ240" s="53" t="n">
        <v>0</v>
      </c>
      <c r="AR240" s="52" t="n">
        <v>0</v>
      </c>
      <c r="AS240" s="51" t="n">
        <v>0</v>
      </c>
      <c r="AT240" s="48" t="n">
        <v>14.99</v>
      </c>
      <c r="AU240" s="49" t="n">
        <v>1</v>
      </c>
      <c r="AV240" s="49" t="n">
        <v>2</v>
      </c>
      <c r="AW240" s="50" t="n">
        <v>0.5</v>
      </c>
      <c r="AX240" s="51" t="n">
        <v>0</v>
      </c>
      <c r="AY240" s="52" t="n">
        <v>0</v>
      </c>
      <c r="AZ240" s="52" t="n">
        <v>0</v>
      </c>
      <c r="BA240" s="52" t="n">
        <v>0</v>
      </c>
      <c r="BB240" s="53" t="n">
        <v>0</v>
      </c>
      <c r="BC240" s="52" t="n">
        <v>0</v>
      </c>
      <c r="BD240" s="53" t="n">
        <v>0</v>
      </c>
      <c r="BE240" s="52" t="n">
        <v>14.99</v>
      </c>
      <c r="BF240" s="51" t="n">
        <v>0</v>
      </c>
    </row>
    <row r="241">
      <c r="A241">
        <f>HYPERLINK("https://www.walmart.com/ip/5371175429", "5371175429")</f>
        <v/>
      </c>
      <c r="B241" t="inlineStr">
        <is>
          <t>Tirrinia Large Insulated Cooler Bag Outdoor Leakproof Cooler Tote Portable Freezer Bag with Adjustable Shoulder Strap for Picnic, Beach</t>
        </is>
      </c>
      <c r="C241" t="inlineStr">
        <is>
          <t>1TRCB00224BLCAMO</t>
        </is>
      </c>
      <c r="D241" t="inlineStr">
        <is>
          <t>Soft-Sided Coolers</t>
        </is>
      </c>
      <c r="E241" t="inlineStr">
        <is>
          <t>Tirrinia</t>
        </is>
      </c>
      <c r="G241" s="48" t="n">
        <v>0</v>
      </c>
      <c r="H241" s="49" t="n">
        <v>0</v>
      </c>
      <c r="I241" s="49" t="n">
        <v>0</v>
      </c>
      <c r="J241" s="50" t="n">
        <v>0</v>
      </c>
      <c r="K241" s="51" t="n">
        <v>0</v>
      </c>
      <c r="L241" s="52" t="n">
        <v>0</v>
      </c>
      <c r="M241" s="52" t="n">
        <v>0</v>
      </c>
      <c r="N241" s="52" t="n">
        <v>0</v>
      </c>
      <c r="O241" s="53" t="n">
        <v>0</v>
      </c>
      <c r="P241" s="52" t="n">
        <v>0</v>
      </c>
      <c r="Q241" s="53" t="n">
        <v>0</v>
      </c>
      <c r="R241" s="52" t="n">
        <v>0</v>
      </c>
      <c r="S241" s="51" t="n">
        <v>0</v>
      </c>
      <c r="T241" s="48" t="n">
        <v>0</v>
      </c>
      <c r="U241" s="49" t="n">
        <v>0</v>
      </c>
      <c r="V241" s="49" t="n">
        <v>0</v>
      </c>
      <c r="W241" s="50" t="n">
        <v>0</v>
      </c>
      <c r="X241" s="51" t="n">
        <v>0</v>
      </c>
      <c r="Y241" s="52" t="n">
        <v>0</v>
      </c>
      <c r="Z241" s="52" t="n">
        <v>0</v>
      </c>
      <c r="AA241" s="52" t="n">
        <v>0</v>
      </c>
      <c r="AB241" s="53" t="n">
        <v>0</v>
      </c>
      <c r="AC241" s="52" t="n">
        <v>0</v>
      </c>
      <c r="AD241" s="53" t="n">
        <v>0</v>
      </c>
      <c r="AE241" s="52" t="n">
        <v>0</v>
      </c>
      <c r="AF241" s="51" t="n">
        <v>0</v>
      </c>
      <c r="AG241" s="48" t="n">
        <v>0</v>
      </c>
      <c r="AH241" s="49" t="n">
        <v>0</v>
      </c>
      <c r="AI241" s="49" t="n">
        <v>0</v>
      </c>
      <c r="AJ241" s="50" t="n">
        <v>0</v>
      </c>
      <c r="AK241" s="51" t="n">
        <v>0</v>
      </c>
      <c r="AL241" s="52" t="n">
        <v>0</v>
      </c>
      <c r="AM241" s="52" t="n">
        <v>0</v>
      </c>
      <c r="AN241" s="52" t="n">
        <v>0</v>
      </c>
      <c r="AO241" s="53" t="n">
        <v>0</v>
      </c>
      <c r="AP241" s="52" t="n">
        <v>0</v>
      </c>
      <c r="AQ241" s="53" t="n">
        <v>0</v>
      </c>
      <c r="AR241" s="52" t="n">
        <v>0</v>
      </c>
      <c r="AS241" s="51" t="n">
        <v>0</v>
      </c>
      <c r="AT241" s="48" t="n">
        <v>0</v>
      </c>
      <c r="AU241" s="49" t="n">
        <v>0</v>
      </c>
      <c r="AV241" s="49" t="n">
        <v>0</v>
      </c>
      <c r="AW241" s="50" t="n">
        <v>0</v>
      </c>
      <c r="AX241" s="51" t="n">
        <v>0</v>
      </c>
      <c r="AY241" s="52" t="n">
        <v>0</v>
      </c>
      <c r="AZ241" s="52" t="n">
        <v>0</v>
      </c>
      <c r="BA241" s="52" t="n">
        <v>0</v>
      </c>
      <c r="BB241" s="53" t="n">
        <v>0</v>
      </c>
      <c r="BC241" s="52" t="n">
        <v>0</v>
      </c>
      <c r="BD241" s="53" t="n">
        <v>0</v>
      </c>
      <c r="BE241" s="52" t="n">
        <v>0</v>
      </c>
      <c r="BF241" s="51" t="n">
        <v>0</v>
      </c>
    </row>
    <row r="242">
      <c r="A242">
        <f>HYPERLINK("https://www.walmart.com/ip/626873993", "626873993")</f>
        <v/>
      </c>
      <c r="B242" t="inlineStr">
        <is>
          <t>Wine Tote Bag with Hidden Dispenser, Insulated Large Wine Carrying Carrier Set with Wine Bladder, Perfect Wine Gift for Byob, Movie Theater, Concert, Sport Events, Pool &amp; Beach</t>
        </is>
      </c>
      <c r="C242" t="inlineStr">
        <is>
          <t>1TRWT100STR</t>
        </is>
      </c>
      <c r="D242" t="inlineStr">
        <is>
          <t>Wine Totes, Bags &amp; Backpacks</t>
        </is>
      </c>
      <c r="E242" t="inlineStr">
        <is>
          <t>Tirrinia</t>
        </is>
      </c>
      <c r="F242" t="inlineStr">
        <is>
          <t>Wine,Optimized</t>
        </is>
      </c>
      <c r="G242" s="48" t="n">
        <v>0</v>
      </c>
      <c r="H242" s="49" t="n">
        <v>0</v>
      </c>
      <c r="I242" s="49" t="n">
        <v>0</v>
      </c>
      <c r="J242" s="50" t="n">
        <v>0</v>
      </c>
      <c r="K242" s="51" t="n">
        <v>0</v>
      </c>
      <c r="L242" s="52" t="n">
        <v>0</v>
      </c>
      <c r="M242" s="52" t="n">
        <v>0</v>
      </c>
      <c r="N242" s="52" t="n">
        <v>0</v>
      </c>
      <c r="O242" s="53" t="n">
        <v>0</v>
      </c>
      <c r="P242" s="52" t="n">
        <v>0</v>
      </c>
      <c r="Q242" s="53" t="n">
        <v>0</v>
      </c>
      <c r="R242" s="52" t="n">
        <v>0</v>
      </c>
      <c r="S242" s="51" t="n">
        <v>0</v>
      </c>
      <c r="T242" s="48" t="n">
        <v>0</v>
      </c>
      <c r="U242" s="49" t="n">
        <v>0</v>
      </c>
      <c r="V242" s="49" t="n">
        <v>0</v>
      </c>
      <c r="W242" s="50" t="n">
        <v>0</v>
      </c>
      <c r="X242" s="51" t="n">
        <v>0</v>
      </c>
      <c r="Y242" s="52" t="n">
        <v>0</v>
      </c>
      <c r="Z242" s="52" t="n">
        <v>0</v>
      </c>
      <c r="AA242" s="52" t="n">
        <v>0</v>
      </c>
      <c r="AB242" s="53" t="n">
        <v>0</v>
      </c>
      <c r="AC242" s="52" t="n">
        <v>0</v>
      </c>
      <c r="AD242" s="53" t="n">
        <v>0</v>
      </c>
      <c r="AE242" s="52" t="n">
        <v>0</v>
      </c>
      <c r="AF242" s="51" t="n">
        <v>0</v>
      </c>
      <c r="AG242" s="48" t="n">
        <v>0</v>
      </c>
      <c r="AH242" s="49" t="n">
        <v>0</v>
      </c>
      <c r="AI242" s="49" t="n">
        <v>0</v>
      </c>
      <c r="AJ242" s="50" t="n">
        <v>0</v>
      </c>
      <c r="AK242" s="51" t="n">
        <v>0</v>
      </c>
      <c r="AL242" s="52" t="n">
        <v>0</v>
      </c>
      <c r="AM242" s="52" t="n">
        <v>0</v>
      </c>
      <c r="AN242" s="52" t="n">
        <v>0</v>
      </c>
      <c r="AO242" s="53" t="n">
        <v>0</v>
      </c>
      <c r="AP242" s="52" t="n">
        <v>0</v>
      </c>
      <c r="AQ242" s="53" t="n">
        <v>0</v>
      </c>
      <c r="AR242" s="52" t="n">
        <v>0</v>
      </c>
      <c r="AS242" s="51" t="n">
        <v>0</v>
      </c>
      <c r="AT242" s="48" t="n">
        <v>0</v>
      </c>
      <c r="AU242" s="49" t="n">
        <v>0</v>
      </c>
      <c r="AV242" s="49" t="n">
        <v>0</v>
      </c>
      <c r="AW242" s="50" t="n">
        <v>0</v>
      </c>
      <c r="AX242" s="51" t="n">
        <v>0</v>
      </c>
      <c r="AY242" s="52" t="n">
        <v>0</v>
      </c>
      <c r="AZ242" s="52" t="n">
        <v>0</v>
      </c>
      <c r="BA242" s="52" t="n">
        <v>0</v>
      </c>
      <c r="BB242" s="53" t="n">
        <v>0</v>
      </c>
      <c r="BC242" s="52" t="n">
        <v>0</v>
      </c>
      <c r="BD242" s="53" t="n">
        <v>0</v>
      </c>
      <c r="BE242" s="52" t="n">
        <v>0</v>
      </c>
      <c r="BF242" s="51" t="n">
        <v>0</v>
      </c>
    </row>
    <row r="243">
      <c r="A243">
        <f>HYPERLINK("https://www.walmart.com/ip/627401477", "627401477")</f>
        <v/>
      </c>
      <c r="B243" t="inlineStr">
        <is>
          <t>Tirrinia Extra-Large Waterproof Picnic Blanket, Portable Beach Mat for Family, USA Stars, 70'' x 80''</t>
        </is>
      </c>
      <c r="C243" t="inlineStr">
        <is>
          <t>1TRBW781USA</t>
        </is>
      </c>
      <c r="D243" t="inlineStr">
        <is>
          <t>Picnic Blankets &amp; Mats</t>
        </is>
      </c>
      <c r="E243" t="inlineStr">
        <is>
          <t>Tirrinia</t>
        </is>
      </c>
      <c r="F243" t="inlineStr">
        <is>
          <t>WFS,WFS Item</t>
        </is>
      </c>
      <c r="G243" s="48" t="n">
        <v>0</v>
      </c>
      <c r="H243" s="49" t="n">
        <v>0</v>
      </c>
      <c r="I243" s="49" t="n">
        <v>0</v>
      </c>
      <c r="J243" s="50" t="n">
        <v>0</v>
      </c>
      <c r="K243" s="51" t="n">
        <v>0</v>
      </c>
      <c r="L243" s="52" t="n">
        <v>0</v>
      </c>
      <c r="M243" s="52" t="n">
        <v>0</v>
      </c>
      <c r="N243" s="52" t="n">
        <v>0</v>
      </c>
      <c r="O243" s="53" t="n">
        <v>0</v>
      </c>
      <c r="P243" s="52" t="n">
        <v>0</v>
      </c>
      <c r="Q243" s="53" t="n">
        <v>0</v>
      </c>
      <c r="R243" s="52" t="n">
        <v>0</v>
      </c>
      <c r="S243" s="51" t="n">
        <v>0</v>
      </c>
      <c r="T243" s="48" t="n">
        <v>0</v>
      </c>
      <c r="U243" s="49" t="n">
        <v>0</v>
      </c>
      <c r="V243" s="49" t="n">
        <v>0</v>
      </c>
      <c r="W243" s="50" t="n">
        <v>0</v>
      </c>
      <c r="X243" s="51" t="n">
        <v>0</v>
      </c>
      <c r="Y243" s="52" t="n">
        <v>0</v>
      </c>
      <c r="Z243" s="52" t="n">
        <v>0</v>
      </c>
      <c r="AA243" s="52" t="n">
        <v>0</v>
      </c>
      <c r="AB243" s="53" t="n">
        <v>0</v>
      </c>
      <c r="AC243" s="52" t="n">
        <v>0</v>
      </c>
      <c r="AD243" s="53" t="n">
        <v>0</v>
      </c>
      <c r="AE243" s="52" t="n">
        <v>0</v>
      </c>
      <c r="AF243" s="51" t="n">
        <v>0</v>
      </c>
      <c r="AG243" s="48" t="n">
        <v>0</v>
      </c>
      <c r="AH243" s="49" t="n">
        <v>0</v>
      </c>
      <c r="AI243" s="49" t="n">
        <v>0</v>
      </c>
      <c r="AJ243" s="50" t="n">
        <v>0</v>
      </c>
      <c r="AK243" s="51" t="n">
        <v>0</v>
      </c>
      <c r="AL243" s="52" t="n">
        <v>0</v>
      </c>
      <c r="AM243" s="52" t="n">
        <v>0</v>
      </c>
      <c r="AN243" s="52" t="n">
        <v>0</v>
      </c>
      <c r="AO243" s="53" t="n">
        <v>0</v>
      </c>
      <c r="AP243" s="52" t="n">
        <v>0</v>
      </c>
      <c r="AQ243" s="53" t="n">
        <v>0</v>
      </c>
      <c r="AR243" s="52" t="n">
        <v>0</v>
      </c>
      <c r="AS243" s="51" t="n">
        <v>0</v>
      </c>
      <c r="AT243" s="48" t="n">
        <v>19.99</v>
      </c>
      <c r="AU243" s="49" t="n">
        <v>1</v>
      </c>
      <c r="AV243" s="49" t="n">
        <v>0</v>
      </c>
      <c r="AW243" s="50" t="n">
        <v>0</v>
      </c>
      <c r="AX243" s="51" t="n">
        <v>0</v>
      </c>
      <c r="AY243" s="52" t="n">
        <v>0</v>
      </c>
      <c r="AZ243" s="52" t="n">
        <v>0</v>
      </c>
      <c r="BA243" s="52" t="n">
        <v>0</v>
      </c>
      <c r="BB243" s="53" t="n">
        <v>0</v>
      </c>
      <c r="BC243" s="52" t="n">
        <v>0</v>
      </c>
      <c r="BD243" s="53" t="n">
        <v>0</v>
      </c>
      <c r="BE243" s="52" t="n">
        <v>19.99</v>
      </c>
      <c r="BF243" s="51" t="n">
        <v>0</v>
      </c>
    </row>
    <row r="244">
      <c r="A244">
        <f>HYPERLINK("https://www.walmart.com/ip/536999791", "536999791")</f>
        <v/>
      </c>
      <c r="B244" t="inlineStr">
        <is>
          <t>Sun Blocker Adventure hat UPF 50+ rated Outdoor hat Wide brim with Back flap</t>
        </is>
      </c>
      <c r="C244" t="inlineStr">
        <is>
          <t>kc-s9150-pk</t>
        </is>
      </c>
      <c r="D244" t="inlineStr">
        <is>
          <t>Hats</t>
        </is>
      </c>
      <c r="E244" t="inlineStr">
        <is>
          <t>Sun Blocker</t>
        </is>
      </c>
      <c r="F244" t="inlineStr">
        <is>
          <t>Optimized</t>
        </is>
      </c>
      <c r="G244" s="48" t="n">
        <v>0</v>
      </c>
      <c r="H244" s="49" t="n">
        <v>0</v>
      </c>
      <c r="I244" s="49" t="n">
        <v>0</v>
      </c>
      <c r="J244" s="50" t="n">
        <v>0</v>
      </c>
      <c r="K244" s="51" t="n">
        <v>0</v>
      </c>
      <c r="L244" s="52" t="n">
        <v>0</v>
      </c>
      <c r="M244" s="52" t="n">
        <v>0</v>
      </c>
      <c r="N244" s="52" t="n">
        <v>0</v>
      </c>
      <c r="O244" s="53" t="n">
        <v>0</v>
      </c>
      <c r="P244" s="52" t="n">
        <v>0</v>
      </c>
      <c r="Q244" s="53" t="n">
        <v>0</v>
      </c>
      <c r="R244" s="52" t="n">
        <v>0</v>
      </c>
      <c r="S244" s="51" t="n">
        <v>0</v>
      </c>
      <c r="T244" s="48" t="n">
        <v>0</v>
      </c>
      <c r="U244" s="49" t="n">
        <v>0</v>
      </c>
      <c r="V244" s="49" t="n">
        <v>0</v>
      </c>
      <c r="W244" s="50" t="n">
        <v>0</v>
      </c>
      <c r="X244" s="51" t="n">
        <v>0</v>
      </c>
      <c r="Y244" s="52" t="n">
        <v>0</v>
      </c>
      <c r="Z244" s="52" t="n">
        <v>0</v>
      </c>
      <c r="AA244" s="52" t="n">
        <v>0</v>
      </c>
      <c r="AB244" s="53" t="n">
        <v>0</v>
      </c>
      <c r="AC244" s="52" t="n">
        <v>0</v>
      </c>
      <c r="AD244" s="53" t="n">
        <v>0</v>
      </c>
      <c r="AE244" s="52" t="n">
        <v>0</v>
      </c>
      <c r="AF244" s="51" t="n">
        <v>0</v>
      </c>
      <c r="AG244" s="48" t="n">
        <v>0</v>
      </c>
      <c r="AH244" s="49" t="n">
        <v>0</v>
      </c>
      <c r="AI244" s="49" t="n">
        <v>0</v>
      </c>
      <c r="AJ244" s="50" t="n">
        <v>0</v>
      </c>
      <c r="AK244" s="51" t="n">
        <v>0</v>
      </c>
      <c r="AL244" s="52" t="n">
        <v>0</v>
      </c>
      <c r="AM244" s="52" t="n">
        <v>0</v>
      </c>
      <c r="AN244" s="52" t="n">
        <v>0</v>
      </c>
      <c r="AO244" s="53" t="n">
        <v>0</v>
      </c>
      <c r="AP244" s="52" t="n">
        <v>0</v>
      </c>
      <c r="AQ244" s="53" t="n">
        <v>0</v>
      </c>
      <c r="AR244" s="52" t="n">
        <v>0</v>
      </c>
      <c r="AS244" s="51" t="n">
        <v>0</v>
      </c>
      <c r="AT244" s="48" t="n">
        <v>0</v>
      </c>
      <c r="AU244" s="49" t="n">
        <v>0</v>
      </c>
      <c r="AV244" s="49" t="n">
        <v>0</v>
      </c>
      <c r="AW244" s="50" t="n">
        <v>0</v>
      </c>
      <c r="AX244" s="51" t="n">
        <v>0</v>
      </c>
      <c r="AY244" s="52" t="n">
        <v>0</v>
      </c>
      <c r="AZ244" s="52" t="n">
        <v>0</v>
      </c>
      <c r="BA244" s="52" t="n">
        <v>0</v>
      </c>
      <c r="BB244" s="53" t="n">
        <v>0</v>
      </c>
      <c r="BC244" s="52" t="n">
        <v>0</v>
      </c>
      <c r="BD244" s="53" t="n">
        <v>0</v>
      </c>
      <c r="BE244" s="52" t="n">
        <v>0</v>
      </c>
      <c r="BF244" s="51" t="n">
        <v>0</v>
      </c>
    </row>
    <row r="245">
      <c r="A245">
        <f>HYPERLINK("https://www.walmart.com/ip/5368827247", "5368827247")</f>
        <v/>
      </c>
      <c r="B245" t="inlineStr">
        <is>
          <t>Solaris Surf Poncho Changing Towel Robe for Women Men, Lightweight Changing Robe with Packable Bags, Water Absorbent Wetsuit Beach Hoode Towel for Surfing Swimming</t>
        </is>
      </c>
      <c r="C245" t="inlineStr">
        <is>
          <t>1SLBR103-PB</t>
        </is>
      </c>
      <c r="D245" t="inlineStr">
        <is>
          <t>Towels &amp; Washcloths</t>
        </is>
      </c>
      <c r="E245" t="inlineStr">
        <is>
          <t>Solaris</t>
        </is>
      </c>
      <c r="G245" s="48" t="n">
        <v>0</v>
      </c>
      <c r="H245" s="49" t="n">
        <v>0</v>
      </c>
      <c r="I245" s="49" t="n">
        <v>0</v>
      </c>
      <c r="J245" s="50" t="n">
        <v>0</v>
      </c>
      <c r="K245" s="51" t="n">
        <v>0</v>
      </c>
      <c r="L245" s="52" t="n">
        <v>0</v>
      </c>
      <c r="M245" s="52" t="n">
        <v>0</v>
      </c>
      <c r="N245" s="52" t="n">
        <v>0</v>
      </c>
      <c r="O245" s="53" t="n">
        <v>0</v>
      </c>
      <c r="P245" s="52" t="n">
        <v>0</v>
      </c>
      <c r="Q245" s="53" t="n">
        <v>0</v>
      </c>
      <c r="R245" s="52" t="n">
        <v>0</v>
      </c>
      <c r="S245" s="51" t="n">
        <v>0</v>
      </c>
      <c r="T245" s="48" t="n">
        <v>0</v>
      </c>
      <c r="U245" s="49" t="n">
        <v>0</v>
      </c>
      <c r="V245" s="49" t="n">
        <v>0</v>
      </c>
      <c r="W245" s="50" t="n">
        <v>0</v>
      </c>
      <c r="X245" s="51" t="n">
        <v>0</v>
      </c>
      <c r="Y245" s="52" t="n">
        <v>0</v>
      </c>
      <c r="Z245" s="52" t="n">
        <v>0</v>
      </c>
      <c r="AA245" s="52" t="n">
        <v>0</v>
      </c>
      <c r="AB245" s="53" t="n">
        <v>0</v>
      </c>
      <c r="AC245" s="52" t="n">
        <v>0</v>
      </c>
      <c r="AD245" s="53" t="n">
        <v>0</v>
      </c>
      <c r="AE245" s="52" t="n">
        <v>0</v>
      </c>
      <c r="AF245" s="51" t="n">
        <v>0</v>
      </c>
      <c r="AG245" s="48" t="n">
        <v>0</v>
      </c>
      <c r="AH245" s="49" t="n">
        <v>0</v>
      </c>
      <c r="AI245" s="49" t="n">
        <v>0</v>
      </c>
      <c r="AJ245" s="50" t="n">
        <v>0</v>
      </c>
      <c r="AK245" s="51" t="n">
        <v>0</v>
      </c>
      <c r="AL245" s="52" t="n">
        <v>0</v>
      </c>
      <c r="AM245" s="52" t="n">
        <v>0</v>
      </c>
      <c r="AN245" s="52" t="n">
        <v>0</v>
      </c>
      <c r="AO245" s="53" t="n">
        <v>0</v>
      </c>
      <c r="AP245" s="52" t="n">
        <v>0</v>
      </c>
      <c r="AQ245" s="53" t="n">
        <v>0</v>
      </c>
      <c r="AR245" s="52" t="n">
        <v>0</v>
      </c>
      <c r="AS245" s="51" t="n">
        <v>0</v>
      </c>
      <c r="AT245" s="48" t="n">
        <v>0</v>
      </c>
      <c r="AU245" s="49" t="n">
        <v>0</v>
      </c>
      <c r="AV245" s="49" t="n">
        <v>0</v>
      </c>
      <c r="AW245" s="50" t="n">
        <v>0</v>
      </c>
      <c r="AX245" s="51" t="n">
        <v>0</v>
      </c>
      <c r="AY245" s="52" t="n">
        <v>0</v>
      </c>
      <c r="AZ245" s="52" t="n">
        <v>0</v>
      </c>
      <c r="BA245" s="52" t="n">
        <v>0</v>
      </c>
      <c r="BB245" s="53" t="n">
        <v>0</v>
      </c>
      <c r="BC245" s="52" t="n">
        <v>0</v>
      </c>
      <c r="BD245" s="53" t="n">
        <v>0</v>
      </c>
      <c r="BE245" s="52" t="n">
        <v>0</v>
      </c>
      <c r="BF245" s="51" t="n">
        <v>0</v>
      </c>
    </row>
    <row r="246">
      <c r="A246">
        <f>HYPERLINK("https://www.walmart.com/ip/627759443", "627759443")</f>
        <v/>
      </c>
      <c r="B246" t="inlineStr">
        <is>
          <t>Insulated Lunch Box for Women Men, Leakproof Thermal Reusable Lunch Bag with 2 Zipper Pockets for Adult &amp; Kids, Lunch Bag Cooler Tote for Office Work</t>
        </is>
      </c>
      <c r="C246" t="inlineStr">
        <is>
          <t>1WMLB705BKGY</t>
        </is>
      </c>
      <c r="D246" t="inlineStr">
        <is>
          <t>Reusable Lunch Bags &amp; Boxes</t>
        </is>
      </c>
      <c r="E246" t="inlineStr">
        <is>
          <t>Flyingstar</t>
        </is>
      </c>
      <c r="F246" t="inlineStr">
        <is>
          <t>Lunch Bag</t>
        </is>
      </c>
      <c r="G246" s="48" t="n">
        <v>0</v>
      </c>
      <c r="H246" s="49" t="n">
        <v>0</v>
      </c>
      <c r="I246" s="49" t="n">
        <v>0</v>
      </c>
      <c r="J246" s="50" t="n">
        <v>0</v>
      </c>
      <c r="K246" s="51" t="n">
        <v>0</v>
      </c>
      <c r="L246" s="52" t="n">
        <v>0</v>
      </c>
      <c r="M246" s="52" t="n">
        <v>0</v>
      </c>
      <c r="N246" s="52" t="n">
        <v>0</v>
      </c>
      <c r="O246" s="53" t="n">
        <v>0</v>
      </c>
      <c r="P246" s="52" t="n">
        <v>0</v>
      </c>
      <c r="Q246" s="53" t="n">
        <v>0</v>
      </c>
      <c r="R246" s="52" t="n">
        <v>0</v>
      </c>
      <c r="S246" s="51" t="n">
        <v>0</v>
      </c>
      <c r="T246" s="48" t="n">
        <v>0</v>
      </c>
      <c r="U246" s="49" t="n">
        <v>0</v>
      </c>
      <c r="V246" s="49" t="n">
        <v>0</v>
      </c>
      <c r="W246" s="50" t="n">
        <v>0</v>
      </c>
      <c r="X246" s="51" t="n">
        <v>0</v>
      </c>
      <c r="Y246" s="52" t="n">
        <v>0</v>
      </c>
      <c r="Z246" s="52" t="n">
        <v>0</v>
      </c>
      <c r="AA246" s="52" t="n">
        <v>0</v>
      </c>
      <c r="AB246" s="53" t="n">
        <v>0</v>
      </c>
      <c r="AC246" s="52" t="n">
        <v>0</v>
      </c>
      <c r="AD246" s="53" t="n">
        <v>0</v>
      </c>
      <c r="AE246" s="52" t="n">
        <v>0</v>
      </c>
      <c r="AF246" s="51" t="n">
        <v>0</v>
      </c>
      <c r="AG246" s="48" t="n">
        <v>0</v>
      </c>
      <c r="AH246" s="49" t="n">
        <v>0</v>
      </c>
      <c r="AI246" s="49" t="n">
        <v>0</v>
      </c>
      <c r="AJ246" s="50" t="n">
        <v>0</v>
      </c>
      <c r="AK246" s="51" t="n">
        <v>0</v>
      </c>
      <c r="AL246" s="52" t="n">
        <v>0</v>
      </c>
      <c r="AM246" s="52" t="n">
        <v>0</v>
      </c>
      <c r="AN246" s="52" t="n">
        <v>0</v>
      </c>
      <c r="AO246" s="53" t="n">
        <v>0</v>
      </c>
      <c r="AP246" s="52" t="n">
        <v>0</v>
      </c>
      <c r="AQ246" s="53" t="n">
        <v>0</v>
      </c>
      <c r="AR246" s="52" t="n">
        <v>0</v>
      </c>
      <c r="AS246" s="51" t="n">
        <v>0</v>
      </c>
      <c r="AT246" s="48" t="n">
        <v>0</v>
      </c>
      <c r="AU246" s="49" t="n">
        <v>0</v>
      </c>
      <c r="AV246" s="49" t="n">
        <v>0</v>
      </c>
      <c r="AW246" s="50" t="n">
        <v>0</v>
      </c>
      <c r="AX246" s="51" t="n">
        <v>0</v>
      </c>
      <c r="AY246" s="52" t="n">
        <v>0</v>
      </c>
      <c r="AZ246" s="52" t="n">
        <v>0</v>
      </c>
      <c r="BA246" s="52" t="n">
        <v>0</v>
      </c>
      <c r="BB246" s="53" t="n">
        <v>0</v>
      </c>
      <c r="BC246" s="52" t="n">
        <v>0</v>
      </c>
      <c r="BD246" s="53" t="n">
        <v>0</v>
      </c>
      <c r="BE246" s="52" t="n">
        <v>0</v>
      </c>
      <c r="BF246" s="51" t="n">
        <v>0</v>
      </c>
    </row>
    <row r="247">
      <c r="A247">
        <f>HYPERLINK("https://www.walmart.com/ip/536649546", "536649546")</f>
        <v/>
      </c>
      <c r="B247" t="inlineStr">
        <is>
          <t>Catalonia Snuggie Tails Toddlers Blanket Kids Sleep Bag Warm Plush Super Soft for Baby Children Teen Boy Girl</t>
        </is>
      </c>
      <c r="C247" t="inlineStr">
        <is>
          <t>1WMMM200NM</t>
        </is>
      </c>
      <c r="D247" t="inlineStr">
        <is>
          <t>Bed Blankets</t>
        </is>
      </c>
      <c r="E247" t="inlineStr">
        <is>
          <t>Flyingstar</t>
        </is>
      </c>
      <c r="F247" t="inlineStr">
        <is>
          <t>Baby days,Optimized</t>
        </is>
      </c>
      <c r="G247" s="48" t="n">
        <v>0</v>
      </c>
      <c r="H247" s="49" t="n">
        <v>0</v>
      </c>
      <c r="I247" s="49" t="n">
        <v>0</v>
      </c>
      <c r="J247" s="50" t="n">
        <v>0</v>
      </c>
      <c r="K247" s="51" t="n">
        <v>0</v>
      </c>
      <c r="L247" s="52" t="n">
        <v>0</v>
      </c>
      <c r="M247" s="52" t="n">
        <v>0</v>
      </c>
      <c r="N247" s="52" t="n">
        <v>0</v>
      </c>
      <c r="O247" s="53" t="n">
        <v>0</v>
      </c>
      <c r="P247" s="52" t="n">
        <v>0</v>
      </c>
      <c r="Q247" s="53" t="n">
        <v>0</v>
      </c>
      <c r="R247" s="52" t="n">
        <v>0</v>
      </c>
      <c r="S247" s="51" t="n">
        <v>0</v>
      </c>
      <c r="T247" s="48" t="n">
        <v>0</v>
      </c>
      <c r="U247" s="49" t="n">
        <v>0</v>
      </c>
      <c r="V247" s="49" t="n">
        <v>0</v>
      </c>
      <c r="W247" s="50" t="n">
        <v>0</v>
      </c>
      <c r="X247" s="51" t="n">
        <v>0</v>
      </c>
      <c r="Y247" s="52" t="n">
        <v>0</v>
      </c>
      <c r="Z247" s="52" t="n">
        <v>0</v>
      </c>
      <c r="AA247" s="52" t="n">
        <v>0</v>
      </c>
      <c r="AB247" s="53" t="n">
        <v>0</v>
      </c>
      <c r="AC247" s="52" t="n">
        <v>0</v>
      </c>
      <c r="AD247" s="53" t="n">
        <v>0</v>
      </c>
      <c r="AE247" s="52" t="n">
        <v>0</v>
      </c>
      <c r="AF247" s="51" t="n">
        <v>0</v>
      </c>
      <c r="AG247" s="48" t="n">
        <v>0</v>
      </c>
      <c r="AH247" s="49" t="n">
        <v>0</v>
      </c>
      <c r="AI247" s="49" t="n">
        <v>0</v>
      </c>
      <c r="AJ247" s="50" t="n">
        <v>0</v>
      </c>
      <c r="AK247" s="51" t="n">
        <v>0</v>
      </c>
      <c r="AL247" s="52" t="n">
        <v>0</v>
      </c>
      <c r="AM247" s="52" t="n">
        <v>0</v>
      </c>
      <c r="AN247" s="52" t="n">
        <v>0</v>
      </c>
      <c r="AO247" s="53" t="n">
        <v>0</v>
      </c>
      <c r="AP247" s="52" t="n">
        <v>0</v>
      </c>
      <c r="AQ247" s="53" t="n">
        <v>0</v>
      </c>
      <c r="AR247" s="52" t="n">
        <v>0</v>
      </c>
      <c r="AS247" s="51" t="n">
        <v>0</v>
      </c>
      <c r="AT247" s="48" t="n">
        <v>0</v>
      </c>
      <c r="AU247" s="49" t="n">
        <v>0</v>
      </c>
      <c r="AV247" s="49" t="n">
        <v>0</v>
      </c>
      <c r="AW247" s="50" t="n">
        <v>0</v>
      </c>
      <c r="AX247" s="51" t="n">
        <v>0</v>
      </c>
      <c r="AY247" s="52" t="n">
        <v>0</v>
      </c>
      <c r="AZ247" s="52" t="n">
        <v>0</v>
      </c>
      <c r="BA247" s="52" t="n">
        <v>0</v>
      </c>
      <c r="BB247" s="53" t="n">
        <v>0</v>
      </c>
      <c r="BC247" s="52" t="n">
        <v>0</v>
      </c>
      <c r="BD247" s="53" t="n">
        <v>0</v>
      </c>
      <c r="BE247" s="52" t="n">
        <v>0</v>
      </c>
      <c r="BF247" s="51" t="n">
        <v>0</v>
      </c>
    </row>
    <row r="248">
      <c r="A248">
        <f>HYPERLINK("https://www.walmart.com/ip/5364892569", "5364892569")</f>
        <v/>
      </c>
      <c r="B248" t="inlineStr">
        <is>
          <t>Tirrinia Large Insulated Cooler Bag Outdoor Leakproof Cooler Tote Portable Freezer Bag with Adjustable Shoulder Strap for Picnic, Beach</t>
        </is>
      </c>
      <c r="C248" t="inlineStr">
        <is>
          <t>1TRCB00224GNCAMO</t>
        </is>
      </c>
      <c r="D248" t="inlineStr">
        <is>
          <t>Thermocoolers</t>
        </is>
      </c>
      <c r="E248" t="inlineStr">
        <is>
          <t>Tirrinia</t>
        </is>
      </c>
      <c r="G248" s="48" t="n">
        <v>0</v>
      </c>
      <c r="H248" s="49" t="n">
        <v>0</v>
      </c>
      <c r="I248" s="49" t="n">
        <v>0</v>
      </c>
      <c r="J248" s="50" t="n">
        <v>0</v>
      </c>
      <c r="K248" s="51" t="n">
        <v>0</v>
      </c>
      <c r="L248" s="52" t="n">
        <v>0</v>
      </c>
      <c r="M248" s="52" t="n">
        <v>0</v>
      </c>
      <c r="N248" s="52" t="n">
        <v>0</v>
      </c>
      <c r="O248" s="53" t="n">
        <v>0</v>
      </c>
      <c r="P248" s="52" t="n">
        <v>0</v>
      </c>
      <c r="Q248" s="53" t="n">
        <v>0</v>
      </c>
      <c r="R248" s="52" t="n">
        <v>0</v>
      </c>
      <c r="S248" s="51" t="n">
        <v>0</v>
      </c>
      <c r="T248" s="48" t="n">
        <v>0</v>
      </c>
      <c r="U248" s="49" t="n">
        <v>0</v>
      </c>
      <c r="V248" s="49" t="n">
        <v>0</v>
      </c>
      <c r="W248" s="50" t="n">
        <v>0</v>
      </c>
      <c r="X248" s="51" t="n">
        <v>0</v>
      </c>
      <c r="Y248" s="52" t="n">
        <v>0</v>
      </c>
      <c r="Z248" s="52" t="n">
        <v>0</v>
      </c>
      <c r="AA248" s="52" t="n">
        <v>0</v>
      </c>
      <c r="AB248" s="53" t="n">
        <v>0</v>
      </c>
      <c r="AC248" s="52" t="n">
        <v>0</v>
      </c>
      <c r="AD248" s="53" t="n">
        <v>0</v>
      </c>
      <c r="AE248" s="52" t="n">
        <v>0</v>
      </c>
      <c r="AF248" s="51" t="n">
        <v>0</v>
      </c>
      <c r="AG248" s="48" t="n">
        <v>0</v>
      </c>
      <c r="AH248" s="49" t="n">
        <v>0</v>
      </c>
      <c r="AI248" s="49" t="n">
        <v>0</v>
      </c>
      <c r="AJ248" s="50" t="n">
        <v>0</v>
      </c>
      <c r="AK248" s="51" t="n">
        <v>0</v>
      </c>
      <c r="AL248" s="52" t="n">
        <v>0</v>
      </c>
      <c r="AM248" s="52" t="n">
        <v>0</v>
      </c>
      <c r="AN248" s="52" t="n">
        <v>0</v>
      </c>
      <c r="AO248" s="53" t="n">
        <v>0</v>
      </c>
      <c r="AP248" s="52" t="n">
        <v>0</v>
      </c>
      <c r="AQ248" s="53" t="n">
        <v>0</v>
      </c>
      <c r="AR248" s="52" t="n">
        <v>0</v>
      </c>
      <c r="AS248" s="51" t="n">
        <v>0</v>
      </c>
      <c r="AT248" s="48" t="n">
        <v>0</v>
      </c>
      <c r="AU248" s="49" t="n">
        <v>0</v>
      </c>
      <c r="AV248" s="49" t="n">
        <v>0</v>
      </c>
      <c r="AW248" s="50" t="n">
        <v>0</v>
      </c>
      <c r="AX248" s="51" t="n">
        <v>0</v>
      </c>
      <c r="AY248" s="52" t="n">
        <v>0</v>
      </c>
      <c r="AZ248" s="52" t="n">
        <v>0</v>
      </c>
      <c r="BA248" s="52" t="n">
        <v>0</v>
      </c>
      <c r="BB248" s="53" t="n">
        <v>0</v>
      </c>
      <c r="BC248" s="52" t="n">
        <v>0</v>
      </c>
      <c r="BD248" s="53" t="n">
        <v>0</v>
      </c>
      <c r="BE248" s="52" t="n">
        <v>0</v>
      </c>
      <c r="BF248" s="51" t="n">
        <v>0</v>
      </c>
    </row>
    <row r="249">
      <c r="A249">
        <f>HYPERLINK("https://www.walmart.com/ip/535930770", "535930770")</f>
        <v/>
      </c>
      <c r="B249" t="inlineStr">
        <is>
          <t>Medium Pet Travel Backpack Carrier for Dogs Cat Animal Puppy, Breathable Mesh Net Removable Sherpa Bed Outdoor Carrier f</t>
        </is>
      </c>
      <c r="C249" t="inlineStr">
        <is>
          <t>1WMPB200GN</t>
        </is>
      </c>
      <c r="D249" t="inlineStr">
        <is>
          <t>Pet Carriers</t>
        </is>
      </c>
      <c r="E249" t="inlineStr">
        <is>
          <t>Flyingstar</t>
        </is>
      </c>
      <c r="G249" s="48" t="n">
        <v>0</v>
      </c>
      <c r="H249" s="49" t="n">
        <v>0</v>
      </c>
      <c r="I249" s="49" t="n">
        <v>0</v>
      </c>
      <c r="J249" s="50" t="n">
        <v>0</v>
      </c>
      <c r="K249" s="51" t="n">
        <v>0</v>
      </c>
      <c r="L249" s="52" t="n">
        <v>0</v>
      </c>
      <c r="M249" s="52" t="n">
        <v>0</v>
      </c>
      <c r="N249" s="52" t="n">
        <v>0</v>
      </c>
      <c r="O249" s="53" t="n">
        <v>0</v>
      </c>
      <c r="P249" s="52" t="n">
        <v>0</v>
      </c>
      <c r="Q249" s="53" t="n">
        <v>0</v>
      </c>
      <c r="R249" s="52" t="n">
        <v>0</v>
      </c>
      <c r="S249" s="51" t="n">
        <v>0</v>
      </c>
      <c r="T249" s="48" t="n">
        <v>0</v>
      </c>
      <c r="U249" s="49" t="n">
        <v>0</v>
      </c>
      <c r="V249" s="49" t="n">
        <v>0</v>
      </c>
      <c r="W249" s="50" t="n">
        <v>0</v>
      </c>
      <c r="X249" s="51" t="n">
        <v>0</v>
      </c>
      <c r="Y249" s="52" t="n">
        <v>0</v>
      </c>
      <c r="Z249" s="52" t="n">
        <v>0</v>
      </c>
      <c r="AA249" s="52" t="n">
        <v>0</v>
      </c>
      <c r="AB249" s="53" t="n">
        <v>0</v>
      </c>
      <c r="AC249" s="52" t="n">
        <v>0</v>
      </c>
      <c r="AD249" s="53" t="n">
        <v>0</v>
      </c>
      <c r="AE249" s="52" t="n">
        <v>0</v>
      </c>
      <c r="AF249" s="51" t="n">
        <v>0</v>
      </c>
      <c r="AG249" s="48" t="n">
        <v>0</v>
      </c>
      <c r="AH249" s="49" t="n">
        <v>0</v>
      </c>
      <c r="AI249" s="49" t="n">
        <v>0</v>
      </c>
      <c r="AJ249" s="50" t="n">
        <v>0</v>
      </c>
      <c r="AK249" s="51" t="n">
        <v>0</v>
      </c>
      <c r="AL249" s="52" t="n">
        <v>0</v>
      </c>
      <c r="AM249" s="52" t="n">
        <v>0</v>
      </c>
      <c r="AN249" s="52" t="n">
        <v>0</v>
      </c>
      <c r="AO249" s="53" t="n">
        <v>0</v>
      </c>
      <c r="AP249" s="52" t="n">
        <v>0</v>
      </c>
      <c r="AQ249" s="53" t="n">
        <v>0</v>
      </c>
      <c r="AR249" s="52" t="n">
        <v>0</v>
      </c>
      <c r="AS249" s="51" t="n">
        <v>0</v>
      </c>
      <c r="AT249" s="48" t="n">
        <v>0</v>
      </c>
      <c r="AU249" s="49" t="n">
        <v>0</v>
      </c>
      <c r="AV249" s="49" t="n">
        <v>0</v>
      </c>
      <c r="AW249" s="50" t="n">
        <v>0</v>
      </c>
      <c r="AX249" s="51" t="n">
        <v>0</v>
      </c>
      <c r="AY249" s="52" t="n">
        <v>0</v>
      </c>
      <c r="AZ249" s="52" t="n">
        <v>0</v>
      </c>
      <c r="BA249" s="52" t="n">
        <v>0</v>
      </c>
      <c r="BB249" s="53" t="n">
        <v>0</v>
      </c>
      <c r="BC249" s="52" t="n">
        <v>0</v>
      </c>
      <c r="BD249" s="53" t="n">
        <v>0</v>
      </c>
      <c r="BE249" s="52" t="n">
        <v>0</v>
      </c>
      <c r="BF249" s="51" t="n">
        <v>0</v>
      </c>
    </row>
    <row r="250">
      <c r="A250">
        <f>HYPERLINK("https://www.walmart.com/ip/6281619506", "6281619506")</f>
        <v/>
      </c>
      <c r="B250" t="inlineStr">
        <is>
          <t>Tirrinia Lightweight Beach Poncho Towel with Hood for Adult Quick Dry Travel Surfer Pool Camping Beach Accessories Vacation Essential Summer</t>
        </is>
      </c>
      <c r="C250" t="inlineStr">
        <is>
          <t>1TRBC201STARFISH</t>
        </is>
      </c>
      <c r="D250" t="inlineStr">
        <is>
          <t>Towels &amp; Washcloths</t>
        </is>
      </c>
      <c r="E250" t="inlineStr">
        <is>
          <t>Tirrinia</t>
        </is>
      </c>
      <c r="G250" s="48" t="n">
        <v>0</v>
      </c>
      <c r="H250" s="49" t="n">
        <v>0</v>
      </c>
      <c r="I250" s="49" t="n">
        <v>0</v>
      </c>
      <c r="J250" s="50" t="n">
        <v>0</v>
      </c>
      <c r="K250" s="51" t="n">
        <v>0</v>
      </c>
      <c r="L250" s="52" t="n">
        <v>0</v>
      </c>
      <c r="M250" s="52" t="n">
        <v>0</v>
      </c>
      <c r="N250" s="52" t="n">
        <v>0</v>
      </c>
      <c r="O250" s="53" t="n">
        <v>0</v>
      </c>
      <c r="P250" s="52" t="n">
        <v>0</v>
      </c>
      <c r="Q250" s="53" t="n">
        <v>0</v>
      </c>
      <c r="R250" s="52" t="n">
        <v>0</v>
      </c>
      <c r="S250" s="51" t="n">
        <v>0</v>
      </c>
      <c r="T250" s="48" t="n">
        <v>0</v>
      </c>
      <c r="U250" s="49" t="n">
        <v>0</v>
      </c>
      <c r="V250" s="49" t="n">
        <v>0</v>
      </c>
      <c r="W250" s="50" t="n">
        <v>0</v>
      </c>
      <c r="X250" s="51" t="n">
        <v>0</v>
      </c>
      <c r="Y250" s="52" t="n">
        <v>0</v>
      </c>
      <c r="Z250" s="52" t="n">
        <v>0</v>
      </c>
      <c r="AA250" s="52" t="n">
        <v>0</v>
      </c>
      <c r="AB250" s="53" t="n">
        <v>0</v>
      </c>
      <c r="AC250" s="52" t="n">
        <v>0</v>
      </c>
      <c r="AD250" s="53" t="n">
        <v>0</v>
      </c>
      <c r="AE250" s="52" t="n">
        <v>0</v>
      </c>
      <c r="AF250" s="51" t="n">
        <v>0</v>
      </c>
      <c r="AG250" s="48" t="n">
        <v>0</v>
      </c>
      <c r="AH250" s="49" t="n">
        <v>0</v>
      </c>
      <c r="AI250" s="49" t="n">
        <v>0</v>
      </c>
      <c r="AJ250" s="50" t="n">
        <v>0</v>
      </c>
      <c r="AK250" s="51" t="n">
        <v>0</v>
      </c>
      <c r="AL250" s="52" t="n">
        <v>0</v>
      </c>
      <c r="AM250" s="52" t="n">
        <v>0</v>
      </c>
      <c r="AN250" s="52" t="n">
        <v>0</v>
      </c>
      <c r="AO250" s="53" t="n">
        <v>0</v>
      </c>
      <c r="AP250" s="52" t="n">
        <v>0</v>
      </c>
      <c r="AQ250" s="53" t="n">
        <v>0</v>
      </c>
      <c r="AR250" s="52" t="n">
        <v>0</v>
      </c>
      <c r="AS250" s="51" t="n">
        <v>0</v>
      </c>
      <c r="AT250" s="48" t="n">
        <v>0</v>
      </c>
      <c r="AU250" s="49" t="n">
        <v>0</v>
      </c>
      <c r="AV250" s="49" t="n">
        <v>0</v>
      </c>
      <c r="AW250" s="50" t="n">
        <v>0</v>
      </c>
      <c r="AX250" s="51" t="n">
        <v>0</v>
      </c>
      <c r="AY250" s="52" t="n">
        <v>0</v>
      </c>
      <c r="AZ250" s="52" t="n">
        <v>0</v>
      </c>
      <c r="BA250" s="52" t="n">
        <v>0</v>
      </c>
      <c r="BB250" s="53" t="n">
        <v>0</v>
      </c>
      <c r="BC250" s="52" t="n">
        <v>0</v>
      </c>
      <c r="BD250" s="53" t="n">
        <v>0</v>
      </c>
      <c r="BE250" s="52" t="n">
        <v>0</v>
      </c>
      <c r="BF250" s="51" t="n">
        <v>0</v>
      </c>
    </row>
    <row r="251">
      <c r="A251">
        <f>HYPERLINK("https://www.walmart.com/ip/535341508", "535341508")</f>
        <v/>
      </c>
      <c r="B251" t="inlineStr">
        <is>
          <t>100% Polar Fleece Skull Cap Warm and Cozy Beanie</t>
        </is>
      </c>
      <c r="C251" t="inlineStr">
        <is>
          <t>1SLW1810NV-FSCB</t>
        </is>
      </c>
      <c r="D251" t="inlineStr">
        <is>
          <t>Hats</t>
        </is>
      </c>
      <c r="E251" t="inlineStr">
        <is>
          <t>Solaris</t>
        </is>
      </c>
      <c r="F251" t="inlineStr">
        <is>
          <t>Optimized</t>
        </is>
      </c>
      <c r="G251" s="48" t="n">
        <v>0</v>
      </c>
      <c r="H251" s="49" t="n">
        <v>0</v>
      </c>
      <c r="I251" s="49" t="n">
        <v>0</v>
      </c>
      <c r="J251" s="50" t="n">
        <v>0</v>
      </c>
      <c r="K251" s="51" t="n">
        <v>0</v>
      </c>
      <c r="L251" s="52" t="n">
        <v>0</v>
      </c>
      <c r="M251" s="52" t="n">
        <v>0</v>
      </c>
      <c r="N251" s="52" t="n">
        <v>0</v>
      </c>
      <c r="O251" s="53" t="n">
        <v>0</v>
      </c>
      <c r="P251" s="52" t="n">
        <v>0</v>
      </c>
      <c r="Q251" s="53" t="n">
        <v>0</v>
      </c>
      <c r="R251" s="52" t="n">
        <v>0</v>
      </c>
      <c r="S251" s="51" t="n">
        <v>0</v>
      </c>
      <c r="T251" s="48" t="n">
        <v>0</v>
      </c>
      <c r="U251" s="49" t="n">
        <v>0</v>
      </c>
      <c r="V251" s="49" t="n">
        <v>0</v>
      </c>
      <c r="W251" s="50" t="n">
        <v>0</v>
      </c>
      <c r="X251" s="51" t="n">
        <v>0</v>
      </c>
      <c r="Y251" s="52" t="n">
        <v>0</v>
      </c>
      <c r="Z251" s="52" t="n">
        <v>0</v>
      </c>
      <c r="AA251" s="52" t="n">
        <v>0</v>
      </c>
      <c r="AB251" s="53" t="n">
        <v>0</v>
      </c>
      <c r="AC251" s="52" t="n">
        <v>0</v>
      </c>
      <c r="AD251" s="53" t="n">
        <v>0</v>
      </c>
      <c r="AE251" s="52" t="n">
        <v>0</v>
      </c>
      <c r="AF251" s="51" t="n">
        <v>0</v>
      </c>
      <c r="AG251" s="48" t="n">
        <v>0</v>
      </c>
      <c r="AH251" s="49" t="n">
        <v>0</v>
      </c>
      <c r="AI251" s="49" t="n">
        <v>0</v>
      </c>
      <c r="AJ251" s="50" t="n">
        <v>0</v>
      </c>
      <c r="AK251" s="51" t="n">
        <v>0</v>
      </c>
      <c r="AL251" s="52" t="n">
        <v>0</v>
      </c>
      <c r="AM251" s="52" t="n">
        <v>0</v>
      </c>
      <c r="AN251" s="52" t="n">
        <v>0</v>
      </c>
      <c r="AO251" s="53" t="n">
        <v>0</v>
      </c>
      <c r="AP251" s="52" t="n">
        <v>0</v>
      </c>
      <c r="AQ251" s="53" t="n">
        <v>0</v>
      </c>
      <c r="AR251" s="52" t="n">
        <v>0</v>
      </c>
      <c r="AS251" s="51" t="n">
        <v>0</v>
      </c>
      <c r="AT251" s="48" t="n">
        <v>0</v>
      </c>
      <c r="AU251" s="49" t="n">
        <v>0</v>
      </c>
      <c r="AV251" s="49" t="n">
        <v>0</v>
      </c>
      <c r="AW251" s="50" t="n">
        <v>0</v>
      </c>
      <c r="AX251" s="51" t="n">
        <v>0</v>
      </c>
      <c r="AY251" s="52" t="n">
        <v>0</v>
      </c>
      <c r="AZ251" s="52" t="n">
        <v>0</v>
      </c>
      <c r="BA251" s="52" t="n">
        <v>0</v>
      </c>
      <c r="BB251" s="53" t="n">
        <v>0</v>
      </c>
      <c r="BC251" s="52" t="n">
        <v>0</v>
      </c>
      <c r="BD251" s="53" t="n">
        <v>0</v>
      </c>
      <c r="BE251" s="52" t="n">
        <v>0</v>
      </c>
      <c r="BF251" s="51" t="n">
        <v>0</v>
      </c>
    </row>
    <row r="252">
      <c r="A252">
        <f>HYPERLINK("https://www.walmart.com/ip/538275788", "538275788")</f>
        <v/>
      </c>
      <c r="B252" t="inlineStr">
        <is>
          <t>NAPA Sherpa Throw Blanket Snow 50" x 70", Plush Bed Throw TV Decorative Fluffy</t>
        </is>
      </c>
      <c r="C252" t="inlineStr">
        <is>
          <t>K8022-LBL</t>
        </is>
      </c>
      <c r="D252" t="inlineStr">
        <is>
          <t>Throws</t>
        </is>
      </c>
      <c r="E252" t="inlineStr">
        <is>
          <t>NAPA</t>
        </is>
      </c>
      <c r="F252" t="inlineStr">
        <is>
          <t>Optimized</t>
        </is>
      </c>
      <c r="G252" s="48" t="n">
        <v>0</v>
      </c>
      <c r="H252" s="49" t="n">
        <v>0</v>
      </c>
      <c r="I252" s="49" t="n">
        <v>0</v>
      </c>
      <c r="J252" s="50" t="n">
        <v>0</v>
      </c>
      <c r="K252" s="51" t="n">
        <v>0</v>
      </c>
      <c r="L252" s="52" t="n">
        <v>0</v>
      </c>
      <c r="M252" s="52" t="n">
        <v>0</v>
      </c>
      <c r="N252" s="52" t="n">
        <v>0</v>
      </c>
      <c r="O252" s="53" t="n">
        <v>0</v>
      </c>
      <c r="P252" s="52" t="n">
        <v>0</v>
      </c>
      <c r="Q252" s="53" t="n">
        <v>0</v>
      </c>
      <c r="R252" s="52" t="n">
        <v>0</v>
      </c>
      <c r="S252" s="51" t="n">
        <v>0</v>
      </c>
      <c r="T252" s="48" t="n">
        <v>0</v>
      </c>
      <c r="U252" s="49" t="n">
        <v>0</v>
      </c>
      <c r="V252" s="49" t="n">
        <v>0</v>
      </c>
      <c r="W252" s="50" t="n">
        <v>0</v>
      </c>
      <c r="X252" s="51" t="n">
        <v>0</v>
      </c>
      <c r="Y252" s="52" t="n">
        <v>0</v>
      </c>
      <c r="Z252" s="52" t="n">
        <v>0</v>
      </c>
      <c r="AA252" s="52" t="n">
        <v>0</v>
      </c>
      <c r="AB252" s="53" t="n">
        <v>0</v>
      </c>
      <c r="AC252" s="52" t="n">
        <v>0</v>
      </c>
      <c r="AD252" s="53" t="n">
        <v>0</v>
      </c>
      <c r="AE252" s="52" t="n">
        <v>0</v>
      </c>
      <c r="AF252" s="51" t="n">
        <v>0</v>
      </c>
      <c r="AG252" s="48" t="n">
        <v>0</v>
      </c>
      <c r="AH252" s="49" t="n">
        <v>0</v>
      </c>
      <c r="AI252" s="49" t="n">
        <v>0</v>
      </c>
      <c r="AJ252" s="50" t="n">
        <v>0</v>
      </c>
      <c r="AK252" s="51" t="n">
        <v>0</v>
      </c>
      <c r="AL252" s="52" t="n">
        <v>0</v>
      </c>
      <c r="AM252" s="52" t="n">
        <v>0</v>
      </c>
      <c r="AN252" s="52" t="n">
        <v>0</v>
      </c>
      <c r="AO252" s="53" t="n">
        <v>0</v>
      </c>
      <c r="AP252" s="52" t="n">
        <v>0</v>
      </c>
      <c r="AQ252" s="53" t="n">
        <v>0</v>
      </c>
      <c r="AR252" s="52" t="n">
        <v>0</v>
      </c>
      <c r="AS252" s="51" t="n">
        <v>0</v>
      </c>
      <c r="AT252" s="48" t="n">
        <v>0</v>
      </c>
      <c r="AU252" s="49" t="n">
        <v>0</v>
      </c>
      <c r="AV252" s="49" t="n">
        <v>0</v>
      </c>
      <c r="AW252" s="50" t="n">
        <v>0</v>
      </c>
      <c r="AX252" s="51" t="n">
        <v>0</v>
      </c>
      <c r="AY252" s="52" t="n">
        <v>0</v>
      </c>
      <c r="AZ252" s="52" t="n">
        <v>0</v>
      </c>
      <c r="BA252" s="52" t="n">
        <v>0</v>
      </c>
      <c r="BB252" s="53" t="n">
        <v>0</v>
      </c>
      <c r="BC252" s="52" t="n">
        <v>0</v>
      </c>
      <c r="BD252" s="53" t="n">
        <v>0</v>
      </c>
      <c r="BE252" s="52" t="n">
        <v>0</v>
      </c>
      <c r="BF252" s="51" t="n">
        <v>0</v>
      </c>
    </row>
    <row r="253">
      <c r="A253">
        <f>HYPERLINK("https://www.walmart.com/ip/539257939", "539257939")</f>
        <v/>
      </c>
      <c r="B253" t="inlineStr">
        <is>
          <t>Microplush Sherpa Blanket with Sleeves for Women and Men</t>
        </is>
      </c>
      <c r="C253" t="inlineStr">
        <is>
          <t>1TRSN410P2RD-UPC</t>
        </is>
      </c>
      <c r="D253" t="inlineStr">
        <is>
          <t>Throws</t>
        </is>
      </c>
      <c r="E253" t="inlineStr">
        <is>
          <t>Tirrinia</t>
        </is>
      </c>
      <c r="F253" t="inlineStr">
        <is>
          <t>Optimized</t>
        </is>
      </c>
      <c r="G253" s="48" t="n">
        <v>0</v>
      </c>
      <c r="H253" s="49" t="n">
        <v>0</v>
      </c>
      <c r="I253" s="49" t="n">
        <v>0</v>
      </c>
      <c r="J253" s="50" t="n">
        <v>0</v>
      </c>
      <c r="K253" s="51" t="n">
        <v>0</v>
      </c>
      <c r="L253" s="52" t="n">
        <v>0</v>
      </c>
      <c r="M253" s="52" t="n">
        <v>0</v>
      </c>
      <c r="N253" s="52" t="n">
        <v>0</v>
      </c>
      <c r="O253" s="53" t="n">
        <v>0</v>
      </c>
      <c r="P253" s="52" t="n">
        <v>0</v>
      </c>
      <c r="Q253" s="53" t="n">
        <v>0</v>
      </c>
      <c r="R253" s="52" t="n">
        <v>0</v>
      </c>
      <c r="S253" s="51" t="n">
        <v>0</v>
      </c>
      <c r="T253" s="48" t="n">
        <v>0</v>
      </c>
      <c r="U253" s="49" t="n">
        <v>0</v>
      </c>
      <c r="V253" s="49" t="n">
        <v>0</v>
      </c>
      <c r="W253" s="50" t="n">
        <v>0</v>
      </c>
      <c r="X253" s="51" t="n">
        <v>0</v>
      </c>
      <c r="Y253" s="52" t="n">
        <v>0</v>
      </c>
      <c r="Z253" s="52" t="n">
        <v>0</v>
      </c>
      <c r="AA253" s="52" t="n">
        <v>0</v>
      </c>
      <c r="AB253" s="53" t="n">
        <v>0</v>
      </c>
      <c r="AC253" s="52" t="n">
        <v>0</v>
      </c>
      <c r="AD253" s="53" t="n">
        <v>0</v>
      </c>
      <c r="AE253" s="52" t="n">
        <v>0</v>
      </c>
      <c r="AF253" s="51" t="n">
        <v>0</v>
      </c>
      <c r="AG253" s="48" t="n">
        <v>0</v>
      </c>
      <c r="AH253" s="49" t="n">
        <v>0</v>
      </c>
      <c r="AI253" s="49" t="n">
        <v>0</v>
      </c>
      <c r="AJ253" s="50" t="n">
        <v>0</v>
      </c>
      <c r="AK253" s="51" t="n">
        <v>0</v>
      </c>
      <c r="AL253" s="52" t="n">
        <v>0</v>
      </c>
      <c r="AM253" s="52" t="n">
        <v>0</v>
      </c>
      <c r="AN253" s="52" t="n">
        <v>0</v>
      </c>
      <c r="AO253" s="53" t="n">
        <v>0</v>
      </c>
      <c r="AP253" s="52" t="n">
        <v>0</v>
      </c>
      <c r="AQ253" s="53" t="n">
        <v>0</v>
      </c>
      <c r="AR253" s="52" t="n">
        <v>0</v>
      </c>
      <c r="AS253" s="51" t="n">
        <v>0</v>
      </c>
      <c r="AT253" s="48" t="n">
        <v>0</v>
      </c>
      <c r="AU253" s="49" t="n">
        <v>0</v>
      </c>
      <c r="AV253" s="49" t="n">
        <v>0</v>
      </c>
      <c r="AW253" s="50" t="n">
        <v>0</v>
      </c>
      <c r="AX253" s="51" t="n">
        <v>0</v>
      </c>
      <c r="AY253" s="52" t="n">
        <v>0</v>
      </c>
      <c r="AZ253" s="52" t="n">
        <v>0</v>
      </c>
      <c r="BA253" s="52" t="n">
        <v>0</v>
      </c>
      <c r="BB253" s="53" t="n">
        <v>0</v>
      </c>
      <c r="BC253" s="52" t="n">
        <v>0</v>
      </c>
      <c r="BD253" s="53" t="n">
        <v>0</v>
      </c>
      <c r="BE253" s="52" t="n">
        <v>0</v>
      </c>
      <c r="BF253" s="51" t="n">
        <v>0</v>
      </c>
    </row>
    <row r="254">
      <c r="A254">
        <f>HYPERLINK("https://www.walmart.com/ip/548162405", "548162405")</f>
        <v/>
      </c>
      <c r="B254" t="inlineStr">
        <is>
          <t>Pawsse Waterproof Pet Snuggle Blanket, Dog Puppy Cat Fleece Sherpa Throws Cushion Mat for Car Seat Furniture Protector Cover Medium 50"x60"</t>
        </is>
      </c>
      <c r="C254" t="inlineStr">
        <is>
          <t>1PSBW561BRTP</t>
        </is>
      </c>
      <c r="D254" t="inlineStr">
        <is>
          <t>Pet Blankets</t>
        </is>
      </c>
      <c r="E254" t="inlineStr">
        <is>
          <t>Pawsse</t>
        </is>
      </c>
      <c r="F254" t="inlineStr">
        <is>
          <t>Q2-Target,Optimized</t>
        </is>
      </c>
      <c r="G254" s="48" t="n">
        <v>0</v>
      </c>
      <c r="H254" s="49" t="n">
        <v>0</v>
      </c>
      <c r="I254" s="49" t="n">
        <v>2</v>
      </c>
      <c r="J254" s="50" t="n">
        <v>0</v>
      </c>
      <c r="K254" s="51" t="n">
        <v>0</v>
      </c>
      <c r="L254" s="52" t="n">
        <v>0</v>
      </c>
      <c r="M254" s="52" t="n">
        <v>0</v>
      </c>
      <c r="N254" s="52" t="n">
        <v>0</v>
      </c>
      <c r="O254" s="53" t="n">
        <v>0</v>
      </c>
      <c r="P254" s="52" t="n">
        <v>0</v>
      </c>
      <c r="Q254" s="53" t="n">
        <v>0</v>
      </c>
      <c r="R254" s="52" t="n">
        <v>0</v>
      </c>
      <c r="S254" s="51" t="n">
        <v>348</v>
      </c>
      <c r="T254" s="48" t="n">
        <v>51.98</v>
      </c>
      <c r="U254" s="49" t="n">
        <v>2</v>
      </c>
      <c r="V254" s="49" t="n">
        <v>6</v>
      </c>
      <c r="W254" s="50" t="n">
        <v>0.3333333333333333</v>
      </c>
      <c r="X254" s="51" t="n">
        <v>0</v>
      </c>
      <c r="Y254" s="52" t="n">
        <v>0</v>
      </c>
      <c r="Z254" s="52" t="n">
        <v>0</v>
      </c>
      <c r="AA254" s="52" t="n">
        <v>0</v>
      </c>
      <c r="AB254" s="53" t="n">
        <v>0</v>
      </c>
      <c r="AC254" s="52" t="n">
        <v>0</v>
      </c>
      <c r="AD254" s="53" t="n">
        <v>0</v>
      </c>
      <c r="AE254" s="52" t="n">
        <v>25.99</v>
      </c>
      <c r="AF254" s="51" t="n">
        <v>504</v>
      </c>
      <c r="AG254" s="48" t="n">
        <v>0</v>
      </c>
      <c r="AH254" s="49" t="n">
        <v>0</v>
      </c>
      <c r="AI254" s="49" t="n">
        <v>1</v>
      </c>
      <c r="AJ254" s="50" t="n">
        <v>0</v>
      </c>
      <c r="AK254" s="51" t="n">
        <v>0</v>
      </c>
      <c r="AL254" s="52" t="n">
        <v>0</v>
      </c>
      <c r="AM254" s="52" t="n">
        <v>0</v>
      </c>
      <c r="AN254" s="52" t="n">
        <v>0</v>
      </c>
      <c r="AO254" s="53" t="n">
        <v>0</v>
      </c>
      <c r="AP254" s="52" t="n">
        <v>0</v>
      </c>
      <c r="AQ254" s="53" t="n">
        <v>0</v>
      </c>
      <c r="AR254" s="52" t="n">
        <v>0</v>
      </c>
      <c r="AS254" s="51" t="n">
        <v>562</v>
      </c>
      <c r="AT254" s="48" t="n">
        <v>0</v>
      </c>
      <c r="AU254" s="49" t="n">
        <v>0</v>
      </c>
      <c r="AV254" s="49" t="n">
        <v>0</v>
      </c>
      <c r="AW254" s="50" t="n">
        <v>0</v>
      </c>
      <c r="AX254" s="51" t="n">
        <v>0</v>
      </c>
      <c r="AY254" s="52" t="n">
        <v>0</v>
      </c>
      <c r="AZ254" s="52" t="n">
        <v>0</v>
      </c>
      <c r="BA254" s="52" t="n">
        <v>0</v>
      </c>
      <c r="BB254" s="53" t="n">
        <v>0</v>
      </c>
      <c r="BC254" s="52" t="n">
        <v>0</v>
      </c>
      <c r="BD254" s="53" t="n">
        <v>0</v>
      </c>
      <c r="BE254" s="52" t="n">
        <v>0</v>
      </c>
      <c r="BF254" s="51" t="n">
        <v>406</v>
      </c>
    </row>
    <row r="255">
      <c r="A255">
        <f>HYPERLINK("https://www.walmart.com/ip/545152348", "545152348")</f>
        <v/>
      </c>
      <c r="B255" t="inlineStr">
        <is>
          <t>Catalonia Mermaid Tail Fleece Blanket, Mermaid Blankets for Beds, Super Soft Coral Plush Snuggle Sleeping Bag for Teen Girls, Green, 60'' x 21''</t>
        </is>
      </c>
      <c r="C255" t="inlineStr">
        <is>
          <t>1CTMP100GN</t>
        </is>
      </c>
      <c r="D255" t="inlineStr">
        <is>
          <t>Mermaid Tails</t>
        </is>
      </c>
      <c r="E255" t="inlineStr">
        <is>
          <t>Catalonia</t>
        </is>
      </c>
      <c r="F255" t="inlineStr">
        <is>
          <t>Baby days,WFS,Coupon_Discount,WFS Item</t>
        </is>
      </c>
      <c r="G255" s="48" t="n">
        <v>0</v>
      </c>
      <c r="H255" s="49" t="n">
        <v>0</v>
      </c>
      <c r="I255" s="49" t="n">
        <v>0</v>
      </c>
      <c r="J255" s="50" t="n">
        <v>0</v>
      </c>
      <c r="K255" s="51" t="n">
        <v>0</v>
      </c>
      <c r="L255" s="52" t="n">
        <v>0</v>
      </c>
      <c r="M255" s="52" t="n">
        <v>0</v>
      </c>
      <c r="N255" s="52" t="n">
        <v>0</v>
      </c>
      <c r="O255" s="53" t="n">
        <v>0</v>
      </c>
      <c r="P255" s="52" t="n">
        <v>0</v>
      </c>
      <c r="Q255" s="53" t="n">
        <v>0</v>
      </c>
      <c r="R255" s="52" t="n">
        <v>0</v>
      </c>
      <c r="S255" s="51" t="n">
        <v>0</v>
      </c>
      <c r="T255" s="48" t="n">
        <v>0</v>
      </c>
      <c r="U255" s="49" t="n">
        <v>0</v>
      </c>
      <c r="V255" s="49" t="n">
        <v>0</v>
      </c>
      <c r="W255" s="50" t="n">
        <v>0</v>
      </c>
      <c r="X255" s="51" t="n">
        <v>0</v>
      </c>
      <c r="Y255" s="52" t="n">
        <v>0</v>
      </c>
      <c r="Z255" s="52" t="n">
        <v>0</v>
      </c>
      <c r="AA255" s="52" t="n">
        <v>0</v>
      </c>
      <c r="AB255" s="53" t="n">
        <v>0</v>
      </c>
      <c r="AC255" s="52" t="n">
        <v>0</v>
      </c>
      <c r="AD255" s="53" t="n">
        <v>0</v>
      </c>
      <c r="AE255" s="52" t="n">
        <v>0</v>
      </c>
      <c r="AF255" s="51" t="n">
        <v>0</v>
      </c>
      <c r="AG255" s="48" t="n">
        <v>0</v>
      </c>
      <c r="AH255" s="49" t="n">
        <v>0</v>
      </c>
      <c r="AI255" s="49" t="n">
        <v>0</v>
      </c>
      <c r="AJ255" s="50" t="n">
        <v>0</v>
      </c>
      <c r="AK255" s="51" t="n">
        <v>0</v>
      </c>
      <c r="AL255" s="52" t="n">
        <v>0</v>
      </c>
      <c r="AM255" s="52" t="n">
        <v>0</v>
      </c>
      <c r="AN255" s="52" t="n">
        <v>0</v>
      </c>
      <c r="AO255" s="53" t="n">
        <v>0</v>
      </c>
      <c r="AP255" s="52" t="n">
        <v>0</v>
      </c>
      <c r="AQ255" s="53" t="n">
        <v>0</v>
      </c>
      <c r="AR255" s="52" t="n">
        <v>0</v>
      </c>
      <c r="AS255" s="51" t="n">
        <v>0</v>
      </c>
      <c r="AT255" s="48" t="n">
        <v>0</v>
      </c>
      <c r="AU255" s="49" t="n">
        <v>0</v>
      </c>
      <c r="AV255" s="49" t="n">
        <v>0</v>
      </c>
      <c r="AW255" s="50" t="n">
        <v>0</v>
      </c>
      <c r="AX255" s="51" t="n">
        <v>0</v>
      </c>
      <c r="AY255" s="52" t="n">
        <v>0</v>
      </c>
      <c r="AZ255" s="52" t="n">
        <v>0</v>
      </c>
      <c r="BA255" s="52" t="n">
        <v>0</v>
      </c>
      <c r="BB255" s="53" t="n">
        <v>0</v>
      </c>
      <c r="BC255" s="52" t="n">
        <v>0</v>
      </c>
      <c r="BD255" s="53" t="n">
        <v>0</v>
      </c>
      <c r="BE255" s="52" t="n">
        <v>0</v>
      </c>
      <c r="BF255" s="51" t="n">
        <v>0</v>
      </c>
    </row>
    <row r="256">
      <c r="A256">
        <f>HYPERLINK("https://www.walmart.com/ip/5478273129", "5478273129")</f>
        <v/>
      </c>
      <c r="B256" t="inlineStr">
        <is>
          <t>Tirrinia Large Insulated Lunch Bag for Men and Women, Adult Double-Layer Leakproof Reusable Grocery Bag, Office, Travel, Work Lunch Cooler Tote</t>
        </is>
      </c>
      <c r="C256" t="inlineStr">
        <is>
          <t>1TRLB708BK-D</t>
        </is>
      </c>
      <c r="D256" t="inlineStr">
        <is>
          <t>Reusable Lunch Bags &amp; Boxes</t>
        </is>
      </c>
      <c r="E256" t="inlineStr">
        <is>
          <t>Tirrinia</t>
        </is>
      </c>
      <c r="G256" s="48" t="n">
        <v>0</v>
      </c>
      <c r="H256" s="49" t="n">
        <v>0</v>
      </c>
      <c r="I256" s="49" t="n">
        <v>0</v>
      </c>
      <c r="J256" s="50" t="n">
        <v>0</v>
      </c>
      <c r="K256" s="51" t="n">
        <v>0</v>
      </c>
      <c r="L256" s="52" t="n">
        <v>0</v>
      </c>
      <c r="M256" s="52" t="n">
        <v>0</v>
      </c>
      <c r="N256" s="52" t="n">
        <v>0</v>
      </c>
      <c r="O256" s="53" t="n">
        <v>0</v>
      </c>
      <c r="P256" s="52" t="n">
        <v>0</v>
      </c>
      <c r="Q256" s="53" t="n">
        <v>0</v>
      </c>
      <c r="R256" s="52" t="n">
        <v>0</v>
      </c>
      <c r="S256" s="51" t="n">
        <v>0</v>
      </c>
      <c r="T256" s="48" t="n">
        <v>17.99</v>
      </c>
      <c r="U256" s="49" t="n">
        <v>1</v>
      </c>
      <c r="V256" s="49" t="n">
        <v>1</v>
      </c>
      <c r="W256" s="50" t="n">
        <v>1</v>
      </c>
      <c r="X256" s="51" t="n">
        <v>0</v>
      </c>
      <c r="Y256" s="52" t="n">
        <v>0</v>
      </c>
      <c r="Z256" s="52" t="n">
        <v>0</v>
      </c>
      <c r="AA256" s="52" t="n">
        <v>0</v>
      </c>
      <c r="AB256" s="53" t="n">
        <v>0</v>
      </c>
      <c r="AC256" s="52" t="n">
        <v>0</v>
      </c>
      <c r="AD256" s="53" t="n">
        <v>0</v>
      </c>
      <c r="AE256" s="52" t="n">
        <v>17.99</v>
      </c>
      <c r="AF256" s="51" t="n">
        <v>0</v>
      </c>
      <c r="AG256" s="48" t="n">
        <v>24.98</v>
      </c>
      <c r="AH256" s="49" t="n">
        <v>1</v>
      </c>
      <c r="AI256" s="49" t="n">
        <v>5</v>
      </c>
      <c r="AJ256" s="50" t="n">
        <v>0.2</v>
      </c>
      <c r="AK256" s="51" t="n">
        <v>0</v>
      </c>
      <c r="AL256" s="52" t="n">
        <v>0</v>
      </c>
      <c r="AM256" s="52" t="n">
        <v>0</v>
      </c>
      <c r="AN256" s="52" t="n">
        <v>0</v>
      </c>
      <c r="AO256" s="53" t="n">
        <v>0</v>
      </c>
      <c r="AP256" s="52" t="n">
        <v>0</v>
      </c>
      <c r="AQ256" s="53" t="n">
        <v>0</v>
      </c>
      <c r="AR256" s="52" t="n">
        <v>24.98</v>
      </c>
      <c r="AS256" s="51" t="n">
        <v>0</v>
      </c>
      <c r="AT256" s="48" t="n">
        <v>0</v>
      </c>
      <c r="AU256" s="49" t="n">
        <v>0</v>
      </c>
      <c r="AV256" s="49" t="n">
        <v>0</v>
      </c>
      <c r="AW256" s="50" t="n">
        <v>0</v>
      </c>
      <c r="AX256" s="51" t="n">
        <v>0</v>
      </c>
      <c r="AY256" s="52" t="n">
        <v>0</v>
      </c>
      <c r="AZ256" s="52" t="n">
        <v>0</v>
      </c>
      <c r="BA256" s="52" t="n">
        <v>0</v>
      </c>
      <c r="BB256" s="53" t="n">
        <v>0</v>
      </c>
      <c r="BC256" s="52" t="n">
        <v>0</v>
      </c>
      <c r="BD256" s="53" t="n">
        <v>0</v>
      </c>
      <c r="BE256" s="52" t="n">
        <v>0</v>
      </c>
      <c r="BF256" s="51" t="n">
        <v>0</v>
      </c>
    </row>
    <row r="257">
      <c r="A257">
        <f>HYPERLINK("https://www.walmart.com/ip/547741708", "547741708")</f>
        <v/>
      </c>
      <c r="B257" t="inlineStr">
        <is>
          <t>UV Protection Fishing Hat, Wide Brim Sun Hats for Men Women Cooling Hat</t>
        </is>
      </c>
      <c r="C257" t="inlineStr">
        <is>
          <t>1WMCH100OL</t>
        </is>
      </c>
      <c r="D257" t="inlineStr">
        <is>
          <t>Hats</t>
        </is>
      </c>
      <c r="E257" t="inlineStr">
        <is>
          <t>Flyingstar</t>
        </is>
      </c>
      <c r="F257" t="inlineStr">
        <is>
          <t>Optimized,Hats</t>
        </is>
      </c>
      <c r="G257" s="48" t="n">
        <v>0</v>
      </c>
      <c r="H257" s="49" t="n">
        <v>0</v>
      </c>
      <c r="I257" s="49" t="n">
        <v>0</v>
      </c>
      <c r="J257" s="50" t="n">
        <v>0</v>
      </c>
      <c r="K257" s="51" t="n">
        <v>0</v>
      </c>
      <c r="L257" s="52" t="n">
        <v>0</v>
      </c>
      <c r="M257" s="52" t="n">
        <v>0</v>
      </c>
      <c r="N257" s="52" t="n">
        <v>0</v>
      </c>
      <c r="O257" s="53" t="n">
        <v>0</v>
      </c>
      <c r="P257" s="52" t="n">
        <v>0</v>
      </c>
      <c r="Q257" s="53" t="n">
        <v>0</v>
      </c>
      <c r="R257" s="52" t="n">
        <v>0</v>
      </c>
      <c r="S257" s="51" t="n">
        <v>0</v>
      </c>
      <c r="T257" s="48" t="n">
        <v>0</v>
      </c>
      <c r="U257" s="49" t="n">
        <v>0</v>
      </c>
      <c r="V257" s="49" t="n">
        <v>0</v>
      </c>
      <c r="W257" s="50" t="n">
        <v>0</v>
      </c>
      <c r="X257" s="51" t="n">
        <v>0</v>
      </c>
      <c r="Y257" s="52" t="n">
        <v>0</v>
      </c>
      <c r="Z257" s="52" t="n">
        <v>0</v>
      </c>
      <c r="AA257" s="52" t="n">
        <v>0</v>
      </c>
      <c r="AB257" s="53" t="n">
        <v>0</v>
      </c>
      <c r="AC257" s="52" t="n">
        <v>0</v>
      </c>
      <c r="AD257" s="53" t="n">
        <v>0</v>
      </c>
      <c r="AE257" s="52" t="n">
        <v>0</v>
      </c>
      <c r="AF257" s="51" t="n">
        <v>0</v>
      </c>
      <c r="AG257" s="48" t="n">
        <v>0</v>
      </c>
      <c r="AH257" s="49" t="n">
        <v>0</v>
      </c>
      <c r="AI257" s="49" t="n">
        <v>0</v>
      </c>
      <c r="AJ257" s="50" t="n">
        <v>0</v>
      </c>
      <c r="AK257" s="51" t="n">
        <v>0</v>
      </c>
      <c r="AL257" s="52" t="n">
        <v>0</v>
      </c>
      <c r="AM257" s="52" t="n">
        <v>0</v>
      </c>
      <c r="AN257" s="52" t="n">
        <v>0</v>
      </c>
      <c r="AO257" s="53" t="n">
        <v>0</v>
      </c>
      <c r="AP257" s="52" t="n">
        <v>0</v>
      </c>
      <c r="AQ257" s="53" t="n">
        <v>0</v>
      </c>
      <c r="AR257" s="52" t="n">
        <v>0</v>
      </c>
      <c r="AS257" s="51" t="n">
        <v>0</v>
      </c>
      <c r="AT257" s="48" t="n">
        <v>0</v>
      </c>
      <c r="AU257" s="49" t="n">
        <v>0</v>
      </c>
      <c r="AV257" s="49" t="n">
        <v>0</v>
      </c>
      <c r="AW257" s="50" t="n">
        <v>0</v>
      </c>
      <c r="AX257" s="51" t="n">
        <v>0</v>
      </c>
      <c r="AY257" s="52" t="n">
        <v>0</v>
      </c>
      <c r="AZ257" s="52" t="n">
        <v>0</v>
      </c>
      <c r="BA257" s="52" t="n">
        <v>0</v>
      </c>
      <c r="BB257" s="53" t="n">
        <v>0</v>
      </c>
      <c r="BC257" s="52" t="n">
        <v>0</v>
      </c>
      <c r="BD257" s="53" t="n">
        <v>0</v>
      </c>
      <c r="BE257" s="52" t="n">
        <v>0</v>
      </c>
      <c r="BF257" s="51" t="n">
        <v>0</v>
      </c>
    </row>
    <row r="258">
      <c r="A258">
        <f>HYPERLINK("https://www.walmart.com/ip/547576637", "547576637")</f>
        <v/>
      </c>
      <c r="B258" t="inlineStr">
        <is>
          <t>Tirrinia Insulated 2 Bottle Wine Carrier Tote Cooler Bag for Travel Picnic Padded Champagne Glass</t>
        </is>
      </c>
      <c r="C258" t="inlineStr">
        <is>
          <t>1TRWB231BLSTR</t>
        </is>
      </c>
      <c r="D258" t="inlineStr">
        <is>
          <t>Wine Totes, Bags &amp; Backpacks</t>
        </is>
      </c>
      <c r="E258" t="inlineStr">
        <is>
          <t>Tirrinia</t>
        </is>
      </c>
      <c r="F258" t="inlineStr">
        <is>
          <t>Wine,Wine Bag Camp,Christmas,WFS,Wine WFS,Valentine,WFS Item</t>
        </is>
      </c>
      <c r="G258" s="48" t="n">
        <v>0</v>
      </c>
      <c r="H258" s="49" t="n">
        <v>0</v>
      </c>
      <c r="I258" s="49" t="n">
        <v>0</v>
      </c>
      <c r="J258" s="50" t="n">
        <v>0</v>
      </c>
      <c r="K258" s="51" t="n">
        <v>0</v>
      </c>
      <c r="L258" s="52" t="n">
        <v>0</v>
      </c>
      <c r="M258" s="52" t="n">
        <v>0</v>
      </c>
      <c r="N258" s="52" t="n">
        <v>0</v>
      </c>
      <c r="O258" s="53" t="n">
        <v>0</v>
      </c>
      <c r="P258" s="52" t="n">
        <v>0</v>
      </c>
      <c r="Q258" s="53" t="n">
        <v>0</v>
      </c>
      <c r="R258" s="52" t="n">
        <v>0</v>
      </c>
      <c r="S258" s="51" t="n">
        <v>559</v>
      </c>
      <c r="T258" s="48" t="n">
        <v>0</v>
      </c>
      <c r="U258" s="49" t="n">
        <v>0</v>
      </c>
      <c r="V258" s="49" t="n">
        <v>0</v>
      </c>
      <c r="W258" s="50" t="n">
        <v>0</v>
      </c>
      <c r="X258" s="51" t="n">
        <v>0</v>
      </c>
      <c r="Y258" s="52" t="n">
        <v>0</v>
      </c>
      <c r="Z258" s="52" t="n">
        <v>0</v>
      </c>
      <c r="AA258" s="52" t="n">
        <v>0</v>
      </c>
      <c r="AB258" s="53" t="n">
        <v>0</v>
      </c>
      <c r="AC258" s="52" t="n">
        <v>0</v>
      </c>
      <c r="AD258" s="53" t="n">
        <v>0</v>
      </c>
      <c r="AE258" s="52" t="n">
        <v>0</v>
      </c>
      <c r="AF258" s="51" t="n">
        <v>489</v>
      </c>
      <c r="AG258" s="48" t="n">
        <v>0</v>
      </c>
      <c r="AH258" s="49" t="n">
        <v>0</v>
      </c>
      <c r="AI258" s="49" t="n">
        <v>0</v>
      </c>
      <c r="AJ258" s="50" t="n">
        <v>0</v>
      </c>
      <c r="AK258" s="51" t="n">
        <v>0</v>
      </c>
      <c r="AL258" s="52" t="n">
        <v>0</v>
      </c>
      <c r="AM258" s="52" t="n">
        <v>0</v>
      </c>
      <c r="AN258" s="52" t="n">
        <v>0</v>
      </c>
      <c r="AO258" s="53" t="n">
        <v>0</v>
      </c>
      <c r="AP258" s="52" t="n">
        <v>0</v>
      </c>
      <c r="AQ258" s="53" t="n">
        <v>0</v>
      </c>
      <c r="AR258" s="52" t="n">
        <v>0</v>
      </c>
      <c r="AS258" s="51" t="n">
        <v>511</v>
      </c>
      <c r="AT258" s="48" t="n">
        <v>0</v>
      </c>
      <c r="AU258" s="49" t="n">
        <v>0</v>
      </c>
      <c r="AV258" s="49" t="n">
        <v>0</v>
      </c>
      <c r="AW258" s="50" t="n">
        <v>0</v>
      </c>
      <c r="AX258" s="51" t="n">
        <v>0</v>
      </c>
      <c r="AY258" s="52" t="n">
        <v>0</v>
      </c>
      <c r="AZ258" s="52" t="n">
        <v>0</v>
      </c>
      <c r="BA258" s="52" t="n">
        <v>0</v>
      </c>
      <c r="BB258" s="53" t="n">
        <v>0</v>
      </c>
      <c r="BC258" s="52" t="n">
        <v>0</v>
      </c>
      <c r="BD258" s="53" t="n">
        <v>0</v>
      </c>
      <c r="BE258" s="52" t="n">
        <v>0</v>
      </c>
      <c r="BF258" s="51" t="n">
        <v>453</v>
      </c>
    </row>
    <row r="259">
      <c r="A259">
        <f>HYPERLINK("https://www.walmart.com/ip/5470711911", "5470711911")</f>
        <v/>
      </c>
      <c r="B259" t="inlineStr">
        <is>
          <t>Tirrinia Large Insulated Lunch Bag for Men and Women, Adult Double-Layer Leakproof Reusable Grocery Bag, Office, Travel, Work Lunch Cooler Tote Charcoal</t>
        </is>
      </c>
      <c r="C259" t="inlineStr">
        <is>
          <t>1TRLB708CH-D</t>
        </is>
      </c>
      <c r="D259" t="inlineStr">
        <is>
          <t>Reusable Lunch Bags &amp; Boxes</t>
        </is>
      </c>
      <c r="E259" t="inlineStr">
        <is>
          <t>Tirrinia</t>
        </is>
      </c>
      <c r="G259" s="48" t="n">
        <v>0</v>
      </c>
      <c r="H259" s="49" t="n">
        <v>0</v>
      </c>
      <c r="I259" s="49" t="n">
        <v>0</v>
      </c>
      <c r="J259" s="50" t="n">
        <v>0</v>
      </c>
      <c r="K259" s="51" t="n">
        <v>0</v>
      </c>
      <c r="L259" s="52" t="n">
        <v>0</v>
      </c>
      <c r="M259" s="52" t="n">
        <v>0</v>
      </c>
      <c r="N259" s="52" t="n">
        <v>0</v>
      </c>
      <c r="O259" s="53" t="n">
        <v>0</v>
      </c>
      <c r="P259" s="52" t="n">
        <v>0</v>
      </c>
      <c r="Q259" s="53" t="n">
        <v>0</v>
      </c>
      <c r="R259" s="52" t="n">
        <v>0</v>
      </c>
      <c r="S259" s="51" t="n">
        <v>0</v>
      </c>
      <c r="T259" s="48" t="n">
        <v>0</v>
      </c>
      <c r="U259" s="49" t="n">
        <v>0</v>
      </c>
      <c r="V259" s="49" t="n">
        <v>0</v>
      </c>
      <c r="W259" s="50" t="n">
        <v>0</v>
      </c>
      <c r="X259" s="51" t="n">
        <v>0</v>
      </c>
      <c r="Y259" s="52" t="n">
        <v>0</v>
      </c>
      <c r="Z259" s="52" t="n">
        <v>0</v>
      </c>
      <c r="AA259" s="52" t="n">
        <v>0</v>
      </c>
      <c r="AB259" s="53" t="n">
        <v>0</v>
      </c>
      <c r="AC259" s="52" t="n">
        <v>0</v>
      </c>
      <c r="AD259" s="53" t="n">
        <v>0</v>
      </c>
      <c r="AE259" s="52" t="n">
        <v>0</v>
      </c>
      <c r="AF259" s="51" t="n">
        <v>0</v>
      </c>
      <c r="AG259" s="48" t="n">
        <v>0</v>
      </c>
      <c r="AH259" s="49" t="n">
        <v>0</v>
      </c>
      <c r="AI259" s="49" t="n">
        <v>0</v>
      </c>
      <c r="AJ259" s="50" t="n">
        <v>0</v>
      </c>
      <c r="AK259" s="51" t="n">
        <v>0</v>
      </c>
      <c r="AL259" s="52" t="n">
        <v>0</v>
      </c>
      <c r="AM259" s="52" t="n">
        <v>0</v>
      </c>
      <c r="AN259" s="52" t="n">
        <v>0</v>
      </c>
      <c r="AO259" s="53" t="n">
        <v>0</v>
      </c>
      <c r="AP259" s="52" t="n">
        <v>0</v>
      </c>
      <c r="AQ259" s="53" t="n">
        <v>0</v>
      </c>
      <c r="AR259" s="52" t="n">
        <v>0</v>
      </c>
      <c r="AS259" s="51" t="n">
        <v>0</v>
      </c>
      <c r="AT259" s="48" t="n">
        <v>0</v>
      </c>
      <c r="AU259" s="49" t="n">
        <v>0</v>
      </c>
      <c r="AV259" s="49" t="n">
        <v>0</v>
      </c>
      <c r="AW259" s="50" t="n">
        <v>0</v>
      </c>
      <c r="AX259" s="51" t="n">
        <v>0</v>
      </c>
      <c r="AY259" s="52" t="n">
        <v>0</v>
      </c>
      <c r="AZ259" s="52" t="n">
        <v>0</v>
      </c>
      <c r="BA259" s="52" t="n">
        <v>0</v>
      </c>
      <c r="BB259" s="53" t="n">
        <v>0</v>
      </c>
      <c r="BC259" s="52" t="n">
        <v>0</v>
      </c>
      <c r="BD259" s="53" t="n">
        <v>0</v>
      </c>
      <c r="BE259" s="52" t="n">
        <v>0</v>
      </c>
      <c r="BF259" s="51" t="n">
        <v>0</v>
      </c>
    </row>
    <row r="260">
      <c r="A260">
        <f>HYPERLINK("https://www.walmart.com/ip/5466654409", "5466654409")</f>
        <v/>
      </c>
      <c r="B260" t="inlineStr">
        <is>
          <t>Outdoor Wide Brim Sun Hats Blocking UV Protection Cap UPF 50+ Foldable Mesh Net for Finishing, Hiking, Camping by Solari</t>
        </is>
      </c>
      <c r="C260" t="inlineStr">
        <is>
          <t>1SLSH912CAMO-A</t>
        </is>
      </c>
      <c r="D260" t="inlineStr">
        <is>
          <t>Hats</t>
        </is>
      </c>
      <c r="E260" t="inlineStr">
        <is>
          <t>Solaris</t>
        </is>
      </c>
      <c r="G260" s="48" t="n">
        <v>0</v>
      </c>
      <c r="H260" s="49" t="n">
        <v>0</v>
      </c>
      <c r="I260" s="49" t="n">
        <v>0</v>
      </c>
      <c r="J260" s="50" t="n">
        <v>0</v>
      </c>
      <c r="K260" s="51" t="n">
        <v>0</v>
      </c>
      <c r="L260" s="52" t="n">
        <v>0</v>
      </c>
      <c r="M260" s="52" t="n">
        <v>0</v>
      </c>
      <c r="N260" s="52" t="n">
        <v>0</v>
      </c>
      <c r="O260" s="53" t="n">
        <v>0</v>
      </c>
      <c r="P260" s="52" t="n">
        <v>0</v>
      </c>
      <c r="Q260" s="53" t="n">
        <v>0</v>
      </c>
      <c r="R260" s="52" t="n">
        <v>0</v>
      </c>
      <c r="S260" s="51" t="n">
        <v>0</v>
      </c>
      <c r="T260" s="48" t="n">
        <v>0</v>
      </c>
      <c r="U260" s="49" t="n">
        <v>0</v>
      </c>
      <c r="V260" s="49" t="n">
        <v>0</v>
      </c>
      <c r="W260" s="50" t="n">
        <v>0</v>
      </c>
      <c r="X260" s="51" t="n">
        <v>0</v>
      </c>
      <c r="Y260" s="52" t="n">
        <v>0</v>
      </c>
      <c r="Z260" s="52" t="n">
        <v>0</v>
      </c>
      <c r="AA260" s="52" t="n">
        <v>0</v>
      </c>
      <c r="AB260" s="53" t="n">
        <v>0</v>
      </c>
      <c r="AC260" s="52" t="n">
        <v>0</v>
      </c>
      <c r="AD260" s="53" t="n">
        <v>0</v>
      </c>
      <c r="AE260" s="52" t="n">
        <v>0</v>
      </c>
      <c r="AF260" s="51" t="n">
        <v>0</v>
      </c>
      <c r="AG260" s="48" t="n">
        <v>0</v>
      </c>
      <c r="AH260" s="49" t="n">
        <v>0</v>
      </c>
      <c r="AI260" s="49" t="n">
        <v>0</v>
      </c>
      <c r="AJ260" s="50" t="n">
        <v>0</v>
      </c>
      <c r="AK260" s="51" t="n">
        <v>0</v>
      </c>
      <c r="AL260" s="52" t="n">
        <v>0</v>
      </c>
      <c r="AM260" s="52" t="n">
        <v>0</v>
      </c>
      <c r="AN260" s="52" t="n">
        <v>0</v>
      </c>
      <c r="AO260" s="53" t="n">
        <v>0</v>
      </c>
      <c r="AP260" s="52" t="n">
        <v>0</v>
      </c>
      <c r="AQ260" s="53" t="n">
        <v>0</v>
      </c>
      <c r="AR260" s="52" t="n">
        <v>0</v>
      </c>
      <c r="AS260" s="51" t="n">
        <v>0</v>
      </c>
      <c r="AT260" s="48" t="n">
        <v>0</v>
      </c>
      <c r="AU260" s="49" t="n">
        <v>0</v>
      </c>
      <c r="AV260" s="49" t="n">
        <v>0</v>
      </c>
      <c r="AW260" s="50" t="n">
        <v>0</v>
      </c>
      <c r="AX260" s="51" t="n">
        <v>0</v>
      </c>
      <c r="AY260" s="52" t="n">
        <v>0</v>
      </c>
      <c r="AZ260" s="52" t="n">
        <v>0</v>
      </c>
      <c r="BA260" s="52" t="n">
        <v>0</v>
      </c>
      <c r="BB260" s="53" t="n">
        <v>0</v>
      </c>
      <c r="BC260" s="52" t="n">
        <v>0</v>
      </c>
      <c r="BD260" s="53" t="n">
        <v>0</v>
      </c>
      <c r="BE260" s="52" t="n">
        <v>0</v>
      </c>
      <c r="BF260" s="51" t="n">
        <v>0</v>
      </c>
    </row>
    <row r="261">
      <c r="A261">
        <f>HYPERLINK("https://www.walmart.com/ip/563122764", "563122764")</f>
        <v/>
      </c>
      <c r="B261" t="inlineStr">
        <is>
          <t>Sherpa Throw Blanket Fleece, Super Cozy Warm TV Blankets for Bed or Couch Reversible 50" x 60"</t>
        </is>
      </c>
      <c r="C261" t="inlineStr">
        <is>
          <t>1TNBF300BL-TPB</t>
        </is>
      </c>
      <c r="D261" t="inlineStr">
        <is>
          <t>Throws</t>
        </is>
      </c>
      <c r="E261" t="inlineStr">
        <is>
          <t>Tirrinia</t>
        </is>
      </c>
      <c r="G261" s="48" t="n">
        <v>0</v>
      </c>
      <c r="H261" s="49" t="n">
        <v>0</v>
      </c>
      <c r="I261" s="49" t="n">
        <v>0</v>
      </c>
      <c r="J261" s="50" t="n">
        <v>0</v>
      </c>
      <c r="K261" s="51" t="n">
        <v>0</v>
      </c>
      <c r="L261" s="52" t="n">
        <v>0</v>
      </c>
      <c r="M261" s="52" t="n">
        <v>0</v>
      </c>
      <c r="N261" s="52" t="n">
        <v>0</v>
      </c>
      <c r="O261" s="53" t="n">
        <v>0</v>
      </c>
      <c r="P261" s="52" t="n">
        <v>0</v>
      </c>
      <c r="Q261" s="53" t="n">
        <v>0</v>
      </c>
      <c r="R261" s="52" t="n">
        <v>0</v>
      </c>
      <c r="S261" s="51" t="n">
        <v>0</v>
      </c>
      <c r="T261" s="48" t="n">
        <v>0</v>
      </c>
      <c r="U261" s="49" t="n">
        <v>0</v>
      </c>
      <c r="V261" s="49" t="n">
        <v>0</v>
      </c>
      <c r="W261" s="50" t="n">
        <v>0</v>
      </c>
      <c r="X261" s="51" t="n">
        <v>0</v>
      </c>
      <c r="Y261" s="52" t="n">
        <v>0</v>
      </c>
      <c r="Z261" s="52" t="n">
        <v>0</v>
      </c>
      <c r="AA261" s="52" t="n">
        <v>0</v>
      </c>
      <c r="AB261" s="53" t="n">
        <v>0</v>
      </c>
      <c r="AC261" s="52" t="n">
        <v>0</v>
      </c>
      <c r="AD261" s="53" t="n">
        <v>0</v>
      </c>
      <c r="AE261" s="52" t="n">
        <v>0</v>
      </c>
      <c r="AF261" s="51" t="n">
        <v>0</v>
      </c>
      <c r="AG261" s="48" t="n">
        <v>0</v>
      </c>
      <c r="AH261" s="49" t="n">
        <v>0</v>
      </c>
      <c r="AI261" s="49" t="n">
        <v>0</v>
      </c>
      <c r="AJ261" s="50" t="n">
        <v>0</v>
      </c>
      <c r="AK261" s="51" t="n">
        <v>0</v>
      </c>
      <c r="AL261" s="52" t="n">
        <v>0</v>
      </c>
      <c r="AM261" s="52" t="n">
        <v>0</v>
      </c>
      <c r="AN261" s="52" t="n">
        <v>0</v>
      </c>
      <c r="AO261" s="53" t="n">
        <v>0</v>
      </c>
      <c r="AP261" s="52" t="n">
        <v>0</v>
      </c>
      <c r="AQ261" s="53" t="n">
        <v>0</v>
      </c>
      <c r="AR261" s="52" t="n">
        <v>0</v>
      </c>
      <c r="AS261" s="51" t="n">
        <v>0</v>
      </c>
      <c r="AT261" s="48" t="n">
        <v>0</v>
      </c>
      <c r="AU261" s="49" t="n">
        <v>0</v>
      </c>
      <c r="AV261" s="49" t="n">
        <v>0</v>
      </c>
      <c r="AW261" s="50" t="n">
        <v>0</v>
      </c>
      <c r="AX261" s="51" t="n">
        <v>0</v>
      </c>
      <c r="AY261" s="52" t="n">
        <v>0</v>
      </c>
      <c r="AZ261" s="52" t="n">
        <v>0</v>
      </c>
      <c r="BA261" s="52" t="n">
        <v>0</v>
      </c>
      <c r="BB261" s="53" t="n">
        <v>0</v>
      </c>
      <c r="BC261" s="52" t="n">
        <v>0</v>
      </c>
      <c r="BD261" s="53" t="n">
        <v>0</v>
      </c>
      <c r="BE261" s="52" t="n">
        <v>0</v>
      </c>
      <c r="BF261" s="51" t="n">
        <v>0</v>
      </c>
    </row>
    <row r="262">
      <c r="A262">
        <f>HYPERLINK("https://www.walmart.com/ip/619536116", "619536116")</f>
        <v/>
      </c>
      <c r="B262" t="inlineStr">
        <is>
          <t>Catalonia Waterproof Pee Proof Blanket, Couch, Sofa and Bed Protector Cover for Baby, Super Cozy Plush Fleece Warm Sherpa Lining, Throw Blanket for Boating and Camping, Lt Gray/Dk Gray, 80" x 90"</t>
        </is>
      </c>
      <c r="C262" t="inlineStr">
        <is>
          <t>1CTBW981LGDG</t>
        </is>
      </c>
      <c r="D262" t="inlineStr">
        <is>
          <t>Throws</t>
        </is>
      </c>
      <c r="E262" t="inlineStr">
        <is>
          <t>Catalonia</t>
        </is>
      </c>
      <c r="F262" t="inlineStr">
        <is>
          <t>Optimized,WFS,SEM,WFS Item</t>
        </is>
      </c>
      <c r="G262" s="48" t="n">
        <v>0</v>
      </c>
      <c r="H262" s="49" t="n">
        <v>0</v>
      </c>
      <c r="I262" s="49" t="n">
        <v>0</v>
      </c>
      <c r="J262" s="50" t="n">
        <v>0</v>
      </c>
      <c r="K262" s="51" t="n">
        <v>0</v>
      </c>
      <c r="L262" s="52" t="n">
        <v>0</v>
      </c>
      <c r="M262" s="52" t="n">
        <v>0</v>
      </c>
      <c r="N262" s="52" t="n">
        <v>0</v>
      </c>
      <c r="O262" s="53" t="n">
        <v>0</v>
      </c>
      <c r="P262" s="52" t="n">
        <v>0</v>
      </c>
      <c r="Q262" s="53" t="n">
        <v>0</v>
      </c>
      <c r="R262" s="52" t="n">
        <v>0</v>
      </c>
      <c r="S262" s="51" t="n">
        <v>0</v>
      </c>
      <c r="T262" s="48" t="n">
        <v>0</v>
      </c>
      <c r="U262" s="49" t="n">
        <v>0</v>
      </c>
      <c r="V262" s="49" t="n">
        <v>0</v>
      </c>
      <c r="W262" s="50" t="n">
        <v>0</v>
      </c>
      <c r="X262" s="51" t="n">
        <v>0</v>
      </c>
      <c r="Y262" s="52" t="n">
        <v>0</v>
      </c>
      <c r="Z262" s="52" t="n">
        <v>0</v>
      </c>
      <c r="AA262" s="52" t="n">
        <v>0</v>
      </c>
      <c r="AB262" s="53" t="n">
        <v>0</v>
      </c>
      <c r="AC262" s="52" t="n">
        <v>0</v>
      </c>
      <c r="AD262" s="53" t="n">
        <v>0</v>
      </c>
      <c r="AE262" s="52" t="n">
        <v>0</v>
      </c>
      <c r="AF262" s="51" t="n">
        <v>0</v>
      </c>
      <c r="AG262" s="48" t="n">
        <v>0</v>
      </c>
      <c r="AH262" s="49" t="n">
        <v>0</v>
      </c>
      <c r="AI262" s="49" t="n">
        <v>0</v>
      </c>
      <c r="AJ262" s="50" t="n">
        <v>0</v>
      </c>
      <c r="AK262" s="51" t="n">
        <v>0</v>
      </c>
      <c r="AL262" s="52" t="n">
        <v>0</v>
      </c>
      <c r="AM262" s="52" t="n">
        <v>0</v>
      </c>
      <c r="AN262" s="52" t="n">
        <v>0</v>
      </c>
      <c r="AO262" s="53" t="n">
        <v>0</v>
      </c>
      <c r="AP262" s="52" t="n">
        <v>0</v>
      </c>
      <c r="AQ262" s="53" t="n">
        <v>0</v>
      </c>
      <c r="AR262" s="52" t="n">
        <v>0</v>
      </c>
      <c r="AS262" s="51" t="n">
        <v>0</v>
      </c>
      <c r="AT262" s="48" t="n">
        <v>0</v>
      </c>
      <c r="AU262" s="49" t="n">
        <v>0</v>
      </c>
      <c r="AV262" s="49" t="n">
        <v>0</v>
      </c>
      <c r="AW262" s="50" t="n">
        <v>0</v>
      </c>
      <c r="AX262" s="51" t="n">
        <v>0</v>
      </c>
      <c r="AY262" s="52" t="n">
        <v>0</v>
      </c>
      <c r="AZ262" s="52" t="n">
        <v>0</v>
      </c>
      <c r="BA262" s="52" t="n">
        <v>0</v>
      </c>
      <c r="BB262" s="53" t="n">
        <v>0</v>
      </c>
      <c r="BC262" s="52" t="n">
        <v>0</v>
      </c>
      <c r="BD262" s="53" t="n">
        <v>0</v>
      </c>
      <c r="BE262" s="52" t="n">
        <v>0</v>
      </c>
      <c r="BF262" s="51" t="n">
        <v>0</v>
      </c>
    </row>
    <row r="263">
      <c r="A263">
        <f>HYPERLINK("https://www.walmart.com/ip/546302367", "546302367")</f>
        <v/>
      </c>
      <c r="B263" t="inlineStr">
        <is>
          <t>Catalonia Reversible Sherpa Throw Blanket, Super Soft Fluffy Blanket for Couch,  Fuzzy Comfy Warm Throws, Comfort Caring Gift, 50x60 inches, Purple</t>
        </is>
      </c>
      <c r="C263" t="inlineStr">
        <is>
          <t>1CTBF578PP</t>
        </is>
      </c>
      <c r="D263" t="inlineStr">
        <is>
          <t>Throws</t>
        </is>
      </c>
      <c r="E263" t="inlineStr">
        <is>
          <t>Catalonia</t>
        </is>
      </c>
      <c r="F263" t="inlineStr">
        <is>
          <t>Q2-Target,WFS,WFS Item</t>
        </is>
      </c>
      <c r="G263" s="48" t="n">
        <v>0</v>
      </c>
      <c r="H263" s="49" t="n">
        <v>0</v>
      </c>
      <c r="I263" s="49" t="n">
        <v>0</v>
      </c>
      <c r="J263" s="50" t="n">
        <v>0</v>
      </c>
      <c r="K263" s="51" t="n">
        <v>0</v>
      </c>
      <c r="L263" s="52" t="n">
        <v>0</v>
      </c>
      <c r="M263" s="52" t="n">
        <v>0</v>
      </c>
      <c r="N263" s="52" t="n">
        <v>0</v>
      </c>
      <c r="O263" s="53" t="n">
        <v>0</v>
      </c>
      <c r="P263" s="52" t="n">
        <v>0</v>
      </c>
      <c r="Q263" s="53" t="n">
        <v>0</v>
      </c>
      <c r="R263" s="52" t="n">
        <v>0</v>
      </c>
      <c r="S263" s="51" t="n">
        <v>0</v>
      </c>
      <c r="T263" s="48" t="n">
        <v>0</v>
      </c>
      <c r="U263" s="49" t="n">
        <v>0</v>
      </c>
      <c r="V263" s="49" t="n">
        <v>0</v>
      </c>
      <c r="W263" s="50" t="n">
        <v>0</v>
      </c>
      <c r="X263" s="51" t="n">
        <v>0</v>
      </c>
      <c r="Y263" s="52" t="n">
        <v>0</v>
      </c>
      <c r="Z263" s="52" t="n">
        <v>0</v>
      </c>
      <c r="AA263" s="52" t="n">
        <v>0</v>
      </c>
      <c r="AB263" s="53" t="n">
        <v>0</v>
      </c>
      <c r="AC263" s="52" t="n">
        <v>0</v>
      </c>
      <c r="AD263" s="53" t="n">
        <v>0</v>
      </c>
      <c r="AE263" s="52" t="n">
        <v>0</v>
      </c>
      <c r="AF263" s="51" t="n">
        <v>0</v>
      </c>
      <c r="AG263" s="48" t="n">
        <v>0</v>
      </c>
      <c r="AH263" s="49" t="n">
        <v>0</v>
      </c>
      <c r="AI263" s="49" t="n">
        <v>0</v>
      </c>
      <c r="AJ263" s="50" t="n">
        <v>0</v>
      </c>
      <c r="AK263" s="51" t="n">
        <v>0</v>
      </c>
      <c r="AL263" s="52" t="n">
        <v>0</v>
      </c>
      <c r="AM263" s="52" t="n">
        <v>0</v>
      </c>
      <c r="AN263" s="52" t="n">
        <v>0</v>
      </c>
      <c r="AO263" s="53" t="n">
        <v>0</v>
      </c>
      <c r="AP263" s="52" t="n">
        <v>0</v>
      </c>
      <c r="AQ263" s="53" t="n">
        <v>0</v>
      </c>
      <c r="AR263" s="52" t="n">
        <v>0</v>
      </c>
      <c r="AS263" s="51" t="n">
        <v>0</v>
      </c>
      <c r="AT263" s="48" t="n">
        <v>0</v>
      </c>
      <c r="AU263" s="49" t="n">
        <v>0</v>
      </c>
      <c r="AV263" s="49" t="n">
        <v>0</v>
      </c>
      <c r="AW263" s="50" t="n">
        <v>0</v>
      </c>
      <c r="AX263" s="51" t="n">
        <v>0</v>
      </c>
      <c r="AY263" s="52" t="n">
        <v>0</v>
      </c>
      <c r="AZ263" s="52" t="n">
        <v>0</v>
      </c>
      <c r="BA263" s="52" t="n">
        <v>0</v>
      </c>
      <c r="BB263" s="53" t="n">
        <v>0</v>
      </c>
      <c r="BC263" s="52" t="n">
        <v>0</v>
      </c>
      <c r="BD263" s="53" t="n">
        <v>0</v>
      </c>
      <c r="BE263" s="52" t="n">
        <v>0</v>
      </c>
      <c r="BF263" s="51" t="n">
        <v>0</v>
      </c>
    </row>
    <row r="264">
      <c r="A264">
        <f>HYPERLINK("https://www.walmart.com/ip/5462074610", "5462074610")</f>
        <v/>
      </c>
      <c r="B264" t="inlineStr">
        <is>
          <t>Solaris Unisex Large Bill Flap Sun Hat Camping Hiking Hunting Fishing Cap</t>
        </is>
      </c>
      <c r="C264" t="inlineStr">
        <is>
          <t>1SLSH911CAMO-C</t>
        </is>
      </c>
      <c r="D264" t="inlineStr">
        <is>
          <t>Hats</t>
        </is>
      </c>
      <c r="E264" t="inlineStr">
        <is>
          <t>Solaris</t>
        </is>
      </c>
      <c r="G264" s="48" t="n">
        <v>0</v>
      </c>
      <c r="H264" s="49" t="n">
        <v>0</v>
      </c>
      <c r="I264" s="49" t="n">
        <v>0</v>
      </c>
      <c r="J264" s="50" t="n">
        <v>0</v>
      </c>
      <c r="K264" s="51" t="n">
        <v>0</v>
      </c>
      <c r="L264" s="52" t="n">
        <v>0</v>
      </c>
      <c r="M264" s="52" t="n">
        <v>0</v>
      </c>
      <c r="N264" s="52" t="n">
        <v>0</v>
      </c>
      <c r="O264" s="53" t="n">
        <v>0</v>
      </c>
      <c r="P264" s="52" t="n">
        <v>0</v>
      </c>
      <c r="Q264" s="53" t="n">
        <v>0</v>
      </c>
      <c r="R264" s="52" t="n">
        <v>0</v>
      </c>
      <c r="S264" s="51" t="n">
        <v>0</v>
      </c>
      <c r="T264" s="48" t="n">
        <v>0</v>
      </c>
      <c r="U264" s="49" t="n">
        <v>0</v>
      </c>
      <c r="V264" s="49" t="n">
        <v>0</v>
      </c>
      <c r="W264" s="50" t="n">
        <v>0</v>
      </c>
      <c r="X264" s="51" t="n">
        <v>0</v>
      </c>
      <c r="Y264" s="52" t="n">
        <v>0</v>
      </c>
      <c r="Z264" s="52" t="n">
        <v>0</v>
      </c>
      <c r="AA264" s="52" t="n">
        <v>0</v>
      </c>
      <c r="AB264" s="53" t="n">
        <v>0</v>
      </c>
      <c r="AC264" s="52" t="n">
        <v>0</v>
      </c>
      <c r="AD264" s="53" t="n">
        <v>0</v>
      </c>
      <c r="AE264" s="52" t="n">
        <v>0</v>
      </c>
      <c r="AF264" s="51" t="n">
        <v>0</v>
      </c>
      <c r="AG264" s="48" t="n">
        <v>0</v>
      </c>
      <c r="AH264" s="49" t="n">
        <v>0</v>
      </c>
      <c r="AI264" s="49" t="n">
        <v>0</v>
      </c>
      <c r="AJ264" s="50" t="n">
        <v>0</v>
      </c>
      <c r="AK264" s="51" t="n">
        <v>0</v>
      </c>
      <c r="AL264" s="52" t="n">
        <v>0</v>
      </c>
      <c r="AM264" s="52" t="n">
        <v>0</v>
      </c>
      <c r="AN264" s="52" t="n">
        <v>0</v>
      </c>
      <c r="AO264" s="53" t="n">
        <v>0</v>
      </c>
      <c r="AP264" s="52" t="n">
        <v>0</v>
      </c>
      <c r="AQ264" s="53" t="n">
        <v>0</v>
      </c>
      <c r="AR264" s="52" t="n">
        <v>0</v>
      </c>
      <c r="AS264" s="51" t="n">
        <v>0</v>
      </c>
      <c r="AT264" s="48" t="n">
        <v>0</v>
      </c>
      <c r="AU264" s="49" t="n">
        <v>0</v>
      </c>
      <c r="AV264" s="49" t="n">
        <v>0</v>
      </c>
      <c r="AW264" s="50" t="n">
        <v>0</v>
      </c>
      <c r="AX264" s="51" t="n">
        <v>0</v>
      </c>
      <c r="AY264" s="52" t="n">
        <v>0</v>
      </c>
      <c r="AZ264" s="52" t="n">
        <v>0</v>
      </c>
      <c r="BA264" s="52" t="n">
        <v>0</v>
      </c>
      <c r="BB264" s="53" t="n">
        <v>0</v>
      </c>
      <c r="BC264" s="52" t="n">
        <v>0</v>
      </c>
      <c r="BD264" s="53" t="n">
        <v>0</v>
      </c>
      <c r="BE264" s="52" t="n">
        <v>0</v>
      </c>
      <c r="BF264" s="51" t="n">
        <v>0</v>
      </c>
    </row>
    <row r="265">
      <c r="A265">
        <f>HYPERLINK("https://www.walmart.com/ip/545848684", "545848684")</f>
        <v/>
      </c>
      <c r="B265" t="inlineStr">
        <is>
          <t>Sherpa Slipper Socks for Women,Winter Indoor Home Non Skid Booties</t>
        </is>
      </c>
      <c r="C265" t="inlineStr">
        <is>
          <t>1CTST200DBL-2</t>
        </is>
      </c>
      <c r="D265" t="inlineStr">
        <is>
          <t>Socks</t>
        </is>
      </c>
      <c r="E265" t="inlineStr">
        <is>
          <t>Catalonia</t>
        </is>
      </c>
      <c r="F265" t="inlineStr">
        <is>
          <t>WFS,WFS Item</t>
        </is>
      </c>
      <c r="G265" s="48" t="n">
        <v>0</v>
      </c>
      <c r="H265" s="49" t="n">
        <v>0</v>
      </c>
      <c r="I265" s="49" t="n">
        <v>0</v>
      </c>
      <c r="J265" s="50" t="n">
        <v>0</v>
      </c>
      <c r="K265" s="51" t="n">
        <v>0</v>
      </c>
      <c r="L265" s="52" t="n">
        <v>0</v>
      </c>
      <c r="M265" s="52" t="n">
        <v>0</v>
      </c>
      <c r="N265" s="52" t="n">
        <v>0</v>
      </c>
      <c r="O265" s="53" t="n">
        <v>0</v>
      </c>
      <c r="P265" s="52" t="n">
        <v>0</v>
      </c>
      <c r="Q265" s="53" t="n">
        <v>0</v>
      </c>
      <c r="R265" s="52" t="n">
        <v>0</v>
      </c>
      <c r="S265" s="51" t="n">
        <v>0</v>
      </c>
      <c r="T265" s="48" t="n">
        <v>0</v>
      </c>
      <c r="U265" s="49" t="n">
        <v>0</v>
      </c>
      <c r="V265" s="49" t="n">
        <v>0</v>
      </c>
      <c r="W265" s="50" t="n">
        <v>0</v>
      </c>
      <c r="X265" s="51" t="n">
        <v>0</v>
      </c>
      <c r="Y265" s="52" t="n">
        <v>0</v>
      </c>
      <c r="Z265" s="52" t="n">
        <v>0</v>
      </c>
      <c r="AA265" s="52" t="n">
        <v>0</v>
      </c>
      <c r="AB265" s="53" t="n">
        <v>0</v>
      </c>
      <c r="AC265" s="52" t="n">
        <v>0</v>
      </c>
      <c r="AD265" s="53" t="n">
        <v>0</v>
      </c>
      <c r="AE265" s="52" t="n">
        <v>0</v>
      </c>
      <c r="AF265" s="51" t="n">
        <v>0</v>
      </c>
      <c r="AG265" s="48" t="n">
        <v>0</v>
      </c>
      <c r="AH265" s="49" t="n">
        <v>0</v>
      </c>
      <c r="AI265" s="49" t="n">
        <v>0</v>
      </c>
      <c r="AJ265" s="50" t="n">
        <v>0</v>
      </c>
      <c r="AK265" s="51" t="n">
        <v>0</v>
      </c>
      <c r="AL265" s="52" t="n">
        <v>0</v>
      </c>
      <c r="AM265" s="52" t="n">
        <v>0</v>
      </c>
      <c r="AN265" s="52" t="n">
        <v>0</v>
      </c>
      <c r="AO265" s="53" t="n">
        <v>0</v>
      </c>
      <c r="AP265" s="52" t="n">
        <v>0</v>
      </c>
      <c r="AQ265" s="53" t="n">
        <v>0</v>
      </c>
      <c r="AR265" s="52" t="n">
        <v>0</v>
      </c>
      <c r="AS265" s="51" t="n">
        <v>0</v>
      </c>
      <c r="AT265" s="48" t="n">
        <v>0</v>
      </c>
      <c r="AU265" s="49" t="n">
        <v>0</v>
      </c>
      <c r="AV265" s="49" t="n">
        <v>0</v>
      </c>
      <c r="AW265" s="50" t="n">
        <v>0</v>
      </c>
      <c r="AX265" s="51" t="n">
        <v>0</v>
      </c>
      <c r="AY265" s="52" t="n">
        <v>0</v>
      </c>
      <c r="AZ265" s="52" t="n">
        <v>0</v>
      </c>
      <c r="BA265" s="52" t="n">
        <v>0</v>
      </c>
      <c r="BB265" s="53" t="n">
        <v>0</v>
      </c>
      <c r="BC265" s="52" t="n">
        <v>0</v>
      </c>
      <c r="BD265" s="53" t="n">
        <v>0</v>
      </c>
      <c r="BE265" s="52" t="n">
        <v>0</v>
      </c>
      <c r="BF265" s="51" t="n">
        <v>0</v>
      </c>
    </row>
    <row r="266">
      <c r="A266">
        <f>HYPERLINK("https://www.walmart.com/ip/5455200650", "5455200650")</f>
        <v/>
      </c>
      <c r="B266" t="inlineStr">
        <is>
          <t>Solaris Unisex Large Bill Flap Sun Hat Camping Hiking Hunting Fishing Cap</t>
        </is>
      </c>
      <c r="C266" t="inlineStr">
        <is>
          <t>1SLSH911CAMO-B</t>
        </is>
      </c>
      <c r="D266" t="inlineStr">
        <is>
          <t>Hats</t>
        </is>
      </c>
      <c r="E266" t="inlineStr">
        <is>
          <t>Solaris</t>
        </is>
      </c>
      <c r="G266" s="48" t="n">
        <v>0</v>
      </c>
      <c r="H266" s="49" t="n">
        <v>0</v>
      </c>
      <c r="I266" s="49" t="n">
        <v>0</v>
      </c>
      <c r="J266" s="50" t="n">
        <v>0</v>
      </c>
      <c r="K266" s="51" t="n">
        <v>0</v>
      </c>
      <c r="L266" s="52" t="n">
        <v>0</v>
      </c>
      <c r="M266" s="52" t="n">
        <v>0</v>
      </c>
      <c r="N266" s="52" t="n">
        <v>0</v>
      </c>
      <c r="O266" s="53" t="n">
        <v>0</v>
      </c>
      <c r="P266" s="52" t="n">
        <v>0</v>
      </c>
      <c r="Q266" s="53" t="n">
        <v>0</v>
      </c>
      <c r="R266" s="52" t="n">
        <v>0</v>
      </c>
      <c r="S266" s="51" t="n">
        <v>0</v>
      </c>
      <c r="T266" s="48" t="n">
        <v>0</v>
      </c>
      <c r="U266" s="49" t="n">
        <v>0</v>
      </c>
      <c r="V266" s="49" t="n">
        <v>0</v>
      </c>
      <c r="W266" s="50" t="n">
        <v>0</v>
      </c>
      <c r="X266" s="51" t="n">
        <v>0</v>
      </c>
      <c r="Y266" s="52" t="n">
        <v>0</v>
      </c>
      <c r="Z266" s="52" t="n">
        <v>0</v>
      </c>
      <c r="AA266" s="52" t="n">
        <v>0</v>
      </c>
      <c r="AB266" s="53" t="n">
        <v>0</v>
      </c>
      <c r="AC266" s="52" t="n">
        <v>0</v>
      </c>
      <c r="AD266" s="53" t="n">
        <v>0</v>
      </c>
      <c r="AE266" s="52" t="n">
        <v>0</v>
      </c>
      <c r="AF266" s="51" t="n">
        <v>0</v>
      </c>
      <c r="AG266" s="48" t="n">
        <v>0</v>
      </c>
      <c r="AH266" s="49" t="n">
        <v>0</v>
      </c>
      <c r="AI266" s="49" t="n">
        <v>0</v>
      </c>
      <c r="AJ266" s="50" t="n">
        <v>0</v>
      </c>
      <c r="AK266" s="51" t="n">
        <v>0</v>
      </c>
      <c r="AL266" s="52" t="n">
        <v>0</v>
      </c>
      <c r="AM266" s="52" t="n">
        <v>0</v>
      </c>
      <c r="AN266" s="52" t="n">
        <v>0</v>
      </c>
      <c r="AO266" s="53" t="n">
        <v>0</v>
      </c>
      <c r="AP266" s="52" t="n">
        <v>0</v>
      </c>
      <c r="AQ266" s="53" t="n">
        <v>0</v>
      </c>
      <c r="AR266" s="52" t="n">
        <v>0</v>
      </c>
      <c r="AS266" s="51" t="n">
        <v>0</v>
      </c>
      <c r="AT266" s="48" t="n">
        <v>0</v>
      </c>
      <c r="AU266" s="49" t="n">
        <v>0</v>
      </c>
      <c r="AV266" s="49" t="n">
        <v>0</v>
      </c>
      <c r="AW266" s="50" t="n">
        <v>0</v>
      </c>
      <c r="AX266" s="51" t="n">
        <v>0</v>
      </c>
      <c r="AY266" s="52" t="n">
        <v>0</v>
      </c>
      <c r="AZ266" s="52" t="n">
        <v>0</v>
      </c>
      <c r="BA266" s="52" t="n">
        <v>0</v>
      </c>
      <c r="BB266" s="53" t="n">
        <v>0</v>
      </c>
      <c r="BC266" s="52" t="n">
        <v>0</v>
      </c>
      <c r="BD266" s="53" t="n">
        <v>0</v>
      </c>
      <c r="BE266" s="52" t="n">
        <v>0</v>
      </c>
      <c r="BF266" s="51" t="n">
        <v>0</v>
      </c>
    </row>
    <row r="267">
      <c r="A267">
        <f>HYPERLINK("https://www.walmart.com/ip/5452371930", "5452371930")</f>
        <v/>
      </c>
      <c r="B267" t="inlineStr">
        <is>
          <t>Outdoor Wide Brim Sun Hats with Neck Flap Blocking UV Protection Cap by Solaris Unisex UPF 50+ Foldable Mesh Net for Fin</t>
        </is>
      </c>
      <c r="C267" t="inlineStr">
        <is>
          <t>1SLSH910CAMO-C</t>
        </is>
      </c>
      <c r="D267" t="inlineStr">
        <is>
          <t>Hats</t>
        </is>
      </c>
      <c r="E267" t="inlineStr">
        <is>
          <t>Solaris</t>
        </is>
      </c>
      <c r="G267" s="48" t="n">
        <v>0</v>
      </c>
      <c r="H267" s="49" t="n">
        <v>0</v>
      </c>
      <c r="I267" s="49" t="n">
        <v>0</v>
      </c>
      <c r="J267" s="50" t="n">
        <v>0</v>
      </c>
      <c r="K267" s="51" t="n">
        <v>0</v>
      </c>
      <c r="L267" s="52" t="n">
        <v>0</v>
      </c>
      <c r="M267" s="52" t="n">
        <v>0</v>
      </c>
      <c r="N267" s="52" t="n">
        <v>0</v>
      </c>
      <c r="O267" s="53" t="n">
        <v>0</v>
      </c>
      <c r="P267" s="52" t="n">
        <v>0</v>
      </c>
      <c r="Q267" s="53" t="n">
        <v>0</v>
      </c>
      <c r="R267" s="52" t="n">
        <v>0</v>
      </c>
      <c r="S267" s="51" t="n">
        <v>0</v>
      </c>
      <c r="T267" s="48" t="n">
        <v>0</v>
      </c>
      <c r="U267" s="49" t="n">
        <v>0</v>
      </c>
      <c r="V267" s="49" t="n">
        <v>0</v>
      </c>
      <c r="W267" s="50" t="n">
        <v>0</v>
      </c>
      <c r="X267" s="51" t="n">
        <v>0</v>
      </c>
      <c r="Y267" s="52" t="n">
        <v>0</v>
      </c>
      <c r="Z267" s="52" t="n">
        <v>0</v>
      </c>
      <c r="AA267" s="52" t="n">
        <v>0</v>
      </c>
      <c r="AB267" s="53" t="n">
        <v>0</v>
      </c>
      <c r="AC267" s="52" t="n">
        <v>0</v>
      </c>
      <c r="AD267" s="53" t="n">
        <v>0</v>
      </c>
      <c r="AE267" s="52" t="n">
        <v>0</v>
      </c>
      <c r="AF267" s="51" t="n">
        <v>0</v>
      </c>
      <c r="AG267" s="48" t="n">
        <v>0</v>
      </c>
      <c r="AH267" s="49" t="n">
        <v>0</v>
      </c>
      <c r="AI267" s="49" t="n">
        <v>0</v>
      </c>
      <c r="AJ267" s="50" t="n">
        <v>0</v>
      </c>
      <c r="AK267" s="51" t="n">
        <v>0</v>
      </c>
      <c r="AL267" s="52" t="n">
        <v>0</v>
      </c>
      <c r="AM267" s="52" t="n">
        <v>0</v>
      </c>
      <c r="AN267" s="52" t="n">
        <v>0</v>
      </c>
      <c r="AO267" s="53" t="n">
        <v>0</v>
      </c>
      <c r="AP267" s="52" t="n">
        <v>0</v>
      </c>
      <c r="AQ267" s="53" t="n">
        <v>0</v>
      </c>
      <c r="AR267" s="52" t="n">
        <v>0</v>
      </c>
      <c r="AS267" s="51" t="n">
        <v>0</v>
      </c>
      <c r="AT267" s="48" t="n">
        <v>0</v>
      </c>
      <c r="AU267" s="49" t="n">
        <v>0</v>
      </c>
      <c r="AV267" s="49" t="n">
        <v>0</v>
      </c>
      <c r="AW267" s="50" t="n">
        <v>0</v>
      </c>
      <c r="AX267" s="51" t="n">
        <v>0</v>
      </c>
      <c r="AY267" s="52" t="n">
        <v>0</v>
      </c>
      <c r="AZ267" s="52" t="n">
        <v>0</v>
      </c>
      <c r="BA267" s="52" t="n">
        <v>0</v>
      </c>
      <c r="BB267" s="53" t="n">
        <v>0</v>
      </c>
      <c r="BC267" s="52" t="n">
        <v>0</v>
      </c>
      <c r="BD267" s="53" t="n">
        <v>0</v>
      </c>
      <c r="BE267" s="52" t="n">
        <v>0</v>
      </c>
      <c r="BF267" s="51" t="n">
        <v>0</v>
      </c>
    </row>
    <row r="268">
      <c r="A268">
        <f>HYPERLINK("https://www.walmart.com/ip/544975182", "544975182")</f>
        <v/>
      </c>
      <c r="B268" t="inlineStr">
        <is>
          <t>Sun Blocker UV Protection Hat, Unisex Wide Brim, Large Bill, Neck Flap, Mesh Nets, Adjustable Drawstring, Gray</t>
        </is>
      </c>
      <c r="C268" t="inlineStr">
        <is>
          <t>KC-S9152-GY</t>
        </is>
      </c>
      <c r="D268" t="inlineStr">
        <is>
          <t>Hats</t>
        </is>
      </c>
      <c r="E268" t="inlineStr">
        <is>
          <t>Tirrinia</t>
        </is>
      </c>
      <c r="F268" t="inlineStr">
        <is>
          <t>WFS,Hats,WFS Item</t>
        </is>
      </c>
      <c r="G268" s="48" t="n">
        <v>0</v>
      </c>
      <c r="H268" s="49" t="n">
        <v>0</v>
      </c>
      <c r="I268" s="49" t="n">
        <v>0</v>
      </c>
      <c r="J268" s="50" t="n">
        <v>0</v>
      </c>
      <c r="K268" s="51" t="n">
        <v>0</v>
      </c>
      <c r="L268" s="52" t="n">
        <v>0</v>
      </c>
      <c r="M268" s="52" t="n">
        <v>0</v>
      </c>
      <c r="N268" s="52" t="n">
        <v>0</v>
      </c>
      <c r="O268" s="53" t="n">
        <v>0</v>
      </c>
      <c r="P268" s="52" t="n">
        <v>0</v>
      </c>
      <c r="Q268" s="53" t="n">
        <v>0</v>
      </c>
      <c r="R268" s="52" t="n">
        <v>0</v>
      </c>
      <c r="S268" s="51" t="n">
        <v>0</v>
      </c>
      <c r="T268" s="48" t="n">
        <v>0</v>
      </c>
      <c r="U268" s="49" t="n">
        <v>0</v>
      </c>
      <c r="V268" s="49" t="n">
        <v>0</v>
      </c>
      <c r="W268" s="50" t="n">
        <v>0</v>
      </c>
      <c r="X268" s="51" t="n">
        <v>0</v>
      </c>
      <c r="Y268" s="52" t="n">
        <v>0</v>
      </c>
      <c r="Z268" s="52" t="n">
        <v>0</v>
      </c>
      <c r="AA268" s="52" t="n">
        <v>0</v>
      </c>
      <c r="AB268" s="53" t="n">
        <v>0</v>
      </c>
      <c r="AC268" s="52" t="n">
        <v>0</v>
      </c>
      <c r="AD268" s="53" t="n">
        <v>0</v>
      </c>
      <c r="AE268" s="52" t="n">
        <v>0</v>
      </c>
      <c r="AF268" s="51" t="n">
        <v>0</v>
      </c>
      <c r="AG268" s="48" t="n">
        <v>0</v>
      </c>
      <c r="AH268" s="49" t="n">
        <v>0</v>
      </c>
      <c r="AI268" s="49" t="n">
        <v>0</v>
      </c>
      <c r="AJ268" s="50" t="n">
        <v>0</v>
      </c>
      <c r="AK268" s="51" t="n">
        <v>0</v>
      </c>
      <c r="AL268" s="52" t="n">
        <v>0</v>
      </c>
      <c r="AM268" s="52" t="n">
        <v>0</v>
      </c>
      <c r="AN268" s="52" t="n">
        <v>0</v>
      </c>
      <c r="AO268" s="53" t="n">
        <v>0</v>
      </c>
      <c r="AP268" s="52" t="n">
        <v>0</v>
      </c>
      <c r="AQ268" s="53" t="n">
        <v>0</v>
      </c>
      <c r="AR268" s="52" t="n">
        <v>0</v>
      </c>
      <c r="AS268" s="51" t="n">
        <v>0</v>
      </c>
      <c r="AT268" s="48" t="n">
        <v>0</v>
      </c>
      <c r="AU268" s="49" t="n">
        <v>0</v>
      </c>
      <c r="AV268" s="49" t="n">
        <v>0</v>
      </c>
      <c r="AW268" s="50" t="n">
        <v>0</v>
      </c>
      <c r="AX268" s="51" t="n">
        <v>0</v>
      </c>
      <c r="AY268" s="52" t="n">
        <v>0</v>
      </c>
      <c r="AZ268" s="52" t="n">
        <v>0</v>
      </c>
      <c r="BA268" s="52" t="n">
        <v>0</v>
      </c>
      <c r="BB268" s="53" t="n">
        <v>0</v>
      </c>
      <c r="BC268" s="52" t="n">
        <v>0</v>
      </c>
      <c r="BD268" s="53" t="n">
        <v>0</v>
      </c>
      <c r="BE268" s="52" t="n">
        <v>0</v>
      </c>
      <c r="BF268" s="51" t="n">
        <v>0</v>
      </c>
    </row>
    <row r="269">
      <c r="A269">
        <f>HYPERLINK("https://www.walmart.com/ip/620436100", "620436100")</f>
        <v/>
      </c>
      <c r="B269" t="inlineStr">
        <is>
          <t>Jennis  8in1 Stylish Ladies Magic Scarf Shawl Woolly Charcoal Fiber Head Wrap</t>
        </is>
      </c>
      <c r="C269" t="inlineStr">
        <is>
          <t>MagicScarfLilac</t>
        </is>
      </c>
      <c r="D269" t="inlineStr">
        <is>
          <t>Scarves</t>
        </is>
      </c>
      <c r="E269" t="inlineStr">
        <is>
          <t>JenniWears</t>
        </is>
      </c>
      <c r="F269" t="inlineStr">
        <is>
          <t>Optimized,SEM</t>
        </is>
      </c>
      <c r="G269" s="48" t="n">
        <v>0</v>
      </c>
      <c r="H269" s="49" t="n">
        <v>0</v>
      </c>
      <c r="I269" s="49" t="n">
        <v>0</v>
      </c>
      <c r="J269" s="50" t="n">
        <v>0</v>
      </c>
      <c r="K269" s="51" t="n">
        <v>0</v>
      </c>
      <c r="L269" s="52" t="n">
        <v>0</v>
      </c>
      <c r="M269" s="52" t="n">
        <v>0</v>
      </c>
      <c r="N269" s="52" t="n">
        <v>0</v>
      </c>
      <c r="O269" s="53" t="n">
        <v>0</v>
      </c>
      <c r="P269" s="52" t="n">
        <v>0</v>
      </c>
      <c r="Q269" s="53" t="n">
        <v>0</v>
      </c>
      <c r="R269" s="52" t="n">
        <v>0</v>
      </c>
      <c r="S269" s="51" t="n">
        <v>0</v>
      </c>
      <c r="T269" s="48" t="n">
        <v>0</v>
      </c>
      <c r="U269" s="49" t="n">
        <v>0</v>
      </c>
      <c r="V269" s="49" t="n">
        <v>0</v>
      </c>
      <c r="W269" s="50" t="n">
        <v>0</v>
      </c>
      <c r="X269" s="51" t="n">
        <v>0</v>
      </c>
      <c r="Y269" s="52" t="n">
        <v>0</v>
      </c>
      <c r="Z269" s="52" t="n">
        <v>0</v>
      </c>
      <c r="AA269" s="52" t="n">
        <v>0</v>
      </c>
      <c r="AB269" s="53" t="n">
        <v>0</v>
      </c>
      <c r="AC269" s="52" t="n">
        <v>0</v>
      </c>
      <c r="AD269" s="53" t="n">
        <v>0</v>
      </c>
      <c r="AE269" s="52" t="n">
        <v>0</v>
      </c>
      <c r="AF269" s="51" t="n">
        <v>0</v>
      </c>
      <c r="AG269" s="48" t="n">
        <v>0</v>
      </c>
      <c r="AH269" s="49" t="n">
        <v>0</v>
      </c>
      <c r="AI269" s="49" t="n">
        <v>0</v>
      </c>
      <c r="AJ269" s="50" t="n">
        <v>0</v>
      </c>
      <c r="AK269" s="51" t="n">
        <v>0</v>
      </c>
      <c r="AL269" s="52" t="n">
        <v>0</v>
      </c>
      <c r="AM269" s="52" t="n">
        <v>0</v>
      </c>
      <c r="AN269" s="52" t="n">
        <v>0</v>
      </c>
      <c r="AO269" s="53" t="n">
        <v>0</v>
      </c>
      <c r="AP269" s="52" t="n">
        <v>0</v>
      </c>
      <c r="AQ269" s="53" t="n">
        <v>0</v>
      </c>
      <c r="AR269" s="52" t="n">
        <v>0</v>
      </c>
      <c r="AS269" s="51" t="n">
        <v>0</v>
      </c>
      <c r="AT269" s="48" t="n">
        <v>0</v>
      </c>
      <c r="AU269" s="49" t="n">
        <v>0</v>
      </c>
      <c r="AV269" s="49" t="n">
        <v>0</v>
      </c>
      <c r="AW269" s="50" t="n">
        <v>0</v>
      </c>
      <c r="AX269" s="51" t="n">
        <v>0</v>
      </c>
      <c r="AY269" s="52" t="n">
        <v>0</v>
      </c>
      <c r="AZ269" s="52" t="n">
        <v>0</v>
      </c>
      <c r="BA269" s="52" t="n">
        <v>0</v>
      </c>
      <c r="BB269" s="53" t="n">
        <v>0</v>
      </c>
      <c r="BC269" s="52" t="n">
        <v>0</v>
      </c>
      <c r="BD269" s="53" t="n">
        <v>0</v>
      </c>
      <c r="BE269" s="52" t="n">
        <v>0</v>
      </c>
      <c r="BF269" s="51" t="n">
        <v>0</v>
      </c>
    </row>
    <row r="270">
      <c r="A270">
        <f>HYPERLINK("https://www.walmart.com/ip/544771597", "544771597")</f>
        <v/>
      </c>
      <c r="B270" t="inlineStr">
        <is>
          <t>E27 9W LED Bulb Corn Lights 2800-3200K Warm White Light Lamp Super Bright (100w brightness) 810-900lm 58-SMD 2835 (AC 100~240V)</t>
        </is>
      </c>
      <c r="C270" t="inlineStr">
        <is>
          <t>ST-HZT-1006X-WWT</t>
        </is>
      </c>
      <c r="D270" t="inlineStr">
        <is>
          <t>Light Bulbs</t>
        </is>
      </c>
      <c r="E270" t="inlineStr">
        <is>
          <t>Surjtech</t>
        </is>
      </c>
      <c r="F270" t="inlineStr">
        <is>
          <t>Optimized</t>
        </is>
      </c>
      <c r="G270" s="48" t="n">
        <v>0</v>
      </c>
      <c r="H270" s="49" t="n">
        <v>0</v>
      </c>
      <c r="I270" s="49" t="n">
        <v>0</v>
      </c>
      <c r="J270" s="50" t="n">
        <v>0</v>
      </c>
      <c r="K270" s="51" t="n">
        <v>0</v>
      </c>
      <c r="L270" s="52" t="n">
        <v>0</v>
      </c>
      <c r="M270" s="52" t="n">
        <v>0</v>
      </c>
      <c r="N270" s="52" t="n">
        <v>0</v>
      </c>
      <c r="O270" s="53" t="n">
        <v>0</v>
      </c>
      <c r="P270" s="52" t="n">
        <v>0</v>
      </c>
      <c r="Q270" s="53" t="n">
        <v>0</v>
      </c>
      <c r="R270" s="52" t="n">
        <v>0</v>
      </c>
      <c r="S270" s="51" t="n">
        <v>0</v>
      </c>
      <c r="T270" s="48" t="n">
        <v>0</v>
      </c>
      <c r="U270" s="49" t="n">
        <v>0</v>
      </c>
      <c r="V270" s="49" t="n">
        <v>0</v>
      </c>
      <c r="W270" s="50" t="n">
        <v>0</v>
      </c>
      <c r="X270" s="51" t="n">
        <v>0</v>
      </c>
      <c r="Y270" s="52" t="n">
        <v>0</v>
      </c>
      <c r="Z270" s="52" t="n">
        <v>0</v>
      </c>
      <c r="AA270" s="52" t="n">
        <v>0</v>
      </c>
      <c r="AB270" s="53" t="n">
        <v>0</v>
      </c>
      <c r="AC270" s="52" t="n">
        <v>0</v>
      </c>
      <c r="AD270" s="53" t="n">
        <v>0</v>
      </c>
      <c r="AE270" s="52" t="n">
        <v>0</v>
      </c>
      <c r="AF270" s="51" t="n">
        <v>0</v>
      </c>
      <c r="AG270" s="48" t="n">
        <v>0</v>
      </c>
      <c r="AH270" s="49" t="n">
        <v>0</v>
      </c>
      <c r="AI270" s="49" t="n">
        <v>0</v>
      </c>
      <c r="AJ270" s="50" t="n">
        <v>0</v>
      </c>
      <c r="AK270" s="51" t="n">
        <v>0</v>
      </c>
      <c r="AL270" s="52" t="n">
        <v>0</v>
      </c>
      <c r="AM270" s="52" t="n">
        <v>0</v>
      </c>
      <c r="AN270" s="52" t="n">
        <v>0</v>
      </c>
      <c r="AO270" s="53" t="n">
        <v>0</v>
      </c>
      <c r="AP270" s="52" t="n">
        <v>0</v>
      </c>
      <c r="AQ270" s="53" t="n">
        <v>0</v>
      </c>
      <c r="AR270" s="52" t="n">
        <v>0</v>
      </c>
      <c r="AS270" s="51" t="n">
        <v>0</v>
      </c>
      <c r="AT270" s="48" t="n">
        <v>0</v>
      </c>
      <c r="AU270" s="49" t="n">
        <v>0</v>
      </c>
      <c r="AV270" s="49" t="n">
        <v>0</v>
      </c>
      <c r="AW270" s="50" t="n">
        <v>0</v>
      </c>
      <c r="AX270" s="51" t="n">
        <v>0</v>
      </c>
      <c r="AY270" s="52" t="n">
        <v>0</v>
      </c>
      <c r="AZ270" s="52" t="n">
        <v>0</v>
      </c>
      <c r="BA270" s="52" t="n">
        <v>0</v>
      </c>
      <c r="BB270" s="53" t="n">
        <v>0</v>
      </c>
      <c r="BC270" s="52" t="n">
        <v>0</v>
      </c>
      <c r="BD270" s="53" t="n">
        <v>0</v>
      </c>
      <c r="BE270" s="52" t="n">
        <v>0</v>
      </c>
      <c r="BF270" s="51" t="n">
        <v>0</v>
      </c>
    </row>
    <row r="271">
      <c r="A271">
        <f>HYPERLINK("https://www.walmart.com/ip/5440208933", "5440208933")</f>
        <v/>
      </c>
      <c r="B271" t="inlineStr">
        <is>
          <t>Solaris Unisex Large Bill Flap Sun Hat Camping Hiking Hunting Fishing Cap</t>
        </is>
      </c>
      <c r="C271" t="inlineStr">
        <is>
          <t>1SLSH911DIGIGN</t>
        </is>
      </c>
      <c r="D271" t="inlineStr">
        <is>
          <t>Hats</t>
        </is>
      </c>
      <c r="E271" t="inlineStr">
        <is>
          <t>Solaris</t>
        </is>
      </c>
      <c r="G271" s="48" t="n">
        <v>0</v>
      </c>
      <c r="H271" s="49" t="n">
        <v>0</v>
      </c>
      <c r="I271" s="49" t="n">
        <v>0</v>
      </c>
      <c r="J271" s="50" t="n">
        <v>0</v>
      </c>
      <c r="K271" s="51" t="n">
        <v>0</v>
      </c>
      <c r="L271" s="52" t="n">
        <v>0</v>
      </c>
      <c r="M271" s="52" t="n">
        <v>0</v>
      </c>
      <c r="N271" s="52" t="n">
        <v>0</v>
      </c>
      <c r="O271" s="53" t="n">
        <v>0</v>
      </c>
      <c r="P271" s="52" t="n">
        <v>0</v>
      </c>
      <c r="Q271" s="53" t="n">
        <v>0</v>
      </c>
      <c r="R271" s="52" t="n">
        <v>0</v>
      </c>
      <c r="S271" s="51" t="n">
        <v>0</v>
      </c>
      <c r="T271" s="48" t="n">
        <v>0</v>
      </c>
      <c r="U271" s="49" t="n">
        <v>0</v>
      </c>
      <c r="V271" s="49" t="n">
        <v>0</v>
      </c>
      <c r="W271" s="50" t="n">
        <v>0</v>
      </c>
      <c r="X271" s="51" t="n">
        <v>0</v>
      </c>
      <c r="Y271" s="52" t="n">
        <v>0</v>
      </c>
      <c r="Z271" s="52" t="n">
        <v>0</v>
      </c>
      <c r="AA271" s="52" t="n">
        <v>0</v>
      </c>
      <c r="AB271" s="53" t="n">
        <v>0</v>
      </c>
      <c r="AC271" s="52" t="n">
        <v>0</v>
      </c>
      <c r="AD271" s="53" t="n">
        <v>0</v>
      </c>
      <c r="AE271" s="52" t="n">
        <v>0</v>
      </c>
      <c r="AF271" s="51" t="n">
        <v>0</v>
      </c>
      <c r="AG271" s="48" t="n">
        <v>0</v>
      </c>
      <c r="AH271" s="49" t="n">
        <v>0</v>
      </c>
      <c r="AI271" s="49" t="n">
        <v>0</v>
      </c>
      <c r="AJ271" s="50" t="n">
        <v>0</v>
      </c>
      <c r="AK271" s="51" t="n">
        <v>0</v>
      </c>
      <c r="AL271" s="52" t="n">
        <v>0</v>
      </c>
      <c r="AM271" s="52" t="n">
        <v>0</v>
      </c>
      <c r="AN271" s="52" t="n">
        <v>0</v>
      </c>
      <c r="AO271" s="53" t="n">
        <v>0</v>
      </c>
      <c r="AP271" s="52" t="n">
        <v>0</v>
      </c>
      <c r="AQ271" s="53" t="n">
        <v>0</v>
      </c>
      <c r="AR271" s="52" t="n">
        <v>0</v>
      </c>
      <c r="AS271" s="51" t="n">
        <v>0</v>
      </c>
      <c r="AT271" s="48" t="n">
        <v>0</v>
      </c>
      <c r="AU271" s="49" t="n">
        <v>0</v>
      </c>
      <c r="AV271" s="49" t="n">
        <v>0</v>
      </c>
      <c r="AW271" s="50" t="n">
        <v>0</v>
      </c>
      <c r="AX271" s="51" t="n">
        <v>0</v>
      </c>
      <c r="AY271" s="52" t="n">
        <v>0</v>
      </c>
      <c r="AZ271" s="52" t="n">
        <v>0</v>
      </c>
      <c r="BA271" s="52" t="n">
        <v>0</v>
      </c>
      <c r="BB271" s="53" t="n">
        <v>0</v>
      </c>
      <c r="BC271" s="52" t="n">
        <v>0</v>
      </c>
      <c r="BD271" s="53" t="n">
        <v>0</v>
      </c>
      <c r="BE271" s="52" t="n">
        <v>0</v>
      </c>
      <c r="BF271" s="51" t="n">
        <v>0</v>
      </c>
    </row>
    <row r="272">
      <c r="A272">
        <f>HYPERLINK("https://www.walmart.com/ip/619585970", "619585970")</f>
        <v/>
      </c>
      <c r="B272" t="inlineStr">
        <is>
          <t>Wearable Lounging Blanket, Super Soft Warm Cozy Reversible Fuzzy, Extra Soft for Sofa Warm Blanket, Lightweight, Red Plaid, 55" X 71".</t>
        </is>
      </c>
      <c r="C272" t="inlineStr">
        <is>
          <t>1CTSN201PRD</t>
        </is>
      </c>
      <c r="D272" t="inlineStr">
        <is>
          <t>Throws</t>
        </is>
      </c>
      <c r="E272" t="inlineStr">
        <is>
          <t>Catalonia</t>
        </is>
      </c>
      <c r="F272" t="inlineStr">
        <is>
          <t>Q2-Target,WFS,Coupon_Discount,WFS Item</t>
        </is>
      </c>
      <c r="G272" s="48" t="n">
        <v>0</v>
      </c>
      <c r="H272" s="49" t="n">
        <v>0</v>
      </c>
      <c r="I272" s="49" t="n">
        <v>0</v>
      </c>
      <c r="J272" s="50" t="n">
        <v>0</v>
      </c>
      <c r="K272" s="51" t="n">
        <v>0</v>
      </c>
      <c r="L272" s="52" t="n">
        <v>0</v>
      </c>
      <c r="M272" s="52" t="n">
        <v>0</v>
      </c>
      <c r="N272" s="52" t="n">
        <v>0</v>
      </c>
      <c r="O272" s="53" t="n">
        <v>0</v>
      </c>
      <c r="P272" s="52" t="n">
        <v>0</v>
      </c>
      <c r="Q272" s="53" t="n">
        <v>0</v>
      </c>
      <c r="R272" s="52" t="n">
        <v>0</v>
      </c>
      <c r="S272" s="51" t="n">
        <v>0</v>
      </c>
      <c r="T272" s="48" t="n">
        <v>0</v>
      </c>
      <c r="U272" s="49" t="n">
        <v>0</v>
      </c>
      <c r="V272" s="49" t="n">
        <v>0</v>
      </c>
      <c r="W272" s="50" t="n">
        <v>0</v>
      </c>
      <c r="X272" s="51" t="n">
        <v>0</v>
      </c>
      <c r="Y272" s="52" t="n">
        <v>0</v>
      </c>
      <c r="Z272" s="52" t="n">
        <v>0</v>
      </c>
      <c r="AA272" s="52" t="n">
        <v>0</v>
      </c>
      <c r="AB272" s="53" t="n">
        <v>0</v>
      </c>
      <c r="AC272" s="52" t="n">
        <v>0</v>
      </c>
      <c r="AD272" s="53" t="n">
        <v>0</v>
      </c>
      <c r="AE272" s="52" t="n">
        <v>0</v>
      </c>
      <c r="AF272" s="51" t="n">
        <v>0</v>
      </c>
      <c r="AG272" s="48" t="n">
        <v>0</v>
      </c>
      <c r="AH272" s="49" t="n">
        <v>0</v>
      </c>
      <c r="AI272" s="49" t="n">
        <v>0</v>
      </c>
      <c r="AJ272" s="50" t="n">
        <v>0</v>
      </c>
      <c r="AK272" s="51" t="n">
        <v>0</v>
      </c>
      <c r="AL272" s="52" t="n">
        <v>0</v>
      </c>
      <c r="AM272" s="52" t="n">
        <v>0</v>
      </c>
      <c r="AN272" s="52" t="n">
        <v>0</v>
      </c>
      <c r="AO272" s="53" t="n">
        <v>0</v>
      </c>
      <c r="AP272" s="52" t="n">
        <v>0</v>
      </c>
      <c r="AQ272" s="53" t="n">
        <v>0</v>
      </c>
      <c r="AR272" s="52" t="n">
        <v>0</v>
      </c>
      <c r="AS272" s="51" t="n">
        <v>0</v>
      </c>
      <c r="AT272" s="48" t="n">
        <v>0</v>
      </c>
      <c r="AU272" s="49" t="n">
        <v>0</v>
      </c>
      <c r="AV272" s="49" t="n">
        <v>0</v>
      </c>
      <c r="AW272" s="50" t="n">
        <v>0</v>
      </c>
      <c r="AX272" s="51" t="n">
        <v>0</v>
      </c>
      <c r="AY272" s="52" t="n">
        <v>0</v>
      </c>
      <c r="AZ272" s="52" t="n">
        <v>0</v>
      </c>
      <c r="BA272" s="52" t="n">
        <v>0</v>
      </c>
      <c r="BB272" s="53" t="n">
        <v>0</v>
      </c>
      <c r="BC272" s="52" t="n">
        <v>0</v>
      </c>
      <c r="BD272" s="53" t="n">
        <v>0</v>
      </c>
      <c r="BE272" s="52" t="n">
        <v>0</v>
      </c>
      <c r="BF272" s="51" t="n">
        <v>0</v>
      </c>
    </row>
    <row r="273">
      <c r="A273">
        <f>HYPERLINK("https://www.walmart.com/ip/544009988", "544009988")</f>
        <v/>
      </c>
      <c r="B273" t="inlineStr">
        <is>
          <t>Oversized Hooded Poncho Cape, Casual Hoodie Sweatshirt, Batwing Coat Pullover | Light Weight, Cozy, Comfortable, Roomy | for Adults Women Men Teens</t>
        </is>
      </c>
      <c r="C273" t="inlineStr">
        <is>
          <t>1WMHD540S1GN</t>
        </is>
      </c>
      <c r="D273" t="inlineStr">
        <is>
          <t>Sweatshirts &amp; Hoodies</t>
        </is>
      </c>
      <c r="E273" t="inlineStr">
        <is>
          <t>Flyingstar</t>
        </is>
      </c>
      <c r="F273" t="inlineStr">
        <is>
          <t>Hoodie ForAdult,Optimized</t>
        </is>
      </c>
      <c r="G273" s="48" t="n">
        <v>0</v>
      </c>
      <c r="H273" s="49" t="n">
        <v>0</v>
      </c>
      <c r="I273" s="49" t="n">
        <v>0</v>
      </c>
      <c r="J273" s="50" t="n">
        <v>0</v>
      </c>
      <c r="K273" s="51" t="n">
        <v>0</v>
      </c>
      <c r="L273" s="52" t="n">
        <v>0</v>
      </c>
      <c r="M273" s="52" t="n">
        <v>0</v>
      </c>
      <c r="N273" s="52" t="n">
        <v>0</v>
      </c>
      <c r="O273" s="53" t="n">
        <v>0</v>
      </c>
      <c r="P273" s="52" t="n">
        <v>0</v>
      </c>
      <c r="Q273" s="53" t="n">
        <v>0</v>
      </c>
      <c r="R273" s="52" t="n">
        <v>0</v>
      </c>
      <c r="S273" s="51" t="n">
        <v>0</v>
      </c>
      <c r="T273" s="48" t="n">
        <v>0</v>
      </c>
      <c r="U273" s="49" t="n">
        <v>0</v>
      </c>
      <c r="V273" s="49" t="n">
        <v>0</v>
      </c>
      <c r="W273" s="50" t="n">
        <v>0</v>
      </c>
      <c r="X273" s="51" t="n">
        <v>0</v>
      </c>
      <c r="Y273" s="52" t="n">
        <v>0</v>
      </c>
      <c r="Z273" s="52" t="n">
        <v>0</v>
      </c>
      <c r="AA273" s="52" t="n">
        <v>0</v>
      </c>
      <c r="AB273" s="53" t="n">
        <v>0</v>
      </c>
      <c r="AC273" s="52" t="n">
        <v>0</v>
      </c>
      <c r="AD273" s="53" t="n">
        <v>0</v>
      </c>
      <c r="AE273" s="52" t="n">
        <v>0</v>
      </c>
      <c r="AF273" s="51" t="n">
        <v>0</v>
      </c>
      <c r="AG273" s="48" t="n">
        <v>0</v>
      </c>
      <c r="AH273" s="49" t="n">
        <v>0</v>
      </c>
      <c r="AI273" s="49" t="n">
        <v>0</v>
      </c>
      <c r="AJ273" s="50" t="n">
        <v>0</v>
      </c>
      <c r="AK273" s="51" t="n">
        <v>0</v>
      </c>
      <c r="AL273" s="52" t="n">
        <v>0</v>
      </c>
      <c r="AM273" s="52" t="n">
        <v>0</v>
      </c>
      <c r="AN273" s="52" t="n">
        <v>0</v>
      </c>
      <c r="AO273" s="53" t="n">
        <v>0</v>
      </c>
      <c r="AP273" s="52" t="n">
        <v>0</v>
      </c>
      <c r="AQ273" s="53" t="n">
        <v>0</v>
      </c>
      <c r="AR273" s="52" t="n">
        <v>0</v>
      </c>
      <c r="AS273" s="51" t="n">
        <v>0</v>
      </c>
      <c r="AT273" s="48" t="n">
        <v>0</v>
      </c>
      <c r="AU273" s="49" t="n">
        <v>0</v>
      </c>
      <c r="AV273" s="49" t="n">
        <v>0</v>
      </c>
      <c r="AW273" s="50" t="n">
        <v>0</v>
      </c>
      <c r="AX273" s="51" t="n">
        <v>0</v>
      </c>
      <c r="AY273" s="52" t="n">
        <v>0</v>
      </c>
      <c r="AZ273" s="52" t="n">
        <v>0</v>
      </c>
      <c r="BA273" s="52" t="n">
        <v>0</v>
      </c>
      <c r="BB273" s="53" t="n">
        <v>0</v>
      </c>
      <c r="BC273" s="52" t="n">
        <v>0</v>
      </c>
      <c r="BD273" s="53" t="n">
        <v>0</v>
      </c>
      <c r="BE273" s="52" t="n">
        <v>0</v>
      </c>
      <c r="BF273" s="51" t="n">
        <v>0</v>
      </c>
    </row>
    <row r="274">
      <c r="A274">
        <f>HYPERLINK("https://www.walmart.com/ip/543537506", "543537506")</f>
        <v/>
      </c>
      <c r="B274" t="inlineStr">
        <is>
          <t>Catalonia Sherpa Wearable Blanket Poncho for Adult Women Men, Wrap Blanket Cape with Pocket, Warm, Soft, Cozy, Snuggly, Comfort Gift, No Sleeves, Plaid Buffalo Christmas</t>
        </is>
      </c>
      <c r="C274" t="inlineStr">
        <is>
          <t>1CTBP110P2RD</t>
        </is>
      </c>
      <c r="D274" t="inlineStr">
        <is>
          <t>Throws</t>
        </is>
      </c>
      <c r="E274" t="inlineStr">
        <is>
          <t>Catalonia</t>
        </is>
      </c>
      <c r="F274" t="inlineStr">
        <is>
          <t>Q2-Target,Hero 5 Holidays,Coupon_Discount,Batch 1 - TR</t>
        </is>
      </c>
      <c r="G274" s="48" t="n">
        <v>0</v>
      </c>
      <c r="H274" s="49" t="n">
        <v>0</v>
      </c>
      <c r="I274" s="49" t="n">
        <v>0</v>
      </c>
      <c r="J274" s="50" t="n">
        <v>0</v>
      </c>
      <c r="K274" s="51" t="n">
        <v>0</v>
      </c>
      <c r="L274" s="52" t="n">
        <v>0</v>
      </c>
      <c r="M274" s="52" t="n">
        <v>0</v>
      </c>
      <c r="N274" s="52" t="n">
        <v>0</v>
      </c>
      <c r="O274" s="53" t="n">
        <v>0</v>
      </c>
      <c r="P274" s="52" t="n">
        <v>0</v>
      </c>
      <c r="Q274" s="53" t="n">
        <v>0</v>
      </c>
      <c r="R274" s="52" t="n">
        <v>0</v>
      </c>
      <c r="S274" s="51" t="n">
        <v>0</v>
      </c>
      <c r="T274" s="48" t="n">
        <v>0</v>
      </c>
      <c r="U274" s="49" t="n">
        <v>0</v>
      </c>
      <c r="V274" s="49" t="n">
        <v>0</v>
      </c>
      <c r="W274" s="50" t="n">
        <v>0</v>
      </c>
      <c r="X274" s="51" t="n">
        <v>0</v>
      </c>
      <c r="Y274" s="52" t="n">
        <v>0</v>
      </c>
      <c r="Z274" s="52" t="n">
        <v>0</v>
      </c>
      <c r="AA274" s="52" t="n">
        <v>0</v>
      </c>
      <c r="AB274" s="53" t="n">
        <v>0</v>
      </c>
      <c r="AC274" s="52" t="n">
        <v>0</v>
      </c>
      <c r="AD274" s="53" t="n">
        <v>0</v>
      </c>
      <c r="AE274" s="52" t="n">
        <v>0</v>
      </c>
      <c r="AF274" s="51" t="n">
        <v>0</v>
      </c>
      <c r="AG274" s="48" t="n">
        <v>-32.99</v>
      </c>
      <c r="AH274" s="49" t="n">
        <v>-1</v>
      </c>
      <c r="AI274" s="49" t="n">
        <v>0</v>
      </c>
      <c r="AJ274" s="50" t="n">
        <v>0</v>
      </c>
      <c r="AK274" s="51" t="n">
        <v>0</v>
      </c>
      <c r="AL274" s="52" t="n">
        <v>0</v>
      </c>
      <c r="AM274" s="52" t="n">
        <v>0</v>
      </c>
      <c r="AN274" s="52" t="n">
        <v>0</v>
      </c>
      <c r="AO274" s="53" t="n">
        <v>0</v>
      </c>
      <c r="AP274" s="52" t="n">
        <v>0</v>
      </c>
      <c r="AQ274" s="53" t="n">
        <v>0</v>
      </c>
      <c r="AR274" s="52" t="n">
        <v>0</v>
      </c>
      <c r="AS274" s="51" t="n">
        <v>0</v>
      </c>
      <c r="AT274" s="48" t="n">
        <v>0</v>
      </c>
      <c r="AU274" s="49" t="n">
        <v>0</v>
      </c>
      <c r="AV274" s="49" t="n">
        <v>0</v>
      </c>
      <c r="AW274" s="50" t="n">
        <v>0</v>
      </c>
      <c r="AX274" s="51" t="n">
        <v>0</v>
      </c>
      <c r="AY274" s="52" t="n">
        <v>0</v>
      </c>
      <c r="AZ274" s="52" t="n">
        <v>0</v>
      </c>
      <c r="BA274" s="52" t="n">
        <v>0</v>
      </c>
      <c r="BB274" s="53" t="n">
        <v>0</v>
      </c>
      <c r="BC274" s="52" t="n">
        <v>0</v>
      </c>
      <c r="BD274" s="53" t="n">
        <v>0</v>
      </c>
      <c r="BE274" s="52" t="n">
        <v>0</v>
      </c>
      <c r="BF274" s="51" t="n">
        <v>0</v>
      </c>
    </row>
    <row r="275">
      <c r="A275">
        <f>HYPERLINK("https://www.walmart.com/ip/543036914", "543036914")</f>
        <v/>
      </c>
      <c r="B275" t="inlineStr">
        <is>
          <t>Tirrinia Super-Soft Fuzzy Plush Throw Reversible Sherpa Fleece Blanket, 50" x 60", Zebra Pattern</t>
        </is>
      </c>
      <c r="C275" t="inlineStr">
        <is>
          <t>1TRBF300ZEBRA-TBCB</t>
        </is>
      </c>
      <c r="D275" t="inlineStr">
        <is>
          <t>Throws</t>
        </is>
      </c>
      <c r="E275" t="inlineStr">
        <is>
          <t>Tirrinia</t>
        </is>
      </c>
      <c r="F275" t="inlineStr">
        <is>
          <t>Optimized</t>
        </is>
      </c>
      <c r="G275" s="48" t="n">
        <v>0</v>
      </c>
      <c r="H275" s="49" t="n">
        <v>0</v>
      </c>
      <c r="I275" s="49" t="n">
        <v>0</v>
      </c>
      <c r="J275" s="50" t="n">
        <v>0</v>
      </c>
      <c r="K275" s="51" t="n">
        <v>0</v>
      </c>
      <c r="L275" s="52" t="n">
        <v>0</v>
      </c>
      <c r="M275" s="52" t="n">
        <v>0</v>
      </c>
      <c r="N275" s="52" t="n">
        <v>0</v>
      </c>
      <c r="O275" s="53" t="n">
        <v>0</v>
      </c>
      <c r="P275" s="52" t="n">
        <v>0</v>
      </c>
      <c r="Q275" s="53" t="n">
        <v>0</v>
      </c>
      <c r="R275" s="52" t="n">
        <v>0</v>
      </c>
      <c r="S275" s="51" t="n">
        <v>0</v>
      </c>
      <c r="T275" s="48" t="n">
        <v>0</v>
      </c>
      <c r="U275" s="49" t="n">
        <v>0</v>
      </c>
      <c r="V275" s="49" t="n">
        <v>0</v>
      </c>
      <c r="W275" s="50" t="n">
        <v>0</v>
      </c>
      <c r="X275" s="51" t="n">
        <v>0</v>
      </c>
      <c r="Y275" s="52" t="n">
        <v>0</v>
      </c>
      <c r="Z275" s="52" t="n">
        <v>0</v>
      </c>
      <c r="AA275" s="52" t="n">
        <v>0</v>
      </c>
      <c r="AB275" s="53" t="n">
        <v>0</v>
      </c>
      <c r="AC275" s="52" t="n">
        <v>0</v>
      </c>
      <c r="AD275" s="53" t="n">
        <v>0</v>
      </c>
      <c r="AE275" s="52" t="n">
        <v>0</v>
      </c>
      <c r="AF275" s="51" t="n">
        <v>0</v>
      </c>
      <c r="AG275" s="48" t="n">
        <v>0</v>
      </c>
      <c r="AH275" s="49" t="n">
        <v>0</v>
      </c>
      <c r="AI275" s="49" t="n">
        <v>0</v>
      </c>
      <c r="AJ275" s="50" t="n">
        <v>0</v>
      </c>
      <c r="AK275" s="51" t="n">
        <v>0</v>
      </c>
      <c r="AL275" s="52" t="n">
        <v>0</v>
      </c>
      <c r="AM275" s="52" t="n">
        <v>0</v>
      </c>
      <c r="AN275" s="52" t="n">
        <v>0</v>
      </c>
      <c r="AO275" s="53" t="n">
        <v>0</v>
      </c>
      <c r="AP275" s="52" t="n">
        <v>0</v>
      </c>
      <c r="AQ275" s="53" t="n">
        <v>0</v>
      </c>
      <c r="AR275" s="52" t="n">
        <v>0</v>
      </c>
      <c r="AS275" s="51" t="n">
        <v>0</v>
      </c>
      <c r="AT275" s="48" t="n">
        <v>0</v>
      </c>
      <c r="AU275" s="49" t="n">
        <v>0</v>
      </c>
      <c r="AV275" s="49" t="n">
        <v>0</v>
      </c>
      <c r="AW275" s="50" t="n">
        <v>0</v>
      </c>
      <c r="AX275" s="51" t="n">
        <v>0</v>
      </c>
      <c r="AY275" s="52" t="n">
        <v>0</v>
      </c>
      <c r="AZ275" s="52" t="n">
        <v>0</v>
      </c>
      <c r="BA275" s="52" t="n">
        <v>0</v>
      </c>
      <c r="BB275" s="53" t="n">
        <v>0</v>
      </c>
      <c r="BC275" s="52" t="n">
        <v>0</v>
      </c>
      <c r="BD275" s="53" t="n">
        <v>0</v>
      </c>
      <c r="BE275" s="52" t="n">
        <v>0</v>
      </c>
      <c r="BF275" s="51" t="n">
        <v>0</v>
      </c>
    </row>
    <row r="276">
      <c r="A276">
        <f>HYPERLINK("https://www.walmart.com/ip/543033530", "543033530")</f>
        <v/>
      </c>
      <c r="B276" t="inlineStr">
        <is>
          <t>Knit Beanie Hat for Women and Men, Faux Fuzzy Pom Pom Winter Ski Skullies Cap, Bronze</t>
        </is>
      </c>
      <c r="C276" t="inlineStr">
        <is>
          <t>1SLPPH03LATTE</t>
        </is>
      </c>
      <c r="D276" t="inlineStr">
        <is>
          <t>Hats</t>
        </is>
      </c>
      <c r="E276" t="inlineStr">
        <is>
          <t>Solaris</t>
        </is>
      </c>
      <c r="F276" t="inlineStr">
        <is>
          <t>Q2-Target,Batch 1 - TR</t>
        </is>
      </c>
      <c r="G276" s="48" t="n">
        <v>0</v>
      </c>
      <c r="H276" s="49" t="n">
        <v>0</v>
      </c>
      <c r="I276" s="49" t="n">
        <v>0</v>
      </c>
      <c r="J276" s="50" t="n">
        <v>0</v>
      </c>
      <c r="K276" s="51" t="n">
        <v>0</v>
      </c>
      <c r="L276" s="52" t="n">
        <v>0</v>
      </c>
      <c r="M276" s="52" t="n">
        <v>0</v>
      </c>
      <c r="N276" s="52" t="n">
        <v>0</v>
      </c>
      <c r="O276" s="53" t="n">
        <v>0</v>
      </c>
      <c r="P276" s="52" t="n">
        <v>0</v>
      </c>
      <c r="Q276" s="53" t="n">
        <v>0</v>
      </c>
      <c r="R276" s="52" t="n">
        <v>0</v>
      </c>
      <c r="S276" s="51" t="n">
        <v>0</v>
      </c>
      <c r="T276" s="48" t="n">
        <v>0</v>
      </c>
      <c r="U276" s="49" t="n">
        <v>0</v>
      </c>
      <c r="V276" s="49" t="n">
        <v>0</v>
      </c>
      <c r="W276" s="50" t="n">
        <v>0</v>
      </c>
      <c r="X276" s="51" t="n">
        <v>0</v>
      </c>
      <c r="Y276" s="52" t="n">
        <v>0</v>
      </c>
      <c r="Z276" s="52" t="n">
        <v>0</v>
      </c>
      <c r="AA276" s="52" t="n">
        <v>0</v>
      </c>
      <c r="AB276" s="53" t="n">
        <v>0</v>
      </c>
      <c r="AC276" s="52" t="n">
        <v>0</v>
      </c>
      <c r="AD276" s="53" t="n">
        <v>0</v>
      </c>
      <c r="AE276" s="52" t="n">
        <v>0</v>
      </c>
      <c r="AF276" s="51" t="n">
        <v>0</v>
      </c>
      <c r="AG276" s="48" t="n">
        <v>0</v>
      </c>
      <c r="AH276" s="49" t="n">
        <v>0</v>
      </c>
      <c r="AI276" s="49" t="n">
        <v>0</v>
      </c>
      <c r="AJ276" s="50" t="n">
        <v>0</v>
      </c>
      <c r="AK276" s="51" t="n">
        <v>0</v>
      </c>
      <c r="AL276" s="52" t="n">
        <v>0</v>
      </c>
      <c r="AM276" s="52" t="n">
        <v>0</v>
      </c>
      <c r="AN276" s="52" t="n">
        <v>0</v>
      </c>
      <c r="AO276" s="53" t="n">
        <v>0</v>
      </c>
      <c r="AP276" s="52" t="n">
        <v>0</v>
      </c>
      <c r="AQ276" s="53" t="n">
        <v>0</v>
      </c>
      <c r="AR276" s="52" t="n">
        <v>0</v>
      </c>
      <c r="AS276" s="51" t="n">
        <v>0</v>
      </c>
      <c r="AT276" s="48" t="n">
        <v>0</v>
      </c>
      <c r="AU276" s="49" t="n">
        <v>0</v>
      </c>
      <c r="AV276" s="49" t="n">
        <v>0</v>
      </c>
      <c r="AW276" s="50" t="n">
        <v>0</v>
      </c>
      <c r="AX276" s="51" t="n">
        <v>0</v>
      </c>
      <c r="AY276" s="52" t="n">
        <v>0</v>
      </c>
      <c r="AZ276" s="52" t="n">
        <v>0</v>
      </c>
      <c r="BA276" s="52" t="n">
        <v>0</v>
      </c>
      <c r="BB276" s="53" t="n">
        <v>0</v>
      </c>
      <c r="BC276" s="52" t="n">
        <v>0</v>
      </c>
      <c r="BD276" s="53" t="n">
        <v>0</v>
      </c>
      <c r="BE276" s="52" t="n">
        <v>0</v>
      </c>
      <c r="BF276" s="51" t="n">
        <v>0</v>
      </c>
    </row>
    <row r="277">
      <c r="A277">
        <f>HYPERLINK("https://www.walmart.com/ip/542705229", "542705229")</f>
        <v/>
      </c>
      <c r="B277" t="inlineStr">
        <is>
          <t>Flyingstar Blanket with Sleeves and Pocket, Wearable Throws Blanket, Robe for Women and Men 73” x 51” Gray</t>
        </is>
      </c>
      <c r="C277" t="inlineStr">
        <is>
          <t>1WMSN100GY-ESGM</t>
        </is>
      </c>
      <c r="D277" t="inlineStr">
        <is>
          <t>Throws</t>
        </is>
      </c>
      <c r="E277" t="inlineStr">
        <is>
          <t>Flyingstar</t>
        </is>
      </c>
      <c r="F277" t="inlineStr">
        <is>
          <t>Batch 1 - TR</t>
        </is>
      </c>
      <c r="G277" s="48" t="n">
        <v>0</v>
      </c>
      <c r="H277" s="49" t="n">
        <v>0</v>
      </c>
      <c r="I277" s="49" t="n">
        <v>0</v>
      </c>
      <c r="J277" s="50" t="n">
        <v>0</v>
      </c>
      <c r="K277" s="51" t="n">
        <v>0</v>
      </c>
      <c r="L277" s="52" t="n">
        <v>0</v>
      </c>
      <c r="M277" s="52" t="n">
        <v>0</v>
      </c>
      <c r="N277" s="52" t="n">
        <v>0</v>
      </c>
      <c r="O277" s="53" t="n">
        <v>0</v>
      </c>
      <c r="P277" s="52" t="n">
        <v>0</v>
      </c>
      <c r="Q277" s="53" t="n">
        <v>0</v>
      </c>
      <c r="R277" s="52" t="n">
        <v>0</v>
      </c>
      <c r="S277" s="51" t="n">
        <v>0</v>
      </c>
      <c r="T277" s="48" t="n">
        <v>0</v>
      </c>
      <c r="U277" s="49" t="n">
        <v>0</v>
      </c>
      <c r="V277" s="49" t="n">
        <v>0</v>
      </c>
      <c r="W277" s="50" t="n">
        <v>0</v>
      </c>
      <c r="X277" s="51" t="n">
        <v>0</v>
      </c>
      <c r="Y277" s="52" t="n">
        <v>0</v>
      </c>
      <c r="Z277" s="52" t="n">
        <v>0</v>
      </c>
      <c r="AA277" s="52" t="n">
        <v>0</v>
      </c>
      <c r="AB277" s="53" t="n">
        <v>0</v>
      </c>
      <c r="AC277" s="52" t="n">
        <v>0</v>
      </c>
      <c r="AD277" s="53" t="n">
        <v>0</v>
      </c>
      <c r="AE277" s="52" t="n">
        <v>0</v>
      </c>
      <c r="AF277" s="51" t="n">
        <v>0</v>
      </c>
      <c r="AG277" s="48" t="n">
        <v>0</v>
      </c>
      <c r="AH277" s="49" t="n">
        <v>0</v>
      </c>
      <c r="AI277" s="49" t="n">
        <v>0</v>
      </c>
      <c r="AJ277" s="50" t="n">
        <v>0</v>
      </c>
      <c r="AK277" s="51" t="n">
        <v>0</v>
      </c>
      <c r="AL277" s="52" t="n">
        <v>0</v>
      </c>
      <c r="AM277" s="52" t="n">
        <v>0</v>
      </c>
      <c r="AN277" s="52" t="n">
        <v>0</v>
      </c>
      <c r="AO277" s="53" t="n">
        <v>0</v>
      </c>
      <c r="AP277" s="52" t="n">
        <v>0</v>
      </c>
      <c r="AQ277" s="53" t="n">
        <v>0</v>
      </c>
      <c r="AR277" s="52" t="n">
        <v>0</v>
      </c>
      <c r="AS277" s="51" t="n">
        <v>0</v>
      </c>
      <c r="AT277" s="48" t="n">
        <v>0</v>
      </c>
      <c r="AU277" s="49" t="n">
        <v>0</v>
      </c>
      <c r="AV277" s="49" t="n">
        <v>0</v>
      </c>
      <c r="AW277" s="50" t="n">
        <v>0</v>
      </c>
      <c r="AX277" s="51" t="n">
        <v>0</v>
      </c>
      <c r="AY277" s="52" t="n">
        <v>0</v>
      </c>
      <c r="AZ277" s="52" t="n">
        <v>0</v>
      </c>
      <c r="BA277" s="52" t="n">
        <v>0</v>
      </c>
      <c r="BB277" s="53" t="n">
        <v>0</v>
      </c>
      <c r="BC277" s="52" t="n">
        <v>0</v>
      </c>
      <c r="BD277" s="53" t="n">
        <v>0</v>
      </c>
      <c r="BE277" s="52" t="n">
        <v>0</v>
      </c>
      <c r="BF277" s="51" t="n">
        <v>0</v>
      </c>
    </row>
    <row r="278">
      <c r="A278">
        <f>HYPERLINK("https://www.walmart.com/ip/619650652", "619650652")</f>
        <v/>
      </c>
      <c r="B278" t="inlineStr">
        <is>
          <t>Tirrinia Insulated Wine Carrier Tote - Travel Padded 2 Bottle Wine/ Champagne Cooler Bag with Handle and Adjustable Shoulder Strap, Great Wine Lover Gift, Olive</t>
        </is>
      </c>
      <c r="C278" t="inlineStr">
        <is>
          <t>1TRWB211OL</t>
        </is>
      </c>
      <c r="D278" t="inlineStr">
        <is>
          <t>Wine Totes, Bags &amp; Backpacks</t>
        </is>
      </c>
      <c r="E278" t="inlineStr">
        <is>
          <t>Tirrinia</t>
        </is>
      </c>
      <c r="F278" t="inlineStr">
        <is>
          <t>Wine,Christmas,Valentine,Lily Brand Camp</t>
        </is>
      </c>
      <c r="G278" s="48" t="n">
        <v>0</v>
      </c>
      <c r="H278" s="49" t="n">
        <v>0</v>
      </c>
      <c r="I278" s="49" t="n">
        <v>0</v>
      </c>
      <c r="J278" s="50" t="n">
        <v>0</v>
      </c>
      <c r="K278" s="51" t="n">
        <v>0</v>
      </c>
      <c r="L278" s="52" t="n">
        <v>0</v>
      </c>
      <c r="M278" s="52" t="n">
        <v>0</v>
      </c>
      <c r="N278" s="52" t="n">
        <v>0</v>
      </c>
      <c r="O278" s="53" t="n">
        <v>0</v>
      </c>
      <c r="P278" s="52" t="n">
        <v>0</v>
      </c>
      <c r="Q278" s="53" t="n">
        <v>0</v>
      </c>
      <c r="R278" s="52" t="n">
        <v>0</v>
      </c>
      <c r="S278" s="51" t="n">
        <v>0</v>
      </c>
      <c r="T278" s="48" t="n">
        <v>0</v>
      </c>
      <c r="U278" s="49" t="n">
        <v>0</v>
      </c>
      <c r="V278" s="49" t="n">
        <v>0</v>
      </c>
      <c r="W278" s="50" t="n">
        <v>0</v>
      </c>
      <c r="X278" s="51" t="n">
        <v>0</v>
      </c>
      <c r="Y278" s="52" t="n">
        <v>0</v>
      </c>
      <c r="Z278" s="52" t="n">
        <v>0</v>
      </c>
      <c r="AA278" s="52" t="n">
        <v>0</v>
      </c>
      <c r="AB278" s="53" t="n">
        <v>0</v>
      </c>
      <c r="AC278" s="52" t="n">
        <v>0</v>
      </c>
      <c r="AD278" s="53" t="n">
        <v>0</v>
      </c>
      <c r="AE278" s="52" t="n">
        <v>0</v>
      </c>
      <c r="AF278" s="51" t="n">
        <v>0</v>
      </c>
      <c r="AG278" s="48" t="n">
        <v>0</v>
      </c>
      <c r="AH278" s="49" t="n">
        <v>0</v>
      </c>
      <c r="AI278" s="49" t="n">
        <v>0</v>
      </c>
      <c r="AJ278" s="50" t="n">
        <v>0</v>
      </c>
      <c r="AK278" s="51" t="n">
        <v>0</v>
      </c>
      <c r="AL278" s="52" t="n">
        <v>0</v>
      </c>
      <c r="AM278" s="52" t="n">
        <v>0</v>
      </c>
      <c r="AN278" s="52" t="n">
        <v>0</v>
      </c>
      <c r="AO278" s="53" t="n">
        <v>0</v>
      </c>
      <c r="AP278" s="52" t="n">
        <v>0</v>
      </c>
      <c r="AQ278" s="53" t="n">
        <v>0</v>
      </c>
      <c r="AR278" s="52" t="n">
        <v>0</v>
      </c>
      <c r="AS278" s="51" t="n">
        <v>0</v>
      </c>
      <c r="AT278" s="48" t="n">
        <v>0</v>
      </c>
      <c r="AU278" s="49" t="n">
        <v>0</v>
      </c>
      <c r="AV278" s="49" t="n">
        <v>0</v>
      </c>
      <c r="AW278" s="50" t="n">
        <v>0</v>
      </c>
      <c r="AX278" s="51" t="n">
        <v>0</v>
      </c>
      <c r="AY278" s="52" t="n">
        <v>0</v>
      </c>
      <c r="AZ278" s="52" t="n">
        <v>0</v>
      </c>
      <c r="BA278" s="52" t="n">
        <v>0</v>
      </c>
      <c r="BB278" s="53" t="n">
        <v>0</v>
      </c>
      <c r="BC278" s="52" t="n">
        <v>0</v>
      </c>
      <c r="BD278" s="53" t="n">
        <v>0</v>
      </c>
      <c r="BE278" s="52" t="n">
        <v>0</v>
      </c>
      <c r="BF278" s="51" t="n">
        <v>0</v>
      </c>
    </row>
    <row r="279">
      <c r="A279">
        <f>HYPERLINK("https://www.walmart.com/ip/541337350", "541337350")</f>
        <v/>
      </c>
      <c r="B279" t="inlineStr">
        <is>
          <t>Hang Ten Basic Insulated Lunch Bag for Work, Thermal Reusable Office Lunch Box for Men, Women (Palm Trees)</t>
        </is>
      </c>
      <c r="C279" t="inlineStr">
        <is>
          <t>HT-LUNCH-BASICBOX-PALMTREES</t>
        </is>
      </c>
      <c r="D279" t="inlineStr">
        <is>
          <t>Reusable Lunch Bags &amp; Boxes</t>
        </is>
      </c>
      <c r="E279" t="inlineStr">
        <is>
          <t>HANG TEN</t>
        </is>
      </c>
      <c r="G279" s="48" t="n">
        <v>0</v>
      </c>
      <c r="H279" s="49" t="n">
        <v>0</v>
      </c>
      <c r="I279" s="49" t="n">
        <v>0</v>
      </c>
      <c r="J279" s="50" t="n">
        <v>0</v>
      </c>
      <c r="K279" s="51" t="n">
        <v>0</v>
      </c>
      <c r="L279" s="52" t="n">
        <v>0</v>
      </c>
      <c r="M279" s="52" t="n">
        <v>0</v>
      </c>
      <c r="N279" s="52" t="n">
        <v>0</v>
      </c>
      <c r="O279" s="53" t="n">
        <v>0</v>
      </c>
      <c r="P279" s="52" t="n">
        <v>0</v>
      </c>
      <c r="Q279" s="53" t="n">
        <v>0</v>
      </c>
      <c r="R279" s="52" t="n">
        <v>0</v>
      </c>
      <c r="S279" s="51" t="n">
        <v>0</v>
      </c>
      <c r="T279" s="48" t="n">
        <v>0</v>
      </c>
      <c r="U279" s="49" t="n">
        <v>0</v>
      </c>
      <c r="V279" s="49" t="n">
        <v>0</v>
      </c>
      <c r="W279" s="50" t="n">
        <v>0</v>
      </c>
      <c r="X279" s="51" t="n">
        <v>0</v>
      </c>
      <c r="Y279" s="52" t="n">
        <v>0</v>
      </c>
      <c r="Z279" s="52" t="n">
        <v>0</v>
      </c>
      <c r="AA279" s="52" t="n">
        <v>0</v>
      </c>
      <c r="AB279" s="53" t="n">
        <v>0</v>
      </c>
      <c r="AC279" s="52" t="n">
        <v>0</v>
      </c>
      <c r="AD279" s="53" t="n">
        <v>0</v>
      </c>
      <c r="AE279" s="52" t="n">
        <v>0</v>
      </c>
      <c r="AF279" s="51" t="n">
        <v>0</v>
      </c>
      <c r="AG279" s="48" t="n">
        <v>0</v>
      </c>
      <c r="AH279" s="49" t="n">
        <v>0</v>
      </c>
      <c r="AI279" s="49" t="n">
        <v>0</v>
      </c>
      <c r="AJ279" s="50" t="n">
        <v>0</v>
      </c>
      <c r="AK279" s="51" t="n">
        <v>0</v>
      </c>
      <c r="AL279" s="52" t="n">
        <v>0</v>
      </c>
      <c r="AM279" s="52" t="n">
        <v>0</v>
      </c>
      <c r="AN279" s="52" t="n">
        <v>0</v>
      </c>
      <c r="AO279" s="53" t="n">
        <v>0</v>
      </c>
      <c r="AP279" s="52" t="n">
        <v>0</v>
      </c>
      <c r="AQ279" s="53" t="n">
        <v>0</v>
      </c>
      <c r="AR279" s="52" t="n">
        <v>0</v>
      </c>
      <c r="AS279" s="51" t="n">
        <v>0</v>
      </c>
      <c r="AT279" s="48" t="n">
        <v>0</v>
      </c>
      <c r="AU279" s="49" t="n">
        <v>0</v>
      </c>
      <c r="AV279" s="49" t="n">
        <v>0</v>
      </c>
      <c r="AW279" s="50" t="n">
        <v>0</v>
      </c>
      <c r="AX279" s="51" t="n">
        <v>0</v>
      </c>
      <c r="AY279" s="52" t="n">
        <v>0</v>
      </c>
      <c r="AZ279" s="52" t="n">
        <v>0</v>
      </c>
      <c r="BA279" s="52" t="n">
        <v>0</v>
      </c>
      <c r="BB279" s="53" t="n">
        <v>0</v>
      </c>
      <c r="BC279" s="52" t="n">
        <v>0</v>
      </c>
      <c r="BD279" s="53" t="n">
        <v>0</v>
      </c>
      <c r="BE279" s="52" t="n">
        <v>0</v>
      </c>
      <c r="BF279" s="51" t="n">
        <v>0</v>
      </c>
    </row>
    <row r="280">
      <c r="A280">
        <f>HYPERLINK("https://www.walmart.com/ip/540052747", "540052747")</f>
        <v/>
      </c>
      <c r="B280" t="inlineStr">
        <is>
          <t>Tirrinia Single Wine Cooler Bags - Insulated &amp; Padded Portable Wine Tote Carrier for Travel, BYOB Restaurant, Wine Tasting, Party, Great Christmas Gift for Wine Lover, Wine Stripe</t>
        </is>
      </c>
      <c r="C280" t="inlineStr">
        <is>
          <t>1TRWB101WNSTR</t>
        </is>
      </c>
      <c r="D280" t="inlineStr">
        <is>
          <t>Wine Totes, Bags &amp; Backpacks</t>
        </is>
      </c>
      <c r="E280" t="inlineStr">
        <is>
          <t>Tirrinia</t>
        </is>
      </c>
      <c r="F280" t="inlineStr">
        <is>
          <t>Wine,Christmas,WFS,Wine WFS,Valentine,SEM,WFS Item</t>
        </is>
      </c>
      <c r="G280" s="48" t="n">
        <v>0</v>
      </c>
      <c r="H280" s="49" t="n">
        <v>0</v>
      </c>
      <c r="I280" s="49" t="n">
        <v>0</v>
      </c>
      <c r="J280" s="50" t="n">
        <v>0</v>
      </c>
      <c r="K280" s="51" t="n">
        <v>0</v>
      </c>
      <c r="L280" s="52" t="n">
        <v>0</v>
      </c>
      <c r="M280" s="52" t="n">
        <v>0</v>
      </c>
      <c r="N280" s="52" t="n">
        <v>0</v>
      </c>
      <c r="O280" s="53" t="n">
        <v>0</v>
      </c>
      <c r="P280" s="52" t="n">
        <v>0</v>
      </c>
      <c r="Q280" s="53" t="n">
        <v>0</v>
      </c>
      <c r="R280" s="52" t="n">
        <v>0</v>
      </c>
      <c r="S280" s="51" t="n">
        <v>0</v>
      </c>
      <c r="T280" s="48" t="n">
        <v>0</v>
      </c>
      <c r="U280" s="49" t="n">
        <v>0</v>
      </c>
      <c r="V280" s="49" t="n">
        <v>0</v>
      </c>
      <c r="W280" s="50" t="n">
        <v>0</v>
      </c>
      <c r="X280" s="51" t="n">
        <v>0</v>
      </c>
      <c r="Y280" s="52" t="n">
        <v>0</v>
      </c>
      <c r="Z280" s="52" t="n">
        <v>0</v>
      </c>
      <c r="AA280" s="52" t="n">
        <v>0</v>
      </c>
      <c r="AB280" s="53" t="n">
        <v>0</v>
      </c>
      <c r="AC280" s="52" t="n">
        <v>0</v>
      </c>
      <c r="AD280" s="53" t="n">
        <v>0</v>
      </c>
      <c r="AE280" s="52" t="n">
        <v>0</v>
      </c>
      <c r="AF280" s="51" t="n">
        <v>0</v>
      </c>
      <c r="AG280" s="48" t="n">
        <v>0</v>
      </c>
      <c r="AH280" s="49" t="n">
        <v>0</v>
      </c>
      <c r="AI280" s="49" t="n">
        <v>0</v>
      </c>
      <c r="AJ280" s="50" t="n">
        <v>0</v>
      </c>
      <c r="AK280" s="51" t="n">
        <v>0</v>
      </c>
      <c r="AL280" s="52" t="n">
        <v>0</v>
      </c>
      <c r="AM280" s="52" t="n">
        <v>0</v>
      </c>
      <c r="AN280" s="52" t="n">
        <v>0</v>
      </c>
      <c r="AO280" s="53" t="n">
        <v>0</v>
      </c>
      <c r="AP280" s="52" t="n">
        <v>0</v>
      </c>
      <c r="AQ280" s="53" t="n">
        <v>0</v>
      </c>
      <c r="AR280" s="52" t="n">
        <v>0</v>
      </c>
      <c r="AS280" s="51" t="n">
        <v>0</v>
      </c>
      <c r="AT280" s="48" t="n">
        <v>0</v>
      </c>
      <c r="AU280" s="49" t="n">
        <v>0</v>
      </c>
      <c r="AV280" s="49" t="n">
        <v>0</v>
      </c>
      <c r="AW280" s="50" t="n">
        <v>0</v>
      </c>
      <c r="AX280" s="51" t="n">
        <v>0</v>
      </c>
      <c r="AY280" s="52" t="n">
        <v>0</v>
      </c>
      <c r="AZ280" s="52" t="n">
        <v>0</v>
      </c>
      <c r="BA280" s="52" t="n">
        <v>0</v>
      </c>
      <c r="BB280" s="53" t="n">
        <v>0</v>
      </c>
      <c r="BC280" s="52" t="n">
        <v>0</v>
      </c>
      <c r="BD280" s="53" t="n">
        <v>0</v>
      </c>
      <c r="BE280" s="52" t="n">
        <v>0</v>
      </c>
      <c r="BF280" s="51" t="n">
        <v>0</v>
      </c>
    </row>
    <row r="281">
      <c r="A281">
        <f>HYPERLINK("https://www.walmart.com/ip/620011733", "620011733")</f>
        <v/>
      </c>
      <c r="B281" t="inlineStr">
        <is>
          <t>Tirrinia Insulated Wine Tumbler, Black</t>
        </is>
      </c>
      <c r="C281" t="inlineStr">
        <is>
          <t>1TRWT120BK</t>
        </is>
      </c>
      <c r="D281" t="inlineStr">
        <is>
          <t>Tumblers</t>
        </is>
      </c>
      <c r="E281" t="inlineStr">
        <is>
          <t>Tirrinia</t>
        </is>
      </c>
      <c r="F281" t="inlineStr">
        <is>
          <t>Wine,Christmas,Optimized,Valentine</t>
        </is>
      </c>
      <c r="G281" s="48" t="n">
        <v>0</v>
      </c>
      <c r="H281" s="49" t="n">
        <v>0</v>
      </c>
      <c r="I281" s="49" t="n">
        <v>0</v>
      </c>
      <c r="J281" s="50" t="n">
        <v>0</v>
      </c>
      <c r="K281" s="51" t="n">
        <v>0</v>
      </c>
      <c r="L281" s="52" t="n">
        <v>0</v>
      </c>
      <c r="M281" s="52" t="n">
        <v>0</v>
      </c>
      <c r="N281" s="52" t="n">
        <v>0</v>
      </c>
      <c r="O281" s="53" t="n">
        <v>0</v>
      </c>
      <c r="P281" s="52" t="n">
        <v>0</v>
      </c>
      <c r="Q281" s="53" t="n">
        <v>0</v>
      </c>
      <c r="R281" s="52" t="n">
        <v>0</v>
      </c>
      <c r="S281" s="51" t="n">
        <v>0</v>
      </c>
      <c r="T281" s="48" t="n">
        <v>0</v>
      </c>
      <c r="U281" s="49" t="n">
        <v>0</v>
      </c>
      <c r="V281" s="49" t="n">
        <v>0</v>
      </c>
      <c r="W281" s="50" t="n">
        <v>0</v>
      </c>
      <c r="X281" s="51" t="n">
        <v>0</v>
      </c>
      <c r="Y281" s="52" t="n">
        <v>0</v>
      </c>
      <c r="Z281" s="52" t="n">
        <v>0</v>
      </c>
      <c r="AA281" s="52" t="n">
        <v>0</v>
      </c>
      <c r="AB281" s="53" t="n">
        <v>0</v>
      </c>
      <c r="AC281" s="52" t="n">
        <v>0</v>
      </c>
      <c r="AD281" s="53" t="n">
        <v>0</v>
      </c>
      <c r="AE281" s="52" t="n">
        <v>0</v>
      </c>
      <c r="AF281" s="51" t="n">
        <v>0</v>
      </c>
      <c r="AG281" s="48" t="n">
        <v>0</v>
      </c>
      <c r="AH281" s="49" t="n">
        <v>0</v>
      </c>
      <c r="AI281" s="49" t="n">
        <v>0</v>
      </c>
      <c r="AJ281" s="50" t="n">
        <v>0</v>
      </c>
      <c r="AK281" s="51" t="n">
        <v>0</v>
      </c>
      <c r="AL281" s="52" t="n">
        <v>0</v>
      </c>
      <c r="AM281" s="52" t="n">
        <v>0</v>
      </c>
      <c r="AN281" s="52" t="n">
        <v>0</v>
      </c>
      <c r="AO281" s="53" t="n">
        <v>0</v>
      </c>
      <c r="AP281" s="52" t="n">
        <v>0</v>
      </c>
      <c r="AQ281" s="53" t="n">
        <v>0</v>
      </c>
      <c r="AR281" s="52" t="n">
        <v>0</v>
      </c>
      <c r="AS281" s="51" t="n">
        <v>0</v>
      </c>
      <c r="AT281" s="48" t="n">
        <v>0</v>
      </c>
      <c r="AU281" s="49" t="n">
        <v>0</v>
      </c>
      <c r="AV281" s="49" t="n">
        <v>0</v>
      </c>
      <c r="AW281" s="50" t="n">
        <v>0</v>
      </c>
      <c r="AX281" s="51" t="n">
        <v>0</v>
      </c>
      <c r="AY281" s="52" t="n">
        <v>0</v>
      </c>
      <c r="AZ281" s="52" t="n">
        <v>0</v>
      </c>
      <c r="BA281" s="52" t="n">
        <v>0</v>
      </c>
      <c r="BB281" s="53" t="n">
        <v>0</v>
      </c>
      <c r="BC281" s="52" t="n">
        <v>0</v>
      </c>
      <c r="BD281" s="53" t="n">
        <v>0</v>
      </c>
      <c r="BE281" s="52" t="n">
        <v>0</v>
      </c>
      <c r="BF281" s="51" t="n">
        <v>0</v>
      </c>
    </row>
    <row r="282">
      <c r="A282">
        <f>HYPERLINK("https://www.walmart.com/ip/563027004", "563027004")</f>
        <v/>
      </c>
      <c r="B282" t="inlineStr">
        <is>
          <t>sun blocker women's sun hat upf 50+ bucket cap packable outdoor travel hat</t>
        </is>
      </c>
      <c r="C282" t="inlineStr">
        <is>
          <t>KC-S9200-PK</t>
        </is>
      </c>
      <c r="D282" t="inlineStr">
        <is>
          <t>Hats</t>
        </is>
      </c>
      <c r="E282" t="inlineStr">
        <is>
          <t>Sun Blocker</t>
        </is>
      </c>
      <c r="F282" t="inlineStr">
        <is>
          <t>Batch 1 - TR</t>
        </is>
      </c>
      <c r="G282" s="48" t="n">
        <v>0</v>
      </c>
      <c r="H282" s="49" t="n">
        <v>0</v>
      </c>
      <c r="I282" s="49" t="n">
        <v>0</v>
      </c>
      <c r="J282" s="50" t="n">
        <v>0</v>
      </c>
      <c r="K282" s="51" t="n">
        <v>0</v>
      </c>
      <c r="L282" s="52" t="n">
        <v>0</v>
      </c>
      <c r="M282" s="52" t="n">
        <v>0</v>
      </c>
      <c r="N282" s="52" t="n">
        <v>0</v>
      </c>
      <c r="O282" s="53" t="n">
        <v>0</v>
      </c>
      <c r="P282" s="52" t="n">
        <v>0</v>
      </c>
      <c r="Q282" s="53" t="n">
        <v>0</v>
      </c>
      <c r="R282" s="52" t="n">
        <v>0</v>
      </c>
      <c r="S282" s="51" t="n">
        <v>0</v>
      </c>
      <c r="T282" s="48" t="n">
        <v>0</v>
      </c>
      <c r="U282" s="49" t="n">
        <v>0</v>
      </c>
      <c r="V282" s="49" t="n">
        <v>0</v>
      </c>
      <c r="W282" s="50" t="n">
        <v>0</v>
      </c>
      <c r="X282" s="51" t="n">
        <v>0</v>
      </c>
      <c r="Y282" s="52" t="n">
        <v>0</v>
      </c>
      <c r="Z282" s="52" t="n">
        <v>0</v>
      </c>
      <c r="AA282" s="52" t="n">
        <v>0</v>
      </c>
      <c r="AB282" s="53" t="n">
        <v>0</v>
      </c>
      <c r="AC282" s="52" t="n">
        <v>0</v>
      </c>
      <c r="AD282" s="53" t="n">
        <v>0</v>
      </c>
      <c r="AE282" s="52" t="n">
        <v>0</v>
      </c>
      <c r="AF282" s="51" t="n">
        <v>0</v>
      </c>
      <c r="AG282" s="48" t="n">
        <v>0</v>
      </c>
      <c r="AH282" s="49" t="n">
        <v>0</v>
      </c>
      <c r="AI282" s="49" t="n">
        <v>0</v>
      </c>
      <c r="AJ282" s="50" t="n">
        <v>0</v>
      </c>
      <c r="AK282" s="51" t="n">
        <v>0</v>
      </c>
      <c r="AL282" s="52" t="n">
        <v>0</v>
      </c>
      <c r="AM282" s="52" t="n">
        <v>0</v>
      </c>
      <c r="AN282" s="52" t="n">
        <v>0</v>
      </c>
      <c r="AO282" s="53" t="n">
        <v>0</v>
      </c>
      <c r="AP282" s="52" t="n">
        <v>0</v>
      </c>
      <c r="AQ282" s="53" t="n">
        <v>0</v>
      </c>
      <c r="AR282" s="52" t="n">
        <v>0</v>
      </c>
      <c r="AS282" s="51" t="n">
        <v>0</v>
      </c>
      <c r="AT282" s="48" t="n">
        <v>0</v>
      </c>
      <c r="AU282" s="49" t="n">
        <v>0</v>
      </c>
      <c r="AV282" s="49" t="n">
        <v>0</v>
      </c>
      <c r="AW282" s="50" t="n">
        <v>0</v>
      </c>
      <c r="AX282" s="51" t="n">
        <v>0</v>
      </c>
      <c r="AY282" s="52" t="n">
        <v>0</v>
      </c>
      <c r="AZ282" s="52" t="n">
        <v>0</v>
      </c>
      <c r="BA282" s="52" t="n">
        <v>0</v>
      </c>
      <c r="BB282" s="53" t="n">
        <v>0</v>
      </c>
      <c r="BC282" s="52" t="n">
        <v>0</v>
      </c>
      <c r="BD282" s="53" t="n">
        <v>0</v>
      </c>
      <c r="BE282" s="52" t="n">
        <v>0</v>
      </c>
      <c r="BF282" s="51" t="n">
        <v>0</v>
      </c>
    </row>
    <row r="283">
      <c r="A283">
        <f>HYPERLINK("https://www.walmart.com/ip/565270499", "565270499")</f>
        <v/>
      </c>
      <c r="B283" t="inlineStr">
        <is>
          <t>Hang Ten Basic Insulated Lunch Bag for Work, Thermal Reusable Office Lunch Box for Men, Women (Palm Trees)</t>
        </is>
      </c>
      <c r="C283" t="inlineStr">
        <is>
          <t>HT-LUNCH-BASICBOX-ISLANDRAINBOW</t>
        </is>
      </c>
      <c r="D283" t="inlineStr">
        <is>
          <t>Reusable Lunch Bags &amp; Boxes</t>
        </is>
      </c>
      <c r="E283" t="inlineStr">
        <is>
          <t>HANG TEN</t>
        </is>
      </c>
      <c r="G283" s="48" t="n">
        <v>0</v>
      </c>
      <c r="H283" s="49" t="n">
        <v>0</v>
      </c>
      <c r="I283" s="49" t="n">
        <v>0</v>
      </c>
      <c r="J283" s="50" t="n">
        <v>0</v>
      </c>
      <c r="K283" s="51" t="n">
        <v>0</v>
      </c>
      <c r="L283" s="52" t="n">
        <v>0</v>
      </c>
      <c r="M283" s="52" t="n">
        <v>0</v>
      </c>
      <c r="N283" s="52" t="n">
        <v>0</v>
      </c>
      <c r="O283" s="53" t="n">
        <v>0</v>
      </c>
      <c r="P283" s="52" t="n">
        <v>0</v>
      </c>
      <c r="Q283" s="53" t="n">
        <v>0</v>
      </c>
      <c r="R283" s="52" t="n">
        <v>0</v>
      </c>
      <c r="S283" s="51" t="n">
        <v>0</v>
      </c>
      <c r="T283" s="48" t="n">
        <v>0</v>
      </c>
      <c r="U283" s="49" t="n">
        <v>0</v>
      </c>
      <c r="V283" s="49" t="n">
        <v>0</v>
      </c>
      <c r="W283" s="50" t="n">
        <v>0</v>
      </c>
      <c r="X283" s="51" t="n">
        <v>0</v>
      </c>
      <c r="Y283" s="52" t="n">
        <v>0</v>
      </c>
      <c r="Z283" s="52" t="n">
        <v>0</v>
      </c>
      <c r="AA283" s="52" t="n">
        <v>0</v>
      </c>
      <c r="AB283" s="53" t="n">
        <v>0</v>
      </c>
      <c r="AC283" s="52" t="n">
        <v>0</v>
      </c>
      <c r="AD283" s="53" t="n">
        <v>0</v>
      </c>
      <c r="AE283" s="52" t="n">
        <v>0</v>
      </c>
      <c r="AF283" s="51" t="n">
        <v>0</v>
      </c>
      <c r="AG283" s="48" t="n">
        <v>0</v>
      </c>
      <c r="AH283" s="49" t="n">
        <v>0</v>
      </c>
      <c r="AI283" s="49" t="n">
        <v>0</v>
      </c>
      <c r="AJ283" s="50" t="n">
        <v>0</v>
      </c>
      <c r="AK283" s="51" t="n">
        <v>0</v>
      </c>
      <c r="AL283" s="52" t="n">
        <v>0</v>
      </c>
      <c r="AM283" s="52" t="n">
        <v>0</v>
      </c>
      <c r="AN283" s="52" t="n">
        <v>0</v>
      </c>
      <c r="AO283" s="53" t="n">
        <v>0</v>
      </c>
      <c r="AP283" s="52" t="n">
        <v>0</v>
      </c>
      <c r="AQ283" s="53" t="n">
        <v>0</v>
      </c>
      <c r="AR283" s="52" t="n">
        <v>0</v>
      </c>
      <c r="AS283" s="51" t="n">
        <v>0</v>
      </c>
      <c r="AT283" s="48" t="n">
        <v>0</v>
      </c>
      <c r="AU283" s="49" t="n">
        <v>0</v>
      </c>
      <c r="AV283" s="49" t="n">
        <v>0</v>
      </c>
      <c r="AW283" s="50" t="n">
        <v>0</v>
      </c>
      <c r="AX283" s="51" t="n">
        <v>0</v>
      </c>
      <c r="AY283" s="52" t="n">
        <v>0</v>
      </c>
      <c r="AZ283" s="52" t="n">
        <v>0</v>
      </c>
      <c r="BA283" s="52" t="n">
        <v>0</v>
      </c>
      <c r="BB283" s="53" t="n">
        <v>0</v>
      </c>
      <c r="BC283" s="52" t="n">
        <v>0</v>
      </c>
      <c r="BD283" s="53" t="n">
        <v>0</v>
      </c>
      <c r="BE283" s="52" t="n">
        <v>0</v>
      </c>
      <c r="BF283" s="51" t="n">
        <v>0</v>
      </c>
    </row>
    <row r="284">
      <c r="A284">
        <f>HYPERLINK("https://www.walmart.com/ip/612596634", "612596634")</f>
        <v/>
      </c>
      <c r="B284" t="inlineStr">
        <is>
          <t>Tirrinia 2 Bottle Wine Tote Carrier - Insulated &amp; Padded Versatile Cooler Bag for Travel, BYOB Restaurant, Wine Tasting, Party, Great Gift for Wine Lover, Black Stripe</t>
        </is>
      </c>
      <c r="C284" t="inlineStr">
        <is>
          <t>1TRWB221BKSTR</t>
        </is>
      </c>
      <c r="D284" t="inlineStr">
        <is>
          <t>Wine Totes, Bags &amp; Backpacks</t>
        </is>
      </c>
      <c r="E284" t="inlineStr">
        <is>
          <t>Tirrinia</t>
        </is>
      </c>
      <c r="F284" t="inlineStr">
        <is>
          <t>Wine,Wine Bag Camp,Christmas,WFS,Wine WFS,Valentine,SEM,WFS Item</t>
        </is>
      </c>
      <c r="G284" s="48" t="n">
        <v>0</v>
      </c>
      <c r="H284" s="49" t="n">
        <v>0</v>
      </c>
      <c r="I284" s="49" t="n">
        <v>0</v>
      </c>
      <c r="J284" s="50" t="n">
        <v>0</v>
      </c>
      <c r="K284" s="51" t="n">
        <v>1</v>
      </c>
      <c r="L284" s="52" t="n">
        <v>0.4</v>
      </c>
      <c r="M284" s="52" t="n">
        <v>0</v>
      </c>
      <c r="N284" s="52" t="n">
        <v>0</v>
      </c>
      <c r="O284" s="53" t="n">
        <v>0.0012</v>
      </c>
      <c r="P284" s="52" t="n">
        <v>0.4</v>
      </c>
      <c r="Q284" s="53" t="n">
        <v>0</v>
      </c>
      <c r="R284" s="52" t="n">
        <v>0</v>
      </c>
      <c r="S284" s="51" t="n">
        <v>833</v>
      </c>
      <c r="T284" s="48" t="n">
        <v>0</v>
      </c>
      <c r="U284" s="49" t="n">
        <v>0</v>
      </c>
      <c r="V284" s="49" t="n">
        <v>0</v>
      </c>
      <c r="W284" s="50" t="n">
        <v>0</v>
      </c>
      <c r="X284" s="51" t="n">
        <v>0</v>
      </c>
      <c r="Y284" s="52" t="n">
        <v>0</v>
      </c>
      <c r="Z284" s="52" t="n">
        <v>0</v>
      </c>
      <c r="AA284" s="52" t="n">
        <v>0</v>
      </c>
      <c r="AB284" s="53" t="n">
        <v>0</v>
      </c>
      <c r="AC284" s="52" t="n">
        <v>0</v>
      </c>
      <c r="AD284" s="53" t="n">
        <v>0</v>
      </c>
      <c r="AE284" s="52" t="n">
        <v>0</v>
      </c>
      <c r="AF284" s="51" t="n">
        <v>1149</v>
      </c>
      <c r="AG284" s="48" t="n">
        <v>0</v>
      </c>
      <c r="AH284" s="49" t="n">
        <v>0</v>
      </c>
      <c r="AI284" s="49" t="n">
        <v>0</v>
      </c>
      <c r="AJ284" s="50" t="n">
        <v>0</v>
      </c>
      <c r="AK284" s="51" t="n">
        <v>1</v>
      </c>
      <c r="AL284" s="52" t="n">
        <v>0.4</v>
      </c>
      <c r="AM284" s="52" t="n">
        <v>0</v>
      </c>
      <c r="AN284" s="52" t="n">
        <v>0</v>
      </c>
      <c r="AO284" s="53" t="n">
        <v>0.001</v>
      </c>
      <c r="AP284" s="52" t="n">
        <v>0.4</v>
      </c>
      <c r="AQ284" s="53" t="n">
        <v>0</v>
      </c>
      <c r="AR284" s="52" t="n">
        <v>0</v>
      </c>
      <c r="AS284" s="51" t="n">
        <v>997</v>
      </c>
      <c r="AT284" s="48" t="n">
        <v>0</v>
      </c>
      <c r="AU284" s="49" t="n">
        <v>0</v>
      </c>
      <c r="AV284" s="49" t="n">
        <v>0</v>
      </c>
      <c r="AW284" s="50" t="n">
        <v>0</v>
      </c>
      <c r="AX284" s="51" t="n">
        <v>2</v>
      </c>
      <c r="AY284" s="52" t="n">
        <v>0.8</v>
      </c>
      <c r="AZ284" s="52" t="n">
        <v>0</v>
      </c>
      <c r="BA284" s="52" t="n">
        <v>0</v>
      </c>
      <c r="BB284" s="53" t="n">
        <v>0.0018</v>
      </c>
      <c r="BC284" s="52" t="n">
        <v>0.4</v>
      </c>
      <c r="BD284" s="53" t="n">
        <v>0</v>
      </c>
      <c r="BE284" s="52" t="n">
        <v>0</v>
      </c>
      <c r="BF284" s="51" t="n">
        <v>1130</v>
      </c>
    </row>
    <row r="285">
      <c r="A285">
        <f>HYPERLINK("https://www.walmart.com/ip/5808778267", "5808778267")</f>
        <v/>
      </c>
      <c r="B285" t="inlineStr">
        <is>
          <t>Catalonia Cooling Blanket for Hot Sleepers, Summer Bed Blanket for Warm Night Sweat, Cool Sofa Throw Blanket for Hot Flashes, Soft Thin Lightweight Blanket for Adults Kids</t>
        </is>
      </c>
      <c r="C285" t="inlineStr">
        <is>
          <t>1CTBQ10199GN</t>
        </is>
      </c>
      <c r="D285" t="inlineStr">
        <is>
          <t>Throws</t>
        </is>
      </c>
      <c r="E285" t="inlineStr">
        <is>
          <t>Catalonia</t>
        </is>
      </c>
      <c r="G285" s="48" t="n">
        <v>0</v>
      </c>
      <c r="H285" s="49" t="n">
        <v>0</v>
      </c>
      <c r="I285" s="49" t="n">
        <v>0</v>
      </c>
      <c r="J285" s="50" t="n">
        <v>0</v>
      </c>
      <c r="K285" s="51" t="n">
        <v>0</v>
      </c>
      <c r="L285" s="52" t="n">
        <v>0</v>
      </c>
      <c r="M285" s="52" t="n">
        <v>0</v>
      </c>
      <c r="N285" s="52" t="n">
        <v>0</v>
      </c>
      <c r="O285" s="53" t="n">
        <v>0</v>
      </c>
      <c r="P285" s="52" t="n">
        <v>0</v>
      </c>
      <c r="Q285" s="53" t="n">
        <v>0</v>
      </c>
      <c r="R285" s="52" t="n">
        <v>0</v>
      </c>
      <c r="S285" s="51" t="n">
        <v>0</v>
      </c>
      <c r="T285" s="48" t="n">
        <v>0</v>
      </c>
      <c r="U285" s="49" t="n">
        <v>0</v>
      </c>
      <c r="V285" s="49" t="n">
        <v>0</v>
      </c>
      <c r="W285" s="50" t="n">
        <v>0</v>
      </c>
      <c r="X285" s="51" t="n">
        <v>0</v>
      </c>
      <c r="Y285" s="52" t="n">
        <v>0</v>
      </c>
      <c r="Z285" s="52" t="n">
        <v>0</v>
      </c>
      <c r="AA285" s="52" t="n">
        <v>0</v>
      </c>
      <c r="AB285" s="53" t="n">
        <v>0</v>
      </c>
      <c r="AC285" s="52" t="n">
        <v>0</v>
      </c>
      <c r="AD285" s="53" t="n">
        <v>0</v>
      </c>
      <c r="AE285" s="52" t="n">
        <v>0</v>
      </c>
      <c r="AF285" s="51" t="n">
        <v>0</v>
      </c>
      <c r="AG285" s="48" t="n">
        <v>0</v>
      </c>
      <c r="AH285" s="49" t="n">
        <v>0</v>
      </c>
      <c r="AI285" s="49" t="n">
        <v>0</v>
      </c>
      <c r="AJ285" s="50" t="n">
        <v>0</v>
      </c>
      <c r="AK285" s="51" t="n">
        <v>0</v>
      </c>
      <c r="AL285" s="52" t="n">
        <v>0</v>
      </c>
      <c r="AM285" s="52" t="n">
        <v>0</v>
      </c>
      <c r="AN285" s="52" t="n">
        <v>0</v>
      </c>
      <c r="AO285" s="53" t="n">
        <v>0</v>
      </c>
      <c r="AP285" s="52" t="n">
        <v>0</v>
      </c>
      <c r="AQ285" s="53" t="n">
        <v>0</v>
      </c>
      <c r="AR285" s="52" t="n">
        <v>0</v>
      </c>
      <c r="AS285" s="51" t="n">
        <v>0</v>
      </c>
      <c r="AT285" s="48" t="n">
        <v>0</v>
      </c>
      <c r="AU285" s="49" t="n">
        <v>0</v>
      </c>
      <c r="AV285" s="49" t="n">
        <v>0</v>
      </c>
      <c r="AW285" s="50" t="n">
        <v>0</v>
      </c>
      <c r="AX285" s="51" t="n">
        <v>0</v>
      </c>
      <c r="AY285" s="52" t="n">
        <v>0</v>
      </c>
      <c r="AZ285" s="52" t="n">
        <v>0</v>
      </c>
      <c r="BA285" s="52" t="n">
        <v>0</v>
      </c>
      <c r="BB285" s="53" t="n">
        <v>0</v>
      </c>
      <c r="BC285" s="52" t="n">
        <v>0</v>
      </c>
      <c r="BD285" s="53" t="n">
        <v>0</v>
      </c>
      <c r="BE285" s="52" t="n">
        <v>0</v>
      </c>
      <c r="BF285" s="51" t="n">
        <v>0</v>
      </c>
    </row>
    <row r="286">
      <c r="A286">
        <f>HYPERLINK("https://www.walmart.com/ip/584823468", "584823468")</f>
        <v/>
      </c>
      <c r="B286" t="inlineStr">
        <is>
          <t>Tirrinia Insulated Lunch Bag for Women w/ Leather Handle, Reusable Tote Bag for Men, Fashionable Cooler Lunch Box for Working/Picnic, Black</t>
        </is>
      </c>
      <c r="C286" t="inlineStr">
        <is>
          <t>1WMLB704BK</t>
        </is>
      </c>
      <c r="D286" t="inlineStr">
        <is>
          <t>Reusable Lunch Bags &amp; Boxes</t>
        </is>
      </c>
      <c r="E286" t="inlineStr">
        <is>
          <t>Flyingstar</t>
        </is>
      </c>
      <c r="F286" t="inlineStr">
        <is>
          <t>Q2-Target,Lunch Bag,WFS,WFS Item</t>
        </is>
      </c>
      <c r="G286" s="48" t="n">
        <v>0</v>
      </c>
      <c r="H286" s="49" t="n">
        <v>0</v>
      </c>
      <c r="I286" s="49" t="n">
        <v>0</v>
      </c>
      <c r="J286" s="50" t="n">
        <v>0</v>
      </c>
      <c r="K286" s="51" t="n">
        <v>0</v>
      </c>
      <c r="L286" s="52" t="n">
        <v>0</v>
      </c>
      <c r="M286" s="52" t="n">
        <v>0</v>
      </c>
      <c r="N286" s="52" t="n">
        <v>0</v>
      </c>
      <c r="O286" s="53" t="n">
        <v>0</v>
      </c>
      <c r="P286" s="52" t="n">
        <v>0</v>
      </c>
      <c r="Q286" s="53" t="n">
        <v>0</v>
      </c>
      <c r="R286" s="52" t="n">
        <v>0</v>
      </c>
      <c r="S286" s="51" t="n">
        <v>0</v>
      </c>
      <c r="T286" s="48" t="n">
        <v>0</v>
      </c>
      <c r="U286" s="49" t="n">
        <v>0</v>
      </c>
      <c r="V286" s="49" t="n">
        <v>0</v>
      </c>
      <c r="W286" s="50" t="n">
        <v>0</v>
      </c>
      <c r="X286" s="51" t="n">
        <v>0</v>
      </c>
      <c r="Y286" s="52" t="n">
        <v>0</v>
      </c>
      <c r="Z286" s="52" t="n">
        <v>0</v>
      </c>
      <c r="AA286" s="52" t="n">
        <v>0</v>
      </c>
      <c r="AB286" s="53" t="n">
        <v>0</v>
      </c>
      <c r="AC286" s="52" t="n">
        <v>0</v>
      </c>
      <c r="AD286" s="53" t="n">
        <v>0</v>
      </c>
      <c r="AE286" s="52" t="n">
        <v>0</v>
      </c>
      <c r="AF286" s="51" t="n">
        <v>0</v>
      </c>
      <c r="AG286" s="48" t="n">
        <v>0</v>
      </c>
      <c r="AH286" s="49" t="n">
        <v>0</v>
      </c>
      <c r="AI286" s="49" t="n">
        <v>3</v>
      </c>
      <c r="AJ286" s="50" t="n">
        <v>0</v>
      </c>
      <c r="AK286" s="51" t="n">
        <v>0</v>
      </c>
      <c r="AL286" s="52" t="n">
        <v>0</v>
      </c>
      <c r="AM286" s="52" t="n">
        <v>0</v>
      </c>
      <c r="AN286" s="52" t="n">
        <v>0</v>
      </c>
      <c r="AO286" s="53" t="n">
        <v>0</v>
      </c>
      <c r="AP286" s="52" t="n">
        <v>0</v>
      </c>
      <c r="AQ286" s="53" t="n">
        <v>0</v>
      </c>
      <c r="AR286" s="52" t="n">
        <v>0</v>
      </c>
      <c r="AS286" s="51" t="n">
        <v>0</v>
      </c>
      <c r="AT286" s="48" t="n">
        <v>0</v>
      </c>
      <c r="AU286" s="49" t="n">
        <v>0</v>
      </c>
      <c r="AV286" s="49" t="n">
        <v>2</v>
      </c>
      <c r="AW286" s="50" t="n">
        <v>0</v>
      </c>
      <c r="AX286" s="51" t="n">
        <v>0</v>
      </c>
      <c r="AY286" s="52" t="n">
        <v>0</v>
      </c>
      <c r="AZ286" s="52" t="n">
        <v>0</v>
      </c>
      <c r="BA286" s="52" t="n">
        <v>0</v>
      </c>
      <c r="BB286" s="53" t="n">
        <v>0</v>
      </c>
      <c r="BC286" s="52" t="n">
        <v>0</v>
      </c>
      <c r="BD286" s="53" t="n">
        <v>0</v>
      </c>
      <c r="BE286" s="52" t="n">
        <v>0</v>
      </c>
      <c r="BF286" s="51" t="n">
        <v>0</v>
      </c>
    </row>
    <row r="287">
      <c r="A287">
        <f>HYPERLINK("https://www.walmart.com/ip/5845089214", "5845089214")</f>
        <v/>
      </c>
      <c r="B287" t="inlineStr">
        <is>
          <t>Tirrinia Lightweight Beach Poncho Towel with Hood for Adult Quick Dry Travel Surfer Pool Camping Beach Accessories Vacation Essential Summer</t>
        </is>
      </c>
      <c r="C287" t="inlineStr">
        <is>
          <t>1TRBC201SURFBOARD</t>
        </is>
      </c>
      <c r="D287" t="inlineStr">
        <is>
          <t>Towels &amp; Washcloths</t>
        </is>
      </c>
      <c r="E287" t="inlineStr">
        <is>
          <t>Tirrinia</t>
        </is>
      </c>
      <c r="G287" s="48" t="n">
        <v>0</v>
      </c>
      <c r="H287" s="49" t="n">
        <v>0</v>
      </c>
      <c r="I287" s="49" t="n">
        <v>0</v>
      </c>
      <c r="J287" s="50" t="n">
        <v>0</v>
      </c>
      <c r="K287" s="51" t="n">
        <v>0</v>
      </c>
      <c r="L287" s="52" t="n">
        <v>0</v>
      </c>
      <c r="M287" s="52" t="n">
        <v>0</v>
      </c>
      <c r="N287" s="52" t="n">
        <v>0</v>
      </c>
      <c r="O287" s="53" t="n">
        <v>0</v>
      </c>
      <c r="P287" s="52" t="n">
        <v>0</v>
      </c>
      <c r="Q287" s="53" t="n">
        <v>0</v>
      </c>
      <c r="R287" s="52" t="n">
        <v>0</v>
      </c>
      <c r="S287" s="51" t="n">
        <v>0</v>
      </c>
      <c r="T287" s="48" t="n">
        <v>0</v>
      </c>
      <c r="U287" s="49" t="n">
        <v>0</v>
      </c>
      <c r="V287" s="49" t="n">
        <v>0</v>
      </c>
      <c r="W287" s="50" t="n">
        <v>0</v>
      </c>
      <c r="X287" s="51" t="n">
        <v>0</v>
      </c>
      <c r="Y287" s="52" t="n">
        <v>0</v>
      </c>
      <c r="Z287" s="52" t="n">
        <v>0</v>
      </c>
      <c r="AA287" s="52" t="n">
        <v>0</v>
      </c>
      <c r="AB287" s="53" t="n">
        <v>0</v>
      </c>
      <c r="AC287" s="52" t="n">
        <v>0</v>
      </c>
      <c r="AD287" s="53" t="n">
        <v>0</v>
      </c>
      <c r="AE287" s="52" t="n">
        <v>0</v>
      </c>
      <c r="AF287" s="51" t="n">
        <v>0</v>
      </c>
      <c r="AG287" s="48" t="n">
        <v>0</v>
      </c>
      <c r="AH287" s="49" t="n">
        <v>0</v>
      </c>
      <c r="AI287" s="49" t="n">
        <v>0</v>
      </c>
      <c r="AJ287" s="50" t="n">
        <v>0</v>
      </c>
      <c r="AK287" s="51" t="n">
        <v>0</v>
      </c>
      <c r="AL287" s="52" t="n">
        <v>0</v>
      </c>
      <c r="AM287" s="52" t="n">
        <v>0</v>
      </c>
      <c r="AN287" s="52" t="n">
        <v>0</v>
      </c>
      <c r="AO287" s="53" t="n">
        <v>0</v>
      </c>
      <c r="AP287" s="52" t="n">
        <v>0</v>
      </c>
      <c r="AQ287" s="53" t="n">
        <v>0</v>
      </c>
      <c r="AR287" s="52" t="n">
        <v>0</v>
      </c>
      <c r="AS287" s="51" t="n">
        <v>0</v>
      </c>
      <c r="AT287" s="48" t="n">
        <v>0</v>
      </c>
      <c r="AU287" s="49" t="n">
        <v>0</v>
      </c>
      <c r="AV287" s="49" t="n">
        <v>0</v>
      </c>
      <c r="AW287" s="50" t="n">
        <v>0</v>
      </c>
      <c r="AX287" s="51" t="n">
        <v>0</v>
      </c>
      <c r="AY287" s="52" t="n">
        <v>0</v>
      </c>
      <c r="AZ287" s="52" t="n">
        <v>0</v>
      </c>
      <c r="BA287" s="52" t="n">
        <v>0</v>
      </c>
      <c r="BB287" s="53" t="n">
        <v>0</v>
      </c>
      <c r="BC287" s="52" t="n">
        <v>0</v>
      </c>
      <c r="BD287" s="53" t="n">
        <v>0</v>
      </c>
      <c r="BE287" s="52" t="n">
        <v>0</v>
      </c>
      <c r="BF287" s="51" t="n">
        <v>0</v>
      </c>
    </row>
    <row r="288">
      <c r="A288">
        <f>HYPERLINK("https://www.walmart.com/ip/604881836", "604881836")</f>
        <v/>
      </c>
      <c r="B288" t="inlineStr">
        <is>
          <t>Catalonia Sherpa Slipper Socks for Women &amp; Teen, Winter Indoor Non-Skid House Booties 11 Colors</t>
        </is>
      </c>
      <c r="C288" t="inlineStr">
        <is>
          <t>1CTST200RD-2</t>
        </is>
      </c>
      <c r="D288" t="inlineStr">
        <is>
          <t>Socks</t>
        </is>
      </c>
      <c r="E288" t="inlineStr">
        <is>
          <t>Catalonia</t>
        </is>
      </c>
      <c r="F288" t="inlineStr">
        <is>
          <t>WFS,WFS Item</t>
        </is>
      </c>
      <c r="G288" s="48" t="n">
        <v>0</v>
      </c>
      <c r="H288" s="49" t="n">
        <v>0</v>
      </c>
      <c r="I288" s="49" t="n">
        <v>0</v>
      </c>
      <c r="J288" s="50" t="n">
        <v>0</v>
      </c>
      <c r="K288" s="51" t="n">
        <v>0</v>
      </c>
      <c r="L288" s="52" t="n">
        <v>0</v>
      </c>
      <c r="M288" s="52" t="n">
        <v>0</v>
      </c>
      <c r="N288" s="52" t="n">
        <v>0</v>
      </c>
      <c r="O288" s="53" t="n">
        <v>0</v>
      </c>
      <c r="P288" s="52" t="n">
        <v>0</v>
      </c>
      <c r="Q288" s="53" t="n">
        <v>0</v>
      </c>
      <c r="R288" s="52" t="n">
        <v>0</v>
      </c>
      <c r="S288" s="51" t="n">
        <v>0</v>
      </c>
      <c r="T288" s="48" t="n">
        <v>0</v>
      </c>
      <c r="U288" s="49" t="n">
        <v>0</v>
      </c>
      <c r="V288" s="49" t="n">
        <v>0</v>
      </c>
      <c r="W288" s="50" t="n">
        <v>0</v>
      </c>
      <c r="X288" s="51" t="n">
        <v>0</v>
      </c>
      <c r="Y288" s="52" t="n">
        <v>0</v>
      </c>
      <c r="Z288" s="52" t="n">
        <v>0</v>
      </c>
      <c r="AA288" s="52" t="n">
        <v>0</v>
      </c>
      <c r="AB288" s="53" t="n">
        <v>0</v>
      </c>
      <c r="AC288" s="52" t="n">
        <v>0</v>
      </c>
      <c r="AD288" s="53" t="n">
        <v>0</v>
      </c>
      <c r="AE288" s="52" t="n">
        <v>0</v>
      </c>
      <c r="AF288" s="51" t="n">
        <v>0</v>
      </c>
      <c r="AG288" s="48" t="n">
        <v>0</v>
      </c>
      <c r="AH288" s="49" t="n">
        <v>0</v>
      </c>
      <c r="AI288" s="49" t="n">
        <v>0</v>
      </c>
      <c r="AJ288" s="50" t="n">
        <v>0</v>
      </c>
      <c r="AK288" s="51" t="n">
        <v>0</v>
      </c>
      <c r="AL288" s="52" t="n">
        <v>0</v>
      </c>
      <c r="AM288" s="52" t="n">
        <v>0</v>
      </c>
      <c r="AN288" s="52" t="n">
        <v>0</v>
      </c>
      <c r="AO288" s="53" t="n">
        <v>0</v>
      </c>
      <c r="AP288" s="52" t="n">
        <v>0</v>
      </c>
      <c r="AQ288" s="53" t="n">
        <v>0</v>
      </c>
      <c r="AR288" s="52" t="n">
        <v>0</v>
      </c>
      <c r="AS288" s="51" t="n">
        <v>0</v>
      </c>
      <c r="AT288" s="48" t="n">
        <v>0</v>
      </c>
      <c r="AU288" s="49" t="n">
        <v>0</v>
      </c>
      <c r="AV288" s="49" t="n">
        <v>0</v>
      </c>
      <c r="AW288" s="50" t="n">
        <v>0</v>
      </c>
      <c r="AX288" s="51" t="n">
        <v>0</v>
      </c>
      <c r="AY288" s="52" t="n">
        <v>0</v>
      </c>
      <c r="AZ288" s="52" t="n">
        <v>0</v>
      </c>
      <c r="BA288" s="52" t="n">
        <v>0</v>
      </c>
      <c r="BB288" s="53" t="n">
        <v>0</v>
      </c>
      <c r="BC288" s="52" t="n">
        <v>0</v>
      </c>
      <c r="BD288" s="53" t="n">
        <v>0</v>
      </c>
      <c r="BE288" s="52" t="n">
        <v>0</v>
      </c>
      <c r="BF288" s="51" t="n">
        <v>0</v>
      </c>
    </row>
    <row r="289">
      <c r="A289">
        <f>HYPERLINK("https://www.walmart.com/ip/584375905", "584375905")</f>
        <v/>
      </c>
      <c r="B289" t="inlineStr">
        <is>
          <t>Youth Reflective Knit Beanie Hat For Sports Warm</t>
        </is>
      </c>
      <c r="C289" t="inlineStr">
        <is>
          <t>1SLBN01OR-FSCB</t>
        </is>
      </c>
      <c r="D289" t="inlineStr">
        <is>
          <t>Hats</t>
        </is>
      </c>
      <c r="E289" t="inlineStr">
        <is>
          <t>Solaris</t>
        </is>
      </c>
      <c r="F289" t="inlineStr">
        <is>
          <t>Optimized</t>
        </is>
      </c>
      <c r="G289" s="48" t="n">
        <v>0</v>
      </c>
      <c r="H289" s="49" t="n">
        <v>0</v>
      </c>
      <c r="I289" s="49" t="n">
        <v>0</v>
      </c>
      <c r="J289" s="50" t="n">
        <v>0</v>
      </c>
      <c r="K289" s="51" t="n">
        <v>0</v>
      </c>
      <c r="L289" s="52" t="n">
        <v>0</v>
      </c>
      <c r="M289" s="52" t="n">
        <v>0</v>
      </c>
      <c r="N289" s="52" t="n">
        <v>0</v>
      </c>
      <c r="O289" s="53" t="n">
        <v>0</v>
      </c>
      <c r="P289" s="52" t="n">
        <v>0</v>
      </c>
      <c r="Q289" s="53" t="n">
        <v>0</v>
      </c>
      <c r="R289" s="52" t="n">
        <v>0</v>
      </c>
      <c r="S289" s="51" t="n">
        <v>0</v>
      </c>
      <c r="T289" s="48" t="n">
        <v>0</v>
      </c>
      <c r="U289" s="49" t="n">
        <v>0</v>
      </c>
      <c r="V289" s="49" t="n">
        <v>0</v>
      </c>
      <c r="W289" s="50" t="n">
        <v>0</v>
      </c>
      <c r="X289" s="51" t="n">
        <v>0</v>
      </c>
      <c r="Y289" s="52" t="n">
        <v>0</v>
      </c>
      <c r="Z289" s="52" t="n">
        <v>0</v>
      </c>
      <c r="AA289" s="52" t="n">
        <v>0</v>
      </c>
      <c r="AB289" s="53" t="n">
        <v>0</v>
      </c>
      <c r="AC289" s="52" t="n">
        <v>0</v>
      </c>
      <c r="AD289" s="53" t="n">
        <v>0</v>
      </c>
      <c r="AE289" s="52" t="n">
        <v>0</v>
      </c>
      <c r="AF289" s="51" t="n">
        <v>0</v>
      </c>
      <c r="AG289" s="48" t="n">
        <v>0</v>
      </c>
      <c r="AH289" s="49" t="n">
        <v>0</v>
      </c>
      <c r="AI289" s="49" t="n">
        <v>0</v>
      </c>
      <c r="AJ289" s="50" t="n">
        <v>0</v>
      </c>
      <c r="AK289" s="51" t="n">
        <v>0</v>
      </c>
      <c r="AL289" s="52" t="n">
        <v>0</v>
      </c>
      <c r="AM289" s="52" t="n">
        <v>0</v>
      </c>
      <c r="AN289" s="52" t="n">
        <v>0</v>
      </c>
      <c r="AO289" s="53" t="n">
        <v>0</v>
      </c>
      <c r="AP289" s="52" t="n">
        <v>0</v>
      </c>
      <c r="AQ289" s="53" t="n">
        <v>0</v>
      </c>
      <c r="AR289" s="52" t="n">
        <v>0</v>
      </c>
      <c r="AS289" s="51" t="n">
        <v>0</v>
      </c>
      <c r="AT289" s="48" t="n">
        <v>0</v>
      </c>
      <c r="AU289" s="49" t="n">
        <v>0</v>
      </c>
      <c r="AV289" s="49" t="n">
        <v>0</v>
      </c>
      <c r="AW289" s="50" t="n">
        <v>0</v>
      </c>
      <c r="AX289" s="51" t="n">
        <v>0</v>
      </c>
      <c r="AY289" s="52" t="n">
        <v>0</v>
      </c>
      <c r="AZ289" s="52" t="n">
        <v>0</v>
      </c>
      <c r="BA289" s="52" t="n">
        <v>0</v>
      </c>
      <c r="BB289" s="53" t="n">
        <v>0</v>
      </c>
      <c r="BC289" s="52" t="n">
        <v>0</v>
      </c>
      <c r="BD289" s="53" t="n">
        <v>0</v>
      </c>
      <c r="BE289" s="52" t="n">
        <v>0</v>
      </c>
      <c r="BF289" s="51" t="n">
        <v>0</v>
      </c>
    </row>
    <row r="290">
      <c r="A290">
        <f>HYPERLINK("https://www.walmart.com/ip/584070242", "584070242")</f>
        <v/>
      </c>
      <c r="B290" t="inlineStr">
        <is>
          <t>undefined</t>
        </is>
      </c>
      <c r="C290" t="inlineStr">
        <is>
          <t>1CTWIG001-F427-ESCB</t>
        </is>
      </c>
      <c r="G290" s="48" t="n">
        <v>0</v>
      </c>
      <c r="H290" s="49" t="n">
        <v>0</v>
      </c>
      <c r="I290" s="49" t="n">
        <v>0</v>
      </c>
      <c r="J290" s="50" t="n">
        <v>0</v>
      </c>
      <c r="K290" s="51" t="n">
        <v>0</v>
      </c>
      <c r="L290" s="52" t="n">
        <v>0</v>
      </c>
      <c r="M290" s="52" t="n">
        <v>0</v>
      </c>
      <c r="N290" s="52" t="n">
        <v>0</v>
      </c>
      <c r="O290" s="53" t="n">
        <v>0</v>
      </c>
      <c r="P290" s="52" t="n">
        <v>0</v>
      </c>
      <c r="Q290" s="53" t="n">
        <v>0</v>
      </c>
      <c r="R290" s="52" t="n">
        <v>0</v>
      </c>
      <c r="S290" s="51" t="n">
        <v>0</v>
      </c>
      <c r="T290" s="48" t="n">
        <v>0</v>
      </c>
      <c r="U290" s="49" t="n">
        <v>0</v>
      </c>
      <c r="V290" s="49" t="n">
        <v>0</v>
      </c>
      <c r="W290" s="50" t="n">
        <v>0</v>
      </c>
      <c r="X290" s="51" t="n">
        <v>0</v>
      </c>
      <c r="Y290" s="52" t="n">
        <v>0</v>
      </c>
      <c r="Z290" s="52" t="n">
        <v>0</v>
      </c>
      <c r="AA290" s="52" t="n">
        <v>0</v>
      </c>
      <c r="AB290" s="53" t="n">
        <v>0</v>
      </c>
      <c r="AC290" s="52" t="n">
        <v>0</v>
      </c>
      <c r="AD290" s="53" t="n">
        <v>0</v>
      </c>
      <c r="AE290" s="52" t="n">
        <v>0</v>
      </c>
      <c r="AF290" s="51" t="n">
        <v>0</v>
      </c>
      <c r="AG290" s="48" t="n">
        <v>0</v>
      </c>
      <c r="AH290" s="49" t="n">
        <v>0</v>
      </c>
      <c r="AI290" s="49" t="n">
        <v>0</v>
      </c>
      <c r="AJ290" s="50" t="n">
        <v>0</v>
      </c>
      <c r="AK290" s="51" t="n">
        <v>0</v>
      </c>
      <c r="AL290" s="52" t="n">
        <v>0</v>
      </c>
      <c r="AM290" s="52" t="n">
        <v>0</v>
      </c>
      <c r="AN290" s="52" t="n">
        <v>0</v>
      </c>
      <c r="AO290" s="53" t="n">
        <v>0</v>
      </c>
      <c r="AP290" s="52" t="n">
        <v>0</v>
      </c>
      <c r="AQ290" s="53" t="n">
        <v>0</v>
      </c>
      <c r="AR290" s="52" t="n">
        <v>0</v>
      </c>
      <c r="AS290" s="51" t="n">
        <v>0</v>
      </c>
      <c r="AT290" s="48" t="n">
        <v>0</v>
      </c>
      <c r="AU290" s="49" t="n">
        <v>0</v>
      </c>
      <c r="AV290" s="49" t="n">
        <v>0</v>
      </c>
      <c r="AW290" s="50" t="n">
        <v>0</v>
      </c>
      <c r="AX290" s="51" t="n">
        <v>0</v>
      </c>
      <c r="AY290" s="52" t="n">
        <v>0</v>
      </c>
      <c r="AZ290" s="52" t="n">
        <v>0</v>
      </c>
      <c r="BA290" s="52" t="n">
        <v>0</v>
      </c>
      <c r="BB290" s="53" t="n">
        <v>0</v>
      </c>
      <c r="BC290" s="52" t="n">
        <v>0</v>
      </c>
      <c r="BD290" s="53" t="n">
        <v>0</v>
      </c>
      <c r="BE290" s="52" t="n">
        <v>0</v>
      </c>
      <c r="BF290" s="51" t="n">
        <v>0</v>
      </c>
    </row>
    <row r="291">
      <c r="A291">
        <f>HYPERLINK("https://www.walmart.com/ip/5839249780", "5839249780")</f>
        <v/>
      </c>
      <c r="B291" t="inlineStr">
        <is>
          <t>Tirrinia Comfort All-Season Robe, Ultra-Smooth Womens Robe, Breathable,Luxury for Everyday Indulgence, Skin-friendly</t>
        </is>
      </c>
      <c r="C291" t="inlineStr">
        <is>
          <t>1TRRB505GY-3</t>
        </is>
      </c>
      <c r="D291" t="inlineStr">
        <is>
          <t>Sleepwear Robes &amp; Bathrobes</t>
        </is>
      </c>
      <c r="E291" t="inlineStr">
        <is>
          <t>Tirrinia</t>
        </is>
      </c>
      <c r="G291" s="48" t="n">
        <v>0</v>
      </c>
      <c r="H291" s="49" t="n">
        <v>0</v>
      </c>
      <c r="I291" s="49" t="n">
        <v>0</v>
      </c>
      <c r="J291" s="50" t="n">
        <v>0</v>
      </c>
      <c r="K291" s="51" t="n">
        <v>0</v>
      </c>
      <c r="L291" s="52" t="n">
        <v>0</v>
      </c>
      <c r="M291" s="52" t="n">
        <v>0</v>
      </c>
      <c r="N291" s="52" t="n">
        <v>0</v>
      </c>
      <c r="O291" s="53" t="n">
        <v>0</v>
      </c>
      <c r="P291" s="52" t="n">
        <v>0</v>
      </c>
      <c r="Q291" s="53" t="n">
        <v>0</v>
      </c>
      <c r="R291" s="52" t="n">
        <v>0</v>
      </c>
      <c r="S291" s="51" t="n">
        <v>0</v>
      </c>
      <c r="T291" s="48" t="n">
        <v>0</v>
      </c>
      <c r="U291" s="49" t="n">
        <v>0</v>
      </c>
      <c r="V291" s="49" t="n">
        <v>0</v>
      </c>
      <c r="W291" s="50" t="n">
        <v>0</v>
      </c>
      <c r="X291" s="51" t="n">
        <v>0</v>
      </c>
      <c r="Y291" s="52" t="n">
        <v>0</v>
      </c>
      <c r="Z291" s="52" t="n">
        <v>0</v>
      </c>
      <c r="AA291" s="52" t="n">
        <v>0</v>
      </c>
      <c r="AB291" s="53" t="n">
        <v>0</v>
      </c>
      <c r="AC291" s="52" t="n">
        <v>0</v>
      </c>
      <c r="AD291" s="53" t="n">
        <v>0</v>
      </c>
      <c r="AE291" s="52" t="n">
        <v>0</v>
      </c>
      <c r="AF291" s="51" t="n">
        <v>0</v>
      </c>
      <c r="AG291" s="48" t="n">
        <v>0</v>
      </c>
      <c r="AH291" s="49" t="n">
        <v>0</v>
      </c>
      <c r="AI291" s="49" t="n">
        <v>0</v>
      </c>
      <c r="AJ291" s="50" t="n">
        <v>0</v>
      </c>
      <c r="AK291" s="51" t="n">
        <v>0</v>
      </c>
      <c r="AL291" s="52" t="n">
        <v>0</v>
      </c>
      <c r="AM291" s="52" t="n">
        <v>0</v>
      </c>
      <c r="AN291" s="52" t="n">
        <v>0</v>
      </c>
      <c r="AO291" s="53" t="n">
        <v>0</v>
      </c>
      <c r="AP291" s="52" t="n">
        <v>0</v>
      </c>
      <c r="AQ291" s="53" t="n">
        <v>0</v>
      </c>
      <c r="AR291" s="52" t="n">
        <v>0</v>
      </c>
      <c r="AS291" s="51" t="n">
        <v>0</v>
      </c>
      <c r="AT291" s="48" t="n">
        <v>0</v>
      </c>
      <c r="AU291" s="49" t="n">
        <v>0</v>
      </c>
      <c r="AV291" s="49" t="n">
        <v>0</v>
      </c>
      <c r="AW291" s="50" t="n">
        <v>0</v>
      </c>
      <c r="AX291" s="51" t="n">
        <v>0</v>
      </c>
      <c r="AY291" s="52" t="n">
        <v>0</v>
      </c>
      <c r="AZ291" s="52" t="n">
        <v>0</v>
      </c>
      <c r="BA291" s="52" t="n">
        <v>0</v>
      </c>
      <c r="BB291" s="53" t="n">
        <v>0</v>
      </c>
      <c r="BC291" s="52" t="n">
        <v>0</v>
      </c>
      <c r="BD291" s="53" t="n">
        <v>0</v>
      </c>
      <c r="BE291" s="52" t="n">
        <v>0</v>
      </c>
      <c r="BF291" s="51" t="n">
        <v>0</v>
      </c>
    </row>
    <row r="292">
      <c r="A292">
        <f>HYPERLINK("https://www.walmart.com/ip/583345529", "583345529")</f>
        <v/>
      </c>
      <c r="B292" t="inlineStr">
        <is>
          <t>Sherpa Slipper Socks for Women,Winter Indoor Home Non Skid Booties</t>
        </is>
      </c>
      <c r="C292" t="inlineStr">
        <is>
          <t>1CTST200GY-2</t>
        </is>
      </c>
      <c r="D292" t="inlineStr">
        <is>
          <t>Socks</t>
        </is>
      </c>
      <c r="E292" t="inlineStr">
        <is>
          <t>Catalonia</t>
        </is>
      </c>
      <c r="F292" t="inlineStr">
        <is>
          <t>WFS</t>
        </is>
      </c>
      <c r="G292" s="48" t="n">
        <v>0</v>
      </c>
      <c r="H292" s="49" t="n">
        <v>0</v>
      </c>
      <c r="I292" s="49" t="n">
        <v>0</v>
      </c>
      <c r="J292" s="50" t="n">
        <v>0</v>
      </c>
      <c r="K292" s="51" t="n">
        <v>0</v>
      </c>
      <c r="L292" s="52" t="n">
        <v>0</v>
      </c>
      <c r="M292" s="52" t="n">
        <v>0</v>
      </c>
      <c r="N292" s="52" t="n">
        <v>0</v>
      </c>
      <c r="O292" s="53" t="n">
        <v>0</v>
      </c>
      <c r="P292" s="52" t="n">
        <v>0</v>
      </c>
      <c r="Q292" s="53" t="n">
        <v>0</v>
      </c>
      <c r="R292" s="52" t="n">
        <v>0</v>
      </c>
      <c r="S292" s="51" t="n">
        <v>0</v>
      </c>
      <c r="T292" s="48" t="n">
        <v>0</v>
      </c>
      <c r="U292" s="49" t="n">
        <v>0</v>
      </c>
      <c r="V292" s="49" t="n">
        <v>0</v>
      </c>
      <c r="W292" s="50" t="n">
        <v>0</v>
      </c>
      <c r="X292" s="51" t="n">
        <v>0</v>
      </c>
      <c r="Y292" s="52" t="n">
        <v>0</v>
      </c>
      <c r="Z292" s="52" t="n">
        <v>0</v>
      </c>
      <c r="AA292" s="52" t="n">
        <v>0</v>
      </c>
      <c r="AB292" s="53" t="n">
        <v>0</v>
      </c>
      <c r="AC292" s="52" t="n">
        <v>0</v>
      </c>
      <c r="AD292" s="53" t="n">
        <v>0</v>
      </c>
      <c r="AE292" s="52" t="n">
        <v>0</v>
      </c>
      <c r="AF292" s="51" t="n">
        <v>0</v>
      </c>
      <c r="AG292" s="48" t="n">
        <v>0</v>
      </c>
      <c r="AH292" s="49" t="n">
        <v>0</v>
      </c>
      <c r="AI292" s="49" t="n">
        <v>0</v>
      </c>
      <c r="AJ292" s="50" t="n">
        <v>0</v>
      </c>
      <c r="AK292" s="51" t="n">
        <v>0</v>
      </c>
      <c r="AL292" s="52" t="n">
        <v>0</v>
      </c>
      <c r="AM292" s="52" t="n">
        <v>0</v>
      </c>
      <c r="AN292" s="52" t="n">
        <v>0</v>
      </c>
      <c r="AO292" s="53" t="n">
        <v>0</v>
      </c>
      <c r="AP292" s="52" t="n">
        <v>0</v>
      </c>
      <c r="AQ292" s="53" t="n">
        <v>0</v>
      </c>
      <c r="AR292" s="52" t="n">
        <v>0</v>
      </c>
      <c r="AS292" s="51" t="n">
        <v>0</v>
      </c>
      <c r="AT292" s="48" t="n">
        <v>0</v>
      </c>
      <c r="AU292" s="49" t="n">
        <v>0</v>
      </c>
      <c r="AV292" s="49" t="n">
        <v>0</v>
      </c>
      <c r="AW292" s="50" t="n">
        <v>0</v>
      </c>
      <c r="AX292" s="51" t="n">
        <v>0</v>
      </c>
      <c r="AY292" s="52" t="n">
        <v>0</v>
      </c>
      <c r="AZ292" s="52" t="n">
        <v>0</v>
      </c>
      <c r="BA292" s="52" t="n">
        <v>0</v>
      </c>
      <c r="BB292" s="53" t="n">
        <v>0</v>
      </c>
      <c r="BC292" s="52" t="n">
        <v>0</v>
      </c>
      <c r="BD292" s="53" t="n">
        <v>0</v>
      </c>
      <c r="BE292" s="52" t="n">
        <v>0</v>
      </c>
      <c r="BF292" s="51" t="n">
        <v>0</v>
      </c>
    </row>
    <row r="293">
      <c r="A293">
        <f>HYPERLINK("https://www.walmart.com/ip/605603462", "605603462")</f>
        <v/>
      </c>
      <c r="B293" t="inlineStr">
        <is>
          <t>Catalonia Wearable TV Blanket with Sleeves Arms &amp; Feet pockets for Adult Micro Plush Fleece Large Wrap Throw Robe 75 x 5</t>
        </is>
      </c>
      <c r="C293" t="inlineStr">
        <is>
          <t>1CTSN101ZEBRA</t>
        </is>
      </c>
      <c r="D293" t="inlineStr">
        <is>
          <t>Throws</t>
        </is>
      </c>
      <c r="E293" t="inlineStr">
        <is>
          <t>Catalonia</t>
        </is>
      </c>
      <c r="F293" t="inlineStr">
        <is>
          <t>WFS,WFS Item,Fleece Blankets</t>
        </is>
      </c>
      <c r="G293" s="48" t="n">
        <v>0</v>
      </c>
      <c r="H293" s="49" t="n">
        <v>0</v>
      </c>
      <c r="I293" s="49" t="n">
        <v>0</v>
      </c>
      <c r="J293" s="50" t="n">
        <v>0</v>
      </c>
      <c r="K293" s="51" t="n">
        <v>0</v>
      </c>
      <c r="L293" s="52" t="n">
        <v>0</v>
      </c>
      <c r="M293" s="52" t="n">
        <v>0</v>
      </c>
      <c r="N293" s="52" t="n">
        <v>0</v>
      </c>
      <c r="O293" s="53" t="n">
        <v>0</v>
      </c>
      <c r="P293" s="52" t="n">
        <v>0</v>
      </c>
      <c r="Q293" s="53" t="n">
        <v>0</v>
      </c>
      <c r="R293" s="52" t="n">
        <v>0</v>
      </c>
      <c r="S293" s="51" t="n">
        <v>0</v>
      </c>
      <c r="T293" s="48" t="n">
        <v>0</v>
      </c>
      <c r="U293" s="49" t="n">
        <v>0</v>
      </c>
      <c r="V293" s="49" t="n">
        <v>0</v>
      </c>
      <c r="W293" s="50" t="n">
        <v>0</v>
      </c>
      <c r="X293" s="51" t="n">
        <v>0</v>
      </c>
      <c r="Y293" s="52" t="n">
        <v>0</v>
      </c>
      <c r="Z293" s="52" t="n">
        <v>0</v>
      </c>
      <c r="AA293" s="52" t="n">
        <v>0</v>
      </c>
      <c r="AB293" s="53" t="n">
        <v>0</v>
      </c>
      <c r="AC293" s="52" t="n">
        <v>0</v>
      </c>
      <c r="AD293" s="53" t="n">
        <v>0</v>
      </c>
      <c r="AE293" s="52" t="n">
        <v>0</v>
      </c>
      <c r="AF293" s="51" t="n">
        <v>0</v>
      </c>
      <c r="AG293" s="48" t="n">
        <v>0</v>
      </c>
      <c r="AH293" s="49" t="n">
        <v>0</v>
      </c>
      <c r="AI293" s="49" t="n">
        <v>0</v>
      </c>
      <c r="AJ293" s="50" t="n">
        <v>0</v>
      </c>
      <c r="AK293" s="51" t="n">
        <v>0</v>
      </c>
      <c r="AL293" s="52" t="n">
        <v>0</v>
      </c>
      <c r="AM293" s="52" t="n">
        <v>0</v>
      </c>
      <c r="AN293" s="52" t="n">
        <v>0</v>
      </c>
      <c r="AO293" s="53" t="n">
        <v>0</v>
      </c>
      <c r="AP293" s="52" t="n">
        <v>0</v>
      </c>
      <c r="AQ293" s="53" t="n">
        <v>0</v>
      </c>
      <c r="AR293" s="52" t="n">
        <v>0</v>
      </c>
      <c r="AS293" s="51" t="n">
        <v>0</v>
      </c>
      <c r="AT293" s="48" t="n">
        <v>0</v>
      </c>
      <c r="AU293" s="49" t="n">
        <v>0</v>
      </c>
      <c r="AV293" s="49" t="n">
        <v>0</v>
      </c>
      <c r="AW293" s="50" t="n">
        <v>0</v>
      </c>
      <c r="AX293" s="51" t="n">
        <v>0</v>
      </c>
      <c r="AY293" s="52" t="n">
        <v>0</v>
      </c>
      <c r="AZ293" s="52" t="n">
        <v>0</v>
      </c>
      <c r="BA293" s="52" t="n">
        <v>0</v>
      </c>
      <c r="BB293" s="53" t="n">
        <v>0</v>
      </c>
      <c r="BC293" s="52" t="n">
        <v>0</v>
      </c>
      <c r="BD293" s="53" t="n">
        <v>0</v>
      </c>
      <c r="BE293" s="52" t="n">
        <v>0</v>
      </c>
      <c r="BF293" s="51" t="n">
        <v>0</v>
      </c>
    </row>
    <row r="294">
      <c r="A294">
        <f>HYPERLINK("https://www.walmart.com/ip/5832412138", "5832412138")</f>
        <v/>
      </c>
      <c r="B294" t="inlineStr">
        <is>
          <t>Tirrinia Insulated Cooler Bag-24 Cans Portable Collapsible Soft Sided Ice Chest, Leak-Proof with Zipper Cooler Box for Beach, Drink, Travel, Camping, Picnic</t>
        </is>
      </c>
      <c r="C294" t="inlineStr">
        <is>
          <t>1TRCB00324GNBK</t>
        </is>
      </c>
      <c r="D294" t="inlineStr">
        <is>
          <t>Soft-Sided Coolers</t>
        </is>
      </c>
      <c r="E294" t="inlineStr">
        <is>
          <t>Tirrinia</t>
        </is>
      </c>
      <c r="G294" s="48" t="n">
        <v>0</v>
      </c>
      <c r="H294" s="49" t="n">
        <v>0</v>
      </c>
      <c r="I294" s="49" t="n">
        <v>0</v>
      </c>
      <c r="J294" s="50" t="n">
        <v>0</v>
      </c>
      <c r="K294" s="51" t="n">
        <v>0</v>
      </c>
      <c r="L294" s="52" t="n">
        <v>0</v>
      </c>
      <c r="M294" s="52" t="n">
        <v>0</v>
      </c>
      <c r="N294" s="52" t="n">
        <v>0</v>
      </c>
      <c r="O294" s="53" t="n">
        <v>0</v>
      </c>
      <c r="P294" s="52" t="n">
        <v>0</v>
      </c>
      <c r="Q294" s="53" t="n">
        <v>0</v>
      </c>
      <c r="R294" s="52" t="n">
        <v>0</v>
      </c>
      <c r="S294" s="51" t="n">
        <v>0</v>
      </c>
      <c r="T294" s="48" t="n">
        <v>0</v>
      </c>
      <c r="U294" s="49" t="n">
        <v>0</v>
      </c>
      <c r="V294" s="49" t="n">
        <v>0</v>
      </c>
      <c r="W294" s="50" t="n">
        <v>0</v>
      </c>
      <c r="X294" s="51" t="n">
        <v>0</v>
      </c>
      <c r="Y294" s="52" t="n">
        <v>0</v>
      </c>
      <c r="Z294" s="52" t="n">
        <v>0</v>
      </c>
      <c r="AA294" s="52" t="n">
        <v>0</v>
      </c>
      <c r="AB294" s="53" t="n">
        <v>0</v>
      </c>
      <c r="AC294" s="52" t="n">
        <v>0</v>
      </c>
      <c r="AD294" s="53" t="n">
        <v>0</v>
      </c>
      <c r="AE294" s="52" t="n">
        <v>0</v>
      </c>
      <c r="AF294" s="51" t="n">
        <v>0</v>
      </c>
      <c r="AG294" s="48" t="n">
        <v>0</v>
      </c>
      <c r="AH294" s="49" t="n">
        <v>0</v>
      </c>
      <c r="AI294" s="49" t="n">
        <v>0</v>
      </c>
      <c r="AJ294" s="50" t="n">
        <v>0</v>
      </c>
      <c r="AK294" s="51" t="n">
        <v>0</v>
      </c>
      <c r="AL294" s="52" t="n">
        <v>0</v>
      </c>
      <c r="AM294" s="52" t="n">
        <v>0</v>
      </c>
      <c r="AN294" s="52" t="n">
        <v>0</v>
      </c>
      <c r="AO294" s="53" t="n">
        <v>0</v>
      </c>
      <c r="AP294" s="52" t="n">
        <v>0</v>
      </c>
      <c r="AQ294" s="53" t="n">
        <v>0</v>
      </c>
      <c r="AR294" s="52" t="n">
        <v>0</v>
      </c>
      <c r="AS294" s="51" t="n">
        <v>0</v>
      </c>
      <c r="AT294" s="48" t="n">
        <v>0</v>
      </c>
      <c r="AU294" s="49" t="n">
        <v>0</v>
      </c>
      <c r="AV294" s="49" t="n">
        <v>0</v>
      </c>
      <c r="AW294" s="50" t="n">
        <v>0</v>
      </c>
      <c r="AX294" s="51" t="n">
        <v>0</v>
      </c>
      <c r="AY294" s="52" t="n">
        <v>0</v>
      </c>
      <c r="AZ294" s="52" t="n">
        <v>0</v>
      </c>
      <c r="BA294" s="52" t="n">
        <v>0</v>
      </c>
      <c r="BB294" s="53" t="n">
        <v>0</v>
      </c>
      <c r="BC294" s="52" t="n">
        <v>0</v>
      </c>
      <c r="BD294" s="53" t="n">
        <v>0</v>
      </c>
      <c r="BE294" s="52" t="n">
        <v>0</v>
      </c>
      <c r="BF294" s="51" t="n">
        <v>0</v>
      </c>
    </row>
    <row r="295">
      <c r="A295">
        <f>HYPERLINK("https://www.walmart.com/ip/583079518", "583079518")</f>
        <v/>
      </c>
      <c r="B295" t="inlineStr">
        <is>
          <t>Tirrinia Insulated Lunch Bag for Women, Men, and Kids, Leakproof Thermal Reusable Insulated Cooler Bag for Office, Work, Back to School, Medium, Black, 8L, 10" X 8.5" X 9.3"</t>
        </is>
      </c>
      <c r="C295" t="inlineStr">
        <is>
          <t>1TRLB702BK-T</t>
        </is>
      </c>
      <c r="D295" t="inlineStr">
        <is>
          <t>Reusable Lunch Bags &amp; Boxes</t>
        </is>
      </c>
      <c r="E295" t="inlineStr">
        <is>
          <t>Tirrinia</t>
        </is>
      </c>
      <c r="F295" t="inlineStr">
        <is>
          <t>Q2-Target,Brand Camp VD,Lunch Bag,Lunch Bags,SEM,WFS Item</t>
        </is>
      </c>
      <c r="G295" s="48" t="n">
        <v>0</v>
      </c>
      <c r="H295" s="49" t="n">
        <v>0</v>
      </c>
      <c r="I295" s="49" t="n">
        <v>7</v>
      </c>
      <c r="J295" s="50" t="n">
        <v>0</v>
      </c>
      <c r="K295" s="51" t="n">
        <v>0</v>
      </c>
      <c r="L295" s="52" t="n">
        <v>0</v>
      </c>
      <c r="M295" s="52" t="n">
        <v>0</v>
      </c>
      <c r="N295" s="52" t="n">
        <v>0</v>
      </c>
      <c r="O295" s="53" t="n">
        <v>0</v>
      </c>
      <c r="P295" s="52" t="n">
        <v>0</v>
      </c>
      <c r="Q295" s="53" t="n">
        <v>0</v>
      </c>
      <c r="R295" s="52" t="n">
        <v>0</v>
      </c>
      <c r="S295" s="51" t="n">
        <v>0</v>
      </c>
      <c r="T295" s="48" t="n">
        <v>0</v>
      </c>
      <c r="U295" s="49" t="n">
        <v>0</v>
      </c>
      <c r="V295" s="49" t="n">
        <v>7</v>
      </c>
      <c r="W295" s="50" t="n">
        <v>0</v>
      </c>
      <c r="X295" s="51" t="n">
        <v>0</v>
      </c>
      <c r="Y295" s="52" t="n">
        <v>0</v>
      </c>
      <c r="Z295" s="52" t="n">
        <v>0</v>
      </c>
      <c r="AA295" s="52" t="n">
        <v>0</v>
      </c>
      <c r="AB295" s="53" t="n">
        <v>0</v>
      </c>
      <c r="AC295" s="52" t="n">
        <v>0</v>
      </c>
      <c r="AD295" s="53" t="n">
        <v>0</v>
      </c>
      <c r="AE295" s="52" t="n">
        <v>0</v>
      </c>
      <c r="AF295" s="51" t="n">
        <v>0</v>
      </c>
      <c r="AG295" s="48" t="n">
        <v>12.99</v>
      </c>
      <c r="AH295" s="49" t="n">
        <v>1</v>
      </c>
      <c r="AI295" s="49" t="n">
        <v>7</v>
      </c>
      <c r="AJ295" s="50" t="n">
        <v>0.1428571428571428</v>
      </c>
      <c r="AK295" s="51" t="n">
        <v>0</v>
      </c>
      <c r="AL295" s="52" t="n">
        <v>0</v>
      </c>
      <c r="AM295" s="52" t="n">
        <v>0</v>
      </c>
      <c r="AN295" s="52" t="n">
        <v>0</v>
      </c>
      <c r="AO295" s="53" t="n">
        <v>0</v>
      </c>
      <c r="AP295" s="52" t="n">
        <v>0</v>
      </c>
      <c r="AQ295" s="53" t="n">
        <v>0</v>
      </c>
      <c r="AR295" s="52" t="n">
        <v>12.99</v>
      </c>
      <c r="AS295" s="51" t="n">
        <v>0</v>
      </c>
      <c r="AT295" s="48" t="n">
        <v>25.98</v>
      </c>
      <c r="AU295" s="49" t="n">
        <v>2</v>
      </c>
      <c r="AV295" s="49" t="n">
        <v>7</v>
      </c>
      <c r="AW295" s="50" t="n">
        <v>0.2857142857142857</v>
      </c>
      <c r="AX295" s="51" t="n">
        <v>0</v>
      </c>
      <c r="AY295" s="52" t="n">
        <v>0</v>
      </c>
      <c r="AZ295" s="52" t="n">
        <v>0</v>
      </c>
      <c r="BA295" s="52" t="n">
        <v>0</v>
      </c>
      <c r="BB295" s="53" t="n">
        <v>0</v>
      </c>
      <c r="BC295" s="52" t="n">
        <v>0</v>
      </c>
      <c r="BD295" s="53" t="n">
        <v>0</v>
      </c>
      <c r="BE295" s="52" t="n">
        <v>12.99</v>
      </c>
      <c r="BF295" s="51" t="n">
        <v>0</v>
      </c>
    </row>
    <row r="296">
      <c r="A296">
        <f>HYPERLINK("https://www.walmart.com/ip/581851318", "581851318")</f>
        <v/>
      </c>
      <c r="B296" t="inlineStr">
        <is>
          <t>KC Caps Sports Unisex Plain Golf Flex Sandwich Baseball Cap, Fitted Cotton Bill Hat, White</t>
        </is>
      </c>
      <c r="C296" t="inlineStr">
        <is>
          <t>KC Caps 8313 white</t>
        </is>
      </c>
      <c r="D296" t="inlineStr">
        <is>
          <t>Golf Hats</t>
        </is>
      </c>
      <c r="E296" t="inlineStr">
        <is>
          <t>KC Caps</t>
        </is>
      </c>
      <c r="F296" t="inlineStr">
        <is>
          <t>Optimized</t>
        </is>
      </c>
      <c r="G296" s="48" t="n">
        <v>0</v>
      </c>
      <c r="H296" s="49" t="n">
        <v>0</v>
      </c>
      <c r="I296" s="49" t="n">
        <v>0</v>
      </c>
      <c r="J296" s="50" t="n">
        <v>0</v>
      </c>
      <c r="K296" s="51" t="n">
        <v>0</v>
      </c>
      <c r="L296" s="52" t="n">
        <v>0</v>
      </c>
      <c r="M296" s="52" t="n">
        <v>0</v>
      </c>
      <c r="N296" s="52" t="n">
        <v>0</v>
      </c>
      <c r="O296" s="53" t="n">
        <v>0</v>
      </c>
      <c r="P296" s="52" t="n">
        <v>0</v>
      </c>
      <c r="Q296" s="53" t="n">
        <v>0</v>
      </c>
      <c r="R296" s="52" t="n">
        <v>0</v>
      </c>
      <c r="S296" s="51" t="n">
        <v>0</v>
      </c>
      <c r="T296" s="48" t="n">
        <v>0</v>
      </c>
      <c r="U296" s="49" t="n">
        <v>0</v>
      </c>
      <c r="V296" s="49" t="n">
        <v>0</v>
      </c>
      <c r="W296" s="50" t="n">
        <v>0</v>
      </c>
      <c r="X296" s="51" t="n">
        <v>0</v>
      </c>
      <c r="Y296" s="52" t="n">
        <v>0</v>
      </c>
      <c r="Z296" s="52" t="n">
        <v>0</v>
      </c>
      <c r="AA296" s="52" t="n">
        <v>0</v>
      </c>
      <c r="AB296" s="53" t="n">
        <v>0</v>
      </c>
      <c r="AC296" s="52" t="n">
        <v>0</v>
      </c>
      <c r="AD296" s="53" t="n">
        <v>0</v>
      </c>
      <c r="AE296" s="52" t="n">
        <v>0</v>
      </c>
      <c r="AF296" s="51" t="n">
        <v>0</v>
      </c>
      <c r="AG296" s="48" t="n">
        <v>0</v>
      </c>
      <c r="AH296" s="49" t="n">
        <v>0</v>
      </c>
      <c r="AI296" s="49" t="n">
        <v>0</v>
      </c>
      <c r="AJ296" s="50" t="n">
        <v>0</v>
      </c>
      <c r="AK296" s="51" t="n">
        <v>0</v>
      </c>
      <c r="AL296" s="52" t="n">
        <v>0</v>
      </c>
      <c r="AM296" s="52" t="n">
        <v>0</v>
      </c>
      <c r="AN296" s="52" t="n">
        <v>0</v>
      </c>
      <c r="AO296" s="53" t="n">
        <v>0</v>
      </c>
      <c r="AP296" s="52" t="n">
        <v>0</v>
      </c>
      <c r="AQ296" s="53" t="n">
        <v>0</v>
      </c>
      <c r="AR296" s="52" t="n">
        <v>0</v>
      </c>
      <c r="AS296" s="51" t="n">
        <v>0</v>
      </c>
      <c r="AT296" s="48" t="n">
        <v>0</v>
      </c>
      <c r="AU296" s="49" t="n">
        <v>0</v>
      </c>
      <c r="AV296" s="49" t="n">
        <v>0</v>
      </c>
      <c r="AW296" s="50" t="n">
        <v>0</v>
      </c>
      <c r="AX296" s="51" t="n">
        <v>0</v>
      </c>
      <c r="AY296" s="52" t="n">
        <v>0</v>
      </c>
      <c r="AZ296" s="52" t="n">
        <v>0</v>
      </c>
      <c r="BA296" s="52" t="n">
        <v>0</v>
      </c>
      <c r="BB296" s="53" t="n">
        <v>0</v>
      </c>
      <c r="BC296" s="52" t="n">
        <v>0</v>
      </c>
      <c r="BD296" s="53" t="n">
        <v>0</v>
      </c>
      <c r="BE296" s="52" t="n">
        <v>0</v>
      </c>
      <c r="BF296" s="51" t="n">
        <v>0</v>
      </c>
    </row>
    <row r="297">
      <c r="A297">
        <f>HYPERLINK("https://www.walmart.com/ip/5815896188", "5815896188")</f>
        <v/>
      </c>
      <c r="B297" t="inlineStr">
        <is>
          <t>Tirrinia Surf Poncho Changing Towel Summer Swim Robe with Hood, Portable Dressing Room, Stylish &amp; Multi-Functional for Surfing Beach Adult Men Women</t>
        </is>
      </c>
      <c r="C297" t="inlineStr">
        <is>
          <t>1TRBR131GL-4</t>
        </is>
      </c>
      <c r="D297" t="inlineStr">
        <is>
          <t>Sleepwear Robes &amp; Bathrobes</t>
        </is>
      </c>
      <c r="E297" t="inlineStr">
        <is>
          <t>Tirrinia</t>
        </is>
      </c>
      <c r="G297" s="48" t="n">
        <v>0</v>
      </c>
      <c r="H297" s="49" t="n">
        <v>0</v>
      </c>
      <c r="I297" s="49" t="n">
        <v>0</v>
      </c>
      <c r="J297" s="50" t="n">
        <v>0</v>
      </c>
      <c r="K297" s="51" t="n">
        <v>0</v>
      </c>
      <c r="L297" s="52" t="n">
        <v>0</v>
      </c>
      <c r="M297" s="52" t="n">
        <v>0</v>
      </c>
      <c r="N297" s="52" t="n">
        <v>0</v>
      </c>
      <c r="O297" s="53" t="n">
        <v>0</v>
      </c>
      <c r="P297" s="52" t="n">
        <v>0</v>
      </c>
      <c r="Q297" s="53" t="n">
        <v>0</v>
      </c>
      <c r="R297" s="52" t="n">
        <v>0</v>
      </c>
      <c r="S297" s="51" t="n">
        <v>0</v>
      </c>
      <c r="T297" s="48" t="n">
        <v>0</v>
      </c>
      <c r="U297" s="49" t="n">
        <v>0</v>
      </c>
      <c r="V297" s="49" t="n">
        <v>0</v>
      </c>
      <c r="W297" s="50" t="n">
        <v>0</v>
      </c>
      <c r="X297" s="51" t="n">
        <v>0</v>
      </c>
      <c r="Y297" s="52" t="n">
        <v>0</v>
      </c>
      <c r="Z297" s="52" t="n">
        <v>0</v>
      </c>
      <c r="AA297" s="52" t="n">
        <v>0</v>
      </c>
      <c r="AB297" s="53" t="n">
        <v>0</v>
      </c>
      <c r="AC297" s="52" t="n">
        <v>0</v>
      </c>
      <c r="AD297" s="53" t="n">
        <v>0</v>
      </c>
      <c r="AE297" s="52" t="n">
        <v>0</v>
      </c>
      <c r="AF297" s="51" t="n">
        <v>0</v>
      </c>
      <c r="AG297" s="48" t="n">
        <v>0</v>
      </c>
      <c r="AH297" s="49" t="n">
        <v>0</v>
      </c>
      <c r="AI297" s="49" t="n">
        <v>0</v>
      </c>
      <c r="AJ297" s="50" t="n">
        <v>0</v>
      </c>
      <c r="AK297" s="51" t="n">
        <v>0</v>
      </c>
      <c r="AL297" s="52" t="n">
        <v>0</v>
      </c>
      <c r="AM297" s="52" t="n">
        <v>0</v>
      </c>
      <c r="AN297" s="52" t="n">
        <v>0</v>
      </c>
      <c r="AO297" s="53" t="n">
        <v>0</v>
      </c>
      <c r="AP297" s="52" t="n">
        <v>0</v>
      </c>
      <c r="AQ297" s="53" t="n">
        <v>0</v>
      </c>
      <c r="AR297" s="52" t="n">
        <v>0</v>
      </c>
      <c r="AS297" s="51" t="n">
        <v>0</v>
      </c>
      <c r="AT297" s="48" t="n">
        <v>0</v>
      </c>
      <c r="AU297" s="49" t="n">
        <v>0</v>
      </c>
      <c r="AV297" s="49" t="n">
        <v>0</v>
      </c>
      <c r="AW297" s="50" t="n">
        <v>0</v>
      </c>
      <c r="AX297" s="51" t="n">
        <v>0</v>
      </c>
      <c r="AY297" s="52" t="n">
        <v>0</v>
      </c>
      <c r="AZ297" s="52" t="n">
        <v>0</v>
      </c>
      <c r="BA297" s="52" t="n">
        <v>0</v>
      </c>
      <c r="BB297" s="53" t="n">
        <v>0</v>
      </c>
      <c r="BC297" s="52" t="n">
        <v>0</v>
      </c>
      <c r="BD297" s="53" t="n">
        <v>0</v>
      </c>
      <c r="BE297" s="52" t="n">
        <v>0</v>
      </c>
      <c r="BF297" s="51" t="n">
        <v>0</v>
      </c>
    </row>
    <row r="298">
      <c r="A298">
        <f>HYPERLINK("https://www.walmart.com/ip/5805406459", "5805406459")</f>
        <v/>
      </c>
      <c r="B298" t="inlineStr">
        <is>
          <t>Kato Expandable Insulated Lunch Bag, Leakproof Lunch Cooler Tote for All Ages, Black</t>
        </is>
      </c>
      <c r="C298" t="inlineStr">
        <is>
          <t>1TRLB110CAMO</t>
        </is>
      </c>
      <c r="D298" t="inlineStr">
        <is>
          <t>Reusable Lunch Bags &amp; Boxes</t>
        </is>
      </c>
      <c r="E298" t="inlineStr">
        <is>
          <t>Kato</t>
        </is>
      </c>
      <c r="G298" s="48" t="n">
        <v>0</v>
      </c>
      <c r="H298" s="49" t="n">
        <v>0</v>
      </c>
      <c r="I298" s="49" t="n">
        <v>0</v>
      </c>
      <c r="J298" s="50" t="n">
        <v>0</v>
      </c>
      <c r="K298" s="51" t="n">
        <v>0</v>
      </c>
      <c r="L298" s="52" t="n">
        <v>0</v>
      </c>
      <c r="M298" s="52" t="n">
        <v>0</v>
      </c>
      <c r="N298" s="52" t="n">
        <v>0</v>
      </c>
      <c r="O298" s="53" t="n">
        <v>0</v>
      </c>
      <c r="P298" s="52" t="n">
        <v>0</v>
      </c>
      <c r="Q298" s="53" t="n">
        <v>0</v>
      </c>
      <c r="R298" s="52" t="n">
        <v>0</v>
      </c>
      <c r="S298" s="51" t="n">
        <v>0</v>
      </c>
      <c r="T298" s="48" t="n">
        <v>0</v>
      </c>
      <c r="U298" s="49" t="n">
        <v>0</v>
      </c>
      <c r="V298" s="49" t="n">
        <v>0</v>
      </c>
      <c r="W298" s="50" t="n">
        <v>0</v>
      </c>
      <c r="X298" s="51" t="n">
        <v>0</v>
      </c>
      <c r="Y298" s="52" t="n">
        <v>0</v>
      </c>
      <c r="Z298" s="52" t="n">
        <v>0</v>
      </c>
      <c r="AA298" s="52" t="n">
        <v>0</v>
      </c>
      <c r="AB298" s="53" t="n">
        <v>0</v>
      </c>
      <c r="AC298" s="52" t="n">
        <v>0</v>
      </c>
      <c r="AD298" s="53" t="n">
        <v>0</v>
      </c>
      <c r="AE298" s="52" t="n">
        <v>0</v>
      </c>
      <c r="AF298" s="51" t="n">
        <v>0</v>
      </c>
      <c r="AG298" s="48" t="n">
        <v>0</v>
      </c>
      <c r="AH298" s="49" t="n">
        <v>0</v>
      </c>
      <c r="AI298" s="49" t="n">
        <v>0</v>
      </c>
      <c r="AJ298" s="50" t="n">
        <v>0</v>
      </c>
      <c r="AK298" s="51" t="n">
        <v>0</v>
      </c>
      <c r="AL298" s="52" t="n">
        <v>0</v>
      </c>
      <c r="AM298" s="52" t="n">
        <v>0</v>
      </c>
      <c r="AN298" s="52" t="n">
        <v>0</v>
      </c>
      <c r="AO298" s="53" t="n">
        <v>0</v>
      </c>
      <c r="AP298" s="52" t="n">
        <v>0</v>
      </c>
      <c r="AQ298" s="53" t="n">
        <v>0</v>
      </c>
      <c r="AR298" s="52" t="n">
        <v>0</v>
      </c>
      <c r="AS298" s="51" t="n">
        <v>0</v>
      </c>
      <c r="AT298" s="48" t="n">
        <v>0</v>
      </c>
      <c r="AU298" s="49" t="n">
        <v>0</v>
      </c>
      <c r="AV298" s="49" t="n">
        <v>0</v>
      </c>
      <c r="AW298" s="50" t="n">
        <v>0</v>
      </c>
      <c r="AX298" s="51" t="n">
        <v>0</v>
      </c>
      <c r="AY298" s="52" t="n">
        <v>0</v>
      </c>
      <c r="AZ298" s="52" t="n">
        <v>0</v>
      </c>
      <c r="BA298" s="52" t="n">
        <v>0</v>
      </c>
      <c r="BB298" s="53" t="n">
        <v>0</v>
      </c>
      <c r="BC298" s="52" t="n">
        <v>0</v>
      </c>
      <c r="BD298" s="53" t="n">
        <v>0</v>
      </c>
      <c r="BE298" s="52" t="n">
        <v>0</v>
      </c>
      <c r="BF298" s="51" t="n">
        <v>0</v>
      </c>
    </row>
    <row r="299">
      <c r="A299">
        <f>HYPERLINK("https://www.walmart.com/ip/603656059", "603656059")</f>
        <v/>
      </c>
      <c r="B299" t="inlineStr">
        <is>
          <t>Solaris Sun Hats UV Protection Wide Brim Hat Unisex Adult Multicolor</t>
        </is>
      </c>
      <c r="C299" t="inlineStr">
        <is>
          <t>1SLSH910GY</t>
        </is>
      </c>
      <c r="D299" t="inlineStr">
        <is>
          <t>Hats</t>
        </is>
      </c>
      <c r="E299" t="inlineStr">
        <is>
          <t>Solaris</t>
        </is>
      </c>
      <c r="F299" t="inlineStr">
        <is>
          <t>WFS,Hats,SEM,WFS Item</t>
        </is>
      </c>
      <c r="G299" s="48" t="n">
        <v>0</v>
      </c>
      <c r="H299" s="49" t="n">
        <v>0</v>
      </c>
      <c r="I299" s="49" t="n">
        <v>0</v>
      </c>
      <c r="J299" s="50" t="n">
        <v>0</v>
      </c>
      <c r="K299" s="51" t="n">
        <v>2</v>
      </c>
      <c r="L299" s="52" t="n">
        <v>0.62</v>
      </c>
      <c r="M299" s="52" t="n">
        <v>0</v>
      </c>
      <c r="N299" s="52" t="n">
        <v>0</v>
      </c>
      <c r="O299" s="53" t="n">
        <v>0.0029</v>
      </c>
      <c r="P299" s="52" t="n">
        <v>0.31</v>
      </c>
      <c r="Q299" s="53" t="n">
        <v>0</v>
      </c>
      <c r="R299" s="52" t="n">
        <v>0</v>
      </c>
      <c r="S299" s="51" t="n">
        <v>682</v>
      </c>
      <c r="T299" s="48" t="n">
        <v>0</v>
      </c>
      <c r="U299" s="49" t="n">
        <v>0</v>
      </c>
      <c r="V299" s="49" t="n">
        <v>0</v>
      </c>
      <c r="W299" s="50" t="n">
        <v>0</v>
      </c>
      <c r="X299" s="51" t="n">
        <v>0</v>
      </c>
      <c r="Y299" s="52" t="n">
        <v>0</v>
      </c>
      <c r="Z299" s="52" t="n">
        <v>0</v>
      </c>
      <c r="AA299" s="52" t="n">
        <v>0</v>
      </c>
      <c r="AB299" s="53" t="n">
        <v>0</v>
      </c>
      <c r="AC299" s="52" t="n">
        <v>0</v>
      </c>
      <c r="AD299" s="53" t="n">
        <v>0</v>
      </c>
      <c r="AE299" s="52" t="n">
        <v>0</v>
      </c>
      <c r="AF299" s="51" t="n">
        <v>0</v>
      </c>
      <c r="AG299" s="48" t="n">
        <v>17.99</v>
      </c>
      <c r="AH299" s="49" t="n">
        <v>1</v>
      </c>
      <c r="AI299" s="49" t="n">
        <v>0</v>
      </c>
      <c r="AJ299" s="50" t="n">
        <v>0</v>
      </c>
      <c r="AK299" s="51" t="n">
        <v>0</v>
      </c>
      <c r="AL299" s="52" t="n">
        <v>0</v>
      </c>
      <c r="AM299" s="52" t="n">
        <v>0</v>
      </c>
      <c r="AN299" s="52" t="n">
        <v>0</v>
      </c>
      <c r="AO299" s="53" t="n">
        <v>0</v>
      </c>
      <c r="AP299" s="52" t="n">
        <v>0</v>
      </c>
      <c r="AQ299" s="53" t="n">
        <v>0</v>
      </c>
      <c r="AR299" s="52" t="n">
        <v>17.99</v>
      </c>
      <c r="AS299" s="51" t="n">
        <v>0</v>
      </c>
      <c r="AT299" s="48" t="n">
        <v>0</v>
      </c>
      <c r="AU299" s="49" t="n">
        <v>0</v>
      </c>
      <c r="AV299" s="49" t="n">
        <v>0</v>
      </c>
      <c r="AW299" s="50" t="n">
        <v>0</v>
      </c>
      <c r="AX299" s="51" t="n">
        <v>0</v>
      </c>
      <c r="AY299" s="52" t="n">
        <v>0</v>
      </c>
      <c r="AZ299" s="52" t="n">
        <v>0</v>
      </c>
      <c r="BA299" s="52" t="n">
        <v>0</v>
      </c>
      <c r="BB299" s="53" t="n">
        <v>0</v>
      </c>
      <c r="BC299" s="52" t="n">
        <v>0</v>
      </c>
      <c r="BD299" s="53" t="n">
        <v>0</v>
      </c>
      <c r="BE299" s="52" t="n">
        <v>0</v>
      </c>
      <c r="BF299" s="51" t="n">
        <v>0</v>
      </c>
    </row>
    <row r="300">
      <c r="A300">
        <f>HYPERLINK("https://www.walmart.com/ip/5803699350", "5803699350")</f>
        <v/>
      </c>
      <c r="B300" t="inlineStr">
        <is>
          <t>Tirrinia Beach Lounge Chair Cover, Portable Chaise Beach Towel, Sunbathing for Beach Pool Patio Garden Courtyard Outdoor Trips, 31 x 73 inch Navy</t>
        </is>
      </c>
      <c r="C300" t="inlineStr">
        <is>
          <t>1TRBM20237NY</t>
        </is>
      </c>
      <c r="D300" t="inlineStr">
        <is>
          <t>Patio Furniture Covers</t>
        </is>
      </c>
      <c r="E300" t="inlineStr">
        <is>
          <t>Tirrinia</t>
        </is>
      </c>
      <c r="G300" s="48" t="n">
        <v>0</v>
      </c>
      <c r="H300" s="49" t="n">
        <v>0</v>
      </c>
      <c r="I300" s="49" t="n">
        <v>0</v>
      </c>
      <c r="J300" s="50" t="n">
        <v>0</v>
      </c>
      <c r="K300" s="51" t="n">
        <v>0</v>
      </c>
      <c r="L300" s="52" t="n">
        <v>0</v>
      </c>
      <c r="M300" s="52" t="n">
        <v>0</v>
      </c>
      <c r="N300" s="52" t="n">
        <v>0</v>
      </c>
      <c r="O300" s="53" t="n">
        <v>0</v>
      </c>
      <c r="P300" s="52" t="n">
        <v>0</v>
      </c>
      <c r="Q300" s="53" t="n">
        <v>0</v>
      </c>
      <c r="R300" s="52" t="n">
        <v>0</v>
      </c>
      <c r="S300" s="51" t="n">
        <v>0</v>
      </c>
      <c r="T300" s="48" t="n">
        <v>0</v>
      </c>
      <c r="U300" s="49" t="n">
        <v>0</v>
      </c>
      <c r="V300" s="49" t="n">
        <v>0</v>
      </c>
      <c r="W300" s="50" t="n">
        <v>0</v>
      </c>
      <c r="X300" s="51" t="n">
        <v>0</v>
      </c>
      <c r="Y300" s="52" t="n">
        <v>0</v>
      </c>
      <c r="Z300" s="52" t="n">
        <v>0</v>
      </c>
      <c r="AA300" s="52" t="n">
        <v>0</v>
      </c>
      <c r="AB300" s="53" t="n">
        <v>0</v>
      </c>
      <c r="AC300" s="52" t="n">
        <v>0</v>
      </c>
      <c r="AD300" s="53" t="n">
        <v>0</v>
      </c>
      <c r="AE300" s="52" t="n">
        <v>0</v>
      </c>
      <c r="AF300" s="51" t="n">
        <v>0</v>
      </c>
      <c r="AG300" s="48" t="n">
        <v>27.99</v>
      </c>
      <c r="AH300" s="49" t="n">
        <v>1</v>
      </c>
      <c r="AI300" s="49" t="n">
        <v>0</v>
      </c>
      <c r="AJ300" s="50" t="n">
        <v>0</v>
      </c>
      <c r="AK300" s="51" t="n">
        <v>0</v>
      </c>
      <c r="AL300" s="52" t="n">
        <v>0</v>
      </c>
      <c r="AM300" s="52" t="n">
        <v>0</v>
      </c>
      <c r="AN300" s="52" t="n">
        <v>0</v>
      </c>
      <c r="AO300" s="53" t="n">
        <v>0</v>
      </c>
      <c r="AP300" s="52" t="n">
        <v>0</v>
      </c>
      <c r="AQ300" s="53" t="n">
        <v>0</v>
      </c>
      <c r="AR300" s="52" t="n">
        <v>27.99</v>
      </c>
      <c r="AS300" s="51" t="n">
        <v>0</v>
      </c>
      <c r="AT300" s="48" t="n">
        <v>0</v>
      </c>
      <c r="AU300" s="49" t="n">
        <v>0</v>
      </c>
      <c r="AV300" s="49" t="n">
        <v>0</v>
      </c>
      <c r="AW300" s="50" t="n">
        <v>0</v>
      </c>
      <c r="AX300" s="51" t="n">
        <v>0</v>
      </c>
      <c r="AY300" s="52" t="n">
        <v>0</v>
      </c>
      <c r="AZ300" s="52" t="n">
        <v>0</v>
      </c>
      <c r="BA300" s="52" t="n">
        <v>0</v>
      </c>
      <c r="BB300" s="53" t="n">
        <v>0</v>
      </c>
      <c r="BC300" s="52" t="n">
        <v>0</v>
      </c>
      <c r="BD300" s="53" t="n">
        <v>0</v>
      </c>
      <c r="BE300" s="52" t="n">
        <v>0</v>
      </c>
      <c r="BF300" s="51" t="n">
        <v>0</v>
      </c>
    </row>
    <row r="301">
      <c r="A301">
        <f>HYPERLINK("https://www.walmart.com/ip/5801714843", "5801714843")</f>
        <v/>
      </c>
      <c r="B301" t="inlineStr">
        <is>
          <t>Tirrinia Camping Cooler Bag Insulated w/ Shoulder Strap and Bottle Opener 20 Cans Portable Ice Chest for Camping Hiking Picnic Beach</t>
        </is>
      </c>
      <c r="C301" t="inlineStr">
        <is>
          <t>1TRCB00136BK</t>
        </is>
      </c>
      <c r="D301" t="inlineStr">
        <is>
          <t>Picnic Baskets &amp; Bags</t>
        </is>
      </c>
      <c r="E301" t="inlineStr">
        <is>
          <t>Tirrinia</t>
        </is>
      </c>
      <c r="G301" s="48" t="n">
        <v>0</v>
      </c>
      <c r="H301" s="49" t="n">
        <v>0</v>
      </c>
      <c r="I301" s="49" t="n">
        <v>0</v>
      </c>
      <c r="J301" s="50" t="n">
        <v>0</v>
      </c>
      <c r="K301" s="51" t="n">
        <v>0</v>
      </c>
      <c r="L301" s="52" t="n">
        <v>0</v>
      </c>
      <c r="M301" s="52" t="n">
        <v>0</v>
      </c>
      <c r="N301" s="52" t="n">
        <v>0</v>
      </c>
      <c r="O301" s="53" t="n">
        <v>0</v>
      </c>
      <c r="P301" s="52" t="n">
        <v>0</v>
      </c>
      <c r="Q301" s="53" t="n">
        <v>0</v>
      </c>
      <c r="R301" s="52" t="n">
        <v>0</v>
      </c>
      <c r="S301" s="51" t="n">
        <v>0</v>
      </c>
      <c r="T301" s="48" t="n">
        <v>26.99</v>
      </c>
      <c r="U301" s="49" t="n">
        <v>1</v>
      </c>
      <c r="V301" s="49" t="n">
        <v>0</v>
      </c>
      <c r="W301" s="50" t="n">
        <v>0</v>
      </c>
      <c r="X301" s="51" t="n">
        <v>0</v>
      </c>
      <c r="Y301" s="52" t="n">
        <v>0</v>
      </c>
      <c r="Z301" s="52" t="n">
        <v>0</v>
      </c>
      <c r="AA301" s="52" t="n">
        <v>0</v>
      </c>
      <c r="AB301" s="53" t="n">
        <v>0</v>
      </c>
      <c r="AC301" s="52" t="n">
        <v>0</v>
      </c>
      <c r="AD301" s="53" t="n">
        <v>0</v>
      </c>
      <c r="AE301" s="52" t="n">
        <v>26.99</v>
      </c>
      <c r="AF301" s="51" t="n">
        <v>0</v>
      </c>
      <c r="AG301" s="48" t="n">
        <v>0</v>
      </c>
      <c r="AH301" s="49" t="n">
        <v>0</v>
      </c>
      <c r="AI301" s="49" t="n">
        <v>0</v>
      </c>
      <c r="AJ301" s="50" t="n">
        <v>0</v>
      </c>
      <c r="AK301" s="51" t="n">
        <v>0</v>
      </c>
      <c r="AL301" s="52" t="n">
        <v>0</v>
      </c>
      <c r="AM301" s="52" t="n">
        <v>0</v>
      </c>
      <c r="AN301" s="52" t="n">
        <v>0</v>
      </c>
      <c r="AO301" s="53" t="n">
        <v>0</v>
      </c>
      <c r="AP301" s="52" t="n">
        <v>0</v>
      </c>
      <c r="AQ301" s="53" t="n">
        <v>0</v>
      </c>
      <c r="AR301" s="52" t="n">
        <v>0</v>
      </c>
      <c r="AS301" s="51" t="n">
        <v>0</v>
      </c>
      <c r="AT301" s="48" t="n">
        <v>0</v>
      </c>
      <c r="AU301" s="49" t="n">
        <v>0</v>
      </c>
      <c r="AV301" s="49" t="n">
        <v>0</v>
      </c>
      <c r="AW301" s="50" t="n">
        <v>0</v>
      </c>
      <c r="AX301" s="51" t="n">
        <v>0</v>
      </c>
      <c r="AY301" s="52" t="n">
        <v>0</v>
      </c>
      <c r="AZ301" s="52" t="n">
        <v>0</v>
      </c>
      <c r="BA301" s="52" t="n">
        <v>0</v>
      </c>
      <c r="BB301" s="53" t="n">
        <v>0</v>
      </c>
      <c r="BC301" s="52" t="n">
        <v>0</v>
      </c>
      <c r="BD301" s="53" t="n">
        <v>0</v>
      </c>
      <c r="BE301" s="52" t="n">
        <v>0</v>
      </c>
      <c r="BF301" s="51" t="n">
        <v>0</v>
      </c>
    </row>
    <row r="302">
      <c r="A302">
        <f>HYPERLINK("https://www.walmart.com/ip/6061252889", "6061252889")</f>
        <v/>
      </c>
      <c r="B302" t="inlineStr">
        <is>
          <t>Tirrinia Waterproof Outdoor Blanket with Sherpa Lining, Insulated Waterproof Oxford &amp; Plush Sherpa, Foldable for Stadium Camping, Sports, Picnic, Grass, Concerts, Pet,60” x 80”</t>
        </is>
      </c>
      <c r="C302" t="inlineStr">
        <is>
          <t>1TRBW70168NYGY</t>
        </is>
      </c>
      <c r="D302" t="inlineStr">
        <is>
          <t>Picnic Blankets &amp; Mats</t>
        </is>
      </c>
      <c r="E302" t="inlineStr">
        <is>
          <t>Tirrinia</t>
        </is>
      </c>
      <c r="G302" s="48" t="n">
        <v>0</v>
      </c>
      <c r="H302" s="49" t="n">
        <v>0</v>
      </c>
      <c r="I302" s="49" t="n">
        <v>0</v>
      </c>
      <c r="J302" s="50" t="n">
        <v>0</v>
      </c>
      <c r="K302" s="51" t="n">
        <v>1</v>
      </c>
      <c r="L302" s="52" t="n">
        <v>0.43</v>
      </c>
      <c r="M302" s="52" t="n">
        <v>0</v>
      </c>
      <c r="N302" s="52" t="n">
        <v>0</v>
      </c>
      <c r="O302" s="53" t="n">
        <v>0.0019</v>
      </c>
      <c r="P302" s="52" t="n">
        <v>0.43</v>
      </c>
      <c r="Q302" s="53" t="n">
        <v>0</v>
      </c>
      <c r="R302" s="52" t="n">
        <v>0</v>
      </c>
      <c r="S302" s="51" t="n">
        <v>518</v>
      </c>
      <c r="T302" s="48" t="n">
        <v>0</v>
      </c>
      <c r="U302" s="49" t="n">
        <v>0</v>
      </c>
      <c r="V302" s="49" t="n">
        <v>0</v>
      </c>
      <c r="W302" s="50" t="n">
        <v>0</v>
      </c>
      <c r="X302" s="51" t="n">
        <v>0</v>
      </c>
      <c r="Y302" s="52" t="n">
        <v>0</v>
      </c>
      <c r="Z302" s="52" t="n">
        <v>0</v>
      </c>
      <c r="AA302" s="52" t="n">
        <v>0</v>
      </c>
      <c r="AB302" s="53" t="n">
        <v>0</v>
      </c>
      <c r="AC302" s="52" t="n">
        <v>0</v>
      </c>
      <c r="AD302" s="53" t="n">
        <v>0</v>
      </c>
      <c r="AE302" s="52" t="n">
        <v>0</v>
      </c>
      <c r="AF302" s="51" t="n">
        <v>771</v>
      </c>
      <c r="AG302" s="48" t="n">
        <v>0</v>
      </c>
      <c r="AH302" s="49" t="n">
        <v>0</v>
      </c>
      <c r="AI302" s="49" t="n">
        <v>0</v>
      </c>
      <c r="AJ302" s="50" t="n">
        <v>0</v>
      </c>
      <c r="AK302" s="51" t="n">
        <v>0</v>
      </c>
      <c r="AL302" s="52" t="n">
        <v>0</v>
      </c>
      <c r="AM302" s="52" t="n">
        <v>0</v>
      </c>
      <c r="AN302" s="52" t="n">
        <v>0</v>
      </c>
      <c r="AO302" s="53" t="n">
        <v>0</v>
      </c>
      <c r="AP302" s="52" t="n">
        <v>0</v>
      </c>
      <c r="AQ302" s="53" t="n">
        <v>0</v>
      </c>
      <c r="AR302" s="52" t="n">
        <v>0</v>
      </c>
      <c r="AS302" s="51" t="n">
        <v>0</v>
      </c>
      <c r="AT302" s="48" t="n">
        <v>0</v>
      </c>
      <c r="AU302" s="49" t="n">
        <v>0</v>
      </c>
      <c r="AV302" s="49" t="n">
        <v>0</v>
      </c>
      <c r="AW302" s="50" t="n">
        <v>0</v>
      </c>
      <c r="AX302" s="51" t="n">
        <v>0</v>
      </c>
      <c r="AY302" s="52" t="n">
        <v>0</v>
      </c>
      <c r="AZ302" s="52" t="n">
        <v>0</v>
      </c>
      <c r="BA302" s="52" t="n">
        <v>0</v>
      </c>
      <c r="BB302" s="53" t="n">
        <v>0</v>
      </c>
      <c r="BC302" s="52" t="n">
        <v>0</v>
      </c>
      <c r="BD302" s="53" t="n">
        <v>0</v>
      </c>
      <c r="BE302" s="52" t="n">
        <v>0</v>
      </c>
      <c r="BF302" s="51" t="n">
        <v>0</v>
      </c>
    </row>
    <row r="303">
      <c r="A303">
        <f>HYPERLINK("https://www.walmart.com/ip/5798977265", "5798977265")</f>
        <v/>
      </c>
      <c r="B303" t="inlineStr">
        <is>
          <t>Catalonia Cooling Blanket for Hot Sleepers, Summer Bed Blanket for Warm Night Sweat, Cool Sofa Throw Blanket for Hot Flashes, Soft Thin Lightweight Blanket for Adults Kids</t>
        </is>
      </c>
      <c r="C303" t="inlineStr">
        <is>
          <t>1CTBQ10119GY</t>
        </is>
      </c>
      <c r="D303" t="inlineStr">
        <is>
          <t>Throws</t>
        </is>
      </c>
      <c r="E303" t="inlineStr">
        <is>
          <t>Catalonia</t>
        </is>
      </c>
      <c r="G303" s="48" t="n">
        <v>0</v>
      </c>
      <c r="H303" s="49" t="n">
        <v>0</v>
      </c>
      <c r="I303" s="49" t="n">
        <v>0</v>
      </c>
      <c r="J303" s="50" t="n">
        <v>0</v>
      </c>
      <c r="K303" s="51" t="n">
        <v>0</v>
      </c>
      <c r="L303" s="52" t="n">
        <v>0</v>
      </c>
      <c r="M303" s="52" t="n">
        <v>0</v>
      </c>
      <c r="N303" s="52" t="n">
        <v>0</v>
      </c>
      <c r="O303" s="53" t="n">
        <v>0</v>
      </c>
      <c r="P303" s="52" t="n">
        <v>0</v>
      </c>
      <c r="Q303" s="53" t="n">
        <v>0</v>
      </c>
      <c r="R303" s="52" t="n">
        <v>0</v>
      </c>
      <c r="S303" s="51" t="n">
        <v>0</v>
      </c>
      <c r="T303" s="48" t="n">
        <v>0</v>
      </c>
      <c r="U303" s="49" t="n">
        <v>0</v>
      </c>
      <c r="V303" s="49" t="n">
        <v>0</v>
      </c>
      <c r="W303" s="50" t="n">
        <v>0</v>
      </c>
      <c r="X303" s="51" t="n">
        <v>0</v>
      </c>
      <c r="Y303" s="52" t="n">
        <v>0</v>
      </c>
      <c r="Z303" s="52" t="n">
        <v>0</v>
      </c>
      <c r="AA303" s="52" t="n">
        <v>0</v>
      </c>
      <c r="AB303" s="53" t="n">
        <v>0</v>
      </c>
      <c r="AC303" s="52" t="n">
        <v>0</v>
      </c>
      <c r="AD303" s="53" t="n">
        <v>0</v>
      </c>
      <c r="AE303" s="52" t="n">
        <v>0</v>
      </c>
      <c r="AF303" s="51" t="n">
        <v>0</v>
      </c>
      <c r="AG303" s="48" t="n">
        <v>0</v>
      </c>
      <c r="AH303" s="49" t="n">
        <v>0</v>
      </c>
      <c r="AI303" s="49" t="n">
        <v>0</v>
      </c>
      <c r="AJ303" s="50" t="n">
        <v>0</v>
      </c>
      <c r="AK303" s="51" t="n">
        <v>0</v>
      </c>
      <c r="AL303" s="52" t="n">
        <v>0</v>
      </c>
      <c r="AM303" s="52" t="n">
        <v>0</v>
      </c>
      <c r="AN303" s="52" t="n">
        <v>0</v>
      </c>
      <c r="AO303" s="53" t="n">
        <v>0</v>
      </c>
      <c r="AP303" s="52" t="n">
        <v>0</v>
      </c>
      <c r="AQ303" s="53" t="n">
        <v>0</v>
      </c>
      <c r="AR303" s="52" t="n">
        <v>0</v>
      </c>
      <c r="AS303" s="51" t="n">
        <v>0</v>
      </c>
      <c r="AT303" s="48" t="n">
        <v>0</v>
      </c>
      <c r="AU303" s="49" t="n">
        <v>0</v>
      </c>
      <c r="AV303" s="49" t="n">
        <v>0</v>
      </c>
      <c r="AW303" s="50" t="n">
        <v>0</v>
      </c>
      <c r="AX303" s="51" t="n">
        <v>0</v>
      </c>
      <c r="AY303" s="52" t="n">
        <v>0</v>
      </c>
      <c r="AZ303" s="52" t="n">
        <v>0</v>
      </c>
      <c r="BA303" s="52" t="n">
        <v>0</v>
      </c>
      <c r="BB303" s="53" t="n">
        <v>0</v>
      </c>
      <c r="BC303" s="52" t="n">
        <v>0</v>
      </c>
      <c r="BD303" s="53" t="n">
        <v>0</v>
      </c>
      <c r="BE303" s="52" t="n">
        <v>0</v>
      </c>
      <c r="BF303" s="51" t="n">
        <v>0</v>
      </c>
    </row>
    <row r="304">
      <c r="A304">
        <f>HYPERLINK("https://www.walmart.com/ip/579846094", "579846094")</f>
        <v/>
      </c>
      <c r="B304" t="inlineStr">
        <is>
          <t>Tirrinia Super Cozy Fleece Plush Patriotic Throw Blanket For Bed Or Couch, 50" x 60", USA Flag</t>
        </is>
      </c>
      <c r="C304" t="inlineStr">
        <is>
          <t>1TRBF300USA4-TBCB01</t>
        </is>
      </c>
      <c r="D304" t="inlineStr">
        <is>
          <t>Throws</t>
        </is>
      </c>
      <c r="E304" t="inlineStr">
        <is>
          <t>Tirrinia</t>
        </is>
      </c>
      <c r="F304" t="inlineStr">
        <is>
          <t>Optimized</t>
        </is>
      </c>
      <c r="G304" s="48" t="n">
        <v>0</v>
      </c>
      <c r="H304" s="49" t="n">
        <v>0</v>
      </c>
      <c r="I304" s="49" t="n">
        <v>0</v>
      </c>
      <c r="J304" s="50" t="n">
        <v>0</v>
      </c>
      <c r="K304" s="51" t="n">
        <v>0</v>
      </c>
      <c r="L304" s="52" t="n">
        <v>0</v>
      </c>
      <c r="M304" s="52" t="n">
        <v>0</v>
      </c>
      <c r="N304" s="52" t="n">
        <v>0</v>
      </c>
      <c r="O304" s="53" t="n">
        <v>0</v>
      </c>
      <c r="P304" s="52" t="n">
        <v>0</v>
      </c>
      <c r="Q304" s="53" t="n">
        <v>0</v>
      </c>
      <c r="R304" s="52" t="n">
        <v>0</v>
      </c>
      <c r="S304" s="51" t="n">
        <v>0</v>
      </c>
      <c r="T304" s="48" t="n">
        <v>0</v>
      </c>
      <c r="U304" s="49" t="n">
        <v>0</v>
      </c>
      <c r="V304" s="49" t="n">
        <v>0</v>
      </c>
      <c r="W304" s="50" t="n">
        <v>0</v>
      </c>
      <c r="X304" s="51" t="n">
        <v>0</v>
      </c>
      <c r="Y304" s="52" t="n">
        <v>0</v>
      </c>
      <c r="Z304" s="52" t="n">
        <v>0</v>
      </c>
      <c r="AA304" s="52" t="n">
        <v>0</v>
      </c>
      <c r="AB304" s="53" t="n">
        <v>0</v>
      </c>
      <c r="AC304" s="52" t="n">
        <v>0</v>
      </c>
      <c r="AD304" s="53" t="n">
        <v>0</v>
      </c>
      <c r="AE304" s="52" t="n">
        <v>0</v>
      </c>
      <c r="AF304" s="51" t="n">
        <v>0</v>
      </c>
      <c r="AG304" s="48" t="n">
        <v>0</v>
      </c>
      <c r="AH304" s="49" t="n">
        <v>0</v>
      </c>
      <c r="AI304" s="49" t="n">
        <v>0</v>
      </c>
      <c r="AJ304" s="50" t="n">
        <v>0</v>
      </c>
      <c r="AK304" s="51" t="n">
        <v>0</v>
      </c>
      <c r="AL304" s="52" t="n">
        <v>0</v>
      </c>
      <c r="AM304" s="52" t="n">
        <v>0</v>
      </c>
      <c r="AN304" s="52" t="n">
        <v>0</v>
      </c>
      <c r="AO304" s="53" t="n">
        <v>0</v>
      </c>
      <c r="AP304" s="52" t="n">
        <v>0</v>
      </c>
      <c r="AQ304" s="53" t="n">
        <v>0</v>
      </c>
      <c r="AR304" s="52" t="n">
        <v>0</v>
      </c>
      <c r="AS304" s="51" t="n">
        <v>0</v>
      </c>
      <c r="AT304" s="48" t="n">
        <v>0</v>
      </c>
      <c r="AU304" s="49" t="n">
        <v>0</v>
      </c>
      <c r="AV304" s="49" t="n">
        <v>0</v>
      </c>
      <c r="AW304" s="50" t="n">
        <v>0</v>
      </c>
      <c r="AX304" s="51" t="n">
        <v>0</v>
      </c>
      <c r="AY304" s="52" t="n">
        <v>0</v>
      </c>
      <c r="AZ304" s="52" t="n">
        <v>0</v>
      </c>
      <c r="BA304" s="52" t="n">
        <v>0</v>
      </c>
      <c r="BB304" s="53" t="n">
        <v>0</v>
      </c>
      <c r="BC304" s="52" t="n">
        <v>0</v>
      </c>
      <c r="BD304" s="53" t="n">
        <v>0</v>
      </c>
      <c r="BE304" s="52" t="n">
        <v>0</v>
      </c>
      <c r="BF304" s="51" t="n">
        <v>0</v>
      </c>
    </row>
    <row r="305">
      <c r="A305">
        <f>HYPERLINK("https://www.walmart.com/ip/5798048545", "5798048545")</f>
        <v/>
      </c>
      <c r="B305" t="inlineStr">
        <is>
          <t>Catalonia Cooling Blanket for Hot Sleepers, Summer Bed Blanket for Warm Night Sweat, Cool Sofa Throw Blanket for Hot Flashes, Soft Thin Lightweight Blanket for Adults Kids</t>
        </is>
      </c>
      <c r="C305" t="inlineStr">
        <is>
          <t>1CTBQ10119BL</t>
        </is>
      </c>
      <c r="D305" t="inlineStr">
        <is>
          <t>Throws</t>
        </is>
      </c>
      <c r="E305" t="inlineStr">
        <is>
          <t>Catalonia</t>
        </is>
      </c>
      <c r="G305" s="48" t="n">
        <v>0</v>
      </c>
      <c r="H305" s="49" t="n">
        <v>0</v>
      </c>
      <c r="I305" s="49" t="n">
        <v>0</v>
      </c>
      <c r="J305" s="50" t="n">
        <v>0</v>
      </c>
      <c r="K305" s="51" t="n">
        <v>0</v>
      </c>
      <c r="L305" s="52" t="n">
        <v>0</v>
      </c>
      <c r="M305" s="52" t="n">
        <v>0</v>
      </c>
      <c r="N305" s="52" t="n">
        <v>0</v>
      </c>
      <c r="O305" s="53" t="n">
        <v>0</v>
      </c>
      <c r="P305" s="52" t="n">
        <v>0</v>
      </c>
      <c r="Q305" s="53" t="n">
        <v>0</v>
      </c>
      <c r="R305" s="52" t="n">
        <v>0</v>
      </c>
      <c r="S305" s="51" t="n">
        <v>0</v>
      </c>
      <c r="T305" s="48" t="n">
        <v>0</v>
      </c>
      <c r="U305" s="49" t="n">
        <v>0</v>
      </c>
      <c r="V305" s="49" t="n">
        <v>0</v>
      </c>
      <c r="W305" s="50" t="n">
        <v>0</v>
      </c>
      <c r="X305" s="51" t="n">
        <v>0</v>
      </c>
      <c r="Y305" s="52" t="n">
        <v>0</v>
      </c>
      <c r="Z305" s="52" t="n">
        <v>0</v>
      </c>
      <c r="AA305" s="52" t="n">
        <v>0</v>
      </c>
      <c r="AB305" s="53" t="n">
        <v>0</v>
      </c>
      <c r="AC305" s="52" t="n">
        <v>0</v>
      </c>
      <c r="AD305" s="53" t="n">
        <v>0</v>
      </c>
      <c r="AE305" s="52" t="n">
        <v>0</v>
      </c>
      <c r="AF305" s="51" t="n">
        <v>0</v>
      </c>
      <c r="AG305" s="48" t="n">
        <v>0</v>
      </c>
      <c r="AH305" s="49" t="n">
        <v>0</v>
      </c>
      <c r="AI305" s="49" t="n">
        <v>0</v>
      </c>
      <c r="AJ305" s="50" t="n">
        <v>0</v>
      </c>
      <c r="AK305" s="51" t="n">
        <v>0</v>
      </c>
      <c r="AL305" s="52" t="n">
        <v>0</v>
      </c>
      <c r="AM305" s="52" t="n">
        <v>0</v>
      </c>
      <c r="AN305" s="52" t="n">
        <v>0</v>
      </c>
      <c r="AO305" s="53" t="n">
        <v>0</v>
      </c>
      <c r="AP305" s="52" t="n">
        <v>0</v>
      </c>
      <c r="AQ305" s="53" t="n">
        <v>0</v>
      </c>
      <c r="AR305" s="52" t="n">
        <v>0</v>
      </c>
      <c r="AS305" s="51" t="n">
        <v>0</v>
      </c>
      <c r="AT305" s="48" t="n">
        <v>0</v>
      </c>
      <c r="AU305" s="49" t="n">
        <v>0</v>
      </c>
      <c r="AV305" s="49" t="n">
        <v>0</v>
      </c>
      <c r="AW305" s="50" t="n">
        <v>0</v>
      </c>
      <c r="AX305" s="51" t="n">
        <v>0</v>
      </c>
      <c r="AY305" s="52" t="n">
        <v>0</v>
      </c>
      <c r="AZ305" s="52" t="n">
        <v>0</v>
      </c>
      <c r="BA305" s="52" t="n">
        <v>0</v>
      </c>
      <c r="BB305" s="53" t="n">
        <v>0</v>
      </c>
      <c r="BC305" s="52" t="n">
        <v>0</v>
      </c>
      <c r="BD305" s="53" t="n">
        <v>0</v>
      </c>
      <c r="BE305" s="52" t="n">
        <v>0</v>
      </c>
      <c r="BF305" s="51" t="n">
        <v>0</v>
      </c>
    </row>
    <row r="306">
      <c r="A306">
        <f>HYPERLINK("https://www.walmart.com/ip/606850559", "606850559")</f>
        <v/>
      </c>
      <c r="B306" t="inlineStr">
        <is>
          <t>KC Caps Men's Deluxe Washed Chino Cotton Surplus Cap</t>
        </is>
      </c>
      <c r="C306" t="inlineStr">
        <is>
          <t>8320-Olive</t>
        </is>
      </c>
      <c r="D306" t="inlineStr">
        <is>
          <t>Hats</t>
        </is>
      </c>
      <c r="E306" t="inlineStr">
        <is>
          <t>KC Caps</t>
        </is>
      </c>
      <c r="F306" t="inlineStr">
        <is>
          <t>Optimized</t>
        </is>
      </c>
      <c r="G306" s="48" t="n">
        <v>0</v>
      </c>
      <c r="H306" s="49" t="n">
        <v>0</v>
      </c>
      <c r="I306" s="49" t="n">
        <v>0</v>
      </c>
      <c r="J306" s="50" t="n">
        <v>0</v>
      </c>
      <c r="K306" s="51" t="n">
        <v>0</v>
      </c>
      <c r="L306" s="52" t="n">
        <v>0</v>
      </c>
      <c r="M306" s="52" t="n">
        <v>0</v>
      </c>
      <c r="N306" s="52" t="n">
        <v>0</v>
      </c>
      <c r="O306" s="53" t="n">
        <v>0</v>
      </c>
      <c r="P306" s="52" t="n">
        <v>0</v>
      </c>
      <c r="Q306" s="53" t="n">
        <v>0</v>
      </c>
      <c r="R306" s="52" t="n">
        <v>0</v>
      </c>
      <c r="S306" s="51" t="n">
        <v>0</v>
      </c>
      <c r="T306" s="48" t="n">
        <v>0</v>
      </c>
      <c r="U306" s="49" t="n">
        <v>0</v>
      </c>
      <c r="V306" s="49" t="n">
        <v>0</v>
      </c>
      <c r="W306" s="50" t="n">
        <v>0</v>
      </c>
      <c r="X306" s="51" t="n">
        <v>0</v>
      </c>
      <c r="Y306" s="52" t="n">
        <v>0</v>
      </c>
      <c r="Z306" s="52" t="n">
        <v>0</v>
      </c>
      <c r="AA306" s="52" t="n">
        <v>0</v>
      </c>
      <c r="AB306" s="53" t="n">
        <v>0</v>
      </c>
      <c r="AC306" s="52" t="n">
        <v>0</v>
      </c>
      <c r="AD306" s="53" t="n">
        <v>0</v>
      </c>
      <c r="AE306" s="52" t="n">
        <v>0</v>
      </c>
      <c r="AF306" s="51" t="n">
        <v>0</v>
      </c>
      <c r="AG306" s="48" t="n">
        <v>0</v>
      </c>
      <c r="AH306" s="49" t="n">
        <v>0</v>
      </c>
      <c r="AI306" s="49" t="n">
        <v>0</v>
      </c>
      <c r="AJ306" s="50" t="n">
        <v>0</v>
      </c>
      <c r="AK306" s="51" t="n">
        <v>0</v>
      </c>
      <c r="AL306" s="52" t="n">
        <v>0</v>
      </c>
      <c r="AM306" s="52" t="n">
        <v>0</v>
      </c>
      <c r="AN306" s="52" t="n">
        <v>0</v>
      </c>
      <c r="AO306" s="53" t="n">
        <v>0</v>
      </c>
      <c r="AP306" s="52" t="n">
        <v>0</v>
      </c>
      <c r="AQ306" s="53" t="n">
        <v>0</v>
      </c>
      <c r="AR306" s="52" t="n">
        <v>0</v>
      </c>
      <c r="AS306" s="51" t="n">
        <v>0</v>
      </c>
      <c r="AT306" s="48" t="n">
        <v>0</v>
      </c>
      <c r="AU306" s="49" t="n">
        <v>0</v>
      </c>
      <c r="AV306" s="49" t="n">
        <v>0</v>
      </c>
      <c r="AW306" s="50" t="n">
        <v>0</v>
      </c>
      <c r="AX306" s="51" t="n">
        <v>0</v>
      </c>
      <c r="AY306" s="52" t="n">
        <v>0</v>
      </c>
      <c r="AZ306" s="52" t="n">
        <v>0</v>
      </c>
      <c r="BA306" s="52" t="n">
        <v>0</v>
      </c>
      <c r="BB306" s="53" t="n">
        <v>0</v>
      </c>
      <c r="BC306" s="52" t="n">
        <v>0</v>
      </c>
      <c r="BD306" s="53" t="n">
        <v>0</v>
      </c>
      <c r="BE306" s="52" t="n">
        <v>0</v>
      </c>
      <c r="BF306" s="51" t="n">
        <v>0</v>
      </c>
    </row>
    <row r="307">
      <c r="A307">
        <f>HYPERLINK("https://www.walmart.com/ip/5796843752", "5796843752")</f>
        <v/>
      </c>
      <c r="B307" t="inlineStr">
        <is>
          <t>Tirrinia Surf Poncho Changing Towel, Lightweight Surf Hooded Beach Towel Quick Dry, Portable Dressing Room for Surfing Beach Pool Summer Camping Adult Women Men Gift Shark</t>
        </is>
      </c>
      <c r="C307" t="inlineStr">
        <is>
          <t>1TRBR101SURFBOARD</t>
        </is>
      </c>
      <c r="D307" t="inlineStr">
        <is>
          <t>Sleepwear Robes &amp; Bathrobes</t>
        </is>
      </c>
      <c r="E307" t="inlineStr">
        <is>
          <t>Tirrinia</t>
        </is>
      </c>
      <c r="G307" s="48" t="n">
        <v>0</v>
      </c>
      <c r="H307" s="49" t="n">
        <v>0</v>
      </c>
      <c r="I307" s="49" t="n">
        <v>0</v>
      </c>
      <c r="J307" s="50" t="n">
        <v>0</v>
      </c>
      <c r="K307" s="51" t="n">
        <v>0</v>
      </c>
      <c r="L307" s="52" t="n">
        <v>0</v>
      </c>
      <c r="M307" s="52" t="n">
        <v>0</v>
      </c>
      <c r="N307" s="52" t="n">
        <v>0</v>
      </c>
      <c r="O307" s="53" t="n">
        <v>0</v>
      </c>
      <c r="P307" s="52" t="n">
        <v>0</v>
      </c>
      <c r="Q307" s="53" t="n">
        <v>0</v>
      </c>
      <c r="R307" s="52" t="n">
        <v>0</v>
      </c>
      <c r="S307" s="51" t="n">
        <v>0</v>
      </c>
      <c r="T307" s="48" t="n">
        <v>0</v>
      </c>
      <c r="U307" s="49" t="n">
        <v>0</v>
      </c>
      <c r="V307" s="49" t="n">
        <v>0</v>
      </c>
      <c r="W307" s="50" t="n">
        <v>0</v>
      </c>
      <c r="X307" s="51" t="n">
        <v>0</v>
      </c>
      <c r="Y307" s="52" t="n">
        <v>0</v>
      </c>
      <c r="Z307" s="52" t="n">
        <v>0</v>
      </c>
      <c r="AA307" s="52" t="n">
        <v>0</v>
      </c>
      <c r="AB307" s="53" t="n">
        <v>0</v>
      </c>
      <c r="AC307" s="52" t="n">
        <v>0</v>
      </c>
      <c r="AD307" s="53" t="n">
        <v>0</v>
      </c>
      <c r="AE307" s="52" t="n">
        <v>0</v>
      </c>
      <c r="AF307" s="51" t="n">
        <v>0</v>
      </c>
      <c r="AG307" s="48" t="n">
        <v>0</v>
      </c>
      <c r="AH307" s="49" t="n">
        <v>0</v>
      </c>
      <c r="AI307" s="49" t="n">
        <v>0</v>
      </c>
      <c r="AJ307" s="50" t="n">
        <v>0</v>
      </c>
      <c r="AK307" s="51" t="n">
        <v>0</v>
      </c>
      <c r="AL307" s="52" t="n">
        <v>0</v>
      </c>
      <c r="AM307" s="52" t="n">
        <v>0</v>
      </c>
      <c r="AN307" s="52" t="n">
        <v>0</v>
      </c>
      <c r="AO307" s="53" t="n">
        <v>0</v>
      </c>
      <c r="AP307" s="52" t="n">
        <v>0</v>
      </c>
      <c r="AQ307" s="53" t="n">
        <v>0</v>
      </c>
      <c r="AR307" s="52" t="n">
        <v>0</v>
      </c>
      <c r="AS307" s="51" t="n">
        <v>0</v>
      </c>
      <c r="AT307" s="48" t="n">
        <v>0</v>
      </c>
      <c r="AU307" s="49" t="n">
        <v>0</v>
      </c>
      <c r="AV307" s="49" t="n">
        <v>0</v>
      </c>
      <c r="AW307" s="50" t="n">
        <v>0</v>
      </c>
      <c r="AX307" s="51" t="n">
        <v>0</v>
      </c>
      <c r="AY307" s="52" t="n">
        <v>0</v>
      </c>
      <c r="AZ307" s="52" t="n">
        <v>0</v>
      </c>
      <c r="BA307" s="52" t="n">
        <v>0</v>
      </c>
      <c r="BB307" s="53" t="n">
        <v>0</v>
      </c>
      <c r="BC307" s="52" t="n">
        <v>0</v>
      </c>
      <c r="BD307" s="53" t="n">
        <v>0</v>
      </c>
      <c r="BE307" s="52" t="n">
        <v>0</v>
      </c>
      <c r="BF307" s="51" t="n">
        <v>0</v>
      </c>
    </row>
    <row r="308">
      <c r="A308">
        <f>HYPERLINK("https://www.walmart.com/ip/5796843750", "5796843750")</f>
        <v/>
      </c>
      <c r="B308" t="inlineStr">
        <is>
          <t>Tirrinia Surf Poncho Changing Towel, Lightweight Surf Hooded Beach Towel Quick Dry, Portable Dressing Room for Surfing Beach Pool Summer Camping Adult Women Men Gift Shark</t>
        </is>
      </c>
      <c r="C308" t="inlineStr">
        <is>
          <t>1TRBR101PLUMBLOSSOM</t>
        </is>
      </c>
      <c r="D308" t="inlineStr">
        <is>
          <t>Sleepwear Robes &amp; Bathrobes</t>
        </is>
      </c>
      <c r="E308" t="inlineStr">
        <is>
          <t>Tirrinia</t>
        </is>
      </c>
      <c r="G308" s="48" t="n">
        <v>0</v>
      </c>
      <c r="H308" s="49" t="n">
        <v>0</v>
      </c>
      <c r="I308" s="49" t="n">
        <v>0</v>
      </c>
      <c r="J308" s="50" t="n">
        <v>0</v>
      </c>
      <c r="K308" s="51" t="n">
        <v>0</v>
      </c>
      <c r="L308" s="52" t="n">
        <v>0</v>
      </c>
      <c r="M308" s="52" t="n">
        <v>0</v>
      </c>
      <c r="N308" s="52" t="n">
        <v>0</v>
      </c>
      <c r="O308" s="53" t="n">
        <v>0</v>
      </c>
      <c r="P308" s="52" t="n">
        <v>0</v>
      </c>
      <c r="Q308" s="53" t="n">
        <v>0</v>
      </c>
      <c r="R308" s="52" t="n">
        <v>0</v>
      </c>
      <c r="S308" s="51" t="n">
        <v>0</v>
      </c>
      <c r="T308" s="48" t="n">
        <v>0</v>
      </c>
      <c r="U308" s="49" t="n">
        <v>0</v>
      </c>
      <c r="V308" s="49" t="n">
        <v>0</v>
      </c>
      <c r="W308" s="50" t="n">
        <v>0</v>
      </c>
      <c r="X308" s="51" t="n">
        <v>0</v>
      </c>
      <c r="Y308" s="52" t="n">
        <v>0</v>
      </c>
      <c r="Z308" s="52" t="n">
        <v>0</v>
      </c>
      <c r="AA308" s="52" t="n">
        <v>0</v>
      </c>
      <c r="AB308" s="53" t="n">
        <v>0</v>
      </c>
      <c r="AC308" s="52" t="n">
        <v>0</v>
      </c>
      <c r="AD308" s="53" t="n">
        <v>0</v>
      </c>
      <c r="AE308" s="52" t="n">
        <v>0</v>
      </c>
      <c r="AF308" s="51" t="n">
        <v>0</v>
      </c>
      <c r="AG308" s="48" t="n">
        <v>0</v>
      </c>
      <c r="AH308" s="49" t="n">
        <v>0</v>
      </c>
      <c r="AI308" s="49" t="n">
        <v>0</v>
      </c>
      <c r="AJ308" s="50" t="n">
        <v>0</v>
      </c>
      <c r="AK308" s="51" t="n">
        <v>0</v>
      </c>
      <c r="AL308" s="52" t="n">
        <v>0</v>
      </c>
      <c r="AM308" s="52" t="n">
        <v>0</v>
      </c>
      <c r="AN308" s="52" t="n">
        <v>0</v>
      </c>
      <c r="AO308" s="53" t="n">
        <v>0</v>
      </c>
      <c r="AP308" s="52" t="n">
        <v>0</v>
      </c>
      <c r="AQ308" s="53" t="n">
        <v>0</v>
      </c>
      <c r="AR308" s="52" t="n">
        <v>0</v>
      </c>
      <c r="AS308" s="51" t="n">
        <v>0</v>
      </c>
      <c r="AT308" s="48" t="n">
        <v>0</v>
      </c>
      <c r="AU308" s="49" t="n">
        <v>0</v>
      </c>
      <c r="AV308" s="49" t="n">
        <v>0</v>
      </c>
      <c r="AW308" s="50" t="n">
        <v>0</v>
      </c>
      <c r="AX308" s="51" t="n">
        <v>0</v>
      </c>
      <c r="AY308" s="52" t="n">
        <v>0</v>
      </c>
      <c r="AZ308" s="52" t="n">
        <v>0</v>
      </c>
      <c r="BA308" s="52" t="n">
        <v>0</v>
      </c>
      <c r="BB308" s="53" t="n">
        <v>0</v>
      </c>
      <c r="BC308" s="52" t="n">
        <v>0</v>
      </c>
      <c r="BD308" s="53" t="n">
        <v>0</v>
      </c>
      <c r="BE308" s="52" t="n">
        <v>0</v>
      </c>
      <c r="BF308" s="51" t="n">
        <v>0</v>
      </c>
    </row>
    <row r="309">
      <c r="A309">
        <f>HYPERLINK("https://www.walmart.com/ip/608391601", "608391601")</f>
        <v/>
      </c>
      <c r="B309" t="inlineStr">
        <is>
          <t>Luxury Sherpa Knit Throw Blanket 50" x 60", Home Decorative Blanket for Sofa Couch Chair All Season TV Blanket | Super Soft, Warm, Waffle Weave Knit | Catalonia series by Tirrinia</t>
        </is>
      </c>
      <c r="C309" t="inlineStr">
        <is>
          <t>1TRBN300PK-TBCB</t>
        </is>
      </c>
      <c r="D309" t="inlineStr">
        <is>
          <t>Throws</t>
        </is>
      </c>
      <c r="E309" t="inlineStr">
        <is>
          <t>Tirrinia</t>
        </is>
      </c>
      <c r="F309" t="inlineStr">
        <is>
          <t>Batch 1 - TR</t>
        </is>
      </c>
      <c r="G309" s="48" t="n">
        <v>0</v>
      </c>
      <c r="H309" s="49" t="n">
        <v>0</v>
      </c>
      <c r="I309" s="49" t="n">
        <v>0</v>
      </c>
      <c r="J309" s="50" t="n">
        <v>0</v>
      </c>
      <c r="K309" s="51" t="n">
        <v>0</v>
      </c>
      <c r="L309" s="52" t="n">
        <v>0</v>
      </c>
      <c r="M309" s="52" t="n">
        <v>0</v>
      </c>
      <c r="N309" s="52" t="n">
        <v>0</v>
      </c>
      <c r="O309" s="53" t="n">
        <v>0</v>
      </c>
      <c r="P309" s="52" t="n">
        <v>0</v>
      </c>
      <c r="Q309" s="53" t="n">
        <v>0</v>
      </c>
      <c r="R309" s="52" t="n">
        <v>0</v>
      </c>
      <c r="S309" s="51" t="n">
        <v>0</v>
      </c>
      <c r="T309" s="48" t="n">
        <v>0</v>
      </c>
      <c r="U309" s="49" t="n">
        <v>0</v>
      </c>
      <c r="V309" s="49" t="n">
        <v>0</v>
      </c>
      <c r="W309" s="50" t="n">
        <v>0</v>
      </c>
      <c r="X309" s="51" t="n">
        <v>0</v>
      </c>
      <c r="Y309" s="52" t="n">
        <v>0</v>
      </c>
      <c r="Z309" s="52" t="n">
        <v>0</v>
      </c>
      <c r="AA309" s="52" t="n">
        <v>0</v>
      </c>
      <c r="AB309" s="53" t="n">
        <v>0</v>
      </c>
      <c r="AC309" s="52" t="n">
        <v>0</v>
      </c>
      <c r="AD309" s="53" t="n">
        <v>0</v>
      </c>
      <c r="AE309" s="52" t="n">
        <v>0</v>
      </c>
      <c r="AF309" s="51" t="n">
        <v>0</v>
      </c>
      <c r="AG309" s="48" t="n">
        <v>0</v>
      </c>
      <c r="AH309" s="49" t="n">
        <v>0</v>
      </c>
      <c r="AI309" s="49" t="n">
        <v>0</v>
      </c>
      <c r="AJ309" s="50" t="n">
        <v>0</v>
      </c>
      <c r="AK309" s="51" t="n">
        <v>0</v>
      </c>
      <c r="AL309" s="52" t="n">
        <v>0</v>
      </c>
      <c r="AM309" s="52" t="n">
        <v>0</v>
      </c>
      <c r="AN309" s="52" t="n">
        <v>0</v>
      </c>
      <c r="AO309" s="53" t="n">
        <v>0</v>
      </c>
      <c r="AP309" s="52" t="n">
        <v>0</v>
      </c>
      <c r="AQ309" s="53" t="n">
        <v>0</v>
      </c>
      <c r="AR309" s="52" t="n">
        <v>0</v>
      </c>
      <c r="AS309" s="51" t="n">
        <v>0</v>
      </c>
      <c r="AT309" s="48" t="n">
        <v>0</v>
      </c>
      <c r="AU309" s="49" t="n">
        <v>0</v>
      </c>
      <c r="AV309" s="49" t="n">
        <v>0</v>
      </c>
      <c r="AW309" s="50" t="n">
        <v>0</v>
      </c>
      <c r="AX309" s="51" t="n">
        <v>0</v>
      </c>
      <c r="AY309" s="52" t="n">
        <v>0</v>
      </c>
      <c r="AZ309" s="52" t="n">
        <v>0</v>
      </c>
      <c r="BA309" s="52" t="n">
        <v>0</v>
      </c>
      <c r="BB309" s="53" t="n">
        <v>0</v>
      </c>
      <c r="BC309" s="52" t="n">
        <v>0</v>
      </c>
      <c r="BD309" s="53" t="n">
        <v>0</v>
      </c>
      <c r="BE309" s="52" t="n">
        <v>0</v>
      </c>
      <c r="BF309" s="51" t="n">
        <v>0</v>
      </c>
    </row>
    <row r="310">
      <c r="A310">
        <f>HYPERLINK("https://www.walmart.com/ip/579257155", "579257155")</f>
        <v/>
      </c>
      <c r="B310" t="inlineStr">
        <is>
          <t>Tirrinia Wine Cooler bag - 3 Bottle Travel Insulated Padded Wine Carrier Tote Bag with Handle and Adjustable Shoulder Strap</t>
        </is>
      </c>
      <c r="C310" t="inlineStr">
        <is>
          <t>1WMWB310KK</t>
        </is>
      </c>
      <c r="D310" t="inlineStr">
        <is>
          <t>Wine Totes, Bags &amp; Backpacks</t>
        </is>
      </c>
      <c r="E310" t="inlineStr">
        <is>
          <t>Flyingstar</t>
        </is>
      </c>
      <c r="F310" t="inlineStr">
        <is>
          <t>Wine,Christmas,Valentine</t>
        </is>
      </c>
      <c r="G310" s="48" t="n">
        <v>0</v>
      </c>
      <c r="H310" s="49" t="n">
        <v>0</v>
      </c>
      <c r="I310" s="49" t="n">
        <v>0</v>
      </c>
      <c r="J310" s="50" t="n">
        <v>0</v>
      </c>
      <c r="K310" s="51" t="n">
        <v>0</v>
      </c>
      <c r="L310" s="52" t="n">
        <v>0</v>
      </c>
      <c r="M310" s="52" t="n">
        <v>0</v>
      </c>
      <c r="N310" s="52" t="n">
        <v>0</v>
      </c>
      <c r="O310" s="53" t="n">
        <v>0</v>
      </c>
      <c r="P310" s="52" t="n">
        <v>0</v>
      </c>
      <c r="Q310" s="53" t="n">
        <v>0</v>
      </c>
      <c r="R310" s="52" t="n">
        <v>0</v>
      </c>
      <c r="S310" s="51" t="n">
        <v>0</v>
      </c>
      <c r="T310" s="48" t="n">
        <v>0</v>
      </c>
      <c r="U310" s="49" t="n">
        <v>0</v>
      </c>
      <c r="V310" s="49" t="n">
        <v>0</v>
      </c>
      <c r="W310" s="50" t="n">
        <v>0</v>
      </c>
      <c r="X310" s="51" t="n">
        <v>0</v>
      </c>
      <c r="Y310" s="52" t="n">
        <v>0</v>
      </c>
      <c r="Z310" s="52" t="n">
        <v>0</v>
      </c>
      <c r="AA310" s="52" t="n">
        <v>0</v>
      </c>
      <c r="AB310" s="53" t="n">
        <v>0</v>
      </c>
      <c r="AC310" s="52" t="n">
        <v>0</v>
      </c>
      <c r="AD310" s="53" t="n">
        <v>0</v>
      </c>
      <c r="AE310" s="52" t="n">
        <v>0</v>
      </c>
      <c r="AF310" s="51" t="n">
        <v>0</v>
      </c>
      <c r="AG310" s="48" t="n">
        <v>0</v>
      </c>
      <c r="AH310" s="49" t="n">
        <v>0</v>
      </c>
      <c r="AI310" s="49" t="n">
        <v>0</v>
      </c>
      <c r="AJ310" s="50" t="n">
        <v>0</v>
      </c>
      <c r="AK310" s="51" t="n">
        <v>0</v>
      </c>
      <c r="AL310" s="52" t="n">
        <v>0</v>
      </c>
      <c r="AM310" s="52" t="n">
        <v>0</v>
      </c>
      <c r="AN310" s="52" t="n">
        <v>0</v>
      </c>
      <c r="AO310" s="53" t="n">
        <v>0</v>
      </c>
      <c r="AP310" s="52" t="n">
        <v>0</v>
      </c>
      <c r="AQ310" s="53" t="n">
        <v>0</v>
      </c>
      <c r="AR310" s="52" t="n">
        <v>0</v>
      </c>
      <c r="AS310" s="51" t="n">
        <v>0</v>
      </c>
      <c r="AT310" s="48" t="n">
        <v>0</v>
      </c>
      <c r="AU310" s="49" t="n">
        <v>0</v>
      </c>
      <c r="AV310" s="49" t="n">
        <v>0</v>
      </c>
      <c r="AW310" s="50" t="n">
        <v>0</v>
      </c>
      <c r="AX310" s="51" t="n">
        <v>0</v>
      </c>
      <c r="AY310" s="52" t="n">
        <v>0</v>
      </c>
      <c r="AZ310" s="52" t="n">
        <v>0</v>
      </c>
      <c r="BA310" s="52" t="n">
        <v>0</v>
      </c>
      <c r="BB310" s="53" t="n">
        <v>0</v>
      </c>
      <c r="BC310" s="52" t="n">
        <v>0</v>
      </c>
      <c r="BD310" s="53" t="n">
        <v>0</v>
      </c>
      <c r="BE310" s="52" t="n">
        <v>0</v>
      </c>
      <c r="BF310" s="51" t="n">
        <v>0</v>
      </c>
    </row>
    <row r="311">
      <c r="A311">
        <f>HYPERLINK("https://www.walmart.com/ip/579226676", "579226676")</f>
        <v/>
      </c>
      <c r="B311" t="inlineStr">
        <is>
          <t>Women's Sun Hat with Wide Brim Neck Flap, Fishing Safari Hat for Outdoor Hiking Camping Gardening Lawn Field Work</t>
        </is>
      </c>
      <c r="C311" t="inlineStr">
        <is>
          <t>1TRSH910GY-TBCB01</t>
        </is>
      </c>
      <c r="D311" t="inlineStr">
        <is>
          <t>Hats</t>
        </is>
      </c>
      <c r="E311" t="inlineStr">
        <is>
          <t>Tirrinia</t>
        </is>
      </c>
      <c r="F311" t="inlineStr">
        <is>
          <t>Q2-Target,Batch 1 - TR</t>
        </is>
      </c>
      <c r="G311" s="48" t="n">
        <v>0</v>
      </c>
      <c r="H311" s="49" t="n">
        <v>0</v>
      </c>
      <c r="I311" s="49" t="n">
        <v>0</v>
      </c>
      <c r="J311" s="50" t="n">
        <v>0</v>
      </c>
      <c r="K311" s="51" t="n">
        <v>0</v>
      </c>
      <c r="L311" s="52" t="n">
        <v>0</v>
      </c>
      <c r="M311" s="52" t="n">
        <v>0</v>
      </c>
      <c r="N311" s="52" t="n">
        <v>0</v>
      </c>
      <c r="O311" s="53" t="n">
        <v>0</v>
      </c>
      <c r="P311" s="52" t="n">
        <v>0</v>
      </c>
      <c r="Q311" s="53" t="n">
        <v>0</v>
      </c>
      <c r="R311" s="52" t="n">
        <v>0</v>
      </c>
      <c r="S311" s="51" t="n">
        <v>0</v>
      </c>
      <c r="T311" s="48" t="n">
        <v>0</v>
      </c>
      <c r="U311" s="49" t="n">
        <v>0</v>
      </c>
      <c r="V311" s="49" t="n">
        <v>0</v>
      </c>
      <c r="W311" s="50" t="n">
        <v>0</v>
      </c>
      <c r="X311" s="51" t="n">
        <v>0</v>
      </c>
      <c r="Y311" s="52" t="n">
        <v>0</v>
      </c>
      <c r="Z311" s="52" t="n">
        <v>0</v>
      </c>
      <c r="AA311" s="52" t="n">
        <v>0</v>
      </c>
      <c r="AB311" s="53" t="n">
        <v>0</v>
      </c>
      <c r="AC311" s="52" t="n">
        <v>0</v>
      </c>
      <c r="AD311" s="53" t="n">
        <v>0</v>
      </c>
      <c r="AE311" s="52" t="n">
        <v>0</v>
      </c>
      <c r="AF311" s="51" t="n">
        <v>0</v>
      </c>
      <c r="AG311" s="48" t="n">
        <v>0</v>
      </c>
      <c r="AH311" s="49" t="n">
        <v>0</v>
      </c>
      <c r="AI311" s="49" t="n">
        <v>0</v>
      </c>
      <c r="AJ311" s="50" t="n">
        <v>0</v>
      </c>
      <c r="AK311" s="51" t="n">
        <v>0</v>
      </c>
      <c r="AL311" s="52" t="n">
        <v>0</v>
      </c>
      <c r="AM311" s="52" t="n">
        <v>0</v>
      </c>
      <c r="AN311" s="52" t="n">
        <v>0</v>
      </c>
      <c r="AO311" s="53" t="n">
        <v>0</v>
      </c>
      <c r="AP311" s="52" t="n">
        <v>0</v>
      </c>
      <c r="AQ311" s="53" t="n">
        <v>0</v>
      </c>
      <c r="AR311" s="52" t="n">
        <v>0</v>
      </c>
      <c r="AS311" s="51" t="n">
        <v>0</v>
      </c>
      <c r="AT311" s="48" t="n">
        <v>0</v>
      </c>
      <c r="AU311" s="49" t="n">
        <v>0</v>
      </c>
      <c r="AV311" s="49" t="n">
        <v>0</v>
      </c>
      <c r="AW311" s="50" t="n">
        <v>0</v>
      </c>
      <c r="AX311" s="51" t="n">
        <v>0</v>
      </c>
      <c r="AY311" s="52" t="n">
        <v>0</v>
      </c>
      <c r="AZ311" s="52" t="n">
        <v>0</v>
      </c>
      <c r="BA311" s="52" t="n">
        <v>0</v>
      </c>
      <c r="BB311" s="53" t="n">
        <v>0</v>
      </c>
      <c r="BC311" s="52" t="n">
        <v>0</v>
      </c>
      <c r="BD311" s="53" t="n">
        <v>0</v>
      </c>
      <c r="BE311" s="52" t="n">
        <v>0</v>
      </c>
      <c r="BF311" s="51" t="n">
        <v>0</v>
      </c>
    </row>
    <row r="312">
      <c r="A312">
        <f>HYPERLINK("https://www.walmart.com/ip/585543013", "585543013")</f>
        <v/>
      </c>
      <c r="B312" t="inlineStr">
        <is>
          <t>Silky Straight Synthetic Black Wig with Bangs for Women,Heat Resistant Natural Looking Long Hair Full Head Wig for Ameri</t>
        </is>
      </c>
      <c r="C312" t="inlineStr">
        <is>
          <t>1CTWIG491-1B-ESCB</t>
        </is>
      </c>
      <c r="D312" t="inlineStr">
        <is>
          <t>Wigs &amp; Toupees</t>
        </is>
      </c>
      <c r="E312" t="inlineStr">
        <is>
          <t>Catalonia</t>
        </is>
      </c>
      <c r="F312" t="inlineStr">
        <is>
          <t>Batch 1 - TR</t>
        </is>
      </c>
      <c r="G312" s="48" t="n">
        <v>0</v>
      </c>
      <c r="H312" s="49" t="n">
        <v>0</v>
      </c>
      <c r="I312" s="49" t="n">
        <v>0</v>
      </c>
      <c r="J312" s="50" t="n">
        <v>0</v>
      </c>
      <c r="K312" s="51" t="n">
        <v>0</v>
      </c>
      <c r="L312" s="52" t="n">
        <v>0</v>
      </c>
      <c r="M312" s="52" t="n">
        <v>0</v>
      </c>
      <c r="N312" s="52" t="n">
        <v>0</v>
      </c>
      <c r="O312" s="53" t="n">
        <v>0</v>
      </c>
      <c r="P312" s="52" t="n">
        <v>0</v>
      </c>
      <c r="Q312" s="53" t="n">
        <v>0</v>
      </c>
      <c r="R312" s="52" t="n">
        <v>0</v>
      </c>
      <c r="S312" s="51" t="n">
        <v>0</v>
      </c>
      <c r="T312" s="48" t="n">
        <v>0</v>
      </c>
      <c r="U312" s="49" t="n">
        <v>0</v>
      </c>
      <c r="V312" s="49" t="n">
        <v>0</v>
      </c>
      <c r="W312" s="50" t="n">
        <v>0</v>
      </c>
      <c r="X312" s="51" t="n">
        <v>0</v>
      </c>
      <c r="Y312" s="52" t="n">
        <v>0</v>
      </c>
      <c r="Z312" s="52" t="n">
        <v>0</v>
      </c>
      <c r="AA312" s="52" t="n">
        <v>0</v>
      </c>
      <c r="AB312" s="53" t="n">
        <v>0</v>
      </c>
      <c r="AC312" s="52" t="n">
        <v>0</v>
      </c>
      <c r="AD312" s="53" t="n">
        <v>0</v>
      </c>
      <c r="AE312" s="52" t="n">
        <v>0</v>
      </c>
      <c r="AF312" s="51" t="n">
        <v>0</v>
      </c>
      <c r="AG312" s="48" t="n">
        <v>0</v>
      </c>
      <c r="AH312" s="49" t="n">
        <v>0</v>
      </c>
      <c r="AI312" s="49" t="n">
        <v>0</v>
      </c>
      <c r="AJ312" s="50" t="n">
        <v>0</v>
      </c>
      <c r="AK312" s="51" t="n">
        <v>0</v>
      </c>
      <c r="AL312" s="52" t="n">
        <v>0</v>
      </c>
      <c r="AM312" s="52" t="n">
        <v>0</v>
      </c>
      <c r="AN312" s="52" t="n">
        <v>0</v>
      </c>
      <c r="AO312" s="53" t="n">
        <v>0</v>
      </c>
      <c r="AP312" s="52" t="n">
        <v>0</v>
      </c>
      <c r="AQ312" s="53" t="n">
        <v>0</v>
      </c>
      <c r="AR312" s="52" t="n">
        <v>0</v>
      </c>
      <c r="AS312" s="51" t="n">
        <v>0</v>
      </c>
      <c r="AT312" s="48" t="n">
        <v>0</v>
      </c>
      <c r="AU312" s="49" t="n">
        <v>0</v>
      </c>
      <c r="AV312" s="49" t="n">
        <v>0</v>
      </c>
      <c r="AW312" s="50" t="n">
        <v>0</v>
      </c>
      <c r="AX312" s="51" t="n">
        <v>0</v>
      </c>
      <c r="AY312" s="52" t="n">
        <v>0</v>
      </c>
      <c r="AZ312" s="52" t="n">
        <v>0</v>
      </c>
      <c r="BA312" s="52" t="n">
        <v>0</v>
      </c>
      <c r="BB312" s="53" t="n">
        <v>0</v>
      </c>
      <c r="BC312" s="52" t="n">
        <v>0</v>
      </c>
      <c r="BD312" s="53" t="n">
        <v>0</v>
      </c>
      <c r="BE312" s="52" t="n">
        <v>0</v>
      </c>
      <c r="BF312" s="51" t="n">
        <v>0</v>
      </c>
    </row>
    <row r="313">
      <c r="A313">
        <f>HYPERLINK("https://www.walmart.com/ip/603539915", "603539915")</f>
        <v/>
      </c>
      <c r="B313" t="inlineStr">
        <is>
          <t>Catalonia Mermaid Tail Fleece Blanket, Soft Flannel All Seasons Bed Blanket for Kids, Adults, Shiny Rainbow Ombre, Fish Scale Design Snuggle Blanket, Ideal Gift for Holidays, 61" x 20"</t>
        </is>
      </c>
      <c r="C313" t="inlineStr">
        <is>
          <t>1CTMM501PK</t>
        </is>
      </c>
      <c r="D313" t="inlineStr">
        <is>
          <t>Throws</t>
        </is>
      </c>
      <c r="E313" t="inlineStr">
        <is>
          <t>Catalonia</t>
        </is>
      </c>
      <c r="F313" t="inlineStr">
        <is>
          <t>Q2-Target,Baby days,WFS,WFS Item</t>
        </is>
      </c>
      <c r="G313" s="48" t="n">
        <v>0</v>
      </c>
      <c r="H313" s="49" t="n">
        <v>0</v>
      </c>
      <c r="I313" s="49" t="n">
        <v>0</v>
      </c>
      <c r="J313" s="50" t="n">
        <v>0</v>
      </c>
      <c r="K313" s="51" t="n">
        <v>0</v>
      </c>
      <c r="L313" s="52" t="n">
        <v>0</v>
      </c>
      <c r="M313" s="52" t="n">
        <v>0</v>
      </c>
      <c r="N313" s="52" t="n">
        <v>0</v>
      </c>
      <c r="O313" s="53" t="n">
        <v>0</v>
      </c>
      <c r="P313" s="52" t="n">
        <v>0</v>
      </c>
      <c r="Q313" s="53" t="n">
        <v>0</v>
      </c>
      <c r="R313" s="52" t="n">
        <v>0</v>
      </c>
      <c r="S313" s="51" t="n">
        <v>0</v>
      </c>
      <c r="T313" s="48" t="n">
        <v>20.99</v>
      </c>
      <c r="U313" s="49" t="n">
        <v>1</v>
      </c>
      <c r="V313" s="49" t="n">
        <v>0</v>
      </c>
      <c r="W313" s="50" t="n">
        <v>0</v>
      </c>
      <c r="X313" s="51" t="n">
        <v>0</v>
      </c>
      <c r="Y313" s="52" t="n">
        <v>0</v>
      </c>
      <c r="Z313" s="52" t="n">
        <v>0</v>
      </c>
      <c r="AA313" s="52" t="n">
        <v>0</v>
      </c>
      <c r="AB313" s="53" t="n">
        <v>0</v>
      </c>
      <c r="AC313" s="52" t="n">
        <v>0</v>
      </c>
      <c r="AD313" s="53" t="n">
        <v>0</v>
      </c>
      <c r="AE313" s="52" t="n">
        <v>20.99</v>
      </c>
      <c r="AF313" s="51" t="n">
        <v>0</v>
      </c>
      <c r="AG313" s="48" t="n">
        <v>0</v>
      </c>
      <c r="AH313" s="49" t="n">
        <v>0</v>
      </c>
      <c r="AI313" s="49" t="n">
        <v>0</v>
      </c>
      <c r="AJ313" s="50" t="n">
        <v>0</v>
      </c>
      <c r="AK313" s="51" t="n">
        <v>0</v>
      </c>
      <c r="AL313" s="52" t="n">
        <v>0</v>
      </c>
      <c r="AM313" s="52" t="n">
        <v>0</v>
      </c>
      <c r="AN313" s="52" t="n">
        <v>0</v>
      </c>
      <c r="AO313" s="53" t="n">
        <v>0</v>
      </c>
      <c r="AP313" s="52" t="n">
        <v>0</v>
      </c>
      <c r="AQ313" s="53" t="n">
        <v>0</v>
      </c>
      <c r="AR313" s="52" t="n">
        <v>0</v>
      </c>
      <c r="AS313" s="51" t="n">
        <v>0</v>
      </c>
      <c r="AT313" s="48" t="n">
        <v>0</v>
      </c>
      <c r="AU313" s="49" t="n">
        <v>0</v>
      </c>
      <c r="AV313" s="49" t="n">
        <v>0</v>
      </c>
      <c r="AW313" s="50" t="n">
        <v>0</v>
      </c>
      <c r="AX313" s="51" t="n">
        <v>0</v>
      </c>
      <c r="AY313" s="52" t="n">
        <v>0</v>
      </c>
      <c r="AZ313" s="52" t="n">
        <v>0</v>
      </c>
      <c r="BA313" s="52" t="n">
        <v>0</v>
      </c>
      <c r="BB313" s="53" t="n">
        <v>0</v>
      </c>
      <c r="BC313" s="52" t="n">
        <v>0</v>
      </c>
      <c r="BD313" s="53" t="n">
        <v>0</v>
      </c>
      <c r="BE313" s="52" t="n">
        <v>0</v>
      </c>
      <c r="BF313" s="51" t="n">
        <v>0</v>
      </c>
    </row>
    <row r="314">
      <c r="A314">
        <f>HYPERLINK("https://www.walmart.com/ip/609276653", "609276653")</f>
        <v/>
      </c>
      <c r="B314" t="inlineStr">
        <is>
          <t>Terra Men Boxer Brief Underwear Best 3 Pack Most Comfortable Cotton Trunk Short</t>
        </is>
      </c>
      <c r="C314" t="inlineStr">
        <is>
          <t>TERRA-BOXER10-L</t>
        </is>
      </c>
      <c r="D314" t="inlineStr">
        <is>
          <t>Underpants</t>
        </is>
      </c>
      <c r="E314" t="inlineStr">
        <is>
          <t>Terra</t>
        </is>
      </c>
      <c r="F314" t="inlineStr">
        <is>
          <t>Batch 1 - TR</t>
        </is>
      </c>
      <c r="G314" s="48" t="n">
        <v>0</v>
      </c>
      <c r="H314" s="49" t="n">
        <v>0</v>
      </c>
      <c r="I314" s="49" t="n">
        <v>0</v>
      </c>
      <c r="J314" s="50" t="n">
        <v>0</v>
      </c>
      <c r="K314" s="51" t="n">
        <v>0</v>
      </c>
      <c r="L314" s="52" t="n">
        <v>0</v>
      </c>
      <c r="M314" s="52" t="n">
        <v>0</v>
      </c>
      <c r="N314" s="52" t="n">
        <v>0</v>
      </c>
      <c r="O314" s="53" t="n">
        <v>0</v>
      </c>
      <c r="P314" s="52" t="n">
        <v>0</v>
      </c>
      <c r="Q314" s="53" t="n">
        <v>0</v>
      </c>
      <c r="R314" s="52" t="n">
        <v>0</v>
      </c>
      <c r="S314" s="51" t="n">
        <v>0</v>
      </c>
      <c r="T314" s="48" t="n">
        <v>0</v>
      </c>
      <c r="U314" s="49" t="n">
        <v>0</v>
      </c>
      <c r="V314" s="49" t="n">
        <v>0</v>
      </c>
      <c r="W314" s="50" t="n">
        <v>0</v>
      </c>
      <c r="X314" s="51" t="n">
        <v>0</v>
      </c>
      <c r="Y314" s="52" t="n">
        <v>0</v>
      </c>
      <c r="Z314" s="52" t="n">
        <v>0</v>
      </c>
      <c r="AA314" s="52" t="n">
        <v>0</v>
      </c>
      <c r="AB314" s="53" t="n">
        <v>0</v>
      </c>
      <c r="AC314" s="52" t="n">
        <v>0</v>
      </c>
      <c r="AD314" s="53" t="n">
        <v>0</v>
      </c>
      <c r="AE314" s="52" t="n">
        <v>0</v>
      </c>
      <c r="AF314" s="51" t="n">
        <v>0</v>
      </c>
      <c r="AG314" s="48" t="n">
        <v>0</v>
      </c>
      <c r="AH314" s="49" t="n">
        <v>0</v>
      </c>
      <c r="AI314" s="49" t="n">
        <v>0</v>
      </c>
      <c r="AJ314" s="50" t="n">
        <v>0</v>
      </c>
      <c r="AK314" s="51" t="n">
        <v>0</v>
      </c>
      <c r="AL314" s="52" t="n">
        <v>0</v>
      </c>
      <c r="AM314" s="52" t="n">
        <v>0</v>
      </c>
      <c r="AN314" s="52" t="n">
        <v>0</v>
      </c>
      <c r="AO314" s="53" t="n">
        <v>0</v>
      </c>
      <c r="AP314" s="52" t="n">
        <v>0</v>
      </c>
      <c r="AQ314" s="53" t="n">
        <v>0</v>
      </c>
      <c r="AR314" s="52" t="n">
        <v>0</v>
      </c>
      <c r="AS314" s="51" t="n">
        <v>0</v>
      </c>
      <c r="AT314" s="48" t="n">
        <v>0</v>
      </c>
      <c r="AU314" s="49" t="n">
        <v>0</v>
      </c>
      <c r="AV314" s="49" t="n">
        <v>0</v>
      </c>
      <c r="AW314" s="50" t="n">
        <v>0</v>
      </c>
      <c r="AX314" s="51" t="n">
        <v>0</v>
      </c>
      <c r="AY314" s="52" t="n">
        <v>0</v>
      </c>
      <c r="AZ314" s="52" t="n">
        <v>0</v>
      </c>
      <c r="BA314" s="52" t="n">
        <v>0</v>
      </c>
      <c r="BB314" s="53" t="n">
        <v>0</v>
      </c>
      <c r="BC314" s="52" t="n">
        <v>0</v>
      </c>
      <c r="BD314" s="53" t="n">
        <v>0</v>
      </c>
      <c r="BE314" s="52" t="n">
        <v>0</v>
      </c>
      <c r="BF314" s="51" t="n">
        <v>0</v>
      </c>
    </row>
    <row r="315">
      <c r="A315">
        <f>HYPERLINK("https://www.walmart.com/ip/600633477", "600633477")</f>
        <v/>
      </c>
      <c r="B315" t="inlineStr">
        <is>
          <t>Fleece Blanket Wearable with Sleeves &amp; Foot pockets for Men and Women, Micro Plush Wrap Sleeved Throw Blanket Robe Multi-Colors 75”x53” by Catalonia</t>
        </is>
      </c>
      <c r="C315" t="inlineStr">
        <is>
          <t>1CTSN101GN</t>
        </is>
      </c>
      <c r="D315" t="inlineStr">
        <is>
          <t>Throws</t>
        </is>
      </c>
      <c r="E315" t="inlineStr">
        <is>
          <t>Catalonia</t>
        </is>
      </c>
      <c r="F315" t="inlineStr">
        <is>
          <t>WFS,Coupon_Discount,WFS Item,Fleece Blankets</t>
        </is>
      </c>
      <c r="G315" s="48" t="n">
        <v>0</v>
      </c>
      <c r="H315" s="49" t="n">
        <v>0</v>
      </c>
      <c r="I315" s="49" t="n">
        <v>0</v>
      </c>
      <c r="J315" s="50" t="n">
        <v>0</v>
      </c>
      <c r="K315" s="51" t="n">
        <v>0</v>
      </c>
      <c r="L315" s="52" t="n">
        <v>0</v>
      </c>
      <c r="M315" s="52" t="n">
        <v>0</v>
      </c>
      <c r="N315" s="52" t="n">
        <v>0</v>
      </c>
      <c r="O315" s="53" t="n">
        <v>0</v>
      </c>
      <c r="P315" s="52" t="n">
        <v>0</v>
      </c>
      <c r="Q315" s="53" t="n">
        <v>0</v>
      </c>
      <c r="R315" s="52" t="n">
        <v>0</v>
      </c>
      <c r="S315" s="51" t="n">
        <v>0</v>
      </c>
      <c r="T315" s="48" t="n">
        <v>0</v>
      </c>
      <c r="U315" s="49" t="n">
        <v>0</v>
      </c>
      <c r="V315" s="49" t="n">
        <v>0</v>
      </c>
      <c r="W315" s="50" t="n">
        <v>0</v>
      </c>
      <c r="X315" s="51" t="n">
        <v>0</v>
      </c>
      <c r="Y315" s="52" t="n">
        <v>0</v>
      </c>
      <c r="Z315" s="52" t="n">
        <v>0</v>
      </c>
      <c r="AA315" s="52" t="n">
        <v>0</v>
      </c>
      <c r="AB315" s="53" t="n">
        <v>0</v>
      </c>
      <c r="AC315" s="52" t="n">
        <v>0</v>
      </c>
      <c r="AD315" s="53" t="n">
        <v>0</v>
      </c>
      <c r="AE315" s="52" t="n">
        <v>0</v>
      </c>
      <c r="AF315" s="51" t="n">
        <v>0</v>
      </c>
      <c r="AG315" s="48" t="n">
        <v>0</v>
      </c>
      <c r="AH315" s="49" t="n">
        <v>0</v>
      </c>
      <c r="AI315" s="49" t="n">
        <v>0</v>
      </c>
      <c r="AJ315" s="50" t="n">
        <v>0</v>
      </c>
      <c r="AK315" s="51" t="n">
        <v>0</v>
      </c>
      <c r="AL315" s="52" t="n">
        <v>0</v>
      </c>
      <c r="AM315" s="52" t="n">
        <v>0</v>
      </c>
      <c r="AN315" s="52" t="n">
        <v>0</v>
      </c>
      <c r="AO315" s="53" t="n">
        <v>0</v>
      </c>
      <c r="AP315" s="52" t="n">
        <v>0</v>
      </c>
      <c r="AQ315" s="53" t="n">
        <v>0</v>
      </c>
      <c r="AR315" s="52" t="n">
        <v>0</v>
      </c>
      <c r="AS315" s="51" t="n">
        <v>0</v>
      </c>
      <c r="AT315" s="48" t="n">
        <v>0</v>
      </c>
      <c r="AU315" s="49" t="n">
        <v>0</v>
      </c>
      <c r="AV315" s="49" t="n">
        <v>0</v>
      </c>
      <c r="AW315" s="50" t="n">
        <v>0</v>
      </c>
      <c r="AX315" s="51" t="n">
        <v>0</v>
      </c>
      <c r="AY315" s="52" t="n">
        <v>0</v>
      </c>
      <c r="AZ315" s="52" t="n">
        <v>0</v>
      </c>
      <c r="BA315" s="52" t="n">
        <v>0</v>
      </c>
      <c r="BB315" s="53" t="n">
        <v>0</v>
      </c>
      <c r="BC315" s="52" t="n">
        <v>0</v>
      </c>
      <c r="BD315" s="53" t="n">
        <v>0</v>
      </c>
      <c r="BE315" s="52" t="n">
        <v>0</v>
      </c>
      <c r="BF315" s="51" t="n">
        <v>0</v>
      </c>
    </row>
    <row r="316">
      <c r="A316">
        <f>HYPERLINK("https://www.walmart.com/ip/598197106", "598197106")</f>
        <v/>
      </c>
      <c r="B316" t="inlineStr">
        <is>
          <t>Terra Boxer Briefs Mens 3 Pack Underwear Elastic Waistband Solid New Classic Fit</t>
        </is>
      </c>
      <c r="C316" t="inlineStr">
        <is>
          <t>TERRA-BOXER6-M</t>
        </is>
      </c>
      <c r="D316" t="inlineStr">
        <is>
          <t>Underpants</t>
        </is>
      </c>
      <c r="E316" t="inlineStr">
        <is>
          <t>Terra</t>
        </is>
      </c>
      <c r="F316" t="inlineStr">
        <is>
          <t>Batch 1 - TR</t>
        </is>
      </c>
      <c r="G316" s="48" t="n">
        <v>0</v>
      </c>
      <c r="H316" s="49" t="n">
        <v>0</v>
      </c>
      <c r="I316" s="49" t="n">
        <v>0</v>
      </c>
      <c r="J316" s="50" t="n">
        <v>0</v>
      </c>
      <c r="K316" s="51" t="n">
        <v>0</v>
      </c>
      <c r="L316" s="52" t="n">
        <v>0</v>
      </c>
      <c r="M316" s="52" t="n">
        <v>0</v>
      </c>
      <c r="N316" s="52" t="n">
        <v>0</v>
      </c>
      <c r="O316" s="53" t="n">
        <v>0</v>
      </c>
      <c r="P316" s="52" t="n">
        <v>0</v>
      </c>
      <c r="Q316" s="53" t="n">
        <v>0</v>
      </c>
      <c r="R316" s="52" t="n">
        <v>0</v>
      </c>
      <c r="S316" s="51" t="n">
        <v>0</v>
      </c>
      <c r="T316" s="48" t="n">
        <v>0</v>
      </c>
      <c r="U316" s="49" t="n">
        <v>0</v>
      </c>
      <c r="V316" s="49" t="n">
        <v>0</v>
      </c>
      <c r="W316" s="50" t="n">
        <v>0</v>
      </c>
      <c r="X316" s="51" t="n">
        <v>0</v>
      </c>
      <c r="Y316" s="52" t="n">
        <v>0</v>
      </c>
      <c r="Z316" s="52" t="n">
        <v>0</v>
      </c>
      <c r="AA316" s="52" t="n">
        <v>0</v>
      </c>
      <c r="AB316" s="53" t="n">
        <v>0</v>
      </c>
      <c r="AC316" s="52" t="n">
        <v>0</v>
      </c>
      <c r="AD316" s="53" t="n">
        <v>0</v>
      </c>
      <c r="AE316" s="52" t="n">
        <v>0</v>
      </c>
      <c r="AF316" s="51" t="n">
        <v>0</v>
      </c>
      <c r="AG316" s="48" t="n">
        <v>0</v>
      </c>
      <c r="AH316" s="49" t="n">
        <v>0</v>
      </c>
      <c r="AI316" s="49" t="n">
        <v>0</v>
      </c>
      <c r="AJ316" s="50" t="n">
        <v>0</v>
      </c>
      <c r="AK316" s="51" t="n">
        <v>0</v>
      </c>
      <c r="AL316" s="52" t="n">
        <v>0</v>
      </c>
      <c r="AM316" s="52" t="n">
        <v>0</v>
      </c>
      <c r="AN316" s="52" t="n">
        <v>0</v>
      </c>
      <c r="AO316" s="53" t="n">
        <v>0</v>
      </c>
      <c r="AP316" s="52" t="n">
        <v>0</v>
      </c>
      <c r="AQ316" s="53" t="n">
        <v>0</v>
      </c>
      <c r="AR316" s="52" t="n">
        <v>0</v>
      </c>
      <c r="AS316" s="51" t="n">
        <v>0</v>
      </c>
      <c r="AT316" s="48" t="n">
        <v>0</v>
      </c>
      <c r="AU316" s="49" t="n">
        <v>0</v>
      </c>
      <c r="AV316" s="49" t="n">
        <v>0</v>
      </c>
      <c r="AW316" s="50" t="n">
        <v>0</v>
      </c>
      <c r="AX316" s="51" t="n">
        <v>0</v>
      </c>
      <c r="AY316" s="52" t="n">
        <v>0</v>
      </c>
      <c r="AZ316" s="52" t="n">
        <v>0</v>
      </c>
      <c r="BA316" s="52" t="n">
        <v>0</v>
      </c>
      <c r="BB316" s="53" t="n">
        <v>0</v>
      </c>
      <c r="BC316" s="52" t="n">
        <v>0</v>
      </c>
      <c r="BD316" s="53" t="n">
        <v>0</v>
      </c>
      <c r="BE316" s="52" t="n">
        <v>0</v>
      </c>
      <c r="BF316" s="51" t="n">
        <v>0</v>
      </c>
    </row>
    <row r="317">
      <c r="A317">
        <f>HYPERLINK("https://www.walmart.com/ip/595649723", "595649723")</f>
        <v/>
      </c>
      <c r="B317" t="inlineStr">
        <is>
          <t>Two Pieces Double up Tankini Swimsuit for Women Bathing Suits Set by Tirrinia</t>
        </is>
      </c>
      <c r="C317" t="inlineStr">
        <is>
          <t>1TRSS002WH-M</t>
        </is>
      </c>
      <c r="D317" t="inlineStr">
        <is>
          <t>Swimsuit Sets</t>
        </is>
      </c>
      <c r="E317" t="inlineStr">
        <is>
          <t>Tirrinia</t>
        </is>
      </c>
      <c r="F317" t="inlineStr">
        <is>
          <t>Batch 1 - TR</t>
        </is>
      </c>
      <c r="G317" s="48" t="n">
        <v>0</v>
      </c>
      <c r="H317" s="49" t="n">
        <v>0</v>
      </c>
      <c r="I317" s="49" t="n">
        <v>0</v>
      </c>
      <c r="J317" s="50" t="n">
        <v>0</v>
      </c>
      <c r="K317" s="51" t="n">
        <v>0</v>
      </c>
      <c r="L317" s="52" t="n">
        <v>0</v>
      </c>
      <c r="M317" s="52" t="n">
        <v>0</v>
      </c>
      <c r="N317" s="52" t="n">
        <v>0</v>
      </c>
      <c r="O317" s="53" t="n">
        <v>0</v>
      </c>
      <c r="P317" s="52" t="n">
        <v>0</v>
      </c>
      <c r="Q317" s="53" t="n">
        <v>0</v>
      </c>
      <c r="R317" s="52" t="n">
        <v>0</v>
      </c>
      <c r="S317" s="51" t="n">
        <v>0</v>
      </c>
      <c r="T317" s="48" t="n">
        <v>0</v>
      </c>
      <c r="U317" s="49" t="n">
        <v>0</v>
      </c>
      <c r="V317" s="49" t="n">
        <v>0</v>
      </c>
      <c r="W317" s="50" t="n">
        <v>0</v>
      </c>
      <c r="X317" s="51" t="n">
        <v>0</v>
      </c>
      <c r="Y317" s="52" t="n">
        <v>0</v>
      </c>
      <c r="Z317" s="52" t="n">
        <v>0</v>
      </c>
      <c r="AA317" s="52" t="n">
        <v>0</v>
      </c>
      <c r="AB317" s="53" t="n">
        <v>0</v>
      </c>
      <c r="AC317" s="52" t="n">
        <v>0</v>
      </c>
      <c r="AD317" s="53" t="n">
        <v>0</v>
      </c>
      <c r="AE317" s="52" t="n">
        <v>0</v>
      </c>
      <c r="AF317" s="51" t="n">
        <v>0</v>
      </c>
      <c r="AG317" s="48" t="n">
        <v>0</v>
      </c>
      <c r="AH317" s="49" t="n">
        <v>0</v>
      </c>
      <c r="AI317" s="49" t="n">
        <v>0</v>
      </c>
      <c r="AJ317" s="50" t="n">
        <v>0</v>
      </c>
      <c r="AK317" s="51" t="n">
        <v>0</v>
      </c>
      <c r="AL317" s="52" t="n">
        <v>0</v>
      </c>
      <c r="AM317" s="52" t="n">
        <v>0</v>
      </c>
      <c r="AN317" s="52" t="n">
        <v>0</v>
      </c>
      <c r="AO317" s="53" t="n">
        <v>0</v>
      </c>
      <c r="AP317" s="52" t="n">
        <v>0</v>
      </c>
      <c r="AQ317" s="53" t="n">
        <v>0</v>
      </c>
      <c r="AR317" s="52" t="n">
        <v>0</v>
      </c>
      <c r="AS317" s="51" t="n">
        <v>0</v>
      </c>
      <c r="AT317" s="48" t="n">
        <v>0</v>
      </c>
      <c r="AU317" s="49" t="n">
        <v>0</v>
      </c>
      <c r="AV317" s="49" t="n">
        <v>0</v>
      </c>
      <c r="AW317" s="50" t="n">
        <v>0</v>
      </c>
      <c r="AX317" s="51" t="n">
        <v>0</v>
      </c>
      <c r="AY317" s="52" t="n">
        <v>0</v>
      </c>
      <c r="AZ317" s="52" t="n">
        <v>0</v>
      </c>
      <c r="BA317" s="52" t="n">
        <v>0</v>
      </c>
      <c r="BB317" s="53" t="n">
        <v>0</v>
      </c>
      <c r="BC317" s="52" t="n">
        <v>0</v>
      </c>
      <c r="BD317" s="53" t="n">
        <v>0</v>
      </c>
      <c r="BE317" s="52" t="n">
        <v>0</v>
      </c>
      <c r="BF317" s="51" t="n">
        <v>0</v>
      </c>
    </row>
    <row r="318">
      <c r="A318">
        <f>HYPERLINK("https://www.walmart.com/ip/595323966", "595323966")</f>
        <v/>
      </c>
      <c r="B318" t="inlineStr">
        <is>
          <t>Tirrinia Insulated Thermocooler Wine Carrier Bag, 3-Bottle Wine Tote Bag with Handle and Adjustable Shoulder Strap for Travel, Party and Christmas, Gray</t>
        </is>
      </c>
      <c r="C318" t="inlineStr">
        <is>
          <t>1KTWB300GY-SC</t>
        </is>
      </c>
      <c r="D318" t="inlineStr">
        <is>
          <t>Wine Totes, Bags &amp; Backpacks</t>
        </is>
      </c>
      <c r="E318" t="inlineStr">
        <is>
          <t>Tirrinia</t>
        </is>
      </c>
      <c r="F318" t="inlineStr">
        <is>
          <t>Wine,Christmas,Optimized,Valentine,Lily Brand Camp</t>
        </is>
      </c>
      <c r="G318" s="48" t="n">
        <v>0</v>
      </c>
      <c r="H318" s="49" t="n">
        <v>0</v>
      </c>
      <c r="I318" s="49" t="n">
        <v>0</v>
      </c>
      <c r="J318" s="50" t="n">
        <v>0</v>
      </c>
      <c r="K318" s="51" t="n">
        <v>0</v>
      </c>
      <c r="L318" s="52" t="n">
        <v>0</v>
      </c>
      <c r="M318" s="52" t="n">
        <v>0</v>
      </c>
      <c r="N318" s="52" t="n">
        <v>0</v>
      </c>
      <c r="O318" s="53" t="n">
        <v>0</v>
      </c>
      <c r="P318" s="52" t="n">
        <v>0</v>
      </c>
      <c r="Q318" s="53" t="n">
        <v>0</v>
      </c>
      <c r="R318" s="52" t="n">
        <v>0</v>
      </c>
      <c r="S318" s="51" t="n">
        <v>0</v>
      </c>
      <c r="T318" s="48" t="n">
        <v>0</v>
      </c>
      <c r="U318" s="49" t="n">
        <v>0</v>
      </c>
      <c r="V318" s="49" t="n">
        <v>0</v>
      </c>
      <c r="W318" s="50" t="n">
        <v>0</v>
      </c>
      <c r="X318" s="51" t="n">
        <v>0</v>
      </c>
      <c r="Y318" s="52" t="n">
        <v>0</v>
      </c>
      <c r="Z318" s="52" t="n">
        <v>0</v>
      </c>
      <c r="AA318" s="52" t="n">
        <v>0</v>
      </c>
      <c r="AB318" s="53" t="n">
        <v>0</v>
      </c>
      <c r="AC318" s="52" t="n">
        <v>0</v>
      </c>
      <c r="AD318" s="53" t="n">
        <v>0</v>
      </c>
      <c r="AE318" s="52" t="n">
        <v>0</v>
      </c>
      <c r="AF318" s="51" t="n">
        <v>0</v>
      </c>
      <c r="AG318" s="48" t="n">
        <v>0</v>
      </c>
      <c r="AH318" s="49" t="n">
        <v>0</v>
      </c>
      <c r="AI318" s="49" t="n">
        <v>0</v>
      </c>
      <c r="AJ318" s="50" t="n">
        <v>0</v>
      </c>
      <c r="AK318" s="51" t="n">
        <v>0</v>
      </c>
      <c r="AL318" s="52" t="n">
        <v>0</v>
      </c>
      <c r="AM318" s="52" t="n">
        <v>0</v>
      </c>
      <c r="AN318" s="52" t="n">
        <v>0</v>
      </c>
      <c r="AO318" s="53" t="n">
        <v>0</v>
      </c>
      <c r="AP318" s="52" t="n">
        <v>0</v>
      </c>
      <c r="AQ318" s="53" t="n">
        <v>0</v>
      </c>
      <c r="AR318" s="52" t="n">
        <v>0</v>
      </c>
      <c r="AS318" s="51" t="n">
        <v>0</v>
      </c>
      <c r="AT318" s="48" t="n">
        <v>0</v>
      </c>
      <c r="AU318" s="49" t="n">
        <v>0</v>
      </c>
      <c r="AV318" s="49" t="n">
        <v>0</v>
      </c>
      <c r="AW318" s="50" t="n">
        <v>0</v>
      </c>
      <c r="AX318" s="51" t="n">
        <v>0</v>
      </c>
      <c r="AY318" s="52" t="n">
        <v>0</v>
      </c>
      <c r="AZ318" s="52" t="n">
        <v>0</v>
      </c>
      <c r="BA318" s="52" t="n">
        <v>0</v>
      </c>
      <c r="BB318" s="53" t="n">
        <v>0</v>
      </c>
      <c r="BC318" s="52" t="n">
        <v>0</v>
      </c>
      <c r="BD318" s="53" t="n">
        <v>0</v>
      </c>
      <c r="BE318" s="52" t="n">
        <v>0</v>
      </c>
      <c r="BF318" s="51" t="n">
        <v>0</v>
      </c>
    </row>
    <row r="319">
      <c r="A319">
        <f>HYPERLINK("https://www.walmart.com/ip/5982782258", "5982782258")</f>
        <v/>
      </c>
      <c r="B319" t="inlineStr">
        <is>
          <t>Wrangler Men’s Full Grain Genuine Leather 35mm Thick Casual Belt for Jeans, Pants - Brown, 42</t>
        </is>
      </c>
      <c r="C319" t="inlineStr">
        <is>
          <t>WR-BELT-MENS-35MM-BROWN-42</t>
        </is>
      </c>
      <c r="D319" t="inlineStr">
        <is>
          <t>Belts</t>
        </is>
      </c>
      <c r="E319" t="inlineStr">
        <is>
          <t>Wrangler</t>
        </is>
      </c>
      <c r="G319" s="48" t="n">
        <v>0</v>
      </c>
      <c r="H319" s="49" t="n">
        <v>0</v>
      </c>
      <c r="I319" s="49" t="n">
        <v>0</v>
      </c>
      <c r="J319" s="50" t="n">
        <v>0</v>
      </c>
      <c r="K319" s="51" t="n">
        <v>0</v>
      </c>
      <c r="L319" s="52" t="n">
        <v>0</v>
      </c>
      <c r="M319" s="52" t="n">
        <v>0</v>
      </c>
      <c r="N319" s="52" t="n">
        <v>0</v>
      </c>
      <c r="O319" s="53" t="n">
        <v>0</v>
      </c>
      <c r="P319" s="52" t="n">
        <v>0</v>
      </c>
      <c r="Q319" s="53" t="n">
        <v>0</v>
      </c>
      <c r="R319" s="52" t="n">
        <v>0</v>
      </c>
      <c r="S319" s="51" t="n">
        <v>0</v>
      </c>
      <c r="T319" s="48" t="n">
        <v>0</v>
      </c>
      <c r="U319" s="49" t="n">
        <v>0</v>
      </c>
      <c r="V319" s="49" t="n">
        <v>0</v>
      </c>
      <c r="W319" s="50" t="n">
        <v>0</v>
      </c>
      <c r="X319" s="51" t="n">
        <v>0</v>
      </c>
      <c r="Y319" s="52" t="n">
        <v>0</v>
      </c>
      <c r="Z319" s="52" t="n">
        <v>0</v>
      </c>
      <c r="AA319" s="52" t="n">
        <v>0</v>
      </c>
      <c r="AB319" s="53" t="n">
        <v>0</v>
      </c>
      <c r="AC319" s="52" t="n">
        <v>0</v>
      </c>
      <c r="AD319" s="53" t="n">
        <v>0</v>
      </c>
      <c r="AE319" s="52" t="n">
        <v>0</v>
      </c>
      <c r="AF319" s="51" t="n">
        <v>0</v>
      </c>
      <c r="AG319" s="48" t="n">
        <v>19.99</v>
      </c>
      <c r="AH319" s="49" t="n">
        <v>1</v>
      </c>
      <c r="AI319" s="49" t="n">
        <v>0</v>
      </c>
      <c r="AJ319" s="50" t="n">
        <v>0</v>
      </c>
      <c r="AK319" s="51" t="n">
        <v>0</v>
      </c>
      <c r="AL319" s="52" t="n">
        <v>0</v>
      </c>
      <c r="AM319" s="52" t="n">
        <v>0</v>
      </c>
      <c r="AN319" s="52" t="n">
        <v>0</v>
      </c>
      <c r="AO319" s="53" t="n">
        <v>0</v>
      </c>
      <c r="AP319" s="52" t="n">
        <v>0</v>
      </c>
      <c r="AQ319" s="53" t="n">
        <v>0</v>
      </c>
      <c r="AR319" s="52" t="n">
        <v>19.99</v>
      </c>
      <c r="AS319" s="51" t="n">
        <v>0</v>
      </c>
      <c r="AT319" s="48" t="n">
        <v>0</v>
      </c>
      <c r="AU319" s="49" t="n">
        <v>0</v>
      </c>
      <c r="AV319" s="49" t="n">
        <v>0</v>
      </c>
      <c r="AW319" s="50" t="n">
        <v>0</v>
      </c>
      <c r="AX319" s="51" t="n">
        <v>0</v>
      </c>
      <c r="AY319" s="52" t="n">
        <v>0</v>
      </c>
      <c r="AZ319" s="52" t="n">
        <v>0</v>
      </c>
      <c r="BA319" s="52" t="n">
        <v>0</v>
      </c>
      <c r="BB319" s="53" t="n">
        <v>0</v>
      </c>
      <c r="BC319" s="52" t="n">
        <v>0</v>
      </c>
      <c r="BD319" s="53" t="n">
        <v>0</v>
      </c>
      <c r="BE319" s="52" t="n">
        <v>0</v>
      </c>
      <c r="BF319" s="51" t="n">
        <v>0</v>
      </c>
    </row>
    <row r="320">
      <c r="A320">
        <f>HYPERLINK("https://www.walmart.com/ip/595303714", "595303714")</f>
        <v/>
      </c>
      <c r="B320" t="inlineStr">
        <is>
          <t>Catalonia Sherpa Throw Blanket, Super Soft Fluffy Fuzzy Comfy Velvet Plush Fleece TV Blankets and Throws for Sofa, Couch, and Bed, Melange Grey, 50” x 60”</t>
        </is>
      </c>
      <c r="C320" t="inlineStr">
        <is>
          <t>1CTBF321LG</t>
        </is>
      </c>
      <c r="D320" t="inlineStr">
        <is>
          <t>Throws</t>
        </is>
      </c>
      <c r="E320" t="inlineStr">
        <is>
          <t>Catalonia</t>
        </is>
      </c>
      <c r="F320" t="inlineStr">
        <is>
          <t>Q2-Target,WFS,Coupon_Discount,WFS Item</t>
        </is>
      </c>
      <c r="G320" s="48" t="n">
        <v>0</v>
      </c>
      <c r="H320" s="49" t="n">
        <v>0</v>
      </c>
      <c r="I320" s="49" t="n">
        <v>0</v>
      </c>
      <c r="J320" s="50" t="n">
        <v>0</v>
      </c>
      <c r="K320" s="51" t="n">
        <v>0</v>
      </c>
      <c r="L320" s="52" t="n">
        <v>0</v>
      </c>
      <c r="M320" s="52" t="n">
        <v>0</v>
      </c>
      <c r="N320" s="52" t="n">
        <v>0</v>
      </c>
      <c r="O320" s="53" t="n">
        <v>0</v>
      </c>
      <c r="P320" s="52" t="n">
        <v>0</v>
      </c>
      <c r="Q320" s="53" t="n">
        <v>0</v>
      </c>
      <c r="R320" s="52" t="n">
        <v>0</v>
      </c>
      <c r="S320" s="51" t="n">
        <v>0</v>
      </c>
      <c r="T320" s="48" t="n">
        <v>0</v>
      </c>
      <c r="U320" s="49" t="n">
        <v>0</v>
      </c>
      <c r="V320" s="49" t="n">
        <v>0</v>
      </c>
      <c r="W320" s="50" t="n">
        <v>0</v>
      </c>
      <c r="X320" s="51" t="n">
        <v>0</v>
      </c>
      <c r="Y320" s="52" t="n">
        <v>0</v>
      </c>
      <c r="Z320" s="52" t="n">
        <v>0</v>
      </c>
      <c r="AA320" s="52" t="n">
        <v>0</v>
      </c>
      <c r="AB320" s="53" t="n">
        <v>0</v>
      </c>
      <c r="AC320" s="52" t="n">
        <v>0</v>
      </c>
      <c r="AD320" s="53" t="n">
        <v>0</v>
      </c>
      <c r="AE320" s="52" t="n">
        <v>0</v>
      </c>
      <c r="AF320" s="51" t="n">
        <v>0</v>
      </c>
      <c r="AG320" s="48" t="n">
        <v>0</v>
      </c>
      <c r="AH320" s="49" t="n">
        <v>0</v>
      </c>
      <c r="AI320" s="49" t="n">
        <v>0</v>
      </c>
      <c r="AJ320" s="50" t="n">
        <v>0</v>
      </c>
      <c r="AK320" s="51" t="n">
        <v>0</v>
      </c>
      <c r="AL320" s="52" t="n">
        <v>0</v>
      </c>
      <c r="AM320" s="52" t="n">
        <v>0</v>
      </c>
      <c r="AN320" s="52" t="n">
        <v>0</v>
      </c>
      <c r="AO320" s="53" t="n">
        <v>0</v>
      </c>
      <c r="AP320" s="52" t="n">
        <v>0</v>
      </c>
      <c r="AQ320" s="53" t="n">
        <v>0</v>
      </c>
      <c r="AR320" s="52" t="n">
        <v>0</v>
      </c>
      <c r="AS320" s="51" t="n">
        <v>0</v>
      </c>
      <c r="AT320" s="48" t="n">
        <v>0</v>
      </c>
      <c r="AU320" s="49" t="n">
        <v>0</v>
      </c>
      <c r="AV320" s="49" t="n">
        <v>0</v>
      </c>
      <c r="AW320" s="50" t="n">
        <v>0</v>
      </c>
      <c r="AX320" s="51" t="n">
        <v>0</v>
      </c>
      <c r="AY320" s="52" t="n">
        <v>0</v>
      </c>
      <c r="AZ320" s="52" t="n">
        <v>0</v>
      </c>
      <c r="BA320" s="52" t="n">
        <v>0</v>
      </c>
      <c r="BB320" s="53" t="n">
        <v>0</v>
      </c>
      <c r="BC320" s="52" t="n">
        <v>0</v>
      </c>
      <c r="BD320" s="53" t="n">
        <v>0</v>
      </c>
      <c r="BE320" s="52" t="n">
        <v>0</v>
      </c>
      <c r="BF320" s="51" t="n">
        <v>0</v>
      </c>
    </row>
    <row r="321">
      <c r="A321">
        <f>HYPERLINK("https://www.walmart.com/ip/599159682", "599159682")</f>
        <v/>
      </c>
      <c r="B321" t="inlineStr">
        <is>
          <t>Tirrinia Stemless Insulated Wine Tumbler with Lid, Single Stainless Steel Double Walled Metal Reusable Wine and Champagne Tumbler for Camping, Travel and Outdoor, Rainbow, 12oz</t>
        </is>
      </c>
      <c r="C321" t="inlineStr">
        <is>
          <t>1TRWT120RB</t>
        </is>
      </c>
      <c r="D321" t="inlineStr">
        <is>
          <t>Tumblers</t>
        </is>
      </c>
      <c r="E321" t="inlineStr">
        <is>
          <t>Tirrinia</t>
        </is>
      </c>
      <c r="F321" t="inlineStr">
        <is>
          <t>Wine,Christmas,Optimized,Valentine</t>
        </is>
      </c>
      <c r="G321" s="48" t="n">
        <v>0</v>
      </c>
      <c r="H321" s="49" t="n">
        <v>0</v>
      </c>
      <c r="I321" s="49" t="n">
        <v>0</v>
      </c>
      <c r="J321" s="50" t="n">
        <v>0</v>
      </c>
      <c r="K321" s="51" t="n">
        <v>0</v>
      </c>
      <c r="L321" s="52" t="n">
        <v>0</v>
      </c>
      <c r="M321" s="52" t="n">
        <v>0</v>
      </c>
      <c r="N321" s="52" t="n">
        <v>0</v>
      </c>
      <c r="O321" s="53" t="n">
        <v>0</v>
      </c>
      <c r="P321" s="52" t="n">
        <v>0</v>
      </c>
      <c r="Q321" s="53" t="n">
        <v>0</v>
      </c>
      <c r="R321" s="52" t="n">
        <v>0</v>
      </c>
      <c r="S321" s="51" t="n">
        <v>0</v>
      </c>
      <c r="T321" s="48" t="n">
        <v>7.98</v>
      </c>
      <c r="U321" s="49" t="n">
        <v>1</v>
      </c>
      <c r="V321" s="49" t="n">
        <v>0</v>
      </c>
      <c r="W321" s="50" t="n">
        <v>0</v>
      </c>
      <c r="X321" s="51" t="n">
        <v>0</v>
      </c>
      <c r="Y321" s="52" t="n">
        <v>0</v>
      </c>
      <c r="Z321" s="52" t="n">
        <v>0</v>
      </c>
      <c r="AA321" s="52" t="n">
        <v>0</v>
      </c>
      <c r="AB321" s="53" t="n">
        <v>0</v>
      </c>
      <c r="AC321" s="52" t="n">
        <v>0</v>
      </c>
      <c r="AD321" s="53" t="n">
        <v>0</v>
      </c>
      <c r="AE321" s="52" t="n">
        <v>7.98</v>
      </c>
      <c r="AF321" s="51" t="n">
        <v>0</v>
      </c>
      <c r="AG321" s="48" t="n">
        <v>0</v>
      </c>
      <c r="AH321" s="49" t="n">
        <v>0</v>
      </c>
      <c r="AI321" s="49" t="n">
        <v>0</v>
      </c>
      <c r="AJ321" s="50" t="n">
        <v>0</v>
      </c>
      <c r="AK321" s="51" t="n">
        <v>0</v>
      </c>
      <c r="AL321" s="52" t="n">
        <v>0</v>
      </c>
      <c r="AM321" s="52" t="n">
        <v>0</v>
      </c>
      <c r="AN321" s="52" t="n">
        <v>0</v>
      </c>
      <c r="AO321" s="53" t="n">
        <v>0</v>
      </c>
      <c r="AP321" s="52" t="n">
        <v>0</v>
      </c>
      <c r="AQ321" s="53" t="n">
        <v>0</v>
      </c>
      <c r="AR321" s="52" t="n">
        <v>0</v>
      </c>
      <c r="AS321" s="51" t="n">
        <v>0</v>
      </c>
      <c r="AT321" s="48" t="n">
        <v>0</v>
      </c>
      <c r="AU321" s="49" t="n">
        <v>0</v>
      </c>
      <c r="AV321" s="49" t="n">
        <v>0</v>
      </c>
      <c r="AW321" s="50" t="n">
        <v>0</v>
      </c>
      <c r="AX321" s="51" t="n">
        <v>0</v>
      </c>
      <c r="AY321" s="52" t="n">
        <v>0</v>
      </c>
      <c r="AZ321" s="52" t="n">
        <v>0</v>
      </c>
      <c r="BA321" s="52" t="n">
        <v>0</v>
      </c>
      <c r="BB321" s="53" t="n">
        <v>0</v>
      </c>
      <c r="BC321" s="52" t="n">
        <v>0</v>
      </c>
      <c r="BD321" s="53" t="n">
        <v>0</v>
      </c>
      <c r="BE321" s="52" t="n">
        <v>0</v>
      </c>
      <c r="BF321" s="51" t="n">
        <v>0</v>
      </c>
    </row>
    <row r="322">
      <c r="A322">
        <f>HYPERLINK("https://www.walmart.com/ip/594302699", "594302699")</f>
        <v/>
      </c>
      <c r="B322" t="inlineStr">
        <is>
          <t>Runner Waist Pack - Hip Hug Running Fuel Belt with 2 Pockets - NO BOUNCE Runner's Fanny Pack - Storage Pouch Bag Runners</t>
        </is>
      </c>
      <c r="C322" t="inlineStr">
        <is>
          <t>TERRA-3BK-L-ZJ</t>
        </is>
      </c>
      <c r="D322" t="inlineStr">
        <is>
          <t>Fanny Packs</t>
        </is>
      </c>
      <c r="E322" t="inlineStr">
        <is>
          <t>Terra</t>
        </is>
      </c>
      <c r="F322" t="inlineStr">
        <is>
          <t>Batch 1 - TR</t>
        </is>
      </c>
      <c r="G322" s="48" t="n">
        <v>0</v>
      </c>
      <c r="H322" s="49" t="n">
        <v>0</v>
      </c>
      <c r="I322" s="49" t="n">
        <v>0</v>
      </c>
      <c r="J322" s="50" t="n">
        <v>0</v>
      </c>
      <c r="K322" s="51" t="n">
        <v>0</v>
      </c>
      <c r="L322" s="52" t="n">
        <v>0</v>
      </c>
      <c r="M322" s="52" t="n">
        <v>0</v>
      </c>
      <c r="N322" s="52" t="n">
        <v>0</v>
      </c>
      <c r="O322" s="53" t="n">
        <v>0</v>
      </c>
      <c r="P322" s="52" t="n">
        <v>0</v>
      </c>
      <c r="Q322" s="53" t="n">
        <v>0</v>
      </c>
      <c r="R322" s="52" t="n">
        <v>0</v>
      </c>
      <c r="S322" s="51" t="n">
        <v>0</v>
      </c>
      <c r="T322" s="48" t="n">
        <v>0</v>
      </c>
      <c r="U322" s="49" t="n">
        <v>0</v>
      </c>
      <c r="V322" s="49" t="n">
        <v>0</v>
      </c>
      <c r="W322" s="50" t="n">
        <v>0</v>
      </c>
      <c r="X322" s="51" t="n">
        <v>0</v>
      </c>
      <c r="Y322" s="52" t="n">
        <v>0</v>
      </c>
      <c r="Z322" s="52" t="n">
        <v>0</v>
      </c>
      <c r="AA322" s="52" t="n">
        <v>0</v>
      </c>
      <c r="AB322" s="53" t="n">
        <v>0</v>
      </c>
      <c r="AC322" s="52" t="n">
        <v>0</v>
      </c>
      <c r="AD322" s="53" t="n">
        <v>0</v>
      </c>
      <c r="AE322" s="52" t="n">
        <v>0</v>
      </c>
      <c r="AF322" s="51" t="n">
        <v>0</v>
      </c>
      <c r="AG322" s="48" t="n">
        <v>0</v>
      </c>
      <c r="AH322" s="49" t="n">
        <v>0</v>
      </c>
      <c r="AI322" s="49" t="n">
        <v>0</v>
      </c>
      <c r="AJ322" s="50" t="n">
        <v>0</v>
      </c>
      <c r="AK322" s="51" t="n">
        <v>0</v>
      </c>
      <c r="AL322" s="52" t="n">
        <v>0</v>
      </c>
      <c r="AM322" s="52" t="n">
        <v>0</v>
      </c>
      <c r="AN322" s="52" t="n">
        <v>0</v>
      </c>
      <c r="AO322" s="53" t="n">
        <v>0</v>
      </c>
      <c r="AP322" s="52" t="n">
        <v>0</v>
      </c>
      <c r="AQ322" s="53" t="n">
        <v>0</v>
      </c>
      <c r="AR322" s="52" t="n">
        <v>0</v>
      </c>
      <c r="AS322" s="51" t="n">
        <v>0</v>
      </c>
      <c r="AT322" s="48" t="n">
        <v>0</v>
      </c>
      <c r="AU322" s="49" t="n">
        <v>0</v>
      </c>
      <c r="AV322" s="49" t="n">
        <v>0</v>
      </c>
      <c r="AW322" s="50" t="n">
        <v>0</v>
      </c>
      <c r="AX322" s="51" t="n">
        <v>0</v>
      </c>
      <c r="AY322" s="52" t="n">
        <v>0</v>
      </c>
      <c r="AZ322" s="52" t="n">
        <v>0</v>
      </c>
      <c r="BA322" s="52" t="n">
        <v>0</v>
      </c>
      <c r="BB322" s="53" t="n">
        <v>0</v>
      </c>
      <c r="BC322" s="52" t="n">
        <v>0</v>
      </c>
      <c r="BD322" s="53" t="n">
        <v>0</v>
      </c>
      <c r="BE322" s="52" t="n">
        <v>0</v>
      </c>
      <c r="BF322" s="51" t="n">
        <v>0</v>
      </c>
    </row>
    <row r="323">
      <c r="A323">
        <f>HYPERLINK("https://www.walmart.com/ip/594250068", "594250068")</f>
        <v/>
      </c>
      <c r="B323" t="inlineStr">
        <is>
          <t>Pawsse Waterproof Pet Snuggle Blanket, Dog Puppy Cat Fleece Sherpa Throws Cushion Mat for Car Seat Furniture Protector Cover Medium 50"x60"</t>
        </is>
      </c>
      <c r="C323" t="inlineStr">
        <is>
          <t>1PSBW561LGDG</t>
        </is>
      </c>
      <c r="D323" t="inlineStr">
        <is>
          <t>Pet Blankets</t>
        </is>
      </c>
      <c r="E323" t="inlineStr">
        <is>
          <t>Pawsse</t>
        </is>
      </c>
      <c r="F323" t="inlineStr">
        <is>
          <t>Optimized</t>
        </is>
      </c>
      <c r="G323" s="48" t="n">
        <v>0</v>
      </c>
      <c r="H323" s="49" t="n">
        <v>0</v>
      </c>
      <c r="I323" s="49" t="n">
        <v>0</v>
      </c>
      <c r="J323" s="50" t="n">
        <v>0</v>
      </c>
      <c r="K323" s="51" t="n">
        <v>0</v>
      </c>
      <c r="L323" s="52" t="n">
        <v>0</v>
      </c>
      <c r="M323" s="52" t="n">
        <v>0</v>
      </c>
      <c r="N323" s="52" t="n">
        <v>0</v>
      </c>
      <c r="O323" s="53" t="n">
        <v>0</v>
      </c>
      <c r="P323" s="52" t="n">
        <v>0</v>
      </c>
      <c r="Q323" s="53" t="n">
        <v>0</v>
      </c>
      <c r="R323" s="52" t="n">
        <v>0</v>
      </c>
      <c r="S323" s="51" t="n">
        <v>0</v>
      </c>
      <c r="T323" s="48" t="n">
        <v>0</v>
      </c>
      <c r="U323" s="49" t="n">
        <v>0</v>
      </c>
      <c r="V323" s="49" t="n">
        <v>0</v>
      </c>
      <c r="W323" s="50" t="n">
        <v>0</v>
      </c>
      <c r="X323" s="51" t="n">
        <v>0</v>
      </c>
      <c r="Y323" s="52" t="n">
        <v>0</v>
      </c>
      <c r="Z323" s="52" t="n">
        <v>0</v>
      </c>
      <c r="AA323" s="52" t="n">
        <v>0</v>
      </c>
      <c r="AB323" s="53" t="n">
        <v>0</v>
      </c>
      <c r="AC323" s="52" t="n">
        <v>0</v>
      </c>
      <c r="AD323" s="53" t="n">
        <v>0</v>
      </c>
      <c r="AE323" s="52" t="n">
        <v>0</v>
      </c>
      <c r="AF323" s="51" t="n">
        <v>0</v>
      </c>
      <c r="AG323" s="48" t="n">
        <v>0</v>
      </c>
      <c r="AH323" s="49" t="n">
        <v>0</v>
      </c>
      <c r="AI323" s="49" t="n">
        <v>0</v>
      </c>
      <c r="AJ323" s="50" t="n">
        <v>0</v>
      </c>
      <c r="AK323" s="51" t="n">
        <v>0</v>
      </c>
      <c r="AL323" s="52" t="n">
        <v>0</v>
      </c>
      <c r="AM323" s="52" t="n">
        <v>0</v>
      </c>
      <c r="AN323" s="52" t="n">
        <v>0</v>
      </c>
      <c r="AO323" s="53" t="n">
        <v>0</v>
      </c>
      <c r="AP323" s="52" t="n">
        <v>0</v>
      </c>
      <c r="AQ323" s="53" t="n">
        <v>0</v>
      </c>
      <c r="AR323" s="52" t="n">
        <v>0</v>
      </c>
      <c r="AS323" s="51" t="n">
        <v>0</v>
      </c>
      <c r="AT323" s="48" t="n">
        <v>0</v>
      </c>
      <c r="AU323" s="49" t="n">
        <v>0</v>
      </c>
      <c r="AV323" s="49" t="n">
        <v>0</v>
      </c>
      <c r="AW323" s="50" t="n">
        <v>0</v>
      </c>
      <c r="AX323" s="51" t="n">
        <v>0</v>
      </c>
      <c r="AY323" s="52" t="n">
        <v>0</v>
      </c>
      <c r="AZ323" s="52" t="n">
        <v>0</v>
      </c>
      <c r="BA323" s="52" t="n">
        <v>0</v>
      </c>
      <c r="BB323" s="53" t="n">
        <v>0</v>
      </c>
      <c r="BC323" s="52" t="n">
        <v>0</v>
      </c>
      <c r="BD323" s="53" t="n">
        <v>0</v>
      </c>
      <c r="BE323" s="52" t="n">
        <v>0</v>
      </c>
      <c r="BF323" s="51" t="n">
        <v>0</v>
      </c>
    </row>
    <row r="324">
      <c r="A324">
        <f>HYPERLINK("https://www.walmart.com/ip/599654251", "599654251")</f>
        <v/>
      </c>
      <c r="B324" t="inlineStr">
        <is>
          <t>Terra Boxer Briefs Mens 3 Pack Underwear Elastic Waistband Solid New Classic Fit</t>
        </is>
      </c>
      <c r="C324" t="inlineStr">
        <is>
          <t>TERRA-BOXER7-L</t>
        </is>
      </c>
      <c r="D324" t="inlineStr">
        <is>
          <t>Underpants</t>
        </is>
      </c>
      <c r="E324" t="inlineStr">
        <is>
          <t>Terra</t>
        </is>
      </c>
      <c r="F324" t="inlineStr">
        <is>
          <t>Batch 1 - TR</t>
        </is>
      </c>
      <c r="G324" s="48" t="n">
        <v>0</v>
      </c>
      <c r="H324" s="49" t="n">
        <v>0</v>
      </c>
      <c r="I324" s="49" t="n">
        <v>0</v>
      </c>
      <c r="J324" s="50" t="n">
        <v>0</v>
      </c>
      <c r="K324" s="51" t="n">
        <v>0</v>
      </c>
      <c r="L324" s="52" t="n">
        <v>0</v>
      </c>
      <c r="M324" s="52" t="n">
        <v>0</v>
      </c>
      <c r="N324" s="52" t="n">
        <v>0</v>
      </c>
      <c r="O324" s="53" t="n">
        <v>0</v>
      </c>
      <c r="P324" s="52" t="n">
        <v>0</v>
      </c>
      <c r="Q324" s="53" t="n">
        <v>0</v>
      </c>
      <c r="R324" s="52" t="n">
        <v>0</v>
      </c>
      <c r="S324" s="51" t="n">
        <v>0</v>
      </c>
      <c r="T324" s="48" t="n">
        <v>0</v>
      </c>
      <c r="U324" s="49" t="n">
        <v>0</v>
      </c>
      <c r="V324" s="49" t="n">
        <v>0</v>
      </c>
      <c r="W324" s="50" t="n">
        <v>0</v>
      </c>
      <c r="X324" s="51" t="n">
        <v>0</v>
      </c>
      <c r="Y324" s="52" t="n">
        <v>0</v>
      </c>
      <c r="Z324" s="52" t="n">
        <v>0</v>
      </c>
      <c r="AA324" s="52" t="n">
        <v>0</v>
      </c>
      <c r="AB324" s="53" t="n">
        <v>0</v>
      </c>
      <c r="AC324" s="52" t="n">
        <v>0</v>
      </c>
      <c r="AD324" s="53" t="n">
        <v>0</v>
      </c>
      <c r="AE324" s="52" t="n">
        <v>0</v>
      </c>
      <c r="AF324" s="51" t="n">
        <v>0</v>
      </c>
      <c r="AG324" s="48" t="n">
        <v>0</v>
      </c>
      <c r="AH324" s="49" t="n">
        <v>0</v>
      </c>
      <c r="AI324" s="49" t="n">
        <v>0</v>
      </c>
      <c r="AJ324" s="50" t="n">
        <v>0</v>
      </c>
      <c r="AK324" s="51" t="n">
        <v>0</v>
      </c>
      <c r="AL324" s="52" t="n">
        <v>0</v>
      </c>
      <c r="AM324" s="52" t="n">
        <v>0</v>
      </c>
      <c r="AN324" s="52" t="n">
        <v>0</v>
      </c>
      <c r="AO324" s="53" t="n">
        <v>0</v>
      </c>
      <c r="AP324" s="52" t="n">
        <v>0</v>
      </c>
      <c r="AQ324" s="53" t="n">
        <v>0</v>
      </c>
      <c r="AR324" s="52" t="n">
        <v>0</v>
      </c>
      <c r="AS324" s="51" t="n">
        <v>0</v>
      </c>
      <c r="AT324" s="48" t="n">
        <v>0</v>
      </c>
      <c r="AU324" s="49" t="n">
        <v>0</v>
      </c>
      <c r="AV324" s="49" t="n">
        <v>0</v>
      </c>
      <c r="AW324" s="50" t="n">
        <v>0</v>
      </c>
      <c r="AX324" s="51" t="n">
        <v>0</v>
      </c>
      <c r="AY324" s="52" t="n">
        <v>0</v>
      </c>
      <c r="AZ324" s="52" t="n">
        <v>0</v>
      </c>
      <c r="BA324" s="52" t="n">
        <v>0</v>
      </c>
      <c r="BB324" s="53" t="n">
        <v>0</v>
      </c>
      <c r="BC324" s="52" t="n">
        <v>0</v>
      </c>
      <c r="BD324" s="53" t="n">
        <v>0</v>
      </c>
      <c r="BE324" s="52" t="n">
        <v>0</v>
      </c>
      <c r="BF324" s="51" t="n">
        <v>0</v>
      </c>
    </row>
    <row r="325">
      <c r="A325">
        <f>HYPERLINK("https://www.walmart.com/ip/600412098", "600412098")</f>
        <v/>
      </c>
      <c r="B325" t="inlineStr">
        <is>
          <t>Ski Gloves, Winter Warm 3M Insulation Waterproof Snow Gloves for Skiing, Snowboarding, Motorcycling,Cycling, Outdoor Sports, Gifts for Men, Size Run Small</t>
        </is>
      </c>
      <c r="C325" t="inlineStr">
        <is>
          <t>1SLWG300PKXL</t>
        </is>
      </c>
      <c r="D325" t="inlineStr">
        <is>
          <t>Gloves &amp; Mittens</t>
        </is>
      </c>
      <c r="E325" t="inlineStr">
        <is>
          <t>Solaris</t>
        </is>
      </c>
      <c r="F325" t="inlineStr">
        <is>
          <t>Gloves</t>
        </is>
      </c>
      <c r="G325" s="48" t="n">
        <v>0</v>
      </c>
      <c r="H325" s="49" t="n">
        <v>0</v>
      </c>
      <c r="I325" s="49" t="n">
        <v>0</v>
      </c>
      <c r="J325" s="50" t="n">
        <v>0</v>
      </c>
      <c r="K325" s="51" t="n">
        <v>0</v>
      </c>
      <c r="L325" s="52" t="n">
        <v>0</v>
      </c>
      <c r="M325" s="52" t="n">
        <v>0</v>
      </c>
      <c r="N325" s="52" t="n">
        <v>0</v>
      </c>
      <c r="O325" s="53" t="n">
        <v>0</v>
      </c>
      <c r="P325" s="52" t="n">
        <v>0</v>
      </c>
      <c r="Q325" s="53" t="n">
        <v>0</v>
      </c>
      <c r="R325" s="52" t="n">
        <v>0</v>
      </c>
      <c r="S325" s="51" t="n">
        <v>0</v>
      </c>
      <c r="T325" s="48" t="n">
        <v>0</v>
      </c>
      <c r="U325" s="49" t="n">
        <v>0</v>
      </c>
      <c r="V325" s="49" t="n">
        <v>0</v>
      </c>
      <c r="W325" s="50" t="n">
        <v>0</v>
      </c>
      <c r="X325" s="51" t="n">
        <v>0</v>
      </c>
      <c r="Y325" s="52" t="n">
        <v>0</v>
      </c>
      <c r="Z325" s="52" t="n">
        <v>0</v>
      </c>
      <c r="AA325" s="52" t="n">
        <v>0</v>
      </c>
      <c r="AB325" s="53" t="n">
        <v>0</v>
      </c>
      <c r="AC325" s="52" t="n">
        <v>0</v>
      </c>
      <c r="AD325" s="53" t="n">
        <v>0</v>
      </c>
      <c r="AE325" s="52" t="n">
        <v>0</v>
      </c>
      <c r="AF325" s="51" t="n">
        <v>0</v>
      </c>
      <c r="AG325" s="48" t="n">
        <v>0</v>
      </c>
      <c r="AH325" s="49" t="n">
        <v>0</v>
      </c>
      <c r="AI325" s="49" t="n">
        <v>0</v>
      </c>
      <c r="AJ325" s="50" t="n">
        <v>0</v>
      </c>
      <c r="AK325" s="51" t="n">
        <v>0</v>
      </c>
      <c r="AL325" s="52" t="n">
        <v>0</v>
      </c>
      <c r="AM325" s="52" t="n">
        <v>0</v>
      </c>
      <c r="AN325" s="52" t="n">
        <v>0</v>
      </c>
      <c r="AO325" s="53" t="n">
        <v>0</v>
      </c>
      <c r="AP325" s="52" t="n">
        <v>0</v>
      </c>
      <c r="AQ325" s="53" t="n">
        <v>0</v>
      </c>
      <c r="AR325" s="52" t="n">
        <v>0</v>
      </c>
      <c r="AS325" s="51" t="n">
        <v>0</v>
      </c>
      <c r="AT325" s="48" t="n">
        <v>0</v>
      </c>
      <c r="AU325" s="49" t="n">
        <v>0</v>
      </c>
      <c r="AV325" s="49" t="n">
        <v>0</v>
      </c>
      <c r="AW325" s="50" t="n">
        <v>0</v>
      </c>
      <c r="AX325" s="51" t="n">
        <v>0</v>
      </c>
      <c r="AY325" s="52" t="n">
        <v>0</v>
      </c>
      <c r="AZ325" s="52" t="n">
        <v>0</v>
      </c>
      <c r="BA325" s="52" t="n">
        <v>0</v>
      </c>
      <c r="BB325" s="53" t="n">
        <v>0</v>
      </c>
      <c r="BC325" s="52" t="n">
        <v>0</v>
      </c>
      <c r="BD325" s="53" t="n">
        <v>0</v>
      </c>
      <c r="BE325" s="52" t="n">
        <v>0</v>
      </c>
      <c r="BF325" s="51" t="n">
        <v>0</v>
      </c>
    </row>
    <row r="326">
      <c r="A326">
        <f>HYPERLINK("https://www.walmart.com/ip/592822483", "592822483")</f>
        <v/>
      </c>
      <c r="B326" t="inlineStr">
        <is>
          <t>Catalonia Sherpa Throws Blanket, Super Soft Comfy Fluffy Fuzzy Fleece Plush Blanket for Sofa Couch Bed Reversible All Season for Adults Children 50”x60”, Chevron Black</t>
        </is>
      </c>
      <c r="C326" t="inlineStr">
        <is>
          <t>1CTBF320BK</t>
        </is>
      </c>
      <c r="D326" t="inlineStr">
        <is>
          <t>Throws</t>
        </is>
      </c>
      <c r="E326" t="inlineStr">
        <is>
          <t>Catalonia</t>
        </is>
      </c>
      <c r="F326" t="inlineStr">
        <is>
          <t>Q2-Target,Optimized,Coupon_Discount</t>
        </is>
      </c>
      <c r="G326" s="48" t="n">
        <v>0</v>
      </c>
      <c r="H326" s="49" t="n">
        <v>0</v>
      </c>
      <c r="I326" s="49" t="n">
        <v>0</v>
      </c>
      <c r="J326" s="50" t="n">
        <v>0</v>
      </c>
      <c r="K326" s="51" t="n">
        <v>0</v>
      </c>
      <c r="L326" s="52" t="n">
        <v>0</v>
      </c>
      <c r="M326" s="52" t="n">
        <v>0</v>
      </c>
      <c r="N326" s="52" t="n">
        <v>0</v>
      </c>
      <c r="O326" s="53" t="n">
        <v>0</v>
      </c>
      <c r="P326" s="52" t="n">
        <v>0</v>
      </c>
      <c r="Q326" s="53" t="n">
        <v>0</v>
      </c>
      <c r="R326" s="52" t="n">
        <v>0</v>
      </c>
      <c r="S326" s="51" t="n">
        <v>0</v>
      </c>
      <c r="T326" s="48" t="n">
        <v>0</v>
      </c>
      <c r="U326" s="49" t="n">
        <v>0</v>
      </c>
      <c r="V326" s="49" t="n">
        <v>0</v>
      </c>
      <c r="W326" s="50" t="n">
        <v>0</v>
      </c>
      <c r="X326" s="51" t="n">
        <v>0</v>
      </c>
      <c r="Y326" s="52" t="n">
        <v>0</v>
      </c>
      <c r="Z326" s="52" t="n">
        <v>0</v>
      </c>
      <c r="AA326" s="52" t="n">
        <v>0</v>
      </c>
      <c r="AB326" s="53" t="n">
        <v>0</v>
      </c>
      <c r="AC326" s="52" t="n">
        <v>0</v>
      </c>
      <c r="AD326" s="53" t="n">
        <v>0</v>
      </c>
      <c r="AE326" s="52" t="n">
        <v>0</v>
      </c>
      <c r="AF326" s="51" t="n">
        <v>0</v>
      </c>
      <c r="AG326" s="48" t="n">
        <v>0</v>
      </c>
      <c r="AH326" s="49" t="n">
        <v>0</v>
      </c>
      <c r="AI326" s="49" t="n">
        <v>0</v>
      </c>
      <c r="AJ326" s="50" t="n">
        <v>0</v>
      </c>
      <c r="AK326" s="51" t="n">
        <v>0</v>
      </c>
      <c r="AL326" s="52" t="n">
        <v>0</v>
      </c>
      <c r="AM326" s="52" t="n">
        <v>0</v>
      </c>
      <c r="AN326" s="52" t="n">
        <v>0</v>
      </c>
      <c r="AO326" s="53" t="n">
        <v>0</v>
      </c>
      <c r="AP326" s="52" t="n">
        <v>0</v>
      </c>
      <c r="AQ326" s="53" t="n">
        <v>0</v>
      </c>
      <c r="AR326" s="52" t="n">
        <v>0</v>
      </c>
      <c r="AS326" s="51" t="n">
        <v>0</v>
      </c>
      <c r="AT326" s="48" t="n">
        <v>0</v>
      </c>
      <c r="AU326" s="49" t="n">
        <v>0</v>
      </c>
      <c r="AV326" s="49" t="n">
        <v>0</v>
      </c>
      <c r="AW326" s="50" t="n">
        <v>0</v>
      </c>
      <c r="AX326" s="51" t="n">
        <v>0</v>
      </c>
      <c r="AY326" s="52" t="n">
        <v>0</v>
      </c>
      <c r="AZ326" s="52" t="n">
        <v>0</v>
      </c>
      <c r="BA326" s="52" t="n">
        <v>0</v>
      </c>
      <c r="BB326" s="53" t="n">
        <v>0</v>
      </c>
      <c r="BC326" s="52" t="n">
        <v>0</v>
      </c>
      <c r="BD326" s="53" t="n">
        <v>0</v>
      </c>
      <c r="BE326" s="52" t="n">
        <v>0</v>
      </c>
      <c r="BF326" s="51" t="n">
        <v>0</v>
      </c>
    </row>
    <row r="327">
      <c r="A327">
        <f>HYPERLINK("https://www.walmart.com/ip/591670037", "591670037")</f>
        <v/>
      </c>
      <c r="B327" t="inlineStr">
        <is>
          <t>KC Caps® Men Women Baseball Cap Snapback Hip-Hop Golf Bboy Caps Green Camo Black</t>
        </is>
      </c>
      <c r="C327" t="inlineStr">
        <is>
          <t>KC Caps 7040 Green CamoBlack-K</t>
        </is>
      </c>
      <c r="D327" t="inlineStr">
        <is>
          <t>Golf Hats</t>
        </is>
      </c>
      <c r="E327" t="inlineStr">
        <is>
          <t>KC Caps</t>
        </is>
      </c>
      <c r="F327" t="inlineStr">
        <is>
          <t>Optimized,ST Patrick Day</t>
        </is>
      </c>
      <c r="G327" s="48" t="n">
        <v>0</v>
      </c>
      <c r="H327" s="49" t="n">
        <v>0</v>
      </c>
      <c r="I327" s="49" t="n">
        <v>0</v>
      </c>
      <c r="J327" s="50" t="n">
        <v>0</v>
      </c>
      <c r="K327" s="51" t="n">
        <v>0</v>
      </c>
      <c r="L327" s="52" t="n">
        <v>0</v>
      </c>
      <c r="M327" s="52" t="n">
        <v>0</v>
      </c>
      <c r="N327" s="52" t="n">
        <v>0</v>
      </c>
      <c r="O327" s="53" t="n">
        <v>0</v>
      </c>
      <c r="P327" s="52" t="n">
        <v>0</v>
      </c>
      <c r="Q327" s="53" t="n">
        <v>0</v>
      </c>
      <c r="R327" s="52" t="n">
        <v>0</v>
      </c>
      <c r="S327" s="51" t="n">
        <v>0</v>
      </c>
      <c r="T327" s="48" t="n">
        <v>0</v>
      </c>
      <c r="U327" s="49" t="n">
        <v>0</v>
      </c>
      <c r="V327" s="49" t="n">
        <v>0</v>
      </c>
      <c r="W327" s="50" t="n">
        <v>0</v>
      </c>
      <c r="X327" s="51" t="n">
        <v>0</v>
      </c>
      <c r="Y327" s="52" t="n">
        <v>0</v>
      </c>
      <c r="Z327" s="52" t="n">
        <v>0</v>
      </c>
      <c r="AA327" s="52" t="n">
        <v>0</v>
      </c>
      <c r="AB327" s="53" t="n">
        <v>0</v>
      </c>
      <c r="AC327" s="52" t="n">
        <v>0</v>
      </c>
      <c r="AD327" s="53" t="n">
        <v>0</v>
      </c>
      <c r="AE327" s="52" t="n">
        <v>0</v>
      </c>
      <c r="AF327" s="51" t="n">
        <v>0</v>
      </c>
      <c r="AG327" s="48" t="n">
        <v>0</v>
      </c>
      <c r="AH327" s="49" t="n">
        <v>0</v>
      </c>
      <c r="AI327" s="49" t="n">
        <v>0</v>
      </c>
      <c r="AJ327" s="50" t="n">
        <v>0</v>
      </c>
      <c r="AK327" s="51" t="n">
        <v>0</v>
      </c>
      <c r="AL327" s="52" t="n">
        <v>0</v>
      </c>
      <c r="AM327" s="52" t="n">
        <v>0</v>
      </c>
      <c r="AN327" s="52" t="n">
        <v>0</v>
      </c>
      <c r="AO327" s="53" t="n">
        <v>0</v>
      </c>
      <c r="AP327" s="52" t="n">
        <v>0</v>
      </c>
      <c r="AQ327" s="53" t="n">
        <v>0</v>
      </c>
      <c r="AR327" s="52" t="n">
        <v>0</v>
      </c>
      <c r="AS327" s="51" t="n">
        <v>0</v>
      </c>
      <c r="AT327" s="48" t="n">
        <v>0</v>
      </c>
      <c r="AU327" s="49" t="n">
        <v>0</v>
      </c>
      <c r="AV327" s="49" t="n">
        <v>0</v>
      </c>
      <c r="AW327" s="50" t="n">
        <v>0</v>
      </c>
      <c r="AX327" s="51" t="n">
        <v>0</v>
      </c>
      <c r="AY327" s="52" t="n">
        <v>0</v>
      </c>
      <c r="AZ327" s="52" t="n">
        <v>0</v>
      </c>
      <c r="BA327" s="52" t="n">
        <v>0</v>
      </c>
      <c r="BB327" s="53" t="n">
        <v>0</v>
      </c>
      <c r="BC327" s="52" t="n">
        <v>0</v>
      </c>
      <c r="BD327" s="53" t="n">
        <v>0</v>
      </c>
      <c r="BE327" s="52" t="n">
        <v>0</v>
      </c>
      <c r="BF327" s="51" t="n">
        <v>0</v>
      </c>
    </row>
    <row r="328">
      <c r="A328">
        <f>HYPERLINK("https://www.walmart.com/ip/591035469", "591035469")</f>
        <v/>
      </c>
      <c r="B328" t="inlineStr">
        <is>
          <t>Catalonia Fleece Wearable Blanket Poncho for Adult Women and Men, Wrap Blanket Cape with Pocket, Warm, Soft, Cozy, Snuggly, Comfort Gift, No Sleeves,  All-Season, Grey</t>
        </is>
      </c>
      <c r="C328" t="inlineStr">
        <is>
          <t>1CTBP100GY</t>
        </is>
      </c>
      <c r="D328" t="inlineStr">
        <is>
          <t>Throws</t>
        </is>
      </c>
      <c r="E328" t="inlineStr">
        <is>
          <t>Catalonia</t>
        </is>
      </c>
      <c r="F328" t="inlineStr">
        <is>
          <t>Hero 5 Holidays,WFS,WFS Item</t>
        </is>
      </c>
      <c r="G328" s="48" t="n">
        <v>0</v>
      </c>
      <c r="H328" s="49" t="n">
        <v>0</v>
      </c>
      <c r="I328" s="49" t="n">
        <v>0</v>
      </c>
      <c r="J328" s="50" t="n">
        <v>0</v>
      </c>
      <c r="K328" s="51" t="n">
        <v>0</v>
      </c>
      <c r="L328" s="52" t="n">
        <v>0</v>
      </c>
      <c r="M328" s="52" t="n">
        <v>0</v>
      </c>
      <c r="N328" s="52" t="n">
        <v>0</v>
      </c>
      <c r="O328" s="53" t="n">
        <v>0</v>
      </c>
      <c r="P328" s="52" t="n">
        <v>0</v>
      </c>
      <c r="Q328" s="53" t="n">
        <v>0</v>
      </c>
      <c r="R328" s="52" t="n">
        <v>0</v>
      </c>
      <c r="S328" s="51" t="n">
        <v>0</v>
      </c>
      <c r="T328" s="48" t="n">
        <v>23.99</v>
      </c>
      <c r="U328" s="49" t="n">
        <v>1</v>
      </c>
      <c r="V328" s="49" t="n">
        <v>0</v>
      </c>
      <c r="W328" s="50" t="n">
        <v>0</v>
      </c>
      <c r="X328" s="51" t="n">
        <v>0</v>
      </c>
      <c r="Y328" s="52" t="n">
        <v>0</v>
      </c>
      <c r="Z328" s="52" t="n">
        <v>0</v>
      </c>
      <c r="AA328" s="52" t="n">
        <v>0</v>
      </c>
      <c r="AB328" s="53" t="n">
        <v>0</v>
      </c>
      <c r="AC328" s="52" t="n">
        <v>0</v>
      </c>
      <c r="AD328" s="53" t="n">
        <v>0</v>
      </c>
      <c r="AE328" s="52" t="n">
        <v>23.99</v>
      </c>
      <c r="AF328" s="51" t="n">
        <v>0</v>
      </c>
      <c r="AG328" s="48" t="n">
        <v>0</v>
      </c>
      <c r="AH328" s="49" t="n">
        <v>0</v>
      </c>
      <c r="AI328" s="49" t="n">
        <v>0</v>
      </c>
      <c r="AJ328" s="50" t="n">
        <v>0</v>
      </c>
      <c r="AK328" s="51" t="n">
        <v>0</v>
      </c>
      <c r="AL328" s="52" t="n">
        <v>0</v>
      </c>
      <c r="AM328" s="52" t="n">
        <v>0</v>
      </c>
      <c r="AN328" s="52" t="n">
        <v>0</v>
      </c>
      <c r="AO328" s="53" t="n">
        <v>0</v>
      </c>
      <c r="AP328" s="52" t="n">
        <v>0</v>
      </c>
      <c r="AQ328" s="53" t="n">
        <v>0</v>
      </c>
      <c r="AR328" s="52" t="n">
        <v>0</v>
      </c>
      <c r="AS328" s="51" t="n">
        <v>0</v>
      </c>
      <c r="AT328" s="48" t="n">
        <v>0</v>
      </c>
      <c r="AU328" s="49" t="n">
        <v>0</v>
      </c>
      <c r="AV328" s="49" t="n">
        <v>0</v>
      </c>
      <c r="AW328" s="50" t="n">
        <v>0</v>
      </c>
      <c r="AX328" s="51" t="n">
        <v>0</v>
      </c>
      <c r="AY328" s="52" t="n">
        <v>0</v>
      </c>
      <c r="AZ328" s="52" t="n">
        <v>0</v>
      </c>
      <c r="BA328" s="52" t="n">
        <v>0</v>
      </c>
      <c r="BB328" s="53" t="n">
        <v>0</v>
      </c>
      <c r="BC328" s="52" t="n">
        <v>0</v>
      </c>
      <c r="BD328" s="53" t="n">
        <v>0</v>
      </c>
      <c r="BE328" s="52" t="n">
        <v>0</v>
      </c>
      <c r="BF328" s="51" t="n">
        <v>0</v>
      </c>
    </row>
    <row r="329">
      <c r="A329">
        <f>HYPERLINK("https://www.walmart.com/ip/587208547", "587208547")</f>
        <v/>
      </c>
      <c r="B329" t="inlineStr">
        <is>
          <t>Flyingstar Casual Cropped Oversized Hoodie for Women, Black Crop Top Sweatshirt, 3/4 Sleeve, One Size</t>
        </is>
      </c>
      <c r="C329" t="inlineStr">
        <is>
          <t>1WMHD520S1BK</t>
        </is>
      </c>
      <c r="D329" t="inlineStr">
        <is>
          <t>Sweatshirts &amp; Hoodies</t>
        </is>
      </c>
      <c r="E329" t="inlineStr">
        <is>
          <t>Flyingstar</t>
        </is>
      </c>
      <c r="F329" t="inlineStr">
        <is>
          <t>Hoodie ForAdult,Optimized</t>
        </is>
      </c>
      <c r="G329" s="48" t="n">
        <v>0</v>
      </c>
      <c r="H329" s="49" t="n">
        <v>0</v>
      </c>
      <c r="I329" s="49" t="n">
        <v>0</v>
      </c>
      <c r="J329" s="50" t="n">
        <v>0</v>
      </c>
      <c r="K329" s="51" t="n">
        <v>0</v>
      </c>
      <c r="L329" s="52" t="n">
        <v>0</v>
      </c>
      <c r="M329" s="52" t="n">
        <v>0</v>
      </c>
      <c r="N329" s="52" t="n">
        <v>0</v>
      </c>
      <c r="O329" s="53" t="n">
        <v>0</v>
      </c>
      <c r="P329" s="52" t="n">
        <v>0</v>
      </c>
      <c r="Q329" s="53" t="n">
        <v>0</v>
      </c>
      <c r="R329" s="52" t="n">
        <v>0</v>
      </c>
      <c r="S329" s="51" t="n">
        <v>0</v>
      </c>
      <c r="T329" s="48" t="n">
        <v>0</v>
      </c>
      <c r="U329" s="49" t="n">
        <v>0</v>
      </c>
      <c r="V329" s="49" t="n">
        <v>0</v>
      </c>
      <c r="W329" s="50" t="n">
        <v>0</v>
      </c>
      <c r="X329" s="51" t="n">
        <v>0</v>
      </c>
      <c r="Y329" s="52" t="n">
        <v>0</v>
      </c>
      <c r="Z329" s="52" t="n">
        <v>0</v>
      </c>
      <c r="AA329" s="52" t="n">
        <v>0</v>
      </c>
      <c r="AB329" s="53" t="n">
        <v>0</v>
      </c>
      <c r="AC329" s="52" t="n">
        <v>0</v>
      </c>
      <c r="AD329" s="53" t="n">
        <v>0</v>
      </c>
      <c r="AE329" s="52" t="n">
        <v>0</v>
      </c>
      <c r="AF329" s="51" t="n">
        <v>0</v>
      </c>
      <c r="AG329" s="48" t="n">
        <v>0</v>
      </c>
      <c r="AH329" s="49" t="n">
        <v>0</v>
      </c>
      <c r="AI329" s="49" t="n">
        <v>0</v>
      </c>
      <c r="AJ329" s="50" t="n">
        <v>0</v>
      </c>
      <c r="AK329" s="51" t="n">
        <v>0</v>
      </c>
      <c r="AL329" s="52" t="n">
        <v>0</v>
      </c>
      <c r="AM329" s="52" t="n">
        <v>0</v>
      </c>
      <c r="AN329" s="52" t="n">
        <v>0</v>
      </c>
      <c r="AO329" s="53" t="n">
        <v>0</v>
      </c>
      <c r="AP329" s="52" t="n">
        <v>0</v>
      </c>
      <c r="AQ329" s="53" t="n">
        <v>0</v>
      </c>
      <c r="AR329" s="52" t="n">
        <v>0</v>
      </c>
      <c r="AS329" s="51" t="n">
        <v>0</v>
      </c>
      <c r="AT329" s="48" t="n">
        <v>0</v>
      </c>
      <c r="AU329" s="49" t="n">
        <v>0</v>
      </c>
      <c r="AV329" s="49" t="n">
        <v>0</v>
      </c>
      <c r="AW329" s="50" t="n">
        <v>0</v>
      </c>
      <c r="AX329" s="51" t="n">
        <v>0</v>
      </c>
      <c r="AY329" s="52" t="n">
        <v>0</v>
      </c>
      <c r="AZ329" s="52" t="n">
        <v>0</v>
      </c>
      <c r="BA329" s="52" t="n">
        <v>0</v>
      </c>
      <c r="BB329" s="53" t="n">
        <v>0</v>
      </c>
      <c r="BC329" s="52" t="n">
        <v>0</v>
      </c>
      <c r="BD329" s="53" t="n">
        <v>0</v>
      </c>
      <c r="BE329" s="52" t="n">
        <v>0</v>
      </c>
      <c r="BF329" s="51" t="n">
        <v>0</v>
      </c>
    </row>
    <row r="330">
      <c r="A330">
        <f>HYPERLINK("https://www.walmart.com/ip/590537663", "590537663")</f>
        <v/>
      </c>
      <c r="B330" t="inlineStr">
        <is>
          <t>Catalonia Wearable TV Blanket with Sleeves Arms &amp; Feet pockets for Adult Micro Plush Fleece Large Wrap Throw Robe 75 x 5</t>
        </is>
      </c>
      <c r="C330" t="inlineStr">
        <is>
          <t>1CTSN310P2RD</t>
        </is>
      </c>
      <c r="D330" t="inlineStr">
        <is>
          <t>Throws</t>
        </is>
      </c>
      <c r="E330" t="inlineStr">
        <is>
          <t>Catalonia</t>
        </is>
      </c>
      <c r="F330" t="inlineStr">
        <is>
          <t>Optimized,WFS,WFS Item</t>
        </is>
      </c>
      <c r="G330" s="48" t="n">
        <v>0</v>
      </c>
      <c r="H330" s="49" t="n">
        <v>0</v>
      </c>
      <c r="I330" s="49" t="n">
        <v>0</v>
      </c>
      <c r="J330" s="50" t="n">
        <v>0</v>
      </c>
      <c r="K330" s="51" t="n">
        <v>0</v>
      </c>
      <c r="L330" s="52" t="n">
        <v>0</v>
      </c>
      <c r="M330" s="52" t="n">
        <v>0</v>
      </c>
      <c r="N330" s="52" t="n">
        <v>0</v>
      </c>
      <c r="O330" s="53" t="n">
        <v>0</v>
      </c>
      <c r="P330" s="52" t="n">
        <v>0</v>
      </c>
      <c r="Q330" s="53" t="n">
        <v>0</v>
      </c>
      <c r="R330" s="52" t="n">
        <v>0</v>
      </c>
      <c r="S330" s="51" t="n">
        <v>0</v>
      </c>
      <c r="T330" s="48" t="n">
        <v>0</v>
      </c>
      <c r="U330" s="49" t="n">
        <v>0</v>
      </c>
      <c r="V330" s="49" t="n">
        <v>0</v>
      </c>
      <c r="W330" s="50" t="n">
        <v>0</v>
      </c>
      <c r="X330" s="51" t="n">
        <v>0</v>
      </c>
      <c r="Y330" s="52" t="n">
        <v>0</v>
      </c>
      <c r="Z330" s="52" t="n">
        <v>0</v>
      </c>
      <c r="AA330" s="52" t="n">
        <v>0</v>
      </c>
      <c r="AB330" s="53" t="n">
        <v>0</v>
      </c>
      <c r="AC330" s="52" t="n">
        <v>0</v>
      </c>
      <c r="AD330" s="53" t="n">
        <v>0</v>
      </c>
      <c r="AE330" s="52" t="n">
        <v>0</v>
      </c>
      <c r="AF330" s="51" t="n">
        <v>0</v>
      </c>
      <c r="AG330" s="48" t="n">
        <v>0</v>
      </c>
      <c r="AH330" s="49" t="n">
        <v>0</v>
      </c>
      <c r="AI330" s="49" t="n">
        <v>0</v>
      </c>
      <c r="AJ330" s="50" t="n">
        <v>0</v>
      </c>
      <c r="AK330" s="51" t="n">
        <v>0</v>
      </c>
      <c r="AL330" s="52" t="n">
        <v>0</v>
      </c>
      <c r="AM330" s="52" t="n">
        <v>0</v>
      </c>
      <c r="AN330" s="52" t="n">
        <v>0</v>
      </c>
      <c r="AO330" s="53" t="n">
        <v>0</v>
      </c>
      <c r="AP330" s="52" t="n">
        <v>0</v>
      </c>
      <c r="AQ330" s="53" t="n">
        <v>0</v>
      </c>
      <c r="AR330" s="52" t="n">
        <v>0</v>
      </c>
      <c r="AS330" s="51" t="n">
        <v>0</v>
      </c>
      <c r="AT330" s="48" t="n">
        <v>0</v>
      </c>
      <c r="AU330" s="49" t="n">
        <v>0</v>
      </c>
      <c r="AV330" s="49" t="n">
        <v>0</v>
      </c>
      <c r="AW330" s="50" t="n">
        <v>0</v>
      </c>
      <c r="AX330" s="51" t="n">
        <v>0</v>
      </c>
      <c r="AY330" s="52" t="n">
        <v>0</v>
      </c>
      <c r="AZ330" s="52" t="n">
        <v>0</v>
      </c>
      <c r="BA330" s="52" t="n">
        <v>0</v>
      </c>
      <c r="BB330" s="53" t="n">
        <v>0</v>
      </c>
      <c r="BC330" s="52" t="n">
        <v>0</v>
      </c>
      <c r="BD330" s="53" t="n">
        <v>0</v>
      </c>
      <c r="BE330" s="52" t="n">
        <v>0</v>
      </c>
      <c r="BF330" s="51" t="n">
        <v>0</v>
      </c>
    </row>
    <row r="331">
      <c r="A331">
        <f>HYPERLINK("https://www.walmart.com/ip/600885402", "600885402")</f>
        <v/>
      </c>
      <c r="B331" t="inlineStr">
        <is>
          <t>Tirrinia Super Comfy Soft Cozy Patriotic US Flag Knitted Throw Blanket, 50" x 60"</t>
        </is>
      </c>
      <c r="C331" t="inlineStr">
        <is>
          <t>1TRBN506-USA-TBCB</t>
        </is>
      </c>
      <c r="D331" t="inlineStr">
        <is>
          <t>Throws</t>
        </is>
      </c>
      <c r="E331" t="inlineStr">
        <is>
          <t>Tirrinia</t>
        </is>
      </c>
      <c r="F331" t="inlineStr">
        <is>
          <t>Optimized</t>
        </is>
      </c>
      <c r="G331" s="48" t="n">
        <v>0</v>
      </c>
      <c r="H331" s="49" t="n">
        <v>0</v>
      </c>
      <c r="I331" s="49" t="n">
        <v>0</v>
      </c>
      <c r="J331" s="50" t="n">
        <v>0</v>
      </c>
      <c r="K331" s="51" t="n">
        <v>0</v>
      </c>
      <c r="L331" s="52" t="n">
        <v>0</v>
      </c>
      <c r="M331" s="52" t="n">
        <v>0</v>
      </c>
      <c r="N331" s="52" t="n">
        <v>0</v>
      </c>
      <c r="O331" s="53" t="n">
        <v>0</v>
      </c>
      <c r="P331" s="52" t="n">
        <v>0</v>
      </c>
      <c r="Q331" s="53" t="n">
        <v>0</v>
      </c>
      <c r="R331" s="52" t="n">
        <v>0</v>
      </c>
      <c r="S331" s="51" t="n">
        <v>0</v>
      </c>
      <c r="T331" s="48" t="n">
        <v>0</v>
      </c>
      <c r="U331" s="49" t="n">
        <v>0</v>
      </c>
      <c r="V331" s="49" t="n">
        <v>0</v>
      </c>
      <c r="W331" s="50" t="n">
        <v>0</v>
      </c>
      <c r="X331" s="51" t="n">
        <v>0</v>
      </c>
      <c r="Y331" s="52" t="n">
        <v>0</v>
      </c>
      <c r="Z331" s="52" t="n">
        <v>0</v>
      </c>
      <c r="AA331" s="52" t="n">
        <v>0</v>
      </c>
      <c r="AB331" s="53" t="n">
        <v>0</v>
      </c>
      <c r="AC331" s="52" t="n">
        <v>0</v>
      </c>
      <c r="AD331" s="53" t="n">
        <v>0</v>
      </c>
      <c r="AE331" s="52" t="n">
        <v>0</v>
      </c>
      <c r="AF331" s="51" t="n">
        <v>0</v>
      </c>
      <c r="AG331" s="48" t="n">
        <v>0</v>
      </c>
      <c r="AH331" s="49" t="n">
        <v>0</v>
      </c>
      <c r="AI331" s="49" t="n">
        <v>0</v>
      </c>
      <c r="AJ331" s="50" t="n">
        <v>0</v>
      </c>
      <c r="AK331" s="51" t="n">
        <v>0</v>
      </c>
      <c r="AL331" s="52" t="n">
        <v>0</v>
      </c>
      <c r="AM331" s="52" t="n">
        <v>0</v>
      </c>
      <c r="AN331" s="52" t="n">
        <v>0</v>
      </c>
      <c r="AO331" s="53" t="n">
        <v>0</v>
      </c>
      <c r="AP331" s="52" t="n">
        <v>0</v>
      </c>
      <c r="AQ331" s="53" t="n">
        <v>0</v>
      </c>
      <c r="AR331" s="52" t="n">
        <v>0</v>
      </c>
      <c r="AS331" s="51" t="n">
        <v>0</v>
      </c>
      <c r="AT331" s="48" t="n">
        <v>0</v>
      </c>
      <c r="AU331" s="49" t="n">
        <v>0</v>
      </c>
      <c r="AV331" s="49" t="n">
        <v>0</v>
      </c>
      <c r="AW331" s="50" t="n">
        <v>0</v>
      </c>
      <c r="AX331" s="51" t="n">
        <v>0</v>
      </c>
      <c r="AY331" s="52" t="n">
        <v>0</v>
      </c>
      <c r="AZ331" s="52" t="n">
        <v>0</v>
      </c>
      <c r="BA331" s="52" t="n">
        <v>0</v>
      </c>
      <c r="BB331" s="53" t="n">
        <v>0</v>
      </c>
      <c r="BC331" s="52" t="n">
        <v>0</v>
      </c>
      <c r="BD331" s="53" t="n">
        <v>0</v>
      </c>
      <c r="BE331" s="52" t="n">
        <v>0</v>
      </c>
      <c r="BF331" s="51" t="n">
        <v>0</v>
      </c>
    </row>
    <row r="332">
      <c r="A332">
        <f>HYPERLINK("https://www.walmart.com/ip/601376420", "601376420")</f>
        <v/>
      </c>
      <c r="B332" t="inlineStr">
        <is>
          <t>Catalonia Wearable Blanket with Sleeves and Pocket, Cozy Soft Fleece Micro Plush Wrap Adult Blanket Robe for Women Men, Makes a Great Gift for Holidays, Purple, 73" x 51”</t>
        </is>
      </c>
      <c r="C332" t="inlineStr">
        <is>
          <t>1CTSN100PP</t>
        </is>
      </c>
      <c r="D332" t="inlineStr">
        <is>
          <t>Throws</t>
        </is>
      </c>
      <c r="E332" t="inlineStr">
        <is>
          <t>Catalonia</t>
        </is>
      </c>
      <c r="F332" t="inlineStr">
        <is>
          <t>Q2-Target,WFS,Coupon_Discount,WFS Item</t>
        </is>
      </c>
      <c r="G332" s="48" t="n">
        <v>0</v>
      </c>
      <c r="H332" s="49" t="n">
        <v>0</v>
      </c>
      <c r="I332" s="49" t="n">
        <v>0</v>
      </c>
      <c r="J332" s="50" t="n">
        <v>0</v>
      </c>
      <c r="K332" s="51" t="n">
        <v>0</v>
      </c>
      <c r="L332" s="52" t="n">
        <v>0</v>
      </c>
      <c r="M332" s="52" t="n">
        <v>0</v>
      </c>
      <c r="N332" s="52" t="n">
        <v>0</v>
      </c>
      <c r="O332" s="53" t="n">
        <v>0</v>
      </c>
      <c r="P332" s="52" t="n">
        <v>0</v>
      </c>
      <c r="Q332" s="53" t="n">
        <v>0</v>
      </c>
      <c r="R332" s="52" t="n">
        <v>0</v>
      </c>
      <c r="S332" s="51" t="n">
        <v>0</v>
      </c>
      <c r="T332" s="48" t="n">
        <v>0</v>
      </c>
      <c r="U332" s="49" t="n">
        <v>0</v>
      </c>
      <c r="V332" s="49" t="n">
        <v>0</v>
      </c>
      <c r="W332" s="50" t="n">
        <v>0</v>
      </c>
      <c r="X332" s="51" t="n">
        <v>0</v>
      </c>
      <c r="Y332" s="52" t="n">
        <v>0</v>
      </c>
      <c r="Z332" s="52" t="n">
        <v>0</v>
      </c>
      <c r="AA332" s="52" t="n">
        <v>0</v>
      </c>
      <c r="AB332" s="53" t="n">
        <v>0</v>
      </c>
      <c r="AC332" s="52" t="n">
        <v>0</v>
      </c>
      <c r="AD332" s="53" t="n">
        <v>0</v>
      </c>
      <c r="AE332" s="52" t="n">
        <v>0</v>
      </c>
      <c r="AF332" s="51" t="n">
        <v>0</v>
      </c>
      <c r="AG332" s="48" t="n">
        <v>21.99</v>
      </c>
      <c r="AH332" s="49" t="n">
        <v>1</v>
      </c>
      <c r="AI332" s="49" t="n">
        <v>0</v>
      </c>
      <c r="AJ332" s="50" t="n">
        <v>0</v>
      </c>
      <c r="AK332" s="51" t="n">
        <v>0</v>
      </c>
      <c r="AL332" s="52" t="n">
        <v>0</v>
      </c>
      <c r="AM332" s="52" t="n">
        <v>0</v>
      </c>
      <c r="AN332" s="52" t="n">
        <v>0</v>
      </c>
      <c r="AO332" s="53" t="n">
        <v>0</v>
      </c>
      <c r="AP332" s="52" t="n">
        <v>0</v>
      </c>
      <c r="AQ332" s="53" t="n">
        <v>0</v>
      </c>
      <c r="AR332" s="52" t="n">
        <v>21.99</v>
      </c>
      <c r="AS332" s="51" t="n">
        <v>0</v>
      </c>
      <c r="AT332" s="48" t="n">
        <v>0</v>
      </c>
      <c r="AU332" s="49" t="n">
        <v>0</v>
      </c>
      <c r="AV332" s="49" t="n">
        <v>0</v>
      </c>
      <c r="AW332" s="50" t="n">
        <v>0</v>
      </c>
      <c r="AX332" s="51" t="n">
        <v>0</v>
      </c>
      <c r="AY332" s="52" t="n">
        <v>0</v>
      </c>
      <c r="AZ332" s="52" t="n">
        <v>0</v>
      </c>
      <c r="BA332" s="52" t="n">
        <v>0</v>
      </c>
      <c r="BB332" s="53" t="n">
        <v>0</v>
      </c>
      <c r="BC332" s="52" t="n">
        <v>0</v>
      </c>
      <c r="BD332" s="53" t="n">
        <v>0</v>
      </c>
      <c r="BE332" s="52" t="n">
        <v>0</v>
      </c>
      <c r="BF332" s="51" t="n">
        <v>0</v>
      </c>
    </row>
    <row r="333">
      <c r="A333">
        <f>HYPERLINK("https://www.walmart.com/ip/601951158", "601951158")</f>
        <v/>
      </c>
      <c r="B333" t="inlineStr">
        <is>
          <t>Catalonia Fleece Wearable Blanket Poncho for Adult Women Men, Wrap Blanket Cape with Pocket | Warm, Soft, Cozy, Snuggly, Comfort Gift, Wrap Blanket Cape with Hood, Gift Idea, Cheetah</t>
        </is>
      </c>
      <c r="C333" t="inlineStr">
        <is>
          <t>1CTBP120CHEETAH</t>
        </is>
      </c>
      <c r="D333" t="inlineStr">
        <is>
          <t>Throws</t>
        </is>
      </c>
      <c r="E333" t="inlineStr">
        <is>
          <t>Catalonia</t>
        </is>
      </c>
      <c r="F333" t="inlineStr">
        <is>
          <t>Q2-Target,Hero 5 Holidays,WFS,cost-added,WFS Item</t>
        </is>
      </c>
      <c r="G333" s="48" t="n">
        <v>0</v>
      </c>
      <c r="H333" s="49" t="n">
        <v>0</v>
      </c>
      <c r="I333" s="49" t="n">
        <v>0</v>
      </c>
      <c r="J333" s="50" t="n">
        <v>0</v>
      </c>
      <c r="K333" s="51" t="n">
        <v>0</v>
      </c>
      <c r="L333" s="52" t="n">
        <v>0</v>
      </c>
      <c r="M333" s="52" t="n">
        <v>0</v>
      </c>
      <c r="N333" s="52" t="n">
        <v>0</v>
      </c>
      <c r="O333" s="53" t="n">
        <v>0</v>
      </c>
      <c r="P333" s="52" t="n">
        <v>0</v>
      </c>
      <c r="Q333" s="53" t="n">
        <v>0</v>
      </c>
      <c r="R333" s="52" t="n">
        <v>0</v>
      </c>
      <c r="S333" s="51" t="n">
        <v>0</v>
      </c>
      <c r="T333" s="48" t="n">
        <v>0</v>
      </c>
      <c r="U333" s="49" t="n">
        <v>0</v>
      </c>
      <c r="V333" s="49" t="n">
        <v>0</v>
      </c>
      <c r="W333" s="50" t="n">
        <v>0</v>
      </c>
      <c r="X333" s="51" t="n">
        <v>0</v>
      </c>
      <c r="Y333" s="52" t="n">
        <v>0</v>
      </c>
      <c r="Z333" s="52" t="n">
        <v>0</v>
      </c>
      <c r="AA333" s="52" t="n">
        <v>0</v>
      </c>
      <c r="AB333" s="53" t="n">
        <v>0</v>
      </c>
      <c r="AC333" s="52" t="n">
        <v>0</v>
      </c>
      <c r="AD333" s="53" t="n">
        <v>0</v>
      </c>
      <c r="AE333" s="52" t="n">
        <v>0</v>
      </c>
      <c r="AF333" s="51" t="n">
        <v>0</v>
      </c>
      <c r="AG333" s="48" t="n">
        <v>0</v>
      </c>
      <c r="AH333" s="49" t="n">
        <v>0</v>
      </c>
      <c r="AI333" s="49" t="n">
        <v>0</v>
      </c>
      <c r="AJ333" s="50" t="n">
        <v>0</v>
      </c>
      <c r="AK333" s="51" t="n">
        <v>0</v>
      </c>
      <c r="AL333" s="52" t="n">
        <v>0</v>
      </c>
      <c r="AM333" s="52" t="n">
        <v>0</v>
      </c>
      <c r="AN333" s="52" t="n">
        <v>0</v>
      </c>
      <c r="AO333" s="53" t="n">
        <v>0</v>
      </c>
      <c r="AP333" s="52" t="n">
        <v>0</v>
      </c>
      <c r="AQ333" s="53" t="n">
        <v>0</v>
      </c>
      <c r="AR333" s="52" t="n">
        <v>0</v>
      </c>
      <c r="AS333" s="51" t="n">
        <v>0</v>
      </c>
      <c r="AT333" s="48" t="n">
        <v>0</v>
      </c>
      <c r="AU333" s="49" t="n">
        <v>0</v>
      </c>
      <c r="AV333" s="49" t="n">
        <v>0</v>
      </c>
      <c r="AW333" s="50" t="n">
        <v>0</v>
      </c>
      <c r="AX333" s="51" t="n">
        <v>0</v>
      </c>
      <c r="AY333" s="52" t="n">
        <v>0</v>
      </c>
      <c r="AZ333" s="52" t="n">
        <v>0</v>
      </c>
      <c r="BA333" s="52" t="n">
        <v>0</v>
      </c>
      <c r="BB333" s="53" t="n">
        <v>0</v>
      </c>
      <c r="BC333" s="52" t="n">
        <v>0</v>
      </c>
      <c r="BD333" s="53" t="n">
        <v>0</v>
      </c>
      <c r="BE333" s="52" t="n">
        <v>0</v>
      </c>
      <c r="BF333" s="51" t="n">
        <v>0</v>
      </c>
    </row>
    <row r="334">
      <c r="A334">
        <f>HYPERLINK("https://www.walmart.com/ip/590343293", "590343293")</f>
        <v/>
      </c>
      <c r="B334" t="inlineStr">
        <is>
          <t>JenniWears 2 Women Beileise Sexy Top Thigh High Stockings+ Garter Belt Suspender</t>
        </is>
      </c>
      <c r="C334" t="inlineStr">
        <is>
          <t>JWBLSPH2011-2 Packs</t>
        </is>
      </c>
      <c r="D334" t="inlineStr">
        <is>
          <t>Pantyhose &amp; Tights</t>
        </is>
      </c>
      <c r="E334" t="inlineStr">
        <is>
          <t>JenniWears</t>
        </is>
      </c>
      <c r="F334" t="inlineStr">
        <is>
          <t>Valentine</t>
        </is>
      </c>
      <c r="G334" s="48" t="n">
        <v>0</v>
      </c>
      <c r="H334" s="49" t="n">
        <v>0</v>
      </c>
      <c r="I334" s="49" t="n">
        <v>0</v>
      </c>
      <c r="J334" s="50" t="n">
        <v>0</v>
      </c>
      <c r="K334" s="51" t="n">
        <v>0</v>
      </c>
      <c r="L334" s="52" t="n">
        <v>0</v>
      </c>
      <c r="M334" s="52" t="n">
        <v>0</v>
      </c>
      <c r="N334" s="52" t="n">
        <v>0</v>
      </c>
      <c r="O334" s="53" t="n">
        <v>0</v>
      </c>
      <c r="P334" s="52" t="n">
        <v>0</v>
      </c>
      <c r="Q334" s="53" t="n">
        <v>0</v>
      </c>
      <c r="R334" s="52" t="n">
        <v>0</v>
      </c>
      <c r="S334" s="51" t="n">
        <v>0</v>
      </c>
      <c r="T334" s="48" t="n">
        <v>0</v>
      </c>
      <c r="U334" s="49" t="n">
        <v>0</v>
      </c>
      <c r="V334" s="49" t="n">
        <v>0</v>
      </c>
      <c r="W334" s="50" t="n">
        <v>0</v>
      </c>
      <c r="X334" s="51" t="n">
        <v>0</v>
      </c>
      <c r="Y334" s="52" t="n">
        <v>0</v>
      </c>
      <c r="Z334" s="52" t="n">
        <v>0</v>
      </c>
      <c r="AA334" s="52" t="n">
        <v>0</v>
      </c>
      <c r="AB334" s="53" t="n">
        <v>0</v>
      </c>
      <c r="AC334" s="52" t="n">
        <v>0</v>
      </c>
      <c r="AD334" s="53" t="n">
        <v>0</v>
      </c>
      <c r="AE334" s="52" t="n">
        <v>0</v>
      </c>
      <c r="AF334" s="51" t="n">
        <v>0</v>
      </c>
      <c r="AG334" s="48" t="n">
        <v>0</v>
      </c>
      <c r="AH334" s="49" t="n">
        <v>0</v>
      </c>
      <c r="AI334" s="49" t="n">
        <v>0</v>
      </c>
      <c r="AJ334" s="50" t="n">
        <v>0</v>
      </c>
      <c r="AK334" s="51" t="n">
        <v>0</v>
      </c>
      <c r="AL334" s="52" t="n">
        <v>0</v>
      </c>
      <c r="AM334" s="52" t="n">
        <v>0</v>
      </c>
      <c r="AN334" s="52" t="n">
        <v>0</v>
      </c>
      <c r="AO334" s="53" t="n">
        <v>0</v>
      </c>
      <c r="AP334" s="52" t="n">
        <v>0</v>
      </c>
      <c r="AQ334" s="53" t="n">
        <v>0</v>
      </c>
      <c r="AR334" s="52" t="n">
        <v>0</v>
      </c>
      <c r="AS334" s="51" t="n">
        <v>0</v>
      </c>
      <c r="AT334" s="48" t="n">
        <v>0</v>
      </c>
      <c r="AU334" s="49" t="n">
        <v>0</v>
      </c>
      <c r="AV334" s="49" t="n">
        <v>0</v>
      </c>
      <c r="AW334" s="50" t="n">
        <v>0</v>
      </c>
      <c r="AX334" s="51" t="n">
        <v>0</v>
      </c>
      <c r="AY334" s="52" t="n">
        <v>0</v>
      </c>
      <c r="AZ334" s="52" t="n">
        <v>0</v>
      </c>
      <c r="BA334" s="52" t="n">
        <v>0</v>
      </c>
      <c r="BB334" s="53" t="n">
        <v>0</v>
      </c>
      <c r="BC334" s="52" t="n">
        <v>0</v>
      </c>
      <c r="BD334" s="53" t="n">
        <v>0</v>
      </c>
      <c r="BE334" s="52" t="n">
        <v>0</v>
      </c>
      <c r="BF334" s="51" t="n">
        <v>0</v>
      </c>
    </row>
    <row r="335">
      <c r="A335">
        <f>HYPERLINK("https://www.walmart.com/ip/602025223", "602025223")</f>
        <v/>
      </c>
      <c r="B335" t="inlineStr">
        <is>
          <t>Catalonia Sherpa Reversible Print Patriotic American Flag Blanket 60"x50" Plush Super Soft Warm Polar Fleece Throws for Couch, Sofa, Bed</t>
        </is>
      </c>
      <c r="C335" t="inlineStr">
        <is>
          <t>1CTBF300USA</t>
        </is>
      </c>
      <c r="D335" t="inlineStr">
        <is>
          <t>Throws</t>
        </is>
      </c>
      <c r="E335" t="inlineStr">
        <is>
          <t>Catalonia</t>
        </is>
      </c>
      <c r="F335" t="inlineStr">
        <is>
          <t>Optimized,WFS,WFS Item</t>
        </is>
      </c>
      <c r="G335" s="48" t="n">
        <v>0</v>
      </c>
      <c r="H335" s="49" t="n">
        <v>0</v>
      </c>
      <c r="I335" s="49" t="n">
        <v>0</v>
      </c>
      <c r="J335" s="50" t="n">
        <v>0</v>
      </c>
      <c r="K335" s="51" t="n">
        <v>0</v>
      </c>
      <c r="L335" s="52" t="n">
        <v>0</v>
      </c>
      <c r="M335" s="52" t="n">
        <v>0</v>
      </c>
      <c r="N335" s="52" t="n">
        <v>0</v>
      </c>
      <c r="O335" s="53" t="n">
        <v>0</v>
      </c>
      <c r="P335" s="52" t="n">
        <v>0</v>
      </c>
      <c r="Q335" s="53" t="n">
        <v>0</v>
      </c>
      <c r="R335" s="52" t="n">
        <v>0</v>
      </c>
      <c r="S335" s="51" t="n">
        <v>0</v>
      </c>
      <c r="T335" s="48" t="n">
        <v>0</v>
      </c>
      <c r="U335" s="49" t="n">
        <v>0</v>
      </c>
      <c r="V335" s="49" t="n">
        <v>0</v>
      </c>
      <c r="W335" s="50" t="n">
        <v>0</v>
      </c>
      <c r="X335" s="51" t="n">
        <v>0</v>
      </c>
      <c r="Y335" s="52" t="n">
        <v>0</v>
      </c>
      <c r="Z335" s="52" t="n">
        <v>0</v>
      </c>
      <c r="AA335" s="52" t="n">
        <v>0</v>
      </c>
      <c r="AB335" s="53" t="n">
        <v>0</v>
      </c>
      <c r="AC335" s="52" t="n">
        <v>0</v>
      </c>
      <c r="AD335" s="53" t="n">
        <v>0</v>
      </c>
      <c r="AE335" s="52" t="n">
        <v>0</v>
      </c>
      <c r="AF335" s="51" t="n">
        <v>0</v>
      </c>
      <c r="AG335" s="48" t="n">
        <v>0</v>
      </c>
      <c r="AH335" s="49" t="n">
        <v>0</v>
      </c>
      <c r="AI335" s="49" t="n">
        <v>0</v>
      </c>
      <c r="AJ335" s="50" t="n">
        <v>0</v>
      </c>
      <c r="AK335" s="51" t="n">
        <v>0</v>
      </c>
      <c r="AL335" s="52" t="n">
        <v>0</v>
      </c>
      <c r="AM335" s="52" t="n">
        <v>0</v>
      </c>
      <c r="AN335" s="52" t="n">
        <v>0</v>
      </c>
      <c r="AO335" s="53" t="n">
        <v>0</v>
      </c>
      <c r="AP335" s="52" t="n">
        <v>0</v>
      </c>
      <c r="AQ335" s="53" t="n">
        <v>0</v>
      </c>
      <c r="AR335" s="52" t="n">
        <v>0</v>
      </c>
      <c r="AS335" s="51" t="n">
        <v>0</v>
      </c>
      <c r="AT335" s="48" t="n">
        <v>0</v>
      </c>
      <c r="AU335" s="49" t="n">
        <v>0</v>
      </c>
      <c r="AV335" s="49" t="n">
        <v>0</v>
      </c>
      <c r="AW335" s="50" t="n">
        <v>0</v>
      </c>
      <c r="AX335" s="51" t="n">
        <v>0</v>
      </c>
      <c r="AY335" s="52" t="n">
        <v>0</v>
      </c>
      <c r="AZ335" s="52" t="n">
        <v>0</v>
      </c>
      <c r="BA335" s="52" t="n">
        <v>0</v>
      </c>
      <c r="BB335" s="53" t="n">
        <v>0</v>
      </c>
      <c r="BC335" s="52" t="n">
        <v>0</v>
      </c>
      <c r="BD335" s="53" t="n">
        <v>0</v>
      </c>
      <c r="BE335" s="52" t="n">
        <v>0</v>
      </c>
      <c r="BF335" s="51" t="n">
        <v>0</v>
      </c>
    </row>
    <row r="336">
      <c r="A336">
        <f>HYPERLINK("https://www.walmart.com/ip/589680078", "589680078")</f>
        <v/>
      </c>
      <c r="B336" t="inlineStr">
        <is>
          <t>Jennis 8in1 Stylish Ladies Magic Scarf Shawl Woolly Charcoal Fiber Head Wrap</t>
        </is>
      </c>
      <c r="C336" t="inlineStr">
        <is>
          <t>MagicScarfClaret</t>
        </is>
      </c>
      <c r="D336" t="inlineStr">
        <is>
          <t>Scarves</t>
        </is>
      </c>
      <c r="E336" t="inlineStr">
        <is>
          <t>JenniWears</t>
        </is>
      </c>
      <c r="F336" t="inlineStr">
        <is>
          <t>Optimized</t>
        </is>
      </c>
      <c r="G336" s="48" t="n">
        <v>0</v>
      </c>
      <c r="H336" s="49" t="n">
        <v>0</v>
      </c>
      <c r="I336" s="49" t="n">
        <v>0</v>
      </c>
      <c r="J336" s="50" t="n">
        <v>0</v>
      </c>
      <c r="K336" s="51" t="n">
        <v>0</v>
      </c>
      <c r="L336" s="52" t="n">
        <v>0</v>
      </c>
      <c r="M336" s="52" t="n">
        <v>0</v>
      </c>
      <c r="N336" s="52" t="n">
        <v>0</v>
      </c>
      <c r="O336" s="53" t="n">
        <v>0</v>
      </c>
      <c r="P336" s="52" t="n">
        <v>0</v>
      </c>
      <c r="Q336" s="53" t="n">
        <v>0</v>
      </c>
      <c r="R336" s="52" t="n">
        <v>0</v>
      </c>
      <c r="S336" s="51" t="n">
        <v>0</v>
      </c>
      <c r="T336" s="48" t="n">
        <v>0</v>
      </c>
      <c r="U336" s="49" t="n">
        <v>0</v>
      </c>
      <c r="V336" s="49" t="n">
        <v>0</v>
      </c>
      <c r="W336" s="50" t="n">
        <v>0</v>
      </c>
      <c r="X336" s="51" t="n">
        <v>0</v>
      </c>
      <c r="Y336" s="52" t="n">
        <v>0</v>
      </c>
      <c r="Z336" s="52" t="n">
        <v>0</v>
      </c>
      <c r="AA336" s="52" t="n">
        <v>0</v>
      </c>
      <c r="AB336" s="53" t="n">
        <v>0</v>
      </c>
      <c r="AC336" s="52" t="n">
        <v>0</v>
      </c>
      <c r="AD336" s="53" t="n">
        <v>0</v>
      </c>
      <c r="AE336" s="52" t="n">
        <v>0</v>
      </c>
      <c r="AF336" s="51" t="n">
        <v>0</v>
      </c>
      <c r="AG336" s="48" t="n">
        <v>0</v>
      </c>
      <c r="AH336" s="49" t="n">
        <v>0</v>
      </c>
      <c r="AI336" s="49" t="n">
        <v>0</v>
      </c>
      <c r="AJ336" s="50" t="n">
        <v>0</v>
      </c>
      <c r="AK336" s="51" t="n">
        <v>0</v>
      </c>
      <c r="AL336" s="52" t="n">
        <v>0</v>
      </c>
      <c r="AM336" s="52" t="n">
        <v>0</v>
      </c>
      <c r="AN336" s="52" t="n">
        <v>0</v>
      </c>
      <c r="AO336" s="53" t="n">
        <v>0</v>
      </c>
      <c r="AP336" s="52" t="n">
        <v>0</v>
      </c>
      <c r="AQ336" s="53" t="n">
        <v>0</v>
      </c>
      <c r="AR336" s="52" t="n">
        <v>0</v>
      </c>
      <c r="AS336" s="51" t="n">
        <v>0</v>
      </c>
      <c r="AT336" s="48" t="n">
        <v>0</v>
      </c>
      <c r="AU336" s="49" t="n">
        <v>0</v>
      </c>
      <c r="AV336" s="49" t="n">
        <v>0</v>
      </c>
      <c r="AW336" s="50" t="n">
        <v>0</v>
      </c>
      <c r="AX336" s="51" t="n">
        <v>0</v>
      </c>
      <c r="AY336" s="52" t="n">
        <v>0</v>
      </c>
      <c r="AZ336" s="52" t="n">
        <v>0</v>
      </c>
      <c r="BA336" s="52" t="n">
        <v>0</v>
      </c>
      <c r="BB336" s="53" t="n">
        <v>0</v>
      </c>
      <c r="BC336" s="52" t="n">
        <v>0</v>
      </c>
      <c r="BD336" s="53" t="n">
        <v>0</v>
      </c>
      <c r="BE336" s="52" t="n">
        <v>0</v>
      </c>
      <c r="BF336" s="51" t="n">
        <v>0</v>
      </c>
    </row>
    <row r="337">
      <c r="A337">
        <f>HYPERLINK("https://www.walmart.com/ip/6029516944", "6029516944")</f>
        <v/>
      </c>
      <c r="B337" t="inlineStr">
        <is>
          <t>Tirrinia Mesh Beach Bag with Cooler Compartment, Extra Large Totes for Beach Travel, Functional Fashion Beach Bag for Women</t>
        </is>
      </c>
      <c r="C337" t="inlineStr">
        <is>
          <t>1TRCB00112AQ</t>
        </is>
      </c>
      <c r="D337" t="inlineStr">
        <is>
          <t>Handbags</t>
        </is>
      </c>
      <c r="E337" t="inlineStr">
        <is>
          <t>Tirrinia</t>
        </is>
      </c>
      <c r="G337" s="48" t="n">
        <v>0</v>
      </c>
      <c r="H337" s="49" t="n">
        <v>0</v>
      </c>
      <c r="I337" s="49" t="n">
        <v>0</v>
      </c>
      <c r="J337" s="50" t="n">
        <v>0</v>
      </c>
      <c r="K337" s="51" t="n">
        <v>0</v>
      </c>
      <c r="L337" s="52" t="n">
        <v>0</v>
      </c>
      <c r="M337" s="52" t="n">
        <v>0</v>
      </c>
      <c r="N337" s="52" t="n">
        <v>0</v>
      </c>
      <c r="O337" s="53" t="n">
        <v>0</v>
      </c>
      <c r="P337" s="52" t="n">
        <v>0</v>
      </c>
      <c r="Q337" s="53" t="n">
        <v>0</v>
      </c>
      <c r="R337" s="52" t="n">
        <v>0</v>
      </c>
      <c r="S337" s="51" t="n">
        <v>0</v>
      </c>
      <c r="T337" s="48" t="n">
        <v>0</v>
      </c>
      <c r="U337" s="49" t="n">
        <v>0</v>
      </c>
      <c r="V337" s="49" t="n">
        <v>0</v>
      </c>
      <c r="W337" s="50" t="n">
        <v>0</v>
      </c>
      <c r="X337" s="51" t="n">
        <v>0</v>
      </c>
      <c r="Y337" s="52" t="n">
        <v>0</v>
      </c>
      <c r="Z337" s="52" t="n">
        <v>0</v>
      </c>
      <c r="AA337" s="52" t="n">
        <v>0</v>
      </c>
      <c r="AB337" s="53" t="n">
        <v>0</v>
      </c>
      <c r="AC337" s="52" t="n">
        <v>0</v>
      </c>
      <c r="AD337" s="53" t="n">
        <v>0</v>
      </c>
      <c r="AE337" s="52" t="n">
        <v>0</v>
      </c>
      <c r="AF337" s="51" t="n">
        <v>0</v>
      </c>
      <c r="AG337" s="48" t="n">
        <v>0</v>
      </c>
      <c r="AH337" s="49" t="n">
        <v>0</v>
      </c>
      <c r="AI337" s="49" t="n">
        <v>0</v>
      </c>
      <c r="AJ337" s="50" t="n">
        <v>0</v>
      </c>
      <c r="AK337" s="51" t="n">
        <v>0</v>
      </c>
      <c r="AL337" s="52" t="n">
        <v>0</v>
      </c>
      <c r="AM337" s="52" t="n">
        <v>0</v>
      </c>
      <c r="AN337" s="52" t="n">
        <v>0</v>
      </c>
      <c r="AO337" s="53" t="n">
        <v>0</v>
      </c>
      <c r="AP337" s="52" t="n">
        <v>0</v>
      </c>
      <c r="AQ337" s="53" t="n">
        <v>0</v>
      </c>
      <c r="AR337" s="52" t="n">
        <v>0</v>
      </c>
      <c r="AS337" s="51" t="n">
        <v>0</v>
      </c>
      <c r="AT337" s="48" t="n">
        <v>0</v>
      </c>
      <c r="AU337" s="49" t="n">
        <v>0</v>
      </c>
      <c r="AV337" s="49" t="n">
        <v>0</v>
      </c>
      <c r="AW337" s="50" t="n">
        <v>0</v>
      </c>
      <c r="AX337" s="51" t="n">
        <v>0</v>
      </c>
      <c r="AY337" s="52" t="n">
        <v>0</v>
      </c>
      <c r="AZ337" s="52" t="n">
        <v>0</v>
      </c>
      <c r="BA337" s="52" t="n">
        <v>0</v>
      </c>
      <c r="BB337" s="53" t="n">
        <v>0</v>
      </c>
      <c r="BC337" s="52" t="n">
        <v>0</v>
      </c>
      <c r="BD337" s="53" t="n">
        <v>0</v>
      </c>
      <c r="BE337" s="52" t="n">
        <v>0</v>
      </c>
      <c r="BF337" s="51" t="n">
        <v>0</v>
      </c>
    </row>
    <row r="338">
      <c r="A338">
        <f>HYPERLINK("https://www.walmart.com/ip/603198106", "603198106")</f>
        <v/>
      </c>
      <c r="B338" t="inlineStr">
        <is>
          <t>Two Pieces Double up Tankini Swimsuit for Women Bathing Suits Set by Tirrinia</t>
        </is>
      </c>
      <c r="C338" t="inlineStr">
        <is>
          <t>1TRSS002WH-XL</t>
        </is>
      </c>
      <c r="D338" t="inlineStr">
        <is>
          <t>Swimsuit Sets</t>
        </is>
      </c>
      <c r="E338" t="inlineStr">
        <is>
          <t>Tirrinia</t>
        </is>
      </c>
      <c r="F338" t="inlineStr">
        <is>
          <t>Batch 1 - TR</t>
        </is>
      </c>
      <c r="G338" s="48" t="n">
        <v>0</v>
      </c>
      <c r="H338" s="49" t="n">
        <v>0</v>
      </c>
      <c r="I338" s="49" t="n">
        <v>0</v>
      </c>
      <c r="J338" s="50" t="n">
        <v>0</v>
      </c>
      <c r="K338" s="51" t="n">
        <v>0</v>
      </c>
      <c r="L338" s="52" t="n">
        <v>0</v>
      </c>
      <c r="M338" s="52" t="n">
        <v>0</v>
      </c>
      <c r="N338" s="52" t="n">
        <v>0</v>
      </c>
      <c r="O338" s="53" t="n">
        <v>0</v>
      </c>
      <c r="P338" s="52" t="n">
        <v>0</v>
      </c>
      <c r="Q338" s="53" t="n">
        <v>0</v>
      </c>
      <c r="R338" s="52" t="n">
        <v>0</v>
      </c>
      <c r="S338" s="51" t="n">
        <v>0</v>
      </c>
      <c r="T338" s="48" t="n">
        <v>0</v>
      </c>
      <c r="U338" s="49" t="n">
        <v>0</v>
      </c>
      <c r="V338" s="49" t="n">
        <v>0</v>
      </c>
      <c r="W338" s="50" t="n">
        <v>0</v>
      </c>
      <c r="X338" s="51" t="n">
        <v>0</v>
      </c>
      <c r="Y338" s="52" t="n">
        <v>0</v>
      </c>
      <c r="Z338" s="52" t="n">
        <v>0</v>
      </c>
      <c r="AA338" s="52" t="n">
        <v>0</v>
      </c>
      <c r="AB338" s="53" t="n">
        <v>0</v>
      </c>
      <c r="AC338" s="52" t="n">
        <v>0</v>
      </c>
      <c r="AD338" s="53" t="n">
        <v>0</v>
      </c>
      <c r="AE338" s="52" t="n">
        <v>0</v>
      </c>
      <c r="AF338" s="51" t="n">
        <v>0</v>
      </c>
      <c r="AG338" s="48" t="n">
        <v>0</v>
      </c>
      <c r="AH338" s="49" t="n">
        <v>0</v>
      </c>
      <c r="AI338" s="49" t="n">
        <v>0</v>
      </c>
      <c r="AJ338" s="50" t="n">
        <v>0</v>
      </c>
      <c r="AK338" s="51" t="n">
        <v>0</v>
      </c>
      <c r="AL338" s="52" t="n">
        <v>0</v>
      </c>
      <c r="AM338" s="52" t="n">
        <v>0</v>
      </c>
      <c r="AN338" s="52" t="n">
        <v>0</v>
      </c>
      <c r="AO338" s="53" t="n">
        <v>0</v>
      </c>
      <c r="AP338" s="52" t="n">
        <v>0</v>
      </c>
      <c r="AQ338" s="53" t="n">
        <v>0</v>
      </c>
      <c r="AR338" s="52" t="n">
        <v>0</v>
      </c>
      <c r="AS338" s="51" t="n">
        <v>0</v>
      </c>
      <c r="AT338" s="48" t="n">
        <v>0</v>
      </c>
      <c r="AU338" s="49" t="n">
        <v>0</v>
      </c>
      <c r="AV338" s="49" t="n">
        <v>0</v>
      </c>
      <c r="AW338" s="50" t="n">
        <v>0</v>
      </c>
      <c r="AX338" s="51" t="n">
        <v>0</v>
      </c>
      <c r="AY338" s="52" t="n">
        <v>0</v>
      </c>
      <c r="AZ338" s="52" t="n">
        <v>0</v>
      </c>
      <c r="BA338" s="52" t="n">
        <v>0</v>
      </c>
      <c r="BB338" s="53" t="n">
        <v>0</v>
      </c>
      <c r="BC338" s="52" t="n">
        <v>0</v>
      </c>
      <c r="BD338" s="53" t="n">
        <v>0</v>
      </c>
      <c r="BE338" s="52" t="n">
        <v>0</v>
      </c>
      <c r="BF338" s="51" t="n">
        <v>0</v>
      </c>
    </row>
    <row r="339">
      <c r="A339">
        <f>HYPERLINK("https://www.walmart.com/ip/588732180", "588732180")</f>
        <v/>
      </c>
      <c r="B339" t="inlineStr">
        <is>
          <t>Flyingstar Surf Towel Robe, Quick Dry Beach Wetsuit Changing / Bath Robe Poncho for Surfing, Swimming and Bathing Unisex, Pink</t>
        </is>
      </c>
      <c r="C339" t="inlineStr">
        <is>
          <t>1WMBR100-PB</t>
        </is>
      </c>
      <c r="D339" t="inlineStr">
        <is>
          <t>Towels &amp; Washcloths</t>
        </is>
      </c>
      <c r="E339" t="inlineStr">
        <is>
          <t>Flyingstar</t>
        </is>
      </c>
      <c r="F339" t="inlineStr">
        <is>
          <t>Optimized,Beach Robe Camp</t>
        </is>
      </c>
      <c r="G339" s="48" t="n">
        <v>0</v>
      </c>
      <c r="H339" s="49" t="n">
        <v>0</v>
      </c>
      <c r="I339" s="49" t="n">
        <v>0</v>
      </c>
      <c r="J339" s="50" t="n">
        <v>0</v>
      </c>
      <c r="K339" s="51" t="n">
        <v>0</v>
      </c>
      <c r="L339" s="52" t="n">
        <v>0</v>
      </c>
      <c r="M339" s="52" t="n">
        <v>0</v>
      </c>
      <c r="N339" s="52" t="n">
        <v>0</v>
      </c>
      <c r="O339" s="53" t="n">
        <v>0</v>
      </c>
      <c r="P339" s="52" t="n">
        <v>0</v>
      </c>
      <c r="Q339" s="53" t="n">
        <v>0</v>
      </c>
      <c r="R339" s="52" t="n">
        <v>0</v>
      </c>
      <c r="S339" s="51" t="n">
        <v>0</v>
      </c>
      <c r="T339" s="48" t="n">
        <v>0</v>
      </c>
      <c r="U339" s="49" t="n">
        <v>0</v>
      </c>
      <c r="V339" s="49" t="n">
        <v>0</v>
      </c>
      <c r="W339" s="50" t="n">
        <v>0</v>
      </c>
      <c r="X339" s="51" t="n">
        <v>0</v>
      </c>
      <c r="Y339" s="52" t="n">
        <v>0</v>
      </c>
      <c r="Z339" s="52" t="n">
        <v>0</v>
      </c>
      <c r="AA339" s="52" t="n">
        <v>0</v>
      </c>
      <c r="AB339" s="53" t="n">
        <v>0</v>
      </c>
      <c r="AC339" s="52" t="n">
        <v>0</v>
      </c>
      <c r="AD339" s="53" t="n">
        <v>0</v>
      </c>
      <c r="AE339" s="52" t="n">
        <v>0</v>
      </c>
      <c r="AF339" s="51" t="n">
        <v>0</v>
      </c>
      <c r="AG339" s="48" t="n">
        <v>0</v>
      </c>
      <c r="AH339" s="49" t="n">
        <v>0</v>
      </c>
      <c r="AI339" s="49" t="n">
        <v>0</v>
      </c>
      <c r="AJ339" s="50" t="n">
        <v>0</v>
      </c>
      <c r="AK339" s="51" t="n">
        <v>0</v>
      </c>
      <c r="AL339" s="52" t="n">
        <v>0</v>
      </c>
      <c r="AM339" s="52" t="n">
        <v>0</v>
      </c>
      <c r="AN339" s="52" t="n">
        <v>0</v>
      </c>
      <c r="AO339" s="53" t="n">
        <v>0</v>
      </c>
      <c r="AP339" s="52" t="n">
        <v>0</v>
      </c>
      <c r="AQ339" s="53" t="n">
        <v>0</v>
      </c>
      <c r="AR339" s="52" t="n">
        <v>0</v>
      </c>
      <c r="AS339" s="51" t="n">
        <v>0</v>
      </c>
      <c r="AT339" s="48" t="n">
        <v>0</v>
      </c>
      <c r="AU339" s="49" t="n">
        <v>0</v>
      </c>
      <c r="AV339" s="49" t="n">
        <v>0</v>
      </c>
      <c r="AW339" s="50" t="n">
        <v>0</v>
      </c>
      <c r="AX339" s="51" t="n">
        <v>0</v>
      </c>
      <c r="AY339" s="52" t="n">
        <v>0</v>
      </c>
      <c r="AZ339" s="52" t="n">
        <v>0</v>
      </c>
      <c r="BA339" s="52" t="n">
        <v>0</v>
      </c>
      <c r="BB339" s="53" t="n">
        <v>0</v>
      </c>
      <c r="BC339" s="52" t="n">
        <v>0</v>
      </c>
      <c r="BD339" s="53" t="n">
        <v>0</v>
      </c>
      <c r="BE339" s="52" t="n">
        <v>0</v>
      </c>
      <c r="BF339" s="51" t="n">
        <v>0</v>
      </c>
    </row>
    <row r="340">
      <c r="A340">
        <f>HYPERLINK("https://www.walmart.com/ip/588720049", "588720049")</f>
        <v/>
      </c>
      <c r="B340" t="inlineStr">
        <is>
          <t>Tirrinia Super Soft Plush Christmas Fleece Throw Blanket, Sherpa, Grey Buffalo Plaid, 50" x 60"</t>
        </is>
      </c>
      <c r="C340" t="inlineStr">
        <is>
          <t>1TRBF569PGY-TBCB</t>
        </is>
      </c>
      <c r="D340" t="inlineStr">
        <is>
          <t>Throws</t>
        </is>
      </c>
      <c r="E340" t="inlineStr">
        <is>
          <t>Tirrinia</t>
        </is>
      </c>
      <c r="F340" t="inlineStr">
        <is>
          <t>Optimized,Coupon_Discount</t>
        </is>
      </c>
      <c r="G340" s="48" t="n">
        <v>0</v>
      </c>
      <c r="H340" s="49" t="n">
        <v>0</v>
      </c>
      <c r="I340" s="49" t="n">
        <v>0</v>
      </c>
      <c r="J340" s="50" t="n">
        <v>0</v>
      </c>
      <c r="K340" s="51" t="n">
        <v>0</v>
      </c>
      <c r="L340" s="52" t="n">
        <v>0</v>
      </c>
      <c r="M340" s="52" t="n">
        <v>0</v>
      </c>
      <c r="N340" s="52" t="n">
        <v>0</v>
      </c>
      <c r="O340" s="53" t="n">
        <v>0</v>
      </c>
      <c r="P340" s="52" t="n">
        <v>0</v>
      </c>
      <c r="Q340" s="53" t="n">
        <v>0</v>
      </c>
      <c r="R340" s="52" t="n">
        <v>0</v>
      </c>
      <c r="S340" s="51" t="n">
        <v>0</v>
      </c>
      <c r="T340" s="48" t="n">
        <v>16.99</v>
      </c>
      <c r="U340" s="49" t="n">
        <v>1</v>
      </c>
      <c r="V340" s="49" t="n">
        <v>0</v>
      </c>
      <c r="W340" s="50" t="n">
        <v>0</v>
      </c>
      <c r="X340" s="51" t="n">
        <v>0</v>
      </c>
      <c r="Y340" s="52" t="n">
        <v>0</v>
      </c>
      <c r="Z340" s="52" t="n">
        <v>0</v>
      </c>
      <c r="AA340" s="52" t="n">
        <v>0</v>
      </c>
      <c r="AB340" s="53" t="n">
        <v>0</v>
      </c>
      <c r="AC340" s="52" t="n">
        <v>0</v>
      </c>
      <c r="AD340" s="53" t="n">
        <v>0</v>
      </c>
      <c r="AE340" s="52" t="n">
        <v>16.99</v>
      </c>
      <c r="AF340" s="51" t="n">
        <v>0</v>
      </c>
      <c r="AG340" s="48" t="n">
        <v>0</v>
      </c>
      <c r="AH340" s="49" t="n">
        <v>0</v>
      </c>
      <c r="AI340" s="49" t="n">
        <v>0</v>
      </c>
      <c r="AJ340" s="50" t="n">
        <v>0</v>
      </c>
      <c r="AK340" s="51" t="n">
        <v>0</v>
      </c>
      <c r="AL340" s="52" t="n">
        <v>0</v>
      </c>
      <c r="AM340" s="52" t="n">
        <v>0</v>
      </c>
      <c r="AN340" s="52" t="n">
        <v>0</v>
      </c>
      <c r="AO340" s="53" t="n">
        <v>0</v>
      </c>
      <c r="AP340" s="52" t="n">
        <v>0</v>
      </c>
      <c r="AQ340" s="53" t="n">
        <v>0</v>
      </c>
      <c r="AR340" s="52" t="n">
        <v>0</v>
      </c>
      <c r="AS340" s="51" t="n">
        <v>0</v>
      </c>
      <c r="AT340" s="48" t="n">
        <v>0</v>
      </c>
      <c r="AU340" s="49" t="n">
        <v>0</v>
      </c>
      <c r="AV340" s="49" t="n">
        <v>0</v>
      </c>
      <c r="AW340" s="50" t="n">
        <v>0</v>
      </c>
      <c r="AX340" s="51" t="n">
        <v>0</v>
      </c>
      <c r="AY340" s="52" t="n">
        <v>0</v>
      </c>
      <c r="AZ340" s="52" t="n">
        <v>0</v>
      </c>
      <c r="BA340" s="52" t="n">
        <v>0</v>
      </c>
      <c r="BB340" s="53" t="n">
        <v>0</v>
      </c>
      <c r="BC340" s="52" t="n">
        <v>0</v>
      </c>
      <c r="BD340" s="53" t="n">
        <v>0</v>
      </c>
      <c r="BE340" s="52" t="n">
        <v>0</v>
      </c>
      <c r="BF340" s="51" t="n">
        <v>0</v>
      </c>
    </row>
    <row r="341">
      <c r="A341">
        <f>HYPERLINK("https://www.walmart.com/ip/588250967", "588250967")</f>
        <v/>
      </c>
      <c r="B341" t="inlineStr">
        <is>
          <t>Flyingstar Blanket with Sleeves and Pocket, Wearable Throws Blanket, Robe for Women and Men 73” x 51” Black</t>
        </is>
      </c>
      <c r="C341" t="inlineStr">
        <is>
          <t>1WMSN100BK-ESGM</t>
        </is>
      </c>
      <c r="D341" t="inlineStr">
        <is>
          <t>Throws</t>
        </is>
      </c>
      <c r="E341" t="inlineStr">
        <is>
          <t>Flyingstar</t>
        </is>
      </c>
      <c r="F341" t="inlineStr">
        <is>
          <t>Batch 1 - TR</t>
        </is>
      </c>
      <c r="G341" s="48" t="n">
        <v>0</v>
      </c>
      <c r="H341" s="49" t="n">
        <v>0</v>
      </c>
      <c r="I341" s="49" t="n">
        <v>0</v>
      </c>
      <c r="J341" s="50" t="n">
        <v>0</v>
      </c>
      <c r="K341" s="51" t="n">
        <v>0</v>
      </c>
      <c r="L341" s="52" t="n">
        <v>0</v>
      </c>
      <c r="M341" s="52" t="n">
        <v>0</v>
      </c>
      <c r="N341" s="52" t="n">
        <v>0</v>
      </c>
      <c r="O341" s="53" t="n">
        <v>0</v>
      </c>
      <c r="P341" s="52" t="n">
        <v>0</v>
      </c>
      <c r="Q341" s="53" t="n">
        <v>0</v>
      </c>
      <c r="R341" s="52" t="n">
        <v>0</v>
      </c>
      <c r="S341" s="51" t="n">
        <v>0</v>
      </c>
      <c r="T341" s="48" t="n">
        <v>0</v>
      </c>
      <c r="U341" s="49" t="n">
        <v>0</v>
      </c>
      <c r="V341" s="49" t="n">
        <v>0</v>
      </c>
      <c r="W341" s="50" t="n">
        <v>0</v>
      </c>
      <c r="X341" s="51" t="n">
        <v>0</v>
      </c>
      <c r="Y341" s="52" t="n">
        <v>0</v>
      </c>
      <c r="Z341" s="52" t="n">
        <v>0</v>
      </c>
      <c r="AA341" s="52" t="n">
        <v>0</v>
      </c>
      <c r="AB341" s="53" t="n">
        <v>0</v>
      </c>
      <c r="AC341" s="52" t="n">
        <v>0</v>
      </c>
      <c r="AD341" s="53" t="n">
        <v>0</v>
      </c>
      <c r="AE341" s="52" t="n">
        <v>0</v>
      </c>
      <c r="AF341" s="51" t="n">
        <v>0</v>
      </c>
      <c r="AG341" s="48" t="n">
        <v>0</v>
      </c>
      <c r="AH341" s="49" t="n">
        <v>0</v>
      </c>
      <c r="AI341" s="49" t="n">
        <v>0</v>
      </c>
      <c r="AJ341" s="50" t="n">
        <v>0</v>
      </c>
      <c r="AK341" s="51" t="n">
        <v>0</v>
      </c>
      <c r="AL341" s="52" t="n">
        <v>0</v>
      </c>
      <c r="AM341" s="52" t="n">
        <v>0</v>
      </c>
      <c r="AN341" s="52" t="n">
        <v>0</v>
      </c>
      <c r="AO341" s="53" t="n">
        <v>0</v>
      </c>
      <c r="AP341" s="52" t="n">
        <v>0</v>
      </c>
      <c r="AQ341" s="53" t="n">
        <v>0</v>
      </c>
      <c r="AR341" s="52" t="n">
        <v>0</v>
      </c>
      <c r="AS341" s="51" t="n">
        <v>0</v>
      </c>
      <c r="AT341" s="48" t="n">
        <v>0</v>
      </c>
      <c r="AU341" s="49" t="n">
        <v>0</v>
      </c>
      <c r="AV341" s="49" t="n">
        <v>0</v>
      </c>
      <c r="AW341" s="50" t="n">
        <v>0</v>
      </c>
      <c r="AX341" s="51" t="n">
        <v>0</v>
      </c>
      <c r="AY341" s="52" t="n">
        <v>0</v>
      </c>
      <c r="AZ341" s="52" t="n">
        <v>0</v>
      </c>
      <c r="BA341" s="52" t="n">
        <v>0</v>
      </c>
      <c r="BB341" s="53" t="n">
        <v>0</v>
      </c>
      <c r="BC341" s="52" t="n">
        <v>0</v>
      </c>
      <c r="BD341" s="53" t="n">
        <v>0</v>
      </c>
      <c r="BE341" s="52" t="n">
        <v>0</v>
      </c>
      <c r="BF341" s="51" t="n">
        <v>0</v>
      </c>
    </row>
    <row r="342">
      <c r="A342">
        <f>HYPERLINK("https://www.walmart.com/ip/608669736", "608669736")</f>
        <v/>
      </c>
      <c r="B342" t="inlineStr">
        <is>
          <t>Catalonia Oversized Hoodie Blanket with Zipper, Wearable Sherpa Sweatshirt Pullover, Soft Warm Comfortable Jacket for Adults Men Women, Pink</t>
        </is>
      </c>
      <c r="C342" t="inlineStr">
        <is>
          <t>1CTHD220PK</t>
        </is>
      </c>
      <c r="D342" t="inlineStr">
        <is>
          <t>Throws</t>
        </is>
      </c>
      <c r="E342" t="inlineStr">
        <is>
          <t>Catalonia</t>
        </is>
      </c>
      <c r="F342" t="inlineStr">
        <is>
          <t>Hoodie ForAdult,Optimized,Coupon_Discount</t>
        </is>
      </c>
      <c r="G342" s="48" t="n">
        <v>0</v>
      </c>
      <c r="H342" s="49" t="n">
        <v>0</v>
      </c>
      <c r="I342" s="49" t="n">
        <v>0</v>
      </c>
      <c r="J342" s="50" t="n">
        <v>0</v>
      </c>
      <c r="K342" s="51" t="n">
        <v>0</v>
      </c>
      <c r="L342" s="52" t="n">
        <v>0</v>
      </c>
      <c r="M342" s="52" t="n">
        <v>0</v>
      </c>
      <c r="N342" s="52" t="n">
        <v>0</v>
      </c>
      <c r="O342" s="53" t="n">
        <v>0</v>
      </c>
      <c r="P342" s="52" t="n">
        <v>0</v>
      </c>
      <c r="Q342" s="53" t="n">
        <v>0</v>
      </c>
      <c r="R342" s="52" t="n">
        <v>0</v>
      </c>
      <c r="S342" s="51" t="n">
        <v>0</v>
      </c>
      <c r="T342" s="48" t="n">
        <v>0</v>
      </c>
      <c r="U342" s="49" t="n">
        <v>0</v>
      </c>
      <c r="V342" s="49" t="n">
        <v>0</v>
      </c>
      <c r="W342" s="50" t="n">
        <v>0</v>
      </c>
      <c r="X342" s="51" t="n">
        <v>0</v>
      </c>
      <c r="Y342" s="52" t="n">
        <v>0</v>
      </c>
      <c r="Z342" s="52" t="n">
        <v>0</v>
      </c>
      <c r="AA342" s="52" t="n">
        <v>0</v>
      </c>
      <c r="AB342" s="53" t="n">
        <v>0</v>
      </c>
      <c r="AC342" s="52" t="n">
        <v>0</v>
      </c>
      <c r="AD342" s="53" t="n">
        <v>0</v>
      </c>
      <c r="AE342" s="52" t="n">
        <v>0</v>
      </c>
      <c r="AF342" s="51" t="n">
        <v>0</v>
      </c>
      <c r="AG342" s="48" t="n">
        <v>0</v>
      </c>
      <c r="AH342" s="49" t="n">
        <v>0</v>
      </c>
      <c r="AI342" s="49" t="n">
        <v>0</v>
      </c>
      <c r="AJ342" s="50" t="n">
        <v>0</v>
      </c>
      <c r="AK342" s="51" t="n">
        <v>0</v>
      </c>
      <c r="AL342" s="52" t="n">
        <v>0</v>
      </c>
      <c r="AM342" s="52" t="n">
        <v>0</v>
      </c>
      <c r="AN342" s="52" t="n">
        <v>0</v>
      </c>
      <c r="AO342" s="53" t="n">
        <v>0</v>
      </c>
      <c r="AP342" s="52" t="n">
        <v>0</v>
      </c>
      <c r="AQ342" s="53" t="n">
        <v>0</v>
      </c>
      <c r="AR342" s="52" t="n">
        <v>0</v>
      </c>
      <c r="AS342" s="51" t="n">
        <v>0</v>
      </c>
      <c r="AT342" s="48" t="n">
        <v>0</v>
      </c>
      <c r="AU342" s="49" t="n">
        <v>0</v>
      </c>
      <c r="AV342" s="49" t="n">
        <v>0</v>
      </c>
      <c r="AW342" s="50" t="n">
        <v>0</v>
      </c>
      <c r="AX342" s="51" t="n">
        <v>0</v>
      </c>
      <c r="AY342" s="52" t="n">
        <v>0</v>
      </c>
      <c r="AZ342" s="52" t="n">
        <v>0</v>
      </c>
      <c r="BA342" s="52" t="n">
        <v>0</v>
      </c>
      <c r="BB342" s="53" t="n">
        <v>0</v>
      </c>
      <c r="BC342" s="52" t="n">
        <v>0</v>
      </c>
      <c r="BD342" s="53" t="n">
        <v>0</v>
      </c>
      <c r="BE342" s="52" t="n">
        <v>0</v>
      </c>
      <c r="BF342" s="51" t="n">
        <v>0</v>
      </c>
    </row>
    <row r="343">
      <c r="A343">
        <f>HYPERLINK("https://www.walmart.com/ip/5790944672", "5790944672")</f>
        <v/>
      </c>
      <c r="B343" t="inlineStr">
        <is>
          <t>Catalonia Cooling Blanket for Hot Sleepers, Summer Bed Blanket for Warm Night Sweat, Cool Sofa Throw Blanket for Hot Flashes, Soft Thin Lightweight Blanket for Adults Kids</t>
        </is>
      </c>
      <c r="C343" t="inlineStr">
        <is>
          <t>1CTBQ10199GY</t>
        </is>
      </c>
      <c r="D343" t="inlineStr">
        <is>
          <t>Throws</t>
        </is>
      </c>
      <c r="E343" t="inlineStr">
        <is>
          <t>Catalonia</t>
        </is>
      </c>
      <c r="G343" s="48" t="n">
        <v>0</v>
      </c>
      <c r="H343" s="49" t="n">
        <v>0</v>
      </c>
      <c r="I343" s="49" t="n">
        <v>0</v>
      </c>
      <c r="J343" s="50" t="n">
        <v>0</v>
      </c>
      <c r="K343" s="51" t="n">
        <v>0</v>
      </c>
      <c r="L343" s="52" t="n">
        <v>0</v>
      </c>
      <c r="M343" s="52" t="n">
        <v>0</v>
      </c>
      <c r="N343" s="52" t="n">
        <v>0</v>
      </c>
      <c r="O343" s="53" t="n">
        <v>0</v>
      </c>
      <c r="P343" s="52" t="n">
        <v>0</v>
      </c>
      <c r="Q343" s="53" t="n">
        <v>0</v>
      </c>
      <c r="R343" s="52" t="n">
        <v>0</v>
      </c>
      <c r="S343" s="51" t="n">
        <v>0</v>
      </c>
      <c r="T343" s="48" t="n">
        <v>0</v>
      </c>
      <c r="U343" s="49" t="n">
        <v>0</v>
      </c>
      <c r="V343" s="49" t="n">
        <v>0</v>
      </c>
      <c r="W343" s="50" t="n">
        <v>0</v>
      </c>
      <c r="X343" s="51" t="n">
        <v>0</v>
      </c>
      <c r="Y343" s="52" t="n">
        <v>0</v>
      </c>
      <c r="Z343" s="52" t="n">
        <v>0</v>
      </c>
      <c r="AA343" s="52" t="n">
        <v>0</v>
      </c>
      <c r="AB343" s="53" t="n">
        <v>0</v>
      </c>
      <c r="AC343" s="52" t="n">
        <v>0</v>
      </c>
      <c r="AD343" s="53" t="n">
        <v>0</v>
      </c>
      <c r="AE343" s="52" t="n">
        <v>0</v>
      </c>
      <c r="AF343" s="51" t="n">
        <v>0</v>
      </c>
      <c r="AG343" s="48" t="n">
        <v>0</v>
      </c>
      <c r="AH343" s="49" t="n">
        <v>0</v>
      </c>
      <c r="AI343" s="49" t="n">
        <v>0</v>
      </c>
      <c r="AJ343" s="50" t="n">
        <v>0</v>
      </c>
      <c r="AK343" s="51" t="n">
        <v>0</v>
      </c>
      <c r="AL343" s="52" t="n">
        <v>0</v>
      </c>
      <c r="AM343" s="52" t="n">
        <v>0</v>
      </c>
      <c r="AN343" s="52" t="n">
        <v>0</v>
      </c>
      <c r="AO343" s="53" t="n">
        <v>0</v>
      </c>
      <c r="AP343" s="52" t="n">
        <v>0</v>
      </c>
      <c r="AQ343" s="53" t="n">
        <v>0</v>
      </c>
      <c r="AR343" s="52" t="n">
        <v>0</v>
      </c>
      <c r="AS343" s="51" t="n">
        <v>0</v>
      </c>
      <c r="AT343" s="48" t="n">
        <v>0</v>
      </c>
      <c r="AU343" s="49" t="n">
        <v>0</v>
      </c>
      <c r="AV343" s="49" t="n">
        <v>0</v>
      </c>
      <c r="AW343" s="50" t="n">
        <v>0</v>
      </c>
      <c r="AX343" s="51" t="n">
        <v>0</v>
      </c>
      <c r="AY343" s="52" t="n">
        <v>0</v>
      </c>
      <c r="AZ343" s="52" t="n">
        <v>0</v>
      </c>
      <c r="BA343" s="52" t="n">
        <v>0</v>
      </c>
      <c r="BB343" s="53" t="n">
        <v>0</v>
      </c>
      <c r="BC343" s="52" t="n">
        <v>0</v>
      </c>
      <c r="BD343" s="53" t="n">
        <v>0</v>
      </c>
      <c r="BE343" s="52" t="n">
        <v>0</v>
      </c>
      <c r="BF343" s="51" t="n">
        <v>0</v>
      </c>
    </row>
    <row r="344">
      <c r="A344">
        <f>HYPERLINK("https://www.walmart.com/ip/6125451748", "6125451748")</f>
        <v/>
      </c>
      <c r="B344" t="inlineStr">
        <is>
          <t>Tirrinia Surf Poncho Changing Towel, Lightweight Surf Hooded Beach Towel Quick Dry, Portable Dressing Room for Surfing Beach Pool Summer Camping Adult Women Men Gift Shark</t>
        </is>
      </c>
      <c r="C344" t="inlineStr">
        <is>
          <t>1TRBR101SHARK</t>
        </is>
      </c>
      <c r="D344" t="inlineStr">
        <is>
          <t>Sleepwear Robes &amp; Bathrobes</t>
        </is>
      </c>
      <c r="E344" t="inlineStr">
        <is>
          <t>Tirrinia</t>
        </is>
      </c>
      <c r="G344" s="48" t="n">
        <v>0</v>
      </c>
      <c r="H344" s="49" t="n">
        <v>0</v>
      </c>
      <c r="I344" s="49" t="n">
        <v>0</v>
      </c>
      <c r="J344" s="50" t="n">
        <v>0</v>
      </c>
      <c r="K344" s="51" t="n">
        <v>0</v>
      </c>
      <c r="L344" s="52" t="n">
        <v>0</v>
      </c>
      <c r="M344" s="52" t="n">
        <v>0</v>
      </c>
      <c r="N344" s="52" t="n">
        <v>0</v>
      </c>
      <c r="O344" s="53" t="n">
        <v>0</v>
      </c>
      <c r="P344" s="52" t="n">
        <v>0</v>
      </c>
      <c r="Q344" s="53" t="n">
        <v>0</v>
      </c>
      <c r="R344" s="52" t="n">
        <v>0</v>
      </c>
      <c r="S344" s="51" t="n">
        <v>0</v>
      </c>
      <c r="T344" s="48" t="n">
        <v>0</v>
      </c>
      <c r="U344" s="49" t="n">
        <v>0</v>
      </c>
      <c r="V344" s="49" t="n">
        <v>0</v>
      </c>
      <c r="W344" s="50" t="n">
        <v>0</v>
      </c>
      <c r="X344" s="51" t="n">
        <v>0</v>
      </c>
      <c r="Y344" s="52" t="n">
        <v>0</v>
      </c>
      <c r="Z344" s="52" t="n">
        <v>0</v>
      </c>
      <c r="AA344" s="52" t="n">
        <v>0</v>
      </c>
      <c r="AB344" s="53" t="n">
        <v>0</v>
      </c>
      <c r="AC344" s="52" t="n">
        <v>0</v>
      </c>
      <c r="AD344" s="53" t="n">
        <v>0</v>
      </c>
      <c r="AE344" s="52" t="n">
        <v>0</v>
      </c>
      <c r="AF344" s="51" t="n">
        <v>0</v>
      </c>
      <c r="AG344" s="48" t="n">
        <v>0</v>
      </c>
      <c r="AH344" s="49" t="n">
        <v>0</v>
      </c>
      <c r="AI344" s="49" t="n">
        <v>0</v>
      </c>
      <c r="AJ344" s="50" t="n">
        <v>0</v>
      </c>
      <c r="AK344" s="51" t="n">
        <v>0</v>
      </c>
      <c r="AL344" s="52" t="n">
        <v>0</v>
      </c>
      <c r="AM344" s="52" t="n">
        <v>0</v>
      </c>
      <c r="AN344" s="52" t="n">
        <v>0</v>
      </c>
      <c r="AO344" s="53" t="n">
        <v>0</v>
      </c>
      <c r="AP344" s="52" t="n">
        <v>0</v>
      </c>
      <c r="AQ344" s="53" t="n">
        <v>0</v>
      </c>
      <c r="AR344" s="52" t="n">
        <v>0</v>
      </c>
      <c r="AS344" s="51" t="n">
        <v>0</v>
      </c>
      <c r="AT344" s="48" t="n">
        <v>0</v>
      </c>
      <c r="AU344" s="49" t="n">
        <v>0</v>
      </c>
      <c r="AV344" s="49" t="n">
        <v>0</v>
      </c>
      <c r="AW344" s="50" t="n">
        <v>0</v>
      </c>
      <c r="AX344" s="51" t="n">
        <v>0</v>
      </c>
      <c r="AY344" s="52" t="n">
        <v>0</v>
      </c>
      <c r="AZ344" s="52" t="n">
        <v>0</v>
      </c>
      <c r="BA344" s="52" t="n">
        <v>0</v>
      </c>
      <c r="BB344" s="53" t="n">
        <v>0</v>
      </c>
      <c r="BC344" s="52" t="n">
        <v>0</v>
      </c>
      <c r="BD344" s="53" t="n">
        <v>0</v>
      </c>
      <c r="BE344" s="52" t="n">
        <v>0</v>
      </c>
      <c r="BF344" s="51" t="n">
        <v>0</v>
      </c>
    </row>
    <row r="345">
      <c r="A345">
        <f>HYPERLINK("https://www.walmart.com/ip/6115651218", "6115651218")</f>
        <v/>
      </c>
      <c r="B345" t="inlineStr">
        <is>
          <t>Catalonia Cooling Blanket for Hot Sleepers, Summer Bed Blanket for Warm Night Sweat, Cool Sofa Throw Blanket for Hot Flashes, Soft Thin Lightweight Blanket for Adults Kids</t>
        </is>
      </c>
      <c r="C345" t="inlineStr">
        <is>
          <t>1CTBQ10199PP</t>
        </is>
      </c>
      <c r="D345" t="inlineStr">
        <is>
          <t>Throws</t>
        </is>
      </c>
      <c r="E345" t="inlineStr">
        <is>
          <t>Catalonia</t>
        </is>
      </c>
      <c r="G345" s="48" t="n">
        <v>0</v>
      </c>
      <c r="H345" s="49" t="n">
        <v>0</v>
      </c>
      <c r="I345" s="49" t="n">
        <v>0</v>
      </c>
      <c r="J345" s="50" t="n">
        <v>0</v>
      </c>
      <c r="K345" s="51" t="n">
        <v>0</v>
      </c>
      <c r="L345" s="52" t="n">
        <v>0</v>
      </c>
      <c r="M345" s="52" t="n">
        <v>0</v>
      </c>
      <c r="N345" s="52" t="n">
        <v>0</v>
      </c>
      <c r="O345" s="53" t="n">
        <v>0</v>
      </c>
      <c r="P345" s="52" t="n">
        <v>0</v>
      </c>
      <c r="Q345" s="53" t="n">
        <v>0</v>
      </c>
      <c r="R345" s="52" t="n">
        <v>0</v>
      </c>
      <c r="S345" s="51" t="n">
        <v>0</v>
      </c>
      <c r="T345" s="48" t="n">
        <v>0</v>
      </c>
      <c r="U345" s="49" t="n">
        <v>0</v>
      </c>
      <c r="V345" s="49" t="n">
        <v>0</v>
      </c>
      <c r="W345" s="50" t="n">
        <v>0</v>
      </c>
      <c r="X345" s="51" t="n">
        <v>0</v>
      </c>
      <c r="Y345" s="52" t="n">
        <v>0</v>
      </c>
      <c r="Z345" s="52" t="n">
        <v>0</v>
      </c>
      <c r="AA345" s="52" t="n">
        <v>0</v>
      </c>
      <c r="AB345" s="53" t="n">
        <v>0</v>
      </c>
      <c r="AC345" s="52" t="n">
        <v>0</v>
      </c>
      <c r="AD345" s="53" t="n">
        <v>0</v>
      </c>
      <c r="AE345" s="52" t="n">
        <v>0</v>
      </c>
      <c r="AF345" s="51" t="n">
        <v>0</v>
      </c>
      <c r="AG345" s="48" t="n">
        <v>0</v>
      </c>
      <c r="AH345" s="49" t="n">
        <v>0</v>
      </c>
      <c r="AI345" s="49" t="n">
        <v>0</v>
      </c>
      <c r="AJ345" s="50" t="n">
        <v>0</v>
      </c>
      <c r="AK345" s="51" t="n">
        <v>0</v>
      </c>
      <c r="AL345" s="52" t="n">
        <v>0</v>
      </c>
      <c r="AM345" s="52" t="n">
        <v>0</v>
      </c>
      <c r="AN345" s="52" t="n">
        <v>0</v>
      </c>
      <c r="AO345" s="53" t="n">
        <v>0</v>
      </c>
      <c r="AP345" s="52" t="n">
        <v>0</v>
      </c>
      <c r="AQ345" s="53" t="n">
        <v>0</v>
      </c>
      <c r="AR345" s="52" t="n">
        <v>0</v>
      </c>
      <c r="AS345" s="51" t="n">
        <v>0</v>
      </c>
      <c r="AT345" s="48" t="n">
        <v>0</v>
      </c>
      <c r="AU345" s="49" t="n">
        <v>0</v>
      </c>
      <c r="AV345" s="49" t="n">
        <v>0</v>
      </c>
      <c r="AW345" s="50" t="n">
        <v>0</v>
      </c>
      <c r="AX345" s="51" t="n">
        <v>0</v>
      </c>
      <c r="AY345" s="52" t="n">
        <v>0</v>
      </c>
      <c r="AZ345" s="52" t="n">
        <v>0</v>
      </c>
      <c r="BA345" s="52" t="n">
        <v>0</v>
      </c>
      <c r="BB345" s="53" t="n">
        <v>0</v>
      </c>
      <c r="BC345" s="52" t="n">
        <v>0</v>
      </c>
      <c r="BD345" s="53" t="n">
        <v>0</v>
      </c>
      <c r="BE345" s="52" t="n">
        <v>0</v>
      </c>
      <c r="BF345" s="51" t="n">
        <v>0</v>
      </c>
    </row>
    <row r="346">
      <c r="A346">
        <f>HYPERLINK("https://www.walmart.com/ip/569150441", "569150441")</f>
        <v/>
      </c>
      <c r="B346" t="inlineStr">
        <is>
          <t>Wrangler Slim Genuine Leather AirTag Wallet for Men - Bifold RFID Blocking Design with Hidden AirTag Holder</t>
        </is>
      </c>
      <c r="C346" t="inlineStr">
        <is>
          <t>WR-WA49008COGOS</t>
        </is>
      </c>
      <c r="D346" t="inlineStr">
        <is>
          <t>Wallets</t>
        </is>
      </c>
      <c r="E346" t="inlineStr">
        <is>
          <t>Wrangler</t>
        </is>
      </c>
      <c r="G346" s="48" t="n">
        <v>0</v>
      </c>
      <c r="H346" s="49" t="n">
        <v>0</v>
      </c>
      <c r="I346" s="49" t="n">
        <v>0</v>
      </c>
      <c r="J346" s="50" t="n">
        <v>0</v>
      </c>
      <c r="K346" s="51" t="n">
        <v>0</v>
      </c>
      <c r="L346" s="52" t="n">
        <v>0</v>
      </c>
      <c r="M346" s="52" t="n">
        <v>0</v>
      </c>
      <c r="N346" s="52" t="n">
        <v>0</v>
      </c>
      <c r="O346" s="53" t="n">
        <v>0</v>
      </c>
      <c r="P346" s="52" t="n">
        <v>0</v>
      </c>
      <c r="Q346" s="53" t="n">
        <v>0</v>
      </c>
      <c r="R346" s="52" t="n">
        <v>0</v>
      </c>
      <c r="S346" s="51" t="n">
        <v>0</v>
      </c>
      <c r="T346" s="48" t="n">
        <v>0</v>
      </c>
      <c r="U346" s="49" t="n">
        <v>0</v>
      </c>
      <c r="V346" s="49" t="n">
        <v>0</v>
      </c>
      <c r="W346" s="50" t="n">
        <v>0</v>
      </c>
      <c r="X346" s="51" t="n">
        <v>0</v>
      </c>
      <c r="Y346" s="52" t="n">
        <v>0</v>
      </c>
      <c r="Z346" s="52" t="n">
        <v>0</v>
      </c>
      <c r="AA346" s="52" t="n">
        <v>0</v>
      </c>
      <c r="AB346" s="53" t="n">
        <v>0</v>
      </c>
      <c r="AC346" s="52" t="n">
        <v>0</v>
      </c>
      <c r="AD346" s="53" t="n">
        <v>0</v>
      </c>
      <c r="AE346" s="52" t="n">
        <v>0</v>
      </c>
      <c r="AF346" s="51" t="n">
        <v>0</v>
      </c>
      <c r="AG346" s="48" t="n">
        <v>0</v>
      </c>
      <c r="AH346" s="49" t="n">
        <v>0</v>
      </c>
      <c r="AI346" s="49" t="n">
        <v>0</v>
      </c>
      <c r="AJ346" s="50" t="n">
        <v>0</v>
      </c>
      <c r="AK346" s="51" t="n">
        <v>0</v>
      </c>
      <c r="AL346" s="52" t="n">
        <v>0</v>
      </c>
      <c r="AM346" s="52" t="n">
        <v>0</v>
      </c>
      <c r="AN346" s="52" t="n">
        <v>0</v>
      </c>
      <c r="AO346" s="53" t="n">
        <v>0</v>
      </c>
      <c r="AP346" s="52" t="n">
        <v>0</v>
      </c>
      <c r="AQ346" s="53" t="n">
        <v>0</v>
      </c>
      <c r="AR346" s="52" t="n">
        <v>0</v>
      </c>
      <c r="AS346" s="51" t="n">
        <v>0</v>
      </c>
      <c r="AT346" s="48" t="n">
        <v>0</v>
      </c>
      <c r="AU346" s="49" t="n">
        <v>0</v>
      </c>
      <c r="AV346" s="49" t="n">
        <v>0</v>
      </c>
      <c r="AW346" s="50" t="n">
        <v>0</v>
      </c>
      <c r="AX346" s="51" t="n">
        <v>0</v>
      </c>
      <c r="AY346" s="52" t="n">
        <v>0</v>
      </c>
      <c r="AZ346" s="52" t="n">
        <v>0</v>
      </c>
      <c r="BA346" s="52" t="n">
        <v>0</v>
      </c>
      <c r="BB346" s="53" t="n">
        <v>0</v>
      </c>
      <c r="BC346" s="52" t="n">
        <v>0</v>
      </c>
      <c r="BD346" s="53" t="n">
        <v>0</v>
      </c>
      <c r="BE346" s="52" t="n">
        <v>0</v>
      </c>
      <c r="BF346" s="51" t="n">
        <v>0</v>
      </c>
    </row>
    <row r="347">
      <c r="A347">
        <f>HYPERLINK("https://www.walmart.com/ip/6108672925", "6108672925")</f>
        <v/>
      </c>
      <c r="B347" t="inlineStr">
        <is>
          <t>Catalonia Cooling Blanket for Hot Sleepers, Summer Bed Blanket for Warm Night Sweat, Cool Sofa Throw Blanket for Hot Flashes, Soft Thin Lightweight Blanket for Adults Kids</t>
        </is>
      </c>
      <c r="C347" t="inlineStr">
        <is>
          <t>1CTBQ10169PP</t>
        </is>
      </c>
      <c r="D347" t="inlineStr">
        <is>
          <t>Throws</t>
        </is>
      </c>
      <c r="E347" t="inlineStr">
        <is>
          <t>Catalonia</t>
        </is>
      </c>
      <c r="G347" s="48" t="n">
        <v>0</v>
      </c>
      <c r="H347" s="49" t="n">
        <v>0</v>
      </c>
      <c r="I347" s="49" t="n">
        <v>0</v>
      </c>
      <c r="J347" s="50" t="n">
        <v>0</v>
      </c>
      <c r="K347" s="51" t="n">
        <v>0</v>
      </c>
      <c r="L347" s="52" t="n">
        <v>0</v>
      </c>
      <c r="M347" s="52" t="n">
        <v>0</v>
      </c>
      <c r="N347" s="52" t="n">
        <v>0</v>
      </c>
      <c r="O347" s="53" t="n">
        <v>0</v>
      </c>
      <c r="P347" s="52" t="n">
        <v>0</v>
      </c>
      <c r="Q347" s="53" t="n">
        <v>0</v>
      </c>
      <c r="R347" s="52" t="n">
        <v>0</v>
      </c>
      <c r="S347" s="51" t="n">
        <v>0</v>
      </c>
      <c r="T347" s="48" t="n">
        <v>0</v>
      </c>
      <c r="U347" s="49" t="n">
        <v>0</v>
      </c>
      <c r="V347" s="49" t="n">
        <v>0</v>
      </c>
      <c r="W347" s="50" t="n">
        <v>0</v>
      </c>
      <c r="X347" s="51" t="n">
        <v>0</v>
      </c>
      <c r="Y347" s="52" t="n">
        <v>0</v>
      </c>
      <c r="Z347" s="52" t="n">
        <v>0</v>
      </c>
      <c r="AA347" s="52" t="n">
        <v>0</v>
      </c>
      <c r="AB347" s="53" t="n">
        <v>0</v>
      </c>
      <c r="AC347" s="52" t="n">
        <v>0</v>
      </c>
      <c r="AD347" s="53" t="n">
        <v>0</v>
      </c>
      <c r="AE347" s="52" t="n">
        <v>0</v>
      </c>
      <c r="AF347" s="51" t="n">
        <v>0</v>
      </c>
      <c r="AG347" s="48" t="n">
        <v>0</v>
      </c>
      <c r="AH347" s="49" t="n">
        <v>0</v>
      </c>
      <c r="AI347" s="49" t="n">
        <v>0</v>
      </c>
      <c r="AJ347" s="50" t="n">
        <v>0</v>
      </c>
      <c r="AK347" s="51" t="n">
        <v>0</v>
      </c>
      <c r="AL347" s="52" t="n">
        <v>0</v>
      </c>
      <c r="AM347" s="52" t="n">
        <v>0</v>
      </c>
      <c r="AN347" s="52" t="n">
        <v>0</v>
      </c>
      <c r="AO347" s="53" t="n">
        <v>0</v>
      </c>
      <c r="AP347" s="52" t="n">
        <v>0</v>
      </c>
      <c r="AQ347" s="53" t="n">
        <v>0</v>
      </c>
      <c r="AR347" s="52" t="n">
        <v>0</v>
      </c>
      <c r="AS347" s="51" t="n">
        <v>0</v>
      </c>
      <c r="AT347" s="48" t="n">
        <v>0</v>
      </c>
      <c r="AU347" s="49" t="n">
        <v>0</v>
      </c>
      <c r="AV347" s="49" t="n">
        <v>0</v>
      </c>
      <c r="AW347" s="50" t="n">
        <v>0</v>
      </c>
      <c r="AX347" s="51" t="n">
        <v>0</v>
      </c>
      <c r="AY347" s="52" t="n">
        <v>0</v>
      </c>
      <c r="AZ347" s="52" t="n">
        <v>0</v>
      </c>
      <c r="BA347" s="52" t="n">
        <v>0</v>
      </c>
      <c r="BB347" s="53" t="n">
        <v>0</v>
      </c>
      <c r="BC347" s="52" t="n">
        <v>0</v>
      </c>
      <c r="BD347" s="53" t="n">
        <v>0</v>
      </c>
      <c r="BE347" s="52" t="n">
        <v>0</v>
      </c>
      <c r="BF347" s="51" t="n">
        <v>0</v>
      </c>
    </row>
    <row r="348">
      <c r="A348">
        <f>HYPERLINK("https://www.walmart.com/ip/568941794", "568941794")</f>
        <v/>
      </c>
      <c r="B348" t="inlineStr">
        <is>
          <t>Solaris Women Floppy Sun Beach Hats with Wide Brim Straw Edge Summer UV Protection Foldable Gardening Hiking Cap, Tan</t>
        </is>
      </c>
      <c r="C348" t="inlineStr">
        <is>
          <t>1SLSH371TN</t>
        </is>
      </c>
      <c r="D348" t="inlineStr">
        <is>
          <t>Hats</t>
        </is>
      </c>
      <c r="E348" t="inlineStr">
        <is>
          <t>Solaris</t>
        </is>
      </c>
      <c r="F348" t="inlineStr">
        <is>
          <t>Batch 1 - TR</t>
        </is>
      </c>
      <c r="G348" s="48" t="n">
        <v>0</v>
      </c>
      <c r="H348" s="49" t="n">
        <v>0</v>
      </c>
      <c r="I348" s="49" t="n">
        <v>0</v>
      </c>
      <c r="J348" s="50" t="n">
        <v>0</v>
      </c>
      <c r="K348" s="51" t="n">
        <v>0</v>
      </c>
      <c r="L348" s="52" t="n">
        <v>0</v>
      </c>
      <c r="M348" s="52" t="n">
        <v>0</v>
      </c>
      <c r="N348" s="52" t="n">
        <v>0</v>
      </c>
      <c r="O348" s="53" t="n">
        <v>0</v>
      </c>
      <c r="P348" s="52" t="n">
        <v>0</v>
      </c>
      <c r="Q348" s="53" t="n">
        <v>0</v>
      </c>
      <c r="R348" s="52" t="n">
        <v>0</v>
      </c>
      <c r="S348" s="51" t="n">
        <v>0</v>
      </c>
      <c r="T348" s="48" t="n">
        <v>0</v>
      </c>
      <c r="U348" s="49" t="n">
        <v>0</v>
      </c>
      <c r="V348" s="49" t="n">
        <v>0</v>
      </c>
      <c r="W348" s="50" t="n">
        <v>0</v>
      </c>
      <c r="X348" s="51" t="n">
        <v>0</v>
      </c>
      <c r="Y348" s="52" t="n">
        <v>0</v>
      </c>
      <c r="Z348" s="52" t="n">
        <v>0</v>
      </c>
      <c r="AA348" s="52" t="n">
        <v>0</v>
      </c>
      <c r="AB348" s="53" t="n">
        <v>0</v>
      </c>
      <c r="AC348" s="52" t="n">
        <v>0</v>
      </c>
      <c r="AD348" s="53" t="n">
        <v>0</v>
      </c>
      <c r="AE348" s="52" t="n">
        <v>0</v>
      </c>
      <c r="AF348" s="51" t="n">
        <v>0</v>
      </c>
      <c r="AG348" s="48" t="n">
        <v>0</v>
      </c>
      <c r="AH348" s="49" t="n">
        <v>0</v>
      </c>
      <c r="AI348" s="49" t="n">
        <v>0</v>
      </c>
      <c r="AJ348" s="50" t="n">
        <v>0</v>
      </c>
      <c r="AK348" s="51" t="n">
        <v>0</v>
      </c>
      <c r="AL348" s="52" t="n">
        <v>0</v>
      </c>
      <c r="AM348" s="52" t="n">
        <v>0</v>
      </c>
      <c r="AN348" s="52" t="n">
        <v>0</v>
      </c>
      <c r="AO348" s="53" t="n">
        <v>0</v>
      </c>
      <c r="AP348" s="52" t="n">
        <v>0</v>
      </c>
      <c r="AQ348" s="53" t="n">
        <v>0</v>
      </c>
      <c r="AR348" s="52" t="n">
        <v>0</v>
      </c>
      <c r="AS348" s="51" t="n">
        <v>0</v>
      </c>
      <c r="AT348" s="48" t="n">
        <v>0</v>
      </c>
      <c r="AU348" s="49" t="n">
        <v>0</v>
      </c>
      <c r="AV348" s="49" t="n">
        <v>0</v>
      </c>
      <c r="AW348" s="50" t="n">
        <v>0</v>
      </c>
      <c r="AX348" s="51" t="n">
        <v>0</v>
      </c>
      <c r="AY348" s="52" t="n">
        <v>0</v>
      </c>
      <c r="AZ348" s="52" t="n">
        <v>0</v>
      </c>
      <c r="BA348" s="52" t="n">
        <v>0</v>
      </c>
      <c r="BB348" s="53" t="n">
        <v>0</v>
      </c>
      <c r="BC348" s="52" t="n">
        <v>0</v>
      </c>
      <c r="BD348" s="53" t="n">
        <v>0</v>
      </c>
      <c r="BE348" s="52" t="n">
        <v>0</v>
      </c>
      <c r="BF348" s="51" t="n">
        <v>0</v>
      </c>
    </row>
    <row r="349">
      <c r="A349">
        <f>HYPERLINK("https://www.walmart.com/ip/568915147", "568915147")</f>
        <v/>
      </c>
      <c r="B349" t="inlineStr">
        <is>
          <t>Solaris Men Winter Ski Snow Gloves with Breathable Face Mask The Warmest 3M Insulation Waterproof Outdoor Snowboard Mitt</t>
        </is>
      </c>
      <c r="C349" t="inlineStr">
        <is>
          <t>1SLWG301GYBK-M</t>
        </is>
      </c>
      <c r="D349" t="inlineStr">
        <is>
          <t>Gloves &amp; Mittens</t>
        </is>
      </c>
      <c r="E349" t="inlineStr">
        <is>
          <t>Solaris</t>
        </is>
      </c>
      <c r="F349" t="inlineStr">
        <is>
          <t>Gloves,WFS,WFS Item</t>
        </is>
      </c>
      <c r="G349" s="48" t="n">
        <v>0</v>
      </c>
      <c r="H349" s="49" t="n">
        <v>0</v>
      </c>
      <c r="I349" s="49" t="n">
        <v>0</v>
      </c>
      <c r="J349" s="50" t="n">
        <v>0</v>
      </c>
      <c r="K349" s="51" t="n">
        <v>0</v>
      </c>
      <c r="L349" s="52" t="n">
        <v>0</v>
      </c>
      <c r="M349" s="52" t="n">
        <v>0</v>
      </c>
      <c r="N349" s="52" t="n">
        <v>0</v>
      </c>
      <c r="O349" s="53" t="n">
        <v>0</v>
      </c>
      <c r="P349" s="52" t="n">
        <v>0</v>
      </c>
      <c r="Q349" s="53" t="n">
        <v>0</v>
      </c>
      <c r="R349" s="52" t="n">
        <v>0</v>
      </c>
      <c r="S349" s="51" t="n">
        <v>0</v>
      </c>
      <c r="T349" s="48" t="n">
        <v>0</v>
      </c>
      <c r="U349" s="49" t="n">
        <v>0</v>
      </c>
      <c r="V349" s="49" t="n">
        <v>0</v>
      </c>
      <c r="W349" s="50" t="n">
        <v>0</v>
      </c>
      <c r="X349" s="51" t="n">
        <v>0</v>
      </c>
      <c r="Y349" s="52" t="n">
        <v>0</v>
      </c>
      <c r="Z349" s="52" t="n">
        <v>0</v>
      </c>
      <c r="AA349" s="52" t="n">
        <v>0</v>
      </c>
      <c r="AB349" s="53" t="n">
        <v>0</v>
      </c>
      <c r="AC349" s="52" t="n">
        <v>0</v>
      </c>
      <c r="AD349" s="53" t="n">
        <v>0</v>
      </c>
      <c r="AE349" s="52" t="n">
        <v>0</v>
      </c>
      <c r="AF349" s="51" t="n">
        <v>0</v>
      </c>
      <c r="AG349" s="48" t="n">
        <v>0</v>
      </c>
      <c r="AH349" s="49" t="n">
        <v>0</v>
      </c>
      <c r="AI349" s="49" t="n">
        <v>0</v>
      </c>
      <c r="AJ349" s="50" t="n">
        <v>0</v>
      </c>
      <c r="AK349" s="51" t="n">
        <v>0</v>
      </c>
      <c r="AL349" s="52" t="n">
        <v>0</v>
      </c>
      <c r="AM349" s="52" t="n">
        <v>0</v>
      </c>
      <c r="AN349" s="52" t="n">
        <v>0</v>
      </c>
      <c r="AO349" s="53" t="n">
        <v>0</v>
      </c>
      <c r="AP349" s="52" t="n">
        <v>0</v>
      </c>
      <c r="AQ349" s="53" t="n">
        <v>0</v>
      </c>
      <c r="AR349" s="52" t="n">
        <v>0</v>
      </c>
      <c r="AS349" s="51" t="n">
        <v>0</v>
      </c>
      <c r="AT349" s="48" t="n">
        <v>0</v>
      </c>
      <c r="AU349" s="49" t="n">
        <v>0</v>
      </c>
      <c r="AV349" s="49" t="n">
        <v>0</v>
      </c>
      <c r="AW349" s="50" t="n">
        <v>0</v>
      </c>
      <c r="AX349" s="51" t="n">
        <v>0</v>
      </c>
      <c r="AY349" s="52" t="n">
        <v>0</v>
      </c>
      <c r="AZ349" s="52" t="n">
        <v>0</v>
      </c>
      <c r="BA349" s="52" t="n">
        <v>0</v>
      </c>
      <c r="BB349" s="53" t="n">
        <v>0</v>
      </c>
      <c r="BC349" s="52" t="n">
        <v>0</v>
      </c>
      <c r="BD349" s="53" t="n">
        <v>0</v>
      </c>
      <c r="BE349" s="52" t="n">
        <v>0</v>
      </c>
      <c r="BF349" s="51" t="n">
        <v>0</v>
      </c>
    </row>
    <row r="350">
      <c r="A350">
        <f>HYPERLINK("https://www.walmart.com/ip/568894069", "568894069")</f>
        <v/>
      </c>
      <c r="B350" t="inlineStr">
        <is>
          <t>Tirrinia Waterproof Outdoor Blanket with Sherpa Lining,Windproof Triple Layers Warm Comfy Foldable for Camping Stadium,Sports,Picnic,Grass,Concerts,Pet,51''X 59'',Navy Blue</t>
        </is>
      </c>
      <c r="C350" t="inlineStr">
        <is>
          <t>1TRBW506NYGY-CD</t>
        </is>
      </c>
      <c r="D350" t="inlineStr">
        <is>
          <t>Throws</t>
        </is>
      </c>
      <c r="E350" t="inlineStr">
        <is>
          <t>Tirrinia</t>
        </is>
      </c>
      <c r="F350" t="inlineStr">
        <is>
          <t>Q2-Target,Batch 1 - TR</t>
        </is>
      </c>
      <c r="G350" s="48" t="n">
        <v>0</v>
      </c>
      <c r="H350" s="49" t="n">
        <v>0</v>
      </c>
      <c r="I350" s="49" t="n">
        <v>4</v>
      </c>
      <c r="J350" s="50" t="n">
        <v>0</v>
      </c>
      <c r="K350" s="51" t="n">
        <v>0</v>
      </c>
      <c r="L350" s="52" t="n">
        <v>0</v>
      </c>
      <c r="M350" s="52" t="n">
        <v>0</v>
      </c>
      <c r="N350" s="52" t="n">
        <v>0</v>
      </c>
      <c r="O350" s="53" t="n">
        <v>0</v>
      </c>
      <c r="P350" s="52" t="n">
        <v>0</v>
      </c>
      <c r="Q350" s="53" t="n">
        <v>0</v>
      </c>
      <c r="R350" s="52" t="n">
        <v>0</v>
      </c>
      <c r="S350" s="51" t="n">
        <v>373</v>
      </c>
      <c r="T350" s="48" t="n">
        <v>0</v>
      </c>
      <c r="U350" s="49" t="n">
        <v>0</v>
      </c>
      <c r="V350" s="49" t="n">
        <v>2</v>
      </c>
      <c r="W350" s="50" t="n">
        <v>0</v>
      </c>
      <c r="X350" s="51" t="n">
        <v>0</v>
      </c>
      <c r="Y350" s="52" t="n">
        <v>0</v>
      </c>
      <c r="Z350" s="52" t="n">
        <v>0</v>
      </c>
      <c r="AA350" s="52" t="n">
        <v>0</v>
      </c>
      <c r="AB350" s="53" t="n">
        <v>0</v>
      </c>
      <c r="AC350" s="52" t="n">
        <v>0</v>
      </c>
      <c r="AD350" s="53" t="n">
        <v>0</v>
      </c>
      <c r="AE350" s="52" t="n">
        <v>0</v>
      </c>
      <c r="AF350" s="51" t="n">
        <v>574</v>
      </c>
      <c r="AG350" s="48" t="n">
        <v>0</v>
      </c>
      <c r="AH350" s="49" t="n">
        <v>0</v>
      </c>
      <c r="AI350" s="49" t="n">
        <v>4</v>
      </c>
      <c r="AJ350" s="50" t="n">
        <v>0</v>
      </c>
      <c r="AK350" s="51" t="n">
        <v>0</v>
      </c>
      <c r="AL350" s="52" t="n">
        <v>0</v>
      </c>
      <c r="AM350" s="52" t="n">
        <v>0</v>
      </c>
      <c r="AN350" s="52" t="n">
        <v>0</v>
      </c>
      <c r="AO350" s="53" t="n">
        <v>0</v>
      </c>
      <c r="AP350" s="52" t="n">
        <v>0</v>
      </c>
      <c r="AQ350" s="53" t="n">
        <v>0</v>
      </c>
      <c r="AR350" s="52" t="n">
        <v>0</v>
      </c>
      <c r="AS350" s="51" t="n">
        <v>0</v>
      </c>
      <c r="AT350" s="48" t="n">
        <v>34.98</v>
      </c>
      <c r="AU350" s="49" t="n">
        <v>1</v>
      </c>
      <c r="AV350" s="49" t="n">
        <v>6</v>
      </c>
      <c r="AW350" s="50" t="n">
        <v>0.1666666666666667</v>
      </c>
      <c r="AX350" s="51" t="n">
        <v>0</v>
      </c>
      <c r="AY350" s="52" t="n">
        <v>0</v>
      </c>
      <c r="AZ350" s="52" t="n">
        <v>0</v>
      </c>
      <c r="BA350" s="52" t="n">
        <v>0</v>
      </c>
      <c r="BB350" s="53" t="n">
        <v>0</v>
      </c>
      <c r="BC350" s="52" t="n">
        <v>0</v>
      </c>
      <c r="BD350" s="53" t="n">
        <v>0</v>
      </c>
      <c r="BE350" s="52" t="n">
        <v>34.98</v>
      </c>
      <c r="BF350" s="51" t="n">
        <v>317</v>
      </c>
    </row>
    <row r="351">
      <c r="A351">
        <f>HYPERLINK("https://www.walmart.com/ip/568672180", "568672180")</f>
        <v/>
      </c>
      <c r="B351" t="inlineStr">
        <is>
          <t>Kritter Planet Waterproof Dog Blanket for Couch, Washable Pet Couch Cover, Non-slip Bed Sofa Furniture Protector Mat, 60''x50'', Navy</t>
        </is>
      </c>
      <c r="C351" t="inlineStr">
        <is>
          <t>1KPBW566NY</t>
        </is>
      </c>
      <c r="D351" t="inlineStr">
        <is>
          <t>Pet Blankets</t>
        </is>
      </c>
      <c r="E351" t="inlineStr">
        <is>
          <t>Kritter Planet</t>
        </is>
      </c>
      <c r="F351" t="inlineStr">
        <is>
          <t>SEM,Batch 1 - TR</t>
        </is>
      </c>
      <c r="G351" s="48" t="n">
        <v>0</v>
      </c>
      <c r="H351" s="49" t="n">
        <v>0</v>
      </c>
      <c r="I351" s="49" t="n">
        <v>0</v>
      </c>
      <c r="J351" s="50" t="n">
        <v>0</v>
      </c>
      <c r="K351" s="51" t="n">
        <v>8</v>
      </c>
      <c r="L351" s="52" t="n">
        <v>3.25</v>
      </c>
      <c r="M351" s="52" t="n">
        <v>0</v>
      </c>
      <c r="N351" s="52" t="n">
        <v>0</v>
      </c>
      <c r="O351" s="53" t="n">
        <v>0.0009</v>
      </c>
      <c r="P351" s="52" t="n">
        <v>0.40625</v>
      </c>
      <c r="Q351" s="53" t="n">
        <v>0</v>
      </c>
      <c r="R351" s="52" t="n">
        <v>0</v>
      </c>
      <c r="S351" s="51" t="n">
        <v>8675</v>
      </c>
      <c r="T351" s="48" t="n">
        <v>0</v>
      </c>
      <c r="U351" s="49" t="n">
        <v>0</v>
      </c>
      <c r="V351" s="49" t="n">
        <v>0</v>
      </c>
      <c r="W351" s="50" t="n">
        <v>0</v>
      </c>
      <c r="X351" s="51" t="n">
        <v>8</v>
      </c>
      <c r="Y351" s="52" t="n">
        <v>3.06</v>
      </c>
      <c r="Z351" s="52" t="n">
        <v>0</v>
      </c>
      <c r="AA351" s="52" t="n">
        <v>0</v>
      </c>
      <c r="AB351" s="53" t="n">
        <v>0.0008</v>
      </c>
      <c r="AC351" s="52" t="n">
        <v>0.3825000000000001</v>
      </c>
      <c r="AD351" s="53" t="n">
        <v>0</v>
      </c>
      <c r="AE351" s="52" t="n">
        <v>0</v>
      </c>
      <c r="AF351" s="51" t="n">
        <v>10027</v>
      </c>
      <c r="AG351" s="48" t="n">
        <v>19.99</v>
      </c>
      <c r="AH351" s="49" t="n">
        <v>1</v>
      </c>
      <c r="AI351" s="49" t="n">
        <v>0</v>
      </c>
      <c r="AJ351" s="50" t="n">
        <v>0</v>
      </c>
      <c r="AK351" s="51" t="n">
        <v>11</v>
      </c>
      <c r="AL351" s="52" t="n">
        <v>4.77</v>
      </c>
      <c r="AM351" s="52" t="n">
        <v>19.99</v>
      </c>
      <c r="AN351" s="52" t="n">
        <v>4.19</v>
      </c>
      <c r="AO351" s="53" t="n">
        <v>0.0011</v>
      </c>
      <c r="AP351" s="52" t="n">
        <v>0.4336363636363636</v>
      </c>
      <c r="AQ351" s="53" t="n">
        <v>0.2386193096548274</v>
      </c>
      <c r="AR351" s="52" t="n">
        <v>19.99</v>
      </c>
      <c r="AS351" s="51" t="n">
        <v>9773</v>
      </c>
      <c r="AT351" s="48" t="n">
        <v>0</v>
      </c>
      <c r="AU351" s="49" t="n">
        <v>0</v>
      </c>
      <c r="AV351" s="49" t="n">
        <v>0</v>
      </c>
      <c r="AW351" s="50" t="n">
        <v>0</v>
      </c>
      <c r="AX351" s="51" t="n">
        <v>7</v>
      </c>
      <c r="AY351" s="52" t="n">
        <v>3.05</v>
      </c>
      <c r="AZ351" s="52" t="n">
        <v>0</v>
      </c>
      <c r="BA351" s="52" t="n">
        <v>0</v>
      </c>
      <c r="BB351" s="53" t="n">
        <v>0.0009</v>
      </c>
      <c r="BC351" s="52" t="n">
        <v>0.4357142857142857</v>
      </c>
      <c r="BD351" s="53" t="n">
        <v>0</v>
      </c>
      <c r="BE351" s="52" t="n">
        <v>0</v>
      </c>
      <c r="BF351" s="51" t="n">
        <v>7698</v>
      </c>
    </row>
    <row r="352">
      <c r="A352">
        <f>HYPERLINK("https://www.walmart.com/ip/6109704781", "6109704781")</f>
        <v/>
      </c>
      <c r="B352" t="inlineStr">
        <is>
          <t>Catalonia Cooling Blanket for Hot Sleepers, Summer Bed Blanket for Warm Night Sweat, Cool Sofa Throw Blanket for Hot Flashes, Soft Thin Lightweight Blanket for Adults Kids</t>
        </is>
      </c>
      <c r="C352" t="inlineStr">
        <is>
          <t>1CTBQ10157GN</t>
        </is>
      </c>
      <c r="D352" t="inlineStr">
        <is>
          <t>Throws</t>
        </is>
      </c>
      <c r="E352" t="inlineStr">
        <is>
          <t>Catalonia</t>
        </is>
      </c>
      <c r="G352" s="48" t="n">
        <v>0</v>
      </c>
      <c r="H352" s="49" t="n">
        <v>0</v>
      </c>
      <c r="I352" s="49" t="n">
        <v>0</v>
      </c>
      <c r="J352" s="50" t="n">
        <v>0</v>
      </c>
      <c r="K352" s="51" t="n">
        <v>0</v>
      </c>
      <c r="L352" s="52" t="n">
        <v>0</v>
      </c>
      <c r="M352" s="52" t="n">
        <v>0</v>
      </c>
      <c r="N352" s="52" t="n">
        <v>0</v>
      </c>
      <c r="O352" s="53" t="n">
        <v>0</v>
      </c>
      <c r="P352" s="52" t="n">
        <v>0</v>
      </c>
      <c r="Q352" s="53" t="n">
        <v>0</v>
      </c>
      <c r="R352" s="52" t="n">
        <v>0</v>
      </c>
      <c r="S352" s="51" t="n">
        <v>0</v>
      </c>
      <c r="T352" s="48" t="n">
        <v>0</v>
      </c>
      <c r="U352" s="49" t="n">
        <v>0</v>
      </c>
      <c r="V352" s="49" t="n">
        <v>0</v>
      </c>
      <c r="W352" s="50" t="n">
        <v>0</v>
      </c>
      <c r="X352" s="51" t="n">
        <v>0</v>
      </c>
      <c r="Y352" s="52" t="n">
        <v>0</v>
      </c>
      <c r="Z352" s="52" t="n">
        <v>0</v>
      </c>
      <c r="AA352" s="52" t="n">
        <v>0</v>
      </c>
      <c r="AB352" s="53" t="n">
        <v>0</v>
      </c>
      <c r="AC352" s="52" t="n">
        <v>0</v>
      </c>
      <c r="AD352" s="53" t="n">
        <v>0</v>
      </c>
      <c r="AE352" s="52" t="n">
        <v>0</v>
      </c>
      <c r="AF352" s="51" t="n">
        <v>0</v>
      </c>
      <c r="AG352" s="48" t="n">
        <v>0</v>
      </c>
      <c r="AH352" s="49" t="n">
        <v>0</v>
      </c>
      <c r="AI352" s="49" t="n">
        <v>0</v>
      </c>
      <c r="AJ352" s="50" t="n">
        <v>0</v>
      </c>
      <c r="AK352" s="51" t="n">
        <v>0</v>
      </c>
      <c r="AL352" s="52" t="n">
        <v>0</v>
      </c>
      <c r="AM352" s="52" t="n">
        <v>0</v>
      </c>
      <c r="AN352" s="52" t="n">
        <v>0</v>
      </c>
      <c r="AO352" s="53" t="n">
        <v>0</v>
      </c>
      <c r="AP352" s="52" t="n">
        <v>0</v>
      </c>
      <c r="AQ352" s="53" t="n">
        <v>0</v>
      </c>
      <c r="AR352" s="52" t="n">
        <v>0</v>
      </c>
      <c r="AS352" s="51" t="n">
        <v>0</v>
      </c>
      <c r="AT352" s="48" t="n">
        <v>0</v>
      </c>
      <c r="AU352" s="49" t="n">
        <v>0</v>
      </c>
      <c r="AV352" s="49" t="n">
        <v>0</v>
      </c>
      <c r="AW352" s="50" t="n">
        <v>0</v>
      </c>
      <c r="AX352" s="51" t="n">
        <v>0</v>
      </c>
      <c r="AY352" s="52" t="n">
        <v>0</v>
      </c>
      <c r="AZ352" s="52" t="n">
        <v>0</v>
      </c>
      <c r="BA352" s="52" t="n">
        <v>0</v>
      </c>
      <c r="BB352" s="53" t="n">
        <v>0</v>
      </c>
      <c r="BC352" s="52" t="n">
        <v>0</v>
      </c>
      <c r="BD352" s="53" t="n">
        <v>0</v>
      </c>
      <c r="BE352" s="52" t="n">
        <v>0</v>
      </c>
      <c r="BF352" s="51" t="n">
        <v>0</v>
      </c>
    </row>
    <row r="353">
      <c r="A353">
        <f>HYPERLINK("https://www.walmart.com/ip/611098775", "611098775")</f>
        <v/>
      </c>
      <c r="B353" t="inlineStr">
        <is>
          <t>Terra Mens Baseball Cap Hat Red Line Crossing Pattern Printed Flat Bill Buckle</t>
        </is>
      </c>
      <c r="C353" t="inlineStr">
        <is>
          <t>TERRACAP-B001</t>
        </is>
      </c>
      <c r="D353" t="inlineStr">
        <is>
          <t>Hats</t>
        </is>
      </c>
      <c r="E353" t="inlineStr">
        <is>
          <t>Terra</t>
        </is>
      </c>
      <c r="F353" t="inlineStr">
        <is>
          <t>Optimized</t>
        </is>
      </c>
      <c r="G353" s="48" t="n">
        <v>0</v>
      </c>
      <c r="H353" s="49" t="n">
        <v>0</v>
      </c>
      <c r="I353" s="49" t="n">
        <v>0</v>
      </c>
      <c r="J353" s="50" t="n">
        <v>0</v>
      </c>
      <c r="K353" s="51" t="n">
        <v>0</v>
      </c>
      <c r="L353" s="52" t="n">
        <v>0</v>
      </c>
      <c r="M353" s="52" t="n">
        <v>0</v>
      </c>
      <c r="N353" s="52" t="n">
        <v>0</v>
      </c>
      <c r="O353" s="53" t="n">
        <v>0</v>
      </c>
      <c r="P353" s="52" t="n">
        <v>0</v>
      </c>
      <c r="Q353" s="53" t="n">
        <v>0</v>
      </c>
      <c r="R353" s="52" t="n">
        <v>0</v>
      </c>
      <c r="S353" s="51" t="n">
        <v>0</v>
      </c>
      <c r="T353" s="48" t="n">
        <v>0</v>
      </c>
      <c r="U353" s="49" t="n">
        <v>0</v>
      </c>
      <c r="V353" s="49" t="n">
        <v>0</v>
      </c>
      <c r="W353" s="50" t="n">
        <v>0</v>
      </c>
      <c r="X353" s="51" t="n">
        <v>0</v>
      </c>
      <c r="Y353" s="52" t="n">
        <v>0</v>
      </c>
      <c r="Z353" s="52" t="n">
        <v>0</v>
      </c>
      <c r="AA353" s="52" t="n">
        <v>0</v>
      </c>
      <c r="AB353" s="53" t="n">
        <v>0</v>
      </c>
      <c r="AC353" s="52" t="n">
        <v>0</v>
      </c>
      <c r="AD353" s="53" t="n">
        <v>0</v>
      </c>
      <c r="AE353" s="52" t="n">
        <v>0</v>
      </c>
      <c r="AF353" s="51" t="n">
        <v>0</v>
      </c>
      <c r="AG353" s="48" t="n">
        <v>0</v>
      </c>
      <c r="AH353" s="49" t="n">
        <v>0</v>
      </c>
      <c r="AI353" s="49" t="n">
        <v>0</v>
      </c>
      <c r="AJ353" s="50" t="n">
        <v>0</v>
      </c>
      <c r="AK353" s="51" t="n">
        <v>0</v>
      </c>
      <c r="AL353" s="52" t="n">
        <v>0</v>
      </c>
      <c r="AM353" s="52" t="n">
        <v>0</v>
      </c>
      <c r="AN353" s="52" t="n">
        <v>0</v>
      </c>
      <c r="AO353" s="53" t="n">
        <v>0</v>
      </c>
      <c r="AP353" s="52" t="n">
        <v>0</v>
      </c>
      <c r="AQ353" s="53" t="n">
        <v>0</v>
      </c>
      <c r="AR353" s="52" t="n">
        <v>0</v>
      </c>
      <c r="AS353" s="51" t="n">
        <v>0</v>
      </c>
      <c r="AT353" s="48" t="n">
        <v>0</v>
      </c>
      <c r="AU353" s="49" t="n">
        <v>0</v>
      </c>
      <c r="AV353" s="49" t="n">
        <v>0</v>
      </c>
      <c r="AW353" s="50" t="n">
        <v>0</v>
      </c>
      <c r="AX353" s="51" t="n">
        <v>0</v>
      </c>
      <c r="AY353" s="52" t="n">
        <v>0</v>
      </c>
      <c r="AZ353" s="52" t="n">
        <v>0</v>
      </c>
      <c r="BA353" s="52" t="n">
        <v>0</v>
      </c>
      <c r="BB353" s="53" t="n">
        <v>0</v>
      </c>
      <c r="BC353" s="52" t="n">
        <v>0</v>
      </c>
      <c r="BD353" s="53" t="n">
        <v>0</v>
      </c>
      <c r="BE353" s="52" t="n">
        <v>0</v>
      </c>
      <c r="BF353" s="51" t="n">
        <v>0</v>
      </c>
    </row>
    <row r="354">
      <c r="A354">
        <f>HYPERLINK("https://www.walmart.com/ip/5681022436", "5681022436")</f>
        <v/>
      </c>
      <c r="B354" t="inlineStr">
        <is>
          <t>Tirrinia Camping Cooler Bag Insulated w/ Shoulder Strap and Bottle Opener 20 Cans Portable Ice Chest for Camping Hiking Picnic Beach</t>
        </is>
      </c>
      <c r="C354" t="inlineStr">
        <is>
          <t>1TRCB00136GYBK</t>
        </is>
      </c>
      <c r="D354" t="inlineStr">
        <is>
          <t>Soft-Sided Coolers</t>
        </is>
      </c>
      <c r="E354" t="inlineStr">
        <is>
          <t>Tirrinia</t>
        </is>
      </c>
      <c r="G354" s="48" t="n">
        <v>0</v>
      </c>
      <c r="H354" s="49" t="n">
        <v>0</v>
      </c>
      <c r="I354" s="49" t="n">
        <v>0</v>
      </c>
      <c r="J354" s="50" t="n">
        <v>0</v>
      </c>
      <c r="K354" s="51" t="n">
        <v>0</v>
      </c>
      <c r="L354" s="52" t="n">
        <v>0</v>
      </c>
      <c r="M354" s="52" t="n">
        <v>0</v>
      </c>
      <c r="N354" s="52" t="n">
        <v>0</v>
      </c>
      <c r="O354" s="53" t="n">
        <v>0</v>
      </c>
      <c r="P354" s="52" t="n">
        <v>0</v>
      </c>
      <c r="Q354" s="53" t="n">
        <v>0</v>
      </c>
      <c r="R354" s="52" t="n">
        <v>0</v>
      </c>
      <c r="S354" s="51" t="n">
        <v>0</v>
      </c>
      <c r="T354" s="48" t="n">
        <v>0</v>
      </c>
      <c r="U354" s="49" t="n">
        <v>0</v>
      </c>
      <c r="V354" s="49" t="n">
        <v>2</v>
      </c>
      <c r="W354" s="50" t="n">
        <v>0</v>
      </c>
      <c r="X354" s="51" t="n">
        <v>0</v>
      </c>
      <c r="Y354" s="52" t="n">
        <v>0</v>
      </c>
      <c r="Z354" s="52" t="n">
        <v>0</v>
      </c>
      <c r="AA354" s="52" t="n">
        <v>0</v>
      </c>
      <c r="AB354" s="53" t="n">
        <v>0</v>
      </c>
      <c r="AC354" s="52" t="n">
        <v>0</v>
      </c>
      <c r="AD354" s="53" t="n">
        <v>0</v>
      </c>
      <c r="AE354" s="52" t="n">
        <v>0</v>
      </c>
      <c r="AF354" s="51" t="n">
        <v>0</v>
      </c>
      <c r="AG354" s="48" t="n">
        <v>0</v>
      </c>
      <c r="AH354" s="49" t="n">
        <v>0</v>
      </c>
      <c r="AI354" s="49" t="n">
        <v>1</v>
      </c>
      <c r="AJ354" s="50" t="n">
        <v>0</v>
      </c>
      <c r="AK354" s="51" t="n">
        <v>0</v>
      </c>
      <c r="AL354" s="52" t="n">
        <v>0</v>
      </c>
      <c r="AM354" s="52" t="n">
        <v>0</v>
      </c>
      <c r="AN354" s="52" t="n">
        <v>0</v>
      </c>
      <c r="AO354" s="53" t="n">
        <v>0</v>
      </c>
      <c r="AP354" s="52" t="n">
        <v>0</v>
      </c>
      <c r="AQ354" s="53" t="n">
        <v>0</v>
      </c>
      <c r="AR354" s="52" t="n">
        <v>0</v>
      </c>
      <c r="AS354" s="51" t="n">
        <v>0</v>
      </c>
      <c r="AT354" s="48" t="n">
        <v>0</v>
      </c>
      <c r="AU354" s="49" t="n">
        <v>0</v>
      </c>
      <c r="AV354" s="49" t="n">
        <v>3</v>
      </c>
      <c r="AW354" s="50" t="n">
        <v>0</v>
      </c>
      <c r="AX354" s="51" t="n">
        <v>0</v>
      </c>
      <c r="AY354" s="52" t="n">
        <v>0</v>
      </c>
      <c r="AZ354" s="52" t="n">
        <v>0</v>
      </c>
      <c r="BA354" s="52" t="n">
        <v>0</v>
      </c>
      <c r="BB354" s="53" t="n">
        <v>0</v>
      </c>
      <c r="BC354" s="52" t="n">
        <v>0</v>
      </c>
      <c r="BD354" s="53" t="n">
        <v>0</v>
      </c>
      <c r="BE354" s="52" t="n">
        <v>0</v>
      </c>
      <c r="BF354" s="51" t="n">
        <v>0</v>
      </c>
    </row>
    <row r="355">
      <c r="A355">
        <f>HYPERLINK("https://www.walmart.com/ip/611208551", "611208551")</f>
        <v/>
      </c>
      <c r="B355" t="inlineStr">
        <is>
          <t>Tirrinia Men's Reversible Hunting Beanie, Blaze Orange, Forest Camo</t>
        </is>
      </c>
      <c r="C355" t="inlineStr">
        <is>
          <t>1TRHT1740-TBCB</t>
        </is>
      </c>
      <c r="D355" t="inlineStr">
        <is>
          <t>Hats</t>
        </is>
      </c>
      <c r="E355" t="inlineStr">
        <is>
          <t>Tirrinia</t>
        </is>
      </c>
      <c r="F355" t="inlineStr">
        <is>
          <t>Optimized</t>
        </is>
      </c>
      <c r="G355" s="48" t="n">
        <v>0</v>
      </c>
      <c r="H355" s="49" t="n">
        <v>0</v>
      </c>
      <c r="I355" s="49" t="n">
        <v>0</v>
      </c>
      <c r="J355" s="50" t="n">
        <v>0</v>
      </c>
      <c r="K355" s="51" t="n">
        <v>0</v>
      </c>
      <c r="L355" s="52" t="n">
        <v>0</v>
      </c>
      <c r="M355" s="52" t="n">
        <v>0</v>
      </c>
      <c r="N355" s="52" t="n">
        <v>0</v>
      </c>
      <c r="O355" s="53" t="n">
        <v>0</v>
      </c>
      <c r="P355" s="52" t="n">
        <v>0</v>
      </c>
      <c r="Q355" s="53" t="n">
        <v>0</v>
      </c>
      <c r="R355" s="52" t="n">
        <v>0</v>
      </c>
      <c r="S355" s="51" t="n">
        <v>0</v>
      </c>
      <c r="T355" s="48" t="n">
        <v>0</v>
      </c>
      <c r="U355" s="49" t="n">
        <v>0</v>
      </c>
      <c r="V355" s="49" t="n">
        <v>0</v>
      </c>
      <c r="W355" s="50" t="n">
        <v>0</v>
      </c>
      <c r="X355" s="51" t="n">
        <v>0</v>
      </c>
      <c r="Y355" s="52" t="n">
        <v>0</v>
      </c>
      <c r="Z355" s="52" t="n">
        <v>0</v>
      </c>
      <c r="AA355" s="52" t="n">
        <v>0</v>
      </c>
      <c r="AB355" s="53" t="n">
        <v>0</v>
      </c>
      <c r="AC355" s="52" t="n">
        <v>0</v>
      </c>
      <c r="AD355" s="53" t="n">
        <v>0</v>
      </c>
      <c r="AE355" s="52" t="n">
        <v>0</v>
      </c>
      <c r="AF355" s="51" t="n">
        <v>0</v>
      </c>
      <c r="AG355" s="48" t="n">
        <v>0</v>
      </c>
      <c r="AH355" s="49" t="n">
        <v>0</v>
      </c>
      <c r="AI355" s="49" t="n">
        <v>0</v>
      </c>
      <c r="AJ355" s="50" t="n">
        <v>0</v>
      </c>
      <c r="AK355" s="51" t="n">
        <v>0</v>
      </c>
      <c r="AL355" s="52" t="n">
        <v>0</v>
      </c>
      <c r="AM355" s="52" t="n">
        <v>0</v>
      </c>
      <c r="AN355" s="52" t="n">
        <v>0</v>
      </c>
      <c r="AO355" s="53" t="n">
        <v>0</v>
      </c>
      <c r="AP355" s="52" t="n">
        <v>0</v>
      </c>
      <c r="AQ355" s="53" t="n">
        <v>0</v>
      </c>
      <c r="AR355" s="52" t="n">
        <v>0</v>
      </c>
      <c r="AS355" s="51" t="n">
        <v>0</v>
      </c>
      <c r="AT355" s="48" t="n">
        <v>0</v>
      </c>
      <c r="AU355" s="49" t="n">
        <v>0</v>
      </c>
      <c r="AV355" s="49" t="n">
        <v>0</v>
      </c>
      <c r="AW355" s="50" t="n">
        <v>0</v>
      </c>
      <c r="AX355" s="51" t="n">
        <v>0</v>
      </c>
      <c r="AY355" s="52" t="n">
        <v>0</v>
      </c>
      <c r="AZ355" s="52" t="n">
        <v>0</v>
      </c>
      <c r="BA355" s="52" t="n">
        <v>0</v>
      </c>
      <c r="BB355" s="53" t="n">
        <v>0</v>
      </c>
      <c r="BC355" s="52" t="n">
        <v>0</v>
      </c>
      <c r="BD355" s="53" t="n">
        <v>0</v>
      </c>
      <c r="BE355" s="52" t="n">
        <v>0</v>
      </c>
      <c r="BF355" s="51" t="n">
        <v>0</v>
      </c>
    </row>
    <row r="356">
      <c r="A356">
        <f>HYPERLINK("https://www.walmart.com/ip/6112612258", "6112612258")</f>
        <v/>
      </c>
      <c r="B356" t="inlineStr">
        <is>
          <t>Solaris Microfiber Beach Towel, 40”x71” Personalized Beach Towels for Adult Women, Sand-Resistant, Quick-Dry Soft Lightweight Compact Camping Towel, Ideal Travel Pool Beach Gifts</t>
        </is>
      </c>
      <c r="C356" t="inlineStr">
        <is>
          <t>1SLBM20147PHONE</t>
        </is>
      </c>
      <c r="D356" t="inlineStr">
        <is>
          <t>Towels &amp; Washcloths</t>
        </is>
      </c>
      <c r="E356" t="inlineStr">
        <is>
          <t>Solaris</t>
        </is>
      </c>
      <c r="G356" s="48" t="n">
        <v>0</v>
      </c>
      <c r="H356" s="49" t="n">
        <v>0</v>
      </c>
      <c r="I356" s="49" t="n">
        <v>0</v>
      </c>
      <c r="J356" s="50" t="n">
        <v>0</v>
      </c>
      <c r="K356" s="51" t="n">
        <v>0</v>
      </c>
      <c r="L356" s="52" t="n">
        <v>0</v>
      </c>
      <c r="M356" s="52" t="n">
        <v>0</v>
      </c>
      <c r="N356" s="52" t="n">
        <v>0</v>
      </c>
      <c r="O356" s="53" t="n">
        <v>0</v>
      </c>
      <c r="P356" s="52" t="n">
        <v>0</v>
      </c>
      <c r="Q356" s="53" t="n">
        <v>0</v>
      </c>
      <c r="R356" s="52" t="n">
        <v>0</v>
      </c>
      <c r="S356" s="51" t="n">
        <v>0</v>
      </c>
      <c r="T356" s="48" t="n">
        <v>0</v>
      </c>
      <c r="U356" s="49" t="n">
        <v>0</v>
      </c>
      <c r="V356" s="49" t="n">
        <v>0</v>
      </c>
      <c r="W356" s="50" t="n">
        <v>0</v>
      </c>
      <c r="X356" s="51" t="n">
        <v>0</v>
      </c>
      <c r="Y356" s="52" t="n">
        <v>0</v>
      </c>
      <c r="Z356" s="52" t="n">
        <v>0</v>
      </c>
      <c r="AA356" s="52" t="n">
        <v>0</v>
      </c>
      <c r="AB356" s="53" t="n">
        <v>0</v>
      </c>
      <c r="AC356" s="52" t="n">
        <v>0</v>
      </c>
      <c r="AD356" s="53" t="n">
        <v>0</v>
      </c>
      <c r="AE356" s="52" t="n">
        <v>0</v>
      </c>
      <c r="AF356" s="51" t="n">
        <v>0</v>
      </c>
      <c r="AG356" s="48" t="n">
        <v>0</v>
      </c>
      <c r="AH356" s="49" t="n">
        <v>0</v>
      </c>
      <c r="AI356" s="49" t="n">
        <v>0</v>
      </c>
      <c r="AJ356" s="50" t="n">
        <v>0</v>
      </c>
      <c r="AK356" s="51" t="n">
        <v>0</v>
      </c>
      <c r="AL356" s="52" t="n">
        <v>0</v>
      </c>
      <c r="AM356" s="52" t="n">
        <v>0</v>
      </c>
      <c r="AN356" s="52" t="n">
        <v>0</v>
      </c>
      <c r="AO356" s="53" t="n">
        <v>0</v>
      </c>
      <c r="AP356" s="52" t="n">
        <v>0</v>
      </c>
      <c r="AQ356" s="53" t="n">
        <v>0</v>
      </c>
      <c r="AR356" s="52" t="n">
        <v>0</v>
      </c>
      <c r="AS356" s="51" t="n">
        <v>0</v>
      </c>
      <c r="AT356" s="48" t="n">
        <v>0</v>
      </c>
      <c r="AU356" s="49" t="n">
        <v>0</v>
      </c>
      <c r="AV356" s="49" t="n">
        <v>0</v>
      </c>
      <c r="AW356" s="50" t="n">
        <v>0</v>
      </c>
      <c r="AX356" s="51" t="n">
        <v>0</v>
      </c>
      <c r="AY356" s="52" t="n">
        <v>0</v>
      </c>
      <c r="AZ356" s="52" t="n">
        <v>0</v>
      </c>
      <c r="BA356" s="52" t="n">
        <v>0</v>
      </c>
      <c r="BB356" s="53" t="n">
        <v>0</v>
      </c>
      <c r="BC356" s="52" t="n">
        <v>0</v>
      </c>
      <c r="BD356" s="53" t="n">
        <v>0</v>
      </c>
      <c r="BE356" s="52" t="n">
        <v>0</v>
      </c>
      <c r="BF356" s="51" t="n">
        <v>0</v>
      </c>
    </row>
    <row r="357">
      <c r="A357">
        <f>HYPERLINK("https://www.walmart.com/ip/567389230", "567389230")</f>
        <v/>
      </c>
      <c r="B357" t="inlineStr">
        <is>
          <t>Women’s Swim Bathing Suit Cover Up, Summer Chiffon Backless Beach Dress Skirt</t>
        </is>
      </c>
      <c r="C357" t="inlineStr">
        <is>
          <t>1WMDS110ND</t>
        </is>
      </c>
      <c r="D357" t="inlineStr">
        <is>
          <t>Dresses</t>
        </is>
      </c>
      <c r="E357" t="inlineStr">
        <is>
          <t>Flyingstar</t>
        </is>
      </c>
      <c r="F357" t="inlineStr">
        <is>
          <t>Optimized</t>
        </is>
      </c>
      <c r="G357" s="48" t="n">
        <v>0</v>
      </c>
      <c r="H357" s="49" t="n">
        <v>0</v>
      </c>
      <c r="I357" s="49" t="n">
        <v>0</v>
      </c>
      <c r="J357" s="50" t="n">
        <v>0</v>
      </c>
      <c r="K357" s="51" t="n">
        <v>0</v>
      </c>
      <c r="L357" s="52" t="n">
        <v>0</v>
      </c>
      <c r="M357" s="52" t="n">
        <v>0</v>
      </c>
      <c r="N357" s="52" t="n">
        <v>0</v>
      </c>
      <c r="O357" s="53" t="n">
        <v>0</v>
      </c>
      <c r="P357" s="52" t="n">
        <v>0</v>
      </c>
      <c r="Q357" s="53" t="n">
        <v>0</v>
      </c>
      <c r="R357" s="52" t="n">
        <v>0</v>
      </c>
      <c r="S357" s="51" t="n">
        <v>0</v>
      </c>
      <c r="T357" s="48" t="n">
        <v>0</v>
      </c>
      <c r="U357" s="49" t="n">
        <v>0</v>
      </c>
      <c r="V357" s="49" t="n">
        <v>0</v>
      </c>
      <c r="W357" s="50" t="n">
        <v>0</v>
      </c>
      <c r="X357" s="51" t="n">
        <v>0</v>
      </c>
      <c r="Y357" s="52" t="n">
        <v>0</v>
      </c>
      <c r="Z357" s="52" t="n">
        <v>0</v>
      </c>
      <c r="AA357" s="52" t="n">
        <v>0</v>
      </c>
      <c r="AB357" s="53" t="n">
        <v>0</v>
      </c>
      <c r="AC357" s="52" t="n">
        <v>0</v>
      </c>
      <c r="AD357" s="53" t="n">
        <v>0</v>
      </c>
      <c r="AE357" s="52" t="n">
        <v>0</v>
      </c>
      <c r="AF357" s="51" t="n">
        <v>0</v>
      </c>
      <c r="AG357" s="48" t="n">
        <v>0</v>
      </c>
      <c r="AH357" s="49" t="n">
        <v>0</v>
      </c>
      <c r="AI357" s="49" t="n">
        <v>0</v>
      </c>
      <c r="AJ357" s="50" t="n">
        <v>0</v>
      </c>
      <c r="AK357" s="51" t="n">
        <v>0</v>
      </c>
      <c r="AL357" s="52" t="n">
        <v>0</v>
      </c>
      <c r="AM357" s="52" t="n">
        <v>0</v>
      </c>
      <c r="AN357" s="52" t="n">
        <v>0</v>
      </c>
      <c r="AO357" s="53" t="n">
        <v>0</v>
      </c>
      <c r="AP357" s="52" t="n">
        <v>0</v>
      </c>
      <c r="AQ357" s="53" t="n">
        <v>0</v>
      </c>
      <c r="AR357" s="52" t="n">
        <v>0</v>
      </c>
      <c r="AS357" s="51" t="n">
        <v>0</v>
      </c>
      <c r="AT357" s="48" t="n">
        <v>0</v>
      </c>
      <c r="AU357" s="49" t="n">
        <v>0</v>
      </c>
      <c r="AV357" s="49" t="n">
        <v>0</v>
      </c>
      <c r="AW357" s="50" t="n">
        <v>0</v>
      </c>
      <c r="AX357" s="51" t="n">
        <v>0</v>
      </c>
      <c r="AY357" s="52" t="n">
        <v>0</v>
      </c>
      <c r="AZ357" s="52" t="n">
        <v>0</v>
      </c>
      <c r="BA357" s="52" t="n">
        <v>0</v>
      </c>
      <c r="BB357" s="53" t="n">
        <v>0</v>
      </c>
      <c r="BC357" s="52" t="n">
        <v>0</v>
      </c>
      <c r="BD357" s="53" t="n">
        <v>0</v>
      </c>
      <c r="BE357" s="52" t="n">
        <v>0</v>
      </c>
      <c r="BF357" s="51" t="n">
        <v>0</v>
      </c>
    </row>
    <row r="358">
      <c r="A358">
        <f>HYPERLINK("https://www.walmart.com/ip/5673458705", "5673458705")</f>
        <v/>
      </c>
      <c r="B358" t="inlineStr">
        <is>
          <t>Tirrinia  Camping Cooler Bag Insulated w/ Shoulder Strap and Bottle Opener 20 Cans Portable Ice Chest for Camping Hiking Picnic Beach</t>
        </is>
      </c>
      <c r="C358" t="inlineStr">
        <is>
          <t>1TRCB00130GYBK</t>
        </is>
      </c>
      <c r="D358" t="inlineStr">
        <is>
          <t>Soft-Sided Coolers</t>
        </is>
      </c>
      <c r="E358" t="inlineStr">
        <is>
          <t>Tirrinia</t>
        </is>
      </c>
      <c r="G358" s="48" t="n">
        <v>0</v>
      </c>
      <c r="H358" s="49" t="n">
        <v>0</v>
      </c>
      <c r="I358" s="49" t="n">
        <v>0</v>
      </c>
      <c r="J358" s="50" t="n">
        <v>0</v>
      </c>
      <c r="K358" s="51" t="n">
        <v>0</v>
      </c>
      <c r="L358" s="52" t="n">
        <v>0</v>
      </c>
      <c r="M358" s="52" t="n">
        <v>0</v>
      </c>
      <c r="N358" s="52" t="n">
        <v>0</v>
      </c>
      <c r="O358" s="53" t="n">
        <v>0</v>
      </c>
      <c r="P358" s="52" t="n">
        <v>0</v>
      </c>
      <c r="Q358" s="53" t="n">
        <v>0</v>
      </c>
      <c r="R358" s="52" t="n">
        <v>0</v>
      </c>
      <c r="S358" s="51" t="n">
        <v>0</v>
      </c>
      <c r="T358" s="48" t="n">
        <v>0</v>
      </c>
      <c r="U358" s="49" t="n">
        <v>0</v>
      </c>
      <c r="V358" s="49" t="n">
        <v>0</v>
      </c>
      <c r="W358" s="50" t="n">
        <v>0</v>
      </c>
      <c r="X358" s="51" t="n">
        <v>0</v>
      </c>
      <c r="Y358" s="52" t="n">
        <v>0</v>
      </c>
      <c r="Z358" s="52" t="n">
        <v>0</v>
      </c>
      <c r="AA358" s="52" t="n">
        <v>0</v>
      </c>
      <c r="AB358" s="53" t="n">
        <v>0</v>
      </c>
      <c r="AC358" s="52" t="n">
        <v>0</v>
      </c>
      <c r="AD358" s="53" t="n">
        <v>0</v>
      </c>
      <c r="AE358" s="52" t="n">
        <v>0</v>
      </c>
      <c r="AF358" s="51" t="n">
        <v>0</v>
      </c>
      <c r="AG358" s="48" t="n">
        <v>0</v>
      </c>
      <c r="AH358" s="49" t="n">
        <v>0</v>
      </c>
      <c r="AI358" s="49" t="n">
        <v>0</v>
      </c>
      <c r="AJ358" s="50" t="n">
        <v>0</v>
      </c>
      <c r="AK358" s="51" t="n">
        <v>0</v>
      </c>
      <c r="AL358" s="52" t="n">
        <v>0</v>
      </c>
      <c r="AM358" s="52" t="n">
        <v>0</v>
      </c>
      <c r="AN358" s="52" t="n">
        <v>0</v>
      </c>
      <c r="AO358" s="53" t="n">
        <v>0</v>
      </c>
      <c r="AP358" s="52" t="n">
        <v>0</v>
      </c>
      <c r="AQ358" s="53" t="n">
        <v>0</v>
      </c>
      <c r="AR358" s="52" t="n">
        <v>0</v>
      </c>
      <c r="AS358" s="51" t="n">
        <v>0</v>
      </c>
      <c r="AT358" s="48" t="n">
        <v>0</v>
      </c>
      <c r="AU358" s="49" t="n">
        <v>0</v>
      </c>
      <c r="AV358" s="49" t="n">
        <v>0</v>
      </c>
      <c r="AW358" s="50" t="n">
        <v>0</v>
      </c>
      <c r="AX358" s="51" t="n">
        <v>0</v>
      </c>
      <c r="AY358" s="52" t="n">
        <v>0</v>
      </c>
      <c r="AZ358" s="52" t="n">
        <v>0</v>
      </c>
      <c r="BA358" s="52" t="n">
        <v>0</v>
      </c>
      <c r="BB358" s="53" t="n">
        <v>0</v>
      </c>
      <c r="BC358" s="52" t="n">
        <v>0</v>
      </c>
      <c r="BD358" s="53" t="n">
        <v>0</v>
      </c>
      <c r="BE358" s="52" t="n">
        <v>0</v>
      </c>
      <c r="BF358" s="51" t="n">
        <v>0</v>
      </c>
    </row>
    <row r="359">
      <c r="A359">
        <f>HYPERLINK("https://www.walmart.com/ip/569409923", "569409923")</f>
        <v/>
      </c>
      <c r="B359" t="inlineStr">
        <is>
          <t>Super Soft Sherpa Throw Blanket Plaid 50" x 60" Reversible Fuzzy Micro Plush All Season Fleece TV Blanket for Bed or Couch Red</t>
        </is>
      </c>
      <c r="C359" t="inlineStr">
        <is>
          <t>1TRBF562PRD-TBCB</t>
        </is>
      </c>
      <c r="D359" t="inlineStr">
        <is>
          <t>Throws</t>
        </is>
      </c>
      <c r="E359" t="inlineStr">
        <is>
          <t>Tirrinia</t>
        </is>
      </c>
      <c r="F359" t="inlineStr">
        <is>
          <t>Q2-Target,Optimized,Coupon_Discount</t>
        </is>
      </c>
      <c r="G359" s="48" t="n">
        <v>0</v>
      </c>
      <c r="H359" s="49" t="n">
        <v>0</v>
      </c>
      <c r="I359" s="49" t="n">
        <v>0</v>
      </c>
      <c r="J359" s="50" t="n">
        <v>0</v>
      </c>
      <c r="K359" s="51" t="n">
        <v>0</v>
      </c>
      <c r="L359" s="52" t="n">
        <v>0</v>
      </c>
      <c r="M359" s="52" t="n">
        <v>0</v>
      </c>
      <c r="N359" s="52" t="n">
        <v>0</v>
      </c>
      <c r="O359" s="53" t="n">
        <v>0</v>
      </c>
      <c r="P359" s="52" t="n">
        <v>0</v>
      </c>
      <c r="Q359" s="53" t="n">
        <v>0</v>
      </c>
      <c r="R359" s="52" t="n">
        <v>0</v>
      </c>
      <c r="S359" s="51" t="n">
        <v>0</v>
      </c>
      <c r="T359" s="48" t="n">
        <v>0</v>
      </c>
      <c r="U359" s="49" t="n">
        <v>0</v>
      </c>
      <c r="V359" s="49" t="n">
        <v>0</v>
      </c>
      <c r="W359" s="50" t="n">
        <v>0</v>
      </c>
      <c r="X359" s="51" t="n">
        <v>0</v>
      </c>
      <c r="Y359" s="52" t="n">
        <v>0</v>
      </c>
      <c r="Z359" s="52" t="n">
        <v>0</v>
      </c>
      <c r="AA359" s="52" t="n">
        <v>0</v>
      </c>
      <c r="AB359" s="53" t="n">
        <v>0</v>
      </c>
      <c r="AC359" s="52" t="n">
        <v>0</v>
      </c>
      <c r="AD359" s="53" t="n">
        <v>0</v>
      </c>
      <c r="AE359" s="52" t="n">
        <v>0</v>
      </c>
      <c r="AF359" s="51" t="n">
        <v>0</v>
      </c>
      <c r="AG359" s="48" t="n">
        <v>0</v>
      </c>
      <c r="AH359" s="49" t="n">
        <v>0</v>
      </c>
      <c r="AI359" s="49" t="n">
        <v>0</v>
      </c>
      <c r="AJ359" s="50" t="n">
        <v>0</v>
      </c>
      <c r="AK359" s="51" t="n">
        <v>0</v>
      </c>
      <c r="AL359" s="52" t="n">
        <v>0</v>
      </c>
      <c r="AM359" s="52" t="n">
        <v>0</v>
      </c>
      <c r="AN359" s="52" t="n">
        <v>0</v>
      </c>
      <c r="AO359" s="53" t="n">
        <v>0</v>
      </c>
      <c r="AP359" s="52" t="n">
        <v>0</v>
      </c>
      <c r="AQ359" s="53" t="n">
        <v>0</v>
      </c>
      <c r="AR359" s="52" t="n">
        <v>0</v>
      </c>
      <c r="AS359" s="51" t="n">
        <v>0</v>
      </c>
      <c r="AT359" s="48" t="n">
        <v>0</v>
      </c>
      <c r="AU359" s="49" t="n">
        <v>0</v>
      </c>
      <c r="AV359" s="49" t="n">
        <v>0</v>
      </c>
      <c r="AW359" s="50" t="n">
        <v>0</v>
      </c>
      <c r="AX359" s="51" t="n">
        <v>0</v>
      </c>
      <c r="AY359" s="52" t="n">
        <v>0</v>
      </c>
      <c r="AZ359" s="52" t="n">
        <v>0</v>
      </c>
      <c r="BA359" s="52" t="n">
        <v>0</v>
      </c>
      <c r="BB359" s="53" t="n">
        <v>0</v>
      </c>
      <c r="BC359" s="52" t="n">
        <v>0</v>
      </c>
      <c r="BD359" s="53" t="n">
        <v>0</v>
      </c>
      <c r="BE359" s="52" t="n">
        <v>0</v>
      </c>
      <c r="BF359" s="51" t="n">
        <v>0</v>
      </c>
    </row>
    <row r="360">
      <c r="A360">
        <f>HYPERLINK("https://www.walmart.com/ip/6116767703", "6116767703")</f>
        <v/>
      </c>
      <c r="B360" t="inlineStr">
        <is>
          <t>Solaris Microfiber Beach Towel, 40”x71” Personalized Beach Towels for Adult Women, Sand-Resistant, Quick-Dry Soft Lightweight Compact Camping Towel, Ideal Travel Pool Beach Gifts</t>
        </is>
      </c>
      <c r="C360" t="inlineStr">
        <is>
          <t>1SLBM20147TOTEM</t>
        </is>
      </c>
      <c r="D360" t="inlineStr">
        <is>
          <t>Towels &amp; Washcloths</t>
        </is>
      </c>
      <c r="E360" t="inlineStr">
        <is>
          <t>Solaris</t>
        </is>
      </c>
      <c r="G360" s="48" t="n">
        <v>0</v>
      </c>
      <c r="H360" s="49" t="n">
        <v>0</v>
      </c>
      <c r="I360" s="49" t="n">
        <v>0</v>
      </c>
      <c r="J360" s="50" t="n">
        <v>0</v>
      </c>
      <c r="K360" s="51" t="n">
        <v>0</v>
      </c>
      <c r="L360" s="52" t="n">
        <v>0</v>
      </c>
      <c r="M360" s="52" t="n">
        <v>0</v>
      </c>
      <c r="N360" s="52" t="n">
        <v>0</v>
      </c>
      <c r="O360" s="53" t="n">
        <v>0</v>
      </c>
      <c r="P360" s="52" t="n">
        <v>0</v>
      </c>
      <c r="Q360" s="53" t="n">
        <v>0</v>
      </c>
      <c r="R360" s="52" t="n">
        <v>0</v>
      </c>
      <c r="S360" s="51" t="n">
        <v>0</v>
      </c>
      <c r="T360" s="48" t="n">
        <v>0</v>
      </c>
      <c r="U360" s="49" t="n">
        <v>0</v>
      </c>
      <c r="V360" s="49" t="n">
        <v>0</v>
      </c>
      <c r="W360" s="50" t="n">
        <v>0</v>
      </c>
      <c r="X360" s="51" t="n">
        <v>0</v>
      </c>
      <c r="Y360" s="52" t="n">
        <v>0</v>
      </c>
      <c r="Z360" s="52" t="n">
        <v>0</v>
      </c>
      <c r="AA360" s="52" t="n">
        <v>0</v>
      </c>
      <c r="AB360" s="53" t="n">
        <v>0</v>
      </c>
      <c r="AC360" s="52" t="n">
        <v>0</v>
      </c>
      <c r="AD360" s="53" t="n">
        <v>0</v>
      </c>
      <c r="AE360" s="52" t="n">
        <v>0</v>
      </c>
      <c r="AF360" s="51" t="n">
        <v>0</v>
      </c>
      <c r="AG360" s="48" t="n">
        <v>0</v>
      </c>
      <c r="AH360" s="49" t="n">
        <v>0</v>
      </c>
      <c r="AI360" s="49" t="n">
        <v>0</v>
      </c>
      <c r="AJ360" s="50" t="n">
        <v>0</v>
      </c>
      <c r="AK360" s="51" t="n">
        <v>0</v>
      </c>
      <c r="AL360" s="52" t="n">
        <v>0</v>
      </c>
      <c r="AM360" s="52" t="n">
        <v>0</v>
      </c>
      <c r="AN360" s="52" t="n">
        <v>0</v>
      </c>
      <c r="AO360" s="53" t="n">
        <v>0</v>
      </c>
      <c r="AP360" s="52" t="n">
        <v>0</v>
      </c>
      <c r="AQ360" s="53" t="n">
        <v>0</v>
      </c>
      <c r="AR360" s="52" t="n">
        <v>0</v>
      </c>
      <c r="AS360" s="51" t="n">
        <v>0</v>
      </c>
      <c r="AT360" s="48" t="n">
        <v>0</v>
      </c>
      <c r="AU360" s="49" t="n">
        <v>0</v>
      </c>
      <c r="AV360" s="49" t="n">
        <v>0</v>
      </c>
      <c r="AW360" s="50" t="n">
        <v>0</v>
      </c>
      <c r="AX360" s="51" t="n">
        <v>0</v>
      </c>
      <c r="AY360" s="52" t="n">
        <v>0</v>
      </c>
      <c r="AZ360" s="52" t="n">
        <v>0</v>
      </c>
      <c r="BA360" s="52" t="n">
        <v>0</v>
      </c>
      <c r="BB360" s="53" t="n">
        <v>0</v>
      </c>
      <c r="BC360" s="52" t="n">
        <v>0</v>
      </c>
      <c r="BD360" s="53" t="n">
        <v>0</v>
      </c>
      <c r="BE360" s="52" t="n">
        <v>0</v>
      </c>
      <c r="BF360" s="51" t="n">
        <v>0</v>
      </c>
    </row>
    <row r="361">
      <c r="A361">
        <f>HYPERLINK("https://www.walmart.com/ip/567261259", "567261259")</f>
        <v/>
      </c>
      <c r="B361" t="inlineStr">
        <is>
          <t>Tirrinia Wine Cooler bag - 3 Bottle Travel Insulated Padded Wine Carrier Tote Bag with Handle and Adjustable Shoulder Strap</t>
        </is>
      </c>
      <c r="C361" t="inlineStr">
        <is>
          <t>1WMWB310BKSTR</t>
        </is>
      </c>
      <c r="D361" t="inlineStr">
        <is>
          <t>Wine Totes, Bags &amp; Backpacks</t>
        </is>
      </c>
      <c r="E361" t="inlineStr">
        <is>
          <t>Flyingstar</t>
        </is>
      </c>
      <c r="F361" t="inlineStr">
        <is>
          <t>Wine,Christmas,Valentine</t>
        </is>
      </c>
      <c r="G361" s="48" t="n">
        <v>0</v>
      </c>
      <c r="H361" s="49" t="n">
        <v>0</v>
      </c>
      <c r="I361" s="49" t="n">
        <v>0</v>
      </c>
      <c r="J361" s="50" t="n">
        <v>0</v>
      </c>
      <c r="K361" s="51" t="n">
        <v>0</v>
      </c>
      <c r="L361" s="52" t="n">
        <v>0</v>
      </c>
      <c r="M361" s="52" t="n">
        <v>0</v>
      </c>
      <c r="N361" s="52" t="n">
        <v>0</v>
      </c>
      <c r="O361" s="53" t="n">
        <v>0</v>
      </c>
      <c r="P361" s="52" t="n">
        <v>0</v>
      </c>
      <c r="Q361" s="53" t="n">
        <v>0</v>
      </c>
      <c r="R361" s="52" t="n">
        <v>0</v>
      </c>
      <c r="S361" s="51" t="n">
        <v>0</v>
      </c>
      <c r="T361" s="48" t="n">
        <v>0</v>
      </c>
      <c r="U361" s="49" t="n">
        <v>0</v>
      </c>
      <c r="V361" s="49" t="n">
        <v>0</v>
      </c>
      <c r="W361" s="50" t="n">
        <v>0</v>
      </c>
      <c r="X361" s="51" t="n">
        <v>0</v>
      </c>
      <c r="Y361" s="52" t="n">
        <v>0</v>
      </c>
      <c r="Z361" s="52" t="n">
        <v>0</v>
      </c>
      <c r="AA361" s="52" t="n">
        <v>0</v>
      </c>
      <c r="AB361" s="53" t="n">
        <v>0</v>
      </c>
      <c r="AC361" s="52" t="n">
        <v>0</v>
      </c>
      <c r="AD361" s="53" t="n">
        <v>0</v>
      </c>
      <c r="AE361" s="52" t="n">
        <v>0</v>
      </c>
      <c r="AF361" s="51" t="n">
        <v>0</v>
      </c>
      <c r="AG361" s="48" t="n">
        <v>0</v>
      </c>
      <c r="AH361" s="49" t="n">
        <v>0</v>
      </c>
      <c r="AI361" s="49" t="n">
        <v>0</v>
      </c>
      <c r="AJ361" s="50" t="n">
        <v>0</v>
      </c>
      <c r="AK361" s="51" t="n">
        <v>0</v>
      </c>
      <c r="AL361" s="52" t="n">
        <v>0</v>
      </c>
      <c r="AM361" s="52" t="n">
        <v>0</v>
      </c>
      <c r="AN361" s="52" t="n">
        <v>0</v>
      </c>
      <c r="AO361" s="53" t="n">
        <v>0</v>
      </c>
      <c r="AP361" s="52" t="n">
        <v>0</v>
      </c>
      <c r="AQ361" s="53" t="n">
        <v>0</v>
      </c>
      <c r="AR361" s="52" t="n">
        <v>0</v>
      </c>
      <c r="AS361" s="51" t="n">
        <v>0</v>
      </c>
      <c r="AT361" s="48" t="n">
        <v>0</v>
      </c>
      <c r="AU361" s="49" t="n">
        <v>0</v>
      </c>
      <c r="AV361" s="49" t="n">
        <v>0</v>
      </c>
      <c r="AW361" s="50" t="n">
        <v>0</v>
      </c>
      <c r="AX361" s="51" t="n">
        <v>0</v>
      </c>
      <c r="AY361" s="52" t="n">
        <v>0</v>
      </c>
      <c r="AZ361" s="52" t="n">
        <v>0</v>
      </c>
      <c r="BA361" s="52" t="n">
        <v>0</v>
      </c>
      <c r="BB361" s="53" t="n">
        <v>0</v>
      </c>
      <c r="BC361" s="52" t="n">
        <v>0</v>
      </c>
      <c r="BD361" s="53" t="n">
        <v>0</v>
      </c>
      <c r="BE361" s="52" t="n">
        <v>0</v>
      </c>
      <c r="BF361" s="51" t="n">
        <v>0</v>
      </c>
    </row>
    <row r="362">
      <c r="A362">
        <f>HYPERLINK("https://www.walmart.com/ip/6117611260", "6117611260")</f>
        <v/>
      </c>
      <c r="B362" t="inlineStr">
        <is>
          <t>Tirrinia 4-in-1 Travel Blanket Luxurious Premium Micro Fleece Lightweight 40” x 60” Grey</t>
        </is>
      </c>
      <c r="C362" t="inlineStr">
        <is>
          <t>1TRTB103FP</t>
        </is>
      </c>
      <c r="D362" t="inlineStr">
        <is>
          <t>Throws</t>
        </is>
      </c>
      <c r="E362" t="inlineStr">
        <is>
          <t>Tirrinia</t>
        </is>
      </c>
      <c r="G362" s="48" t="n">
        <v>0</v>
      </c>
      <c r="H362" s="49" t="n">
        <v>0</v>
      </c>
      <c r="I362" s="49" t="n">
        <v>0</v>
      </c>
      <c r="J362" s="50" t="n">
        <v>0</v>
      </c>
      <c r="K362" s="51" t="n">
        <v>0</v>
      </c>
      <c r="L362" s="52" t="n">
        <v>0</v>
      </c>
      <c r="M362" s="52" t="n">
        <v>0</v>
      </c>
      <c r="N362" s="52" t="n">
        <v>0</v>
      </c>
      <c r="O362" s="53" t="n">
        <v>0</v>
      </c>
      <c r="P362" s="52" t="n">
        <v>0</v>
      </c>
      <c r="Q362" s="53" t="n">
        <v>0</v>
      </c>
      <c r="R362" s="52" t="n">
        <v>0</v>
      </c>
      <c r="S362" s="51" t="n">
        <v>0</v>
      </c>
      <c r="T362" s="48" t="n">
        <v>0</v>
      </c>
      <c r="U362" s="49" t="n">
        <v>0</v>
      </c>
      <c r="V362" s="49" t="n">
        <v>0</v>
      </c>
      <c r="W362" s="50" t="n">
        <v>0</v>
      </c>
      <c r="X362" s="51" t="n">
        <v>0</v>
      </c>
      <c r="Y362" s="52" t="n">
        <v>0</v>
      </c>
      <c r="Z362" s="52" t="n">
        <v>0</v>
      </c>
      <c r="AA362" s="52" t="n">
        <v>0</v>
      </c>
      <c r="AB362" s="53" t="n">
        <v>0</v>
      </c>
      <c r="AC362" s="52" t="n">
        <v>0</v>
      </c>
      <c r="AD362" s="53" t="n">
        <v>0</v>
      </c>
      <c r="AE362" s="52" t="n">
        <v>0</v>
      </c>
      <c r="AF362" s="51" t="n">
        <v>0</v>
      </c>
      <c r="AG362" s="48" t="n">
        <v>0</v>
      </c>
      <c r="AH362" s="49" t="n">
        <v>0</v>
      </c>
      <c r="AI362" s="49" t="n">
        <v>0</v>
      </c>
      <c r="AJ362" s="50" t="n">
        <v>0</v>
      </c>
      <c r="AK362" s="51" t="n">
        <v>0</v>
      </c>
      <c r="AL362" s="52" t="n">
        <v>0</v>
      </c>
      <c r="AM362" s="52" t="n">
        <v>0</v>
      </c>
      <c r="AN362" s="52" t="n">
        <v>0</v>
      </c>
      <c r="AO362" s="53" t="n">
        <v>0</v>
      </c>
      <c r="AP362" s="52" t="n">
        <v>0</v>
      </c>
      <c r="AQ362" s="53" t="n">
        <v>0</v>
      </c>
      <c r="AR362" s="52" t="n">
        <v>0</v>
      </c>
      <c r="AS362" s="51" t="n">
        <v>0</v>
      </c>
      <c r="AT362" s="48" t="n">
        <v>0</v>
      </c>
      <c r="AU362" s="49" t="n">
        <v>0</v>
      </c>
      <c r="AV362" s="49" t="n">
        <v>0</v>
      </c>
      <c r="AW362" s="50" t="n">
        <v>0</v>
      </c>
      <c r="AX362" s="51" t="n">
        <v>0</v>
      </c>
      <c r="AY362" s="52" t="n">
        <v>0</v>
      </c>
      <c r="AZ362" s="52" t="n">
        <v>0</v>
      </c>
      <c r="BA362" s="52" t="n">
        <v>0</v>
      </c>
      <c r="BB362" s="53" t="n">
        <v>0</v>
      </c>
      <c r="BC362" s="52" t="n">
        <v>0</v>
      </c>
      <c r="BD362" s="53" t="n">
        <v>0</v>
      </c>
      <c r="BE362" s="52" t="n">
        <v>0</v>
      </c>
      <c r="BF362" s="51" t="n">
        <v>0</v>
      </c>
    </row>
    <row r="363">
      <c r="A363">
        <f>HYPERLINK("https://www.walmart.com/ip/6117850950", "6117850950")</f>
        <v/>
      </c>
      <c r="B363" t="inlineStr">
        <is>
          <t>Catalonia Cooling Blanket for Hot Sleepers, Summer Bed Blanket for Warm Night Sweat, Cool Sofa Throw Blanket for Hot Flashes, Soft Thin Lightweight Blanket for Adults Kids</t>
        </is>
      </c>
      <c r="C363" t="inlineStr">
        <is>
          <t>1CTBQ10169GN</t>
        </is>
      </c>
      <c r="D363" t="inlineStr">
        <is>
          <t>Throws</t>
        </is>
      </c>
      <c r="E363" t="inlineStr">
        <is>
          <t>Catalonia</t>
        </is>
      </c>
      <c r="G363" s="48" t="n">
        <v>0</v>
      </c>
      <c r="H363" s="49" t="n">
        <v>0</v>
      </c>
      <c r="I363" s="49" t="n">
        <v>0</v>
      </c>
      <c r="J363" s="50" t="n">
        <v>0</v>
      </c>
      <c r="K363" s="51" t="n">
        <v>0</v>
      </c>
      <c r="L363" s="52" t="n">
        <v>0</v>
      </c>
      <c r="M363" s="52" t="n">
        <v>0</v>
      </c>
      <c r="N363" s="52" t="n">
        <v>0</v>
      </c>
      <c r="O363" s="53" t="n">
        <v>0</v>
      </c>
      <c r="P363" s="52" t="n">
        <v>0</v>
      </c>
      <c r="Q363" s="53" t="n">
        <v>0</v>
      </c>
      <c r="R363" s="52" t="n">
        <v>0</v>
      </c>
      <c r="S363" s="51" t="n">
        <v>0</v>
      </c>
      <c r="T363" s="48" t="n">
        <v>0</v>
      </c>
      <c r="U363" s="49" t="n">
        <v>0</v>
      </c>
      <c r="V363" s="49" t="n">
        <v>0</v>
      </c>
      <c r="W363" s="50" t="n">
        <v>0</v>
      </c>
      <c r="X363" s="51" t="n">
        <v>0</v>
      </c>
      <c r="Y363" s="52" t="n">
        <v>0</v>
      </c>
      <c r="Z363" s="52" t="n">
        <v>0</v>
      </c>
      <c r="AA363" s="52" t="n">
        <v>0</v>
      </c>
      <c r="AB363" s="53" t="n">
        <v>0</v>
      </c>
      <c r="AC363" s="52" t="n">
        <v>0</v>
      </c>
      <c r="AD363" s="53" t="n">
        <v>0</v>
      </c>
      <c r="AE363" s="52" t="n">
        <v>0</v>
      </c>
      <c r="AF363" s="51" t="n">
        <v>0</v>
      </c>
      <c r="AG363" s="48" t="n">
        <v>0</v>
      </c>
      <c r="AH363" s="49" t="n">
        <v>0</v>
      </c>
      <c r="AI363" s="49" t="n">
        <v>0</v>
      </c>
      <c r="AJ363" s="50" t="n">
        <v>0</v>
      </c>
      <c r="AK363" s="51" t="n">
        <v>0</v>
      </c>
      <c r="AL363" s="52" t="n">
        <v>0</v>
      </c>
      <c r="AM363" s="52" t="n">
        <v>0</v>
      </c>
      <c r="AN363" s="52" t="n">
        <v>0</v>
      </c>
      <c r="AO363" s="53" t="n">
        <v>0</v>
      </c>
      <c r="AP363" s="52" t="n">
        <v>0</v>
      </c>
      <c r="AQ363" s="53" t="n">
        <v>0</v>
      </c>
      <c r="AR363" s="52" t="n">
        <v>0</v>
      </c>
      <c r="AS363" s="51" t="n">
        <v>0</v>
      </c>
      <c r="AT363" s="48" t="n">
        <v>0</v>
      </c>
      <c r="AU363" s="49" t="n">
        <v>0</v>
      </c>
      <c r="AV363" s="49" t="n">
        <v>0</v>
      </c>
      <c r="AW363" s="50" t="n">
        <v>0</v>
      </c>
      <c r="AX363" s="51" t="n">
        <v>0</v>
      </c>
      <c r="AY363" s="52" t="n">
        <v>0</v>
      </c>
      <c r="AZ363" s="52" t="n">
        <v>0</v>
      </c>
      <c r="BA363" s="52" t="n">
        <v>0</v>
      </c>
      <c r="BB363" s="53" t="n">
        <v>0</v>
      </c>
      <c r="BC363" s="52" t="n">
        <v>0</v>
      </c>
      <c r="BD363" s="53" t="n">
        <v>0</v>
      </c>
      <c r="BE363" s="52" t="n">
        <v>0</v>
      </c>
      <c r="BF363" s="51" t="n">
        <v>0</v>
      </c>
    </row>
    <row r="364">
      <c r="A364">
        <f>HYPERLINK("https://www.walmart.com/ip/567101250", "567101250")</f>
        <v/>
      </c>
      <c r="B364" t="inlineStr">
        <is>
          <t>Tirrinia Insulated Wine Carrier - 3 Bottle Travel Wine Carry Cooler Tote Bag with Handle and Adjustable Shoulder Strap + Free Corkscrew, Gray</t>
        </is>
      </c>
      <c r="C364" t="inlineStr">
        <is>
          <t>1KTWB300GY</t>
        </is>
      </c>
      <c r="D364" t="inlineStr">
        <is>
          <t>Wine Totes, Bags &amp; Backpacks</t>
        </is>
      </c>
      <c r="E364" t="inlineStr">
        <is>
          <t>Tirrinia</t>
        </is>
      </c>
      <c r="F364" t="inlineStr">
        <is>
          <t>Wine,SEM,Lily Brand Camp</t>
        </is>
      </c>
      <c r="G364" s="48" t="n">
        <v>0</v>
      </c>
      <c r="H364" s="49" t="n">
        <v>0</v>
      </c>
      <c r="I364" s="49" t="n">
        <v>0</v>
      </c>
      <c r="J364" s="50" t="n">
        <v>0</v>
      </c>
      <c r="K364" s="51" t="n">
        <v>0</v>
      </c>
      <c r="L364" s="52" t="n">
        <v>0</v>
      </c>
      <c r="M364" s="52" t="n">
        <v>0</v>
      </c>
      <c r="N364" s="52" t="n">
        <v>0</v>
      </c>
      <c r="O364" s="53" t="n">
        <v>0</v>
      </c>
      <c r="P364" s="52" t="n">
        <v>0</v>
      </c>
      <c r="Q364" s="53" t="n">
        <v>0</v>
      </c>
      <c r="R364" s="52" t="n">
        <v>0</v>
      </c>
      <c r="S364" s="51" t="n">
        <v>0</v>
      </c>
      <c r="T364" s="48" t="n">
        <v>0</v>
      </c>
      <c r="U364" s="49" t="n">
        <v>0</v>
      </c>
      <c r="V364" s="49" t="n">
        <v>0</v>
      </c>
      <c r="W364" s="50" t="n">
        <v>0</v>
      </c>
      <c r="X364" s="51" t="n">
        <v>0</v>
      </c>
      <c r="Y364" s="52" t="n">
        <v>0</v>
      </c>
      <c r="Z364" s="52" t="n">
        <v>0</v>
      </c>
      <c r="AA364" s="52" t="n">
        <v>0</v>
      </c>
      <c r="AB364" s="53" t="n">
        <v>0</v>
      </c>
      <c r="AC364" s="52" t="n">
        <v>0</v>
      </c>
      <c r="AD364" s="53" t="n">
        <v>0</v>
      </c>
      <c r="AE364" s="52" t="n">
        <v>0</v>
      </c>
      <c r="AF364" s="51" t="n">
        <v>0</v>
      </c>
      <c r="AG364" s="48" t="n">
        <v>0</v>
      </c>
      <c r="AH364" s="49" t="n">
        <v>0</v>
      </c>
      <c r="AI364" s="49" t="n">
        <v>0</v>
      </c>
      <c r="AJ364" s="50" t="n">
        <v>0</v>
      </c>
      <c r="AK364" s="51" t="n">
        <v>0</v>
      </c>
      <c r="AL364" s="52" t="n">
        <v>0</v>
      </c>
      <c r="AM364" s="52" t="n">
        <v>0</v>
      </c>
      <c r="AN364" s="52" t="n">
        <v>0</v>
      </c>
      <c r="AO364" s="53" t="n">
        <v>0</v>
      </c>
      <c r="AP364" s="52" t="n">
        <v>0</v>
      </c>
      <c r="AQ364" s="53" t="n">
        <v>0</v>
      </c>
      <c r="AR364" s="52" t="n">
        <v>0</v>
      </c>
      <c r="AS364" s="51" t="n">
        <v>0</v>
      </c>
      <c r="AT364" s="48" t="n">
        <v>0</v>
      </c>
      <c r="AU364" s="49" t="n">
        <v>0</v>
      </c>
      <c r="AV364" s="49" t="n">
        <v>0</v>
      </c>
      <c r="AW364" s="50" t="n">
        <v>0</v>
      </c>
      <c r="AX364" s="51" t="n">
        <v>0</v>
      </c>
      <c r="AY364" s="52" t="n">
        <v>0</v>
      </c>
      <c r="AZ364" s="52" t="n">
        <v>0</v>
      </c>
      <c r="BA364" s="52" t="n">
        <v>0</v>
      </c>
      <c r="BB364" s="53" t="n">
        <v>0</v>
      </c>
      <c r="BC364" s="52" t="n">
        <v>0</v>
      </c>
      <c r="BD364" s="53" t="n">
        <v>0</v>
      </c>
      <c r="BE364" s="52" t="n">
        <v>0</v>
      </c>
      <c r="BF364" s="51" t="n">
        <v>0</v>
      </c>
    </row>
    <row r="365">
      <c r="A365">
        <f>HYPERLINK("https://www.walmart.com/ip/6120910723", "6120910723")</f>
        <v/>
      </c>
      <c r="B365" t="inlineStr">
        <is>
          <t>Tirrinia Surf Poncho Changing Towel, Lightweight Surf Hooded Beach Towel Quick Dry, Portable Dressing Room for Surfing Beach Pool Summer Camping Adult Women Men Gift Shark</t>
        </is>
      </c>
      <c r="C365" t="inlineStr">
        <is>
          <t>1TRBR101STARFISH</t>
        </is>
      </c>
      <c r="D365" t="inlineStr">
        <is>
          <t>Sleepwear Robes &amp; Bathrobes</t>
        </is>
      </c>
      <c r="E365" t="inlineStr">
        <is>
          <t>Tirrinia</t>
        </is>
      </c>
      <c r="G365" s="48" t="n">
        <v>0</v>
      </c>
      <c r="H365" s="49" t="n">
        <v>0</v>
      </c>
      <c r="I365" s="49" t="n">
        <v>0</v>
      </c>
      <c r="J365" s="50" t="n">
        <v>0</v>
      </c>
      <c r="K365" s="51" t="n">
        <v>0</v>
      </c>
      <c r="L365" s="52" t="n">
        <v>0</v>
      </c>
      <c r="M365" s="52" t="n">
        <v>0</v>
      </c>
      <c r="N365" s="52" t="n">
        <v>0</v>
      </c>
      <c r="O365" s="53" t="n">
        <v>0</v>
      </c>
      <c r="P365" s="52" t="n">
        <v>0</v>
      </c>
      <c r="Q365" s="53" t="n">
        <v>0</v>
      </c>
      <c r="R365" s="52" t="n">
        <v>0</v>
      </c>
      <c r="S365" s="51" t="n">
        <v>0</v>
      </c>
      <c r="T365" s="48" t="n">
        <v>0</v>
      </c>
      <c r="U365" s="49" t="n">
        <v>0</v>
      </c>
      <c r="V365" s="49" t="n">
        <v>0</v>
      </c>
      <c r="W365" s="50" t="n">
        <v>0</v>
      </c>
      <c r="X365" s="51" t="n">
        <v>0</v>
      </c>
      <c r="Y365" s="52" t="n">
        <v>0</v>
      </c>
      <c r="Z365" s="52" t="n">
        <v>0</v>
      </c>
      <c r="AA365" s="52" t="n">
        <v>0</v>
      </c>
      <c r="AB365" s="53" t="n">
        <v>0</v>
      </c>
      <c r="AC365" s="52" t="n">
        <v>0</v>
      </c>
      <c r="AD365" s="53" t="n">
        <v>0</v>
      </c>
      <c r="AE365" s="52" t="n">
        <v>0</v>
      </c>
      <c r="AF365" s="51" t="n">
        <v>0</v>
      </c>
      <c r="AG365" s="48" t="n">
        <v>0</v>
      </c>
      <c r="AH365" s="49" t="n">
        <v>0</v>
      </c>
      <c r="AI365" s="49" t="n">
        <v>0</v>
      </c>
      <c r="AJ365" s="50" t="n">
        <v>0</v>
      </c>
      <c r="AK365" s="51" t="n">
        <v>0</v>
      </c>
      <c r="AL365" s="52" t="n">
        <v>0</v>
      </c>
      <c r="AM365" s="52" t="n">
        <v>0</v>
      </c>
      <c r="AN365" s="52" t="n">
        <v>0</v>
      </c>
      <c r="AO365" s="53" t="n">
        <v>0</v>
      </c>
      <c r="AP365" s="52" t="n">
        <v>0</v>
      </c>
      <c r="AQ365" s="53" t="n">
        <v>0</v>
      </c>
      <c r="AR365" s="52" t="n">
        <v>0</v>
      </c>
      <c r="AS365" s="51" t="n">
        <v>0</v>
      </c>
      <c r="AT365" s="48" t="n">
        <v>0</v>
      </c>
      <c r="AU365" s="49" t="n">
        <v>0</v>
      </c>
      <c r="AV365" s="49" t="n">
        <v>0</v>
      </c>
      <c r="AW365" s="50" t="n">
        <v>0</v>
      </c>
      <c r="AX365" s="51" t="n">
        <v>0</v>
      </c>
      <c r="AY365" s="52" t="n">
        <v>0</v>
      </c>
      <c r="AZ365" s="52" t="n">
        <v>0</v>
      </c>
      <c r="BA365" s="52" t="n">
        <v>0</v>
      </c>
      <c r="BB365" s="53" t="n">
        <v>0</v>
      </c>
      <c r="BC365" s="52" t="n">
        <v>0</v>
      </c>
      <c r="BD365" s="53" t="n">
        <v>0</v>
      </c>
      <c r="BE365" s="52" t="n">
        <v>0</v>
      </c>
      <c r="BF365" s="51" t="n">
        <v>0</v>
      </c>
    </row>
    <row r="366">
      <c r="A366">
        <f>HYPERLINK("https://www.walmart.com/ip/6121103620", "6121103620")</f>
        <v/>
      </c>
      <c r="B366" t="inlineStr">
        <is>
          <t>Catalonia Cooling Blanket for Hot Sleepers, Summer Bed Blanket for Warm Night Sweat, Cool Sofa Throw Blanket for Hot Flashes, Soft Thin Lightweight Blanket for Adults Kids</t>
        </is>
      </c>
      <c r="C366" t="inlineStr">
        <is>
          <t>1CTBQ10157GY</t>
        </is>
      </c>
      <c r="D366" t="inlineStr">
        <is>
          <t>Throws</t>
        </is>
      </c>
      <c r="E366" t="inlineStr">
        <is>
          <t>Catalonia</t>
        </is>
      </c>
      <c r="G366" s="48" t="n">
        <v>0</v>
      </c>
      <c r="H366" s="49" t="n">
        <v>0</v>
      </c>
      <c r="I366" s="49" t="n">
        <v>0</v>
      </c>
      <c r="J366" s="50" t="n">
        <v>0</v>
      </c>
      <c r="K366" s="51" t="n">
        <v>0</v>
      </c>
      <c r="L366" s="52" t="n">
        <v>0</v>
      </c>
      <c r="M366" s="52" t="n">
        <v>0</v>
      </c>
      <c r="N366" s="52" t="n">
        <v>0</v>
      </c>
      <c r="O366" s="53" t="n">
        <v>0</v>
      </c>
      <c r="P366" s="52" t="n">
        <v>0</v>
      </c>
      <c r="Q366" s="53" t="n">
        <v>0</v>
      </c>
      <c r="R366" s="52" t="n">
        <v>0</v>
      </c>
      <c r="S366" s="51" t="n">
        <v>0</v>
      </c>
      <c r="T366" s="48" t="n">
        <v>0</v>
      </c>
      <c r="U366" s="49" t="n">
        <v>0</v>
      </c>
      <c r="V366" s="49" t="n">
        <v>0</v>
      </c>
      <c r="W366" s="50" t="n">
        <v>0</v>
      </c>
      <c r="X366" s="51" t="n">
        <v>0</v>
      </c>
      <c r="Y366" s="52" t="n">
        <v>0</v>
      </c>
      <c r="Z366" s="52" t="n">
        <v>0</v>
      </c>
      <c r="AA366" s="52" t="n">
        <v>0</v>
      </c>
      <c r="AB366" s="53" t="n">
        <v>0</v>
      </c>
      <c r="AC366" s="52" t="n">
        <v>0</v>
      </c>
      <c r="AD366" s="53" t="n">
        <v>0</v>
      </c>
      <c r="AE366" s="52" t="n">
        <v>0</v>
      </c>
      <c r="AF366" s="51" t="n">
        <v>0</v>
      </c>
      <c r="AG366" s="48" t="n">
        <v>0</v>
      </c>
      <c r="AH366" s="49" t="n">
        <v>0</v>
      </c>
      <c r="AI366" s="49" t="n">
        <v>0</v>
      </c>
      <c r="AJ366" s="50" t="n">
        <v>0</v>
      </c>
      <c r="AK366" s="51" t="n">
        <v>0</v>
      </c>
      <c r="AL366" s="52" t="n">
        <v>0</v>
      </c>
      <c r="AM366" s="52" t="n">
        <v>0</v>
      </c>
      <c r="AN366" s="52" t="n">
        <v>0</v>
      </c>
      <c r="AO366" s="53" t="n">
        <v>0</v>
      </c>
      <c r="AP366" s="52" t="n">
        <v>0</v>
      </c>
      <c r="AQ366" s="53" t="n">
        <v>0</v>
      </c>
      <c r="AR366" s="52" t="n">
        <v>0</v>
      </c>
      <c r="AS366" s="51" t="n">
        <v>0</v>
      </c>
      <c r="AT366" s="48" t="n">
        <v>0</v>
      </c>
      <c r="AU366" s="49" t="n">
        <v>0</v>
      </c>
      <c r="AV366" s="49" t="n">
        <v>0</v>
      </c>
      <c r="AW366" s="50" t="n">
        <v>0</v>
      </c>
      <c r="AX366" s="51" t="n">
        <v>0</v>
      </c>
      <c r="AY366" s="52" t="n">
        <v>0</v>
      </c>
      <c r="AZ366" s="52" t="n">
        <v>0</v>
      </c>
      <c r="BA366" s="52" t="n">
        <v>0</v>
      </c>
      <c r="BB366" s="53" t="n">
        <v>0</v>
      </c>
      <c r="BC366" s="52" t="n">
        <v>0</v>
      </c>
      <c r="BD366" s="53" t="n">
        <v>0</v>
      </c>
      <c r="BE366" s="52" t="n">
        <v>0</v>
      </c>
      <c r="BF366" s="51" t="n">
        <v>0</v>
      </c>
    </row>
    <row r="367">
      <c r="A367">
        <f>HYPERLINK("https://www.walmart.com/ip/596579613", "596579613")</f>
        <v/>
      </c>
      <c r="B367" t="inlineStr">
        <is>
          <t>Tirrinia Men's Sun Hat with Wide Brim Neck Flap, Fishing Safari Hat for Outdoor Hiking Camping, Green</t>
        </is>
      </c>
      <c r="C367" t="inlineStr">
        <is>
          <t>1TRSH910GN-TBCB</t>
        </is>
      </c>
      <c r="D367" t="inlineStr">
        <is>
          <t>Hats</t>
        </is>
      </c>
      <c r="E367" t="inlineStr">
        <is>
          <t>Tirrinia</t>
        </is>
      </c>
      <c r="F367" t="inlineStr">
        <is>
          <t>Hats</t>
        </is>
      </c>
      <c r="G367" s="48" t="n">
        <v>0</v>
      </c>
      <c r="H367" s="49" t="n">
        <v>0</v>
      </c>
      <c r="I367" s="49" t="n">
        <v>0</v>
      </c>
      <c r="J367" s="50" t="n">
        <v>0</v>
      </c>
      <c r="K367" s="51" t="n">
        <v>0</v>
      </c>
      <c r="L367" s="52" t="n">
        <v>0</v>
      </c>
      <c r="M367" s="52" t="n">
        <v>0</v>
      </c>
      <c r="N367" s="52" t="n">
        <v>0</v>
      </c>
      <c r="O367" s="53" t="n">
        <v>0</v>
      </c>
      <c r="P367" s="52" t="n">
        <v>0</v>
      </c>
      <c r="Q367" s="53" t="n">
        <v>0</v>
      </c>
      <c r="R367" s="52" t="n">
        <v>0</v>
      </c>
      <c r="S367" s="51" t="n">
        <v>989</v>
      </c>
      <c r="T367" s="48" t="n">
        <v>0</v>
      </c>
      <c r="U367" s="49" t="n">
        <v>0</v>
      </c>
      <c r="V367" s="49" t="n">
        <v>0</v>
      </c>
      <c r="W367" s="50" t="n">
        <v>0</v>
      </c>
      <c r="X367" s="51" t="n">
        <v>0</v>
      </c>
      <c r="Y367" s="52" t="n">
        <v>0</v>
      </c>
      <c r="Z367" s="52" t="n">
        <v>0</v>
      </c>
      <c r="AA367" s="52" t="n">
        <v>0</v>
      </c>
      <c r="AB367" s="53" t="n">
        <v>0</v>
      </c>
      <c r="AC367" s="52" t="n">
        <v>0</v>
      </c>
      <c r="AD367" s="53" t="n">
        <v>0</v>
      </c>
      <c r="AE367" s="52" t="n">
        <v>0</v>
      </c>
      <c r="AF367" s="51" t="n">
        <v>0</v>
      </c>
      <c r="AG367" s="48" t="n">
        <v>0</v>
      </c>
      <c r="AH367" s="49" t="n">
        <v>0</v>
      </c>
      <c r="AI367" s="49" t="n">
        <v>0</v>
      </c>
      <c r="AJ367" s="50" t="n">
        <v>0</v>
      </c>
      <c r="AK367" s="51" t="n">
        <v>0</v>
      </c>
      <c r="AL367" s="52" t="n">
        <v>0</v>
      </c>
      <c r="AM367" s="52" t="n">
        <v>0</v>
      </c>
      <c r="AN367" s="52" t="n">
        <v>0</v>
      </c>
      <c r="AO367" s="53" t="n">
        <v>0</v>
      </c>
      <c r="AP367" s="52" t="n">
        <v>0</v>
      </c>
      <c r="AQ367" s="53" t="n">
        <v>0</v>
      </c>
      <c r="AR367" s="52" t="n">
        <v>0</v>
      </c>
      <c r="AS367" s="51" t="n">
        <v>0</v>
      </c>
      <c r="AT367" s="48" t="n">
        <v>15.99</v>
      </c>
      <c r="AU367" s="49" t="n">
        <v>1</v>
      </c>
      <c r="AV367" s="49" t="n">
        <v>0</v>
      </c>
      <c r="AW367" s="50" t="n">
        <v>0</v>
      </c>
      <c r="AX367" s="51" t="n">
        <v>0</v>
      </c>
      <c r="AY367" s="52" t="n">
        <v>0</v>
      </c>
      <c r="AZ367" s="52" t="n">
        <v>0</v>
      </c>
      <c r="BA367" s="52" t="n">
        <v>0</v>
      </c>
      <c r="BB367" s="53" t="n">
        <v>0</v>
      </c>
      <c r="BC367" s="52" t="n">
        <v>0</v>
      </c>
      <c r="BD367" s="53" t="n">
        <v>0</v>
      </c>
      <c r="BE367" s="52" t="n">
        <v>15.99</v>
      </c>
      <c r="BF367" s="51" t="n">
        <v>0</v>
      </c>
    </row>
    <row r="368">
      <c r="A368">
        <f>HYPERLINK("https://www.walmart.com/ip/565155576", "565155576")</f>
        <v/>
      </c>
      <c r="B368" t="inlineStr">
        <is>
          <t>Tirrinia Neon Hunting Orange Safety Cap Closure</t>
        </is>
      </c>
      <c r="C368" t="inlineStr">
        <is>
          <t>1TRHT7121BK-TBCB</t>
        </is>
      </c>
      <c r="D368" t="inlineStr">
        <is>
          <t>Hats</t>
        </is>
      </c>
      <c r="E368" t="inlineStr">
        <is>
          <t>Tirrinia</t>
        </is>
      </c>
      <c r="F368" t="inlineStr">
        <is>
          <t>Batch 1 - TR</t>
        </is>
      </c>
      <c r="G368" s="48" t="n">
        <v>0</v>
      </c>
      <c r="H368" s="49" t="n">
        <v>0</v>
      </c>
      <c r="I368" s="49" t="n">
        <v>0</v>
      </c>
      <c r="J368" s="50" t="n">
        <v>0</v>
      </c>
      <c r="K368" s="51" t="n">
        <v>0</v>
      </c>
      <c r="L368" s="52" t="n">
        <v>0</v>
      </c>
      <c r="M368" s="52" t="n">
        <v>0</v>
      </c>
      <c r="N368" s="52" t="n">
        <v>0</v>
      </c>
      <c r="O368" s="53" t="n">
        <v>0</v>
      </c>
      <c r="P368" s="52" t="n">
        <v>0</v>
      </c>
      <c r="Q368" s="53" t="n">
        <v>0</v>
      </c>
      <c r="R368" s="52" t="n">
        <v>0</v>
      </c>
      <c r="S368" s="51" t="n">
        <v>0</v>
      </c>
      <c r="T368" s="48" t="n">
        <v>0</v>
      </c>
      <c r="U368" s="49" t="n">
        <v>0</v>
      </c>
      <c r="V368" s="49" t="n">
        <v>0</v>
      </c>
      <c r="W368" s="50" t="n">
        <v>0</v>
      </c>
      <c r="X368" s="51" t="n">
        <v>0</v>
      </c>
      <c r="Y368" s="52" t="n">
        <v>0</v>
      </c>
      <c r="Z368" s="52" t="n">
        <v>0</v>
      </c>
      <c r="AA368" s="52" t="n">
        <v>0</v>
      </c>
      <c r="AB368" s="53" t="n">
        <v>0</v>
      </c>
      <c r="AC368" s="52" t="n">
        <v>0</v>
      </c>
      <c r="AD368" s="53" t="n">
        <v>0</v>
      </c>
      <c r="AE368" s="52" t="n">
        <v>0</v>
      </c>
      <c r="AF368" s="51" t="n">
        <v>0</v>
      </c>
      <c r="AG368" s="48" t="n">
        <v>0</v>
      </c>
      <c r="AH368" s="49" t="n">
        <v>0</v>
      </c>
      <c r="AI368" s="49" t="n">
        <v>0</v>
      </c>
      <c r="AJ368" s="50" t="n">
        <v>0</v>
      </c>
      <c r="AK368" s="51" t="n">
        <v>0</v>
      </c>
      <c r="AL368" s="52" t="n">
        <v>0</v>
      </c>
      <c r="AM368" s="52" t="n">
        <v>0</v>
      </c>
      <c r="AN368" s="52" t="n">
        <v>0</v>
      </c>
      <c r="AO368" s="53" t="n">
        <v>0</v>
      </c>
      <c r="AP368" s="52" t="n">
        <v>0</v>
      </c>
      <c r="AQ368" s="53" t="n">
        <v>0</v>
      </c>
      <c r="AR368" s="52" t="n">
        <v>0</v>
      </c>
      <c r="AS368" s="51" t="n">
        <v>0</v>
      </c>
      <c r="AT368" s="48" t="n">
        <v>0</v>
      </c>
      <c r="AU368" s="49" t="n">
        <v>0</v>
      </c>
      <c r="AV368" s="49" t="n">
        <v>0</v>
      </c>
      <c r="AW368" s="50" t="n">
        <v>0</v>
      </c>
      <c r="AX368" s="51" t="n">
        <v>0</v>
      </c>
      <c r="AY368" s="52" t="n">
        <v>0</v>
      </c>
      <c r="AZ368" s="52" t="n">
        <v>0</v>
      </c>
      <c r="BA368" s="52" t="n">
        <v>0</v>
      </c>
      <c r="BB368" s="53" t="n">
        <v>0</v>
      </c>
      <c r="BC368" s="52" t="n">
        <v>0</v>
      </c>
      <c r="BD368" s="53" t="n">
        <v>0</v>
      </c>
      <c r="BE368" s="52" t="n">
        <v>0</v>
      </c>
      <c r="BF368" s="51" t="n">
        <v>0</v>
      </c>
    </row>
    <row r="369">
      <c r="A369">
        <f>HYPERLINK("https://www.walmart.com/ip/6123409250", "6123409250")</f>
        <v/>
      </c>
      <c r="B369" t="inlineStr">
        <is>
          <t>Solaris Microfiber Beach Towel, 40”x71” Personalized Beach Towels for Adult Women, Sand-Resistant, Quick-Dry Soft Lightweight Compact Camping Towel, Ideal Travel Pool Beach Gifts</t>
        </is>
      </c>
      <c r="C369" t="inlineStr">
        <is>
          <t>1SLBM20147CHOCOLATE</t>
        </is>
      </c>
      <c r="D369" t="inlineStr">
        <is>
          <t>Towels &amp; Washcloths</t>
        </is>
      </c>
      <c r="E369" t="inlineStr">
        <is>
          <t>Solaris</t>
        </is>
      </c>
      <c r="G369" s="48" t="n">
        <v>0</v>
      </c>
      <c r="H369" s="49" t="n">
        <v>0</v>
      </c>
      <c r="I369" s="49" t="n">
        <v>0</v>
      </c>
      <c r="J369" s="50" t="n">
        <v>0</v>
      </c>
      <c r="K369" s="51" t="n">
        <v>0</v>
      </c>
      <c r="L369" s="52" t="n">
        <v>0</v>
      </c>
      <c r="M369" s="52" t="n">
        <v>0</v>
      </c>
      <c r="N369" s="52" t="n">
        <v>0</v>
      </c>
      <c r="O369" s="53" t="n">
        <v>0</v>
      </c>
      <c r="P369" s="52" t="n">
        <v>0</v>
      </c>
      <c r="Q369" s="53" t="n">
        <v>0</v>
      </c>
      <c r="R369" s="52" t="n">
        <v>0</v>
      </c>
      <c r="S369" s="51" t="n">
        <v>0</v>
      </c>
      <c r="T369" s="48" t="n">
        <v>0</v>
      </c>
      <c r="U369" s="49" t="n">
        <v>0</v>
      </c>
      <c r="V369" s="49" t="n">
        <v>0</v>
      </c>
      <c r="W369" s="50" t="n">
        <v>0</v>
      </c>
      <c r="X369" s="51" t="n">
        <v>0</v>
      </c>
      <c r="Y369" s="52" t="n">
        <v>0</v>
      </c>
      <c r="Z369" s="52" t="n">
        <v>0</v>
      </c>
      <c r="AA369" s="52" t="n">
        <v>0</v>
      </c>
      <c r="AB369" s="53" t="n">
        <v>0</v>
      </c>
      <c r="AC369" s="52" t="n">
        <v>0</v>
      </c>
      <c r="AD369" s="53" t="n">
        <v>0</v>
      </c>
      <c r="AE369" s="52" t="n">
        <v>0</v>
      </c>
      <c r="AF369" s="51" t="n">
        <v>0</v>
      </c>
      <c r="AG369" s="48" t="n">
        <v>0</v>
      </c>
      <c r="AH369" s="49" t="n">
        <v>0</v>
      </c>
      <c r="AI369" s="49" t="n">
        <v>0</v>
      </c>
      <c r="AJ369" s="50" t="n">
        <v>0</v>
      </c>
      <c r="AK369" s="51" t="n">
        <v>0</v>
      </c>
      <c r="AL369" s="52" t="n">
        <v>0</v>
      </c>
      <c r="AM369" s="52" t="n">
        <v>0</v>
      </c>
      <c r="AN369" s="52" t="n">
        <v>0</v>
      </c>
      <c r="AO369" s="53" t="n">
        <v>0</v>
      </c>
      <c r="AP369" s="52" t="n">
        <v>0</v>
      </c>
      <c r="AQ369" s="53" t="n">
        <v>0</v>
      </c>
      <c r="AR369" s="52" t="n">
        <v>0</v>
      </c>
      <c r="AS369" s="51" t="n">
        <v>0</v>
      </c>
      <c r="AT369" s="48" t="n">
        <v>0</v>
      </c>
      <c r="AU369" s="49" t="n">
        <v>0</v>
      </c>
      <c r="AV369" s="49" t="n">
        <v>0</v>
      </c>
      <c r="AW369" s="50" t="n">
        <v>0</v>
      </c>
      <c r="AX369" s="51" t="n">
        <v>0</v>
      </c>
      <c r="AY369" s="52" t="n">
        <v>0</v>
      </c>
      <c r="AZ369" s="52" t="n">
        <v>0</v>
      </c>
      <c r="BA369" s="52" t="n">
        <v>0</v>
      </c>
      <c r="BB369" s="53" t="n">
        <v>0</v>
      </c>
      <c r="BC369" s="52" t="n">
        <v>0</v>
      </c>
      <c r="BD369" s="53" t="n">
        <v>0</v>
      </c>
      <c r="BE369" s="52" t="n">
        <v>0</v>
      </c>
      <c r="BF369" s="51" t="n">
        <v>0</v>
      </c>
    </row>
    <row r="370">
      <c r="A370">
        <f>HYPERLINK("https://www.walmart.com/ip/563978241", "563978241")</f>
        <v/>
      </c>
      <c r="B370" t="inlineStr">
        <is>
          <t>Catalonia Sherpa Fleece Throw Blanket, Soft Plush Couch Blanket, TV Bed Blanket, Comfy Warm Heavy Throws, Comfort Caring Gift, 50" x 60"</t>
        </is>
      </c>
      <c r="C370" t="inlineStr">
        <is>
          <t>1CTBF300CHEETAH</t>
        </is>
      </c>
      <c r="D370" t="inlineStr">
        <is>
          <t>Throws</t>
        </is>
      </c>
      <c r="E370" t="inlineStr">
        <is>
          <t>Catalonia</t>
        </is>
      </c>
      <c r="F370" t="inlineStr">
        <is>
          <t>WFS,Coupon_Discount,WFS Item</t>
        </is>
      </c>
      <c r="G370" s="48" t="n">
        <v>0</v>
      </c>
      <c r="H370" s="49" t="n">
        <v>0</v>
      </c>
      <c r="I370" s="49" t="n">
        <v>0</v>
      </c>
      <c r="J370" s="50" t="n">
        <v>0</v>
      </c>
      <c r="K370" s="51" t="n">
        <v>0</v>
      </c>
      <c r="L370" s="52" t="n">
        <v>0</v>
      </c>
      <c r="M370" s="52" t="n">
        <v>0</v>
      </c>
      <c r="N370" s="52" t="n">
        <v>0</v>
      </c>
      <c r="O370" s="53" t="n">
        <v>0</v>
      </c>
      <c r="P370" s="52" t="n">
        <v>0</v>
      </c>
      <c r="Q370" s="53" t="n">
        <v>0</v>
      </c>
      <c r="R370" s="52" t="n">
        <v>0</v>
      </c>
      <c r="S370" s="51" t="n">
        <v>0</v>
      </c>
      <c r="T370" s="48" t="n">
        <v>0</v>
      </c>
      <c r="U370" s="49" t="n">
        <v>0</v>
      </c>
      <c r="V370" s="49" t="n">
        <v>0</v>
      </c>
      <c r="W370" s="50" t="n">
        <v>0</v>
      </c>
      <c r="X370" s="51" t="n">
        <v>0</v>
      </c>
      <c r="Y370" s="52" t="n">
        <v>0</v>
      </c>
      <c r="Z370" s="52" t="n">
        <v>0</v>
      </c>
      <c r="AA370" s="52" t="n">
        <v>0</v>
      </c>
      <c r="AB370" s="53" t="n">
        <v>0</v>
      </c>
      <c r="AC370" s="52" t="n">
        <v>0</v>
      </c>
      <c r="AD370" s="53" t="n">
        <v>0</v>
      </c>
      <c r="AE370" s="52" t="n">
        <v>0</v>
      </c>
      <c r="AF370" s="51" t="n">
        <v>0</v>
      </c>
      <c r="AG370" s="48" t="n">
        <v>0</v>
      </c>
      <c r="AH370" s="49" t="n">
        <v>0</v>
      </c>
      <c r="AI370" s="49" t="n">
        <v>0</v>
      </c>
      <c r="AJ370" s="50" t="n">
        <v>0</v>
      </c>
      <c r="AK370" s="51" t="n">
        <v>0</v>
      </c>
      <c r="AL370" s="52" t="n">
        <v>0</v>
      </c>
      <c r="AM370" s="52" t="n">
        <v>0</v>
      </c>
      <c r="AN370" s="52" t="n">
        <v>0</v>
      </c>
      <c r="AO370" s="53" t="n">
        <v>0</v>
      </c>
      <c r="AP370" s="52" t="n">
        <v>0</v>
      </c>
      <c r="AQ370" s="53" t="n">
        <v>0</v>
      </c>
      <c r="AR370" s="52" t="n">
        <v>0</v>
      </c>
      <c r="AS370" s="51" t="n">
        <v>0</v>
      </c>
      <c r="AT370" s="48" t="n">
        <v>0</v>
      </c>
      <c r="AU370" s="49" t="n">
        <v>0</v>
      </c>
      <c r="AV370" s="49" t="n">
        <v>0</v>
      </c>
      <c r="AW370" s="50" t="n">
        <v>0</v>
      </c>
      <c r="AX370" s="51" t="n">
        <v>0</v>
      </c>
      <c r="AY370" s="52" t="n">
        <v>0</v>
      </c>
      <c r="AZ370" s="52" t="n">
        <v>0</v>
      </c>
      <c r="BA370" s="52" t="n">
        <v>0</v>
      </c>
      <c r="BB370" s="53" t="n">
        <v>0</v>
      </c>
      <c r="BC370" s="52" t="n">
        <v>0</v>
      </c>
      <c r="BD370" s="53" t="n">
        <v>0</v>
      </c>
      <c r="BE370" s="52" t="n">
        <v>0</v>
      </c>
      <c r="BF370" s="51" t="n">
        <v>0</v>
      </c>
    </row>
    <row r="371">
      <c r="A371">
        <f>HYPERLINK("https://www.walmart.com/ip/6125451747", "6125451747")</f>
        <v/>
      </c>
      <c r="B371" t="inlineStr">
        <is>
          <t>Tirrinia 4-in-1 Travel Blanket Luxurious Premium Micro Fleece Lightweight 40” x 60” Grey</t>
        </is>
      </c>
      <c r="C371" t="inlineStr">
        <is>
          <t>1TRTB103GY</t>
        </is>
      </c>
      <c r="D371" t="inlineStr">
        <is>
          <t>Other Travel Accessories</t>
        </is>
      </c>
      <c r="E371" t="inlineStr">
        <is>
          <t>Tirrinia</t>
        </is>
      </c>
      <c r="G371" s="48" t="n">
        <v>0</v>
      </c>
      <c r="H371" s="49" t="n">
        <v>0</v>
      </c>
      <c r="I371" s="49" t="n">
        <v>0</v>
      </c>
      <c r="J371" s="50" t="n">
        <v>0</v>
      </c>
      <c r="K371" s="51" t="n">
        <v>0</v>
      </c>
      <c r="L371" s="52" t="n">
        <v>0</v>
      </c>
      <c r="M371" s="52" t="n">
        <v>0</v>
      </c>
      <c r="N371" s="52" t="n">
        <v>0</v>
      </c>
      <c r="O371" s="53" t="n">
        <v>0</v>
      </c>
      <c r="P371" s="52" t="n">
        <v>0</v>
      </c>
      <c r="Q371" s="53" t="n">
        <v>0</v>
      </c>
      <c r="R371" s="52" t="n">
        <v>0</v>
      </c>
      <c r="S371" s="51" t="n">
        <v>0</v>
      </c>
      <c r="T371" s="48" t="n">
        <v>0</v>
      </c>
      <c r="U371" s="49" t="n">
        <v>0</v>
      </c>
      <c r="V371" s="49" t="n">
        <v>0</v>
      </c>
      <c r="W371" s="50" t="n">
        <v>0</v>
      </c>
      <c r="X371" s="51" t="n">
        <v>0</v>
      </c>
      <c r="Y371" s="52" t="n">
        <v>0</v>
      </c>
      <c r="Z371" s="52" t="n">
        <v>0</v>
      </c>
      <c r="AA371" s="52" t="n">
        <v>0</v>
      </c>
      <c r="AB371" s="53" t="n">
        <v>0</v>
      </c>
      <c r="AC371" s="52" t="n">
        <v>0</v>
      </c>
      <c r="AD371" s="53" t="n">
        <v>0</v>
      </c>
      <c r="AE371" s="52" t="n">
        <v>0</v>
      </c>
      <c r="AF371" s="51" t="n">
        <v>0</v>
      </c>
      <c r="AG371" s="48" t="n">
        <v>0</v>
      </c>
      <c r="AH371" s="49" t="n">
        <v>0</v>
      </c>
      <c r="AI371" s="49" t="n">
        <v>0</v>
      </c>
      <c r="AJ371" s="50" t="n">
        <v>0</v>
      </c>
      <c r="AK371" s="51" t="n">
        <v>0</v>
      </c>
      <c r="AL371" s="52" t="n">
        <v>0</v>
      </c>
      <c r="AM371" s="52" t="n">
        <v>0</v>
      </c>
      <c r="AN371" s="52" t="n">
        <v>0</v>
      </c>
      <c r="AO371" s="53" t="n">
        <v>0</v>
      </c>
      <c r="AP371" s="52" t="n">
        <v>0</v>
      </c>
      <c r="AQ371" s="53" t="n">
        <v>0</v>
      </c>
      <c r="AR371" s="52" t="n">
        <v>0</v>
      </c>
      <c r="AS371" s="51" t="n">
        <v>0</v>
      </c>
      <c r="AT371" s="48" t="n">
        <v>0</v>
      </c>
      <c r="AU371" s="49" t="n">
        <v>0</v>
      </c>
      <c r="AV371" s="49" t="n">
        <v>0</v>
      </c>
      <c r="AW371" s="50" t="n">
        <v>0</v>
      </c>
      <c r="AX371" s="51" t="n">
        <v>0</v>
      </c>
      <c r="AY371" s="52" t="n">
        <v>0</v>
      </c>
      <c r="AZ371" s="52" t="n">
        <v>0</v>
      </c>
      <c r="BA371" s="52" t="n">
        <v>0</v>
      </c>
      <c r="BB371" s="53" t="n">
        <v>0</v>
      </c>
      <c r="BC371" s="52" t="n">
        <v>0</v>
      </c>
      <c r="BD371" s="53" t="n">
        <v>0</v>
      </c>
      <c r="BE371" s="52" t="n">
        <v>0</v>
      </c>
      <c r="BF371" s="51" t="n">
        <v>0</v>
      </c>
    </row>
    <row r="372">
      <c r="A372">
        <f>HYPERLINK("https://www.walmart.com/ip/5691606649", "5691606649")</f>
        <v/>
      </c>
      <c r="B372" t="inlineStr">
        <is>
          <t>Solaris Kids Sun Hat UPF50+ Sun Protection, Large Mesh Super Breathable Travel Beach Play Bucket Hats for Girs Boys Teenagers</t>
        </is>
      </c>
      <c r="C372" t="inlineStr">
        <is>
          <t>1SLSH925OL</t>
        </is>
      </c>
      <c r="D372" t="inlineStr">
        <is>
          <t>Hats</t>
        </is>
      </c>
      <c r="E372" t="inlineStr">
        <is>
          <t>Solaris</t>
        </is>
      </c>
      <c r="G372" s="48" t="n">
        <v>0</v>
      </c>
      <c r="H372" s="49" t="n">
        <v>0</v>
      </c>
      <c r="I372" s="49" t="n">
        <v>0</v>
      </c>
      <c r="J372" s="50" t="n">
        <v>0</v>
      </c>
      <c r="K372" s="51" t="n">
        <v>0</v>
      </c>
      <c r="L372" s="52" t="n">
        <v>0</v>
      </c>
      <c r="M372" s="52" t="n">
        <v>0</v>
      </c>
      <c r="N372" s="52" t="n">
        <v>0</v>
      </c>
      <c r="O372" s="53" t="n">
        <v>0</v>
      </c>
      <c r="P372" s="52" t="n">
        <v>0</v>
      </c>
      <c r="Q372" s="53" t="n">
        <v>0</v>
      </c>
      <c r="R372" s="52" t="n">
        <v>0</v>
      </c>
      <c r="S372" s="51" t="n">
        <v>0</v>
      </c>
      <c r="T372" s="48" t="n">
        <v>0</v>
      </c>
      <c r="U372" s="49" t="n">
        <v>0</v>
      </c>
      <c r="V372" s="49" t="n">
        <v>0</v>
      </c>
      <c r="W372" s="50" t="n">
        <v>0</v>
      </c>
      <c r="X372" s="51" t="n">
        <v>0</v>
      </c>
      <c r="Y372" s="52" t="n">
        <v>0</v>
      </c>
      <c r="Z372" s="52" t="n">
        <v>0</v>
      </c>
      <c r="AA372" s="52" t="n">
        <v>0</v>
      </c>
      <c r="AB372" s="53" t="n">
        <v>0</v>
      </c>
      <c r="AC372" s="52" t="n">
        <v>0</v>
      </c>
      <c r="AD372" s="53" t="n">
        <v>0</v>
      </c>
      <c r="AE372" s="52" t="n">
        <v>0</v>
      </c>
      <c r="AF372" s="51" t="n">
        <v>0</v>
      </c>
      <c r="AG372" s="48" t="n">
        <v>0</v>
      </c>
      <c r="AH372" s="49" t="n">
        <v>0</v>
      </c>
      <c r="AI372" s="49" t="n">
        <v>0</v>
      </c>
      <c r="AJ372" s="50" t="n">
        <v>0</v>
      </c>
      <c r="AK372" s="51" t="n">
        <v>0</v>
      </c>
      <c r="AL372" s="52" t="n">
        <v>0</v>
      </c>
      <c r="AM372" s="52" t="n">
        <v>0</v>
      </c>
      <c r="AN372" s="52" t="n">
        <v>0</v>
      </c>
      <c r="AO372" s="53" t="n">
        <v>0</v>
      </c>
      <c r="AP372" s="52" t="n">
        <v>0</v>
      </c>
      <c r="AQ372" s="53" t="n">
        <v>0</v>
      </c>
      <c r="AR372" s="52" t="n">
        <v>0</v>
      </c>
      <c r="AS372" s="51" t="n">
        <v>0</v>
      </c>
      <c r="AT372" s="48" t="n">
        <v>0</v>
      </c>
      <c r="AU372" s="49" t="n">
        <v>0</v>
      </c>
      <c r="AV372" s="49" t="n">
        <v>0</v>
      </c>
      <c r="AW372" s="50" t="n">
        <v>0</v>
      </c>
      <c r="AX372" s="51" t="n">
        <v>0</v>
      </c>
      <c r="AY372" s="52" t="n">
        <v>0</v>
      </c>
      <c r="AZ372" s="52" t="n">
        <v>0</v>
      </c>
      <c r="BA372" s="52" t="n">
        <v>0</v>
      </c>
      <c r="BB372" s="53" t="n">
        <v>0</v>
      </c>
      <c r="BC372" s="52" t="n">
        <v>0</v>
      </c>
      <c r="BD372" s="53" t="n">
        <v>0</v>
      </c>
      <c r="BE372" s="52" t="n">
        <v>0</v>
      </c>
      <c r="BF372" s="51" t="n">
        <v>0</v>
      </c>
    </row>
    <row r="373">
      <c r="A373">
        <f>HYPERLINK("https://www.walmart.com/ip/569808871", "569808871")</f>
        <v/>
      </c>
      <c r="B373" t="inlineStr">
        <is>
          <t>Pawsse Microfleece Snuggle Pet Blanket, Plush Sherpa Cat Blanket, Dog Throw Blanket Cushion Mat for Small Animals, Large Size, Brown, 60'' x 49''</t>
        </is>
      </c>
      <c r="C373" t="inlineStr">
        <is>
          <t>1PSBF560BRLT</t>
        </is>
      </c>
      <c r="D373" t="inlineStr">
        <is>
          <t>Pet Blankets</t>
        </is>
      </c>
      <c r="E373" t="inlineStr">
        <is>
          <t>Pawsse</t>
        </is>
      </c>
      <c r="F373" t="inlineStr">
        <is>
          <t>WFS,WFS Item</t>
        </is>
      </c>
      <c r="G373" s="48" t="n">
        <v>0</v>
      </c>
      <c r="H373" s="49" t="n">
        <v>0</v>
      </c>
      <c r="I373" s="49" t="n">
        <v>0</v>
      </c>
      <c r="J373" s="50" t="n">
        <v>0</v>
      </c>
      <c r="K373" s="51" t="n">
        <v>0</v>
      </c>
      <c r="L373" s="52" t="n">
        <v>0</v>
      </c>
      <c r="M373" s="52" t="n">
        <v>0</v>
      </c>
      <c r="N373" s="52" t="n">
        <v>0</v>
      </c>
      <c r="O373" s="53" t="n">
        <v>0</v>
      </c>
      <c r="P373" s="52" t="n">
        <v>0</v>
      </c>
      <c r="Q373" s="53" t="n">
        <v>0</v>
      </c>
      <c r="R373" s="52" t="n">
        <v>0</v>
      </c>
      <c r="S373" s="51" t="n">
        <v>0</v>
      </c>
      <c r="T373" s="48" t="n">
        <v>0</v>
      </c>
      <c r="U373" s="49" t="n">
        <v>0</v>
      </c>
      <c r="V373" s="49" t="n">
        <v>0</v>
      </c>
      <c r="W373" s="50" t="n">
        <v>0</v>
      </c>
      <c r="X373" s="51" t="n">
        <v>0</v>
      </c>
      <c r="Y373" s="52" t="n">
        <v>0</v>
      </c>
      <c r="Z373" s="52" t="n">
        <v>0</v>
      </c>
      <c r="AA373" s="52" t="n">
        <v>0</v>
      </c>
      <c r="AB373" s="53" t="n">
        <v>0</v>
      </c>
      <c r="AC373" s="52" t="n">
        <v>0</v>
      </c>
      <c r="AD373" s="53" t="n">
        <v>0</v>
      </c>
      <c r="AE373" s="52" t="n">
        <v>0</v>
      </c>
      <c r="AF373" s="51" t="n">
        <v>0</v>
      </c>
      <c r="AG373" s="48" t="n">
        <v>0</v>
      </c>
      <c r="AH373" s="49" t="n">
        <v>0</v>
      </c>
      <c r="AI373" s="49" t="n">
        <v>0</v>
      </c>
      <c r="AJ373" s="50" t="n">
        <v>0</v>
      </c>
      <c r="AK373" s="51" t="n">
        <v>0</v>
      </c>
      <c r="AL373" s="52" t="n">
        <v>0</v>
      </c>
      <c r="AM373" s="52" t="n">
        <v>0</v>
      </c>
      <c r="AN373" s="52" t="n">
        <v>0</v>
      </c>
      <c r="AO373" s="53" t="n">
        <v>0</v>
      </c>
      <c r="AP373" s="52" t="n">
        <v>0</v>
      </c>
      <c r="AQ373" s="53" t="n">
        <v>0</v>
      </c>
      <c r="AR373" s="52" t="n">
        <v>0</v>
      </c>
      <c r="AS373" s="51" t="n">
        <v>0</v>
      </c>
      <c r="AT373" s="48" t="n">
        <v>0</v>
      </c>
      <c r="AU373" s="49" t="n">
        <v>0</v>
      </c>
      <c r="AV373" s="49" t="n">
        <v>0</v>
      </c>
      <c r="AW373" s="50" t="n">
        <v>0</v>
      </c>
      <c r="AX373" s="51" t="n">
        <v>0</v>
      </c>
      <c r="AY373" s="52" t="n">
        <v>0</v>
      </c>
      <c r="AZ373" s="52" t="n">
        <v>0</v>
      </c>
      <c r="BA373" s="52" t="n">
        <v>0</v>
      </c>
      <c r="BB373" s="53" t="n">
        <v>0</v>
      </c>
      <c r="BC373" s="52" t="n">
        <v>0</v>
      </c>
      <c r="BD373" s="53" t="n">
        <v>0</v>
      </c>
      <c r="BE373" s="52" t="n">
        <v>0</v>
      </c>
      <c r="BF373" s="51" t="n">
        <v>0</v>
      </c>
    </row>
    <row r="374">
      <c r="A374">
        <f>HYPERLINK("https://www.walmart.com/ip/5789793931", "5789793931")</f>
        <v/>
      </c>
      <c r="B374" t="inlineStr">
        <is>
          <t>Catalonia Cooling Blanket for Hot Sleepers, Summer Bed Blanket for Warm Night Sweat, Cool Sofa Throw Blanket for Hot Flashes, Soft Thin Lightweight Blanket for Adults Kids</t>
        </is>
      </c>
      <c r="C374" t="inlineStr">
        <is>
          <t>1CTBQ10169BL</t>
        </is>
      </c>
      <c r="D374" t="inlineStr">
        <is>
          <t>Throws</t>
        </is>
      </c>
      <c r="E374" t="inlineStr">
        <is>
          <t>Catalonia</t>
        </is>
      </c>
      <c r="G374" s="48" t="n">
        <v>0</v>
      </c>
      <c r="H374" s="49" t="n">
        <v>0</v>
      </c>
      <c r="I374" s="49" t="n">
        <v>0</v>
      </c>
      <c r="J374" s="50" t="n">
        <v>0</v>
      </c>
      <c r="K374" s="51" t="n">
        <v>0</v>
      </c>
      <c r="L374" s="52" t="n">
        <v>0</v>
      </c>
      <c r="M374" s="52" t="n">
        <v>0</v>
      </c>
      <c r="N374" s="52" t="n">
        <v>0</v>
      </c>
      <c r="O374" s="53" t="n">
        <v>0</v>
      </c>
      <c r="P374" s="52" t="n">
        <v>0</v>
      </c>
      <c r="Q374" s="53" t="n">
        <v>0</v>
      </c>
      <c r="R374" s="52" t="n">
        <v>0</v>
      </c>
      <c r="S374" s="51" t="n">
        <v>0</v>
      </c>
      <c r="T374" s="48" t="n">
        <v>0</v>
      </c>
      <c r="U374" s="49" t="n">
        <v>0</v>
      </c>
      <c r="V374" s="49" t="n">
        <v>0</v>
      </c>
      <c r="W374" s="50" t="n">
        <v>0</v>
      </c>
      <c r="X374" s="51" t="n">
        <v>0</v>
      </c>
      <c r="Y374" s="52" t="n">
        <v>0</v>
      </c>
      <c r="Z374" s="52" t="n">
        <v>0</v>
      </c>
      <c r="AA374" s="52" t="n">
        <v>0</v>
      </c>
      <c r="AB374" s="53" t="n">
        <v>0</v>
      </c>
      <c r="AC374" s="52" t="n">
        <v>0</v>
      </c>
      <c r="AD374" s="53" t="n">
        <v>0</v>
      </c>
      <c r="AE374" s="52" t="n">
        <v>0</v>
      </c>
      <c r="AF374" s="51" t="n">
        <v>0</v>
      </c>
      <c r="AG374" s="48" t="n">
        <v>0</v>
      </c>
      <c r="AH374" s="49" t="n">
        <v>0</v>
      </c>
      <c r="AI374" s="49" t="n">
        <v>0</v>
      </c>
      <c r="AJ374" s="50" t="n">
        <v>0</v>
      </c>
      <c r="AK374" s="51" t="n">
        <v>0</v>
      </c>
      <c r="AL374" s="52" t="n">
        <v>0</v>
      </c>
      <c r="AM374" s="52" t="n">
        <v>0</v>
      </c>
      <c r="AN374" s="52" t="n">
        <v>0</v>
      </c>
      <c r="AO374" s="53" t="n">
        <v>0</v>
      </c>
      <c r="AP374" s="52" t="n">
        <v>0</v>
      </c>
      <c r="AQ374" s="53" t="n">
        <v>0</v>
      </c>
      <c r="AR374" s="52" t="n">
        <v>0</v>
      </c>
      <c r="AS374" s="51" t="n">
        <v>0</v>
      </c>
      <c r="AT374" s="48" t="n">
        <v>0</v>
      </c>
      <c r="AU374" s="49" t="n">
        <v>0</v>
      </c>
      <c r="AV374" s="49" t="n">
        <v>0</v>
      </c>
      <c r="AW374" s="50" t="n">
        <v>0</v>
      </c>
      <c r="AX374" s="51" t="n">
        <v>0</v>
      </c>
      <c r="AY374" s="52" t="n">
        <v>0</v>
      </c>
      <c r="AZ374" s="52" t="n">
        <v>0</v>
      </c>
      <c r="BA374" s="52" t="n">
        <v>0</v>
      </c>
      <c r="BB374" s="53" t="n">
        <v>0</v>
      </c>
      <c r="BC374" s="52" t="n">
        <v>0</v>
      </c>
      <c r="BD374" s="53" t="n">
        <v>0</v>
      </c>
      <c r="BE374" s="52" t="n">
        <v>0</v>
      </c>
      <c r="BF374" s="51" t="n">
        <v>0</v>
      </c>
    </row>
    <row r="375">
      <c r="A375">
        <f>HYPERLINK("https://www.walmart.com/ip/574476832", "574476832")</f>
        <v/>
      </c>
      <c r="B375" t="inlineStr">
        <is>
          <t>Catalonia Wearable TV Blanket with Sleeves Arms Warm Micro Plush Sherpa Fleece for Adult Large Wrap Throw Robe 72 x 55”</t>
        </is>
      </c>
      <c r="C375" t="inlineStr">
        <is>
          <t>1CTSN110PK</t>
        </is>
      </c>
      <c r="D375" t="inlineStr">
        <is>
          <t>Throws</t>
        </is>
      </c>
      <c r="E375" t="inlineStr">
        <is>
          <t>Catalonia</t>
        </is>
      </c>
      <c r="F375" t="inlineStr">
        <is>
          <t>WFS,WFS Item</t>
        </is>
      </c>
      <c r="G375" s="48" t="n">
        <v>0</v>
      </c>
      <c r="H375" s="49" t="n">
        <v>0</v>
      </c>
      <c r="I375" s="49" t="n">
        <v>0</v>
      </c>
      <c r="J375" s="50" t="n">
        <v>0</v>
      </c>
      <c r="K375" s="51" t="n">
        <v>0</v>
      </c>
      <c r="L375" s="52" t="n">
        <v>0</v>
      </c>
      <c r="M375" s="52" t="n">
        <v>0</v>
      </c>
      <c r="N375" s="52" t="n">
        <v>0</v>
      </c>
      <c r="O375" s="53" t="n">
        <v>0</v>
      </c>
      <c r="P375" s="52" t="n">
        <v>0</v>
      </c>
      <c r="Q375" s="53" t="n">
        <v>0</v>
      </c>
      <c r="R375" s="52" t="n">
        <v>0</v>
      </c>
      <c r="S375" s="51" t="n">
        <v>0</v>
      </c>
      <c r="T375" s="48" t="n">
        <v>0</v>
      </c>
      <c r="U375" s="49" t="n">
        <v>0</v>
      </c>
      <c r="V375" s="49" t="n">
        <v>0</v>
      </c>
      <c r="W375" s="50" t="n">
        <v>0</v>
      </c>
      <c r="X375" s="51" t="n">
        <v>0</v>
      </c>
      <c r="Y375" s="52" t="n">
        <v>0</v>
      </c>
      <c r="Z375" s="52" t="n">
        <v>0</v>
      </c>
      <c r="AA375" s="52" t="n">
        <v>0</v>
      </c>
      <c r="AB375" s="53" t="n">
        <v>0</v>
      </c>
      <c r="AC375" s="52" t="n">
        <v>0</v>
      </c>
      <c r="AD375" s="53" t="n">
        <v>0</v>
      </c>
      <c r="AE375" s="52" t="n">
        <v>0</v>
      </c>
      <c r="AF375" s="51" t="n">
        <v>0</v>
      </c>
      <c r="AG375" s="48" t="n">
        <v>0</v>
      </c>
      <c r="AH375" s="49" t="n">
        <v>0</v>
      </c>
      <c r="AI375" s="49" t="n">
        <v>0</v>
      </c>
      <c r="AJ375" s="50" t="n">
        <v>0</v>
      </c>
      <c r="AK375" s="51" t="n">
        <v>0</v>
      </c>
      <c r="AL375" s="52" t="n">
        <v>0</v>
      </c>
      <c r="AM375" s="52" t="n">
        <v>0</v>
      </c>
      <c r="AN375" s="52" t="n">
        <v>0</v>
      </c>
      <c r="AO375" s="53" t="n">
        <v>0</v>
      </c>
      <c r="AP375" s="52" t="n">
        <v>0</v>
      </c>
      <c r="AQ375" s="53" t="n">
        <v>0</v>
      </c>
      <c r="AR375" s="52" t="n">
        <v>0</v>
      </c>
      <c r="AS375" s="51" t="n">
        <v>0</v>
      </c>
      <c r="AT375" s="48" t="n">
        <v>0</v>
      </c>
      <c r="AU375" s="49" t="n">
        <v>0</v>
      </c>
      <c r="AV375" s="49" t="n">
        <v>0</v>
      </c>
      <c r="AW375" s="50" t="n">
        <v>0</v>
      </c>
      <c r="AX375" s="51" t="n">
        <v>0</v>
      </c>
      <c r="AY375" s="52" t="n">
        <v>0</v>
      </c>
      <c r="AZ375" s="52" t="n">
        <v>0</v>
      </c>
      <c r="BA375" s="52" t="n">
        <v>0</v>
      </c>
      <c r="BB375" s="53" t="n">
        <v>0</v>
      </c>
      <c r="BC375" s="52" t="n">
        <v>0</v>
      </c>
      <c r="BD375" s="53" t="n">
        <v>0</v>
      </c>
      <c r="BE375" s="52" t="n">
        <v>0</v>
      </c>
      <c r="BF375" s="51" t="n">
        <v>0</v>
      </c>
    </row>
    <row r="376">
      <c r="A376">
        <f>HYPERLINK("https://www.walmart.com/ip/5788717054", "5788717054")</f>
        <v/>
      </c>
      <c r="B376" t="inlineStr">
        <is>
          <t>Tirrinia Camping Cooler Bag Insulated w/ Shoulder Strap and Bottle Opener 20 Cans Portable Ice Chest for Camping Hiking Picnic Beach</t>
        </is>
      </c>
      <c r="C376" t="inlineStr">
        <is>
          <t>1TRCB00136GNBK</t>
        </is>
      </c>
      <c r="D376" t="inlineStr">
        <is>
          <t>Soft-Sided Coolers</t>
        </is>
      </c>
      <c r="E376" t="inlineStr">
        <is>
          <t>Tirrinia</t>
        </is>
      </c>
      <c r="G376" s="48" t="n">
        <v>0</v>
      </c>
      <c r="H376" s="49" t="n">
        <v>0</v>
      </c>
      <c r="I376" s="49" t="n">
        <v>0</v>
      </c>
      <c r="J376" s="50" t="n">
        <v>0</v>
      </c>
      <c r="K376" s="51" t="n">
        <v>0</v>
      </c>
      <c r="L376" s="52" t="n">
        <v>0</v>
      </c>
      <c r="M376" s="52" t="n">
        <v>0</v>
      </c>
      <c r="N376" s="52" t="n">
        <v>0</v>
      </c>
      <c r="O376" s="53" t="n">
        <v>0</v>
      </c>
      <c r="P376" s="52" t="n">
        <v>0</v>
      </c>
      <c r="Q376" s="53" t="n">
        <v>0</v>
      </c>
      <c r="R376" s="52" t="n">
        <v>0</v>
      </c>
      <c r="S376" s="51" t="n">
        <v>0</v>
      </c>
      <c r="T376" s="48" t="n">
        <v>0</v>
      </c>
      <c r="U376" s="49" t="n">
        <v>0</v>
      </c>
      <c r="V376" s="49" t="n">
        <v>0</v>
      </c>
      <c r="W376" s="50" t="n">
        <v>0</v>
      </c>
      <c r="X376" s="51" t="n">
        <v>0</v>
      </c>
      <c r="Y376" s="52" t="n">
        <v>0</v>
      </c>
      <c r="Z376" s="52" t="n">
        <v>0</v>
      </c>
      <c r="AA376" s="52" t="n">
        <v>0</v>
      </c>
      <c r="AB376" s="53" t="n">
        <v>0</v>
      </c>
      <c r="AC376" s="52" t="n">
        <v>0</v>
      </c>
      <c r="AD376" s="53" t="n">
        <v>0</v>
      </c>
      <c r="AE376" s="52" t="n">
        <v>0</v>
      </c>
      <c r="AF376" s="51" t="n">
        <v>0</v>
      </c>
      <c r="AG376" s="48" t="n">
        <v>0</v>
      </c>
      <c r="AH376" s="49" t="n">
        <v>0</v>
      </c>
      <c r="AI376" s="49" t="n">
        <v>0</v>
      </c>
      <c r="AJ376" s="50" t="n">
        <v>0</v>
      </c>
      <c r="AK376" s="51" t="n">
        <v>0</v>
      </c>
      <c r="AL376" s="52" t="n">
        <v>0</v>
      </c>
      <c r="AM376" s="52" t="n">
        <v>0</v>
      </c>
      <c r="AN376" s="52" t="n">
        <v>0</v>
      </c>
      <c r="AO376" s="53" t="n">
        <v>0</v>
      </c>
      <c r="AP376" s="52" t="n">
        <v>0</v>
      </c>
      <c r="AQ376" s="53" t="n">
        <v>0</v>
      </c>
      <c r="AR376" s="52" t="n">
        <v>0</v>
      </c>
      <c r="AS376" s="51" t="n">
        <v>0</v>
      </c>
      <c r="AT376" s="48" t="n">
        <v>0</v>
      </c>
      <c r="AU376" s="49" t="n">
        <v>0</v>
      </c>
      <c r="AV376" s="49" t="n">
        <v>0</v>
      </c>
      <c r="AW376" s="50" t="n">
        <v>0</v>
      </c>
      <c r="AX376" s="51" t="n">
        <v>0</v>
      </c>
      <c r="AY376" s="52" t="n">
        <v>0</v>
      </c>
      <c r="AZ376" s="52" t="n">
        <v>0</v>
      </c>
      <c r="BA376" s="52" t="n">
        <v>0</v>
      </c>
      <c r="BB376" s="53" t="n">
        <v>0</v>
      </c>
      <c r="BC376" s="52" t="n">
        <v>0</v>
      </c>
      <c r="BD376" s="53" t="n">
        <v>0</v>
      </c>
      <c r="BE376" s="52" t="n">
        <v>0</v>
      </c>
      <c r="BF376" s="51" t="n">
        <v>0</v>
      </c>
    </row>
    <row r="377">
      <c r="A377">
        <f>HYPERLINK("https://www.walmart.com/ip/5785712928", "5785712928")</f>
        <v/>
      </c>
      <c r="B377" t="inlineStr">
        <is>
          <t>Tirrinia  Camping Cooler Bag Insulated w/ Shoulder Strap and Bottle Opener 20 Cans Portable Ice Chest for Camping Hiking Picnic Beach</t>
        </is>
      </c>
      <c r="C377" t="inlineStr">
        <is>
          <t>1TRCB00130GNBK</t>
        </is>
      </c>
      <c r="D377" t="inlineStr">
        <is>
          <t>Soft-Sided Coolers</t>
        </is>
      </c>
      <c r="E377" t="inlineStr">
        <is>
          <t>Tirrinia</t>
        </is>
      </c>
      <c r="G377" s="48" t="n">
        <v>0</v>
      </c>
      <c r="H377" s="49" t="n">
        <v>0</v>
      </c>
      <c r="I377" s="49" t="n">
        <v>0</v>
      </c>
      <c r="J377" s="50" t="n">
        <v>0</v>
      </c>
      <c r="K377" s="51" t="n">
        <v>0</v>
      </c>
      <c r="L377" s="52" t="n">
        <v>0</v>
      </c>
      <c r="M377" s="52" t="n">
        <v>0</v>
      </c>
      <c r="N377" s="52" t="n">
        <v>0</v>
      </c>
      <c r="O377" s="53" t="n">
        <v>0</v>
      </c>
      <c r="P377" s="52" t="n">
        <v>0</v>
      </c>
      <c r="Q377" s="53" t="n">
        <v>0</v>
      </c>
      <c r="R377" s="52" t="n">
        <v>0</v>
      </c>
      <c r="S377" s="51" t="n">
        <v>0</v>
      </c>
      <c r="T377" s="48" t="n">
        <v>0</v>
      </c>
      <c r="U377" s="49" t="n">
        <v>0</v>
      </c>
      <c r="V377" s="49" t="n">
        <v>0</v>
      </c>
      <c r="W377" s="50" t="n">
        <v>0</v>
      </c>
      <c r="X377" s="51" t="n">
        <v>0</v>
      </c>
      <c r="Y377" s="52" t="n">
        <v>0</v>
      </c>
      <c r="Z377" s="52" t="n">
        <v>0</v>
      </c>
      <c r="AA377" s="52" t="n">
        <v>0</v>
      </c>
      <c r="AB377" s="53" t="n">
        <v>0</v>
      </c>
      <c r="AC377" s="52" t="n">
        <v>0</v>
      </c>
      <c r="AD377" s="53" t="n">
        <v>0</v>
      </c>
      <c r="AE377" s="52" t="n">
        <v>0</v>
      </c>
      <c r="AF377" s="51" t="n">
        <v>0</v>
      </c>
      <c r="AG377" s="48" t="n">
        <v>0</v>
      </c>
      <c r="AH377" s="49" t="n">
        <v>0</v>
      </c>
      <c r="AI377" s="49" t="n">
        <v>0</v>
      </c>
      <c r="AJ377" s="50" t="n">
        <v>0</v>
      </c>
      <c r="AK377" s="51" t="n">
        <v>0</v>
      </c>
      <c r="AL377" s="52" t="n">
        <v>0</v>
      </c>
      <c r="AM377" s="52" t="n">
        <v>0</v>
      </c>
      <c r="AN377" s="52" t="n">
        <v>0</v>
      </c>
      <c r="AO377" s="53" t="n">
        <v>0</v>
      </c>
      <c r="AP377" s="52" t="n">
        <v>0</v>
      </c>
      <c r="AQ377" s="53" t="n">
        <v>0</v>
      </c>
      <c r="AR377" s="52" t="n">
        <v>0</v>
      </c>
      <c r="AS377" s="51" t="n">
        <v>0</v>
      </c>
      <c r="AT377" s="48" t="n">
        <v>0</v>
      </c>
      <c r="AU377" s="49" t="n">
        <v>0</v>
      </c>
      <c r="AV377" s="49" t="n">
        <v>0</v>
      </c>
      <c r="AW377" s="50" t="n">
        <v>0</v>
      </c>
      <c r="AX377" s="51" t="n">
        <v>0</v>
      </c>
      <c r="AY377" s="52" t="n">
        <v>0</v>
      </c>
      <c r="AZ377" s="52" t="n">
        <v>0</v>
      </c>
      <c r="BA377" s="52" t="n">
        <v>0</v>
      </c>
      <c r="BB377" s="53" t="n">
        <v>0</v>
      </c>
      <c r="BC377" s="52" t="n">
        <v>0</v>
      </c>
      <c r="BD377" s="53" t="n">
        <v>0</v>
      </c>
      <c r="BE377" s="52" t="n">
        <v>0</v>
      </c>
      <c r="BF377" s="51" t="n">
        <v>0</v>
      </c>
    </row>
    <row r="378">
      <c r="A378">
        <f>HYPERLINK("https://www.walmart.com/ip/5785662459", "5785662459")</f>
        <v/>
      </c>
      <c r="B378" t="inlineStr">
        <is>
          <t>Kato Expandable Insulated Lunch Bag, Leakproof Lunch Cooler Tote for All Ages, Black</t>
        </is>
      </c>
      <c r="C378" t="inlineStr">
        <is>
          <t>1TRLB110DB</t>
        </is>
      </c>
      <c r="D378" t="inlineStr">
        <is>
          <t>Reusable Lunch Bags &amp; Boxes</t>
        </is>
      </c>
      <c r="E378" t="inlineStr">
        <is>
          <t>Kato</t>
        </is>
      </c>
      <c r="G378" s="48" t="n">
        <v>0</v>
      </c>
      <c r="H378" s="49" t="n">
        <v>0</v>
      </c>
      <c r="I378" s="49" t="n">
        <v>0</v>
      </c>
      <c r="J378" s="50" t="n">
        <v>0</v>
      </c>
      <c r="K378" s="51" t="n">
        <v>0</v>
      </c>
      <c r="L378" s="52" t="n">
        <v>0</v>
      </c>
      <c r="M378" s="52" t="n">
        <v>0</v>
      </c>
      <c r="N378" s="52" t="n">
        <v>0</v>
      </c>
      <c r="O378" s="53" t="n">
        <v>0</v>
      </c>
      <c r="P378" s="52" t="n">
        <v>0</v>
      </c>
      <c r="Q378" s="53" t="n">
        <v>0</v>
      </c>
      <c r="R378" s="52" t="n">
        <v>0</v>
      </c>
      <c r="S378" s="51" t="n">
        <v>0</v>
      </c>
      <c r="T378" s="48" t="n">
        <v>0</v>
      </c>
      <c r="U378" s="49" t="n">
        <v>0</v>
      </c>
      <c r="V378" s="49" t="n">
        <v>0</v>
      </c>
      <c r="W378" s="50" t="n">
        <v>0</v>
      </c>
      <c r="X378" s="51" t="n">
        <v>0</v>
      </c>
      <c r="Y378" s="52" t="n">
        <v>0</v>
      </c>
      <c r="Z378" s="52" t="n">
        <v>0</v>
      </c>
      <c r="AA378" s="52" t="n">
        <v>0</v>
      </c>
      <c r="AB378" s="53" t="n">
        <v>0</v>
      </c>
      <c r="AC378" s="52" t="n">
        <v>0</v>
      </c>
      <c r="AD378" s="53" t="n">
        <v>0</v>
      </c>
      <c r="AE378" s="52" t="n">
        <v>0</v>
      </c>
      <c r="AF378" s="51" t="n">
        <v>0</v>
      </c>
      <c r="AG378" s="48" t="n">
        <v>16.99</v>
      </c>
      <c r="AH378" s="49" t="n">
        <v>1</v>
      </c>
      <c r="AI378" s="49" t="n">
        <v>0</v>
      </c>
      <c r="AJ378" s="50" t="n">
        <v>0</v>
      </c>
      <c r="AK378" s="51" t="n">
        <v>0</v>
      </c>
      <c r="AL378" s="52" t="n">
        <v>0</v>
      </c>
      <c r="AM378" s="52" t="n">
        <v>0</v>
      </c>
      <c r="AN378" s="52" t="n">
        <v>0</v>
      </c>
      <c r="AO378" s="53" t="n">
        <v>0</v>
      </c>
      <c r="AP378" s="52" t="n">
        <v>0</v>
      </c>
      <c r="AQ378" s="53" t="n">
        <v>0</v>
      </c>
      <c r="AR378" s="52" t="n">
        <v>16.99</v>
      </c>
      <c r="AS378" s="51" t="n">
        <v>0</v>
      </c>
      <c r="AT378" s="48" t="n">
        <v>0</v>
      </c>
      <c r="AU378" s="49" t="n">
        <v>0</v>
      </c>
      <c r="AV378" s="49" t="n">
        <v>0</v>
      </c>
      <c r="AW378" s="50" t="n">
        <v>0</v>
      </c>
      <c r="AX378" s="51" t="n">
        <v>0</v>
      </c>
      <c r="AY378" s="52" t="n">
        <v>0</v>
      </c>
      <c r="AZ378" s="52" t="n">
        <v>0</v>
      </c>
      <c r="BA378" s="52" t="n">
        <v>0</v>
      </c>
      <c r="BB378" s="53" t="n">
        <v>0</v>
      </c>
      <c r="BC378" s="52" t="n">
        <v>0</v>
      </c>
      <c r="BD378" s="53" t="n">
        <v>0</v>
      </c>
      <c r="BE378" s="52" t="n">
        <v>0</v>
      </c>
      <c r="BF378" s="51" t="n">
        <v>0</v>
      </c>
    </row>
    <row r="379">
      <c r="A379">
        <f>HYPERLINK("https://www.walmart.com/ip/578444591", "578444591")</f>
        <v/>
      </c>
      <c r="B379" t="inlineStr">
        <is>
          <t>Catalonia Fleece Wearable Blanket Poncho for Adult Women Men, Wrap Blanket Cape with Pocket | Warm, Soft, Cozy, Snuggly, Comfort Gift, No Sleeves | All-Season, Aqua</t>
        </is>
      </c>
      <c r="C379" t="inlineStr">
        <is>
          <t>1CTBP100AQ</t>
        </is>
      </c>
      <c r="D379" t="inlineStr">
        <is>
          <t>Throws</t>
        </is>
      </c>
      <c r="E379" t="inlineStr">
        <is>
          <t>Catalonia</t>
        </is>
      </c>
      <c r="F379" t="inlineStr">
        <is>
          <t>Hero 5 Holidays,WFS,Coupon_Discount,WFS Item</t>
        </is>
      </c>
      <c r="G379" s="48" t="n">
        <v>0</v>
      </c>
      <c r="H379" s="49" t="n">
        <v>0</v>
      </c>
      <c r="I379" s="49" t="n">
        <v>0</v>
      </c>
      <c r="J379" s="50" t="n">
        <v>0</v>
      </c>
      <c r="K379" s="51" t="n">
        <v>0</v>
      </c>
      <c r="L379" s="52" t="n">
        <v>0</v>
      </c>
      <c r="M379" s="52" t="n">
        <v>0</v>
      </c>
      <c r="N379" s="52" t="n">
        <v>0</v>
      </c>
      <c r="O379" s="53" t="n">
        <v>0</v>
      </c>
      <c r="P379" s="52" t="n">
        <v>0</v>
      </c>
      <c r="Q379" s="53" t="n">
        <v>0</v>
      </c>
      <c r="R379" s="52" t="n">
        <v>0</v>
      </c>
      <c r="S379" s="51" t="n">
        <v>0</v>
      </c>
      <c r="T379" s="48" t="n">
        <v>0</v>
      </c>
      <c r="U379" s="49" t="n">
        <v>0</v>
      </c>
      <c r="V379" s="49" t="n">
        <v>0</v>
      </c>
      <c r="W379" s="50" t="n">
        <v>0</v>
      </c>
      <c r="X379" s="51" t="n">
        <v>0</v>
      </c>
      <c r="Y379" s="52" t="n">
        <v>0</v>
      </c>
      <c r="Z379" s="52" t="n">
        <v>0</v>
      </c>
      <c r="AA379" s="52" t="n">
        <v>0</v>
      </c>
      <c r="AB379" s="53" t="n">
        <v>0</v>
      </c>
      <c r="AC379" s="52" t="n">
        <v>0</v>
      </c>
      <c r="AD379" s="53" t="n">
        <v>0</v>
      </c>
      <c r="AE379" s="52" t="n">
        <v>0</v>
      </c>
      <c r="AF379" s="51" t="n">
        <v>0</v>
      </c>
      <c r="AG379" s="48" t="n">
        <v>0</v>
      </c>
      <c r="AH379" s="49" t="n">
        <v>0</v>
      </c>
      <c r="AI379" s="49" t="n">
        <v>0</v>
      </c>
      <c r="AJ379" s="50" t="n">
        <v>0</v>
      </c>
      <c r="AK379" s="51" t="n">
        <v>0</v>
      </c>
      <c r="AL379" s="52" t="n">
        <v>0</v>
      </c>
      <c r="AM379" s="52" t="n">
        <v>0</v>
      </c>
      <c r="AN379" s="52" t="n">
        <v>0</v>
      </c>
      <c r="AO379" s="53" t="n">
        <v>0</v>
      </c>
      <c r="AP379" s="52" t="n">
        <v>0</v>
      </c>
      <c r="AQ379" s="53" t="n">
        <v>0</v>
      </c>
      <c r="AR379" s="52" t="n">
        <v>0</v>
      </c>
      <c r="AS379" s="51" t="n">
        <v>0</v>
      </c>
      <c r="AT379" s="48" t="n">
        <v>0</v>
      </c>
      <c r="AU379" s="49" t="n">
        <v>0</v>
      </c>
      <c r="AV379" s="49" t="n">
        <v>0</v>
      </c>
      <c r="AW379" s="50" t="n">
        <v>0</v>
      </c>
      <c r="AX379" s="51" t="n">
        <v>0</v>
      </c>
      <c r="AY379" s="52" t="n">
        <v>0</v>
      </c>
      <c r="AZ379" s="52" t="n">
        <v>0</v>
      </c>
      <c r="BA379" s="52" t="n">
        <v>0</v>
      </c>
      <c r="BB379" s="53" t="n">
        <v>0</v>
      </c>
      <c r="BC379" s="52" t="n">
        <v>0</v>
      </c>
      <c r="BD379" s="53" t="n">
        <v>0</v>
      </c>
      <c r="BE379" s="52" t="n">
        <v>0</v>
      </c>
      <c r="BF379" s="51" t="n">
        <v>0</v>
      </c>
    </row>
    <row r="380">
      <c r="A380">
        <f>HYPERLINK("https://www.walmart.com/ip/577043830", "577043830")</f>
        <v/>
      </c>
      <c r="B380" t="inlineStr">
        <is>
          <t>Sherpa Slipper Socks for Women,Winter Indoor Home Non Skid Booties</t>
        </is>
      </c>
      <c r="C380" t="inlineStr">
        <is>
          <t>1CTST200BL-2</t>
        </is>
      </c>
      <c r="D380" t="inlineStr">
        <is>
          <t>Socks</t>
        </is>
      </c>
      <c r="E380" t="inlineStr">
        <is>
          <t>Catalonia</t>
        </is>
      </c>
      <c r="F380" t="inlineStr">
        <is>
          <t>WFS,WFS Item</t>
        </is>
      </c>
      <c r="G380" s="48" t="n">
        <v>0</v>
      </c>
      <c r="H380" s="49" t="n">
        <v>0</v>
      </c>
      <c r="I380" s="49" t="n">
        <v>0</v>
      </c>
      <c r="J380" s="50" t="n">
        <v>0</v>
      </c>
      <c r="K380" s="51" t="n">
        <v>0</v>
      </c>
      <c r="L380" s="52" t="n">
        <v>0</v>
      </c>
      <c r="M380" s="52" t="n">
        <v>0</v>
      </c>
      <c r="N380" s="52" t="n">
        <v>0</v>
      </c>
      <c r="O380" s="53" t="n">
        <v>0</v>
      </c>
      <c r="P380" s="52" t="n">
        <v>0</v>
      </c>
      <c r="Q380" s="53" t="n">
        <v>0</v>
      </c>
      <c r="R380" s="52" t="n">
        <v>0</v>
      </c>
      <c r="S380" s="51" t="n">
        <v>0</v>
      </c>
      <c r="T380" s="48" t="n">
        <v>0</v>
      </c>
      <c r="U380" s="49" t="n">
        <v>0</v>
      </c>
      <c r="V380" s="49" t="n">
        <v>0</v>
      </c>
      <c r="W380" s="50" t="n">
        <v>0</v>
      </c>
      <c r="X380" s="51" t="n">
        <v>0</v>
      </c>
      <c r="Y380" s="52" t="n">
        <v>0</v>
      </c>
      <c r="Z380" s="52" t="n">
        <v>0</v>
      </c>
      <c r="AA380" s="52" t="n">
        <v>0</v>
      </c>
      <c r="AB380" s="53" t="n">
        <v>0</v>
      </c>
      <c r="AC380" s="52" t="n">
        <v>0</v>
      </c>
      <c r="AD380" s="53" t="n">
        <v>0</v>
      </c>
      <c r="AE380" s="52" t="n">
        <v>0</v>
      </c>
      <c r="AF380" s="51" t="n">
        <v>0</v>
      </c>
      <c r="AG380" s="48" t="n">
        <v>0</v>
      </c>
      <c r="AH380" s="49" t="n">
        <v>0</v>
      </c>
      <c r="AI380" s="49" t="n">
        <v>0</v>
      </c>
      <c r="AJ380" s="50" t="n">
        <v>0</v>
      </c>
      <c r="AK380" s="51" t="n">
        <v>0</v>
      </c>
      <c r="AL380" s="52" t="n">
        <v>0</v>
      </c>
      <c r="AM380" s="52" t="n">
        <v>0</v>
      </c>
      <c r="AN380" s="52" t="n">
        <v>0</v>
      </c>
      <c r="AO380" s="53" t="n">
        <v>0</v>
      </c>
      <c r="AP380" s="52" t="n">
        <v>0</v>
      </c>
      <c r="AQ380" s="53" t="n">
        <v>0</v>
      </c>
      <c r="AR380" s="52" t="n">
        <v>0</v>
      </c>
      <c r="AS380" s="51" t="n">
        <v>0</v>
      </c>
      <c r="AT380" s="48" t="n">
        <v>0</v>
      </c>
      <c r="AU380" s="49" t="n">
        <v>0</v>
      </c>
      <c r="AV380" s="49" t="n">
        <v>0</v>
      </c>
      <c r="AW380" s="50" t="n">
        <v>0</v>
      </c>
      <c r="AX380" s="51" t="n">
        <v>0</v>
      </c>
      <c r="AY380" s="52" t="n">
        <v>0</v>
      </c>
      <c r="AZ380" s="52" t="n">
        <v>0</v>
      </c>
      <c r="BA380" s="52" t="n">
        <v>0</v>
      </c>
      <c r="BB380" s="53" t="n">
        <v>0</v>
      </c>
      <c r="BC380" s="52" t="n">
        <v>0</v>
      </c>
      <c r="BD380" s="53" t="n">
        <v>0</v>
      </c>
      <c r="BE380" s="52" t="n">
        <v>0</v>
      </c>
      <c r="BF380" s="51" t="n">
        <v>0</v>
      </c>
    </row>
    <row r="381">
      <c r="A381">
        <f>HYPERLINK("https://www.walmart.com/ip/575577386", "575577386")</f>
        <v/>
      </c>
      <c r="B381" t="inlineStr">
        <is>
          <t>Catalonia Unisex Sherpa Wearable Blanket with Sleeves and Foot Pockets for Adults, Pink</t>
        </is>
      </c>
      <c r="C381" t="inlineStr">
        <is>
          <t>1CTSN310PK</t>
        </is>
      </c>
      <c r="D381" t="inlineStr">
        <is>
          <t>Throws</t>
        </is>
      </c>
      <c r="E381" t="inlineStr">
        <is>
          <t>Catalonia</t>
        </is>
      </c>
      <c r="F381" t="inlineStr">
        <is>
          <t>Optimized,WFS,Coupon_Discount,WFS Item</t>
        </is>
      </c>
      <c r="G381" s="48" t="n">
        <v>0</v>
      </c>
      <c r="H381" s="49" t="n">
        <v>0</v>
      </c>
      <c r="I381" s="49" t="n">
        <v>0</v>
      </c>
      <c r="J381" s="50" t="n">
        <v>0</v>
      </c>
      <c r="K381" s="51" t="n">
        <v>0</v>
      </c>
      <c r="L381" s="52" t="n">
        <v>0</v>
      </c>
      <c r="M381" s="52" t="n">
        <v>0</v>
      </c>
      <c r="N381" s="52" t="n">
        <v>0</v>
      </c>
      <c r="O381" s="53" t="n">
        <v>0</v>
      </c>
      <c r="P381" s="52" t="n">
        <v>0</v>
      </c>
      <c r="Q381" s="53" t="n">
        <v>0</v>
      </c>
      <c r="R381" s="52" t="n">
        <v>0</v>
      </c>
      <c r="S381" s="51" t="n">
        <v>0</v>
      </c>
      <c r="T381" s="48" t="n">
        <v>0</v>
      </c>
      <c r="U381" s="49" t="n">
        <v>0</v>
      </c>
      <c r="V381" s="49" t="n">
        <v>0</v>
      </c>
      <c r="W381" s="50" t="n">
        <v>0</v>
      </c>
      <c r="X381" s="51" t="n">
        <v>0</v>
      </c>
      <c r="Y381" s="52" t="n">
        <v>0</v>
      </c>
      <c r="Z381" s="52" t="n">
        <v>0</v>
      </c>
      <c r="AA381" s="52" t="n">
        <v>0</v>
      </c>
      <c r="AB381" s="53" t="n">
        <v>0</v>
      </c>
      <c r="AC381" s="52" t="n">
        <v>0</v>
      </c>
      <c r="AD381" s="53" t="n">
        <v>0</v>
      </c>
      <c r="AE381" s="52" t="n">
        <v>0</v>
      </c>
      <c r="AF381" s="51" t="n">
        <v>0</v>
      </c>
      <c r="AG381" s="48" t="n">
        <v>0</v>
      </c>
      <c r="AH381" s="49" t="n">
        <v>0</v>
      </c>
      <c r="AI381" s="49" t="n">
        <v>0</v>
      </c>
      <c r="AJ381" s="50" t="n">
        <v>0</v>
      </c>
      <c r="AK381" s="51" t="n">
        <v>0</v>
      </c>
      <c r="AL381" s="52" t="n">
        <v>0</v>
      </c>
      <c r="AM381" s="52" t="n">
        <v>0</v>
      </c>
      <c r="AN381" s="52" t="n">
        <v>0</v>
      </c>
      <c r="AO381" s="53" t="n">
        <v>0</v>
      </c>
      <c r="AP381" s="52" t="n">
        <v>0</v>
      </c>
      <c r="AQ381" s="53" t="n">
        <v>0</v>
      </c>
      <c r="AR381" s="52" t="n">
        <v>0</v>
      </c>
      <c r="AS381" s="51" t="n">
        <v>0</v>
      </c>
      <c r="AT381" s="48" t="n">
        <v>0</v>
      </c>
      <c r="AU381" s="49" t="n">
        <v>0</v>
      </c>
      <c r="AV381" s="49" t="n">
        <v>0</v>
      </c>
      <c r="AW381" s="50" t="n">
        <v>0</v>
      </c>
      <c r="AX381" s="51" t="n">
        <v>0</v>
      </c>
      <c r="AY381" s="52" t="n">
        <v>0</v>
      </c>
      <c r="AZ381" s="52" t="n">
        <v>0</v>
      </c>
      <c r="BA381" s="52" t="n">
        <v>0</v>
      </c>
      <c r="BB381" s="53" t="n">
        <v>0</v>
      </c>
      <c r="BC381" s="52" t="n">
        <v>0</v>
      </c>
      <c r="BD381" s="53" t="n">
        <v>0</v>
      </c>
      <c r="BE381" s="52" t="n">
        <v>0</v>
      </c>
      <c r="BF381" s="51" t="n">
        <v>0</v>
      </c>
    </row>
    <row r="382">
      <c r="A382">
        <f>HYPERLINK("https://www.walmart.com/ip/609433845", "609433845")</f>
        <v/>
      </c>
      <c r="B382" t="inlineStr">
        <is>
          <t>Tirrinia Portable Travel Blanket Airplane Office 4 in 1 Premium Mink Fleece Poncho Blanket Folable with Pocket and Built-in Bag-Great for Airplane Car Train Travel Camping, 60"x40", Light Grey</t>
        </is>
      </c>
      <c r="C382" t="inlineStr">
        <is>
          <t>1TRTB100LG</t>
        </is>
      </c>
      <c r="D382" t="inlineStr">
        <is>
          <t>Throws</t>
        </is>
      </c>
      <c r="E382" t="inlineStr">
        <is>
          <t>Tirrinia</t>
        </is>
      </c>
      <c r="F382" t="inlineStr">
        <is>
          <t>WFS,SEM,WFS Item</t>
        </is>
      </c>
      <c r="G382" s="48" t="n">
        <v>0</v>
      </c>
      <c r="H382" s="49" t="n">
        <v>0</v>
      </c>
      <c r="I382" s="49" t="n">
        <v>0</v>
      </c>
      <c r="J382" s="50" t="n">
        <v>0</v>
      </c>
      <c r="K382" s="51" t="n">
        <v>0</v>
      </c>
      <c r="L382" s="52" t="n">
        <v>0</v>
      </c>
      <c r="M382" s="52" t="n">
        <v>0</v>
      </c>
      <c r="N382" s="52" t="n">
        <v>0</v>
      </c>
      <c r="O382" s="53" t="n">
        <v>0</v>
      </c>
      <c r="P382" s="52" t="n">
        <v>0</v>
      </c>
      <c r="Q382" s="53" t="n">
        <v>0</v>
      </c>
      <c r="R382" s="52" t="n">
        <v>0</v>
      </c>
      <c r="S382" s="51" t="n">
        <v>0</v>
      </c>
      <c r="T382" s="48" t="n">
        <v>0</v>
      </c>
      <c r="U382" s="49" t="n">
        <v>0</v>
      </c>
      <c r="V382" s="49" t="n">
        <v>0</v>
      </c>
      <c r="W382" s="50" t="n">
        <v>0</v>
      </c>
      <c r="X382" s="51" t="n">
        <v>0</v>
      </c>
      <c r="Y382" s="52" t="n">
        <v>0</v>
      </c>
      <c r="Z382" s="52" t="n">
        <v>0</v>
      </c>
      <c r="AA382" s="52" t="n">
        <v>0</v>
      </c>
      <c r="AB382" s="53" t="n">
        <v>0</v>
      </c>
      <c r="AC382" s="52" t="n">
        <v>0</v>
      </c>
      <c r="AD382" s="53" t="n">
        <v>0</v>
      </c>
      <c r="AE382" s="52" t="n">
        <v>0</v>
      </c>
      <c r="AF382" s="51" t="n">
        <v>0</v>
      </c>
      <c r="AG382" s="48" t="n">
        <v>0</v>
      </c>
      <c r="AH382" s="49" t="n">
        <v>0</v>
      </c>
      <c r="AI382" s="49" t="n">
        <v>0</v>
      </c>
      <c r="AJ382" s="50" t="n">
        <v>0</v>
      </c>
      <c r="AK382" s="51" t="n">
        <v>0</v>
      </c>
      <c r="AL382" s="52" t="n">
        <v>0</v>
      </c>
      <c r="AM382" s="52" t="n">
        <v>0</v>
      </c>
      <c r="AN382" s="52" t="n">
        <v>0</v>
      </c>
      <c r="AO382" s="53" t="n">
        <v>0</v>
      </c>
      <c r="AP382" s="52" t="n">
        <v>0</v>
      </c>
      <c r="AQ382" s="53" t="n">
        <v>0</v>
      </c>
      <c r="AR382" s="52" t="n">
        <v>0</v>
      </c>
      <c r="AS382" s="51" t="n">
        <v>0</v>
      </c>
      <c r="AT382" s="48" t="n">
        <v>0</v>
      </c>
      <c r="AU382" s="49" t="n">
        <v>0</v>
      </c>
      <c r="AV382" s="49" t="n">
        <v>0</v>
      </c>
      <c r="AW382" s="50" t="n">
        <v>0</v>
      </c>
      <c r="AX382" s="51" t="n">
        <v>0</v>
      </c>
      <c r="AY382" s="52" t="n">
        <v>0</v>
      </c>
      <c r="AZ382" s="52" t="n">
        <v>0</v>
      </c>
      <c r="BA382" s="52" t="n">
        <v>0</v>
      </c>
      <c r="BB382" s="53" t="n">
        <v>0</v>
      </c>
      <c r="BC382" s="52" t="n">
        <v>0</v>
      </c>
      <c r="BD382" s="53" t="n">
        <v>0</v>
      </c>
      <c r="BE382" s="52" t="n">
        <v>0</v>
      </c>
      <c r="BF382" s="51" t="n">
        <v>0</v>
      </c>
    </row>
    <row r="383">
      <c r="A383">
        <f>HYPERLINK("https://www.walmart.com/ip/575429772", "575429772")</f>
        <v/>
      </c>
      <c r="B383" t="inlineStr">
        <is>
          <t>Catalonia Oversized Hoodie Blanket with Zipper, Wearable Sherpa Sweatshirt Pullover, Soft Warm Comfortable Jacket for Adults Men Women, Purple</t>
        </is>
      </c>
      <c r="C383" t="inlineStr">
        <is>
          <t>1CTHD220PP</t>
        </is>
      </c>
      <c r="D383" t="inlineStr">
        <is>
          <t>Throws</t>
        </is>
      </c>
      <c r="E383" t="inlineStr">
        <is>
          <t>Catalonia</t>
        </is>
      </c>
      <c r="F383" t="inlineStr">
        <is>
          <t>Hoodie ForAdult,WFS,Coupon_Discount,WFS Item</t>
        </is>
      </c>
      <c r="G383" s="48" t="n">
        <v>0</v>
      </c>
      <c r="H383" s="49" t="n">
        <v>0</v>
      </c>
      <c r="I383" s="49" t="n">
        <v>0</v>
      </c>
      <c r="J383" s="50" t="n">
        <v>0</v>
      </c>
      <c r="K383" s="51" t="n">
        <v>0</v>
      </c>
      <c r="L383" s="52" t="n">
        <v>0</v>
      </c>
      <c r="M383" s="52" t="n">
        <v>0</v>
      </c>
      <c r="N383" s="52" t="n">
        <v>0</v>
      </c>
      <c r="O383" s="53" t="n">
        <v>0</v>
      </c>
      <c r="P383" s="52" t="n">
        <v>0</v>
      </c>
      <c r="Q383" s="53" t="n">
        <v>0</v>
      </c>
      <c r="R383" s="52" t="n">
        <v>0</v>
      </c>
      <c r="S383" s="51" t="n">
        <v>0</v>
      </c>
      <c r="T383" s="48" t="n">
        <v>0</v>
      </c>
      <c r="U383" s="49" t="n">
        <v>0</v>
      </c>
      <c r="V383" s="49" t="n">
        <v>0</v>
      </c>
      <c r="W383" s="50" t="n">
        <v>0</v>
      </c>
      <c r="X383" s="51" t="n">
        <v>0</v>
      </c>
      <c r="Y383" s="52" t="n">
        <v>0</v>
      </c>
      <c r="Z383" s="52" t="n">
        <v>0</v>
      </c>
      <c r="AA383" s="52" t="n">
        <v>0</v>
      </c>
      <c r="AB383" s="53" t="n">
        <v>0</v>
      </c>
      <c r="AC383" s="52" t="n">
        <v>0</v>
      </c>
      <c r="AD383" s="53" t="n">
        <v>0</v>
      </c>
      <c r="AE383" s="52" t="n">
        <v>0</v>
      </c>
      <c r="AF383" s="51" t="n">
        <v>0</v>
      </c>
      <c r="AG383" s="48" t="n">
        <v>0</v>
      </c>
      <c r="AH383" s="49" t="n">
        <v>0</v>
      </c>
      <c r="AI383" s="49" t="n">
        <v>0</v>
      </c>
      <c r="AJ383" s="50" t="n">
        <v>0</v>
      </c>
      <c r="AK383" s="51" t="n">
        <v>0</v>
      </c>
      <c r="AL383" s="52" t="n">
        <v>0</v>
      </c>
      <c r="AM383" s="52" t="n">
        <v>0</v>
      </c>
      <c r="AN383" s="52" t="n">
        <v>0</v>
      </c>
      <c r="AO383" s="53" t="n">
        <v>0</v>
      </c>
      <c r="AP383" s="52" t="n">
        <v>0</v>
      </c>
      <c r="AQ383" s="53" t="n">
        <v>0</v>
      </c>
      <c r="AR383" s="52" t="n">
        <v>0</v>
      </c>
      <c r="AS383" s="51" t="n">
        <v>0</v>
      </c>
      <c r="AT383" s="48" t="n">
        <v>0</v>
      </c>
      <c r="AU383" s="49" t="n">
        <v>0</v>
      </c>
      <c r="AV383" s="49" t="n">
        <v>0</v>
      </c>
      <c r="AW383" s="50" t="n">
        <v>0</v>
      </c>
      <c r="AX383" s="51" t="n">
        <v>0</v>
      </c>
      <c r="AY383" s="52" t="n">
        <v>0</v>
      </c>
      <c r="AZ383" s="52" t="n">
        <v>0</v>
      </c>
      <c r="BA383" s="52" t="n">
        <v>0</v>
      </c>
      <c r="BB383" s="53" t="n">
        <v>0</v>
      </c>
      <c r="BC383" s="52" t="n">
        <v>0</v>
      </c>
      <c r="BD383" s="53" t="n">
        <v>0</v>
      </c>
      <c r="BE383" s="52" t="n">
        <v>0</v>
      </c>
      <c r="BF383" s="51" t="n">
        <v>0</v>
      </c>
    </row>
    <row r="384">
      <c r="A384">
        <f>HYPERLINK("https://www.walmart.com/ip/575137724", "575137724")</f>
        <v/>
      </c>
      <c r="B384" t="inlineStr">
        <is>
          <t>Tirrinia Women's Tankini Swimsuit Flyaway Swimdress Top, 2-Piece Bathing Suits, Pink, Small</t>
        </is>
      </c>
      <c r="C384" t="inlineStr">
        <is>
          <t>1TRSS006PK-M</t>
        </is>
      </c>
      <c r="D384" t="inlineStr">
        <is>
          <t>Swimsuit Sets</t>
        </is>
      </c>
      <c r="E384" t="inlineStr">
        <is>
          <t>Tirrinia</t>
        </is>
      </c>
      <c r="G384" s="48" t="n">
        <v>0</v>
      </c>
      <c r="H384" s="49" t="n">
        <v>0</v>
      </c>
      <c r="I384" s="49" t="n">
        <v>0</v>
      </c>
      <c r="J384" s="50" t="n">
        <v>0</v>
      </c>
      <c r="K384" s="51" t="n">
        <v>0</v>
      </c>
      <c r="L384" s="52" t="n">
        <v>0</v>
      </c>
      <c r="M384" s="52" t="n">
        <v>0</v>
      </c>
      <c r="N384" s="52" t="n">
        <v>0</v>
      </c>
      <c r="O384" s="53" t="n">
        <v>0</v>
      </c>
      <c r="P384" s="52" t="n">
        <v>0</v>
      </c>
      <c r="Q384" s="53" t="n">
        <v>0</v>
      </c>
      <c r="R384" s="52" t="n">
        <v>0</v>
      </c>
      <c r="S384" s="51" t="n">
        <v>0</v>
      </c>
      <c r="T384" s="48" t="n">
        <v>0</v>
      </c>
      <c r="U384" s="49" t="n">
        <v>0</v>
      </c>
      <c r="V384" s="49" t="n">
        <v>0</v>
      </c>
      <c r="W384" s="50" t="n">
        <v>0</v>
      </c>
      <c r="X384" s="51" t="n">
        <v>0</v>
      </c>
      <c r="Y384" s="52" t="n">
        <v>0</v>
      </c>
      <c r="Z384" s="52" t="n">
        <v>0</v>
      </c>
      <c r="AA384" s="52" t="n">
        <v>0</v>
      </c>
      <c r="AB384" s="53" t="n">
        <v>0</v>
      </c>
      <c r="AC384" s="52" t="n">
        <v>0</v>
      </c>
      <c r="AD384" s="53" t="n">
        <v>0</v>
      </c>
      <c r="AE384" s="52" t="n">
        <v>0</v>
      </c>
      <c r="AF384" s="51" t="n">
        <v>0</v>
      </c>
      <c r="AG384" s="48" t="n">
        <v>0</v>
      </c>
      <c r="AH384" s="49" t="n">
        <v>0</v>
      </c>
      <c r="AI384" s="49" t="n">
        <v>0</v>
      </c>
      <c r="AJ384" s="50" t="n">
        <v>0</v>
      </c>
      <c r="AK384" s="51" t="n">
        <v>0</v>
      </c>
      <c r="AL384" s="52" t="n">
        <v>0</v>
      </c>
      <c r="AM384" s="52" t="n">
        <v>0</v>
      </c>
      <c r="AN384" s="52" t="n">
        <v>0</v>
      </c>
      <c r="AO384" s="53" t="n">
        <v>0</v>
      </c>
      <c r="AP384" s="52" t="n">
        <v>0</v>
      </c>
      <c r="AQ384" s="53" t="n">
        <v>0</v>
      </c>
      <c r="AR384" s="52" t="n">
        <v>0</v>
      </c>
      <c r="AS384" s="51" t="n">
        <v>0</v>
      </c>
      <c r="AT384" s="48" t="n">
        <v>0</v>
      </c>
      <c r="AU384" s="49" t="n">
        <v>0</v>
      </c>
      <c r="AV384" s="49" t="n">
        <v>0</v>
      </c>
      <c r="AW384" s="50" t="n">
        <v>0</v>
      </c>
      <c r="AX384" s="51" t="n">
        <v>0</v>
      </c>
      <c r="AY384" s="52" t="n">
        <v>0</v>
      </c>
      <c r="AZ384" s="52" t="n">
        <v>0</v>
      </c>
      <c r="BA384" s="52" t="n">
        <v>0</v>
      </c>
      <c r="BB384" s="53" t="n">
        <v>0</v>
      </c>
      <c r="BC384" s="52" t="n">
        <v>0</v>
      </c>
      <c r="BD384" s="53" t="n">
        <v>0</v>
      </c>
      <c r="BE384" s="52" t="n">
        <v>0</v>
      </c>
      <c r="BF384" s="51" t="n">
        <v>0</v>
      </c>
    </row>
    <row r="385">
      <c r="A385">
        <f>HYPERLINK("https://www.walmart.com/ip/6099861551", "6099861551")</f>
        <v/>
      </c>
      <c r="B385" t="inlineStr">
        <is>
          <t>Catalonia Cooling Blanket for Hot Sleepers, Summer Bed Blanket for Warm Night Sweat, Cool Sofa Throw Blanket for Hot Flashes, Soft Thin Lightweight Blanket for Adults Kids</t>
        </is>
      </c>
      <c r="C385" t="inlineStr">
        <is>
          <t>1CTBQ10119PP</t>
        </is>
      </c>
      <c r="D385" t="inlineStr">
        <is>
          <t>Throws</t>
        </is>
      </c>
      <c r="E385" t="inlineStr">
        <is>
          <t>Catalonia</t>
        </is>
      </c>
      <c r="G385" s="48" t="n">
        <v>0</v>
      </c>
      <c r="H385" s="49" t="n">
        <v>0</v>
      </c>
      <c r="I385" s="49" t="n">
        <v>0</v>
      </c>
      <c r="J385" s="50" t="n">
        <v>0</v>
      </c>
      <c r="K385" s="51" t="n">
        <v>0</v>
      </c>
      <c r="L385" s="52" t="n">
        <v>0</v>
      </c>
      <c r="M385" s="52" t="n">
        <v>0</v>
      </c>
      <c r="N385" s="52" t="n">
        <v>0</v>
      </c>
      <c r="O385" s="53" t="n">
        <v>0</v>
      </c>
      <c r="P385" s="52" t="n">
        <v>0</v>
      </c>
      <c r="Q385" s="53" t="n">
        <v>0</v>
      </c>
      <c r="R385" s="52" t="n">
        <v>0</v>
      </c>
      <c r="S385" s="51" t="n">
        <v>0</v>
      </c>
      <c r="T385" s="48" t="n">
        <v>0</v>
      </c>
      <c r="U385" s="49" t="n">
        <v>0</v>
      </c>
      <c r="V385" s="49" t="n">
        <v>0</v>
      </c>
      <c r="W385" s="50" t="n">
        <v>0</v>
      </c>
      <c r="X385" s="51" t="n">
        <v>0</v>
      </c>
      <c r="Y385" s="52" t="n">
        <v>0</v>
      </c>
      <c r="Z385" s="52" t="n">
        <v>0</v>
      </c>
      <c r="AA385" s="52" t="n">
        <v>0</v>
      </c>
      <c r="AB385" s="53" t="n">
        <v>0</v>
      </c>
      <c r="AC385" s="52" t="n">
        <v>0</v>
      </c>
      <c r="AD385" s="53" t="n">
        <v>0</v>
      </c>
      <c r="AE385" s="52" t="n">
        <v>0</v>
      </c>
      <c r="AF385" s="51" t="n">
        <v>0</v>
      </c>
      <c r="AG385" s="48" t="n">
        <v>0</v>
      </c>
      <c r="AH385" s="49" t="n">
        <v>0</v>
      </c>
      <c r="AI385" s="49" t="n">
        <v>0</v>
      </c>
      <c r="AJ385" s="50" t="n">
        <v>0</v>
      </c>
      <c r="AK385" s="51" t="n">
        <v>0</v>
      </c>
      <c r="AL385" s="52" t="n">
        <v>0</v>
      </c>
      <c r="AM385" s="52" t="n">
        <v>0</v>
      </c>
      <c r="AN385" s="52" t="n">
        <v>0</v>
      </c>
      <c r="AO385" s="53" t="n">
        <v>0</v>
      </c>
      <c r="AP385" s="52" t="n">
        <v>0</v>
      </c>
      <c r="AQ385" s="53" t="n">
        <v>0</v>
      </c>
      <c r="AR385" s="52" t="n">
        <v>0</v>
      </c>
      <c r="AS385" s="51" t="n">
        <v>0</v>
      </c>
      <c r="AT385" s="48" t="n">
        <v>0</v>
      </c>
      <c r="AU385" s="49" t="n">
        <v>0</v>
      </c>
      <c r="AV385" s="49" t="n">
        <v>0</v>
      </c>
      <c r="AW385" s="50" t="n">
        <v>0</v>
      </c>
      <c r="AX385" s="51" t="n">
        <v>0</v>
      </c>
      <c r="AY385" s="52" t="n">
        <v>0</v>
      </c>
      <c r="AZ385" s="52" t="n">
        <v>0</v>
      </c>
      <c r="BA385" s="52" t="n">
        <v>0</v>
      </c>
      <c r="BB385" s="53" t="n">
        <v>0</v>
      </c>
      <c r="BC385" s="52" t="n">
        <v>0</v>
      </c>
      <c r="BD385" s="53" t="n">
        <v>0</v>
      </c>
      <c r="BE385" s="52" t="n">
        <v>0</v>
      </c>
      <c r="BF385" s="51" t="n">
        <v>0</v>
      </c>
    </row>
    <row r="386">
      <c r="A386">
        <f>HYPERLINK("https://www.walmart.com/ip/574683747", "574683747")</f>
        <v/>
      </c>
      <c r="B386" t="inlineStr">
        <is>
          <t>Flyingstar 3 Bottle Insulated Wine Carrier, Travel Wine Cooler Tote Bag, Gray</t>
        </is>
      </c>
      <c r="C386" t="inlineStr">
        <is>
          <t>1WMWB310GY</t>
        </is>
      </c>
      <c r="D386" t="inlineStr">
        <is>
          <t>Wine Totes, Bags &amp; Backpacks</t>
        </is>
      </c>
      <c r="E386" t="inlineStr">
        <is>
          <t>Flyingstar</t>
        </is>
      </c>
      <c r="F386" t="inlineStr">
        <is>
          <t>Wine,Christmas,Optimized,Valentine</t>
        </is>
      </c>
      <c r="G386" s="48" t="n">
        <v>0</v>
      </c>
      <c r="H386" s="49" t="n">
        <v>0</v>
      </c>
      <c r="I386" s="49" t="n">
        <v>0</v>
      </c>
      <c r="J386" s="50" t="n">
        <v>0</v>
      </c>
      <c r="K386" s="51" t="n">
        <v>0</v>
      </c>
      <c r="L386" s="52" t="n">
        <v>0</v>
      </c>
      <c r="M386" s="52" t="n">
        <v>0</v>
      </c>
      <c r="N386" s="52" t="n">
        <v>0</v>
      </c>
      <c r="O386" s="53" t="n">
        <v>0</v>
      </c>
      <c r="P386" s="52" t="n">
        <v>0</v>
      </c>
      <c r="Q386" s="53" t="n">
        <v>0</v>
      </c>
      <c r="R386" s="52" t="n">
        <v>0</v>
      </c>
      <c r="S386" s="51" t="n">
        <v>0</v>
      </c>
      <c r="T386" s="48" t="n">
        <v>0</v>
      </c>
      <c r="U386" s="49" t="n">
        <v>0</v>
      </c>
      <c r="V386" s="49" t="n">
        <v>0</v>
      </c>
      <c r="W386" s="50" t="n">
        <v>0</v>
      </c>
      <c r="X386" s="51" t="n">
        <v>0</v>
      </c>
      <c r="Y386" s="52" t="n">
        <v>0</v>
      </c>
      <c r="Z386" s="52" t="n">
        <v>0</v>
      </c>
      <c r="AA386" s="52" t="n">
        <v>0</v>
      </c>
      <c r="AB386" s="53" t="n">
        <v>0</v>
      </c>
      <c r="AC386" s="52" t="n">
        <v>0</v>
      </c>
      <c r="AD386" s="53" t="n">
        <v>0</v>
      </c>
      <c r="AE386" s="52" t="n">
        <v>0</v>
      </c>
      <c r="AF386" s="51" t="n">
        <v>0</v>
      </c>
      <c r="AG386" s="48" t="n">
        <v>0</v>
      </c>
      <c r="AH386" s="49" t="n">
        <v>0</v>
      </c>
      <c r="AI386" s="49" t="n">
        <v>0</v>
      </c>
      <c r="AJ386" s="50" t="n">
        <v>0</v>
      </c>
      <c r="AK386" s="51" t="n">
        <v>0</v>
      </c>
      <c r="AL386" s="52" t="n">
        <v>0</v>
      </c>
      <c r="AM386" s="52" t="n">
        <v>0</v>
      </c>
      <c r="AN386" s="52" t="n">
        <v>0</v>
      </c>
      <c r="AO386" s="53" t="n">
        <v>0</v>
      </c>
      <c r="AP386" s="52" t="n">
        <v>0</v>
      </c>
      <c r="AQ386" s="53" t="n">
        <v>0</v>
      </c>
      <c r="AR386" s="52" t="n">
        <v>0</v>
      </c>
      <c r="AS386" s="51" t="n">
        <v>0</v>
      </c>
      <c r="AT386" s="48" t="n">
        <v>0</v>
      </c>
      <c r="AU386" s="49" t="n">
        <v>0</v>
      </c>
      <c r="AV386" s="49" t="n">
        <v>0</v>
      </c>
      <c r="AW386" s="50" t="n">
        <v>0</v>
      </c>
      <c r="AX386" s="51" t="n">
        <v>0</v>
      </c>
      <c r="AY386" s="52" t="n">
        <v>0</v>
      </c>
      <c r="AZ386" s="52" t="n">
        <v>0</v>
      </c>
      <c r="BA386" s="52" t="n">
        <v>0</v>
      </c>
      <c r="BB386" s="53" t="n">
        <v>0</v>
      </c>
      <c r="BC386" s="52" t="n">
        <v>0</v>
      </c>
      <c r="BD386" s="53" t="n">
        <v>0</v>
      </c>
      <c r="BE386" s="52" t="n">
        <v>0</v>
      </c>
      <c r="BF386" s="51" t="n">
        <v>0</v>
      </c>
    </row>
    <row r="387">
      <c r="A387">
        <f>HYPERLINK("https://www.walmart.com/ip/574579169", "574579169")</f>
        <v/>
      </c>
      <c r="B387" t="inlineStr">
        <is>
          <t>Women Floppy Sun Beach Hats w/ Wide Brim Straw Edge Summer UV Protection Foldable Gardening Hiking Cap by Solaris</t>
        </is>
      </c>
      <c r="C387" t="inlineStr">
        <is>
          <t>1SLSH371NV</t>
        </is>
      </c>
      <c r="D387" t="inlineStr">
        <is>
          <t>Hats</t>
        </is>
      </c>
      <c r="E387" t="inlineStr">
        <is>
          <t>Solaris</t>
        </is>
      </c>
      <c r="F387" t="inlineStr">
        <is>
          <t>Batch 1 - TR</t>
        </is>
      </c>
      <c r="G387" s="48" t="n">
        <v>0</v>
      </c>
      <c r="H387" s="49" t="n">
        <v>0</v>
      </c>
      <c r="I387" s="49" t="n">
        <v>0</v>
      </c>
      <c r="J387" s="50" t="n">
        <v>0</v>
      </c>
      <c r="K387" s="51" t="n">
        <v>0</v>
      </c>
      <c r="L387" s="52" t="n">
        <v>0</v>
      </c>
      <c r="M387" s="52" t="n">
        <v>0</v>
      </c>
      <c r="N387" s="52" t="n">
        <v>0</v>
      </c>
      <c r="O387" s="53" t="n">
        <v>0</v>
      </c>
      <c r="P387" s="52" t="n">
        <v>0</v>
      </c>
      <c r="Q387" s="53" t="n">
        <v>0</v>
      </c>
      <c r="R387" s="52" t="n">
        <v>0</v>
      </c>
      <c r="S387" s="51" t="n">
        <v>0</v>
      </c>
      <c r="T387" s="48" t="n">
        <v>0</v>
      </c>
      <c r="U387" s="49" t="n">
        <v>0</v>
      </c>
      <c r="V387" s="49" t="n">
        <v>0</v>
      </c>
      <c r="W387" s="50" t="n">
        <v>0</v>
      </c>
      <c r="X387" s="51" t="n">
        <v>0</v>
      </c>
      <c r="Y387" s="52" t="n">
        <v>0</v>
      </c>
      <c r="Z387" s="52" t="n">
        <v>0</v>
      </c>
      <c r="AA387" s="52" t="n">
        <v>0</v>
      </c>
      <c r="AB387" s="53" t="n">
        <v>0</v>
      </c>
      <c r="AC387" s="52" t="n">
        <v>0</v>
      </c>
      <c r="AD387" s="53" t="n">
        <v>0</v>
      </c>
      <c r="AE387" s="52" t="n">
        <v>0</v>
      </c>
      <c r="AF387" s="51" t="n">
        <v>0</v>
      </c>
      <c r="AG387" s="48" t="n">
        <v>0</v>
      </c>
      <c r="AH387" s="49" t="n">
        <v>0</v>
      </c>
      <c r="AI387" s="49" t="n">
        <v>0</v>
      </c>
      <c r="AJ387" s="50" t="n">
        <v>0</v>
      </c>
      <c r="AK387" s="51" t="n">
        <v>0</v>
      </c>
      <c r="AL387" s="52" t="n">
        <v>0</v>
      </c>
      <c r="AM387" s="52" t="n">
        <v>0</v>
      </c>
      <c r="AN387" s="52" t="n">
        <v>0</v>
      </c>
      <c r="AO387" s="53" t="n">
        <v>0</v>
      </c>
      <c r="AP387" s="52" t="n">
        <v>0</v>
      </c>
      <c r="AQ387" s="53" t="n">
        <v>0</v>
      </c>
      <c r="AR387" s="52" t="n">
        <v>0</v>
      </c>
      <c r="AS387" s="51" t="n">
        <v>0</v>
      </c>
      <c r="AT387" s="48" t="n">
        <v>0</v>
      </c>
      <c r="AU387" s="49" t="n">
        <v>0</v>
      </c>
      <c r="AV387" s="49" t="n">
        <v>0</v>
      </c>
      <c r="AW387" s="50" t="n">
        <v>0</v>
      </c>
      <c r="AX387" s="51" t="n">
        <v>0</v>
      </c>
      <c r="AY387" s="52" t="n">
        <v>0</v>
      </c>
      <c r="AZ387" s="52" t="n">
        <v>0</v>
      </c>
      <c r="BA387" s="52" t="n">
        <v>0</v>
      </c>
      <c r="BB387" s="53" t="n">
        <v>0</v>
      </c>
      <c r="BC387" s="52" t="n">
        <v>0</v>
      </c>
      <c r="BD387" s="53" t="n">
        <v>0</v>
      </c>
      <c r="BE387" s="52" t="n">
        <v>0</v>
      </c>
      <c r="BF387" s="51" t="n">
        <v>0</v>
      </c>
    </row>
    <row r="388">
      <c r="A388">
        <f>HYPERLINK("https://www.walmart.com/ip/6100858060", "6100858060")</f>
        <v/>
      </c>
      <c r="B388" t="inlineStr">
        <is>
          <t>Catalonia Cooling Blanket for Hot Sleepers, Summer Bed Blanket for Warm Night Sweat, Cool Sofa Throw Blanket for Hot Flashes, Soft Thin Lightweight Blanket for Adults Kids</t>
        </is>
      </c>
      <c r="C388" t="inlineStr">
        <is>
          <t>1CTBQ10169GY</t>
        </is>
      </c>
      <c r="D388" t="inlineStr">
        <is>
          <t>Throws</t>
        </is>
      </c>
      <c r="E388" t="inlineStr">
        <is>
          <t>Catalonia</t>
        </is>
      </c>
      <c r="F388" t="inlineStr">
        <is>
          <t>High AUR Items</t>
        </is>
      </c>
      <c r="G388" s="48" t="n">
        <v>0</v>
      </c>
      <c r="H388" s="49" t="n">
        <v>0</v>
      </c>
      <c r="I388" s="49" t="n">
        <v>0</v>
      </c>
      <c r="J388" s="50" t="n">
        <v>0</v>
      </c>
      <c r="K388" s="51" t="n">
        <v>0</v>
      </c>
      <c r="L388" s="52" t="n">
        <v>0</v>
      </c>
      <c r="M388" s="52" t="n">
        <v>0</v>
      </c>
      <c r="N388" s="52" t="n">
        <v>0</v>
      </c>
      <c r="O388" s="53" t="n">
        <v>0</v>
      </c>
      <c r="P388" s="52" t="n">
        <v>0</v>
      </c>
      <c r="Q388" s="53" t="n">
        <v>0</v>
      </c>
      <c r="R388" s="52" t="n">
        <v>0</v>
      </c>
      <c r="S388" s="51" t="n">
        <v>0</v>
      </c>
      <c r="T388" s="48" t="n">
        <v>0</v>
      </c>
      <c r="U388" s="49" t="n">
        <v>0</v>
      </c>
      <c r="V388" s="49" t="n">
        <v>0</v>
      </c>
      <c r="W388" s="50" t="n">
        <v>0</v>
      </c>
      <c r="X388" s="51" t="n">
        <v>0</v>
      </c>
      <c r="Y388" s="52" t="n">
        <v>0</v>
      </c>
      <c r="Z388" s="52" t="n">
        <v>0</v>
      </c>
      <c r="AA388" s="52" t="n">
        <v>0</v>
      </c>
      <c r="AB388" s="53" t="n">
        <v>0</v>
      </c>
      <c r="AC388" s="52" t="n">
        <v>0</v>
      </c>
      <c r="AD388" s="53" t="n">
        <v>0</v>
      </c>
      <c r="AE388" s="52" t="n">
        <v>0</v>
      </c>
      <c r="AF388" s="51" t="n">
        <v>0</v>
      </c>
      <c r="AG388" s="48" t="n">
        <v>0</v>
      </c>
      <c r="AH388" s="49" t="n">
        <v>0</v>
      </c>
      <c r="AI388" s="49" t="n">
        <v>0</v>
      </c>
      <c r="AJ388" s="50" t="n">
        <v>0</v>
      </c>
      <c r="AK388" s="51" t="n">
        <v>0</v>
      </c>
      <c r="AL388" s="52" t="n">
        <v>0</v>
      </c>
      <c r="AM388" s="52" t="n">
        <v>0</v>
      </c>
      <c r="AN388" s="52" t="n">
        <v>0</v>
      </c>
      <c r="AO388" s="53" t="n">
        <v>0</v>
      </c>
      <c r="AP388" s="52" t="n">
        <v>0</v>
      </c>
      <c r="AQ388" s="53" t="n">
        <v>0</v>
      </c>
      <c r="AR388" s="52" t="n">
        <v>0</v>
      </c>
      <c r="AS388" s="51" t="n">
        <v>0</v>
      </c>
      <c r="AT388" s="48" t="n">
        <v>0</v>
      </c>
      <c r="AU388" s="49" t="n">
        <v>0</v>
      </c>
      <c r="AV388" s="49" t="n">
        <v>0</v>
      </c>
      <c r="AW388" s="50" t="n">
        <v>0</v>
      </c>
      <c r="AX388" s="51" t="n">
        <v>0</v>
      </c>
      <c r="AY388" s="52" t="n">
        <v>0</v>
      </c>
      <c r="AZ388" s="52" t="n">
        <v>0</v>
      </c>
      <c r="BA388" s="52" t="n">
        <v>0</v>
      </c>
      <c r="BB388" s="53" t="n">
        <v>0</v>
      </c>
      <c r="BC388" s="52" t="n">
        <v>0</v>
      </c>
      <c r="BD388" s="53" t="n">
        <v>0</v>
      </c>
      <c r="BE388" s="52" t="n">
        <v>0</v>
      </c>
      <c r="BF388" s="51" t="n">
        <v>0</v>
      </c>
    </row>
    <row r="389">
      <c r="A389">
        <f>HYPERLINK("https://www.walmart.com/ip/570357815", "570357815")</f>
        <v/>
      </c>
      <c r="B389" t="inlineStr">
        <is>
          <t>Flyingstar Unisex Bath Towelling Robe in Navy Blue, Perfect for Surf and Swim, Quick Dry</t>
        </is>
      </c>
      <c r="C389" t="inlineStr">
        <is>
          <t>1WMBR100-NY</t>
        </is>
      </c>
      <c r="D389" t="inlineStr">
        <is>
          <t>default</t>
        </is>
      </c>
      <c r="E389" t="inlineStr">
        <is>
          <t>Flyingstar</t>
        </is>
      </c>
      <c r="F389" t="inlineStr">
        <is>
          <t>Optimized,Beach Robe Camp</t>
        </is>
      </c>
      <c r="G389" s="48" t="n">
        <v>0</v>
      </c>
      <c r="H389" s="49" t="n">
        <v>0</v>
      </c>
      <c r="I389" s="49" t="n">
        <v>0</v>
      </c>
      <c r="J389" s="50" t="n">
        <v>0</v>
      </c>
      <c r="K389" s="51" t="n">
        <v>0</v>
      </c>
      <c r="L389" s="52" t="n">
        <v>0</v>
      </c>
      <c r="M389" s="52" t="n">
        <v>0</v>
      </c>
      <c r="N389" s="52" t="n">
        <v>0</v>
      </c>
      <c r="O389" s="53" t="n">
        <v>0</v>
      </c>
      <c r="P389" s="52" t="n">
        <v>0</v>
      </c>
      <c r="Q389" s="53" t="n">
        <v>0</v>
      </c>
      <c r="R389" s="52" t="n">
        <v>0</v>
      </c>
      <c r="S389" s="51" t="n">
        <v>0</v>
      </c>
      <c r="T389" s="48" t="n">
        <v>0</v>
      </c>
      <c r="U389" s="49" t="n">
        <v>0</v>
      </c>
      <c r="V389" s="49" t="n">
        <v>0</v>
      </c>
      <c r="W389" s="50" t="n">
        <v>0</v>
      </c>
      <c r="X389" s="51" t="n">
        <v>0</v>
      </c>
      <c r="Y389" s="52" t="n">
        <v>0</v>
      </c>
      <c r="Z389" s="52" t="n">
        <v>0</v>
      </c>
      <c r="AA389" s="52" t="n">
        <v>0</v>
      </c>
      <c r="AB389" s="53" t="n">
        <v>0</v>
      </c>
      <c r="AC389" s="52" t="n">
        <v>0</v>
      </c>
      <c r="AD389" s="53" t="n">
        <v>0</v>
      </c>
      <c r="AE389" s="52" t="n">
        <v>0</v>
      </c>
      <c r="AF389" s="51" t="n">
        <v>0</v>
      </c>
      <c r="AG389" s="48" t="n">
        <v>0</v>
      </c>
      <c r="AH389" s="49" t="n">
        <v>0</v>
      </c>
      <c r="AI389" s="49" t="n">
        <v>0</v>
      </c>
      <c r="AJ389" s="50" t="n">
        <v>0</v>
      </c>
      <c r="AK389" s="51" t="n">
        <v>0</v>
      </c>
      <c r="AL389" s="52" t="n">
        <v>0</v>
      </c>
      <c r="AM389" s="52" t="n">
        <v>0</v>
      </c>
      <c r="AN389" s="52" t="n">
        <v>0</v>
      </c>
      <c r="AO389" s="53" t="n">
        <v>0</v>
      </c>
      <c r="AP389" s="52" t="n">
        <v>0</v>
      </c>
      <c r="AQ389" s="53" t="n">
        <v>0</v>
      </c>
      <c r="AR389" s="52" t="n">
        <v>0</v>
      </c>
      <c r="AS389" s="51" t="n">
        <v>0</v>
      </c>
      <c r="AT389" s="48" t="n">
        <v>0</v>
      </c>
      <c r="AU389" s="49" t="n">
        <v>0</v>
      </c>
      <c r="AV389" s="49" t="n">
        <v>0</v>
      </c>
      <c r="AW389" s="50" t="n">
        <v>0</v>
      </c>
      <c r="AX389" s="51" t="n">
        <v>0</v>
      </c>
      <c r="AY389" s="52" t="n">
        <v>0</v>
      </c>
      <c r="AZ389" s="52" t="n">
        <v>0</v>
      </c>
      <c r="BA389" s="52" t="n">
        <v>0</v>
      </c>
      <c r="BB389" s="53" t="n">
        <v>0</v>
      </c>
      <c r="BC389" s="52" t="n">
        <v>0</v>
      </c>
      <c r="BD389" s="53" t="n">
        <v>0</v>
      </c>
      <c r="BE389" s="52" t="n">
        <v>0</v>
      </c>
      <c r="BF389" s="51" t="n">
        <v>0</v>
      </c>
    </row>
    <row r="390">
      <c r="A390">
        <f>HYPERLINK("https://www.walmart.com/ip/573362008", "573362008")</f>
        <v/>
      </c>
      <c r="B390" t="inlineStr">
        <is>
          <t>Tirrinia Men's Pro Hunting Hat Buck Embroidery Adjustable Mesh Back Cap, Velcro Snapback Hat, Camo</t>
        </is>
      </c>
      <c r="C390" t="inlineStr">
        <is>
          <t>1TRHT01BUCK-TBCB</t>
        </is>
      </c>
      <c r="D390" t="inlineStr">
        <is>
          <t>Hats</t>
        </is>
      </c>
      <c r="E390" t="inlineStr">
        <is>
          <t>Tirrinia</t>
        </is>
      </c>
      <c r="F390" t="inlineStr">
        <is>
          <t>Batch 1 - TR</t>
        </is>
      </c>
      <c r="G390" s="48" t="n">
        <v>0</v>
      </c>
      <c r="H390" s="49" t="n">
        <v>0</v>
      </c>
      <c r="I390" s="49" t="n">
        <v>0</v>
      </c>
      <c r="J390" s="50" t="n">
        <v>0</v>
      </c>
      <c r="K390" s="51" t="n">
        <v>0</v>
      </c>
      <c r="L390" s="52" t="n">
        <v>0</v>
      </c>
      <c r="M390" s="52" t="n">
        <v>0</v>
      </c>
      <c r="N390" s="52" t="n">
        <v>0</v>
      </c>
      <c r="O390" s="53" t="n">
        <v>0</v>
      </c>
      <c r="P390" s="52" t="n">
        <v>0</v>
      </c>
      <c r="Q390" s="53" t="n">
        <v>0</v>
      </c>
      <c r="R390" s="52" t="n">
        <v>0</v>
      </c>
      <c r="S390" s="51" t="n">
        <v>0</v>
      </c>
      <c r="T390" s="48" t="n">
        <v>0</v>
      </c>
      <c r="U390" s="49" t="n">
        <v>0</v>
      </c>
      <c r="V390" s="49" t="n">
        <v>0</v>
      </c>
      <c r="W390" s="50" t="n">
        <v>0</v>
      </c>
      <c r="X390" s="51" t="n">
        <v>0</v>
      </c>
      <c r="Y390" s="52" t="n">
        <v>0</v>
      </c>
      <c r="Z390" s="52" t="n">
        <v>0</v>
      </c>
      <c r="AA390" s="52" t="n">
        <v>0</v>
      </c>
      <c r="AB390" s="53" t="n">
        <v>0</v>
      </c>
      <c r="AC390" s="52" t="n">
        <v>0</v>
      </c>
      <c r="AD390" s="53" t="n">
        <v>0</v>
      </c>
      <c r="AE390" s="52" t="n">
        <v>0</v>
      </c>
      <c r="AF390" s="51" t="n">
        <v>0</v>
      </c>
      <c r="AG390" s="48" t="n">
        <v>0</v>
      </c>
      <c r="AH390" s="49" t="n">
        <v>0</v>
      </c>
      <c r="AI390" s="49" t="n">
        <v>0</v>
      </c>
      <c r="AJ390" s="50" t="n">
        <v>0</v>
      </c>
      <c r="AK390" s="51" t="n">
        <v>0</v>
      </c>
      <c r="AL390" s="52" t="n">
        <v>0</v>
      </c>
      <c r="AM390" s="52" t="n">
        <v>0</v>
      </c>
      <c r="AN390" s="52" t="n">
        <v>0</v>
      </c>
      <c r="AO390" s="53" t="n">
        <v>0</v>
      </c>
      <c r="AP390" s="52" t="n">
        <v>0</v>
      </c>
      <c r="AQ390" s="53" t="n">
        <v>0</v>
      </c>
      <c r="AR390" s="52" t="n">
        <v>0</v>
      </c>
      <c r="AS390" s="51" t="n">
        <v>0</v>
      </c>
      <c r="AT390" s="48" t="n">
        <v>0</v>
      </c>
      <c r="AU390" s="49" t="n">
        <v>0</v>
      </c>
      <c r="AV390" s="49" t="n">
        <v>0</v>
      </c>
      <c r="AW390" s="50" t="n">
        <v>0</v>
      </c>
      <c r="AX390" s="51" t="n">
        <v>0</v>
      </c>
      <c r="AY390" s="52" t="n">
        <v>0</v>
      </c>
      <c r="AZ390" s="52" t="n">
        <v>0</v>
      </c>
      <c r="BA390" s="52" t="n">
        <v>0</v>
      </c>
      <c r="BB390" s="53" t="n">
        <v>0</v>
      </c>
      <c r="BC390" s="52" t="n">
        <v>0</v>
      </c>
      <c r="BD390" s="53" t="n">
        <v>0</v>
      </c>
      <c r="BE390" s="52" t="n">
        <v>0</v>
      </c>
      <c r="BF390" s="51" t="n">
        <v>0</v>
      </c>
    </row>
    <row r="391">
      <c r="A391">
        <f>HYPERLINK("https://www.walmart.com/ip/573207745", "573207745")</f>
        <v/>
      </c>
      <c r="B391" t="inlineStr">
        <is>
          <t>JenniWears® Women V Neck Babydoll Strap Lingerie Lace Chemise Teddy Outfits</t>
        </is>
      </c>
      <c r="C391" t="inlineStr">
        <is>
          <t>JWBD011PP-3XL</t>
        </is>
      </c>
      <c r="D391" t="inlineStr">
        <is>
          <t>Lingerie Sets</t>
        </is>
      </c>
      <c r="E391" t="inlineStr">
        <is>
          <t>JenniWears</t>
        </is>
      </c>
      <c r="F391" t="inlineStr">
        <is>
          <t>Optimized,Valentine</t>
        </is>
      </c>
      <c r="G391" s="48" t="n">
        <v>0</v>
      </c>
      <c r="H391" s="49" t="n">
        <v>0</v>
      </c>
      <c r="I391" s="49" t="n">
        <v>0</v>
      </c>
      <c r="J391" s="50" t="n">
        <v>0</v>
      </c>
      <c r="K391" s="51" t="n">
        <v>0</v>
      </c>
      <c r="L391" s="52" t="n">
        <v>0</v>
      </c>
      <c r="M391" s="52" t="n">
        <v>0</v>
      </c>
      <c r="N391" s="52" t="n">
        <v>0</v>
      </c>
      <c r="O391" s="53" t="n">
        <v>0</v>
      </c>
      <c r="P391" s="52" t="n">
        <v>0</v>
      </c>
      <c r="Q391" s="53" t="n">
        <v>0</v>
      </c>
      <c r="R391" s="52" t="n">
        <v>0</v>
      </c>
      <c r="S391" s="51" t="n">
        <v>0</v>
      </c>
      <c r="T391" s="48" t="n">
        <v>0</v>
      </c>
      <c r="U391" s="49" t="n">
        <v>0</v>
      </c>
      <c r="V391" s="49" t="n">
        <v>0</v>
      </c>
      <c r="W391" s="50" t="n">
        <v>0</v>
      </c>
      <c r="X391" s="51" t="n">
        <v>0</v>
      </c>
      <c r="Y391" s="52" t="n">
        <v>0</v>
      </c>
      <c r="Z391" s="52" t="n">
        <v>0</v>
      </c>
      <c r="AA391" s="52" t="n">
        <v>0</v>
      </c>
      <c r="AB391" s="53" t="n">
        <v>0</v>
      </c>
      <c r="AC391" s="52" t="n">
        <v>0</v>
      </c>
      <c r="AD391" s="53" t="n">
        <v>0</v>
      </c>
      <c r="AE391" s="52" t="n">
        <v>0</v>
      </c>
      <c r="AF391" s="51" t="n">
        <v>0</v>
      </c>
      <c r="AG391" s="48" t="n">
        <v>0</v>
      </c>
      <c r="AH391" s="49" t="n">
        <v>0</v>
      </c>
      <c r="AI391" s="49" t="n">
        <v>0</v>
      </c>
      <c r="AJ391" s="50" t="n">
        <v>0</v>
      </c>
      <c r="AK391" s="51" t="n">
        <v>0</v>
      </c>
      <c r="AL391" s="52" t="n">
        <v>0</v>
      </c>
      <c r="AM391" s="52" t="n">
        <v>0</v>
      </c>
      <c r="AN391" s="52" t="n">
        <v>0</v>
      </c>
      <c r="AO391" s="53" t="n">
        <v>0</v>
      </c>
      <c r="AP391" s="52" t="n">
        <v>0</v>
      </c>
      <c r="AQ391" s="53" t="n">
        <v>0</v>
      </c>
      <c r="AR391" s="52" t="n">
        <v>0</v>
      </c>
      <c r="AS391" s="51" t="n">
        <v>0</v>
      </c>
      <c r="AT391" s="48" t="n">
        <v>0</v>
      </c>
      <c r="AU391" s="49" t="n">
        <v>0</v>
      </c>
      <c r="AV391" s="49" t="n">
        <v>0</v>
      </c>
      <c r="AW391" s="50" t="n">
        <v>0</v>
      </c>
      <c r="AX391" s="51" t="n">
        <v>0</v>
      </c>
      <c r="AY391" s="52" t="n">
        <v>0</v>
      </c>
      <c r="AZ391" s="52" t="n">
        <v>0</v>
      </c>
      <c r="BA391" s="52" t="n">
        <v>0</v>
      </c>
      <c r="BB391" s="53" t="n">
        <v>0</v>
      </c>
      <c r="BC391" s="52" t="n">
        <v>0</v>
      </c>
      <c r="BD391" s="53" t="n">
        <v>0</v>
      </c>
      <c r="BE391" s="52" t="n">
        <v>0</v>
      </c>
      <c r="BF391" s="51" t="n">
        <v>0</v>
      </c>
    </row>
    <row r="392">
      <c r="A392">
        <f>HYPERLINK("https://www.walmart.com/ip/5729771065", "5729771065")</f>
        <v/>
      </c>
      <c r="B392" t="inlineStr">
        <is>
          <t>Tirrinia Surf Poncho Changing Towel Summer Swim Robe with Hood, Portable Dressing Room, Stylish &amp; Multi-Functional for Surfing Beach Adult Men Women</t>
        </is>
      </c>
      <c r="C392" t="inlineStr">
        <is>
          <t>1TRBR131BK-2</t>
        </is>
      </c>
      <c r="D392" t="inlineStr">
        <is>
          <t>Towels &amp; Washcloths</t>
        </is>
      </c>
      <c r="E392" t="inlineStr">
        <is>
          <t>Tirrinia</t>
        </is>
      </c>
      <c r="G392" s="48" t="n">
        <v>0</v>
      </c>
      <c r="H392" s="49" t="n">
        <v>0</v>
      </c>
      <c r="I392" s="49" t="n">
        <v>0</v>
      </c>
      <c r="J392" s="50" t="n">
        <v>0</v>
      </c>
      <c r="K392" s="51" t="n">
        <v>0</v>
      </c>
      <c r="L392" s="52" t="n">
        <v>0</v>
      </c>
      <c r="M392" s="52" t="n">
        <v>0</v>
      </c>
      <c r="N392" s="52" t="n">
        <v>0</v>
      </c>
      <c r="O392" s="53" t="n">
        <v>0</v>
      </c>
      <c r="P392" s="52" t="n">
        <v>0</v>
      </c>
      <c r="Q392" s="53" t="n">
        <v>0</v>
      </c>
      <c r="R392" s="52" t="n">
        <v>0</v>
      </c>
      <c r="S392" s="51" t="n">
        <v>0</v>
      </c>
      <c r="T392" s="48" t="n">
        <v>0</v>
      </c>
      <c r="U392" s="49" t="n">
        <v>0</v>
      </c>
      <c r="V392" s="49" t="n">
        <v>0</v>
      </c>
      <c r="W392" s="50" t="n">
        <v>0</v>
      </c>
      <c r="X392" s="51" t="n">
        <v>0</v>
      </c>
      <c r="Y392" s="52" t="n">
        <v>0</v>
      </c>
      <c r="Z392" s="52" t="n">
        <v>0</v>
      </c>
      <c r="AA392" s="52" t="n">
        <v>0</v>
      </c>
      <c r="AB392" s="53" t="n">
        <v>0</v>
      </c>
      <c r="AC392" s="52" t="n">
        <v>0</v>
      </c>
      <c r="AD392" s="53" t="n">
        <v>0</v>
      </c>
      <c r="AE392" s="52" t="n">
        <v>0</v>
      </c>
      <c r="AF392" s="51" t="n">
        <v>0</v>
      </c>
      <c r="AG392" s="48" t="n">
        <v>0</v>
      </c>
      <c r="AH392" s="49" t="n">
        <v>0</v>
      </c>
      <c r="AI392" s="49" t="n">
        <v>0</v>
      </c>
      <c r="AJ392" s="50" t="n">
        <v>0</v>
      </c>
      <c r="AK392" s="51" t="n">
        <v>0</v>
      </c>
      <c r="AL392" s="52" t="n">
        <v>0</v>
      </c>
      <c r="AM392" s="52" t="n">
        <v>0</v>
      </c>
      <c r="AN392" s="52" t="n">
        <v>0</v>
      </c>
      <c r="AO392" s="53" t="n">
        <v>0</v>
      </c>
      <c r="AP392" s="52" t="n">
        <v>0</v>
      </c>
      <c r="AQ392" s="53" t="n">
        <v>0</v>
      </c>
      <c r="AR392" s="52" t="n">
        <v>0</v>
      </c>
      <c r="AS392" s="51" t="n">
        <v>0</v>
      </c>
      <c r="AT392" s="48" t="n">
        <v>0</v>
      </c>
      <c r="AU392" s="49" t="n">
        <v>0</v>
      </c>
      <c r="AV392" s="49" t="n">
        <v>0</v>
      </c>
      <c r="AW392" s="50" t="n">
        <v>0</v>
      </c>
      <c r="AX392" s="51" t="n">
        <v>0</v>
      </c>
      <c r="AY392" s="52" t="n">
        <v>0</v>
      </c>
      <c r="AZ392" s="52" t="n">
        <v>0</v>
      </c>
      <c r="BA392" s="52" t="n">
        <v>0</v>
      </c>
      <c r="BB392" s="53" t="n">
        <v>0</v>
      </c>
      <c r="BC392" s="52" t="n">
        <v>0</v>
      </c>
      <c r="BD392" s="53" t="n">
        <v>0</v>
      </c>
      <c r="BE392" s="52" t="n">
        <v>0</v>
      </c>
      <c r="BF392" s="51" t="n">
        <v>0</v>
      </c>
    </row>
    <row r="393">
      <c r="A393">
        <f>HYPERLINK("https://www.walmart.com/ip/6105217432", "6105217432")</f>
        <v/>
      </c>
      <c r="B393" t="inlineStr">
        <is>
          <t>Catalonia Cooling Blanket for Hot Sleepers, Summer Bed Blanket for Warm Night Sweat, Cool Sofa Throw Blanket for Hot Flashes, Soft Thin Lightweight Blanket for Adults Kids</t>
        </is>
      </c>
      <c r="C393" t="inlineStr">
        <is>
          <t>1CTBQ10119GN</t>
        </is>
      </c>
      <c r="D393" t="inlineStr">
        <is>
          <t>Throws</t>
        </is>
      </c>
      <c r="E393" t="inlineStr">
        <is>
          <t>Catalonia</t>
        </is>
      </c>
      <c r="G393" s="48" t="n">
        <v>0</v>
      </c>
      <c r="H393" s="49" t="n">
        <v>0</v>
      </c>
      <c r="I393" s="49" t="n">
        <v>0</v>
      </c>
      <c r="J393" s="50" t="n">
        <v>0</v>
      </c>
      <c r="K393" s="51" t="n">
        <v>0</v>
      </c>
      <c r="L393" s="52" t="n">
        <v>0</v>
      </c>
      <c r="M393" s="52" t="n">
        <v>0</v>
      </c>
      <c r="N393" s="52" t="n">
        <v>0</v>
      </c>
      <c r="O393" s="53" t="n">
        <v>0</v>
      </c>
      <c r="P393" s="52" t="n">
        <v>0</v>
      </c>
      <c r="Q393" s="53" t="n">
        <v>0</v>
      </c>
      <c r="R393" s="52" t="n">
        <v>0</v>
      </c>
      <c r="S393" s="51" t="n">
        <v>0</v>
      </c>
      <c r="T393" s="48" t="n">
        <v>0</v>
      </c>
      <c r="U393" s="49" t="n">
        <v>0</v>
      </c>
      <c r="V393" s="49" t="n">
        <v>0</v>
      </c>
      <c r="W393" s="50" t="n">
        <v>0</v>
      </c>
      <c r="X393" s="51" t="n">
        <v>0</v>
      </c>
      <c r="Y393" s="52" t="n">
        <v>0</v>
      </c>
      <c r="Z393" s="52" t="n">
        <v>0</v>
      </c>
      <c r="AA393" s="52" t="n">
        <v>0</v>
      </c>
      <c r="AB393" s="53" t="n">
        <v>0</v>
      </c>
      <c r="AC393" s="52" t="n">
        <v>0</v>
      </c>
      <c r="AD393" s="53" t="n">
        <v>0</v>
      </c>
      <c r="AE393" s="52" t="n">
        <v>0</v>
      </c>
      <c r="AF393" s="51" t="n">
        <v>0</v>
      </c>
      <c r="AG393" s="48" t="n">
        <v>0</v>
      </c>
      <c r="AH393" s="49" t="n">
        <v>0</v>
      </c>
      <c r="AI393" s="49" t="n">
        <v>0</v>
      </c>
      <c r="AJ393" s="50" t="n">
        <v>0</v>
      </c>
      <c r="AK393" s="51" t="n">
        <v>0</v>
      </c>
      <c r="AL393" s="52" t="n">
        <v>0</v>
      </c>
      <c r="AM393" s="52" t="n">
        <v>0</v>
      </c>
      <c r="AN393" s="52" t="n">
        <v>0</v>
      </c>
      <c r="AO393" s="53" t="n">
        <v>0</v>
      </c>
      <c r="AP393" s="52" t="n">
        <v>0</v>
      </c>
      <c r="AQ393" s="53" t="n">
        <v>0</v>
      </c>
      <c r="AR393" s="52" t="n">
        <v>0</v>
      </c>
      <c r="AS393" s="51" t="n">
        <v>0</v>
      </c>
      <c r="AT393" s="48" t="n">
        <v>0</v>
      </c>
      <c r="AU393" s="49" t="n">
        <v>0</v>
      </c>
      <c r="AV393" s="49" t="n">
        <v>0</v>
      </c>
      <c r="AW393" s="50" t="n">
        <v>0</v>
      </c>
      <c r="AX393" s="51" t="n">
        <v>0</v>
      </c>
      <c r="AY393" s="52" t="n">
        <v>0</v>
      </c>
      <c r="AZ393" s="52" t="n">
        <v>0</v>
      </c>
      <c r="BA393" s="52" t="n">
        <v>0</v>
      </c>
      <c r="BB393" s="53" t="n">
        <v>0</v>
      </c>
      <c r="BC393" s="52" t="n">
        <v>0</v>
      </c>
      <c r="BD393" s="53" t="n">
        <v>0</v>
      </c>
      <c r="BE393" s="52" t="n">
        <v>0</v>
      </c>
      <c r="BF393" s="51" t="n">
        <v>0</v>
      </c>
    </row>
    <row r="394">
      <c r="A394">
        <f>HYPERLINK("https://www.walmart.com/ip/572950679", "572950679")</f>
        <v/>
      </c>
      <c r="B394" t="inlineStr">
        <is>
          <t>Flyingstar Surf Towel Robe, Quick Dry Beach Wetsuit Changing Bath Robe Poncho for Surfing, Swimming</t>
        </is>
      </c>
      <c r="C394" t="inlineStr">
        <is>
          <t>1WMBR100-GY</t>
        </is>
      </c>
      <c r="D394" t="inlineStr">
        <is>
          <t>Sleepwear Robes &amp; Bathrobes</t>
        </is>
      </c>
      <c r="E394" t="inlineStr">
        <is>
          <t>Flyingstar</t>
        </is>
      </c>
      <c r="F394" t="inlineStr">
        <is>
          <t>Optimized,Beach Robe Camp</t>
        </is>
      </c>
      <c r="G394" s="48" t="n">
        <v>0</v>
      </c>
      <c r="H394" s="49" t="n">
        <v>0</v>
      </c>
      <c r="I394" s="49" t="n">
        <v>0</v>
      </c>
      <c r="J394" s="50" t="n">
        <v>0</v>
      </c>
      <c r="K394" s="51" t="n">
        <v>0</v>
      </c>
      <c r="L394" s="52" t="n">
        <v>0</v>
      </c>
      <c r="M394" s="52" t="n">
        <v>0</v>
      </c>
      <c r="N394" s="52" t="n">
        <v>0</v>
      </c>
      <c r="O394" s="53" t="n">
        <v>0</v>
      </c>
      <c r="P394" s="52" t="n">
        <v>0</v>
      </c>
      <c r="Q394" s="53" t="n">
        <v>0</v>
      </c>
      <c r="R394" s="52" t="n">
        <v>0</v>
      </c>
      <c r="S394" s="51" t="n">
        <v>0</v>
      </c>
      <c r="T394" s="48" t="n">
        <v>0</v>
      </c>
      <c r="U394" s="49" t="n">
        <v>0</v>
      </c>
      <c r="V394" s="49" t="n">
        <v>0</v>
      </c>
      <c r="W394" s="50" t="n">
        <v>0</v>
      </c>
      <c r="X394" s="51" t="n">
        <v>0</v>
      </c>
      <c r="Y394" s="52" t="n">
        <v>0</v>
      </c>
      <c r="Z394" s="52" t="n">
        <v>0</v>
      </c>
      <c r="AA394" s="52" t="n">
        <v>0</v>
      </c>
      <c r="AB394" s="53" t="n">
        <v>0</v>
      </c>
      <c r="AC394" s="52" t="n">
        <v>0</v>
      </c>
      <c r="AD394" s="53" t="n">
        <v>0</v>
      </c>
      <c r="AE394" s="52" t="n">
        <v>0</v>
      </c>
      <c r="AF394" s="51" t="n">
        <v>0</v>
      </c>
      <c r="AG394" s="48" t="n">
        <v>0</v>
      </c>
      <c r="AH394" s="49" t="n">
        <v>0</v>
      </c>
      <c r="AI394" s="49" t="n">
        <v>0</v>
      </c>
      <c r="AJ394" s="50" t="n">
        <v>0</v>
      </c>
      <c r="AK394" s="51" t="n">
        <v>0</v>
      </c>
      <c r="AL394" s="52" t="n">
        <v>0</v>
      </c>
      <c r="AM394" s="52" t="n">
        <v>0</v>
      </c>
      <c r="AN394" s="52" t="n">
        <v>0</v>
      </c>
      <c r="AO394" s="53" t="n">
        <v>0</v>
      </c>
      <c r="AP394" s="52" t="n">
        <v>0</v>
      </c>
      <c r="AQ394" s="53" t="n">
        <v>0</v>
      </c>
      <c r="AR394" s="52" t="n">
        <v>0</v>
      </c>
      <c r="AS394" s="51" t="n">
        <v>0</v>
      </c>
      <c r="AT394" s="48" t="n">
        <v>0</v>
      </c>
      <c r="AU394" s="49" t="n">
        <v>0</v>
      </c>
      <c r="AV394" s="49" t="n">
        <v>0</v>
      </c>
      <c r="AW394" s="50" t="n">
        <v>0</v>
      </c>
      <c r="AX394" s="51" t="n">
        <v>0</v>
      </c>
      <c r="AY394" s="52" t="n">
        <v>0</v>
      </c>
      <c r="AZ394" s="52" t="n">
        <v>0</v>
      </c>
      <c r="BA394" s="52" t="n">
        <v>0</v>
      </c>
      <c r="BB394" s="53" t="n">
        <v>0</v>
      </c>
      <c r="BC394" s="52" t="n">
        <v>0</v>
      </c>
      <c r="BD394" s="53" t="n">
        <v>0</v>
      </c>
      <c r="BE394" s="52" t="n">
        <v>0</v>
      </c>
      <c r="BF394" s="51" t="n">
        <v>0</v>
      </c>
    </row>
    <row r="395">
      <c r="A395">
        <f>HYPERLINK("https://www.walmart.com/ip/610849196", "610849196")</f>
        <v/>
      </c>
      <c r="B395" t="inlineStr">
        <is>
          <t>Catalonia Hooded Wearable Blanket Poncho for Adult Women Men, Fleece Wrap Blanket Cape with Hood | Warm, Soft, Cozy, Snuggly | Comfort Gift, No Sleeves, Red Checker</t>
        </is>
      </c>
      <c r="C395" t="inlineStr">
        <is>
          <t>1CTBP120P2RD</t>
        </is>
      </c>
      <c r="D395" t="inlineStr">
        <is>
          <t>Throws</t>
        </is>
      </c>
      <c r="E395" t="inlineStr">
        <is>
          <t>Catalonia</t>
        </is>
      </c>
      <c r="F395" t="inlineStr">
        <is>
          <t>Optimized,Hero 5 Holidays,WFS Item</t>
        </is>
      </c>
      <c r="G395" s="48" t="n">
        <v>0</v>
      </c>
      <c r="H395" s="49" t="n">
        <v>0</v>
      </c>
      <c r="I395" s="49" t="n">
        <v>0</v>
      </c>
      <c r="J395" s="50" t="n">
        <v>0</v>
      </c>
      <c r="K395" s="51" t="n">
        <v>0</v>
      </c>
      <c r="L395" s="52" t="n">
        <v>0</v>
      </c>
      <c r="M395" s="52" t="n">
        <v>0</v>
      </c>
      <c r="N395" s="52" t="n">
        <v>0</v>
      </c>
      <c r="O395" s="53" t="n">
        <v>0</v>
      </c>
      <c r="P395" s="52" t="n">
        <v>0</v>
      </c>
      <c r="Q395" s="53" t="n">
        <v>0</v>
      </c>
      <c r="R395" s="52" t="n">
        <v>0</v>
      </c>
      <c r="S395" s="51" t="n">
        <v>0</v>
      </c>
      <c r="T395" s="48" t="n">
        <v>0</v>
      </c>
      <c r="U395" s="49" t="n">
        <v>0</v>
      </c>
      <c r="V395" s="49" t="n">
        <v>0</v>
      </c>
      <c r="W395" s="50" t="n">
        <v>0</v>
      </c>
      <c r="X395" s="51" t="n">
        <v>0</v>
      </c>
      <c r="Y395" s="52" t="n">
        <v>0</v>
      </c>
      <c r="Z395" s="52" t="n">
        <v>0</v>
      </c>
      <c r="AA395" s="52" t="n">
        <v>0</v>
      </c>
      <c r="AB395" s="53" t="n">
        <v>0</v>
      </c>
      <c r="AC395" s="52" t="n">
        <v>0</v>
      </c>
      <c r="AD395" s="53" t="n">
        <v>0</v>
      </c>
      <c r="AE395" s="52" t="n">
        <v>0</v>
      </c>
      <c r="AF395" s="51" t="n">
        <v>0</v>
      </c>
      <c r="AG395" s="48" t="n">
        <v>0</v>
      </c>
      <c r="AH395" s="49" t="n">
        <v>0</v>
      </c>
      <c r="AI395" s="49" t="n">
        <v>0</v>
      </c>
      <c r="AJ395" s="50" t="n">
        <v>0</v>
      </c>
      <c r="AK395" s="51" t="n">
        <v>0</v>
      </c>
      <c r="AL395" s="52" t="n">
        <v>0</v>
      </c>
      <c r="AM395" s="52" t="n">
        <v>0</v>
      </c>
      <c r="AN395" s="52" t="n">
        <v>0</v>
      </c>
      <c r="AO395" s="53" t="n">
        <v>0</v>
      </c>
      <c r="AP395" s="52" t="n">
        <v>0</v>
      </c>
      <c r="AQ395" s="53" t="n">
        <v>0</v>
      </c>
      <c r="AR395" s="52" t="n">
        <v>0</v>
      </c>
      <c r="AS395" s="51" t="n">
        <v>0</v>
      </c>
      <c r="AT395" s="48" t="n">
        <v>-25.99</v>
      </c>
      <c r="AU395" s="49" t="n">
        <v>-1</v>
      </c>
      <c r="AV395" s="49" t="n">
        <v>0</v>
      </c>
      <c r="AW395" s="50" t="n">
        <v>0</v>
      </c>
      <c r="AX395" s="51" t="n">
        <v>0</v>
      </c>
      <c r="AY395" s="52" t="n">
        <v>0</v>
      </c>
      <c r="AZ395" s="52" t="n">
        <v>0</v>
      </c>
      <c r="BA395" s="52" t="n">
        <v>0</v>
      </c>
      <c r="BB395" s="53" t="n">
        <v>0</v>
      </c>
      <c r="BC395" s="52" t="n">
        <v>0</v>
      </c>
      <c r="BD395" s="53" t="n">
        <v>0</v>
      </c>
      <c r="BE395" s="52" t="n">
        <v>0</v>
      </c>
      <c r="BF395" s="51" t="n">
        <v>0</v>
      </c>
    </row>
    <row r="396">
      <c r="A396">
        <f>HYPERLINK("https://www.walmart.com/ip/572657418", "572657418")</f>
        <v/>
      </c>
      <c r="B396" t="inlineStr">
        <is>
          <t>Tirrinia Bucket Hats for Women with Hawaii Flower Print | UPF 50+ Sun Protection Cap for Garden, Beach, Travel</t>
        </is>
      </c>
      <c r="C396" t="inlineStr">
        <is>
          <t>1TRSH9200FBL-TBCB</t>
        </is>
      </c>
      <c r="D396" t="inlineStr">
        <is>
          <t>Hats</t>
        </is>
      </c>
      <c r="E396" t="inlineStr">
        <is>
          <t>Tirrinia</t>
        </is>
      </c>
      <c r="F396" t="inlineStr">
        <is>
          <t>Hats,Batch 1 - TR</t>
        </is>
      </c>
      <c r="G396" s="48" t="n">
        <v>0</v>
      </c>
      <c r="H396" s="49" t="n">
        <v>0</v>
      </c>
      <c r="I396" s="49" t="n">
        <v>0</v>
      </c>
      <c r="J396" s="50" t="n">
        <v>0</v>
      </c>
      <c r="K396" s="51" t="n">
        <v>0</v>
      </c>
      <c r="L396" s="52" t="n">
        <v>0</v>
      </c>
      <c r="M396" s="52" t="n">
        <v>0</v>
      </c>
      <c r="N396" s="52" t="n">
        <v>0</v>
      </c>
      <c r="O396" s="53" t="n">
        <v>0</v>
      </c>
      <c r="P396" s="52" t="n">
        <v>0</v>
      </c>
      <c r="Q396" s="53" t="n">
        <v>0</v>
      </c>
      <c r="R396" s="52" t="n">
        <v>0</v>
      </c>
      <c r="S396" s="51" t="n">
        <v>0</v>
      </c>
      <c r="T396" s="48" t="n">
        <v>0</v>
      </c>
      <c r="U396" s="49" t="n">
        <v>0</v>
      </c>
      <c r="V396" s="49" t="n">
        <v>0</v>
      </c>
      <c r="W396" s="50" t="n">
        <v>0</v>
      </c>
      <c r="X396" s="51" t="n">
        <v>0</v>
      </c>
      <c r="Y396" s="52" t="n">
        <v>0</v>
      </c>
      <c r="Z396" s="52" t="n">
        <v>0</v>
      </c>
      <c r="AA396" s="52" t="n">
        <v>0</v>
      </c>
      <c r="AB396" s="53" t="n">
        <v>0</v>
      </c>
      <c r="AC396" s="52" t="n">
        <v>0</v>
      </c>
      <c r="AD396" s="53" t="n">
        <v>0</v>
      </c>
      <c r="AE396" s="52" t="n">
        <v>0</v>
      </c>
      <c r="AF396" s="51" t="n">
        <v>0</v>
      </c>
      <c r="AG396" s="48" t="n">
        <v>0</v>
      </c>
      <c r="AH396" s="49" t="n">
        <v>0</v>
      </c>
      <c r="AI396" s="49" t="n">
        <v>0</v>
      </c>
      <c r="AJ396" s="50" t="n">
        <v>0</v>
      </c>
      <c r="AK396" s="51" t="n">
        <v>0</v>
      </c>
      <c r="AL396" s="52" t="n">
        <v>0</v>
      </c>
      <c r="AM396" s="52" t="n">
        <v>0</v>
      </c>
      <c r="AN396" s="52" t="n">
        <v>0</v>
      </c>
      <c r="AO396" s="53" t="n">
        <v>0</v>
      </c>
      <c r="AP396" s="52" t="n">
        <v>0</v>
      </c>
      <c r="AQ396" s="53" t="n">
        <v>0</v>
      </c>
      <c r="AR396" s="52" t="n">
        <v>0</v>
      </c>
      <c r="AS396" s="51" t="n">
        <v>0</v>
      </c>
      <c r="AT396" s="48" t="n">
        <v>0</v>
      </c>
      <c r="AU396" s="49" t="n">
        <v>0</v>
      </c>
      <c r="AV396" s="49" t="n">
        <v>0</v>
      </c>
      <c r="AW396" s="50" t="n">
        <v>0</v>
      </c>
      <c r="AX396" s="51" t="n">
        <v>0</v>
      </c>
      <c r="AY396" s="52" t="n">
        <v>0</v>
      </c>
      <c r="AZ396" s="52" t="n">
        <v>0</v>
      </c>
      <c r="BA396" s="52" t="n">
        <v>0</v>
      </c>
      <c r="BB396" s="53" t="n">
        <v>0</v>
      </c>
      <c r="BC396" s="52" t="n">
        <v>0</v>
      </c>
      <c r="BD396" s="53" t="n">
        <v>0</v>
      </c>
      <c r="BE396" s="52" t="n">
        <v>0</v>
      </c>
      <c r="BF396" s="51" t="n">
        <v>0</v>
      </c>
    </row>
    <row r="397">
      <c r="A397">
        <f>HYPERLINK("https://www.walmart.com/ip/572643742", "572643742")</f>
        <v/>
      </c>
      <c r="B397" t="inlineStr">
        <is>
          <t>Oversized Hoodie Blanket Sweatshirt,Super Soft Warm Comfortable Fleece Giant Pullover with Large Front Pocket,for Adults Men Women Teenagers Kids Wife Girlfriend</t>
        </is>
      </c>
      <c r="C397" t="inlineStr">
        <is>
          <t>1CTHD300PP-UPC</t>
        </is>
      </c>
      <c r="D397" t="inlineStr">
        <is>
          <t>Sweatshirts &amp; Hoodies</t>
        </is>
      </c>
      <c r="E397" t="inlineStr">
        <is>
          <t>Catalonia</t>
        </is>
      </c>
      <c r="F397" t="inlineStr">
        <is>
          <t>Hoodie ForAdult,Optimized,Coupon_Discount</t>
        </is>
      </c>
      <c r="G397" s="48" t="n">
        <v>0</v>
      </c>
      <c r="H397" s="49" t="n">
        <v>0</v>
      </c>
      <c r="I397" s="49" t="n">
        <v>0</v>
      </c>
      <c r="J397" s="50" t="n">
        <v>0</v>
      </c>
      <c r="K397" s="51" t="n">
        <v>0</v>
      </c>
      <c r="L397" s="52" t="n">
        <v>0</v>
      </c>
      <c r="M397" s="52" t="n">
        <v>0</v>
      </c>
      <c r="N397" s="52" t="n">
        <v>0</v>
      </c>
      <c r="O397" s="53" t="n">
        <v>0</v>
      </c>
      <c r="P397" s="52" t="n">
        <v>0</v>
      </c>
      <c r="Q397" s="53" t="n">
        <v>0</v>
      </c>
      <c r="R397" s="52" t="n">
        <v>0</v>
      </c>
      <c r="S397" s="51" t="n">
        <v>0</v>
      </c>
      <c r="T397" s="48" t="n">
        <v>0</v>
      </c>
      <c r="U397" s="49" t="n">
        <v>0</v>
      </c>
      <c r="V397" s="49" t="n">
        <v>0</v>
      </c>
      <c r="W397" s="50" t="n">
        <v>0</v>
      </c>
      <c r="X397" s="51" t="n">
        <v>0</v>
      </c>
      <c r="Y397" s="52" t="n">
        <v>0</v>
      </c>
      <c r="Z397" s="52" t="n">
        <v>0</v>
      </c>
      <c r="AA397" s="52" t="n">
        <v>0</v>
      </c>
      <c r="AB397" s="53" t="n">
        <v>0</v>
      </c>
      <c r="AC397" s="52" t="n">
        <v>0</v>
      </c>
      <c r="AD397" s="53" t="n">
        <v>0</v>
      </c>
      <c r="AE397" s="52" t="n">
        <v>0</v>
      </c>
      <c r="AF397" s="51" t="n">
        <v>0</v>
      </c>
      <c r="AG397" s="48" t="n">
        <v>0</v>
      </c>
      <c r="AH397" s="49" t="n">
        <v>0</v>
      </c>
      <c r="AI397" s="49" t="n">
        <v>0</v>
      </c>
      <c r="AJ397" s="50" t="n">
        <v>0</v>
      </c>
      <c r="AK397" s="51" t="n">
        <v>0</v>
      </c>
      <c r="AL397" s="52" t="n">
        <v>0</v>
      </c>
      <c r="AM397" s="52" t="n">
        <v>0</v>
      </c>
      <c r="AN397" s="52" t="n">
        <v>0</v>
      </c>
      <c r="AO397" s="53" t="n">
        <v>0</v>
      </c>
      <c r="AP397" s="52" t="n">
        <v>0</v>
      </c>
      <c r="AQ397" s="53" t="n">
        <v>0</v>
      </c>
      <c r="AR397" s="52" t="n">
        <v>0</v>
      </c>
      <c r="AS397" s="51" t="n">
        <v>0</v>
      </c>
      <c r="AT397" s="48" t="n">
        <v>0</v>
      </c>
      <c r="AU397" s="49" t="n">
        <v>0</v>
      </c>
      <c r="AV397" s="49" t="n">
        <v>0</v>
      </c>
      <c r="AW397" s="50" t="n">
        <v>0</v>
      </c>
      <c r="AX397" s="51" t="n">
        <v>0</v>
      </c>
      <c r="AY397" s="52" t="n">
        <v>0</v>
      </c>
      <c r="AZ397" s="52" t="n">
        <v>0</v>
      </c>
      <c r="BA397" s="52" t="n">
        <v>0</v>
      </c>
      <c r="BB397" s="53" t="n">
        <v>0</v>
      </c>
      <c r="BC397" s="52" t="n">
        <v>0</v>
      </c>
      <c r="BD397" s="53" t="n">
        <v>0</v>
      </c>
      <c r="BE397" s="52" t="n">
        <v>0</v>
      </c>
      <c r="BF397" s="51" t="n">
        <v>0</v>
      </c>
    </row>
    <row r="398">
      <c r="A398">
        <f>HYPERLINK("https://www.walmart.com/ip/6108555323", "6108555323")</f>
        <v/>
      </c>
      <c r="B398" t="inlineStr">
        <is>
          <t>Catalonia Cooling Blanket for Hot Sleepers, Summer Bed Blanket for Warm Night Sweat, Cool Sofa Throw Blanket for Hot Flashes, Soft Thin Lightweight Blanket for Adults Kids</t>
        </is>
      </c>
      <c r="C398" t="inlineStr">
        <is>
          <t>1CTBQ10157PP</t>
        </is>
      </c>
      <c r="D398" t="inlineStr">
        <is>
          <t>Throws</t>
        </is>
      </c>
      <c r="E398" t="inlineStr">
        <is>
          <t>Catalonia</t>
        </is>
      </c>
      <c r="G398" s="48" t="n">
        <v>0</v>
      </c>
      <c r="H398" s="49" t="n">
        <v>0</v>
      </c>
      <c r="I398" s="49" t="n">
        <v>0</v>
      </c>
      <c r="J398" s="50" t="n">
        <v>0</v>
      </c>
      <c r="K398" s="51" t="n">
        <v>0</v>
      </c>
      <c r="L398" s="52" t="n">
        <v>0</v>
      </c>
      <c r="M398" s="52" t="n">
        <v>0</v>
      </c>
      <c r="N398" s="52" t="n">
        <v>0</v>
      </c>
      <c r="O398" s="53" t="n">
        <v>0</v>
      </c>
      <c r="P398" s="52" t="n">
        <v>0</v>
      </c>
      <c r="Q398" s="53" t="n">
        <v>0</v>
      </c>
      <c r="R398" s="52" t="n">
        <v>0</v>
      </c>
      <c r="S398" s="51" t="n">
        <v>0</v>
      </c>
      <c r="T398" s="48" t="n">
        <v>0</v>
      </c>
      <c r="U398" s="49" t="n">
        <v>0</v>
      </c>
      <c r="V398" s="49" t="n">
        <v>0</v>
      </c>
      <c r="W398" s="50" t="n">
        <v>0</v>
      </c>
      <c r="X398" s="51" t="n">
        <v>0</v>
      </c>
      <c r="Y398" s="52" t="n">
        <v>0</v>
      </c>
      <c r="Z398" s="52" t="n">
        <v>0</v>
      </c>
      <c r="AA398" s="52" t="n">
        <v>0</v>
      </c>
      <c r="AB398" s="53" t="n">
        <v>0</v>
      </c>
      <c r="AC398" s="52" t="n">
        <v>0</v>
      </c>
      <c r="AD398" s="53" t="n">
        <v>0</v>
      </c>
      <c r="AE398" s="52" t="n">
        <v>0</v>
      </c>
      <c r="AF398" s="51" t="n">
        <v>0</v>
      </c>
      <c r="AG398" s="48" t="n">
        <v>0</v>
      </c>
      <c r="AH398" s="49" t="n">
        <v>0</v>
      </c>
      <c r="AI398" s="49" t="n">
        <v>0</v>
      </c>
      <c r="AJ398" s="50" t="n">
        <v>0</v>
      </c>
      <c r="AK398" s="51" t="n">
        <v>0</v>
      </c>
      <c r="AL398" s="52" t="n">
        <v>0</v>
      </c>
      <c r="AM398" s="52" t="n">
        <v>0</v>
      </c>
      <c r="AN398" s="52" t="n">
        <v>0</v>
      </c>
      <c r="AO398" s="53" t="n">
        <v>0</v>
      </c>
      <c r="AP398" s="52" t="n">
        <v>0</v>
      </c>
      <c r="AQ398" s="53" t="n">
        <v>0</v>
      </c>
      <c r="AR398" s="52" t="n">
        <v>0</v>
      </c>
      <c r="AS398" s="51" t="n">
        <v>0</v>
      </c>
      <c r="AT398" s="48" t="n">
        <v>0</v>
      </c>
      <c r="AU398" s="49" t="n">
        <v>0</v>
      </c>
      <c r="AV398" s="49" t="n">
        <v>0</v>
      </c>
      <c r="AW398" s="50" t="n">
        <v>0</v>
      </c>
      <c r="AX398" s="51" t="n">
        <v>0</v>
      </c>
      <c r="AY398" s="52" t="n">
        <v>0</v>
      </c>
      <c r="AZ398" s="52" t="n">
        <v>0</v>
      </c>
      <c r="BA398" s="52" t="n">
        <v>0</v>
      </c>
      <c r="BB398" s="53" t="n">
        <v>0</v>
      </c>
      <c r="BC398" s="52" t="n">
        <v>0</v>
      </c>
      <c r="BD398" s="53" t="n">
        <v>0</v>
      </c>
      <c r="BE398" s="52" t="n">
        <v>0</v>
      </c>
      <c r="BF398" s="51" t="n">
        <v>0</v>
      </c>
    </row>
    <row r="399">
      <c r="A399">
        <f>HYPERLINK("https://www.walmart.com/ip/6108672448", "6108672448")</f>
        <v/>
      </c>
      <c r="B399" t="inlineStr">
        <is>
          <t>Catalonia Cooling Blanket for Hot Sleepers, Summer Bed Blanket for Warm Night Sweat, Cool Sofa Throw Blanket for Hot Flashes, Soft Thin Lightweight Blanket for Adults Kids</t>
        </is>
      </c>
      <c r="C399" t="inlineStr">
        <is>
          <t>1CTBQ10157BL</t>
        </is>
      </c>
      <c r="D399" t="inlineStr">
        <is>
          <t>Throws</t>
        </is>
      </c>
      <c r="E399" t="inlineStr">
        <is>
          <t>Catalonia</t>
        </is>
      </c>
      <c r="G399" s="48" t="n">
        <v>0</v>
      </c>
      <c r="H399" s="49" t="n">
        <v>0</v>
      </c>
      <c r="I399" s="49" t="n">
        <v>0</v>
      </c>
      <c r="J399" s="50" t="n">
        <v>0</v>
      </c>
      <c r="K399" s="51" t="n">
        <v>0</v>
      </c>
      <c r="L399" s="52" t="n">
        <v>0</v>
      </c>
      <c r="M399" s="52" t="n">
        <v>0</v>
      </c>
      <c r="N399" s="52" t="n">
        <v>0</v>
      </c>
      <c r="O399" s="53" t="n">
        <v>0</v>
      </c>
      <c r="P399" s="52" t="n">
        <v>0</v>
      </c>
      <c r="Q399" s="53" t="n">
        <v>0</v>
      </c>
      <c r="R399" s="52" t="n">
        <v>0</v>
      </c>
      <c r="S399" s="51" t="n">
        <v>0</v>
      </c>
      <c r="T399" s="48" t="n">
        <v>0</v>
      </c>
      <c r="U399" s="49" t="n">
        <v>0</v>
      </c>
      <c r="V399" s="49" t="n">
        <v>0</v>
      </c>
      <c r="W399" s="50" t="n">
        <v>0</v>
      </c>
      <c r="X399" s="51" t="n">
        <v>0</v>
      </c>
      <c r="Y399" s="52" t="n">
        <v>0</v>
      </c>
      <c r="Z399" s="52" t="n">
        <v>0</v>
      </c>
      <c r="AA399" s="52" t="n">
        <v>0</v>
      </c>
      <c r="AB399" s="53" t="n">
        <v>0</v>
      </c>
      <c r="AC399" s="52" t="n">
        <v>0</v>
      </c>
      <c r="AD399" s="53" t="n">
        <v>0</v>
      </c>
      <c r="AE399" s="52" t="n">
        <v>0</v>
      </c>
      <c r="AF399" s="51" t="n">
        <v>0</v>
      </c>
      <c r="AG399" s="48" t="n">
        <v>0</v>
      </c>
      <c r="AH399" s="49" t="n">
        <v>0</v>
      </c>
      <c r="AI399" s="49" t="n">
        <v>0</v>
      </c>
      <c r="AJ399" s="50" t="n">
        <v>0</v>
      </c>
      <c r="AK399" s="51" t="n">
        <v>0</v>
      </c>
      <c r="AL399" s="52" t="n">
        <v>0</v>
      </c>
      <c r="AM399" s="52" t="n">
        <v>0</v>
      </c>
      <c r="AN399" s="52" t="n">
        <v>0</v>
      </c>
      <c r="AO399" s="53" t="n">
        <v>0</v>
      </c>
      <c r="AP399" s="52" t="n">
        <v>0</v>
      </c>
      <c r="AQ399" s="53" t="n">
        <v>0</v>
      </c>
      <c r="AR399" s="52" t="n">
        <v>0</v>
      </c>
      <c r="AS399" s="51" t="n">
        <v>0</v>
      </c>
      <c r="AT399" s="48" t="n">
        <v>0</v>
      </c>
      <c r="AU399" s="49" t="n">
        <v>0</v>
      </c>
      <c r="AV399" s="49" t="n">
        <v>0</v>
      </c>
      <c r="AW399" s="50" t="n">
        <v>0</v>
      </c>
      <c r="AX399" s="51" t="n">
        <v>0</v>
      </c>
      <c r="AY399" s="52" t="n">
        <v>0</v>
      </c>
      <c r="AZ399" s="52" t="n">
        <v>0</v>
      </c>
      <c r="BA399" s="52" t="n">
        <v>0</v>
      </c>
      <c r="BB399" s="53" t="n">
        <v>0</v>
      </c>
      <c r="BC399" s="52" t="n">
        <v>0</v>
      </c>
      <c r="BD399" s="53" t="n">
        <v>0</v>
      </c>
      <c r="BE399" s="52" t="n">
        <v>0</v>
      </c>
      <c r="BF399" s="51" t="n">
        <v>0</v>
      </c>
    </row>
    <row r="400">
      <c r="A400">
        <f>HYPERLINK("https://www.walmart.com/ip/6108672454", "6108672454")</f>
        <v/>
      </c>
      <c r="B400" t="inlineStr">
        <is>
          <t>Catalonia Cooling Blanket for Hot Sleepers, Summer Bed Blanket for Warm Night Sweat, Cool Sofa Throw Blanket for Hot Flashes, Soft Thin Lightweight Blanket for Adults Kids</t>
        </is>
      </c>
      <c r="C400" t="inlineStr">
        <is>
          <t>1CTBQ10199BL</t>
        </is>
      </c>
      <c r="D400" t="inlineStr">
        <is>
          <t>Throws</t>
        </is>
      </c>
      <c r="E400" t="inlineStr">
        <is>
          <t>Catalonia</t>
        </is>
      </c>
      <c r="G400" s="48" t="n">
        <v>0</v>
      </c>
      <c r="H400" s="49" t="n">
        <v>0</v>
      </c>
      <c r="I400" s="49" t="n">
        <v>0</v>
      </c>
      <c r="J400" s="50" t="n">
        <v>0</v>
      </c>
      <c r="K400" s="51" t="n">
        <v>0</v>
      </c>
      <c r="L400" s="52" t="n">
        <v>0</v>
      </c>
      <c r="M400" s="52" t="n">
        <v>0</v>
      </c>
      <c r="N400" s="52" t="n">
        <v>0</v>
      </c>
      <c r="O400" s="53" t="n">
        <v>0</v>
      </c>
      <c r="P400" s="52" t="n">
        <v>0</v>
      </c>
      <c r="Q400" s="53" t="n">
        <v>0</v>
      </c>
      <c r="R400" s="52" t="n">
        <v>0</v>
      </c>
      <c r="S400" s="51" t="n">
        <v>0</v>
      </c>
      <c r="T400" s="48" t="n">
        <v>0</v>
      </c>
      <c r="U400" s="49" t="n">
        <v>0</v>
      </c>
      <c r="V400" s="49" t="n">
        <v>0</v>
      </c>
      <c r="W400" s="50" t="n">
        <v>0</v>
      </c>
      <c r="X400" s="51" t="n">
        <v>0</v>
      </c>
      <c r="Y400" s="52" t="n">
        <v>0</v>
      </c>
      <c r="Z400" s="52" t="n">
        <v>0</v>
      </c>
      <c r="AA400" s="52" t="n">
        <v>0</v>
      </c>
      <c r="AB400" s="53" t="n">
        <v>0</v>
      </c>
      <c r="AC400" s="52" t="n">
        <v>0</v>
      </c>
      <c r="AD400" s="53" t="n">
        <v>0</v>
      </c>
      <c r="AE400" s="52" t="n">
        <v>0</v>
      </c>
      <c r="AF400" s="51" t="n">
        <v>0</v>
      </c>
      <c r="AG400" s="48" t="n">
        <v>0</v>
      </c>
      <c r="AH400" s="49" t="n">
        <v>0</v>
      </c>
      <c r="AI400" s="49" t="n">
        <v>0</v>
      </c>
      <c r="AJ400" s="50" t="n">
        <v>0</v>
      </c>
      <c r="AK400" s="51" t="n">
        <v>0</v>
      </c>
      <c r="AL400" s="52" t="n">
        <v>0</v>
      </c>
      <c r="AM400" s="52" t="n">
        <v>0</v>
      </c>
      <c r="AN400" s="52" t="n">
        <v>0</v>
      </c>
      <c r="AO400" s="53" t="n">
        <v>0</v>
      </c>
      <c r="AP400" s="52" t="n">
        <v>0</v>
      </c>
      <c r="AQ400" s="53" t="n">
        <v>0</v>
      </c>
      <c r="AR400" s="52" t="n">
        <v>0</v>
      </c>
      <c r="AS400" s="51" t="n">
        <v>0</v>
      </c>
      <c r="AT400" s="48" t="n">
        <v>0</v>
      </c>
      <c r="AU400" s="49" t="n">
        <v>0</v>
      </c>
      <c r="AV400" s="49" t="n">
        <v>0</v>
      </c>
      <c r="AW400" s="50" t="n">
        <v>0</v>
      </c>
      <c r="AX400" s="51" t="n">
        <v>0</v>
      </c>
      <c r="AY400" s="52" t="n">
        <v>0</v>
      </c>
      <c r="AZ400" s="52" t="n">
        <v>0</v>
      </c>
      <c r="BA400" s="52" t="n">
        <v>0</v>
      </c>
      <c r="BB400" s="53" t="n">
        <v>0</v>
      </c>
      <c r="BC400" s="52" t="n">
        <v>0</v>
      </c>
      <c r="BD400" s="53" t="n">
        <v>0</v>
      </c>
      <c r="BE400" s="52" t="n">
        <v>0</v>
      </c>
      <c r="BF400" s="51" t="n">
        <v>0</v>
      </c>
    </row>
    <row r="401">
      <c r="A401">
        <f>HYPERLINK("https://www.walmart.com/ip/571512638", "571512638")</f>
        <v/>
      </c>
      <c r="B401" t="inlineStr">
        <is>
          <t>Oversized Hooded Poncho Cape, Casual Hoodie Sweatshirt, Batwing Coat Pullover | Light Weight, Cozy, Comfortable, Roomy | for Adults Women Men Teens</t>
        </is>
      </c>
      <c r="C401" t="inlineStr">
        <is>
          <t>1CTHD542BL</t>
        </is>
      </c>
      <c r="D401" t="inlineStr">
        <is>
          <t>Sweatshirts &amp; Hoodies</t>
        </is>
      </c>
      <c r="E401" t="inlineStr">
        <is>
          <t>Catalonia</t>
        </is>
      </c>
      <c r="F401" t="inlineStr">
        <is>
          <t>Hoodie ForAdult,Optimized</t>
        </is>
      </c>
      <c r="G401" s="48" t="n">
        <v>0</v>
      </c>
      <c r="H401" s="49" t="n">
        <v>0</v>
      </c>
      <c r="I401" s="49" t="n">
        <v>0</v>
      </c>
      <c r="J401" s="50" t="n">
        <v>0</v>
      </c>
      <c r="K401" s="51" t="n">
        <v>0</v>
      </c>
      <c r="L401" s="52" t="n">
        <v>0</v>
      </c>
      <c r="M401" s="52" t="n">
        <v>0</v>
      </c>
      <c r="N401" s="52" t="n">
        <v>0</v>
      </c>
      <c r="O401" s="53" t="n">
        <v>0</v>
      </c>
      <c r="P401" s="52" t="n">
        <v>0</v>
      </c>
      <c r="Q401" s="53" t="n">
        <v>0</v>
      </c>
      <c r="R401" s="52" t="n">
        <v>0</v>
      </c>
      <c r="S401" s="51" t="n">
        <v>0</v>
      </c>
      <c r="T401" s="48" t="n">
        <v>0</v>
      </c>
      <c r="U401" s="49" t="n">
        <v>0</v>
      </c>
      <c r="V401" s="49" t="n">
        <v>0</v>
      </c>
      <c r="W401" s="50" t="n">
        <v>0</v>
      </c>
      <c r="X401" s="51" t="n">
        <v>0</v>
      </c>
      <c r="Y401" s="52" t="n">
        <v>0</v>
      </c>
      <c r="Z401" s="52" t="n">
        <v>0</v>
      </c>
      <c r="AA401" s="52" t="n">
        <v>0</v>
      </c>
      <c r="AB401" s="53" t="n">
        <v>0</v>
      </c>
      <c r="AC401" s="52" t="n">
        <v>0</v>
      </c>
      <c r="AD401" s="53" t="n">
        <v>0</v>
      </c>
      <c r="AE401" s="52" t="n">
        <v>0</v>
      </c>
      <c r="AF401" s="51" t="n">
        <v>0</v>
      </c>
      <c r="AG401" s="48" t="n">
        <v>0</v>
      </c>
      <c r="AH401" s="49" t="n">
        <v>0</v>
      </c>
      <c r="AI401" s="49" t="n">
        <v>0</v>
      </c>
      <c r="AJ401" s="50" t="n">
        <v>0</v>
      </c>
      <c r="AK401" s="51" t="n">
        <v>0</v>
      </c>
      <c r="AL401" s="52" t="n">
        <v>0</v>
      </c>
      <c r="AM401" s="52" t="n">
        <v>0</v>
      </c>
      <c r="AN401" s="52" t="n">
        <v>0</v>
      </c>
      <c r="AO401" s="53" t="n">
        <v>0</v>
      </c>
      <c r="AP401" s="52" t="n">
        <v>0</v>
      </c>
      <c r="AQ401" s="53" t="n">
        <v>0</v>
      </c>
      <c r="AR401" s="52" t="n">
        <v>0</v>
      </c>
      <c r="AS401" s="51" t="n">
        <v>0</v>
      </c>
      <c r="AT401" s="48" t="n">
        <v>0</v>
      </c>
      <c r="AU401" s="49" t="n">
        <v>0</v>
      </c>
      <c r="AV401" s="49" t="n">
        <v>0</v>
      </c>
      <c r="AW401" s="50" t="n">
        <v>0</v>
      </c>
      <c r="AX401" s="51" t="n">
        <v>0</v>
      </c>
      <c r="AY401" s="52" t="n">
        <v>0</v>
      </c>
      <c r="AZ401" s="52" t="n">
        <v>0</v>
      </c>
      <c r="BA401" s="52" t="n">
        <v>0</v>
      </c>
      <c r="BB401" s="53" t="n">
        <v>0</v>
      </c>
      <c r="BC401" s="52" t="n">
        <v>0</v>
      </c>
      <c r="BD401" s="53" t="n">
        <v>0</v>
      </c>
      <c r="BE401" s="52" t="n">
        <v>0</v>
      </c>
      <c r="BF401" s="51" t="n">
        <v>0</v>
      </c>
    </row>
    <row r="402">
      <c r="A402">
        <f>HYPERLINK("https://www.walmart.com/ip/-", "-")</f>
        <v/>
      </c>
      <c r="B402" t="inlineStr">
        <is>
          <t>Tirrinia Outdoors Waterproof Throw Blanket, 51x 59 Sherpa Fleece Stadium Windproof Mat for Travel, Navy Blue</t>
        </is>
      </c>
      <c r="C402" t="inlineStr">
        <is>
          <t>1TRBW506NYGY-CDGM</t>
        </is>
      </c>
      <c r="G402" s="48" t="n">
        <v>0</v>
      </c>
      <c r="H402" s="49" t="n">
        <v>0</v>
      </c>
      <c r="I402" s="49" t="n">
        <v>0</v>
      </c>
      <c r="J402" s="50" t="n">
        <v>0</v>
      </c>
      <c r="K402" s="51" t="n">
        <v>0</v>
      </c>
      <c r="L402" s="52" t="n">
        <v>0</v>
      </c>
      <c r="M402" s="52" t="n">
        <v>0</v>
      </c>
      <c r="N402" s="52" t="n">
        <v>0</v>
      </c>
      <c r="O402" s="53" t="n">
        <v>0</v>
      </c>
      <c r="P402" s="52" t="n">
        <v>0</v>
      </c>
      <c r="Q402" s="53" t="n">
        <v>0</v>
      </c>
      <c r="R402" s="52" t="n">
        <v>0</v>
      </c>
      <c r="S402" s="51" t="n">
        <v>0</v>
      </c>
      <c r="T402" s="48" t="n">
        <v>0</v>
      </c>
      <c r="U402" s="49" t="n">
        <v>0</v>
      </c>
      <c r="V402" s="49" t="n">
        <v>0</v>
      </c>
      <c r="W402" s="50" t="n">
        <v>0</v>
      </c>
      <c r="X402" s="51" t="n">
        <v>0</v>
      </c>
      <c r="Y402" s="52" t="n">
        <v>0</v>
      </c>
      <c r="Z402" s="52" t="n">
        <v>0</v>
      </c>
      <c r="AA402" s="52" t="n">
        <v>0</v>
      </c>
      <c r="AB402" s="53" t="n">
        <v>0</v>
      </c>
      <c r="AC402" s="52" t="n">
        <v>0</v>
      </c>
      <c r="AD402" s="53" t="n">
        <v>0</v>
      </c>
      <c r="AE402" s="52" t="n">
        <v>0</v>
      </c>
      <c r="AF402" s="51" t="n">
        <v>0</v>
      </c>
      <c r="AG402" s="48" t="n">
        <v>0</v>
      </c>
      <c r="AH402" s="49" t="n">
        <v>0</v>
      </c>
      <c r="AI402" s="49" t="n">
        <v>0</v>
      </c>
      <c r="AJ402" s="50" t="n">
        <v>0</v>
      </c>
      <c r="AK402" s="51" t="n">
        <v>0</v>
      </c>
      <c r="AL402" s="52" t="n">
        <v>0</v>
      </c>
      <c r="AM402" s="52" t="n">
        <v>0</v>
      </c>
      <c r="AN402" s="52" t="n">
        <v>0</v>
      </c>
      <c r="AO402" s="53" t="n">
        <v>0</v>
      </c>
      <c r="AP402" s="52" t="n">
        <v>0</v>
      </c>
      <c r="AQ402" s="53" t="n">
        <v>0</v>
      </c>
      <c r="AR402" s="52" t="n">
        <v>0</v>
      </c>
      <c r="AS402" s="51" t="n">
        <v>0</v>
      </c>
      <c r="AT402" s="48" t="n">
        <v>0</v>
      </c>
      <c r="AU402" s="49" t="n">
        <v>0</v>
      </c>
      <c r="AV402" s="49" t="n">
        <v>0</v>
      </c>
      <c r="AW402" s="50" t="n">
        <v>0</v>
      </c>
      <c r="AX402" s="51" t="n">
        <v>0</v>
      </c>
      <c r="AY402" s="52" t="n">
        <v>0</v>
      </c>
      <c r="AZ402" s="52" t="n">
        <v>0</v>
      </c>
      <c r="BA402" s="52" t="n">
        <v>0</v>
      </c>
      <c r="BB402" s="53" t="n">
        <v>0</v>
      </c>
      <c r="BC402" s="52" t="n">
        <v>0</v>
      </c>
      <c r="BD402" s="53" t="n">
        <v>0</v>
      </c>
      <c r="BE402" s="52" t="n">
        <v>0</v>
      </c>
      <c r="BF402" s="51" t="n">
        <v>0</v>
      </c>
    </row>
    <row r="403">
      <c r="A403">
        <f>HYPERLINK("https://www.walmart.com/ip/518895262", "518895262")</f>
        <v/>
      </c>
      <c r="B403" t="inlineStr">
        <is>
          <t>Women's Sherpa Bathrobe, Soft Warm Fleece Long Robe, Shawl Collar, Comfy, Full Length</t>
        </is>
      </c>
      <c r="C403" t="inlineStr">
        <is>
          <t>1CTRB510BL-01</t>
        </is>
      </c>
      <c r="D403" t="inlineStr">
        <is>
          <t>Sleepwear Robes &amp; Bathrobes</t>
        </is>
      </c>
      <c r="E403" t="inlineStr">
        <is>
          <t>Catalonia</t>
        </is>
      </c>
      <c r="F403" t="inlineStr">
        <is>
          <t>WFS,Bathrobe,WFS Item</t>
        </is>
      </c>
      <c r="G403" s="48" t="n">
        <v>0</v>
      </c>
      <c r="H403" s="49" t="n">
        <v>0</v>
      </c>
      <c r="I403" s="49" t="n">
        <v>0</v>
      </c>
      <c r="J403" s="50" t="n">
        <v>0</v>
      </c>
      <c r="K403" s="51" t="n">
        <v>0</v>
      </c>
      <c r="L403" s="52" t="n">
        <v>0</v>
      </c>
      <c r="M403" s="52" t="n">
        <v>0</v>
      </c>
      <c r="N403" s="52" t="n">
        <v>0</v>
      </c>
      <c r="O403" s="53" t="n">
        <v>0</v>
      </c>
      <c r="P403" s="52" t="n">
        <v>0</v>
      </c>
      <c r="Q403" s="53" t="n">
        <v>0</v>
      </c>
      <c r="R403" s="52" t="n">
        <v>0</v>
      </c>
      <c r="S403" s="51" t="n">
        <v>0</v>
      </c>
      <c r="T403" s="48" t="n">
        <v>0</v>
      </c>
      <c r="U403" s="49" t="n">
        <v>0</v>
      </c>
      <c r="V403" s="49" t="n">
        <v>0</v>
      </c>
      <c r="W403" s="50" t="n">
        <v>0</v>
      </c>
      <c r="X403" s="51" t="n">
        <v>0</v>
      </c>
      <c r="Y403" s="52" t="n">
        <v>0</v>
      </c>
      <c r="Z403" s="52" t="n">
        <v>0</v>
      </c>
      <c r="AA403" s="52" t="n">
        <v>0</v>
      </c>
      <c r="AB403" s="53" t="n">
        <v>0</v>
      </c>
      <c r="AC403" s="52" t="n">
        <v>0</v>
      </c>
      <c r="AD403" s="53" t="n">
        <v>0</v>
      </c>
      <c r="AE403" s="52" t="n">
        <v>0</v>
      </c>
      <c r="AF403" s="51" t="n">
        <v>0</v>
      </c>
      <c r="AG403" s="48" t="n">
        <v>0</v>
      </c>
      <c r="AH403" s="49" t="n">
        <v>0</v>
      </c>
      <c r="AI403" s="49" t="n">
        <v>0</v>
      </c>
      <c r="AJ403" s="50" t="n">
        <v>0</v>
      </c>
      <c r="AK403" s="51" t="n">
        <v>0</v>
      </c>
      <c r="AL403" s="52" t="n">
        <v>0</v>
      </c>
      <c r="AM403" s="52" t="n">
        <v>0</v>
      </c>
      <c r="AN403" s="52" t="n">
        <v>0</v>
      </c>
      <c r="AO403" s="53" t="n">
        <v>0</v>
      </c>
      <c r="AP403" s="52" t="n">
        <v>0</v>
      </c>
      <c r="AQ403" s="53" t="n">
        <v>0</v>
      </c>
      <c r="AR403" s="52" t="n">
        <v>0</v>
      </c>
      <c r="AS403" s="51" t="n">
        <v>0</v>
      </c>
      <c r="AT403" s="48" t="n">
        <v>0</v>
      </c>
      <c r="AU403" s="49" t="n">
        <v>0</v>
      </c>
      <c r="AV403" s="49" t="n">
        <v>0</v>
      </c>
      <c r="AW403" s="50" t="n">
        <v>0</v>
      </c>
      <c r="AX403" s="51" t="n">
        <v>0</v>
      </c>
      <c r="AY403" s="52" t="n">
        <v>0</v>
      </c>
      <c r="AZ403" s="52" t="n">
        <v>0</v>
      </c>
      <c r="BA403" s="52" t="n">
        <v>0</v>
      </c>
      <c r="BB403" s="53" t="n">
        <v>0</v>
      </c>
      <c r="BC403" s="52" t="n">
        <v>0</v>
      </c>
      <c r="BD403" s="53" t="n">
        <v>0</v>
      </c>
      <c r="BE403" s="52" t="n">
        <v>0</v>
      </c>
      <c r="BF403" s="51" t="n">
        <v>0</v>
      </c>
    </row>
    <row r="404">
      <c r="A404">
        <f>HYPERLINK("https://www.walmart.com/ip/535105838", "535105838")</f>
        <v/>
      </c>
      <c r="B404" t="inlineStr">
        <is>
          <t>Explorer® 17"x 9" x11" Multicam Military Tactical MOLLE Backpack B3-ML</t>
        </is>
      </c>
      <c r="C404" t="inlineStr">
        <is>
          <t>EXPLORER-B3-ML</t>
        </is>
      </c>
      <c r="D404" t="inlineStr">
        <is>
          <t>Backpacking Backpacks</t>
        </is>
      </c>
      <c r="E404" t="inlineStr">
        <is>
          <t>Explorer</t>
        </is>
      </c>
      <c r="G404" s="48" t="n">
        <v>0</v>
      </c>
      <c r="H404" s="49" t="n">
        <v>0</v>
      </c>
      <c r="I404" s="49" t="n">
        <v>0</v>
      </c>
      <c r="J404" s="50" t="n">
        <v>0</v>
      </c>
      <c r="K404" s="51" t="n">
        <v>0</v>
      </c>
      <c r="L404" s="52" t="n">
        <v>0</v>
      </c>
      <c r="M404" s="52" t="n">
        <v>0</v>
      </c>
      <c r="N404" s="52" t="n">
        <v>0</v>
      </c>
      <c r="O404" s="53" t="n">
        <v>0</v>
      </c>
      <c r="P404" s="52" t="n">
        <v>0</v>
      </c>
      <c r="Q404" s="53" t="n">
        <v>0</v>
      </c>
      <c r="R404" s="52" t="n">
        <v>0</v>
      </c>
      <c r="S404" s="51" t="n">
        <v>0</v>
      </c>
      <c r="T404" s="48" t="n">
        <v>0</v>
      </c>
      <c r="U404" s="49" t="n">
        <v>0</v>
      </c>
      <c r="V404" s="49" t="n">
        <v>0</v>
      </c>
      <c r="W404" s="50" t="n">
        <v>0</v>
      </c>
      <c r="X404" s="51" t="n">
        <v>0</v>
      </c>
      <c r="Y404" s="52" t="n">
        <v>0</v>
      </c>
      <c r="Z404" s="52" t="n">
        <v>0</v>
      </c>
      <c r="AA404" s="52" t="n">
        <v>0</v>
      </c>
      <c r="AB404" s="53" t="n">
        <v>0</v>
      </c>
      <c r="AC404" s="52" t="n">
        <v>0</v>
      </c>
      <c r="AD404" s="53" t="n">
        <v>0</v>
      </c>
      <c r="AE404" s="52" t="n">
        <v>0</v>
      </c>
      <c r="AF404" s="51" t="n">
        <v>0</v>
      </c>
      <c r="AG404" s="48" t="n">
        <v>0</v>
      </c>
      <c r="AH404" s="49" t="n">
        <v>0</v>
      </c>
      <c r="AI404" s="49" t="n">
        <v>0</v>
      </c>
      <c r="AJ404" s="50" t="n">
        <v>0</v>
      </c>
      <c r="AK404" s="51" t="n">
        <v>0</v>
      </c>
      <c r="AL404" s="52" t="n">
        <v>0</v>
      </c>
      <c r="AM404" s="52" t="n">
        <v>0</v>
      </c>
      <c r="AN404" s="52" t="n">
        <v>0</v>
      </c>
      <c r="AO404" s="53" t="n">
        <v>0</v>
      </c>
      <c r="AP404" s="52" t="n">
        <v>0</v>
      </c>
      <c r="AQ404" s="53" t="n">
        <v>0</v>
      </c>
      <c r="AR404" s="52" t="n">
        <v>0</v>
      </c>
      <c r="AS404" s="51" t="n">
        <v>0</v>
      </c>
      <c r="AT404" s="48" t="n">
        <v>0</v>
      </c>
      <c r="AU404" s="49" t="n">
        <v>0</v>
      </c>
      <c r="AV404" s="49" t="n">
        <v>0</v>
      </c>
      <c r="AW404" s="50" t="n">
        <v>0</v>
      </c>
      <c r="AX404" s="51" t="n">
        <v>0</v>
      </c>
      <c r="AY404" s="52" t="n">
        <v>0</v>
      </c>
      <c r="AZ404" s="52" t="n">
        <v>0</v>
      </c>
      <c r="BA404" s="52" t="n">
        <v>0</v>
      </c>
      <c r="BB404" s="53" t="n">
        <v>0</v>
      </c>
      <c r="BC404" s="52" t="n">
        <v>0</v>
      </c>
      <c r="BD404" s="53" t="n">
        <v>0</v>
      </c>
      <c r="BE404" s="52" t="n">
        <v>0</v>
      </c>
      <c r="BF404" s="51" t="n">
        <v>0</v>
      </c>
    </row>
    <row r="405">
      <c r="A405">
        <f>HYPERLINK("https://www.walmart.com/ip/441047812", "441047812")</f>
        <v/>
      </c>
      <c r="B405" t="inlineStr">
        <is>
          <t>Oversized Hoodie Blanket Sweatshirt Sherpa</t>
        </is>
      </c>
      <c r="C405" t="inlineStr">
        <is>
          <t>1CTOSH400CAT-BK</t>
        </is>
      </c>
      <c r="D405" t="inlineStr">
        <is>
          <t>Sweatshirts &amp; Hoodies</t>
        </is>
      </c>
      <c r="E405" t="inlineStr">
        <is>
          <t>Catalonia</t>
        </is>
      </c>
      <c r="F405" t="inlineStr">
        <is>
          <t>Hoodie ForAdult,Optimized</t>
        </is>
      </c>
      <c r="G405" s="48" t="n">
        <v>0</v>
      </c>
      <c r="H405" s="49" t="n">
        <v>0</v>
      </c>
      <c r="I405" s="49" t="n">
        <v>0</v>
      </c>
      <c r="J405" s="50" t="n">
        <v>0</v>
      </c>
      <c r="K405" s="51" t="n">
        <v>0</v>
      </c>
      <c r="L405" s="52" t="n">
        <v>0</v>
      </c>
      <c r="M405" s="52" t="n">
        <v>0</v>
      </c>
      <c r="N405" s="52" t="n">
        <v>0</v>
      </c>
      <c r="O405" s="53" t="n">
        <v>0</v>
      </c>
      <c r="P405" s="52" t="n">
        <v>0</v>
      </c>
      <c r="Q405" s="53" t="n">
        <v>0</v>
      </c>
      <c r="R405" s="52" t="n">
        <v>0</v>
      </c>
      <c r="S405" s="51" t="n">
        <v>0</v>
      </c>
      <c r="T405" s="48" t="n">
        <v>0</v>
      </c>
      <c r="U405" s="49" t="n">
        <v>0</v>
      </c>
      <c r="V405" s="49" t="n">
        <v>0</v>
      </c>
      <c r="W405" s="50" t="n">
        <v>0</v>
      </c>
      <c r="X405" s="51" t="n">
        <v>0</v>
      </c>
      <c r="Y405" s="52" t="n">
        <v>0</v>
      </c>
      <c r="Z405" s="52" t="n">
        <v>0</v>
      </c>
      <c r="AA405" s="52" t="n">
        <v>0</v>
      </c>
      <c r="AB405" s="53" t="n">
        <v>0</v>
      </c>
      <c r="AC405" s="52" t="n">
        <v>0</v>
      </c>
      <c r="AD405" s="53" t="n">
        <v>0</v>
      </c>
      <c r="AE405" s="52" t="n">
        <v>0</v>
      </c>
      <c r="AF405" s="51" t="n">
        <v>0</v>
      </c>
      <c r="AG405" s="48" t="n">
        <v>0</v>
      </c>
      <c r="AH405" s="49" t="n">
        <v>0</v>
      </c>
      <c r="AI405" s="49" t="n">
        <v>0</v>
      </c>
      <c r="AJ405" s="50" t="n">
        <v>0</v>
      </c>
      <c r="AK405" s="51" t="n">
        <v>0</v>
      </c>
      <c r="AL405" s="52" t="n">
        <v>0</v>
      </c>
      <c r="AM405" s="52" t="n">
        <v>0</v>
      </c>
      <c r="AN405" s="52" t="n">
        <v>0</v>
      </c>
      <c r="AO405" s="53" t="n">
        <v>0</v>
      </c>
      <c r="AP405" s="52" t="n">
        <v>0</v>
      </c>
      <c r="AQ405" s="53" t="n">
        <v>0</v>
      </c>
      <c r="AR405" s="52" t="n">
        <v>0</v>
      </c>
      <c r="AS405" s="51" t="n">
        <v>0</v>
      </c>
      <c r="AT405" s="48" t="n">
        <v>0</v>
      </c>
      <c r="AU405" s="49" t="n">
        <v>0</v>
      </c>
      <c r="AV405" s="49" t="n">
        <v>0</v>
      </c>
      <c r="AW405" s="50" t="n">
        <v>0</v>
      </c>
      <c r="AX405" s="51" t="n">
        <v>0</v>
      </c>
      <c r="AY405" s="52" t="n">
        <v>0</v>
      </c>
      <c r="AZ405" s="52" t="n">
        <v>0</v>
      </c>
      <c r="BA405" s="52" t="n">
        <v>0</v>
      </c>
      <c r="BB405" s="53" t="n">
        <v>0</v>
      </c>
      <c r="BC405" s="52" t="n">
        <v>0</v>
      </c>
      <c r="BD405" s="53" t="n">
        <v>0</v>
      </c>
      <c r="BE405" s="52" t="n">
        <v>0</v>
      </c>
      <c r="BF405" s="51" t="n">
        <v>0</v>
      </c>
    </row>
    <row r="406">
      <c r="A406">
        <f>HYPERLINK("https://www.walmart.com/ip/428818238", "428818238")</f>
        <v/>
      </c>
      <c r="B406" t="inlineStr">
        <is>
          <t>Tirrinia  Womens Wide Brim Bucket Hats UPF 50+ Outdoor Gardening Sun Caps Cream</t>
        </is>
      </c>
      <c r="C406" t="inlineStr">
        <is>
          <t>1TRSH189CM-TBCB</t>
        </is>
      </c>
      <c r="D406" t="inlineStr">
        <is>
          <t>Hats</t>
        </is>
      </c>
      <c r="E406" t="inlineStr">
        <is>
          <t>Tirrinia</t>
        </is>
      </c>
      <c r="F406" t="inlineStr">
        <is>
          <t>Hats,Batch 1 - TR</t>
        </is>
      </c>
      <c r="G406" s="48" t="n">
        <v>0</v>
      </c>
      <c r="H406" s="49" t="n">
        <v>0</v>
      </c>
      <c r="I406" s="49" t="n">
        <v>0</v>
      </c>
      <c r="J406" s="50" t="n">
        <v>0</v>
      </c>
      <c r="K406" s="51" t="n">
        <v>0</v>
      </c>
      <c r="L406" s="52" t="n">
        <v>0</v>
      </c>
      <c r="M406" s="52" t="n">
        <v>0</v>
      </c>
      <c r="N406" s="52" t="n">
        <v>0</v>
      </c>
      <c r="O406" s="53" t="n">
        <v>0</v>
      </c>
      <c r="P406" s="52" t="n">
        <v>0</v>
      </c>
      <c r="Q406" s="53" t="n">
        <v>0</v>
      </c>
      <c r="R406" s="52" t="n">
        <v>0</v>
      </c>
      <c r="S406" s="51" t="n">
        <v>0</v>
      </c>
      <c r="T406" s="48" t="n">
        <v>0</v>
      </c>
      <c r="U406" s="49" t="n">
        <v>0</v>
      </c>
      <c r="V406" s="49" t="n">
        <v>0</v>
      </c>
      <c r="W406" s="50" t="n">
        <v>0</v>
      </c>
      <c r="X406" s="51" t="n">
        <v>0</v>
      </c>
      <c r="Y406" s="52" t="n">
        <v>0</v>
      </c>
      <c r="Z406" s="52" t="n">
        <v>0</v>
      </c>
      <c r="AA406" s="52" t="n">
        <v>0</v>
      </c>
      <c r="AB406" s="53" t="n">
        <v>0</v>
      </c>
      <c r="AC406" s="52" t="n">
        <v>0</v>
      </c>
      <c r="AD406" s="53" t="n">
        <v>0</v>
      </c>
      <c r="AE406" s="52" t="n">
        <v>0</v>
      </c>
      <c r="AF406" s="51" t="n">
        <v>0</v>
      </c>
      <c r="AG406" s="48" t="n">
        <v>0</v>
      </c>
      <c r="AH406" s="49" t="n">
        <v>0</v>
      </c>
      <c r="AI406" s="49" t="n">
        <v>0</v>
      </c>
      <c r="AJ406" s="50" t="n">
        <v>0</v>
      </c>
      <c r="AK406" s="51" t="n">
        <v>0</v>
      </c>
      <c r="AL406" s="52" t="n">
        <v>0</v>
      </c>
      <c r="AM406" s="52" t="n">
        <v>0</v>
      </c>
      <c r="AN406" s="52" t="n">
        <v>0</v>
      </c>
      <c r="AO406" s="53" t="n">
        <v>0</v>
      </c>
      <c r="AP406" s="52" t="n">
        <v>0</v>
      </c>
      <c r="AQ406" s="53" t="n">
        <v>0</v>
      </c>
      <c r="AR406" s="52" t="n">
        <v>0</v>
      </c>
      <c r="AS406" s="51" t="n">
        <v>0</v>
      </c>
      <c r="AT406" s="48" t="n">
        <v>0</v>
      </c>
      <c r="AU406" s="49" t="n">
        <v>0</v>
      </c>
      <c r="AV406" s="49" t="n">
        <v>0</v>
      </c>
      <c r="AW406" s="50" t="n">
        <v>0</v>
      </c>
      <c r="AX406" s="51" t="n">
        <v>0</v>
      </c>
      <c r="AY406" s="52" t="n">
        <v>0</v>
      </c>
      <c r="AZ406" s="52" t="n">
        <v>0</v>
      </c>
      <c r="BA406" s="52" t="n">
        <v>0</v>
      </c>
      <c r="BB406" s="53" t="n">
        <v>0</v>
      </c>
      <c r="BC406" s="52" t="n">
        <v>0</v>
      </c>
      <c r="BD406" s="53" t="n">
        <v>0</v>
      </c>
      <c r="BE406" s="52" t="n">
        <v>0</v>
      </c>
      <c r="BF406" s="51" t="n">
        <v>0</v>
      </c>
    </row>
    <row r="407">
      <c r="A407">
        <f>HYPERLINK("https://www.walmart.com/ip/429298427", "429298427")</f>
        <v/>
      </c>
      <c r="B407" t="inlineStr">
        <is>
          <t>Tirrinia Super Soft Fluffy Hooded Robe Long Plush Fuzzy Bathrobe for Women with Hood Sherpa Lined, Machine Washable, Cheetah</t>
        </is>
      </c>
      <c r="C407" t="inlineStr">
        <is>
          <t>1TRRB100CHEETAH</t>
        </is>
      </c>
      <c r="D407" t="inlineStr">
        <is>
          <t>Sleepwear Robes &amp; Bathrobes</t>
        </is>
      </c>
      <c r="E407" t="inlineStr">
        <is>
          <t>Tirrinia</t>
        </is>
      </c>
      <c r="F407" t="inlineStr">
        <is>
          <t>WFS,Bathrobe,Coupon_Discount,WFS Item</t>
        </is>
      </c>
      <c r="G407" s="48" t="n">
        <v>0</v>
      </c>
      <c r="H407" s="49" t="n">
        <v>0</v>
      </c>
      <c r="I407" s="49" t="n">
        <v>0</v>
      </c>
      <c r="J407" s="50" t="n">
        <v>0</v>
      </c>
      <c r="K407" s="51" t="n">
        <v>0</v>
      </c>
      <c r="L407" s="52" t="n">
        <v>0</v>
      </c>
      <c r="M407" s="52" t="n">
        <v>0</v>
      </c>
      <c r="N407" s="52" t="n">
        <v>0</v>
      </c>
      <c r="O407" s="53" t="n">
        <v>0</v>
      </c>
      <c r="P407" s="52" t="n">
        <v>0</v>
      </c>
      <c r="Q407" s="53" t="n">
        <v>0</v>
      </c>
      <c r="R407" s="52" t="n">
        <v>0</v>
      </c>
      <c r="S407" s="51" t="n">
        <v>0</v>
      </c>
      <c r="T407" s="48" t="n">
        <v>0</v>
      </c>
      <c r="U407" s="49" t="n">
        <v>0</v>
      </c>
      <c r="V407" s="49" t="n">
        <v>0</v>
      </c>
      <c r="W407" s="50" t="n">
        <v>0</v>
      </c>
      <c r="X407" s="51" t="n">
        <v>0</v>
      </c>
      <c r="Y407" s="52" t="n">
        <v>0</v>
      </c>
      <c r="Z407" s="52" t="n">
        <v>0</v>
      </c>
      <c r="AA407" s="52" t="n">
        <v>0</v>
      </c>
      <c r="AB407" s="53" t="n">
        <v>0</v>
      </c>
      <c r="AC407" s="52" t="n">
        <v>0</v>
      </c>
      <c r="AD407" s="53" t="n">
        <v>0</v>
      </c>
      <c r="AE407" s="52" t="n">
        <v>0</v>
      </c>
      <c r="AF407" s="51" t="n">
        <v>0</v>
      </c>
      <c r="AG407" s="48" t="n">
        <v>0</v>
      </c>
      <c r="AH407" s="49" t="n">
        <v>0</v>
      </c>
      <c r="AI407" s="49" t="n">
        <v>0</v>
      </c>
      <c r="AJ407" s="50" t="n">
        <v>0</v>
      </c>
      <c r="AK407" s="51" t="n">
        <v>0</v>
      </c>
      <c r="AL407" s="52" t="n">
        <v>0</v>
      </c>
      <c r="AM407" s="52" t="n">
        <v>0</v>
      </c>
      <c r="AN407" s="52" t="n">
        <v>0</v>
      </c>
      <c r="AO407" s="53" t="n">
        <v>0</v>
      </c>
      <c r="AP407" s="52" t="n">
        <v>0</v>
      </c>
      <c r="AQ407" s="53" t="n">
        <v>0</v>
      </c>
      <c r="AR407" s="52" t="n">
        <v>0</v>
      </c>
      <c r="AS407" s="51" t="n">
        <v>0</v>
      </c>
      <c r="AT407" s="48" t="n">
        <v>0</v>
      </c>
      <c r="AU407" s="49" t="n">
        <v>0</v>
      </c>
      <c r="AV407" s="49" t="n">
        <v>0</v>
      </c>
      <c r="AW407" s="50" t="n">
        <v>0</v>
      </c>
      <c r="AX407" s="51" t="n">
        <v>0</v>
      </c>
      <c r="AY407" s="52" t="n">
        <v>0</v>
      </c>
      <c r="AZ407" s="52" t="n">
        <v>0</v>
      </c>
      <c r="BA407" s="52" t="n">
        <v>0</v>
      </c>
      <c r="BB407" s="53" t="n">
        <v>0</v>
      </c>
      <c r="BC407" s="52" t="n">
        <v>0</v>
      </c>
      <c r="BD407" s="53" t="n">
        <v>0</v>
      </c>
      <c r="BE407" s="52" t="n">
        <v>0</v>
      </c>
      <c r="BF407" s="51" t="n">
        <v>0</v>
      </c>
    </row>
    <row r="408">
      <c r="A408">
        <f>HYPERLINK("https://www.walmart.com/ip/429617165", "429617165")</f>
        <v/>
      </c>
      <c r="B408" t="inlineStr">
        <is>
          <t>Catalonia Sherpa Fleece Blanket for Bed, Super Soft Fleece Plush Sofa Couch Throw Blanket, TV Bed Blanket, Comfy Cozy Fluffy Warm Comforter, Caring Gift(Camel,60x80 inches)</t>
        </is>
      </c>
      <c r="C408" t="inlineStr">
        <is>
          <t>1CTBF368CA</t>
        </is>
      </c>
      <c r="D408" t="inlineStr">
        <is>
          <t>Throws</t>
        </is>
      </c>
      <c r="E408" t="inlineStr">
        <is>
          <t>Catalonia</t>
        </is>
      </c>
      <c r="F408" t="inlineStr">
        <is>
          <t>WFS,WFS Item,Fleece Blankets</t>
        </is>
      </c>
      <c r="G408" s="48" t="n">
        <v>0</v>
      </c>
      <c r="H408" s="49" t="n">
        <v>0</v>
      </c>
      <c r="I408" s="49" t="n">
        <v>0</v>
      </c>
      <c r="J408" s="50" t="n">
        <v>0</v>
      </c>
      <c r="K408" s="51" t="n">
        <v>13</v>
      </c>
      <c r="L408" s="52" t="n">
        <v>5.720000000000001</v>
      </c>
      <c r="M408" s="52" t="n">
        <v>24.99</v>
      </c>
      <c r="N408" s="52" t="n">
        <v>4.37</v>
      </c>
      <c r="O408" s="53" t="n">
        <v>0.0015</v>
      </c>
      <c r="P408" s="52" t="n">
        <v>0.4400000000000001</v>
      </c>
      <c r="Q408" s="53" t="n">
        <v>0</v>
      </c>
      <c r="R408" s="52" t="n">
        <v>0</v>
      </c>
      <c r="S408" s="51" t="n">
        <v>8497</v>
      </c>
      <c r="T408" s="48" t="n">
        <v>0</v>
      </c>
      <c r="U408" s="49" t="n">
        <v>0</v>
      </c>
      <c r="V408" s="49" t="n">
        <v>0</v>
      </c>
      <c r="W408" s="50" t="n">
        <v>0</v>
      </c>
      <c r="X408" s="51" t="n">
        <v>9</v>
      </c>
      <c r="Y408" s="52" t="n">
        <v>3.94</v>
      </c>
      <c r="Z408" s="52" t="n">
        <v>0</v>
      </c>
      <c r="AA408" s="52" t="n">
        <v>0</v>
      </c>
      <c r="AB408" s="53" t="n">
        <v>0.0012</v>
      </c>
      <c r="AC408" s="52" t="n">
        <v>0.4377777777777778</v>
      </c>
      <c r="AD408" s="53" t="n">
        <v>0</v>
      </c>
      <c r="AE408" s="52" t="n">
        <v>0</v>
      </c>
      <c r="AF408" s="51" t="n">
        <v>7592</v>
      </c>
      <c r="AG408" s="48" t="n">
        <v>0</v>
      </c>
      <c r="AH408" s="49" t="n">
        <v>0</v>
      </c>
      <c r="AI408" s="49" t="n">
        <v>0</v>
      </c>
      <c r="AJ408" s="50" t="n">
        <v>0</v>
      </c>
      <c r="AK408" s="51" t="n">
        <v>5</v>
      </c>
      <c r="AL408" s="52" t="n">
        <v>2.2</v>
      </c>
      <c r="AM408" s="52" t="n">
        <v>0</v>
      </c>
      <c r="AN408" s="52" t="n">
        <v>0</v>
      </c>
      <c r="AO408" s="53" t="n">
        <v>0.0008</v>
      </c>
      <c r="AP408" s="52" t="n">
        <v>0.4400000000000001</v>
      </c>
      <c r="AQ408" s="53" t="n">
        <v>0</v>
      </c>
      <c r="AR408" s="52" t="n">
        <v>0</v>
      </c>
      <c r="AS408" s="51" t="n">
        <v>6127</v>
      </c>
      <c r="AT408" s="48" t="n">
        <v>0</v>
      </c>
      <c r="AU408" s="49" t="n">
        <v>0</v>
      </c>
      <c r="AV408" s="49" t="n">
        <v>0</v>
      </c>
      <c r="AW408" s="50" t="n">
        <v>0</v>
      </c>
      <c r="AX408" s="51" t="n">
        <v>6</v>
      </c>
      <c r="AY408" s="52" t="n">
        <v>2.64</v>
      </c>
      <c r="AZ408" s="52" t="n">
        <v>21.99</v>
      </c>
      <c r="BA408" s="52" t="n">
        <v>8.33</v>
      </c>
      <c r="BB408" s="53" t="n">
        <v>0.001</v>
      </c>
      <c r="BC408" s="52" t="n">
        <v>0.44</v>
      </c>
      <c r="BD408" s="53" t="n">
        <v>0</v>
      </c>
      <c r="BE408" s="52" t="n">
        <v>0</v>
      </c>
      <c r="BF408" s="51" t="n">
        <v>5937</v>
      </c>
    </row>
    <row r="409">
      <c r="A409">
        <f>HYPERLINK("https://www.walmart.com/ip/429846144", "429846144")</f>
        <v/>
      </c>
      <c r="B409" t="inlineStr">
        <is>
          <t>Unisex Hunting Cap Orange Polyester Embroidery Animal Outdoor Wildlife Sport Cap</t>
        </is>
      </c>
      <c r="C409" t="inlineStr">
        <is>
          <t>KC Caps ht22</t>
        </is>
      </c>
      <c r="D409" t="inlineStr">
        <is>
          <t>Hats</t>
        </is>
      </c>
      <c r="E409" t="inlineStr">
        <is>
          <t>KC Caps</t>
        </is>
      </c>
      <c r="F409" t="inlineStr">
        <is>
          <t>Optimized</t>
        </is>
      </c>
      <c r="G409" s="48" t="n">
        <v>0</v>
      </c>
      <c r="H409" s="49" t="n">
        <v>0</v>
      </c>
      <c r="I409" s="49" t="n">
        <v>0</v>
      </c>
      <c r="J409" s="50" t="n">
        <v>0</v>
      </c>
      <c r="K409" s="51" t="n">
        <v>0</v>
      </c>
      <c r="L409" s="52" t="n">
        <v>0</v>
      </c>
      <c r="M409" s="52" t="n">
        <v>0</v>
      </c>
      <c r="N409" s="52" t="n">
        <v>0</v>
      </c>
      <c r="O409" s="53" t="n">
        <v>0</v>
      </c>
      <c r="P409" s="52" t="n">
        <v>0</v>
      </c>
      <c r="Q409" s="53" t="n">
        <v>0</v>
      </c>
      <c r="R409" s="52" t="n">
        <v>0</v>
      </c>
      <c r="S409" s="51" t="n">
        <v>0</v>
      </c>
      <c r="T409" s="48" t="n">
        <v>0</v>
      </c>
      <c r="U409" s="49" t="n">
        <v>0</v>
      </c>
      <c r="V409" s="49" t="n">
        <v>0</v>
      </c>
      <c r="W409" s="50" t="n">
        <v>0</v>
      </c>
      <c r="X409" s="51" t="n">
        <v>0</v>
      </c>
      <c r="Y409" s="52" t="n">
        <v>0</v>
      </c>
      <c r="Z409" s="52" t="n">
        <v>0</v>
      </c>
      <c r="AA409" s="52" t="n">
        <v>0</v>
      </c>
      <c r="AB409" s="53" t="n">
        <v>0</v>
      </c>
      <c r="AC409" s="52" t="n">
        <v>0</v>
      </c>
      <c r="AD409" s="53" t="n">
        <v>0</v>
      </c>
      <c r="AE409" s="52" t="n">
        <v>0</v>
      </c>
      <c r="AF409" s="51" t="n">
        <v>0</v>
      </c>
      <c r="AG409" s="48" t="n">
        <v>0</v>
      </c>
      <c r="AH409" s="49" t="n">
        <v>0</v>
      </c>
      <c r="AI409" s="49" t="n">
        <v>0</v>
      </c>
      <c r="AJ409" s="50" t="n">
        <v>0</v>
      </c>
      <c r="AK409" s="51" t="n">
        <v>0</v>
      </c>
      <c r="AL409" s="52" t="n">
        <v>0</v>
      </c>
      <c r="AM409" s="52" t="n">
        <v>0</v>
      </c>
      <c r="AN409" s="52" t="n">
        <v>0</v>
      </c>
      <c r="AO409" s="53" t="n">
        <v>0</v>
      </c>
      <c r="AP409" s="52" t="n">
        <v>0</v>
      </c>
      <c r="AQ409" s="53" t="n">
        <v>0</v>
      </c>
      <c r="AR409" s="52" t="n">
        <v>0</v>
      </c>
      <c r="AS409" s="51" t="n">
        <v>0</v>
      </c>
      <c r="AT409" s="48" t="n">
        <v>0</v>
      </c>
      <c r="AU409" s="49" t="n">
        <v>0</v>
      </c>
      <c r="AV409" s="49" t="n">
        <v>0</v>
      </c>
      <c r="AW409" s="50" t="n">
        <v>0</v>
      </c>
      <c r="AX409" s="51" t="n">
        <v>0</v>
      </c>
      <c r="AY409" s="52" t="n">
        <v>0</v>
      </c>
      <c r="AZ409" s="52" t="n">
        <v>0</v>
      </c>
      <c r="BA409" s="52" t="n">
        <v>0</v>
      </c>
      <c r="BB409" s="53" t="n">
        <v>0</v>
      </c>
      <c r="BC409" s="52" t="n">
        <v>0</v>
      </c>
      <c r="BD409" s="53" t="n">
        <v>0</v>
      </c>
      <c r="BE409" s="52" t="n">
        <v>0</v>
      </c>
      <c r="BF409" s="51" t="n">
        <v>0</v>
      </c>
    </row>
    <row r="410">
      <c r="A410">
        <f>HYPERLINK("https://www.walmart.com/ip/431339580", "431339580")</f>
        <v/>
      </c>
      <c r="B410" t="inlineStr">
        <is>
          <t>Catalonia Hooded Wearable Cape with Hood Blanket Poncho for Adult Women Men, Fleece Wrap | Warm, Soft, Cozy, Snuggly | Comfort Gift, No Sleeves</t>
        </is>
      </c>
      <c r="C410" t="inlineStr">
        <is>
          <t>1CTBP120PP</t>
        </is>
      </c>
      <c r="D410" t="inlineStr">
        <is>
          <t>Throws</t>
        </is>
      </c>
      <c r="E410" t="inlineStr">
        <is>
          <t>Catalonia</t>
        </is>
      </c>
      <c r="F410" t="inlineStr">
        <is>
          <t>Optimized,Hero 5 Holidays,WFS,WFS Item</t>
        </is>
      </c>
      <c r="G410" s="48" t="n">
        <v>0</v>
      </c>
      <c r="H410" s="49" t="n">
        <v>0</v>
      </c>
      <c r="I410" s="49" t="n">
        <v>15</v>
      </c>
      <c r="J410" s="50" t="n">
        <v>0</v>
      </c>
      <c r="K410" s="51" t="n">
        <v>0</v>
      </c>
      <c r="L410" s="52" t="n">
        <v>0</v>
      </c>
      <c r="M410" s="52" t="n">
        <v>0</v>
      </c>
      <c r="N410" s="52" t="n">
        <v>0</v>
      </c>
      <c r="O410" s="53" t="n">
        <v>0</v>
      </c>
      <c r="P410" s="52" t="n">
        <v>0</v>
      </c>
      <c r="Q410" s="53" t="n">
        <v>0</v>
      </c>
      <c r="R410" s="52" t="n">
        <v>0</v>
      </c>
      <c r="S410" s="51" t="n">
        <v>0</v>
      </c>
      <c r="T410" s="48" t="n">
        <v>25.99</v>
      </c>
      <c r="U410" s="49" t="n">
        <v>1</v>
      </c>
      <c r="V410" s="49" t="n">
        <v>12</v>
      </c>
      <c r="W410" s="50" t="n">
        <v>0.08333333333333333</v>
      </c>
      <c r="X410" s="51" t="n">
        <v>0</v>
      </c>
      <c r="Y410" s="52" t="n">
        <v>0</v>
      </c>
      <c r="Z410" s="52" t="n">
        <v>0</v>
      </c>
      <c r="AA410" s="52" t="n">
        <v>0</v>
      </c>
      <c r="AB410" s="53" t="n">
        <v>0</v>
      </c>
      <c r="AC410" s="52" t="n">
        <v>0</v>
      </c>
      <c r="AD410" s="53" t="n">
        <v>0</v>
      </c>
      <c r="AE410" s="52" t="n">
        <v>25.99</v>
      </c>
      <c r="AF410" s="51" t="n">
        <v>0</v>
      </c>
      <c r="AG410" s="48" t="n">
        <v>0</v>
      </c>
      <c r="AH410" s="49" t="n">
        <v>0</v>
      </c>
      <c r="AI410" s="49" t="n">
        <v>3</v>
      </c>
      <c r="AJ410" s="50" t="n">
        <v>0</v>
      </c>
      <c r="AK410" s="51" t="n">
        <v>0</v>
      </c>
      <c r="AL410" s="52" t="n">
        <v>0</v>
      </c>
      <c r="AM410" s="52" t="n">
        <v>0</v>
      </c>
      <c r="AN410" s="52" t="n">
        <v>0</v>
      </c>
      <c r="AO410" s="53" t="n">
        <v>0</v>
      </c>
      <c r="AP410" s="52" t="n">
        <v>0</v>
      </c>
      <c r="AQ410" s="53" t="n">
        <v>0</v>
      </c>
      <c r="AR410" s="52" t="n">
        <v>0</v>
      </c>
      <c r="AS410" s="51" t="n">
        <v>0</v>
      </c>
      <c r="AT410" s="48" t="n">
        <v>25.99</v>
      </c>
      <c r="AU410" s="49" t="n">
        <v>1</v>
      </c>
      <c r="AV410" s="49" t="n">
        <v>6</v>
      </c>
      <c r="AW410" s="50" t="n">
        <v>0.1666666666666667</v>
      </c>
      <c r="AX410" s="51" t="n">
        <v>0</v>
      </c>
      <c r="AY410" s="52" t="n">
        <v>0</v>
      </c>
      <c r="AZ410" s="52" t="n">
        <v>0</v>
      </c>
      <c r="BA410" s="52" t="n">
        <v>0</v>
      </c>
      <c r="BB410" s="53" t="n">
        <v>0</v>
      </c>
      <c r="BC410" s="52" t="n">
        <v>0</v>
      </c>
      <c r="BD410" s="53" t="n">
        <v>0</v>
      </c>
      <c r="BE410" s="52" t="n">
        <v>25.99</v>
      </c>
      <c r="BF410" s="51" t="n">
        <v>0</v>
      </c>
    </row>
    <row r="411">
      <c r="A411">
        <f>HYPERLINK("https://www.walmart.com/ip/431661217", "431661217")</f>
        <v/>
      </c>
      <c r="B411" t="inlineStr">
        <is>
          <t>Jennis Women's Sexy See-through Lingerie Lace Fishnet Suspender</t>
        </is>
      </c>
      <c r="C411" t="inlineStr">
        <is>
          <t>JWBD01BKPP-3XL</t>
        </is>
      </c>
      <c r="D411" t="inlineStr">
        <is>
          <t>Teddies &amp; Bodystockings</t>
        </is>
      </c>
      <c r="E411" t="inlineStr">
        <is>
          <t>Jennis</t>
        </is>
      </c>
      <c r="F411" t="inlineStr">
        <is>
          <t>Valentine</t>
        </is>
      </c>
      <c r="G411" s="48" t="n">
        <v>0</v>
      </c>
      <c r="H411" s="49" t="n">
        <v>0</v>
      </c>
      <c r="I411" s="49" t="n">
        <v>0</v>
      </c>
      <c r="J411" s="50" t="n">
        <v>0</v>
      </c>
      <c r="K411" s="51" t="n">
        <v>0</v>
      </c>
      <c r="L411" s="52" t="n">
        <v>0</v>
      </c>
      <c r="M411" s="52" t="n">
        <v>0</v>
      </c>
      <c r="N411" s="52" t="n">
        <v>0</v>
      </c>
      <c r="O411" s="53" t="n">
        <v>0</v>
      </c>
      <c r="P411" s="52" t="n">
        <v>0</v>
      </c>
      <c r="Q411" s="53" t="n">
        <v>0</v>
      </c>
      <c r="R411" s="52" t="n">
        <v>0</v>
      </c>
      <c r="S411" s="51" t="n">
        <v>0</v>
      </c>
      <c r="T411" s="48" t="n">
        <v>0</v>
      </c>
      <c r="U411" s="49" t="n">
        <v>0</v>
      </c>
      <c r="V411" s="49" t="n">
        <v>0</v>
      </c>
      <c r="W411" s="50" t="n">
        <v>0</v>
      </c>
      <c r="X411" s="51" t="n">
        <v>0</v>
      </c>
      <c r="Y411" s="52" t="n">
        <v>0</v>
      </c>
      <c r="Z411" s="52" t="n">
        <v>0</v>
      </c>
      <c r="AA411" s="52" t="n">
        <v>0</v>
      </c>
      <c r="AB411" s="53" t="n">
        <v>0</v>
      </c>
      <c r="AC411" s="52" t="n">
        <v>0</v>
      </c>
      <c r="AD411" s="53" t="n">
        <v>0</v>
      </c>
      <c r="AE411" s="52" t="n">
        <v>0</v>
      </c>
      <c r="AF411" s="51" t="n">
        <v>0</v>
      </c>
      <c r="AG411" s="48" t="n">
        <v>0</v>
      </c>
      <c r="AH411" s="49" t="n">
        <v>0</v>
      </c>
      <c r="AI411" s="49" t="n">
        <v>0</v>
      </c>
      <c r="AJ411" s="50" t="n">
        <v>0</v>
      </c>
      <c r="AK411" s="51" t="n">
        <v>0</v>
      </c>
      <c r="AL411" s="52" t="n">
        <v>0</v>
      </c>
      <c r="AM411" s="52" t="n">
        <v>0</v>
      </c>
      <c r="AN411" s="52" t="n">
        <v>0</v>
      </c>
      <c r="AO411" s="53" t="n">
        <v>0</v>
      </c>
      <c r="AP411" s="52" t="n">
        <v>0</v>
      </c>
      <c r="AQ411" s="53" t="n">
        <v>0</v>
      </c>
      <c r="AR411" s="52" t="n">
        <v>0</v>
      </c>
      <c r="AS411" s="51" t="n">
        <v>0</v>
      </c>
      <c r="AT411" s="48" t="n">
        <v>0</v>
      </c>
      <c r="AU411" s="49" t="n">
        <v>0</v>
      </c>
      <c r="AV411" s="49" t="n">
        <v>0</v>
      </c>
      <c r="AW411" s="50" t="n">
        <v>0</v>
      </c>
      <c r="AX411" s="51" t="n">
        <v>0</v>
      </c>
      <c r="AY411" s="52" t="n">
        <v>0</v>
      </c>
      <c r="AZ411" s="52" t="n">
        <v>0</v>
      </c>
      <c r="BA411" s="52" t="n">
        <v>0</v>
      </c>
      <c r="BB411" s="53" t="n">
        <v>0</v>
      </c>
      <c r="BC411" s="52" t="n">
        <v>0</v>
      </c>
      <c r="BD411" s="53" t="n">
        <v>0</v>
      </c>
      <c r="BE411" s="52" t="n">
        <v>0</v>
      </c>
      <c r="BF411" s="51" t="n">
        <v>0</v>
      </c>
    </row>
    <row r="412">
      <c r="A412">
        <f>HYPERLINK("https://www.walmart.com/ip/431906531", "431906531")</f>
        <v/>
      </c>
      <c r="B412" t="inlineStr">
        <is>
          <t>Jennis Halloween, Masquerades, Carnivals LED Necktie Light Up Tie LED Glow Dark,Upgrade USB Rechargeable Luminous Novelty Necktie Unisex LED Tie for Party Costume Men Women Boys</t>
        </is>
      </c>
      <c r="C412" t="inlineStr">
        <is>
          <t>LEDTIE02-RD</t>
        </is>
      </c>
      <c r="D412" t="inlineStr">
        <is>
          <t>Neckties</t>
        </is>
      </c>
      <c r="E412" t="inlineStr">
        <is>
          <t>JenniWears</t>
        </is>
      </c>
      <c r="F412" t="inlineStr">
        <is>
          <t>Optimized,Halloween</t>
        </is>
      </c>
      <c r="G412" s="48" t="n">
        <v>0</v>
      </c>
      <c r="H412" s="49" t="n">
        <v>0</v>
      </c>
      <c r="I412" s="49" t="n">
        <v>0</v>
      </c>
      <c r="J412" s="50" t="n">
        <v>0</v>
      </c>
      <c r="K412" s="51" t="n">
        <v>0</v>
      </c>
      <c r="L412" s="52" t="n">
        <v>0</v>
      </c>
      <c r="M412" s="52" t="n">
        <v>0</v>
      </c>
      <c r="N412" s="52" t="n">
        <v>0</v>
      </c>
      <c r="O412" s="53" t="n">
        <v>0</v>
      </c>
      <c r="P412" s="52" t="n">
        <v>0</v>
      </c>
      <c r="Q412" s="53" t="n">
        <v>0</v>
      </c>
      <c r="R412" s="52" t="n">
        <v>0</v>
      </c>
      <c r="S412" s="51" t="n">
        <v>0</v>
      </c>
      <c r="T412" s="48" t="n">
        <v>0</v>
      </c>
      <c r="U412" s="49" t="n">
        <v>0</v>
      </c>
      <c r="V412" s="49" t="n">
        <v>0</v>
      </c>
      <c r="W412" s="50" t="n">
        <v>0</v>
      </c>
      <c r="X412" s="51" t="n">
        <v>0</v>
      </c>
      <c r="Y412" s="52" t="n">
        <v>0</v>
      </c>
      <c r="Z412" s="52" t="n">
        <v>0</v>
      </c>
      <c r="AA412" s="52" t="n">
        <v>0</v>
      </c>
      <c r="AB412" s="53" t="n">
        <v>0</v>
      </c>
      <c r="AC412" s="52" t="n">
        <v>0</v>
      </c>
      <c r="AD412" s="53" t="n">
        <v>0</v>
      </c>
      <c r="AE412" s="52" t="n">
        <v>0</v>
      </c>
      <c r="AF412" s="51" t="n">
        <v>0</v>
      </c>
      <c r="AG412" s="48" t="n">
        <v>0</v>
      </c>
      <c r="AH412" s="49" t="n">
        <v>0</v>
      </c>
      <c r="AI412" s="49" t="n">
        <v>0</v>
      </c>
      <c r="AJ412" s="50" t="n">
        <v>0</v>
      </c>
      <c r="AK412" s="51" t="n">
        <v>0</v>
      </c>
      <c r="AL412" s="52" t="n">
        <v>0</v>
      </c>
      <c r="AM412" s="52" t="n">
        <v>0</v>
      </c>
      <c r="AN412" s="52" t="n">
        <v>0</v>
      </c>
      <c r="AO412" s="53" t="n">
        <v>0</v>
      </c>
      <c r="AP412" s="52" t="n">
        <v>0</v>
      </c>
      <c r="AQ412" s="53" t="n">
        <v>0</v>
      </c>
      <c r="AR412" s="52" t="n">
        <v>0</v>
      </c>
      <c r="AS412" s="51" t="n">
        <v>0</v>
      </c>
      <c r="AT412" s="48" t="n">
        <v>0</v>
      </c>
      <c r="AU412" s="49" t="n">
        <v>0</v>
      </c>
      <c r="AV412" s="49" t="n">
        <v>0</v>
      </c>
      <c r="AW412" s="50" t="n">
        <v>0</v>
      </c>
      <c r="AX412" s="51" t="n">
        <v>0</v>
      </c>
      <c r="AY412" s="52" t="n">
        <v>0</v>
      </c>
      <c r="AZ412" s="52" t="n">
        <v>0</v>
      </c>
      <c r="BA412" s="52" t="n">
        <v>0</v>
      </c>
      <c r="BB412" s="53" t="n">
        <v>0</v>
      </c>
      <c r="BC412" s="52" t="n">
        <v>0</v>
      </c>
      <c r="BD412" s="53" t="n">
        <v>0</v>
      </c>
      <c r="BE412" s="52" t="n">
        <v>0</v>
      </c>
      <c r="BF412" s="51" t="n">
        <v>0</v>
      </c>
    </row>
    <row r="413">
      <c r="A413">
        <f>HYPERLINK("https://www.walmart.com/ip/431930800", "431930800")</f>
        <v/>
      </c>
      <c r="B413" t="inlineStr">
        <is>
          <t>Tirrinia Large Insulated Lunch Bag,10L Leakproof Thermal Reusable Lunch Box for Adult,Kids, Student,Tall Meal Prep Lunch Cooler Tote with 4 Pockets for Office Work, Back to School</t>
        </is>
      </c>
      <c r="C413" t="inlineStr">
        <is>
          <t>1TRLB702CH-T</t>
        </is>
      </c>
      <c r="D413" t="inlineStr">
        <is>
          <t>Reusable Lunch Bags &amp; Boxes</t>
        </is>
      </c>
      <c r="E413" t="inlineStr">
        <is>
          <t>Tirrinia</t>
        </is>
      </c>
      <c r="F413" t="inlineStr">
        <is>
          <t>Q2-Target,Brand Camp VD,Lunch Bag,Lunch Bags,SEM</t>
        </is>
      </c>
      <c r="G413" s="48" t="n">
        <v>0</v>
      </c>
      <c r="H413" s="49" t="n">
        <v>0</v>
      </c>
      <c r="I413" s="49" t="n">
        <v>0</v>
      </c>
      <c r="J413" s="50" t="n">
        <v>0</v>
      </c>
      <c r="K413" s="51" t="n">
        <v>0</v>
      </c>
      <c r="L413" s="52" t="n">
        <v>0</v>
      </c>
      <c r="M413" s="52" t="n">
        <v>0</v>
      </c>
      <c r="N413" s="52" t="n">
        <v>0</v>
      </c>
      <c r="O413" s="53" t="n">
        <v>0</v>
      </c>
      <c r="P413" s="52" t="n">
        <v>0</v>
      </c>
      <c r="Q413" s="53" t="n">
        <v>0</v>
      </c>
      <c r="R413" s="52" t="n">
        <v>0</v>
      </c>
      <c r="S413" s="51" t="n">
        <v>0</v>
      </c>
      <c r="T413" s="48" t="n">
        <v>0</v>
      </c>
      <c r="U413" s="49" t="n">
        <v>0</v>
      </c>
      <c r="V413" s="49" t="n">
        <v>0</v>
      </c>
      <c r="W413" s="50" t="n">
        <v>0</v>
      </c>
      <c r="X413" s="51" t="n">
        <v>0</v>
      </c>
      <c r="Y413" s="52" t="n">
        <v>0</v>
      </c>
      <c r="Z413" s="52" t="n">
        <v>0</v>
      </c>
      <c r="AA413" s="52" t="n">
        <v>0</v>
      </c>
      <c r="AB413" s="53" t="n">
        <v>0</v>
      </c>
      <c r="AC413" s="52" t="n">
        <v>0</v>
      </c>
      <c r="AD413" s="53" t="n">
        <v>0</v>
      </c>
      <c r="AE413" s="52" t="n">
        <v>0</v>
      </c>
      <c r="AF413" s="51" t="n">
        <v>0</v>
      </c>
      <c r="AG413" s="48" t="n">
        <v>0</v>
      </c>
      <c r="AH413" s="49" t="n">
        <v>0</v>
      </c>
      <c r="AI413" s="49" t="n">
        <v>0</v>
      </c>
      <c r="AJ413" s="50" t="n">
        <v>0</v>
      </c>
      <c r="AK413" s="51" t="n">
        <v>0</v>
      </c>
      <c r="AL413" s="52" t="n">
        <v>0</v>
      </c>
      <c r="AM413" s="52" t="n">
        <v>0</v>
      </c>
      <c r="AN413" s="52" t="n">
        <v>0</v>
      </c>
      <c r="AO413" s="53" t="n">
        <v>0</v>
      </c>
      <c r="AP413" s="52" t="n">
        <v>0</v>
      </c>
      <c r="AQ413" s="53" t="n">
        <v>0</v>
      </c>
      <c r="AR413" s="52" t="n">
        <v>0</v>
      </c>
      <c r="AS413" s="51" t="n">
        <v>0</v>
      </c>
      <c r="AT413" s="48" t="n">
        <v>0</v>
      </c>
      <c r="AU413" s="49" t="n">
        <v>0</v>
      </c>
      <c r="AV413" s="49" t="n">
        <v>0</v>
      </c>
      <c r="AW413" s="50" t="n">
        <v>0</v>
      </c>
      <c r="AX413" s="51" t="n">
        <v>0</v>
      </c>
      <c r="AY413" s="52" t="n">
        <v>0</v>
      </c>
      <c r="AZ413" s="52" t="n">
        <v>0</v>
      </c>
      <c r="BA413" s="52" t="n">
        <v>0</v>
      </c>
      <c r="BB413" s="53" t="n">
        <v>0</v>
      </c>
      <c r="BC413" s="52" t="n">
        <v>0</v>
      </c>
      <c r="BD413" s="53" t="n">
        <v>0</v>
      </c>
      <c r="BE413" s="52" t="n">
        <v>0</v>
      </c>
      <c r="BF413" s="51" t="n">
        <v>0</v>
      </c>
    </row>
    <row r="414">
      <c r="A414">
        <f>HYPERLINK("https://www.walmart.com/ip/432191290", "432191290")</f>
        <v/>
      </c>
      <c r="B414" t="inlineStr">
        <is>
          <t>Flyingstar Sherpa Throws Blanket, Fleece Soft Cozy Blanket Throws for Sofa Bed 50"x60"</t>
        </is>
      </c>
      <c r="C414" t="inlineStr">
        <is>
          <t>1WMBF573ZEBRA</t>
        </is>
      </c>
      <c r="D414" t="inlineStr">
        <is>
          <t>Throws</t>
        </is>
      </c>
      <c r="E414" t="inlineStr">
        <is>
          <t>Flyingstar</t>
        </is>
      </c>
      <c r="F414" t="inlineStr">
        <is>
          <t>Optimized</t>
        </is>
      </c>
      <c r="G414" s="48" t="n">
        <v>0</v>
      </c>
      <c r="H414" s="49" t="n">
        <v>0</v>
      </c>
      <c r="I414" s="49" t="n">
        <v>0</v>
      </c>
      <c r="J414" s="50" t="n">
        <v>0</v>
      </c>
      <c r="K414" s="51" t="n">
        <v>0</v>
      </c>
      <c r="L414" s="52" t="n">
        <v>0</v>
      </c>
      <c r="M414" s="52" t="n">
        <v>0</v>
      </c>
      <c r="N414" s="52" t="n">
        <v>0</v>
      </c>
      <c r="O414" s="53" t="n">
        <v>0</v>
      </c>
      <c r="P414" s="52" t="n">
        <v>0</v>
      </c>
      <c r="Q414" s="53" t="n">
        <v>0</v>
      </c>
      <c r="R414" s="52" t="n">
        <v>0</v>
      </c>
      <c r="S414" s="51" t="n">
        <v>0</v>
      </c>
      <c r="T414" s="48" t="n">
        <v>0</v>
      </c>
      <c r="U414" s="49" t="n">
        <v>0</v>
      </c>
      <c r="V414" s="49" t="n">
        <v>0</v>
      </c>
      <c r="W414" s="50" t="n">
        <v>0</v>
      </c>
      <c r="X414" s="51" t="n">
        <v>0</v>
      </c>
      <c r="Y414" s="52" t="n">
        <v>0</v>
      </c>
      <c r="Z414" s="52" t="n">
        <v>0</v>
      </c>
      <c r="AA414" s="52" t="n">
        <v>0</v>
      </c>
      <c r="AB414" s="53" t="n">
        <v>0</v>
      </c>
      <c r="AC414" s="52" t="n">
        <v>0</v>
      </c>
      <c r="AD414" s="53" t="n">
        <v>0</v>
      </c>
      <c r="AE414" s="52" t="n">
        <v>0</v>
      </c>
      <c r="AF414" s="51" t="n">
        <v>0</v>
      </c>
      <c r="AG414" s="48" t="n">
        <v>0</v>
      </c>
      <c r="AH414" s="49" t="n">
        <v>0</v>
      </c>
      <c r="AI414" s="49" t="n">
        <v>0</v>
      </c>
      <c r="AJ414" s="50" t="n">
        <v>0</v>
      </c>
      <c r="AK414" s="51" t="n">
        <v>0</v>
      </c>
      <c r="AL414" s="52" t="n">
        <v>0</v>
      </c>
      <c r="AM414" s="52" t="n">
        <v>0</v>
      </c>
      <c r="AN414" s="52" t="n">
        <v>0</v>
      </c>
      <c r="AO414" s="53" t="n">
        <v>0</v>
      </c>
      <c r="AP414" s="52" t="n">
        <v>0</v>
      </c>
      <c r="AQ414" s="53" t="n">
        <v>0</v>
      </c>
      <c r="AR414" s="52" t="n">
        <v>0</v>
      </c>
      <c r="AS414" s="51" t="n">
        <v>0</v>
      </c>
      <c r="AT414" s="48" t="n">
        <v>0</v>
      </c>
      <c r="AU414" s="49" t="n">
        <v>0</v>
      </c>
      <c r="AV414" s="49" t="n">
        <v>0</v>
      </c>
      <c r="AW414" s="50" t="n">
        <v>0</v>
      </c>
      <c r="AX414" s="51" t="n">
        <v>0</v>
      </c>
      <c r="AY414" s="52" t="n">
        <v>0</v>
      </c>
      <c r="AZ414" s="52" t="n">
        <v>0</v>
      </c>
      <c r="BA414" s="52" t="n">
        <v>0</v>
      </c>
      <c r="BB414" s="53" t="n">
        <v>0</v>
      </c>
      <c r="BC414" s="52" t="n">
        <v>0</v>
      </c>
      <c r="BD414" s="53" t="n">
        <v>0</v>
      </c>
      <c r="BE414" s="52" t="n">
        <v>0</v>
      </c>
      <c r="BF414" s="51" t="n">
        <v>0</v>
      </c>
    </row>
    <row r="415">
      <c r="A415">
        <f>HYPERLINK("https://www.walmart.com/ip/432348972", "432348972")</f>
        <v/>
      </c>
      <c r="B415" t="inlineStr">
        <is>
          <t>Tirrinia Leakproof Thermal Reusable Insulated Lunch Bag for Men with Leather Handle,Olive</t>
        </is>
      </c>
      <c r="C415" t="inlineStr">
        <is>
          <t>1TRLB702P1KK</t>
        </is>
      </c>
      <c r="D415" t="inlineStr">
        <is>
          <t>Reusable Lunch Bags &amp; Boxes</t>
        </is>
      </c>
      <c r="E415" t="inlineStr">
        <is>
          <t>Tirrinia</t>
        </is>
      </c>
      <c r="F415" t="inlineStr">
        <is>
          <t>Brand Camp VD</t>
        </is>
      </c>
      <c r="G415" s="48" t="n">
        <v>0</v>
      </c>
      <c r="H415" s="49" t="n">
        <v>0</v>
      </c>
      <c r="I415" s="49" t="n">
        <v>0</v>
      </c>
      <c r="J415" s="50" t="n">
        <v>0</v>
      </c>
      <c r="K415" s="51" t="n">
        <v>0</v>
      </c>
      <c r="L415" s="52" t="n">
        <v>0</v>
      </c>
      <c r="M415" s="52" t="n">
        <v>0</v>
      </c>
      <c r="N415" s="52" t="n">
        <v>0</v>
      </c>
      <c r="O415" s="53" t="n">
        <v>0</v>
      </c>
      <c r="P415" s="52" t="n">
        <v>0</v>
      </c>
      <c r="Q415" s="53" t="n">
        <v>0</v>
      </c>
      <c r="R415" s="52" t="n">
        <v>0</v>
      </c>
      <c r="S415" s="51" t="n">
        <v>0</v>
      </c>
      <c r="T415" s="48" t="n">
        <v>0</v>
      </c>
      <c r="U415" s="49" t="n">
        <v>0</v>
      </c>
      <c r="V415" s="49" t="n">
        <v>0</v>
      </c>
      <c r="W415" s="50" t="n">
        <v>0</v>
      </c>
      <c r="X415" s="51" t="n">
        <v>0</v>
      </c>
      <c r="Y415" s="52" t="n">
        <v>0</v>
      </c>
      <c r="Z415" s="52" t="n">
        <v>0</v>
      </c>
      <c r="AA415" s="52" t="n">
        <v>0</v>
      </c>
      <c r="AB415" s="53" t="n">
        <v>0</v>
      </c>
      <c r="AC415" s="52" t="n">
        <v>0</v>
      </c>
      <c r="AD415" s="53" t="n">
        <v>0</v>
      </c>
      <c r="AE415" s="52" t="n">
        <v>0</v>
      </c>
      <c r="AF415" s="51" t="n">
        <v>0</v>
      </c>
      <c r="AG415" s="48" t="n">
        <v>0</v>
      </c>
      <c r="AH415" s="49" t="n">
        <v>0</v>
      </c>
      <c r="AI415" s="49" t="n">
        <v>0</v>
      </c>
      <c r="AJ415" s="50" t="n">
        <v>0</v>
      </c>
      <c r="AK415" s="51" t="n">
        <v>0</v>
      </c>
      <c r="AL415" s="52" t="n">
        <v>0</v>
      </c>
      <c r="AM415" s="52" t="n">
        <v>0</v>
      </c>
      <c r="AN415" s="52" t="n">
        <v>0</v>
      </c>
      <c r="AO415" s="53" t="n">
        <v>0</v>
      </c>
      <c r="AP415" s="52" t="n">
        <v>0</v>
      </c>
      <c r="AQ415" s="53" t="n">
        <v>0</v>
      </c>
      <c r="AR415" s="52" t="n">
        <v>0</v>
      </c>
      <c r="AS415" s="51" t="n">
        <v>0</v>
      </c>
      <c r="AT415" s="48" t="n">
        <v>0</v>
      </c>
      <c r="AU415" s="49" t="n">
        <v>0</v>
      </c>
      <c r="AV415" s="49" t="n">
        <v>0</v>
      </c>
      <c r="AW415" s="50" t="n">
        <v>0</v>
      </c>
      <c r="AX415" s="51" t="n">
        <v>0</v>
      </c>
      <c r="AY415" s="52" t="n">
        <v>0</v>
      </c>
      <c r="AZ415" s="52" t="n">
        <v>0</v>
      </c>
      <c r="BA415" s="52" t="n">
        <v>0</v>
      </c>
      <c r="BB415" s="53" t="n">
        <v>0</v>
      </c>
      <c r="BC415" s="52" t="n">
        <v>0</v>
      </c>
      <c r="BD415" s="53" t="n">
        <v>0</v>
      </c>
      <c r="BE415" s="52" t="n">
        <v>0</v>
      </c>
      <c r="BF415" s="51" t="n">
        <v>0</v>
      </c>
    </row>
    <row r="416">
      <c r="A416">
        <f>HYPERLINK("https://www.walmart.com/ip/433337760", "433337760")</f>
        <v/>
      </c>
      <c r="B416" t="inlineStr">
        <is>
          <t>Tirrinia 2 Bottle Wine Tote Carrier - Insulated &amp; Padded Versatile Cooler Bag for Travel, BYOB Restaurant, Wine Tasting, Party, Great Gift for Wine Lover, Gray</t>
        </is>
      </c>
      <c r="C416" t="inlineStr">
        <is>
          <t>1TRWB221GY</t>
        </is>
      </c>
      <c r="D416" t="inlineStr">
        <is>
          <t>Wine Totes, Bags &amp; Backpacks</t>
        </is>
      </c>
      <c r="E416" t="inlineStr">
        <is>
          <t>Tirrinia</t>
        </is>
      </c>
      <c r="G416" s="48" t="n">
        <v>0</v>
      </c>
      <c r="H416" s="49" t="n">
        <v>0</v>
      </c>
      <c r="I416" s="49" t="n">
        <v>0</v>
      </c>
      <c r="J416" s="50" t="n">
        <v>0</v>
      </c>
      <c r="K416" s="51" t="n">
        <v>0</v>
      </c>
      <c r="L416" s="52" t="n">
        <v>0</v>
      </c>
      <c r="M416" s="52" t="n">
        <v>0</v>
      </c>
      <c r="N416" s="52" t="n">
        <v>0</v>
      </c>
      <c r="O416" s="53" t="n">
        <v>0</v>
      </c>
      <c r="P416" s="52" t="n">
        <v>0</v>
      </c>
      <c r="Q416" s="53" t="n">
        <v>0</v>
      </c>
      <c r="R416" s="52" t="n">
        <v>0</v>
      </c>
      <c r="S416" s="51" t="n">
        <v>1121</v>
      </c>
      <c r="T416" s="48" t="n">
        <v>0</v>
      </c>
      <c r="U416" s="49" t="n">
        <v>0</v>
      </c>
      <c r="V416" s="49" t="n">
        <v>0</v>
      </c>
      <c r="W416" s="50" t="n">
        <v>0</v>
      </c>
      <c r="X416" s="51" t="n">
        <v>1</v>
      </c>
      <c r="Y416" s="52" t="n">
        <v>0.31</v>
      </c>
      <c r="Z416" s="52" t="n">
        <v>0</v>
      </c>
      <c r="AA416" s="52" t="n">
        <v>0</v>
      </c>
      <c r="AB416" s="53" t="n">
        <v>0.0018</v>
      </c>
      <c r="AC416" s="52" t="n">
        <v>0.31</v>
      </c>
      <c r="AD416" s="53" t="n">
        <v>0</v>
      </c>
      <c r="AE416" s="52" t="n">
        <v>0</v>
      </c>
      <c r="AF416" s="51" t="n">
        <v>560</v>
      </c>
      <c r="AG416" s="48" t="n">
        <v>17.99</v>
      </c>
      <c r="AH416" s="49" t="n">
        <v>1</v>
      </c>
      <c r="AI416" s="49" t="n">
        <v>0</v>
      </c>
      <c r="AJ416" s="50" t="n">
        <v>0</v>
      </c>
      <c r="AK416" s="51" t="n">
        <v>0</v>
      </c>
      <c r="AL416" s="52" t="n">
        <v>0</v>
      </c>
      <c r="AM416" s="52" t="n">
        <v>0</v>
      </c>
      <c r="AN416" s="52" t="n">
        <v>0</v>
      </c>
      <c r="AO416" s="53" t="n">
        <v>0</v>
      </c>
      <c r="AP416" s="52" t="n">
        <v>0</v>
      </c>
      <c r="AQ416" s="53" t="n">
        <v>0</v>
      </c>
      <c r="AR416" s="52" t="n">
        <v>17.99</v>
      </c>
      <c r="AS416" s="51" t="n">
        <v>382</v>
      </c>
      <c r="AT416" s="48" t="n">
        <v>0</v>
      </c>
      <c r="AU416" s="49" t="n">
        <v>0</v>
      </c>
      <c r="AV416" s="49" t="n">
        <v>0</v>
      </c>
      <c r="AW416" s="50" t="n">
        <v>0</v>
      </c>
      <c r="AX416" s="51" t="n">
        <v>0</v>
      </c>
      <c r="AY416" s="52" t="n">
        <v>0</v>
      </c>
      <c r="AZ416" s="52" t="n">
        <v>0</v>
      </c>
      <c r="BA416" s="52" t="n">
        <v>0</v>
      </c>
      <c r="BB416" s="53" t="n">
        <v>0</v>
      </c>
      <c r="BC416" s="52" t="n">
        <v>0</v>
      </c>
      <c r="BD416" s="53" t="n">
        <v>0</v>
      </c>
      <c r="BE416" s="52" t="n">
        <v>0</v>
      </c>
      <c r="BF416" s="51" t="n">
        <v>453</v>
      </c>
    </row>
    <row r="417">
      <c r="A417">
        <f>HYPERLINK("https://www.walmart.com/ip/436517515", "436517515")</f>
        <v/>
      </c>
      <c r="B417" t="inlineStr">
        <is>
          <t>Catalonia Women’s Sherpa Hoodie Sweatshirt Dress, Casual Snuggle Wearable Blanket Pullover Sweater with Kangaroo Pocket, Warm and Soft, Gift for Her, Wine</t>
        </is>
      </c>
      <c r="C417" t="inlineStr">
        <is>
          <t>1CTHD532WN</t>
        </is>
      </c>
      <c r="D417" t="inlineStr">
        <is>
          <t>Sweatshirts &amp; Hoodies</t>
        </is>
      </c>
      <c r="E417" t="inlineStr">
        <is>
          <t>Catalonia</t>
        </is>
      </c>
      <c r="F417" t="inlineStr">
        <is>
          <t>Hoodie ForAdult,Optimized</t>
        </is>
      </c>
      <c r="G417" s="48" t="n">
        <v>0</v>
      </c>
      <c r="H417" s="49" t="n">
        <v>0</v>
      </c>
      <c r="I417" s="49" t="n">
        <v>0</v>
      </c>
      <c r="J417" s="50" t="n">
        <v>0</v>
      </c>
      <c r="K417" s="51" t="n">
        <v>17</v>
      </c>
      <c r="L417" s="52" t="n">
        <v>6.949999999999999</v>
      </c>
      <c r="M417" s="52" t="n">
        <v>0</v>
      </c>
      <c r="N417" s="52" t="n">
        <v>0</v>
      </c>
      <c r="O417" s="53" t="n">
        <v>0.0026</v>
      </c>
      <c r="P417" s="52" t="n">
        <v>0.4088235294117646</v>
      </c>
      <c r="Q417" s="53" t="n">
        <v>0</v>
      </c>
      <c r="R417" s="52" t="n">
        <v>0</v>
      </c>
      <c r="S417" s="51" t="n">
        <v>6587</v>
      </c>
      <c r="T417" s="48" t="n">
        <v>0</v>
      </c>
      <c r="U417" s="49" t="n">
        <v>0</v>
      </c>
      <c r="V417" s="49" t="n">
        <v>0</v>
      </c>
      <c r="W417" s="50" t="n">
        <v>0</v>
      </c>
      <c r="X417" s="51" t="n">
        <v>0</v>
      </c>
      <c r="Y417" s="52" t="n">
        <v>0</v>
      </c>
      <c r="Z417" s="52" t="n">
        <v>0</v>
      </c>
      <c r="AA417" s="52" t="n">
        <v>0</v>
      </c>
      <c r="AB417" s="53" t="n">
        <v>0</v>
      </c>
      <c r="AC417" s="52" t="n">
        <v>0</v>
      </c>
      <c r="AD417" s="53" t="n">
        <v>0</v>
      </c>
      <c r="AE417" s="52" t="n">
        <v>0</v>
      </c>
      <c r="AF417" s="51" t="n">
        <v>0</v>
      </c>
      <c r="AG417" s="48" t="n">
        <v>0</v>
      </c>
      <c r="AH417" s="49" t="n">
        <v>0</v>
      </c>
      <c r="AI417" s="49" t="n">
        <v>0</v>
      </c>
      <c r="AJ417" s="50" t="n">
        <v>0</v>
      </c>
      <c r="AK417" s="51" t="n">
        <v>0</v>
      </c>
      <c r="AL417" s="52" t="n">
        <v>0</v>
      </c>
      <c r="AM417" s="52" t="n">
        <v>0</v>
      </c>
      <c r="AN417" s="52" t="n">
        <v>0</v>
      </c>
      <c r="AO417" s="53" t="n">
        <v>0</v>
      </c>
      <c r="AP417" s="52" t="n">
        <v>0</v>
      </c>
      <c r="AQ417" s="53" t="n">
        <v>0</v>
      </c>
      <c r="AR417" s="52" t="n">
        <v>0</v>
      </c>
      <c r="AS417" s="51" t="n">
        <v>0</v>
      </c>
      <c r="AT417" s="48" t="n">
        <v>0</v>
      </c>
      <c r="AU417" s="49" t="n">
        <v>0</v>
      </c>
      <c r="AV417" s="49" t="n">
        <v>0</v>
      </c>
      <c r="AW417" s="50" t="n">
        <v>0</v>
      </c>
      <c r="AX417" s="51" t="n">
        <v>0</v>
      </c>
      <c r="AY417" s="52" t="n">
        <v>0</v>
      </c>
      <c r="AZ417" s="52" t="n">
        <v>0</v>
      </c>
      <c r="BA417" s="52" t="n">
        <v>0</v>
      </c>
      <c r="BB417" s="53" t="n">
        <v>0</v>
      </c>
      <c r="BC417" s="52" t="n">
        <v>0</v>
      </c>
      <c r="BD417" s="53" t="n">
        <v>0</v>
      </c>
      <c r="BE417" s="52" t="n">
        <v>0</v>
      </c>
      <c r="BF417" s="51" t="n">
        <v>0</v>
      </c>
    </row>
    <row r="418">
      <c r="A418">
        <f>HYPERLINK("https://www.walmart.com/ip/436825676", "436825676")</f>
        <v/>
      </c>
      <c r="B418" t="inlineStr">
        <is>
          <t>Oversized Hoodie Blanket Sweatshirt,Super Soft Warm Comfortable Fleece Giant Pullover with Large Front Pocket,for Adults Men Women Teenagers Kids Wife Girlfriend</t>
        </is>
      </c>
      <c r="C418" t="inlineStr">
        <is>
          <t>1CTHD300LBL-UPC</t>
        </is>
      </c>
      <c r="D418" t="inlineStr">
        <is>
          <t>Sweatshirts &amp; Hoodies</t>
        </is>
      </c>
      <c r="E418" t="inlineStr">
        <is>
          <t>Catalonia</t>
        </is>
      </c>
      <c r="F418" t="inlineStr">
        <is>
          <t>Hoodie ForAdult,Optimized</t>
        </is>
      </c>
      <c r="G418" s="48" t="n">
        <v>0</v>
      </c>
      <c r="H418" s="49" t="n">
        <v>0</v>
      </c>
      <c r="I418" s="49" t="n">
        <v>0</v>
      </c>
      <c r="J418" s="50" t="n">
        <v>0</v>
      </c>
      <c r="K418" s="51" t="n">
        <v>0</v>
      </c>
      <c r="L418" s="52" t="n">
        <v>0</v>
      </c>
      <c r="M418" s="52" t="n">
        <v>0</v>
      </c>
      <c r="N418" s="52" t="n">
        <v>0</v>
      </c>
      <c r="O418" s="53" t="n">
        <v>0</v>
      </c>
      <c r="P418" s="52" t="n">
        <v>0</v>
      </c>
      <c r="Q418" s="53" t="n">
        <v>0</v>
      </c>
      <c r="R418" s="52" t="n">
        <v>0</v>
      </c>
      <c r="S418" s="51" t="n">
        <v>0</v>
      </c>
      <c r="T418" s="48" t="n">
        <v>0</v>
      </c>
      <c r="U418" s="49" t="n">
        <v>0</v>
      </c>
      <c r="V418" s="49" t="n">
        <v>0</v>
      </c>
      <c r="W418" s="50" t="n">
        <v>0</v>
      </c>
      <c r="X418" s="51" t="n">
        <v>0</v>
      </c>
      <c r="Y418" s="52" t="n">
        <v>0</v>
      </c>
      <c r="Z418" s="52" t="n">
        <v>0</v>
      </c>
      <c r="AA418" s="52" t="n">
        <v>0</v>
      </c>
      <c r="AB418" s="53" t="n">
        <v>0</v>
      </c>
      <c r="AC418" s="52" t="n">
        <v>0</v>
      </c>
      <c r="AD418" s="53" t="n">
        <v>0</v>
      </c>
      <c r="AE418" s="52" t="n">
        <v>0</v>
      </c>
      <c r="AF418" s="51" t="n">
        <v>0</v>
      </c>
      <c r="AG418" s="48" t="n">
        <v>0</v>
      </c>
      <c r="AH418" s="49" t="n">
        <v>0</v>
      </c>
      <c r="AI418" s="49" t="n">
        <v>0</v>
      </c>
      <c r="AJ418" s="50" t="n">
        <v>0</v>
      </c>
      <c r="AK418" s="51" t="n">
        <v>0</v>
      </c>
      <c r="AL418" s="52" t="n">
        <v>0</v>
      </c>
      <c r="AM418" s="52" t="n">
        <v>0</v>
      </c>
      <c r="AN418" s="52" t="n">
        <v>0</v>
      </c>
      <c r="AO418" s="53" t="n">
        <v>0</v>
      </c>
      <c r="AP418" s="52" t="n">
        <v>0</v>
      </c>
      <c r="AQ418" s="53" t="n">
        <v>0</v>
      </c>
      <c r="AR418" s="52" t="n">
        <v>0</v>
      </c>
      <c r="AS418" s="51" t="n">
        <v>0</v>
      </c>
      <c r="AT418" s="48" t="n">
        <v>0</v>
      </c>
      <c r="AU418" s="49" t="n">
        <v>0</v>
      </c>
      <c r="AV418" s="49" t="n">
        <v>0</v>
      </c>
      <c r="AW418" s="50" t="n">
        <v>0</v>
      </c>
      <c r="AX418" s="51" t="n">
        <v>0</v>
      </c>
      <c r="AY418" s="52" t="n">
        <v>0</v>
      </c>
      <c r="AZ418" s="52" t="n">
        <v>0</v>
      </c>
      <c r="BA418" s="52" t="n">
        <v>0</v>
      </c>
      <c r="BB418" s="53" t="n">
        <v>0</v>
      </c>
      <c r="BC418" s="52" t="n">
        <v>0</v>
      </c>
      <c r="BD418" s="53" t="n">
        <v>0</v>
      </c>
      <c r="BE418" s="52" t="n">
        <v>0</v>
      </c>
      <c r="BF418" s="51" t="n">
        <v>0</v>
      </c>
    </row>
    <row r="419">
      <c r="A419">
        <f>HYPERLINK("https://www.walmart.com/ip/438272084", "438272084")</f>
        <v/>
      </c>
      <c r="B419" t="inlineStr">
        <is>
          <t>Tirrinia  Womens Wide Brim Bucket Hats UPF 50+ Outdoor Gardening Sun Caps Dark Grey</t>
        </is>
      </c>
      <c r="C419" t="inlineStr">
        <is>
          <t>1TRSH189DG-TBCB</t>
        </is>
      </c>
      <c r="D419" t="inlineStr">
        <is>
          <t>Hats</t>
        </is>
      </c>
      <c r="E419" t="inlineStr">
        <is>
          <t>Tirrinia</t>
        </is>
      </c>
      <c r="F419" t="inlineStr">
        <is>
          <t>Batch 1 - TR</t>
        </is>
      </c>
      <c r="G419" s="48" t="n">
        <v>0</v>
      </c>
      <c r="H419" s="49" t="n">
        <v>0</v>
      </c>
      <c r="I419" s="49" t="n">
        <v>0</v>
      </c>
      <c r="J419" s="50" t="n">
        <v>0</v>
      </c>
      <c r="K419" s="51" t="n">
        <v>0</v>
      </c>
      <c r="L419" s="52" t="n">
        <v>0</v>
      </c>
      <c r="M419" s="52" t="n">
        <v>0</v>
      </c>
      <c r="N419" s="52" t="n">
        <v>0</v>
      </c>
      <c r="O419" s="53" t="n">
        <v>0</v>
      </c>
      <c r="P419" s="52" t="n">
        <v>0</v>
      </c>
      <c r="Q419" s="53" t="n">
        <v>0</v>
      </c>
      <c r="R419" s="52" t="n">
        <v>0</v>
      </c>
      <c r="S419" s="51" t="n">
        <v>0</v>
      </c>
      <c r="T419" s="48" t="n">
        <v>0</v>
      </c>
      <c r="U419" s="49" t="n">
        <v>0</v>
      </c>
      <c r="V419" s="49" t="n">
        <v>0</v>
      </c>
      <c r="W419" s="50" t="n">
        <v>0</v>
      </c>
      <c r="X419" s="51" t="n">
        <v>0</v>
      </c>
      <c r="Y419" s="52" t="n">
        <v>0</v>
      </c>
      <c r="Z419" s="52" t="n">
        <v>0</v>
      </c>
      <c r="AA419" s="52" t="n">
        <v>0</v>
      </c>
      <c r="AB419" s="53" t="n">
        <v>0</v>
      </c>
      <c r="AC419" s="52" t="n">
        <v>0</v>
      </c>
      <c r="AD419" s="53" t="n">
        <v>0</v>
      </c>
      <c r="AE419" s="52" t="n">
        <v>0</v>
      </c>
      <c r="AF419" s="51" t="n">
        <v>0</v>
      </c>
      <c r="AG419" s="48" t="n">
        <v>0</v>
      </c>
      <c r="AH419" s="49" t="n">
        <v>0</v>
      </c>
      <c r="AI419" s="49" t="n">
        <v>0</v>
      </c>
      <c r="AJ419" s="50" t="n">
        <v>0</v>
      </c>
      <c r="AK419" s="51" t="n">
        <v>0</v>
      </c>
      <c r="AL419" s="52" t="n">
        <v>0</v>
      </c>
      <c r="AM419" s="52" t="n">
        <v>0</v>
      </c>
      <c r="AN419" s="52" t="n">
        <v>0</v>
      </c>
      <c r="AO419" s="53" t="n">
        <v>0</v>
      </c>
      <c r="AP419" s="52" t="n">
        <v>0</v>
      </c>
      <c r="AQ419" s="53" t="n">
        <v>0</v>
      </c>
      <c r="AR419" s="52" t="n">
        <v>0</v>
      </c>
      <c r="AS419" s="51" t="n">
        <v>0</v>
      </c>
      <c r="AT419" s="48" t="n">
        <v>0</v>
      </c>
      <c r="AU419" s="49" t="n">
        <v>0</v>
      </c>
      <c r="AV419" s="49" t="n">
        <v>0</v>
      </c>
      <c r="AW419" s="50" t="n">
        <v>0</v>
      </c>
      <c r="AX419" s="51" t="n">
        <v>0</v>
      </c>
      <c r="AY419" s="52" t="n">
        <v>0</v>
      </c>
      <c r="AZ419" s="52" t="n">
        <v>0</v>
      </c>
      <c r="BA419" s="52" t="n">
        <v>0</v>
      </c>
      <c r="BB419" s="53" t="n">
        <v>0</v>
      </c>
      <c r="BC419" s="52" t="n">
        <v>0</v>
      </c>
      <c r="BD419" s="53" t="n">
        <v>0</v>
      </c>
      <c r="BE419" s="52" t="n">
        <v>0</v>
      </c>
      <c r="BF419" s="51" t="n">
        <v>0</v>
      </c>
    </row>
    <row r="420">
      <c r="A420">
        <f>HYPERLINK("https://www.walmart.com/ip/439886700", "439886700")</f>
        <v/>
      </c>
      <c r="B420" t="inlineStr">
        <is>
          <t>Tirrinia Insulated Lunch Bag, Leakproof Thermal Bento Lunch Box Tote for Women, Men and Kids, Adults Work Office Cooler Bag, Charcoal, 10.2" x 7.5" x 9".</t>
        </is>
      </c>
      <c r="C420" t="inlineStr">
        <is>
          <t>1KTLB600CH</t>
        </is>
      </c>
      <c r="D420" t="inlineStr">
        <is>
          <t>Reusable Lunch Bags &amp; Boxes</t>
        </is>
      </c>
      <c r="E420" t="inlineStr">
        <is>
          <t>Tirrinia</t>
        </is>
      </c>
      <c r="F420" t="inlineStr">
        <is>
          <t>Q2-Target,Brand Camp VD,Lunch Bag,Optimized,WFS,Lunch Bags,SEM,WFS Item</t>
        </is>
      </c>
      <c r="G420" s="48" t="n">
        <v>0</v>
      </c>
      <c r="H420" s="49" t="n">
        <v>0</v>
      </c>
      <c r="I420" s="49" t="n">
        <v>6</v>
      </c>
      <c r="J420" s="50" t="n">
        <v>0</v>
      </c>
      <c r="K420" s="51" t="n">
        <v>0</v>
      </c>
      <c r="L420" s="52" t="n">
        <v>0</v>
      </c>
      <c r="M420" s="52" t="n">
        <v>0</v>
      </c>
      <c r="N420" s="52" t="n">
        <v>0</v>
      </c>
      <c r="O420" s="53" t="n">
        <v>0</v>
      </c>
      <c r="P420" s="52" t="n">
        <v>0</v>
      </c>
      <c r="Q420" s="53" t="n">
        <v>0</v>
      </c>
      <c r="R420" s="52" t="n">
        <v>0</v>
      </c>
      <c r="S420" s="51" t="n">
        <v>0</v>
      </c>
      <c r="T420" s="48" t="n">
        <v>0</v>
      </c>
      <c r="U420" s="49" t="n">
        <v>0</v>
      </c>
      <c r="V420" s="49" t="n">
        <v>7</v>
      </c>
      <c r="W420" s="50" t="n">
        <v>0</v>
      </c>
      <c r="X420" s="51" t="n">
        <v>0</v>
      </c>
      <c r="Y420" s="52" t="n">
        <v>0</v>
      </c>
      <c r="Z420" s="52" t="n">
        <v>0</v>
      </c>
      <c r="AA420" s="52" t="n">
        <v>0</v>
      </c>
      <c r="AB420" s="53" t="n">
        <v>0</v>
      </c>
      <c r="AC420" s="52" t="n">
        <v>0</v>
      </c>
      <c r="AD420" s="53" t="n">
        <v>0</v>
      </c>
      <c r="AE420" s="52" t="n">
        <v>0</v>
      </c>
      <c r="AF420" s="51" t="n">
        <v>0</v>
      </c>
      <c r="AG420" s="48" t="n">
        <v>0</v>
      </c>
      <c r="AH420" s="49" t="n">
        <v>0</v>
      </c>
      <c r="AI420" s="49" t="n">
        <v>7</v>
      </c>
      <c r="AJ420" s="50" t="n">
        <v>0</v>
      </c>
      <c r="AK420" s="51" t="n">
        <v>0</v>
      </c>
      <c r="AL420" s="52" t="n">
        <v>0</v>
      </c>
      <c r="AM420" s="52" t="n">
        <v>0</v>
      </c>
      <c r="AN420" s="52" t="n">
        <v>0</v>
      </c>
      <c r="AO420" s="53" t="n">
        <v>0</v>
      </c>
      <c r="AP420" s="52" t="n">
        <v>0</v>
      </c>
      <c r="AQ420" s="53" t="n">
        <v>0</v>
      </c>
      <c r="AR420" s="52" t="n">
        <v>0</v>
      </c>
      <c r="AS420" s="51" t="n">
        <v>0</v>
      </c>
      <c r="AT420" s="48" t="n">
        <v>23.98</v>
      </c>
      <c r="AU420" s="49" t="n">
        <v>1</v>
      </c>
      <c r="AV420" s="49" t="n">
        <v>6</v>
      </c>
      <c r="AW420" s="50" t="n">
        <v>0.1666666666666667</v>
      </c>
      <c r="AX420" s="51" t="n">
        <v>0</v>
      </c>
      <c r="AY420" s="52" t="n">
        <v>0</v>
      </c>
      <c r="AZ420" s="52" t="n">
        <v>0</v>
      </c>
      <c r="BA420" s="52" t="n">
        <v>0</v>
      </c>
      <c r="BB420" s="53" t="n">
        <v>0</v>
      </c>
      <c r="BC420" s="52" t="n">
        <v>0</v>
      </c>
      <c r="BD420" s="53" t="n">
        <v>0</v>
      </c>
      <c r="BE420" s="52" t="n">
        <v>23.98</v>
      </c>
      <c r="BF420" s="51" t="n">
        <v>0</v>
      </c>
    </row>
    <row r="421">
      <c r="A421">
        <f>HYPERLINK("https://www.walmart.com/ip/428103444", "428103444")</f>
        <v/>
      </c>
      <c r="B421" t="inlineStr">
        <is>
          <t>Sherpa Wearable Blanket for Adult Women and Men, Super Soft Comfy Warm Plush Throw with Sleeves TV Blanket Wrap Robe Cover for Lounge Chair Couch 72" x 55" Blue</t>
        </is>
      </c>
      <c r="C421" t="inlineStr">
        <is>
          <t>1TNSN110BL-TPB</t>
        </is>
      </c>
      <c r="D421" t="inlineStr">
        <is>
          <t>Throws</t>
        </is>
      </c>
      <c r="E421" t="inlineStr">
        <is>
          <t>Terrania</t>
        </is>
      </c>
      <c r="F421" t="inlineStr">
        <is>
          <t>WFS,WFS Item</t>
        </is>
      </c>
      <c r="G421" s="48" t="n">
        <v>0</v>
      </c>
      <c r="H421" s="49" t="n">
        <v>0</v>
      </c>
      <c r="I421" s="49" t="n">
        <v>0</v>
      </c>
      <c r="J421" s="50" t="n">
        <v>0</v>
      </c>
      <c r="K421" s="51" t="n">
        <v>0</v>
      </c>
      <c r="L421" s="52" t="n">
        <v>0</v>
      </c>
      <c r="M421" s="52" t="n">
        <v>0</v>
      </c>
      <c r="N421" s="52" t="n">
        <v>0</v>
      </c>
      <c r="O421" s="53" t="n">
        <v>0</v>
      </c>
      <c r="P421" s="52" t="n">
        <v>0</v>
      </c>
      <c r="Q421" s="53" t="n">
        <v>0</v>
      </c>
      <c r="R421" s="52" t="n">
        <v>0</v>
      </c>
      <c r="S421" s="51" t="n">
        <v>0</v>
      </c>
      <c r="T421" s="48" t="n">
        <v>0</v>
      </c>
      <c r="U421" s="49" t="n">
        <v>0</v>
      </c>
      <c r="V421" s="49" t="n">
        <v>0</v>
      </c>
      <c r="W421" s="50" t="n">
        <v>0</v>
      </c>
      <c r="X421" s="51" t="n">
        <v>0</v>
      </c>
      <c r="Y421" s="52" t="n">
        <v>0</v>
      </c>
      <c r="Z421" s="52" t="n">
        <v>0</v>
      </c>
      <c r="AA421" s="52" t="n">
        <v>0</v>
      </c>
      <c r="AB421" s="53" t="n">
        <v>0</v>
      </c>
      <c r="AC421" s="52" t="n">
        <v>0</v>
      </c>
      <c r="AD421" s="53" t="n">
        <v>0</v>
      </c>
      <c r="AE421" s="52" t="n">
        <v>0</v>
      </c>
      <c r="AF421" s="51" t="n">
        <v>0</v>
      </c>
      <c r="AG421" s="48" t="n">
        <v>0</v>
      </c>
      <c r="AH421" s="49" t="n">
        <v>0</v>
      </c>
      <c r="AI421" s="49" t="n">
        <v>0</v>
      </c>
      <c r="AJ421" s="50" t="n">
        <v>0</v>
      </c>
      <c r="AK421" s="51" t="n">
        <v>0</v>
      </c>
      <c r="AL421" s="52" t="n">
        <v>0</v>
      </c>
      <c r="AM421" s="52" t="n">
        <v>0</v>
      </c>
      <c r="AN421" s="52" t="n">
        <v>0</v>
      </c>
      <c r="AO421" s="53" t="n">
        <v>0</v>
      </c>
      <c r="AP421" s="52" t="n">
        <v>0</v>
      </c>
      <c r="AQ421" s="53" t="n">
        <v>0</v>
      </c>
      <c r="AR421" s="52" t="n">
        <v>0</v>
      </c>
      <c r="AS421" s="51" t="n">
        <v>0</v>
      </c>
      <c r="AT421" s="48" t="n">
        <v>0</v>
      </c>
      <c r="AU421" s="49" t="n">
        <v>0</v>
      </c>
      <c r="AV421" s="49" t="n">
        <v>0</v>
      </c>
      <c r="AW421" s="50" t="n">
        <v>0</v>
      </c>
      <c r="AX421" s="51" t="n">
        <v>0</v>
      </c>
      <c r="AY421" s="52" t="n">
        <v>0</v>
      </c>
      <c r="AZ421" s="52" t="n">
        <v>0</v>
      </c>
      <c r="BA421" s="52" t="n">
        <v>0</v>
      </c>
      <c r="BB421" s="53" t="n">
        <v>0</v>
      </c>
      <c r="BC421" s="52" t="n">
        <v>0</v>
      </c>
      <c r="BD421" s="53" t="n">
        <v>0</v>
      </c>
      <c r="BE421" s="52" t="n">
        <v>0</v>
      </c>
      <c r="BF421" s="51" t="n">
        <v>0</v>
      </c>
    </row>
    <row r="422">
      <c r="A422">
        <f>HYPERLINK("https://www.walmart.com/ip/425263143", "425263143")</f>
        <v/>
      </c>
      <c r="B422" t="inlineStr">
        <is>
          <t>Kato 9 Cans Small Insulated Lunch Bag, Mini Thermal Portable Cooler Lunch Box Tote with Dual Zipper Closure for Student Men and Women, Back to School</t>
        </is>
      </c>
      <c r="C422" t="inlineStr">
        <is>
          <t>1KTLB100RD</t>
        </is>
      </c>
      <c r="D422" t="inlineStr">
        <is>
          <t>Reusable Lunch Bags &amp; Boxes</t>
        </is>
      </c>
      <c r="E422" t="inlineStr">
        <is>
          <t>Kato</t>
        </is>
      </c>
      <c r="F422" t="inlineStr">
        <is>
          <t>Q2-Target,Lunch Bag,Lunch Bags</t>
        </is>
      </c>
      <c r="G422" s="48" t="n">
        <v>0</v>
      </c>
      <c r="H422" s="49" t="n">
        <v>0</v>
      </c>
      <c r="I422" s="49" t="n">
        <v>0</v>
      </c>
      <c r="J422" s="50" t="n">
        <v>0</v>
      </c>
      <c r="K422" s="51" t="n">
        <v>0</v>
      </c>
      <c r="L422" s="52" t="n">
        <v>0</v>
      </c>
      <c r="M422" s="52" t="n">
        <v>0</v>
      </c>
      <c r="N422" s="52" t="n">
        <v>0</v>
      </c>
      <c r="O422" s="53" t="n">
        <v>0</v>
      </c>
      <c r="P422" s="52" t="n">
        <v>0</v>
      </c>
      <c r="Q422" s="53" t="n">
        <v>0</v>
      </c>
      <c r="R422" s="52" t="n">
        <v>0</v>
      </c>
      <c r="S422" s="51" t="n">
        <v>0</v>
      </c>
      <c r="T422" s="48" t="n">
        <v>0</v>
      </c>
      <c r="U422" s="49" t="n">
        <v>0</v>
      </c>
      <c r="V422" s="49" t="n">
        <v>0</v>
      </c>
      <c r="W422" s="50" t="n">
        <v>0</v>
      </c>
      <c r="X422" s="51" t="n">
        <v>0</v>
      </c>
      <c r="Y422" s="52" t="n">
        <v>0</v>
      </c>
      <c r="Z422" s="52" t="n">
        <v>0</v>
      </c>
      <c r="AA422" s="52" t="n">
        <v>0</v>
      </c>
      <c r="AB422" s="53" t="n">
        <v>0</v>
      </c>
      <c r="AC422" s="52" t="n">
        <v>0</v>
      </c>
      <c r="AD422" s="53" t="n">
        <v>0</v>
      </c>
      <c r="AE422" s="52" t="n">
        <v>0</v>
      </c>
      <c r="AF422" s="51" t="n">
        <v>0</v>
      </c>
      <c r="AG422" s="48" t="n">
        <v>0</v>
      </c>
      <c r="AH422" s="49" t="n">
        <v>0</v>
      </c>
      <c r="AI422" s="49" t="n">
        <v>0</v>
      </c>
      <c r="AJ422" s="50" t="n">
        <v>0</v>
      </c>
      <c r="AK422" s="51" t="n">
        <v>0</v>
      </c>
      <c r="AL422" s="52" t="n">
        <v>0</v>
      </c>
      <c r="AM422" s="52" t="n">
        <v>0</v>
      </c>
      <c r="AN422" s="52" t="n">
        <v>0</v>
      </c>
      <c r="AO422" s="53" t="n">
        <v>0</v>
      </c>
      <c r="AP422" s="52" t="n">
        <v>0</v>
      </c>
      <c r="AQ422" s="53" t="n">
        <v>0</v>
      </c>
      <c r="AR422" s="52" t="n">
        <v>0</v>
      </c>
      <c r="AS422" s="51" t="n">
        <v>0</v>
      </c>
      <c r="AT422" s="48" t="n">
        <v>0</v>
      </c>
      <c r="AU422" s="49" t="n">
        <v>0</v>
      </c>
      <c r="AV422" s="49" t="n">
        <v>0</v>
      </c>
      <c r="AW422" s="50" t="n">
        <v>0</v>
      </c>
      <c r="AX422" s="51" t="n">
        <v>0</v>
      </c>
      <c r="AY422" s="52" t="n">
        <v>0</v>
      </c>
      <c r="AZ422" s="52" t="n">
        <v>0</v>
      </c>
      <c r="BA422" s="52" t="n">
        <v>0</v>
      </c>
      <c r="BB422" s="53" t="n">
        <v>0</v>
      </c>
      <c r="BC422" s="52" t="n">
        <v>0</v>
      </c>
      <c r="BD422" s="53" t="n">
        <v>0</v>
      </c>
      <c r="BE422" s="52" t="n">
        <v>0</v>
      </c>
      <c r="BF422" s="51" t="n">
        <v>0</v>
      </c>
    </row>
    <row r="423">
      <c r="A423">
        <f>HYPERLINK("https://www.walmart.com/ip/424789136", "424789136")</f>
        <v/>
      </c>
      <c r="B423" t="inlineStr">
        <is>
          <t>Houndstooth Sherpa Fleece Throw Blanket, Cozy Fuzzy Jacquard Blanket for the Couch Bed | Fluffy Comfy Warm Heavy Throws | Comfort Caring Gift, 50x60 inches</t>
        </is>
      </c>
      <c r="C423" t="inlineStr">
        <is>
          <t>1CTBF573BKDENTE</t>
        </is>
      </c>
      <c r="D423" t="inlineStr">
        <is>
          <t>Throws</t>
        </is>
      </c>
      <c r="E423" t="inlineStr">
        <is>
          <t>Catalonia</t>
        </is>
      </c>
      <c r="F423" t="inlineStr">
        <is>
          <t>Q2-Target,Optimized</t>
        </is>
      </c>
      <c r="G423" s="48" t="n">
        <v>0</v>
      </c>
      <c r="H423" s="49" t="n">
        <v>0</v>
      </c>
      <c r="I423" s="49" t="n">
        <v>0</v>
      </c>
      <c r="J423" s="50" t="n">
        <v>0</v>
      </c>
      <c r="K423" s="51" t="n">
        <v>0</v>
      </c>
      <c r="L423" s="52" t="n">
        <v>0</v>
      </c>
      <c r="M423" s="52" t="n">
        <v>0</v>
      </c>
      <c r="N423" s="52" t="n">
        <v>0</v>
      </c>
      <c r="O423" s="53" t="n">
        <v>0</v>
      </c>
      <c r="P423" s="52" t="n">
        <v>0</v>
      </c>
      <c r="Q423" s="53" t="n">
        <v>0</v>
      </c>
      <c r="R423" s="52" t="n">
        <v>0</v>
      </c>
      <c r="S423" s="51" t="n">
        <v>0</v>
      </c>
      <c r="T423" s="48" t="n">
        <v>0</v>
      </c>
      <c r="U423" s="49" t="n">
        <v>0</v>
      </c>
      <c r="V423" s="49" t="n">
        <v>0</v>
      </c>
      <c r="W423" s="50" t="n">
        <v>0</v>
      </c>
      <c r="X423" s="51" t="n">
        <v>0</v>
      </c>
      <c r="Y423" s="52" t="n">
        <v>0</v>
      </c>
      <c r="Z423" s="52" t="n">
        <v>0</v>
      </c>
      <c r="AA423" s="52" t="n">
        <v>0</v>
      </c>
      <c r="AB423" s="53" t="n">
        <v>0</v>
      </c>
      <c r="AC423" s="52" t="n">
        <v>0</v>
      </c>
      <c r="AD423" s="53" t="n">
        <v>0</v>
      </c>
      <c r="AE423" s="52" t="n">
        <v>0</v>
      </c>
      <c r="AF423" s="51" t="n">
        <v>0</v>
      </c>
      <c r="AG423" s="48" t="n">
        <v>0</v>
      </c>
      <c r="AH423" s="49" t="n">
        <v>0</v>
      </c>
      <c r="AI423" s="49" t="n">
        <v>0</v>
      </c>
      <c r="AJ423" s="50" t="n">
        <v>0</v>
      </c>
      <c r="AK423" s="51" t="n">
        <v>0</v>
      </c>
      <c r="AL423" s="52" t="n">
        <v>0</v>
      </c>
      <c r="AM423" s="52" t="n">
        <v>0</v>
      </c>
      <c r="AN423" s="52" t="n">
        <v>0</v>
      </c>
      <c r="AO423" s="53" t="n">
        <v>0</v>
      </c>
      <c r="AP423" s="52" t="n">
        <v>0</v>
      </c>
      <c r="AQ423" s="53" t="n">
        <v>0</v>
      </c>
      <c r="AR423" s="52" t="n">
        <v>0</v>
      </c>
      <c r="AS423" s="51" t="n">
        <v>0</v>
      </c>
      <c r="AT423" s="48" t="n">
        <v>0</v>
      </c>
      <c r="AU423" s="49" t="n">
        <v>0</v>
      </c>
      <c r="AV423" s="49" t="n">
        <v>0</v>
      </c>
      <c r="AW423" s="50" t="n">
        <v>0</v>
      </c>
      <c r="AX423" s="51" t="n">
        <v>0</v>
      </c>
      <c r="AY423" s="52" t="n">
        <v>0</v>
      </c>
      <c r="AZ423" s="52" t="n">
        <v>0</v>
      </c>
      <c r="BA423" s="52" t="n">
        <v>0</v>
      </c>
      <c r="BB423" s="53" t="n">
        <v>0</v>
      </c>
      <c r="BC423" s="52" t="n">
        <v>0</v>
      </c>
      <c r="BD423" s="53" t="n">
        <v>0</v>
      </c>
      <c r="BE423" s="52" t="n">
        <v>0</v>
      </c>
      <c r="BF423" s="51" t="n">
        <v>0</v>
      </c>
    </row>
    <row r="424">
      <c r="A424">
        <f>HYPERLINK("https://www.walmart.com/ip/420029764", "420029764")</f>
        <v/>
      </c>
      <c r="B424" t="inlineStr">
        <is>
          <t>Catalonia Sherpa Wearable Blanket Poncho for Adult Women Men, Wrap Blanket Cape with Pocket, Warm, Soft, Cozy, Snuggly, Comfort Gift, No Sleeves, Purple</t>
        </is>
      </c>
      <c r="C424" t="inlineStr">
        <is>
          <t>1CTBP110PP</t>
        </is>
      </c>
      <c r="D424" t="inlineStr">
        <is>
          <t>Throws</t>
        </is>
      </c>
      <c r="E424" t="inlineStr">
        <is>
          <t>Catalonia</t>
        </is>
      </c>
      <c r="F424" t="inlineStr">
        <is>
          <t>Hero 5 Holidays,Batch 1 - TR</t>
        </is>
      </c>
      <c r="G424" s="48" t="n">
        <v>0</v>
      </c>
      <c r="H424" s="49" t="n">
        <v>0</v>
      </c>
      <c r="I424" s="49" t="n">
        <v>0</v>
      </c>
      <c r="J424" s="50" t="n">
        <v>0</v>
      </c>
      <c r="K424" s="51" t="n">
        <v>0</v>
      </c>
      <c r="L424" s="52" t="n">
        <v>0</v>
      </c>
      <c r="M424" s="52" t="n">
        <v>0</v>
      </c>
      <c r="N424" s="52" t="n">
        <v>0</v>
      </c>
      <c r="O424" s="53" t="n">
        <v>0</v>
      </c>
      <c r="P424" s="52" t="n">
        <v>0</v>
      </c>
      <c r="Q424" s="53" t="n">
        <v>0</v>
      </c>
      <c r="R424" s="52" t="n">
        <v>0</v>
      </c>
      <c r="S424" s="51" t="n">
        <v>1</v>
      </c>
      <c r="T424" s="48" t="n">
        <v>0</v>
      </c>
      <c r="U424" s="49" t="n">
        <v>0</v>
      </c>
      <c r="V424" s="49" t="n">
        <v>0</v>
      </c>
      <c r="W424" s="50" t="n">
        <v>0</v>
      </c>
      <c r="X424" s="51" t="n">
        <v>0</v>
      </c>
      <c r="Y424" s="52" t="n">
        <v>0</v>
      </c>
      <c r="Z424" s="52" t="n">
        <v>0</v>
      </c>
      <c r="AA424" s="52" t="n">
        <v>0</v>
      </c>
      <c r="AB424" s="53" t="n">
        <v>0</v>
      </c>
      <c r="AC424" s="52" t="n">
        <v>0</v>
      </c>
      <c r="AD424" s="53" t="n">
        <v>0</v>
      </c>
      <c r="AE424" s="52" t="n">
        <v>0</v>
      </c>
      <c r="AF424" s="51" t="n">
        <v>0</v>
      </c>
      <c r="AG424" s="48" t="n">
        <v>0</v>
      </c>
      <c r="AH424" s="49" t="n">
        <v>0</v>
      </c>
      <c r="AI424" s="49" t="n">
        <v>0</v>
      </c>
      <c r="AJ424" s="50" t="n">
        <v>0</v>
      </c>
      <c r="AK424" s="51" t="n">
        <v>0</v>
      </c>
      <c r="AL424" s="52" t="n">
        <v>0</v>
      </c>
      <c r="AM424" s="52" t="n">
        <v>0</v>
      </c>
      <c r="AN424" s="52" t="n">
        <v>0</v>
      </c>
      <c r="AO424" s="53" t="n">
        <v>0</v>
      </c>
      <c r="AP424" s="52" t="n">
        <v>0</v>
      </c>
      <c r="AQ424" s="53" t="n">
        <v>0</v>
      </c>
      <c r="AR424" s="52" t="n">
        <v>0</v>
      </c>
      <c r="AS424" s="51" t="n">
        <v>0</v>
      </c>
      <c r="AT424" s="48" t="n">
        <v>0</v>
      </c>
      <c r="AU424" s="49" t="n">
        <v>0</v>
      </c>
      <c r="AV424" s="49" t="n">
        <v>0</v>
      </c>
      <c r="AW424" s="50" t="n">
        <v>0</v>
      </c>
      <c r="AX424" s="51" t="n">
        <v>0</v>
      </c>
      <c r="AY424" s="52" t="n">
        <v>0</v>
      </c>
      <c r="AZ424" s="52" t="n">
        <v>0</v>
      </c>
      <c r="BA424" s="52" t="n">
        <v>0</v>
      </c>
      <c r="BB424" s="53" t="n">
        <v>0</v>
      </c>
      <c r="BC424" s="52" t="n">
        <v>0</v>
      </c>
      <c r="BD424" s="53" t="n">
        <v>0</v>
      </c>
      <c r="BE424" s="52" t="n">
        <v>0</v>
      </c>
      <c r="BF424" s="51" t="n">
        <v>0</v>
      </c>
    </row>
    <row r="425">
      <c r="A425">
        <f>HYPERLINK("https://www.walmart.com/ip/416219452", "416219452")</f>
        <v/>
      </c>
      <c r="B425" t="inlineStr">
        <is>
          <t>Jennis 2 Women's Beileise  Sexy Net Pantyhose  Stockings Black Sheer Socks</t>
        </is>
      </c>
      <c r="C425" t="inlineStr">
        <is>
          <t>JWBLSPH2085-2 Packs</t>
        </is>
      </c>
      <c r="D425" t="inlineStr">
        <is>
          <t>Pantyhose &amp; Tights</t>
        </is>
      </c>
      <c r="E425" t="inlineStr">
        <is>
          <t>JenniWears</t>
        </is>
      </c>
      <c r="F425" t="inlineStr">
        <is>
          <t>Optimized,Valentine</t>
        </is>
      </c>
      <c r="G425" s="48" t="n">
        <v>0</v>
      </c>
      <c r="H425" s="49" t="n">
        <v>0</v>
      </c>
      <c r="I425" s="49" t="n">
        <v>0</v>
      </c>
      <c r="J425" s="50" t="n">
        <v>0</v>
      </c>
      <c r="K425" s="51" t="n">
        <v>0</v>
      </c>
      <c r="L425" s="52" t="n">
        <v>0</v>
      </c>
      <c r="M425" s="52" t="n">
        <v>0</v>
      </c>
      <c r="N425" s="52" t="n">
        <v>0</v>
      </c>
      <c r="O425" s="53" t="n">
        <v>0</v>
      </c>
      <c r="P425" s="52" t="n">
        <v>0</v>
      </c>
      <c r="Q425" s="53" t="n">
        <v>0</v>
      </c>
      <c r="R425" s="52" t="n">
        <v>0</v>
      </c>
      <c r="S425" s="51" t="n">
        <v>0</v>
      </c>
      <c r="T425" s="48" t="n">
        <v>0</v>
      </c>
      <c r="U425" s="49" t="n">
        <v>0</v>
      </c>
      <c r="V425" s="49" t="n">
        <v>0</v>
      </c>
      <c r="W425" s="50" t="n">
        <v>0</v>
      </c>
      <c r="X425" s="51" t="n">
        <v>0</v>
      </c>
      <c r="Y425" s="52" t="n">
        <v>0</v>
      </c>
      <c r="Z425" s="52" t="n">
        <v>0</v>
      </c>
      <c r="AA425" s="52" t="n">
        <v>0</v>
      </c>
      <c r="AB425" s="53" t="n">
        <v>0</v>
      </c>
      <c r="AC425" s="52" t="n">
        <v>0</v>
      </c>
      <c r="AD425" s="53" t="n">
        <v>0</v>
      </c>
      <c r="AE425" s="52" t="n">
        <v>0</v>
      </c>
      <c r="AF425" s="51" t="n">
        <v>0</v>
      </c>
      <c r="AG425" s="48" t="n">
        <v>0</v>
      </c>
      <c r="AH425" s="49" t="n">
        <v>0</v>
      </c>
      <c r="AI425" s="49" t="n">
        <v>0</v>
      </c>
      <c r="AJ425" s="50" t="n">
        <v>0</v>
      </c>
      <c r="AK425" s="51" t="n">
        <v>0</v>
      </c>
      <c r="AL425" s="52" t="n">
        <v>0</v>
      </c>
      <c r="AM425" s="52" t="n">
        <v>0</v>
      </c>
      <c r="AN425" s="52" t="n">
        <v>0</v>
      </c>
      <c r="AO425" s="53" t="n">
        <v>0</v>
      </c>
      <c r="AP425" s="52" t="n">
        <v>0</v>
      </c>
      <c r="AQ425" s="53" t="n">
        <v>0</v>
      </c>
      <c r="AR425" s="52" t="n">
        <v>0</v>
      </c>
      <c r="AS425" s="51" t="n">
        <v>0</v>
      </c>
      <c r="AT425" s="48" t="n">
        <v>0</v>
      </c>
      <c r="AU425" s="49" t="n">
        <v>0</v>
      </c>
      <c r="AV425" s="49" t="n">
        <v>0</v>
      </c>
      <c r="AW425" s="50" t="n">
        <v>0</v>
      </c>
      <c r="AX425" s="51" t="n">
        <v>0</v>
      </c>
      <c r="AY425" s="52" t="n">
        <v>0</v>
      </c>
      <c r="AZ425" s="52" t="n">
        <v>0</v>
      </c>
      <c r="BA425" s="52" t="n">
        <v>0</v>
      </c>
      <c r="BB425" s="53" t="n">
        <v>0</v>
      </c>
      <c r="BC425" s="52" t="n">
        <v>0</v>
      </c>
      <c r="BD425" s="53" t="n">
        <v>0</v>
      </c>
      <c r="BE425" s="52" t="n">
        <v>0</v>
      </c>
      <c r="BF425" s="51" t="n">
        <v>0</v>
      </c>
    </row>
    <row r="426">
      <c r="A426">
        <f>HYPERLINK("https://www.walmart.com/ip/417731551", "417731551")</f>
        <v/>
      </c>
      <c r="B426" t="inlineStr">
        <is>
          <t>Women's High Waist Yoga Pants Workout Running Capri Legging Inner Pocket</t>
        </is>
      </c>
      <c r="C426" t="inlineStr">
        <is>
          <t>1TRYP102PK-XXL</t>
        </is>
      </c>
      <c r="D426" t="inlineStr">
        <is>
          <t>Leggings</t>
        </is>
      </c>
      <c r="E426" t="inlineStr">
        <is>
          <t>Tirrinia</t>
        </is>
      </c>
      <c r="F426" t="inlineStr">
        <is>
          <t>Optimized</t>
        </is>
      </c>
      <c r="G426" s="48" t="n">
        <v>0</v>
      </c>
      <c r="H426" s="49" t="n">
        <v>0</v>
      </c>
      <c r="I426" s="49" t="n">
        <v>0</v>
      </c>
      <c r="J426" s="50" t="n">
        <v>0</v>
      </c>
      <c r="K426" s="51" t="n">
        <v>0</v>
      </c>
      <c r="L426" s="52" t="n">
        <v>0</v>
      </c>
      <c r="M426" s="52" t="n">
        <v>0</v>
      </c>
      <c r="N426" s="52" t="n">
        <v>0</v>
      </c>
      <c r="O426" s="53" t="n">
        <v>0</v>
      </c>
      <c r="P426" s="52" t="n">
        <v>0</v>
      </c>
      <c r="Q426" s="53" t="n">
        <v>0</v>
      </c>
      <c r="R426" s="52" t="n">
        <v>0</v>
      </c>
      <c r="S426" s="51" t="n">
        <v>0</v>
      </c>
      <c r="T426" s="48" t="n">
        <v>0</v>
      </c>
      <c r="U426" s="49" t="n">
        <v>0</v>
      </c>
      <c r="V426" s="49" t="n">
        <v>0</v>
      </c>
      <c r="W426" s="50" t="n">
        <v>0</v>
      </c>
      <c r="X426" s="51" t="n">
        <v>0</v>
      </c>
      <c r="Y426" s="52" t="n">
        <v>0</v>
      </c>
      <c r="Z426" s="52" t="n">
        <v>0</v>
      </c>
      <c r="AA426" s="52" t="n">
        <v>0</v>
      </c>
      <c r="AB426" s="53" t="n">
        <v>0</v>
      </c>
      <c r="AC426" s="52" t="n">
        <v>0</v>
      </c>
      <c r="AD426" s="53" t="n">
        <v>0</v>
      </c>
      <c r="AE426" s="52" t="n">
        <v>0</v>
      </c>
      <c r="AF426" s="51" t="n">
        <v>0</v>
      </c>
      <c r="AG426" s="48" t="n">
        <v>0</v>
      </c>
      <c r="AH426" s="49" t="n">
        <v>0</v>
      </c>
      <c r="AI426" s="49" t="n">
        <v>0</v>
      </c>
      <c r="AJ426" s="50" t="n">
        <v>0</v>
      </c>
      <c r="AK426" s="51" t="n">
        <v>0</v>
      </c>
      <c r="AL426" s="52" t="n">
        <v>0</v>
      </c>
      <c r="AM426" s="52" t="n">
        <v>0</v>
      </c>
      <c r="AN426" s="52" t="n">
        <v>0</v>
      </c>
      <c r="AO426" s="53" t="n">
        <v>0</v>
      </c>
      <c r="AP426" s="52" t="n">
        <v>0</v>
      </c>
      <c r="AQ426" s="53" t="n">
        <v>0</v>
      </c>
      <c r="AR426" s="52" t="n">
        <v>0</v>
      </c>
      <c r="AS426" s="51" t="n">
        <v>0</v>
      </c>
      <c r="AT426" s="48" t="n">
        <v>0</v>
      </c>
      <c r="AU426" s="49" t="n">
        <v>0</v>
      </c>
      <c r="AV426" s="49" t="n">
        <v>0</v>
      </c>
      <c r="AW426" s="50" t="n">
        <v>0</v>
      </c>
      <c r="AX426" s="51" t="n">
        <v>0</v>
      </c>
      <c r="AY426" s="52" t="n">
        <v>0</v>
      </c>
      <c r="AZ426" s="52" t="n">
        <v>0</v>
      </c>
      <c r="BA426" s="52" t="n">
        <v>0</v>
      </c>
      <c r="BB426" s="53" t="n">
        <v>0</v>
      </c>
      <c r="BC426" s="52" t="n">
        <v>0</v>
      </c>
      <c r="BD426" s="53" t="n">
        <v>0</v>
      </c>
      <c r="BE426" s="52" t="n">
        <v>0</v>
      </c>
      <c r="BF426" s="51" t="n">
        <v>0</v>
      </c>
    </row>
    <row r="427">
      <c r="A427">
        <f>HYPERLINK("https://www.walmart.com/ip/419347891", "419347891")</f>
        <v/>
      </c>
      <c r="B427" t="inlineStr">
        <is>
          <t>Flyingstar Lunch Bag for Women Men, Insulated Lunch Tote for Working/School/Picnic Fashionable Cooler Bag</t>
        </is>
      </c>
      <c r="C427" t="inlineStr">
        <is>
          <t>1WMLB704DBL</t>
        </is>
      </c>
      <c r="D427" t="inlineStr">
        <is>
          <t>Reusable Lunch Bags &amp; Boxes</t>
        </is>
      </c>
      <c r="E427" t="inlineStr">
        <is>
          <t>Flyingstar</t>
        </is>
      </c>
      <c r="F427" t="inlineStr">
        <is>
          <t>Q2-Target,Lunch Bag</t>
        </is>
      </c>
      <c r="G427" s="48" t="n">
        <v>0</v>
      </c>
      <c r="H427" s="49" t="n">
        <v>0</v>
      </c>
      <c r="I427" s="49" t="n">
        <v>0</v>
      </c>
      <c r="J427" s="50" t="n">
        <v>0</v>
      </c>
      <c r="K427" s="51" t="n">
        <v>0</v>
      </c>
      <c r="L427" s="52" t="n">
        <v>0</v>
      </c>
      <c r="M427" s="52" t="n">
        <v>0</v>
      </c>
      <c r="N427" s="52" t="n">
        <v>0</v>
      </c>
      <c r="O427" s="53" t="n">
        <v>0</v>
      </c>
      <c r="P427" s="52" t="n">
        <v>0</v>
      </c>
      <c r="Q427" s="53" t="n">
        <v>0</v>
      </c>
      <c r="R427" s="52" t="n">
        <v>0</v>
      </c>
      <c r="S427" s="51" t="n">
        <v>0</v>
      </c>
      <c r="T427" s="48" t="n">
        <v>0</v>
      </c>
      <c r="U427" s="49" t="n">
        <v>0</v>
      </c>
      <c r="V427" s="49" t="n">
        <v>2</v>
      </c>
      <c r="W427" s="50" t="n">
        <v>0</v>
      </c>
      <c r="X427" s="51" t="n">
        <v>0</v>
      </c>
      <c r="Y427" s="52" t="n">
        <v>0</v>
      </c>
      <c r="Z427" s="52" t="n">
        <v>0</v>
      </c>
      <c r="AA427" s="52" t="n">
        <v>0</v>
      </c>
      <c r="AB427" s="53" t="n">
        <v>0</v>
      </c>
      <c r="AC427" s="52" t="n">
        <v>0</v>
      </c>
      <c r="AD427" s="53" t="n">
        <v>0</v>
      </c>
      <c r="AE427" s="52" t="n">
        <v>0</v>
      </c>
      <c r="AF427" s="51" t="n">
        <v>0</v>
      </c>
      <c r="AG427" s="48" t="n">
        <v>10.09</v>
      </c>
      <c r="AH427" s="49" t="n">
        <v>1</v>
      </c>
      <c r="AI427" s="49" t="n">
        <v>5</v>
      </c>
      <c r="AJ427" s="50" t="n">
        <v>0.2</v>
      </c>
      <c r="AK427" s="51" t="n">
        <v>0</v>
      </c>
      <c r="AL427" s="52" t="n">
        <v>0</v>
      </c>
      <c r="AM427" s="52" t="n">
        <v>0</v>
      </c>
      <c r="AN427" s="52" t="n">
        <v>0</v>
      </c>
      <c r="AO427" s="53" t="n">
        <v>0</v>
      </c>
      <c r="AP427" s="52" t="n">
        <v>0</v>
      </c>
      <c r="AQ427" s="53" t="n">
        <v>0</v>
      </c>
      <c r="AR427" s="52" t="n">
        <v>10.09</v>
      </c>
      <c r="AS427" s="51" t="n">
        <v>0</v>
      </c>
      <c r="AT427" s="48" t="n">
        <v>0</v>
      </c>
      <c r="AU427" s="49" t="n">
        <v>0</v>
      </c>
      <c r="AV427" s="49" t="n">
        <v>0</v>
      </c>
      <c r="AW427" s="50" t="n">
        <v>0</v>
      </c>
      <c r="AX427" s="51" t="n">
        <v>0</v>
      </c>
      <c r="AY427" s="52" t="n">
        <v>0</v>
      </c>
      <c r="AZ427" s="52" t="n">
        <v>0</v>
      </c>
      <c r="BA427" s="52" t="n">
        <v>0</v>
      </c>
      <c r="BB427" s="53" t="n">
        <v>0</v>
      </c>
      <c r="BC427" s="52" t="n">
        <v>0</v>
      </c>
      <c r="BD427" s="53" t="n">
        <v>0</v>
      </c>
      <c r="BE427" s="52" t="n">
        <v>0</v>
      </c>
      <c r="BF427" s="51" t="n">
        <v>0</v>
      </c>
    </row>
    <row r="428">
      <c r="A428">
        <f>HYPERLINK("https://www.walmart.com/ip/419531015", "419531015")</f>
        <v/>
      </c>
      <c r="B428" t="inlineStr">
        <is>
          <t>Tirrinia Insulated Lunch Bag for Women Men, Leakproof Thermal Reusable Lunch Box for Adult &amp; Kids, Lunch Cooler Tote for Office Work Back to School, Olive</t>
        </is>
      </c>
      <c r="C428" t="inlineStr">
        <is>
          <t>1TRLB701P1OL</t>
        </is>
      </c>
      <c r="D428" t="inlineStr">
        <is>
          <t>Reusable Lunch Bags &amp; Boxes</t>
        </is>
      </c>
      <c r="E428" t="inlineStr">
        <is>
          <t>Tirrinia</t>
        </is>
      </c>
      <c r="F428" t="inlineStr">
        <is>
          <t>Q2-Target,Brand Camp VD,Lunch Bag,Optimized,Lunch Bags,SEM</t>
        </is>
      </c>
      <c r="G428" s="48" t="n">
        <v>0</v>
      </c>
      <c r="H428" s="49" t="n">
        <v>0</v>
      </c>
      <c r="I428" s="49" t="n">
        <v>0</v>
      </c>
      <c r="J428" s="50" t="n">
        <v>0</v>
      </c>
      <c r="K428" s="51" t="n">
        <v>0</v>
      </c>
      <c r="L428" s="52" t="n">
        <v>0</v>
      </c>
      <c r="M428" s="52" t="n">
        <v>0</v>
      </c>
      <c r="N428" s="52" t="n">
        <v>0</v>
      </c>
      <c r="O428" s="53" t="n">
        <v>0</v>
      </c>
      <c r="P428" s="52" t="n">
        <v>0</v>
      </c>
      <c r="Q428" s="53" t="n">
        <v>0</v>
      </c>
      <c r="R428" s="52" t="n">
        <v>0</v>
      </c>
      <c r="S428" s="51" t="n">
        <v>0</v>
      </c>
      <c r="T428" s="48" t="n">
        <v>0</v>
      </c>
      <c r="U428" s="49" t="n">
        <v>0</v>
      </c>
      <c r="V428" s="49" t="n">
        <v>0</v>
      </c>
      <c r="W428" s="50" t="n">
        <v>0</v>
      </c>
      <c r="X428" s="51" t="n">
        <v>0</v>
      </c>
      <c r="Y428" s="52" t="n">
        <v>0</v>
      </c>
      <c r="Z428" s="52" t="n">
        <v>0</v>
      </c>
      <c r="AA428" s="52" t="n">
        <v>0</v>
      </c>
      <c r="AB428" s="53" t="n">
        <v>0</v>
      </c>
      <c r="AC428" s="52" t="n">
        <v>0</v>
      </c>
      <c r="AD428" s="53" t="n">
        <v>0</v>
      </c>
      <c r="AE428" s="52" t="n">
        <v>0</v>
      </c>
      <c r="AF428" s="51" t="n">
        <v>0</v>
      </c>
      <c r="AG428" s="48" t="n">
        <v>0</v>
      </c>
      <c r="AH428" s="49" t="n">
        <v>0</v>
      </c>
      <c r="AI428" s="49" t="n">
        <v>0</v>
      </c>
      <c r="AJ428" s="50" t="n">
        <v>0</v>
      </c>
      <c r="AK428" s="51" t="n">
        <v>0</v>
      </c>
      <c r="AL428" s="52" t="n">
        <v>0</v>
      </c>
      <c r="AM428" s="52" t="n">
        <v>0</v>
      </c>
      <c r="AN428" s="52" t="n">
        <v>0</v>
      </c>
      <c r="AO428" s="53" t="n">
        <v>0</v>
      </c>
      <c r="AP428" s="52" t="n">
        <v>0</v>
      </c>
      <c r="AQ428" s="53" t="n">
        <v>0</v>
      </c>
      <c r="AR428" s="52" t="n">
        <v>0</v>
      </c>
      <c r="AS428" s="51" t="n">
        <v>0</v>
      </c>
      <c r="AT428" s="48" t="n">
        <v>0</v>
      </c>
      <c r="AU428" s="49" t="n">
        <v>0</v>
      </c>
      <c r="AV428" s="49" t="n">
        <v>0</v>
      </c>
      <c r="AW428" s="50" t="n">
        <v>0</v>
      </c>
      <c r="AX428" s="51" t="n">
        <v>0</v>
      </c>
      <c r="AY428" s="52" t="n">
        <v>0</v>
      </c>
      <c r="AZ428" s="52" t="n">
        <v>0</v>
      </c>
      <c r="BA428" s="52" t="n">
        <v>0</v>
      </c>
      <c r="BB428" s="53" t="n">
        <v>0</v>
      </c>
      <c r="BC428" s="52" t="n">
        <v>0</v>
      </c>
      <c r="BD428" s="53" t="n">
        <v>0</v>
      </c>
      <c r="BE428" s="52" t="n">
        <v>0</v>
      </c>
      <c r="BF428" s="51" t="n">
        <v>0</v>
      </c>
    </row>
    <row r="429">
      <c r="A429">
        <f>HYPERLINK("https://www.walmart.com/ip/419706539", "419706539")</f>
        <v/>
      </c>
      <c r="B429" t="inlineStr">
        <is>
          <t>Tirrinia Insulated 2 Bottle Wine Tote Bag - Wine Tumbler Glass Cooler Carrier for BYOB Restaurants,  Wine Tasting, Travel, Park, Beach, Great Wine Lover Gift, White Flower</t>
        </is>
      </c>
      <c r="C429" t="inlineStr">
        <is>
          <t>1TRWB231WTFL</t>
        </is>
      </c>
      <c r="D429" t="inlineStr">
        <is>
          <t>Wine Totes, Bags &amp; Backpacks</t>
        </is>
      </c>
      <c r="E429" t="inlineStr">
        <is>
          <t>Tirrinia</t>
        </is>
      </c>
      <c r="F429" t="inlineStr">
        <is>
          <t>Wine,Christmas,WFS,Wine WFS,Valentine,WFS Item</t>
        </is>
      </c>
      <c r="G429" s="48" t="n">
        <v>0</v>
      </c>
      <c r="H429" s="49" t="n">
        <v>0</v>
      </c>
      <c r="I429" s="49" t="n">
        <v>0</v>
      </c>
      <c r="J429" s="50" t="n">
        <v>0</v>
      </c>
      <c r="K429" s="51" t="n">
        <v>9</v>
      </c>
      <c r="L429" s="52" t="n">
        <v>3.92</v>
      </c>
      <c r="M429" s="52" t="n">
        <v>0</v>
      </c>
      <c r="N429" s="52" t="n">
        <v>0</v>
      </c>
      <c r="O429" s="53" t="n">
        <v>0.0036</v>
      </c>
      <c r="P429" s="52" t="n">
        <v>0.4355555555555555</v>
      </c>
      <c r="Q429" s="53" t="n">
        <v>0</v>
      </c>
      <c r="R429" s="52" t="n">
        <v>0</v>
      </c>
      <c r="S429" s="51" t="n">
        <v>2492</v>
      </c>
      <c r="T429" s="48" t="n">
        <v>0</v>
      </c>
      <c r="U429" s="49" t="n">
        <v>0</v>
      </c>
      <c r="V429" s="49" t="n">
        <v>0</v>
      </c>
      <c r="W429" s="50" t="n">
        <v>0</v>
      </c>
      <c r="X429" s="51" t="n">
        <v>8</v>
      </c>
      <c r="Y429" s="52" t="n">
        <v>3.44</v>
      </c>
      <c r="Z429" s="52" t="n">
        <v>0</v>
      </c>
      <c r="AA429" s="52" t="n">
        <v>0</v>
      </c>
      <c r="AB429" s="53" t="n">
        <v>0.0043</v>
      </c>
      <c r="AC429" s="52" t="n">
        <v>0.43</v>
      </c>
      <c r="AD429" s="53" t="n">
        <v>0</v>
      </c>
      <c r="AE429" s="52" t="n">
        <v>0</v>
      </c>
      <c r="AF429" s="51" t="n">
        <v>1869</v>
      </c>
      <c r="AG429" s="48" t="n">
        <v>0</v>
      </c>
      <c r="AH429" s="49" t="n">
        <v>0</v>
      </c>
      <c r="AI429" s="49" t="n">
        <v>0</v>
      </c>
      <c r="AJ429" s="50" t="n">
        <v>0</v>
      </c>
      <c r="AK429" s="51" t="n">
        <v>8</v>
      </c>
      <c r="AL429" s="52" t="n">
        <v>3.31</v>
      </c>
      <c r="AM429" s="52" t="n">
        <v>0</v>
      </c>
      <c r="AN429" s="52" t="n">
        <v>0</v>
      </c>
      <c r="AO429" s="53" t="n">
        <v>0.0054</v>
      </c>
      <c r="AP429" s="52" t="n">
        <v>0.41375</v>
      </c>
      <c r="AQ429" s="53" t="n">
        <v>0</v>
      </c>
      <c r="AR429" s="52" t="n">
        <v>0</v>
      </c>
      <c r="AS429" s="51" t="n">
        <v>1476</v>
      </c>
      <c r="AT429" s="48" t="n">
        <v>0</v>
      </c>
      <c r="AU429" s="49" t="n">
        <v>0</v>
      </c>
      <c r="AV429" s="49" t="n">
        <v>0</v>
      </c>
      <c r="AW429" s="50" t="n">
        <v>0</v>
      </c>
      <c r="AX429" s="51" t="n">
        <v>4</v>
      </c>
      <c r="AY429" s="52" t="n">
        <v>1.72</v>
      </c>
      <c r="AZ429" s="52" t="n">
        <v>0</v>
      </c>
      <c r="BA429" s="52" t="n">
        <v>0</v>
      </c>
      <c r="BB429" s="53" t="n">
        <v>0.004</v>
      </c>
      <c r="BC429" s="52" t="n">
        <v>0.43</v>
      </c>
      <c r="BD429" s="53" t="n">
        <v>0</v>
      </c>
      <c r="BE429" s="52" t="n">
        <v>0</v>
      </c>
      <c r="BF429" s="51" t="n">
        <v>1006</v>
      </c>
    </row>
    <row r="430">
      <c r="A430">
        <f>HYPERLINK("https://www.walmart.com/ip/419719505", "419719505")</f>
        <v/>
      </c>
      <c r="B430" t="inlineStr">
        <is>
          <t>Catalonia Throw Blanket, Super Soft Plush Blanket, Sofa Couch Fleece Blanket, TV Bed Blanket, Comfy Cozy Fluffy Warm, Christmas Theme Throws, Holiday Gift Blanket 50x60 inch - Reindeer</t>
        </is>
      </c>
      <c r="C430" t="inlineStr">
        <is>
          <t>1CTBF571XMAS</t>
        </is>
      </c>
      <c r="D430" t="inlineStr">
        <is>
          <t>Throws</t>
        </is>
      </c>
      <c r="E430" t="inlineStr">
        <is>
          <t>Catalonia</t>
        </is>
      </c>
      <c r="F430" t="inlineStr">
        <is>
          <t>Q2-Target,Christmas,Optimized,Hero 5 Holidays,WFS Item</t>
        </is>
      </c>
      <c r="G430" s="48" t="n">
        <v>0</v>
      </c>
      <c r="H430" s="49" t="n">
        <v>0</v>
      </c>
      <c r="I430" s="49" t="n">
        <v>0</v>
      </c>
      <c r="J430" s="50" t="n">
        <v>0</v>
      </c>
      <c r="K430" s="51" t="n">
        <v>0</v>
      </c>
      <c r="L430" s="52" t="n">
        <v>0</v>
      </c>
      <c r="M430" s="52" t="n">
        <v>0</v>
      </c>
      <c r="N430" s="52" t="n">
        <v>0</v>
      </c>
      <c r="O430" s="53" t="n">
        <v>0</v>
      </c>
      <c r="P430" s="52" t="n">
        <v>0</v>
      </c>
      <c r="Q430" s="53" t="n">
        <v>0</v>
      </c>
      <c r="R430" s="52" t="n">
        <v>0</v>
      </c>
      <c r="S430" s="51" t="n">
        <v>0</v>
      </c>
      <c r="T430" s="48" t="n">
        <v>0</v>
      </c>
      <c r="U430" s="49" t="n">
        <v>0</v>
      </c>
      <c r="V430" s="49" t="n">
        <v>0</v>
      </c>
      <c r="W430" s="50" t="n">
        <v>0</v>
      </c>
      <c r="X430" s="51" t="n">
        <v>0</v>
      </c>
      <c r="Y430" s="52" t="n">
        <v>0</v>
      </c>
      <c r="Z430" s="52" t="n">
        <v>0</v>
      </c>
      <c r="AA430" s="52" t="n">
        <v>0</v>
      </c>
      <c r="AB430" s="53" t="n">
        <v>0</v>
      </c>
      <c r="AC430" s="52" t="n">
        <v>0</v>
      </c>
      <c r="AD430" s="53" t="n">
        <v>0</v>
      </c>
      <c r="AE430" s="52" t="n">
        <v>0</v>
      </c>
      <c r="AF430" s="51" t="n">
        <v>0</v>
      </c>
      <c r="AG430" s="48" t="n">
        <v>0</v>
      </c>
      <c r="AH430" s="49" t="n">
        <v>0</v>
      </c>
      <c r="AI430" s="49" t="n">
        <v>0</v>
      </c>
      <c r="AJ430" s="50" t="n">
        <v>0</v>
      </c>
      <c r="AK430" s="51" t="n">
        <v>0</v>
      </c>
      <c r="AL430" s="52" t="n">
        <v>0</v>
      </c>
      <c r="AM430" s="52" t="n">
        <v>0</v>
      </c>
      <c r="AN430" s="52" t="n">
        <v>0</v>
      </c>
      <c r="AO430" s="53" t="n">
        <v>0</v>
      </c>
      <c r="AP430" s="52" t="n">
        <v>0</v>
      </c>
      <c r="AQ430" s="53" t="n">
        <v>0</v>
      </c>
      <c r="AR430" s="52" t="n">
        <v>0</v>
      </c>
      <c r="AS430" s="51" t="n">
        <v>0</v>
      </c>
      <c r="AT430" s="48" t="n">
        <v>0</v>
      </c>
      <c r="AU430" s="49" t="n">
        <v>0</v>
      </c>
      <c r="AV430" s="49" t="n">
        <v>0</v>
      </c>
      <c r="AW430" s="50" t="n">
        <v>0</v>
      </c>
      <c r="AX430" s="51" t="n">
        <v>0</v>
      </c>
      <c r="AY430" s="52" t="n">
        <v>0</v>
      </c>
      <c r="AZ430" s="52" t="n">
        <v>0</v>
      </c>
      <c r="BA430" s="52" t="n">
        <v>0</v>
      </c>
      <c r="BB430" s="53" t="n">
        <v>0</v>
      </c>
      <c r="BC430" s="52" t="n">
        <v>0</v>
      </c>
      <c r="BD430" s="53" t="n">
        <v>0</v>
      </c>
      <c r="BE430" s="52" t="n">
        <v>0</v>
      </c>
      <c r="BF430" s="51" t="n">
        <v>0</v>
      </c>
    </row>
    <row r="431">
      <c r="A431">
        <f>HYPERLINK("https://www.walmart.com/ip/420710678", "420710678")</f>
        <v/>
      </c>
      <c r="B431" t="inlineStr">
        <is>
          <t>Tirrinia Large Insulated Picnic Basket and Foldable Grocery Bag, 28L Leakproof Collapsible Portable Cooler Basket Set with Aluminium Handle for Travel, Shopping and Camping, Black</t>
        </is>
      </c>
      <c r="C431" t="inlineStr">
        <is>
          <t>1TRPB100-BK</t>
        </is>
      </c>
      <c r="D431" t="inlineStr">
        <is>
          <t>Picnic Baskets &amp; Bags</t>
        </is>
      </c>
      <c r="E431" t="inlineStr">
        <is>
          <t>Tirrinia</t>
        </is>
      </c>
      <c r="F431" t="inlineStr">
        <is>
          <t>Batch 1 - TR</t>
        </is>
      </c>
      <c r="G431" s="48" t="n">
        <v>0</v>
      </c>
      <c r="H431" s="49" t="n">
        <v>0</v>
      </c>
      <c r="I431" s="49" t="n">
        <v>0</v>
      </c>
      <c r="J431" s="50" t="n">
        <v>0</v>
      </c>
      <c r="K431" s="51" t="n">
        <v>0</v>
      </c>
      <c r="L431" s="52" t="n">
        <v>0</v>
      </c>
      <c r="M431" s="52" t="n">
        <v>0</v>
      </c>
      <c r="N431" s="52" t="n">
        <v>0</v>
      </c>
      <c r="O431" s="53" t="n">
        <v>0</v>
      </c>
      <c r="P431" s="52" t="n">
        <v>0</v>
      </c>
      <c r="Q431" s="53" t="n">
        <v>0</v>
      </c>
      <c r="R431" s="52" t="n">
        <v>0</v>
      </c>
      <c r="S431" s="51" t="n">
        <v>0</v>
      </c>
      <c r="T431" s="48" t="n">
        <v>0</v>
      </c>
      <c r="U431" s="49" t="n">
        <v>0</v>
      </c>
      <c r="V431" s="49" t="n">
        <v>0</v>
      </c>
      <c r="W431" s="50" t="n">
        <v>0</v>
      </c>
      <c r="X431" s="51" t="n">
        <v>0</v>
      </c>
      <c r="Y431" s="52" t="n">
        <v>0</v>
      </c>
      <c r="Z431" s="52" t="n">
        <v>0</v>
      </c>
      <c r="AA431" s="52" t="n">
        <v>0</v>
      </c>
      <c r="AB431" s="53" t="n">
        <v>0</v>
      </c>
      <c r="AC431" s="52" t="n">
        <v>0</v>
      </c>
      <c r="AD431" s="53" t="n">
        <v>0</v>
      </c>
      <c r="AE431" s="52" t="n">
        <v>0</v>
      </c>
      <c r="AF431" s="51" t="n">
        <v>0</v>
      </c>
      <c r="AG431" s="48" t="n">
        <v>0</v>
      </c>
      <c r="AH431" s="49" t="n">
        <v>0</v>
      </c>
      <c r="AI431" s="49" t="n">
        <v>0</v>
      </c>
      <c r="AJ431" s="50" t="n">
        <v>0</v>
      </c>
      <c r="AK431" s="51" t="n">
        <v>0</v>
      </c>
      <c r="AL431" s="52" t="n">
        <v>0</v>
      </c>
      <c r="AM431" s="52" t="n">
        <v>0</v>
      </c>
      <c r="AN431" s="52" t="n">
        <v>0</v>
      </c>
      <c r="AO431" s="53" t="n">
        <v>0</v>
      </c>
      <c r="AP431" s="52" t="n">
        <v>0</v>
      </c>
      <c r="AQ431" s="53" t="n">
        <v>0</v>
      </c>
      <c r="AR431" s="52" t="n">
        <v>0</v>
      </c>
      <c r="AS431" s="51" t="n">
        <v>0</v>
      </c>
      <c r="AT431" s="48" t="n">
        <v>0</v>
      </c>
      <c r="AU431" s="49" t="n">
        <v>0</v>
      </c>
      <c r="AV431" s="49" t="n">
        <v>0</v>
      </c>
      <c r="AW431" s="50" t="n">
        <v>0</v>
      </c>
      <c r="AX431" s="51" t="n">
        <v>0</v>
      </c>
      <c r="AY431" s="52" t="n">
        <v>0</v>
      </c>
      <c r="AZ431" s="52" t="n">
        <v>0</v>
      </c>
      <c r="BA431" s="52" t="n">
        <v>0</v>
      </c>
      <c r="BB431" s="53" t="n">
        <v>0</v>
      </c>
      <c r="BC431" s="52" t="n">
        <v>0</v>
      </c>
      <c r="BD431" s="53" t="n">
        <v>0</v>
      </c>
      <c r="BE431" s="52" t="n">
        <v>0</v>
      </c>
      <c r="BF431" s="51" t="n">
        <v>0</v>
      </c>
    </row>
    <row r="432">
      <c r="A432">
        <f>HYPERLINK("https://www.walmart.com/ip/423160152", "423160152")</f>
        <v/>
      </c>
      <c r="B432" t="inlineStr">
        <is>
          <t>Catalonia Women’s Sherpa Hoodie Sweatshirt Dress, Casual Snuggle Wearable Blanket Pullover Sweater with Kangaroo Pocket, Warm and Soft, Gift for Her, Blue</t>
        </is>
      </c>
      <c r="C432" t="inlineStr">
        <is>
          <t>1CTHD532BL</t>
        </is>
      </c>
      <c r="D432" t="inlineStr">
        <is>
          <t>Sweatshirts &amp; Hoodies</t>
        </is>
      </c>
      <c r="E432" t="inlineStr">
        <is>
          <t>Catalonia</t>
        </is>
      </c>
      <c r="F432" t="inlineStr">
        <is>
          <t>Hoodie ForAdult,Optimized</t>
        </is>
      </c>
      <c r="G432" s="48" t="n">
        <v>0</v>
      </c>
      <c r="H432" s="49" t="n">
        <v>0</v>
      </c>
      <c r="I432" s="49" t="n">
        <v>0</v>
      </c>
      <c r="J432" s="50" t="n">
        <v>0</v>
      </c>
      <c r="K432" s="51" t="n">
        <v>0</v>
      </c>
      <c r="L432" s="52" t="n">
        <v>0</v>
      </c>
      <c r="M432" s="52" t="n">
        <v>0</v>
      </c>
      <c r="N432" s="52" t="n">
        <v>0</v>
      </c>
      <c r="O432" s="53" t="n">
        <v>0</v>
      </c>
      <c r="P432" s="52" t="n">
        <v>0</v>
      </c>
      <c r="Q432" s="53" t="n">
        <v>0</v>
      </c>
      <c r="R432" s="52" t="n">
        <v>0</v>
      </c>
      <c r="S432" s="51" t="n">
        <v>0</v>
      </c>
      <c r="T432" s="48" t="n">
        <v>0</v>
      </c>
      <c r="U432" s="49" t="n">
        <v>0</v>
      </c>
      <c r="V432" s="49" t="n">
        <v>0</v>
      </c>
      <c r="W432" s="50" t="n">
        <v>0</v>
      </c>
      <c r="X432" s="51" t="n">
        <v>0</v>
      </c>
      <c r="Y432" s="52" t="n">
        <v>0</v>
      </c>
      <c r="Z432" s="52" t="n">
        <v>0</v>
      </c>
      <c r="AA432" s="52" t="n">
        <v>0</v>
      </c>
      <c r="AB432" s="53" t="n">
        <v>0</v>
      </c>
      <c r="AC432" s="52" t="n">
        <v>0</v>
      </c>
      <c r="AD432" s="53" t="n">
        <v>0</v>
      </c>
      <c r="AE432" s="52" t="n">
        <v>0</v>
      </c>
      <c r="AF432" s="51" t="n">
        <v>0</v>
      </c>
      <c r="AG432" s="48" t="n">
        <v>0</v>
      </c>
      <c r="AH432" s="49" t="n">
        <v>0</v>
      </c>
      <c r="AI432" s="49" t="n">
        <v>0</v>
      </c>
      <c r="AJ432" s="50" t="n">
        <v>0</v>
      </c>
      <c r="AK432" s="51" t="n">
        <v>0</v>
      </c>
      <c r="AL432" s="52" t="n">
        <v>0</v>
      </c>
      <c r="AM432" s="52" t="n">
        <v>0</v>
      </c>
      <c r="AN432" s="52" t="n">
        <v>0</v>
      </c>
      <c r="AO432" s="53" t="n">
        <v>0</v>
      </c>
      <c r="AP432" s="52" t="n">
        <v>0</v>
      </c>
      <c r="AQ432" s="53" t="n">
        <v>0</v>
      </c>
      <c r="AR432" s="52" t="n">
        <v>0</v>
      </c>
      <c r="AS432" s="51" t="n">
        <v>0</v>
      </c>
      <c r="AT432" s="48" t="n">
        <v>0</v>
      </c>
      <c r="AU432" s="49" t="n">
        <v>0</v>
      </c>
      <c r="AV432" s="49" t="n">
        <v>0</v>
      </c>
      <c r="AW432" s="50" t="n">
        <v>0</v>
      </c>
      <c r="AX432" s="51" t="n">
        <v>0</v>
      </c>
      <c r="AY432" s="52" t="n">
        <v>0</v>
      </c>
      <c r="AZ432" s="52" t="n">
        <v>0</v>
      </c>
      <c r="BA432" s="52" t="n">
        <v>0</v>
      </c>
      <c r="BB432" s="53" t="n">
        <v>0</v>
      </c>
      <c r="BC432" s="52" t="n">
        <v>0</v>
      </c>
      <c r="BD432" s="53" t="n">
        <v>0</v>
      </c>
      <c r="BE432" s="52" t="n">
        <v>0</v>
      </c>
      <c r="BF432" s="51" t="n">
        <v>0</v>
      </c>
    </row>
    <row r="433">
      <c r="A433">
        <f>HYPERLINK("https://www.walmart.com/ip/420785641", "420785641")</f>
        <v/>
      </c>
      <c r="B433" t="inlineStr">
        <is>
          <t>Solaris Womens Bucket Hat UV Sun Protection Lightweight Packable Summer Travel Beach Cap,Green</t>
        </is>
      </c>
      <c r="C433" t="inlineStr">
        <is>
          <t>1SLSH189-GRN</t>
        </is>
      </c>
      <c r="D433" t="inlineStr">
        <is>
          <t>Hats</t>
        </is>
      </c>
      <c r="E433" t="inlineStr">
        <is>
          <t>Solaris</t>
        </is>
      </c>
      <c r="F433" t="inlineStr">
        <is>
          <t>Q2-Target,Hats,Batch 1 - TR</t>
        </is>
      </c>
      <c r="G433" s="48" t="n">
        <v>0</v>
      </c>
      <c r="H433" s="49" t="n">
        <v>0</v>
      </c>
      <c r="I433" s="49" t="n">
        <v>0</v>
      </c>
      <c r="J433" s="50" t="n">
        <v>0</v>
      </c>
      <c r="K433" s="51" t="n">
        <v>0</v>
      </c>
      <c r="L433" s="52" t="n">
        <v>0</v>
      </c>
      <c r="M433" s="52" t="n">
        <v>0</v>
      </c>
      <c r="N433" s="52" t="n">
        <v>0</v>
      </c>
      <c r="O433" s="53" t="n">
        <v>0</v>
      </c>
      <c r="P433" s="52" t="n">
        <v>0</v>
      </c>
      <c r="Q433" s="53" t="n">
        <v>0</v>
      </c>
      <c r="R433" s="52" t="n">
        <v>0</v>
      </c>
      <c r="S433" s="51" t="n">
        <v>0</v>
      </c>
      <c r="T433" s="48" t="n">
        <v>0</v>
      </c>
      <c r="U433" s="49" t="n">
        <v>0</v>
      </c>
      <c r="V433" s="49" t="n">
        <v>0</v>
      </c>
      <c r="W433" s="50" t="n">
        <v>0</v>
      </c>
      <c r="X433" s="51" t="n">
        <v>0</v>
      </c>
      <c r="Y433" s="52" t="n">
        <v>0</v>
      </c>
      <c r="Z433" s="52" t="n">
        <v>0</v>
      </c>
      <c r="AA433" s="52" t="n">
        <v>0</v>
      </c>
      <c r="AB433" s="53" t="n">
        <v>0</v>
      </c>
      <c r="AC433" s="52" t="n">
        <v>0</v>
      </c>
      <c r="AD433" s="53" t="n">
        <v>0</v>
      </c>
      <c r="AE433" s="52" t="n">
        <v>0</v>
      </c>
      <c r="AF433" s="51" t="n">
        <v>0</v>
      </c>
      <c r="AG433" s="48" t="n">
        <v>0</v>
      </c>
      <c r="AH433" s="49" t="n">
        <v>0</v>
      </c>
      <c r="AI433" s="49" t="n">
        <v>0</v>
      </c>
      <c r="AJ433" s="50" t="n">
        <v>0</v>
      </c>
      <c r="AK433" s="51" t="n">
        <v>0</v>
      </c>
      <c r="AL433" s="52" t="n">
        <v>0</v>
      </c>
      <c r="AM433" s="52" t="n">
        <v>0</v>
      </c>
      <c r="AN433" s="52" t="n">
        <v>0</v>
      </c>
      <c r="AO433" s="53" t="n">
        <v>0</v>
      </c>
      <c r="AP433" s="52" t="n">
        <v>0</v>
      </c>
      <c r="AQ433" s="53" t="n">
        <v>0</v>
      </c>
      <c r="AR433" s="52" t="n">
        <v>0</v>
      </c>
      <c r="AS433" s="51" t="n">
        <v>0</v>
      </c>
      <c r="AT433" s="48" t="n">
        <v>0</v>
      </c>
      <c r="AU433" s="49" t="n">
        <v>0</v>
      </c>
      <c r="AV433" s="49" t="n">
        <v>0</v>
      </c>
      <c r="AW433" s="50" t="n">
        <v>0</v>
      </c>
      <c r="AX433" s="51" t="n">
        <v>0</v>
      </c>
      <c r="AY433" s="52" t="n">
        <v>0</v>
      </c>
      <c r="AZ433" s="52" t="n">
        <v>0</v>
      </c>
      <c r="BA433" s="52" t="n">
        <v>0</v>
      </c>
      <c r="BB433" s="53" t="n">
        <v>0</v>
      </c>
      <c r="BC433" s="52" t="n">
        <v>0</v>
      </c>
      <c r="BD433" s="53" t="n">
        <v>0</v>
      </c>
      <c r="BE433" s="52" t="n">
        <v>0</v>
      </c>
      <c r="BF433" s="51" t="n">
        <v>0</v>
      </c>
    </row>
    <row r="434">
      <c r="A434">
        <f>HYPERLINK("https://www.walmart.com/ip/421303790", "421303790")</f>
        <v/>
      </c>
      <c r="B434" t="inlineStr">
        <is>
          <t>Catalonia Hooded Blanket Poncho | Wearable Blanket Wrap with Hand Pockets | Comfy Sherpa Fleece Throw Cape for Children and Adults, Christmas Thanksgiving Mother Gift, Cheetah</t>
        </is>
      </c>
      <c r="C434" t="inlineStr">
        <is>
          <t>1CTBC100CHEETAH</t>
        </is>
      </c>
      <c r="D434" t="inlineStr">
        <is>
          <t>Throws</t>
        </is>
      </c>
      <c r="E434" t="inlineStr">
        <is>
          <t>Catalonia</t>
        </is>
      </c>
      <c r="F434" t="inlineStr">
        <is>
          <t>Batch 1 - TR</t>
        </is>
      </c>
      <c r="G434" s="48" t="n">
        <v>0</v>
      </c>
      <c r="H434" s="49" t="n">
        <v>0</v>
      </c>
      <c r="I434" s="49" t="n">
        <v>0</v>
      </c>
      <c r="J434" s="50" t="n">
        <v>0</v>
      </c>
      <c r="K434" s="51" t="n">
        <v>0</v>
      </c>
      <c r="L434" s="52" t="n">
        <v>0</v>
      </c>
      <c r="M434" s="52" t="n">
        <v>0</v>
      </c>
      <c r="N434" s="52" t="n">
        <v>0</v>
      </c>
      <c r="O434" s="53" t="n">
        <v>0</v>
      </c>
      <c r="P434" s="52" t="n">
        <v>0</v>
      </c>
      <c r="Q434" s="53" t="n">
        <v>0</v>
      </c>
      <c r="R434" s="52" t="n">
        <v>0</v>
      </c>
      <c r="S434" s="51" t="n">
        <v>0</v>
      </c>
      <c r="T434" s="48" t="n">
        <v>0</v>
      </c>
      <c r="U434" s="49" t="n">
        <v>0</v>
      </c>
      <c r="V434" s="49" t="n">
        <v>0</v>
      </c>
      <c r="W434" s="50" t="n">
        <v>0</v>
      </c>
      <c r="X434" s="51" t="n">
        <v>0</v>
      </c>
      <c r="Y434" s="52" t="n">
        <v>0</v>
      </c>
      <c r="Z434" s="52" t="n">
        <v>0</v>
      </c>
      <c r="AA434" s="52" t="n">
        <v>0</v>
      </c>
      <c r="AB434" s="53" t="n">
        <v>0</v>
      </c>
      <c r="AC434" s="52" t="n">
        <v>0</v>
      </c>
      <c r="AD434" s="53" t="n">
        <v>0</v>
      </c>
      <c r="AE434" s="52" t="n">
        <v>0</v>
      </c>
      <c r="AF434" s="51" t="n">
        <v>0</v>
      </c>
      <c r="AG434" s="48" t="n">
        <v>0</v>
      </c>
      <c r="AH434" s="49" t="n">
        <v>0</v>
      </c>
      <c r="AI434" s="49" t="n">
        <v>0</v>
      </c>
      <c r="AJ434" s="50" t="n">
        <v>0</v>
      </c>
      <c r="AK434" s="51" t="n">
        <v>0</v>
      </c>
      <c r="AL434" s="52" t="n">
        <v>0</v>
      </c>
      <c r="AM434" s="52" t="n">
        <v>0</v>
      </c>
      <c r="AN434" s="52" t="n">
        <v>0</v>
      </c>
      <c r="AO434" s="53" t="n">
        <v>0</v>
      </c>
      <c r="AP434" s="52" t="n">
        <v>0</v>
      </c>
      <c r="AQ434" s="53" t="n">
        <v>0</v>
      </c>
      <c r="AR434" s="52" t="n">
        <v>0</v>
      </c>
      <c r="AS434" s="51" t="n">
        <v>0</v>
      </c>
      <c r="AT434" s="48" t="n">
        <v>0</v>
      </c>
      <c r="AU434" s="49" t="n">
        <v>0</v>
      </c>
      <c r="AV434" s="49" t="n">
        <v>0</v>
      </c>
      <c r="AW434" s="50" t="n">
        <v>0</v>
      </c>
      <c r="AX434" s="51" t="n">
        <v>0</v>
      </c>
      <c r="AY434" s="52" t="n">
        <v>0</v>
      </c>
      <c r="AZ434" s="52" t="n">
        <v>0</v>
      </c>
      <c r="BA434" s="52" t="n">
        <v>0</v>
      </c>
      <c r="BB434" s="53" t="n">
        <v>0</v>
      </c>
      <c r="BC434" s="52" t="n">
        <v>0</v>
      </c>
      <c r="BD434" s="53" t="n">
        <v>0</v>
      </c>
      <c r="BE434" s="52" t="n">
        <v>0</v>
      </c>
      <c r="BF434" s="51" t="n">
        <v>0</v>
      </c>
    </row>
    <row r="435">
      <c r="A435">
        <f>HYPERLINK("https://www.walmart.com/ip/422306406", "422306406")</f>
        <v/>
      </c>
      <c r="B435" t="inlineStr">
        <is>
          <t>Flyingstar Insulated Lunch Bag for Women Men, Leakproof Thermal Reusable Lunch Box Tote for Adult &amp; Kids Lunch Cooler for Office Work, Purple</t>
        </is>
      </c>
      <c r="C435" t="inlineStr">
        <is>
          <t>1WMLB701P1PP</t>
        </is>
      </c>
      <c r="D435" t="inlineStr">
        <is>
          <t>Reusable Lunch Bags &amp; Boxes</t>
        </is>
      </c>
      <c r="E435" t="inlineStr">
        <is>
          <t>Flyingstar</t>
        </is>
      </c>
      <c r="F435" t="inlineStr">
        <is>
          <t>Q2-Target,Lunch Bag,Optimized,Lunch Bags,SEM</t>
        </is>
      </c>
      <c r="G435" s="48" t="n">
        <v>0</v>
      </c>
      <c r="H435" s="49" t="n">
        <v>0</v>
      </c>
      <c r="I435" s="49" t="n">
        <v>0</v>
      </c>
      <c r="J435" s="50" t="n">
        <v>0</v>
      </c>
      <c r="K435" s="51" t="n">
        <v>0</v>
      </c>
      <c r="L435" s="52" t="n">
        <v>0</v>
      </c>
      <c r="M435" s="52" t="n">
        <v>0</v>
      </c>
      <c r="N435" s="52" t="n">
        <v>0</v>
      </c>
      <c r="O435" s="53" t="n">
        <v>0</v>
      </c>
      <c r="P435" s="52" t="n">
        <v>0</v>
      </c>
      <c r="Q435" s="53" t="n">
        <v>0</v>
      </c>
      <c r="R435" s="52" t="n">
        <v>0</v>
      </c>
      <c r="S435" s="51" t="n">
        <v>0</v>
      </c>
      <c r="T435" s="48" t="n">
        <v>0</v>
      </c>
      <c r="U435" s="49" t="n">
        <v>0</v>
      </c>
      <c r="V435" s="49" t="n">
        <v>0</v>
      </c>
      <c r="W435" s="50" t="n">
        <v>0</v>
      </c>
      <c r="X435" s="51" t="n">
        <v>0</v>
      </c>
      <c r="Y435" s="52" t="n">
        <v>0</v>
      </c>
      <c r="Z435" s="52" t="n">
        <v>0</v>
      </c>
      <c r="AA435" s="52" t="n">
        <v>0</v>
      </c>
      <c r="AB435" s="53" t="n">
        <v>0</v>
      </c>
      <c r="AC435" s="52" t="n">
        <v>0</v>
      </c>
      <c r="AD435" s="53" t="n">
        <v>0</v>
      </c>
      <c r="AE435" s="52" t="n">
        <v>0</v>
      </c>
      <c r="AF435" s="51" t="n">
        <v>0</v>
      </c>
      <c r="AG435" s="48" t="n">
        <v>0</v>
      </c>
      <c r="AH435" s="49" t="n">
        <v>0</v>
      </c>
      <c r="AI435" s="49" t="n">
        <v>0</v>
      </c>
      <c r="AJ435" s="50" t="n">
        <v>0</v>
      </c>
      <c r="AK435" s="51" t="n">
        <v>0</v>
      </c>
      <c r="AL435" s="52" t="n">
        <v>0</v>
      </c>
      <c r="AM435" s="52" t="n">
        <v>0</v>
      </c>
      <c r="AN435" s="52" t="n">
        <v>0</v>
      </c>
      <c r="AO435" s="53" t="n">
        <v>0</v>
      </c>
      <c r="AP435" s="52" t="n">
        <v>0</v>
      </c>
      <c r="AQ435" s="53" t="n">
        <v>0</v>
      </c>
      <c r="AR435" s="52" t="n">
        <v>0</v>
      </c>
      <c r="AS435" s="51" t="n">
        <v>0</v>
      </c>
      <c r="AT435" s="48" t="n">
        <v>0</v>
      </c>
      <c r="AU435" s="49" t="n">
        <v>0</v>
      </c>
      <c r="AV435" s="49" t="n">
        <v>0</v>
      </c>
      <c r="AW435" s="50" t="n">
        <v>0</v>
      </c>
      <c r="AX435" s="51" t="n">
        <v>0</v>
      </c>
      <c r="AY435" s="52" t="n">
        <v>0</v>
      </c>
      <c r="AZ435" s="52" t="n">
        <v>0</v>
      </c>
      <c r="BA435" s="52" t="n">
        <v>0</v>
      </c>
      <c r="BB435" s="53" t="n">
        <v>0</v>
      </c>
      <c r="BC435" s="52" t="n">
        <v>0</v>
      </c>
      <c r="BD435" s="53" t="n">
        <v>0</v>
      </c>
      <c r="BE435" s="52" t="n">
        <v>0</v>
      </c>
      <c r="BF435" s="51" t="n">
        <v>0</v>
      </c>
    </row>
    <row r="436">
      <c r="A436">
        <f>HYPERLINK("https://www.walmart.com/ip/422542354", "422542354")</f>
        <v/>
      </c>
      <c r="B436" t="inlineStr">
        <is>
          <t>Oversized Hooded Poncho Cape, Casual Hoodie Sweatshirt, Batwing Coat Pullover | Light Weight, Cozy, Comfortable, Roomy | for Adults Women Men Teens</t>
        </is>
      </c>
      <c r="C436" t="inlineStr">
        <is>
          <t>1CTHD542DBL</t>
        </is>
      </c>
      <c r="D436" t="inlineStr">
        <is>
          <t>Sweatshirts &amp; Hoodies</t>
        </is>
      </c>
      <c r="E436" t="inlineStr">
        <is>
          <t>Catalonia</t>
        </is>
      </c>
      <c r="F436" t="inlineStr">
        <is>
          <t>Hoodie ForAdult,Optimized,Coupon_Discount</t>
        </is>
      </c>
      <c r="G436" s="48" t="n">
        <v>0</v>
      </c>
      <c r="H436" s="49" t="n">
        <v>0</v>
      </c>
      <c r="I436" s="49" t="n">
        <v>0</v>
      </c>
      <c r="J436" s="50" t="n">
        <v>0</v>
      </c>
      <c r="K436" s="51" t="n">
        <v>0</v>
      </c>
      <c r="L436" s="52" t="n">
        <v>0</v>
      </c>
      <c r="M436" s="52" t="n">
        <v>0</v>
      </c>
      <c r="N436" s="52" t="n">
        <v>0</v>
      </c>
      <c r="O436" s="53" t="n">
        <v>0</v>
      </c>
      <c r="P436" s="52" t="n">
        <v>0</v>
      </c>
      <c r="Q436" s="53" t="n">
        <v>0</v>
      </c>
      <c r="R436" s="52" t="n">
        <v>0</v>
      </c>
      <c r="S436" s="51" t="n">
        <v>0</v>
      </c>
      <c r="T436" s="48" t="n">
        <v>0</v>
      </c>
      <c r="U436" s="49" t="n">
        <v>0</v>
      </c>
      <c r="V436" s="49" t="n">
        <v>0</v>
      </c>
      <c r="W436" s="50" t="n">
        <v>0</v>
      </c>
      <c r="X436" s="51" t="n">
        <v>0</v>
      </c>
      <c r="Y436" s="52" t="n">
        <v>0</v>
      </c>
      <c r="Z436" s="52" t="n">
        <v>0</v>
      </c>
      <c r="AA436" s="52" t="n">
        <v>0</v>
      </c>
      <c r="AB436" s="53" t="n">
        <v>0</v>
      </c>
      <c r="AC436" s="52" t="n">
        <v>0</v>
      </c>
      <c r="AD436" s="53" t="n">
        <v>0</v>
      </c>
      <c r="AE436" s="52" t="n">
        <v>0</v>
      </c>
      <c r="AF436" s="51" t="n">
        <v>0</v>
      </c>
      <c r="AG436" s="48" t="n">
        <v>0</v>
      </c>
      <c r="AH436" s="49" t="n">
        <v>0</v>
      </c>
      <c r="AI436" s="49" t="n">
        <v>0</v>
      </c>
      <c r="AJ436" s="50" t="n">
        <v>0</v>
      </c>
      <c r="AK436" s="51" t="n">
        <v>0</v>
      </c>
      <c r="AL436" s="52" t="n">
        <v>0</v>
      </c>
      <c r="AM436" s="52" t="n">
        <v>0</v>
      </c>
      <c r="AN436" s="52" t="n">
        <v>0</v>
      </c>
      <c r="AO436" s="53" t="n">
        <v>0</v>
      </c>
      <c r="AP436" s="52" t="n">
        <v>0</v>
      </c>
      <c r="AQ436" s="53" t="n">
        <v>0</v>
      </c>
      <c r="AR436" s="52" t="n">
        <v>0</v>
      </c>
      <c r="AS436" s="51" t="n">
        <v>0</v>
      </c>
      <c r="AT436" s="48" t="n">
        <v>0</v>
      </c>
      <c r="AU436" s="49" t="n">
        <v>0</v>
      </c>
      <c r="AV436" s="49" t="n">
        <v>0</v>
      </c>
      <c r="AW436" s="50" t="n">
        <v>0</v>
      </c>
      <c r="AX436" s="51" t="n">
        <v>0</v>
      </c>
      <c r="AY436" s="52" t="n">
        <v>0</v>
      </c>
      <c r="AZ436" s="52" t="n">
        <v>0</v>
      </c>
      <c r="BA436" s="52" t="n">
        <v>0</v>
      </c>
      <c r="BB436" s="53" t="n">
        <v>0</v>
      </c>
      <c r="BC436" s="52" t="n">
        <v>0</v>
      </c>
      <c r="BD436" s="53" t="n">
        <v>0</v>
      </c>
      <c r="BE436" s="52" t="n">
        <v>0</v>
      </c>
      <c r="BF436" s="51" t="n">
        <v>0</v>
      </c>
    </row>
    <row r="437">
      <c r="A437">
        <f>HYPERLINK("https://www.walmart.com/ip/422826563", "422826563")</f>
        <v/>
      </c>
      <c r="B437" t="inlineStr">
        <is>
          <t>Catalonia Sherpa Throw Blanket, Reversible Cozy Waffle Pattern Knitted Blanket Throw for Couch Bed 60"x50"</t>
        </is>
      </c>
      <c r="C437" t="inlineStr">
        <is>
          <t>1CTBN300PK</t>
        </is>
      </c>
      <c r="D437" t="inlineStr">
        <is>
          <t>Throws</t>
        </is>
      </c>
      <c r="E437" t="inlineStr">
        <is>
          <t>Catalonia</t>
        </is>
      </c>
      <c r="F437" t="inlineStr">
        <is>
          <t>Q2-Target,Coupon_Discount,Batch 1 - TR</t>
        </is>
      </c>
      <c r="G437" s="48" t="n">
        <v>0</v>
      </c>
      <c r="H437" s="49" t="n">
        <v>0</v>
      </c>
      <c r="I437" s="49" t="n">
        <v>0</v>
      </c>
      <c r="J437" s="50" t="n">
        <v>0</v>
      </c>
      <c r="K437" s="51" t="n">
        <v>0</v>
      </c>
      <c r="L437" s="52" t="n">
        <v>0</v>
      </c>
      <c r="M437" s="52" t="n">
        <v>0</v>
      </c>
      <c r="N437" s="52" t="n">
        <v>0</v>
      </c>
      <c r="O437" s="53" t="n">
        <v>0</v>
      </c>
      <c r="P437" s="52" t="n">
        <v>0</v>
      </c>
      <c r="Q437" s="53" t="n">
        <v>0</v>
      </c>
      <c r="R437" s="52" t="n">
        <v>0</v>
      </c>
      <c r="S437" s="51" t="n">
        <v>0</v>
      </c>
      <c r="T437" s="48" t="n">
        <v>0</v>
      </c>
      <c r="U437" s="49" t="n">
        <v>0</v>
      </c>
      <c r="V437" s="49" t="n">
        <v>0</v>
      </c>
      <c r="W437" s="50" t="n">
        <v>0</v>
      </c>
      <c r="X437" s="51" t="n">
        <v>0</v>
      </c>
      <c r="Y437" s="52" t="n">
        <v>0</v>
      </c>
      <c r="Z437" s="52" t="n">
        <v>0</v>
      </c>
      <c r="AA437" s="52" t="n">
        <v>0</v>
      </c>
      <c r="AB437" s="53" t="n">
        <v>0</v>
      </c>
      <c r="AC437" s="52" t="n">
        <v>0</v>
      </c>
      <c r="AD437" s="53" t="n">
        <v>0</v>
      </c>
      <c r="AE437" s="52" t="n">
        <v>0</v>
      </c>
      <c r="AF437" s="51" t="n">
        <v>0</v>
      </c>
      <c r="AG437" s="48" t="n">
        <v>0</v>
      </c>
      <c r="AH437" s="49" t="n">
        <v>0</v>
      </c>
      <c r="AI437" s="49" t="n">
        <v>0</v>
      </c>
      <c r="AJ437" s="50" t="n">
        <v>0</v>
      </c>
      <c r="AK437" s="51" t="n">
        <v>0</v>
      </c>
      <c r="AL437" s="52" t="n">
        <v>0</v>
      </c>
      <c r="AM437" s="52" t="n">
        <v>0</v>
      </c>
      <c r="AN437" s="52" t="n">
        <v>0</v>
      </c>
      <c r="AO437" s="53" t="n">
        <v>0</v>
      </c>
      <c r="AP437" s="52" t="n">
        <v>0</v>
      </c>
      <c r="AQ437" s="53" t="n">
        <v>0</v>
      </c>
      <c r="AR437" s="52" t="n">
        <v>0</v>
      </c>
      <c r="AS437" s="51" t="n">
        <v>0</v>
      </c>
      <c r="AT437" s="48" t="n">
        <v>0</v>
      </c>
      <c r="AU437" s="49" t="n">
        <v>0</v>
      </c>
      <c r="AV437" s="49" t="n">
        <v>0</v>
      </c>
      <c r="AW437" s="50" t="n">
        <v>0</v>
      </c>
      <c r="AX437" s="51" t="n">
        <v>0</v>
      </c>
      <c r="AY437" s="52" t="n">
        <v>0</v>
      </c>
      <c r="AZ437" s="52" t="n">
        <v>0</v>
      </c>
      <c r="BA437" s="52" t="n">
        <v>0</v>
      </c>
      <c r="BB437" s="53" t="n">
        <v>0</v>
      </c>
      <c r="BC437" s="52" t="n">
        <v>0</v>
      </c>
      <c r="BD437" s="53" t="n">
        <v>0</v>
      </c>
      <c r="BE437" s="52" t="n">
        <v>0</v>
      </c>
      <c r="BF437" s="51" t="n">
        <v>0</v>
      </c>
    </row>
    <row r="438">
      <c r="A438">
        <f>HYPERLINK("https://www.walmart.com/ip/422946607", "422946607")</f>
        <v/>
      </c>
      <c r="B438" t="inlineStr">
        <is>
          <t>JenniWears Women Sexy Lace Boyshort Panty Plus Size Stretch Mesh Briefs Lingerie Underwear Sleepwear White</t>
        </is>
      </c>
      <c r="C438" t="inlineStr">
        <is>
          <t>JWPT05WT-3XL</t>
        </is>
      </c>
      <c r="D438" t="inlineStr">
        <is>
          <t>Panties</t>
        </is>
      </c>
      <c r="E438" t="inlineStr">
        <is>
          <t>JenniWears</t>
        </is>
      </c>
      <c r="F438" t="inlineStr">
        <is>
          <t>Batch 1 - TR</t>
        </is>
      </c>
      <c r="G438" s="48" t="n">
        <v>0</v>
      </c>
      <c r="H438" s="49" t="n">
        <v>0</v>
      </c>
      <c r="I438" s="49" t="n">
        <v>0</v>
      </c>
      <c r="J438" s="50" t="n">
        <v>0</v>
      </c>
      <c r="K438" s="51" t="n">
        <v>0</v>
      </c>
      <c r="L438" s="52" t="n">
        <v>0</v>
      </c>
      <c r="M438" s="52" t="n">
        <v>0</v>
      </c>
      <c r="N438" s="52" t="n">
        <v>0</v>
      </c>
      <c r="O438" s="53" t="n">
        <v>0</v>
      </c>
      <c r="P438" s="52" t="n">
        <v>0</v>
      </c>
      <c r="Q438" s="53" t="n">
        <v>0</v>
      </c>
      <c r="R438" s="52" t="n">
        <v>0</v>
      </c>
      <c r="S438" s="51" t="n">
        <v>0</v>
      </c>
      <c r="T438" s="48" t="n">
        <v>0</v>
      </c>
      <c r="U438" s="49" t="n">
        <v>0</v>
      </c>
      <c r="V438" s="49" t="n">
        <v>0</v>
      </c>
      <c r="W438" s="50" t="n">
        <v>0</v>
      </c>
      <c r="X438" s="51" t="n">
        <v>0</v>
      </c>
      <c r="Y438" s="52" t="n">
        <v>0</v>
      </c>
      <c r="Z438" s="52" t="n">
        <v>0</v>
      </c>
      <c r="AA438" s="52" t="n">
        <v>0</v>
      </c>
      <c r="AB438" s="53" t="n">
        <v>0</v>
      </c>
      <c r="AC438" s="52" t="n">
        <v>0</v>
      </c>
      <c r="AD438" s="53" t="n">
        <v>0</v>
      </c>
      <c r="AE438" s="52" t="n">
        <v>0</v>
      </c>
      <c r="AF438" s="51" t="n">
        <v>0</v>
      </c>
      <c r="AG438" s="48" t="n">
        <v>0</v>
      </c>
      <c r="AH438" s="49" t="n">
        <v>0</v>
      </c>
      <c r="AI438" s="49" t="n">
        <v>0</v>
      </c>
      <c r="AJ438" s="50" t="n">
        <v>0</v>
      </c>
      <c r="AK438" s="51" t="n">
        <v>0</v>
      </c>
      <c r="AL438" s="52" t="n">
        <v>0</v>
      </c>
      <c r="AM438" s="52" t="n">
        <v>0</v>
      </c>
      <c r="AN438" s="52" t="n">
        <v>0</v>
      </c>
      <c r="AO438" s="53" t="n">
        <v>0</v>
      </c>
      <c r="AP438" s="52" t="n">
        <v>0</v>
      </c>
      <c r="AQ438" s="53" t="n">
        <v>0</v>
      </c>
      <c r="AR438" s="52" t="n">
        <v>0</v>
      </c>
      <c r="AS438" s="51" t="n">
        <v>0</v>
      </c>
      <c r="AT438" s="48" t="n">
        <v>0</v>
      </c>
      <c r="AU438" s="49" t="n">
        <v>0</v>
      </c>
      <c r="AV438" s="49" t="n">
        <v>0</v>
      </c>
      <c r="AW438" s="50" t="n">
        <v>0</v>
      </c>
      <c r="AX438" s="51" t="n">
        <v>0</v>
      </c>
      <c r="AY438" s="52" t="n">
        <v>0</v>
      </c>
      <c r="AZ438" s="52" t="n">
        <v>0</v>
      </c>
      <c r="BA438" s="52" t="n">
        <v>0</v>
      </c>
      <c r="BB438" s="53" t="n">
        <v>0</v>
      </c>
      <c r="BC438" s="52" t="n">
        <v>0</v>
      </c>
      <c r="BD438" s="53" t="n">
        <v>0</v>
      </c>
      <c r="BE438" s="52" t="n">
        <v>0</v>
      </c>
      <c r="BF438" s="51" t="n">
        <v>0</v>
      </c>
    </row>
    <row r="439">
      <c r="A439">
        <f>HYPERLINK("https://www.walmart.com/ip/440878931", "440878931")</f>
        <v/>
      </c>
      <c r="B439" t="inlineStr">
        <is>
          <t>Catalonia Sherpa Blanket for Bed, Super Soft Fleece Plush Sofa Couch Throw Blanket, TV Bed Blanket, Comfy Cozy Fluffy Warm Comforter, Caring Gift(Grey,60x80 inches)</t>
        </is>
      </c>
      <c r="C439" t="inlineStr">
        <is>
          <t>1CTBF368GY</t>
        </is>
      </c>
      <c r="D439" t="inlineStr">
        <is>
          <t>Throws</t>
        </is>
      </c>
      <c r="E439" t="inlineStr">
        <is>
          <t>Catalonia</t>
        </is>
      </c>
      <c r="F439" t="inlineStr">
        <is>
          <t>WFS,WFS Item</t>
        </is>
      </c>
      <c r="G439" s="48" t="n">
        <v>0</v>
      </c>
      <c r="H439" s="49" t="n">
        <v>0</v>
      </c>
      <c r="I439" s="49" t="n">
        <v>0</v>
      </c>
      <c r="J439" s="50" t="n">
        <v>0</v>
      </c>
      <c r="K439" s="51" t="n">
        <v>0</v>
      </c>
      <c r="L439" s="52" t="n">
        <v>0</v>
      </c>
      <c r="M439" s="52" t="n">
        <v>0</v>
      </c>
      <c r="N439" s="52" t="n">
        <v>0</v>
      </c>
      <c r="O439" s="53" t="n">
        <v>0</v>
      </c>
      <c r="P439" s="52" t="n">
        <v>0</v>
      </c>
      <c r="Q439" s="53" t="n">
        <v>0</v>
      </c>
      <c r="R439" s="52" t="n">
        <v>0</v>
      </c>
      <c r="S439" s="51" t="n">
        <v>0</v>
      </c>
      <c r="T439" s="48" t="n">
        <v>0</v>
      </c>
      <c r="U439" s="49" t="n">
        <v>0</v>
      </c>
      <c r="V439" s="49" t="n">
        <v>0</v>
      </c>
      <c r="W439" s="50" t="n">
        <v>0</v>
      </c>
      <c r="X439" s="51" t="n">
        <v>0</v>
      </c>
      <c r="Y439" s="52" t="n">
        <v>0</v>
      </c>
      <c r="Z439" s="52" t="n">
        <v>0</v>
      </c>
      <c r="AA439" s="52" t="n">
        <v>0</v>
      </c>
      <c r="AB439" s="53" t="n">
        <v>0</v>
      </c>
      <c r="AC439" s="52" t="n">
        <v>0</v>
      </c>
      <c r="AD439" s="53" t="n">
        <v>0</v>
      </c>
      <c r="AE439" s="52" t="n">
        <v>0</v>
      </c>
      <c r="AF439" s="51" t="n">
        <v>0</v>
      </c>
      <c r="AG439" s="48" t="n">
        <v>0</v>
      </c>
      <c r="AH439" s="49" t="n">
        <v>0</v>
      </c>
      <c r="AI439" s="49" t="n">
        <v>0</v>
      </c>
      <c r="AJ439" s="50" t="n">
        <v>0</v>
      </c>
      <c r="AK439" s="51" t="n">
        <v>0</v>
      </c>
      <c r="AL439" s="52" t="n">
        <v>0</v>
      </c>
      <c r="AM439" s="52" t="n">
        <v>0</v>
      </c>
      <c r="AN439" s="52" t="n">
        <v>0</v>
      </c>
      <c r="AO439" s="53" t="n">
        <v>0</v>
      </c>
      <c r="AP439" s="52" t="n">
        <v>0</v>
      </c>
      <c r="AQ439" s="53" t="n">
        <v>0</v>
      </c>
      <c r="AR439" s="52" t="n">
        <v>0</v>
      </c>
      <c r="AS439" s="51" t="n">
        <v>0</v>
      </c>
      <c r="AT439" s="48" t="n">
        <v>0</v>
      </c>
      <c r="AU439" s="49" t="n">
        <v>0</v>
      </c>
      <c r="AV439" s="49" t="n">
        <v>0</v>
      </c>
      <c r="AW439" s="50" t="n">
        <v>0</v>
      </c>
      <c r="AX439" s="51" t="n">
        <v>0</v>
      </c>
      <c r="AY439" s="52" t="n">
        <v>0</v>
      </c>
      <c r="AZ439" s="52" t="n">
        <v>0</v>
      </c>
      <c r="BA439" s="52" t="n">
        <v>0</v>
      </c>
      <c r="BB439" s="53" t="n">
        <v>0</v>
      </c>
      <c r="BC439" s="52" t="n">
        <v>0</v>
      </c>
      <c r="BD439" s="53" t="n">
        <v>0</v>
      </c>
      <c r="BE439" s="52" t="n">
        <v>0</v>
      </c>
      <c r="BF439" s="51" t="n">
        <v>0</v>
      </c>
    </row>
    <row r="440">
      <c r="A440">
        <f>HYPERLINK("https://www.walmart.com/ip/441329120", "441329120")</f>
        <v/>
      </c>
      <c r="B440" t="inlineStr">
        <is>
          <t>Tirrinia Warm Comfy Foldable Waterproof Outdoor Blanket For Camping, 59'' X 80'', Black/Grey</t>
        </is>
      </c>
      <c r="C440" t="inlineStr">
        <is>
          <t>1TRBW608BKGY-TBCB</t>
        </is>
      </c>
      <c r="D440" t="inlineStr">
        <is>
          <t>Bed Blankets</t>
        </is>
      </c>
      <c r="E440" t="inlineStr">
        <is>
          <t>Tirrinia</t>
        </is>
      </c>
      <c r="F440" t="inlineStr">
        <is>
          <t>Q2-Target,Optimized</t>
        </is>
      </c>
      <c r="G440" s="48" t="n">
        <v>0</v>
      </c>
      <c r="H440" s="49" t="n">
        <v>0</v>
      </c>
      <c r="I440" s="49" t="n">
        <v>0</v>
      </c>
      <c r="J440" s="50" t="n">
        <v>0</v>
      </c>
      <c r="K440" s="51" t="n">
        <v>0</v>
      </c>
      <c r="L440" s="52" t="n">
        <v>0</v>
      </c>
      <c r="M440" s="52" t="n">
        <v>0</v>
      </c>
      <c r="N440" s="52" t="n">
        <v>0</v>
      </c>
      <c r="O440" s="53" t="n">
        <v>0</v>
      </c>
      <c r="P440" s="52" t="n">
        <v>0</v>
      </c>
      <c r="Q440" s="53" t="n">
        <v>0</v>
      </c>
      <c r="R440" s="52" t="n">
        <v>0</v>
      </c>
      <c r="S440" s="51" t="n">
        <v>0</v>
      </c>
      <c r="T440" s="48" t="n">
        <v>39.99</v>
      </c>
      <c r="U440" s="49" t="n">
        <v>1</v>
      </c>
      <c r="V440" s="49" t="n">
        <v>0</v>
      </c>
      <c r="W440" s="50" t="n">
        <v>0</v>
      </c>
      <c r="X440" s="51" t="n">
        <v>0</v>
      </c>
      <c r="Y440" s="52" t="n">
        <v>0</v>
      </c>
      <c r="Z440" s="52" t="n">
        <v>0</v>
      </c>
      <c r="AA440" s="52" t="n">
        <v>0</v>
      </c>
      <c r="AB440" s="53" t="n">
        <v>0</v>
      </c>
      <c r="AC440" s="52" t="n">
        <v>0</v>
      </c>
      <c r="AD440" s="53" t="n">
        <v>0</v>
      </c>
      <c r="AE440" s="52" t="n">
        <v>39.99</v>
      </c>
      <c r="AF440" s="51" t="n">
        <v>0</v>
      </c>
      <c r="AG440" s="48" t="n">
        <v>0</v>
      </c>
      <c r="AH440" s="49" t="n">
        <v>0</v>
      </c>
      <c r="AI440" s="49" t="n">
        <v>0</v>
      </c>
      <c r="AJ440" s="50" t="n">
        <v>0</v>
      </c>
      <c r="AK440" s="51" t="n">
        <v>0</v>
      </c>
      <c r="AL440" s="52" t="n">
        <v>0</v>
      </c>
      <c r="AM440" s="52" t="n">
        <v>0</v>
      </c>
      <c r="AN440" s="52" t="n">
        <v>0</v>
      </c>
      <c r="AO440" s="53" t="n">
        <v>0</v>
      </c>
      <c r="AP440" s="52" t="n">
        <v>0</v>
      </c>
      <c r="AQ440" s="53" t="n">
        <v>0</v>
      </c>
      <c r="AR440" s="52" t="n">
        <v>0</v>
      </c>
      <c r="AS440" s="51" t="n">
        <v>0</v>
      </c>
      <c r="AT440" s="48" t="n">
        <v>0</v>
      </c>
      <c r="AU440" s="49" t="n">
        <v>0</v>
      </c>
      <c r="AV440" s="49" t="n">
        <v>0</v>
      </c>
      <c r="AW440" s="50" t="n">
        <v>0</v>
      </c>
      <c r="AX440" s="51" t="n">
        <v>0</v>
      </c>
      <c r="AY440" s="52" t="n">
        <v>0</v>
      </c>
      <c r="AZ440" s="52" t="n">
        <v>0</v>
      </c>
      <c r="BA440" s="52" t="n">
        <v>0</v>
      </c>
      <c r="BB440" s="53" t="n">
        <v>0</v>
      </c>
      <c r="BC440" s="52" t="n">
        <v>0</v>
      </c>
      <c r="BD440" s="53" t="n">
        <v>0</v>
      </c>
      <c r="BE440" s="52" t="n">
        <v>0</v>
      </c>
      <c r="BF440" s="51" t="n">
        <v>0</v>
      </c>
    </row>
    <row r="441">
      <c r="A441">
        <f>HYPERLINK("https://www.walmart.com/ip/415701197", "415701197")</f>
        <v/>
      </c>
      <c r="B441" t="inlineStr">
        <is>
          <t>Solaris Sun Hats UV Protection Wide Brim Hat Unisex Adult Multicolor</t>
        </is>
      </c>
      <c r="C441" t="inlineStr">
        <is>
          <t>1SLSH910GN</t>
        </is>
      </c>
      <c r="D441" t="inlineStr">
        <is>
          <t>Hats</t>
        </is>
      </c>
      <c r="E441" t="inlineStr">
        <is>
          <t>Solaris</t>
        </is>
      </c>
      <c r="F441" t="inlineStr">
        <is>
          <t>Hats,Batch 1 - TR</t>
        </is>
      </c>
      <c r="G441" s="48" t="n">
        <v>0</v>
      </c>
      <c r="H441" s="49" t="n">
        <v>0</v>
      </c>
      <c r="I441" s="49" t="n">
        <v>0</v>
      </c>
      <c r="J441" s="50" t="n">
        <v>0</v>
      </c>
      <c r="K441" s="51" t="n">
        <v>0</v>
      </c>
      <c r="L441" s="52" t="n">
        <v>0</v>
      </c>
      <c r="M441" s="52" t="n">
        <v>0</v>
      </c>
      <c r="N441" s="52" t="n">
        <v>0</v>
      </c>
      <c r="O441" s="53" t="n">
        <v>0</v>
      </c>
      <c r="P441" s="52" t="n">
        <v>0</v>
      </c>
      <c r="Q441" s="53" t="n">
        <v>0</v>
      </c>
      <c r="R441" s="52" t="n">
        <v>0</v>
      </c>
      <c r="S441" s="51" t="n">
        <v>0</v>
      </c>
      <c r="T441" s="48" t="n">
        <v>0</v>
      </c>
      <c r="U441" s="49" t="n">
        <v>0</v>
      </c>
      <c r="V441" s="49" t="n">
        <v>0</v>
      </c>
      <c r="W441" s="50" t="n">
        <v>0</v>
      </c>
      <c r="X441" s="51" t="n">
        <v>0</v>
      </c>
      <c r="Y441" s="52" t="n">
        <v>0</v>
      </c>
      <c r="Z441" s="52" t="n">
        <v>0</v>
      </c>
      <c r="AA441" s="52" t="n">
        <v>0</v>
      </c>
      <c r="AB441" s="53" t="n">
        <v>0</v>
      </c>
      <c r="AC441" s="52" t="n">
        <v>0</v>
      </c>
      <c r="AD441" s="53" t="n">
        <v>0</v>
      </c>
      <c r="AE441" s="52" t="n">
        <v>0</v>
      </c>
      <c r="AF441" s="51" t="n">
        <v>0</v>
      </c>
      <c r="AG441" s="48" t="n">
        <v>0</v>
      </c>
      <c r="AH441" s="49" t="n">
        <v>0</v>
      </c>
      <c r="AI441" s="49" t="n">
        <v>0</v>
      </c>
      <c r="AJ441" s="50" t="n">
        <v>0</v>
      </c>
      <c r="AK441" s="51" t="n">
        <v>0</v>
      </c>
      <c r="AL441" s="52" t="n">
        <v>0</v>
      </c>
      <c r="AM441" s="52" t="n">
        <v>0</v>
      </c>
      <c r="AN441" s="52" t="n">
        <v>0</v>
      </c>
      <c r="AO441" s="53" t="n">
        <v>0</v>
      </c>
      <c r="AP441" s="52" t="n">
        <v>0</v>
      </c>
      <c r="AQ441" s="53" t="n">
        <v>0</v>
      </c>
      <c r="AR441" s="52" t="n">
        <v>0</v>
      </c>
      <c r="AS441" s="51" t="n">
        <v>0</v>
      </c>
      <c r="AT441" s="48" t="n">
        <v>0</v>
      </c>
      <c r="AU441" s="49" t="n">
        <v>0</v>
      </c>
      <c r="AV441" s="49" t="n">
        <v>0</v>
      </c>
      <c r="AW441" s="50" t="n">
        <v>0</v>
      </c>
      <c r="AX441" s="51" t="n">
        <v>0</v>
      </c>
      <c r="AY441" s="52" t="n">
        <v>0</v>
      </c>
      <c r="AZ441" s="52" t="n">
        <v>0</v>
      </c>
      <c r="BA441" s="52" t="n">
        <v>0</v>
      </c>
      <c r="BB441" s="53" t="n">
        <v>0</v>
      </c>
      <c r="BC441" s="52" t="n">
        <v>0</v>
      </c>
      <c r="BD441" s="53" t="n">
        <v>0</v>
      </c>
      <c r="BE441" s="52" t="n">
        <v>0</v>
      </c>
      <c r="BF441" s="51" t="n">
        <v>0</v>
      </c>
    </row>
    <row r="442">
      <c r="A442">
        <f>HYPERLINK("https://www.walmart.com/ip/442936605", "442936605")</f>
        <v/>
      </c>
      <c r="B442" t="inlineStr">
        <is>
          <t>Womens Sun Hats Summer Reversible UPF 50+ Beach, Hiking Hat, Foldable Floppy Wide Brim Cap</t>
        </is>
      </c>
      <c r="C442" t="inlineStr">
        <is>
          <t>TERRACAP-F069-BLU</t>
        </is>
      </c>
      <c r="D442" t="inlineStr">
        <is>
          <t>Hats</t>
        </is>
      </c>
      <c r="E442" t="inlineStr">
        <is>
          <t>Terra</t>
        </is>
      </c>
      <c r="F442" t="inlineStr">
        <is>
          <t>Hats,Batch 1 - TR</t>
        </is>
      </c>
      <c r="G442" s="48" t="n">
        <v>0</v>
      </c>
      <c r="H442" s="49" t="n">
        <v>0</v>
      </c>
      <c r="I442" s="49" t="n">
        <v>0</v>
      </c>
      <c r="J442" s="50" t="n">
        <v>0</v>
      </c>
      <c r="K442" s="51" t="n">
        <v>0</v>
      </c>
      <c r="L442" s="52" t="n">
        <v>0</v>
      </c>
      <c r="M442" s="52" t="n">
        <v>0</v>
      </c>
      <c r="N442" s="52" t="n">
        <v>0</v>
      </c>
      <c r="O442" s="53" t="n">
        <v>0</v>
      </c>
      <c r="P442" s="52" t="n">
        <v>0</v>
      </c>
      <c r="Q442" s="53" t="n">
        <v>0</v>
      </c>
      <c r="R442" s="52" t="n">
        <v>0</v>
      </c>
      <c r="S442" s="51" t="n">
        <v>0</v>
      </c>
      <c r="T442" s="48" t="n">
        <v>0</v>
      </c>
      <c r="U442" s="49" t="n">
        <v>0</v>
      </c>
      <c r="V442" s="49" t="n">
        <v>0</v>
      </c>
      <c r="W442" s="50" t="n">
        <v>0</v>
      </c>
      <c r="X442" s="51" t="n">
        <v>0</v>
      </c>
      <c r="Y442" s="52" t="n">
        <v>0</v>
      </c>
      <c r="Z442" s="52" t="n">
        <v>0</v>
      </c>
      <c r="AA442" s="52" t="n">
        <v>0</v>
      </c>
      <c r="AB442" s="53" t="n">
        <v>0</v>
      </c>
      <c r="AC442" s="52" t="n">
        <v>0</v>
      </c>
      <c r="AD442" s="53" t="n">
        <v>0</v>
      </c>
      <c r="AE442" s="52" t="n">
        <v>0</v>
      </c>
      <c r="AF442" s="51" t="n">
        <v>0</v>
      </c>
      <c r="AG442" s="48" t="n">
        <v>0</v>
      </c>
      <c r="AH442" s="49" t="n">
        <v>0</v>
      </c>
      <c r="AI442" s="49" t="n">
        <v>0</v>
      </c>
      <c r="AJ442" s="50" t="n">
        <v>0</v>
      </c>
      <c r="AK442" s="51" t="n">
        <v>0</v>
      </c>
      <c r="AL442" s="52" t="n">
        <v>0</v>
      </c>
      <c r="AM442" s="52" t="n">
        <v>0</v>
      </c>
      <c r="AN442" s="52" t="n">
        <v>0</v>
      </c>
      <c r="AO442" s="53" t="n">
        <v>0</v>
      </c>
      <c r="AP442" s="52" t="n">
        <v>0</v>
      </c>
      <c r="AQ442" s="53" t="n">
        <v>0</v>
      </c>
      <c r="AR442" s="52" t="n">
        <v>0</v>
      </c>
      <c r="AS442" s="51" t="n">
        <v>0</v>
      </c>
      <c r="AT442" s="48" t="n">
        <v>0</v>
      </c>
      <c r="AU442" s="49" t="n">
        <v>0</v>
      </c>
      <c r="AV442" s="49" t="n">
        <v>0</v>
      </c>
      <c r="AW442" s="50" t="n">
        <v>0</v>
      </c>
      <c r="AX442" s="51" t="n">
        <v>0</v>
      </c>
      <c r="AY442" s="52" t="n">
        <v>0</v>
      </c>
      <c r="AZ442" s="52" t="n">
        <v>0</v>
      </c>
      <c r="BA442" s="52" t="n">
        <v>0</v>
      </c>
      <c r="BB442" s="53" t="n">
        <v>0</v>
      </c>
      <c r="BC442" s="52" t="n">
        <v>0</v>
      </c>
      <c r="BD442" s="53" t="n">
        <v>0</v>
      </c>
      <c r="BE442" s="52" t="n">
        <v>0</v>
      </c>
      <c r="BF442" s="51" t="n">
        <v>0</v>
      </c>
    </row>
    <row r="443">
      <c r="A443">
        <f>HYPERLINK("https://www.walmart.com/ip/451338028", "451338028")</f>
        <v/>
      </c>
      <c r="B443" t="inlineStr">
        <is>
          <t>Terra Men Boxer Brief Underwear Best 3 Pack Most Comfortable Cotton Trunk Short</t>
        </is>
      </c>
      <c r="C443" t="inlineStr">
        <is>
          <t>TERRA-BOXER11-M</t>
        </is>
      </c>
      <c r="D443" t="inlineStr">
        <is>
          <t>Underpants</t>
        </is>
      </c>
      <c r="E443" t="inlineStr">
        <is>
          <t>Terra</t>
        </is>
      </c>
      <c r="F443" t="inlineStr">
        <is>
          <t>Batch 1 - TR</t>
        </is>
      </c>
      <c r="G443" s="48" t="n">
        <v>0</v>
      </c>
      <c r="H443" s="49" t="n">
        <v>0</v>
      </c>
      <c r="I443" s="49" t="n">
        <v>0</v>
      </c>
      <c r="J443" s="50" t="n">
        <v>0</v>
      </c>
      <c r="K443" s="51" t="n">
        <v>0</v>
      </c>
      <c r="L443" s="52" t="n">
        <v>0</v>
      </c>
      <c r="M443" s="52" t="n">
        <v>0</v>
      </c>
      <c r="N443" s="52" t="n">
        <v>0</v>
      </c>
      <c r="O443" s="53" t="n">
        <v>0</v>
      </c>
      <c r="P443" s="52" t="n">
        <v>0</v>
      </c>
      <c r="Q443" s="53" t="n">
        <v>0</v>
      </c>
      <c r="R443" s="52" t="n">
        <v>0</v>
      </c>
      <c r="S443" s="51" t="n">
        <v>0</v>
      </c>
      <c r="T443" s="48" t="n">
        <v>0</v>
      </c>
      <c r="U443" s="49" t="n">
        <v>0</v>
      </c>
      <c r="V443" s="49" t="n">
        <v>0</v>
      </c>
      <c r="W443" s="50" t="n">
        <v>0</v>
      </c>
      <c r="X443" s="51" t="n">
        <v>0</v>
      </c>
      <c r="Y443" s="52" t="n">
        <v>0</v>
      </c>
      <c r="Z443" s="52" t="n">
        <v>0</v>
      </c>
      <c r="AA443" s="52" t="n">
        <v>0</v>
      </c>
      <c r="AB443" s="53" t="n">
        <v>0</v>
      </c>
      <c r="AC443" s="52" t="n">
        <v>0</v>
      </c>
      <c r="AD443" s="53" t="n">
        <v>0</v>
      </c>
      <c r="AE443" s="52" t="n">
        <v>0</v>
      </c>
      <c r="AF443" s="51" t="n">
        <v>0</v>
      </c>
      <c r="AG443" s="48" t="n">
        <v>0</v>
      </c>
      <c r="AH443" s="49" t="n">
        <v>0</v>
      </c>
      <c r="AI443" s="49" t="n">
        <v>0</v>
      </c>
      <c r="AJ443" s="50" t="n">
        <v>0</v>
      </c>
      <c r="AK443" s="51" t="n">
        <v>0</v>
      </c>
      <c r="AL443" s="52" t="n">
        <v>0</v>
      </c>
      <c r="AM443" s="52" t="n">
        <v>0</v>
      </c>
      <c r="AN443" s="52" t="n">
        <v>0</v>
      </c>
      <c r="AO443" s="53" t="n">
        <v>0</v>
      </c>
      <c r="AP443" s="52" t="n">
        <v>0</v>
      </c>
      <c r="AQ443" s="53" t="n">
        <v>0</v>
      </c>
      <c r="AR443" s="52" t="n">
        <v>0</v>
      </c>
      <c r="AS443" s="51" t="n">
        <v>0</v>
      </c>
      <c r="AT443" s="48" t="n">
        <v>0</v>
      </c>
      <c r="AU443" s="49" t="n">
        <v>0</v>
      </c>
      <c r="AV443" s="49" t="n">
        <v>0</v>
      </c>
      <c r="AW443" s="50" t="n">
        <v>0</v>
      </c>
      <c r="AX443" s="51" t="n">
        <v>0</v>
      </c>
      <c r="AY443" s="52" t="n">
        <v>0</v>
      </c>
      <c r="AZ443" s="52" t="n">
        <v>0</v>
      </c>
      <c r="BA443" s="52" t="n">
        <v>0</v>
      </c>
      <c r="BB443" s="53" t="n">
        <v>0</v>
      </c>
      <c r="BC443" s="52" t="n">
        <v>0</v>
      </c>
      <c r="BD443" s="53" t="n">
        <v>0</v>
      </c>
      <c r="BE443" s="52" t="n">
        <v>0</v>
      </c>
      <c r="BF443" s="51" t="n">
        <v>0</v>
      </c>
    </row>
    <row r="444">
      <c r="A444">
        <f>HYPERLINK("https://www.walmart.com/ip/453616413", "453616413")</f>
        <v/>
      </c>
      <c r="B444" t="inlineStr">
        <is>
          <t>Sherpa Wearable Blanket with Sleeves &amp; Foot Pockets for Adult Women Men, Comfy Snuggle Wrap Sleeved Throw Blanket Robe, Cow Print, Gift Idea</t>
        </is>
      </c>
      <c r="C444" t="inlineStr">
        <is>
          <t>1CTSN310DMT</t>
        </is>
      </c>
      <c r="D444" t="inlineStr">
        <is>
          <t>Throws</t>
        </is>
      </c>
      <c r="E444" t="inlineStr">
        <is>
          <t>Catalonia</t>
        </is>
      </c>
      <c r="F444" t="inlineStr">
        <is>
          <t>Optimized,Coupon_Discount</t>
        </is>
      </c>
      <c r="G444" s="48" t="n">
        <v>0</v>
      </c>
      <c r="H444" s="49" t="n">
        <v>0</v>
      </c>
      <c r="I444" s="49" t="n">
        <v>0</v>
      </c>
      <c r="J444" s="50" t="n">
        <v>0</v>
      </c>
      <c r="K444" s="51" t="n">
        <v>0</v>
      </c>
      <c r="L444" s="52" t="n">
        <v>0</v>
      </c>
      <c r="M444" s="52" t="n">
        <v>0</v>
      </c>
      <c r="N444" s="52" t="n">
        <v>0</v>
      </c>
      <c r="O444" s="53" t="n">
        <v>0</v>
      </c>
      <c r="P444" s="52" t="n">
        <v>0</v>
      </c>
      <c r="Q444" s="53" t="n">
        <v>0</v>
      </c>
      <c r="R444" s="52" t="n">
        <v>0</v>
      </c>
      <c r="S444" s="51" t="n">
        <v>0</v>
      </c>
      <c r="T444" s="48" t="n">
        <v>0</v>
      </c>
      <c r="U444" s="49" t="n">
        <v>0</v>
      </c>
      <c r="V444" s="49" t="n">
        <v>0</v>
      </c>
      <c r="W444" s="50" t="n">
        <v>0</v>
      </c>
      <c r="X444" s="51" t="n">
        <v>0</v>
      </c>
      <c r="Y444" s="52" t="n">
        <v>0</v>
      </c>
      <c r="Z444" s="52" t="n">
        <v>0</v>
      </c>
      <c r="AA444" s="52" t="n">
        <v>0</v>
      </c>
      <c r="AB444" s="53" t="n">
        <v>0</v>
      </c>
      <c r="AC444" s="52" t="n">
        <v>0</v>
      </c>
      <c r="AD444" s="53" t="n">
        <v>0</v>
      </c>
      <c r="AE444" s="52" t="n">
        <v>0</v>
      </c>
      <c r="AF444" s="51" t="n">
        <v>0</v>
      </c>
      <c r="AG444" s="48" t="n">
        <v>0</v>
      </c>
      <c r="AH444" s="49" t="n">
        <v>0</v>
      </c>
      <c r="AI444" s="49" t="n">
        <v>0</v>
      </c>
      <c r="AJ444" s="50" t="n">
        <v>0</v>
      </c>
      <c r="AK444" s="51" t="n">
        <v>0</v>
      </c>
      <c r="AL444" s="52" t="n">
        <v>0</v>
      </c>
      <c r="AM444" s="52" t="n">
        <v>0</v>
      </c>
      <c r="AN444" s="52" t="n">
        <v>0</v>
      </c>
      <c r="AO444" s="53" t="n">
        <v>0</v>
      </c>
      <c r="AP444" s="52" t="n">
        <v>0</v>
      </c>
      <c r="AQ444" s="53" t="n">
        <v>0</v>
      </c>
      <c r="AR444" s="52" t="n">
        <v>0</v>
      </c>
      <c r="AS444" s="51" t="n">
        <v>0</v>
      </c>
      <c r="AT444" s="48" t="n">
        <v>0</v>
      </c>
      <c r="AU444" s="49" t="n">
        <v>0</v>
      </c>
      <c r="AV444" s="49" t="n">
        <v>0</v>
      </c>
      <c r="AW444" s="50" t="n">
        <v>0</v>
      </c>
      <c r="AX444" s="51" t="n">
        <v>0</v>
      </c>
      <c r="AY444" s="52" t="n">
        <v>0</v>
      </c>
      <c r="AZ444" s="52" t="n">
        <v>0</v>
      </c>
      <c r="BA444" s="52" t="n">
        <v>0</v>
      </c>
      <c r="BB444" s="53" t="n">
        <v>0</v>
      </c>
      <c r="BC444" s="52" t="n">
        <v>0</v>
      </c>
      <c r="BD444" s="53" t="n">
        <v>0</v>
      </c>
      <c r="BE444" s="52" t="n">
        <v>0</v>
      </c>
      <c r="BF444" s="51" t="n">
        <v>0</v>
      </c>
    </row>
    <row r="445">
      <c r="A445">
        <f>HYPERLINK("https://www.walmart.com/ip/453756272", "453756272")</f>
        <v/>
      </c>
      <c r="B445" t="inlineStr">
        <is>
          <t>Catalonia Sherpa Throw Blanket, Reversible Cozy Waffle Pattern Knitted Blanket Throw for Couch Bed 60"x50"</t>
        </is>
      </c>
      <c r="C445" t="inlineStr">
        <is>
          <t>1CTBN300BL</t>
        </is>
      </c>
      <c r="D445" t="inlineStr">
        <is>
          <t>Throws</t>
        </is>
      </c>
      <c r="E445" t="inlineStr">
        <is>
          <t>Catalonia</t>
        </is>
      </c>
      <c r="F445" t="inlineStr">
        <is>
          <t>Q2-Target,WFS,Coupon_Discount,WFS Item</t>
        </is>
      </c>
      <c r="G445" s="48" t="n">
        <v>0</v>
      </c>
      <c r="H445" s="49" t="n">
        <v>0</v>
      </c>
      <c r="I445" s="49" t="n">
        <v>0</v>
      </c>
      <c r="J445" s="50" t="n">
        <v>0</v>
      </c>
      <c r="K445" s="51" t="n">
        <v>0</v>
      </c>
      <c r="L445" s="52" t="n">
        <v>0</v>
      </c>
      <c r="M445" s="52" t="n">
        <v>0</v>
      </c>
      <c r="N445" s="52" t="n">
        <v>0</v>
      </c>
      <c r="O445" s="53" t="n">
        <v>0</v>
      </c>
      <c r="P445" s="52" t="n">
        <v>0</v>
      </c>
      <c r="Q445" s="53" t="n">
        <v>0</v>
      </c>
      <c r="R445" s="52" t="n">
        <v>0</v>
      </c>
      <c r="S445" s="51" t="n">
        <v>0</v>
      </c>
      <c r="T445" s="48" t="n">
        <v>0</v>
      </c>
      <c r="U445" s="49" t="n">
        <v>0</v>
      </c>
      <c r="V445" s="49" t="n">
        <v>0</v>
      </c>
      <c r="W445" s="50" t="n">
        <v>0</v>
      </c>
      <c r="X445" s="51" t="n">
        <v>0</v>
      </c>
      <c r="Y445" s="52" t="n">
        <v>0</v>
      </c>
      <c r="Z445" s="52" t="n">
        <v>0</v>
      </c>
      <c r="AA445" s="52" t="n">
        <v>0</v>
      </c>
      <c r="AB445" s="53" t="n">
        <v>0</v>
      </c>
      <c r="AC445" s="52" t="n">
        <v>0</v>
      </c>
      <c r="AD445" s="53" t="n">
        <v>0</v>
      </c>
      <c r="AE445" s="52" t="n">
        <v>0</v>
      </c>
      <c r="AF445" s="51" t="n">
        <v>0</v>
      </c>
      <c r="AG445" s="48" t="n">
        <v>0</v>
      </c>
      <c r="AH445" s="49" t="n">
        <v>0</v>
      </c>
      <c r="AI445" s="49" t="n">
        <v>0</v>
      </c>
      <c r="AJ445" s="50" t="n">
        <v>0</v>
      </c>
      <c r="AK445" s="51" t="n">
        <v>0</v>
      </c>
      <c r="AL445" s="52" t="n">
        <v>0</v>
      </c>
      <c r="AM445" s="52" t="n">
        <v>0</v>
      </c>
      <c r="AN445" s="52" t="n">
        <v>0</v>
      </c>
      <c r="AO445" s="53" t="n">
        <v>0</v>
      </c>
      <c r="AP445" s="52" t="n">
        <v>0</v>
      </c>
      <c r="AQ445" s="53" t="n">
        <v>0</v>
      </c>
      <c r="AR445" s="52" t="n">
        <v>0</v>
      </c>
      <c r="AS445" s="51" t="n">
        <v>0</v>
      </c>
      <c r="AT445" s="48" t="n">
        <v>0</v>
      </c>
      <c r="AU445" s="49" t="n">
        <v>0</v>
      </c>
      <c r="AV445" s="49" t="n">
        <v>0</v>
      </c>
      <c r="AW445" s="50" t="n">
        <v>0</v>
      </c>
      <c r="AX445" s="51" t="n">
        <v>0</v>
      </c>
      <c r="AY445" s="52" t="n">
        <v>0</v>
      </c>
      <c r="AZ445" s="52" t="n">
        <v>0</v>
      </c>
      <c r="BA445" s="52" t="n">
        <v>0</v>
      </c>
      <c r="BB445" s="53" t="n">
        <v>0</v>
      </c>
      <c r="BC445" s="52" t="n">
        <v>0</v>
      </c>
      <c r="BD445" s="53" t="n">
        <v>0</v>
      </c>
      <c r="BE445" s="52" t="n">
        <v>0</v>
      </c>
      <c r="BF445" s="51" t="n">
        <v>0</v>
      </c>
    </row>
    <row r="446">
      <c r="A446">
        <f>HYPERLINK("https://www.walmart.com/ip/453956213", "453956213")</f>
        <v/>
      </c>
      <c r="B446" t="inlineStr">
        <is>
          <t>Catalonia Silky Soft Sherpa Throw Micro Plush Fleece Brown Blanket 50"x60", Flannel Chevron for Couch Sofa TV Bed, Reversible, Comfy, Fuzzy</t>
        </is>
      </c>
      <c r="C446" t="inlineStr">
        <is>
          <t>1CTBF560BR</t>
        </is>
      </c>
      <c r="D446" t="inlineStr">
        <is>
          <t>Throws</t>
        </is>
      </c>
      <c r="E446" t="inlineStr">
        <is>
          <t>Catalonia</t>
        </is>
      </c>
      <c r="F446" t="inlineStr">
        <is>
          <t>Q2-Target,Optimized,WFS,Coupon_Discount,WFS Item</t>
        </is>
      </c>
      <c r="G446" s="48" t="n">
        <v>0</v>
      </c>
      <c r="H446" s="49" t="n">
        <v>0</v>
      </c>
      <c r="I446" s="49" t="n">
        <v>0</v>
      </c>
      <c r="J446" s="50" t="n">
        <v>0</v>
      </c>
      <c r="K446" s="51" t="n">
        <v>0</v>
      </c>
      <c r="L446" s="52" t="n">
        <v>0</v>
      </c>
      <c r="M446" s="52" t="n">
        <v>0</v>
      </c>
      <c r="N446" s="52" t="n">
        <v>0</v>
      </c>
      <c r="O446" s="53" t="n">
        <v>0</v>
      </c>
      <c r="P446" s="52" t="n">
        <v>0</v>
      </c>
      <c r="Q446" s="53" t="n">
        <v>0</v>
      </c>
      <c r="R446" s="52" t="n">
        <v>0</v>
      </c>
      <c r="S446" s="51" t="n">
        <v>0</v>
      </c>
      <c r="T446" s="48" t="n">
        <v>0</v>
      </c>
      <c r="U446" s="49" t="n">
        <v>0</v>
      </c>
      <c r="V446" s="49" t="n">
        <v>0</v>
      </c>
      <c r="W446" s="50" t="n">
        <v>0</v>
      </c>
      <c r="X446" s="51" t="n">
        <v>0</v>
      </c>
      <c r="Y446" s="52" t="n">
        <v>0</v>
      </c>
      <c r="Z446" s="52" t="n">
        <v>0</v>
      </c>
      <c r="AA446" s="52" t="n">
        <v>0</v>
      </c>
      <c r="AB446" s="53" t="n">
        <v>0</v>
      </c>
      <c r="AC446" s="52" t="n">
        <v>0</v>
      </c>
      <c r="AD446" s="53" t="n">
        <v>0</v>
      </c>
      <c r="AE446" s="52" t="n">
        <v>0</v>
      </c>
      <c r="AF446" s="51" t="n">
        <v>0</v>
      </c>
      <c r="AG446" s="48" t="n">
        <v>0</v>
      </c>
      <c r="AH446" s="49" t="n">
        <v>0</v>
      </c>
      <c r="AI446" s="49" t="n">
        <v>0</v>
      </c>
      <c r="AJ446" s="50" t="n">
        <v>0</v>
      </c>
      <c r="AK446" s="51" t="n">
        <v>0</v>
      </c>
      <c r="AL446" s="52" t="n">
        <v>0</v>
      </c>
      <c r="AM446" s="52" t="n">
        <v>0</v>
      </c>
      <c r="AN446" s="52" t="n">
        <v>0</v>
      </c>
      <c r="AO446" s="53" t="n">
        <v>0</v>
      </c>
      <c r="AP446" s="52" t="n">
        <v>0</v>
      </c>
      <c r="AQ446" s="53" t="n">
        <v>0</v>
      </c>
      <c r="AR446" s="52" t="n">
        <v>0</v>
      </c>
      <c r="AS446" s="51" t="n">
        <v>0</v>
      </c>
      <c r="AT446" s="48" t="n">
        <v>0</v>
      </c>
      <c r="AU446" s="49" t="n">
        <v>0</v>
      </c>
      <c r="AV446" s="49" t="n">
        <v>0</v>
      </c>
      <c r="AW446" s="50" t="n">
        <v>0</v>
      </c>
      <c r="AX446" s="51" t="n">
        <v>0</v>
      </c>
      <c r="AY446" s="52" t="n">
        <v>0</v>
      </c>
      <c r="AZ446" s="52" t="n">
        <v>0</v>
      </c>
      <c r="BA446" s="52" t="n">
        <v>0</v>
      </c>
      <c r="BB446" s="53" t="n">
        <v>0</v>
      </c>
      <c r="BC446" s="52" t="n">
        <v>0</v>
      </c>
      <c r="BD446" s="53" t="n">
        <v>0</v>
      </c>
      <c r="BE446" s="52" t="n">
        <v>0</v>
      </c>
      <c r="BF446" s="51" t="n">
        <v>0</v>
      </c>
    </row>
    <row r="447">
      <c r="A447">
        <f>HYPERLINK("https://www.walmart.com/ip/454804063", "454804063")</f>
        <v/>
      </c>
      <c r="B447" t="inlineStr">
        <is>
          <t>Flyingstar Women's Ponytail Sun Hat for Hiking Gardening Safari, Breathable Mesh and Ponytail Hole Opening, Gray</t>
        </is>
      </c>
      <c r="C447" t="inlineStr">
        <is>
          <t>1WMSH912GY</t>
        </is>
      </c>
      <c r="D447" t="inlineStr">
        <is>
          <t>Hats</t>
        </is>
      </c>
      <c r="E447" t="inlineStr">
        <is>
          <t>Flyingstar</t>
        </is>
      </c>
      <c r="F447" t="inlineStr">
        <is>
          <t>Optimized</t>
        </is>
      </c>
      <c r="G447" s="48" t="n">
        <v>0</v>
      </c>
      <c r="H447" s="49" t="n">
        <v>0</v>
      </c>
      <c r="I447" s="49" t="n">
        <v>0</v>
      </c>
      <c r="J447" s="50" t="n">
        <v>0</v>
      </c>
      <c r="K447" s="51" t="n">
        <v>0</v>
      </c>
      <c r="L447" s="52" t="n">
        <v>0</v>
      </c>
      <c r="M447" s="52" t="n">
        <v>0</v>
      </c>
      <c r="N447" s="52" t="n">
        <v>0</v>
      </c>
      <c r="O447" s="53" t="n">
        <v>0</v>
      </c>
      <c r="P447" s="52" t="n">
        <v>0</v>
      </c>
      <c r="Q447" s="53" t="n">
        <v>0</v>
      </c>
      <c r="R447" s="52" t="n">
        <v>0</v>
      </c>
      <c r="S447" s="51" t="n">
        <v>0</v>
      </c>
      <c r="T447" s="48" t="n">
        <v>0</v>
      </c>
      <c r="U447" s="49" t="n">
        <v>0</v>
      </c>
      <c r="V447" s="49" t="n">
        <v>0</v>
      </c>
      <c r="W447" s="50" t="n">
        <v>0</v>
      </c>
      <c r="X447" s="51" t="n">
        <v>0</v>
      </c>
      <c r="Y447" s="52" t="n">
        <v>0</v>
      </c>
      <c r="Z447" s="52" t="n">
        <v>0</v>
      </c>
      <c r="AA447" s="52" t="n">
        <v>0</v>
      </c>
      <c r="AB447" s="53" t="n">
        <v>0</v>
      </c>
      <c r="AC447" s="52" t="n">
        <v>0</v>
      </c>
      <c r="AD447" s="53" t="n">
        <v>0</v>
      </c>
      <c r="AE447" s="52" t="n">
        <v>0</v>
      </c>
      <c r="AF447" s="51" t="n">
        <v>0</v>
      </c>
      <c r="AG447" s="48" t="n">
        <v>0</v>
      </c>
      <c r="AH447" s="49" t="n">
        <v>0</v>
      </c>
      <c r="AI447" s="49" t="n">
        <v>0</v>
      </c>
      <c r="AJ447" s="50" t="n">
        <v>0</v>
      </c>
      <c r="AK447" s="51" t="n">
        <v>0</v>
      </c>
      <c r="AL447" s="52" t="n">
        <v>0</v>
      </c>
      <c r="AM447" s="52" t="n">
        <v>0</v>
      </c>
      <c r="AN447" s="52" t="n">
        <v>0</v>
      </c>
      <c r="AO447" s="53" t="n">
        <v>0</v>
      </c>
      <c r="AP447" s="52" t="n">
        <v>0</v>
      </c>
      <c r="AQ447" s="53" t="n">
        <v>0</v>
      </c>
      <c r="AR447" s="52" t="n">
        <v>0</v>
      </c>
      <c r="AS447" s="51" t="n">
        <v>0</v>
      </c>
      <c r="AT447" s="48" t="n">
        <v>0</v>
      </c>
      <c r="AU447" s="49" t="n">
        <v>0</v>
      </c>
      <c r="AV447" s="49" t="n">
        <v>0</v>
      </c>
      <c r="AW447" s="50" t="n">
        <v>0</v>
      </c>
      <c r="AX447" s="51" t="n">
        <v>0</v>
      </c>
      <c r="AY447" s="52" t="n">
        <v>0</v>
      </c>
      <c r="AZ447" s="52" t="n">
        <v>0</v>
      </c>
      <c r="BA447" s="52" t="n">
        <v>0</v>
      </c>
      <c r="BB447" s="53" t="n">
        <v>0</v>
      </c>
      <c r="BC447" s="52" t="n">
        <v>0</v>
      </c>
      <c r="BD447" s="53" t="n">
        <v>0</v>
      </c>
      <c r="BE447" s="52" t="n">
        <v>0</v>
      </c>
      <c r="BF447" s="51" t="n">
        <v>0</v>
      </c>
    </row>
    <row r="448">
      <c r="A448">
        <f>HYPERLINK("https://www.walmart.com/ip/455309147", "455309147")</f>
        <v/>
      </c>
      <c r="B448" t="inlineStr">
        <is>
          <t>Flyingstar Insulated Lunch Bag, Reusable Tote Bag for Women &amp; Men &amp; Kids, Fashionable Large Cooler Lunch Bag for Working/School/Picnic</t>
        </is>
      </c>
      <c r="C448" t="inlineStr">
        <is>
          <t>1WMLB703PKDOT</t>
        </is>
      </c>
      <c r="D448" t="inlineStr">
        <is>
          <t>Reusable Lunch Bags &amp; Boxes</t>
        </is>
      </c>
      <c r="E448" t="inlineStr">
        <is>
          <t>Flyingstar</t>
        </is>
      </c>
      <c r="F448" t="inlineStr">
        <is>
          <t>Lunch Bag,Optimized,Lunch Bags,WFS Item</t>
        </is>
      </c>
      <c r="G448" s="48" t="n">
        <v>0</v>
      </c>
      <c r="H448" s="49" t="n">
        <v>0</v>
      </c>
      <c r="I448" s="49" t="n">
        <v>0</v>
      </c>
      <c r="J448" s="50" t="n">
        <v>0</v>
      </c>
      <c r="K448" s="51" t="n">
        <v>0</v>
      </c>
      <c r="L448" s="52" t="n">
        <v>0</v>
      </c>
      <c r="M448" s="52" t="n">
        <v>0</v>
      </c>
      <c r="N448" s="52" t="n">
        <v>0</v>
      </c>
      <c r="O448" s="53" t="n">
        <v>0</v>
      </c>
      <c r="P448" s="52" t="n">
        <v>0</v>
      </c>
      <c r="Q448" s="53" t="n">
        <v>0</v>
      </c>
      <c r="R448" s="52" t="n">
        <v>0</v>
      </c>
      <c r="S448" s="51" t="n">
        <v>0</v>
      </c>
      <c r="T448" s="48" t="n">
        <v>0</v>
      </c>
      <c r="U448" s="49" t="n">
        <v>0</v>
      </c>
      <c r="V448" s="49" t="n">
        <v>0</v>
      </c>
      <c r="W448" s="50" t="n">
        <v>0</v>
      </c>
      <c r="X448" s="51" t="n">
        <v>0</v>
      </c>
      <c r="Y448" s="52" t="n">
        <v>0</v>
      </c>
      <c r="Z448" s="52" t="n">
        <v>0</v>
      </c>
      <c r="AA448" s="52" t="n">
        <v>0</v>
      </c>
      <c r="AB448" s="53" t="n">
        <v>0</v>
      </c>
      <c r="AC448" s="52" t="n">
        <v>0</v>
      </c>
      <c r="AD448" s="53" t="n">
        <v>0</v>
      </c>
      <c r="AE448" s="52" t="n">
        <v>0</v>
      </c>
      <c r="AF448" s="51" t="n">
        <v>0</v>
      </c>
      <c r="AG448" s="48" t="n">
        <v>0</v>
      </c>
      <c r="AH448" s="49" t="n">
        <v>0</v>
      </c>
      <c r="AI448" s="49" t="n">
        <v>0</v>
      </c>
      <c r="AJ448" s="50" t="n">
        <v>0</v>
      </c>
      <c r="AK448" s="51" t="n">
        <v>0</v>
      </c>
      <c r="AL448" s="52" t="n">
        <v>0</v>
      </c>
      <c r="AM448" s="52" t="n">
        <v>0</v>
      </c>
      <c r="AN448" s="52" t="n">
        <v>0</v>
      </c>
      <c r="AO448" s="53" t="n">
        <v>0</v>
      </c>
      <c r="AP448" s="52" t="n">
        <v>0</v>
      </c>
      <c r="AQ448" s="53" t="n">
        <v>0</v>
      </c>
      <c r="AR448" s="52" t="n">
        <v>0</v>
      </c>
      <c r="AS448" s="51" t="n">
        <v>0</v>
      </c>
      <c r="AT448" s="48" t="n">
        <v>0</v>
      </c>
      <c r="AU448" s="49" t="n">
        <v>0</v>
      </c>
      <c r="AV448" s="49" t="n">
        <v>0</v>
      </c>
      <c r="AW448" s="50" t="n">
        <v>0</v>
      </c>
      <c r="AX448" s="51" t="n">
        <v>0</v>
      </c>
      <c r="AY448" s="52" t="n">
        <v>0</v>
      </c>
      <c r="AZ448" s="52" t="n">
        <v>0</v>
      </c>
      <c r="BA448" s="52" t="n">
        <v>0</v>
      </c>
      <c r="BB448" s="53" t="n">
        <v>0</v>
      </c>
      <c r="BC448" s="52" t="n">
        <v>0</v>
      </c>
      <c r="BD448" s="53" t="n">
        <v>0</v>
      </c>
      <c r="BE448" s="52" t="n">
        <v>0</v>
      </c>
      <c r="BF448" s="51" t="n">
        <v>0</v>
      </c>
    </row>
    <row r="449">
      <c r="A449">
        <f>HYPERLINK("https://www.walmart.com/ip/457872944", "457872944")</f>
        <v/>
      </c>
      <c r="B449" t="inlineStr">
        <is>
          <t>Two Pieces Tankini Swimsuit for Women Shoulder Strap Swimwear Bikini Bottom Bathing Suits Set by Tirrinia</t>
        </is>
      </c>
      <c r="C449" t="inlineStr">
        <is>
          <t>1SLSS006BKBK-M</t>
        </is>
      </c>
      <c r="D449" t="inlineStr">
        <is>
          <t>Swimsuit Sets</t>
        </is>
      </c>
      <c r="E449" t="inlineStr">
        <is>
          <t>Solaris</t>
        </is>
      </c>
      <c r="F449" t="inlineStr">
        <is>
          <t>Optimized</t>
        </is>
      </c>
      <c r="G449" s="48" t="n">
        <v>0</v>
      </c>
      <c r="H449" s="49" t="n">
        <v>0</v>
      </c>
      <c r="I449" s="49" t="n">
        <v>0</v>
      </c>
      <c r="J449" s="50" t="n">
        <v>0</v>
      </c>
      <c r="K449" s="51" t="n">
        <v>0</v>
      </c>
      <c r="L449" s="52" t="n">
        <v>0</v>
      </c>
      <c r="M449" s="52" t="n">
        <v>0</v>
      </c>
      <c r="N449" s="52" t="n">
        <v>0</v>
      </c>
      <c r="O449" s="53" t="n">
        <v>0</v>
      </c>
      <c r="P449" s="52" t="n">
        <v>0</v>
      </c>
      <c r="Q449" s="53" t="n">
        <v>0</v>
      </c>
      <c r="R449" s="52" t="n">
        <v>0</v>
      </c>
      <c r="S449" s="51" t="n">
        <v>0</v>
      </c>
      <c r="T449" s="48" t="n">
        <v>0</v>
      </c>
      <c r="U449" s="49" t="n">
        <v>0</v>
      </c>
      <c r="V449" s="49" t="n">
        <v>0</v>
      </c>
      <c r="W449" s="50" t="n">
        <v>0</v>
      </c>
      <c r="X449" s="51" t="n">
        <v>0</v>
      </c>
      <c r="Y449" s="52" t="n">
        <v>0</v>
      </c>
      <c r="Z449" s="52" t="n">
        <v>0</v>
      </c>
      <c r="AA449" s="52" t="n">
        <v>0</v>
      </c>
      <c r="AB449" s="53" t="n">
        <v>0</v>
      </c>
      <c r="AC449" s="52" t="n">
        <v>0</v>
      </c>
      <c r="AD449" s="53" t="n">
        <v>0</v>
      </c>
      <c r="AE449" s="52" t="n">
        <v>0</v>
      </c>
      <c r="AF449" s="51" t="n">
        <v>0</v>
      </c>
      <c r="AG449" s="48" t="n">
        <v>0</v>
      </c>
      <c r="AH449" s="49" t="n">
        <v>0</v>
      </c>
      <c r="AI449" s="49" t="n">
        <v>0</v>
      </c>
      <c r="AJ449" s="50" t="n">
        <v>0</v>
      </c>
      <c r="AK449" s="51" t="n">
        <v>0</v>
      </c>
      <c r="AL449" s="52" t="n">
        <v>0</v>
      </c>
      <c r="AM449" s="52" t="n">
        <v>0</v>
      </c>
      <c r="AN449" s="52" t="n">
        <v>0</v>
      </c>
      <c r="AO449" s="53" t="n">
        <v>0</v>
      </c>
      <c r="AP449" s="52" t="n">
        <v>0</v>
      </c>
      <c r="AQ449" s="53" t="n">
        <v>0</v>
      </c>
      <c r="AR449" s="52" t="n">
        <v>0</v>
      </c>
      <c r="AS449" s="51" t="n">
        <v>0</v>
      </c>
      <c r="AT449" s="48" t="n">
        <v>0</v>
      </c>
      <c r="AU449" s="49" t="n">
        <v>0</v>
      </c>
      <c r="AV449" s="49" t="n">
        <v>0</v>
      </c>
      <c r="AW449" s="50" t="n">
        <v>0</v>
      </c>
      <c r="AX449" s="51" t="n">
        <v>0</v>
      </c>
      <c r="AY449" s="52" t="n">
        <v>0</v>
      </c>
      <c r="AZ449" s="52" t="n">
        <v>0</v>
      </c>
      <c r="BA449" s="52" t="n">
        <v>0</v>
      </c>
      <c r="BB449" s="53" t="n">
        <v>0</v>
      </c>
      <c r="BC449" s="52" t="n">
        <v>0</v>
      </c>
      <c r="BD449" s="53" t="n">
        <v>0</v>
      </c>
      <c r="BE449" s="52" t="n">
        <v>0</v>
      </c>
      <c r="BF449" s="51" t="n">
        <v>0</v>
      </c>
    </row>
    <row r="450">
      <c r="A450">
        <f>HYPERLINK("https://www.walmart.com/ip/458546927", "458546927")</f>
        <v/>
      </c>
      <c r="B450" t="inlineStr">
        <is>
          <t>Women's Poncho with Cheetah Faux Fur Collar, Fleece Cloak Coat, Soft Warm Snuggly  Cape, Gift Idea for Adults and Teen Girls</t>
        </is>
      </c>
      <c r="C450" t="inlineStr">
        <is>
          <t>1CTBC301BK</t>
        </is>
      </c>
      <c r="D450" t="inlineStr">
        <is>
          <t>default</t>
        </is>
      </c>
      <c r="E450" t="inlineStr">
        <is>
          <t>Catalonia</t>
        </is>
      </c>
      <c r="F450" t="inlineStr">
        <is>
          <t>Batch 1 - TR</t>
        </is>
      </c>
      <c r="G450" s="48" t="n">
        <v>0</v>
      </c>
      <c r="H450" s="49" t="n">
        <v>0</v>
      </c>
      <c r="I450" s="49" t="n">
        <v>0</v>
      </c>
      <c r="J450" s="50" t="n">
        <v>0</v>
      </c>
      <c r="K450" s="51" t="n">
        <v>0</v>
      </c>
      <c r="L450" s="52" t="n">
        <v>0</v>
      </c>
      <c r="M450" s="52" t="n">
        <v>0</v>
      </c>
      <c r="N450" s="52" t="n">
        <v>0</v>
      </c>
      <c r="O450" s="53" t="n">
        <v>0</v>
      </c>
      <c r="P450" s="52" t="n">
        <v>0</v>
      </c>
      <c r="Q450" s="53" t="n">
        <v>0</v>
      </c>
      <c r="R450" s="52" t="n">
        <v>0</v>
      </c>
      <c r="S450" s="51" t="n">
        <v>0</v>
      </c>
      <c r="T450" s="48" t="n">
        <v>0</v>
      </c>
      <c r="U450" s="49" t="n">
        <v>0</v>
      </c>
      <c r="V450" s="49" t="n">
        <v>0</v>
      </c>
      <c r="W450" s="50" t="n">
        <v>0</v>
      </c>
      <c r="X450" s="51" t="n">
        <v>0</v>
      </c>
      <c r="Y450" s="52" t="n">
        <v>0</v>
      </c>
      <c r="Z450" s="52" t="n">
        <v>0</v>
      </c>
      <c r="AA450" s="52" t="n">
        <v>0</v>
      </c>
      <c r="AB450" s="53" t="n">
        <v>0</v>
      </c>
      <c r="AC450" s="52" t="n">
        <v>0</v>
      </c>
      <c r="AD450" s="53" t="n">
        <v>0</v>
      </c>
      <c r="AE450" s="52" t="n">
        <v>0</v>
      </c>
      <c r="AF450" s="51" t="n">
        <v>0</v>
      </c>
      <c r="AG450" s="48" t="n">
        <v>0</v>
      </c>
      <c r="AH450" s="49" t="n">
        <v>0</v>
      </c>
      <c r="AI450" s="49" t="n">
        <v>0</v>
      </c>
      <c r="AJ450" s="50" t="n">
        <v>0</v>
      </c>
      <c r="AK450" s="51" t="n">
        <v>0</v>
      </c>
      <c r="AL450" s="52" t="n">
        <v>0</v>
      </c>
      <c r="AM450" s="52" t="n">
        <v>0</v>
      </c>
      <c r="AN450" s="52" t="n">
        <v>0</v>
      </c>
      <c r="AO450" s="53" t="n">
        <v>0</v>
      </c>
      <c r="AP450" s="52" t="n">
        <v>0</v>
      </c>
      <c r="AQ450" s="53" t="n">
        <v>0</v>
      </c>
      <c r="AR450" s="52" t="n">
        <v>0</v>
      </c>
      <c r="AS450" s="51" t="n">
        <v>0</v>
      </c>
      <c r="AT450" s="48" t="n">
        <v>0</v>
      </c>
      <c r="AU450" s="49" t="n">
        <v>0</v>
      </c>
      <c r="AV450" s="49" t="n">
        <v>0</v>
      </c>
      <c r="AW450" s="50" t="n">
        <v>0</v>
      </c>
      <c r="AX450" s="51" t="n">
        <v>0</v>
      </c>
      <c r="AY450" s="52" t="n">
        <v>0</v>
      </c>
      <c r="AZ450" s="52" t="n">
        <v>0</v>
      </c>
      <c r="BA450" s="52" t="n">
        <v>0</v>
      </c>
      <c r="BB450" s="53" t="n">
        <v>0</v>
      </c>
      <c r="BC450" s="52" t="n">
        <v>0</v>
      </c>
      <c r="BD450" s="53" t="n">
        <v>0</v>
      </c>
      <c r="BE450" s="52" t="n">
        <v>0</v>
      </c>
      <c r="BF450" s="51" t="n">
        <v>0</v>
      </c>
    </row>
    <row r="451">
      <c r="A451">
        <f>HYPERLINK("https://www.walmart.com/ip/459166422", "459166422")</f>
        <v/>
      </c>
      <c r="B451" t="inlineStr">
        <is>
          <t>Catalonia Sherpa Adult Wearable Blanket with Sleeves &amp;amp; Foot Pockets for Women &amp;amp; Men, Black Wearable Throw Blanket</t>
        </is>
      </c>
      <c r="C451" t="inlineStr">
        <is>
          <t>1CTSN310BK</t>
        </is>
      </c>
      <c r="D451" t="inlineStr">
        <is>
          <t>Throws</t>
        </is>
      </c>
      <c r="E451" t="inlineStr">
        <is>
          <t>Catalonia</t>
        </is>
      </c>
      <c r="F451" t="inlineStr">
        <is>
          <t>Optimized,WFS,WFS Item</t>
        </is>
      </c>
      <c r="G451" s="48" t="n">
        <v>0</v>
      </c>
      <c r="H451" s="49" t="n">
        <v>0</v>
      </c>
      <c r="I451" s="49" t="n">
        <v>0</v>
      </c>
      <c r="J451" s="50" t="n">
        <v>0</v>
      </c>
      <c r="K451" s="51" t="n">
        <v>0</v>
      </c>
      <c r="L451" s="52" t="n">
        <v>0</v>
      </c>
      <c r="M451" s="52" t="n">
        <v>0</v>
      </c>
      <c r="N451" s="52" t="n">
        <v>0</v>
      </c>
      <c r="O451" s="53" t="n">
        <v>0</v>
      </c>
      <c r="P451" s="52" t="n">
        <v>0</v>
      </c>
      <c r="Q451" s="53" t="n">
        <v>0</v>
      </c>
      <c r="R451" s="52" t="n">
        <v>0</v>
      </c>
      <c r="S451" s="51" t="n">
        <v>0</v>
      </c>
      <c r="T451" s="48" t="n">
        <v>0</v>
      </c>
      <c r="U451" s="49" t="n">
        <v>0</v>
      </c>
      <c r="V451" s="49" t="n">
        <v>0</v>
      </c>
      <c r="W451" s="50" t="n">
        <v>0</v>
      </c>
      <c r="X451" s="51" t="n">
        <v>0</v>
      </c>
      <c r="Y451" s="52" t="n">
        <v>0</v>
      </c>
      <c r="Z451" s="52" t="n">
        <v>0</v>
      </c>
      <c r="AA451" s="52" t="n">
        <v>0</v>
      </c>
      <c r="AB451" s="53" t="n">
        <v>0</v>
      </c>
      <c r="AC451" s="52" t="n">
        <v>0</v>
      </c>
      <c r="AD451" s="53" t="n">
        <v>0</v>
      </c>
      <c r="AE451" s="52" t="n">
        <v>0</v>
      </c>
      <c r="AF451" s="51" t="n">
        <v>0</v>
      </c>
      <c r="AG451" s="48" t="n">
        <v>0</v>
      </c>
      <c r="AH451" s="49" t="n">
        <v>0</v>
      </c>
      <c r="AI451" s="49" t="n">
        <v>0</v>
      </c>
      <c r="AJ451" s="50" t="n">
        <v>0</v>
      </c>
      <c r="AK451" s="51" t="n">
        <v>0</v>
      </c>
      <c r="AL451" s="52" t="n">
        <v>0</v>
      </c>
      <c r="AM451" s="52" t="n">
        <v>0</v>
      </c>
      <c r="AN451" s="52" t="n">
        <v>0</v>
      </c>
      <c r="AO451" s="53" t="n">
        <v>0</v>
      </c>
      <c r="AP451" s="52" t="n">
        <v>0</v>
      </c>
      <c r="AQ451" s="53" t="n">
        <v>0</v>
      </c>
      <c r="AR451" s="52" t="n">
        <v>0</v>
      </c>
      <c r="AS451" s="51" t="n">
        <v>0</v>
      </c>
      <c r="AT451" s="48" t="n">
        <v>0</v>
      </c>
      <c r="AU451" s="49" t="n">
        <v>0</v>
      </c>
      <c r="AV451" s="49" t="n">
        <v>0</v>
      </c>
      <c r="AW451" s="50" t="n">
        <v>0</v>
      </c>
      <c r="AX451" s="51" t="n">
        <v>0</v>
      </c>
      <c r="AY451" s="52" t="n">
        <v>0</v>
      </c>
      <c r="AZ451" s="52" t="n">
        <v>0</v>
      </c>
      <c r="BA451" s="52" t="n">
        <v>0</v>
      </c>
      <c r="BB451" s="53" t="n">
        <v>0</v>
      </c>
      <c r="BC451" s="52" t="n">
        <v>0</v>
      </c>
      <c r="BD451" s="53" t="n">
        <v>0</v>
      </c>
      <c r="BE451" s="52" t="n">
        <v>0</v>
      </c>
      <c r="BF451" s="51" t="n">
        <v>0</v>
      </c>
    </row>
    <row r="452">
      <c r="A452">
        <f>HYPERLINK("https://www.walmart.com/ip/459502324", "459502324")</f>
        <v/>
      </c>
      <c r="B452" t="inlineStr">
        <is>
          <t>Solaris Women's Tankini Swimsuit, Two-Piece Swimwear Bikini Set, Summer Bathing Suits, Large, Black/White</t>
        </is>
      </c>
      <c r="C452" t="inlineStr">
        <is>
          <t>1SLSS006BKWH-L</t>
        </is>
      </c>
      <c r="D452" t="inlineStr">
        <is>
          <t>Swimsuit Sets</t>
        </is>
      </c>
      <c r="E452" t="inlineStr">
        <is>
          <t>Solaris</t>
        </is>
      </c>
      <c r="F452" t="inlineStr">
        <is>
          <t>Optimized</t>
        </is>
      </c>
      <c r="G452" s="48" t="n">
        <v>0</v>
      </c>
      <c r="H452" s="49" t="n">
        <v>0</v>
      </c>
      <c r="I452" s="49" t="n">
        <v>0</v>
      </c>
      <c r="J452" s="50" t="n">
        <v>0</v>
      </c>
      <c r="K452" s="51" t="n">
        <v>0</v>
      </c>
      <c r="L452" s="52" t="n">
        <v>0</v>
      </c>
      <c r="M452" s="52" t="n">
        <v>0</v>
      </c>
      <c r="N452" s="52" t="n">
        <v>0</v>
      </c>
      <c r="O452" s="53" t="n">
        <v>0</v>
      </c>
      <c r="P452" s="52" t="n">
        <v>0</v>
      </c>
      <c r="Q452" s="53" t="n">
        <v>0</v>
      </c>
      <c r="R452" s="52" t="n">
        <v>0</v>
      </c>
      <c r="S452" s="51" t="n">
        <v>0</v>
      </c>
      <c r="T452" s="48" t="n">
        <v>0</v>
      </c>
      <c r="U452" s="49" t="n">
        <v>0</v>
      </c>
      <c r="V452" s="49" t="n">
        <v>0</v>
      </c>
      <c r="W452" s="50" t="n">
        <v>0</v>
      </c>
      <c r="X452" s="51" t="n">
        <v>0</v>
      </c>
      <c r="Y452" s="52" t="n">
        <v>0</v>
      </c>
      <c r="Z452" s="52" t="n">
        <v>0</v>
      </c>
      <c r="AA452" s="52" t="n">
        <v>0</v>
      </c>
      <c r="AB452" s="53" t="n">
        <v>0</v>
      </c>
      <c r="AC452" s="52" t="n">
        <v>0</v>
      </c>
      <c r="AD452" s="53" t="n">
        <v>0</v>
      </c>
      <c r="AE452" s="52" t="n">
        <v>0</v>
      </c>
      <c r="AF452" s="51" t="n">
        <v>0</v>
      </c>
      <c r="AG452" s="48" t="n">
        <v>0</v>
      </c>
      <c r="AH452" s="49" t="n">
        <v>0</v>
      </c>
      <c r="AI452" s="49" t="n">
        <v>0</v>
      </c>
      <c r="AJ452" s="50" t="n">
        <v>0</v>
      </c>
      <c r="AK452" s="51" t="n">
        <v>0</v>
      </c>
      <c r="AL452" s="52" t="n">
        <v>0</v>
      </c>
      <c r="AM452" s="52" t="n">
        <v>0</v>
      </c>
      <c r="AN452" s="52" t="n">
        <v>0</v>
      </c>
      <c r="AO452" s="53" t="n">
        <v>0</v>
      </c>
      <c r="AP452" s="52" t="n">
        <v>0</v>
      </c>
      <c r="AQ452" s="53" t="n">
        <v>0</v>
      </c>
      <c r="AR452" s="52" t="n">
        <v>0</v>
      </c>
      <c r="AS452" s="51" t="n">
        <v>0</v>
      </c>
      <c r="AT452" s="48" t="n">
        <v>0</v>
      </c>
      <c r="AU452" s="49" t="n">
        <v>0</v>
      </c>
      <c r="AV452" s="49" t="n">
        <v>0</v>
      </c>
      <c r="AW452" s="50" t="n">
        <v>0</v>
      </c>
      <c r="AX452" s="51" t="n">
        <v>0</v>
      </c>
      <c r="AY452" s="52" t="n">
        <v>0</v>
      </c>
      <c r="AZ452" s="52" t="n">
        <v>0</v>
      </c>
      <c r="BA452" s="52" t="n">
        <v>0</v>
      </c>
      <c r="BB452" s="53" t="n">
        <v>0</v>
      </c>
      <c r="BC452" s="52" t="n">
        <v>0</v>
      </c>
      <c r="BD452" s="53" t="n">
        <v>0</v>
      </c>
      <c r="BE452" s="52" t="n">
        <v>0</v>
      </c>
      <c r="BF452" s="51" t="n">
        <v>0</v>
      </c>
    </row>
    <row r="453">
      <c r="A453">
        <f>HYPERLINK("https://www.walmart.com/ip/459543614", "459543614")</f>
        <v/>
      </c>
      <c r="B453" t="inlineStr">
        <is>
          <t>Tirrinia Insulated 2 Bottle Wine Carrier Tote Cooler Bag for Travel Picnic Padded Champagne Glass</t>
        </is>
      </c>
      <c r="C453" t="inlineStr">
        <is>
          <t>1WMWB231KK</t>
        </is>
      </c>
      <c r="D453" t="inlineStr">
        <is>
          <t>Wine Totes, Bags &amp; Backpacks</t>
        </is>
      </c>
      <c r="E453" t="inlineStr">
        <is>
          <t>Flyingstar</t>
        </is>
      </c>
      <c r="F453" t="inlineStr">
        <is>
          <t>Wine,Christmas,Valentine</t>
        </is>
      </c>
      <c r="G453" s="48" t="n">
        <v>0</v>
      </c>
      <c r="H453" s="49" t="n">
        <v>0</v>
      </c>
      <c r="I453" s="49" t="n">
        <v>0</v>
      </c>
      <c r="J453" s="50" t="n">
        <v>0</v>
      </c>
      <c r="K453" s="51" t="n">
        <v>0</v>
      </c>
      <c r="L453" s="52" t="n">
        <v>0</v>
      </c>
      <c r="M453" s="52" t="n">
        <v>0</v>
      </c>
      <c r="N453" s="52" t="n">
        <v>0</v>
      </c>
      <c r="O453" s="53" t="n">
        <v>0</v>
      </c>
      <c r="P453" s="52" t="n">
        <v>0</v>
      </c>
      <c r="Q453" s="53" t="n">
        <v>0</v>
      </c>
      <c r="R453" s="52" t="n">
        <v>0</v>
      </c>
      <c r="S453" s="51" t="n">
        <v>0</v>
      </c>
      <c r="T453" s="48" t="n">
        <v>0</v>
      </c>
      <c r="U453" s="49" t="n">
        <v>0</v>
      </c>
      <c r="V453" s="49" t="n">
        <v>0</v>
      </c>
      <c r="W453" s="50" t="n">
        <v>0</v>
      </c>
      <c r="X453" s="51" t="n">
        <v>0</v>
      </c>
      <c r="Y453" s="52" t="n">
        <v>0</v>
      </c>
      <c r="Z453" s="52" t="n">
        <v>0</v>
      </c>
      <c r="AA453" s="52" t="n">
        <v>0</v>
      </c>
      <c r="AB453" s="53" t="n">
        <v>0</v>
      </c>
      <c r="AC453" s="52" t="n">
        <v>0</v>
      </c>
      <c r="AD453" s="53" t="n">
        <v>0</v>
      </c>
      <c r="AE453" s="52" t="n">
        <v>0</v>
      </c>
      <c r="AF453" s="51" t="n">
        <v>0</v>
      </c>
      <c r="AG453" s="48" t="n">
        <v>0</v>
      </c>
      <c r="AH453" s="49" t="n">
        <v>0</v>
      </c>
      <c r="AI453" s="49" t="n">
        <v>0</v>
      </c>
      <c r="AJ453" s="50" t="n">
        <v>0</v>
      </c>
      <c r="AK453" s="51" t="n">
        <v>0</v>
      </c>
      <c r="AL453" s="52" t="n">
        <v>0</v>
      </c>
      <c r="AM453" s="52" t="n">
        <v>0</v>
      </c>
      <c r="AN453" s="52" t="n">
        <v>0</v>
      </c>
      <c r="AO453" s="53" t="n">
        <v>0</v>
      </c>
      <c r="AP453" s="52" t="n">
        <v>0</v>
      </c>
      <c r="AQ453" s="53" t="n">
        <v>0</v>
      </c>
      <c r="AR453" s="52" t="n">
        <v>0</v>
      </c>
      <c r="AS453" s="51" t="n">
        <v>0</v>
      </c>
      <c r="AT453" s="48" t="n">
        <v>0</v>
      </c>
      <c r="AU453" s="49" t="n">
        <v>0</v>
      </c>
      <c r="AV453" s="49" t="n">
        <v>0</v>
      </c>
      <c r="AW453" s="50" t="n">
        <v>0</v>
      </c>
      <c r="AX453" s="51" t="n">
        <v>0</v>
      </c>
      <c r="AY453" s="52" t="n">
        <v>0</v>
      </c>
      <c r="AZ453" s="52" t="n">
        <v>0</v>
      </c>
      <c r="BA453" s="52" t="n">
        <v>0</v>
      </c>
      <c r="BB453" s="53" t="n">
        <v>0</v>
      </c>
      <c r="BC453" s="52" t="n">
        <v>0</v>
      </c>
      <c r="BD453" s="53" t="n">
        <v>0</v>
      </c>
      <c r="BE453" s="52" t="n">
        <v>0</v>
      </c>
      <c r="BF453" s="51" t="n">
        <v>0</v>
      </c>
    </row>
    <row r="454">
      <c r="A454">
        <f>HYPERLINK("https://www.walmart.com/ip/460208535", "460208535")</f>
        <v/>
      </c>
      <c r="B454" t="inlineStr">
        <is>
          <t>Solaris Winter Cable Knit Beanie Hats with Fur Pom Pom for Women Ski Cap multi color</t>
        </is>
      </c>
      <c r="C454" t="inlineStr">
        <is>
          <t>1SLWH200MUL</t>
        </is>
      </c>
      <c r="D454" t="inlineStr">
        <is>
          <t>Hats</t>
        </is>
      </c>
      <c r="E454" t="inlineStr">
        <is>
          <t>Solaris</t>
        </is>
      </c>
      <c r="F454" t="inlineStr">
        <is>
          <t>Batch 1 - TR</t>
        </is>
      </c>
      <c r="G454" s="48" t="n">
        <v>0</v>
      </c>
      <c r="H454" s="49" t="n">
        <v>0</v>
      </c>
      <c r="I454" s="49" t="n">
        <v>0</v>
      </c>
      <c r="J454" s="50" t="n">
        <v>0</v>
      </c>
      <c r="K454" s="51" t="n">
        <v>0</v>
      </c>
      <c r="L454" s="52" t="n">
        <v>0</v>
      </c>
      <c r="M454" s="52" t="n">
        <v>0</v>
      </c>
      <c r="N454" s="52" t="n">
        <v>0</v>
      </c>
      <c r="O454" s="53" t="n">
        <v>0</v>
      </c>
      <c r="P454" s="52" t="n">
        <v>0</v>
      </c>
      <c r="Q454" s="53" t="n">
        <v>0</v>
      </c>
      <c r="R454" s="52" t="n">
        <v>0</v>
      </c>
      <c r="S454" s="51" t="n">
        <v>0</v>
      </c>
      <c r="T454" s="48" t="n">
        <v>0</v>
      </c>
      <c r="U454" s="49" t="n">
        <v>0</v>
      </c>
      <c r="V454" s="49" t="n">
        <v>0</v>
      </c>
      <c r="W454" s="50" t="n">
        <v>0</v>
      </c>
      <c r="X454" s="51" t="n">
        <v>0</v>
      </c>
      <c r="Y454" s="52" t="n">
        <v>0</v>
      </c>
      <c r="Z454" s="52" t="n">
        <v>0</v>
      </c>
      <c r="AA454" s="52" t="n">
        <v>0</v>
      </c>
      <c r="AB454" s="53" t="n">
        <v>0</v>
      </c>
      <c r="AC454" s="52" t="n">
        <v>0</v>
      </c>
      <c r="AD454" s="53" t="n">
        <v>0</v>
      </c>
      <c r="AE454" s="52" t="n">
        <v>0</v>
      </c>
      <c r="AF454" s="51" t="n">
        <v>0</v>
      </c>
      <c r="AG454" s="48" t="n">
        <v>0</v>
      </c>
      <c r="AH454" s="49" t="n">
        <v>0</v>
      </c>
      <c r="AI454" s="49" t="n">
        <v>0</v>
      </c>
      <c r="AJ454" s="50" t="n">
        <v>0</v>
      </c>
      <c r="AK454" s="51" t="n">
        <v>0</v>
      </c>
      <c r="AL454" s="52" t="n">
        <v>0</v>
      </c>
      <c r="AM454" s="52" t="n">
        <v>0</v>
      </c>
      <c r="AN454" s="52" t="n">
        <v>0</v>
      </c>
      <c r="AO454" s="53" t="n">
        <v>0</v>
      </c>
      <c r="AP454" s="52" t="n">
        <v>0</v>
      </c>
      <c r="AQ454" s="53" t="n">
        <v>0</v>
      </c>
      <c r="AR454" s="52" t="n">
        <v>0</v>
      </c>
      <c r="AS454" s="51" t="n">
        <v>0</v>
      </c>
      <c r="AT454" s="48" t="n">
        <v>0</v>
      </c>
      <c r="AU454" s="49" t="n">
        <v>0</v>
      </c>
      <c r="AV454" s="49" t="n">
        <v>0</v>
      </c>
      <c r="AW454" s="50" t="n">
        <v>0</v>
      </c>
      <c r="AX454" s="51" t="n">
        <v>0</v>
      </c>
      <c r="AY454" s="52" t="n">
        <v>0</v>
      </c>
      <c r="AZ454" s="52" t="n">
        <v>0</v>
      </c>
      <c r="BA454" s="52" t="n">
        <v>0</v>
      </c>
      <c r="BB454" s="53" t="n">
        <v>0</v>
      </c>
      <c r="BC454" s="52" t="n">
        <v>0</v>
      </c>
      <c r="BD454" s="53" t="n">
        <v>0</v>
      </c>
      <c r="BE454" s="52" t="n">
        <v>0</v>
      </c>
      <c r="BF454" s="51" t="n">
        <v>0</v>
      </c>
    </row>
    <row r="455">
      <c r="A455">
        <f>HYPERLINK("https://www.walmart.com/ip/460351771", "460351771")</f>
        <v/>
      </c>
      <c r="B455" t="inlineStr">
        <is>
          <t>Women's Sherpa Bathrobe, Soft Warm Fleece Long Robe, Shawl Collar, Comfy, Full Length</t>
        </is>
      </c>
      <c r="C455" t="inlineStr">
        <is>
          <t>1CTRB510WN-01</t>
        </is>
      </c>
      <c r="D455" t="inlineStr">
        <is>
          <t>Sleepwear Robes &amp; Bathrobes</t>
        </is>
      </c>
      <c r="E455" t="inlineStr">
        <is>
          <t>Catalonia</t>
        </is>
      </c>
      <c r="F455" t="inlineStr">
        <is>
          <t>Optimized,Bathrobe,WFS Item</t>
        </is>
      </c>
      <c r="G455" s="48" t="n">
        <v>0</v>
      </c>
      <c r="H455" s="49" t="n">
        <v>0</v>
      </c>
      <c r="I455" s="49" t="n">
        <v>0</v>
      </c>
      <c r="J455" s="50" t="n">
        <v>0</v>
      </c>
      <c r="K455" s="51" t="n">
        <v>0</v>
      </c>
      <c r="L455" s="52" t="n">
        <v>0</v>
      </c>
      <c r="M455" s="52" t="n">
        <v>0</v>
      </c>
      <c r="N455" s="52" t="n">
        <v>0</v>
      </c>
      <c r="O455" s="53" t="n">
        <v>0</v>
      </c>
      <c r="P455" s="52" t="n">
        <v>0</v>
      </c>
      <c r="Q455" s="53" t="n">
        <v>0</v>
      </c>
      <c r="R455" s="52" t="n">
        <v>0</v>
      </c>
      <c r="S455" s="51" t="n">
        <v>0</v>
      </c>
      <c r="T455" s="48" t="n">
        <v>0</v>
      </c>
      <c r="U455" s="49" t="n">
        <v>0</v>
      </c>
      <c r="V455" s="49" t="n">
        <v>0</v>
      </c>
      <c r="W455" s="50" t="n">
        <v>0</v>
      </c>
      <c r="X455" s="51" t="n">
        <v>0</v>
      </c>
      <c r="Y455" s="52" t="n">
        <v>0</v>
      </c>
      <c r="Z455" s="52" t="n">
        <v>0</v>
      </c>
      <c r="AA455" s="52" t="n">
        <v>0</v>
      </c>
      <c r="AB455" s="53" t="n">
        <v>0</v>
      </c>
      <c r="AC455" s="52" t="n">
        <v>0</v>
      </c>
      <c r="AD455" s="53" t="n">
        <v>0</v>
      </c>
      <c r="AE455" s="52" t="n">
        <v>0</v>
      </c>
      <c r="AF455" s="51" t="n">
        <v>0</v>
      </c>
      <c r="AG455" s="48" t="n">
        <v>0</v>
      </c>
      <c r="AH455" s="49" t="n">
        <v>0</v>
      </c>
      <c r="AI455" s="49" t="n">
        <v>0</v>
      </c>
      <c r="AJ455" s="50" t="n">
        <v>0</v>
      </c>
      <c r="AK455" s="51" t="n">
        <v>0</v>
      </c>
      <c r="AL455" s="52" t="n">
        <v>0</v>
      </c>
      <c r="AM455" s="52" t="n">
        <v>0</v>
      </c>
      <c r="AN455" s="52" t="n">
        <v>0</v>
      </c>
      <c r="AO455" s="53" t="n">
        <v>0</v>
      </c>
      <c r="AP455" s="52" t="n">
        <v>0</v>
      </c>
      <c r="AQ455" s="53" t="n">
        <v>0</v>
      </c>
      <c r="AR455" s="52" t="n">
        <v>0</v>
      </c>
      <c r="AS455" s="51" t="n">
        <v>0</v>
      </c>
      <c r="AT455" s="48" t="n">
        <v>0</v>
      </c>
      <c r="AU455" s="49" t="n">
        <v>0</v>
      </c>
      <c r="AV455" s="49" t="n">
        <v>0</v>
      </c>
      <c r="AW455" s="50" t="n">
        <v>0</v>
      </c>
      <c r="AX455" s="51" t="n">
        <v>0</v>
      </c>
      <c r="AY455" s="52" t="n">
        <v>0</v>
      </c>
      <c r="AZ455" s="52" t="n">
        <v>0</v>
      </c>
      <c r="BA455" s="52" t="n">
        <v>0</v>
      </c>
      <c r="BB455" s="53" t="n">
        <v>0</v>
      </c>
      <c r="BC455" s="52" t="n">
        <v>0</v>
      </c>
      <c r="BD455" s="53" t="n">
        <v>0</v>
      </c>
      <c r="BE455" s="52" t="n">
        <v>0</v>
      </c>
      <c r="BF455" s="51" t="n">
        <v>0</v>
      </c>
    </row>
    <row r="456">
      <c r="A456">
        <f>HYPERLINK("https://www.walmart.com/ip/460411151", "460411151")</f>
        <v/>
      </c>
      <c r="B456" t="inlineStr">
        <is>
          <t>Solaris Youth Tulle Tutu, 3-Layered Princess Girls Skirt for Ballet, Dress Up Costume Party, and Running, Light Purple</t>
        </is>
      </c>
      <c r="C456" t="inlineStr">
        <is>
          <t>SLTUTULP</t>
        </is>
      </c>
      <c r="D456" t="inlineStr">
        <is>
          <t>Skirts</t>
        </is>
      </c>
      <c r="E456" t="inlineStr">
        <is>
          <t>Solaris</t>
        </is>
      </c>
      <c r="F456" t="inlineStr">
        <is>
          <t>Optimized</t>
        </is>
      </c>
      <c r="G456" s="48" t="n">
        <v>0</v>
      </c>
      <c r="H456" s="49" t="n">
        <v>0</v>
      </c>
      <c r="I456" s="49" t="n">
        <v>0</v>
      </c>
      <c r="J456" s="50" t="n">
        <v>0</v>
      </c>
      <c r="K456" s="51" t="n">
        <v>0</v>
      </c>
      <c r="L456" s="52" t="n">
        <v>0</v>
      </c>
      <c r="M456" s="52" t="n">
        <v>0</v>
      </c>
      <c r="N456" s="52" t="n">
        <v>0</v>
      </c>
      <c r="O456" s="53" t="n">
        <v>0</v>
      </c>
      <c r="P456" s="52" t="n">
        <v>0</v>
      </c>
      <c r="Q456" s="53" t="n">
        <v>0</v>
      </c>
      <c r="R456" s="52" t="n">
        <v>0</v>
      </c>
      <c r="S456" s="51" t="n">
        <v>0</v>
      </c>
      <c r="T456" s="48" t="n">
        <v>0</v>
      </c>
      <c r="U456" s="49" t="n">
        <v>0</v>
      </c>
      <c r="V456" s="49" t="n">
        <v>0</v>
      </c>
      <c r="W456" s="50" t="n">
        <v>0</v>
      </c>
      <c r="X456" s="51" t="n">
        <v>0</v>
      </c>
      <c r="Y456" s="52" t="n">
        <v>0</v>
      </c>
      <c r="Z456" s="52" t="n">
        <v>0</v>
      </c>
      <c r="AA456" s="52" t="n">
        <v>0</v>
      </c>
      <c r="AB456" s="53" t="n">
        <v>0</v>
      </c>
      <c r="AC456" s="52" t="n">
        <v>0</v>
      </c>
      <c r="AD456" s="53" t="n">
        <v>0</v>
      </c>
      <c r="AE456" s="52" t="n">
        <v>0</v>
      </c>
      <c r="AF456" s="51" t="n">
        <v>0</v>
      </c>
      <c r="AG456" s="48" t="n">
        <v>0</v>
      </c>
      <c r="AH456" s="49" t="n">
        <v>0</v>
      </c>
      <c r="AI456" s="49" t="n">
        <v>0</v>
      </c>
      <c r="AJ456" s="50" t="n">
        <v>0</v>
      </c>
      <c r="AK456" s="51" t="n">
        <v>0</v>
      </c>
      <c r="AL456" s="52" t="n">
        <v>0</v>
      </c>
      <c r="AM456" s="52" t="n">
        <v>0</v>
      </c>
      <c r="AN456" s="52" t="n">
        <v>0</v>
      </c>
      <c r="AO456" s="53" t="n">
        <v>0</v>
      </c>
      <c r="AP456" s="52" t="n">
        <v>0</v>
      </c>
      <c r="AQ456" s="53" t="n">
        <v>0</v>
      </c>
      <c r="AR456" s="52" t="n">
        <v>0</v>
      </c>
      <c r="AS456" s="51" t="n">
        <v>0</v>
      </c>
      <c r="AT456" s="48" t="n">
        <v>0</v>
      </c>
      <c r="AU456" s="49" t="n">
        <v>0</v>
      </c>
      <c r="AV456" s="49" t="n">
        <v>0</v>
      </c>
      <c r="AW456" s="50" t="n">
        <v>0</v>
      </c>
      <c r="AX456" s="51" t="n">
        <v>0</v>
      </c>
      <c r="AY456" s="52" t="n">
        <v>0</v>
      </c>
      <c r="AZ456" s="52" t="n">
        <v>0</v>
      </c>
      <c r="BA456" s="52" t="n">
        <v>0</v>
      </c>
      <c r="BB456" s="53" t="n">
        <v>0</v>
      </c>
      <c r="BC456" s="52" t="n">
        <v>0</v>
      </c>
      <c r="BD456" s="53" t="n">
        <v>0</v>
      </c>
      <c r="BE456" s="52" t="n">
        <v>0</v>
      </c>
      <c r="BF456" s="51" t="n">
        <v>0</v>
      </c>
    </row>
    <row r="457">
      <c r="A457">
        <f>HYPERLINK("https://www.walmart.com/ip/461924334", "461924334")</f>
        <v/>
      </c>
      <c r="B457" t="inlineStr">
        <is>
          <t>home comforts blanket Blanket with Sleeves, Super Soft Wearable TV Blanket Robe Fleece for Adults 73 x 51”| Cozy Warm, Lightweigh</t>
        </is>
      </c>
      <c r="C457" t="inlineStr">
        <is>
          <t>1TRSN100AQ-TBCB</t>
        </is>
      </c>
      <c r="D457" t="inlineStr">
        <is>
          <t>Throws</t>
        </is>
      </c>
      <c r="E457" t="inlineStr">
        <is>
          <t>Tirrinia</t>
        </is>
      </c>
      <c r="F457" t="inlineStr">
        <is>
          <t>Fleece Blankets</t>
        </is>
      </c>
      <c r="G457" s="48" t="n">
        <v>0</v>
      </c>
      <c r="H457" s="49" t="n">
        <v>0</v>
      </c>
      <c r="I457" s="49" t="n">
        <v>0</v>
      </c>
      <c r="J457" s="50" t="n">
        <v>0</v>
      </c>
      <c r="K457" s="51" t="n">
        <v>0</v>
      </c>
      <c r="L457" s="52" t="n">
        <v>0</v>
      </c>
      <c r="M457" s="52" t="n">
        <v>0</v>
      </c>
      <c r="N457" s="52" t="n">
        <v>0</v>
      </c>
      <c r="O457" s="53" t="n">
        <v>0</v>
      </c>
      <c r="P457" s="52" t="n">
        <v>0</v>
      </c>
      <c r="Q457" s="53" t="n">
        <v>0</v>
      </c>
      <c r="R457" s="52" t="n">
        <v>0</v>
      </c>
      <c r="S457" s="51" t="n">
        <v>0</v>
      </c>
      <c r="T457" s="48" t="n">
        <v>0</v>
      </c>
      <c r="U457" s="49" t="n">
        <v>0</v>
      </c>
      <c r="V457" s="49" t="n">
        <v>0</v>
      </c>
      <c r="W457" s="50" t="n">
        <v>0</v>
      </c>
      <c r="X457" s="51" t="n">
        <v>0</v>
      </c>
      <c r="Y457" s="52" t="n">
        <v>0</v>
      </c>
      <c r="Z457" s="52" t="n">
        <v>0</v>
      </c>
      <c r="AA457" s="52" t="n">
        <v>0</v>
      </c>
      <c r="AB457" s="53" t="n">
        <v>0</v>
      </c>
      <c r="AC457" s="52" t="n">
        <v>0</v>
      </c>
      <c r="AD457" s="53" t="n">
        <v>0</v>
      </c>
      <c r="AE457" s="52" t="n">
        <v>0</v>
      </c>
      <c r="AF457" s="51" t="n">
        <v>0</v>
      </c>
      <c r="AG457" s="48" t="n">
        <v>0</v>
      </c>
      <c r="AH457" s="49" t="n">
        <v>0</v>
      </c>
      <c r="AI457" s="49" t="n">
        <v>0</v>
      </c>
      <c r="AJ457" s="50" t="n">
        <v>0</v>
      </c>
      <c r="AK457" s="51" t="n">
        <v>0</v>
      </c>
      <c r="AL457" s="52" t="n">
        <v>0</v>
      </c>
      <c r="AM457" s="52" t="n">
        <v>0</v>
      </c>
      <c r="AN457" s="52" t="n">
        <v>0</v>
      </c>
      <c r="AO457" s="53" t="n">
        <v>0</v>
      </c>
      <c r="AP457" s="52" t="n">
        <v>0</v>
      </c>
      <c r="AQ457" s="53" t="n">
        <v>0</v>
      </c>
      <c r="AR457" s="52" t="n">
        <v>0</v>
      </c>
      <c r="AS457" s="51" t="n">
        <v>0</v>
      </c>
      <c r="AT457" s="48" t="n">
        <v>0</v>
      </c>
      <c r="AU457" s="49" t="n">
        <v>0</v>
      </c>
      <c r="AV457" s="49" t="n">
        <v>0</v>
      </c>
      <c r="AW457" s="50" t="n">
        <v>0</v>
      </c>
      <c r="AX457" s="51" t="n">
        <v>0</v>
      </c>
      <c r="AY457" s="52" t="n">
        <v>0</v>
      </c>
      <c r="AZ457" s="52" t="n">
        <v>0</v>
      </c>
      <c r="BA457" s="52" t="n">
        <v>0</v>
      </c>
      <c r="BB457" s="53" t="n">
        <v>0</v>
      </c>
      <c r="BC457" s="52" t="n">
        <v>0</v>
      </c>
      <c r="BD457" s="53" t="n">
        <v>0</v>
      </c>
      <c r="BE457" s="52" t="n">
        <v>0</v>
      </c>
      <c r="BF457" s="51" t="n">
        <v>0</v>
      </c>
    </row>
    <row r="458">
      <c r="A458">
        <f>HYPERLINK("https://www.walmart.com/ip/451336189", "451336189")</f>
        <v/>
      </c>
      <c r="B458" t="inlineStr">
        <is>
          <t>Catalonia Mermaid Tail Blanket, Adult Mermaid Blanket with Anti-Slip Neck Strap, Silky Hand Knitted Sleeping Blanket for Adults All Season Sleeping Bag Multi-Colors 66.5"x22.5" Grey</t>
        </is>
      </c>
      <c r="C458" t="inlineStr">
        <is>
          <t>1CTMM100GY</t>
        </is>
      </c>
      <c r="D458" t="inlineStr">
        <is>
          <t>Throws</t>
        </is>
      </c>
      <c r="E458" t="inlineStr">
        <is>
          <t>Catalonia</t>
        </is>
      </c>
      <c r="F458" t="inlineStr">
        <is>
          <t>Optimized</t>
        </is>
      </c>
      <c r="G458" s="48" t="n">
        <v>0</v>
      </c>
      <c r="H458" s="49" t="n">
        <v>0</v>
      </c>
      <c r="I458" s="49" t="n">
        <v>0</v>
      </c>
      <c r="J458" s="50" t="n">
        <v>0</v>
      </c>
      <c r="K458" s="51" t="n">
        <v>0</v>
      </c>
      <c r="L458" s="52" t="n">
        <v>0</v>
      </c>
      <c r="M458" s="52" t="n">
        <v>0</v>
      </c>
      <c r="N458" s="52" t="n">
        <v>0</v>
      </c>
      <c r="O458" s="53" t="n">
        <v>0</v>
      </c>
      <c r="P458" s="52" t="n">
        <v>0</v>
      </c>
      <c r="Q458" s="53" t="n">
        <v>0</v>
      </c>
      <c r="R458" s="52" t="n">
        <v>0</v>
      </c>
      <c r="S458" s="51" t="n">
        <v>0</v>
      </c>
      <c r="T458" s="48" t="n">
        <v>0</v>
      </c>
      <c r="U458" s="49" t="n">
        <v>0</v>
      </c>
      <c r="V458" s="49" t="n">
        <v>0</v>
      </c>
      <c r="W458" s="50" t="n">
        <v>0</v>
      </c>
      <c r="X458" s="51" t="n">
        <v>0</v>
      </c>
      <c r="Y458" s="52" t="n">
        <v>0</v>
      </c>
      <c r="Z458" s="52" t="n">
        <v>0</v>
      </c>
      <c r="AA458" s="52" t="n">
        <v>0</v>
      </c>
      <c r="AB458" s="53" t="n">
        <v>0</v>
      </c>
      <c r="AC458" s="52" t="n">
        <v>0</v>
      </c>
      <c r="AD458" s="53" t="n">
        <v>0</v>
      </c>
      <c r="AE458" s="52" t="n">
        <v>0</v>
      </c>
      <c r="AF458" s="51" t="n">
        <v>0</v>
      </c>
      <c r="AG458" s="48" t="n">
        <v>0</v>
      </c>
      <c r="AH458" s="49" t="n">
        <v>0</v>
      </c>
      <c r="AI458" s="49" t="n">
        <v>0</v>
      </c>
      <c r="AJ458" s="50" t="n">
        <v>0</v>
      </c>
      <c r="AK458" s="51" t="n">
        <v>0</v>
      </c>
      <c r="AL458" s="52" t="n">
        <v>0</v>
      </c>
      <c r="AM458" s="52" t="n">
        <v>0</v>
      </c>
      <c r="AN458" s="52" t="n">
        <v>0</v>
      </c>
      <c r="AO458" s="53" t="n">
        <v>0</v>
      </c>
      <c r="AP458" s="52" t="n">
        <v>0</v>
      </c>
      <c r="AQ458" s="53" t="n">
        <v>0</v>
      </c>
      <c r="AR458" s="52" t="n">
        <v>0</v>
      </c>
      <c r="AS458" s="51" t="n">
        <v>0</v>
      </c>
      <c r="AT458" s="48" t="n">
        <v>0</v>
      </c>
      <c r="AU458" s="49" t="n">
        <v>0</v>
      </c>
      <c r="AV458" s="49" t="n">
        <v>0</v>
      </c>
      <c r="AW458" s="50" t="n">
        <v>0</v>
      </c>
      <c r="AX458" s="51" t="n">
        <v>0</v>
      </c>
      <c r="AY458" s="52" t="n">
        <v>0</v>
      </c>
      <c r="AZ458" s="52" t="n">
        <v>0</v>
      </c>
      <c r="BA458" s="52" t="n">
        <v>0</v>
      </c>
      <c r="BB458" s="53" t="n">
        <v>0</v>
      </c>
      <c r="BC458" s="52" t="n">
        <v>0</v>
      </c>
      <c r="BD458" s="53" t="n">
        <v>0</v>
      </c>
      <c r="BE458" s="52" t="n">
        <v>0</v>
      </c>
      <c r="BF458" s="51" t="n">
        <v>0</v>
      </c>
    </row>
    <row r="459">
      <c r="A459">
        <f>HYPERLINK("https://www.walmart.com/ip/451132022", "451132022")</f>
        <v/>
      </c>
      <c r="B459" t="inlineStr">
        <is>
          <t>Two Pieces Tankini Swimsuit for Women Shoulder Strap Swimwear Bikini Bottom Bathing Suits Set by Tirrinia</t>
        </is>
      </c>
      <c r="C459" t="inlineStr">
        <is>
          <t>1TRSS006BKWH-M</t>
        </is>
      </c>
      <c r="D459" t="inlineStr">
        <is>
          <t>Swimsuit Sets</t>
        </is>
      </c>
      <c r="E459" t="inlineStr">
        <is>
          <t>Tirrinia</t>
        </is>
      </c>
      <c r="F459" t="inlineStr">
        <is>
          <t>Batch 1 - TR</t>
        </is>
      </c>
      <c r="G459" s="48" t="n">
        <v>0</v>
      </c>
      <c r="H459" s="49" t="n">
        <v>0</v>
      </c>
      <c r="I459" s="49" t="n">
        <v>0</v>
      </c>
      <c r="J459" s="50" t="n">
        <v>0</v>
      </c>
      <c r="K459" s="51" t="n">
        <v>0</v>
      </c>
      <c r="L459" s="52" t="n">
        <v>0</v>
      </c>
      <c r="M459" s="52" t="n">
        <v>0</v>
      </c>
      <c r="N459" s="52" t="n">
        <v>0</v>
      </c>
      <c r="O459" s="53" t="n">
        <v>0</v>
      </c>
      <c r="P459" s="52" t="n">
        <v>0</v>
      </c>
      <c r="Q459" s="53" t="n">
        <v>0</v>
      </c>
      <c r="R459" s="52" t="n">
        <v>0</v>
      </c>
      <c r="S459" s="51" t="n">
        <v>0</v>
      </c>
      <c r="T459" s="48" t="n">
        <v>0</v>
      </c>
      <c r="U459" s="49" t="n">
        <v>0</v>
      </c>
      <c r="V459" s="49" t="n">
        <v>0</v>
      </c>
      <c r="W459" s="50" t="n">
        <v>0</v>
      </c>
      <c r="X459" s="51" t="n">
        <v>0</v>
      </c>
      <c r="Y459" s="52" t="n">
        <v>0</v>
      </c>
      <c r="Z459" s="52" t="n">
        <v>0</v>
      </c>
      <c r="AA459" s="52" t="n">
        <v>0</v>
      </c>
      <c r="AB459" s="53" t="n">
        <v>0</v>
      </c>
      <c r="AC459" s="52" t="n">
        <v>0</v>
      </c>
      <c r="AD459" s="53" t="n">
        <v>0</v>
      </c>
      <c r="AE459" s="52" t="n">
        <v>0</v>
      </c>
      <c r="AF459" s="51" t="n">
        <v>0</v>
      </c>
      <c r="AG459" s="48" t="n">
        <v>0</v>
      </c>
      <c r="AH459" s="49" t="n">
        <v>0</v>
      </c>
      <c r="AI459" s="49" t="n">
        <v>0</v>
      </c>
      <c r="AJ459" s="50" t="n">
        <v>0</v>
      </c>
      <c r="AK459" s="51" t="n">
        <v>0</v>
      </c>
      <c r="AL459" s="52" t="n">
        <v>0</v>
      </c>
      <c r="AM459" s="52" t="n">
        <v>0</v>
      </c>
      <c r="AN459" s="52" t="n">
        <v>0</v>
      </c>
      <c r="AO459" s="53" t="n">
        <v>0</v>
      </c>
      <c r="AP459" s="52" t="n">
        <v>0</v>
      </c>
      <c r="AQ459" s="53" t="n">
        <v>0</v>
      </c>
      <c r="AR459" s="52" t="n">
        <v>0</v>
      </c>
      <c r="AS459" s="51" t="n">
        <v>0</v>
      </c>
      <c r="AT459" s="48" t="n">
        <v>0</v>
      </c>
      <c r="AU459" s="49" t="n">
        <v>0</v>
      </c>
      <c r="AV459" s="49" t="n">
        <v>0</v>
      </c>
      <c r="AW459" s="50" t="n">
        <v>0</v>
      </c>
      <c r="AX459" s="51" t="n">
        <v>0</v>
      </c>
      <c r="AY459" s="52" t="n">
        <v>0</v>
      </c>
      <c r="AZ459" s="52" t="n">
        <v>0</v>
      </c>
      <c r="BA459" s="52" t="n">
        <v>0</v>
      </c>
      <c r="BB459" s="53" t="n">
        <v>0</v>
      </c>
      <c r="BC459" s="52" t="n">
        <v>0</v>
      </c>
      <c r="BD459" s="53" t="n">
        <v>0</v>
      </c>
      <c r="BE459" s="52" t="n">
        <v>0</v>
      </c>
      <c r="BF459" s="51" t="n">
        <v>0</v>
      </c>
    </row>
    <row r="460">
      <c r="A460">
        <f>HYPERLINK("https://www.walmart.com/ip/450511260", "450511260")</f>
        <v/>
      </c>
      <c r="B460" t="inlineStr">
        <is>
          <t>Tirrinia Large Adult Insulated Lunch Bag Tote Cooler Container, Charcoal</t>
        </is>
      </c>
      <c r="C460" t="inlineStr">
        <is>
          <t>1KTLB410CH</t>
        </is>
      </c>
      <c r="D460" t="inlineStr">
        <is>
          <t>Reusable Lunch Bags &amp; Boxes</t>
        </is>
      </c>
      <c r="E460" t="inlineStr">
        <is>
          <t>Tirrinia</t>
        </is>
      </c>
      <c r="F460" t="inlineStr">
        <is>
          <t>Q2-Target,Lunch Bag,WFS,Lunch Bags,SEM,WFS Item</t>
        </is>
      </c>
      <c r="G460" s="48" t="n">
        <v>0</v>
      </c>
      <c r="H460" s="49" t="n">
        <v>0</v>
      </c>
      <c r="I460" s="49" t="n">
        <v>0</v>
      </c>
      <c r="J460" s="50" t="n">
        <v>0</v>
      </c>
      <c r="K460" s="51" t="n">
        <v>0</v>
      </c>
      <c r="L460" s="52" t="n">
        <v>0</v>
      </c>
      <c r="M460" s="52" t="n">
        <v>0</v>
      </c>
      <c r="N460" s="52" t="n">
        <v>0</v>
      </c>
      <c r="O460" s="53" t="n">
        <v>0</v>
      </c>
      <c r="P460" s="52" t="n">
        <v>0</v>
      </c>
      <c r="Q460" s="53" t="n">
        <v>0</v>
      </c>
      <c r="R460" s="52" t="n">
        <v>0</v>
      </c>
      <c r="S460" s="51" t="n">
        <v>0</v>
      </c>
      <c r="T460" s="48" t="n">
        <v>59.97</v>
      </c>
      <c r="U460" s="49" t="n">
        <v>3</v>
      </c>
      <c r="V460" s="49" t="n">
        <v>12</v>
      </c>
      <c r="W460" s="50" t="n">
        <v>0.25</v>
      </c>
      <c r="X460" s="51" t="n">
        <v>0</v>
      </c>
      <c r="Y460" s="52" t="n">
        <v>0</v>
      </c>
      <c r="Z460" s="52" t="n">
        <v>0</v>
      </c>
      <c r="AA460" s="52" t="n">
        <v>0</v>
      </c>
      <c r="AB460" s="53" t="n">
        <v>0</v>
      </c>
      <c r="AC460" s="52" t="n">
        <v>0</v>
      </c>
      <c r="AD460" s="53" t="n">
        <v>0</v>
      </c>
      <c r="AE460" s="52" t="n">
        <v>19.99</v>
      </c>
      <c r="AF460" s="51" t="n">
        <v>0</v>
      </c>
      <c r="AG460" s="48" t="n">
        <v>0</v>
      </c>
      <c r="AH460" s="49" t="n">
        <v>0</v>
      </c>
      <c r="AI460" s="49" t="n">
        <v>0</v>
      </c>
      <c r="AJ460" s="50" t="n">
        <v>0</v>
      </c>
      <c r="AK460" s="51" t="n">
        <v>0</v>
      </c>
      <c r="AL460" s="52" t="n">
        <v>0</v>
      </c>
      <c r="AM460" s="52" t="n">
        <v>0</v>
      </c>
      <c r="AN460" s="52" t="n">
        <v>0</v>
      </c>
      <c r="AO460" s="53" t="n">
        <v>0</v>
      </c>
      <c r="AP460" s="52" t="n">
        <v>0</v>
      </c>
      <c r="AQ460" s="53" t="n">
        <v>0</v>
      </c>
      <c r="AR460" s="52" t="n">
        <v>0</v>
      </c>
      <c r="AS460" s="51" t="n">
        <v>0</v>
      </c>
      <c r="AT460" s="48" t="n">
        <v>0</v>
      </c>
      <c r="AU460" s="49" t="n">
        <v>0</v>
      </c>
      <c r="AV460" s="49" t="n">
        <v>0</v>
      </c>
      <c r="AW460" s="50" t="n">
        <v>0</v>
      </c>
      <c r="AX460" s="51" t="n">
        <v>0</v>
      </c>
      <c r="AY460" s="52" t="n">
        <v>0</v>
      </c>
      <c r="AZ460" s="52" t="n">
        <v>0</v>
      </c>
      <c r="BA460" s="52" t="n">
        <v>0</v>
      </c>
      <c r="BB460" s="53" t="n">
        <v>0</v>
      </c>
      <c r="BC460" s="52" t="n">
        <v>0</v>
      </c>
      <c r="BD460" s="53" t="n">
        <v>0</v>
      </c>
      <c r="BE460" s="52" t="n">
        <v>0</v>
      </c>
      <c r="BF460" s="51" t="n">
        <v>0</v>
      </c>
    </row>
    <row r="461">
      <c r="A461">
        <f>HYPERLINK("https://www.walmart.com/ip/446170712", "446170712")</f>
        <v/>
      </c>
      <c r="B461" t="inlineStr">
        <is>
          <t>Tirrinia Insulated 2 Bottle Wine Carrier Tote Cooler Bag for Travel Picnic Padded Champagne Glass</t>
        </is>
      </c>
      <c r="C461" t="inlineStr">
        <is>
          <t>1WMWB230CH</t>
        </is>
      </c>
      <c r="D461" t="inlineStr">
        <is>
          <t>Wine Totes, Bags &amp; Backpacks</t>
        </is>
      </c>
      <c r="E461" t="inlineStr">
        <is>
          <t>Flyingstar</t>
        </is>
      </c>
      <c r="F461" t="inlineStr">
        <is>
          <t>Wine,Christmas,Optimized,Valentine</t>
        </is>
      </c>
      <c r="G461" s="48" t="n">
        <v>0</v>
      </c>
      <c r="H461" s="49" t="n">
        <v>0</v>
      </c>
      <c r="I461" s="49" t="n">
        <v>0</v>
      </c>
      <c r="J461" s="50" t="n">
        <v>0</v>
      </c>
      <c r="K461" s="51" t="n">
        <v>0</v>
      </c>
      <c r="L461" s="52" t="n">
        <v>0</v>
      </c>
      <c r="M461" s="52" t="n">
        <v>0</v>
      </c>
      <c r="N461" s="52" t="n">
        <v>0</v>
      </c>
      <c r="O461" s="53" t="n">
        <v>0</v>
      </c>
      <c r="P461" s="52" t="n">
        <v>0</v>
      </c>
      <c r="Q461" s="53" t="n">
        <v>0</v>
      </c>
      <c r="R461" s="52" t="n">
        <v>0</v>
      </c>
      <c r="S461" s="51" t="n">
        <v>0</v>
      </c>
      <c r="T461" s="48" t="n">
        <v>0</v>
      </c>
      <c r="U461" s="49" t="n">
        <v>0</v>
      </c>
      <c r="V461" s="49" t="n">
        <v>0</v>
      </c>
      <c r="W461" s="50" t="n">
        <v>0</v>
      </c>
      <c r="X461" s="51" t="n">
        <v>0</v>
      </c>
      <c r="Y461" s="52" t="n">
        <v>0</v>
      </c>
      <c r="Z461" s="52" t="n">
        <v>0</v>
      </c>
      <c r="AA461" s="52" t="n">
        <v>0</v>
      </c>
      <c r="AB461" s="53" t="n">
        <v>0</v>
      </c>
      <c r="AC461" s="52" t="n">
        <v>0</v>
      </c>
      <c r="AD461" s="53" t="n">
        <v>0</v>
      </c>
      <c r="AE461" s="52" t="n">
        <v>0</v>
      </c>
      <c r="AF461" s="51" t="n">
        <v>0</v>
      </c>
      <c r="AG461" s="48" t="n">
        <v>0</v>
      </c>
      <c r="AH461" s="49" t="n">
        <v>0</v>
      </c>
      <c r="AI461" s="49" t="n">
        <v>0</v>
      </c>
      <c r="AJ461" s="50" t="n">
        <v>0</v>
      </c>
      <c r="AK461" s="51" t="n">
        <v>0</v>
      </c>
      <c r="AL461" s="52" t="n">
        <v>0</v>
      </c>
      <c r="AM461" s="52" t="n">
        <v>0</v>
      </c>
      <c r="AN461" s="52" t="n">
        <v>0</v>
      </c>
      <c r="AO461" s="53" t="n">
        <v>0</v>
      </c>
      <c r="AP461" s="52" t="n">
        <v>0</v>
      </c>
      <c r="AQ461" s="53" t="n">
        <v>0</v>
      </c>
      <c r="AR461" s="52" t="n">
        <v>0</v>
      </c>
      <c r="AS461" s="51" t="n">
        <v>0</v>
      </c>
      <c r="AT461" s="48" t="n">
        <v>0</v>
      </c>
      <c r="AU461" s="49" t="n">
        <v>0</v>
      </c>
      <c r="AV461" s="49" t="n">
        <v>0</v>
      </c>
      <c r="AW461" s="50" t="n">
        <v>0</v>
      </c>
      <c r="AX461" s="51" t="n">
        <v>0</v>
      </c>
      <c r="AY461" s="52" t="n">
        <v>0</v>
      </c>
      <c r="AZ461" s="52" t="n">
        <v>0</v>
      </c>
      <c r="BA461" s="52" t="n">
        <v>0</v>
      </c>
      <c r="BB461" s="53" t="n">
        <v>0</v>
      </c>
      <c r="BC461" s="52" t="n">
        <v>0</v>
      </c>
      <c r="BD461" s="53" t="n">
        <v>0</v>
      </c>
      <c r="BE461" s="52" t="n">
        <v>0</v>
      </c>
      <c r="BF461" s="51" t="n">
        <v>0</v>
      </c>
    </row>
    <row r="462">
      <c r="A462">
        <f>HYPERLINK("https://www.walmart.com/ip/443053567", "443053567")</f>
        <v/>
      </c>
      <c r="B462" t="inlineStr">
        <is>
          <t>Catalonia Waterproof Blanket, Pee Proof Couch Sofa Bed Protector Cover for Baby, Super Cozy Plush Fleece Warm Sherpa Lining Throws and Blankets for Boating Camping, Grey, 60" x 80"</t>
        </is>
      </c>
      <c r="C462" t="inlineStr">
        <is>
          <t>1CTBW682LGDG</t>
        </is>
      </c>
      <c r="D462" t="inlineStr">
        <is>
          <t>Throws</t>
        </is>
      </c>
      <c r="E462" t="inlineStr">
        <is>
          <t>Catalonia</t>
        </is>
      </c>
      <c r="F462" t="inlineStr">
        <is>
          <t>Q2-Target,High AUR Items,Wproof Blanket,Batch 1 - TR</t>
        </is>
      </c>
      <c r="G462" s="48" t="n">
        <v>0</v>
      </c>
      <c r="H462" s="49" t="n">
        <v>0</v>
      </c>
      <c r="I462" s="49" t="n">
        <v>0</v>
      </c>
      <c r="J462" s="50" t="n">
        <v>0</v>
      </c>
      <c r="K462" s="51" t="n">
        <v>2</v>
      </c>
      <c r="L462" s="52" t="n">
        <v>0.61</v>
      </c>
      <c r="M462" s="52" t="n">
        <v>0</v>
      </c>
      <c r="N462" s="52" t="n">
        <v>0</v>
      </c>
      <c r="O462" s="53" t="n">
        <v>0.0018</v>
      </c>
      <c r="P462" s="52" t="n">
        <v>0.305</v>
      </c>
      <c r="Q462" s="53" t="n">
        <v>0</v>
      </c>
      <c r="R462" s="52" t="n">
        <v>0</v>
      </c>
      <c r="S462" s="51" t="n">
        <v>1134</v>
      </c>
      <c r="T462" s="48" t="n">
        <v>0</v>
      </c>
      <c r="U462" s="49" t="n">
        <v>0</v>
      </c>
      <c r="V462" s="49" t="n">
        <v>0</v>
      </c>
      <c r="W462" s="50" t="n">
        <v>0</v>
      </c>
      <c r="X462" s="51" t="n">
        <v>2</v>
      </c>
      <c r="Y462" s="52" t="n">
        <v>0.8100000000000001</v>
      </c>
      <c r="Z462" s="52" t="n">
        <v>0</v>
      </c>
      <c r="AA462" s="52" t="n">
        <v>0</v>
      </c>
      <c r="AB462" s="53" t="n">
        <v>0.0019</v>
      </c>
      <c r="AC462" s="52" t="n">
        <v>0.405</v>
      </c>
      <c r="AD462" s="53" t="n">
        <v>0</v>
      </c>
      <c r="AE462" s="52" t="n">
        <v>0</v>
      </c>
      <c r="AF462" s="51" t="n">
        <v>1047</v>
      </c>
      <c r="AG462" s="48" t="n">
        <v>0</v>
      </c>
      <c r="AH462" s="49" t="n">
        <v>0</v>
      </c>
      <c r="AI462" s="49" t="n">
        <v>0</v>
      </c>
      <c r="AJ462" s="50" t="n">
        <v>0</v>
      </c>
      <c r="AK462" s="51" t="n">
        <v>0</v>
      </c>
      <c r="AL462" s="52" t="n">
        <v>0</v>
      </c>
      <c r="AM462" s="52" t="n">
        <v>0</v>
      </c>
      <c r="AN462" s="52" t="n">
        <v>0</v>
      </c>
      <c r="AO462" s="53" t="n">
        <v>0</v>
      </c>
      <c r="AP462" s="52" t="n">
        <v>0</v>
      </c>
      <c r="AQ462" s="53" t="n">
        <v>0</v>
      </c>
      <c r="AR462" s="52" t="n">
        <v>0</v>
      </c>
      <c r="AS462" s="51" t="n">
        <v>1281</v>
      </c>
      <c r="AT462" s="48" t="n">
        <v>0</v>
      </c>
      <c r="AU462" s="49" t="n">
        <v>0</v>
      </c>
      <c r="AV462" s="49" t="n">
        <v>0</v>
      </c>
      <c r="AW462" s="50" t="n">
        <v>0</v>
      </c>
      <c r="AX462" s="51" t="n">
        <v>2</v>
      </c>
      <c r="AY462" s="52" t="n">
        <v>0.67</v>
      </c>
      <c r="AZ462" s="52" t="n">
        <v>0</v>
      </c>
      <c r="BA462" s="52" t="n">
        <v>0</v>
      </c>
      <c r="BB462" s="53" t="n">
        <v>0.0018</v>
      </c>
      <c r="BC462" s="52" t="n">
        <v>0.335</v>
      </c>
      <c r="BD462" s="53" t="n">
        <v>0</v>
      </c>
      <c r="BE462" s="52" t="n">
        <v>0</v>
      </c>
      <c r="BF462" s="51" t="n">
        <v>1142</v>
      </c>
    </row>
    <row r="463">
      <c r="A463">
        <f>HYPERLINK("https://www.walmart.com/ip/443518733", "443518733")</f>
        <v/>
      </c>
      <c r="B463" t="inlineStr">
        <is>
          <t>Tirrinia Sherpa Wearable Blanket Ultra Soft Comfy Warm Plush Full Body Throw with Sleeves, Reading Wrap TV Blankets Robe Cover for Adult Grandma Women and Men, Camel</t>
        </is>
      </c>
      <c r="C463" t="inlineStr">
        <is>
          <t>1TRSN110CA</t>
        </is>
      </c>
      <c r="D463" t="inlineStr">
        <is>
          <t>Throws</t>
        </is>
      </c>
      <c r="E463" t="inlineStr">
        <is>
          <t>Tirrinia</t>
        </is>
      </c>
      <c r="F463" t="inlineStr">
        <is>
          <t>WFS,Coupon_Discount,WFS Item</t>
        </is>
      </c>
      <c r="G463" s="48" t="n">
        <v>0</v>
      </c>
      <c r="H463" s="49" t="n">
        <v>0</v>
      </c>
      <c r="I463" s="49" t="n">
        <v>0</v>
      </c>
      <c r="J463" s="50" t="n">
        <v>0</v>
      </c>
      <c r="K463" s="51" t="n">
        <v>0</v>
      </c>
      <c r="L463" s="52" t="n">
        <v>0</v>
      </c>
      <c r="M463" s="52" t="n">
        <v>0</v>
      </c>
      <c r="N463" s="52" t="n">
        <v>0</v>
      </c>
      <c r="O463" s="53" t="n">
        <v>0</v>
      </c>
      <c r="P463" s="52" t="n">
        <v>0</v>
      </c>
      <c r="Q463" s="53" t="n">
        <v>0</v>
      </c>
      <c r="R463" s="52" t="n">
        <v>0</v>
      </c>
      <c r="S463" s="51" t="n">
        <v>0</v>
      </c>
      <c r="T463" s="48" t="n">
        <v>0</v>
      </c>
      <c r="U463" s="49" t="n">
        <v>0</v>
      </c>
      <c r="V463" s="49" t="n">
        <v>0</v>
      </c>
      <c r="W463" s="50" t="n">
        <v>0</v>
      </c>
      <c r="X463" s="51" t="n">
        <v>0</v>
      </c>
      <c r="Y463" s="52" t="n">
        <v>0</v>
      </c>
      <c r="Z463" s="52" t="n">
        <v>0</v>
      </c>
      <c r="AA463" s="52" t="n">
        <v>0</v>
      </c>
      <c r="AB463" s="53" t="n">
        <v>0</v>
      </c>
      <c r="AC463" s="52" t="n">
        <v>0</v>
      </c>
      <c r="AD463" s="53" t="n">
        <v>0</v>
      </c>
      <c r="AE463" s="52" t="n">
        <v>0</v>
      </c>
      <c r="AF463" s="51" t="n">
        <v>0</v>
      </c>
      <c r="AG463" s="48" t="n">
        <v>0</v>
      </c>
      <c r="AH463" s="49" t="n">
        <v>0</v>
      </c>
      <c r="AI463" s="49" t="n">
        <v>0</v>
      </c>
      <c r="AJ463" s="50" t="n">
        <v>0</v>
      </c>
      <c r="AK463" s="51" t="n">
        <v>0</v>
      </c>
      <c r="AL463" s="52" t="n">
        <v>0</v>
      </c>
      <c r="AM463" s="52" t="n">
        <v>0</v>
      </c>
      <c r="AN463" s="52" t="n">
        <v>0</v>
      </c>
      <c r="AO463" s="53" t="n">
        <v>0</v>
      </c>
      <c r="AP463" s="52" t="n">
        <v>0</v>
      </c>
      <c r="AQ463" s="53" t="n">
        <v>0</v>
      </c>
      <c r="AR463" s="52" t="n">
        <v>0</v>
      </c>
      <c r="AS463" s="51" t="n">
        <v>0</v>
      </c>
      <c r="AT463" s="48" t="n">
        <v>0</v>
      </c>
      <c r="AU463" s="49" t="n">
        <v>0</v>
      </c>
      <c r="AV463" s="49" t="n">
        <v>0</v>
      </c>
      <c r="AW463" s="50" t="n">
        <v>0</v>
      </c>
      <c r="AX463" s="51" t="n">
        <v>0</v>
      </c>
      <c r="AY463" s="52" t="n">
        <v>0</v>
      </c>
      <c r="AZ463" s="52" t="n">
        <v>0</v>
      </c>
      <c r="BA463" s="52" t="n">
        <v>0</v>
      </c>
      <c r="BB463" s="53" t="n">
        <v>0</v>
      </c>
      <c r="BC463" s="52" t="n">
        <v>0</v>
      </c>
      <c r="BD463" s="53" t="n">
        <v>0</v>
      </c>
      <c r="BE463" s="52" t="n">
        <v>0</v>
      </c>
      <c r="BF463" s="51" t="n">
        <v>0</v>
      </c>
    </row>
    <row r="464">
      <c r="A464">
        <f>HYPERLINK("https://www.walmart.com/ip/444384518", "444384518")</f>
        <v/>
      </c>
      <c r="B464" t="inlineStr">
        <is>
          <t>KC Caps Men's Deluxe Washed Chino Cotton Surplus Cap</t>
        </is>
      </c>
      <c r="C464" t="inlineStr">
        <is>
          <t>8320-Kahaki</t>
        </is>
      </c>
      <c r="D464" t="inlineStr">
        <is>
          <t>Hats</t>
        </is>
      </c>
      <c r="E464" t="inlineStr">
        <is>
          <t>KC Caps</t>
        </is>
      </c>
      <c r="F464" t="inlineStr">
        <is>
          <t>Optimized</t>
        </is>
      </c>
      <c r="G464" s="48" t="n">
        <v>0</v>
      </c>
      <c r="H464" s="49" t="n">
        <v>0</v>
      </c>
      <c r="I464" s="49" t="n">
        <v>0</v>
      </c>
      <c r="J464" s="50" t="n">
        <v>0</v>
      </c>
      <c r="K464" s="51" t="n">
        <v>0</v>
      </c>
      <c r="L464" s="52" t="n">
        <v>0</v>
      </c>
      <c r="M464" s="52" t="n">
        <v>0</v>
      </c>
      <c r="N464" s="52" t="n">
        <v>0</v>
      </c>
      <c r="O464" s="53" t="n">
        <v>0</v>
      </c>
      <c r="P464" s="52" t="n">
        <v>0</v>
      </c>
      <c r="Q464" s="53" t="n">
        <v>0</v>
      </c>
      <c r="R464" s="52" t="n">
        <v>0</v>
      </c>
      <c r="S464" s="51" t="n">
        <v>0</v>
      </c>
      <c r="T464" s="48" t="n">
        <v>0</v>
      </c>
      <c r="U464" s="49" t="n">
        <v>0</v>
      </c>
      <c r="V464" s="49" t="n">
        <v>0</v>
      </c>
      <c r="W464" s="50" t="n">
        <v>0</v>
      </c>
      <c r="X464" s="51" t="n">
        <v>0</v>
      </c>
      <c r="Y464" s="52" t="n">
        <v>0</v>
      </c>
      <c r="Z464" s="52" t="n">
        <v>0</v>
      </c>
      <c r="AA464" s="52" t="n">
        <v>0</v>
      </c>
      <c r="AB464" s="53" t="n">
        <v>0</v>
      </c>
      <c r="AC464" s="52" t="n">
        <v>0</v>
      </c>
      <c r="AD464" s="53" t="n">
        <v>0</v>
      </c>
      <c r="AE464" s="52" t="n">
        <v>0</v>
      </c>
      <c r="AF464" s="51" t="n">
        <v>0</v>
      </c>
      <c r="AG464" s="48" t="n">
        <v>0</v>
      </c>
      <c r="AH464" s="49" t="n">
        <v>0</v>
      </c>
      <c r="AI464" s="49" t="n">
        <v>0</v>
      </c>
      <c r="AJ464" s="50" t="n">
        <v>0</v>
      </c>
      <c r="AK464" s="51" t="n">
        <v>0</v>
      </c>
      <c r="AL464" s="52" t="n">
        <v>0</v>
      </c>
      <c r="AM464" s="52" t="n">
        <v>0</v>
      </c>
      <c r="AN464" s="52" t="n">
        <v>0</v>
      </c>
      <c r="AO464" s="53" t="n">
        <v>0</v>
      </c>
      <c r="AP464" s="52" t="n">
        <v>0</v>
      </c>
      <c r="AQ464" s="53" t="n">
        <v>0</v>
      </c>
      <c r="AR464" s="52" t="n">
        <v>0</v>
      </c>
      <c r="AS464" s="51" t="n">
        <v>0</v>
      </c>
      <c r="AT464" s="48" t="n">
        <v>0</v>
      </c>
      <c r="AU464" s="49" t="n">
        <v>0</v>
      </c>
      <c r="AV464" s="49" t="n">
        <v>0</v>
      </c>
      <c r="AW464" s="50" t="n">
        <v>0</v>
      </c>
      <c r="AX464" s="51" t="n">
        <v>0</v>
      </c>
      <c r="AY464" s="52" t="n">
        <v>0</v>
      </c>
      <c r="AZ464" s="52" t="n">
        <v>0</v>
      </c>
      <c r="BA464" s="52" t="n">
        <v>0</v>
      </c>
      <c r="BB464" s="53" t="n">
        <v>0</v>
      </c>
      <c r="BC464" s="52" t="n">
        <v>0</v>
      </c>
      <c r="BD464" s="53" t="n">
        <v>0</v>
      </c>
      <c r="BE464" s="52" t="n">
        <v>0</v>
      </c>
      <c r="BF464" s="51" t="n">
        <v>0</v>
      </c>
    </row>
    <row r="465">
      <c r="A465">
        <f>HYPERLINK("https://www.walmart.com/ip/445268146", "445268146")</f>
        <v/>
      </c>
      <c r="B465" t="inlineStr">
        <is>
          <t>Women’s Swim Bathing Suit Cover Up, Summer Chiffon Maxi Beach Dress Skirt</t>
        </is>
      </c>
      <c r="C465" t="inlineStr">
        <is>
          <t>1WMDS100BK</t>
        </is>
      </c>
      <c r="D465" t="inlineStr">
        <is>
          <t>Dresses</t>
        </is>
      </c>
      <c r="E465" t="inlineStr">
        <is>
          <t>Flyingstar</t>
        </is>
      </c>
      <c r="F465" t="inlineStr">
        <is>
          <t>Batch 1 - TR</t>
        </is>
      </c>
      <c r="G465" s="48" t="n">
        <v>0</v>
      </c>
      <c r="H465" s="49" t="n">
        <v>0</v>
      </c>
      <c r="I465" s="49" t="n">
        <v>0</v>
      </c>
      <c r="J465" s="50" t="n">
        <v>0</v>
      </c>
      <c r="K465" s="51" t="n">
        <v>0</v>
      </c>
      <c r="L465" s="52" t="n">
        <v>0</v>
      </c>
      <c r="M465" s="52" t="n">
        <v>0</v>
      </c>
      <c r="N465" s="52" t="n">
        <v>0</v>
      </c>
      <c r="O465" s="53" t="n">
        <v>0</v>
      </c>
      <c r="P465" s="52" t="n">
        <v>0</v>
      </c>
      <c r="Q465" s="53" t="n">
        <v>0</v>
      </c>
      <c r="R465" s="52" t="n">
        <v>0</v>
      </c>
      <c r="S465" s="51" t="n">
        <v>0</v>
      </c>
      <c r="T465" s="48" t="n">
        <v>0</v>
      </c>
      <c r="U465" s="49" t="n">
        <v>0</v>
      </c>
      <c r="V465" s="49" t="n">
        <v>0</v>
      </c>
      <c r="W465" s="50" t="n">
        <v>0</v>
      </c>
      <c r="X465" s="51" t="n">
        <v>0</v>
      </c>
      <c r="Y465" s="52" t="n">
        <v>0</v>
      </c>
      <c r="Z465" s="52" t="n">
        <v>0</v>
      </c>
      <c r="AA465" s="52" t="n">
        <v>0</v>
      </c>
      <c r="AB465" s="53" t="n">
        <v>0</v>
      </c>
      <c r="AC465" s="52" t="n">
        <v>0</v>
      </c>
      <c r="AD465" s="53" t="n">
        <v>0</v>
      </c>
      <c r="AE465" s="52" t="n">
        <v>0</v>
      </c>
      <c r="AF465" s="51" t="n">
        <v>0</v>
      </c>
      <c r="AG465" s="48" t="n">
        <v>0</v>
      </c>
      <c r="AH465" s="49" t="n">
        <v>0</v>
      </c>
      <c r="AI465" s="49" t="n">
        <v>0</v>
      </c>
      <c r="AJ465" s="50" t="n">
        <v>0</v>
      </c>
      <c r="AK465" s="51" t="n">
        <v>0</v>
      </c>
      <c r="AL465" s="52" t="n">
        <v>0</v>
      </c>
      <c r="AM465" s="52" t="n">
        <v>0</v>
      </c>
      <c r="AN465" s="52" t="n">
        <v>0</v>
      </c>
      <c r="AO465" s="53" t="n">
        <v>0</v>
      </c>
      <c r="AP465" s="52" t="n">
        <v>0</v>
      </c>
      <c r="AQ465" s="53" t="n">
        <v>0</v>
      </c>
      <c r="AR465" s="52" t="n">
        <v>0</v>
      </c>
      <c r="AS465" s="51" t="n">
        <v>0</v>
      </c>
      <c r="AT465" s="48" t="n">
        <v>0</v>
      </c>
      <c r="AU465" s="49" t="n">
        <v>0</v>
      </c>
      <c r="AV465" s="49" t="n">
        <v>0</v>
      </c>
      <c r="AW465" s="50" t="n">
        <v>0</v>
      </c>
      <c r="AX465" s="51" t="n">
        <v>0</v>
      </c>
      <c r="AY465" s="52" t="n">
        <v>0</v>
      </c>
      <c r="AZ465" s="52" t="n">
        <v>0</v>
      </c>
      <c r="BA465" s="52" t="n">
        <v>0</v>
      </c>
      <c r="BB465" s="53" t="n">
        <v>0</v>
      </c>
      <c r="BC465" s="52" t="n">
        <v>0</v>
      </c>
      <c r="BD465" s="53" t="n">
        <v>0</v>
      </c>
      <c r="BE465" s="52" t="n">
        <v>0</v>
      </c>
      <c r="BF465" s="51" t="n">
        <v>0</v>
      </c>
    </row>
    <row r="466">
      <c r="A466">
        <f>HYPERLINK("https://www.walmart.com/ip/445400019", "445400019")</f>
        <v/>
      </c>
      <c r="B466" t="inlineStr">
        <is>
          <t>Women’s Swim Bathing Suit Cover Up, Summer Chiffon Backless Beach Dress Skirt</t>
        </is>
      </c>
      <c r="C466" t="inlineStr">
        <is>
          <t>1WMDS110BL</t>
        </is>
      </c>
      <c r="D466" t="inlineStr">
        <is>
          <t>Dresses</t>
        </is>
      </c>
      <c r="E466" t="inlineStr">
        <is>
          <t>Flyingstar</t>
        </is>
      </c>
      <c r="F466" t="inlineStr">
        <is>
          <t>Optimized</t>
        </is>
      </c>
      <c r="G466" s="48" t="n">
        <v>0</v>
      </c>
      <c r="H466" s="49" t="n">
        <v>0</v>
      </c>
      <c r="I466" s="49" t="n">
        <v>0</v>
      </c>
      <c r="J466" s="50" t="n">
        <v>0</v>
      </c>
      <c r="K466" s="51" t="n">
        <v>0</v>
      </c>
      <c r="L466" s="52" t="n">
        <v>0</v>
      </c>
      <c r="M466" s="52" t="n">
        <v>0</v>
      </c>
      <c r="N466" s="52" t="n">
        <v>0</v>
      </c>
      <c r="O466" s="53" t="n">
        <v>0</v>
      </c>
      <c r="P466" s="52" t="n">
        <v>0</v>
      </c>
      <c r="Q466" s="53" t="n">
        <v>0</v>
      </c>
      <c r="R466" s="52" t="n">
        <v>0</v>
      </c>
      <c r="S466" s="51" t="n">
        <v>0</v>
      </c>
      <c r="T466" s="48" t="n">
        <v>0</v>
      </c>
      <c r="U466" s="49" t="n">
        <v>0</v>
      </c>
      <c r="V466" s="49" t="n">
        <v>0</v>
      </c>
      <c r="W466" s="50" t="n">
        <v>0</v>
      </c>
      <c r="X466" s="51" t="n">
        <v>0</v>
      </c>
      <c r="Y466" s="52" t="n">
        <v>0</v>
      </c>
      <c r="Z466" s="52" t="n">
        <v>0</v>
      </c>
      <c r="AA466" s="52" t="n">
        <v>0</v>
      </c>
      <c r="AB466" s="53" t="n">
        <v>0</v>
      </c>
      <c r="AC466" s="52" t="n">
        <v>0</v>
      </c>
      <c r="AD466" s="53" t="n">
        <v>0</v>
      </c>
      <c r="AE466" s="52" t="n">
        <v>0</v>
      </c>
      <c r="AF466" s="51" t="n">
        <v>0</v>
      </c>
      <c r="AG466" s="48" t="n">
        <v>0</v>
      </c>
      <c r="AH466" s="49" t="n">
        <v>0</v>
      </c>
      <c r="AI466" s="49" t="n">
        <v>0</v>
      </c>
      <c r="AJ466" s="50" t="n">
        <v>0</v>
      </c>
      <c r="AK466" s="51" t="n">
        <v>0</v>
      </c>
      <c r="AL466" s="52" t="n">
        <v>0</v>
      </c>
      <c r="AM466" s="52" t="n">
        <v>0</v>
      </c>
      <c r="AN466" s="52" t="n">
        <v>0</v>
      </c>
      <c r="AO466" s="53" t="n">
        <v>0</v>
      </c>
      <c r="AP466" s="52" t="n">
        <v>0</v>
      </c>
      <c r="AQ466" s="53" t="n">
        <v>0</v>
      </c>
      <c r="AR466" s="52" t="n">
        <v>0</v>
      </c>
      <c r="AS466" s="51" t="n">
        <v>0</v>
      </c>
      <c r="AT466" s="48" t="n">
        <v>0</v>
      </c>
      <c r="AU466" s="49" t="n">
        <v>0</v>
      </c>
      <c r="AV466" s="49" t="n">
        <v>0</v>
      </c>
      <c r="AW466" s="50" t="n">
        <v>0</v>
      </c>
      <c r="AX466" s="51" t="n">
        <v>0</v>
      </c>
      <c r="AY466" s="52" t="n">
        <v>0</v>
      </c>
      <c r="AZ466" s="52" t="n">
        <v>0</v>
      </c>
      <c r="BA466" s="52" t="n">
        <v>0</v>
      </c>
      <c r="BB466" s="53" t="n">
        <v>0</v>
      </c>
      <c r="BC466" s="52" t="n">
        <v>0</v>
      </c>
      <c r="BD466" s="53" t="n">
        <v>0</v>
      </c>
      <c r="BE466" s="52" t="n">
        <v>0</v>
      </c>
      <c r="BF466" s="51" t="n">
        <v>0</v>
      </c>
    </row>
    <row r="467">
      <c r="A467">
        <f>HYPERLINK("https://www.walmart.com/ip/445550072", "445550072")</f>
        <v/>
      </c>
      <c r="B467" t="inlineStr">
        <is>
          <t>Catalonia Coral Fleece Throw Blanket for Couch, All Seasons Lightweight Soft Cozy Throws for Home Living Room Decoration, Brown, 50'' x 60''.</t>
        </is>
      </c>
      <c r="C467" t="inlineStr">
        <is>
          <t>1CTBF577BR</t>
        </is>
      </c>
      <c r="D467" t="inlineStr">
        <is>
          <t>Throws</t>
        </is>
      </c>
      <c r="E467" t="inlineStr">
        <is>
          <t>Catalonia</t>
        </is>
      </c>
      <c r="F467" t="inlineStr">
        <is>
          <t>Q2-Target,WFS,Coupon_Discount,SeePriceInCart,cost-added,WFS Item</t>
        </is>
      </c>
      <c r="G467" s="48" t="n">
        <v>0</v>
      </c>
      <c r="H467" s="49" t="n">
        <v>0</v>
      </c>
      <c r="I467" s="49" t="n">
        <v>0</v>
      </c>
      <c r="J467" s="50" t="n">
        <v>0</v>
      </c>
      <c r="K467" s="51" t="n">
        <v>0</v>
      </c>
      <c r="L467" s="52" t="n">
        <v>0</v>
      </c>
      <c r="M467" s="52" t="n">
        <v>0</v>
      </c>
      <c r="N467" s="52" t="n">
        <v>0</v>
      </c>
      <c r="O467" s="53" t="n">
        <v>0</v>
      </c>
      <c r="P467" s="52" t="n">
        <v>0</v>
      </c>
      <c r="Q467" s="53" t="n">
        <v>0</v>
      </c>
      <c r="R467" s="52" t="n">
        <v>0</v>
      </c>
      <c r="S467" s="51" t="n">
        <v>0</v>
      </c>
      <c r="T467" s="48" t="n">
        <v>0</v>
      </c>
      <c r="U467" s="49" t="n">
        <v>0</v>
      </c>
      <c r="V467" s="49" t="n">
        <v>0</v>
      </c>
      <c r="W467" s="50" t="n">
        <v>0</v>
      </c>
      <c r="X467" s="51" t="n">
        <v>0</v>
      </c>
      <c r="Y467" s="52" t="n">
        <v>0</v>
      </c>
      <c r="Z467" s="52" t="n">
        <v>0</v>
      </c>
      <c r="AA467" s="52" t="n">
        <v>0</v>
      </c>
      <c r="AB467" s="53" t="n">
        <v>0</v>
      </c>
      <c r="AC467" s="52" t="n">
        <v>0</v>
      </c>
      <c r="AD467" s="53" t="n">
        <v>0</v>
      </c>
      <c r="AE467" s="52" t="n">
        <v>0</v>
      </c>
      <c r="AF467" s="51" t="n">
        <v>0</v>
      </c>
      <c r="AG467" s="48" t="n">
        <v>0</v>
      </c>
      <c r="AH467" s="49" t="n">
        <v>0</v>
      </c>
      <c r="AI467" s="49" t="n">
        <v>0</v>
      </c>
      <c r="AJ467" s="50" t="n">
        <v>0</v>
      </c>
      <c r="AK467" s="51" t="n">
        <v>0</v>
      </c>
      <c r="AL467" s="52" t="n">
        <v>0</v>
      </c>
      <c r="AM467" s="52" t="n">
        <v>0</v>
      </c>
      <c r="AN467" s="52" t="n">
        <v>0</v>
      </c>
      <c r="AO467" s="53" t="n">
        <v>0</v>
      </c>
      <c r="AP467" s="52" t="n">
        <v>0</v>
      </c>
      <c r="AQ467" s="53" t="n">
        <v>0</v>
      </c>
      <c r="AR467" s="52" t="n">
        <v>0</v>
      </c>
      <c r="AS467" s="51" t="n">
        <v>0</v>
      </c>
      <c r="AT467" s="48" t="n">
        <v>0</v>
      </c>
      <c r="AU467" s="49" t="n">
        <v>0</v>
      </c>
      <c r="AV467" s="49" t="n">
        <v>0</v>
      </c>
      <c r="AW467" s="50" t="n">
        <v>0</v>
      </c>
      <c r="AX467" s="51" t="n">
        <v>0</v>
      </c>
      <c r="AY467" s="52" t="n">
        <v>0</v>
      </c>
      <c r="AZ467" s="52" t="n">
        <v>0</v>
      </c>
      <c r="BA467" s="52" t="n">
        <v>0</v>
      </c>
      <c r="BB467" s="53" t="n">
        <v>0</v>
      </c>
      <c r="BC467" s="52" t="n">
        <v>0</v>
      </c>
      <c r="BD467" s="53" t="n">
        <v>0</v>
      </c>
      <c r="BE467" s="52" t="n">
        <v>0</v>
      </c>
      <c r="BF467" s="51" t="n">
        <v>0</v>
      </c>
    </row>
    <row r="468">
      <c r="A468">
        <f>HYPERLINK("https://www.walmart.com/ip/447066728", "447066728")</f>
        <v/>
      </c>
      <c r="B468" t="inlineStr">
        <is>
          <t>Napa Plush Cashmere Throw Blanket Dark Grey, Striped Reversible Velvet Luxury Fleece Warm Bed Couch Blanket, Super Soft and Cozy,  90" X 90" Queen/Full.</t>
        </is>
      </c>
      <c r="C468" t="inlineStr">
        <is>
          <t>K8030QF-DGY</t>
        </is>
      </c>
      <c r="D468" t="inlineStr">
        <is>
          <t>Throws</t>
        </is>
      </c>
      <c r="E468" t="inlineStr">
        <is>
          <t>NAPA</t>
        </is>
      </c>
      <c r="F468" t="inlineStr">
        <is>
          <t>Q2-Target,Optimized</t>
        </is>
      </c>
      <c r="G468" s="48" t="n">
        <v>0</v>
      </c>
      <c r="H468" s="49" t="n">
        <v>0</v>
      </c>
      <c r="I468" s="49" t="n">
        <v>0</v>
      </c>
      <c r="J468" s="50" t="n">
        <v>0</v>
      </c>
      <c r="K468" s="51" t="n">
        <v>0</v>
      </c>
      <c r="L468" s="52" t="n">
        <v>0</v>
      </c>
      <c r="M468" s="52" t="n">
        <v>0</v>
      </c>
      <c r="N468" s="52" t="n">
        <v>0</v>
      </c>
      <c r="O468" s="53" t="n">
        <v>0</v>
      </c>
      <c r="P468" s="52" t="n">
        <v>0</v>
      </c>
      <c r="Q468" s="53" t="n">
        <v>0</v>
      </c>
      <c r="R468" s="52" t="n">
        <v>0</v>
      </c>
      <c r="S468" s="51" t="n">
        <v>0</v>
      </c>
      <c r="T468" s="48" t="n">
        <v>29.96</v>
      </c>
      <c r="U468" s="49" t="n">
        <v>2</v>
      </c>
      <c r="V468" s="49" t="n">
        <v>0</v>
      </c>
      <c r="W468" s="50" t="n">
        <v>0</v>
      </c>
      <c r="X468" s="51" t="n">
        <v>0</v>
      </c>
      <c r="Y468" s="52" t="n">
        <v>0</v>
      </c>
      <c r="Z468" s="52" t="n">
        <v>0</v>
      </c>
      <c r="AA468" s="52" t="n">
        <v>0</v>
      </c>
      <c r="AB468" s="53" t="n">
        <v>0</v>
      </c>
      <c r="AC468" s="52" t="n">
        <v>0</v>
      </c>
      <c r="AD468" s="53" t="n">
        <v>0</v>
      </c>
      <c r="AE468" s="52" t="n">
        <v>14.98</v>
      </c>
      <c r="AF468" s="51" t="n">
        <v>0</v>
      </c>
      <c r="AG468" s="48" t="n">
        <v>0</v>
      </c>
      <c r="AH468" s="49" t="n">
        <v>0</v>
      </c>
      <c r="AI468" s="49" t="n">
        <v>0</v>
      </c>
      <c r="AJ468" s="50" t="n">
        <v>0</v>
      </c>
      <c r="AK468" s="51" t="n">
        <v>0</v>
      </c>
      <c r="AL468" s="52" t="n">
        <v>0</v>
      </c>
      <c r="AM468" s="52" t="n">
        <v>0</v>
      </c>
      <c r="AN468" s="52" t="n">
        <v>0</v>
      </c>
      <c r="AO468" s="53" t="n">
        <v>0</v>
      </c>
      <c r="AP468" s="52" t="n">
        <v>0</v>
      </c>
      <c r="AQ468" s="53" t="n">
        <v>0</v>
      </c>
      <c r="AR468" s="52" t="n">
        <v>0</v>
      </c>
      <c r="AS468" s="51" t="n">
        <v>0</v>
      </c>
      <c r="AT468" s="48" t="n">
        <v>14.98</v>
      </c>
      <c r="AU468" s="49" t="n">
        <v>1</v>
      </c>
      <c r="AV468" s="49" t="n">
        <v>0</v>
      </c>
      <c r="AW468" s="50" t="n">
        <v>0</v>
      </c>
      <c r="AX468" s="51" t="n">
        <v>0</v>
      </c>
      <c r="AY468" s="52" t="n">
        <v>0</v>
      </c>
      <c r="AZ468" s="52" t="n">
        <v>0</v>
      </c>
      <c r="BA468" s="52" t="n">
        <v>0</v>
      </c>
      <c r="BB468" s="53" t="n">
        <v>0</v>
      </c>
      <c r="BC468" s="52" t="n">
        <v>0</v>
      </c>
      <c r="BD468" s="53" t="n">
        <v>0</v>
      </c>
      <c r="BE468" s="52" t="n">
        <v>14.98</v>
      </c>
      <c r="BF468" s="51" t="n">
        <v>0</v>
      </c>
    </row>
    <row r="469">
      <c r="A469">
        <f>HYPERLINK("https://www.walmart.com/ip/449823068", "449823068")</f>
        <v/>
      </c>
      <c r="B469" t="inlineStr">
        <is>
          <t>Flyingstar Waterproof Outdoor Blanket with Sherpa Lining 59''X 80'', Triple Layers Warm Comfy Foldable for Camping Stadium, Sports, Picnic, Grass, Concerts, Pet</t>
        </is>
      </c>
      <c r="C469" t="inlineStr">
        <is>
          <t>1WMBW608BKGY-TBCB</t>
        </is>
      </c>
      <c r="D469" t="inlineStr">
        <is>
          <t>Picnic Blankets &amp; Mats</t>
        </is>
      </c>
      <c r="E469" t="inlineStr">
        <is>
          <t>Flyingstar</t>
        </is>
      </c>
      <c r="F469" t="inlineStr">
        <is>
          <t>Q2-Target,Optimized,WFS,WFS Item</t>
        </is>
      </c>
      <c r="G469" s="48" t="n">
        <v>0</v>
      </c>
      <c r="H469" s="49" t="n">
        <v>0</v>
      </c>
      <c r="I469" s="49" t="n">
        <v>0</v>
      </c>
      <c r="J469" s="50" t="n">
        <v>0</v>
      </c>
      <c r="K469" s="51" t="n">
        <v>0</v>
      </c>
      <c r="L469" s="52" t="n">
        <v>0</v>
      </c>
      <c r="M469" s="52" t="n">
        <v>0</v>
      </c>
      <c r="N469" s="52" t="n">
        <v>0</v>
      </c>
      <c r="O469" s="53" t="n">
        <v>0</v>
      </c>
      <c r="P469" s="52" t="n">
        <v>0</v>
      </c>
      <c r="Q469" s="53" t="n">
        <v>0</v>
      </c>
      <c r="R469" s="52" t="n">
        <v>0</v>
      </c>
      <c r="S469" s="51" t="n">
        <v>0</v>
      </c>
      <c r="T469" s="48" t="n">
        <v>0</v>
      </c>
      <c r="U469" s="49" t="n">
        <v>0</v>
      </c>
      <c r="V469" s="49" t="n">
        <v>0</v>
      </c>
      <c r="W469" s="50" t="n">
        <v>0</v>
      </c>
      <c r="X469" s="51" t="n">
        <v>0</v>
      </c>
      <c r="Y469" s="52" t="n">
        <v>0</v>
      </c>
      <c r="Z469" s="52" t="n">
        <v>0</v>
      </c>
      <c r="AA469" s="52" t="n">
        <v>0</v>
      </c>
      <c r="AB469" s="53" t="n">
        <v>0</v>
      </c>
      <c r="AC469" s="52" t="n">
        <v>0</v>
      </c>
      <c r="AD469" s="53" t="n">
        <v>0</v>
      </c>
      <c r="AE469" s="52" t="n">
        <v>0</v>
      </c>
      <c r="AF469" s="51" t="n">
        <v>0</v>
      </c>
      <c r="AG469" s="48" t="n">
        <v>0</v>
      </c>
      <c r="AH469" s="49" t="n">
        <v>0</v>
      </c>
      <c r="AI469" s="49" t="n">
        <v>4</v>
      </c>
      <c r="AJ469" s="50" t="n">
        <v>0</v>
      </c>
      <c r="AK469" s="51" t="n">
        <v>0</v>
      </c>
      <c r="AL469" s="52" t="n">
        <v>0</v>
      </c>
      <c r="AM469" s="52" t="n">
        <v>0</v>
      </c>
      <c r="AN469" s="52" t="n">
        <v>0</v>
      </c>
      <c r="AO469" s="53" t="n">
        <v>0</v>
      </c>
      <c r="AP469" s="52" t="n">
        <v>0</v>
      </c>
      <c r="AQ469" s="53" t="n">
        <v>0</v>
      </c>
      <c r="AR469" s="52" t="n">
        <v>0</v>
      </c>
      <c r="AS469" s="51" t="n">
        <v>0</v>
      </c>
      <c r="AT469" s="48" t="n">
        <v>0</v>
      </c>
      <c r="AU469" s="49" t="n">
        <v>0</v>
      </c>
      <c r="AV469" s="49" t="n">
        <v>5</v>
      </c>
      <c r="AW469" s="50" t="n">
        <v>0</v>
      </c>
      <c r="AX469" s="51" t="n">
        <v>0</v>
      </c>
      <c r="AY469" s="52" t="n">
        <v>0</v>
      </c>
      <c r="AZ469" s="52" t="n">
        <v>0</v>
      </c>
      <c r="BA469" s="52" t="n">
        <v>0</v>
      </c>
      <c r="BB469" s="53" t="n">
        <v>0</v>
      </c>
      <c r="BC469" s="52" t="n">
        <v>0</v>
      </c>
      <c r="BD469" s="53" t="n">
        <v>0</v>
      </c>
      <c r="BE469" s="52" t="n">
        <v>0</v>
      </c>
      <c r="BF469" s="51" t="n">
        <v>0</v>
      </c>
    </row>
    <row r="470">
      <c r="A470">
        <f>HYPERLINK("https://www.walmart.com/ip/447116159", "447116159")</f>
        <v/>
      </c>
      <c r="B470" t="inlineStr">
        <is>
          <t>Sun Hat UV Protection Wide Brim Boonie Safari Fishing Cap Adjustable Drawstring</t>
        </is>
      </c>
      <c r="C470" t="inlineStr">
        <is>
          <t>1WMSH911TN</t>
        </is>
      </c>
      <c r="D470" t="inlineStr">
        <is>
          <t>Hats</t>
        </is>
      </c>
      <c r="E470" t="inlineStr">
        <is>
          <t>Flyingstar</t>
        </is>
      </c>
      <c r="F470" t="inlineStr">
        <is>
          <t>Optimized</t>
        </is>
      </c>
      <c r="G470" s="48" t="n">
        <v>0</v>
      </c>
      <c r="H470" s="49" t="n">
        <v>0</v>
      </c>
      <c r="I470" s="49" t="n">
        <v>0</v>
      </c>
      <c r="J470" s="50" t="n">
        <v>0</v>
      </c>
      <c r="K470" s="51" t="n">
        <v>0</v>
      </c>
      <c r="L470" s="52" t="n">
        <v>0</v>
      </c>
      <c r="M470" s="52" t="n">
        <v>0</v>
      </c>
      <c r="N470" s="52" t="n">
        <v>0</v>
      </c>
      <c r="O470" s="53" t="n">
        <v>0</v>
      </c>
      <c r="P470" s="52" t="n">
        <v>0</v>
      </c>
      <c r="Q470" s="53" t="n">
        <v>0</v>
      </c>
      <c r="R470" s="52" t="n">
        <v>0</v>
      </c>
      <c r="S470" s="51" t="n">
        <v>0</v>
      </c>
      <c r="T470" s="48" t="n">
        <v>0</v>
      </c>
      <c r="U470" s="49" t="n">
        <v>0</v>
      </c>
      <c r="V470" s="49" t="n">
        <v>0</v>
      </c>
      <c r="W470" s="50" t="n">
        <v>0</v>
      </c>
      <c r="X470" s="51" t="n">
        <v>0</v>
      </c>
      <c r="Y470" s="52" t="n">
        <v>0</v>
      </c>
      <c r="Z470" s="52" t="n">
        <v>0</v>
      </c>
      <c r="AA470" s="52" t="n">
        <v>0</v>
      </c>
      <c r="AB470" s="53" t="n">
        <v>0</v>
      </c>
      <c r="AC470" s="52" t="n">
        <v>0</v>
      </c>
      <c r="AD470" s="53" t="n">
        <v>0</v>
      </c>
      <c r="AE470" s="52" t="n">
        <v>0</v>
      </c>
      <c r="AF470" s="51" t="n">
        <v>0</v>
      </c>
      <c r="AG470" s="48" t="n">
        <v>0</v>
      </c>
      <c r="AH470" s="49" t="n">
        <v>0</v>
      </c>
      <c r="AI470" s="49" t="n">
        <v>0</v>
      </c>
      <c r="AJ470" s="50" t="n">
        <v>0</v>
      </c>
      <c r="AK470" s="51" t="n">
        <v>0</v>
      </c>
      <c r="AL470" s="52" t="n">
        <v>0</v>
      </c>
      <c r="AM470" s="52" t="n">
        <v>0</v>
      </c>
      <c r="AN470" s="52" t="n">
        <v>0</v>
      </c>
      <c r="AO470" s="53" t="n">
        <v>0</v>
      </c>
      <c r="AP470" s="52" t="n">
        <v>0</v>
      </c>
      <c r="AQ470" s="53" t="n">
        <v>0</v>
      </c>
      <c r="AR470" s="52" t="n">
        <v>0</v>
      </c>
      <c r="AS470" s="51" t="n">
        <v>0</v>
      </c>
      <c r="AT470" s="48" t="n">
        <v>0</v>
      </c>
      <c r="AU470" s="49" t="n">
        <v>0</v>
      </c>
      <c r="AV470" s="49" t="n">
        <v>0</v>
      </c>
      <c r="AW470" s="50" t="n">
        <v>0</v>
      </c>
      <c r="AX470" s="51" t="n">
        <v>0</v>
      </c>
      <c r="AY470" s="52" t="n">
        <v>0</v>
      </c>
      <c r="AZ470" s="52" t="n">
        <v>0</v>
      </c>
      <c r="BA470" s="52" t="n">
        <v>0</v>
      </c>
      <c r="BB470" s="53" t="n">
        <v>0</v>
      </c>
      <c r="BC470" s="52" t="n">
        <v>0</v>
      </c>
      <c r="BD470" s="53" t="n">
        <v>0</v>
      </c>
      <c r="BE470" s="52" t="n">
        <v>0</v>
      </c>
      <c r="BF470" s="51" t="n">
        <v>0</v>
      </c>
    </row>
    <row r="471">
      <c r="A471">
        <f>HYPERLINK("https://www.walmart.com/ip/447669349", "447669349")</f>
        <v/>
      </c>
      <c r="B471" t="inlineStr">
        <is>
          <t>Tirrinia Single Wine Tote Bag, Insulated Padded Thermal Wine Bottle Carrying Cooler Carrier for Travel, Picnic, Perfect Gift for Wine Lover, Blue</t>
        </is>
      </c>
      <c r="C471" t="inlineStr">
        <is>
          <t>1KTWB100BL</t>
        </is>
      </c>
      <c r="D471" t="inlineStr">
        <is>
          <t>Wine Totes, Bags &amp; Backpacks</t>
        </is>
      </c>
      <c r="E471" t="inlineStr">
        <is>
          <t>Tirrinia</t>
        </is>
      </c>
      <c r="F471" t="inlineStr">
        <is>
          <t>Wine,Christmas,Valentine,SEM</t>
        </is>
      </c>
      <c r="G471" s="48" t="n">
        <v>0</v>
      </c>
      <c r="H471" s="49" t="n">
        <v>0</v>
      </c>
      <c r="I471" s="49" t="n">
        <v>0</v>
      </c>
      <c r="J471" s="50" t="n">
        <v>0</v>
      </c>
      <c r="K471" s="51" t="n">
        <v>0</v>
      </c>
      <c r="L471" s="52" t="n">
        <v>0</v>
      </c>
      <c r="M471" s="52" t="n">
        <v>0</v>
      </c>
      <c r="N471" s="52" t="n">
        <v>0</v>
      </c>
      <c r="O471" s="53" t="n">
        <v>0</v>
      </c>
      <c r="P471" s="52" t="n">
        <v>0</v>
      </c>
      <c r="Q471" s="53" t="n">
        <v>0</v>
      </c>
      <c r="R471" s="52" t="n">
        <v>0</v>
      </c>
      <c r="S471" s="51" t="n">
        <v>0</v>
      </c>
      <c r="T471" s="48" t="n">
        <v>0</v>
      </c>
      <c r="U471" s="49" t="n">
        <v>0</v>
      </c>
      <c r="V471" s="49" t="n">
        <v>0</v>
      </c>
      <c r="W471" s="50" t="n">
        <v>0</v>
      </c>
      <c r="X471" s="51" t="n">
        <v>0</v>
      </c>
      <c r="Y471" s="52" t="n">
        <v>0</v>
      </c>
      <c r="Z471" s="52" t="n">
        <v>0</v>
      </c>
      <c r="AA471" s="52" t="n">
        <v>0</v>
      </c>
      <c r="AB471" s="53" t="n">
        <v>0</v>
      </c>
      <c r="AC471" s="52" t="n">
        <v>0</v>
      </c>
      <c r="AD471" s="53" t="n">
        <v>0</v>
      </c>
      <c r="AE471" s="52" t="n">
        <v>0</v>
      </c>
      <c r="AF471" s="51" t="n">
        <v>0</v>
      </c>
      <c r="AG471" s="48" t="n">
        <v>0</v>
      </c>
      <c r="AH471" s="49" t="n">
        <v>0</v>
      </c>
      <c r="AI471" s="49" t="n">
        <v>0</v>
      </c>
      <c r="AJ471" s="50" t="n">
        <v>0</v>
      </c>
      <c r="AK471" s="51" t="n">
        <v>0</v>
      </c>
      <c r="AL471" s="52" t="n">
        <v>0</v>
      </c>
      <c r="AM471" s="52" t="n">
        <v>0</v>
      </c>
      <c r="AN471" s="52" t="n">
        <v>0</v>
      </c>
      <c r="AO471" s="53" t="n">
        <v>0</v>
      </c>
      <c r="AP471" s="52" t="n">
        <v>0</v>
      </c>
      <c r="AQ471" s="53" t="n">
        <v>0</v>
      </c>
      <c r="AR471" s="52" t="n">
        <v>0</v>
      </c>
      <c r="AS471" s="51" t="n">
        <v>0</v>
      </c>
      <c r="AT471" s="48" t="n">
        <v>0</v>
      </c>
      <c r="AU471" s="49" t="n">
        <v>0</v>
      </c>
      <c r="AV471" s="49" t="n">
        <v>0</v>
      </c>
      <c r="AW471" s="50" t="n">
        <v>0</v>
      </c>
      <c r="AX471" s="51" t="n">
        <v>0</v>
      </c>
      <c r="AY471" s="52" t="n">
        <v>0</v>
      </c>
      <c r="AZ471" s="52" t="n">
        <v>0</v>
      </c>
      <c r="BA471" s="52" t="n">
        <v>0</v>
      </c>
      <c r="BB471" s="53" t="n">
        <v>0</v>
      </c>
      <c r="BC471" s="52" t="n">
        <v>0</v>
      </c>
      <c r="BD471" s="53" t="n">
        <v>0</v>
      </c>
      <c r="BE471" s="52" t="n">
        <v>0</v>
      </c>
      <c r="BF471" s="51" t="n">
        <v>0</v>
      </c>
    </row>
    <row r="472">
      <c r="A472">
        <f>HYPERLINK("https://www.walmart.com/ip/447798492", "447798492")</f>
        <v/>
      </c>
      <c r="B472" t="inlineStr">
        <is>
          <t>Pawsse Dog Fleece Blanket, Sherpa Pet Blanket, Snuggle Dog Blanket Cushion Mat for Puppy, Small Animals, Cat Banket, Brown, 45'' x 30''</t>
        </is>
      </c>
      <c r="C472" t="inlineStr">
        <is>
          <t>1PSBF345BRLT</t>
        </is>
      </c>
      <c r="D472" t="inlineStr">
        <is>
          <t>Pet Blankets</t>
        </is>
      </c>
      <c r="E472" t="inlineStr">
        <is>
          <t>Pawsse</t>
        </is>
      </c>
      <c r="F472" t="inlineStr">
        <is>
          <t>Q2-Target,WFS,WFS Item</t>
        </is>
      </c>
      <c r="G472" s="48" t="n">
        <v>0</v>
      </c>
      <c r="H472" s="49" t="n">
        <v>0</v>
      </c>
      <c r="I472" s="49" t="n">
        <v>0</v>
      </c>
      <c r="J472" s="50" t="n">
        <v>0</v>
      </c>
      <c r="K472" s="51" t="n">
        <v>0</v>
      </c>
      <c r="L472" s="52" t="n">
        <v>0</v>
      </c>
      <c r="M472" s="52" t="n">
        <v>0</v>
      </c>
      <c r="N472" s="52" t="n">
        <v>0</v>
      </c>
      <c r="O472" s="53" t="n">
        <v>0</v>
      </c>
      <c r="P472" s="52" t="n">
        <v>0</v>
      </c>
      <c r="Q472" s="53" t="n">
        <v>0</v>
      </c>
      <c r="R472" s="52" t="n">
        <v>0</v>
      </c>
      <c r="S472" s="51" t="n">
        <v>0</v>
      </c>
      <c r="T472" s="48" t="n">
        <v>0</v>
      </c>
      <c r="U472" s="49" t="n">
        <v>0</v>
      </c>
      <c r="V472" s="49" t="n">
        <v>0</v>
      </c>
      <c r="W472" s="50" t="n">
        <v>0</v>
      </c>
      <c r="X472" s="51" t="n">
        <v>0</v>
      </c>
      <c r="Y472" s="52" t="n">
        <v>0</v>
      </c>
      <c r="Z472" s="52" t="n">
        <v>0</v>
      </c>
      <c r="AA472" s="52" t="n">
        <v>0</v>
      </c>
      <c r="AB472" s="53" t="n">
        <v>0</v>
      </c>
      <c r="AC472" s="52" t="n">
        <v>0</v>
      </c>
      <c r="AD472" s="53" t="n">
        <v>0</v>
      </c>
      <c r="AE472" s="52" t="n">
        <v>0</v>
      </c>
      <c r="AF472" s="51" t="n">
        <v>0</v>
      </c>
      <c r="AG472" s="48" t="n">
        <v>0</v>
      </c>
      <c r="AH472" s="49" t="n">
        <v>0</v>
      </c>
      <c r="AI472" s="49" t="n">
        <v>0</v>
      </c>
      <c r="AJ472" s="50" t="n">
        <v>0</v>
      </c>
      <c r="AK472" s="51" t="n">
        <v>0</v>
      </c>
      <c r="AL472" s="52" t="n">
        <v>0</v>
      </c>
      <c r="AM472" s="52" t="n">
        <v>0</v>
      </c>
      <c r="AN472" s="52" t="n">
        <v>0</v>
      </c>
      <c r="AO472" s="53" t="n">
        <v>0</v>
      </c>
      <c r="AP472" s="52" t="n">
        <v>0</v>
      </c>
      <c r="AQ472" s="53" t="n">
        <v>0</v>
      </c>
      <c r="AR472" s="52" t="n">
        <v>0</v>
      </c>
      <c r="AS472" s="51" t="n">
        <v>0</v>
      </c>
      <c r="AT472" s="48" t="n">
        <v>0</v>
      </c>
      <c r="AU472" s="49" t="n">
        <v>0</v>
      </c>
      <c r="AV472" s="49" t="n">
        <v>0</v>
      </c>
      <c r="AW472" s="50" t="n">
        <v>0</v>
      </c>
      <c r="AX472" s="51" t="n">
        <v>0</v>
      </c>
      <c r="AY472" s="52" t="n">
        <v>0</v>
      </c>
      <c r="AZ472" s="52" t="n">
        <v>0</v>
      </c>
      <c r="BA472" s="52" t="n">
        <v>0</v>
      </c>
      <c r="BB472" s="53" t="n">
        <v>0</v>
      </c>
      <c r="BC472" s="52" t="n">
        <v>0</v>
      </c>
      <c r="BD472" s="53" t="n">
        <v>0</v>
      </c>
      <c r="BE472" s="52" t="n">
        <v>0</v>
      </c>
      <c r="BF472" s="51" t="n">
        <v>0</v>
      </c>
    </row>
    <row r="473">
      <c r="A473">
        <f>HYPERLINK("https://www.walmart.com/ip/448131416", "448131416")</f>
        <v/>
      </c>
      <c r="B473" t="inlineStr">
        <is>
          <t>"Knit Beanie Hat for Women and Men, Faux Fuzzy Pom Pom Winter Ski Skullies Cap, Beige "</t>
        </is>
      </c>
      <c r="C473" t="inlineStr">
        <is>
          <t>1SLPPH03WT</t>
        </is>
      </c>
      <c r="D473" t="inlineStr">
        <is>
          <t>Hats</t>
        </is>
      </c>
      <c r="E473" t="inlineStr">
        <is>
          <t>Solaris</t>
        </is>
      </c>
      <c r="F473" t="inlineStr">
        <is>
          <t>Batch 1 - TR</t>
        </is>
      </c>
      <c r="G473" s="48" t="n">
        <v>0</v>
      </c>
      <c r="H473" s="49" t="n">
        <v>0</v>
      </c>
      <c r="I473" s="49" t="n">
        <v>0</v>
      </c>
      <c r="J473" s="50" t="n">
        <v>0</v>
      </c>
      <c r="K473" s="51" t="n">
        <v>0</v>
      </c>
      <c r="L473" s="52" t="n">
        <v>0</v>
      </c>
      <c r="M473" s="52" t="n">
        <v>0</v>
      </c>
      <c r="N473" s="52" t="n">
        <v>0</v>
      </c>
      <c r="O473" s="53" t="n">
        <v>0</v>
      </c>
      <c r="P473" s="52" t="n">
        <v>0</v>
      </c>
      <c r="Q473" s="53" t="n">
        <v>0</v>
      </c>
      <c r="R473" s="52" t="n">
        <v>0</v>
      </c>
      <c r="S473" s="51" t="n">
        <v>0</v>
      </c>
      <c r="T473" s="48" t="n">
        <v>0</v>
      </c>
      <c r="U473" s="49" t="n">
        <v>0</v>
      </c>
      <c r="V473" s="49" t="n">
        <v>0</v>
      </c>
      <c r="W473" s="50" t="n">
        <v>0</v>
      </c>
      <c r="X473" s="51" t="n">
        <v>0</v>
      </c>
      <c r="Y473" s="52" t="n">
        <v>0</v>
      </c>
      <c r="Z473" s="52" t="n">
        <v>0</v>
      </c>
      <c r="AA473" s="52" t="n">
        <v>0</v>
      </c>
      <c r="AB473" s="53" t="n">
        <v>0</v>
      </c>
      <c r="AC473" s="52" t="n">
        <v>0</v>
      </c>
      <c r="AD473" s="53" t="n">
        <v>0</v>
      </c>
      <c r="AE473" s="52" t="n">
        <v>0</v>
      </c>
      <c r="AF473" s="51" t="n">
        <v>0</v>
      </c>
      <c r="AG473" s="48" t="n">
        <v>0</v>
      </c>
      <c r="AH473" s="49" t="n">
        <v>0</v>
      </c>
      <c r="AI473" s="49" t="n">
        <v>0</v>
      </c>
      <c r="AJ473" s="50" t="n">
        <v>0</v>
      </c>
      <c r="AK473" s="51" t="n">
        <v>0</v>
      </c>
      <c r="AL473" s="52" t="n">
        <v>0</v>
      </c>
      <c r="AM473" s="52" t="n">
        <v>0</v>
      </c>
      <c r="AN473" s="52" t="n">
        <v>0</v>
      </c>
      <c r="AO473" s="53" t="n">
        <v>0</v>
      </c>
      <c r="AP473" s="52" t="n">
        <v>0</v>
      </c>
      <c r="AQ473" s="53" t="n">
        <v>0</v>
      </c>
      <c r="AR473" s="52" t="n">
        <v>0</v>
      </c>
      <c r="AS473" s="51" t="n">
        <v>0</v>
      </c>
      <c r="AT473" s="48" t="n">
        <v>0</v>
      </c>
      <c r="AU473" s="49" t="n">
        <v>0</v>
      </c>
      <c r="AV473" s="49" t="n">
        <v>0</v>
      </c>
      <c r="AW473" s="50" t="n">
        <v>0</v>
      </c>
      <c r="AX473" s="51" t="n">
        <v>0</v>
      </c>
      <c r="AY473" s="52" t="n">
        <v>0</v>
      </c>
      <c r="AZ473" s="52" t="n">
        <v>0</v>
      </c>
      <c r="BA473" s="52" t="n">
        <v>0</v>
      </c>
      <c r="BB473" s="53" t="n">
        <v>0</v>
      </c>
      <c r="BC473" s="52" t="n">
        <v>0</v>
      </c>
      <c r="BD473" s="53" t="n">
        <v>0</v>
      </c>
      <c r="BE473" s="52" t="n">
        <v>0</v>
      </c>
      <c r="BF473" s="51" t="n">
        <v>0</v>
      </c>
    </row>
    <row r="474">
      <c r="A474">
        <f>HYPERLINK("https://www.walmart.com/ip/448140558", "448140558")</f>
        <v/>
      </c>
      <c r="B474" t="inlineStr">
        <is>
          <t>Youth Reflective Knit Beanie Hat For Sports Warm</t>
        </is>
      </c>
      <c r="C474" t="inlineStr">
        <is>
          <t>1SLBN02DR-FSCB</t>
        </is>
      </c>
      <c r="D474" t="inlineStr">
        <is>
          <t>Hats</t>
        </is>
      </c>
      <c r="E474" t="inlineStr">
        <is>
          <t>Solaris</t>
        </is>
      </c>
      <c r="F474" t="inlineStr">
        <is>
          <t>Optimized</t>
        </is>
      </c>
      <c r="G474" s="48" t="n">
        <v>0</v>
      </c>
      <c r="H474" s="49" t="n">
        <v>0</v>
      </c>
      <c r="I474" s="49" t="n">
        <v>0</v>
      </c>
      <c r="J474" s="50" t="n">
        <v>0</v>
      </c>
      <c r="K474" s="51" t="n">
        <v>0</v>
      </c>
      <c r="L474" s="52" t="n">
        <v>0</v>
      </c>
      <c r="M474" s="52" t="n">
        <v>0</v>
      </c>
      <c r="N474" s="52" t="n">
        <v>0</v>
      </c>
      <c r="O474" s="53" t="n">
        <v>0</v>
      </c>
      <c r="P474" s="52" t="n">
        <v>0</v>
      </c>
      <c r="Q474" s="53" t="n">
        <v>0</v>
      </c>
      <c r="R474" s="52" t="n">
        <v>0</v>
      </c>
      <c r="S474" s="51" t="n">
        <v>0</v>
      </c>
      <c r="T474" s="48" t="n">
        <v>0</v>
      </c>
      <c r="U474" s="49" t="n">
        <v>0</v>
      </c>
      <c r="V474" s="49" t="n">
        <v>0</v>
      </c>
      <c r="W474" s="50" t="n">
        <v>0</v>
      </c>
      <c r="X474" s="51" t="n">
        <v>0</v>
      </c>
      <c r="Y474" s="52" t="n">
        <v>0</v>
      </c>
      <c r="Z474" s="52" t="n">
        <v>0</v>
      </c>
      <c r="AA474" s="52" t="n">
        <v>0</v>
      </c>
      <c r="AB474" s="53" t="n">
        <v>0</v>
      </c>
      <c r="AC474" s="52" t="n">
        <v>0</v>
      </c>
      <c r="AD474" s="53" t="n">
        <v>0</v>
      </c>
      <c r="AE474" s="52" t="n">
        <v>0</v>
      </c>
      <c r="AF474" s="51" t="n">
        <v>0</v>
      </c>
      <c r="AG474" s="48" t="n">
        <v>0</v>
      </c>
      <c r="AH474" s="49" t="n">
        <v>0</v>
      </c>
      <c r="AI474" s="49" t="n">
        <v>0</v>
      </c>
      <c r="AJ474" s="50" t="n">
        <v>0</v>
      </c>
      <c r="AK474" s="51" t="n">
        <v>0</v>
      </c>
      <c r="AL474" s="52" t="n">
        <v>0</v>
      </c>
      <c r="AM474" s="52" t="n">
        <v>0</v>
      </c>
      <c r="AN474" s="52" t="n">
        <v>0</v>
      </c>
      <c r="AO474" s="53" t="n">
        <v>0</v>
      </c>
      <c r="AP474" s="52" t="n">
        <v>0</v>
      </c>
      <c r="AQ474" s="53" t="n">
        <v>0</v>
      </c>
      <c r="AR474" s="52" t="n">
        <v>0</v>
      </c>
      <c r="AS474" s="51" t="n">
        <v>0</v>
      </c>
      <c r="AT474" s="48" t="n">
        <v>0</v>
      </c>
      <c r="AU474" s="49" t="n">
        <v>0</v>
      </c>
      <c r="AV474" s="49" t="n">
        <v>0</v>
      </c>
      <c r="AW474" s="50" t="n">
        <v>0</v>
      </c>
      <c r="AX474" s="51" t="n">
        <v>0</v>
      </c>
      <c r="AY474" s="52" t="n">
        <v>0</v>
      </c>
      <c r="AZ474" s="52" t="n">
        <v>0</v>
      </c>
      <c r="BA474" s="52" t="n">
        <v>0</v>
      </c>
      <c r="BB474" s="53" t="n">
        <v>0</v>
      </c>
      <c r="BC474" s="52" t="n">
        <v>0</v>
      </c>
      <c r="BD474" s="53" t="n">
        <v>0</v>
      </c>
      <c r="BE474" s="52" t="n">
        <v>0</v>
      </c>
      <c r="BF474" s="51" t="n">
        <v>0</v>
      </c>
    </row>
    <row r="475">
      <c r="A475">
        <f>HYPERLINK("https://www.walmart.com/ip/448385210", "448385210")</f>
        <v/>
      </c>
      <c r="B475" t="inlineStr">
        <is>
          <t>Sherpa Slipper Socks for Women,Winter Indoor Home Non Skid Booties</t>
        </is>
      </c>
      <c r="C475" t="inlineStr">
        <is>
          <t>1CTST200BL-1</t>
        </is>
      </c>
      <c r="D475" t="inlineStr">
        <is>
          <t>Socks</t>
        </is>
      </c>
      <c r="E475" t="inlineStr">
        <is>
          <t>Catalonia</t>
        </is>
      </c>
      <c r="F475" t="inlineStr">
        <is>
          <t>WFS,WFS Item</t>
        </is>
      </c>
      <c r="G475" s="48" t="n">
        <v>0</v>
      </c>
      <c r="H475" s="49" t="n">
        <v>0</v>
      </c>
      <c r="I475" s="49" t="n">
        <v>0</v>
      </c>
      <c r="J475" s="50" t="n">
        <v>0</v>
      </c>
      <c r="K475" s="51" t="n">
        <v>0</v>
      </c>
      <c r="L475" s="52" t="n">
        <v>0</v>
      </c>
      <c r="M475" s="52" t="n">
        <v>0</v>
      </c>
      <c r="N475" s="52" t="n">
        <v>0</v>
      </c>
      <c r="O475" s="53" t="n">
        <v>0</v>
      </c>
      <c r="P475" s="52" t="n">
        <v>0</v>
      </c>
      <c r="Q475" s="53" t="n">
        <v>0</v>
      </c>
      <c r="R475" s="52" t="n">
        <v>0</v>
      </c>
      <c r="S475" s="51" t="n">
        <v>0</v>
      </c>
      <c r="T475" s="48" t="n">
        <v>0</v>
      </c>
      <c r="U475" s="49" t="n">
        <v>0</v>
      </c>
      <c r="V475" s="49" t="n">
        <v>0</v>
      </c>
      <c r="W475" s="50" t="n">
        <v>0</v>
      </c>
      <c r="X475" s="51" t="n">
        <v>0</v>
      </c>
      <c r="Y475" s="52" t="n">
        <v>0</v>
      </c>
      <c r="Z475" s="52" t="n">
        <v>0</v>
      </c>
      <c r="AA475" s="52" t="n">
        <v>0</v>
      </c>
      <c r="AB475" s="53" t="n">
        <v>0</v>
      </c>
      <c r="AC475" s="52" t="n">
        <v>0</v>
      </c>
      <c r="AD475" s="53" t="n">
        <v>0</v>
      </c>
      <c r="AE475" s="52" t="n">
        <v>0</v>
      </c>
      <c r="AF475" s="51" t="n">
        <v>0</v>
      </c>
      <c r="AG475" s="48" t="n">
        <v>0</v>
      </c>
      <c r="AH475" s="49" t="n">
        <v>0</v>
      </c>
      <c r="AI475" s="49" t="n">
        <v>0</v>
      </c>
      <c r="AJ475" s="50" t="n">
        <v>0</v>
      </c>
      <c r="AK475" s="51" t="n">
        <v>0</v>
      </c>
      <c r="AL475" s="52" t="n">
        <v>0</v>
      </c>
      <c r="AM475" s="52" t="n">
        <v>0</v>
      </c>
      <c r="AN475" s="52" t="n">
        <v>0</v>
      </c>
      <c r="AO475" s="53" t="n">
        <v>0</v>
      </c>
      <c r="AP475" s="52" t="n">
        <v>0</v>
      </c>
      <c r="AQ475" s="53" t="n">
        <v>0</v>
      </c>
      <c r="AR475" s="52" t="n">
        <v>0</v>
      </c>
      <c r="AS475" s="51" t="n">
        <v>0</v>
      </c>
      <c r="AT475" s="48" t="n">
        <v>0</v>
      </c>
      <c r="AU475" s="49" t="n">
        <v>0</v>
      </c>
      <c r="AV475" s="49" t="n">
        <v>0</v>
      </c>
      <c r="AW475" s="50" t="n">
        <v>0</v>
      </c>
      <c r="AX475" s="51" t="n">
        <v>0</v>
      </c>
      <c r="AY475" s="52" t="n">
        <v>0</v>
      </c>
      <c r="AZ475" s="52" t="n">
        <v>0</v>
      </c>
      <c r="BA475" s="52" t="n">
        <v>0</v>
      </c>
      <c r="BB475" s="53" t="n">
        <v>0</v>
      </c>
      <c r="BC475" s="52" t="n">
        <v>0</v>
      </c>
      <c r="BD475" s="53" t="n">
        <v>0</v>
      </c>
      <c r="BE475" s="52" t="n">
        <v>0</v>
      </c>
      <c r="BF475" s="51" t="n">
        <v>0</v>
      </c>
    </row>
    <row r="476">
      <c r="A476">
        <f>HYPERLINK("https://www.walmart.com/ip/415885291", "415885291")</f>
        <v/>
      </c>
      <c r="B476" t="inlineStr">
        <is>
          <t>undefined</t>
        </is>
      </c>
      <c r="C476" t="inlineStr">
        <is>
          <t>1CTWIG001-F1B30-ESCB</t>
        </is>
      </c>
      <c r="G476" s="48" t="n">
        <v>0</v>
      </c>
      <c r="H476" s="49" t="n">
        <v>0</v>
      </c>
      <c r="I476" s="49" t="n">
        <v>0</v>
      </c>
      <c r="J476" s="50" t="n">
        <v>0</v>
      </c>
      <c r="K476" s="51" t="n">
        <v>0</v>
      </c>
      <c r="L476" s="52" t="n">
        <v>0</v>
      </c>
      <c r="M476" s="52" t="n">
        <v>0</v>
      </c>
      <c r="N476" s="52" t="n">
        <v>0</v>
      </c>
      <c r="O476" s="53" t="n">
        <v>0</v>
      </c>
      <c r="P476" s="52" t="n">
        <v>0</v>
      </c>
      <c r="Q476" s="53" t="n">
        <v>0</v>
      </c>
      <c r="R476" s="52" t="n">
        <v>0</v>
      </c>
      <c r="S476" s="51" t="n">
        <v>0</v>
      </c>
      <c r="T476" s="48" t="n">
        <v>0</v>
      </c>
      <c r="U476" s="49" t="n">
        <v>0</v>
      </c>
      <c r="V476" s="49" t="n">
        <v>0</v>
      </c>
      <c r="W476" s="50" t="n">
        <v>0</v>
      </c>
      <c r="X476" s="51" t="n">
        <v>0</v>
      </c>
      <c r="Y476" s="52" t="n">
        <v>0</v>
      </c>
      <c r="Z476" s="52" t="n">
        <v>0</v>
      </c>
      <c r="AA476" s="52" t="n">
        <v>0</v>
      </c>
      <c r="AB476" s="53" t="n">
        <v>0</v>
      </c>
      <c r="AC476" s="52" t="n">
        <v>0</v>
      </c>
      <c r="AD476" s="53" t="n">
        <v>0</v>
      </c>
      <c r="AE476" s="52" t="n">
        <v>0</v>
      </c>
      <c r="AF476" s="51" t="n">
        <v>0</v>
      </c>
      <c r="AG476" s="48" t="n">
        <v>0</v>
      </c>
      <c r="AH476" s="49" t="n">
        <v>0</v>
      </c>
      <c r="AI476" s="49" t="n">
        <v>0</v>
      </c>
      <c r="AJ476" s="50" t="n">
        <v>0</v>
      </c>
      <c r="AK476" s="51" t="n">
        <v>0</v>
      </c>
      <c r="AL476" s="52" t="n">
        <v>0</v>
      </c>
      <c r="AM476" s="52" t="n">
        <v>0</v>
      </c>
      <c r="AN476" s="52" t="n">
        <v>0</v>
      </c>
      <c r="AO476" s="53" t="n">
        <v>0</v>
      </c>
      <c r="AP476" s="52" t="n">
        <v>0</v>
      </c>
      <c r="AQ476" s="53" t="n">
        <v>0</v>
      </c>
      <c r="AR476" s="52" t="n">
        <v>0</v>
      </c>
      <c r="AS476" s="51" t="n">
        <v>0</v>
      </c>
      <c r="AT476" s="48" t="n">
        <v>0</v>
      </c>
      <c r="AU476" s="49" t="n">
        <v>0</v>
      </c>
      <c r="AV476" s="49" t="n">
        <v>0</v>
      </c>
      <c r="AW476" s="50" t="n">
        <v>0</v>
      </c>
      <c r="AX476" s="51" t="n">
        <v>0</v>
      </c>
      <c r="AY476" s="52" t="n">
        <v>0</v>
      </c>
      <c r="AZ476" s="52" t="n">
        <v>0</v>
      </c>
      <c r="BA476" s="52" t="n">
        <v>0</v>
      </c>
      <c r="BB476" s="53" t="n">
        <v>0</v>
      </c>
      <c r="BC476" s="52" t="n">
        <v>0</v>
      </c>
      <c r="BD476" s="53" t="n">
        <v>0</v>
      </c>
      <c r="BE476" s="52" t="n">
        <v>0</v>
      </c>
      <c r="BF476" s="51" t="n">
        <v>0</v>
      </c>
    </row>
    <row r="477">
      <c r="A477">
        <f>HYPERLINK("https://www.walmart.com/ip/415450878", "415450878")</f>
        <v/>
      </c>
      <c r="B477" t="inlineStr">
        <is>
          <t>Catalonia Red/White Buffalo Plaid, Sherpa Fleece Blanket, Two-Sided, Comfy Fluffy Throw 60" x 50"</t>
        </is>
      </c>
      <c r="C477" t="inlineStr">
        <is>
          <t>1CTBF572RD</t>
        </is>
      </c>
      <c r="D477" t="inlineStr">
        <is>
          <t>Throws</t>
        </is>
      </c>
      <c r="E477" t="inlineStr">
        <is>
          <t>Catalonia</t>
        </is>
      </c>
      <c r="F477" t="inlineStr">
        <is>
          <t>Christmas,Optimized,WFS,Coupon_Discount,WFS Item,Fleece Blankets</t>
        </is>
      </c>
      <c r="G477" s="48" t="n">
        <v>0</v>
      </c>
      <c r="H477" s="49" t="n">
        <v>0</v>
      </c>
      <c r="I477" s="49" t="n">
        <v>0</v>
      </c>
      <c r="J477" s="50" t="n">
        <v>0</v>
      </c>
      <c r="K477" s="51" t="n">
        <v>0</v>
      </c>
      <c r="L477" s="52" t="n">
        <v>0</v>
      </c>
      <c r="M477" s="52" t="n">
        <v>0</v>
      </c>
      <c r="N477" s="52" t="n">
        <v>0</v>
      </c>
      <c r="O477" s="53" t="n">
        <v>0</v>
      </c>
      <c r="P477" s="52" t="n">
        <v>0</v>
      </c>
      <c r="Q477" s="53" t="n">
        <v>0</v>
      </c>
      <c r="R477" s="52" t="n">
        <v>0</v>
      </c>
      <c r="S477" s="51" t="n">
        <v>0</v>
      </c>
      <c r="T477" s="48" t="n">
        <v>0</v>
      </c>
      <c r="U477" s="49" t="n">
        <v>0</v>
      </c>
      <c r="V477" s="49" t="n">
        <v>0</v>
      </c>
      <c r="W477" s="50" t="n">
        <v>0</v>
      </c>
      <c r="X477" s="51" t="n">
        <v>0</v>
      </c>
      <c r="Y477" s="52" t="n">
        <v>0</v>
      </c>
      <c r="Z477" s="52" t="n">
        <v>0</v>
      </c>
      <c r="AA477" s="52" t="n">
        <v>0</v>
      </c>
      <c r="AB477" s="53" t="n">
        <v>0</v>
      </c>
      <c r="AC477" s="52" t="n">
        <v>0</v>
      </c>
      <c r="AD477" s="53" t="n">
        <v>0</v>
      </c>
      <c r="AE477" s="52" t="n">
        <v>0</v>
      </c>
      <c r="AF477" s="51" t="n">
        <v>0</v>
      </c>
      <c r="AG477" s="48" t="n">
        <v>0</v>
      </c>
      <c r="AH477" s="49" t="n">
        <v>0</v>
      </c>
      <c r="AI477" s="49" t="n">
        <v>0</v>
      </c>
      <c r="AJ477" s="50" t="n">
        <v>0</v>
      </c>
      <c r="AK477" s="51" t="n">
        <v>0</v>
      </c>
      <c r="AL477" s="52" t="n">
        <v>0</v>
      </c>
      <c r="AM477" s="52" t="n">
        <v>0</v>
      </c>
      <c r="AN477" s="52" t="n">
        <v>0</v>
      </c>
      <c r="AO477" s="53" t="n">
        <v>0</v>
      </c>
      <c r="AP477" s="52" t="n">
        <v>0</v>
      </c>
      <c r="AQ477" s="53" t="n">
        <v>0</v>
      </c>
      <c r="AR477" s="52" t="n">
        <v>0</v>
      </c>
      <c r="AS477" s="51" t="n">
        <v>0</v>
      </c>
      <c r="AT477" s="48" t="n">
        <v>0</v>
      </c>
      <c r="AU477" s="49" t="n">
        <v>0</v>
      </c>
      <c r="AV477" s="49" t="n">
        <v>0</v>
      </c>
      <c r="AW477" s="50" t="n">
        <v>0</v>
      </c>
      <c r="AX477" s="51" t="n">
        <v>0</v>
      </c>
      <c r="AY477" s="52" t="n">
        <v>0</v>
      </c>
      <c r="AZ477" s="52" t="n">
        <v>0</v>
      </c>
      <c r="BA477" s="52" t="n">
        <v>0</v>
      </c>
      <c r="BB477" s="53" t="n">
        <v>0</v>
      </c>
      <c r="BC477" s="52" t="n">
        <v>0</v>
      </c>
      <c r="BD477" s="53" t="n">
        <v>0</v>
      </c>
      <c r="BE477" s="52" t="n">
        <v>0</v>
      </c>
      <c r="BF477" s="51" t="n">
        <v>0</v>
      </c>
    </row>
    <row r="478">
      <c r="A478">
        <f>HYPERLINK("https://www.walmart.com/ip/463165756", "463165756")</f>
        <v/>
      </c>
      <c r="B478" t="inlineStr">
        <is>
          <t>Flyingstar Insulated Lunch Bag for Women Men, Leakproof Thermal Reusable Lunch Box Tote for Adult &amp; Kids Lunch Cooler for Office Work, Light Grey</t>
        </is>
      </c>
      <c r="C478" t="inlineStr">
        <is>
          <t>1WMLB701P1LGY</t>
        </is>
      </c>
      <c r="D478" t="inlineStr">
        <is>
          <t>Reusable Lunch Bags &amp; Boxes</t>
        </is>
      </c>
      <c r="E478" t="inlineStr">
        <is>
          <t>Flyingstar</t>
        </is>
      </c>
      <c r="F478" t="inlineStr">
        <is>
          <t>Q2-Target,Lunch Bag</t>
        </is>
      </c>
      <c r="G478" s="48" t="n">
        <v>0</v>
      </c>
      <c r="H478" s="49" t="n">
        <v>0</v>
      </c>
      <c r="I478" s="49" t="n">
        <v>0</v>
      </c>
      <c r="J478" s="50" t="n">
        <v>0</v>
      </c>
      <c r="K478" s="51" t="n">
        <v>0</v>
      </c>
      <c r="L478" s="52" t="n">
        <v>0</v>
      </c>
      <c r="M478" s="52" t="n">
        <v>0</v>
      </c>
      <c r="N478" s="52" t="n">
        <v>0</v>
      </c>
      <c r="O478" s="53" t="n">
        <v>0</v>
      </c>
      <c r="P478" s="52" t="n">
        <v>0</v>
      </c>
      <c r="Q478" s="53" t="n">
        <v>0</v>
      </c>
      <c r="R478" s="52" t="n">
        <v>0</v>
      </c>
      <c r="S478" s="51" t="n">
        <v>0</v>
      </c>
      <c r="T478" s="48" t="n">
        <v>0</v>
      </c>
      <c r="U478" s="49" t="n">
        <v>0</v>
      </c>
      <c r="V478" s="49" t="n">
        <v>0</v>
      </c>
      <c r="W478" s="50" t="n">
        <v>0</v>
      </c>
      <c r="X478" s="51" t="n">
        <v>0</v>
      </c>
      <c r="Y478" s="52" t="n">
        <v>0</v>
      </c>
      <c r="Z478" s="52" t="n">
        <v>0</v>
      </c>
      <c r="AA478" s="52" t="n">
        <v>0</v>
      </c>
      <c r="AB478" s="53" t="n">
        <v>0</v>
      </c>
      <c r="AC478" s="52" t="n">
        <v>0</v>
      </c>
      <c r="AD478" s="53" t="n">
        <v>0</v>
      </c>
      <c r="AE478" s="52" t="n">
        <v>0</v>
      </c>
      <c r="AF478" s="51" t="n">
        <v>0</v>
      </c>
      <c r="AG478" s="48" t="n">
        <v>0</v>
      </c>
      <c r="AH478" s="49" t="n">
        <v>0</v>
      </c>
      <c r="AI478" s="49" t="n">
        <v>0</v>
      </c>
      <c r="AJ478" s="50" t="n">
        <v>0</v>
      </c>
      <c r="AK478" s="51" t="n">
        <v>0</v>
      </c>
      <c r="AL478" s="52" t="n">
        <v>0</v>
      </c>
      <c r="AM478" s="52" t="n">
        <v>0</v>
      </c>
      <c r="AN478" s="52" t="n">
        <v>0</v>
      </c>
      <c r="AO478" s="53" t="n">
        <v>0</v>
      </c>
      <c r="AP478" s="52" t="n">
        <v>0</v>
      </c>
      <c r="AQ478" s="53" t="n">
        <v>0</v>
      </c>
      <c r="AR478" s="52" t="n">
        <v>0</v>
      </c>
      <c r="AS478" s="51" t="n">
        <v>0</v>
      </c>
      <c r="AT478" s="48" t="n">
        <v>0</v>
      </c>
      <c r="AU478" s="49" t="n">
        <v>0</v>
      </c>
      <c r="AV478" s="49" t="n">
        <v>0</v>
      </c>
      <c r="AW478" s="50" t="n">
        <v>0</v>
      </c>
      <c r="AX478" s="51" t="n">
        <v>0</v>
      </c>
      <c r="AY478" s="52" t="n">
        <v>0</v>
      </c>
      <c r="AZ478" s="52" t="n">
        <v>0</v>
      </c>
      <c r="BA478" s="52" t="n">
        <v>0</v>
      </c>
      <c r="BB478" s="53" t="n">
        <v>0</v>
      </c>
      <c r="BC478" s="52" t="n">
        <v>0</v>
      </c>
      <c r="BD478" s="53" t="n">
        <v>0</v>
      </c>
      <c r="BE478" s="52" t="n">
        <v>0</v>
      </c>
      <c r="BF478" s="51" t="n">
        <v>0</v>
      </c>
    </row>
    <row r="479">
      <c r="A479">
        <f>HYPERLINK("https://www.walmart.com/ip/391372266", "391372266")</f>
        <v/>
      </c>
      <c r="B479" t="inlineStr">
        <is>
          <t>Kato Single Wine Tote Bag, Insulated Padded Thermal Wine Bottle Carrying Cooler Carrier for Travel, Picnic, Perfect Gift for Wine Lover, Black</t>
        </is>
      </c>
      <c r="C479" t="inlineStr">
        <is>
          <t>1KTWB100BKCK</t>
        </is>
      </c>
      <c r="D479" t="inlineStr">
        <is>
          <t>Wine Totes, Bags &amp; Backpacks</t>
        </is>
      </c>
      <c r="E479" t="inlineStr">
        <is>
          <t>Tirrinia</t>
        </is>
      </c>
      <c r="F479" t="inlineStr">
        <is>
          <t>Wine,Christmas,Wine WFS,Valentine</t>
        </is>
      </c>
      <c r="G479" s="48" t="n">
        <v>0</v>
      </c>
      <c r="H479" s="49" t="n">
        <v>0</v>
      </c>
      <c r="I479" s="49" t="n">
        <v>0</v>
      </c>
      <c r="J479" s="50" t="n">
        <v>0</v>
      </c>
      <c r="K479" s="51" t="n">
        <v>0</v>
      </c>
      <c r="L479" s="52" t="n">
        <v>0</v>
      </c>
      <c r="M479" s="52" t="n">
        <v>0</v>
      </c>
      <c r="N479" s="52" t="n">
        <v>0</v>
      </c>
      <c r="O479" s="53" t="n">
        <v>0</v>
      </c>
      <c r="P479" s="52" t="n">
        <v>0</v>
      </c>
      <c r="Q479" s="53" t="n">
        <v>0</v>
      </c>
      <c r="R479" s="52" t="n">
        <v>0</v>
      </c>
      <c r="S479" s="51" t="n">
        <v>0</v>
      </c>
      <c r="T479" s="48" t="n">
        <v>9.99</v>
      </c>
      <c r="U479" s="49" t="n">
        <v>1</v>
      </c>
      <c r="V479" s="49" t="n">
        <v>0</v>
      </c>
      <c r="W479" s="50" t="n">
        <v>0</v>
      </c>
      <c r="X479" s="51" t="n">
        <v>0</v>
      </c>
      <c r="Y479" s="52" t="n">
        <v>0</v>
      </c>
      <c r="Z479" s="52" t="n">
        <v>0</v>
      </c>
      <c r="AA479" s="52" t="n">
        <v>0</v>
      </c>
      <c r="AB479" s="53" t="n">
        <v>0</v>
      </c>
      <c r="AC479" s="52" t="n">
        <v>0</v>
      </c>
      <c r="AD479" s="53" t="n">
        <v>0</v>
      </c>
      <c r="AE479" s="52" t="n">
        <v>9.99</v>
      </c>
      <c r="AF479" s="51" t="n">
        <v>0</v>
      </c>
      <c r="AG479" s="48" t="n">
        <v>0</v>
      </c>
      <c r="AH479" s="49" t="n">
        <v>0</v>
      </c>
      <c r="AI479" s="49" t="n">
        <v>0</v>
      </c>
      <c r="AJ479" s="50" t="n">
        <v>0</v>
      </c>
      <c r="AK479" s="51" t="n">
        <v>0</v>
      </c>
      <c r="AL479" s="52" t="n">
        <v>0</v>
      </c>
      <c r="AM479" s="52" t="n">
        <v>0</v>
      </c>
      <c r="AN479" s="52" t="n">
        <v>0</v>
      </c>
      <c r="AO479" s="53" t="n">
        <v>0</v>
      </c>
      <c r="AP479" s="52" t="n">
        <v>0</v>
      </c>
      <c r="AQ479" s="53" t="n">
        <v>0</v>
      </c>
      <c r="AR479" s="52" t="n">
        <v>0</v>
      </c>
      <c r="AS479" s="51" t="n">
        <v>0</v>
      </c>
      <c r="AT479" s="48" t="n">
        <v>0</v>
      </c>
      <c r="AU479" s="49" t="n">
        <v>0</v>
      </c>
      <c r="AV479" s="49" t="n">
        <v>0</v>
      </c>
      <c r="AW479" s="50" t="n">
        <v>0</v>
      </c>
      <c r="AX479" s="51" t="n">
        <v>0</v>
      </c>
      <c r="AY479" s="52" t="n">
        <v>0</v>
      </c>
      <c r="AZ479" s="52" t="n">
        <v>0</v>
      </c>
      <c r="BA479" s="52" t="n">
        <v>0</v>
      </c>
      <c r="BB479" s="53" t="n">
        <v>0</v>
      </c>
      <c r="BC479" s="52" t="n">
        <v>0</v>
      </c>
      <c r="BD479" s="53" t="n">
        <v>0</v>
      </c>
      <c r="BE479" s="52" t="n">
        <v>0</v>
      </c>
      <c r="BF479" s="51" t="n">
        <v>0</v>
      </c>
    </row>
    <row r="480">
      <c r="A480">
        <f>HYPERLINK("https://www.walmart.com/ip/382529532", "382529532")</f>
        <v/>
      </c>
      <c r="B480" t="inlineStr">
        <is>
          <t>Ski Gloves 3M Waterproof Insulated Winter Snow Mittens Gloves for Women &amp; Men Winter Sports</t>
        </is>
      </c>
      <c r="C480" t="inlineStr">
        <is>
          <t>1SLWG300BLM</t>
        </is>
      </c>
      <c r="D480" t="inlineStr">
        <is>
          <t>Gloves &amp; Mittens</t>
        </is>
      </c>
      <c r="E480" t="inlineStr">
        <is>
          <t>Solaris</t>
        </is>
      </c>
      <c r="F480" t="inlineStr">
        <is>
          <t>WFS,WFS Item</t>
        </is>
      </c>
      <c r="G480" s="48" t="n">
        <v>0</v>
      </c>
      <c r="H480" s="49" t="n">
        <v>0</v>
      </c>
      <c r="I480" s="49" t="n">
        <v>0</v>
      </c>
      <c r="J480" s="50" t="n">
        <v>0</v>
      </c>
      <c r="K480" s="51" t="n">
        <v>0</v>
      </c>
      <c r="L480" s="52" t="n">
        <v>0</v>
      </c>
      <c r="M480" s="52" t="n">
        <v>0</v>
      </c>
      <c r="N480" s="52" t="n">
        <v>0</v>
      </c>
      <c r="O480" s="53" t="n">
        <v>0</v>
      </c>
      <c r="P480" s="52" t="n">
        <v>0</v>
      </c>
      <c r="Q480" s="53" t="n">
        <v>0</v>
      </c>
      <c r="R480" s="52" t="n">
        <v>0</v>
      </c>
      <c r="S480" s="51" t="n">
        <v>0</v>
      </c>
      <c r="T480" s="48" t="n">
        <v>0</v>
      </c>
      <c r="U480" s="49" t="n">
        <v>0</v>
      </c>
      <c r="V480" s="49" t="n">
        <v>0</v>
      </c>
      <c r="W480" s="50" t="n">
        <v>0</v>
      </c>
      <c r="X480" s="51" t="n">
        <v>0</v>
      </c>
      <c r="Y480" s="52" t="n">
        <v>0</v>
      </c>
      <c r="Z480" s="52" t="n">
        <v>0</v>
      </c>
      <c r="AA480" s="52" t="n">
        <v>0</v>
      </c>
      <c r="AB480" s="53" t="n">
        <v>0</v>
      </c>
      <c r="AC480" s="52" t="n">
        <v>0</v>
      </c>
      <c r="AD480" s="53" t="n">
        <v>0</v>
      </c>
      <c r="AE480" s="52" t="n">
        <v>0</v>
      </c>
      <c r="AF480" s="51" t="n">
        <v>0</v>
      </c>
      <c r="AG480" s="48" t="n">
        <v>0</v>
      </c>
      <c r="AH480" s="49" t="n">
        <v>0</v>
      </c>
      <c r="AI480" s="49" t="n">
        <v>0</v>
      </c>
      <c r="AJ480" s="50" t="n">
        <v>0</v>
      </c>
      <c r="AK480" s="51" t="n">
        <v>0</v>
      </c>
      <c r="AL480" s="52" t="n">
        <v>0</v>
      </c>
      <c r="AM480" s="52" t="n">
        <v>0</v>
      </c>
      <c r="AN480" s="52" t="n">
        <v>0</v>
      </c>
      <c r="AO480" s="53" t="n">
        <v>0</v>
      </c>
      <c r="AP480" s="52" t="n">
        <v>0</v>
      </c>
      <c r="AQ480" s="53" t="n">
        <v>0</v>
      </c>
      <c r="AR480" s="52" t="n">
        <v>0</v>
      </c>
      <c r="AS480" s="51" t="n">
        <v>0</v>
      </c>
      <c r="AT480" s="48" t="n">
        <v>0</v>
      </c>
      <c r="AU480" s="49" t="n">
        <v>0</v>
      </c>
      <c r="AV480" s="49" t="n">
        <v>0</v>
      </c>
      <c r="AW480" s="50" t="n">
        <v>0</v>
      </c>
      <c r="AX480" s="51" t="n">
        <v>0</v>
      </c>
      <c r="AY480" s="52" t="n">
        <v>0</v>
      </c>
      <c r="AZ480" s="52" t="n">
        <v>0</v>
      </c>
      <c r="BA480" s="52" t="n">
        <v>0</v>
      </c>
      <c r="BB480" s="53" t="n">
        <v>0</v>
      </c>
      <c r="BC480" s="52" t="n">
        <v>0</v>
      </c>
      <c r="BD480" s="53" t="n">
        <v>0</v>
      </c>
      <c r="BE480" s="52" t="n">
        <v>0</v>
      </c>
      <c r="BF480" s="51" t="n">
        <v>0</v>
      </c>
    </row>
    <row r="481">
      <c r="A481">
        <f>HYPERLINK("https://www.walmart.com/ip/382586947", "382586947")</f>
        <v/>
      </c>
      <c r="B481" t="inlineStr">
        <is>
          <t>Women Floppy Sun Beach Hats w/ Bow Wide Brim Summer UV Protection Foldable Gardening Hiking Cap by Solaris Navy</t>
        </is>
      </c>
      <c r="C481" t="inlineStr">
        <is>
          <t>1SLSH260NV</t>
        </is>
      </c>
      <c r="D481" t="inlineStr">
        <is>
          <t>Hats</t>
        </is>
      </c>
      <c r="E481" t="inlineStr">
        <is>
          <t>Solaris</t>
        </is>
      </c>
      <c r="F481" t="inlineStr">
        <is>
          <t>Hats,Batch 1 - TR</t>
        </is>
      </c>
      <c r="G481" s="48" t="n">
        <v>0</v>
      </c>
      <c r="H481" s="49" t="n">
        <v>0</v>
      </c>
      <c r="I481" s="49" t="n">
        <v>0</v>
      </c>
      <c r="J481" s="50" t="n">
        <v>0</v>
      </c>
      <c r="K481" s="51" t="n">
        <v>0</v>
      </c>
      <c r="L481" s="52" t="n">
        <v>0</v>
      </c>
      <c r="M481" s="52" t="n">
        <v>0</v>
      </c>
      <c r="N481" s="52" t="n">
        <v>0</v>
      </c>
      <c r="O481" s="53" t="n">
        <v>0</v>
      </c>
      <c r="P481" s="52" t="n">
        <v>0</v>
      </c>
      <c r="Q481" s="53" t="n">
        <v>0</v>
      </c>
      <c r="R481" s="52" t="n">
        <v>0</v>
      </c>
      <c r="S481" s="51" t="n">
        <v>0</v>
      </c>
      <c r="T481" s="48" t="n">
        <v>0</v>
      </c>
      <c r="U481" s="49" t="n">
        <v>0</v>
      </c>
      <c r="V481" s="49" t="n">
        <v>0</v>
      </c>
      <c r="W481" s="50" t="n">
        <v>0</v>
      </c>
      <c r="X481" s="51" t="n">
        <v>0</v>
      </c>
      <c r="Y481" s="52" t="n">
        <v>0</v>
      </c>
      <c r="Z481" s="52" t="n">
        <v>0</v>
      </c>
      <c r="AA481" s="52" t="n">
        <v>0</v>
      </c>
      <c r="AB481" s="53" t="n">
        <v>0</v>
      </c>
      <c r="AC481" s="52" t="n">
        <v>0</v>
      </c>
      <c r="AD481" s="53" t="n">
        <v>0</v>
      </c>
      <c r="AE481" s="52" t="n">
        <v>0</v>
      </c>
      <c r="AF481" s="51" t="n">
        <v>0</v>
      </c>
      <c r="AG481" s="48" t="n">
        <v>0</v>
      </c>
      <c r="AH481" s="49" t="n">
        <v>0</v>
      </c>
      <c r="AI481" s="49" t="n">
        <v>0</v>
      </c>
      <c r="AJ481" s="50" t="n">
        <v>0</v>
      </c>
      <c r="AK481" s="51" t="n">
        <v>0</v>
      </c>
      <c r="AL481" s="52" t="n">
        <v>0</v>
      </c>
      <c r="AM481" s="52" t="n">
        <v>0</v>
      </c>
      <c r="AN481" s="52" t="n">
        <v>0</v>
      </c>
      <c r="AO481" s="53" t="n">
        <v>0</v>
      </c>
      <c r="AP481" s="52" t="n">
        <v>0</v>
      </c>
      <c r="AQ481" s="53" t="n">
        <v>0</v>
      </c>
      <c r="AR481" s="52" t="n">
        <v>0</v>
      </c>
      <c r="AS481" s="51" t="n">
        <v>0</v>
      </c>
      <c r="AT481" s="48" t="n">
        <v>0</v>
      </c>
      <c r="AU481" s="49" t="n">
        <v>0</v>
      </c>
      <c r="AV481" s="49" t="n">
        <v>0</v>
      </c>
      <c r="AW481" s="50" t="n">
        <v>0</v>
      </c>
      <c r="AX481" s="51" t="n">
        <v>0</v>
      </c>
      <c r="AY481" s="52" t="n">
        <v>0</v>
      </c>
      <c r="AZ481" s="52" t="n">
        <v>0</v>
      </c>
      <c r="BA481" s="52" t="n">
        <v>0</v>
      </c>
      <c r="BB481" s="53" t="n">
        <v>0</v>
      </c>
      <c r="BC481" s="52" t="n">
        <v>0</v>
      </c>
      <c r="BD481" s="53" t="n">
        <v>0</v>
      </c>
      <c r="BE481" s="52" t="n">
        <v>0</v>
      </c>
      <c r="BF481" s="51" t="n">
        <v>0</v>
      </c>
    </row>
    <row r="482">
      <c r="A482">
        <f>HYPERLINK("https://www.walmart.com/ip/383358003", "383358003")</f>
        <v/>
      </c>
      <c r="B482" t="inlineStr">
        <is>
          <t>Flyingstar Lunch Bag for Women Men, Insulated Lunch Tote for Working/School/Picnic Fashionable Cooler Bag</t>
        </is>
      </c>
      <c r="C482" t="inlineStr">
        <is>
          <t>1WMLB704PP</t>
        </is>
      </c>
      <c r="D482" t="inlineStr">
        <is>
          <t>Reusable Lunch Bags &amp; Boxes</t>
        </is>
      </c>
      <c r="E482" t="inlineStr">
        <is>
          <t>Flyingstar</t>
        </is>
      </c>
      <c r="F482" t="inlineStr">
        <is>
          <t>Q2-Target,Lunch Bag</t>
        </is>
      </c>
      <c r="G482" s="48" t="n">
        <v>0</v>
      </c>
      <c r="H482" s="49" t="n">
        <v>0</v>
      </c>
      <c r="I482" s="49" t="n">
        <v>0</v>
      </c>
      <c r="J482" s="50" t="n">
        <v>0</v>
      </c>
      <c r="K482" s="51" t="n">
        <v>0</v>
      </c>
      <c r="L482" s="52" t="n">
        <v>0</v>
      </c>
      <c r="M482" s="52" t="n">
        <v>0</v>
      </c>
      <c r="N482" s="52" t="n">
        <v>0</v>
      </c>
      <c r="O482" s="53" t="n">
        <v>0</v>
      </c>
      <c r="P482" s="52" t="n">
        <v>0</v>
      </c>
      <c r="Q482" s="53" t="n">
        <v>0</v>
      </c>
      <c r="R482" s="52" t="n">
        <v>0</v>
      </c>
      <c r="S482" s="51" t="n">
        <v>0</v>
      </c>
      <c r="T482" s="48" t="n">
        <v>0</v>
      </c>
      <c r="U482" s="49" t="n">
        <v>0</v>
      </c>
      <c r="V482" s="49" t="n">
        <v>0</v>
      </c>
      <c r="W482" s="50" t="n">
        <v>0</v>
      </c>
      <c r="X482" s="51" t="n">
        <v>0</v>
      </c>
      <c r="Y482" s="52" t="n">
        <v>0</v>
      </c>
      <c r="Z482" s="52" t="n">
        <v>0</v>
      </c>
      <c r="AA482" s="52" t="n">
        <v>0</v>
      </c>
      <c r="AB482" s="53" t="n">
        <v>0</v>
      </c>
      <c r="AC482" s="52" t="n">
        <v>0</v>
      </c>
      <c r="AD482" s="53" t="n">
        <v>0</v>
      </c>
      <c r="AE482" s="52" t="n">
        <v>0</v>
      </c>
      <c r="AF482" s="51" t="n">
        <v>0</v>
      </c>
      <c r="AG482" s="48" t="n">
        <v>0</v>
      </c>
      <c r="AH482" s="49" t="n">
        <v>0</v>
      </c>
      <c r="AI482" s="49" t="n">
        <v>0</v>
      </c>
      <c r="AJ482" s="50" t="n">
        <v>0</v>
      </c>
      <c r="AK482" s="51" t="n">
        <v>0</v>
      </c>
      <c r="AL482" s="52" t="n">
        <v>0</v>
      </c>
      <c r="AM482" s="52" t="n">
        <v>0</v>
      </c>
      <c r="AN482" s="52" t="n">
        <v>0</v>
      </c>
      <c r="AO482" s="53" t="n">
        <v>0</v>
      </c>
      <c r="AP482" s="52" t="n">
        <v>0</v>
      </c>
      <c r="AQ482" s="53" t="n">
        <v>0</v>
      </c>
      <c r="AR482" s="52" t="n">
        <v>0</v>
      </c>
      <c r="AS482" s="51" t="n">
        <v>0</v>
      </c>
      <c r="AT482" s="48" t="n">
        <v>0</v>
      </c>
      <c r="AU482" s="49" t="n">
        <v>0</v>
      </c>
      <c r="AV482" s="49" t="n">
        <v>0</v>
      </c>
      <c r="AW482" s="50" t="n">
        <v>0</v>
      </c>
      <c r="AX482" s="51" t="n">
        <v>0</v>
      </c>
      <c r="AY482" s="52" t="n">
        <v>0</v>
      </c>
      <c r="AZ482" s="52" t="n">
        <v>0</v>
      </c>
      <c r="BA482" s="52" t="n">
        <v>0</v>
      </c>
      <c r="BB482" s="53" t="n">
        <v>0</v>
      </c>
      <c r="BC482" s="52" t="n">
        <v>0</v>
      </c>
      <c r="BD482" s="53" t="n">
        <v>0</v>
      </c>
      <c r="BE482" s="52" t="n">
        <v>0</v>
      </c>
      <c r="BF482" s="51" t="n">
        <v>0</v>
      </c>
    </row>
    <row r="483">
      <c r="A483">
        <f>HYPERLINK("https://www.walmart.com/ip/383776855", "383776855")</f>
        <v/>
      </c>
      <c r="B483" t="inlineStr">
        <is>
          <t>Tirrinia Super Soft Fluffy Hooded Robe Long Plush Fuzzy Bathrobe for Women with Hood Sherpa Lined, Machine Washable, Black</t>
        </is>
      </c>
      <c r="C483" t="inlineStr">
        <is>
          <t>1TRRB100BK</t>
        </is>
      </c>
      <c r="D483" t="inlineStr">
        <is>
          <t>Sleepwear Robes &amp; Bathrobes</t>
        </is>
      </c>
      <c r="E483" t="inlineStr">
        <is>
          <t>Tirrinia</t>
        </is>
      </c>
      <c r="F483" t="inlineStr">
        <is>
          <t>WFS,Bathrobe,Coupon_Discount,WFS Item</t>
        </is>
      </c>
      <c r="G483" s="48" t="n">
        <v>0</v>
      </c>
      <c r="H483" s="49" t="n">
        <v>0</v>
      </c>
      <c r="I483" s="49" t="n">
        <v>0</v>
      </c>
      <c r="J483" s="50" t="n">
        <v>0</v>
      </c>
      <c r="K483" s="51" t="n">
        <v>0</v>
      </c>
      <c r="L483" s="52" t="n">
        <v>0</v>
      </c>
      <c r="M483" s="52" t="n">
        <v>0</v>
      </c>
      <c r="N483" s="52" t="n">
        <v>0</v>
      </c>
      <c r="O483" s="53" t="n">
        <v>0</v>
      </c>
      <c r="P483" s="52" t="n">
        <v>0</v>
      </c>
      <c r="Q483" s="53" t="n">
        <v>0</v>
      </c>
      <c r="R483" s="52" t="n">
        <v>0</v>
      </c>
      <c r="S483" s="51" t="n">
        <v>0</v>
      </c>
      <c r="T483" s="48" t="n">
        <v>0</v>
      </c>
      <c r="U483" s="49" t="n">
        <v>0</v>
      </c>
      <c r="V483" s="49" t="n">
        <v>0</v>
      </c>
      <c r="W483" s="50" t="n">
        <v>0</v>
      </c>
      <c r="X483" s="51" t="n">
        <v>0</v>
      </c>
      <c r="Y483" s="52" t="n">
        <v>0</v>
      </c>
      <c r="Z483" s="52" t="n">
        <v>0</v>
      </c>
      <c r="AA483" s="52" t="n">
        <v>0</v>
      </c>
      <c r="AB483" s="53" t="n">
        <v>0</v>
      </c>
      <c r="AC483" s="52" t="n">
        <v>0</v>
      </c>
      <c r="AD483" s="53" t="n">
        <v>0</v>
      </c>
      <c r="AE483" s="52" t="n">
        <v>0</v>
      </c>
      <c r="AF483" s="51" t="n">
        <v>0</v>
      </c>
      <c r="AG483" s="48" t="n">
        <v>0</v>
      </c>
      <c r="AH483" s="49" t="n">
        <v>0</v>
      </c>
      <c r="AI483" s="49" t="n">
        <v>0</v>
      </c>
      <c r="AJ483" s="50" t="n">
        <v>0</v>
      </c>
      <c r="AK483" s="51" t="n">
        <v>0</v>
      </c>
      <c r="AL483" s="52" t="n">
        <v>0</v>
      </c>
      <c r="AM483" s="52" t="n">
        <v>0</v>
      </c>
      <c r="AN483" s="52" t="n">
        <v>0</v>
      </c>
      <c r="AO483" s="53" t="n">
        <v>0</v>
      </c>
      <c r="AP483" s="52" t="n">
        <v>0</v>
      </c>
      <c r="AQ483" s="53" t="n">
        <v>0</v>
      </c>
      <c r="AR483" s="52" t="n">
        <v>0</v>
      </c>
      <c r="AS483" s="51" t="n">
        <v>0</v>
      </c>
      <c r="AT483" s="48" t="n">
        <v>0</v>
      </c>
      <c r="AU483" s="49" t="n">
        <v>0</v>
      </c>
      <c r="AV483" s="49" t="n">
        <v>0</v>
      </c>
      <c r="AW483" s="50" t="n">
        <v>0</v>
      </c>
      <c r="AX483" s="51" t="n">
        <v>0</v>
      </c>
      <c r="AY483" s="52" t="n">
        <v>0</v>
      </c>
      <c r="AZ483" s="52" t="n">
        <v>0</v>
      </c>
      <c r="BA483" s="52" t="n">
        <v>0</v>
      </c>
      <c r="BB483" s="53" t="n">
        <v>0</v>
      </c>
      <c r="BC483" s="52" t="n">
        <v>0</v>
      </c>
      <c r="BD483" s="53" t="n">
        <v>0</v>
      </c>
      <c r="BE483" s="52" t="n">
        <v>0</v>
      </c>
      <c r="BF483" s="51" t="n">
        <v>0</v>
      </c>
    </row>
    <row r="484">
      <c r="A484">
        <f>HYPERLINK("https://www.walmart.com/ip/383928733", "383928733")</f>
        <v/>
      </c>
      <c r="B484" t="inlineStr">
        <is>
          <t>Sherpa Throw Blanket Fleece, Super Cozy Warm TV Blankets for Bed or Couch Reversible 50" x 60"</t>
        </is>
      </c>
      <c r="C484" t="inlineStr">
        <is>
          <t>1TNBF300BK-TPB</t>
        </is>
      </c>
      <c r="D484" t="inlineStr">
        <is>
          <t>Throws</t>
        </is>
      </c>
      <c r="E484" t="inlineStr">
        <is>
          <t>Tirrinia</t>
        </is>
      </c>
      <c r="G484" s="48" t="n">
        <v>0</v>
      </c>
      <c r="H484" s="49" t="n">
        <v>0</v>
      </c>
      <c r="I484" s="49" t="n">
        <v>0</v>
      </c>
      <c r="J484" s="50" t="n">
        <v>0</v>
      </c>
      <c r="K484" s="51" t="n">
        <v>0</v>
      </c>
      <c r="L484" s="52" t="n">
        <v>0</v>
      </c>
      <c r="M484" s="52" t="n">
        <v>0</v>
      </c>
      <c r="N484" s="52" t="n">
        <v>0</v>
      </c>
      <c r="O484" s="53" t="n">
        <v>0</v>
      </c>
      <c r="P484" s="52" t="n">
        <v>0</v>
      </c>
      <c r="Q484" s="53" t="n">
        <v>0</v>
      </c>
      <c r="R484" s="52" t="n">
        <v>0</v>
      </c>
      <c r="S484" s="51" t="n">
        <v>0</v>
      </c>
      <c r="T484" s="48" t="n">
        <v>0</v>
      </c>
      <c r="U484" s="49" t="n">
        <v>0</v>
      </c>
      <c r="V484" s="49" t="n">
        <v>0</v>
      </c>
      <c r="W484" s="50" t="n">
        <v>0</v>
      </c>
      <c r="X484" s="51" t="n">
        <v>0</v>
      </c>
      <c r="Y484" s="52" t="n">
        <v>0</v>
      </c>
      <c r="Z484" s="52" t="n">
        <v>0</v>
      </c>
      <c r="AA484" s="52" t="n">
        <v>0</v>
      </c>
      <c r="AB484" s="53" t="n">
        <v>0</v>
      </c>
      <c r="AC484" s="52" t="n">
        <v>0</v>
      </c>
      <c r="AD484" s="53" t="n">
        <v>0</v>
      </c>
      <c r="AE484" s="52" t="n">
        <v>0</v>
      </c>
      <c r="AF484" s="51" t="n">
        <v>0</v>
      </c>
      <c r="AG484" s="48" t="n">
        <v>0</v>
      </c>
      <c r="AH484" s="49" t="n">
        <v>0</v>
      </c>
      <c r="AI484" s="49" t="n">
        <v>0</v>
      </c>
      <c r="AJ484" s="50" t="n">
        <v>0</v>
      </c>
      <c r="AK484" s="51" t="n">
        <v>0</v>
      </c>
      <c r="AL484" s="52" t="n">
        <v>0</v>
      </c>
      <c r="AM484" s="52" t="n">
        <v>0</v>
      </c>
      <c r="AN484" s="52" t="n">
        <v>0</v>
      </c>
      <c r="AO484" s="53" t="n">
        <v>0</v>
      </c>
      <c r="AP484" s="52" t="n">
        <v>0</v>
      </c>
      <c r="AQ484" s="53" t="n">
        <v>0</v>
      </c>
      <c r="AR484" s="52" t="n">
        <v>0</v>
      </c>
      <c r="AS484" s="51" t="n">
        <v>0</v>
      </c>
      <c r="AT484" s="48" t="n">
        <v>0</v>
      </c>
      <c r="AU484" s="49" t="n">
        <v>0</v>
      </c>
      <c r="AV484" s="49" t="n">
        <v>0</v>
      </c>
      <c r="AW484" s="50" t="n">
        <v>0</v>
      </c>
      <c r="AX484" s="51" t="n">
        <v>0</v>
      </c>
      <c r="AY484" s="52" t="n">
        <v>0</v>
      </c>
      <c r="AZ484" s="52" t="n">
        <v>0</v>
      </c>
      <c r="BA484" s="52" t="n">
        <v>0</v>
      </c>
      <c r="BB484" s="53" t="n">
        <v>0</v>
      </c>
      <c r="BC484" s="52" t="n">
        <v>0</v>
      </c>
      <c r="BD484" s="53" t="n">
        <v>0</v>
      </c>
      <c r="BE484" s="52" t="n">
        <v>0</v>
      </c>
      <c r="BF484" s="51" t="n">
        <v>0</v>
      </c>
    </row>
    <row r="485">
      <c r="A485">
        <f>HYPERLINK("https://www.walmart.com/ip/384645923", "384645923")</f>
        <v/>
      </c>
      <c r="B485" t="inlineStr">
        <is>
          <t>Catalonia Waterproof Blanket, Pee-Proof Couch, Sofa, and Bed Protector Cover for Baby and Pets, Super Cozy Plush Fleece Warm Sherpa Lining Throws and Blankets for Boating and Camping, Wine/Taupe, Extra Large 80'' x 90''</t>
        </is>
      </c>
      <c r="C485" t="inlineStr">
        <is>
          <t>1CTBW981WNTP</t>
        </is>
      </c>
      <c r="D485" t="inlineStr">
        <is>
          <t>Throws</t>
        </is>
      </c>
      <c r="E485" t="inlineStr">
        <is>
          <t>Catalonia</t>
        </is>
      </c>
      <c r="F485" t="inlineStr">
        <is>
          <t>High AUR Items,Wproof Blanket,Batch 1 - TR</t>
        </is>
      </c>
      <c r="G485" s="48" t="n">
        <v>0</v>
      </c>
      <c r="H485" s="49" t="n">
        <v>0</v>
      </c>
      <c r="I485" s="49" t="n">
        <v>0</v>
      </c>
      <c r="J485" s="50" t="n">
        <v>0</v>
      </c>
      <c r="K485" s="51" t="n">
        <v>0</v>
      </c>
      <c r="L485" s="52" t="n">
        <v>0</v>
      </c>
      <c r="M485" s="52" t="n">
        <v>0</v>
      </c>
      <c r="N485" s="52" t="n">
        <v>0</v>
      </c>
      <c r="O485" s="53" t="n">
        <v>0</v>
      </c>
      <c r="P485" s="52" t="n">
        <v>0</v>
      </c>
      <c r="Q485" s="53" t="n">
        <v>0</v>
      </c>
      <c r="R485" s="52" t="n">
        <v>0</v>
      </c>
      <c r="S485" s="51" t="n">
        <v>0</v>
      </c>
      <c r="T485" s="48" t="n">
        <v>0</v>
      </c>
      <c r="U485" s="49" t="n">
        <v>0</v>
      </c>
      <c r="V485" s="49" t="n">
        <v>0</v>
      </c>
      <c r="W485" s="50" t="n">
        <v>0</v>
      </c>
      <c r="X485" s="51" t="n">
        <v>0</v>
      </c>
      <c r="Y485" s="52" t="n">
        <v>0</v>
      </c>
      <c r="Z485" s="52" t="n">
        <v>0</v>
      </c>
      <c r="AA485" s="52" t="n">
        <v>0</v>
      </c>
      <c r="AB485" s="53" t="n">
        <v>0</v>
      </c>
      <c r="AC485" s="52" t="n">
        <v>0</v>
      </c>
      <c r="AD485" s="53" t="n">
        <v>0</v>
      </c>
      <c r="AE485" s="52" t="n">
        <v>0</v>
      </c>
      <c r="AF485" s="51" t="n">
        <v>0</v>
      </c>
      <c r="AG485" s="48" t="n">
        <v>0</v>
      </c>
      <c r="AH485" s="49" t="n">
        <v>0</v>
      </c>
      <c r="AI485" s="49" t="n">
        <v>0</v>
      </c>
      <c r="AJ485" s="50" t="n">
        <v>0</v>
      </c>
      <c r="AK485" s="51" t="n">
        <v>0</v>
      </c>
      <c r="AL485" s="52" t="n">
        <v>0</v>
      </c>
      <c r="AM485" s="52" t="n">
        <v>0</v>
      </c>
      <c r="AN485" s="52" t="n">
        <v>0</v>
      </c>
      <c r="AO485" s="53" t="n">
        <v>0</v>
      </c>
      <c r="AP485" s="52" t="n">
        <v>0</v>
      </c>
      <c r="AQ485" s="53" t="n">
        <v>0</v>
      </c>
      <c r="AR485" s="52" t="n">
        <v>0</v>
      </c>
      <c r="AS485" s="51" t="n">
        <v>0</v>
      </c>
      <c r="AT485" s="48" t="n">
        <v>0</v>
      </c>
      <c r="AU485" s="49" t="n">
        <v>0</v>
      </c>
      <c r="AV485" s="49" t="n">
        <v>0</v>
      </c>
      <c r="AW485" s="50" t="n">
        <v>0</v>
      </c>
      <c r="AX485" s="51" t="n">
        <v>0</v>
      </c>
      <c r="AY485" s="52" t="n">
        <v>0</v>
      </c>
      <c r="AZ485" s="52" t="n">
        <v>0</v>
      </c>
      <c r="BA485" s="52" t="n">
        <v>0</v>
      </c>
      <c r="BB485" s="53" t="n">
        <v>0</v>
      </c>
      <c r="BC485" s="52" t="n">
        <v>0</v>
      </c>
      <c r="BD485" s="53" t="n">
        <v>0</v>
      </c>
      <c r="BE485" s="52" t="n">
        <v>0</v>
      </c>
      <c r="BF485" s="51" t="n">
        <v>0</v>
      </c>
    </row>
    <row r="486">
      <c r="A486">
        <f>HYPERLINK("https://www.walmart.com/ip/385094315", "385094315")</f>
        <v/>
      </c>
      <c r="B486" t="inlineStr">
        <is>
          <t>Catalonia Wearable Blanket with Sleeves and Pocket, Cozy Soft Fleece Micro Plush Wrap Adult Blanket Robe for Women Men, Red Dot Pattern Makes a Great Gift for Holidays.</t>
        </is>
      </c>
      <c r="C486" t="inlineStr">
        <is>
          <t>1CTSN100RDDOT</t>
        </is>
      </c>
      <c r="D486" t="inlineStr">
        <is>
          <t>Throws</t>
        </is>
      </c>
      <c r="E486" t="inlineStr">
        <is>
          <t>Catalonia</t>
        </is>
      </c>
      <c r="F486" t="inlineStr">
        <is>
          <t>WFS,WFS Item</t>
        </is>
      </c>
      <c r="G486" s="48" t="n">
        <v>0</v>
      </c>
      <c r="H486" s="49" t="n">
        <v>0</v>
      </c>
      <c r="I486" s="49" t="n">
        <v>0</v>
      </c>
      <c r="J486" s="50" t="n">
        <v>0</v>
      </c>
      <c r="K486" s="51" t="n">
        <v>0</v>
      </c>
      <c r="L486" s="52" t="n">
        <v>0</v>
      </c>
      <c r="M486" s="52" t="n">
        <v>0</v>
      </c>
      <c r="N486" s="52" t="n">
        <v>0</v>
      </c>
      <c r="O486" s="53" t="n">
        <v>0</v>
      </c>
      <c r="P486" s="52" t="n">
        <v>0</v>
      </c>
      <c r="Q486" s="53" t="n">
        <v>0</v>
      </c>
      <c r="R486" s="52" t="n">
        <v>0</v>
      </c>
      <c r="S486" s="51" t="n">
        <v>0</v>
      </c>
      <c r="T486" s="48" t="n">
        <v>0</v>
      </c>
      <c r="U486" s="49" t="n">
        <v>0</v>
      </c>
      <c r="V486" s="49" t="n">
        <v>0</v>
      </c>
      <c r="W486" s="50" t="n">
        <v>0</v>
      </c>
      <c r="X486" s="51" t="n">
        <v>0</v>
      </c>
      <c r="Y486" s="52" t="n">
        <v>0</v>
      </c>
      <c r="Z486" s="52" t="n">
        <v>0</v>
      </c>
      <c r="AA486" s="52" t="n">
        <v>0</v>
      </c>
      <c r="AB486" s="53" t="n">
        <v>0</v>
      </c>
      <c r="AC486" s="52" t="n">
        <v>0</v>
      </c>
      <c r="AD486" s="53" t="n">
        <v>0</v>
      </c>
      <c r="AE486" s="52" t="n">
        <v>0</v>
      </c>
      <c r="AF486" s="51" t="n">
        <v>0</v>
      </c>
      <c r="AG486" s="48" t="n">
        <v>0</v>
      </c>
      <c r="AH486" s="49" t="n">
        <v>0</v>
      </c>
      <c r="AI486" s="49" t="n">
        <v>0</v>
      </c>
      <c r="AJ486" s="50" t="n">
        <v>0</v>
      </c>
      <c r="AK486" s="51" t="n">
        <v>0</v>
      </c>
      <c r="AL486" s="52" t="n">
        <v>0</v>
      </c>
      <c r="AM486" s="52" t="n">
        <v>0</v>
      </c>
      <c r="AN486" s="52" t="n">
        <v>0</v>
      </c>
      <c r="AO486" s="53" t="n">
        <v>0</v>
      </c>
      <c r="AP486" s="52" t="n">
        <v>0</v>
      </c>
      <c r="AQ486" s="53" t="n">
        <v>0</v>
      </c>
      <c r="AR486" s="52" t="n">
        <v>0</v>
      </c>
      <c r="AS486" s="51" t="n">
        <v>0</v>
      </c>
      <c r="AT486" s="48" t="n">
        <v>0</v>
      </c>
      <c r="AU486" s="49" t="n">
        <v>0</v>
      </c>
      <c r="AV486" s="49" t="n">
        <v>0</v>
      </c>
      <c r="AW486" s="50" t="n">
        <v>0</v>
      </c>
      <c r="AX486" s="51" t="n">
        <v>0</v>
      </c>
      <c r="AY486" s="52" t="n">
        <v>0</v>
      </c>
      <c r="AZ486" s="52" t="n">
        <v>0</v>
      </c>
      <c r="BA486" s="52" t="n">
        <v>0</v>
      </c>
      <c r="BB486" s="53" t="n">
        <v>0</v>
      </c>
      <c r="BC486" s="52" t="n">
        <v>0</v>
      </c>
      <c r="BD486" s="53" t="n">
        <v>0</v>
      </c>
      <c r="BE486" s="52" t="n">
        <v>0</v>
      </c>
      <c r="BF486" s="51" t="n">
        <v>0</v>
      </c>
    </row>
    <row r="487">
      <c r="A487">
        <f>HYPERLINK("https://www.walmart.com/ip/386484169", "386484169")</f>
        <v/>
      </c>
      <c r="B487" t="inlineStr">
        <is>
          <t>Pawsse Waterproof Dog Blanket for Bed, Pee Proof Pet Blankets for Couch Sofa Cover, Reversible Furniture Protector Sherpa Cushion Mat for Small to Medium Large Dog, Large, Camel/Tuape, 60"" x 80""</t>
        </is>
      </c>
      <c r="C487" t="inlineStr">
        <is>
          <t>1PSBW681TPTP</t>
        </is>
      </c>
      <c r="D487" t="inlineStr">
        <is>
          <t>Pet Blankets</t>
        </is>
      </c>
      <c r="E487" t="inlineStr">
        <is>
          <t>Pawsse</t>
        </is>
      </c>
      <c r="F487" t="inlineStr">
        <is>
          <t>WFS,High AUR Items,Wproof Blanket,WFS Item</t>
        </is>
      </c>
      <c r="G487" s="48" t="n">
        <v>0</v>
      </c>
      <c r="H487" s="49" t="n">
        <v>0</v>
      </c>
      <c r="I487" s="49" t="n">
        <v>0</v>
      </c>
      <c r="J487" s="50" t="n">
        <v>0</v>
      </c>
      <c r="K487" s="51" t="n">
        <v>2</v>
      </c>
      <c r="L487" s="52" t="n">
        <v>0.65</v>
      </c>
      <c r="M487" s="52" t="n">
        <v>0</v>
      </c>
      <c r="N487" s="52" t="n">
        <v>0</v>
      </c>
      <c r="O487" s="53" t="n">
        <v>0.0007</v>
      </c>
      <c r="P487" s="52" t="n">
        <v>0.325</v>
      </c>
      <c r="Q487" s="53" t="n">
        <v>0</v>
      </c>
      <c r="R487" s="52" t="n">
        <v>0</v>
      </c>
      <c r="S487" s="51" t="n">
        <v>2792</v>
      </c>
      <c r="T487" s="48" t="n">
        <v>0</v>
      </c>
      <c r="U487" s="49" t="n">
        <v>0</v>
      </c>
      <c r="V487" s="49" t="n">
        <v>0</v>
      </c>
      <c r="W487" s="50" t="n">
        <v>0</v>
      </c>
      <c r="X487" s="51" t="n">
        <v>4</v>
      </c>
      <c r="Y487" s="52" t="n">
        <v>1.74</v>
      </c>
      <c r="Z487" s="52" t="n">
        <v>0</v>
      </c>
      <c r="AA487" s="52" t="n">
        <v>0</v>
      </c>
      <c r="AB487" s="53" t="n">
        <v>0.0008</v>
      </c>
      <c r="AC487" s="52" t="n">
        <v>0.435</v>
      </c>
      <c r="AD487" s="53" t="n">
        <v>0</v>
      </c>
      <c r="AE487" s="52" t="n">
        <v>0</v>
      </c>
      <c r="AF487" s="51" t="n">
        <v>5097</v>
      </c>
      <c r="AG487" s="48" t="n">
        <v>0</v>
      </c>
      <c r="AH487" s="49" t="n">
        <v>0</v>
      </c>
      <c r="AI487" s="49" t="n">
        <v>4</v>
      </c>
      <c r="AJ487" s="50" t="n">
        <v>0</v>
      </c>
      <c r="AK487" s="51" t="n">
        <v>5</v>
      </c>
      <c r="AL487" s="52" t="n">
        <v>2.21</v>
      </c>
      <c r="AM487" s="52" t="n">
        <v>0</v>
      </c>
      <c r="AN487" s="52" t="n">
        <v>0</v>
      </c>
      <c r="AO487" s="53" t="n">
        <v>0.0007</v>
      </c>
      <c r="AP487" s="52" t="n">
        <v>0.442</v>
      </c>
      <c r="AQ487" s="53" t="n">
        <v>0</v>
      </c>
      <c r="AR487" s="52" t="n">
        <v>0</v>
      </c>
      <c r="AS487" s="51" t="n">
        <v>7478</v>
      </c>
      <c r="AT487" s="48" t="n">
        <v>0</v>
      </c>
      <c r="AU487" s="49" t="n">
        <v>0</v>
      </c>
      <c r="AV487" s="49" t="n">
        <v>7</v>
      </c>
      <c r="AW487" s="50" t="n">
        <v>0</v>
      </c>
      <c r="AX487" s="51" t="n">
        <v>8</v>
      </c>
      <c r="AY487" s="52" t="n">
        <v>3.46</v>
      </c>
      <c r="AZ487" s="52" t="n">
        <v>36.99</v>
      </c>
      <c r="BA487" s="52" t="n">
        <v>10.69</v>
      </c>
      <c r="BB487" s="53" t="n">
        <v>0.0014</v>
      </c>
      <c r="BC487" s="52" t="n">
        <v>0.4325</v>
      </c>
      <c r="BD487" s="53" t="n">
        <v>0</v>
      </c>
      <c r="BE487" s="52" t="n">
        <v>0</v>
      </c>
      <c r="BF487" s="51" t="n">
        <v>5601</v>
      </c>
    </row>
    <row r="488">
      <c r="A488">
        <f>HYPERLINK("https://www.walmart.com/ip/388398607", "388398607")</f>
        <v/>
      </c>
      <c r="B488" t="inlineStr">
        <is>
          <t>Solaris Women’s Floppy Sun Hat, Wide Brim for Summer Beach UV Protection, Foldable for Gardening and Hiking, Black</t>
        </is>
      </c>
      <c r="C488" t="inlineStr">
        <is>
          <t>1SLSH101BK</t>
        </is>
      </c>
      <c r="D488" t="inlineStr">
        <is>
          <t>Hats</t>
        </is>
      </c>
      <c r="E488" t="inlineStr">
        <is>
          <t>Solaris</t>
        </is>
      </c>
      <c r="F488" t="inlineStr">
        <is>
          <t>Hats,Batch 1 - TR</t>
        </is>
      </c>
      <c r="G488" s="48" t="n">
        <v>0</v>
      </c>
      <c r="H488" s="49" t="n">
        <v>0</v>
      </c>
      <c r="I488" s="49" t="n">
        <v>0</v>
      </c>
      <c r="J488" s="50" t="n">
        <v>0</v>
      </c>
      <c r="K488" s="51" t="n">
        <v>0</v>
      </c>
      <c r="L488" s="52" t="n">
        <v>0</v>
      </c>
      <c r="M488" s="52" t="n">
        <v>0</v>
      </c>
      <c r="N488" s="52" t="n">
        <v>0</v>
      </c>
      <c r="O488" s="53" t="n">
        <v>0</v>
      </c>
      <c r="P488" s="52" t="n">
        <v>0</v>
      </c>
      <c r="Q488" s="53" t="n">
        <v>0</v>
      </c>
      <c r="R488" s="52" t="n">
        <v>0</v>
      </c>
      <c r="S488" s="51" t="n">
        <v>0</v>
      </c>
      <c r="T488" s="48" t="n">
        <v>0</v>
      </c>
      <c r="U488" s="49" t="n">
        <v>0</v>
      </c>
      <c r="V488" s="49" t="n">
        <v>0</v>
      </c>
      <c r="W488" s="50" t="n">
        <v>0</v>
      </c>
      <c r="X488" s="51" t="n">
        <v>0</v>
      </c>
      <c r="Y488" s="52" t="n">
        <v>0</v>
      </c>
      <c r="Z488" s="52" t="n">
        <v>0</v>
      </c>
      <c r="AA488" s="52" t="n">
        <v>0</v>
      </c>
      <c r="AB488" s="53" t="n">
        <v>0</v>
      </c>
      <c r="AC488" s="52" t="n">
        <v>0</v>
      </c>
      <c r="AD488" s="53" t="n">
        <v>0</v>
      </c>
      <c r="AE488" s="52" t="n">
        <v>0</v>
      </c>
      <c r="AF488" s="51" t="n">
        <v>0</v>
      </c>
      <c r="AG488" s="48" t="n">
        <v>0</v>
      </c>
      <c r="AH488" s="49" t="n">
        <v>0</v>
      </c>
      <c r="AI488" s="49" t="n">
        <v>0</v>
      </c>
      <c r="AJ488" s="50" t="n">
        <v>0</v>
      </c>
      <c r="AK488" s="51" t="n">
        <v>0</v>
      </c>
      <c r="AL488" s="52" t="n">
        <v>0</v>
      </c>
      <c r="AM488" s="52" t="n">
        <v>0</v>
      </c>
      <c r="AN488" s="52" t="n">
        <v>0</v>
      </c>
      <c r="AO488" s="53" t="n">
        <v>0</v>
      </c>
      <c r="AP488" s="52" t="n">
        <v>0</v>
      </c>
      <c r="AQ488" s="53" t="n">
        <v>0</v>
      </c>
      <c r="AR488" s="52" t="n">
        <v>0</v>
      </c>
      <c r="AS488" s="51" t="n">
        <v>0</v>
      </c>
      <c r="AT488" s="48" t="n">
        <v>0</v>
      </c>
      <c r="AU488" s="49" t="n">
        <v>0</v>
      </c>
      <c r="AV488" s="49" t="n">
        <v>0</v>
      </c>
      <c r="AW488" s="50" t="n">
        <v>0</v>
      </c>
      <c r="AX488" s="51" t="n">
        <v>0</v>
      </c>
      <c r="AY488" s="52" t="n">
        <v>0</v>
      </c>
      <c r="AZ488" s="52" t="n">
        <v>0</v>
      </c>
      <c r="BA488" s="52" t="n">
        <v>0</v>
      </c>
      <c r="BB488" s="53" t="n">
        <v>0</v>
      </c>
      <c r="BC488" s="52" t="n">
        <v>0</v>
      </c>
      <c r="BD488" s="53" t="n">
        <v>0</v>
      </c>
      <c r="BE488" s="52" t="n">
        <v>0</v>
      </c>
      <c r="BF488" s="51" t="n">
        <v>0</v>
      </c>
    </row>
    <row r="489">
      <c r="A489">
        <f>HYPERLINK("https://www.walmart.com/ip/388479260", "388479260")</f>
        <v/>
      </c>
      <c r="B489" t="inlineStr">
        <is>
          <t>Flyingstar Wearable Blanket with Sleeves and Pocket, Fleece Micro Plush Throws Blanket, Robe for Women and Men 73” x 51” Purple</t>
        </is>
      </c>
      <c r="C489" t="inlineStr">
        <is>
          <t>1WMSN100AQ</t>
        </is>
      </c>
      <c r="D489" t="inlineStr">
        <is>
          <t>Throws</t>
        </is>
      </c>
      <c r="E489" t="inlineStr">
        <is>
          <t>Flyingstar</t>
        </is>
      </c>
      <c r="F489" t="inlineStr">
        <is>
          <t>Optimized</t>
        </is>
      </c>
      <c r="G489" s="48" t="n">
        <v>0</v>
      </c>
      <c r="H489" s="49" t="n">
        <v>0</v>
      </c>
      <c r="I489" s="49" t="n">
        <v>0</v>
      </c>
      <c r="J489" s="50" t="n">
        <v>0</v>
      </c>
      <c r="K489" s="51" t="n">
        <v>0</v>
      </c>
      <c r="L489" s="52" t="n">
        <v>0</v>
      </c>
      <c r="M489" s="52" t="n">
        <v>0</v>
      </c>
      <c r="N489" s="52" t="n">
        <v>0</v>
      </c>
      <c r="O489" s="53" t="n">
        <v>0</v>
      </c>
      <c r="P489" s="52" t="n">
        <v>0</v>
      </c>
      <c r="Q489" s="53" t="n">
        <v>0</v>
      </c>
      <c r="R489" s="52" t="n">
        <v>0</v>
      </c>
      <c r="S489" s="51" t="n">
        <v>0</v>
      </c>
      <c r="T489" s="48" t="n">
        <v>0</v>
      </c>
      <c r="U489" s="49" t="n">
        <v>0</v>
      </c>
      <c r="V489" s="49" t="n">
        <v>0</v>
      </c>
      <c r="W489" s="50" t="n">
        <v>0</v>
      </c>
      <c r="X489" s="51" t="n">
        <v>0</v>
      </c>
      <c r="Y489" s="52" t="n">
        <v>0</v>
      </c>
      <c r="Z489" s="52" t="n">
        <v>0</v>
      </c>
      <c r="AA489" s="52" t="n">
        <v>0</v>
      </c>
      <c r="AB489" s="53" t="n">
        <v>0</v>
      </c>
      <c r="AC489" s="52" t="n">
        <v>0</v>
      </c>
      <c r="AD489" s="53" t="n">
        <v>0</v>
      </c>
      <c r="AE489" s="52" t="n">
        <v>0</v>
      </c>
      <c r="AF489" s="51" t="n">
        <v>0</v>
      </c>
      <c r="AG489" s="48" t="n">
        <v>0</v>
      </c>
      <c r="AH489" s="49" t="n">
        <v>0</v>
      </c>
      <c r="AI489" s="49" t="n">
        <v>0</v>
      </c>
      <c r="AJ489" s="50" t="n">
        <v>0</v>
      </c>
      <c r="AK489" s="51" t="n">
        <v>0</v>
      </c>
      <c r="AL489" s="52" t="n">
        <v>0</v>
      </c>
      <c r="AM489" s="52" t="n">
        <v>0</v>
      </c>
      <c r="AN489" s="52" t="n">
        <v>0</v>
      </c>
      <c r="AO489" s="53" t="n">
        <v>0</v>
      </c>
      <c r="AP489" s="52" t="n">
        <v>0</v>
      </c>
      <c r="AQ489" s="53" t="n">
        <v>0</v>
      </c>
      <c r="AR489" s="52" t="n">
        <v>0</v>
      </c>
      <c r="AS489" s="51" t="n">
        <v>0</v>
      </c>
      <c r="AT489" s="48" t="n">
        <v>0</v>
      </c>
      <c r="AU489" s="49" t="n">
        <v>0</v>
      </c>
      <c r="AV489" s="49" t="n">
        <v>0</v>
      </c>
      <c r="AW489" s="50" t="n">
        <v>0</v>
      </c>
      <c r="AX489" s="51" t="n">
        <v>0</v>
      </c>
      <c r="AY489" s="52" t="n">
        <v>0</v>
      </c>
      <c r="AZ489" s="52" t="n">
        <v>0</v>
      </c>
      <c r="BA489" s="52" t="n">
        <v>0</v>
      </c>
      <c r="BB489" s="53" t="n">
        <v>0</v>
      </c>
      <c r="BC489" s="52" t="n">
        <v>0</v>
      </c>
      <c r="BD489" s="53" t="n">
        <v>0</v>
      </c>
      <c r="BE489" s="52" t="n">
        <v>0</v>
      </c>
      <c r="BF489" s="51" t="n">
        <v>0</v>
      </c>
    </row>
    <row r="490">
      <c r="A490">
        <f>HYPERLINK("https://www.walmart.com/ip/3885741609", "3885741609")</f>
        <v/>
      </c>
      <c r="B490" t="inlineStr">
        <is>
          <t>Kato Outdoors Waterproof Throw Blanket, Windproof Sherpa Fleece Blanket for Boat, Traveling, Camping, Hiking, and Football, Machine Washable, Navy/Grey, 66'' x 90''</t>
        </is>
      </c>
      <c r="C490" t="inlineStr">
        <is>
          <t>1KTBW669NYGY</t>
        </is>
      </c>
      <c r="D490" t="inlineStr">
        <is>
          <t>Throws</t>
        </is>
      </c>
      <c r="E490" t="inlineStr">
        <is>
          <t>Kato</t>
        </is>
      </c>
      <c r="F490" t="inlineStr">
        <is>
          <t>Q2-Target</t>
        </is>
      </c>
      <c r="G490" s="48" t="n">
        <v>0</v>
      </c>
      <c r="H490" s="49" t="n">
        <v>0</v>
      </c>
      <c r="I490" s="49" t="n">
        <v>0</v>
      </c>
      <c r="J490" s="50" t="n">
        <v>0</v>
      </c>
      <c r="K490" s="51" t="n">
        <v>0</v>
      </c>
      <c r="L490" s="52" t="n">
        <v>0</v>
      </c>
      <c r="M490" s="52" t="n">
        <v>0</v>
      </c>
      <c r="N490" s="52" t="n">
        <v>0</v>
      </c>
      <c r="O490" s="53" t="n">
        <v>0</v>
      </c>
      <c r="P490" s="52" t="n">
        <v>0</v>
      </c>
      <c r="Q490" s="53" t="n">
        <v>0</v>
      </c>
      <c r="R490" s="52" t="n">
        <v>0</v>
      </c>
      <c r="S490" s="51" t="n">
        <v>112</v>
      </c>
      <c r="T490" s="48" t="n">
        <v>0</v>
      </c>
      <c r="U490" s="49" t="n">
        <v>0</v>
      </c>
      <c r="V490" s="49" t="n">
        <v>0</v>
      </c>
      <c r="W490" s="50" t="n">
        <v>0</v>
      </c>
      <c r="X490" s="51" t="n">
        <v>3</v>
      </c>
      <c r="Y490" s="52" t="n">
        <v>0.71</v>
      </c>
      <c r="Z490" s="52" t="n">
        <v>0</v>
      </c>
      <c r="AA490" s="52" t="n">
        <v>0</v>
      </c>
      <c r="AB490" s="53" t="n">
        <v>0.0055</v>
      </c>
      <c r="AC490" s="52" t="n">
        <v>0.2366666666666667</v>
      </c>
      <c r="AD490" s="53" t="n">
        <v>0</v>
      </c>
      <c r="AE490" s="52" t="n">
        <v>0</v>
      </c>
      <c r="AF490" s="51" t="n">
        <v>546</v>
      </c>
      <c r="AG490" s="48" t="n">
        <v>0</v>
      </c>
      <c r="AH490" s="49" t="n">
        <v>0</v>
      </c>
      <c r="AI490" s="49" t="n">
        <v>0</v>
      </c>
      <c r="AJ490" s="50" t="n">
        <v>0</v>
      </c>
      <c r="AK490" s="51" t="n">
        <v>0</v>
      </c>
      <c r="AL490" s="52" t="n">
        <v>0</v>
      </c>
      <c r="AM490" s="52" t="n">
        <v>0</v>
      </c>
      <c r="AN490" s="52" t="n">
        <v>0</v>
      </c>
      <c r="AO490" s="53" t="n">
        <v>0</v>
      </c>
      <c r="AP490" s="52" t="n">
        <v>0</v>
      </c>
      <c r="AQ490" s="53" t="n">
        <v>0</v>
      </c>
      <c r="AR490" s="52" t="n">
        <v>0</v>
      </c>
      <c r="AS490" s="51" t="n">
        <v>0</v>
      </c>
      <c r="AT490" s="48" t="n">
        <v>0</v>
      </c>
      <c r="AU490" s="49" t="n">
        <v>0</v>
      </c>
      <c r="AV490" s="49" t="n">
        <v>0</v>
      </c>
      <c r="AW490" s="50" t="n">
        <v>0</v>
      </c>
      <c r="AX490" s="51" t="n">
        <v>0</v>
      </c>
      <c r="AY490" s="52" t="n">
        <v>0</v>
      </c>
      <c r="AZ490" s="52" t="n">
        <v>0</v>
      </c>
      <c r="BA490" s="52" t="n">
        <v>0</v>
      </c>
      <c r="BB490" s="53" t="n">
        <v>0</v>
      </c>
      <c r="BC490" s="52" t="n">
        <v>0</v>
      </c>
      <c r="BD490" s="53" t="n">
        <v>0</v>
      </c>
      <c r="BE490" s="52" t="n">
        <v>0</v>
      </c>
      <c r="BF490" s="51" t="n">
        <v>33</v>
      </c>
    </row>
    <row r="491">
      <c r="A491">
        <f>HYPERLINK("https://www.walmart.com/ip/389368673", "389368673")</f>
        <v/>
      </c>
      <c r="B491" t="inlineStr">
        <is>
          <t>Cute Child Cotton Hooded Poncho Towels Mermaid Cartoon Changing Robe Swimmer Outdoor Beach 23” x 52” By Tirrinia</t>
        </is>
      </c>
      <c r="C491" t="inlineStr">
        <is>
          <t>1TRBR200-MM01</t>
        </is>
      </c>
      <c r="D491" t="inlineStr">
        <is>
          <t>Towels &amp; Washcloths</t>
        </is>
      </c>
      <c r="E491" t="inlineStr">
        <is>
          <t>Tirrinia</t>
        </is>
      </c>
      <c r="F491" t="inlineStr">
        <is>
          <t>Q2-Target,Baby days,Beach Robe Camp</t>
        </is>
      </c>
      <c r="G491" s="48" t="n">
        <v>0</v>
      </c>
      <c r="H491" s="49" t="n">
        <v>0</v>
      </c>
      <c r="I491" s="49" t="n">
        <v>0</v>
      </c>
      <c r="J491" s="50" t="n">
        <v>0</v>
      </c>
      <c r="K491" s="51" t="n">
        <v>0</v>
      </c>
      <c r="L491" s="52" t="n">
        <v>0</v>
      </c>
      <c r="M491" s="52" t="n">
        <v>0</v>
      </c>
      <c r="N491" s="52" t="n">
        <v>0</v>
      </c>
      <c r="O491" s="53" t="n">
        <v>0</v>
      </c>
      <c r="P491" s="52" t="n">
        <v>0</v>
      </c>
      <c r="Q491" s="53" t="n">
        <v>0</v>
      </c>
      <c r="R491" s="52" t="n">
        <v>0</v>
      </c>
      <c r="S491" s="51" t="n">
        <v>0</v>
      </c>
      <c r="T491" s="48" t="n">
        <v>0</v>
      </c>
      <c r="U491" s="49" t="n">
        <v>0</v>
      </c>
      <c r="V491" s="49" t="n">
        <v>0</v>
      </c>
      <c r="W491" s="50" t="n">
        <v>0</v>
      </c>
      <c r="X491" s="51" t="n">
        <v>0</v>
      </c>
      <c r="Y491" s="52" t="n">
        <v>0</v>
      </c>
      <c r="Z491" s="52" t="n">
        <v>0</v>
      </c>
      <c r="AA491" s="52" t="n">
        <v>0</v>
      </c>
      <c r="AB491" s="53" t="n">
        <v>0</v>
      </c>
      <c r="AC491" s="52" t="n">
        <v>0</v>
      </c>
      <c r="AD491" s="53" t="n">
        <v>0</v>
      </c>
      <c r="AE491" s="52" t="n">
        <v>0</v>
      </c>
      <c r="AF491" s="51" t="n">
        <v>0</v>
      </c>
      <c r="AG491" s="48" t="n">
        <v>0</v>
      </c>
      <c r="AH491" s="49" t="n">
        <v>0</v>
      </c>
      <c r="AI491" s="49" t="n">
        <v>0</v>
      </c>
      <c r="AJ491" s="50" t="n">
        <v>0</v>
      </c>
      <c r="AK491" s="51" t="n">
        <v>0</v>
      </c>
      <c r="AL491" s="52" t="n">
        <v>0</v>
      </c>
      <c r="AM491" s="52" t="n">
        <v>0</v>
      </c>
      <c r="AN491" s="52" t="n">
        <v>0</v>
      </c>
      <c r="AO491" s="53" t="n">
        <v>0</v>
      </c>
      <c r="AP491" s="52" t="n">
        <v>0</v>
      </c>
      <c r="AQ491" s="53" t="n">
        <v>0</v>
      </c>
      <c r="AR491" s="52" t="n">
        <v>0</v>
      </c>
      <c r="AS491" s="51" t="n">
        <v>0</v>
      </c>
      <c r="AT491" s="48" t="n">
        <v>0</v>
      </c>
      <c r="AU491" s="49" t="n">
        <v>0</v>
      </c>
      <c r="AV491" s="49" t="n">
        <v>0</v>
      </c>
      <c r="AW491" s="50" t="n">
        <v>0</v>
      </c>
      <c r="AX491" s="51" t="n">
        <v>0</v>
      </c>
      <c r="AY491" s="52" t="n">
        <v>0</v>
      </c>
      <c r="AZ491" s="52" t="n">
        <v>0</v>
      </c>
      <c r="BA491" s="52" t="n">
        <v>0</v>
      </c>
      <c r="BB491" s="53" t="n">
        <v>0</v>
      </c>
      <c r="BC491" s="52" t="n">
        <v>0</v>
      </c>
      <c r="BD491" s="53" t="n">
        <v>0</v>
      </c>
      <c r="BE491" s="52" t="n">
        <v>0</v>
      </c>
      <c r="BF491" s="51" t="n">
        <v>0</v>
      </c>
    </row>
    <row r="492">
      <c r="A492">
        <f>HYPERLINK("https://www.walmart.com/ip/389899458", "389899458")</f>
        <v/>
      </c>
      <c r="B492" t="inlineStr">
        <is>
          <t>Catalonia Fleece Wearable Blanket Poncho for Adult Women Men, Wrap Blanket Cape with Pocket | Warm, Soft, Cozy, Snuggly, Comfort Gift, No Sleeves | All-Season, Gift Idea</t>
        </is>
      </c>
      <c r="C492" t="inlineStr">
        <is>
          <t>1CTBP200PK</t>
        </is>
      </c>
      <c r="D492" t="inlineStr">
        <is>
          <t>Throws</t>
        </is>
      </c>
      <c r="E492" t="inlineStr">
        <is>
          <t>Catalonia</t>
        </is>
      </c>
      <c r="F492" t="inlineStr">
        <is>
          <t>Q2-Target,Hero 5 Holidays,WFS,WFS Item</t>
        </is>
      </c>
      <c r="G492" s="48" t="n">
        <v>0</v>
      </c>
      <c r="H492" s="49" t="n">
        <v>0</v>
      </c>
      <c r="I492" s="49" t="n">
        <v>0</v>
      </c>
      <c r="J492" s="50" t="n">
        <v>0</v>
      </c>
      <c r="K492" s="51" t="n">
        <v>0</v>
      </c>
      <c r="L492" s="52" t="n">
        <v>0</v>
      </c>
      <c r="M492" s="52" t="n">
        <v>0</v>
      </c>
      <c r="N492" s="52" t="n">
        <v>0</v>
      </c>
      <c r="O492" s="53" t="n">
        <v>0</v>
      </c>
      <c r="P492" s="52" t="n">
        <v>0</v>
      </c>
      <c r="Q492" s="53" t="n">
        <v>0</v>
      </c>
      <c r="R492" s="52" t="n">
        <v>0</v>
      </c>
      <c r="S492" s="51" t="n">
        <v>0</v>
      </c>
      <c r="T492" s="48" t="n">
        <v>0</v>
      </c>
      <c r="U492" s="49" t="n">
        <v>0</v>
      </c>
      <c r="V492" s="49" t="n">
        <v>0</v>
      </c>
      <c r="W492" s="50" t="n">
        <v>0</v>
      </c>
      <c r="X492" s="51" t="n">
        <v>0</v>
      </c>
      <c r="Y492" s="52" t="n">
        <v>0</v>
      </c>
      <c r="Z492" s="52" t="n">
        <v>0</v>
      </c>
      <c r="AA492" s="52" t="n">
        <v>0</v>
      </c>
      <c r="AB492" s="53" t="n">
        <v>0</v>
      </c>
      <c r="AC492" s="52" t="n">
        <v>0</v>
      </c>
      <c r="AD492" s="53" t="n">
        <v>0</v>
      </c>
      <c r="AE492" s="52" t="n">
        <v>0</v>
      </c>
      <c r="AF492" s="51" t="n">
        <v>0</v>
      </c>
      <c r="AG492" s="48" t="n">
        <v>0</v>
      </c>
      <c r="AH492" s="49" t="n">
        <v>0</v>
      </c>
      <c r="AI492" s="49" t="n">
        <v>0</v>
      </c>
      <c r="AJ492" s="50" t="n">
        <v>0</v>
      </c>
      <c r="AK492" s="51" t="n">
        <v>0</v>
      </c>
      <c r="AL492" s="52" t="n">
        <v>0</v>
      </c>
      <c r="AM492" s="52" t="n">
        <v>0</v>
      </c>
      <c r="AN492" s="52" t="n">
        <v>0</v>
      </c>
      <c r="AO492" s="53" t="n">
        <v>0</v>
      </c>
      <c r="AP492" s="52" t="n">
        <v>0</v>
      </c>
      <c r="AQ492" s="53" t="n">
        <v>0</v>
      </c>
      <c r="AR492" s="52" t="n">
        <v>0</v>
      </c>
      <c r="AS492" s="51" t="n">
        <v>0</v>
      </c>
      <c r="AT492" s="48" t="n">
        <v>0</v>
      </c>
      <c r="AU492" s="49" t="n">
        <v>0</v>
      </c>
      <c r="AV492" s="49" t="n">
        <v>0</v>
      </c>
      <c r="AW492" s="50" t="n">
        <v>0</v>
      </c>
      <c r="AX492" s="51" t="n">
        <v>0</v>
      </c>
      <c r="AY492" s="52" t="n">
        <v>0</v>
      </c>
      <c r="AZ492" s="52" t="n">
        <v>0</v>
      </c>
      <c r="BA492" s="52" t="n">
        <v>0</v>
      </c>
      <c r="BB492" s="53" t="n">
        <v>0</v>
      </c>
      <c r="BC492" s="52" t="n">
        <v>0</v>
      </c>
      <c r="BD492" s="53" t="n">
        <v>0</v>
      </c>
      <c r="BE492" s="52" t="n">
        <v>0</v>
      </c>
      <c r="BF492" s="51" t="n">
        <v>0</v>
      </c>
    </row>
    <row r="493">
      <c r="A493">
        <f>HYPERLINK("https://www.walmart.com/ip/390468618", "390468618")</f>
        <v/>
      </c>
      <c r="B493" t="inlineStr">
        <is>
          <t>KC Caps® Sports Unisex plain Golf Flex Sandwich Baseball Cap Fitted Cotton</t>
        </is>
      </c>
      <c r="C493" t="inlineStr">
        <is>
          <t>KC Caps 8313 putty</t>
        </is>
      </c>
      <c r="D493" t="inlineStr">
        <is>
          <t>Golf Hats</t>
        </is>
      </c>
      <c r="E493" t="inlineStr">
        <is>
          <t>KC Caps</t>
        </is>
      </c>
      <c r="F493" t="inlineStr">
        <is>
          <t>Optimized</t>
        </is>
      </c>
      <c r="G493" s="48" t="n">
        <v>0</v>
      </c>
      <c r="H493" s="49" t="n">
        <v>0</v>
      </c>
      <c r="I493" s="49" t="n">
        <v>0</v>
      </c>
      <c r="J493" s="50" t="n">
        <v>0</v>
      </c>
      <c r="K493" s="51" t="n">
        <v>0</v>
      </c>
      <c r="L493" s="52" t="n">
        <v>0</v>
      </c>
      <c r="M493" s="52" t="n">
        <v>0</v>
      </c>
      <c r="N493" s="52" t="n">
        <v>0</v>
      </c>
      <c r="O493" s="53" t="n">
        <v>0</v>
      </c>
      <c r="P493" s="52" t="n">
        <v>0</v>
      </c>
      <c r="Q493" s="53" t="n">
        <v>0</v>
      </c>
      <c r="R493" s="52" t="n">
        <v>0</v>
      </c>
      <c r="S493" s="51" t="n">
        <v>0</v>
      </c>
      <c r="T493" s="48" t="n">
        <v>0</v>
      </c>
      <c r="U493" s="49" t="n">
        <v>0</v>
      </c>
      <c r="V493" s="49" t="n">
        <v>0</v>
      </c>
      <c r="W493" s="50" t="n">
        <v>0</v>
      </c>
      <c r="X493" s="51" t="n">
        <v>0</v>
      </c>
      <c r="Y493" s="52" t="n">
        <v>0</v>
      </c>
      <c r="Z493" s="52" t="n">
        <v>0</v>
      </c>
      <c r="AA493" s="52" t="n">
        <v>0</v>
      </c>
      <c r="AB493" s="53" t="n">
        <v>0</v>
      </c>
      <c r="AC493" s="52" t="n">
        <v>0</v>
      </c>
      <c r="AD493" s="53" t="n">
        <v>0</v>
      </c>
      <c r="AE493" s="52" t="n">
        <v>0</v>
      </c>
      <c r="AF493" s="51" t="n">
        <v>0</v>
      </c>
      <c r="AG493" s="48" t="n">
        <v>0</v>
      </c>
      <c r="AH493" s="49" t="n">
        <v>0</v>
      </c>
      <c r="AI493" s="49" t="n">
        <v>0</v>
      </c>
      <c r="AJ493" s="50" t="n">
        <v>0</v>
      </c>
      <c r="AK493" s="51" t="n">
        <v>0</v>
      </c>
      <c r="AL493" s="52" t="n">
        <v>0</v>
      </c>
      <c r="AM493" s="52" t="n">
        <v>0</v>
      </c>
      <c r="AN493" s="52" t="n">
        <v>0</v>
      </c>
      <c r="AO493" s="53" t="n">
        <v>0</v>
      </c>
      <c r="AP493" s="52" t="n">
        <v>0</v>
      </c>
      <c r="AQ493" s="53" t="n">
        <v>0</v>
      </c>
      <c r="AR493" s="52" t="n">
        <v>0</v>
      </c>
      <c r="AS493" s="51" t="n">
        <v>0</v>
      </c>
      <c r="AT493" s="48" t="n">
        <v>0</v>
      </c>
      <c r="AU493" s="49" t="n">
        <v>0</v>
      </c>
      <c r="AV493" s="49" t="n">
        <v>0</v>
      </c>
      <c r="AW493" s="50" t="n">
        <v>0</v>
      </c>
      <c r="AX493" s="51" t="n">
        <v>0</v>
      </c>
      <c r="AY493" s="52" t="n">
        <v>0</v>
      </c>
      <c r="AZ493" s="52" t="n">
        <v>0</v>
      </c>
      <c r="BA493" s="52" t="n">
        <v>0</v>
      </c>
      <c r="BB493" s="53" t="n">
        <v>0</v>
      </c>
      <c r="BC493" s="52" t="n">
        <v>0</v>
      </c>
      <c r="BD493" s="53" t="n">
        <v>0</v>
      </c>
      <c r="BE493" s="52" t="n">
        <v>0</v>
      </c>
      <c r="BF493" s="51" t="n">
        <v>0</v>
      </c>
    </row>
    <row r="494">
      <c r="A494">
        <f>HYPERLINK("https://www.walmart.com/ip/390487835", "390487835")</f>
        <v/>
      </c>
      <c r="B494" t="inlineStr">
        <is>
          <t>Catalonia Queen Size Quilt Set, Lightweight Bedspread for Summer and Spring, 3 Pieces Bedding Coverlet, 1 Quilt and 2 Pillow Shams, Latte Froest Pattern, 90’’ x 96’’</t>
        </is>
      </c>
      <c r="C494" t="inlineStr">
        <is>
          <t>1CTBQ202QF-LTWT</t>
        </is>
      </c>
      <c r="D494" t="inlineStr">
        <is>
          <t>Bedding Sets</t>
        </is>
      </c>
      <c r="E494" t="inlineStr">
        <is>
          <t>Catalonia</t>
        </is>
      </c>
      <c r="F494" t="inlineStr">
        <is>
          <t>Optimized</t>
        </is>
      </c>
      <c r="G494" s="48" t="n">
        <v>0</v>
      </c>
      <c r="H494" s="49" t="n">
        <v>0</v>
      </c>
      <c r="I494" s="49" t="n">
        <v>3</v>
      </c>
      <c r="J494" s="50" t="n">
        <v>0</v>
      </c>
      <c r="K494" s="51" t="n">
        <v>0</v>
      </c>
      <c r="L494" s="52" t="n">
        <v>0</v>
      </c>
      <c r="M494" s="52" t="n">
        <v>0</v>
      </c>
      <c r="N494" s="52" t="n">
        <v>0</v>
      </c>
      <c r="O494" s="53" t="n">
        <v>0</v>
      </c>
      <c r="P494" s="52" t="n">
        <v>0</v>
      </c>
      <c r="Q494" s="53" t="n">
        <v>0</v>
      </c>
      <c r="R494" s="52" t="n">
        <v>0</v>
      </c>
      <c r="S494" s="51" t="n">
        <v>0</v>
      </c>
      <c r="T494" s="48" t="n">
        <v>0</v>
      </c>
      <c r="U494" s="49" t="n">
        <v>0</v>
      </c>
      <c r="V494" s="49" t="n">
        <v>3</v>
      </c>
      <c r="W494" s="50" t="n">
        <v>0</v>
      </c>
      <c r="X494" s="51" t="n">
        <v>0</v>
      </c>
      <c r="Y494" s="52" t="n">
        <v>0</v>
      </c>
      <c r="Z494" s="52" t="n">
        <v>0</v>
      </c>
      <c r="AA494" s="52" t="n">
        <v>0</v>
      </c>
      <c r="AB494" s="53" t="n">
        <v>0</v>
      </c>
      <c r="AC494" s="52" t="n">
        <v>0</v>
      </c>
      <c r="AD494" s="53" t="n">
        <v>0</v>
      </c>
      <c r="AE494" s="52" t="n">
        <v>0</v>
      </c>
      <c r="AF494" s="51" t="n">
        <v>0</v>
      </c>
      <c r="AG494" s="48" t="n">
        <v>22.99</v>
      </c>
      <c r="AH494" s="49" t="n">
        <v>1</v>
      </c>
      <c r="AI494" s="49" t="n">
        <v>0</v>
      </c>
      <c r="AJ494" s="50" t="n">
        <v>0</v>
      </c>
      <c r="AK494" s="51" t="n">
        <v>0</v>
      </c>
      <c r="AL494" s="52" t="n">
        <v>0</v>
      </c>
      <c r="AM494" s="52" t="n">
        <v>0</v>
      </c>
      <c r="AN494" s="52" t="n">
        <v>0</v>
      </c>
      <c r="AO494" s="53" t="n">
        <v>0</v>
      </c>
      <c r="AP494" s="52" t="n">
        <v>0</v>
      </c>
      <c r="AQ494" s="53" t="n">
        <v>0</v>
      </c>
      <c r="AR494" s="52" t="n">
        <v>22.99</v>
      </c>
      <c r="AS494" s="51" t="n">
        <v>0</v>
      </c>
      <c r="AT494" s="48" t="n">
        <v>0</v>
      </c>
      <c r="AU494" s="49" t="n">
        <v>0</v>
      </c>
      <c r="AV494" s="49" t="n">
        <v>1</v>
      </c>
      <c r="AW494" s="50" t="n">
        <v>0</v>
      </c>
      <c r="AX494" s="51" t="n">
        <v>0</v>
      </c>
      <c r="AY494" s="52" t="n">
        <v>0</v>
      </c>
      <c r="AZ494" s="52" t="n">
        <v>0</v>
      </c>
      <c r="BA494" s="52" t="n">
        <v>0</v>
      </c>
      <c r="BB494" s="53" t="n">
        <v>0</v>
      </c>
      <c r="BC494" s="52" t="n">
        <v>0</v>
      </c>
      <c r="BD494" s="53" t="n">
        <v>0</v>
      </c>
      <c r="BE494" s="52" t="n">
        <v>0</v>
      </c>
      <c r="BF494" s="51" t="n">
        <v>0</v>
      </c>
    </row>
    <row r="495">
      <c r="A495">
        <f>HYPERLINK("https://www.walmart.com/ip/381059827", "381059827")</f>
        <v/>
      </c>
      <c r="B495" t="inlineStr">
        <is>
          <t>Flyingstar Insulated Lunch Bag, Reusable Tote Bag for Women &amp; Men &amp; Kids, Fashionable Large Cooler Lunch Bag for Working/School/Picnic</t>
        </is>
      </c>
      <c r="C495" t="inlineStr">
        <is>
          <t>1WMLB703BRFL</t>
        </is>
      </c>
      <c r="D495" t="inlineStr">
        <is>
          <t>Reusable Lunch Bags &amp; Boxes</t>
        </is>
      </c>
      <c r="E495" t="inlineStr">
        <is>
          <t>Flyingstar</t>
        </is>
      </c>
      <c r="F495" t="inlineStr">
        <is>
          <t>Lunch Bag,Optimized,Lunch Bags</t>
        </is>
      </c>
      <c r="G495" s="48" t="n">
        <v>0</v>
      </c>
      <c r="H495" s="49" t="n">
        <v>0</v>
      </c>
      <c r="I495" s="49" t="n">
        <v>0</v>
      </c>
      <c r="J495" s="50" t="n">
        <v>0</v>
      </c>
      <c r="K495" s="51" t="n">
        <v>0</v>
      </c>
      <c r="L495" s="52" t="n">
        <v>0</v>
      </c>
      <c r="M495" s="52" t="n">
        <v>0</v>
      </c>
      <c r="N495" s="52" t="n">
        <v>0</v>
      </c>
      <c r="O495" s="53" t="n">
        <v>0</v>
      </c>
      <c r="P495" s="52" t="n">
        <v>0</v>
      </c>
      <c r="Q495" s="53" t="n">
        <v>0</v>
      </c>
      <c r="R495" s="52" t="n">
        <v>0</v>
      </c>
      <c r="S495" s="51" t="n">
        <v>0</v>
      </c>
      <c r="T495" s="48" t="n">
        <v>0</v>
      </c>
      <c r="U495" s="49" t="n">
        <v>0</v>
      </c>
      <c r="V495" s="49" t="n">
        <v>0</v>
      </c>
      <c r="W495" s="50" t="n">
        <v>0</v>
      </c>
      <c r="X495" s="51" t="n">
        <v>0</v>
      </c>
      <c r="Y495" s="52" t="n">
        <v>0</v>
      </c>
      <c r="Z495" s="52" t="n">
        <v>0</v>
      </c>
      <c r="AA495" s="52" t="n">
        <v>0</v>
      </c>
      <c r="AB495" s="53" t="n">
        <v>0</v>
      </c>
      <c r="AC495" s="52" t="n">
        <v>0</v>
      </c>
      <c r="AD495" s="53" t="n">
        <v>0</v>
      </c>
      <c r="AE495" s="52" t="n">
        <v>0</v>
      </c>
      <c r="AF495" s="51" t="n">
        <v>0</v>
      </c>
      <c r="AG495" s="48" t="n">
        <v>0</v>
      </c>
      <c r="AH495" s="49" t="n">
        <v>0</v>
      </c>
      <c r="AI495" s="49" t="n">
        <v>0</v>
      </c>
      <c r="AJ495" s="50" t="n">
        <v>0</v>
      </c>
      <c r="AK495" s="51" t="n">
        <v>0</v>
      </c>
      <c r="AL495" s="52" t="n">
        <v>0</v>
      </c>
      <c r="AM495" s="52" t="n">
        <v>0</v>
      </c>
      <c r="AN495" s="52" t="n">
        <v>0</v>
      </c>
      <c r="AO495" s="53" t="n">
        <v>0</v>
      </c>
      <c r="AP495" s="52" t="n">
        <v>0</v>
      </c>
      <c r="AQ495" s="53" t="n">
        <v>0</v>
      </c>
      <c r="AR495" s="52" t="n">
        <v>0</v>
      </c>
      <c r="AS495" s="51" t="n">
        <v>0</v>
      </c>
      <c r="AT495" s="48" t="n">
        <v>0</v>
      </c>
      <c r="AU495" s="49" t="n">
        <v>0</v>
      </c>
      <c r="AV495" s="49" t="n">
        <v>0</v>
      </c>
      <c r="AW495" s="50" t="n">
        <v>0</v>
      </c>
      <c r="AX495" s="51" t="n">
        <v>0</v>
      </c>
      <c r="AY495" s="52" t="n">
        <v>0</v>
      </c>
      <c r="AZ495" s="52" t="n">
        <v>0</v>
      </c>
      <c r="BA495" s="52" t="n">
        <v>0</v>
      </c>
      <c r="BB495" s="53" t="n">
        <v>0</v>
      </c>
      <c r="BC495" s="52" t="n">
        <v>0</v>
      </c>
      <c r="BD495" s="53" t="n">
        <v>0</v>
      </c>
      <c r="BE495" s="52" t="n">
        <v>0</v>
      </c>
      <c r="BF495" s="51" t="n">
        <v>0</v>
      </c>
    </row>
    <row r="496">
      <c r="A496">
        <f>HYPERLINK("https://www.walmart.com/ip/380829482", "380829482")</f>
        <v/>
      </c>
      <c r="B496" t="inlineStr">
        <is>
          <t>7 Piece Wine Opener set, Wine Enthusiast Accessory Gift Set Includes: Rabbit Corkscrew, Foil Cutter, Aerator Pourer</t>
        </is>
      </c>
      <c r="C496" t="inlineStr">
        <is>
          <t>1KTWO700BK2</t>
        </is>
      </c>
      <c r="D496" t="inlineStr">
        <is>
          <t>Corkscrews &amp; Wine Bottle Openers</t>
        </is>
      </c>
      <c r="E496" t="inlineStr">
        <is>
          <t>Kato</t>
        </is>
      </c>
      <c r="F496" t="inlineStr">
        <is>
          <t>Wine,Christmas,Optimized,Valentine</t>
        </is>
      </c>
      <c r="G496" s="48" t="n">
        <v>0</v>
      </c>
      <c r="H496" s="49" t="n">
        <v>0</v>
      </c>
      <c r="I496" s="49" t="n">
        <v>0</v>
      </c>
      <c r="J496" s="50" t="n">
        <v>0</v>
      </c>
      <c r="K496" s="51" t="n">
        <v>0</v>
      </c>
      <c r="L496" s="52" t="n">
        <v>0</v>
      </c>
      <c r="M496" s="52" t="n">
        <v>0</v>
      </c>
      <c r="N496" s="52" t="n">
        <v>0</v>
      </c>
      <c r="O496" s="53" t="n">
        <v>0</v>
      </c>
      <c r="P496" s="52" t="n">
        <v>0</v>
      </c>
      <c r="Q496" s="53" t="n">
        <v>0</v>
      </c>
      <c r="R496" s="52" t="n">
        <v>0</v>
      </c>
      <c r="S496" s="51" t="n">
        <v>0</v>
      </c>
      <c r="T496" s="48" t="n">
        <v>0</v>
      </c>
      <c r="U496" s="49" t="n">
        <v>0</v>
      </c>
      <c r="V496" s="49" t="n">
        <v>0</v>
      </c>
      <c r="W496" s="50" t="n">
        <v>0</v>
      </c>
      <c r="X496" s="51" t="n">
        <v>0</v>
      </c>
      <c r="Y496" s="52" t="n">
        <v>0</v>
      </c>
      <c r="Z496" s="52" t="n">
        <v>0</v>
      </c>
      <c r="AA496" s="52" t="n">
        <v>0</v>
      </c>
      <c r="AB496" s="53" t="n">
        <v>0</v>
      </c>
      <c r="AC496" s="52" t="n">
        <v>0</v>
      </c>
      <c r="AD496" s="53" t="n">
        <v>0</v>
      </c>
      <c r="AE496" s="52" t="n">
        <v>0</v>
      </c>
      <c r="AF496" s="51" t="n">
        <v>0</v>
      </c>
      <c r="AG496" s="48" t="n">
        <v>0</v>
      </c>
      <c r="AH496" s="49" t="n">
        <v>0</v>
      </c>
      <c r="AI496" s="49" t="n">
        <v>0</v>
      </c>
      <c r="AJ496" s="50" t="n">
        <v>0</v>
      </c>
      <c r="AK496" s="51" t="n">
        <v>0</v>
      </c>
      <c r="AL496" s="52" t="n">
        <v>0</v>
      </c>
      <c r="AM496" s="52" t="n">
        <v>0</v>
      </c>
      <c r="AN496" s="52" t="n">
        <v>0</v>
      </c>
      <c r="AO496" s="53" t="n">
        <v>0</v>
      </c>
      <c r="AP496" s="52" t="n">
        <v>0</v>
      </c>
      <c r="AQ496" s="53" t="n">
        <v>0</v>
      </c>
      <c r="AR496" s="52" t="n">
        <v>0</v>
      </c>
      <c r="AS496" s="51" t="n">
        <v>0</v>
      </c>
      <c r="AT496" s="48" t="n">
        <v>0</v>
      </c>
      <c r="AU496" s="49" t="n">
        <v>0</v>
      </c>
      <c r="AV496" s="49" t="n">
        <v>0</v>
      </c>
      <c r="AW496" s="50" t="n">
        <v>0</v>
      </c>
      <c r="AX496" s="51" t="n">
        <v>0</v>
      </c>
      <c r="AY496" s="52" t="n">
        <v>0</v>
      </c>
      <c r="AZ496" s="52" t="n">
        <v>0</v>
      </c>
      <c r="BA496" s="52" t="n">
        <v>0</v>
      </c>
      <c r="BB496" s="53" t="n">
        <v>0</v>
      </c>
      <c r="BC496" s="52" t="n">
        <v>0</v>
      </c>
      <c r="BD496" s="53" t="n">
        <v>0</v>
      </c>
      <c r="BE496" s="52" t="n">
        <v>0</v>
      </c>
      <c r="BF496" s="51" t="n">
        <v>0</v>
      </c>
    </row>
    <row r="497">
      <c r="A497">
        <f>HYPERLINK("https://www.walmart.com/ip/380108659", "380108659")</f>
        <v/>
      </c>
      <c r="B497" t="inlineStr">
        <is>
          <t>Sherpa Blanket, Throw Blanket, Sherpa Blanket Super Soft Warm Fuzzy Snowflake Blanket Reversible for Family 60"x50" by Catalonia</t>
        </is>
      </c>
      <c r="C497" t="inlineStr">
        <is>
          <t>1CTBF390RD</t>
        </is>
      </c>
      <c r="D497" t="inlineStr">
        <is>
          <t>Throws</t>
        </is>
      </c>
      <c r="E497" t="inlineStr">
        <is>
          <t>Catalonia</t>
        </is>
      </c>
      <c r="F497" t="inlineStr">
        <is>
          <t>Batch 1 - TR</t>
        </is>
      </c>
      <c r="G497" s="48" t="n">
        <v>0</v>
      </c>
      <c r="H497" s="49" t="n">
        <v>0</v>
      </c>
      <c r="I497" s="49" t="n">
        <v>0</v>
      </c>
      <c r="J497" s="50" t="n">
        <v>0</v>
      </c>
      <c r="K497" s="51" t="n">
        <v>0</v>
      </c>
      <c r="L497" s="52" t="n">
        <v>0</v>
      </c>
      <c r="M497" s="52" t="n">
        <v>0</v>
      </c>
      <c r="N497" s="52" t="n">
        <v>0</v>
      </c>
      <c r="O497" s="53" t="n">
        <v>0</v>
      </c>
      <c r="P497" s="52" t="n">
        <v>0</v>
      </c>
      <c r="Q497" s="53" t="n">
        <v>0</v>
      </c>
      <c r="R497" s="52" t="n">
        <v>0</v>
      </c>
      <c r="S497" s="51" t="n">
        <v>0</v>
      </c>
      <c r="T497" s="48" t="n">
        <v>0</v>
      </c>
      <c r="U497" s="49" t="n">
        <v>0</v>
      </c>
      <c r="V497" s="49" t="n">
        <v>0</v>
      </c>
      <c r="W497" s="50" t="n">
        <v>0</v>
      </c>
      <c r="X497" s="51" t="n">
        <v>0</v>
      </c>
      <c r="Y497" s="52" t="n">
        <v>0</v>
      </c>
      <c r="Z497" s="52" t="n">
        <v>0</v>
      </c>
      <c r="AA497" s="52" t="n">
        <v>0</v>
      </c>
      <c r="AB497" s="53" t="n">
        <v>0</v>
      </c>
      <c r="AC497" s="52" t="n">
        <v>0</v>
      </c>
      <c r="AD497" s="53" t="n">
        <v>0</v>
      </c>
      <c r="AE497" s="52" t="n">
        <v>0</v>
      </c>
      <c r="AF497" s="51" t="n">
        <v>0</v>
      </c>
      <c r="AG497" s="48" t="n">
        <v>0</v>
      </c>
      <c r="AH497" s="49" t="n">
        <v>0</v>
      </c>
      <c r="AI497" s="49" t="n">
        <v>0</v>
      </c>
      <c r="AJ497" s="50" t="n">
        <v>0</v>
      </c>
      <c r="AK497" s="51" t="n">
        <v>0</v>
      </c>
      <c r="AL497" s="52" t="n">
        <v>0</v>
      </c>
      <c r="AM497" s="52" t="n">
        <v>0</v>
      </c>
      <c r="AN497" s="52" t="n">
        <v>0</v>
      </c>
      <c r="AO497" s="53" t="n">
        <v>0</v>
      </c>
      <c r="AP497" s="52" t="n">
        <v>0</v>
      </c>
      <c r="AQ497" s="53" t="n">
        <v>0</v>
      </c>
      <c r="AR497" s="52" t="n">
        <v>0</v>
      </c>
      <c r="AS497" s="51" t="n">
        <v>0</v>
      </c>
      <c r="AT497" s="48" t="n">
        <v>0</v>
      </c>
      <c r="AU497" s="49" t="n">
        <v>0</v>
      </c>
      <c r="AV497" s="49" t="n">
        <v>0</v>
      </c>
      <c r="AW497" s="50" t="n">
        <v>0</v>
      </c>
      <c r="AX497" s="51" t="n">
        <v>0</v>
      </c>
      <c r="AY497" s="52" t="n">
        <v>0</v>
      </c>
      <c r="AZ497" s="52" t="n">
        <v>0</v>
      </c>
      <c r="BA497" s="52" t="n">
        <v>0</v>
      </c>
      <c r="BB497" s="53" t="n">
        <v>0</v>
      </c>
      <c r="BC497" s="52" t="n">
        <v>0</v>
      </c>
      <c r="BD497" s="53" t="n">
        <v>0</v>
      </c>
      <c r="BE497" s="52" t="n">
        <v>0</v>
      </c>
      <c r="BF497" s="51" t="n">
        <v>0</v>
      </c>
    </row>
    <row r="498">
      <c r="A498">
        <f>HYPERLINK("https://www.walmart.com/ip/3783505054", "3783505054")</f>
        <v/>
      </c>
      <c r="B498" t="inlineStr">
        <is>
          <t>Tirrinia Corduroy Backpack Classic Travel Rucksack for Both Men and Women</t>
        </is>
      </c>
      <c r="C498" t="inlineStr">
        <is>
          <t>1TRBPK001OR</t>
        </is>
      </c>
      <c r="D498" t="inlineStr">
        <is>
          <t>Backpacks</t>
        </is>
      </c>
      <c r="E498" t="inlineStr">
        <is>
          <t>Tirrinia</t>
        </is>
      </c>
      <c r="G498" s="48" t="n">
        <v>0</v>
      </c>
      <c r="H498" s="49" t="n">
        <v>0</v>
      </c>
      <c r="I498" s="49" t="n">
        <v>0</v>
      </c>
      <c r="J498" s="50" t="n">
        <v>0</v>
      </c>
      <c r="K498" s="51" t="n">
        <v>0</v>
      </c>
      <c r="L498" s="52" t="n">
        <v>0</v>
      </c>
      <c r="M498" s="52" t="n">
        <v>0</v>
      </c>
      <c r="N498" s="52" t="n">
        <v>0</v>
      </c>
      <c r="O498" s="53" t="n">
        <v>0</v>
      </c>
      <c r="P498" s="52" t="n">
        <v>0</v>
      </c>
      <c r="Q498" s="53" t="n">
        <v>0</v>
      </c>
      <c r="R498" s="52" t="n">
        <v>0</v>
      </c>
      <c r="S498" s="51" t="n">
        <v>0</v>
      </c>
      <c r="T498" s="48" t="n">
        <v>0</v>
      </c>
      <c r="U498" s="49" t="n">
        <v>0</v>
      </c>
      <c r="V498" s="49" t="n">
        <v>0</v>
      </c>
      <c r="W498" s="50" t="n">
        <v>0</v>
      </c>
      <c r="X498" s="51" t="n">
        <v>0</v>
      </c>
      <c r="Y498" s="52" t="n">
        <v>0</v>
      </c>
      <c r="Z498" s="52" t="n">
        <v>0</v>
      </c>
      <c r="AA498" s="52" t="n">
        <v>0</v>
      </c>
      <c r="AB498" s="53" t="n">
        <v>0</v>
      </c>
      <c r="AC498" s="52" t="n">
        <v>0</v>
      </c>
      <c r="AD498" s="53" t="n">
        <v>0</v>
      </c>
      <c r="AE498" s="52" t="n">
        <v>0</v>
      </c>
      <c r="AF498" s="51" t="n">
        <v>0</v>
      </c>
      <c r="AG498" s="48" t="n">
        <v>0</v>
      </c>
      <c r="AH498" s="49" t="n">
        <v>0</v>
      </c>
      <c r="AI498" s="49" t="n">
        <v>0</v>
      </c>
      <c r="AJ498" s="50" t="n">
        <v>0</v>
      </c>
      <c r="AK498" s="51" t="n">
        <v>0</v>
      </c>
      <c r="AL498" s="52" t="n">
        <v>0</v>
      </c>
      <c r="AM498" s="52" t="n">
        <v>0</v>
      </c>
      <c r="AN498" s="52" t="n">
        <v>0</v>
      </c>
      <c r="AO498" s="53" t="n">
        <v>0</v>
      </c>
      <c r="AP498" s="52" t="n">
        <v>0</v>
      </c>
      <c r="AQ498" s="53" t="n">
        <v>0</v>
      </c>
      <c r="AR498" s="52" t="n">
        <v>0</v>
      </c>
      <c r="AS498" s="51" t="n">
        <v>0</v>
      </c>
      <c r="AT498" s="48" t="n">
        <v>0</v>
      </c>
      <c r="AU498" s="49" t="n">
        <v>0</v>
      </c>
      <c r="AV498" s="49" t="n">
        <v>0</v>
      </c>
      <c r="AW498" s="50" t="n">
        <v>0</v>
      </c>
      <c r="AX498" s="51" t="n">
        <v>0</v>
      </c>
      <c r="AY498" s="52" t="n">
        <v>0</v>
      </c>
      <c r="AZ498" s="52" t="n">
        <v>0</v>
      </c>
      <c r="BA498" s="52" t="n">
        <v>0</v>
      </c>
      <c r="BB498" s="53" t="n">
        <v>0</v>
      </c>
      <c r="BC498" s="52" t="n">
        <v>0</v>
      </c>
      <c r="BD498" s="53" t="n">
        <v>0</v>
      </c>
      <c r="BE498" s="52" t="n">
        <v>0</v>
      </c>
      <c r="BF498" s="51" t="n">
        <v>0</v>
      </c>
    </row>
    <row r="499">
      <c r="A499">
        <f>HYPERLINK("https://www.walmart.com/ip/372688321", "372688321")</f>
        <v/>
      </c>
      <c r="B499" t="inlineStr">
        <is>
          <t>Microplush Sherpa Blanket with Sleeves for Women and Men</t>
        </is>
      </c>
      <c r="C499" t="inlineStr">
        <is>
          <t>1TRSN410BL</t>
        </is>
      </c>
      <c r="D499" t="inlineStr">
        <is>
          <t>Throws</t>
        </is>
      </c>
      <c r="E499" t="inlineStr">
        <is>
          <t>Tirrinia</t>
        </is>
      </c>
      <c r="F499" t="inlineStr">
        <is>
          <t>WFS,WFS Item</t>
        </is>
      </c>
      <c r="G499" s="48" t="n">
        <v>0</v>
      </c>
      <c r="H499" s="49" t="n">
        <v>0</v>
      </c>
      <c r="I499" s="49" t="n">
        <v>0</v>
      </c>
      <c r="J499" s="50" t="n">
        <v>0</v>
      </c>
      <c r="K499" s="51" t="n">
        <v>0</v>
      </c>
      <c r="L499" s="52" t="n">
        <v>0</v>
      </c>
      <c r="M499" s="52" t="n">
        <v>0</v>
      </c>
      <c r="N499" s="52" t="n">
        <v>0</v>
      </c>
      <c r="O499" s="53" t="n">
        <v>0</v>
      </c>
      <c r="P499" s="52" t="n">
        <v>0</v>
      </c>
      <c r="Q499" s="53" t="n">
        <v>0</v>
      </c>
      <c r="R499" s="52" t="n">
        <v>0</v>
      </c>
      <c r="S499" s="51" t="n">
        <v>0</v>
      </c>
      <c r="T499" s="48" t="n">
        <v>0</v>
      </c>
      <c r="U499" s="49" t="n">
        <v>0</v>
      </c>
      <c r="V499" s="49" t="n">
        <v>0</v>
      </c>
      <c r="W499" s="50" t="n">
        <v>0</v>
      </c>
      <c r="X499" s="51" t="n">
        <v>0</v>
      </c>
      <c r="Y499" s="52" t="n">
        <v>0</v>
      </c>
      <c r="Z499" s="52" t="n">
        <v>0</v>
      </c>
      <c r="AA499" s="52" t="n">
        <v>0</v>
      </c>
      <c r="AB499" s="53" t="n">
        <v>0</v>
      </c>
      <c r="AC499" s="52" t="n">
        <v>0</v>
      </c>
      <c r="AD499" s="53" t="n">
        <v>0</v>
      </c>
      <c r="AE499" s="52" t="n">
        <v>0</v>
      </c>
      <c r="AF499" s="51" t="n">
        <v>0</v>
      </c>
      <c r="AG499" s="48" t="n">
        <v>0</v>
      </c>
      <c r="AH499" s="49" t="n">
        <v>0</v>
      </c>
      <c r="AI499" s="49" t="n">
        <v>0</v>
      </c>
      <c r="AJ499" s="50" t="n">
        <v>0</v>
      </c>
      <c r="AK499" s="51" t="n">
        <v>0</v>
      </c>
      <c r="AL499" s="52" t="n">
        <v>0</v>
      </c>
      <c r="AM499" s="52" t="n">
        <v>0</v>
      </c>
      <c r="AN499" s="52" t="n">
        <v>0</v>
      </c>
      <c r="AO499" s="53" t="n">
        <v>0</v>
      </c>
      <c r="AP499" s="52" t="n">
        <v>0</v>
      </c>
      <c r="AQ499" s="53" t="n">
        <v>0</v>
      </c>
      <c r="AR499" s="52" t="n">
        <v>0</v>
      </c>
      <c r="AS499" s="51" t="n">
        <v>0</v>
      </c>
      <c r="AT499" s="48" t="n">
        <v>0</v>
      </c>
      <c r="AU499" s="49" t="n">
        <v>0</v>
      </c>
      <c r="AV499" s="49" t="n">
        <v>0</v>
      </c>
      <c r="AW499" s="50" t="n">
        <v>0</v>
      </c>
      <c r="AX499" s="51" t="n">
        <v>0</v>
      </c>
      <c r="AY499" s="52" t="n">
        <v>0</v>
      </c>
      <c r="AZ499" s="52" t="n">
        <v>0</v>
      </c>
      <c r="BA499" s="52" t="n">
        <v>0</v>
      </c>
      <c r="BB499" s="53" t="n">
        <v>0</v>
      </c>
      <c r="BC499" s="52" t="n">
        <v>0</v>
      </c>
      <c r="BD499" s="53" t="n">
        <v>0</v>
      </c>
      <c r="BE499" s="52" t="n">
        <v>0</v>
      </c>
      <c r="BF499" s="51" t="n">
        <v>0</v>
      </c>
    </row>
    <row r="500">
      <c r="A500">
        <f>HYPERLINK("https://www.walmart.com/ip/372816254", "372816254")</f>
        <v/>
      </c>
      <c r="B500" t="inlineStr">
        <is>
          <t>Catalonia Red Buffalo Plaid Sherpa Throw Blanket, Reversible Super Soft Warm Comfy Fuzzy Snuggle Micro Fleece Plush Throws for Bed Couch Sofa TV, 60x50 Inches</t>
        </is>
      </c>
      <c r="C500" t="inlineStr">
        <is>
          <t>1CTBF561PRD</t>
        </is>
      </c>
      <c r="D500" t="inlineStr">
        <is>
          <t>Throws</t>
        </is>
      </c>
      <c r="E500" t="inlineStr">
        <is>
          <t>Catalonia</t>
        </is>
      </c>
      <c r="F500" t="inlineStr">
        <is>
          <t>WFS,Coupon_Discount,WFS Item</t>
        </is>
      </c>
      <c r="G500" s="48" t="n">
        <v>0</v>
      </c>
      <c r="H500" s="49" t="n">
        <v>0</v>
      </c>
      <c r="I500" s="49" t="n">
        <v>0</v>
      </c>
      <c r="J500" s="50" t="n">
        <v>0</v>
      </c>
      <c r="K500" s="51" t="n">
        <v>0</v>
      </c>
      <c r="L500" s="52" t="n">
        <v>0</v>
      </c>
      <c r="M500" s="52" t="n">
        <v>0</v>
      </c>
      <c r="N500" s="52" t="n">
        <v>0</v>
      </c>
      <c r="O500" s="53" t="n">
        <v>0</v>
      </c>
      <c r="P500" s="52" t="n">
        <v>0</v>
      </c>
      <c r="Q500" s="53" t="n">
        <v>0</v>
      </c>
      <c r="R500" s="52" t="n">
        <v>0</v>
      </c>
      <c r="S500" s="51" t="n">
        <v>0</v>
      </c>
      <c r="T500" s="48" t="n">
        <v>0</v>
      </c>
      <c r="U500" s="49" t="n">
        <v>0</v>
      </c>
      <c r="V500" s="49" t="n">
        <v>0</v>
      </c>
      <c r="W500" s="50" t="n">
        <v>0</v>
      </c>
      <c r="X500" s="51" t="n">
        <v>0</v>
      </c>
      <c r="Y500" s="52" t="n">
        <v>0</v>
      </c>
      <c r="Z500" s="52" t="n">
        <v>0</v>
      </c>
      <c r="AA500" s="52" t="n">
        <v>0</v>
      </c>
      <c r="AB500" s="53" t="n">
        <v>0</v>
      </c>
      <c r="AC500" s="52" t="n">
        <v>0</v>
      </c>
      <c r="AD500" s="53" t="n">
        <v>0</v>
      </c>
      <c r="AE500" s="52" t="n">
        <v>0</v>
      </c>
      <c r="AF500" s="51" t="n">
        <v>0</v>
      </c>
      <c r="AG500" s="48" t="n">
        <v>0</v>
      </c>
      <c r="AH500" s="49" t="n">
        <v>0</v>
      </c>
      <c r="AI500" s="49" t="n">
        <v>0</v>
      </c>
      <c r="AJ500" s="50" t="n">
        <v>0</v>
      </c>
      <c r="AK500" s="51" t="n">
        <v>0</v>
      </c>
      <c r="AL500" s="52" t="n">
        <v>0</v>
      </c>
      <c r="AM500" s="52" t="n">
        <v>0</v>
      </c>
      <c r="AN500" s="52" t="n">
        <v>0</v>
      </c>
      <c r="AO500" s="53" t="n">
        <v>0</v>
      </c>
      <c r="AP500" s="52" t="n">
        <v>0</v>
      </c>
      <c r="AQ500" s="53" t="n">
        <v>0</v>
      </c>
      <c r="AR500" s="52" t="n">
        <v>0</v>
      </c>
      <c r="AS500" s="51" t="n">
        <v>0</v>
      </c>
      <c r="AT500" s="48" t="n">
        <v>0</v>
      </c>
      <c r="AU500" s="49" t="n">
        <v>0</v>
      </c>
      <c r="AV500" s="49" t="n">
        <v>0</v>
      </c>
      <c r="AW500" s="50" t="n">
        <v>0</v>
      </c>
      <c r="AX500" s="51" t="n">
        <v>0</v>
      </c>
      <c r="AY500" s="52" t="n">
        <v>0</v>
      </c>
      <c r="AZ500" s="52" t="n">
        <v>0</v>
      </c>
      <c r="BA500" s="52" t="n">
        <v>0</v>
      </c>
      <c r="BB500" s="53" t="n">
        <v>0</v>
      </c>
      <c r="BC500" s="52" t="n">
        <v>0</v>
      </c>
      <c r="BD500" s="53" t="n">
        <v>0</v>
      </c>
      <c r="BE500" s="52" t="n">
        <v>0</v>
      </c>
      <c r="BF500" s="51" t="n">
        <v>0</v>
      </c>
    </row>
    <row r="501">
      <c r="A501">
        <f>HYPERLINK("https://www.walmart.com/ip/3744744434", "3744744434")</f>
        <v/>
      </c>
      <c r="B501" t="inlineStr">
        <is>
          <t>Tirrinia 2 In 1 Outdoors UPF 50+ UV Protection Sun Hat for Womens, One Size Female Sports Baseball Cap Gardening Fishing Hat with Neck Flap, Tan</t>
        </is>
      </c>
      <c r="C501" t="inlineStr">
        <is>
          <t>1TRSH9153TN</t>
        </is>
      </c>
      <c r="D501" t="inlineStr">
        <is>
          <t>Hats</t>
        </is>
      </c>
      <c r="E501" t="inlineStr">
        <is>
          <t>Tirrinia</t>
        </is>
      </c>
      <c r="G501" s="48" t="n">
        <v>0</v>
      </c>
      <c r="H501" s="49" t="n">
        <v>0</v>
      </c>
      <c r="I501" s="49" t="n">
        <v>0</v>
      </c>
      <c r="J501" s="50" t="n">
        <v>0</v>
      </c>
      <c r="K501" s="51" t="n">
        <v>0</v>
      </c>
      <c r="L501" s="52" t="n">
        <v>0</v>
      </c>
      <c r="M501" s="52" t="n">
        <v>0</v>
      </c>
      <c r="N501" s="52" t="n">
        <v>0</v>
      </c>
      <c r="O501" s="53" t="n">
        <v>0</v>
      </c>
      <c r="P501" s="52" t="n">
        <v>0</v>
      </c>
      <c r="Q501" s="53" t="n">
        <v>0</v>
      </c>
      <c r="R501" s="52" t="n">
        <v>0</v>
      </c>
      <c r="S501" s="51" t="n">
        <v>0</v>
      </c>
      <c r="T501" s="48" t="n">
        <v>0</v>
      </c>
      <c r="U501" s="49" t="n">
        <v>0</v>
      </c>
      <c r="V501" s="49" t="n">
        <v>0</v>
      </c>
      <c r="W501" s="50" t="n">
        <v>0</v>
      </c>
      <c r="X501" s="51" t="n">
        <v>0</v>
      </c>
      <c r="Y501" s="52" t="n">
        <v>0</v>
      </c>
      <c r="Z501" s="52" t="n">
        <v>0</v>
      </c>
      <c r="AA501" s="52" t="n">
        <v>0</v>
      </c>
      <c r="AB501" s="53" t="n">
        <v>0</v>
      </c>
      <c r="AC501" s="52" t="n">
        <v>0</v>
      </c>
      <c r="AD501" s="53" t="n">
        <v>0</v>
      </c>
      <c r="AE501" s="52" t="n">
        <v>0</v>
      </c>
      <c r="AF501" s="51" t="n">
        <v>0</v>
      </c>
      <c r="AG501" s="48" t="n">
        <v>0</v>
      </c>
      <c r="AH501" s="49" t="n">
        <v>0</v>
      </c>
      <c r="AI501" s="49" t="n">
        <v>0</v>
      </c>
      <c r="AJ501" s="50" t="n">
        <v>0</v>
      </c>
      <c r="AK501" s="51" t="n">
        <v>0</v>
      </c>
      <c r="AL501" s="52" t="n">
        <v>0</v>
      </c>
      <c r="AM501" s="52" t="n">
        <v>0</v>
      </c>
      <c r="AN501" s="52" t="n">
        <v>0</v>
      </c>
      <c r="AO501" s="53" t="n">
        <v>0</v>
      </c>
      <c r="AP501" s="52" t="n">
        <v>0</v>
      </c>
      <c r="AQ501" s="53" t="n">
        <v>0</v>
      </c>
      <c r="AR501" s="52" t="n">
        <v>0</v>
      </c>
      <c r="AS501" s="51" t="n">
        <v>0</v>
      </c>
      <c r="AT501" s="48" t="n">
        <v>0</v>
      </c>
      <c r="AU501" s="49" t="n">
        <v>0</v>
      </c>
      <c r="AV501" s="49" t="n">
        <v>0</v>
      </c>
      <c r="AW501" s="50" t="n">
        <v>0</v>
      </c>
      <c r="AX501" s="51" t="n">
        <v>0</v>
      </c>
      <c r="AY501" s="52" t="n">
        <v>0</v>
      </c>
      <c r="AZ501" s="52" t="n">
        <v>0</v>
      </c>
      <c r="BA501" s="52" t="n">
        <v>0</v>
      </c>
      <c r="BB501" s="53" t="n">
        <v>0</v>
      </c>
      <c r="BC501" s="52" t="n">
        <v>0</v>
      </c>
      <c r="BD501" s="53" t="n">
        <v>0</v>
      </c>
      <c r="BE501" s="52" t="n">
        <v>0</v>
      </c>
      <c r="BF501" s="51" t="n">
        <v>0</v>
      </c>
    </row>
    <row r="502">
      <c r="A502">
        <f>HYPERLINK("https://www.walmart.com/ip/374971543", "374971543")</f>
        <v/>
      </c>
      <c r="B502" t="inlineStr">
        <is>
          <t>Flyingstar Wearable Blanket with Sleeves and Pocket, Fleece Micro Plush Throws Blanket, Robe for Women and Men 73” x 51” Zebra</t>
        </is>
      </c>
      <c r="C502" t="inlineStr">
        <is>
          <t>1WMSN100ZEBRA</t>
        </is>
      </c>
      <c r="D502" t="inlineStr">
        <is>
          <t>Throws</t>
        </is>
      </c>
      <c r="E502" t="inlineStr">
        <is>
          <t>Flyingstar</t>
        </is>
      </c>
      <c r="F502" t="inlineStr">
        <is>
          <t>Batch 1 - TR</t>
        </is>
      </c>
      <c r="G502" s="48" t="n">
        <v>0</v>
      </c>
      <c r="H502" s="49" t="n">
        <v>0</v>
      </c>
      <c r="I502" s="49" t="n">
        <v>0</v>
      </c>
      <c r="J502" s="50" t="n">
        <v>0</v>
      </c>
      <c r="K502" s="51" t="n">
        <v>0</v>
      </c>
      <c r="L502" s="52" t="n">
        <v>0</v>
      </c>
      <c r="M502" s="52" t="n">
        <v>0</v>
      </c>
      <c r="N502" s="52" t="n">
        <v>0</v>
      </c>
      <c r="O502" s="53" t="n">
        <v>0</v>
      </c>
      <c r="P502" s="52" t="n">
        <v>0</v>
      </c>
      <c r="Q502" s="53" t="n">
        <v>0</v>
      </c>
      <c r="R502" s="52" t="n">
        <v>0</v>
      </c>
      <c r="S502" s="51" t="n">
        <v>0</v>
      </c>
      <c r="T502" s="48" t="n">
        <v>0</v>
      </c>
      <c r="U502" s="49" t="n">
        <v>0</v>
      </c>
      <c r="V502" s="49" t="n">
        <v>0</v>
      </c>
      <c r="W502" s="50" t="n">
        <v>0</v>
      </c>
      <c r="X502" s="51" t="n">
        <v>0</v>
      </c>
      <c r="Y502" s="52" t="n">
        <v>0</v>
      </c>
      <c r="Z502" s="52" t="n">
        <v>0</v>
      </c>
      <c r="AA502" s="52" t="n">
        <v>0</v>
      </c>
      <c r="AB502" s="53" t="n">
        <v>0</v>
      </c>
      <c r="AC502" s="52" t="n">
        <v>0</v>
      </c>
      <c r="AD502" s="53" t="n">
        <v>0</v>
      </c>
      <c r="AE502" s="52" t="n">
        <v>0</v>
      </c>
      <c r="AF502" s="51" t="n">
        <v>0</v>
      </c>
      <c r="AG502" s="48" t="n">
        <v>0</v>
      </c>
      <c r="AH502" s="49" t="n">
        <v>0</v>
      </c>
      <c r="AI502" s="49" t="n">
        <v>0</v>
      </c>
      <c r="AJ502" s="50" t="n">
        <v>0</v>
      </c>
      <c r="AK502" s="51" t="n">
        <v>0</v>
      </c>
      <c r="AL502" s="52" t="n">
        <v>0</v>
      </c>
      <c r="AM502" s="52" t="n">
        <v>0</v>
      </c>
      <c r="AN502" s="52" t="n">
        <v>0</v>
      </c>
      <c r="AO502" s="53" t="n">
        <v>0</v>
      </c>
      <c r="AP502" s="52" t="n">
        <v>0</v>
      </c>
      <c r="AQ502" s="53" t="n">
        <v>0</v>
      </c>
      <c r="AR502" s="52" t="n">
        <v>0</v>
      </c>
      <c r="AS502" s="51" t="n">
        <v>0</v>
      </c>
      <c r="AT502" s="48" t="n">
        <v>0</v>
      </c>
      <c r="AU502" s="49" t="n">
        <v>0</v>
      </c>
      <c r="AV502" s="49" t="n">
        <v>0</v>
      </c>
      <c r="AW502" s="50" t="n">
        <v>0</v>
      </c>
      <c r="AX502" s="51" t="n">
        <v>0</v>
      </c>
      <c r="AY502" s="52" t="n">
        <v>0</v>
      </c>
      <c r="AZ502" s="52" t="n">
        <v>0</v>
      </c>
      <c r="BA502" s="52" t="n">
        <v>0</v>
      </c>
      <c r="BB502" s="53" t="n">
        <v>0</v>
      </c>
      <c r="BC502" s="52" t="n">
        <v>0</v>
      </c>
      <c r="BD502" s="53" t="n">
        <v>0</v>
      </c>
      <c r="BE502" s="52" t="n">
        <v>0</v>
      </c>
      <c r="BF502" s="51" t="n">
        <v>0</v>
      </c>
    </row>
    <row r="503">
      <c r="A503">
        <f>HYPERLINK("https://www.walmart.com/ip/376206344", "376206344")</f>
        <v/>
      </c>
      <c r="B503" t="inlineStr">
        <is>
          <t>Waterproof Camping Blanket, Windproof Hooded Blanket Poncho for Sports Stadium, Camping, Beach, Picnic, Car or Pet Friendly Use</t>
        </is>
      </c>
      <c r="C503" t="inlineStr">
        <is>
          <t>1WMBC200BLGY</t>
        </is>
      </c>
      <c r="D503" t="inlineStr">
        <is>
          <t>Picnic Blankets &amp; Mats</t>
        </is>
      </c>
      <c r="E503" t="inlineStr">
        <is>
          <t>Flyingstar</t>
        </is>
      </c>
      <c r="F503" t="inlineStr">
        <is>
          <t>Q2-Target,Optimized</t>
        </is>
      </c>
      <c r="G503" s="48" t="n">
        <v>0</v>
      </c>
      <c r="H503" s="49" t="n">
        <v>0</v>
      </c>
      <c r="I503" s="49" t="n">
        <v>0</v>
      </c>
      <c r="J503" s="50" t="n">
        <v>0</v>
      </c>
      <c r="K503" s="51" t="n">
        <v>0</v>
      </c>
      <c r="L503" s="52" t="n">
        <v>0</v>
      </c>
      <c r="M503" s="52" t="n">
        <v>0</v>
      </c>
      <c r="N503" s="52" t="n">
        <v>0</v>
      </c>
      <c r="O503" s="53" t="n">
        <v>0</v>
      </c>
      <c r="P503" s="52" t="n">
        <v>0</v>
      </c>
      <c r="Q503" s="53" t="n">
        <v>0</v>
      </c>
      <c r="R503" s="52" t="n">
        <v>0</v>
      </c>
      <c r="S503" s="51" t="n">
        <v>0</v>
      </c>
      <c r="T503" s="48" t="n">
        <v>0</v>
      </c>
      <c r="U503" s="49" t="n">
        <v>0</v>
      </c>
      <c r="V503" s="49" t="n">
        <v>0</v>
      </c>
      <c r="W503" s="50" t="n">
        <v>0</v>
      </c>
      <c r="X503" s="51" t="n">
        <v>0</v>
      </c>
      <c r="Y503" s="52" t="n">
        <v>0</v>
      </c>
      <c r="Z503" s="52" t="n">
        <v>0</v>
      </c>
      <c r="AA503" s="52" t="n">
        <v>0</v>
      </c>
      <c r="AB503" s="53" t="n">
        <v>0</v>
      </c>
      <c r="AC503" s="52" t="n">
        <v>0</v>
      </c>
      <c r="AD503" s="53" t="n">
        <v>0</v>
      </c>
      <c r="AE503" s="52" t="n">
        <v>0</v>
      </c>
      <c r="AF503" s="51" t="n">
        <v>0</v>
      </c>
      <c r="AG503" s="48" t="n">
        <v>0</v>
      </c>
      <c r="AH503" s="49" t="n">
        <v>0</v>
      </c>
      <c r="AI503" s="49" t="n">
        <v>0</v>
      </c>
      <c r="AJ503" s="50" t="n">
        <v>0</v>
      </c>
      <c r="AK503" s="51" t="n">
        <v>0</v>
      </c>
      <c r="AL503" s="52" t="n">
        <v>0</v>
      </c>
      <c r="AM503" s="52" t="n">
        <v>0</v>
      </c>
      <c r="AN503" s="52" t="n">
        <v>0</v>
      </c>
      <c r="AO503" s="53" t="n">
        <v>0</v>
      </c>
      <c r="AP503" s="52" t="n">
        <v>0</v>
      </c>
      <c r="AQ503" s="53" t="n">
        <v>0</v>
      </c>
      <c r="AR503" s="52" t="n">
        <v>0</v>
      </c>
      <c r="AS503" s="51" t="n">
        <v>0</v>
      </c>
      <c r="AT503" s="48" t="n">
        <v>0</v>
      </c>
      <c r="AU503" s="49" t="n">
        <v>0</v>
      </c>
      <c r="AV503" s="49" t="n">
        <v>0</v>
      </c>
      <c r="AW503" s="50" t="n">
        <v>0</v>
      </c>
      <c r="AX503" s="51" t="n">
        <v>0</v>
      </c>
      <c r="AY503" s="52" t="n">
        <v>0</v>
      </c>
      <c r="AZ503" s="52" t="n">
        <v>0</v>
      </c>
      <c r="BA503" s="52" t="n">
        <v>0</v>
      </c>
      <c r="BB503" s="53" t="n">
        <v>0</v>
      </c>
      <c r="BC503" s="52" t="n">
        <v>0</v>
      </c>
      <c r="BD503" s="53" t="n">
        <v>0</v>
      </c>
      <c r="BE503" s="52" t="n">
        <v>0</v>
      </c>
      <c r="BF503" s="51" t="n">
        <v>0</v>
      </c>
    </row>
    <row r="504">
      <c r="A504">
        <f>HYPERLINK("https://www.walmart.com/ip/376761992", "376761992")</f>
        <v/>
      </c>
      <c r="B504" t="inlineStr">
        <is>
          <t>Tirrinia 6 Bottle Wine Cooler Bag, Insulated Padded Portable Versatile Wine Carrier Tote Bag for Travel, BYOB Restaurant, Wine Tasting, Party, Pecfect Gift for Wine Lover, Black</t>
        </is>
      </c>
      <c r="C504" t="inlineStr">
        <is>
          <t>1TRWB602BK</t>
        </is>
      </c>
      <c r="D504" t="inlineStr">
        <is>
          <t>Wine Totes, Bags &amp; Backpacks</t>
        </is>
      </c>
      <c r="E504" t="inlineStr">
        <is>
          <t>Tirrinia</t>
        </is>
      </c>
      <c r="F504" t="inlineStr">
        <is>
          <t>Wine,Christmas,WFS,Wine WFS,Valentine,WFS Item,Lily Brand Camp</t>
        </is>
      </c>
      <c r="G504" s="48" t="n">
        <v>0</v>
      </c>
      <c r="H504" s="49" t="n">
        <v>0</v>
      </c>
      <c r="I504" s="49" t="n">
        <v>0</v>
      </c>
      <c r="J504" s="50" t="n">
        <v>0</v>
      </c>
      <c r="K504" s="51" t="n">
        <v>0</v>
      </c>
      <c r="L504" s="52" t="n">
        <v>0</v>
      </c>
      <c r="M504" s="52" t="n">
        <v>0</v>
      </c>
      <c r="N504" s="52" t="n">
        <v>0</v>
      </c>
      <c r="O504" s="53" t="n">
        <v>0</v>
      </c>
      <c r="P504" s="52" t="n">
        <v>0</v>
      </c>
      <c r="Q504" s="53" t="n">
        <v>0</v>
      </c>
      <c r="R504" s="52" t="n">
        <v>0</v>
      </c>
      <c r="S504" s="51" t="n">
        <v>0</v>
      </c>
      <c r="T504" s="48" t="n">
        <v>0</v>
      </c>
      <c r="U504" s="49" t="n">
        <v>0</v>
      </c>
      <c r="V504" s="49" t="n">
        <v>0</v>
      </c>
      <c r="W504" s="50" t="n">
        <v>0</v>
      </c>
      <c r="X504" s="51" t="n">
        <v>0</v>
      </c>
      <c r="Y504" s="52" t="n">
        <v>0</v>
      </c>
      <c r="Z504" s="52" t="n">
        <v>0</v>
      </c>
      <c r="AA504" s="52" t="n">
        <v>0</v>
      </c>
      <c r="AB504" s="53" t="n">
        <v>0</v>
      </c>
      <c r="AC504" s="52" t="n">
        <v>0</v>
      </c>
      <c r="AD504" s="53" t="n">
        <v>0</v>
      </c>
      <c r="AE504" s="52" t="n">
        <v>0</v>
      </c>
      <c r="AF504" s="51" t="n">
        <v>0</v>
      </c>
      <c r="AG504" s="48" t="n">
        <v>0</v>
      </c>
      <c r="AH504" s="49" t="n">
        <v>0</v>
      </c>
      <c r="AI504" s="49" t="n">
        <v>0</v>
      </c>
      <c r="AJ504" s="50" t="n">
        <v>0</v>
      </c>
      <c r="AK504" s="51" t="n">
        <v>0</v>
      </c>
      <c r="AL504" s="52" t="n">
        <v>0</v>
      </c>
      <c r="AM504" s="52" t="n">
        <v>0</v>
      </c>
      <c r="AN504" s="52" t="n">
        <v>0</v>
      </c>
      <c r="AO504" s="53" t="n">
        <v>0</v>
      </c>
      <c r="AP504" s="52" t="n">
        <v>0</v>
      </c>
      <c r="AQ504" s="53" t="n">
        <v>0</v>
      </c>
      <c r="AR504" s="52" t="n">
        <v>0</v>
      </c>
      <c r="AS504" s="51" t="n">
        <v>0</v>
      </c>
      <c r="AT504" s="48" t="n">
        <v>0</v>
      </c>
      <c r="AU504" s="49" t="n">
        <v>0</v>
      </c>
      <c r="AV504" s="49" t="n">
        <v>0</v>
      </c>
      <c r="AW504" s="50" t="n">
        <v>0</v>
      </c>
      <c r="AX504" s="51" t="n">
        <v>0</v>
      </c>
      <c r="AY504" s="52" t="n">
        <v>0</v>
      </c>
      <c r="AZ504" s="52" t="n">
        <v>0</v>
      </c>
      <c r="BA504" s="52" t="n">
        <v>0</v>
      </c>
      <c r="BB504" s="53" t="n">
        <v>0</v>
      </c>
      <c r="BC504" s="52" t="n">
        <v>0</v>
      </c>
      <c r="BD504" s="53" t="n">
        <v>0</v>
      </c>
      <c r="BE504" s="52" t="n">
        <v>0</v>
      </c>
      <c r="BF504" s="51" t="n">
        <v>0</v>
      </c>
    </row>
    <row r="505">
      <c r="A505">
        <f>HYPERLINK("https://www.walmart.com/ip/378413727", "378413727")</f>
        <v/>
      </c>
      <c r="B505" t="inlineStr">
        <is>
          <t>Light up Sequin Fedora LED Hat Neon Rave Costumes Glow in Dark Party</t>
        </is>
      </c>
      <c r="C505" t="inlineStr">
        <is>
          <t>SLLEDHATBL</t>
        </is>
      </c>
      <c r="D505" t="inlineStr">
        <is>
          <t>Party Hats</t>
        </is>
      </c>
      <c r="E505" t="inlineStr">
        <is>
          <t>Solaris</t>
        </is>
      </c>
      <c r="F505" t="inlineStr">
        <is>
          <t>Optimized,Halloween</t>
        </is>
      </c>
      <c r="G505" s="48" t="n">
        <v>0</v>
      </c>
      <c r="H505" s="49" t="n">
        <v>0</v>
      </c>
      <c r="I505" s="49" t="n">
        <v>0</v>
      </c>
      <c r="J505" s="50" t="n">
        <v>0</v>
      </c>
      <c r="K505" s="51" t="n">
        <v>0</v>
      </c>
      <c r="L505" s="52" t="n">
        <v>0</v>
      </c>
      <c r="M505" s="52" t="n">
        <v>0</v>
      </c>
      <c r="N505" s="52" t="n">
        <v>0</v>
      </c>
      <c r="O505" s="53" t="n">
        <v>0</v>
      </c>
      <c r="P505" s="52" t="n">
        <v>0</v>
      </c>
      <c r="Q505" s="53" t="n">
        <v>0</v>
      </c>
      <c r="R505" s="52" t="n">
        <v>0</v>
      </c>
      <c r="S505" s="51" t="n">
        <v>0</v>
      </c>
      <c r="T505" s="48" t="n">
        <v>0</v>
      </c>
      <c r="U505" s="49" t="n">
        <v>0</v>
      </c>
      <c r="V505" s="49" t="n">
        <v>0</v>
      </c>
      <c r="W505" s="50" t="n">
        <v>0</v>
      </c>
      <c r="X505" s="51" t="n">
        <v>0</v>
      </c>
      <c r="Y505" s="52" t="n">
        <v>0</v>
      </c>
      <c r="Z505" s="52" t="n">
        <v>0</v>
      </c>
      <c r="AA505" s="52" t="n">
        <v>0</v>
      </c>
      <c r="AB505" s="53" t="n">
        <v>0</v>
      </c>
      <c r="AC505" s="52" t="n">
        <v>0</v>
      </c>
      <c r="AD505" s="53" t="n">
        <v>0</v>
      </c>
      <c r="AE505" s="52" t="n">
        <v>0</v>
      </c>
      <c r="AF505" s="51" t="n">
        <v>0</v>
      </c>
      <c r="AG505" s="48" t="n">
        <v>0</v>
      </c>
      <c r="AH505" s="49" t="n">
        <v>0</v>
      </c>
      <c r="AI505" s="49" t="n">
        <v>0</v>
      </c>
      <c r="AJ505" s="50" t="n">
        <v>0</v>
      </c>
      <c r="AK505" s="51" t="n">
        <v>0</v>
      </c>
      <c r="AL505" s="52" t="n">
        <v>0</v>
      </c>
      <c r="AM505" s="52" t="n">
        <v>0</v>
      </c>
      <c r="AN505" s="52" t="n">
        <v>0</v>
      </c>
      <c r="AO505" s="53" t="n">
        <v>0</v>
      </c>
      <c r="AP505" s="52" t="n">
        <v>0</v>
      </c>
      <c r="AQ505" s="53" t="n">
        <v>0</v>
      </c>
      <c r="AR505" s="52" t="n">
        <v>0</v>
      </c>
      <c r="AS505" s="51" t="n">
        <v>0</v>
      </c>
      <c r="AT505" s="48" t="n">
        <v>0</v>
      </c>
      <c r="AU505" s="49" t="n">
        <v>0</v>
      </c>
      <c r="AV505" s="49" t="n">
        <v>0</v>
      </c>
      <c r="AW505" s="50" t="n">
        <v>0</v>
      </c>
      <c r="AX505" s="51" t="n">
        <v>0</v>
      </c>
      <c r="AY505" s="52" t="n">
        <v>0</v>
      </c>
      <c r="AZ505" s="52" t="n">
        <v>0</v>
      </c>
      <c r="BA505" s="52" t="n">
        <v>0</v>
      </c>
      <c r="BB505" s="53" t="n">
        <v>0</v>
      </c>
      <c r="BC505" s="52" t="n">
        <v>0</v>
      </c>
      <c r="BD505" s="53" t="n">
        <v>0</v>
      </c>
      <c r="BE505" s="52" t="n">
        <v>0</v>
      </c>
      <c r="BF505" s="51" t="n">
        <v>0</v>
      </c>
    </row>
    <row r="506">
      <c r="A506">
        <f>HYPERLINK("https://www.walmart.com/ip/379895876", "379895876")</f>
        <v/>
      </c>
      <c r="B506" t="inlineStr">
        <is>
          <t>Sherpa Wearable Blanket with Sleeves Arms,Super Soft Warm Comfy Large Fleece Plush Sleeved TV Throws Wrap Robe Blanket for Adult Women and Men Buffalo Plaid By Catalonia</t>
        </is>
      </c>
      <c r="C506" t="inlineStr">
        <is>
          <t>1CTSN110P2GN</t>
        </is>
      </c>
      <c r="D506" t="inlineStr">
        <is>
          <t>Throws</t>
        </is>
      </c>
      <c r="E506" t="inlineStr">
        <is>
          <t>Catalonia</t>
        </is>
      </c>
      <c r="F506" t="inlineStr">
        <is>
          <t>Q2-Target,WFS,Coupon_Discount,WFS Item</t>
        </is>
      </c>
      <c r="G506" s="48" t="n">
        <v>0</v>
      </c>
      <c r="H506" s="49" t="n">
        <v>0</v>
      </c>
      <c r="I506" s="49" t="n">
        <v>0</v>
      </c>
      <c r="J506" s="50" t="n">
        <v>0</v>
      </c>
      <c r="K506" s="51" t="n">
        <v>0</v>
      </c>
      <c r="L506" s="52" t="n">
        <v>0</v>
      </c>
      <c r="M506" s="52" t="n">
        <v>0</v>
      </c>
      <c r="N506" s="52" t="n">
        <v>0</v>
      </c>
      <c r="O506" s="53" t="n">
        <v>0</v>
      </c>
      <c r="P506" s="52" t="n">
        <v>0</v>
      </c>
      <c r="Q506" s="53" t="n">
        <v>0</v>
      </c>
      <c r="R506" s="52" t="n">
        <v>0</v>
      </c>
      <c r="S506" s="51" t="n">
        <v>0</v>
      </c>
      <c r="T506" s="48" t="n">
        <v>0</v>
      </c>
      <c r="U506" s="49" t="n">
        <v>0</v>
      </c>
      <c r="V506" s="49" t="n">
        <v>0</v>
      </c>
      <c r="W506" s="50" t="n">
        <v>0</v>
      </c>
      <c r="X506" s="51" t="n">
        <v>0</v>
      </c>
      <c r="Y506" s="52" t="n">
        <v>0</v>
      </c>
      <c r="Z506" s="52" t="n">
        <v>0</v>
      </c>
      <c r="AA506" s="52" t="n">
        <v>0</v>
      </c>
      <c r="AB506" s="53" t="n">
        <v>0</v>
      </c>
      <c r="AC506" s="52" t="n">
        <v>0</v>
      </c>
      <c r="AD506" s="53" t="n">
        <v>0</v>
      </c>
      <c r="AE506" s="52" t="n">
        <v>0</v>
      </c>
      <c r="AF506" s="51" t="n">
        <v>0</v>
      </c>
      <c r="AG506" s="48" t="n">
        <v>0</v>
      </c>
      <c r="AH506" s="49" t="n">
        <v>0</v>
      </c>
      <c r="AI506" s="49" t="n">
        <v>0</v>
      </c>
      <c r="AJ506" s="50" t="n">
        <v>0</v>
      </c>
      <c r="AK506" s="51" t="n">
        <v>0</v>
      </c>
      <c r="AL506" s="52" t="n">
        <v>0</v>
      </c>
      <c r="AM506" s="52" t="n">
        <v>0</v>
      </c>
      <c r="AN506" s="52" t="n">
        <v>0</v>
      </c>
      <c r="AO506" s="53" t="n">
        <v>0</v>
      </c>
      <c r="AP506" s="52" t="n">
        <v>0</v>
      </c>
      <c r="AQ506" s="53" t="n">
        <v>0</v>
      </c>
      <c r="AR506" s="52" t="n">
        <v>0</v>
      </c>
      <c r="AS506" s="51" t="n">
        <v>0</v>
      </c>
      <c r="AT506" s="48" t="n">
        <v>0</v>
      </c>
      <c r="AU506" s="49" t="n">
        <v>0</v>
      </c>
      <c r="AV506" s="49" t="n">
        <v>0</v>
      </c>
      <c r="AW506" s="50" t="n">
        <v>0</v>
      </c>
      <c r="AX506" s="51" t="n">
        <v>0</v>
      </c>
      <c r="AY506" s="52" t="n">
        <v>0</v>
      </c>
      <c r="AZ506" s="52" t="n">
        <v>0</v>
      </c>
      <c r="BA506" s="52" t="n">
        <v>0</v>
      </c>
      <c r="BB506" s="53" t="n">
        <v>0</v>
      </c>
      <c r="BC506" s="52" t="n">
        <v>0</v>
      </c>
      <c r="BD506" s="53" t="n">
        <v>0</v>
      </c>
      <c r="BE506" s="52" t="n">
        <v>0</v>
      </c>
      <c r="BF506" s="51" t="n">
        <v>0</v>
      </c>
    </row>
    <row r="507">
      <c r="A507">
        <f>HYPERLINK("https://www.walmart.com/ip/378639354", "378639354")</f>
        <v/>
      </c>
      <c r="B507" t="inlineStr">
        <is>
          <t>Catalonia Waterproof Blanket, Pee Proof Couch Sofa Bed Protector Cover for Baby, Super Cozy Plush Fleece Warm Sherpa Lining Throws and Blankets for Boating and Camping, Light Gray/Dark Gray, 80" x 90"</t>
        </is>
      </c>
      <c r="C507" t="inlineStr">
        <is>
          <t>1CTBW982LGDG</t>
        </is>
      </c>
      <c r="D507" t="inlineStr">
        <is>
          <t>Throws</t>
        </is>
      </c>
      <c r="E507" t="inlineStr">
        <is>
          <t>Catalonia</t>
        </is>
      </c>
      <c r="F507" t="inlineStr">
        <is>
          <t>High AUR Items,Wproof Blanket,Fleece Blankets,Batch 1 - TR</t>
        </is>
      </c>
      <c r="G507" s="48" t="n">
        <v>0</v>
      </c>
      <c r="H507" s="49" t="n">
        <v>0</v>
      </c>
      <c r="I507" s="49" t="n">
        <v>0</v>
      </c>
      <c r="J507" s="50" t="n">
        <v>0</v>
      </c>
      <c r="K507" s="51" t="n">
        <v>0</v>
      </c>
      <c r="L507" s="52" t="n">
        <v>0</v>
      </c>
      <c r="M507" s="52" t="n">
        <v>0</v>
      </c>
      <c r="N507" s="52" t="n">
        <v>0</v>
      </c>
      <c r="O507" s="53" t="n">
        <v>0</v>
      </c>
      <c r="P507" s="52" t="n">
        <v>0</v>
      </c>
      <c r="Q507" s="53" t="n">
        <v>0</v>
      </c>
      <c r="R507" s="52" t="n">
        <v>0</v>
      </c>
      <c r="S507" s="51" t="n">
        <v>0</v>
      </c>
      <c r="T507" s="48" t="n">
        <v>59.99</v>
      </c>
      <c r="U507" s="49" t="n">
        <v>1</v>
      </c>
      <c r="V507" s="49" t="n">
        <v>0</v>
      </c>
      <c r="W507" s="50" t="n">
        <v>0</v>
      </c>
      <c r="X507" s="51" t="n">
        <v>0</v>
      </c>
      <c r="Y507" s="52" t="n">
        <v>0</v>
      </c>
      <c r="Z507" s="52" t="n">
        <v>0</v>
      </c>
      <c r="AA507" s="52" t="n">
        <v>0</v>
      </c>
      <c r="AB507" s="53" t="n">
        <v>0</v>
      </c>
      <c r="AC507" s="52" t="n">
        <v>0</v>
      </c>
      <c r="AD507" s="53" t="n">
        <v>0</v>
      </c>
      <c r="AE507" s="52" t="n">
        <v>59.99</v>
      </c>
      <c r="AF507" s="51" t="n">
        <v>0</v>
      </c>
      <c r="AG507" s="48" t="n">
        <v>0</v>
      </c>
      <c r="AH507" s="49" t="n">
        <v>0</v>
      </c>
      <c r="AI507" s="49" t="n">
        <v>0</v>
      </c>
      <c r="AJ507" s="50" t="n">
        <v>0</v>
      </c>
      <c r="AK507" s="51" t="n">
        <v>0</v>
      </c>
      <c r="AL507" s="52" t="n">
        <v>0</v>
      </c>
      <c r="AM507" s="52" t="n">
        <v>0</v>
      </c>
      <c r="AN507" s="52" t="n">
        <v>0</v>
      </c>
      <c r="AO507" s="53" t="n">
        <v>0</v>
      </c>
      <c r="AP507" s="52" t="n">
        <v>0</v>
      </c>
      <c r="AQ507" s="53" t="n">
        <v>0</v>
      </c>
      <c r="AR507" s="52" t="n">
        <v>0</v>
      </c>
      <c r="AS507" s="51" t="n">
        <v>0</v>
      </c>
      <c r="AT507" s="48" t="n">
        <v>59.99</v>
      </c>
      <c r="AU507" s="49" t="n">
        <v>1</v>
      </c>
      <c r="AV507" s="49" t="n">
        <v>0</v>
      </c>
      <c r="AW507" s="50" t="n">
        <v>0</v>
      </c>
      <c r="AX507" s="51" t="n">
        <v>0</v>
      </c>
      <c r="AY507" s="52" t="n">
        <v>0</v>
      </c>
      <c r="AZ507" s="52" t="n">
        <v>0</v>
      </c>
      <c r="BA507" s="52" t="n">
        <v>0</v>
      </c>
      <c r="BB507" s="53" t="n">
        <v>0</v>
      </c>
      <c r="BC507" s="52" t="n">
        <v>0</v>
      </c>
      <c r="BD507" s="53" t="n">
        <v>0</v>
      </c>
      <c r="BE507" s="52" t="n">
        <v>59.99</v>
      </c>
      <c r="BF507" s="51" t="n">
        <v>0</v>
      </c>
    </row>
    <row r="508">
      <c r="A508">
        <f>HYPERLINK("https://www.walmart.com/ip/378664551", "378664551")</f>
        <v/>
      </c>
      <c r="B508" t="inlineStr">
        <is>
          <t>Flyingstar Insulated Lunch Box for Women and Men, Leakproof Thermal Reusable Lunch Bag with 4 Pockets for Adults &amp; Kids, Lunch Bag Cooler Tote for Office Work, Blue Checkered, 7.8L</t>
        </is>
      </c>
      <c r="C508" t="inlineStr">
        <is>
          <t>1WMLB702P1BLCK</t>
        </is>
      </c>
      <c r="D508" t="inlineStr">
        <is>
          <t>Reusable Lunch Bags &amp; Boxes</t>
        </is>
      </c>
      <c r="E508" t="inlineStr">
        <is>
          <t>Tirrinia</t>
        </is>
      </c>
      <c r="F508" t="inlineStr">
        <is>
          <t>Q2-Target,Lunch Bag</t>
        </is>
      </c>
      <c r="G508" s="48" t="n">
        <v>0</v>
      </c>
      <c r="H508" s="49" t="n">
        <v>0</v>
      </c>
      <c r="I508" s="49" t="n">
        <v>0</v>
      </c>
      <c r="J508" s="50" t="n">
        <v>0</v>
      </c>
      <c r="K508" s="51" t="n">
        <v>0</v>
      </c>
      <c r="L508" s="52" t="n">
        <v>0</v>
      </c>
      <c r="M508" s="52" t="n">
        <v>0</v>
      </c>
      <c r="N508" s="52" t="n">
        <v>0</v>
      </c>
      <c r="O508" s="53" t="n">
        <v>0</v>
      </c>
      <c r="P508" s="52" t="n">
        <v>0</v>
      </c>
      <c r="Q508" s="53" t="n">
        <v>0</v>
      </c>
      <c r="R508" s="52" t="n">
        <v>0</v>
      </c>
      <c r="S508" s="51" t="n">
        <v>0</v>
      </c>
      <c r="T508" s="48" t="n">
        <v>0</v>
      </c>
      <c r="U508" s="49" t="n">
        <v>0</v>
      </c>
      <c r="V508" s="49" t="n">
        <v>0</v>
      </c>
      <c r="W508" s="50" t="n">
        <v>0</v>
      </c>
      <c r="X508" s="51" t="n">
        <v>0</v>
      </c>
      <c r="Y508" s="52" t="n">
        <v>0</v>
      </c>
      <c r="Z508" s="52" t="n">
        <v>0</v>
      </c>
      <c r="AA508" s="52" t="n">
        <v>0</v>
      </c>
      <c r="AB508" s="53" t="n">
        <v>0</v>
      </c>
      <c r="AC508" s="52" t="n">
        <v>0</v>
      </c>
      <c r="AD508" s="53" t="n">
        <v>0</v>
      </c>
      <c r="AE508" s="52" t="n">
        <v>0</v>
      </c>
      <c r="AF508" s="51" t="n">
        <v>0</v>
      </c>
      <c r="AG508" s="48" t="n">
        <v>0</v>
      </c>
      <c r="AH508" s="49" t="n">
        <v>0</v>
      </c>
      <c r="AI508" s="49" t="n">
        <v>0</v>
      </c>
      <c r="AJ508" s="50" t="n">
        <v>0</v>
      </c>
      <c r="AK508" s="51" t="n">
        <v>0</v>
      </c>
      <c r="AL508" s="52" t="n">
        <v>0</v>
      </c>
      <c r="AM508" s="52" t="n">
        <v>0</v>
      </c>
      <c r="AN508" s="52" t="n">
        <v>0</v>
      </c>
      <c r="AO508" s="53" t="n">
        <v>0</v>
      </c>
      <c r="AP508" s="52" t="n">
        <v>0</v>
      </c>
      <c r="AQ508" s="53" t="n">
        <v>0</v>
      </c>
      <c r="AR508" s="52" t="n">
        <v>0</v>
      </c>
      <c r="AS508" s="51" t="n">
        <v>0</v>
      </c>
      <c r="AT508" s="48" t="n">
        <v>0</v>
      </c>
      <c r="AU508" s="49" t="n">
        <v>0</v>
      </c>
      <c r="AV508" s="49" t="n">
        <v>0</v>
      </c>
      <c r="AW508" s="50" t="n">
        <v>0</v>
      </c>
      <c r="AX508" s="51" t="n">
        <v>0</v>
      </c>
      <c r="AY508" s="52" t="n">
        <v>0</v>
      </c>
      <c r="AZ508" s="52" t="n">
        <v>0</v>
      </c>
      <c r="BA508" s="52" t="n">
        <v>0</v>
      </c>
      <c r="BB508" s="53" t="n">
        <v>0</v>
      </c>
      <c r="BC508" s="52" t="n">
        <v>0</v>
      </c>
      <c r="BD508" s="53" t="n">
        <v>0</v>
      </c>
      <c r="BE508" s="52" t="n">
        <v>0</v>
      </c>
      <c r="BF508" s="51" t="n">
        <v>0</v>
      </c>
    </row>
    <row r="509">
      <c r="A509">
        <f>HYPERLINK("https://www.walmart.com/ip/378980706", "378980706")</f>
        <v/>
      </c>
      <c r="B509" t="inlineStr">
        <is>
          <t>Catalonia Fleece Throw Blanket for Couch, Lightweight All Seasons Soft Cozy Moroccan Blanket for Home Living Room Decorative, 50'' x 60'', Gray</t>
        </is>
      </c>
      <c r="C509" t="inlineStr">
        <is>
          <t>1CTBF580MROGY</t>
        </is>
      </c>
      <c r="D509" t="inlineStr">
        <is>
          <t>Throws</t>
        </is>
      </c>
      <c r="E509" t="inlineStr">
        <is>
          <t>Catalonia</t>
        </is>
      </c>
      <c r="F509" t="inlineStr">
        <is>
          <t>WFS,WFS Item</t>
        </is>
      </c>
      <c r="G509" s="48" t="n">
        <v>0</v>
      </c>
      <c r="H509" s="49" t="n">
        <v>0</v>
      </c>
      <c r="I509" s="49" t="n">
        <v>0</v>
      </c>
      <c r="J509" s="50" t="n">
        <v>0</v>
      </c>
      <c r="K509" s="51" t="n">
        <v>0</v>
      </c>
      <c r="L509" s="52" t="n">
        <v>0</v>
      </c>
      <c r="M509" s="52" t="n">
        <v>0</v>
      </c>
      <c r="N509" s="52" t="n">
        <v>0</v>
      </c>
      <c r="O509" s="53" t="n">
        <v>0</v>
      </c>
      <c r="P509" s="52" t="n">
        <v>0</v>
      </c>
      <c r="Q509" s="53" t="n">
        <v>0</v>
      </c>
      <c r="R509" s="52" t="n">
        <v>0</v>
      </c>
      <c r="S509" s="51" t="n">
        <v>0</v>
      </c>
      <c r="T509" s="48" t="n">
        <v>0</v>
      </c>
      <c r="U509" s="49" t="n">
        <v>0</v>
      </c>
      <c r="V509" s="49" t="n">
        <v>0</v>
      </c>
      <c r="W509" s="50" t="n">
        <v>0</v>
      </c>
      <c r="X509" s="51" t="n">
        <v>0</v>
      </c>
      <c r="Y509" s="52" t="n">
        <v>0</v>
      </c>
      <c r="Z509" s="52" t="n">
        <v>0</v>
      </c>
      <c r="AA509" s="52" t="n">
        <v>0</v>
      </c>
      <c r="AB509" s="53" t="n">
        <v>0</v>
      </c>
      <c r="AC509" s="52" t="n">
        <v>0</v>
      </c>
      <c r="AD509" s="53" t="n">
        <v>0</v>
      </c>
      <c r="AE509" s="52" t="n">
        <v>0</v>
      </c>
      <c r="AF509" s="51" t="n">
        <v>0</v>
      </c>
      <c r="AG509" s="48" t="n">
        <v>0</v>
      </c>
      <c r="AH509" s="49" t="n">
        <v>0</v>
      </c>
      <c r="AI509" s="49" t="n">
        <v>0</v>
      </c>
      <c r="AJ509" s="50" t="n">
        <v>0</v>
      </c>
      <c r="AK509" s="51" t="n">
        <v>0</v>
      </c>
      <c r="AL509" s="52" t="n">
        <v>0</v>
      </c>
      <c r="AM509" s="52" t="n">
        <v>0</v>
      </c>
      <c r="AN509" s="52" t="n">
        <v>0</v>
      </c>
      <c r="AO509" s="53" t="n">
        <v>0</v>
      </c>
      <c r="AP509" s="52" t="n">
        <v>0</v>
      </c>
      <c r="AQ509" s="53" t="n">
        <v>0</v>
      </c>
      <c r="AR509" s="52" t="n">
        <v>0</v>
      </c>
      <c r="AS509" s="51" t="n">
        <v>0</v>
      </c>
      <c r="AT509" s="48" t="n">
        <v>0</v>
      </c>
      <c r="AU509" s="49" t="n">
        <v>0</v>
      </c>
      <c r="AV509" s="49" t="n">
        <v>0</v>
      </c>
      <c r="AW509" s="50" t="n">
        <v>0</v>
      </c>
      <c r="AX509" s="51" t="n">
        <v>0</v>
      </c>
      <c r="AY509" s="52" t="n">
        <v>0</v>
      </c>
      <c r="AZ509" s="52" t="n">
        <v>0</v>
      </c>
      <c r="BA509" s="52" t="n">
        <v>0</v>
      </c>
      <c r="BB509" s="53" t="n">
        <v>0</v>
      </c>
      <c r="BC509" s="52" t="n">
        <v>0</v>
      </c>
      <c r="BD509" s="53" t="n">
        <v>0</v>
      </c>
      <c r="BE509" s="52" t="n">
        <v>0</v>
      </c>
      <c r="BF509" s="51" t="n">
        <v>0</v>
      </c>
    </row>
    <row r="510">
      <c r="A510">
        <f>HYPERLINK("https://www.walmart.com/ip/379155751", "379155751")</f>
        <v/>
      </c>
      <c r="B510" t="inlineStr">
        <is>
          <t>Tirrinia Wine Cooler bag - 3 Bottle Travel Insulated Padded Wine Carrier Tote Bag with Handle and Adjustable Shoulder Strap + Free Corkscrew, Blue</t>
        </is>
      </c>
      <c r="C510" t="inlineStr">
        <is>
          <t>1WMWB300BL</t>
        </is>
      </c>
      <c r="D510" t="inlineStr">
        <is>
          <t>Wine Totes, Bags &amp; Backpacks</t>
        </is>
      </c>
      <c r="E510" t="inlineStr">
        <is>
          <t>Flyingstar</t>
        </is>
      </c>
      <c r="F510" t="inlineStr">
        <is>
          <t>Wine,Christmas,Valentine</t>
        </is>
      </c>
      <c r="G510" s="48" t="n">
        <v>0</v>
      </c>
      <c r="H510" s="49" t="n">
        <v>0</v>
      </c>
      <c r="I510" s="49" t="n">
        <v>0</v>
      </c>
      <c r="J510" s="50" t="n">
        <v>0</v>
      </c>
      <c r="K510" s="51" t="n">
        <v>0</v>
      </c>
      <c r="L510" s="52" t="n">
        <v>0</v>
      </c>
      <c r="M510" s="52" t="n">
        <v>0</v>
      </c>
      <c r="N510" s="52" t="n">
        <v>0</v>
      </c>
      <c r="O510" s="53" t="n">
        <v>0</v>
      </c>
      <c r="P510" s="52" t="n">
        <v>0</v>
      </c>
      <c r="Q510" s="53" t="n">
        <v>0</v>
      </c>
      <c r="R510" s="52" t="n">
        <v>0</v>
      </c>
      <c r="S510" s="51" t="n">
        <v>0</v>
      </c>
      <c r="T510" s="48" t="n">
        <v>0</v>
      </c>
      <c r="U510" s="49" t="n">
        <v>0</v>
      </c>
      <c r="V510" s="49" t="n">
        <v>0</v>
      </c>
      <c r="W510" s="50" t="n">
        <v>0</v>
      </c>
      <c r="X510" s="51" t="n">
        <v>0</v>
      </c>
      <c r="Y510" s="52" t="n">
        <v>0</v>
      </c>
      <c r="Z510" s="52" t="n">
        <v>0</v>
      </c>
      <c r="AA510" s="52" t="n">
        <v>0</v>
      </c>
      <c r="AB510" s="53" t="n">
        <v>0</v>
      </c>
      <c r="AC510" s="52" t="n">
        <v>0</v>
      </c>
      <c r="AD510" s="53" t="n">
        <v>0</v>
      </c>
      <c r="AE510" s="52" t="n">
        <v>0</v>
      </c>
      <c r="AF510" s="51" t="n">
        <v>0</v>
      </c>
      <c r="AG510" s="48" t="n">
        <v>0</v>
      </c>
      <c r="AH510" s="49" t="n">
        <v>0</v>
      </c>
      <c r="AI510" s="49" t="n">
        <v>0</v>
      </c>
      <c r="AJ510" s="50" t="n">
        <v>0</v>
      </c>
      <c r="AK510" s="51" t="n">
        <v>0</v>
      </c>
      <c r="AL510" s="52" t="n">
        <v>0</v>
      </c>
      <c r="AM510" s="52" t="n">
        <v>0</v>
      </c>
      <c r="AN510" s="52" t="n">
        <v>0</v>
      </c>
      <c r="AO510" s="53" t="n">
        <v>0</v>
      </c>
      <c r="AP510" s="52" t="n">
        <v>0</v>
      </c>
      <c r="AQ510" s="53" t="n">
        <v>0</v>
      </c>
      <c r="AR510" s="52" t="n">
        <v>0</v>
      </c>
      <c r="AS510" s="51" t="n">
        <v>0</v>
      </c>
      <c r="AT510" s="48" t="n">
        <v>0</v>
      </c>
      <c r="AU510" s="49" t="n">
        <v>0</v>
      </c>
      <c r="AV510" s="49" t="n">
        <v>0</v>
      </c>
      <c r="AW510" s="50" t="n">
        <v>0</v>
      </c>
      <c r="AX510" s="51" t="n">
        <v>0</v>
      </c>
      <c r="AY510" s="52" t="n">
        <v>0</v>
      </c>
      <c r="AZ510" s="52" t="n">
        <v>0</v>
      </c>
      <c r="BA510" s="52" t="n">
        <v>0</v>
      </c>
      <c r="BB510" s="53" t="n">
        <v>0</v>
      </c>
      <c r="BC510" s="52" t="n">
        <v>0</v>
      </c>
      <c r="BD510" s="53" t="n">
        <v>0</v>
      </c>
      <c r="BE510" s="52" t="n">
        <v>0</v>
      </c>
      <c r="BF510" s="51" t="n">
        <v>0</v>
      </c>
    </row>
    <row r="511">
      <c r="A511">
        <f>HYPERLINK("https://www.walmart.com/ip/379187851", "379187851")</f>
        <v/>
      </c>
      <c r="B511" t="inlineStr">
        <is>
          <t>Sherpa jackie Mink Fleece for Adults 73 x 51”| Cozy Warm</t>
        </is>
      </c>
      <c r="C511" t="inlineStr">
        <is>
          <t>1CTJK200CHEETAH</t>
        </is>
      </c>
      <c r="D511" t="inlineStr">
        <is>
          <t>Sweatshirts &amp; Hoodies</t>
        </is>
      </c>
      <c r="E511" t="inlineStr">
        <is>
          <t>Catalonia</t>
        </is>
      </c>
      <c r="F511" t="inlineStr">
        <is>
          <t>Jacket ForAdult,WFS,WFS Item</t>
        </is>
      </c>
      <c r="G511" s="48" t="n">
        <v>0</v>
      </c>
      <c r="H511" s="49" t="n">
        <v>0</v>
      </c>
      <c r="I511" s="49" t="n">
        <v>0</v>
      </c>
      <c r="J511" s="50" t="n">
        <v>0</v>
      </c>
      <c r="K511" s="51" t="n">
        <v>0</v>
      </c>
      <c r="L511" s="52" t="n">
        <v>0</v>
      </c>
      <c r="M511" s="52" t="n">
        <v>0</v>
      </c>
      <c r="N511" s="52" t="n">
        <v>0</v>
      </c>
      <c r="O511" s="53" t="n">
        <v>0</v>
      </c>
      <c r="P511" s="52" t="n">
        <v>0</v>
      </c>
      <c r="Q511" s="53" t="n">
        <v>0</v>
      </c>
      <c r="R511" s="52" t="n">
        <v>0</v>
      </c>
      <c r="S511" s="51" t="n">
        <v>0</v>
      </c>
      <c r="T511" s="48" t="n">
        <v>0</v>
      </c>
      <c r="U511" s="49" t="n">
        <v>0</v>
      </c>
      <c r="V511" s="49" t="n">
        <v>0</v>
      </c>
      <c r="W511" s="50" t="n">
        <v>0</v>
      </c>
      <c r="X511" s="51" t="n">
        <v>0</v>
      </c>
      <c r="Y511" s="52" t="n">
        <v>0</v>
      </c>
      <c r="Z511" s="52" t="n">
        <v>0</v>
      </c>
      <c r="AA511" s="52" t="n">
        <v>0</v>
      </c>
      <c r="AB511" s="53" t="n">
        <v>0</v>
      </c>
      <c r="AC511" s="52" t="n">
        <v>0</v>
      </c>
      <c r="AD511" s="53" t="n">
        <v>0</v>
      </c>
      <c r="AE511" s="52" t="n">
        <v>0</v>
      </c>
      <c r="AF511" s="51" t="n">
        <v>0</v>
      </c>
      <c r="AG511" s="48" t="n">
        <v>0</v>
      </c>
      <c r="AH511" s="49" t="n">
        <v>0</v>
      </c>
      <c r="AI511" s="49" t="n">
        <v>0</v>
      </c>
      <c r="AJ511" s="50" t="n">
        <v>0</v>
      </c>
      <c r="AK511" s="51" t="n">
        <v>0</v>
      </c>
      <c r="AL511" s="52" t="n">
        <v>0</v>
      </c>
      <c r="AM511" s="52" t="n">
        <v>0</v>
      </c>
      <c r="AN511" s="52" t="n">
        <v>0</v>
      </c>
      <c r="AO511" s="53" t="n">
        <v>0</v>
      </c>
      <c r="AP511" s="52" t="n">
        <v>0</v>
      </c>
      <c r="AQ511" s="53" t="n">
        <v>0</v>
      </c>
      <c r="AR511" s="52" t="n">
        <v>0</v>
      </c>
      <c r="AS511" s="51" t="n">
        <v>0</v>
      </c>
      <c r="AT511" s="48" t="n">
        <v>0</v>
      </c>
      <c r="AU511" s="49" t="n">
        <v>0</v>
      </c>
      <c r="AV511" s="49" t="n">
        <v>0</v>
      </c>
      <c r="AW511" s="50" t="n">
        <v>0</v>
      </c>
      <c r="AX511" s="51" t="n">
        <v>0</v>
      </c>
      <c r="AY511" s="52" t="n">
        <v>0</v>
      </c>
      <c r="AZ511" s="52" t="n">
        <v>0</v>
      </c>
      <c r="BA511" s="52" t="n">
        <v>0</v>
      </c>
      <c r="BB511" s="53" t="n">
        <v>0</v>
      </c>
      <c r="BC511" s="52" t="n">
        <v>0</v>
      </c>
      <c r="BD511" s="53" t="n">
        <v>0</v>
      </c>
      <c r="BE511" s="52" t="n">
        <v>0</v>
      </c>
      <c r="BF511" s="51" t="n">
        <v>0</v>
      </c>
    </row>
    <row r="512">
      <c r="A512">
        <f>HYPERLINK("https://www.walmart.com/ip/379265869", "379265869")</f>
        <v/>
      </c>
      <c r="B512" t="inlineStr">
        <is>
          <t>Tirrinia Adult Hooded Poncho Towels, All-match Swim Robe 34'' × 42.5''</t>
        </is>
      </c>
      <c r="C512" t="inlineStr">
        <is>
          <t>1TRBR100-GY-TB02</t>
        </is>
      </c>
      <c r="D512" t="inlineStr">
        <is>
          <t>Sleepwear Robes &amp; Bathrobes</t>
        </is>
      </c>
      <c r="E512" t="inlineStr">
        <is>
          <t>Tirrinia</t>
        </is>
      </c>
      <c r="F512" t="inlineStr">
        <is>
          <t>Batch 1 - TR</t>
        </is>
      </c>
      <c r="G512" s="48" t="n">
        <v>0</v>
      </c>
      <c r="H512" s="49" t="n">
        <v>0</v>
      </c>
      <c r="I512" s="49" t="n">
        <v>0</v>
      </c>
      <c r="J512" s="50" t="n">
        <v>0</v>
      </c>
      <c r="K512" s="51" t="n">
        <v>0</v>
      </c>
      <c r="L512" s="52" t="n">
        <v>0</v>
      </c>
      <c r="M512" s="52" t="n">
        <v>0</v>
      </c>
      <c r="N512" s="52" t="n">
        <v>0</v>
      </c>
      <c r="O512" s="53" t="n">
        <v>0</v>
      </c>
      <c r="P512" s="52" t="n">
        <v>0</v>
      </c>
      <c r="Q512" s="53" t="n">
        <v>0</v>
      </c>
      <c r="R512" s="52" t="n">
        <v>0</v>
      </c>
      <c r="S512" s="51" t="n">
        <v>0</v>
      </c>
      <c r="T512" s="48" t="n">
        <v>0</v>
      </c>
      <c r="U512" s="49" t="n">
        <v>0</v>
      </c>
      <c r="V512" s="49" t="n">
        <v>0</v>
      </c>
      <c r="W512" s="50" t="n">
        <v>0</v>
      </c>
      <c r="X512" s="51" t="n">
        <v>0</v>
      </c>
      <c r="Y512" s="52" t="n">
        <v>0</v>
      </c>
      <c r="Z512" s="52" t="n">
        <v>0</v>
      </c>
      <c r="AA512" s="52" t="n">
        <v>0</v>
      </c>
      <c r="AB512" s="53" t="n">
        <v>0</v>
      </c>
      <c r="AC512" s="52" t="n">
        <v>0</v>
      </c>
      <c r="AD512" s="53" t="n">
        <v>0</v>
      </c>
      <c r="AE512" s="52" t="n">
        <v>0</v>
      </c>
      <c r="AF512" s="51" t="n">
        <v>0</v>
      </c>
      <c r="AG512" s="48" t="n">
        <v>0</v>
      </c>
      <c r="AH512" s="49" t="n">
        <v>0</v>
      </c>
      <c r="AI512" s="49" t="n">
        <v>0</v>
      </c>
      <c r="AJ512" s="50" t="n">
        <v>0</v>
      </c>
      <c r="AK512" s="51" t="n">
        <v>0</v>
      </c>
      <c r="AL512" s="52" t="n">
        <v>0</v>
      </c>
      <c r="AM512" s="52" t="n">
        <v>0</v>
      </c>
      <c r="AN512" s="52" t="n">
        <v>0</v>
      </c>
      <c r="AO512" s="53" t="n">
        <v>0</v>
      </c>
      <c r="AP512" s="52" t="n">
        <v>0</v>
      </c>
      <c r="AQ512" s="53" t="n">
        <v>0</v>
      </c>
      <c r="AR512" s="52" t="n">
        <v>0</v>
      </c>
      <c r="AS512" s="51" t="n">
        <v>0</v>
      </c>
      <c r="AT512" s="48" t="n">
        <v>0</v>
      </c>
      <c r="AU512" s="49" t="n">
        <v>0</v>
      </c>
      <c r="AV512" s="49" t="n">
        <v>0</v>
      </c>
      <c r="AW512" s="50" t="n">
        <v>0</v>
      </c>
      <c r="AX512" s="51" t="n">
        <v>0</v>
      </c>
      <c r="AY512" s="52" t="n">
        <v>0</v>
      </c>
      <c r="AZ512" s="52" t="n">
        <v>0</v>
      </c>
      <c r="BA512" s="52" t="n">
        <v>0</v>
      </c>
      <c r="BB512" s="53" t="n">
        <v>0</v>
      </c>
      <c r="BC512" s="52" t="n">
        <v>0</v>
      </c>
      <c r="BD512" s="53" t="n">
        <v>0</v>
      </c>
      <c r="BE512" s="52" t="n">
        <v>0</v>
      </c>
      <c r="BF512" s="51" t="n">
        <v>0</v>
      </c>
    </row>
    <row r="513">
      <c r="A513">
        <f>HYPERLINK("https://www.walmart.com/ip/390764991", "390764991")</f>
        <v/>
      </c>
      <c r="B513" t="inlineStr">
        <is>
          <t>Tirrinia Sand-Free Beach Blanket for 7 Adults, Portable Blanket for Camping, Hiking and Picnic, Set Includes 7 Sand Pockets, 8 Stakes, &amp; 1 Inflatable Pillow</t>
        </is>
      </c>
      <c r="C513" t="inlineStr">
        <is>
          <t>1WMBM109-BLGY</t>
        </is>
      </c>
      <c r="D513" t="inlineStr">
        <is>
          <t>Picnic Blankets &amp; Mats</t>
        </is>
      </c>
      <c r="E513" t="inlineStr">
        <is>
          <t>Tirrinia</t>
        </is>
      </c>
      <c r="F513" t="inlineStr">
        <is>
          <t>Q2-Target,Optimized,WFS,SEM,WFS Item</t>
        </is>
      </c>
      <c r="G513" s="48" t="n">
        <v>0</v>
      </c>
      <c r="H513" s="49" t="n">
        <v>0</v>
      </c>
      <c r="I513" s="49" t="n">
        <v>28</v>
      </c>
      <c r="J513" s="50" t="n">
        <v>0</v>
      </c>
      <c r="K513" s="51" t="n">
        <v>39</v>
      </c>
      <c r="L513" s="52" t="n">
        <v>15.93</v>
      </c>
      <c r="M513" s="52" t="n">
        <v>0</v>
      </c>
      <c r="N513" s="52" t="n">
        <v>0</v>
      </c>
      <c r="O513" s="53" t="n">
        <v>0.0045</v>
      </c>
      <c r="P513" s="52" t="n">
        <v>0.4084615384615385</v>
      </c>
      <c r="Q513" s="53" t="n">
        <v>0</v>
      </c>
      <c r="R513" s="52" t="n">
        <v>0</v>
      </c>
      <c r="S513" s="51" t="n">
        <v>8764</v>
      </c>
      <c r="T513" s="48" t="n">
        <v>55.98</v>
      </c>
      <c r="U513" s="49" t="n">
        <v>2</v>
      </c>
      <c r="V513" s="49" t="n">
        <v>28</v>
      </c>
      <c r="W513" s="50" t="n">
        <v>0.07142857142857142</v>
      </c>
      <c r="X513" s="51" t="n">
        <v>61</v>
      </c>
      <c r="Y513" s="52" t="n">
        <v>26.52</v>
      </c>
      <c r="Z513" s="52" t="n">
        <v>27.99</v>
      </c>
      <c r="AA513" s="52" t="n">
        <v>1.06</v>
      </c>
      <c r="AB513" s="53" t="n">
        <v>0.0053</v>
      </c>
      <c r="AC513" s="52" t="n">
        <v>0.4347540983606558</v>
      </c>
      <c r="AD513" s="53" t="n">
        <v>0.4737406216505896</v>
      </c>
      <c r="AE513" s="52" t="n">
        <v>27.99</v>
      </c>
      <c r="AF513" s="51" t="n">
        <v>11605</v>
      </c>
      <c r="AG513" s="48" t="n">
        <v>83.97</v>
      </c>
      <c r="AH513" s="49" t="n">
        <v>3</v>
      </c>
      <c r="AI513" s="49" t="n">
        <v>22</v>
      </c>
      <c r="AJ513" s="50" t="n">
        <v>0.1363636363636364</v>
      </c>
      <c r="AK513" s="51" t="n">
        <v>35</v>
      </c>
      <c r="AL513" s="52" t="n">
        <v>14.95</v>
      </c>
      <c r="AM513" s="52" t="n">
        <v>27.99</v>
      </c>
      <c r="AN513" s="52" t="n">
        <v>1.87</v>
      </c>
      <c r="AO513" s="53" t="n">
        <v>0.0044</v>
      </c>
      <c r="AP513" s="52" t="n">
        <v>0.4271428571428572</v>
      </c>
      <c r="AQ513" s="53" t="n">
        <v>0.1780397761105157</v>
      </c>
      <c r="AR513" s="52" t="n">
        <v>27.99</v>
      </c>
      <c r="AS513" s="51" t="n">
        <v>7973</v>
      </c>
      <c r="AT513" s="48" t="n">
        <v>-27.99</v>
      </c>
      <c r="AU513" s="49" t="n">
        <v>-1</v>
      </c>
      <c r="AV513" s="49" t="n">
        <v>7</v>
      </c>
      <c r="AW513" s="50" t="n">
        <v>-0.1428571428571428</v>
      </c>
      <c r="AX513" s="51" t="n">
        <v>16</v>
      </c>
      <c r="AY513" s="52" t="n">
        <v>7.370000000000001</v>
      </c>
      <c r="AZ513" s="52" t="n">
        <v>0</v>
      </c>
      <c r="BA513" s="52" t="n">
        <v>0</v>
      </c>
      <c r="BB513" s="53" t="n">
        <v>0.0025</v>
      </c>
      <c r="BC513" s="52" t="n">
        <v>0.4606250000000001</v>
      </c>
      <c r="BD513" s="53" t="n">
        <v>0</v>
      </c>
      <c r="BE513" s="52" t="n">
        <v>0</v>
      </c>
      <c r="BF513" s="51" t="n">
        <v>6298</v>
      </c>
    </row>
    <row r="514">
      <c r="A514">
        <f>HYPERLINK("https://www.walmart.com/ip/3927576726", "3927576726")</f>
        <v/>
      </c>
      <c r="B514" t="inlineStr">
        <is>
          <t>Dickies Insulated Lunch Bag Satchel for Girls School and Work, Thermal Reusable Office Lunch Box for Women (Charcoal)</t>
        </is>
      </c>
      <c r="C514" t="inlineStr">
        <is>
          <t>DK-LUNCH-SATCHEL-CHARCOL-FN</t>
        </is>
      </c>
      <c r="D514" t="inlineStr">
        <is>
          <t>Reusable Lunch Bags &amp; Boxes</t>
        </is>
      </c>
      <c r="E514" t="inlineStr">
        <is>
          <t>Dickies</t>
        </is>
      </c>
      <c r="G514" s="48" t="n">
        <v>0</v>
      </c>
      <c r="H514" s="49" t="n">
        <v>0</v>
      </c>
      <c r="I514" s="49" t="n">
        <v>0</v>
      </c>
      <c r="J514" s="50" t="n">
        <v>0</v>
      </c>
      <c r="K514" s="51" t="n">
        <v>0</v>
      </c>
      <c r="L514" s="52" t="n">
        <v>0</v>
      </c>
      <c r="M514" s="52" t="n">
        <v>0</v>
      </c>
      <c r="N514" s="52" t="n">
        <v>0</v>
      </c>
      <c r="O514" s="53" t="n">
        <v>0</v>
      </c>
      <c r="P514" s="52" t="n">
        <v>0</v>
      </c>
      <c r="Q514" s="53" t="n">
        <v>0</v>
      </c>
      <c r="R514" s="52" t="n">
        <v>0</v>
      </c>
      <c r="S514" s="51" t="n">
        <v>0</v>
      </c>
      <c r="T514" s="48" t="n">
        <v>0</v>
      </c>
      <c r="U514" s="49" t="n">
        <v>0</v>
      </c>
      <c r="V514" s="49" t="n">
        <v>0</v>
      </c>
      <c r="W514" s="50" t="n">
        <v>0</v>
      </c>
      <c r="X514" s="51" t="n">
        <v>0</v>
      </c>
      <c r="Y514" s="52" t="n">
        <v>0</v>
      </c>
      <c r="Z514" s="52" t="n">
        <v>0</v>
      </c>
      <c r="AA514" s="52" t="n">
        <v>0</v>
      </c>
      <c r="AB514" s="53" t="n">
        <v>0</v>
      </c>
      <c r="AC514" s="52" t="n">
        <v>0</v>
      </c>
      <c r="AD514" s="53" t="n">
        <v>0</v>
      </c>
      <c r="AE514" s="52" t="n">
        <v>0</v>
      </c>
      <c r="AF514" s="51" t="n">
        <v>0</v>
      </c>
      <c r="AG514" s="48" t="n">
        <v>0</v>
      </c>
      <c r="AH514" s="49" t="n">
        <v>0</v>
      </c>
      <c r="AI514" s="49" t="n">
        <v>0</v>
      </c>
      <c r="AJ514" s="50" t="n">
        <v>0</v>
      </c>
      <c r="AK514" s="51" t="n">
        <v>0</v>
      </c>
      <c r="AL514" s="52" t="n">
        <v>0</v>
      </c>
      <c r="AM514" s="52" t="n">
        <v>0</v>
      </c>
      <c r="AN514" s="52" t="n">
        <v>0</v>
      </c>
      <c r="AO514" s="53" t="n">
        <v>0</v>
      </c>
      <c r="AP514" s="52" t="n">
        <v>0</v>
      </c>
      <c r="AQ514" s="53" t="n">
        <v>0</v>
      </c>
      <c r="AR514" s="52" t="n">
        <v>0</v>
      </c>
      <c r="AS514" s="51" t="n">
        <v>0</v>
      </c>
      <c r="AT514" s="48" t="n">
        <v>0</v>
      </c>
      <c r="AU514" s="49" t="n">
        <v>0</v>
      </c>
      <c r="AV514" s="49" t="n">
        <v>0</v>
      </c>
      <c r="AW514" s="50" t="n">
        <v>0</v>
      </c>
      <c r="AX514" s="51" t="n">
        <v>0</v>
      </c>
      <c r="AY514" s="52" t="n">
        <v>0</v>
      </c>
      <c r="AZ514" s="52" t="n">
        <v>0</v>
      </c>
      <c r="BA514" s="52" t="n">
        <v>0</v>
      </c>
      <c r="BB514" s="53" t="n">
        <v>0</v>
      </c>
      <c r="BC514" s="52" t="n">
        <v>0</v>
      </c>
      <c r="BD514" s="53" t="n">
        <v>0</v>
      </c>
      <c r="BE514" s="52" t="n">
        <v>0</v>
      </c>
      <c r="BF514" s="51" t="n">
        <v>0</v>
      </c>
    </row>
    <row r="515">
      <c r="A515">
        <f>HYPERLINK("https://www.walmart.com/ip/414774668", "414774668")</f>
        <v/>
      </c>
      <c r="B515" t="inlineStr">
        <is>
          <t>Napa Super Soft Velvet Plush Throw Blanket, Reversible Fuzzy Solid Blanket, All Season Bed Throw TV Blanket, Light Grey, 50'' x 70''</t>
        </is>
      </c>
      <c r="C515" t="inlineStr">
        <is>
          <t>K8023LGY</t>
        </is>
      </c>
      <c r="D515" t="inlineStr">
        <is>
          <t>Throws</t>
        </is>
      </c>
      <c r="E515" t="inlineStr">
        <is>
          <t>NAPA</t>
        </is>
      </c>
      <c r="G515" s="48" t="n">
        <v>0</v>
      </c>
      <c r="H515" s="49" t="n">
        <v>0</v>
      </c>
      <c r="I515" s="49" t="n">
        <v>0</v>
      </c>
      <c r="J515" s="50" t="n">
        <v>0</v>
      </c>
      <c r="K515" s="51" t="n">
        <v>0</v>
      </c>
      <c r="L515" s="52" t="n">
        <v>0</v>
      </c>
      <c r="M515" s="52" t="n">
        <v>0</v>
      </c>
      <c r="N515" s="52" t="n">
        <v>0</v>
      </c>
      <c r="O515" s="53" t="n">
        <v>0</v>
      </c>
      <c r="P515" s="52" t="n">
        <v>0</v>
      </c>
      <c r="Q515" s="53" t="n">
        <v>0</v>
      </c>
      <c r="R515" s="52" t="n">
        <v>0</v>
      </c>
      <c r="S515" s="51" t="n">
        <v>0</v>
      </c>
      <c r="T515" s="48" t="n">
        <v>0</v>
      </c>
      <c r="U515" s="49" t="n">
        <v>0</v>
      </c>
      <c r="V515" s="49" t="n">
        <v>0</v>
      </c>
      <c r="W515" s="50" t="n">
        <v>0</v>
      </c>
      <c r="X515" s="51" t="n">
        <v>0</v>
      </c>
      <c r="Y515" s="52" t="n">
        <v>0</v>
      </c>
      <c r="Z515" s="52" t="n">
        <v>0</v>
      </c>
      <c r="AA515" s="52" t="n">
        <v>0</v>
      </c>
      <c r="AB515" s="53" t="n">
        <v>0</v>
      </c>
      <c r="AC515" s="52" t="n">
        <v>0</v>
      </c>
      <c r="AD515" s="53" t="n">
        <v>0</v>
      </c>
      <c r="AE515" s="52" t="n">
        <v>0</v>
      </c>
      <c r="AF515" s="51" t="n">
        <v>0</v>
      </c>
      <c r="AG515" s="48" t="n">
        <v>0</v>
      </c>
      <c r="AH515" s="49" t="n">
        <v>0</v>
      </c>
      <c r="AI515" s="49" t="n">
        <v>0</v>
      </c>
      <c r="AJ515" s="50" t="n">
        <v>0</v>
      </c>
      <c r="AK515" s="51" t="n">
        <v>0</v>
      </c>
      <c r="AL515" s="52" t="n">
        <v>0</v>
      </c>
      <c r="AM515" s="52" t="n">
        <v>0</v>
      </c>
      <c r="AN515" s="52" t="n">
        <v>0</v>
      </c>
      <c r="AO515" s="53" t="n">
        <v>0</v>
      </c>
      <c r="AP515" s="52" t="n">
        <v>0</v>
      </c>
      <c r="AQ515" s="53" t="n">
        <v>0</v>
      </c>
      <c r="AR515" s="52" t="n">
        <v>0</v>
      </c>
      <c r="AS515" s="51" t="n">
        <v>0</v>
      </c>
      <c r="AT515" s="48" t="n">
        <v>0</v>
      </c>
      <c r="AU515" s="49" t="n">
        <v>0</v>
      </c>
      <c r="AV515" s="49" t="n">
        <v>0</v>
      </c>
      <c r="AW515" s="50" t="n">
        <v>0</v>
      </c>
      <c r="AX515" s="51" t="n">
        <v>0</v>
      </c>
      <c r="AY515" s="52" t="n">
        <v>0</v>
      </c>
      <c r="AZ515" s="52" t="n">
        <v>0</v>
      </c>
      <c r="BA515" s="52" t="n">
        <v>0</v>
      </c>
      <c r="BB515" s="53" t="n">
        <v>0</v>
      </c>
      <c r="BC515" s="52" t="n">
        <v>0</v>
      </c>
      <c r="BD515" s="53" t="n">
        <v>0</v>
      </c>
      <c r="BE515" s="52" t="n">
        <v>0</v>
      </c>
      <c r="BF515" s="51" t="n">
        <v>0</v>
      </c>
    </row>
    <row r="516">
      <c r="A516">
        <f>HYPERLINK("https://www.walmart.com/ip/394849317", "394849317")</f>
        <v/>
      </c>
      <c r="B516" t="inlineStr">
        <is>
          <t>Tirrinia Hooded Bath Towel for 2 to 6 Years Boy,100% Cotton Water Absorption Beach Poncho Swim Changing Robe Surf Boy Pattern</t>
        </is>
      </c>
      <c r="C516" t="inlineStr">
        <is>
          <t>1TRBR200-SF</t>
        </is>
      </c>
      <c r="D516" t="inlineStr">
        <is>
          <t>Towels &amp; Washcloths</t>
        </is>
      </c>
      <c r="E516" t="inlineStr">
        <is>
          <t>Tirrinia</t>
        </is>
      </c>
      <c r="F516" t="inlineStr">
        <is>
          <t>Beach Robe Camp</t>
        </is>
      </c>
      <c r="G516" s="48" t="n">
        <v>0</v>
      </c>
      <c r="H516" s="49" t="n">
        <v>0</v>
      </c>
      <c r="I516" s="49" t="n">
        <v>0</v>
      </c>
      <c r="J516" s="50" t="n">
        <v>0</v>
      </c>
      <c r="K516" s="51" t="n">
        <v>0</v>
      </c>
      <c r="L516" s="52" t="n">
        <v>0</v>
      </c>
      <c r="M516" s="52" t="n">
        <v>0</v>
      </c>
      <c r="N516" s="52" t="n">
        <v>0</v>
      </c>
      <c r="O516" s="53" t="n">
        <v>0</v>
      </c>
      <c r="P516" s="52" t="n">
        <v>0</v>
      </c>
      <c r="Q516" s="53" t="n">
        <v>0</v>
      </c>
      <c r="R516" s="52" t="n">
        <v>0</v>
      </c>
      <c r="S516" s="51" t="n">
        <v>0</v>
      </c>
      <c r="T516" s="48" t="n">
        <v>0</v>
      </c>
      <c r="U516" s="49" t="n">
        <v>0</v>
      </c>
      <c r="V516" s="49" t="n">
        <v>0</v>
      </c>
      <c r="W516" s="50" t="n">
        <v>0</v>
      </c>
      <c r="X516" s="51" t="n">
        <v>0</v>
      </c>
      <c r="Y516" s="52" t="n">
        <v>0</v>
      </c>
      <c r="Z516" s="52" t="n">
        <v>0</v>
      </c>
      <c r="AA516" s="52" t="n">
        <v>0</v>
      </c>
      <c r="AB516" s="53" t="n">
        <v>0</v>
      </c>
      <c r="AC516" s="52" t="n">
        <v>0</v>
      </c>
      <c r="AD516" s="53" t="n">
        <v>0</v>
      </c>
      <c r="AE516" s="52" t="n">
        <v>0</v>
      </c>
      <c r="AF516" s="51" t="n">
        <v>0</v>
      </c>
      <c r="AG516" s="48" t="n">
        <v>0</v>
      </c>
      <c r="AH516" s="49" t="n">
        <v>0</v>
      </c>
      <c r="AI516" s="49" t="n">
        <v>0</v>
      </c>
      <c r="AJ516" s="50" t="n">
        <v>0</v>
      </c>
      <c r="AK516" s="51" t="n">
        <v>0</v>
      </c>
      <c r="AL516" s="52" t="n">
        <v>0</v>
      </c>
      <c r="AM516" s="52" t="n">
        <v>0</v>
      </c>
      <c r="AN516" s="52" t="n">
        <v>0</v>
      </c>
      <c r="AO516" s="53" t="n">
        <v>0</v>
      </c>
      <c r="AP516" s="52" t="n">
        <v>0</v>
      </c>
      <c r="AQ516" s="53" t="n">
        <v>0</v>
      </c>
      <c r="AR516" s="52" t="n">
        <v>0</v>
      </c>
      <c r="AS516" s="51" t="n">
        <v>0</v>
      </c>
      <c r="AT516" s="48" t="n">
        <v>0</v>
      </c>
      <c r="AU516" s="49" t="n">
        <v>0</v>
      </c>
      <c r="AV516" s="49" t="n">
        <v>0</v>
      </c>
      <c r="AW516" s="50" t="n">
        <v>0</v>
      </c>
      <c r="AX516" s="51" t="n">
        <v>0</v>
      </c>
      <c r="AY516" s="52" t="n">
        <v>0</v>
      </c>
      <c r="AZ516" s="52" t="n">
        <v>0</v>
      </c>
      <c r="BA516" s="52" t="n">
        <v>0</v>
      </c>
      <c r="BB516" s="53" t="n">
        <v>0</v>
      </c>
      <c r="BC516" s="52" t="n">
        <v>0</v>
      </c>
      <c r="BD516" s="53" t="n">
        <v>0</v>
      </c>
      <c r="BE516" s="52" t="n">
        <v>0</v>
      </c>
      <c r="BF516" s="51" t="n">
        <v>0</v>
      </c>
    </row>
    <row r="517">
      <c r="A517">
        <f>HYPERLINK("https://www.walmart.com/ip/410430005", "410430005")</f>
        <v/>
      </c>
      <c r="B517" t="inlineStr">
        <is>
          <t>Surf Poncho Changing Towel Robe for Adults Men Women, Hooded Wetsuit Change Poncho for Surfing Swimming Bathing, Water Absorbent, Black, Oversized.</t>
        </is>
      </c>
      <c r="C517" t="inlineStr">
        <is>
          <t>1CTBR100BK-ESCB</t>
        </is>
      </c>
      <c r="D517" t="inlineStr">
        <is>
          <t>Sleepwear Robes &amp; Bathrobes</t>
        </is>
      </c>
      <c r="E517" t="inlineStr">
        <is>
          <t>Catalonia</t>
        </is>
      </c>
      <c r="F517" t="inlineStr">
        <is>
          <t>Beach Robe Camp,Batch 1 - TR</t>
        </is>
      </c>
      <c r="G517" s="48" t="n">
        <v>0</v>
      </c>
      <c r="H517" s="49" t="n">
        <v>0</v>
      </c>
      <c r="I517" s="49" t="n">
        <v>0</v>
      </c>
      <c r="J517" s="50" t="n">
        <v>0</v>
      </c>
      <c r="K517" s="51" t="n">
        <v>0</v>
      </c>
      <c r="L517" s="52" t="n">
        <v>0</v>
      </c>
      <c r="M517" s="52" t="n">
        <v>0</v>
      </c>
      <c r="N517" s="52" t="n">
        <v>0</v>
      </c>
      <c r="O517" s="53" t="n">
        <v>0</v>
      </c>
      <c r="P517" s="52" t="n">
        <v>0</v>
      </c>
      <c r="Q517" s="53" t="n">
        <v>0</v>
      </c>
      <c r="R517" s="52" t="n">
        <v>0</v>
      </c>
      <c r="S517" s="51" t="n">
        <v>0</v>
      </c>
      <c r="T517" s="48" t="n">
        <v>0</v>
      </c>
      <c r="U517" s="49" t="n">
        <v>0</v>
      </c>
      <c r="V517" s="49" t="n">
        <v>0</v>
      </c>
      <c r="W517" s="50" t="n">
        <v>0</v>
      </c>
      <c r="X517" s="51" t="n">
        <v>0</v>
      </c>
      <c r="Y517" s="52" t="n">
        <v>0</v>
      </c>
      <c r="Z517" s="52" t="n">
        <v>0</v>
      </c>
      <c r="AA517" s="52" t="n">
        <v>0</v>
      </c>
      <c r="AB517" s="53" t="n">
        <v>0</v>
      </c>
      <c r="AC517" s="52" t="n">
        <v>0</v>
      </c>
      <c r="AD517" s="53" t="n">
        <v>0</v>
      </c>
      <c r="AE517" s="52" t="n">
        <v>0</v>
      </c>
      <c r="AF517" s="51" t="n">
        <v>0</v>
      </c>
      <c r="AG517" s="48" t="n">
        <v>0</v>
      </c>
      <c r="AH517" s="49" t="n">
        <v>0</v>
      </c>
      <c r="AI517" s="49" t="n">
        <v>0</v>
      </c>
      <c r="AJ517" s="50" t="n">
        <v>0</v>
      </c>
      <c r="AK517" s="51" t="n">
        <v>0</v>
      </c>
      <c r="AL517" s="52" t="n">
        <v>0</v>
      </c>
      <c r="AM517" s="52" t="n">
        <v>0</v>
      </c>
      <c r="AN517" s="52" t="n">
        <v>0</v>
      </c>
      <c r="AO517" s="53" t="n">
        <v>0</v>
      </c>
      <c r="AP517" s="52" t="n">
        <v>0</v>
      </c>
      <c r="AQ517" s="53" t="n">
        <v>0</v>
      </c>
      <c r="AR517" s="52" t="n">
        <v>0</v>
      </c>
      <c r="AS517" s="51" t="n">
        <v>0</v>
      </c>
      <c r="AT517" s="48" t="n">
        <v>0</v>
      </c>
      <c r="AU517" s="49" t="n">
        <v>0</v>
      </c>
      <c r="AV517" s="49" t="n">
        <v>0</v>
      </c>
      <c r="AW517" s="50" t="n">
        <v>0</v>
      </c>
      <c r="AX517" s="51" t="n">
        <v>0</v>
      </c>
      <c r="AY517" s="52" t="n">
        <v>0</v>
      </c>
      <c r="AZ517" s="52" t="n">
        <v>0</v>
      </c>
      <c r="BA517" s="52" t="n">
        <v>0</v>
      </c>
      <c r="BB517" s="53" t="n">
        <v>0</v>
      </c>
      <c r="BC517" s="52" t="n">
        <v>0</v>
      </c>
      <c r="BD517" s="53" t="n">
        <v>0</v>
      </c>
      <c r="BE517" s="52" t="n">
        <v>0</v>
      </c>
      <c r="BF517" s="51" t="n">
        <v>0</v>
      </c>
    </row>
    <row r="518">
      <c r="A518">
        <f>HYPERLINK("https://www.walmart.com/ip/410899618", "410899618")</f>
        <v/>
      </c>
      <c r="B518" t="inlineStr">
        <is>
          <t>Tirrinia US Flag Patriotic Sherpa Throw Blanket, Super Cozy Fleece Blanket, Reversible for Bed or Couch, US Flag Print, 50" x 60"</t>
        </is>
      </c>
      <c r="C518" t="inlineStr">
        <is>
          <t>1TRBF300USA</t>
        </is>
      </c>
      <c r="D518" t="inlineStr">
        <is>
          <t>Throws</t>
        </is>
      </c>
      <c r="E518" t="inlineStr">
        <is>
          <t>Tirrinia</t>
        </is>
      </c>
      <c r="F518" t="inlineStr">
        <is>
          <t>WFS,WFS Item</t>
        </is>
      </c>
      <c r="G518" s="48" t="n">
        <v>0</v>
      </c>
      <c r="H518" s="49" t="n">
        <v>0</v>
      </c>
      <c r="I518" s="49" t="n">
        <v>0</v>
      </c>
      <c r="J518" s="50" t="n">
        <v>0</v>
      </c>
      <c r="K518" s="51" t="n">
        <v>0</v>
      </c>
      <c r="L518" s="52" t="n">
        <v>0</v>
      </c>
      <c r="M518" s="52" t="n">
        <v>0</v>
      </c>
      <c r="N518" s="52" t="n">
        <v>0</v>
      </c>
      <c r="O518" s="53" t="n">
        <v>0</v>
      </c>
      <c r="P518" s="52" t="n">
        <v>0</v>
      </c>
      <c r="Q518" s="53" t="n">
        <v>0</v>
      </c>
      <c r="R518" s="52" t="n">
        <v>0</v>
      </c>
      <c r="S518" s="51" t="n">
        <v>0</v>
      </c>
      <c r="T518" s="48" t="n">
        <v>0</v>
      </c>
      <c r="U518" s="49" t="n">
        <v>0</v>
      </c>
      <c r="V518" s="49" t="n">
        <v>0</v>
      </c>
      <c r="W518" s="50" t="n">
        <v>0</v>
      </c>
      <c r="X518" s="51" t="n">
        <v>0</v>
      </c>
      <c r="Y518" s="52" t="n">
        <v>0</v>
      </c>
      <c r="Z518" s="52" t="n">
        <v>0</v>
      </c>
      <c r="AA518" s="52" t="n">
        <v>0</v>
      </c>
      <c r="AB518" s="53" t="n">
        <v>0</v>
      </c>
      <c r="AC518" s="52" t="n">
        <v>0</v>
      </c>
      <c r="AD518" s="53" t="n">
        <v>0</v>
      </c>
      <c r="AE518" s="52" t="n">
        <v>0</v>
      </c>
      <c r="AF518" s="51" t="n">
        <v>0</v>
      </c>
      <c r="AG518" s="48" t="n">
        <v>0</v>
      </c>
      <c r="AH518" s="49" t="n">
        <v>0</v>
      </c>
      <c r="AI518" s="49" t="n">
        <v>0</v>
      </c>
      <c r="AJ518" s="50" t="n">
        <v>0</v>
      </c>
      <c r="AK518" s="51" t="n">
        <v>0</v>
      </c>
      <c r="AL518" s="52" t="n">
        <v>0</v>
      </c>
      <c r="AM518" s="52" t="n">
        <v>0</v>
      </c>
      <c r="AN518" s="52" t="n">
        <v>0</v>
      </c>
      <c r="AO518" s="53" t="n">
        <v>0</v>
      </c>
      <c r="AP518" s="52" t="n">
        <v>0</v>
      </c>
      <c r="AQ518" s="53" t="n">
        <v>0</v>
      </c>
      <c r="AR518" s="52" t="n">
        <v>0</v>
      </c>
      <c r="AS518" s="51" t="n">
        <v>0</v>
      </c>
      <c r="AT518" s="48" t="n">
        <v>0</v>
      </c>
      <c r="AU518" s="49" t="n">
        <v>0</v>
      </c>
      <c r="AV518" s="49" t="n">
        <v>0</v>
      </c>
      <c r="AW518" s="50" t="n">
        <v>0</v>
      </c>
      <c r="AX518" s="51" t="n">
        <v>0</v>
      </c>
      <c r="AY518" s="52" t="n">
        <v>0</v>
      </c>
      <c r="AZ518" s="52" t="n">
        <v>0</v>
      </c>
      <c r="BA518" s="52" t="n">
        <v>0</v>
      </c>
      <c r="BB518" s="53" t="n">
        <v>0</v>
      </c>
      <c r="BC518" s="52" t="n">
        <v>0</v>
      </c>
      <c r="BD518" s="53" t="n">
        <v>0</v>
      </c>
      <c r="BE518" s="52" t="n">
        <v>0</v>
      </c>
      <c r="BF518" s="51" t="n">
        <v>0</v>
      </c>
    </row>
    <row r="519">
      <c r="A519">
        <f>HYPERLINK("https://www.walmart.com/ip/411170938", "411170938")</f>
        <v/>
      </c>
      <c r="B519" t="inlineStr">
        <is>
          <t>Tirrinia Super Soft Plush Wearable Sherpa Fleece Blanket Poncho For Adults Children, 55'' x 80'', Red Plaid</t>
        </is>
      </c>
      <c r="C519" t="inlineStr">
        <is>
          <t>1TRBP110PRD-TBCB</t>
        </is>
      </c>
      <c r="D519" t="inlineStr">
        <is>
          <t>Throws</t>
        </is>
      </c>
      <c r="E519" t="inlineStr">
        <is>
          <t>Tirrinia</t>
        </is>
      </c>
      <c r="F519" t="inlineStr">
        <is>
          <t>Optimized</t>
        </is>
      </c>
      <c r="G519" s="48" t="n">
        <v>0</v>
      </c>
      <c r="H519" s="49" t="n">
        <v>0</v>
      </c>
      <c r="I519" s="49" t="n">
        <v>0</v>
      </c>
      <c r="J519" s="50" t="n">
        <v>0</v>
      </c>
      <c r="K519" s="51" t="n">
        <v>0</v>
      </c>
      <c r="L519" s="52" t="n">
        <v>0</v>
      </c>
      <c r="M519" s="52" t="n">
        <v>0</v>
      </c>
      <c r="N519" s="52" t="n">
        <v>0</v>
      </c>
      <c r="O519" s="53" t="n">
        <v>0</v>
      </c>
      <c r="P519" s="52" t="n">
        <v>0</v>
      </c>
      <c r="Q519" s="53" t="n">
        <v>0</v>
      </c>
      <c r="R519" s="52" t="n">
        <v>0</v>
      </c>
      <c r="S519" s="51" t="n">
        <v>0</v>
      </c>
      <c r="T519" s="48" t="n">
        <v>0</v>
      </c>
      <c r="U519" s="49" t="n">
        <v>0</v>
      </c>
      <c r="V519" s="49" t="n">
        <v>0</v>
      </c>
      <c r="W519" s="50" t="n">
        <v>0</v>
      </c>
      <c r="X519" s="51" t="n">
        <v>0</v>
      </c>
      <c r="Y519" s="52" t="n">
        <v>0</v>
      </c>
      <c r="Z519" s="52" t="n">
        <v>0</v>
      </c>
      <c r="AA519" s="52" t="n">
        <v>0</v>
      </c>
      <c r="AB519" s="53" t="n">
        <v>0</v>
      </c>
      <c r="AC519" s="52" t="n">
        <v>0</v>
      </c>
      <c r="AD519" s="53" t="n">
        <v>0</v>
      </c>
      <c r="AE519" s="52" t="n">
        <v>0</v>
      </c>
      <c r="AF519" s="51" t="n">
        <v>0</v>
      </c>
      <c r="AG519" s="48" t="n">
        <v>0</v>
      </c>
      <c r="AH519" s="49" t="n">
        <v>0</v>
      </c>
      <c r="AI519" s="49" t="n">
        <v>0</v>
      </c>
      <c r="AJ519" s="50" t="n">
        <v>0</v>
      </c>
      <c r="AK519" s="51" t="n">
        <v>0</v>
      </c>
      <c r="AL519" s="52" t="n">
        <v>0</v>
      </c>
      <c r="AM519" s="52" t="n">
        <v>0</v>
      </c>
      <c r="AN519" s="52" t="n">
        <v>0</v>
      </c>
      <c r="AO519" s="53" t="n">
        <v>0</v>
      </c>
      <c r="AP519" s="52" t="n">
        <v>0</v>
      </c>
      <c r="AQ519" s="53" t="n">
        <v>0</v>
      </c>
      <c r="AR519" s="52" t="n">
        <v>0</v>
      </c>
      <c r="AS519" s="51" t="n">
        <v>0</v>
      </c>
      <c r="AT519" s="48" t="n">
        <v>0</v>
      </c>
      <c r="AU519" s="49" t="n">
        <v>0</v>
      </c>
      <c r="AV519" s="49" t="n">
        <v>0</v>
      </c>
      <c r="AW519" s="50" t="n">
        <v>0</v>
      </c>
      <c r="AX519" s="51" t="n">
        <v>0</v>
      </c>
      <c r="AY519" s="52" t="n">
        <v>0</v>
      </c>
      <c r="AZ519" s="52" t="n">
        <v>0</v>
      </c>
      <c r="BA519" s="52" t="n">
        <v>0</v>
      </c>
      <c r="BB519" s="53" t="n">
        <v>0</v>
      </c>
      <c r="BC519" s="52" t="n">
        <v>0</v>
      </c>
      <c r="BD519" s="53" t="n">
        <v>0</v>
      </c>
      <c r="BE519" s="52" t="n">
        <v>0</v>
      </c>
      <c r="BF519" s="51" t="n">
        <v>0</v>
      </c>
    </row>
    <row r="520">
      <c r="A520">
        <f>HYPERLINK("https://www.walmart.com/ip/411330252", "411330252")</f>
        <v/>
      </c>
      <c r="B520" t="inlineStr">
        <is>
          <t>Ski Gloves for Women &amp; Men 3M Winter Snow Gloves Mittens Insulation Waterproof for Outdoors Sports</t>
        </is>
      </c>
      <c r="C520" t="inlineStr">
        <is>
          <t>1SLWG100PKL</t>
        </is>
      </c>
      <c r="D520" t="inlineStr">
        <is>
          <t>Gloves &amp; Mittens</t>
        </is>
      </c>
      <c r="E520" t="inlineStr">
        <is>
          <t>Solaris</t>
        </is>
      </c>
      <c r="F520" t="inlineStr">
        <is>
          <t>Gloves,Batch 1 - TR</t>
        </is>
      </c>
      <c r="G520" s="48" t="n">
        <v>0</v>
      </c>
      <c r="H520" s="49" t="n">
        <v>0</v>
      </c>
      <c r="I520" s="49" t="n">
        <v>0</v>
      </c>
      <c r="J520" s="50" t="n">
        <v>0</v>
      </c>
      <c r="K520" s="51" t="n">
        <v>0</v>
      </c>
      <c r="L520" s="52" t="n">
        <v>0</v>
      </c>
      <c r="M520" s="52" t="n">
        <v>0</v>
      </c>
      <c r="N520" s="52" t="n">
        <v>0</v>
      </c>
      <c r="O520" s="53" t="n">
        <v>0</v>
      </c>
      <c r="P520" s="52" t="n">
        <v>0</v>
      </c>
      <c r="Q520" s="53" t="n">
        <v>0</v>
      </c>
      <c r="R520" s="52" t="n">
        <v>0</v>
      </c>
      <c r="S520" s="51" t="n">
        <v>0</v>
      </c>
      <c r="T520" s="48" t="n">
        <v>0</v>
      </c>
      <c r="U520" s="49" t="n">
        <v>0</v>
      </c>
      <c r="V520" s="49" t="n">
        <v>0</v>
      </c>
      <c r="W520" s="50" t="n">
        <v>0</v>
      </c>
      <c r="X520" s="51" t="n">
        <v>0</v>
      </c>
      <c r="Y520" s="52" t="n">
        <v>0</v>
      </c>
      <c r="Z520" s="52" t="n">
        <v>0</v>
      </c>
      <c r="AA520" s="52" t="n">
        <v>0</v>
      </c>
      <c r="AB520" s="53" t="n">
        <v>0</v>
      </c>
      <c r="AC520" s="52" t="n">
        <v>0</v>
      </c>
      <c r="AD520" s="53" t="n">
        <v>0</v>
      </c>
      <c r="AE520" s="52" t="n">
        <v>0</v>
      </c>
      <c r="AF520" s="51" t="n">
        <v>0</v>
      </c>
      <c r="AG520" s="48" t="n">
        <v>0</v>
      </c>
      <c r="AH520" s="49" t="n">
        <v>0</v>
      </c>
      <c r="AI520" s="49" t="n">
        <v>0</v>
      </c>
      <c r="AJ520" s="50" t="n">
        <v>0</v>
      </c>
      <c r="AK520" s="51" t="n">
        <v>0</v>
      </c>
      <c r="AL520" s="52" t="n">
        <v>0</v>
      </c>
      <c r="AM520" s="52" t="n">
        <v>0</v>
      </c>
      <c r="AN520" s="52" t="n">
        <v>0</v>
      </c>
      <c r="AO520" s="53" t="n">
        <v>0</v>
      </c>
      <c r="AP520" s="52" t="n">
        <v>0</v>
      </c>
      <c r="AQ520" s="53" t="n">
        <v>0</v>
      </c>
      <c r="AR520" s="52" t="n">
        <v>0</v>
      </c>
      <c r="AS520" s="51" t="n">
        <v>0</v>
      </c>
      <c r="AT520" s="48" t="n">
        <v>0</v>
      </c>
      <c r="AU520" s="49" t="n">
        <v>0</v>
      </c>
      <c r="AV520" s="49" t="n">
        <v>0</v>
      </c>
      <c r="AW520" s="50" t="n">
        <v>0</v>
      </c>
      <c r="AX520" s="51" t="n">
        <v>0</v>
      </c>
      <c r="AY520" s="52" t="n">
        <v>0</v>
      </c>
      <c r="AZ520" s="52" t="n">
        <v>0</v>
      </c>
      <c r="BA520" s="52" t="n">
        <v>0</v>
      </c>
      <c r="BB520" s="53" t="n">
        <v>0</v>
      </c>
      <c r="BC520" s="52" t="n">
        <v>0</v>
      </c>
      <c r="BD520" s="53" t="n">
        <v>0</v>
      </c>
      <c r="BE520" s="52" t="n">
        <v>0</v>
      </c>
      <c r="BF520" s="51" t="n">
        <v>0</v>
      </c>
    </row>
    <row r="521">
      <c r="A521">
        <f>HYPERLINK("https://www.walmart.com/ip/411332148", "411332148")</f>
        <v/>
      </c>
      <c r="B521" t="inlineStr">
        <is>
          <t>KritterWorld® Pet Dog Cat Puppy Kitten Microplush Sherpa Snuggle Blanket for Couch, Car, Trunk, Cage, Kennel, Dog House, 45" x30" Wine/Tan</t>
        </is>
      </c>
      <c r="C521" t="inlineStr">
        <is>
          <t>DOG3045-WNTA</t>
        </is>
      </c>
      <c r="D521" t="inlineStr">
        <is>
          <t>Pet Blankets</t>
        </is>
      </c>
      <c r="E521" t="inlineStr">
        <is>
          <t>KritterWorld</t>
        </is>
      </c>
      <c r="F521" t="inlineStr">
        <is>
          <t>Batch 1 - TR</t>
        </is>
      </c>
      <c r="G521" s="48" t="n">
        <v>0</v>
      </c>
      <c r="H521" s="49" t="n">
        <v>0</v>
      </c>
      <c r="I521" s="49" t="n">
        <v>0</v>
      </c>
      <c r="J521" s="50" t="n">
        <v>0</v>
      </c>
      <c r="K521" s="51" t="n">
        <v>0</v>
      </c>
      <c r="L521" s="52" t="n">
        <v>0</v>
      </c>
      <c r="M521" s="52" t="n">
        <v>0</v>
      </c>
      <c r="N521" s="52" t="n">
        <v>0</v>
      </c>
      <c r="O521" s="53" t="n">
        <v>0</v>
      </c>
      <c r="P521" s="52" t="n">
        <v>0</v>
      </c>
      <c r="Q521" s="53" t="n">
        <v>0</v>
      </c>
      <c r="R521" s="52" t="n">
        <v>0</v>
      </c>
      <c r="S521" s="51" t="n">
        <v>0</v>
      </c>
      <c r="T521" s="48" t="n">
        <v>0</v>
      </c>
      <c r="U521" s="49" t="n">
        <v>0</v>
      </c>
      <c r="V521" s="49" t="n">
        <v>0</v>
      </c>
      <c r="W521" s="50" t="n">
        <v>0</v>
      </c>
      <c r="X521" s="51" t="n">
        <v>0</v>
      </c>
      <c r="Y521" s="52" t="n">
        <v>0</v>
      </c>
      <c r="Z521" s="52" t="n">
        <v>0</v>
      </c>
      <c r="AA521" s="52" t="n">
        <v>0</v>
      </c>
      <c r="AB521" s="53" t="n">
        <v>0</v>
      </c>
      <c r="AC521" s="52" t="n">
        <v>0</v>
      </c>
      <c r="AD521" s="53" t="n">
        <v>0</v>
      </c>
      <c r="AE521" s="52" t="n">
        <v>0</v>
      </c>
      <c r="AF521" s="51" t="n">
        <v>0</v>
      </c>
      <c r="AG521" s="48" t="n">
        <v>0</v>
      </c>
      <c r="AH521" s="49" t="n">
        <v>0</v>
      </c>
      <c r="AI521" s="49" t="n">
        <v>0</v>
      </c>
      <c r="AJ521" s="50" t="n">
        <v>0</v>
      </c>
      <c r="AK521" s="51" t="n">
        <v>0</v>
      </c>
      <c r="AL521" s="52" t="n">
        <v>0</v>
      </c>
      <c r="AM521" s="52" t="n">
        <v>0</v>
      </c>
      <c r="AN521" s="52" t="n">
        <v>0</v>
      </c>
      <c r="AO521" s="53" t="n">
        <v>0</v>
      </c>
      <c r="AP521" s="52" t="n">
        <v>0</v>
      </c>
      <c r="AQ521" s="53" t="n">
        <v>0</v>
      </c>
      <c r="AR521" s="52" t="n">
        <v>0</v>
      </c>
      <c r="AS521" s="51" t="n">
        <v>0</v>
      </c>
      <c r="AT521" s="48" t="n">
        <v>0</v>
      </c>
      <c r="AU521" s="49" t="n">
        <v>0</v>
      </c>
      <c r="AV521" s="49" t="n">
        <v>0</v>
      </c>
      <c r="AW521" s="50" t="n">
        <v>0</v>
      </c>
      <c r="AX521" s="51" t="n">
        <v>0</v>
      </c>
      <c r="AY521" s="52" t="n">
        <v>0</v>
      </c>
      <c r="AZ521" s="52" t="n">
        <v>0</v>
      </c>
      <c r="BA521" s="52" t="n">
        <v>0</v>
      </c>
      <c r="BB521" s="53" t="n">
        <v>0</v>
      </c>
      <c r="BC521" s="52" t="n">
        <v>0</v>
      </c>
      <c r="BD521" s="53" t="n">
        <v>0</v>
      </c>
      <c r="BE521" s="52" t="n">
        <v>0</v>
      </c>
      <c r="BF521" s="51" t="n">
        <v>0</v>
      </c>
    </row>
    <row r="522">
      <c r="A522">
        <f>HYPERLINK("https://www.walmart.com/ip/411718770", "411718770")</f>
        <v/>
      </c>
      <c r="B522" t="inlineStr">
        <is>
          <t>Jennis Women's Plue Size Flower laced Sexy Babydoll</t>
        </is>
      </c>
      <c r="C522" t="inlineStr">
        <is>
          <t>JWBD05WT-3XL</t>
        </is>
      </c>
      <c r="D522" t="inlineStr">
        <is>
          <t>Lingerie Sets</t>
        </is>
      </c>
      <c r="E522" t="inlineStr">
        <is>
          <t>JenniWears</t>
        </is>
      </c>
      <c r="F522" t="inlineStr">
        <is>
          <t>Valentine</t>
        </is>
      </c>
      <c r="G522" s="48" t="n">
        <v>0</v>
      </c>
      <c r="H522" s="49" t="n">
        <v>0</v>
      </c>
      <c r="I522" s="49" t="n">
        <v>0</v>
      </c>
      <c r="J522" s="50" t="n">
        <v>0</v>
      </c>
      <c r="K522" s="51" t="n">
        <v>0</v>
      </c>
      <c r="L522" s="52" t="n">
        <v>0</v>
      </c>
      <c r="M522" s="52" t="n">
        <v>0</v>
      </c>
      <c r="N522" s="52" t="n">
        <v>0</v>
      </c>
      <c r="O522" s="53" t="n">
        <v>0</v>
      </c>
      <c r="P522" s="52" t="n">
        <v>0</v>
      </c>
      <c r="Q522" s="53" t="n">
        <v>0</v>
      </c>
      <c r="R522" s="52" t="n">
        <v>0</v>
      </c>
      <c r="S522" s="51" t="n">
        <v>0</v>
      </c>
      <c r="T522" s="48" t="n">
        <v>0</v>
      </c>
      <c r="U522" s="49" t="n">
        <v>0</v>
      </c>
      <c r="V522" s="49" t="n">
        <v>0</v>
      </c>
      <c r="W522" s="50" t="n">
        <v>0</v>
      </c>
      <c r="X522" s="51" t="n">
        <v>0</v>
      </c>
      <c r="Y522" s="52" t="n">
        <v>0</v>
      </c>
      <c r="Z522" s="52" t="n">
        <v>0</v>
      </c>
      <c r="AA522" s="52" t="n">
        <v>0</v>
      </c>
      <c r="AB522" s="53" t="n">
        <v>0</v>
      </c>
      <c r="AC522" s="52" t="n">
        <v>0</v>
      </c>
      <c r="AD522" s="53" t="n">
        <v>0</v>
      </c>
      <c r="AE522" s="52" t="n">
        <v>0</v>
      </c>
      <c r="AF522" s="51" t="n">
        <v>0</v>
      </c>
      <c r="AG522" s="48" t="n">
        <v>0</v>
      </c>
      <c r="AH522" s="49" t="n">
        <v>0</v>
      </c>
      <c r="AI522" s="49" t="n">
        <v>0</v>
      </c>
      <c r="AJ522" s="50" t="n">
        <v>0</v>
      </c>
      <c r="AK522" s="51" t="n">
        <v>0</v>
      </c>
      <c r="AL522" s="52" t="n">
        <v>0</v>
      </c>
      <c r="AM522" s="52" t="n">
        <v>0</v>
      </c>
      <c r="AN522" s="52" t="n">
        <v>0</v>
      </c>
      <c r="AO522" s="53" t="n">
        <v>0</v>
      </c>
      <c r="AP522" s="52" t="n">
        <v>0</v>
      </c>
      <c r="AQ522" s="53" t="n">
        <v>0</v>
      </c>
      <c r="AR522" s="52" t="n">
        <v>0</v>
      </c>
      <c r="AS522" s="51" t="n">
        <v>0</v>
      </c>
      <c r="AT522" s="48" t="n">
        <v>0</v>
      </c>
      <c r="AU522" s="49" t="n">
        <v>0</v>
      </c>
      <c r="AV522" s="49" t="n">
        <v>0</v>
      </c>
      <c r="AW522" s="50" t="n">
        <v>0</v>
      </c>
      <c r="AX522" s="51" t="n">
        <v>0</v>
      </c>
      <c r="AY522" s="52" t="n">
        <v>0</v>
      </c>
      <c r="AZ522" s="52" t="n">
        <v>0</v>
      </c>
      <c r="BA522" s="52" t="n">
        <v>0</v>
      </c>
      <c r="BB522" s="53" t="n">
        <v>0</v>
      </c>
      <c r="BC522" s="52" t="n">
        <v>0</v>
      </c>
      <c r="BD522" s="53" t="n">
        <v>0</v>
      </c>
      <c r="BE522" s="52" t="n">
        <v>0</v>
      </c>
      <c r="BF522" s="51" t="n">
        <v>0</v>
      </c>
    </row>
    <row r="523">
      <c r="A523">
        <f>HYPERLINK("https://www.walmart.com/ip/412174153", "412174153")</f>
        <v/>
      </c>
      <c r="B523" t="inlineStr">
        <is>
          <t>Sherpa Wearable Blanket with Sleeves Arms, Super Soft Warm Comfy Large Fleece Plush Sleeved TV Throws Wrap Robe Blanket for Adult Women and Men by Catalonia, Wine, 72" x 55”.</t>
        </is>
      </c>
      <c r="C523" t="inlineStr">
        <is>
          <t>1CTSN210WN</t>
        </is>
      </c>
      <c r="D523" t="inlineStr">
        <is>
          <t>Throws</t>
        </is>
      </c>
      <c r="E523" t="inlineStr">
        <is>
          <t>Catalonia</t>
        </is>
      </c>
      <c r="F523" t="inlineStr">
        <is>
          <t>Q2-Target,WFS,Coupon_Discount,WFS Item</t>
        </is>
      </c>
      <c r="G523" s="48" t="n">
        <v>0</v>
      </c>
      <c r="H523" s="49" t="n">
        <v>0</v>
      </c>
      <c r="I523" s="49" t="n">
        <v>0</v>
      </c>
      <c r="J523" s="50" t="n">
        <v>0</v>
      </c>
      <c r="K523" s="51" t="n">
        <v>0</v>
      </c>
      <c r="L523" s="52" t="n">
        <v>0</v>
      </c>
      <c r="M523" s="52" t="n">
        <v>0</v>
      </c>
      <c r="N523" s="52" t="n">
        <v>0</v>
      </c>
      <c r="O523" s="53" t="n">
        <v>0</v>
      </c>
      <c r="P523" s="52" t="n">
        <v>0</v>
      </c>
      <c r="Q523" s="53" t="n">
        <v>0</v>
      </c>
      <c r="R523" s="52" t="n">
        <v>0</v>
      </c>
      <c r="S523" s="51" t="n">
        <v>0</v>
      </c>
      <c r="T523" s="48" t="n">
        <v>0</v>
      </c>
      <c r="U523" s="49" t="n">
        <v>0</v>
      </c>
      <c r="V523" s="49" t="n">
        <v>0</v>
      </c>
      <c r="W523" s="50" t="n">
        <v>0</v>
      </c>
      <c r="X523" s="51" t="n">
        <v>0</v>
      </c>
      <c r="Y523" s="52" t="n">
        <v>0</v>
      </c>
      <c r="Z523" s="52" t="n">
        <v>0</v>
      </c>
      <c r="AA523" s="52" t="n">
        <v>0</v>
      </c>
      <c r="AB523" s="53" t="n">
        <v>0</v>
      </c>
      <c r="AC523" s="52" t="n">
        <v>0</v>
      </c>
      <c r="AD523" s="53" t="n">
        <v>0</v>
      </c>
      <c r="AE523" s="52" t="n">
        <v>0</v>
      </c>
      <c r="AF523" s="51" t="n">
        <v>0</v>
      </c>
      <c r="AG523" s="48" t="n">
        <v>0</v>
      </c>
      <c r="AH523" s="49" t="n">
        <v>0</v>
      </c>
      <c r="AI523" s="49" t="n">
        <v>0</v>
      </c>
      <c r="AJ523" s="50" t="n">
        <v>0</v>
      </c>
      <c r="AK523" s="51" t="n">
        <v>0</v>
      </c>
      <c r="AL523" s="52" t="n">
        <v>0</v>
      </c>
      <c r="AM523" s="52" t="n">
        <v>0</v>
      </c>
      <c r="AN523" s="52" t="n">
        <v>0</v>
      </c>
      <c r="AO523" s="53" t="n">
        <v>0</v>
      </c>
      <c r="AP523" s="52" t="n">
        <v>0</v>
      </c>
      <c r="AQ523" s="53" t="n">
        <v>0</v>
      </c>
      <c r="AR523" s="52" t="n">
        <v>0</v>
      </c>
      <c r="AS523" s="51" t="n">
        <v>0</v>
      </c>
      <c r="AT523" s="48" t="n">
        <v>0</v>
      </c>
      <c r="AU523" s="49" t="n">
        <v>0</v>
      </c>
      <c r="AV523" s="49" t="n">
        <v>0</v>
      </c>
      <c r="AW523" s="50" t="n">
        <v>0</v>
      </c>
      <c r="AX523" s="51" t="n">
        <v>0</v>
      </c>
      <c r="AY523" s="52" t="n">
        <v>0</v>
      </c>
      <c r="AZ523" s="52" t="n">
        <v>0</v>
      </c>
      <c r="BA523" s="52" t="n">
        <v>0</v>
      </c>
      <c r="BB523" s="53" t="n">
        <v>0</v>
      </c>
      <c r="BC523" s="52" t="n">
        <v>0</v>
      </c>
      <c r="BD523" s="53" t="n">
        <v>0</v>
      </c>
      <c r="BE523" s="52" t="n">
        <v>0</v>
      </c>
      <c r="BF523" s="51" t="n">
        <v>0</v>
      </c>
    </row>
    <row r="524">
      <c r="A524">
        <f>HYPERLINK("https://www.walmart.com/ip/412344441", "412344441")</f>
        <v/>
      </c>
      <c r="B524" t="inlineStr">
        <is>
          <t>Tirrinia Super Soft Fluffy Hooded Robe Long Plush Fuzzy Bathrobe for Women with Hood Sherpa Lined, Machine Washable, Pink</t>
        </is>
      </c>
      <c r="C524" t="inlineStr">
        <is>
          <t>1TRRB100PK</t>
        </is>
      </c>
      <c r="D524" t="inlineStr">
        <is>
          <t>Sleepwear Robes &amp; Bathrobes</t>
        </is>
      </c>
      <c r="E524" t="inlineStr">
        <is>
          <t>Tirrinia</t>
        </is>
      </c>
      <c r="F524" t="inlineStr">
        <is>
          <t>WFS,Bathrobe,Coupon_Discount,WFS Item</t>
        </is>
      </c>
      <c r="G524" s="48" t="n">
        <v>0</v>
      </c>
      <c r="H524" s="49" t="n">
        <v>0</v>
      </c>
      <c r="I524" s="49" t="n">
        <v>0</v>
      </c>
      <c r="J524" s="50" t="n">
        <v>0</v>
      </c>
      <c r="K524" s="51" t="n">
        <v>0</v>
      </c>
      <c r="L524" s="52" t="n">
        <v>0</v>
      </c>
      <c r="M524" s="52" t="n">
        <v>0</v>
      </c>
      <c r="N524" s="52" t="n">
        <v>0</v>
      </c>
      <c r="O524" s="53" t="n">
        <v>0</v>
      </c>
      <c r="P524" s="52" t="n">
        <v>0</v>
      </c>
      <c r="Q524" s="53" t="n">
        <v>0</v>
      </c>
      <c r="R524" s="52" t="n">
        <v>0</v>
      </c>
      <c r="S524" s="51" t="n">
        <v>0</v>
      </c>
      <c r="T524" s="48" t="n">
        <v>0</v>
      </c>
      <c r="U524" s="49" t="n">
        <v>0</v>
      </c>
      <c r="V524" s="49" t="n">
        <v>0</v>
      </c>
      <c r="W524" s="50" t="n">
        <v>0</v>
      </c>
      <c r="X524" s="51" t="n">
        <v>0</v>
      </c>
      <c r="Y524" s="52" t="n">
        <v>0</v>
      </c>
      <c r="Z524" s="52" t="n">
        <v>0</v>
      </c>
      <c r="AA524" s="52" t="n">
        <v>0</v>
      </c>
      <c r="AB524" s="53" t="n">
        <v>0</v>
      </c>
      <c r="AC524" s="52" t="n">
        <v>0</v>
      </c>
      <c r="AD524" s="53" t="n">
        <v>0</v>
      </c>
      <c r="AE524" s="52" t="n">
        <v>0</v>
      </c>
      <c r="AF524" s="51" t="n">
        <v>0</v>
      </c>
      <c r="AG524" s="48" t="n">
        <v>0</v>
      </c>
      <c r="AH524" s="49" t="n">
        <v>0</v>
      </c>
      <c r="AI524" s="49" t="n">
        <v>0</v>
      </c>
      <c r="AJ524" s="50" t="n">
        <v>0</v>
      </c>
      <c r="AK524" s="51" t="n">
        <v>0</v>
      </c>
      <c r="AL524" s="52" t="n">
        <v>0</v>
      </c>
      <c r="AM524" s="52" t="n">
        <v>0</v>
      </c>
      <c r="AN524" s="52" t="n">
        <v>0</v>
      </c>
      <c r="AO524" s="53" t="n">
        <v>0</v>
      </c>
      <c r="AP524" s="52" t="n">
        <v>0</v>
      </c>
      <c r="AQ524" s="53" t="n">
        <v>0</v>
      </c>
      <c r="AR524" s="52" t="n">
        <v>0</v>
      </c>
      <c r="AS524" s="51" t="n">
        <v>0</v>
      </c>
      <c r="AT524" s="48" t="n">
        <v>0</v>
      </c>
      <c r="AU524" s="49" t="n">
        <v>0</v>
      </c>
      <c r="AV524" s="49" t="n">
        <v>0</v>
      </c>
      <c r="AW524" s="50" t="n">
        <v>0</v>
      </c>
      <c r="AX524" s="51" t="n">
        <v>0</v>
      </c>
      <c r="AY524" s="52" t="n">
        <v>0</v>
      </c>
      <c r="AZ524" s="52" t="n">
        <v>0</v>
      </c>
      <c r="BA524" s="52" t="n">
        <v>0</v>
      </c>
      <c r="BB524" s="53" t="n">
        <v>0</v>
      </c>
      <c r="BC524" s="52" t="n">
        <v>0</v>
      </c>
      <c r="BD524" s="53" t="n">
        <v>0</v>
      </c>
      <c r="BE524" s="52" t="n">
        <v>0</v>
      </c>
      <c r="BF524" s="51" t="n">
        <v>0</v>
      </c>
    </row>
    <row r="525">
      <c r="A525">
        <f>HYPERLINK("https://www.walmart.com/ip/412453093", "412453093")</f>
        <v/>
      </c>
      <c r="B525" t="inlineStr">
        <is>
          <t>Tirrinia Red Plaid Foldable Waterproof Outdoor Blanket for Camping, Stadium, 59'' X 80''</t>
        </is>
      </c>
      <c r="C525" t="inlineStr">
        <is>
          <t>1TRBW608PRD</t>
        </is>
      </c>
      <c r="D525" t="inlineStr">
        <is>
          <t>Throws</t>
        </is>
      </c>
      <c r="E525" t="inlineStr">
        <is>
          <t>Tirrinia</t>
        </is>
      </c>
      <c r="F525" t="inlineStr">
        <is>
          <t>Optimized</t>
        </is>
      </c>
      <c r="G525" s="48" t="n">
        <v>0</v>
      </c>
      <c r="H525" s="49" t="n">
        <v>0</v>
      </c>
      <c r="I525" s="49" t="n">
        <v>0</v>
      </c>
      <c r="J525" s="50" t="n">
        <v>0</v>
      </c>
      <c r="K525" s="51" t="n">
        <v>1</v>
      </c>
      <c r="L525" s="52" t="n">
        <v>0.22</v>
      </c>
      <c r="M525" s="52" t="n">
        <v>0</v>
      </c>
      <c r="N525" s="52" t="n">
        <v>0</v>
      </c>
      <c r="O525" s="53" t="n">
        <v>0.0004</v>
      </c>
      <c r="P525" s="52" t="n">
        <v>0.22</v>
      </c>
      <c r="Q525" s="53" t="n">
        <v>0</v>
      </c>
      <c r="R525" s="52" t="n">
        <v>0</v>
      </c>
      <c r="S525" s="51" t="n">
        <v>2339</v>
      </c>
      <c r="T525" s="48" t="n">
        <v>0</v>
      </c>
      <c r="U525" s="49" t="n">
        <v>0</v>
      </c>
      <c r="V525" s="49" t="n">
        <v>0</v>
      </c>
      <c r="W525" s="50" t="n">
        <v>0</v>
      </c>
      <c r="X525" s="51" t="n">
        <v>1</v>
      </c>
      <c r="Y525" s="52" t="n">
        <v>0.31</v>
      </c>
      <c r="Z525" s="52" t="n">
        <v>0</v>
      </c>
      <c r="AA525" s="52" t="n">
        <v>0</v>
      </c>
      <c r="AB525" s="53" t="n">
        <v>0.0003</v>
      </c>
      <c r="AC525" s="52" t="n">
        <v>0.31</v>
      </c>
      <c r="AD525" s="53" t="n">
        <v>0</v>
      </c>
      <c r="AE525" s="52" t="n">
        <v>0</v>
      </c>
      <c r="AF525" s="51" t="n">
        <v>3464</v>
      </c>
      <c r="AG525" s="48" t="n">
        <v>0</v>
      </c>
      <c r="AH525" s="49" t="n">
        <v>0</v>
      </c>
      <c r="AI525" s="49" t="n">
        <v>0</v>
      </c>
      <c r="AJ525" s="50" t="n">
        <v>0</v>
      </c>
      <c r="AK525" s="51" t="n">
        <v>0</v>
      </c>
      <c r="AL525" s="52" t="n">
        <v>0</v>
      </c>
      <c r="AM525" s="52" t="n">
        <v>0</v>
      </c>
      <c r="AN525" s="52" t="n">
        <v>0</v>
      </c>
      <c r="AO525" s="53" t="n">
        <v>0</v>
      </c>
      <c r="AP525" s="52" t="n">
        <v>0</v>
      </c>
      <c r="AQ525" s="53" t="n">
        <v>0</v>
      </c>
      <c r="AR525" s="52" t="n">
        <v>0</v>
      </c>
      <c r="AS525" s="51" t="n">
        <v>0</v>
      </c>
      <c r="AT525" s="48" t="n">
        <v>0</v>
      </c>
      <c r="AU525" s="49" t="n">
        <v>0</v>
      </c>
      <c r="AV525" s="49" t="n">
        <v>0</v>
      </c>
      <c r="AW525" s="50" t="n">
        <v>0</v>
      </c>
      <c r="AX525" s="51" t="n">
        <v>0</v>
      </c>
      <c r="AY525" s="52" t="n">
        <v>0</v>
      </c>
      <c r="AZ525" s="52" t="n">
        <v>0</v>
      </c>
      <c r="BA525" s="52" t="n">
        <v>0</v>
      </c>
      <c r="BB525" s="53" t="n">
        <v>0</v>
      </c>
      <c r="BC525" s="52" t="n">
        <v>0</v>
      </c>
      <c r="BD525" s="53" t="n">
        <v>0</v>
      </c>
      <c r="BE525" s="52" t="n">
        <v>0</v>
      </c>
      <c r="BF525" s="51" t="n">
        <v>682</v>
      </c>
    </row>
    <row r="526">
      <c r="A526">
        <f>HYPERLINK("https://www.walmart.com/ip/412724953", "412724953")</f>
        <v/>
      </c>
      <c r="B526" t="inlineStr">
        <is>
          <t>Tirrinia Brown Buffalo Plaid Fleece Blanket TV Throw 50" x 60", Super Soft Warm Comfy Flannel Fleece Bedding Couch Cabin Throw Decorative Blankets</t>
        </is>
      </c>
      <c r="C526" t="inlineStr">
        <is>
          <t>1TRBF576PBR</t>
        </is>
      </c>
      <c r="D526" t="inlineStr">
        <is>
          <t>Throws</t>
        </is>
      </c>
      <c r="E526" t="inlineStr">
        <is>
          <t>Tirrinia</t>
        </is>
      </c>
      <c r="F526" t="inlineStr">
        <is>
          <t>Q2-Target,WFS,Coupon_Discount,WFS Item,Fleece Blankets</t>
        </is>
      </c>
      <c r="G526" s="48" t="n">
        <v>0</v>
      </c>
      <c r="H526" s="49" t="n">
        <v>0</v>
      </c>
      <c r="I526" s="49" t="n">
        <v>0</v>
      </c>
      <c r="J526" s="50" t="n">
        <v>0</v>
      </c>
      <c r="K526" s="51" t="n">
        <v>0</v>
      </c>
      <c r="L526" s="52" t="n">
        <v>0</v>
      </c>
      <c r="M526" s="52" t="n">
        <v>0</v>
      </c>
      <c r="N526" s="52" t="n">
        <v>0</v>
      </c>
      <c r="O526" s="53" t="n">
        <v>0</v>
      </c>
      <c r="P526" s="52" t="n">
        <v>0</v>
      </c>
      <c r="Q526" s="53" t="n">
        <v>0</v>
      </c>
      <c r="R526" s="52" t="n">
        <v>0</v>
      </c>
      <c r="S526" s="51" t="n">
        <v>0</v>
      </c>
      <c r="T526" s="48" t="n">
        <v>0</v>
      </c>
      <c r="U526" s="49" t="n">
        <v>0</v>
      </c>
      <c r="V526" s="49" t="n">
        <v>0</v>
      </c>
      <c r="W526" s="50" t="n">
        <v>0</v>
      </c>
      <c r="X526" s="51" t="n">
        <v>0</v>
      </c>
      <c r="Y526" s="52" t="n">
        <v>0</v>
      </c>
      <c r="Z526" s="52" t="n">
        <v>0</v>
      </c>
      <c r="AA526" s="52" t="n">
        <v>0</v>
      </c>
      <c r="AB526" s="53" t="n">
        <v>0</v>
      </c>
      <c r="AC526" s="52" t="n">
        <v>0</v>
      </c>
      <c r="AD526" s="53" t="n">
        <v>0</v>
      </c>
      <c r="AE526" s="52" t="n">
        <v>0</v>
      </c>
      <c r="AF526" s="51" t="n">
        <v>0</v>
      </c>
      <c r="AG526" s="48" t="n">
        <v>20.99</v>
      </c>
      <c r="AH526" s="49" t="n">
        <v>1</v>
      </c>
      <c r="AI526" s="49" t="n">
        <v>0</v>
      </c>
      <c r="AJ526" s="50" t="n">
        <v>0</v>
      </c>
      <c r="AK526" s="51" t="n">
        <v>0</v>
      </c>
      <c r="AL526" s="52" t="n">
        <v>0</v>
      </c>
      <c r="AM526" s="52" t="n">
        <v>0</v>
      </c>
      <c r="AN526" s="52" t="n">
        <v>0</v>
      </c>
      <c r="AO526" s="53" t="n">
        <v>0</v>
      </c>
      <c r="AP526" s="52" t="n">
        <v>0</v>
      </c>
      <c r="AQ526" s="53" t="n">
        <v>0</v>
      </c>
      <c r="AR526" s="52" t="n">
        <v>20.99</v>
      </c>
      <c r="AS526" s="51" t="n">
        <v>0</v>
      </c>
      <c r="AT526" s="48" t="n">
        <v>0</v>
      </c>
      <c r="AU526" s="49" t="n">
        <v>0</v>
      </c>
      <c r="AV526" s="49" t="n">
        <v>0</v>
      </c>
      <c r="AW526" s="50" t="n">
        <v>0</v>
      </c>
      <c r="AX526" s="51" t="n">
        <v>0</v>
      </c>
      <c r="AY526" s="52" t="n">
        <v>0</v>
      </c>
      <c r="AZ526" s="52" t="n">
        <v>0</v>
      </c>
      <c r="BA526" s="52" t="n">
        <v>0</v>
      </c>
      <c r="BB526" s="53" t="n">
        <v>0</v>
      </c>
      <c r="BC526" s="52" t="n">
        <v>0</v>
      </c>
      <c r="BD526" s="53" t="n">
        <v>0</v>
      </c>
      <c r="BE526" s="52" t="n">
        <v>0</v>
      </c>
      <c r="BF526" s="51" t="n">
        <v>0</v>
      </c>
    </row>
    <row r="527">
      <c r="A527">
        <f>HYPERLINK("https://www.walmart.com/ip/413859906", "413859906")</f>
        <v/>
      </c>
      <c r="B527" t="inlineStr">
        <is>
          <t>Flyingstar Monkey Blanket for Kids, Hooded Wearable Snuggle Tail Blanket, Super Soft Plush Slumber Bags for Toddlers and Children, All Seasons</t>
        </is>
      </c>
      <c r="C527" t="inlineStr">
        <is>
          <t>1WMMM200MK</t>
        </is>
      </c>
      <c r="D527" t="inlineStr">
        <is>
          <t>Baby Blankets</t>
        </is>
      </c>
      <c r="E527" t="inlineStr">
        <is>
          <t>Flyingstar</t>
        </is>
      </c>
      <c r="F527" t="inlineStr">
        <is>
          <t>Baby days,Optimized</t>
        </is>
      </c>
      <c r="G527" s="48" t="n">
        <v>0</v>
      </c>
      <c r="H527" s="49" t="n">
        <v>0</v>
      </c>
      <c r="I527" s="49" t="n">
        <v>0</v>
      </c>
      <c r="J527" s="50" t="n">
        <v>0</v>
      </c>
      <c r="K527" s="51" t="n">
        <v>0</v>
      </c>
      <c r="L527" s="52" t="n">
        <v>0</v>
      </c>
      <c r="M527" s="52" t="n">
        <v>0</v>
      </c>
      <c r="N527" s="52" t="n">
        <v>0</v>
      </c>
      <c r="O527" s="53" t="n">
        <v>0</v>
      </c>
      <c r="P527" s="52" t="n">
        <v>0</v>
      </c>
      <c r="Q527" s="53" t="n">
        <v>0</v>
      </c>
      <c r="R527" s="52" t="n">
        <v>0</v>
      </c>
      <c r="S527" s="51" t="n">
        <v>0</v>
      </c>
      <c r="T527" s="48" t="n">
        <v>0</v>
      </c>
      <c r="U527" s="49" t="n">
        <v>0</v>
      </c>
      <c r="V527" s="49" t="n">
        <v>0</v>
      </c>
      <c r="W527" s="50" t="n">
        <v>0</v>
      </c>
      <c r="X527" s="51" t="n">
        <v>0</v>
      </c>
      <c r="Y527" s="52" t="n">
        <v>0</v>
      </c>
      <c r="Z527" s="52" t="n">
        <v>0</v>
      </c>
      <c r="AA527" s="52" t="n">
        <v>0</v>
      </c>
      <c r="AB527" s="53" t="n">
        <v>0</v>
      </c>
      <c r="AC527" s="52" t="n">
        <v>0</v>
      </c>
      <c r="AD527" s="53" t="n">
        <v>0</v>
      </c>
      <c r="AE527" s="52" t="n">
        <v>0</v>
      </c>
      <c r="AF527" s="51" t="n">
        <v>0</v>
      </c>
      <c r="AG527" s="48" t="n">
        <v>0</v>
      </c>
      <c r="AH527" s="49" t="n">
        <v>0</v>
      </c>
      <c r="AI527" s="49" t="n">
        <v>0</v>
      </c>
      <c r="AJ527" s="50" t="n">
        <v>0</v>
      </c>
      <c r="AK527" s="51" t="n">
        <v>0</v>
      </c>
      <c r="AL527" s="52" t="n">
        <v>0</v>
      </c>
      <c r="AM527" s="52" t="n">
        <v>0</v>
      </c>
      <c r="AN527" s="52" t="n">
        <v>0</v>
      </c>
      <c r="AO527" s="53" t="n">
        <v>0</v>
      </c>
      <c r="AP527" s="52" t="n">
        <v>0</v>
      </c>
      <c r="AQ527" s="53" t="n">
        <v>0</v>
      </c>
      <c r="AR527" s="52" t="n">
        <v>0</v>
      </c>
      <c r="AS527" s="51" t="n">
        <v>0</v>
      </c>
      <c r="AT527" s="48" t="n">
        <v>0</v>
      </c>
      <c r="AU527" s="49" t="n">
        <v>0</v>
      </c>
      <c r="AV527" s="49" t="n">
        <v>0</v>
      </c>
      <c r="AW527" s="50" t="n">
        <v>0</v>
      </c>
      <c r="AX527" s="51" t="n">
        <v>0</v>
      </c>
      <c r="AY527" s="52" t="n">
        <v>0</v>
      </c>
      <c r="AZ527" s="52" t="n">
        <v>0</v>
      </c>
      <c r="BA527" s="52" t="n">
        <v>0</v>
      </c>
      <c r="BB527" s="53" t="n">
        <v>0</v>
      </c>
      <c r="BC527" s="52" t="n">
        <v>0</v>
      </c>
      <c r="BD527" s="53" t="n">
        <v>0</v>
      </c>
      <c r="BE527" s="52" t="n">
        <v>0</v>
      </c>
      <c r="BF527" s="51" t="n">
        <v>0</v>
      </c>
    </row>
    <row r="528">
      <c r="A528">
        <f>HYPERLINK("https://www.walmart.com/ip/413902863", "413902863")</f>
        <v/>
      </c>
      <c r="B528" t="inlineStr">
        <is>
          <t>Catalonia Waterproof Dog Blanket, Liquid Pee-Proof Blanket for Bed, Couch and Sofa, Protector Cover for Baby, Cozy Sherpa Lining Throws and Blankets for Camping and Boating, Black Plaid, 80'' x 60''</t>
        </is>
      </c>
      <c r="C528" t="inlineStr">
        <is>
          <t>1CTBW681BGBK</t>
        </is>
      </c>
      <c r="D528" t="inlineStr">
        <is>
          <t>Bed Blankets</t>
        </is>
      </c>
      <c r="E528" t="inlineStr">
        <is>
          <t>Catalonia</t>
        </is>
      </c>
      <c r="F528" t="inlineStr">
        <is>
          <t>High AUR Items,Batch 1 - TR</t>
        </is>
      </c>
      <c r="G528" s="48" t="n">
        <v>0</v>
      </c>
      <c r="H528" s="49" t="n">
        <v>0</v>
      </c>
      <c r="I528" s="49" t="n">
        <v>0</v>
      </c>
      <c r="J528" s="50" t="n">
        <v>0</v>
      </c>
      <c r="K528" s="51" t="n">
        <v>0</v>
      </c>
      <c r="L528" s="52" t="n">
        <v>0</v>
      </c>
      <c r="M528" s="52" t="n">
        <v>0</v>
      </c>
      <c r="N528" s="52" t="n">
        <v>0</v>
      </c>
      <c r="O528" s="53" t="n">
        <v>0</v>
      </c>
      <c r="P528" s="52" t="n">
        <v>0</v>
      </c>
      <c r="Q528" s="53" t="n">
        <v>0</v>
      </c>
      <c r="R528" s="52" t="n">
        <v>0</v>
      </c>
      <c r="S528" s="51" t="n">
        <v>3070</v>
      </c>
      <c r="T528" s="48" t="n">
        <v>0</v>
      </c>
      <c r="U528" s="49" t="n">
        <v>0</v>
      </c>
      <c r="V528" s="49" t="n">
        <v>0</v>
      </c>
      <c r="W528" s="50" t="n">
        <v>0</v>
      </c>
      <c r="X528" s="51" t="n">
        <v>5</v>
      </c>
      <c r="Y528" s="52" t="n">
        <v>1.98</v>
      </c>
      <c r="Z528" s="52" t="n">
        <v>0</v>
      </c>
      <c r="AA528" s="52" t="n">
        <v>0</v>
      </c>
      <c r="AB528" s="53" t="n">
        <v>0.0017</v>
      </c>
      <c r="AC528" s="52" t="n">
        <v>0.396</v>
      </c>
      <c r="AD528" s="53" t="n">
        <v>0</v>
      </c>
      <c r="AE528" s="52" t="n">
        <v>0</v>
      </c>
      <c r="AF528" s="51" t="n">
        <v>2873</v>
      </c>
      <c r="AG528" s="48" t="n">
        <v>0</v>
      </c>
      <c r="AH528" s="49" t="n">
        <v>0</v>
      </c>
      <c r="AI528" s="49" t="n">
        <v>0</v>
      </c>
      <c r="AJ528" s="50" t="n">
        <v>0</v>
      </c>
      <c r="AK528" s="51" t="n">
        <v>1</v>
      </c>
      <c r="AL528" s="52" t="n">
        <v>0.45</v>
      </c>
      <c r="AM528" s="52" t="n">
        <v>0</v>
      </c>
      <c r="AN528" s="52" t="n">
        <v>0</v>
      </c>
      <c r="AO528" s="53" t="n">
        <v>0.0003</v>
      </c>
      <c r="AP528" s="52" t="n">
        <v>0.45</v>
      </c>
      <c r="AQ528" s="53" t="n">
        <v>0</v>
      </c>
      <c r="AR528" s="52" t="n">
        <v>0</v>
      </c>
      <c r="AS528" s="51" t="n">
        <v>2949</v>
      </c>
      <c r="AT528" s="48" t="n">
        <v>0</v>
      </c>
      <c r="AU528" s="49" t="n">
        <v>0</v>
      </c>
      <c r="AV528" s="49" t="n">
        <v>0</v>
      </c>
      <c r="AW528" s="50" t="n">
        <v>0</v>
      </c>
      <c r="AX528" s="51" t="n">
        <v>7</v>
      </c>
      <c r="AY528" s="52" t="n">
        <v>3.09</v>
      </c>
      <c r="AZ528" s="52" t="n">
        <v>0</v>
      </c>
      <c r="BA528" s="52" t="n">
        <v>0</v>
      </c>
      <c r="BB528" s="53" t="n">
        <v>0.002</v>
      </c>
      <c r="BC528" s="52" t="n">
        <v>0.4414285714285714</v>
      </c>
      <c r="BD528" s="53" t="n">
        <v>0</v>
      </c>
      <c r="BE528" s="52" t="n">
        <v>0</v>
      </c>
      <c r="BF528" s="51" t="n">
        <v>3467</v>
      </c>
    </row>
    <row r="529">
      <c r="A529">
        <f>HYPERLINK("https://www.walmart.com/ip/414280005", "414280005")</f>
        <v/>
      </c>
      <c r="B529" t="inlineStr">
        <is>
          <t>Catalonia Tirrinia Plush Fleece Long Robes for Women, Warm, Comfy, Fluffy Ladies Bathrobe With Hood, Machine Washable, One Size, Gray</t>
        </is>
      </c>
      <c r="C529" t="inlineStr">
        <is>
          <t>1CTRB100GY-LDCB</t>
        </is>
      </c>
      <c r="D529" t="inlineStr">
        <is>
          <t>Sleepwear Robes &amp; Bathrobes</t>
        </is>
      </c>
      <c r="E529" t="inlineStr">
        <is>
          <t>Catalonia</t>
        </is>
      </c>
      <c r="F529" t="inlineStr">
        <is>
          <t>Hero 5 Holidays,WFS,Bathrobe,Coupon_Discount,WFS Item</t>
        </is>
      </c>
      <c r="G529" s="48" t="n">
        <v>0</v>
      </c>
      <c r="H529" s="49" t="n">
        <v>0</v>
      </c>
      <c r="I529" s="49" t="n">
        <v>0</v>
      </c>
      <c r="J529" s="50" t="n">
        <v>0</v>
      </c>
      <c r="K529" s="51" t="n">
        <v>0</v>
      </c>
      <c r="L529" s="52" t="n">
        <v>0</v>
      </c>
      <c r="M529" s="52" t="n">
        <v>0</v>
      </c>
      <c r="N529" s="52" t="n">
        <v>0</v>
      </c>
      <c r="O529" s="53" t="n">
        <v>0</v>
      </c>
      <c r="P529" s="52" t="n">
        <v>0</v>
      </c>
      <c r="Q529" s="53" t="n">
        <v>0</v>
      </c>
      <c r="R529" s="52" t="n">
        <v>0</v>
      </c>
      <c r="S529" s="51" t="n">
        <v>0</v>
      </c>
      <c r="T529" s="48" t="n">
        <v>0</v>
      </c>
      <c r="U529" s="49" t="n">
        <v>0</v>
      </c>
      <c r="V529" s="49" t="n">
        <v>0</v>
      </c>
      <c r="W529" s="50" t="n">
        <v>0</v>
      </c>
      <c r="X529" s="51" t="n">
        <v>0</v>
      </c>
      <c r="Y529" s="52" t="n">
        <v>0</v>
      </c>
      <c r="Z529" s="52" t="n">
        <v>0</v>
      </c>
      <c r="AA529" s="52" t="n">
        <v>0</v>
      </c>
      <c r="AB529" s="53" t="n">
        <v>0</v>
      </c>
      <c r="AC529" s="52" t="n">
        <v>0</v>
      </c>
      <c r="AD529" s="53" t="n">
        <v>0</v>
      </c>
      <c r="AE529" s="52" t="n">
        <v>0</v>
      </c>
      <c r="AF529" s="51" t="n">
        <v>0</v>
      </c>
      <c r="AG529" s="48" t="n">
        <v>0</v>
      </c>
      <c r="AH529" s="49" t="n">
        <v>0</v>
      </c>
      <c r="AI529" s="49" t="n">
        <v>0</v>
      </c>
      <c r="AJ529" s="50" t="n">
        <v>0</v>
      </c>
      <c r="AK529" s="51" t="n">
        <v>0</v>
      </c>
      <c r="AL529" s="52" t="n">
        <v>0</v>
      </c>
      <c r="AM529" s="52" t="n">
        <v>0</v>
      </c>
      <c r="AN529" s="52" t="n">
        <v>0</v>
      </c>
      <c r="AO529" s="53" t="n">
        <v>0</v>
      </c>
      <c r="AP529" s="52" t="n">
        <v>0</v>
      </c>
      <c r="AQ529" s="53" t="n">
        <v>0</v>
      </c>
      <c r="AR529" s="52" t="n">
        <v>0</v>
      </c>
      <c r="AS529" s="51" t="n">
        <v>0</v>
      </c>
      <c r="AT529" s="48" t="n">
        <v>0</v>
      </c>
      <c r="AU529" s="49" t="n">
        <v>0</v>
      </c>
      <c r="AV529" s="49" t="n">
        <v>0</v>
      </c>
      <c r="AW529" s="50" t="n">
        <v>0</v>
      </c>
      <c r="AX529" s="51" t="n">
        <v>0</v>
      </c>
      <c r="AY529" s="52" t="n">
        <v>0</v>
      </c>
      <c r="AZ529" s="52" t="n">
        <v>0</v>
      </c>
      <c r="BA529" s="52" t="n">
        <v>0</v>
      </c>
      <c r="BB529" s="53" t="n">
        <v>0</v>
      </c>
      <c r="BC529" s="52" t="n">
        <v>0</v>
      </c>
      <c r="BD529" s="53" t="n">
        <v>0</v>
      </c>
      <c r="BE529" s="52" t="n">
        <v>0</v>
      </c>
      <c r="BF529" s="51" t="n">
        <v>0</v>
      </c>
    </row>
    <row r="530">
      <c r="A530">
        <f>HYPERLINK("https://www.walmart.com/ip/414477883", "414477883")</f>
        <v/>
      </c>
      <c r="B530" t="inlineStr">
        <is>
          <t>Catalonia Women's Plush Fleece Long Robe, Warm Comfy Fluffy Female Bathrobe with Hood, Machine Washable, One Size, Pink</t>
        </is>
      </c>
      <c r="C530" t="inlineStr">
        <is>
          <t>1CTRB100PK-LDCB</t>
        </is>
      </c>
      <c r="D530" t="inlineStr">
        <is>
          <t>Sleepwear Robes &amp; Bathrobes</t>
        </is>
      </c>
      <c r="E530" t="inlineStr">
        <is>
          <t>Catalonia</t>
        </is>
      </c>
      <c r="F530" t="inlineStr">
        <is>
          <t>Hero 5 Holidays,Bathrobe,Batch 1 - TR</t>
        </is>
      </c>
      <c r="G530" s="48" t="n">
        <v>0</v>
      </c>
      <c r="H530" s="49" t="n">
        <v>0</v>
      </c>
      <c r="I530" s="49" t="n">
        <v>0</v>
      </c>
      <c r="J530" s="50" t="n">
        <v>0</v>
      </c>
      <c r="K530" s="51" t="n">
        <v>0</v>
      </c>
      <c r="L530" s="52" t="n">
        <v>0</v>
      </c>
      <c r="M530" s="52" t="n">
        <v>0</v>
      </c>
      <c r="N530" s="52" t="n">
        <v>0</v>
      </c>
      <c r="O530" s="53" t="n">
        <v>0</v>
      </c>
      <c r="P530" s="52" t="n">
        <v>0</v>
      </c>
      <c r="Q530" s="53" t="n">
        <v>0</v>
      </c>
      <c r="R530" s="52" t="n">
        <v>0</v>
      </c>
      <c r="S530" s="51" t="n">
        <v>0</v>
      </c>
      <c r="T530" s="48" t="n">
        <v>0</v>
      </c>
      <c r="U530" s="49" t="n">
        <v>0</v>
      </c>
      <c r="V530" s="49" t="n">
        <v>0</v>
      </c>
      <c r="W530" s="50" t="n">
        <v>0</v>
      </c>
      <c r="X530" s="51" t="n">
        <v>0</v>
      </c>
      <c r="Y530" s="52" t="n">
        <v>0</v>
      </c>
      <c r="Z530" s="52" t="n">
        <v>0</v>
      </c>
      <c r="AA530" s="52" t="n">
        <v>0</v>
      </c>
      <c r="AB530" s="53" t="n">
        <v>0</v>
      </c>
      <c r="AC530" s="52" t="n">
        <v>0</v>
      </c>
      <c r="AD530" s="53" t="n">
        <v>0</v>
      </c>
      <c r="AE530" s="52" t="n">
        <v>0</v>
      </c>
      <c r="AF530" s="51" t="n">
        <v>0</v>
      </c>
      <c r="AG530" s="48" t="n">
        <v>0</v>
      </c>
      <c r="AH530" s="49" t="n">
        <v>0</v>
      </c>
      <c r="AI530" s="49" t="n">
        <v>0</v>
      </c>
      <c r="AJ530" s="50" t="n">
        <v>0</v>
      </c>
      <c r="AK530" s="51" t="n">
        <v>0</v>
      </c>
      <c r="AL530" s="52" t="n">
        <v>0</v>
      </c>
      <c r="AM530" s="52" t="n">
        <v>0</v>
      </c>
      <c r="AN530" s="52" t="n">
        <v>0</v>
      </c>
      <c r="AO530" s="53" t="n">
        <v>0</v>
      </c>
      <c r="AP530" s="52" t="n">
        <v>0</v>
      </c>
      <c r="AQ530" s="53" t="n">
        <v>0</v>
      </c>
      <c r="AR530" s="52" t="n">
        <v>0</v>
      </c>
      <c r="AS530" s="51" t="n">
        <v>0</v>
      </c>
      <c r="AT530" s="48" t="n">
        <v>0</v>
      </c>
      <c r="AU530" s="49" t="n">
        <v>0</v>
      </c>
      <c r="AV530" s="49" t="n">
        <v>0</v>
      </c>
      <c r="AW530" s="50" t="n">
        <v>0</v>
      </c>
      <c r="AX530" s="51" t="n">
        <v>0</v>
      </c>
      <c r="AY530" s="52" t="n">
        <v>0</v>
      </c>
      <c r="AZ530" s="52" t="n">
        <v>0</v>
      </c>
      <c r="BA530" s="52" t="n">
        <v>0</v>
      </c>
      <c r="BB530" s="53" t="n">
        <v>0</v>
      </c>
      <c r="BC530" s="52" t="n">
        <v>0</v>
      </c>
      <c r="BD530" s="53" t="n">
        <v>0</v>
      </c>
      <c r="BE530" s="52" t="n">
        <v>0</v>
      </c>
      <c r="BF530" s="51" t="n">
        <v>0</v>
      </c>
    </row>
    <row r="531">
      <c r="A531">
        <f>HYPERLINK("https://www.walmart.com/ip/414716667", "414716667")</f>
        <v/>
      </c>
      <c r="B531" t="inlineStr">
        <is>
          <t>Luxury Sherpa Knit Throw Blanket 50" x 60", Home Decorative Blanket for Sofa Couch Chair All Season TV Blanket | Super Soft, Warm, Waffle Weave Knit | Catalonia series by Tirrinia, Grey</t>
        </is>
      </c>
      <c r="C531" t="inlineStr">
        <is>
          <t>1TRBN300GY-TBCB</t>
        </is>
      </c>
      <c r="D531" t="inlineStr">
        <is>
          <t>Throws</t>
        </is>
      </c>
      <c r="E531" t="inlineStr">
        <is>
          <t>Tirrinia</t>
        </is>
      </c>
      <c r="F531" t="inlineStr">
        <is>
          <t>Batch 1 - TR</t>
        </is>
      </c>
      <c r="G531" s="48" t="n">
        <v>0</v>
      </c>
      <c r="H531" s="49" t="n">
        <v>0</v>
      </c>
      <c r="I531" s="49" t="n">
        <v>0</v>
      </c>
      <c r="J531" s="50" t="n">
        <v>0</v>
      </c>
      <c r="K531" s="51" t="n">
        <v>0</v>
      </c>
      <c r="L531" s="52" t="n">
        <v>0</v>
      </c>
      <c r="M531" s="52" t="n">
        <v>0</v>
      </c>
      <c r="N531" s="52" t="n">
        <v>0</v>
      </c>
      <c r="O531" s="53" t="n">
        <v>0</v>
      </c>
      <c r="P531" s="52" t="n">
        <v>0</v>
      </c>
      <c r="Q531" s="53" t="n">
        <v>0</v>
      </c>
      <c r="R531" s="52" t="n">
        <v>0</v>
      </c>
      <c r="S531" s="51" t="n">
        <v>0</v>
      </c>
      <c r="T531" s="48" t="n">
        <v>0</v>
      </c>
      <c r="U531" s="49" t="n">
        <v>0</v>
      </c>
      <c r="V531" s="49" t="n">
        <v>0</v>
      </c>
      <c r="W531" s="50" t="n">
        <v>0</v>
      </c>
      <c r="X531" s="51" t="n">
        <v>0</v>
      </c>
      <c r="Y531" s="52" t="n">
        <v>0</v>
      </c>
      <c r="Z531" s="52" t="n">
        <v>0</v>
      </c>
      <c r="AA531" s="52" t="n">
        <v>0</v>
      </c>
      <c r="AB531" s="53" t="n">
        <v>0</v>
      </c>
      <c r="AC531" s="52" t="n">
        <v>0</v>
      </c>
      <c r="AD531" s="53" t="n">
        <v>0</v>
      </c>
      <c r="AE531" s="52" t="n">
        <v>0</v>
      </c>
      <c r="AF531" s="51" t="n">
        <v>0</v>
      </c>
      <c r="AG531" s="48" t="n">
        <v>0</v>
      </c>
      <c r="AH531" s="49" t="n">
        <v>0</v>
      </c>
      <c r="AI531" s="49" t="n">
        <v>0</v>
      </c>
      <c r="AJ531" s="50" t="n">
        <v>0</v>
      </c>
      <c r="AK531" s="51" t="n">
        <v>0</v>
      </c>
      <c r="AL531" s="52" t="n">
        <v>0</v>
      </c>
      <c r="AM531" s="52" t="n">
        <v>0</v>
      </c>
      <c r="AN531" s="52" t="n">
        <v>0</v>
      </c>
      <c r="AO531" s="53" t="n">
        <v>0</v>
      </c>
      <c r="AP531" s="52" t="n">
        <v>0</v>
      </c>
      <c r="AQ531" s="53" t="n">
        <v>0</v>
      </c>
      <c r="AR531" s="52" t="n">
        <v>0</v>
      </c>
      <c r="AS531" s="51" t="n">
        <v>0</v>
      </c>
      <c r="AT531" s="48" t="n">
        <v>0</v>
      </c>
      <c r="AU531" s="49" t="n">
        <v>0</v>
      </c>
      <c r="AV531" s="49" t="n">
        <v>0</v>
      </c>
      <c r="AW531" s="50" t="n">
        <v>0</v>
      </c>
      <c r="AX531" s="51" t="n">
        <v>0</v>
      </c>
      <c r="AY531" s="52" t="n">
        <v>0</v>
      </c>
      <c r="AZ531" s="52" t="n">
        <v>0</v>
      </c>
      <c r="BA531" s="52" t="n">
        <v>0</v>
      </c>
      <c r="BB531" s="53" t="n">
        <v>0</v>
      </c>
      <c r="BC531" s="52" t="n">
        <v>0</v>
      </c>
      <c r="BD531" s="53" t="n">
        <v>0</v>
      </c>
      <c r="BE531" s="52" t="n">
        <v>0</v>
      </c>
      <c r="BF531" s="51" t="n">
        <v>0</v>
      </c>
    </row>
    <row r="532">
      <c r="A532">
        <f>HYPERLINK("https://www.walmart.com/ip/409480013", "409480013")</f>
        <v/>
      </c>
      <c r="B532" t="inlineStr">
        <is>
          <t>Tirrinia Single Wine Gift Tote Bag, Insulated Padded Thermal Wine Bottle Carrying Cooler Carrier for Travel, Picnic, Great Gift for Wine Lover, Red</t>
        </is>
      </c>
      <c r="C532" t="inlineStr">
        <is>
          <t>1TRWB102RD</t>
        </is>
      </c>
      <c r="D532" t="inlineStr">
        <is>
          <t>Wine Totes, Bags &amp; Backpacks</t>
        </is>
      </c>
      <c r="E532" t="inlineStr">
        <is>
          <t>Tirrinia</t>
        </is>
      </c>
      <c r="G532" s="48" t="n">
        <v>0</v>
      </c>
      <c r="H532" s="49" t="n">
        <v>0</v>
      </c>
      <c r="I532" s="49" t="n">
        <v>0</v>
      </c>
      <c r="J532" s="50" t="n">
        <v>0</v>
      </c>
      <c r="K532" s="51" t="n">
        <v>0</v>
      </c>
      <c r="L532" s="52" t="n">
        <v>0</v>
      </c>
      <c r="M532" s="52" t="n">
        <v>0</v>
      </c>
      <c r="N532" s="52" t="n">
        <v>0</v>
      </c>
      <c r="O532" s="53" t="n">
        <v>0</v>
      </c>
      <c r="P532" s="52" t="n">
        <v>0</v>
      </c>
      <c r="Q532" s="53" t="n">
        <v>0</v>
      </c>
      <c r="R532" s="52" t="n">
        <v>0</v>
      </c>
      <c r="S532" s="51" t="n">
        <v>0</v>
      </c>
      <c r="T532" s="48" t="n">
        <v>0</v>
      </c>
      <c r="U532" s="49" t="n">
        <v>0</v>
      </c>
      <c r="V532" s="49" t="n">
        <v>0</v>
      </c>
      <c r="W532" s="50" t="n">
        <v>0</v>
      </c>
      <c r="X532" s="51" t="n">
        <v>0</v>
      </c>
      <c r="Y532" s="52" t="n">
        <v>0</v>
      </c>
      <c r="Z532" s="52" t="n">
        <v>0</v>
      </c>
      <c r="AA532" s="52" t="n">
        <v>0</v>
      </c>
      <c r="AB532" s="53" t="n">
        <v>0</v>
      </c>
      <c r="AC532" s="52" t="n">
        <v>0</v>
      </c>
      <c r="AD532" s="53" t="n">
        <v>0</v>
      </c>
      <c r="AE532" s="52" t="n">
        <v>0</v>
      </c>
      <c r="AF532" s="51" t="n">
        <v>0</v>
      </c>
      <c r="AG532" s="48" t="n">
        <v>0</v>
      </c>
      <c r="AH532" s="49" t="n">
        <v>0</v>
      </c>
      <c r="AI532" s="49" t="n">
        <v>0</v>
      </c>
      <c r="AJ532" s="50" t="n">
        <v>0</v>
      </c>
      <c r="AK532" s="51" t="n">
        <v>0</v>
      </c>
      <c r="AL532" s="52" t="n">
        <v>0</v>
      </c>
      <c r="AM532" s="52" t="n">
        <v>0</v>
      </c>
      <c r="AN532" s="52" t="n">
        <v>0</v>
      </c>
      <c r="AO532" s="53" t="n">
        <v>0</v>
      </c>
      <c r="AP532" s="52" t="n">
        <v>0</v>
      </c>
      <c r="AQ532" s="53" t="n">
        <v>0</v>
      </c>
      <c r="AR532" s="52" t="n">
        <v>0</v>
      </c>
      <c r="AS532" s="51" t="n">
        <v>0</v>
      </c>
      <c r="AT532" s="48" t="n">
        <v>0</v>
      </c>
      <c r="AU532" s="49" t="n">
        <v>0</v>
      </c>
      <c r="AV532" s="49" t="n">
        <v>0</v>
      </c>
      <c r="AW532" s="50" t="n">
        <v>0</v>
      </c>
      <c r="AX532" s="51" t="n">
        <v>0</v>
      </c>
      <c r="AY532" s="52" t="n">
        <v>0</v>
      </c>
      <c r="AZ532" s="52" t="n">
        <v>0</v>
      </c>
      <c r="BA532" s="52" t="n">
        <v>0</v>
      </c>
      <c r="BB532" s="53" t="n">
        <v>0</v>
      </c>
      <c r="BC532" s="52" t="n">
        <v>0</v>
      </c>
      <c r="BD532" s="53" t="n">
        <v>0</v>
      </c>
      <c r="BE532" s="52" t="n">
        <v>0</v>
      </c>
      <c r="BF532" s="51" t="n">
        <v>0</v>
      </c>
    </row>
    <row r="533">
      <c r="A533">
        <f>HYPERLINK("https://www.walmart.com/ip/409419335", "409419335")</f>
        <v/>
      </c>
      <c r="B533" t="inlineStr">
        <is>
          <t>Tirrina Unisex Outdoor Sun Protection Fishing Cap with Neck Flap Wide Brim Mesh Hat for Travel Camping Hiking Hunting</t>
        </is>
      </c>
      <c r="C533" t="inlineStr">
        <is>
          <t>1TRSH910BL-TBCB</t>
        </is>
      </c>
      <c r="D533" t="inlineStr">
        <is>
          <t>Hats</t>
        </is>
      </c>
      <c r="E533" t="inlineStr">
        <is>
          <t>Tirrinia</t>
        </is>
      </c>
      <c r="F533" t="inlineStr">
        <is>
          <t>Hats,Batch 1 - TR</t>
        </is>
      </c>
      <c r="G533" s="48" t="n">
        <v>0</v>
      </c>
      <c r="H533" s="49" t="n">
        <v>0</v>
      </c>
      <c r="I533" s="49" t="n">
        <v>0</v>
      </c>
      <c r="J533" s="50" t="n">
        <v>0</v>
      </c>
      <c r="K533" s="51" t="n">
        <v>0</v>
      </c>
      <c r="L533" s="52" t="n">
        <v>0</v>
      </c>
      <c r="M533" s="52" t="n">
        <v>0</v>
      </c>
      <c r="N533" s="52" t="n">
        <v>0</v>
      </c>
      <c r="O533" s="53" t="n">
        <v>0</v>
      </c>
      <c r="P533" s="52" t="n">
        <v>0</v>
      </c>
      <c r="Q533" s="53" t="n">
        <v>0</v>
      </c>
      <c r="R533" s="52" t="n">
        <v>0</v>
      </c>
      <c r="S533" s="51" t="n">
        <v>0</v>
      </c>
      <c r="T533" s="48" t="n">
        <v>17.99</v>
      </c>
      <c r="U533" s="49" t="n">
        <v>1</v>
      </c>
      <c r="V533" s="49" t="n">
        <v>0</v>
      </c>
      <c r="W533" s="50" t="n">
        <v>0</v>
      </c>
      <c r="X533" s="51" t="n">
        <v>0</v>
      </c>
      <c r="Y533" s="52" t="n">
        <v>0</v>
      </c>
      <c r="Z533" s="52" t="n">
        <v>0</v>
      </c>
      <c r="AA533" s="52" t="n">
        <v>0</v>
      </c>
      <c r="AB533" s="53" t="n">
        <v>0</v>
      </c>
      <c r="AC533" s="52" t="n">
        <v>0</v>
      </c>
      <c r="AD533" s="53" t="n">
        <v>0</v>
      </c>
      <c r="AE533" s="52" t="n">
        <v>17.99</v>
      </c>
      <c r="AF533" s="51" t="n">
        <v>0</v>
      </c>
      <c r="AG533" s="48" t="n">
        <v>0</v>
      </c>
      <c r="AH533" s="49" t="n">
        <v>0</v>
      </c>
      <c r="AI533" s="49" t="n">
        <v>0</v>
      </c>
      <c r="AJ533" s="50" t="n">
        <v>0</v>
      </c>
      <c r="AK533" s="51" t="n">
        <v>0</v>
      </c>
      <c r="AL533" s="52" t="n">
        <v>0</v>
      </c>
      <c r="AM533" s="52" t="n">
        <v>0</v>
      </c>
      <c r="AN533" s="52" t="n">
        <v>0</v>
      </c>
      <c r="AO533" s="53" t="n">
        <v>0</v>
      </c>
      <c r="AP533" s="52" t="n">
        <v>0</v>
      </c>
      <c r="AQ533" s="53" t="n">
        <v>0</v>
      </c>
      <c r="AR533" s="52" t="n">
        <v>0</v>
      </c>
      <c r="AS533" s="51" t="n">
        <v>0</v>
      </c>
      <c r="AT533" s="48" t="n">
        <v>0</v>
      </c>
      <c r="AU533" s="49" t="n">
        <v>0</v>
      </c>
      <c r="AV533" s="49" t="n">
        <v>0</v>
      </c>
      <c r="AW533" s="50" t="n">
        <v>0</v>
      </c>
      <c r="AX533" s="51" t="n">
        <v>0</v>
      </c>
      <c r="AY533" s="52" t="n">
        <v>0</v>
      </c>
      <c r="AZ533" s="52" t="n">
        <v>0</v>
      </c>
      <c r="BA533" s="52" t="n">
        <v>0</v>
      </c>
      <c r="BB533" s="53" t="n">
        <v>0</v>
      </c>
      <c r="BC533" s="52" t="n">
        <v>0</v>
      </c>
      <c r="BD533" s="53" t="n">
        <v>0</v>
      </c>
      <c r="BE533" s="52" t="n">
        <v>0</v>
      </c>
      <c r="BF533" s="51" t="n">
        <v>0</v>
      </c>
    </row>
    <row r="534">
      <c r="A534">
        <f>HYPERLINK("https://www.walmart.com/ip/409220374", "409220374")</f>
        <v/>
      </c>
      <c r="B534" t="inlineStr">
        <is>
          <t>Tirrinia Wine Cooler bag - 3 Bottle Travel Insulated Padded Wine Carrier Tote Bag with Handle and Adjustable Shoulder Strap</t>
        </is>
      </c>
      <c r="C534" t="inlineStr">
        <is>
          <t>1WMWB310PP</t>
        </is>
      </c>
      <c r="D534" t="inlineStr">
        <is>
          <t>Wine Totes, Bags &amp; Backpacks</t>
        </is>
      </c>
      <c r="E534" t="inlineStr">
        <is>
          <t>Flyingstar</t>
        </is>
      </c>
      <c r="F534" t="inlineStr">
        <is>
          <t>Wine,Christmas,Valentine</t>
        </is>
      </c>
      <c r="G534" s="48" t="n">
        <v>0</v>
      </c>
      <c r="H534" s="49" t="n">
        <v>0</v>
      </c>
      <c r="I534" s="49" t="n">
        <v>0</v>
      </c>
      <c r="J534" s="50" t="n">
        <v>0</v>
      </c>
      <c r="K534" s="51" t="n">
        <v>0</v>
      </c>
      <c r="L534" s="52" t="n">
        <v>0</v>
      </c>
      <c r="M534" s="52" t="n">
        <v>0</v>
      </c>
      <c r="N534" s="52" t="n">
        <v>0</v>
      </c>
      <c r="O534" s="53" t="n">
        <v>0</v>
      </c>
      <c r="P534" s="52" t="n">
        <v>0</v>
      </c>
      <c r="Q534" s="53" t="n">
        <v>0</v>
      </c>
      <c r="R534" s="52" t="n">
        <v>0</v>
      </c>
      <c r="S534" s="51" t="n">
        <v>0</v>
      </c>
      <c r="T534" s="48" t="n">
        <v>16.99</v>
      </c>
      <c r="U534" s="49" t="n">
        <v>1</v>
      </c>
      <c r="V534" s="49" t="n">
        <v>0</v>
      </c>
      <c r="W534" s="50" t="n">
        <v>0</v>
      </c>
      <c r="X534" s="51" t="n">
        <v>0</v>
      </c>
      <c r="Y534" s="52" t="n">
        <v>0</v>
      </c>
      <c r="Z534" s="52" t="n">
        <v>0</v>
      </c>
      <c r="AA534" s="52" t="n">
        <v>0</v>
      </c>
      <c r="AB534" s="53" t="n">
        <v>0</v>
      </c>
      <c r="AC534" s="52" t="n">
        <v>0</v>
      </c>
      <c r="AD534" s="53" t="n">
        <v>0</v>
      </c>
      <c r="AE534" s="52" t="n">
        <v>16.99</v>
      </c>
      <c r="AF534" s="51" t="n">
        <v>0</v>
      </c>
      <c r="AG534" s="48" t="n">
        <v>0</v>
      </c>
      <c r="AH534" s="49" t="n">
        <v>0</v>
      </c>
      <c r="AI534" s="49" t="n">
        <v>0</v>
      </c>
      <c r="AJ534" s="50" t="n">
        <v>0</v>
      </c>
      <c r="AK534" s="51" t="n">
        <v>0</v>
      </c>
      <c r="AL534" s="52" t="n">
        <v>0</v>
      </c>
      <c r="AM534" s="52" t="n">
        <v>0</v>
      </c>
      <c r="AN534" s="52" t="n">
        <v>0</v>
      </c>
      <c r="AO534" s="53" t="n">
        <v>0</v>
      </c>
      <c r="AP534" s="52" t="n">
        <v>0</v>
      </c>
      <c r="AQ534" s="53" t="n">
        <v>0</v>
      </c>
      <c r="AR534" s="52" t="n">
        <v>0</v>
      </c>
      <c r="AS534" s="51" t="n">
        <v>0</v>
      </c>
      <c r="AT534" s="48" t="n">
        <v>0</v>
      </c>
      <c r="AU534" s="49" t="n">
        <v>0</v>
      </c>
      <c r="AV534" s="49" t="n">
        <v>0</v>
      </c>
      <c r="AW534" s="50" t="n">
        <v>0</v>
      </c>
      <c r="AX534" s="51" t="n">
        <v>0</v>
      </c>
      <c r="AY534" s="52" t="n">
        <v>0</v>
      </c>
      <c r="AZ534" s="52" t="n">
        <v>0</v>
      </c>
      <c r="BA534" s="52" t="n">
        <v>0</v>
      </c>
      <c r="BB534" s="53" t="n">
        <v>0</v>
      </c>
      <c r="BC534" s="52" t="n">
        <v>0</v>
      </c>
      <c r="BD534" s="53" t="n">
        <v>0</v>
      </c>
      <c r="BE534" s="52" t="n">
        <v>0</v>
      </c>
      <c r="BF534" s="51" t="n">
        <v>0</v>
      </c>
    </row>
    <row r="535">
      <c r="A535">
        <f>HYPERLINK("https://www.walmart.com/ip/400932895", "400932895")</f>
        <v/>
      </c>
      <c r="B535" t="inlineStr">
        <is>
          <t>Tirrinia Single Wine Gift Tote Bag, Insulated Padded Thermal Wine Bottle Carrying Cooler Carrier for Travel, Picnic, Great Gift for Wine Lover, Cheetah</t>
        </is>
      </c>
      <c r="C535" t="inlineStr">
        <is>
          <t>1TRWB102CHEETAH</t>
        </is>
      </c>
      <c r="D535" t="inlineStr">
        <is>
          <t>Wine Totes, Bags &amp; Backpacks</t>
        </is>
      </c>
      <c r="E535" t="inlineStr">
        <is>
          <t>Tirrinia</t>
        </is>
      </c>
      <c r="G535" s="48" t="n">
        <v>0</v>
      </c>
      <c r="H535" s="49" t="n">
        <v>0</v>
      </c>
      <c r="I535" s="49" t="n">
        <v>0</v>
      </c>
      <c r="J535" s="50" t="n">
        <v>0</v>
      </c>
      <c r="K535" s="51" t="n">
        <v>0</v>
      </c>
      <c r="L535" s="52" t="n">
        <v>0</v>
      </c>
      <c r="M535" s="52" t="n">
        <v>0</v>
      </c>
      <c r="N535" s="52" t="n">
        <v>0</v>
      </c>
      <c r="O535" s="53" t="n">
        <v>0</v>
      </c>
      <c r="P535" s="52" t="n">
        <v>0</v>
      </c>
      <c r="Q535" s="53" t="n">
        <v>0</v>
      </c>
      <c r="R535" s="52" t="n">
        <v>0</v>
      </c>
      <c r="S535" s="51" t="n">
        <v>2</v>
      </c>
      <c r="T535" s="48" t="n">
        <v>0</v>
      </c>
      <c r="U535" s="49" t="n">
        <v>0</v>
      </c>
      <c r="V535" s="49" t="n">
        <v>0</v>
      </c>
      <c r="W535" s="50" t="n">
        <v>0</v>
      </c>
      <c r="X535" s="51" t="n">
        <v>0</v>
      </c>
      <c r="Y535" s="52" t="n">
        <v>0</v>
      </c>
      <c r="Z535" s="52" t="n">
        <v>0</v>
      </c>
      <c r="AA535" s="52" t="n">
        <v>0</v>
      </c>
      <c r="AB535" s="53" t="n">
        <v>0</v>
      </c>
      <c r="AC535" s="52" t="n">
        <v>0</v>
      </c>
      <c r="AD535" s="53" t="n">
        <v>0</v>
      </c>
      <c r="AE535" s="52" t="n">
        <v>0</v>
      </c>
      <c r="AF535" s="51" t="n">
        <v>0</v>
      </c>
      <c r="AG535" s="48" t="n">
        <v>0</v>
      </c>
      <c r="AH535" s="49" t="n">
        <v>0</v>
      </c>
      <c r="AI535" s="49" t="n">
        <v>0</v>
      </c>
      <c r="AJ535" s="50" t="n">
        <v>0</v>
      </c>
      <c r="AK535" s="51" t="n">
        <v>0</v>
      </c>
      <c r="AL535" s="52" t="n">
        <v>0</v>
      </c>
      <c r="AM535" s="52" t="n">
        <v>0</v>
      </c>
      <c r="AN535" s="52" t="n">
        <v>0</v>
      </c>
      <c r="AO535" s="53" t="n">
        <v>0</v>
      </c>
      <c r="AP535" s="52" t="n">
        <v>0</v>
      </c>
      <c r="AQ535" s="53" t="n">
        <v>0</v>
      </c>
      <c r="AR535" s="52" t="n">
        <v>0</v>
      </c>
      <c r="AS535" s="51" t="n">
        <v>0</v>
      </c>
      <c r="AT535" s="48" t="n">
        <v>0</v>
      </c>
      <c r="AU535" s="49" t="n">
        <v>0</v>
      </c>
      <c r="AV535" s="49" t="n">
        <v>0</v>
      </c>
      <c r="AW535" s="50" t="n">
        <v>0</v>
      </c>
      <c r="AX535" s="51" t="n">
        <v>0</v>
      </c>
      <c r="AY535" s="52" t="n">
        <v>0</v>
      </c>
      <c r="AZ535" s="52" t="n">
        <v>0</v>
      </c>
      <c r="BA535" s="52" t="n">
        <v>0</v>
      </c>
      <c r="BB535" s="53" t="n">
        <v>0</v>
      </c>
      <c r="BC535" s="52" t="n">
        <v>0</v>
      </c>
      <c r="BD535" s="53" t="n">
        <v>0</v>
      </c>
      <c r="BE535" s="52" t="n">
        <v>0</v>
      </c>
      <c r="BF535" s="51" t="n">
        <v>0</v>
      </c>
    </row>
    <row r="536">
      <c r="A536">
        <f>HYPERLINK("https://www.walmart.com/ip/395062607", "395062607")</f>
        <v/>
      </c>
      <c r="B536" t="inlineStr">
        <is>
          <t>Women Floppy Sun Beach Hats w/ Wide Brim Straw Edge Summer UV Protection Foldable Gardening Hiking Cap by Solaris</t>
        </is>
      </c>
      <c r="C536" t="inlineStr">
        <is>
          <t>1SLSH371BE</t>
        </is>
      </c>
      <c r="D536" t="inlineStr">
        <is>
          <t>Hats</t>
        </is>
      </c>
      <c r="E536" t="inlineStr">
        <is>
          <t>Solaris</t>
        </is>
      </c>
      <c r="F536" t="inlineStr">
        <is>
          <t>Batch 1 - TR</t>
        </is>
      </c>
      <c r="G536" s="48" t="n">
        <v>0</v>
      </c>
      <c r="H536" s="49" t="n">
        <v>0</v>
      </c>
      <c r="I536" s="49" t="n">
        <v>0</v>
      </c>
      <c r="J536" s="50" t="n">
        <v>0</v>
      </c>
      <c r="K536" s="51" t="n">
        <v>0</v>
      </c>
      <c r="L536" s="52" t="n">
        <v>0</v>
      </c>
      <c r="M536" s="52" t="n">
        <v>0</v>
      </c>
      <c r="N536" s="52" t="n">
        <v>0</v>
      </c>
      <c r="O536" s="53" t="n">
        <v>0</v>
      </c>
      <c r="P536" s="52" t="n">
        <v>0</v>
      </c>
      <c r="Q536" s="53" t="n">
        <v>0</v>
      </c>
      <c r="R536" s="52" t="n">
        <v>0</v>
      </c>
      <c r="S536" s="51" t="n">
        <v>0</v>
      </c>
      <c r="T536" s="48" t="n">
        <v>9.99</v>
      </c>
      <c r="U536" s="49" t="n">
        <v>1</v>
      </c>
      <c r="V536" s="49" t="n">
        <v>0</v>
      </c>
      <c r="W536" s="50" t="n">
        <v>0</v>
      </c>
      <c r="X536" s="51" t="n">
        <v>0</v>
      </c>
      <c r="Y536" s="52" t="n">
        <v>0</v>
      </c>
      <c r="Z536" s="52" t="n">
        <v>0</v>
      </c>
      <c r="AA536" s="52" t="n">
        <v>0</v>
      </c>
      <c r="AB536" s="53" t="n">
        <v>0</v>
      </c>
      <c r="AC536" s="52" t="n">
        <v>0</v>
      </c>
      <c r="AD536" s="53" t="n">
        <v>0</v>
      </c>
      <c r="AE536" s="52" t="n">
        <v>9.99</v>
      </c>
      <c r="AF536" s="51" t="n">
        <v>0</v>
      </c>
      <c r="AG536" s="48" t="n">
        <v>0</v>
      </c>
      <c r="AH536" s="49" t="n">
        <v>0</v>
      </c>
      <c r="AI536" s="49" t="n">
        <v>0</v>
      </c>
      <c r="AJ536" s="50" t="n">
        <v>0</v>
      </c>
      <c r="AK536" s="51" t="n">
        <v>0</v>
      </c>
      <c r="AL536" s="52" t="n">
        <v>0</v>
      </c>
      <c r="AM536" s="52" t="n">
        <v>0</v>
      </c>
      <c r="AN536" s="52" t="n">
        <v>0</v>
      </c>
      <c r="AO536" s="53" t="n">
        <v>0</v>
      </c>
      <c r="AP536" s="52" t="n">
        <v>0</v>
      </c>
      <c r="AQ536" s="53" t="n">
        <v>0</v>
      </c>
      <c r="AR536" s="52" t="n">
        <v>0</v>
      </c>
      <c r="AS536" s="51" t="n">
        <v>0</v>
      </c>
      <c r="AT536" s="48" t="n">
        <v>0</v>
      </c>
      <c r="AU536" s="49" t="n">
        <v>0</v>
      </c>
      <c r="AV536" s="49" t="n">
        <v>0</v>
      </c>
      <c r="AW536" s="50" t="n">
        <v>0</v>
      </c>
      <c r="AX536" s="51" t="n">
        <v>0</v>
      </c>
      <c r="AY536" s="52" t="n">
        <v>0</v>
      </c>
      <c r="AZ536" s="52" t="n">
        <v>0</v>
      </c>
      <c r="BA536" s="52" t="n">
        <v>0</v>
      </c>
      <c r="BB536" s="53" t="n">
        <v>0</v>
      </c>
      <c r="BC536" s="52" t="n">
        <v>0</v>
      </c>
      <c r="BD536" s="53" t="n">
        <v>0</v>
      </c>
      <c r="BE536" s="52" t="n">
        <v>0</v>
      </c>
      <c r="BF536" s="51" t="n">
        <v>0</v>
      </c>
    </row>
    <row r="537">
      <c r="A537">
        <f>HYPERLINK("https://www.walmart.com/ip/3959062004", "3959062004")</f>
        <v/>
      </c>
      <c r="B537" t="inlineStr">
        <is>
          <t>Catalonia Wearable Fleece Blanket with Sleeves and Foot Pockets for Adult Women and Men, Micro Plush Comfy Wrap Sleeved Throw Blanket Robe, Large, Blue Cat</t>
        </is>
      </c>
      <c r="C537" t="inlineStr">
        <is>
          <t>1CTSN101BLCAT</t>
        </is>
      </c>
      <c r="D537" t="inlineStr">
        <is>
          <t>Throws</t>
        </is>
      </c>
      <c r="E537" t="inlineStr">
        <is>
          <t>Catalonia</t>
        </is>
      </c>
      <c r="F537" t="inlineStr">
        <is>
          <t>Q2-Target,Fleece Blankets</t>
        </is>
      </c>
      <c r="G537" s="48" t="n">
        <v>0</v>
      </c>
      <c r="H537" s="49" t="n">
        <v>0</v>
      </c>
      <c r="I537" s="49" t="n">
        <v>0</v>
      </c>
      <c r="J537" s="50" t="n">
        <v>0</v>
      </c>
      <c r="K537" s="51" t="n">
        <v>0</v>
      </c>
      <c r="L537" s="52" t="n">
        <v>0</v>
      </c>
      <c r="M537" s="52" t="n">
        <v>0</v>
      </c>
      <c r="N537" s="52" t="n">
        <v>0</v>
      </c>
      <c r="O537" s="53" t="n">
        <v>0</v>
      </c>
      <c r="P537" s="52" t="n">
        <v>0</v>
      </c>
      <c r="Q537" s="53" t="n">
        <v>0</v>
      </c>
      <c r="R537" s="52" t="n">
        <v>0</v>
      </c>
      <c r="S537" s="51" t="n">
        <v>0</v>
      </c>
      <c r="T537" s="48" t="n">
        <v>0</v>
      </c>
      <c r="U537" s="49" t="n">
        <v>0</v>
      </c>
      <c r="V537" s="49" t="n">
        <v>0</v>
      </c>
      <c r="W537" s="50" t="n">
        <v>0</v>
      </c>
      <c r="X537" s="51" t="n">
        <v>0</v>
      </c>
      <c r="Y537" s="52" t="n">
        <v>0</v>
      </c>
      <c r="Z537" s="52" t="n">
        <v>0</v>
      </c>
      <c r="AA537" s="52" t="n">
        <v>0</v>
      </c>
      <c r="AB537" s="53" t="n">
        <v>0</v>
      </c>
      <c r="AC537" s="52" t="n">
        <v>0</v>
      </c>
      <c r="AD537" s="53" t="n">
        <v>0</v>
      </c>
      <c r="AE537" s="52" t="n">
        <v>0</v>
      </c>
      <c r="AF537" s="51" t="n">
        <v>0</v>
      </c>
      <c r="AG537" s="48" t="n">
        <v>0</v>
      </c>
      <c r="AH537" s="49" t="n">
        <v>0</v>
      </c>
      <c r="AI537" s="49" t="n">
        <v>0</v>
      </c>
      <c r="AJ537" s="50" t="n">
        <v>0</v>
      </c>
      <c r="AK537" s="51" t="n">
        <v>0</v>
      </c>
      <c r="AL537" s="52" t="n">
        <v>0</v>
      </c>
      <c r="AM537" s="52" t="n">
        <v>0</v>
      </c>
      <c r="AN537" s="52" t="n">
        <v>0</v>
      </c>
      <c r="AO537" s="53" t="n">
        <v>0</v>
      </c>
      <c r="AP537" s="52" t="n">
        <v>0</v>
      </c>
      <c r="AQ537" s="53" t="n">
        <v>0</v>
      </c>
      <c r="AR537" s="52" t="n">
        <v>0</v>
      </c>
      <c r="AS537" s="51" t="n">
        <v>0</v>
      </c>
      <c r="AT537" s="48" t="n">
        <v>0</v>
      </c>
      <c r="AU537" s="49" t="n">
        <v>0</v>
      </c>
      <c r="AV537" s="49" t="n">
        <v>0</v>
      </c>
      <c r="AW537" s="50" t="n">
        <v>0</v>
      </c>
      <c r="AX537" s="51" t="n">
        <v>0</v>
      </c>
      <c r="AY537" s="52" t="n">
        <v>0</v>
      </c>
      <c r="AZ537" s="52" t="n">
        <v>0</v>
      </c>
      <c r="BA537" s="52" t="n">
        <v>0</v>
      </c>
      <c r="BB537" s="53" t="n">
        <v>0</v>
      </c>
      <c r="BC537" s="52" t="n">
        <v>0</v>
      </c>
      <c r="BD537" s="53" t="n">
        <v>0</v>
      </c>
      <c r="BE537" s="52" t="n">
        <v>0</v>
      </c>
      <c r="BF537" s="51" t="n">
        <v>0</v>
      </c>
    </row>
    <row r="538">
      <c r="A538">
        <f>HYPERLINK("https://www.walmart.com/ip/396482858", "396482858")</f>
        <v/>
      </c>
      <c r="B538" t="inlineStr">
        <is>
          <t>Catalonia Fleece Wearable Blanket Poncho for Adult Women Men, Wrap Blanket Cape with Pocket | Warm, Soft, Cozy, Snuggly, Comfort Gift, No Sleeves | All-Season, Cheetah</t>
        </is>
      </c>
      <c r="C538" t="inlineStr">
        <is>
          <t>1CTBP100CHEETAH</t>
        </is>
      </c>
      <c r="D538" t="inlineStr">
        <is>
          <t>Throws</t>
        </is>
      </c>
      <c r="E538" t="inlineStr">
        <is>
          <t>Catalonia</t>
        </is>
      </c>
      <c r="F538" t="inlineStr">
        <is>
          <t>Hero 5 Holidays,WFS,Coupon_Discount,WFS Item</t>
        </is>
      </c>
      <c r="G538" s="48" t="n">
        <v>0</v>
      </c>
      <c r="H538" s="49" t="n">
        <v>0</v>
      </c>
      <c r="I538" s="49" t="n">
        <v>0</v>
      </c>
      <c r="J538" s="50" t="n">
        <v>0</v>
      </c>
      <c r="K538" s="51" t="n">
        <v>0</v>
      </c>
      <c r="L538" s="52" t="n">
        <v>0</v>
      </c>
      <c r="M538" s="52" t="n">
        <v>0</v>
      </c>
      <c r="N538" s="52" t="n">
        <v>0</v>
      </c>
      <c r="O538" s="53" t="n">
        <v>0</v>
      </c>
      <c r="P538" s="52" t="n">
        <v>0</v>
      </c>
      <c r="Q538" s="53" t="n">
        <v>0</v>
      </c>
      <c r="R538" s="52" t="n">
        <v>0</v>
      </c>
      <c r="S538" s="51" t="n">
        <v>0</v>
      </c>
      <c r="T538" s="48" t="n">
        <v>0</v>
      </c>
      <c r="U538" s="49" t="n">
        <v>0</v>
      </c>
      <c r="V538" s="49" t="n">
        <v>0</v>
      </c>
      <c r="W538" s="50" t="n">
        <v>0</v>
      </c>
      <c r="X538" s="51" t="n">
        <v>0</v>
      </c>
      <c r="Y538" s="52" t="n">
        <v>0</v>
      </c>
      <c r="Z538" s="52" t="n">
        <v>0</v>
      </c>
      <c r="AA538" s="52" t="n">
        <v>0</v>
      </c>
      <c r="AB538" s="53" t="n">
        <v>0</v>
      </c>
      <c r="AC538" s="52" t="n">
        <v>0</v>
      </c>
      <c r="AD538" s="53" t="n">
        <v>0</v>
      </c>
      <c r="AE538" s="52" t="n">
        <v>0</v>
      </c>
      <c r="AF538" s="51" t="n">
        <v>0</v>
      </c>
      <c r="AG538" s="48" t="n">
        <v>0</v>
      </c>
      <c r="AH538" s="49" t="n">
        <v>0</v>
      </c>
      <c r="AI538" s="49" t="n">
        <v>0</v>
      </c>
      <c r="AJ538" s="50" t="n">
        <v>0</v>
      </c>
      <c r="AK538" s="51" t="n">
        <v>0</v>
      </c>
      <c r="AL538" s="52" t="n">
        <v>0</v>
      </c>
      <c r="AM538" s="52" t="n">
        <v>0</v>
      </c>
      <c r="AN538" s="52" t="n">
        <v>0</v>
      </c>
      <c r="AO538" s="53" t="n">
        <v>0</v>
      </c>
      <c r="AP538" s="52" t="n">
        <v>0</v>
      </c>
      <c r="AQ538" s="53" t="n">
        <v>0</v>
      </c>
      <c r="AR538" s="52" t="n">
        <v>0</v>
      </c>
      <c r="AS538" s="51" t="n">
        <v>0</v>
      </c>
      <c r="AT538" s="48" t="n">
        <v>0</v>
      </c>
      <c r="AU538" s="49" t="n">
        <v>0</v>
      </c>
      <c r="AV538" s="49" t="n">
        <v>0</v>
      </c>
      <c r="AW538" s="50" t="n">
        <v>0</v>
      </c>
      <c r="AX538" s="51" t="n">
        <v>0</v>
      </c>
      <c r="AY538" s="52" t="n">
        <v>0</v>
      </c>
      <c r="AZ538" s="52" t="n">
        <v>0</v>
      </c>
      <c r="BA538" s="52" t="n">
        <v>0</v>
      </c>
      <c r="BB538" s="53" t="n">
        <v>0</v>
      </c>
      <c r="BC538" s="52" t="n">
        <v>0</v>
      </c>
      <c r="BD538" s="53" t="n">
        <v>0</v>
      </c>
      <c r="BE538" s="52" t="n">
        <v>0</v>
      </c>
      <c r="BF538" s="51" t="n">
        <v>0</v>
      </c>
    </row>
    <row r="539">
      <c r="A539">
        <f>HYPERLINK("https://www.walmart.com/ip/396849759", "396849759")</f>
        <v/>
      </c>
      <c r="B539" t="inlineStr">
        <is>
          <t>Sherpa Slipper Socks for Women,Winter Indoor Home Non Skid Booties</t>
        </is>
      </c>
      <c r="C539" t="inlineStr">
        <is>
          <t>1CTST200LBL-2</t>
        </is>
      </c>
      <c r="D539" t="inlineStr">
        <is>
          <t>Socks</t>
        </is>
      </c>
      <c r="E539" t="inlineStr">
        <is>
          <t>Catalonia</t>
        </is>
      </c>
      <c r="F539" t="inlineStr">
        <is>
          <t>WFS,WFS Item</t>
        </is>
      </c>
      <c r="G539" s="48" t="n">
        <v>0</v>
      </c>
      <c r="H539" s="49" t="n">
        <v>0</v>
      </c>
      <c r="I539" s="49" t="n">
        <v>0</v>
      </c>
      <c r="J539" s="50" t="n">
        <v>0</v>
      </c>
      <c r="K539" s="51" t="n">
        <v>0</v>
      </c>
      <c r="L539" s="52" t="n">
        <v>0</v>
      </c>
      <c r="M539" s="52" t="n">
        <v>0</v>
      </c>
      <c r="N539" s="52" t="n">
        <v>0</v>
      </c>
      <c r="O539" s="53" t="n">
        <v>0</v>
      </c>
      <c r="P539" s="52" t="n">
        <v>0</v>
      </c>
      <c r="Q539" s="53" t="n">
        <v>0</v>
      </c>
      <c r="R539" s="52" t="n">
        <v>0</v>
      </c>
      <c r="S539" s="51" t="n">
        <v>0</v>
      </c>
      <c r="T539" s="48" t="n">
        <v>0</v>
      </c>
      <c r="U539" s="49" t="n">
        <v>0</v>
      </c>
      <c r="V539" s="49" t="n">
        <v>0</v>
      </c>
      <c r="W539" s="50" t="n">
        <v>0</v>
      </c>
      <c r="X539" s="51" t="n">
        <v>0</v>
      </c>
      <c r="Y539" s="52" t="n">
        <v>0</v>
      </c>
      <c r="Z539" s="52" t="n">
        <v>0</v>
      </c>
      <c r="AA539" s="52" t="n">
        <v>0</v>
      </c>
      <c r="AB539" s="53" t="n">
        <v>0</v>
      </c>
      <c r="AC539" s="52" t="n">
        <v>0</v>
      </c>
      <c r="AD539" s="53" t="n">
        <v>0</v>
      </c>
      <c r="AE539" s="52" t="n">
        <v>0</v>
      </c>
      <c r="AF539" s="51" t="n">
        <v>0</v>
      </c>
      <c r="AG539" s="48" t="n">
        <v>0</v>
      </c>
      <c r="AH539" s="49" t="n">
        <v>0</v>
      </c>
      <c r="AI539" s="49" t="n">
        <v>0</v>
      </c>
      <c r="AJ539" s="50" t="n">
        <v>0</v>
      </c>
      <c r="AK539" s="51" t="n">
        <v>0</v>
      </c>
      <c r="AL539" s="52" t="n">
        <v>0</v>
      </c>
      <c r="AM539" s="52" t="n">
        <v>0</v>
      </c>
      <c r="AN539" s="52" t="n">
        <v>0</v>
      </c>
      <c r="AO539" s="53" t="n">
        <v>0</v>
      </c>
      <c r="AP539" s="52" t="n">
        <v>0</v>
      </c>
      <c r="AQ539" s="53" t="n">
        <v>0</v>
      </c>
      <c r="AR539" s="52" t="n">
        <v>0</v>
      </c>
      <c r="AS539" s="51" t="n">
        <v>0</v>
      </c>
      <c r="AT539" s="48" t="n">
        <v>0</v>
      </c>
      <c r="AU539" s="49" t="n">
        <v>0</v>
      </c>
      <c r="AV539" s="49" t="n">
        <v>0</v>
      </c>
      <c r="AW539" s="50" t="n">
        <v>0</v>
      </c>
      <c r="AX539" s="51" t="n">
        <v>0</v>
      </c>
      <c r="AY539" s="52" t="n">
        <v>0</v>
      </c>
      <c r="AZ539" s="52" t="n">
        <v>0</v>
      </c>
      <c r="BA539" s="52" t="n">
        <v>0</v>
      </c>
      <c r="BB539" s="53" t="n">
        <v>0</v>
      </c>
      <c r="BC539" s="52" t="n">
        <v>0</v>
      </c>
      <c r="BD539" s="53" t="n">
        <v>0</v>
      </c>
      <c r="BE539" s="52" t="n">
        <v>0</v>
      </c>
      <c r="BF539" s="51" t="n">
        <v>0</v>
      </c>
    </row>
    <row r="540">
      <c r="A540">
        <f>HYPERLINK("https://www.walmart.com/ip/3972988053", "3972988053")</f>
        <v/>
      </c>
      <c r="B540" t="inlineStr">
        <is>
          <t>Catalonia Waterproof Blanket for Outdoors, Hooded Blanket Poncho, Windproof, Warm, Wearable, Portable Fleece Blanket for Stadium, Picnics, Sports Events, Camping, Yoga, and Beach, Orange/Black</t>
        </is>
      </c>
      <c r="C540" t="inlineStr">
        <is>
          <t>1CTBC200ORBK</t>
        </is>
      </c>
      <c r="D540" t="inlineStr">
        <is>
          <t>Throws</t>
        </is>
      </c>
      <c r="E540" t="inlineStr">
        <is>
          <t>Catalonia</t>
        </is>
      </c>
      <c r="F540" t="inlineStr">
        <is>
          <t>Wproof Blanket</t>
        </is>
      </c>
      <c r="G540" s="48" t="n">
        <v>0</v>
      </c>
      <c r="H540" s="49" t="n">
        <v>0</v>
      </c>
      <c r="I540" s="49" t="n">
        <v>0</v>
      </c>
      <c r="J540" s="50" t="n">
        <v>0</v>
      </c>
      <c r="K540" s="51" t="n">
        <v>0</v>
      </c>
      <c r="L540" s="52" t="n">
        <v>0</v>
      </c>
      <c r="M540" s="52" t="n">
        <v>0</v>
      </c>
      <c r="N540" s="52" t="n">
        <v>0</v>
      </c>
      <c r="O540" s="53" t="n">
        <v>0</v>
      </c>
      <c r="P540" s="52" t="n">
        <v>0</v>
      </c>
      <c r="Q540" s="53" t="n">
        <v>0</v>
      </c>
      <c r="R540" s="52" t="n">
        <v>0</v>
      </c>
      <c r="S540" s="51" t="n">
        <v>0</v>
      </c>
      <c r="T540" s="48" t="n">
        <v>26.99</v>
      </c>
      <c r="U540" s="49" t="n">
        <v>1</v>
      </c>
      <c r="V540" s="49" t="n">
        <v>0</v>
      </c>
      <c r="W540" s="50" t="n">
        <v>0</v>
      </c>
      <c r="X540" s="51" t="n">
        <v>0</v>
      </c>
      <c r="Y540" s="52" t="n">
        <v>0</v>
      </c>
      <c r="Z540" s="52" t="n">
        <v>0</v>
      </c>
      <c r="AA540" s="52" t="n">
        <v>0</v>
      </c>
      <c r="AB540" s="53" t="n">
        <v>0</v>
      </c>
      <c r="AC540" s="52" t="n">
        <v>0</v>
      </c>
      <c r="AD540" s="53" t="n">
        <v>0</v>
      </c>
      <c r="AE540" s="52" t="n">
        <v>26.99</v>
      </c>
      <c r="AF540" s="51" t="n">
        <v>0</v>
      </c>
      <c r="AG540" s="48" t="n">
        <v>0</v>
      </c>
      <c r="AH540" s="49" t="n">
        <v>0</v>
      </c>
      <c r="AI540" s="49" t="n">
        <v>0</v>
      </c>
      <c r="AJ540" s="50" t="n">
        <v>0</v>
      </c>
      <c r="AK540" s="51" t="n">
        <v>0</v>
      </c>
      <c r="AL540" s="52" t="n">
        <v>0</v>
      </c>
      <c r="AM540" s="52" t="n">
        <v>0</v>
      </c>
      <c r="AN540" s="52" t="n">
        <v>0</v>
      </c>
      <c r="AO540" s="53" t="n">
        <v>0</v>
      </c>
      <c r="AP540" s="52" t="n">
        <v>0</v>
      </c>
      <c r="AQ540" s="53" t="n">
        <v>0</v>
      </c>
      <c r="AR540" s="52" t="n">
        <v>0</v>
      </c>
      <c r="AS540" s="51" t="n">
        <v>0</v>
      </c>
      <c r="AT540" s="48" t="n">
        <v>0</v>
      </c>
      <c r="AU540" s="49" t="n">
        <v>0</v>
      </c>
      <c r="AV540" s="49" t="n">
        <v>0</v>
      </c>
      <c r="AW540" s="50" t="n">
        <v>0</v>
      </c>
      <c r="AX540" s="51" t="n">
        <v>0</v>
      </c>
      <c r="AY540" s="52" t="n">
        <v>0</v>
      </c>
      <c r="AZ540" s="52" t="n">
        <v>0</v>
      </c>
      <c r="BA540" s="52" t="n">
        <v>0</v>
      </c>
      <c r="BB540" s="53" t="n">
        <v>0</v>
      </c>
      <c r="BC540" s="52" t="n">
        <v>0</v>
      </c>
      <c r="BD540" s="53" t="n">
        <v>0</v>
      </c>
      <c r="BE540" s="52" t="n">
        <v>0</v>
      </c>
      <c r="BF540" s="51" t="n">
        <v>0</v>
      </c>
    </row>
    <row r="541">
      <c r="A541">
        <f>HYPERLINK("https://www.walmart.com/ip/398223361", "398223361")</f>
        <v/>
      </c>
      <c r="B541" t="inlineStr">
        <is>
          <t>Sherpa Fleece Blanket National Flag Print Patriotic Plush Soft Warm Reversible Polar Throw for Couch Bed by Catalon</t>
        </is>
      </c>
      <c r="C541" t="inlineStr">
        <is>
          <t>1CTBF300USA2</t>
        </is>
      </c>
      <c r="D541" t="inlineStr">
        <is>
          <t>Throws</t>
        </is>
      </c>
      <c r="E541" t="inlineStr">
        <is>
          <t>Catalonia</t>
        </is>
      </c>
      <c r="F541" t="inlineStr">
        <is>
          <t>WFS,WFS Item</t>
        </is>
      </c>
      <c r="G541" s="48" t="n">
        <v>0</v>
      </c>
      <c r="H541" s="49" t="n">
        <v>0</v>
      </c>
      <c r="I541" s="49" t="n">
        <v>0</v>
      </c>
      <c r="J541" s="50" t="n">
        <v>0</v>
      </c>
      <c r="K541" s="51" t="n">
        <v>0</v>
      </c>
      <c r="L541" s="52" t="n">
        <v>0</v>
      </c>
      <c r="M541" s="52" t="n">
        <v>0</v>
      </c>
      <c r="N541" s="52" t="n">
        <v>0</v>
      </c>
      <c r="O541" s="53" t="n">
        <v>0</v>
      </c>
      <c r="P541" s="52" t="n">
        <v>0</v>
      </c>
      <c r="Q541" s="53" t="n">
        <v>0</v>
      </c>
      <c r="R541" s="52" t="n">
        <v>0</v>
      </c>
      <c r="S541" s="51" t="n">
        <v>0</v>
      </c>
      <c r="T541" s="48" t="n">
        <v>0</v>
      </c>
      <c r="U541" s="49" t="n">
        <v>0</v>
      </c>
      <c r="V541" s="49" t="n">
        <v>0</v>
      </c>
      <c r="W541" s="50" t="n">
        <v>0</v>
      </c>
      <c r="X541" s="51" t="n">
        <v>0</v>
      </c>
      <c r="Y541" s="52" t="n">
        <v>0</v>
      </c>
      <c r="Z541" s="52" t="n">
        <v>0</v>
      </c>
      <c r="AA541" s="52" t="n">
        <v>0</v>
      </c>
      <c r="AB541" s="53" t="n">
        <v>0</v>
      </c>
      <c r="AC541" s="52" t="n">
        <v>0</v>
      </c>
      <c r="AD541" s="53" t="n">
        <v>0</v>
      </c>
      <c r="AE541" s="52" t="n">
        <v>0</v>
      </c>
      <c r="AF541" s="51" t="n">
        <v>0</v>
      </c>
      <c r="AG541" s="48" t="n">
        <v>0</v>
      </c>
      <c r="AH541" s="49" t="n">
        <v>0</v>
      </c>
      <c r="AI541" s="49" t="n">
        <v>0</v>
      </c>
      <c r="AJ541" s="50" t="n">
        <v>0</v>
      </c>
      <c r="AK541" s="51" t="n">
        <v>0</v>
      </c>
      <c r="AL541" s="52" t="n">
        <v>0</v>
      </c>
      <c r="AM541" s="52" t="n">
        <v>0</v>
      </c>
      <c r="AN541" s="52" t="n">
        <v>0</v>
      </c>
      <c r="AO541" s="53" t="n">
        <v>0</v>
      </c>
      <c r="AP541" s="52" t="n">
        <v>0</v>
      </c>
      <c r="AQ541" s="53" t="n">
        <v>0</v>
      </c>
      <c r="AR541" s="52" t="n">
        <v>0</v>
      </c>
      <c r="AS541" s="51" t="n">
        <v>0</v>
      </c>
      <c r="AT541" s="48" t="n">
        <v>0</v>
      </c>
      <c r="AU541" s="49" t="n">
        <v>0</v>
      </c>
      <c r="AV541" s="49" t="n">
        <v>0</v>
      </c>
      <c r="AW541" s="50" t="n">
        <v>0</v>
      </c>
      <c r="AX541" s="51" t="n">
        <v>0</v>
      </c>
      <c r="AY541" s="52" t="n">
        <v>0</v>
      </c>
      <c r="AZ541" s="52" t="n">
        <v>0</v>
      </c>
      <c r="BA541" s="52" t="n">
        <v>0</v>
      </c>
      <c r="BB541" s="53" t="n">
        <v>0</v>
      </c>
      <c r="BC541" s="52" t="n">
        <v>0</v>
      </c>
      <c r="BD541" s="53" t="n">
        <v>0</v>
      </c>
      <c r="BE541" s="52" t="n">
        <v>0</v>
      </c>
      <c r="BF541" s="51" t="n">
        <v>0</v>
      </c>
    </row>
    <row r="542">
      <c r="A542">
        <f>HYPERLINK("https://www.walmart.com/ip/401075674", "401075674")</f>
        <v/>
      </c>
      <c r="B542" t="inlineStr">
        <is>
          <t>Hooded Blanket Poncho | Wearable Blanket Wrap with Hand Pockets | Comfy Sherpa Fleece Throw Cape for Children and Adults, Women Gift</t>
        </is>
      </c>
      <c r="C542" t="inlineStr">
        <is>
          <t>1CTBC100WN</t>
        </is>
      </c>
      <c r="D542" t="inlineStr">
        <is>
          <t>Throws</t>
        </is>
      </c>
      <c r="E542" t="inlineStr">
        <is>
          <t>Catalonia</t>
        </is>
      </c>
      <c r="F542" t="inlineStr">
        <is>
          <t>WFS,WFS Item</t>
        </is>
      </c>
      <c r="G542" s="48" t="n">
        <v>0</v>
      </c>
      <c r="H542" s="49" t="n">
        <v>0</v>
      </c>
      <c r="I542" s="49" t="n">
        <v>0</v>
      </c>
      <c r="J542" s="50" t="n">
        <v>0</v>
      </c>
      <c r="K542" s="51" t="n">
        <v>0</v>
      </c>
      <c r="L542" s="52" t="n">
        <v>0</v>
      </c>
      <c r="M542" s="52" t="n">
        <v>0</v>
      </c>
      <c r="N542" s="52" t="n">
        <v>0</v>
      </c>
      <c r="O542" s="53" t="n">
        <v>0</v>
      </c>
      <c r="P542" s="52" t="n">
        <v>0</v>
      </c>
      <c r="Q542" s="53" t="n">
        <v>0</v>
      </c>
      <c r="R542" s="52" t="n">
        <v>0</v>
      </c>
      <c r="S542" s="51" t="n">
        <v>0</v>
      </c>
      <c r="T542" s="48" t="n">
        <v>0</v>
      </c>
      <c r="U542" s="49" t="n">
        <v>0</v>
      </c>
      <c r="V542" s="49" t="n">
        <v>0</v>
      </c>
      <c r="W542" s="50" t="n">
        <v>0</v>
      </c>
      <c r="X542" s="51" t="n">
        <v>0</v>
      </c>
      <c r="Y542" s="52" t="n">
        <v>0</v>
      </c>
      <c r="Z542" s="52" t="n">
        <v>0</v>
      </c>
      <c r="AA542" s="52" t="n">
        <v>0</v>
      </c>
      <c r="AB542" s="53" t="n">
        <v>0</v>
      </c>
      <c r="AC542" s="52" t="n">
        <v>0</v>
      </c>
      <c r="AD542" s="53" t="n">
        <v>0</v>
      </c>
      <c r="AE542" s="52" t="n">
        <v>0</v>
      </c>
      <c r="AF542" s="51" t="n">
        <v>0</v>
      </c>
      <c r="AG542" s="48" t="n">
        <v>0</v>
      </c>
      <c r="AH542" s="49" t="n">
        <v>0</v>
      </c>
      <c r="AI542" s="49" t="n">
        <v>0</v>
      </c>
      <c r="AJ542" s="50" t="n">
        <v>0</v>
      </c>
      <c r="AK542" s="51" t="n">
        <v>0</v>
      </c>
      <c r="AL542" s="52" t="n">
        <v>0</v>
      </c>
      <c r="AM542" s="52" t="n">
        <v>0</v>
      </c>
      <c r="AN542" s="52" t="n">
        <v>0</v>
      </c>
      <c r="AO542" s="53" t="n">
        <v>0</v>
      </c>
      <c r="AP542" s="52" t="n">
        <v>0</v>
      </c>
      <c r="AQ542" s="53" t="n">
        <v>0</v>
      </c>
      <c r="AR542" s="52" t="n">
        <v>0</v>
      </c>
      <c r="AS542" s="51" t="n">
        <v>0</v>
      </c>
      <c r="AT542" s="48" t="n">
        <v>0</v>
      </c>
      <c r="AU542" s="49" t="n">
        <v>0</v>
      </c>
      <c r="AV542" s="49" t="n">
        <v>0</v>
      </c>
      <c r="AW542" s="50" t="n">
        <v>0</v>
      </c>
      <c r="AX542" s="51" t="n">
        <v>0</v>
      </c>
      <c r="AY542" s="52" t="n">
        <v>0</v>
      </c>
      <c r="AZ542" s="52" t="n">
        <v>0</v>
      </c>
      <c r="BA542" s="52" t="n">
        <v>0</v>
      </c>
      <c r="BB542" s="53" t="n">
        <v>0</v>
      </c>
      <c r="BC542" s="52" t="n">
        <v>0</v>
      </c>
      <c r="BD542" s="53" t="n">
        <v>0</v>
      </c>
      <c r="BE542" s="52" t="n">
        <v>0</v>
      </c>
      <c r="BF542" s="51" t="n">
        <v>0</v>
      </c>
    </row>
    <row r="543">
      <c r="A543">
        <f>HYPERLINK("https://www.walmart.com/ip/409075977", "409075977")</f>
        <v/>
      </c>
      <c r="B543" t="inlineStr">
        <is>
          <t>Solaris Ski Gloves, Winter Warm 3M Insulation Waterproof Snow Gloves for Skiing, Snowboarding, Motorcycling,Cycling, Outdoor Sports, Gifts for Men, Size Run Small</t>
        </is>
      </c>
      <c r="C543" t="inlineStr">
        <is>
          <t>1SLWG300BKXL</t>
        </is>
      </c>
      <c r="D543" t="inlineStr">
        <is>
          <t>Gloves &amp; Mittens</t>
        </is>
      </c>
      <c r="E543" t="inlineStr">
        <is>
          <t>Solaris</t>
        </is>
      </c>
      <c r="F543" t="inlineStr">
        <is>
          <t>Gloves,Batch 1 - TR</t>
        </is>
      </c>
      <c r="G543" s="48" t="n">
        <v>0</v>
      </c>
      <c r="H543" s="49" t="n">
        <v>0</v>
      </c>
      <c r="I543" s="49" t="n">
        <v>0</v>
      </c>
      <c r="J543" s="50" t="n">
        <v>0</v>
      </c>
      <c r="K543" s="51" t="n">
        <v>0</v>
      </c>
      <c r="L543" s="52" t="n">
        <v>0</v>
      </c>
      <c r="M543" s="52" t="n">
        <v>0</v>
      </c>
      <c r="N543" s="52" t="n">
        <v>0</v>
      </c>
      <c r="O543" s="53" t="n">
        <v>0</v>
      </c>
      <c r="P543" s="52" t="n">
        <v>0</v>
      </c>
      <c r="Q543" s="53" t="n">
        <v>0</v>
      </c>
      <c r="R543" s="52" t="n">
        <v>0</v>
      </c>
      <c r="S543" s="51" t="n">
        <v>0</v>
      </c>
      <c r="T543" s="48" t="n">
        <v>0</v>
      </c>
      <c r="U543" s="49" t="n">
        <v>0</v>
      </c>
      <c r="V543" s="49" t="n">
        <v>0</v>
      </c>
      <c r="W543" s="50" t="n">
        <v>0</v>
      </c>
      <c r="X543" s="51" t="n">
        <v>0</v>
      </c>
      <c r="Y543" s="52" t="n">
        <v>0</v>
      </c>
      <c r="Z543" s="52" t="n">
        <v>0</v>
      </c>
      <c r="AA543" s="52" t="n">
        <v>0</v>
      </c>
      <c r="AB543" s="53" t="n">
        <v>0</v>
      </c>
      <c r="AC543" s="52" t="n">
        <v>0</v>
      </c>
      <c r="AD543" s="53" t="n">
        <v>0</v>
      </c>
      <c r="AE543" s="52" t="n">
        <v>0</v>
      </c>
      <c r="AF543" s="51" t="n">
        <v>0</v>
      </c>
      <c r="AG543" s="48" t="n">
        <v>0</v>
      </c>
      <c r="AH543" s="49" t="n">
        <v>0</v>
      </c>
      <c r="AI543" s="49" t="n">
        <v>0</v>
      </c>
      <c r="AJ543" s="50" t="n">
        <v>0</v>
      </c>
      <c r="AK543" s="51" t="n">
        <v>0</v>
      </c>
      <c r="AL543" s="52" t="n">
        <v>0</v>
      </c>
      <c r="AM543" s="52" t="n">
        <v>0</v>
      </c>
      <c r="AN543" s="52" t="n">
        <v>0</v>
      </c>
      <c r="AO543" s="53" t="n">
        <v>0</v>
      </c>
      <c r="AP543" s="52" t="n">
        <v>0</v>
      </c>
      <c r="AQ543" s="53" t="n">
        <v>0</v>
      </c>
      <c r="AR543" s="52" t="n">
        <v>0</v>
      </c>
      <c r="AS543" s="51" t="n">
        <v>0</v>
      </c>
      <c r="AT543" s="48" t="n">
        <v>0</v>
      </c>
      <c r="AU543" s="49" t="n">
        <v>0</v>
      </c>
      <c r="AV543" s="49" t="n">
        <v>0</v>
      </c>
      <c r="AW543" s="50" t="n">
        <v>0</v>
      </c>
      <c r="AX543" s="51" t="n">
        <v>0</v>
      </c>
      <c r="AY543" s="52" t="n">
        <v>0</v>
      </c>
      <c r="AZ543" s="52" t="n">
        <v>0</v>
      </c>
      <c r="BA543" s="52" t="n">
        <v>0</v>
      </c>
      <c r="BB543" s="53" t="n">
        <v>0</v>
      </c>
      <c r="BC543" s="52" t="n">
        <v>0</v>
      </c>
      <c r="BD543" s="53" t="n">
        <v>0</v>
      </c>
      <c r="BE543" s="52" t="n">
        <v>0</v>
      </c>
      <c r="BF543" s="51" t="n">
        <v>0</v>
      </c>
    </row>
    <row r="544">
      <c r="A544">
        <f>HYPERLINK("https://www.walmart.com/ip/403281450", "403281450")</f>
        <v/>
      </c>
      <c r="B544" t="inlineStr">
        <is>
          <t>American Flag Sherpa Throw Blanket Polar Fleece, Super Cozy Warm TV Blankets for Bed or Couch Reversible 50" x 60"</t>
        </is>
      </c>
      <c r="C544" t="inlineStr">
        <is>
          <t>1TRBF300USA-TPCB</t>
        </is>
      </c>
      <c r="D544" t="inlineStr">
        <is>
          <t>Throws</t>
        </is>
      </c>
      <c r="E544" t="inlineStr">
        <is>
          <t>Tirrinia</t>
        </is>
      </c>
      <c r="F544" t="inlineStr">
        <is>
          <t>Batch 1 - TR</t>
        </is>
      </c>
      <c r="G544" s="48" t="n">
        <v>0</v>
      </c>
      <c r="H544" s="49" t="n">
        <v>0</v>
      </c>
      <c r="I544" s="49" t="n">
        <v>0</v>
      </c>
      <c r="J544" s="50" t="n">
        <v>0</v>
      </c>
      <c r="K544" s="51" t="n">
        <v>0</v>
      </c>
      <c r="L544" s="52" t="n">
        <v>0</v>
      </c>
      <c r="M544" s="52" t="n">
        <v>0</v>
      </c>
      <c r="N544" s="52" t="n">
        <v>0</v>
      </c>
      <c r="O544" s="53" t="n">
        <v>0</v>
      </c>
      <c r="P544" s="52" t="n">
        <v>0</v>
      </c>
      <c r="Q544" s="53" t="n">
        <v>0</v>
      </c>
      <c r="R544" s="52" t="n">
        <v>0</v>
      </c>
      <c r="S544" s="51" t="n">
        <v>0</v>
      </c>
      <c r="T544" s="48" t="n">
        <v>0</v>
      </c>
      <c r="U544" s="49" t="n">
        <v>0</v>
      </c>
      <c r="V544" s="49" t="n">
        <v>0</v>
      </c>
      <c r="W544" s="50" t="n">
        <v>0</v>
      </c>
      <c r="X544" s="51" t="n">
        <v>0</v>
      </c>
      <c r="Y544" s="52" t="n">
        <v>0</v>
      </c>
      <c r="Z544" s="52" t="n">
        <v>0</v>
      </c>
      <c r="AA544" s="52" t="n">
        <v>0</v>
      </c>
      <c r="AB544" s="53" t="n">
        <v>0</v>
      </c>
      <c r="AC544" s="52" t="n">
        <v>0</v>
      </c>
      <c r="AD544" s="53" t="n">
        <v>0</v>
      </c>
      <c r="AE544" s="52" t="n">
        <v>0</v>
      </c>
      <c r="AF544" s="51" t="n">
        <v>0</v>
      </c>
      <c r="AG544" s="48" t="n">
        <v>0</v>
      </c>
      <c r="AH544" s="49" t="n">
        <v>0</v>
      </c>
      <c r="AI544" s="49" t="n">
        <v>0</v>
      </c>
      <c r="AJ544" s="50" t="n">
        <v>0</v>
      </c>
      <c r="AK544" s="51" t="n">
        <v>0</v>
      </c>
      <c r="AL544" s="52" t="n">
        <v>0</v>
      </c>
      <c r="AM544" s="52" t="n">
        <v>0</v>
      </c>
      <c r="AN544" s="52" t="n">
        <v>0</v>
      </c>
      <c r="AO544" s="53" t="n">
        <v>0</v>
      </c>
      <c r="AP544" s="52" t="n">
        <v>0</v>
      </c>
      <c r="AQ544" s="53" t="n">
        <v>0</v>
      </c>
      <c r="AR544" s="52" t="n">
        <v>0</v>
      </c>
      <c r="AS544" s="51" t="n">
        <v>0</v>
      </c>
      <c r="AT544" s="48" t="n">
        <v>0</v>
      </c>
      <c r="AU544" s="49" t="n">
        <v>0</v>
      </c>
      <c r="AV544" s="49" t="n">
        <v>0</v>
      </c>
      <c r="AW544" s="50" t="n">
        <v>0</v>
      </c>
      <c r="AX544" s="51" t="n">
        <v>0</v>
      </c>
      <c r="AY544" s="52" t="n">
        <v>0</v>
      </c>
      <c r="AZ544" s="52" t="n">
        <v>0</v>
      </c>
      <c r="BA544" s="52" t="n">
        <v>0</v>
      </c>
      <c r="BB544" s="53" t="n">
        <v>0</v>
      </c>
      <c r="BC544" s="52" t="n">
        <v>0</v>
      </c>
      <c r="BD544" s="53" t="n">
        <v>0</v>
      </c>
      <c r="BE544" s="52" t="n">
        <v>0</v>
      </c>
      <c r="BF544" s="51" t="n">
        <v>0</v>
      </c>
    </row>
    <row r="545">
      <c r="A545">
        <f>HYPERLINK("https://www.walmart.com/ip/404931694", "404931694")</f>
        <v/>
      </c>
      <c r="B545" t="inlineStr">
        <is>
          <t>Zebra Sherpa Fleece Throw Blanket, Cozy Fuzzy Jacquard Blanket for the Couch Bed | Fluffy Comfy Warm Heavy Throws | Comfort Caring Gift, 50x60 inches</t>
        </is>
      </c>
      <c r="C545" t="inlineStr">
        <is>
          <t>1CTBF573ZEBRA</t>
        </is>
      </c>
      <c r="D545" t="inlineStr">
        <is>
          <t>Throws</t>
        </is>
      </c>
      <c r="E545" t="inlineStr">
        <is>
          <t>Catalonia</t>
        </is>
      </c>
      <c r="F545" t="inlineStr">
        <is>
          <t>Q2-Target,WFS,WFS Item</t>
        </is>
      </c>
      <c r="G545" s="48" t="n">
        <v>0</v>
      </c>
      <c r="H545" s="49" t="n">
        <v>0</v>
      </c>
      <c r="I545" s="49" t="n">
        <v>0</v>
      </c>
      <c r="J545" s="50" t="n">
        <v>0</v>
      </c>
      <c r="K545" s="51" t="n">
        <v>0</v>
      </c>
      <c r="L545" s="52" t="n">
        <v>0</v>
      </c>
      <c r="M545" s="52" t="n">
        <v>0</v>
      </c>
      <c r="N545" s="52" t="n">
        <v>0</v>
      </c>
      <c r="O545" s="53" t="n">
        <v>0</v>
      </c>
      <c r="P545" s="52" t="n">
        <v>0</v>
      </c>
      <c r="Q545" s="53" t="n">
        <v>0</v>
      </c>
      <c r="R545" s="52" t="n">
        <v>0</v>
      </c>
      <c r="S545" s="51" t="n">
        <v>0</v>
      </c>
      <c r="T545" s="48" t="n">
        <v>0</v>
      </c>
      <c r="U545" s="49" t="n">
        <v>0</v>
      </c>
      <c r="V545" s="49" t="n">
        <v>0</v>
      </c>
      <c r="W545" s="50" t="n">
        <v>0</v>
      </c>
      <c r="X545" s="51" t="n">
        <v>0</v>
      </c>
      <c r="Y545" s="52" t="n">
        <v>0</v>
      </c>
      <c r="Z545" s="52" t="n">
        <v>0</v>
      </c>
      <c r="AA545" s="52" t="n">
        <v>0</v>
      </c>
      <c r="AB545" s="53" t="n">
        <v>0</v>
      </c>
      <c r="AC545" s="52" t="n">
        <v>0</v>
      </c>
      <c r="AD545" s="53" t="n">
        <v>0</v>
      </c>
      <c r="AE545" s="52" t="n">
        <v>0</v>
      </c>
      <c r="AF545" s="51" t="n">
        <v>0</v>
      </c>
      <c r="AG545" s="48" t="n">
        <v>0</v>
      </c>
      <c r="AH545" s="49" t="n">
        <v>0</v>
      </c>
      <c r="AI545" s="49" t="n">
        <v>0</v>
      </c>
      <c r="AJ545" s="50" t="n">
        <v>0</v>
      </c>
      <c r="AK545" s="51" t="n">
        <v>0</v>
      </c>
      <c r="AL545" s="52" t="n">
        <v>0</v>
      </c>
      <c r="AM545" s="52" t="n">
        <v>0</v>
      </c>
      <c r="AN545" s="52" t="n">
        <v>0</v>
      </c>
      <c r="AO545" s="53" t="n">
        <v>0</v>
      </c>
      <c r="AP545" s="52" t="n">
        <v>0</v>
      </c>
      <c r="AQ545" s="53" t="n">
        <v>0</v>
      </c>
      <c r="AR545" s="52" t="n">
        <v>0</v>
      </c>
      <c r="AS545" s="51" t="n">
        <v>0</v>
      </c>
      <c r="AT545" s="48" t="n">
        <v>0</v>
      </c>
      <c r="AU545" s="49" t="n">
        <v>0</v>
      </c>
      <c r="AV545" s="49" t="n">
        <v>0</v>
      </c>
      <c r="AW545" s="50" t="n">
        <v>0</v>
      </c>
      <c r="AX545" s="51" t="n">
        <v>0</v>
      </c>
      <c r="AY545" s="52" t="n">
        <v>0</v>
      </c>
      <c r="AZ545" s="52" t="n">
        <v>0</v>
      </c>
      <c r="BA545" s="52" t="n">
        <v>0</v>
      </c>
      <c r="BB545" s="53" t="n">
        <v>0</v>
      </c>
      <c r="BC545" s="52" t="n">
        <v>0</v>
      </c>
      <c r="BD545" s="53" t="n">
        <v>0</v>
      </c>
      <c r="BE545" s="52" t="n">
        <v>0</v>
      </c>
      <c r="BF545" s="51" t="n">
        <v>0</v>
      </c>
    </row>
    <row r="546">
      <c r="A546">
        <f>HYPERLINK("https://www.walmart.com/ip/405670396", "405670396")</f>
        <v/>
      </c>
      <c r="B546" t="inlineStr">
        <is>
          <t>Solaris Ski Gloves, Winter Warm 3M Insulation Waterproof Snow Gloves for Skiing, Snowboarding, Motorcycling,Cycling, Outdoor Sports, Gifts for Men, Size Run Small</t>
        </is>
      </c>
      <c r="C546" t="inlineStr">
        <is>
          <t>1SLWG300BKS</t>
        </is>
      </c>
      <c r="D546" t="inlineStr">
        <is>
          <t>Gloves &amp; Mittens</t>
        </is>
      </c>
      <c r="E546" t="inlineStr">
        <is>
          <t>Solaris</t>
        </is>
      </c>
      <c r="F546" t="inlineStr">
        <is>
          <t>Optimized,Gloves</t>
        </is>
      </c>
      <c r="G546" s="48" t="n">
        <v>0</v>
      </c>
      <c r="H546" s="49" t="n">
        <v>0</v>
      </c>
      <c r="I546" s="49" t="n">
        <v>0</v>
      </c>
      <c r="J546" s="50" t="n">
        <v>0</v>
      </c>
      <c r="K546" s="51" t="n">
        <v>0</v>
      </c>
      <c r="L546" s="52" t="n">
        <v>0</v>
      </c>
      <c r="M546" s="52" t="n">
        <v>0</v>
      </c>
      <c r="N546" s="52" t="n">
        <v>0</v>
      </c>
      <c r="O546" s="53" t="n">
        <v>0</v>
      </c>
      <c r="P546" s="52" t="n">
        <v>0</v>
      </c>
      <c r="Q546" s="53" t="n">
        <v>0</v>
      </c>
      <c r="R546" s="52" t="n">
        <v>0</v>
      </c>
      <c r="S546" s="51" t="n">
        <v>0</v>
      </c>
      <c r="T546" s="48" t="n">
        <v>0</v>
      </c>
      <c r="U546" s="49" t="n">
        <v>0</v>
      </c>
      <c r="V546" s="49" t="n">
        <v>0</v>
      </c>
      <c r="W546" s="50" t="n">
        <v>0</v>
      </c>
      <c r="X546" s="51" t="n">
        <v>0</v>
      </c>
      <c r="Y546" s="52" t="n">
        <v>0</v>
      </c>
      <c r="Z546" s="52" t="n">
        <v>0</v>
      </c>
      <c r="AA546" s="52" t="n">
        <v>0</v>
      </c>
      <c r="AB546" s="53" t="n">
        <v>0</v>
      </c>
      <c r="AC546" s="52" t="n">
        <v>0</v>
      </c>
      <c r="AD546" s="53" t="n">
        <v>0</v>
      </c>
      <c r="AE546" s="52" t="n">
        <v>0</v>
      </c>
      <c r="AF546" s="51" t="n">
        <v>0</v>
      </c>
      <c r="AG546" s="48" t="n">
        <v>0</v>
      </c>
      <c r="AH546" s="49" t="n">
        <v>0</v>
      </c>
      <c r="AI546" s="49" t="n">
        <v>0</v>
      </c>
      <c r="AJ546" s="50" t="n">
        <v>0</v>
      </c>
      <c r="AK546" s="51" t="n">
        <v>0</v>
      </c>
      <c r="AL546" s="52" t="n">
        <v>0</v>
      </c>
      <c r="AM546" s="52" t="n">
        <v>0</v>
      </c>
      <c r="AN546" s="52" t="n">
        <v>0</v>
      </c>
      <c r="AO546" s="53" t="n">
        <v>0</v>
      </c>
      <c r="AP546" s="52" t="n">
        <v>0</v>
      </c>
      <c r="AQ546" s="53" t="n">
        <v>0</v>
      </c>
      <c r="AR546" s="52" t="n">
        <v>0</v>
      </c>
      <c r="AS546" s="51" t="n">
        <v>0</v>
      </c>
      <c r="AT546" s="48" t="n">
        <v>0</v>
      </c>
      <c r="AU546" s="49" t="n">
        <v>0</v>
      </c>
      <c r="AV546" s="49" t="n">
        <v>0</v>
      </c>
      <c r="AW546" s="50" t="n">
        <v>0</v>
      </c>
      <c r="AX546" s="51" t="n">
        <v>0</v>
      </c>
      <c r="AY546" s="52" t="n">
        <v>0</v>
      </c>
      <c r="AZ546" s="52" t="n">
        <v>0</v>
      </c>
      <c r="BA546" s="52" t="n">
        <v>0</v>
      </c>
      <c r="BB546" s="53" t="n">
        <v>0</v>
      </c>
      <c r="BC546" s="52" t="n">
        <v>0</v>
      </c>
      <c r="BD546" s="53" t="n">
        <v>0</v>
      </c>
      <c r="BE546" s="52" t="n">
        <v>0</v>
      </c>
      <c r="BF546" s="51" t="n">
        <v>0</v>
      </c>
    </row>
    <row r="547">
      <c r="A547">
        <f>HYPERLINK("https://www.walmart.com/ip/407186152", "407186152")</f>
        <v/>
      </c>
      <c r="B547" t="inlineStr">
        <is>
          <t>Catalonia Sherpa Fleece Throw Blanket, Super Soft Mink Plush Couch Blanket, TV Bed Fuzzy Blanket, Fluffy Comfy Warm Heavy Throws, Comfort Caring Gift, 50x60 inches</t>
        </is>
      </c>
      <c r="C547" t="inlineStr">
        <is>
          <t>1CTBF300STF</t>
        </is>
      </c>
      <c r="D547" t="inlineStr">
        <is>
          <t>Throws</t>
        </is>
      </c>
      <c r="E547" t="inlineStr">
        <is>
          <t>Catalonia</t>
        </is>
      </c>
      <c r="F547" t="inlineStr">
        <is>
          <t>WFS,WFS Item</t>
        </is>
      </c>
      <c r="G547" s="48" t="n">
        <v>0</v>
      </c>
      <c r="H547" s="49" t="n">
        <v>0</v>
      </c>
      <c r="I547" s="49" t="n">
        <v>0</v>
      </c>
      <c r="J547" s="50" t="n">
        <v>0</v>
      </c>
      <c r="K547" s="51" t="n">
        <v>0</v>
      </c>
      <c r="L547" s="52" t="n">
        <v>0</v>
      </c>
      <c r="M547" s="52" t="n">
        <v>0</v>
      </c>
      <c r="N547" s="52" t="n">
        <v>0</v>
      </c>
      <c r="O547" s="53" t="n">
        <v>0</v>
      </c>
      <c r="P547" s="52" t="n">
        <v>0</v>
      </c>
      <c r="Q547" s="53" t="n">
        <v>0</v>
      </c>
      <c r="R547" s="52" t="n">
        <v>0</v>
      </c>
      <c r="S547" s="51" t="n">
        <v>0</v>
      </c>
      <c r="T547" s="48" t="n">
        <v>0</v>
      </c>
      <c r="U547" s="49" t="n">
        <v>0</v>
      </c>
      <c r="V547" s="49" t="n">
        <v>0</v>
      </c>
      <c r="W547" s="50" t="n">
        <v>0</v>
      </c>
      <c r="X547" s="51" t="n">
        <v>0</v>
      </c>
      <c r="Y547" s="52" t="n">
        <v>0</v>
      </c>
      <c r="Z547" s="52" t="n">
        <v>0</v>
      </c>
      <c r="AA547" s="52" t="n">
        <v>0</v>
      </c>
      <c r="AB547" s="53" t="n">
        <v>0</v>
      </c>
      <c r="AC547" s="52" t="n">
        <v>0</v>
      </c>
      <c r="AD547" s="53" t="n">
        <v>0</v>
      </c>
      <c r="AE547" s="52" t="n">
        <v>0</v>
      </c>
      <c r="AF547" s="51" t="n">
        <v>0</v>
      </c>
      <c r="AG547" s="48" t="n">
        <v>0</v>
      </c>
      <c r="AH547" s="49" t="n">
        <v>0</v>
      </c>
      <c r="AI547" s="49" t="n">
        <v>0</v>
      </c>
      <c r="AJ547" s="50" t="n">
        <v>0</v>
      </c>
      <c r="AK547" s="51" t="n">
        <v>0</v>
      </c>
      <c r="AL547" s="52" t="n">
        <v>0</v>
      </c>
      <c r="AM547" s="52" t="n">
        <v>0</v>
      </c>
      <c r="AN547" s="52" t="n">
        <v>0</v>
      </c>
      <c r="AO547" s="53" t="n">
        <v>0</v>
      </c>
      <c r="AP547" s="52" t="n">
        <v>0</v>
      </c>
      <c r="AQ547" s="53" t="n">
        <v>0</v>
      </c>
      <c r="AR547" s="52" t="n">
        <v>0</v>
      </c>
      <c r="AS547" s="51" t="n">
        <v>0</v>
      </c>
      <c r="AT547" s="48" t="n">
        <v>0</v>
      </c>
      <c r="AU547" s="49" t="n">
        <v>0</v>
      </c>
      <c r="AV547" s="49" t="n">
        <v>0</v>
      </c>
      <c r="AW547" s="50" t="n">
        <v>0</v>
      </c>
      <c r="AX547" s="51" t="n">
        <v>0</v>
      </c>
      <c r="AY547" s="52" t="n">
        <v>0</v>
      </c>
      <c r="AZ547" s="52" t="n">
        <v>0</v>
      </c>
      <c r="BA547" s="52" t="n">
        <v>0</v>
      </c>
      <c r="BB547" s="53" t="n">
        <v>0</v>
      </c>
      <c r="BC547" s="52" t="n">
        <v>0</v>
      </c>
      <c r="BD547" s="53" t="n">
        <v>0</v>
      </c>
      <c r="BE547" s="52" t="n">
        <v>0</v>
      </c>
      <c r="BF547" s="51" t="n">
        <v>0</v>
      </c>
    </row>
    <row r="548">
      <c r="A548">
        <f>HYPERLINK("https://www.walmart.com/ip/407332040", "407332040")</f>
        <v/>
      </c>
      <c r="B548" t="inlineStr">
        <is>
          <t>Jennis 8in1 Stylish Ladies Magic Scarf Shawl Woolly Charcoal Fiber Head Wrap</t>
        </is>
      </c>
      <c r="C548" t="inlineStr">
        <is>
          <t>MagicScarfPKWT</t>
        </is>
      </c>
      <c r="D548" t="inlineStr">
        <is>
          <t>Scarves</t>
        </is>
      </c>
      <c r="E548" t="inlineStr">
        <is>
          <t>JenniWears</t>
        </is>
      </c>
      <c r="F548" t="inlineStr">
        <is>
          <t>Optimized</t>
        </is>
      </c>
      <c r="G548" s="48" t="n">
        <v>0</v>
      </c>
      <c r="H548" s="49" t="n">
        <v>0</v>
      </c>
      <c r="I548" s="49" t="n">
        <v>0</v>
      </c>
      <c r="J548" s="50" t="n">
        <v>0</v>
      </c>
      <c r="K548" s="51" t="n">
        <v>0</v>
      </c>
      <c r="L548" s="52" t="n">
        <v>0</v>
      </c>
      <c r="M548" s="52" t="n">
        <v>0</v>
      </c>
      <c r="N548" s="52" t="n">
        <v>0</v>
      </c>
      <c r="O548" s="53" t="n">
        <v>0</v>
      </c>
      <c r="P548" s="52" t="n">
        <v>0</v>
      </c>
      <c r="Q548" s="53" t="n">
        <v>0</v>
      </c>
      <c r="R548" s="52" t="n">
        <v>0</v>
      </c>
      <c r="S548" s="51" t="n">
        <v>0</v>
      </c>
      <c r="T548" s="48" t="n">
        <v>0</v>
      </c>
      <c r="U548" s="49" t="n">
        <v>0</v>
      </c>
      <c r="V548" s="49" t="n">
        <v>0</v>
      </c>
      <c r="W548" s="50" t="n">
        <v>0</v>
      </c>
      <c r="X548" s="51" t="n">
        <v>0</v>
      </c>
      <c r="Y548" s="52" t="n">
        <v>0</v>
      </c>
      <c r="Z548" s="52" t="n">
        <v>0</v>
      </c>
      <c r="AA548" s="52" t="n">
        <v>0</v>
      </c>
      <c r="AB548" s="53" t="n">
        <v>0</v>
      </c>
      <c r="AC548" s="52" t="n">
        <v>0</v>
      </c>
      <c r="AD548" s="53" t="n">
        <v>0</v>
      </c>
      <c r="AE548" s="52" t="n">
        <v>0</v>
      </c>
      <c r="AF548" s="51" t="n">
        <v>0</v>
      </c>
      <c r="AG548" s="48" t="n">
        <v>0</v>
      </c>
      <c r="AH548" s="49" t="n">
        <v>0</v>
      </c>
      <c r="AI548" s="49" t="n">
        <v>0</v>
      </c>
      <c r="AJ548" s="50" t="n">
        <v>0</v>
      </c>
      <c r="AK548" s="51" t="n">
        <v>0</v>
      </c>
      <c r="AL548" s="52" t="n">
        <v>0</v>
      </c>
      <c r="AM548" s="52" t="n">
        <v>0</v>
      </c>
      <c r="AN548" s="52" t="n">
        <v>0</v>
      </c>
      <c r="AO548" s="53" t="n">
        <v>0</v>
      </c>
      <c r="AP548" s="52" t="n">
        <v>0</v>
      </c>
      <c r="AQ548" s="53" t="n">
        <v>0</v>
      </c>
      <c r="AR548" s="52" t="n">
        <v>0</v>
      </c>
      <c r="AS548" s="51" t="n">
        <v>0</v>
      </c>
      <c r="AT548" s="48" t="n">
        <v>0</v>
      </c>
      <c r="AU548" s="49" t="n">
        <v>0</v>
      </c>
      <c r="AV548" s="49" t="n">
        <v>0</v>
      </c>
      <c r="AW548" s="50" t="n">
        <v>0</v>
      </c>
      <c r="AX548" s="51" t="n">
        <v>0</v>
      </c>
      <c r="AY548" s="52" t="n">
        <v>0</v>
      </c>
      <c r="AZ548" s="52" t="n">
        <v>0</v>
      </c>
      <c r="BA548" s="52" t="n">
        <v>0</v>
      </c>
      <c r="BB548" s="53" t="n">
        <v>0</v>
      </c>
      <c r="BC548" s="52" t="n">
        <v>0</v>
      </c>
      <c r="BD548" s="53" t="n">
        <v>0</v>
      </c>
      <c r="BE548" s="52" t="n">
        <v>0</v>
      </c>
      <c r="BF548" s="51" t="n">
        <v>0</v>
      </c>
    </row>
    <row r="549">
      <c r="A549">
        <f>HYPERLINK("https://www.walmart.com/ip/407676189", "407676189")</f>
        <v/>
      </c>
      <c r="B549" t="inlineStr">
        <is>
          <t>Catalonia Sherpa Throws Blanket, Comfy Micro Mink Fleece, Reversible Blue And White 50"&lt;strong&gt; &lt;/strong&gt;x60"</t>
        </is>
      </c>
      <c r="C549" t="inlineStr">
        <is>
          <t>1CTBF300BL</t>
        </is>
      </c>
      <c r="D549" t="inlineStr">
        <is>
          <t>Throws</t>
        </is>
      </c>
      <c r="E549" t="inlineStr">
        <is>
          <t>Catalonia</t>
        </is>
      </c>
      <c r="F549" t="inlineStr">
        <is>
          <t>Q2-Target,Optimized,WFS,Coupon_Discount,WFS Item</t>
        </is>
      </c>
      <c r="G549" s="48" t="n">
        <v>0</v>
      </c>
      <c r="H549" s="49" t="n">
        <v>0</v>
      </c>
      <c r="I549" s="49" t="n">
        <v>0</v>
      </c>
      <c r="J549" s="50" t="n">
        <v>0</v>
      </c>
      <c r="K549" s="51" t="n">
        <v>0</v>
      </c>
      <c r="L549" s="52" t="n">
        <v>0</v>
      </c>
      <c r="M549" s="52" t="n">
        <v>0</v>
      </c>
      <c r="N549" s="52" t="n">
        <v>0</v>
      </c>
      <c r="O549" s="53" t="n">
        <v>0</v>
      </c>
      <c r="P549" s="52" t="n">
        <v>0</v>
      </c>
      <c r="Q549" s="53" t="n">
        <v>0</v>
      </c>
      <c r="R549" s="52" t="n">
        <v>0</v>
      </c>
      <c r="S549" s="51" t="n">
        <v>0</v>
      </c>
      <c r="T549" s="48" t="n">
        <v>0</v>
      </c>
      <c r="U549" s="49" t="n">
        <v>0</v>
      </c>
      <c r="V549" s="49" t="n">
        <v>0</v>
      </c>
      <c r="W549" s="50" t="n">
        <v>0</v>
      </c>
      <c r="X549" s="51" t="n">
        <v>0</v>
      </c>
      <c r="Y549" s="52" t="n">
        <v>0</v>
      </c>
      <c r="Z549" s="52" t="n">
        <v>0</v>
      </c>
      <c r="AA549" s="52" t="n">
        <v>0</v>
      </c>
      <c r="AB549" s="53" t="n">
        <v>0</v>
      </c>
      <c r="AC549" s="52" t="n">
        <v>0</v>
      </c>
      <c r="AD549" s="53" t="n">
        <v>0</v>
      </c>
      <c r="AE549" s="52" t="n">
        <v>0</v>
      </c>
      <c r="AF549" s="51" t="n">
        <v>0</v>
      </c>
      <c r="AG549" s="48" t="n">
        <v>0</v>
      </c>
      <c r="AH549" s="49" t="n">
        <v>0</v>
      </c>
      <c r="AI549" s="49" t="n">
        <v>0</v>
      </c>
      <c r="AJ549" s="50" t="n">
        <v>0</v>
      </c>
      <c r="AK549" s="51" t="n">
        <v>0</v>
      </c>
      <c r="AL549" s="52" t="n">
        <v>0</v>
      </c>
      <c r="AM549" s="52" t="n">
        <v>0</v>
      </c>
      <c r="AN549" s="52" t="n">
        <v>0</v>
      </c>
      <c r="AO549" s="53" t="n">
        <v>0</v>
      </c>
      <c r="AP549" s="52" t="n">
        <v>0</v>
      </c>
      <c r="AQ549" s="53" t="n">
        <v>0</v>
      </c>
      <c r="AR549" s="52" t="n">
        <v>0</v>
      </c>
      <c r="AS549" s="51" t="n">
        <v>0</v>
      </c>
      <c r="AT549" s="48" t="n">
        <v>0</v>
      </c>
      <c r="AU549" s="49" t="n">
        <v>0</v>
      </c>
      <c r="AV549" s="49" t="n">
        <v>0</v>
      </c>
      <c r="AW549" s="50" t="n">
        <v>0</v>
      </c>
      <c r="AX549" s="51" t="n">
        <v>0</v>
      </c>
      <c r="AY549" s="52" t="n">
        <v>0</v>
      </c>
      <c r="AZ549" s="52" t="n">
        <v>0</v>
      </c>
      <c r="BA549" s="52" t="n">
        <v>0</v>
      </c>
      <c r="BB549" s="53" t="n">
        <v>0</v>
      </c>
      <c r="BC549" s="52" t="n">
        <v>0</v>
      </c>
      <c r="BD549" s="53" t="n">
        <v>0</v>
      </c>
      <c r="BE549" s="52" t="n">
        <v>0</v>
      </c>
      <c r="BF549" s="51" t="n">
        <v>0</v>
      </c>
    </row>
    <row r="550">
      <c r="A550">
        <f>HYPERLINK("https://www.walmart.com/ip/462974958", "462974958")</f>
        <v/>
      </c>
      <c r="B550" t="inlineStr">
        <is>
          <t>Catalonia Wearable TV Blanket with Sleeves Arms &amp; Feet pockets for Adult Micro Plush Fleece Large Wrap Throw Robe 75 x 5</t>
        </is>
      </c>
      <c r="C550" t="inlineStr">
        <is>
          <t>1CTSN310PP</t>
        </is>
      </c>
      <c r="D550" t="inlineStr">
        <is>
          <t>Throws</t>
        </is>
      </c>
      <c r="E550" t="inlineStr">
        <is>
          <t>Catalonia</t>
        </is>
      </c>
      <c r="F550" t="inlineStr">
        <is>
          <t>WFS,Coupon_Discount,WFS Item</t>
        </is>
      </c>
      <c r="G550" s="48" t="n">
        <v>0</v>
      </c>
      <c r="H550" s="49" t="n">
        <v>0</v>
      </c>
      <c r="I550" s="49" t="n">
        <v>0</v>
      </c>
      <c r="J550" s="50" t="n">
        <v>0</v>
      </c>
      <c r="K550" s="51" t="n">
        <v>6</v>
      </c>
      <c r="L550" s="52" t="n">
        <v>2.12</v>
      </c>
      <c r="M550" s="52" t="n">
        <v>0</v>
      </c>
      <c r="N550" s="52" t="n">
        <v>0</v>
      </c>
      <c r="O550" s="53" t="n">
        <v>0.0025</v>
      </c>
      <c r="P550" s="52" t="n">
        <v>0.3533333333333333</v>
      </c>
      <c r="Q550" s="53" t="n">
        <v>0</v>
      </c>
      <c r="R550" s="52" t="n">
        <v>0</v>
      </c>
      <c r="S550" s="51" t="n">
        <v>2398</v>
      </c>
      <c r="T550" s="48" t="n">
        <v>0</v>
      </c>
      <c r="U550" s="49" t="n">
        <v>0</v>
      </c>
      <c r="V550" s="49" t="n">
        <v>0</v>
      </c>
      <c r="W550" s="50" t="n">
        <v>0</v>
      </c>
      <c r="X550" s="51" t="n">
        <v>0</v>
      </c>
      <c r="Y550" s="52" t="n">
        <v>0</v>
      </c>
      <c r="Z550" s="52" t="n">
        <v>0</v>
      </c>
      <c r="AA550" s="52" t="n">
        <v>0</v>
      </c>
      <c r="AB550" s="53" t="n">
        <v>0</v>
      </c>
      <c r="AC550" s="52" t="n">
        <v>0</v>
      </c>
      <c r="AD550" s="53" t="n">
        <v>0</v>
      </c>
      <c r="AE550" s="52" t="n">
        <v>0</v>
      </c>
      <c r="AF550" s="51" t="n">
        <v>0</v>
      </c>
      <c r="AG550" s="48" t="n">
        <v>0</v>
      </c>
      <c r="AH550" s="49" t="n">
        <v>0</v>
      </c>
      <c r="AI550" s="49" t="n">
        <v>0</v>
      </c>
      <c r="AJ550" s="50" t="n">
        <v>0</v>
      </c>
      <c r="AK550" s="51" t="n">
        <v>0</v>
      </c>
      <c r="AL550" s="52" t="n">
        <v>0</v>
      </c>
      <c r="AM550" s="52" t="n">
        <v>0</v>
      </c>
      <c r="AN550" s="52" t="n">
        <v>0</v>
      </c>
      <c r="AO550" s="53" t="n">
        <v>0</v>
      </c>
      <c r="AP550" s="52" t="n">
        <v>0</v>
      </c>
      <c r="AQ550" s="53" t="n">
        <v>0</v>
      </c>
      <c r="AR550" s="52" t="n">
        <v>0</v>
      </c>
      <c r="AS550" s="51" t="n">
        <v>0</v>
      </c>
      <c r="AT550" s="48" t="n">
        <v>0</v>
      </c>
      <c r="AU550" s="49" t="n">
        <v>0</v>
      </c>
      <c r="AV550" s="49" t="n">
        <v>0</v>
      </c>
      <c r="AW550" s="50" t="n">
        <v>0</v>
      </c>
      <c r="AX550" s="51" t="n">
        <v>0</v>
      </c>
      <c r="AY550" s="52" t="n">
        <v>0</v>
      </c>
      <c r="AZ550" s="52" t="n">
        <v>0</v>
      </c>
      <c r="BA550" s="52" t="n">
        <v>0</v>
      </c>
      <c r="BB550" s="53" t="n">
        <v>0</v>
      </c>
      <c r="BC550" s="52" t="n">
        <v>0</v>
      </c>
      <c r="BD550" s="53" t="n">
        <v>0</v>
      </c>
      <c r="BE550" s="52" t="n">
        <v>0</v>
      </c>
      <c r="BF550" s="51" t="n">
        <v>0</v>
      </c>
    </row>
    <row r="551">
      <c r="A551">
        <f>HYPERLINK("https://www.walmart.com/ip/463255105", "463255105")</f>
        <v/>
      </c>
      <c r="B551" t="inlineStr">
        <is>
          <t>Tirrinia Soft Velvet Plush Throw Blanket 50”x 70” Microfiber Lightweight Warm Home Bed Sofa Couch</t>
        </is>
      </c>
      <c r="C551" t="inlineStr">
        <is>
          <t>1TRBF8023LCA-TBGM</t>
        </is>
      </c>
      <c r="D551" t="inlineStr">
        <is>
          <t>Throws</t>
        </is>
      </c>
      <c r="E551" t="inlineStr">
        <is>
          <t>Tirrinia</t>
        </is>
      </c>
      <c r="G551" s="48" t="n">
        <v>0</v>
      </c>
      <c r="H551" s="49" t="n">
        <v>0</v>
      </c>
      <c r="I551" s="49" t="n">
        <v>0</v>
      </c>
      <c r="J551" s="50" t="n">
        <v>0</v>
      </c>
      <c r="K551" s="51" t="n">
        <v>0</v>
      </c>
      <c r="L551" s="52" t="n">
        <v>0</v>
      </c>
      <c r="M551" s="52" t="n">
        <v>0</v>
      </c>
      <c r="N551" s="52" t="n">
        <v>0</v>
      </c>
      <c r="O551" s="53" t="n">
        <v>0</v>
      </c>
      <c r="P551" s="52" t="n">
        <v>0</v>
      </c>
      <c r="Q551" s="53" t="n">
        <v>0</v>
      </c>
      <c r="R551" s="52" t="n">
        <v>0</v>
      </c>
      <c r="S551" s="51" t="n">
        <v>0</v>
      </c>
      <c r="T551" s="48" t="n">
        <v>0</v>
      </c>
      <c r="U551" s="49" t="n">
        <v>0</v>
      </c>
      <c r="V551" s="49" t="n">
        <v>0</v>
      </c>
      <c r="W551" s="50" t="n">
        <v>0</v>
      </c>
      <c r="X551" s="51" t="n">
        <v>0</v>
      </c>
      <c r="Y551" s="52" t="n">
        <v>0</v>
      </c>
      <c r="Z551" s="52" t="n">
        <v>0</v>
      </c>
      <c r="AA551" s="52" t="n">
        <v>0</v>
      </c>
      <c r="AB551" s="53" t="n">
        <v>0</v>
      </c>
      <c r="AC551" s="52" t="n">
        <v>0</v>
      </c>
      <c r="AD551" s="53" t="n">
        <v>0</v>
      </c>
      <c r="AE551" s="52" t="n">
        <v>0</v>
      </c>
      <c r="AF551" s="51" t="n">
        <v>0</v>
      </c>
      <c r="AG551" s="48" t="n">
        <v>0</v>
      </c>
      <c r="AH551" s="49" t="n">
        <v>0</v>
      </c>
      <c r="AI551" s="49" t="n">
        <v>0</v>
      </c>
      <c r="AJ551" s="50" t="n">
        <v>0</v>
      </c>
      <c r="AK551" s="51" t="n">
        <v>0</v>
      </c>
      <c r="AL551" s="52" t="n">
        <v>0</v>
      </c>
      <c r="AM551" s="52" t="n">
        <v>0</v>
      </c>
      <c r="AN551" s="52" t="n">
        <v>0</v>
      </c>
      <c r="AO551" s="53" t="n">
        <v>0</v>
      </c>
      <c r="AP551" s="52" t="n">
        <v>0</v>
      </c>
      <c r="AQ551" s="53" t="n">
        <v>0</v>
      </c>
      <c r="AR551" s="52" t="n">
        <v>0</v>
      </c>
      <c r="AS551" s="51" t="n">
        <v>0</v>
      </c>
      <c r="AT551" s="48" t="n">
        <v>0</v>
      </c>
      <c r="AU551" s="49" t="n">
        <v>0</v>
      </c>
      <c r="AV551" s="49" t="n">
        <v>0</v>
      </c>
      <c r="AW551" s="50" t="n">
        <v>0</v>
      </c>
      <c r="AX551" s="51" t="n">
        <v>0</v>
      </c>
      <c r="AY551" s="52" t="n">
        <v>0</v>
      </c>
      <c r="AZ551" s="52" t="n">
        <v>0</v>
      </c>
      <c r="BA551" s="52" t="n">
        <v>0</v>
      </c>
      <c r="BB551" s="53" t="n">
        <v>0</v>
      </c>
      <c r="BC551" s="52" t="n">
        <v>0</v>
      </c>
      <c r="BD551" s="53" t="n">
        <v>0</v>
      </c>
      <c r="BE551" s="52" t="n">
        <v>0</v>
      </c>
      <c r="BF551" s="51" t="n">
        <v>0</v>
      </c>
    </row>
    <row r="552">
      <c r="A552">
        <f>HYPERLINK("https://www.walmart.com/ip/5348029365", "5348029365")</f>
        <v/>
      </c>
      <c r="B552" t="inlineStr">
        <is>
          <t>Outdoor Wide Brim Sun Hats Blocking UV Protection Cap UPF 50+ Foldable Mesh Net for Finishing, Hiking, Camping by Solari</t>
        </is>
      </c>
      <c r="C552" t="inlineStr">
        <is>
          <t>1SLSH912CAMO-C</t>
        </is>
      </c>
      <c r="D552" t="inlineStr">
        <is>
          <t>Hats</t>
        </is>
      </c>
      <c r="E552" t="inlineStr">
        <is>
          <t>Solaris</t>
        </is>
      </c>
      <c r="G552" s="48" t="n">
        <v>0</v>
      </c>
      <c r="H552" s="49" t="n">
        <v>0</v>
      </c>
      <c r="I552" s="49" t="n">
        <v>0</v>
      </c>
      <c r="J552" s="50" t="n">
        <v>0</v>
      </c>
      <c r="K552" s="51" t="n">
        <v>0</v>
      </c>
      <c r="L552" s="52" t="n">
        <v>0</v>
      </c>
      <c r="M552" s="52" t="n">
        <v>0</v>
      </c>
      <c r="N552" s="52" t="n">
        <v>0</v>
      </c>
      <c r="O552" s="53" t="n">
        <v>0</v>
      </c>
      <c r="P552" s="52" t="n">
        <v>0</v>
      </c>
      <c r="Q552" s="53" t="n">
        <v>0</v>
      </c>
      <c r="R552" s="52" t="n">
        <v>0</v>
      </c>
      <c r="S552" s="51" t="n">
        <v>0</v>
      </c>
      <c r="T552" s="48" t="n">
        <v>0</v>
      </c>
      <c r="U552" s="49" t="n">
        <v>0</v>
      </c>
      <c r="V552" s="49" t="n">
        <v>0</v>
      </c>
      <c r="W552" s="50" t="n">
        <v>0</v>
      </c>
      <c r="X552" s="51" t="n">
        <v>0</v>
      </c>
      <c r="Y552" s="52" t="n">
        <v>0</v>
      </c>
      <c r="Z552" s="52" t="n">
        <v>0</v>
      </c>
      <c r="AA552" s="52" t="n">
        <v>0</v>
      </c>
      <c r="AB552" s="53" t="n">
        <v>0</v>
      </c>
      <c r="AC552" s="52" t="n">
        <v>0</v>
      </c>
      <c r="AD552" s="53" t="n">
        <v>0</v>
      </c>
      <c r="AE552" s="52" t="n">
        <v>0</v>
      </c>
      <c r="AF552" s="51" t="n">
        <v>0</v>
      </c>
      <c r="AG552" s="48" t="n">
        <v>0</v>
      </c>
      <c r="AH552" s="49" t="n">
        <v>0</v>
      </c>
      <c r="AI552" s="49" t="n">
        <v>0</v>
      </c>
      <c r="AJ552" s="50" t="n">
        <v>0</v>
      </c>
      <c r="AK552" s="51" t="n">
        <v>0</v>
      </c>
      <c r="AL552" s="52" t="n">
        <v>0</v>
      </c>
      <c r="AM552" s="52" t="n">
        <v>0</v>
      </c>
      <c r="AN552" s="52" t="n">
        <v>0</v>
      </c>
      <c r="AO552" s="53" t="n">
        <v>0</v>
      </c>
      <c r="AP552" s="52" t="n">
        <v>0</v>
      </c>
      <c r="AQ552" s="53" t="n">
        <v>0</v>
      </c>
      <c r="AR552" s="52" t="n">
        <v>0</v>
      </c>
      <c r="AS552" s="51" t="n">
        <v>0</v>
      </c>
      <c r="AT552" s="48" t="n">
        <v>0</v>
      </c>
      <c r="AU552" s="49" t="n">
        <v>0</v>
      </c>
      <c r="AV552" s="49" t="n">
        <v>0</v>
      </c>
      <c r="AW552" s="50" t="n">
        <v>0</v>
      </c>
      <c r="AX552" s="51" t="n">
        <v>0</v>
      </c>
      <c r="AY552" s="52" t="n">
        <v>0</v>
      </c>
      <c r="AZ552" s="52" t="n">
        <v>0</v>
      </c>
      <c r="BA552" s="52" t="n">
        <v>0</v>
      </c>
      <c r="BB552" s="53" t="n">
        <v>0</v>
      </c>
      <c r="BC552" s="52" t="n">
        <v>0</v>
      </c>
      <c r="BD552" s="53" t="n">
        <v>0</v>
      </c>
      <c r="BE552" s="52" t="n">
        <v>0</v>
      </c>
      <c r="BF552" s="51" t="n">
        <v>0</v>
      </c>
    </row>
    <row r="553">
      <c r="A553">
        <f>HYPERLINK("https://www.walmart.com/ip/5198169936", "5198169936")</f>
        <v/>
      </c>
      <c r="B553" t="inlineStr">
        <is>
          <t>Tirrinia 2 Bottle Wine Gift Tote Carrier - Leakproof &amp; Insulated with large pockets Wine Cooler Bag for Travel, Wine Tasting, Party, Dinner, Great Christmas Gift for Wine Lover, Black</t>
        </is>
      </c>
      <c r="C553" t="inlineStr">
        <is>
          <t>1TRWB222BK</t>
        </is>
      </c>
      <c r="D553" t="inlineStr">
        <is>
          <t>Wine Totes, Bags &amp; Backpacks</t>
        </is>
      </c>
      <c r="E553" t="inlineStr">
        <is>
          <t>Tirrinia</t>
        </is>
      </c>
      <c r="G553" s="48" t="n">
        <v>0</v>
      </c>
      <c r="H553" s="49" t="n">
        <v>0</v>
      </c>
      <c r="I553" s="49" t="n">
        <v>0</v>
      </c>
      <c r="J553" s="50" t="n">
        <v>0</v>
      </c>
      <c r="K553" s="51" t="n">
        <v>0</v>
      </c>
      <c r="L553" s="52" t="n">
        <v>0</v>
      </c>
      <c r="M553" s="52" t="n">
        <v>0</v>
      </c>
      <c r="N553" s="52" t="n">
        <v>0</v>
      </c>
      <c r="O553" s="53" t="n">
        <v>0</v>
      </c>
      <c r="P553" s="52" t="n">
        <v>0</v>
      </c>
      <c r="Q553" s="53" t="n">
        <v>0</v>
      </c>
      <c r="R553" s="52" t="n">
        <v>0</v>
      </c>
      <c r="S553" s="51" t="n">
        <v>975</v>
      </c>
      <c r="T553" s="48" t="n">
        <v>0</v>
      </c>
      <c r="U553" s="49" t="n">
        <v>0</v>
      </c>
      <c r="V553" s="49" t="n">
        <v>0</v>
      </c>
      <c r="W553" s="50" t="n">
        <v>0</v>
      </c>
      <c r="X553" s="51" t="n">
        <v>0</v>
      </c>
      <c r="Y553" s="52" t="n">
        <v>0</v>
      </c>
      <c r="Z553" s="52" t="n">
        <v>0</v>
      </c>
      <c r="AA553" s="52" t="n">
        <v>0</v>
      </c>
      <c r="AB553" s="53" t="n">
        <v>0</v>
      </c>
      <c r="AC553" s="52" t="n">
        <v>0</v>
      </c>
      <c r="AD553" s="53" t="n">
        <v>0</v>
      </c>
      <c r="AE553" s="52" t="n">
        <v>0</v>
      </c>
      <c r="AF553" s="51" t="n">
        <v>389</v>
      </c>
      <c r="AG553" s="48" t="n">
        <v>0</v>
      </c>
      <c r="AH553" s="49" t="n">
        <v>0</v>
      </c>
      <c r="AI553" s="49" t="n">
        <v>0</v>
      </c>
      <c r="AJ553" s="50" t="n">
        <v>0</v>
      </c>
      <c r="AK553" s="51" t="n">
        <v>0</v>
      </c>
      <c r="AL553" s="52" t="n">
        <v>0</v>
      </c>
      <c r="AM553" s="52" t="n">
        <v>0</v>
      </c>
      <c r="AN553" s="52" t="n">
        <v>0</v>
      </c>
      <c r="AO553" s="53" t="n">
        <v>0</v>
      </c>
      <c r="AP553" s="52" t="n">
        <v>0</v>
      </c>
      <c r="AQ553" s="53" t="n">
        <v>0</v>
      </c>
      <c r="AR553" s="52" t="n">
        <v>0</v>
      </c>
      <c r="AS553" s="51" t="n">
        <v>435</v>
      </c>
      <c r="AT553" s="48" t="n">
        <v>0</v>
      </c>
      <c r="AU553" s="49" t="n">
        <v>0</v>
      </c>
      <c r="AV553" s="49" t="n">
        <v>0</v>
      </c>
      <c r="AW553" s="50" t="n">
        <v>0</v>
      </c>
      <c r="AX553" s="51" t="n">
        <v>0</v>
      </c>
      <c r="AY553" s="52" t="n">
        <v>0</v>
      </c>
      <c r="AZ553" s="52" t="n">
        <v>0</v>
      </c>
      <c r="BA553" s="52" t="n">
        <v>0</v>
      </c>
      <c r="BB553" s="53" t="n">
        <v>0</v>
      </c>
      <c r="BC553" s="52" t="n">
        <v>0</v>
      </c>
      <c r="BD553" s="53" t="n">
        <v>0</v>
      </c>
      <c r="BE553" s="52" t="n">
        <v>0</v>
      </c>
      <c r="BF553" s="51" t="n">
        <v>415</v>
      </c>
    </row>
    <row r="554">
      <c r="A554">
        <f>HYPERLINK("https://www.walmart.com/ip/512424115", "512424115")</f>
        <v/>
      </c>
      <c r="B554" t="inlineStr">
        <is>
          <t>Terra Youth Reflective Knit Hat High Visibility Cold Weather Running Beanie Cool</t>
        </is>
      </c>
      <c r="C554" t="inlineStr">
        <is>
          <t>TERRABN01-DR</t>
        </is>
      </c>
      <c r="D554" t="inlineStr">
        <is>
          <t>Hats</t>
        </is>
      </c>
      <c r="E554" t="inlineStr">
        <is>
          <t>Terra</t>
        </is>
      </c>
      <c r="G554" s="48" t="n">
        <v>0</v>
      </c>
      <c r="H554" s="49" t="n">
        <v>0</v>
      </c>
      <c r="I554" s="49" t="n">
        <v>0</v>
      </c>
      <c r="J554" s="50" t="n">
        <v>0</v>
      </c>
      <c r="K554" s="51" t="n">
        <v>0</v>
      </c>
      <c r="L554" s="52" t="n">
        <v>0</v>
      </c>
      <c r="M554" s="52" t="n">
        <v>0</v>
      </c>
      <c r="N554" s="52" t="n">
        <v>0</v>
      </c>
      <c r="O554" s="53" t="n">
        <v>0</v>
      </c>
      <c r="P554" s="52" t="n">
        <v>0</v>
      </c>
      <c r="Q554" s="53" t="n">
        <v>0</v>
      </c>
      <c r="R554" s="52" t="n">
        <v>0</v>
      </c>
      <c r="S554" s="51" t="n">
        <v>0</v>
      </c>
      <c r="T554" s="48" t="n">
        <v>0</v>
      </c>
      <c r="U554" s="49" t="n">
        <v>0</v>
      </c>
      <c r="V554" s="49" t="n">
        <v>0</v>
      </c>
      <c r="W554" s="50" t="n">
        <v>0</v>
      </c>
      <c r="X554" s="51" t="n">
        <v>0</v>
      </c>
      <c r="Y554" s="52" t="n">
        <v>0</v>
      </c>
      <c r="Z554" s="52" t="n">
        <v>0</v>
      </c>
      <c r="AA554" s="52" t="n">
        <v>0</v>
      </c>
      <c r="AB554" s="53" t="n">
        <v>0</v>
      </c>
      <c r="AC554" s="52" t="n">
        <v>0</v>
      </c>
      <c r="AD554" s="53" t="n">
        <v>0</v>
      </c>
      <c r="AE554" s="52" t="n">
        <v>0</v>
      </c>
      <c r="AF554" s="51" t="n">
        <v>0</v>
      </c>
      <c r="AG554" s="48" t="n">
        <v>0</v>
      </c>
      <c r="AH554" s="49" t="n">
        <v>0</v>
      </c>
      <c r="AI554" s="49" t="n">
        <v>0</v>
      </c>
      <c r="AJ554" s="50" t="n">
        <v>0</v>
      </c>
      <c r="AK554" s="51" t="n">
        <v>0</v>
      </c>
      <c r="AL554" s="52" t="n">
        <v>0</v>
      </c>
      <c r="AM554" s="52" t="n">
        <v>0</v>
      </c>
      <c r="AN554" s="52" t="n">
        <v>0</v>
      </c>
      <c r="AO554" s="53" t="n">
        <v>0</v>
      </c>
      <c r="AP554" s="52" t="n">
        <v>0</v>
      </c>
      <c r="AQ554" s="53" t="n">
        <v>0</v>
      </c>
      <c r="AR554" s="52" t="n">
        <v>0</v>
      </c>
      <c r="AS554" s="51" t="n">
        <v>0</v>
      </c>
      <c r="AT554" s="48" t="n">
        <v>0</v>
      </c>
      <c r="AU554" s="49" t="n">
        <v>0</v>
      </c>
      <c r="AV554" s="49" t="n">
        <v>0</v>
      </c>
      <c r="AW554" s="50" t="n">
        <v>0</v>
      </c>
      <c r="AX554" s="51" t="n">
        <v>0</v>
      </c>
      <c r="AY554" s="52" t="n">
        <v>0</v>
      </c>
      <c r="AZ554" s="52" t="n">
        <v>0</v>
      </c>
      <c r="BA554" s="52" t="n">
        <v>0</v>
      </c>
      <c r="BB554" s="53" t="n">
        <v>0</v>
      </c>
      <c r="BC554" s="52" t="n">
        <v>0</v>
      </c>
      <c r="BD554" s="53" t="n">
        <v>0</v>
      </c>
      <c r="BE554" s="52" t="n">
        <v>0</v>
      </c>
      <c r="BF554" s="51" t="n">
        <v>0</v>
      </c>
    </row>
    <row r="555">
      <c r="A555">
        <f>HYPERLINK("https://www.walmart.com/ip/5133276632", "5133276632")</f>
        <v/>
      </c>
      <c r="B555" t="inlineStr">
        <is>
          <t>Catalonia Plush Fleece Blanket Couch Throw Christmas Theme Shu Velveteen Lambswool Reversible Warm Super Soft 61” x 50“</t>
        </is>
      </c>
      <c r="C555" t="inlineStr">
        <is>
          <t>1CTBF600PEPPIZ</t>
        </is>
      </c>
      <c r="D555" t="inlineStr">
        <is>
          <t>Throws</t>
        </is>
      </c>
      <c r="E555" t="inlineStr">
        <is>
          <t>Catalonia</t>
        </is>
      </c>
      <c r="G555" s="48" t="n">
        <v>0</v>
      </c>
      <c r="H555" s="49" t="n">
        <v>0</v>
      </c>
      <c r="I555" s="49" t="n">
        <v>0</v>
      </c>
      <c r="J555" s="50" t="n">
        <v>0</v>
      </c>
      <c r="K555" s="51" t="n">
        <v>0</v>
      </c>
      <c r="L555" s="52" t="n">
        <v>0</v>
      </c>
      <c r="M555" s="52" t="n">
        <v>0</v>
      </c>
      <c r="N555" s="52" t="n">
        <v>0</v>
      </c>
      <c r="O555" s="53" t="n">
        <v>0</v>
      </c>
      <c r="P555" s="52" t="n">
        <v>0</v>
      </c>
      <c r="Q555" s="53" t="n">
        <v>0</v>
      </c>
      <c r="R555" s="52" t="n">
        <v>0</v>
      </c>
      <c r="S555" s="51" t="n">
        <v>0</v>
      </c>
      <c r="T555" s="48" t="n">
        <v>0</v>
      </c>
      <c r="U555" s="49" t="n">
        <v>0</v>
      </c>
      <c r="V555" s="49" t="n">
        <v>0</v>
      </c>
      <c r="W555" s="50" t="n">
        <v>0</v>
      </c>
      <c r="X555" s="51" t="n">
        <v>0</v>
      </c>
      <c r="Y555" s="52" t="n">
        <v>0</v>
      </c>
      <c r="Z555" s="52" t="n">
        <v>0</v>
      </c>
      <c r="AA555" s="52" t="n">
        <v>0</v>
      </c>
      <c r="AB555" s="53" t="n">
        <v>0</v>
      </c>
      <c r="AC555" s="52" t="n">
        <v>0</v>
      </c>
      <c r="AD555" s="53" t="n">
        <v>0</v>
      </c>
      <c r="AE555" s="52" t="n">
        <v>0</v>
      </c>
      <c r="AF555" s="51" t="n">
        <v>0</v>
      </c>
      <c r="AG555" s="48" t="n">
        <v>0</v>
      </c>
      <c r="AH555" s="49" t="n">
        <v>0</v>
      </c>
      <c r="AI555" s="49" t="n">
        <v>0</v>
      </c>
      <c r="AJ555" s="50" t="n">
        <v>0</v>
      </c>
      <c r="AK555" s="51" t="n">
        <v>0</v>
      </c>
      <c r="AL555" s="52" t="n">
        <v>0</v>
      </c>
      <c r="AM555" s="52" t="n">
        <v>0</v>
      </c>
      <c r="AN555" s="52" t="n">
        <v>0</v>
      </c>
      <c r="AO555" s="53" t="n">
        <v>0</v>
      </c>
      <c r="AP555" s="52" t="n">
        <v>0</v>
      </c>
      <c r="AQ555" s="53" t="n">
        <v>0</v>
      </c>
      <c r="AR555" s="52" t="n">
        <v>0</v>
      </c>
      <c r="AS555" s="51" t="n">
        <v>0</v>
      </c>
      <c r="AT555" s="48" t="n">
        <v>0</v>
      </c>
      <c r="AU555" s="49" t="n">
        <v>0</v>
      </c>
      <c r="AV555" s="49" t="n">
        <v>0</v>
      </c>
      <c r="AW555" s="50" t="n">
        <v>0</v>
      </c>
      <c r="AX555" s="51" t="n">
        <v>0</v>
      </c>
      <c r="AY555" s="52" t="n">
        <v>0</v>
      </c>
      <c r="AZ555" s="52" t="n">
        <v>0</v>
      </c>
      <c r="BA555" s="52" t="n">
        <v>0</v>
      </c>
      <c r="BB555" s="53" t="n">
        <v>0</v>
      </c>
      <c r="BC555" s="52" t="n">
        <v>0</v>
      </c>
      <c r="BD555" s="53" t="n">
        <v>0</v>
      </c>
      <c r="BE555" s="52" t="n">
        <v>0</v>
      </c>
      <c r="BF555" s="51" t="n">
        <v>0</v>
      </c>
    </row>
    <row r="556">
      <c r="A556">
        <f>HYPERLINK("https://www.walmart.com/ip/513509140", "513509140")</f>
        <v/>
      </c>
      <c r="B556" t="inlineStr">
        <is>
          <t>Catalonia Waterproof Blanket for Bed, Reversible Baby Pet Doggy Pee Proof Fleece Blankets, Large Couch Sofa Cover Furniture Boat Mattress Protector, 80x90 inches, Brown</t>
        </is>
      </c>
      <c r="C556" t="inlineStr">
        <is>
          <t>1CTBW982BNTP</t>
        </is>
      </c>
      <c r="D556" t="inlineStr">
        <is>
          <t>Throws</t>
        </is>
      </c>
      <c r="E556" t="inlineStr">
        <is>
          <t>Catalonia</t>
        </is>
      </c>
      <c r="F556" t="inlineStr">
        <is>
          <t>Q2-Target,Wproof Blanket,Fleece Blankets,Batch 1 - TR</t>
        </is>
      </c>
      <c r="G556" s="48" t="n">
        <v>0</v>
      </c>
      <c r="H556" s="49" t="n">
        <v>0</v>
      </c>
      <c r="I556" s="49" t="n">
        <v>0</v>
      </c>
      <c r="J556" s="50" t="n">
        <v>0</v>
      </c>
      <c r="K556" s="51" t="n">
        <v>1</v>
      </c>
      <c r="L556" s="52" t="n">
        <v>0.41</v>
      </c>
      <c r="M556" s="52" t="n">
        <v>0</v>
      </c>
      <c r="N556" s="52" t="n">
        <v>0</v>
      </c>
      <c r="O556" s="53" t="n">
        <v>0.0017</v>
      </c>
      <c r="P556" s="52" t="n">
        <v>0.41</v>
      </c>
      <c r="Q556" s="53" t="n">
        <v>0</v>
      </c>
      <c r="R556" s="52" t="n">
        <v>0</v>
      </c>
      <c r="S556" s="51" t="n">
        <v>606</v>
      </c>
      <c r="T556" s="48" t="n">
        <v>0</v>
      </c>
      <c r="U556" s="49" t="n">
        <v>0</v>
      </c>
      <c r="V556" s="49" t="n">
        <v>0</v>
      </c>
      <c r="W556" s="50" t="n">
        <v>0</v>
      </c>
      <c r="X556" s="51" t="n">
        <v>0</v>
      </c>
      <c r="Y556" s="52" t="n">
        <v>0</v>
      </c>
      <c r="Z556" s="52" t="n">
        <v>0</v>
      </c>
      <c r="AA556" s="52" t="n">
        <v>0</v>
      </c>
      <c r="AB556" s="53" t="n">
        <v>0</v>
      </c>
      <c r="AC556" s="52" t="n">
        <v>0</v>
      </c>
      <c r="AD556" s="53" t="n">
        <v>0</v>
      </c>
      <c r="AE556" s="52" t="n">
        <v>0</v>
      </c>
      <c r="AF556" s="51" t="n">
        <v>471</v>
      </c>
      <c r="AG556" s="48" t="n">
        <v>0</v>
      </c>
      <c r="AH556" s="49" t="n">
        <v>0</v>
      </c>
      <c r="AI556" s="49" t="n">
        <v>0</v>
      </c>
      <c r="AJ556" s="50" t="n">
        <v>0</v>
      </c>
      <c r="AK556" s="51" t="n">
        <v>0</v>
      </c>
      <c r="AL556" s="52" t="n">
        <v>0</v>
      </c>
      <c r="AM556" s="52" t="n">
        <v>0</v>
      </c>
      <c r="AN556" s="52" t="n">
        <v>0</v>
      </c>
      <c r="AO556" s="53" t="n">
        <v>0</v>
      </c>
      <c r="AP556" s="52" t="n">
        <v>0</v>
      </c>
      <c r="AQ556" s="53" t="n">
        <v>0</v>
      </c>
      <c r="AR556" s="52" t="n">
        <v>0</v>
      </c>
      <c r="AS556" s="51" t="n">
        <v>413</v>
      </c>
      <c r="AT556" s="48" t="n">
        <v>0</v>
      </c>
      <c r="AU556" s="49" t="n">
        <v>0</v>
      </c>
      <c r="AV556" s="49" t="n">
        <v>0</v>
      </c>
      <c r="AW556" s="50" t="n">
        <v>0</v>
      </c>
      <c r="AX556" s="51" t="n">
        <v>0</v>
      </c>
      <c r="AY556" s="52" t="n">
        <v>0</v>
      </c>
      <c r="AZ556" s="52" t="n">
        <v>0</v>
      </c>
      <c r="BA556" s="52" t="n">
        <v>0</v>
      </c>
      <c r="BB556" s="53" t="n">
        <v>0</v>
      </c>
      <c r="BC556" s="52" t="n">
        <v>0</v>
      </c>
      <c r="BD556" s="53" t="n">
        <v>0</v>
      </c>
      <c r="BE556" s="52" t="n">
        <v>0</v>
      </c>
      <c r="BF556" s="51" t="n">
        <v>730</v>
      </c>
    </row>
    <row r="557">
      <c r="A557">
        <f>HYPERLINK("https://www.walmart.com/ip/5149641168", "5149641168")</f>
        <v/>
      </c>
      <c r="B557" t="inlineStr">
        <is>
          <t>Lee Toiletry Bag for Men, PU Leather Travel Dopp Kit, Water-Resistant Men's Shaving Kit Bathroom Organizer, Gifts for Men</t>
        </is>
      </c>
      <c r="C557" t="inlineStr">
        <is>
          <t>1LETTB14182BR</t>
        </is>
      </c>
      <c r="D557" t="inlineStr">
        <is>
          <t>Toiletry Kits &amp; Bags</t>
        </is>
      </c>
      <c r="E557" t="inlineStr">
        <is>
          <t>Lee</t>
        </is>
      </c>
      <c r="G557" s="48" t="n">
        <v>0</v>
      </c>
      <c r="H557" s="49" t="n">
        <v>0</v>
      </c>
      <c r="I557" s="49" t="n">
        <v>0</v>
      </c>
      <c r="J557" s="50" t="n">
        <v>0</v>
      </c>
      <c r="K557" s="51" t="n">
        <v>0</v>
      </c>
      <c r="L557" s="52" t="n">
        <v>0</v>
      </c>
      <c r="M557" s="52" t="n">
        <v>0</v>
      </c>
      <c r="N557" s="52" t="n">
        <v>0</v>
      </c>
      <c r="O557" s="53" t="n">
        <v>0</v>
      </c>
      <c r="P557" s="52" t="n">
        <v>0</v>
      </c>
      <c r="Q557" s="53" t="n">
        <v>0</v>
      </c>
      <c r="R557" s="52" t="n">
        <v>0</v>
      </c>
      <c r="S557" s="51" t="n">
        <v>0</v>
      </c>
      <c r="T557" s="48" t="n">
        <v>0</v>
      </c>
      <c r="U557" s="49" t="n">
        <v>0</v>
      </c>
      <c r="V557" s="49" t="n">
        <v>0</v>
      </c>
      <c r="W557" s="50" t="n">
        <v>0</v>
      </c>
      <c r="X557" s="51" t="n">
        <v>0</v>
      </c>
      <c r="Y557" s="52" t="n">
        <v>0</v>
      </c>
      <c r="Z557" s="52" t="n">
        <v>0</v>
      </c>
      <c r="AA557" s="52" t="n">
        <v>0</v>
      </c>
      <c r="AB557" s="53" t="n">
        <v>0</v>
      </c>
      <c r="AC557" s="52" t="n">
        <v>0</v>
      </c>
      <c r="AD557" s="53" t="n">
        <v>0</v>
      </c>
      <c r="AE557" s="52" t="n">
        <v>0</v>
      </c>
      <c r="AF557" s="51" t="n">
        <v>0</v>
      </c>
      <c r="AG557" s="48" t="n">
        <v>0</v>
      </c>
      <c r="AH557" s="49" t="n">
        <v>0</v>
      </c>
      <c r="AI557" s="49" t="n">
        <v>0</v>
      </c>
      <c r="AJ557" s="50" t="n">
        <v>0</v>
      </c>
      <c r="AK557" s="51" t="n">
        <v>0</v>
      </c>
      <c r="AL557" s="52" t="n">
        <v>0</v>
      </c>
      <c r="AM557" s="52" t="n">
        <v>0</v>
      </c>
      <c r="AN557" s="52" t="n">
        <v>0</v>
      </c>
      <c r="AO557" s="53" t="n">
        <v>0</v>
      </c>
      <c r="AP557" s="52" t="n">
        <v>0</v>
      </c>
      <c r="AQ557" s="53" t="n">
        <v>0</v>
      </c>
      <c r="AR557" s="52" t="n">
        <v>0</v>
      </c>
      <c r="AS557" s="51" t="n">
        <v>0</v>
      </c>
      <c r="AT557" s="48" t="n">
        <v>0</v>
      </c>
      <c r="AU557" s="49" t="n">
        <v>0</v>
      </c>
      <c r="AV557" s="49" t="n">
        <v>0</v>
      </c>
      <c r="AW557" s="50" t="n">
        <v>0</v>
      </c>
      <c r="AX557" s="51" t="n">
        <v>0</v>
      </c>
      <c r="AY557" s="52" t="n">
        <v>0</v>
      </c>
      <c r="AZ557" s="52" t="n">
        <v>0</v>
      </c>
      <c r="BA557" s="52" t="n">
        <v>0</v>
      </c>
      <c r="BB557" s="53" t="n">
        <v>0</v>
      </c>
      <c r="BC557" s="52" t="n">
        <v>0</v>
      </c>
      <c r="BD557" s="53" t="n">
        <v>0</v>
      </c>
      <c r="BE557" s="52" t="n">
        <v>0</v>
      </c>
      <c r="BF557" s="51" t="n">
        <v>0</v>
      </c>
    </row>
    <row r="558">
      <c r="A558">
        <f>HYPERLINK("https://www.walmart.com/ip/515236504", "515236504")</f>
        <v/>
      </c>
      <c r="B558" t="inlineStr">
        <is>
          <t>Catalonia Tiger Fluffy Sherpa Throw Blanket, Super Soft Mink Fleece Couch Blanket, TV Bed Fuzzy Blanket, Fluffy Comfy Warm Heavy Throws, Comfort Caring Gift,50x60 inches</t>
        </is>
      </c>
      <c r="C558" t="inlineStr">
        <is>
          <t>1CTBF300TIGERMUL</t>
        </is>
      </c>
      <c r="D558" t="inlineStr">
        <is>
          <t>Throws</t>
        </is>
      </c>
      <c r="E558" t="inlineStr">
        <is>
          <t>Catalonia</t>
        </is>
      </c>
      <c r="F558" t="inlineStr">
        <is>
          <t>Coupon_Discount,Batch 1 - TR</t>
        </is>
      </c>
      <c r="G558" s="48" t="n">
        <v>0</v>
      </c>
      <c r="H558" s="49" t="n">
        <v>0</v>
      </c>
      <c r="I558" s="49" t="n">
        <v>0</v>
      </c>
      <c r="J558" s="50" t="n">
        <v>0</v>
      </c>
      <c r="K558" s="51" t="n">
        <v>0</v>
      </c>
      <c r="L558" s="52" t="n">
        <v>0</v>
      </c>
      <c r="M558" s="52" t="n">
        <v>0</v>
      </c>
      <c r="N558" s="52" t="n">
        <v>0</v>
      </c>
      <c r="O558" s="53" t="n">
        <v>0</v>
      </c>
      <c r="P558" s="52" t="n">
        <v>0</v>
      </c>
      <c r="Q558" s="53" t="n">
        <v>0</v>
      </c>
      <c r="R558" s="52" t="n">
        <v>0</v>
      </c>
      <c r="S558" s="51" t="n">
        <v>0</v>
      </c>
      <c r="T558" s="48" t="n">
        <v>0</v>
      </c>
      <c r="U558" s="49" t="n">
        <v>0</v>
      </c>
      <c r="V558" s="49" t="n">
        <v>0</v>
      </c>
      <c r="W558" s="50" t="n">
        <v>0</v>
      </c>
      <c r="X558" s="51" t="n">
        <v>0</v>
      </c>
      <c r="Y558" s="52" t="n">
        <v>0</v>
      </c>
      <c r="Z558" s="52" t="n">
        <v>0</v>
      </c>
      <c r="AA558" s="52" t="n">
        <v>0</v>
      </c>
      <c r="AB558" s="53" t="n">
        <v>0</v>
      </c>
      <c r="AC558" s="52" t="n">
        <v>0</v>
      </c>
      <c r="AD558" s="53" t="n">
        <v>0</v>
      </c>
      <c r="AE558" s="52" t="n">
        <v>0</v>
      </c>
      <c r="AF558" s="51" t="n">
        <v>0</v>
      </c>
      <c r="AG558" s="48" t="n">
        <v>0</v>
      </c>
      <c r="AH558" s="49" t="n">
        <v>0</v>
      </c>
      <c r="AI558" s="49" t="n">
        <v>0</v>
      </c>
      <c r="AJ558" s="50" t="n">
        <v>0</v>
      </c>
      <c r="AK558" s="51" t="n">
        <v>0</v>
      </c>
      <c r="AL558" s="52" t="n">
        <v>0</v>
      </c>
      <c r="AM558" s="52" t="n">
        <v>0</v>
      </c>
      <c r="AN558" s="52" t="n">
        <v>0</v>
      </c>
      <c r="AO558" s="53" t="n">
        <v>0</v>
      </c>
      <c r="AP558" s="52" t="n">
        <v>0</v>
      </c>
      <c r="AQ558" s="53" t="n">
        <v>0</v>
      </c>
      <c r="AR558" s="52" t="n">
        <v>0</v>
      </c>
      <c r="AS558" s="51" t="n">
        <v>0</v>
      </c>
      <c r="AT558" s="48" t="n">
        <v>0</v>
      </c>
      <c r="AU558" s="49" t="n">
        <v>0</v>
      </c>
      <c r="AV558" s="49" t="n">
        <v>0</v>
      </c>
      <c r="AW558" s="50" t="n">
        <v>0</v>
      </c>
      <c r="AX558" s="51" t="n">
        <v>0</v>
      </c>
      <c r="AY558" s="52" t="n">
        <v>0</v>
      </c>
      <c r="AZ558" s="52" t="n">
        <v>0</v>
      </c>
      <c r="BA558" s="52" t="n">
        <v>0</v>
      </c>
      <c r="BB558" s="53" t="n">
        <v>0</v>
      </c>
      <c r="BC558" s="52" t="n">
        <v>0</v>
      </c>
      <c r="BD558" s="53" t="n">
        <v>0</v>
      </c>
      <c r="BE558" s="52" t="n">
        <v>0</v>
      </c>
      <c r="BF558" s="51" t="n">
        <v>0</v>
      </c>
    </row>
    <row r="559">
      <c r="A559">
        <f>HYPERLINK("https://www.walmart.com/ip/5157375117", "5157375117")</f>
        <v/>
      </c>
      <c r="B559" t="inlineStr">
        <is>
          <t>Tirrinia 2 Bottle Wine Gift Tote Carrier - Leakproof &amp; Insulated with large pockets Wine Cooler Bag for Travel, Wine Tasting, Party, Dinner, Great Christmas Gift for Wine Lover, Stripe</t>
        </is>
      </c>
      <c r="C559" t="inlineStr">
        <is>
          <t>1TRWB222STR</t>
        </is>
      </c>
      <c r="D559" t="inlineStr">
        <is>
          <t>Wine Totes, Bags &amp; Backpacks</t>
        </is>
      </c>
      <c r="E559" t="inlineStr">
        <is>
          <t>Tirrinia</t>
        </is>
      </c>
      <c r="G559" s="48" t="n">
        <v>0</v>
      </c>
      <c r="H559" s="49" t="n">
        <v>0</v>
      </c>
      <c r="I559" s="49" t="n">
        <v>0</v>
      </c>
      <c r="J559" s="50" t="n">
        <v>0</v>
      </c>
      <c r="K559" s="51" t="n">
        <v>0</v>
      </c>
      <c r="L559" s="52" t="n">
        <v>0</v>
      </c>
      <c r="M559" s="52" t="n">
        <v>0</v>
      </c>
      <c r="N559" s="52" t="n">
        <v>0</v>
      </c>
      <c r="O559" s="53" t="n">
        <v>0</v>
      </c>
      <c r="P559" s="52" t="n">
        <v>0</v>
      </c>
      <c r="Q559" s="53" t="n">
        <v>0</v>
      </c>
      <c r="R559" s="52" t="n">
        <v>0</v>
      </c>
      <c r="S559" s="51" t="n">
        <v>0</v>
      </c>
      <c r="T559" s="48" t="n">
        <v>0</v>
      </c>
      <c r="U559" s="49" t="n">
        <v>0</v>
      </c>
      <c r="V559" s="49" t="n">
        <v>0</v>
      </c>
      <c r="W559" s="50" t="n">
        <v>0</v>
      </c>
      <c r="X559" s="51" t="n">
        <v>0</v>
      </c>
      <c r="Y559" s="52" t="n">
        <v>0</v>
      </c>
      <c r="Z559" s="52" t="n">
        <v>0</v>
      </c>
      <c r="AA559" s="52" t="n">
        <v>0</v>
      </c>
      <c r="AB559" s="53" t="n">
        <v>0</v>
      </c>
      <c r="AC559" s="52" t="n">
        <v>0</v>
      </c>
      <c r="AD559" s="53" t="n">
        <v>0</v>
      </c>
      <c r="AE559" s="52" t="n">
        <v>0</v>
      </c>
      <c r="AF559" s="51" t="n">
        <v>0</v>
      </c>
      <c r="AG559" s="48" t="n">
        <v>0</v>
      </c>
      <c r="AH559" s="49" t="n">
        <v>0</v>
      </c>
      <c r="AI559" s="49" t="n">
        <v>0</v>
      </c>
      <c r="AJ559" s="50" t="n">
        <v>0</v>
      </c>
      <c r="AK559" s="51" t="n">
        <v>0</v>
      </c>
      <c r="AL559" s="52" t="n">
        <v>0</v>
      </c>
      <c r="AM559" s="52" t="n">
        <v>0</v>
      </c>
      <c r="AN559" s="52" t="n">
        <v>0</v>
      </c>
      <c r="AO559" s="53" t="n">
        <v>0</v>
      </c>
      <c r="AP559" s="52" t="n">
        <v>0</v>
      </c>
      <c r="AQ559" s="53" t="n">
        <v>0</v>
      </c>
      <c r="AR559" s="52" t="n">
        <v>0</v>
      </c>
      <c r="AS559" s="51" t="n">
        <v>0</v>
      </c>
      <c r="AT559" s="48" t="n">
        <v>0</v>
      </c>
      <c r="AU559" s="49" t="n">
        <v>0</v>
      </c>
      <c r="AV559" s="49" t="n">
        <v>0</v>
      </c>
      <c r="AW559" s="50" t="n">
        <v>0</v>
      </c>
      <c r="AX559" s="51" t="n">
        <v>0</v>
      </c>
      <c r="AY559" s="52" t="n">
        <v>0</v>
      </c>
      <c r="AZ559" s="52" t="n">
        <v>0</v>
      </c>
      <c r="BA559" s="52" t="n">
        <v>0</v>
      </c>
      <c r="BB559" s="53" t="n">
        <v>0</v>
      </c>
      <c r="BC559" s="52" t="n">
        <v>0</v>
      </c>
      <c r="BD559" s="53" t="n">
        <v>0</v>
      </c>
      <c r="BE559" s="52" t="n">
        <v>0</v>
      </c>
      <c r="BF559" s="51" t="n">
        <v>0</v>
      </c>
    </row>
    <row r="560">
      <c r="A560">
        <f>HYPERLINK("https://www.walmart.com/ip/5157833181", "5157833181")</f>
        <v/>
      </c>
      <c r="B560" t="inlineStr">
        <is>
          <t>Tirrinia 2 Bottle Wine Gift Tote Carrier, Leakproof and Insulated with large pockets Wine Cooler Bag for Travel, Wine Tasting, Party, Dinner, Great Christmas Gift for Wine Lover, Beige</t>
        </is>
      </c>
      <c r="C560" t="inlineStr">
        <is>
          <t>1TRWB222BG</t>
        </is>
      </c>
      <c r="D560" t="inlineStr">
        <is>
          <t>Wine Totes, Bags &amp; Backpacks</t>
        </is>
      </c>
      <c r="E560" t="inlineStr">
        <is>
          <t>Tirrinia</t>
        </is>
      </c>
      <c r="G560" s="48" t="n">
        <v>0</v>
      </c>
      <c r="H560" s="49" t="n">
        <v>0</v>
      </c>
      <c r="I560" s="49" t="n">
        <v>0</v>
      </c>
      <c r="J560" s="50" t="n">
        <v>0</v>
      </c>
      <c r="K560" s="51" t="n">
        <v>3</v>
      </c>
      <c r="L560" s="52" t="n">
        <v>1.02</v>
      </c>
      <c r="M560" s="52" t="n">
        <v>0</v>
      </c>
      <c r="N560" s="52" t="n">
        <v>0</v>
      </c>
      <c r="O560" s="53" t="n">
        <v>0.0043</v>
      </c>
      <c r="P560" s="52" t="n">
        <v>0.34</v>
      </c>
      <c r="Q560" s="53" t="n">
        <v>0</v>
      </c>
      <c r="R560" s="52" t="n">
        <v>0</v>
      </c>
      <c r="S560" s="51" t="n">
        <v>699</v>
      </c>
      <c r="T560" s="48" t="n">
        <v>0</v>
      </c>
      <c r="U560" s="49" t="n">
        <v>0</v>
      </c>
      <c r="V560" s="49" t="n">
        <v>0</v>
      </c>
      <c r="W560" s="50" t="n">
        <v>0</v>
      </c>
      <c r="X560" s="51" t="n">
        <v>0</v>
      </c>
      <c r="Y560" s="52" t="n">
        <v>0</v>
      </c>
      <c r="Z560" s="52" t="n">
        <v>0</v>
      </c>
      <c r="AA560" s="52" t="n">
        <v>0</v>
      </c>
      <c r="AB560" s="53" t="n">
        <v>0</v>
      </c>
      <c r="AC560" s="52" t="n">
        <v>0</v>
      </c>
      <c r="AD560" s="53" t="n">
        <v>0</v>
      </c>
      <c r="AE560" s="52" t="n">
        <v>0</v>
      </c>
      <c r="AF560" s="51" t="n">
        <v>1295</v>
      </c>
      <c r="AG560" s="48" t="n">
        <v>0</v>
      </c>
      <c r="AH560" s="49" t="n">
        <v>0</v>
      </c>
      <c r="AI560" s="49" t="n">
        <v>0</v>
      </c>
      <c r="AJ560" s="50" t="n">
        <v>0</v>
      </c>
      <c r="AK560" s="51" t="n">
        <v>0</v>
      </c>
      <c r="AL560" s="52" t="n">
        <v>0</v>
      </c>
      <c r="AM560" s="52" t="n">
        <v>0</v>
      </c>
      <c r="AN560" s="52" t="n">
        <v>0</v>
      </c>
      <c r="AO560" s="53" t="n">
        <v>0</v>
      </c>
      <c r="AP560" s="52" t="n">
        <v>0</v>
      </c>
      <c r="AQ560" s="53" t="n">
        <v>0</v>
      </c>
      <c r="AR560" s="52" t="n">
        <v>0</v>
      </c>
      <c r="AS560" s="51" t="n">
        <v>1056</v>
      </c>
      <c r="AT560" s="48" t="n">
        <v>0</v>
      </c>
      <c r="AU560" s="49" t="n">
        <v>0</v>
      </c>
      <c r="AV560" s="49" t="n">
        <v>0</v>
      </c>
      <c r="AW560" s="50" t="n">
        <v>0</v>
      </c>
      <c r="AX560" s="51" t="n">
        <v>1</v>
      </c>
      <c r="AY560" s="52" t="n">
        <v>0.38</v>
      </c>
      <c r="AZ560" s="52" t="n">
        <v>0</v>
      </c>
      <c r="BA560" s="52" t="n">
        <v>0</v>
      </c>
      <c r="BB560" s="53" t="n">
        <v>0.0009</v>
      </c>
      <c r="BC560" s="52" t="n">
        <v>0.38</v>
      </c>
      <c r="BD560" s="53" t="n">
        <v>0</v>
      </c>
      <c r="BE560" s="52" t="n">
        <v>0</v>
      </c>
      <c r="BF560" s="51" t="n">
        <v>1125</v>
      </c>
    </row>
    <row r="561">
      <c r="A561">
        <f>HYPERLINK("https://www.walmart.com/ip/516035141", "516035141")</f>
        <v/>
      </c>
      <c r="B561" t="inlineStr">
        <is>
          <t>Catalonia Fleece Throw Blanket for Couch, Super Soft Fuzzy Plush Blanket for Adults and Kids, All Seasons Home Decor Blanket, Machine Washable, 50"x60", White</t>
        </is>
      </c>
      <c r="C561" t="inlineStr">
        <is>
          <t>1CTBF575WT</t>
        </is>
      </c>
      <c r="D561" t="inlineStr">
        <is>
          <t>Throws</t>
        </is>
      </c>
      <c r="E561" t="inlineStr">
        <is>
          <t>Catalonia</t>
        </is>
      </c>
      <c r="F561" t="inlineStr">
        <is>
          <t>WFS,WFS Item</t>
        </is>
      </c>
      <c r="G561" s="48" t="n">
        <v>0</v>
      </c>
      <c r="H561" s="49" t="n">
        <v>0</v>
      </c>
      <c r="I561" s="49" t="n">
        <v>0</v>
      </c>
      <c r="J561" s="50" t="n">
        <v>0</v>
      </c>
      <c r="K561" s="51" t="n">
        <v>0</v>
      </c>
      <c r="L561" s="52" t="n">
        <v>0</v>
      </c>
      <c r="M561" s="52" t="n">
        <v>0</v>
      </c>
      <c r="N561" s="52" t="n">
        <v>0</v>
      </c>
      <c r="O561" s="53" t="n">
        <v>0</v>
      </c>
      <c r="P561" s="52" t="n">
        <v>0</v>
      </c>
      <c r="Q561" s="53" t="n">
        <v>0</v>
      </c>
      <c r="R561" s="52" t="n">
        <v>0</v>
      </c>
      <c r="S561" s="51" t="n">
        <v>0</v>
      </c>
      <c r="T561" s="48" t="n">
        <v>0</v>
      </c>
      <c r="U561" s="49" t="n">
        <v>0</v>
      </c>
      <c r="V561" s="49" t="n">
        <v>0</v>
      </c>
      <c r="W561" s="50" t="n">
        <v>0</v>
      </c>
      <c r="X561" s="51" t="n">
        <v>0</v>
      </c>
      <c r="Y561" s="52" t="n">
        <v>0</v>
      </c>
      <c r="Z561" s="52" t="n">
        <v>0</v>
      </c>
      <c r="AA561" s="52" t="n">
        <v>0</v>
      </c>
      <c r="AB561" s="53" t="n">
        <v>0</v>
      </c>
      <c r="AC561" s="52" t="n">
        <v>0</v>
      </c>
      <c r="AD561" s="53" t="n">
        <v>0</v>
      </c>
      <c r="AE561" s="52" t="n">
        <v>0</v>
      </c>
      <c r="AF561" s="51" t="n">
        <v>0</v>
      </c>
      <c r="AG561" s="48" t="n">
        <v>0</v>
      </c>
      <c r="AH561" s="49" t="n">
        <v>0</v>
      </c>
      <c r="AI561" s="49" t="n">
        <v>0</v>
      </c>
      <c r="AJ561" s="50" t="n">
        <v>0</v>
      </c>
      <c r="AK561" s="51" t="n">
        <v>0</v>
      </c>
      <c r="AL561" s="52" t="n">
        <v>0</v>
      </c>
      <c r="AM561" s="52" t="n">
        <v>0</v>
      </c>
      <c r="AN561" s="52" t="n">
        <v>0</v>
      </c>
      <c r="AO561" s="53" t="n">
        <v>0</v>
      </c>
      <c r="AP561" s="52" t="n">
        <v>0</v>
      </c>
      <c r="AQ561" s="53" t="n">
        <v>0</v>
      </c>
      <c r="AR561" s="52" t="n">
        <v>0</v>
      </c>
      <c r="AS561" s="51" t="n">
        <v>0</v>
      </c>
      <c r="AT561" s="48" t="n">
        <v>0</v>
      </c>
      <c r="AU561" s="49" t="n">
        <v>0</v>
      </c>
      <c r="AV561" s="49" t="n">
        <v>0</v>
      </c>
      <c r="AW561" s="50" t="n">
        <v>0</v>
      </c>
      <c r="AX561" s="51" t="n">
        <v>0</v>
      </c>
      <c r="AY561" s="52" t="n">
        <v>0</v>
      </c>
      <c r="AZ561" s="52" t="n">
        <v>0</v>
      </c>
      <c r="BA561" s="52" t="n">
        <v>0</v>
      </c>
      <c r="BB561" s="53" t="n">
        <v>0</v>
      </c>
      <c r="BC561" s="52" t="n">
        <v>0</v>
      </c>
      <c r="BD561" s="53" t="n">
        <v>0</v>
      </c>
      <c r="BE561" s="52" t="n">
        <v>0</v>
      </c>
      <c r="BF561" s="51" t="n">
        <v>0</v>
      </c>
    </row>
    <row r="562">
      <c r="A562">
        <f>HYPERLINK("https://www.walmart.com/ip/5162289653", "5162289653")</f>
        <v/>
      </c>
      <c r="B562" t="inlineStr">
        <is>
          <t>Tirrinia 2 Bottle Wine Gift Tote Carrier, Leakproof and Insulated with large pockets Wine Cooler Bag for Travel, Wine Tasting, Party, Dinner, Great Christmas Gift for Wine Lover, Grey</t>
        </is>
      </c>
      <c r="C562" t="inlineStr">
        <is>
          <t>1TRWB222GY</t>
        </is>
      </c>
      <c r="D562" t="inlineStr">
        <is>
          <t>Wine Totes, Bags &amp; Backpacks</t>
        </is>
      </c>
      <c r="E562" t="inlineStr">
        <is>
          <t>Tirrinia</t>
        </is>
      </c>
      <c r="G562" s="48" t="n">
        <v>0</v>
      </c>
      <c r="H562" s="49" t="n">
        <v>0</v>
      </c>
      <c r="I562" s="49" t="n">
        <v>0</v>
      </c>
      <c r="J562" s="50" t="n">
        <v>0</v>
      </c>
      <c r="K562" s="51" t="n">
        <v>5</v>
      </c>
      <c r="L562" s="52" t="n">
        <v>2.08</v>
      </c>
      <c r="M562" s="52" t="n">
        <v>0</v>
      </c>
      <c r="N562" s="52" t="n">
        <v>0</v>
      </c>
      <c r="O562" s="53" t="n">
        <v>0.0028</v>
      </c>
      <c r="P562" s="52" t="n">
        <v>0.416</v>
      </c>
      <c r="Q562" s="53" t="n">
        <v>0</v>
      </c>
      <c r="R562" s="52" t="n">
        <v>0</v>
      </c>
      <c r="S562" s="51" t="n">
        <v>1761</v>
      </c>
      <c r="T562" s="48" t="n">
        <v>0</v>
      </c>
      <c r="U562" s="49" t="n">
        <v>0</v>
      </c>
      <c r="V562" s="49" t="n">
        <v>0</v>
      </c>
      <c r="W562" s="50" t="n">
        <v>0</v>
      </c>
      <c r="X562" s="51" t="n">
        <v>1</v>
      </c>
      <c r="Y562" s="52" t="n">
        <v>0.41</v>
      </c>
      <c r="Z562" s="52" t="n">
        <v>0</v>
      </c>
      <c r="AA562" s="52" t="n">
        <v>0</v>
      </c>
      <c r="AB562" s="53" t="n">
        <v>0.001</v>
      </c>
      <c r="AC562" s="52" t="n">
        <v>0.41</v>
      </c>
      <c r="AD562" s="53" t="n">
        <v>0</v>
      </c>
      <c r="AE562" s="52" t="n">
        <v>0</v>
      </c>
      <c r="AF562" s="51" t="n">
        <v>1051</v>
      </c>
      <c r="AG562" s="48" t="n">
        <v>0</v>
      </c>
      <c r="AH562" s="49" t="n">
        <v>0</v>
      </c>
      <c r="AI562" s="49" t="n">
        <v>0</v>
      </c>
      <c r="AJ562" s="50" t="n">
        <v>0</v>
      </c>
      <c r="AK562" s="51" t="n">
        <v>1</v>
      </c>
      <c r="AL562" s="52" t="n">
        <v>0.41</v>
      </c>
      <c r="AM562" s="52" t="n">
        <v>0</v>
      </c>
      <c r="AN562" s="52" t="n">
        <v>0</v>
      </c>
      <c r="AO562" s="53" t="n">
        <v>0.0015</v>
      </c>
      <c r="AP562" s="52" t="n">
        <v>0.41</v>
      </c>
      <c r="AQ562" s="53" t="n">
        <v>0</v>
      </c>
      <c r="AR562" s="52" t="n">
        <v>0</v>
      </c>
      <c r="AS562" s="51" t="n">
        <v>680</v>
      </c>
      <c r="AT562" s="48" t="n">
        <v>0</v>
      </c>
      <c r="AU562" s="49" t="n">
        <v>0</v>
      </c>
      <c r="AV562" s="49" t="n">
        <v>0</v>
      </c>
      <c r="AW562" s="50" t="n">
        <v>0</v>
      </c>
      <c r="AX562" s="51" t="n">
        <v>0</v>
      </c>
      <c r="AY562" s="52" t="n">
        <v>0</v>
      </c>
      <c r="AZ562" s="52" t="n">
        <v>0</v>
      </c>
      <c r="BA562" s="52" t="n">
        <v>0</v>
      </c>
      <c r="BB562" s="53" t="n">
        <v>0</v>
      </c>
      <c r="BC562" s="52" t="n">
        <v>0</v>
      </c>
      <c r="BD562" s="53" t="n">
        <v>0</v>
      </c>
      <c r="BE562" s="52" t="n">
        <v>0</v>
      </c>
      <c r="BF562" s="51" t="n">
        <v>589</v>
      </c>
    </row>
    <row r="563">
      <c r="A563">
        <f>HYPERLINK("https://www.walmart.com/ip/516249825", "516249825")</f>
        <v/>
      </c>
      <c r="B563" t="inlineStr">
        <is>
          <t>Pawse Pet Carrier Foldable Backpack for Small Cats Dogs And Puppies Upto 18 LBS, Airline-Approved Two-Sided Entry Padded Back Support Travel Carrier for Hiking, Walking, Cycling &amp; Outdoor</t>
        </is>
      </c>
      <c r="C563" t="inlineStr">
        <is>
          <t>1TRPB200NV</t>
        </is>
      </c>
      <c r="D563" t="inlineStr">
        <is>
          <t>Pet Carriers</t>
        </is>
      </c>
      <c r="E563" t="inlineStr">
        <is>
          <t>Kato</t>
        </is>
      </c>
      <c r="F563" t="inlineStr">
        <is>
          <t>Optimized,WFS,WFS Item</t>
        </is>
      </c>
      <c r="G563" s="48" t="n">
        <v>0</v>
      </c>
      <c r="H563" s="49" t="n">
        <v>0</v>
      </c>
      <c r="I563" s="49" t="n">
        <v>0</v>
      </c>
      <c r="J563" s="50" t="n">
        <v>0</v>
      </c>
      <c r="K563" s="51" t="n">
        <v>0</v>
      </c>
      <c r="L563" s="52" t="n">
        <v>0</v>
      </c>
      <c r="M563" s="52" t="n">
        <v>0</v>
      </c>
      <c r="N563" s="52" t="n">
        <v>0</v>
      </c>
      <c r="O563" s="53" t="n">
        <v>0</v>
      </c>
      <c r="P563" s="52" t="n">
        <v>0</v>
      </c>
      <c r="Q563" s="53" t="n">
        <v>0</v>
      </c>
      <c r="R563" s="52" t="n">
        <v>0</v>
      </c>
      <c r="S563" s="51" t="n">
        <v>0</v>
      </c>
      <c r="T563" s="48" t="n">
        <v>0</v>
      </c>
      <c r="U563" s="49" t="n">
        <v>0</v>
      </c>
      <c r="V563" s="49" t="n">
        <v>0</v>
      </c>
      <c r="W563" s="50" t="n">
        <v>0</v>
      </c>
      <c r="X563" s="51" t="n">
        <v>0</v>
      </c>
      <c r="Y563" s="52" t="n">
        <v>0</v>
      </c>
      <c r="Z563" s="52" t="n">
        <v>0</v>
      </c>
      <c r="AA563" s="52" t="n">
        <v>0</v>
      </c>
      <c r="AB563" s="53" t="n">
        <v>0</v>
      </c>
      <c r="AC563" s="52" t="n">
        <v>0</v>
      </c>
      <c r="AD563" s="53" t="n">
        <v>0</v>
      </c>
      <c r="AE563" s="52" t="n">
        <v>0</v>
      </c>
      <c r="AF563" s="51" t="n">
        <v>0</v>
      </c>
      <c r="AG563" s="48" t="n">
        <v>0</v>
      </c>
      <c r="AH563" s="49" t="n">
        <v>0</v>
      </c>
      <c r="AI563" s="49" t="n">
        <v>0</v>
      </c>
      <c r="AJ563" s="50" t="n">
        <v>0</v>
      </c>
      <c r="AK563" s="51" t="n">
        <v>0</v>
      </c>
      <c r="AL563" s="52" t="n">
        <v>0</v>
      </c>
      <c r="AM563" s="52" t="n">
        <v>0</v>
      </c>
      <c r="AN563" s="52" t="n">
        <v>0</v>
      </c>
      <c r="AO563" s="53" t="n">
        <v>0</v>
      </c>
      <c r="AP563" s="52" t="n">
        <v>0</v>
      </c>
      <c r="AQ563" s="53" t="n">
        <v>0</v>
      </c>
      <c r="AR563" s="52" t="n">
        <v>0</v>
      </c>
      <c r="AS563" s="51" t="n">
        <v>0</v>
      </c>
      <c r="AT563" s="48" t="n">
        <v>0</v>
      </c>
      <c r="AU563" s="49" t="n">
        <v>0</v>
      </c>
      <c r="AV563" s="49" t="n">
        <v>0</v>
      </c>
      <c r="AW563" s="50" t="n">
        <v>0</v>
      </c>
      <c r="AX563" s="51" t="n">
        <v>0</v>
      </c>
      <c r="AY563" s="52" t="n">
        <v>0</v>
      </c>
      <c r="AZ563" s="52" t="n">
        <v>0</v>
      </c>
      <c r="BA563" s="52" t="n">
        <v>0</v>
      </c>
      <c r="BB563" s="53" t="n">
        <v>0</v>
      </c>
      <c r="BC563" s="52" t="n">
        <v>0</v>
      </c>
      <c r="BD563" s="53" t="n">
        <v>0</v>
      </c>
      <c r="BE563" s="52" t="n">
        <v>0</v>
      </c>
      <c r="BF563" s="51" t="n">
        <v>0</v>
      </c>
    </row>
    <row r="564">
      <c r="A564">
        <f>HYPERLINK("https://www.walmart.com/ip/516890359", "516890359")</f>
        <v/>
      </c>
      <c r="B564" t="inlineStr">
        <is>
          <t>Kato Drying Rack Wine Glass Holder and Wooden Wine Rack Countertop, Hook Stand Organizer Tray with a Free Wooden Corkscrew Opener</t>
        </is>
      </c>
      <c r="C564" t="inlineStr">
        <is>
          <t>1KTWR160</t>
        </is>
      </c>
      <c r="D564" t="inlineStr">
        <is>
          <t>Wine Racks</t>
        </is>
      </c>
      <c r="E564" t="inlineStr">
        <is>
          <t>Kato</t>
        </is>
      </c>
      <c r="F564" t="inlineStr">
        <is>
          <t>Wine,Christmas,WFS,Wine WFS,Valentine,WFS Item</t>
        </is>
      </c>
      <c r="G564" s="48" t="n">
        <v>0</v>
      </c>
      <c r="H564" s="49" t="n">
        <v>0</v>
      </c>
      <c r="I564" s="49" t="n">
        <v>0</v>
      </c>
      <c r="J564" s="50" t="n">
        <v>0</v>
      </c>
      <c r="K564" s="51" t="n">
        <v>0</v>
      </c>
      <c r="L564" s="52" t="n">
        <v>0</v>
      </c>
      <c r="M564" s="52" t="n">
        <v>0</v>
      </c>
      <c r="N564" s="52" t="n">
        <v>0</v>
      </c>
      <c r="O564" s="53" t="n">
        <v>0</v>
      </c>
      <c r="P564" s="52" t="n">
        <v>0</v>
      </c>
      <c r="Q564" s="53" t="n">
        <v>0</v>
      </c>
      <c r="R564" s="52" t="n">
        <v>0</v>
      </c>
      <c r="S564" s="51" t="n">
        <v>0</v>
      </c>
      <c r="T564" s="48" t="n">
        <v>0</v>
      </c>
      <c r="U564" s="49" t="n">
        <v>0</v>
      </c>
      <c r="V564" s="49" t="n">
        <v>0</v>
      </c>
      <c r="W564" s="50" t="n">
        <v>0</v>
      </c>
      <c r="X564" s="51" t="n">
        <v>0</v>
      </c>
      <c r="Y564" s="52" t="n">
        <v>0</v>
      </c>
      <c r="Z564" s="52" t="n">
        <v>0</v>
      </c>
      <c r="AA564" s="52" t="n">
        <v>0</v>
      </c>
      <c r="AB564" s="53" t="n">
        <v>0</v>
      </c>
      <c r="AC564" s="52" t="n">
        <v>0</v>
      </c>
      <c r="AD564" s="53" t="n">
        <v>0</v>
      </c>
      <c r="AE564" s="52" t="n">
        <v>0</v>
      </c>
      <c r="AF564" s="51" t="n">
        <v>0</v>
      </c>
      <c r="AG564" s="48" t="n">
        <v>0</v>
      </c>
      <c r="AH564" s="49" t="n">
        <v>0</v>
      </c>
      <c r="AI564" s="49" t="n">
        <v>0</v>
      </c>
      <c r="AJ564" s="50" t="n">
        <v>0</v>
      </c>
      <c r="AK564" s="51" t="n">
        <v>0</v>
      </c>
      <c r="AL564" s="52" t="n">
        <v>0</v>
      </c>
      <c r="AM564" s="52" t="n">
        <v>0</v>
      </c>
      <c r="AN564" s="52" t="n">
        <v>0</v>
      </c>
      <c r="AO564" s="53" t="n">
        <v>0</v>
      </c>
      <c r="AP564" s="52" t="n">
        <v>0</v>
      </c>
      <c r="AQ564" s="53" t="n">
        <v>0</v>
      </c>
      <c r="AR564" s="52" t="n">
        <v>0</v>
      </c>
      <c r="AS564" s="51" t="n">
        <v>0</v>
      </c>
      <c r="AT564" s="48" t="n">
        <v>0</v>
      </c>
      <c r="AU564" s="49" t="n">
        <v>0</v>
      </c>
      <c r="AV564" s="49" t="n">
        <v>0</v>
      </c>
      <c r="AW564" s="50" t="n">
        <v>0</v>
      </c>
      <c r="AX564" s="51" t="n">
        <v>0</v>
      </c>
      <c r="AY564" s="52" t="n">
        <v>0</v>
      </c>
      <c r="AZ564" s="52" t="n">
        <v>0</v>
      </c>
      <c r="BA564" s="52" t="n">
        <v>0</v>
      </c>
      <c r="BB564" s="53" t="n">
        <v>0</v>
      </c>
      <c r="BC564" s="52" t="n">
        <v>0</v>
      </c>
      <c r="BD564" s="53" t="n">
        <v>0</v>
      </c>
      <c r="BE564" s="52" t="n">
        <v>0</v>
      </c>
      <c r="BF564" s="51" t="n">
        <v>0</v>
      </c>
    </row>
    <row r="565">
      <c r="A565">
        <f>HYPERLINK("https://www.walmart.com/ip/5185673782", "5185673782")</f>
        <v/>
      </c>
      <c r="B565" t="inlineStr">
        <is>
          <t>Tirrinia 12pcs Wine Gift Bags, 4 Designs Silk Handles Recyclable Paper Wine Bottle Bags, Bags for Gifting, Parties, and Events</t>
        </is>
      </c>
      <c r="C565" t="inlineStr">
        <is>
          <t>1TRWGB401BK-12</t>
        </is>
      </c>
      <c r="D565" t="inlineStr">
        <is>
          <t>Wine Totes, Bags &amp; Backpacks</t>
        </is>
      </c>
      <c r="E565" t="inlineStr">
        <is>
          <t>Tirrinia</t>
        </is>
      </c>
      <c r="G565" s="48" t="n">
        <v>0</v>
      </c>
      <c r="H565" s="49" t="n">
        <v>0</v>
      </c>
      <c r="I565" s="49" t="n">
        <v>0</v>
      </c>
      <c r="J565" s="50" t="n">
        <v>0</v>
      </c>
      <c r="K565" s="51" t="n">
        <v>0</v>
      </c>
      <c r="L565" s="52" t="n">
        <v>0</v>
      </c>
      <c r="M565" s="52" t="n">
        <v>0</v>
      </c>
      <c r="N565" s="52" t="n">
        <v>0</v>
      </c>
      <c r="O565" s="53" t="n">
        <v>0</v>
      </c>
      <c r="P565" s="52" t="n">
        <v>0</v>
      </c>
      <c r="Q565" s="53" t="n">
        <v>0</v>
      </c>
      <c r="R565" s="52" t="n">
        <v>0</v>
      </c>
      <c r="S565" s="51" t="n">
        <v>0</v>
      </c>
      <c r="T565" s="48" t="n">
        <v>0</v>
      </c>
      <c r="U565" s="49" t="n">
        <v>0</v>
      </c>
      <c r="V565" s="49" t="n">
        <v>0</v>
      </c>
      <c r="W565" s="50" t="n">
        <v>0</v>
      </c>
      <c r="X565" s="51" t="n">
        <v>0</v>
      </c>
      <c r="Y565" s="52" t="n">
        <v>0</v>
      </c>
      <c r="Z565" s="52" t="n">
        <v>0</v>
      </c>
      <c r="AA565" s="52" t="n">
        <v>0</v>
      </c>
      <c r="AB565" s="53" t="n">
        <v>0</v>
      </c>
      <c r="AC565" s="52" t="n">
        <v>0</v>
      </c>
      <c r="AD565" s="53" t="n">
        <v>0</v>
      </c>
      <c r="AE565" s="52" t="n">
        <v>0</v>
      </c>
      <c r="AF565" s="51" t="n">
        <v>0</v>
      </c>
      <c r="AG565" s="48" t="n">
        <v>0</v>
      </c>
      <c r="AH565" s="49" t="n">
        <v>0</v>
      </c>
      <c r="AI565" s="49" t="n">
        <v>0</v>
      </c>
      <c r="AJ565" s="50" t="n">
        <v>0</v>
      </c>
      <c r="AK565" s="51" t="n">
        <v>0</v>
      </c>
      <c r="AL565" s="52" t="n">
        <v>0</v>
      </c>
      <c r="AM565" s="52" t="n">
        <v>0</v>
      </c>
      <c r="AN565" s="52" t="n">
        <v>0</v>
      </c>
      <c r="AO565" s="53" t="n">
        <v>0</v>
      </c>
      <c r="AP565" s="52" t="n">
        <v>0</v>
      </c>
      <c r="AQ565" s="53" t="n">
        <v>0</v>
      </c>
      <c r="AR565" s="52" t="n">
        <v>0</v>
      </c>
      <c r="AS565" s="51" t="n">
        <v>0</v>
      </c>
      <c r="AT565" s="48" t="n">
        <v>0</v>
      </c>
      <c r="AU565" s="49" t="n">
        <v>0</v>
      </c>
      <c r="AV565" s="49" t="n">
        <v>0</v>
      </c>
      <c r="AW565" s="50" t="n">
        <v>0</v>
      </c>
      <c r="AX565" s="51" t="n">
        <v>0</v>
      </c>
      <c r="AY565" s="52" t="n">
        <v>0</v>
      </c>
      <c r="AZ565" s="52" t="n">
        <v>0</v>
      </c>
      <c r="BA565" s="52" t="n">
        <v>0</v>
      </c>
      <c r="BB565" s="53" t="n">
        <v>0</v>
      </c>
      <c r="BC565" s="52" t="n">
        <v>0</v>
      </c>
      <c r="BD565" s="53" t="n">
        <v>0</v>
      </c>
      <c r="BE565" s="52" t="n">
        <v>0</v>
      </c>
      <c r="BF565" s="51" t="n">
        <v>0</v>
      </c>
    </row>
    <row r="566">
      <c r="A566">
        <f>HYPERLINK("https://www.walmart.com/ip/5186372072", "5186372072")</f>
        <v/>
      </c>
      <c r="B566" t="inlineStr">
        <is>
          <t>Lee Toiletry Bag for Men, PU Leather Travel Dopp Kit, Water-Resistant Men's Shaving Kit Bathroom Organizer, Gifts for Men</t>
        </is>
      </c>
      <c r="C566" t="inlineStr">
        <is>
          <t>1LETTB14182BK</t>
        </is>
      </c>
      <c r="D566" t="inlineStr">
        <is>
          <t>Toiletry Kits &amp; Bags</t>
        </is>
      </c>
      <c r="E566" t="inlineStr">
        <is>
          <t>Lee</t>
        </is>
      </c>
      <c r="G566" s="48" t="n">
        <v>0</v>
      </c>
      <c r="H566" s="49" t="n">
        <v>0</v>
      </c>
      <c r="I566" s="49" t="n">
        <v>0</v>
      </c>
      <c r="J566" s="50" t="n">
        <v>0</v>
      </c>
      <c r="K566" s="51" t="n">
        <v>0</v>
      </c>
      <c r="L566" s="52" t="n">
        <v>0</v>
      </c>
      <c r="M566" s="52" t="n">
        <v>0</v>
      </c>
      <c r="N566" s="52" t="n">
        <v>0</v>
      </c>
      <c r="O566" s="53" t="n">
        <v>0</v>
      </c>
      <c r="P566" s="52" t="n">
        <v>0</v>
      </c>
      <c r="Q566" s="53" t="n">
        <v>0</v>
      </c>
      <c r="R566" s="52" t="n">
        <v>0</v>
      </c>
      <c r="S566" s="51" t="n">
        <v>0</v>
      </c>
      <c r="T566" s="48" t="n">
        <v>0</v>
      </c>
      <c r="U566" s="49" t="n">
        <v>0</v>
      </c>
      <c r="V566" s="49" t="n">
        <v>0</v>
      </c>
      <c r="W566" s="50" t="n">
        <v>0</v>
      </c>
      <c r="X566" s="51" t="n">
        <v>0</v>
      </c>
      <c r="Y566" s="52" t="n">
        <v>0</v>
      </c>
      <c r="Z566" s="52" t="n">
        <v>0</v>
      </c>
      <c r="AA566" s="52" t="n">
        <v>0</v>
      </c>
      <c r="AB566" s="53" t="n">
        <v>0</v>
      </c>
      <c r="AC566" s="52" t="n">
        <v>0</v>
      </c>
      <c r="AD566" s="53" t="n">
        <v>0</v>
      </c>
      <c r="AE566" s="52" t="n">
        <v>0</v>
      </c>
      <c r="AF566" s="51" t="n">
        <v>0</v>
      </c>
      <c r="AG566" s="48" t="n">
        <v>0</v>
      </c>
      <c r="AH566" s="49" t="n">
        <v>0</v>
      </c>
      <c r="AI566" s="49" t="n">
        <v>0</v>
      </c>
      <c r="AJ566" s="50" t="n">
        <v>0</v>
      </c>
      <c r="AK566" s="51" t="n">
        <v>0</v>
      </c>
      <c r="AL566" s="52" t="n">
        <v>0</v>
      </c>
      <c r="AM566" s="52" t="n">
        <v>0</v>
      </c>
      <c r="AN566" s="52" t="n">
        <v>0</v>
      </c>
      <c r="AO566" s="53" t="n">
        <v>0</v>
      </c>
      <c r="AP566" s="52" t="n">
        <v>0</v>
      </c>
      <c r="AQ566" s="53" t="n">
        <v>0</v>
      </c>
      <c r="AR566" s="52" t="n">
        <v>0</v>
      </c>
      <c r="AS566" s="51" t="n">
        <v>0</v>
      </c>
      <c r="AT566" s="48" t="n">
        <v>0</v>
      </c>
      <c r="AU566" s="49" t="n">
        <v>0</v>
      </c>
      <c r="AV566" s="49" t="n">
        <v>0</v>
      </c>
      <c r="AW566" s="50" t="n">
        <v>0</v>
      </c>
      <c r="AX566" s="51" t="n">
        <v>0</v>
      </c>
      <c r="AY566" s="52" t="n">
        <v>0</v>
      </c>
      <c r="AZ566" s="52" t="n">
        <v>0</v>
      </c>
      <c r="BA566" s="52" t="n">
        <v>0</v>
      </c>
      <c r="BB566" s="53" t="n">
        <v>0</v>
      </c>
      <c r="BC566" s="52" t="n">
        <v>0</v>
      </c>
      <c r="BD566" s="53" t="n">
        <v>0</v>
      </c>
      <c r="BE566" s="52" t="n">
        <v>0</v>
      </c>
      <c r="BF566" s="51" t="n">
        <v>0</v>
      </c>
    </row>
    <row r="567">
      <c r="A567">
        <f>HYPERLINK("https://www.walmart.com/ip/5190646041", "5190646041")</f>
        <v/>
      </c>
      <c r="B567" t="inlineStr">
        <is>
          <t>Dickies Basic Insulated Lunch Bag for Work, Thermal Reusable Office Lunch Box for Men, Women (Purple)</t>
        </is>
      </c>
      <c r="C567" t="inlineStr">
        <is>
          <t>DK-LUNCH-BASICBOX-PINK</t>
        </is>
      </c>
      <c r="D567" t="inlineStr">
        <is>
          <t>Reusable Lunch Bags &amp; Boxes</t>
        </is>
      </c>
      <c r="E567" t="inlineStr">
        <is>
          <t>Dickies</t>
        </is>
      </c>
      <c r="G567" s="48" t="n">
        <v>0</v>
      </c>
      <c r="H567" s="49" t="n">
        <v>0</v>
      </c>
      <c r="I567" s="49" t="n">
        <v>0</v>
      </c>
      <c r="J567" s="50" t="n">
        <v>0</v>
      </c>
      <c r="K567" s="51" t="n">
        <v>0</v>
      </c>
      <c r="L567" s="52" t="n">
        <v>0</v>
      </c>
      <c r="M567" s="52" t="n">
        <v>0</v>
      </c>
      <c r="N567" s="52" t="n">
        <v>0</v>
      </c>
      <c r="O567" s="53" t="n">
        <v>0</v>
      </c>
      <c r="P567" s="52" t="n">
        <v>0</v>
      </c>
      <c r="Q567" s="53" t="n">
        <v>0</v>
      </c>
      <c r="R567" s="52" t="n">
        <v>0</v>
      </c>
      <c r="S567" s="51" t="n">
        <v>0</v>
      </c>
      <c r="T567" s="48" t="n">
        <v>0</v>
      </c>
      <c r="U567" s="49" t="n">
        <v>0</v>
      </c>
      <c r="V567" s="49" t="n">
        <v>0</v>
      </c>
      <c r="W567" s="50" t="n">
        <v>0</v>
      </c>
      <c r="X567" s="51" t="n">
        <v>0</v>
      </c>
      <c r="Y567" s="52" t="n">
        <v>0</v>
      </c>
      <c r="Z567" s="52" t="n">
        <v>0</v>
      </c>
      <c r="AA567" s="52" t="n">
        <v>0</v>
      </c>
      <c r="AB567" s="53" t="n">
        <v>0</v>
      </c>
      <c r="AC567" s="52" t="n">
        <v>0</v>
      </c>
      <c r="AD567" s="53" t="n">
        <v>0</v>
      </c>
      <c r="AE567" s="52" t="n">
        <v>0</v>
      </c>
      <c r="AF567" s="51" t="n">
        <v>0</v>
      </c>
      <c r="AG567" s="48" t="n">
        <v>0</v>
      </c>
      <c r="AH567" s="49" t="n">
        <v>0</v>
      </c>
      <c r="AI567" s="49" t="n">
        <v>0</v>
      </c>
      <c r="AJ567" s="50" t="n">
        <v>0</v>
      </c>
      <c r="AK567" s="51" t="n">
        <v>0</v>
      </c>
      <c r="AL567" s="52" t="n">
        <v>0</v>
      </c>
      <c r="AM567" s="52" t="n">
        <v>0</v>
      </c>
      <c r="AN567" s="52" t="n">
        <v>0</v>
      </c>
      <c r="AO567" s="53" t="n">
        <v>0</v>
      </c>
      <c r="AP567" s="52" t="n">
        <v>0</v>
      </c>
      <c r="AQ567" s="53" t="n">
        <v>0</v>
      </c>
      <c r="AR567" s="52" t="n">
        <v>0</v>
      </c>
      <c r="AS567" s="51" t="n">
        <v>0</v>
      </c>
      <c r="AT567" s="48" t="n">
        <v>0</v>
      </c>
      <c r="AU567" s="49" t="n">
        <v>0</v>
      </c>
      <c r="AV567" s="49" t="n">
        <v>0</v>
      </c>
      <c r="AW567" s="50" t="n">
        <v>0</v>
      </c>
      <c r="AX567" s="51" t="n">
        <v>0</v>
      </c>
      <c r="AY567" s="52" t="n">
        <v>0</v>
      </c>
      <c r="AZ567" s="52" t="n">
        <v>0</v>
      </c>
      <c r="BA567" s="52" t="n">
        <v>0</v>
      </c>
      <c r="BB567" s="53" t="n">
        <v>0</v>
      </c>
      <c r="BC567" s="52" t="n">
        <v>0</v>
      </c>
      <c r="BD567" s="53" t="n">
        <v>0</v>
      </c>
      <c r="BE567" s="52" t="n">
        <v>0</v>
      </c>
      <c r="BF567" s="51" t="n">
        <v>0</v>
      </c>
    </row>
    <row r="568">
      <c r="A568">
        <f>HYPERLINK("https://www.walmart.com/ip/519184826", "519184826")</f>
        <v/>
      </c>
      <c r="B568" t="inlineStr">
        <is>
          <t>Catalonia Mermaid Tail Blanket, Adult Mermaid Blanket with Anti-Slip Neck Strap, Silky Hand Knitted Sleeping Blanket for Adults All Season Sleeping Bag Multi-Colors 66.5"x22.5" Green</t>
        </is>
      </c>
      <c r="C568" t="inlineStr">
        <is>
          <t>1CTMM100GN</t>
        </is>
      </c>
      <c r="D568" t="inlineStr">
        <is>
          <t>Throws</t>
        </is>
      </c>
      <c r="E568" t="inlineStr">
        <is>
          <t>Catalonia</t>
        </is>
      </c>
      <c r="F568" t="inlineStr">
        <is>
          <t>WFS,WFS Item</t>
        </is>
      </c>
      <c r="G568" s="48" t="n">
        <v>0</v>
      </c>
      <c r="H568" s="49" t="n">
        <v>0</v>
      </c>
      <c r="I568" s="49" t="n">
        <v>0</v>
      </c>
      <c r="J568" s="50" t="n">
        <v>0</v>
      </c>
      <c r="K568" s="51" t="n">
        <v>0</v>
      </c>
      <c r="L568" s="52" t="n">
        <v>0</v>
      </c>
      <c r="M568" s="52" t="n">
        <v>0</v>
      </c>
      <c r="N568" s="52" t="n">
        <v>0</v>
      </c>
      <c r="O568" s="53" t="n">
        <v>0</v>
      </c>
      <c r="P568" s="52" t="n">
        <v>0</v>
      </c>
      <c r="Q568" s="53" t="n">
        <v>0</v>
      </c>
      <c r="R568" s="52" t="n">
        <v>0</v>
      </c>
      <c r="S568" s="51" t="n">
        <v>0</v>
      </c>
      <c r="T568" s="48" t="n">
        <v>0</v>
      </c>
      <c r="U568" s="49" t="n">
        <v>0</v>
      </c>
      <c r="V568" s="49" t="n">
        <v>0</v>
      </c>
      <c r="W568" s="50" t="n">
        <v>0</v>
      </c>
      <c r="X568" s="51" t="n">
        <v>0</v>
      </c>
      <c r="Y568" s="52" t="n">
        <v>0</v>
      </c>
      <c r="Z568" s="52" t="n">
        <v>0</v>
      </c>
      <c r="AA568" s="52" t="n">
        <v>0</v>
      </c>
      <c r="AB568" s="53" t="n">
        <v>0</v>
      </c>
      <c r="AC568" s="52" t="n">
        <v>0</v>
      </c>
      <c r="AD568" s="53" t="n">
        <v>0</v>
      </c>
      <c r="AE568" s="52" t="n">
        <v>0</v>
      </c>
      <c r="AF568" s="51" t="n">
        <v>0</v>
      </c>
      <c r="AG568" s="48" t="n">
        <v>0</v>
      </c>
      <c r="AH568" s="49" t="n">
        <v>0</v>
      </c>
      <c r="AI568" s="49" t="n">
        <v>0</v>
      </c>
      <c r="AJ568" s="50" t="n">
        <v>0</v>
      </c>
      <c r="AK568" s="51" t="n">
        <v>0</v>
      </c>
      <c r="AL568" s="52" t="n">
        <v>0</v>
      </c>
      <c r="AM568" s="52" t="n">
        <v>0</v>
      </c>
      <c r="AN568" s="52" t="n">
        <v>0</v>
      </c>
      <c r="AO568" s="53" t="n">
        <v>0</v>
      </c>
      <c r="AP568" s="52" t="n">
        <v>0</v>
      </c>
      <c r="AQ568" s="53" t="n">
        <v>0</v>
      </c>
      <c r="AR568" s="52" t="n">
        <v>0</v>
      </c>
      <c r="AS568" s="51" t="n">
        <v>0</v>
      </c>
      <c r="AT568" s="48" t="n">
        <v>0</v>
      </c>
      <c r="AU568" s="49" t="n">
        <v>0</v>
      </c>
      <c r="AV568" s="49" t="n">
        <v>0</v>
      </c>
      <c r="AW568" s="50" t="n">
        <v>0</v>
      </c>
      <c r="AX568" s="51" t="n">
        <v>0</v>
      </c>
      <c r="AY568" s="52" t="n">
        <v>0</v>
      </c>
      <c r="AZ568" s="52" t="n">
        <v>0</v>
      </c>
      <c r="BA568" s="52" t="n">
        <v>0</v>
      </c>
      <c r="BB568" s="53" t="n">
        <v>0</v>
      </c>
      <c r="BC568" s="52" t="n">
        <v>0</v>
      </c>
      <c r="BD568" s="53" t="n">
        <v>0</v>
      </c>
      <c r="BE568" s="52" t="n">
        <v>0</v>
      </c>
      <c r="BF568" s="51" t="n">
        <v>0</v>
      </c>
    </row>
    <row r="569">
      <c r="A569">
        <f>HYPERLINK("https://www.walmart.com/ip/5122048897", "5122048897")</f>
        <v/>
      </c>
      <c r="B569" t="inlineStr">
        <is>
          <t>Solaris Xmas Dwarf Print Sherpa Fleece Blanket, Super Soft Warm Cozy Flannel Reversible Throw Blanket for Couch Sofa Bed, Pink, 50" x 60"</t>
        </is>
      </c>
      <c r="C569" t="inlineStr">
        <is>
          <t>1SLBF300XMASDWARFPK</t>
        </is>
      </c>
      <c r="D569" t="inlineStr">
        <is>
          <t>Throws</t>
        </is>
      </c>
      <c r="E569" t="inlineStr">
        <is>
          <t>Solaris</t>
        </is>
      </c>
      <c r="F569" t="inlineStr">
        <is>
          <t>Q2-Target,Coupon_Discount</t>
        </is>
      </c>
      <c r="G569" s="48" t="n">
        <v>0</v>
      </c>
      <c r="H569" s="49" t="n">
        <v>0</v>
      </c>
      <c r="I569" s="49" t="n">
        <v>0</v>
      </c>
      <c r="J569" s="50" t="n">
        <v>0</v>
      </c>
      <c r="K569" s="51" t="n">
        <v>0</v>
      </c>
      <c r="L569" s="52" t="n">
        <v>0</v>
      </c>
      <c r="M569" s="52" t="n">
        <v>0</v>
      </c>
      <c r="N569" s="52" t="n">
        <v>0</v>
      </c>
      <c r="O569" s="53" t="n">
        <v>0</v>
      </c>
      <c r="P569" s="52" t="n">
        <v>0</v>
      </c>
      <c r="Q569" s="53" t="n">
        <v>0</v>
      </c>
      <c r="R569" s="52" t="n">
        <v>0</v>
      </c>
      <c r="S569" s="51" t="n">
        <v>0</v>
      </c>
      <c r="T569" s="48" t="n">
        <v>0</v>
      </c>
      <c r="U569" s="49" t="n">
        <v>0</v>
      </c>
      <c r="V569" s="49" t="n">
        <v>0</v>
      </c>
      <c r="W569" s="50" t="n">
        <v>0</v>
      </c>
      <c r="X569" s="51" t="n">
        <v>0</v>
      </c>
      <c r="Y569" s="52" t="n">
        <v>0</v>
      </c>
      <c r="Z569" s="52" t="n">
        <v>0</v>
      </c>
      <c r="AA569" s="52" t="n">
        <v>0</v>
      </c>
      <c r="AB569" s="53" t="n">
        <v>0</v>
      </c>
      <c r="AC569" s="52" t="n">
        <v>0</v>
      </c>
      <c r="AD569" s="53" t="n">
        <v>0</v>
      </c>
      <c r="AE569" s="52" t="n">
        <v>0</v>
      </c>
      <c r="AF569" s="51" t="n">
        <v>0</v>
      </c>
      <c r="AG569" s="48" t="n">
        <v>0</v>
      </c>
      <c r="AH569" s="49" t="n">
        <v>0</v>
      </c>
      <c r="AI569" s="49" t="n">
        <v>0</v>
      </c>
      <c r="AJ569" s="50" t="n">
        <v>0</v>
      </c>
      <c r="AK569" s="51" t="n">
        <v>0</v>
      </c>
      <c r="AL569" s="52" t="n">
        <v>0</v>
      </c>
      <c r="AM569" s="52" t="n">
        <v>0</v>
      </c>
      <c r="AN569" s="52" t="n">
        <v>0</v>
      </c>
      <c r="AO569" s="53" t="n">
        <v>0</v>
      </c>
      <c r="AP569" s="52" t="n">
        <v>0</v>
      </c>
      <c r="AQ569" s="53" t="n">
        <v>0</v>
      </c>
      <c r="AR569" s="52" t="n">
        <v>0</v>
      </c>
      <c r="AS569" s="51" t="n">
        <v>0</v>
      </c>
      <c r="AT569" s="48" t="n">
        <v>0</v>
      </c>
      <c r="AU569" s="49" t="n">
        <v>0</v>
      </c>
      <c r="AV569" s="49" t="n">
        <v>0</v>
      </c>
      <c r="AW569" s="50" t="n">
        <v>0</v>
      </c>
      <c r="AX569" s="51" t="n">
        <v>0</v>
      </c>
      <c r="AY569" s="52" t="n">
        <v>0</v>
      </c>
      <c r="AZ569" s="52" t="n">
        <v>0</v>
      </c>
      <c r="BA569" s="52" t="n">
        <v>0</v>
      </c>
      <c r="BB569" s="53" t="n">
        <v>0</v>
      </c>
      <c r="BC569" s="52" t="n">
        <v>0</v>
      </c>
      <c r="BD569" s="53" t="n">
        <v>0</v>
      </c>
      <c r="BE569" s="52" t="n">
        <v>0</v>
      </c>
      <c r="BF569" s="51" t="n">
        <v>0</v>
      </c>
    </row>
    <row r="570">
      <c r="A570">
        <f>HYPERLINK("https://www.walmart.com/ip/510130116", "510130116")</f>
        <v/>
      </c>
      <c r="B570" t="inlineStr">
        <is>
          <t>Sherpa Slipper Socks for Women,Winter Indoor Home Non Skid Booties</t>
        </is>
      </c>
      <c r="C570" t="inlineStr">
        <is>
          <t>1CTST200PK-2</t>
        </is>
      </c>
      <c r="D570" t="inlineStr">
        <is>
          <t>Socks</t>
        </is>
      </c>
      <c r="E570" t="inlineStr">
        <is>
          <t>Catalonia</t>
        </is>
      </c>
      <c r="F570" t="inlineStr">
        <is>
          <t>WFS,WFS Item</t>
        </is>
      </c>
      <c r="G570" s="48" t="n">
        <v>0</v>
      </c>
      <c r="H570" s="49" t="n">
        <v>0</v>
      </c>
      <c r="I570" s="49" t="n">
        <v>0</v>
      </c>
      <c r="J570" s="50" t="n">
        <v>0</v>
      </c>
      <c r="K570" s="51" t="n">
        <v>0</v>
      </c>
      <c r="L570" s="52" t="n">
        <v>0</v>
      </c>
      <c r="M570" s="52" t="n">
        <v>0</v>
      </c>
      <c r="N570" s="52" t="n">
        <v>0</v>
      </c>
      <c r="O570" s="53" t="n">
        <v>0</v>
      </c>
      <c r="P570" s="52" t="n">
        <v>0</v>
      </c>
      <c r="Q570" s="53" t="n">
        <v>0</v>
      </c>
      <c r="R570" s="52" t="n">
        <v>0</v>
      </c>
      <c r="S570" s="51" t="n">
        <v>0</v>
      </c>
      <c r="T570" s="48" t="n">
        <v>0</v>
      </c>
      <c r="U570" s="49" t="n">
        <v>0</v>
      </c>
      <c r="V570" s="49" t="n">
        <v>0</v>
      </c>
      <c r="W570" s="50" t="n">
        <v>0</v>
      </c>
      <c r="X570" s="51" t="n">
        <v>0</v>
      </c>
      <c r="Y570" s="52" t="n">
        <v>0</v>
      </c>
      <c r="Z570" s="52" t="n">
        <v>0</v>
      </c>
      <c r="AA570" s="52" t="n">
        <v>0</v>
      </c>
      <c r="AB570" s="53" t="n">
        <v>0</v>
      </c>
      <c r="AC570" s="52" t="n">
        <v>0</v>
      </c>
      <c r="AD570" s="53" t="n">
        <v>0</v>
      </c>
      <c r="AE570" s="52" t="n">
        <v>0</v>
      </c>
      <c r="AF570" s="51" t="n">
        <v>0</v>
      </c>
      <c r="AG570" s="48" t="n">
        <v>0</v>
      </c>
      <c r="AH570" s="49" t="n">
        <v>0</v>
      </c>
      <c r="AI570" s="49" t="n">
        <v>0</v>
      </c>
      <c r="AJ570" s="50" t="n">
        <v>0</v>
      </c>
      <c r="AK570" s="51" t="n">
        <v>0</v>
      </c>
      <c r="AL570" s="52" t="n">
        <v>0</v>
      </c>
      <c r="AM570" s="52" t="n">
        <v>0</v>
      </c>
      <c r="AN570" s="52" t="n">
        <v>0</v>
      </c>
      <c r="AO570" s="53" t="n">
        <v>0</v>
      </c>
      <c r="AP570" s="52" t="n">
        <v>0</v>
      </c>
      <c r="AQ570" s="53" t="n">
        <v>0</v>
      </c>
      <c r="AR570" s="52" t="n">
        <v>0</v>
      </c>
      <c r="AS570" s="51" t="n">
        <v>0</v>
      </c>
      <c r="AT570" s="48" t="n">
        <v>0</v>
      </c>
      <c r="AU570" s="49" t="n">
        <v>0</v>
      </c>
      <c r="AV570" s="49" t="n">
        <v>0</v>
      </c>
      <c r="AW570" s="50" t="n">
        <v>0</v>
      </c>
      <c r="AX570" s="51" t="n">
        <v>0</v>
      </c>
      <c r="AY570" s="52" t="n">
        <v>0</v>
      </c>
      <c r="AZ570" s="52" t="n">
        <v>0</v>
      </c>
      <c r="BA570" s="52" t="n">
        <v>0</v>
      </c>
      <c r="BB570" s="53" t="n">
        <v>0</v>
      </c>
      <c r="BC570" s="52" t="n">
        <v>0</v>
      </c>
      <c r="BD570" s="53" t="n">
        <v>0</v>
      </c>
      <c r="BE570" s="52" t="n">
        <v>0</v>
      </c>
      <c r="BF570" s="51" t="n">
        <v>0</v>
      </c>
    </row>
    <row r="571">
      <c r="A571">
        <f>HYPERLINK("https://www.walmart.com/ip/5100973684", "5100973684")</f>
        <v/>
      </c>
      <c r="B571" t="inlineStr">
        <is>
          <t>Tirrinia Women's Plush Soft Robe, Fluffy, Warm, and Fleece Sherpa Shaggy Bathrobe for Ultimate Comfort, Machine Washable, Large Size, Purple</t>
        </is>
      </c>
      <c r="C571" t="inlineStr">
        <is>
          <t>1TRRB503PP-4</t>
        </is>
      </c>
      <c r="D571" t="inlineStr">
        <is>
          <t>Sleepwear Robes &amp; Bathrobes</t>
        </is>
      </c>
      <c r="E571" t="inlineStr">
        <is>
          <t>Tirrinia</t>
        </is>
      </c>
      <c r="F571" t="inlineStr">
        <is>
          <t>Bathrobe,Coupon_Discount</t>
        </is>
      </c>
      <c r="G571" s="48" t="n">
        <v>0</v>
      </c>
      <c r="H571" s="49" t="n">
        <v>0</v>
      </c>
      <c r="I571" s="49" t="n">
        <v>0</v>
      </c>
      <c r="J571" s="50" t="n">
        <v>0</v>
      </c>
      <c r="K571" s="51" t="n">
        <v>0</v>
      </c>
      <c r="L571" s="52" t="n">
        <v>0</v>
      </c>
      <c r="M571" s="52" t="n">
        <v>0</v>
      </c>
      <c r="N571" s="52" t="n">
        <v>0</v>
      </c>
      <c r="O571" s="53" t="n">
        <v>0</v>
      </c>
      <c r="P571" s="52" t="n">
        <v>0</v>
      </c>
      <c r="Q571" s="53" t="n">
        <v>0</v>
      </c>
      <c r="R571" s="52" t="n">
        <v>0</v>
      </c>
      <c r="S571" s="51" t="n">
        <v>0</v>
      </c>
      <c r="T571" s="48" t="n">
        <v>0</v>
      </c>
      <c r="U571" s="49" t="n">
        <v>0</v>
      </c>
      <c r="V571" s="49" t="n">
        <v>0</v>
      </c>
      <c r="W571" s="50" t="n">
        <v>0</v>
      </c>
      <c r="X571" s="51" t="n">
        <v>0</v>
      </c>
      <c r="Y571" s="52" t="n">
        <v>0</v>
      </c>
      <c r="Z571" s="52" t="n">
        <v>0</v>
      </c>
      <c r="AA571" s="52" t="n">
        <v>0</v>
      </c>
      <c r="AB571" s="53" t="n">
        <v>0</v>
      </c>
      <c r="AC571" s="52" t="n">
        <v>0</v>
      </c>
      <c r="AD571" s="53" t="n">
        <v>0</v>
      </c>
      <c r="AE571" s="52" t="n">
        <v>0</v>
      </c>
      <c r="AF571" s="51" t="n">
        <v>0</v>
      </c>
      <c r="AG571" s="48" t="n">
        <v>0</v>
      </c>
      <c r="AH571" s="49" t="n">
        <v>0</v>
      </c>
      <c r="AI571" s="49" t="n">
        <v>0</v>
      </c>
      <c r="AJ571" s="50" t="n">
        <v>0</v>
      </c>
      <c r="AK571" s="51" t="n">
        <v>0</v>
      </c>
      <c r="AL571" s="52" t="n">
        <v>0</v>
      </c>
      <c r="AM571" s="52" t="n">
        <v>0</v>
      </c>
      <c r="AN571" s="52" t="n">
        <v>0</v>
      </c>
      <c r="AO571" s="53" t="n">
        <v>0</v>
      </c>
      <c r="AP571" s="52" t="n">
        <v>0</v>
      </c>
      <c r="AQ571" s="53" t="n">
        <v>0</v>
      </c>
      <c r="AR571" s="52" t="n">
        <v>0</v>
      </c>
      <c r="AS571" s="51" t="n">
        <v>0</v>
      </c>
      <c r="AT571" s="48" t="n">
        <v>0</v>
      </c>
      <c r="AU571" s="49" t="n">
        <v>0</v>
      </c>
      <c r="AV571" s="49" t="n">
        <v>0</v>
      </c>
      <c r="AW571" s="50" t="n">
        <v>0</v>
      </c>
      <c r="AX571" s="51" t="n">
        <v>0</v>
      </c>
      <c r="AY571" s="52" t="n">
        <v>0</v>
      </c>
      <c r="AZ571" s="52" t="n">
        <v>0</v>
      </c>
      <c r="BA571" s="52" t="n">
        <v>0</v>
      </c>
      <c r="BB571" s="53" t="n">
        <v>0</v>
      </c>
      <c r="BC571" s="52" t="n">
        <v>0</v>
      </c>
      <c r="BD571" s="53" t="n">
        <v>0</v>
      </c>
      <c r="BE571" s="52" t="n">
        <v>0</v>
      </c>
      <c r="BF571" s="51" t="n">
        <v>0</v>
      </c>
    </row>
    <row r="572">
      <c r="A572">
        <f>HYPERLINK("https://www.walmart.com/ip/5081404597", "5081404597")</f>
        <v/>
      </c>
      <c r="B572" t="inlineStr">
        <is>
          <t>Catalonia Wearable Blanket with Sleeves and Pocket, Cozy, Soft Fleece Blanket Robe for Adult Women and Men in Pink Christmas Dwarf Pattern, 73" x 51"</t>
        </is>
      </c>
      <c r="C572" t="inlineStr">
        <is>
          <t>1CTSN100XMASDWARFPK</t>
        </is>
      </c>
      <c r="D572" t="inlineStr">
        <is>
          <t>Throws</t>
        </is>
      </c>
      <c r="E572" t="inlineStr">
        <is>
          <t>Catalonia</t>
        </is>
      </c>
      <c r="F572" t="inlineStr">
        <is>
          <t>Q2-Target,Coupon_Discount</t>
        </is>
      </c>
      <c r="G572" s="48" t="n">
        <v>0</v>
      </c>
      <c r="H572" s="49" t="n">
        <v>0</v>
      </c>
      <c r="I572" s="49" t="n">
        <v>0</v>
      </c>
      <c r="J572" s="50" t="n">
        <v>0</v>
      </c>
      <c r="K572" s="51" t="n">
        <v>0</v>
      </c>
      <c r="L572" s="52" t="n">
        <v>0</v>
      </c>
      <c r="M572" s="52" t="n">
        <v>0</v>
      </c>
      <c r="N572" s="52" t="n">
        <v>0</v>
      </c>
      <c r="O572" s="53" t="n">
        <v>0</v>
      </c>
      <c r="P572" s="52" t="n">
        <v>0</v>
      </c>
      <c r="Q572" s="53" t="n">
        <v>0</v>
      </c>
      <c r="R572" s="52" t="n">
        <v>0</v>
      </c>
      <c r="S572" s="51" t="n">
        <v>0</v>
      </c>
      <c r="T572" s="48" t="n">
        <v>0</v>
      </c>
      <c r="U572" s="49" t="n">
        <v>0</v>
      </c>
      <c r="V572" s="49" t="n">
        <v>0</v>
      </c>
      <c r="W572" s="50" t="n">
        <v>0</v>
      </c>
      <c r="X572" s="51" t="n">
        <v>0</v>
      </c>
      <c r="Y572" s="52" t="n">
        <v>0</v>
      </c>
      <c r="Z572" s="52" t="n">
        <v>0</v>
      </c>
      <c r="AA572" s="52" t="n">
        <v>0</v>
      </c>
      <c r="AB572" s="53" t="n">
        <v>0</v>
      </c>
      <c r="AC572" s="52" t="n">
        <v>0</v>
      </c>
      <c r="AD572" s="53" t="n">
        <v>0</v>
      </c>
      <c r="AE572" s="52" t="n">
        <v>0</v>
      </c>
      <c r="AF572" s="51" t="n">
        <v>0</v>
      </c>
      <c r="AG572" s="48" t="n">
        <v>0</v>
      </c>
      <c r="AH572" s="49" t="n">
        <v>0</v>
      </c>
      <c r="AI572" s="49" t="n">
        <v>0</v>
      </c>
      <c r="AJ572" s="50" t="n">
        <v>0</v>
      </c>
      <c r="AK572" s="51" t="n">
        <v>0</v>
      </c>
      <c r="AL572" s="52" t="n">
        <v>0</v>
      </c>
      <c r="AM572" s="52" t="n">
        <v>0</v>
      </c>
      <c r="AN572" s="52" t="n">
        <v>0</v>
      </c>
      <c r="AO572" s="53" t="n">
        <v>0</v>
      </c>
      <c r="AP572" s="52" t="n">
        <v>0</v>
      </c>
      <c r="AQ572" s="53" t="n">
        <v>0</v>
      </c>
      <c r="AR572" s="52" t="n">
        <v>0</v>
      </c>
      <c r="AS572" s="51" t="n">
        <v>0</v>
      </c>
      <c r="AT572" s="48" t="n">
        <v>0</v>
      </c>
      <c r="AU572" s="49" t="n">
        <v>0</v>
      </c>
      <c r="AV572" s="49" t="n">
        <v>0</v>
      </c>
      <c r="AW572" s="50" t="n">
        <v>0</v>
      </c>
      <c r="AX572" s="51" t="n">
        <v>0</v>
      </c>
      <c r="AY572" s="52" t="n">
        <v>0</v>
      </c>
      <c r="AZ572" s="52" t="n">
        <v>0</v>
      </c>
      <c r="BA572" s="52" t="n">
        <v>0</v>
      </c>
      <c r="BB572" s="53" t="n">
        <v>0</v>
      </c>
      <c r="BC572" s="52" t="n">
        <v>0</v>
      </c>
      <c r="BD572" s="53" t="n">
        <v>0</v>
      </c>
      <c r="BE572" s="52" t="n">
        <v>0</v>
      </c>
      <c r="BF572" s="51" t="n">
        <v>0</v>
      </c>
    </row>
    <row r="573">
      <c r="A573">
        <f>HYPERLINK("https://www.walmart.com/ip/5076439930", "5076439930")</f>
        <v/>
      </c>
      <c r="B573" t="inlineStr">
        <is>
          <t>Tirrinia Women's Plush Soft Robe, Fluffy, Warm, and Fleece Sherpa Shaggy Bathrobe for Ultimate Comfort, Machine Washable, Medium Size, Pink</t>
        </is>
      </c>
      <c r="C573" t="inlineStr">
        <is>
          <t>1TRRB503PK-2</t>
        </is>
      </c>
      <c r="D573" t="inlineStr">
        <is>
          <t>Sleepwear Robes &amp; Bathrobes</t>
        </is>
      </c>
      <c r="E573" t="inlineStr">
        <is>
          <t>Tirrinia</t>
        </is>
      </c>
      <c r="F573" t="inlineStr">
        <is>
          <t>Bathrobe,Coupon_Discount</t>
        </is>
      </c>
      <c r="G573" s="48" t="n">
        <v>0</v>
      </c>
      <c r="H573" s="49" t="n">
        <v>0</v>
      </c>
      <c r="I573" s="49" t="n">
        <v>0</v>
      </c>
      <c r="J573" s="50" t="n">
        <v>0</v>
      </c>
      <c r="K573" s="51" t="n">
        <v>0</v>
      </c>
      <c r="L573" s="52" t="n">
        <v>0</v>
      </c>
      <c r="M573" s="52" t="n">
        <v>0</v>
      </c>
      <c r="N573" s="52" t="n">
        <v>0</v>
      </c>
      <c r="O573" s="53" t="n">
        <v>0</v>
      </c>
      <c r="P573" s="52" t="n">
        <v>0</v>
      </c>
      <c r="Q573" s="53" t="n">
        <v>0</v>
      </c>
      <c r="R573" s="52" t="n">
        <v>0</v>
      </c>
      <c r="S573" s="51" t="n">
        <v>0</v>
      </c>
      <c r="T573" s="48" t="n">
        <v>0</v>
      </c>
      <c r="U573" s="49" t="n">
        <v>0</v>
      </c>
      <c r="V573" s="49" t="n">
        <v>0</v>
      </c>
      <c r="W573" s="50" t="n">
        <v>0</v>
      </c>
      <c r="X573" s="51" t="n">
        <v>0</v>
      </c>
      <c r="Y573" s="52" t="n">
        <v>0</v>
      </c>
      <c r="Z573" s="52" t="n">
        <v>0</v>
      </c>
      <c r="AA573" s="52" t="n">
        <v>0</v>
      </c>
      <c r="AB573" s="53" t="n">
        <v>0</v>
      </c>
      <c r="AC573" s="52" t="n">
        <v>0</v>
      </c>
      <c r="AD573" s="53" t="n">
        <v>0</v>
      </c>
      <c r="AE573" s="52" t="n">
        <v>0</v>
      </c>
      <c r="AF573" s="51" t="n">
        <v>0</v>
      </c>
      <c r="AG573" s="48" t="n">
        <v>0</v>
      </c>
      <c r="AH573" s="49" t="n">
        <v>0</v>
      </c>
      <c r="AI573" s="49" t="n">
        <v>0</v>
      </c>
      <c r="AJ573" s="50" t="n">
        <v>0</v>
      </c>
      <c r="AK573" s="51" t="n">
        <v>0</v>
      </c>
      <c r="AL573" s="52" t="n">
        <v>0</v>
      </c>
      <c r="AM573" s="52" t="n">
        <v>0</v>
      </c>
      <c r="AN573" s="52" t="n">
        <v>0</v>
      </c>
      <c r="AO573" s="53" t="n">
        <v>0</v>
      </c>
      <c r="AP573" s="52" t="n">
        <v>0</v>
      </c>
      <c r="AQ573" s="53" t="n">
        <v>0</v>
      </c>
      <c r="AR573" s="52" t="n">
        <v>0</v>
      </c>
      <c r="AS573" s="51" t="n">
        <v>0</v>
      </c>
      <c r="AT573" s="48" t="n">
        <v>0</v>
      </c>
      <c r="AU573" s="49" t="n">
        <v>0</v>
      </c>
      <c r="AV573" s="49" t="n">
        <v>0</v>
      </c>
      <c r="AW573" s="50" t="n">
        <v>0</v>
      </c>
      <c r="AX573" s="51" t="n">
        <v>0</v>
      </c>
      <c r="AY573" s="52" t="n">
        <v>0</v>
      </c>
      <c r="AZ573" s="52" t="n">
        <v>0</v>
      </c>
      <c r="BA573" s="52" t="n">
        <v>0</v>
      </c>
      <c r="BB573" s="53" t="n">
        <v>0</v>
      </c>
      <c r="BC573" s="52" t="n">
        <v>0</v>
      </c>
      <c r="BD573" s="53" t="n">
        <v>0</v>
      </c>
      <c r="BE573" s="52" t="n">
        <v>0</v>
      </c>
      <c r="BF573" s="51" t="n">
        <v>0</v>
      </c>
    </row>
    <row r="574">
      <c r="A574">
        <f>HYPERLINK("https://www.walmart.com/ip/5077112383", "5077112383")</f>
        <v/>
      </c>
      <c r="B574" t="inlineStr">
        <is>
          <t>Catalonia Wearable Blanket with Sleeves and Pocket, Cozy, Soft Fleece Blanket Robe for Adult Women and Men, Green Santa and Deer Pattern, 73" x 51"</t>
        </is>
      </c>
      <c r="C574" t="inlineStr">
        <is>
          <t>1CTSN100SANTAANDDEERGN</t>
        </is>
      </c>
      <c r="D574" t="inlineStr">
        <is>
          <t>Throws</t>
        </is>
      </c>
      <c r="E574" t="inlineStr">
        <is>
          <t>Catalonia</t>
        </is>
      </c>
      <c r="F574" t="inlineStr">
        <is>
          <t>Q2-Target,Coupon_Discount</t>
        </is>
      </c>
      <c r="G574" s="48" t="n">
        <v>0</v>
      </c>
      <c r="H574" s="49" t="n">
        <v>0</v>
      </c>
      <c r="I574" s="49" t="n">
        <v>0</v>
      </c>
      <c r="J574" s="50" t="n">
        <v>0</v>
      </c>
      <c r="K574" s="51" t="n">
        <v>0</v>
      </c>
      <c r="L574" s="52" t="n">
        <v>0</v>
      </c>
      <c r="M574" s="52" t="n">
        <v>0</v>
      </c>
      <c r="N574" s="52" t="n">
        <v>0</v>
      </c>
      <c r="O574" s="53" t="n">
        <v>0</v>
      </c>
      <c r="P574" s="52" t="n">
        <v>0</v>
      </c>
      <c r="Q574" s="53" t="n">
        <v>0</v>
      </c>
      <c r="R574" s="52" t="n">
        <v>0</v>
      </c>
      <c r="S574" s="51" t="n">
        <v>0</v>
      </c>
      <c r="T574" s="48" t="n">
        <v>0</v>
      </c>
      <c r="U574" s="49" t="n">
        <v>0</v>
      </c>
      <c r="V574" s="49" t="n">
        <v>0</v>
      </c>
      <c r="W574" s="50" t="n">
        <v>0</v>
      </c>
      <c r="X574" s="51" t="n">
        <v>0</v>
      </c>
      <c r="Y574" s="52" t="n">
        <v>0</v>
      </c>
      <c r="Z574" s="52" t="n">
        <v>0</v>
      </c>
      <c r="AA574" s="52" t="n">
        <v>0</v>
      </c>
      <c r="AB574" s="53" t="n">
        <v>0</v>
      </c>
      <c r="AC574" s="52" t="n">
        <v>0</v>
      </c>
      <c r="AD574" s="53" t="n">
        <v>0</v>
      </c>
      <c r="AE574" s="52" t="n">
        <v>0</v>
      </c>
      <c r="AF574" s="51" t="n">
        <v>0</v>
      </c>
      <c r="AG574" s="48" t="n">
        <v>0</v>
      </c>
      <c r="AH574" s="49" t="n">
        <v>0</v>
      </c>
      <c r="AI574" s="49" t="n">
        <v>0</v>
      </c>
      <c r="AJ574" s="50" t="n">
        <v>0</v>
      </c>
      <c r="AK574" s="51" t="n">
        <v>0</v>
      </c>
      <c r="AL574" s="52" t="n">
        <v>0</v>
      </c>
      <c r="AM574" s="52" t="n">
        <v>0</v>
      </c>
      <c r="AN574" s="52" t="n">
        <v>0</v>
      </c>
      <c r="AO574" s="53" t="n">
        <v>0</v>
      </c>
      <c r="AP574" s="52" t="n">
        <v>0</v>
      </c>
      <c r="AQ574" s="53" t="n">
        <v>0</v>
      </c>
      <c r="AR574" s="52" t="n">
        <v>0</v>
      </c>
      <c r="AS574" s="51" t="n">
        <v>0</v>
      </c>
      <c r="AT574" s="48" t="n">
        <v>0</v>
      </c>
      <c r="AU574" s="49" t="n">
        <v>0</v>
      </c>
      <c r="AV574" s="49" t="n">
        <v>0</v>
      </c>
      <c r="AW574" s="50" t="n">
        <v>0</v>
      </c>
      <c r="AX574" s="51" t="n">
        <v>0</v>
      </c>
      <c r="AY574" s="52" t="n">
        <v>0</v>
      </c>
      <c r="AZ574" s="52" t="n">
        <v>0</v>
      </c>
      <c r="BA574" s="52" t="n">
        <v>0</v>
      </c>
      <c r="BB574" s="53" t="n">
        <v>0</v>
      </c>
      <c r="BC574" s="52" t="n">
        <v>0</v>
      </c>
      <c r="BD574" s="53" t="n">
        <v>0</v>
      </c>
      <c r="BE574" s="52" t="n">
        <v>0</v>
      </c>
      <c r="BF574" s="51" t="n">
        <v>0</v>
      </c>
    </row>
    <row r="575">
      <c r="A575">
        <f>HYPERLINK("https://www.walmart.com/ip/5077162262", "5077162262")</f>
        <v/>
      </c>
      <c r="B575" t="inlineStr">
        <is>
          <t>Tirrinia Wearable Fleece Blanket for Women &amp; Men, Super-Soft Microplush TV Blanket Adult Wrap Full Body Robe for Lounge Couch, White Footbal Fiel, 73" x 51".</t>
        </is>
      </c>
      <c r="C575" t="inlineStr">
        <is>
          <t>1TRSN100FOOTBALLFIELDWT</t>
        </is>
      </c>
      <c r="D575" t="inlineStr">
        <is>
          <t>Throws</t>
        </is>
      </c>
      <c r="E575" t="inlineStr">
        <is>
          <t>Tirrinia</t>
        </is>
      </c>
      <c r="F575" t="inlineStr">
        <is>
          <t>Q2-Target,Coupon_Discount</t>
        </is>
      </c>
      <c r="G575" s="48" t="n">
        <v>0</v>
      </c>
      <c r="H575" s="49" t="n">
        <v>0</v>
      </c>
      <c r="I575" s="49" t="n">
        <v>0</v>
      </c>
      <c r="J575" s="50" t="n">
        <v>0</v>
      </c>
      <c r="K575" s="51" t="n">
        <v>0</v>
      </c>
      <c r="L575" s="52" t="n">
        <v>0</v>
      </c>
      <c r="M575" s="52" t="n">
        <v>0</v>
      </c>
      <c r="N575" s="52" t="n">
        <v>0</v>
      </c>
      <c r="O575" s="53" t="n">
        <v>0</v>
      </c>
      <c r="P575" s="52" t="n">
        <v>0</v>
      </c>
      <c r="Q575" s="53" t="n">
        <v>0</v>
      </c>
      <c r="R575" s="52" t="n">
        <v>0</v>
      </c>
      <c r="S575" s="51" t="n">
        <v>0</v>
      </c>
      <c r="T575" s="48" t="n">
        <v>0</v>
      </c>
      <c r="U575" s="49" t="n">
        <v>0</v>
      </c>
      <c r="V575" s="49" t="n">
        <v>0</v>
      </c>
      <c r="W575" s="50" t="n">
        <v>0</v>
      </c>
      <c r="X575" s="51" t="n">
        <v>0</v>
      </c>
      <c r="Y575" s="52" t="n">
        <v>0</v>
      </c>
      <c r="Z575" s="52" t="n">
        <v>0</v>
      </c>
      <c r="AA575" s="52" t="n">
        <v>0</v>
      </c>
      <c r="AB575" s="53" t="n">
        <v>0</v>
      </c>
      <c r="AC575" s="52" t="n">
        <v>0</v>
      </c>
      <c r="AD575" s="53" t="n">
        <v>0</v>
      </c>
      <c r="AE575" s="52" t="n">
        <v>0</v>
      </c>
      <c r="AF575" s="51" t="n">
        <v>0</v>
      </c>
      <c r="AG575" s="48" t="n">
        <v>0</v>
      </c>
      <c r="AH575" s="49" t="n">
        <v>0</v>
      </c>
      <c r="AI575" s="49" t="n">
        <v>0</v>
      </c>
      <c r="AJ575" s="50" t="n">
        <v>0</v>
      </c>
      <c r="AK575" s="51" t="n">
        <v>0</v>
      </c>
      <c r="AL575" s="52" t="n">
        <v>0</v>
      </c>
      <c r="AM575" s="52" t="n">
        <v>0</v>
      </c>
      <c r="AN575" s="52" t="n">
        <v>0</v>
      </c>
      <c r="AO575" s="53" t="n">
        <v>0</v>
      </c>
      <c r="AP575" s="52" t="n">
        <v>0</v>
      </c>
      <c r="AQ575" s="53" t="n">
        <v>0</v>
      </c>
      <c r="AR575" s="52" t="n">
        <v>0</v>
      </c>
      <c r="AS575" s="51" t="n">
        <v>0</v>
      </c>
      <c r="AT575" s="48" t="n">
        <v>0</v>
      </c>
      <c r="AU575" s="49" t="n">
        <v>0</v>
      </c>
      <c r="AV575" s="49" t="n">
        <v>0</v>
      </c>
      <c r="AW575" s="50" t="n">
        <v>0</v>
      </c>
      <c r="AX575" s="51" t="n">
        <v>0</v>
      </c>
      <c r="AY575" s="52" t="n">
        <v>0</v>
      </c>
      <c r="AZ575" s="52" t="n">
        <v>0</v>
      </c>
      <c r="BA575" s="52" t="n">
        <v>0</v>
      </c>
      <c r="BB575" s="53" t="n">
        <v>0</v>
      </c>
      <c r="BC575" s="52" t="n">
        <v>0</v>
      </c>
      <c r="BD575" s="53" t="n">
        <v>0</v>
      </c>
      <c r="BE575" s="52" t="n">
        <v>0</v>
      </c>
      <c r="BF575" s="51" t="n">
        <v>0</v>
      </c>
    </row>
    <row r="576">
      <c r="A576">
        <f>HYPERLINK("https://www.walmart.com/ip/5079411444", "5079411444")</f>
        <v/>
      </c>
      <c r="B576" t="inlineStr">
        <is>
          <t>Tirrinia Wearable Fleece Blanket for Women and Men, Super-Soft Microplush TV Blanket, Full Body Robe for Lounge Couch, Football Field, 51" x 73"</t>
        </is>
      </c>
      <c r="C576" t="inlineStr">
        <is>
          <t>1TRSN100FOOTBALLFIELDBL</t>
        </is>
      </c>
      <c r="D576" t="inlineStr">
        <is>
          <t>Throws</t>
        </is>
      </c>
      <c r="E576" t="inlineStr">
        <is>
          <t>Tirrinia</t>
        </is>
      </c>
      <c r="F576" t="inlineStr">
        <is>
          <t>Coupon_Discount</t>
        </is>
      </c>
      <c r="G576" s="48" t="n">
        <v>0</v>
      </c>
      <c r="H576" s="49" t="n">
        <v>0</v>
      </c>
      <c r="I576" s="49" t="n">
        <v>0</v>
      </c>
      <c r="J576" s="50" t="n">
        <v>0</v>
      </c>
      <c r="K576" s="51" t="n">
        <v>0</v>
      </c>
      <c r="L576" s="52" t="n">
        <v>0</v>
      </c>
      <c r="M576" s="52" t="n">
        <v>0</v>
      </c>
      <c r="N576" s="52" t="n">
        <v>0</v>
      </c>
      <c r="O576" s="53" t="n">
        <v>0</v>
      </c>
      <c r="P576" s="52" t="n">
        <v>0</v>
      </c>
      <c r="Q576" s="53" t="n">
        <v>0</v>
      </c>
      <c r="R576" s="52" t="n">
        <v>0</v>
      </c>
      <c r="S576" s="51" t="n">
        <v>0</v>
      </c>
      <c r="T576" s="48" t="n">
        <v>0</v>
      </c>
      <c r="U576" s="49" t="n">
        <v>0</v>
      </c>
      <c r="V576" s="49" t="n">
        <v>0</v>
      </c>
      <c r="W576" s="50" t="n">
        <v>0</v>
      </c>
      <c r="X576" s="51" t="n">
        <v>0</v>
      </c>
      <c r="Y576" s="52" t="n">
        <v>0</v>
      </c>
      <c r="Z576" s="52" t="n">
        <v>0</v>
      </c>
      <c r="AA576" s="52" t="n">
        <v>0</v>
      </c>
      <c r="AB576" s="53" t="n">
        <v>0</v>
      </c>
      <c r="AC576" s="52" t="n">
        <v>0</v>
      </c>
      <c r="AD576" s="53" t="n">
        <v>0</v>
      </c>
      <c r="AE576" s="52" t="n">
        <v>0</v>
      </c>
      <c r="AF576" s="51" t="n">
        <v>0</v>
      </c>
      <c r="AG576" s="48" t="n">
        <v>0</v>
      </c>
      <c r="AH576" s="49" t="n">
        <v>0</v>
      </c>
      <c r="AI576" s="49" t="n">
        <v>0</v>
      </c>
      <c r="AJ576" s="50" t="n">
        <v>0</v>
      </c>
      <c r="AK576" s="51" t="n">
        <v>0</v>
      </c>
      <c r="AL576" s="52" t="n">
        <v>0</v>
      </c>
      <c r="AM576" s="52" t="n">
        <v>0</v>
      </c>
      <c r="AN576" s="52" t="n">
        <v>0</v>
      </c>
      <c r="AO576" s="53" t="n">
        <v>0</v>
      </c>
      <c r="AP576" s="52" t="n">
        <v>0</v>
      </c>
      <c r="AQ576" s="53" t="n">
        <v>0</v>
      </c>
      <c r="AR576" s="52" t="n">
        <v>0</v>
      </c>
      <c r="AS576" s="51" t="n">
        <v>0</v>
      </c>
      <c r="AT576" s="48" t="n">
        <v>0</v>
      </c>
      <c r="AU576" s="49" t="n">
        <v>0</v>
      </c>
      <c r="AV576" s="49" t="n">
        <v>0</v>
      </c>
      <c r="AW576" s="50" t="n">
        <v>0</v>
      </c>
      <c r="AX576" s="51" t="n">
        <v>0</v>
      </c>
      <c r="AY576" s="52" t="n">
        <v>0</v>
      </c>
      <c r="AZ576" s="52" t="n">
        <v>0</v>
      </c>
      <c r="BA576" s="52" t="n">
        <v>0</v>
      </c>
      <c r="BB576" s="53" t="n">
        <v>0</v>
      </c>
      <c r="BC576" s="52" t="n">
        <v>0</v>
      </c>
      <c r="BD576" s="53" t="n">
        <v>0</v>
      </c>
      <c r="BE576" s="52" t="n">
        <v>0</v>
      </c>
      <c r="BF576" s="51" t="n">
        <v>0</v>
      </c>
    </row>
    <row r="577">
      <c r="A577">
        <f>HYPERLINK("https://www.walmart.com/ip/507968761", "507968761")</f>
        <v/>
      </c>
      <c r="B577" t="inlineStr">
        <is>
          <t>Woman Hoodie Sweatshirt Poncho, Casual Batwing Cape Wrap Coat, Pullover Wearable Blanket</t>
        </is>
      </c>
      <c r="C577" t="inlineStr">
        <is>
          <t>1WMHD540S1BK</t>
        </is>
      </c>
      <c r="D577" t="inlineStr">
        <is>
          <t>Sweatshirts &amp; Hoodies</t>
        </is>
      </c>
      <c r="E577" t="inlineStr">
        <is>
          <t>Flyingstar</t>
        </is>
      </c>
      <c r="F577" t="inlineStr">
        <is>
          <t>Hoodie ForAdult,Optimized</t>
        </is>
      </c>
      <c r="G577" s="48" t="n">
        <v>0</v>
      </c>
      <c r="H577" s="49" t="n">
        <v>0</v>
      </c>
      <c r="I577" s="49" t="n">
        <v>0</v>
      </c>
      <c r="J577" s="50" t="n">
        <v>0</v>
      </c>
      <c r="K577" s="51" t="n">
        <v>0</v>
      </c>
      <c r="L577" s="52" t="n">
        <v>0</v>
      </c>
      <c r="M577" s="52" t="n">
        <v>0</v>
      </c>
      <c r="N577" s="52" t="n">
        <v>0</v>
      </c>
      <c r="O577" s="53" t="n">
        <v>0</v>
      </c>
      <c r="P577" s="52" t="n">
        <v>0</v>
      </c>
      <c r="Q577" s="53" t="n">
        <v>0</v>
      </c>
      <c r="R577" s="52" t="n">
        <v>0</v>
      </c>
      <c r="S577" s="51" t="n">
        <v>0</v>
      </c>
      <c r="T577" s="48" t="n">
        <v>0</v>
      </c>
      <c r="U577" s="49" t="n">
        <v>0</v>
      </c>
      <c r="V577" s="49" t="n">
        <v>0</v>
      </c>
      <c r="W577" s="50" t="n">
        <v>0</v>
      </c>
      <c r="X577" s="51" t="n">
        <v>0</v>
      </c>
      <c r="Y577" s="52" t="n">
        <v>0</v>
      </c>
      <c r="Z577" s="52" t="n">
        <v>0</v>
      </c>
      <c r="AA577" s="52" t="n">
        <v>0</v>
      </c>
      <c r="AB577" s="53" t="n">
        <v>0</v>
      </c>
      <c r="AC577" s="52" t="n">
        <v>0</v>
      </c>
      <c r="AD577" s="53" t="n">
        <v>0</v>
      </c>
      <c r="AE577" s="52" t="n">
        <v>0</v>
      </c>
      <c r="AF577" s="51" t="n">
        <v>0</v>
      </c>
      <c r="AG577" s="48" t="n">
        <v>0</v>
      </c>
      <c r="AH577" s="49" t="n">
        <v>0</v>
      </c>
      <c r="AI577" s="49" t="n">
        <v>0</v>
      </c>
      <c r="AJ577" s="50" t="n">
        <v>0</v>
      </c>
      <c r="AK577" s="51" t="n">
        <v>0</v>
      </c>
      <c r="AL577" s="52" t="n">
        <v>0</v>
      </c>
      <c r="AM577" s="52" t="n">
        <v>0</v>
      </c>
      <c r="AN577" s="52" t="n">
        <v>0</v>
      </c>
      <c r="AO577" s="53" t="n">
        <v>0</v>
      </c>
      <c r="AP577" s="52" t="n">
        <v>0</v>
      </c>
      <c r="AQ577" s="53" t="n">
        <v>0</v>
      </c>
      <c r="AR577" s="52" t="n">
        <v>0</v>
      </c>
      <c r="AS577" s="51" t="n">
        <v>0</v>
      </c>
      <c r="AT577" s="48" t="n">
        <v>0</v>
      </c>
      <c r="AU577" s="49" t="n">
        <v>0</v>
      </c>
      <c r="AV577" s="49" t="n">
        <v>0</v>
      </c>
      <c r="AW577" s="50" t="n">
        <v>0</v>
      </c>
      <c r="AX577" s="51" t="n">
        <v>0</v>
      </c>
      <c r="AY577" s="52" t="n">
        <v>0</v>
      </c>
      <c r="AZ577" s="52" t="n">
        <v>0</v>
      </c>
      <c r="BA577" s="52" t="n">
        <v>0</v>
      </c>
      <c r="BB577" s="53" t="n">
        <v>0</v>
      </c>
      <c r="BC577" s="52" t="n">
        <v>0</v>
      </c>
      <c r="BD577" s="53" t="n">
        <v>0</v>
      </c>
      <c r="BE577" s="52" t="n">
        <v>0</v>
      </c>
      <c r="BF577" s="51" t="n">
        <v>0</v>
      </c>
    </row>
    <row r="578">
      <c r="A578">
        <f>HYPERLINK("https://www.walmart.com/ip/5080914928", "5080914928")</f>
        <v/>
      </c>
      <c r="B578" t="inlineStr">
        <is>
          <t>Tirrinia Sherpa Wearable Blanket for Adult Women and Men, Super Soft Comfy Warm Plush Throw with Sleeves TV Blanket Wrap Robe Cover for Sofa, Couch 72" x 55" Blue Love Art</t>
        </is>
      </c>
      <c r="C578" t="inlineStr">
        <is>
          <t>1TRSN110LOVEARTBL</t>
        </is>
      </c>
      <c r="D578" t="inlineStr">
        <is>
          <t>Throws</t>
        </is>
      </c>
      <c r="E578" t="inlineStr">
        <is>
          <t>Terrania</t>
        </is>
      </c>
      <c r="G578" s="48" t="n">
        <v>0</v>
      </c>
      <c r="H578" s="49" t="n">
        <v>0</v>
      </c>
      <c r="I578" s="49" t="n">
        <v>0</v>
      </c>
      <c r="J578" s="50" t="n">
        <v>0</v>
      </c>
      <c r="K578" s="51" t="n">
        <v>0</v>
      </c>
      <c r="L578" s="52" t="n">
        <v>0</v>
      </c>
      <c r="M578" s="52" t="n">
        <v>0</v>
      </c>
      <c r="N578" s="52" t="n">
        <v>0</v>
      </c>
      <c r="O578" s="53" t="n">
        <v>0</v>
      </c>
      <c r="P578" s="52" t="n">
        <v>0</v>
      </c>
      <c r="Q578" s="53" t="n">
        <v>0</v>
      </c>
      <c r="R578" s="52" t="n">
        <v>0</v>
      </c>
      <c r="S578" s="51" t="n">
        <v>0</v>
      </c>
      <c r="T578" s="48" t="n">
        <v>0</v>
      </c>
      <c r="U578" s="49" t="n">
        <v>0</v>
      </c>
      <c r="V578" s="49" t="n">
        <v>0</v>
      </c>
      <c r="W578" s="50" t="n">
        <v>0</v>
      </c>
      <c r="X578" s="51" t="n">
        <v>0</v>
      </c>
      <c r="Y578" s="52" t="n">
        <v>0</v>
      </c>
      <c r="Z578" s="52" t="n">
        <v>0</v>
      </c>
      <c r="AA578" s="52" t="n">
        <v>0</v>
      </c>
      <c r="AB578" s="53" t="n">
        <v>0</v>
      </c>
      <c r="AC578" s="52" t="n">
        <v>0</v>
      </c>
      <c r="AD578" s="53" t="n">
        <v>0</v>
      </c>
      <c r="AE578" s="52" t="n">
        <v>0</v>
      </c>
      <c r="AF578" s="51" t="n">
        <v>0</v>
      </c>
      <c r="AG578" s="48" t="n">
        <v>0</v>
      </c>
      <c r="AH578" s="49" t="n">
        <v>0</v>
      </c>
      <c r="AI578" s="49" t="n">
        <v>0</v>
      </c>
      <c r="AJ578" s="50" t="n">
        <v>0</v>
      </c>
      <c r="AK578" s="51" t="n">
        <v>0</v>
      </c>
      <c r="AL578" s="52" t="n">
        <v>0</v>
      </c>
      <c r="AM578" s="52" t="n">
        <v>0</v>
      </c>
      <c r="AN578" s="52" t="n">
        <v>0</v>
      </c>
      <c r="AO578" s="53" t="n">
        <v>0</v>
      </c>
      <c r="AP578" s="52" t="n">
        <v>0</v>
      </c>
      <c r="AQ578" s="53" t="n">
        <v>0</v>
      </c>
      <c r="AR578" s="52" t="n">
        <v>0</v>
      </c>
      <c r="AS578" s="51" t="n">
        <v>0</v>
      </c>
      <c r="AT578" s="48" t="n">
        <v>0</v>
      </c>
      <c r="AU578" s="49" t="n">
        <v>0</v>
      </c>
      <c r="AV578" s="49" t="n">
        <v>0</v>
      </c>
      <c r="AW578" s="50" t="n">
        <v>0</v>
      </c>
      <c r="AX578" s="51" t="n">
        <v>0</v>
      </c>
      <c r="AY578" s="52" t="n">
        <v>0</v>
      </c>
      <c r="AZ578" s="52" t="n">
        <v>0</v>
      </c>
      <c r="BA578" s="52" t="n">
        <v>0</v>
      </c>
      <c r="BB578" s="53" t="n">
        <v>0</v>
      </c>
      <c r="BC578" s="52" t="n">
        <v>0</v>
      </c>
      <c r="BD578" s="53" t="n">
        <v>0</v>
      </c>
      <c r="BE578" s="52" t="n">
        <v>0</v>
      </c>
      <c r="BF578" s="51" t="n">
        <v>0</v>
      </c>
    </row>
    <row r="579">
      <c r="A579">
        <f>HYPERLINK("https://www.walmart.com/ip/5082710724", "5082710724")</f>
        <v/>
      </c>
      <c r="B579" t="inlineStr">
        <is>
          <t>Tirrinia Sherpa Wearable Blanket for Adult Women and Men, Super Soft Comfy Warm Plush Throw with Sleeves TV Blanket Wrap Robe Cover for Sofa, Couch 72" x 55" Grey Avocado Cat</t>
        </is>
      </c>
      <c r="C579" t="inlineStr">
        <is>
          <t>1TRSN110AVOCADOCATGY</t>
        </is>
      </c>
      <c r="D579" t="inlineStr">
        <is>
          <t>Throws</t>
        </is>
      </c>
      <c r="E579" t="inlineStr">
        <is>
          <t>Terrania</t>
        </is>
      </c>
      <c r="G579" s="48" t="n">
        <v>0</v>
      </c>
      <c r="H579" s="49" t="n">
        <v>0</v>
      </c>
      <c r="I579" s="49" t="n">
        <v>0</v>
      </c>
      <c r="J579" s="50" t="n">
        <v>0</v>
      </c>
      <c r="K579" s="51" t="n">
        <v>0</v>
      </c>
      <c r="L579" s="52" t="n">
        <v>0</v>
      </c>
      <c r="M579" s="52" t="n">
        <v>0</v>
      </c>
      <c r="N579" s="52" t="n">
        <v>0</v>
      </c>
      <c r="O579" s="53" t="n">
        <v>0</v>
      </c>
      <c r="P579" s="52" t="n">
        <v>0</v>
      </c>
      <c r="Q579" s="53" t="n">
        <v>0</v>
      </c>
      <c r="R579" s="52" t="n">
        <v>0</v>
      </c>
      <c r="S579" s="51" t="n">
        <v>0</v>
      </c>
      <c r="T579" s="48" t="n">
        <v>0</v>
      </c>
      <c r="U579" s="49" t="n">
        <v>0</v>
      </c>
      <c r="V579" s="49" t="n">
        <v>0</v>
      </c>
      <c r="W579" s="50" t="n">
        <v>0</v>
      </c>
      <c r="X579" s="51" t="n">
        <v>0</v>
      </c>
      <c r="Y579" s="52" t="n">
        <v>0</v>
      </c>
      <c r="Z579" s="52" t="n">
        <v>0</v>
      </c>
      <c r="AA579" s="52" t="n">
        <v>0</v>
      </c>
      <c r="AB579" s="53" t="n">
        <v>0</v>
      </c>
      <c r="AC579" s="52" t="n">
        <v>0</v>
      </c>
      <c r="AD579" s="53" t="n">
        <v>0</v>
      </c>
      <c r="AE579" s="52" t="n">
        <v>0</v>
      </c>
      <c r="AF579" s="51" t="n">
        <v>0</v>
      </c>
      <c r="AG579" s="48" t="n">
        <v>0</v>
      </c>
      <c r="AH579" s="49" t="n">
        <v>0</v>
      </c>
      <c r="AI579" s="49" t="n">
        <v>0</v>
      </c>
      <c r="AJ579" s="50" t="n">
        <v>0</v>
      </c>
      <c r="AK579" s="51" t="n">
        <v>0</v>
      </c>
      <c r="AL579" s="52" t="n">
        <v>0</v>
      </c>
      <c r="AM579" s="52" t="n">
        <v>0</v>
      </c>
      <c r="AN579" s="52" t="n">
        <v>0</v>
      </c>
      <c r="AO579" s="53" t="n">
        <v>0</v>
      </c>
      <c r="AP579" s="52" t="n">
        <v>0</v>
      </c>
      <c r="AQ579" s="53" t="n">
        <v>0</v>
      </c>
      <c r="AR579" s="52" t="n">
        <v>0</v>
      </c>
      <c r="AS579" s="51" t="n">
        <v>0</v>
      </c>
      <c r="AT579" s="48" t="n">
        <v>0</v>
      </c>
      <c r="AU579" s="49" t="n">
        <v>0</v>
      </c>
      <c r="AV579" s="49" t="n">
        <v>0</v>
      </c>
      <c r="AW579" s="50" t="n">
        <v>0</v>
      </c>
      <c r="AX579" s="51" t="n">
        <v>0</v>
      </c>
      <c r="AY579" s="52" t="n">
        <v>0</v>
      </c>
      <c r="AZ579" s="52" t="n">
        <v>0</v>
      </c>
      <c r="BA579" s="52" t="n">
        <v>0</v>
      </c>
      <c r="BB579" s="53" t="n">
        <v>0</v>
      </c>
      <c r="BC579" s="52" t="n">
        <v>0</v>
      </c>
      <c r="BD579" s="53" t="n">
        <v>0</v>
      </c>
      <c r="BE579" s="52" t="n">
        <v>0</v>
      </c>
      <c r="BF579" s="51" t="n">
        <v>0</v>
      </c>
    </row>
    <row r="580">
      <c r="A580">
        <f>HYPERLINK("https://www.walmart.com/ip/5100707754", "5100707754")</f>
        <v/>
      </c>
      <c r="B580" t="inlineStr">
        <is>
          <t>Tirrinia Women's Plush Soft Robe - Fluffy, Warm, and Fleece Sherpa Shaggy Bathrobe for Ultimate Comfort, Machine Washable, Large Size, Grey</t>
        </is>
      </c>
      <c r="C580" t="inlineStr">
        <is>
          <t>1TRRB503GY-4</t>
        </is>
      </c>
      <c r="D580" t="inlineStr">
        <is>
          <t>Sleepwear Robes &amp; Bathrobes</t>
        </is>
      </c>
      <c r="E580" t="inlineStr">
        <is>
          <t>Tirrinia</t>
        </is>
      </c>
      <c r="F580" t="inlineStr">
        <is>
          <t>Bathrobe,Coupon_Discount</t>
        </is>
      </c>
      <c r="G580" s="48" t="n">
        <v>0</v>
      </c>
      <c r="H580" s="49" t="n">
        <v>0</v>
      </c>
      <c r="I580" s="49" t="n">
        <v>0</v>
      </c>
      <c r="J580" s="50" t="n">
        <v>0</v>
      </c>
      <c r="K580" s="51" t="n">
        <v>0</v>
      </c>
      <c r="L580" s="52" t="n">
        <v>0</v>
      </c>
      <c r="M580" s="52" t="n">
        <v>0</v>
      </c>
      <c r="N580" s="52" t="n">
        <v>0</v>
      </c>
      <c r="O580" s="53" t="n">
        <v>0</v>
      </c>
      <c r="P580" s="52" t="n">
        <v>0</v>
      </c>
      <c r="Q580" s="53" t="n">
        <v>0</v>
      </c>
      <c r="R580" s="52" t="n">
        <v>0</v>
      </c>
      <c r="S580" s="51" t="n">
        <v>0</v>
      </c>
      <c r="T580" s="48" t="n">
        <v>0</v>
      </c>
      <c r="U580" s="49" t="n">
        <v>0</v>
      </c>
      <c r="V580" s="49" t="n">
        <v>0</v>
      </c>
      <c r="W580" s="50" t="n">
        <v>0</v>
      </c>
      <c r="X580" s="51" t="n">
        <v>0</v>
      </c>
      <c r="Y580" s="52" t="n">
        <v>0</v>
      </c>
      <c r="Z580" s="52" t="n">
        <v>0</v>
      </c>
      <c r="AA580" s="52" t="n">
        <v>0</v>
      </c>
      <c r="AB580" s="53" t="n">
        <v>0</v>
      </c>
      <c r="AC580" s="52" t="n">
        <v>0</v>
      </c>
      <c r="AD580" s="53" t="n">
        <v>0</v>
      </c>
      <c r="AE580" s="52" t="n">
        <v>0</v>
      </c>
      <c r="AF580" s="51" t="n">
        <v>0</v>
      </c>
      <c r="AG580" s="48" t="n">
        <v>0</v>
      </c>
      <c r="AH580" s="49" t="n">
        <v>0</v>
      </c>
      <c r="AI580" s="49" t="n">
        <v>0</v>
      </c>
      <c r="AJ580" s="50" t="n">
        <v>0</v>
      </c>
      <c r="AK580" s="51" t="n">
        <v>0</v>
      </c>
      <c r="AL580" s="52" t="n">
        <v>0</v>
      </c>
      <c r="AM580" s="52" t="n">
        <v>0</v>
      </c>
      <c r="AN580" s="52" t="n">
        <v>0</v>
      </c>
      <c r="AO580" s="53" t="n">
        <v>0</v>
      </c>
      <c r="AP580" s="52" t="n">
        <v>0</v>
      </c>
      <c r="AQ580" s="53" t="n">
        <v>0</v>
      </c>
      <c r="AR580" s="52" t="n">
        <v>0</v>
      </c>
      <c r="AS580" s="51" t="n">
        <v>0</v>
      </c>
      <c r="AT580" s="48" t="n">
        <v>0</v>
      </c>
      <c r="AU580" s="49" t="n">
        <v>0</v>
      </c>
      <c r="AV580" s="49" t="n">
        <v>0</v>
      </c>
      <c r="AW580" s="50" t="n">
        <v>0</v>
      </c>
      <c r="AX580" s="51" t="n">
        <v>0</v>
      </c>
      <c r="AY580" s="52" t="n">
        <v>0</v>
      </c>
      <c r="AZ580" s="52" t="n">
        <v>0</v>
      </c>
      <c r="BA580" s="52" t="n">
        <v>0</v>
      </c>
      <c r="BB580" s="53" t="n">
        <v>0</v>
      </c>
      <c r="BC580" s="52" t="n">
        <v>0</v>
      </c>
      <c r="BD580" s="53" t="n">
        <v>0</v>
      </c>
      <c r="BE580" s="52" t="n">
        <v>0</v>
      </c>
      <c r="BF580" s="51" t="n">
        <v>0</v>
      </c>
    </row>
    <row r="581">
      <c r="A581">
        <f>HYPERLINK("https://www.walmart.com/ip/5082710735", "5082710735")</f>
        <v/>
      </c>
      <c r="B581" t="inlineStr">
        <is>
          <t>Tirrinia Sherpa Wearable Blanket for Adult Women and Men, Super Soft Comfy Warm Plush Fleece Blanket with Sleeves, Wrap Robe Cover for Sofa and Couch, White ABS Tractface, 55" x 72''</t>
        </is>
      </c>
      <c r="C581" t="inlineStr">
        <is>
          <t>1TRSN110ABSTRACTFACEWT</t>
        </is>
      </c>
      <c r="D581" t="inlineStr">
        <is>
          <t>Throws</t>
        </is>
      </c>
      <c r="E581" t="inlineStr">
        <is>
          <t>Terrania</t>
        </is>
      </c>
      <c r="G581" s="48" t="n">
        <v>0</v>
      </c>
      <c r="H581" s="49" t="n">
        <v>0</v>
      </c>
      <c r="I581" s="49" t="n">
        <v>0</v>
      </c>
      <c r="J581" s="50" t="n">
        <v>0</v>
      </c>
      <c r="K581" s="51" t="n">
        <v>0</v>
      </c>
      <c r="L581" s="52" t="n">
        <v>0</v>
      </c>
      <c r="M581" s="52" t="n">
        <v>0</v>
      </c>
      <c r="N581" s="52" t="n">
        <v>0</v>
      </c>
      <c r="O581" s="53" t="n">
        <v>0</v>
      </c>
      <c r="P581" s="52" t="n">
        <v>0</v>
      </c>
      <c r="Q581" s="53" t="n">
        <v>0</v>
      </c>
      <c r="R581" s="52" t="n">
        <v>0</v>
      </c>
      <c r="S581" s="51" t="n">
        <v>0</v>
      </c>
      <c r="T581" s="48" t="n">
        <v>0</v>
      </c>
      <c r="U581" s="49" t="n">
        <v>0</v>
      </c>
      <c r="V581" s="49" t="n">
        <v>0</v>
      </c>
      <c r="W581" s="50" t="n">
        <v>0</v>
      </c>
      <c r="X581" s="51" t="n">
        <v>0</v>
      </c>
      <c r="Y581" s="52" t="n">
        <v>0</v>
      </c>
      <c r="Z581" s="52" t="n">
        <v>0</v>
      </c>
      <c r="AA581" s="52" t="n">
        <v>0</v>
      </c>
      <c r="AB581" s="53" t="n">
        <v>0</v>
      </c>
      <c r="AC581" s="52" t="n">
        <v>0</v>
      </c>
      <c r="AD581" s="53" t="n">
        <v>0</v>
      </c>
      <c r="AE581" s="52" t="n">
        <v>0</v>
      </c>
      <c r="AF581" s="51" t="n">
        <v>0</v>
      </c>
      <c r="AG581" s="48" t="n">
        <v>0</v>
      </c>
      <c r="AH581" s="49" t="n">
        <v>0</v>
      </c>
      <c r="AI581" s="49" t="n">
        <v>0</v>
      </c>
      <c r="AJ581" s="50" t="n">
        <v>0</v>
      </c>
      <c r="AK581" s="51" t="n">
        <v>0</v>
      </c>
      <c r="AL581" s="52" t="n">
        <v>0</v>
      </c>
      <c r="AM581" s="52" t="n">
        <v>0</v>
      </c>
      <c r="AN581" s="52" t="n">
        <v>0</v>
      </c>
      <c r="AO581" s="53" t="n">
        <v>0</v>
      </c>
      <c r="AP581" s="52" t="n">
        <v>0</v>
      </c>
      <c r="AQ581" s="53" t="n">
        <v>0</v>
      </c>
      <c r="AR581" s="52" t="n">
        <v>0</v>
      </c>
      <c r="AS581" s="51" t="n">
        <v>0</v>
      </c>
      <c r="AT581" s="48" t="n">
        <v>0</v>
      </c>
      <c r="AU581" s="49" t="n">
        <v>0</v>
      </c>
      <c r="AV581" s="49" t="n">
        <v>0</v>
      </c>
      <c r="AW581" s="50" t="n">
        <v>0</v>
      </c>
      <c r="AX581" s="51" t="n">
        <v>0</v>
      </c>
      <c r="AY581" s="52" t="n">
        <v>0</v>
      </c>
      <c r="AZ581" s="52" t="n">
        <v>0</v>
      </c>
      <c r="BA581" s="52" t="n">
        <v>0</v>
      </c>
      <c r="BB581" s="53" t="n">
        <v>0</v>
      </c>
      <c r="BC581" s="52" t="n">
        <v>0</v>
      </c>
      <c r="BD581" s="53" t="n">
        <v>0</v>
      </c>
      <c r="BE581" s="52" t="n">
        <v>0</v>
      </c>
      <c r="BF581" s="51" t="n">
        <v>0</v>
      </c>
    </row>
    <row r="582">
      <c r="A582">
        <f>HYPERLINK("https://www.walmart.com/ip/5082823363", "5082823363")</f>
        <v/>
      </c>
      <c r="B582" t="inlineStr">
        <is>
          <t>Catalonia Wearable Blanket with Sleeves and Pocket, Cozy Soft Fleece Micro Plush Wrap Adult Snuggie Blanket Robe for Women Men, Grey Santa and Deer Pattern Makes a Great Gift for Holidays.</t>
        </is>
      </c>
      <c r="C582" t="inlineStr">
        <is>
          <t>1CTSN100SANTAANDDEERGY</t>
        </is>
      </c>
      <c r="D582" t="inlineStr">
        <is>
          <t>Throws</t>
        </is>
      </c>
      <c r="E582" t="inlineStr">
        <is>
          <t>Catalonia</t>
        </is>
      </c>
      <c r="G582" s="48" t="n">
        <v>0</v>
      </c>
      <c r="H582" s="49" t="n">
        <v>0</v>
      </c>
      <c r="I582" s="49" t="n">
        <v>0</v>
      </c>
      <c r="J582" s="50" t="n">
        <v>0</v>
      </c>
      <c r="K582" s="51" t="n">
        <v>0</v>
      </c>
      <c r="L582" s="52" t="n">
        <v>0</v>
      </c>
      <c r="M582" s="52" t="n">
        <v>0</v>
      </c>
      <c r="N582" s="52" t="n">
        <v>0</v>
      </c>
      <c r="O582" s="53" t="n">
        <v>0</v>
      </c>
      <c r="P582" s="52" t="n">
        <v>0</v>
      </c>
      <c r="Q582" s="53" t="n">
        <v>0</v>
      </c>
      <c r="R582" s="52" t="n">
        <v>0</v>
      </c>
      <c r="S582" s="51" t="n">
        <v>0</v>
      </c>
      <c r="T582" s="48" t="n">
        <v>0</v>
      </c>
      <c r="U582" s="49" t="n">
        <v>0</v>
      </c>
      <c r="V582" s="49" t="n">
        <v>0</v>
      </c>
      <c r="W582" s="50" t="n">
        <v>0</v>
      </c>
      <c r="X582" s="51" t="n">
        <v>0</v>
      </c>
      <c r="Y582" s="52" t="n">
        <v>0</v>
      </c>
      <c r="Z582" s="52" t="n">
        <v>0</v>
      </c>
      <c r="AA582" s="52" t="n">
        <v>0</v>
      </c>
      <c r="AB582" s="53" t="n">
        <v>0</v>
      </c>
      <c r="AC582" s="52" t="n">
        <v>0</v>
      </c>
      <c r="AD582" s="53" t="n">
        <v>0</v>
      </c>
      <c r="AE582" s="52" t="n">
        <v>0</v>
      </c>
      <c r="AF582" s="51" t="n">
        <v>0</v>
      </c>
      <c r="AG582" s="48" t="n">
        <v>0</v>
      </c>
      <c r="AH582" s="49" t="n">
        <v>0</v>
      </c>
      <c r="AI582" s="49" t="n">
        <v>0</v>
      </c>
      <c r="AJ582" s="50" t="n">
        <v>0</v>
      </c>
      <c r="AK582" s="51" t="n">
        <v>0</v>
      </c>
      <c r="AL582" s="52" t="n">
        <v>0</v>
      </c>
      <c r="AM582" s="52" t="n">
        <v>0</v>
      </c>
      <c r="AN582" s="52" t="n">
        <v>0</v>
      </c>
      <c r="AO582" s="53" t="n">
        <v>0</v>
      </c>
      <c r="AP582" s="52" t="n">
        <v>0</v>
      </c>
      <c r="AQ582" s="53" t="n">
        <v>0</v>
      </c>
      <c r="AR582" s="52" t="n">
        <v>0</v>
      </c>
      <c r="AS582" s="51" t="n">
        <v>0</v>
      </c>
      <c r="AT582" s="48" t="n">
        <v>0</v>
      </c>
      <c r="AU582" s="49" t="n">
        <v>0</v>
      </c>
      <c r="AV582" s="49" t="n">
        <v>0</v>
      </c>
      <c r="AW582" s="50" t="n">
        <v>0</v>
      </c>
      <c r="AX582" s="51" t="n">
        <v>0</v>
      </c>
      <c r="AY582" s="52" t="n">
        <v>0</v>
      </c>
      <c r="AZ582" s="52" t="n">
        <v>0</v>
      </c>
      <c r="BA582" s="52" t="n">
        <v>0</v>
      </c>
      <c r="BB582" s="53" t="n">
        <v>0</v>
      </c>
      <c r="BC582" s="52" t="n">
        <v>0</v>
      </c>
      <c r="BD582" s="53" t="n">
        <v>0</v>
      </c>
      <c r="BE582" s="52" t="n">
        <v>0</v>
      </c>
      <c r="BF582" s="51" t="n">
        <v>0</v>
      </c>
    </row>
    <row r="583">
      <c r="A583">
        <f>HYPERLINK("https://www.walmart.com/ip/508488567", "508488567")</f>
        <v/>
      </c>
      <c r="B583" t="inlineStr">
        <is>
          <t>Child Cotton Hooded Poncho Towels Mermaid Cartoon Changing Robe Swimmer Beach</t>
        </is>
      </c>
      <c r="C583" t="inlineStr">
        <is>
          <t>1TRBR200-MM</t>
        </is>
      </c>
      <c r="D583" t="inlineStr">
        <is>
          <t>Towels &amp; Washcloths</t>
        </is>
      </c>
      <c r="E583" t="inlineStr">
        <is>
          <t>Tirrinia</t>
        </is>
      </c>
      <c r="F583" t="inlineStr">
        <is>
          <t>Baby days,Beach Robe Camp</t>
        </is>
      </c>
      <c r="G583" s="48" t="n">
        <v>0</v>
      </c>
      <c r="H583" s="49" t="n">
        <v>0</v>
      </c>
      <c r="I583" s="49" t="n">
        <v>0</v>
      </c>
      <c r="J583" s="50" t="n">
        <v>0</v>
      </c>
      <c r="K583" s="51" t="n">
        <v>0</v>
      </c>
      <c r="L583" s="52" t="n">
        <v>0</v>
      </c>
      <c r="M583" s="52" t="n">
        <v>0</v>
      </c>
      <c r="N583" s="52" t="n">
        <v>0</v>
      </c>
      <c r="O583" s="53" t="n">
        <v>0</v>
      </c>
      <c r="P583" s="52" t="n">
        <v>0</v>
      </c>
      <c r="Q583" s="53" t="n">
        <v>0</v>
      </c>
      <c r="R583" s="52" t="n">
        <v>0</v>
      </c>
      <c r="S583" s="51" t="n">
        <v>0</v>
      </c>
      <c r="T583" s="48" t="n">
        <v>0</v>
      </c>
      <c r="U583" s="49" t="n">
        <v>0</v>
      </c>
      <c r="V583" s="49" t="n">
        <v>0</v>
      </c>
      <c r="W583" s="50" t="n">
        <v>0</v>
      </c>
      <c r="X583" s="51" t="n">
        <v>0</v>
      </c>
      <c r="Y583" s="52" t="n">
        <v>0</v>
      </c>
      <c r="Z583" s="52" t="n">
        <v>0</v>
      </c>
      <c r="AA583" s="52" t="n">
        <v>0</v>
      </c>
      <c r="AB583" s="53" t="n">
        <v>0</v>
      </c>
      <c r="AC583" s="52" t="n">
        <v>0</v>
      </c>
      <c r="AD583" s="53" t="n">
        <v>0</v>
      </c>
      <c r="AE583" s="52" t="n">
        <v>0</v>
      </c>
      <c r="AF583" s="51" t="n">
        <v>0</v>
      </c>
      <c r="AG583" s="48" t="n">
        <v>0</v>
      </c>
      <c r="AH583" s="49" t="n">
        <v>0</v>
      </c>
      <c r="AI583" s="49" t="n">
        <v>0</v>
      </c>
      <c r="AJ583" s="50" t="n">
        <v>0</v>
      </c>
      <c r="AK583" s="51" t="n">
        <v>0</v>
      </c>
      <c r="AL583" s="52" t="n">
        <v>0</v>
      </c>
      <c r="AM583" s="52" t="n">
        <v>0</v>
      </c>
      <c r="AN583" s="52" t="n">
        <v>0</v>
      </c>
      <c r="AO583" s="53" t="n">
        <v>0</v>
      </c>
      <c r="AP583" s="52" t="n">
        <v>0</v>
      </c>
      <c r="AQ583" s="53" t="n">
        <v>0</v>
      </c>
      <c r="AR583" s="52" t="n">
        <v>0</v>
      </c>
      <c r="AS583" s="51" t="n">
        <v>0</v>
      </c>
      <c r="AT583" s="48" t="n">
        <v>-17.99</v>
      </c>
      <c r="AU583" s="49" t="n">
        <v>-1</v>
      </c>
      <c r="AV583" s="49" t="n">
        <v>0</v>
      </c>
      <c r="AW583" s="50" t="n">
        <v>0</v>
      </c>
      <c r="AX583" s="51" t="n">
        <v>0</v>
      </c>
      <c r="AY583" s="52" t="n">
        <v>0</v>
      </c>
      <c r="AZ583" s="52" t="n">
        <v>0</v>
      </c>
      <c r="BA583" s="52" t="n">
        <v>0</v>
      </c>
      <c r="BB583" s="53" t="n">
        <v>0</v>
      </c>
      <c r="BC583" s="52" t="n">
        <v>0</v>
      </c>
      <c r="BD583" s="53" t="n">
        <v>0</v>
      </c>
      <c r="BE583" s="52" t="n">
        <v>0</v>
      </c>
      <c r="BF583" s="51" t="n">
        <v>0</v>
      </c>
    </row>
    <row r="584">
      <c r="A584">
        <f>HYPERLINK("https://www.walmart.com/ip/508650756", "508650756")</f>
        <v/>
      </c>
      <c r="B584" t="inlineStr">
        <is>
          <t>Microplush Sherpa Blanket with Sleeves for Women and Men</t>
        </is>
      </c>
      <c r="C584" t="inlineStr">
        <is>
          <t>1TRSN110PRD</t>
        </is>
      </c>
      <c r="D584" t="inlineStr">
        <is>
          <t>Throws</t>
        </is>
      </c>
      <c r="E584" t="inlineStr">
        <is>
          <t>Tirrinia</t>
        </is>
      </c>
      <c r="F584" t="inlineStr">
        <is>
          <t>WFS,Coupon_Discount,WFS Item</t>
        </is>
      </c>
      <c r="G584" s="48" t="n">
        <v>0</v>
      </c>
      <c r="H584" s="49" t="n">
        <v>0</v>
      </c>
      <c r="I584" s="49" t="n">
        <v>0</v>
      </c>
      <c r="J584" s="50" t="n">
        <v>0</v>
      </c>
      <c r="K584" s="51" t="n">
        <v>0</v>
      </c>
      <c r="L584" s="52" t="n">
        <v>0</v>
      </c>
      <c r="M584" s="52" t="n">
        <v>0</v>
      </c>
      <c r="N584" s="52" t="n">
        <v>0</v>
      </c>
      <c r="O584" s="53" t="n">
        <v>0</v>
      </c>
      <c r="P584" s="52" t="n">
        <v>0</v>
      </c>
      <c r="Q584" s="53" t="n">
        <v>0</v>
      </c>
      <c r="R584" s="52" t="n">
        <v>0</v>
      </c>
      <c r="S584" s="51" t="n">
        <v>0</v>
      </c>
      <c r="T584" s="48" t="n">
        <v>0</v>
      </c>
      <c r="U584" s="49" t="n">
        <v>0</v>
      </c>
      <c r="V584" s="49" t="n">
        <v>0</v>
      </c>
      <c r="W584" s="50" t="n">
        <v>0</v>
      </c>
      <c r="X584" s="51" t="n">
        <v>0</v>
      </c>
      <c r="Y584" s="52" t="n">
        <v>0</v>
      </c>
      <c r="Z584" s="52" t="n">
        <v>0</v>
      </c>
      <c r="AA584" s="52" t="n">
        <v>0</v>
      </c>
      <c r="AB584" s="53" t="n">
        <v>0</v>
      </c>
      <c r="AC584" s="52" t="n">
        <v>0</v>
      </c>
      <c r="AD584" s="53" t="n">
        <v>0</v>
      </c>
      <c r="AE584" s="52" t="n">
        <v>0</v>
      </c>
      <c r="AF584" s="51" t="n">
        <v>0</v>
      </c>
      <c r="AG584" s="48" t="n">
        <v>0</v>
      </c>
      <c r="AH584" s="49" t="n">
        <v>0</v>
      </c>
      <c r="AI584" s="49" t="n">
        <v>0</v>
      </c>
      <c r="AJ584" s="50" t="n">
        <v>0</v>
      </c>
      <c r="AK584" s="51" t="n">
        <v>0</v>
      </c>
      <c r="AL584" s="52" t="n">
        <v>0</v>
      </c>
      <c r="AM584" s="52" t="n">
        <v>0</v>
      </c>
      <c r="AN584" s="52" t="n">
        <v>0</v>
      </c>
      <c r="AO584" s="53" t="n">
        <v>0</v>
      </c>
      <c r="AP584" s="52" t="n">
        <v>0</v>
      </c>
      <c r="AQ584" s="53" t="n">
        <v>0</v>
      </c>
      <c r="AR584" s="52" t="n">
        <v>0</v>
      </c>
      <c r="AS584" s="51" t="n">
        <v>0</v>
      </c>
      <c r="AT584" s="48" t="n">
        <v>0</v>
      </c>
      <c r="AU584" s="49" t="n">
        <v>0</v>
      </c>
      <c r="AV584" s="49" t="n">
        <v>0</v>
      </c>
      <c r="AW584" s="50" t="n">
        <v>0</v>
      </c>
      <c r="AX584" s="51" t="n">
        <v>0</v>
      </c>
      <c r="AY584" s="52" t="n">
        <v>0</v>
      </c>
      <c r="AZ584" s="52" t="n">
        <v>0</v>
      </c>
      <c r="BA584" s="52" t="n">
        <v>0</v>
      </c>
      <c r="BB584" s="53" t="n">
        <v>0</v>
      </c>
      <c r="BC584" s="52" t="n">
        <v>0</v>
      </c>
      <c r="BD584" s="53" t="n">
        <v>0</v>
      </c>
      <c r="BE584" s="52" t="n">
        <v>0</v>
      </c>
      <c r="BF584" s="51" t="n">
        <v>0</v>
      </c>
    </row>
    <row r="585">
      <c r="A585">
        <f>HYPERLINK("https://www.walmart.com/ip/508797320", "508797320")</f>
        <v/>
      </c>
      <c r="B585" t="inlineStr">
        <is>
          <t>Terra Bed Blankets, Bedspreads, Bed throws, Soft Cozy Reversible Fuzzy Blanket  50" W x 60" L, Latte</t>
        </is>
      </c>
      <c r="C585" t="inlineStr">
        <is>
          <t>1TRK9000BR-JWCB</t>
        </is>
      </c>
      <c r="D585" t="inlineStr">
        <is>
          <t>Throws</t>
        </is>
      </c>
      <c r="E585" t="inlineStr">
        <is>
          <t>NAPA</t>
        </is>
      </c>
      <c r="G585" s="48" t="n">
        <v>0</v>
      </c>
      <c r="H585" s="49" t="n">
        <v>0</v>
      </c>
      <c r="I585" s="49" t="n">
        <v>0</v>
      </c>
      <c r="J585" s="50" t="n">
        <v>0</v>
      </c>
      <c r="K585" s="51" t="n">
        <v>0</v>
      </c>
      <c r="L585" s="52" t="n">
        <v>0</v>
      </c>
      <c r="M585" s="52" t="n">
        <v>0</v>
      </c>
      <c r="N585" s="52" t="n">
        <v>0</v>
      </c>
      <c r="O585" s="53" t="n">
        <v>0</v>
      </c>
      <c r="P585" s="52" t="n">
        <v>0</v>
      </c>
      <c r="Q585" s="53" t="n">
        <v>0</v>
      </c>
      <c r="R585" s="52" t="n">
        <v>0</v>
      </c>
      <c r="S585" s="51" t="n">
        <v>0</v>
      </c>
      <c r="T585" s="48" t="n">
        <v>0</v>
      </c>
      <c r="U585" s="49" t="n">
        <v>0</v>
      </c>
      <c r="V585" s="49" t="n">
        <v>0</v>
      </c>
      <c r="W585" s="50" t="n">
        <v>0</v>
      </c>
      <c r="X585" s="51" t="n">
        <v>0</v>
      </c>
      <c r="Y585" s="52" t="n">
        <v>0</v>
      </c>
      <c r="Z585" s="52" t="n">
        <v>0</v>
      </c>
      <c r="AA585" s="52" t="n">
        <v>0</v>
      </c>
      <c r="AB585" s="53" t="n">
        <v>0</v>
      </c>
      <c r="AC585" s="52" t="n">
        <v>0</v>
      </c>
      <c r="AD585" s="53" t="n">
        <v>0</v>
      </c>
      <c r="AE585" s="52" t="n">
        <v>0</v>
      </c>
      <c r="AF585" s="51" t="n">
        <v>0</v>
      </c>
      <c r="AG585" s="48" t="n">
        <v>0</v>
      </c>
      <c r="AH585" s="49" t="n">
        <v>0</v>
      </c>
      <c r="AI585" s="49" t="n">
        <v>0</v>
      </c>
      <c r="AJ585" s="50" t="n">
        <v>0</v>
      </c>
      <c r="AK585" s="51" t="n">
        <v>0</v>
      </c>
      <c r="AL585" s="52" t="n">
        <v>0</v>
      </c>
      <c r="AM585" s="52" t="n">
        <v>0</v>
      </c>
      <c r="AN585" s="52" t="n">
        <v>0</v>
      </c>
      <c r="AO585" s="53" t="n">
        <v>0</v>
      </c>
      <c r="AP585" s="52" t="n">
        <v>0</v>
      </c>
      <c r="AQ585" s="53" t="n">
        <v>0</v>
      </c>
      <c r="AR585" s="52" t="n">
        <v>0</v>
      </c>
      <c r="AS585" s="51" t="n">
        <v>0</v>
      </c>
      <c r="AT585" s="48" t="n">
        <v>0</v>
      </c>
      <c r="AU585" s="49" t="n">
        <v>0</v>
      </c>
      <c r="AV585" s="49" t="n">
        <v>0</v>
      </c>
      <c r="AW585" s="50" t="n">
        <v>0</v>
      </c>
      <c r="AX585" s="51" t="n">
        <v>0</v>
      </c>
      <c r="AY585" s="52" t="n">
        <v>0</v>
      </c>
      <c r="AZ585" s="52" t="n">
        <v>0</v>
      </c>
      <c r="BA585" s="52" t="n">
        <v>0</v>
      </c>
      <c r="BB585" s="53" t="n">
        <v>0</v>
      </c>
      <c r="BC585" s="52" t="n">
        <v>0</v>
      </c>
      <c r="BD585" s="53" t="n">
        <v>0</v>
      </c>
      <c r="BE585" s="52" t="n">
        <v>0</v>
      </c>
      <c r="BF585" s="51" t="n">
        <v>0</v>
      </c>
    </row>
    <row r="586">
      <c r="A586">
        <f>HYPERLINK("https://www.walmart.com/ip/509830191", "509830191")</f>
        <v/>
      </c>
      <c r="B586" t="inlineStr">
        <is>
          <t>Two Pieces Double up Tankini Swimsuit for Women Bathing Suits Set by Tirrinia</t>
        </is>
      </c>
      <c r="C586" t="inlineStr">
        <is>
          <t>1TRSS002PK-L</t>
        </is>
      </c>
      <c r="D586" t="inlineStr">
        <is>
          <t>Swimsuit Sets</t>
        </is>
      </c>
      <c r="E586" t="inlineStr">
        <is>
          <t>Tirrinia</t>
        </is>
      </c>
      <c r="G586" s="48" t="n">
        <v>0</v>
      </c>
      <c r="H586" s="49" t="n">
        <v>0</v>
      </c>
      <c r="I586" s="49" t="n">
        <v>0</v>
      </c>
      <c r="J586" s="50" t="n">
        <v>0</v>
      </c>
      <c r="K586" s="51" t="n">
        <v>0</v>
      </c>
      <c r="L586" s="52" t="n">
        <v>0</v>
      </c>
      <c r="M586" s="52" t="n">
        <v>0</v>
      </c>
      <c r="N586" s="52" t="n">
        <v>0</v>
      </c>
      <c r="O586" s="53" t="n">
        <v>0</v>
      </c>
      <c r="P586" s="52" t="n">
        <v>0</v>
      </c>
      <c r="Q586" s="53" t="n">
        <v>0</v>
      </c>
      <c r="R586" s="52" t="n">
        <v>0</v>
      </c>
      <c r="S586" s="51" t="n">
        <v>0</v>
      </c>
      <c r="T586" s="48" t="n">
        <v>0</v>
      </c>
      <c r="U586" s="49" t="n">
        <v>0</v>
      </c>
      <c r="V586" s="49" t="n">
        <v>0</v>
      </c>
      <c r="W586" s="50" t="n">
        <v>0</v>
      </c>
      <c r="X586" s="51" t="n">
        <v>0</v>
      </c>
      <c r="Y586" s="52" t="n">
        <v>0</v>
      </c>
      <c r="Z586" s="52" t="n">
        <v>0</v>
      </c>
      <c r="AA586" s="52" t="n">
        <v>0</v>
      </c>
      <c r="AB586" s="53" t="n">
        <v>0</v>
      </c>
      <c r="AC586" s="52" t="n">
        <v>0</v>
      </c>
      <c r="AD586" s="53" t="n">
        <v>0</v>
      </c>
      <c r="AE586" s="52" t="n">
        <v>0</v>
      </c>
      <c r="AF586" s="51" t="n">
        <v>0</v>
      </c>
      <c r="AG586" s="48" t="n">
        <v>0</v>
      </c>
      <c r="AH586" s="49" t="n">
        <v>0</v>
      </c>
      <c r="AI586" s="49" t="n">
        <v>0</v>
      </c>
      <c r="AJ586" s="50" t="n">
        <v>0</v>
      </c>
      <c r="AK586" s="51" t="n">
        <v>0</v>
      </c>
      <c r="AL586" s="52" t="n">
        <v>0</v>
      </c>
      <c r="AM586" s="52" t="n">
        <v>0</v>
      </c>
      <c r="AN586" s="52" t="n">
        <v>0</v>
      </c>
      <c r="AO586" s="53" t="n">
        <v>0</v>
      </c>
      <c r="AP586" s="52" t="n">
        <v>0</v>
      </c>
      <c r="AQ586" s="53" t="n">
        <v>0</v>
      </c>
      <c r="AR586" s="52" t="n">
        <v>0</v>
      </c>
      <c r="AS586" s="51" t="n">
        <v>0</v>
      </c>
      <c r="AT586" s="48" t="n">
        <v>0</v>
      </c>
      <c r="AU586" s="49" t="n">
        <v>0</v>
      </c>
      <c r="AV586" s="49" t="n">
        <v>0</v>
      </c>
      <c r="AW586" s="50" t="n">
        <v>0</v>
      </c>
      <c r="AX586" s="51" t="n">
        <v>0</v>
      </c>
      <c r="AY586" s="52" t="n">
        <v>0</v>
      </c>
      <c r="AZ586" s="52" t="n">
        <v>0</v>
      </c>
      <c r="BA586" s="52" t="n">
        <v>0</v>
      </c>
      <c r="BB586" s="53" t="n">
        <v>0</v>
      </c>
      <c r="BC586" s="52" t="n">
        <v>0</v>
      </c>
      <c r="BD586" s="53" t="n">
        <v>0</v>
      </c>
      <c r="BE586" s="52" t="n">
        <v>0</v>
      </c>
      <c r="BF586" s="51" t="n">
        <v>0</v>
      </c>
    </row>
    <row r="587">
      <c r="A587">
        <f>HYPERLINK("https://www.walmart.com/ip/519753209", "519753209")</f>
        <v/>
      </c>
      <c r="B587" t="inlineStr">
        <is>
          <t>Sun Blocker Sun Hat for Men, Sun Cap with Neck Flap for Fishing, Safari, Cycling, Hiking, Gardening, and Backpacking, UPF50+, Khaki</t>
        </is>
      </c>
      <c r="C587" t="inlineStr">
        <is>
          <t>KC-S9153-KK</t>
        </is>
      </c>
      <c r="D587" t="inlineStr">
        <is>
          <t>Hats</t>
        </is>
      </c>
      <c r="E587" t="inlineStr">
        <is>
          <t>Sun Blocker</t>
        </is>
      </c>
      <c r="F587" t="inlineStr">
        <is>
          <t>Q2-Target,Optimized,Hats</t>
        </is>
      </c>
      <c r="G587" s="48" t="n">
        <v>0</v>
      </c>
      <c r="H587" s="49" t="n">
        <v>0</v>
      </c>
      <c r="I587" s="49" t="n">
        <v>0</v>
      </c>
      <c r="J587" s="50" t="n">
        <v>0</v>
      </c>
      <c r="K587" s="51" t="n">
        <v>0</v>
      </c>
      <c r="L587" s="52" t="n">
        <v>0</v>
      </c>
      <c r="M587" s="52" t="n">
        <v>0</v>
      </c>
      <c r="N587" s="52" t="n">
        <v>0</v>
      </c>
      <c r="O587" s="53" t="n">
        <v>0</v>
      </c>
      <c r="P587" s="52" t="n">
        <v>0</v>
      </c>
      <c r="Q587" s="53" t="n">
        <v>0</v>
      </c>
      <c r="R587" s="52" t="n">
        <v>0</v>
      </c>
      <c r="S587" s="51" t="n">
        <v>0</v>
      </c>
      <c r="T587" s="48" t="n">
        <v>0</v>
      </c>
      <c r="U587" s="49" t="n">
        <v>0</v>
      </c>
      <c r="V587" s="49" t="n">
        <v>0</v>
      </c>
      <c r="W587" s="50" t="n">
        <v>0</v>
      </c>
      <c r="X587" s="51" t="n">
        <v>0</v>
      </c>
      <c r="Y587" s="52" t="n">
        <v>0</v>
      </c>
      <c r="Z587" s="52" t="n">
        <v>0</v>
      </c>
      <c r="AA587" s="52" t="n">
        <v>0</v>
      </c>
      <c r="AB587" s="53" t="n">
        <v>0</v>
      </c>
      <c r="AC587" s="52" t="n">
        <v>0</v>
      </c>
      <c r="AD587" s="53" t="n">
        <v>0</v>
      </c>
      <c r="AE587" s="52" t="n">
        <v>0</v>
      </c>
      <c r="AF587" s="51" t="n">
        <v>0</v>
      </c>
      <c r="AG587" s="48" t="n">
        <v>0</v>
      </c>
      <c r="AH587" s="49" t="n">
        <v>0</v>
      </c>
      <c r="AI587" s="49" t="n">
        <v>0</v>
      </c>
      <c r="AJ587" s="50" t="n">
        <v>0</v>
      </c>
      <c r="AK587" s="51" t="n">
        <v>0</v>
      </c>
      <c r="AL587" s="52" t="n">
        <v>0</v>
      </c>
      <c r="AM587" s="52" t="n">
        <v>0</v>
      </c>
      <c r="AN587" s="52" t="n">
        <v>0</v>
      </c>
      <c r="AO587" s="53" t="n">
        <v>0</v>
      </c>
      <c r="AP587" s="52" t="n">
        <v>0</v>
      </c>
      <c r="AQ587" s="53" t="n">
        <v>0</v>
      </c>
      <c r="AR587" s="52" t="n">
        <v>0</v>
      </c>
      <c r="AS587" s="51" t="n">
        <v>0</v>
      </c>
      <c r="AT587" s="48" t="n">
        <v>0</v>
      </c>
      <c r="AU587" s="49" t="n">
        <v>0</v>
      </c>
      <c r="AV587" s="49" t="n">
        <v>0</v>
      </c>
      <c r="AW587" s="50" t="n">
        <v>0</v>
      </c>
      <c r="AX587" s="51" t="n">
        <v>0</v>
      </c>
      <c r="AY587" s="52" t="n">
        <v>0</v>
      </c>
      <c r="AZ587" s="52" t="n">
        <v>0</v>
      </c>
      <c r="BA587" s="52" t="n">
        <v>0</v>
      </c>
      <c r="BB587" s="53" t="n">
        <v>0</v>
      </c>
      <c r="BC587" s="52" t="n">
        <v>0</v>
      </c>
      <c r="BD587" s="53" t="n">
        <v>0</v>
      </c>
      <c r="BE587" s="52" t="n">
        <v>0</v>
      </c>
      <c r="BF587" s="51" t="n">
        <v>0</v>
      </c>
    </row>
    <row r="588">
      <c r="A588">
        <f>HYPERLINK("https://www.walmart.com/ip/519879220", "519879220")</f>
        <v/>
      </c>
      <c r="B588" t="inlineStr">
        <is>
          <t>Microplush Sherpa Blanket with Sleeves for Women and Men Wine</t>
        </is>
      </c>
      <c r="C588" t="inlineStr">
        <is>
          <t>1TNSN110WN-TPB</t>
        </is>
      </c>
      <c r="D588" t="inlineStr">
        <is>
          <t>Throws</t>
        </is>
      </c>
      <c r="E588" t="inlineStr">
        <is>
          <t>Terrania</t>
        </is>
      </c>
      <c r="G588" s="48" t="n">
        <v>0</v>
      </c>
      <c r="H588" s="49" t="n">
        <v>0</v>
      </c>
      <c r="I588" s="49" t="n">
        <v>0</v>
      </c>
      <c r="J588" s="50" t="n">
        <v>0</v>
      </c>
      <c r="K588" s="51" t="n">
        <v>0</v>
      </c>
      <c r="L588" s="52" t="n">
        <v>0</v>
      </c>
      <c r="M588" s="52" t="n">
        <v>0</v>
      </c>
      <c r="N588" s="52" t="n">
        <v>0</v>
      </c>
      <c r="O588" s="53" t="n">
        <v>0</v>
      </c>
      <c r="P588" s="52" t="n">
        <v>0</v>
      </c>
      <c r="Q588" s="53" t="n">
        <v>0</v>
      </c>
      <c r="R588" s="52" t="n">
        <v>0</v>
      </c>
      <c r="S588" s="51" t="n">
        <v>0</v>
      </c>
      <c r="T588" s="48" t="n">
        <v>0</v>
      </c>
      <c r="U588" s="49" t="n">
        <v>0</v>
      </c>
      <c r="V588" s="49" t="n">
        <v>0</v>
      </c>
      <c r="W588" s="50" t="n">
        <v>0</v>
      </c>
      <c r="X588" s="51" t="n">
        <v>0</v>
      </c>
      <c r="Y588" s="52" t="n">
        <v>0</v>
      </c>
      <c r="Z588" s="52" t="n">
        <v>0</v>
      </c>
      <c r="AA588" s="52" t="n">
        <v>0</v>
      </c>
      <c r="AB588" s="53" t="n">
        <v>0</v>
      </c>
      <c r="AC588" s="52" t="n">
        <v>0</v>
      </c>
      <c r="AD588" s="53" t="n">
        <v>0</v>
      </c>
      <c r="AE588" s="52" t="n">
        <v>0</v>
      </c>
      <c r="AF588" s="51" t="n">
        <v>0</v>
      </c>
      <c r="AG588" s="48" t="n">
        <v>0</v>
      </c>
      <c r="AH588" s="49" t="n">
        <v>0</v>
      </c>
      <c r="AI588" s="49" t="n">
        <v>0</v>
      </c>
      <c r="AJ588" s="50" t="n">
        <v>0</v>
      </c>
      <c r="AK588" s="51" t="n">
        <v>0</v>
      </c>
      <c r="AL588" s="52" t="n">
        <v>0</v>
      </c>
      <c r="AM588" s="52" t="n">
        <v>0</v>
      </c>
      <c r="AN588" s="52" t="n">
        <v>0</v>
      </c>
      <c r="AO588" s="53" t="n">
        <v>0</v>
      </c>
      <c r="AP588" s="52" t="n">
        <v>0</v>
      </c>
      <c r="AQ588" s="53" t="n">
        <v>0</v>
      </c>
      <c r="AR588" s="52" t="n">
        <v>0</v>
      </c>
      <c r="AS588" s="51" t="n">
        <v>0</v>
      </c>
      <c r="AT588" s="48" t="n">
        <v>0</v>
      </c>
      <c r="AU588" s="49" t="n">
        <v>0</v>
      </c>
      <c r="AV588" s="49" t="n">
        <v>0</v>
      </c>
      <c r="AW588" s="50" t="n">
        <v>0</v>
      </c>
      <c r="AX588" s="51" t="n">
        <v>0</v>
      </c>
      <c r="AY588" s="52" t="n">
        <v>0</v>
      </c>
      <c r="AZ588" s="52" t="n">
        <v>0</v>
      </c>
      <c r="BA588" s="52" t="n">
        <v>0</v>
      </c>
      <c r="BB588" s="53" t="n">
        <v>0</v>
      </c>
      <c r="BC588" s="52" t="n">
        <v>0</v>
      </c>
      <c r="BD588" s="53" t="n">
        <v>0</v>
      </c>
      <c r="BE588" s="52" t="n">
        <v>0</v>
      </c>
      <c r="BF588" s="51" t="n">
        <v>0</v>
      </c>
    </row>
    <row r="589">
      <c r="A589">
        <f>HYPERLINK("https://www.walmart.com/ip/5076325720", "5076325720")</f>
        <v/>
      </c>
      <c r="B589" t="inlineStr">
        <is>
          <t>Tirrinia Women's Plush Soft Robe - Fluffy, Warm, and Fleece Sherpa Shaggy Bathrobe for Ultimate Comfort, Machine Washable, Large Size, Pink</t>
        </is>
      </c>
      <c r="C589" t="inlineStr">
        <is>
          <t>1TRRB503PK-4</t>
        </is>
      </c>
      <c r="D589" t="inlineStr">
        <is>
          <t>Sleepwear Robes &amp; Bathrobes</t>
        </is>
      </c>
      <c r="E589" t="inlineStr">
        <is>
          <t>Tirrinia</t>
        </is>
      </c>
      <c r="F589" t="inlineStr">
        <is>
          <t>Bathrobe,Coupon_Discount</t>
        </is>
      </c>
      <c r="G589" s="48" t="n">
        <v>0</v>
      </c>
      <c r="H589" s="49" t="n">
        <v>0</v>
      </c>
      <c r="I589" s="49" t="n">
        <v>0</v>
      </c>
      <c r="J589" s="50" t="n">
        <v>0</v>
      </c>
      <c r="K589" s="51" t="n">
        <v>0</v>
      </c>
      <c r="L589" s="52" t="n">
        <v>0</v>
      </c>
      <c r="M589" s="52" t="n">
        <v>0</v>
      </c>
      <c r="N589" s="52" t="n">
        <v>0</v>
      </c>
      <c r="O589" s="53" t="n">
        <v>0</v>
      </c>
      <c r="P589" s="52" t="n">
        <v>0</v>
      </c>
      <c r="Q589" s="53" t="n">
        <v>0</v>
      </c>
      <c r="R589" s="52" t="n">
        <v>0</v>
      </c>
      <c r="S589" s="51" t="n">
        <v>0</v>
      </c>
      <c r="T589" s="48" t="n">
        <v>0</v>
      </c>
      <c r="U589" s="49" t="n">
        <v>0</v>
      </c>
      <c r="V589" s="49" t="n">
        <v>0</v>
      </c>
      <c r="W589" s="50" t="n">
        <v>0</v>
      </c>
      <c r="X589" s="51" t="n">
        <v>0</v>
      </c>
      <c r="Y589" s="52" t="n">
        <v>0</v>
      </c>
      <c r="Z589" s="52" t="n">
        <v>0</v>
      </c>
      <c r="AA589" s="52" t="n">
        <v>0</v>
      </c>
      <c r="AB589" s="53" t="n">
        <v>0</v>
      </c>
      <c r="AC589" s="52" t="n">
        <v>0</v>
      </c>
      <c r="AD589" s="53" t="n">
        <v>0</v>
      </c>
      <c r="AE589" s="52" t="n">
        <v>0</v>
      </c>
      <c r="AF589" s="51" t="n">
        <v>0</v>
      </c>
      <c r="AG589" s="48" t="n">
        <v>0</v>
      </c>
      <c r="AH589" s="49" t="n">
        <v>0</v>
      </c>
      <c r="AI589" s="49" t="n">
        <v>0</v>
      </c>
      <c r="AJ589" s="50" t="n">
        <v>0</v>
      </c>
      <c r="AK589" s="51" t="n">
        <v>0</v>
      </c>
      <c r="AL589" s="52" t="n">
        <v>0</v>
      </c>
      <c r="AM589" s="52" t="n">
        <v>0</v>
      </c>
      <c r="AN589" s="52" t="n">
        <v>0</v>
      </c>
      <c r="AO589" s="53" t="n">
        <v>0</v>
      </c>
      <c r="AP589" s="52" t="n">
        <v>0</v>
      </c>
      <c r="AQ589" s="53" t="n">
        <v>0</v>
      </c>
      <c r="AR589" s="52" t="n">
        <v>0</v>
      </c>
      <c r="AS589" s="51" t="n">
        <v>0</v>
      </c>
      <c r="AT589" s="48" t="n">
        <v>0</v>
      </c>
      <c r="AU589" s="49" t="n">
        <v>0</v>
      </c>
      <c r="AV589" s="49" t="n">
        <v>0</v>
      </c>
      <c r="AW589" s="50" t="n">
        <v>0</v>
      </c>
      <c r="AX589" s="51" t="n">
        <v>0</v>
      </c>
      <c r="AY589" s="52" t="n">
        <v>0</v>
      </c>
      <c r="AZ589" s="52" t="n">
        <v>0</v>
      </c>
      <c r="BA589" s="52" t="n">
        <v>0</v>
      </c>
      <c r="BB589" s="53" t="n">
        <v>0</v>
      </c>
      <c r="BC589" s="52" t="n">
        <v>0</v>
      </c>
      <c r="BD589" s="53" t="n">
        <v>0</v>
      </c>
      <c r="BE589" s="52" t="n">
        <v>0</v>
      </c>
      <c r="BF589" s="51" t="n">
        <v>0</v>
      </c>
    </row>
    <row r="590">
      <c r="A590">
        <f>HYPERLINK("https://www.walmart.com/ip/520009811", "520009811")</f>
        <v/>
      </c>
      <c r="B590" t="inlineStr">
        <is>
          <t>Mens Underwear Mens Boxer Briefs with Elastic Waistband Solid New Classic Fit, 3 Pack by Terra</t>
        </is>
      </c>
      <c r="C590" t="inlineStr">
        <is>
          <t>TERRA-BOXER5-M</t>
        </is>
      </c>
      <c r="D590" t="inlineStr">
        <is>
          <t>Underpants</t>
        </is>
      </c>
      <c r="E590" t="inlineStr">
        <is>
          <t>Terra</t>
        </is>
      </c>
      <c r="F590" t="inlineStr">
        <is>
          <t>Batch 1 - TR</t>
        </is>
      </c>
      <c r="G590" s="48" t="n">
        <v>0</v>
      </c>
      <c r="H590" s="49" t="n">
        <v>0</v>
      </c>
      <c r="I590" s="49" t="n">
        <v>0</v>
      </c>
      <c r="J590" s="50" t="n">
        <v>0</v>
      </c>
      <c r="K590" s="51" t="n">
        <v>0</v>
      </c>
      <c r="L590" s="52" t="n">
        <v>0</v>
      </c>
      <c r="M590" s="52" t="n">
        <v>0</v>
      </c>
      <c r="N590" s="52" t="n">
        <v>0</v>
      </c>
      <c r="O590" s="53" t="n">
        <v>0</v>
      </c>
      <c r="P590" s="52" t="n">
        <v>0</v>
      </c>
      <c r="Q590" s="53" t="n">
        <v>0</v>
      </c>
      <c r="R590" s="52" t="n">
        <v>0</v>
      </c>
      <c r="S590" s="51" t="n">
        <v>0</v>
      </c>
      <c r="T590" s="48" t="n">
        <v>0</v>
      </c>
      <c r="U590" s="49" t="n">
        <v>0</v>
      </c>
      <c r="V590" s="49" t="n">
        <v>0</v>
      </c>
      <c r="W590" s="50" t="n">
        <v>0</v>
      </c>
      <c r="X590" s="51" t="n">
        <v>0</v>
      </c>
      <c r="Y590" s="52" t="n">
        <v>0</v>
      </c>
      <c r="Z590" s="52" t="n">
        <v>0</v>
      </c>
      <c r="AA590" s="52" t="n">
        <v>0</v>
      </c>
      <c r="AB590" s="53" t="n">
        <v>0</v>
      </c>
      <c r="AC590" s="52" t="n">
        <v>0</v>
      </c>
      <c r="AD590" s="53" t="n">
        <v>0</v>
      </c>
      <c r="AE590" s="52" t="n">
        <v>0</v>
      </c>
      <c r="AF590" s="51" t="n">
        <v>0</v>
      </c>
      <c r="AG590" s="48" t="n">
        <v>0</v>
      </c>
      <c r="AH590" s="49" t="n">
        <v>0</v>
      </c>
      <c r="AI590" s="49" t="n">
        <v>0</v>
      </c>
      <c r="AJ590" s="50" t="n">
        <v>0</v>
      </c>
      <c r="AK590" s="51" t="n">
        <v>0</v>
      </c>
      <c r="AL590" s="52" t="n">
        <v>0</v>
      </c>
      <c r="AM590" s="52" t="n">
        <v>0</v>
      </c>
      <c r="AN590" s="52" t="n">
        <v>0</v>
      </c>
      <c r="AO590" s="53" t="n">
        <v>0</v>
      </c>
      <c r="AP590" s="52" t="n">
        <v>0</v>
      </c>
      <c r="AQ590" s="53" t="n">
        <v>0</v>
      </c>
      <c r="AR590" s="52" t="n">
        <v>0</v>
      </c>
      <c r="AS590" s="51" t="n">
        <v>0</v>
      </c>
      <c r="AT590" s="48" t="n">
        <v>0</v>
      </c>
      <c r="AU590" s="49" t="n">
        <v>0</v>
      </c>
      <c r="AV590" s="49" t="n">
        <v>0</v>
      </c>
      <c r="AW590" s="50" t="n">
        <v>0</v>
      </c>
      <c r="AX590" s="51" t="n">
        <v>0</v>
      </c>
      <c r="AY590" s="52" t="n">
        <v>0</v>
      </c>
      <c r="AZ590" s="52" t="n">
        <v>0</v>
      </c>
      <c r="BA590" s="52" t="n">
        <v>0</v>
      </c>
      <c r="BB590" s="53" t="n">
        <v>0</v>
      </c>
      <c r="BC590" s="52" t="n">
        <v>0</v>
      </c>
      <c r="BD590" s="53" t="n">
        <v>0</v>
      </c>
      <c r="BE590" s="52" t="n">
        <v>0</v>
      </c>
      <c r="BF590" s="51" t="n">
        <v>0</v>
      </c>
    </row>
    <row r="591">
      <c r="A591">
        <f>HYPERLINK("https://www.walmart.com/ip/527909020", "527909020")</f>
        <v/>
      </c>
      <c r="B591" t="inlineStr">
        <is>
          <t>Tirrinia Small Insulated Lunch Bag for Adult&amp;Kids, Splash Proof Mini Portable Reusable Thermal Lunch Box Cooler Tote for Student Back to School,Black &amp; Purple</t>
        </is>
      </c>
      <c r="C591" t="inlineStr">
        <is>
          <t>1TRLB100BKPP</t>
        </is>
      </c>
      <c r="D591" t="inlineStr">
        <is>
          <t>Reusable Lunch Bags &amp; Boxes</t>
        </is>
      </c>
      <c r="E591" t="inlineStr">
        <is>
          <t>Tirrinia</t>
        </is>
      </c>
      <c r="F591" t="inlineStr">
        <is>
          <t>Lunch Bag,Lunch Bags</t>
        </is>
      </c>
      <c r="G591" s="48" t="n">
        <v>0</v>
      </c>
      <c r="H591" s="49" t="n">
        <v>0</v>
      </c>
      <c r="I591" s="49" t="n">
        <v>2</v>
      </c>
      <c r="J591" s="50" t="n">
        <v>0</v>
      </c>
      <c r="K591" s="51" t="n">
        <v>0</v>
      </c>
      <c r="L591" s="52" t="n">
        <v>0</v>
      </c>
      <c r="M591" s="52" t="n">
        <v>0</v>
      </c>
      <c r="N591" s="52" t="n">
        <v>0</v>
      </c>
      <c r="O591" s="53" t="n">
        <v>0</v>
      </c>
      <c r="P591" s="52" t="n">
        <v>0</v>
      </c>
      <c r="Q591" s="53" t="n">
        <v>0</v>
      </c>
      <c r="R591" s="52" t="n">
        <v>0</v>
      </c>
      <c r="S591" s="51" t="n">
        <v>0</v>
      </c>
      <c r="T591" s="48" t="n">
        <v>21.98</v>
      </c>
      <c r="U591" s="49" t="n">
        <v>2</v>
      </c>
      <c r="V591" s="49" t="n">
        <v>6</v>
      </c>
      <c r="W591" s="50" t="n">
        <v>0.3333333333333333</v>
      </c>
      <c r="X591" s="51" t="n">
        <v>0</v>
      </c>
      <c r="Y591" s="52" t="n">
        <v>0</v>
      </c>
      <c r="Z591" s="52" t="n">
        <v>0</v>
      </c>
      <c r="AA591" s="52" t="n">
        <v>0</v>
      </c>
      <c r="AB591" s="53" t="n">
        <v>0</v>
      </c>
      <c r="AC591" s="52" t="n">
        <v>0</v>
      </c>
      <c r="AD591" s="53" t="n">
        <v>0</v>
      </c>
      <c r="AE591" s="52" t="n">
        <v>10.99</v>
      </c>
      <c r="AF591" s="51" t="n">
        <v>0</v>
      </c>
      <c r="AG591" s="48" t="n">
        <v>10.99</v>
      </c>
      <c r="AH591" s="49" t="n">
        <v>1</v>
      </c>
      <c r="AI591" s="49" t="n">
        <v>8</v>
      </c>
      <c r="AJ591" s="50" t="n">
        <v>0.125</v>
      </c>
      <c r="AK591" s="51" t="n">
        <v>0</v>
      </c>
      <c r="AL591" s="52" t="n">
        <v>0</v>
      </c>
      <c r="AM591" s="52" t="n">
        <v>0</v>
      </c>
      <c r="AN591" s="52" t="n">
        <v>0</v>
      </c>
      <c r="AO591" s="53" t="n">
        <v>0</v>
      </c>
      <c r="AP591" s="52" t="n">
        <v>0</v>
      </c>
      <c r="AQ591" s="53" t="n">
        <v>0</v>
      </c>
      <c r="AR591" s="52" t="n">
        <v>10.99</v>
      </c>
      <c r="AS591" s="51" t="n">
        <v>0</v>
      </c>
      <c r="AT591" s="48" t="n">
        <v>-10.99</v>
      </c>
      <c r="AU591" s="49" t="n">
        <v>-1</v>
      </c>
      <c r="AV591" s="49" t="n">
        <v>8</v>
      </c>
      <c r="AW591" s="50" t="n">
        <v>-0.125</v>
      </c>
      <c r="AX591" s="51" t="n">
        <v>0</v>
      </c>
      <c r="AY591" s="52" t="n">
        <v>0</v>
      </c>
      <c r="AZ591" s="52" t="n">
        <v>0</v>
      </c>
      <c r="BA591" s="52" t="n">
        <v>0</v>
      </c>
      <c r="BB591" s="53" t="n">
        <v>0</v>
      </c>
      <c r="BC591" s="52" t="n">
        <v>0</v>
      </c>
      <c r="BD591" s="53" t="n">
        <v>0</v>
      </c>
      <c r="BE591" s="52" t="n">
        <v>0</v>
      </c>
      <c r="BF591" s="51" t="n">
        <v>0</v>
      </c>
    </row>
    <row r="592">
      <c r="A592">
        <f>HYPERLINK("https://www.walmart.com/ip/528475578", "528475578")</f>
        <v/>
      </c>
      <c r="B592" t="inlineStr">
        <is>
          <t>Oversized Hooded Poncho Cape, Casual Hoodie Sweatshirt, Batwing Coat Pullover | Light Weight, Cozy, Comfortable, Roomy | for Adults Women Men Teens</t>
        </is>
      </c>
      <c r="C592" t="inlineStr">
        <is>
          <t>1CTHD542GY</t>
        </is>
      </c>
      <c r="D592" t="inlineStr">
        <is>
          <t>Sweatshirts &amp; Hoodies</t>
        </is>
      </c>
      <c r="E592" t="inlineStr">
        <is>
          <t>Catalonia</t>
        </is>
      </c>
      <c r="F592" t="inlineStr">
        <is>
          <t>Hoodie ForAdult,Optimized,Coupon_Discount</t>
        </is>
      </c>
      <c r="G592" s="48" t="n">
        <v>0</v>
      </c>
      <c r="H592" s="49" t="n">
        <v>0</v>
      </c>
      <c r="I592" s="49" t="n">
        <v>0</v>
      </c>
      <c r="J592" s="50" t="n">
        <v>0</v>
      </c>
      <c r="K592" s="51" t="n">
        <v>1</v>
      </c>
      <c r="L592" s="52" t="n">
        <v>0.38</v>
      </c>
      <c r="M592" s="52" t="n">
        <v>0</v>
      </c>
      <c r="N592" s="52" t="n">
        <v>0</v>
      </c>
      <c r="O592" s="53" t="n">
        <v>0.0008</v>
      </c>
      <c r="P592" s="52" t="n">
        <v>0.38</v>
      </c>
      <c r="Q592" s="53" t="n">
        <v>0</v>
      </c>
      <c r="R592" s="52" t="n">
        <v>0</v>
      </c>
      <c r="S592" s="51" t="n">
        <v>1264</v>
      </c>
      <c r="T592" s="48" t="n">
        <v>0</v>
      </c>
      <c r="U592" s="49" t="n">
        <v>0</v>
      </c>
      <c r="V592" s="49" t="n">
        <v>0</v>
      </c>
      <c r="W592" s="50" t="n">
        <v>0</v>
      </c>
      <c r="X592" s="51" t="n">
        <v>0</v>
      </c>
      <c r="Y592" s="52" t="n">
        <v>0</v>
      </c>
      <c r="Z592" s="52" t="n">
        <v>0</v>
      </c>
      <c r="AA592" s="52" t="n">
        <v>0</v>
      </c>
      <c r="AB592" s="53" t="n">
        <v>0</v>
      </c>
      <c r="AC592" s="52" t="n">
        <v>0</v>
      </c>
      <c r="AD592" s="53" t="n">
        <v>0</v>
      </c>
      <c r="AE592" s="52" t="n">
        <v>0</v>
      </c>
      <c r="AF592" s="51" t="n">
        <v>0</v>
      </c>
      <c r="AG592" s="48" t="n">
        <v>0</v>
      </c>
      <c r="AH592" s="49" t="n">
        <v>0</v>
      </c>
      <c r="AI592" s="49" t="n">
        <v>0</v>
      </c>
      <c r="AJ592" s="50" t="n">
        <v>0</v>
      </c>
      <c r="AK592" s="51" t="n">
        <v>0</v>
      </c>
      <c r="AL592" s="52" t="n">
        <v>0</v>
      </c>
      <c r="AM592" s="52" t="n">
        <v>0</v>
      </c>
      <c r="AN592" s="52" t="n">
        <v>0</v>
      </c>
      <c r="AO592" s="53" t="n">
        <v>0</v>
      </c>
      <c r="AP592" s="52" t="n">
        <v>0</v>
      </c>
      <c r="AQ592" s="53" t="n">
        <v>0</v>
      </c>
      <c r="AR592" s="52" t="n">
        <v>0</v>
      </c>
      <c r="AS592" s="51" t="n">
        <v>0</v>
      </c>
      <c r="AT592" s="48" t="n">
        <v>0</v>
      </c>
      <c r="AU592" s="49" t="n">
        <v>0</v>
      </c>
      <c r="AV592" s="49" t="n">
        <v>0</v>
      </c>
      <c r="AW592" s="50" t="n">
        <v>0</v>
      </c>
      <c r="AX592" s="51" t="n">
        <v>0</v>
      </c>
      <c r="AY592" s="52" t="n">
        <v>0</v>
      </c>
      <c r="AZ592" s="52" t="n">
        <v>0</v>
      </c>
      <c r="BA592" s="52" t="n">
        <v>0</v>
      </c>
      <c r="BB592" s="53" t="n">
        <v>0</v>
      </c>
      <c r="BC592" s="52" t="n">
        <v>0</v>
      </c>
      <c r="BD592" s="53" t="n">
        <v>0</v>
      </c>
      <c r="BE592" s="52" t="n">
        <v>0</v>
      </c>
      <c r="BF592" s="51" t="n">
        <v>0</v>
      </c>
    </row>
    <row r="593">
      <c r="A593">
        <f>HYPERLINK("https://www.walmart.com/ip/528591524", "528591524")</f>
        <v/>
      </c>
      <c r="B593" t="inlineStr">
        <is>
          <t>Pawsse Waterproof Blanket, Pet Blanket, Pee Urine Proof Dog Blanket for Couch Bed Furniture Protector, Reversible Dog Fleece Blanket for Small Medium Large Dogs, Wine/Taupe, 80 X 60 Inches</t>
        </is>
      </c>
      <c r="C593" t="inlineStr">
        <is>
          <t>1PSBW681WNTP</t>
        </is>
      </c>
      <c r="D593" t="inlineStr">
        <is>
          <t>Pet Blankets</t>
        </is>
      </c>
      <c r="E593" t="inlineStr">
        <is>
          <t>Pawsse</t>
        </is>
      </c>
      <c r="F593" t="inlineStr">
        <is>
          <t>Q2-Target,Wproof Blanket,Batch 1 - TR</t>
        </is>
      </c>
      <c r="G593" s="48" t="n">
        <v>0</v>
      </c>
      <c r="H593" s="49" t="n">
        <v>0</v>
      </c>
      <c r="I593" s="49" t="n">
        <v>0</v>
      </c>
      <c r="J593" s="50" t="n">
        <v>0</v>
      </c>
      <c r="K593" s="51" t="n">
        <v>0</v>
      </c>
      <c r="L593" s="52" t="n">
        <v>0</v>
      </c>
      <c r="M593" s="52" t="n">
        <v>0</v>
      </c>
      <c r="N593" s="52" t="n">
        <v>0</v>
      </c>
      <c r="O593" s="53" t="n">
        <v>0</v>
      </c>
      <c r="P593" s="52" t="n">
        <v>0</v>
      </c>
      <c r="Q593" s="53" t="n">
        <v>0</v>
      </c>
      <c r="R593" s="52" t="n">
        <v>0</v>
      </c>
      <c r="S593" s="51" t="n">
        <v>0</v>
      </c>
      <c r="T593" s="48" t="n">
        <v>0</v>
      </c>
      <c r="U593" s="49" t="n">
        <v>0</v>
      </c>
      <c r="V593" s="49" t="n">
        <v>0</v>
      </c>
      <c r="W593" s="50" t="n">
        <v>0</v>
      </c>
      <c r="X593" s="51" t="n">
        <v>0</v>
      </c>
      <c r="Y593" s="52" t="n">
        <v>0</v>
      </c>
      <c r="Z593" s="52" t="n">
        <v>0</v>
      </c>
      <c r="AA593" s="52" t="n">
        <v>0</v>
      </c>
      <c r="AB593" s="53" t="n">
        <v>0</v>
      </c>
      <c r="AC593" s="52" t="n">
        <v>0</v>
      </c>
      <c r="AD593" s="53" t="n">
        <v>0</v>
      </c>
      <c r="AE593" s="52" t="n">
        <v>0</v>
      </c>
      <c r="AF593" s="51" t="n">
        <v>0</v>
      </c>
      <c r="AG593" s="48" t="n">
        <v>0</v>
      </c>
      <c r="AH593" s="49" t="n">
        <v>0</v>
      </c>
      <c r="AI593" s="49" t="n">
        <v>0</v>
      </c>
      <c r="AJ593" s="50" t="n">
        <v>0</v>
      </c>
      <c r="AK593" s="51" t="n">
        <v>0</v>
      </c>
      <c r="AL593" s="52" t="n">
        <v>0</v>
      </c>
      <c r="AM593" s="52" t="n">
        <v>0</v>
      </c>
      <c r="AN593" s="52" t="n">
        <v>0</v>
      </c>
      <c r="AO593" s="53" t="n">
        <v>0</v>
      </c>
      <c r="AP593" s="52" t="n">
        <v>0</v>
      </c>
      <c r="AQ593" s="53" t="n">
        <v>0</v>
      </c>
      <c r="AR593" s="52" t="n">
        <v>0</v>
      </c>
      <c r="AS593" s="51" t="n">
        <v>0</v>
      </c>
      <c r="AT593" s="48" t="n">
        <v>0</v>
      </c>
      <c r="AU593" s="49" t="n">
        <v>0</v>
      </c>
      <c r="AV593" s="49" t="n">
        <v>0</v>
      </c>
      <c r="AW593" s="50" t="n">
        <v>0</v>
      </c>
      <c r="AX593" s="51" t="n">
        <v>0</v>
      </c>
      <c r="AY593" s="52" t="n">
        <v>0</v>
      </c>
      <c r="AZ593" s="52" t="n">
        <v>0</v>
      </c>
      <c r="BA593" s="52" t="n">
        <v>0</v>
      </c>
      <c r="BB593" s="53" t="n">
        <v>0</v>
      </c>
      <c r="BC593" s="52" t="n">
        <v>0</v>
      </c>
      <c r="BD593" s="53" t="n">
        <v>0</v>
      </c>
      <c r="BE593" s="52" t="n">
        <v>0</v>
      </c>
      <c r="BF593" s="51" t="n">
        <v>0</v>
      </c>
    </row>
    <row r="594">
      <c r="A594">
        <f>HYPERLINK("https://www.walmart.com/ip/529229107", "529229107")</f>
        <v/>
      </c>
      <c r="B594" t="inlineStr">
        <is>
          <t>Catalonia Buffalo Plaid Sherpa Throw Blanket, Super Soft Reversible Fleece Blanket for Cabin Bed or Couch, Red Green Plaid,  50" x 60".</t>
        </is>
      </c>
      <c r="C594" t="inlineStr">
        <is>
          <t>1CTBF567PRDGN</t>
        </is>
      </c>
      <c r="D594" t="inlineStr">
        <is>
          <t>Throws</t>
        </is>
      </c>
      <c r="E594" t="inlineStr">
        <is>
          <t>Catalonia</t>
        </is>
      </c>
      <c r="F594" t="inlineStr">
        <is>
          <t>Q2-Target,Optimized,WFS,WFS Item,Fleece Blankets</t>
        </is>
      </c>
      <c r="G594" s="48" t="n">
        <v>0</v>
      </c>
      <c r="H594" s="49" t="n">
        <v>0</v>
      </c>
      <c r="I594" s="49" t="n">
        <v>0</v>
      </c>
      <c r="J594" s="50" t="n">
        <v>0</v>
      </c>
      <c r="K594" s="51" t="n">
        <v>0</v>
      </c>
      <c r="L594" s="52" t="n">
        <v>0</v>
      </c>
      <c r="M594" s="52" t="n">
        <v>0</v>
      </c>
      <c r="N594" s="52" t="n">
        <v>0</v>
      </c>
      <c r="O594" s="53" t="n">
        <v>0</v>
      </c>
      <c r="P594" s="52" t="n">
        <v>0</v>
      </c>
      <c r="Q594" s="53" t="n">
        <v>0</v>
      </c>
      <c r="R594" s="52" t="n">
        <v>0</v>
      </c>
      <c r="S594" s="51" t="n">
        <v>0</v>
      </c>
      <c r="T594" s="48" t="n">
        <v>0</v>
      </c>
      <c r="U594" s="49" t="n">
        <v>0</v>
      </c>
      <c r="V594" s="49" t="n">
        <v>0</v>
      </c>
      <c r="W594" s="50" t="n">
        <v>0</v>
      </c>
      <c r="X594" s="51" t="n">
        <v>0</v>
      </c>
      <c r="Y594" s="52" t="n">
        <v>0</v>
      </c>
      <c r="Z594" s="52" t="n">
        <v>0</v>
      </c>
      <c r="AA594" s="52" t="n">
        <v>0</v>
      </c>
      <c r="AB594" s="53" t="n">
        <v>0</v>
      </c>
      <c r="AC594" s="52" t="n">
        <v>0</v>
      </c>
      <c r="AD594" s="53" t="n">
        <v>0</v>
      </c>
      <c r="AE594" s="52" t="n">
        <v>0</v>
      </c>
      <c r="AF594" s="51" t="n">
        <v>0</v>
      </c>
      <c r="AG594" s="48" t="n">
        <v>0</v>
      </c>
      <c r="AH594" s="49" t="n">
        <v>0</v>
      </c>
      <c r="AI594" s="49" t="n">
        <v>0</v>
      </c>
      <c r="AJ594" s="50" t="n">
        <v>0</v>
      </c>
      <c r="AK594" s="51" t="n">
        <v>0</v>
      </c>
      <c r="AL594" s="52" t="n">
        <v>0</v>
      </c>
      <c r="AM594" s="52" t="n">
        <v>0</v>
      </c>
      <c r="AN594" s="52" t="n">
        <v>0</v>
      </c>
      <c r="AO594" s="53" t="n">
        <v>0</v>
      </c>
      <c r="AP594" s="52" t="n">
        <v>0</v>
      </c>
      <c r="AQ594" s="53" t="n">
        <v>0</v>
      </c>
      <c r="AR594" s="52" t="n">
        <v>0</v>
      </c>
      <c r="AS594" s="51" t="n">
        <v>0</v>
      </c>
      <c r="AT594" s="48" t="n">
        <v>0</v>
      </c>
      <c r="AU594" s="49" t="n">
        <v>0</v>
      </c>
      <c r="AV594" s="49" t="n">
        <v>0</v>
      </c>
      <c r="AW594" s="50" t="n">
        <v>0</v>
      </c>
      <c r="AX594" s="51" t="n">
        <v>0</v>
      </c>
      <c r="AY594" s="52" t="n">
        <v>0</v>
      </c>
      <c r="AZ594" s="52" t="n">
        <v>0</v>
      </c>
      <c r="BA594" s="52" t="n">
        <v>0</v>
      </c>
      <c r="BB594" s="53" t="n">
        <v>0</v>
      </c>
      <c r="BC594" s="52" t="n">
        <v>0</v>
      </c>
      <c r="BD594" s="53" t="n">
        <v>0</v>
      </c>
      <c r="BE594" s="52" t="n">
        <v>0</v>
      </c>
      <c r="BF594" s="51" t="n">
        <v>0</v>
      </c>
    </row>
    <row r="595">
      <c r="A595">
        <f>HYPERLINK("https://www.walmart.com/ip/530367477", "530367477")</f>
        <v/>
      </c>
      <c r="B595" t="inlineStr">
        <is>
          <t>Tirrinia Adult Insulated Lunch Bag with Front Pocket, Grey Green, 14'' x 7'' x 9.5'', 10.8 L</t>
        </is>
      </c>
      <c r="C595" t="inlineStr">
        <is>
          <t>1TRLB705GYNG</t>
        </is>
      </c>
      <c r="D595" t="inlineStr">
        <is>
          <t>Reusable Lunch Bags &amp; Boxes</t>
        </is>
      </c>
      <c r="E595" t="inlineStr">
        <is>
          <t>Tirrinia</t>
        </is>
      </c>
      <c r="F595" t="inlineStr">
        <is>
          <t>Q2-Target,Brand Camp VD,Lunch Bag,WFS,Lunch Bags,WFS Item</t>
        </is>
      </c>
      <c r="G595" s="48" t="n">
        <v>0</v>
      </c>
      <c r="H595" s="49" t="n">
        <v>0</v>
      </c>
      <c r="I595" s="49" t="n">
        <v>5</v>
      </c>
      <c r="J595" s="50" t="n">
        <v>0</v>
      </c>
      <c r="K595" s="51" t="n">
        <v>0</v>
      </c>
      <c r="L595" s="52" t="n">
        <v>0</v>
      </c>
      <c r="M595" s="52" t="n">
        <v>0</v>
      </c>
      <c r="N595" s="52" t="n">
        <v>0</v>
      </c>
      <c r="O595" s="53" t="n">
        <v>0</v>
      </c>
      <c r="P595" s="52" t="n">
        <v>0</v>
      </c>
      <c r="Q595" s="53" t="n">
        <v>0</v>
      </c>
      <c r="R595" s="52" t="n">
        <v>0</v>
      </c>
      <c r="S595" s="51" t="n">
        <v>0</v>
      </c>
      <c r="T595" s="48" t="n">
        <v>0</v>
      </c>
      <c r="U595" s="49" t="n">
        <v>0</v>
      </c>
      <c r="V595" s="49" t="n">
        <v>0</v>
      </c>
      <c r="W595" s="50" t="n">
        <v>0</v>
      </c>
      <c r="X595" s="51" t="n">
        <v>0</v>
      </c>
      <c r="Y595" s="52" t="n">
        <v>0</v>
      </c>
      <c r="Z595" s="52" t="n">
        <v>0</v>
      </c>
      <c r="AA595" s="52" t="n">
        <v>0</v>
      </c>
      <c r="AB595" s="53" t="n">
        <v>0</v>
      </c>
      <c r="AC595" s="52" t="n">
        <v>0</v>
      </c>
      <c r="AD595" s="53" t="n">
        <v>0</v>
      </c>
      <c r="AE595" s="52" t="n">
        <v>0</v>
      </c>
      <c r="AF595" s="51" t="n">
        <v>0</v>
      </c>
      <c r="AG595" s="48" t="n">
        <v>11.99</v>
      </c>
      <c r="AH595" s="49" t="n">
        <v>1</v>
      </c>
      <c r="AI595" s="49" t="n">
        <v>0</v>
      </c>
      <c r="AJ595" s="50" t="n">
        <v>0</v>
      </c>
      <c r="AK595" s="51" t="n">
        <v>0</v>
      </c>
      <c r="AL595" s="52" t="n">
        <v>0</v>
      </c>
      <c r="AM595" s="52" t="n">
        <v>0</v>
      </c>
      <c r="AN595" s="52" t="n">
        <v>0</v>
      </c>
      <c r="AO595" s="53" t="n">
        <v>0</v>
      </c>
      <c r="AP595" s="52" t="n">
        <v>0</v>
      </c>
      <c r="AQ595" s="53" t="n">
        <v>0</v>
      </c>
      <c r="AR595" s="52" t="n">
        <v>11.99</v>
      </c>
      <c r="AS595" s="51" t="n">
        <v>0</v>
      </c>
      <c r="AT595" s="48" t="n">
        <v>0</v>
      </c>
      <c r="AU595" s="49" t="n">
        <v>0</v>
      </c>
      <c r="AV595" s="49" t="n">
        <v>0</v>
      </c>
      <c r="AW595" s="50" t="n">
        <v>0</v>
      </c>
      <c r="AX595" s="51" t="n">
        <v>0</v>
      </c>
      <c r="AY595" s="52" t="n">
        <v>0</v>
      </c>
      <c r="AZ595" s="52" t="n">
        <v>0</v>
      </c>
      <c r="BA595" s="52" t="n">
        <v>0</v>
      </c>
      <c r="BB595" s="53" t="n">
        <v>0</v>
      </c>
      <c r="BC595" s="52" t="n">
        <v>0</v>
      </c>
      <c r="BD595" s="53" t="n">
        <v>0</v>
      </c>
      <c r="BE595" s="52" t="n">
        <v>0</v>
      </c>
      <c r="BF595" s="51" t="n">
        <v>0</v>
      </c>
    </row>
    <row r="596">
      <c r="A596">
        <f>HYPERLINK("https://www.walmart.com/ip/531901234", "531901234")</f>
        <v/>
      </c>
      <c r="B596" t="inlineStr">
        <is>
          <t>Surf Poncho Towel,Microfiber Water Absorbent Wetsuit Changing Robe After Surfing Swimming Bathing,Sand-Proof,Quick Drying</t>
        </is>
      </c>
      <c r="C596" t="inlineStr">
        <is>
          <t>1PRBR101-BK</t>
        </is>
      </c>
      <c r="D596" t="inlineStr">
        <is>
          <t>default</t>
        </is>
      </c>
      <c r="E596" t="inlineStr">
        <is>
          <t>PIER RAT HUNTINGTON</t>
        </is>
      </c>
      <c r="G596" s="48" t="n">
        <v>0</v>
      </c>
      <c r="H596" s="49" t="n">
        <v>0</v>
      </c>
      <c r="I596" s="49" t="n">
        <v>0</v>
      </c>
      <c r="J596" s="50" t="n">
        <v>0</v>
      </c>
      <c r="K596" s="51" t="n">
        <v>0</v>
      </c>
      <c r="L596" s="52" t="n">
        <v>0</v>
      </c>
      <c r="M596" s="52" t="n">
        <v>0</v>
      </c>
      <c r="N596" s="52" t="n">
        <v>0</v>
      </c>
      <c r="O596" s="53" t="n">
        <v>0</v>
      </c>
      <c r="P596" s="52" t="n">
        <v>0</v>
      </c>
      <c r="Q596" s="53" t="n">
        <v>0</v>
      </c>
      <c r="R596" s="52" t="n">
        <v>0</v>
      </c>
      <c r="S596" s="51" t="n">
        <v>25</v>
      </c>
      <c r="T596" s="48" t="n">
        <v>0</v>
      </c>
      <c r="U596" s="49" t="n">
        <v>0</v>
      </c>
      <c r="V596" s="49" t="n">
        <v>0</v>
      </c>
      <c r="W596" s="50" t="n">
        <v>0</v>
      </c>
      <c r="X596" s="51" t="n">
        <v>0</v>
      </c>
      <c r="Y596" s="52" t="n">
        <v>0</v>
      </c>
      <c r="Z596" s="52" t="n">
        <v>0</v>
      </c>
      <c r="AA596" s="52" t="n">
        <v>0</v>
      </c>
      <c r="AB596" s="53" t="n">
        <v>0</v>
      </c>
      <c r="AC596" s="52" t="n">
        <v>0</v>
      </c>
      <c r="AD596" s="53" t="n">
        <v>0</v>
      </c>
      <c r="AE596" s="52" t="n">
        <v>0</v>
      </c>
      <c r="AF596" s="51" t="n">
        <v>0</v>
      </c>
      <c r="AG596" s="48" t="n">
        <v>0</v>
      </c>
      <c r="AH596" s="49" t="n">
        <v>0</v>
      </c>
      <c r="AI596" s="49" t="n">
        <v>0</v>
      </c>
      <c r="AJ596" s="50" t="n">
        <v>0</v>
      </c>
      <c r="AK596" s="51" t="n">
        <v>0</v>
      </c>
      <c r="AL596" s="52" t="n">
        <v>0</v>
      </c>
      <c r="AM596" s="52" t="n">
        <v>0</v>
      </c>
      <c r="AN596" s="52" t="n">
        <v>0</v>
      </c>
      <c r="AO596" s="53" t="n">
        <v>0</v>
      </c>
      <c r="AP596" s="52" t="n">
        <v>0</v>
      </c>
      <c r="AQ596" s="53" t="n">
        <v>0</v>
      </c>
      <c r="AR596" s="52" t="n">
        <v>0</v>
      </c>
      <c r="AS596" s="51" t="n">
        <v>0</v>
      </c>
      <c r="AT596" s="48" t="n">
        <v>0</v>
      </c>
      <c r="AU596" s="49" t="n">
        <v>0</v>
      </c>
      <c r="AV596" s="49" t="n">
        <v>0</v>
      </c>
      <c r="AW596" s="50" t="n">
        <v>0</v>
      </c>
      <c r="AX596" s="51" t="n">
        <v>0</v>
      </c>
      <c r="AY596" s="52" t="n">
        <v>0</v>
      </c>
      <c r="AZ596" s="52" t="n">
        <v>0</v>
      </c>
      <c r="BA596" s="52" t="n">
        <v>0</v>
      </c>
      <c r="BB596" s="53" t="n">
        <v>0</v>
      </c>
      <c r="BC596" s="52" t="n">
        <v>0</v>
      </c>
      <c r="BD596" s="53" t="n">
        <v>0</v>
      </c>
      <c r="BE596" s="52" t="n">
        <v>0</v>
      </c>
      <c r="BF596" s="51" t="n">
        <v>0</v>
      </c>
    </row>
    <row r="597">
      <c r="A597">
        <f>HYPERLINK("https://www.walmart.com/ip/5319593235", "5319593235")</f>
        <v/>
      </c>
      <c r="B597" t="inlineStr">
        <is>
          <t>Solaris Unisex Large Bill Flap Sun Hat Camping Hiking Hunting Fishing Cap</t>
        </is>
      </c>
      <c r="C597" t="inlineStr">
        <is>
          <t>1SLSH911CAMO-A</t>
        </is>
      </c>
      <c r="D597" t="inlineStr">
        <is>
          <t>Hats</t>
        </is>
      </c>
      <c r="E597" t="inlineStr">
        <is>
          <t>Solaris</t>
        </is>
      </c>
      <c r="G597" s="48" t="n">
        <v>0</v>
      </c>
      <c r="H597" s="49" t="n">
        <v>0</v>
      </c>
      <c r="I597" s="49" t="n">
        <v>0</v>
      </c>
      <c r="J597" s="50" t="n">
        <v>0</v>
      </c>
      <c r="K597" s="51" t="n">
        <v>0</v>
      </c>
      <c r="L597" s="52" t="n">
        <v>0</v>
      </c>
      <c r="M597" s="52" t="n">
        <v>0</v>
      </c>
      <c r="N597" s="52" t="n">
        <v>0</v>
      </c>
      <c r="O597" s="53" t="n">
        <v>0</v>
      </c>
      <c r="P597" s="52" t="n">
        <v>0</v>
      </c>
      <c r="Q597" s="53" t="n">
        <v>0</v>
      </c>
      <c r="R597" s="52" t="n">
        <v>0</v>
      </c>
      <c r="S597" s="51" t="n">
        <v>0</v>
      </c>
      <c r="T597" s="48" t="n">
        <v>0</v>
      </c>
      <c r="U597" s="49" t="n">
        <v>0</v>
      </c>
      <c r="V597" s="49" t="n">
        <v>0</v>
      </c>
      <c r="W597" s="50" t="n">
        <v>0</v>
      </c>
      <c r="X597" s="51" t="n">
        <v>0</v>
      </c>
      <c r="Y597" s="52" t="n">
        <v>0</v>
      </c>
      <c r="Z597" s="52" t="n">
        <v>0</v>
      </c>
      <c r="AA597" s="52" t="n">
        <v>0</v>
      </c>
      <c r="AB597" s="53" t="n">
        <v>0</v>
      </c>
      <c r="AC597" s="52" t="n">
        <v>0</v>
      </c>
      <c r="AD597" s="53" t="n">
        <v>0</v>
      </c>
      <c r="AE597" s="52" t="n">
        <v>0</v>
      </c>
      <c r="AF597" s="51" t="n">
        <v>0</v>
      </c>
      <c r="AG597" s="48" t="n">
        <v>0</v>
      </c>
      <c r="AH597" s="49" t="n">
        <v>0</v>
      </c>
      <c r="AI597" s="49" t="n">
        <v>0</v>
      </c>
      <c r="AJ597" s="50" t="n">
        <v>0</v>
      </c>
      <c r="AK597" s="51" t="n">
        <v>0</v>
      </c>
      <c r="AL597" s="52" t="n">
        <v>0</v>
      </c>
      <c r="AM597" s="52" t="n">
        <v>0</v>
      </c>
      <c r="AN597" s="52" t="n">
        <v>0</v>
      </c>
      <c r="AO597" s="53" t="n">
        <v>0</v>
      </c>
      <c r="AP597" s="52" t="n">
        <v>0</v>
      </c>
      <c r="AQ597" s="53" t="n">
        <v>0</v>
      </c>
      <c r="AR597" s="52" t="n">
        <v>0</v>
      </c>
      <c r="AS597" s="51" t="n">
        <v>0</v>
      </c>
      <c r="AT597" s="48" t="n">
        <v>0</v>
      </c>
      <c r="AU597" s="49" t="n">
        <v>0</v>
      </c>
      <c r="AV597" s="49" t="n">
        <v>0</v>
      </c>
      <c r="AW597" s="50" t="n">
        <v>0</v>
      </c>
      <c r="AX597" s="51" t="n">
        <v>0</v>
      </c>
      <c r="AY597" s="52" t="n">
        <v>0</v>
      </c>
      <c r="AZ597" s="52" t="n">
        <v>0</v>
      </c>
      <c r="BA597" s="52" t="n">
        <v>0</v>
      </c>
      <c r="BB597" s="53" t="n">
        <v>0</v>
      </c>
      <c r="BC597" s="52" t="n">
        <v>0</v>
      </c>
      <c r="BD597" s="53" t="n">
        <v>0</v>
      </c>
      <c r="BE597" s="52" t="n">
        <v>0</v>
      </c>
      <c r="BF597" s="51" t="n">
        <v>0</v>
      </c>
    </row>
    <row r="598">
      <c r="A598">
        <f>HYPERLINK("https://www.walmart.com/ip/532076410", "532076410")</f>
        <v/>
      </c>
      <c r="B598" t="inlineStr">
        <is>
          <t>Catalonia Sherpa Blanket, National Flag Print Patriotic Plush Super Soft Warm Reversible Polar Fleece Throws for Living Room Decoration 50x60 inches</t>
        </is>
      </c>
      <c r="C598" t="inlineStr">
        <is>
          <t>1CTBF300UK</t>
        </is>
      </c>
      <c r="D598" t="inlineStr">
        <is>
          <t>Throws</t>
        </is>
      </c>
      <c r="E598" t="inlineStr">
        <is>
          <t>Catalonia</t>
        </is>
      </c>
      <c r="F598" t="inlineStr">
        <is>
          <t>Batch 1 - TR</t>
        </is>
      </c>
      <c r="G598" s="48" t="n">
        <v>0</v>
      </c>
      <c r="H598" s="49" t="n">
        <v>0</v>
      </c>
      <c r="I598" s="49" t="n">
        <v>0</v>
      </c>
      <c r="J598" s="50" t="n">
        <v>0</v>
      </c>
      <c r="K598" s="51" t="n">
        <v>0</v>
      </c>
      <c r="L598" s="52" t="n">
        <v>0</v>
      </c>
      <c r="M598" s="52" t="n">
        <v>0</v>
      </c>
      <c r="N598" s="52" t="n">
        <v>0</v>
      </c>
      <c r="O598" s="53" t="n">
        <v>0</v>
      </c>
      <c r="P598" s="52" t="n">
        <v>0</v>
      </c>
      <c r="Q598" s="53" t="n">
        <v>0</v>
      </c>
      <c r="R598" s="52" t="n">
        <v>0</v>
      </c>
      <c r="S598" s="51" t="n">
        <v>0</v>
      </c>
      <c r="T598" s="48" t="n">
        <v>0</v>
      </c>
      <c r="U598" s="49" t="n">
        <v>0</v>
      </c>
      <c r="V598" s="49" t="n">
        <v>0</v>
      </c>
      <c r="W598" s="50" t="n">
        <v>0</v>
      </c>
      <c r="X598" s="51" t="n">
        <v>0</v>
      </c>
      <c r="Y598" s="52" t="n">
        <v>0</v>
      </c>
      <c r="Z598" s="52" t="n">
        <v>0</v>
      </c>
      <c r="AA598" s="52" t="n">
        <v>0</v>
      </c>
      <c r="AB598" s="53" t="n">
        <v>0</v>
      </c>
      <c r="AC598" s="52" t="n">
        <v>0</v>
      </c>
      <c r="AD598" s="53" t="n">
        <v>0</v>
      </c>
      <c r="AE598" s="52" t="n">
        <v>0</v>
      </c>
      <c r="AF598" s="51" t="n">
        <v>0</v>
      </c>
      <c r="AG598" s="48" t="n">
        <v>0</v>
      </c>
      <c r="AH598" s="49" t="n">
        <v>0</v>
      </c>
      <c r="AI598" s="49" t="n">
        <v>0</v>
      </c>
      <c r="AJ598" s="50" t="n">
        <v>0</v>
      </c>
      <c r="AK598" s="51" t="n">
        <v>0</v>
      </c>
      <c r="AL598" s="52" t="n">
        <v>0</v>
      </c>
      <c r="AM598" s="52" t="n">
        <v>0</v>
      </c>
      <c r="AN598" s="52" t="n">
        <v>0</v>
      </c>
      <c r="AO598" s="53" t="n">
        <v>0</v>
      </c>
      <c r="AP598" s="52" t="n">
        <v>0</v>
      </c>
      <c r="AQ598" s="53" t="n">
        <v>0</v>
      </c>
      <c r="AR598" s="52" t="n">
        <v>0</v>
      </c>
      <c r="AS598" s="51" t="n">
        <v>0</v>
      </c>
      <c r="AT598" s="48" t="n">
        <v>0</v>
      </c>
      <c r="AU598" s="49" t="n">
        <v>0</v>
      </c>
      <c r="AV598" s="49" t="n">
        <v>0</v>
      </c>
      <c r="AW598" s="50" t="n">
        <v>0</v>
      </c>
      <c r="AX598" s="51" t="n">
        <v>0</v>
      </c>
      <c r="AY598" s="52" t="n">
        <v>0</v>
      </c>
      <c r="AZ598" s="52" t="n">
        <v>0</v>
      </c>
      <c r="BA598" s="52" t="n">
        <v>0</v>
      </c>
      <c r="BB598" s="53" t="n">
        <v>0</v>
      </c>
      <c r="BC598" s="52" t="n">
        <v>0</v>
      </c>
      <c r="BD598" s="53" t="n">
        <v>0</v>
      </c>
      <c r="BE598" s="52" t="n">
        <v>0</v>
      </c>
      <c r="BF598" s="51" t="n">
        <v>0</v>
      </c>
    </row>
    <row r="599">
      <c r="A599">
        <f>HYPERLINK("https://www.walmart.com/ip/533440148", "533440148")</f>
        <v/>
      </c>
      <c r="B599" t="inlineStr">
        <is>
          <t>Catalonia Fleece Throw Blanket for Couch, Lightweight All Seasons Soft Cozy Moroccan Blanket for Home Living Room Decorative, 50'' x 60'', Black</t>
        </is>
      </c>
      <c r="C599" t="inlineStr">
        <is>
          <t>1CTBF580LTSBK</t>
        </is>
      </c>
      <c r="D599" t="inlineStr">
        <is>
          <t>Throws</t>
        </is>
      </c>
      <c r="E599" t="inlineStr">
        <is>
          <t>Catalonia</t>
        </is>
      </c>
      <c r="F599" t="inlineStr">
        <is>
          <t>WFS,WFS Item</t>
        </is>
      </c>
      <c r="G599" s="48" t="n">
        <v>0</v>
      </c>
      <c r="H599" s="49" t="n">
        <v>0</v>
      </c>
      <c r="I599" s="49" t="n">
        <v>0</v>
      </c>
      <c r="J599" s="50" t="n">
        <v>0</v>
      </c>
      <c r="K599" s="51" t="n">
        <v>0</v>
      </c>
      <c r="L599" s="52" t="n">
        <v>0</v>
      </c>
      <c r="M599" s="52" t="n">
        <v>0</v>
      </c>
      <c r="N599" s="52" t="n">
        <v>0</v>
      </c>
      <c r="O599" s="53" t="n">
        <v>0</v>
      </c>
      <c r="P599" s="52" t="n">
        <v>0</v>
      </c>
      <c r="Q599" s="53" t="n">
        <v>0</v>
      </c>
      <c r="R599" s="52" t="n">
        <v>0</v>
      </c>
      <c r="S599" s="51" t="n">
        <v>0</v>
      </c>
      <c r="T599" s="48" t="n">
        <v>0</v>
      </c>
      <c r="U599" s="49" t="n">
        <v>0</v>
      </c>
      <c r="V599" s="49" t="n">
        <v>0</v>
      </c>
      <c r="W599" s="50" t="n">
        <v>0</v>
      </c>
      <c r="X599" s="51" t="n">
        <v>0</v>
      </c>
      <c r="Y599" s="52" t="n">
        <v>0</v>
      </c>
      <c r="Z599" s="52" t="n">
        <v>0</v>
      </c>
      <c r="AA599" s="52" t="n">
        <v>0</v>
      </c>
      <c r="AB599" s="53" t="n">
        <v>0</v>
      </c>
      <c r="AC599" s="52" t="n">
        <v>0</v>
      </c>
      <c r="AD599" s="53" t="n">
        <v>0</v>
      </c>
      <c r="AE599" s="52" t="n">
        <v>0</v>
      </c>
      <c r="AF599" s="51" t="n">
        <v>0</v>
      </c>
      <c r="AG599" s="48" t="n">
        <v>0</v>
      </c>
      <c r="AH599" s="49" t="n">
        <v>0</v>
      </c>
      <c r="AI599" s="49" t="n">
        <v>0</v>
      </c>
      <c r="AJ599" s="50" t="n">
        <v>0</v>
      </c>
      <c r="AK599" s="51" t="n">
        <v>0</v>
      </c>
      <c r="AL599" s="52" t="n">
        <v>0</v>
      </c>
      <c r="AM599" s="52" t="n">
        <v>0</v>
      </c>
      <c r="AN599" s="52" t="n">
        <v>0</v>
      </c>
      <c r="AO599" s="53" t="n">
        <v>0</v>
      </c>
      <c r="AP599" s="52" t="n">
        <v>0</v>
      </c>
      <c r="AQ599" s="53" t="n">
        <v>0</v>
      </c>
      <c r="AR599" s="52" t="n">
        <v>0</v>
      </c>
      <c r="AS599" s="51" t="n">
        <v>0</v>
      </c>
      <c r="AT599" s="48" t="n">
        <v>0</v>
      </c>
      <c r="AU599" s="49" t="n">
        <v>0</v>
      </c>
      <c r="AV599" s="49" t="n">
        <v>0</v>
      </c>
      <c r="AW599" s="50" t="n">
        <v>0</v>
      </c>
      <c r="AX599" s="51" t="n">
        <v>0</v>
      </c>
      <c r="AY599" s="52" t="n">
        <v>0</v>
      </c>
      <c r="AZ599" s="52" t="n">
        <v>0</v>
      </c>
      <c r="BA599" s="52" t="n">
        <v>0</v>
      </c>
      <c r="BB599" s="53" t="n">
        <v>0</v>
      </c>
      <c r="BC599" s="52" t="n">
        <v>0</v>
      </c>
      <c r="BD599" s="53" t="n">
        <v>0</v>
      </c>
      <c r="BE599" s="52" t="n">
        <v>0</v>
      </c>
      <c r="BF599" s="51" t="n">
        <v>0</v>
      </c>
    </row>
    <row r="600">
      <c r="A600">
        <f>HYPERLINK("https://www.walmart.com/ip/5337657455", "5337657455")</f>
        <v/>
      </c>
      <c r="B600" t="inlineStr">
        <is>
          <t>Tirrinia 4-in-1 Travel Blanket Luxurious Premium Micro Fleece Lightweight 40” x 60” Pink</t>
        </is>
      </c>
      <c r="C600" t="inlineStr">
        <is>
          <t>1TRTB100FP</t>
        </is>
      </c>
      <c r="D600" t="inlineStr">
        <is>
          <t>Throws</t>
        </is>
      </c>
      <c r="E600" t="inlineStr">
        <is>
          <t>Tirrinia</t>
        </is>
      </c>
      <c r="G600" s="48" t="n">
        <v>0</v>
      </c>
      <c r="H600" s="49" t="n">
        <v>0</v>
      </c>
      <c r="I600" s="49" t="n">
        <v>0</v>
      </c>
      <c r="J600" s="50" t="n">
        <v>0</v>
      </c>
      <c r="K600" s="51" t="n">
        <v>0</v>
      </c>
      <c r="L600" s="52" t="n">
        <v>0</v>
      </c>
      <c r="M600" s="52" t="n">
        <v>0</v>
      </c>
      <c r="N600" s="52" t="n">
        <v>0</v>
      </c>
      <c r="O600" s="53" t="n">
        <v>0</v>
      </c>
      <c r="P600" s="52" t="n">
        <v>0</v>
      </c>
      <c r="Q600" s="53" t="n">
        <v>0</v>
      </c>
      <c r="R600" s="52" t="n">
        <v>0</v>
      </c>
      <c r="S600" s="51" t="n">
        <v>0</v>
      </c>
      <c r="T600" s="48" t="n">
        <v>0</v>
      </c>
      <c r="U600" s="49" t="n">
        <v>0</v>
      </c>
      <c r="V600" s="49" t="n">
        <v>0</v>
      </c>
      <c r="W600" s="50" t="n">
        <v>0</v>
      </c>
      <c r="X600" s="51" t="n">
        <v>0</v>
      </c>
      <c r="Y600" s="52" t="n">
        <v>0</v>
      </c>
      <c r="Z600" s="52" t="n">
        <v>0</v>
      </c>
      <c r="AA600" s="52" t="n">
        <v>0</v>
      </c>
      <c r="AB600" s="53" t="n">
        <v>0</v>
      </c>
      <c r="AC600" s="52" t="n">
        <v>0</v>
      </c>
      <c r="AD600" s="53" t="n">
        <v>0</v>
      </c>
      <c r="AE600" s="52" t="n">
        <v>0</v>
      </c>
      <c r="AF600" s="51" t="n">
        <v>0</v>
      </c>
      <c r="AG600" s="48" t="n">
        <v>0</v>
      </c>
      <c r="AH600" s="49" t="n">
        <v>0</v>
      </c>
      <c r="AI600" s="49" t="n">
        <v>0</v>
      </c>
      <c r="AJ600" s="50" t="n">
        <v>0</v>
      </c>
      <c r="AK600" s="51" t="n">
        <v>0</v>
      </c>
      <c r="AL600" s="52" t="n">
        <v>0</v>
      </c>
      <c r="AM600" s="52" t="n">
        <v>0</v>
      </c>
      <c r="AN600" s="52" t="n">
        <v>0</v>
      </c>
      <c r="AO600" s="53" t="n">
        <v>0</v>
      </c>
      <c r="AP600" s="52" t="n">
        <v>0</v>
      </c>
      <c r="AQ600" s="53" t="n">
        <v>0</v>
      </c>
      <c r="AR600" s="52" t="n">
        <v>0</v>
      </c>
      <c r="AS600" s="51" t="n">
        <v>0</v>
      </c>
      <c r="AT600" s="48" t="n">
        <v>0</v>
      </c>
      <c r="AU600" s="49" t="n">
        <v>0</v>
      </c>
      <c r="AV600" s="49" t="n">
        <v>0</v>
      </c>
      <c r="AW600" s="50" t="n">
        <v>0</v>
      </c>
      <c r="AX600" s="51" t="n">
        <v>0</v>
      </c>
      <c r="AY600" s="52" t="n">
        <v>0</v>
      </c>
      <c r="AZ600" s="52" t="n">
        <v>0</v>
      </c>
      <c r="BA600" s="52" t="n">
        <v>0</v>
      </c>
      <c r="BB600" s="53" t="n">
        <v>0</v>
      </c>
      <c r="BC600" s="52" t="n">
        <v>0</v>
      </c>
      <c r="BD600" s="53" t="n">
        <v>0</v>
      </c>
      <c r="BE600" s="52" t="n">
        <v>0</v>
      </c>
      <c r="BF600" s="51" t="n">
        <v>0</v>
      </c>
    </row>
    <row r="601">
      <c r="A601">
        <f>HYPERLINK("https://www.walmart.com/ip/5342695765", "5342695765")</f>
        <v/>
      </c>
      <c r="B601" t="inlineStr">
        <is>
          <t>Outdoor Wide Brim Sun Hats Blocking UV Protection Cap UPF 50+ Foldable Mesh Net for Finishing, Hiking, Camping by Solari</t>
        </is>
      </c>
      <c r="C601" t="inlineStr">
        <is>
          <t>1SLSH912DIGIGY</t>
        </is>
      </c>
      <c r="D601" t="inlineStr">
        <is>
          <t>Hats</t>
        </is>
      </c>
      <c r="E601" t="inlineStr">
        <is>
          <t>Solaris</t>
        </is>
      </c>
      <c r="G601" s="48" t="n">
        <v>0</v>
      </c>
      <c r="H601" s="49" t="n">
        <v>0</v>
      </c>
      <c r="I601" s="49" t="n">
        <v>0</v>
      </c>
      <c r="J601" s="50" t="n">
        <v>0</v>
      </c>
      <c r="K601" s="51" t="n">
        <v>0</v>
      </c>
      <c r="L601" s="52" t="n">
        <v>0</v>
      </c>
      <c r="M601" s="52" t="n">
        <v>0</v>
      </c>
      <c r="N601" s="52" t="n">
        <v>0</v>
      </c>
      <c r="O601" s="53" t="n">
        <v>0</v>
      </c>
      <c r="P601" s="52" t="n">
        <v>0</v>
      </c>
      <c r="Q601" s="53" t="n">
        <v>0</v>
      </c>
      <c r="R601" s="52" t="n">
        <v>0</v>
      </c>
      <c r="S601" s="51" t="n">
        <v>0</v>
      </c>
      <c r="T601" s="48" t="n">
        <v>0</v>
      </c>
      <c r="U601" s="49" t="n">
        <v>0</v>
      </c>
      <c r="V601" s="49" t="n">
        <v>0</v>
      </c>
      <c r="W601" s="50" t="n">
        <v>0</v>
      </c>
      <c r="X601" s="51" t="n">
        <v>0</v>
      </c>
      <c r="Y601" s="52" t="n">
        <v>0</v>
      </c>
      <c r="Z601" s="52" t="n">
        <v>0</v>
      </c>
      <c r="AA601" s="52" t="n">
        <v>0</v>
      </c>
      <c r="AB601" s="53" t="n">
        <v>0</v>
      </c>
      <c r="AC601" s="52" t="n">
        <v>0</v>
      </c>
      <c r="AD601" s="53" t="n">
        <v>0</v>
      </c>
      <c r="AE601" s="52" t="n">
        <v>0</v>
      </c>
      <c r="AF601" s="51" t="n">
        <v>0</v>
      </c>
      <c r="AG601" s="48" t="n">
        <v>0</v>
      </c>
      <c r="AH601" s="49" t="n">
        <v>0</v>
      </c>
      <c r="AI601" s="49" t="n">
        <v>0</v>
      </c>
      <c r="AJ601" s="50" t="n">
        <v>0</v>
      </c>
      <c r="AK601" s="51" t="n">
        <v>0</v>
      </c>
      <c r="AL601" s="52" t="n">
        <v>0</v>
      </c>
      <c r="AM601" s="52" t="n">
        <v>0</v>
      </c>
      <c r="AN601" s="52" t="n">
        <v>0</v>
      </c>
      <c r="AO601" s="53" t="n">
        <v>0</v>
      </c>
      <c r="AP601" s="52" t="n">
        <v>0</v>
      </c>
      <c r="AQ601" s="53" t="n">
        <v>0</v>
      </c>
      <c r="AR601" s="52" t="n">
        <v>0</v>
      </c>
      <c r="AS601" s="51" t="n">
        <v>0</v>
      </c>
      <c r="AT601" s="48" t="n">
        <v>0</v>
      </c>
      <c r="AU601" s="49" t="n">
        <v>0</v>
      </c>
      <c r="AV601" s="49" t="n">
        <v>0</v>
      </c>
      <c r="AW601" s="50" t="n">
        <v>0</v>
      </c>
      <c r="AX601" s="51" t="n">
        <v>0</v>
      </c>
      <c r="AY601" s="52" t="n">
        <v>0</v>
      </c>
      <c r="AZ601" s="52" t="n">
        <v>0</v>
      </c>
      <c r="BA601" s="52" t="n">
        <v>0</v>
      </c>
      <c r="BB601" s="53" t="n">
        <v>0</v>
      </c>
      <c r="BC601" s="52" t="n">
        <v>0</v>
      </c>
      <c r="BD601" s="53" t="n">
        <v>0</v>
      </c>
      <c r="BE601" s="52" t="n">
        <v>0</v>
      </c>
      <c r="BF601" s="51" t="n">
        <v>0</v>
      </c>
    </row>
    <row r="602">
      <c r="A602">
        <f>HYPERLINK("https://www.walmart.com/ip/5343794728", "5343794728")</f>
        <v/>
      </c>
      <c r="B602" t="inlineStr">
        <is>
          <t>Tirrinia Large Insulated Lunch Bag for Men and Women, Adult Double-Layer Leakproof Reusable Grocery Bag, Office, Travel, Work Lunch Cooler Tote</t>
        </is>
      </c>
      <c r="C602" t="inlineStr">
        <is>
          <t>1TRLB708BL-D</t>
        </is>
      </c>
      <c r="D602" t="inlineStr">
        <is>
          <t>Reusable Lunch Bags &amp; Boxes</t>
        </is>
      </c>
      <c r="E602" t="inlineStr">
        <is>
          <t>Tirrinia</t>
        </is>
      </c>
      <c r="G602" s="48" t="n">
        <v>0</v>
      </c>
      <c r="H602" s="49" t="n">
        <v>0</v>
      </c>
      <c r="I602" s="49" t="n">
        <v>0</v>
      </c>
      <c r="J602" s="50" t="n">
        <v>0</v>
      </c>
      <c r="K602" s="51" t="n">
        <v>0</v>
      </c>
      <c r="L602" s="52" t="n">
        <v>0</v>
      </c>
      <c r="M602" s="52" t="n">
        <v>0</v>
      </c>
      <c r="N602" s="52" t="n">
        <v>0</v>
      </c>
      <c r="O602" s="53" t="n">
        <v>0</v>
      </c>
      <c r="P602" s="52" t="n">
        <v>0</v>
      </c>
      <c r="Q602" s="53" t="n">
        <v>0</v>
      </c>
      <c r="R602" s="52" t="n">
        <v>0</v>
      </c>
      <c r="S602" s="51" t="n">
        <v>0</v>
      </c>
      <c r="T602" s="48" t="n">
        <v>0</v>
      </c>
      <c r="U602" s="49" t="n">
        <v>0</v>
      </c>
      <c r="V602" s="49" t="n">
        <v>0</v>
      </c>
      <c r="W602" s="50" t="n">
        <v>0</v>
      </c>
      <c r="X602" s="51" t="n">
        <v>0</v>
      </c>
      <c r="Y602" s="52" t="n">
        <v>0</v>
      </c>
      <c r="Z602" s="52" t="n">
        <v>0</v>
      </c>
      <c r="AA602" s="52" t="n">
        <v>0</v>
      </c>
      <c r="AB602" s="53" t="n">
        <v>0</v>
      </c>
      <c r="AC602" s="52" t="n">
        <v>0</v>
      </c>
      <c r="AD602" s="53" t="n">
        <v>0</v>
      </c>
      <c r="AE602" s="52" t="n">
        <v>0</v>
      </c>
      <c r="AF602" s="51" t="n">
        <v>0</v>
      </c>
      <c r="AG602" s="48" t="n">
        <v>0</v>
      </c>
      <c r="AH602" s="49" t="n">
        <v>0</v>
      </c>
      <c r="AI602" s="49" t="n">
        <v>0</v>
      </c>
      <c r="AJ602" s="50" t="n">
        <v>0</v>
      </c>
      <c r="AK602" s="51" t="n">
        <v>0</v>
      </c>
      <c r="AL602" s="52" t="n">
        <v>0</v>
      </c>
      <c r="AM602" s="52" t="n">
        <v>0</v>
      </c>
      <c r="AN602" s="52" t="n">
        <v>0</v>
      </c>
      <c r="AO602" s="53" t="n">
        <v>0</v>
      </c>
      <c r="AP602" s="52" t="n">
        <v>0</v>
      </c>
      <c r="AQ602" s="53" t="n">
        <v>0</v>
      </c>
      <c r="AR602" s="52" t="n">
        <v>0</v>
      </c>
      <c r="AS602" s="51" t="n">
        <v>0</v>
      </c>
      <c r="AT602" s="48" t="n">
        <v>0</v>
      </c>
      <c r="AU602" s="49" t="n">
        <v>0</v>
      </c>
      <c r="AV602" s="49" t="n">
        <v>0</v>
      </c>
      <c r="AW602" s="50" t="n">
        <v>0</v>
      </c>
      <c r="AX602" s="51" t="n">
        <v>0</v>
      </c>
      <c r="AY602" s="52" t="n">
        <v>0</v>
      </c>
      <c r="AZ602" s="52" t="n">
        <v>0</v>
      </c>
      <c r="BA602" s="52" t="n">
        <v>0</v>
      </c>
      <c r="BB602" s="53" t="n">
        <v>0</v>
      </c>
      <c r="BC602" s="52" t="n">
        <v>0</v>
      </c>
      <c r="BD602" s="53" t="n">
        <v>0</v>
      </c>
      <c r="BE602" s="52" t="n">
        <v>0</v>
      </c>
      <c r="BF602" s="51" t="n">
        <v>0</v>
      </c>
    </row>
    <row r="603">
      <c r="A603">
        <f>HYPERLINK("https://www.walmart.com/ip/534542732", "534542732")</f>
        <v/>
      </c>
      <c r="B603" t="inlineStr">
        <is>
          <t>Flyingstar Unisex Surf Poncho Changing Towel Robe for Adult Surfer Swimmer Outdoor Beach</t>
        </is>
      </c>
      <c r="C603" t="inlineStr">
        <is>
          <t>1WMBR102-BK</t>
        </is>
      </c>
      <c r="D603" t="inlineStr">
        <is>
          <t>Towels &amp; Washcloths</t>
        </is>
      </c>
      <c r="E603" t="inlineStr">
        <is>
          <t>Flyingstar</t>
        </is>
      </c>
      <c r="F603" t="inlineStr">
        <is>
          <t>Batch 1 - TR</t>
        </is>
      </c>
      <c r="G603" s="48" t="n">
        <v>0</v>
      </c>
      <c r="H603" s="49" t="n">
        <v>0</v>
      </c>
      <c r="I603" s="49" t="n">
        <v>0</v>
      </c>
      <c r="J603" s="50" t="n">
        <v>0</v>
      </c>
      <c r="K603" s="51" t="n">
        <v>0</v>
      </c>
      <c r="L603" s="52" t="n">
        <v>0</v>
      </c>
      <c r="M603" s="52" t="n">
        <v>0</v>
      </c>
      <c r="N603" s="52" t="n">
        <v>0</v>
      </c>
      <c r="O603" s="53" t="n">
        <v>0</v>
      </c>
      <c r="P603" s="52" t="n">
        <v>0</v>
      </c>
      <c r="Q603" s="53" t="n">
        <v>0</v>
      </c>
      <c r="R603" s="52" t="n">
        <v>0</v>
      </c>
      <c r="S603" s="51" t="n">
        <v>0</v>
      </c>
      <c r="T603" s="48" t="n">
        <v>0</v>
      </c>
      <c r="U603" s="49" t="n">
        <v>0</v>
      </c>
      <c r="V603" s="49" t="n">
        <v>0</v>
      </c>
      <c r="W603" s="50" t="n">
        <v>0</v>
      </c>
      <c r="X603" s="51" t="n">
        <v>0</v>
      </c>
      <c r="Y603" s="52" t="n">
        <v>0</v>
      </c>
      <c r="Z603" s="52" t="n">
        <v>0</v>
      </c>
      <c r="AA603" s="52" t="n">
        <v>0</v>
      </c>
      <c r="AB603" s="53" t="n">
        <v>0</v>
      </c>
      <c r="AC603" s="52" t="n">
        <v>0</v>
      </c>
      <c r="AD603" s="53" t="n">
        <v>0</v>
      </c>
      <c r="AE603" s="52" t="n">
        <v>0</v>
      </c>
      <c r="AF603" s="51" t="n">
        <v>0</v>
      </c>
      <c r="AG603" s="48" t="n">
        <v>0</v>
      </c>
      <c r="AH603" s="49" t="n">
        <v>0</v>
      </c>
      <c r="AI603" s="49" t="n">
        <v>0</v>
      </c>
      <c r="AJ603" s="50" t="n">
        <v>0</v>
      </c>
      <c r="AK603" s="51" t="n">
        <v>0</v>
      </c>
      <c r="AL603" s="52" t="n">
        <v>0</v>
      </c>
      <c r="AM603" s="52" t="n">
        <v>0</v>
      </c>
      <c r="AN603" s="52" t="n">
        <v>0</v>
      </c>
      <c r="AO603" s="53" t="n">
        <v>0</v>
      </c>
      <c r="AP603" s="52" t="n">
        <v>0</v>
      </c>
      <c r="AQ603" s="53" t="n">
        <v>0</v>
      </c>
      <c r="AR603" s="52" t="n">
        <v>0</v>
      </c>
      <c r="AS603" s="51" t="n">
        <v>0</v>
      </c>
      <c r="AT603" s="48" t="n">
        <v>0</v>
      </c>
      <c r="AU603" s="49" t="n">
        <v>0</v>
      </c>
      <c r="AV603" s="49" t="n">
        <v>0</v>
      </c>
      <c r="AW603" s="50" t="n">
        <v>0</v>
      </c>
      <c r="AX603" s="51" t="n">
        <v>0</v>
      </c>
      <c r="AY603" s="52" t="n">
        <v>0</v>
      </c>
      <c r="AZ603" s="52" t="n">
        <v>0</v>
      </c>
      <c r="BA603" s="52" t="n">
        <v>0</v>
      </c>
      <c r="BB603" s="53" t="n">
        <v>0</v>
      </c>
      <c r="BC603" s="52" t="n">
        <v>0</v>
      </c>
      <c r="BD603" s="53" t="n">
        <v>0</v>
      </c>
      <c r="BE603" s="52" t="n">
        <v>0</v>
      </c>
      <c r="BF603" s="51" t="n">
        <v>0</v>
      </c>
    </row>
    <row r="604">
      <c r="A604">
        <f>HYPERLINK("https://www.walmart.com/ip/5346646233", "5346646233")</f>
        <v/>
      </c>
      <c r="B604" t="inlineStr">
        <is>
          <t>Outdoor Wide Brim Sun Hats Blocking UV Protection Cap UPF 50+ Foldable Mesh Net for Finishing, Hiking, Camping by Solari</t>
        </is>
      </c>
      <c r="C604" t="inlineStr">
        <is>
          <t>1SLSH912CAMO-B</t>
        </is>
      </c>
      <c r="D604" t="inlineStr">
        <is>
          <t>Hats</t>
        </is>
      </c>
      <c r="E604" t="inlineStr">
        <is>
          <t>Solaris</t>
        </is>
      </c>
      <c r="G604" s="48" t="n">
        <v>0</v>
      </c>
      <c r="H604" s="49" t="n">
        <v>0</v>
      </c>
      <c r="I604" s="49" t="n">
        <v>0</v>
      </c>
      <c r="J604" s="50" t="n">
        <v>0</v>
      </c>
      <c r="K604" s="51" t="n">
        <v>0</v>
      </c>
      <c r="L604" s="52" t="n">
        <v>0</v>
      </c>
      <c r="M604" s="52" t="n">
        <v>0</v>
      </c>
      <c r="N604" s="52" t="n">
        <v>0</v>
      </c>
      <c r="O604" s="53" t="n">
        <v>0</v>
      </c>
      <c r="P604" s="52" t="n">
        <v>0</v>
      </c>
      <c r="Q604" s="53" t="n">
        <v>0</v>
      </c>
      <c r="R604" s="52" t="n">
        <v>0</v>
      </c>
      <c r="S604" s="51" t="n">
        <v>0</v>
      </c>
      <c r="T604" s="48" t="n">
        <v>0</v>
      </c>
      <c r="U604" s="49" t="n">
        <v>0</v>
      </c>
      <c r="V604" s="49" t="n">
        <v>0</v>
      </c>
      <c r="W604" s="50" t="n">
        <v>0</v>
      </c>
      <c r="X604" s="51" t="n">
        <v>0</v>
      </c>
      <c r="Y604" s="52" t="n">
        <v>0</v>
      </c>
      <c r="Z604" s="52" t="n">
        <v>0</v>
      </c>
      <c r="AA604" s="52" t="n">
        <v>0</v>
      </c>
      <c r="AB604" s="53" t="n">
        <v>0</v>
      </c>
      <c r="AC604" s="52" t="n">
        <v>0</v>
      </c>
      <c r="AD604" s="53" t="n">
        <v>0</v>
      </c>
      <c r="AE604" s="52" t="n">
        <v>0</v>
      </c>
      <c r="AF604" s="51" t="n">
        <v>0</v>
      </c>
      <c r="AG604" s="48" t="n">
        <v>0</v>
      </c>
      <c r="AH604" s="49" t="n">
        <v>0</v>
      </c>
      <c r="AI604" s="49" t="n">
        <v>0</v>
      </c>
      <c r="AJ604" s="50" t="n">
        <v>0</v>
      </c>
      <c r="AK604" s="51" t="n">
        <v>0</v>
      </c>
      <c r="AL604" s="52" t="n">
        <v>0</v>
      </c>
      <c r="AM604" s="52" t="n">
        <v>0</v>
      </c>
      <c r="AN604" s="52" t="n">
        <v>0</v>
      </c>
      <c r="AO604" s="53" t="n">
        <v>0</v>
      </c>
      <c r="AP604" s="52" t="n">
        <v>0</v>
      </c>
      <c r="AQ604" s="53" t="n">
        <v>0</v>
      </c>
      <c r="AR604" s="52" t="n">
        <v>0</v>
      </c>
      <c r="AS604" s="51" t="n">
        <v>0</v>
      </c>
      <c r="AT604" s="48" t="n">
        <v>0</v>
      </c>
      <c r="AU604" s="49" t="n">
        <v>0</v>
      </c>
      <c r="AV604" s="49" t="n">
        <v>0</v>
      </c>
      <c r="AW604" s="50" t="n">
        <v>0</v>
      </c>
      <c r="AX604" s="51" t="n">
        <v>0</v>
      </c>
      <c r="AY604" s="52" t="n">
        <v>0</v>
      </c>
      <c r="AZ604" s="52" t="n">
        <v>0</v>
      </c>
      <c r="BA604" s="52" t="n">
        <v>0</v>
      </c>
      <c r="BB604" s="53" t="n">
        <v>0</v>
      </c>
      <c r="BC604" s="52" t="n">
        <v>0</v>
      </c>
      <c r="BD604" s="53" t="n">
        <v>0</v>
      </c>
      <c r="BE604" s="52" t="n">
        <v>0</v>
      </c>
      <c r="BF604" s="51" t="n">
        <v>0</v>
      </c>
    </row>
    <row r="605">
      <c r="A605">
        <f>HYPERLINK("https://www.walmart.com/ip/534793727", "534793727")</f>
        <v/>
      </c>
      <c r="B605" t="inlineStr">
        <is>
          <t>New Camo Break Up Heavy Duty Backpack Shoulder Bag for Hunting Fishing Camping</t>
        </is>
      </c>
      <c r="C605" t="inlineStr">
        <is>
          <t>b1818-Backpack</t>
        </is>
      </c>
      <c r="D605" t="inlineStr">
        <is>
          <t>Backpacks</t>
        </is>
      </c>
      <c r="E605" t="inlineStr">
        <is>
          <t>KC Caps</t>
        </is>
      </c>
      <c r="F605" t="inlineStr">
        <is>
          <t>Backpack,Optimized</t>
        </is>
      </c>
      <c r="G605" s="48" t="n">
        <v>0</v>
      </c>
      <c r="H605" s="49" t="n">
        <v>0</v>
      </c>
      <c r="I605" s="49" t="n">
        <v>0</v>
      </c>
      <c r="J605" s="50" t="n">
        <v>0</v>
      </c>
      <c r="K605" s="51" t="n">
        <v>0</v>
      </c>
      <c r="L605" s="52" t="n">
        <v>0</v>
      </c>
      <c r="M605" s="52" t="n">
        <v>0</v>
      </c>
      <c r="N605" s="52" t="n">
        <v>0</v>
      </c>
      <c r="O605" s="53" t="n">
        <v>0</v>
      </c>
      <c r="P605" s="52" t="n">
        <v>0</v>
      </c>
      <c r="Q605" s="53" t="n">
        <v>0</v>
      </c>
      <c r="R605" s="52" t="n">
        <v>0</v>
      </c>
      <c r="S605" s="51" t="n">
        <v>0</v>
      </c>
      <c r="T605" s="48" t="n">
        <v>0</v>
      </c>
      <c r="U605" s="49" t="n">
        <v>0</v>
      </c>
      <c r="V605" s="49" t="n">
        <v>0</v>
      </c>
      <c r="W605" s="50" t="n">
        <v>0</v>
      </c>
      <c r="X605" s="51" t="n">
        <v>0</v>
      </c>
      <c r="Y605" s="52" t="n">
        <v>0</v>
      </c>
      <c r="Z605" s="52" t="n">
        <v>0</v>
      </c>
      <c r="AA605" s="52" t="n">
        <v>0</v>
      </c>
      <c r="AB605" s="53" t="n">
        <v>0</v>
      </c>
      <c r="AC605" s="52" t="n">
        <v>0</v>
      </c>
      <c r="AD605" s="53" t="n">
        <v>0</v>
      </c>
      <c r="AE605" s="52" t="n">
        <v>0</v>
      </c>
      <c r="AF605" s="51" t="n">
        <v>0</v>
      </c>
      <c r="AG605" s="48" t="n">
        <v>0</v>
      </c>
      <c r="AH605" s="49" t="n">
        <v>0</v>
      </c>
      <c r="AI605" s="49" t="n">
        <v>0</v>
      </c>
      <c r="AJ605" s="50" t="n">
        <v>0</v>
      </c>
      <c r="AK605" s="51" t="n">
        <v>0</v>
      </c>
      <c r="AL605" s="52" t="n">
        <v>0</v>
      </c>
      <c r="AM605" s="52" t="n">
        <v>0</v>
      </c>
      <c r="AN605" s="52" t="n">
        <v>0</v>
      </c>
      <c r="AO605" s="53" t="n">
        <v>0</v>
      </c>
      <c r="AP605" s="52" t="n">
        <v>0</v>
      </c>
      <c r="AQ605" s="53" t="n">
        <v>0</v>
      </c>
      <c r="AR605" s="52" t="n">
        <v>0</v>
      </c>
      <c r="AS605" s="51" t="n">
        <v>0</v>
      </c>
      <c r="AT605" s="48" t="n">
        <v>0</v>
      </c>
      <c r="AU605" s="49" t="n">
        <v>0</v>
      </c>
      <c r="AV605" s="49" t="n">
        <v>0</v>
      </c>
      <c r="AW605" s="50" t="n">
        <v>0</v>
      </c>
      <c r="AX605" s="51" t="n">
        <v>0</v>
      </c>
      <c r="AY605" s="52" t="n">
        <v>0</v>
      </c>
      <c r="AZ605" s="52" t="n">
        <v>0</v>
      </c>
      <c r="BA605" s="52" t="n">
        <v>0</v>
      </c>
      <c r="BB605" s="53" t="n">
        <v>0</v>
      </c>
      <c r="BC605" s="52" t="n">
        <v>0</v>
      </c>
      <c r="BD605" s="53" t="n">
        <v>0</v>
      </c>
      <c r="BE605" s="52" t="n">
        <v>0</v>
      </c>
      <c r="BF605" s="51" t="n">
        <v>0</v>
      </c>
    </row>
    <row r="606">
      <c r="A606">
        <f>HYPERLINK("https://www.walmart.com/ip/5276966448", "5276966448")</f>
        <v/>
      </c>
      <c r="B606" t="inlineStr">
        <is>
          <t>Tirrinia Single Wine Cooler Bags - Insulated &amp; Padded Portable Wine Tote Carrier for Travel, BYOB Restaurant, Wine Tasting, Party, Great Christmas Gift for Wine Lover, Rainbow</t>
        </is>
      </c>
      <c r="C606" t="inlineStr">
        <is>
          <t>1TRWB101RAINBOW</t>
        </is>
      </c>
      <c r="D606" t="inlineStr">
        <is>
          <t>Wine Totes, Bags &amp; Backpacks</t>
        </is>
      </c>
      <c r="E606" t="inlineStr">
        <is>
          <t>Tirrinia</t>
        </is>
      </c>
      <c r="G606" s="48" t="n">
        <v>0</v>
      </c>
      <c r="H606" s="49" t="n">
        <v>0</v>
      </c>
      <c r="I606" s="49" t="n">
        <v>0</v>
      </c>
      <c r="J606" s="50" t="n">
        <v>0</v>
      </c>
      <c r="K606" s="51" t="n">
        <v>0</v>
      </c>
      <c r="L606" s="52" t="n">
        <v>0</v>
      </c>
      <c r="M606" s="52" t="n">
        <v>0</v>
      </c>
      <c r="N606" s="52" t="n">
        <v>0</v>
      </c>
      <c r="O606" s="53" t="n">
        <v>0</v>
      </c>
      <c r="P606" s="52" t="n">
        <v>0</v>
      </c>
      <c r="Q606" s="53" t="n">
        <v>0</v>
      </c>
      <c r="R606" s="52" t="n">
        <v>0</v>
      </c>
      <c r="S606" s="51" t="n">
        <v>0</v>
      </c>
      <c r="T606" s="48" t="n">
        <v>0</v>
      </c>
      <c r="U606" s="49" t="n">
        <v>0</v>
      </c>
      <c r="V606" s="49" t="n">
        <v>0</v>
      </c>
      <c r="W606" s="50" t="n">
        <v>0</v>
      </c>
      <c r="X606" s="51" t="n">
        <v>0</v>
      </c>
      <c r="Y606" s="52" t="n">
        <v>0</v>
      </c>
      <c r="Z606" s="52" t="n">
        <v>0</v>
      </c>
      <c r="AA606" s="52" t="n">
        <v>0</v>
      </c>
      <c r="AB606" s="53" t="n">
        <v>0</v>
      </c>
      <c r="AC606" s="52" t="n">
        <v>0</v>
      </c>
      <c r="AD606" s="53" t="n">
        <v>0</v>
      </c>
      <c r="AE606" s="52" t="n">
        <v>0</v>
      </c>
      <c r="AF606" s="51" t="n">
        <v>0</v>
      </c>
      <c r="AG606" s="48" t="n">
        <v>0</v>
      </c>
      <c r="AH606" s="49" t="n">
        <v>0</v>
      </c>
      <c r="AI606" s="49" t="n">
        <v>0</v>
      </c>
      <c r="AJ606" s="50" t="n">
        <v>0</v>
      </c>
      <c r="AK606" s="51" t="n">
        <v>0</v>
      </c>
      <c r="AL606" s="52" t="n">
        <v>0</v>
      </c>
      <c r="AM606" s="52" t="n">
        <v>0</v>
      </c>
      <c r="AN606" s="52" t="n">
        <v>0</v>
      </c>
      <c r="AO606" s="53" t="n">
        <v>0</v>
      </c>
      <c r="AP606" s="52" t="n">
        <v>0</v>
      </c>
      <c r="AQ606" s="53" t="n">
        <v>0</v>
      </c>
      <c r="AR606" s="52" t="n">
        <v>0</v>
      </c>
      <c r="AS606" s="51" t="n">
        <v>0</v>
      </c>
      <c r="AT606" s="48" t="n">
        <v>0</v>
      </c>
      <c r="AU606" s="49" t="n">
        <v>0</v>
      </c>
      <c r="AV606" s="49" t="n">
        <v>0</v>
      </c>
      <c r="AW606" s="50" t="n">
        <v>0</v>
      </c>
      <c r="AX606" s="51" t="n">
        <v>0</v>
      </c>
      <c r="AY606" s="52" t="n">
        <v>0</v>
      </c>
      <c r="AZ606" s="52" t="n">
        <v>0</v>
      </c>
      <c r="BA606" s="52" t="n">
        <v>0</v>
      </c>
      <c r="BB606" s="53" t="n">
        <v>0</v>
      </c>
      <c r="BC606" s="52" t="n">
        <v>0</v>
      </c>
      <c r="BD606" s="53" t="n">
        <v>0</v>
      </c>
      <c r="BE606" s="52" t="n">
        <v>0</v>
      </c>
      <c r="BF606" s="51" t="n">
        <v>0</v>
      </c>
    </row>
    <row r="607">
      <c r="A607">
        <f>HYPERLINK("https://www.walmart.com/ip/527484062", "527484062")</f>
        <v/>
      </c>
      <c r="B607" t="inlineStr">
        <is>
          <t>Catalonia Fuzzy Snuggle Sherpa Throw Blanket for Camping Traveling Couch Bed, 50x60 inches, Purple</t>
        </is>
      </c>
      <c r="C607" t="inlineStr">
        <is>
          <t>1CTBF566PP</t>
        </is>
      </c>
      <c r="D607" t="inlineStr">
        <is>
          <t>Throws</t>
        </is>
      </c>
      <c r="E607" t="inlineStr">
        <is>
          <t>Catalonia</t>
        </is>
      </c>
      <c r="F607" t="inlineStr">
        <is>
          <t>Optimized,WFS,WFS Item</t>
        </is>
      </c>
      <c r="G607" s="48" t="n">
        <v>0</v>
      </c>
      <c r="H607" s="49" t="n">
        <v>0</v>
      </c>
      <c r="I607" s="49" t="n">
        <v>0</v>
      </c>
      <c r="J607" s="50" t="n">
        <v>0</v>
      </c>
      <c r="K607" s="51" t="n">
        <v>0</v>
      </c>
      <c r="L607" s="52" t="n">
        <v>0</v>
      </c>
      <c r="M607" s="52" t="n">
        <v>0</v>
      </c>
      <c r="N607" s="52" t="n">
        <v>0</v>
      </c>
      <c r="O607" s="53" t="n">
        <v>0</v>
      </c>
      <c r="P607" s="52" t="n">
        <v>0</v>
      </c>
      <c r="Q607" s="53" t="n">
        <v>0</v>
      </c>
      <c r="R607" s="52" t="n">
        <v>0</v>
      </c>
      <c r="S607" s="51" t="n">
        <v>0</v>
      </c>
      <c r="T607" s="48" t="n">
        <v>0</v>
      </c>
      <c r="U607" s="49" t="n">
        <v>0</v>
      </c>
      <c r="V607" s="49" t="n">
        <v>0</v>
      </c>
      <c r="W607" s="50" t="n">
        <v>0</v>
      </c>
      <c r="X607" s="51" t="n">
        <v>0</v>
      </c>
      <c r="Y607" s="52" t="n">
        <v>0</v>
      </c>
      <c r="Z607" s="52" t="n">
        <v>0</v>
      </c>
      <c r="AA607" s="52" t="n">
        <v>0</v>
      </c>
      <c r="AB607" s="53" t="n">
        <v>0</v>
      </c>
      <c r="AC607" s="52" t="n">
        <v>0</v>
      </c>
      <c r="AD607" s="53" t="n">
        <v>0</v>
      </c>
      <c r="AE607" s="52" t="n">
        <v>0</v>
      </c>
      <c r="AF607" s="51" t="n">
        <v>0</v>
      </c>
      <c r="AG607" s="48" t="n">
        <v>0</v>
      </c>
      <c r="AH607" s="49" t="n">
        <v>0</v>
      </c>
      <c r="AI607" s="49" t="n">
        <v>0</v>
      </c>
      <c r="AJ607" s="50" t="n">
        <v>0</v>
      </c>
      <c r="AK607" s="51" t="n">
        <v>0</v>
      </c>
      <c r="AL607" s="52" t="n">
        <v>0</v>
      </c>
      <c r="AM607" s="52" t="n">
        <v>0</v>
      </c>
      <c r="AN607" s="52" t="n">
        <v>0</v>
      </c>
      <c r="AO607" s="53" t="n">
        <v>0</v>
      </c>
      <c r="AP607" s="52" t="n">
        <v>0</v>
      </c>
      <c r="AQ607" s="53" t="n">
        <v>0</v>
      </c>
      <c r="AR607" s="52" t="n">
        <v>0</v>
      </c>
      <c r="AS607" s="51" t="n">
        <v>0</v>
      </c>
      <c r="AT607" s="48" t="n">
        <v>0</v>
      </c>
      <c r="AU607" s="49" t="n">
        <v>0</v>
      </c>
      <c r="AV607" s="49" t="n">
        <v>0</v>
      </c>
      <c r="AW607" s="50" t="n">
        <v>0</v>
      </c>
      <c r="AX607" s="51" t="n">
        <v>0</v>
      </c>
      <c r="AY607" s="52" t="n">
        <v>0</v>
      </c>
      <c r="AZ607" s="52" t="n">
        <v>0</v>
      </c>
      <c r="BA607" s="52" t="n">
        <v>0</v>
      </c>
      <c r="BB607" s="53" t="n">
        <v>0</v>
      </c>
      <c r="BC607" s="52" t="n">
        <v>0</v>
      </c>
      <c r="BD607" s="53" t="n">
        <v>0</v>
      </c>
      <c r="BE607" s="52" t="n">
        <v>0</v>
      </c>
      <c r="BF607" s="51" t="n">
        <v>0</v>
      </c>
    </row>
    <row r="608">
      <c r="A608">
        <f>HYPERLINK("https://www.walmart.com/ip/527482974", "527482974")</f>
        <v/>
      </c>
      <c r="B608" t="inlineStr">
        <is>
          <t>Catalonia Pink Sherpa Throw Blanket, Snuggle Super Soft Blanket for Girls 50"x60", Comfy Fuzzy Micro Plush Fleece for Sofa Couch TV Bed Reversible Match Color All Season</t>
        </is>
      </c>
      <c r="C608" t="inlineStr">
        <is>
          <t>1CTBF301PK</t>
        </is>
      </c>
      <c r="D608" t="inlineStr">
        <is>
          <t>Throws</t>
        </is>
      </c>
      <c r="E608" t="inlineStr">
        <is>
          <t>Catalonia</t>
        </is>
      </c>
      <c r="F608" t="inlineStr">
        <is>
          <t>Optimized,WFS,Valentine,WFS Item</t>
        </is>
      </c>
      <c r="G608" s="48" t="n">
        <v>0</v>
      </c>
      <c r="H608" s="49" t="n">
        <v>0</v>
      </c>
      <c r="I608" s="49" t="n">
        <v>0</v>
      </c>
      <c r="J608" s="50" t="n">
        <v>0</v>
      </c>
      <c r="K608" s="51" t="n">
        <v>0</v>
      </c>
      <c r="L608" s="52" t="n">
        <v>0</v>
      </c>
      <c r="M608" s="52" t="n">
        <v>0</v>
      </c>
      <c r="N608" s="52" t="n">
        <v>0</v>
      </c>
      <c r="O608" s="53" t="n">
        <v>0</v>
      </c>
      <c r="P608" s="52" t="n">
        <v>0</v>
      </c>
      <c r="Q608" s="53" t="n">
        <v>0</v>
      </c>
      <c r="R608" s="52" t="n">
        <v>0</v>
      </c>
      <c r="S608" s="51" t="n">
        <v>0</v>
      </c>
      <c r="T608" s="48" t="n">
        <v>0</v>
      </c>
      <c r="U608" s="49" t="n">
        <v>0</v>
      </c>
      <c r="V608" s="49" t="n">
        <v>0</v>
      </c>
      <c r="W608" s="50" t="n">
        <v>0</v>
      </c>
      <c r="X608" s="51" t="n">
        <v>0</v>
      </c>
      <c r="Y608" s="52" t="n">
        <v>0</v>
      </c>
      <c r="Z608" s="52" t="n">
        <v>0</v>
      </c>
      <c r="AA608" s="52" t="n">
        <v>0</v>
      </c>
      <c r="AB608" s="53" t="n">
        <v>0</v>
      </c>
      <c r="AC608" s="52" t="n">
        <v>0</v>
      </c>
      <c r="AD608" s="53" t="n">
        <v>0</v>
      </c>
      <c r="AE608" s="52" t="n">
        <v>0</v>
      </c>
      <c r="AF608" s="51" t="n">
        <v>0</v>
      </c>
      <c r="AG608" s="48" t="n">
        <v>0</v>
      </c>
      <c r="AH608" s="49" t="n">
        <v>0</v>
      </c>
      <c r="AI608" s="49" t="n">
        <v>0</v>
      </c>
      <c r="AJ608" s="50" t="n">
        <v>0</v>
      </c>
      <c r="AK608" s="51" t="n">
        <v>0</v>
      </c>
      <c r="AL608" s="52" t="n">
        <v>0</v>
      </c>
      <c r="AM608" s="52" t="n">
        <v>0</v>
      </c>
      <c r="AN608" s="52" t="n">
        <v>0</v>
      </c>
      <c r="AO608" s="53" t="n">
        <v>0</v>
      </c>
      <c r="AP608" s="52" t="n">
        <v>0</v>
      </c>
      <c r="AQ608" s="53" t="n">
        <v>0</v>
      </c>
      <c r="AR608" s="52" t="n">
        <v>0</v>
      </c>
      <c r="AS608" s="51" t="n">
        <v>0</v>
      </c>
      <c r="AT608" s="48" t="n">
        <v>0</v>
      </c>
      <c r="AU608" s="49" t="n">
        <v>0</v>
      </c>
      <c r="AV608" s="49" t="n">
        <v>0</v>
      </c>
      <c r="AW608" s="50" t="n">
        <v>0</v>
      </c>
      <c r="AX608" s="51" t="n">
        <v>0</v>
      </c>
      <c r="AY608" s="52" t="n">
        <v>0</v>
      </c>
      <c r="AZ608" s="52" t="n">
        <v>0</v>
      </c>
      <c r="BA608" s="52" t="n">
        <v>0</v>
      </c>
      <c r="BB608" s="53" t="n">
        <v>0</v>
      </c>
      <c r="BC608" s="52" t="n">
        <v>0</v>
      </c>
      <c r="BD608" s="53" t="n">
        <v>0</v>
      </c>
      <c r="BE608" s="52" t="n">
        <v>0</v>
      </c>
      <c r="BF608" s="51" t="n">
        <v>0</v>
      </c>
    </row>
    <row r="609">
      <c r="A609">
        <f>HYPERLINK("https://www.walmart.com/ip/5215793512", "5215793512")</f>
        <v/>
      </c>
      <c r="B609" t="inlineStr">
        <is>
          <t>Tirrinia 2 Bottle Wine Tote Carrier - Leakproof &amp; Insulated &amp; Padded Versatile Cooler Bag for Travel, BYOB Restaurant, Wine Tasting, Party, Great Christmas Gift for Wine Lover, Rainbow</t>
        </is>
      </c>
      <c r="C609" t="inlineStr">
        <is>
          <t>1TRWB220RAINBOW</t>
        </is>
      </c>
      <c r="D609" t="inlineStr">
        <is>
          <t>Wine Totes, Bags &amp; Backpacks</t>
        </is>
      </c>
      <c r="E609" t="inlineStr">
        <is>
          <t>Tirrinia</t>
        </is>
      </c>
      <c r="G609" s="48" t="n">
        <v>0</v>
      </c>
      <c r="H609" s="49" t="n">
        <v>0</v>
      </c>
      <c r="I609" s="49" t="n">
        <v>0</v>
      </c>
      <c r="J609" s="50" t="n">
        <v>0</v>
      </c>
      <c r="K609" s="51" t="n">
        <v>0</v>
      </c>
      <c r="L609" s="52" t="n">
        <v>0</v>
      </c>
      <c r="M609" s="52" t="n">
        <v>0</v>
      </c>
      <c r="N609" s="52" t="n">
        <v>0</v>
      </c>
      <c r="O609" s="53" t="n">
        <v>0</v>
      </c>
      <c r="P609" s="52" t="n">
        <v>0</v>
      </c>
      <c r="Q609" s="53" t="n">
        <v>0</v>
      </c>
      <c r="R609" s="52" t="n">
        <v>0</v>
      </c>
      <c r="S609" s="51" t="n">
        <v>0</v>
      </c>
      <c r="T609" s="48" t="n">
        <v>22.99</v>
      </c>
      <c r="U609" s="49" t="n">
        <v>1</v>
      </c>
      <c r="V609" s="49" t="n">
        <v>0</v>
      </c>
      <c r="W609" s="50" t="n">
        <v>0</v>
      </c>
      <c r="X609" s="51" t="n">
        <v>0</v>
      </c>
      <c r="Y609" s="52" t="n">
        <v>0</v>
      </c>
      <c r="Z609" s="52" t="n">
        <v>0</v>
      </c>
      <c r="AA609" s="52" t="n">
        <v>0</v>
      </c>
      <c r="AB609" s="53" t="n">
        <v>0</v>
      </c>
      <c r="AC609" s="52" t="n">
        <v>0</v>
      </c>
      <c r="AD609" s="53" t="n">
        <v>0</v>
      </c>
      <c r="AE609" s="52" t="n">
        <v>22.99</v>
      </c>
      <c r="AF609" s="51" t="n">
        <v>0</v>
      </c>
      <c r="AG609" s="48" t="n">
        <v>0</v>
      </c>
      <c r="AH609" s="49" t="n">
        <v>0</v>
      </c>
      <c r="AI609" s="49" t="n">
        <v>0</v>
      </c>
      <c r="AJ609" s="50" t="n">
        <v>0</v>
      </c>
      <c r="AK609" s="51" t="n">
        <v>0</v>
      </c>
      <c r="AL609" s="52" t="n">
        <v>0</v>
      </c>
      <c r="AM609" s="52" t="n">
        <v>0</v>
      </c>
      <c r="AN609" s="52" t="n">
        <v>0</v>
      </c>
      <c r="AO609" s="53" t="n">
        <v>0</v>
      </c>
      <c r="AP609" s="52" t="n">
        <v>0</v>
      </c>
      <c r="AQ609" s="53" t="n">
        <v>0</v>
      </c>
      <c r="AR609" s="52" t="n">
        <v>0</v>
      </c>
      <c r="AS609" s="51" t="n">
        <v>0</v>
      </c>
      <c r="AT609" s="48" t="n">
        <v>0</v>
      </c>
      <c r="AU609" s="49" t="n">
        <v>0</v>
      </c>
      <c r="AV609" s="49" t="n">
        <v>0</v>
      </c>
      <c r="AW609" s="50" t="n">
        <v>0</v>
      </c>
      <c r="AX609" s="51" t="n">
        <v>0</v>
      </c>
      <c r="AY609" s="52" t="n">
        <v>0</v>
      </c>
      <c r="AZ609" s="52" t="n">
        <v>0</v>
      </c>
      <c r="BA609" s="52" t="n">
        <v>0</v>
      </c>
      <c r="BB609" s="53" t="n">
        <v>0</v>
      </c>
      <c r="BC609" s="52" t="n">
        <v>0</v>
      </c>
      <c r="BD609" s="53" t="n">
        <v>0</v>
      </c>
      <c r="BE609" s="52" t="n">
        <v>0</v>
      </c>
      <c r="BF609" s="51" t="n">
        <v>0</v>
      </c>
    </row>
    <row r="610">
      <c r="A610">
        <f>HYPERLINK("https://www.walmart.com/ip/520050365", "520050365")</f>
        <v/>
      </c>
      <c r="B610" t="inlineStr">
        <is>
          <t>Tirrinia Insulated Wine Carrier Bag, 3 Bottle Capacity, Stripe</t>
        </is>
      </c>
      <c r="C610" t="inlineStr">
        <is>
          <t>1TRWB300STR</t>
        </is>
      </c>
      <c r="D610" t="inlineStr">
        <is>
          <t>Wine Totes, Bags &amp; Backpacks</t>
        </is>
      </c>
      <c r="E610" t="inlineStr">
        <is>
          <t>Tirrinia</t>
        </is>
      </c>
      <c r="F610" t="inlineStr">
        <is>
          <t>Wine,Christmas,Optimized,Valentine,Lily Brand Camp</t>
        </is>
      </c>
      <c r="G610" s="48" t="n">
        <v>0</v>
      </c>
      <c r="H610" s="49" t="n">
        <v>0</v>
      </c>
      <c r="I610" s="49" t="n">
        <v>0</v>
      </c>
      <c r="J610" s="50" t="n">
        <v>0</v>
      </c>
      <c r="K610" s="51" t="n">
        <v>0</v>
      </c>
      <c r="L610" s="52" t="n">
        <v>0</v>
      </c>
      <c r="M610" s="52" t="n">
        <v>0</v>
      </c>
      <c r="N610" s="52" t="n">
        <v>0</v>
      </c>
      <c r="O610" s="53" t="n">
        <v>0</v>
      </c>
      <c r="P610" s="52" t="n">
        <v>0</v>
      </c>
      <c r="Q610" s="53" t="n">
        <v>0</v>
      </c>
      <c r="R610" s="52" t="n">
        <v>0</v>
      </c>
      <c r="S610" s="51" t="n">
        <v>0</v>
      </c>
      <c r="T610" s="48" t="n">
        <v>0</v>
      </c>
      <c r="U610" s="49" t="n">
        <v>0</v>
      </c>
      <c r="V610" s="49" t="n">
        <v>0</v>
      </c>
      <c r="W610" s="50" t="n">
        <v>0</v>
      </c>
      <c r="X610" s="51" t="n">
        <v>0</v>
      </c>
      <c r="Y610" s="52" t="n">
        <v>0</v>
      </c>
      <c r="Z610" s="52" t="n">
        <v>0</v>
      </c>
      <c r="AA610" s="52" t="n">
        <v>0</v>
      </c>
      <c r="AB610" s="53" t="n">
        <v>0</v>
      </c>
      <c r="AC610" s="52" t="n">
        <v>0</v>
      </c>
      <c r="AD610" s="53" t="n">
        <v>0</v>
      </c>
      <c r="AE610" s="52" t="n">
        <v>0</v>
      </c>
      <c r="AF610" s="51" t="n">
        <v>0</v>
      </c>
      <c r="AG610" s="48" t="n">
        <v>0</v>
      </c>
      <c r="AH610" s="49" t="n">
        <v>0</v>
      </c>
      <c r="AI610" s="49" t="n">
        <v>0</v>
      </c>
      <c r="AJ610" s="50" t="n">
        <v>0</v>
      </c>
      <c r="AK610" s="51" t="n">
        <v>0</v>
      </c>
      <c r="AL610" s="52" t="n">
        <v>0</v>
      </c>
      <c r="AM610" s="52" t="n">
        <v>0</v>
      </c>
      <c r="AN610" s="52" t="n">
        <v>0</v>
      </c>
      <c r="AO610" s="53" t="n">
        <v>0</v>
      </c>
      <c r="AP610" s="52" t="n">
        <v>0</v>
      </c>
      <c r="AQ610" s="53" t="n">
        <v>0</v>
      </c>
      <c r="AR610" s="52" t="n">
        <v>0</v>
      </c>
      <c r="AS610" s="51" t="n">
        <v>0</v>
      </c>
      <c r="AT610" s="48" t="n">
        <v>0</v>
      </c>
      <c r="AU610" s="49" t="n">
        <v>0</v>
      </c>
      <c r="AV610" s="49" t="n">
        <v>0</v>
      </c>
      <c r="AW610" s="50" t="n">
        <v>0</v>
      </c>
      <c r="AX610" s="51" t="n">
        <v>0</v>
      </c>
      <c r="AY610" s="52" t="n">
        <v>0</v>
      </c>
      <c r="AZ610" s="52" t="n">
        <v>0</v>
      </c>
      <c r="BA610" s="52" t="n">
        <v>0</v>
      </c>
      <c r="BB610" s="53" t="n">
        <v>0</v>
      </c>
      <c r="BC610" s="52" t="n">
        <v>0</v>
      </c>
      <c r="BD610" s="53" t="n">
        <v>0</v>
      </c>
      <c r="BE610" s="52" t="n">
        <v>0</v>
      </c>
      <c r="BF610" s="51" t="n">
        <v>0</v>
      </c>
    </row>
    <row r="611">
      <c r="A611">
        <f>HYPERLINK("https://www.walmart.com/ip/520266104", "520266104")</f>
        <v/>
      </c>
      <c r="B611" t="inlineStr">
        <is>
          <t>Tirrinia Insulated Lunch bag,Leakproof Small Lunch Box for Women Men Kids,Back to School Lunch Cooler Bag for Student Office Work,Blue</t>
        </is>
      </c>
      <c r="C611" t="inlineStr">
        <is>
          <t>1TRCB106BL</t>
        </is>
      </c>
      <c r="D611" t="inlineStr">
        <is>
          <t>Reusable Lunch Bags &amp; Boxes</t>
        </is>
      </c>
      <c r="E611" t="inlineStr">
        <is>
          <t>Tirrinia</t>
        </is>
      </c>
      <c r="F611" t="inlineStr">
        <is>
          <t>Q2-Target,Brand Camp VD,Lunch Bag,WFS,Lunch Bags,WFS Item</t>
        </is>
      </c>
      <c r="G611" s="48" t="n">
        <v>0</v>
      </c>
      <c r="H611" s="49" t="n">
        <v>0</v>
      </c>
      <c r="I611" s="49" t="n">
        <v>0</v>
      </c>
      <c r="J611" s="50" t="n">
        <v>0</v>
      </c>
      <c r="K611" s="51" t="n">
        <v>0</v>
      </c>
      <c r="L611" s="52" t="n">
        <v>0</v>
      </c>
      <c r="M611" s="52" t="n">
        <v>0</v>
      </c>
      <c r="N611" s="52" t="n">
        <v>0</v>
      </c>
      <c r="O611" s="53" t="n">
        <v>0</v>
      </c>
      <c r="P611" s="52" t="n">
        <v>0</v>
      </c>
      <c r="Q611" s="53" t="n">
        <v>0</v>
      </c>
      <c r="R611" s="52" t="n">
        <v>0</v>
      </c>
      <c r="S611" s="51" t="n">
        <v>0</v>
      </c>
      <c r="T611" s="48" t="n">
        <v>0</v>
      </c>
      <c r="U611" s="49" t="n">
        <v>0</v>
      </c>
      <c r="V611" s="49" t="n">
        <v>0</v>
      </c>
      <c r="W611" s="50" t="n">
        <v>0</v>
      </c>
      <c r="X611" s="51" t="n">
        <v>0</v>
      </c>
      <c r="Y611" s="52" t="n">
        <v>0</v>
      </c>
      <c r="Z611" s="52" t="n">
        <v>0</v>
      </c>
      <c r="AA611" s="52" t="n">
        <v>0</v>
      </c>
      <c r="AB611" s="53" t="n">
        <v>0</v>
      </c>
      <c r="AC611" s="52" t="n">
        <v>0</v>
      </c>
      <c r="AD611" s="53" t="n">
        <v>0</v>
      </c>
      <c r="AE611" s="52" t="n">
        <v>0</v>
      </c>
      <c r="AF611" s="51" t="n">
        <v>0</v>
      </c>
      <c r="AG611" s="48" t="n">
        <v>0</v>
      </c>
      <c r="AH611" s="49" t="n">
        <v>0</v>
      </c>
      <c r="AI611" s="49" t="n">
        <v>0</v>
      </c>
      <c r="AJ611" s="50" t="n">
        <v>0</v>
      </c>
      <c r="AK611" s="51" t="n">
        <v>0</v>
      </c>
      <c r="AL611" s="52" t="n">
        <v>0</v>
      </c>
      <c r="AM611" s="52" t="n">
        <v>0</v>
      </c>
      <c r="AN611" s="52" t="n">
        <v>0</v>
      </c>
      <c r="AO611" s="53" t="n">
        <v>0</v>
      </c>
      <c r="AP611" s="52" t="n">
        <v>0</v>
      </c>
      <c r="AQ611" s="53" t="n">
        <v>0</v>
      </c>
      <c r="AR611" s="52" t="n">
        <v>0</v>
      </c>
      <c r="AS611" s="51" t="n">
        <v>0</v>
      </c>
      <c r="AT611" s="48" t="n">
        <v>0</v>
      </c>
      <c r="AU611" s="49" t="n">
        <v>0</v>
      </c>
      <c r="AV611" s="49" t="n">
        <v>0</v>
      </c>
      <c r="AW611" s="50" t="n">
        <v>0</v>
      </c>
      <c r="AX611" s="51" t="n">
        <v>0</v>
      </c>
      <c r="AY611" s="52" t="n">
        <v>0</v>
      </c>
      <c r="AZ611" s="52" t="n">
        <v>0</v>
      </c>
      <c r="BA611" s="52" t="n">
        <v>0</v>
      </c>
      <c r="BB611" s="53" t="n">
        <v>0</v>
      </c>
      <c r="BC611" s="52" t="n">
        <v>0</v>
      </c>
      <c r="BD611" s="53" t="n">
        <v>0</v>
      </c>
      <c r="BE611" s="52" t="n">
        <v>0</v>
      </c>
      <c r="BF611" s="51" t="n">
        <v>0</v>
      </c>
    </row>
    <row r="612">
      <c r="A612">
        <f>HYPERLINK("https://www.walmart.com/ip/520315545", "520315545")</f>
        <v/>
      </c>
      <c r="B612" t="inlineStr">
        <is>
          <t>Kato 6 Bottle Wine Carrier, Insulated Leakproof Padded Wine Cooler Carrying Tote Bag for Travel, Camping and Picnic, Perfect Wine Lover Gift, Beige</t>
        </is>
      </c>
      <c r="C612" t="inlineStr">
        <is>
          <t>1KTWB610BG</t>
        </is>
      </c>
      <c r="D612" t="inlineStr">
        <is>
          <t>Wine Totes, Bags &amp; Backpacks</t>
        </is>
      </c>
      <c r="E612" t="inlineStr">
        <is>
          <t>Kato</t>
        </is>
      </c>
      <c r="F612" t="inlineStr">
        <is>
          <t>Wine,Christmas,WFS,Valentine,SEM,WFS Item</t>
        </is>
      </c>
      <c r="G612" s="48" t="n">
        <v>0</v>
      </c>
      <c r="H612" s="49" t="n">
        <v>0</v>
      </c>
      <c r="I612" s="49" t="n">
        <v>0</v>
      </c>
      <c r="J612" s="50" t="n">
        <v>0</v>
      </c>
      <c r="K612" s="51" t="n">
        <v>2</v>
      </c>
      <c r="L612" s="52" t="n">
        <v>0.76</v>
      </c>
      <c r="M612" s="52" t="n">
        <v>0</v>
      </c>
      <c r="N612" s="52" t="n">
        <v>0</v>
      </c>
      <c r="O612" s="53" t="n">
        <v>0.0023</v>
      </c>
      <c r="P612" s="52" t="n">
        <v>0.38</v>
      </c>
      <c r="Q612" s="53" t="n">
        <v>0</v>
      </c>
      <c r="R612" s="52" t="n">
        <v>0</v>
      </c>
      <c r="S612" s="51" t="n">
        <v>870</v>
      </c>
      <c r="T612" s="48" t="n">
        <v>0</v>
      </c>
      <c r="U612" s="49" t="n">
        <v>0</v>
      </c>
      <c r="V612" s="49" t="n">
        <v>0</v>
      </c>
      <c r="W612" s="50" t="n">
        <v>0</v>
      </c>
      <c r="X612" s="51" t="n">
        <v>0</v>
      </c>
      <c r="Y612" s="52" t="n">
        <v>0</v>
      </c>
      <c r="Z612" s="52" t="n">
        <v>0</v>
      </c>
      <c r="AA612" s="52" t="n">
        <v>0</v>
      </c>
      <c r="AB612" s="53" t="n">
        <v>0</v>
      </c>
      <c r="AC612" s="52" t="n">
        <v>0</v>
      </c>
      <c r="AD612" s="53" t="n">
        <v>0</v>
      </c>
      <c r="AE612" s="52" t="n">
        <v>0</v>
      </c>
      <c r="AF612" s="51" t="n">
        <v>643</v>
      </c>
      <c r="AG612" s="48" t="n">
        <v>0</v>
      </c>
      <c r="AH612" s="49" t="n">
        <v>0</v>
      </c>
      <c r="AI612" s="49" t="n">
        <v>0</v>
      </c>
      <c r="AJ612" s="50" t="n">
        <v>0</v>
      </c>
      <c r="AK612" s="51" t="n">
        <v>0</v>
      </c>
      <c r="AL612" s="52" t="n">
        <v>0</v>
      </c>
      <c r="AM612" s="52" t="n">
        <v>0</v>
      </c>
      <c r="AN612" s="52" t="n">
        <v>0</v>
      </c>
      <c r="AO612" s="53" t="n">
        <v>0</v>
      </c>
      <c r="AP612" s="52" t="n">
        <v>0</v>
      </c>
      <c r="AQ612" s="53" t="n">
        <v>0</v>
      </c>
      <c r="AR612" s="52" t="n">
        <v>0</v>
      </c>
      <c r="AS612" s="51" t="n">
        <v>613</v>
      </c>
      <c r="AT612" s="48" t="n">
        <v>0</v>
      </c>
      <c r="AU612" s="49" t="n">
        <v>0</v>
      </c>
      <c r="AV612" s="49" t="n">
        <v>0</v>
      </c>
      <c r="AW612" s="50" t="n">
        <v>0</v>
      </c>
      <c r="AX612" s="51" t="n">
        <v>0</v>
      </c>
      <c r="AY612" s="52" t="n">
        <v>0</v>
      </c>
      <c r="AZ612" s="52" t="n">
        <v>0</v>
      </c>
      <c r="BA612" s="52" t="n">
        <v>0</v>
      </c>
      <c r="BB612" s="53" t="n">
        <v>0</v>
      </c>
      <c r="BC612" s="52" t="n">
        <v>0</v>
      </c>
      <c r="BD612" s="53" t="n">
        <v>0</v>
      </c>
      <c r="BE612" s="52" t="n">
        <v>0</v>
      </c>
      <c r="BF612" s="51" t="n">
        <v>765</v>
      </c>
    </row>
    <row r="613">
      <c r="A613">
        <f>HYPERLINK("https://www.walmart.com/ip/520906928", "520906928")</f>
        <v/>
      </c>
      <c r="B613" t="inlineStr">
        <is>
          <t>KC Caps® Hunting Hiking Camping Camo Military Mesh Cap Travel Hat</t>
        </is>
      </c>
      <c r="C613" t="inlineStr">
        <is>
          <t>KC7140-Grass</t>
        </is>
      </c>
      <c r="D613" t="inlineStr">
        <is>
          <t>Hats</t>
        </is>
      </c>
      <c r="E613" t="inlineStr">
        <is>
          <t>KC Caps</t>
        </is>
      </c>
      <c r="F613" t="inlineStr">
        <is>
          <t>Optimized</t>
        </is>
      </c>
      <c r="G613" s="48" t="n">
        <v>0</v>
      </c>
      <c r="H613" s="49" t="n">
        <v>0</v>
      </c>
      <c r="I613" s="49" t="n">
        <v>0</v>
      </c>
      <c r="J613" s="50" t="n">
        <v>0</v>
      </c>
      <c r="K613" s="51" t="n">
        <v>0</v>
      </c>
      <c r="L613" s="52" t="n">
        <v>0</v>
      </c>
      <c r="M613" s="52" t="n">
        <v>0</v>
      </c>
      <c r="N613" s="52" t="n">
        <v>0</v>
      </c>
      <c r="O613" s="53" t="n">
        <v>0</v>
      </c>
      <c r="P613" s="52" t="n">
        <v>0</v>
      </c>
      <c r="Q613" s="53" t="n">
        <v>0</v>
      </c>
      <c r="R613" s="52" t="n">
        <v>0</v>
      </c>
      <c r="S613" s="51" t="n">
        <v>0</v>
      </c>
      <c r="T613" s="48" t="n">
        <v>0</v>
      </c>
      <c r="U613" s="49" t="n">
        <v>0</v>
      </c>
      <c r="V613" s="49" t="n">
        <v>0</v>
      </c>
      <c r="W613" s="50" t="n">
        <v>0</v>
      </c>
      <c r="X613" s="51" t="n">
        <v>0</v>
      </c>
      <c r="Y613" s="52" t="n">
        <v>0</v>
      </c>
      <c r="Z613" s="52" t="n">
        <v>0</v>
      </c>
      <c r="AA613" s="52" t="n">
        <v>0</v>
      </c>
      <c r="AB613" s="53" t="n">
        <v>0</v>
      </c>
      <c r="AC613" s="52" t="n">
        <v>0</v>
      </c>
      <c r="AD613" s="53" t="n">
        <v>0</v>
      </c>
      <c r="AE613" s="52" t="n">
        <v>0</v>
      </c>
      <c r="AF613" s="51" t="n">
        <v>0</v>
      </c>
      <c r="AG613" s="48" t="n">
        <v>0</v>
      </c>
      <c r="AH613" s="49" t="n">
        <v>0</v>
      </c>
      <c r="AI613" s="49" t="n">
        <v>0</v>
      </c>
      <c r="AJ613" s="50" t="n">
        <v>0</v>
      </c>
      <c r="AK613" s="51" t="n">
        <v>0</v>
      </c>
      <c r="AL613" s="52" t="n">
        <v>0</v>
      </c>
      <c r="AM613" s="52" t="n">
        <v>0</v>
      </c>
      <c r="AN613" s="52" t="n">
        <v>0</v>
      </c>
      <c r="AO613" s="53" t="n">
        <v>0</v>
      </c>
      <c r="AP613" s="52" t="n">
        <v>0</v>
      </c>
      <c r="AQ613" s="53" t="n">
        <v>0</v>
      </c>
      <c r="AR613" s="52" t="n">
        <v>0</v>
      </c>
      <c r="AS613" s="51" t="n">
        <v>0</v>
      </c>
      <c r="AT613" s="48" t="n">
        <v>0</v>
      </c>
      <c r="AU613" s="49" t="n">
        <v>0</v>
      </c>
      <c r="AV613" s="49" t="n">
        <v>0</v>
      </c>
      <c r="AW613" s="50" t="n">
        <v>0</v>
      </c>
      <c r="AX613" s="51" t="n">
        <v>0</v>
      </c>
      <c r="AY613" s="52" t="n">
        <v>0</v>
      </c>
      <c r="AZ613" s="52" t="n">
        <v>0</v>
      </c>
      <c r="BA613" s="52" t="n">
        <v>0</v>
      </c>
      <c r="BB613" s="53" t="n">
        <v>0</v>
      </c>
      <c r="BC613" s="52" t="n">
        <v>0</v>
      </c>
      <c r="BD613" s="53" t="n">
        <v>0</v>
      </c>
      <c r="BE613" s="52" t="n">
        <v>0</v>
      </c>
      <c r="BF613" s="51" t="n">
        <v>0</v>
      </c>
    </row>
    <row r="614">
      <c r="A614">
        <f>HYPERLINK("https://www.walmart.com/ip/5215431714", "5215431714")</f>
        <v/>
      </c>
      <c r="B614" t="inlineStr">
        <is>
          <t>Catalonia Waterproof Dog Blanket for Couch, Reversible Washable Sofa Bed Coverlet Protector, Leakproof, Comfortable Blanket for People and Pets, Camel/Taupe, 50" x 60"</t>
        </is>
      </c>
      <c r="C614" t="inlineStr">
        <is>
          <t>1CTBW565TPTP</t>
        </is>
      </c>
      <c r="D614" t="inlineStr">
        <is>
          <t>Throws</t>
        </is>
      </c>
      <c r="E614" t="inlineStr">
        <is>
          <t>Catalonia</t>
        </is>
      </c>
      <c r="F614" t="inlineStr">
        <is>
          <t>Q2-Target</t>
        </is>
      </c>
      <c r="G614" s="48" t="n">
        <v>0</v>
      </c>
      <c r="H614" s="49" t="n">
        <v>0</v>
      </c>
      <c r="I614" s="49" t="n">
        <v>0</v>
      </c>
      <c r="J614" s="50" t="n">
        <v>0</v>
      </c>
      <c r="K614" s="51" t="n">
        <v>0</v>
      </c>
      <c r="L614" s="52" t="n">
        <v>0</v>
      </c>
      <c r="M614" s="52" t="n">
        <v>0</v>
      </c>
      <c r="N614" s="52" t="n">
        <v>0</v>
      </c>
      <c r="O614" s="53" t="n">
        <v>0</v>
      </c>
      <c r="P614" s="52" t="n">
        <v>0</v>
      </c>
      <c r="Q614" s="53" t="n">
        <v>0</v>
      </c>
      <c r="R614" s="52" t="n">
        <v>0</v>
      </c>
      <c r="S614" s="51" t="n">
        <v>0</v>
      </c>
      <c r="T614" s="48" t="n">
        <v>0</v>
      </c>
      <c r="U614" s="49" t="n">
        <v>0</v>
      </c>
      <c r="V614" s="49" t="n">
        <v>0</v>
      </c>
      <c r="W614" s="50" t="n">
        <v>0</v>
      </c>
      <c r="X614" s="51" t="n">
        <v>0</v>
      </c>
      <c r="Y614" s="52" t="n">
        <v>0</v>
      </c>
      <c r="Z614" s="52" t="n">
        <v>0</v>
      </c>
      <c r="AA614" s="52" t="n">
        <v>0</v>
      </c>
      <c r="AB614" s="53" t="n">
        <v>0</v>
      </c>
      <c r="AC614" s="52" t="n">
        <v>0</v>
      </c>
      <c r="AD614" s="53" t="n">
        <v>0</v>
      </c>
      <c r="AE614" s="52" t="n">
        <v>0</v>
      </c>
      <c r="AF614" s="51" t="n">
        <v>0</v>
      </c>
      <c r="AG614" s="48" t="n">
        <v>29.99</v>
      </c>
      <c r="AH614" s="49" t="n">
        <v>1</v>
      </c>
      <c r="AI614" s="49" t="n">
        <v>0</v>
      </c>
      <c r="AJ614" s="50" t="n">
        <v>0</v>
      </c>
      <c r="AK614" s="51" t="n">
        <v>0</v>
      </c>
      <c r="AL614" s="52" t="n">
        <v>0</v>
      </c>
      <c r="AM614" s="52" t="n">
        <v>0</v>
      </c>
      <c r="AN614" s="52" t="n">
        <v>0</v>
      </c>
      <c r="AO614" s="53" t="n">
        <v>0</v>
      </c>
      <c r="AP614" s="52" t="n">
        <v>0</v>
      </c>
      <c r="AQ614" s="53" t="n">
        <v>0</v>
      </c>
      <c r="AR614" s="52" t="n">
        <v>29.99</v>
      </c>
      <c r="AS614" s="51" t="n">
        <v>0</v>
      </c>
      <c r="AT614" s="48" t="n">
        <v>0</v>
      </c>
      <c r="AU614" s="49" t="n">
        <v>0</v>
      </c>
      <c r="AV614" s="49" t="n">
        <v>0</v>
      </c>
      <c r="AW614" s="50" t="n">
        <v>0</v>
      </c>
      <c r="AX614" s="51" t="n">
        <v>0</v>
      </c>
      <c r="AY614" s="52" t="n">
        <v>0</v>
      </c>
      <c r="AZ614" s="52" t="n">
        <v>0</v>
      </c>
      <c r="BA614" s="52" t="n">
        <v>0</v>
      </c>
      <c r="BB614" s="53" t="n">
        <v>0</v>
      </c>
      <c r="BC614" s="52" t="n">
        <v>0</v>
      </c>
      <c r="BD614" s="53" t="n">
        <v>0</v>
      </c>
      <c r="BE614" s="52" t="n">
        <v>0</v>
      </c>
      <c r="BF614" s="51" t="n">
        <v>0</v>
      </c>
    </row>
    <row r="615">
      <c r="A615">
        <f>HYPERLINK("https://www.walmart.com/ip/5215743269", "5215743269")</f>
        <v/>
      </c>
      <c r="B615" t="inlineStr">
        <is>
          <t>Tirrinia 2 Bottle Wine Tote Carrier, Leakproof, Insulated and Padded Versatile Cooler Bag for Travel, BYOB Restaurant, Wine Tasting, Party, Wine Gifts Bag, Cork</t>
        </is>
      </c>
      <c r="C615" t="inlineStr">
        <is>
          <t>1TRWB220CORK</t>
        </is>
      </c>
      <c r="D615" t="inlineStr">
        <is>
          <t>Wine Totes, Bags &amp; Backpacks</t>
        </is>
      </c>
      <c r="E615" t="inlineStr">
        <is>
          <t>Tirrinia</t>
        </is>
      </c>
      <c r="G615" s="48" t="n">
        <v>0</v>
      </c>
      <c r="H615" s="49" t="n">
        <v>0</v>
      </c>
      <c r="I615" s="49" t="n">
        <v>0</v>
      </c>
      <c r="J615" s="50" t="n">
        <v>0</v>
      </c>
      <c r="K615" s="51" t="n">
        <v>0</v>
      </c>
      <c r="L615" s="52" t="n">
        <v>0</v>
      </c>
      <c r="M615" s="52" t="n">
        <v>0</v>
      </c>
      <c r="N615" s="52" t="n">
        <v>0</v>
      </c>
      <c r="O615" s="53" t="n">
        <v>0</v>
      </c>
      <c r="P615" s="52" t="n">
        <v>0</v>
      </c>
      <c r="Q615" s="53" t="n">
        <v>0</v>
      </c>
      <c r="R615" s="52" t="n">
        <v>0</v>
      </c>
      <c r="S615" s="51" t="n">
        <v>0</v>
      </c>
      <c r="T615" s="48" t="n">
        <v>0</v>
      </c>
      <c r="U615" s="49" t="n">
        <v>0</v>
      </c>
      <c r="V615" s="49" t="n">
        <v>0</v>
      </c>
      <c r="W615" s="50" t="n">
        <v>0</v>
      </c>
      <c r="X615" s="51" t="n">
        <v>0</v>
      </c>
      <c r="Y615" s="52" t="n">
        <v>0</v>
      </c>
      <c r="Z615" s="52" t="n">
        <v>0</v>
      </c>
      <c r="AA615" s="52" t="n">
        <v>0</v>
      </c>
      <c r="AB615" s="53" t="n">
        <v>0</v>
      </c>
      <c r="AC615" s="52" t="n">
        <v>0</v>
      </c>
      <c r="AD615" s="53" t="n">
        <v>0</v>
      </c>
      <c r="AE615" s="52" t="n">
        <v>0</v>
      </c>
      <c r="AF615" s="51" t="n">
        <v>0</v>
      </c>
      <c r="AG615" s="48" t="n">
        <v>0</v>
      </c>
      <c r="AH615" s="49" t="n">
        <v>0</v>
      </c>
      <c r="AI615" s="49" t="n">
        <v>0</v>
      </c>
      <c r="AJ615" s="50" t="n">
        <v>0</v>
      </c>
      <c r="AK615" s="51" t="n">
        <v>0</v>
      </c>
      <c r="AL615" s="52" t="n">
        <v>0</v>
      </c>
      <c r="AM615" s="52" t="n">
        <v>0</v>
      </c>
      <c r="AN615" s="52" t="n">
        <v>0</v>
      </c>
      <c r="AO615" s="53" t="n">
        <v>0</v>
      </c>
      <c r="AP615" s="52" t="n">
        <v>0</v>
      </c>
      <c r="AQ615" s="53" t="n">
        <v>0</v>
      </c>
      <c r="AR615" s="52" t="n">
        <v>0</v>
      </c>
      <c r="AS615" s="51" t="n">
        <v>0</v>
      </c>
      <c r="AT615" s="48" t="n">
        <v>0</v>
      </c>
      <c r="AU615" s="49" t="n">
        <v>0</v>
      </c>
      <c r="AV615" s="49" t="n">
        <v>0</v>
      </c>
      <c r="AW615" s="50" t="n">
        <v>0</v>
      </c>
      <c r="AX615" s="51" t="n">
        <v>0</v>
      </c>
      <c r="AY615" s="52" t="n">
        <v>0</v>
      </c>
      <c r="AZ615" s="52" t="n">
        <v>0</v>
      </c>
      <c r="BA615" s="52" t="n">
        <v>0</v>
      </c>
      <c r="BB615" s="53" t="n">
        <v>0</v>
      </c>
      <c r="BC615" s="52" t="n">
        <v>0</v>
      </c>
      <c r="BD615" s="53" t="n">
        <v>0</v>
      </c>
      <c r="BE615" s="52" t="n">
        <v>0</v>
      </c>
      <c r="BF615" s="51" t="n">
        <v>0</v>
      </c>
    </row>
    <row r="616">
      <c r="A616">
        <f>HYPERLINK("https://www.walmart.com/ip/5216040029", "5216040029")</f>
        <v/>
      </c>
      <c r="B616" t="inlineStr">
        <is>
          <t>Tirrinia Large Insulated Cooler Bag - Outdoor Leakproof Grocery Cooling Carrier, 20 L Travel &amp; To-Go Food Containers, Wine Tote for Picnics, Camping, Parties</t>
        </is>
      </c>
      <c r="C616" t="inlineStr">
        <is>
          <t>1TRCB10127STR</t>
        </is>
      </c>
      <c r="D616" t="inlineStr">
        <is>
          <t>Soft-Sided Coolers</t>
        </is>
      </c>
      <c r="E616" t="inlineStr">
        <is>
          <t>Tirrinia</t>
        </is>
      </c>
      <c r="G616" s="48" t="n">
        <v>0</v>
      </c>
      <c r="H616" s="49" t="n">
        <v>0</v>
      </c>
      <c r="I616" s="49" t="n">
        <v>0</v>
      </c>
      <c r="J616" s="50" t="n">
        <v>0</v>
      </c>
      <c r="K616" s="51" t="n">
        <v>0</v>
      </c>
      <c r="L616" s="52" t="n">
        <v>0</v>
      </c>
      <c r="M616" s="52" t="n">
        <v>0</v>
      </c>
      <c r="N616" s="52" t="n">
        <v>0</v>
      </c>
      <c r="O616" s="53" t="n">
        <v>0</v>
      </c>
      <c r="P616" s="52" t="n">
        <v>0</v>
      </c>
      <c r="Q616" s="53" t="n">
        <v>0</v>
      </c>
      <c r="R616" s="52" t="n">
        <v>0</v>
      </c>
      <c r="S616" s="51" t="n">
        <v>0</v>
      </c>
      <c r="T616" s="48" t="n">
        <v>0</v>
      </c>
      <c r="U616" s="49" t="n">
        <v>0</v>
      </c>
      <c r="V616" s="49" t="n">
        <v>0</v>
      </c>
      <c r="W616" s="50" t="n">
        <v>0</v>
      </c>
      <c r="X616" s="51" t="n">
        <v>0</v>
      </c>
      <c r="Y616" s="52" t="n">
        <v>0</v>
      </c>
      <c r="Z616" s="52" t="n">
        <v>0</v>
      </c>
      <c r="AA616" s="52" t="n">
        <v>0</v>
      </c>
      <c r="AB616" s="53" t="n">
        <v>0</v>
      </c>
      <c r="AC616" s="52" t="n">
        <v>0</v>
      </c>
      <c r="AD616" s="53" t="n">
        <v>0</v>
      </c>
      <c r="AE616" s="52" t="n">
        <v>0</v>
      </c>
      <c r="AF616" s="51" t="n">
        <v>0</v>
      </c>
      <c r="AG616" s="48" t="n">
        <v>0</v>
      </c>
      <c r="AH616" s="49" t="n">
        <v>0</v>
      </c>
      <c r="AI616" s="49" t="n">
        <v>0</v>
      </c>
      <c r="AJ616" s="50" t="n">
        <v>0</v>
      </c>
      <c r="AK616" s="51" t="n">
        <v>0</v>
      </c>
      <c r="AL616" s="52" t="n">
        <v>0</v>
      </c>
      <c r="AM616" s="52" t="n">
        <v>0</v>
      </c>
      <c r="AN616" s="52" t="n">
        <v>0</v>
      </c>
      <c r="AO616" s="53" t="n">
        <v>0</v>
      </c>
      <c r="AP616" s="52" t="n">
        <v>0</v>
      </c>
      <c r="AQ616" s="53" t="n">
        <v>0</v>
      </c>
      <c r="AR616" s="52" t="n">
        <v>0</v>
      </c>
      <c r="AS616" s="51" t="n">
        <v>0</v>
      </c>
      <c r="AT616" s="48" t="n">
        <v>0</v>
      </c>
      <c r="AU616" s="49" t="n">
        <v>0</v>
      </c>
      <c r="AV616" s="49" t="n">
        <v>0</v>
      </c>
      <c r="AW616" s="50" t="n">
        <v>0</v>
      </c>
      <c r="AX616" s="51" t="n">
        <v>0</v>
      </c>
      <c r="AY616" s="52" t="n">
        <v>0</v>
      </c>
      <c r="AZ616" s="52" t="n">
        <v>0</v>
      </c>
      <c r="BA616" s="52" t="n">
        <v>0</v>
      </c>
      <c r="BB616" s="53" t="n">
        <v>0</v>
      </c>
      <c r="BC616" s="52" t="n">
        <v>0</v>
      </c>
      <c r="BD616" s="53" t="n">
        <v>0</v>
      </c>
      <c r="BE616" s="52" t="n">
        <v>0</v>
      </c>
      <c r="BF616" s="51" t="n">
        <v>0</v>
      </c>
    </row>
    <row r="617">
      <c r="A617">
        <f>HYPERLINK("https://www.walmart.com/ip/5269453353", "5269453353")</f>
        <v/>
      </c>
      <c r="B617" t="inlineStr">
        <is>
          <t>Tirrinia Single Wine Cooler Bags - Insulated &amp; Padded Portable Wine Tote Carrier for Travel, BYOB Restaurant, Wine Tasting, Party, Great Christmas Gift for Wine Lover, Cork</t>
        </is>
      </c>
      <c r="C617" t="inlineStr">
        <is>
          <t>1TRWB101CORK</t>
        </is>
      </c>
      <c r="D617" t="inlineStr">
        <is>
          <t>Wine Totes, Bags &amp; Backpacks</t>
        </is>
      </c>
      <c r="E617" t="inlineStr">
        <is>
          <t>Tirrinia</t>
        </is>
      </c>
      <c r="G617" s="48" t="n">
        <v>0</v>
      </c>
      <c r="H617" s="49" t="n">
        <v>0</v>
      </c>
      <c r="I617" s="49" t="n">
        <v>0</v>
      </c>
      <c r="J617" s="50" t="n">
        <v>0</v>
      </c>
      <c r="K617" s="51" t="n">
        <v>0</v>
      </c>
      <c r="L617" s="52" t="n">
        <v>0</v>
      </c>
      <c r="M617" s="52" t="n">
        <v>0</v>
      </c>
      <c r="N617" s="52" t="n">
        <v>0</v>
      </c>
      <c r="O617" s="53" t="n">
        <v>0</v>
      </c>
      <c r="P617" s="52" t="n">
        <v>0</v>
      </c>
      <c r="Q617" s="53" t="n">
        <v>0</v>
      </c>
      <c r="R617" s="52" t="n">
        <v>0</v>
      </c>
      <c r="S617" s="51" t="n">
        <v>0</v>
      </c>
      <c r="T617" s="48" t="n">
        <v>0</v>
      </c>
      <c r="U617" s="49" t="n">
        <v>0</v>
      </c>
      <c r="V617" s="49" t="n">
        <v>0</v>
      </c>
      <c r="W617" s="50" t="n">
        <v>0</v>
      </c>
      <c r="X617" s="51" t="n">
        <v>0</v>
      </c>
      <c r="Y617" s="52" t="n">
        <v>0</v>
      </c>
      <c r="Z617" s="52" t="n">
        <v>0</v>
      </c>
      <c r="AA617" s="52" t="n">
        <v>0</v>
      </c>
      <c r="AB617" s="53" t="n">
        <v>0</v>
      </c>
      <c r="AC617" s="52" t="n">
        <v>0</v>
      </c>
      <c r="AD617" s="53" t="n">
        <v>0</v>
      </c>
      <c r="AE617" s="52" t="n">
        <v>0</v>
      </c>
      <c r="AF617" s="51" t="n">
        <v>0</v>
      </c>
      <c r="AG617" s="48" t="n">
        <v>0</v>
      </c>
      <c r="AH617" s="49" t="n">
        <v>0</v>
      </c>
      <c r="AI617" s="49" t="n">
        <v>0</v>
      </c>
      <c r="AJ617" s="50" t="n">
        <v>0</v>
      </c>
      <c r="AK617" s="51" t="n">
        <v>0</v>
      </c>
      <c r="AL617" s="52" t="n">
        <v>0</v>
      </c>
      <c r="AM617" s="52" t="n">
        <v>0</v>
      </c>
      <c r="AN617" s="52" t="n">
        <v>0</v>
      </c>
      <c r="AO617" s="53" t="n">
        <v>0</v>
      </c>
      <c r="AP617" s="52" t="n">
        <v>0</v>
      </c>
      <c r="AQ617" s="53" t="n">
        <v>0</v>
      </c>
      <c r="AR617" s="52" t="n">
        <v>0</v>
      </c>
      <c r="AS617" s="51" t="n">
        <v>0</v>
      </c>
      <c r="AT617" s="48" t="n">
        <v>0</v>
      </c>
      <c r="AU617" s="49" t="n">
        <v>0</v>
      </c>
      <c r="AV617" s="49" t="n">
        <v>0</v>
      </c>
      <c r="AW617" s="50" t="n">
        <v>0</v>
      </c>
      <c r="AX617" s="51" t="n">
        <v>0</v>
      </c>
      <c r="AY617" s="52" t="n">
        <v>0</v>
      </c>
      <c r="AZ617" s="52" t="n">
        <v>0</v>
      </c>
      <c r="BA617" s="52" t="n">
        <v>0</v>
      </c>
      <c r="BB617" s="53" t="n">
        <v>0</v>
      </c>
      <c r="BC617" s="52" t="n">
        <v>0</v>
      </c>
      <c r="BD617" s="53" t="n">
        <v>0</v>
      </c>
      <c r="BE617" s="52" t="n">
        <v>0</v>
      </c>
      <c r="BF617" s="51" t="n">
        <v>0</v>
      </c>
    </row>
    <row r="618">
      <c r="A618">
        <f>HYPERLINK("https://www.walmart.com/ip/5216276702", "5216276702")</f>
        <v/>
      </c>
      <c r="B618" t="inlineStr">
        <is>
          <t>Tirrinia Large Insulated Cooler Bag - Outdoor Leakproof Grocery Cooling Carrier, 20 L Travel &amp; To-Go Food Containers, Wine Tote for Picnics, Camping, Parties</t>
        </is>
      </c>
      <c r="C618" t="inlineStr">
        <is>
          <t>1TRCB10127BK</t>
        </is>
      </c>
      <c r="D618" t="inlineStr">
        <is>
          <t>Thermocoolers</t>
        </is>
      </c>
      <c r="E618" t="inlineStr">
        <is>
          <t>Tirrinia</t>
        </is>
      </c>
      <c r="G618" s="48" t="n">
        <v>0</v>
      </c>
      <c r="H618" s="49" t="n">
        <v>0</v>
      </c>
      <c r="I618" s="49" t="n">
        <v>0</v>
      </c>
      <c r="J618" s="50" t="n">
        <v>0</v>
      </c>
      <c r="K618" s="51" t="n">
        <v>0</v>
      </c>
      <c r="L618" s="52" t="n">
        <v>0</v>
      </c>
      <c r="M618" s="52" t="n">
        <v>0</v>
      </c>
      <c r="N618" s="52" t="n">
        <v>0</v>
      </c>
      <c r="O618" s="53" t="n">
        <v>0</v>
      </c>
      <c r="P618" s="52" t="n">
        <v>0</v>
      </c>
      <c r="Q618" s="53" t="n">
        <v>0</v>
      </c>
      <c r="R618" s="52" t="n">
        <v>0</v>
      </c>
      <c r="S618" s="51" t="n">
        <v>0</v>
      </c>
      <c r="T618" s="48" t="n">
        <v>0</v>
      </c>
      <c r="U618" s="49" t="n">
        <v>0</v>
      </c>
      <c r="V618" s="49" t="n">
        <v>0</v>
      </c>
      <c r="W618" s="50" t="n">
        <v>0</v>
      </c>
      <c r="X618" s="51" t="n">
        <v>0</v>
      </c>
      <c r="Y618" s="52" t="n">
        <v>0</v>
      </c>
      <c r="Z618" s="52" t="n">
        <v>0</v>
      </c>
      <c r="AA618" s="52" t="n">
        <v>0</v>
      </c>
      <c r="AB618" s="53" t="n">
        <v>0</v>
      </c>
      <c r="AC618" s="52" t="n">
        <v>0</v>
      </c>
      <c r="AD618" s="53" t="n">
        <v>0</v>
      </c>
      <c r="AE618" s="52" t="n">
        <v>0</v>
      </c>
      <c r="AF618" s="51" t="n">
        <v>0</v>
      </c>
      <c r="AG618" s="48" t="n">
        <v>0</v>
      </c>
      <c r="AH618" s="49" t="n">
        <v>0</v>
      </c>
      <c r="AI618" s="49" t="n">
        <v>0</v>
      </c>
      <c r="AJ618" s="50" t="n">
        <v>0</v>
      </c>
      <c r="AK618" s="51" t="n">
        <v>0</v>
      </c>
      <c r="AL618" s="52" t="n">
        <v>0</v>
      </c>
      <c r="AM618" s="52" t="n">
        <v>0</v>
      </c>
      <c r="AN618" s="52" t="n">
        <v>0</v>
      </c>
      <c r="AO618" s="53" t="n">
        <v>0</v>
      </c>
      <c r="AP618" s="52" t="n">
        <v>0</v>
      </c>
      <c r="AQ618" s="53" t="n">
        <v>0</v>
      </c>
      <c r="AR618" s="52" t="n">
        <v>0</v>
      </c>
      <c r="AS618" s="51" t="n">
        <v>0</v>
      </c>
      <c r="AT618" s="48" t="n">
        <v>0</v>
      </c>
      <c r="AU618" s="49" t="n">
        <v>0</v>
      </c>
      <c r="AV618" s="49" t="n">
        <v>0</v>
      </c>
      <c r="AW618" s="50" t="n">
        <v>0</v>
      </c>
      <c r="AX618" s="51" t="n">
        <v>0</v>
      </c>
      <c r="AY618" s="52" t="n">
        <v>0</v>
      </c>
      <c r="AZ618" s="52" t="n">
        <v>0</v>
      </c>
      <c r="BA618" s="52" t="n">
        <v>0</v>
      </c>
      <c r="BB618" s="53" t="n">
        <v>0</v>
      </c>
      <c r="BC618" s="52" t="n">
        <v>0</v>
      </c>
      <c r="BD618" s="53" t="n">
        <v>0</v>
      </c>
      <c r="BE618" s="52" t="n">
        <v>0</v>
      </c>
      <c r="BF618" s="51" t="n">
        <v>0</v>
      </c>
    </row>
    <row r="619">
      <c r="A619">
        <f>HYPERLINK("https://www.walmart.com/ip/521665057", "521665057")</f>
        <v/>
      </c>
      <c r="B619" t="inlineStr">
        <is>
          <t>Luxury Knit Throw Decorative Blanket with Pom Pom Fringe Super Soft Warm Sleeping Cover for Adults or Kids on the Couch</t>
        </is>
      </c>
      <c r="C619" t="inlineStr">
        <is>
          <t>1TRBN200BK-TBCB</t>
        </is>
      </c>
      <c r="D619" t="inlineStr">
        <is>
          <t>Throws</t>
        </is>
      </c>
      <c r="E619" t="inlineStr">
        <is>
          <t>Tirrinia</t>
        </is>
      </c>
      <c r="G619" s="48" t="n">
        <v>0</v>
      </c>
      <c r="H619" s="49" t="n">
        <v>0</v>
      </c>
      <c r="I619" s="49" t="n">
        <v>0</v>
      </c>
      <c r="J619" s="50" t="n">
        <v>0</v>
      </c>
      <c r="K619" s="51" t="n">
        <v>0</v>
      </c>
      <c r="L619" s="52" t="n">
        <v>0</v>
      </c>
      <c r="M619" s="52" t="n">
        <v>0</v>
      </c>
      <c r="N619" s="52" t="n">
        <v>0</v>
      </c>
      <c r="O619" s="53" t="n">
        <v>0</v>
      </c>
      <c r="P619" s="52" t="n">
        <v>0</v>
      </c>
      <c r="Q619" s="53" t="n">
        <v>0</v>
      </c>
      <c r="R619" s="52" t="n">
        <v>0</v>
      </c>
      <c r="S619" s="51" t="n">
        <v>0</v>
      </c>
      <c r="T619" s="48" t="n">
        <v>0</v>
      </c>
      <c r="U619" s="49" t="n">
        <v>0</v>
      </c>
      <c r="V619" s="49" t="n">
        <v>0</v>
      </c>
      <c r="W619" s="50" t="n">
        <v>0</v>
      </c>
      <c r="X619" s="51" t="n">
        <v>0</v>
      </c>
      <c r="Y619" s="52" t="n">
        <v>0</v>
      </c>
      <c r="Z619" s="52" t="n">
        <v>0</v>
      </c>
      <c r="AA619" s="52" t="n">
        <v>0</v>
      </c>
      <c r="AB619" s="53" t="n">
        <v>0</v>
      </c>
      <c r="AC619" s="52" t="n">
        <v>0</v>
      </c>
      <c r="AD619" s="53" t="n">
        <v>0</v>
      </c>
      <c r="AE619" s="52" t="n">
        <v>0</v>
      </c>
      <c r="AF619" s="51" t="n">
        <v>0</v>
      </c>
      <c r="AG619" s="48" t="n">
        <v>0</v>
      </c>
      <c r="AH619" s="49" t="n">
        <v>0</v>
      </c>
      <c r="AI619" s="49" t="n">
        <v>0</v>
      </c>
      <c r="AJ619" s="50" t="n">
        <v>0</v>
      </c>
      <c r="AK619" s="51" t="n">
        <v>0</v>
      </c>
      <c r="AL619" s="52" t="n">
        <v>0</v>
      </c>
      <c r="AM619" s="52" t="n">
        <v>0</v>
      </c>
      <c r="AN619" s="52" t="n">
        <v>0</v>
      </c>
      <c r="AO619" s="53" t="n">
        <v>0</v>
      </c>
      <c r="AP619" s="52" t="n">
        <v>0</v>
      </c>
      <c r="AQ619" s="53" t="n">
        <v>0</v>
      </c>
      <c r="AR619" s="52" t="n">
        <v>0</v>
      </c>
      <c r="AS619" s="51" t="n">
        <v>0</v>
      </c>
      <c r="AT619" s="48" t="n">
        <v>0</v>
      </c>
      <c r="AU619" s="49" t="n">
        <v>0</v>
      </c>
      <c r="AV619" s="49" t="n">
        <v>0</v>
      </c>
      <c r="AW619" s="50" t="n">
        <v>0</v>
      </c>
      <c r="AX619" s="51" t="n">
        <v>0</v>
      </c>
      <c r="AY619" s="52" t="n">
        <v>0</v>
      </c>
      <c r="AZ619" s="52" t="n">
        <v>0</v>
      </c>
      <c r="BA619" s="52" t="n">
        <v>0</v>
      </c>
      <c r="BB619" s="53" t="n">
        <v>0</v>
      </c>
      <c r="BC619" s="52" t="n">
        <v>0</v>
      </c>
      <c r="BD619" s="53" t="n">
        <v>0</v>
      </c>
      <c r="BE619" s="52" t="n">
        <v>0</v>
      </c>
      <c r="BF619" s="51" t="n">
        <v>0</v>
      </c>
    </row>
    <row r="620">
      <c r="A620">
        <f>HYPERLINK("https://www.walmart.com/ip/523329936", "523329936")</f>
        <v/>
      </c>
      <c r="B620" t="inlineStr">
        <is>
          <t>Tirrinia Insulated Lunch Box for Women Men, Leakproof Thermal Reusable Lunch Bag with 2 Zipper Pockets for Adult &amp; Kids, Lunch Bag Cooler Tote for Office Work, White Pink</t>
        </is>
      </c>
      <c r="C620" t="inlineStr">
        <is>
          <t>1TRLB705RDWT</t>
        </is>
      </c>
      <c r="D620" t="inlineStr">
        <is>
          <t>Reusable Lunch Bags &amp; Boxes</t>
        </is>
      </c>
      <c r="E620" t="inlineStr">
        <is>
          <t>Tirrinia</t>
        </is>
      </c>
      <c r="F620" t="inlineStr">
        <is>
          <t>Brand Camp VD,Lunch Bag,WFS,Lunch Bags,SEM,WFS Item</t>
        </is>
      </c>
      <c r="G620" s="48" t="n">
        <v>0</v>
      </c>
      <c r="H620" s="49" t="n">
        <v>0</v>
      </c>
      <c r="I620" s="49" t="n">
        <v>0</v>
      </c>
      <c r="J620" s="50" t="n">
        <v>0</v>
      </c>
      <c r="K620" s="51" t="n">
        <v>0</v>
      </c>
      <c r="L620" s="52" t="n">
        <v>0</v>
      </c>
      <c r="M620" s="52" t="n">
        <v>0</v>
      </c>
      <c r="N620" s="52" t="n">
        <v>0</v>
      </c>
      <c r="O620" s="53" t="n">
        <v>0</v>
      </c>
      <c r="P620" s="52" t="n">
        <v>0</v>
      </c>
      <c r="Q620" s="53" t="n">
        <v>0</v>
      </c>
      <c r="R620" s="52" t="n">
        <v>0</v>
      </c>
      <c r="S620" s="51" t="n">
        <v>0</v>
      </c>
      <c r="T620" s="48" t="n">
        <v>0</v>
      </c>
      <c r="U620" s="49" t="n">
        <v>0</v>
      </c>
      <c r="V620" s="49" t="n">
        <v>0</v>
      </c>
      <c r="W620" s="50" t="n">
        <v>0</v>
      </c>
      <c r="X620" s="51" t="n">
        <v>0</v>
      </c>
      <c r="Y620" s="52" t="n">
        <v>0</v>
      </c>
      <c r="Z620" s="52" t="n">
        <v>0</v>
      </c>
      <c r="AA620" s="52" t="n">
        <v>0</v>
      </c>
      <c r="AB620" s="53" t="n">
        <v>0</v>
      </c>
      <c r="AC620" s="52" t="n">
        <v>0</v>
      </c>
      <c r="AD620" s="53" t="n">
        <v>0</v>
      </c>
      <c r="AE620" s="52" t="n">
        <v>0</v>
      </c>
      <c r="AF620" s="51" t="n">
        <v>0</v>
      </c>
      <c r="AG620" s="48" t="n">
        <v>0</v>
      </c>
      <c r="AH620" s="49" t="n">
        <v>0</v>
      </c>
      <c r="AI620" s="49" t="n">
        <v>0</v>
      </c>
      <c r="AJ620" s="50" t="n">
        <v>0</v>
      </c>
      <c r="AK620" s="51" t="n">
        <v>0</v>
      </c>
      <c r="AL620" s="52" t="n">
        <v>0</v>
      </c>
      <c r="AM620" s="52" t="n">
        <v>0</v>
      </c>
      <c r="AN620" s="52" t="n">
        <v>0</v>
      </c>
      <c r="AO620" s="53" t="n">
        <v>0</v>
      </c>
      <c r="AP620" s="52" t="n">
        <v>0</v>
      </c>
      <c r="AQ620" s="53" t="n">
        <v>0</v>
      </c>
      <c r="AR620" s="52" t="n">
        <v>0</v>
      </c>
      <c r="AS620" s="51" t="n">
        <v>0</v>
      </c>
      <c r="AT620" s="48" t="n">
        <v>0</v>
      </c>
      <c r="AU620" s="49" t="n">
        <v>0</v>
      </c>
      <c r="AV620" s="49" t="n">
        <v>0</v>
      </c>
      <c r="AW620" s="50" t="n">
        <v>0</v>
      </c>
      <c r="AX620" s="51" t="n">
        <v>0</v>
      </c>
      <c r="AY620" s="52" t="n">
        <v>0</v>
      </c>
      <c r="AZ620" s="52" t="n">
        <v>0</v>
      </c>
      <c r="BA620" s="52" t="n">
        <v>0</v>
      </c>
      <c r="BB620" s="53" t="n">
        <v>0</v>
      </c>
      <c r="BC620" s="52" t="n">
        <v>0</v>
      </c>
      <c r="BD620" s="53" t="n">
        <v>0</v>
      </c>
      <c r="BE620" s="52" t="n">
        <v>0</v>
      </c>
      <c r="BF620" s="51" t="n">
        <v>0</v>
      </c>
    </row>
    <row r="621">
      <c r="A621">
        <f>HYPERLINK("https://www.walmart.com/ip/525890877", "525890877")</f>
        <v/>
      </c>
      <c r="B621" t="inlineStr">
        <is>
          <t>Women’s Crop Top Hoodie Sweatshirt Oversized Casual 3/4 Sleeve One Size Pink Cheetah</t>
        </is>
      </c>
      <c r="C621" t="inlineStr">
        <is>
          <t>1WMHD520S1PKCHEETAH</t>
        </is>
      </c>
      <c r="D621" t="inlineStr">
        <is>
          <t>Sweatshirts &amp; Hoodies</t>
        </is>
      </c>
      <c r="E621" t="inlineStr">
        <is>
          <t>Flyingstar</t>
        </is>
      </c>
      <c r="F621" t="inlineStr">
        <is>
          <t>Batch 1 - TR</t>
        </is>
      </c>
      <c r="G621" s="48" t="n">
        <v>0</v>
      </c>
      <c r="H621" s="49" t="n">
        <v>0</v>
      </c>
      <c r="I621" s="49" t="n">
        <v>0</v>
      </c>
      <c r="J621" s="50" t="n">
        <v>0</v>
      </c>
      <c r="K621" s="51" t="n">
        <v>0</v>
      </c>
      <c r="L621" s="52" t="n">
        <v>0</v>
      </c>
      <c r="M621" s="52" t="n">
        <v>0</v>
      </c>
      <c r="N621" s="52" t="n">
        <v>0</v>
      </c>
      <c r="O621" s="53" t="n">
        <v>0</v>
      </c>
      <c r="P621" s="52" t="n">
        <v>0</v>
      </c>
      <c r="Q621" s="53" t="n">
        <v>0</v>
      </c>
      <c r="R621" s="52" t="n">
        <v>0</v>
      </c>
      <c r="S621" s="51" t="n">
        <v>0</v>
      </c>
      <c r="T621" s="48" t="n">
        <v>0</v>
      </c>
      <c r="U621" s="49" t="n">
        <v>0</v>
      </c>
      <c r="V621" s="49" t="n">
        <v>0</v>
      </c>
      <c r="W621" s="50" t="n">
        <v>0</v>
      </c>
      <c r="X621" s="51" t="n">
        <v>0</v>
      </c>
      <c r="Y621" s="52" t="n">
        <v>0</v>
      </c>
      <c r="Z621" s="52" t="n">
        <v>0</v>
      </c>
      <c r="AA621" s="52" t="n">
        <v>0</v>
      </c>
      <c r="AB621" s="53" t="n">
        <v>0</v>
      </c>
      <c r="AC621" s="52" t="n">
        <v>0</v>
      </c>
      <c r="AD621" s="53" t="n">
        <v>0</v>
      </c>
      <c r="AE621" s="52" t="n">
        <v>0</v>
      </c>
      <c r="AF621" s="51" t="n">
        <v>0</v>
      </c>
      <c r="AG621" s="48" t="n">
        <v>0</v>
      </c>
      <c r="AH621" s="49" t="n">
        <v>0</v>
      </c>
      <c r="AI621" s="49" t="n">
        <v>0</v>
      </c>
      <c r="AJ621" s="50" t="n">
        <v>0</v>
      </c>
      <c r="AK621" s="51" t="n">
        <v>0</v>
      </c>
      <c r="AL621" s="52" t="n">
        <v>0</v>
      </c>
      <c r="AM621" s="52" t="n">
        <v>0</v>
      </c>
      <c r="AN621" s="52" t="n">
        <v>0</v>
      </c>
      <c r="AO621" s="53" t="n">
        <v>0</v>
      </c>
      <c r="AP621" s="52" t="n">
        <v>0</v>
      </c>
      <c r="AQ621" s="53" t="n">
        <v>0</v>
      </c>
      <c r="AR621" s="52" t="n">
        <v>0</v>
      </c>
      <c r="AS621" s="51" t="n">
        <v>0</v>
      </c>
      <c r="AT621" s="48" t="n">
        <v>0</v>
      </c>
      <c r="AU621" s="49" t="n">
        <v>0</v>
      </c>
      <c r="AV621" s="49" t="n">
        <v>0</v>
      </c>
      <c r="AW621" s="50" t="n">
        <v>0</v>
      </c>
      <c r="AX621" s="51" t="n">
        <v>0</v>
      </c>
      <c r="AY621" s="52" t="n">
        <v>0</v>
      </c>
      <c r="AZ621" s="52" t="n">
        <v>0</v>
      </c>
      <c r="BA621" s="52" t="n">
        <v>0</v>
      </c>
      <c r="BB621" s="53" t="n">
        <v>0</v>
      </c>
      <c r="BC621" s="52" t="n">
        <v>0</v>
      </c>
      <c r="BD621" s="53" t="n">
        <v>0</v>
      </c>
      <c r="BE621" s="52" t="n">
        <v>0</v>
      </c>
      <c r="BF621" s="51" t="n">
        <v>0</v>
      </c>
    </row>
    <row r="622">
      <c r="A622">
        <f>HYPERLINK("https://www.walmart.com/ip/526212595", "526212595")</f>
        <v/>
      </c>
      <c r="B622" t="inlineStr">
        <is>
          <t>Catalonia Twin Size Sherpa Comforter Set, Ultra-Soft Reversible Fluffy Micromink Bedding Set-2 Pieces, 1 Comforter and 1 Pillow Sham, 64x88 inches</t>
        </is>
      </c>
      <c r="C622" t="inlineStr">
        <is>
          <t>1CTBQ300TW-BL</t>
        </is>
      </c>
      <c r="D622" t="inlineStr">
        <is>
          <t>Comforters &amp; Duvets</t>
        </is>
      </c>
      <c r="E622" t="inlineStr">
        <is>
          <t>Catalonia</t>
        </is>
      </c>
      <c r="F622" t="inlineStr">
        <is>
          <t>WFS,WFS Item</t>
        </is>
      </c>
      <c r="G622" s="48" t="n">
        <v>0</v>
      </c>
      <c r="H622" s="49" t="n">
        <v>0</v>
      </c>
      <c r="I622" s="49" t="n">
        <v>0</v>
      </c>
      <c r="J622" s="50" t="n">
        <v>0</v>
      </c>
      <c r="K622" s="51" t="n">
        <v>0</v>
      </c>
      <c r="L622" s="52" t="n">
        <v>0</v>
      </c>
      <c r="M622" s="52" t="n">
        <v>0</v>
      </c>
      <c r="N622" s="52" t="n">
        <v>0</v>
      </c>
      <c r="O622" s="53" t="n">
        <v>0</v>
      </c>
      <c r="P622" s="52" t="n">
        <v>0</v>
      </c>
      <c r="Q622" s="53" t="n">
        <v>0</v>
      </c>
      <c r="R622" s="52" t="n">
        <v>0</v>
      </c>
      <c r="S622" s="51" t="n">
        <v>0</v>
      </c>
      <c r="T622" s="48" t="n">
        <v>0</v>
      </c>
      <c r="U622" s="49" t="n">
        <v>0</v>
      </c>
      <c r="V622" s="49" t="n">
        <v>0</v>
      </c>
      <c r="W622" s="50" t="n">
        <v>0</v>
      </c>
      <c r="X622" s="51" t="n">
        <v>0</v>
      </c>
      <c r="Y622" s="52" t="n">
        <v>0</v>
      </c>
      <c r="Z622" s="52" t="n">
        <v>0</v>
      </c>
      <c r="AA622" s="52" t="n">
        <v>0</v>
      </c>
      <c r="AB622" s="53" t="n">
        <v>0</v>
      </c>
      <c r="AC622" s="52" t="n">
        <v>0</v>
      </c>
      <c r="AD622" s="53" t="n">
        <v>0</v>
      </c>
      <c r="AE622" s="52" t="n">
        <v>0</v>
      </c>
      <c r="AF622" s="51" t="n">
        <v>0</v>
      </c>
      <c r="AG622" s="48" t="n">
        <v>0</v>
      </c>
      <c r="AH622" s="49" t="n">
        <v>0</v>
      </c>
      <c r="AI622" s="49" t="n">
        <v>0</v>
      </c>
      <c r="AJ622" s="50" t="n">
        <v>0</v>
      </c>
      <c r="AK622" s="51" t="n">
        <v>0</v>
      </c>
      <c r="AL622" s="52" t="n">
        <v>0</v>
      </c>
      <c r="AM622" s="52" t="n">
        <v>0</v>
      </c>
      <c r="AN622" s="52" t="n">
        <v>0</v>
      </c>
      <c r="AO622" s="53" t="n">
        <v>0</v>
      </c>
      <c r="AP622" s="52" t="n">
        <v>0</v>
      </c>
      <c r="AQ622" s="53" t="n">
        <v>0</v>
      </c>
      <c r="AR622" s="52" t="n">
        <v>0</v>
      </c>
      <c r="AS622" s="51" t="n">
        <v>0</v>
      </c>
      <c r="AT622" s="48" t="n">
        <v>0</v>
      </c>
      <c r="AU622" s="49" t="n">
        <v>0</v>
      </c>
      <c r="AV622" s="49" t="n">
        <v>0</v>
      </c>
      <c r="AW622" s="50" t="n">
        <v>0</v>
      </c>
      <c r="AX622" s="51" t="n">
        <v>0</v>
      </c>
      <c r="AY622" s="52" t="n">
        <v>0</v>
      </c>
      <c r="AZ622" s="52" t="n">
        <v>0</v>
      </c>
      <c r="BA622" s="52" t="n">
        <v>0</v>
      </c>
      <c r="BB622" s="53" t="n">
        <v>0</v>
      </c>
      <c r="BC622" s="52" t="n">
        <v>0</v>
      </c>
      <c r="BD622" s="53" t="n">
        <v>0</v>
      </c>
      <c r="BE622" s="52" t="n">
        <v>0</v>
      </c>
      <c r="BF622" s="51" t="n">
        <v>0</v>
      </c>
    </row>
    <row r="623">
      <c r="A623">
        <f>HYPERLINK("https://www.walmart.com/ip/526553094", "526553094")</f>
        <v/>
      </c>
      <c r="B623" t="inlineStr">
        <is>
          <t>Catalonia Sherpa Wearable Blanket Poncho for Adult Women Men, Wrap Blanket Cape with Pocket, Warm, Soft, Cozy, Snuggly, Comfort Gift, No Sleeves, Navy</t>
        </is>
      </c>
      <c r="C623" t="inlineStr">
        <is>
          <t>1CTBP110NY</t>
        </is>
      </c>
      <c r="D623" t="inlineStr">
        <is>
          <t>Throws</t>
        </is>
      </c>
      <c r="E623" t="inlineStr">
        <is>
          <t>Catalonia</t>
        </is>
      </c>
      <c r="F623" t="inlineStr">
        <is>
          <t>Hero 5 Holidays,WFS,WFS Item</t>
        </is>
      </c>
      <c r="G623" s="48" t="n">
        <v>0</v>
      </c>
      <c r="H623" s="49" t="n">
        <v>0</v>
      </c>
      <c r="I623" s="49" t="n">
        <v>0</v>
      </c>
      <c r="J623" s="50" t="n">
        <v>0</v>
      </c>
      <c r="K623" s="51" t="n">
        <v>12</v>
      </c>
      <c r="L623" s="52" t="n">
        <v>3.35</v>
      </c>
      <c r="M623" s="52" t="n">
        <v>0</v>
      </c>
      <c r="N623" s="52" t="n">
        <v>0</v>
      </c>
      <c r="O623" s="53" t="n">
        <v>0.0019</v>
      </c>
      <c r="P623" s="52" t="n">
        <v>0.2791666666666667</v>
      </c>
      <c r="Q623" s="53" t="n">
        <v>0</v>
      </c>
      <c r="R623" s="52" t="n">
        <v>0</v>
      </c>
      <c r="S623" s="51" t="n">
        <v>6280</v>
      </c>
      <c r="T623" s="48" t="n">
        <v>0</v>
      </c>
      <c r="U623" s="49" t="n">
        <v>0</v>
      </c>
      <c r="V623" s="49" t="n">
        <v>0</v>
      </c>
      <c r="W623" s="50" t="n">
        <v>0</v>
      </c>
      <c r="X623" s="51" t="n">
        <v>12</v>
      </c>
      <c r="Y623" s="52" t="n">
        <v>3.37</v>
      </c>
      <c r="Z623" s="52" t="n">
        <v>0</v>
      </c>
      <c r="AA623" s="52" t="n">
        <v>0</v>
      </c>
      <c r="AB623" s="53" t="n">
        <v>0.002</v>
      </c>
      <c r="AC623" s="52" t="n">
        <v>0.2808333333333333</v>
      </c>
      <c r="AD623" s="53" t="n">
        <v>0</v>
      </c>
      <c r="AE623" s="52" t="n">
        <v>0</v>
      </c>
      <c r="AF623" s="51" t="n">
        <v>5998</v>
      </c>
      <c r="AG623" s="48" t="n">
        <v>0</v>
      </c>
      <c r="AH623" s="49" t="n">
        <v>0</v>
      </c>
      <c r="AI623" s="49" t="n">
        <v>0</v>
      </c>
      <c r="AJ623" s="50" t="n">
        <v>0</v>
      </c>
      <c r="AK623" s="51" t="n">
        <v>10</v>
      </c>
      <c r="AL623" s="52" t="n">
        <v>3.1</v>
      </c>
      <c r="AM623" s="52" t="n">
        <v>0</v>
      </c>
      <c r="AN623" s="52" t="n">
        <v>0</v>
      </c>
      <c r="AO623" s="53" t="n">
        <v>0.0016</v>
      </c>
      <c r="AP623" s="52" t="n">
        <v>0.31</v>
      </c>
      <c r="AQ623" s="53" t="n">
        <v>0</v>
      </c>
      <c r="AR623" s="52" t="n">
        <v>0</v>
      </c>
      <c r="AS623" s="51" t="n">
        <v>6155</v>
      </c>
      <c r="AT623" s="48" t="n">
        <v>0</v>
      </c>
      <c r="AU623" s="49" t="n">
        <v>0</v>
      </c>
      <c r="AV623" s="49" t="n">
        <v>0</v>
      </c>
      <c r="AW623" s="50" t="n">
        <v>0</v>
      </c>
      <c r="AX623" s="51" t="n">
        <v>5</v>
      </c>
      <c r="AY623" s="52" t="n">
        <v>1.25</v>
      </c>
      <c r="AZ623" s="52" t="n">
        <v>0</v>
      </c>
      <c r="BA623" s="52" t="n">
        <v>0</v>
      </c>
      <c r="BB623" s="53" t="n">
        <v>0.0009</v>
      </c>
      <c r="BC623" s="52" t="n">
        <v>0.25</v>
      </c>
      <c r="BD623" s="53" t="n">
        <v>0</v>
      </c>
      <c r="BE623" s="52" t="n">
        <v>0</v>
      </c>
      <c r="BF623" s="51" t="n">
        <v>5456</v>
      </c>
    </row>
    <row r="624">
      <c r="A624">
        <f>HYPERLINK("https://www.walmart.com/ip/5076439926", "5076439926")</f>
        <v/>
      </c>
      <c r="B624" t="inlineStr">
        <is>
          <t>Tirrinia Women's Plush Soft Robe, Fluffy, Warm, and Fleece Sherpa Shaggy Bathrobe for Ultimate Comfort, Machine Washable, Medium Size, Purple</t>
        </is>
      </c>
      <c r="C624" t="inlineStr">
        <is>
          <t>1TRRB503PP-2</t>
        </is>
      </c>
      <c r="D624" t="inlineStr">
        <is>
          <t>Sleepwear Robes &amp; Bathrobes</t>
        </is>
      </c>
      <c r="E624" t="inlineStr">
        <is>
          <t>Tirrinia</t>
        </is>
      </c>
      <c r="F624" t="inlineStr">
        <is>
          <t>Bathrobe,Coupon_Discount</t>
        </is>
      </c>
      <c r="G624" s="48" t="n">
        <v>0</v>
      </c>
      <c r="H624" s="49" t="n">
        <v>0</v>
      </c>
      <c r="I624" s="49" t="n">
        <v>0</v>
      </c>
      <c r="J624" s="50" t="n">
        <v>0</v>
      </c>
      <c r="K624" s="51" t="n">
        <v>0</v>
      </c>
      <c r="L624" s="52" t="n">
        <v>0</v>
      </c>
      <c r="M624" s="52" t="n">
        <v>0</v>
      </c>
      <c r="N624" s="52" t="n">
        <v>0</v>
      </c>
      <c r="O624" s="53" t="n">
        <v>0</v>
      </c>
      <c r="P624" s="52" t="n">
        <v>0</v>
      </c>
      <c r="Q624" s="53" t="n">
        <v>0</v>
      </c>
      <c r="R624" s="52" t="n">
        <v>0</v>
      </c>
      <c r="S624" s="51" t="n">
        <v>0</v>
      </c>
      <c r="T624" s="48" t="n">
        <v>0</v>
      </c>
      <c r="U624" s="49" t="n">
        <v>0</v>
      </c>
      <c r="V624" s="49" t="n">
        <v>0</v>
      </c>
      <c r="W624" s="50" t="n">
        <v>0</v>
      </c>
      <c r="X624" s="51" t="n">
        <v>0</v>
      </c>
      <c r="Y624" s="52" t="n">
        <v>0</v>
      </c>
      <c r="Z624" s="52" t="n">
        <v>0</v>
      </c>
      <c r="AA624" s="52" t="n">
        <v>0</v>
      </c>
      <c r="AB624" s="53" t="n">
        <v>0</v>
      </c>
      <c r="AC624" s="52" t="n">
        <v>0</v>
      </c>
      <c r="AD624" s="53" t="n">
        <v>0</v>
      </c>
      <c r="AE624" s="52" t="n">
        <v>0</v>
      </c>
      <c r="AF624" s="51" t="n">
        <v>0</v>
      </c>
      <c r="AG624" s="48" t="n">
        <v>0</v>
      </c>
      <c r="AH624" s="49" t="n">
        <v>0</v>
      </c>
      <c r="AI624" s="49" t="n">
        <v>0</v>
      </c>
      <c r="AJ624" s="50" t="n">
        <v>0</v>
      </c>
      <c r="AK624" s="51" t="n">
        <v>0</v>
      </c>
      <c r="AL624" s="52" t="n">
        <v>0</v>
      </c>
      <c r="AM624" s="52" t="n">
        <v>0</v>
      </c>
      <c r="AN624" s="52" t="n">
        <v>0</v>
      </c>
      <c r="AO624" s="53" t="n">
        <v>0</v>
      </c>
      <c r="AP624" s="52" t="n">
        <v>0</v>
      </c>
      <c r="AQ624" s="53" t="n">
        <v>0</v>
      </c>
      <c r="AR624" s="52" t="n">
        <v>0</v>
      </c>
      <c r="AS624" s="51" t="n">
        <v>0</v>
      </c>
      <c r="AT624" s="48" t="n">
        <v>0</v>
      </c>
      <c r="AU624" s="49" t="n">
        <v>0</v>
      </c>
      <c r="AV624" s="49" t="n">
        <v>0</v>
      </c>
      <c r="AW624" s="50" t="n">
        <v>0</v>
      </c>
      <c r="AX624" s="51" t="n">
        <v>0</v>
      </c>
      <c r="AY624" s="52" t="n">
        <v>0</v>
      </c>
      <c r="AZ624" s="52" t="n">
        <v>0</v>
      </c>
      <c r="BA624" s="52" t="n">
        <v>0</v>
      </c>
      <c r="BB624" s="53" t="n">
        <v>0</v>
      </c>
      <c r="BC624" s="52" t="n">
        <v>0</v>
      </c>
      <c r="BD624" s="53" t="n">
        <v>0</v>
      </c>
      <c r="BE624" s="52" t="n">
        <v>0</v>
      </c>
      <c r="BF624" s="51" t="n">
        <v>0</v>
      </c>
    </row>
    <row r="625">
      <c r="A625">
        <f>HYPERLINK("https://www.walmart.com/ip/5076079810", "5076079810")</f>
        <v/>
      </c>
      <c r="B625" t="inlineStr">
        <is>
          <t>Tirrinia Women's Plush Soft Robe - Fluffy, Warm, and Fleece Sherpa Shaggy Bathrobe for Ultimate Comfort, Machine Washable, Medium Size, Grey</t>
        </is>
      </c>
      <c r="C625" t="inlineStr">
        <is>
          <t>1TRRB503GY-2</t>
        </is>
      </c>
      <c r="D625" t="inlineStr">
        <is>
          <t>Sleepwear Robes &amp; Bathrobes</t>
        </is>
      </c>
      <c r="E625" t="inlineStr">
        <is>
          <t>Tirrinia</t>
        </is>
      </c>
      <c r="F625" t="inlineStr">
        <is>
          <t>Bathrobe,Coupon_Discount</t>
        </is>
      </c>
      <c r="G625" s="48" t="n">
        <v>0</v>
      </c>
      <c r="H625" s="49" t="n">
        <v>0</v>
      </c>
      <c r="I625" s="49" t="n">
        <v>0</v>
      </c>
      <c r="J625" s="50" t="n">
        <v>0</v>
      </c>
      <c r="K625" s="51" t="n">
        <v>0</v>
      </c>
      <c r="L625" s="52" t="n">
        <v>0</v>
      </c>
      <c r="M625" s="52" t="n">
        <v>0</v>
      </c>
      <c r="N625" s="52" t="n">
        <v>0</v>
      </c>
      <c r="O625" s="53" t="n">
        <v>0</v>
      </c>
      <c r="P625" s="52" t="n">
        <v>0</v>
      </c>
      <c r="Q625" s="53" t="n">
        <v>0</v>
      </c>
      <c r="R625" s="52" t="n">
        <v>0</v>
      </c>
      <c r="S625" s="51" t="n">
        <v>0</v>
      </c>
      <c r="T625" s="48" t="n">
        <v>0</v>
      </c>
      <c r="U625" s="49" t="n">
        <v>0</v>
      </c>
      <c r="V625" s="49" t="n">
        <v>0</v>
      </c>
      <c r="W625" s="50" t="n">
        <v>0</v>
      </c>
      <c r="X625" s="51" t="n">
        <v>0</v>
      </c>
      <c r="Y625" s="52" t="n">
        <v>0</v>
      </c>
      <c r="Z625" s="52" t="n">
        <v>0</v>
      </c>
      <c r="AA625" s="52" t="n">
        <v>0</v>
      </c>
      <c r="AB625" s="53" t="n">
        <v>0</v>
      </c>
      <c r="AC625" s="52" t="n">
        <v>0</v>
      </c>
      <c r="AD625" s="53" t="n">
        <v>0</v>
      </c>
      <c r="AE625" s="52" t="n">
        <v>0</v>
      </c>
      <c r="AF625" s="51" t="n">
        <v>0</v>
      </c>
      <c r="AG625" s="48" t="n">
        <v>0</v>
      </c>
      <c r="AH625" s="49" t="n">
        <v>0</v>
      </c>
      <c r="AI625" s="49" t="n">
        <v>0</v>
      </c>
      <c r="AJ625" s="50" t="n">
        <v>0</v>
      </c>
      <c r="AK625" s="51" t="n">
        <v>0</v>
      </c>
      <c r="AL625" s="52" t="n">
        <v>0</v>
      </c>
      <c r="AM625" s="52" t="n">
        <v>0</v>
      </c>
      <c r="AN625" s="52" t="n">
        <v>0</v>
      </c>
      <c r="AO625" s="53" t="n">
        <v>0</v>
      </c>
      <c r="AP625" s="52" t="n">
        <v>0</v>
      </c>
      <c r="AQ625" s="53" t="n">
        <v>0</v>
      </c>
      <c r="AR625" s="52" t="n">
        <v>0</v>
      </c>
      <c r="AS625" s="51" t="n">
        <v>0</v>
      </c>
      <c r="AT625" s="48" t="n">
        <v>0</v>
      </c>
      <c r="AU625" s="49" t="n">
        <v>0</v>
      </c>
      <c r="AV625" s="49" t="n">
        <v>0</v>
      </c>
      <c r="AW625" s="50" t="n">
        <v>0</v>
      </c>
      <c r="AX625" s="51" t="n">
        <v>0</v>
      </c>
      <c r="AY625" s="52" t="n">
        <v>0</v>
      </c>
      <c r="AZ625" s="52" t="n">
        <v>0</v>
      </c>
      <c r="BA625" s="52" t="n">
        <v>0</v>
      </c>
      <c r="BB625" s="53" t="n">
        <v>0</v>
      </c>
      <c r="BC625" s="52" t="n">
        <v>0</v>
      </c>
      <c r="BD625" s="53" t="n">
        <v>0</v>
      </c>
      <c r="BE625" s="52" t="n">
        <v>0</v>
      </c>
      <c r="BF625" s="51" t="n">
        <v>0</v>
      </c>
    </row>
    <row r="626">
      <c r="A626">
        <f>HYPERLINK("https://www.walmart.com/ip/464674088", "464674088")</f>
        <v/>
      </c>
      <c r="B626" t="inlineStr">
        <is>
          <t>Solaris Sun Hats UV Protection Wide Brim Hat Unisex Adult Multicolor</t>
        </is>
      </c>
      <c r="C626" t="inlineStr">
        <is>
          <t>1SLSH910BL</t>
        </is>
      </c>
      <c r="D626" t="inlineStr">
        <is>
          <t>Hats</t>
        </is>
      </c>
      <c r="E626" t="inlineStr">
        <is>
          <t>Solaris</t>
        </is>
      </c>
      <c r="F626" t="inlineStr">
        <is>
          <t>Hats,Batch 1 - TR</t>
        </is>
      </c>
      <c r="G626" s="48" t="n">
        <v>0</v>
      </c>
      <c r="H626" s="49" t="n">
        <v>0</v>
      </c>
      <c r="I626" s="49" t="n">
        <v>0</v>
      </c>
      <c r="J626" s="50" t="n">
        <v>0</v>
      </c>
      <c r="K626" s="51" t="n">
        <v>0</v>
      </c>
      <c r="L626" s="52" t="n">
        <v>0</v>
      </c>
      <c r="M626" s="52" t="n">
        <v>0</v>
      </c>
      <c r="N626" s="52" t="n">
        <v>0</v>
      </c>
      <c r="O626" s="53" t="n">
        <v>0</v>
      </c>
      <c r="P626" s="52" t="n">
        <v>0</v>
      </c>
      <c r="Q626" s="53" t="n">
        <v>0</v>
      </c>
      <c r="R626" s="52" t="n">
        <v>0</v>
      </c>
      <c r="S626" s="51" t="n">
        <v>0</v>
      </c>
      <c r="T626" s="48" t="n">
        <v>0</v>
      </c>
      <c r="U626" s="49" t="n">
        <v>0</v>
      </c>
      <c r="V626" s="49" t="n">
        <v>0</v>
      </c>
      <c r="W626" s="50" t="n">
        <v>0</v>
      </c>
      <c r="X626" s="51" t="n">
        <v>0</v>
      </c>
      <c r="Y626" s="52" t="n">
        <v>0</v>
      </c>
      <c r="Z626" s="52" t="n">
        <v>0</v>
      </c>
      <c r="AA626" s="52" t="n">
        <v>0</v>
      </c>
      <c r="AB626" s="53" t="n">
        <v>0</v>
      </c>
      <c r="AC626" s="52" t="n">
        <v>0</v>
      </c>
      <c r="AD626" s="53" t="n">
        <v>0</v>
      </c>
      <c r="AE626" s="52" t="n">
        <v>0</v>
      </c>
      <c r="AF626" s="51" t="n">
        <v>0</v>
      </c>
      <c r="AG626" s="48" t="n">
        <v>0</v>
      </c>
      <c r="AH626" s="49" t="n">
        <v>0</v>
      </c>
      <c r="AI626" s="49" t="n">
        <v>0</v>
      </c>
      <c r="AJ626" s="50" t="n">
        <v>0</v>
      </c>
      <c r="AK626" s="51" t="n">
        <v>0</v>
      </c>
      <c r="AL626" s="52" t="n">
        <v>0</v>
      </c>
      <c r="AM626" s="52" t="n">
        <v>0</v>
      </c>
      <c r="AN626" s="52" t="n">
        <v>0</v>
      </c>
      <c r="AO626" s="53" t="n">
        <v>0</v>
      </c>
      <c r="AP626" s="52" t="n">
        <v>0</v>
      </c>
      <c r="AQ626" s="53" t="n">
        <v>0</v>
      </c>
      <c r="AR626" s="52" t="n">
        <v>0</v>
      </c>
      <c r="AS626" s="51" t="n">
        <v>0</v>
      </c>
      <c r="AT626" s="48" t="n">
        <v>0</v>
      </c>
      <c r="AU626" s="49" t="n">
        <v>0</v>
      </c>
      <c r="AV626" s="49" t="n">
        <v>0</v>
      </c>
      <c r="AW626" s="50" t="n">
        <v>0</v>
      </c>
      <c r="AX626" s="51" t="n">
        <v>0</v>
      </c>
      <c r="AY626" s="52" t="n">
        <v>0</v>
      </c>
      <c r="AZ626" s="52" t="n">
        <v>0</v>
      </c>
      <c r="BA626" s="52" t="n">
        <v>0</v>
      </c>
      <c r="BB626" s="53" t="n">
        <v>0</v>
      </c>
      <c r="BC626" s="52" t="n">
        <v>0</v>
      </c>
      <c r="BD626" s="53" t="n">
        <v>0</v>
      </c>
      <c r="BE626" s="52" t="n">
        <v>0</v>
      </c>
      <c r="BF626" s="51" t="n">
        <v>0</v>
      </c>
    </row>
    <row r="627">
      <c r="A627">
        <f>HYPERLINK("https://www.walmart.com/ip/489915943", "489915943")</f>
        <v/>
      </c>
      <c r="B627" t="inlineStr">
        <is>
          <t>Catalonia Wearable TV Blanket with Sleeves Arms Warm Micro Plush Sherpa Fleece for Adult Large Wrap Throw Robe 72 x 55”</t>
        </is>
      </c>
      <c r="C627" t="inlineStr">
        <is>
          <t>1CTSN110BL</t>
        </is>
      </c>
      <c r="D627" t="inlineStr">
        <is>
          <t>Throws</t>
        </is>
      </c>
      <c r="E627" t="inlineStr">
        <is>
          <t>Catalonia</t>
        </is>
      </c>
      <c r="F627" t="inlineStr">
        <is>
          <t>Optimized,WFS,WFS Item</t>
        </is>
      </c>
      <c r="G627" s="48" t="n">
        <v>0</v>
      </c>
      <c r="H627" s="49" t="n">
        <v>0</v>
      </c>
      <c r="I627" s="49" t="n">
        <v>0</v>
      </c>
      <c r="J627" s="50" t="n">
        <v>0</v>
      </c>
      <c r="K627" s="51" t="n">
        <v>0</v>
      </c>
      <c r="L627" s="52" t="n">
        <v>0</v>
      </c>
      <c r="M627" s="52" t="n">
        <v>0</v>
      </c>
      <c r="N627" s="52" t="n">
        <v>0</v>
      </c>
      <c r="O627" s="53" t="n">
        <v>0</v>
      </c>
      <c r="P627" s="52" t="n">
        <v>0</v>
      </c>
      <c r="Q627" s="53" t="n">
        <v>0</v>
      </c>
      <c r="R627" s="52" t="n">
        <v>0</v>
      </c>
      <c r="S627" s="51" t="n">
        <v>0</v>
      </c>
      <c r="T627" s="48" t="n">
        <v>0</v>
      </c>
      <c r="U627" s="49" t="n">
        <v>0</v>
      </c>
      <c r="V627" s="49" t="n">
        <v>0</v>
      </c>
      <c r="W627" s="50" t="n">
        <v>0</v>
      </c>
      <c r="X627" s="51" t="n">
        <v>0</v>
      </c>
      <c r="Y627" s="52" t="n">
        <v>0</v>
      </c>
      <c r="Z627" s="52" t="n">
        <v>0</v>
      </c>
      <c r="AA627" s="52" t="n">
        <v>0</v>
      </c>
      <c r="AB627" s="53" t="n">
        <v>0</v>
      </c>
      <c r="AC627" s="52" t="n">
        <v>0</v>
      </c>
      <c r="AD627" s="53" t="n">
        <v>0</v>
      </c>
      <c r="AE627" s="52" t="n">
        <v>0</v>
      </c>
      <c r="AF627" s="51" t="n">
        <v>0</v>
      </c>
      <c r="AG627" s="48" t="n">
        <v>0</v>
      </c>
      <c r="AH627" s="49" t="n">
        <v>0</v>
      </c>
      <c r="AI627" s="49" t="n">
        <v>0</v>
      </c>
      <c r="AJ627" s="50" t="n">
        <v>0</v>
      </c>
      <c r="AK627" s="51" t="n">
        <v>0</v>
      </c>
      <c r="AL627" s="52" t="n">
        <v>0</v>
      </c>
      <c r="AM627" s="52" t="n">
        <v>0</v>
      </c>
      <c r="AN627" s="52" t="n">
        <v>0</v>
      </c>
      <c r="AO627" s="53" t="n">
        <v>0</v>
      </c>
      <c r="AP627" s="52" t="n">
        <v>0</v>
      </c>
      <c r="AQ627" s="53" t="n">
        <v>0</v>
      </c>
      <c r="AR627" s="52" t="n">
        <v>0</v>
      </c>
      <c r="AS627" s="51" t="n">
        <v>0</v>
      </c>
      <c r="AT627" s="48" t="n">
        <v>0</v>
      </c>
      <c r="AU627" s="49" t="n">
        <v>0</v>
      </c>
      <c r="AV627" s="49" t="n">
        <v>0</v>
      </c>
      <c r="AW627" s="50" t="n">
        <v>0</v>
      </c>
      <c r="AX627" s="51" t="n">
        <v>0</v>
      </c>
      <c r="AY627" s="52" t="n">
        <v>0</v>
      </c>
      <c r="AZ627" s="52" t="n">
        <v>0</v>
      </c>
      <c r="BA627" s="52" t="n">
        <v>0</v>
      </c>
      <c r="BB627" s="53" t="n">
        <v>0</v>
      </c>
      <c r="BC627" s="52" t="n">
        <v>0</v>
      </c>
      <c r="BD627" s="53" t="n">
        <v>0</v>
      </c>
      <c r="BE627" s="52" t="n">
        <v>0</v>
      </c>
      <c r="BF627" s="51" t="n">
        <v>0</v>
      </c>
    </row>
    <row r="628">
      <c r="A628">
        <f>HYPERLINK("https://www.walmart.com/ip/479148074", "479148074")</f>
        <v/>
      </c>
      <c r="B628" t="inlineStr">
        <is>
          <t>FlyingStar Waterproof Outdoor Blanket with Sherpa Lining,Windproof Triple Layers Warm Comfy Foldable for Camping  Stadium,Sports,Picnic,Grass,Concerts,Pet 51''X 59'',Navy/Grey</t>
        </is>
      </c>
      <c r="C628" t="inlineStr">
        <is>
          <t>1WMBW506NYGY-TBCB</t>
        </is>
      </c>
      <c r="D628" t="inlineStr">
        <is>
          <t>Picnic Blankets &amp; Mats</t>
        </is>
      </c>
      <c r="E628" t="inlineStr">
        <is>
          <t>Flyingstar</t>
        </is>
      </c>
      <c r="F628" t="inlineStr">
        <is>
          <t>Q2-Target,Optimized,WFS,WFS Item</t>
        </is>
      </c>
      <c r="G628" s="48" t="n">
        <v>0</v>
      </c>
      <c r="H628" s="49" t="n">
        <v>0</v>
      </c>
      <c r="I628" s="49" t="n">
        <v>1</v>
      </c>
      <c r="J628" s="50" t="n">
        <v>0</v>
      </c>
      <c r="K628" s="51" t="n">
        <v>5</v>
      </c>
      <c r="L628" s="52" t="n">
        <v>1.5</v>
      </c>
      <c r="M628" s="52" t="n">
        <v>0</v>
      </c>
      <c r="N628" s="52" t="n">
        <v>0</v>
      </c>
      <c r="O628" s="53" t="n">
        <v>0.0301</v>
      </c>
      <c r="P628" s="52" t="n">
        <v>0.3</v>
      </c>
      <c r="Q628" s="53" t="n">
        <v>0</v>
      </c>
      <c r="R628" s="52" t="n">
        <v>0</v>
      </c>
      <c r="S628" s="51" t="n">
        <v>166</v>
      </c>
      <c r="T628" s="48" t="n">
        <v>0</v>
      </c>
      <c r="U628" s="49" t="n">
        <v>0</v>
      </c>
      <c r="V628" s="49" t="n">
        <v>5</v>
      </c>
      <c r="W628" s="50" t="n">
        <v>0</v>
      </c>
      <c r="X628" s="51" t="n">
        <v>5</v>
      </c>
      <c r="Y628" s="52" t="n">
        <v>1.51</v>
      </c>
      <c r="Z628" s="52" t="n">
        <v>0</v>
      </c>
      <c r="AA628" s="52" t="n">
        <v>0</v>
      </c>
      <c r="AB628" s="53" t="n">
        <v>0.0243</v>
      </c>
      <c r="AC628" s="52" t="n">
        <v>0.302</v>
      </c>
      <c r="AD628" s="53" t="n">
        <v>0</v>
      </c>
      <c r="AE628" s="52" t="n">
        <v>0</v>
      </c>
      <c r="AF628" s="51" t="n">
        <v>206</v>
      </c>
      <c r="AG628" s="48" t="n">
        <v>29.99</v>
      </c>
      <c r="AH628" s="49" t="n">
        <v>1</v>
      </c>
      <c r="AI628" s="49" t="n">
        <v>4</v>
      </c>
      <c r="AJ628" s="50" t="n">
        <v>0.25</v>
      </c>
      <c r="AK628" s="51" t="n">
        <v>4</v>
      </c>
      <c r="AL628" s="52" t="n">
        <v>1.2</v>
      </c>
      <c r="AM628" s="52" t="n">
        <v>0</v>
      </c>
      <c r="AN628" s="52" t="n">
        <v>0</v>
      </c>
      <c r="AO628" s="53" t="n">
        <v>0.0213</v>
      </c>
      <c r="AP628" s="52" t="n">
        <v>0.3</v>
      </c>
      <c r="AQ628" s="53" t="n">
        <v>0.04001333777925976</v>
      </c>
      <c r="AR628" s="52" t="n">
        <v>29.99</v>
      </c>
      <c r="AS628" s="51" t="n">
        <v>188</v>
      </c>
      <c r="AT628" s="48" t="n">
        <v>55.98</v>
      </c>
      <c r="AU628" s="49" t="n">
        <v>2</v>
      </c>
      <c r="AV628" s="49" t="n">
        <v>5</v>
      </c>
      <c r="AW628" s="50" t="n">
        <v>0.4</v>
      </c>
      <c r="AX628" s="51" t="n">
        <v>5</v>
      </c>
      <c r="AY628" s="52" t="n">
        <v>1.5</v>
      </c>
      <c r="AZ628" s="52" t="n">
        <v>0</v>
      </c>
      <c r="BA628" s="52" t="n">
        <v>0</v>
      </c>
      <c r="BB628" s="53" t="n">
        <v>0.0222</v>
      </c>
      <c r="BC628" s="52" t="n">
        <v>0.3</v>
      </c>
      <c r="BD628" s="53" t="n">
        <v>0.02679528403001072</v>
      </c>
      <c r="BE628" s="52" t="n">
        <v>27.99</v>
      </c>
      <c r="BF628" s="51" t="n">
        <v>225</v>
      </c>
    </row>
    <row r="629">
      <c r="A629">
        <f>HYPERLINK("https://www.walmart.com/ip/479885190", "479885190")</f>
        <v/>
      </c>
      <c r="B629" t="inlineStr">
        <is>
          <t>Waterproof Blanket, Premium Reversible Furniture Protector Cover Blanket,Super Cozy Fleece Sherpa Throw for Outdoor Multi-Colors 80”x60” By Catalonia</t>
        </is>
      </c>
      <c r="C629" t="inlineStr">
        <is>
          <t>1CTBW681LGDG</t>
        </is>
      </c>
      <c r="D629" t="inlineStr">
        <is>
          <t>Throws</t>
        </is>
      </c>
      <c r="E629" t="inlineStr">
        <is>
          <t>Catalonia</t>
        </is>
      </c>
      <c r="F629" t="inlineStr">
        <is>
          <t>Q2-Target,Wproof Blanket,Batch 1 - TR</t>
        </is>
      </c>
      <c r="G629" s="48" t="n">
        <v>0</v>
      </c>
      <c r="H629" s="49" t="n">
        <v>0</v>
      </c>
      <c r="I629" s="49" t="n">
        <v>0</v>
      </c>
      <c r="J629" s="50" t="n">
        <v>0</v>
      </c>
      <c r="K629" s="51" t="n">
        <v>5</v>
      </c>
      <c r="L629" s="52" t="n">
        <v>2.13</v>
      </c>
      <c r="M629" s="52" t="n">
        <v>0</v>
      </c>
      <c r="N629" s="52" t="n">
        <v>0</v>
      </c>
      <c r="O629" s="53" t="n">
        <v>0.0018</v>
      </c>
      <c r="P629" s="52" t="n">
        <v>0.426</v>
      </c>
      <c r="Q629" s="53" t="n">
        <v>0</v>
      </c>
      <c r="R629" s="52" t="n">
        <v>0</v>
      </c>
      <c r="S629" s="51" t="n">
        <v>2809</v>
      </c>
      <c r="T629" s="48" t="n">
        <v>0</v>
      </c>
      <c r="U629" s="49" t="n">
        <v>0</v>
      </c>
      <c r="V629" s="49" t="n">
        <v>0</v>
      </c>
      <c r="W629" s="50" t="n">
        <v>0</v>
      </c>
      <c r="X629" s="51" t="n">
        <v>3</v>
      </c>
      <c r="Y629" s="52" t="n">
        <v>1.29</v>
      </c>
      <c r="Z629" s="52" t="n">
        <v>0</v>
      </c>
      <c r="AA629" s="52" t="n">
        <v>0</v>
      </c>
      <c r="AB629" s="53" t="n">
        <v>0.0014</v>
      </c>
      <c r="AC629" s="52" t="n">
        <v>0.43</v>
      </c>
      <c r="AD629" s="53" t="n">
        <v>0</v>
      </c>
      <c r="AE629" s="52" t="n">
        <v>0</v>
      </c>
      <c r="AF629" s="51" t="n">
        <v>2200</v>
      </c>
      <c r="AG629" s="48" t="n">
        <v>0</v>
      </c>
      <c r="AH629" s="49" t="n">
        <v>0</v>
      </c>
      <c r="AI629" s="49" t="n">
        <v>0</v>
      </c>
      <c r="AJ629" s="50" t="n">
        <v>0</v>
      </c>
      <c r="AK629" s="51" t="n">
        <v>2</v>
      </c>
      <c r="AL629" s="52" t="n">
        <v>0.86</v>
      </c>
      <c r="AM629" s="52" t="n">
        <v>0</v>
      </c>
      <c r="AN629" s="52" t="n">
        <v>0</v>
      </c>
      <c r="AO629" s="53" t="n">
        <v>0.0008</v>
      </c>
      <c r="AP629" s="52" t="n">
        <v>0.43</v>
      </c>
      <c r="AQ629" s="53" t="n">
        <v>0</v>
      </c>
      <c r="AR629" s="52" t="n">
        <v>0</v>
      </c>
      <c r="AS629" s="51" t="n">
        <v>2598</v>
      </c>
      <c r="AT629" s="48" t="n">
        <v>0</v>
      </c>
      <c r="AU629" s="49" t="n">
        <v>0</v>
      </c>
      <c r="AV629" s="49" t="n">
        <v>0</v>
      </c>
      <c r="AW629" s="50" t="n">
        <v>0</v>
      </c>
      <c r="AX629" s="51" t="n">
        <v>4</v>
      </c>
      <c r="AY629" s="52" t="n">
        <v>1.64</v>
      </c>
      <c r="AZ629" s="52" t="n">
        <v>0</v>
      </c>
      <c r="BA629" s="52" t="n">
        <v>0</v>
      </c>
      <c r="BB629" s="53" t="n">
        <v>0.0025</v>
      </c>
      <c r="BC629" s="52" t="n">
        <v>0.41</v>
      </c>
      <c r="BD629" s="53" t="n">
        <v>0</v>
      </c>
      <c r="BE629" s="52" t="n">
        <v>0</v>
      </c>
      <c r="BF629" s="51" t="n">
        <v>1598</v>
      </c>
    </row>
    <row r="630">
      <c r="A630">
        <f>HYPERLINK("https://www.walmart.com/ip/479969953", "479969953")</f>
        <v/>
      </c>
      <c r="B630" t="inlineStr">
        <is>
          <t>Catalonia Surf Beach Changing Towel With Hood, Super Absorbent Microfiber Swim Robe Poncho for Men Women Bath Shower Pool,Pink</t>
        </is>
      </c>
      <c r="C630" t="inlineStr">
        <is>
          <t>1CTBR102-PB</t>
        </is>
      </c>
      <c r="D630" t="inlineStr">
        <is>
          <t>Towels &amp; Washcloths</t>
        </is>
      </c>
      <c r="E630" t="inlineStr">
        <is>
          <t>Catalonia</t>
        </is>
      </c>
      <c r="G630" s="48" t="n">
        <v>0</v>
      </c>
      <c r="H630" s="49" t="n">
        <v>0</v>
      </c>
      <c r="I630" s="49" t="n">
        <v>0</v>
      </c>
      <c r="J630" s="50" t="n">
        <v>0</v>
      </c>
      <c r="K630" s="51" t="n">
        <v>0</v>
      </c>
      <c r="L630" s="52" t="n">
        <v>0</v>
      </c>
      <c r="M630" s="52" t="n">
        <v>0</v>
      </c>
      <c r="N630" s="52" t="n">
        <v>0</v>
      </c>
      <c r="O630" s="53" t="n">
        <v>0</v>
      </c>
      <c r="P630" s="52" t="n">
        <v>0</v>
      </c>
      <c r="Q630" s="53" t="n">
        <v>0</v>
      </c>
      <c r="R630" s="52" t="n">
        <v>0</v>
      </c>
      <c r="S630" s="51" t="n">
        <v>0</v>
      </c>
      <c r="T630" s="48" t="n">
        <v>0</v>
      </c>
      <c r="U630" s="49" t="n">
        <v>0</v>
      </c>
      <c r="V630" s="49" t="n">
        <v>0</v>
      </c>
      <c r="W630" s="50" t="n">
        <v>0</v>
      </c>
      <c r="X630" s="51" t="n">
        <v>0</v>
      </c>
      <c r="Y630" s="52" t="n">
        <v>0</v>
      </c>
      <c r="Z630" s="52" t="n">
        <v>0</v>
      </c>
      <c r="AA630" s="52" t="n">
        <v>0</v>
      </c>
      <c r="AB630" s="53" t="n">
        <v>0</v>
      </c>
      <c r="AC630" s="52" t="n">
        <v>0</v>
      </c>
      <c r="AD630" s="53" t="n">
        <v>0</v>
      </c>
      <c r="AE630" s="52" t="n">
        <v>0</v>
      </c>
      <c r="AF630" s="51" t="n">
        <v>0</v>
      </c>
      <c r="AG630" s="48" t="n">
        <v>0</v>
      </c>
      <c r="AH630" s="49" t="n">
        <v>0</v>
      </c>
      <c r="AI630" s="49" t="n">
        <v>0</v>
      </c>
      <c r="AJ630" s="50" t="n">
        <v>0</v>
      </c>
      <c r="AK630" s="51" t="n">
        <v>0</v>
      </c>
      <c r="AL630" s="52" t="n">
        <v>0</v>
      </c>
      <c r="AM630" s="52" t="n">
        <v>0</v>
      </c>
      <c r="AN630" s="52" t="n">
        <v>0</v>
      </c>
      <c r="AO630" s="53" t="n">
        <v>0</v>
      </c>
      <c r="AP630" s="52" t="n">
        <v>0</v>
      </c>
      <c r="AQ630" s="53" t="n">
        <v>0</v>
      </c>
      <c r="AR630" s="52" t="n">
        <v>0</v>
      </c>
      <c r="AS630" s="51" t="n">
        <v>0</v>
      </c>
      <c r="AT630" s="48" t="n">
        <v>0</v>
      </c>
      <c r="AU630" s="49" t="n">
        <v>0</v>
      </c>
      <c r="AV630" s="49" t="n">
        <v>0</v>
      </c>
      <c r="AW630" s="50" t="n">
        <v>0</v>
      </c>
      <c r="AX630" s="51" t="n">
        <v>0</v>
      </c>
      <c r="AY630" s="52" t="n">
        <v>0</v>
      </c>
      <c r="AZ630" s="52" t="n">
        <v>0</v>
      </c>
      <c r="BA630" s="52" t="n">
        <v>0</v>
      </c>
      <c r="BB630" s="53" t="n">
        <v>0</v>
      </c>
      <c r="BC630" s="52" t="n">
        <v>0</v>
      </c>
      <c r="BD630" s="53" t="n">
        <v>0</v>
      </c>
      <c r="BE630" s="52" t="n">
        <v>0</v>
      </c>
      <c r="BF630" s="51" t="n">
        <v>0</v>
      </c>
    </row>
    <row r="631">
      <c r="A631">
        <f>HYPERLINK("https://www.walmart.com/ip/480406987", "480406987")</f>
        <v/>
      </c>
      <c r="B631" t="inlineStr">
        <is>
          <t>Catalonia Women's Plush Fleece Long Robe, Warm Comfy Fluffy Female Bathrobe with Hood, Machine Washable, One Size, Blue</t>
        </is>
      </c>
      <c r="C631" t="inlineStr">
        <is>
          <t>1CTRB100BL-LDCB</t>
        </is>
      </c>
      <c r="D631" t="inlineStr">
        <is>
          <t>Sleepwear Robes &amp; Bathrobes</t>
        </is>
      </c>
      <c r="E631" t="inlineStr">
        <is>
          <t>Catalonia</t>
        </is>
      </c>
      <c r="F631" t="inlineStr">
        <is>
          <t>Hero 5 Holidays,WFS,Bathrobe,WFS Item</t>
        </is>
      </c>
      <c r="G631" s="48" t="n">
        <v>0</v>
      </c>
      <c r="H631" s="49" t="n">
        <v>0</v>
      </c>
      <c r="I631" s="49" t="n">
        <v>0</v>
      </c>
      <c r="J631" s="50" t="n">
        <v>0</v>
      </c>
      <c r="K631" s="51" t="n">
        <v>0</v>
      </c>
      <c r="L631" s="52" t="n">
        <v>0</v>
      </c>
      <c r="M631" s="52" t="n">
        <v>0</v>
      </c>
      <c r="N631" s="52" t="n">
        <v>0</v>
      </c>
      <c r="O631" s="53" t="n">
        <v>0</v>
      </c>
      <c r="P631" s="52" t="n">
        <v>0</v>
      </c>
      <c r="Q631" s="53" t="n">
        <v>0</v>
      </c>
      <c r="R631" s="52" t="n">
        <v>0</v>
      </c>
      <c r="S631" s="51" t="n">
        <v>0</v>
      </c>
      <c r="T631" s="48" t="n">
        <v>0</v>
      </c>
      <c r="U631" s="49" t="n">
        <v>0</v>
      </c>
      <c r="V631" s="49" t="n">
        <v>0</v>
      </c>
      <c r="W631" s="50" t="n">
        <v>0</v>
      </c>
      <c r="X631" s="51" t="n">
        <v>0</v>
      </c>
      <c r="Y631" s="52" t="n">
        <v>0</v>
      </c>
      <c r="Z631" s="52" t="n">
        <v>0</v>
      </c>
      <c r="AA631" s="52" t="n">
        <v>0</v>
      </c>
      <c r="AB631" s="53" t="n">
        <v>0</v>
      </c>
      <c r="AC631" s="52" t="n">
        <v>0</v>
      </c>
      <c r="AD631" s="53" t="n">
        <v>0</v>
      </c>
      <c r="AE631" s="52" t="n">
        <v>0</v>
      </c>
      <c r="AF631" s="51" t="n">
        <v>0</v>
      </c>
      <c r="AG631" s="48" t="n">
        <v>0</v>
      </c>
      <c r="AH631" s="49" t="n">
        <v>0</v>
      </c>
      <c r="AI631" s="49" t="n">
        <v>0</v>
      </c>
      <c r="AJ631" s="50" t="n">
        <v>0</v>
      </c>
      <c r="AK631" s="51" t="n">
        <v>0</v>
      </c>
      <c r="AL631" s="52" t="n">
        <v>0</v>
      </c>
      <c r="AM631" s="52" t="n">
        <v>0</v>
      </c>
      <c r="AN631" s="52" t="n">
        <v>0</v>
      </c>
      <c r="AO631" s="53" t="n">
        <v>0</v>
      </c>
      <c r="AP631" s="52" t="n">
        <v>0</v>
      </c>
      <c r="AQ631" s="53" t="n">
        <v>0</v>
      </c>
      <c r="AR631" s="52" t="n">
        <v>0</v>
      </c>
      <c r="AS631" s="51" t="n">
        <v>0</v>
      </c>
      <c r="AT631" s="48" t="n">
        <v>0</v>
      </c>
      <c r="AU631" s="49" t="n">
        <v>0</v>
      </c>
      <c r="AV631" s="49" t="n">
        <v>0</v>
      </c>
      <c r="AW631" s="50" t="n">
        <v>0</v>
      </c>
      <c r="AX631" s="51" t="n">
        <v>0</v>
      </c>
      <c r="AY631" s="52" t="n">
        <v>0</v>
      </c>
      <c r="AZ631" s="52" t="n">
        <v>0</v>
      </c>
      <c r="BA631" s="52" t="n">
        <v>0</v>
      </c>
      <c r="BB631" s="53" t="n">
        <v>0</v>
      </c>
      <c r="BC631" s="52" t="n">
        <v>0</v>
      </c>
      <c r="BD631" s="53" t="n">
        <v>0</v>
      </c>
      <c r="BE631" s="52" t="n">
        <v>0</v>
      </c>
      <c r="BF631" s="51" t="n">
        <v>0</v>
      </c>
    </row>
    <row r="632">
      <c r="A632">
        <f>HYPERLINK("https://www.walmart.com/ip/481492129", "481492129")</f>
        <v/>
      </c>
      <c r="B632" t="inlineStr">
        <is>
          <t>Catalonia Women’s Sherpa Hoodie Sweatshirt Dress, Casual Snuggle Wearable Blanket Pullover Sweater with Kangaroo Pocket, Warm and Soft, Gift for Her, Navy</t>
        </is>
      </c>
      <c r="C632" t="inlineStr">
        <is>
          <t>1CTHD532DBL</t>
        </is>
      </c>
      <c r="D632" t="inlineStr">
        <is>
          <t>Sweatshirts &amp; Hoodies</t>
        </is>
      </c>
      <c r="E632" t="inlineStr">
        <is>
          <t>Catalonia</t>
        </is>
      </c>
      <c r="F632" t="inlineStr">
        <is>
          <t>Hoodie ForAdult,Optimized</t>
        </is>
      </c>
      <c r="G632" s="48" t="n">
        <v>0</v>
      </c>
      <c r="H632" s="49" t="n">
        <v>0</v>
      </c>
      <c r="I632" s="49" t="n">
        <v>0</v>
      </c>
      <c r="J632" s="50" t="n">
        <v>0</v>
      </c>
      <c r="K632" s="51" t="n">
        <v>0</v>
      </c>
      <c r="L632" s="52" t="n">
        <v>0</v>
      </c>
      <c r="M632" s="52" t="n">
        <v>0</v>
      </c>
      <c r="N632" s="52" t="n">
        <v>0</v>
      </c>
      <c r="O632" s="53" t="n">
        <v>0</v>
      </c>
      <c r="P632" s="52" t="n">
        <v>0</v>
      </c>
      <c r="Q632" s="53" t="n">
        <v>0</v>
      </c>
      <c r="R632" s="52" t="n">
        <v>0</v>
      </c>
      <c r="S632" s="51" t="n">
        <v>0</v>
      </c>
      <c r="T632" s="48" t="n">
        <v>0</v>
      </c>
      <c r="U632" s="49" t="n">
        <v>0</v>
      </c>
      <c r="V632" s="49" t="n">
        <v>0</v>
      </c>
      <c r="W632" s="50" t="n">
        <v>0</v>
      </c>
      <c r="X632" s="51" t="n">
        <v>0</v>
      </c>
      <c r="Y632" s="52" t="n">
        <v>0</v>
      </c>
      <c r="Z632" s="52" t="n">
        <v>0</v>
      </c>
      <c r="AA632" s="52" t="n">
        <v>0</v>
      </c>
      <c r="AB632" s="53" t="n">
        <v>0</v>
      </c>
      <c r="AC632" s="52" t="n">
        <v>0</v>
      </c>
      <c r="AD632" s="53" t="n">
        <v>0</v>
      </c>
      <c r="AE632" s="52" t="n">
        <v>0</v>
      </c>
      <c r="AF632" s="51" t="n">
        <v>0</v>
      </c>
      <c r="AG632" s="48" t="n">
        <v>0</v>
      </c>
      <c r="AH632" s="49" t="n">
        <v>0</v>
      </c>
      <c r="AI632" s="49" t="n">
        <v>0</v>
      </c>
      <c r="AJ632" s="50" t="n">
        <v>0</v>
      </c>
      <c r="AK632" s="51" t="n">
        <v>0</v>
      </c>
      <c r="AL632" s="52" t="n">
        <v>0</v>
      </c>
      <c r="AM632" s="52" t="n">
        <v>0</v>
      </c>
      <c r="AN632" s="52" t="n">
        <v>0</v>
      </c>
      <c r="AO632" s="53" t="n">
        <v>0</v>
      </c>
      <c r="AP632" s="52" t="n">
        <v>0</v>
      </c>
      <c r="AQ632" s="53" t="n">
        <v>0</v>
      </c>
      <c r="AR632" s="52" t="n">
        <v>0</v>
      </c>
      <c r="AS632" s="51" t="n">
        <v>0</v>
      </c>
      <c r="AT632" s="48" t="n">
        <v>0</v>
      </c>
      <c r="AU632" s="49" t="n">
        <v>0</v>
      </c>
      <c r="AV632" s="49" t="n">
        <v>0</v>
      </c>
      <c r="AW632" s="50" t="n">
        <v>0</v>
      </c>
      <c r="AX632" s="51" t="n">
        <v>0</v>
      </c>
      <c r="AY632" s="52" t="n">
        <v>0</v>
      </c>
      <c r="AZ632" s="52" t="n">
        <v>0</v>
      </c>
      <c r="BA632" s="52" t="n">
        <v>0</v>
      </c>
      <c r="BB632" s="53" t="n">
        <v>0</v>
      </c>
      <c r="BC632" s="52" t="n">
        <v>0</v>
      </c>
      <c r="BD632" s="53" t="n">
        <v>0</v>
      </c>
      <c r="BE632" s="52" t="n">
        <v>0</v>
      </c>
      <c r="BF632" s="51" t="n">
        <v>0</v>
      </c>
    </row>
    <row r="633">
      <c r="A633">
        <f>HYPERLINK("https://www.walmart.com/ip/482078354", "482078354")</f>
        <v/>
      </c>
      <c r="B633" t="inlineStr">
        <is>
          <t>Tirrinia Insulated Lunch Bag for Women Men, Leakproof Thermal Reusable Lunch Box with 4 Pockets for Adult Kids, Lunch Bag Cooler Tote for Office Work, Back to School, Purple</t>
        </is>
      </c>
      <c r="C633" t="inlineStr">
        <is>
          <t>1TRLB702PP-N</t>
        </is>
      </c>
      <c r="D633" t="inlineStr">
        <is>
          <t>Reusable Lunch Bags &amp; Boxes</t>
        </is>
      </c>
      <c r="E633" t="inlineStr">
        <is>
          <t>Tirrinia</t>
        </is>
      </c>
      <c r="F633" t="inlineStr">
        <is>
          <t>Q2-Target,Brand Camp VD,Lunch Bag,Lunch Bags</t>
        </is>
      </c>
      <c r="G633" s="48" t="n">
        <v>0</v>
      </c>
      <c r="H633" s="49" t="n">
        <v>0</v>
      </c>
      <c r="I633" s="49" t="n">
        <v>0</v>
      </c>
      <c r="J633" s="50" t="n">
        <v>0</v>
      </c>
      <c r="K633" s="51" t="n">
        <v>0</v>
      </c>
      <c r="L633" s="52" t="n">
        <v>0</v>
      </c>
      <c r="M633" s="52" t="n">
        <v>0</v>
      </c>
      <c r="N633" s="52" t="n">
        <v>0</v>
      </c>
      <c r="O633" s="53" t="n">
        <v>0</v>
      </c>
      <c r="P633" s="52" t="n">
        <v>0</v>
      </c>
      <c r="Q633" s="53" t="n">
        <v>0</v>
      </c>
      <c r="R633" s="52" t="n">
        <v>0</v>
      </c>
      <c r="S633" s="51" t="n">
        <v>0</v>
      </c>
      <c r="T633" s="48" t="n">
        <v>0</v>
      </c>
      <c r="U633" s="49" t="n">
        <v>0</v>
      </c>
      <c r="V633" s="49" t="n">
        <v>0</v>
      </c>
      <c r="W633" s="50" t="n">
        <v>0</v>
      </c>
      <c r="X633" s="51" t="n">
        <v>0</v>
      </c>
      <c r="Y633" s="52" t="n">
        <v>0</v>
      </c>
      <c r="Z633" s="52" t="n">
        <v>0</v>
      </c>
      <c r="AA633" s="52" t="n">
        <v>0</v>
      </c>
      <c r="AB633" s="53" t="n">
        <v>0</v>
      </c>
      <c r="AC633" s="52" t="n">
        <v>0</v>
      </c>
      <c r="AD633" s="53" t="n">
        <v>0</v>
      </c>
      <c r="AE633" s="52" t="n">
        <v>0</v>
      </c>
      <c r="AF633" s="51" t="n">
        <v>0</v>
      </c>
      <c r="AG633" s="48" t="n">
        <v>0</v>
      </c>
      <c r="AH633" s="49" t="n">
        <v>0</v>
      </c>
      <c r="AI633" s="49" t="n">
        <v>0</v>
      </c>
      <c r="AJ633" s="50" t="n">
        <v>0</v>
      </c>
      <c r="AK633" s="51" t="n">
        <v>0</v>
      </c>
      <c r="AL633" s="52" t="n">
        <v>0</v>
      </c>
      <c r="AM633" s="52" t="n">
        <v>0</v>
      </c>
      <c r="AN633" s="52" t="n">
        <v>0</v>
      </c>
      <c r="AO633" s="53" t="n">
        <v>0</v>
      </c>
      <c r="AP633" s="52" t="n">
        <v>0</v>
      </c>
      <c r="AQ633" s="53" t="n">
        <v>0</v>
      </c>
      <c r="AR633" s="52" t="n">
        <v>0</v>
      </c>
      <c r="AS633" s="51" t="n">
        <v>0</v>
      </c>
      <c r="AT633" s="48" t="n">
        <v>0</v>
      </c>
      <c r="AU633" s="49" t="n">
        <v>0</v>
      </c>
      <c r="AV633" s="49" t="n">
        <v>0</v>
      </c>
      <c r="AW633" s="50" t="n">
        <v>0</v>
      </c>
      <c r="AX633" s="51" t="n">
        <v>0</v>
      </c>
      <c r="AY633" s="52" t="n">
        <v>0</v>
      </c>
      <c r="AZ633" s="52" t="n">
        <v>0</v>
      </c>
      <c r="BA633" s="52" t="n">
        <v>0</v>
      </c>
      <c r="BB633" s="53" t="n">
        <v>0</v>
      </c>
      <c r="BC633" s="52" t="n">
        <v>0</v>
      </c>
      <c r="BD633" s="53" t="n">
        <v>0</v>
      </c>
      <c r="BE633" s="52" t="n">
        <v>0</v>
      </c>
      <c r="BF633" s="51" t="n">
        <v>0</v>
      </c>
    </row>
    <row r="634">
      <c r="A634">
        <f>HYPERLINK("https://www.walmart.com/ip/482262707", "482262707")</f>
        <v/>
      </c>
      <c r="B634" t="inlineStr">
        <is>
          <t>Tirrina Unisex Outdoor Sun Protection Fishing Cap with Neck Flap Wide Brim Mesh Hat for Travel Camping Hiking Hunting</t>
        </is>
      </c>
      <c r="C634" t="inlineStr">
        <is>
          <t>1TRSH910OL-TBCB</t>
        </is>
      </c>
      <c r="D634" t="inlineStr">
        <is>
          <t>Hats</t>
        </is>
      </c>
      <c r="E634" t="inlineStr">
        <is>
          <t>Tirrinia</t>
        </is>
      </c>
      <c r="F634" t="inlineStr">
        <is>
          <t>Hats,Batch 1 - TR</t>
        </is>
      </c>
      <c r="G634" s="48" t="n">
        <v>0</v>
      </c>
      <c r="H634" s="49" t="n">
        <v>0</v>
      </c>
      <c r="I634" s="49" t="n">
        <v>0</v>
      </c>
      <c r="J634" s="50" t="n">
        <v>0</v>
      </c>
      <c r="K634" s="51" t="n">
        <v>0</v>
      </c>
      <c r="L634" s="52" t="n">
        <v>0</v>
      </c>
      <c r="M634" s="52" t="n">
        <v>0</v>
      </c>
      <c r="N634" s="52" t="n">
        <v>0</v>
      </c>
      <c r="O634" s="53" t="n">
        <v>0</v>
      </c>
      <c r="P634" s="52" t="n">
        <v>0</v>
      </c>
      <c r="Q634" s="53" t="n">
        <v>0</v>
      </c>
      <c r="R634" s="52" t="n">
        <v>0</v>
      </c>
      <c r="S634" s="51" t="n">
        <v>0</v>
      </c>
      <c r="T634" s="48" t="n">
        <v>0</v>
      </c>
      <c r="U634" s="49" t="n">
        <v>0</v>
      </c>
      <c r="V634" s="49" t="n">
        <v>0</v>
      </c>
      <c r="W634" s="50" t="n">
        <v>0</v>
      </c>
      <c r="X634" s="51" t="n">
        <v>0</v>
      </c>
      <c r="Y634" s="52" t="n">
        <v>0</v>
      </c>
      <c r="Z634" s="52" t="n">
        <v>0</v>
      </c>
      <c r="AA634" s="52" t="n">
        <v>0</v>
      </c>
      <c r="AB634" s="53" t="n">
        <v>0</v>
      </c>
      <c r="AC634" s="52" t="n">
        <v>0</v>
      </c>
      <c r="AD634" s="53" t="n">
        <v>0</v>
      </c>
      <c r="AE634" s="52" t="n">
        <v>0</v>
      </c>
      <c r="AF634" s="51" t="n">
        <v>0</v>
      </c>
      <c r="AG634" s="48" t="n">
        <v>24.98</v>
      </c>
      <c r="AH634" s="49" t="n">
        <v>1</v>
      </c>
      <c r="AI634" s="49" t="n">
        <v>0</v>
      </c>
      <c r="AJ634" s="50" t="n">
        <v>0</v>
      </c>
      <c r="AK634" s="51" t="n">
        <v>0</v>
      </c>
      <c r="AL634" s="52" t="n">
        <v>0</v>
      </c>
      <c r="AM634" s="52" t="n">
        <v>0</v>
      </c>
      <c r="AN634" s="52" t="n">
        <v>0</v>
      </c>
      <c r="AO634" s="53" t="n">
        <v>0</v>
      </c>
      <c r="AP634" s="52" t="n">
        <v>0</v>
      </c>
      <c r="AQ634" s="53" t="n">
        <v>0</v>
      </c>
      <c r="AR634" s="52" t="n">
        <v>24.98</v>
      </c>
      <c r="AS634" s="51" t="n">
        <v>0</v>
      </c>
      <c r="AT634" s="48" t="n">
        <v>0</v>
      </c>
      <c r="AU634" s="49" t="n">
        <v>0</v>
      </c>
      <c r="AV634" s="49" t="n">
        <v>0</v>
      </c>
      <c r="AW634" s="50" t="n">
        <v>0</v>
      </c>
      <c r="AX634" s="51" t="n">
        <v>0</v>
      </c>
      <c r="AY634" s="52" t="n">
        <v>0</v>
      </c>
      <c r="AZ634" s="52" t="n">
        <v>0</v>
      </c>
      <c r="BA634" s="52" t="n">
        <v>0</v>
      </c>
      <c r="BB634" s="53" t="n">
        <v>0</v>
      </c>
      <c r="BC634" s="52" t="n">
        <v>0</v>
      </c>
      <c r="BD634" s="53" t="n">
        <v>0</v>
      </c>
      <c r="BE634" s="52" t="n">
        <v>0</v>
      </c>
      <c r="BF634" s="51" t="n">
        <v>0</v>
      </c>
    </row>
    <row r="635">
      <c r="A635">
        <f>HYPERLINK("https://www.walmart.com/ip/483192747", "483192747")</f>
        <v/>
      </c>
      <c r="B635" t="inlineStr">
        <is>
          <t>Sherpa Throws Blanket Plaid Design Super Soft Flannel Micro Mink Fleece Plush Couch Blanket Reversible Bed Throw TV Blan</t>
        </is>
      </c>
      <c r="C635" t="inlineStr">
        <is>
          <t>1TRBF563PRD-TBCB</t>
        </is>
      </c>
      <c r="D635" t="inlineStr">
        <is>
          <t>Throws</t>
        </is>
      </c>
      <c r="E635" t="inlineStr">
        <is>
          <t>Tirrinia</t>
        </is>
      </c>
      <c r="F635" t="inlineStr">
        <is>
          <t>cost-added</t>
        </is>
      </c>
      <c r="G635" s="48" t="n">
        <v>0</v>
      </c>
      <c r="H635" s="49" t="n">
        <v>0</v>
      </c>
      <c r="I635" s="49" t="n">
        <v>0</v>
      </c>
      <c r="J635" s="50" t="n">
        <v>0</v>
      </c>
      <c r="K635" s="51" t="n">
        <v>0</v>
      </c>
      <c r="L635" s="52" t="n">
        <v>0</v>
      </c>
      <c r="M635" s="52" t="n">
        <v>0</v>
      </c>
      <c r="N635" s="52" t="n">
        <v>0</v>
      </c>
      <c r="O635" s="53" t="n">
        <v>0</v>
      </c>
      <c r="P635" s="52" t="n">
        <v>0</v>
      </c>
      <c r="Q635" s="53" t="n">
        <v>0</v>
      </c>
      <c r="R635" s="52" t="n">
        <v>0</v>
      </c>
      <c r="S635" s="51" t="n">
        <v>0</v>
      </c>
      <c r="T635" s="48" t="n">
        <v>0</v>
      </c>
      <c r="U635" s="49" t="n">
        <v>0</v>
      </c>
      <c r="V635" s="49" t="n">
        <v>0</v>
      </c>
      <c r="W635" s="50" t="n">
        <v>0</v>
      </c>
      <c r="X635" s="51" t="n">
        <v>0</v>
      </c>
      <c r="Y635" s="52" t="n">
        <v>0</v>
      </c>
      <c r="Z635" s="52" t="n">
        <v>0</v>
      </c>
      <c r="AA635" s="52" t="n">
        <v>0</v>
      </c>
      <c r="AB635" s="53" t="n">
        <v>0</v>
      </c>
      <c r="AC635" s="52" t="n">
        <v>0</v>
      </c>
      <c r="AD635" s="53" t="n">
        <v>0</v>
      </c>
      <c r="AE635" s="52" t="n">
        <v>0</v>
      </c>
      <c r="AF635" s="51" t="n">
        <v>0</v>
      </c>
      <c r="AG635" s="48" t="n">
        <v>0</v>
      </c>
      <c r="AH635" s="49" t="n">
        <v>0</v>
      </c>
      <c r="AI635" s="49" t="n">
        <v>0</v>
      </c>
      <c r="AJ635" s="50" t="n">
        <v>0</v>
      </c>
      <c r="AK635" s="51" t="n">
        <v>0</v>
      </c>
      <c r="AL635" s="52" t="n">
        <v>0</v>
      </c>
      <c r="AM635" s="52" t="n">
        <v>0</v>
      </c>
      <c r="AN635" s="52" t="n">
        <v>0</v>
      </c>
      <c r="AO635" s="53" t="n">
        <v>0</v>
      </c>
      <c r="AP635" s="52" t="n">
        <v>0</v>
      </c>
      <c r="AQ635" s="53" t="n">
        <v>0</v>
      </c>
      <c r="AR635" s="52" t="n">
        <v>0</v>
      </c>
      <c r="AS635" s="51" t="n">
        <v>0</v>
      </c>
      <c r="AT635" s="48" t="n">
        <v>0</v>
      </c>
      <c r="AU635" s="49" t="n">
        <v>0</v>
      </c>
      <c r="AV635" s="49" t="n">
        <v>0</v>
      </c>
      <c r="AW635" s="50" t="n">
        <v>0</v>
      </c>
      <c r="AX635" s="51" t="n">
        <v>0</v>
      </c>
      <c r="AY635" s="52" t="n">
        <v>0</v>
      </c>
      <c r="AZ635" s="52" t="n">
        <v>0</v>
      </c>
      <c r="BA635" s="52" t="n">
        <v>0</v>
      </c>
      <c r="BB635" s="53" t="n">
        <v>0</v>
      </c>
      <c r="BC635" s="52" t="n">
        <v>0</v>
      </c>
      <c r="BD635" s="53" t="n">
        <v>0</v>
      </c>
      <c r="BE635" s="52" t="n">
        <v>0</v>
      </c>
      <c r="BF635" s="51" t="n">
        <v>0</v>
      </c>
    </row>
    <row r="636">
      <c r="A636">
        <f>HYPERLINK("https://www.walmart.com/ip/483506626", "483506626")</f>
        <v/>
      </c>
      <c r="B636" t="inlineStr">
        <is>
          <t>American Flag Sun Cap Patriotic Sports Baseball Tennis Golf Dad Hats for Men Women by Solaris</t>
        </is>
      </c>
      <c r="C636" t="inlineStr">
        <is>
          <t>1SLBC100WH</t>
        </is>
      </c>
      <c r="D636" t="inlineStr">
        <is>
          <t>Golf Hats</t>
        </is>
      </c>
      <c r="E636" t="inlineStr">
        <is>
          <t>Solaris</t>
        </is>
      </c>
      <c r="F636" t="inlineStr">
        <is>
          <t>Batch 1 - TR</t>
        </is>
      </c>
      <c r="G636" s="48" t="n">
        <v>0</v>
      </c>
      <c r="H636" s="49" t="n">
        <v>0</v>
      </c>
      <c r="I636" s="49" t="n">
        <v>0</v>
      </c>
      <c r="J636" s="50" t="n">
        <v>0</v>
      </c>
      <c r="K636" s="51" t="n">
        <v>0</v>
      </c>
      <c r="L636" s="52" t="n">
        <v>0</v>
      </c>
      <c r="M636" s="52" t="n">
        <v>0</v>
      </c>
      <c r="N636" s="52" t="n">
        <v>0</v>
      </c>
      <c r="O636" s="53" t="n">
        <v>0</v>
      </c>
      <c r="P636" s="52" t="n">
        <v>0</v>
      </c>
      <c r="Q636" s="53" t="n">
        <v>0</v>
      </c>
      <c r="R636" s="52" t="n">
        <v>0</v>
      </c>
      <c r="S636" s="51" t="n">
        <v>0</v>
      </c>
      <c r="T636" s="48" t="n">
        <v>0</v>
      </c>
      <c r="U636" s="49" t="n">
        <v>0</v>
      </c>
      <c r="V636" s="49" t="n">
        <v>0</v>
      </c>
      <c r="W636" s="50" t="n">
        <v>0</v>
      </c>
      <c r="X636" s="51" t="n">
        <v>0</v>
      </c>
      <c r="Y636" s="52" t="n">
        <v>0</v>
      </c>
      <c r="Z636" s="52" t="n">
        <v>0</v>
      </c>
      <c r="AA636" s="52" t="n">
        <v>0</v>
      </c>
      <c r="AB636" s="53" t="n">
        <v>0</v>
      </c>
      <c r="AC636" s="52" t="n">
        <v>0</v>
      </c>
      <c r="AD636" s="53" t="n">
        <v>0</v>
      </c>
      <c r="AE636" s="52" t="n">
        <v>0</v>
      </c>
      <c r="AF636" s="51" t="n">
        <v>0</v>
      </c>
      <c r="AG636" s="48" t="n">
        <v>0</v>
      </c>
      <c r="AH636" s="49" t="n">
        <v>0</v>
      </c>
      <c r="AI636" s="49" t="n">
        <v>0</v>
      </c>
      <c r="AJ636" s="50" t="n">
        <v>0</v>
      </c>
      <c r="AK636" s="51" t="n">
        <v>0</v>
      </c>
      <c r="AL636" s="52" t="n">
        <v>0</v>
      </c>
      <c r="AM636" s="52" t="n">
        <v>0</v>
      </c>
      <c r="AN636" s="52" t="n">
        <v>0</v>
      </c>
      <c r="AO636" s="53" t="n">
        <v>0</v>
      </c>
      <c r="AP636" s="52" t="n">
        <v>0</v>
      </c>
      <c r="AQ636" s="53" t="n">
        <v>0</v>
      </c>
      <c r="AR636" s="52" t="n">
        <v>0</v>
      </c>
      <c r="AS636" s="51" t="n">
        <v>0</v>
      </c>
      <c r="AT636" s="48" t="n">
        <v>0</v>
      </c>
      <c r="AU636" s="49" t="n">
        <v>0</v>
      </c>
      <c r="AV636" s="49" t="n">
        <v>0</v>
      </c>
      <c r="AW636" s="50" t="n">
        <v>0</v>
      </c>
      <c r="AX636" s="51" t="n">
        <v>0</v>
      </c>
      <c r="AY636" s="52" t="n">
        <v>0</v>
      </c>
      <c r="AZ636" s="52" t="n">
        <v>0</v>
      </c>
      <c r="BA636" s="52" t="n">
        <v>0</v>
      </c>
      <c r="BB636" s="53" t="n">
        <v>0</v>
      </c>
      <c r="BC636" s="52" t="n">
        <v>0</v>
      </c>
      <c r="BD636" s="53" t="n">
        <v>0</v>
      </c>
      <c r="BE636" s="52" t="n">
        <v>0</v>
      </c>
      <c r="BF636" s="51" t="n">
        <v>0</v>
      </c>
    </row>
    <row r="637">
      <c r="A637">
        <f>HYPERLINK("https://www.walmart.com/ip/484675016", "484675016")</f>
        <v/>
      </c>
      <c r="B637" t="inlineStr">
        <is>
          <t>Catalonia Microfiber Plush Throw Blanket for Couch and Bed, Holiday Theme Sherpa Fleece Throw Christmas Gift Blanket, Super Soft, Comfy, Cozy, Fluffy, and Warm, Dalmatian, 90'' x 90''</t>
        </is>
      </c>
      <c r="C637" t="inlineStr">
        <is>
          <t>1CTBF399DMT</t>
        </is>
      </c>
      <c r="D637" t="inlineStr">
        <is>
          <t>Throws</t>
        </is>
      </c>
      <c r="E637" t="inlineStr">
        <is>
          <t>Catalonia</t>
        </is>
      </c>
      <c r="F637" t="inlineStr">
        <is>
          <t>WFS,Coupon_Discount,WFS Item</t>
        </is>
      </c>
      <c r="G637" s="48" t="n">
        <v>0</v>
      </c>
      <c r="H637" s="49" t="n">
        <v>0</v>
      </c>
      <c r="I637" s="49" t="n">
        <v>0</v>
      </c>
      <c r="J637" s="50" t="n">
        <v>0</v>
      </c>
      <c r="K637" s="51" t="n">
        <v>0</v>
      </c>
      <c r="L637" s="52" t="n">
        <v>0</v>
      </c>
      <c r="M637" s="52" t="n">
        <v>0</v>
      </c>
      <c r="N637" s="52" t="n">
        <v>0</v>
      </c>
      <c r="O637" s="53" t="n">
        <v>0</v>
      </c>
      <c r="P637" s="52" t="n">
        <v>0</v>
      </c>
      <c r="Q637" s="53" t="n">
        <v>0</v>
      </c>
      <c r="R637" s="52" t="n">
        <v>0</v>
      </c>
      <c r="S637" s="51" t="n">
        <v>0</v>
      </c>
      <c r="T637" s="48" t="n">
        <v>0</v>
      </c>
      <c r="U637" s="49" t="n">
        <v>0</v>
      </c>
      <c r="V637" s="49" t="n">
        <v>0</v>
      </c>
      <c r="W637" s="50" t="n">
        <v>0</v>
      </c>
      <c r="X637" s="51" t="n">
        <v>0</v>
      </c>
      <c r="Y637" s="52" t="n">
        <v>0</v>
      </c>
      <c r="Z637" s="52" t="n">
        <v>0</v>
      </c>
      <c r="AA637" s="52" t="n">
        <v>0</v>
      </c>
      <c r="AB637" s="53" t="n">
        <v>0</v>
      </c>
      <c r="AC637" s="52" t="n">
        <v>0</v>
      </c>
      <c r="AD637" s="53" t="n">
        <v>0</v>
      </c>
      <c r="AE637" s="52" t="n">
        <v>0</v>
      </c>
      <c r="AF637" s="51" t="n">
        <v>0</v>
      </c>
      <c r="AG637" s="48" t="n">
        <v>0</v>
      </c>
      <c r="AH637" s="49" t="n">
        <v>0</v>
      </c>
      <c r="AI637" s="49" t="n">
        <v>0</v>
      </c>
      <c r="AJ637" s="50" t="n">
        <v>0</v>
      </c>
      <c r="AK637" s="51" t="n">
        <v>0</v>
      </c>
      <c r="AL637" s="52" t="n">
        <v>0</v>
      </c>
      <c r="AM637" s="52" t="n">
        <v>0</v>
      </c>
      <c r="AN637" s="52" t="n">
        <v>0</v>
      </c>
      <c r="AO637" s="53" t="n">
        <v>0</v>
      </c>
      <c r="AP637" s="52" t="n">
        <v>0</v>
      </c>
      <c r="AQ637" s="53" t="n">
        <v>0</v>
      </c>
      <c r="AR637" s="52" t="n">
        <v>0</v>
      </c>
      <c r="AS637" s="51" t="n">
        <v>0</v>
      </c>
      <c r="AT637" s="48" t="n">
        <v>0</v>
      </c>
      <c r="AU637" s="49" t="n">
        <v>0</v>
      </c>
      <c r="AV637" s="49" t="n">
        <v>0</v>
      </c>
      <c r="AW637" s="50" t="n">
        <v>0</v>
      </c>
      <c r="AX637" s="51" t="n">
        <v>0</v>
      </c>
      <c r="AY637" s="52" t="n">
        <v>0</v>
      </c>
      <c r="AZ637" s="52" t="n">
        <v>0</v>
      </c>
      <c r="BA637" s="52" t="n">
        <v>0</v>
      </c>
      <c r="BB637" s="53" t="n">
        <v>0</v>
      </c>
      <c r="BC637" s="52" t="n">
        <v>0</v>
      </c>
      <c r="BD637" s="53" t="n">
        <v>0</v>
      </c>
      <c r="BE637" s="52" t="n">
        <v>0</v>
      </c>
      <c r="BF637" s="51" t="n">
        <v>0</v>
      </c>
    </row>
    <row r="638">
      <c r="A638">
        <f>HYPERLINK("https://www.walmart.com/ip/484996593", "484996593")</f>
        <v/>
      </c>
      <c r="B638" t="inlineStr">
        <is>
          <t>Mermaid Tail Blanket Super Soft Fleece Sleeping Bag Mermaid Blanket Tail with Pillow/Cusion Gift for Kids Girls 3-12</t>
        </is>
      </c>
      <c r="C638" t="inlineStr">
        <is>
          <t>1TRMP100LB-TBCB</t>
        </is>
      </c>
      <c r="D638" t="inlineStr">
        <is>
          <t>Throws</t>
        </is>
      </c>
      <c r="E638" t="inlineStr">
        <is>
          <t>Tirrinia</t>
        </is>
      </c>
      <c r="G638" s="48" t="n">
        <v>0</v>
      </c>
      <c r="H638" s="49" t="n">
        <v>0</v>
      </c>
      <c r="I638" s="49" t="n">
        <v>0</v>
      </c>
      <c r="J638" s="50" t="n">
        <v>0</v>
      </c>
      <c r="K638" s="51" t="n">
        <v>0</v>
      </c>
      <c r="L638" s="52" t="n">
        <v>0</v>
      </c>
      <c r="M638" s="52" t="n">
        <v>0</v>
      </c>
      <c r="N638" s="52" t="n">
        <v>0</v>
      </c>
      <c r="O638" s="53" t="n">
        <v>0</v>
      </c>
      <c r="P638" s="52" t="n">
        <v>0</v>
      </c>
      <c r="Q638" s="53" t="n">
        <v>0</v>
      </c>
      <c r="R638" s="52" t="n">
        <v>0</v>
      </c>
      <c r="S638" s="51" t="n">
        <v>0</v>
      </c>
      <c r="T638" s="48" t="n">
        <v>0</v>
      </c>
      <c r="U638" s="49" t="n">
        <v>0</v>
      </c>
      <c r="V638" s="49" t="n">
        <v>0</v>
      </c>
      <c r="W638" s="50" t="n">
        <v>0</v>
      </c>
      <c r="X638" s="51" t="n">
        <v>0</v>
      </c>
      <c r="Y638" s="52" t="n">
        <v>0</v>
      </c>
      <c r="Z638" s="52" t="n">
        <v>0</v>
      </c>
      <c r="AA638" s="52" t="n">
        <v>0</v>
      </c>
      <c r="AB638" s="53" t="n">
        <v>0</v>
      </c>
      <c r="AC638" s="52" t="n">
        <v>0</v>
      </c>
      <c r="AD638" s="53" t="n">
        <v>0</v>
      </c>
      <c r="AE638" s="52" t="n">
        <v>0</v>
      </c>
      <c r="AF638" s="51" t="n">
        <v>0</v>
      </c>
      <c r="AG638" s="48" t="n">
        <v>0</v>
      </c>
      <c r="AH638" s="49" t="n">
        <v>0</v>
      </c>
      <c r="AI638" s="49" t="n">
        <v>0</v>
      </c>
      <c r="AJ638" s="50" t="n">
        <v>0</v>
      </c>
      <c r="AK638" s="51" t="n">
        <v>0</v>
      </c>
      <c r="AL638" s="52" t="n">
        <v>0</v>
      </c>
      <c r="AM638" s="52" t="n">
        <v>0</v>
      </c>
      <c r="AN638" s="52" t="n">
        <v>0</v>
      </c>
      <c r="AO638" s="53" t="n">
        <v>0</v>
      </c>
      <c r="AP638" s="52" t="n">
        <v>0</v>
      </c>
      <c r="AQ638" s="53" t="n">
        <v>0</v>
      </c>
      <c r="AR638" s="52" t="n">
        <v>0</v>
      </c>
      <c r="AS638" s="51" t="n">
        <v>0</v>
      </c>
      <c r="AT638" s="48" t="n">
        <v>0</v>
      </c>
      <c r="AU638" s="49" t="n">
        <v>0</v>
      </c>
      <c r="AV638" s="49" t="n">
        <v>0</v>
      </c>
      <c r="AW638" s="50" t="n">
        <v>0</v>
      </c>
      <c r="AX638" s="51" t="n">
        <v>0</v>
      </c>
      <c r="AY638" s="52" t="n">
        <v>0</v>
      </c>
      <c r="AZ638" s="52" t="n">
        <v>0</v>
      </c>
      <c r="BA638" s="52" t="n">
        <v>0</v>
      </c>
      <c r="BB638" s="53" t="n">
        <v>0</v>
      </c>
      <c r="BC638" s="52" t="n">
        <v>0</v>
      </c>
      <c r="BD638" s="53" t="n">
        <v>0</v>
      </c>
      <c r="BE638" s="52" t="n">
        <v>0</v>
      </c>
      <c r="BF638" s="51" t="n">
        <v>0</v>
      </c>
    </row>
    <row r="639">
      <c r="A639">
        <f>HYPERLINK("https://www.walmart.com/ip/485205296", "485205296")</f>
        <v/>
      </c>
      <c r="B639" t="inlineStr">
        <is>
          <t>KC Caps®Women's Men's Beanie Unisex Warm Winter Knit Hat Fashion cap Beanie Hats</t>
        </is>
      </c>
      <c r="C639" t="inlineStr">
        <is>
          <t>KC-W1740-OR</t>
        </is>
      </c>
      <c r="D639" t="inlineStr">
        <is>
          <t>Hats</t>
        </is>
      </c>
      <c r="E639" t="inlineStr">
        <is>
          <t>KC Caps</t>
        </is>
      </c>
      <c r="F639" t="inlineStr">
        <is>
          <t>Optimized</t>
        </is>
      </c>
      <c r="G639" s="48" t="n">
        <v>0</v>
      </c>
      <c r="H639" s="49" t="n">
        <v>0</v>
      </c>
      <c r="I639" s="49" t="n">
        <v>0</v>
      </c>
      <c r="J639" s="50" t="n">
        <v>0</v>
      </c>
      <c r="K639" s="51" t="n">
        <v>0</v>
      </c>
      <c r="L639" s="52" t="n">
        <v>0</v>
      </c>
      <c r="M639" s="52" t="n">
        <v>0</v>
      </c>
      <c r="N639" s="52" t="n">
        <v>0</v>
      </c>
      <c r="O639" s="53" t="n">
        <v>0</v>
      </c>
      <c r="P639" s="52" t="n">
        <v>0</v>
      </c>
      <c r="Q639" s="53" t="n">
        <v>0</v>
      </c>
      <c r="R639" s="52" t="n">
        <v>0</v>
      </c>
      <c r="S639" s="51" t="n">
        <v>0</v>
      </c>
      <c r="T639" s="48" t="n">
        <v>0</v>
      </c>
      <c r="U639" s="49" t="n">
        <v>0</v>
      </c>
      <c r="V639" s="49" t="n">
        <v>0</v>
      </c>
      <c r="W639" s="50" t="n">
        <v>0</v>
      </c>
      <c r="X639" s="51" t="n">
        <v>0</v>
      </c>
      <c r="Y639" s="52" t="n">
        <v>0</v>
      </c>
      <c r="Z639" s="52" t="n">
        <v>0</v>
      </c>
      <c r="AA639" s="52" t="n">
        <v>0</v>
      </c>
      <c r="AB639" s="53" t="n">
        <v>0</v>
      </c>
      <c r="AC639" s="52" t="n">
        <v>0</v>
      </c>
      <c r="AD639" s="53" t="n">
        <v>0</v>
      </c>
      <c r="AE639" s="52" t="n">
        <v>0</v>
      </c>
      <c r="AF639" s="51" t="n">
        <v>0</v>
      </c>
      <c r="AG639" s="48" t="n">
        <v>0</v>
      </c>
      <c r="AH639" s="49" t="n">
        <v>0</v>
      </c>
      <c r="AI639" s="49" t="n">
        <v>0</v>
      </c>
      <c r="AJ639" s="50" t="n">
        <v>0</v>
      </c>
      <c r="AK639" s="51" t="n">
        <v>0</v>
      </c>
      <c r="AL639" s="52" t="n">
        <v>0</v>
      </c>
      <c r="AM639" s="52" t="n">
        <v>0</v>
      </c>
      <c r="AN639" s="52" t="n">
        <v>0</v>
      </c>
      <c r="AO639" s="53" t="n">
        <v>0</v>
      </c>
      <c r="AP639" s="52" t="n">
        <v>0</v>
      </c>
      <c r="AQ639" s="53" t="n">
        <v>0</v>
      </c>
      <c r="AR639" s="52" t="n">
        <v>0</v>
      </c>
      <c r="AS639" s="51" t="n">
        <v>0</v>
      </c>
      <c r="AT639" s="48" t="n">
        <v>0</v>
      </c>
      <c r="AU639" s="49" t="n">
        <v>0</v>
      </c>
      <c r="AV639" s="49" t="n">
        <v>0</v>
      </c>
      <c r="AW639" s="50" t="n">
        <v>0</v>
      </c>
      <c r="AX639" s="51" t="n">
        <v>0</v>
      </c>
      <c r="AY639" s="52" t="n">
        <v>0</v>
      </c>
      <c r="AZ639" s="52" t="n">
        <v>0</v>
      </c>
      <c r="BA639" s="52" t="n">
        <v>0</v>
      </c>
      <c r="BB639" s="53" t="n">
        <v>0</v>
      </c>
      <c r="BC639" s="52" t="n">
        <v>0</v>
      </c>
      <c r="BD639" s="53" t="n">
        <v>0</v>
      </c>
      <c r="BE639" s="52" t="n">
        <v>0</v>
      </c>
      <c r="BF639" s="51" t="n">
        <v>0</v>
      </c>
    </row>
    <row r="640">
      <c r="A640">
        <f>HYPERLINK("https://www.walmart.com/ip/485727982", "485727982")</f>
        <v/>
      </c>
      <c r="B640" t="inlineStr">
        <is>
          <t>Mermaid Tail Blanket for Teen Girls with Anti-slip Neck Strap Wave Pattern | Soft Sleeping Bag for All Season</t>
        </is>
      </c>
      <c r="C640" t="inlineStr">
        <is>
          <t>1CTMM100GN-TPB</t>
        </is>
      </c>
      <c r="D640" t="inlineStr">
        <is>
          <t>Bed Blankets</t>
        </is>
      </c>
      <c r="E640" t="inlineStr">
        <is>
          <t>Catalonia</t>
        </is>
      </c>
      <c r="F640" t="inlineStr">
        <is>
          <t>Batch 1 - TR</t>
        </is>
      </c>
      <c r="G640" s="48" t="n">
        <v>0</v>
      </c>
      <c r="H640" s="49" t="n">
        <v>0</v>
      </c>
      <c r="I640" s="49" t="n">
        <v>0</v>
      </c>
      <c r="J640" s="50" t="n">
        <v>0</v>
      </c>
      <c r="K640" s="51" t="n">
        <v>0</v>
      </c>
      <c r="L640" s="52" t="n">
        <v>0</v>
      </c>
      <c r="M640" s="52" t="n">
        <v>0</v>
      </c>
      <c r="N640" s="52" t="n">
        <v>0</v>
      </c>
      <c r="O640" s="53" t="n">
        <v>0</v>
      </c>
      <c r="P640" s="52" t="n">
        <v>0</v>
      </c>
      <c r="Q640" s="53" t="n">
        <v>0</v>
      </c>
      <c r="R640" s="52" t="n">
        <v>0</v>
      </c>
      <c r="S640" s="51" t="n">
        <v>0</v>
      </c>
      <c r="T640" s="48" t="n">
        <v>0</v>
      </c>
      <c r="U640" s="49" t="n">
        <v>0</v>
      </c>
      <c r="V640" s="49" t="n">
        <v>0</v>
      </c>
      <c r="W640" s="50" t="n">
        <v>0</v>
      </c>
      <c r="X640" s="51" t="n">
        <v>0</v>
      </c>
      <c r="Y640" s="52" t="n">
        <v>0</v>
      </c>
      <c r="Z640" s="52" t="n">
        <v>0</v>
      </c>
      <c r="AA640" s="52" t="n">
        <v>0</v>
      </c>
      <c r="AB640" s="53" t="n">
        <v>0</v>
      </c>
      <c r="AC640" s="52" t="n">
        <v>0</v>
      </c>
      <c r="AD640" s="53" t="n">
        <v>0</v>
      </c>
      <c r="AE640" s="52" t="n">
        <v>0</v>
      </c>
      <c r="AF640" s="51" t="n">
        <v>0</v>
      </c>
      <c r="AG640" s="48" t="n">
        <v>0</v>
      </c>
      <c r="AH640" s="49" t="n">
        <v>0</v>
      </c>
      <c r="AI640" s="49" t="n">
        <v>0</v>
      </c>
      <c r="AJ640" s="50" t="n">
        <v>0</v>
      </c>
      <c r="AK640" s="51" t="n">
        <v>0</v>
      </c>
      <c r="AL640" s="52" t="n">
        <v>0</v>
      </c>
      <c r="AM640" s="52" t="n">
        <v>0</v>
      </c>
      <c r="AN640" s="52" t="n">
        <v>0</v>
      </c>
      <c r="AO640" s="53" t="n">
        <v>0</v>
      </c>
      <c r="AP640" s="52" t="n">
        <v>0</v>
      </c>
      <c r="AQ640" s="53" t="n">
        <v>0</v>
      </c>
      <c r="AR640" s="52" t="n">
        <v>0</v>
      </c>
      <c r="AS640" s="51" t="n">
        <v>0</v>
      </c>
      <c r="AT640" s="48" t="n">
        <v>0</v>
      </c>
      <c r="AU640" s="49" t="n">
        <v>0</v>
      </c>
      <c r="AV640" s="49" t="n">
        <v>0</v>
      </c>
      <c r="AW640" s="50" t="n">
        <v>0</v>
      </c>
      <c r="AX640" s="51" t="n">
        <v>0</v>
      </c>
      <c r="AY640" s="52" t="n">
        <v>0</v>
      </c>
      <c r="AZ640" s="52" t="n">
        <v>0</v>
      </c>
      <c r="BA640" s="52" t="n">
        <v>0</v>
      </c>
      <c r="BB640" s="53" t="n">
        <v>0</v>
      </c>
      <c r="BC640" s="52" t="n">
        <v>0</v>
      </c>
      <c r="BD640" s="53" t="n">
        <v>0</v>
      </c>
      <c r="BE640" s="52" t="n">
        <v>0</v>
      </c>
      <c r="BF640" s="51" t="n">
        <v>0</v>
      </c>
    </row>
    <row r="641">
      <c r="A641">
        <f>HYPERLINK("https://www.walmart.com/ip/485820215", "485820215")</f>
        <v/>
      </c>
      <c r="B641" t="inlineStr">
        <is>
          <t>Catalonia Fleece Throw Blanket for Couch, Super Soft Fuzzy Plush Blanket for Adults and Kids, All Seasons Home Decor Blanket, Machine Washable, 50"x60", Grey</t>
        </is>
      </c>
      <c r="C641" t="inlineStr">
        <is>
          <t>1CTBF575GY</t>
        </is>
      </c>
      <c r="D641" t="inlineStr">
        <is>
          <t>Throws</t>
        </is>
      </c>
      <c r="E641" t="inlineStr">
        <is>
          <t>Catalonia</t>
        </is>
      </c>
      <c r="F641" t="inlineStr">
        <is>
          <t>Q2-Target,WFS,Coupon_Discount,SeePriceInCart,WFS Item</t>
        </is>
      </c>
      <c r="G641" s="48" t="n">
        <v>0</v>
      </c>
      <c r="H641" s="49" t="n">
        <v>0</v>
      </c>
      <c r="I641" s="49" t="n">
        <v>0</v>
      </c>
      <c r="J641" s="50" t="n">
        <v>0</v>
      </c>
      <c r="K641" s="51" t="n">
        <v>0</v>
      </c>
      <c r="L641" s="52" t="n">
        <v>0</v>
      </c>
      <c r="M641" s="52" t="n">
        <v>0</v>
      </c>
      <c r="N641" s="52" t="n">
        <v>0</v>
      </c>
      <c r="O641" s="53" t="n">
        <v>0</v>
      </c>
      <c r="P641" s="52" t="n">
        <v>0</v>
      </c>
      <c r="Q641" s="53" t="n">
        <v>0</v>
      </c>
      <c r="R641" s="52" t="n">
        <v>0</v>
      </c>
      <c r="S641" s="51" t="n">
        <v>0</v>
      </c>
      <c r="T641" s="48" t="n">
        <v>0</v>
      </c>
      <c r="U641" s="49" t="n">
        <v>0</v>
      </c>
      <c r="V641" s="49" t="n">
        <v>0</v>
      </c>
      <c r="W641" s="50" t="n">
        <v>0</v>
      </c>
      <c r="X641" s="51" t="n">
        <v>0</v>
      </c>
      <c r="Y641" s="52" t="n">
        <v>0</v>
      </c>
      <c r="Z641" s="52" t="n">
        <v>0</v>
      </c>
      <c r="AA641" s="52" t="n">
        <v>0</v>
      </c>
      <c r="AB641" s="53" t="n">
        <v>0</v>
      </c>
      <c r="AC641" s="52" t="n">
        <v>0</v>
      </c>
      <c r="AD641" s="53" t="n">
        <v>0</v>
      </c>
      <c r="AE641" s="52" t="n">
        <v>0</v>
      </c>
      <c r="AF641" s="51" t="n">
        <v>0</v>
      </c>
      <c r="AG641" s="48" t="n">
        <v>0</v>
      </c>
      <c r="AH641" s="49" t="n">
        <v>0</v>
      </c>
      <c r="AI641" s="49" t="n">
        <v>0</v>
      </c>
      <c r="AJ641" s="50" t="n">
        <v>0</v>
      </c>
      <c r="AK641" s="51" t="n">
        <v>0</v>
      </c>
      <c r="AL641" s="52" t="n">
        <v>0</v>
      </c>
      <c r="AM641" s="52" t="n">
        <v>0</v>
      </c>
      <c r="AN641" s="52" t="n">
        <v>0</v>
      </c>
      <c r="AO641" s="53" t="n">
        <v>0</v>
      </c>
      <c r="AP641" s="52" t="n">
        <v>0</v>
      </c>
      <c r="AQ641" s="53" t="n">
        <v>0</v>
      </c>
      <c r="AR641" s="52" t="n">
        <v>0</v>
      </c>
      <c r="AS641" s="51" t="n">
        <v>0</v>
      </c>
      <c r="AT641" s="48" t="n">
        <v>0</v>
      </c>
      <c r="AU641" s="49" t="n">
        <v>0</v>
      </c>
      <c r="AV641" s="49" t="n">
        <v>0</v>
      </c>
      <c r="AW641" s="50" t="n">
        <v>0</v>
      </c>
      <c r="AX641" s="51" t="n">
        <v>0</v>
      </c>
      <c r="AY641" s="52" t="n">
        <v>0</v>
      </c>
      <c r="AZ641" s="52" t="n">
        <v>0</v>
      </c>
      <c r="BA641" s="52" t="n">
        <v>0</v>
      </c>
      <c r="BB641" s="53" t="n">
        <v>0</v>
      </c>
      <c r="BC641" s="52" t="n">
        <v>0</v>
      </c>
      <c r="BD641" s="53" t="n">
        <v>0</v>
      </c>
      <c r="BE641" s="52" t="n">
        <v>0</v>
      </c>
      <c r="BF641" s="51" t="n">
        <v>0</v>
      </c>
    </row>
    <row r="642">
      <c r="A642">
        <f>HYPERLINK("https://www.walmart.com/ip/486342462", "486342462")</f>
        <v/>
      </c>
      <c r="B642" t="inlineStr">
        <is>
          <t>Catalonia Waterproof Blanket Pee Proof Couch Sofa Bed Protector Cover for Baby, Super Cozy Plush Fleece Warm Throws for Boating Camping</t>
        </is>
      </c>
      <c r="C642" t="inlineStr">
        <is>
          <t>1CTBW681WNTP</t>
        </is>
      </c>
      <c r="D642" t="inlineStr">
        <is>
          <t>Throws</t>
        </is>
      </c>
      <c r="E642" t="inlineStr">
        <is>
          <t>Catalonia</t>
        </is>
      </c>
      <c r="F642" t="inlineStr">
        <is>
          <t>Optimized,Wproof Blanket</t>
        </is>
      </c>
      <c r="G642" s="48" t="n">
        <v>0</v>
      </c>
      <c r="H642" s="49" t="n">
        <v>0</v>
      </c>
      <c r="I642" s="49" t="n">
        <v>0</v>
      </c>
      <c r="J642" s="50" t="n">
        <v>0</v>
      </c>
      <c r="K642" s="51" t="n">
        <v>0</v>
      </c>
      <c r="L642" s="52" t="n">
        <v>0</v>
      </c>
      <c r="M642" s="52" t="n">
        <v>0</v>
      </c>
      <c r="N642" s="52" t="n">
        <v>0</v>
      </c>
      <c r="O642" s="53" t="n">
        <v>0</v>
      </c>
      <c r="P642" s="52" t="n">
        <v>0</v>
      </c>
      <c r="Q642" s="53" t="n">
        <v>0</v>
      </c>
      <c r="R642" s="52" t="n">
        <v>0</v>
      </c>
      <c r="S642" s="51" t="n">
        <v>0</v>
      </c>
      <c r="T642" s="48" t="n">
        <v>0</v>
      </c>
      <c r="U642" s="49" t="n">
        <v>0</v>
      </c>
      <c r="V642" s="49" t="n">
        <v>0</v>
      </c>
      <c r="W642" s="50" t="n">
        <v>0</v>
      </c>
      <c r="X642" s="51" t="n">
        <v>0</v>
      </c>
      <c r="Y642" s="52" t="n">
        <v>0</v>
      </c>
      <c r="Z642" s="52" t="n">
        <v>0</v>
      </c>
      <c r="AA642" s="52" t="n">
        <v>0</v>
      </c>
      <c r="AB642" s="53" t="n">
        <v>0</v>
      </c>
      <c r="AC642" s="52" t="n">
        <v>0</v>
      </c>
      <c r="AD642" s="53" t="n">
        <v>0</v>
      </c>
      <c r="AE642" s="52" t="n">
        <v>0</v>
      </c>
      <c r="AF642" s="51" t="n">
        <v>0</v>
      </c>
      <c r="AG642" s="48" t="n">
        <v>0</v>
      </c>
      <c r="AH642" s="49" t="n">
        <v>0</v>
      </c>
      <c r="AI642" s="49" t="n">
        <v>0</v>
      </c>
      <c r="AJ642" s="50" t="n">
        <v>0</v>
      </c>
      <c r="AK642" s="51" t="n">
        <v>0</v>
      </c>
      <c r="AL642" s="52" t="n">
        <v>0</v>
      </c>
      <c r="AM642" s="52" t="n">
        <v>0</v>
      </c>
      <c r="AN642" s="52" t="n">
        <v>0</v>
      </c>
      <c r="AO642" s="53" t="n">
        <v>0</v>
      </c>
      <c r="AP642" s="52" t="n">
        <v>0</v>
      </c>
      <c r="AQ642" s="53" t="n">
        <v>0</v>
      </c>
      <c r="AR642" s="52" t="n">
        <v>0</v>
      </c>
      <c r="AS642" s="51" t="n">
        <v>0</v>
      </c>
      <c r="AT642" s="48" t="n">
        <v>0</v>
      </c>
      <c r="AU642" s="49" t="n">
        <v>0</v>
      </c>
      <c r="AV642" s="49" t="n">
        <v>0</v>
      </c>
      <c r="AW642" s="50" t="n">
        <v>0</v>
      </c>
      <c r="AX642" s="51" t="n">
        <v>0</v>
      </c>
      <c r="AY642" s="52" t="n">
        <v>0</v>
      </c>
      <c r="AZ642" s="52" t="n">
        <v>0</v>
      </c>
      <c r="BA642" s="52" t="n">
        <v>0</v>
      </c>
      <c r="BB642" s="53" t="n">
        <v>0</v>
      </c>
      <c r="BC642" s="52" t="n">
        <v>0</v>
      </c>
      <c r="BD642" s="53" t="n">
        <v>0</v>
      </c>
      <c r="BE642" s="52" t="n">
        <v>0</v>
      </c>
      <c r="BF642" s="51" t="n">
        <v>0</v>
      </c>
    </row>
    <row r="643">
      <c r="A643">
        <f>HYPERLINK("https://www.walmart.com/ip/479114181", "479114181")</f>
        <v/>
      </c>
      <c r="B643" t="inlineStr">
        <is>
          <t>Catalonia Melange Sherpa Throw Blanket Velvet Plush Fleece 50” x 60”, Super Soft Fuzzy Comfy TV Sofa Couch Bed for Adults Child, Wine</t>
        </is>
      </c>
      <c r="C643" t="inlineStr">
        <is>
          <t>1CTBF321WN</t>
        </is>
      </c>
      <c r="D643" t="inlineStr">
        <is>
          <t>Throws</t>
        </is>
      </c>
      <c r="E643" t="inlineStr">
        <is>
          <t>Catalonia</t>
        </is>
      </c>
      <c r="F643" t="inlineStr">
        <is>
          <t>Q2-Target,Optimized,WFS,Coupon_Discount,WFS Item</t>
        </is>
      </c>
      <c r="G643" s="48" t="n">
        <v>0</v>
      </c>
      <c r="H643" s="49" t="n">
        <v>0</v>
      </c>
      <c r="I643" s="49" t="n">
        <v>0</v>
      </c>
      <c r="J643" s="50" t="n">
        <v>0</v>
      </c>
      <c r="K643" s="51" t="n">
        <v>0</v>
      </c>
      <c r="L643" s="52" t="n">
        <v>0</v>
      </c>
      <c r="M643" s="52" t="n">
        <v>0</v>
      </c>
      <c r="N643" s="52" t="n">
        <v>0</v>
      </c>
      <c r="O643" s="53" t="n">
        <v>0</v>
      </c>
      <c r="P643" s="52" t="n">
        <v>0</v>
      </c>
      <c r="Q643" s="53" t="n">
        <v>0</v>
      </c>
      <c r="R643" s="52" t="n">
        <v>0</v>
      </c>
      <c r="S643" s="51" t="n">
        <v>0</v>
      </c>
      <c r="T643" s="48" t="n">
        <v>0</v>
      </c>
      <c r="U643" s="49" t="n">
        <v>0</v>
      </c>
      <c r="V643" s="49" t="n">
        <v>0</v>
      </c>
      <c r="W643" s="50" t="n">
        <v>0</v>
      </c>
      <c r="X643" s="51" t="n">
        <v>0</v>
      </c>
      <c r="Y643" s="52" t="n">
        <v>0</v>
      </c>
      <c r="Z643" s="52" t="n">
        <v>0</v>
      </c>
      <c r="AA643" s="52" t="n">
        <v>0</v>
      </c>
      <c r="AB643" s="53" t="n">
        <v>0</v>
      </c>
      <c r="AC643" s="52" t="n">
        <v>0</v>
      </c>
      <c r="AD643" s="53" t="n">
        <v>0</v>
      </c>
      <c r="AE643" s="52" t="n">
        <v>0</v>
      </c>
      <c r="AF643" s="51" t="n">
        <v>0</v>
      </c>
      <c r="AG643" s="48" t="n">
        <v>0</v>
      </c>
      <c r="AH643" s="49" t="n">
        <v>0</v>
      </c>
      <c r="AI643" s="49" t="n">
        <v>0</v>
      </c>
      <c r="AJ643" s="50" t="n">
        <v>0</v>
      </c>
      <c r="AK643" s="51" t="n">
        <v>0</v>
      </c>
      <c r="AL643" s="52" t="n">
        <v>0</v>
      </c>
      <c r="AM643" s="52" t="n">
        <v>0</v>
      </c>
      <c r="AN643" s="52" t="n">
        <v>0</v>
      </c>
      <c r="AO643" s="53" t="n">
        <v>0</v>
      </c>
      <c r="AP643" s="52" t="n">
        <v>0</v>
      </c>
      <c r="AQ643" s="53" t="n">
        <v>0</v>
      </c>
      <c r="AR643" s="52" t="n">
        <v>0</v>
      </c>
      <c r="AS643" s="51" t="n">
        <v>0</v>
      </c>
      <c r="AT643" s="48" t="n">
        <v>0</v>
      </c>
      <c r="AU643" s="49" t="n">
        <v>0</v>
      </c>
      <c r="AV643" s="49" t="n">
        <v>0</v>
      </c>
      <c r="AW643" s="50" t="n">
        <v>0</v>
      </c>
      <c r="AX643" s="51" t="n">
        <v>0</v>
      </c>
      <c r="AY643" s="52" t="n">
        <v>0</v>
      </c>
      <c r="AZ643" s="52" t="n">
        <v>0</v>
      </c>
      <c r="BA643" s="52" t="n">
        <v>0</v>
      </c>
      <c r="BB643" s="53" t="n">
        <v>0</v>
      </c>
      <c r="BC643" s="52" t="n">
        <v>0</v>
      </c>
      <c r="BD643" s="53" t="n">
        <v>0</v>
      </c>
      <c r="BE643" s="52" t="n">
        <v>0</v>
      </c>
      <c r="BF643" s="51" t="n">
        <v>0</v>
      </c>
    </row>
    <row r="644">
      <c r="A644">
        <f>HYPERLINK("https://www.walmart.com/ip/477714092", "477714092")</f>
        <v/>
      </c>
      <c r="B644" t="inlineStr">
        <is>
          <t>Tirrina Unisex Outdoor Sun Protection Fishing Cap with Neck Flap Wide Brim Mesh Hat for Travel Camping Hiking Hunting</t>
        </is>
      </c>
      <c r="C644" t="inlineStr">
        <is>
          <t>1TRSH910GY-TBCB</t>
        </is>
      </c>
      <c r="D644" t="inlineStr">
        <is>
          <t>Hats</t>
        </is>
      </c>
      <c r="E644" t="inlineStr">
        <is>
          <t>Tirrinia</t>
        </is>
      </c>
      <c r="F644" t="inlineStr">
        <is>
          <t>Hats,Batch 1 - TR</t>
        </is>
      </c>
      <c r="G644" s="48" t="n">
        <v>0</v>
      </c>
      <c r="H644" s="49" t="n">
        <v>0</v>
      </c>
      <c r="I644" s="49" t="n">
        <v>0</v>
      </c>
      <c r="J644" s="50" t="n">
        <v>0</v>
      </c>
      <c r="K644" s="51" t="n">
        <v>1</v>
      </c>
      <c r="L644" s="52" t="n">
        <v>0.31</v>
      </c>
      <c r="M644" s="52" t="n">
        <v>0</v>
      </c>
      <c r="N644" s="52" t="n">
        <v>0</v>
      </c>
      <c r="O644" s="53" t="n">
        <v>0.0001</v>
      </c>
      <c r="P644" s="52" t="n">
        <v>0.31</v>
      </c>
      <c r="Q644" s="53" t="n">
        <v>0</v>
      </c>
      <c r="R644" s="52" t="n">
        <v>0</v>
      </c>
      <c r="S644" s="51" t="n">
        <v>6842</v>
      </c>
      <c r="T644" s="48" t="n">
        <v>0</v>
      </c>
      <c r="U644" s="49" t="n">
        <v>0</v>
      </c>
      <c r="V644" s="49" t="n">
        <v>0</v>
      </c>
      <c r="W644" s="50" t="n">
        <v>0</v>
      </c>
      <c r="X644" s="51" t="n">
        <v>1</v>
      </c>
      <c r="Y644" s="52" t="n">
        <v>0.31</v>
      </c>
      <c r="Z644" s="52" t="n">
        <v>0</v>
      </c>
      <c r="AA644" s="52" t="n">
        <v>0</v>
      </c>
      <c r="AB644" s="53" t="n">
        <v>0.0001</v>
      </c>
      <c r="AC644" s="52" t="n">
        <v>0.31</v>
      </c>
      <c r="AD644" s="53" t="n">
        <v>0</v>
      </c>
      <c r="AE644" s="52" t="n">
        <v>0</v>
      </c>
      <c r="AF644" s="51" t="n">
        <v>6705</v>
      </c>
      <c r="AG644" s="48" t="n">
        <v>0</v>
      </c>
      <c r="AH644" s="49" t="n">
        <v>0</v>
      </c>
      <c r="AI644" s="49" t="n">
        <v>0</v>
      </c>
      <c r="AJ644" s="50" t="n">
        <v>0</v>
      </c>
      <c r="AK644" s="51" t="n">
        <v>1</v>
      </c>
      <c r="AL644" s="52" t="n">
        <v>0.31</v>
      </c>
      <c r="AM644" s="52" t="n">
        <v>0</v>
      </c>
      <c r="AN644" s="52" t="n">
        <v>0</v>
      </c>
      <c r="AO644" s="53" t="n">
        <v>0.0001</v>
      </c>
      <c r="AP644" s="52" t="n">
        <v>0.31</v>
      </c>
      <c r="AQ644" s="53" t="n">
        <v>0</v>
      </c>
      <c r="AR644" s="52" t="n">
        <v>0</v>
      </c>
      <c r="AS644" s="51" t="n">
        <v>10538</v>
      </c>
      <c r="AT644" s="48" t="n">
        <v>0</v>
      </c>
      <c r="AU644" s="49" t="n">
        <v>0</v>
      </c>
      <c r="AV644" s="49" t="n">
        <v>0</v>
      </c>
      <c r="AW644" s="50" t="n">
        <v>0</v>
      </c>
      <c r="AX644" s="51" t="n">
        <v>7</v>
      </c>
      <c r="AY644" s="52" t="n">
        <v>2.23</v>
      </c>
      <c r="AZ644" s="52" t="n">
        <v>15.99</v>
      </c>
      <c r="BA644" s="52" t="n">
        <v>7.17</v>
      </c>
      <c r="BB644" s="53" t="n">
        <v>0.001</v>
      </c>
      <c r="BC644" s="52" t="n">
        <v>0.3185714285714286</v>
      </c>
      <c r="BD644" s="53" t="n">
        <v>0</v>
      </c>
      <c r="BE644" s="52" t="n">
        <v>0</v>
      </c>
      <c r="BF644" s="51" t="n">
        <v>6761</v>
      </c>
    </row>
    <row r="645">
      <c r="A645">
        <f>HYPERLINK("https://www.walmart.com/ip/477258145", "477258145")</f>
        <v/>
      </c>
      <c r="B645" t="inlineStr">
        <is>
          <t>Flyingstar Mermaid Tail Blanket, Soft Flannel Fleece All Seasons Sleeping Blanket for Kids Adults, Rainbow Ombre Fish Scale Design Snuggle Blanket, Best Gifts</t>
        </is>
      </c>
      <c r="C645" t="inlineStr">
        <is>
          <t>00791315385431</t>
        </is>
      </c>
      <c r="D645" t="inlineStr">
        <is>
          <t>Throws</t>
        </is>
      </c>
      <c r="E645" t="inlineStr">
        <is>
          <t>Flyingstar</t>
        </is>
      </c>
      <c r="F645" t="inlineStr">
        <is>
          <t>Q2-Target,Baby days,Optimized,Hero 5 Holidays</t>
        </is>
      </c>
      <c r="G645" s="48" t="n">
        <v>0</v>
      </c>
      <c r="H645" s="49" t="n">
        <v>0</v>
      </c>
      <c r="I645" s="49" t="n">
        <v>0</v>
      </c>
      <c r="J645" s="50" t="n">
        <v>0</v>
      </c>
      <c r="K645" s="51" t="n">
        <v>0</v>
      </c>
      <c r="L645" s="52" t="n">
        <v>0</v>
      </c>
      <c r="M645" s="52" t="n">
        <v>0</v>
      </c>
      <c r="N645" s="52" t="n">
        <v>0</v>
      </c>
      <c r="O645" s="53" t="n">
        <v>0</v>
      </c>
      <c r="P645" s="52" t="n">
        <v>0</v>
      </c>
      <c r="Q645" s="53" t="n">
        <v>0</v>
      </c>
      <c r="R645" s="52" t="n">
        <v>0</v>
      </c>
      <c r="S645" s="51" t="n">
        <v>0</v>
      </c>
      <c r="T645" s="48" t="n">
        <v>0</v>
      </c>
      <c r="U645" s="49" t="n">
        <v>0</v>
      </c>
      <c r="V645" s="49" t="n">
        <v>0</v>
      </c>
      <c r="W645" s="50" t="n">
        <v>0</v>
      </c>
      <c r="X645" s="51" t="n">
        <v>0</v>
      </c>
      <c r="Y645" s="52" t="n">
        <v>0</v>
      </c>
      <c r="Z645" s="52" t="n">
        <v>0</v>
      </c>
      <c r="AA645" s="52" t="n">
        <v>0</v>
      </c>
      <c r="AB645" s="53" t="n">
        <v>0</v>
      </c>
      <c r="AC645" s="52" t="n">
        <v>0</v>
      </c>
      <c r="AD645" s="53" t="n">
        <v>0</v>
      </c>
      <c r="AE645" s="52" t="n">
        <v>0</v>
      </c>
      <c r="AF645" s="51" t="n">
        <v>0</v>
      </c>
      <c r="AG645" s="48" t="n">
        <v>0</v>
      </c>
      <c r="AH645" s="49" t="n">
        <v>0</v>
      </c>
      <c r="AI645" s="49" t="n">
        <v>0</v>
      </c>
      <c r="AJ645" s="50" t="n">
        <v>0</v>
      </c>
      <c r="AK645" s="51" t="n">
        <v>0</v>
      </c>
      <c r="AL645" s="52" t="n">
        <v>0</v>
      </c>
      <c r="AM645" s="52" t="n">
        <v>0</v>
      </c>
      <c r="AN645" s="52" t="n">
        <v>0</v>
      </c>
      <c r="AO645" s="53" t="n">
        <v>0</v>
      </c>
      <c r="AP645" s="52" t="n">
        <v>0</v>
      </c>
      <c r="AQ645" s="53" t="n">
        <v>0</v>
      </c>
      <c r="AR645" s="52" t="n">
        <v>0</v>
      </c>
      <c r="AS645" s="51" t="n">
        <v>0</v>
      </c>
      <c r="AT645" s="48" t="n">
        <v>0</v>
      </c>
      <c r="AU645" s="49" t="n">
        <v>0</v>
      </c>
      <c r="AV645" s="49" t="n">
        <v>0</v>
      </c>
      <c r="AW645" s="50" t="n">
        <v>0</v>
      </c>
      <c r="AX645" s="51" t="n">
        <v>0</v>
      </c>
      <c r="AY645" s="52" t="n">
        <v>0</v>
      </c>
      <c r="AZ645" s="52" t="n">
        <v>0</v>
      </c>
      <c r="BA645" s="52" t="n">
        <v>0</v>
      </c>
      <c r="BB645" s="53" t="n">
        <v>0</v>
      </c>
      <c r="BC645" s="52" t="n">
        <v>0</v>
      </c>
      <c r="BD645" s="53" t="n">
        <v>0</v>
      </c>
      <c r="BE645" s="52" t="n">
        <v>0</v>
      </c>
      <c r="BF645" s="51" t="n">
        <v>0</v>
      </c>
    </row>
    <row r="646">
      <c r="A646">
        <f>HYPERLINK("https://www.walmart.com/ip/470914772", "470914772")</f>
        <v/>
      </c>
      <c r="B646" t="inlineStr">
        <is>
          <t>Flyingstar Mermaid Tail Blanket, Soft Flannel Fleece All Seasons Sleeping Blanket for Kids Adults, Rainbow Ombre Fish Scale Design Snuggle Blanket, Best Gifts</t>
        </is>
      </c>
      <c r="C646" t="inlineStr">
        <is>
          <t>1WMMM501PK</t>
        </is>
      </c>
      <c r="D646" t="inlineStr">
        <is>
          <t>Throws</t>
        </is>
      </c>
      <c r="E646" t="inlineStr">
        <is>
          <t>Catalonia</t>
        </is>
      </c>
      <c r="F646" t="inlineStr">
        <is>
          <t>Q2-Target,Baby days,Optimized,Hero 5 Holidays</t>
        </is>
      </c>
      <c r="G646" s="48" t="n">
        <v>0</v>
      </c>
      <c r="H646" s="49" t="n">
        <v>0</v>
      </c>
      <c r="I646" s="49" t="n">
        <v>0</v>
      </c>
      <c r="J646" s="50" t="n">
        <v>0</v>
      </c>
      <c r="K646" s="51" t="n">
        <v>0</v>
      </c>
      <c r="L646" s="52" t="n">
        <v>0</v>
      </c>
      <c r="M646" s="52" t="n">
        <v>0</v>
      </c>
      <c r="N646" s="52" t="n">
        <v>0</v>
      </c>
      <c r="O646" s="53" t="n">
        <v>0</v>
      </c>
      <c r="P646" s="52" t="n">
        <v>0</v>
      </c>
      <c r="Q646" s="53" t="n">
        <v>0</v>
      </c>
      <c r="R646" s="52" t="n">
        <v>0</v>
      </c>
      <c r="S646" s="51" t="n">
        <v>0</v>
      </c>
      <c r="T646" s="48" t="n">
        <v>0</v>
      </c>
      <c r="U646" s="49" t="n">
        <v>0</v>
      </c>
      <c r="V646" s="49" t="n">
        <v>0</v>
      </c>
      <c r="W646" s="50" t="n">
        <v>0</v>
      </c>
      <c r="X646" s="51" t="n">
        <v>0</v>
      </c>
      <c r="Y646" s="52" t="n">
        <v>0</v>
      </c>
      <c r="Z646" s="52" t="n">
        <v>0</v>
      </c>
      <c r="AA646" s="52" t="n">
        <v>0</v>
      </c>
      <c r="AB646" s="53" t="n">
        <v>0</v>
      </c>
      <c r="AC646" s="52" t="n">
        <v>0</v>
      </c>
      <c r="AD646" s="53" t="n">
        <v>0</v>
      </c>
      <c r="AE646" s="52" t="n">
        <v>0</v>
      </c>
      <c r="AF646" s="51" t="n">
        <v>0</v>
      </c>
      <c r="AG646" s="48" t="n">
        <v>0</v>
      </c>
      <c r="AH646" s="49" t="n">
        <v>0</v>
      </c>
      <c r="AI646" s="49" t="n">
        <v>0</v>
      </c>
      <c r="AJ646" s="50" t="n">
        <v>0</v>
      </c>
      <c r="AK646" s="51" t="n">
        <v>0</v>
      </c>
      <c r="AL646" s="52" t="n">
        <v>0</v>
      </c>
      <c r="AM646" s="52" t="n">
        <v>0</v>
      </c>
      <c r="AN646" s="52" t="n">
        <v>0</v>
      </c>
      <c r="AO646" s="53" t="n">
        <v>0</v>
      </c>
      <c r="AP646" s="52" t="n">
        <v>0</v>
      </c>
      <c r="AQ646" s="53" t="n">
        <v>0</v>
      </c>
      <c r="AR646" s="52" t="n">
        <v>0</v>
      </c>
      <c r="AS646" s="51" t="n">
        <v>0</v>
      </c>
      <c r="AT646" s="48" t="n">
        <v>0</v>
      </c>
      <c r="AU646" s="49" t="n">
        <v>0</v>
      </c>
      <c r="AV646" s="49" t="n">
        <v>0</v>
      </c>
      <c r="AW646" s="50" t="n">
        <v>0</v>
      </c>
      <c r="AX646" s="51" t="n">
        <v>0</v>
      </c>
      <c r="AY646" s="52" t="n">
        <v>0</v>
      </c>
      <c r="AZ646" s="52" t="n">
        <v>0</v>
      </c>
      <c r="BA646" s="52" t="n">
        <v>0</v>
      </c>
      <c r="BB646" s="53" t="n">
        <v>0</v>
      </c>
      <c r="BC646" s="52" t="n">
        <v>0</v>
      </c>
      <c r="BD646" s="53" t="n">
        <v>0</v>
      </c>
      <c r="BE646" s="52" t="n">
        <v>0</v>
      </c>
      <c r="BF646" s="51" t="n">
        <v>0</v>
      </c>
    </row>
    <row r="647">
      <c r="A647">
        <f>HYPERLINK("https://www.walmart.com/ip/464874688", "464874688")</f>
        <v/>
      </c>
      <c r="B647" t="inlineStr">
        <is>
          <t>Pawsse Waterproof Pet Fleece Blanket Throw Soft Warm Sherpa for Dog Cat Puppy Animals Indoor Outdoor Lawn Use</t>
        </is>
      </c>
      <c r="C647" t="inlineStr">
        <is>
          <t>1PSBW561WNTP</t>
        </is>
      </c>
      <c r="D647" t="inlineStr">
        <is>
          <t>Pet Blankets</t>
        </is>
      </c>
      <c r="E647" t="inlineStr">
        <is>
          <t>Pawsse</t>
        </is>
      </c>
      <c r="F647" t="inlineStr">
        <is>
          <t>Fleece Blankets,Batch 1 - TR</t>
        </is>
      </c>
      <c r="G647" s="48" t="n">
        <v>0</v>
      </c>
      <c r="H647" s="49" t="n">
        <v>0</v>
      </c>
      <c r="I647" s="49" t="n">
        <v>0</v>
      </c>
      <c r="J647" s="50" t="n">
        <v>0</v>
      </c>
      <c r="K647" s="51" t="n">
        <v>0</v>
      </c>
      <c r="L647" s="52" t="n">
        <v>0</v>
      </c>
      <c r="M647" s="52" t="n">
        <v>0</v>
      </c>
      <c r="N647" s="52" t="n">
        <v>0</v>
      </c>
      <c r="O647" s="53" t="n">
        <v>0</v>
      </c>
      <c r="P647" s="52" t="n">
        <v>0</v>
      </c>
      <c r="Q647" s="53" t="n">
        <v>0</v>
      </c>
      <c r="R647" s="52" t="n">
        <v>0</v>
      </c>
      <c r="S647" s="51" t="n">
        <v>0</v>
      </c>
      <c r="T647" s="48" t="n">
        <v>0</v>
      </c>
      <c r="U647" s="49" t="n">
        <v>0</v>
      </c>
      <c r="V647" s="49" t="n">
        <v>0</v>
      </c>
      <c r="W647" s="50" t="n">
        <v>0</v>
      </c>
      <c r="X647" s="51" t="n">
        <v>0</v>
      </c>
      <c r="Y647" s="52" t="n">
        <v>0</v>
      </c>
      <c r="Z647" s="52" t="n">
        <v>0</v>
      </c>
      <c r="AA647" s="52" t="n">
        <v>0</v>
      </c>
      <c r="AB647" s="53" t="n">
        <v>0</v>
      </c>
      <c r="AC647" s="52" t="n">
        <v>0</v>
      </c>
      <c r="AD647" s="53" t="n">
        <v>0</v>
      </c>
      <c r="AE647" s="52" t="n">
        <v>0</v>
      </c>
      <c r="AF647" s="51" t="n">
        <v>0</v>
      </c>
      <c r="AG647" s="48" t="n">
        <v>0</v>
      </c>
      <c r="AH647" s="49" t="n">
        <v>0</v>
      </c>
      <c r="AI647" s="49" t="n">
        <v>0</v>
      </c>
      <c r="AJ647" s="50" t="n">
        <v>0</v>
      </c>
      <c r="AK647" s="51" t="n">
        <v>0</v>
      </c>
      <c r="AL647" s="52" t="n">
        <v>0</v>
      </c>
      <c r="AM647" s="52" t="n">
        <v>0</v>
      </c>
      <c r="AN647" s="52" t="n">
        <v>0</v>
      </c>
      <c r="AO647" s="53" t="n">
        <v>0</v>
      </c>
      <c r="AP647" s="52" t="n">
        <v>0</v>
      </c>
      <c r="AQ647" s="53" t="n">
        <v>0</v>
      </c>
      <c r="AR647" s="52" t="n">
        <v>0</v>
      </c>
      <c r="AS647" s="51" t="n">
        <v>0</v>
      </c>
      <c r="AT647" s="48" t="n">
        <v>0</v>
      </c>
      <c r="AU647" s="49" t="n">
        <v>0</v>
      </c>
      <c r="AV647" s="49" t="n">
        <v>0</v>
      </c>
      <c r="AW647" s="50" t="n">
        <v>0</v>
      </c>
      <c r="AX647" s="51" t="n">
        <v>0</v>
      </c>
      <c r="AY647" s="52" t="n">
        <v>0</v>
      </c>
      <c r="AZ647" s="52" t="n">
        <v>0</v>
      </c>
      <c r="BA647" s="52" t="n">
        <v>0</v>
      </c>
      <c r="BB647" s="53" t="n">
        <v>0</v>
      </c>
      <c r="BC647" s="52" t="n">
        <v>0</v>
      </c>
      <c r="BD647" s="53" t="n">
        <v>0</v>
      </c>
      <c r="BE647" s="52" t="n">
        <v>0</v>
      </c>
      <c r="BF647" s="51" t="n">
        <v>0</v>
      </c>
    </row>
    <row r="648">
      <c r="A648">
        <f>HYPERLINK("https://www.walmart.com/ip/465137321", "465137321")</f>
        <v/>
      </c>
      <c r="B648" t="inlineStr">
        <is>
          <t>100% Polar Fleece Skull Cap Warm and Cozy Beanie</t>
        </is>
      </c>
      <c r="C648" t="inlineStr">
        <is>
          <t>1SLW1810GY-FSCB</t>
        </is>
      </c>
      <c r="D648" t="inlineStr">
        <is>
          <t>Hats</t>
        </is>
      </c>
      <c r="E648" t="inlineStr">
        <is>
          <t>Solaris</t>
        </is>
      </c>
      <c r="F648" t="inlineStr">
        <is>
          <t>Batch 1 - TR</t>
        </is>
      </c>
      <c r="G648" s="48" t="n">
        <v>0</v>
      </c>
      <c r="H648" s="49" t="n">
        <v>0</v>
      </c>
      <c r="I648" s="49" t="n">
        <v>0</v>
      </c>
      <c r="J648" s="50" t="n">
        <v>0</v>
      </c>
      <c r="K648" s="51" t="n">
        <v>0</v>
      </c>
      <c r="L648" s="52" t="n">
        <v>0</v>
      </c>
      <c r="M648" s="52" t="n">
        <v>0</v>
      </c>
      <c r="N648" s="52" t="n">
        <v>0</v>
      </c>
      <c r="O648" s="53" t="n">
        <v>0</v>
      </c>
      <c r="P648" s="52" t="n">
        <v>0</v>
      </c>
      <c r="Q648" s="53" t="n">
        <v>0</v>
      </c>
      <c r="R648" s="52" t="n">
        <v>0</v>
      </c>
      <c r="S648" s="51" t="n">
        <v>0</v>
      </c>
      <c r="T648" s="48" t="n">
        <v>0</v>
      </c>
      <c r="U648" s="49" t="n">
        <v>0</v>
      </c>
      <c r="V648" s="49" t="n">
        <v>0</v>
      </c>
      <c r="W648" s="50" t="n">
        <v>0</v>
      </c>
      <c r="X648" s="51" t="n">
        <v>0</v>
      </c>
      <c r="Y648" s="52" t="n">
        <v>0</v>
      </c>
      <c r="Z648" s="52" t="n">
        <v>0</v>
      </c>
      <c r="AA648" s="52" t="n">
        <v>0</v>
      </c>
      <c r="AB648" s="53" t="n">
        <v>0</v>
      </c>
      <c r="AC648" s="52" t="n">
        <v>0</v>
      </c>
      <c r="AD648" s="53" t="n">
        <v>0</v>
      </c>
      <c r="AE648" s="52" t="n">
        <v>0</v>
      </c>
      <c r="AF648" s="51" t="n">
        <v>0</v>
      </c>
      <c r="AG648" s="48" t="n">
        <v>0</v>
      </c>
      <c r="AH648" s="49" t="n">
        <v>0</v>
      </c>
      <c r="AI648" s="49" t="n">
        <v>0</v>
      </c>
      <c r="AJ648" s="50" t="n">
        <v>0</v>
      </c>
      <c r="AK648" s="51" t="n">
        <v>0</v>
      </c>
      <c r="AL648" s="52" t="n">
        <v>0</v>
      </c>
      <c r="AM648" s="52" t="n">
        <v>0</v>
      </c>
      <c r="AN648" s="52" t="n">
        <v>0</v>
      </c>
      <c r="AO648" s="53" t="n">
        <v>0</v>
      </c>
      <c r="AP648" s="52" t="n">
        <v>0</v>
      </c>
      <c r="AQ648" s="53" t="n">
        <v>0</v>
      </c>
      <c r="AR648" s="52" t="n">
        <v>0</v>
      </c>
      <c r="AS648" s="51" t="n">
        <v>0</v>
      </c>
      <c r="AT648" s="48" t="n">
        <v>0</v>
      </c>
      <c r="AU648" s="49" t="n">
        <v>0</v>
      </c>
      <c r="AV648" s="49" t="n">
        <v>0</v>
      </c>
      <c r="AW648" s="50" t="n">
        <v>0</v>
      </c>
      <c r="AX648" s="51" t="n">
        <v>0</v>
      </c>
      <c r="AY648" s="52" t="n">
        <v>0</v>
      </c>
      <c r="AZ648" s="52" t="n">
        <v>0</v>
      </c>
      <c r="BA648" s="52" t="n">
        <v>0</v>
      </c>
      <c r="BB648" s="53" t="n">
        <v>0</v>
      </c>
      <c r="BC648" s="52" t="n">
        <v>0</v>
      </c>
      <c r="BD648" s="53" t="n">
        <v>0</v>
      </c>
      <c r="BE648" s="52" t="n">
        <v>0</v>
      </c>
      <c r="BF648" s="51" t="n">
        <v>0</v>
      </c>
    </row>
    <row r="649">
      <c r="A649">
        <f>HYPERLINK("https://www.walmart.com/ip/466099194", "466099194")</f>
        <v/>
      </c>
      <c r="B649" t="inlineStr">
        <is>
          <t>Tirrinia Camo Mens Sun Hat Wide Brim Safari Hunting Military Jungle Desert Cap with Neck Flap, Digital Grey</t>
        </is>
      </c>
      <c r="C649" t="inlineStr">
        <is>
          <t>1TRSH9150DIGIGY-TBCB</t>
        </is>
      </c>
      <c r="D649" t="inlineStr">
        <is>
          <t>Hats</t>
        </is>
      </c>
      <c r="E649" t="inlineStr">
        <is>
          <t>Tirrinia</t>
        </is>
      </c>
      <c r="F649" t="inlineStr">
        <is>
          <t>Q2-Target,Optimized,Hats</t>
        </is>
      </c>
      <c r="G649" s="48" t="n">
        <v>0</v>
      </c>
      <c r="H649" s="49" t="n">
        <v>0</v>
      </c>
      <c r="I649" s="49" t="n">
        <v>0</v>
      </c>
      <c r="J649" s="50" t="n">
        <v>0</v>
      </c>
      <c r="K649" s="51" t="n">
        <v>0</v>
      </c>
      <c r="L649" s="52" t="n">
        <v>0</v>
      </c>
      <c r="M649" s="52" t="n">
        <v>0</v>
      </c>
      <c r="N649" s="52" t="n">
        <v>0</v>
      </c>
      <c r="O649" s="53" t="n">
        <v>0</v>
      </c>
      <c r="P649" s="52" t="n">
        <v>0</v>
      </c>
      <c r="Q649" s="53" t="n">
        <v>0</v>
      </c>
      <c r="R649" s="52" t="n">
        <v>0</v>
      </c>
      <c r="S649" s="51" t="n">
        <v>0</v>
      </c>
      <c r="T649" s="48" t="n">
        <v>0</v>
      </c>
      <c r="U649" s="49" t="n">
        <v>0</v>
      </c>
      <c r="V649" s="49" t="n">
        <v>0</v>
      </c>
      <c r="W649" s="50" t="n">
        <v>0</v>
      </c>
      <c r="X649" s="51" t="n">
        <v>0</v>
      </c>
      <c r="Y649" s="52" t="n">
        <v>0</v>
      </c>
      <c r="Z649" s="52" t="n">
        <v>0</v>
      </c>
      <c r="AA649" s="52" t="n">
        <v>0</v>
      </c>
      <c r="AB649" s="53" t="n">
        <v>0</v>
      </c>
      <c r="AC649" s="52" t="n">
        <v>0</v>
      </c>
      <c r="AD649" s="53" t="n">
        <v>0</v>
      </c>
      <c r="AE649" s="52" t="n">
        <v>0</v>
      </c>
      <c r="AF649" s="51" t="n">
        <v>0</v>
      </c>
      <c r="AG649" s="48" t="n">
        <v>0</v>
      </c>
      <c r="AH649" s="49" t="n">
        <v>0</v>
      </c>
      <c r="AI649" s="49" t="n">
        <v>0</v>
      </c>
      <c r="AJ649" s="50" t="n">
        <v>0</v>
      </c>
      <c r="AK649" s="51" t="n">
        <v>0</v>
      </c>
      <c r="AL649" s="52" t="n">
        <v>0</v>
      </c>
      <c r="AM649" s="52" t="n">
        <v>0</v>
      </c>
      <c r="AN649" s="52" t="n">
        <v>0</v>
      </c>
      <c r="AO649" s="53" t="n">
        <v>0</v>
      </c>
      <c r="AP649" s="52" t="n">
        <v>0</v>
      </c>
      <c r="AQ649" s="53" t="n">
        <v>0</v>
      </c>
      <c r="AR649" s="52" t="n">
        <v>0</v>
      </c>
      <c r="AS649" s="51" t="n">
        <v>0</v>
      </c>
      <c r="AT649" s="48" t="n">
        <v>15.99</v>
      </c>
      <c r="AU649" s="49" t="n">
        <v>1</v>
      </c>
      <c r="AV649" s="49" t="n">
        <v>0</v>
      </c>
      <c r="AW649" s="50" t="n">
        <v>0</v>
      </c>
      <c r="AX649" s="51" t="n">
        <v>0</v>
      </c>
      <c r="AY649" s="52" t="n">
        <v>0</v>
      </c>
      <c r="AZ649" s="52" t="n">
        <v>0</v>
      </c>
      <c r="BA649" s="52" t="n">
        <v>0</v>
      </c>
      <c r="BB649" s="53" t="n">
        <v>0</v>
      </c>
      <c r="BC649" s="52" t="n">
        <v>0</v>
      </c>
      <c r="BD649" s="53" t="n">
        <v>0</v>
      </c>
      <c r="BE649" s="52" t="n">
        <v>15.99</v>
      </c>
      <c r="BF649" s="51" t="n">
        <v>0</v>
      </c>
    </row>
    <row r="650">
      <c r="A650">
        <f>HYPERLINK("https://www.walmart.com/ip/468392021", "468392021")</f>
        <v/>
      </c>
      <c r="B650" t="inlineStr">
        <is>
          <t>Tirrinia Insulated Wine Carrier - 3 Bottle Travel Padded Wine Carry Cooler Tote Bag with Handle and Adjustable Shoulder Strap + Free Corkscrew, Black</t>
        </is>
      </c>
      <c r="C650" t="inlineStr">
        <is>
          <t>1KTWB300BK</t>
        </is>
      </c>
      <c r="D650" t="inlineStr">
        <is>
          <t>Wine Totes, Bags &amp; Backpacks</t>
        </is>
      </c>
      <c r="E650" t="inlineStr">
        <is>
          <t>Tirrinia</t>
        </is>
      </c>
      <c r="F650" t="inlineStr">
        <is>
          <t>Wine,Wine Bag Camp,Christmas,Wine WFS,Valentine,WFS Item,Lily Brand Camp</t>
        </is>
      </c>
      <c r="G650" s="48" t="n">
        <v>0</v>
      </c>
      <c r="H650" s="49" t="n">
        <v>0</v>
      </c>
      <c r="I650" s="49" t="n">
        <v>7</v>
      </c>
      <c r="J650" s="50" t="n">
        <v>0</v>
      </c>
      <c r="K650" s="51" t="n">
        <v>9</v>
      </c>
      <c r="L650" s="52" t="n">
        <v>3.03</v>
      </c>
      <c r="M650" s="52" t="n">
        <v>0</v>
      </c>
      <c r="N650" s="52" t="n">
        <v>0</v>
      </c>
      <c r="O650" s="53" t="n">
        <v>0.002</v>
      </c>
      <c r="P650" s="52" t="n">
        <v>0.3366666666666667</v>
      </c>
      <c r="Q650" s="53" t="n">
        <v>0</v>
      </c>
      <c r="R650" s="52" t="n">
        <v>0</v>
      </c>
      <c r="S650" s="51" t="n">
        <v>4393</v>
      </c>
      <c r="T650" s="48" t="n">
        <v>65.97</v>
      </c>
      <c r="U650" s="49" t="n">
        <v>3</v>
      </c>
      <c r="V650" s="49" t="n">
        <v>4</v>
      </c>
      <c r="W650" s="50" t="n">
        <v>0.75</v>
      </c>
      <c r="X650" s="51" t="n">
        <v>0</v>
      </c>
      <c r="Y650" s="52" t="n">
        <v>0</v>
      </c>
      <c r="Z650" s="52" t="n">
        <v>0</v>
      </c>
      <c r="AA650" s="52" t="n">
        <v>0</v>
      </c>
      <c r="AB650" s="53" t="n">
        <v>0</v>
      </c>
      <c r="AC650" s="52" t="n">
        <v>0</v>
      </c>
      <c r="AD650" s="53" t="n">
        <v>0</v>
      </c>
      <c r="AE650" s="52" t="n">
        <v>21.99</v>
      </c>
      <c r="AF650" s="51" t="n">
        <v>0</v>
      </c>
      <c r="AG650" s="48" t="n">
        <v>0</v>
      </c>
      <c r="AH650" s="49" t="n">
        <v>0</v>
      </c>
      <c r="AI650" s="49" t="n">
        <v>0</v>
      </c>
      <c r="AJ650" s="50" t="n">
        <v>0</v>
      </c>
      <c r="AK650" s="51" t="n">
        <v>0</v>
      </c>
      <c r="AL650" s="52" t="n">
        <v>0</v>
      </c>
      <c r="AM650" s="52" t="n">
        <v>0</v>
      </c>
      <c r="AN650" s="52" t="n">
        <v>0</v>
      </c>
      <c r="AO650" s="53" t="n">
        <v>0</v>
      </c>
      <c r="AP650" s="52" t="n">
        <v>0</v>
      </c>
      <c r="AQ650" s="53" t="n">
        <v>0</v>
      </c>
      <c r="AR650" s="52" t="n">
        <v>0</v>
      </c>
      <c r="AS650" s="51" t="n">
        <v>0</v>
      </c>
      <c r="AT650" s="48" t="n">
        <v>0</v>
      </c>
      <c r="AU650" s="49" t="n">
        <v>0</v>
      </c>
      <c r="AV650" s="49" t="n">
        <v>0</v>
      </c>
      <c r="AW650" s="50" t="n">
        <v>0</v>
      </c>
      <c r="AX650" s="51" t="n">
        <v>0</v>
      </c>
      <c r="AY650" s="52" t="n">
        <v>0</v>
      </c>
      <c r="AZ650" s="52" t="n">
        <v>0</v>
      </c>
      <c r="BA650" s="52" t="n">
        <v>0</v>
      </c>
      <c r="BB650" s="53" t="n">
        <v>0</v>
      </c>
      <c r="BC650" s="52" t="n">
        <v>0</v>
      </c>
      <c r="BD650" s="53" t="n">
        <v>0</v>
      </c>
      <c r="BE650" s="52" t="n">
        <v>0</v>
      </c>
      <c r="BF650" s="51" t="n">
        <v>0</v>
      </c>
    </row>
    <row r="651">
      <c r="A651">
        <f>HYPERLINK("https://www.walmart.com/ip/470057153", "470057153")</f>
        <v/>
      </c>
      <c r="B651" t="inlineStr">
        <is>
          <t>Tirrinia Insulated Lunch Bag for Women, Men and Kids, Leakproof Thermal Reusable Lunch Box Tote, Lunch Cooler for Office Work, Black</t>
        </is>
      </c>
      <c r="C651" t="inlineStr">
        <is>
          <t>1WMLB701P1BK</t>
        </is>
      </c>
      <c r="D651" t="inlineStr">
        <is>
          <t>Reusable Lunch Bags &amp; Boxes</t>
        </is>
      </c>
      <c r="E651" t="inlineStr">
        <is>
          <t>Tirrinia</t>
        </is>
      </c>
      <c r="F651" t="inlineStr">
        <is>
          <t>Q2-Target,Lunch Bag,WFS,Lunch Bags,WFS Item</t>
        </is>
      </c>
      <c r="G651" s="48" t="n">
        <v>0</v>
      </c>
      <c r="H651" s="49" t="n">
        <v>0</v>
      </c>
      <c r="I651" s="49" t="n">
        <v>0</v>
      </c>
      <c r="J651" s="50" t="n">
        <v>0</v>
      </c>
      <c r="K651" s="51" t="n">
        <v>0</v>
      </c>
      <c r="L651" s="52" t="n">
        <v>0</v>
      </c>
      <c r="M651" s="52" t="n">
        <v>0</v>
      </c>
      <c r="N651" s="52" t="n">
        <v>0</v>
      </c>
      <c r="O651" s="53" t="n">
        <v>0</v>
      </c>
      <c r="P651" s="52" t="n">
        <v>0</v>
      </c>
      <c r="Q651" s="53" t="n">
        <v>0</v>
      </c>
      <c r="R651" s="52" t="n">
        <v>0</v>
      </c>
      <c r="S651" s="51" t="n">
        <v>0</v>
      </c>
      <c r="T651" s="48" t="n">
        <v>0</v>
      </c>
      <c r="U651" s="49" t="n">
        <v>0</v>
      </c>
      <c r="V651" s="49" t="n">
        <v>0</v>
      </c>
      <c r="W651" s="50" t="n">
        <v>0</v>
      </c>
      <c r="X651" s="51" t="n">
        <v>0</v>
      </c>
      <c r="Y651" s="52" t="n">
        <v>0</v>
      </c>
      <c r="Z651" s="52" t="n">
        <v>0</v>
      </c>
      <c r="AA651" s="52" t="n">
        <v>0</v>
      </c>
      <c r="AB651" s="53" t="n">
        <v>0</v>
      </c>
      <c r="AC651" s="52" t="n">
        <v>0</v>
      </c>
      <c r="AD651" s="53" t="n">
        <v>0</v>
      </c>
      <c r="AE651" s="52" t="n">
        <v>0</v>
      </c>
      <c r="AF651" s="51" t="n">
        <v>0</v>
      </c>
      <c r="AG651" s="48" t="n">
        <v>0</v>
      </c>
      <c r="AH651" s="49" t="n">
        <v>0</v>
      </c>
      <c r="AI651" s="49" t="n">
        <v>0</v>
      </c>
      <c r="AJ651" s="50" t="n">
        <v>0</v>
      </c>
      <c r="AK651" s="51" t="n">
        <v>0</v>
      </c>
      <c r="AL651" s="52" t="n">
        <v>0</v>
      </c>
      <c r="AM651" s="52" t="n">
        <v>0</v>
      </c>
      <c r="AN651" s="52" t="n">
        <v>0</v>
      </c>
      <c r="AO651" s="53" t="n">
        <v>0</v>
      </c>
      <c r="AP651" s="52" t="n">
        <v>0</v>
      </c>
      <c r="AQ651" s="53" t="n">
        <v>0</v>
      </c>
      <c r="AR651" s="52" t="n">
        <v>0</v>
      </c>
      <c r="AS651" s="51" t="n">
        <v>0</v>
      </c>
      <c r="AT651" s="48" t="n">
        <v>0</v>
      </c>
      <c r="AU651" s="49" t="n">
        <v>0</v>
      </c>
      <c r="AV651" s="49" t="n">
        <v>0</v>
      </c>
      <c r="AW651" s="50" t="n">
        <v>0</v>
      </c>
      <c r="AX651" s="51" t="n">
        <v>0</v>
      </c>
      <c r="AY651" s="52" t="n">
        <v>0</v>
      </c>
      <c r="AZ651" s="52" t="n">
        <v>0</v>
      </c>
      <c r="BA651" s="52" t="n">
        <v>0</v>
      </c>
      <c r="BB651" s="53" t="n">
        <v>0</v>
      </c>
      <c r="BC651" s="52" t="n">
        <v>0</v>
      </c>
      <c r="BD651" s="53" t="n">
        <v>0</v>
      </c>
      <c r="BE651" s="52" t="n">
        <v>0</v>
      </c>
      <c r="BF651" s="51" t="n">
        <v>0</v>
      </c>
    </row>
    <row r="652">
      <c r="A652">
        <f>HYPERLINK("https://www.walmart.com/ip/470850901", "470850901")</f>
        <v/>
      </c>
      <c r="B652" t="inlineStr">
        <is>
          <t>Tirrinia Super Soft Comfy Plush Wearable Fleece Blanket Sherpa Poncho, 55 In x 80 In, Wine</t>
        </is>
      </c>
      <c r="C652" t="inlineStr">
        <is>
          <t>1TRBP110WN-TBCB</t>
        </is>
      </c>
      <c r="D652" t="inlineStr">
        <is>
          <t>Throws</t>
        </is>
      </c>
      <c r="E652" t="inlineStr">
        <is>
          <t>Tirrinia</t>
        </is>
      </c>
      <c r="F652" t="inlineStr">
        <is>
          <t>Optimized,Fleece Blankets</t>
        </is>
      </c>
      <c r="G652" s="48" t="n">
        <v>0</v>
      </c>
      <c r="H652" s="49" t="n">
        <v>0</v>
      </c>
      <c r="I652" s="49" t="n">
        <v>0</v>
      </c>
      <c r="J652" s="50" t="n">
        <v>0</v>
      </c>
      <c r="K652" s="51" t="n">
        <v>0</v>
      </c>
      <c r="L652" s="52" t="n">
        <v>0</v>
      </c>
      <c r="M652" s="52" t="n">
        <v>0</v>
      </c>
      <c r="N652" s="52" t="n">
        <v>0</v>
      </c>
      <c r="O652" s="53" t="n">
        <v>0</v>
      </c>
      <c r="P652" s="52" t="n">
        <v>0</v>
      </c>
      <c r="Q652" s="53" t="n">
        <v>0</v>
      </c>
      <c r="R652" s="52" t="n">
        <v>0</v>
      </c>
      <c r="S652" s="51" t="n">
        <v>0</v>
      </c>
      <c r="T652" s="48" t="n">
        <v>0</v>
      </c>
      <c r="U652" s="49" t="n">
        <v>0</v>
      </c>
      <c r="V652" s="49" t="n">
        <v>0</v>
      </c>
      <c r="W652" s="50" t="n">
        <v>0</v>
      </c>
      <c r="X652" s="51" t="n">
        <v>0</v>
      </c>
      <c r="Y652" s="52" t="n">
        <v>0</v>
      </c>
      <c r="Z652" s="52" t="n">
        <v>0</v>
      </c>
      <c r="AA652" s="52" t="n">
        <v>0</v>
      </c>
      <c r="AB652" s="53" t="n">
        <v>0</v>
      </c>
      <c r="AC652" s="52" t="n">
        <v>0</v>
      </c>
      <c r="AD652" s="53" t="n">
        <v>0</v>
      </c>
      <c r="AE652" s="52" t="n">
        <v>0</v>
      </c>
      <c r="AF652" s="51" t="n">
        <v>0</v>
      </c>
      <c r="AG652" s="48" t="n">
        <v>0</v>
      </c>
      <c r="AH652" s="49" t="n">
        <v>0</v>
      </c>
      <c r="AI652" s="49" t="n">
        <v>0</v>
      </c>
      <c r="AJ652" s="50" t="n">
        <v>0</v>
      </c>
      <c r="AK652" s="51" t="n">
        <v>0</v>
      </c>
      <c r="AL652" s="52" t="n">
        <v>0</v>
      </c>
      <c r="AM652" s="52" t="n">
        <v>0</v>
      </c>
      <c r="AN652" s="52" t="n">
        <v>0</v>
      </c>
      <c r="AO652" s="53" t="n">
        <v>0</v>
      </c>
      <c r="AP652" s="52" t="n">
        <v>0</v>
      </c>
      <c r="AQ652" s="53" t="n">
        <v>0</v>
      </c>
      <c r="AR652" s="52" t="n">
        <v>0</v>
      </c>
      <c r="AS652" s="51" t="n">
        <v>0</v>
      </c>
      <c r="AT652" s="48" t="n">
        <v>0</v>
      </c>
      <c r="AU652" s="49" t="n">
        <v>0</v>
      </c>
      <c r="AV652" s="49" t="n">
        <v>0</v>
      </c>
      <c r="AW652" s="50" t="n">
        <v>0</v>
      </c>
      <c r="AX652" s="51" t="n">
        <v>0</v>
      </c>
      <c r="AY652" s="52" t="n">
        <v>0</v>
      </c>
      <c r="AZ652" s="52" t="n">
        <v>0</v>
      </c>
      <c r="BA652" s="52" t="n">
        <v>0</v>
      </c>
      <c r="BB652" s="53" t="n">
        <v>0</v>
      </c>
      <c r="BC652" s="52" t="n">
        <v>0</v>
      </c>
      <c r="BD652" s="53" t="n">
        <v>0</v>
      </c>
      <c r="BE652" s="52" t="n">
        <v>0</v>
      </c>
      <c r="BF652" s="51" t="n">
        <v>0</v>
      </c>
    </row>
    <row r="653">
      <c r="A653">
        <f>HYPERLINK("https://www.walmart.com/ip/471187667", "471187667")</f>
        <v/>
      </c>
      <c r="B653" t="inlineStr">
        <is>
          <t>Catalonia Hooded Wearable Blanket Sherpa Fleece Throw Blanket 73"x47" Poncho | Wrap with Hand Pockets | Comfy Cape for Children and Adults,Womans Gift</t>
        </is>
      </c>
      <c r="C653" t="inlineStr">
        <is>
          <t>1CTBC100GY</t>
        </is>
      </c>
      <c r="D653" t="inlineStr">
        <is>
          <t>Throws</t>
        </is>
      </c>
      <c r="E653" t="inlineStr">
        <is>
          <t>Catalonia</t>
        </is>
      </c>
      <c r="F653" t="inlineStr">
        <is>
          <t>Optimized,WFS,Coupon_Discount,WFS Item</t>
        </is>
      </c>
      <c r="G653" s="48" t="n">
        <v>0</v>
      </c>
      <c r="H653" s="49" t="n">
        <v>0</v>
      </c>
      <c r="I653" s="49" t="n">
        <v>0</v>
      </c>
      <c r="J653" s="50" t="n">
        <v>0</v>
      </c>
      <c r="K653" s="51" t="n">
        <v>0</v>
      </c>
      <c r="L653" s="52" t="n">
        <v>0</v>
      </c>
      <c r="M653" s="52" t="n">
        <v>0</v>
      </c>
      <c r="N653" s="52" t="n">
        <v>0</v>
      </c>
      <c r="O653" s="53" t="n">
        <v>0</v>
      </c>
      <c r="P653" s="52" t="n">
        <v>0</v>
      </c>
      <c r="Q653" s="53" t="n">
        <v>0</v>
      </c>
      <c r="R653" s="52" t="n">
        <v>0</v>
      </c>
      <c r="S653" s="51" t="n">
        <v>0</v>
      </c>
      <c r="T653" s="48" t="n">
        <v>0</v>
      </c>
      <c r="U653" s="49" t="n">
        <v>0</v>
      </c>
      <c r="V653" s="49" t="n">
        <v>0</v>
      </c>
      <c r="W653" s="50" t="n">
        <v>0</v>
      </c>
      <c r="X653" s="51" t="n">
        <v>0</v>
      </c>
      <c r="Y653" s="52" t="n">
        <v>0</v>
      </c>
      <c r="Z653" s="52" t="n">
        <v>0</v>
      </c>
      <c r="AA653" s="52" t="n">
        <v>0</v>
      </c>
      <c r="AB653" s="53" t="n">
        <v>0</v>
      </c>
      <c r="AC653" s="52" t="n">
        <v>0</v>
      </c>
      <c r="AD653" s="53" t="n">
        <v>0</v>
      </c>
      <c r="AE653" s="52" t="n">
        <v>0</v>
      </c>
      <c r="AF653" s="51" t="n">
        <v>0</v>
      </c>
      <c r="AG653" s="48" t="n">
        <v>0</v>
      </c>
      <c r="AH653" s="49" t="n">
        <v>0</v>
      </c>
      <c r="AI653" s="49" t="n">
        <v>0</v>
      </c>
      <c r="AJ653" s="50" t="n">
        <v>0</v>
      </c>
      <c r="AK653" s="51" t="n">
        <v>0</v>
      </c>
      <c r="AL653" s="52" t="n">
        <v>0</v>
      </c>
      <c r="AM653" s="52" t="n">
        <v>0</v>
      </c>
      <c r="AN653" s="52" t="n">
        <v>0</v>
      </c>
      <c r="AO653" s="53" t="n">
        <v>0</v>
      </c>
      <c r="AP653" s="52" t="n">
        <v>0</v>
      </c>
      <c r="AQ653" s="53" t="n">
        <v>0</v>
      </c>
      <c r="AR653" s="52" t="n">
        <v>0</v>
      </c>
      <c r="AS653" s="51" t="n">
        <v>0</v>
      </c>
      <c r="AT653" s="48" t="n">
        <v>0</v>
      </c>
      <c r="AU653" s="49" t="n">
        <v>0</v>
      </c>
      <c r="AV653" s="49" t="n">
        <v>0</v>
      </c>
      <c r="AW653" s="50" t="n">
        <v>0</v>
      </c>
      <c r="AX653" s="51" t="n">
        <v>0</v>
      </c>
      <c r="AY653" s="52" t="n">
        <v>0</v>
      </c>
      <c r="AZ653" s="52" t="n">
        <v>0</v>
      </c>
      <c r="BA653" s="52" t="n">
        <v>0</v>
      </c>
      <c r="BB653" s="53" t="n">
        <v>0</v>
      </c>
      <c r="BC653" s="52" t="n">
        <v>0</v>
      </c>
      <c r="BD653" s="53" t="n">
        <v>0</v>
      </c>
      <c r="BE653" s="52" t="n">
        <v>0</v>
      </c>
      <c r="BF653" s="51" t="n">
        <v>0</v>
      </c>
    </row>
    <row r="654">
      <c r="A654">
        <f>HYPERLINK("https://www.walmart.com/ip/477205295", "477205295")</f>
        <v/>
      </c>
      <c r="B654" t="inlineStr">
        <is>
          <t>Catalonia Patriotic US Flag Blanket,American National Flag Print Cable Knit Throws,4th of July Citizenship Veteran Labor Day Gift, 50"x60"</t>
        </is>
      </c>
      <c r="C654" t="inlineStr">
        <is>
          <t>1CTBN506-USA</t>
        </is>
      </c>
      <c r="D654" t="inlineStr">
        <is>
          <t>Throws</t>
        </is>
      </c>
      <c r="E654" t="inlineStr">
        <is>
          <t>Catalonia</t>
        </is>
      </c>
      <c r="F654" t="inlineStr">
        <is>
          <t>Batch 1 - TR</t>
        </is>
      </c>
      <c r="G654" s="48" t="n">
        <v>0</v>
      </c>
      <c r="H654" s="49" t="n">
        <v>0</v>
      </c>
      <c r="I654" s="49" t="n">
        <v>0</v>
      </c>
      <c r="J654" s="50" t="n">
        <v>0</v>
      </c>
      <c r="K654" s="51" t="n">
        <v>0</v>
      </c>
      <c r="L654" s="52" t="n">
        <v>0</v>
      </c>
      <c r="M654" s="52" t="n">
        <v>0</v>
      </c>
      <c r="N654" s="52" t="n">
        <v>0</v>
      </c>
      <c r="O654" s="53" t="n">
        <v>0</v>
      </c>
      <c r="P654" s="52" t="n">
        <v>0</v>
      </c>
      <c r="Q654" s="53" t="n">
        <v>0</v>
      </c>
      <c r="R654" s="52" t="n">
        <v>0</v>
      </c>
      <c r="S654" s="51" t="n">
        <v>0</v>
      </c>
      <c r="T654" s="48" t="n">
        <v>0</v>
      </c>
      <c r="U654" s="49" t="n">
        <v>0</v>
      </c>
      <c r="V654" s="49" t="n">
        <v>0</v>
      </c>
      <c r="W654" s="50" t="n">
        <v>0</v>
      </c>
      <c r="X654" s="51" t="n">
        <v>0</v>
      </c>
      <c r="Y654" s="52" t="n">
        <v>0</v>
      </c>
      <c r="Z654" s="52" t="n">
        <v>0</v>
      </c>
      <c r="AA654" s="52" t="n">
        <v>0</v>
      </c>
      <c r="AB654" s="53" t="n">
        <v>0</v>
      </c>
      <c r="AC654" s="52" t="n">
        <v>0</v>
      </c>
      <c r="AD654" s="53" t="n">
        <v>0</v>
      </c>
      <c r="AE654" s="52" t="n">
        <v>0</v>
      </c>
      <c r="AF654" s="51" t="n">
        <v>0</v>
      </c>
      <c r="AG654" s="48" t="n">
        <v>0</v>
      </c>
      <c r="AH654" s="49" t="n">
        <v>0</v>
      </c>
      <c r="AI654" s="49" t="n">
        <v>0</v>
      </c>
      <c r="AJ654" s="50" t="n">
        <v>0</v>
      </c>
      <c r="AK654" s="51" t="n">
        <v>0</v>
      </c>
      <c r="AL654" s="52" t="n">
        <v>0</v>
      </c>
      <c r="AM654" s="52" t="n">
        <v>0</v>
      </c>
      <c r="AN654" s="52" t="n">
        <v>0</v>
      </c>
      <c r="AO654" s="53" t="n">
        <v>0</v>
      </c>
      <c r="AP654" s="52" t="n">
        <v>0</v>
      </c>
      <c r="AQ654" s="53" t="n">
        <v>0</v>
      </c>
      <c r="AR654" s="52" t="n">
        <v>0</v>
      </c>
      <c r="AS654" s="51" t="n">
        <v>0</v>
      </c>
      <c r="AT654" s="48" t="n">
        <v>0</v>
      </c>
      <c r="AU654" s="49" t="n">
        <v>0</v>
      </c>
      <c r="AV654" s="49" t="n">
        <v>0</v>
      </c>
      <c r="AW654" s="50" t="n">
        <v>0</v>
      </c>
      <c r="AX654" s="51" t="n">
        <v>0</v>
      </c>
      <c r="AY654" s="52" t="n">
        <v>0</v>
      </c>
      <c r="AZ654" s="52" t="n">
        <v>0</v>
      </c>
      <c r="BA654" s="52" t="n">
        <v>0</v>
      </c>
      <c r="BB654" s="53" t="n">
        <v>0</v>
      </c>
      <c r="BC654" s="52" t="n">
        <v>0</v>
      </c>
      <c r="BD654" s="53" t="n">
        <v>0</v>
      </c>
      <c r="BE654" s="52" t="n">
        <v>0</v>
      </c>
      <c r="BF654" s="51" t="n">
        <v>0</v>
      </c>
    </row>
    <row r="655">
      <c r="A655">
        <f>HYPERLINK("https://www.walmart.com/ip/471360729", "471360729")</f>
        <v/>
      </c>
      <c r="B655" t="inlineStr">
        <is>
          <t>Flyingstar Wine Picnic Table, Large Folding Portable Bamboo Snack &amp; Cheese Tray with 4 Wine Glasses Holder for Concerts at Park, Beach, Ideal Wine Lover Gift</t>
        </is>
      </c>
      <c r="C655" t="inlineStr">
        <is>
          <t>1WMPT140</t>
        </is>
      </c>
      <c r="D655" t="inlineStr">
        <is>
          <t>Serving Trays</t>
        </is>
      </c>
      <c r="E655" t="inlineStr">
        <is>
          <t>Flyingstar</t>
        </is>
      </c>
      <c r="F655" t="inlineStr">
        <is>
          <t>Wine,Optimized,Valentine</t>
        </is>
      </c>
      <c r="G655" s="48" t="n">
        <v>0</v>
      </c>
      <c r="H655" s="49" t="n">
        <v>0</v>
      </c>
      <c r="I655" s="49" t="n">
        <v>0</v>
      </c>
      <c r="J655" s="50" t="n">
        <v>0</v>
      </c>
      <c r="K655" s="51" t="n">
        <v>0</v>
      </c>
      <c r="L655" s="52" t="n">
        <v>0</v>
      </c>
      <c r="M655" s="52" t="n">
        <v>0</v>
      </c>
      <c r="N655" s="52" t="n">
        <v>0</v>
      </c>
      <c r="O655" s="53" t="n">
        <v>0</v>
      </c>
      <c r="P655" s="52" t="n">
        <v>0</v>
      </c>
      <c r="Q655" s="53" t="n">
        <v>0</v>
      </c>
      <c r="R655" s="52" t="n">
        <v>0</v>
      </c>
      <c r="S655" s="51" t="n">
        <v>0</v>
      </c>
      <c r="T655" s="48" t="n">
        <v>0</v>
      </c>
      <c r="U655" s="49" t="n">
        <v>0</v>
      </c>
      <c r="V655" s="49" t="n">
        <v>0</v>
      </c>
      <c r="W655" s="50" t="n">
        <v>0</v>
      </c>
      <c r="X655" s="51" t="n">
        <v>0</v>
      </c>
      <c r="Y655" s="52" t="n">
        <v>0</v>
      </c>
      <c r="Z655" s="52" t="n">
        <v>0</v>
      </c>
      <c r="AA655" s="52" t="n">
        <v>0</v>
      </c>
      <c r="AB655" s="53" t="n">
        <v>0</v>
      </c>
      <c r="AC655" s="52" t="n">
        <v>0</v>
      </c>
      <c r="AD655" s="53" t="n">
        <v>0</v>
      </c>
      <c r="AE655" s="52" t="n">
        <v>0</v>
      </c>
      <c r="AF655" s="51" t="n">
        <v>0</v>
      </c>
      <c r="AG655" s="48" t="n">
        <v>0</v>
      </c>
      <c r="AH655" s="49" t="n">
        <v>0</v>
      </c>
      <c r="AI655" s="49" t="n">
        <v>0</v>
      </c>
      <c r="AJ655" s="50" t="n">
        <v>0</v>
      </c>
      <c r="AK655" s="51" t="n">
        <v>0</v>
      </c>
      <c r="AL655" s="52" t="n">
        <v>0</v>
      </c>
      <c r="AM655" s="52" t="n">
        <v>0</v>
      </c>
      <c r="AN655" s="52" t="n">
        <v>0</v>
      </c>
      <c r="AO655" s="53" t="n">
        <v>0</v>
      </c>
      <c r="AP655" s="52" t="n">
        <v>0</v>
      </c>
      <c r="AQ655" s="53" t="n">
        <v>0</v>
      </c>
      <c r="AR655" s="52" t="n">
        <v>0</v>
      </c>
      <c r="AS655" s="51" t="n">
        <v>0</v>
      </c>
      <c r="AT655" s="48" t="n">
        <v>0</v>
      </c>
      <c r="AU655" s="49" t="n">
        <v>0</v>
      </c>
      <c r="AV655" s="49" t="n">
        <v>0</v>
      </c>
      <c r="AW655" s="50" t="n">
        <v>0</v>
      </c>
      <c r="AX655" s="51" t="n">
        <v>0</v>
      </c>
      <c r="AY655" s="52" t="n">
        <v>0</v>
      </c>
      <c r="AZ655" s="52" t="n">
        <v>0</v>
      </c>
      <c r="BA655" s="52" t="n">
        <v>0</v>
      </c>
      <c r="BB655" s="53" t="n">
        <v>0</v>
      </c>
      <c r="BC655" s="52" t="n">
        <v>0</v>
      </c>
      <c r="BD655" s="53" t="n">
        <v>0</v>
      </c>
      <c r="BE655" s="52" t="n">
        <v>0</v>
      </c>
      <c r="BF655" s="51" t="n">
        <v>0</v>
      </c>
    </row>
    <row r="656">
      <c r="A656">
        <f>HYPERLINK("https://www.walmart.com/ip/474593867", "474593867")</f>
        <v/>
      </c>
      <c r="B656" t="inlineStr">
        <is>
          <t>Tirrinia Bedside Organizer Tray, Bamboo Floating Bedside Shelf Table for Bedrooms, Student Dorm, Bunk Beds</t>
        </is>
      </c>
      <c r="C656" t="inlineStr">
        <is>
          <t>1TRSB120</t>
        </is>
      </c>
      <c r="D656" t="inlineStr">
        <is>
          <t>Nightstands</t>
        </is>
      </c>
      <c r="E656" t="inlineStr">
        <is>
          <t>Tirrinia</t>
        </is>
      </c>
      <c r="F656" t="inlineStr">
        <is>
          <t>Optimized,WFS,SEM,Wal-Exl-Price,WFS Item</t>
        </is>
      </c>
      <c r="G656" s="48" t="n">
        <v>0</v>
      </c>
      <c r="H656" s="49" t="n">
        <v>0</v>
      </c>
      <c r="I656" s="49" t="n">
        <v>10</v>
      </c>
      <c r="J656" s="50" t="n">
        <v>0</v>
      </c>
      <c r="K656" s="51" t="n">
        <v>7</v>
      </c>
      <c r="L656" s="52" t="n">
        <v>3.29</v>
      </c>
      <c r="M656" s="52" t="n">
        <v>32.99</v>
      </c>
      <c r="N656" s="52" t="n">
        <v>10.03</v>
      </c>
      <c r="O656" s="53" t="n">
        <v>0.0041</v>
      </c>
      <c r="P656" s="52" t="n">
        <v>0.47</v>
      </c>
      <c r="Q656" s="53" t="n">
        <v>0</v>
      </c>
      <c r="R656" s="52" t="n">
        <v>0</v>
      </c>
      <c r="S656" s="51" t="n">
        <v>1702</v>
      </c>
      <c r="T656" s="48" t="n">
        <v>0</v>
      </c>
      <c r="U656" s="49" t="n">
        <v>0</v>
      </c>
      <c r="V656" s="49" t="n">
        <v>13</v>
      </c>
      <c r="W656" s="50" t="n">
        <v>0</v>
      </c>
      <c r="X656" s="51" t="n">
        <v>12</v>
      </c>
      <c r="Y656" s="52" t="n">
        <v>5.389999999999999</v>
      </c>
      <c r="Z656" s="52" t="n">
        <v>0</v>
      </c>
      <c r="AA656" s="52" t="n">
        <v>0</v>
      </c>
      <c r="AB656" s="53" t="n">
        <v>0.0027</v>
      </c>
      <c r="AC656" s="52" t="n">
        <v>0.4491666666666665</v>
      </c>
      <c r="AD656" s="53" t="n">
        <v>0</v>
      </c>
      <c r="AE656" s="52" t="n">
        <v>0</v>
      </c>
      <c r="AF656" s="51" t="n">
        <v>4374</v>
      </c>
      <c r="AG656" s="48" t="n">
        <v>6.99</v>
      </c>
      <c r="AH656" s="49" t="n">
        <v>0</v>
      </c>
      <c r="AI656" s="49" t="n">
        <v>21</v>
      </c>
      <c r="AJ656" s="50" t="n">
        <v>0</v>
      </c>
      <c r="AK656" s="51" t="n">
        <v>16</v>
      </c>
      <c r="AL656" s="52" t="n">
        <v>6.7</v>
      </c>
      <c r="AM656" s="52" t="n">
        <v>0</v>
      </c>
      <c r="AN656" s="52" t="n">
        <v>0</v>
      </c>
      <c r="AO656" s="53" t="n">
        <v>0.0043</v>
      </c>
      <c r="AP656" s="52" t="n">
        <v>0.41875</v>
      </c>
      <c r="AQ656" s="53" t="n">
        <v>0.9585121602288984</v>
      </c>
      <c r="AR656" s="52" t="n">
        <v>0</v>
      </c>
      <c r="AS656" s="51" t="n">
        <v>3726</v>
      </c>
      <c r="AT656" s="48" t="n">
        <v>32.99</v>
      </c>
      <c r="AU656" s="49" t="n">
        <v>1</v>
      </c>
      <c r="AV656" s="49" t="n">
        <v>15</v>
      </c>
      <c r="AW656" s="50" t="n">
        <v>0.06666666666666667</v>
      </c>
      <c r="AX656" s="51" t="n">
        <v>15</v>
      </c>
      <c r="AY656" s="52" t="n">
        <v>6.29</v>
      </c>
      <c r="AZ656" s="52" t="n">
        <v>0</v>
      </c>
      <c r="BA656" s="52" t="n">
        <v>0</v>
      </c>
      <c r="BB656" s="53" t="n">
        <v>0.005</v>
      </c>
      <c r="BC656" s="52" t="n">
        <v>0.4193333333333333</v>
      </c>
      <c r="BD656" s="53" t="n">
        <v>0.1906638375265232</v>
      </c>
      <c r="BE656" s="52" t="n">
        <v>32.99</v>
      </c>
      <c r="BF656" s="51" t="n">
        <v>2982</v>
      </c>
    </row>
    <row r="657">
      <c r="A657">
        <f>HYPERLINK("https://www.walmart.com/ip/474881891", "474881891")</f>
        <v/>
      </c>
      <c r="B657" t="inlineStr">
        <is>
          <t>Catalonia Sherpa Wearable Blanket Poncho for Adult Women Men, Wrap Blanket Cape with Pocket, Warm, Soft, Cozy, Snuggly, Comfort Gift, No Sleeves, Vanilla</t>
        </is>
      </c>
      <c r="C657" t="inlineStr">
        <is>
          <t>1CTBP110VN</t>
        </is>
      </c>
      <c r="D657" t="inlineStr">
        <is>
          <t>Throws</t>
        </is>
      </c>
      <c r="E657" t="inlineStr">
        <is>
          <t>Catalonia</t>
        </is>
      </c>
      <c r="F657" t="inlineStr">
        <is>
          <t>Optimized,Hero 5 Holidays</t>
        </is>
      </c>
      <c r="G657" s="48" t="n">
        <v>0</v>
      </c>
      <c r="H657" s="49" t="n">
        <v>0</v>
      </c>
      <c r="I657" s="49" t="n">
        <v>0</v>
      </c>
      <c r="J657" s="50" t="n">
        <v>0</v>
      </c>
      <c r="K657" s="51" t="n">
        <v>0</v>
      </c>
      <c r="L657" s="52" t="n">
        <v>0</v>
      </c>
      <c r="M657" s="52" t="n">
        <v>0</v>
      </c>
      <c r="N657" s="52" t="n">
        <v>0</v>
      </c>
      <c r="O657" s="53" t="n">
        <v>0</v>
      </c>
      <c r="P657" s="52" t="n">
        <v>0</v>
      </c>
      <c r="Q657" s="53" t="n">
        <v>0</v>
      </c>
      <c r="R657" s="52" t="n">
        <v>0</v>
      </c>
      <c r="S657" s="51" t="n">
        <v>0</v>
      </c>
      <c r="T657" s="48" t="n">
        <v>0</v>
      </c>
      <c r="U657" s="49" t="n">
        <v>0</v>
      </c>
      <c r="V657" s="49" t="n">
        <v>0</v>
      </c>
      <c r="W657" s="50" t="n">
        <v>0</v>
      </c>
      <c r="X657" s="51" t="n">
        <v>0</v>
      </c>
      <c r="Y657" s="52" t="n">
        <v>0</v>
      </c>
      <c r="Z657" s="52" t="n">
        <v>0</v>
      </c>
      <c r="AA657" s="52" t="n">
        <v>0</v>
      </c>
      <c r="AB657" s="53" t="n">
        <v>0</v>
      </c>
      <c r="AC657" s="52" t="n">
        <v>0</v>
      </c>
      <c r="AD657" s="53" t="n">
        <v>0</v>
      </c>
      <c r="AE657" s="52" t="n">
        <v>0</v>
      </c>
      <c r="AF657" s="51" t="n">
        <v>0</v>
      </c>
      <c r="AG657" s="48" t="n">
        <v>0</v>
      </c>
      <c r="AH657" s="49" t="n">
        <v>0</v>
      </c>
      <c r="AI657" s="49" t="n">
        <v>0</v>
      </c>
      <c r="AJ657" s="50" t="n">
        <v>0</v>
      </c>
      <c r="AK657" s="51" t="n">
        <v>0</v>
      </c>
      <c r="AL657" s="52" t="n">
        <v>0</v>
      </c>
      <c r="AM657" s="52" t="n">
        <v>0</v>
      </c>
      <c r="AN657" s="52" t="n">
        <v>0</v>
      </c>
      <c r="AO657" s="53" t="n">
        <v>0</v>
      </c>
      <c r="AP657" s="52" t="n">
        <v>0</v>
      </c>
      <c r="AQ657" s="53" t="n">
        <v>0</v>
      </c>
      <c r="AR657" s="52" t="n">
        <v>0</v>
      </c>
      <c r="AS657" s="51" t="n">
        <v>0</v>
      </c>
      <c r="AT657" s="48" t="n">
        <v>0</v>
      </c>
      <c r="AU657" s="49" t="n">
        <v>0</v>
      </c>
      <c r="AV657" s="49" t="n">
        <v>0</v>
      </c>
      <c r="AW657" s="50" t="n">
        <v>0</v>
      </c>
      <c r="AX657" s="51" t="n">
        <v>0</v>
      </c>
      <c r="AY657" s="52" t="n">
        <v>0</v>
      </c>
      <c r="AZ657" s="52" t="n">
        <v>0</v>
      </c>
      <c r="BA657" s="52" t="n">
        <v>0</v>
      </c>
      <c r="BB657" s="53" t="n">
        <v>0</v>
      </c>
      <c r="BC657" s="52" t="n">
        <v>0</v>
      </c>
      <c r="BD657" s="53" t="n">
        <v>0</v>
      </c>
      <c r="BE657" s="52" t="n">
        <v>0</v>
      </c>
      <c r="BF657" s="51" t="n">
        <v>0</v>
      </c>
    </row>
    <row r="658">
      <c r="A658">
        <f>HYPERLINK("https://www.walmart.com/ip/474882210", "474882210")</f>
        <v/>
      </c>
      <c r="B658" t="inlineStr">
        <is>
          <t>Tirrinia Insulated Lunch Bag for Women Men, Leakproof Thermal Reusable Lunch Box with 4 Pockets for Adult Kids, Lunch Bag Cooler Tote for Office Work, Back to School, Black</t>
        </is>
      </c>
      <c r="C658" t="inlineStr">
        <is>
          <t>1TRLB702BK-N</t>
        </is>
      </c>
      <c r="D658" t="inlineStr">
        <is>
          <t>Reusable Lunch Bags &amp; Boxes</t>
        </is>
      </c>
      <c r="E658" t="inlineStr">
        <is>
          <t>Tirrinia</t>
        </is>
      </c>
      <c r="F658" t="inlineStr">
        <is>
          <t>Q2-Target,Brand Camp VD,Lunch Bag,Optimized,WFS,Lunch Bags,SEM,WFS Item,AMZ Bestsellers</t>
        </is>
      </c>
      <c r="G658" s="48" t="n">
        <v>0</v>
      </c>
      <c r="H658" s="49" t="n">
        <v>0</v>
      </c>
      <c r="I658" s="49" t="n">
        <v>2</v>
      </c>
      <c r="J658" s="50" t="n">
        <v>0</v>
      </c>
      <c r="K658" s="51" t="n">
        <v>0</v>
      </c>
      <c r="L658" s="52" t="n">
        <v>0</v>
      </c>
      <c r="M658" s="52" t="n">
        <v>0</v>
      </c>
      <c r="N658" s="52" t="n">
        <v>0</v>
      </c>
      <c r="O658" s="53" t="n">
        <v>0</v>
      </c>
      <c r="P658" s="52" t="n">
        <v>0</v>
      </c>
      <c r="Q658" s="53" t="n">
        <v>0</v>
      </c>
      <c r="R658" s="52" t="n">
        <v>0</v>
      </c>
      <c r="S658" s="51" t="n">
        <v>0</v>
      </c>
      <c r="T658" s="48" t="n">
        <v>15.99</v>
      </c>
      <c r="U658" s="49" t="n">
        <v>1</v>
      </c>
      <c r="V658" s="49" t="n">
        <v>5</v>
      </c>
      <c r="W658" s="50" t="n">
        <v>0.2</v>
      </c>
      <c r="X658" s="51" t="n">
        <v>0</v>
      </c>
      <c r="Y658" s="52" t="n">
        <v>0</v>
      </c>
      <c r="Z658" s="52" t="n">
        <v>0</v>
      </c>
      <c r="AA658" s="52" t="n">
        <v>0</v>
      </c>
      <c r="AB658" s="53" t="n">
        <v>0</v>
      </c>
      <c r="AC658" s="52" t="n">
        <v>0</v>
      </c>
      <c r="AD658" s="53" t="n">
        <v>0</v>
      </c>
      <c r="AE658" s="52" t="n">
        <v>15.99</v>
      </c>
      <c r="AF658" s="51" t="n">
        <v>0</v>
      </c>
      <c r="AG658" s="48" t="n">
        <v>0</v>
      </c>
      <c r="AH658" s="49" t="n">
        <v>0</v>
      </c>
      <c r="AI658" s="49" t="n">
        <v>1</v>
      </c>
      <c r="AJ658" s="50" t="n">
        <v>0</v>
      </c>
      <c r="AK658" s="51" t="n">
        <v>0</v>
      </c>
      <c r="AL658" s="52" t="n">
        <v>0</v>
      </c>
      <c r="AM658" s="52" t="n">
        <v>0</v>
      </c>
      <c r="AN658" s="52" t="n">
        <v>0</v>
      </c>
      <c r="AO658" s="53" t="n">
        <v>0</v>
      </c>
      <c r="AP658" s="52" t="n">
        <v>0</v>
      </c>
      <c r="AQ658" s="53" t="n">
        <v>0</v>
      </c>
      <c r="AR658" s="52" t="n">
        <v>0</v>
      </c>
      <c r="AS658" s="51" t="n">
        <v>0</v>
      </c>
      <c r="AT658" s="48" t="n">
        <v>0</v>
      </c>
      <c r="AU658" s="49" t="n">
        <v>0</v>
      </c>
      <c r="AV658" s="49" t="n">
        <v>2</v>
      </c>
      <c r="AW658" s="50" t="n">
        <v>0</v>
      </c>
      <c r="AX658" s="51" t="n">
        <v>0</v>
      </c>
      <c r="AY658" s="52" t="n">
        <v>0</v>
      </c>
      <c r="AZ658" s="52" t="n">
        <v>0</v>
      </c>
      <c r="BA658" s="52" t="n">
        <v>0</v>
      </c>
      <c r="BB658" s="53" t="n">
        <v>0</v>
      </c>
      <c r="BC658" s="52" t="n">
        <v>0</v>
      </c>
      <c r="BD658" s="53" t="n">
        <v>0</v>
      </c>
      <c r="BE658" s="52" t="n">
        <v>0</v>
      </c>
      <c r="BF658" s="51" t="n">
        <v>0</v>
      </c>
    </row>
    <row r="659">
      <c r="A659">
        <f>HYPERLINK("https://www.walmart.com/ip/474907580", "474907580")</f>
        <v/>
      </c>
      <c r="B659" t="inlineStr">
        <is>
          <t>Catalonia Oversized Hoodie Blanket with Zipper, Wearable Sherpa Sweatshirt Pullover, Soft Warm Comfortable Jacket for Adults Men Women, Grey</t>
        </is>
      </c>
      <c r="C659" t="inlineStr">
        <is>
          <t>1CTHD220GY</t>
        </is>
      </c>
      <c r="D659" t="inlineStr">
        <is>
          <t>Sweatshirts &amp; Hoodies</t>
        </is>
      </c>
      <c r="E659" t="inlineStr">
        <is>
          <t>Catalonia</t>
        </is>
      </c>
      <c r="F659" t="inlineStr">
        <is>
          <t>Hoodie ForAdult,WFS,Coupon_Discount,WFS Item</t>
        </is>
      </c>
      <c r="G659" s="48" t="n">
        <v>0</v>
      </c>
      <c r="H659" s="49" t="n">
        <v>0</v>
      </c>
      <c r="I659" s="49" t="n">
        <v>0</v>
      </c>
      <c r="J659" s="50" t="n">
        <v>0</v>
      </c>
      <c r="K659" s="51" t="n">
        <v>0</v>
      </c>
      <c r="L659" s="52" t="n">
        <v>0</v>
      </c>
      <c r="M659" s="52" t="n">
        <v>0</v>
      </c>
      <c r="N659" s="52" t="n">
        <v>0</v>
      </c>
      <c r="O659" s="53" t="n">
        <v>0</v>
      </c>
      <c r="P659" s="52" t="n">
        <v>0</v>
      </c>
      <c r="Q659" s="53" t="n">
        <v>0</v>
      </c>
      <c r="R659" s="52" t="n">
        <v>0</v>
      </c>
      <c r="S659" s="51" t="n">
        <v>0</v>
      </c>
      <c r="T659" s="48" t="n">
        <v>0</v>
      </c>
      <c r="U659" s="49" t="n">
        <v>0</v>
      </c>
      <c r="V659" s="49" t="n">
        <v>0</v>
      </c>
      <c r="W659" s="50" t="n">
        <v>0</v>
      </c>
      <c r="X659" s="51" t="n">
        <v>0</v>
      </c>
      <c r="Y659" s="52" t="n">
        <v>0</v>
      </c>
      <c r="Z659" s="52" t="n">
        <v>0</v>
      </c>
      <c r="AA659" s="52" t="n">
        <v>0</v>
      </c>
      <c r="AB659" s="53" t="n">
        <v>0</v>
      </c>
      <c r="AC659" s="52" t="n">
        <v>0</v>
      </c>
      <c r="AD659" s="53" t="n">
        <v>0</v>
      </c>
      <c r="AE659" s="52" t="n">
        <v>0</v>
      </c>
      <c r="AF659" s="51" t="n">
        <v>0</v>
      </c>
      <c r="AG659" s="48" t="n">
        <v>0</v>
      </c>
      <c r="AH659" s="49" t="n">
        <v>0</v>
      </c>
      <c r="AI659" s="49" t="n">
        <v>0</v>
      </c>
      <c r="AJ659" s="50" t="n">
        <v>0</v>
      </c>
      <c r="AK659" s="51" t="n">
        <v>0</v>
      </c>
      <c r="AL659" s="52" t="n">
        <v>0</v>
      </c>
      <c r="AM659" s="52" t="n">
        <v>0</v>
      </c>
      <c r="AN659" s="52" t="n">
        <v>0</v>
      </c>
      <c r="AO659" s="53" t="n">
        <v>0</v>
      </c>
      <c r="AP659" s="52" t="n">
        <v>0</v>
      </c>
      <c r="AQ659" s="53" t="n">
        <v>0</v>
      </c>
      <c r="AR659" s="52" t="n">
        <v>0</v>
      </c>
      <c r="AS659" s="51" t="n">
        <v>0</v>
      </c>
      <c r="AT659" s="48" t="n">
        <v>0</v>
      </c>
      <c r="AU659" s="49" t="n">
        <v>0</v>
      </c>
      <c r="AV659" s="49" t="n">
        <v>0</v>
      </c>
      <c r="AW659" s="50" t="n">
        <v>0</v>
      </c>
      <c r="AX659" s="51" t="n">
        <v>0</v>
      </c>
      <c r="AY659" s="52" t="n">
        <v>0</v>
      </c>
      <c r="AZ659" s="52" t="n">
        <v>0</v>
      </c>
      <c r="BA659" s="52" t="n">
        <v>0</v>
      </c>
      <c r="BB659" s="53" t="n">
        <v>0</v>
      </c>
      <c r="BC659" s="52" t="n">
        <v>0</v>
      </c>
      <c r="BD659" s="53" t="n">
        <v>0</v>
      </c>
      <c r="BE659" s="52" t="n">
        <v>0</v>
      </c>
      <c r="BF659" s="51" t="n">
        <v>0</v>
      </c>
    </row>
    <row r="660">
      <c r="A660">
        <f>HYPERLINK("https://www.walmart.com/ip/475563716", "475563716")</f>
        <v/>
      </c>
      <c r="B660" t="inlineStr">
        <is>
          <t>Tirrinia Comfy Wearable Fleece Blanket with Sleeves, Red Buffalo Plaid, 73" x 51"</t>
        </is>
      </c>
      <c r="C660" t="inlineStr">
        <is>
          <t>1TRSN100P2RD-TBCB</t>
        </is>
      </c>
      <c r="D660" t="inlineStr">
        <is>
          <t>Throws</t>
        </is>
      </c>
      <c r="E660" t="inlineStr">
        <is>
          <t>Tirrinia</t>
        </is>
      </c>
      <c r="F660" t="inlineStr">
        <is>
          <t>Optimized,Fleece Blankets</t>
        </is>
      </c>
      <c r="G660" s="48" t="n">
        <v>0</v>
      </c>
      <c r="H660" s="49" t="n">
        <v>0</v>
      </c>
      <c r="I660" s="49" t="n">
        <v>0</v>
      </c>
      <c r="J660" s="50" t="n">
        <v>0</v>
      </c>
      <c r="K660" s="51" t="n">
        <v>0</v>
      </c>
      <c r="L660" s="52" t="n">
        <v>0</v>
      </c>
      <c r="M660" s="52" t="n">
        <v>0</v>
      </c>
      <c r="N660" s="52" t="n">
        <v>0</v>
      </c>
      <c r="O660" s="53" t="n">
        <v>0</v>
      </c>
      <c r="P660" s="52" t="n">
        <v>0</v>
      </c>
      <c r="Q660" s="53" t="n">
        <v>0</v>
      </c>
      <c r="R660" s="52" t="n">
        <v>0</v>
      </c>
      <c r="S660" s="51" t="n">
        <v>0</v>
      </c>
      <c r="T660" s="48" t="n">
        <v>0</v>
      </c>
      <c r="U660" s="49" t="n">
        <v>0</v>
      </c>
      <c r="V660" s="49" t="n">
        <v>0</v>
      </c>
      <c r="W660" s="50" t="n">
        <v>0</v>
      </c>
      <c r="X660" s="51" t="n">
        <v>0</v>
      </c>
      <c r="Y660" s="52" t="n">
        <v>0</v>
      </c>
      <c r="Z660" s="52" t="n">
        <v>0</v>
      </c>
      <c r="AA660" s="52" t="n">
        <v>0</v>
      </c>
      <c r="AB660" s="53" t="n">
        <v>0</v>
      </c>
      <c r="AC660" s="52" t="n">
        <v>0</v>
      </c>
      <c r="AD660" s="53" t="n">
        <v>0</v>
      </c>
      <c r="AE660" s="52" t="n">
        <v>0</v>
      </c>
      <c r="AF660" s="51" t="n">
        <v>0</v>
      </c>
      <c r="AG660" s="48" t="n">
        <v>0</v>
      </c>
      <c r="AH660" s="49" t="n">
        <v>0</v>
      </c>
      <c r="AI660" s="49" t="n">
        <v>0</v>
      </c>
      <c r="AJ660" s="50" t="n">
        <v>0</v>
      </c>
      <c r="AK660" s="51" t="n">
        <v>0</v>
      </c>
      <c r="AL660" s="52" t="n">
        <v>0</v>
      </c>
      <c r="AM660" s="52" t="n">
        <v>0</v>
      </c>
      <c r="AN660" s="52" t="n">
        <v>0</v>
      </c>
      <c r="AO660" s="53" t="n">
        <v>0</v>
      </c>
      <c r="AP660" s="52" t="n">
        <v>0</v>
      </c>
      <c r="AQ660" s="53" t="n">
        <v>0</v>
      </c>
      <c r="AR660" s="52" t="n">
        <v>0</v>
      </c>
      <c r="AS660" s="51" t="n">
        <v>0</v>
      </c>
      <c r="AT660" s="48" t="n">
        <v>0</v>
      </c>
      <c r="AU660" s="49" t="n">
        <v>0</v>
      </c>
      <c r="AV660" s="49" t="n">
        <v>0</v>
      </c>
      <c r="AW660" s="50" t="n">
        <v>0</v>
      </c>
      <c r="AX660" s="51" t="n">
        <v>0</v>
      </c>
      <c r="AY660" s="52" t="n">
        <v>0</v>
      </c>
      <c r="AZ660" s="52" t="n">
        <v>0</v>
      </c>
      <c r="BA660" s="52" t="n">
        <v>0</v>
      </c>
      <c r="BB660" s="53" t="n">
        <v>0</v>
      </c>
      <c r="BC660" s="52" t="n">
        <v>0</v>
      </c>
      <c r="BD660" s="53" t="n">
        <v>0</v>
      </c>
      <c r="BE660" s="52" t="n">
        <v>0</v>
      </c>
      <c r="BF660" s="51" t="n">
        <v>0</v>
      </c>
    </row>
    <row r="661">
      <c r="A661">
        <f>HYPERLINK("https://www.walmart.com/ip/488675199", "488675199")</f>
        <v/>
      </c>
      <c r="B661" t="inlineStr">
        <is>
          <t>6 Bottle Wine Carrier - Insulated &amp; Padded Wine Carrying Cooler Tote Bag with Handle and Adjustable Shoulder Strap for Travel or Picnic, IDEAL Wine Lover Gift, Brown</t>
        </is>
      </c>
      <c r="C661" t="inlineStr">
        <is>
          <t>1TRWB620BR</t>
        </is>
      </c>
      <c r="D661" t="inlineStr">
        <is>
          <t>Wine Totes, Bags &amp; Backpacks</t>
        </is>
      </c>
      <c r="E661" t="inlineStr">
        <is>
          <t>Tirrinia</t>
        </is>
      </c>
      <c r="F661" t="inlineStr">
        <is>
          <t>Wine,Christmas,WFS,Wine WFS,Valentine,WFS Item,Lily Brand Camp</t>
        </is>
      </c>
      <c r="G661" s="48" t="n">
        <v>0</v>
      </c>
      <c r="H661" s="49" t="n">
        <v>0</v>
      </c>
      <c r="I661" s="49" t="n">
        <v>0</v>
      </c>
      <c r="J661" s="50" t="n">
        <v>0</v>
      </c>
      <c r="K661" s="51" t="n">
        <v>0</v>
      </c>
      <c r="L661" s="52" t="n">
        <v>0</v>
      </c>
      <c r="M661" s="52" t="n">
        <v>0</v>
      </c>
      <c r="N661" s="52" t="n">
        <v>0</v>
      </c>
      <c r="O661" s="53" t="n">
        <v>0</v>
      </c>
      <c r="P661" s="52" t="n">
        <v>0</v>
      </c>
      <c r="Q661" s="53" t="n">
        <v>0</v>
      </c>
      <c r="R661" s="52" t="n">
        <v>0</v>
      </c>
      <c r="S661" s="51" t="n">
        <v>0</v>
      </c>
      <c r="T661" s="48" t="n">
        <v>0</v>
      </c>
      <c r="U661" s="49" t="n">
        <v>0</v>
      </c>
      <c r="V661" s="49" t="n">
        <v>0</v>
      </c>
      <c r="W661" s="50" t="n">
        <v>0</v>
      </c>
      <c r="X661" s="51" t="n">
        <v>0</v>
      </c>
      <c r="Y661" s="52" t="n">
        <v>0</v>
      </c>
      <c r="Z661" s="52" t="n">
        <v>0</v>
      </c>
      <c r="AA661" s="52" t="n">
        <v>0</v>
      </c>
      <c r="AB661" s="53" t="n">
        <v>0</v>
      </c>
      <c r="AC661" s="52" t="n">
        <v>0</v>
      </c>
      <c r="AD661" s="53" t="n">
        <v>0</v>
      </c>
      <c r="AE661" s="52" t="n">
        <v>0</v>
      </c>
      <c r="AF661" s="51" t="n">
        <v>0</v>
      </c>
      <c r="AG661" s="48" t="n">
        <v>0</v>
      </c>
      <c r="AH661" s="49" t="n">
        <v>0</v>
      </c>
      <c r="AI661" s="49" t="n">
        <v>0</v>
      </c>
      <c r="AJ661" s="50" t="n">
        <v>0</v>
      </c>
      <c r="AK661" s="51" t="n">
        <v>0</v>
      </c>
      <c r="AL661" s="52" t="n">
        <v>0</v>
      </c>
      <c r="AM661" s="52" t="n">
        <v>0</v>
      </c>
      <c r="AN661" s="52" t="n">
        <v>0</v>
      </c>
      <c r="AO661" s="53" t="n">
        <v>0</v>
      </c>
      <c r="AP661" s="52" t="n">
        <v>0</v>
      </c>
      <c r="AQ661" s="53" t="n">
        <v>0</v>
      </c>
      <c r="AR661" s="52" t="n">
        <v>0</v>
      </c>
      <c r="AS661" s="51" t="n">
        <v>0</v>
      </c>
      <c r="AT661" s="48" t="n">
        <v>0</v>
      </c>
      <c r="AU661" s="49" t="n">
        <v>0</v>
      </c>
      <c r="AV661" s="49" t="n">
        <v>0</v>
      </c>
      <c r="AW661" s="50" t="n">
        <v>0</v>
      </c>
      <c r="AX661" s="51" t="n">
        <v>0</v>
      </c>
      <c r="AY661" s="52" t="n">
        <v>0</v>
      </c>
      <c r="AZ661" s="52" t="n">
        <v>0</v>
      </c>
      <c r="BA661" s="52" t="n">
        <v>0</v>
      </c>
      <c r="BB661" s="53" t="n">
        <v>0</v>
      </c>
      <c r="BC661" s="52" t="n">
        <v>0</v>
      </c>
      <c r="BD661" s="53" t="n">
        <v>0</v>
      </c>
      <c r="BE661" s="52" t="n">
        <v>0</v>
      </c>
      <c r="BF661" s="51" t="n">
        <v>0</v>
      </c>
    </row>
    <row r="662">
      <c r="A662">
        <f>HYPERLINK("https://www.walmart.com/ip/490918008", "490918008")</f>
        <v/>
      </c>
      <c r="B662" t="inlineStr">
        <is>
          <t>Tirrinia Unisex Surf Poncho Changing Towel Robe for Adult Surfer Swimmer Outdoor Beach</t>
        </is>
      </c>
      <c r="C662" t="inlineStr">
        <is>
          <t>1TRBR100-GL</t>
        </is>
      </c>
      <c r="D662" t="inlineStr">
        <is>
          <t>Towels &amp; Washcloths</t>
        </is>
      </c>
      <c r="E662" t="inlineStr">
        <is>
          <t>Tirrinia</t>
        </is>
      </c>
      <c r="F662" t="inlineStr">
        <is>
          <t>Batch 1 - TR</t>
        </is>
      </c>
      <c r="G662" s="48" t="n">
        <v>0</v>
      </c>
      <c r="H662" s="49" t="n">
        <v>0</v>
      </c>
      <c r="I662" s="49" t="n">
        <v>0</v>
      </c>
      <c r="J662" s="50" t="n">
        <v>0</v>
      </c>
      <c r="K662" s="51" t="n">
        <v>0</v>
      </c>
      <c r="L662" s="52" t="n">
        <v>0</v>
      </c>
      <c r="M662" s="52" t="n">
        <v>0</v>
      </c>
      <c r="N662" s="52" t="n">
        <v>0</v>
      </c>
      <c r="O662" s="53" t="n">
        <v>0</v>
      </c>
      <c r="P662" s="52" t="n">
        <v>0</v>
      </c>
      <c r="Q662" s="53" t="n">
        <v>0</v>
      </c>
      <c r="R662" s="52" t="n">
        <v>0</v>
      </c>
      <c r="S662" s="51" t="n">
        <v>0</v>
      </c>
      <c r="T662" s="48" t="n">
        <v>0</v>
      </c>
      <c r="U662" s="49" t="n">
        <v>0</v>
      </c>
      <c r="V662" s="49" t="n">
        <v>0</v>
      </c>
      <c r="W662" s="50" t="n">
        <v>0</v>
      </c>
      <c r="X662" s="51" t="n">
        <v>0</v>
      </c>
      <c r="Y662" s="52" t="n">
        <v>0</v>
      </c>
      <c r="Z662" s="52" t="n">
        <v>0</v>
      </c>
      <c r="AA662" s="52" t="n">
        <v>0</v>
      </c>
      <c r="AB662" s="53" t="n">
        <v>0</v>
      </c>
      <c r="AC662" s="52" t="n">
        <v>0</v>
      </c>
      <c r="AD662" s="53" t="n">
        <v>0</v>
      </c>
      <c r="AE662" s="52" t="n">
        <v>0</v>
      </c>
      <c r="AF662" s="51" t="n">
        <v>0</v>
      </c>
      <c r="AG662" s="48" t="n">
        <v>0</v>
      </c>
      <c r="AH662" s="49" t="n">
        <v>0</v>
      </c>
      <c r="AI662" s="49" t="n">
        <v>0</v>
      </c>
      <c r="AJ662" s="50" t="n">
        <v>0</v>
      </c>
      <c r="AK662" s="51" t="n">
        <v>0</v>
      </c>
      <c r="AL662" s="52" t="n">
        <v>0</v>
      </c>
      <c r="AM662" s="52" t="n">
        <v>0</v>
      </c>
      <c r="AN662" s="52" t="n">
        <v>0</v>
      </c>
      <c r="AO662" s="53" t="n">
        <v>0</v>
      </c>
      <c r="AP662" s="52" t="n">
        <v>0</v>
      </c>
      <c r="AQ662" s="53" t="n">
        <v>0</v>
      </c>
      <c r="AR662" s="52" t="n">
        <v>0</v>
      </c>
      <c r="AS662" s="51" t="n">
        <v>0</v>
      </c>
      <c r="AT662" s="48" t="n">
        <v>0</v>
      </c>
      <c r="AU662" s="49" t="n">
        <v>0</v>
      </c>
      <c r="AV662" s="49" t="n">
        <v>0</v>
      </c>
      <c r="AW662" s="50" t="n">
        <v>0</v>
      </c>
      <c r="AX662" s="51" t="n">
        <v>0</v>
      </c>
      <c r="AY662" s="52" t="n">
        <v>0</v>
      </c>
      <c r="AZ662" s="52" t="n">
        <v>0</v>
      </c>
      <c r="BA662" s="52" t="n">
        <v>0</v>
      </c>
      <c r="BB662" s="53" t="n">
        <v>0</v>
      </c>
      <c r="BC662" s="52" t="n">
        <v>0</v>
      </c>
      <c r="BD662" s="53" t="n">
        <v>0</v>
      </c>
      <c r="BE662" s="52" t="n">
        <v>0</v>
      </c>
      <c r="BF662" s="51" t="n">
        <v>0</v>
      </c>
    </row>
    <row r="663">
      <c r="A663">
        <f>HYPERLINK("https://www.walmart.com/ip/506641297", "506641297")</f>
        <v/>
      </c>
      <c r="B663" t="inlineStr">
        <is>
          <t>Solaris Winter Cable Knit Beanie Hats with Fur Pom Pom for Women Ski Cap</t>
        </is>
      </c>
      <c r="C663" t="inlineStr">
        <is>
          <t>1SLPPH02PK</t>
        </is>
      </c>
      <c r="D663" t="inlineStr">
        <is>
          <t>Hats</t>
        </is>
      </c>
      <c r="E663" t="inlineStr">
        <is>
          <t>Solaris</t>
        </is>
      </c>
      <c r="F663" t="inlineStr">
        <is>
          <t>Batch 1 - TR</t>
        </is>
      </c>
      <c r="G663" s="48" t="n">
        <v>0</v>
      </c>
      <c r="H663" s="49" t="n">
        <v>0</v>
      </c>
      <c r="I663" s="49" t="n">
        <v>0</v>
      </c>
      <c r="J663" s="50" t="n">
        <v>0</v>
      </c>
      <c r="K663" s="51" t="n">
        <v>0</v>
      </c>
      <c r="L663" s="52" t="n">
        <v>0</v>
      </c>
      <c r="M663" s="52" t="n">
        <v>0</v>
      </c>
      <c r="N663" s="52" t="n">
        <v>0</v>
      </c>
      <c r="O663" s="53" t="n">
        <v>0</v>
      </c>
      <c r="P663" s="52" t="n">
        <v>0</v>
      </c>
      <c r="Q663" s="53" t="n">
        <v>0</v>
      </c>
      <c r="R663" s="52" t="n">
        <v>0</v>
      </c>
      <c r="S663" s="51" t="n">
        <v>0</v>
      </c>
      <c r="T663" s="48" t="n">
        <v>0</v>
      </c>
      <c r="U663" s="49" t="n">
        <v>0</v>
      </c>
      <c r="V663" s="49" t="n">
        <v>0</v>
      </c>
      <c r="W663" s="50" t="n">
        <v>0</v>
      </c>
      <c r="X663" s="51" t="n">
        <v>0</v>
      </c>
      <c r="Y663" s="52" t="n">
        <v>0</v>
      </c>
      <c r="Z663" s="52" t="n">
        <v>0</v>
      </c>
      <c r="AA663" s="52" t="n">
        <v>0</v>
      </c>
      <c r="AB663" s="53" t="n">
        <v>0</v>
      </c>
      <c r="AC663" s="52" t="n">
        <v>0</v>
      </c>
      <c r="AD663" s="53" t="n">
        <v>0</v>
      </c>
      <c r="AE663" s="52" t="n">
        <v>0</v>
      </c>
      <c r="AF663" s="51" t="n">
        <v>0</v>
      </c>
      <c r="AG663" s="48" t="n">
        <v>0</v>
      </c>
      <c r="AH663" s="49" t="n">
        <v>0</v>
      </c>
      <c r="AI663" s="49" t="n">
        <v>0</v>
      </c>
      <c r="AJ663" s="50" t="n">
        <v>0</v>
      </c>
      <c r="AK663" s="51" t="n">
        <v>0</v>
      </c>
      <c r="AL663" s="52" t="n">
        <v>0</v>
      </c>
      <c r="AM663" s="52" t="n">
        <v>0</v>
      </c>
      <c r="AN663" s="52" t="n">
        <v>0</v>
      </c>
      <c r="AO663" s="53" t="n">
        <v>0</v>
      </c>
      <c r="AP663" s="52" t="n">
        <v>0</v>
      </c>
      <c r="AQ663" s="53" t="n">
        <v>0</v>
      </c>
      <c r="AR663" s="52" t="n">
        <v>0</v>
      </c>
      <c r="AS663" s="51" t="n">
        <v>0</v>
      </c>
      <c r="AT663" s="48" t="n">
        <v>0</v>
      </c>
      <c r="AU663" s="49" t="n">
        <v>0</v>
      </c>
      <c r="AV663" s="49" t="n">
        <v>0</v>
      </c>
      <c r="AW663" s="50" t="n">
        <v>0</v>
      </c>
      <c r="AX663" s="51" t="n">
        <v>0</v>
      </c>
      <c r="AY663" s="52" t="n">
        <v>0</v>
      </c>
      <c r="AZ663" s="52" t="n">
        <v>0</v>
      </c>
      <c r="BA663" s="52" t="n">
        <v>0</v>
      </c>
      <c r="BB663" s="53" t="n">
        <v>0</v>
      </c>
      <c r="BC663" s="52" t="n">
        <v>0</v>
      </c>
      <c r="BD663" s="53" t="n">
        <v>0</v>
      </c>
      <c r="BE663" s="52" t="n">
        <v>0</v>
      </c>
      <c r="BF663" s="51" t="n">
        <v>0</v>
      </c>
    </row>
    <row r="664">
      <c r="A664">
        <f>HYPERLINK("https://www.walmart.com/ip/491652277", "491652277")</f>
        <v/>
      </c>
      <c r="B664" t="inlineStr">
        <is>
          <t>Tirrinia Reversible Fleece Sherpa Blanket For Bed Or Couch, Camel, 60" x 80"</t>
        </is>
      </c>
      <c r="C664" t="inlineStr">
        <is>
          <t>1TRBF368CA-TBCB</t>
        </is>
      </c>
      <c r="D664" t="inlineStr">
        <is>
          <t>Throws</t>
        </is>
      </c>
      <c r="E664" t="inlineStr">
        <is>
          <t>Tirrinia</t>
        </is>
      </c>
      <c r="F664" t="inlineStr">
        <is>
          <t>Optimized</t>
        </is>
      </c>
      <c r="G664" s="48" t="n">
        <v>0</v>
      </c>
      <c r="H664" s="49" t="n">
        <v>0</v>
      </c>
      <c r="I664" s="49" t="n">
        <v>0</v>
      </c>
      <c r="J664" s="50" t="n">
        <v>0</v>
      </c>
      <c r="K664" s="51" t="n">
        <v>0</v>
      </c>
      <c r="L664" s="52" t="n">
        <v>0</v>
      </c>
      <c r="M664" s="52" t="n">
        <v>0</v>
      </c>
      <c r="N664" s="52" t="n">
        <v>0</v>
      </c>
      <c r="O664" s="53" t="n">
        <v>0</v>
      </c>
      <c r="P664" s="52" t="n">
        <v>0</v>
      </c>
      <c r="Q664" s="53" t="n">
        <v>0</v>
      </c>
      <c r="R664" s="52" t="n">
        <v>0</v>
      </c>
      <c r="S664" s="51" t="n">
        <v>0</v>
      </c>
      <c r="T664" s="48" t="n">
        <v>0</v>
      </c>
      <c r="U664" s="49" t="n">
        <v>0</v>
      </c>
      <c r="V664" s="49" t="n">
        <v>0</v>
      </c>
      <c r="W664" s="50" t="n">
        <v>0</v>
      </c>
      <c r="X664" s="51" t="n">
        <v>0</v>
      </c>
      <c r="Y664" s="52" t="n">
        <v>0</v>
      </c>
      <c r="Z664" s="52" t="n">
        <v>0</v>
      </c>
      <c r="AA664" s="52" t="n">
        <v>0</v>
      </c>
      <c r="AB664" s="53" t="n">
        <v>0</v>
      </c>
      <c r="AC664" s="52" t="n">
        <v>0</v>
      </c>
      <c r="AD664" s="53" t="n">
        <v>0</v>
      </c>
      <c r="AE664" s="52" t="n">
        <v>0</v>
      </c>
      <c r="AF664" s="51" t="n">
        <v>0</v>
      </c>
      <c r="AG664" s="48" t="n">
        <v>0</v>
      </c>
      <c r="AH664" s="49" t="n">
        <v>0</v>
      </c>
      <c r="AI664" s="49" t="n">
        <v>0</v>
      </c>
      <c r="AJ664" s="50" t="n">
        <v>0</v>
      </c>
      <c r="AK664" s="51" t="n">
        <v>0</v>
      </c>
      <c r="AL664" s="52" t="n">
        <v>0</v>
      </c>
      <c r="AM664" s="52" t="n">
        <v>0</v>
      </c>
      <c r="AN664" s="52" t="n">
        <v>0</v>
      </c>
      <c r="AO664" s="53" t="n">
        <v>0</v>
      </c>
      <c r="AP664" s="52" t="n">
        <v>0</v>
      </c>
      <c r="AQ664" s="53" t="n">
        <v>0</v>
      </c>
      <c r="AR664" s="52" t="n">
        <v>0</v>
      </c>
      <c r="AS664" s="51" t="n">
        <v>0</v>
      </c>
      <c r="AT664" s="48" t="n">
        <v>0</v>
      </c>
      <c r="AU664" s="49" t="n">
        <v>0</v>
      </c>
      <c r="AV664" s="49" t="n">
        <v>0</v>
      </c>
      <c r="AW664" s="50" t="n">
        <v>0</v>
      </c>
      <c r="AX664" s="51" t="n">
        <v>0</v>
      </c>
      <c r="AY664" s="52" t="n">
        <v>0</v>
      </c>
      <c r="AZ664" s="52" t="n">
        <v>0</v>
      </c>
      <c r="BA664" s="52" t="n">
        <v>0</v>
      </c>
      <c r="BB664" s="53" t="n">
        <v>0</v>
      </c>
      <c r="BC664" s="52" t="n">
        <v>0</v>
      </c>
      <c r="BD664" s="53" t="n">
        <v>0</v>
      </c>
      <c r="BE664" s="52" t="n">
        <v>0</v>
      </c>
      <c r="BF664" s="51" t="n">
        <v>0</v>
      </c>
    </row>
    <row r="665">
      <c r="A665">
        <f>HYPERLINK("https://www.walmart.com/ip/5027367827", "5027367827")</f>
        <v/>
      </c>
      <c r="B665" t="inlineStr">
        <is>
          <t>Tirrinia Extra Large Waterproof Picnic Blanket Lightweight Portable Camping Mat for Family Travel, Park, Grass, Hiking, Outdoor, Stadium, Concerts, Blue and White Checkered, 60' 'X 80''.</t>
        </is>
      </c>
      <c r="C665" t="inlineStr">
        <is>
          <t>1TRBW608S1PBL</t>
        </is>
      </c>
      <c r="D665" t="inlineStr">
        <is>
          <t>Picnic Blankets &amp; Mats</t>
        </is>
      </c>
      <c r="E665" t="inlineStr">
        <is>
          <t>Tirrinia</t>
        </is>
      </c>
      <c r="F665" t="inlineStr">
        <is>
          <t>Q2-Target</t>
        </is>
      </c>
      <c r="G665" s="48" t="n">
        <v>0</v>
      </c>
      <c r="H665" s="49" t="n">
        <v>0</v>
      </c>
      <c r="I665" s="49" t="n">
        <v>0</v>
      </c>
      <c r="J665" s="50" t="n">
        <v>0</v>
      </c>
      <c r="K665" s="51" t="n">
        <v>0</v>
      </c>
      <c r="L665" s="52" t="n">
        <v>0</v>
      </c>
      <c r="M665" s="52" t="n">
        <v>0</v>
      </c>
      <c r="N665" s="52" t="n">
        <v>0</v>
      </c>
      <c r="O665" s="53" t="n">
        <v>0</v>
      </c>
      <c r="P665" s="52" t="n">
        <v>0</v>
      </c>
      <c r="Q665" s="53" t="n">
        <v>0</v>
      </c>
      <c r="R665" s="52" t="n">
        <v>0</v>
      </c>
      <c r="S665" s="51" t="n">
        <v>0</v>
      </c>
      <c r="T665" s="48" t="n">
        <v>0</v>
      </c>
      <c r="U665" s="49" t="n">
        <v>0</v>
      </c>
      <c r="V665" s="49" t="n">
        <v>0</v>
      </c>
      <c r="W665" s="50" t="n">
        <v>0</v>
      </c>
      <c r="X665" s="51" t="n">
        <v>0</v>
      </c>
      <c r="Y665" s="52" t="n">
        <v>0</v>
      </c>
      <c r="Z665" s="52" t="n">
        <v>0</v>
      </c>
      <c r="AA665" s="52" t="n">
        <v>0</v>
      </c>
      <c r="AB665" s="53" t="n">
        <v>0</v>
      </c>
      <c r="AC665" s="52" t="n">
        <v>0</v>
      </c>
      <c r="AD665" s="53" t="n">
        <v>0</v>
      </c>
      <c r="AE665" s="52" t="n">
        <v>0</v>
      </c>
      <c r="AF665" s="51" t="n">
        <v>0</v>
      </c>
      <c r="AG665" s="48" t="n">
        <v>0</v>
      </c>
      <c r="AH665" s="49" t="n">
        <v>0</v>
      </c>
      <c r="AI665" s="49" t="n">
        <v>0</v>
      </c>
      <c r="AJ665" s="50" t="n">
        <v>0</v>
      </c>
      <c r="AK665" s="51" t="n">
        <v>0</v>
      </c>
      <c r="AL665" s="52" t="n">
        <v>0</v>
      </c>
      <c r="AM665" s="52" t="n">
        <v>0</v>
      </c>
      <c r="AN665" s="52" t="n">
        <v>0</v>
      </c>
      <c r="AO665" s="53" t="n">
        <v>0</v>
      </c>
      <c r="AP665" s="52" t="n">
        <v>0</v>
      </c>
      <c r="AQ665" s="53" t="n">
        <v>0</v>
      </c>
      <c r="AR665" s="52" t="n">
        <v>0</v>
      </c>
      <c r="AS665" s="51" t="n">
        <v>0</v>
      </c>
      <c r="AT665" s="48" t="n">
        <v>0</v>
      </c>
      <c r="AU665" s="49" t="n">
        <v>0</v>
      </c>
      <c r="AV665" s="49" t="n">
        <v>2</v>
      </c>
      <c r="AW665" s="50" t="n">
        <v>0</v>
      </c>
      <c r="AX665" s="51" t="n">
        <v>1</v>
      </c>
      <c r="AY665" s="52" t="n">
        <v>0.31</v>
      </c>
      <c r="AZ665" s="52" t="n">
        <v>0</v>
      </c>
      <c r="BA665" s="52" t="n">
        <v>0</v>
      </c>
      <c r="BB665" s="53" t="n">
        <v>0.0016</v>
      </c>
      <c r="BC665" s="52" t="n">
        <v>0.31</v>
      </c>
      <c r="BD665" s="53" t="n">
        <v>0</v>
      </c>
      <c r="BE665" s="52" t="n">
        <v>0</v>
      </c>
      <c r="BF665" s="51" t="n">
        <v>623</v>
      </c>
    </row>
    <row r="666">
      <c r="A666">
        <f>HYPERLINK("https://www.walmart.com/ip/5027864180", "5027864180")</f>
        <v/>
      </c>
      <c r="B666" t="inlineStr">
        <is>
          <t>Tirrinia Extra Large Waterproof Fleece Blanket, Lightweight and Portable Camping Mat for Family Travel, Park, Grass, Hiking, Outdoor, Stadium, and Concerts, Red and White Checkered, 60'' x 80''</t>
        </is>
      </c>
      <c r="C666" t="inlineStr">
        <is>
          <t>1TRBW608S1PRD</t>
        </is>
      </c>
      <c r="D666" t="inlineStr">
        <is>
          <t>Throws</t>
        </is>
      </c>
      <c r="E666" t="inlineStr">
        <is>
          <t>Tirrinia</t>
        </is>
      </c>
      <c r="G666" s="48" t="n">
        <v>0</v>
      </c>
      <c r="H666" s="49" t="n">
        <v>0</v>
      </c>
      <c r="I666" s="49" t="n">
        <v>0</v>
      </c>
      <c r="J666" s="50" t="n">
        <v>0</v>
      </c>
      <c r="K666" s="51" t="n">
        <v>0</v>
      </c>
      <c r="L666" s="52" t="n">
        <v>0</v>
      </c>
      <c r="M666" s="52" t="n">
        <v>0</v>
      </c>
      <c r="N666" s="52" t="n">
        <v>0</v>
      </c>
      <c r="O666" s="53" t="n">
        <v>0</v>
      </c>
      <c r="P666" s="52" t="n">
        <v>0</v>
      </c>
      <c r="Q666" s="53" t="n">
        <v>0</v>
      </c>
      <c r="R666" s="52" t="n">
        <v>0</v>
      </c>
      <c r="S666" s="51" t="n">
        <v>2</v>
      </c>
      <c r="T666" s="48" t="n">
        <v>0</v>
      </c>
      <c r="U666" s="49" t="n">
        <v>0</v>
      </c>
      <c r="V666" s="49" t="n">
        <v>0</v>
      </c>
      <c r="W666" s="50" t="n">
        <v>0</v>
      </c>
      <c r="X666" s="51" t="n">
        <v>0</v>
      </c>
      <c r="Y666" s="52" t="n">
        <v>0</v>
      </c>
      <c r="Z666" s="52" t="n">
        <v>0</v>
      </c>
      <c r="AA666" s="52" t="n">
        <v>0</v>
      </c>
      <c r="AB666" s="53" t="n">
        <v>0</v>
      </c>
      <c r="AC666" s="52" t="n">
        <v>0</v>
      </c>
      <c r="AD666" s="53" t="n">
        <v>0</v>
      </c>
      <c r="AE666" s="52" t="n">
        <v>0</v>
      </c>
      <c r="AF666" s="51" t="n">
        <v>0</v>
      </c>
      <c r="AG666" s="48" t="n">
        <v>25.99</v>
      </c>
      <c r="AH666" s="49" t="n">
        <v>1</v>
      </c>
      <c r="AI666" s="49" t="n">
        <v>0</v>
      </c>
      <c r="AJ666" s="50" t="n">
        <v>0</v>
      </c>
      <c r="AK666" s="51" t="n">
        <v>0</v>
      </c>
      <c r="AL666" s="52" t="n">
        <v>0</v>
      </c>
      <c r="AM666" s="52" t="n">
        <v>0</v>
      </c>
      <c r="AN666" s="52" t="n">
        <v>0</v>
      </c>
      <c r="AO666" s="53" t="n">
        <v>0</v>
      </c>
      <c r="AP666" s="52" t="n">
        <v>0</v>
      </c>
      <c r="AQ666" s="53" t="n">
        <v>0</v>
      </c>
      <c r="AR666" s="52" t="n">
        <v>25.99</v>
      </c>
      <c r="AS666" s="51" t="n">
        <v>0</v>
      </c>
      <c r="AT666" s="48" t="n">
        <v>0</v>
      </c>
      <c r="AU666" s="49" t="n">
        <v>0</v>
      </c>
      <c r="AV666" s="49" t="n">
        <v>0</v>
      </c>
      <c r="AW666" s="50" t="n">
        <v>0</v>
      </c>
      <c r="AX666" s="51" t="n">
        <v>1</v>
      </c>
      <c r="AY666" s="52" t="n">
        <v>0.22</v>
      </c>
      <c r="AZ666" s="52" t="n">
        <v>0</v>
      </c>
      <c r="BA666" s="52" t="n">
        <v>0</v>
      </c>
      <c r="BB666" s="53" t="n">
        <v>0.0056</v>
      </c>
      <c r="BC666" s="52" t="n">
        <v>0.22</v>
      </c>
      <c r="BD666" s="53" t="n">
        <v>0</v>
      </c>
      <c r="BE666" s="52" t="n">
        <v>0</v>
      </c>
      <c r="BF666" s="51" t="n">
        <v>177</v>
      </c>
    </row>
    <row r="667">
      <c r="A667">
        <f>HYPERLINK("https://www.walmart.com/ip/503072476", "503072476")</f>
        <v/>
      </c>
      <c r="B667" t="inlineStr">
        <is>
          <t>Tirrinia Insulated Wine Carrier Tote - Travel Padded 2 Bottle Wine/ Champagne Cooler Bag with Handle and Adjustable Shoulder Strap, Great Wine Lover Gift, Blue</t>
        </is>
      </c>
      <c r="C667" t="inlineStr">
        <is>
          <t>1TRWB211BL</t>
        </is>
      </c>
      <c r="D667" t="inlineStr">
        <is>
          <t>Wine Totes, Bags &amp; Backpacks</t>
        </is>
      </c>
      <c r="E667" t="inlineStr">
        <is>
          <t>Tirrinia</t>
        </is>
      </c>
      <c r="F667" t="inlineStr">
        <is>
          <t>Wine,Wine Bag Camp,Christmas,WFS,Wine WFS,Valentine,SEM,WFS Item,Lily Brand Camp</t>
        </is>
      </c>
      <c r="G667" s="48" t="n">
        <v>0</v>
      </c>
      <c r="H667" s="49" t="n">
        <v>0</v>
      </c>
      <c r="I667" s="49" t="n">
        <v>0</v>
      </c>
      <c r="J667" s="50" t="n">
        <v>0</v>
      </c>
      <c r="K667" s="51" t="n">
        <v>0</v>
      </c>
      <c r="L667" s="52" t="n">
        <v>0</v>
      </c>
      <c r="M667" s="52" t="n">
        <v>0</v>
      </c>
      <c r="N667" s="52" t="n">
        <v>0</v>
      </c>
      <c r="O667" s="53" t="n">
        <v>0</v>
      </c>
      <c r="P667" s="52" t="n">
        <v>0</v>
      </c>
      <c r="Q667" s="53" t="n">
        <v>0</v>
      </c>
      <c r="R667" s="52" t="n">
        <v>0</v>
      </c>
      <c r="S667" s="51" t="n">
        <v>3</v>
      </c>
      <c r="T667" s="48" t="n">
        <v>0</v>
      </c>
      <c r="U667" s="49" t="n">
        <v>0</v>
      </c>
      <c r="V667" s="49" t="n">
        <v>0</v>
      </c>
      <c r="W667" s="50" t="n">
        <v>0</v>
      </c>
      <c r="X667" s="51" t="n">
        <v>0</v>
      </c>
      <c r="Y667" s="52" t="n">
        <v>0</v>
      </c>
      <c r="Z667" s="52" t="n">
        <v>0</v>
      </c>
      <c r="AA667" s="52" t="n">
        <v>0</v>
      </c>
      <c r="AB667" s="53" t="n">
        <v>0</v>
      </c>
      <c r="AC667" s="52" t="n">
        <v>0</v>
      </c>
      <c r="AD667" s="53" t="n">
        <v>0</v>
      </c>
      <c r="AE667" s="52" t="n">
        <v>0</v>
      </c>
      <c r="AF667" s="51" t="n">
        <v>0</v>
      </c>
      <c r="AG667" s="48" t="n">
        <v>0</v>
      </c>
      <c r="AH667" s="49" t="n">
        <v>0</v>
      </c>
      <c r="AI667" s="49" t="n">
        <v>0</v>
      </c>
      <c r="AJ667" s="50" t="n">
        <v>0</v>
      </c>
      <c r="AK667" s="51" t="n">
        <v>0</v>
      </c>
      <c r="AL667" s="52" t="n">
        <v>0</v>
      </c>
      <c r="AM667" s="52" t="n">
        <v>0</v>
      </c>
      <c r="AN667" s="52" t="n">
        <v>0</v>
      </c>
      <c r="AO667" s="53" t="n">
        <v>0</v>
      </c>
      <c r="AP667" s="52" t="n">
        <v>0</v>
      </c>
      <c r="AQ667" s="53" t="n">
        <v>0</v>
      </c>
      <c r="AR667" s="52" t="n">
        <v>0</v>
      </c>
      <c r="AS667" s="51" t="n">
        <v>0</v>
      </c>
      <c r="AT667" s="48" t="n">
        <v>0</v>
      </c>
      <c r="AU667" s="49" t="n">
        <v>0</v>
      </c>
      <c r="AV667" s="49" t="n">
        <v>0</v>
      </c>
      <c r="AW667" s="50" t="n">
        <v>0</v>
      </c>
      <c r="AX667" s="51" t="n">
        <v>0</v>
      </c>
      <c r="AY667" s="52" t="n">
        <v>0</v>
      </c>
      <c r="AZ667" s="52" t="n">
        <v>0</v>
      </c>
      <c r="BA667" s="52" t="n">
        <v>0</v>
      </c>
      <c r="BB667" s="53" t="n">
        <v>0</v>
      </c>
      <c r="BC667" s="52" t="n">
        <v>0</v>
      </c>
      <c r="BD667" s="53" t="n">
        <v>0</v>
      </c>
      <c r="BE667" s="52" t="n">
        <v>0</v>
      </c>
      <c r="BF667" s="51" t="n">
        <v>0</v>
      </c>
    </row>
    <row r="668">
      <c r="A668">
        <f>HYPERLINK("https://www.walmart.com/ip/503352427", "503352427")</f>
        <v/>
      </c>
      <c r="B668" t="inlineStr">
        <is>
          <t>JenniWears Women Crotchless Lace Panty Plus Size Thong Open Crotch Black 3XL</t>
        </is>
      </c>
      <c r="C668" t="inlineStr">
        <is>
          <t>JWPT04BK-3XL</t>
        </is>
      </c>
      <c r="D668" t="inlineStr">
        <is>
          <t>Panties</t>
        </is>
      </c>
      <c r="E668" t="inlineStr">
        <is>
          <t>JenniWears</t>
        </is>
      </c>
      <c r="F668" t="inlineStr">
        <is>
          <t>WFS,Valentine,WFS Item</t>
        </is>
      </c>
      <c r="G668" s="48" t="n">
        <v>0</v>
      </c>
      <c r="H668" s="49" t="n">
        <v>0</v>
      </c>
      <c r="I668" s="49" t="n">
        <v>0</v>
      </c>
      <c r="J668" s="50" t="n">
        <v>0</v>
      </c>
      <c r="K668" s="51" t="n">
        <v>0</v>
      </c>
      <c r="L668" s="52" t="n">
        <v>0</v>
      </c>
      <c r="M668" s="52" t="n">
        <v>0</v>
      </c>
      <c r="N668" s="52" t="n">
        <v>0</v>
      </c>
      <c r="O668" s="53" t="n">
        <v>0</v>
      </c>
      <c r="P668" s="52" t="n">
        <v>0</v>
      </c>
      <c r="Q668" s="53" t="n">
        <v>0</v>
      </c>
      <c r="R668" s="52" t="n">
        <v>0</v>
      </c>
      <c r="S668" s="51" t="n">
        <v>0</v>
      </c>
      <c r="T668" s="48" t="n">
        <v>0</v>
      </c>
      <c r="U668" s="49" t="n">
        <v>0</v>
      </c>
      <c r="V668" s="49" t="n">
        <v>0</v>
      </c>
      <c r="W668" s="50" t="n">
        <v>0</v>
      </c>
      <c r="X668" s="51" t="n">
        <v>0</v>
      </c>
      <c r="Y668" s="52" t="n">
        <v>0</v>
      </c>
      <c r="Z668" s="52" t="n">
        <v>0</v>
      </c>
      <c r="AA668" s="52" t="n">
        <v>0</v>
      </c>
      <c r="AB668" s="53" t="n">
        <v>0</v>
      </c>
      <c r="AC668" s="52" t="n">
        <v>0</v>
      </c>
      <c r="AD668" s="53" t="n">
        <v>0</v>
      </c>
      <c r="AE668" s="52" t="n">
        <v>0</v>
      </c>
      <c r="AF668" s="51" t="n">
        <v>0</v>
      </c>
      <c r="AG668" s="48" t="n">
        <v>0</v>
      </c>
      <c r="AH668" s="49" t="n">
        <v>0</v>
      </c>
      <c r="AI668" s="49" t="n">
        <v>0</v>
      </c>
      <c r="AJ668" s="50" t="n">
        <v>0</v>
      </c>
      <c r="AK668" s="51" t="n">
        <v>0</v>
      </c>
      <c r="AL668" s="52" t="n">
        <v>0</v>
      </c>
      <c r="AM668" s="52" t="n">
        <v>0</v>
      </c>
      <c r="AN668" s="52" t="n">
        <v>0</v>
      </c>
      <c r="AO668" s="53" t="n">
        <v>0</v>
      </c>
      <c r="AP668" s="52" t="n">
        <v>0</v>
      </c>
      <c r="AQ668" s="53" t="n">
        <v>0</v>
      </c>
      <c r="AR668" s="52" t="n">
        <v>0</v>
      </c>
      <c r="AS668" s="51" t="n">
        <v>0</v>
      </c>
      <c r="AT668" s="48" t="n">
        <v>0</v>
      </c>
      <c r="AU668" s="49" t="n">
        <v>0</v>
      </c>
      <c r="AV668" s="49" t="n">
        <v>0</v>
      </c>
      <c r="AW668" s="50" t="n">
        <v>0</v>
      </c>
      <c r="AX668" s="51" t="n">
        <v>0</v>
      </c>
      <c r="AY668" s="52" t="n">
        <v>0</v>
      </c>
      <c r="AZ668" s="52" t="n">
        <v>0</v>
      </c>
      <c r="BA668" s="52" t="n">
        <v>0</v>
      </c>
      <c r="BB668" s="53" t="n">
        <v>0</v>
      </c>
      <c r="BC668" s="52" t="n">
        <v>0</v>
      </c>
      <c r="BD668" s="53" t="n">
        <v>0</v>
      </c>
      <c r="BE668" s="52" t="n">
        <v>0</v>
      </c>
      <c r="BF668" s="51" t="n">
        <v>0</v>
      </c>
    </row>
    <row r="669">
      <c r="A669">
        <f>HYPERLINK("https://www.walmart.com/ip/504289643", "504289643")</f>
        <v/>
      </c>
      <c r="B669" t="inlineStr">
        <is>
          <t>Wine Bottle Opener Set - 5 Pcs Wine Corkscrew Screwpull Accessories Kit with Drink Stickers by Kato, Perfect Wedding Gifts for Wine Lover u0026 Drinker, Red &amp; Black</t>
        </is>
      </c>
      <c r="C669" t="inlineStr">
        <is>
          <t>1KTWO501RDBK</t>
        </is>
      </c>
      <c r="D669" t="inlineStr">
        <is>
          <t>Corkscrews &amp; Wine Bottle Openers</t>
        </is>
      </c>
      <c r="E669" t="inlineStr">
        <is>
          <t>Kato</t>
        </is>
      </c>
      <c r="F669" t="inlineStr">
        <is>
          <t>Wine,Christmas,WFS,Wine WFS,Valentine,WFS Item</t>
        </is>
      </c>
      <c r="G669" s="48" t="n">
        <v>0</v>
      </c>
      <c r="H669" s="49" t="n">
        <v>0</v>
      </c>
      <c r="I669" s="49" t="n">
        <v>0</v>
      </c>
      <c r="J669" s="50" t="n">
        <v>0</v>
      </c>
      <c r="K669" s="51" t="n">
        <v>0</v>
      </c>
      <c r="L669" s="52" t="n">
        <v>0</v>
      </c>
      <c r="M669" s="52" t="n">
        <v>0</v>
      </c>
      <c r="N669" s="52" t="n">
        <v>0</v>
      </c>
      <c r="O669" s="53" t="n">
        <v>0</v>
      </c>
      <c r="P669" s="52" t="n">
        <v>0</v>
      </c>
      <c r="Q669" s="53" t="n">
        <v>0</v>
      </c>
      <c r="R669" s="52" t="n">
        <v>0</v>
      </c>
      <c r="S669" s="51" t="n">
        <v>0</v>
      </c>
      <c r="T669" s="48" t="n">
        <v>0</v>
      </c>
      <c r="U669" s="49" t="n">
        <v>0</v>
      </c>
      <c r="V669" s="49" t="n">
        <v>0</v>
      </c>
      <c r="W669" s="50" t="n">
        <v>0</v>
      </c>
      <c r="X669" s="51" t="n">
        <v>0</v>
      </c>
      <c r="Y669" s="52" t="n">
        <v>0</v>
      </c>
      <c r="Z669" s="52" t="n">
        <v>0</v>
      </c>
      <c r="AA669" s="52" t="n">
        <v>0</v>
      </c>
      <c r="AB669" s="53" t="n">
        <v>0</v>
      </c>
      <c r="AC669" s="52" t="n">
        <v>0</v>
      </c>
      <c r="AD669" s="53" t="n">
        <v>0</v>
      </c>
      <c r="AE669" s="52" t="n">
        <v>0</v>
      </c>
      <c r="AF669" s="51" t="n">
        <v>0</v>
      </c>
      <c r="AG669" s="48" t="n">
        <v>0</v>
      </c>
      <c r="AH669" s="49" t="n">
        <v>0</v>
      </c>
      <c r="AI669" s="49" t="n">
        <v>0</v>
      </c>
      <c r="AJ669" s="50" t="n">
        <v>0</v>
      </c>
      <c r="AK669" s="51" t="n">
        <v>0</v>
      </c>
      <c r="AL669" s="52" t="n">
        <v>0</v>
      </c>
      <c r="AM669" s="52" t="n">
        <v>0</v>
      </c>
      <c r="AN669" s="52" t="n">
        <v>0</v>
      </c>
      <c r="AO669" s="53" t="n">
        <v>0</v>
      </c>
      <c r="AP669" s="52" t="n">
        <v>0</v>
      </c>
      <c r="AQ669" s="53" t="n">
        <v>0</v>
      </c>
      <c r="AR669" s="52" t="n">
        <v>0</v>
      </c>
      <c r="AS669" s="51" t="n">
        <v>0</v>
      </c>
      <c r="AT669" s="48" t="n">
        <v>0</v>
      </c>
      <c r="AU669" s="49" t="n">
        <v>0</v>
      </c>
      <c r="AV669" s="49" t="n">
        <v>0</v>
      </c>
      <c r="AW669" s="50" t="n">
        <v>0</v>
      </c>
      <c r="AX669" s="51" t="n">
        <v>0</v>
      </c>
      <c r="AY669" s="52" t="n">
        <v>0</v>
      </c>
      <c r="AZ669" s="52" t="n">
        <v>0</v>
      </c>
      <c r="BA669" s="52" t="n">
        <v>0</v>
      </c>
      <c r="BB669" s="53" t="n">
        <v>0</v>
      </c>
      <c r="BC669" s="52" t="n">
        <v>0</v>
      </c>
      <c r="BD669" s="53" t="n">
        <v>0</v>
      </c>
      <c r="BE669" s="52" t="n">
        <v>0</v>
      </c>
      <c r="BF669" s="51" t="n">
        <v>0</v>
      </c>
    </row>
    <row r="670">
      <c r="A670">
        <f>HYPERLINK("https://www.walmart.com/ip/504587551", "504587551")</f>
        <v/>
      </c>
      <c r="B670" t="inlineStr">
        <is>
          <t>Tirrinia Insulated 2 Bottle Wine Carrier Tote Cooler Bag for Travel Picnic Padded Champagne Glass</t>
        </is>
      </c>
      <c r="C670" t="inlineStr">
        <is>
          <t>1WMWB231DBL</t>
        </is>
      </c>
      <c r="D670" t="inlineStr">
        <is>
          <t>Wine Totes, Bags &amp; Backpacks</t>
        </is>
      </c>
      <c r="E670" t="inlineStr">
        <is>
          <t>Flyingstar</t>
        </is>
      </c>
      <c r="F670" t="inlineStr">
        <is>
          <t>Wine,Christmas,Valentine</t>
        </is>
      </c>
      <c r="G670" s="48" t="n">
        <v>0</v>
      </c>
      <c r="H670" s="49" t="n">
        <v>0</v>
      </c>
      <c r="I670" s="49" t="n">
        <v>0</v>
      </c>
      <c r="J670" s="50" t="n">
        <v>0</v>
      </c>
      <c r="K670" s="51" t="n">
        <v>0</v>
      </c>
      <c r="L670" s="52" t="n">
        <v>0</v>
      </c>
      <c r="M670" s="52" t="n">
        <v>0</v>
      </c>
      <c r="N670" s="52" t="n">
        <v>0</v>
      </c>
      <c r="O670" s="53" t="n">
        <v>0</v>
      </c>
      <c r="P670" s="52" t="n">
        <v>0</v>
      </c>
      <c r="Q670" s="53" t="n">
        <v>0</v>
      </c>
      <c r="R670" s="52" t="n">
        <v>0</v>
      </c>
      <c r="S670" s="51" t="n">
        <v>0</v>
      </c>
      <c r="T670" s="48" t="n">
        <v>0</v>
      </c>
      <c r="U670" s="49" t="n">
        <v>0</v>
      </c>
      <c r="V670" s="49" t="n">
        <v>0</v>
      </c>
      <c r="W670" s="50" t="n">
        <v>0</v>
      </c>
      <c r="X670" s="51" t="n">
        <v>0</v>
      </c>
      <c r="Y670" s="52" t="n">
        <v>0</v>
      </c>
      <c r="Z670" s="52" t="n">
        <v>0</v>
      </c>
      <c r="AA670" s="52" t="n">
        <v>0</v>
      </c>
      <c r="AB670" s="53" t="n">
        <v>0</v>
      </c>
      <c r="AC670" s="52" t="n">
        <v>0</v>
      </c>
      <c r="AD670" s="53" t="n">
        <v>0</v>
      </c>
      <c r="AE670" s="52" t="n">
        <v>0</v>
      </c>
      <c r="AF670" s="51" t="n">
        <v>0</v>
      </c>
      <c r="AG670" s="48" t="n">
        <v>0</v>
      </c>
      <c r="AH670" s="49" t="n">
        <v>0</v>
      </c>
      <c r="AI670" s="49" t="n">
        <v>0</v>
      </c>
      <c r="AJ670" s="50" t="n">
        <v>0</v>
      </c>
      <c r="AK670" s="51" t="n">
        <v>0</v>
      </c>
      <c r="AL670" s="52" t="n">
        <v>0</v>
      </c>
      <c r="AM670" s="52" t="n">
        <v>0</v>
      </c>
      <c r="AN670" s="52" t="n">
        <v>0</v>
      </c>
      <c r="AO670" s="53" t="n">
        <v>0</v>
      </c>
      <c r="AP670" s="52" t="n">
        <v>0</v>
      </c>
      <c r="AQ670" s="53" t="n">
        <v>0</v>
      </c>
      <c r="AR670" s="52" t="n">
        <v>0</v>
      </c>
      <c r="AS670" s="51" t="n">
        <v>0</v>
      </c>
      <c r="AT670" s="48" t="n">
        <v>0</v>
      </c>
      <c r="AU670" s="49" t="n">
        <v>0</v>
      </c>
      <c r="AV670" s="49" t="n">
        <v>0</v>
      </c>
      <c r="AW670" s="50" t="n">
        <v>0</v>
      </c>
      <c r="AX670" s="51" t="n">
        <v>0</v>
      </c>
      <c r="AY670" s="52" t="n">
        <v>0</v>
      </c>
      <c r="AZ670" s="52" t="n">
        <v>0</v>
      </c>
      <c r="BA670" s="52" t="n">
        <v>0</v>
      </c>
      <c r="BB670" s="53" t="n">
        <v>0</v>
      </c>
      <c r="BC670" s="52" t="n">
        <v>0</v>
      </c>
      <c r="BD670" s="53" t="n">
        <v>0</v>
      </c>
      <c r="BE670" s="52" t="n">
        <v>0</v>
      </c>
      <c r="BF670" s="51" t="n">
        <v>0</v>
      </c>
    </row>
    <row r="671">
      <c r="A671">
        <f>HYPERLINK("https://www.walmart.com/ip/504765654", "504765654")</f>
        <v/>
      </c>
      <c r="B671" t="inlineStr">
        <is>
          <t>Women’s Crop Top Hoodie Sweatshirt Oversized Casual 3/4 Sleeve One Size Blue Cheetah</t>
        </is>
      </c>
      <c r="C671" t="inlineStr">
        <is>
          <t>1WMHD520S1BLCHEETAH</t>
        </is>
      </c>
      <c r="D671" t="inlineStr">
        <is>
          <t>Sweatshirts &amp; Hoodies</t>
        </is>
      </c>
      <c r="E671" t="inlineStr">
        <is>
          <t>Flyingstar</t>
        </is>
      </c>
      <c r="F671" t="inlineStr">
        <is>
          <t>Batch 1 - TR</t>
        </is>
      </c>
      <c r="G671" s="48" t="n">
        <v>0</v>
      </c>
      <c r="H671" s="49" t="n">
        <v>0</v>
      </c>
      <c r="I671" s="49" t="n">
        <v>0</v>
      </c>
      <c r="J671" s="50" t="n">
        <v>0</v>
      </c>
      <c r="K671" s="51" t="n">
        <v>0</v>
      </c>
      <c r="L671" s="52" t="n">
        <v>0</v>
      </c>
      <c r="M671" s="52" t="n">
        <v>0</v>
      </c>
      <c r="N671" s="52" t="n">
        <v>0</v>
      </c>
      <c r="O671" s="53" t="n">
        <v>0</v>
      </c>
      <c r="P671" s="52" t="n">
        <v>0</v>
      </c>
      <c r="Q671" s="53" t="n">
        <v>0</v>
      </c>
      <c r="R671" s="52" t="n">
        <v>0</v>
      </c>
      <c r="S671" s="51" t="n">
        <v>0</v>
      </c>
      <c r="T671" s="48" t="n">
        <v>0</v>
      </c>
      <c r="U671" s="49" t="n">
        <v>0</v>
      </c>
      <c r="V671" s="49" t="n">
        <v>0</v>
      </c>
      <c r="W671" s="50" t="n">
        <v>0</v>
      </c>
      <c r="X671" s="51" t="n">
        <v>0</v>
      </c>
      <c r="Y671" s="52" t="n">
        <v>0</v>
      </c>
      <c r="Z671" s="52" t="n">
        <v>0</v>
      </c>
      <c r="AA671" s="52" t="n">
        <v>0</v>
      </c>
      <c r="AB671" s="53" t="n">
        <v>0</v>
      </c>
      <c r="AC671" s="52" t="n">
        <v>0</v>
      </c>
      <c r="AD671" s="53" t="n">
        <v>0</v>
      </c>
      <c r="AE671" s="52" t="n">
        <v>0</v>
      </c>
      <c r="AF671" s="51" t="n">
        <v>0</v>
      </c>
      <c r="AG671" s="48" t="n">
        <v>0</v>
      </c>
      <c r="AH671" s="49" t="n">
        <v>0</v>
      </c>
      <c r="AI671" s="49" t="n">
        <v>0</v>
      </c>
      <c r="AJ671" s="50" t="n">
        <v>0</v>
      </c>
      <c r="AK671" s="51" t="n">
        <v>0</v>
      </c>
      <c r="AL671" s="52" t="n">
        <v>0</v>
      </c>
      <c r="AM671" s="52" t="n">
        <v>0</v>
      </c>
      <c r="AN671" s="52" t="n">
        <v>0</v>
      </c>
      <c r="AO671" s="53" t="n">
        <v>0</v>
      </c>
      <c r="AP671" s="52" t="n">
        <v>0</v>
      </c>
      <c r="AQ671" s="53" t="n">
        <v>0</v>
      </c>
      <c r="AR671" s="52" t="n">
        <v>0</v>
      </c>
      <c r="AS671" s="51" t="n">
        <v>0</v>
      </c>
      <c r="AT671" s="48" t="n">
        <v>0</v>
      </c>
      <c r="AU671" s="49" t="n">
        <v>0</v>
      </c>
      <c r="AV671" s="49" t="n">
        <v>0</v>
      </c>
      <c r="AW671" s="50" t="n">
        <v>0</v>
      </c>
      <c r="AX671" s="51" t="n">
        <v>0</v>
      </c>
      <c r="AY671" s="52" t="n">
        <v>0</v>
      </c>
      <c r="AZ671" s="52" t="n">
        <v>0</v>
      </c>
      <c r="BA671" s="52" t="n">
        <v>0</v>
      </c>
      <c r="BB671" s="53" t="n">
        <v>0</v>
      </c>
      <c r="BC671" s="52" t="n">
        <v>0</v>
      </c>
      <c r="BD671" s="53" t="n">
        <v>0</v>
      </c>
      <c r="BE671" s="52" t="n">
        <v>0</v>
      </c>
      <c r="BF671" s="51" t="n">
        <v>0</v>
      </c>
    </row>
    <row r="672">
      <c r="A672">
        <f>HYPERLINK("https://www.walmart.com/ip/504996733", "504996733")</f>
        <v/>
      </c>
      <c r="B672" t="inlineStr">
        <is>
          <t>Terrania Fleece Wearable Blanket with Sleeves for Adult Women and Men, Super Soft Comfy Plush TV Blanket Throw Wrap Cover for Lounge, Couch, Reading, and Watching TV, Green, 73" x 51"</t>
        </is>
      </c>
      <c r="C672" t="inlineStr">
        <is>
          <t>1TRSN100GN</t>
        </is>
      </c>
      <c r="D672" t="inlineStr">
        <is>
          <t>Throws</t>
        </is>
      </c>
      <c r="E672" t="inlineStr">
        <is>
          <t>Tirrinia</t>
        </is>
      </c>
      <c r="F672" t="inlineStr">
        <is>
          <t>WFS,WFS Item,ST Patrick Day</t>
        </is>
      </c>
      <c r="G672" s="48" t="n">
        <v>0</v>
      </c>
      <c r="H672" s="49" t="n">
        <v>0</v>
      </c>
      <c r="I672" s="49" t="n">
        <v>0</v>
      </c>
      <c r="J672" s="50" t="n">
        <v>0</v>
      </c>
      <c r="K672" s="51" t="n">
        <v>0</v>
      </c>
      <c r="L672" s="52" t="n">
        <v>0</v>
      </c>
      <c r="M672" s="52" t="n">
        <v>0</v>
      </c>
      <c r="N672" s="52" t="n">
        <v>0</v>
      </c>
      <c r="O672" s="53" t="n">
        <v>0</v>
      </c>
      <c r="P672" s="52" t="n">
        <v>0</v>
      </c>
      <c r="Q672" s="53" t="n">
        <v>0</v>
      </c>
      <c r="R672" s="52" t="n">
        <v>0</v>
      </c>
      <c r="S672" s="51" t="n">
        <v>0</v>
      </c>
      <c r="T672" s="48" t="n">
        <v>0</v>
      </c>
      <c r="U672" s="49" t="n">
        <v>0</v>
      </c>
      <c r="V672" s="49" t="n">
        <v>0</v>
      </c>
      <c r="W672" s="50" t="n">
        <v>0</v>
      </c>
      <c r="X672" s="51" t="n">
        <v>0</v>
      </c>
      <c r="Y672" s="52" t="n">
        <v>0</v>
      </c>
      <c r="Z672" s="52" t="n">
        <v>0</v>
      </c>
      <c r="AA672" s="52" t="n">
        <v>0</v>
      </c>
      <c r="AB672" s="53" t="n">
        <v>0</v>
      </c>
      <c r="AC672" s="52" t="n">
        <v>0</v>
      </c>
      <c r="AD672" s="53" t="n">
        <v>0</v>
      </c>
      <c r="AE672" s="52" t="n">
        <v>0</v>
      </c>
      <c r="AF672" s="51" t="n">
        <v>0</v>
      </c>
      <c r="AG672" s="48" t="n">
        <v>0</v>
      </c>
      <c r="AH672" s="49" t="n">
        <v>0</v>
      </c>
      <c r="AI672" s="49" t="n">
        <v>0</v>
      </c>
      <c r="AJ672" s="50" t="n">
        <v>0</v>
      </c>
      <c r="AK672" s="51" t="n">
        <v>0</v>
      </c>
      <c r="AL672" s="52" t="n">
        <v>0</v>
      </c>
      <c r="AM672" s="52" t="n">
        <v>0</v>
      </c>
      <c r="AN672" s="52" t="n">
        <v>0</v>
      </c>
      <c r="AO672" s="53" t="n">
        <v>0</v>
      </c>
      <c r="AP672" s="52" t="n">
        <v>0</v>
      </c>
      <c r="AQ672" s="53" t="n">
        <v>0</v>
      </c>
      <c r="AR672" s="52" t="n">
        <v>0</v>
      </c>
      <c r="AS672" s="51" t="n">
        <v>0</v>
      </c>
      <c r="AT672" s="48" t="n">
        <v>0</v>
      </c>
      <c r="AU672" s="49" t="n">
        <v>0</v>
      </c>
      <c r="AV672" s="49" t="n">
        <v>0</v>
      </c>
      <c r="AW672" s="50" t="n">
        <v>0</v>
      </c>
      <c r="AX672" s="51" t="n">
        <v>0</v>
      </c>
      <c r="AY672" s="52" t="n">
        <v>0</v>
      </c>
      <c r="AZ672" s="52" t="n">
        <v>0</v>
      </c>
      <c r="BA672" s="52" t="n">
        <v>0</v>
      </c>
      <c r="BB672" s="53" t="n">
        <v>0</v>
      </c>
      <c r="BC672" s="52" t="n">
        <v>0</v>
      </c>
      <c r="BD672" s="53" t="n">
        <v>0</v>
      </c>
      <c r="BE672" s="52" t="n">
        <v>0</v>
      </c>
      <c r="BF672" s="51" t="n">
        <v>0</v>
      </c>
    </row>
    <row r="673">
      <c r="A673">
        <f>HYPERLINK("https://www.walmart.com/ip/5052771579", "5052771579")</f>
        <v/>
      </c>
      <c r="B673" t="inlineStr">
        <is>
          <t>Catalonia Wearable Blanket with Sleeves and Pocket, Cozy Soft Fleece Micro Plush Wrap Adult Blanket Robe for Women Men, Tortilla Pattern Makes a Great Gift for Holidays, 73" x 51".</t>
        </is>
      </c>
      <c r="C673" t="inlineStr">
        <is>
          <t>1CTSN100TORTILLA</t>
        </is>
      </c>
      <c r="D673" t="inlineStr">
        <is>
          <t>Throws</t>
        </is>
      </c>
      <c r="E673" t="inlineStr">
        <is>
          <t>Catalonia</t>
        </is>
      </c>
      <c r="F673" t="inlineStr">
        <is>
          <t>Q2-Target</t>
        </is>
      </c>
      <c r="G673" s="48" t="n">
        <v>0</v>
      </c>
      <c r="H673" s="49" t="n">
        <v>0</v>
      </c>
      <c r="I673" s="49" t="n">
        <v>0</v>
      </c>
      <c r="J673" s="50" t="n">
        <v>0</v>
      </c>
      <c r="K673" s="51" t="n">
        <v>0</v>
      </c>
      <c r="L673" s="52" t="n">
        <v>0</v>
      </c>
      <c r="M673" s="52" t="n">
        <v>0</v>
      </c>
      <c r="N673" s="52" t="n">
        <v>0</v>
      </c>
      <c r="O673" s="53" t="n">
        <v>0</v>
      </c>
      <c r="P673" s="52" t="n">
        <v>0</v>
      </c>
      <c r="Q673" s="53" t="n">
        <v>0</v>
      </c>
      <c r="R673" s="52" t="n">
        <v>0</v>
      </c>
      <c r="S673" s="51" t="n">
        <v>0</v>
      </c>
      <c r="T673" s="48" t="n">
        <v>0</v>
      </c>
      <c r="U673" s="49" t="n">
        <v>0</v>
      </c>
      <c r="V673" s="49" t="n">
        <v>0</v>
      </c>
      <c r="W673" s="50" t="n">
        <v>0</v>
      </c>
      <c r="X673" s="51" t="n">
        <v>0</v>
      </c>
      <c r="Y673" s="52" t="n">
        <v>0</v>
      </c>
      <c r="Z673" s="52" t="n">
        <v>0</v>
      </c>
      <c r="AA673" s="52" t="n">
        <v>0</v>
      </c>
      <c r="AB673" s="53" t="n">
        <v>0</v>
      </c>
      <c r="AC673" s="52" t="n">
        <v>0</v>
      </c>
      <c r="AD673" s="53" t="n">
        <v>0</v>
      </c>
      <c r="AE673" s="52" t="n">
        <v>0</v>
      </c>
      <c r="AF673" s="51" t="n">
        <v>0</v>
      </c>
      <c r="AG673" s="48" t="n">
        <v>0</v>
      </c>
      <c r="AH673" s="49" t="n">
        <v>0</v>
      </c>
      <c r="AI673" s="49" t="n">
        <v>0</v>
      </c>
      <c r="AJ673" s="50" t="n">
        <v>0</v>
      </c>
      <c r="AK673" s="51" t="n">
        <v>0</v>
      </c>
      <c r="AL673" s="52" t="n">
        <v>0</v>
      </c>
      <c r="AM673" s="52" t="n">
        <v>0</v>
      </c>
      <c r="AN673" s="52" t="n">
        <v>0</v>
      </c>
      <c r="AO673" s="53" t="n">
        <v>0</v>
      </c>
      <c r="AP673" s="52" t="n">
        <v>0</v>
      </c>
      <c r="AQ673" s="53" t="n">
        <v>0</v>
      </c>
      <c r="AR673" s="52" t="n">
        <v>0</v>
      </c>
      <c r="AS673" s="51" t="n">
        <v>0</v>
      </c>
      <c r="AT673" s="48" t="n">
        <v>0</v>
      </c>
      <c r="AU673" s="49" t="n">
        <v>0</v>
      </c>
      <c r="AV673" s="49" t="n">
        <v>0</v>
      </c>
      <c r="AW673" s="50" t="n">
        <v>0</v>
      </c>
      <c r="AX673" s="51" t="n">
        <v>0</v>
      </c>
      <c r="AY673" s="52" t="n">
        <v>0</v>
      </c>
      <c r="AZ673" s="52" t="n">
        <v>0</v>
      </c>
      <c r="BA673" s="52" t="n">
        <v>0</v>
      </c>
      <c r="BB673" s="53" t="n">
        <v>0</v>
      </c>
      <c r="BC673" s="52" t="n">
        <v>0</v>
      </c>
      <c r="BD673" s="53" t="n">
        <v>0</v>
      </c>
      <c r="BE673" s="52" t="n">
        <v>0</v>
      </c>
      <c r="BF673" s="51" t="n">
        <v>0</v>
      </c>
    </row>
    <row r="674">
      <c r="A674">
        <f>HYPERLINK("https://www.walmart.com/ip/505348990", "505348990")</f>
        <v/>
      </c>
      <c r="B674" t="inlineStr">
        <is>
          <t>Catalonia Mermaid Tail Blanket, Knitted Lambswool Blankets for Bed, Oversized Crochet Fleece Blanket for Adult Teens, Purple</t>
        </is>
      </c>
      <c r="C674" t="inlineStr">
        <is>
          <t>1CTMM300PP</t>
        </is>
      </c>
      <c r="D674" t="inlineStr">
        <is>
          <t>Throws</t>
        </is>
      </c>
      <c r="E674" t="inlineStr">
        <is>
          <t>Catalonia</t>
        </is>
      </c>
      <c r="F674" t="inlineStr">
        <is>
          <t>WFS,WFS Item</t>
        </is>
      </c>
      <c r="G674" s="48" t="n">
        <v>0</v>
      </c>
      <c r="H674" s="49" t="n">
        <v>0</v>
      </c>
      <c r="I674" s="49" t="n">
        <v>0</v>
      </c>
      <c r="J674" s="50" t="n">
        <v>0</v>
      </c>
      <c r="K674" s="51" t="n">
        <v>0</v>
      </c>
      <c r="L674" s="52" t="n">
        <v>0</v>
      </c>
      <c r="M674" s="52" t="n">
        <v>0</v>
      </c>
      <c r="N674" s="52" t="n">
        <v>0</v>
      </c>
      <c r="O674" s="53" t="n">
        <v>0</v>
      </c>
      <c r="P674" s="52" t="n">
        <v>0</v>
      </c>
      <c r="Q674" s="53" t="n">
        <v>0</v>
      </c>
      <c r="R674" s="52" t="n">
        <v>0</v>
      </c>
      <c r="S674" s="51" t="n">
        <v>0</v>
      </c>
      <c r="T674" s="48" t="n">
        <v>0</v>
      </c>
      <c r="U674" s="49" t="n">
        <v>0</v>
      </c>
      <c r="V674" s="49" t="n">
        <v>0</v>
      </c>
      <c r="W674" s="50" t="n">
        <v>0</v>
      </c>
      <c r="X674" s="51" t="n">
        <v>0</v>
      </c>
      <c r="Y674" s="52" t="n">
        <v>0</v>
      </c>
      <c r="Z674" s="52" t="n">
        <v>0</v>
      </c>
      <c r="AA674" s="52" t="n">
        <v>0</v>
      </c>
      <c r="AB674" s="53" t="n">
        <v>0</v>
      </c>
      <c r="AC674" s="52" t="n">
        <v>0</v>
      </c>
      <c r="AD674" s="53" t="n">
        <v>0</v>
      </c>
      <c r="AE674" s="52" t="n">
        <v>0</v>
      </c>
      <c r="AF674" s="51" t="n">
        <v>0</v>
      </c>
      <c r="AG674" s="48" t="n">
        <v>0</v>
      </c>
      <c r="AH674" s="49" t="n">
        <v>0</v>
      </c>
      <c r="AI674" s="49" t="n">
        <v>0</v>
      </c>
      <c r="AJ674" s="50" t="n">
        <v>0</v>
      </c>
      <c r="AK674" s="51" t="n">
        <v>0</v>
      </c>
      <c r="AL674" s="52" t="n">
        <v>0</v>
      </c>
      <c r="AM674" s="52" t="n">
        <v>0</v>
      </c>
      <c r="AN674" s="52" t="n">
        <v>0</v>
      </c>
      <c r="AO674" s="53" t="n">
        <v>0</v>
      </c>
      <c r="AP674" s="52" t="n">
        <v>0</v>
      </c>
      <c r="AQ674" s="53" t="n">
        <v>0</v>
      </c>
      <c r="AR674" s="52" t="n">
        <v>0</v>
      </c>
      <c r="AS674" s="51" t="n">
        <v>0</v>
      </c>
      <c r="AT674" s="48" t="n">
        <v>0</v>
      </c>
      <c r="AU674" s="49" t="n">
        <v>0</v>
      </c>
      <c r="AV674" s="49" t="n">
        <v>0</v>
      </c>
      <c r="AW674" s="50" t="n">
        <v>0</v>
      </c>
      <c r="AX674" s="51" t="n">
        <v>0</v>
      </c>
      <c r="AY674" s="52" t="n">
        <v>0</v>
      </c>
      <c r="AZ674" s="52" t="n">
        <v>0</v>
      </c>
      <c r="BA674" s="52" t="n">
        <v>0</v>
      </c>
      <c r="BB674" s="53" t="n">
        <v>0</v>
      </c>
      <c r="BC674" s="52" t="n">
        <v>0</v>
      </c>
      <c r="BD674" s="53" t="n">
        <v>0</v>
      </c>
      <c r="BE674" s="52" t="n">
        <v>0</v>
      </c>
      <c r="BF674" s="51" t="n">
        <v>0</v>
      </c>
    </row>
    <row r="675">
      <c r="A675">
        <f>HYPERLINK("https://www.walmart.com/ip/5056978682", "5056978682")</f>
        <v/>
      </c>
      <c r="B675" t="inlineStr">
        <is>
          <t>Tirrinia Sherpa Blanket Plush Throw Blanket Size 50" x 60" Bedding Fleece Reversible Blanket for Bed and Couch, Super Soft Comfy Warm Fuzzy TV Blanket, Blue Wonder Cat</t>
        </is>
      </c>
      <c r="C675" t="inlineStr">
        <is>
          <t>1TRBF300WONDERCATGY</t>
        </is>
      </c>
      <c r="D675" t="inlineStr">
        <is>
          <t>Throws</t>
        </is>
      </c>
      <c r="E675" t="inlineStr">
        <is>
          <t>Tirrinia</t>
        </is>
      </c>
      <c r="G675" s="48" t="n">
        <v>0</v>
      </c>
      <c r="H675" s="49" t="n">
        <v>0</v>
      </c>
      <c r="I675" s="49" t="n">
        <v>0</v>
      </c>
      <c r="J675" s="50" t="n">
        <v>0</v>
      </c>
      <c r="K675" s="51" t="n">
        <v>0</v>
      </c>
      <c r="L675" s="52" t="n">
        <v>0</v>
      </c>
      <c r="M675" s="52" t="n">
        <v>0</v>
      </c>
      <c r="N675" s="52" t="n">
        <v>0</v>
      </c>
      <c r="O675" s="53" t="n">
        <v>0</v>
      </c>
      <c r="P675" s="52" t="n">
        <v>0</v>
      </c>
      <c r="Q675" s="53" t="n">
        <v>0</v>
      </c>
      <c r="R675" s="52" t="n">
        <v>0</v>
      </c>
      <c r="S675" s="51" t="n">
        <v>0</v>
      </c>
      <c r="T675" s="48" t="n">
        <v>0</v>
      </c>
      <c r="U675" s="49" t="n">
        <v>0</v>
      </c>
      <c r="V675" s="49" t="n">
        <v>0</v>
      </c>
      <c r="W675" s="50" t="n">
        <v>0</v>
      </c>
      <c r="X675" s="51" t="n">
        <v>0</v>
      </c>
      <c r="Y675" s="52" t="n">
        <v>0</v>
      </c>
      <c r="Z675" s="52" t="n">
        <v>0</v>
      </c>
      <c r="AA675" s="52" t="n">
        <v>0</v>
      </c>
      <c r="AB675" s="53" t="n">
        <v>0</v>
      </c>
      <c r="AC675" s="52" t="n">
        <v>0</v>
      </c>
      <c r="AD675" s="53" t="n">
        <v>0</v>
      </c>
      <c r="AE675" s="52" t="n">
        <v>0</v>
      </c>
      <c r="AF675" s="51" t="n">
        <v>0</v>
      </c>
      <c r="AG675" s="48" t="n">
        <v>0</v>
      </c>
      <c r="AH675" s="49" t="n">
        <v>0</v>
      </c>
      <c r="AI675" s="49" t="n">
        <v>0</v>
      </c>
      <c r="AJ675" s="50" t="n">
        <v>0</v>
      </c>
      <c r="AK675" s="51" t="n">
        <v>0</v>
      </c>
      <c r="AL675" s="52" t="n">
        <v>0</v>
      </c>
      <c r="AM675" s="52" t="n">
        <v>0</v>
      </c>
      <c r="AN675" s="52" t="n">
        <v>0</v>
      </c>
      <c r="AO675" s="53" t="n">
        <v>0</v>
      </c>
      <c r="AP675" s="52" t="n">
        <v>0</v>
      </c>
      <c r="AQ675" s="53" t="n">
        <v>0</v>
      </c>
      <c r="AR675" s="52" t="n">
        <v>0</v>
      </c>
      <c r="AS675" s="51" t="n">
        <v>0</v>
      </c>
      <c r="AT675" s="48" t="n">
        <v>0</v>
      </c>
      <c r="AU675" s="49" t="n">
        <v>0</v>
      </c>
      <c r="AV675" s="49" t="n">
        <v>0</v>
      </c>
      <c r="AW675" s="50" t="n">
        <v>0</v>
      </c>
      <c r="AX675" s="51" t="n">
        <v>0</v>
      </c>
      <c r="AY675" s="52" t="n">
        <v>0</v>
      </c>
      <c r="AZ675" s="52" t="n">
        <v>0</v>
      </c>
      <c r="BA675" s="52" t="n">
        <v>0</v>
      </c>
      <c r="BB675" s="53" t="n">
        <v>0</v>
      </c>
      <c r="BC675" s="52" t="n">
        <v>0</v>
      </c>
      <c r="BD675" s="53" t="n">
        <v>0</v>
      </c>
      <c r="BE675" s="52" t="n">
        <v>0</v>
      </c>
      <c r="BF675" s="51" t="n">
        <v>0</v>
      </c>
    </row>
    <row r="676">
      <c r="A676">
        <f>HYPERLINK("https://www.walmart.com/ip/5057432466", "5057432466")</f>
        <v/>
      </c>
      <c r="B676" t="inlineStr">
        <is>
          <t>Tirrinia Sherpa Wearable Blanket for Adult Women and Men, Super Soft Comfy Warm Plush Throw with Sleeves TV Blanket Wrap Robe Cover for Sofa, Couch 72" x 55" Pink Love Art</t>
        </is>
      </c>
      <c r="C676" t="inlineStr">
        <is>
          <t>1TRSN110LOVEARTPK</t>
        </is>
      </c>
      <c r="D676" t="inlineStr">
        <is>
          <t>Throws</t>
        </is>
      </c>
      <c r="E676" t="inlineStr">
        <is>
          <t>Terrania</t>
        </is>
      </c>
      <c r="G676" s="48" t="n">
        <v>0</v>
      </c>
      <c r="H676" s="49" t="n">
        <v>0</v>
      </c>
      <c r="I676" s="49" t="n">
        <v>0</v>
      </c>
      <c r="J676" s="50" t="n">
        <v>0</v>
      </c>
      <c r="K676" s="51" t="n">
        <v>0</v>
      </c>
      <c r="L676" s="52" t="n">
        <v>0</v>
      </c>
      <c r="M676" s="52" t="n">
        <v>0</v>
      </c>
      <c r="N676" s="52" t="n">
        <v>0</v>
      </c>
      <c r="O676" s="53" t="n">
        <v>0</v>
      </c>
      <c r="P676" s="52" t="n">
        <v>0</v>
      </c>
      <c r="Q676" s="53" t="n">
        <v>0</v>
      </c>
      <c r="R676" s="52" t="n">
        <v>0</v>
      </c>
      <c r="S676" s="51" t="n">
        <v>0</v>
      </c>
      <c r="T676" s="48" t="n">
        <v>0</v>
      </c>
      <c r="U676" s="49" t="n">
        <v>0</v>
      </c>
      <c r="V676" s="49" t="n">
        <v>0</v>
      </c>
      <c r="W676" s="50" t="n">
        <v>0</v>
      </c>
      <c r="X676" s="51" t="n">
        <v>0</v>
      </c>
      <c r="Y676" s="52" t="n">
        <v>0</v>
      </c>
      <c r="Z676" s="52" t="n">
        <v>0</v>
      </c>
      <c r="AA676" s="52" t="n">
        <v>0</v>
      </c>
      <c r="AB676" s="53" t="n">
        <v>0</v>
      </c>
      <c r="AC676" s="52" t="n">
        <v>0</v>
      </c>
      <c r="AD676" s="53" t="n">
        <v>0</v>
      </c>
      <c r="AE676" s="52" t="n">
        <v>0</v>
      </c>
      <c r="AF676" s="51" t="n">
        <v>0</v>
      </c>
      <c r="AG676" s="48" t="n">
        <v>0</v>
      </c>
      <c r="AH676" s="49" t="n">
        <v>0</v>
      </c>
      <c r="AI676" s="49" t="n">
        <v>0</v>
      </c>
      <c r="AJ676" s="50" t="n">
        <v>0</v>
      </c>
      <c r="AK676" s="51" t="n">
        <v>0</v>
      </c>
      <c r="AL676" s="52" t="n">
        <v>0</v>
      </c>
      <c r="AM676" s="52" t="n">
        <v>0</v>
      </c>
      <c r="AN676" s="52" t="n">
        <v>0</v>
      </c>
      <c r="AO676" s="53" t="n">
        <v>0</v>
      </c>
      <c r="AP676" s="52" t="n">
        <v>0</v>
      </c>
      <c r="AQ676" s="53" t="n">
        <v>0</v>
      </c>
      <c r="AR676" s="52" t="n">
        <v>0</v>
      </c>
      <c r="AS676" s="51" t="n">
        <v>0</v>
      </c>
      <c r="AT676" s="48" t="n">
        <v>0</v>
      </c>
      <c r="AU676" s="49" t="n">
        <v>0</v>
      </c>
      <c r="AV676" s="49" t="n">
        <v>0</v>
      </c>
      <c r="AW676" s="50" t="n">
        <v>0</v>
      </c>
      <c r="AX676" s="51" t="n">
        <v>0</v>
      </c>
      <c r="AY676" s="52" t="n">
        <v>0</v>
      </c>
      <c r="AZ676" s="52" t="n">
        <v>0</v>
      </c>
      <c r="BA676" s="52" t="n">
        <v>0</v>
      </c>
      <c r="BB676" s="53" t="n">
        <v>0</v>
      </c>
      <c r="BC676" s="52" t="n">
        <v>0</v>
      </c>
      <c r="BD676" s="53" t="n">
        <v>0</v>
      </c>
      <c r="BE676" s="52" t="n">
        <v>0</v>
      </c>
      <c r="BF676" s="51" t="n">
        <v>0</v>
      </c>
    </row>
    <row r="677">
      <c r="A677">
        <f>HYPERLINK("https://www.walmart.com/ip/5059449980", "5059449980")</f>
        <v/>
      </c>
      <c r="B677" t="inlineStr">
        <is>
          <t>Tirrinia Sherpa Wearable Blanket for Adult Women and Men, Super Soft Comfy Warm Plush Throw with Sleeves TV Blanket Wrap Robe Cover for Sofa, Couch 72" x 55", Blue Wonder Cat</t>
        </is>
      </c>
      <c r="C677" t="inlineStr">
        <is>
          <t>1TRSN110WONDERCATGY</t>
        </is>
      </c>
      <c r="D677" t="inlineStr">
        <is>
          <t>Throws</t>
        </is>
      </c>
      <c r="E677" t="inlineStr">
        <is>
          <t>Terrania</t>
        </is>
      </c>
      <c r="G677" s="48" t="n">
        <v>0</v>
      </c>
      <c r="H677" s="49" t="n">
        <v>0</v>
      </c>
      <c r="I677" s="49" t="n">
        <v>0</v>
      </c>
      <c r="J677" s="50" t="n">
        <v>0</v>
      </c>
      <c r="K677" s="51" t="n">
        <v>0</v>
      </c>
      <c r="L677" s="52" t="n">
        <v>0</v>
      </c>
      <c r="M677" s="52" t="n">
        <v>0</v>
      </c>
      <c r="N677" s="52" t="n">
        <v>0</v>
      </c>
      <c r="O677" s="53" t="n">
        <v>0</v>
      </c>
      <c r="P677" s="52" t="n">
        <v>0</v>
      </c>
      <c r="Q677" s="53" t="n">
        <v>0</v>
      </c>
      <c r="R677" s="52" t="n">
        <v>0</v>
      </c>
      <c r="S677" s="51" t="n">
        <v>0</v>
      </c>
      <c r="T677" s="48" t="n">
        <v>0</v>
      </c>
      <c r="U677" s="49" t="n">
        <v>0</v>
      </c>
      <c r="V677" s="49" t="n">
        <v>0</v>
      </c>
      <c r="W677" s="50" t="n">
        <v>0</v>
      </c>
      <c r="X677" s="51" t="n">
        <v>0</v>
      </c>
      <c r="Y677" s="52" t="n">
        <v>0</v>
      </c>
      <c r="Z677" s="52" t="n">
        <v>0</v>
      </c>
      <c r="AA677" s="52" t="n">
        <v>0</v>
      </c>
      <c r="AB677" s="53" t="n">
        <v>0</v>
      </c>
      <c r="AC677" s="52" t="n">
        <v>0</v>
      </c>
      <c r="AD677" s="53" t="n">
        <v>0</v>
      </c>
      <c r="AE677" s="52" t="n">
        <v>0</v>
      </c>
      <c r="AF677" s="51" t="n">
        <v>0</v>
      </c>
      <c r="AG677" s="48" t="n">
        <v>0</v>
      </c>
      <c r="AH677" s="49" t="n">
        <v>0</v>
      </c>
      <c r="AI677" s="49" t="n">
        <v>0</v>
      </c>
      <c r="AJ677" s="50" t="n">
        <v>0</v>
      </c>
      <c r="AK677" s="51" t="n">
        <v>0</v>
      </c>
      <c r="AL677" s="52" t="n">
        <v>0</v>
      </c>
      <c r="AM677" s="52" t="n">
        <v>0</v>
      </c>
      <c r="AN677" s="52" t="n">
        <v>0</v>
      </c>
      <c r="AO677" s="53" t="n">
        <v>0</v>
      </c>
      <c r="AP677" s="52" t="n">
        <v>0</v>
      </c>
      <c r="AQ677" s="53" t="n">
        <v>0</v>
      </c>
      <c r="AR677" s="52" t="n">
        <v>0</v>
      </c>
      <c r="AS677" s="51" t="n">
        <v>0</v>
      </c>
      <c r="AT677" s="48" t="n">
        <v>0</v>
      </c>
      <c r="AU677" s="49" t="n">
        <v>0</v>
      </c>
      <c r="AV677" s="49" t="n">
        <v>0</v>
      </c>
      <c r="AW677" s="50" t="n">
        <v>0</v>
      </c>
      <c r="AX677" s="51" t="n">
        <v>0</v>
      </c>
      <c r="AY677" s="52" t="n">
        <v>0</v>
      </c>
      <c r="AZ677" s="52" t="n">
        <v>0</v>
      </c>
      <c r="BA677" s="52" t="n">
        <v>0</v>
      </c>
      <c r="BB677" s="53" t="n">
        <v>0</v>
      </c>
      <c r="BC677" s="52" t="n">
        <v>0</v>
      </c>
      <c r="BD677" s="53" t="n">
        <v>0</v>
      </c>
      <c r="BE677" s="52" t="n">
        <v>0</v>
      </c>
      <c r="BF677" s="51" t="n">
        <v>0</v>
      </c>
    </row>
    <row r="678">
      <c r="A678">
        <f>HYPERLINK("https://www.walmart.com/ip/5059499536", "5059499536")</f>
        <v/>
      </c>
      <c r="B678" t="inlineStr">
        <is>
          <t>Tirrinia Sherpa Wearable Blanket for Adult Women and Men, Super Soft Comfy Warm Plush Throw with Sleeves, TV Blanket, Wrap Robe Cover for Sofa, Couch, Blue Avocado Dog, 55" x 72''</t>
        </is>
      </c>
      <c r="C678" t="inlineStr">
        <is>
          <t>1TRSN110AVOCADODOGBL</t>
        </is>
      </c>
      <c r="D678" t="inlineStr">
        <is>
          <t>Throws</t>
        </is>
      </c>
      <c r="E678" t="inlineStr">
        <is>
          <t>Terrania</t>
        </is>
      </c>
      <c r="F678" t="inlineStr">
        <is>
          <t>Q2-Target,Coupon_Discount</t>
        </is>
      </c>
      <c r="G678" s="48" t="n">
        <v>0</v>
      </c>
      <c r="H678" s="49" t="n">
        <v>0</v>
      </c>
      <c r="I678" s="49" t="n">
        <v>0</v>
      </c>
      <c r="J678" s="50" t="n">
        <v>0</v>
      </c>
      <c r="K678" s="51" t="n">
        <v>0</v>
      </c>
      <c r="L678" s="52" t="n">
        <v>0</v>
      </c>
      <c r="M678" s="52" t="n">
        <v>0</v>
      </c>
      <c r="N678" s="52" t="n">
        <v>0</v>
      </c>
      <c r="O678" s="53" t="n">
        <v>0</v>
      </c>
      <c r="P678" s="52" t="n">
        <v>0</v>
      </c>
      <c r="Q678" s="53" t="n">
        <v>0</v>
      </c>
      <c r="R678" s="52" t="n">
        <v>0</v>
      </c>
      <c r="S678" s="51" t="n">
        <v>0</v>
      </c>
      <c r="T678" s="48" t="n">
        <v>0</v>
      </c>
      <c r="U678" s="49" t="n">
        <v>0</v>
      </c>
      <c r="V678" s="49" t="n">
        <v>0</v>
      </c>
      <c r="W678" s="50" t="n">
        <v>0</v>
      </c>
      <c r="X678" s="51" t="n">
        <v>0</v>
      </c>
      <c r="Y678" s="52" t="n">
        <v>0</v>
      </c>
      <c r="Z678" s="52" t="n">
        <v>0</v>
      </c>
      <c r="AA678" s="52" t="n">
        <v>0</v>
      </c>
      <c r="AB678" s="53" t="n">
        <v>0</v>
      </c>
      <c r="AC678" s="52" t="n">
        <v>0</v>
      </c>
      <c r="AD678" s="53" t="n">
        <v>0</v>
      </c>
      <c r="AE678" s="52" t="n">
        <v>0</v>
      </c>
      <c r="AF678" s="51" t="n">
        <v>0</v>
      </c>
      <c r="AG678" s="48" t="n">
        <v>0</v>
      </c>
      <c r="AH678" s="49" t="n">
        <v>0</v>
      </c>
      <c r="AI678" s="49" t="n">
        <v>0</v>
      </c>
      <c r="AJ678" s="50" t="n">
        <v>0</v>
      </c>
      <c r="AK678" s="51" t="n">
        <v>0</v>
      </c>
      <c r="AL678" s="52" t="n">
        <v>0</v>
      </c>
      <c r="AM678" s="52" t="n">
        <v>0</v>
      </c>
      <c r="AN678" s="52" t="n">
        <v>0</v>
      </c>
      <c r="AO678" s="53" t="n">
        <v>0</v>
      </c>
      <c r="AP678" s="52" t="n">
        <v>0</v>
      </c>
      <c r="AQ678" s="53" t="n">
        <v>0</v>
      </c>
      <c r="AR678" s="52" t="n">
        <v>0</v>
      </c>
      <c r="AS678" s="51" t="n">
        <v>0</v>
      </c>
      <c r="AT678" s="48" t="n">
        <v>0</v>
      </c>
      <c r="AU678" s="49" t="n">
        <v>0</v>
      </c>
      <c r="AV678" s="49" t="n">
        <v>0</v>
      </c>
      <c r="AW678" s="50" t="n">
        <v>0</v>
      </c>
      <c r="AX678" s="51" t="n">
        <v>0</v>
      </c>
      <c r="AY678" s="52" t="n">
        <v>0</v>
      </c>
      <c r="AZ678" s="52" t="n">
        <v>0</v>
      </c>
      <c r="BA678" s="52" t="n">
        <v>0</v>
      </c>
      <c r="BB678" s="53" t="n">
        <v>0</v>
      </c>
      <c r="BC678" s="52" t="n">
        <v>0</v>
      </c>
      <c r="BD678" s="53" t="n">
        <v>0</v>
      </c>
      <c r="BE678" s="52" t="n">
        <v>0</v>
      </c>
      <c r="BF678" s="51" t="n">
        <v>0</v>
      </c>
    </row>
    <row r="679">
      <c r="A679">
        <f>HYPERLINK("https://www.walmart.com/ip/5062686300", "5062686300")</f>
        <v/>
      </c>
      <c r="B679" t="inlineStr">
        <is>
          <t>Catalonia Wearable Blanket with Sleeves and Pocket, Cozy Soft Fleece Micro Plush Wrap Adult Snuggie Blanket Robe for Women Men, Green Christmas Dwarf Pattern Makes a Great Gift for Holidays.</t>
        </is>
      </c>
      <c r="C679" t="inlineStr">
        <is>
          <t>1CTSN100XMASDWARFGN</t>
        </is>
      </c>
      <c r="D679" t="inlineStr">
        <is>
          <t>Throws</t>
        </is>
      </c>
      <c r="E679" t="inlineStr">
        <is>
          <t>Catalonia</t>
        </is>
      </c>
      <c r="G679" s="48" t="n">
        <v>0</v>
      </c>
      <c r="H679" s="49" t="n">
        <v>0</v>
      </c>
      <c r="I679" s="49" t="n">
        <v>0</v>
      </c>
      <c r="J679" s="50" t="n">
        <v>0</v>
      </c>
      <c r="K679" s="51" t="n">
        <v>0</v>
      </c>
      <c r="L679" s="52" t="n">
        <v>0</v>
      </c>
      <c r="M679" s="52" t="n">
        <v>0</v>
      </c>
      <c r="N679" s="52" t="n">
        <v>0</v>
      </c>
      <c r="O679" s="53" t="n">
        <v>0</v>
      </c>
      <c r="P679" s="52" t="n">
        <v>0</v>
      </c>
      <c r="Q679" s="53" t="n">
        <v>0</v>
      </c>
      <c r="R679" s="52" t="n">
        <v>0</v>
      </c>
      <c r="S679" s="51" t="n">
        <v>0</v>
      </c>
      <c r="T679" s="48" t="n">
        <v>0</v>
      </c>
      <c r="U679" s="49" t="n">
        <v>0</v>
      </c>
      <c r="V679" s="49" t="n">
        <v>0</v>
      </c>
      <c r="W679" s="50" t="n">
        <v>0</v>
      </c>
      <c r="X679" s="51" t="n">
        <v>0</v>
      </c>
      <c r="Y679" s="52" t="n">
        <v>0</v>
      </c>
      <c r="Z679" s="52" t="n">
        <v>0</v>
      </c>
      <c r="AA679" s="52" t="n">
        <v>0</v>
      </c>
      <c r="AB679" s="53" t="n">
        <v>0</v>
      </c>
      <c r="AC679" s="52" t="n">
        <v>0</v>
      </c>
      <c r="AD679" s="53" t="n">
        <v>0</v>
      </c>
      <c r="AE679" s="52" t="n">
        <v>0</v>
      </c>
      <c r="AF679" s="51" t="n">
        <v>0</v>
      </c>
      <c r="AG679" s="48" t="n">
        <v>0</v>
      </c>
      <c r="AH679" s="49" t="n">
        <v>0</v>
      </c>
      <c r="AI679" s="49" t="n">
        <v>0</v>
      </c>
      <c r="AJ679" s="50" t="n">
        <v>0</v>
      </c>
      <c r="AK679" s="51" t="n">
        <v>0</v>
      </c>
      <c r="AL679" s="52" t="n">
        <v>0</v>
      </c>
      <c r="AM679" s="52" t="n">
        <v>0</v>
      </c>
      <c r="AN679" s="52" t="n">
        <v>0</v>
      </c>
      <c r="AO679" s="53" t="n">
        <v>0</v>
      </c>
      <c r="AP679" s="52" t="n">
        <v>0</v>
      </c>
      <c r="AQ679" s="53" t="n">
        <v>0</v>
      </c>
      <c r="AR679" s="52" t="n">
        <v>0</v>
      </c>
      <c r="AS679" s="51" t="n">
        <v>0</v>
      </c>
      <c r="AT679" s="48" t="n">
        <v>0</v>
      </c>
      <c r="AU679" s="49" t="n">
        <v>0</v>
      </c>
      <c r="AV679" s="49" t="n">
        <v>0</v>
      </c>
      <c r="AW679" s="50" t="n">
        <v>0</v>
      </c>
      <c r="AX679" s="51" t="n">
        <v>0</v>
      </c>
      <c r="AY679" s="52" t="n">
        <v>0</v>
      </c>
      <c r="AZ679" s="52" t="n">
        <v>0</v>
      </c>
      <c r="BA679" s="52" t="n">
        <v>0</v>
      </c>
      <c r="BB679" s="53" t="n">
        <v>0</v>
      </c>
      <c r="BC679" s="52" t="n">
        <v>0</v>
      </c>
      <c r="BD679" s="53" t="n">
        <v>0</v>
      </c>
      <c r="BE679" s="52" t="n">
        <v>0</v>
      </c>
      <c r="BF679" s="51" t="n">
        <v>0</v>
      </c>
    </row>
    <row r="680">
      <c r="A680">
        <f>HYPERLINK("https://www.walmart.com/ip/5011592218", "5011592218")</f>
        <v/>
      </c>
      <c r="B680" t="inlineStr">
        <is>
          <t>Catalonia Sherpa Wearable Blanket with Sleeves &amp; Foot Pockets for Adult Women Men, Comfy Snuggle Wrap Sleeved Throw Blanket Robe, Gift Idea, Grey Dog</t>
        </is>
      </c>
      <c r="C680" t="inlineStr">
        <is>
          <t>1CTSN310GYDOG</t>
        </is>
      </c>
      <c r="D680" t="inlineStr">
        <is>
          <t>Throws</t>
        </is>
      </c>
      <c r="E680" t="inlineStr">
        <is>
          <t>Catalonia</t>
        </is>
      </c>
      <c r="G680" s="48" t="n">
        <v>0</v>
      </c>
      <c r="H680" s="49" t="n">
        <v>0</v>
      </c>
      <c r="I680" s="49" t="n">
        <v>0</v>
      </c>
      <c r="J680" s="50" t="n">
        <v>0</v>
      </c>
      <c r="K680" s="51" t="n">
        <v>0</v>
      </c>
      <c r="L680" s="52" t="n">
        <v>0</v>
      </c>
      <c r="M680" s="52" t="n">
        <v>0</v>
      </c>
      <c r="N680" s="52" t="n">
        <v>0</v>
      </c>
      <c r="O680" s="53" t="n">
        <v>0</v>
      </c>
      <c r="P680" s="52" t="n">
        <v>0</v>
      </c>
      <c r="Q680" s="53" t="n">
        <v>0</v>
      </c>
      <c r="R680" s="52" t="n">
        <v>0</v>
      </c>
      <c r="S680" s="51" t="n">
        <v>0</v>
      </c>
      <c r="T680" s="48" t="n">
        <v>0</v>
      </c>
      <c r="U680" s="49" t="n">
        <v>0</v>
      </c>
      <c r="V680" s="49" t="n">
        <v>0</v>
      </c>
      <c r="W680" s="50" t="n">
        <v>0</v>
      </c>
      <c r="X680" s="51" t="n">
        <v>0</v>
      </c>
      <c r="Y680" s="52" t="n">
        <v>0</v>
      </c>
      <c r="Z680" s="52" t="n">
        <v>0</v>
      </c>
      <c r="AA680" s="52" t="n">
        <v>0</v>
      </c>
      <c r="AB680" s="53" t="n">
        <v>0</v>
      </c>
      <c r="AC680" s="52" t="n">
        <v>0</v>
      </c>
      <c r="AD680" s="53" t="n">
        <v>0</v>
      </c>
      <c r="AE680" s="52" t="n">
        <v>0</v>
      </c>
      <c r="AF680" s="51" t="n">
        <v>0</v>
      </c>
      <c r="AG680" s="48" t="n">
        <v>0</v>
      </c>
      <c r="AH680" s="49" t="n">
        <v>0</v>
      </c>
      <c r="AI680" s="49" t="n">
        <v>0</v>
      </c>
      <c r="AJ680" s="50" t="n">
        <v>0</v>
      </c>
      <c r="AK680" s="51" t="n">
        <v>0</v>
      </c>
      <c r="AL680" s="52" t="n">
        <v>0</v>
      </c>
      <c r="AM680" s="52" t="n">
        <v>0</v>
      </c>
      <c r="AN680" s="52" t="n">
        <v>0</v>
      </c>
      <c r="AO680" s="53" t="n">
        <v>0</v>
      </c>
      <c r="AP680" s="52" t="n">
        <v>0</v>
      </c>
      <c r="AQ680" s="53" t="n">
        <v>0</v>
      </c>
      <c r="AR680" s="52" t="n">
        <v>0</v>
      </c>
      <c r="AS680" s="51" t="n">
        <v>0</v>
      </c>
      <c r="AT680" s="48" t="n">
        <v>0</v>
      </c>
      <c r="AU680" s="49" t="n">
        <v>0</v>
      </c>
      <c r="AV680" s="49" t="n">
        <v>0</v>
      </c>
      <c r="AW680" s="50" t="n">
        <v>0</v>
      </c>
      <c r="AX680" s="51" t="n">
        <v>0</v>
      </c>
      <c r="AY680" s="52" t="n">
        <v>0</v>
      </c>
      <c r="AZ680" s="52" t="n">
        <v>0</v>
      </c>
      <c r="BA680" s="52" t="n">
        <v>0</v>
      </c>
      <c r="BB680" s="53" t="n">
        <v>0</v>
      </c>
      <c r="BC680" s="52" t="n">
        <v>0</v>
      </c>
      <c r="BD680" s="53" t="n">
        <v>0</v>
      </c>
      <c r="BE680" s="52" t="n">
        <v>0</v>
      </c>
      <c r="BF680" s="51" t="n">
        <v>0</v>
      </c>
    </row>
    <row r="681">
      <c r="A681">
        <f>HYPERLINK("https://www.walmart.com/ip/5010693373", "5010693373")</f>
        <v/>
      </c>
      <c r="B681" t="inlineStr">
        <is>
          <t>Catalonia Sherpa Wearable Blanket with Sleeves &amp; Foot Pockets for Adult Women Men, Comfy Snuggle Wrap Sleeved Throw Blanket Robe, Gift Idea, Blue Cat</t>
        </is>
      </c>
      <c r="C681" t="inlineStr">
        <is>
          <t>1CTSN310BLCAT</t>
        </is>
      </c>
      <c r="D681" t="inlineStr">
        <is>
          <t>Throws</t>
        </is>
      </c>
      <c r="E681" t="inlineStr">
        <is>
          <t>Catalonia</t>
        </is>
      </c>
      <c r="G681" s="48" t="n">
        <v>0</v>
      </c>
      <c r="H681" s="49" t="n">
        <v>0</v>
      </c>
      <c r="I681" s="49" t="n">
        <v>0</v>
      </c>
      <c r="J681" s="50" t="n">
        <v>0</v>
      </c>
      <c r="K681" s="51" t="n">
        <v>0</v>
      </c>
      <c r="L681" s="52" t="n">
        <v>0</v>
      </c>
      <c r="M681" s="52" t="n">
        <v>0</v>
      </c>
      <c r="N681" s="52" t="n">
        <v>0</v>
      </c>
      <c r="O681" s="53" t="n">
        <v>0</v>
      </c>
      <c r="P681" s="52" t="n">
        <v>0</v>
      </c>
      <c r="Q681" s="53" t="n">
        <v>0</v>
      </c>
      <c r="R681" s="52" t="n">
        <v>0</v>
      </c>
      <c r="S681" s="51" t="n">
        <v>0</v>
      </c>
      <c r="T681" s="48" t="n">
        <v>0</v>
      </c>
      <c r="U681" s="49" t="n">
        <v>0</v>
      </c>
      <c r="V681" s="49" t="n">
        <v>0</v>
      </c>
      <c r="W681" s="50" t="n">
        <v>0</v>
      </c>
      <c r="X681" s="51" t="n">
        <v>0</v>
      </c>
      <c r="Y681" s="52" t="n">
        <v>0</v>
      </c>
      <c r="Z681" s="52" t="n">
        <v>0</v>
      </c>
      <c r="AA681" s="52" t="n">
        <v>0</v>
      </c>
      <c r="AB681" s="53" t="n">
        <v>0</v>
      </c>
      <c r="AC681" s="52" t="n">
        <v>0</v>
      </c>
      <c r="AD681" s="53" t="n">
        <v>0</v>
      </c>
      <c r="AE681" s="52" t="n">
        <v>0</v>
      </c>
      <c r="AF681" s="51" t="n">
        <v>0</v>
      </c>
      <c r="AG681" s="48" t="n">
        <v>0</v>
      </c>
      <c r="AH681" s="49" t="n">
        <v>0</v>
      </c>
      <c r="AI681" s="49" t="n">
        <v>0</v>
      </c>
      <c r="AJ681" s="50" t="n">
        <v>0</v>
      </c>
      <c r="AK681" s="51" t="n">
        <v>0</v>
      </c>
      <c r="AL681" s="52" t="n">
        <v>0</v>
      </c>
      <c r="AM681" s="52" t="n">
        <v>0</v>
      </c>
      <c r="AN681" s="52" t="n">
        <v>0</v>
      </c>
      <c r="AO681" s="53" t="n">
        <v>0</v>
      </c>
      <c r="AP681" s="52" t="n">
        <v>0</v>
      </c>
      <c r="AQ681" s="53" t="n">
        <v>0</v>
      </c>
      <c r="AR681" s="52" t="n">
        <v>0</v>
      </c>
      <c r="AS681" s="51" t="n">
        <v>0</v>
      </c>
      <c r="AT681" s="48" t="n">
        <v>0</v>
      </c>
      <c r="AU681" s="49" t="n">
        <v>0</v>
      </c>
      <c r="AV681" s="49" t="n">
        <v>0</v>
      </c>
      <c r="AW681" s="50" t="n">
        <v>0</v>
      </c>
      <c r="AX681" s="51" t="n">
        <v>0</v>
      </c>
      <c r="AY681" s="52" t="n">
        <v>0</v>
      </c>
      <c r="AZ681" s="52" t="n">
        <v>0</v>
      </c>
      <c r="BA681" s="52" t="n">
        <v>0</v>
      </c>
      <c r="BB681" s="53" t="n">
        <v>0</v>
      </c>
      <c r="BC681" s="52" t="n">
        <v>0</v>
      </c>
      <c r="BD681" s="53" t="n">
        <v>0</v>
      </c>
      <c r="BE681" s="52" t="n">
        <v>0</v>
      </c>
      <c r="BF681" s="51" t="n">
        <v>0</v>
      </c>
    </row>
    <row r="682">
      <c r="A682">
        <f>HYPERLINK("https://www.walmart.com/ip/500709074", "500709074")</f>
        <v/>
      </c>
      <c r="B682" t="inlineStr">
        <is>
          <t>Catalonia Wearable Fleece Blanket with Sleeves and Foot Pockets for Adult Women Men, Micro Plush Comfy Wrap Sleeved Throw Blanket Robe Large, Pink</t>
        </is>
      </c>
      <c r="C682" t="inlineStr">
        <is>
          <t>1CTSN101PK</t>
        </is>
      </c>
      <c r="D682" t="inlineStr">
        <is>
          <t>Throws</t>
        </is>
      </c>
      <c r="E682" t="inlineStr">
        <is>
          <t>Catalonia</t>
        </is>
      </c>
      <c r="F682" t="inlineStr">
        <is>
          <t>WFS,Coupon_Discount,WFS Item,Fleece Blankets</t>
        </is>
      </c>
      <c r="G682" s="48" t="n">
        <v>0</v>
      </c>
      <c r="H682" s="49" t="n">
        <v>0</v>
      </c>
      <c r="I682" s="49" t="n">
        <v>0</v>
      </c>
      <c r="J682" s="50" t="n">
        <v>0</v>
      </c>
      <c r="K682" s="51" t="n">
        <v>0</v>
      </c>
      <c r="L682" s="52" t="n">
        <v>0</v>
      </c>
      <c r="M682" s="52" t="n">
        <v>0</v>
      </c>
      <c r="N682" s="52" t="n">
        <v>0</v>
      </c>
      <c r="O682" s="53" t="n">
        <v>0</v>
      </c>
      <c r="P682" s="52" t="n">
        <v>0</v>
      </c>
      <c r="Q682" s="53" t="n">
        <v>0</v>
      </c>
      <c r="R682" s="52" t="n">
        <v>0</v>
      </c>
      <c r="S682" s="51" t="n">
        <v>0</v>
      </c>
      <c r="T682" s="48" t="n">
        <v>0</v>
      </c>
      <c r="U682" s="49" t="n">
        <v>0</v>
      </c>
      <c r="V682" s="49" t="n">
        <v>0</v>
      </c>
      <c r="W682" s="50" t="n">
        <v>0</v>
      </c>
      <c r="X682" s="51" t="n">
        <v>0</v>
      </c>
      <c r="Y682" s="52" t="n">
        <v>0</v>
      </c>
      <c r="Z682" s="52" t="n">
        <v>0</v>
      </c>
      <c r="AA682" s="52" t="n">
        <v>0</v>
      </c>
      <c r="AB682" s="53" t="n">
        <v>0</v>
      </c>
      <c r="AC682" s="52" t="n">
        <v>0</v>
      </c>
      <c r="AD682" s="53" t="n">
        <v>0</v>
      </c>
      <c r="AE682" s="52" t="n">
        <v>0</v>
      </c>
      <c r="AF682" s="51" t="n">
        <v>0</v>
      </c>
      <c r="AG682" s="48" t="n">
        <v>0</v>
      </c>
      <c r="AH682" s="49" t="n">
        <v>0</v>
      </c>
      <c r="AI682" s="49" t="n">
        <v>0</v>
      </c>
      <c r="AJ682" s="50" t="n">
        <v>0</v>
      </c>
      <c r="AK682" s="51" t="n">
        <v>0</v>
      </c>
      <c r="AL682" s="52" t="n">
        <v>0</v>
      </c>
      <c r="AM682" s="52" t="n">
        <v>0</v>
      </c>
      <c r="AN682" s="52" t="n">
        <v>0</v>
      </c>
      <c r="AO682" s="53" t="n">
        <v>0</v>
      </c>
      <c r="AP682" s="52" t="n">
        <v>0</v>
      </c>
      <c r="AQ682" s="53" t="n">
        <v>0</v>
      </c>
      <c r="AR682" s="52" t="n">
        <v>0</v>
      </c>
      <c r="AS682" s="51" t="n">
        <v>0</v>
      </c>
      <c r="AT682" s="48" t="n">
        <v>0</v>
      </c>
      <c r="AU682" s="49" t="n">
        <v>0</v>
      </c>
      <c r="AV682" s="49" t="n">
        <v>0</v>
      </c>
      <c r="AW682" s="50" t="n">
        <v>0</v>
      </c>
      <c r="AX682" s="51" t="n">
        <v>0</v>
      </c>
      <c r="AY682" s="52" t="n">
        <v>0</v>
      </c>
      <c r="AZ682" s="52" t="n">
        <v>0</v>
      </c>
      <c r="BA682" s="52" t="n">
        <v>0</v>
      </c>
      <c r="BB682" s="53" t="n">
        <v>0</v>
      </c>
      <c r="BC682" s="52" t="n">
        <v>0</v>
      </c>
      <c r="BD682" s="53" t="n">
        <v>0</v>
      </c>
      <c r="BE682" s="52" t="n">
        <v>0</v>
      </c>
      <c r="BF682" s="51" t="n">
        <v>0</v>
      </c>
    </row>
    <row r="683">
      <c r="A683">
        <f>HYPERLINK("https://www.walmart.com/ip/494462402", "494462402")</f>
        <v/>
      </c>
      <c r="B683" t="inlineStr">
        <is>
          <t>Tirrinia Super Soft Fluffy Hooded Robe Long Plush Fuzzy Bathrobe for Women with Hood Sherpa Lined, Machine Washable, Grey</t>
        </is>
      </c>
      <c r="C683" t="inlineStr">
        <is>
          <t>1TRRB100GY</t>
        </is>
      </c>
      <c r="D683" t="inlineStr">
        <is>
          <t>Sleepwear Robes &amp; Bathrobes</t>
        </is>
      </c>
      <c r="E683" t="inlineStr">
        <is>
          <t>Tirrinia</t>
        </is>
      </c>
      <c r="F683" t="inlineStr">
        <is>
          <t>WFS,Bathrobe,Coupon_Discount,WFS Item</t>
        </is>
      </c>
      <c r="G683" s="48" t="n">
        <v>0</v>
      </c>
      <c r="H683" s="49" t="n">
        <v>0</v>
      </c>
      <c r="I683" s="49" t="n">
        <v>0</v>
      </c>
      <c r="J683" s="50" t="n">
        <v>0</v>
      </c>
      <c r="K683" s="51" t="n">
        <v>0</v>
      </c>
      <c r="L683" s="52" t="n">
        <v>0</v>
      </c>
      <c r="M683" s="52" t="n">
        <v>0</v>
      </c>
      <c r="N683" s="52" t="n">
        <v>0</v>
      </c>
      <c r="O683" s="53" t="n">
        <v>0</v>
      </c>
      <c r="P683" s="52" t="n">
        <v>0</v>
      </c>
      <c r="Q683" s="53" t="n">
        <v>0</v>
      </c>
      <c r="R683" s="52" t="n">
        <v>0</v>
      </c>
      <c r="S683" s="51" t="n">
        <v>0</v>
      </c>
      <c r="T683" s="48" t="n">
        <v>0</v>
      </c>
      <c r="U683" s="49" t="n">
        <v>0</v>
      </c>
      <c r="V683" s="49" t="n">
        <v>0</v>
      </c>
      <c r="W683" s="50" t="n">
        <v>0</v>
      </c>
      <c r="X683" s="51" t="n">
        <v>0</v>
      </c>
      <c r="Y683" s="52" t="n">
        <v>0</v>
      </c>
      <c r="Z683" s="52" t="n">
        <v>0</v>
      </c>
      <c r="AA683" s="52" t="n">
        <v>0</v>
      </c>
      <c r="AB683" s="53" t="n">
        <v>0</v>
      </c>
      <c r="AC683" s="52" t="n">
        <v>0</v>
      </c>
      <c r="AD683" s="53" t="n">
        <v>0</v>
      </c>
      <c r="AE683" s="52" t="n">
        <v>0</v>
      </c>
      <c r="AF683" s="51" t="n">
        <v>0</v>
      </c>
      <c r="AG683" s="48" t="n">
        <v>0</v>
      </c>
      <c r="AH683" s="49" t="n">
        <v>0</v>
      </c>
      <c r="AI683" s="49" t="n">
        <v>0</v>
      </c>
      <c r="AJ683" s="50" t="n">
        <v>0</v>
      </c>
      <c r="AK683" s="51" t="n">
        <v>0</v>
      </c>
      <c r="AL683" s="52" t="n">
        <v>0</v>
      </c>
      <c r="AM683" s="52" t="n">
        <v>0</v>
      </c>
      <c r="AN683" s="52" t="n">
        <v>0</v>
      </c>
      <c r="AO683" s="53" t="n">
        <v>0</v>
      </c>
      <c r="AP683" s="52" t="n">
        <v>0</v>
      </c>
      <c r="AQ683" s="53" t="n">
        <v>0</v>
      </c>
      <c r="AR683" s="52" t="n">
        <v>0</v>
      </c>
      <c r="AS683" s="51" t="n">
        <v>0</v>
      </c>
      <c r="AT683" s="48" t="n">
        <v>0</v>
      </c>
      <c r="AU683" s="49" t="n">
        <v>0</v>
      </c>
      <c r="AV683" s="49" t="n">
        <v>0</v>
      </c>
      <c r="AW683" s="50" t="n">
        <v>0</v>
      </c>
      <c r="AX683" s="51" t="n">
        <v>0</v>
      </c>
      <c r="AY683" s="52" t="n">
        <v>0</v>
      </c>
      <c r="AZ683" s="52" t="n">
        <v>0</v>
      </c>
      <c r="BA683" s="52" t="n">
        <v>0</v>
      </c>
      <c r="BB683" s="53" t="n">
        <v>0</v>
      </c>
      <c r="BC683" s="52" t="n">
        <v>0</v>
      </c>
      <c r="BD683" s="53" t="n">
        <v>0</v>
      </c>
      <c r="BE683" s="52" t="n">
        <v>0</v>
      </c>
      <c r="BF683" s="51" t="n">
        <v>0</v>
      </c>
    </row>
    <row r="684">
      <c r="A684">
        <f>HYPERLINK("https://www.walmart.com/ip/491790001", "491790001")</f>
        <v/>
      </c>
      <c r="B684" t="inlineStr">
        <is>
          <t>Kato Sherpa Waterproof Throw Blanket Reversible Emergency Warm Picnic 51” X 59”, 2 lb, All Ages</t>
        </is>
      </c>
      <c r="C684" t="inlineStr">
        <is>
          <t>1KTBW506BKGY</t>
        </is>
      </c>
      <c r="D684" t="inlineStr">
        <is>
          <t>Throws</t>
        </is>
      </c>
      <c r="E684" t="inlineStr">
        <is>
          <t>Kato</t>
        </is>
      </c>
      <c r="F684" t="inlineStr">
        <is>
          <t>Q2-Target,Optimized</t>
        </is>
      </c>
      <c r="G684" s="48" t="n">
        <v>0</v>
      </c>
      <c r="H684" s="49" t="n">
        <v>0</v>
      </c>
      <c r="I684" s="49" t="n">
        <v>0</v>
      </c>
      <c r="J684" s="50" t="n">
        <v>0</v>
      </c>
      <c r="K684" s="51" t="n">
        <v>0</v>
      </c>
      <c r="L684" s="52" t="n">
        <v>0</v>
      </c>
      <c r="M684" s="52" t="n">
        <v>0</v>
      </c>
      <c r="N684" s="52" t="n">
        <v>0</v>
      </c>
      <c r="O684" s="53" t="n">
        <v>0</v>
      </c>
      <c r="P684" s="52" t="n">
        <v>0</v>
      </c>
      <c r="Q684" s="53" t="n">
        <v>0</v>
      </c>
      <c r="R684" s="52" t="n">
        <v>0</v>
      </c>
      <c r="S684" s="51" t="n">
        <v>0</v>
      </c>
      <c r="T684" s="48" t="n">
        <v>0</v>
      </c>
      <c r="U684" s="49" t="n">
        <v>0</v>
      </c>
      <c r="V684" s="49" t="n">
        <v>0</v>
      </c>
      <c r="W684" s="50" t="n">
        <v>0</v>
      </c>
      <c r="X684" s="51" t="n">
        <v>0</v>
      </c>
      <c r="Y684" s="52" t="n">
        <v>0</v>
      </c>
      <c r="Z684" s="52" t="n">
        <v>0</v>
      </c>
      <c r="AA684" s="52" t="n">
        <v>0</v>
      </c>
      <c r="AB684" s="53" t="n">
        <v>0</v>
      </c>
      <c r="AC684" s="52" t="n">
        <v>0</v>
      </c>
      <c r="AD684" s="53" t="n">
        <v>0</v>
      </c>
      <c r="AE684" s="52" t="n">
        <v>0</v>
      </c>
      <c r="AF684" s="51" t="n">
        <v>0</v>
      </c>
      <c r="AG684" s="48" t="n">
        <v>0</v>
      </c>
      <c r="AH684" s="49" t="n">
        <v>0</v>
      </c>
      <c r="AI684" s="49" t="n">
        <v>0</v>
      </c>
      <c r="AJ684" s="50" t="n">
        <v>0</v>
      </c>
      <c r="AK684" s="51" t="n">
        <v>0</v>
      </c>
      <c r="AL684" s="52" t="n">
        <v>0</v>
      </c>
      <c r="AM684" s="52" t="n">
        <v>0</v>
      </c>
      <c r="AN684" s="52" t="n">
        <v>0</v>
      </c>
      <c r="AO684" s="53" t="n">
        <v>0</v>
      </c>
      <c r="AP684" s="52" t="n">
        <v>0</v>
      </c>
      <c r="AQ684" s="53" t="n">
        <v>0</v>
      </c>
      <c r="AR684" s="52" t="n">
        <v>0</v>
      </c>
      <c r="AS684" s="51" t="n">
        <v>0</v>
      </c>
      <c r="AT684" s="48" t="n">
        <v>0</v>
      </c>
      <c r="AU684" s="49" t="n">
        <v>0</v>
      </c>
      <c r="AV684" s="49" t="n">
        <v>0</v>
      </c>
      <c r="AW684" s="50" t="n">
        <v>0</v>
      </c>
      <c r="AX684" s="51" t="n">
        <v>0</v>
      </c>
      <c r="AY684" s="52" t="n">
        <v>0</v>
      </c>
      <c r="AZ684" s="52" t="n">
        <v>0</v>
      </c>
      <c r="BA684" s="52" t="n">
        <v>0</v>
      </c>
      <c r="BB684" s="53" t="n">
        <v>0</v>
      </c>
      <c r="BC684" s="52" t="n">
        <v>0</v>
      </c>
      <c r="BD684" s="53" t="n">
        <v>0</v>
      </c>
      <c r="BE684" s="52" t="n">
        <v>0</v>
      </c>
      <c r="BF684" s="51" t="n">
        <v>0</v>
      </c>
    </row>
    <row r="685">
      <c r="A685">
        <f>HYPERLINK("https://www.walmart.com/ip/492947088", "492947088")</f>
        <v/>
      </c>
      <c r="B685" t="inlineStr">
        <is>
          <t>Catalonia Patriotic US Flag Blanket, Sherpa Fleece Plush Super Soft Cozy Warm Reversible Blanket for Couch Bed, 4th of July Citizenship Veteran Gift, 50x70 inches</t>
        </is>
      </c>
      <c r="C685" t="inlineStr">
        <is>
          <t>1CTBF300USARD</t>
        </is>
      </c>
      <c r="D685" t="inlineStr">
        <is>
          <t>Throws</t>
        </is>
      </c>
      <c r="E685" t="inlineStr">
        <is>
          <t>Catalonia</t>
        </is>
      </c>
      <c r="F685" t="inlineStr">
        <is>
          <t>WFS,WFS Item</t>
        </is>
      </c>
      <c r="G685" s="48" t="n">
        <v>0</v>
      </c>
      <c r="H685" s="49" t="n">
        <v>0</v>
      </c>
      <c r="I685" s="49" t="n">
        <v>0</v>
      </c>
      <c r="J685" s="50" t="n">
        <v>0</v>
      </c>
      <c r="K685" s="51" t="n">
        <v>0</v>
      </c>
      <c r="L685" s="52" t="n">
        <v>0</v>
      </c>
      <c r="M685" s="52" t="n">
        <v>0</v>
      </c>
      <c r="N685" s="52" t="n">
        <v>0</v>
      </c>
      <c r="O685" s="53" t="n">
        <v>0</v>
      </c>
      <c r="P685" s="52" t="n">
        <v>0</v>
      </c>
      <c r="Q685" s="53" t="n">
        <v>0</v>
      </c>
      <c r="R685" s="52" t="n">
        <v>0</v>
      </c>
      <c r="S685" s="51" t="n">
        <v>0</v>
      </c>
      <c r="T685" s="48" t="n">
        <v>0</v>
      </c>
      <c r="U685" s="49" t="n">
        <v>0</v>
      </c>
      <c r="V685" s="49" t="n">
        <v>0</v>
      </c>
      <c r="W685" s="50" t="n">
        <v>0</v>
      </c>
      <c r="X685" s="51" t="n">
        <v>0</v>
      </c>
      <c r="Y685" s="52" t="n">
        <v>0</v>
      </c>
      <c r="Z685" s="52" t="n">
        <v>0</v>
      </c>
      <c r="AA685" s="52" t="n">
        <v>0</v>
      </c>
      <c r="AB685" s="53" t="n">
        <v>0</v>
      </c>
      <c r="AC685" s="52" t="n">
        <v>0</v>
      </c>
      <c r="AD685" s="53" t="n">
        <v>0</v>
      </c>
      <c r="AE685" s="52" t="n">
        <v>0</v>
      </c>
      <c r="AF685" s="51" t="n">
        <v>0</v>
      </c>
      <c r="AG685" s="48" t="n">
        <v>25.99</v>
      </c>
      <c r="AH685" s="49" t="n">
        <v>1</v>
      </c>
      <c r="AI685" s="49" t="n">
        <v>0</v>
      </c>
      <c r="AJ685" s="50" t="n">
        <v>0</v>
      </c>
      <c r="AK685" s="51" t="n">
        <v>0</v>
      </c>
      <c r="AL685" s="52" t="n">
        <v>0</v>
      </c>
      <c r="AM685" s="52" t="n">
        <v>0</v>
      </c>
      <c r="AN685" s="52" t="n">
        <v>0</v>
      </c>
      <c r="AO685" s="53" t="n">
        <v>0</v>
      </c>
      <c r="AP685" s="52" t="n">
        <v>0</v>
      </c>
      <c r="AQ685" s="53" t="n">
        <v>0</v>
      </c>
      <c r="AR685" s="52" t="n">
        <v>25.99</v>
      </c>
      <c r="AS685" s="51" t="n">
        <v>0</v>
      </c>
      <c r="AT685" s="48" t="n">
        <v>0</v>
      </c>
      <c r="AU685" s="49" t="n">
        <v>0</v>
      </c>
      <c r="AV685" s="49" t="n">
        <v>0</v>
      </c>
      <c r="AW685" s="50" t="n">
        <v>0</v>
      </c>
      <c r="AX685" s="51" t="n">
        <v>0</v>
      </c>
      <c r="AY685" s="52" t="n">
        <v>0</v>
      </c>
      <c r="AZ685" s="52" t="n">
        <v>0</v>
      </c>
      <c r="BA685" s="52" t="n">
        <v>0</v>
      </c>
      <c r="BB685" s="53" t="n">
        <v>0</v>
      </c>
      <c r="BC685" s="52" t="n">
        <v>0</v>
      </c>
      <c r="BD685" s="53" t="n">
        <v>0</v>
      </c>
      <c r="BE685" s="52" t="n">
        <v>0</v>
      </c>
      <c r="BF685" s="51" t="n">
        <v>0</v>
      </c>
    </row>
    <row r="686">
      <c r="A686">
        <f>HYPERLINK("https://www.walmart.com/ip/493504723", "493504723")</f>
        <v/>
      </c>
      <c r="B686" t="inlineStr">
        <is>
          <t>Catalonia Wearable TV Blanket with Sleeves Arms Warm Micro Plush Sherpa Fleece for Adult Large Wrap Throw Robe 72 x 55”</t>
        </is>
      </c>
      <c r="C686" t="inlineStr">
        <is>
          <t>1CTSN110PP</t>
        </is>
      </c>
      <c r="D686" t="inlineStr">
        <is>
          <t>Throws</t>
        </is>
      </c>
      <c r="E686" t="inlineStr">
        <is>
          <t>Catalonia</t>
        </is>
      </c>
      <c r="F686" t="inlineStr">
        <is>
          <t>WFS,WFS Item</t>
        </is>
      </c>
      <c r="G686" s="48" t="n">
        <v>0</v>
      </c>
      <c r="H686" s="49" t="n">
        <v>0</v>
      </c>
      <c r="I686" s="49" t="n">
        <v>0</v>
      </c>
      <c r="J686" s="50" t="n">
        <v>0</v>
      </c>
      <c r="K686" s="51" t="n">
        <v>0</v>
      </c>
      <c r="L686" s="52" t="n">
        <v>0</v>
      </c>
      <c r="M686" s="52" t="n">
        <v>0</v>
      </c>
      <c r="N686" s="52" t="n">
        <v>0</v>
      </c>
      <c r="O686" s="53" t="n">
        <v>0</v>
      </c>
      <c r="P686" s="52" t="n">
        <v>0</v>
      </c>
      <c r="Q686" s="53" t="n">
        <v>0</v>
      </c>
      <c r="R686" s="52" t="n">
        <v>0</v>
      </c>
      <c r="S686" s="51" t="n">
        <v>0</v>
      </c>
      <c r="T686" s="48" t="n">
        <v>0</v>
      </c>
      <c r="U686" s="49" t="n">
        <v>0</v>
      </c>
      <c r="V686" s="49" t="n">
        <v>0</v>
      </c>
      <c r="W686" s="50" t="n">
        <v>0</v>
      </c>
      <c r="X686" s="51" t="n">
        <v>0</v>
      </c>
      <c r="Y686" s="52" t="n">
        <v>0</v>
      </c>
      <c r="Z686" s="52" t="n">
        <v>0</v>
      </c>
      <c r="AA686" s="52" t="n">
        <v>0</v>
      </c>
      <c r="AB686" s="53" t="n">
        <v>0</v>
      </c>
      <c r="AC686" s="52" t="n">
        <v>0</v>
      </c>
      <c r="AD686" s="53" t="n">
        <v>0</v>
      </c>
      <c r="AE686" s="52" t="n">
        <v>0</v>
      </c>
      <c r="AF686" s="51" t="n">
        <v>0</v>
      </c>
      <c r="AG686" s="48" t="n">
        <v>0</v>
      </c>
      <c r="AH686" s="49" t="n">
        <v>0</v>
      </c>
      <c r="AI686" s="49" t="n">
        <v>0</v>
      </c>
      <c r="AJ686" s="50" t="n">
        <v>0</v>
      </c>
      <c r="AK686" s="51" t="n">
        <v>0</v>
      </c>
      <c r="AL686" s="52" t="n">
        <v>0</v>
      </c>
      <c r="AM686" s="52" t="n">
        <v>0</v>
      </c>
      <c r="AN686" s="52" t="n">
        <v>0</v>
      </c>
      <c r="AO686" s="53" t="n">
        <v>0</v>
      </c>
      <c r="AP686" s="52" t="n">
        <v>0</v>
      </c>
      <c r="AQ686" s="53" t="n">
        <v>0</v>
      </c>
      <c r="AR686" s="52" t="n">
        <v>0</v>
      </c>
      <c r="AS686" s="51" t="n">
        <v>0</v>
      </c>
      <c r="AT686" s="48" t="n">
        <v>0</v>
      </c>
      <c r="AU686" s="49" t="n">
        <v>0</v>
      </c>
      <c r="AV686" s="49" t="n">
        <v>0</v>
      </c>
      <c r="AW686" s="50" t="n">
        <v>0</v>
      </c>
      <c r="AX686" s="51" t="n">
        <v>0</v>
      </c>
      <c r="AY686" s="52" t="n">
        <v>0</v>
      </c>
      <c r="AZ686" s="52" t="n">
        <v>0</v>
      </c>
      <c r="BA686" s="52" t="n">
        <v>0</v>
      </c>
      <c r="BB686" s="53" t="n">
        <v>0</v>
      </c>
      <c r="BC686" s="52" t="n">
        <v>0</v>
      </c>
      <c r="BD686" s="53" t="n">
        <v>0</v>
      </c>
      <c r="BE686" s="52" t="n">
        <v>0</v>
      </c>
      <c r="BF686" s="51" t="n">
        <v>0</v>
      </c>
    </row>
    <row r="687">
      <c r="A687">
        <f>HYPERLINK("https://www.walmart.com/ip/493530227", "493530227")</f>
        <v/>
      </c>
      <c r="B687" t="inlineStr">
        <is>
          <t>JenniWears® Women's Plue Size Flower laced Sexy Babydoll</t>
        </is>
      </c>
      <c r="C687" t="inlineStr">
        <is>
          <t>JWBD05RD-3XL</t>
        </is>
      </c>
      <c r="D687" t="inlineStr">
        <is>
          <t>Lingerie Sets</t>
        </is>
      </c>
      <c r="E687" t="inlineStr">
        <is>
          <t>JenniWears</t>
        </is>
      </c>
      <c r="F687" t="inlineStr">
        <is>
          <t>Valentine</t>
        </is>
      </c>
      <c r="G687" s="48" t="n">
        <v>0</v>
      </c>
      <c r="H687" s="49" t="n">
        <v>0</v>
      </c>
      <c r="I687" s="49" t="n">
        <v>0</v>
      </c>
      <c r="J687" s="50" t="n">
        <v>0</v>
      </c>
      <c r="K687" s="51" t="n">
        <v>0</v>
      </c>
      <c r="L687" s="52" t="n">
        <v>0</v>
      </c>
      <c r="M687" s="52" t="n">
        <v>0</v>
      </c>
      <c r="N687" s="52" t="n">
        <v>0</v>
      </c>
      <c r="O687" s="53" t="n">
        <v>0</v>
      </c>
      <c r="P687" s="52" t="n">
        <v>0</v>
      </c>
      <c r="Q687" s="53" t="n">
        <v>0</v>
      </c>
      <c r="R687" s="52" t="n">
        <v>0</v>
      </c>
      <c r="S687" s="51" t="n">
        <v>0</v>
      </c>
      <c r="T687" s="48" t="n">
        <v>0</v>
      </c>
      <c r="U687" s="49" t="n">
        <v>0</v>
      </c>
      <c r="V687" s="49" t="n">
        <v>0</v>
      </c>
      <c r="W687" s="50" t="n">
        <v>0</v>
      </c>
      <c r="X687" s="51" t="n">
        <v>0</v>
      </c>
      <c r="Y687" s="52" t="n">
        <v>0</v>
      </c>
      <c r="Z687" s="52" t="n">
        <v>0</v>
      </c>
      <c r="AA687" s="52" t="n">
        <v>0</v>
      </c>
      <c r="AB687" s="53" t="n">
        <v>0</v>
      </c>
      <c r="AC687" s="52" t="n">
        <v>0</v>
      </c>
      <c r="AD687" s="53" t="n">
        <v>0</v>
      </c>
      <c r="AE687" s="52" t="n">
        <v>0</v>
      </c>
      <c r="AF687" s="51" t="n">
        <v>0</v>
      </c>
      <c r="AG687" s="48" t="n">
        <v>0</v>
      </c>
      <c r="AH687" s="49" t="n">
        <v>0</v>
      </c>
      <c r="AI687" s="49" t="n">
        <v>0</v>
      </c>
      <c r="AJ687" s="50" t="n">
        <v>0</v>
      </c>
      <c r="AK687" s="51" t="n">
        <v>0</v>
      </c>
      <c r="AL687" s="52" t="n">
        <v>0</v>
      </c>
      <c r="AM687" s="52" t="n">
        <v>0</v>
      </c>
      <c r="AN687" s="52" t="n">
        <v>0</v>
      </c>
      <c r="AO687" s="53" t="n">
        <v>0</v>
      </c>
      <c r="AP687" s="52" t="n">
        <v>0</v>
      </c>
      <c r="AQ687" s="53" t="n">
        <v>0</v>
      </c>
      <c r="AR687" s="52" t="n">
        <v>0</v>
      </c>
      <c r="AS687" s="51" t="n">
        <v>0</v>
      </c>
      <c r="AT687" s="48" t="n">
        <v>0</v>
      </c>
      <c r="AU687" s="49" t="n">
        <v>0</v>
      </c>
      <c r="AV687" s="49" t="n">
        <v>0</v>
      </c>
      <c r="AW687" s="50" t="n">
        <v>0</v>
      </c>
      <c r="AX687" s="51" t="n">
        <v>0</v>
      </c>
      <c r="AY687" s="52" t="n">
        <v>0</v>
      </c>
      <c r="AZ687" s="52" t="n">
        <v>0</v>
      </c>
      <c r="BA687" s="52" t="n">
        <v>0</v>
      </c>
      <c r="BB687" s="53" t="n">
        <v>0</v>
      </c>
      <c r="BC687" s="52" t="n">
        <v>0</v>
      </c>
      <c r="BD687" s="53" t="n">
        <v>0</v>
      </c>
      <c r="BE687" s="52" t="n">
        <v>0</v>
      </c>
      <c r="BF687" s="51" t="n">
        <v>0</v>
      </c>
    </row>
    <row r="688">
      <c r="A688">
        <f>HYPERLINK("https://www.walmart.com/ip/493813539", "493813539")</f>
        <v/>
      </c>
      <c r="B688" t="inlineStr">
        <is>
          <t>Catalonia Fleece Throw Blanket for Couch, Lightweight All Seasons Soft Cozy Moroccan Blanket for Home Living Room Decorative, 50'' x 60'', Blue</t>
        </is>
      </c>
      <c r="C688" t="inlineStr">
        <is>
          <t>1CTBF580LTSBL</t>
        </is>
      </c>
      <c r="D688" t="inlineStr">
        <is>
          <t>Throws</t>
        </is>
      </c>
      <c r="E688" t="inlineStr">
        <is>
          <t>Catalonia</t>
        </is>
      </c>
      <c r="F688" t="inlineStr">
        <is>
          <t>WFS,WFS Item</t>
        </is>
      </c>
      <c r="G688" s="48" t="n">
        <v>0</v>
      </c>
      <c r="H688" s="49" t="n">
        <v>0</v>
      </c>
      <c r="I688" s="49" t="n">
        <v>0</v>
      </c>
      <c r="J688" s="50" t="n">
        <v>0</v>
      </c>
      <c r="K688" s="51" t="n">
        <v>0</v>
      </c>
      <c r="L688" s="52" t="n">
        <v>0</v>
      </c>
      <c r="M688" s="52" t="n">
        <v>0</v>
      </c>
      <c r="N688" s="52" t="n">
        <v>0</v>
      </c>
      <c r="O688" s="53" t="n">
        <v>0</v>
      </c>
      <c r="P688" s="52" t="n">
        <v>0</v>
      </c>
      <c r="Q688" s="53" t="n">
        <v>0</v>
      </c>
      <c r="R688" s="52" t="n">
        <v>0</v>
      </c>
      <c r="S688" s="51" t="n">
        <v>0</v>
      </c>
      <c r="T688" s="48" t="n">
        <v>0</v>
      </c>
      <c r="U688" s="49" t="n">
        <v>0</v>
      </c>
      <c r="V688" s="49" t="n">
        <v>0</v>
      </c>
      <c r="W688" s="50" t="n">
        <v>0</v>
      </c>
      <c r="X688" s="51" t="n">
        <v>0</v>
      </c>
      <c r="Y688" s="52" t="n">
        <v>0</v>
      </c>
      <c r="Z688" s="52" t="n">
        <v>0</v>
      </c>
      <c r="AA688" s="52" t="n">
        <v>0</v>
      </c>
      <c r="AB688" s="53" t="n">
        <v>0</v>
      </c>
      <c r="AC688" s="52" t="n">
        <v>0</v>
      </c>
      <c r="AD688" s="53" t="n">
        <v>0</v>
      </c>
      <c r="AE688" s="52" t="n">
        <v>0</v>
      </c>
      <c r="AF688" s="51" t="n">
        <v>0</v>
      </c>
      <c r="AG688" s="48" t="n">
        <v>0</v>
      </c>
      <c r="AH688" s="49" t="n">
        <v>0</v>
      </c>
      <c r="AI688" s="49" t="n">
        <v>0</v>
      </c>
      <c r="AJ688" s="50" t="n">
        <v>0</v>
      </c>
      <c r="AK688" s="51" t="n">
        <v>0</v>
      </c>
      <c r="AL688" s="52" t="n">
        <v>0</v>
      </c>
      <c r="AM688" s="52" t="n">
        <v>0</v>
      </c>
      <c r="AN688" s="52" t="n">
        <v>0</v>
      </c>
      <c r="AO688" s="53" t="n">
        <v>0</v>
      </c>
      <c r="AP688" s="52" t="n">
        <v>0</v>
      </c>
      <c r="AQ688" s="53" t="n">
        <v>0</v>
      </c>
      <c r="AR688" s="52" t="n">
        <v>0</v>
      </c>
      <c r="AS688" s="51" t="n">
        <v>0</v>
      </c>
      <c r="AT688" s="48" t="n">
        <v>0</v>
      </c>
      <c r="AU688" s="49" t="n">
        <v>0</v>
      </c>
      <c r="AV688" s="49" t="n">
        <v>0</v>
      </c>
      <c r="AW688" s="50" t="n">
        <v>0</v>
      </c>
      <c r="AX688" s="51" t="n">
        <v>0</v>
      </c>
      <c r="AY688" s="52" t="n">
        <v>0</v>
      </c>
      <c r="AZ688" s="52" t="n">
        <v>0</v>
      </c>
      <c r="BA688" s="52" t="n">
        <v>0</v>
      </c>
      <c r="BB688" s="53" t="n">
        <v>0</v>
      </c>
      <c r="BC688" s="52" t="n">
        <v>0</v>
      </c>
      <c r="BD688" s="53" t="n">
        <v>0</v>
      </c>
      <c r="BE688" s="52" t="n">
        <v>0</v>
      </c>
      <c r="BF688" s="51" t="n">
        <v>0</v>
      </c>
    </row>
    <row r="689">
      <c r="A689">
        <f>HYPERLINK("https://www.walmart.com/ip/494100643", "494100643")</f>
        <v/>
      </c>
      <c r="B689" t="inlineStr">
        <is>
          <t>Tirrinia Insulated Lunch Bag for Women, Men and Kids, Leakproof Thermal Reusable Lunch Box Tote, Lunch Cooler for Office Work, Brown</t>
        </is>
      </c>
      <c r="C689" t="inlineStr">
        <is>
          <t>1WMLB701P1BR</t>
        </is>
      </c>
      <c r="D689" t="inlineStr">
        <is>
          <t>Reusable Lunch Bags &amp; Boxes</t>
        </is>
      </c>
      <c r="E689" t="inlineStr">
        <is>
          <t>Flyingstar</t>
        </is>
      </c>
      <c r="F689" t="inlineStr">
        <is>
          <t>Q2-Target,Lunch Bag</t>
        </is>
      </c>
      <c r="G689" s="48" t="n">
        <v>0</v>
      </c>
      <c r="H689" s="49" t="n">
        <v>0</v>
      </c>
      <c r="I689" s="49" t="n">
        <v>0</v>
      </c>
      <c r="J689" s="50" t="n">
        <v>0</v>
      </c>
      <c r="K689" s="51" t="n">
        <v>0</v>
      </c>
      <c r="L689" s="52" t="n">
        <v>0</v>
      </c>
      <c r="M689" s="52" t="n">
        <v>0</v>
      </c>
      <c r="N689" s="52" t="n">
        <v>0</v>
      </c>
      <c r="O689" s="53" t="n">
        <v>0</v>
      </c>
      <c r="P689" s="52" t="n">
        <v>0</v>
      </c>
      <c r="Q689" s="53" t="n">
        <v>0</v>
      </c>
      <c r="R689" s="52" t="n">
        <v>0</v>
      </c>
      <c r="S689" s="51" t="n">
        <v>0</v>
      </c>
      <c r="T689" s="48" t="n">
        <v>0</v>
      </c>
      <c r="U689" s="49" t="n">
        <v>0</v>
      </c>
      <c r="V689" s="49" t="n">
        <v>0</v>
      </c>
      <c r="W689" s="50" t="n">
        <v>0</v>
      </c>
      <c r="X689" s="51" t="n">
        <v>0</v>
      </c>
      <c r="Y689" s="52" t="n">
        <v>0</v>
      </c>
      <c r="Z689" s="52" t="n">
        <v>0</v>
      </c>
      <c r="AA689" s="52" t="n">
        <v>0</v>
      </c>
      <c r="AB689" s="53" t="n">
        <v>0</v>
      </c>
      <c r="AC689" s="52" t="n">
        <v>0</v>
      </c>
      <c r="AD689" s="53" t="n">
        <v>0</v>
      </c>
      <c r="AE689" s="52" t="n">
        <v>0</v>
      </c>
      <c r="AF689" s="51" t="n">
        <v>0</v>
      </c>
      <c r="AG689" s="48" t="n">
        <v>0</v>
      </c>
      <c r="AH689" s="49" t="n">
        <v>0</v>
      </c>
      <c r="AI689" s="49" t="n">
        <v>0</v>
      </c>
      <c r="AJ689" s="50" t="n">
        <v>0</v>
      </c>
      <c r="AK689" s="51" t="n">
        <v>0</v>
      </c>
      <c r="AL689" s="52" t="n">
        <v>0</v>
      </c>
      <c r="AM689" s="52" t="n">
        <v>0</v>
      </c>
      <c r="AN689" s="52" t="n">
        <v>0</v>
      </c>
      <c r="AO689" s="53" t="n">
        <v>0</v>
      </c>
      <c r="AP689" s="52" t="n">
        <v>0</v>
      </c>
      <c r="AQ689" s="53" t="n">
        <v>0</v>
      </c>
      <c r="AR689" s="52" t="n">
        <v>0</v>
      </c>
      <c r="AS689" s="51" t="n">
        <v>0</v>
      </c>
      <c r="AT689" s="48" t="n">
        <v>11.99</v>
      </c>
      <c r="AU689" s="49" t="n">
        <v>1</v>
      </c>
      <c r="AV689" s="49" t="n">
        <v>0</v>
      </c>
      <c r="AW689" s="50" t="n">
        <v>0</v>
      </c>
      <c r="AX689" s="51" t="n">
        <v>0</v>
      </c>
      <c r="AY689" s="52" t="n">
        <v>0</v>
      </c>
      <c r="AZ689" s="52" t="n">
        <v>0</v>
      </c>
      <c r="BA689" s="52" t="n">
        <v>0</v>
      </c>
      <c r="BB689" s="53" t="n">
        <v>0</v>
      </c>
      <c r="BC689" s="52" t="n">
        <v>0</v>
      </c>
      <c r="BD689" s="53" t="n">
        <v>0</v>
      </c>
      <c r="BE689" s="52" t="n">
        <v>11.99</v>
      </c>
      <c r="BF689" s="51" t="n">
        <v>0</v>
      </c>
    </row>
    <row r="690">
      <c r="A690">
        <f>HYPERLINK("https://www.walmart.com/ip/497159576", "497159576")</f>
        <v/>
      </c>
      <c r="B690" t="inlineStr">
        <is>
          <t>Fleece Blanket Wearable with Sleeves and Pocket, Micro Plush Warm Comfy Sleeved TV Throw Blanket Robe for Women and Men Multi-Colors 72”X55” by Catalonia</t>
        </is>
      </c>
      <c r="C690" t="inlineStr">
        <is>
          <t>1CTSN110PRD</t>
        </is>
      </c>
      <c r="D690" t="inlineStr">
        <is>
          <t>Throws</t>
        </is>
      </c>
      <c r="E690" t="inlineStr">
        <is>
          <t>Catalonia</t>
        </is>
      </c>
      <c r="F690" t="inlineStr">
        <is>
          <t>Q2-Target,WFS,Coupon_Discount,WFS Item,Fleece Blankets</t>
        </is>
      </c>
      <c r="G690" s="48" t="n">
        <v>0</v>
      </c>
      <c r="H690" s="49" t="n">
        <v>0</v>
      </c>
      <c r="I690" s="49" t="n">
        <v>0</v>
      </c>
      <c r="J690" s="50" t="n">
        <v>0</v>
      </c>
      <c r="K690" s="51" t="n">
        <v>0</v>
      </c>
      <c r="L690" s="52" t="n">
        <v>0</v>
      </c>
      <c r="M690" s="52" t="n">
        <v>0</v>
      </c>
      <c r="N690" s="52" t="n">
        <v>0</v>
      </c>
      <c r="O690" s="53" t="n">
        <v>0</v>
      </c>
      <c r="P690" s="52" t="n">
        <v>0</v>
      </c>
      <c r="Q690" s="53" t="n">
        <v>0</v>
      </c>
      <c r="R690" s="52" t="n">
        <v>0</v>
      </c>
      <c r="S690" s="51" t="n">
        <v>0</v>
      </c>
      <c r="T690" s="48" t="n">
        <v>0</v>
      </c>
      <c r="U690" s="49" t="n">
        <v>0</v>
      </c>
      <c r="V690" s="49" t="n">
        <v>0</v>
      </c>
      <c r="W690" s="50" t="n">
        <v>0</v>
      </c>
      <c r="X690" s="51" t="n">
        <v>0</v>
      </c>
      <c r="Y690" s="52" t="n">
        <v>0</v>
      </c>
      <c r="Z690" s="52" t="n">
        <v>0</v>
      </c>
      <c r="AA690" s="52" t="n">
        <v>0</v>
      </c>
      <c r="AB690" s="53" t="n">
        <v>0</v>
      </c>
      <c r="AC690" s="52" t="n">
        <v>0</v>
      </c>
      <c r="AD690" s="53" t="n">
        <v>0</v>
      </c>
      <c r="AE690" s="52" t="n">
        <v>0</v>
      </c>
      <c r="AF690" s="51" t="n">
        <v>0</v>
      </c>
      <c r="AG690" s="48" t="n">
        <v>0</v>
      </c>
      <c r="AH690" s="49" t="n">
        <v>0</v>
      </c>
      <c r="AI690" s="49" t="n">
        <v>0</v>
      </c>
      <c r="AJ690" s="50" t="n">
        <v>0</v>
      </c>
      <c r="AK690" s="51" t="n">
        <v>0</v>
      </c>
      <c r="AL690" s="52" t="n">
        <v>0</v>
      </c>
      <c r="AM690" s="52" t="n">
        <v>0</v>
      </c>
      <c r="AN690" s="52" t="n">
        <v>0</v>
      </c>
      <c r="AO690" s="53" t="n">
        <v>0</v>
      </c>
      <c r="AP690" s="52" t="n">
        <v>0</v>
      </c>
      <c r="AQ690" s="53" t="n">
        <v>0</v>
      </c>
      <c r="AR690" s="52" t="n">
        <v>0</v>
      </c>
      <c r="AS690" s="51" t="n">
        <v>0</v>
      </c>
      <c r="AT690" s="48" t="n">
        <v>0</v>
      </c>
      <c r="AU690" s="49" t="n">
        <v>0</v>
      </c>
      <c r="AV690" s="49" t="n">
        <v>0</v>
      </c>
      <c r="AW690" s="50" t="n">
        <v>0</v>
      </c>
      <c r="AX690" s="51" t="n">
        <v>0</v>
      </c>
      <c r="AY690" s="52" t="n">
        <v>0</v>
      </c>
      <c r="AZ690" s="52" t="n">
        <v>0</v>
      </c>
      <c r="BA690" s="52" t="n">
        <v>0</v>
      </c>
      <c r="BB690" s="53" t="n">
        <v>0</v>
      </c>
      <c r="BC690" s="52" t="n">
        <v>0</v>
      </c>
      <c r="BD690" s="53" t="n">
        <v>0</v>
      </c>
      <c r="BE690" s="52" t="n">
        <v>0</v>
      </c>
      <c r="BF690" s="51" t="n">
        <v>0</v>
      </c>
    </row>
    <row r="691">
      <c r="A691">
        <f>HYPERLINK("https://www.walmart.com/ip/500345659", "500345659")</f>
        <v/>
      </c>
      <c r="B691" t="inlineStr">
        <is>
          <t>Tirrinia Sun Hat for Women with Wide Brim Neck Flap, Fishing Safari Hat for Outdoor Hiking Camping, Tan</t>
        </is>
      </c>
      <c r="C691" t="inlineStr">
        <is>
          <t>1TRSH9152TN-TBGM</t>
        </is>
      </c>
      <c r="D691" t="inlineStr">
        <is>
          <t>Hats</t>
        </is>
      </c>
      <c r="E691" t="inlineStr">
        <is>
          <t>Tirrinia</t>
        </is>
      </c>
      <c r="F691" t="inlineStr">
        <is>
          <t>Q2-Target,Optimized</t>
        </is>
      </c>
      <c r="G691" s="48" t="n">
        <v>0</v>
      </c>
      <c r="H691" s="49" t="n">
        <v>0</v>
      </c>
      <c r="I691" s="49" t="n">
        <v>0</v>
      </c>
      <c r="J691" s="50" t="n">
        <v>0</v>
      </c>
      <c r="K691" s="51" t="n">
        <v>0</v>
      </c>
      <c r="L691" s="52" t="n">
        <v>0</v>
      </c>
      <c r="M691" s="52" t="n">
        <v>0</v>
      </c>
      <c r="N691" s="52" t="n">
        <v>0</v>
      </c>
      <c r="O691" s="53" t="n">
        <v>0</v>
      </c>
      <c r="P691" s="52" t="n">
        <v>0</v>
      </c>
      <c r="Q691" s="53" t="n">
        <v>0</v>
      </c>
      <c r="R691" s="52" t="n">
        <v>0</v>
      </c>
      <c r="S691" s="51" t="n">
        <v>117</v>
      </c>
      <c r="T691" s="48" t="n">
        <v>0</v>
      </c>
      <c r="U691" s="49" t="n">
        <v>0</v>
      </c>
      <c r="V691" s="49" t="n">
        <v>0</v>
      </c>
      <c r="W691" s="50" t="n">
        <v>0</v>
      </c>
      <c r="X691" s="51" t="n">
        <v>0</v>
      </c>
      <c r="Y691" s="52" t="n">
        <v>0</v>
      </c>
      <c r="Z691" s="52" t="n">
        <v>0</v>
      </c>
      <c r="AA691" s="52" t="n">
        <v>0</v>
      </c>
      <c r="AB691" s="53" t="n">
        <v>0</v>
      </c>
      <c r="AC691" s="52" t="n">
        <v>0</v>
      </c>
      <c r="AD691" s="53" t="n">
        <v>0</v>
      </c>
      <c r="AE691" s="52" t="n">
        <v>0</v>
      </c>
      <c r="AF691" s="51" t="n">
        <v>0</v>
      </c>
      <c r="AG691" s="48" t="n">
        <v>0</v>
      </c>
      <c r="AH691" s="49" t="n">
        <v>0</v>
      </c>
      <c r="AI691" s="49" t="n">
        <v>0</v>
      </c>
      <c r="AJ691" s="50" t="n">
        <v>0</v>
      </c>
      <c r="AK691" s="51" t="n">
        <v>0</v>
      </c>
      <c r="AL691" s="52" t="n">
        <v>0</v>
      </c>
      <c r="AM691" s="52" t="n">
        <v>0</v>
      </c>
      <c r="AN691" s="52" t="n">
        <v>0</v>
      </c>
      <c r="AO691" s="53" t="n">
        <v>0</v>
      </c>
      <c r="AP691" s="52" t="n">
        <v>0</v>
      </c>
      <c r="AQ691" s="53" t="n">
        <v>0</v>
      </c>
      <c r="AR691" s="52" t="n">
        <v>0</v>
      </c>
      <c r="AS691" s="51" t="n">
        <v>0</v>
      </c>
      <c r="AT691" s="48" t="n">
        <v>0</v>
      </c>
      <c r="AU691" s="49" t="n">
        <v>0</v>
      </c>
      <c r="AV691" s="49" t="n">
        <v>0</v>
      </c>
      <c r="AW691" s="50" t="n">
        <v>0</v>
      </c>
      <c r="AX691" s="51" t="n">
        <v>0</v>
      </c>
      <c r="AY691" s="52" t="n">
        <v>0</v>
      </c>
      <c r="AZ691" s="52" t="n">
        <v>0</v>
      </c>
      <c r="BA691" s="52" t="n">
        <v>0</v>
      </c>
      <c r="BB691" s="53" t="n">
        <v>0</v>
      </c>
      <c r="BC691" s="52" t="n">
        <v>0</v>
      </c>
      <c r="BD691" s="53" t="n">
        <v>0</v>
      </c>
      <c r="BE691" s="52" t="n">
        <v>0</v>
      </c>
      <c r="BF691" s="51" t="n">
        <v>0</v>
      </c>
    </row>
    <row r="692">
      <c r="A692">
        <f>HYPERLINK("https://www.walmart.com/ip/497720903", "497720903")</f>
        <v/>
      </c>
      <c r="B692" t="inlineStr">
        <is>
          <t>Catalonia Mermaid Tail Blanket, Super Soft Blanket Sherpa Lined Knit with Non-slip Neck Strap, Fleece Blanket for Adult Women or Teen Girls, Blue, 67'' x 22.5''</t>
        </is>
      </c>
      <c r="C692" t="inlineStr">
        <is>
          <t>1CTMM300BL</t>
        </is>
      </c>
      <c r="D692" t="inlineStr">
        <is>
          <t>Throws</t>
        </is>
      </c>
      <c r="E692" t="inlineStr">
        <is>
          <t>Catalonia</t>
        </is>
      </c>
      <c r="F692" t="inlineStr">
        <is>
          <t>WFS,Coupon_Discount,WFS Item</t>
        </is>
      </c>
      <c r="G692" s="48" t="n">
        <v>0</v>
      </c>
      <c r="H692" s="49" t="n">
        <v>0</v>
      </c>
      <c r="I692" s="49" t="n">
        <v>0</v>
      </c>
      <c r="J692" s="50" t="n">
        <v>0</v>
      </c>
      <c r="K692" s="51" t="n">
        <v>0</v>
      </c>
      <c r="L692" s="52" t="n">
        <v>0</v>
      </c>
      <c r="M692" s="52" t="n">
        <v>0</v>
      </c>
      <c r="N692" s="52" t="n">
        <v>0</v>
      </c>
      <c r="O692" s="53" t="n">
        <v>0</v>
      </c>
      <c r="P692" s="52" t="n">
        <v>0</v>
      </c>
      <c r="Q692" s="53" t="n">
        <v>0</v>
      </c>
      <c r="R692" s="52" t="n">
        <v>0</v>
      </c>
      <c r="S692" s="51" t="n">
        <v>0</v>
      </c>
      <c r="T692" s="48" t="n">
        <v>0</v>
      </c>
      <c r="U692" s="49" t="n">
        <v>0</v>
      </c>
      <c r="V692" s="49" t="n">
        <v>0</v>
      </c>
      <c r="W692" s="50" t="n">
        <v>0</v>
      </c>
      <c r="X692" s="51" t="n">
        <v>0</v>
      </c>
      <c r="Y692" s="52" t="n">
        <v>0</v>
      </c>
      <c r="Z692" s="52" t="n">
        <v>0</v>
      </c>
      <c r="AA692" s="52" t="n">
        <v>0</v>
      </c>
      <c r="AB692" s="53" t="n">
        <v>0</v>
      </c>
      <c r="AC692" s="52" t="n">
        <v>0</v>
      </c>
      <c r="AD692" s="53" t="n">
        <v>0</v>
      </c>
      <c r="AE692" s="52" t="n">
        <v>0</v>
      </c>
      <c r="AF692" s="51" t="n">
        <v>0</v>
      </c>
      <c r="AG692" s="48" t="n">
        <v>0</v>
      </c>
      <c r="AH692" s="49" t="n">
        <v>0</v>
      </c>
      <c r="AI692" s="49" t="n">
        <v>0</v>
      </c>
      <c r="AJ692" s="50" t="n">
        <v>0</v>
      </c>
      <c r="AK692" s="51" t="n">
        <v>0</v>
      </c>
      <c r="AL692" s="52" t="n">
        <v>0</v>
      </c>
      <c r="AM692" s="52" t="n">
        <v>0</v>
      </c>
      <c r="AN692" s="52" t="n">
        <v>0</v>
      </c>
      <c r="AO692" s="53" t="n">
        <v>0</v>
      </c>
      <c r="AP692" s="52" t="n">
        <v>0</v>
      </c>
      <c r="AQ692" s="53" t="n">
        <v>0</v>
      </c>
      <c r="AR692" s="52" t="n">
        <v>0</v>
      </c>
      <c r="AS692" s="51" t="n">
        <v>0</v>
      </c>
      <c r="AT692" s="48" t="n">
        <v>0</v>
      </c>
      <c r="AU692" s="49" t="n">
        <v>0</v>
      </c>
      <c r="AV692" s="49" t="n">
        <v>0</v>
      </c>
      <c r="AW692" s="50" t="n">
        <v>0</v>
      </c>
      <c r="AX692" s="51" t="n">
        <v>0</v>
      </c>
      <c r="AY692" s="52" t="n">
        <v>0</v>
      </c>
      <c r="AZ692" s="52" t="n">
        <v>0</v>
      </c>
      <c r="BA692" s="52" t="n">
        <v>0</v>
      </c>
      <c r="BB692" s="53" t="n">
        <v>0</v>
      </c>
      <c r="BC692" s="52" t="n">
        <v>0</v>
      </c>
      <c r="BD692" s="53" t="n">
        <v>0</v>
      </c>
      <c r="BE692" s="52" t="n">
        <v>0</v>
      </c>
      <c r="BF692" s="51" t="n">
        <v>0</v>
      </c>
    </row>
    <row r="693">
      <c r="A693">
        <f>HYPERLINK("https://www.walmart.com/ip/497765958", "497765958")</f>
        <v/>
      </c>
      <c r="B693" t="inlineStr">
        <is>
          <t>Oversized Hoodie Blanket Sweatshirt Sherpa</t>
        </is>
      </c>
      <c r="C693" t="inlineStr">
        <is>
          <t>1CTHD201UNI</t>
        </is>
      </c>
      <c r="D693" t="inlineStr">
        <is>
          <t>Sweatshirts &amp; Hoodies</t>
        </is>
      </c>
      <c r="E693" t="inlineStr">
        <is>
          <t>Catalonia</t>
        </is>
      </c>
      <c r="F693" t="inlineStr">
        <is>
          <t>Hoodie For Kids,WFS,WFS Item</t>
        </is>
      </c>
      <c r="G693" s="48" t="n">
        <v>0</v>
      </c>
      <c r="H693" s="49" t="n">
        <v>0</v>
      </c>
      <c r="I693" s="49" t="n">
        <v>0</v>
      </c>
      <c r="J693" s="50" t="n">
        <v>0</v>
      </c>
      <c r="K693" s="51" t="n">
        <v>0</v>
      </c>
      <c r="L693" s="52" t="n">
        <v>0</v>
      </c>
      <c r="M693" s="52" t="n">
        <v>0</v>
      </c>
      <c r="N693" s="52" t="n">
        <v>0</v>
      </c>
      <c r="O693" s="53" t="n">
        <v>0</v>
      </c>
      <c r="P693" s="52" t="n">
        <v>0</v>
      </c>
      <c r="Q693" s="53" t="n">
        <v>0</v>
      </c>
      <c r="R693" s="52" t="n">
        <v>0</v>
      </c>
      <c r="S693" s="51" t="n">
        <v>0</v>
      </c>
      <c r="T693" s="48" t="n">
        <v>0</v>
      </c>
      <c r="U693" s="49" t="n">
        <v>0</v>
      </c>
      <c r="V693" s="49" t="n">
        <v>0</v>
      </c>
      <c r="W693" s="50" t="n">
        <v>0</v>
      </c>
      <c r="X693" s="51" t="n">
        <v>0</v>
      </c>
      <c r="Y693" s="52" t="n">
        <v>0</v>
      </c>
      <c r="Z693" s="52" t="n">
        <v>0</v>
      </c>
      <c r="AA693" s="52" t="n">
        <v>0</v>
      </c>
      <c r="AB693" s="53" t="n">
        <v>0</v>
      </c>
      <c r="AC693" s="52" t="n">
        <v>0</v>
      </c>
      <c r="AD693" s="53" t="n">
        <v>0</v>
      </c>
      <c r="AE693" s="52" t="n">
        <v>0</v>
      </c>
      <c r="AF693" s="51" t="n">
        <v>0</v>
      </c>
      <c r="AG693" s="48" t="n">
        <v>0</v>
      </c>
      <c r="AH693" s="49" t="n">
        <v>0</v>
      </c>
      <c r="AI693" s="49" t="n">
        <v>0</v>
      </c>
      <c r="AJ693" s="50" t="n">
        <v>0</v>
      </c>
      <c r="AK693" s="51" t="n">
        <v>0</v>
      </c>
      <c r="AL693" s="52" t="n">
        <v>0</v>
      </c>
      <c r="AM693" s="52" t="n">
        <v>0</v>
      </c>
      <c r="AN693" s="52" t="n">
        <v>0</v>
      </c>
      <c r="AO693" s="53" t="n">
        <v>0</v>
      </c>
      <c r="AP693" s="52" t="n">
        <v>0</v>
      </c>
      <c r="AQ693" s="53" t="n">
        <v>0</v>
      </c>
      <c r="AR693" s="52" t="n">
        <v>0</v>
      </c>
      <c r="AS693" s="51" t="n">
        <v>0</v>
      </c>
      <c r="AT693" s="48" t="n">
        <v>0</v>
      </c>
      <c r="AU693" s="49" t="n">
        <v>0</v>
      </c>
      <c r="AV693" s="49" t="n">
        <v>0</v>
      </c>
      <c r="AW693" s="50" t="n">
        <v>0</v>
      </c>
      <c r="AX693" s="51" t="n">
        <v>0</v>
      </c>
      <c r="AY693" s="52" t="n">
        <v>0</v>
      </c>
      <c r="AZ693" s="52" t="n">
        <v>0</v>
      </c>
      <c r="BA693" s="52" t="n">
        <v>0</v>
      </c>
      <c r="BB693" s="53" t="n">
        <v>0</v>
      </c>
      <c r="BC693" s="52" t="n">
        <v>0</v>
      </c>
      <c r="BD693" s="53" t="n">
        <v>0</v>
      </c>
      <c r="BE693" s="52" t="n">
        <v>0</v>
      </c>
      <c r="BF693" s="51" t="n">
        <v>0</v>
      </c>
    </row>
    <row r="694">
      <c r="A694">
        <f>HYPERLINK("https://www.walmart.com/ip/498489728", "498489728")</f>
        <v/>
      </c>
      <c r="B694" t="inlineStr">
        <is>
          <t>Tirrinia Surf Poncho Changing Towel with Hood, Quick Dry Microfiber Wetsuit Changing Robe, Grey</t>
        </is>
      </c>
      <c r="C694" t="inlineStr">
        <is>
          <t>1TRBR100-GY</t>
        </is>
      </c>
      <c r="D694" t="inlineStr">
        <is>
          <t>Towels &amp; Washcloths</t>
        </is>
      </c>
      <c r="E694" t="inlineStr">
        <is>
          <t>Tirrinia</t>
        </is>
      </c>
      <c r="F694" t="inlineStr">
        <is>
          <t>Beach Robe Camp,Batch 1 - TR</t>
        </is>
      </c>
      <c r="G694" s="48" t="n">
        <v>0</v>
      </c>
      <c r="H694" s="49" t="n">
        <v>0</v>
      </c>
      <c r="I694" s="49" t="n">
        <v>0</v>
      </c>
      <c r="J694" s="50" t="n">
        <v>0</v>
      </c>
      <c r="K694" s="51" t="n">
        <v>0</v>
      </c>
      <c r="L694" s="52" t="n">
        <v>0</v>
      </c>
      <c r="M694" s="52" t="n">
        <v>0</v>
      </c>
      <c r="N694" s="52" t="n">
        <v>0</v>
      </c>
      <c r="O694" s="53" t="n">
        <v>0</v>
      </c>
      <c r="P694" s="52" t="n">
        <v>0</v>
      </c>
      <c r="Q694" s="53" t="n">
        <v>0</v>
      </c>
      <c r="R694" s="52" t="n">
        <v>0</v>
      </c>
      <c r="S694" s="51" t="n">
        <v>0</v>
      </c>
      <c r="T694" s="48" t="n">
        <v>0</v>
      </c>
      <c r="U694" s="49" t="n">
        <v>0</v>
      </c>
      <c r="V694" s="49" t="n">
        <v>0</v>
      </c>
      <c r="W694" s="50" t="n">
        <v>0</v>
      </c>
      <c r="X694" s="51" t="n">
        <v>0</v>
      </c>
      <c r="Y694" s="52" t="n">
        <v>0</v>
      </c>
      <c r="Z694" s="52" t="n">
        <v>0</v>
      </c>
      <c r="AA694" s="52" t="n">
        <v>0</v>
      </c>
      <c r="AB694" s="53" t="n">
        <v>0</v>
      </c>
      <c r="AC694" s="52" t="n">
        <v>0</v>
      </c>
      <c r="AD694" s="53" t="n">
        <v>0</v>
      </c>
      <c r="AE694" s="52" t="n">
        <v>0</v>
      </c>
      <c r="AF694" s="51" t="n">
        <v>0</v>
      </c>
      <c r="AG694" s="48" t="n">
        <v>0</v>
      </c>
      <c r="AH694" s="49" t="n">
        <v>0</v>
      </c>
      <c r="AI694" s="49" t="n">
        <v>0</v>
      </c>
      <c r="AJ694" s="50" t="n">
        <v>0</v>
      </c>
      <c r="AK694" s="51" t="n">
        <v>0</v>
      </c>
      <c r="AL694" s="52" t="n">
        <v>0</v>
      </c>
      <c r="AM694" s="52" t="n">
        <v>0</v>
      </c>
      <c r="AN694" s="52" t="n">
        <v>0</v>
      </c>
      <c r="AO694" s="53" t="n">
        <v>0</v>
      </c>
      <c r="AP694" s="52" t="n">
        <v>0</v>
      </c>
      <c r="AQ694" s="53" t="n">
        <v>0</v>
      </c>
      <c r="AR694" s="52" t="n">
        <v>0</v>
      </c>
      <c r="AS694" s="51" t="n">
        <v>0</v>
      </c>
      <c r="AT694" s="48" t="n">
        <v>0</v>
      </c>
      <c r="AU694" s="49" t="n">
        <v>0</v>
      </c>
      <c r="AV694" s="49" t="n">
        <v>0</v>
      </c>
      <c r="AW694" s="50" t="n">
        <v>0</v>
      </c>
      <c r="AX694" s="51" t="n">
        <v>0</v>
      </c>
      <c r="AY694" s="52" t="n">
        <v>0</v>
      </c>
      <c r="AZ694" s="52" t="n">
        <v>0</v>
      </c>
      <c r="BA694" s="52" t="n">
        <v>0</v>
      </c>
      <c r="BB694" s="53" t="n">
        <v>0</v>
      </c>
      <c r="BC694" s="52" t="n">
        <v>0</v>
      </c>
      <c r="BD694" s="53" t="n">
        <v>0</v>
      </c>
      <c r="BE694" s="52" t="n">
        <v>0</v>
      </c>
      <c r="BF694" s="51" t="n">
        <v>0</v>
      </c>
    </row>
    <row r="695">
      <c r="A695">
        <f>HYPERLINK("https://www.walmart.com/ip/5001474247", "5001474247")</f>
        <v/>
      </c>
      <c r="B695" t="inlineStr">
        <is>
          <t>Catalonia Wearable Blanket with Sleeves and Pocket, Cozy Soft Fleece Micro Plush Wrap Adult Blanket Robe for Women Men, Grey Dog Pattern Makes a Great Gift for Holidays, 73" x 51".</t>
        </is>
      </c>
      <c r="C695" t="inlineStr">
        <is>
          <t>1CTSN100GYDOG</t>
        </is>
      </c>
      <c r="D695" t="inlineStr">
        <is>
          <t>Throws</t>
        </is>
      </c>
      <c r="E695" t="inlineStr">
        <is>
          <t>Catalonia</t>
        </is>
      </c>
      <c r="F695" t="inlineStr">
        <is>
          <t>Q2-Target,Coupon_Discount</t>
        </is>
      </c>
      <c r="G695" s="48" t="n">
        <v>0</v>
      </c>
      <c r="H695" s="49" t="n">
        <v>0</v>
      </c>
      <c r="I695" s="49" t="n">
        <v>0</v>
      </c>
      <c r="J695" s="50" t="n">
        <v>0</v>
      </c>
      <c r="K695" s="51" t="n">
        <v>0</v>
      </c>
      <c r="L695" s="52" t="n">
        <v>0</v>
      </c>
      <c r="M695" s="52" t="n">
        <v>0</v>
      </c>
      <c r="N695" s="52" t="n">
        <v>0</v>
      </c>
      <c r="O695" s="53" t="n">
        <v>0</v>
      </c>
      <c r="P695" s="52" t="n">
        <v>0</v>
      </c>
      <c r="Q695" s="53" t="n">
        <v>0</v>
      </c>
      <c r="R695" s="52" t="n">
        <v>0</v>
      </c>
      <c r="S695" s="51" t="n">
        <v>0</v>
      </c>
      <c r="T695" s="48" t="n">
        <v>0</v>
      </c>
      <c r="U695" s="49" t="n">
        <v>0</v>
      </c>
      <c r="V695" s="49" t="n">
        <v>0</v>
      </c>
      <c r="W695" s="50" t="n">
        <v>0</v>
      </c>
      <c r="X695" s="51" t="n">
        <v>0</v>
      </c>
      <c r="Y695" s="52" t="n">
        <v>0</v>
      </c>
      <c r="Z695" s="52" t="n">
        <v>0</v>
      </c>
      <c r="AA695" s="52" t="n">
        <v>0</v>
      </c>
      <c r="AB695" s="53" t="n">
        <v>0</v>
      </c>
      <c r="AC695" s="52" t="n">
        <v>0</v>
      </c>
      <c r="AD695" s="53" t="n">
        <v>0</v>
      </c>
      <c r="AE695" s="52" t="n">
        <v>0</v>
      </c>
      <c r="AF695" s="51" t="n">
        <v>0</v>
      </c>
      <c r="AG695" s="48" t="n">
        <v>0</v>
      </c>
      <c r="AH695" s="49" t="n">
        <v>0</v>
      </c>
      <c r="AI695" s="49" t="n">
        <v>0</v>
      </c>
      <c r="AJ695" s="50" t="n">
        <v>0</v>
      </c>
      <c r="AK695" s="51" t="n">
        <v>0</v>
      </c>
      <c r="AL695" s="52" t="n">
        <v>0</v>
      </c>
      <c r="AM695" s="52" t="n">
        <v>0</v>
      </c>
      <c r="AN695" s="52" t="n">
        <v>0</v>
      </c>
      <c r="AO695" s="53" t="n">
        <v>0</v>
      </c>
      <c r="AP695" s="52" t="n">
        <v>0</v>
      </c>
      <c r="AQ695" s="53" t="n">
        <v>0</v>
      </c>
      <c r="AR695" s="52" t="n">
        <v>0</v>
      </c>
      <c r="AS695" s="51" t="n">
        <v>0</v>
      </c>
      <c r="AT695" s="48" t="n">
        <v>21.99</v>
      </c>
      <c r="AU695" s="49" t="n">
        <v>1</v>
      </c>
      <c r="AV695" s="49" t="n">
        <v>0</v>
      </c>
      <c r="AW695" s="50" t="n">
        <v>0</v>
      </c>
      <c r="AX695" s="51" t="n">
        <v>0</v>
      </c>
      <c r="AY695" s="52" t="n">
        <v>0</v>
      </c>
      <c r="AZ695" s="52" t="n">
        <v>0</v>
      </c>
      <c r="BA695" s="52" t="n">
        <v>0</v>
      </c>
      <c r="BB695" s="53" t="n">
        <v>0</v>
      </c>
      <c r="BC695" s="52" t="n">
        <v>0</v>
      </c>
      <c r="BD695" s="53" t="n">
        <v>0</v>
      </c>
      <c r="BE695" s="52" t="n">
        <v>21.99</v>
      </c>
      <c r="BF695" s="51" t="n">
        <v>0</v>
      </c>
    </row>
    <row r="696">
      <c r="A696">
        <f>HYPERLINK("https://www.walmart.com/ip/500205579", "500205579")</f>
        <v/>
      </c>
      <c r="B696" t="inlineStr">
        <is>
          <t>Runner Waist Pack - Hip Hug Running Fuel Belt with 2 Pockets - NO BOUNCE Runner's Fanny Pack - Storage Pouch Bag Runners</t>
        </is>
      </c>
      <c r="C696" t="inlineStr">
        <is>
          <t>TERRA-3NG-M-ZJ</t>
        </is>
      </c>
      <c r="D696" t="inlineStr">
        <is>
          <t>Fanny Packs</t>
        </is>
      </c>
      <c r="E696" t="inlineStr">
        <is>
          <t>Terra</t>
        </is>
      </c>
      <c r="F696" t="inlineStr">
        <is>
          <t>Optimized</t>
        </is>
      </c>
      <c r="G696" s="48" t="n">
        <v>0</v>
      </c>
      <c r="H696" s="49" t="n">
        <v>0</v>
      </c>
      <c r="I696" s="49" t="n">
        <v>0</v>
      </c>
      <c r="J696" s="50" t="n">
        <v>0</v>
      </c>
      <c r="K696" s="51" t="n">
        <v>0</v>
      </c>
      <c r="L696" s="52" t="n">
        <v>0</v>
      </c>
      <c r="M696" s="52" t="n">
        <v>0</v>
      </c>
      <c r="N696" s="52" t="n">
        <v>0</v>
      </c>
      <c r="O696" s="53" t="n">
        <v>0</v>
      </c>
      <c r="P696" s="52" t="n">
        <v>0</v>
      </c>
      <c r="Q696" s="53" t="n">
        <v>0</v>
      </c>
      <c r="R696" s="52" t="n">
        <v>0</v>
      </c>
      <c r="S696" s="51" t="n">
        <v>0</v>
      </c>
      <c r="T696" s="48" t="n">
        <v>0</v>
      </c>
      <c r="U696" s="49" t="n">
        <v>0</v>
      </c>
      <c r="V696" s="49" t="n">
        <v>0</v>
      </c>
      <c r="W696" s="50" t="n">
        <v>0</v>
      </c>
      <c r="X696" s="51" t="n">
        <v>0</v>
      </c>
      <c r="Y696" s="52" t="n">
        <v>0</v>
      </c>
      <c r="Z696" s="52" t="n">
        <v>0</v>
      </c>
      <c r="AA696" s="52" t="n">
        <v>0</v>
      </c>
      <c r="AB696" s="53" t="n">
        <v>0</v>
      </c>
      <c r="AC696" s="52" t="n">
        <v>0</v>
      </c>
      <c r="AD696" s="53" t="n">
        <v>0</v>
      </c>
      <c r="AE696" s="52" t="n">
        <v>0</v>
      </c>
      <c r="AF696" s="51" t="n">
        <v>0</v>
      </c>
      <c r="AG696" s="48" t="n">
        <v>0</v>
      </c>
      <c r="AH696" s="49" t="n">
        <v>0</v>
      </c>
      <c r="AI696" s="49" t="n">
        <v>0</v>
      </c>
      <c r="AJ696" s="50" t="n">
        <v>0</v>
      </c>
      <c r="AK696" s="51" t="n">
        <v>0</v>
      </c>
      <c r="AL696" s="52" t="n">
        <v>0</v>
      </c>
      <c r="AM696" s="52" t="n">
        <v>0</v>
      </c>
      <c r="AN696" s="52" t="n">
        <v>0</v>
      </c>
      <c r="AO696" s="53" t="n">
        <v>0</v>
      </c>
      <c r="AP696" s="52" t="n">
        <v>0</v>
      </c>
      <c r="AQ696" s="53" t="n">
        <v>0</v>
      </c>
      <c r="AR696" s="52" t="n">
        <v>0</v>
      </c>
      <c r="AS696" s="51" t="n">
        <v>0</v>
      </c>
      <c r="AT696" s="48" t="n">
        <v>0</v>
      </c>
      <c r="AU696" s="49" t="n">
        <v>0</v>
      </c>
      <c r="AV696" s="49" t="n">
        <v>0</v>
      </c>
      <c r="AW696" s="50" t="n">
        <v>0</v>
      </c>
      <c r="AX696" s="51" t="n">
        <v>0</v>
      </c>
      <c r="AY696" s="52" t="n">
        <v>0</v>
      </c>
      <c r="AZ696" s="52" t="n">
        <v>0</v>
      </c>
      <c r="BA696" s="52" t="n">
        <v>0</v>
      </c>
      <c r="BB696" s="53" t="n">
        <v>0</v>
      </c>
      <c r="BC696" s="52" t="n">
        <v>0</v>
      </c>
      <c r="BD696" s="53" t="n">
        <v>0</v>
      </c>
      <c r="BE696" s="52" t="n">
        <v>0</v>
      </c>
      <c r="BF696" s="51" t="n">
        <v>0</v>
      </c>
    </row>
    <row r="697">
      <c r="A697">
        <f>HYPERLINK("https://www.walmart.com/ip/5002306608", "5002306608")</f>
        <v/>
      </c>
      <c r="B697" t="inlineStr">
        <is>
          <t>Catalonia Wearable Blanket with Sleeves and Pocket, Cozy Soft Fleece Micro Plush Wrap Adult Blanket Robe for Women Men, Blue Cat Pattern Makes a Great Gift for Holidays.</t>
        </is>
      </c>
      <c r="C697" t="inlineStr">
        <is>
          <t>1CTSN100BLCAT</t>
        </is>
      </c>
      <c r="D697" t="inlineStr">
        <is>
          <t>Throws</t>
        </is>
      </c>
      <c r="E697" t="inlineStr">
        <is>
          <t>Catalonia</t>
        </is>
      </c>
      <c r="F697" t="inlineStr">
        <is>
          <t>Q2-Target</t>
        </is>
      </c>
      <c r="G697" s="48" t="n">
        <v>0</v>
      </c>
      <c r="H697" s="49" t="n">
        <v>0</v>
      </c>
      <c r="I697" s="49" t="n">
        <v>0</v>
      </c>
      <c r="J697" s="50" t="n">
        <v>0</v>
      </c>
      <c r="K697" s="51" t="n">
        <v>0</v>
      </c>
      <c r="L697" s="52" t="n">
        <v>0</v>
      </c>
      <c r="M697" s="52" t="n">
        <v>0</v>
      </c>
      <c r="N697" s="52" t="n">
        <v>0</v>
      </c>
      <c r="O697" s="53" t="n">
        <v>0</v>
      </c>
      <c r="P697" s="52" t="n">
        <v>0</v>
      </c>
      <c r="Q697" s="53" t="n">
        <v>0</v>
      </c>
      <c r="R697" s="52" t="n">
        <v>0</v>
      </c>
      <c r="S697" s="51" t="n">
        <v>0</v>
      </c>
      <c r="T697" s="48" t="n">
        <v>0</v>
      </c>
      <c r="U697" s="49" t="n">
        <v>0</v>
      </c>
      <c r="V697" s="49" t="n">
        <v>0</v>
      </c>
      <c r="W697" s="50" t="n">
        <v>0</v>
      </c>
      <c r="X697" s="51" t="n">
        <v>0</v>
      </c>
      <c r="Y697" s="52" t="n">
        <v>0</v>
      </c>
      <c r="Z697" s="52" t="n">
        <v>0</v>
      </c>
      <c r="AA697" s="52" t="n">
        <v>0</v>
      </c>
      <c r="AB697" s="53" t="n">
        <v>0</v>
      </c>
      <c r="AC697" s="52" t="n">
        <v>0</v>
      </c>
      <c r="AD697" s="53" t="n">
        <v>0</v>
      </c>
      <c r="AE697" s="52" t="n">
        <v>0</v>
      </c>
      <c r="AF697" s="51" t="n">
        <v>0</v>
      </c>
      <c r="AG697" s="48" t="n">
        <v>0</v>
      </c>
      <c r="AH697" s="49" t="n">
        <v>0</v>
      </c>
      <c r="AI697" s="49" t="n">
        <v>0</v>
      </c>
      <c r="AJ697" s="50" t="n">
        <v>0</v>
      </c>
      <c r="AK697" s="51" t="n">
        <v>0</v>
      </c>
      <c r="AL697" s="52" t="n">
        <v>0</v>
      </c>
      <c r="AM697" s="52" t="n">
        <v>0</v>
      </c>
      <c r="AN697" s="52" t="n">
        <v>0</v>
      </c>
      <c r="AO697" s="53" t="n">
        <v>0</v>
      </c>
      <c r="AP697" s="52" t="n">
        <v>0</v>
      </c>
      <c r="AQ697" s="53" t="n">
        <v>0</v>
      </c>
      <c r="AR697" s="52" t="n">
        <v>0</v>
      </c>
      <c r="AS697" s="51" t="n">
        <v>0</v>
      </c>
      <c r="AT697" s="48" t="n">
        <v>0</v>
      </c>
      <c r="AU697" s="49" t="n">
        <v>0</v>
      </c>
      <c r="AV697" s="49" t="n">
        <v>0</v>
      </c>
      <c r="AW697" s="50" t="n">
        <v>0</v>
      </c>
      <c r="AX697" s="51" t="n">
        <v>0</v>
      </c>
      <c r="AY697" s="52" t="n">
        <v>0</v>
      </c>
      <c r="AZ697" s="52" t="n">
        <v>0</v>
      </c>
      <c r="BA697" s="52" t="n">
        <v>0</v>
      </c>
      <c r="BB697" s="53" t="n">
        <v>0</v>
      </c>
      <c r="BC697" s="52" t="n">
        <v>0</v>
      </c>
      <c r="BD697" s="53" t="n">
        <v>0</v>
      </c>
      <c r="BE697" s="52" t="n">
        <v>0</v>
      </c>
      <c r="BF697" s="51" t="n">
        <v>0</v>
      </c>
    </row>
    <row r="698">
      <c r="A698">
        <f>HYPERLINK("https://www.walmart.com/ip/6284809845", "6284809845")</f>
        <v/>
      </c>
      <c r="B698" t="inlineStr">
        <is>
          <t>Tirrinia Lightweight Beach Poncho Towel with Hood for Adult Quick Dry Travel Surfer Pool Camping Beach Accessories Vacation Essential Summer</t>
        </is>
      </c>
      <c r="C698" t="inlineStr">
        <is>
          <t>1TRBC201MM</t>
        </is>
      </c>
      <c r="D698" t="inlineStr">
        <is>
          <t>Towels &amp; Washcloths</t>
        </is>
      </c>
      <c r="E698" t="inlineStr">
        <is>
          <t>Tirrinia</t>
        </is>
      </c>
      <c r="G698" s="48" t="n">
        <v>0</v>
      </c>
      <c r="H698" s="49" t="n">
        <v>0</v>
      </c>
      <c r="I698" s="49" t="n">
        <v>0</v>
      </c>
      <c r="J698" s="50" t="n">
        <v>0</v>
      </c>
      <c r="K698" s="51" t="n">
        <v>0</v>
      </c>
      <c r="L698" s="52" t="n">
        <v>0</v>
      </c>
      <c r="M698" s="52" t="n">
        <v>0</v>
      </c>
      <c r="N698" s="52" t="n">
        <v>0</v>
      </c>
      <c r="O698" s="53" t="n">
        <v>0</v>
      </c>
      <c r="P698" s="52" t="n">
        <v>0</v>
      </c>
      <c r="Q698" s="53" t="n">
        <v>0</v>
      </c>
      <c r="R698" s="52" t="n">
        <v>0</v>
      </c>
      <c r="S698" s="51" t="n">
        <v>0</v>
      </c>
      <c r="T698" s="48" t="n">
        <v>0</v>
      </c>
      <c r="U698" s="49" t="n">
        <v>0</v>
      </c>
      <c r="V698" s="49" t="n">
        <v>0</v>
      </c>
      <c r="W698" s="50" t="n">
        <v>0</v>
      </c>
      <c r="X698" s="51" t="n">
        <v>0</v>
      </c>
      <c r="Y698" s="52" t="n">
        <v>0</v>
      </c>
      <c r="Z698" s="52" t="n">
        <v>0</v>
      </c>
      <c r="AA698" s="52" t="n">
        <v>0</v>
      </c>
      <c r="AB698" s="53" t="n">
        <v>0</v>
      </c>
      <c r="AC698" s="52" t="n">
        <v>0</v>
      </c>
      <c r="AD698" s="53" t="n">
        <v>0</v>
      </c>
      <c r="AE698" s="52" t="n">
        <v>0</v>
      </c>
      <c r="AF698" s="51" t="n">
        <v>0</v>
      </c>
      <c r="AG698" s="48" t="n">
        <v>0</v>
      </c>
      <c r="AH698" s="49" t="n">
        <v>0</v>
      </c>
      <c r="AI698" s="49" t="n">
        <v>0</v>
      </c>
      <c r="AJ698" s="50" t="n">
        <v>0</v>
      </c>
      <c r="AK698" s="51" t="n">
        <v>0</v>
      </c>
      <c r="AL698" s="52" t="n">
        <v>0</v>
      </c>
      <c r="AM698" s="52" t="n">
        <v>0</v>
      </c>
      <c r="AN698" s="52" t="n">
        <v>0</v>
      </c>
      <c r="AO698" s="53" t="n">
        <v>0</v>
      </c>
      <c r="AP698" s="52" t="n">
        <v>0</v>
      </c>
      <c r="AQ698" s="53" t="n">
        <v>0</v>
      </c>
      <c r="AR698" s="52" t="n">
        <v>0</v>
      </c>
      <c r="AS698" s="51" t="n">
        <v>0</v>
      </c>
      <c r="AT698" s="48" t="n">
        <v>0</v>
      </c>
      <c r="AU698" s="49" t="n">
        <v>0</v>
      </c>
      <c r="AV698" s="49" t="n">
        <v>0</v>
      </c>
      <c r="AW698" s="50" t="n">
        <v>0</v>
      </c>
      <c r="AX698" s="51" t="n">
        <v>0</v>
      </c>
      <c r="AY698" s="52" t="n">
        <v>0</v>
      </c>
      <c r="AZ698" s="52" t="n">
        <v>0</v>
      </c>
      <c r="BA698" s="52" t="n">
        <v>0</v>
      </c>
      <c r="BB698" s="53" t="n">
        <v>0</v>
      </c>
      <c r="BC698" s="52" t="n">
        <v>0</v>
      </c>
      <c r="BD698" s="53" t="n">
        <v>0</v>
      </c>
      <c r="BE698" s="52" t="n">
        <v>0</v>
      </c>
      <c r="BF698" s="51" t="n">
        <v>0</v>
      </c>
    </row>
    <row r="699">
      <c r="A699">
        <f>HYPERLINK("https://www.walmart.com/ip/656441278", "656441278")</f>
        <v/>
      </c>
      <c r="B699" t="inlineStr">
        <is>
          <t>American Flag Sun Cap Patriotic Sports Baseball Tennis Golf Dad Hats for Men Women by Solaris</t>
        </is>
      </c>
      <c r="C699" t="inlineStr">
        <is>
          <t>1SLBC100NV</t>
        </is>
      </c>
      <c r="D699" t="inlineStr">
        <is>
          <t>Golf Hats</t>
        </is>
      </c>
      <c r="E699" t="inlineStr">
        <is>
          <t>Solaris</t>
        </is>
      </c>
      <c r="F699" t="inlineStr">
        <is>
          <t>Batch 1 - TR</t>
        </is>
      </c>
      <c r="G699" s="48" t="n">
        <v>0</v>
      </c>
      <c r="H699" s="49" t="n">
        <v>0</v>
      </c>
      <c r="I699" s="49" t="n">
        <v>0</v>
      </c>
      <c r="J699" s="50" t="n">
        <v>0</v>
      </c>
      <c r="K699" s="51" t="n">
        <v>0</v>
      </c>
      <c r="L699" s="52" t="n">
        <v>0</v>
      </c>
      <c r="M699" s="52" t="n">
        <v>0</v>
      </c>
      <c r="N699" s="52" t="n">
        <v>0</v>
      </c>
      <c r="O699" s="53" t="n">
        <v>0</v>
      </c>
      <c r="P699" s="52" t="n">
        <v>0</v>
      </c>
      <c r="Q699" s="53" t="n">
        <v>0</v>
      </c>
      <c r="R699" s="52" t="n">
        <v>0</v>
      </c>
      <c r="S699" s="51" t="n">
        <v>0</v>
      </c>
      <c r="T699" s="48" t="n">
        <v>0</v>
      </c>
      <c r="U699" s="49" t="n">
        <v>0</v>
      </c>
      <c r="V699" s="49" t="n">
        <v>0</v>
      </c>
      <c r="W699" s="50" t="n">
        <v>0</v>
      </c>
      <c r="X699" s="51" t="n">
        <v>0</v>
      </c>
      <c r="Y699" s="52" t="n">
        <v>0</v>
      </c>
      <c r="Z699" s="52" t="n">
        <v>0</v>
      </c>
      <c r="AA699" s="52" t="n">
        <v>0</v>
      </c>
      <c r="AB699" s="53" t="n">
        <v>0</v>
      </c>
      <c r="AC699" s="52" t="n">
        <v>0</v>
      </c>
      <c r="AD699" s="53" t="n">
        <v>0</v>
      </c>
      <c r="AE699" s="52" t="n">
        <v>0</v>
      </c>
      <c r="AF699" s="51" t="n">
        <v>0</v>
      </c>
      <c r="AG699" s="48" t="n">
        <v>0</v>
      </c>
      <c r="AH699" s="49" t="n">
        <v>0</v>
      </c>
      <c r="AI699" s="49" t="n">
        <v>0</v>
      </c>
      <c r="AJ699" s="50" t="n">
        <v>0</v>
      </c>
      <c r="AK699" s="51" t="n">
        <v>0</v>
      </c>
      <c r="AL699" s="52" t="n">
        <v>0</v>
      </c>
      <c r="AM699" s="52" t="n">
        <v>0</v>
      </c>
      <c r="AN699" s="52" t="n">
        <v>0</v>
      </c>
      <c r="AO699" s="53" t="n">
        <v>0</v>
      </c>
      <c r="AP699" s="52" t="n">
        <v>0</v>
      </c>
      <c r="AQ699" s="53" t="n">
        <v>0</v>
      </c>
      <c r="AR699" s="52" t="n">
        <v>0</v>
      </c>
      <c r="AS699" s="51" t="n">
        <v>0</v>
      </c>
      <c r="AT699" s="48" t="n">
        <v>0</v>
      </c>
      <c r="AU699" s="49" t="n">
        <v>0</v>
      </c>
      <c r="AV699" s="49" t="n">
        <v>0</v>
      </c>
      <c r="AW699" s="50" t="n">
        <v>0</v>
      </c>
      <c r="AX699" s="51" t="n">
        <v>0</v>
      </c>
      <c r="AY699" s="52" t="n">
        <v>0</v>
      </c>
      <c r="AZ699" s="52" t="n">
        <v>0</v>
      </c>
      <c r="BA699" s="52" t="n">
        <v>0</v>
      </c>
      <c r="BB699" s="53" t="n">
        <v>0</v>
      </c>
      <c r="BC699" s="52" t="n">
        <v>0</v>
      </c>
      <c r="BD699" s="53" t="n">
        <v>0</v>
      </c>
      <c r="BE699" s="52" t="n">
        <v>0</v>
      </c>
      <c r="BF699" s="51" t="n">
        <v>0</v>
      </c>
    </row>
    <row r="700">
      <c r="A700">
        <f>HYPERLINK("https://www.walmart.com/ip/6302756596", "6302756596")</f>
        <v/>
      </c>
      <c r="B700" t="inlineStr">
        <is>
          <t>Tirrinia Lightweight Beach Poncho Towel with Hood for Adult Quick Dry Travel Surfer Pool Camping Beach Accessories Vacation Essential Summer</t>
        </is>
      </c>
      <c r="C700" t="inlineStr">
        <is>
          <t>1TRBC201SHARK</t>
        </is>
      </c>
      <c r="D700" t="inlineStr">
        <is>
          <t>Towels &amp; Washcloths</t>
        </is>
      </c>
      <c r="E700" t="inlineStr">
        <is>
          <t>Tirrinia</t>
        </is>
      </c>
      <c r="G700" s="48" t="n">
        <v>0</v>
      </c>
      <c r="H700" s="49" t="n">
        <v>0</v>
      </c>
      <c r="I700" s="49" t="n">
        <v>0</v>
      </c>
      <c r="J700" s="50" t="n">
        <v>0</v>
      </c>
      <c r="K700" s="51" t="n">
        <v>0</v>
      </c>
      <c r="L700" s="52" t="n">
        <v>0</v>
      </c>
      <c r="M700" s="52" t="n">
        <v>0</v>
      </c>
      <c r="N700" s="52" t="n">
        <v>0</v>
      </c>
      <c r="O700" s="53" t="n">
        <v>0</v>
      </c>
      <c r="P700" s="52" t="n">
        <v>0</v>
      </c>
      <c r="Q700" s="53" t="n">
        <v>0</v>
      </c>
      <c r="R700" s="52" t="n">
        <v>0</v>
      </c>
      <c r="S700" s="51" t="n">
        <v>0</v>
      </c>
      <c r="T700" s="48" t="n">
        <v>0</v>
      </c>
      <c r="U700" s="49" t="n">
        <v>0</v>
      </c>
      <c r="V700" s="49" t="n">
        <v>0</v>
      </c>
      <c r="W700" s="50" t="n">
        <v>0</v>
      </c>
      <c r="X700" s="51" t="n">
        <v>0</v>
      </c>
      <c r="Y700" s="52" t="n">
        <v>0</v>
      </c>
      <c r="Z700" s="52" t="n">
        <v>0</v>
      </c>
      <c r="AA700" s="52" t="n">
        <v>0</v>
      </c>
      <c r="AB700" s="53" t="n">
        <v>0</v>
      </c>
      <c r="AC700" s="52" t="n">
        <v>0</v>
      </c>
      <c r="AD700" s="53" t="n">
        <v>0</v>
      </c>
      <c r="AE700" s="52" t="n">
        <v>0</v>
      </c>
      <c r="AF700" s="51" t="n">
        <v>0</v>
      </c>
      <c r="AG700" s="48" t="n">
        <v>0</v>
      </c>
      <c r="AH700" s="49" t="n">
        <v>0</v>
      </c>
      <c r="AI700" s="49" t="n">
        <v>0</v>
      </c>
      <c r="AJ700" s="50" t="n">
        <v>0</v>
      </c>
      <c r="AK700" s="51" t="n">
        <v>0</v>
      </c>
      <c r="AL700" s="52" t="n">
        <v>0</v>
      </c>
      <c r="AM700" s="52" t="n">
        <v>0</v>
      </c>
      <c r="AN700" s="52" t="n">
        <v>0</v>
      </c>
      <c r="AO700" s="53" t="n">
        <v>0</v>
      </c>
      <c r="AP700" s="52" t="n">
        <v>0</v>
      </c>
      <c r="AQ700" s="53" t="n">
        <v>0</v>
      </c>
      <c r="AR700" s="52" t="n">
        <v>0</v>
      </c>
      <c r="AS700" s="51" t="n">
        <v>0</v>
      </c>
      <c r="AT700" s="48" t="n">
        <v>0</v>
      </c>
      <c r="AU700" s="49" t="n">
        <v>0</v>
      </c>
      <c r="AV700" s="49" t="n">
        <v>0</v>
      </c>
      <c r="AW700" s="50" t="n">
        <v>0</v>
      </c>
      <c r="AX700" s="51" t="n">
        <v>0</v>
      </c>
      <c r="AY700" s="52" t="n">
        <v>0</v>
      </c>
      <c r="AZ700" s="52" t="n">
        <v>0</v>
      </c>
      <c r="BA700" s="52" t="n">
        <v>0</v>
      </c>
      <c r="BB700" s="53" t="n">
        <v>0</v>
      </c>
      <c r="BC700" s="52" t="n">
        <v>0</v>
      </c>
      <c r="BD700" s="53" t="n">
        <v>0</v>
      </c>
      <c r="BE700" s="52" t="n">
        <v>0</v>
      </c>
      <c r="BF700" s="51" t="n">
        <v>0</v>
      </c>
    </row>
    <row r="701">
      <c r="A701">
        <f>HYPERLINK("https://www.walmart.com/ip/901154057", "901154057")</f>
        <v/>
      </c>
      <c r="B701" t="inlineStr">
        <is>
          <t>Tirrinia Insulated Wine Tumbler, Silver</t>
        </is>
      </c>
      <c r="C701" t="inlineStr">
        <is>
          <t>1TRWT120SL</t>
        </is>
      </c>
      <c r="D701" t="inlineStr">
        <is>
          <t>Tumblers</t>
        </is>
      </c>
      <c r="E701" t="inlineStr">
        <is>
          <t>Tirrinia</t>
        </is>
      </c>
      <c r="F701" t="inlineStr">
        <is>
          <t>Wine,Christmas,Optimized,Valentine</t>
        </is>
      </c>
      <c r="G701" s="48" t="n">
        <v>0</v>
      </c>
      <c r="H701" s="49" t="n">
        <v>0</v>
      </c>
      <c r="I701" s="49" t="n">
        <v>0</v>
      </c>
      <c r="J701" s="50" t="n">
        <v>0</v>
      </c>
      <c r="K701" s="51" t="n">
        <v>0</v>
      </c>
      <c r="L701" s="52" t="n">
        <v>0</v>
      </c>
      <c r="M701" s="52" t="n">
        <v>0</v>
      </c>
      <c r="N701" s="52" t="n">
        <v>0</v>
      </c>
      <c r="O701" s="53" t="n">
        <v>0</v>
      </c>
      <c r="P701" s="52" t="n">
        <v>0</v>
      </c>
      <c r="Q701" s="53" t="n">
        <v>0</v>
      </c>
      <c r="R701" s="52" t="n">
        <v>0</v>
      </c>
      <c r="S701" s="51" t="n">
        <v>0</v>
      </c>
      <c r="T701" s="48" t="n">
        <v>0</v>
      </c>
      <c r="U701" s="49" t="n">
        <v>0</v>
      </c>
      <c r="V701" s="49" t="n">
        <v>0</v>
      </c>
      <c r="W701" s="50" t="n">
        <v>0</v>
      </c>
      <c r="X701" s="51" t="n">
        <v>0</v>
      </c>
      <c r="Y701" s="52" t="n">
        <v>0</v>
      </c>
      <c r="Z701" s="52" t="n">
        <v>0</v>
      </c>
      <c r="AA701" s="52" t="n">
        <v>0</v>
      </c>
      <c r="AB701" s="53" t="n">
        <v>0</v>
      </c>
      <c r="AC701" s="52" t="n">
        <v>0</v>
      </c>
      <c r="AD701" s="53" t="n">
        <v>0</v>
      </c>
      <c r="AE701" s="52" t="n">
        <v>0</v>
      </c>
      <c r="AF701" s="51" t="n">
        <v>0</v>
      </c>
      <c r="AG701" s="48" t="n">
        <v>0</v>
      </c>
      <c r="AH701" s="49" t="n">
        <v>0</v>
      </c>
      <c r="AI701" s="49" t="n">
        <v>0</v>
      </c>
      <c r="AJ701" s="50" t="n">
        <v>0</v>
      </c>
      <c r="AK701" s="51" t="n">
        <v>0</v>
      </c>
      <c r="AL701" s="52" t="n">
        <v>0</v>
      </c>
      <c r="AM701" s="52" t="n">
        <v>0</v>
      </c>
      <c r="AN701" s="52" t="n">
        <v>0</v>
      </c>
      <c r="AO701" s="53" t="n">
        <v>0</v>
      </c>
      <c r="AP701" s="52" t="n">
        <v>0</v>
      </c>
      <c r="AQ701" s="53" t="n">
        <v>0</v>
      </c>
      <c r="AR701" s="52" t="n">
        <v>0</v>
      </c>
      <c r="AS701" s="51" t="n">
        <v>0</v>
      </c>
      <c r="AT701" s="48" t="n">
        <v>0</v>
      </c>
      <c r="AU701" s="49" t="n">
        <v>0</v>
      </c>
      <c r="AV701" s="49" t="n">
        <v>0</v>
      </c>
      <c r="AW701" s="50" t="n">
        <v>0</v>
      </c>
      <c r="AX701" s="51" t="n">
        <v>0</v>
      </c>
      <c r="AY701" s="52" t="n">
        <v>0</v>
      </c>
      <c r="AZ701" s="52" t="n">
        <v>0</v>
      </c>
      <c r="BA701" s="52" t="n">
        <v>0</v>
      </c>
      <c r="BB701" s="53" t="n">
        <v>0</v>
      </c>
      <c r="BC701" s="52" t="n">
        <v>0</v>
      </c>
      <c r="BD701" s="53" t="n">
        <v>0</v>
      </c>
      <c r="BE701" s="52" t="n">
        <v>0</v>
      </c>
      <c r="BF701" s="51" t="n">
        <v>0</v>
      </c>
    </row>
    <row r="702">
      <c r="A702">
        <f>HYPERLINK("https://www.walmart.com/ip/902012738", "902012738")</f>
        <v/>
      </c>
      <c r="B702" t="inlineStr">
        <is>
          <t>Unisex Fishing Hat with Foldable Neck Flap Cover Wide Brim Sun UV Protection Hiking Safari Bucket Cap for Bug Free(Olive)</t>
        </is>
      </c>
      <c r="C702" t="inlineStr">
        <is>
          <t>1SLSH060OL</t>
        </is>
      </c>
      <c r="D702" t="inlineStr">
        <is>
          <t>Hats</t>
        </is>
      </c>
      <c r="E702" t="inlineStr">
        <is>
          <t>Solaris</t>
        </is>
      </c>
      <c r="F702" t="inlineStr">
        <is>
          <t>Optimized,Hats</t>
        </is>
      </c>
      <c r="G702" s="48" t="n">
        <v>0</v>
      </c>
      <c r="H702" s="49" t="n">
        <v>0</v>
      </c>
      <c r="I702" s="49" t="n">
        <v>0</v>
      </c>
      <c r="J702" s="50" t="n">
        <v>0</v>
      </c>
      <c r="K702" s="51" t="n">
        <v>0</v>
      </c>
      <c r="L702" s="52" t="n">
        <v>0</v>
      </c>
      <c r="M702" s="52" t="n">
        <v>0</v>
      </c>
      <c r="N702" s="52" t="n">
        <v>0</v>
      </c>
      <c r="O702" s="53" t="n">
        <v>0</v>
      </c>
      <c r="P702" s="52" t="n">
        <v>0</v>
      </c>
      <c r="Q702" s="53" t="n">
        <v>0</v>
      </c>
      <c r="R702" s="52" t="n">
        <v>0</v>
      </c>
      <c r="S702" s="51" t="n">
        <v>0</v>
      </c>
      <c r="T702" s="48" t="n">
        <v>0</v>
      </c>
      <c r="U702" s="49" t="n">
        <v>0</v>
      </c>
      <c r="V702" s="49" t="n">
        <v>0</v>
      </c>
      <c r="W702" s="50" t="n">
        <v>0</v>
      </c>
      <c r="X702" s="51" t="n">
        <v>0</v>
      </c>
      <c r="Y702" s="52" t="n">
        <v>0</v>
      </c>
      <c r="Z702" s="52" t="n">
        <v>0</v>
      </c>
      <c r="AA702" s="52" t="n">
        <v>0</v>
      </c>
      <c r="AB702" s="53" t="n">
        <v>0</v>
      </c>
      <c r="AC702" s="52" t="n">
        <v>0</v>
      </c>
      <c r="AD702" s="53" t="n">
        <v>0</v>
      </c>
      <c r="AE702" s="52" t="n">
        <v>0</v>
      </c>
      <c r="AF702" s="51" t="n">
        <v>0</v>
      </c>
      <c r="AG702" s="48" t="n">
        <v>0</v>
      </c>
      <c r="AH702" s="49" t="n">
        <v>0</v>
      </c>
      <c r="AI702" s="49" t="n">
        <v>0</v>
      </c>
      <c r="AJ702" s="50" t="n">
        <v>0</v>
      </c>
      <c r="AK702" s="51" t="n">
        <v>0</v>
      </c>
      <c r="AL702" s="52" t="n">
        <v>0</v>
      </c>
      <c r="AM702" s="52" t="n">
        <v>0</v>
      </c>
      <c r="AN702" s="52" t="n">
        <v>0</v>
      </c>
      <c r="AO702" s="53" t="n">
        <v>0</v>
      </c>
      <c r="AP702" s="52" t="n">
        <v>0</v>
      </c>
      <c r="AQ702" s="53" t="n">
        <v>0</v>
      </c>
      <c r="AR702" s="52" t="n">
        <v>0</v>
      </c>
      <c r="AS702" s="51" t="n">
        <v>0</v>
      </c>
      <c r="AT702" s="48" t="n">
        <v>0</v>
      </c>
      <c r="AU702" s="49" t="n">
        <v>0</v>
      </c>
      <c r="AV702" s="49" t="n">
        <v>0</v>
      </c>
      <c r="AW702" s="50" t="n">
        <v>0</v>
      </c>
      <c r="AX702" s="51" t="n">
        <v>0</v>
      </c>
      <c r="AY702" s="52" t="n">
        <v>0</v>
      </c>
      <c r="AZ702" s="52" t="n">
        <v>0</v>
      </c>
      <c r="BA702" s="52" t="n">
        <v>0</v>
      </c>
      <c r="BB702" s="53" t="n">
        <v>0</v>
      </c>
      <c r="BC702" s="52" t="n">
        <v>0</v>
      </c>
      <c r="BD702" s="53" t="n">
        <v>0</v>
      </c>
      <c r="BE702" s="52" t="n">
        <v>0</v>
      </c>
      <c r="BF702" s="51" t="n">
        <v>0</v>
      </c>
    </row>
    <row r="703">
      <c r="A703">
        <f>HYPERLINK("https://www.walmart.com/ip/902166105", "902166105")</f>
        <v/>
      </c>
      <c r="B703" t="inlineStr">
        <is>
          <t>Catalonia Wearable Blanket with Sleeves and Pocket, Cozy Soft Fleece Micro Plush Wrap Adult Snuggie Blanket Robe for Women Men, Makes a Great Gift for Holidays, Black</t>
        </is>
      </c>
      <c r="C703" t="inlineStr">
        <is>
          <t>1CTSN100BK</t>
        </is>
      </c>
      <c r="D703" t="inlineStr">
        <is>
          <t>Throws</t>
        </is>
      </c>
      <c r="E703" t="inlineStr">
        <is>
          <t>Catalonia</t>
        </is>
      </c>
      <c r="F703" t="inlineStr">
        <is>
          <t>Q2-Target,WFS,Coupon_Discount,WFS Item</t>
        </is>
      </c>
      <c r="G703" s="48" t="n">
        <v>0</v>
      </c>
      <c r="H703" s="49" t="n">
        <v>0</v>
      </c>
      <c r="I703" s="49" t="n">
        <v>0</v>
      </c>
      <c r="J703" s="50" t="n">
        <v>0</v>
      </c>
      <c r="K703" s="51" t="n">
        <v>2</v>
      </c>
      <c r="L703" s="52" t="n">
        <v>0.62</v>
      </c>
      <c r="M703" s="52" t="n">
        <v>0</v>
      </c>
      <c r="N703" s="52" t="n">
        <v>0</v>
      </c>
      <c r="O703" s="53" t="n">
        <v>0.001</v>
      </c>
      <c r="P703" s="52" t="n">
        <v>0.31</v>
      </c>
      <c r="Q703" s="53" t="n">
        <v>0</v>
      </c>
      <c r="R703" s="52" t="n">
        <v>0</v>
      </c>
      <c r="S703" s="51" t="n">
        <v>2105</v>
      </c>
      <c r="T703" s="48" t="n">
        <v>27.99</v>
      </c>
      <c r="U703" s="49" t="n">
        <v>1</v>
      </c>
      <c r="V703" s="49" t="n">
        <v>0</v>
      </c>
      <c r="W703" s="50" t="n">
        <v>0</v>
      </c>
      <c r="X703" s="51" t="n">
        <v>0</v>
      </c>
      <c r="Y703" s="52" t="n">
        <v>0</v>
      </c>
      <c r="Z703" s="52" t="n">
        <v>0</v>
      </c>
      <c r="AA703" s="52" t="n">
        <v>0</v>
      </c>
      <c r="AB703" s="53" t="n">
        <v>0</v>
      </c>
      <c r="AC703" s="52" t="n">
        <v>0</v>
      </c>
      <c r="AD703" s="53" t="n">
        <v>0</v>
      </c>
      <c r="AE703" s="52" t="n">
        <v>27.99</v>
      </c>
      <c r="AF703" s="51" t="n">
        <v>1863</v>
      </c>
      <c r="AG703" s="48" t="n">
        <v>0</v>
      </c>
      <c r="AH703" s="49" t="n">
        <v>0</v>
      </c>
      <c r="AI703" s="49" t="n">
        <v>0</v>
      </c>
      <c r="AJ703" s="50" t="n">
        <v>0</v>
      </c>
      <c r="AK703" s="51" t="n">
        <v>0</v>
      </c>
      <c r="AL703" s="52" t="n">
        <v>0</v>
      </c>
      <c r="AM703" s="52" t="n">
        <v>0</v>
      </c>
      <c r="AN703" s="52" t="n">
        <v>0</v>
      </c>
      <c r="AO703" s="53" t="n">
        <v>0</v>
      </c>
      <c r="AP703" s="52" t="n">
        <v>0</v>
      </c>
      <c r="AQ703" s="53" t="n">
        <v>0</v>
      </c>
      <c r="AR703" s="52" t="n">
        <v>0</v>
      </c>
      <c r="AS703" s="51" t="n">
        <v>0</v>
      </c>
      <c r="AT703" s="48" t="n">
        <v>0</v>
      </c>
      <c r="AU703" s="49" t="n">
        <v>0</v>
      </c>
      <c r="AV703" s="49" t="n">
        <v>0</v>
      </c>
      <c r="AW703" s="50" t="n">
        <v>0</v>
      </c>
      <c r="AX703" s="51" t="n">
        <v>0</v>
      </c>
      <c r="AY703" s="52" t="n">
        <v>0</v>
      </c>
      <c r="AZ703" s="52" t="n">
        <v>0</v>
      </c>
      <c r="BA703" s="52" t="n">
        <v>0</v>
      </c>
      <c r="BB703" s="53" t="n">
        <v>0</v>
      </c>
      <c r="BC703" s="52" t="n">
        <v>0</v>
      </c>
      <c r="BD703" s="53" t="n">
        <v>0</v>
      </c>
      <c r="BE703" s="52" t="n">
        <v>0</v>
      </c>
      <c r="BF703" s="51" t="n">
        <v>752</v>
      </c>
    </row>
    <row r="704">
      <c r="A704">
        <f>HYPERLINK("https://www.walmart.com/ip/902343226", "902343226")</f>
        <v/>
      </c>
      <c r="B704" t="inlineStr">
        <is>
          <t>Tirrinia Wide Brim Sun Hats Safari Fishing Boonie Cap Adult Teen Unisex</t>
        </is>
      </c>
      <c r="C704" t="inlineStr">
        <is>
          <t>1TRSH191GN-TBCB</t>
        </is>
      </c>
      <c r="D704" t="inlineStr">
        <is>
          <t>Hats</t>
        </is>
      </c>
      <c r="E704" t="inlineStr">
        <is>
          <t>Sun Blocker</t>
        </is>
      </c>
      <c r="F704" t="inlineStr">
        <is>
          <t>Q2-Target,Hats</t>
        </is>
      </c>
      <c r="G704" s="48" t="n">
        <v>0</v>
      </c>
      <c r="H704" s="49" t="n">
        <v>0</v>
      </c>
      <c r="I704" s="49" t="n">
        <v>0</v>
      </c>
      <c r="J704" s="50" t="n">
        <v>0</v>
      </c>
      <c r="K704" s="51" t="n">
        <v>0</v>
      </c>
      <c r="L704" s="52" t="n">
        <v>0</v>
      </c>
      <c r="M704" s="52" t="n">
        <v>0</v>
      </c>
      <c r="N704" s="52" t="n">
        <v>0</v>
      </c>
      <c r="O704" s="53" t="n">
        <v>0</v>
      </c>
      <c r="P704" s="52" t="n">
        <v>0</v>
      </c>
      <c r="Q704" s="53" t="n">
        <v>0</v>
      </c>
      <c r="R704" s="52" t="n">
        <v>0</v>
      </c>
      <c r="S704" s="51" t="n">
        <v>0</v>
      </c>
      <c r="T704" s="48" t="n">
        <v>0</v>
      </c>
      <c r="U704" s="49" t="n">
        <v>0</v>
      </c>
      <c r="V704" s="49" t="n">
        <v>0</v>
      </c>
      <c r="W704" s="50" t="n">
        <v>0</v>
      </c>
      <c r="X704" s="51" t="n">
        <v>0</v>
      </c>
      <c r="Y704" s="52" t="n">
        <v>0</v>
      </c>
      <c r="Z704" s="52" t="n">
        <v>0</v>
      </c>
      <c r="AA704" s="52" t="n">
        <v>0</v>
      </c>
      <c r="AB704" s="53" t="n">
        <v>0</v>
      </c>
      <c r="AC704" s="52" t="n">
        <v>0</v>
      </c>
      <c r="AD704" s="53" t="n">
        <v>0</v>
      </c>
      <c r="AE704" s="52" t="n">
        <v>0</v>
      </c>
      <c r="AF704" s="51" t="n">
        <v>0</v>
      </c>
      <c r="AG704" s="48" t="n">
        <v>0</v>
      </c>
      <c r="AH704" s="49" t="n">
        <v>0</v>
      </c>
      <c r="AI704" s="49" t="n">
        <v>0</v>
      </c>
      <c r="AJ704" s="50" t="n">
        <v>0</v>
      </c>
      <c r="AK704" s="51" t="n">
        <v>0</v>
      </c>
      <c r="AL704" s="52" t="n">
        <v>0</v>
      </c>
      <c r="AM704" s="52" t="n">
        <v>0</v>
      </c>
      <c r="AN704" s="52" t="n">
        <v>0</v>
      </c>
      <c r="AO704" s="53" t="n">
        <v>0</v>
      </c>
      <c r="AP704" s="52" t="n">
        <v>0</v>
      </c>
      <c r="AQ704" s="53" t="n">
        <v>0</v>
      </c>
      <c r="AR704" s="52" t="n">
        <v>0</v>
      </c>
      <c r="AS704" s="51" t="n">
        <v>0</v>
      </c>
      <c r="AT704" s="48" t="n">
        <v>-7.99</v>
      </c>
      <c r="AU704" s="49" t="n">
        <v>-1</v>
      </c>
      <c r="AV704" s="49" t="n">
        <v>0</v>
      </c>
      <c r="AW704" s="50" t="n">
        <v>0</v>
      </c>
      <c r="AX704" s="51" t="n">
        <v>0</v>
      </c>
      <c r="AY704" s="52" t="n">
        <v>0</v>
      </c>
      <c r="AZ704" s="52" t="n">
        <v>0</v>
      </c>
      <c r="BA704" s="52" t="n">
        <v>0</v>
      </c>
      <c r="BB704" s="53" t="n">
        <v>0</v>
      </c>
      <c r="BC704" s="52" t="n">
        <v>0</v>
      </c>
      <c r="BD704" s="53" t="n">
        <v>0</v>
      </c>
      <c r="BE704" s="52" t="n">
        <v>0</v>
      </c>
      <c r="BF704" s="51" t="n">
        <v>0</v>
      </c>
    </row>
    <row r="705">
      <c r="A705">
        <f>HYPERLINK("https://www.walmart.com/ip/903259087", "903259087")</f>
        <v/>
      </c>
      <c r="B705" t="inlineStr">
        <is>
          <t>Catalonia Union Jack Blanket, UK Flag Sherpa Fleece Blanket | Super Soft, Warm, Reversible | for Couch Bed, Gift for British, 50X70 inches</t>
        </is>
      </c>
      <c r="C705" t="inlineStr">
        <is>
          <t>1CTBF300UK2MUL</t>
        </is>
      </c>
      <c r="D705" t="inlineStr">
        <is>
          <t>Throws</t>
        </is>
      </c>
      <c r="E705" t="inlineStr">
        <is>
          <t>Catalonia</t>
        </is>
      </c>
      <c r="F705" t="inlineStr">
        <is>
          <t>WFS,WFS Item,Fleece Blankets</t>
        </is>
      </c>
      <c r="G705" s="48" t="n">
        <v>0</v>
      </c>
      <c r="H705" s="49" t="n">
        <v>0</v>
      </c>
      <c r="I705" s="49" t="n">
        <v>0</v>
      </c>
      <c r="J705" s="50" t="n">
        <v>0</v>
      </c>
      <c r="K705" s="51" t="n">
        <v>0</v>
      </c>
      <c r="L705" s="52" t="n">
        <v>0</v>
      </c>
      <c r="M705" s="52" t="n">
        <v>0</v>
      </c>
      <c r="N705" s="52" t="n">
        <v>0</v>
      </c>
      <c r="O705" s="53" t="n">
        <v>0</v>
      </c>
      <c r="P705" s="52" t="n">
        <v>0</v>
      </c>
      <c r="Q705" s="53" t="n">
        <v>0</v>
      </c>
      <c r="R705" s="52" t="n">
        <v>0</v>
      </c>
      <c r="S705" s="51" t="n">
        <v>0</v>
      </c>
      <c r="T705" s="48" t="n">
        <v>0</v>
      </c>
      <c r="U705" s="49" t="n">
        <v>0</v>
      </c>
      <c r="V705" s="49" t="n">
        <v>0</v>
      </c>
      <c r="W705" s="50" t="n">
        <v>0</v>
      </c>
      <c r="X705" s="51" t="n">
        <v>0</v>
      </c>
      <c r="Y705" s="52" t="n">
        <v>0</v>
      </c>
      <c r="Z705" s="52" t="n">
        <v>0</v>
      </c>
      <c r="AA705" s="52" t="n">
        <v>0</v>
      </c>
      <c r="AB705" s="53" t="n">
        <v>0</v>
      </c>
      <c r="AC705" s="52" t="n">
        <v>0</v>
      </c>
      <c r="AD705" s="53" t="n">
        <v>0</v>
      </c>
      <c r="AE705" s="52" t="n">
        <v>0</v>
      </c>
      <c r="AF705" s="51" t="n">
        <v>0</v>
      </c>
      <c r="AG705" s="48" t="n">
        <v>0</v>
      </c>
      <c r="AH705" s="49" t="n">
        <v>0</v>
      </c>
      <c r="AI705" s="49" t="n">
        <v>0</v>
      </c>
      <c r="AJ705" s="50" t="n">
        <v>0</v>
      </c>
      <c r="AK705" s="51" t="n">
        <v>0</v>
      </c>
      <c r="AL705" s="52" t="n">
        <v>0</v>
      </c>
      <c r="AM705" s="52" t="n">
        <v>0</v>
      </c>
      <c r="AN705" s="52" t="n">
        <v>0</v>
      </c>
      <c r="AO705" s="53" t="n">
        <v>0</v>
      </c>
      <c r="AP705" s="52" t="n">
        <v>0</v>
      </c>
      <c r="AQ705" s="53" t="n">
        <v>0</v>
      </c>
      <c r="AR705" s="52" t="n">
        <v>0</v>
      </c>
      <c r="AS705" s="51" t="n">
        <v>0</v>
      </c>
      <c r="AT705" s="48" t="n">
        <v>0</v>
      </c>
      <c r="AU705" s="49" t="n">
        <v>0</v>
      </c>
      <c r="AV705" s="49" t="n">
        <v>0</v>
      </c>
      <c r="AW705" s="50" t="n">
        <v>0</v>
      </c>
      <c r="AX705" s="51" t="n">
        <v>0</v>
      </c>
      <c r="AY705" s="52" t="n">
        <v>0</v>
      </c>
      <c r="AZ705" s="52" t="n">
        <v>0</v>
      </c>
      <c r="BA705" s="52" t="n">
        <v>0</v>
      </c>
      <c r="BB705" s="53" t="n">
        <v>0</v>
      </c>
      <c r="BC705" s="52" t="n">
        <v>0</v>
      </c>
      <c r="BD705" s="53" t="n">
        <v>0</v>
      </c>
      <c r="BE705" s="52" t="n">
        <v>0</v>
      </c>
      <c r="BF705" s="51" t="n">
        <v>0</v>
      </c>
    </row>
    <row r="706">
      <c r="A706">
        <f>HYPERLINK("https://www.walmart.com/ip/903436691", "903436691")</f>
        <v/>
      </c>
      <c r="B706" t="inlineStr">
        <is>
          <t>Catalonia Wearable Blanket with Sleeves and Pocket, Cozy Soft Fleece Micro Plush Wrap Throws Blanket Robe for Women and Men, Red Plaid Pattern</t>
        </is>
      </c>
      <c r="C706" t="inlineStr">
        <is>
          <t>1CTSN100P2RD</t>
        </is>
      </c>
      <c r="D706" t="inlineStr">
        <is>
          <t>Throws</t>
        </is>
      </c>
      <c r="E706" t="inlineStr">
        <is>
          <t>Catalonia</t>
        </is>
      </c>
      <c r="F706" t="inlineStr">
        <is>
          <t>WFS,WFS Item</t>
        </is>
      </c>
      <c r="G706" s="48" t="n">
        <v>0</v>
      </c>
      <c r="H706" s="49" t="n">
        <v>0</v>
      </c>
      <c r="I706" s="49" t="n">
        <v>0</v>
      </c>
      <c r="J706" s="50" t="n">
        <v>0</v>
      </c>
      <c r="K706" s="51" t="n">
        <v>0</v>
      </c>
      <c r="L706" s="52" t="n">
        <v>0</v>
      </c>
      <c r="M706" s="52" t="n">
        <v>0</v>
      </c>
      <c r="N706" s="52" t="n">
        <v>0</v>
      </c>
      <c r="O706" s="53" t="n">
        <v>0</v>
      </c>
      <c r="P706" s="52" t="n">
        <v>0</v>
      </c>
      <c r="Q706" s="53" t="n">
        <v>0</v>
      </c>
      <c r="R706" s="52" t="n">
        <v>0</v>
      </c>
      <c r="S706" s="51" t="n">
        <v>0</v>
      </c>
      <c r="T706" s="48" t="n">
        <v>0</v>
      </c>
      <c r="U706" s="49" t="n">
        <v>0</v>
      </c>
      <c r="V706" s="49" t="n">
        <v>0</v>
      </c>
      <c r="W706" s="50" t="n">
        <v>0</v>
      </c>
      <c r="X706" s="51" t="n">
        <v>0</v>
      </c>
      <c r="Y706" s="52" t="n">
        <v>0</v>
      </c>
      <c r="Z706" s="52" t="n">
        <v>0</v>
      </c>
      <c r="AA706" s="52" t="n">
        <v>0</v>
      </c>
      <c r="AB706" s="53" t="n">
        <v>0</v>
      </c>
      <c r="AC706" s="52" t="n">
        <v>0</v>
      </c>
      <c r="AD706" s="53" t="n">
        <v>0</v>
      </c>
      <c r="AE706" s="52" t="n">
        <v>0</v>
      </c>
      <c r="AF706" s="51" t="n">
        <v>0</v>
      </c>
      <c r="AG706" s="48" t="n">
        <v>0</v>
      </c>
      <c r="AH706" s="49" t="n">
        <v>0</v>
      </c>
      <c r="AI706" s="49" t="n">
        <v>0</v>
      </c>
      <c r="AJ706" s="50" t="n">
        <v>0</v>
      </c>
      <c r="AK706" s="51" t="n">
        <v>0</v>
      </c>
      <c r="AL706" s="52" t="n">
        <v>0</v>
      </c>
      <c r="AM706" s="52" t="n">
        <v>0</v>
      </c>
      <c r="AN706" s="52" t="n">
        <v>0</v>
      </c>
      <c r="AO706" s="53" t="n">
        <v>0</v>
      </c>
      <c r="AP706" s="52" t="n">
        <v>0</v>
      </c>
      <c r="AQ706" s="53" t="n">
        <v>0</v>
      </c>
      <c r="AR706" s="52" t="n">
        <v>0</v>
      </c>
      <c r="AS706" s="51" t="n">
        <v>0</v>
      </c>
      <c r="AT706" s="48" t="n">
        <v>0</v>
      </c>
      <c r="AU706" s="49" t="n">
        <v>0</v>
      </c>
      <c r="AV706" s="49" t="n">
        <v>0</v>
      </c>
      <c r="AW706" s="50" t="n">
        <v>0</v>
      </c>
      <c r="AX706" s="51" t="n">
        <v>0</v>
      </c>
      <c r="AY706" s="52" t="n">
        <v>0</v>
      </c>
      <c r="AZ706" s="52" t="n">
        <v>0</v>
      </c>
      <c r="BA706" s="52" t="n">
        <v>0</v>
      </c>
      <c r="BB706" s="53" t="n">
        <v>0</v>
      </c>
      <c r="BC706" s="52" t="n">
        <v>0</v>
      </c>
      <c r="BD706" s="53" t="n">
        <v>0</v>
      </c>
      <c r="BE706" s="52" t="n">
        <v>0</v>
      </c>
      <c r="BF706" s="51" t="n">
        <v>0</v>
      </c>
    </row>
    <row r="707">
      <c r="A707">
        <f>HYPERLINK("https://www.walmart.com/ip/905687411", "905687411")</f>
        <v/>
      </c>
      <c r="B707" t="inlineStr">
        <is>
          <t>Expandable Insulated Lunch Bag, Leakproof Lunch Cooler Tote for Men and Women, Suitable for Work &amp; Office, Charcoal</t>
        </is>
      </c>
      <c r="C707" t="inlineStr">
        <is>
          <t>1KTLB110CH</t>
        </is>
      </c>
      <c r="D707" t="inlineStr">
        <is>
          <t>Reusable Lunch Bags &amp; Boxes</t>
        </is>
      </c>
      <c r="E707" t="inlineStr">
        <is>
          <t>Kato</t>
        </is>
      </c>
      <c r="F707" t="inlineStr">
        <is>
          <t>Optimized,Lunch Bags,SEM</t>
        </is>
      </c>
      <c r="G707" s="48" t="n">
        <v>0</v>
      </c>
      <c r="H707" s="49" t="n">
        <v>0</v>
      </c>
      <c r="I707" s="49" t="n">
        <v>3</v>
      </c>
      <c r="J707" s="50" t="n">
        <v>0</v>
      </c>
      <c r="K707" s="51" t="n">
        <v>0</v>
      </c>
      <c r="L707" s="52" t="n">
        <v>0</v>
      </c>
      <c r="M707" s="52" t="n">
        <v>0</v>
      </c>
      <c r="N707" s="52" t="n">
        <v>0</v>
      </c>
      <c r="O707" s="53" t="n">
        <v>0</v>
      </c>
      <c r="P707" s="52" t="n">
        <v>0</v>
      </c>
      <c r="Q707" s="53" t="n">
        <v>0</v>
      </c>
      <c r="R707" s="52" t="n">
        <v>0</v>
      </c>
      <c r="S707" s="51" t="n">
        <v>0</v>
      </c>
      <c r="T707" s="48" t="n">
        <v>15.99</v>
      </c>
      <c r="U707" s="49" t="n">
        <v>1</v>
      </c>
      <c r="V707" s="49" t="n">
        <v>4</v>
      </c>
      <c r="W707" s="50" t="n">
        <v>0.25</v>
      </c>
      <c r="X707" s="51" t="n">
        <v>0</v>
      </c>
      <c r="Y707" s="52" t="n">
        <v>0</v>
      </c>
      <c r="Z707" s="52" t="n">
        <v>0</v>
      </c>
      <c r="AA707" s="52" t="n">
        <v>0</v>
      </c>
      <c r="AB707" s="53" t="n">
        <v>0</v>
      </c>
      <c r="AC707" s="52" t="n">
        <v>0</v>
      </c>
      <c r="AD707" s="53" t="n">
        <v>0</v>
      </c>
      <c r="AE707" s="52" t="n">
        <v>15.99</v>
      </c>
      <c r="AF707" s="51" t="n">
        <v>0</v>
      </c>
      <c r="AG707" s="48" t="n">
        <v>15.99</v>
      </c>
      <c r="AH707" s="49" t="n">
        <v>1</v>
      </c>
      <c r="AI707" s="49" t="n">
        <v>5</v>
      </c>
      <c r="AJ707" s="50" t="n">
        <v>0.2</v>
      </c>
      <c r="AK707" s="51" t="n">
        <v>0</v>
      </c>
      <c r="AL707" s="52" t="n">
        <v>0</v>
      </c>
      <c r="AM707" s="52" t="n">
        <v>0</v>
      </c>
      <c r="AN707" s="52" t="n">
        <v>0</v>
      </c>
      <c r="AO707" s="53" t="n">
        <v>0</v>
      </c>
      <c r="AP707" s="52" t="n">
        <v>0</v>
      </c>
      <c r="AQ707" s="53" t="n">
        <v>0</v>
      </c>
      <c r="AR707" s="52" t="n">
        <v>15.99</v>
      </c>
      <c r="AS707" s="51" t="n">
        <v>0</v>
      </c>
      <c r="AT707" s="48" t="n">
        <v>0</v>
      </c>
      <c r="AU707" s="49" t="n">
        <v>0</v>
      </c>
      <c r="AV707" s="49" t="n">
        <v>2</v>
      </c>
      <c r="AW707" s="50" t="n">
        <v>0</v>
      </c>
      <c r="AX707" s="51" t="n">
        <v>0</v>
      </c>
      <c r="AY707" s="52" t="n">
        <v>0</v>
      </c>
      <c r="AZ707" s="52" t="n">
        <v>0</v>
      </c>
      <c r="BA707" s="52" t="n">
        <v>0</v>
      </c>
      <c r="BB707" s="53" t="n">
        <v>0</v>
      </c>
      <c r="BC707" s="52" t="n">
        <v>0</v>
      </c>
      <c r="BD707" s="53" t="n">
        <v>0</v>
      </c>
      <c r="BE707" s="52" t="n">
        <v>0</v>
      </c>
      <c r="BF707" s="51" t="n">
        <v>0</v>
      </c>
    </row>
    <row r="708">
      <c r="A708">
        <f>HYPERLINK("https://www.walmart.com/ip/906561690", "906561690")</f>
        <v/>
      </c>
      <c r="B708" t="inlineStr">
        <is>
          <t>Tirrinia Insulated Lunch Box for Women Men, Leakproof Thermal Reusable Lunch Bag with 2 Zipper Pockets for Adult &amp; Kids, Lunch Bag Cooler Tote for Office Work, White Pink</t>
        </is>
      </c>
      <c r="C708" t="inlineStr">
        <is>
          <t>1TRLB705WTPK</t>
        </is>
      </c>
      <c r="D708" t="inlineStr">
        <is>
          <t>Reusable Lunch Bags &amp; Boxes</t>
        </is>
      </c>
      <c r="E708" t="inlineStr">
        <is>
          <t>Tirrinia</t>
        </is>
      </c>
      <c r="F708" t="inlineStr">
        <is>
          <t>Q2-Target,Brand Camp VD,Lunch Bag,WFS,Lunch Bags,SEM,WFS Item</t>
        </is>
      </c>
      <c r="G708" s="48" t="n">
        <v>0</v>
      </c>
      <c r="H708" s="49" t="n">
        <v>0</v>
      </c>
      <c r="I708" s="49" t="n">
        <v>0</v>
      </c>
      <c r="J708" s="50" t="n">
        <v>0</v>
      </c>
      <c r="K708" s="51" t="n">
        <v>0</v>
      </c>
      <c r="L708" s="52" t="n">
        <v>0</v>
      </c>
      <c r="M708" s="52" t="n">
        <v>0</v>
      </c>
      <c r="N708" s="52" t="n">
        <v>0</v>
      </c>
      <c r="O708" s="53" t="n">
        <v>0</v>
      </c>
      <c r="P708" s="52" t="n">
        <v>0</v>
      </c>
      <c r="Q708" s="53" t="n">
        <v>0</v>
      </c>
      <c r="R708" s="52" t="n">
        <v>0</v>
      </c>
      <c r="S708" s="51" t="n">
        <v>0</v>
      </c>
      <c r="T708" s="48" t="n">
        <v>0</v>
      </c>
      <c r="U708" s="49" t="n">
        <v>0</v>
      </c>
      <c r="V708" s="49" t="n">
        <v>0</v>
      </c>
      <c r="W708" s="50" t="n">
        <v>0</v>
      </c>
      <c r="X708" s="51" t="n">
        <v>0</v>
      </c>
      <c r="Y708" s="52" t="n">
        <v>0</v>
      </c>
      <c r="Z708" s="52" t="n">
        <v>0</v>
      </c>
      <c r="AA708" s="52" t="n">
        <v>0</v>
      </c>
      <c r="AB708" s="53" t="n">
        <v>0</v>
      </c>
      <c r="AC708" s="52" t="n">
        <v>0</v>
      </c>
      <c r="AD708" s="53" t="n">
        <v>0</v>
      </c>
      <c r="AE708" s="52" t="n">
        <v>0</v>
      </c>
      <c r="AF708" s="51" t="n">
        <v>0</v>
      </c>
      <c r="AG708" s="48" t="n">
        <v>0</v>
      </c>
      <c r="AH708" s="49" t="n">
        <v>0</v>
      </c>
      <c r="AI708" s="49" t="n">
        <v>0</v>
      </c>
      <c r="AJ708" s="50" t="n">
        <v>0</v>
      </c>
      <c r="AK708" s="51" t="n">
        <v>0</v>
      </c>
      <c r="AL708" s="52" t="n">
        <v>0</v>
      </c>
      <c r="AM708" s="52" t="n">
        <v>0</v>
      </c>
      <c r="AN708" s="52" t="n">
        <v>0</v>
      </c>
      <c r="AO708" s="53" t="n">
        <v>0</v>
      </c>
      <c r="AP708" s="52" t="n">
        <v>0</v>
      </c>
      <c r="AQ708" s="53" t="n">
        <v>0</v>
      </c>
      <c r="AR708" s="52" t="n">
        <v>0</v>
      </c>
      <c r="AS708" s="51" t="n">
        <v>0</v>
      </c>
      <c r="AT708" s="48" t="n">
        <v>0</v>
      </c>
      <c r="AU708" s="49" t="n">
        <v>0</v>
      </c>
      <c r="AV708" s="49" t="n">
        <v>0</v>
      </c>
      <c r="AW708" s="50" t="n">
        <v>0</v>
      </c>
      <c r="AX708" s="51" t="n">
        <v>0</v>
      </c>
      <c r="AY708" s="52" t="n">
        <v>0</v>
      </c>
      <c r="AZ708" s="52" t="n">
        <v>0</v>
      </c>
      <c r="BA708" s="52" t="n">
        <v>0</v>
      </c>
      <c r="BB708" s="53" t="n">
        <v>0</v>
      </c>
      <c r="BC708" s="52" t="n">
        <v>0</v>
      </c>
      <c r="BD708" s="53" t="n">
        <v>0</v>
      </c>
      <c r="BE708" s="52" t="n">
        <v>0</v>
      </c>
      <c r="BF708" s="51" t="n">
        <v>0</v>
      </c>
    </row>
    <row r="709">
      <c r="A709">
        <f>HYPERLINK("https://www.walmart.com/ip/907937555", "907937555")</f>
        <v/>
      </c>
      <c r="B709" t="inlineStr">
        <is>
          <t>Tirrinia Leakproof Thermal Reusable Insulated Lunch Bag for Men with Leather Handle,Olive</t>
        </is>
      </c>
      <c r="C709" t="inlineStr">
        <is>
          <t>1TRLB702P1OL</t>
        </is>
      </c>
      <c r="D709" t="inlineStr">
        <is>
          <t>Reusable Lunch Bags &amp; Boxes</t>
        </is>
      </c>
      <c r="E709" t="inlineStr">
        <is>
          <t>Tirrinia</t>
        </is>
      </c>
      <c r="F709" t="inlineStr">
        <is>
          <t>Q2-Target,Brand Camp VD,Lunch Bag,Optimized,SEM</t>
        </is>
      </c>
      <c r="G709" s="48" t="n">
        <v>0</v>
      </c>
      <c r="H709" s="49" t="n">
        <v>0</v>
      </c>
      <c r="I709" s="49" t="n">
        <v>0</v>
      </c>
      <c r="J709" s="50" t="n">
        <v>0</v>
      </c>
      <c r="K709" s="51" t="n">
        <v>0</v>
      </c>
      <c r="L709" s="52" t="n">
        <v>0</v>
      </c>
      <c r="M709" s="52" t="n">
        <v>0</v>
      </c>
      <c r="N709" s="52" t="n">
        <v>0</v>
      </c>
      <c r="O709" s="53" t="n">
        <v>0</v>
      </c>
      <c r="P709" s="52" t="n">
        <v>0</v>
      </c>
      <c r="Q709" s="53" t="n">
        <v>0</v>
      </c>
      <c r="R709" s="52" t="n">
        <v>0</v>
      </c>
      <c r="S709" s="51" t="n">
        <v>0</v>
      </c>
      <c r="T709" s="48" t="n">
        <v>0</v>
      </c>
      <c r="U709" s="49" t="n">
        <v>0</v>
      </c>
      <c r="V709" s="49" t="n">
        <v>0</v>
      </c>
      <c r="W709" s="50" t="n">
        <v>0</v>
      </c>
      <c r="X709" s="51" t="n">
        <v>0</v>
      </c>
      <c r="Y709" s="52" t="n">
        <v>0</v>
      </c>
      <c r="Z709" s="52" t="n">
        <v>0</v>
      </c>
      <c r="AA709" s="52" t="n">
        <v>0</v>
      </c>
      <c r="AB709" s="53" t="n">
        <v>0</v>
      </c>
      <c r="AC709" s="52" t="n">
        <v>0</v>
      </c>
      <c r="AD709" s="53" t="n">
        <v>0</v>
      </c>
      <c r="AE709" s="52" t="n">
        <v>0</v>
      </c>
      <c r="AF709" s="51" t="n">
        <v>0</v>
      </c>
      <c r="AG709" s="48" t="n">
        <v>0</v>
      </c>
      <c r="AH709" s="49" t="n">
        <v>0</v>
      </c>
      <c r="AI709" s="49" t="n">
        <v>0</v>
      </c>
      <c r="AJ709" s="50" t="n">
        <v>0</v>
      </c>
      <c r="AK709" s="51" t="n">
        <v>0</v>
      </c>
      <c r="AL709" s="52" t="n">
        <v>0</v>
      </c>
      <c r="AM709" s="52" t="n">
        <v>0</v>
      </c>
      <c r="AN709" s="52" t="n">
        <v>0</v>
      </c>
      <c r="AO709" s="53" t="n">
        <v>0</v>
      </c>
      <c r="AP709" s="52" t="n">
        <v>0</v>
      </c>
      <c r="AQ709" s="53" t="n">
        <v>0</v>
      </c>
      <c r="AR709" s="52" t="n">
        <v>0</v>
      </c>
      <c r="AS709" s="51" t="n">
        <v>0</v>
      </c>
      <c r="AT709" s="48" t="n">
        <v>0</v>
      </c>
      <c r="AU709" s="49" t="n">
        <v>0</v>
      </c>
      <c r="AV709" s="49" t="n">
        <v>0</v>
      </c>
      <c r="AW709" s="50" t="n">
        <v>0</v>
      </c>
      <c r="AX709" s="51" t="n">
        <v>0</v>
      </c>
      <c r="AY709" s="52" t="n">
        <v>0</v>
      </c>
      <c r="AZ709" s="52" t="n">
        <v>0</v>
      </c>
      <c r="BA709" s="52" t="n">
        <v>0</v>
      </c>
      <c r="BB709" s="53" t="n">
        <v>0</v>
      </c>
      <c r="BC709" s="52" t="n">
        <v>0</v>
      </c>
      <c r="BD709" s="53" t="n">
        <v>0</v>
      </c>
      <c r="BE709" s="52" t="n">
        <v>0</v>
      </c>
      <c r="BF709" s="51" t="n">
        <v>0</v>
      </c>
    </row>
    <row r="710">
      <c r="A710">
        <f>HYPERLINK("https://www.walmart.com/ip/907950495", "907950495")</f>
        <v/>
      </c>
      <c r="B710" t="inlineStr">
        <is>
          <t>Flyingstar Insulated Lunch Bag, Reusable Tote Bag for Women &amp; Men &amp; Kids, Fashionable Large Cooler Lunch Bag for Working/School/Picnic</t>
        </is>
      </c>
      <c r="C710" t="inlineStr">
        <is>
          <t>1WMLB703CH</t>
        </is>
      </c>
      <c r="D710" t="inlineStr">
        <is>
          <t>Reusable Lunch Bags &amp; Boxes</t>
        </is>
      </c>
      <c r="E710" t="inlineStr">
        <is>
          <t>Flyingstar</t>
        </is>
      </c>
      <c r="F710" t="inlineStr">
        <is>
          <t>Q2-Target,Lunch Bag,Optimized</t>
        </is>
      </c>
      <c r="G710" s="48" t="n">
        <v>0</v>
      </c>
      <c r="H710" s="49" t="n">
        <v>0</v>
      </c>
      <c r="I710" s="49" t="n">
        <v>0</v>
      </c>
      <c r="J710" s="50" t="n">
        <v>0</v>
      </c>
      <c r="K710" s="51" t="n">
        <v>0</v>
      </c>
      <c r="L710" s="52" t="n">
        <v>0</v>
      </c>
      <c r="M710" s="52" t="n">
        <v>0</v>
      </c>
      <c r="N710" s="52" t="n">
        <v>0</v>
      </c>
      <c r="O710" s="53" t="n">
        <v>0</v>
      </c>
      <c r="P710" s="52" t="n">
        <v>0</v>
      </c>
      <c r="Q710" s="53" t="n">
        <v>0</v>
      </c>
      <c r="R710" s="52" t="n">
        <v>0</v>
      </c>
      <c r="S710" s="51" t="n">
        <v>0</v>
      </c>
      <c r="T710" s="48" t="n">
        <v>0</v>
      </c>
      <c r="U710" s="49" t="n">
        <v>0</v>
      </c>
      <c r="V710" s="49" t="n">
        <v>0</v>
      </c>
      <c r="W710" s="50" t="n">
        <v>0</v>
      </c>
      <c r="X710" s="51" t="n">
        <v>0</v>
      </c>
      <c r="Y710" s="52" t="n">
        <v>0</v>
      </c>
      <c r="Z710" s="52" t="n">
        <v>0</v>
      </c>
      <c r="AA710" s="52" t="n">
        <v>0</v>
      </c>
      <c r="AB710" s="53" t="n">
        <v>0</v>
      </c>
      <c r="AC710" s="52" t="n">
        <v>0</v>
      </c>
      <c r="AD710" s="53" t="n">
        <v>0</v>
      </c>
      <c r="AE710" s="52" t="n">
        <v>0</v>
      </c>
      <c r="AF710" s="51" t="n">
        <v>0</v>
      </c>
      <c r="AG710" s="48" t="n">
        <v>0</v>
      </c>
      <c r="AH710" s="49" t="n">
        <v>0</v>
      </c>
      <c r="AI710" s="49" t="n">
        <v>0</v>
      </c>
      <c r="AJ710" s="50" t="n">
        <v>0</v>
      </c>
      <c r="AK710" s="51" t="n">
        <v>0</v>
      </c>
      <c r="AL710" s="52" t="n">
        <v>0</v>
      </c>
      <c r="AM710" s="52" t="n">
        <v>0</v>
      </c>
      <c r="AN710" s="52" t="n">
        <v>0</v>
      </c>
      <c r="AO710" s="53" t="n">
        <v>0</v>
      </c>
      <c r="AP710" s="52" t="n">
        <v>0</v>
      </c>
      <c r="AQ710" s="53" t="n">
        <v>0</v>
      </c>
      <c r="AR710" s="52" t="n">
        <v>0</v>
      </c>
      <c r="AS710" s="51" t="n">
        <v>0</v>
      </c>
      <c r="AT710" s="48" t="n">
        <v>0</v>
      </c>
      <c r="AU710" s="49" t="n">
        <v>0</v>
      </c>
      <c r="AV710" s="49" t="n">
        <v>0</v>
      </c>
      <c r="AW710" s="50" t="n">
        <v>0</v>
      </c>
      <c r="AX710" s="51" t="n">
        <v>0</v>
      </c>
      <c r="AY710" s="52" t="n">
        <v>0</v>
      </c>
      <c r="AZ710" s="52" t="n">
        <v>0</v>
      </c>
      <c r="BA710" s="52" t="n">
        <v>0</v>
      </c>
      <c r="BB710" s="53" t="n">
        <v>0</v>
      </c>
      <c r="BC710" s="52" t="n">
        <v>0</v>
      </c>
      <c r="BD710" s="53" t="n">
        <v>0</v>
      </c>
      <c r="BE710" s="52" t="n">
        <v>0</v>
      </c>
      <c r="BF710" s="51" t="n">
        <v>0</v>
      </c>
    </row>
    <row r="711">
      <c r="A711">
        <f>HYPERLINK("https://www.walmart.com/ip/908115790", "908115790")</f>
        <v/>
      </c>
      <c r="B711" t="inlineStr">
        <is>
          <t>Men's Hunting Fishing Hat Camo Series Adjustable Mesh Ball Cap 3D Embroidered #Break Up</t>
        </is>
      </c>
      <c r="C711" t="inlineStr">
        <is>
          <t>1TRSH7140BR-TBCB</t>
        </is>
      </c>
      <c r="D711" t="inlineStr">
        <is>
          <t>Hats</t>
        </is>
      </c>
      <c r="E711" t="inlineStr">
        <is>
          <t>Tirrinia</t>
        </is>
      </c>
      <c r="F711" t="inlineStr">
        <is>
          <t>Batch 1 - TR</t>
        </is>
      </c>
      <c r="G711" s="48" t="n">
        <v>0</v>
      </c>
      <c r="H711" s="49" t="n">
        <v>0</v>
      </c>
      <c r="I711" s="49" t="n">
        <v>0</v>
      </c>
      <c r="J711" s="50" t="n">
        <v>0</v>
      </c>
      <c r="K711" s="51" t="n">
        <v>0</v>
      </c>
      <c r="L711" s="52" t="n">
        <v>0</v>
      </c>
      <c r="M711" s="52" t="n">
        <v>0</v>
      </c>
      <c r="N711" s="52" t="n">
        <v>0</v>
      </c>
      <c r="O711" s="53" t="n">
        <v>0</v>
      </c>
      <c r="P711" s="52" t="n">
        <v>0</v>
      </c>
      <c r="Q711" s="53" t="n">
        <v>0</v>
      </c>
      <c r="R711" s="52" t="n">
        <v>0</v>
      </c>
      <c r="S711" s="51" t="n">
        <v>0</v>
      </c>
      <c r="T711" s="48" t="n">
        <v>0</v>
      </c>
      <c r="U711" s="49" t="n">
        <v>0</v>
      </c>
      <c r="V711" s="49" t="n">
        <v>0</v>
      </c>
      <c r="W711" s="50" t="n">
        <v>0</v>
      </c>
      <c r="X711" s="51" t="n">
        <v>0</v>
      </c>
      <c r="Y711" s="52" t="n">
        <v>0</v>
      </c>
      <c r="Z711" s="52" t="n">
        <v>0</v>
      </c>
      <c r="AA711" s="52" t="n">
        <v>0</v>
      </c>
      <c r="AB711" s="53" t="n">
        <v>0</v>
      </c>
      <c r="AC711" s="52" t="n">
        <v>0</v>
      </c>
      <c r="AD711" s="53" t="n">
        <v>0</v>
      </c>
      <c r="AE711" s="52" t="n">
        <v>0</v>
      </c>
      <c r="AF711" s="51" t="n">
        <v>0</v>
      </c>
      <c r="AG711" s="48" t="n">
        <v>0</v>
      </c>
      <c r="AH711" s="49" t="n">
        <v>0</v>
      </c>
      <c r="AI711" s="49" t="n">
        <v>0</v>
      </c>
      <c r="AJ711" s="50" t="n">
        <v>0</v>
      </c>
      <c r="AK711" s="51" t="n">
        <v>0</v>
      </c>
      <c r="AL711" s="52" t="n">
        <v>0</v>
      </c>
      <c r="AM711" s="52" t="n">
        <v>0</v>
      </c>
      <c r="AN711" s="52" t="n">
        <v>0</v>
      </c>
      <c r="AO711" s="53" t="n">
        <v>0</v>
      </c>
      <c r="AP711" s="52" t="n">
        <v>0</v>
      </c>
      <c r="AQ711" s="53" t="n">
        <v>0</v>
      </c>
      <c r="AR711" s="52" t="n">
        <v>0</v>
      </c>
      <c r="AS711" s="51" t="n">
        <v>0</v>
      </c>
      <c r="AT711" s="48" t="n">
        <v>0</v>
      </c>
      <c r="AU711" s="49" t="n">
        <v>0</v>
      </c>
      <c r="AV711" s="49" t="n">
        <v>0</v>
      </c>
      <c r="AW711" s="50" t="n">
        <v>0</v>
      </c>
      <c r="AX711" s="51" t="n">
        <v>0</v>
      </c>
      <c r="AY711" s="52" t="n">
        <v>0</v>
      </c>
      <c r="AZ711" s="52" t="n">
        <v>0</v>
      </c>
      <c r="BA711" s="52" t="n">
        <v>0</v>
      </c>
      <c r="BB711" s="53" t="n">
        <v>0</v>
      </c>
      <c r="BC711" s="52" t="n">
        <v>0</v>
      </c>
      <c r="BD711" s="53" t="n">
        <v>0</v>
      </c>
      <c r="BE711" s="52" t="n">
        <v>0</v>
      </c>
      <c r="BF711" s="51" t="n">
        <v>0</v>
      </c>
    </row>
    <row r="712">
      <c r="A712">
        <f>HYPERLINK("https://www.walmart.com/ip/908596766", "908596766")</f>
        <v/>
      </c>
      <c r="B712" t="inlineStr">
        <is>
          <t>Jennis 2 Women's Beileise  Sexy Crotchless Suspender Pantyhose Stockings Black</t>
        </is>
      </c>
      <c r="C712" t="inlineStr">
        <is>
          <t>JWBLSPH2028-2 Packs</t>
        </is>
      </c>
      <c r="D712" t="inlineStr">
        <is>
          <t>Pantyhose &amp; Tights</t>
        </is>
      </c>
      <c r="E712" t="inlineStr">
        <is>
          <t>JenniWears</t>
        </is>
      </c>
      <c r="F712" t="inlineStr">
        <is>
          <t>WFS,Valentine,WFS Item</t>
        </is>
      </c>
      <c r="G712" s="48" t="n">
        <v>0</v>
      </c>
      <c r="H712" s="49" t="n">
        <v>0</v>
      </c>
      <c r="I712" s="49" t="n">
        <v>0</v>
      </c>
      <c r="J712" s="50" t="n">
        <v>0</v>
      </c>
      <c r="K712" s="51" t="n">
        <v>0</v>
      </c>
      <c r="L712" s="52" t="n">
        <v>0</v>
      </c>
      <c r="M712" s="52" t="n">
        <v>0</v>
      </c>
      <c r="N712" s="52" t="n">
        <v>0</v>
      </c>
      <c r="O712" s="53" t="n">
        <v>0</v>
      </c>
      <c r="P712" s="52" t="n">
        <v>0</v>
      </c>
      <c r="Q712" s="53" t="n">
        <v>0</v>
      </c>
      <c r="R712" s="52" t="n">
        <v>0</v>
      </c>
      <c r="S712" s="51" t="n">
        <v>0</v>
      </c>
      <c r="T712" s="48" t="n">
        <v>0</v>
      </c>
      <c r="U712" s="49" t="n">
        <v>0</v>
      </c>
      <c r="V712" s="49" t="n">
        <v>0</v>
      </c>
      <c r="W712" s="50" t="n">
        <v>0</v>
      </c>
      <c r="X712" s="51" t="n">
        <v>0</v>
      </c>
      <c r="Y712" s="52" t="n">
        <v>0</v>
      </c>
      <c r="Z712" s="52" t="n">
        <v>0</v>
      </c>
      <c r="AA712" s="52" t="n">
        <v>0</v>
      </c>
      <c r="AB712" s="53" t="n">
        <v>0</v>
      </c>
      <c r="AC712" s="52" t="n">
        <v>0</v>
      </c>
      <c r="AD712" s="53" t="n">
        <v>0</v>
      </c>
      <c r="AE712" s="52" t="n">
        <v>0</v>
      </c>
      <c r="AF712" s="51" t="n">
        <v>0</v>
      </c>
      <c r="AG712" s="48" t="n">
        <v>0</v>
      </c>
      <c r="AH712" s="49" t="n">
        <v>0</v>
      </c>
      <c r="AI712" s="49" t="n">
        <v>0</v>
      </c>
      <c r="AJ712" s="50" t="n">
        <v>0</v>
      </c>
      <c r="AK712" s="51" t="n">
        <v>0</v>
      </c>
      <c r="AL712" s="52" t="n">
        <v>0</v>
      </c>
      <c r="AM712" s="52" t="n">
        <v>0</v>
      </c>
      <c r="AN712" s="52" t="n">
        <v>0</v>
      </c>
      <c r="AO712" s="53" t="n">
        <v>0</v>
      </c>
      <c r="AP712" s="52" t="n">
        <v>0</v>
      </c>
      <c r="AQ712" s="53" t="n">
        <v>0</v>
      </c>
      <c r="AR712" s="52" t="n">
        <v>0</v>
      </c>
      <c r="AS712" s="51" t="n">
        <v>0</v>
      </c>
      <c r="AT712" s="48" t="n">
        <v>0</v>
      </c>
      <c r="AU712" s="49" t="n">
        <v>0</v>
      </c>
      <c r="AV712" s="49" t="n">
        <v>0</v>
      </c>
      <c r="AW712" s="50" t="n">
        <v>0</v>
      </c>
      <c r="AX712" s="51" t="n">
        <v>0</v>
      </c>
      <c r="AY712" s="52" t="n">
        <v>0</v>
      </c>
      <c r="AZ712" s="52" t="n">
        <v>0</v>
      </c>
      <c r="BA712" s="52" t="n">
        <v>0</v>
      </c>
      <c r="BB712" s="53" t="n">
        <v>0</v>
      </c>
      <c r="BC712" s="52" t="n">
        <v>0</v>
      </c>
      <c r="BD712" s="53" t="n">
        <v>0</v>
      </c>
      <c r="BE712" s="52" t="n">
        <v>0</v>
      </c>
      <c r="BF712" s="51" t="n">
        <v>0</v>
      </c>
    </row>
    <row r="713">
      <c r="A713">
        <f>HYPERLINK("https://www.walmart.com/ip/908736024", "908736024")</f>
        <v/>
      </c>
      <c r="B713" t="inlineStr">
        <is>
          <t>Sun Hat Wide Brim, Summer Outdoor Bucket  Boonie Hat for Hiking Safari Gardening</t>
        </is>
      </c>
      <c r="C713" t="inlineStr">
        <is>
          <t>1SLSH191GY</t>
        </is>
      </c>
      <c r="D713" t="inlineStr">
        <is>
          <t>Hats</t>
        </is>
      </c>
      <c r="E713" t="inlineStr">
        <is>
          <t>Solaris</t>
        </is>
      </c>
      <c r="F713" t="inlineStr">
        <is>
          <t>Optimized</t>
        </is>
      </c>
      <c r="G713" s="48" t="n">
        <v>0</v>
      </c>
      <c r="H713" s="49" t="n">
        <v>0</v>
      </c>
      <c r="I713" s="49" t="n">
        <v>0</v>
      </c>
      <c r="J713" s="50" t="n">
        <v>0</v>
      </c>
      <c r="K713" s="51" t="n">
        <v>0</v>
      </c>
      <c r="L713" s="52" t="n">
        <v>0</v>
      </c>
      <c r="M713" s="52" t="n">
        <v>0</v>
      </c>
      <c r="N713" s="52" t="n">
        <v>0</v>
      </c>
      <c r="O713" s="53" t="n">
        <v>0</v>
      </c>
      <c r="P713" s="52" t="n">
        <v>0</v>
      </c>
      <c r="Q713" s="53" t="n">
        <v>0</v>
      </c>
      <c r="R713" s="52" t="n">
        <v>0</v>
      </c>
      <c r="S713" s="51" t="n">
        <v>0</v>
      </c>
      <c r="T713" s="48" t="n">
        <v>0</v>
      </c>
      <c r="U713" s="49" t="n">
        <v>0</v>
      </c>
      <c r="V713" s="49" t="n">
        <v>0</v>
      </c>
      <c r="W713" s="50" t="n">
        <v>0</v>
      </c>
      <c r="X713" s="51" t="n">
        <v>0</v>
      </c>
      <c r="Y713" s="52" t="n">
        <v>0</v>
      </c>
      <c r="Z713" s="52" t="n">
        <v>0</v>
      </c>
      <c r="AA713" s="52" t="n">
        <v>0</v>
      </c>
      <c r="AB713" s="53" t="n">
        <v>0</v>
      </c>
      <c r="AC713" s="52" t="n">
        <v>0</v>
      </c>
      <c r="AD713" s="53" t="n">
        <v>0</v>
      </c>
      <c r="AE713" s="52" t="n">
        <v>0</v>
      </c>
      <c r="AF713" s="51" t="n">
        <v>0</v>
      </c>
      <c r="AG713" s="48" t="n">
        <v>0</v>
      </c>
      <c r="AH713" s="49" t="n">
        <v>0</v>
      </c>
      <c r="AI713" s="49" t="n">
        <v>0</v>
      </c>
      <c r="AJ713" s="50" t="n">
        <v>0</v>
      </c>
      <c r="AK713" s="51" t="n">
        <v>0</v>
      </c>
      <c r="AL713" s="52" t="n">
        <v>0</v>
      </c>
      <c r="AM713" s="52" t="n">
        <v>0</v>
      </c>
      <c r="AN713" s="52" t="n">
        <v>0</v>
      </c>
      <c r="AO713" s="53" t="n">
        <v>0</v>
      </c>
      <c r="AP713" s="52" t="n">
        <v>0</v>
      </c>
      <c r="AQ713" s="53" t="n">
        <v>0</v>
      </c>
      <c r="AR713" s="52" t="n">
        <v>0</v>
      </c>
      <c r="AS713" s="51" t="n">
        <v>0</v>
      </c>
      <c r="AT713" s="48" t="n">
        <v>0</v>
      </c>
      <c r="AU713" s="49" t="n">
        <v>0</v>
      </c>
      <c r="AV713" s="49" t="n">
        <v>0</v>
      </c>
      <c r="AW713" s="50" t="n">
        <v>0</v>
      </c>
      <c r="AX713" s="51" t="n">
        <v>0</v>
      </c>
      <c r="AY713" s="52" t="n">
        <v>0</v>
      </c>
      <c r="AZ713" s="52" t="n">
        <v>0</v>
      </c>
      <c r="BA713" s="52" t="n">
        <v>0</v>
      </c>
      <c r="BB713" s="53" t="n">
        <v>0</v>
      </c>
      <c r="BC713" s="52" t="n">
        <v>0</v>
      </c>
      <c r="BD713" s="53" t="n">
        <v>0</v>
      </c>
      <c r="BE713" s="52" t="n">
        <v>0</v>
      </c>
      <c r="BF713" s="51" t="n">
        <v>0</v>
      </c>
    </row>
    <row r="714">
      <c r="A714">
        <f>HYPERLINK("https://www.walmart.com/ip/908798016", "908798016")</f>
        <v/>
      </c>
      <c r="B714" t="inlineStr">
        <is>
          <t>Terra Bed Blankets, Bedspreads, Bed throws, Soft Cozy Reversible Fuzzy Blanket  50" W x 60" L, Latte</t>
        </is>
      </c>
      <c r="C714" t="inlineStr">
        <is>
          <t>1TRK9000LT-JWCB</t>
        </is>
      </c>
      <c r="D714" t="inlineStr">
        <is>
          <t>Throws</t>
        </is>
      </c>
      <c r="E714" t="inlineStr">
        <is>
          <t>NAPA</t>
        </is>
      </c>
      <c r="G714" s="48" t="n">
        <v>0</v>
      </c>
      <c r="H714" s="49" t="n">
        <v>0</v>
      </c>
      <c r="I714" s="49" t="n">
        <v>0</v>
      </c>
      <c r="J714" s="50" t="n">
        <v>0</v>
      </c>
      <c r="K714" s="51" t="n">
        <v>0</v>
      </c>
      <c r="L714" s="52" t="n">
        <v>0</v>
      </c>
      <c r="M714" s="52" t="n">
        <v>0</v>
      </c>
      <c r="N714" s="52" t="n">
        <v>0</v>
      </c>
      <c r="O714" s="53" t="n">
        <v>0</v>
      </c>
      <c r="P714" s="52" t="n">
        <v>0</v>
      </c>
      <c r="Q714" s="53" t="n">
        <v>0</v>
      </c>
      <c r="R714" s="52" t="n">
        <v>0</v>
      </c>
      <c r="S714" s="51" t="n">
        <v>0</v>
      </c>
      <c r="T714" s="48" t="n">
        <v>0</v>
      </c>
      <c r="U714" s="49" t="n">
        <v>0</v>
      </c>
      <c r="V714" s="49" t="n">
        <v>0</v>
      </c>
      <c r="W714" s="50" t="n">
        <v>0</v>
      </c>
      <c r="X714" s="51" t="n">
        <v>0</v>
      </c>
      <c r="Y714" s="52" t="n">
        <v>0</v>
      </c>
      <c r="Z714" s="52" t="n">
        <v>0</v>
      </c>
      <c r="AA714" s="52" t="n">
        <v>0</v>
      </c>
      <c r="AB714" s="53" t="n">
        <v>0</v>
      </c>
      <c r="AC714" s="52" t="n">
        <v>0</v>
      </c>
      <c r="AD714" s="53" t="n">
        <v>0</v>
      </c>
      <c r="AE714" s="52" t="n">
        <v>0</v>
      </c>
      <c r="AF714" s="51" t="n">
        <v>0</v>
      </c>
      <c r="AG714" s="48" t="n">
        <v>0</v>
      </c>
      <c r="AH714" s="49" t="n">
        <v>0</v>
      </c>
      <c r="AI714" s="49" t="n">
        <v>0</v>
      </c>
      <c r="AJ714" s="50" t="n">
        <v>0</v>
      </c>
      <c r="AK714" s="51" t="n">
        <v>0</v>
      </c>
      <c r="AL714" s="52" t="n">
        <v>0</v>
      </c>
      <c r="AM714" s="52" t="n">
        <v>0</v>
      </c>
      <c r="AN714" s="52" t="n">
        <v>0</v>
      </c>
      <c r="AO714" s="53" t="n">
        <v>0</v>
      </c>
      <c r="AP714" s="52" t="n">
        <v>0</v>
      </c>
      <c r="AQ714" s="53" t="n">
        <v>0</v>
      </c>
      <c r="AR714" s="52" t="n">
        <v>0</v>
      </c>
      <c r="AS714" s="51" t="n">
        <v>0</v>
      </c>
      <c r="AT714" s="48" t="n">
        <v>0</v>
      </c>
      <c r="AU714" s="49" t="n">
        <v>0</v>
      </c>
      <c r="AV714" s="49" t="n">
        <v>0</v>
      </c>
      <c r="AW714" s="50" t="n">
        <v>0</v>
      </c>
      <c r="AX714" s="51" t="n">
        <v>0</v>
      </c>
      <c r="AY714" s="52" t="n">
        <v>0</v>
      </c>
      <c r="AZ714" s="52" t="n">
        <v>0</v>
      </c>
      <c r="BA714" s="52" t="n">
        <v>0</v>
      </c>
      <c r="BB714" s="53" t="n">
        <v>0</v>
      </c>
      <c r="BC714" s="52" t="n">
        <v>0</v>
      </c>
      <c r="BD714" s="53" t="n">
        <v>0</v>
      </c>
      <c r="BE714" s="52" t="n">
        <v>0</v>
      </c>
      <c r="BF714" s="51" t="n">
        <v>0</v>
      </c>
    </row>
    <row r="715">
      <c r="A715">
        <f>HYPERLINK("https://www.walmart.com/ip/910034340", "910034340")</f>
        <v/>
      </c>
      <c r="B715" t="inlineStr">
        <is>
          <t>KC Caps Unisex Hunting Hiking Camping Camo Military Mesh Cap for Adults, Travel Outdoor Sports Hat</t>
        </is>
      </c>
      <c r="C715" t="inlineStr">
        <is>
          <t>KC Caps 7140 Break up</t>
        </is>
      </c>
      <c r="D715" t="inlineStr">
        <is>
          <t>Hats</t>
        </is>
      </c>
      <c r="E715" t="inlineStr">
        <is>
          <t>KC Caps</t>
        </is>
      </c>
      <c r="F715" t="inlineStr">
        <is>
          <t>Optimized</t>
        </is>
      </c>
      <c r="G715" s="48" t="n">
        <v>0</v>
      </c>
      <c r="H715" s="49" t="n">
        <v>0</v>
      </c>
      <c r="I715" s="49" t="n">
        <v>0</v>
      </c>
      <c r="J715" s="50" t="n">
        <v>0</v>
      </c>
      <c r="K715" s="51" t="n">
        <v>0</v>
      </c>
      <c r="L715" s="52" t="n">
        <v>0</v>
      </c>
      <c r="M715" s="52" t="n">
        <v>0</v>
      </c>
      <c r="N715" s="52" t="n">
        <v>0</v>
      </c>
      <c r="O715" s="53" t="n">
        <v>0</v>
      </c>
      <c r="P715" s="52" t="n">
        <v>0</v>
      </c>
      <c r="Q715" s="53" t="n">
        <v>0</v>
      </c>
      <c r="R715" s="52" t="n">
        <v>0</v>
      </c>
      <c r="S715" s="51" t="n">
        <v>0</v>
      </c>
      <c r="T715" s="48" t="n">
        <v>0</v>
      </c>
      <c r="U715" s="49" t="n">
        <v>0</v>
      </c>
      <c r="V715" s="49" t="n">
        <v>0</v>
      </c>
      <c r="W715" s="50" t="n">
        <v>0</v>
      </c>
      <c r="X715" s="51" t="n">
        <v>0</v>
      </c>
      <c r="Y715" s="52" t="n">
        <v>0</v>
      </c>
      <c r="Z715" s="52" t="n">
        <v>0</v>
      </c>
      <c r="AA715" s="52" t="n">
        <v>0</v>
      </c>
      <c r="AB715" s="53" t="n">
        <v>0</v>
      </c>
      <c r="AC715" s="52" t="n">
        <v>0</v>
      </c>
      <c r="AD715" s="53" t="n">
        <v>0</v>
      </c>
      <c r="AE715" s="52" t="n">
        <v>0</v>
      </c>
      <c r="AF715" s="51" t="n">
        <v>0</v>
      </c>
      <c r="AG715" s="48" t="n">
        <v>0</v>
      </c>
      <c r="AH715" s="49" t="n">
        <v>0</v>
      </c>
      <c r="AI715" s="49" t="n">
        <v>0</v>
      </c>
      <c r="AJ715" s="50" t="n">
        <v>0</v>
      </c>
      <c r="AK715" s="51" t="n">
        <v>0</v>
      </c>
      <c r="AL715" s="52" t="n">
        <v>0</v>
      </c>
      <c r="AM715" s="52" t="n">
        <v>0</v>
      </c>
      <c r="AN715" s="52" t="n">
        <v>0</v>
      </c>
      <c r="AO715" s="53" t="n">
        <v>0</v>
      </c>
      <c r="AP715" s="52" t="n">
        <v>0</v>
      </c>
      <c r="AQ715" s="53" t="n">
        <v>0</v>
      </c>
      <c r="AR715" s="52" t="n">
        <v>0</v>
      </c>
      <c r="AS715" s="51" t="n">
        <v>0</v>
      </c>
      <c r="AT715" s="48" t="n">
        <v>0</v>
      </c>
      <c r="AU715" s="49" t="n">
        <v>0</v>
      </c>
      <c r="AV715" s="49" t="n">
        <v>0</v>
      </c>
      <c r="AW715" s="50" t="n">
        <v>0</v>
      </c>
      <c r="AX715" s="51" t="n">
        <v>0</v>
      </c>
      <c r="AY715" s="52" t="n">
        <v>0</v>
      </c>
      <c r="AZ715" s="52" t="n">
        <v>0</v>
      </c>
      <c r="BA715" s="52" t="n">
        <v>0</v>
      </c>
      <c r="BB715" s="53" t="n">
        <v>0</v>
      </c>
      <c r="BC715" s="52" t="n">
        <v>0</v>
      </c>
      <c r="BD715" s="53" t="n">
        <v>0</v>
      </c>
      <c r="BE715" s="52" t="n">
        <v>0</v>
      </c>
      <c r="BF715" s="51" t="n">
        <v>0</v>
      </c>
    </row>
    <row r="716">
      <c r="A716">
        <f>HYPERLINK("https://www.walmart.com/ip/911123677", "911123677")</f>
        <v/>
      </c>
      <c r="B716" t="inlineStr">
        <is>
          <t>Flyingstar Lunch Bag for Women Men, Insulated Lunch Tote for Working/School/Picnic Fashionable Cooler Bag</t>
        </is>
      </c>
      <c r="C716" t="inlineStr">
        <is>
          <t>1WMLB704GYWV</t>
        </is>
      </c>
      <c r="D716" t="inlineStr">
        <is>
          <t>Reusable Lunch Bags &amp; Boxes</t>
        </is>
      </c>
      <c r="E716" t="inlineStr">
        <is>
          <t>Flyingstar</t>
        </is>
      </c>
      <c r="F716" t="inlineStr">
        <is>
          <t>Q2-Target,Lunch Bag,Lunch Bags</t>
        </is>
      </c>
      <c r="G716" s="48" t="n">
        <v>0</v>
      </c>
      <c r="H716" s="49" t="n">
        <v>0</v>
      </c>
      <c r="I716" s="49" t="n">
        <v>0</v>
      </c>
      <c r="J716" s="50" t="n">
        <v>0</v>
      </c>
      <c r="K716" s="51" t="n">
        <v>0</v>
      </c>
      <c r="L716" s="52" t="n">
        <v>0</v>
      </c>
      <c r="M716" s="52" t="n">
        <v>0</v>
      </c>
      <c r="N716" s="52" t="n">
        <v>0</v>
      </c>
      <c r="O716" s="53" t="n">
        <v>0</v>
      </c>
      <c r="P716" s="52" t="n">
        <v>0</v>
      </c>
      <c r="Q716" s="53" t="n">
        <v>0</v>
      </c>
      <c r="R716" s="52" t="n">
        <v>0</v>
      </c>
      <c r="S716" s="51" t="n">
        <v>0</v>
      </c>
      <c r="T716" s="48" t="n">
        <v>0</v>
      </c>
      <c r="U716" s="49" t="n">
        <v>0</v>
      </c>
      <c r="V716" s="49" t="n">
        <v>0</v>
      </c>
      <c r="W716" s="50" t="n">
        <v>0</v>
      </c>
      <c r="X716" s="51" t="n">
        <v>0</v>
      </c>
      <c r="Y716" s="52" t="n">
        <v>0</v>
      </c>
      <c r="Z716" s="52" t="n">
        <v>0</v>
      </c>
      <c r="AA716" s="52" t="n">
        <v>0</v>
      </c>
      <c r="AB716" s="53" t="n">
        <v>0</v>
      </c>
      <c r="AC716" s="52" t="n">
        <v>0</v>
      </c>
      <c r="AD716" s="53" t="n">
        <v>0</v>
      </c>
      <c r="AE716" s="52" t="n">
        <v>0</v>
      </c>
      <c r="AF716" s="51" t="n">
        <v>0</v>
      </c>
      <c r="AG716" s="48" t="n">
        <v>0</v>
      </c>
      <c r="AH716" s="49" t="n">
        <v>0</v>
      </c>
      <c r="AI716" s="49" t="n">
        <v>0</v>
      </c>
      <c r="AJ716" s="50" t="n">
        <v>0</v>
      </c>
      <c r="AK716" s="51" t="n">
        <v>0</v>
      </c>
      <c r="AL716" s="52" t="n">
        <v>0</v>
      </c>
      <c r="AM716" s="52" t="n">
        <v>0</v>
      </c>
      <c r="AN716" s="52" t="n">
        <v>0</v>
      </c>
      <c r="AO716" s="53" t="n">
        <v>0</v>
      </c>
      <c r="AP716" s="52" t="n">
        <v>0</v>
      </c>
      <c r="AQ716" s="53" t="n">
        <v>0</v>
      </c>
      <c r="AR716" s="52" t="n">
        <v>0</v>
      </c>
      <c r="AS716" s="51" t="n">
        <v>0</v>
      </c>
      <c r="AT716" s="48" t="n">
        <v>0</v>
      </c>
      <c r="AU716" s="49" t="n">
        <v>0</v>
      </c>
      <c r="AV716" s="49" t="n">
        <v>0</v>
      </c>
      <c r="AW716" s="50" t="n">
        <v>0</v>
      </c>
      <c r="AX716" s="51" t="n">
        <v>0</v>
      </c>
      <c r="AY716" s="52" t="n">
        <v>0</v>
      </c>
      <c r="AZ716" s="52" t="n">
        <v>0</v>
      </c>
      <c r="BA716" s="52" t="n">
        <v>0</v>
      </c>
      <c r="BB716" s="53" t="n">
        <v>0</v>
      </c>
      <c r="BC716" s="52" t="n">
        <v>0</v>
      </c>
      <c r="BD716" s="53" t="n">
        <v>0</v>
      </c>
      <c r="BE716" s="52" t="n">
        <v>0</v>
      </c>
      <c r="BF716" s="51" t="n">
        <v>0</v>
      </c>
    </row>
    <row r="717">
      <c r="A717">
        <f>HYPERLINK("https://www.walmart.com/ip/901462057", "901462057")</f>
        <v/>
      </c>
      <c r="B717" t="inlineStr">
        <is>
          <t>"Kato 6 Bottle Wine Carrier - Insulated Portable Wine Carry Cooler Tote Bag for Travel or Picnic, Perfect Wine Lover Gift, Black "</t>
        </is>
      </c>
      <c r="C717" t="inlineStr">
        <is>
          <t>1KTWB400BK</t>
        </is>
      </c>
      <c r="D717" t="inlineStr">
        <is>
          <t>Wine Totes, Bags &amp; Backpacks</t>
        </is>
      </c>
      <c r="E717" t="inlineStr">
        <is>
          <t>Kato</t>
        </is>
      </c>
      <c r="F717" t="inlineStr">
        <is>
          <t>Wine,Christmas,Valentine,SEM</t>
        </is>
      </c>
      <c r="G717" s="48" t="n">
        <v>0</v>
      </c>
      <c r="H717" s="49" t="n">
        <v>0</v>
      </c>
      <c r="I717" s="49" t="n">
        <v>0</v>
      </c>
      <c r="J717" s="50" t="n">
        <v>0</v>
      </c>
      <c r="K717" s="51" t="n">
        <v>3</v>
      </c>
      <c r="L717" s="52" t="n">
        <v>1.32</v>
      </c>
      <c r="M717" s="52" t="n">
        <v>0</v>
      </c>
      <c r="N717" s="52" t="n">
        <v>0</v>
      </c>
      <c r="O717" s="53" t="n">
        <v>0.0011</v>
      </c>
      <c r="P717" s="52" t="n">
        <v>0.44</v>
      </c>
      <c r="Q717" s="53" t="n">
        <v>0</v>
      </c>
      <c r="R717" s="52" t="n">
        <v>0</v>
      </c>
      <c r="S717" s="51" t="n">
        <v>2736</v>
      </c>
      <c r="T717" s="48" t="n">
        <v>17.99</v>
      </c>
      <c r="U717" s="49" t="n">
        <v>1</v>
      </c>
      <c r="V717" s="49" t="n">
        <v>0</v>
      </c>
      <c r="W717" s="50" t="n">
        <v>0</v>
      </c>
      <c r="X717" s="51" t="n">
        <v>9</v>
      </c>
      <c r="Y717" s="52" t="n">
        <v>3.96</v>
      </c>
      <c r="Z717" s="52" t="n">
        <v>0</v>
      </c>
      <c r="AA717" s="52" t="n">
        <v>0</v>
      </c>
      <c r="AB717" s="53" t="n">
        <v>0.004</v>
      </c>
      <c r="AC717" s="52" t="n">
        <v>0.44</v>
      </c>
      <c r="AD717" s="53" t="n">
        <v>0.2201222901612007</v>
      </c>
      <c r="AE717" s="52" t="n">
        <v>17.99</v>
      </c>
      <c r="AF717" s="51" t="n">
        <v>2250</v>
      </c>
      <c r="AG717" s="48" t="n">
        <v>0</v>
      </c>
      <c r="AH717" s="49" t="n">
        <v>0</v>
      </c>
      <c r="AI717" s="49" t="n">
        <v>0</v>
      </c>
      <c r="AJ717" s="50" t="n">
        <v>0</v>
      </c>
      <c r="AK717" s="51" t="n">
        <v>3</v>
      </c>
      <c r="AL717" s="52" t="n">
        <v>1.32</v>
      </c>
      <c r="AM717" s="52" t="n">
        <v>0</v>
      </c>
      <c r="AN717" s="52" t="n">
        <v>0</v>
      </c>
      <c r="AO717" s="53" t="n">
        <v>0.0031</v>
      </c>
      <c r="AP717" s="52" t="n">
        <v>0.44</v>
      </c>
      <c r="AQ717" s="53" t="n">
        <v>0</v>
      </c>
      <c r="AR717" s="52" t="n">
        <v>0</v>
      </c>
      <c r="AS717" s="51" t="n">
        <v>954</v>
      </c>
      <c r="AT717" s="48" t="n">
        <v>0</v>
      </c>
      <c r="AU717" s="49" t="n">
        <v>0</v>
      </c>
      <c r="AV717" s="49" t="n">
        <v>0</v>
      </c>
      <c r="AW717" s="50" t="n">
        <v>0</v>
      </c>
      <c r="AX717" s="51" t="n">
        <v>2</v>
      </c>
      <c r="AY717" s="52" t="n">
        <v>0.88</v>
      </c>
      <c r="AZ717" s="52" t="n">
        <v>0</v>
      </c>
      <c r="BA717" s="52" t="n">
        <v>0</v>
      </c>
      <c r="BB717" s="53" t="n">
        <v>0.003</v>
      </c>
      <c r="BC717" s="52" t="n">
        <v>0.44</v>
      </c>
      <c r="BD717" s="53" t="n">
        <v>0</v>
      </c>
      <c r="BE717" s="52" t="n">
        <v>0</v>
      </c>
      <c r="BF717" s="51" t="n">
        <v>674</v>
      </c>
    </row>
    <row r="718">
      <c r="A718">
        <f>HYPERLINK("https://www.walmart.com/ip/900825897", "900825897")</f>
        <v/>
      </c>
      <c r="B718" t="inlineStr">
        <is>
          <t>Pawsse Pet Blankets, Super Soft Warm Sherpa Dog Fleece Blanket, Large Dog Blankets, and Dog Throw Blanket for Small Medium Puppy Doggy Pet Cats, Red, 60 X 49 Inches</t>
        </is>
      </c>
      <c r="C718" t="inlineStr">
        <is>
          <t>1PSBF301RD</t>
        </is>
      </c>
      <c r="D718" t="inlineStr">
        <is>
          <t>Pet Blankets</t>
        </is>
      </c>
      <c r="E718" t="inlineStr">
        <is>
          <t>Pawsse</t>
        </is>
      </c>
      <c r="F718" t="inlineStr">
        <is>
          <t>Coupon_Discount,Batch 1 - TR</t>
        </is>
      </c>
      <c r="G718" s="48" t="n">
        <v>0</v>
      </c>
      <c r="H718" s="49" t="n">
        <v>0</v>
      </c>
      <c r="I718" s="49" t="n">
        <v>0</v>
      </c>
      <c r="J718" s="50" t="n">
        <v>0</v>
      </c>
      <c r="K718" s="51" t="n">
        <v>0</v>
      </c>
      <c r="L718" s="52" t="n">
        <v>0</v>
      </c>
      <c r="M718" s="52" t="n">
        <v>0</v>
      </c>
      <c r="N718" s="52" t="n">
        <v>0</v>
      </c>
      <c r="O718" s="53" t="n">
        <v>0</v>
      </c>
      <c r="P718" s="52" t="n">
        <v>0</v>
      </c>
      <c r="Q718" s="53" t="n">
        <v>0</v>
      </c>
      <c r="R718" s="52" t="n">
        <v>0</v>
      </c>
      <c r="S718" s="51" t="n">
        <v>0</v>
      </c>
      <c r="T718" s="48" t="n">
        <v>0</v>
      </c>
      <c r="U718" s="49" t="n">
        <v>0</v>
      </c>
      <c r="V718" s="49" t="n">
        <v>0</v>
      </c>
      <c r="W718" s="50" t="n">
        <v>0</v>
      </c>
      <c r="X718" s="51" t="n">
        <v>0</v>
      </c>
      <c r="Y718" s="52" t="n">
        <v>0</v>
      </c>
      <c r="Z718" s="52" t="n">
        <v>0</v>
      </c>
      <c r="AA718" s="52" t="n">
        <v>0</v>
      </c>
      <c r="AB718" s="53" t="n">
        <v>0</v>
      </c>
      <c r="AC718" s="52" t="n">
        <v>0</v>
      </c>
      <c r="AD718" s="53" t="n">
        <v>0</v>
      </c>
      <c r="AE718" s="52" t="n">
        <v>0</v>
      </c>
      <c r="AF718" s="51" t="n">
        <v>0</v>
      </c>
      <c r="AG718" s="48" t="n">
        <v>0</v>
      </c>
      <c r="AH718" s="49" t="n">
        <v>0</v>
      </c>
      <c r="AI718" s="49" t="n">
        <v>0</v>
      </c>
      <c r="AJ718" s="50" t="n">
        <v>0</v>
      </c>
      <c r="AK718" s="51" t="n">
        <v>0</v>
      </c>
      <c r="AL718" s="52" t="n">
        <v>0</v>
      </c>
      <c r="AM718" s="52" t="n">
        <v>0</v>
      </c>
      <c r="AN718" s="52" t="n">
        <v>0</v>
      </c>
      <c r="AO718" s="53" t="n">
        <v>0</v>
      </c>
      <c r="AP718" s="52" t="n">
        <v>0</v>
      </c>
      <c r="AQ718" s="53" t="n">
        <v>0</v>
      </c>
      <c r="AR718" s="52" t="n">
        <v>0</v>
      </c>
      <c r="AS718" s="51" t="n">
        <v>0</v>
      </c>
      <c r="AT718" s="48" t="n">
        <v>0</v>
      </c>
      <c r="AU718" s="49" t="n">
        <v>0</v>
      </c>
      <c r="AV718" s="49" t="n">
        <v>0</v>
      </c>
      <c r="AW718" s="50" t="n">
        <v>0</v>
      </c>
      <c r="AX718" s="51" t="n">
        <v>0</v>
      </c>
      <c r="AY718" s="52" t="n">
        <v>0</v>
      </c>
      <c r="AZ718" s="52" t="n">
        <v>0</v>
      </c>
      <c r="BA718" s="52" t="n">
        <v>0</v>
      </c>
      <c r="BB718" s="53" t="n">
        <v>0</v>
      </c>
      <c r="BC718" s="52" t="n">
        <v>0</v>
      </c>
      <c r="BD718" s="53" t="n">
        <v>0</v>
      </c>
      <c r="BE718" s="52" t="n">
        <v>0</v>
      </c>
      <c r="BF718" s="51" t="n">
        <v>0</v>
      </c>
    </row>
    <row r="719">
      <c r="A719">
        <f>HYPERLINK("https://www.walmart.com/ip/911477249", "911477249")</f>
        <v/>
      </c>
      <c r="B719" t="inlineStr">
        <is>
          <t>Catalonia Buffalo Plaid Sherpa Throw TV Blanket 50" x 60" Super Soft Reversible Fleece Blanket for Cabin Bed or Couch | Cabin Plaid Check, Black Plaid</t>
        </is>
      </c>
      <c r="C719" t="inlineStr">
        <is>
          <t>1CTBF300PBK</t>
        </is>
      </c>
      <c r="D719" t="inlineStr">
        <is>
          <t>Throws</t>
        </is>
      </c>
      <c r="E719" t="inlineStr">
        <is>
          <t>Catalonia</t>
        </is>
      </c>
      <c r="F719" t="inlineStr">
        <is>
          <t>Q2-Target,WFS,Coupon_Discount,WFS Item,Fleece Blankets</t>
        </is>
      </c>
      <c r="G719" s="48" t="n">
        <v>0</v>
      </c>
      <c r="H719" s="49" t="n">
        <v>0</v>
      </c>
      <c r="I719" s="49" t="n">
        <v>0</v>
      </c>
      <c r="J719" s="50" t="n">
        <v>0</v>
      </c>
      <c r="K719" s="51" t="n">
        <v>0</v>
      </c>
      <c r="L719" s="52" t="n">
        <v>0</v>
      </c>
      <c r="M719" s="52" t="n">
        <v>0</v>
      </c>
      <c r="N719" s="52" t="n">
        <v>0</v>
      </c>
      <c r="O719" s="53" t="n">
        <v>0</v>
      </c>
      <c r="P719" s="52" t="n">
        <v>0</v>
      </c>
      <c r="Q719" s="53" t="n">
        <v>0</v>
      </c>
      <c r="R719" s="52" t="n">
        <v>0</v>
      </c>
      <c r="S719" s="51" t="n">
        <v>0</v>
      </c>
      <c r="T719" s="48" t="n">
        <v>0</v>
      </c>
      <c r="U719" s="49" t="n">
        <v>0</v>
      </c>
      <c r="V719" s="49" t="n">
        <v>0</v>
      </c>
      <c r="W719" s="50" t="n">
        <v>0</v>
      </c>
      <c r="X719" s="51" t="n">
        <v>0</v>
      </c>
      <c r="Y719" s="52" t="n">
        <v>0</v>
      </c>
      <c r="Z719" s="52" t="n">
        <v>0</v>
      </c>
      <c r="AA719" s="52" t="n">
        <v>0</v>
      </c>
      <c r="AB719" s="53" t="n">
        <v>0</v>
      </c>
      <c r="AC719" s="52" t="n">
        <v>0</v>
      </c>
      <c r="AD719" s="53" t="n">
        <v>0</v>
      </c>
      <c r="AE719" s="52" t="n">
        <v>0</v>
      </c>
      <c r="AF719" s="51" t="n">
        <v>0</v>
      </c>
      <c r="AG719" s="48" t="n">
        <v>0</v>
      </c>
      <c r="AH719" s="49" t="n">
        <v>0</v>
      </c>
      <c r="AI719" s="49" t="n">
        <v>0</v>
      </c>
      <c r="AJ719" s="50" t="n">
        <v>0</v>
      </c>
      <c r="AK719" s="51" t="n">
        <v>0</v>
      </c>
      <c r="AL719" s="52" t="n">
        <v>0</v>
      </c>
      <c r="AM719" s="52" t="n">
        <v>0</v>
      </c>
      <c r="AN719" s="52" t="n">
        <v>0</v>
      </c>
      <c r="AO719" s="53" t="n">
        <v>0</v>
      </c>
      <c r="AP719" s="52" t="n">
        <v>0</v>
      </c>
      <c r="AQ719" s="53" t="n">
        <v>0</v>
      </c>
      <c r="AR719" s="52" t="n">
        <v>0</v>
      </c>
      <c r="AS719" s="51" t="n">
        <v>0</v>
      </c>
      <c r="AT719" s="48" t="n">
        <v>0</v>
      </c>
      <c r="AU719" s="49" t="n">
        <v>0</v>
      </c>
      <c r="AV719" s="49" t="n">
        <v>0</v>
      </c>
      <c r="AW719" s="50" t="n">
        <v>0</v>
      </c>
      <c r="AX719" s="51" t="n">
        <v>0</v>
      </c>
      <c r="AY719" s="52" t="n">
        <v>0</v>
      </c>
      <c r="AZ719" s="52" t="n">
        <v>0</v>
      </c>
      <c r="BA719" s="52" t="n">
        <v>0</v>
      </c>
      <c r="BB719" s="53" t="n">
        <v>0</v>
      </c>
      <c r="BC719" s="52" t="n">
        <v>0</v>
      </c>
      <c r="BD719" s="53" t="n">
        <v>0</v>
      </c>
      <c r="BE719" s="52" t="n">
        <v>0</v>
      </c>
      <c r="BF719" s="51" t="n">
        <v>0</v>
      </c>
    </row>
    <row r="720">
      <c r="A720">
        <f>HYPERLINK("https://www.walmart.com/ip/900761482", "900761482")</f>
        <v/>
      </c>
      <c r="B720" t="inlineStr">
        <is>
          <t>Oversized Hooded Poncho Cape, Casual Hoodie Sweatshirt, Batwing Coat Pullover | Light Weight, Cozy, Comfortable, Roomy | for Adults Women Men Teens</t>
        </is>
      </c>
      <c r="C720" t="inlineStr">
        <is>
          <t>1WMHD540S1RD</t>
        </is>
      </c>
      <c r="D720" t="inlineStr">
        <is>
          <t>Sweatshirts &amp; Hoodies</t>
        </is>
      </c>
      <c r="E720" t="inlineStr">
        <is>
          <t>Flyingstar</t>
        </is>
      </c>
      <c r="F720" t="inlineStr">
        <is>
          <t>Hoodie ForAdult,Optimized</t>
        </is>
      </c>
      <c r="G720" s="48" t="n">
        <v>0</v>
      </c>
      <c r="H720" s="49" t="n">
        <v>0</v>
      </c>
      <c r="I720" s="49" t="n">
        <v>0</v>
      </c>
      <c r="J720" s="50" t="n">
        <v>0</v>
      </c>
      <c r="K720" s="51" t="n">
        <v>0</v>
      </c>
      <c r="L720" s="52" t="n">
        <v>0</v>
      </c>
      <c r="M720" s="52" t="n">
        <v>0</v>
      </c>
      <c r="N720" s="52" t="n">
        <v>0</v>
      </c>
      <c r="O720" s="53" t="n">
        <v>0</v>
      </c>
      <c r="P720" s="52" t="n">
        <v>0</v>
      </c>
      <c r="Q720" s="53" t="n">
        <v>0</v>
      </c>
      <c r="R720" s="52" t="n">
        <v>0</v>
      </c>
      <c r="S720" s="51" t="n">
        <v>0</v>
      </c>
      <c r="T720" s="48" t="n">
        <v>0</v>
      </c>
      <c r="U720" s="49" t="n">
        <v>0</v>
      </c>
      <c r="V720" s="49" t="n">
        <v>0</v>
      </c>
      <c r="W720" s="50" t="n">
        <v>0</v>
      </c>
      <c r="X720" s="51" t="n">
        <v>0</v>
      </c>
      <c r="Y720" s="52" t="n">
        <v>0</v>
      </c>
      <c r="Z720" s="52" t="n">
        <v>0</v>
      </c>
      <c r="AA720" s="52" t="n">
        <v>0</v>
      </c>
      <c r="AB720" s="53" t="n">
        <v>0</v>
      </c>
      <c r="AC720" s="52" t="n">
        <v>0</v>
      </c>
      <c r="AD720" s="53" t="n">
        <v>0</v>
      </c>
      <c r="AE720" s="52" t="n">
        <v>0</v>
      </c>
      <c r="AF720" s="51" t="n">
        <v>0</v>
      </c>
      <c r="AG720" s="48" t="n">
        <v>0</v>
      </c>
      <c r="AH720" s="49" t="n">
        <v>0</v>
      </c>
      <c r="AI720" s="49" t="n">
        <v>0</v>
      </c>
      <c r="AJ720" s="50" t="n">
        <v>0</v>
      </c>
      <c r="AK720" s="51" t="n">
        <v>0</v>
      </c>
      <c r="AL720" s="52" t="n">
        <v>0</v>
      </c>
      <c r="AM720" s="52" t="n">
        <v>0</v>
      </c>
      <c r="AN720" s="52" t="n">
        <v>0</v>
      </c>
      <c r="AO720" s="53" t="n">
        <v>0</v>
      </c>
      <c r="AP720" s="52" t="n">
        <v>0</v>
      </c>
      <c r="AQ720" s="53" t="n">
        <v>0</v>
      </c>
      <c r="AR720" s="52" t="n">
        <v>0</v>
      </c>
      <c r="AS720" s="51" t="n">
        <v>0</v>
      </c>
      <c r="AT720" s="48" t="n">
        <v>0</v>
      </c>
      <c r="AU720" s="49" t="n">
        <v>0</v>
      </c>
      <c r="AV720" s="49" t="n">
        <v>0</v>
      </c>
      <c r="AW720" s="50" t="n">
        <v>0</v>
      </c>
      <c r="AX720" s="51" t="n">
        <v>0</v>
      </c>
      <c r="AY720" s="52" t="n">
        <v>0</v>
      </c>
      <c r="AZ720" s="52" t="n">
        <v>0</v>
      </c>
      <c r="BA720" s="52" t="n">
        <v>0</v>
      </c>
      <c r="BB720" s="53" t="n">
        <v>0</v>
      </c>
      <c r="BC720" s="52" t="n">
        <v>0</v>
      </c>
      <c r="BD720" s="53" t="n">
        <v>0</v>
      </c>
      <c r="BE720" s="52" t="n">
        <v>0</v>
      </c>
      <c r="BF720" s="51" t="n">
        <v>0</v>
      </c>
    </row>
    <row r="721">
      <c r="A721">
        <f>HYPERLINK("https://www.walmart.com/ip/891778101", "891778101")</f>
        <v/>
      </c>
      <c r="B721" t="inlineStr">
        <is>
          <t>Baby Bag for Mom or Dad, Backpack Diaper Bag Organizer with Stroller Straps and Changing Pad, Large, Grey</t>
        </is>
      </c>
      <c r="C721" t="inlineStr">
        <is>
          <t>TRBP400GY</t>
        </is>
      </c>
      <c r="D721" t="inlineStr">
        <is>
          <t>Diaper Bags</t>
        </is>
      </c>
      <c r="E721" t="inlineStr">
        <is>
          <t>Terrania</t>
        </is>
      </c>
      <c r="F721" t="inlineStr">
        <is>
          <t>Baby days,Optimized</t>
        </is>
      </c>
      <c r="G721" s="48" t="n">
        <v>0</v>
      </c>
      <c r="H721" s="49" t="n">
        <v>0</v>
      </c>
      <c r="I721" s="49" t="n">
        <v>0</v>
      </c>
      <c r="J721" s="50" t="n">
        <v>0</v>
      </c>
      <c r="K721" s="51" t="n">
        <v>0</v>
      </c>
      <c r="L721" s="52" t="n">
        <v>0</v>
      </c>
      <c r="M721" s="52" t="n">
        <v>0</v>
      </c>
      <c r="N721" s="52" t="n">
        <v>0</v>
      </c>
      <c r="O721" s="53" t="n">
        <v>0</v>
      </c>
      <c r="P721" s="52" t="n">
        <v>0</v>
      </c>
      <c r="Q721" s="53" t="n">
        <v>0</v>
      </c>
      <c r="R721" s="52" t="n">
        <v>0</v>
      </c>
      <c r="S721" s="51" t="n">
        <v>0</v>
      </c>
      <c r="T721" s="48" t="n">
        <v>0</v>
      </c>
      <c r="U721" s="49" t="n">
        <v>0</v>
      </c>
      <c r="V721" s="49" t="n">
        <v>0</v>
      </c>
      <c r="W721" s="50" t="n">
        <v>0</v>
      </c>
      <c r="X721" s="51" t="n">
        <v>0</v>
      </c>
      <c r="Y721" s="52" t="n">
        <v>0</v>
      </c>
      <c r="Z721" s="52" t="n">
        <v>0</v>
      </c>
      <c r="AA721" s="52" t="n">
        <v>0</v>
      </c>
      <c r="AB721" s="53" t="n">
        <v>0</v>
      </c>
      <c r="AC721" s="52" t="n">
        <v>0</v>
      </c>
      <c r="AD721" s="53" t="n">
        <v>0</v>
      </c>
      <c r="AE721" s="52" t="n">
        <v>0</v>
      </c>
      <c r="AF721" s="51" t="n">
        <v>0</v>
      </c>
      <c r="AG721" s="48" t="n">
        <v>0</v>
      </c>
      <c r="AH721" s="49" t="n">
        <v>0</v>
      </c>
      <c r="AI721" s="49" t="n">
        <v>0</v>
      </c>
      <c r="AJ721" s="50" t="n">
        <v>0</v>
      </c>
      <c r="AK721" s="51" t="n">
        <v>0</v>
      </c>
      <c r="AL721" s="52" t="n">
        <v>0</v>
      </c>
      <c r="AM721" s="52" t="n">
        <v>0</v>
      </c>
      <c r="AN721" s="52" t="n">
        <v>0</v>
      </c>
      <c r="AO721" s="53" t="n">
        <v>0</v>
      </c>
      <c r="AP721" s="52" t="n">
        <v>0</v>
      </c>
      <c r="AQ721" s="53" t="n">
        <v>0</v>
      </c>
      <c r="AR721" s="52" t="n">
        <v>0</v>
      </c>
      <c r="AS721" s="51" t="n">
        <v>0</v>
      </c>
      <c r="AT721" s="48" t="n">
        <v>0</v>
      </c>
      <c r="AU721" s="49" t="n">
        <v>0</v>
      </c>
      <c r="AV721" s="49" t="n">
        <v>0</v>
      </c>
      <c r="AW721" s="50" t="n">
        <v>0</v>
      </c>
      <c r="AX721" s="51" t="n">
        <v>0</v>
      </c>
      <c r="AY721" s="52" t="n">
        <v>0</v>
      </c>
      <c r="AZ721" s="52" t="n">
        <v>0</v>
      </c>
      <c r="BA721" s="52" t="n">
        <v>0</v>
      </c>
      <c r="BB721" s="53" t="n">
        <v>0</v>
      </c>
      <c r="BC721" s="52" t="n">
        <v>0</v>
      </c>
      <c r="BD721" s="53" t="n">
        <v>0</v>
      </c>
      <c r="BE721" s="52" t="n">
        <v>0</v>
      </c>
      <c r="BF721" s="51" t="n">
        <v>0</v>
      </c>
    </row>
    <row r="722">
      <c r="A722">
        <f>HYPERLINK("https://www.walmart.com/ip/892513651", "892513651")</f>
        <v/>
      </c>
      <c r="B722" t="inlineStr">
        <is>
          <t>Catalonia Fleece Throw Blanket for Couch, Lightweight All Seasons Soft Cozy Moroccan Blanket for Home Living Room Decorative, 50'' x 60'', Blue</t>
        </is>
      </c>
      <c r="C722" t="inlineStr">
        <is>
          <t>1CTBF580LPABL</t>
        </is>
      </c>
      <c r="D722" t="inlineStr">
        <is>
          <t>Throws</t>
        </is>
      </c>
      <c r="E722" t="inlineStr">
        <is>
          <t>Catalonia</t>
        </is>
      </c>
      <c r="F722" t="inlineStr">
        <is>
          <t>WFS,WFS Item</t>
        </is>
      </c>
      <c r="G722" s="48" t="n">
        <v>0</v>
      </c>
      <c r="H722" s="49" t="n">
        <v>0</v>
      </c>
      <c r="I722" s="49" t="n">
        <v>0</v>
      </c>
      <c r="J722" s="50" t="n">
        <v>0</v>
      </c>
      <c r="K722" s="51" t="n">
        <v>0</v>
      </c>
      <c r="L722" s="52" t="n">
        <v>0</v>
      </c>
      <c r="M722" s="52" t="n">
        <v>0</v>
      </c>
      <c r="N722" s="52" t="n">
        <v>0</v>
      </c>
      <c r="O722" s="53" t="n">
        <v>0</v>
      </c>
      <c r="P722" s="52" t="n">
        <v>0</v>
      </c>
      <c r="Q722" s="53" t="n">
        <v>0</v>
      </c>
      <c r="R722" s="52" t="n">
        <v>0</v>
      </c>
      <c r="S722" s="51" t="n">
        <v>0</v>
      </c>
      <c r="T722" s="48" t="n">
        <v>0</v>
      </c>
      <c r="U722" s="49" t="n">
        <v>0</v>
      </c>
      <c r="V722" s="49" t="n">
        <v>0</v>
      </c>
      <c r="W722" s="50" t="n">
        <v>0</v>
      </c>
      <c r="X722" s="51" t="n">
        <v>0</v>
      </c>
      <c r="Y722" s="52" t="n">
        <v>0</v>
      </c>
      <c r="Z722" s="52" t="n">
        <v>0</v>
      </c>
      <c r="AA722" s="52" t="n">
        <v>0</v>
      </c>
      <c r="AB722" s="53" t="n">
        <v>0</v>
      </c>
      <c r="AC722" s="52" t="n">
        <v>0</v>
      </c>
      <c r="AD722" s="53" t="n">
        <v>0</v>
      </c>
      <c r="AE722" s="52" t="n">
        <v>0</v>
      </c>
      <c r="AF722" s="51" t="n">
        <v>0</v>
      </c>
      <c r="AG722" s="48" t="n">
        <v>0</v>
      </c>
      <c r="AH722" s="49" t="n">
        <v>0</v>
      </c>
      <c r="AI722" s="49" t="n">
        <v>0</v>
      </c>
      <c r="AJ722" s="50" t="n">
        <v>0</v>
      </c>
      <c r="AK722" s="51" t="n">
        <v>0</v>
      </c>
      <c r="AL722" s="52" t="n">
        <v>0</v>
      </c>
      <c r="AM722" s="52" t="n">
        <v>0</v>
      </c>
      <c r="AN722" s="52" t="n">
        <v>0</v>
      </c>
      <c r="AO722" s="53" t="n">
        <v>0</v>
      </c>
      <c r="AP722" s="52" t="n">
        <v>0</v>
      </c>
      <c r="AQ722" s="53" t="n">
        <v>0</v>
      </c>
      <c r="AR722" s="52" t="n">
        <v>0</v>
      </c>
      <c r="AS722" s="51" t="n">
        <v>0</v>
      </c>
      <c r="AT722" s="48" t="n">
        <v>0</v>
      </c>
      <c r="AU722" s="49" t="n">
        <v>0</v>
      </c>
      <c r="AV722" s="49" t="n">
        <v>0</v>
      </c>
      <c r="AW722" s="50" t="n">
        <v>0</v>
      </c>
      <c r="AX722" s="51" t="n">
        <v>0</v>
      </c>
      <c r="AY722" s="52" t="n">
        <v>0</v>
      </c>
      <c r="AZ722" s="52" t="n">
        <v>0</v>
      </c>
      <c r="BA722" s="52" t="n">
        <v>0</v>
      </c>
      <c r="BB722" s="53" t="n">
        <v>0</v>
      </c>
      <c r="BC722" s="52" t="n">
        <v>0</v>
      </c>
      <c r="BD722" s="53" t="n">
        <v>0</v>
      </c>
      <c r="BE722" s="52" t="n">
        <v>0</v>
      </c>
      <c r="BF722" s="51" t="n">
        <v>0</v>
      </c>
    </row>
    <row r="723">
      <c r="A723">
        <f>HYPERLINK("https://www.walmart.com/ip/892569675", "892569675")</f>
        <v/>
      </c>
      <c r="B723" t="inlineStr">
        <is>
          <t>Fleece Blanket Wearable with Sleeves &amp; Foot pockets for Men and Women, Micro Plush Wrap Sleeved Throw Blanket Robe Multi-Colors 75”x53” by Catalonia</t>
        </is>
      </c>
      <c r="C723" t="inlineStr">
        <is>
          <t>1CTSN101BL</t>
        </is>
      </c>
      <c r="D723" t="inlineStr">
        <is>
          <t>Throws</t>
        </is>
      </c>
      <c r="E723" t="inlineStr">
        <is>
          <t>Catalonia</t>
        </is>
      </c>
      <c r="F723" t="inlineStr">
        <is>
          <t>WFS,Coupon_Discount,WFS Item,Fleece Blankets</t>
        </is>
      </c>
      <c r="G723" s="48" t="n">
        <v>0</v>
      </c>
      <c r="H723" s="49" t="n">
        <v>0</v>
      </c>
      <c r="I723" s="49" t="n">
        <v>0</v>
      </c>
      <c r="J723" s="50" t="n">
        <v>0</v>
      </c>
      <c r="K723" s="51" t="n">
        <v>0</v>
      </c>
      <c r="L723" s="52" t="n">
        <v>0</v>
      </c>
      <c r="M723" s="52" t="n">
        <v>0</v>
      </c>
      <c r="N723" s="52" t="n">
        <v>0</v>
      </c>
      <c r="O723" s="53" t="n">
        <v>0</v>
      </c>
      <c r="P723" s="52" t="n">
        <v>0</v>
      </c>
      <c r="Q723" s="53" t="n">
        <v>0</v>
      </c>
      <c r="R723" s="52" t="n">
        <v>0</v>
      </c>
      <c r="S723" s="51" t="n">
        <v>0</v>
      </c>
      <c r="T723" s="48" t="n">
        <v>0</v>
      </c>
      <c r="U723" s="49" t="n">
        <v>0</v>
      </c>
      <c r="V723" s="49" t="n">
        <v>0</v>
      </c>
      <c r="W723" s="50" t="n">
        <v>0</v>
      </c>
      <c r="X723" s="51" t="n">
        <v>0</v>
      </c>
      <c r="Y723" s="52" t="n">
        <v>0</v>
      </c>
      <c r="Z723" s="52" t="n">
        <v>0</v>
      </c>
      <c r="AA723" s="52" t="n">
        <v>0</v>
      </c>
      <c r="AB723" s="53" t="n">
        <v>0</v>
      </c>
      <c r="AC723" s="52" t="n">
        <v>0</v>
      </c>
      <c r="AD723" s="53" t="n">
        <v>0</v>
      </c>
      <c r="AE723" s="52" t="n">
        <v>0</v>
      </c>
      <c r="AF723" s="51" t="n">
        <v>0</v>
      </c>
      <c r="AG723" s="48" t="n">
        <v>0</v>
      </c>
      <c r="AH723" s="49" t="n">
        <v>0</v>
      </c>
      <c r="AI723" s="49" t="n">
        <v>0</v>
      </c>
      <c r="AJ723" s="50" t="n">
        <v>0</v>
      </c>
      <c r="AK723" s="51" t="n">
        <v>0</v>
      </c>
      <c r="AL723" s="52" t="n">
        <v>0</v>
      </c>
      <c r="AM723" s="52" t="n">
        <v>0</v>
      </c>
      <c r="AN723" s="52" t="n">
        <v>0</v>
      </c>
      <c r="AO723" s="53" t="n">
        <v>0</v>
      </c>
      <c r="AP723" s="52" t="n">
        <v>0</v>
      </c>
      <c r="AQ723" s="53" t="n">
        <v>0</v>
      </c>
      <c r="AR723" s="52" t="n">
        <v>0</v>
      </c>
      <c r="AS723" s="51" t="n">
        <v>0</v>
      </c>
      <c r="AT723" s="48" t="n">
        <v>0</v>
      </c>
      <c r="AU723" s="49" t="n">
        <v>0</v>
      </c>
      <c r="AV723" s="49" t="n">
        <v>0</v>
      </c>
      <c r="AW723" s="50" t="n">
        <v>0</v>
      </c>
      <c r="AX723" s="51" t="n">
        <v>0</v>
      </c>
      <c r="AY723" s="52" t="n">
        <v>0</v>
      </c>
      <c r="AZ723" s="52" t="n">
        <v>0</v>
      </c>
      <c r="BA723" s="52" t="n">
        <v>0</v>
      </c>
      <c r="BB723" s="53" t="n">
        <v>0</v>
      </c>
      <c r="BC723" s="52" t="n">
        <v>0</v>
      </c>
      <c r="BD723" s="53" t="n">
        <v>0</v>
      </c>
      <c r="BE723" s="52" t="n">
        <v>0</v>
      </c>
      <c r="BF723" s="51" t="n">
        <v>0</v>
      </c>
    </row>
    <row r="724">
      <c r="A724">
        <f>HYPERLINK("https://www.walmart.com/ip/892619725", "892619725")</f>
        <v/>
      </c>
      <c r="B724" t="inlineStr">
        <is>
          <t>Terra Women Sun Hat Packable Wide Brim UV Protection Beach Hat Foldable Floppy Cap Rose Pattern,Grey</t>
        </is>
      </c>
      <c r="C724" t="inlineStr">
        <is>
          <t>TERRACAP-F053-GRY</t>
        </is>
      </c>
      <c r="D724" t="inlineStr">
        <is>
          <t>Hats</t>
        </is>
      </c>
      <c r="E724" t="inlineStr">
        <is>
          <t>Terra</t>
        </is>
      </c>
      <c r="F724" t="inlineStr">
        <is>
          <t>Q2-Target,Optimized</t>
        </is>
      </c>
      <c r="G724" s="48" t="n">
        <v>0</v>
      </c>
      <c r="H724" s="49" t="n">
        <v>0</v>
      </c>
      <c r="I724" s="49" t="n">
        <v>4</v>
      </c>
      <c r="J724" s="50" t="n">
        <v>0</v>
      </c>
      <c r="K724" s="51" t="n">
        <v>0</v>
      </c>
      <c r="L724" s="52" t="n">
        <v>0</v>
      </c>
      <c r="M724" s="52" t="n">
        <v>0</v>
      </c>
      <c r="N724" s="52" t="n">
        <v>0</v>
      </c>
      <c r="O724" s="53" t="n">
        <v>0</v>
      </c>
      <c r="P724" s="52" t="n">
        <v>0</v>
      </c>
      <c r="Q724" s="53" t="n">
        <v>0</v>
      </c>
      <c r="R724" s="52" t="n">
        <v>0</v>
      </c>
      <c r="S724" s="51" t="n">
        <v>0</v>
      </c>
      <c r="T724" s="48" t="n">
        <v>7.99</v>
      </c>
      <c r="U724" s="49" t="n">
        <v>1</v>
      </c>
      <c r="V724" s="49" t="n">
        <v>6</v>
      </c>
      <c r="W724" s="50" t="n">
        <v>0.1666666666666667</v>
      </c>
      <c r="X724" s="51" t="n">
        <v>0</v>
      </c>
      <c r="Y724" s="52" t="n">
        <v>0</v>
      </c>
      <c r="Z724" s="52" t="n">
        <v>0</v>
      </c>
      <c r="AA724" s="52" t="n">
        <v>0</v>
      </c>
      <c r="AB724" s="53" t="n">
        <v>0</v>
      </c>
      <c r="AC724" s="52" t="n">
        <v>0</v>
      </c>
      <c r="AD724" s="53" t="n">
        <v>0</v>
      </c>
      <c r="AE724" s="52" t="n">
        <v>7.99</v>
      </c>
      <c r="AF724" s="51" t="n">
        <v>0</v>
      </c>
      <c r="AG724" s="48" t="n">
        <v>15.98</v>
      </c>
      <c r="AH724" s="49" t="n">
        <v>2</v>
      </c>
      <c r="AI724" s="49" t="n">
        <v>6</v>
      </c>
      <c r="AJ724" s="50" t="n">
        <v>0.3333333333333333</v>
      </c>
      <c r="AK724" s="51" t="n">
        <v>0</v>
      </c>
      <c r="AL724" s="52" t="n">
        <v>0</v>
      </c>
      <c r="AM724" s="52" t="n">
        <v>0</v>
      </c>
      <c r="AN724" s="52" t="n">
        <v>0</v>
      </c>
      <c r="AO724" s="53" t="n">
        <v>0</v>
      </c>
      <c r="AP724" s="52" t="n">
        <v>0</v>
      </c>
      <c r="AQ724" s="53" t="n">
        <v>0</v>
      </c>
      <c r="AR724" s="52" t="n">
        <v>7.99</v>
      </c>
      <c r="AS724" s="51" t="n">
        <v>0</v>
      </c>
      <c r="AT724" s="48" t="n">
        <v>0</v>
      </c>
      <c r="AU724" s="49" t="n">
        <v>0</v>
      </c>
      <c r="AV724" s="49" t="n">
        <v>0</v>
      </c>
      <c r="AW724" s="50" t="n">
        <v>0</v>
      </c>
      <c r="AX724" s="51" t="n">
        <v>0</v>
      </c>
      <c r="AY724" s="52" t="n">
        <v>0</v>
      </c>
      <c r="AZ724" s="52" t="n">
        <v>0</v>
      </c>
      <c r="BA724" s="52" t="n">
        <v>0</v>
      </c>
      <c r="BB724" s="53" t="n">
        <v>0</v>
      </c>
      <c r="BC724" s="52" t="n">
        <v>0</v>
      </c>
      <c r="BD724" s="53" t="n">
        <v>0</v>
      </c>
      <c r="BE724" s="52" t="n">
        <v>0</v>
      </c>
      <c r="BF724" s="51" t="n">
        <v>0</v>
      </c>
    </row>
    <row r="725">
      <c r="A725">
        <f>HYPERLINK("https://www.walmart.com/ip/892738848", "892738848")</f>
        <v/>
      </c>
      <c r="B725" t="inlineStr">
        <is>
          <t>Microplush Sherpa Blanket with Sleeves for Women and Men</t>
        </is>
      </c>
      <c r="C725" t="inlineStr">
        <is>
          <t>1TRSN410P2RD</t>
        </is>
      </c>
      <c r="D725" t="inlineStr">
        <is>
          <t>Throws</t>
        </is>
      </c>
      <c r="E725" t="inlineStr">
        <is>
          <t>Tirrinia</t>
        </is>
      </c>
      <c r="F725" t="inlineStr">
        <is>
          <t>WFS,WFS Item</t>
        </is>
      </c>
      <c r="G725" s="48" t="n">
        <v>0</v>
      </c>
      <c r="H725" s="49" t="n">
        <v>0</v>
      </c>
      <c r="I725" s="49" t="n">
        <v>0</v>
      </c>
      <c r="J725" s="50" t="n">
        <v>0</v>
      </c>
      <c r="K725" s="51" t="n">
        <v>0</v>
      </c>
      <c r="L725" s="52" t="n">
        <v>0</v>
      </c>
      <c r="M725" s="52" t="n">
        <v>0</v>
      </c>
      <c r="N725" s="52" t="n">
        <v>0</v>
      </c>
      <c r="O725" s="53" t="n">
        <v>0</v>
      </c>
      <c r="P725" s="52" t="n">
        <v>0</v>
      </c>
      <c r="Q725" s="53" t="n">
        <v>0</v>
      </c>
      <c r="R725" s="52" t="n">
        <v>0</v>
      </c>
      <c r="S725" s="51" t="n">
        <v>0</v>
      </c>
      <c r="T725" s="48" t="n">
        <v>0</v>
      </c>
      <c r="U725" s="49" t="n">
        <v>0</v>
      </c>
      <c r="V725" s="49" t="n">
        <v>0</v>
      </c>
      <c r="W725" s="50" t="n">
        <v>0</v>
      </c>
      <c r="X725" s="51" t="n">
        <v>0</v>
      </c>
      <c r="Y725" s="52" t="n">
        <v>0</v>
      </c>
      <c r="Z725" s="52" t="n">
        <v>0</v>
      </c>
      <c r="AA725" s="52" t="n">
        <v>0</v>
      </c>
      <c r="AB725" s="53" t="n">
        <v>0</v>
      </c>
      <c r="AC725" s="52" t="n">
        <v>0</v>
      </c>
      <c r="AD725" s="53" t="n">
        <v>0</v>
      </c>
      <c r="AE725" s="52" t="n">
        <v>0</v>
      </c>
      <c r="AF725" s="51" t="n">
        <v>0</v>
      </c>
      <c r="AG725" s="48" t="n">
        <v>0</v>
      </c>
      <c r="AH725" s="49" t="n">
        <v>0</v>
      </c>
      <c r="AI725" s="49" t="n">
        <v>0</v>
      </c>
      <c r="AJ725" s="50" t="n">
        <v>0</v>
      </c>
      <c r="AK725" s="51" t="n">
        <v>0</v>
      </c>
      <c r="AL725" s="52" t="n">
        <v>0</v>
      </c>
      <c r="AM725" s="52" t="n">
        <v>0</v>
      </c>
      <c r="AN725" s="52" t="n">
        <v>0</v>
      </c>
      <c r="AO725" s="53" t="n">
        <v>0</v>
      </c>
      <c r="AP725" s="52" t="n">
        <v>0</v>
      </c>
      <c r="AQ725" s="53" t="n">
        <v>0</v>
      </c>
      <c r="AR725" s="52" t="n">
        <v>0</v>
      </c>
      <c r="AS725" s="51" t="n">
        <v>0</v>
      </c>
      <c r="AT725" s="48" t="n">
        <v>0</v>
      </c>
      <c r="AU725" s="49" t="n">
        <v>0</v>
      </c>
      <c r="AV725" s="49" t="n">
        <v>0</v>
      </c>
      <c r="AW725" s="50" t="n">
        <v>0</v>
      </c>
      <c r="AX725" s="51" t="n">
        <v>0</v>
      </c>
      <c r="AY725" s="52" t="n">
        <v>0</v>
      </c>
      <c r="AZ725" s="52" t="n">
        <v>0</v>
      </c>
      <c r="BA725" s="52" t="n">
        <v>0</v>
      </c>
      <c r="BB725" s="53" t="n">
        <v>0</v>
      </c>
      <c r="BC725" s="52" t="n">
        <v>0</v>
      </c>
      <c r="BD725" s="53" t="n">
        <v>0</v>
      </c>
      <c r="BE725" s="52" t="n">
        <v>0</v>
      </c>
      <c r="BF725" s="51" t="n">
        <v>0</v>
      </c>
    </row>
    <row r="726">
      <c r="A726">
        <f>HYPERLINK("https://www.walmart.com/ip/893127557", "893127557")</f>
        <v/>
      </c>
      <c r="B726" t="inlineStr">
        <is>
          <t>Flyingstar Waterproof Outdoor Blanket with Sherpa Lining, Windproof Triple Layers Warm Comfy Foldable for Camping Stadium,Sports,Picnic,Grass,Concerts,Pet 59''X 80'',Red Plaid</t>
        </is>
      </c>
      <c r="C726" t="inlineStr">
        <is>
          <t>1WMBW608PRD</t>
        </is>
      </c>
      <c r="D726" t="inlineStr">
        <is>
          <t>Picnic Blankets &amp; Mats</t>
        </is>
      </c>
      <c r="E726" t="inlineStr">
        <is>
          <t>Flyingstar</t>
        </is>
      </c>
      <c r="F726" t="inlineStr">
        <is>
          <t>Q2-Target,Batch 1 - TR</t>
        </is>
      </c>
      <c r="G726" s="48" t="n">
        <v>0</v>
      </c>
      <c r="H726" s="49" t="n">
        <v>0</v>
      </c>
      <c r="I726" s="49" t="n">
        <v>0</v>
      </c>
      <c r="J726" s="50" t="n">
        <v>0</v>
      </c>
      <c r="K726" s="51" t="n">
        <v>5</v>
      </c>
      <c r="L726" s="52" t="n">
        <v>1.11</v>
      </c>
      <c r="M726" s="52" t="n">
        <v>0</v>
      </c>
      <c r="N726" s="52" t="n">
        <v>0</v>
      </c>
      <c r="O726" s="53" t="n">
        <v>0.0005</v>
      </c>
      <c r="P726" s="52" t="n">
        <v>0.222</v>
      </c>
      <c r="Q726" s="53" t="n">
        <v>0</v>
      </c>
      <c r="R726" s="52" t="n">
        <v>0</v>
      </c>
      <c r="S726" s="51" t="n">
        <v>10034</v>
      </c>
      <c r="T726" s="48" t="n">
        <v>0</v>
      </c>
      <c r="U726" s="49" t="n">
        <v>0</v>
      </c>
      <c r="V726" s="49" t="n">
        <v>0</v>
      </c>
      <c r="W726" s="50" t="n">
        <v>0</v>
      </c>
      <c r="X726" s="51" t="n">
        <v>11</v>
      </c>
      <c r="Y726" s="52" t="n">
        <v>2.97</v>
      </c>
      <c r="Z726" s="52" t="n">
        <v>0</v>
      </c>
      <c r="AA726" s="52" t="n">
        <v>0</v>
      </c>
      <c r="AB726" s="53" t="n">
        <v>0.0008</v>
      </c>
      <c r="AC726" s="52" t="n">
        <v>0.27</v>
      </c>
      <c r="AD726" s="53" t="n">
        <v>0</v>
      </c>
      <c r="AE726" s="52" t="n">
        <v>0</v>
      </c>
      <c r="AF726" s="51" t="n">
        <v>13221</v>
      </c>
      <c r="AG726" s="48" t="n">
        <v>0</v>
      </c>
      <c r="AH726" s="49" t="n">
        <v>0</v>
      </c>
      <c r="AI726" s="49" t="n">
        <v>0</v>
      </c>
      <c r="AJ726" s="50" t="n">
        <v>0</v>
      </c>
      <c r="AK726" s="51" t="n">
        <v>4</v>
      </c>
      <c r="AL726" s="52" t="n">
        <v>0.8</v>
      </c>
      <c r="AM726" s="52" t="n">
        <v>0</v>
      </c>
      <c r="AN726" s="52" t="n">
        <v>0</v>
      </c>
      <c r="AO726" s="53" t="n">
        <v>0.0005</v>
      </c>
      <c r="AP726" s="52" t="n">
        <v>0.2</v>
      </c>
      <c r="AQ726" s="53" t="n">
        <v>0</v>
      </c>
      <c r="AR726" s="52" t="n">
        <v>0</v>
      </c>
      <c r="AS726" s="51" t="n">
        <v>8067</v>
      </c>
      <c r="AT726" s="48" t="n">
        <v>0</v>
      </c>
      <c r="AU726" s="49" t="n">
        <v>0</v>
      </c>
      <c r="AV726" s="49" t="n">
        <v>0</v>
      </c>
      <c r="AW726" s="50" t="n">
        <v>0</v>
      </c>
      <c r="AX726" s="51" t="n">
        <v>4</v>
      </c>
      <c r="AY726" s="52" t="n">
        <v>0.8</v>
      </c>
      <c r="AZ726" s="52" t="n">
        <v>0</v>
      </c>
      <c r="BA726" s="52" t="n">
        <v>0</v>
      </c>
      <c r="BB726" s="53" t="n">
        <v>0.0005</v>
      </c>
      <c r="BC726" s="52" t="n">
        <v>0.2</v>
      </c>
      <c r="BD726" s="53" t="n">
        <v>0</v>
      </c>
      <c r="BE726" s="52" t="n">
        <v>0</v>
      </c>
      <c r="BF726" s="51" t="n">
        <v>8184</v>
      </c>
    </row>
    <row r="727">
      <c r="A727">
        <f>HYPERLINK("https://www.walmart.com/ip/893930725", "893930725")</f>
        <v/>
      </c>
      <c r="B727" t="inlineStr">
        <is>
          <t>Pawsse Sherpa Fleece Blanket for Small Dogs and Kitten, Warm Flannel Plush Pet Bed Blanket, Reversible, Wine/Tan, 45" x 30"</t>
        </is>
      </c>
      <c r="C727" t="inlineStr">
        <is>
          <t>1TRBF345WNTA</t>
        </is>
      </c>
      <c r="D727" t="inlineStr">
        <is>
          <t>Pet Blankets</t>
        </is>
      </c>
      <c r="E727" t="inlineStr">
        <is>
          <t>Pawsse</t>
        </is>
      </c>
      <c r="F727" t="inlineStr">
        <is>
          <t>Batch 1 - TR</t>
        </is>
      </c>
      <c r="G727" s="48" t="n">
        <v>0</v>
      </c>
      <c r="H727" s="49" t="n">
        <v>0</v>
      </c>
      <c r="I727" s="49" t="n">
        <v>0</v>
      </c>
      <c r="J727" s="50" t="n">
        <v>0</v>
      </c>
      <c r="K727" s="51" t="n">
        <v>0</v>
      </c>
      <c r="L727" s="52" t="n">
        <v>0</v>
      </c>
      <c r="M727" s="52" t="n">
        <v>0</v>
      </c>
      <c r="N727" s="52" t="n">
        <v>0</v>
      </c>
      <c r="O727" s="53" t="n">
        <v>0</v>
      </c>
      <c r="P727" s="52" t="n">
        <v>0</v>
      </c>
      <c r="Q727" s="53" t="n">
        <v>0</v>
      </c>
      <c r="R727" s="52" t="n">
        <v>0</v>
      </c>
      <c r="S727" s="51" t="n">
        <v>0</v>
      </c>
      <c r="T727" s="48" t="n">
        <v>0</v>
      </c>
      <c r="U727" s="49" t="n">
        <v>0</v>
      </c>
      <c r="V727" s="49" t="n">
        <v>0</v>
      </c>
      <c r="W727" s="50" t="n">
        <v>0</v>
      </c>
      <c r="X727" s="51" t="n">
        <v>0</v>
      </c>
      <c r="Y727" s="52" t="n">
        <v>0</v>
      </c>
      <c r="Z727" s="52" t="n">
        <v>0</v>
      </c>
      <c r="AA727" s="52" t="n">
        <v>0</v>
      </c>
      <c r="AB727" s="53" t="n">
        <v>0</v>
      </c>
      <c r="AC727" s="52" t="n">
        <v>0</v>
      </c>
      <c r="AD727" s="53" t="n">
        <v>0</v>
      </c>
      <c r="AE727" s="52" t="n">
        <v>0</v>
      </c>
      <c r="AF727" s="51" t="n">
        <v>0</v>
      </c>
      <c r="AG727" s="48" t="n">
        <v>0</v>
      </c>
      <c r="AH727" s="49" t="n">
        <v>0</v>
      </c>
      <c r="AI727" s="49" t="n">
        <v>0</v>
      </c>
      <c r="AJ727" s="50" t="n">
        <v>0</v>
      </c>
      <c r="AK727" s="51" t="n">
        <v>0</v>
      </c>
      <c r="AL727" s="52" t="n">
        <v>0</v>
      </c>
      <c r="AM727" s="52" t="n">
        <v>0</v>
      </c>
      <c r="AN727" s="52" t="n">
        <v>0</v>
      </c>
      <c r="AO727" s="53" t="n">
        <v>0</v>
      </c>
      <c r="AP727" s="52" t="n">
        <v>0</v>
      </c>
      <c r="AQ727" s="53" t="n">
        <v>0</v>
      </c>
      <c r="AR727" s="52" t="n">
        <v>0</v>
      </c>
      <c r="AS727" s="51" t="n">
        <v>0</v>
      </c>
      <c r="AT727" s="48" t="n">
        <v>10.98</v>
      </c>
      <c r="AU727" s="49" t="n">
        <v>1</v>
      </c>
      <c r="AV727" s="49" t="n">
        <v>0</v>
      </c>
      <c r="AW727" s="50" t="n">
        <v>0</v>
      </c>
      <c r="AX727" s="51" t="n">
        <v>0</v>
      </c>
      <c r="AY727" s="52" t="n">
        <v>0</v>
      </c>
      <c r="AZ727" s="52" t="n">
        <v>0</v>
      </c>
      <c r="BA727" s="52" t="n">
        <v>0</v>
      </c>
      <c r="BB727" s="53" t="n">
        <v>0</v>
      </c>
      <c r="BC727" s="52" t="n">
        <v>0</v>
      </c>
      <c r="BD727" s="53" t="n">
        <v>0</v>
      </c>
      <c r="BE727" s="52" t="n">
        <v>10.98</v>
      </c>
      <c r="BF727" s="51" t="n">
        <v>0</v>
      </c>
    </row>
    <row r="728">
      <c r="A728">
        <f>HYPERLINK("https://www.walmart.com/ip/895410525", "895410525")</f>
        <v/>
      </c>
      <c r="B728" t="inlineStr">
        <is>
          <t>Light up Sequin Fedora LED Hat Neon Rave Costumes Glow in Dark Party</t>
        </is>
      </c>
      <c r="C728" t="inlineStr">
        <is>
          <t>SLLEDHATPK</t>
        </is>
      </c>
      <c r="D728" t="inlineStr">
        <is>
          <t>Hats</t>
        </is>
      </c>
      <c r="E728" t="inlineStr">
        <is>
          <t>Solaris</t>
        </is>
      </c>
      <c r="F728" t="inlineStr">
        <is>
          <t>Batch 1 - TR</t>
        </is>
      </c>
      <c r="G728" s="48" t="n">
        <v>0</v>
      </c>
      <c r="H728" s="49" t="n">
        <v>0</v>
      </c>
      <c r="I728" s="49" t="n">
        <v>0</v>
      </c>
      <c r="J728" s="50" t="n">
        <v>0</v>
      </c>
      <c r="K728" s="51" t="n">
        <v>0</v>
      </c>
      <c r="L728" s="52" t="n">
        <v>0</v>
      </c>
      <c r="M728" s="52" t="n">
        <v>0</v>
      </c>
      <c r="N728" s="52" t="n">
        <v>0</v>
      </c>
      <c r="O728" s="53" t="n">
        <v>0</v>
      </c>
      <c r="P728" s="52" t="n">
        <v>0</v>
      </c>
      <c r="Q728" s="53" t="n">
        <v>0</v>
      </c>
      <c r="R728" s="52" t="n">
        <v>0</v>
      </c>
      <c r="S728" s="51" t="n">
        <v>0</v>
      </c>
      <c r="T728" s="48" t="n">
        <v>0</v>
      </c>
      <c r="U728" s="49" t="n">
        <v>0</v>
      </c>
      <c r="V728" s="49" t="n">
        <v>0</v>
      </c>
      <c r="W728" s="50" t="n">
        <v>0</v>
      </c>
      <c r="X728" s="51" t="n">
        <v>0</v>
      </c>
      <c r="Y728" s="52" t="n">
        <v>0</v>
      </c>
      <c r="Z728" s="52" t="n">
        <v>0</v>
      </c>
      <c r="AA728" s="52" t="n">
        <v>0</v>
      </c>
      <c r="AB728" s="53" t="n">
        <v>0</v>
      </c>
      <c r="AC728" s="52" t="n">
        <v>0</v>
      </c>
      <c r="AD728" s="53" t="n">
        <v>0</v>
      </c>
      <c r="AE728" s="52" t="n">
        <v>0</v>
      </c>
      <c r="AF728" s="51" t="n">
        <v>0</v>
      </c>
      <c r="AG728" s="48" t="n">
        <v>0</v>
      </c>
      <c r="AH728" s="49" t="n">
        <v>0</v>
      </c>
      <c r="AI728" s="49" t="n">
        <v>0</v>
      </c>
      <c r="AJ728" s="50" t="n">
        <v>0</v>
      </c>
      <c r="AK728" s="51" t="n">
        <v>0</v>
      </c>
      <c r="AL728" s="52" t="n">
        <v>0</v>
      </c>
      <c r="AM728" s="52" t="n">
        <v>0</v>
      </c>
      <c r="AN728" s="52" t="n">
        <v>0</v>
      </c>
      <c r="AO728" s="53" t="n">
        <v>0</v>
      </c>
      <c r="AP728" s="52" t="n">
        <v>0</v>
      </c>
      <c r="AQ728" s="53" t="n">
        <v>0</v>
      </c>
      <c r="AR728" s="52" t="n">
        <v>0</v>
      </c>
      <c r="AS728" s="51" t="n">
        <v>0</v>
      </c>
      <c r="AT728" s="48" t="n">
        <v>0</v>
      </c>
      <c r="AU728" s="49" t="n">
        <v>0</v>
      </c>
      <c r="AV728" s="49" t="n">
        <v>0</v>
      </c>
      <c r="AW728" s="50" t="n">
        <v>0</v>
      </c>
      <c r="AX728" s="51" t="n">
        <v>0</v>
      </c>
      <c r="AY728" s="52" t="n">
        <v>0</v>
      </c>
      <c r="AZ728" s="52" t="n">
        <v>0</v>
      </c>
      <c r="BA728" s="52" t="n">
        <v>0</v>
      </c>
      <c r="BB728" s="53" t="n">
        <v>0</v>
      </c>
      <c r="BC728" s="52" t="n">
        <v>0</v>
      </c>
      <c r="BD728" s="53" t="n">
        <v>0</v>
      </c>
      <c r="BE728" s="52" t="n">
        <v>0</v>
      </c>
      <c r="BF728" s="51" t="n">
        <v>0</v>
      </c>
    </row>
    <row r="729">
      <c r="A729">
        <f>HYPERLINK("https://www.walmart.com/ip/895465836", "895465836")</f>
        <v/>
      </c>
      <c r="B729" t="inlineStr">
        <is>
          <t>Tirrinia Wide Brim Sun Hats Safari Fishing Boonie Cap for Adults and Teens, Unisex, Navy</t>
        </is>
      </c>
      <c r="C729" t="inlineStr">
        <is>
          <t>1TRSH191NV-TBCB</t>
        </is>
      </c>
      <c r="D729" t="inlineStr">
        <is>
          <t>Hats</t>
        </is>
      </c>
      <c r="E729" t="inlineStr">
        <is>
          <t>Sun Blocker</t>
        </is>
      </c>
      <c r="F729" t="inlineStr">
        <is>
          <t>Q2-Target</t>
        </is>
      </c>
      <c r="G729" s="48" t="n">
        <v>0</v>
      </c>
      <c r="H729" s="49" t="n">
        <v>0</v>
      </c>
      <c r="I729" s="49" t="n">
        <v>0</v>
      </c>
      <c r="J729" s="50" t="n">
        <v>0</v>
      </c>
      <c r="K729" s="51" t="n">
        <v>0</v>
      </c>
      <c r="L729" s="52" t="n">
        <v>0</v>
      </c>
      <c r="M729" s="52" t="n">
        <v>0</v>
      </c>
      <c r="N729" s="52" t="n">
        <v>0</v>
      </c>
      <c r="O729" s="53" t="n">
        <v>0</v>
      </c>
      <c r="P729" s="52" t="n">
        <v>0</v>
      </c>
      <c r="Q729" s="53" t="n">
        <v>0</v>
      </c>
      <c r="R729" s="52" t="n">
        <v>0</v>
      </c>
      <c r="S729" s="51" t="n">
        <v>0</v>
      </c>
      <c r="T729" s="48" t="n">
        <v>0</v>
      </c>
      <c r="U729" s="49" t="n">
        <v>0</v>
      </c>
      <c r="V729" s="49" t="n">
        <v>0</v>
      </c>
      <c r="W729" s="50" t="n">
        <v>0</v>
      </c>
      <c r="X729" s="51" t="n">
        <v>0</v>
      </c>
      <c r="Y729" s="52" t="n">
        <v>0</v>
      </c>
      <c r="Z729" s="52" t="n">
        <v>0</v>
      </c>
      <c r="AA729" s="52" t="n">
        <v>0</v>
      </c>
      <c r="AB729" s="53" t="n">
        <v>0</v>
      </c>
      <c r="AC729" s="52" t="n">
        <v>0</v>
      </c>
      <c r="AD729" s="53" t="n">
        <v>0</v>
      </c>
      <c r="AE729" s="52" t="n">
        <v>0</v>
      </c>
      <c r="AF729" s="51" t="n">
        <v>0</v>
      </c>
      <c r="AG729" s="48" t="n">
        <v>0</v>
      </c>
      <c r="AH729" s="49" t="n">
        <v>0</v>
      </c>
      <c r="AI729" s="49" t="n">
        <v>0</v>
      </c>
      <c r="AJ729" s="50" t="n">
        <v>0</v>
      </c>
      <c r="AK729" s="51" t="n">
        <v>0</v>
      </c>
      <c r="AL729" s="52" t="n">
        <v>0</v>
      </c>
      <c r="AM729" s="52" t="n">
        <v>0</v>
      </c>
      <c r="AN729" s="52" t="n">
        <v>0</v>
      </c>
      <c r="AO729" s="53" t="n">
        <v>0</v>
      </c>
      <c r="AP729" s="52" t="n">
        <v>0</v>
      </c>
      <c r="AQ729" s="53" t="n">
        <v>0</v>
      </c>
      <c r="AR729" s="52" t="n">
        <v>0</v>
      </c>
      <c r="AS729" s="51" t="n">
        <v>0</v>
      </c>
      <c r="AT729" s="48" t="n">
        <v>0</v>
      </c>
      <c r="AU729" s="49" t="n">
        <v>0</v>
      </c>
      <c r="AV729" s="49" t="n">
        <v>0</v>
      </c>
      <c r="AW729" s="50" t="n">
        <v>0</v>
      </c>
      <c r="AX729" s="51" t="n">
        <v>0</v>
      </c>
      <c r="AY729" s="52" t="n">
        <v>0</v>
      </c>
      <c r="AZ729" s="52" t="n">
        <v>0</v>
      </c>
      <c r="BA729" s="52" t="n">
        <v>0</v>
      </c>
      <c r="BB729" s="53" t="n">
        <v>0</v>
      </c>
      <c r="BC729" s="52" t="n">
        <v>0</v>
      </c>
      <c r="BD729" s="53" t="n">
        <v>0</v>
      </c>
      <c r="BE729" s="52" t="n">
        <v>0</v>
      </c>
      <c r="BF729" s="51" t="n">
        <v>0</v>
      </c>
    </row>
    <row r="730">
      <c r="A730">
        <f>HYPERLINK("https://www.walmart.com/ip/895498156", "895498156")</f>
        <v/>
      </c>
      <c r="B730" t="inlineStr">
        <is>
          <t>Oversized Hoodie Blanket Sweatshirt Sherpa</t>
        </is>
      </c>
      <c r="C730" t="inlineStr">
        <is>
          <t>1CTHD201CAT-DG</t>
        </is>
      </c>
      <c r="D730" t="inlineStr">
        <is>
          <t>Sweatshirts &amp; Hoodies</t>
        </is>
      </c>
      <c r="E730" t="inlineStr">
        <is>
          <t>Catalonia</t>
        </is>
      </c>
      <c r="F730" t="inlineStr">
        <is>
          <t>Hoodie For Kids,Optimized,WFS,WFS Item</t>
        </is>
      </c>
      <c r="G730" s="48" t="n">
        <v>0</v>
      </c>
      <c r="H730" s="49" t="n">
        <v>0</v>
      </c>
      <c r="I730" s="49" t="n">
        <v>0</v>
      </c>
      <c r="J730" s="50" t="n">
        <v>0</v>
      </c>
      <c r="K730" s="51" t="n">
        <v>0</v>
      </c>
      <c r="L730" s="52" t="n">
        <v>0</v>
      </c>
      <c r="M730" s="52" t="n">
        <v>0</v>
      </c>
      <c r="N730" s="52" t="n">
        <v>0</v>
      </c>
      <c r="O730" s="53" t="n">
        <v>0</v>
      </c>
      <c r="P730" s="52" t="n">
        <v>0</v>
      </c>
      <c r="Q730" s="53" t="n">
        <v>0</v>
      </c>
      <c r="R730" s="52" t="n">
        <v>0</v>
      </c>
      <c r="S730" s="51" t="n">
        <v>0</v>
      </c>
      <c r="T730" s="48" t="n">
        <v>0</v>
      </c>
      <c r="U730" s="49" t="n">
        <v>0</v>
      </c>
      <c r="V730" s="49" t="n">
        <v>0</v>
      </c>
      <c r="W730" s="50" t="n">
        <v>0</v>
      </c>
      <c r="X730" s="51" t="n">
        <v>0</v>
      </c>
      <c r="Y730" s="52" t="n">
        <v>0</v>
      </c>
      <c r="Z730" s="52" t="n">
        <v>0</v>
      </c>
      <c r="AA730" s="52" t="n">
        <v>0</v>
      </c>
      <c r="AB730" s="53" t="n">
        <v>0</v>
      </c>
      <c r="AC730" s="52" t="n">
        <v>0</v>
      </c>
      <c r="AD730" s="53" t="n">
        <v>0</v>
      </c>
      <c r="AE730" s="52" t="n">
        <v>0</v>
      </c>
      <c r="AF730" s="51" t="n">
        <v>0</v>
      </c>
      <c r="AG730" s="48" t="n">
        <v>0</v>
      </c>
      <c r="AH730" s="49" t="n">
        <v>0</v>
      </c>
      <c r="AI730" s="49" t="n">
        <v>0</v>
      </c>
      <c r="AJ730" s="50" t="n">
        <v>0</v>
      </c>
      <c r="AK730" s="51" t="n">
        <v>0</v>
      </c>
      <c r="AL730" s="52" t="n">
        <v>0</v>
      </c>
      <c r="AM730" s="52" t="n">
        <v>0</v>
      </c>
      <c r="AN730" s="52" t="n">
        <v>0</v>
      </c>
      <c r="AO730" s="53" t="n">
        <v>0</v>
      </c>
      <c r="AP730" s="52" t="n">
        <v>0</v>
      </c>
      <c r="AQ730" s="53" t="n">
        <v>0</v>
      </c>
      <c r="AR730" s="52" t="n">
        <v>0</v>
      </c>
      <c r="AS730" s="51" t="n">
        <v>0</v>
      </c>
      <c r="AT730" s="48" t="n">
        <v>0</v>
      </c>
      <c r="AU730" s="49" t="n">
        <v>0</v>
      </c>
      <c r="AV730" s="49" t="n">
        <v>0</v>
      </c>
      <c r="AW730" s="50" t="n">
        <v>0</v>
      </c>
      <c r="AX730" s="51" t="n">
        <v>0</v>
      </c>
      <c r="AY730" s="52" t="n">
        <v>0</v>
      </c>
      <c r="AZ730" s="52" t="n">
        <v>0</v>
      </c>
      <c r="BA730" s="52" t="n">
        <v>0</v>
      </c>
      <c r="BB730" s="53" t="n">
        <v>0</v>
      </c>
      <c r="BC730" s="52" t="n">
        <v>0</v>
      </c>
      <c r="BD730" s="53" t="n">
        <v>0</v>
      </c>
      <c r="BE730" s="52" t="n">
        <v>0</v>
      </c>
      <c r="BF730" s="51" t="n">
        <v>0</v>
      </c>
    </row>
    <row r="731">
      <c r="A731">
        <f>HYPERLINK("https://www.walmart.com/ip/896951293", "896951293")</f>
        <v/>
      </c>
      <c r="B731" t="inlineStr">
        <is>
          <t>Wearable Blanket with Sleeves and Kangaroo Pocket for Adult Soft Warm Comfy Throws Wrap Robe Blanket in Little PlaidRed.</t>
        </is>
      </c>
      <c r="C731" t="inlineStr">
        <is>
          <t>1CTSN200P2RD</t>
        </is>
      </c>
      <c r="D731" t="inlineStr">
        <is>
          <t>Throws</t>
        </is>
      </c>
      <c r="E731" t="inlineStr">
        <is>
          <t>Catalonia</t>
        </is>
      </c>
      <c r="F731" t="inlineStr">
        <is>
          <t>WFS,Coupon_Discount,WFS Item</t>
        </is>
      </c>
      <c r="G731" s="48" t="n">
        <v>0</v>
      </c>
      <c r="H731" s="49" t="n">
        <v>0</v>
      </c>
      <c r="I731" s="49" t="n">
        <v>0</v>
      </c>
      <c r="J731" s="50" t="n">
        <v>0</v>
      </c>
      <c r="K731" s="51" t="n">
        <v>0</v>
      </c>
      <c r="L731" s="52" t="n">
        <v>0</v>
      </c>
      <c r="M731" s="52" t="n">
        <v>0</v>
      </c>
      <c r="N731" s="52" t="n">
        <v>0</v>
      </c>
      <c r="O731" s="53" t="n">
        <v>0</v>
      </c>
      <c r="P731" s="52" t="n">
        <v>0</v>
      </c>
      <c r="Q731" s="53" t="n">
        <v>0</v>
      </c>
      <c r="R731" s="52" t="n">
        <v>0</v>
      </c>
      <c r="S731" s="51" t="n">
        <v>0</v>
      </c>
      <c r="T731" s="48" t="n">
        <v>0</v>
      </c>
      <c r="U731" s="49" t="n">
        <v>0</v>
      </c>
      <c r="V731" s="49" t="n">
        <v>0</v>
      </c>
      <c r="W731" s="50" t="n">
        <v>0</v>
      </c>
      <c r="X731" s="51" t="n">
        <v>0</v>
      </c>
      <c r="Y731" s="52" t="n">
        <v>0</v>
      </c>
      <c r="Z731" s="52" t="n">
        <v>0</v>
      </c>
      <c r="AA731" s="52" t="n">
        <v>0</v>
      </c>
      <c r="AB731" s="53" t="n">
        <v>0</v>
      </c>
      <c r="AC731" s="52" t="n">
        <v>0</v>
      </c>
      <c r="AD731" s="53" t="n">
        <v>0</v>
      </c>
      <c r="AE731" s="52" t="n">
        <v>0</v>
      </c>
      <c r="AF731" s="51" t="n">
        <v>0</v>
      </c>
      <c r="AG731" s="48" t="n">
        <v>0</v>
      </c>
      <c r="AH731" s="49" t="n">
        <v>0</v>
      </c>
      <c r="AI731" s="49" t="n">
        <v>0</v>
      </c>
      <c r="AJ731" s="50" t="n">
        <v>0</v>
      </c>
      <c r="AK731" s="51" t="n">
        <v>0</v>
      </c>
      <c r="AL731" s="52" t="n">
        <v>0</v>
      </c>
      <c r="AM731" s="52" t="n">
        <v>0</v>
      </c>
      <c r="AN731" s="52" t="n">
        <v>0</v>
      </c>
      <c r="AO731" s="53" t="n">
        <v>0</v>
      </c>
      <c r="AP731" s="52" t="n">
        <v>0</v>
      </c>
      <c r="AQ731" s="53" t="n">
        <v>0</v>
      </c>
      <c r="AR731" s="52" t="n">
        <v>0</v>
      </c>
      <c r="AS731" s="51" t="n">
        <v>0</v>
      </c>
      <c r="AT731" s="48" t="n">
        <v>0</v>
      </c>
      <c r="AU731" s="49" t="n">
        <v>0</v>
      </c>
      <c r="AV731" s="49" t="n">
        <v>0</v>
      </c>
      <c r="AW731" s="50" t="n">
        <v>0</v>
      </c>
      <c r="AX731" s="51" t="n">
        <v>0</v>
      </c>
      <c r="AY731" s="52" t="n">
        <v>0</v>
      </c>
      <c r="AZ731" s="52" t="n">
        <v>0</v>
      </c>
      <c r="BA731" s="52" t="n">
        <v>0</v>
      </c>
      <c r="BB731" s="53" t="n">
        <v>0</v>
      </c>
      <c r="BC731" s="52" t="n">
        <v>0</v>
      </c>
      <c r="BD731" s="53" t="n">
        <v>0</v>
      </c>
      <c r="BE731" s="52" t="n">
        <v>0</v>
      </c>
      <c r="BF731" s="51" t="n">
        <v>0</v>
      </c>
    </row>
    <row r="732">
      <c r="A732">
        <f>HYPERLINK("https://www.walmart.com/ip/896978644", "896978644")</f>
        <v/>
      </c>
      <c r="B732" t="inlineStr">
        <is>
          <t>Kato Deluxe Pet Carrier Backpack for Small Cats and Dogs, Two-Sided Entry Airline-Approved, Padded Back Support Travel Carrier for Hiking, Walking, Cycling and Outdoor, Light Grey</t>
        </is>
      </c>
      <c r="C732" t="inlineStr">
        <is>
          <t>1TRPB200LGY</t>
        </is>
      </c>
      <c r="D732" t="inlineStr">
        <is>
          <t>Pet Carriers</t>
        </is>
      </c>
      <c r="E732" t="inlineStr">
        <is>
          <t>Kato</t>
        </is>
      </c>
      <c r="F732" t="inlineStr">
        <is>
          <t>Optimized,WFS,WFS Item</t>
        </is>
      </c>
      <c r="G732" s="48" t="n">
        <v>0</v>
      </c>
      <c r="H732" s="49" t="n">
        <v>0</v>
      </c>
      <c r="I732" s="49" t="n">
        <v>0</v>
      </c>
      <c r="J732" s="50" t="n">
        <v>0</v>
      </c>
      <c r="K732" s="51" t="n">
        <v>0</v>
      </c>
      <c r="L732" s="52" t="n">
        <v>0</v>
      </c>
      <c r="M732" s="52" t="n">
        <v>0</v>
      </c>
      <c r="N732" s="52" t="n">
        <v>0</v>
      </c>
      <c r="O732" s="53" t="n">
        <v>0</v>
      </c>
      <c r="P732" s="52" t="n">
        <v>0</v>
      </c>
      <c r="Q732" s="53" t="n">
        <v>0</v>
      </c>
      <c r="R732" s="52" t="n">
        <v>0</v>
      </c>
      <c r="S732" s="51" t="n">
        <v>0</v>
      </c>
      <c r="T732" s="48" t="n">
        <v>0</v>
      </c>
      <c r="U732" s="49" t="n">
        <v>0</v>
      </c>
      <c r="V732" s="49" t="n">
        <v>0</v>
      </c>
      <c r="W732" s="50" t="n">
        <v>0</v>
      </c>
      <c r="X732" s="51" t="n">
        <v>0</v>
      </c>
      <c r="Y732" s="52" t="n">
        <v>0</v>
      </c>
      <c r="Z732" s="52" t="n">
        <v>0</v>
      </c>
      <c r="AA732" s="52" t="n">
        <v>0</v>
      </c>
      <c r="AB732" s="53" t="n">
        <v>0</v>
      </c>
      <c r="AC732" s="52" t="n">
        <v>0</v>
      </c>
      <c r="AD732" s="53" t="n">
        <v>0</v>
      </c>
      <c r="AE732" s="52" t="n">
        <v>0</v>
      </c>
      <c r="AF732" s="51" t="n">
        <v>0</v>
      </c>
      <c r="AG732" s="48" t="n">
        <v>0</v>
      </c>
      <c r="AH732" s="49" t="n">
        <v>0</v>
      </c>
      <c r="AI732" s="49" t="n">
        <v>0</v>
      </c>
      <c r="AJ732" s="50" t="n">
        <v>0</v>
      </c>
      <c r="AK732" s="51" t="n">
        <v>0</v>
      </c>
      <c r="AL732" s="52" t="n">
        <v>0</v>
      </c>
      <c r="AM732" s="52" t="n">
        <v>0</v>
      </c>
      <c r="AN732" s="52" t="n">
        <v>0</v>
      </c>
      <c r="AO732" s="53" t="n">
        <v>0</v>
      </c>
      <c r="AP732" s="52" t="n">
        <v>0</v>
      </c>
      <c r="AQ732" s="53" t="n">
        <v>0</v>
      </c>
      <c r="AR732" s="52" t="n">
        <v>0</v>
      </c>
      <c r="AS732" s="51" t="n">
        <v>0</v>
      </c>
      <c r="AT732" s="48" t="n">
        <v>0</v>
      </c>
      <c r="AU732" s="49" t="n">
        <v>0</v>
      </c>
      <c r="AV732" s="49" t="n">
        <v>0</v>
      </c>
      <c r="AW732" s="50" t="n">
        <v>0</v>
      </c>
      <c r="AX732" s="51" t="n">
        <v>0</v>
      </c>
      <c r="AY732" s="52" t="n">
        <v>0</v>
      </c>
      <c r="AZ732" s="52" t="n">
        <v>0</v>
      </c>
      <c r="BA732" s="52" t="n">
        <v>0</v>
      </c>
      <c r="BB732" s="53" t="n">
        <v>0</v>
      </c>
      <c r="BC732" s="52" t="n">
        <v>0</v>
      </c>
      <c r="BD732" s="53" t="n">
        <v>0</v>
      </c>
      <c r="BE732" s="52" t="n">
        <v>0</v>
      </c>
      <c r="BF732" s="51" t="n">
        <v>0</v>
      </c>
    </row>
    <row r="733">
      <c r="A733">
        <f>HYPERLINK("https://www.walmart.com/ip/897180675", "897180675")</f>
        <v/>
      </c>
      <c r="B733" t="inlineStr">
        <is>
          <t>Catalonia Monkey Blanket for Kids, Hooded Wearable Snuggle Tail Blanket, Super Soft Plush Sleeping Bags for Children Teens Boys Girls, All Seasons, Gift Idea</t>
        </is>
      </c>
      <c r="C733" t="inlineStr">
        <is>
          <t>1CTMM200MK</t>
        </is>
      </c>
      <c r="D733" t="inlineStr">
        <is>
          <t>Baby Sleepsacks</t>
        </is>
      </c>
      <c r="E733" t="inlineStr">
        <is>
          <t>Catalonia</t>
        </is>
      </c>
      <c r="F733" t="inlineStr">
        <is>
          <t>Baby days,Optimized</t>
        </is>
      </c>
      <c r="G733" s="48" t="n">
        <v>0</v>
      </c>
      <c r="H733" s="49" t="n">
        <v>0</v>
      </c>
      <c r="I733" s="49" t="n">
        <v>0</v>
      </c>
      <c r="J733" s="50" t="n">
        <v>0</v>
      </c>
      <c r="K733" s="51" t="n">
        <v>0</v>
      </c>
      <c r="L733" s="52" t="n">
        <v>0</v>
      </c>
      <c r="M733" s="52" t="n">
        <v>0</v>
      </c>
      <c r="N733" s="52" t="n">
        <v>0</v>
      </c>
      <c r="O733" s="53" t="n">
        <v>0</v>
      </c>
      <c r="P733" s="52" t="n">
        <v>0</v>
      </c>
      <c r="Q733" s="53" t="n">
        <v>0</v>
      </c>
      <c r="R733" s="52" t="n">
        <v>0</v>
      </c>
      <c r="S733" s="51" t="n">
        <v>0</v>
      </c>
      <c r="T733" s="48" t="n">
        <v>0</v>
      </c>
      <c r="U733" s="49" t="n">
        <v>0</v>
      </c>
      <c r="V733" s="49" t="n">
        <v>0</v>
      </c>
      <c r="W733" s="50" t="n">
        <v>0</v>
      </c>
      <c r="X733" s="51" t="n">
        <v>0</v>
      </c>
      <c r="Y733" s="52" t="n">
        <v>0</v>
      </c>
      <c r="Z733" s="52" t="n">
        <v>0</v>
      </c>
      <c r="AA733" s="52" t="n">
        <v>0</v>
      </c>
      <c r="AB733" s="53" t="n">
        <v>0</v>
      </c>
      <c r="AC733" s="52" t="n">
        <v>0</v>
      </c>
      <c r="AD733" s="53" t="n">
        <v>0</v>
      </c>
      <c r="AE733" s="52" t="n">
        <v>0</v>
      </c>
      <c r="AF733" s="51" t="n">
        <v>0</v>
      </c>
      <c r="AG733" s="48" t="n">
        <v>0</v>
      </c>
      <c r="AH733" s="49" t="n">
        <v>0</v>
      </c>
      <c r="AI733" s="49" t="n">
        <v>0</v>
      </c>
      <c r="AJ733" s="50" t="n">
        <v>0</v>
      </c>
      <c r="AK733" s="51" t="n">
        <v>0</v>
      </c>
      <c r="AL733" s="52" t="n">
        <v>0</v>
      </c>
      <c r="AM733" s="52" t="n">
        <v>0</v>
      </c>
      <c r="AN733" s="52" t="n">
        <v>0</v>
      </c>
      <c r="AO733" s="53" t="n">
        <v>0</v>
      </c>
      <c r="AP733" s="52" t="n">
        <v>0</v>
      </c>
      <c r="AQ733" s="53" t="n">
        <v>0</v>
      </c>
      <c r="AR733" s="52" t="n">
        <v>0</v>
      </c>
      <c r="AS733" s="51" t="n">
        <v>0</v>
      </c>
      <c r="AT733" s="48" t="n">
        <v>0</v>
      </c>
      <c r="AU733" s="49" t="n">
        <v>0</v>
      </c>
      <c r="AV733" s="49" t="n">
        <v>0</v>
      </c>
      <c r="AW733" s="50" t="n">
        <v>0</v>
      </c>
      <c r="AX733" s="51" t="n">
        <v>0</v>
      </c>
      <c r="AY733" s="52" t="n">
        <v>0</v>
      </c>
      <c r="AZ733" s="52" t="n">
        <v>0</v>
      </c>
      <c r="BA733" s="52" t="n">
        <v>0</v>
      </c>
      <c r="BB733" s="53" t="n">
        <v>0</v>
      </c>
      <c r="BC733" s="52" t="n">
        <v>0</v>
      </c>
      <c r="BD733" s="53" t="n">
        <v>0</v>
      </c>
      <c r="BE733" s="52" t="n">
        <v>0</v>
      </c>
      <c r="BF733" s="51" t="n">
        <v>0</v>
      </c>
    </row>
    <row r="734">
      <c r="A734">
        <f>HYPERLINK("https://www.walmart.com/ip/897829226", "897829226")</f>
        <v/>
      </c>
      <c r="B734" t="inlineStr">
        <is>
          <t>Solaris Sun Hat for Women and Men, Wide Brim Summer Outdoor Bucket Boonie Hat for Hiking, Safari and Gardening, Navy</t>
        </is>
      </c>
      <c r="C734" t="inlineStr">
        <is>
          <t>1SLSH191NV</t>
        </is>
      </c>
      <c r="D734" t="inlineStr">
        <is>
          <t>Hats</t>
        </is>
      </c>
      <c r="E734" t="inlineStr">
        <is>
          <t>Solaris</t>
        </is>
      </c>
      <c r="F734" t="inlineStr">
        <is>
          <t>Optimized</t>
        </is>
      </c>
      <c r="G734" s="48" t="n">
        <v>0</v>
      </c>
      <c r="H734" s="49" t="n">
        <v>0</v>
      </c>
      <c r="I734" s="49" t="n">
        <v>0</v>
      </c>
      <c r="J734" s="50" t="n">
        <v>0</v>
      </c>
      <c r="K734" s="51" t="n">
        <v>0</v>
      </c>
      <c r="L734" s="52" t="n">
        <v>0</v>
      </c>
      <c r="M734" s="52" t="n">
        <v>0</v>
      </c>
      <c r="N734" s="52" t="n">
        <v>0</v>
      </c>
      <c r="O734" s="53" t="n">
        <v>0</v>
      </c>
      <c r="P734" s="52" t="n">
        <v>0</v>
      </c>
      <c r="Q734" s="53" t="n">
        <v>0</v>
      </c>
      <c r="R734" s="52" t="n">
        <v>0</v>
      </c>
      <c r="S734" s="51" t="n">
        <v>0</v>
      </c>
      <c r="T734" s="48" t="n">
        <v>0</v>
      </c>
      <c r="U734" s="49" t="n">
        <v>0</v>
      </c>
      <c r="V734" s="49" t="n">
        <v>0</v>
      </c>
      <c r="W734" s="50" t="n">
        <v>0</v>
      </c>
      <c r="X734" s="51" t="n">
        <v>0</v>
      </c>
      <c r="Y734" s="52" t="n">
        <v>0</v>
      </c>
      <c r="Z734" s="52" t="n">
        <v>0</v>
      </c>
      <c r="AA734" s="52" t="n">
        <v>0</v>
      </c>
      <c r="AB734" s="53" t="n">
        <v>0</v>
      </c>
      <c r="AC734" s="52" t="n">
        <v>0</v>
      </c>
      <c r="AD734" s="53" t="n">
        <v>0</v>
      </c>
      <c r="AE734" s="52" t="n">
        <v>0</v>
      </c>
      <c r="AF734" s="51" t="n">
        <v>0</v>
      </c>
      <c r="AG734" s="48" t="n">
        <v>0</v>
      </c>
      <c r="AH734" s="49" t="n">
        <v>0</v>
      </c>
      <c r="AI734" s="49" t="n">
        <v>0</v>
      </c>
      <c r="AJ734" s="50" t="n">
        <v>0</v>
      </c>
      <c r="AK734" s="51" t="n">
        <v>0</v>
      </c>
      <c r="AL734" s="52" t="n">
        <v>0</v>
      </c>
      <c r="AM734" s="52" t="n">
        <v>0</v>
      </c>
      <c r="AN734" s="52" t="n">
        <v>0</v>
      </c>
      <c r="AO734" s="53" t="n">
        <v>0</v>
      </c>
      <c r="AP734" s="52" t="n">
        <v>0</v>
      </c>
      <c r="AQ734" s="53" t="n">
        <v>0</v>
      </c>
      <c r="AR734" s="52" t="n">
        <v>0</v>
      </c>
      <c r="AS734" s="51" t="n">
        <v>0</v>
      </c>
      <c r="AT734" s="48" t="n">
        <v>0</v>
      </c>
      <c r="AU734" s="49" t="n">
        <v>0</v>
      </c>
      <c r="AV734" s="49" t="n">
        <v>0</v>
      </c>
      <c r="AW734" s="50" t="n">
        <v>0</v>
      </c>
      <c r="AX734" s="51" t="n">
        <v>0</v>
      </c>
      <c r="AY734" s="52" t="n">
        <v>0</v>
      </c>
      <c r="AZ734" s="52" t="n">
        <v>0</v>
      </c>
      <c r="BA734" s="52" t="n">
        <v>0</v>
      </c>
      <c r="BB734" s="53" t="n">
        <v>0</v>
      </c>
      <c r="BC734" s="52" t="n">
        <v>0</v>
      </c>
      <c r="BD734" s="53" t="n">
        <v>0</v>
      </c>
      <c r="BE734" s="52" t="n">
        <v>0</v>
      </c>
      <c r="BF734" s="51" t="n">
        <v>0</v>
      </c>
    </row>
    <row r="735">
      <c r="A735">
        <f>HYPERLINK("https://www.walmart.com/ip/899281465", "899281465")</f>
        <v/>
      </c>
      <c r="B735" t="inlineStr">
        <is>
          <t>Tirrinia 6 Bottle Wine cooler bag -  Insulated &amp; Padded_x000D_
Versatile Wine Carrier Tote Bag for Travel, BYOB Restaurant, Wine Tasting, Party, Christmas Gift for Wine Lover, Grey</t>
        </is>
      </c>
      <c r="C735" t="inlineStr">
        <is>
          <t>1WMWB603GY</t>
        </is>
      </c>
      <c r="D735" t="inlineStr">
        <is>
          <t>Wine Totes, Bags &amp; Backpacks</t>
        </is>
      </c>
      <c r="E735" t="inlineStr">
        <is>
          <t>Flyingstar</t>
        </is>
      </c>
      <c r="F735" t="inlineStr">
        <is>
          <t>Wine,Christmas,Optimized,Valentine</t>
        </is>
      </c>
      <c r="G735" s="48" t="n">
        <v>0</v>
      </c>
      <c r="H735" s="49" t="n">
        <v>0</v>
      </c>
      <c r="I735" s="49" t="n">
        <v>0</v>
      </c>
      <c r="J735" s="50" t="n">
        <v>0</v>
      </c>
      <c r="K735" s="51" t="n">
        <v>0</v>
      </c>
      <c r="L735" s="52" t="n">
        <v>0</v>
      </c>
      <c r="M735" s="52" t="n">
        <v>0</v>
      </c>
      <c r="N735" s="52" t="n">
        <v>0</v>
      </c>
      <c r="O735" s="53" t="n">
        <v>0</v>
      </c>
      <c r="P735" s="52" t="n">
        <v>0</v>
      </c>
      <c r="Q735" s="53" t="n">
        <v>0</v>
      </c>
      <c r="R735" s="52" t="n">
        <v>0</v>
      </c>
      <c r="S735" s="51" t="n">
        <v>0</v>
      </c>
      <c r="T735" s="48" t="n">
        <v>0</v>
      </c>
      <c r="U735" s="49" t="n">
        <v>0</v>
      </c>
      <c r="V735" s="49" t="n">
        <v>0</v>
      </c>
      <c r="W735" s="50" t="n">
        <v>0</v>
      </c>
      <c r="X735" s="51" t="n">
        <v>0</v>
      </c>
      <c r="Y735" s="52" t="n">
        <v>0</v>
      </c>
      <c r="Z735" s="52" t="n">
        <v>0</v>
      </c>
      <c r="AA735" s="52" t="n">
        <v>0</v>
      </c>
      <c r="AB735" s="53" t="n">
        <v>0</v>
      </c>
      <c r="AC735" s="52" t="n">
        <v>0</v>
      </c>
      <c r="AD735" s="53" t="n">
        <v>0</v>
      </c>
      <c r="AE735" s="52" t="n">
        <v>0</v>
      </c>
      <c r="AF735" s="51" t="n">
        <v>0</v>
      </c>
      <c r="AG735" s="48" t="n">
        <v>0</v>
      </c>
      <c r="AH735" s="49" t="n">
        <v>0</v>
      </c>
      <c r="AI735" s="49" t="n">
        <v>0</v>
      </c>
      <c r="AJ735" s="50" t="n">
        <v>0</v>
      </c>
      <c r="AK735" s="51" t="n">
        <v>0</v>
      </c>
      <c r="AL735" s="52" t="n">
        <v>0</v>
      </c>
      <c r="AM735" s="52" t="n">
        <v>0</v>
      </c>
      <c r="AN735" s="52" t="n">
        <v>0</v>
      </c>
      <c r="AO735" s="53" t="n">
        <v>0</v>
      </c>
      <c r="AP735" s="52" t="n">
        <v>0</v>
      </c>
      <c r="AQ735" s="53" t="n">
        <v>0</v>
      </c>
      <c r="AR735" s="52" t="n">
        <v>0</v>
      </c>
      <c r="AS735" s="51" t="n">
        <v>0</v>
      </c>
      <c r="AT735" s="48" t="n">
        <v>0</v>
      </c>
      <c r="AU735" s="49" t="n">
        <v>0</v>
      </c>
      <c r="AV735" s="49" t="n">
        <v>0</v>
      </c>
      <c r="AW735" s="50" t="n">
        <v>0</v>
      </c>
      <c r="AX735" s="51" t="n">
        <v>0</v>
      </c>
      <c r="AY735" s="52" t="n">
        <v>0</v>
      </c>
      <c r="AZ735" s="52" t="n">
        <v>0</v>
      </c>
      <c r="BA735" s="52" t="n">
        <v>0</v>
      </c>
      <c r="BB735" s="53" t="n">
        <v>0</v>
      </c>
      <c r="BC735" s="52" t="n">
        <v>0</v>
      </c>
      <c r="BD735" s="53" t="n">
        <v>0</v>
      </c>
      <c r="BE735" s="52" t="n">
        <v>0</v>
      </c>
      <c r="BF735" s="51" t="n">
        <v>0</v>
      </c>
    </row>
    <row r="736">
      <c r="A736">
        <f>HYPERLINK("https://www.walmart.com/ip/911302345", "911302345")</f>
        <v/>
      </c>
      <c r="B736" t="inlineStr">
        <is>
          <t>Catalonia Sherpa Fleece Blanket, Super Soft Warm Fuzzy Snowflake Throw Blanket for Family,  Reversible, Blue, 60" x 50"</t>
        </is>
      </c>
      <c r="C736" t="inlineStr">
        <is>
          <t>1CTBF390BL</t>
        </is>
      </c>
      <c r="D736" t="inlineStr">
        <is>
          <t>Throws</t>
        </is>
      </c>
      <c r="E736" t="inlineStr">
        <is>
          <t>Catalonia</t>
        </is>
      </c>
      <c r="F736" t="inlineStr">
        <is>
          <t>Coupon_Discount,Batch 1 - TR</t>
        </is>
      </c>
      <c r="G736" s="48" t="n">
        <v>0</v>
      </c>
      <c r="H736" s="49" t="n">
        <v>0</v>
      </c>
      <c r="I736" s="49" t="n">
        <v>0</v>
      </c>
      <c r="J736" s="50" t="n">
        <v>0</v>
      </c>
      <c r="K736" s="51" t="n">
        <v>0</v>
      </c>
      <c r="L736" s="52" t="n">
        <v>0</v>
      </c>
      <c r="M736" s="52" t="n">
        <v>0</v>
      </c>
      <c r="N736" s="52" t="n">
        <v>0</v>
      </c>
      <c r="O736" s="53" t="n">
        <v>0</v>
      </c>
      <c r="P736" s="52" t="n">
        <v>0</v>
      </c>
      <c r="Q736" s="53" t="n">
        <v>0</v>
      </c>
      <c r="R736" s="52" t="n">
        <v>0</v>
      </c>
      <c r="S736" s="51" t="n">
        <v>0</v>
      </c>
      <c r="T736" s="48" t="n">
        <v>0</v>
      </c>
      <c r="U736" s="49" t="n">
        <v>0</v>
      </c>
      <c r="V736" s="49" t="n">
        <v>0</v>
      </c>
      <c r="W736" s="50" t="n">
        <v>0</v>
      </c>
      <c r="X736" s="51" t="n">
        <v>0</v>
      </c>
      <c r="Y736" s="52" t="n">
        <v>0</v>
      </c>
      <c r="Z736" s="52" t="n">
        <v>0</v>
      </c>
      <c r="AA736" s="52" t="n">
        <v>0</v>
      </c>
      <c r="AB736" s="53" t="n">
        <v>0</v>
      </c>
      <c r="AC736" s="52" t="n">
        <v>0</v>
      </c>
      <c r="AD736" s="53" t="n">
        <v>0</v>
      </c>
      <c r="AE736" s="52" t="n">
        <v>0</v>
      </c>
      <c r="AF736" s="51" t="n">
        <v>0</v>
      </c>
      <c r="AG736" s="48" t="n">
        <v>0</v>
      </c>
      <c r="AH736" s="49" t="n">
        <v>0</v>
      </c>
      <c r="AI736" s="49" t="n">
        <v>0</v>
      </c>
      <c r="AJ736" s="50" t="n">
        <v>0</v>
      </c>
      <c r="AK736" s="51" t="n">
        <v>0</v>
      </c>
      <c r="AL736" s="52" t="n">
        <v>0</v>
      </c>
      <c r="AM736" s="52" t="n">
        <v>0</v>
      </c>
      <c r="AN736" s="52" t="n">
        <v>0</v>
      </c>
      <c r="AO736" s="53" t="n">
        <v>0</v>
      </c>
      <c r="AP736" s="52" t="n">
        <v>0</v>
      </c>
      <c r="AQ736" s="53" t="n">
        <v>0</v>
      </c>
      <c r="AR736" s="52" t="n">
        <v>0</v>
      </c>
      <c r="AS736" s="51" t="n">
        <v>0</v>
      </c>
      <c r="AT736" s="48" t="n">
        <v>0</v>
      </c>
      <c r="AU736" s="49" t="n">
        <v>0</v>
      </c>
      <c r="AV736" s="49" t="n">
        <v>0</v>
      </c>
      <c r="AW736" s="50" t="n">
        <v>0</v>
      </c>
      <c r="AX736" s="51" t="n">
        <v>0</v>
      </c>
      <c r="AY736" s="52" t="n">
        <v>0</v>
      </c>
      <c r="AZ736" s="52" t="n">
        <v>0</v>
      </c>
      <c r="BA736" s="52" t="n">
        <v>0</v>
      </c>
      <c r="BB736" s="53" t="n">
        <v>0</v>
      </c>
      <c r="BC736" s="52" t="n">
        <v>0</v>
      </c>
      <c r="BD736" s="53" t="n">
        <v>0</v>
      </c>
      <c r="BE736" s="52" t="n">
        <v>0</v>
      </c>
      <c r="BF736" s="51" t="n">
        <v>0</v>
      </c>
    </row>
    <row r="737">
      <c r="A737">
        <f>HYPERLINK("https://www.walmart.com/ip/911931453", "911931453")</f>
        <v/>
      </c>
      <c r="B737" t="inlineStr">
        <is>
          <t>Catalonia Twin Size Sherpa Comforter Set, Ultra-Soft Reversible Fluffy Micromink Bedding Set-2 Pieces, 1 Comforter and 1 Pillow Sham,64x88 inches</t>
        </is>
      </c>
      <c r="C737" t="inlineStr">
        <is>
          <t>1CTBQ300TW-GY</t>
        </is>
      </c>
      <c r="D737" t="inlineStr">
        <is>
          <t>Comforters &amp; Duvets</t>
        </is>
      </c>
      <c r="E737" t="inlineStr">
        <is>
          <t>Catalonia</t>
        </is>
      </c>
      <c r="F737" t="inlineStr">
        <is>
          <t>WFS,WFS Item</t>
        </is>
      </c>
      <c r="G737" s="48" t="n">
        <v>0</v>
      </c>
      <c r="H737" s="49" t="n">
        <v>0</v>
      </c>
      <c r="I737" s="49" t="n">
        <v>0</v>
      </c>
      <c r="J737" s="50" t="n">
        <v>0</v>
      </c>
      <c r="K737" s="51" t="n">
        <v>0</v>
      </c>
      <c r="L737" s="52" t="n">
        <v>0</v>
      </c>
      <c r="M737" s="52" t="n">
        <v>0</v>
      </c>
      <c r="N737" s="52" t="n">
        <v>0</v>
      </c>
      <c r="O737" s="53" t="n">
        <v>0</v>
      </c>
      <c r="P737" s="52" t="n">
        <v>0</v>
      </c>
      <c r="Q737" s="53" t="n">
        <v>0</v>
      </c>
      <c r="R737" s="52" t="n">
        <v>0</v>
      </c>
      <c r="S737" s="51" t="n">
        <v>0</v>
      </c>
      <c r="T737" s="48" t="n">
        <v>0</v>
      </c>
      <c r="U737" s="49" t="n">
        <v>0</v>
      </c>
      <c r="V737" s="49" t="n">
        <v>0</v>
      </c>
      <c r="W737" s="50" t="n">
        <v>0</v>
      </c>
      <c r="X737" s="51" t="n">
        <v>0</v>
      </c>
      <c r="Y737" s="52" t="n">
        <v>0</v>
      </c>
      <c r="Z737" s="52" t="n">
        <v>0</v>
      </c>
      <c r="AA737" s="52" t="n">
        <v>0</v>
      </c>
      <c r="AB737" s="53" t="n">
        <v>0</v>
      </c>
      <c r="AC737" s="52" t="n">
        <v>0</v>
      </c>
      <c r="AD737" s="53" t="n">
        <v>0</v>
      </c>
      <c r="AE737" s="52" t="n">
        <v>0</v>
      </c>
      <c r="AF737" s="51" t="n">
        <v>0</v>
      </c>
      <c r="AG737" s="48" t="n">
        <v>0</v>
      </c>
      <c r="AH737" s="49" t="n">
        <v>0</v>
      </c>
      <c r="AI737" s="49" t="n">
        <v>0</v>
      </c>
      <c r="AJ737" s="50" t="n">
        <v>0</v>
      </c>
      <c r="AK737" s="51" t="n">
        <v>0</v>
      </c>
      <c r="AL737" s="52" t="n">
        <v>0</v>
      </c>
      <c r="AM737" s="52" t="n">
        <v>0</v>
      </c>
      <c r="AN737" s="52" t="n">
        <v>0</v>
      </c>
      <c r="AO737" s="53" t="n">
        <v>0</v>
      </c>
      <c r="AP737" s="52" t="n">
        <v>0</v>
      </c>
      <c r="AQ737" s="53" t="n">
        <v>0</v>
      </c>
      <c r="AR737" s="52" t="n">
        <v>0</v>
      </c>
      <c r="AS737" s="51" t="n">
        <v>0</v>
      </c>
      <c r="AT737" s="48" t="n">
        <v>0</v>
      </c>
      <c r="AU737" s="49" t="n">
        <v>0</v>
      </c>
      <c r="AV737" s="49" t="n">
        <v>0</v>
      </c>
      <c r="AW737" s="50" t="n">
        <v>0</v>
      </c>
      <c r="AX737" s="51" t="n">
        <v>0</v>
      </c>
      <c r="AY737" s="52" t="n">
        <v>0</v>
      </c>
      <c r="AZ737" s="52" t="n">
        <v>0</v>
      </c>
      <c r="BA737" s="52" t="n">
        <v>0</v>
      </c>
      <c r="BB737" s="53" t="n">
        <v>0</v>
      </c>
      <c r="BC737" s="52" t="n">
        <v>0</v>
      </c>
      <c r="BD737" s="53" t="n">
        <v>0</v>
      </c>
      <c r="BE737" s="52" t="n">
        <v>0</v>
      </c>
      <c r="BF737" s="51" t="n">
        <v>0</v>
      </c>
    </row>
    <row r="738">
      <c r="A738">
        <f>HYPERLINK("https://www.walmart.com/ip/891167892", "891167892")</f>
        <v/>
      </c>
      <c r="B738" t="inlineStr">
        <is>
          <t>50" x 60" Chevron Throw Blanket Tirrinia Products</t>
        </is>
      </c>
      <c r="C738" t="inlineStr">
        <is>
          <t>1TRBF320DBL-TBCB</t>
        </is>
      </c>
      <c r="D738" t="inlineStr">
        <is>
          <t>Throws</t>
        </is>
      </c>
      <c r="E738" t="inlineStr">
        <is>
          <t>Tirrinia</t>
        </is>
      </c>
      <c r="F738" t="inlineStr">
        <is>
          <t>Batch 1 - TR</t>
        </is>
      </c>
      <c r="G738" s="48" t="n">
        <v>0</v>
      </c>
      <c r="H738" s="49" t="n">
        <v>0</v>
      </c>
      <c r="I738" s="49" t="n">
        <v>0</v>
      </c>
      <c r="J738" s="50" t="n">
        <v>0</v>
      </c>
      <c r="K738" s="51" t="n">
        <v>0</v>
      </c>
      <c r="L738" s="52" t="n">
        <v>0</v>
      </c>
      <c r="M738" s="52" t="n">
        <v>0</v>
      </c>
      <c r="N738" s="52" t="n">
        <v>0</v>
      </c>
      <c r="O738" s="53" t="n">
        <v>0</v>
      </c>
      <c r="P738" s="52" t="n">
        <v>0</v>
      </c>
      <c r="Q738" s="53" t="n">
        <v>0</v>
      </c>
      <c r="R738" s="52" t="n">
        <v>0</v>
      </c>
      <c r="S738" s="51" t="n">
        <v>0</v>
      </c>
      <c r="T738" s="48" t="n">
        <v>0</v>
      </c>
      <c r="U738" s="49" t="n">
        <v>0</v>
      </c>
      <c r="V738" s="49" t="n">
        <v>0</v>
      </c>
      <c r="W738" s="50" t="n">
        <v>0</v>
      </c>
      <c r="X738" s="51" t="n">
        <v>0</v>
      </c>
      <c r="Y738" s="52" t="n">
        <v>0</v>
      </c>
      <c r="Z738" s="52" t="n">
        <v>0</v>
      </c>
      <c r="AA738" s="52" t="n">
        <v>0</v>
      </c>
      <c r="AB738" s="53" t="n">
        <v>0</v>
      </c>
      <c r="AC738" s="52" t="n">
        <v>0</v>
      </c>
      <c r="AD738" s="53" t="n">
        <v>0</v>
      </c>
      <c r="AE738" s="52" t="n">
        <v>0</v>
      </c>
      <c r="AF738" s="51" t="n">
        <v>0</v>
      </c>
      <c r="AG738" s="48" t="n">
        <v>0</v>
      </c>
      <c r="AH738" s="49" t="n">
        <v>0</v>
      </c>
      <c r="AI738" s="49" t="n">
        <v>0</v>
      </c>
      <c r="AJ738" s="50" t="n">
        <v>0</v>
      </c>
      <c r="AK738" s="51" t="n">
        <v>0</v>
      </c>
      <c r="AL738" s="52" t="n">
        <v>0</v>
      </c>
      <c r="AM738" s="52" t="n">
        <v>0</v>
      </c>
      <c r="AN738" s="52" t="n">
        <v>0</v>
      </c>
      <c r="AO738" s="53" t="n">
        <v>0</v>
      </c>
      <c r="AP738" s="52" t="n">
        <v>0</v>
      </c>
      <c r="AQ738" s="53" t="n">
        <v>0</v>
      </c>
      <c r="AR738" s="52" t="n">
        <v>0</v>
      </c>
      <c r="AS738" s="51" t="n">
        <v>0</v>
      </c>
      <c r="AT738" s="48" t="n">
        <v>0</v>
      </c>
      <c r="AU738" s="49" t="n">
        <v>0</v>
      </c>
      <c r="AV738" s="49" t="n">
        <v>0</v>
      </c>
      <c r="AW738" s="50" t="n">
        <v>0</v>
      </c>
      <c r="AX738" s="51" t="n">
        <v>0</v>
      </c>
      <c r="AY738" s="52" t="n">
        <v>0</v>
      </c>
      <c r="AZ738" s="52" t="n">
        <v>0</v>
      </c>
      <c r="BA738" s="52" t="n">
        <v>0</v>
      </c>
      <c r="BB738" s="53" t="n">
        <v>0</v>
      </c>
      <c r="BC738" s="52" t="n">
        <v>0</v>
      </c>
      <c r="BD738" s="53" t="n">
        <v>0</v>
      </c>
      <c r="BE738" s="52" t="n">
        <v>0</v>
      </c>
      <c r="BF738" s="51" t="n">
        <v>0</v>
      </c>
    </row>
    <row r="739">
      <c r="A739">
        <f>HYPERLINK("https://www.walmart.com/ip/922410648", "922410648")</f>
        <v/>
      </c>
      <c r="B739" t="inlineStr">
        <is>
          <t>Catalonia Sherpa Throw Blanket, Fluffy Fuzzy Fleece Super Soft Blanket 50”x60”, Comfy Plush for Sofa Couch Bed Reversible All Season for Adults Children</t>
        </is>
      </c>
      <c r="C739" t="inlineStr">
        <is>
          <t>1CTBF320MO</t>
        </is>
      </c>
      <c r="D739" t="inlineStr">
        <is>
          <t>Throws</t>
        </is>
      </c>
      <c r="E739" t="inlineStr">
        <is>
          <t>Catalonia</t>
        </is>
      </c>
      <c r="F739" t="inlineStr">
        <is>
          <t>Q2-Target,Optimized,WFS,Coupon_Discount,WFS Item</t>
        </is>
      </c>
      <c r="G739" s="48" t="n">
        <v>0</v>
      </c>
      <c r="H739" s="49" t="n">
        <v>0</v>
      </c>
      <c r="I739" s="49" t="n">
        <v>0</v>
      </c>
      <c r="J739" s="50" t="n">
        <v>0</v>
      </c>
      <c r="K739" s="51" t="n">
        <v>0</v>
      </c>
      <c r="L739" s="52" t="n">
        <v>0</v>
      </c>
      <c r="M739" s="52" t="n">
        <v>0</v>
      </c>
      <c r="N739" s="52" t="n">
        <v>0</v>
      </c>
      <c r="O739" s="53" t="n">
        <v>0</v>
      </c>
      <c r="P739" s="52" t="n">
        <v>0</v>
      </c>
      <c r="Q739" s="53" t="n">
        <v>0</v>
      </c>
      <c r="R739" s="52" t="n">
        <v>0</v>
      </c>
      <c r="S739" s="51" t="n">
        <v>0</v>
      </c>
      <c r="T739" s="48" t="n">
        <v>0</v>
      </c>
      <c r="U739" s="49" t="n">
        <v>0</v>
      </c>
      <c r="V739" s="49" t="n">
        <v>0</v>
      </c>
      <c r="W739" s="50" t="n">
        <v>0</v>
      </c>
      <c r="X739" s="51" t="n">
        <v>0</v>
      </c>
      <c r="Y739" s="52" t="n">
        <v>0</v>
      </c>
      <c r="Z739" s="52" t="n">
        <v>0</v>
      </c>
      <c r="AA739" s="52" t="n">
        <v>0</v>
      </c>
      <c r="AB739" s="53" t="n">
        <v>0</v>
      </c>
      <c r="AC739" s="52" t="n">
        <v>0</v>
      </c>
      <c r="AD739" s="53" t="n">
        <v>0</v>
      </c>
      <c r="AE739" s="52" t="n">
        <v>0</v>
      </c>
      <c r="AF739" s="51" t="n">
        <v>0</v>
      </c>
      <c r="AG739" s="48" t="n">
        <v>0</v>
      </c>
      <c r="AH739" s="49" t="n">
        <v>0</v>
      </c>
      <c r="AI739" s="49" t="n">
        <v>0</v>
      </c>
      <c r="AJ739" s="50" t="n">
        <v>0</v>
      </c>
      <c r="AK739" s="51" t="n">
        <v>0</v>
      </c>
      <c r="AL739" s="52" t="n">
        <v>0</v>
      </c>
      <c r="AM739" s="52" t="n">
        <v>0</v>
      </c>
      <c r="AN739" s="52" t="n">
        <v>0</v>
      </c>
      <c r="AO739" s="53" t="n">
        <v>0</v>
      </c>
      <c r="AP739" s="52" t="n">
        <v>0</v>
      </c>
      <c r="AQ739" s="53" t="n">
        <v>0</v>
      </c>
      <c r="AR739" s="52" t="n">
        <v>0</v>
      </c>
      <c r="AS739" s="51" t="n">
        <v>0</v>
      </c>
      <c r="AT739" s="48" t="n">
        <v>0</v>
      </c>
      <c r="AU739" s="49" t="n">
        <v>0</v>
      </c>
      <c r="AV739" s="49" t="n">
        <v>0</v>
      </c>
      <c r="AW739" s="50" t="n">
        <v>0</v>
      </c>
      <c r="AX739" s="51" t="n">
        <v>0</v>
      </c>
      <c r="AY739" s="52" t="n">
        <v>0</v>
      </c>
      <c r="AZ739" s="52" t="n">
        <v>0</v>
      </c>
      <c r="BA739" s="52" t="n">
        <v>0</v>
      </c>
      <c r="BB739" s="53" t="n">
        <v>0</v>
      </c>
      <c r="BC739" s="52" t="n">
        <v>0</v>
      </c>
      <c r="BD739" s="53" t="n">
        <v>0</v>
      </c>
      <c r="BE739" s="52" t="n">
        <v>0</v>
      </c>
      <c r="BF739" s="51" t="n">
        <v>0</v>
      </c>
    </row>
    <row r="740">
      <c r="A740">
        <f>HYPERLINK("https://www.walmart.com/ip/924001152", "924001152")</f>
        <v/>
      </c>
      <c r="B740" t="inlineStr">
        <is>
          <t>Tirrinia Red Plaid Foldable Outdoor Waterproof Blanket for Camping Stadium, 51'' X 59''</t>
        </is>
      </c>
      <c r="C740" t="inlineStr">
        <is>
          <t>1TRBW506PRD</t>
        </is>
      </c>
      <c r="D740" t="inlineStr">
        <is>
          <t>Picnic Blankets &amp; Mats</t>
        </is>
      </c>
      <c r="E740" t="inlineStr">
        <is>
          <t>Tirrinia</t>
        </is>
      </c>
      <c r="F740" t="inlineStr">
        <is>
          <t>Optimized,SEM</t>
        </is>
      </c>
      <c r="G740" s="48" t="n">
        <v>0</v>
      </c>
      <c r="H740" s="49" t="n">
        <v>0</v>
      </c>
      <c r="I740" s="49" t="n">
        <v>0</v>
      </c>
      <c r="J740" s="50" t="n">
        <v>0</v>
      </c>
      <c r="K740" s="51" t="n">
        <v>0</v>
      </c>
      <c r="L740" s="52" t="n">
        <v>0</v>
      </c>
      <c r="M740" s="52" t="n">
        <v>0</v>
      </c>
      <c r="N740" s="52" t="n">
        <v>0</v>
      </c>
      <c r="O740" s="53" t="n">
        <v>0</v>
      </c>
      <c r="P740" s="52" t="n">
        <v>0</v>
      </c>
      <c r="Q740" s="53" t="n">
        <v>0</v>
      </c>
      <c r="R740" s="52" t="n">
        <v>0</v>
      </c>
      <c r="S740" s="51" t="n">
        <v>0</v>
      </c>
      <c r="T740" s="48" t="n">
        <v>0</v>
      </c>
      <c r="U740" s="49" t="n">
        <v>0</v>
      </c>
      <c r="V740" s="49" t="n">
        <v>0</v>
      </c>
      <c r="W740" s="50" t="n">
        <v>0</v>
      </c>
      <c r="X740" s="51" t="n">
        <v>0</v>
      </c>
      <c r="Y740" s="52" t="n">
        <v>0</v>
      </c>
      <c r="Z740" s="52" t="n">
        <v>0</v>
      </c>
      <c r="AA740" s="52" t="n">
        <v>0</v>
      </c>
      <c r="AB740" s="53" t="n">
        <v>0</v>
      </c>
      <c r="AC740" s="52" t="n">
        <v>0</v>
      </c>
      <c r="AD740" s="53" t="n">
        <v>0</v>
      </c>
      <c r="AE740" s="52" t="n">
        <v>0</v>
      </c>
      <c r="AF740" s="51" t="n">
        <v>0</v>
      </c>
      <c r="AG740" s="48" t="n">
        <v>0</v>
      </c>
      <c r="AH740" s="49" t="n">
        <v>0</v>
      </c>
      <c r="AI740" s="49" t="n">
        <v>0</v>
      </c>
      <c r="AJ740" s="50" t="n">
        <v>0</v>
      </c>
      <c r="AK740" s="51" t="n">
        <v>0</v>
      </c>
      <c r="AL740" s="52" t="n">
        <v>0</v>
      </c>
      <c r="AM740" s="52" t="n">
        <v>0</v>
      </c>
      <c r="AN740" s="52" t="n">
        <v>0</v>
      </c>
      <c r="AO740" s="53" t="n">
        <v>0</v>
      </c>
      <c r="AP740" s="52" t="n">
        <v>0</v>
      </c>
      <c r="AQ740" s="53" t="n">
        <v>0</v>
      </c>
      <c r="AR740" s="52" t="n">
        <v>0</v>
      </c>
      <c r="AS740" s="51" t="n">
        <v>0</v>
      </c>
      <c r="AT740" s="48" t="n">
        <v>0</v>
      </c>
      <c r="AU740" s="49" t="n">
        <v>0</v>
      </c>
      <c r="AV740" s="49" t="n">
        <v>0</v>
      </c>
      <c r="AW740" s="50" t="n">
        <v>0</v>
      </c>
      <c r="AX740" s="51" t="n">
        <v>0</v>
      </c>
      <c r="AY740" s="52" t="n">
        <v>0</v>
      </c>
      <c r="AZ740" s="52" t="n">
        <v>0</v>
      </c>
      <c r="BA740" s="52" t="n">
        <v>0</v>
      </c>
      <c r="BB740" s="53" t="n">
        <v>0</v>
      </c>
      <c r="BC740" s="52" t="n">
        <v>0</v>
      </c>
      <c r="BD740" s="53" t="n">
        <v>0</v>
      </c>
      <c r="BE740" s="52" t="n">
        <v>0</v>
      </c>
      <c r="BF740" s="51" t="n">
        <v>0</v>
      </c>
    </row>
    <row r="741">
      <c r="A741">
        <f>HYPERLINK("https://www.walmart.com/ip/924383443", "924383443")</f>
        <v/>
      </c>
      <c r="B741" t="inlineStr">
        <is>
          <t>100% Polar Fleece Skull Cap Warm and Cozy Beanie</t>
        </is>
      </c>
      <c r="C741" t="inlineStr">
        <is>
          <t>1SLW1810RD-FSCB</t>
        </is>
      </c>
      <c r="D741" t="inlineStr">
        <is>
          <t>Hats</t>
        </is>
      </c>
      <c r="E741" t="inlineStr">
        <is>
          <t>Solaris</t>
        </is>
      </c>
      <c r="F741" t="inlineStr">
        <is>
          <t>Batch 1 - TR</t>
        </is>
      </c>
      <c r="G741" s="48" t="n">
        <v>0</v>
      </c>
      <c r="H741" s="49" t="n">
        <v>0</v>
      </c>
      <c r="I741" s="49" t="n">
        <v>0</v>
      </c>
      <c r="J741" s="50" t="n">
        <v>0</v>
      </c>
      <c r="K741" s="51" t="n">
        <v>0</v>
      </c>
      <c r="L741" s="52" t="n">
        <v>0</v>
      </c>
      <c r="M741" s="52" t="n">
        <v>0</v>
      </c>
      <c r="N741" s="52" t="n">
        <v>0</v>
      </c>
      <c r="O741" s="53" t="n">
        <v>0</v>
      </c>
      <c r="P741" s="52" t="n">
        <v>0</v>
      </c>
      <c r="Q741" s="53" t="n">
        <v>0</v>
      </c>
      <c r="R741" s="52" t="n">
        <v>0</v>
      </c>
      <c r="S741" s="51" t="n">
        <v>0</v>
      </c>
      <c r="T741" s="48" t="n">
        <v>0</v>
      </c>
      <c r="U741" s="49" t="n">
        <v>0</v>
      </c>
      <c r="V741" s="49" t="n">
        <v>0</v>
      </c>
      <c r="W741" s="50" t="n">
        <v>0</v>
      </c>
      <c r="X741" s="51" t="n">
        <v>0</v>
      </c>
      <c r="Y741" s="52" t="n">
        <v>0</v>
      </c>
      <c r="Z741" s="52" t="n">
        <v>0</v>
      </c>
      <c r="AA741" s="52" t="n">
        <v>0</v>
      </c>
      <c r="AB741" s="53" t="n">
        <v>0</v>
      </c>
      <c r="AC741" s="52" t="n">
        <v>0</v>
      </c>
      <c r="AD741" s="53" t="n">
        <v>0</v>
      </c>
      <c r="AE741" s="52" t="n">
        <v>0</v>
      </c>
      <c r="AF741" s="51" t="n">
        <v>0</v>
      </c>
      <c r="AG741" s="48" t="n">
        <v>0</v>
      </c>
      <c r="AH741" s="49" t="n">
        <v>0</v>
      </c>
      <c r="AI741" s="49" t="n">
        <v>0</v>
      </c>
      <c r="AJ741" s="50" t="n">
        <v>0</v>
      </c>
      <c r="AK741" s="51" t="n">
        <v>0</v>
      </c>
      <c r="AL741" s="52" t="n">
        <v>0</v>
      </c>
      <c r="AM741" s="52" t="n">
        <v>0</v>
      </c>
      <c r="AN741" s="52" t="n">
        <v>0</v>
      </c>
      <c r="AO741" s="53" t="n">
        <v>0</v>
      </c>
      <c r="AP741" s="52" t="n">
        <v>0</v>
      </c>
      <c r="AQ741" s="53" t="n">
        <v>0</v>
      </c>
      <c r="AR741" s="52" t="n">
        <v>0</v>
      </c>
      <c r="AS741" s="51" t="n">
        <v>0</v>
      </c>
      <c r="AT741" s="48" t="n">
        <v>0</v>
      </c>
      <c r="AU741" s="49" t="n">
        <v>0</v>
      </c>
      <c r="AV741" s="49" t="n">
        <v>0</v>
      </c>
      <c r="AW741" s="50" t="n">
        <v>0</v>
      </c>
      <c r="AX741" s="51" t="n">
        <v>0</v>
      </c>
      <c r="AY741" s="52" t="n">
        <v>0</v>
      </c>
      <c r="AZ741" s="52" t="n">
        <v>0</v>
      </c>
      <c r="BA741" s="52" t="n">
        <v>0</v>
      </c>
      <c r="BB741" s="53" t="n">
        <v>0</v>
      </c>
      <c r="BC741" s="52" t="n">
        <v>0</v>
      </c>
      <c r="BD741" s="53" t="n">
        <v>0</v>
      </c>
      <c r="BE741" s="52" t="n">
        <v>0</v>
      </c>
      <c r="BF741" s="51" t="n">
        <v>0</v>
      </c>
    </row>
    <row r="742">
      <c r="A742">
        <f>HYPERLINK("https://www.walmart.com/ip/924510521", "924510521")</f>
        <v/>
      </c>
      <c r="B742" t="inlineStr">
        <is>
          <t>Solaris Adventure hat UPF 50+ rated Outdoor hat Wide brim with Back flap</t>
        </is>
      </c>
      <c r="C742" t="inlineStr">
        <is>
          <t>TR-S9152TN-JWCB</t>
        </is>
      </c>
      <c r="D742" t="inlineStr">
        <is>
          <t>Hats</t>
        </is>
      </c>
      <c r="E742" t="inlineStr">
        <is>
          <t>Terra</t>
        </is>
      </c>
      <c r="F742" t="inlineStr">
        <is>
          <t>Optimized</t>
        </is>
      </c>
      <c r="G742" s="48" t="n">
        <v>0</v>
      </c>
      <c r="H742" s="49" t="n">
        <v>0</v>
      </c>
      <c r="I742" s="49" t="n">
        <v>0</v>
      </c>
      <c r="J742" s="50" t="n">
        <v>0</v>
      </c>
      <c r="K742" s="51" t="n">
        <v>0</v>
      </c>
      <c r="L742" s="52" t="n">
        <v>0</v>
      </c>
      <c r="M742" s="52" t="n">
        <v>0</v>
      </c>
      <c r="N742" s="52" t="n">
        <v>0</v>
      </c>
      <c r="O742" s="53" t="n">
        <v>0</v>
      </c>
      <c r="P742" s="52" t="n">
        <v>0</v>
      </c>
      <c r="Q742" s="53" t="n">
        <v>0</v>
      </c>
      <c r="R742" s="52" t="n">
        <v>0</v>
      </c>
      <c r="S742" s="51" t="n">
        <v>0</v>
      </c>
      <c r="T742" s="48" t="n">
        <v>0</v>
      </c>
      <c r="U742" s="49" t="n">
        <v>0</v>
      </c>
      <c r="V742" s="49" t="n">
        <v>0</v>
      </c>
      <c r="W742" s="50" t="n">
        <v>0</v>
      </c>
      <c r="X742" s="51" t="n">
        <v>0</v>
      </c>
      <c r="Y742" s="52" t="n">
        <v>0</v>
      </c>
      <c r="Z742" s="52" t="n">
        <v>0</v>
      </c>
      <c r="AA742" s="52" t="n">
        <v>0</v>
      </c>
      <c r="AB742" s="53" t="n">
        <v>0</v>
      </c>
      <c r="AC742" s="52" t="n">
        <v>0</v>
      </c>
      <c r="AD742" s="53" t="n">
        <v>0</v>
      </c>
      <c r="AE742" s="52" t="n">
        <v>0</v>
      </c>
      <c r="AF742" s="51" t="n">
        <v>0</v>
      </c>
      <c r="AG742" s="48" t="n">
        <v>0</v>
      </c>
      <c r="AH742" s="49" t="n">
        <v>0</v>
      </c>
      <c r="AI742" s="49" t="n">
        <v>0</v>
      </c>
      <c r="AJ742" s="50" t="n">
        <v>0</v>
      </c>
      <c r="AK742" s="51" t="n">
        <v>0</v>
      </c>
      <c r="AL742" s="52" t="n">
        <v>0</v>
      </c>
      <c r="AM742" s="52" t="n">
        <v>0</v>
      </c>
      <c r="AN742" s="52" t="n">
        <v>0</v>
      </c>
      <c r="AO742" s="53" t="n">
        <v>0</v>
      </c>
      <c r="AP742" s="52" t="n">
        <v>0</v>
      </c>
      <c r="AQ742" s="53" t="n">
        <v>0</v>
      </c>
      <c r="AR742" s="52" t="n">
        <v>0</v>
      </c>
      <c r="AS742" s="51" t="n">
        <v>0</v>
      </c>
      <c r="AT742" s="48" t="n">
        <v>0</v>
      </c>
      <c r="AU742" s="49" t="n">
        <v>0</v>
      </c>
      <c r="AV742" s="49" t="n">
        <v>0</v>
      </c>
      <c r="AW742" s="50" t="n">
        <v>0</v>
      </c>
      <c r="AX742" s="51" t="n">
        <v>0</v>
      </c>
      <c r="AY742" s="52" t="n">
        <v>0</v>
      </c>
      <c r="AZ742" s="52" t="n">
        <v>0</v>
      </c>
      <c r="BA742" s="52" t="n">
        <v>0</v>
      </c>
      <c r="BB742" s="53" t="n">
        <v>0</v>
      </c>
      <c r="BC742" s="52" t="n">
        <v>0</v>
      </c>
      <c r="BD742" s="53" t="n">
        <v>0</v>
      </c>
      <c r="BE742" s="52" t="n">
        <v>0</v>
      </c>
      <c r="BF742" s="51" t="n">
        <v>0</v>
      </c>
    </row>
    <row r="743">
      <c r="A743">
        <f>HYPERLINK("https://www.walmart.com/ip/924821429", "924821429")</f>
        <v/>
      </c>
      <c r="B743" t="inlineStr">
        <is>
          <t>Sherpa Wearable Blanket with Sleeves Arms, Super Soft Warm Comfy Large Fleece Plush Sleeved TV Throws Wrap Robe Blanket for Adult Women and Men, Dot</t>
        </is>
      </c>
      <c r="C743" t="inlineStr">
        <is>
          <t>1CTSN110RDDOT</t>
        </is>
      </c>
      <c r="D743" t="inlineStr">
        <is>
          <t>Throws</t>
        </is>
      </c>
      <c r="E743" t="inlineStr">
        <is>
          <t>Catalonia</t>
        </is>
      </c>
      <c r="F743" t="inlineStr">
        <is>
          <t>Q2-Target,WFS,Coupon_Discount,WFS Item</t>
        </is>
      </c>
      <c r="G743" s="48" t="n">
        <v>0</v>
      </c>
      <c r="H743" s="49" t="n">
        <v>0</v>
      </c>
      <c r="I743" s="49" t="n">
        <v>0</v>
      </c>
      <c r="J743" s="50" t="n">
        <v>0</v>
      </c>
      <c r="K743" s="51" t="n">
        <v>0</v>
      </c>
      <c r="L743" s="52" t="n">
        <v>0</v>
      </c>
      <c r="M743" s="52" t="n">
        <v>0</v>
      </c>
      <c r="N743" s="52" t="n">
        <v>0</v>
      </c>
      <c r="O743" s="53" t="n">
        <v>0</v>
      </c>
      <c r="P743" s="52" t="n">
        <v>0</v>
      </c>
      <c r="Q743" s="53" t="n">
        <v>0</v>
      </c>
      <c r="R743" s="52" t="n">
        <v>0</v>
      </c>
      <c r="S743" s="51" t="n">
        <v>0</v>
      </c>
      <c r="T743" s="48" t="n">
        <v>0</v>
      </c>
      <c r="U743" s="49" t="n">
        <v>0</v>
      </c>
      <c r="V743" s="49" t="n">
        <v>0</v>
      </c>
      <c r="W743" s="50" t="n">
        <v>0</v>
      </c>
      <c r="X743" s="51" t="n">
        <v>0</v>
      </c>
      <c r="Y743" s="52" t="n">
        <v>0</v>
      </c>
      <c r="Z743" s="52" t="n">
        <v>0</v>
      </c>
      <c r="AA743" s="52" t="n">
        <v>0</v>
      </c>
      <c r="AB743" s="53" t="n">
        <v>0</v>
      </c>
      <c r="AC743" s="52" t="n">
        <v>0</v>
      </c>
      <c r="AD743" s="53" t="n">
        <v>0</v>
      </c>
      <c r="AE743" s="52" t="n">
        <v>0</v>
      </c>
      <c r="AF743" s="51" t="n">
        <v>0</v>
      </c>
      <c r="AG743" s="48" t="n">
        <v>0</v>
      </c>
      <c r="AH743" s="49" t="n">
        <v>0</v>
      </c>
      <c r="AI743" s="49" t="n">
        <v>0</v>
      </c>
      <c r="AJ743" s="50" t="n">
        <v>0</v>
      </c>
      <c r="AK743" s="51" t="n">
        <v>0</v>
      </c>
      <c r="AL743" s="52" t="n">
        <v>0</v>
      </c>
      <c r="AM743" s="52" t="n">
        <v>0</v>
      </c>
      <c r="AN743" s="52" t="n">
        <v>0</v>
      </c>
      <c r="AO743" s="53" t="n">
        <v>0</v>
      </c>
      <c r="AP743" s="52" t="n">
        <v>0</v>
      </c>
      <c r="AQ743" s="53" t="n">
        <v>0</v>
      </c>
      <c r="AR743" s="52" t="n">
        <v>0</v>
      </c>
      <c r="AS743" s="51" t="n">
        <v>0</v>
      </c>
      <c r="AT743" s="48" t="n">
        <v>0</v>
      </c>
      <c r="AU743" s="49" t="n">
        <v>0</v>
      </c>
      <c r="AV743" s="49" t="n">
        <v>0</v>
      </c>
      <c r="AW743" s="50" t="n">
        <v>0</v>
      </c>
      <c r="AX743" s="51" t="n">
        <v>0</v>
      </c>
      <c r="AY743" s="52" t="n">
        <v>0</v>
      </c>
      <c r="AZ743" s="52" t="n">
        <v>0</v>
      </c>
      <c r="BA743" s="52" t="n">
        <v>0</v>
      </c>
      <c r="BB743" s="53" t="n">
        <v>0</v>
      </c>
      <c r="BC743" s="52" t="n">
        <v>0</v>
      </c>
      <c r="BD743" s="53" t="n">
        <v>0</v>
      </c>
      <c r="BE743" s="52" t="n">
        <v>0</v>
      </c>
      <c r="BF743" s="51" t="n">
        <v>0</v>
      </c>
    </row>
    <row r="744">
      <c r="A744">
        <f>HYPERLINK("https://www.walmart.com/ip/924974660", "924974660")</f>
        <v/>
      </c>
      <c r="B744" t="inlineStr">
        <is>
          <t>Napa Women Bathrobe Kimono Waffle, Lightweight Luxurious Knee Length Long Sleeved, Gray</t>
        </is>
      </c>
      <c r="C744" t="inlineStr">
        <is>
          <t>R5030GY-01</t>
        </is>
      </c>
      <c r="D744" t="inlineStr">
        <is>
          <t>Sleepwear Robes &amp; Bathrobes</t>
        </is>
      </c>
      <c r="E744" t="inlineStr">
        <is>
          <t>NAPA</t>
        </is>
      </c>
      <c r="G744" s="48" t="n">
        <v>0</v>
      </c>
      <c r="H744" s="49" t="n">
        <v>0</v>
      </c>
      <c r="I744" s="49" t="n">
        <v>0</v>
      </c>
      <c r="J744" s="50" t="n">
        <v>0</v>
      </c>
      <c r="K744" s="51" t="n">
        <v>0</v>
      </c>
      <c r="L744" s="52" t="n">
        <v>0</v>
      </c>
      <c r="M744" s="52" t="n">
        <v>0</v>
      </c>
      <c r="N744" s="52" t="n">
        <v>0</v>
      </c>
      <c r="O744" s="53" t="n">
        <v>0</v>
      </c>
      <c r="P744" s="52" t="n">
        <v>0</v>
      </c>
      <c r="Q744" s="53" t="n">
        <v>0</v>
      </c>
      <c r="R744" s="52" t="n">
        <v>0</v>
      </c>
      <c r="S744" s="51" t="n">
        <v>0</v>
      </c>
      <c r="T744" s="48" t="n">
        <v>0</v>
      </c>
      <c r="U744" s="49" t="n">
        <v>0</v>
      </c>
      <c r="V744" s="49" t="n">
        <v>0</v>
      </c>
      <c r="W744" s="50" t="n">
        <v>0</v>
      </c>
      <c r="X744" s="51" t="n">
        <v>0</v>
      </c>
      <c r="Y744" s="52" t="n">
        <v>0</v>
      </c>
      <c r="Z744" s="52" t="n">
        <v>0</v>
      </c>
      <c r="AA744" s="52" t="n">
        <v>0</v>
      </c>
      <c r="AB744" s="53" t="n">
        <v>0</v>
      </c>
      <c r="AC744" s="52" t="n">
        <v>0</v>
      </c>
      <c r="AD744" s="53" t="n">
        <v>0</v>
      </c>
      <c r="AE744" s="52" t="n">
        <v>0</v>
      </c>
      <c r="AF744" s="51" t="n">
        <v>0</v>
      </c>
      <c r="AG744" s="48" t="n">
        <v>0</v>
      </c>
      <c r="AH744" s="49" t="n">
        <v>0</v>
      </c>
      <c r="AI744" s="49" t="n">
        <v>0</v>
      </c>
      <c r="AJ744" s="50" t="n">
        <v>0</v>
      </c>
      <c r="AK744" s="51" t="n">
        <v>0</v>
      </c>
      <c r="AL744" s="52" t="n">
        <v>0</v>
      </c>
      <c r="AM744" s="52" t="n">
        <v>0</v>
      </c>
      <c r="AN744" s="52" t="n">
        <v>0</v>
      </c>
      <c r="AO744" s="53" t="n">
        <v>0</v>
      </c>
      <c r="AP744" s="52" t="n">
        <v>0</v>
      </c>
      <c r="AQ744" s="53" t="n">
        <v>0</v>
      </c>
      <c r="AR744" s="52" t="n">
        <v>0</v>
      </c>
      <c r="AS744" s="51" t="n">
        <v>0</v>
      </c>
      <c r="AT744" s="48" t="n">
        <v>0</v>
      </c>
      <c r="AU744" s="49" t="n">
        <v>0</v>
      </c>
      <c r="AV744" s="49" t="n">
        <v>0</v>
      </c>
      <c r="AW744" s="50" t="n">
        <v>0</v>
      </c>
      <c r="AX744" s="51" t="n">
        <v>0</v>
      </c>
      <c r="AY744" s="52" t="n">
        <v>0</v>
      </c>
      <c r="AZ744" s="52" t="n">
        <v>0</v>
      </c>
      <c r="BA744" s="52" t="n">
        <v>0</v>
      </c>
      <c r="BB744" s="53" t="n">
        <v>0</v>
      </c>
      <c r="BC744" s="52" t="n">
        <v>0</v>
      </c>
      <c r="BD744" s="53" t="n">
        <v>0</v>
      </c>
      <c r="BE744" s="52" t="n">
        <v>0</v>
      </c>
      <c r="BF744" s="51" t="n">
        <v>0</v>
      </c>
    </row>
    <row r="745">
      <c r="A745">
        <f>HYPERLINK("https://www.walmart.com/ip/925603003", "925603003")</f>
        <v/>
      </c>
      <c r="B745" t="inlineStr">
        <is>
          <t>Mens Underwear Mens Boxer Briefs with Elastic Waistband Solid New Classic Fit, 3 Pack by Terra</t>
        </is>
      </c>
      <c r="C745" t="inlineStr">
        <is>
          <t>TERRA-BOXER3-L</t>
        </is>
      </c>
      <c r="D745" t="inlineStr">
        <is>
          <t>Underpants</t>
        </is>
      </c>
      <c r="E745" t="inlineStr">
        <is>
          <t>Terra</t>
        </is>
      </c>
      <c r="F745" t="inlineStr">
        <is>
          <t>Batch 1 - TR</t>
        </is>
      </c>
      <c r="G745" s="48" t="n">
        <v>0</v>
      </c>
      <c r="H745" s="49" t="n">
        <v>0</v>
      </c>
      <c r="I745" s="49" t="n">
        <v>0</v>
      </c>
      <c r="J745" s="50" t="n">
        <v>0</v>
      </c>
      <c r="K745" s="51" t="n">
        <v>0</v>
      </c>
      <c r="L745" s="52" t="n">
        <v>0</v>
      </c>
      <c r="M745" s="52" t="n">
        <v>0</v>
      </c>
      <c r="N745" s="52" t="n">
        <v>0</v>
      </c>
      <c r="O745" s="53" t="n">
        <v>0</v>
      </c>
      <c r="P745" s="52" t="n">
        <v>0</v>
      </c>
      <c r="Q745" s="53" t="n">
        <v>0</v>
      </c>
      <c r="R745" s="52" t="n">
        <v>0</v>
      </c>
      <c r="S745" s="51" t="n">
        <v>0</v>
      </c>
      <c r="T745" s="48" t="n">
        <v>0</v>
      </c>
      <c r="U745" s="49" t="n">
        <v>0</v>
      </c>
      <c r="V745" s="49" t="n">
        <v>0</v>
      </c>
      <c r="W745" s="50" t="n">
        <v>0</v>
      </c>
      <c r="X745" s="51" t="n">
        <v>0</v>
      </c>
      <c r="Y745" s="52" t="n">
        <v>0</v>
      </c>
      <c r="Z745" s="52" t="n">
        <v>0</v>
      </c>
      <c r="AA745" s="52" t="n">
        <v>0</v>
      </c>
      <c r="AB745" s="53" t="n">
        <v>0</v>
      </c>
      <c r="AC745" s="52" t="n">
        <v>0</v>
      </c>
      <c r="AD745" s="53" t="n">
        <v>0</v>
      </c>
      <c r="AE745" s="52" t="n">
        <v>0</v>
      </c>
      <c r="AF745" s="51" t="n">
        <v>0</v>
      </c>
      <c r="AG745" s="48" t="n">
        <v>0</v>
      </c>
      <c r="AH745" s="49" t="n">
        <v>0</v>
      </c>
      <c r="AI745" s="49" t="n">
        <v>0</v>
      </c>
      <c r="AJ745" s="50" t="n">
        <v>0</v>
      </c>
      <c r="AK745" s="51" t="n">
        <v>0</v>
      </c>
      <c r="AL745" s="52" t="n">
        <v>0</v>
      </c>
      <c r="AM745" s="52" t="n">
        <v>0</v>
      </c>
      <c r="AN745" s="52" t="n">
        <v>0</v>
      </c>
      <c r="AO745" s="53" t="n">
        <v>0</v>
      </c>
      <c r="AP745" s="52" t="n">
        <v>0</v>
      </c>
      <c r="AQ745" s="53" t="n">
        <v>0</v>
      </c>
      <c r="AR745" s="52" t="n">
        <v>0</v>
      </c>
      <c r="AS745" s="51" t="n">
        <v>0</v>
      </c>
      <c r="AT745" s="48" t="n">
        <v>0</v>
      </c>
      <c r="AU745" s="49" t="n">
        <v>0</v>
      </c>
      <c r="AV745" s="49" t="n">
        <v>0</v>
      </c>
      <c r="AW745" s="50" t="n">
        <v>0</v>
      </c>
      <c r="AX745" s="51" t="n">
        <v>0</v>
      </c>
      <c r="AY745" s="52" t="n">
        <v>0</v>
      </c>
      <c r="AZ745" s="52" t="n">
        <v>0</v>
      </c>
      <c r="BA745" s="52" t="n">
        <v>0</v>
      </c>
      <c r="BB745" s="53" t="n">
        <v>0</v>
      </c>
      <c r="BC745" s="52" t="n">
        <v>0</v>
      </c>
      <c r="BD745" s="53" t="n">
        <v>0</v>
      </c>
      <c r="BE745" s="52" t="n">
        <v>0</v>
      </c>
      <c r="BF745" s="51" t="n">
        <v>0</v>
      </c>
    </row>
    <row r="746">
      <c r="A746">
        <f>HYPERLINK("https://www.walmart.com/ip/926548023", "926548023")</f>
        <v/>
      </c>
      <c r="B746" t="inlineStr">
        <is>
          <t>100% Polar Fleece Skull Cap Warm and Cozy Beanie</t>
        </is>
      </c>
      <c r="C746" t="inlineStr">
        <is>
          <t>1SLW1810PK-FSCB</t>
        </is>
      </c>
      <c r="D746" t="inlineStr">
        <is>
          <t>Hats</t>
        </is>
      </c>
      <c r="E746" t="inlineStr">
        <is>
          <t>Solaris</t>
        </is>
      </c>
      <c r="F746" t="inlineStr">
        <is>
          <t>Batch 1 - TR</t>
        </is>
      </c>
      <c r="G746" s="48" t="n">
        <v>0</v>
      </c>
      <c r="H746" s="49" t="n">
        <v>0</v>
      </c>
      <c r="I746" s="49" t="n">
        <v>0</v>
      </c>
      <c r="J746" s="50" t="n">
        <v>0</v>
      </c>
      <c r="K746" s="51" t="n">
        <v>0</v>
      </c>
      <c r="L746" s="52" t="n">
        <v>0</v>
      </c>
      <c r="M746" s="52" t="n">
        <v>0</v>
      </c>
      <c r="N746" s="52" t="n">
        <v>0</v>
      </c>
      <c r="O746" s="53" t="n">
        <v>0</v>
      </c>
      <c r="P746" s="52" t="n">
        <v>0</v>
      </c>
      <c r="Q746" s="53" t="n">
        <v>0</v>
      </c>
      <c r="R746" s="52" t="n">
        <v>0</v>
      </c>
      <c r="S746" s="51" t="n">
        <v>0</v>
      </c>
      <c r="T746" s="48" t="n">
        <v>0</v>
      </c>
      <c r="U746" s="49" t="n">
        <v>0</v>
      </c>
      <c r="V746" s="49" t="n">
        <v>0</v>
      </c>
      <c r="W746" s="50" t="n">
        <v>0</v>
      </c>
      <c r="X746" s="51" t="n">
        <v>0</v>
      </c>
      <c r="Y746" s="52" t="n">
        <v>0</v>
      </c>
      <c r="Z746" s="52" t="n">
        <v>0</v>
      </c>
      <c r="AA746" s="52" t="n">
        <v>0</v>
      </c>
      <c r="AB746" s="53" t="n">
        <v>0</v>
      </c>
      <c r="AC746" s="52" t="n">
        <v>0</v>
      </c>
      <c r="AD746" s="53" t="n">
        <v>0</v>
      </c>
      <c r="AE746" s="52" t="n">
        <v>0</v>
      </c>
      <c r="AF746" s="51" t="n">
        <v>0</v>
      </c>
      <c r="AG746" s="48" t="n">
        <v>0</v>
      </c>
      <c r="AH746" s="49" t="n">
        <v>0</v>
      </c>
      <c r="AI746" s="49" t="n">
        <v>0</v>
      </c>
      <c r="AJ746" s="50" t="n">
        <v>0</v>
      </c>
      <c r="AK746" s="51" t="n">
        <v>0</v>
      </c>
      <c r="AL746" s="52" t="n">
        <v>0</v>
      </c>
      <c r="AM746" s="52" t="n">
        <v>0</v>
      </c>
      <c r="AN746" s="52" t="n">
        <v>0</v>
      </c>
      <c r="AO746" s="53" t="n">
        <v>0</v>
      </c>
      <c r="AP746" s="52" t="n">
        <v>0</v>
      </c>
      <c r="AQ746" s="53" t="n">
        <v>0</v>
      </c>
      <c r="AR746" s="52" t="n">
        <v>0</v>
      </c>
      <c r="AS746" s="51" t="n">
        <v>0</v>
      </c>
      <c r="AT746" s="48" t="n">
        <v>0</v>
      </c>
      <c r="AU746" s="49" t="n">
        <v>0</v>
      </c>
      <c r="AV746" s="49" t="n">
        <v>0</v>
      </c>
      <c r="AW746" s="50" t="n">
        <v>0</v>
      </c>
      <c r="AX746" s="51" t="n">
        <v>0</v>
      </c>
      <c r="AY746" s="52" t="n">
        <v>0</v>
      </c>
      <c r="AZ746" s="52" t="n">
        <v>0</v>
      </c>
      <c r="BA746" s="52" t="n">
        <v>0</v>
      </c>
      <c r="BB746" s="53" t="n">
        <v>0</v>
      </c>
      <c r="BC746" s="52" t="n">
        <v>0</v>
      </c>
      <c r="BD746" s="53" t="n">
        <v>0</v>
      </c>
      <c r="BE746" s="52" t="n">
        <v>0</v>
      </c>
      <c r="BF746" s="51" t="n">
        <v>0</v>
      </c>
    </row>
    <row r="747">
      <c r="A747">
        <f>HYPERLINK("https://www.walmart.com/ip/926611266", "926611266")</f>
        <v/>
      </c>
      <c r="B747" t="inlineStr">
        <is>
          <t>Flyingstar Wearable Blanket with Sleeves and Pocket, Fleece Micro Plush Throws Blanket, Robe for Women and Men 73” x 51” Navy</t>
        </is>
      </c>
      <c r="C747" t="inlineStr">
        <is>
          <t>1WMSN100NY</t>
        </is>
      </c>
      <c r="D747" t="inlineStr">
        <is>
          <t>Throws</t>
        </is>
      </c>
      <c r="E747" t="inlineStr">
        <is>
          <t>Flyingstar</t>
        </is>
      </c>
      <c r="F747" t="inlineStr">
        <is>
          <t>Optimized</t>
        </is>
      </c>
      <c r="G747" s="48" t="n">
        <v>0</v>
      </c>
      <c r="H747" s="49" t="n">
        <v>0</v>
      </c>
      <c r="I747" s="49" t="n">
        <v>0</v>
      </c>
      <c r="J747" s="50" t="n">
        <v>0</v>
      </c>
      <c r="K747" s="51" t="n">
        <v>0</v>
      </c>
      <c r="L747" s="52" t="n">
        <v>0</v>
      </c>
      <c r="M747" s="52" t="n">
        <v>0</v>
      </c>
      <c r="N747" s="52" t="n">
        <v>0</v>
      </c>
      <c r="O747" s="53" t="n">
        <v>0</v>
      </c>
      <c r="P747" s="52" t="n">
        <v>0</v>
      </c>
      <c r="Q747" s="53" t="n">
        <v>0</v>
      </c>
      <c r="R747" s="52" t="n">
        <v>0</v>
      </c>
      <c r="S747" s="51" t="n">
        <v>0</v>
      </c>
      <c r="T747" s="48" t="n">
        <v>0</v>
      </c>
      <c r="U747" s="49" t="n">
        <v>0</v>
      </c>
      <c r="V747" s="49" t="n">
        <v>0</v>
      </c>
      <c r="W747" s="50" t="n">
        <v>0</v>
      </c>
      <c r="X747" s="51" t="n">
        <v>0</v>
      </c>
      <c r="Y747" s="52" t="n">
        <v>0</v>
      </c>
      <c r="Z747" s="52" t="n">
        <v>0</v>
      </c>
      <c r="AA747" s="52" t="n">
        <v>0</v>
      </c>
      <c r="AB747" s="53" t="n">
        <v>0</v>
      </c>
      <c r="AC747" s="52" t="n">
        <v>0</v>
      </c>
      <c r="AD747" s="53" t="n">
        <v>0</v>
      </c>
      <c r="AE747" s="52" t="n">
        <v>0</v>
      </c>
      <c r="AF747" s="51" t="n">
        <v>0</v>
      </c>
      <c r="AG747" s="48" t="n">
        <v>0</v>
      </c>
      <c r="AH747" s="49" t="n">
        <v>0</v>
      </c>
      <c r="AI747" s="49" t="n">
        <v>0</v>
      </c>
      <c r="AJ747" s="50" t="n">
        <v>0</v>
      </c>
      <c r="AK747" s="51" t="n">
        <v>0</v>
      </c>
      <c r="AL747" s="52" t="n">
        <v>0</v>
      </c>
      <c r="AM747" s="52" t="n">
        <v>0</v>
      </c>
      <c r="AN747" s="52" t="n">
        <v>0</v>
      </c>
      <c r="AO747" s="53" t="n">
        <v>0</v>
      </c>
      <c r="AP747" s="52" t="n">
        <v>0</v>
      </c>
      <c r="AQ747" s="53" t="n">
        <v>0</v>
      </c>
      <c r="AR747" s="52" t="n">
        <v>0</v>
      </c>
      <c r="AS747" s="51" t="n">
        <v>0</v>
      </c>
      <c r="AT747" s="48" t="n">
        <v>0</v>
      </c>
      <c r="AU747" s="49" t="n">
        <v>0</v>
      </c>
      <c r="AV747" s="49" t="n">
        <v>0</v>
      </c>
      <c r="AW747" s="50" t="n">
        <v>0</v>
      </c>
      <c r="AX747" s="51" t="n">
        <v>0</v>
      </c>
      <c r="AY747" s="52" t="n">
        <v>0</v>
      </c>
      <c r="AZ747" s="52" t="n">
        <v>0</v>
      </c>
      <c r="BA747" s="52" t="n">
        <v>0</v>
      </c>
      <c r="BB747" s="53" t="n">
        <v>0</v>
      </c>
      <c r="BC747" s="52" t="n">
        <v>0</v>
      </c>
      <c r="BD747" s="53" t="n">
        <v>0</v>
      </c>
      <c r="BE747" s="52" t="n">
        <v>0</v>
      </c>
      <c r="BF747" s="51" t="n">
        <v>0</v>
      </c>
    </row>
    <row r="748">
      <c r="A748">
        <f>HYPERLINK("https://www.walmart.com/ip/926704972", "926704972")</f>
        <v/>
      </c>
      <c r="B748" t="inlineStr">
        <is>
          <t>Tirrinia Insulated 4 Bottle Wine Carrier Tote Cooler Bag for Travel Picnic Padded Champagne Glass Carrying Case Leather</t>
        </is>
      </c>
      <c r="C748" t="inlineStr">
        <is>
          <t>1WMWB421GN</t>
        </is>
      </c>
      <c r="D748" t="inlineStr">
        <is>
          <t>Wine Totes, Bags &amp; Backpacks</t>
        </is>
      </c>
      <c r="E748" t="inlineStr">
        <is>
          <t>Flyingstar</t>
        </is>
      </c>
      <c r="F748" t="inlineStr">
        <is>
          <t>Wine,Christmas,Optimized,Valentine</t>
        </is>
      </c>
      <c r="G748" s="48" t="n">
        <v>0</v>
      </c>
      <c r="H748" s="49" t="n">
        <v>0</v>
      </c>
      <c r="I748" s="49" t="n">
        <v>0</v>
      </c>
      <c r="J748" s="50" t="n">
        <v>0</v>
      </c>
      <c r="K748" s="51" t="n">
        <v>0</v>
      </c>
      <c r="L748" s="52" t="n">
        <v>0</v>
      </c>
      <c r="M748" s="52" t="n">
        <v>0</v>
      </c>
      <c r="N748" s="52" t="n">
        <v>0</v>
      </c>
      <c r="O748" s="53" t="n">
        <v>0</v>
      </c>
      <c r="P748" s="52" t="n">
        <v>0</v>
      </c>
      <c r="Q748" s="53" t="n">
        <v>0</v>
      </c>
      <c r="R748" s="52" t="n">
        <v>0</v>
      </c>
      <c r="S748" s="51" t="n">
        <v>0</v>
      </c>
      <c r="T748" s="48" t="n">
        <v>0</v>
      </c>
      <c r="U748" s="49" t="n">
        <v>0</v>
      </c>
      <c r="V748" s="49" t="n">
        <v>0</v>
      </c>
      <c r="W748" s="50" t="n">
        <v>0</v>
      </c>
      <c r="X748" s="51" t="n">
        <v>0</v>
      </c>
      <c r="Y748" s="52" t="n">
        <v>0</v>
      </c>
      <c r="Z748" s="52" t="n">
        <v>0</v>
      </c>
      <c r="AA748" s="52" t="n">
        <v>0</v>
      </c>
      <c r="AB748" s="53" t="n">
        <v>0</v>
      </c>
      <c r="AC748" s="52" t="n">
        <v>0</v>
      </c>
      <c r="AD748" s="53" t="n">
        <v>0</v>
      </c>
      <c r="AE748" s="52" t="n">
        <v>0</v>
      </c>
      <c r="AF748" s="51" t="n">
        <v>0</v>
      </c>
      <c r="AG748" s="48" t="n">
        <v>0</v>
      </c>
      <c r="AH748" s="49" t="n">
        <v>0</v>
      </c>
      <c r="AI748" s="49" t="n">
        <v>0</v>
      </c>
      <c r="AJ748" s="50" t="n">
        <v>0</v>
      </c>
      <c r="AK748" s="51" t="n">
        <v>0</v>
      </c>
      <c r="AL748" s="52" t="n">
        <v>0</v>
      </c>
      <c r="AM748" s="52" t="n">
        <v>0</v>
      </c>
      <c r="AN748" s="52" t="n">
        <v>0</v>
      </c>
      <c r="AO748" s="53" t="n">
        <v>0</v>
      </c>
      <c r="AP748" s="52" t="n">
        <v>0</v>
      </c>
      <c r="AQ748" s="53" t="n">
        <v>0</v>
      </c>
      <c r="AR748" s="52" t="n">
        <v>0</v>
      </c>
      <c r="AS748" s="51" t="n">
        <v>0</v>
      </c>
      <c r="AT748" s="48" t="n">
        <v>0</v>
      </c>
      <c r="AU748" s="49" t="n">
        <v>0</v>
      </c>
      <c r="AV748" s="49" t="n">
        <v>0</v>
      </c>
      <c r="AW748" s="50" t="n">
        <v>0</v>
      </c>
      <c r="AX748" s="51" t="n">
        <v>0</v>
      </c>
      <c r="AY748" s="52" t="n">
        <v>0</v>
      </c>
      <c r="AZ748" s="52" t="n">
        <v>0</v>
      </c>
      <c r="BA748" s="52" t="n">
        <v>0</v>
      </c>
      <c r="BB748" s="53" t="n">
        <v>0</v>
      </c>
      <c r="BC748" s="52" t="n">
        <v>0</v>
      </c>
      <c r="BD748" s="53" t="n">
        <v>0</v>
      </c>
      <c r="BE748" s="52" t="n">
        <v>0</v>
      </c>
      <c r="BF748" s="51" t="n">
        <v>0</v>
      </c>
    </row>
    <row r="749">
      <c r="A749">
        <f>HYPERLINK("https://www.walmart.com/ip/927000910", "927000910")</f>
        <v/>
      </c>
      <c r="B749" t="inlineStr">
        <is>
          <t>Pawsse Waterproof Pet Blanket, Pee Urine Proof Dog Blanket Cover for Couch Bed Furniture Protector, Liquid Proof Blanket for Small Medium Dogs, Buffale Red/Tuape, 50” x 30”.</t>
        </is>
      </c>
      <c r="C749" t="inlineStr">
        <is>
          <t>1PSBW561TPTP</t>
        </is>
      </c>
      <c r="D749" t="inlineStr">
        <is>
          <t>Pet Blankets</t>
        </is>
      </c>
      <c r="E749" t="inlineStr">
        <is>
          <t>Pawsse</t>
        </is>
      </c>
      <c r="F749" t="inlineStr">
        <is>
          <t>Fleece Blankets,Batch 1 - TR</t>
        </is>
      </c>
      <c r="G749" s="48" t="n">
        <v>0</v>
      </c>
      <c r="H749" s="49" t="n">
        <v>0</v>
      </c>
      <c r="I749" s="49" t="n">
        <v>0</v>
      </c>
      <c r="J749" s="50" t="n">
        <v>0</v>
      </c>
      <c r="K749" s="51" t="n">
        <v>1</v>
      </c>
      <c r="L749" s="52" t="n">
        <v>0.31</v>
      </c>
      <c r="M749" s="52" t="n">
        <v>0</v>
      </c>
      <c r="N749" s="52" t="n">
        <v>0</v>
      </c>
      <c r="O749" s="53" t="n">
        <v>0.0028</v>
      </c>
      <c r="P749" s="52" t="n">
        <v>0.31</v>
      </c>
      <c r="Q749" s="53" t="n">
        <v>0</v>
      </c>
      <c r="R749" s="52" t="n">
        <v>0</v>
      </c>
      <c r="S749" s="51" t="n">
        <v>352</v>
      </c>
      <c r="T749" s="48" t="n">
        <v>0</v>
      </c>
      <c r="U749" s="49" t="n">
        <v>0</v>
      </c>
      <c r="V749" s="49" t="n">
        <v>0</v>
      </c>
      <c r="W749" s="50" t="n">
        <v>0</v>
      </c>
      <c r="X749" s="51" t="n">
        <v>0</v>
      </c>
      <c r="Y749" s="52" t="n">
        <v>0</v>
      </c>
      <c r="Z749" s="52" t="n">
        <v>0</v>
      </c>
      <c r="AA749" s="52" t="n">
        <v>0</v>
      </c>
      <c r="AB749" s="53" t="n">
        <v>0</v>
      </c>
      <c r="AC749" s="52" t="n">
        <v>0</v>
      </c>
      <c r="AD749" s="53" t="n">
        <v>0</v>
      </c>
      <c r="AE749" s="52" t="n">
        <v>0</v>
      </c>
      <c r="AF749" s="51" t="n">
        <v>0</v>
      </c>
      <c r="AG749" s="48" t="n">
        <v>0</v>
      </c>
      <c r="AH749" s="49" t="n">
        <v>0</v>
      </c>
      <c r="AI749" s="49" t="n">
        <v>0</v>
      </c>
      <c r="AJ749" s="50" t="n">
        <v>0</v>
      </c>
      <c r="AK749" s="51" t="n">
        <v>0</v>
      </c>
      <c r="AL749" s="52" t="n">
        <v>0</v>
      </c>
      <c r="AM749" s="52" t="n">
        <v>0</v>
      </c>
      <c r="AN749" s="52" t="n">
        <v>0</v>
      </c>
      <c r="AO749" s="53" t="n">
        <v>0</v>
      </c>
      <c r="AP749" s="52" t="n">
        <v>0</v>
      </c>
      <c r="AQ749" s="53" t="n">
        <v>0</v>
      </c>
      <c r="AR749" s="52" t="n">
        <v>0</v>
      </c>
      <c r="AS749" s="51" t="n">
        <v>0</v>
      </c>
      <c r="AT749" s="48" t="n">
        <v>0</v>
      </c>
      <c r="AU749" s="49" t="n">
        <v>0</v>
      </c>
      <c r="AV749" s="49" t="n">
        <v>0</v>
      </c>
      <c r="AW749" s="50" t="n">
        <v>0</v>
      </c>
      <c r="AX749" s="51" t="n">
        <v>0</v>
      </c>
      <c r="AY749" s="52" t="n">
        <v>0</v>
      </c>
      <c r="AZ749" s="52" t="n">
        <v>0</v>
      </c>
      <c r="BA749" s="52" t="n">
        <v>0</v>
      </c>
      <c r="BB749" s="53" t="n">
        <v>0</v>
      </c>
      <c r="BC749" s="52" t="n">
        <v>0</v>
      </c>
      <c r="BD749" s="53" t="n">
        <v>0</v>
      </c>
      <c r="BE749" s="52" t="n">
        <v>0</v>
      </c>
      <c r="BF749" s="51" t="n">
        <v>0</v>
      </c>
    </row>
    <row r="750">
      <c r="A750">
        <f>HYPERLINK("https://www.walmart.com/ip/929491612", "929491612")</f>
        <v/>
      </c>
      <c r="B750" t="inlineStr">
        <is>
          <t>Tirrinia Women's Halter Tankini Set, Two-Piece Padded Women's Swimsuit, Black, Large</t>
        </is>
      </c>
      <c r="C750" t="inlineStr">
        <is>
          <t>1TRSS006BKWH-L</t>
        </is>
      </c>
      <c r="D750" t="inlineStr">
        <is>
          <t>Swimsuit Sets</t>
        </is>
      </c>
      <c r="E750" t="inlineStr">
        <is>
          <t>Tirrinia</t>
        </is>
      </c>
      <c r="F750" t="inlineStr">
        <is>
          <t>Optimized,WFS,Valentine,WFS Item</t>
        </is>
      </c>
      <c r="G750" s="48" t="n">
        <v>0</v>
      </c>
      <c r="H750" s="49" t="n">
        <v>0</v>
      </c>
      <c r="I750" s="49" t="n">
        <v>0</v>
      </c>
      <c r="J750" s="50" t="n">
        <v>0</v>
      </c>
      <c r="K750" s="51" t="n">
        <v>0</v>
      </c>
      <c r="L750" s="52" t="n">
        <v>0</v>
      </c>
      <c r="M750" s="52" t="n">
        <v>0</v>
      </c>
      <c r="N750" s="52" t="n">
        <v>0</v>
      </c>
      <c r="O750" s="53" t="n">
        <v>0</v>
      </c>
      <c r="P750" s="52" t="n">
        <v>0</v>
      </c>
      <c r="Q750" s="53" t="n">
        <v>0</v>
      </c>
      <c r="R750" s="52" t="n">
        <v>0</v>
      </c>
      <c r="S750" s="51" t="n">
        <v>0</v>
      </c>
      <c r="T750" s="48" t="n">
        <v>0</v>
      </c>
      <c r="U750" s="49" t="n">
        <v>0</v>
      </c>
      <c r="V750" s="49" t="n">
        <v>0</v>
      </c>
      <c r="W750" s="50" t="n">
        <v>0</v>
      </c>
      <c r="X750" s="51" t="n">
        <v>0</v>
      </c>
      <c r="Y750" s="52" t="n">
        <v>0</v>
      </c>
      <c r="Z750" s="52" t="n">
        <v>0</v>
      </c>
      <c r="AA750" s="52" t="n">
        <v>0</v>
      </c>
      <c r="AB750" s="53" t="n">
        <v>0</v>
      </c>
      <c r="AC750" s="52" t="n">
        <v>0</v>
      </c>
      <c r="AD750" s="53" t="n">
        <v>0</v>
      </c>
      <c r="AE750" s="52" t="n">
        <v>0</v>
      </c>
      <c r="AF750" s="51" t="n">
        <v>0</v>
      </c>
      <c r="AG750" s="48" t="n">
        <v>0</v>
      </c>
      <c r="AH750" s="49" t="n">
        <v>0</v>
      </c>
      <c r="AI750" s="49" t="n">
        <v>0</v>
      </c>
      <c r="AJ750" s="50" t="n">
        <v>0</v>
      </c>
      <c r="AK750" s="51" t="n">
        <v>0</v>
      </c>
      <c r="AL750" s="52" t="n">
        <v>0</v>
      </c>
      <c r="AM750" s="52" t="n">
        <v>0</v>
      </c>
      <c r="AN750" s="52" t="n">
        <v>0</v>
      </c>
      <c r="AO750" s="53" t="n">
        <v>0</v>
      </c>
      <c r="AP750" s="52" t="n">
        <v>0</v>
      </c>
      <c r="AQ750" s="53" t="n">
        <v>0</v>
      </c>
      <c r="AR750" s="52" t="n">
        <v>0</v>
      </c>
      <c r="AS750" s="51" t="n">
        <v>0</v>
      </c>
      <c r="AT750" s="48" t="n">
        <v>0</v>
      </c>
      <c r="AU750" s="49" t="n">
        <v>0</v>
      </c>
      <c r="AV750" s="49" t="n">
        <v>0</v>
      </c>
      <c r="AW750" s="50" t="n">
        <v>0</v>
      </c>
      <c r="AX750" s="51" t="n">
        <v>0</v>
      </c>
      <c r="AY750" s="52" t="n">
        <v>0</v>
      </c>
      <c r="AZ750" s="52" t="n">
        <v>0</v>
      </c>
      <c r="BA750" s="52" t="n">
        <v>0</v>
      </c>
      <c r="BB750" s="53" t="n">
        <v>0</v>
      </c>
      <c r="BC750" s="52" t="n">
        <v>0</v>
      </c>
      <c r="BD750" s="53" t="n">
        <v>0</v>
      </c>
      <c r="BE750" s="52" t="n">
        <v>0</v>
      </c>
      <c r="BF750" s="51" t="n">
        <v>0</v>
      </c>
    </row>
    <row r="751">
      <c r="A751">
        <f>HYPERLINK("https://www.walmart.com/ip/929728542", "929728542")</f>
        <v/>
      </c>
      <c r="B751" t="inlineStr">
        <is>
          <t>Tirrinia 6 Bottle Insulated Wine Carrier Bag Best Large Travel Cooler Totes with Detachable Divider and Adjustable Strap</t>
        </is>
      </c>
      <c r="C751" t="inlineStr">
        <is>
          <t>1TRWB620BL</t>
        </is>
      </c>
      <c r="D751" t="inlineStr">
        <is>
          <t>Wine Totes, Bags &amp; Backpacks</t>
        </is>
      </c>
      <c r="E751" t="inlineStr">
        <is>
          <t>Tirrinia</t>
        </is>
      </c>
      <c r="F751" t="inlineStr">
        <is>
          <t>Wine,Christmas,WFS,Valentine,SEM,WFS Item,Lily Brand Camp</t>
        </is>
      </c>
      <c r="G751" s="48" t="n">
        <v>0</v>
      </c>
      <c r="H751" s="49" t="n">
        <v>0</v>
      </c>
      <c r="I751" s="49" t="n">
        <v>0</v>
      </c>
      <c r="J751" s="50" t="n">
        <v>0</v>
      </c>
      <c r="K751" s="51" t="n">
        <v>0</v>
      </c>
      <c r="L751" s="52" t="n">
        <v>0</v>
      </c>
      <c r="M751" s="52" t="n">
        <v>0</v>
      </c>
      <c r="N751" s="52" t="n">
        <v>0</v>
      </c>
      <c r="O751" s="53" t="n">
        <v>0</v>
      </c>
      <c r="P751" s="52" t="n">
        <v>0</v>
      </c>
      <c r="Q751" s="53" t="n">
        <v>0</v>
      </c>
      <c r="R751" s="52" t="n">
        <v>0</v>
      </c>
      <c r="S751" s="51" t="n">
        <v>2</v>
      </c>
      <c r="T751" s="48" t="n">
        <v>0</v>
      </c>
      <c r="U751" s="49" t="n">
        <v>0</v>
      </c>
      <c r="V751" s="49" t="n">
        <v>0</v>
      </c>
      <c r="W751" s="50" t="n">
        <v>0</v>
      </c>
      <c r="X751" s="51" t="n">
        <v>0</v>
      </c>
      <c r="Y751" s="52" t="n">
        <v>0</v>
      </c>
      <c r="Z751" s="52" t="n">
        <v>0</v>
      </c>
      <c r="AA751" s="52" t="n">
        <v>0</v>
      </c>
      <c r="AB751" s="53" t="n">
        <v>0</v>
      </c>
      <c r="AC751" s="52" t="n">
        <v>0</v>
      </c>
      <c r="AD751" s="53" t="n">
        <v>0</v>
      </c>
      <c r="AE751" s="52" t="n">
        <v>0</v>
      </c>
      <c r="AF751" s="51" t="n">
        <v>0</v>
      </c>
      <c r="AG751" s="48" t="n">
        <v>0</v>
      </c>
      <c r="AH751" s="49" t="n">
        <v>0</v>
      </c>
      <c r="AI751" s="49" t="n">
        <v>0</v>
      </c>
      <c r="AJ751" s="50" t="n">
        <v>0</v>
      </c>
      <c r="AK751" s="51" t="n">
        <v>0</v>
      </c>
      <c r="AL751" s="52" t="n">
        <v>0</v>
      </c>
      <c r="AM751" s="52" t="n">
        <v>0</v>
      </c>
      <c r="AN751" s="52" t="n">
        <v>0</v>
      </c>
      <c r="AO751" s="53" t="n">
        <v>0</v>
      </c>
      <c r="AP751" s="52" t="n">
        <v>0</v>
      </c>
      <c r="AQ751" s="53" t="n">
        <v>0</v>
      </c>
      <c r="AR751" s="52" t="n">
        <v>0</v>
      </c>
      <c r="AS751" s="51" t="n">
        <v>0</v>
      </c>
      <c r="AT751" s="48" t="n">
        <v>0</v>
      </c>
      <c r="AU751" s="49" t="n">
        <v>0</v>
      </c>
      <c r="AV751" s="49" t="n">
        <v>0</v>
      </c>
      <c r="AW751" s="50" t="n">
        <v>0</v>
      </c>
      <c r="AX751" s="51" t="n">
        <v>0</v>
      </c>
      <c r="AY751" s="52" t="n">
        <v>0</v>
      </c>
      <c r="AZ751" s="52" t="n">
        <v>0</v>
      </c>
      <c r="BA751" s="52" t="n">
        <v>0</v>
      </c>
      <c r="BB751" s="53" t="n">
        <v>0</v>
      </c>
      <c r="BC751" s="52" t="n">
        <v>0</v>
      </c>
      <c r="BD751" s="53" t="n">
        <v>0</v>
      </c>
      <c r="BE751" s="52" t="n">
        <v>0</v>
      </c>
      <c r="BF751" s="51" t="n">
        <v>0</v>
      </c>
    </row>
    <row r="752">
      <c r="A752">
        <f>HYPERLINK("https://www.walmart.com/ip/929778416", "929778416")</f>
        <v/>
      </c>
      <c r="B752" t="inlineStr">
        <is>
          <t>Solaris Kids' Reflective Running Beanie, Warm, Thick Winter Knit Skull Beanie for Men and Women, Enhanced Safety for Walking at Night</t>
        </is>
      </c>
      <c r="C752" t="inlineStr">
        <is>
          <t>1SLBN01BK-FSCB</t>
        </is>
      </c>
      <c r="D752" t="inlineStr">
        <is>
          <t>Hats</t>
        </is>
      </c>
      <c r="E752" t="inlineStr">
        <is>
          <t>Solaris</t>
        </is>
      </c>
      <c r="F752" t="inlineStr">
        <is>
          <t>Q2-Target,Optimized</t>
        </is>
      </c>
      <c r="G752" s="48" t="n">
        <v>0</v>
      </c>
      <c r="H752" s="49" t="n">
        <v>0</v>
      </c>
      <c r="I752" s="49" t="n">
        <v>0</v>
      </c>
      <c r="J752" s="50" t="n">
        <v>0</v>
      </c>
      <c r="K752" s="51" t="n">
        <v>0</v>
      </c>
      <c r="L752" s="52" t="n">
        <v>0</v>
      </c>
      <c r="M752" s="52" t="n">
        <v>0</v>
      </c>
      <c r="N752" s="52" t="n">
        <v>0</v>
      </c>
      <c r="O752" s="53" t="n">
        <v>0</v>
      </c>
      <c r="P752" s="52" t="n">
        <v>0</v>
      </c>
      <c r="Q752" s="53" t="n">
        <v>0</v>
      </c>
      <c r="R752" s="52" t="n">
        <v>0</v>
      </c>
      <c r="S752" s="51" t="n">
        <v>0</v>
      </c>
      <c r="T752" s="48" t="n">
        <v>0</v>
      </c>
      <c r="U752" s="49" t="n">
        <v>0</v>
      </c>
      <c r="V752" s="49" t="n">
        <v>0</v>
      </c>
      <c r="W752" s="50" t="n">
        <v>0</v>
      </c>
      <c r="X752" s="51" t="n">
        <v>0</v>
      </c>
      <c r="Y752" s="52" t="n">
        <v>0</v>
      </c>
      <c r="Z752" s="52" t="n">
        <v>0</v>
      </c>
      <c r="AA752" s="52" t="n">
        <v>0</v>
      </c>
      <c r="AB752" s="53" t="n">
        <v>0</v>
      </c>
      <c r="AC752" s="52" t="n">
        <v>0</v>
      </c>
      <c r="AD752" s="53" t="n">
        <v>0</v>
      </c>
      <c r="AE752" s="52" t="n">
        <v>0</v>
      </c>
      <c r="AF752" s="51" t="n">
        <v>0</v>
      </c>
      <c r="AG752" s="48" t="n">
        <v>0</v>
      </c>
      <c r="AH752" s="49" t="n">
        <v>0</v>
      </c>
      <c r="AI752" s="49" t="n">
        <v>0</v>
      </c>
      <c r="AJ752" s="50" t="n">
        <v>0</v>
      </c>
      <c r="AK752" s="51" t="n">
        <v>0</v>
      </c>
      <c r="AL752" s="52" t="n">
        <v>0</v>
      </c>
      <c r="AM752" s="52" t="n">
        <v>0</v>
      </c>
      <c r="AN752" s="52" t="n">
        <v>0</v>
      </c>
      <c r="AO752" s="53" t="n">
        <v>0</v>
      </c>
      <c r="AP752" s="52" t="n">
        <v>0</v>
      </c>
      <c r="AQ752" s="53" t="n">
        <v>0</v>
      </c>
      <c r="AR752" s="52" t="n">
        <v>0</v>
      </c>
      <c r="AS752" s="51" t="n">
        <v>0</v>
      </c>
      <c r="AT752" s="48" t="n">
        <v>0</v>
      </c>
      <c r="AU752" s="49" t="n">
        <v>0</v>
      </c>
      <c r="AV752" s="49" t="n">
        <v>0</v>
      </c>
      <c r="AW752" s="50" t="n">
        <v>0</v>
      </c>
      <c r="AX752" s="51" t="n">
        <v>0</v>
      </c>
      <c r="AY752" s="52" t="n">
        <v>0</v>
      </c>
      <c r="AZ752" s="52" t="n">
        <v>0</v>
      </c>
      <c r="BA752" s="52" t="n">
        <v>0</v>
      </c>
      <c r="BB752" s="53" t="n">
        <v>0</v>
      </c>
      <c r="BC752" s="52" t="n">
        <v>0</v>
      </c>
      <c r="BD752" s="53" t="n">
        <v>0</v>
      </c>
      <c r="BE752" s="52" t="n">
        <v>0</v>
      </c>
      <c r="BF752" s="51" t="n">
        <v>0</v>
      </c>
    </row>
    <row r="753">
      <c r="A753">
        <f>HYPERLINK("https://www.walmart.com/ip/930143256", "930143256")</f>
        <v/>
      </c>
      <c r="B753" t="inlineStr">
        <is>
          <t>Sherpa Slipper Socks for Women,Winter Indoor Home Non Skid Booties</t>
        </is>
      </c>
      <c r="C753" t="inlineStr">
        <is>
          <t>1CTST200GY-1</t>
        </is>
      </c>
      <c r="D753" t="inlineStr">
        <is>
          <t>Socks</t>
        </is>
      </c>
      <c r="E753" t="inlineStr">
        <is>
          <t>Catalonia</t>
        </is>
      </c>
      <c r="F753" t="inlineStr">
        <is>
          <t>WFS,WFS Item</t>
        </is>
      </c>
      <c r="G753" s="48" t="n">
        <v>0</v>
      </c>
      <c r="H753" s="49" t="n">
        <v>0</v>
      </c>
      <c r="I753" s="49" t="n">
        <v>0</v>
      </c>
      <c r="J753" s="50" t="n">
        <v>0</v>
      </c>
      <c r="K753" s="51" t="n">
        <v>0</v>
      </c>
      <c r="L753" s="52" t="n">
        <v>0</v>
      </c>
      <c r="M753" s="52" t="n">
        <v>0</v>
      </c>
      <c r="N753" s="52" t="n">
        <v>0</v>
      </c>
      <c r="O753" s="53" t="n">
        <v>0</v>
      </c>
      <c r="P753" s="52" t="n">
        <v>0</v>
      </c>
      <c r="Q753" s="53" t="n">
        <v>0</v>
      </c>
      <c r="R753" s="52" t="n">
        <v>0</v>
      </c>
      <c r="S753" s="51" t="n">
        <v>0</v>
      </c>
      <c r="T753" s="48" t="n">
        <v>0</v>
      </c>
      <c r="U753" s="49" t="n">
        <v>0</v>
      </c>
      <c r="V753" s="49" t="n">
        <v>0</v>
      </c>
      <c r="W753" s="50" t="n">
        <v>0</v>
      </c>
      <c r="X753" s="51" t="n">
        <v>0</v>
      </c>
      <c r="Y753" s="52" t="n">
        <v>0</v>
      </c>
      <c r="Z753" s="52" t="n">
        <v>0</v>
      </c>
      <c r="AA753" s="52" t="n">
        <v>0</v>
      </c>
      <c r="AB753" s="53" t="n">
        <v>0</v>
      </c>
      <c r="AC753" s="52" t="n">
        <v>0</v>
      </c>
      <c r="AD753" s="53" t="n">
        <v>0</v>
      </c>
      <c r="AE753" s="52" t="n">
        <v>0</v>
      </c>
      <c r="AF753" s="51" t="n">
        <v>0</v>
      </c>
      <c r="AG753" s="48" t="n">
        <v>0</v>
      </c>
      <c r="AH753" s="49" t="n">
        <v>0</v>
      </c>
      <c r="AI753" s="49" t="n">
        <v>0</v>
      </c>
      <c r="AJ753" s="50" t="n">
        <v>0</v>
      </c>
      <c r="AK753" s="51" t="n">
        <v>0</v>
      </c>
      <c r="AL753" s="52" t="n">
        <v>0</v>
      </c>
      <c r="AM753" s="52" t="n">
        <v>0</v>
      </c>
      <c r="AN753" s="52" t="n">
        <v>0</v>
      </c>
      <c r="AO753" s="53" t="n">
        <v>0</v>
      </c>
      <c r="AP753" s="52" t="n">
        <v>0</v>
      </c>
      <c r="AQ753" s="53" t="n">
        <v>0</v>
      </c>
      <c r="AR753" s="52" t="n">
        <v>0</v>
      </c>
      <c r="AS753" s="51" t="n">
        <v>0</v>
      </c>
      <c r="AT753" s="48" t="n">
        <v>0</v>
      </c>
      <c r="AU753" s="49" t="n">
        <v>0</v>
      </c>
      <c r="AV753" s="49" t="n">
        <v>0</v>
      </c>
      <c r="AW753" s="50" t="n">
        <v>0</v>
      </c>
      <c r="AX753" s="51" t="n">
        <v>0</v>
      </c>
      <c r="AY753" s="52" t="n">
        <v>0</v>
      </c>
      <c r="AZ753" s="52" t="n">
        <v>0</v>
      </c>
      <c r="BA753" s="52" t="n">
        <v>0</v>
      </c>
      <c r="BB753" s="53" t="n">
        <v>0</v>
      </c>
      <c r="BC753" s="52" t="n">
        <v>0</v>
      </c>
      <c r="BD753" s="53" t="n">
        <v>0</v>
      </c>
      <c r="BE753" s="52" t="n">
        <v>0</v>
      </c>
      <c r="BF753" s="51" t="n">
        <v>0</v>
      </c>
    </row>
    <row r="754">
      <c r="A754">
        <f>HYPERLINK("https://www.walmart.com/ip/930481180", "930481180")</f>
        <v/>
      </c>
      <c r="B754" t="inlineStr">
        <is>
          <t>Multifunctional Baby Diaper Bag Backpack Mommy Bag Mummy Changing Bag Waterproof (US SHIP)</t>
        </is>
      </c>
      <c r="C754" t="inlineStr">
        <is>
          <t>TRBP100GY</t>
        </is>
      </c>
      <c r="D754" t="inlineStr">
        <is>
          <t>Diaper Bags</t>
        </is>
      </c>
      <c r="E754" t="inlineStr">
        <is>
          <t>Terrania</t>
        </is>
      </c>
      <c r="F754" t="inlineStr">
        <is>
          <t>Baby days,Optimized</t>
        </is>
      </c>
      <c r="G754" s="48" t="n">
        <v>0</v>
      </c>
      <c r="H754" s="49" t="n">
        <v>0</v>
      </c>
      <c r="I754" s="49" t="n">
        <v>0</v>
      </c>
      <c r="J754" s="50" t="n">
        <v>0</v>
      </c>
      <c r="K754" s="51" t="n">
        <v>0</v>
      </c>
      <c r="L754" s="52" t="n">
        <v>0</v>
      </c>
      <c r="M754" s="52" t="n">
        <v>0</v>
      </c>
      <c r="N754" s="52" t="n">
        <v>0</v>
      </c>
      <c r="O754" s="53" t="n">
        <v>0</v>
      </c>
      <c r="P754" s="52" t="n">
        <v>0</v>
      </c>
      <c r="Q754" s="53" t="n">
        <v>0</v>
      </c>
      <c r="R754" s="52" t="n">
        <v>0</v>
      </c>
      <c r="S754" s="51" t="n">
        <v>0</v>
      </c>
      <c r="T754" s="48" t="n">
        <v>23.99</v>
      </c>
      <c r="U754" s="49" t="n">
        <v>1</v>
      </c>
      <c r="V754" s="49" t="n">
        <v>0</v>
      </c>
      <c r="W754" s="50" t="n">
        <v>0</v>
      </c>
      <c r="X754" s="51" t="n">
        <v>0</v>
      </c>
      <c r="Y754" s="52" t="n">
        <v>0</v>
      </c>
      <c r="Z754" s="52" t="n">
        <v>0</v>
      </c>
      <c r="AA754" s="52" t="n">
        <v>0</v>
      </c>
      <c r="AB754" s="53" t="n">
        <v>0</v>
      </c>
      <c r="AC754" s="52" t="n">
        <v>0</v>
      </c>
      <c r="AD754" s="53" t="n">
        <v>0</v>
      </c>
      <c r="AE754" s="52" t="n">
        <v>23.99</v>
      </c>
      <c r="AF754" s="51" t="n">
        <v>0</v>
      </c>
      <c r="AG754" s="48" t="n">
        <v>0</v>
      </c>
      <c r="AH754" s="49" t="n">
        <v>0</v>
      </c>
      <c r="AI754" s="49" t="n">
        <v>0</v>
      </c>
      <c r="AJ754" s="50" t="n">
        <v>0</v>
      </c>
      <c r="AK754" s="51" t="n">
        <v>0</v>
      </c>
      <c r="AL754" s="52" t="n">
        <v>0</v>
      </c>
      <c r="AM754" s="52" t="n">
        <v>0</v>
      </c>
      <c r="AN754" s="52" t="n">
        <v>0</v>
      </c>
      <c r="AO754" s="53" t="n">
        <v>0</v>
      </c>
      <c r="AP754" s="52" t="n">
        <v>0</v>
      </c>
      <c r="AQ754" s="53" t="n">
        <v>0</v>
      </c>
      <c r="AR754" s="52" t="n">
        <v>0</v>
      </c>
      <c r="AS754" s="51" t="n">
        <v>0</v>
      </c>
      <c r="AT754" s="48" t="n">
        <v>0</v>
      </c>
      <c r="AU754" s="49" t="n">
        <v>0</v>
      </c>
      <c r="AV754" s="49" t="n">
        <v>0</v>
      </c>
      <c r="AW754" s="50" t="n">
        <v>0</v>
      </c>
      <c r="AX754" s="51" t="n">
        <v>0</v>
      </c>
      <c r="AY754" s="52" t="n">
        <v>0</v>
      </c>
      <c r="AZ754" s="52" t="n">
        <v>0</v>
      </c>
      <c r="BA754" s="52" t="n">
        <v>0</v>
      </c>
      <c r="BB754" s="53" t="n">
        <v>0</v>
      </c>
      <c r="BC754" s="52" t="n">
        <v>0</v>
      </c>
      <c r="BD754" s="53" t="n">
        <v>0</v>
      </c>
      <c r="BE754" s="52" t="n">
        <v>0</v>
      </c>
      <c r="BF754" s="51" t="n">
        <v>0</v>
      </c>
    </row>
    <row r="755">
      <c r="A755">
        <f>HYPERLINK("https://www.walmart.com/ip/923133612", "923133612")</f>
        <v/>
      </c>
      <c r="B755" t="inlineStr">
        <is>
          <t>Vina Electric Gravity Salt Pepper Grinder Set, Adjustable Grinding Coarseness Automatic Shaker Mills with Ceramic Core, Free Garlic Roller Included, Pack of 2, Black</t>
        </is>
      </c>
      <c r="C755" t="inlineStr">
        <is>
          <t>VINASPEG521-BK2PK</t>
        </is>
      </c>
      <c r="D755" t="inlineStr">
        <is>
          <t>Salt &amp; Pepper Mills</t>
        </is>
      </c>
      <c r="E755" t="inlineStr">
        <is>
          <t>Vina</t>
        </is>
      </c>
      <c r="F755" t="inlineStr">
        <is>
          <t>WFS,WFS Item</t>
        </is>
      </c>
      <c r="G755" s="48" t="n">
        <v>0</v>
      </c>
      <c r="H755" s="49" t="n">
        <v>0</v>
      </c>
      <c r="I755" s="49" t="n">
        <v>0</v>
      </c>
      <c r="J755" s="50" t="n">
        <v>0</v>
      </c>
      <c r="K755" s="51" t="n">
        <v>0</v>
      </c>
      <c r="L755" s="52" t="n">
        <v>0</v>
      </c>
      <c r="M755" s="52" t="n">
        <v>0</v>
      </c>
      <c r="N755" s="52" t="n">
        <v>0</v>
      </c>
      <c r="O755" s="53" t="n">
        <v>0</v>
      </c>
      <c r="P755" s="52" t="n">
        <v>0</v>
      </c>
      <c r="Q755" s="53" t="n">
        <v>0</v>
      </c>
      <c r="R755" s="52" t="n">
        <v>0</v>
      </c>
      <c r="S755" s="51" t="n">
        <v>0</v>
      </c>
      <c r="T755" s="48" t="n">
        <v>0</v>
      </c>
      <c r="U755" s="49" t="n">
        <v>0</v>
      </c>
      <c r="V755" s="49" t="n">
        <v>0</v>
      </c>
      <c r="W755" s="50" t="n">
        <v>0</v>
      </c>
      <c r="X755" s="51" t="n">
        <v>0</v>
      </c>
      <c r="Y755" s="52" t="n">
        <v>0</v>
      </c>
      <c r="Z755" s="52" t="n">
        <v>0</v>
      </c>
      <c r="AA755" s="52" t="n">
        <v>0</v>
      </c>
      <c r="AB755" s="53" t="n">
        <v>0</v>
      </c>
      <c r="AC755" s="52" t="n">
        <v>0</v>
      </c>
      <c r="AD755" s="53" t="n">
        <v>0</v>
      </c>
      <c r="AE755" s="52" t="n">
        <v>0</v>
      </c>
      <c r="AF755" s="51" t="n">
        <v>0</v>
      </c>
      <c r="AG755" s="48" t="n">
        <v>0</v>
      </c>
      <c r="AH755" s="49" t="n">
        <v>0</v>
      </c>
      <c r="AI755" s="49" t="n">
        <v>0</v>
      </c>
      <c r="AJ755" s="50" t="n">
        <v>0</v>
      </c>
      <c r="AK755" s="51" t="n">
        <v>0</v>
      </c>
      <c r="AL755" s="52" t="n">
        <v>0</v>
      </c>
      <c r="AM755" s="52" t="n">
        <v>0</v>
      </c>
      <c r="AN755" s="52" t="n">
        <v>0</v>
      </c>
      <c r="AO755" s="53" t="n">
        <v>0</v>
      </c>
      <c r="AP755" s="52" t="n">
        <v>0</v>
      </c>
      <c r="AQ755" s="53" t="n">
        <v>0</v>
      </c>
      <c r="AR755" s="52" t="n">
        <v>0</v>
      </c>
      <c r="AS755" s="51" t="n">
        <v>0</v>
      </c>
      <c r="AT755" s="48" t="n">
        <v>0</v>
      </c>
      <c r="AU755" s="49" t="n">
        <v>0</v>
      </c>
      <c r="AV755" s="49" t="n">
        <v>0</v>
      </c>
      <c r="AW755" s="50" t="n">
        <v>0</v>
      </c>
      <c r="AX755" s="51" t="n">
        <v>0</v>
      </c>
      <c r="AY755" s="52" t="n">
        <v>0</v>
      </c>
      <c r="AZ755" s="52" t="n">
        <v>0</v>
      </c>
      <c r="BA755" s="52" t="n">
        <v>0</v>
      </c>
      <c r="BB755" s="53" t="n">
        <v>0</v>
      </c>
      <c r="BC755" s="52" t="n">
        <v>0</v>
      </c>
      <c r="BD755" s="53" t="n">
        <v>0</v>
      </c>
      <c r="BE755" s="52" t="n">
        <v>0</v>
      </c>
      <c r="BF755" s="51" t="n">
        <v>0</v>
      </c>
    </row>
    <row r="756">
      <c r="A756">
        <f>HYPERLINK("https://www.walmart.com/ip/920373777", "920373777")</f>
        <v/>
      </c>
      <c r="B756" t="inlineStr">
        <is>
          <t>Fleece Wearable Blanket with Sleeves and Pocket, Micro Plush Warm Sleeved TV Throw Sherpa Blanket Robe for Women and Men 72”X55” by Catalonia</t>
        </is>
      </c>
      <c r="C756" t="inlineStr">
        <is>
          <t>1CTSN110BK</t>
        </is>
      </c>
      <c r="D756" t="inlineStr">
        <is>
          <t>Throws</t>
        </is>
      </c>
      <c r="E756" t="inlineStr">
        <is>
          <t>Catalonia</t>
        </is>
      </c>
      <c r="F756" t="inlineStr">
        <is>
          <t>WFS,Coupon_Discount,WFS Item</t>
        </is>
      </c>
      <c r="G756" s="48" t="n">
        <v>0</v>
      </c>
      <c r="H756" s="49" t="n">
        <v>0</v>
      </c>
      <c r="I756" s="49" t="n">
        <v>0</v>
      </c>
      <c r="J756" s="50" t="n">
        <v>0</v>
      </c>
      <c r="K756" s="51" t="n">
        <v>0</v>
      </c>
      <c r="L756" s="52" t="n">
        <v>0</v>
      </c>
      <c r="M756" s="52" t="n">
        <v>0</v>
      </c>
      <c r="N756" s="52" t="n">
        <v>0</v>
      </c>
      <c r="O756" s="53" t="n">
        <v>0</v>
      </c>
      <c r="P756" s="52" t="n">
        <v>0</v>
      </c>
      <c r="Q756" s="53" t="n">
        <v>0</v>
      </c>
      <c r="R756" s="52" t="n">
        <v>0</v>
      </c>
      <c r="S756" s="51" t="n">
        <v>0</v>
      </c>
      <c r="T756" s="48" t="n">
        <v>0</v>
      </c>
      <c r="U756" s="49" t="n">
        <v>0</v>
      </c>
      <c r="V756" s="49" t="n">
        <v>0</v>
      </c>
      <c r="W756" s="50" t="n">
        <v>0</v>
      </c>
      <c r="X756" s="51" t="n">
        <v>0</v>
      </c>
      <c r="Y756" s="52" t="n">
        <v>0</v>
      </c>
      <c r="Z756" s="52" t="n">
        <v>0</v>
      </c>
      <c r="AA756" s="52" t="n">
        <v>0</v>
      </c>
      <c r="AB756" s="53" t="n">
        <v>0</v>
      </c>
      <c r="AC756" s="52" t="n">
        <v>0</v>
      </c>
      <c r="AD756" s="53" t="n">
        <v>0</v>
      </c>
      <c r="AE756" s="52" t="n">
        <v>0</v>
      </c>
      <c r="AF756" s="51" t="n">
        <v>0</v>
      </c>
      <c r="AG756" s="48" t="n">
        <v>0</v>
      </c>
      <c r="AH756" s="49" t="n">
        <v>0</v>
      </c>
      <c r="AI756" s="49" t="n">
        <v>0</v>
      </c>
      <c r="AJ756" s="50" t="n">
        <v>0</v>
      </c>
      <c r="AK756" s="51" t="n">
        <v>0</v>
      </c>
      <c r="AL756" s="52" t="n">
        <v>0</v>
      </c>
      <c r="AM756" s="52" t="n">
        <v>0</v>
      </c>
      <c r="AN756" s="52" t="n">
        <v>0</v>
      </c>
      <c r="AO756" s="53" t="n">
        <v>0</v>
      </c>
      <c r="AP756" s="52" t="n">
        <v>0</v>
      </c>
      <c r="AQ756" s="53" t="n">
        <v>0</v>
      </c>
      <c r="AR756" s="52" t="n">
        <v>0</v>
      </c>
      <c r="AS756" s="51" t="n">
        <v>0</v>
      </c>
      <c r="AT756" s="48" t="n">
        <v>0</v>
      </c>
      <c r="AU756" s="49" t="n">
        <v>0</v>
      </c>
      <c r="AV756" s="49" t="n">
        <v>0</v>
      </c>
      <c r="AW756" s="50" t="n">
        <v>0</v>
      </c>
      <c r="AX756" s="51" t="n">
        <v>0</v>
      </c>
      <c r="AY756" s="52" t="n">
        <v>0</v>
      </c>
      <c r="AZ756" s="52" t="n">
        <v>0</v>
      </c>
      <c r="BA756" s="52" t="n">
        <v>0</v>
      </c>
      <c r="BB756" s="53" t="n">
        <v>0</v>
      </c>
      <c r="BC756" s="52" t="n">
        <v>0</v>
      </c>
      <c r="BD756" s="53" t="n">
        <v>0</v>
      </c>
      <c r="BE756" s="52" t="n">
        <v>0</v>
      </c>
      <c r="BF756" s="51" t="n">
        <v>0</v>
      </c>
    </row>
    <row r="757">
      <c r="A757">
        <f>HYPERLINK("https://www.walmart.com/ip/912169867", "912169867")</f>
        <v/>
      </c>
      <c r="B757" t="inlineStr">
        <is>
          <t>UV Protection Fishing Hat, Wide Brim Sun Hats for Men Women Cooling Hat</t>
        </is>
      </c>
      <c r="C757" t="inlineStr">
        <is>
          <t>1WMCH100TN</t>
        </is>
      </c>
      <c r="D757" t="inlineStr">
        <is>
          <t>Hats</t>
        </is>
      </c>
      <c r="E757" t="inlineStr">
        <is>
          <t>Flyingstar</t>
        </is>
      </c>
      <c r="F757" t="inlineStr">
        <is>
          <t>Optimized,Hats</t>
        </is>
      </c>
      <c r="G757" s="48" t="n">
        <v>0</v>
      </c>
      <c r="H757" s="49" t="n">
        <v>0</v>
      </c>
      <c r="I757" s="49" t="n">
        <v>0</v>
      </c>
      <c r="J757" s="50" t="n">
        <v>0</v>
      </c>
      <c r="K757" s="51" t="n">
        <v>0</v>
      </c>
      <c r="L757" s="52" t="n">
        <v>0</v>
      </c>
      <c r="M757" s="52" t="n">
        <v>0</v>
      </c>
      <c r="N757" s="52" t="n">
        <v>0</v>
      </c>
      <c r="O757" s="53" t="n">
        <v>0</v>
      </c>
      <c r="P757" s="52" t="n">
        <v>0</v>
      </c>
      <c r="Q757" s="53" t="n">
        <v>0</v>
      </c>
      <c r="R757" s="52" t="n">
        <v>0</v>
      </c>
      <c r="S757" s="51" t="n">
        <v>0</v>
      </c>
      <c r="T757" s="48" t="n">
        <v>0</v>
      </c>
      <c r="U757" s="49" t="n">
        <v>0</v>
      </c>
      <c r="V757" s="49" t="n">
        <v>0</v>
      </c>
      <c r="W757" s="50" t="n">
        <v>0</v>
      </c>
      <c r="X757" s="51" t="n">
        <v>0</v>
      </c>
      <c r="Y757" s="52" t="n">
        <v>0</v>
      </c>
      <c r="Z757" s="52" t="n">
        <v>0</v>
      </c>
      <c r="AA757" s="52" t="n">
        <v>0</v>
      </c>
      <c r="AB757" s="53" t="n">
        <v>0</v>
      </c>
      <c r="AC757" s="52" t="n">
        <v>0</v>
      </c>
      <c r="AD757" s="53" t="n">
        <v>0</v>
      </c>
      <c r="AE757" s="52" t="n">
        <v>0</v>
      </c>
      <c r="AF757" s="51" t="n">
        <v>0</v>
      </c>
      <c r="AG757" s="48" t="n">
        <v>0</v>
      </c>
      <c r="AH757" s="49" t="n">
        <v>0</v>
      </c>
      <c r="AI757" s="49" t="n">
        <v>0</v>
      </c>
      <c r="AJ757" s="50" t="n">
        <v>0</v>
      </c>
      <c r="AK757" s="51" t="n">
        <v>0</v>
      </c>
      <c r="AL757" s="52" t="n">
        <v>0</v>
      </c>
      <c r="AM757" s="52" t="n">
        <v>0</v>
      </c>
      <c r="AN757" s="52" t="n">
        <v>0</v>
      </c>
      <c r="AO757" s="53" t="n">
        <v>0</v>
      </c>
      <c r="AP757" s="52" t="n">
        <v>0</v>
      </c>
      <c r="AQ757" s="53" t="n">
        <v>0</v>
      </c>
      <c r="AR757" s="52" t="n">
        <v>0</v>
      </c>
      <c r="AS757" s="51" t="n">
        <v>0</v>
      </c>
      <c r="AT757" s="48" t="n">
        <v>0</v>
      </c>
      <c r="AU757" s="49" t="n">
        <v>0</v>
      </c>
      <c r="AV757" s="49" t="n">
        <v>0</v>
      </c>
      <c r="AW757" s="50" t="n">
        <v>0</v>
      </c>
      <c r="AX757" s="51" t="n">
        <v>0</v>
      </c>
      <c r="AY757" s="52" t="n">
        <v>0</v>
      </c>
      <c r="AZ757" s="52" t="n">
        <v>0</v>
      </c>
      <c r="BA757" s="52" t="n">
        <v>0</v>
      </c>
      <c r="BB757" s="53" t="n">
        <v>0</v>
      </c>
      <c r="BC757" s="52" t="n">
        <v>0</v>
      </c>
      <c r="BD757" s="53" t="n">
        <v>0</v>
      </c>
      <c r="BE757" s="52" t="n">
        <v>0</v>
      </c>
      <c r="BF757" s="51" t="n">
        <v>0</v>
      </c>
    </row>
    <row r="758">
      <c r="A758">
        <f>HYPERLINK("https://www.walmart.com/ip/918970017", "918970017")</f>
        <v/>
      </c>
      <c r="B758" t="inlineStr">
        <is>
          <t>Unisex Hunting Cap Orange Polyester Embroidery Animal Outdoor Wildlife Sport Cap</t>
        </is>
      </c>
      <c r="C758" t="inlineStr">
        <is>
          <t>KC Caps ht32</t>
        </is>
      </c>
      <c r="D758" t="inlineStr">
        <is>
          <t>Hats</t>
        </is>
      </c>
      <c r="E758" t="inlineStr">
        <is>
          <t>KC Caps</t>
        </is>
      </c>
      <c r="F758" t="inlineStr">
        <is>
          <t>Optimized</t>
        </is>
      </c>
      <c r="G758" s="48" t="n">
        <v>0</v>
      </c>
      <c r="H758" s="49" t="n">
        <v>0</v>
      </c>
      <c r="I758" s="49" t="n">
        <v>0</v>
      </c>
      <c r="J758" s="50" t="n">
        <v>0</v>
      </c>
      <c r="K758" s="51" t="n">
        <v>0</v>
      </c>
      <c r="L758" s="52" t="n">
        <v>0</v>
      </c>
      <c r="M758" s="52" t="n">
        <v>0</v>
      </c>
      <c r="N758" s="52" t="n">
        <v>0</v>
      </c>
      <c r="O758" s="53" t="n">
        <v>0</v>
      </c>
      <c r="P758" s="52" t="n">
        <v>0</v>
      </c>
      <c r="Q758" s="53" t="n">
        <v>0</v>
      </c>
      <c r="R758" s="52" t="n">
        <v>0</v>
      </c>
      <c r="S758" s="51" t="n">
        <v>0</v>
      </c>
      <c r="T758" s="48" t="n">
        <v>0</v>
      </c>
      <c r="U758" s="49" t="n">
        <v>0</v>
      </c>
      <c r="V758" s="49" t="n">
        <v>0</v>
      </c>
      <c r="W758" s="50" t="n">
        <v>0</v>
      </c>
      <c r="X758" s="51" t="n">
        <v>0</v>
      </c>
      <c r="Y758" s="52" t="n">
        <v>0</v>
      </c>
      <c r="Z758" s="52" t="n">
        <v>0</v>
      </c>
      <c r="AA758" s="52" t="n">
        <v>0</v>
      </c>
      <c r="AB758" s="53" t="n">
        <v>0</v>
      </c>
      <c r="AC758" s="52" t="n">
        <v>0</v>
      </c>
      <c r="AD758" s="53" t="n">
        <v>0</v>
      </c>
      <c r="AE758" s="52" t="n">
        <v>0</v>
      </c>
      <c r="AF758" s="51" t="n">
        <v>0</v>
      </c>
      <c r="AG758" s="48" t="n">
        <v>0</v>
      </c>
      <c r="AH758" s="49" t="n">
        <v>0</v>
      </c>
      <c r="AI758" s="49" t="n">
        <v>0</v>
      </c>
      <c r="AJ758" s="50" t="n">
        <v>0</v>
      </c>
      <c r="AK758" s="51" t="n">
        <v>0</v>
      </c>
      <c r="AL758" s="52" t="n">
        <v>0</v>
      </c>
      <c r="AM758" s="52" t="n">
        <v>0</v>
      </c>
      <c r="AN758" s="52" t="n">
        <v>0</v>
      </c>
      <c r="AO758" s="53" t="n">
        <v>0</v>
      </c>
      <c r="AP758" s="52" t="n">
        <v>0</v>
      </c>
      <c r="AQ758" s="53" t="n">
        <v>0</v>
      </c>
      <c r="AR758" s="52" t="n">
        <v>0</v>
      </c>
      <c r="AS758" s="51" t="n">
        <v>0</v>
      </c>
      <c r="AT758" s="48" t="n">
        <v>0</v>
      </c>
      <c r="AU758" s="49" t="n">
        <v>0</v>
      </c>
      <c r="AV758" s="49" t="n">
        <v>0</v>
      </c>
      <c r="AW758" s="50" t="n">
        <v>0</v>
      </c>
      <c r="AX758" s="51" t="n">
        <v>0</v>
      </c>
      <c r="AY758" s="52" t="n">
        <v>0</v>
      </c>
      <c r="AZ758" s="52" t="n">
        <v>0</v>
      </c>
      <c r="BA758" s="52" t="n">
        <v>0</v>
      </c>
      <c r="BB758" s="53" t="n">
        <v>0</v>
      </c>
      <c r="BC758" s="52" t="n">
        <v>0</v>
      </c>
      <c r="BD758" s="53" t="n">
        <v>0</v>
      </c>
      <c r="BE758" s="52" t="n">
        <v>0</v>
      </c>
      <c r="BF758" s="51" t="n">
        <v>0</v>
      </c>
    </row>
    <row r="759">
      <c r="A759">
        <f>HYPERLINK("https://www.walmart.com/ip/912234757", "912234757")</f>
        <v/>
      </c>
      <c r="B759" t="inlineStr">
        <is>
          <t>100% Polar Fleece Skull Cap Warm and Cozy Beanie</t>
        </is>
      </c>
      <c r="C759" t="inlineStr">
        <is>
          <t>1SLW1810WN-FSCB</t>
        </is>
      </c>
      <c r="D759" t="inlineStr">
        <is>
          <t>Hats</t>
        </is>
      </c>
      <c r="E759" t="inlineStr">
        <is>
          <t>Solaris</t>
        </is>
      </c>
      <c r="F759" t="inlineStr">
        <is>
          <t>Batch 1 - TR</t>
        </is>
      </c>
      <c r="G759" s="48" t="n">
        <v>0</v>
      </c>
      <c r="H759" s="49" t="n">
        <v>0</v>
      </c>
      <c r="I759" s="49" t="n">
        <v>0</v>
      </c>
      <c r="J759" s="50" t="n">
        <v>0</v>
      </c>
      <c r="K759" s="51" t="n">
        <v>0</v>
      </c>
      <c r="L759" s="52" t="n">
        <v>0</v>
      </c>
      <c r="M759" s="52" t="n">
        <v>0</v>
      </c>
      <c r="N759" s="52" t="n">
        <v>0</v>
      </c>
      <c r="O759" s="53" t="n">
        <v>0</v>
      </c>
      <c r="P759" s="52" t="n">
        <v>0</v>
      </c>
      <c r="Q759" s="53" t="n">
        <v>0</v>
      </c>
      <c r="R759" s="52" t="n">
        <v>0</v>
      </c>
      <c r="S759" s="51" t="n">
        <v>0</v>
      </c>
      <c r="T759" s="48" t="n">
        <v>0</v>
      </c>
      <c r="U759" s="49" t="n">
        <v>0</v>
      </c>
      <c r="V759" s="49" t="n">
        <v>0</v>
      </c>
      <c r="W759" s="50" t="n">
        <v>0</v>
      </c>
      <c r="X759" s="51" t="n">
        <v>0</v>
      </c>
      <c r="Y759" s="52" t="n">
        <v>0</v>
      </c>
      <c r="Z759" s="52" t="n">
        <v>0</v>
      </c>
      <c r="AA759" s="52" t="n">
        <v>0</v>
      </c>
      <c r="AB759" s="53" t="n">
        <v>0</v>
      </c>
      <c r="AC759" s="52" t="n">
        <v>0</v>
      </c>
      <c r="AD759" s="53" t="n">
        <v>0</v>
      </c>
      <c r="AE759" s="52" t="n">
        <v>0</v>
      </c>
      <c r="AF759" s="51" t="n">
        <v>0</v>
      </c>
      <c r="AG759" s="48" t="n">
        <v>0</v>
      </c>
      <c r="AH759" s="49" t="n">
        <v>0</v>
      </c>
      <c r="AI759" s="49" t="n">
        <v>0</v>
      </c>
      <c r="AJ759" s="50" t="n">
        <v>0</v>
      </c>
      <c r="AK759" s="51" t="n">
        <v>0</v>
      </c>
      <c r="AL759" s="52" t="n">
        <v>0</v>
      </c>
      <c r="AM759" s="52" t="n">
        <v>0</v>
      </c>
      <c r="AN759" s="52" t="n">
        <v>0</v>
      </c>
      <c r="AO759" s="53" t="n">
        <v>0</v>
      </c>
      <c r="AP759" s="52" t="n">
        <v>0</v>
      </c>
      <c r="AQ759" s="53" t="n">
        <v>0</v>
      </c>
      <c r="AR759" s="52" t="n">
        <v>0</v>
      </c>
      <c r="AS759" s="51" t="n">
        <v>0</v>
      </c>
      <c r="AT759" s="48" t="n">
        <v>0</v>
      </c>
      <c r="AU759" s="49" t="n">
        <v>0</v>
      </c>
      <c r="AV759" s="49" t="n">
        <v>0</v>
      </c>
      <c r="AW759" s="50" t="n">
        <v>0</v>
      </c>
      <c r="AX759" s="51" t="n">
        <v>0</v>
      </c>
      <c r="AY759" s="52" t="n">
        <v>0</v>
      </c>
      <c r="AZ759" s="52" t="n">
        <v>0</v>
      </c>
      <c r="BA759" s="52" t="n">
        <v>0</v>
      </c>
      <c r="BB759" s="53" t="n">
        <v>0</v>
      </c>
      <c r="BC759" s="52" t="n">
        <v>0</v>
      </c>
      <c r="BD759" s="53" t="n">
        <v>0</v>
      </c>
      <c r="BE759" s="52" t="n">
        <v>0</v>
      </c>
      <c r="BF759" s="51" t="n">
        <v>0</v>
      </c>
    </row>
    <row r="760">
      <c r="A760">
        <f>HYPERLINK("https://www.walmart.com/ip/913159325", "913159325")</f>
        <v/>
      </c>
      <c r="B760" t="inlineStr">
        <is>
          <t>Tirrinia Unisex Surf Poncho Changing Towel Robe for Adult Surfer Swimmer Outdoor Beach</t>
        </is>
      </c>
      <c r="C760" t="inlineStr">
        <is>
          <t>1WMBR100LBL</t>
        </is>
      </c>
      <c r="D760" t="inlineStr">
        <is>
          <t>Towels &amp; Washcloths</t>
        </is>
      </c>
      <c r="E760" t="inlineStr">
        <is>
          <t>Flyingstar</t>
        </is>
      </c>
      <c r="F760" t="inlineStr">
        <is>
          <t>Beach Robe Camp,Batch 1 - TR</t>
        </is>
      </c>
      <c r="G760" s="48" t="n">
        <v>0</v>
      </c>
      <c r="H760" s="49" t="n">
        <v>0</v>
      </c>
      <c r="I760" s="49" t="n">
        <v>0</v>
      </c>
      <c r="J760" s="50" t="n">
        <v>0</v>
      </c>
      <c r="K760" s="51" t="n">
        <v>0</v>
      </c>
      <c r="L760" s="52" t="n">
        <v>0</v>
      </c>
      <c r="M760" s="52" t="n">
        <v>0</v>
      </c>
      <c r="N760" s="52" t="n">
        <v>0</v>
      </c>
      <c r="O760" s="53" t="n">
        <v>0</v>
      </c>
      <c r="P760" s="52" t="n">
        <v>0</v>
      </c>
      <c r="Q760" s="53" t="n">
        <v>0</v>
      </c>
      <c r="R760" s="52" t="n">
        <v>0</v>
      </c>
      <c r="S760" s="51" t="n">
        <v>0</v>
      </c>
      <c r="T760" s="48" t="n">
        <v>0</v>
      </c>
      <c r="U760" s="49" t="n">
        <v>0</v>
      </c>
      <c r="V760" s="49" t="n">
        <v>0</v>
      </c>
      <c r="W760" s="50" t="n">
        <v>0</v>
      </c>
      <c r="X760" s="51" t="n">
        <v>0</v>
      </c>
      <c r="Y760" s="52" t="n">
        <v>0</v>
      </c>
      <c r="Z760" s="52" t="n">
        <v>0</v>
      </c>
      <c r="AA760" s="52" t="n">
        <v>0</v>
      </c>
      <c r="AB760" s="53" t="n">
        <v>0</v>
      </c>
      <c r="AC760" s="52" t="n">
        <v>0</v>
      </c>
      <c r="AD760" s="53" t="n">
        <v>0</v>
      </c>
      <c r="AE760" s="52" t="n">
        <v>0</v>
      </c>
      <c r="AF760" s="51" t="n">
        <v>0</v>
      </c>
      <c r="AG760" s="48" t="n">
        <v>0</v>
      </c>
      <c r="AH760" s="49" t="n">
        <v>0</v>
      </c>
      <c r="AI760" s="49" t="n">
        <v>0</v>
      </c>
      <c r="AJ760" s="50" t="n">
        <v>0</v>
      </c>
      <c r="AK760" s="51" t="n">
        <v>0</v>
      </c>
      <c r="AL760" s="52" t="n">
        <v>0</v>
      </c>
      <c r="AM760" s="52" t="n">
        <v>0</v>
      </c>
      <c r="AN760" s="52" t="n">
        <v>0</v>
      </c>
      <c r="AO760" s="53" t="n">
        <v>0</v>
      </c>
      <c r="AP760" s="52" t="n">
        <v>0</v>
      </c>
      <c r="AQ760" s="53" t="n">
        <v>0</v>
      </c>
      <c r="AR760" s="52" t="n">
        <v>0</v>
      </c>
      <c r="AS760" s="51" t="n">
        <v>0</v>
      </c>
      <c r="AT760" s="48" t="n">
        <v>0</v>
      </c>
      <c r="AU760" s="49" t="n">
        <v>0</v>
      </c>
      <c r="AV760" s="49" t="n">
        <v>0</v>
      </c>
      <c r="AW760" s="50" t="n">
        <v>0</v>
      </c>
      <c r="AX760" s="51" t="n">
        <v>0</v>
      </c>
      <c r="AY760" s="52" t="n">
        <v>0</v>
      </c>
      <c r="AZ760" s="52" t="n">
        <v>0</v>
      </c>
      <c r="BA760" s="52" t="n">
        <v>0</v>
      </c>
      <c r="BB760" s="53" t="n">
        <v>0</v>
      </c>
      <c r="BC760" s="52" t="n">
        <v>0</v>
      </c>
      <c r="BD760" s="53" t="n">
        <v>0</v>
      </c>
      <c r="BE760" s="52" t="n">
        <v>0</v>
      </c>
      <c r="BF760" s="51" t="n">
        <v>0</v>
      </c>
    </row>
    <row r="761">
      <c r="A761">
        <f>HYPERLINK("https://www.walmart.com/ip/913630534", "913630534")</f>
        <v/>
      </c>
      <c r="B761" t="inlineStr">
        <is>
          <t>Tirrinia Adult Insulated Lunch Bag with Front Pocket, Black Grey, 14'' x 7'' x 9.5'', 10.8 L</t>
        </is>
      </c>
      <c r="C761" t="inlineStr">
        <is>
          <t>1TRLB705BKGY</t>
        </is>
      </c>
      <c r="D761" t="inlineStr">
        <is>
          <t>Reusable Lunch Bags &amp; Boxes</t>
        </is>
      </c>
      <c r="E761" t="inlineStr">
        <is>
          <t>Tirrinia</t>
        </is>
      </c>
      <c r="F761" t="inlineStr">
        <is>
          <t>Q2-Target,Brand Camp VD,Lunch Bag,WFS,Lunch Bags,SEM,WFS Item</t>
        </is>
      </c>
      <c r="G761" s="48" t="n">
        <v>0</v>
      </c>
      <c r="H761" s="49" t="n">
        <v>0</v>
      </c>
      <c r="I761" s="49" t="n">
        <v>0</v>
      </c>
      <c r="J761" s="50" t="n">
        <v>0</v>
      </c>
      <c r="K761" s="51" t="n">
        <v>0</v>
      </c>
      <c r="L761" s="52" t="n">
        <v>0</v>
      </c>
      <c r="M761" s="52" t="n">
        <v>0</v>
      </c>
      <c r="N761" s="52" t="n">
        <v>0</v>
      </c>
      <c r="O761" s="53" t="n">
        <v>0</v>
      </c>
      <c r="P761" s="52" t="n">
        <v>0</v>
      </c>
      <c r="Q761" s="53" t="n">
        <v>0</v>
      </c>
      <c r="R761" s="52" t="n">
        <v>0</v>
      </c>
      <c r="S761" s="51" t="n">
        <v>0</v>
      </c>
      <c r="T761" s="48" t="n">
        <v>0</v>
      </c>
      <c r="U761" s="49" t="n">
        <v>0</v>
      </c>
      <c r="V761" s="49" t="n">
        <v>0</v>
      </c>
      <c r="W761" s="50" t="n">
        <v>0</v>
      </c>
      <c r="X761" s="51" t="n">
        <v>0</v>
      </c>
      <c r="Y761" s="52" t="n">
        <v>0</v>
      </c>
      <c r="Z761" s="52" t="n">
        <v>0</v>
      </c>
      <c r="AA761" s="52" t="n">
        <v>0</v>
      </c>
      <c r="AB761" s="53" t="n">
        <v>0</v>
      </c>
      <c r="AC761" s="52" t="n">
        <v>0</v>
      </c>
      <c r="AD761" s="53" t="n">
        <v>0</v>
      </c>
      <c r="AE761" s="52" t="n">
        <v>0</v>
      </c>
      <c r="AF761" s="51" t="n">
        <v>0</v>
      </c>
      <c r="AG761" s="48" t="n">
        <v>0</v>
      </c>
      <c r="AH761" s="49" t="n">
        <v>0</v>
      </c>
      <c r="AI761" s="49" t="n">
        <v>0</v>
      </c>
      <c r="AJ761" s="50" t="n">
        <v>0</v>
      </c>
      <c r="AK761" s="51" t="n">
        <v>0</v>
      </c>
      <c r="AL761" s="52" t="n">
        <v>0</v>
      </c>
      <c r="AM761" s="52" t="n">
        <v>0</v>
      </c>
      <c r="AN761" s="52" t="n">
        <v>0</v>
      </c>
      <c r="AO761" s="53" t="n">
        <v>0</v>
      </c>
      <c r="AP761" s="52" t="n">
        <v>0</v>
      </c>
      <c r="AQ761" s="53" t="n">
        <v>0</v>
      </c>
      <c r="AR761" s="52" t="n">
        <v>0</v>
      </c>
      <c r="AS761" s="51" t="n">
        <v>0</v>
      </c>
      <c r="AT761" s="48" t="n">
        <v>0</v>
      </c>
      <c r="AU761" s="49" t="n">
        <v>0</v>
      </c>
      <c r="AV761" s="49" t="n">
        <v>0</v>
      </c>
      <c r="AW761" s="50" t="n">
        <v>0</v>
      </c>
      <c r="AX761" s="51" t="n">
        <v>0</v>
      </c>
      <c r="AY761" s="52" t="n">
        <v>0</v>
      </c>
      <c r="AZ761" s="52" t="n">
        <v>0</v>
      </c>
      <c r="BA761" s="52" t="n">
        <v>0</v>
      </c>
      <c r="BB761" s="53" t="n">
        <v>0</v>
      </c>
      <c r="BC761" s="52" t="n">
        <v>0</v>
      </c>
      <c r="BD761" s="53" t="n">
        <v>0</v>
      </c>
      <c r="BE761" s="52" t="n">
        <v>0</v>
      </c>
      <c r="BF761" s="51" t="n">
        <v>0</v>
      </c>
    </row>
    <row r="762">
      <c r="A762">
        <f>HYPERLINK("https://www.walmart.com/ip/914193443", "914193443")</f>
        <v/>
      </c>
      <c r="B762" t="inlineStr">
        <is>
          <t>Microplush Sherpa Blanket with Sleeves for Women and Men</t>
        </is>
      </c>
      <c r="C762" t="inlineStr">
        <is>
          <t>1TRSN110PK</t>
        </is>
      </c>
      <c r="D762" t="inlineStr">
        <is>
          <t>Throws</t>
        </is>
      </c>
      <c r="E762" t="inlineStr">
        <is>
          <t>Tirrinia</t>
        </is>
      </c>
      <c r="F762" t="inlineStr">
        <is>
          <t>Batch 1 - TR</t>
        </is>
      </c>
      <c r="G762" s="48" t="n">
        <v>0</v>
      </c>
      <c r="H762" s="49" t="n">
        <v>0</v>
      </c>
      <c r="I762" s="49" t="n">
        <v>0</v>
      </c>
      <c r="J762" s="50" t="n">
        <v>0</v>
      </c>
      <c r="K762" s="51" t="n">
        <v>0</v>
      </c>
      <c r="L762" s="52" t="n">
        <v>0</v>
      </c>
      <c r="M762" s="52" t="n">
        <v>0</v>
      </c>
      <c r="N762" s="52" t="n">
        <v>0</v>
      </c>
      <c r="O762" s="53" t="n">
        <v>0</v>
      </c>
      <c r="P762" s="52" t="n">
        <v>0</v>
      </c>
      <c r="Q762" s="53" t="n">
        <v>0</v>
      </c>
      <c r="R762" s="52" t="n">
        <v>0</v>
      </c>
      <c r="S762" s="51" t="n">
        <v>0</v>
      </c>
      <c r="T762" s="48" t="n">
        <v>0</v>
      </c>
      <c r="U762" s="49" t="n">
        <v>0</v>
      </c>
      <c r="V762" s="49" t="n">
        <v>0</v>
      </c>
      <c r="W762" s="50" t="n">
        <v>0</v>
      </c>
      <c r="X762" s="51" t="n">
        <v>0</v>
      </c>
      <c r="Y762" s="52" t="n">
        <v>0</v>
      </c>
      <c r="Z762" s="52" t="n">
        <v>0</v>
      </c>
      <c r="AA762" s="52" t="n">
        <v>0</v>
      </c>
      <c r="AB762" s="53" t="n">
        <v>0</v>
      </c>
      <c r="AC762" s="52" t="n">
        <v>0</v>
      </c>
      <c r="AD762" s="53" t="n">
        <v>0</v>
      </c>
      <c r="AE762" s="52" t="n">
        <v>0</v>
      </c>
      <c r="AF762" s="51" t="n">
        <v>0</v>
      </c>
      <c r="AG762" s="48" t="n">
        <v>0</v>
      </c>
      <c r="AH762" s="49" t="n">
        <v>0</v>
      </c>
      <c r="AI762" s="49" t="n">
        <v>0</v>
      </c>
      <c r="AJ762" s="50" t="n">
        <v>0</v>
      </c>
      <c r="AK762" s="51" t="n">
        <v>0</v>
      </c>
      <c r="AL762" s="52" t="n">
        <v>0</v>
      </c>
      <c r="AM762" s="52" t="n">
        <v>0</v>
      </c>
      <c r="AN762" s="52" t="n">
        <v>0</v>
      </c>
      <c r="AO762" s="53" t="n">
        <v>0</v>
      </c>
      <c r="AP762" s="52" t="n">
        <v>0</v>
      </c>
      <c r="AQ762" s="53" t="n">
        <v>0</v>
      </c>
      <c r="AR762" s="52" t="n">
        <v>0</v>
      </c>
      <c r="AS762" s="51" t="n">
        <v>0</v>
      </c>
      <c r="AT762" s="48" t="n">
        <v>0</v>
      </c>
      <c r="AU762" s="49" t="n">
        <v>0</v>
      </c>
      <c r="AV762" s="49" t="n">
        <v>0</v>
      </c>
      <c r="AW762" s="50" t="n">
        <v>0</v>
      </c>
      <c r="AX762" s="51" t="n">
        <v>0</v>
      </c>
      <c r="AY762" s="52" t="n">
        <v>0</v>
      </c>
      <c r="AZ762" s="52" t="n">
        <v>0</v>
      </c>
      <c r="BA762" s="52" t="n">
        <v>0</v>
      </c>
      <c r="BB762" s="53" t="n">
        <v>0</v>
      </c>
      <c r="BC762" s="52" t="n">
        <v>0</v>
      </c>
      <c r="BD762" s="53" t="n">
        <v>0</v>
      </c>
      <c r="BE762" s="52" t="n">
        <v>0</v>
      </c>
      <c r="BF762" s="51" t="n">
        <v>0</v>
      </c>
    </row>
    <row r="763">
      <c r="A763">
        <f>HYPERLINK("https://www.walmart.com/ip/914310143", "914310143")</f>
        <v/>
      </c>
      <c r="B763" t="inlineStr">
        <is>
          <t>Terra Outdoor Flexible Running Fuel Belt &amp; Fitness Workout Belt for Women and Men - Best Exercise Waist Pack - Sports Travel Money Belt - Fanny Pack Runner Safety Reflective Waist Belt with Pockets</t>
        </is>
      </c>
      <c r="C763" t="inlineStr">
        <is>
          <t>TERRA-5NG-M-ZJ</t>
        </is>
      </c>
      <c r="D763" t="inlineStr">
        <is>
          <t>Fanny Packs</t>
        </is>
      </c>
      <c r="E763" t="inlineStr">
        <is>
          <t>Terra</t>
        </is>
      </c>
      <c r="F763" t="inlineStr">
        <is>
          <t>Batch 1 - TR</t>
        </is>
      </c>
      <c r="G763" s="48" t="n">
        <v>0</v>
      </c>
      <c r="H763" s="49" t="n">
        <v>0</v>
      </c>
      <c r="I763" s="49" t="n">
        <v>0</v>
      </c>
      <c r="J763" s="50" t="n">
        <v>0</v>
      </c>
      <c r="K763" s="51" t="n">
        <v>0</v>
      </c>
      <c r="L763" s="52" t="n">
        <v>0</v>
      </c>
      <c r="M763" s="52" t="n">
        <v>0</v>
      </c>
      <c r="N763" s="52" t="n">
        <v>0</v>
      </c>
      <c r="O763" s="53" t="n">
        <v>0</v>
      </c>
      <c r="P763" s="52" t="n">
        <v>0</v>
      </c>
      <c r="Q763" s="53" t="n">
        <v>0</v>
      </c>
      <c r="R763" s="52" t="n">
        <v>0</v>
      </c>
      <c r="S763" s="51" t="n">
        <v>0</v>
      </c>
      <c r="T763" s="48" t="n">
        <v>0</v>
      </c>
      <c r="U763" s="49" t="n">
        <v>0</v>
      </c>
      <c r="V763" s="49" t="n">
        <v>0</v>
      </c>
      <c r="W763" s="50" t="n">
        <v>0</v>
      </c>
      <c r="X763" s="51" t="n">
        <v>0</v>
      </c>
      <c r="Y763" s="52" t="n">
        <v>0</v>
      </c>
      <c r="Z763" s="52" t="n">
        <v>0</v>
      </c>
      <c r="AA763" s="52" t="n">
        <v>0</v>
      </c>
      <c r="AB763" s="53" t="n">
        <v>0</v>
      </c>
      <c r="AC763" s="52" t="n">
        <v>0</v>
      </c>
      <c r="AD763" s="53" t="n">
        <v>0</v>
      </c>
      <c r="AE763" s="52" t="n">
        <v>0</v>
      </c>
      <c r="AF763" s="51" t="n">
        <v>0</v>
      </c>
      <c r="AG763" s="48" t="n">
        <v>0</v>
      </c>
      <c r="AH763" s="49" t="n">
        <v>0</v>
      </c>
      <c r="AI763" s="49" t="n">
        <v>0</v>
      </c>
      <c r="AJ763" s="50" t="n">
        <v>0</v>
      </c>
      <c r="AK763" s="51" t="n">
        <v>0</v>
      </c>
      <c r="AL763" s="52" t="n">
        <v>0</v>
      </c>
      <c r="AM763" s="52" t="n">
        <v>0</v>
      </c>
      <c r="AN763" s="52" t="n">
        <v>0</v>
      </c>
      <c r="AO763" s="53" t="n">
        <v>0</v>
      </c>
      <c r="AP763" s="52" t="n">
        <v>0</v>
      </c>
      <c r="AQ763" s="53" t="n">
        <v>0</v>
      </c>
      <c r="AR763" s="52" t="n">
        <v>0</v>
      </c>
      <c r="AS763" s="51" t="n">
        <v>0</v>
      </c>
      <c r="AT763" s="48" t="n">
        <v>0</v>
      </c>
      <c r="AU763" s="49" t="n">
        <v>0</v>
      </c>
      <c r="AV763" s="49" t="n">
        <v>0</v>
      </c>
      <c r="AW763" s="50" t="n">
        <v>0</v>
      </c>
      <c r="AX763" s="51" t="n">
        <v>0</v>
      </c>
      <c r="AY763" s="52" t="n">
        <v>0</v>
      </c>
      <c r="AZ763" s="52" t="n">
        <v>0</v>
      </c>
      <c r="BA763" s="52" t="n">
        <v>0</v>
      </c>
      <c r="BB763" s="53" t="n">
        <v>0</v>
      </c>
      <c r="BC763" s="52" t="n">
        <v>0</v>
      </c>
      <c r="BD763" s="53" t="n">
        <v>0</v>
      </c>
      <c r="BE763" s="52" t="n">
        <v>0</v>
      </c>
      <c r="BF763" s="51" t="n">
        <v>0</v>
      </c>
    </row>
    <row r="764">
      <c r="A764">
        <f>HYPERLINK("https://www.walmart.com/ip/914697087", "914697087")</f>
        <v/>
      </c>
      <c r="B764" t="inlineStr">
        <is>
          <t>Catalonia Wearable Blanket with Sleeves and Pocket, Cozy Soft Fleece Micro Plush Wrap Adult Blanket Robe for Women and Men, Makes a Great Gift for Holidays, Grey, 73" x 51"</t>
        </is>
      </c>
      <c r="C764" t="inlineStr">
        <is>
          <t>1CTSN100GY</t>
        </is>
      </c>
      <c r="D764" t="inlineStr">
        <is>
          <t>Throws</t>
        </is>
      </c>
      <c r="E764" t="inlineStr">
        <is>
          <t>Catalonia</t>
        </is>
      </c>
      <c r="F764" t="inlineStr">
        <is>
          <t>WFS,WFS Item</t>
        </is>
      </c>
      <c r="G764" s="48" t="n">
        <v>0</v>
      </c>
      <c r="H764" s="49" t="n">
        <v>0</v>
      </c>
      <c r="I764" s="49" t="n">
        <v>0</v>
      </c>
      <c r="J764" s="50" t="n">
        <v>0</v>
      </c>
      <c r="K764" s="51" t="n">
        <v>0</v>
      </c>
      <c r="L764" s="52" t="n">
        <v>0</v>
      </c>
      <c r="M764" s="52" t="n">
        <v>0</v>
      </c>
      <c r="N764" s="52" t="n">
        <v>0</v>
      </c>
      <c r="O764" s="53" t="n">
        <v>0</v>
      </c>
      <c r="P764" s="52" t="n">
        <v>0</v>
      </c>
      <c r="Q764" s="53" t="n">
        <v>0</v>
      </c>
      <c r="R764" s="52" t="n">
        <v>0</v>
      </c>
      <c r="S764" s="51" t="n">
        <v>0</v>
      </c>
      <c r="T764" s="48" t="n">
        <v>0</v>
      </c>
      <c r="U764" s="49" t="n">
        <v>0</v>
      </c>
      <c r="V764" s="49" t="n">
        <v>0</v>
      </c>
      <c r="W764" s="50" t="n">
        <v>0</v>
      </c>
      <c r="X764" s="51" t="n">
        <v>0</v>
      </c>
      <c r="Y764" s="52" t="n">
        <v>0</v>
      </c>
      <c r="Z764" s="52" t="n">
        <v>0</v>
      </c>
      <c r="AA764" s="52" t="n">
        <v>0</v>
      </c>
      <c r="AB764" s="53" t="n">
        <v>0</v>
      </c>
      <c r="AC764" s="52" t="n">
        <v>0</v>
      </c>
      <c r="AD764" s="53" t="n">
        <v>0</v>
      </c>
      <c r="AE764" s="52" t="n">
        <v>0</v>
      </c>
      <c r="AF764" s="51" t="n">
        <v>0</v>
      </c>
      <c r="AG764" s="48" t="n">
        <v>0</v>
      </c>
      <c r="AH764" s="49" t="n">
        <v>0</v>
      </c>
      <c r="AI764" s="49" t="n">
        <v>0</v>
      </c>
      <c r="AJ764" s="50" t="n">
        <v>0</v>
      </c>
      <c r="AK764" s="51" t="n">
        <v>0</v>
      </c>
      <c r="AL764" s="52" t="n">
        <v>0</v>
      </c>
      <c r="AM764" s="52" t="n">
        <v>0</v>
      </c>
      <c r="AN764" s="52" t="n">
        <v>0</v>
      </c>
      <c r="AO764" s="53" t="n">
        <v>0</v>
      </c>
      <c r="AP764" s="52" t="n">
        <v>0</v>
      </c>
      <c r="AQ764" s="53" t="n">
        <v>0</v>
      </c>
      <c r="AR764" s="52" t="n">
        <v>0</v>
      </c>
      <c r="AS764" s="51" t="n">
        <v>0</v>
      </c>
      <c r="AT764" s="48" t="n">
        <v>0</v>
      </c>
      <c r="AU764" s="49" t="n">
        <v>0</v>
      </c>
      <c r="AV764" s="49" t="n">
        <v>0</v>
      </c>
      <c r="AW764" s="50" t="n">
        <v>0</v>
      </c>
      <c r="AX764" s="51" t="n">
        <v>0</v>
      </c>
      <c r="AY764" s="52" t="n">
        <v>0</v>
      </c>
      <c r="AZ764" s="52" t="n">
        <v>0</v>
      </c>
      <c r="BA764" s="52" t="n">
        <v>0</v>
      </c>
      <c r="BB764" s="53" t="n">
        <v>0</v>
      </c>
      <c r="BC764" s="52" t="n">
        <v>0</v>
      </c>
      <c r="BD764" s="53" t="n">
        <v>0</v>
      </c>
      <c r="BE764" s="52" t="n">
        <v>0</v>
      </c>
      <c r="BF764" s="51" t="n">
        <v>0</v>
      </c>
    </row>
    <row r="765">
      <c r="A765">
        <f>HYPERLINK("https://www.walmart.com/ip/915377193", "915377193")</f>
        <v/>
      </c>
      <c r="B765" t="inlineStr">
        <is>
          <t>Flyingstar Surf Beach Changing Towel With Hood, Super Absorbent Microfiber Swim Robe Poncho for Men Women Bath Shower Pool,Navy</t>
        </is>
      </c>
      <c r="C765" t="inlineStr">
        <is>
          <t>1WMBR102-NY</t>
        </is>
      </c>
      <c r="D765" t="inlineStr">
        <is>
          <t>Towels &amp; Washcloths</t>
        </is>
      </c>
      <c r="E765" t="inlineStr">
        <is>
          <t>Flyingstar</t>
        </is>
      </c>
      <c r="F765" t="inlineStr">
        <is>
          <t>Batch 1 - TR</t>
        </is>
      </c>
      <c r="G765" s="48" t="n">
        <v>0</v>
      </c>
      <c r="H765" s="49" t="n">
        <v>0</v>
      </c>
      <c r="I765" s="49" t="n">
        <v>0</v>
      </c>
      <c r="J765" s="50" t="n">
        <v>0</v>
      </c>
      <c r="K765" s="51" t="n">
        <v>0</v>
      </c>
      <c r="L765" s="52" t="n">
        <v>0</v>
      </c>
      <c r="M765" s="52" t="n">
        <v>0</v>
      </c>
      <c r="N765" s="52" t="n">
        <v>0</v>
      </c>
      <c r="O765" s="53" t="n">
        <v>0</v>
      </c>
      <c r="P765" s="52" t="n">
        <v>0</v>
      </c>
      <c r="Q765" s="53" t="n">
        <v>0</v>
      </c>
      <c r="R765" s="52" t="n">
        <v>0</v>
      </c>
      <c r="S765" s="51" t="n">
        <v>0</v>
      </c>
      <c r="T765" s="48" t="n">
        <v>0</v>
      </c>
      <c r="U765" s="49" t="n">
        <v>0</v>
      </c>
      <c r="V765" s="49" t="n">
        <v>0</v>
      </c>
      <c r="W765" s="50" t="n">
        <v>0</v>
      </c>
      <c r="X765" s="51" t="n">
        <v>0</v>
      </c>
      <c r="Y765" s="52" t="n">
        <v>0</v>
      </c>
      <c r="Z765" s="52" t="n">
        <v>0</v>
      </c>
      <c r="AA765" s="52" t="n">
        <v>0</v>
      </c>
      <c r="AB765" s="53" t="n">
        <v>0</v>
      </c>
      <c r="AC765" s="52" t="n">
        <v>0</v>
      </c>
      <c r="AD765" s="53" t="n">
        <v>0</v>
      </c>
      <c r="AE765" s="52" t="n">
        <v>0</v>
      </c>
      <c r="AF765" s="51" t="n">
        <v>0</v>
      </c>
      <c r="AG765" s="48" t="n">
        <v>0</v>
      </c>
      <c r="AH765" s="49" t="n">
        <v>0</v>
      </c>
      <c r="AI765" s="49" t="n">
        <v>0</v>
      </c>
      <c r="AJ765" s="50" t="n">
        <v>0</v>
      </c>
      <c r="AK765" s="51" t="n">
        <v>0</v>
      </c>
      <c r="AL765" s="52" t="n">
        <v>0</v>
      </c>
      <c r="AM765" s="52" t="n">
        <v>0</v>
      </c>
      <c r="AN765" s="52" t="n">
        <v>0</v>
      </c>
      <c r="AO765" s="53" t="n">
        <v>0</v>
      </c>
      <c r="AP765" s="52" t="n">
        <v>0</v>
      </c>
      <c r="AQ765" s="53" t="n">
        <v>0</v>
      </c>
      <c r="AR765" s="52" t="n">
        <v>0</v>
      </c>
      <c r="AS765" s="51" t="n">
        <v>0</v>
      </c>
      <c r="AT765" s="48" t="n">
        <v>0</v>
      </c>
      <c r="AU765" s="49" t="n">
        <v>0</v>
      </c>
      <c r="AV765" s="49" t="n">
        <v>0</v>
      </c>
      <c r="AW765" s="50" t="n">
        <v>0</v>
      </c>
      <c r="AX765" s="51" t="n">
        <v>0</v>
      </c>
      <c r="AY765" s="52" t="n">
        <v>0</v>
      </c>
      <c r="AZ765" s="52" t="n">
        <v>0</v>
      </c>
      <c r="BA765" s="52" t="n">
        <v>0</v>
      </c>
      <c r="BB765" s="53" t="n">
        <v>0</v>
      </c>
      <c r="BC765" s="52" t="n">
        <v>0</v>
      </c>
      <c r="BD765" s="53" t="n">
        <v>0</v>
      </c>
      <c r="BE765" s="52" t="n">
        <v>0</v>
      </c>
      <c r="BF765" s="51" t="n">
        <v>0</v>
      </c>
    </row>
    <row r="766">
      <c r="A766">
        <f>HYPERLINK("https://www.walmart.com/ip/915485342", "915485342")</f>
        <v/>
      </c>
      <c r="B766" t="inlineStr">
        <is>
          <t>Sherpa Throw Blanket, Soft Warm Fuzzy Snowflake Blanket  by Catalonia, 60x50 inches, Machine Wash</t>
        </is>
      </c>
      <c r="C766" t="inlineStr">
        <is>
          <t>1CTBF390GY</t>
        </is>
      </c>
      <c r="D766" t="inlineStr">
        <is>
          <t>Throws</t>
        </is>
      </c>
      <c r="E766" t="inlineStr">
        <is>
          <t>Catalonia</t>
        </is>
      </c>
      <c r="F766" t="inlineStr">
        <is>
          <t>Optimized</t>
        </is>
      </c>
      <c r="G766" s="48" t="n">
        <v>0</v>
      </c>
      <c r="H766" s="49" t="n">
        <v>0</v>
      </c>
      <c r="I766" s="49" t="n">
        <v>0</v>
      </c>
      <c r="J766" s="50" t="n">
        <v>0</v>
      </c>
      <c r="K766" s="51" t="n">
        <v>0</v>
      </c>
      <c r="L766" s="52" t="n">
        <v>0</v>
      </c>
      <c r="M766" s="52" t="n">
        <v>0</v>
      </c>
      <c r="N766" s="52" t="n">
        <v>0</v>
      </c>
      <c r="O766" s="53" t="n">
        <v>0</v>
      </c>
      <c r="P766" s="52" t="n">
        <v>0</v>
      </c>
      <c r="Q766" s="53" t="n">
        <v>0</v>
      </c>
      <c r="R766" s="52" t="n">
        <v>0</v>
      </c>
      <c r="S766" s="51" t="n">
        <v>0</v>
      </c>
      <c r="T766" s="48" t="n">
        <v>0</v>
      </c>
      <c r="U766" s="49" t="n">
        <v>0</v>
      </c>
      <c r="V766" s="49" t="n">
        <v>0</v>
      </c>
      <c r="W766" s="50" t="n">
        <v>0</v>
      </c>
      <c r="X766" s="51" t="n">
        <v>0</v>
      </c>
      <c r="Y766" s="52" t="n">
        <v>0</v>
      </c>
      <c r="Z766" s="52" t="n">
        <v>0</v>
      </c>
      <c r="AA766" s="52" t="n">
        <v>0</v>
      </c>
      <c r="AB766" s="53" t="n">
        <v>0</v>
      </c>
      <c r="AC766" s="52" t="n">
        <v>0</v>
      </c>
      <c r="AD766" s="53" t="n">
        <v>0</v>
      </c>
      <c r="AE766" s="52" t="n">
        <v>0</v>
      </c>
      <c r="AF766" s="51" t="n">
        <v>0</v>
      </c>
      <c r="AG766" s="48" t="n">
        <v>0</v>
      </c>
      <c r="AH766" s="49" t="n">
        <v>0</v>
      </c>
      <c r="AI766" s="49" t="n">
        <v>0</v>
      </c>
      <c r="AJ766" s="50" t="n">
        <v>0</v>
      </c>
      <c r="AK766" s="51" t="n">
        <v>0</v>
      </c>
      <c r="AL766" s="52" t="n">
        <v>0</v>
      </c>
      <c r="AM766" s="52" t="n">
        <v>0</v>
      </c>
      <c r="AN766" s="52" t="n">
        <v>0</v>
      </c>
      <c r="AO766" s="53" t="n">
        <v>0</v>
      </c>
      <c r="AP766" s="52" t="n">
        <v>0</v>
      </c>
      <c r="AQ766" s="53" t="n">
        <v>0</v>
      </c>
      <c r="AR766" s="52" t="n">
        <v>0</v>
      </c>
      <c r="AS766" s="51" t="n">
        <v>0</v>
      </c>
      <c r="AT766" s="48" t="n">
        <v>0</v>
      </c>
      <c r="AU766" s="49" t="n">
        <v>0</v>
      </c>
      <c r="AV766" s="49" t="n">
        <v>0</v>
      </c>
      <c r="AW766" s="50" t="n">
        <v>0</v>
      </c>
      <c r="AX766" s="51" t="n">
        <v>0</v>
      </c>
      <c r="AY766" s="52" t="n">
        <v>0</v>
      </c>
      <c r="AZ766" s="52" t="n">
        <v>0</v>
      </c>
      <c r="BA766" s="52" t="n">
        <v>0</v>
      </c>
      <c r="BB766" s="53" t="n">
        <v>0</v>
      </c>
      <c r="BC766" s="52" t="n">
        <v>0</v>
      </c>
      <c r="BD766" s="53" t="n">
        <v>0</v>
      </c>
      <c r="BE766" s="52" t="n">
        <v>0</v>
      </c>
      <c r="BF766" s="51" t="n">
        <v>0</v>
      </c>
    </row>
    <row r="767">
      <c r="A767">
        <f>HYPERLINK("https://www.walmart.com/ip/915647808", "915647808")</f>
        <v/>
      </c>
      <c r="B767" t="inlineStr">
        <is>
          <t>Wearable Fleece Blanket with Sleeves for Adult Women Men, Super Soft Comfy Plush TV Blanket Throw Wrap Cover for Lounge Couch Reading Watching TV 73" x 51" Latte/Beige</t>
        </is>
      </c>
      <c r="C767" t="inlineStr">
        <is>
          <t>1TRSN100LT</t>
        </is>
      </c>
      <c r="D767" t="inlineStr">
        <is>
          <t>Throws</t>
        </is>
      </c>
      <c r="E767" t="inlineStr">
        <is>
          <t>Tirrinia</t>
        </is>
      </c>
      <c r="F767" t="inlineStr">
        <is>
          <t>WFS,WFS Item,Fleece Blankets</t>
        </is>
      </c>
      <c r="G767" s="48" t="n">
        <v>0</v>
      </c>
      <c r="H767" s="49" t="n">
        <v>0</v>
      </c>
      <c r="I767" s="49" t="n">
        <v>0</v>
      </c>
      <c r="J767" s="50" t="n">
        <v>0</v>
      </c>
      <c r="K767" s="51" t="n">
        <v>0</v>
      </c>
      <c r="L767" s="52" t="n">
        <v>0</v>
      </c>
      <c r="M767" s="52" t="n">
        <v>0</v>
      </c>
      <c r="N767" s="52" t="n">
        <v>0</v>
      </c>
      <c r="O767" s="53" t="n">
        <v>0</v>
      </c>
      <c r="P767" s="52" t="n">
        <v>0</v>
      </c>
      <c r="Q767" s="53" t="n">
        <v>0</v>
      </c>
      <c r="R767" s="52" t="n">
        <v>0</v>
      </c>
      <c r="S767" s="51" t="n">
        <v>0</v>
      </c>
      <c r="T767" s="48" t="n">
        <v>0</v>
      </c>
      <c r="U767" s="49" t="n">
        <v>0</v>
      </c>
      <c r="V767" s="49" t="n">
        <v>0</v>
      </c>
      <c r="W767" s="50" t="n">
        <v>0</v>
      </c>
      <c r="X767" s="51" t="n">
        <v>0</v>
      </c>
      <c r="Y767" s="52" t="n">
        <v>0</v>
      </c>
      <c r="Z767" s="52" t="n">
        <v>0</v>
      </c>
      <c r="AA767" s="52" t="n">
        <v>0</v>
      </c>
      <c r="AB767" s="53" t="n">
        <v>0</v>
      </c>
      <c r="AC767" s="52" t="n">
        <v>0</v>
      </c>
      <c r="AD767" s="53" t="n">
        <v>0</v>
      </c>
      <c r="AE767" s="52" t="n">
        <v>0</v>
      </c>
      <c r="AF767" s="51" t="n">
        <v>0</v>
      </c>
      <c r="AG767" s="48" t="n">
        <v>0</v>
      </c>
      <c r="AH767" s="49" t="n">
        <v>0</v>
      </c>
      <c r="AI767" s="49" t="n">
        <v>0</v>
      </c>
      <c r="AJ767" s="50" t="n">
        <v>0</v>
      </c>
      <c r="AK767" s="51" t="n">
        <v>0</v>
      </c>
      <c r="AL767" s="52" t="n">
        <v>0</v>
      </c>
      <c r="AM767" s="52" t="n">
        <v>0</v>
      </c>
      <c r="AN767" s="52" t="n">
        <v>0</v>
      </c>
      <c r="AO767" s="53" t="n">
        <v>0</v>
      </c>
      <c r="AP767" s="52" t="n">
        <v>0</v>
      </c>
      <c r="AQ767" s="53" t="n">
        <v>0</v>
      </c>
      <c r="AR767" s="52" t="n">
        <v>0</v>
      </c>
      <c r="AS767" s="51" t="n">
        <v>0</v>
      </c>
      <c r="AT767" s="48" t="n">
        <v>0</v>
      </c>
      <c r="AU767" s="49" t="n">
        <v>0</v>
      </c>
      <c r="AV767" s="49" t="n">
        <v>0</v>
      </c>
      <c r="AW767" s="50" t="n">
        <v>0</v>
      </c>
      <c r="AX767" s="51" t="n">
        <v>0</v>
      </c>
      <c r="AY767" s="52" t="n">
        <v>0</v>
      </c>
      <c r="AZ767" s="52" t="n">
        <v>0</v>
      </c>
      <c r="BA767" s="52" t="n">
        <v>0</v>
      </c>
      <c r="BB767" s="53" t="n">
        <v>0</v>
      </c>
      <c r="BC767" s="52" t="n">
        <v>0</v>
      </c>
      <c r="BD767" s="53" t="n">
        <v>0</v>
      </c>
      <c r="BE767" s="52" t="n">
        <v>0</v>
      </c>
      <c r="BF767" s="51" t="n">
        <v>0</v>
      </c>
    </row>
    <row r="768">
      <c r="A768">
        <f>HYPERLINK("https://www.walmart.com/ip/916273017", "916273017")</f>
        <v/>
      </c>
      <c r="B768" t="inlineStr">
        <is>
          <t>Catalonia Microfiber Plush Throw Blanket for Couch and Bed, Holiday Theme Sherpa Fleece Throw Christmas Gift Blanket, Super Soft, Comfy, Cozy, Fluffy, and Warm, Blue, 90'' x 90''</t>
        </is>
      </c>
      <c r="C768" t="inlineStr">
        <is>
          <t>1CTBF399BL</t>
        </is>
      </c>
      <c r="D768" t="inlineStr">
        <is>
          <t>Throws</t>
        </is>
      </c>
      <c r="E768" t="inlineStr">
        <is>
          <t>Catalonia</t>
        </is>
      </c>
      <c r="F768" t="inlineStr">
        <is>
          <t>WFS,Coupon_Discount,WFS Item</t>
        </is>
      </c>
      <c r="G768" s="48" t="n">
        <v>0</v>
      </c>
      <c r="H768" s="49" t="n">
        <v>0</v>
      </c>
      <c r="I768" s="49" t="n">
        <v>0</v>
      </c>
      <c r="J768" s="50" t="n">
        <v>0</v>
      </c>
      <c r="K768" s="51" t="n">
        <v>0</v>
      </c>
      <c r="L768" s="52" t="n">
        <v>0</v>
      </c>
      <c r="M768" s="52" t="n">
        <v>0</v>
      </c>
      <c r="N768" s="52" t="n">
        <v>0</v>
      </c>
      <c r="O768" s="53" t="n">
        <v>0</v>
      </c>
      <c r="P768" s="52" t="n">
        <v>0</v>
      </c>
      <c r="Q768" s="53" t="n">
        <v>0</v>
      </c>
      <c r="R768" s="52" t="n">
        <v>0</v>
      </c>
      <c r="S768" s="51" t="n">
        <v>0</v>
      </c>
      <c r="T768" s="48" t="n">
        <v>0</v>
      </c>
      <c r="U768" s="49" t="n">
        <v>0</v>
      </c>
      <c r="V768" s="49" t="n">
        <v>0</v>
      </c>
      <c r="W768" s="50" t="n">
        <v>0</v>
      </c>
      <c r="X768" s="51" t="n">
        <v>0</v>
      </c>
      <c r="Y768" s="52" t="n">
        <v>0</v>
      </c>
      <c r="Z768" s="52" t="n">
        <v>0</v>
      </c>
      <c r="AA768" s="52" t="n">
        <v>0</v>
      </c>
      <c r="AB768" s="53" t="n">
        <v>0</v>
      </c>
      <c r="AC768" s="52" t="n">
        <v>0</v>
      </c>
      <c r="AD768" s="53" t="n">
        <v>0</v>
      </c>
      <c r="AE768" s="52" t="n">
        <v>0</v>
      </c>
      <c r="AF768" s="51" t="n">
        <v>0</v>
      </c>
      <c r="AG768" s="48" t="n">
        <v>0</v>
      </c>
      <c r="AH768" s="49" t="n">
        <v>0</v>
      </c>
      <c r="AI768" s="49" t="n">
        <v>0</v>
      </c>
      <c r="AJ768" s="50" t="n">
        <v>0</v>
      </c>
      <c r="AK768" s="51" t="n">
        <v>0</v>
      </c>
      <c r="AL768" s="52" t="n">
        <v>0</v>
      </c>
      <c r="AM768" s="52" t="n">
        <v>0</v>
      </c>
      <c r="AN768" s="52" t="n">
        <v>0</v>
      </c>
      <c r="AO768" s="53" t="n">
        <v>0</v>
      </c>
      <c r="AP768" s="52" t="n">
        <v>0</v>
      </c>
      <c r="AQ768" s="53" t="n">
        <v>0</v>
      </c>
      <c r="AR768" s="52" t="n">
        <v>0</v>
      </c>
      <c r="AS768" s="51" t="n">
        <v>0</v>
      </c>
      <c r="AT768" s="48" t="n">
        <v>0</v>
      </c>
      <c r="AU768" s="49" t="n">
        <v>0</v>
      </c>
      <c r="AV768" s="49" t="n">
        <v>0</v>
      </c>
      <c r="AW768" s="50" t="n">
        <v>0</v>
      </c>
      <c r="AX768" s="51" t="n">
        <v>0</v>
      </c>
      <c r="AY768" s="52" t="n">
        <v>0</v>
      </c>
      <c r="AZ768" s="52" t="n">
        <v>0</v>
      </c>
      <c r="BA768" s="52" t="n">
        <v>0</v>
      </c>
      <c r="BB768" s="53" t="n">
        <v>0</v>
      </c>
      <c r="BC768" s="52" t="n">
        <v>0</v>
      </c>
      <c r="BD768" s="53" t="n">
        <v>0</v>
      </c>
      <c r="BE768" s="52" t="n">
        <v>0</v>
      </c>
      <c r="BF768" s="51" t="n">
        <v>0</v>
      </c>
    </row>
    <row r="769">
      <c r="A769">
        <f>HYPERLINK("https://www.walmart.com/ip/916711212", "916711212")</f>
        <v/>
      </c>
      <c r="B769" t="inlineStr">
        <is>
          <t>Tirrinia 2 Bottle Wine Tote Carrier - Leakproof &amp; Insulated Padded Versatile Wine Cooler Bag for Travel, BYOB Restaurant, Wine Tasting, Party, Dinner, Great Christmas Day Gift for Wine Lover, Black</t>
        </is>
      </c>
      <c r="C769" t="inlineStr">
        <is>
          <t>1KTWB220BK</t>
        </is>
      </c>
      <c r="D769" t="inlineStr">
        <is>
          <t>Wine Totes, Bags &amp; Backpacks</t>
        </is>
      </c>
      <c r="E769" t="inlineStr">
        <is>
          <t>Tirrinia</t>
        </is>
      </c>
      <c r="F769" t="inlineStr">
        <is>
          <t>Wine,Christmas,WFS,Valentine,SEM,WFS Item</t>
        </is>
      </c>
      <c r="G769" s="48" t="n">
        <v>0</v>
      </c>
      <c r="H769" s="49" t="n">
        <v>0</v>
      </c>
      <c r="I769" s="49" t="n">
        <v>0</v>
      </c>
      <c r="J769" s="50" t="n">
        <v>0</v>
      </c>
      <c r="K769" s="51" t="n">
        <v>0</v>
      </c>
      <c r="L769" s="52" t="n">
        <v>0</v>
      </c>
      <c r="M769" s="52" t="n">
        <v>0</v>
      </c>
      <c r="N769" s="52" t="n">
        <v>0</v>
      </c>
      <c r="O769" s="53" t="n">
        <v>0</v>
      </c>
      <c r="P769" s="52" t="n">
        <v>0</v>
      </c>
      <c r="Q769" s="53" t="n">
        <v>0</v>
      </c>
      <c r="R769" s="52" t="n">
        <v>0</v>
      </c>
      <c r="S769" s="51" t="n">
        <v>0</v>
      </c>
      <c r="T769" s="48" t="n">
        <v>49.98</v>
      </c>
      <c r="U769" s="49" t="n">
        <v>2</v>
      </c>
      <c r="V769" s="49" t="n">
        <v>0</v>
      </c>
      <c r="W769" s="50" t="n">
        <v>0</v>
      </c>
      <c r="X769" s="51" t="n">
        <v>0</v>
      </c>
      <c r="Y769" s="52" t="n">
        <v>0</v>
      </c>
      <c r="Z769" s="52" t="n">
        <v>0</v>
      </c>
      <c r="AA769" s="52" t="n">
        <v>0</v>
      </c>
      <c r="AB769" s="53" t="n">
        <v>0</v>
      </c>
      <c r="AC769" s="52" t="n">
        <v>0</v>
      </c>
      <c r="AD769" s="53" t="n">
        <v>0</v>
      </c>
      <c r="AE769" s="52" t="n">
        <v>24.99</v>
      </c>
      <c r="AF769" s="51" t="n">
        <v>0</v>
      </c>
      <c r="AG769" s="48" t="n">
        <v>0</v>
      </c>
      <c r="AH769" s="49" t="n">
        <v>0</v>
      </c>
      <c r="AI769" s="49" t="n">
        <v>0</v>
      </c>
      <c r="AJ769" s="50" t="n">
        <v>0</v>
      </c>
      <c r="AK769" s="51" t="n">
        <v>0</v>
      </c>
      <c r="AL769" s="52" t="n">
        <v>0</v>
      </c>
      <c r="AM769" s="52" t="n">
        <v>0</v>
      </c>
      <c r="AN769" s="52" t="n">
        <v>0</v>
      </c>
      <c r="AO769" s="53" t="n">
        <v>0</v>
      </c>
      <c r="AP769" s="52" t="n">
        <v>0</v>
      </c>
      <c r="AQ769" s="53" t="n">
        <v>0</v>
      </c>
      <c r="AR769" s="52" t="n">
        <v>0</v>
      </c>
      <c r="AS769" s="51" t="n">
        <v>0</v>
      </c>
      <c r="AT769" s="48" t="n">
        <v>0</v>
      </c>
      <c r="AU769" s="49" t="n">
        <v>0</v>
      </c>
      <c r="AV769" s="49" t="n">
        <v>0</v>
      </c>
      <c r="AW769" s="50" t="n">
        <v>0</v>
      </c>
      <c r="AX769" s="51" t="n">
        <v>0</v>
      </c>
      <c r="AY769" s="52" t="n">
        <v>0</v>
      </c>
      <c r="AZ769" s="52" t="n">
        <v>0</v>
      </c>
      <c r="BA769" s="52" t="n">
        <v>0</v>
      </c>
      <c r="BB769" s="53" t="n">
        <v>0</v>
      </c>
      <c r="BC769" s="52" t="n">
        <v>0</v>
      </c>
      <c r="BD769" s="53" t="n">
        <v>0</v>
      </c>
      <c r="BE769" s="52" t="n">
        <v>0</v>
      </c>
      <c r="BF769" s="51" t="n">
        <v>0</v>
      </c>
    </row>
    <row r="770">
      <c r="A770">
        <f>HYPERLINK("https://www.walmart.com/ip/917118066", "917118066")</f>
        <v/>
      </c>
      <c r="B770" t="inlineStr">
        <is>
          <t>Tirrinia Insulated Lunch Bag for Women Men, Leakproof Thermal Reusable Lunch Box Tote for Adult &amp; Kids by Tirrinia, Lunch Cooler for Office Work, Dark Grey</t>
        </is>
      </c>
      <c r="C770" t="inlineStr">
        <is>
          <t>1TRLB701P1BR</t>
        </is>
      </c>
      <c r="D770" t="inlineStr">
        <is>
          <t>Reusable Lunch Bags &amp; Boxes</t>
        </is>
      </c>
      <c r="E770" t="inlineStr">
        <is>
          <t>Tirrinia</t>
        </is>
      </c>
      <c r="F770" t="inlineStr">
        <is>
          <t>Q2-Target,Brand Camp VD,Lunch Bag,Optimized,Lunch Bags,SEM</t>
        </is>
      </c>
      <c r="G770" s="48" t="n">
        <v>0</v>
      </c>
      <c r="H770" s="49" t="n">
        <v>0</v>
      </c>
      <c r="I770" s="49" t="n">
        <v>0</v>
      </c>
      <c r="J770" s="50" t="n">
        <v>0</v>
      </c>
      <c r="K770" s="51" t="n">
        <v>0</v>
      </c>
      <c r="L770" s="52" t="n">
        <v>0</v>
      </c>
      <c r="M770" s="52" t="n">
        <v>0</v>
      </c>
      <c r="N770" s="52" t="n">
        <v>0</v>
      </c>
      <c r="O770" s="53" t="n">
        <v>0</v>
      </c>
      <c r="P770" s="52" t="n">
        <v>0</v>
      </c>
      <c r="Q770" s="53" t="n">
        <v>0</v>
      </c>
      <c r="R770" s="52" t="n">
        <v>0</v>
      </c>
      <c r="S770" s="51" t="n">
        <v>0</v>
      </c>
      <c r="T770" s="48" t="n">
        <v>0</v>
      </c>
      <c r="U770" s="49" t="n">
        <v>0</v>
      </c>
      <c r="V770" s="49" t="n">
        <v>0</v>
      </c>
      <c r="W770" s="50" t="n">
        <v>0</v>
      </c>
      <c r="X770" s="51" t="n">
        <v>0</v>
      </c>
      <c r="Y770" s="52" t="n">
        <v>0</v>
      </c>
      <c r="Z770" s="52" t="n">
        <v>0</v>
      </c>
      <c r="AA770" s="52" t="n">
        <v>0</v>
      </c>
      <c r="AB770" s="53" t="n">
        <v>0</v>
      </c>
      <c r="AC770" s="52" t="n">
        <v>0</v>
      </c>
      <c r="AD770" s="53" t="n">
        <v>0</v>
      </c>
      <c r="AE770" s="52" t="n">
        <v>0</v>
      </c>
      <c r="AF770" s="51" t="n">
        <v>0</v>
      </c>
      <c r="AG770" s="48" t="n">
        <v>13.99</v>
      </c>
      <c r="AH770" s="49" t="n">
        <v>1</v>
      </c>
      <c r="AI770" s="49" t="n">
        <v>0</v>
      </c>
      <c r="AJ770" s="50" t="n">
        <v>0</v>
      </c>
      <c r="AK770" s="51" t="n">
        <v>0</v>
      </c>
      <c r="AL770" s="52" t="n">
        <v>0</v>
      </c>
      <c r="AM770" s="52" t="n">
        <v>0</v>
      </c>
      <c r="AN770" s="52" t="n">
        <v>0</v>
      </c>
      <c r="AO770" s="53" t="n">
        <v>0</v>
      </c>
      <c r="AP770" s="52" t="n">
        <v>0</v>
      </c>
      <c r="AQ770" s="53" t="n">
        <v>0</v>
      </c>
      <c r="AR770" s="52" t="n">
        <v>13.99</v>
      </c>
      <c r="AS770" s="51" t="n">
        <v>0</v>
      </c>
      <c r="AT770" s="48" t="n">
        <v>0</v>
      </c>
      <c r="AU770" s="49" t="n">
        <v>0</v>
      </c>
      <c r="AV770" s="49" t="n">
        <v>0</v>
      </c>
      <c r="AW770" s="50" t="n">
        <v>0</v>
      </c>
      <c r="AX770" s="51" t="n">
        <v>0</v>
      </c>
      <c r="AY770" s="52" t="n">
        <v>0</v>
      </c>
      <c r="AZ770" s="52" t="n">
        <v>0</v>
      </c>
      <c r="BA770" s="52" t="n">
        <v>0</v>
      </c>
      <c r="BB770" s="53" t="n">
        <v>0</v>
      </c>
      <c r="BC770" s="52" t="n">
        <v>0</v>
      </c>
      <c r="BD770" s="53" t="n">
        <v>0</v>
      </c>
      <c r="BE770" s="52" t="n">
        <v>0</v>
      </c>
      <c r="BF770" s="51" t="n">
        <v>0</v>
      </c>
    </row>
    <row r="771">
      <c r="A771">
        <f>HYPERLINK("https://www.walmart.com/ip/917761016", "917761016")</f>
        <v/>
      </c>
      <c r="B771" t="inlineStr">
        <is>
          <t>Catalonia Sherpa Throw Blanket, Fuzzy Snuggle Blanket for Camping Traveling Couch Bed, Super Soft, Light Weight, Reversible, All Season Use, 50x60 inches, Gray</t>
        </is>
      </c>
      <c r="C771" t="inlineStr">
        <is>
          <t>1CTBF579GY</t>
        </is>
      </c>
      <c r="D771" t="inlineStr">
        <is>
          <t>Throws</t>
        </is>
      </c>
      <c r="E771" t="inlineStr">
        <is>
          <t>Catalonia</t>
        </is>
      </c>
      <c r="F771" t="inlineStr">
        <is>
          <t>WFS,WFS Item</t>
        </is>
      </c>
      <c r="G771" s="48" t="n">
        <v>0</v>
      </c>
      <c r="H771" s="49" t="n">
        <v>0</v>
      </c>
      <c r="I771" s="49" t="n">
        <v>0</v>
      </c>
      <c r="J771" s="50" t="n">
        <v>0</v>
      </c>
      <c r="K771" s="51" t="n">
        <v>0</v>
      </c>
      <c r="L771" s="52" t="n">
        <v>0</v>
      </c>
      <c r="M771" s="52" t="n">
        <v>0</v>
      </c>
      <c r="N771" s="52" t="n">
        <v>0</v>
      </c>
      <c r="O771" s="53" t="n">
        <v>0</v>
      </c>
      <c r="P771" s="52" t="n">
        <v>0</v>
      </c>
      <c r="Q771" s="53" t="n">
        <v>0</v>
      </c>
      <c r="R771" s="52" t="n">
        <v>0</v>
      </c>
      <c r="S771" s="51" t="n">
        <v>0</v>
      </c>
      <c r="T771" s="48" t="n">
        <v>0</v>
      </c>
      <c r="U771" s="49" t="n">
        <v>0</v>
      </c>
      <c r="V771" s="49" t="n">
        <v>0</v>
      </c>
      <c r="W771" s="50" t="n">
        <v>0</v>
      </c>
      <c r="X771" s="51" t="n">
        <v>0</v>
      </c>
      <c r="Y771" s="52" t="n">
        <v>0</v>
      </c>
      <c r="Z771" s="52" t="n">
        <v>0</v>
      </c>
      <c r="AA771" s="52" t="n">
        <v>0</v>
      </c>
      <c r="AB771" s="53" t="n">
        <v>0</v>
      </c>
      <c r="AC771" s="52" t="n">
        <v>0</v>
      </c>
      <c r="AD771" s="53" t="n">
        <v>0</v>
      </c>
      <c r="AE771" s="52" t="n">
        <v>0</v>
      </c>
      <c r="AF771" s="51" t="n">
        <v>0</v>
      </c>
      <c r="AG771" s="48" t="n">
        <v>0</v>
      </c>
      <c r="AH771" s="49" t="n">
        <v>0</v>
      </c>
      <c r="AI771" s="49" t="n">
        <v>0</v>
      </c>
      <c r="AJ771" s="50" t="n">
        <v>0</v>
      </c>
      <c r="AK771" s="51" t="n">
        <v>0</v>
      </c>
      <c r="AL771" s="52" t="n">
        <v>0</v>
      </c>
      <c r="AM771" s="52" t="n">
        <v>0</v>
      </c>
      <c r="AN771" s="52" t="n">
        <v>0</v>
      </c>
      <c r="AO771" s="53" t="n">
        <v>0</v>
      </c>
      <c r="AP771" s="52" t="n">
        <v>0</v>
      </c>
      <c r="AQ771" s="53" t="n">
        <v>0</v>
      </c>
      <c r="AR771" s="52" t="n">
        <v>0</v>
      </c>
      <c r="AS771" s="51" t="n">
        <v>0</v>
      </c>
      <c r="AT771" s="48" t="n">
        <v>0</v>
      </c>
      <c r="AU771" s="49" t="n">
        <v>0</v>
      </c>
      <c r="AV771" s="49" t="n">
        <v>0</v>
      </c>
      <c r="AW771" s="50" t="n">
        <v>0</v>
      </c>
      <c r="AX771" s="51" t="n">
        <v>0</v>
      </c>
      <c r="AY771" s="52" t="n">
        <v>0</v>
      </c>
      <c r="AZ771" s="52" t="n">
        <v>0</v>
      </c>
      <c r="BA771" s="52" t="n">
        <v>0</v>
      </c>
      <c r="BB771" s="53" t="n">
        <v>0</v>
      </c>
      <c r="BC771" s="52" t="n">
        <v>0</v>
      </c>
      <c r="BD771" s="53" t="n">
        <v>0</v>
      </c>
      <c r="BE771" s="52" t="n">
        <v>0</v>
      </c>
      <c r="BF771" s="51" t="n">
        <v>0</v>
      </c>
    </row>
    <row r="772">
      <c r="A772">
        <f>HYPERLINK("https://www.walmart.com/ip/918543792", "918543792")</f>
        <v/>
      </c>
      <c r="B772" t="inlineStr">
        <is>
          <t>Tankini Swimsuits for Women Two Piece Bathing Suits Open Back Flattering Swimwear</t>
        </is>
      </c>
      <c r="C772" t="inlineStr">
        <is>
          <t>1SLSS005BK-M</t>
        </is>
      </c>
      <c r="D772" t="inlineStr">
        <is>
          <t>Swimsuit Sets</t>
        </is>
      </c>
      <c r="E772" t="inlineStr">
        <is>
          <t>Solaris</t>
        </is>
      </c>
      <c r="F772" t="inlineStr">
        <is>
          <t>Optimized</t>
        </is>
      </c>
      <c r="G772" s="48" t="n">
        <v>0</v>
      </c>
      <c r="H772" s="49" t="n">
        <v>0</v>
      </c>
      <c r="I772" s="49" t="n">
        <v>0</v>
      </c>
      <c r="J772" s="50" t="n">
        <v>0</v>
      </c>
      <c r="K772" s="51" t="n">
        <v>0</v>
      </c>
      <c r="L772" s="52" t="n">
        <v>0</v>
      </c>
      <c r="M772" s="52" t="n">
        <v>0</v>
      </c>
      <c r="N772" s="52" t="n">
        <v>0</v>
      </c>
      <c r="O772" s="53" t="n">
        <v>0</v>
      </c>
      <c r="P772" s="52" t="n">
        <v>0</v>
      </c>
      <c r="Q772" s="53" t="n">
        <v>0</v>
      </c>
      <c r="R772" s="52" t="n">
        <v>0</v>
      </c>
      <c r="S772" s="51" t="n">
        <v>0</v>
      </c>
      <c r="T772" s="48" t="n">
        <v>0</v>
      </c>
      <c r="U772" s="49" t="n">
        <v>0</v>
      </c>
      <c r="V772" s="49" t="n">
        <v>0</v>
      </c>
      <c r="W772" s="50" t="n">
        <v>0</v>
      </c>
      <c r="X772" s="51" t="n">
        <v>0</v>
      </c>
      <c r="Y772" s="52" t="n">
        <v>0</v>
      </c>
      <c r="Z772" s="52" t="n">
        <v>0</v>
      </c>
      <c r="AA772" s="52" t="n">
        <v>0</v>
      </c>
      <c r="AB772" s="53" t="n">
        <v>0</v>
      </c>
      <c r="AC772" s="52" t="n">
        <v>0</v>
      </c>
      <c r="AD772" s="53" t="n">
        <v>0</v>
      </c>
      <c r="AE772" s="52" t="n">
        <v>0</v>
      </c>
      <c r="AF772" s="51" t="n">
        <v>0</v>
      </c>
      <c r="AG772" s="48" t="n">
        <v>0</v>
      </c>
      <c r="AH772" s="49" t="n">
        <v>0</v>
      </c>
      <c r="AI772" s="49" t="n">
        <v>0</v>
      </c>
      <c r="AJ772" s="50" t="n">
        <v>0</v>
      </c>
      <c r="AK772" s="51" t="n">
        <v>0</v>
      </c>
      <c r="AL772" s="52" t="n">
        <v>0</v>
      </c>
      <c r="AM772" s="52" t="n">
        <v>0</v>
      </c>
      <c r="AN772" s="52" t="n">
        <v>0</v>
      </c>
      <c r="AO772" s="53" t="n">
        <v>0</v>
      </c>
      <c r="AP772" s="52" t="n">
        <v>0</v>
      </c>
      <c r="AQ772" s="53" t="n">
        <v>0</v>
      </c>
      <c r="AR772" s="52" t="n">
        <v>0</v>
      </c>
      <c r="AS772" s="51" t="n">
        <v>0</v>
      </c>
      <c r="AT772" s="48" t="n">
        <v>0</v>
      </c>
      <c r="AU772" s="49" t="n">
        <v>0</v>
      </c>
      <c r="AV772" s="49" t="n">
        <v>0</v>
      </c>
      <c r="AW772" s="50" t="n">
        <v>0</v>
      </c>
      <c r="AX772" s="51" t="n">
        <v>0</v>
      </c>
      <c r="AY772" s="52" t="n">
        <v>0</v>
      </c>
      <c r="AZ772" s="52" t="n">
        <v>0</v>
      </c>
      <c r="BA772" s="52" t="n">
        <v>0</v>
      </c>
      <c r="BB772" s="53" t="n">
        <v>0</v>
      </c>
      <c r="BC772" s="52" t="n">
        <v>0</v>
      </c>
      <c r="BD772" s="53" t="n">
        <v>0</v>
      </c>
      <c r="BE772" s="52" t="n">
        <v>0</v>
      </c>
      <c r="BF772" s="51" t="n">
        <v>0</v>
      </c>
    </row>
    <row r="773">
      <c r="A773">
        <f>HYPERLINK("https://www.walmart.com/ip/918795016", "918795016")</f>
        <v/>
      </c>
      <c r="B773" t="inlineStr">
        <is>
          <t>Flyingstar Mermaid Tail Blanket, Soft Flannel Fleece All Seasons Sleeping Blanket for Kids Adults, Rainbow Ombre Fish Scale Design Snuggle Blanket, Best Gifts</t>
        </is>
      </c>
      <c r="C773" t="inlineStr">
        <is>
          <t>1WMMP100LB</t>
        </is>
      </c>
      <c r="D773" t="inlineStr">
        <is>
          <t>Throws</t>
        </is>
      </c>
      <c r="E773" t="inlineStr">
        <is>
          <t>Flyingstar</t>
        </is>
      </c>
      <c r="F773" t="inlineStr">
        <is>
          <t>Baby days,Optimized</t>
        </is>
      </c>
      <c r="G773" s="48" t="n">
        <v>0</v>
      </c>
      <c r="H773" s="49" t="n">
        <v>0</v>
      </c>
      <c r="I773" s="49" t="n">
        <v>0</v>
      </c>
      <c r="J773" s="50" t="n">
        <v>0</v>
      </c>
      <c r="K773" s="51" t="n">
        <v>0</v>
      </c>
      <c r="L773" s="52" t="n">
        <v>0</v>
      </c>
      <c r="M773" s="52" t="n">
        <v>0</v>
      </c>
      <c r="N773" s="52" t="n">
        <v>0</v>
      </c>
      <c r="O773" s="53" t="n">
        <v>0</v>
      </c>
      <c r="P773" s="52" t="n">
        <v>0</v>
      </c>
      <c r="Q773" s="53" t="n">
        <v>0</v>
      </c>
      <c r="R773" s="52" t="n">
        <v>0</v>
      </c>
      <c r="S773" s="51" t="n">
        <v>0</v>
      </c>
      <c r="T773" s="48" t="n">
        <v>0</v>
      </c>
      <c r="U773" s="49" t="n">
        <v>0</v>
      </c>
      <c r="V773" s="49" t="n">
        <v>0</v>
      </c>
      <c r="W773" s="50" t="n">
        <v>0</v>
      </c>
      <c r="X773" s="51" t="n">
        <v>0</v>
      </c>
      <c r="Y773" s="52" t="n">
        <v>0</v>
      </c>
      <c r="Z773" s="52" t="n">
        <v>0</v>
      </c>
      <c r="AA773" s="52" t="n">
        <v>0</v>
      </c>
      <c r="AB773" s="53" t="n">
        <v>0</v>
      </c>
      <c r="AC773" s="52" t="n">
        <v>0</v>
      </c>
      <c r="AD773" s="53" t="n">
        <v>0</v>
      </c>
      <c r="AE773" s="52" t="n">
        <v>0</v>
      </c>
      <c r="AF773" s="51" t="n">
        <v>0</v>
      </c>
      <c r="AG773" s="48" t="n">
        <v>0</v>
      </c>
      <c r="AH773" s="49" t="n">
        <v>0</v>
      </c>
      <c r="AI773" s="49" t="n">
        <v>0</v>
      </c>
      <c r="AJ773" s="50" t="n">
        <v>0</v>
      </c>
      <c r="AK773" s="51" t="n">
        <v>0</v>
      </c>
      <c r="AL773" s="52" t="n">
        <v>0</v>
      </c>
      <c r="AM773" s="52" t="n">
        <v>0</v>
      </c>
      <c r="AN773" s="52" t="n">
        <v>0</v>
      </c>
      <c r="AO773" s="53" t="n">
        <v>0</v>
      </c>
      <c r="AP773" s="52" t="n">
        <v>0</v>
      </c>
      <c r="AQ773" s="53" t="n">
        <v>0</v>
      </c>
      <c r="AR773" s="52" t="n">
        <v>0</v>
      </c>
      <c r="AS773" s="51" t="n">
        <v>0</v>
      </c>
      <c r="AT773" s="48" t="n">
        <v>0</v>
      </c>
      <c r="AU773" s="49" t="n">
        <v>0</v>
      </c>
      <c r="AV773" s="49" t="n">
        <v>0</v>
      </c>
      <c r="AW773" s="50" t="n">
        <v>0</v>
      </c>
      <c r="AX773" s="51" t="n">
        <v>0</v>
      </c>
      <c r="AY773" s="52" t="n">
        <v>0</v>
      </c>
      <c r="AZ773" s="52" t="n">
        <v>0</v>
      </c>
      <c r="BA773" s="52" t="n">
        <v>0</v>
      </c>
      <c r="BB773" s="53" t="n">
        <v>0</v>
      </c>
      <c r="BC773" s="52" t="n">
        <v>0</v>
      </c>
      <c r="BD773" s="53" t="n">
        <v>0</v>
      </c>
      <c r="BE773" s="52" t="n">
        <v>0</v>
      </c>
      <c r="BF773" s="51" t="n">
        <v>0</v>
      </c>
    </row>
    <row r="774">
      <c r="A774">
        <f>HYPERLINK("https://www.walmart.com/ip/891228357", "891228357")</f>
        <v/>
      </c>
      <c r="B774" t="inlineStr">
        <is>
          <t>Tirrinia Outdoor Boonie Sun Protection Hat, Mesh Bucket Hat with Wide Brim, Camping, Hiking, Fishing, Hunting, Boating, Safari Cap with Adjustable Drawstring, Gray</t>
        </is>
      </c>
      <c r="C774" t="inlineStr">
        <is>
          <t>KC-S9154-GY</t>
        </is>
      </c>
      <c r="D774" t="inlineStr">
        <is>
          <t>Hats</t>
        </is>
      </c>
      <c r="E774" t="inlineStr">
        <is>
          <t>Sun Blocker</t>
        </is>
      </c>
      <c r="F774" t="inlineStr">
        <is>
          <t>Q2-Target,WFS,Hats,WFS Item</t>
        </is>
      </c>
      <c r="G774" s="48" t="n">
        <v>0</v>
      </c>
      <c r="H774" s="49" t="n">
        <v>0</v>
      </c>
      <c r="I774" s="49" t="n">
        <v>0</v>
      </c>
      <c r="J774" s="50" t="n">
        <v>0</v>
      </c>
      <c r="K774" s="51" t="n">
        <v>0</v>
      </c>
      <c r="L774" s="52" t="n">
        <v>0</v>
      </c>
      <c r="M774" s="52" t="n">
        <v>0</v>
      </c>
      <c r="N774" s="52" t="n">
        <v>0</v>
      </c>
      <c r="O774" s="53" t="n">
        <v>0</v>
      </c>
      <c r="P774" s="52" t="n">
        <v>0</v>
      </c>
      <c r="Q774" s="53" t="n">
        <v>0</v>
      </c>
      <c r="R774" s="52" t="n">
        <v>0</v>
      </c>
      <c r="S774" s="51" t="n">
        <v>0</v>
      </c>
      <c r="T774" s="48" t="n">
        <v>0</v>
      </c>
      <c r="U774" s="49" t="n">
        <v>0</v>
      </c>
      <c r="V774" s="49" t="n">
        <v>0</v>
      </c>
      <c r="W774" s="50" t="n">
        <v>0</v>
      </c>
      <c r="X774" s="51" t="n">
        <v>0</v>
      </c>
      <c r="Y774" s="52" t="n">
        <v>0</v>
      </c>
      <c r="Z774" s="52" t="n">
        <v>0</v>
      </c>
      <c r="AA774" s="52" t="n">
        <v>0</v>
      </c>
      <c r="AB774" s="53" t="n">
        <v>0</v>
      </c>
      <c r="AC774" s="52" t="n">
        <v>0</v>
      </c>
      <c r="AD774" s="53" t="n">
        <v>0</v>
      </c>
      <c r="AE774" s="52" t="n">
        <v>0</v>
      </c>
      <c r="AF774" s="51" t="n">
        <v>0</v>
      </c>
      <c r="AG774" s="48" t="n">
        <v>0</v>
      </c>
      <c r="AH774" s="49" t="n">
        <v>0</v>
      </c>
      <c r="AI774" s="49" t="n">
        <v>0</v>
      </c>
      <c r="AJ774" s="50" t="n">
        <v>0</v>
      </c>
      <c r="AK774" s="51" t="n">
        <v>0</v>
      </c>
      <c r="AL774" s="52" t="n">
        <v>0</v>
      </c>
      <c r="AM774" s="52" t="n">
        <v>0</v>
      </c>
      <c r="AN774" s="52" t="n">
        <v>0</v>
      </c>
      <c r="AO774" s="53" t="n">
        <v>0</v>
      </c>
      <c r="AP774" s="52" t="n">
        <v>0</v>
      </c>
      <c r="AQ774" s="53" t="n">
        <v>0</v>
      </c>
      <c r="AR774" s="52" t="n">
        <v>0</v>
      </c>
      <c r="AS774" s="51" t="n">
        <v>0</v>
      </c>
      <c r="AT774" s="48" t="n">
        <v>0</v>
      </c>
      <c r="AU774" s="49" t="n">
        <v>0</v>
      </c>
      <c r="AV774" s="49" t="n">
        <v>0</v>
      </c>
      <c r="AW774" s="50" t="n">
        <v>0</v>
      </c>
      <c r="AX774" s="51" t="n">
        <v>0</v>
      </c>
      <c r="AY774" s="52" t="n">
        <v>0</v>
      </c>
      <c r="AZ774" s="52" t="n">
        <v>0</v>
      </c>
      <c r="BA774" s="52" t="n">
        <v>0</v>
      </c>
      <c r="BB774" s="53" t="n">
        <v>0</v>
      </c>
      <c r="BC774" s="52" t="n">
        <v>0</v>
      </c>
      <c r="BD774" s="53" t="n">
        <v>0</v>
      </c>
      <c r="BE774" s="52" t="n">
        <v>0</v>
      </c>
      <c r="BF774" s="51" t="n">
        <v>0</v>
      </c>
    </row>
    <row r="775">
      <c r="A775">
        <f>HYPERLINK("https://www.walmart.com/ip/890773297", "890773297")</f>
        <v/>
      </c>
      <c r="B775" t="inlineStr">
        <is>
          <t>Catalonia Microfiber Throw Blanket for Couch and Bed, Fleece Blanket, Sherpa Blankets and Throws, Super Soft, Comfy, Cozy, Fluffy, Warm, Gray, 90'' x 90''</t>
        </is>
      </c>
      <c r="C775" t="inlineStr">
        <is>
          <t>1CTBF399GY</t>
        </is>
      </c>
      <c r="D775" t="inlineStr">
        <is>
          <t>Throws</t>
        </is>
      </c>
      <c r="E775" t="inlineStr">
        <is>
          <t>Catalonia</t>
        </is>
      </c>
      <c r="F775" t="inlineStr">
        <is>
          <t>Optimized,WFS,Coupon_Discount,SeePriceInCart,WFS Item</t>
        </is>
      </c>
      <c r="G775" s="48" t="n">
        <v>0</v>
      </c>
      <c r="H775" s="49" t="n">
        <v>0</v>
      </c>
      <c r="I775" s="49" t="n">
        <v>0</v>
      </c>
      <c r="J775" s="50" t="n">
        <v>0</v>
      </c>
      <c r="K775" s="51" t="n">
        <v>0</v>
      </c>
      <c r="L775" s="52" t="n">
        <v>0</v>
      </c>
      <c r="M775" s="52" t="n">
        <v>0</v>
      </c>
      <c r="N775" s="52" t="n">
        <v>0</v>
      </c>
      <c r="O775" s="53" t="n">
        <v>0</v>
      </c>
      <c r="P775" s="52" t="n">
        <v>0</v>
      </c>
      <c r="Q775" s="53" t="n">
        <v>0</v>
      </c>
      <c r="R775" s="52" t="n">
        <v>0</v>
      </c>
      <c r="S775" s="51" t="n">
        <v>0</v>
      </c>
      <c r="T775" s="48" t="n">
        <v>0</v>
      </c>
      <c r="U775" s="49" t="n">
        <v>0</v>
      </c>
      <c r="V775" s="49" t="n">
        <v>0</v>
      </c>
      <c r="W775" s="50" t="n">
        <v>0</v>
      </c>
      <c r="X775" s="51" t="n">
        <v>0</v>
      </c>
      <c r="Y775" s="52" t="n">
        <v>0</v>
      </c>
      <c r="Z775" s="52" t="n">
        <v>0</v>
      </c>
      <c r="AA775" s="52" t="n">
        <v>0</v>
      </c>
      <c r="AB775" s="53" t="n">
        <v>0</v>
      </c>
      <c r="AC775" s="52" t="n">
        <v>0</v>
      </c>
      <c r="AD775" s="53" t="n">
        <v>0</v>
      </c>
      <c r="AE775" s="52" t="n">
        <v>0</v>
      </c>
      <c r="AF775" s="51" t="n">
        <v>0</v>
      </c>
      <c r="AG775" s="48" t="n">
        <v>0</v>
      </c>
      <c r="AH775" s="49" t="n">
        <v>0</v>
      </c>
      <c r="AI775" s="49" t="n">
        <v>0</v>
      </c>
      <c r="AJ775" s="50" t="n">
        <v>0</v>
      </c>
      <c r="AK775" s="51" t="n">
        <v>0</v>
      </c>
      <c r="AL775" s="52" t="n">
        <v>0</v>
      </c>
      <c r="AM775" s="52" t="n">
        <v>0</v>
      </c>
      <c r="AN775" s="52" t="n">
        <v>0</v>
      </c>
      <c r="AO775" s="53" t="n">
        <v>0</v>
      </c>
      <c r="AP775" s="52" t="n">
        <v>0</v>
      </c>
      <c r="AQ775" s="53" t="n">
        <v>0</v>
      </c>
      <c r="AR775" s="52" t="n">
        <v>0</v>
      </c>
      <c r="AS775" s="51" t="n">
        <v>0</v>
      </c>
      <c r="AT775" s="48" t="n">
        <v>0</v>
      </c>
      <c r="AU775" s="49" t="n">
        <v>0</v>
      </c>
      <c r="AV775" s="49" t="n">
        <v>0</v>
      </c>
      <c r="AW775" s="50" t="n">
        <v>0</v>
      </c>
      <c r="AX775" s="51" t="n">
        <v>0</v>
      </c>
      <c r="AY775" s="52" t="n">
        <v>0</v>
      </c>
      <c r="AZ775" s="52" t="n">
        <v>0</v>
      </c>
      <c r="BA775" s="52" t="n">
        <v>0</v>
      </c>
      <c r="BB775" s="53" t="n">
        <v>0</v>
      </c>
      <c r="BC775" s="52" t="n">
        <v>0</v>
      </c>
      <c r="BD775" s="53" t="n">
        <v>0</v>
      </c>
      <c r="BE775" s="52" t="n">
        <v>0</v>
      </c>
      <c r="BF775" s="51" t="n">
        <v>0</v>
      </c>
    </row>
    <row r="776">
      <c r="A776">
        <f>HYPERLINK("https://www.walmart.com/ip/831416066", "831416066")</f>
        <v/>
      </c>
      <c r="B776" t="inlineStr">
        <is>
          <t>Tirrinia Warm Comfy Plush Christmas Fleece Throw Blanket, Red Buffalo Plaid, 50" x 60"</t>
        </is>
      </c>
      <c r="C776" t="inlineStr">
        <is>
          <t>1TRBF569PRD-TBCB</t>
        </is>
      </c>
      <c r="D776" t="inlineStr">
        <is>
          <t>Throws</t>
        </is>
      </c>
      <c r="E776" t="inlineStr">
        <is>
          <t>Tirrinia</t>
        </is>
      </c>
      <c r="F776" t="inlineStr">
        <is>
          <t>Christmas,Optimized</t>
        </is>
      </c>
      <c r="G776" s="48" t="n">
        <v>0</v>
      </c>
      <c r="H776" s="49" t="n">
        <v>0</v>
      </c>
      <c r="I776" s="49" t="n">
        <v>0</v>
      </c>
      <c r="J776" s="50" t="n">
        <v>0</v>
      </c>
      <c r="K776" s="51" t="n">
        <v>0</v>
      </c>
      <c r="L776" s="52" t="n">
        <v>0</v>
      </c>
      <c r="M776" s="52" t="n">
        <v>0</v>
      </c>
      <c r="N776" s="52" t="n">
        <v>0</v>
      </c>
      <c r="O776" s="53" t="n">
        <v>0</v>
      </c>
      <c r="P776" s="52" t="n">
        <v>0</v>
      </c>
      <c r="Q776" s="53" t="n">
        <v>0</v>
      </c>
      <c r="R776" s="52" t="n">
        <v>0</v>
      </c>
      <c r="S776" s="51" t="n">
        <v>0</v>
      </c>
      <c r="T776" s="48" t="n">
        <v>0</v>
      </c>
      <c r="U776" s="49" t="n">
        <v>0</v>
      </c>
      <c r="V776" s="49" t="n">
        <v>0</v>
      </c>
      <c r="W776" s="50" t="n">
        <v>0</v>
      </c>
      <c r="X776" s="51" t="n">
        <v>0</v>
      </c>
      <c r="Y776" s="52" t="n">
        <v>0</v>
      </c>
      <c r="Z776" s="52" t="n">
        <v>0</v>
      </c>
      <c r="AA776" s="52" t="n">
        <v>0</v>
      </c>
      <c r="AB776" s="53" t="n">
        <v>0</v>
      </c>
      <c r="AC776" s="52" t="n">
        <v>0</v>
      </c>
      <c r="AD776" s="53" t="n">
        <v>0</v>
      </c>
      <c r="AE776" s="52" t="n">
        <v>0</v>
      </c>
      <c r="AF776" s="51" t="n">
        <v>0</v>
      </c>
      <c r="AG776" s="48" t="n">
        <v>0</v>
      </c>
      <c r="AH776" s="49" t="n">
        <v>0</v>
      </c>
      <c r="AI776" s="49" t="n">
        <v>0</v>
      </c>
      <c r="AJ776" s="50" t="n">
        <v>0</v>
      </c>
      <c r="AK776" s="51" t="n">
        <v>0</v>
      </c>
      <c r="AL776" s="52" t="n">
        <v>0</v>
      </c>
      <c r="AM776" s="52" t="n">
        <v>0</v>
      </c>
      <c r="AN776" s="52" t="n">
        <v>0</v>
      </c>
      <c r="AO776" s="53" t="n">
        <v>0</v>
      </c>
      <c r="AP776" s="52" t="n">
        <v>0</v>
      </c>
      <c r="AQ776" s="53" t="n">
        <v>0</v>
      </c>
      <c r="AR776" s="52" t="n">
        <v>0</v>
      </c>
      <c r="AS776" s="51" t="n">
        <v>0</v>
      </c>
      <c r="AT776" s="48" t="n">
        <v>0</v>
      </c>
      <c r="AU776" s="49" t="n">
        <v>0</v>
      </c>
      <c r="AV776" s="49" t="n">
        <v>0</v>
      </c>
      <c r="AW776" s="50" t="n">
        <v>0</v>
      </c>
      <c r="AX776" s="51" t="n">
        <v>0</v>
      </c>
      <c r="AY776" s="52" t="n">
        <v>0</v>
      </c>
      <c r="AZ776" s="52" t="n">
        <v>0</v>
      </c>
      <c r="BA776" s="52" t="n">
        <v>0</v>
      </c>
      <c r="BB776" s="53" t="n">
        <v>0</v>
      </c>
      <c r="BC776" s="52" t="n">
        <v>0</v>
      </c>
      <c r="BD776" s="53" t="n">
        <v>0</v>
      </c>
      <c r="BE776" s="52" t="n">
        <v>0</v>
      </c>
      <c r="BF776" s="51" t="n">
        <v>0</v>
      </c>
    </row>
    <row r="777">
      <c r="A777">
        <f>HYPERLINK("https://www.walmart.com/ip/842958823", "842958823")</f>
        <v/>
      </c>
      <c r="B777" t="inlineStr">
        <is>
          <t>Flyingstar Surf Towel Robe, Quick Dry Beach Wetsuit Changing/Bath Robe Poncho for Surfing, Swimming and Bathing, Unisex, Light Blue</t>
        </is>
      </c>
      <c r="C777" t="inlineStr">
        <is>
          <t>1WMBR100-LBL</t>
        </is>
      </c>
      <c r="D777" t="inlineStr">
        <is>
          <t>Towels &amp; Washcloths</t>
        </is>
      </c>
      <c r="E777" t="inlineStr">
        <is>
          <t>Flyingstar</t>
        </is>
      </c>
      <c r="F777" t="inlineStr">
        <is>
          <t>Optimized,Beach Robe Camp</t>
        </is>
      </c>
      <c r="G777" s="48" t="n">
        <v>0</v>
      </c>
      <c r="H777" s="49" t="n">
        <v>0</v>
      </c>
      <c r="I777" s="49" t="n">
        <v>0</v>
      </c>
      <c r="J777" s="50" t="n">
        <v>0</v>
      </c>
      <c r="K777" s="51" t="n">
        <v>0</v>
      </c>
      <c r="L777" s="52" t="n">
        <v>0</v>
      </c>
      <c r="M777" s="52" t="n">
        <v>0</v>
      </c>
      <c r="N777" s="52" t="n">
        <v>0</v>
      </c>
      <c r="O777" s="53" t="n">
        <v>0</v>
      </c>
      <c r="P777" s="52" t="n">
        <v>0</v>
      </c>
      <c r="Q777" s="53" t="n">
        <v>0</v>
      </c>
      <c r="R777" s="52" t="n">
        <v>0</v>
      </c>
      <c r="S777" s="51" t="n">
        <v>0</v>
      </c>
      <c r="T777" s="48" t="n">
        <v>0</v>
      </c>
      <c r="U777" s="49" t="n">
        <v>0</v>
      </c>
      <c r="V777" s="49" t="n">
        <v>0</v>
      </c>
      <c r="W777" s="50" t="n">
        <v>0</v>
      </c>
      <c r="X777" s="51" t="n">
        <v>0</v>
      </c>
      <c r="Y777" s="52" t="n">
        <v>0</v>
      </c>
      <c r="Z777" s="52" t="n">
        <v>0</v>
      </c>
      <c r="AA777" s="52" t="n">
        <v>0</v>
      </c>
      <c r="AB777" s="53" t="n">
        <v>0</v>
      </c>
      <c r="AC777" s="52" t="n">
        <v>0</v>
      </c>
      <c r="AD777" s="53" t="n">
        <v>0</v>
      </c>
      <c r="AE777" s="52" t="n">
        <v>0</v>
      </c>
      <c r="AF777" s="51" t="n">
        <v>0</v>
      </c>
      <c r="AG777" s="48" t="n">
        <v>0</v>
      </c>
      <c r="AH777" s="49" t="n">
        <v>0</v>
      </c>
      <c r="AI777" s="49" t="n">
        <v>0</v>
      </c>
      <c r="AJ777" s="50" t="n">
        <v>0</v>
      </c>
      <c r="AK777" s="51" t="n">
        <v>0</v>
      </c>
      <c r="AL777" s="52" t="n">
        <v>0</v>
      </c>
      <c r="AM777" s="52" t="n">
        <v>0</v>
      </c>
      <c r="AN777" s="52" t="n">
        <v>0</v>
      </c>
      <c r="AO777" s="53" t="n">
        <v>0</v>
      </c>
      <c r="AP777" s="52" t="n">
        <v>0</v>
      </c>
      <c r="AQ777" s="53" t="n">
        <v>0</v>
      </c>
      <c r="AR777" s="52" t="n">
        <v>0</v>
      </c>
      <c r="AS777" s="51" t="n">
        <v>0</v>
      </c>
      <c r="AT777" s="48" t="n">
        <v>0</v>
      </c>
      <c r="AU777" s="49" t="n">
        <v>0</v>
      </c>
      <c r="AV777" s="49" t="n">
        <v>0</v>
      </c>
      <c r="AW777" s="50" t="n">
        <v>0</v>
      </c>
      <c r="AX777" s="51" t="n">
        <v>0</v>
      </c>
      <c r="AY777" s="52" t="n">
        <v>0</v>
      </c>
      <c r="AZ777" s="52" t="n">
        <v>0</v>
      </c>
      <c r="BA777" s="52" t="n">
        <v>0</v>
      </c>
      <c r="BB777" s="53" t="n">
        <v>0</v>
      </c>
      <c r="BC777" s="52" t="n">
        <v>0</v>
      </c>
      <c r="BD777" s="53" t="n">
        <v>0</v>
      </c>
      <c r="BE777" s="52" t="n">
        <v>0</v>
      </c>
      <c r="BF777" s="51" t="n">
        <v>0</v>
      </c>
    </row>
    <row r="778">
      <c r="A778">
        <f>HYPERLINK("https://www.walmart.com/ip/843947568", "843947568")</f>
        <v/>
      </c>
      <c r="B778" t="inlineStr">
        <is>
          <t>Flyingstar Insulated Lunch Box for Women Men, Leakproof Thermal Reusable Lunch Bag with 4 Pockets for Adult &amp; Kids, Lunch Bag Cooler Tote for Office Work, Khaki</t>
        </is>
      </c>
      <c r="C778" t="inlineStr">
        <is>
          <t>1WMLB702P1KK</t>
        </is>
      </c>
      <c r="D778" t="inlineStr">
        <is>
          <t>Reusable Lunch Bags &amp; Boxes</t>
        </is>
      </c>
      <c r="E778" t="inlineStr">
        <is>
          <t>Flyingstar</t>
        </is>
      </c>
      <c r="F778" t="inlineStr">
        <is>
          <t>Q2-Target,Lunch Bag,Lunch Bags</t>
        </is>
      </c>
      <c r="G778" s="48" t="n">
        <v>0</v>
      </c>
      <c r="H778" s="49" t="n">
        <v>0</v>
      </c>
      <c r="I778" s="49" t="n">
        <v>0</v>
      </c>
      <c r="J778" s="50" t="n">
        <v>0</v>
      </c>
      <c r="K778" s="51" t="n">
        <v>0</v>
      </c>
      <c r="L778" s="52" t="n">
        <v>0</v>
      </c>
      <c r="M778" s="52" t="n">
        <v>0</v>
      </c>
      <c r="N778" s="52" t="n">
        <v>0</v>
      </c>
      <c r="O778" s="53" t="n">
        <v>0</v>
      </c>
      <c r="P778" s="52" t="n">
        <v>0</v>
      </c>
      <c r="Q778" s="53" t="n">
        <v>0</v>
      </c>
      <c r="R778" s="52" t="n">
        <v>0</v>
      </c>
      <c r="S778" s="51" t="n">
        <v>0</v>
      </c>
      <c r="T778" s="48" t="n">
        <v>0</v>
      </c>
      <c r="U778" s="49" t="n">
        <v>0</v>
      </c>
      <c r="V778" s="49" t="n">
        <v>0</v>
      </c>
      <c r="W778" s="50" t="n">
        <v>0</v>
      </c>
      <c r="X778" s="51" t="n">
        <v>0</v>
      </c>
      <c r="Y778" s="52" t="n">
        <v>0</v>
      </c>
      <c r="Z778" s="52" t="n">
        <v>0</v>
      </c>
      <c r="AA778" s="52" t="n">
        <v>0</v>
      </c>
      <c r="AB778" s="53" t="n">
        <v>0</v>
      </c>
      <c r="AC778" s="52" t="n">
        <v>0</v>
      </c>
      <c r="AD778" s="53" t="n">
        <v>0</v>
      </c>
      <c r="AE778" s="52" t="n">
        <v>0</v>
      </c>
      <c r="AF778" s="51" t="n">
        <v>0</v>
      </c>
      <c r="AG778" s="48" t="n">
        <v>0</v>
      </c>
      <c r="AH778" s="49" t="n">
        <v>0</v>
      </c>
      <c r="AI778" s="49" t="n">
        <v>0</v>
      </c>
      <c r="AJ778" s="50" t="n">
        <v>0</v>
      </c>
      <c r="AK778" s="51" t="n">
        <v>0</v>
      </c>
      <c r="AL778" s="52" t="n">
        <v>0</v>
      </c>
      <c r="AM778" s="52" t="n">
        <v>0</v>
      </c>
      <c r="AN778" s="52" t="n">
        <v>0</v>
      </c>
      <c r="AO778" s="53" t="n">
        <v>0</v>
      </c>
      <c r="AP778" s="52" t="n">
        <v>0</v>
      </c>
      <c r="AQ778" s="53" t="n">
        <v>0</v>
      </c>
      <c r="AR778" s="52" t="n">
        <v>0</v>
      </c>
      <c r="AS778" s="51" t="n">
        <v>0</v>
      </c>
      <c r="AT778" s="48" t="n">
        <v>0</v>
      </c>
      <c r="AU778" s="49" t="n">
        <v>0</v>
      </c>
      <c r="AV778" s="49" t="n">
        <v>0</v>
      </c>
      <c r="AW778" s="50" t="n">
        <v>0</v>
      </c>
      <c r="AX778" s="51" t="n">
        <v>0</v>
      </c>
      <c r="AY778" s="52" t="n">
        <v>0</v>
      </c>
      <c r="AZ778" s="52" t="n">
        <v>0</v>
      </c>
      <c r="BA778" s="52" t="n">
        <v>0</v>
      </c>
      <c r="BB778" s="53" t="n">
        <v>0</v>
      </c>
      <c r="BC778" s="52" t="n">
        <v>0</v>
      </c>
      <c r="BD778" s="53" t="n">
        <v>0</v>
      </c>
      <c r="BE778" s="52" t="n">
        <v>0</v>
      </c>
      <c r="BF778" s="51" t="n">
        <v>0</v>
      </c>
    </row>
    <row r="779">
      <c r="A779">
        <f>HYPERLINK("https://www.walmart.com/ip/844430269", "844430269")</f>
        <v/>
      </c>
      <c r="B779" t="inlineStr">
        <is>
          <t>Tirrinia Leakproof Thermal Bento Lunch Bag For Women, Men And Kids, Heat-welded Technology, Medium, Gray, 7.8/ 15 Cans</t>
        </is>
      </c>
      <c r="C779" t="inlineStr">
        <is>
          <t>1TRLB702GY-N</t>
        </is>
      </c>
      <c r="D779" t="inlineStr">
        <is>
          <t>Reusable Lunch Bags &amp; Boxes</t>
        </is>
      </c>
      <c r="E779" t="inlineStr">
        <is>
          <t>Tirrinia</t>
        </is>
      </c>
      <c r="F779" t="inlineStr">
        <is>
          <t>Q2-Target,Brand Camp VD,Lunch Bag,Optimized,SEM</t>
        </is>
      </c>
      <c r="G779" s="48" t="n">
        <v>0</v>
      </c>
      <c r="H779" s="49" t="n">
        <v>0</v>
      </c>
      <c r="I779" s="49" t="n">
        <v>0</v>
      </c>
      <c r="J779" s="50" t="n">
        <v>0</v>
      </c>
      <c r="K779" s="51" t="n">
        <v>0</v>
      </c>
      <c r="L779" s="52" t="n">
        <v>0</v>
      </c>
      <c r="M779" s="52" t="n">
        <v>0</v>
      </c>
      <c r="N779" s="52" t="n">
        <v>0</v>
      </c>
      <c r="O779" s="53" t="n">
        <v>0</v>
      </c>
      <c r="P779" s="52" t="n">
        <v>0</v>
      </c>
      <c r="Q779" s="53" t="n">
        <v>0</v>
      </c>
      <c r="R779" s="52" t="n">
        <v>0</v>
      </c>
      <c r="S779" s="51" t="n">
        <v>0</v>
      </c>
      <c r="T779" s="48" t="n">
        <v>0</v>
      </c>
      <c r="U779" s="49" t="n">
        <v>0</v>
      </c>
      <c r="V779" s="49" t="n">
        <v>0</v>
      </c>
      <c r="W779" s="50" t="n">
        <v>0</v>
      </c>
      <c r="X779" s="51" t="n">
        <v>0</v>
      </c>
      <c r="Y779" s="52" t="n">
        <v>0</v>
      </c>
      <c r="Z779" s="52" t="n">
        <v>0</v>
      </c>
      <c r="AA779" s="52" t="n">
        <v>0</v>
      </c>
      <c r="AB779" s="53" t="n">
        <v>0</v>
      </c>
      <c r="AC779" s="52" t="n">
        <v>0</v>
      </c>
      <c r="AD779" s="53" t="n">
        <v>0</v>
      </c>
      <c r="AE779" s="52" t="n">
        <v>0</v>
      </c>
      <c r="AF779" s="51" t="n">
        <v>0</v>
      </c>
      <c r="AG779" s="48" t="n">
        <v>0</v>
      </c>
      <c r="AH779" s="49" t="n">
        <v>0</v>
      </c>
      <c r="AI779" s="49" t="n">
        <v>0</v>
      </c>
      <c r="AJ779" s="50" t="n">
        <v>0</v>
      </c>
      <c r="AK779" s="51" t="n">
        <v>0</v>
      </c>
      <c r="AL779" s="52" t="n">
        <v>0</v>
      </c>
      <c r="AM779" s="52" t="n">
        <v>0</v>
      </c>
      <c r="AN779" s="52" t="n">
        <v>0</v>
      </c>
      <c r="AO779" s="53" t="n">
        <v>0</v>
      </c>
      <c r="AP779" s="52" t="n">
        <v>0</v>
      </c>
      <c r="AQ779" s="53" t="n">
        <v>0</v>
      </c>
      <c r="AR779" s="52" t="n">
        <v>0</v>
      </c>
      <c r="AS779" s="51" t="n">
        <v>0</v>
      </c>
      <c r="AT779" s="48" t="n">
        <v>0</v>
      </c>
      <c r="AU779" s="49" t="n">
        <v>0</v>
      </c>
      <c r="AV779" s="49" t="n">
        <v>0</v>
      </c>
      <c r="AW779" s="50" t="n">
        <v>0</v>
      </c>
      <c r="AX779" s="51" t="n">
        <v>0</v>
      </c>
      <c r="AY779" s="52" t="n">
        <v>0</v>
      </c>
      <c r="AZ779" s="52" t="n">
        <v>0</v>
      </c>
      <c r="BA779" s="52" t="n">
        <v>0</v>
      </c>
      <c r="BB779" s="53" t="n">
        <v>0</v>
      </c>
      <c r="BC779" s="52" t="n">
        <v>0</v>
      </c>
      <c r="BD779" s="53" t="n">
        <v>0</v>
      </c>
      <c r="BE779" s="52" t="n">
        <v>0</v>
      </c>
      <c r="BF779" s="51" t="n">
        <v>0</v>
      </c>
    </row>
    <row r="780">
      <c r="A780">
        <f>HYPERLINK("https://www.walmart.com/ip/847414691", "847414691")</f>
        <v/>
      </c>
      <c r="B780" t="inlineStr">
        <is>
          <t>Tirrinia Insulated 2 Bottle Wine Carrier Tote Cooler Bag for Travel Picnic Padded Champagne Glass</t>
        </is>
      </c>
      <c r="C780" t="inlineStr">
        <is>
          <t>1WMWB231CHEETAH</t>
        </is>
      </c>
      <c r="D780" t="inlineStr">
        <is>
          <t>Wine Totes, Bags &amp; Backpacks</t>
        </is>
      </c>
      <c r="E780" t="inlineStr">
        <is>
          <t>Flyingstar</t>
        </is>
      </c>
      <c r="F780" t="inlineStr">
        <is>
          <t>Wine,Christmas,Valentine,SEM</t>
        </is>
      </c>
      <c r="G780" s="48" t="n">
        <v>0</v>
      </c>
      <c r="H780" s="49" t="n">
        <v>0</v>
      </c>
      <c r="I780" s="49" t="n">
        <v>0</v>
      </c>
      <c r="J780" s="50" t="n">
        <v>0</v>
      </c>
      <c r="K780" s="51" t="n">
        <v>0</v>
      </c>
      <c r="L780" s="52" t="n">
        <v>0</v>
      </c>
      <c r="M780" s="52" t="n">
        <v>0</v>
      </c>
      <c r="N780" s="52" t="n">
        <v>0</v>
      </c>
      <c r="O780" s="53" t="n">
        <v>0</v>
      </c>
      <c r="P780" s="52" t="n">
        <v>0</v>
      </c>
      <c r="Q780" s="53" t="n">
        <v>0</v>
      </c>
      <c r="R780" s="52" t="n">
        <v>0</v>
      </c>
      <c r="S780" s="51" t="n">
        <v>0</v>
      </c>
      <c r="T780" s="48" t="n">
        <v>0</v>
      </c>
      <c r="U780" s="49" t="n">
        <v>0</v>
      </c>
      <c r="V780" s="49" t="n">
        <v>0</v>
      </c>
      <c r="W780" s="50" t="n">
        <v>0</v>
      </c>
      <c r="X780" s="51" t="n">
        <v>0</v>
      </c>
      <c r="Y780" s="52" t="n">
        <v>0</v>
      </c>
      <c r="Z780" s="52" t="n">
        <v>0</v>
      </c>
      <c r="AA780" s="52" t="n">
        <v>0</v>
      </c>
      <c r="AB780" s="53" t="n">
        <v>0</v>
      </c>
      <c r="AC780" s="52" t="n">
        <v>0</v>
      </c>
      <c r="AD780" s="53" t="n">
        <v>0</v>
      </c>
      <c r="AE780" s="52" t="n">
        <v>0</v>
      </c>
      <c r="AF780" s="51" t="n">
        <v>0</v>
      </c>
      <c r="AG780" s="48" t="n">
        <v>0</v>
      </c>
      <c r="AH780" s="49" t="n">
        <v>0</v>
      </c>
      <c r="AI780" s="49" t="n">
        <v>0</v>
      </c>
      <c r="AJ780" s="50" t="n">
        <v>0</v>
      </c>
      <c r="AK780" s="51" t="n">
        <v>0</v>
      </c>
      <c r="AL780" s="52" t="n">
        <v>0</v>
      </c>
      <c r="AM780" s="52" t="n">
        <v>0</v>
      </c>
      <c r="AN780" s="52" t="n">
        <v>0</v>
      </c>
      <c r="AO780" s="53" t="n">
        <v>0</v>
      </c>
      <c r="AP780" s="52" t="n">
        <v>0</v>
      </c>
      <c r="AQ780" s="53" t="n">
        <v>0</v>
      </c>
      <c r="AR780" s="52" t="n">
        <v>0</v>
      </c>
      <c r="AS780" s="51" t="n">
        <v>0</v>
      </c>
      <c r="AT780" s="48" t="n">
        <v>0</v>
      </c>
      <c r="AU780" s="49" t="n">
        <v>0</v>
      </c>
      <c r="AV780" s="49" t="n">
        <v>0</v>
      </c>
      <c r="AW780" s="50" t="n">
        <v>0</v>
      </c>
      <c r="AX780" s="51" t="n">
        <v>0</v>
      </c>
      <c r="AY780" s="52" t="n">
        <v>0</v>
      </c>
      <c r="AZ780" s="52" t="n">
        <v>0</v>
      </c>
      <c r="BA780" s="52" t="n">
        <v>0</v>
      </c>
      <c r="BB780" s="53" t="n">
        <v>0</v>
      </c>
      <c r="BC780" s="52" t="n">
        <v>0</v>
      </c>
      <c r="BD780" s="53" t="n">
        <v>0</v>
      </c>
      <c r="BE780" s="52" t="n">
        <v>0</v>
      </c>
      <c r="BF780" s="51" t="n">
        <v>0</v>
      </c>
    </row>
    <row r="781">
      <c r="A781">
        <f>HYPERLINK("https://www.walmart.com/ip/849026019", "849026019")</f>
        <v/>
      </c>
      <c r="B781" t="inlineStr">
        <is>
          <t>Sun Blocker Women's Sun Hat  Wide Brim Flap Cap with Floral Ribbon for Beach Gardening Hiking Fishing Safari UPF 50+ Orange</t>
        </is>
      </c>
      <c r="C781" t="inlineStr">
        <is>
          <t>KC-S9202-OR</t>
        </is>
      </c>
      <c r="D781" t="inlineStr">
        <is>
          <t>Hats</t>
        </is>
      </c>
      <c r="E781" t="inlineStr">
        <is>
          <t>Sun Blocker</t>
        </is>
      </c>
      <c r="F781" t="inlineStr">
        <is>
          <t>Batch 1 - TR</t>
        </is>
      </c>
      <c r="G781" s="48" t="n">
        <v>0</v>
      </c>
      <c r="H781" s="49" t="n">
        <v>0</v>
      </c>
      <c r="I781" s="49" t="n">
        <v>0</v>
      </c>
      <c r="J781" s="50" t="n">
        <v>0</v>
      </c>
      <c r="K781" s="51" t="n">
        <v>0</v>
      </c>
      <c r="L781" s="52" t="n">
        <v>0</v>
      </c>
      <c r="M781" s="52" t="n">
        <v>0</v>
      </c>
      <c r="N781" s="52" t="n">
        <v>0</v>
      </c>
      <c r="O781" s="53" t="n">
        <v>0</v>
      </c>
      <c r="P781" s="52" t="n">
        <v>0</v>
      </c>
      <c r="Q781" s="53" t="n">
        <v>0</v>
      </c>
      <c r="R781" s="52" t="n">
        <v>0</v>
      </c>
      <c r="S781" s="51" t="n">
        <v>0</v>
      </c>
      <c r="T781" s="48" t="n">
        <v>0</v>
      </c>
      <c r="U781" s="49" t="n">
        <v>0</v>
      </c>
      <c r="V781" s="49" t="n">
        <v>0</v>
      </c>
      <c r="W781" s="50" t="n">
        <v>0</v>
      </c>
      <c r="X781" s="51" t="n">
        <v>0</v>
      </c>
      <c r="Y781" s="52" t="n">
        <v>0</v>
      </c>
      <c r="Z781" s="52" t="n">
        <v>0</v>
      </c>
      <c r="AA781" s="52" t="n">
        <v>0</v>
      </c>
      <c r="AB781" s="53" t="n">
        <v>0</v>
      </c>
      <c r="AC781" s="52" t="n">
        <v>0</v>
      </c>
      <c r="AD781" s="53" t="n">
        <v>0</v>
      </c>
      <c r="AE781" s="52" t="n">
        <v>0</v>
      </c>
      <c r="AF781" s="51" t="n">
        <v>0</v>
      </c>
      <c r="AG781" s="48" t="n">
        <v>0</v>
      </c>
      <c r="AH781" s="49" t="n">
        <v>0</v>
      </c>
      <c r="AI781" s="49" t="n">
        <v>0</v>
      </c>
      <c r="AJ781" s="50" t="n">
        <v>0</v>
      </c>
      <c r="AK781" s="51" t="n">
        <v>0</v>
      </c>
      <c r="AL781" s="52" t="n">
        <v>0</v>
      </c>
      <c r="AM781" s="52" t="n">
        <v>0</v>
      </c>
      <c r="AN781" s="52" t="n">
        <v>0</v>
      </c>
      <c r="AO781" s="53" t="n">
        <v>0</v>
      </c>
      <c r="AP781" s="52" t="n">
        <v>0</v>
      </c>
      <c r="AQ781" s="53" t="n">
        <v>0</v>
      </c>
      <c r="AR781" s="52" t="n">
        <v>0</v>
      </c>
      <c r="AS781" s="51" t="n">
        <v>0</v>
      </c>
      <c r="AT781" s="48" t="n">
        <v>0</v>
      </c>
      <c r="AU781" s="49" t="n">
        <v>0</v>
      </c>
      <c r="AV781" s="49" t="n">
        <v>0</v>
      </c>
      <c r="AW781" s="50" t="n">
        <v>0</v>
      </c>
      <c r="AX781" s="51" t="n">
        <v>0</v>
      </c>
      <c r="AY781" s="52" t="n">
        <v>0</v>
      </c>
      <c r="AZ781" s="52" t="n">
        <v>0</v>
      </c>
      <c r="BA781" s="52" t="n">
        <v>0</v>
      </c>
      <c r="BB781" s="53" t="n">
        <v>0</v>
      </c>
      <c r="BC781" s="52" t="n">
        <v>0</v>
      </c>
      <c r="BD781" s="53" t="n">
        <v>0</v>
      </c>
      <c r="BE781" s="52" t="n">
        <v>0</v>
      </c>
      <c r="BF781" s="51" t="n">
        <v>0</v>
      </c>
    </row>
    <row r="782">
      <c r="A782">
        <f>HYPERLINK("https://www.walmart.com/ip/849814848", "849814848")</f>
        <v/>
      </c>
      <c r="B782" t="inlineStr">
        <is>
          <t>Pawsse Super Soft Large Dog Sherpa Blanket, 50" x 60", Brown</t>
        </is>
      </c>
      <c r="C782" t="inlineStr">
        <is>
          <t>1PSBF566BR-TBCB</t>
        </is>
      </c>
      <c r="D782" t="inlineStr">
        <is>
          <t>Throws</t>
        </is>
      </c>
      <c r="E782" t="inlineStr">
        <is>
          <t>Pawsse</t>
        </is>
      </c>
      <c r="F782" t="inlineStr">
        <is>
          <t>Optimized</t>
        </is>
      </c>
      <c r="G782" s="48" t="n">
        <v>0</v>
      </c>
      <c r="H782" s="49" t="n">
        <v>0</v>
      </c>
      <c r="I782" s="49" t="n">
        <v>0</v>
      </c>
      <c r="J782" s="50" t="n">
        <v>0</v>
      </c>
      <c r="K782" s="51" t="n">
        <v>0</v>
      </c>
      <c r="L782" s="52" t="n">
        <v>0</v>
      </c>
      <c r="M782" s="52" t="n">
        <v>0</v>
      </c>
      <c r="N782" s="52" t="n">
        <v>0</v>
      </c>
      <c r="O782" s="53" t="n">
        <v>0</v>
      </c>
      <c r="P782" s="52" t="n">
        <v>0</v>
      </c>
      <c r="Q782" s="53" t="n">
        <v>0</v>
      </c>
      <c r="R782" s="52" t="n">
        <v>0</v>
      </c>
      <c r="S782" s="51" t="n">
        <v>0</v>
      </c>
      <c r="T782" s="48" t="n">
        <v>0</v>
      </c>
      <c r="U782" s="49" t="n">
        <v>0</v>
      </c>
      <c r="V782" s="49" t="n">
        <v>0</v>
      </c>
      <c r="W782" s="50" t="n">
        <v>0</v>
      </c>
      <c r="X782" s="51" t="n">
        <v>0</v>
      </c>
      <c r="Y782" s="52" t="n">
        <v>0</v>
      </c>
      <c r="Z782" s="52" t="n">
        <v>0</v>
      </c>
      <c r="AA782" s="52" t="n">
        <v>0</v>
      </c>
      <c r="AB782" s="53" t="n">
        <v>0</v>
      </c>
      <c r="AC782" s="52" t="n">
        <v>0</v>
      </c>
      <c r="AD782" s="53" t="n">
        <v>0</v>
      </c>
      <c r="AE782" s="52" t="n">
        <v>0</v>
      </c>
      <c r="AF782" s="51" t="n">
        <v>0</v>
      </c>
      <c r="AG782" s="48" t="n">
        <v>0</v>
      </c>
      <c r="AH782" s="49" t="n">
        <v>0</v>
      </c>
      <c r="AI782" s="49" t="n">
        <v>0</v>
      </c>
      <c r="AJ782" s="50" t="n">
        <v>0</v>
      </c>
      <c r="AK782" s="51" t="n">
        <v>0</v>
      </c>
      <c r="AL782" s="52" t="n">
        <v>0</v>
      </c>
      <c r="AM782" s="52" t="n">
        <v>0</v>
      </c>
      <c r="AN782" s="52" t="n">
        <v>0</v>
      </c>
      <c r="AO782" s="53" t="n">
        <v>0</v>
      </c>
      <c r="AP782" s="52" t="n">
        <v>0</v>
      </c>
      <c r="AQ782" s="53" t="n">
        <v>0</v>
      </c>
      <c r="AR782" s="52" t="n">
        <v>0</v>
      </c>
      <c r="AS782" s="51" t="n">
        <v>0</v>
      </c>
      <c r="AT782" s="48" t="n">
        <v>0</v>
      </c>
      <c r="AU782" s="49" t="n">
        <v>0</v>
      </c>
      <c r="AV782" s="49" t="n">
        <v>0</v>
      </c>
      <c r="AW782" s="50" t="n">
        <v>0</v>
      </c>
      <c r="AX782" s="51" t="n">
        <v>0</v>
      </c>
      <c r="AY782" s="52" t="n">
        <v>0</v>
      </c>
      <c r="AZ782" s="52" t="n">
        <v>0</v>
      </c>
      <c r="BA782" s="52" t="n">
        <v>0</v>
      </c>
      <c r="BB782" s="53" t="n">
        <v>0</v>
      </c>
      <c r="BC782" s="52" t="n">
        <v>0</v>
      </c>
      <c r="BD782" s="53" t="n">
        <v>0</v>
      </c>
      <c r="BE782" s="52" t="n">
        <v>0</v>
      </c>
      <c r="BF782" s="51" t="n">
        <v>0</v>
      </c>
    </row>
    <row r="783">
      <c r="A783">
        <f>HYPERLINK("https://www.walmart.com/ip/851096138", "851096138")</f>
        <v/>
      </c>
      <c r="B783" t="inlineStr">
        <is>
          <t>Sherpa Furry Throw Blanket, Reversible Super Soft Plush Fuzzy Fleece Blanket for Sofa Couch Bed 50"x60"</t>
        </is>
      </c>
      <c r="C783" t="inlineStr">
        <is>
          <t>1CTBN110BL</t>
        </is>
      </c>
      <c r="D783" t="inlineStr">
        <is>
          <t>Throws</t>
        </is>
      </c>
      <c r="E783" t="inlineStr">
        <is>
          <t>Catalonia</t>
        </is>
      </c>
      <c r="F783" t="inlineStr">
        <is>
          <t>WFS,WFS Item,Fleece Blankets</t>
        </is>
      </c>
      <c r="G783" s="48" t="n">
        <v>0</v>
      </c>
      <c r="H783" s="49" t="n">
        <v>0</v>
      </c>
      <c r="I783" s="49" t="n">
        <v>0</v>
      </c>
      <c r="J783" s="50" t="n">
        <v>0</v>
      </c>
      <c r="K783" s="51" t="n">
        <v>0</v>
      </c>
      <c r="L783" s="52" t="n">
        <v>0</v>
      </c>
      <c r="M783" s="52" t="n">
        <v>0</v>
      </c>
      <c r="N783" s="52" t="n">
        <v>0</v>
      </c>
      <c r="O783" s="53" t="n">
        <v>0</v>
      </c>
      <c r="P783" s="52" t="n">
        <v>0</v>
      </c>
      <c r="Q783" s="53" t="n">
        <v>0</v>
      </c>
      <c r="R783" s="52" t="n">
        <v>0</v>
      </c>
      <c r="S783" s="51" t="n">
        <v>0</v>
      </c>
      <c r="T783" s="48" t="n">
        <v>0</v>
      </c>
      <c r="U783" s="49" t="n">
        <v>0</v>
      </c>
      <c r="V783" s="49" t="n">
        <v>0</v>
      </c>
      <c r="W783" s="50" t="n">
        <v>0</v>
      </c>
      <c r="X783" s="51" t="n">
        <v>0</v>
      </c>
      <c r="Y783" s="52" t="n">
        <v>0</v>
      </c>
      <c r="Z783" s="52" t="n">
        <v>0</v>
      </c>
      <c r="AA783" s="52" t="n">
        <v>0</v>
      </c>
      <c r="AB783" s="53" t="n">
        <v>0</v>
      </c>
      <c r="AC783" s="52" t="n">
        <v>0</v>
      </c>
      <c r="AD783" s="53" t="n">
        <v>0</v>
      </c>
      <c r="AE783" s="52" t="n">
        <v>0</v>
      </c>
      <c r="AF783" s="51" t="n">
        <v>0</v>
      </c>
      <c r="AG783" s="48" t="n">
        <v>0</v>
      </c>
      <c r="AH783" s="49" t="n">
        <v>0</v>
      </c>
      <c r="AI783" s="49" t="n">
        <v>0</v>
      </c>
      <c r="AJ783" s="50" t="n">
        <v>0</v>
      </c>
      <c r="AK783" s="51" t="n">
        <v>0</v>
      </c>
      <c r="AL783" s="52" t="n">
        <v>0</v>
      </c>
      <c r="AM783" s="52" t="n">
        <v>0</v>
      </c>
      <c r="AN783" s="52" t="n">
        <v>0</v>
      </c>
      <c r="AO783" s="53" t="n">
        <v>0</v>
      </c>
      <c r="AP783" s="52" t="n">
        <v>0</v>
      </c>
      <c r="AQ783" s="53" t="n">
        <v>0</v>
      </c>
      <c r="AR783" s="52" t="n">
        <v>0</v>
      </c>
      <c r="AS783" s="51" t="n">
        <v>0</v>
      </c>
      <c r="AT783" s="48" t="n">
        <v>0</v>
      </c>
      <c r="AU783" s="49" t="n">
        <v>0</v>
      </c>
      <c r="AV783" s="49" t="n">
        <v>0</v>
      </c>
      <c r="AW783" s="50" t="n">
        <v>0</v>
      </c>
      <c r="AX783" s="51" t="n">
        <v>0</v>
      </c>
      <c r="AY783" s="52" t="n">
        <v>0</v>
      </c>
      <c r="AZ783" s="52" t="n">
        <v>0</v>
      </c>
      <c r="BA783" s="52" t="n">
        <v>0</v>
      </c>
      <c r="BB783" s="53" t="n">
        <v>0</v>
      </c>
      <c r="BC783" s="52" t="n">
        <v>0</v>
      </c>
      <c r="BD783" s="53" t="n">
        <v>0</v>
      </c>
      <c r="BE783" s="52" t="n">
        <v>0</v>
      </c>
      <c r="BF783" s="51" t="n">
        <v>0</v>
      </c>
    </row>
    <row r="784">
      <c r="A784">
        <f>HYPERLINK("https://www.walmart.com/ip/851739692", "851739692")</f>
        <v/>
      </c>
      <c r="B784" t="inlineStr">
        <is>
          <t>Women's High Waist Yoga Pants Workout Running Capri Legging Inner Pocket</t>
        </is>
      </c>
      <c r="C784" t="inlineStr">
        <is>
          <t>1TRYP102PK- LXL</t>
        </is>
      </c>
      <c r="D784" t="inlineStr">
        <is>
          <t>Leggings</t>
        </is>
      </c>
      <c r="E784" t="inlineStr">
        <is>
          <t>Tirrinia</t>
        </is>
      </c>
      <c r="F784" t="inlineStr">
        <is>
          <t>Optimized</t>
        </is>
      </c>
      <c r="G784" s="48" t="n">
        <v>0</v>
      </c>
      <c r="H784" s="49" t="n">
        <v>0</v>
      </c>
      <c r="I784" s="49" t="n">
        <v>0</v>
      </c>
      <c r="J784" s="50" t="n">
        <v>0</v>
      </c>
      <c r="K784" s="51" t="n">
        <v>0</v>
      </c>
      <c r="L784" s="52" t="n">
        <v>0</v>
      </c>
      <c r="M784" s="52" t="n">
        <v>0</v>
      </c>
      <c r="N784" s="52" t="n">
        <v>0</v>
      </c>
      <c r="O784" s="53" t="n">
        <v>0</v>
      </c>
      <c r="P784" s="52" t="n">
        <v>0</v>
      </c>
      <c r="Q784" s="53" t="n">
        <v>0</v>
      </c>
      <c r="R784" s="52" t="n">
        <v>0</v>
      </c>
      <c r="S784" s="51" t="n">
        <v>0</v>
      </c>
      <c r="T784" s="48" t="n">
        <v>0</v>
      </c>
      <c r="U784" s="49" t="n">
        <v>0</v>
      </c>
      <c r="V784" s="49" t="n">
        <v>0</v>
      </c>
      <c r="W784" s="50" t="n">
        <v>0</v>
      </c>
      <c r="X784" s="51" t="n">
        <v>0</v>
      </c>
      <c r="Y784" s="52" t="n">
        <v>0</v>
      </c>
      <c r="Z784" s="52" t="n">
        <v>0</v>
      </c>
      <c r="AA784" s="52" t="n">
        <v>0</v>
      </c>
      <c r="AB784" s="53" t="n">
        <v>0</v>
      </c>
      <c r="AC784" s="52" t="n">
        <v>0</v>
      </c>
      <c r="AD784" s="53" t="n">
        <v>0</v>
      </c>
      <c r="AE784" s="52" t="n">
        <v>0</v>
      </c>
      <c r="AF784" s="51" t="n">
        <v>0</v>
      </c>
      <c r="AG784" s="48" t="n">
        <v>0</v>
      </c>
      <c r="AH784" s="49" t="n">
        <v>0</v>
      </c>
      <c r="AI784" s="49" t="n">
        <v>0</v>
      </c>
      <c r="AJ784" s="50" t="n">
        <v>0</v>
      </c>
      <c r="AK784" s="51" t="n">
        <v>0</v>
      </c>
      <c r="AL784" s="52" t="n">
        <v>0</v>
      </c>
      <c r="AM784" s="52" t="n">
        <v>0</v>
      </c>
      <c r="AN784" s="52" t="n">
        <v>0</v>
      </c>
      <c r="AO784" s="53" t="n">
        <v>0</v>
      </c>
      <c r="AP784" s="52" t="n">
        <v>0</v>
      </c>
      <c r="AQ784" s="53" t="n">
        <v>0</v>
      </c>
      <c r="AR784" s="52" t="n">
        <v>0</v>
      </c>
      <c r="AS784" s="51" t="n">
        <v>0</v>
      </c>
      <c r="AT784" s="48" t="n">
        <v>0</v>
      </c>
      <c r="AU784" s="49" t="n">
        <v>0</v>
      </c>
      <c r="AV784" s="49" t="n">
        <v>0</v>
      </c>
      <c r="AW784" s="50" t="n">
        <v>0</v>
      </c>
      <c r="AX784" s="51" t="n">
        <v>0</v>
      </c>
      <c r="AY784" s="52" t="n">
        <v>0</v>
      </c>
      <c r="AZ784" s="52" t="n">
        <v>0</v>
      </c>
      <c r="BA784" s="52" t="n">
        <v>0</v>
      </c>
      <c r="BB784" s="53" t="n">
        <v>0</v>
      </c>
      <c r="BC784" s="52" t="n">
        <v>0</v>
      </c>
      <c r="BD784" s="53" t="n">
        <v>0</v>
      </c>
      <c r="BE784" s="52" t="n">
        <v>0</v>
      </c>
      <c r="BF784" s="51" t="n">
        <v>0</v>
      </c>
    </row>
    <row r="785">
      <c r="A785">
        <f>HYPERLINK("https://www.walmart.com/ip/851914933", "851914933")</f>
        <v/>
      </c>
      <c r="B785" t="inlineStr">
        <is>
          <t>Tirrinia Leakproof Thermal Insulated Women's and Men's Lunch Bag for Work, Blue Checkered</t>
        </is>
      </c>
      <c r="C785" t="inlineStr">
        <is>
          <t>1TRLB702P1BLCK</t>
        </is>
      </c>
      <c r="D785" t="inlineStr">
        <is>
          <t>Reusable Lunch Bags &amp; Boxes</t>
        </is>
      </c>
      <c r="E785" t="inlineStr">
        <is>
          <t>Tirrinia</t>
        </is>
      </c>
      <c r="G785" s="48" t="n">
        <v>0</v>
      </c>
      <c r="H785" s="49" t="n">
        <v>0</v>
      </c>
      <c r="I785" s="49" t="n">
        <v>0</v>
      </c>
      <c r="J785" s="50" t="n">
        <v>0</v>
      </c>
      <c r="K785" s="51" t="n">
        <v>0</v>
      </c>
      <c r="L785" s="52" t="n">
        <v>0</v>
      </c>
      <c r="M785" s="52" t="n">
        <v>0</v>
      </c>
      <c r="N785" s="52" t="n">
        <v>0</v>
      </c>
      <c r="O785" s="53" t="n">
        <v>0</v>
      </c>
      <c r="P785" s="52" t="n">
        <v>0</v>
      </c>
      <c r="Q785" s="53" t="n">
        <v>0</v>
      </c>
      <c r="R785" s="52" t="n">
        <v>0</v>
      </c>
      <c r="S785" s="51" t="n">
        <v>0</v>
      </c>
      <c r="T785" s="48" t="n">
        <v>0</v>
      </c>
      <c r="U785" s="49" t="n">
        <v>0</v>
      </c>
      <c r="V785" s="49" t="n">
        <v>0</v>
      </c>
      <c r="W785" s="50" t="n">
        <v>0</v>
      </c>
      <c r="X785" s="51" t="n">
        <v>0</v>
      </c>
      <c r="Y785" s="52" t="n">
        <v>0</v>
      </c>
      <c r="Z785" s="52" t="n">
        <v>0</v>
      </c>
      <c r="AA785" s="52" t="n">
        <v>0</v>
      </c>
      <c r="AB785" s="53" t="n">
        <v>0</v>
      </c>
      <c r="AC785" s="52" t="n">
        <v>0</v>
      </c>
      <c r="AD785" s="53" t="n">
        <v>0</v>
      </c>
      <c r="AE785" s="52" t="n">
        <v>0</v>
      </c>
      <c r="AF785" s="51" t="n">
        <v>0</v>
      </c>
      <c r="AG785" s="48" t="n">
        <v>0</v>
      </c>
      <c r="AH785" s="49" t="n">
        <v>0</v>
      </c>
      <c r="AI785" s="49" t="n">
        <v>0</v>
      </c>
      <c r="AJ785" s="50" t="n">
        <v>0</v>
      </c>
      <c r="AK785" s="51" t="n">
        <v>0</v>
      </c>
      <c r="AL785" s="52" t="n">
        <v>0</v>
      </c>
      <c r="AM785" s="52" t="n">
        <v>0</v>
      </c>
      <c r="AN785" s="52" t="n">
        <v>0</v>
      </c>
      <c r="AO785" s="53" t="n">
        <v>0</v>
      </c>
      <c r="AP785" s="52" t="n">
        <v>0</v>
      </c>
      <c r="AQ785" s="53" t="n">
        <v>0</v>
      </c>
      <c r="AR785" s="52" t="n">
        <v>0</v>
      </c>
      <c r="AS785" s="51" t="n">
        <v>0</v>
      </c>
      <c r="AT785" s="48" t="n">
        <v>13.99</v>
      </c>
      <c r="AU785" s="49" t="n">
        <v>1</v>
      </c>
      <c r="AV785" s="49" t="n">
        <v>0</v>
      </c>
      <c r="AW785" s="50" t="n">
        <v>0</v>
      </c>
      <c r="AX785" s="51" t="n">
        <v>0</v>
      </c>
      <c r="AY785" s="52" t="n">
        <v>0</v>
      </c>
      <c r="AZ785" s="52" t="n">
        <v>0</v>
      </c>
      <c r="BA785" s="52" t="n">
        <v>0</v>
      </c>
      <c r="BB785" s="53" t="n">
        <v>0</v>
      </c>
      <c r="BC785" s="52" t="n">
        <v>0</v>
      </c>
      <c r="BD785" s="53" t="n">
        <v>0</v>
      </c>
      <c r="BE785" s="52" t="n">
        <v>13.99</v>
      </c>
      <c r="BF785" s="51" t="n">
        <v>0</v>
      </c>
    </row>
    <row r="786">
      <c r="A786">
        <f>HYPERLINK("https://www.walmart.com/ip/852622178", "852622178")</f>
        <v/>
      </c>
      <c r="B786" t="inlineStr">
        <is>
          <t>Catalonia Patriotic US Flag Sherpa Fleece Throw Blanket, American Eagle National Flag Throws, Plush Super Soft Cozy Warm Reversible Blanket for Couch Bed 60" x 50"</t>
        </is>
      </c>
      <c r="C786" t="inlineStr">
        <is>
          <t>1CTBF300USA3</t>
        </is>
      </c>
      <c r="D786" t="inlineStr">
        <is>
          <t>Throws</t>
        </is>
      </c>
      <c r="E786" t="inlineStr">
        <is>
          <t>Catalonia</t>
        </is>
      </c>
      <c r="F786" t="inlineStr">
        <is>
          <t>Optimized</t>
        </is>
      </c>
      <c r="G786" s="48" t="n">
        <v>0</v>
      </c>
      <c r="H786" s="49" t="n">
        <v>0</v>
      </c>
      <c r="I786" s="49" t="n">
        <v>0</v>
      </c>
      <c r="J786" s="50" t="n">
        <v>0</v>
      </c>
      <c r="K786" s="51" t="n">
        <v>0</v>
      </c>
      <c r="L786" s="52" t="n">
        <v>0</v>
      </c>
      <c r="M786" s="52" t="n">
        <v>0</v>
      </c>
      <c r="N786" s="52" t="n">
        <v>0</v>
      </c>
      <c r="O786" s="53" t="n">
        <v>0</v>
      </c>
      <c r="P786" s="52" t="n">
        <v>0</v>
      </c>
      <c r="Q786" s="53" t="n">
        <v>0</v>
      </c>
      <c r="R786" s="52" t="n">
        <v>0</v>
      </c>
      <c r="S786" s="51" t="n">
        <v>0</v>
      </c>
      <c r="T786" s="48" t="n">
        <v>0</v>
      </c>
      <c r="U786" s="49" t="n">
        <v>0</v>
      </c>
      <c r="V786" s="49" t="n">
        <v>0</v>
      </c>
      <c r="W786" s="50" t="n">
        <v>0</v>
      </c>
      <c r="X786" s="51" t="n">
        <v>0</v>
      </c>
      <c r="Y786" s="52" t="n">
        <v>0</v>
      </c>
      <c r="Z786" s="52" t="n">
        <v>0</v>
      </c>
      <c r="AA786" s="52" t="n">
        <v>0</v>
      </c>
      <c r="AB786" s="53" t="n">
        <v>0</v>
      </c>
      <c r="AC786" s="52" t="n">
        <v>0</v>
      </c>
      <c r="AD786" s="53" t="n">
        <v>0</v>
      </c>
      <c r="AE786" s="52" t="n">
        <v>0</v>
      </c>
      <c r="AF786" s="51" t="n">
        <v>0</v>
      </c>
      <c r="AG786" s="48" t="n">
        <v>0</v>
      </c>
      <c r="AH786" s="49" t="n">
        <v>0</v>
      </c>
      <c r="AI786" s="49" t="n">
        <v>0</v>
      </c>
      <c r="AJ786" s="50" t="n">
        <v>0</v>
      </c>
      <c r="AK786" s="51" t="n">
        <v>0</v>
      </c>
      <c r="AL786" s="52" t="n">
        <v>0</v>
      </c>
      <c r="AM786" s="52" t="n">
        <v>0</v>
      </c>
      <c r="AN786" s="52" t="n">
        <v>0</v>
      </c>
      <c r="AO786" s="53" t="n">
        <v>0</v>
      </c>
      <c r="AP786" s="52" t="n">
        <v>0</v>
      </c>
      <c r="AQ786" s="53" t="n">
        <v>0</v>
      </c>
      <c r="AR786" s="52" t="n">
        <v>0</v>
      </c>
      <c r="AS786" s="51" t="n">
        <v>0</v>
      </c>
      <c r="AT786" s="48" t="n">
        <v>0</v>
      </c>
      <c r="AU786" s="49" t="n">
        <v>0</v>
      </c>
      <c r="AV786" s="49" t="n">
        <v>0</v>
      </c>
      <c r="AW786" s="50" t="n">
        <v>0</v>
      </c>
      <c r="AX786" s="51" t="n">
        <v>0</v>
      </c>
      <c r="AY786" s="52" t="n">
        <v>0</v>
      </c>
      <c r="AZ786" s="52" t="n">
        <v>0</v>
      </c>
      <c r="BA786" s="52" t="n">
        <v>0</v>
      </c>
      <c r="BB786" s="53" t="n">
        <v>0</v>
      </c>
      <c r="BC786" s="52" t="n">
        <v>0</v>
      </c>
      <c r="BD786" s="53" t="n">
        <v>0</v>
      </c>
      <c r="BE786" s="52" t="n">
        <v>0</v>
      </c>
      <c r="BF786" s="51" t="n">
        <v>0</v>
      </c>
    </row>
    <row r="787">
      <c r="A787">
        <f>HYPERLINK("https://www.walmart.com/ip/852719826", "852719826")</f>
        <v/>
      </c>
      <c r="B787" t="inlineStr">
        <is>
          <t>Catalonia Purple Fluffy Sherpa Throw Blanket, Super Soft Mink Fleece Couch Blanket, TV Bed Fuzzy Blanket, Fluffy Comfy Warm Heavy Throws, Comfort Caring Gift,50x60 inches, Purple</t>
        </is>
      </c>
      <c r="C787" t="inlineStr">
        <is>
          <t>1CTBF300PP</t>
        </is>
      </c>
      <c r="D787" t="inlineStr">
        <is>
          <t>Throws</t>
        </is>
      </c>
      <c r="E787" t="inlineStr">
        <is>
          <t>Catalonia</t>
        </is>
      </c>
      <c r="F787" t="inlineStr">
        <is>
          <t>WFS,WFS Item</t>
        </is>
      </c>
      <c r="G787" s="48" t="n">
        <v>0</v>
      </c>
      <c r="H787" s="49" t="n">
        <v>0</v>
      </c>
      <c r="I787" s="49" t="n">
        <v>0</v>
      </c>
      <c r="J787" s="50" t="n">
        <v>0</v>
      </c>
      <c r="K787" s="51" t="n">
        <v>0</v>
      </c>
      <c r="L787" s="52" t="n">
        <v>0</v>
      </c>
      <c r="M787" s="52" t="n">
        <v>0</v>
      </c>
      <c r="N787" s="52" t="n">
        <v>0</v>
      </c>
      <c r="O787" s="53" t="n">
        <v>0</v>
      </c>
      <c r="P787" s="52" t="n">
        <v>0</v>
      </c>
      <c r="Q787" s="53" t="n">
        <v>0</v>
      </c>
      <c r="R787" s="52" t="n">
        <v>0</v>
      </c>
      <c r="S787" s="51" t="n">
        <v>0</v>
      </c>
      <c r="T787" s="48" t="n">
        <v>0</v>
      </c>
      <c r="U787" s="49" t="n">
        <v>0</v>
      </c>
      <c r="V787" s="49" t="n">
        <v>0</v>
      </c>
      <c r="W787" s="50" t="n">
        <v>0</v>
      </c>
      <c r="X787" s="51" t="n">
        <v>0</v>
      </c>
      <c r="Y787" s="52" t="n">
        <v>0</v>
      </c>
      <c r="Z787" s="52" t="n">
        <v>0</v>
      </c>
      <c r="AA787" s="52" t="n">
        <v>0</v>
      </c>
      <c r="AB787" s="53" t="n">
        <v>0</v>
      </c>
      <c r="AC787" s="52" t="n">
        <v>0</v>
      </c>
      <c r="AD787" s="53" t="n">
        <v>0</v>
      </c>
      <c r="AE787" s="52" t="n">
        <v>0</v>
      </c>
      <c r="AF787" s="51" t="n">
        <v>0</v>
      </c>
      <c r="AG787" s="48" t="n">
        <v>0</v>
      </c>
      <c r="AH787" s="49" t="n">
        <v>0</v>
      </c>
      <c r="AI787" s="49" t="n">
        <v>0</v>
      </c>
      <c r="AJ787" s="50" t="n">
        <v>0</v>
      </c>
      <c r="AK787" s="51" t="n">
        <v>0</v>
      </c>
      <c r="AL787" s="52" t="n">
        <v>0</v>
      </c>
      <c r="AM787" s="52" t="n">
        <v>0</v>
      </c>
      <c r="AN787" s="52" t="n">
        <v>0</v>
      </c>
      <c r="AO787" s="53" t="n">
        <v>0</v>
      </c>
      <c r="AP787" s="52" t="n">
        <v>0</v>
      </c>
      <c r="AQ787" s="53" t="n">
        <v>0</v>
      </c>
      <c r="AR787" s="52" t="n">
        <v>0</v>
      </c>
      <c r="AS787" s="51" t="n">
        <v>0</v>
      </c>
      <c r="AT787" s="48" t="n">
        <v>0</v>
      </c>
      <c r="AU787" s="49" t="n">
        <v>0</v>
      </c>
      <c r="AV787" s="49" t="n">
        <v>0</v>
      </c>
      <c r="AW787" s="50" t="n">
        <v>0</v>
      </c>
      <c r="AX787" s="51" t="n">
        <v>0</v>
      </c>
      <c r="AY787" s="52" t="n">
        <v>0</v>
      </c>
      <c r="AZ787" s="52" t="n">
        <v>0</v>
      </c>
      <c r="BA787" s="52" t="n">
        <v>0</v>
      </c>
      <c r="BB787" s="53" t="n">
        <v>0</v>
      </c>
      <c r="BC787" s="52" t="n">
        <v>0</v>
      </c>
      <c r="BD787" s="53" t="n">
        <v>0</v>
      </c>
      <c r="BE787" s="52" t="n">
        <v>0</v>
      </c>
      <c r="BF787" s="51" t="n">
        <v>0</v>
      </c>
    </row>
    <row r="788">
      <c r="A788">
        <f>HYPERLINK("https://www.walmart.com/ip/853210539", "853210539")</f>
        <v/>
      </c>
      <c r="B788" t="inlineStr">
        <is>
          <t>JenniWears Women Sexy Translucent Lace Panty Boyshort Plus Size Mesh Brief Lingerie Underwear - 3L Size</t>
        </is>
      </c>
      <c r="C788" t="inlineStr">
        <is>
          <t>JWPT05BK-3XL</t>
        </is>
      </c>
      <c r="D788" t="inlineStr">
        <is>
          <t>Panties</t>
        </is>
      </c>
      <c r="E788" t="inlineStr">
        <is>
          <t>JenniWears</t>
        </is>
      </c>
      <c r="F788" t="inlineStr">
        <is>
          <t>Batch 1 - TR</t>
        </is>
      </c>
      <c r="G788" s="48" t="n">
        <v>0</v>
      </c>
      <c r="H788" s="49" t="n">
        <v>0</v>
      </c>
      <c r="I788" s="49" t="n">
        <v>0</v>
      </c>
      <c r="J788" s="50" t="n">
        <v>0</v>
      </c>
      <c r="K788" s="51" t="n">
        <v>0</v>
      </c>
      <c r="L788" s="52" t="n">
        <v>0</v>
      </c>
      <c r="M788" s="52" t="n">
        <v>0</v>
      </c>
      <c r="N788" s="52" t="n">
        <v>0</v>
      </c>
      <c r="O788" s="53" t="n">
        <v>0</v>
      </c>
      <c r="P788" s="52" t="n">
        <v>0</v>
      </c>
      <c r="Q788" s="53" t="n">
        <v>0</v>
      </c>
      <c r="R788" s="52" t="n">
        <v>0</v>
      </c>
      <c r="S788" s="51" t="n">
        <v>0</v>
      </c>
      <c r="T788" s="48" t="n">
        <v>0</v>
      </c>
      <c r="U788" s="49" t="n">
        <v>0</v>
      </c>
      <c r="V788" s="49" t="n">
        <v>0</v>
      </c>
      <c r="W788" s="50" t="n">
        <v>0</v>
      </c>
      <c r="X788" s="51" t="n">
        <v>0</v>
      </c>
      <c r="Y788" s="52" t="n">
        <v>0</v>
      </c>
      <c r="Z788" s="52" t="n">
        <v>0</v>
      </c>
      <c r="AA788" s="52" t="n">
        <v>0</v>
      </c>
      <c r="AB788" s="53" t="n">
        <v>0</v>
      </c>
      <c r="AC788" s="52" t="n">
        <v>0</v>
      </c>
      <c r="AD788" s="53" t="n">
        <v>0</v>
      </c>
      <c r="AE788" s="52" t="n">
        <v>0</v>
      </c>
      <c r="AF788" s="51" t="n">
        <v>0</v>
      </c>
      <c r="AG788" s="48" t="n">
        <v>0</v>
      </c>
      <c r="AH788" s="49" t="n">
        <v>0</v>
      </c>
      <c r="AI788" s="49" t="n">
        <v>0</v>
      </c>
      <c r="AJ788" s="50" t="n">
        <v>0</v>
      </c>
      <c r="AK788" s="51" t="n">
        <v>0</v>
      </c>
      <c r="AL788" s="52" t="n">
        <v>0</v>
      </c>
      <c r="AM788" s="52" t="n">
        <v>0</v>
      </c>
      <c r="AN788" s="52" t="n">
        <v>0</v>
      </c>
      <c r="AO788" s="53" t="n">
        <v>0</v>
      </c>
      <c r="AP788" s="52" t="n">
        <v>0</v>
      </c>
      <c r="AQ788" s="53" t="n">
        <v>0</v>
      </c>
      <c r="AR788" s="52" t="n">
        <v>0</v>
      </c>
      <c r="AS788" s="51" t="n">
        <v>0</v>
      </c>
      <c r="AT788" s="48" t="n">
        <v>0</v>
      </c>
      <c r="AU788" s="49" t="n">
        <v>0</v>
      </c>
      <c r="AV788" s="49" t="n">
        <v>0</v>
      </c>
      <c r="AW788" s="50" t="n">
        <v>0</v>
      </c>
      <c r="AX788" s="51" t="n">
        <v>0</v>
      </c>
      <c r="AY788" s="52" t="n">
        <v>0</v>
      </c>
      <c r="AZ788" s="52" t="n">
        <v>0</v>
      </c>
      <c r="BA788" s="52" t="n">
        <v>0</v>
      </c>
      <c r="BB788" s="53" t="n">
        <v>0</v>
      </c>
      <c r="BC788" s="52" t="n">
        <v>0</v>
      </c>
      <c r="BD788" s="53" t="n">
        <v>0</v>
      </c>
      <c r="BE788" s="52" t="n">
        <v>0</v>
      </c>
      <c r="BF788" s="51" t="n">
        <v>0</v>
      </c>
    </row>
    <row r="789">
      <c r="A789">
        <f>HYPERLINK("https://www.walmart.com/ip/853427342", "853427342")</f>
        <v/>
      </c>
      <c r="B789" t="inlineStr">
        <is>
          <t>Flyingstar Insulated Lunch Bag, Reusable Tote Bag for Women &amp; Men &amp; Kids, Fashionable Large Cooler Lunch Bag for Working/School/Picnic</t>
        </is>
      </c>
      <c r="C789" t="inlineStr">
        <is>
          <t>1WMLB703BK</t>
        </is>
      </c>
      <c r="D789" t="inlineStr">
        <is>
          <t>Reusable Lunch Bags &amp; Boxes</t>
        </is>
      </c>
      <c r="E789" t="inlineStr">
        <is>
          <t>Flyingstar</t>
        </is>
      </c>
      <c r="F789" t="inlineStr">
        <is>
          <t>Q2-Target,Lunch Bag,Optimized,Lunch Bags,WFS Item</t>
        </is>
      </c>
      <c r="G789" s="48" t="n">
        <v>0</v>
      </c>
      <c r="H789" s="49" t="n">
        <v>0</v>
      </c>
      <c r="I789" s="49" t="n">
        <v>0</v>
      </c>
      <c r="J789" s="50" t="n">
        <v>0</v>
      </c>
      <c r="K789" s="51" t="n">
        <v>0</v>
      </c>
      <c r="L789" s="52" t="n">
        <v>0</v>
      </c>
      <c r="M789" s="52" t="n">
        <v>0</v>
      </c>
      <c r="N789" s="52" t="n">
        <v>0</v>
      </c>
      <c r="O789" s="53" t="n">
        <v>0</v>
      </c>
      <c r="P789" s="52" t="n">
        <v>0</v>
      </c>
      <c r="Q789" s="53" t="n">
        <v>0</v>
      </c>
      <c r="R789" s="52" t="n">
        <v>0</v>
      </c>
      <c r="S789" s="51" t="n">
        <v>0</v>
      </c>
      <c r="T789" s="48" t="n">
        <v>0</v>
      </c>
      <c r="U789" s="49" t="n">
        <v>0</v>
      </c>
      <c r="V789" s="49" t="n">
        <v>0</v>
      </c>
      <c r="W789" s="50" t="n">
        <v>0</v>
      </c>
      <c r="X789" s="51" t="n">
        <v>0</v>
      </c>
      <c r="Y789" s="52" t="n">
        <v>0</v>
      </c>
      <c r="Z789" s="52" t="n">
        <v>0</v>
      </c>
      <c r="AA789" s="52" t="n">
        <v>0</v>
      </c>
      <c r="AB789" s="53" t="n">
        <v>0</v>
      </c>
      <c r="AC789" s="52" t="n">
        <v>0</v>
      </c>
      <c r="AD789" s="53" t="n">
        <v>0</v>
      </c>
      <c r="AE789" s="52" t="n">
        <v>0</v>
      </c>
      <c r="AF789" s="51" t="n">
        <v>0</v>
      </c>
      <c r="AG789" s="48" t="n">
        <v>0</v>
      </c>
      <c r="AH789" s="49" t="n">
        <v>0</v>
      </c>
      <c r="AI789" s="49" t="n">
        <v>0</v>
      </c>
      <c r="AJ789" s="50" t="n">
        <v>0</v>
      </c>
      <c r="AK789" s="51" t="n">
        <v>0</v>
      </c>
      <c r="AL789" s="52" t="n">
        <v>0</v>
      </c>
      <c r="AM789" s="52" t="n">
        <v>0</v>
      </c>
      <c r="AN789" s="52" t="n">
        <v>0</v>
      </c>
      <c r="AO789" s="53" t="n">
        <v>0</v>
      </c>
      <c r="AP789" s="52" t="n">
        <v>0</v>
      </c>
      <c r="AQ789" s="53" t="n">
        <v>0</v>
      </c>
      <c r="AR789" s="52" t="n">
        <v>0</v>
      </c>
      <c r="AS789" s="51" t="n">
        <v>0</v>
      </c>
      <c r="AT789" s="48" t="n">
        <v>0</v>
      </c>
      <c r="AU789" s="49" t="n">
        <v>0</v>
      </c>
      <c r="AV789" s="49" t="n">
        <v>0</v>
      </c>
      <c r="AW789" s="50" t="n">
        <v>0</v>
      </c>
      <c r="AX789" s="51" t="n">
        <v>0</v>
      </c>
      <c r="AY789" s="52" t="n">
        <v>0</v>
      </c>
      <c r="AZ789" s="52" t="n">
        <v>0</v>
      </c>
      <c r="BA789" s="52" t="n">
        <v>0</v>
      </c>
      <c r="BB789" s="53" t="n">
        <v>0</v>
      </c>
      <c r="BC789" s="52" t="n">
        <v>0</v>
      </c>
      <c r="BD789" s="53" t="n">
        <v>0</v>
      </c>
      <c r="BE789" s="52" t="n">
        <v>0</v>
      </c>
      <c r="BF789" s="51" t="n">
        <v>0</v>
      </c>
    </row>
    <row r="790">
      <c r="A790">
        <f>HYPERLINK("https://www.walmart.com/ip/853690468", "853690468")</f>
        <v/>
      </c>
      <c r="B790" t="inlineStr">
        <is>
          <t>Tirrinia Outdoors Waterproof Throw Blanket, 60”x 80” Sherpa Fleece Stadium Windproof Mat for Traveling, Camping, Hiking, Football - Machine Washable, Black</t>
        </is>
      </c>
      <c r="C790" t="inlineStr">
        <is>
          <t>1TRBW608BKGY</t>
        </is>
      </c>
      <c r="D790" t="inlineStr">
        <is>
          <t>Picnic Blankets &amp; Mats</t>
        </is>
      </c>
      <c r="E790" t="inlineStr">
        <is>
          <t>Tirrinia</t>
        </is>
      </c>
      <c r="F790" t="inlineStr">
        <is>
          <t>Q2-Target,SEM,Batch 1 - TR,AMZ Bestsellers</t>
        </is>
      </c>
      <c r="G790" s="48" t="n">
        <v>0</v>
      </c>
      <c r="H790" s="49" t="n">
        <v>0</v>
      </c>
      <c r="I790" s="49" t="n">
        <v>0</v>
      </c>
      <c r="J790" s="50" t="n">
        <v>0</v>
      </c>
      <c r="K790" s="51" t="n">
        <v>2</v>
      </c>
      <c r="L790" s="52" t="n">
        <v>0.96</v>
      </c>
      <c r="M790" s="52" t="n">
        <v>0</v>
      </c>
      <c r="N790" s="52" t="n">
        <v>0</v>
      </c>
      <c r="O790" s="53" t="n">
        <v>0.0008</v>
      </c>
      <c r="P790" s="52" t="n">
        <v>0.48</v>
      </c>
      <c r="Q790" s="53" t="n">
        <v>0</v>
      </c>
      <c r="R790" s="52" t="n">
        <v>0</v>
      </c>
      <c r="S790" s="51" t="n">
        <v>2487</v>
      </c>
      <c r="T790" s="48" t="n">
        <v>39.99</v>
      </c>
      <c r="U790" s="49" t="n">
        <v>1</v>
      </c>
      <c r="V790" s="49" t="n">
        <v>0</v>
      </c>
      <c r="W790" s="50" t="n">
        <v>0</v>
      </c>
      <c r="X790" s="51" t="n">
        <v>3</v>
      </c>
      <c r="Y790" s="52" t="n">
        <v>1.44</v>
      </c>
      <c r="Z790" s="52" t="n">
        <v>0</v>
      </c>
      <c r="AA790" s="52" t="n">
        <v>0</v>
      </c>
      <c r="AB790" s="53" t="n">
        <v>0.0024</v>
      </c>
      <c r="AC790" s="52" t="n">
        <v>0.48</v>
      </c>
      <c r="AD790" s="53" t="n">
        <v>0.03600900225056264</v>
      </c>
      <c r="AE790" s="52" t="n">
        <v>39.99</v>
      </c>
      <c r="AF790" s="51" t="n">
        <v>1227</v>
      </c>
      <c r="AG790" s="48" t="n">
        <v>0</v>
      </c>
      <c r="AH790" s="49" t="n">
        <v>0</v>
      </c>
      <c r="AI790" s="49" t="n">
        <v>0</v>
      </c>
      <c r="AJ790" s="50" t="n">
        <v>0</v>
      </c>
      <c r="AK790" s="51" t="n">
        <v>0</v>
      </c>
      <c r="AL790" s="52" t="n">
        <v>0</v>
      </c>
      <c r="AM790" s="52" t="n">
        <v>0</v>
      </c>
      <c r="AN790" s="52" t="n">
        <v>0</v>
      </c>
      <c r="AO790" s="53" t="n">
        <v>0</v>
      </c>
      <c r="AP790" s="52" t="n">
        <v>0</v>
      </c>
      <c r="AQ790" s="53" t="n">
        <v>0</v>
      </c>
      <c r="AR790" s="52" t="n">
        <v>0</v>
      </c>
      <c r="AS790" s="51" t="n">
        <v>0</v>
      </c>
      <c r="AT790" s="48" t="n">
        <v>0</v>
      </c>
      <c r="AU790" s="49" t="n">
        <v>0</v>
      </c>
      <c r="AV790" s="49" t="n">
        <v>0</v>
      </c>
      <c r="AW790" s="50" t="n">
        <v>0</v>
      </c>
      <c r="AX790" s="51" t="n">
        <v>4</v>
      </c>
      <c r="AY790" s="52" t="n">
        <v>1.62</v>
      </c>
      <c r="AZ790" s="52" t="n">
        <v>0</v>
      </c>
      <c r="BA790" s="52" t="n">
        <v>0</v>
      </c>
      <c r="BB790" s="53" t="n">
        <v>0.0078</v>
      </c>
      <c r="BC790" s="52" t="n">
        <v>0.405</v>
      </c>
      <c r="BD790" s="53" t="n">
        <v>0</v>
      </c>
      <c r="BE790" s="52" t="n">
        <v>0</v>
      </c>
      <c r="BF790" s="51" t="n">
        <v>515</v>
      </c>
    </row>
    <row r="791">
      <c r="A791">
        <f>HYPERLINK("https://www.walmart.com/ip/856387561", "856387561")</f>
        <v/>
      </c>
      <c r="B791" t="inlineStr">
        <is>
          <t>Flyingstar Oversized Wearable Blanket with Large Front Pocket, Microfiber Faux Shearling Comfy Sweatshirt Blanket for Adults Women Men Teenagers, Pink</t>
        </is>
      </c>
      <c r="C791" t="inlineStr">
        <is>
          <t>1WMHD300PK</t>
        </is>
      </c>
      <c r="D791" t="inlineStr">
        <is>
          <t>Throws</t>
        </is>
      </c>
      <c r="E791" t="inlineStr">
        <is>
          <t>Flyingstar</t>
        </is>
      </c>
      <c r="F791" t="inlineStr">
        <is>
          <t>Hoodie ForAdult,Optimized</t>
        </is>
      </c>
      <c r="G791" s="48" t="n">
        <v>0</v>
      </c>
      <c r="H791" s="49" t="n">
        <v>0</v>
      </c>
      <c r="I791" s="49" t="n">
        <v>0</v>
      </c>
      <c r="J791" s="50" t="n">
        <v>0</v>
      </c>
      <c r="K791" s="51" t="n">
        <v>0</v>
      </c>
      <c r="L791" s="52" t="n">
        <v>0</v>
      </c>
      <c r="M791" s="52" t="n">
        <v>0</v>
      </c>
      <c r="N791" s="52" t="n">
        <v>0</v>
      </c>
      <c r="O791" s="53" t="n">
        <v>0</v>
      </c>
      <c r="P791" s="52" t="n">
        <v>0</v>
      </c>
      <c r="Q791" s="53" t="n">
        <v>0</v>
      </c>
      <c r="R791" s="52" t="n">
        <v>0</v>
      </c>
      <c r="S791" s="51" t="n">
        <v>0</v>
      </c>
      <c r="T791" s="48" t="n">
        <v>0</v>
      </c>
      <c r="U791" s="49" t="n">
        <v>0</v>
      </c>
      <c r="V791" s="49" t="n">
        <v>0</v>
      </c>
      <c r="W791" s="50" t="n">
        <v>0</v>
      </c>
      <c r="X791" s="51" t="n">
        <v>0</v>
      </c>
      <c r="Y791" s="52" t="n">
        <v>0</v>
      </c>
      <c r="Z791" s="52" t="n">
        <v>0</v>
      </c>
      <c r="AA791" s="52" t="n">
        <v>0</v>
      </c>
      <c r="AB791" s="53" t="n">
        <v>0</v>
      </c>
      <c r="AC791" s="52" t="n">
        <v>0</v>
      </c>
      <c r="AD791" s="53" t="n">
        <v>0</v>
      </c>
      <c r="AE791" s="52" t="n">
        <v>0</v>
      </c>
      <c r="AF791" s="51" t="n">
        <v>0</v>
      </c>
      <c r="AG791" s="48" t="n">
        <v>0</v>
      </c>
      <c r="AH791" s="49" t="n">
        <v>0</v>
      </c>
      <c r="AI791" s="49" t="n">
        <v>0</v>
      </c>
      <c r="AJ791" s="50" t="n">
        <v>0</v>
      </c>
      <c r="AK791" s="51" t="n">
        <v>0</v>
      </c>
      <c r="AL791" s="52" t="n">
        <v>0</v>
      </c>
      <c r="AM791" s="52" t="n">
        <v>0</v>
      </c>
      <c r="AN791" s="52" t="n">
        <v>0</v>
      </c>
      <c r="AO791" s="53" t="n">
        <v>0</v>
      </c>
      <c r="AP791" s="52" t="n">
        <v>0</v>
      </c>
      <c r="AQ791" s="53" t="n">
        <v>0</v>
      </c>
      <c r="AR791" s="52" t="n">
        <v>0</v>
      </c>
      <c r="AS791" s="51" t="n">
        <v>0</v>
      </c>
      <c r="AT791" s="48" t="n">
        <v>0</v>
      </c>
      <c r="AU791" s="49" t="n">
        <v>0</v>
      </c>
      <c r="AV791" s="49" t="n">
        <v>0</v>
      </c>
      <c r="AW791" s="50" t="n">
        <v>0</v>
      </c>
      <c r="AX791" s="51" t="n">
        <v>0</v>
      </c>
      <c r="AY791" s="52" t="n">
        <v>0</v>
      </c>
      <c r="AZ791" s="52" t="n">
        <v>0</v>
      </c>
      <c r="BA791" s="52" t="n">
        <v>0</v>
      </c>
      <c r="BB791" s="53" t="n">
        <v>0</v>
      </c>
      <c r="BC791" s="52" t="n">
        <v>0</v>
      </c>
      <c r="BD791" s="53" t="n">
        <v>0</v>
      </c>
      <c r="BE791" s="52" t="n">
        <v>0</v>
      </c>
      <c r="BF791" s="51" t="n">
        <v>0</v>
      </c>
    </row>
    <row r="792">
      <c r="A792">
        <f>HYPERLINK("https://www.walmart.com/ip/856822538", "856822538")</f>
        <v/>
      </c>
      <c r="B792" t="inlineStr">
        <is>
          <t>Tirrinia Sherpa Throw Couch Blanket, Super Soft TV Blanket, Black Chevron, 50'' x 60''</t>
        </is>
      </c>
      <c r="C792" t="inlineStr">
        <is>
          <t>1TRBF320BK-TBCB</t>
        </is>
      </c>
      <c r="D792" t="inlineStr">
        <is>
          <t>Throws</t>
        </is>
      </c>
      <c r="E792" t="inlineStr">
        <is>
          <t>Tirrinia</t>
        </is>
      </c>
      <c r="F792" t="inlineStr">
        <is>
          <t>Optimized,Coupon_Discount</t>
        </is>
      </c>
      <c r="G792" s="48" t="n">
        <v>0</v>
      </c>
      <c r="H792" s="49" t="n">
        <v>0</v>
      </c>
      <c r="I792" s="49" t="n">
        <v>0</v>
      </c>
      <c r="J792" s="50" t="n">
        <v>0</v>
      </c>
      <c r="K792" s="51" t="n">
        <v>0</v>
      </c>
      <c r="L792" s="52" t="n">
        <v>0</v>
      </c>
      <c r="M792" s="52" t="n">
        <v>0</v>
      </c>
      <c r="N792" s="52" t="n">
        <v>0</v>
      </c>
      <c r="O792" s="53" t="n">
        <v>0</v>
      </c>
      <c r="P792" s="52" t="n">
        <v>0</v>
      </c>
      <c r="Q792" s="53" t="n">
        <v>0</v>
      </c>
      <c r="R792" s="52" t="n">
        <v>0</v>
      </c>
      <c r="S792" s="51" t="n">
        <v>0</v>
      </c>
      <c r="T792" s="48" t="n">
        <v>0</v>
      </c>
      <c r="U792" s="49" t="n">
        <v>0</v>
      </c>
      <c r="V792" s="49" t="n">
        <v>0</v>
      </c>
      <c r="W792" s="50" t="n">
        <v>0</v>
      </c>
      <c r="X792" s="51" t="n">
        <v>0</v>
      </c>
      <c r="Y792" s="52" t="n">
        <v>0</v>
      </c>
      <c r="Z792" s="52" t="n">
        <v>0</v>
      </c>
      <c r="AA792" s="52" t="n">
        <v>0</v>
      </c>
      <c r="AB792" s="53" t="n">
        <v>0</v>
      </c>
      <c r="AC792" s="52" t="n">
        <v>0</v>
      </c>
      <c r="AD792" s="53" t="n">
        <v>0</v>
      </c>
      <c r="AE792" s="52" t="n">
        <v>0</v>
      </c>
      <c r="AF792" s="51" t="n">
        <v>0</v>
      </c>
      <c r="AG792" s="48" t="n">
        <v>0</v>
      </c>
      <c r="AH792" s="49" t="n">
        <v>0</v>
      </c>
      <c r="AI792" s="49" t="n">
        <v>0</v>
      </c>
      <c r="AJ792" s="50" t="n">
        <v>0</v>
      </c>
      <c r="AK792" s="51" t="n">
        <v>0</v>
      </c>
      <c r="AL792" s="52" t="n">
        <v>0</v>
      </c>
      <c r="AM792" s="52" t="n">
        <v>0</v>
      </c>
      <c r="AN792" s="52" t="n">
        <v>0</v>
      </c>
      <c r="AO792" s="53" t="n">
        <v>0</v>
      </c>
      <c r="AP792" s="52" t="n">
        <v>0</v>
      </c>
      <c r="AQ792" s="53" t="n">
        <v>0</v>
      </c>
      <c r="AR792" s="52" t="n">
        <v>0</v>
      </c>
      <c r="AS792" s="51" t="n">
        <v>0</v>
      </c>
      <c r="AT792" s="48" t="n">
        <v>0</v>
      </c>
      <c r="AU792" s="49" t="n">
        <v>0</v>
      </c>
      <c r="AV792" s="49" t="n">
        <v>0</v>
      </c>
      <c r="AW792" s="50" t="n">
        <v>0</v>
      </c>
      <c r="AX792" s="51" t="n">
        <v>0</v>
      </c>
      <c r="AY792" s="52" t="n">
        <v>0</v>
      </c>
      <c r="AZ792" s="52" t="n">
        <v>0</v>
      </c>
      <c r="BA792" s="52" t="n">
        <v>0</v>
      </c>
      <c r="BB792" s="53" t="n">
        <v>0</v>
      </c>
      <c r="BC792" s="52" t="n">
        <v>0</v>
      </c>
      <c r="BD792" s="53" t="n">
        <v>0</v>
      </c>
      <c r="BE792" s="52" t="n">
        <v>0</v>
      </c>
      <c r="BF792" s="51" t="n">
        <v>0</v>
      </c>
    </row>
    <row r="793">
      <c r="A793">
        <f>HYPERLINK("https://www.walmart.com/ip/843451150", "843451150")</f>
        <v/>
      </c>
      <c r="B793" t="inlineStr">
        <is>
          <t>Men's Sun Protection Hat with Neck Flap Cover,Wide Brim Outdoor Fishing Hiking Camping Hunting Boating Safari Gardening</t>
        </is>
      </c>
      <c r="C793" t="inlineStr">
        <is>
          <t>1SLSH923DIGIGN</t>
        </is>
      </c>
      <c r="D793" t="inlineStr">
        <is>
          <t>Hats</t>
        </is>
      </c>
      <c r="E793" t="inlineStr">
        <is>
          <t>Solaris</t>
        </is>
      </c>
      <c r="F793" t="inlineStr">
        <is>
          <t>Hats,Batch 1 - TR</t>
        </is>
      </c>
      <c r="G793" s="48" t="n">
        <v>0</v>
      </c>
      <c r="H793" s="49" t="n">
        <v>0</v>
      </c>
      <c r="I793" s="49" t="n">
        <v>0</v>
      </c>
      <c r="J793" s="50" t="n">
        <v>0</v>
      </c>
      <c r="K793" s="51" t="n">
        <v>0</v>
      </c>
      <c r="L793" s="52" t="n">
        <v>0</v>
      </c>
      <c r="M793" s="52" t="n">
        <v>0</v>
      </c>
      <c r="N793" s="52" t="n">
        <v>0</v>
      </c>
      <c r="O793" s="53" t="n">
        <v>0</v>
      </c>
      <c r="P793" s="52" t="n">
        <v>0</v>
      </c>
      <c r="Q793" s="53" t="n">
        <v>0</v>
      </c>
      <c r="R793" s="52" t="n">
        <v>0</v>
      </c>
      <c r="S793" s="51" t="n">
        <v>0</v>
      </c>
      <c r="T793" s="48" t="n">
        <v>17.99</v>
      </c>
      <c r="U793" s="49" t="n">
        <v>1</v>
      </c>
      <c r="V793" s="49" t="n">
        <v>0</v>
      </c>
      <c r="W793" s="50" t="n">
        <v>0</v>
      </c>
      <c r="X793" s="51" t="n">
        <v>0</v>
      </c>
      <c r="Y793" s="52" t="n">
        <v>0</v>
      </c>
      <c r="Z793" s="52" t="n">
        <v>0</v>
      </c>
      <c r="AA793" s="52" t="n">
        <v>0</v>
      </c>
      <c r="AB793" s="53" t="n">
        <v>0</v>
      </c>
      <c r="AC793" s="52" t="n">
        <v>0</v>
      </c>
      <c r="AD793" s="53" t="n">
        <v>0</v>
      </c>
      <c r="AE793" s="52" t="n">
        <v>17.99</v>
      </c>
      <c r="AF793" s="51" t="n">
        <v>0</v>
      </c>
      <c r="AG793" s="48" t="n">
        <v>17.99</v>
      </c>
      <c r="AH793" s="49" t="n">
        <v>1</v>
      </c>
      <c r="AI793" s="49" t="n">
        <v>0</v>
      </c>
      <c r="AJ793" s="50" t="n">
        <v>0</v>
      </c>
      <c r="AK793" s="51" t="n">
        <v>0</v>
      </c>
      <c r="AL793" s="52" t="n">
        <v>0</v>
      </c>
      <c r="AM793" s="52" t="n">
        <v>0</v>
      </c>
      <c r="AN793" s="52" t="n">
        <v>0</v>
      </c>
      <c r="AO793" s="53" t="n">
        <v>0</v>
      </c>
      <c r="AP793" s="52" t="n">
        <v>0</v>
      </c>
      <c r="AQ793" s="53" t="n">
        <v>0</v>
      </c>
      <c r="AR793" s="52" t="n">
        <v>17.99</v>
      </c>
      <c r="AS793" s="51" t="n">
        <v>0</v>
      </c>
      <c r="AT793" s="48" t="n">
        <v>0</v>
      </c>
      <c r="AU793" s="49" t="n">
        <v>0</v>
      </c>
      <c r="AV793" s="49" t="n">
        <v>1</v>
      </c>
      <c r="AW793" s="50" t="n">
        <v>0</v>
      </c>
      <c r="AX793" s="51" t="n">
        <v>0</v>
      </c>
      <c r="AY793" s="52" t="n">
        <v>0</v>
      </c>
      <c r="AZ793" s="52" t="n">
        <v>0</v>
      </c>
      <c r="BA793" s="52" t="n">
        <v>0</v>
      </c>
      <c r="BB793" s="53" t="n">
        <v>0</v>
      </c>
      <c r="BC793" s="52" t="n">
        <v>0</v>
      </c>
      <c r="BD793" s="53" t="n">
        <v>0</v>
      </c>
      <c r="BE793" s="52" t="n">
        <v>0</v>
      </c>
      <c r="BF793" s="51" t="n">
        <v>0</v>
      </c>
    </row>
    <row r="794">
      <c r="A794">
        <f>HYPERLINK("https://www.walmart.com/ip/842569897", "842569897")</f>
        <v/>
      </c>
      <c r="B794" t="inlineStr">
        <is>
          <t>Waterproof Dog Blanket for Bed,Pee Proof Pet Blankets for Couch Sofa Cover,Reversible Furniture Protector Sherpa Cushion Mat for Small Medium Large Dogs Puppy Cat,King Size</t>
        </is>
      </c>
      <c r="C794" t="inlineStr">
        <is>
          <t>1PSBW981TPTP</t>
        </is>
      </c>
      <c r="D794" t="inlineStr">
        <is>
          <t>Pet Blankets</t>
        </is>
      </c>
      <c r="E794" t="inlineStr">
        <is>
          <t>Pawsse</t>
        </is>
      </c>
      <c r="F794" t="inlineStr">
        <is>
          <t>Q2-Target,Batch 1 - TR</t>
        </is>
      </c>
      <c r="G794" s="48" t="n">
        <v>0</v>
      </c>
      <c r="H794" s="49" t="n">
        <v>0</v>
      </c>
      <c r="I794" s="49" t="n">
        <v>0</v>
      </c>
      <c r="J794" s="50" t="n">
        <v>0</v>
      </c>
      <c r="K794" s="51" t="n">
        <v>1</v>
      </c>
      <c r="L794" s="52" t="n">
        <v>0.43</v>
      </c>
      <c r="M794" s="52" t="n">
        <v>0</v>
      </c>
      <c r="N794" s="52" t="n">
        <v>0</v>
      </c>
      <c r="O794" s="53" t="n">
        <v>0.0002</v>
      </c>
      <c r="P794" s="52" t="n">
        <v>0.43</v>
      </c>
      <c r="Q794" s="53" t="n">
        <v>0</v>
      </c>
      <c r="R794" s="52" t="n">
        <v>0</v>
      </c>
      <c r="S794" s="51" t="n">
        <v>4169</v>
      </c>
      <c r="T794" s="48" t="n">
        <v>0</v>
      </c>
      <c r="U794" s="49" t="n">
        <v>0</v>
      </c>
      <c r="V794" s="49" t="n">
        <v>0</v>
      </c>
      <c r="W794" s="50" t="n">
        <v>0</v>
      </c>
      <c r="X794" s="51" t="n">
        <v>2</v>
      </c>
      <c r="Y794" s="52" t="n">
        <v>0.9199999999999999</v>
      </c>
      <c r="Z794" s="52" t="n">
        <v>0</v>
      </c>
      <c r="AA794" s="52" t="n">
        <v>0</v>
      </c>
      <c r="AB794" s="53" t="n">
        <v>0.0008</v>
      </c>
      <c r="AC794" s="52" t="n">
        <v>0.46</v>
      </c>
      <c r="AD794" s="53" t="n">
        <v>0</v>
      </c>
      <c r="AE794" s="52" t="n">
        <v>0</v>
      </c>
      <c r="AF794" s="51" t="n">
        <v>2580</v>
      </c>
      <c r="AG794" s="48" t="n">
        <v>0</v>
      </c>
      <c r="AH794" s="49" t="n">
        <v>0</v>
      </c>
      <c r="AI794" s="49" t="n">
        <v>0</v>
      </c>
      <c r="AJ794" s="50" t="n">
        <v>0</v>
      </c>
      <c r="AK794" s="51" t="n">
        <v>6</v>
      </c>
      <c r="AL794" s="52" t="n">
        <v>2.74</v>
      </c>
      <c r="AM794" s="52" t="n">
        <v>0</v>
      </c>
      <c r="AN794" s="52" t="n">
        <v>0</v>
      </c>
      <c r="AO794" s="53" t="n">
        <v>0.0028</v>
      </c>
      <c r="AP794" s="52" t="n">
        <v>0.4566666666666667</v>
      </c>
      <c r="AQ794" s="53" t="n">
        <v>0</v>
      </c>
      <c r="AR794" s="52" t="n">
        <v>0</v>
      </c>
      <c r="AS794" s="51" t="n">
        <v>2148</v>
      </c>
      <c r="AT794" s="48" t="n">
        <v>0</v>
      </c>
      <c r="AU794" s="49" t="n">
        <v>0</v>
      </c>
      <c r="AV794" s="49" t="n">
        <v>0</v>
      </c>
      <c r="AW794" s="50" t="n">
        <v>0</v>
      </c>
      <c r="AX794" s="51" t="n">
        <v>3</v>
      </c>
      <c r="AY794" s="52" t="n">
        <v>1.33</v>
      </c>
      <c r="AZ794" s="52" t="n">
        <v>0</v>
      </c>
      <c r="BA794" s="52" t="n">
        <v>0</v>
      </c>
      <c r="BB794" s="53" t="n">
        <v>0.0023</v>
      </c>
      <c r="BC794" s="52" t="n">
        <v>0.4433333333333334</v>
      </c>
      <c r="BD794" s="53" t="n">
        <v>0</v>
      </c>
      <c r="BE794" s="52" t="n">
        <v>0</v>
      </c>
      <c r="BF794" s="51" t="n">
        <v>1321</v>
      </c>
    </row>
    <row r="795">
      <c r="A795">
        <f>HYPERLINK("https://www.walmart.com/ip/858115979", "858115979")</f>
        <v/>
      </c>
      <c r="B795" t="inlineStr">
        <is>
          <t>Catalonia Fleece Throw Blanket for Couch, Super Soft Fuzzy Plush Blanket for Adults and Kids, All Seasons Home Decor Blanket, Machine Washable, 50"x60", Navy</t>
        </is>
      </c>
      <c r="C795" t="inlineStr">
        <is>
          <t>1CTBF575BL</t>
        </is>
      </c>
      <c r="D795" t="inlineStr">
        <is>
          <t>Throws</t>
        </is>
      </c>
      <c r="E795" t="inlineStr">
        <is>
          <t>Catalonia</t>
        </is>
      </c>
      <c r="F795" t="inlineStr">
        <is>
          <t>Q2-Target,WFS,Coupon_Discount,WFS Item</t>
        </is>
      </c>
      <c r="G795" s="48" t="n">
        <v>0</v>
      </c>
      <c r="H795" s="49" t="n">
        <v>0</v>
      </c>
      <c r="I795" s="49" t="n">
        <v>0</v>
      </c>
      <c r="J795" s="50" t="n">
        <v>0</v>
      </c>
      <c r="K795" s="51" t="n">
        <v>0</v>
      </c>
      <c r="L795" s="52" t="n">
        <v>0</v>
      </c>
      <c r="M795" s="52" t="n">
        <v>0</v>
      </c>
      <c r="N795" s="52" t="n">
        <v>0</v>
      </c>
      <c r="O795" s="53" t="n">
        <v>0</v>
      </c>
      <c r="P795" s="52" t="n">
        <v>0</v>
      </c>
      <c r="Q795" s="53" t="n">
        <v>0</v>
      </c>
      <c r="R795" s="52" t="n">
        <v>0</v>
      </c>
      <c r="S795" s="51" t="n">
        <v>0</v>
      </c>
      <c r="T795" s="48" t="n">
        <v>0</v>
      </c>
      <c r="U795" s="49" t="n">
        <v>0</v>
      </c>
      <c r="V795" s="49" t="n">
        <v>0</v>
      </c>
      <c r="W795" s="50" t="n">
        <v>0</v>
      </c>
      <c r="X795" s="51" t="n">
        <v>0</v>
      </c>
      <c r="Y795" s="52" t="n">
        <v>0</v>
      </c>
      <c r="Z795" s="52" t="n">
        <v>0</v>
      </c>
      <c r="AA795" s="52" t="n">
        <v>0</v>
      </c>
      <c r="AB795" s="53" t="n">
        <v>0</v>
      </c>
      <c r="AC795" s="52" t="n">
        <v>0</v>
      </c>
      <c r="AD795" s="53" t="n">
        <v>0</v>
      </c>
      <c r="AE795" s="52" t="n">
        <v>0</v>
      </c>
      <c r="AF795" s="51" t="n">
        <v>0</v>
      </c>
      <c r="AG795" s="48" t="n">
        <v>0</v>
      </c>
      <c r="AH795" s="49" t="n">
        <v>0</v>
      </c>
      <c r="AI795" s="49" t="n">
        <v>0</v>
      </c>
      <c r="AJ795" s="50" t="n">
        <v>0</v>
      </c>
      <c r="AK795" s="51" t="n">
        <v>0</v>
      </c>
      <c r="AL795" s="52" t="n">
        <v>0</v>
      </c>
      <c r="AM795" s="52" t="n">
        <v>0</v>
      </c>
      <c r="AN795" s="52" t="n">
        <v>0</v>
      </c>
      <c r="AO795" s="53" t="n">
        <v>0</v>
      </c>
      <c r="AP795" s="52" t="n">
        <v>0</v>
      </c>
      <c r="AQ795" s="53" t="n">
        <v>0</v>
      </c>
      <c r="AR795" s="52" t="n">
        <v>0</v>
      </c>
      <c r="AS795" s="51" t="n">
        <v>0</v>
      </c>
      <c r="AT795" s="48" t="n">
        <v>0</v>
      </c>
      <c r="AU795" s="49" t="n">
        <v>0</v>
      </c>
      <c r="AV795" s="49" t="n">
        <v>0</v>
      </c>
      <c r="AW795" s="50" t="n">
        <v>0</v>
      </c>
      <c r="AX795" s="51" t="n">
        <v>0</v>
      </c>
      <c r="AY795" s="52" t="n">
        <v>0</v>
      </c>
      <c r="AZ795" s="52" t="n">
        <v>0</v>
      </c>
      <c r="BA795" s="52" t="n">
        <v>0</v>
      </c>
      <c r="BB795" s="53" t="n">
        <v>0</v>
      </c>
      <c r="BC795" s="52" t="n">
        <v>0</v>
      </c>
      <c r="BD795" s="53" t="n">
        <v>0</v>
      </c>
      <c r="BE795" s="52" t="n">
        <v>0</v>
      </c>
      <c r="BF795" s="51" t="n">
        <v>0</v>
      </c>
    </row>
    <row r="796">
      <c r="A796">
        <f>HYPERLINK("https://www.walmart.com/ip/842306008", "842306008")</f>
        <v/>
      </c>
      <c r="B796" t="inlineStr">
        <is>
          <t>Catalonia Waterproof Fleece Blanket, Liquid Pee Proof Outdoor Blanket for Bed Couch Sofa, Protector Cover for Baby, Cozy Sherpa Lining Throws and Blankets for Camping and Boating, Camel/Taupe, 80'' x 60''</t>
        </is>
      </c>
      <c r="C796" t="inlineStr">
        <is>
          <t>1CTBW681TPTP</t>
        </is>
      </c>
      <c r="D796" t="inlineStr">
        <is>
          <t>Throws</t>
        </is>
      </c>
      <c r="E796" t="inlineStr">
        <is>
          <t>Catalonia</t>
        </is>
      </c>
      <c r="F796" t="inlineStr">
        <is>
          <t>Optimized,Wproof Blanket</t>
        </is>
      </c>
      <c r="G796" s="48" t="n">
        <v>0</v>
      </c>
      <c r="H796" s="49" t="n">
        <v>0</v>
      </c>
      <c r="I796" s="49" t="n">
        <v>0</v>
      </c>
      <c r="J796" s="50" t="n">
        <v>0</v>
      </c>
      <c r="K796" s="51" t="n">
        <v>0</v>
      </c>
      <c r="L796" s="52" t="n">
        <v>0</v>
      </c>
      <c r="M796" s="52" t="n">
        <v>0</v>
      </c>
      <c r="N796" s="52" t="n">
        <v>0</v>
      </c>
      <c r="O796" s="53" t="n">
        <v>0</v>
      </c>
      <c r="P796" s="52" t="n">
        <v>0</v>
      </c>
      <c r="Q796" s="53" t="n">
        <v>0</v>
      </c>
      <c r="R796" s="52" t="n">
        <v>0</v>
      </c>
      <c r="S796" s="51" t="n">
        <v>874</v>
      </c>
      <c r="T796" s="48" t="n">
        <v>0</v>
      </c>
      <c r="U796" s="49" t="n">
        <v>0</v>
      </c>
      <c r="V796" s="49" t="n">
        <v>0</v>
      </c>
      <c r="W796" s="50" t="n">
        <v>0</v>
      </c>
      <c r="X796" s="51" t="n">
        <v>1</v>
      </c>
      <c r="Y796" s="52" t="n">
        <v>0.41</v>
      </c>
      <c r="Z796" s="52" t="n">
        <v>0</v>
      </c>
      <c r="AA796" s="52" t="n">
        <v>0</v>
      </c>
      <c r="AB796" s="53" t="n">
        <v>0.0012</v>
      </c>
      <c r="AC796" s="52" t="n">
        <v>0.41</v>
      </c>
      <c r="AD796" s="53" t="n">
        <v>0</v>
      </c>
      <c r="AE796" s="52" t="n">
        <v>0</v>
      </c>
      <c r="AF796" s="51" t="n">
        <v>829</v>
      </c>
      <c r="AG796" s="48" t="n">
        <v>0</v>
      </c>
      <c r="AH796" s="49" t="n">
        <v>0</v>
      </c>
      <c r="AI796" s="49" t="n">
        <v>0</v>
      </c>
      <c r="AJ796" s="50" t="n">
        <v>0</v>
      </c>
      <c r="AK796" s="51" t="n">
        <v>1</v>
      </c>
      <c r="AL796" s="52" t="n">
        <v>0.45</v>
      </c>
      <c r="AM796" s="52" t="n">
        <v>0</v>
      </c>
      <c r="AN796" s="52" t="n">
        <v>0</v>
      </c>
      <c r="AO796" s="53" t="n">
        <v>0.0012</v>
      </c>
      <c r="AP796" s="52" t="n">
        <v>0.45</v>
      </c>
      <c r="AQ796" s="53" t="n">
        <v>0</v>
      </c>
      <c r="AR796" s="52" t="n">
        <v>0</v>
      </c>
      <c r="AS796" s="51" t="n">
        <v>840</v>
      </c>
      <c r="AT796" s="48" t="n">
        <v>0</v>
      </c>
      <c r="AU796" s="49" t="n">
        <v>0</v>
      </c>
      <c r="AV796" s="49" t="n">
        <v>0</v>
      </c>
      <c r="AW796" s="50" t="n">
        <v>0</v>
      </c>
      <c r="AX796" s="51" t="n">
        <v>1</v>
      </c>
      <c r="AY796" s="52" t="n">
        <v>0.41</v>
      </c>
      <c r="AZ796" s="52" t="n">
        <v>0</v>
      </c>
      <c r="BA796" s="52" t="n">
        <v>0</v>
      </c>
      <c r="BB796" s="53" t="n">
        <v>0.0011</v>
      </c>
      <c r="BC796" s="52" t="n">
        <v>0.41</v>
      </c>
      <c r="BD796" s="53" t="n">
        <v>0</v>
      </c>
      <c r="BE796" s="52" t="n">
        <v>0</v>
      </c>
      <c r="BF796" s="51" t="n">
        <v>892</v>
      </c>
    </row>
    <row r="797">
      <c r="A797">
        <f>HYPERLINK("https://www.walmart.com/ip/833037681", "833037681")</f>
        <v/>
      </c>
      <c r="B797" t="inlineStr">
        <is>
          <t>Deluxe Pet Carrier Backpack for Small Cats and Dogs |Two-Sided Entry Airline-Approved, Padded Back Support Travel Carrier for Hiking, Walking, Cycling &amp; Outdoor</t>
        </is>
      </c>
      <c r="C797" t="inlineStr">
        <is>
          <t>1TRPB200CH</t>
        </is>
      </c>
      <c r="D797" t="inlineStr">
        <is>
          <t>Pet Carriers</t>
        </is>
      </c>
      <c r="E797" t="inlineStr">
        <is>
          <t>Kato</t>
        </is>
      </c>
      <c r="F797" t="inlineStr">
        <is>
          <t>Optimized</t>
        </is>
      </c>
      <c r="G797" s="48" t="n">
        <v>0</v>
      </c>
      <c r="H797" s="49" t="n">
        <v>0</v>
      </c>
      <c r="I797" s="49" t="n">
        <v>0</v>
      </c>
      <c r="J797" s="50" t="n">
        <v>0</v>
      </c>
      <c r="K797" s="51" t="n">
        <v>0</v>
      </c>
      <c r="L797" s="52" t="n">
        <v>0</v>
      </c>
      <c r="M797" s="52" t="n">
        <v>0</v>
      </c>
      <c r="N797" s="52" t="n">
        <v>0</v>
      </c>
      <c r="O797" s="53" t="n">
        <v>0</v>
      </c>
      <c r="P797" s="52" t="n">
        <v>0</v>
      </c>
      <c r="Q797" s="53" t="n">
        <v>0</v>
      </c>
      <c r="R797" s="52" t="n">
        <v>0</v>
      </c>
      <c r="S797" s="51" t="n">
        <v>0</v>
      </c>
      <c r="T797" s="48" t="n">
        <v>0</v>
      </c>
      <c r="U797" s="49" t="n">
        <v>0</v>
      </c>
      <c r="V797" s="49" t="n">
        <v>0</v>
      </c>
      <c r="W797" s="50" t="n">
        <v>0</v>
      </c>
      <c r="X797" s="51" t="n">
        <v>0</v>
      </c>
      <c r="Y797" s="52" t="n">
        <v>0</v>
      </c>
      <c r="Z797" s="52" t="n">
        <v>0</v>
      </c>
      <c r="AA797" s="52" t="n">
        <v>0</v>
      </c>
      <c r="AB797" s="53" t="n">
        <v>0</v>
      </c>
      <c r="AC797" s="52" t="n">
        <v>0</v>
      </c>
      <c r="AD797" s="53" t="n">
        <v>0</v>
      </c>
      <c r="AE797" s="52" t="n">
        <v>0</v>
      </c>
      <c r="AF797" s="51" t="n">
        <v>0</v>
      </c>
      <c r="AG797" s="48" t="n">
        <v>0</v>
      </c>
      <c r="AH797" s="49" t="n">
        <v>0</v>
      </c>
      <c r="AI797" s="49" t="n">
        <v>0</v>
      </c>
      <c r="AJ797" s="50" t="n">
        <v>0</v>
      </c>
      <c r="AK797" s="51" t="n">
        <v>0</v>
      </c>
      <c r="AL797" s="52" t="n">
        <v>0</v>
      </c>
      <c r="AM797" s="52" t="n">
        <v>0</v>
      </c>
      <c r="AN797" s="52" t="n">
        <v>0</v>
      </c>
      <c r="AO797" s="53" t="n">
        <v>0</v>
      </c>
      <c r="AP797" s="52" t="n">
        <v>0</v>
      </c>
      <c r="AQ797" s="53" t="n">
        <v>0</v>
      </c>
      <c r="AR797" s="52" t="n">
        <v>0</v>
      </c>
      <c r="AS797" s="51" t="n">
        <v>0</v>
      </c>
      <c r="AT797" s="48" t="n">
        <v>0</v>
      </c>
      <c r="AU797" s="49" t="n">
        <v>0</v>
      </c>
      <c r="AV797" s="49" t="n">
        <v>0</v>
      </c>
      <c r="AW797" s="50" t="n">
        <v>0</v>
      </c>
      <c r="AX797" s="51" t="n">
        <v>0</v>
      </c>
      <c r="AY797" s="52" t="n">
        <v>0</v>
      </c>
      <c r="AZ797" s="52" t="n">
        <v>0</v>
      </c>
      <c r="BA797" s="52" t="n">
        <v>0</v>
      </c>
      <c r="BB797" s="53" t="n">
        <v>0</v>
      </c>
      <c r="BC797" s="52" t="n">
        <v>0</v>
      </c>
      <c r="BD797" s="53" t="n">
        <v>0</v>
      </c>
      <c r="BE797" s="52" t="n">
        <v>0</v>
      </c>
      <c r="BF797" s="51" t="n">
        <v>0</v>
      </c>
    </row>
    <row r="798">
      <c r="A798">
        <f>HYPERLINK("https://www.walmart.com/ip/833706386", "833706386")</f>
        <v/>
      </c>
      <c r="B798" t="inlineStr">
        <is>
          <t>Tirrinia Sherpa Fleece Throw Blanket, Super Soft, Warm, Comfy Plush Fleece Throw Blankets and Throws for Bed, Couch or Cabin, Beige Buffalo Plaid, 50" x 60"</t>
        </is>
      </c>
      <c r="C798" t="inlineStr">
        <is>
          <t>1TRBF569PBG-TBCB</t>
        </is>
      </c>
      <c r="D798" t="inlineStr">
        <is>
          <t>Throws</t>
        </is>
      </c>
      <c r="E798" t="inlineStr">
        <is>
          <t>Tirrinia</t>
        </is>
      </c>
      <c r="F798" t="inlineStr">
        <is>
          <t>Q2-Target,Optimized,Coupon_Discount</t>
        </is>
      </c>
      <c r="G798" s="48" t="n">
        <v>0</v>
      </c>
      <c r="H798" s="49" t="n">
        <v>0</v>
      </c>
      <c r="I798" s="49" t="n">
        <v>0</v>
      </c>
      <c r="J798" s="50" t="n">
        <v>0</v>
      </c>
      <c r="K798" s="51" t="n">
        <v>0</v>
      </c>
      <c r="L798" s="52" t="n">
        <v>0</v>
      </c>
      <c r="M798" s="52" t="n">
        <v>0</v>
      </c>
      <c r="N798" s="52" t="n">
        <v>0</v>
      </c>
      <c r="O798" s="53" t="n">
        <v>0</v>
      </c>
      <c r="P798" s="52" t="n">
        <v>0</v>
      </c>
      <c r="Q798" s="53" t="n">
        <v>0</v>
      </c>
      <c r="R798" s="52" t="n">
        <v>0</v>
      </c>
      <c r="S798" s="51" t="n">
        <v>0</v>
      </c>
      <c r="T798" s="48" t="n">
        <v>0</v>
      </c>
      <c r="U798" s="49" t="n">
        <v>0</v>
      </c>
      <c r="V798" s="49" t="n">
        <v>0</v>
      </c>
      <c r="W798" s="50" t="n">
        <v>0</v>
      </c>
      <c r="X798" s="51" t="n">
        <v>0</v>
      </c>
      <c r="Y798" s="52" t="n">
        <v>0</v>
      </c>
      <c r="Z798" s="52" t="n">
        <v>0</v>
      </c>
      <c r="AA798" s="52" t="n">
        <v>0</v>
      </c>
      <c r="AB798" s="53" t="n">
        <v>0</v>
      </c>
      <c r="AC798" s="52" t="n">
        <v>0</v>
      </c>
      <c r="AD798" s="53" t="n">
        <v>0</v>
      </c>
      <c r="AE798" s="52" t="n">
        <v>0</v>
      </c>
      <c r="AF798" s="51" t="n">
        <v>0</v>
      </c>
      <c r="AG798" s="48" t="n">
        <v>0</v>
      </c>
      <c r="AH798" s="49" t="n">
        <v>0</v>
      </c>
      <c r="AI798" s="49" t="n">
        <v>0</v>
      </c>
      <c r="AJ798" s="50" t="n">
        <v>0</v>
      </c>
      <c r="AK798" s="51" t="n">
        <v>0</v>
      </c>
      <c r="AL798" s="52" t="n">
        <v>0</v>
      </c>
      <c r="AM798" s="52" t="n">
        <v>0</v>
      </c>
      <c r="AN798" s="52" t="n">
        <v>0</v>
      </c>
      <c r="AO798" s="53" t="n">
        <v>0</v>
      </c>
      <c r="AP798" s="52" t="n">
        <v>0</v>
      </c>
      <c r="AQ798" s="53" t="n">
        <v>0</v>
      </c>
      <c r="AR798" s="52" t="n">
        <v>0</v>
      </c>
      <c r="AS798" s="51" t="n">
        <v>0</v>
      </c>
      <c r="AT798" s="48" t="n">
        <v>0</v>
      </c>
      <c r="AU798" s="49" t="n">
        <v>0</v>
      </c>
      <c r="AV798" s="49" t="n">
        <v>0</v>
      </c>
      <c r="AW798" s="50" t="n">
        <v>0</v>
      </c>
      <c r="AX798" s="51" t="n">
        <v>0</v>
      </c>
      <c r="AY798" s="52" t="n">
        <v>0</v>
      </c>
      <c r="AZ798" s="52" t="n">
        <v>0</v>
      </c>
      <c r="BA798" s="52" t="n">
        <v>0</v>
      </c>
      <c r="BB798" s="53" t="n">
        <v>0</v>
      </c>
      <c r="BC798" s="52" t="n">
        <v>0</v>
      </c>
      <c r="BD798" s="53" t="n">
        <v>0</v>
      </c>
      <c r="BE798" s="52" t="n">
        <v>0</v>
      </c>
      <c r="BF798" s="51" t="n">
        <v>0</v>
      </c>
    </row>
    <row r="799">
      <c r="A799">
        <f>HYPERLINK("https://www.walmart.com/ip/834217535", "834217535")</f>
        <v/>
      </c>
      <c r="B799" t="inlineStr">
        <is>
          <t>Catalonia Penguin Tails Blanket, Super Soft Plush Kids Sleeping Blanket Bag for Children Teens Boys Girls,Gift Idea</t>
        </is>
      </c>
      <c r="C799" t="inlineStr">
        <is>
          <t>1CTMM200PG</t>
        </is>
      </c>
      <c r="D799" t="inlineStr">
        <is>
          <t>Throws</t>
        </is>
      </c>
      <c r="E799" t="inlineStr">
        <is>
          <t>Catalonia</t>
        </is>
      </c>
      <c r="F799" t="inlineStr">
        <is>
          <t>Baby days,WFS,WFS Item</t>
        </is>
      </c>
      <c r="G799" s="48" t="n">
        <v>0</v>
      </c>
      <c r="H799" s="49" t="n">
        <v>0</v>
      </c>
      <c r="I799" s="49" t="n">
        <v>0</v>
      </c>
      <c r="J799" s="50" t="n">
        <v>0</v>
      </c>
      <c r="K799" s="51" t="n">
        <v>0</v>
      </c>
      <c r="L799" s="52" t="n">
        <v>0</v>
      </c>
      <c r="M799" s="52" t="n">
        <v>0</v>
      </c>
      <c r="N799" s="52" t="n">
        <v>0</v>
      </c>
      <c r="O799" s="53" t="n">
        <v>0</v>
      </c>
      <c r="P799" s="52" t="n">
        <v>0</v>
      </c>
      <c r="Q799" s="53" t="n">
        <v>0</v>
      </c>
      <c r="R799" s="52" t="n">
        <v>0</v>
      </c>
      <c r="S799" s="51" t="n">
        <v>0</v>
      </c>
      <c r="T799" s="48" t="n">
        <v>0</v>
      </c>
      <c r="U799" s="49" t="n">
        <v>0</v>
      </c>
      <c r="V799" s="49" t="n">
        <v>0</v>
      </c>
      <c r="W799" s="50" t="n">
        <v>0</v>
      </c>
      <c r="X799" s="51" t="n">
        <v>0</v>
      </c>
      <c r="Y799" s="52" t="n">
        <v>0</v>
      </c>
      <c r="Z799" s="52" t="n">
        <v>0</v>
      </c>
      <c r="AA799" s="52" t="n">
        <v>0</v>
      </c>
      <c r="AB799" s="53" t="n">
        <v>0</v>
      </c>
      <c r="AC799" s="52" t="n">
        <v>0</v>
      </c>
      <c r="AD799" s="53" t="n">
        <v>0</v>
      </c>
      <c r="AE799" s="52" t="n">
        <v>0</v>
      </c>
      <c r="AF799" s="51" t="n">
        <v>0</v>
      </c>
      <c r="AG799" s="48" t="n">
        <v>0</v>
      </c>
      <c r="AH799" s="49" t="n">
        <v>0</v>
      </c>
      <c r="AI799" s="49" t="n">
        <v>0</v>
      </c>
      <c r="AJ799" s="50" t="n">
        <v>0</v>
      </c>
      <c r="AK799" s="51" t="n">
        <v>0</v>
      </c>
      <c r="AL799" s="52" t="n">
        <v>0</v>
      </c>
      <c r="AM799" s="52" t="n">
        <v>0</v>
      </c>
      <c r="AN799" s="52" t="n">
        <v>0</v>
      </c>
      <c r="AO799" s="53" t="n">
        <v>0</v>
      </c>
      <c r="AP799" s="52" t="n">
        <v>0</v>
      </c>
      <c r="AQ799" s="53" t="n">
        <v>0</v>
      </c>
      <c r="AR799" s="52" t="n">
        <v>0</v>
      </c>
      <c r="AS799" s="51" t="n">
        <v>0</v>
      </c>
      <c r="AT799" s="48" t="n">
        <v>0</v>
      </c>
      <c r="AU799" s="49" t="n">
        <v>0</v>
      </c>
      <c r="AV799" s="49" t="n">
        <v>0</v>
      </c>
      <c r="AW799" s="50" t="n">
        <v>0</v>
      </c>
      <c r="AX799" s="51" t="n">
        <v>0</v>
      </c>
      <c r="AY799" s="52" t="n">
        <v>0</v>
      </c>
      <c r="AZ799" s="52" t="n">
        <v>0</v>
      </c>
      <c r="BA799" s="52" t="n">
        <v>0</v>
      </c>
      <c r="BB799" s="53" t="n">
        <v>0</v>
      </c>
      <c r="BC799" s="52" t="n">
        <v>0</v>
      </c>
      <c r="BD799" s="53" t="n">
        <v>0</v>
      </c>
      <c r="BE799" s="52" t="n">
        <v>0</v>
      </c>
      <c r="BF799" s="51" t="n">
        <v>0</v>
      </c>
    </row>
    <row r="800">
      <c r="A800">
        <f>HYPERLINK("https://www.walmart.com/ip/835718183", "835718183")</f>
        <v/>
      </c>
      <c r="B800" t="inlineStr">
        <is>
          <t>Buffalo Plaid Sherpa Throw TV Blanket 50" x 60" Super Soft Reversible Fleece Blanket for Cabin Bed or Couch | Catalonia series by Terrania | Cabin Plaid Blue and Black Check</t>
        </is>
      </c>
      <c r="C800" t="inlineStr">
        <is>
          <t>1TRBF300PBL-TBCB</t>
        </is>
      </c>
      <c r="D800" t="inlineStr">
        <is>
          <t>Throws</t>
        </is>
      </c>
      <c r="E800" t="inlineStr">
        <is>
          <t>Tirrinia</t>
        </is>
      </c>
      <c r="F800" t="inlineStr">
        <is>
          <t>WFS,Coupon_Discount,WFS Item,Fleece Blankets</t>
        </is>
      </c>
      <c r="G800" s="48" t="n">
        <v>0</v>
      </c>
      <c r="H800" s="49" t="n">
        <v>0</v>
      </c>
      <c r="I800" s="49" t="n">
        <v>0</v>
      </c>
      <c r="J800" s="50" t="n">
        <v>0</v>
      </c>
      <c r="K800" s="51" t="n">
        <v>0</v>
      </c>
      <c r="L800" s="52" t="n">
        <v>0</v>
      </c>
      <c r="M800" s="52" t="n">
        <v>0</v>
      </c>
      <c r="N800" s="52" t="n">
        <v>0</v>
      </c>
      <c r="O800" s="53" t="n">
        <v>0</v>
      </c>
      <c r="P800" s="52" t="n">
        <v>0</v>
      </c>
      <c r="Q800" s="53" t="n">
        <v>0</v>
      </c>
      <c r="R800" s="52" t="n">
        <v>0</v>
      </c>
      <c r="S800" s="51" t="n">
        <v>0</v>
      </c>
      <c r="T800" s="48" t="n">
        <v>0</v>
      </c>
      <c r="U800" s="49" t="n">
        <v>0</v>
      </c>
      <c r="V800" s="49" t="n">
        <v>0</v>
      </c>
      <c r="W800" s="50" t="n">
        <v>0</v>
      </c>
      <c r="X800" s="51" t="n">
        <v>0</v>
      </c>
      <c r="Y800" s="52" t="n">
        <v>0</v>
      </c>
      <c r="Z800" s="52" t="n">
        <v>0</v>
      </c>
      <c r="AA800" s="52" t="n">
        <v>0</v>
      </c>
      <c r="AB800" s="53" t="n">
        <v>0</v>
      </c>
      <c r="AC800" s="52" t="n">
        <v>0</v>
      </c>
      <c r="AD800" s="53" t="n">
        <v>0</v>
      </c>
      <c r="AE800" s="52" t="n">
        <v>0</v>
      </c>
      <c r="AF800" s="51" t="n">
        <v>0</v>
      </c>
      <c r="AG800" s="48" t="n">
        <v>0</v>
      </c>
      <c r="AH800" s="49" t="n">
        <v>0</v>
      </c>
      <c r="AI800" s="49" t="n">
        <v>0</v>
      </c>
      <c r="AJ800" s="50" t="n">
        <v>0</v>
      </c>
      <c r="AK800" s="51" t="n">
        <v>0</v>
      </c>
      <c r="AL800" s="52" t="n">
        <v>0</v>
      </c>
      <c r="AM800" s="52" t="n">
        <v>0</v>
      </c>
      <c r="AN800" s="52" t="n">
        <v>0</v>
      </c>
      <c r="AO800" s="53" t="n">
        <v>0</v>
      </c>
      <c r="AP800" s="52" t="n">
        <v>0</v>
      </c>
      <c r="AQ800" s="53" t="n">
        <v>0</v>
      </c>
      <c r="AR800" s="52" t="n">
        <v>0</v>
      </c>
      <c r="AS800" s="51" t="n">
        <v>0</v>
      </c>
      <c r="AT800" s="48" t="n">
        <v>0</v>
      </c>
      <c r="AU800" s="49" t="n">
        <v>0</v>
      </c>
      <c r="AV800" s="49" t="n">
        <v>0</v>
      </c>
      <c r="AW800" s="50" t="n">
        <v>0</v>
      </c>
      <c r="AX800" s="51" t="n">
        <v>0</v>
      </c>
      <c r="AY800" s="52" t="n">
        <v>0</v>
      </c>
      <c r="AZ800" s="52" t="n">
        <v>0</v>
      </c>
      <c r="BA800" s="52" t="n">
        <v>0</v>
      </c>
      <c r="BB800" s="53" t="n">
        <v>0</v>
      </c>
      <c r="BC800" s="52" t="n">
        <v>0</v>
      </c>
      <c r="BD800" s="53" t="n">
        <v>0</v>
      </c>
      <c r="BE800" s="52" t="n">
        <v>0</v>
      </c>
      <c r="BF800" s="51" t="n">
        <v>0</v>
      </c>
    </row>
    <row r="801">
      <c r="A801">
        <f>HYPERLINK("https://www.walmart.com/ip/835948822", "835948822")</f>
        <v/>
      </c>
      <c r="B801" t="inlineStr">
        <is>
          <t>Tirrinia Bucket Hats for Women | UPF 50+ Sun Protection Cap for Garden, Beach, Travel and Outdoor</t>
        </is>
      </c>
      <c r="C801" t="inlineStr">
        <is>
          <t>1TRSH9200GR-TBGM</t>
        </is>
      </c>
      <c r="D801" t="inlineStr">
        <is>
          <t>Hats</t>
        </is>
      </c>
      <c r="E801" t="inlineStr">
        <is>
          <t>Tirrinia</t>
        </is>
      </c>
      <c r="F801" t="inlineStr">
        <is>
          <t>Optimized</t>
        </is>
      </c>
      <c r="G801" s="48" t="n">
        <v>0</v>
      </c>
      <c r="H801" s="49" t="n">
        <v>0</v>
      </c>
      <c r="I801" s="49" t="n">
        <v>0</v>
      </c>
      <c r="J801" s="50" t="n">
        <v>0</v>
      </c>
      <c r="K801" s="51" t="n">
        <v>0</v>
      </c>
      <c r="L801" s="52" t="n">
        <v>0</v>
      </c>
      <c r="M801" s="52" t="n">
        <v>0</v>
      </c>
      <c r="N801" s="52" t="n">
        <v>0</v>
      </c>
      <c r="O801" s="53" t="n">
        <v>0</v>
      </c>
      <c r="P801" s="52" t="n">
        <v>0</v>
      </c>
      <c r="Q801" s="53" t="n">
        <v>0</v>
      </c>
      <c r="R801" s="52" t="n">
        <v>0</v>
      </c>
      <c r="S801" s="51" t="n">
        <v>0</v>
      </c>
      <c r="T801" s="48" t="n">
        <v>0</v>
      </c>
      <c r="U801" s="49" t="n">
        <v>0</v>
      </c>
      <c r="V801" s="49" t="n">
        <v>0</v>
      </c>
      <c r="W801" s="50" t="n">
        <v>0</v>
      </c>
      <c r="X801" s="51" t="n">
        <v>0</v>
      </c>
      <c r="Y801" s="52" t="n">
        <v>0</v>
      </c>
      <c r="Z801" s="52" t="n">
        <v>0</v>
      </c>
      <c r="AA801" s="52" t="n">
        <v>0</v>
      </c>
      <c r="AB801" s="53" t="n">
        <v>0</v>
      </c>
      <c r="AC801" s="52" t="n">
        <v>0</v>
      </c>
      <c r="AD801" s="53" t="n">
        <v>0</v>
      </c>
      <c r="AE801" s="52" t="n">
        <v>0</v>
      </c>
      <c r="AF801" s="51" t="n">
        <v>0</v>
      </c>
      <c r="AG801" s="48" t="n">
        <v>0</v>
      </c>
      <c r="AH801" s="49" t="n">
        <v>0</v>
      </c>
      <c r="AI801" s="49" t="n">
        <v>0</v>
      </c>
      <c r="AJ801" s="50" t="n">
        <v>0</v>
      </c>
      <c r="AK801" s="51" t="n">
        <v>0</v>
      </c>
      <c r="AL801" s="52" t="n">
        <v>0</v>
      </c>
      <c r="AM801" s="52" t="n">
        <v>0</v>
      </c>
      <c r="AN801" s="52" t="n">
        <v>0</v>
      </c>
      <c r="AO801" s="53" t="n">
        <v>0</v>
      </c>
      <c r="AP801" s="52" t="n">
        <v>0</v>
      </c>
      <c r="AQ801" s="53" t="n">
        <v>0</v>
      </c>
      <c r="AR801" s="52" t="n">
        <v>0</v>
      </c>
      <c r="AS801" s="51" t="n">
        <v>0</v>
      </c>
      <c r="AT801" s="48" t="n">
        <v>0</v>
      </c>
      <c r="AU801" s="49" t="n">
        <v>0</v>
      </c>
      <c r="AV801" s="49" t="n">
        <v>0</v>
      </c>
      <c r="AW801" s="50" t="n">
        <v>0</v>
      </c>
      <c r="AX801" s="51" t="n">
        <v>0</v>
      </c>
      <c r="AY801" s="52" t="n">
        <v>0</v>
      </c>
      <c r="AZ801" s="52" t="n">
        <v>0</v>
      </c>
      <c r="BA801" s="52" t="n">
        <v>0</v>
      </c>
      <c r="BB801" s="53" t="n">
        <v>0</v>
      </c>
      <c r="BC801" s="52" t="n">
        <v>0</v>
      </c>
      <c r="BD801" s="53" t="n">
        <v>0</v>
      </c>
      <c r="BE801" s="52" t="n">
        <v>0</v>
      </c>
      <c r="BF801" s="51" t="n">
        <v>0</v>
      </c>
    </row>
    <row r="802">
      <c r="A802">
        <f>HYPERLINK("https://www.walmart.com/ip/836552292", "836552292")</f>
        <v/>
      </c>
      <c r="B802" t="inlineStr">
        <is>
          <t>Catalonia Fleece Throw Blanket for Couch, Super Soft Fuzzy Plush Blanket for Adults and Kids, All Seasons Home Decor Blanket, Machine Washable, 50"x60", Beige</t>
        </is>
      </c>
      <c r="C802" t="inlineStr">
        <is>
          <t>1CTBF575BG</t>
        </is>
      </c>
      <c r="D802" t="inlineStr">
        <is>
          <t>Throws</t>
        </is>
      </c>
      <c r="E802" t="inlineStr">
        <is>
          <t>Catalonia</t>
        </is>
      </c>
      <c r="F802" t="inlineStr">
        <is>
          <t>Q2-Target,WFS,Coupon_Discount,WFS Item</t>
        </is>
      </c>
      <c r="G802" s="48" t="n">
        <v>0</v>
      </c>
      <c r="H802" s="49" t="n">
        <v>0</v>
      </c>
      <c r="I802" s="49" t="n">
        <v>0</v>
      </c>
      <c r="J802" s="50" t="n">
        <v>0</v>
      </c>
      <c r="K802" s="51" t="n">
        <v>0</v>
      </c>
      <c r="L802" s="52" t="n">
        <v>0</v>
      </c>
      <c r="M802" s="52" t="n">
        <v>0</v>
      </c>
      <c r="N802" s="52" t="n">
        <v>0</v>
      </c>
      <c r="O802" s="53" t="n">
        <v>0</v>
      </c>
      <c r="P802" s="52" t="n">
        <v>0</v>
      </c>
      <c r="Q802" s="53" t="n">
        <v>0</v>
      </c>
      <c r="R802" s="52" t="n">
        <v>0</v>
      </c>
      <c r="S802" s="51" t="n">
        <v>0</v>
      </c>
      <c r="T802" s="48" t="n">
        <v>0</v>
      </c>
      <c r="U802" s="49" t="n">
        <v>0</v>
      </c>
      <c r="V802" s="49" t="n">
        <v>0</v>
      </c>
      <c r="W802" s="50" t="n">
        <v>0</v>
      </c>
      <c r="X802" s="51" t="n">
        <v>0</v>
      </c>
      <c r="Y802" s="52" t="n">
        <v>0</v>
      </c>
      <c r="Z802" s="52" t="n">
        <v>0</v>
      </c>
      <c r="AA802" s="52" t="n">
        <v>0</v>
      </c>
      <c r="AB802" s="53" t="n">
        <v>0</v>
      </c>
      <c r="AC802" s="52" t="n">
        <v>0</v>
      </c>
      <c r="AD802" s="53" t="n">
        <v>0</v>
      </c>
      <c r="AE802" s="52" t="n">
        <v>0</v>
      </c>
      <c r="AF802" s="51" t="n">
        <v>0</v>
      </c>
      <c r="AG802" s="48" t="n">
        <v>0</v>
      </c>
      <c r="AH802" s="49" t="n">
        <v>0</v>
      </c>
      <c r="AI802" s="49" t="n">
        <v>0</v>
      </c>
      <c r="AJ802" s="50" t="n">
        <v>0</v>
      </c>
      <c r="AK802" s="51" t="n">
        <v>0</v>
      </c>
      <c r="AL802" s="52" t="n">
        <v>0</v>
      </c>
      <c r="AM802" s="52" t="n">
        <v>0</v>
      </c>
      <c r="AN802" s="52" t="n">
        <v>0</v>
      </c>
      <c r="AO802" s="53" t="n">
        <v>0</v>
      </c>
      <c r="AP802" s="52" t="n">
        <v>0</v>
      </c>
      <c r="AQ802" s="53" t="n">
        <v>0</v>
      </c>
      <c r="AR802" s="52" t="n">
        <v>0</v>
      </c>
      <c r="AS802" s="51" t="n">
        <v>0</v>
      </c>
      <c r="AT802" s="48" t="n">
        <v>0</v>
      </c>
      <c r="AU802" s="49" t="n">
        <v>0</v>
      </c>
      <c r="AV802" s="49" t="n">
        <v>0</v>
      </c>
      <c r="AW802" s="50" t="n">
        <v>0</v>
      </c>
      <c r="AX802" s="51" t="n">
        <v>0</v>
      </c>
      <c r="AY802" s="52" t="n">
        <v>0</v>
      </c>
      <c r="AZ802" s="52" t="n">
        <v>0</v>
      </c>
      <c r="BA802" s="52" t="n">
        <v>0</v>
      </c>
      <c r="BB802" s="53" t="n">
        <v>0</v>
      </c>
      <c r="BC802" s="52" t="n">
        <v>0</v>
      </c>
      <c r="BD802" s="53" t="n">
        <v>0</v>
      </c>
      <c r="BE802" s="52" t="n">
        <v>0</v>
      </c>
      <c r="BF802" s="51" t="n">
        <v>0</v>
      </c>
    </row>
    <row r="803">
      <c r="A803">
        <f>HYPERLINK("https://www.walmart.com/ip/836818708", "836818708")</f>
        <v/>
      </c>
      <c r="B803" t="inlineStr">
        <is>
          <t>Tirrinia 6 Bottle Wine cooler bag - Insulated Padded Portable Versatile Wine Carrier Tote Bag for Travel, BYOB Restaurant, Wine Tasting, Party, Christmas Gift for Wine Lover, Grey</t>
        </is>
      </c>
      <c r="C803" t="inlineStr">
        <is>
          <t>1WMWB602GY</t>
        </is>
      </c>
      <c r="D803" t="inlineStr">
        <is>
          <t>Wine Totes, Bags &amp; Backpacks</t>
        </is>
      </c>
      <c r="E803" t="inlineStr">
        <is>
          <t>Flyingstar</t>
        </is>
      </c>
      <c r="F803" t="inlineStr">
        <is>
          <t>Wine,Christmas,Optimized,Wine WFS,Valentine,SEM</t>
        </is>
      </c>
      <c r="G803" s="48" t="n">
        <v>0</v>
      </c>
      <c r="H803" s="49" t="n">
        <v>0</v>
      </c>
      <c r="I803" s="49" t="n">
        <v>0</v>
      </c>
      <c r="J803" s="50" t="n">
        <v>0</v>
      </c>
      <c r="K803" s="51" t="n">
        <v>0</v>
      </c>
      <c r="L803" s="52" t="n">
        <v>0</v>
      </c>
      <c r="M803" s="52" t="n">
        <v>0</v>
      </c>
      <c r="N803" s="52" t="n">
        <v>0</v>
      </c>
      <c r="O803" s="53" t="n">
        <v>0</v>
      </c>
      <c r="P803" s="52" t="n">
        <v>0</v>
      </c>
      <c r="Q803" s="53" t="n">
        <v>0</v>
      </c>
      <c r="R803" s="52" t="n">
        <v>0</v>
      </c>
      <c r="S803" s="51" t="n">
        <v>0</v>
      </c>
      <c r="T803" s="48" t="n">
        <v>20.99</v>
      </c>
      <c r="U803" s="49" t="n">
        <v>1</v>
      </c>
      <c r="V803" s="49" t="n">
        <v>0</v>
      </c>
      <c r="W803" s="50" t="n">
        <v>0</v>
      </c>
      <c r="X803" s="51" t="n">
        <v>0</v>
      </c>
      <c r="Y803" s="52" t="n">
        <v>0</v>
      </c>
      <c r="Z803" s="52" t="n">
        <v>0</v>
      </c>
      <c r="AA803" s="52" t="n">
        <v>0</v>
      </c>
      <c r="AB803" s="53" t="n">
        <v>0</v>
      </c>
      <c r="AC803" s="52" t="n">
        <v>0</v>
      </c>
      <c r="AD803" s="53" t="n">
        <v>0</v>
      </c>
      <c r="AE803" s="52" t="n">
        <v>20.99</v>
      </c>
      <c r="AF803" s="51" t="n">
        <v>0</v>
      </c>
      <c r="AG803" s="48" t="n">
        <v>0</v>
      </c>
      <c r="AH803" s="49" t="n">
        <v>0</v>
      </c>
      <c r="AI803" s="49" t="n">
        <v>0</v>
      </c>
      <c r="AJ803" s="50" t="n">
        <v>0</v>
      </c>
      <c r="AK803" s="51" t="n">
        <v>0</v>
      </c>
      <c r="AL803" s="52" t="n">
        <v>0</v>
      </c>
      <c r="AM803" s="52" t="n">
        <v>0</v>
      </c>
      <c r="AN803" s="52" t="n">
        <v>0</v>
      </c>
      <c r="AO803" s="53" t="n">
        <v>0</v>
      </c>
      <c r="AP803" s="52" t="n">
        <v>0</v>
      </c>
      <c r="AQ803" s="53" t="n">
        <v>0</v>
      </c>
      <c r="AR803" s="52" t="n">
        <v>0</v>
      </c>
      <c r="AS803" s="51" t="n">
        <v>0</v>
      </c>
      <c r="AT803" s="48" t="n">
        <v>0</v>
      </c>
      <c r="AU803" s="49" t="n">
        <v>0</v>
      </c>
      <c r="AV803" s="49" t="n">
        <v>0</v>
      </c>
      <c r="AW803" s="50" t="n">
        <v>0</v>
      </c>
      <c r="AX803" s="51" t="n">
        <v>0</v>
      </c>
      <c r="AY803" s="52" t="n">
        <v>0</v>
      </c>
      <c r="AZ803" s="52" t="n">
        <v>0</v>
      </c>
      <c r="BA803" s="52" t="n">
        <v>0</v>
      </c>
      <c r="BB803" s="53" t="n">
        <v>0</v>
      </c>
      <c r="BC803" s="52" t="n">
        <v>0</v>
      </c>
      <c r="BD803" s="53" t="n">
        <v>0</v>
      </c>
      <c r="BE803" s="52" t="n">
        <v>0</v>
      </c>
      <c r="BF803" s="51" t="n">
        <v>0</v>
      </c>
    </row>
    <row r="804">
      <c r="A804">
        <f>HYPERLINK("https://www.walmart.com/ip/836841405", "836841405")</f>
        <v/>
      </c>
      <c r="B804" t="inlineStr">
        <is>
          <t>Oversized Hoodie Blanket Sweatshirt Sherpa</t>
        </is>
      </c>
      <c r="C804" t="inlineStr">
        <is>
          <t>1CTHD201CAT-BK</t>
        </is>
      </c>
      <c r="D804" t="inlineStr">
        <is>
          <t>Sweatshirts &amp; Hoodies</t>
        </is>
      </c>
      <c r="E804" t="inlineStr">
        <is>
          <t>Catalonia</t>
        </is>
      </c>
      <c r="F804" t="inlineStr">
        <is>
          <t>Hoodie For Kids,WFS,Coupon_Discount,WFS Item</t>
        </is>
      </c>
      <c r="G804" s="48" t="n">
        <v>0</v>
      </c>
      <c r="H804" s="49" t="n">
        <v>0</v>
      </c>
      <c r="I804" s="49" t="n">
        <v>0</v>
      </c>
      <c r="J804" s="50" t="n">
        <v>0</v>
      </c>
      <c r="K804" s="51" t="n">
        <v>0</v>
      </c>
      <c r="L804" s="52" t="n">
        <v>0</v>
      </c>
      <c r="M804" s="52" t="n">
        <v>0</v>
      </c>
      <c r="N804" s="52" t="n">
        <v>0</v>
      </c>
      <c r="O804" s="53" t="n">
        <v>0</v>
      </c>
      <c r="P804" s="52" t="n">
        <v>0</v>
      </c>
      <c r="Q804" s="53" t="n">
        <v>0</v>
      </c>
      <c r="R804" s="52" t="n">
        <v>0</v>
      </c>
      <c r="S804" s="51" t="n">
        <v>0</v>
      </c>
      <c r="T804" s="48" t="n">
        <v>0</v>
      </c>
      <c r="U804" s="49" t="n">
        <v>0</v>
      </c>
      <c r="V804" s="49" t="n">
        <v>0</v>
      </c>
      <c r="W804" s="50" t="n">
        <v>0</v>
      </c>
      <c r="X804" s="51" t="n">
        <v>0</v>
      </c>
      <c r="Y804" s="52" t="n">
        <v>0</v>
      </c>
      <c r="Z804" s="52" t="n">
        <v>0</v>
      </c>
      <c r="AA804" s="52" t="n">
        <v>0</v>
      </c>
      <c r="AB804" s="53" t="n">
        <v>0</v>
      </c>
      <c r="AC804" s="52" t="n">
        <v>0</v>
      </c>
      <c r="AD804" s="53" t="n">
        <v>0</v>
      </c>
      <c r="AE804" s="52" t="n">
        <v>0</v>
      </c>
      <c r="AF804" s="51" t="n">
        <v>0</v>
      </c>
      <c r="AG804" s="48" t="n">
        <v>0</v>
      </c>
      <c r="AH804" s="49" t="n">
        <v>0</v>
      </c>
      <c r="AI804" s="49" t="n">
        <v>0</v>
      </c>
      <c r="AJ804" s="50" t="n">
        <v>0</v>
      </c>
      <c r="AK804" s="51" t="n">
        <v>0</v>
      </c>
      <c r="AL804" s="52" t="n">
        <v>0</v>
      </c>
      <c r="AM804" s="52" t="n">
        <v>0</v>
      </c>
      <c r="AN804" s="52" t="n">
        <v>0</v>
      </c>
      <c r="AO804" s="53" t="n">
        <v>0</v>
      </c>
      <c r="AP804" s="52" t="n">
        <v>0</v>
      </c>
      <c r="AQ804" s="53" t="n">
        <v>0</v>
      </c>
      <c r="AR804" s="52" t="n">
        <v>0</v>
      </c>
      <c r="AS804" s="51" t="n">
        <v>0</v>
      </c>
      <c r="AT804" s="48" t="n">
        <v>0</v>
      </c>
      <c r="AU804" s="49" t="n">
        <v>0</v>
      </c>
      <c r="AV804" s="49" t="n">
        <v>0</v>
      </c>
      <c r="AW804" s="50" t="n">
        <v>0</v>
      </c>
      <c r="AX804" s="51" t="n">
        <v>0</v>
      </c>
      <c r="AY804" s="52" t="n">
        <v>0</v>
      </c>
      <c r="AZ804" s="52" t="n">
        <v>0</v>
      </c>
      <c r="BA804" s="52" t="n">
        <v>0</v>
      </c>
      <c r="BB804" s="53" t="n">
        <v>0</v>
      </c>
      <c r="BC804" s="52" t="n">
        <v>0</v>
      </c>
      <c r="BD804" s="53" t="n">
        <v>0</v>
      </c>
      <c r="BE804" s="52" t="n">
        <v>0</v>
      </c>
      <c r="BF804" s="51" t="n">
        <v>0</v>
      </c>
    </row>
    <row r="805">
      <c r="A805">
        <f>HYPERLINK("https://www.walmart.com/ip/836878530", "836878530")</f>
        <v/>
      </c>
      <c r="B805" t="inlineStr">
        <is>
          <t>home comforts blanket Blanket with Sleeves, Super Soft Wearable TV Blanket Robe Fleece for Adults 73 x 51”| Cozy Warm, Lightweigh</t>
        </is>
      </c>
      <c r="C805" t="inlineStr">
        <is>
          <t>1TRSN100GN-TBCB</t>
        </is>
      </c>
      <c r="D805" t="inlineStr">
        <is>
          <t>Throws</t>
        </is>
      </c>
      <c r="E805" t="inlineStr">
        <is>
          <t>Tirrinia</t>
        </is>
      </c>
      <c r="F805" t="inlineStr">
        <is>
          <t>WFS Item,Fleece Blankets,ST Patrick Day</t>
        </is>
      </c>
      <c r="G805" s="48" t="n">
        <v>0</v>
      </c>
      <c r="H805" s="49" t="n">
        <v>0</v>
      </c>
      <c r="I805" s="49" t="n">
        <v>0</v>
      </c>
      <c r="J805" s="50" t="n">
        <v>0</v>
      </c>
      <c r="K805" s="51" t="n">
        <v>0</v>
      </c>
      <c r="L805" s="52" t="n">
        <v>0</v>
      </c>
      <c r="M805" s="52" t="n">
        <v>0</v>
      </c>
      <c r="N805" s="52" t="n">
        <v>0</v>
      </c>
      <c r="O805" s="53" t="n">
        <v>0</v>
      </c>
      <c r="P805" s="52" t="n">
        <v>0</v>
      </c>
      <c r="Q805" s="53" t="n">
        <v>0</v>
      </c>
      <c r="R805" s="52" t="n">
        <v>0</v>
      </c>
      <c r="S805" s="51" t="n">
        <v>0</v>
      </c>
      <c r="T805" s="48" t="n">
        <v>0</v>
      </c>
      <c r="U805" s="49" t="n">
        <v>0</v>
      </c>
      <c r="V805" s="49" t="n">
        <v>0</v>
      </c>
      <c r="W805" s="50" t="n">
        <v>0</v>
      </c>
      <c r="X805" s="51" t="n">
        <v>0</v>
      </c>
      <c r="Y805" s="52" t="n">
        <v>0</v>
      </c>
      <c r="Z805" s="52" t="n">
        <v>0</v>
      </c>
      <c r="AA805" s="52" t="n">
        <v>0</v>
      </c>
      <c r="AB805" s="53" t="n">
        <v>0</v>
      </c>
      <c r="AC805" s="52" t="n">
        <v>0</v>
      </c>
      <c r="AD805" s="53" t="n">
        <v>0</v>
      </c>
      <c r="AE805" s="52" t="n">
        <v>0</v>
      </c>
      <c r="AF805" s="51" t="n">
        <v>0</v>
      </c>
      <c r="AG805" s="48" t="n">
        <v>0</v>
      </c>
      <c r="AH805" s="49" t="n">
        <v>0</v>
      </c>
      <c r="AI805" s="49" t="n">
        <v>0</v>
      </c>
      <c r="AJ805" s="50" t="n">
        <v>0</v>
      </c>
      <c r="AK805" s="51" t="n">
        <v>0</v>
      </c>
      <c r="AL805" s="52" t="n">
        <v>0</v>
      </c>
      <c r="AM805" s="52" t="n">
        <v>0</v>
      </c>
      <c r="AN805" s="52" t="n">
        <v>0</v>
      </c>
      <c r="AO805" s="53" t="n">
        <v>0</v>
      </c>
      <c r="AP805" s="52" t="n">
        <v>0</v>
      </c>
      <c r="AQ805" s="53" t="n">
        <v>0</v>
      </c>
      <c r="AR805" s="52" t="n">
        <v>0</v>
      </c>
      <c r="AS805" s="51" t="n">
        <v>0</v>
      </c>
      <c r="AT805" s="48" t="n">
        <v>0</v>
      </c>
      <c r="AU805" s="49" t="n">
        <v>0</v>
      </c>
      <c r="AV805" s="49" t="n">
        <v>0</v>
      </c>
      <c r="AW805" s="50" t="n">
        <v>0</v>
      </c>
      <c r="AX805" s="51" t="n">
        <v>0</v>
      </c>
      <c r="AY805" s="52" t="n">
        <v>0</v>
      </c>
      <c r="AZ805" s="52" t="n">
        <v>0</v>
      </c>
      <c r="BA805" s="52" t="n">
        <v>0</v>
      </c>
      <c r="BB805" s="53" t="n">
        <v>0</v>
      </c>
      <c r="BC805" s="52" t="n">
        <v>0</v>
      </c>
      <c r="BD805" s="53" t="n">
        <v>0</v>
      </c>
      <c r="BE805" s="52" t="n">
        <v>0</v>
      </c>
      <c r="BF805" s="51" t="n">
        <v>0</v>
      </c>
    </row>
    <row r="806">
      <c r="A806">
        <f>HYPERLINK("https://www.walmart.com/ip/837044486", "837044486")</f>
        <v/>
      </c>
      <c r="B806" t="inlineStr">
        <is>
          <t>Flyingstar 2-Bottle Wine Tote Carrier, Leakproof and Insulated Padded Versatile Wine Cooler Bag for Travel, Wine Tasting, Parties and Dinner, Elegant Wine Gift Bag, Black</t>
        </is>
      </c>
      <c r="C806" t="inlineStr">
        <is>
          <t>1WMWB220BK</t>
        </is>
      </c>
      <c r="D806" t="inlineStr">
        <is>
          <t>Wine Totes, Bags &amp; Backpacks</t>
        </is>
      </c>
      <c r="E806" t="inlineStr">
        <is>
          <t>Flyingstar</t>
        </is>
      </c>
      <c r="F806" t="inlineStr">
        <is>
          <t>Wine,Christmas,Valentine,SEM</t>
        </is>
      </c>
      <c r="G806" s="48" t="n">
        <v>0</v>
      </c>
      <c r="H806" s="49" t="n">
        <v>0</v>
      </c>
      <c r="I806" s="49" t="n">
        <v>0</v>
      </c>
      <c r="J806" s="50" t="n">
        <v>0</v>
      </c>
      <c r="K806" s="51" t="n">
        <v>0</v>
      </c>
      <c r="L806" s="52" t="n">
        <v>0</v>
      </c>
      <c r="M806" s="52" t="n">
        <v>0</v>
      </c>
      <c r="N806" s="52" t="n">
        <v>0</v>
      </c>
      <c r="O806" s="53" t="n">
        <v>0</v>
      </c>
      <c r="P806" s="52" t="n">
        <v>0</v>
      </c>
      <c r="Q806" s="53" t="n">
        <v>0</v>
      </c>
      <c r="R806" s="52" t="n">
        <v>0</v>
      </c>
      <c r="S806" s="51" t="n">
        <v>0</v>
      </c>
      <c r="T806" s="48" t="n">
        <v>0</v>
      </c>
      <c r="U806" s="49" t="n">
        <v>0</v>
      </c>
      <c r="V806" s="49" t="n">
        <v>0</v>
      </c>
      <c r="W806" s="50" t="n">
        <v>0</v>
      </c>
      <c r="X806" s="51" t="n">
        <v>0</v>
      </c>
      <c r="Y806" s="52" t="n">
        <v>0</v>
      </c>
      <c r="Z806" s="52" t="n">
        <v>0</v>
      </c>
      <c r="AA806" s="52" t="n">
        <v>0</v>
      </c>
      <c r="AB806" s="53" t="n">
        <v>0</v>
      </c>
      <c r="AC806" s="52" t="n">
        <v>0</v>
      </c>
      <c r="AD806" s="53" t="n">
        <v>0</v>
      </c>
      <c r="AE806" s="52" t="n">
        <v>0</v>
      </c>
      <c r="AF806" s="51" t="n">
        <v>0</v>
      </c>
      <c r="AG806" s="48" t="n">
        <v>0</v>
      </c>
      <c r="AH806" s="49" t="n">
        <v>0</v>
      </c>
      <c r="AI806" s="49" t="n">
        <v>0</v>
      </c>
      <c r="AJ806" s="50" t="n">
        <v>0</v>
      </c>
      <c r="AK806" s="51" t="n">
        <v>0</v>
      </c>
      <c r="AL806" s="52" t="n">
        <v>0</v>
      </c>
      <c r="AM806" s="52" t="n">
        <v>0</v>
      </c>
      <c r="AN806" s="52" t="n">
        <v>0</v>
      </c>
      <c r="AO806" s="53" t="n">
        <v>0</v>
      </c>
      <c r="AP806" s="52" t="n">
        <v>0</v>
      </c>
      <c r="AQ806" s="53" t="n">
        <v>0</v>
      </c>
      <c r="AR806" s="52" t="n">
        <v>0</v>
      </c>
      <c r="AS806" s="51" t="n">
        <v>0</v>
      </c>
      <c r="AT806" s="48" t="n">
        <v>0</v>
      </c>
      <c r="AU806" s="49" t="n">
        <v>0</v>
      </c>
      <c r="AV806" s="49" t="n">
        <v>0</v>
      </c>
      <c r="AW806" s="50" t="n">
        <v>0</v>
      </c>
      <c r="AX806" s="51" t="n">
        <v>0</v>
      </c>
      <c r="AY806" s="52" t="n">
        <v>0</v>
      </c>
      <c r="AZ806" s="52" t="n">
        <v>0</v>
      </c>
      <c r="BA806" s="52" t="n">
        <v>0</v>
      </c>
      <c r="BB806" s="53" t="n">
        <v>0</v>
      </c>
      <c r="BC806" s="52" t="n">
        <v>0</v>
      </c>
      <c r="BD806" s="53" t="n">
        <v>0</v>
      </c>
      <c r="BE806" s="52" t="n">
        <v>0</v>
      </c>
      <c r="BF806" s="51" t="n">
        <v>0</v>
      </c>
    </row>
    <row r="807">
      <c r="A807">
        <f>HYPERLINK("https://www.walmart.com/ip/837207100", "837207100")</f>
        <v/>
      </c>
      <c r="B807" t="inlineStr">
        <is>
          <t>Grey Sherpa Throw Blanket, Super Soft Fluffy Fuzzy Comfy Velvet Plush Fleece TV Blankets and Throws for Sofa Couch Bed for Adults Child, 50”x60”, Melange, by Catalonia</t>
        </is>
      </c>
      <c r="C807" t="inlineStr">
        <is>
          <t>1CTBF321DG</t>
        </is>
      </c>
      <c r="D807" t="inlineStr">
        <is>
          <t>Throws</t>
        </is>
      </c>
      <c r="E807" t="inlineStr">
        <is>
          <t>Catalonia</t>
        </is>
      </c>
      <c r="F807" t="inlineStr">
        <is>
          <t>Q2-Target,WFS,Coupon_Discount,WFS Item</t>
        </is>
      </c>
      <c r="G807" s="48" t="n">
        <v>0</v>
      </c>
      <c r="H807" s="49" t="n">
        <v>0</v>
      </c>
      <c r="I807" s="49" t="n">
        <v>0</v>
      </c>
      <c r="J807" s="50" t="n">
        <v>0</v>
      </c>
      <c r="K807" s="51" t="n">
        <v>0</v>
      </c>
      <c r="L807" s="52" t="n">
        <v>0</v>
      </c>
      <c r="M807" s="52" t="n">
        <v>0</v>
      </c>
      <c r="N807" s="52" t="n">
        <v>0</v>
      </c>
      <c r="O807" s="53" t="n">
        <v>0</v>
      </c>
      <c r="P807" s="52" t="n">
        <v>0</v>
      </c>
      <c r="Q807" s="53" t="n">
        <v>0</v>
      </c>
      <c r="R807" s="52" t="n">
        <v>0</v>
      </c>
      <c r="S807" s="51" t="n">
        <v>0</v>
      </c>
      <c r="T807" s="48" t="n">
        <v>0</v>
      </c>
      <c r="U807" s="49" t="n">
        <v>0</v>
      </c>
      <c r="V807" s="49" t="n">
        <v>0</v>
      </c>
      <c r="W807" s="50" t="n">
        <v>0</v>
      </c>
      <c r="X807" s="51" t="n">
        <v>0</v>
      </c>
      <c r="Y807" s="52" t="n">
        <v>0</v>
      </c>
      <c r="Z807" s="52" t="n">
        <v>0</v>
      </c>
      <c r="AA807" s="52" t="n">
        <v>0</v>
      </c>
      <c r="AB807" s="53" t="n">
        <v>0</v>
      </c>
      <c r="AC807" s="52" t="n">
        <v>0</v>
      </c>
      <c r="AD807" s="53" t="n">
        <v>0</v>
      </c>
      <c r="AE807" s="52" t="n">
        <v>0</v>
      </c>
      <c r="AF807" s="51" t="n">
        <v>0</v>
      </c>
      <c r="AG807" s="48" t="n">
        <v>0</v>
      </c>
      <c r="AH807" s="49" t="n">
        <v>0</v>
      </c>
      <c r="AI807" s="49" t="n">
        <v>0</v>
      </c>
      <c r="AJ807" s="50" t="n">
        <v>0</v>
      </c>
      <c r="AK807" s="51" t="n">
        <v>0</v>
      </c>
      <c r="AL807" s="52" t="n">
        <v>0</v>
      </c>
      <c r="AM807" s="52" t="n">
        <v>0</v>
      </c>
      <c r="AN807" s="52" t="n">
        <v>0</v>
      </c>
      <c r="AO807" s="53" t="n">
        <v>0</v>
      </c>
      <c r="AP807" s="52" t="n">
        <v>0</v>
      </c>
      <c r="AQ807" s="53" t="n">
        <v>0</v>
      </c>
      <c r="AR807" s="52" t="n">
        <v>0</v>
      </c>
      <c r="AS807" s="51" t="n">
        <v>0</v>
      </c>
      <c r="AT807" s="48" t="n">
        <v>0</v>
      </c>
      <c r="AU807" s="49" t="n">
        <v>0</v>
      </c>
      <c r="AV807" s="49" t="n">
        <v>0</v>
      </c>
      <c r="AW807" s="50" t="n">
        <v>0</v>
      </c>
      <c r="AX807" s="51" t="n">
        <v>0</v>
      </c>
      <c r="AY807" s="52" t="n">
        <v>0</v>
      </c>
      <c r="AZ807" s="52" t="n">
        <v>0</v>
      </c>
      <c r="BA807" s="52" t="n">
        <v>0</v>
      </c>
      <c r="BB807" s="53" t="n">
        <v>0</v>
      </c>
      <c r="BC807" s="52" t="n">
        <v>0</v>
      </c>
      <c r="BD807" s="53" t="n">
        <v>0</v>
      </c>
      <c r="BE807" s="52" t="n">
        <v>0</v>
      </c>
      <c r="BF807" s="51" t="n">
        <v>0</v>
      </c>
    </row>
    <row r="808">
      <c r="A808">
        <f>HYPERLINK("https://www.walmart.com/ip/837714023", "837714023")</f>
        <v/>
      </c>
      <c r="B808" t="inlineStr">
        <is>
          <t>Tirrinia Sherpa Wearable Blanket for Adult Women and Men, Super Soft Comfy Warm Plush Throw with Sleeves TV Blanket Wrap Robe Cover for Sofa and Couch, Red Plaid, 72" x 55"</t>
        </is>
      </c>
      <c r="C808" t="inlineStr">
        <is>
          <t>1TRSN110P2RD</t>
        </is>
      </c>
      <c r="D808" t="inlineStr">
        <is>
          <t>Throws</t>
        </is>
      </c>
      <c r="E808" t="inlineStr">
        <is>
          <t>Terrania</t>
        </is>
      </c>
      <c r="F808" t="inlineStr">
        <is>
          <t>Q2-Target,Coupon_Discount,Batch 1 - TR</t>
        </is>
      </c>
      <c r="G808" s="48" t="n">
        <v>0</v>
      </c>
      <c r="H808" s="49" t="n">
        <v>0</v>
      </c>
      <c r="I808" s="49" t="n">
        <v>0</v>
      </c>
      <c r="J808" s="50" t="n">
        <v>0</v>
      </c>
      <c r="K808" s="51" t="n">
        <v>0</v>
      </c>
      <c r="L808" s="52" t="n">
        <v>0</v>
      </c>
      <c r="M808" s="52" t="n">
        <v>0</v>
      </c>
      <c r="N808" s="52" t="n">
        <v>0</v>
      </c>
      <c r="O808" s="53" t="n">
        <v>0</v>
      </c>
      <c r="P808" s="52" t="n">
        <v>0</v>
      </c>
      <c r="Q808" s="53" t="n">
        <v>0</v>
      </c>
      <c r="R808" s="52" t="n">
        <v>0</v>
      </c>
      <c r="S808" s="51" t="n">
        <v>0</v>
      </c>
      <c r="T808" s="48" t="n">
        <v>0</v>
      </c>
      <c r="U808" s="49" t="n">
        <v>0</v>
      </c>
      <c r="V808" s="49" t="n">
        <v>0</v>
      </c>
      <c r="W808" s="50" t="n">
        <v>0</v>
      </c>
      <c r="X808" s="51" t="n">
        <v>0</v>
      </c>
      <c r="Y808" s="52" t="n">
        <v>0</v>
      </c>
      <c r="Z808" s="52" t="n">
        <v>0</v>
      </c>
      <c r="AA808" s="52" t="n">
        <v>0</v>
      </c>
      <c r="AB808" s="53" t="n">
        <v>0</v>
      </c>
      <c r="AC808" s="52" t="n">
        <v>0</v>
      </c>
      <c r="AD808" s="53" t="n">
        <v>0</v>
      </c>
      <c r="AE808" s="52" t="n">
        <v>0</v>
      </c>
      <c r="AF808" s="51" t="n">
        <v>0</v>
      </c>
      <c r="AG808" s="48" t="n">
        <v>0</v>
      </c>
      <c r="AH808" s="49" t="n">
        <v>0</v>
      </c>
      <c r="AI808" s="49" t="n">
        <v>0</v>
      </c>
      <c r="AJ808" s="50" t="n">
        <v>0</v>
      </c>
      <c r="AK808" s="51" t="n">
        <v>0</v>
      </c>
      <c r="AL808" s="52" t="n">
        <v>0</v>
      </c>
      <c r="AM808" s="52" t="n">
        <v>0</v>
      </c>
      <c r="AN808" s="52" t="n">
        <v>0</v>
      </c>
      <c r="AO808" s="53" t="n">
        <v>0</v>
      </c>
      <c r="AP808" s="52" t="n">
        <v>0</v>
      </c>
      <c r="AQ808" s="53" t="n">
        <v>0</v>
      </c>
      <c r="AR808" s="52" t="n">
        <v>0</v>
      </c>
      <c r="AS808" s="51" t="n">
        <v>0</v>
      </c>
      <c r="AT808" s="48" t="n">
        <v>0</v>
      </c>
      <c r="AU808" s="49" t="n">
        <v>0</v>
      </c>
      <c r="AV808" s="49" t="n">
        <v>0</v>
      </c>
      <c r="AW808" s="50" t="n">
        <v>0</v>
      </c>
      <c r="AX808" s="51" t="n">
        <v>0</v>
      </c>
      <c r="AY808" s="52" t="n">
        <v>0</v>
      </c>
      <c r="AZ808" s="52" t="n">
        <v>0</v>
      </c>
      <c r="BA808" s="52" t="n">
        <v>0</v>
      </c>
      <c r="BB808" s="53" t="n">
        <v>0</v>
      </c>
      <c r="BC808" s="52" t="n">
        <v>0</v>
      </c>
      <c r="BD808" s="53" t="n">
        <v>0</v>
      </c>
      <c r="BE808" s="52" t="n">
        <v>0</v>
      </c>
      <c r="BF808" s="51" t="n">
        <v>0</v>
      </c>
    </row>
    <row r="809">
      <c r="A809">
        <f>HYPERLINK("https://www.walmart.com/ip/839480370", "839480370")</f>
        <v/>
      </c>
      <c r="B809" t="inlineStr">
        <is>
          <t>100% Polar Fleece Skull Cap Warm and Cozy Beanie</t>
        </is>
      </c>
      <c r="C809" t="inlineStr">
        <is>
          <t>1SLW1810RY-FSCB</t>
        </is>
      </c>
      <c r="D809" t="inlineStr">
        <is>
          <t>Hats</t>
        </is>
      </c>
      <c r="E809" t="inlineStr">
        <is>
          <t>Solaris</t>
        </is>
      </c>
      <c r="F809" t="inlineStr">
        <is>
          <t>Optimized</t>
        </is>
      </c>
      <c r="G809" s="48" t="n">
        <v>0</v>
      </c>
      <c r="H809" s="49" t="n">
        <v>0</v>
      </c>
      <c r="I809" s="49" t="n">
        <v>0</v>
      </c>
      <c r="J809" s="50" t="n">
        <v>0</v>
      </c>
      <c r="K809" s="51" t="n">
        <v>0</v>
      </c>
      <c r="L809" s="52" t="n">
        <v>0</v>
      </c>
      <c r="M809" s="52" t="n">
        <v>0</v>
      </c>
      <c r="N809" s="52" t="n">
        <v>0</v>
      </c>
      <c r="O809" s="53" t="n">
        <v>0</v>
      </c>
      <c r="P809" s="52" t="n">
        <v>0</v>
      </c>
      <c r="Q809" s="53" t="n">
        <v>0</v>
      </c>
      <c r="R809" s="52" t="n">
        <v>0</v>
      </c>
      <c r="S809" s="51" t="n">
        <v>0</v>
      </c>
      <c r="T809" s="48" t="n">
        <v>0</v>
      </c>
      <c r="U809" s="49" t="n">
        <v>0</v>
      </c>
      <c r="V809" s="49" t="n">
        <v>0</v>
      </c>
      <c r="W809" s="50" t="n">
        <v>0</v>
      </c>
      <c r="X809" s="51" t="n">
        <v>0</v>
      </c>
      <c r="Y809" s="52" t="n">
        <v>0</v>
      </c>
      <c r="Z809" s="52" t="n">
        <v>0</v>
      </c>
      <c r="AA809" s="52" t="n">
        <v>0</v>
      </c>
      <c r="AB809" s="53" t="n">
        <v>0</v>
      </c>
      <c r="AC809" s="52" t="n">
        <v>0</v>
      </c>
      <c r="AD809" s="53" t="n">
        <v>0</v>
      </c>
      <c r="AE809" s="52" t="n">
        <v>0</v>
      </c>
      <c r="AF809" s="51" t="n">
        <v>0</v>
      </c>
      <c r="AG809" s="48" t="n">
        <v>0</v>
      </c>
      <c r="AH809" s="49" t="n">
        <v>0</v>
      </c>
      <c r="AI809" s="49" t="n">
        <v>0</v>
      </c>
      <c r="AJ809" s="50" t="n">
        <v>0</v>
      </c>
      <c r="AK809" s="51" t="n">
        <v>0</v>
      </c>
      <c r="AL809" s="52" t="n">
        <v>0</v>
      </c>
      <c r="AM809" s="52" t="n">
        <v>0</v>
      </c>
      <c r="AN809" s="52" t="n">
        <v>0</v>
      </c>
      <c r="AO809" s="53" t="n">
        <v>0</v>
      </c>
      <c r="AP809" s="52" t="n">
        <v>0</v>
      </c>
      <c r="AQ809" s="53" t="n">
        <v>0</v>
      </c>
      <c r="AR809" s="52" t="n">
        <v>0</v>
      </c>
      <c r="AS809" s="51" t="n">
        <v>0</v>
      </c>
      <c r="AT809" s="48" t="n">
        <v>0</v>
      </c>
      <c r="AU809" s="49" t="n">
        <v>0</v>
      </c>
      <c r="AV809" s="49" t="n">
        <v>0</v>
      </c>
      <c r="AW809" s="50" t="n">
        <v>0</v>
      </c>
      <c r="AX809" s="51" t="n">
        <v>0</v>
      </c>
      <c r="AY809" s="52" t="n">
        <v>0</v>
      </c>
      <c r="AZ809" s="52" t="n">
        <v>0</v>
      </c>
      <c r="BA809" s="52" t="n">
        <v>0</v>
      </c>
      <c r="BB809" s="53" t="n">
        <v>0</v>
      </c>
      <c r="BC809" s="52" t="n">
        <v>0</v>
      </c>
      <c r="BD809" s="53" t="n">
        <v>0</v>
      </c>
      <c r="BE809" s="52" t="n">
        <v>0</v>
      </c>
      <c r="BF809" s="51" t="n">
        <v>0</v>
      </c>
    </row>
    <row r="810">
      <c r="A810">
        <f>HYPERLINK("https://www.walmart.com/ip/840040807", "840040807")</f>
        <v/>
      </c>
      <c r="B810" t="inlineStr">
        <is>
          <t>Flyingstar Wind and Waterproof Blanket, Wearable Camping Blanket, Hooded Blanket Poncho for Sports Stadium, Beach, Picnic, Car or Pets, Wine and Black, 55'' x 80''</t>
        </is>
      </c>
      <c r="C810" t="inlineStr">
        <is>
          <t>1WMBC200WNBK</t>
        </is>
      </c>
      <c r="D810" t="inlineStr">
        <is>
          <t>Picnic Blankets &amp; Mats</t>
        </is>
      </c>
      <c r="E810" t="inlineStr">
        <is>
          <t>Flyingstar</t>
        </is>
      </c>
      <c r="F810" t="inlineStr">
        <is>
          <t>Q2-Target,Batch 1 - TR</t>
        </is>
      </c>
      <c r="G810" s="48" t="n">
        <v>0</v>
      </c>
      <c r="H810" s="49" t="n">
        <v>0</v>
      </c>
      <c r="I810" s="49" t="n">
        <v>0</v>
      </c>
      <c r="J810" s="50" t="n">
        <v>0</v>
      </c>
      <c r="K810" s="51" t="n">
        <v>17</v>
      </c>
      <c r="L810" s="52" t="n">
        <v>5.94</v>
      </c>
      <c r="M810" s="52" t="n">
        <v>0</v>
      </c>
      <c r="N810" s="52" t="n">
        <v>0</v>
      </c>
      <c r="O810" s="53" t="n">
        <v>0.003</v>
      </c>
      <c r="P810" s="52" t="n">
        <v>0.3494117647058823</v>
      </c>
      <c r="Q810" s="53" t="n">
        <v>0</v>
      </c>
      <c r="R810" s="52" t="n">
        <v>0</v>
      </c>
      <c r="S810" s="51" t="n">
        <v>5612</v>
      </c>
      <c r="T810" s="48" t="n">
        <v>0</v>
      </c>
      <c r="U810" s="49" t="n">
        <v>0</v>
      </c>
      <c r="V810" s="49" t="n">
        <v>0</v>
      </c>
      <c r="W810" s="50" t="n">
        <v>0</v>
      </c>
      <c r="X810" s="51" t="n">
        <v>8</v>
      </c>
      <c r="Y810" s="52" t="n">
        <v>2.79</v>
      </c>
      <c r="Z810" s="52" t="n">
        <v>0</v>
      </c>
      <c r="AA810" s="52" t="n">
        <v>0</v>
      </c>
      <c r="AB810" s="53" t="n">
        <v>0.0013</v>
      </c>
      <c r="AC810" s="52" t="n">
        <v>0.34875</v>
      </c>
      <c r="AD810" s="53" t="n">
        <v>0</v>
      </c>
      <c r="AE810" s="52" t="n">
        <v>0</v>
      </c>
      <c r="AF810" s="51" t="n">
        <v>6393</v>
      </c>
      <c r="AG810" s="48" t="n">
        <v>0</v>
      </c>
      <c r="AH810" s="49" t="n">
        <v>0</v>
      </c>
      <c r="AI810" s="49" t="n">
        <v>0</v>
      </c>
      <c r="AJ810" s="50" t="n">
        <v>0</v>
      </c>
      <c r="AK810" s="51" t="n">
        <v>11</v>
      </c>
      <c r="AL810" s="52" t="n">
        <v>4.069999999999999</v>
      </c>
      <c r="AM810" s="52" t="n">
        <v>26.99</v>
      </c>
      <c r="AN810" s="52" t="n">
        <v>6.63</v>
      </c>
      <c r="AO810" s="53" t="n">
        <v>0.0013</v>
      </c>
      <c r="AP810" s="52" t="n">
        <v>0.3699999999999999</v>
      </c>
      <c r="AQ810" s="53" t="n">
        <v>0</v>
      </c>
      <c r="AR810" s="52" t="n">
        <v>0</v>
      </c>
      <c r="AS810" s="51" t="n">
        <v>8300</v>
      </c>
      <c r="AT810" s="48" t="n">
        <v>33.98</v>
      </c>
      <c r="AU810" s="49" t="n">
        <v>1</v>
      </c>
      <c r="AV810" s="49" t="n">
        <v>0</v>
      </c>
      <c r="AW810" s="50" t="n">
        <v>0</v>
      </c>
      <c r="AX810" s="51" t="n">
        <v>9</v>
      </c>
      <c r="AY810" s="52" t="n">
        <v>3.09</v>
      </c>
      <c r="AZ810" s="52" t="n">
        <v>26.99</v>
      </c>
      <c r="BA810" s="52" t="n">
        <v>8.73</v>
      </c>
      <c r="BB810" s="53" t="n">
        <v>0.0012</v>
      </c>
      <c r="BC810" s="52" t="n">
        <v>0.3433333333333334</v>
      </c>
      <c r="BD810" s="53" t="n">
        <v>0.09093584461447912</v>
      </c>
      <c r="BE810" s="52" t="n">
        <v>33.98</v>
      </c>
      <c r="BF810" s="51" t="n">
        <v>7506</v>
      </c>
    </row>
    <row r="811">
      <c r="A811">
        <f>HYPERLINK("https://www.walmart.com/ip/840311591", "840311591")</f>
        <v/>
      </c>
      <c r="B811" t="inlineStr">
        <is>
          <t>Catalonia Wearable Fleece Blanket with Sleeves and Foot Pockets for Adult Women Men, Micro Plush Comfy Wrap Sleeved Throw Blanket Robe Large, Cow Print</t>
        </is>
      </c>
      <c r="C811" t="inlineStr">
        <is>
          <t>1CTSN101DMT</t>
        </is>
      </c>
      <c r="D811" t="inlineStr">
        <is>
          <t>Throws</t>
        </is>
      </c>
      <c r="E811" t="inlineStr">
        <is>
          <t>Catalonia</t>
        </is>
      </c>
      <c r="F811" t="inlineStr">
        <is>
          <t>WFS,WFS Item,Fleece Blankets</t>
        </is>
      </c>
      <c r="G811" s="48" t="n">
        <v>0</v>
      </c>
      <c r="H811" s="49" t="n">
        <v>0</v>
      </c>
      <c r="I811" s="49" t="n">
        <v>0</v>
      </c>
      <c r="J811" s="50" t="n">
        <v>0</v>
      </c>
      <c r="K811" s="51" t="n">
        <v>0</v>
      </c>
      <c r="L811" s="52" t="n">
        <v>0</v>
      </c>
      <c r="M811" s="52" t="n">
        <v>0</v>
      </c>
      <c r="N811" s="52" t="n">
        <v>0</v>
      </c>
      <c r="O811" s="53" t="n">
        <v>0</v>
      </c>
      <c r="P811" s="52" t="n">
        <v>0</v>
      </c>
      <c r="Q811" s="53" t="n">
        <v>0</v>
      </c>
      <c r="R811" s="52" t="n">
        <v>0</v>
      </c>
      <c r="S811" s="51" t="n">
        <v>0</v>
      </c>
      <c r="T811" s="48" t="n">
        <v>0</v>
      </c>
      <c r="U811" s="49" t="n">
        <v>0</v>
      </c>
      <c r="V811" s="49" t="n">
        <v>0</v>
      </c>
      <c r="W811" s="50" t="n">
        <v>0</v>
      </c>
      <c r="X811" s="51" t="n">
        <v>0</v>
      </c>
      <c r="Y811" s="52" t="n">
        <v>0</v>
      </c>
      <c r="Z811" s="52" t="n">
        <v>0</v>
      </c>
      <c r="AA811" s="52" t="n">
        <v>0</v>
      </c>
      <c r="AB811" s="53" t="n">
        <v>0</v>
      </c>
      <c r="AC811" s="52" t="n">
        <v>0</v>
      </c>
      <c r="AD811" s="53" t="n">
        <v>0</v>
      </c>
      <c r="AE811" s="52" t="n">
        <v>0</v>
      </c>
      <c r="AF811" s="51" t="n">
        <v>0</v>
      </c>
      <c r="AG811" s="48" t="n">
        <v>0</v>
      </c>
      <c r="AH811" s="49" t="n">
        <v>0</v>
      </c>
      <c r="AI811" s="49" t="n">
        <v>0</v>
      </c>
      <c r="AJ811" s="50" t="n">
        <v>0</v>
      </c>
      <c r="AK811" s="51" t="n">
        <v>0</v>
      </c>
      <c r="AL811" s="52" t="n">
        <v>0</v>
      </c>
      <c r="AM811" s="52" t="n">
        <v>0</v>
      </c>
      <c r="AN811" s="52" t="n">
        <v>0</v>
      </c>
      <c r="AO811" s="53" t="n">
        <v>0</v>
      </c>
      <c r="AP811" s="52" t="n">
        <v>0</v>
      </c>
      <c r="AQ811" s="53" t="n">
        <v>0</v>
      </c>
      <c r="AR811" s="52" t="n">
        <v>0</v>
      </c>
      <c r="AS811" s="51" t="n">
        <v>0</v>
      </c>
      <c r="AT811" s="48" t="n">
        <v>0</v>
      </c>
      <c r="AU811" s="49" t="n">
        <v>0</v>
      </c>
      <c r="AV811" s="49" t="n">
        <v>0</v>
      </c>
      <c r="AW811" s="50" t="n">
        <v>0</v>
      </c>
      <c r="AX811" s="51" t="n">
        <v>0</v>
      </c>
      <c r="AY811" s="52" t="n">
        <v>0</v>
      </c>
      <c r="AZ811" s="52" t="n">
        <v>0</v>
      </c>
      <c r="BA811" s="52" t="n">
        <v>0</v>
      </c>
      <c r="BB811" s="53" t="n">
        <v>0</v>
      </c>
      <c r="BC811" s="52" t="n">
        <v>0</v>
      </c>
      <c r="BD811" s="53" t="n">
        <v>0</v>
      </c>
      <c r="BE811" s="52" t="n">
        <v>0</v>
      </c>
      <c r="BF811" s="51" t="n">
        <v>0</v>
      </c>
    </row>
    <row r="812">
      <c r="A812">
        <f>HYPERLINK("https://www.walmart.com/ip/857254662", "857254662")</f>
        <v/>
      </c>
      <c r="B812" t="inlineStr">
        <is>
          <t>Ski Gloves for Women &amp; Men 3M Winter Snow Gloves Mittens Insulation Waterproof for Outdoors Sports</t>
        </is>
      </c>
      <c r="C812" t="inlineStr">
        <is>
          <t>1SLWG100PKM</t>
        </is>
      </c>
      <c r="D812" t="inlineStr">
        <is>
          <t>Gloves &amp; Mittens</t>
        </is>
      </c>
      <c r="E812" t="inlineStr">
        <is>
          <t>Solaris</t>
        </is>
      </c>
      <c r="F812" t="inlineStr">
        <is>
          <t>Gloves,WFS,WFS Item</t>
        </is>
      </c>
      <c r="G812" s="48" t="n">
        <v>0</v>
      </c>
      <c r="H812" s="49" t="n">
        <v>0</v>
      </c>
      <c r="I812" s="49" t="n">
        <v>0</v>
      </c>
      <c r="J812" s="50" t="n">
        <v>0</v>
      </c>
      <c r="K812" s="51" t="n">
        <v>0</v>
      </c>
      <c r="L812" s="52" t="n">
        <v>0</v>
      </c>
      <c r="M812" s="52" t="n">
        <v>0</v>
      </c>
      <c r="N812" s="52" t="n">
        <v>0</v>
      </c>
      <c r="O812" s="53" t="n">
        <v>0</v>
      </c>
      <c r="P812" s="52" t="n">
        <v>0</v>
      </c>
      <c r="Q812" s="53" t="n">
        <v>0</v>
      </c>
      <c r="R812" s="52" t="n">
        <v>0</v>
      </c>
      <c r="S812" s="51" t="n">
        <v>0</v>
      </c>
      <c r="T812" s="48" t="n">
        <v>0</v>
      </c>
      <c r="U812" s="49" t="n">
        <v>0</v>
      </c>
      <c r="V812" s="49" t="n">
        <v>0</v>
      </c>
      <c r="W812" s="50" t="n">
        <v>0</v>
      </c>
      <c r="X812" s="51" t="n">
        <v>0</v>
      </c>
      <c r="Y812" s="52" t="n">
        <v>0</v>
      </c>
      <c r="Z812" s="52" t="n">
        <v>0</v>
      </c>
      <c r="AA812" s="52" t="n">
        <v>0</v>
      </c>
      <c r="AB812" s="53" t="n">
        <v>0</v>
      </c>
      <c r="AC812" s="52" t="n">
        <v>0</v>
      </c>
      <c r="AD812" s="53" t="n">
        <v>0</v>
      </c>
      <c r="AE812" s="52" t="n">
        <v>0</v>
      </c>
      <c r="AF812" s="51" t="n">
        <v>0</v>
      </c>
      <c r="AG812" s="48" t="n">
        <v>0</v>
      </c>
      <c r="AH812" s="49" t="n">
        <v>0</v>
      </c>
      <c r="AI812" s="49" t="n">
        <v>0</v>
      </c>
      <c r="AJ812" s="50" t="n">
        <v>0</v>
      </c>
      <c r="AK812" s="51" t="n">
        <v>0</v>
      </c>
      <c r="AL812" s="52" t="n">
        <v>0</v>
      </c>
      <c r="AM812" s="52" t="n">
        <v>0</v>
      </c>
      <c r="AN812" s="52" t="n">
        <v>0</v>
      </c>
      <c r="AO812" s="53" t="n">
        <v>0</v>
      </c>
      <c r="AP812" s="52" t="n">
        <v>0</v>
      </c>
      <c r="AQ812" s="53" t="n">
        <v>0</v>
      </c>
      <c r="AR812" s="52" t="n">
        <v>0</v>
      </c>
      <c r="AS812" s="51" t="n">
        <v>0</v>
      </c>
      <c r="AT812" s="48" t="n">
        <v>0</v>
      </c>
      <c r="AU812" s="49" t="n">
        <v>0</v>
      </c>
      <c r="AV812" s="49" t="n">
        <v>0</v>
      </c>
      <c r="AW812" s="50" t="n">
        <v>0</v>
      </c>
      <c r="AX812" s="51" t="n">
        <v>0</v>
      </c>
      <c r="AY812" s="52" t="n">
        <v>0</v>
      </c>
      <c r="AZ812" s="52" t="n">
        <v>0</v>
      </c>
      <c r="BA812" s="52" t="n">
        <v>0</v>
      </c>
      <c r="BB812" s="53" t="n">
        <v>0</v>
      </c>
      <c r="BC812" s="52" t="n">
        <v>0</v>
      </c>
      <c r="BD812" s="53" t="n">
        <v>0</v>
      </c>
      <c r="BE812" s="52" t="n">
        <v>0</v>
      </c>
      <c r="BF812" s="51" t="n">
        <v>0</v>
      </c>
    </row>
    <row r="813">
      <c r="A813">
        <f>HYPERLINK("https://www.walmart.com/ip/860538927", "860538927")</f>
        <v/>
      </c>
      <c r="B813" t="inlineStr">
        <is>
          <t>Catalonia Sherpa Throw Blanket, Super Soft Fleece Plush Sofa Couch Blanket, TV Bed Blanket, Comfy Cozy Fluffy Warm, Christmas Theme Throws, Holiday Gift Blanket( 50x60 inch, Tribe)</t>
        </is>
      </c>
      <c r="C813" t="inlineStr">
        <is>
          <t>1CTBF571TRIBE</t>
        </is>
      </c>
      <c r="D813" t="inlineStr">
        <is>
          <t>Throws</t>
        </is>
      </c>
      <c r="E813" t="inlineStr">
        <is>
          <t>Catalonia</t>
        </is>
      </c>
      <c r="F813" t="inlineStr">
        <is>
          <t>Christmas,Hero 5 Holidays,WFS,WFS Item</t>
        </is>
      </c>
      <c r="G813" s="48" t="n">
        <v>0</v>
      </c>
      <c r="H813" s="49" t="n">
        <v>0</v>
      </c>
      <c r="I813" s="49" t="n">
        <v>0</v>
      </c>
      <c r="J813" s="50" t="n">
        <v>0</v>
      </c>
      <c r="K813" s="51" t="n">
        <v>0</v>
      </c>
      <c r="L813" s="52" t="n">
        <v>0</v>
      </c>
      <c r="M813" s="52" t="n">
        <v>0</v>
      </c>
      <c r="N813" s="52" t="n">
        <v>0</v>
      </c>
      <c r="O813" s="53" t="n">
        <v>0</v>
      </c>
      <c r="P813" s="52" t="n">
        <v>0</v>
      </c>
      <c r="Q813" s="53" t="n">
        <v>0</v>
      </c>
      <c r="R813" s="52" t="n">
        <v>0</v>
      </c>
      <c r="S813" s="51" t="n">
        <v>0</v>
      </c>
      <c r="T813" s="48" t="n">
        <v>0</v>
      </c>
      <c r="U813" s="49" t="n">
        <v>0</v>
      </c>
      <c r="V813" s="49" t="n">
        <v>0</v>
      </c>
      <c r="W813" s="50" t="n">
        <v>0</v>
      </c>
      <c r="X813" s="51" t="n">
        <v>0</v>
      </c>
      <c r="Y813" s="52" t="n">
        <v>0</v>
      </c>
      <c r="Z813" s="52" t="n">
        <v>0</v>
      </c>
      <c r="AA813" s="52" t="n">
        <v>0</v>
      </c>
      <c r="AB813" s="53" t="n">
        <v>0</v>
      </c>
      <c r="AC813" s="52" t="n">
        <v>0</v>
      </c>
      <c r="AD813" s="53" t="n">
        <v>0</v>
      </c>
      <c r="AE813" s="52" t="n">
        <v>0</v>
      </c>
      <c r="AF813" s="51" t="n">
        <v>0</v>
      </c>
      <c r="AG813" s="48" t="n">
        <v>0</v>
      </c>
      <c r="AH813" s="49" t="n">
        <v>0</v>
      </c>
      <c r="AI813" s="49" t="n">
        <v>0</v>
      </c>
      <c r="AJ813" s="50" t="n">
        <v>0</v>
      </c>
      <c r="AK813" s="51" t="n">
        <v>0</v>
      </c>
      <c r="AL813" s="52" t="n">
        <v>0</v>
      </c>
      <c r="AM813" s="52" t="n">
        <v>0</v>
      </c>
      <c r="AN813" s="52" t="n">
        <v>0</v>
      </c>
      <c r="AO813" s="53" t="n">
        <v>0</v>
      </c>
      <c r="AP813" s="52" t="n">
        <v>0</v>
      </c>
      <c r="AQ813" s="53" t="n">
        <v>0</v>
      </c>
      <c r="AR813" s="52" t="n">
        <v>0</v>
      </c>
      <c r="AS813" s="51" t="n">
        <v>0</v>
      </c>
      <c r="AT813" s="48" t="n">
        <v>0</v>
      </c>
      <c r="AU813" s="49" t="n">
        <v>0</v>
      </c>
      <c r="AV813" s="49" t="n">
        <v>0</v>
      </c>
      <c r="AW813" s="50" t="n">
        <v>0</v>
      </c>
      <c r="AX813" s="51" t="n">
        <v>0</v>
      </c>
      <c r="AY813" s="52" t="n">
        <v>0</v>
      </c>
      <c r="AZ813" s="52" t="n">
        <v>0</v>
      </c>
      <c r="BA813" s="52" t="n">
        <v>0</v>
      </c>
      <c r="BB813" s="53" t="n">
        <v>0</v>
      </c>
      <c r="BC813" s="52" t="n">
        <v>0</v>
      </c>
      <c r="BD813" s="53" t="n">
        <v>0</v>
      </c>
      <c r="BE813" s="52" t="n">
        <v>0</v>
      </c>
      <c r="BF813" s="51" t="n">
        <v>0</v>
      </c>
    </row>
    <row r="814">
      <c r="A814">
        <f>HYPERLINK("https://www.walmart.com/ip/890210788", "890210788")</f>
        <v/>
      </c>
      <c r="B814" t="inlineStr">
        <is>
          <t>Insulated Expandable Lunch Bags Tote Thermal Cooler Leak Proof Travel Container Food Case for Adults Adjustable Shoulder</t>
        </is>
      </c>
      <c r="C814" t="inlineStr">
        <is>
          <t>1KTLB110BK</t>
        </is>
      </c>
      <c r="D814" t="inlineStr">
        <is>
          <t>Reusable Lunch Bags &amp; Boxes</t>
        </is>
      </c>
      <c r="E814" t="inlineStr">
        <is>
          <t>Kato</t>
        </is>
      </c>
      <c r="F814" t="inlineStr">
        <is>
          <t>Q2-Target,Lunch Bag,Optimized,Lunch Bags,SEM</t>
        </is>
      </c>
      <c r="G814" s="48" t="n">
        <v>0</v>
      </c>
      <c r="H814" s="49" t="n">
        <v>0</v>
      </c>
      <c r="I814" s="49" t="n">
        <v>0</v>
      </c>
      <c r="J814" s="50" t="n">
        <v>0</v>
      </c>
      <c r="K814" s="51" t="n">
        <v>0</v>
      </c>
      <c r="L814" s="52" t="n">
        <v>0</v>
      </c>
      <c r="M814" s="52" t="n">
        <v>0</v>
      </c>
      <c r="N814" s="52" t="n">
        <v>0</v>
      </c>
      <c r="O814" s="53" t="n">
        <v>0</v>
      </c>
      <c r="P814" s="52" t="n">
        <v>0</v>
      </c>
      <c r="Q814" s="53" t="n">
        <v>0</v>
      </c>
      <c r="R814" s="52" t="n">
        <v>0</v>
      </c>
      <c r="S814" s="51" t="n">
        <v>0</v>
      </c>
      <c r="T814" s="48" t="n">
        <v>0</v>
      </c>
      <c r="U814" s="49" t="n">
        <v>0</v>
      </c>
      <c r="V814" s="49" t="n">
        <v>0</v>
      </c>
      <c r="W814" s="50" t="n">
        <v>0</v>
      </c>
      <c r="X814" s="51" t="n">
        <v>0</v>
      </c>
      <c r="Y814" s="52" t="n">
        <v>0</v>
      </c>
      <c r="Z814" s="52" t="n">
        <v>0</v>
      </c>
      <c r="AA814" s="52" t="n">
        <v>0</v>
      </c>
      <c r="AB814" s="53" t="n">
        <v>0</v>
      </c>
      <c r="AC814" s="52" t="n">
        <v>0</v>
      </c>
      <c r="AD814" s="53" t="n">
        <v>0</v>
      </c>
      <c r="AE814" s="52" t="n">
        <v>0</v>
      </c>
      <c r="AF814" s="51" t="n">
        <v>0</v>
      </c>
      <c r="AG814" s="48" t="n">
        <v>0</v>
      </c>
      <c r="AH814" s="49" t="n">
        <v>0</v>
      </c>
      <c r="AI814" s="49" t="n">
        <v>0</v>
      </c>
      <c r="AJ814" s="50" t="n">
        <v>0</v>
      </c>
      <c r="AK814" s="51" t="n">
        <v>0</v>
      </c>
      <c r="AL814" s="52" t="n">
        <v>0</v>
      </c>
      <c r="AM814" s="52" t="n">
        <v>0</v>
      </c>
      <c r="AN814" s="52" t="n">
        <v>0</v>
      </c>
      <c r="AO814" s="53" t="n">
        <v>0</v>
      </c>
      <c r="AP814" s="52" t="n">
        <v>0</v>
      </c>
      <c r="AQ814" s="53" t="n">
        <v>0</v>
      </c>
      <c r="AR814" s="52" t="n">
        <v>0</v>
      </c>
      <c r="AS814" s="51" t="n">
        <v>0</v>
      </c>
      <c r="AT814" s="48" t="n">
        <v>-18.98</v>
      </c>
      <c r="AU814" s="49" t="n">
        <v>-1</v>
      </c>
      <c r="AV814" s="49" t="n">
        <v>0</v>
      </c>
      <c r="AW814" s="50" t="n">
        <v>0</v>
      </c>
      <c r="AX814" s="51" t="n">
        <v>0</v>
      </c>
      <c r="AY814" s="52" t="n">
        <v>0</v>
      </c>
      <c r="AZ814" s="52" t="n">
        <v>0</v>
      </c>
      <c r="BA814" s="52" t="n">
        <v>0</v>
      </c>
      <c r="BB814" s="53" t="n">
        <v>0</v>
      </c>
      <c r="BC814" s="52" t="n">
        <v>0</v>
      </c>
      <c r="BD814" s="53" t="n">
        <v>0</v>
      </c>
      <c r="BE814" s="52" t="n">
        <v>0</v>
      </c>
      <c r="BF814" s="51" t="n">
        <v>0</v>
      </c>
    </row>
    <row r="815">
      <c r="A815">
        <f>HYPERLINK("https://www.walmart.com/ip/879065777", "879065777")</f>
        <v/>
      </c>
      <c r="B815" t="inlineStr">
        <is>
          <t>Tirrinia Insulated Wine Carrier Tote - Travel Padded 2 Bottle Wine/ Champagne Cooler Bag with Handle and Adjustable Shoulder Strap + Free Corkscrew, Great Wine Lover Gift, White</t>
        </is>
      </c>
      <c r="C815" t="inlineStr">
        <is>
          <t>1KTWB210WTX</t>
        </is>
      </c>
      <c r="D815" t="inlineStr">
        <is>
          <t>Wine Totes, Bags &amp; Backpacks</t>
        </is>
      </c>
      <c r="E815" t="inlineStr">
        <is>
          <t>Tirrinia</t>
        </is>
      </c>
      <c r="F815" t="inlineStr">
        <is>
          <t>Wine,Wine WFS,Batch 1 - TR,Lily Brand Camp</t>
        </is>
      </c>
      <c r="G815" s="48" t="n">
        <v>0</v>
      </c>
      <c r="H815" s="49" t="n">
        <v>0</v>
      </c>
      <c r="I815" s="49" t="n">
        <v>0</v>
      </c>
      <c r="J815" s="50" t="n">
        <v>0</v>
      </c>
      <c r="K815" s="51" t="n">
        <v>3</v>
      </c>
      <c r="L815" s="52" t="n">
        <v>1.32</v>
      </c>
      <c r="M815" s="52" t="n">
        <v>0</v>
      </c>
      <c r="N815" s="52" t="n">
        <v>0</v>
      </c>
      <c r="O815" s="53" t="n">
        <v>0.0036</v>
      </c>
      <c r="P815" s="52" t="n">
        <v>0.44</v>
      </c>
      <c r="Q815" s="53" t="n">
        <v>0</v>
      </c>
      <c r="R815" s="52" t="n">
        <v>0</v>
      </c>
      <c r="S815" s="51" t="n">
        <v>838</v>
      </c>
      <c r="T815" s="48" t="n">
        <v>0</v>
      </c>
      <c r="U815" s="49" t="n">
        <v>0</v>
      </c>
      <c r="V815" s="49" t="n">
        <v>0</v>
      </c>
      <c r="W815" s="50" t="n">
        <v>0</v>
      </c>
      <c r="X815" s="51" t="n">
        <v>0</v>
      </c>
      <c r="Y815" s="52" t="n">
        <v>0</v>
      </c>
      <c r="Z815" s="52" t="n">
        <v>0</v>
      </c>
      <c r="AA815" s="52" t="n">
        <v>0</v>
      </c>
      <c r="AB815" s="53" t="n">
        <v>0</v>
      </c>
      <c r="AC815" s="52" t="n">
        <v>0</v>
      </c>
      <c r="AD815" s="53" t="n">
        <v>0</v>
      </c>
      <c r="AE815" s="52" t="n">
        <v>0</v>
      </c>
      <c r="AF815" s="51" t="n">
        <v>205</v>
      </c>
      <c r="AG815" s="48" t="n">
        <v>0</v>
      </c>
      <c r="AH815" s="49" t="n">
        <v>0</v>
      </c>
      <c r="AI815" s="49" t="n">
        <v>0</v>
      </c>
      <c r="AJ815" s="50" t="n">
        <v>0</v>
      </c>
      <c r="AK815" s="51" t="n">
        <v>0</v>
      </c>
      <c r="AL815" s="52" t="n">
        <v>0</v>
      </c>
      <c r="AM815" s="52" t="n">
        <v>0</v>
      </c>
      <c r="AN815" s="52" t="n">
        <v>0</v>
      </c>
      <c r="AO815" s="53" t="n">
        <v>0</v>
      </c>
      <c r="AP815" s="52" t="n">
        <v>0</v>
      </c>
      <c r="AQ815" s="53" t="n">
        <v>0</v>
      </c>
      <c r="AR815" s="52" t="n">
        <v>0</v>
      </c>
      <c r="AS815" s="51" t="n">
        <v>372</v>
      </c>
      <c r="AT815" s="48" t="n">
        <v>0</v>
      </c>
      <c r="AU815" s="49" t="n">
        <v>0</v>
      </c>
      <c r="AV815" s="49" t="n">
        <v>0</v>
      </c>
      <c r="AW815" s="50" t="n">
        <v>0</v>
      </c>
      <c r="AX815" s="51" t="n">
        <v>0</v>
      </c>
      <c r="AY815" s="52" t="n">
        <v>0</v>
      </c>
      <c r="AZ815" s="52" t="n">
        <v>0</v>
      </c>
      <c r="BA815" s="52" t="n">
        <v>0</v>
      </c>
      <c r="BB815" s="53" t="n">
        <v>0</v>
      </c>
      <c r="BC815" s="52" t="n">
        <v>0</v>
      </c>
      <c r="BD815" s="53" t="n">
        <v>0</v>
      </c>
      <c r="BE815" s="52" t="n">
        <v>0</v>
      </c>
      <c r="BF815" s="51" t="n">
        <v>492</v>
      </c>
    </row>
    <row r="816">
      <c r="A816">
        <f>HYPERLINK("https://www.walmart.com/ip/882189571", "882189571")</f>
        <v/>
      </c>
      <c r="B816" t="inlineStr">
        <is>
          <t>Ski Gloves for Women &amp; Men 3M Winter Snow Gloves Mittens Insulation Waterproof for Outdoors Sports</t>
        </is>
      </c>
      <c r="C816" t="inlineStr">
        <is>
          <t>1SLWG100BLXL</t>
        </is>
      </c>
      <c r="D816" t="inlineStr">
        <is>
          <t>Gloves &amp; Mittens</t>
        </is>
      </c>
      <c r="E816" t="inlineStr">
        <is>
          <t>Solaris</t>
        </is>
      </c>
      <c r="F816" t="inlineStr">
        <is>
          <t>Gloves,Batch 1 - TR</t>
        </is>
      </c>
      <c r="G816" s="48" t="n">
        <v>0</v>
      </c>
      <c r="H816" s="49" t="n">
        <v>0</v>
      </c>
      <c r="I816" s="49" t="n">
        <v>0</v>
      </c>
      <c r="J816" s="50" t="n">
        <v>0</v>
      </c>
      <c r="K816" s="51" t="n">
        <v>0</v>
      </c>
      <c r="L816" s="52" t="n">
        <v>0</v>
      </c>
      <c r="M816" s="52" t="n">
        <v>0</v>
      </c>
      <c r="N816" s="52" t="n">
        <v>0</v>
      </c>
      <c r="O816" s="53" t="n">
        <v>0</v>
      </c>
      <c r="P816" s="52" t="n">
        <v>0</v>
      </c>
      <c r="Q816" s="53" t="n">
        <v>0</v>
      </c>
      <c r="R816" s="52" t="n">
        <v>0</v>
      </c>
      <c r="S816" s="51" t="n">
        <v>0</v>
      </c>
      <c r="T816" s="48" t="n">
        <v>0</v>
      </c>
      <c r="U816" s="49" t="n">
        <v>0</v>
      </c>
      <c r="V816" s="49" t="n">
        <v>0</v>
      </c>
      <c r="W816" s="50" t="n">
        <v>0</v>
      </c>
      <c r="X816" s="51" t="n">
        <v>0</v>
      </c>
      <c r="Y816" s="52" t="n">
        <v>0</v>
      </c>
      <c r="Z816" s="52" t="n">
        <v>0</v>
      </c>
      <c r="AA816" s="52" t="n">
        <v>0</v>
      </c>
      <c r="AB816" s="53" t="n">
        <v>0</v>
      </c>
      <c r="AC816" s="52" t="n">
        <v>0</v>
      </c>
      <c r="AD816" s="53" t="n">
        <v>0</v>
      </c>
      <c r="AE816" s="52" t="n">
        <v>0</v>
      </c>
      <c r="AF816" s="51" t="n">
        <v>0</v>
      </c>
      <c r="AG816" s="48" t="n">
        <v>0</v>
      </c>
      <c r="AH816" s="49" t="n">
        <v>0</v>
      </c>
      <c r="AI816" s="49" t="n">
        <v>0</v>
      </c>
      <c r="AJ816" s="50" t="n">
        <v>0</v>
      </c>
      <c r="AK816" s="51" t="n">
        <v>0</v>
      </c>
      <c r="AL816" s="52" t="n">
        <v>0</v>
      </c>
      <c r="AM816" s="52" t="n">
        <v>0</v>
      </c>
      <c r="AN816" s="52" t="n">
        <v>0</v>
      </c>
      <c r="AO816" s="53" t="n">
        <v>0</v>
      </c>
      <c r="AP816" s="52" t="n">
        <v>0</v>
      </c>
      <c r="AQ816" s="53" t="n">
        <v>0</v>
      </c>
      <c r="AR816" s="52" t="n">
        <v>0</v>
      </c>
      <c r="AS816" s="51" t="n">
        <v>0</v>
      </c>
      <c r="AT816" s="48" t="n">
        <v>0</v>
      </c>
      <c r="AU816" s="49" t="n">
        <v>0</v>
      </c>
      <c r="AV816" s="49" t="n">
        <v>0</v>
      </c>
      <c r="AW816" s="50" t="n">
        <v>0</v>
      </c>
      <c r="AX816" s="51" t="n">
        <v>0</v>
      </c>
      <c r="AY816" s="52" t="n">
        <v>0</v>
      </c>
      <c r="AZ816" s="52" t="n">
        <v>0</v>
      </c>
      <c r="BA816" s="52" t="n">
        <v>0</v>
      </c>
      <c r="BB816" s="53" t="n">
        <v>0</v>
      </c>
      <c r="BC816" s="52" t="n">
        <v>0</v>
      </c>
      <c r="BD816" s="53" t="n">
        <v>0</v>
      </c>
      <c r="BE816" s="52" t="n">
        <v>0</v>
      </c>
      <c r="BF816" s="51" t="n">
        <v>0</v>
      </c>
    </row>
    <row r="817">
      <c r="A817">
        <f>HYPERLINK("https://www.walmart.com/ip/882569056", "882569056")</f>
        <v/>
      </c>
      <c r="B817" t="inlineStr">
        <is>
          <t>JenniWears® Women's Sexy Fever Blush Babydoll Mesh Lingerie and Wrap Robe</t>
        </is>
      </c>
      <c r="C817" t="inlineStr">
        <is>
          <t>JWBD08WT-3XL</t>
        </is>
      </c>
      <c r="D817" t="inlineStr">
        <is>
          <t>Lingerie Sets</t>
        </is>
      </c>
      <c r="E817" t="inlineStr">
        <is>
          <t>JenniWears</t>
        </is>
      </c>
      <c r="F817" t="inlineStr">
        <is>
          <t>Optimized,Valentine</t>
        </is>
      </c>
      <c r="G817" s="48" t="n">
        <v>0</v>
      </c>
      <c r="H817" s="49" t="n">
        <v>0</v>
      </c>
      <c r="I817" s="49" t="n">
        <v>0</v>
      </c>
      <c r="J817" s="50" t="n">
        <v>0</v>
      </c>
      <c r="K817" s="51" t="n">
        <v>0</v>
      </c>
      <c r="L817" s="52" t="n">
        <v>0</v>
      </c>
      <c r="M817" s="52" t="n">
        <v>0</v>
      </c>
      <c r="N817" s="52" t="n">
        <v>0</v>
      </c>
      <c r="O817" s="53" t="n">
        <v>0</v>
      </c>
      <c r="P817" s="52" t="n">
        <v>0</v>
      </c>
      <c r="Q817" s="53" t="n">
        <v>0</v>
      </c>
      <c r="R817" s="52" t="n">
        <v>0</v>
      </c>
      <c r="S817" s="51" t="n">
        <v>0</v>
      </c>
      <c r="T817" s="48" t="n">
        <v>0</v>
      </c>
      <c r="U817" s="49" t="n">
        <v>0</v>
      </c>
      <c r="V817" s="49" t="n">
        <v>0</v>
      </c>
      <c r="W817" s="50" t="n">
        <v>0</v>
      </c>
      <c r="X817" s="51" t="n">
        <v>0</v>
      </c>
      <c r="Y817" s="52" t="n">
        <v>0</v>
      </c>
      <c r="Z817" s="52" t="n">
        <v>0</v>
      </c>
      <c r="AA817" s="52" t="n">
        <v>0</v>
      </c>
      <c r="AB817" s="53" t="n">
        <v>0</v>
      </c>
      <c r="AC817" s="52" t="n">
        <v>0</v>
      </c>
      <c r="AD817" s="53" t="n">
        <v>0</v>
      </c>
      <c r="AE817" s="52" t="n">
        <v>0</v>
      </c>
      <c r="AF817" s="51" t="n">
        <v>0</v>
      </c>
      <c r="AG817" s="48" t="n">
        <v>0</v>
      </c>
      <c r="AH817" s="49" t="n">
        <v>0</v>
      </c>
      <c r="AI817" s="49" t="n">
        <v>0</v>
      </c>
      <c r="AJ817" s="50" t="n">
        <v>0</v>
      </c>
      <c r="AK817" s="51" t="n">
        <v>0</v>
      </c>
      <c r="AL817" s="52" t="n">
        <v>0</v>
      </c>
      <c r="AM817" s="52" t="n">
        <v>0</v>
      </c>
      <c r="AN817" s="52" t="n">
        <v>0</v>
      </c>
      <c r="AO817" s="53" t="n">
        <v>0</v>
      </c>
      <c r="AP817" s="52" t="n">
        <v>0</v>
      </c>
      <c r="AQ817" s="53" t="n">
        <v>0</v>
      </c>
      <c r="AR817" s="52" t="n">
        <v>0</v>
      </c>
      <c r="AS817" s="51" t="n">
        <v>0</v>
      </c>
      <c r="AT817" s="48" t="n">
        <v>0</v>
      </c>
      <c r="AU817" s="49" t="n">
        <v>0</v>
      </c>
      <c r="AV817" s="49" t="n">
        <v>0</v>
      </c>
      <c r="AW817" s="50" t="n">
        <v>0</v>
      </c>
      <c r="AX817" s="51" t="n">
        <v>0</v>
      </c>
      <c r="AY817" s="52" t="n">
        <v>0</v>
      </c>
      <c r="AZ817" s="52" t="n">
        <v>0</v>
      </c>
      <c r="BA817" s="52" t="n">
        <v>0</v>
      </c>
      <c r="BB817" s="53" t="n">
        <v>0</v>
      </c>
      <c r="BC817" s="52" t="n">
        <v>0</v>
      </c>
      <c r="BD817" s="53" t="n">
        <v>0</v>
      </c>
      <c r="BE817" s="52" t="n">
        <v>0</v>
      </c>
      <c r="BF817" s="51" t="n">
        <v>0</v>
      </c>
    </row>
    <row r="818">
      <c r="A818">
        <f>HYPERLINK("https://www.walmart.com/ip/883303950", "883303950")</f>
        <v/>
      </c>
      <c r="B818" t="inlineStr">
        <is>
          <t>Tirrinia 6 Bottle Wine Cooler Bag - Insulated Padded Portable Versatile Wine Carrier Tote Bag for Travel, BYOB Restaurant, Wine Tasting, Party, Pecfect Gift for Wine Lover, Grey</t>
        </is>
      </c>
      <c r="C818" t="inlineStr">
        <is>
          <t>1TRWB602GY</t>
        </is>
      </c>
      <c r="D818" t="inlineStr">
        <is>
          <t>Wine Totes, Bags &amp; Backpacks</t>
        </is>
      </c>
      <c r="E818" t="inlineStr">
        <is>
          <t>Tirrinia</t>
        </is>
      </c>
      <c r="F818" t="inlineStr">
        <is>
          <t>Wine,Christmas,Optimized,WFS,Wine WFS,Valentine,SEM,WFS Item,Lily Brand Camp</t>
        </is>
      </c>
      <c r="G818" s="48" t="n">
        <v>0</v>
      </c>
      <c r="H818" s="49" t="n">
        <v>0</v>
      </c>
      <c r="I818" s="49" t="n">
        <v>0</v>
      </c>
      <c r="J818" s="50" t="n">
        <v>0</v>
      </c>
      <c r="K818" s="51" t="n">
        <v>0</v>
      </c>
      <c r="L818" s="52" t="n">
        <v>0</v>
      </c>
      <c r="M818" s="52" t="n">
        <v>0</v>
      </c>
      <c r="N818" s="52" t="n">
        <v>0</v>
      </c>
      <c r="O818" s="53" t="n">
        <v>0</v>
      </c>
      <c r="P818" s="52" t="n">
        <v>0</v>
      </c>
      <c r="Q818" s="53" t="n">
        <v>0</v>
      </c>
      <c r="R818" s="52" t="n">
        <v>0</v>
      </c>
      <c r="S818" s="51" t="n">
        <v>0</v>
      </c>
      <c r="T818" s="48" t="n">
        <v>0</v>
      </c>
      <c r="U818" s="49" t="n">
        <v>0</v>
      </c>
      <c r="V818" s="49" t="n">
        <v>0</v>
      </c>
      <c r="W818" s="50" t="n">
        <v>0</v>
      </c>
      <c r="X818" s="51" t="n">
        <v>0</v>
      </c>
      <c r="Y818" s="52" t="n">
        <v>0</v>
      </c>
      <c r="Z818" s="52" t="n">
        <v>0</v>
      </c>
      <c r="AA818" s="52" t="n">
        <v>0</v>
      </c>
      <c r="AB818" s="53" t="n">
        <v>0</v>
      </c>
      <c r="AC818" s="52" t="n">
        <v>0</v>
      </c>
      <c r="AD818" s="53" t="n">
        <v>0</v>
      </c>
      <c r="AE818" s="52" t="n">
        <v>0</v>
      </c>
      <c r="AF818" s="51" t="n">
        <v>0</v>
      </c>
      <c r="AG818" s="48" t="n">
        <v>0</v>
      </c>
      <c r="AH818" s="49" t="n">
        <v>0</v>
      </c>
      <c r="AI818" s="49" t="n">
        <v>0</v>
      </c>
      <c r="AJ818" s="50" t="n">
        <v>0</v>
      </c>
      <c r="AK818" s="51" t="n">
        <v>0</v>
      </c>
      <c r="AL818" s="52" t="n">
        <v>0</v>
      </c>
      <c r="AM818" s="52" t="n">
        <v>0</v>
      </c>
      <c r="AN818" s="52" t="n">
        <v>0</v>
      </c>
      <c r="AO818" s="53" t="n">
        <v>0</v>
      </c>
      <c r="AP818" s="52" t="n">
        <v>0</v>
      </c>
      <c r="AQ818" s="53" t="n">
        <v>0</v>
      </c>
      <c r="AR818" s="52" t="n">
        <v>0</v>
      </c>
      <c r="AS818" s="51" t="n">
        <v>0</v>
      </c>
      <c r="AT818" s="48" t="n">
        <v>0</v>
      </c>
      <c r="AU818" s="49" t="n">
        <v>0</v>
      </c>
      <c r="AV818" s="49" t="n">
        <v>0</v>
      </c>
      <c r="AW818" s="50" t="n">
        <v>0</v>
      </c>
      <c r="AX818" s="51" t="n">
        <v>0</v>
      </c>
      <c r="AY818" s="52" t="n">
        <v>0</v>
      </c>
      <c r="AZ818" s="52" t="n">
        <v>0</v>
      </c>
      <c r="BA818" s="52" t="n">
        <v>0</v>
      </c>
      <c r="BB818" s="53" t="n">
        <v>0</v>
      </c>
      <c r="BC818" s="52" t="n">
        <v>0</v>
      </c>
      <c r="BD818" s="53" t="n">
        <v>0</v>
      </c>
      <c r="BE818" s="52" t="n">
        <v>0</v>
      </c>
      <c r="BF818" s="51" t="n">
        <v>0</v>
      </c>
    </row>
    <row r="819">
      <c r="A819">
        <f>HYPERLINK("https://www.walmart.com/ip/884723929", "884723929")</f>
        <v/>
      </c>
      <c r="B819" t="inlineStr">
        <is>
          <t>Catalonia Sherpa Throw Blanket 50" x 60", Micro Plush Mink Fleece</t>
        </is>
      </c>
      <c r="C819" t="inlineStr">
        <is>
          <t>1CTBF300LT</t>
        </is>
      </c>
      <c r="D819" t="inlineStr">
        <is>
          <t>Throws</t>
        </is>
      </c>
      <c r="E819" t="inlineStr">
        <is>
          <t>Catalonia</t>
        </is>
      </c>
      <c r="F819" t="inlineStr">
        <is>
          <t>Q2-Target,Optimized,WFS,Coupon_Discount,WFS Item</t>
        </is>
      </c>
      <c r="G819" s="48" t="n">
        <v>0</v>
      </c>
      <c r="H819" s="49" t="n">
        <v>0</v>
      </c>
      <c r="I819" s="49" t="n">
        <v>0</v>
      </c>
      <c r="J819" s="50" t="n">
        <v>0</v>
      </c>
      <c r="K819" s="51" t="n">
        <v>0</v>
      </c>
      <c r="L819" s="52" t="n">
        <v>0</v>
      </c>
      <c r="M819" s="52" t="n">
        <v>0</v>
      </c>
      <c r="N819" s="52" t="n">
        <v>0</v>
      </c>
      <c r="O819" s="53" t="n">
        <v>0</v>
      </c>
      <c r="P819" s="52" t="n">
        <v>0</v>
      </c>
      <c r="Q819" s="53" t="n">
        <v>0</v>
      </c>
      <c r="R819" s="52" t="n">
        <v>0</v>
      </c>
      <c r="S819" s="51" t="n">
        <v>0</v>
      </c>
      <c r="T819" s="48" t="n">
        <v>0</v>
      </c>
      <c r="U819" s="49" t="n">
        <v>0</v>
      </c>
      <c r="V819" s="49" t="n">
        <v>0</v>
      </c>
      <c r="W819" s="50" t="n">
        <v>0</v>
      </c>
      <c r="X819" s="51" t="n">
        <v>0</v>
      </c>
      <c r="Y819" s="52" t="n">
        <v>0</v>
      </c>
      <c r="Z819" s="52" t="n">
        <v>0</v>
      </c>
      <c r="AA819" s="52" t="n">
        <v>0</v>
      </c>
      <c r="AB819" s="53" t="n">
        <v>0</v>
      </c>
      <c r="AC819" s="52" t="n">
        <v>0</v>
      </c>
      <c r="AD819" s="53" t="n">
        <v>0</v>
      </c>
      <c r="AE819" s="52" t="n">
        <v>0</v>
      </c>
      <c r="AF819" s="51" t="n">
        <v>0</v>
      </c>
      <c r="AG819" s="48" t="n">
        <v>0</v>
      </c>
      <c r="AH819" s="49" t="n">
        <v>0</v>
      </c>
      <c r="AI819" s="49" t="n">
        <v>0</v>
      </c>
      <c r="AJ819" s="50" t="n">
        <v>0</v>
      </c>
      <c r="AK819" s="51" t="n">
        <v>0</v>
      </c>
      <c r="AL819" s="52" t="n">
        <v>0</v>
      </c>
      <c r="AM819" s="52" t="n">
        <v>0</v>
      </c>
      <c r="AN819" s="52" t="n">
        <v>0</v>
      </c>
      <c r="AO819" s="53" t="n">
        <v>0</v>
      </c>
      <c r="AP819" s="52" t="n">
        <v>0</v>
      </c>
      <c r="AQ819" s="53" t="n">
        <v>0</v>
      </c>
      <c r="AR819" s="52" t="n">
        <v>0</v>
      </c>
      <c r="AS819" s="51" t="n">
        <v>0</v>
      </c>
      <c r="AT819" s="48" t="n">
        <v>0</v>
      </c>
      <c r="AU819" s="49" t="n">
        <v>0</v>
      </c>
      <c r="AV819" s="49" t="n">
        <v>0</v>
      </c>
      <c r="AW819" s="50" t="n">
        <v>0</v>
      </c>
      <c r="AX819" s="51" t="n">
        <v>0</v>
      </c>
      <c r="AY819" s="52" t="n">
        <v>0</v>
      </c>
      <c r="AZ819" s="52" t="n">
        <v>0</v>
      </c>
      <c r="BA819" s="52" t="n">
        <v>0</v>
      </c>
      <c r="BB819" s="53" t="n">
        <v>0</v>
      </c>
      <c r="BC819" s="52" t="n">
        <v>0</v>
      </c>
      <c r="BD819" s="53" t="n">
        <v>0</v>
      </c>
      <c r="BE819" s="52" t="n">
        <v>0</v>
      </c>
      <c r="BF819" s="51" t="n">
        <v>0</v>
      </c>
    </row>
    <row r="820">
      <c r="A820">
        <f>HYPERLINK("https://www.walmart.com/ip/885137160", "885137160")</f>
        <v/>
      </c>
      <c r="B820" t="inlineStr">
        <is>
          <t>Tirrinia Insulated Wine Tumbler Set, 2 Pack, Silver</t>
        </is>
      </c>
      <c r="C820" t="inlineStr">
        <is>
          <t>1TRWT120SL-2PK</t>
        </is>
      </c>
      <c r="D820" t="inlineStr">
        <is>
          <t>Tumblers</t>
        </is>
      </c>
      <c r="E820" t="inlineStr">
        <is>
          <t>Tirrinia</t>
        </is>
      </c>
      <c r="F820" t="inlineStr">
        <is>
          <t>Wine,Christmas,Optimized,WFS,Wine WFS,Valentine,WFS Item</t>
        </is>
      </c>
      <c r="G820" s="48" t="n">
        <v>0</v>
      </c>
      <c r="H820" s="49" t="n">
        <v>0</v>
      </c>
      <c r="I820" s="49" t="n">
        <v>0</v>
      </c>
      <c r="J820" s="50" t="n">
        <v>0</v>
      </c>
      <c r="K820" s="51" t="n">
        <v>0</v>
      </c>
      <c r="L820" s="52" t="n">
        <v>0</v>
      </c>
      <c r="M820" s="52" t="n">
        <v>0</v>
      </c>
      <c r="N820" s="52" t="n">
        <v>0</v>
      </c>
      <c r="O820" s="53" t="n">
        <v>0</v>
      </c>
      <c r="P820" s="52" t="n">
        <v>0</v>
      </c>
      <c r="Q820" s="53" t="n">
        <v>0</v>
      </c>
      <c r="R820" s="52" t="n">
        <v>0</v>
      </c>
      <c r="S820" s="51" t="n">
        <v>0</v>
      </c>
      <c r="T820" s="48" t="n">
        <v>0</v>
      </c>
      <c r="U820" s="49" t="n">
        <v>0</v>
      </c>
      <c r="V820" s="49" t="n">
        <v>0</v>
      </c>
      <c r="W820" s="50" t="n">
        <v>0</v>
      </c>
      <c r="X820" s="51" t="n">
        <v>0</v>
      </c>
      <c r="Y820" s="52" t="n">
        <v>0</v>
      </c>
      <c r="Z820" s="52" t="n">
        <v>0</v>
      </c>
      <c r="AA820" s="52" t="n">
        <v>0</v>
      </c>
      <c r="AB820" s="53" t="n">
        <v>0</v>
      </c>
      <c r="AC820" s="52" t="n">
        <v>0</v>
      </c>
      <c r="AD820" s="53" t="n">
        <v>0</v>
      </c>
      <c r="AE820" s="52" t="n">
        <v>0</v>
      </c>
      <c r="AF820" s="51" t="n">
        <v>0</v>
      </c>
      <c r="AG820" s="48" t="n">
        <v>0</v>
      </c>
      <c r="AH820" s="49" t="n">
        <v>0</v>
      </c>
      <c r="AI820" s="49" t="n">
        <v>0</v>
      </c>
      <c r="AJ820" s="50" t="n">
        <v>0</v>
      </c>
      <c r="AK820" s="51" t="n">
        <v>0</v>
      </c>
      <c r="AL820" s="52" t="n">
        <v>0</v>
      </c>
      <c r="AM820" s="52" t="n">
        <v>0</v>
      </c>
      <c r="AN820" s="52" t="n">
        <v>0</v>
      </c>
      <c r="AO820" s="53" t="n">
        <v>0</v>
      </c>
      <c r="AP820" s="52" t="n">
        <v>0</v>
      </c>
      <c r="AQ820" s="53" t="n">
        <v>0</v>
      </c>
      <c r="AR820" s="52" t="n">
        <v>0</v>
      </c>
      <c r="AS820" s="51" t="n">
        <v>0</v>
      </c>
      <c r="AT820" s="48" t="n">
        <v>0</v>
      </c>
      <c r="AU820" s="49" t="n">
        <v>0</v>
      </c>
      <c r="AV820" s="49" t="n">
        <v>0</v>
      </c>
      <c r="AW820" s="50" t="n">
        <v>0</v>
      </c>
      <c r="AX820" s="51" t="n">
        <v>0</v>
      </c>
      <c r="AY820" s="52" t="n">
        <v>0</v>
      </c>
      <c r="AZ820" s="52" t="n">
        <v>0</v>
      </c>
      <c r="BA820" s="52" t="n">
        <v>0</v>
      </c>
      <c r="BB820" s="53" t="n">
        <v>0</v>
      </c>
      <c r="BC820" s="52" t="n">
        <v>0</v>
      </c>
      <c r="BD820" s="53" t="n">
        <v>0</v>
      </c>
      <c r="BE820" s="52" t="n">
        <v>0</v>
      </c>
      <c r="BF820" s="51" t="n">
        <v>0</v>
      </c>
    </row>
    <row r="821">
      <c r="A821">
        <f>HYPERLINK("https://www.walmart.com/ip/885342309", "885342309")</f>
        <v/>
      </c>
      <c r="B821" t="inlineStr">
        <is>
          <t>Microplush Sherpa Blanket with Sleeves for Women and Men Grey</t>
        </is>
      </c>
      <c r="C821" t="inlineStr">
        <is>
          <t>1TNSN110GY-TPB</t>
        </is>
      </c>
      <c r="D821" t="inlineStr">
        <is>
          <t>Throws</t>
        </is>
      </c>
      <c r="E821" t="inlineStr">
        <is>
          <t>Terrania</t>
        </is>
      </c>
      <c r="G821" s="48" t="n">
        <v>0</v>
      </c>
      <c r="H821" s="49" t="n">
        <v>0</v>
      </c>
      <c r="I821" s="49" t="n">
        <v>0</v>
      </c>
      <c r="J821" s="50" t="n">
        <v>0</v>
      </c>
      <c r="K821" s="51" t="n">
        <v>0</v>
      </c>
      <c r="L821" s="52" t="n">
        <v>0</v>
      </c>
      <c r="M821" s="52" t="n">
        <v>0</v>
      </c>
      <c r="N821" s="52" t="n">
        <v>0</v>
      </c>
      <c r="O821" s="53" t="n">
        <v>0</v>
      </c>
      <c r="P821" s="52" t="n">
        <v>0</v>
      </c>
      <c r="Q821" s="53" t="n">
        <v>0</v>
      </c>
      <c r="R821" s="52" t="n">
        <v>0</v>
      </c>
      <c r="S821" s="51" t="n">
        <v>0</v>
      </c>
      <c r="T821" s="48" t="n">
        <v>0</v>
      </c>
      <c r="U821" s="49" t="n">
        <v>0</v>
      </c>
      <c r="V821" s="49" t="n">
        <v>0</v>
      </c>
      <c r="W821" s="50" t="n">
        <v>0</v>
      </c>
      <c r="X821" s="51" t="n">
        <v>0</v>
      </c>
      <c r="Y821" s="52" t="n">
        <v>0</v>
      </c>
      <c r="Z821" s="52" t="n">
        <v>0</v>
      </c>
      <c r="AA821" s="52" t="n">
        <v>0</v>
      </c>
      <c r="AB821" s="53" t="n">
        <v>0</v>
      </c>
      <c r="AC821" s="52" t="n">
        <v>0</v>
      </c>
      <c r="AD821" s="53" t="n">
        <v>0</v>
      </c>
      <c r="AE821" s="52" t="n">
        <v>0</v>
      </c>
      <c r="AF821" s="51" t="n">
        <v>0</v>
      </c>
      <c r="AG821" s="48" t="n">
        <v>0</v>
      </c>
      <c r="AH821" s="49" t="n">
        <v>0</v>
      </c>
      <c r="AI821" s="49" t="n">
        <v>0</v>
      </c>
      <c r="AJ821" s="50" t="n">
        <v>0</v>
      </c>
      <c r="AK821" s="51" t="n">
        <v>0</v>
      </c>
      <c r="AL821" s="52" t="n">
        <v>0</v>
      </c>
      <c r="AM821" s="52" t="n">
        <v>0</v>
      </c>
      <c r="AN821" s="52" t="n">
        <v>0</v>
      </c>
      <c r="AO821" s="53" t="n">
        <v>0</v>
      </c>
      <c r="AP821" s="52" t="n">
        <v>0</v>
      </c>
      <c r="AQ821" s="53" t="n">
        <v>0</v>
      </c>
      <c r="AR821" s="52" t="n">
        <v>0</v>
      </c>
      <c r="AS821" s="51" t="n">
        <v>0</v>
      </c>
      <c r="AT821" s="48" t="n">
        <v>0</v>
      </c>
      <c r="AU821" s="49" t="n">
        <v>0</v>
      </c>
      <c r="AV821" s="49" t="n">
        <v>0</v>
      </c>
      <c r="AW821" s="50" t="n">
        <v>0</v>
      </c>
      <c r="AX821" s="51" t="n">
        <v>0</v>
      </c>
      <c r="AY821" s="52" t="n">
        <v>0</v>
      </c>
      <c r="AZ821" s="52" t="n">
        <v>0</v>
      </c>
      <c r="BA821" s="52" t="n">
        <v>0</v>
      </c>
      <c r="BB821" s="53" t="n">
        <v>0</v>
      </c>
      <c r="BC821" s="52" t="n">
        <v>0</v>
      </c>
      <c r="BD821" s="53" t="n">
        <v>0</v>
      </c>
      <c r="BE821" s="52" t="n">
        <v>0</v>
      </c>
      <c r="BF821" s="51" t="n">
        <v>0</v>
      </c>
    </row>
    <row r="822">
      <c r="A822">
        <f>HYPERLINK("https://www.walmart.com/ip/885770103", "885770103")</f>
        <v/>
      </c>
      <c r="B822" t="inlineStr">
        <is>
          <t>Extra Large Lunch Bag - 13L/ 22 Can, Insulated &amp; Leakproof Adult Reusable Meal Prep Bento Box Cooler Tote for Men &amp; Women with Dual Compartment, Canvas Blue</t>
        </is>
      </c>
      <c r="C822" t="inlineStr">
        <is>
          <t>1KTLB410BL-6D</t>
        </is>
      </c>
      <c r="D822" t="inlineStr">
        <is>
          <t>Reusable Lunch Bags &amp; Boxes</t>
        </is>
      </c>
      <c r="E822" t="inlineStr">
        <is>
          <t>Tirrinia</t>
        </is>
      </c>
      <c r="F822" t="inlineStr">
        <is>
          <t>Q2-Target,Brand Camp VD,Lunch Bag,WFS,Lunch Bags,SEM,WFS Item</t>
        </is>
      </c>
      <c r="G822" s="48" t="n">
        <v>0</v>
      </c>
      <c r="H822" s="49" t="n">
        <v>0</v>
      </c>
      <c r="I822" s="49" t="n">
        <v>0</v>
      </c>
      <c r="J822" s="50" t="n">
        <v>0</v>
      </c>
      <c r="K822" s="51" t="n">
        <v>0</v>
      </c>
      <c r="L822" s="52" t="n">
        <v>0</v>
      </c>
      <c r="M822" s="52" t="n">
        <v>0</v>
      </c>
      <c r="N822" s="52" t="n">
        <v>0</v>
      </c>
      <c r="O822" s="53" t="n">
        <v>0</v>
      </c>
      <c r="P822" s="52" t="n">
        <v>0</v>
      </c>
      <c r="Q822" s="53" t="n">
        <v>0</v>
      </c>
      <c r="R822" s="52" t="n">
        <v>0</v>
      </c>
      <c r="S822" s="51" t="n">
        <v>0</v>
      </c>
      <c r="T822" s="48" t="n">
        <v>0</v>
      </c>
      <c r="U822" s="49" t="n">
        <v>0</v>
      </c>
      <c r="V822" s="49" t="n">
        <v>0</v>
      </c>
      <c r="W822" s="50" t="n">
        <v>0</v>
      </c>
      <c r="X822" s="51" t="n">
        <v>0</v>
      </c>
      <c r="Y822" s="52" t="n">
        <v>0</v>
      </c>
      <c r="Z822" s="52" t="n">
        <v>0</v>
      </c>
      <c r="AA822" s="52" t="n">
        <v>0</v>
      </c>
      <c r="AB822" s="53" t="n">
        <v>0</v>
      </c>
      <c r="AC822" s="52" t="n">
        <v>0</v>
      </c>
      <c r="AD822" s="53" t="n">
        <v>0</v>
      </c>
      <c r="AE822" s="52" t="n">
        <v>0</v>
      </c>
      <c r="AF822" s="51" t="n">
        <v>0</v>
      </c>
      <c r="AG822" s="48" t="n">
        <v>0</v>
      </c>
      <c r="AH822" s="49" t="n">
        <v>0</v>
      </c>
      <c r="AI822" s="49" t="n">
        <v>0</v>
      </c>
      <c r="AJ822" s="50" t="n">
        <v>0</v>
      </c>
      <c r="AK822" s="51" t="n">
        <v>0</v>
      </c>
      <c r="AL822" s="52" t="n">
        <v>0</v>
      </c>
      <c r="AM822" s="52" t="n">
        <v>0</v>
      </c>
      <c r="AN822" s="52" t="n">
        <v>0</v>
      </c>
      <c r="AO822" s="53" t="n">
        <v>0</v>
      </c>
      <c r="AP822" s="52" t="n">
        <v>0</v>
      </c>
      <c r="AQ822" s="53" t="n">
        <v>0</v>
      </c>
      <c r="AR822" s="52" t="n">
        <v>0</v>
      </c>
      <c r="AS822" s="51" t="n">
        <v>0</v>
      </c>
      <c r="AT822" s="48" t="n">
        <v>0</v>
      </c>
      <c r="AU822" s="49" t="n">
        <v>0</v>
      </c>
      <c r="AV822" s="49" t="n">
        <v>0</v>
      </c>
      <c r="AW822" s="50" t="n">
        <v>0</v>
      </c>
      <c r="AX822" s="51" t="n">
        <v>0</v>
      </c>
      <c r="AY822" s="52" t="n">
        <v>0</v>
      </c>
      <c r="AZ822" s="52" t="n">
        <v>0</v>
      </c>
      <c r="BA822" s="52" t="n">
        <v>0</v>
      </c>
      <c r="BB822" s="53" t="n">
        <v>0</v>
      </c>
      <c r="BC822" s="52" t="n">
        <v>0</v>
      </c>
      <c r="BD822" s="53" t="n">
        <v>0</v>
      </c>
      <c r="BE822" s="52" t="n">
        <v>0</v>
      </c>
      <c r="BF822" s="51" t="n">
        <v>0</v>
      </c>
    </row>
    <row r="823">
      <c r="A823">
        <f>HYPERLINK("https://www.walmart.com/ip/886441152", "886441152")</f>
        <v/>
      </c>
      <c r="B823" t="inlineStr">
        <is>
          <t>Sun Blocker Unisex Sun Hat with Neck Flap Wide Brim Outdoor Camping Hiking Hunting Fishing Cap for Men Women, Tan</t>
        </is>
      </c>
      <c r="C823" t="inlineStr">
        <is>
          <t>KC-S9152-TN</t>
        </is>
      </c>
      <c r="D823" t="inlineStr">
        <is>
          <t>Hats</t>
        </is>
      </c>
      <c r="E823" t="inlineStr">
        <is>
          <t>Tirrinia</t>
        </is>
      </c>
      <c r="F823" t="inlineStr">
        <is>
          <t>Q2-Target,WFS,Hats,WFS Item</t>
        </is>
      </c>
      <c r="G823" s="48" t="n">
        <v>0</v>
      </c>
      <c r="H823" s="49" t="n">
        <v>0</v>
      </c>
      <c r="I823" s="49" t="n">
        <v>0</v>
      </c>
      <c r="J823" s="50" t="n">
        <v>0</v>
      </c>
      <c r="K823" s="51" t="n">
        <v>0</v>
      </c>
      <c r="L823" s="52" t="n">
        <v>0</v>
      </c>
      <c r="M823" s="52" t="n">
        <v>0</v>
      </c>
      <c r="N823" s="52" t="n">
        <v>0</v>
      </c>
      <c r="O823" s="53" t="n">
        <v>0</v>
      </c>
      <c r="P823" s="52" t="n">
        <v>0</v>
      </c>
      <c r="Q823" s="53" t="n">
        <v>0</v>
      </c>
      <c r="R823" s="52" t="n">
        <v>0</v>
      </c>
      <c r="S823" s="51" t="n">
        <v>0</v>
      </c>
      <c r="T823" s="48" t="n">
        <v>47.97</v>
      </c>
      <c r="U823" s="49" t="n">
        <v>3</v>
      </c>
      <c r="V823" s="49" t="n">
        <v>0</v>
      </c>
      <c r="W823" s="50" t="n">
        <v>0</v>
      </c>
      <c r="X823" s="51" t="n">
        <v>0</v>
      </c>
      <c r="Y823" s="52" t="n">
        <v>0</v>
      </c>
      <c r="Z823" s="52" t="n">
        <v>0</v>
      </c>
      <c r="AA823" s="52" t="n">
        <v>0</v>
      </c>
      <c r="AB823" s="53" t="n">
        <v>0</v>
      </c>
      <c r="AC823" s="52" t="n">
        <v>0</v>
      </c>
      <c r="AD823" s="53" t="n">
        <v>0</v>
      </c>
      <c r="AE823" s="52" t="n">
        <v>15.99</v>
      </c>
      <c r="AF823" s="51" t="n">
        <v>0</v>
      </c>
      <c r="AG823" s="48" t="n">
        <v>0</v>
      </c>
      <c r="AH823" s="49" t="n">
        <v>0</v>
      </c>
      <c r="AI823" s="49" t="n">
        <v>0</v>
      </c>
      <c r="AJ823" s="50" t="n">
        <v>0</v>
      </c>
      <c r="AK823" s="51" t="n">
        <v>0</v>
      </c>
      <c r="AL823" s="52" t="n">
        <v>0</v>
      </c>
      <c r="AM823" s="52" t="n">
        <v>0</v>
      </c>
      <c r="AN823" s="52" t="n">
        <v>0</v>
      </c>
      <c r="AO823" s="53" t="n">
        <v>0</v>
      </c>
      <c r="AP823" s="52" t="n">
        <v>0</v>
      </c>
      <c r="AQ823" s="53" t="n">
        <v>0</v>
      </c>
      <c r="AR823" s="52" t="n">
        <v>0</v>
      </c>
      <c r="AS823" s="51" t="n">
        <v>0</v>
      </c>
      <c r="AT823" s="48" t="n">
        <v>0</v>
      </c>
      <c r="AU823" s="49" t="n">
        <v>0</v>
      </c>
      <c r="AV823" s="49" t="n">
        <v>1</v>
      </c>
      <c r="AW823" s="50" t="n">
        <v>0</v>
      </c>
      <c r="AX823" s="51" t="n">
        <v>0</v>
      </c>
      <c r="AY823" s="52" t="n">
        <v>0</v>
      </c>
      <c r="AZ823" s="52" t="n">
        <v>0</v>
      </c>
      <c r="BA823" s="52" t="n">
        <v>0</v>
      </c>
      <c r="BB823" s="53" t="n">
        <v>0</v>
      </c>
      <c r="BC823" s="52" t="n">
        <v>0</v>
      </c>
      <c r="BD823" s="53" t="n">
        <v>0</v>
      </c>
      <c r="BE823" s="52" t="n">
        <v>0</v>
      </c>
      <c r="BF823" s="51" t="n">
        <v>0</v>
      </c>
    </row>
    <row r="824">
      <c r="A824">
        <f>HYPERLINK("https://www.walmart.com/ip/887251114", "887251114")</f>
        <v/>
      </c>
      <c r="B824" t="inlineStr">
        <is>
          <t>Flyingstar Waterproof Camping Blanket, Wearable Windproof Hooded Blanket Poncho for Sports Stadium, Camping, Beach, Picnic, Car or Pet Friendly Use, Green&amp;Black</t>
        </is>
      </c>
      <c r="C824" t="inlineStr">
        <is>
          <t>1WMBC200GNBK</t>
        </is>
      </c>
      <c r="D824" t="inlineStr">
        <is>
          <t>Picnic Blankets &amp; Mats</t>
        </is>
      </c>
      <c r="E824" t="inlineStr">
        <is>
          <t>Flyingstar</t>
        </is>
      </c>
      <c r="F824" t="inlineStr">
        <is>
          <t>Optimized,SEM</t>
        </is>
      </c>
      <c r="G824" s="48" t="n">
        <v>0</v>
      </c>
      <c r="H824" s="49" t="n">
        <v>0</v>
      </c>
      <c r="I824" s="49" t="n">
        <v>0</v>
      </c>
      <c r="J824" s="50" t="n">
        <v>0</v>
      </c>
      <c r="K824" s="51" t="n">
        <v>0</v>
      </c>
      <c r="L824" s="52" t="n">
        <v>0</v>
      </c>
      <c r="M824" s="52" t="n">
        <v>0</v>
      </c>
      <c r="N824" s="52" t="n">
        <v>0</v>
      </c>
      <c r="O824" s="53" t="n">
        <v>0</v>
      </c>
      <c r="P824" s="52" t="n">
        <v>0</v>
      </c>
      <c r="Q824" s="53" t="n">
        <v>0</v>
      </c>
      <c r="R824" s="52" t="n">
        <v>0</v>
      </c>
      <c r="S824" s="51" t="n">
        <v>0</v>
      </c>
      <c r="T824" s="48" t="n">
        <v>0</v>
      </c>
      <c r="U824" s="49" t="n">
        <v>0</v>
      </c>
      <c r="V824" s="49" t="n">
        <v>0</v>
      </c>
      <c r="W824" s="50" t="n">
        <v>0</v>
      </c>
      <c r="X824" s="51" t="n">
        <v>0</v>
      </c>
      <c r="Y824" s="52" t="n">
        <v>0</v>
      </c>
      <c r="Z824" s="52" t="n">
        <v>0</v>
      </c>
      <c r="AA824" s="52" t="n">
        <v>0</v>
      </c>
      <c r="AB824" s="53" t="n">
        <v>0</v>
      </c>
      <c r="AC824" s="52" t="n">
        <v>0</v>
      </c>
      <c r="AD824" s="53" t="n">
        <v>0</v>
      </c>
      <c r="AE824" s="52" t="n">
        <v>0</v>
      </c>
      <c r="AF824" s="51" t="n">
        <v>0</v>
      </c>
      <c r="AG824" s="48" t="n">
        <v>0</v>
      </c>
      <c r="AH824" s="49" t="n">
        <v>0</v>
      </c>
      <c r="AI824" s="49" t="n">
        <v>0</v>
      </c>
      <c r="AJ824" s="50" t="n">
        <v>0</v>
      </c>
      <c r="AK824" s="51" t="n">
        <v>0</v>
      </c>
      <c r="AL824" s="52" t="n">
        <v>0</v>
      </c>
      <c r="AM824" s="52" t="n">
        <v>0</v>
      </c>
      <c r="AN824" s="52" t="n">
        <v>0</v>
      </c>
      <c r="AO824" s="53" t="n">
        <v>0</v>
      </c>
      <c r="AP824" s="52" t="n">
        <v>0</v>
      </c>
      <c r="AQ824" s="53" t="n">
        <v>0</v>
      </c>
      <c r="AR824" s="52" t="n">
        <v>0</v>
      </c>
      <c r="AS824" s="51" t="n">
        <v>0</v>
      </c>
      <c r="AT824" s="48" t="n">
        <v>0</v>
      </c>
      <c r="AU824" s="49" t="n">
        <v>0</v>
      </c>
      <c r="AV824" s="49" t="n">
        <v>0</v>
      </c>
      <c r="AW824" s="50" t="n">
        <v>0</v>
      </c>
      <c r="AX824" s="51" t="n">
        <v>0</v>
      </c>
      <c r="AY824" s="52" t="n">
        <v>0</v>
      </c>
      <c r="AZ824" s="52" t="n">
        <v>0</v>
      </c>
      <c r="BA824" s="52" t="n">
        <v>0</v>
      </c>
      <c r="BB824" s="53" t="n">
        <v>0</v>
      </c>
      <c r="BC824" s="52" t="n">
        <v>0</v>
      </c>
      <c r="BD824" s="53" t="n">
        <v>0</v>
      </c>
      <c r="BE824" s="52" t="n">
        <v>0</v>
      </c>
      <c r="BF824" s="51" t="n">
        <v>0</v>
      </c>
    </row>
    <row r="825">
      <c r="A825">
        <f>HYPERLINK("https://www.walmart.com/ip/887328241", "887328241")</f>
        <v/>
      </c>
      <c r="B825" t="inlineStr">
        <is>
          <t>Sherpa Fleece Throw Blanket for Kids,Super Soft Light Weight Reversible Fuzzy Snuggle Blanket for Camping Couch Bed All Season 50”x 60”</t>
        </is>
      </c>
      <c r="C825" t="inlineStr">
        <is>
          <t>1CTBF566BL</t>
        </is>
      </c>
      <c r="D825" t="inlineStr">
        <is>
          <t>Throws</t>
        </is>
      </c>
      <c r="E825" t="inlineStr">
        <is>
          <t>Catalonia</t>
        </is>
      </c>
      <c r="F825" t="inlineStr">
        <is>
          <t>WFS,WFS Item</t>
        </is>
      </c>
      <c r="G825" s="48" t="n">
        <v>0</v>
      </c>
      <c r="H825" s="49" t="n">
        <v>0</v>
      </c>
      <c r="I825" s="49" t="n">
        <v>0</v>
      </c>
      <c r="J825" s="50" t="n">
        <v>0</v>
      </c>
      <c r="K825" s="51" t="n">
        <v>0</v>
      </c>
      <c r="L825" s="52" t="n">
        <v>0</v>
      </c>
      <c r="M825" s="52" t="n">
        <v>0</v>
      </c>
      <c r="N825" s="52" t="n">
        <v>0</v>
      </c>
      <c r="O825" s="53" t="n">
        <v>0</v>
      </c>
      <c r="P825" s="52" t="n">
        <v>0</v>
      </c>
      <c r="Q825" s="53" t="n">
        <v>0</v>
      </c>
      <c r="R825" s="52" t="n">
        <v>0</v>
      </c>
      <c r="S825" s="51" t="n">
        <v>0</v>
      </c>
      <c r="T825" s="48" t="n">
        <v>0</v>
      </c>
      <c r="U825" s="49" t="n">
        <v>0</v>
      </c>
      <c r="V825" s="49" t="n">
        <v>0</v>
      </c>
      <c r="W825" s="50" t="n">
        <v>0</v>
      </c>
      <c r="X825" s="51" t="n">
        <v>0</v>
      </c>
      <c r="Y825" s="52" t="n">
        <v>0</v>
      </c>
      <c r="Z825" s="52" t="n">
        <v>0</v>
      </c>
      <c r="AA825" s="52" t="n">
        <v>0</v>
      </c>
      <c r="AB825" s="53" t="n">
        <v>0</v>
      </c>
      <c r="AC825" s="52" t="n">
        <v>0</v>
      </c>
      <c r="AD825" s="53" t="n">
        <v>0</v>
      </c>
      <c r="AE825" s="52" t="n">
        <v>0</v>
      </c>
      <c r="AF825" s="51" t="n">
        <v>0</v>
      </c>
      <c r="AG825" s="48" t="n">
        <v>0</v>
      </c>
      <c r="AH825" s="49" t="n">
        <v>0</v>
      </c>
      <c r="AI825" s="49" t="n">
        <v>0</v>
      </c>
      <c r="AJ825" s="50" t="n">
        <v>0</v>
      </c>
      <c r="AK825" s="51" t="n">
        <v>0</v>
      </c>
      <c r="AL825" s="52" t="n">
        <v>0</v>
      </c>
      <c r="AM825" s="52" t="n">
        <v>0</v>
      </c>
      <c r="AN825" s="52" t="n">
        <v>0</v>
      </c>
      <c r="AO825" s="53" t="n">
        <v>0</v>
      </c>
      <c r="AP825" s="52" t="n">
        <v>0</v>
      </c>
      <c r="AQ825" s="53" t="n">
        <v>0</v>
      </c>
      <c r="AR825" s="52" t="n">
        <v>0</v>
      </c>
      <c r="AS825" s="51" t="n">
        <v>0</v>
      </c>
      <c r="AT825" s="48" t="n">
        <v>0</v>
      </c>
      <c r="AU825" s="49" t="n">
        <v>0</v>
      </c>
      <c r="AV825" s="49" t="n">
        <v>0</v>
      </c>
      <c r="AW825" s="50" t="n">
        <v>0</v>
      </c>
      <c r="AX825" s="51" t="n">
        <v>0</v>
      </c>
      <c r="AY825" s="52" t="n">
        <v>0</v>
      </c>
      <c r="AZ825" s="52" t="n">
        <v>0</v>
      </c>
      <c r="BA825" s="52" t="n">
        <v>0</v>
      </c>
      <c r="BB825" s="53" t="n">
        <v>0</v>
      </c>
      <c r="BC825" s="52" t="n">
        <v>0</v>
      </c>
      <c r="BD825" s="53" t="n">
        <v>0</v>
      </c>
      <c r="BE825" s="52" t="n">
        <v>0</v>
      </c>
      <c r="BF825" s="51" t="n">
        <v>0</v>
      </c>
    </row>
    <row r="826">
      <c r="A826">
        <f>HYPERLINK("https://www.walmart.com/ip/888252893", "888252893")</f>
        <v/>
      </c>
      <c r="B826" t="inlineStr">
        <is>
          <t>FlyingStar Waterproof Outdoor Blanket with Sherpa Lining, Windproof Triple Layers Warm Comfy Foldable for Camping Stadium, Sports, Picnic, Grass, Concerts and Pet, Black/Grey,  51''X 59''</t>
        </is>
      </c>
      <c r="C826" t="inlineStr">
        <is>
          <t>1WMBW506BKGY</t>
        </is>
      </c>
      <c r="D826" t="inlineStr">
        <is>
          <t>Picnic Blankets &amp; Mats</t>
        </is>
      </c>
      <c r="E826" t="inlineStr">
        <is>
          <t>Flyingstar</t>
        </is>
      </c>
      <c r="F826" t="inlineStr">
        <is>
          <t>Q2-Target,Optimized,SEM</t>
        </is>
      </c>
      <c r="G826" s="48" t="n">
        <v>0</v>
      </c>
      <c r="H826" s="49" t="n">
        <v>0</v>
      </c>
      <c r="I826" s="49" t="n">
        <v>33</v>
      </c>
      <c r="J826" s="50" t="n">
        <v>0</v>
      </c>
      <c r="K826" s="51" t="n">
        <v>8</v>
      </c>
      <c r="L826" s="52" t="n">
        <v>1.67</v>
      </c>
      <c r="M826" s="52" t="n">
        <v>0</v>
      </c>
      <c r="N826" s="52" t="n">
        <v>0</v>
      </c>
      <c r="O826" s="53" t="n">
        <v>0.0007</v>
      </c>
      <c r="P826" s="52" t="n">
        <v>0.20875</v>
      </c>
      <c r="Q826" s="53" t="n">
        <v>0</v>
      </c>
      <c r="R826" s="52" t="n">
        <v>0</v>
      </c>
      <c r="S826" s="51" t="n">
        <v>12116</v>
      </c>
      <c r="T826" s="48" t="n">
        <v>36.98</v>
      </c>
      <c r="U826" s="49" t="n">
        <v>1</v>
      </c>
      <c r="V826" s="49" t="n">
        <v>42</v>
      </c>
      <c r="W826" s="50" t="n">
        <v>0.02380952380952381</v>
      </c>
      <c r="X826" s="51" t="n">
        <v>12</v>
      </c>
      <c r="Y826" s="52" t="n">
        <v>2.46</v>
      </c>
      <c r="Z826" s="52" t="n">
        <v>39.99</v>
      </c>
      <c r="AA826" s="52" t="n">
        <v>16.26</v>
      </c>
      <c r="AB826" s="53" t="n">
        <v>0.0008</v>
      </c>
      <c r="AC826" s="52" t="n">
        <v>0.205</v>
      </c>
      <c r="AD826" s="53" t="n">
        <v>0.06652244456462954</v>
      </c>
      <c r="AE826" s="52" t="n">
        <v>36.98</v>
      </c>
      <c r="AF826" s="51" t="n">
        <v>14507</v>
      </c>
      <c r="AG826" s="48" t="n">
        <v>0</v>
      </c>
      <c r="AH826" s="49" t="n">
        <v>0</v>
      </c>
      <c r="AI826" s="49" t="n">
        <v>43</v>
      </c>
      <c r="AJ826" s="50" t="n">
        <v>0</v>
      </c>
      <c r="AK826" s="51" t="n">
        <v>12</v>
      </c>
      <c r="AL826" s="52" t="n">
        <v>2.5</v>
      </c>
      <c r="AM826" s="52" t="n">
        <v>0</v>
      </c>
      <c r="AN826" s="52" t="n">
        <v>0</v>
      </c>
      <c r="AO826" s="53" t="n">
        <v>0.0011</v>
      </c>
      <c r="AP826" s="52" t="n">
        <v>0.2083333333333333</v>
      </c>
      <c r="AQ826" s="53" t="n">
        <v>0</v>
      </c>
      <c r="AR826" s="52" t="n">
        <v>0</v>
      </c>
      <c r="AS826" s="51" t="n">
        <v>11071</v>
      </c>
      <c r="AT826" s="48" t="n">
        <v>0</v>
      </c>
      <c r="AU826" s="49" t="n">
        <v>0</v>
      </c>
      <c r="AV826" s="49" t="n">
        <v>49</v>
      </c>
      <c r="AW826" s="50" t="n">
        <v>0</v>
      </c>
      <c r="AX826" s="51" t="n">
        <v>23</v>
      </c>
      <c r="AY826" s="52" t="n">
        <v>4.78</v>
      </c>
      <c r="AZ826" s="52" t="n">
        <v>0</v>
      </c>
      <c r="BA826" s="52" t="n">
        <v>0</v>
      </c>
      <c r="BB826" s="53" t="n">
        <v>0.002</v>
      </c>
      <c r="BC826" s="52" t="n">
        <v>0.2078260869565217</v>
      </c>
      <c r="BD826" s="53" t="n">
        <v>0</v>
      </c>
      <c r="BE826" s="52" t="n">
        <v>0</v>
      </c>
      <c r="BF826" s="51" t="n">
        <v>11256</v>
      </c>
    </row>
    <row r="827">
      <c r="A827">
        <f>HYPERLINK("https://www.walmart.com/ip/889278328", "889278328")</f>
        <v/>
      </c>
      <c r="B827" t="inlineStr">
        <is>
          <t>Leopard Wearable Fleece Blanket with Sleeves for Adult Women Men, Super Soft Comfy Plush TV Blanket Throw Wrap Cover for Lounge Couch Reading Watching TV 73" x 51"</t>
        </is>
      </c>
      <c r="C827" t="inlineStr">
        <is>
          <t>1TRSN100CHEETAH</t>
        </is>
      </c>
      <c r="D827" t="inlineStr">
        <is>
          <t>Throws</t>
        </is>
      </c>
      <c r="E827" t="inlineStr">
        <is>
          <t>Tirrinia</t>
        </is>
      </c>
      <c r="F827" t="inlineStr">
        <is>
          <t>Optimized</t>
        </is>
      </c>
      <c r="G827" s="48" t="n">
        <v>0</v>
      </c>
      <c r="H827" s="49" t="n">
        <v>0</v>
      </c>
      <c r="I827" s="49" t="n">
        <v>0</v>
      </c>
      <c r="J827" s="50" t="n">
        <v>0</v>
      </c>
      <c r="K827" s="51" t="n">
        <v>12</v>
      </c>
      <c r="L827" s="52" t="n">
        <v>3.62</v>
      </c>
      <c r="M827" s="52" t="n">
        <v>0</v>
      </c>
      <c r="N827" s="52" t="n">
        <v>0</v>
      </c>
      <c r="O827" s="53" t="n">
        <v>0.0009</v>
      </c>
      <c r="P827" s="52" t="n">
        <v>0.3016666666666667</v>
      </c>
      <c r="Q827" s="53" t="n">
        <v>0</v>
      </c>
      <c r="R827" s="52" t="n">
        <v>0</v>
      </c>
      <c r="S827" s="51" t="n">
        <v>13080</v>
      </c>
      <c r="T827" s="48" t="n">
        <v>23.99</v>
      </c>
      <c r="U827" s="49" t="n">
        <v>1</v>
      </c>
      <c r="V827" s="49" t="n">
        <v>0</v>
      </c>
      <c r="W827" s="50" t="n">
        <v>0</v>
      </c>
      <c r="X827" s="51" t="n">
        <v>11</v>
      </c>
      <c r="Y827" s="52" t="n">
        <v>3.23</v>
      </c>
      <c r="Z827" s="52" t="n">
        <v>0</v>
      </c>
      <c r="AA827" s="52" t="n">
        <v>0</v>
      </c>
      <c r="AB827" s="53" t="n">
        <v>0.0009</v>
      </c>
      <c r="AC827" s="52" t="n">
        <v>0.2936363636363636</v>
      </c>
      <c r="AD827" s="53" t="n">
        <v>0.1346394330971238</v>
      </c>
      <c r="AE827" s="52" t="n">
        <v>23.99</v>
      </c>
      <c r="AF827" s="51" t="n">
        <v>12405</v>
      </c>
      <c r="AG827" s="48" t="n">
        <v>0</v>
      </c>
      <c r="AH827" s="49" t="n">
        <v>0</v>
      </c>
      <c r="AI827" s="49" t="n">
        <v>0</v>
      </c>
      <c r="AJ827" s="50" t="n">
        <v>0</v>
      </c>
      <c r="AK827" s="51" t="n">
        <v>0</v>
      </c>
      <c r="AL827" s="52" t="n">
        <v>0</v>
      </c>
      <c r="AM827" s="52" t="n">
        <v>0</v>
      </c>
      <c r="AN827" s="52" t="n">
        <v>0</v>
      </c>
      <c r="AO827" s="53" t="n">
        <v>0</v>
      </c>
      <c r="AP827" s="52" t="n">
        <v>0</v>
      </c>
      <c r="AQ827" s="53" t="n">
        <v>0</v>
      </c>
      <c r="AR827" s="52" t="n">
        <v>0</v>
      </c>
      <c r="AS827" s="51" t="n">
        <v>0</v>
      </c>
      <c r="AT827" s="48" t="n">
        <v>0</v>
      </c>
      <c r="AU827" s="49" t="n">
        <v>0</v>
      </c>
      <c r="AV827" s="49" t="n">
        <v>0</v>
      </c>
      <c r="AW827" s="50" t="n">
        <v>0</v>
      </c>
      <c r="AX827" s="51" t="n">
        <v>0</v>
      </c>
      <c r="AY827" s="52" t="n">
        <v>0</v>
      </c>
      <c r="AZ827" s="52" t="n">
        <v>0</v>
      </c>
      <c r="BA827" s="52" t="n">
        <v>0</v>
      </c>
      <c r="BB827" s="53" t="n">
        <v>0</v>
      </c>
      <c r="BC827" s="52" t="n">
        <v>0</v>
      </c>
      <c r="BD827" s="53" t="n">
        <v>0</v>
      </c>
      <c r="BE827" s="52" t="n">
        <v>0</v>
      </c>
      <c r="BF827" s="51" t="n">
        <v>3765</v>
      </c>
    </row>
    <row r="828">
      <c r="A828">
        <f>HYPERLINK("https://www.walmart.com/ip/889537466", "889537466")</f>
        <v/>
      </c>
      <c r="B828" t="inlineStr">
        <is>
          <t>Flyingstar Men's Wide Brim Sun Hat for Hiking, Fishing and Safari, Adult Male, Gray</t>
        </is>
      </c>
      <c r="C828" t="inlineStr">
        <is>
          <t>1WMCH100GY</t>
        </is>
      </c>
      <c r="D828" t="inlineStr">
        <is>
          <t>Hats</t>
        </is>
      </c>
      <c r="E828" t="inlineStr">
        <is>
          <t>Flyingstar</t>
        </is>
      </c>
      <c r="F828" t="inlineStr">
        <is>
          <t>Optimized,Hats</t>
        </is>
      </c>
      <c r="G828" s="48" t="n">
        <v>0</v>
      </c>
      <c r="H828" s="49" t="n">
        <v>0</v>
      </c>
      <c r="I828" s="49" t="n">
        <v>0</v>
      </c>
      <c r="J828" s="50" t="n">
        <v>0</v>
      </c>
      <c r="K828" s="51" t="n">
        <v>0</v>
      </c>
      <c r="L828" s="52" t="n">
        <v>0</v>
      </c>
      <c r="M828" s="52" t="n">
        <v>0</v>
      </c>
      <c r="N828" s="52" t="n">
        <v>0</v>
      </c>
      <c r="O828" s="53" t="n">
        <v>0</v>
      </c>
      <c r="P828" s="52" t="n">
        <v>0</v>
      </c>
      <c r="Q828" s="53" t="n">
        <v>0</v>
      </c>
      <c r="R828" s="52" t="n">
        <v>0</v>
      </c>
      <c r="S828" s="51" t="n">
        <v>0</v>
      </c>
      <c r="T828" s="48" t="n">
        <v>0</v>
      </c>
      <c r="U828" s="49" t="n">
        <v>0</v>
      </c>
      <c r="V828" s="49" t="n">
        <v>0</v>
      </c>
      <c r="W828" s="50" t="n">
        <v>0</v>
      </c>
      <c r="X828" s="51" t="n">
        <v>0</v>
      </c>
      <c r="Y828" s="52" t="n">
        <v>0</v>
      </c>
      <c r="Z828" s="52" t="n">
        <v>0</v>
      </c>
      <c r="AA828" s="52" t="n">
        <v>0</v>
      </c>
      <c r="AB828" s="53" t="n">
        <v>0</v>
      </c>
      <c r="AC828" s="52" t="n">
        <v>0</v>
      </c>
      <c r="AD828" s="53" t="n">
        <v>0</v>
      </c>
      <c r="AE828" s="52" t="n">
        <v>0</v>
      </c>
      <c r="AF828" s="51" t="n">
        <v>0</v>
      </c>
      <c r="AG828" s="48" t="n">
        <v>-23.98</v>
      </c>
      <c r="AH828" s="49" t="n">
        <v>-2</v>
      </c>
      <c r="AI828" s="49" t="n">
        <v>0</v>
      </c>
      <c r="AJ828" s="50" t="n">
        <v>0</v>
      </c>
      <c r="AK828" s="51" t="n">
        <v>0</v>
      </c>
      <c r="AL828" s="52" t="n">
        <v>0</v>
      </c>
      <c r="AM828" s="52" t="n">
        <v>0</v>
      </c>
      <c r="AN828" s="52" t="n">
        <v>0</v>
      </c>
      <c r="AO828" s="53" t="n">
        <v>0</v>
      </c>
      <c r="AP828" s="52" t="n">
        <v>0</v>
      </c>
      <c r="AQ828" s="53" t="n">
        <v>0</v>
      </c>
      <c r="AR828" s="52" t="n">
        <v>0</v>
      </c>
      <c r="AS828" s="51" t="n">
        <v>0</v>
      </c>
      <c r="AT828" s="48" t="n">
        <v>11.99</v>
      </c>
      <c r="AU828" s="49" t="n">
        <v>1</v>
      </c>
      <c r="AV828" s="49" t="n">
        <v>0</v>
      </c>
      <c r="AW828" s="50" t="n">
        <v>0</v>
      </c>
      <c r="AX828" s="51" t="n">
        <v>0</v>
      </c>
      <c r="AY828" s="52" t="n">
        <v>0</v>
      </c>
      <c r="AZ828" s="52" t="n">
        <v>0</v>
      </c>
      <c r="BA828" s="52" t="n">
        <v>0</v>
      </c>
      <c r="BB828" s="53" t="n">
        <v>0</v>
      </c>
      <c r="BC828" s="52" t="n">
        <v>0</v>
      </c>
      <c r="BD828" s="53" t="n">
        <v>0</v>
      </c>
      <c r="BE828" s="52" t="n">
        <v>11.99</v>
      </c>
      <c r="BF828" s="51" t="n">
        <v>0</v>
      </c>
    </row>
    <row r="829">
      <c r="A829">
        <f>HYPERLINK("https://www.walmart.com/ip/889841456", "889841456")</f>
        <v/>
      </c>
      <c r="B829" t="inlineStr">
        <is>
          <t>Sports Running Belt Waist Bum Bag Fitness Jogging Cycling Phone Pouch Fanny Pack</t>
        </is>
      </c>
      <c r="C829" t="inlineStr">
        <is>
          <t>TRWB100CB-L</t>
        </is>
      </c>
      <c r="D829" t="inlineStr">
        <is>
          <t>Fanny Packs</t>
        </is>
      </c>
      <c r="E829" t="inlineStr">
        <is>
          <t>Terrania</t>
        </is>
      </c>
      <c r="F829" t="inlineStr">
        <is>
          <t>Batch 1 - TR</t>
        </is>
      </c>
      <c r="G829" s="48" t="n">
        <v>0</v>
      </c>
      <c r="H829" s="49" t="n">
        <v>0</v>
      </c>
      <c r="I829" s="49" t="n">
        <v>5</v>
      </c>
      <c r="J829" s="50" t="n">
        <v>0</v>
      </c>
      <c r="K829" s="51" t="n">
        <v>0</v>
      </c>
      <c r="L829" s="52" t="n">
        <v>0</v>
      </c>
      <c r="M829" s="52" t="n">
        <v>0</v>
      </c>
      <c r="N829" s="52" t="n">
        <v>0</v>
      </c>
      <c r="O829" s="53" t="n">
        <v>0</v>
      </c>
      <c r="P829" s="52" t="n">
        <v>0</v>
      </c>
      <c r="Q829" s="53" t="n">
        <v>0</v>
      </c>
      <c r="R829" s="52" t="n">
        <v>0</v>
      </c>
      <c r="S829" s="51" t="n">
        <v>0</v>
      </c>
      <c r="T829" s="48" t="n">
        <v>9.99</v>
      </c>
      <c r="U829" s="49" t="n">
        <v>1</v>
      </c>
      <c r="V829" s="49" t="n">
        <v>7</v>
      </c>
      <c r="W829" s="50" t="n">
        <v>0.1428571428571428</v>
      </c>
      <c r="X829" s="51" t="n">
        <v>0</v>
      </c>
      <c r="Y829" s="52" t="n">
        <v>0</v>
      </c>
      <c r="Z829" s="52" t="n">
        <v>0</v>
      </c>
      <c r="AA829" s="52" t="n">
        <v>0</v>
      </c>
      <c r="AB829" s="53" t="n">
        <v>0</v>
      </c>
      <c r="AC829" s="52" t="n">
        <v>0</v>
      </c>
      <c r="AD829" s="53" t="n">
        <v>0</v>
      </c>
      <c r="AE829" s="52" t="n">
        <v>9.99</v>
      </c>
      <c r="AF829" s="51" t="n">
        <v>0</v>
      </c>
      <c r="AG829" s="48" t="n">
        <v>19.98</v>
      </c>
      <c r="AH829" s="49" t="n">
        <v>2</v>
      </c>
      <c r="AI829" s="49" t="n">
        <v>6</v>
      </c>
      <c r="AJ829" s="50" t="n">
        <v>0.3333333333333333</v>
      </c>
      <c r="AK829" s="51" t="n">
        <v>0</v>
      </c>
      <c r="AL829" s="52" t="n">
        <v>0</v>
      </c>
      <c r="AM829" s="52" t="n">
        <v>0</v>
      </c>
      <c r="AN829" s="52" t="n">
        <v>0</v>
      </c>
      <c r="AO829" s="53" t="n">
        <v>0</v>
      </c>
      <c r="AP829" s="52" t="n">
        <v>0</v>
      </c>
      <c r="AQ829" s="53" t="n">
        <v>0</v>
      </c>
      <c r="AR829" s="52" t="n">
        <v>9.99</v>
      </c>
      <c r="AS829" s="51" t="n">
        <v>0</v>
      </c>
      <c r="AT829" s="48" t="n">
        <v>9.99</v>
      </c>
      <c r="AU829" s="49" t="n">
        <v>1</v>
      </c>
      <c r="AV829" s="49" t="n">
        <v>6</v>
      </c>
      <c r="AW829" s="50" t="n">
        <v>0.1666666666666667</v>
      </c>
      <c r="AX829" s="51" t="n">
        <v>0</v>
      </c>
      <c r="AY829" s="52" t="n">
        <v>0</v>
      </c>
      <c r="AZ829" s="52" t="n">
        <v>0</v>
      </c>
      <c r="BA829" s="52" t="n">
        <v>0</v>
      </c>
      <c r="BB829" s="53" t="n">
        <v>0</v>
      </c>
      <c r="BC829" s="52" t="n">
        <v>0</v>
      </c>
      <c r="BD829" s="53" t="n">
        <v>0</v>
      </c>
      <c r="BE829" s="52" t="n">
        <v>9.99</v>
      </c>
      <c r="BF829" s="51" t="n">
        <v>0</v>
      </c>
    </row>
    <row r="830">
      <c r="A830">
        <f>HYPERLINK("https://www.walmart.com/ip/890059500", "890059500")</f>
        <v/>
      </c>
      <c r="B830" t="inlineStr">
        <is>
          <t>Summer Caps for Men and Women Patriotic Independence Day USA Flag UV Protect  Adjustable Unisex Hats for Sports</t>
        </is>
      </c>
      <c r="C830" t="inlineStr">
        <is>
          <t>1WMBC100WH</t>
        </is>
      </c>
      <c r="D830" t="inlineStr">
        <is>
          <t>Hats</t>
        </is>
      </c>
      <c r="E830" t="inlineStr">
        <is>
          <t>Flyingstar</t>
        </is>
      </c>
      <c r="F830" t="inlineStr">
        <is>
          <t>Hats,Batch 1 - TR</t>
        </is>
      </c>
      <c r="G830" s="48" t="n">
        <v>0</v>
      </c>
      <c r="H830" s="49" t="n">
        <v>0</v>
      </c>
      <c r="I830" s="49" t="n">
        <v>0</v>
      </c>
      <c r="J830" s="50" t="n">
        <v>0</v>
      </c>
      <c r="K830" s="51" t="n">
        <v>0</v>
      </c>
      <c r="L830" s="52" t="n">
        <v>0</v>
      </c>
      <c r="M830" s="52" t="n">
        <v>0</v>
      </c>
      <c r="N830" s="52" t="n">
        <v>0</v>
      </c>
      <c r="O830" s="53" t="n">
        <v>0</v>
      </c>
      <c r="P830" s="52" t="n">
        <v>0</v>
      </c>
      <c r="Q830" s="53" t="n">
        <v>0</v>
      </c>
      <c r="R830" s="52" t="n">
        <v>0</v>
      </c>
      <c r="S830" s="51" t="n">
        <v>0</v>
      </c>
      <c r="T830" s="48" t="n">
        <v>0</v>
      </c>
      <c r="U830" s="49" t="n">
        <v>0</v>
      </c>
      <c r="V830" s="49" t="n">
        <v>0</v>
      </c>
      <c r="W830" s="50" t="n">
        <v>0</v>
      </c>
      <c r="X830" s="51" t="n">
        <v>0</v>
      </c>
      <c r="Y830" s="52" t="n">
        <v>0</v>
      </c>
      <c r="Z830" s="52" t="n">
        <v>0</v>
      </c>
      <c r="AA830" s="52" t="n">
        <v>0</v>
      </c>
      <c r="AB830" s="53" t="n">
        <v>0</v>
      </c>
      <c r="AC830" s="52" t="n">
        <v>0</v>
      </c>
      <c r="AD830" s="53" t="n">
        <v>0</v>
      </c>
      <c r="AE830" s="52" t="n">
        <v>0</v>
      </c>
      <c r="AF830" s="51" t="n">
        <v>0</v>
      </c>
      <c r="AG830" s="48" t="n">
        <v>0</v>
      </c>
      <c r="AH830" s="49" t="n">
        <v>0</v>
      </c>
      <c r="AI830" s="49" t="n">
        <v>0</v>
      </c>
      <c r="AJ830" s="50" t="n">
        <v>0</v>
      </c>
      <c r="AK830" s="51" t="n">
        <v>0</v>
      </c>
      <c r="AL830" s="52" t="n">
        <v>0</v>
      </c>
      <c r="AM830" s="52" t="n">
        <v>0</v>
      </c>
      <c r="AN830" s="52" t="n">
        <v>0</v>
      </c>
      <c r="AO830" s="53" t="n">
        <v>0</v>
      </c>
      <c r="AP830" s="52" t="n">
        <v>0</v>
      </c>
      <c r="AQ830" s="53" t="n">
        <v>0</v>
      </c>
      <c r="AR830" s="52" t="n">
        <v>0</v>
      </c>
      <c r="AS830" s="51" t="n">
        <v>0</v>
      </c>
      <c r="AT830" s="48" t="n">
        <v>0</v>
      </c>
      <c r="AU830" s="49" t="n">
        <v>0</v>
      </c>
      <c r="AV830" s="49" t="n">
        <v>0</v>
      </c>
      <c r="AW830" s="50" t="n">
        <v>0</v>
      </c>
      <c r="AX830" s="51" t="n">
        <v>0</v>
      </c>
      <c r="AY830" s="52" t="n">
        <v>0</v>
      </c>
      <c r="AZ830" s="52" t="n">
        <v>0</v>
      </c>
      <c r="BA830" s="52" t="n">
        <v>0</v>
      </c>
      <c r="BB830" s="53" t="n">
        <v>0</v>
      </c>
      <c r="BC830" s="52" t="n">
        <v>0</v>
      </c>
      <c r="BD830" s="53" t="n">
        <v>0</v>
      </c>
      <c r="BE830" s="52" t="n">
        <v>0</v>
      </c>
      <c r="BF830" s="51" t="n">
        <v>0</v>
      </c>
    </row>
    <row r="831">
      <c r="A831">
        <f>HYPERLINK("https://www.walmart.com/ip/881852445", "881852445")</f>
        <v/>
      </c>
      <c r="B831" t="inlineStr">
        <is>
          <t>Napa Plush  Throw Blanket Queen Full 90”x90” Striped Velvet Luxury Super Soft Cozy Fleece Bed Reversible Latte</t>
        </is>
      </c>
      <c r="C831" t="inlineStr">
        <is>
          <t>K8030QF-LTT</t>
        </is>
      </c>
      <c r="D831" t="inlineStr">
        <is>
          <t>Throws</t>
        </is>
      </c>
      <c r="E831" t="inlineStr">
        <is>
          <t>NAPA</t>
        </is>
      </c>
      <c r="F831" t="inlineStr">
        <is>
          <t>Optimized,cost-added</t>
        </is>
      </c>
      <c r="G831" s="48" t="n">
        <v>0</v>
      </c>
      <c r="H831" s="49" t="n">
        <v>0</v>
      </c>
      <c r="I831" s="49" t="n">
        <v>0</v>
      </c>
      <c r="J831" s="50" t="n">
        <v>0</v>
      </c>
      <c r="K831" s="51" t="n">
        <v>0</v>
      </c>
      <c r="L831" s="52" t="n">
        <v>0</v>
      </c>
      <c r="M831" s="52" t="n">
        <v>0</v>
      </c>
      <c r="N831" s="52" t="n">
        <v>0</v>
      </c>
      <c r="O831" s="53" t="n">
        <v>0</v>
      </c>
      <c r="P831" s="52" t="n">
        <v>0</v>
      </c>
      <c r="Q831" s="53" t="n">
        <v>0</v>
      </c>
      <c r="R831" s="52" t="n">
        <v>0</v>
      </c>
      <c r="S831" s="51" t="n">
        <v>0</v>
      </c>
      <c r="T831" s="48" t="n">
        <v>0</v>
      </c>
      <c r="U831" s="49" t="n">
        <v>0</v>
      </c>
      <c r="V831" s="49" t="n">
        <v>0</v>
      </c>
      <c r="W831" s="50" t="n">
        <v>0</v>
      </c>
      <c r="X831" s="51" t="n">
        <v>0</v>
      </c>
      <c r="Y831" s="52" t="n">
        <v>0</v>
      </c>
      <c r="Z831" s="52" t="n">
        <v>0</v>
      </c>
      <c r="AA831" s="52" t="n">
        <v>0</v>
      </c>
      <c r="AB831" s="53" t="n">
        <v>0</v>
      </c>
      <c r="AC831" s="52" t="n">
        <v>0</v>
      </c>
      <c r="AD831" s="53" t="n">
        <v>0</v>
      </c>
      <c r="AE831" s="52" t="n">
        <v>0</v>
      </c>
      <c r="AF831" s="51" t="n">
        <v>0</v>
      </c>
      <c r="AG831" s="48" t="n">
        <v>0</v>
      </c>
      <c r="AH831" s="49" t="n">
        <v>0</v>
      </c>
      <c r="AI831" s="49" t="n">
        <v>0</v>
      </c>
      <c r="AJ831" s="50" t="n">
        <v>0</v>
      </c>
      <c r="AK831" s="51" t="n">
        <v>0</v>
      </c>
      <c r="AL831" s="52" t="n">
        <v>0</v>
      </c>
      <c r="AM831" s="52" t="n">
        <v>0</v>
      </c>
      <c r="AN831" s="52" t="n">
        <v>0</v>
      </c>
      <c r="AO831" s="53" t="n">
        <v>0</v>
      </c>
      <c r="AP831" s="52" t="n">
        <v>0</v>
      </c>
      <c r="AQ831" s="53" t="n">
        <v>0</v>
      </c>
      <c r="AR831" s="52" t="n">
        <v>0</v>
      </c>
      <c r="AS831" s="51" t="n">
        <v>0</v>
      </c>
      <c r="AT831" s="48" t="n">
        <v>0</v>
      </c>
      <c r="AU831" s="49" t="n">
        <v>0</v>
      </c>
      <c r="AV831" s="49" t="n">
        <v>0</v>
      </c>
      <c r="AW831" s="50" t="n">
        <v>0</v>
      </c>
      <c r="AX831" s="51" t="n">
        <v>0</v>
      </c>
      <c r="AY831" s="52" t="n">
        <v>0</v>
      </c>
      <c r="AZ831" s="52" t="n">
        <v>0</v>
      </c>
      <c r="BA831" s="52" t="n">
        <v>0</v>
      </c>
      <c r="BB831" s="53" t="n">
        <v>0</v>
      </c>
      <c r="BC831" s="52" t="n">
        <v>0</v>
      </c>
      <c r="BD831" s="53" t="n">
        <v>0</v>
      </c>
      <c r="BE831" s="52" t="n">
        <v>0</v>
      </c>
      <c r="BF831" s="51" t="n">
        <v>0</v>
      </c>
    </row>
    <row r="832">
      <c r="A832">
        <f>HYPERLINK("https://www.walmart.com/ip/878930058", "878930058")</f>
        <v/>
      </c>
      <c r="B832" t="inlineStr">
        <is>
          <t>Flyingstar Sherpa Throws Blanket, Fleece Soft Cozy Blanket Throws for Sofa Bed 50"x60"</t>
        </is>
      </c>
      <c r="C832" t="inlineStr">
        <is>
          <t>1WMBF573BLTILE</t>
        </is>
      </c>
      <c r="D832" t="inlineStr">
        <is>
          <t>Throws</t>
        </is>
      </c>
      <c r="E832" t="inlineStr">
        <is>
          <t>Flyingstar</t>
        </is>
      </c>
      <c r="F832" t="inlineStr">
        <is>
          <t>Optimized</t>
        </is>
      </c>
      <c r="G832" s="48" t="n">
        <v>0</v>
      </c>
      <c r="H832" s="49" t="n">
        <v>0</v>
      </c>
      <c r="I832" s="49" t="n">
        <v>0</v>
      </c>
      <c r="J832" s="50" t="n">
        <v>0</v>
      </c>
      <c r="K832" s="51" t="n">
        <v>0</v>
      </c>
      <c r="L832" s="52" t="n">
        <v>0</v>
      </c>
      <c r="M832" s="52" t="n">
        <v>0</v>
      </c>
      <c r="N832" s="52" t="n">
        <v>0</v>
      </c>
      <c r="O832" s="53" t="n">
        <v>0</v>
      </c>
      <c r="P832" s="52" t="n">
        <v>0</v>
      </c>
      <c r="Q832" s="53" t="n">
        <v>0</v>
      </c>
      <c r="R832" s="52" t="n">
        <v>0</v>
      </c>
      <c r="S832" s="51" t="n">
        <v>0</v>
      </c>
      <c r="T832" s="48" t="n">
        <v>0</v>
      </c>
      <c r="U832" s="49" t="n">
        <v>0</v>
      </c>
      <c r="V832" s="49" t="n">
        <v>0</v>
      </c>
      <c r="W832" s="50" t="n">
        <v>0</v>
      </c>
      <c r="X832" s="51" t="n">
        <v>0</v>
      </c>
      <c r="Y832" s="52" t="n">
        <v>0</v>
      </c>
      <c r="Z832" s="52" t="n">
        <v>0</v>
      </c>
      <c r="AA832" s="52" t="n">
        <v>0</v>
      </c>
      <c r="AB832" s="53" t="n">
        <v>0</v>
      </c>
      <c r="AC832" s="52" t="n">
        <v>0</v>
      </c>
      <c r="AD832" s="53" t="n">
        <v>0</v>
      </c>
      <c r="AE832" s="52" t="n">
        <v>0</v>
      </c>
      <c r="AF832" s="51" t="n">
        <v>0</v>
      </c>
      <c r="AG832" s="48" t="n">
        <v>0</v>
      </c>
      <c r="AH832" s="49" t="n">
        <v>0</v>
      </c>
      <c r="AI832" s="49" t="n">
        <v>0</v>
      </c>
      <c r="AJ832" s="50" t="n">
        <v>0</v>
      </c>
      <c r="AK832" s="51" t="n">
        <v>0</v>
      </c>
      <c r="AL832" s="52" t="n">
        <v>0</v>
      </c>
      <c r="AM832" s="52" t="n">
        <v>0</v>
      </c>
      <c r="AN832" s="52" t="n">
        <v>0</v>
      </c>
      <c r="AO832" s="53" t="n">
        <v>0</v>
      </c>
      <c r="AP832" s="52" t="n">
        <v>0</v>
      </c>
      <c r="AQ832" s="53" t="n">
        <v>0</v>
      </c>
      <c r="AR832" s="52" t="n">
        <v>0</v>
      </c>
      <c r="AS832" s="51" t="n">
        <v>0</v>
      </c>
      <c r="AT832" s="48" t="n">
        <v>0</v>
      </c>
      <c r="AU832" s="49" t="n">
        <v>0</v>
      </c>
      <c r="AV832" s="49" t="n">
        <v>0</v>
      </c>
      <c r="AW832" s="50" t="n">
        <v>0</v>
      </c>
      <c r="AX832" s="51" t="n">
        <v>0</v>
      </c>
      <c r="AY832" s="52" t="n">
        <v>0</v>
      </c>
      <c r="AZ832" s="52" t="n">
        <v>0</v>
      </c>
      <c r="BA832" s="52" t="n">
        <v>0</v>
      </c>
      <c r="BB832" s="53" t="n">
        <v>0</v>
      </c>
      <c r="BC832" s="52" t="n">
        <v>0</v>
      </c>
      <c r="BD832" s="53" t="n">
        <v>0</v>
      </c>
      <c r="BE832" s="52" t="n">
        <v>0</v>
      </c>
      <c r="BF832" s="51" t="n">
        <v>0</v>
      </c>
    </row>
    <row r="833">
      <c r="A833">
        <f>HYPERLINK("https://www.walmart.com/ip/861468655", "861468655")</f>
        <v/>
      </c>
      <c r="B833" t="inlineStr">
        <is>
          <t>Flyingstar Oversized Hoodie Throws Blanket Sweatshirt, for Adults Men Women Teenagers Kids</t>
        </is>
      </c>
      <c r="C833" t="inlineStr">
        <is>
          <t>1WMHD300RB</t>
        </is>
      </c>
      <c r="D833" t="inlineStr">
        <is>
          <t>Sweatshirts &amp; Hoodies</t>
        </is>
      </c>
      <c r="E833" t="inlineStr">
        <is>
          <t>Flyingstar</t>
        </is>
      </c>
      <c r="F833" t="inlineStr">
        <is>
          <t>Hoodie ForAdult,Optimized</t>
        </is>
      </c>
      <c r="G833" s="48" t="n">
        <v>0</v>
      </c>
      <c r="H833" s="49" t="n">
        <v>0</v>
      </c>
      <c r="I833" s="49" t="n">
        <v>0</v>
      </c>
      <c r="J833" s="50" t="n">
        <v>0</v>
      </c>
      <c r="K833" s="51" t="n">
        <v>0</v>
      </c>
      <c r="L833" s="52" t="n">
        <v>0</v>
      </c>
      <c r="M833" s="52" t="n">
        <v>0</v>
      </c>
      <c r="N833" s="52" t="n">
        <v>0</v>
      </c>
      <c r="O833" s="53" t="n">
        <v>0</v>
      </c>
      <c r="P833" s="52" t="n">
        <v>0</v>
      </c>
      <c r="Q833" s="53" t="n">
        <v>0</v>
      </c>
      <c r="R833" s="52" t="n">
        <v>0</v>
      </c>
      <c r="S833" s="51" t="n">
        <v>0</v>
      </c>
      <c r="T833" s="48" t="n">
        <v>0</v>
      </c>
      <c r="U833" s="49" t="n">
        <v>0</v>
      </c>
      <c r="V833" s="49" t="n">
        <v>0</v>
      </c>
      <c r="W833" s="50" t="n">
        <v>0</v>
      </c>
      <c r="X833" s="51" t="n">
        <v>0</v>
      </c>
      <c r="Y833" s="52" t="n">
        <v>0</v>
      </c>
      <c r="Z833" s="52" t="n">
        <v>0</v>
      </c>
      <c r="AA833" s="52" t="n">
        <v>0</v>
      </c>
      <c r="AB833" s="53" t="n">
        <v>0</v>
      </c>
      <c r="AC833" s="52" t="n">
        <v>0</v>
      </c>
      <c r="AD833" s="53" t="n">
        <v>0</v>
      </c>
      <c r="AE833" s="52" t="n">
        <v>0</v>
      </c>
      <c r="AF833" s="51" t="n">
        <v>0</v>
      </c>
      <c r="AG833" s="48" t="n">
        <v>0</v>
      </c>
      <c r="AH833" s="49" t="n">
        <v>0</v>
      </c>
      <c r="AI833" s="49" t="n">
        <v>0</v>
      </c>
      <c r="AJ833" s="50" t="n">
        <v>0</v>
      </c>
      <c r="AK833" s="51" t="n">
        <v>0</v>
      </c>
      <c r="AL833" s="52" t="n">
        <v>0</v>
      </c>
      <c r="AM833" s="52" t="n">
        <v>0</v>
      </c>
      <c r="AN833" s="52" t="n">
        <v>0</v>
      </c>
      <c r="AO833" s="53" t="n">
        <v>0</v>
      </c>
      <c r="AP833" s="52" t="n">
        <v>0</v>
      </c>
      <c r="AQ833" s="53" t="n">
        <v>0</v>
      </c>
      <c r="AR833" s="52" t="n">
        <v>0</v>
      </c>
      <c r="AS833" s="51" t="n">
        <v>0</v>
      </c>
      <c r="AT833" s="48" t="n">
        <v>0</v>
      </c>
      <c r="AU833" s="49" t="n">
        <v>0</v>
      </c>
      <c r="AV833" s="49" t="n">
        <v>0</v>
      </c>
      <c r="AW833" s="50" t="n">
        <v>0</v>
      </c>
      <c r="AX833" s="51" t="n">
        <v>0</v>
      </c>
      <c r="AY833" s="52" t="n">
        <v>0</v>
      </c>
      <c r="AZ833" s="52" t="n">
        <v>0</v>
      </c>
      <c r="BA833" s="52" t="n">
        <v>0</v>
      </c>
      <c r="BB833" s="53" t="n">
        <v>0</v>
      </c>
      <c r="BC833" s="52" t="n">
        <v>0</v>
      </c>
      <c r="BD833" s="53" t="n">
        <v>0</v>
      </c>
      <c r="BE833" s="52" t="n">
        <v>0</v>
      </c>
      <c r="BF833" s="51" t="n">
        <v>0</v>
      </c>
    </row>
    <row r="834">
      <c r="A834">
        <f>HYPERLINK("https://www.walmart.com/ip/878891906", "878891906")</f>
        <v/>
      </c>
      <c r="B834" t="inlineStr">
        <is>
          <t>Flyingstar Sherpa Throws Blanket, Fleece Soft Cozy Blanket Throws for Sofa Bed 50"x60"</t>
        </is>
      </c>
      <c r="C834" t="inlineStr">
        <is>
          <t>1WMBF301RD-ESGM</t>
        </is>
      </c>
      <c r="D834" t="inlineStr">
        <is>
          <t>Throws</t>
        </is>
      </c>
      <c r="E834" t="inlineStr">
        <is>
          <t>Flyingstar</t>
        </is>
      </c>
      <c r="F834" t="inlineStr">
        <is>
          <t>Optimized</t>
        </is>
      </c>
      <c r="G834" s="48" t="n">
        <v>0</v>
      </c>
      <c r="H834" s="49" t="n">
        <v>0</v>
      </c>
      <c r="I834" s="49" t="n">
        <v>0</v>
      </c>
      <c r="J834" s="50" t="n">
        <v>0</v>
      </c>
      <c r="K834" s="51" t="n">
        <v>0</v>
      </c>
      <c r="L834" s="52" t="n">
        <v>0</v>
      </c>
      <c r="M834" s="52" t="n">
        <v>0</v>
      </c>
      <c r="N834" s="52" t="n">
        <v>0</v>
      </c>
      <c r="O834" s="53" t="n">
        <v>0</v>
      </c>
      <c r="P834" s="52" t="n">
        <v>0</v>
      </c>
      <c r="Q834" s="53" t="n">
        <v>0</v>
      </c>
      <c r="R834" s="52" t="n">
        <v>0</v>
      </c>
      <c r="S834" s="51" t="n">
        <v>0</v>
      </c>
      <c r="T834" s="48" t="n">
        <v>0</v>
      </c>
      <c r="U834" s="49" t="n">
        <v>0</v>
      </c>
      <c r="V834" s="49" t="n">
        <v>0</v>
      </c>
      <c r="W834" s="50" t="n">
        <v>0</v>
      </c>
      <c r="X834" s="51" t="n">
        <v>0</v>
      </c>
      <c r="Y834" s="52" t="n">
        <v>0</v>
      </c>
      <c r="Z834" s="52" t="n">
        <v>0</v>
      </c>
      <c r="AA834" s="52" t="n">
        <v>0</v>
      </c>
      <c r="AB834" s="53" t="n">
        <v>0</v>
      </c>
      <c r="AC834" s="52" t="n">
        <v>0</v>
      </c>
      <c r="AD834" s="53" t="n">
        <v>0</v>
      </c>
      <c r="AE834" s="52" t="n">
        <v>0</v>
      </c>
      <c r="AF834" s="51" t="n">
        <v>0</v>
      </c>
      <c r="AG834" s="48" t="n">
        <v>0</v>
      </c>
      <c r="AH834" s="49" t="n">
        <v>0</v>
      </c>
      <c r="AI834" s="49" t="n">
        <v>0</v>
      </c>
      <c r="AJ834" s="50" t="n">
        <v>0</v>
      </c>
      <c r="AK834" s="51" t="n">
        <v>0</v>
      </c>
      <c r="AL834" s="52" t="n">
        <v>0</v>
      </c>
      <c r="AM834" s="52" t="n">
        <v>0</v>
      </c>
      <c r="AN834" s="52" t="n">
        <v>0</v>
      </c>
      <c r="AO834" s="53" t="n">
        <v>0</v>
      </c>
      <c r="AP834" s="52" t="n">
        <v>0</v>
      </c>
      <c r="AQ834" s="53" t="n">
        <v>0</v>
      </c>
      <c r="AR834" s="52" t="n">
        <v>0</v>
      </c>
      <c r="AS834" s="51" t="n">
        <v>0</v>
      </c>
      <c r="AT834" s="48" t="n">
        <v>0</v>
      </c>
      <c r="AU834" s="49" t="n">
        <v>0</v>
      </c>
      <c r="AV834" s="49" t="n">
        <v>0</v>
      </c>
      <c r="AW834" s="50" t="n">
        <v>0</v>
      </c>
      <c r="AX834" s="51" t="n">
        <v>0</v>
      </c>
      <c r="AY834" s="52" t="n">
        <v>0</v>
      </c>
      <c r="AZ834" s="52" t="n">
        <v>0</v>
      </c>
      <c r="BA834" s="52" t="n">
        <v>0</v>
      </c>
      <c r="BB834" s="53" t="n">
        <v>0</v>
      </c>
      <c r="BC834" s="52" t="n">
        <v>0</v>
      </c>
      <c r="BD834" s="53" t="n">
        <v>0</v>
      </c>
      <c r="BE834" s="52" t="n">
        <v>0</v>
      </c>
      <c r="BF834" s="51" t="n">
        <v>0</v>
      </c>
    </row>
    <row r="835">
      <c r="A835">
        <f>HYPERLINK("https://www.walmart.com/ip/861546074", "861546074")</f>
        <v/>
      </c>
      <c r="B835" t="inlineStr">
        <is>
          <t>Sherpa Slipper Socks for Women,Winter Indoor Home Non Skid Booties</t>
        </is>
      </c>
      <c r="C835" t="inlineStr">
        <is>
          <t>1CTST200PP-2</t>
        </is>
      </c>
      <c r="D835" t="inlineStr">
        <is>
          <t>Socks</t>
        </is>
      </c>
      <c r="E835" t="inlineStr">
        <is>
          <t>Catalonia</t>
        </is>
      </c>
      <c r="F835" t="inlineStr">
        <is>
          <t>WFS,WFS Item</t>
        </is>
      </c>
      <c r="G835" s="48" t="n">
        <v>0</v>
      </c>
      <c r="H835" s="49" t="n">
        <v>0</v>
      </c>
      <c r="I835" s="49" t="n">
        <v>0</v>
      </c>
      <c r="J835" s="50" t="n">
        <v>0</v>
      </c>
      <c r="K835" s="51" t="n">
        <v>0</v>
      </c>
      <c r="L835" s="52" t="n">
        <v>0</v>
      </c>
      <c r="M835" s="52" t="n">
        <v>0</v>
      </c>
      <c r="N835" s="52" t="n">
        <v>0</v>
      </c>
      <c r="O835" s="53" t="n">
        <v>0</v>
      </c>
      <c r="P835" s="52" t="n">
        <v>0</v>
      </c>
      <c r="Q835" s="53" t="n">
        <v>0</v>
      </c>
      <c r="R835" s="52" t="n">
        <v>0</v>
      </c>
      <c r="S835" s="51" t="n">
        <v>0</v>
      </c>
      <c r="T835" s="48" t="n">
        <v>0</v>
      </c>
      <c r="U835" s="49" t="n">
        <v>0</v>
      </c>
      <c r="V835" s="49" t="n">
        <v>0</v>
      </c>
      <c r="W835" s="50" t="n">
        <v>0</v>
      </c>
      <c r="X835" s="51" t="n">
        <v>0</v>
      </c>
      <c r="Y835" s="52" t="n">
        <v>0</v>
      </c>
      <c r="Z835" s="52" t="n">
        <v>0</v>
      </c>
      <c r="AA835" s="52" t="n">
        <v>0</v>
      </c>
      <c r="AB835" s="53" t="n">
        <v>0</v>
      </c>
      <c r="AC835" s="52" t="n">
        <v>0</v>
      </c>
      <c r="AD835" s="53" t="n">
        <v>0</v>
      </c>
      <c r="AE835" s="52" t="n">
        <v>0</v>
      </c>
      <c r="AF835" s="51" t="n">
        <v>0</v>
      </c>
      <c r="AG835" s="48" t="n">
        <v>0</v>
      </c>
      <c r="AH835" s="49" t="n">
        <v>0</v>
      </c>
      <c r="AI835" s="49" t="n">
        <v>0</v>
      </c>
      <c r="AJ835" s="50" t="n">
        <v>0</v>
      </c>
      <c r="AK835" s="51" t="n">
        <v>0</v>
      </c>
      <c r="AL835" s="52" t="n">
        <v>0</v>
      </c>
      <c r="AM835" s="52" t="n">
        <v>0</v>
      </c>
      <c r="AN835" s="52" t="n">
        <v>0</v>
      </c>
      <c r="AO835" s="53" t="n">
        <v>0</v>
      </c>
      <c r="AP835" s="52" t="n">
        <v>0</v>
      </c>
      <c r="AQ835" s="53" t="n">
        <v>0</v>
      </c>
      <c r="AR835" s="52" t="n">
        <v>0</v>
      </c>
      <c r="AS835" s="51" t="n">
        <v>0</v>
      </c>
      <c r="AT835" s="48" t="n">
        <v>0</v>
      </c>
      <c r="AU835" s="49" t="n">
        <v>0</v>
      </c>
      <c r="AV835" s="49" t="n">
        <v>0</v>
      </c>
      <c r="AW835" s="50" t="n">
        <v>0</v>
      </c>
      <c r="AX835" s="51" t="n">
        <v>0</v>
      </c>
      <c r="AY835" s="52" t="n">
        <v>0</v>
      </c>
      <c r="AZ835" s="52" t="n">
        <v>0</v>
      </c>
      <c r="BA835" s="52" t="n">
        <v>0</v>
      </c>
      <c r="BB835" s="53" t="n">
        <v>0</v>
      </c>
      <c r="BC835" s="52" t="n">
        <v>0</v>
      </c>
      <c r="BD835" s="53" t="n">
        <v>0</v>
      </c>
      <c r="BE835" s="52" t="n">
        <v>0</v>
      </c>
      <c r="BF835" s="51" t="n">
        <v>0</v>
      </c>
    </row>
    <row r="836">
      <c r="A836">
        <f>HYPERLINK("https://www.walmart.com/ip/863519881", "863519881")</f>
        <v/>
      </c>
      <c r="B836" t="inlineStr">
        <is>
          <t>Youth Reflective Knit Beanie Hat For Sports Warm</t>
        </is>
      </c>
      <c r="C836" t="inlineStr">
        <is>
          <t>1SLBN01RO-FSCB</t>
        </is>
      </c>
      <c r="D836" t="inlineStr">
        <is>
          <t>Hats</t>
        </is>
      </c>
      <c r="E836" t="inlineStr">
        <is>
          <t>Solaris</t>
        </is>
      </c>
      <c r="F836" t="inlineStr">
        <is>
          <t>Optimized</t>
        </is>
      </c>
      <c r="G836" s="48" t="n">
        <v>0</v>
      </c>
      <c r="H836" s="49" t="n">
        <v>0</v>
      </c>
      <c r="I836" s="49" t="n">
        <v>0</v>
      </c>
      <c r="J836" s="50" t="n">
        <v>0</v>
      </c>
      <c r="K836" s="51" t="n">
        <v>0</v>
      </c>
      <c r="L836" s="52" t="n">
        <v>0</v>
      </c>
      <c r="M836" s="52" t="n">
        <v>0</v>
      </c>
      <c r="N836" s="52" t="n">
        <v>0</v>
      </c>
      <c r="O836" s="53" t="n">
        <v>0</v>
      </c>
      <c r="P836" s="52" t="n">
        <v>0</v>
      </c>
      <c r="Q836" s="53" t="n">
        <v>0</v>
      </c>
      <c r="R836" s="52" t="n">
        <v>0</v>
      </c>
      <c r="S836" s="51" t="n">
        <v>0</v>
      </c>
      <c r="T836" s="48" t="n">
        <v>0</v>
      </c>
      <c r="U836" s="49" t="n">
        <v>0</v>
      </c>
      <c r="V836" s="49" t="n">
        <v>0</v>
      </c>
      <c r="W836" s="50" t="n">
        <v>0</v>
      </c>
      <c r="X836" s="51" t="n">
        <v>0</v>
      </c>
      <c r="Y836" s="52" t="n">
        <v>0</v>
      </c>
      <c r="Z836" s="52" t="n">
        <v>0</v>
      </c>
      <c r="AA836" s="52" t="n">
        <v>0</v>
      </c>
      <c r="AB836" s="53" t="n">
        <v>0</v>
      </c>
      <c r="AC836" s="52" t="n">
        <v>0</v>
      </c>
      <c r="AD836" s="53" t="n">
        <v>0</v>
      </c>
      <c r="AE836" s="52" t="n">
        <v>0</v>
      </c>
      <c r="AF836" s="51" t="n">
        <v>0</v>
      </c>
      <c r="AG836" s="48" t="n">
        <v>0</v>
      </c>
      <c r="AH836" s="49" t="n">
        <v>0</v>
      </c>
      <c r="AI836" s="49" t="n">
        <v>0</v>
      </c>
      <c r="AJ836" s="50" t="n">
        <v>0</v>
      </c>
      <c r="AK836" s="51" t="n">
        <v>0</v>
      </c>
      <c r="AL836" s="52" t="n">
        <v>0</v>
      </c>
      <c r="AM836" s="52" t="n">
        <v>0</v>
      </c>
      <c r="AN836" s="52" t="n">
        <v>0</v>
      </c>
      <c r="AO836" s="53" t="n">
        <v>0</v>
      </c>
      <c r="AP836" s="52" t="n">
        <v>0</v>
      </c>
      <c r="AQ836" s="53" t="n">
        <v>0</v>
      </c>
      <c r="AR836" s="52" t="n">
        <v>0</v>
      </c>
      <c r="AS836" s="51" t="n">
        <v>0</v>
      </c>
      <c r="AT836" s="48" t="n">
        <v>0</v>
      </c>
      <c r="AU836" s="49" t="n">
        <v>0</v>
      </c>
      <c r="AV836" s="49" t="n">
        <v>0</v>
      </c>
      <c r="AW836" s="50" t="n">
        <v>0</v>
      </c>
      <c r="AX836" s="51" t="n">
        <v>0</v>
      </c>
      <c r="AY836" s="52" t="n">
        <v>0</v>
      </c>
      <c r="AZ836" s="52" t="n">
        <v>0</v>
      </c>
      <c r="BA836" s="52" t="n">
        <v>0</v>
      </c>
      <c r="BB836" s="53" t="n">
        <v>0</v>
      </c>
      <c r="BC836" s="52" t="n">
        <v>0</v>
      </c>
      <c r="BD836" s="53" t="n">
        <v>0</v>
      </c>
      <c r="BE836" s="52" t="n">
        <v>0</v>
      </c>
      <c r="BF836" s="51" t="n">
        <v>0</v>
      </c>
    </row>
    <row r="837">
      <c r="A837">
        <f>HYPERLINK("https://www.walmart.com/ip/863552350", "863552350")</f>
        <v/>
      </c>
      <c r="B837" t="inlineStr">
        <is>
          <t>Tirrinia Super Cozy Fleece Eagle Patriotic Throw Blanket, 50" x 60", American Flag</t>
        </is>
      </c>
      <c r="C837" t="inlineStr">
        <is>
          <t>1TRBF300USA3-TBCB01</t>
        </is>
      </c>
      <c r="D837" t="inlineStr">
        <is>
          <t>Throws</t>
        </is>
      </c>
      <c r="E837" t="inlineStr">
        <is>
          <t>Tirrinia</t>
        </is>
      </c>
      <c r="F837" t="inlineStr">
        <is>
          <t>Optimized</t>
        </is>
      </c>
      <c r="G837" s="48" t="n">
        <v>0</v>
      </c>
      <c r="H837" s="49" t="n">
        <v>0</v>
      </c>
      <c r="I837" s="49" t="n">
        <v>0</v>
      </c>
      <c r="J837" s="50" t="n">
        <v>0</v>
      </c>
      <c r="K837" s="51" t="n">
        <v>0</v>
      </c>
      <c r="L837" s="52" t="n">
        <v>0</v>
      </c>
      <c r="M837" s="52" t="n">
        <v>0</v>
      </c>
      <c r="N837" s="52" t="n">
        <v>0</v>
      </c>
      <c r="O837" s="53" t="n">
        <v>0</v>
      </c>
      <c r="P837" s="52" t="n">
        <v>0</v>
      </c>
      <c r="Q837" s="53" t="n">
        <v>0</v>
      </c>
      <c r="R837" s="52" t="n">
        <v>0</v>
      </c>
      <c r="S837" s="51" t="n">
        <v>0</v>
      </c>
      <c r="T837" s="48" t="n">
        <v>0</v>
      </c>
      <c r="U837" s="49" t="n">
        <v>0</v>
      </c>
      <c r="V837" s="49" t="n">
        <v>0</v>
      </c>
      <c r="W837" s="50" t="n">
        <v>0</v>
      </c>
      <c r="X837" s="51" t="n">
        <v>0</v>
      </c>
      <c r="Y837" s="52" t="n">
        <v>0</v>
      </c>
      <c r="Z837" s="52" t="n">
        <v>0</v>
      </c>
      <c r="AA837" s="52" t="n">
        <v>0</v>
      </c>
      <c r="AB837" s="53" t="n">
        <v>0</v>
      </c>
      <c r="AC837" s="52" t="n">
        <v>0</v>
      </c>
      <c r="AD837" s="53" t="n">
        <v>0</v>
      </c>
      <c r="AE837" s="52" t="n">
        <v>0</v>
      </c>
      <c r="AF837" s="51" t="n">
        <v>0</v>
      </c>
      <c r="AG837" s="48" t="n">
        <v>0</v>
      </c>
      <c r="AH837" s="49" t="n">
        <v>0</v>
      </c>
      <c r="AI837" s="49" t="n">
        <v>0</v>
      </c>
      <c r="AJ837" s="50" t="n">
        <v>0</v>
      </c>
      <c r="AK837" s="51" t="n">
        <v>0</v>
      </c>
      <c r="AL837" s="52" t="n">
        <v>0</v>
      </c>
      <c r="AM837" s="52" t="n">
        <v>0</v>
      </c>
      <c r="AN837" s="52" t="n">
        <v>0</v>
      </c>
      <c r="AO837" s="53" t="n">
        <v>0</v>
      </c>
      <c r="AP837" s="52" t="n">
        <v>0</v>
      </c>
      <c r="AQ837" s="53" t="n">
        <v>0</v>
      </c>
      <c r="AR837" s="52" t="n">
        <v>0</v>
      </c>
      <c r="AS837" s="51" t="n">
        <v>0</v>
      </c>
      <c r="AT837" s="48" t="n">
        <v>0</v>
      </c>
      <c r="AU837" s="49" t="n">
        <v>0</v>
      </c>
      <c r="AV837" s="49" t="n">
        <v>0</v>
      </c>
      <c r="AW837" s="50" t="n">
        <v>0</v>
      </c>
      <c r="AX837" s="51" t="n">
        <v>0</v>
      </c>
      <c r="AY837" s="52" t="n">
        <v>0</v>
      </c>
      <c r="AZ837" s="52" t="n">
        <v>0</v>
      </c>
      <c r="BA837" s="52" t="n">
        <v>0</v>
      </c>
      <c r="BB837" s="53" t="n">
        <v>0</v>
      </c>
      <c r="BC837" s="52" t="n">
        <v>0</v>
      </c>
      <c r="BD837" s="53" t="n">
        <v>0</v>
      </c>
      <c r="BE837" s="52" t="n">
        <v>0</v>
      </c>
      <c r="BF837" s="51" t="n">
        <v>0</v>
      </c>
    </row>
    <row r="838">
      <c r="A838">
        <f>HYPERLINK("https://www.walmart.com/ip/863912231", "863912231")</f>
        <v/>
      </c>
      <c r="B838" t="inlineStr">
        <is>
          <t>Kato 6 Bottle Wine Carrier, Insulated Leakproof Padded Wine Cooler Carrying Tote Bag for Travel, Camping and Picnic, Perfect Wine Lover Gift, Blue</t>
        </is>
      </c>
      <c r="C838" t="inlineStr">
        <is>
          <t>1KTWB610BL</t>
        </is>
      </c>
      <c r="D838" t="inlineStr">
        <is>
          <t>Wine Totes, Bags &amp; Backpacks</t>
        </is>
      </c>
      <c r="E838" t="inlineStr">
        <is>
          <t>Kato</t>
        </is>
      </c>
      <c r="F838" t="inlineStr">
        <is>
          <t>Wine</t>
        </is>
      </c>
      <c r="G838" s="48" t="n">
        <v>0</v>
      </c>
      <c r="H838" s="49" t="n">
        <v>0</v>
      </c>
      <c r="I838" s="49" t="n">
        <v>0</v>
      </c>
      <c r="J838" s="50" t="n">
        <v>0</v>
      </c>
      <c r="K838" s="51" t="n">
        <v>0</v>
      </c>
      <c r="L838" s="52" t="n">
        <v>0</v>
      </c>
      <c r="M838" s="52" t="n">
        <v>0</v>
      </c>
      <c r="N838" s="52" t="n">
        <v>0</v>
      </c>
      <c r="O838" s="53" t="n">
        <v>0</v>
      </c>
      <c r="P838" s="52" t="n">
        <v>0</v>
      </c>
      <c r="Q838" s="53" t="n">
        <v>0</v>
      </c>
      <c r="R838" s="52" t="n">
        <v>0</v>
      </c>
      <c r="S838" s="51" t="n">
        <v>0</v>
      </c>
      <c r="T838" s="48" t="n">
        <v>0</v>
      </c>
      <c r="U838" s="49" t="n">
        <v>0</v>
      </c>
      <c r="V838" s="49" t="n">
        <v>0</v>
      </c>
      <c r="W838" s="50" t="n">
        <v>0</v>
      </c>
      <c r="X838" s="51" t="n">
        <v>0</v>
      </c>
      <c r="Y838" s="52" t="n">
        <v>0</v>
      </c>
      <c r="Z838" s="52" t="n">
        <v>0</v>
      </c>
      <c r="AA838" s="52" t="n">
        <v>0</v>
      </c>
      <c r="AB838" s="53" t="n">
        <v>0</v>
      </c>
      <c r="AC838" s="52" t="n">
        <v>0</v>
      </c>
      <c r="AD838" s="53" t="n">
        <v>0</v>
      </c>
      <c r="AE838" s="52" t="n">
        <v>0</v>
      </c>
      <c r="AF838" s="51" t="n">
        <v>0</v>
      </c>
      <c r="AG838" s="48" t="n">
        <v>0</v>
      </c>
      <c r="AH838" s="49" t="n">
        <v>0</v>
      </c>
      <c r="AI838" s="49" t="n">
        <v>0</v>
      </c>
      <c r="AJ838" s="50" t="n">
        <v>0</v>
      </c>
      <c r="AK838" s="51" t="n">
        <v>0</v>
      </c>
      <c r="AL838" s="52" t="n">
        <v>0</v>
      </c>
      <c r="AM838" s="52" t="n">
        <v>0</v>
      </c>
      <c r="AN838" s="52" t="n">
        <v>0</v>
      </c>
      <c r="AO838" s="53" t="n">
        <v>0</v>
      </c>
      <c r="AP838" s="52" t="n">
        <v>0</v>
      </c>
      <c r="AQ838" s="53" t="n">
        <v>0</v>
      </c>
      <c r="AR838" s="52" t="n">
        <v>0</v>
      </c>
      <c r="AS838" s="51" t="n">
        <v>0</v>
      </c>
      <c r="AT838" s="48" t="n">
        <v>0</v>
      </c>
      <c r="AU838" s="49" t="n">
        <v>0</v>
      </c>
      <c r="AV838" s="49" t="n">
        <v>0</v>
      </c>
      <c r="AW838" s="50" t="n">
        <v>0</v>
      </c>
      <c r="AX838" s="51" t="n">
        <v>0</v>
      </c>
      <c r="AY838" s="52" t="n">
        <v>0</v>
      </c>
      <c r="AZ838" s="52" t="n">
        <v>0</v>
      </c>
      <c r="BA838" s="52" t="n">
        <v>0</v>
      </c>
      <c r="BB838" s="53" t="n">
        <v>0</v>
      </c>
      <c r="BC838" s="52" t="n">
        <v>0</v>
      </c>
      <c r="BD838" s="53" t="n">
        <v>0</v>
      </c>
      <c r="BE838" s="52" t="n">
        <v>0</v>
      </c>
      <c r="BF838" s="51" t="n">
        <v>0</v>
      </c>
    </row>
    <row r="839">
      <c r="A839">
        <f>HYPERLINK("https://www.walmart.com/ip/864607409", "864607409")</f>
        <v/>
      </c>
      <c r="B839" t="inlineStr">
        <is>
          <t>Catalonia Women's Poncho Cape, Sherpa Fleece Cloak Coat, Snuggly Hooded Wearable Blanket, Gift Idea for Adults and Teen Girls, Grey</t>
        </is>
      </c>
      <c r="C839" t="inlineStr">
        <is>
          <t>1CTBC300GY</t>
        </is>
      </c>
      <c r="D839" t="inlineStr">
        <is>
          <t>Throws</t>
        </is>
      </c>
      <c r="E839" t="inlineStr">
        <is>
          <t>Catalonia</t>
        </is>
      </c>
      <c r="F839" t="inlineStr">
        <is>
          <t>Q2-Target,WFS,Coupon_Discount,WFS Item</t>
        </is>
      </c>
      <c r="G839" s="48" t="n">
        <v>0</v>
      </c>
      <c r="H839" s="49" t="n">
        <v>0</v>
      </c>
      <c r="I839" s="49" t="n">
        <v>0</v>
      </c>
      <c r="J839" s="50" t="n">
        <v>0</v>
      </c>
      <c r="K839" s="51" t="n">
        <v>1</v>
      </c>
      <c r="L839" s="52" t="n">
        <v>0.42</v>
      </c>
      <c r="M839" s="52" t="n">
        <v>0</v>
      </c>
      <c r="N839" s="52" t="n">
        <v>0</v>
      </c>
      <c r="O839" s="53" t="n">
        <v>0.001</v>
      </c>
      <c r="P839" s="52" t="n">
        <v>0.42</v>
      </c>
      <c r="Q839" s="53" t="n">
        <v>0</v>
      </c>
      <c r="R839" s="52" t="n">
        <v>0</v>
      </c>
      <c r="S839" s="51" t="n">
        <v>960</v>
      </c>
      <c r="T839" s="48" t="n">
        <v>0</v>
      </c>
      <c r="U839" s="49" t="n">
        <v>0</v>
      </c>
      <c r="V839" s="49" t="n">
        <v>0</v>
      </c>
      <c r="W839" s="50" t="n">
        <v>0</v>
      </c>
      <c r="X839" s="51" t="n">
        <v>0</v>
      </c>
      <c r="Y839" s="52" t="n">
        <v>0</v>
      </c>
      <c r="Z839" s="52" t="n">
        <v>0</v>
      </c>
      <c r="AA839" s="52" t="n">
        <v>0</v>
      </c>
      <c r="AB839" s="53" t="n">
        <v>0</v>
      </c>
      <c r="AC839" s="52" t="n">
        <v>0</v>
      </c>
      <c r="AD839" s="53" t="n">
        <v>0</v>
      </c>
      <c r="AE839" s="52" t="n">
        <v>0</v>
      </c>
      <c r="AF839" s="51" t="n">
        <v>0</v>
      </c>
      <c r="AG839" s="48" t="n">
        <v>0</v>
      </c>
      <c r="AH839" s="49" t="n">
        <v>0</v>
      </c>
      <c r="AI839" s="49" t="n">
        <v>0</v>
      </c>
      <c r="AJ839" s="50" t="n">
        <v>0</v>
      </c>
      <c r="AK839" s="51" t="n">
        <v>0</v>
      </c>
      <c r="AL839" s="52" t="n">
        <v>0</v>
      </c>
      <c r="AM839" s="52" t="n">
        <v>0</v>
      </c>
      <c r="AN839" s="52" t="n">
        <v>0</v>
      </c>
      <c r="AO839" s="53" t="n">
        <v>0</v>
      </c>
      <c r="AP839" s="52" t="n">
        <v>0</v>
      </c>
      <c r="AQ839" s="53" t="n">
        <v>0</v>
      </c>
      <c r="AR839" s="52" t="n">
        <v>0</v>
      </c>
      <c r="AS839" s="51" t="n">
        <v>0</v>
      </c>
      <c r="AT839" s="48" t="n">
        <v>0</v>
      </c>
      <c r="AU839" s="49" t="n">
        <v>0</v>
      </c>
      <c r="AV839" s="49" t="n">
        <v>0</v>
      </c>
      <c r="AW839" s="50" t="n">
        <v>0</v>
      </c>
      <c r="AX839" s="51" t="n">
        <v>0</v>
      </c>
      <c r="AY839" s="52" t="n">
        <v>0</v>
      </c>
      <c r="AZ839" s="52" t="n">
        <v>0</v>
      </c>
      <c r="BA839" s="52" t="n">
        <v>0</v>
      </c>
      <c r="BB839" s="53" t="n">
        <v>0</v>
      </c>
      <c r="BC839" s="52" t="n">
        <v>0</v>
      </c>
      <c r="BD839" s="53" t="n">
        <v>0</v>
      </c>
      <c r="BE839" s="52" t="n">
        <v>0</v>
      </c>
      <c r="BF839" s="51" t="n">
        <v>0</v>
      </c>
    </row>
    <row r="840">
      <c r="A840">
        <f>HYPERLINK("https://www.walmart.com/ip/865250796", "865250796")</f>
        <v/>
      </c>
      <c r="B840" t="inlineStr">
        <is>
          <t>Tirrinia Surf Poncho Changing Towel with Hood, Quick Dry Microfiber Wetsuit Changing Robe for Surfing Beach Swim Pool Water Sports, Oversized, Black</t>
        </is>
      </c>
      <c r="C840" t="inlineStr">
        <is>
          <t>1TRBR100-BK</t>
        </is>
      </c>
      <c r="D840" t="inlineStr">
        <is>
          <t>default</t>
        </is>
      </c>
      <c r="E840" t="inlineStr">
        <is>
          <t>Tirrinia</t>
        </is>
      </c>
      <c r="F840" t="inlineStr">
        <is>
          <t>Batch 1 - TR</t>
        </is>
      </c>
      <c r="G840" s="48" t="n">
        <v>0</v>
      </c>
      <c r="H840" s="49" t="n">
        <v>0</v>
      </c>
      <c r="I840" s="49" t="n">
        <v>0</v>
      </c>
      <c r="J840" s="50" t="n">
        <v>0</v>
      </c>
      <c r="K840" s="51" t="n">
        <v>0</v>
      </c>
      <c r="L840" s="52" t="n">
        <v>0</v>
      </c>
      <c r="M840" s="52" t="n">
        <v>0</v>
      </c>
      <c r="N840" s="52" t="n">
        <v>0</v>
      </c>
      <c r="O840" s="53" t="n">
        <v>0</v>
      </c>
      <c r="P840" s="52" t="n">
        <v>0</v>
      </c>
      <c r="Q840" s="53" t="n">
        <v>0</v>
      </c>
      <c r="R840" s="52" t="n">
        <v>0</v>
      </c>
      <c r="S840" s="51" t="n">
        <v>0</v>
      </c>
      <c r="T840" s="48" t="n">
        <v>0</v>
      </c>
      <c r="U840" s="49" t="n">
        <v>0</v>
      </c>
      <c r="V840" s="49" t="n">
        <v>0</v>
      </c>
      <c r="W840" s="50" t="n">
        <v>0</v>
      </c>
      <c r="X840" s="51" t="n">
        <v>0</v>
      </c>
      <c r="Y840" s="52" t="n">
        <v>0</v>
      </c>
      <c r="Z840" s="52" t="n">
        <v>0</v>
      </c>
      <c r="AA840" s="52" t="n">
        <v>0</v>
      </c>
      <c r="AB840" s="53" t="n">
        <v>0</v>
      </c>
      <c r="AC840" s="52" t="n">
        <v>0</v>
      </c>
      <c r="AD840" s="53" t="n">
        <v>0</v>
      </c>
      <c r="AE840" s="52" t="n">
        <v>0</v>
      </c>
      <c r="AF840" s="51" t="n">
        <v>0</v>
      </c>
      <c r="AG840" s="48" t="n">
        <v>0</v>
      </c>
      <c r="AH840" s="49" t="n">
        <v>0</v>
      </c>
      <c r="AI840" s="49" t="n">
        <v>0</v>
      </c>
      <c r="AJ840" s="50" t="n">
        <v>0</v>
      </c>
      <c r="AK840" s="51" t="n">
        <v>0</v>
      </c>
      <c r="AL840" s="52" t="n">
        <v>0</v>
      </c>
      <c r="AM840" s="52" t="n">
        <v>0</v>
      </c>
      <c r="AN840" s="52" t="n">
        <v>0</v>
      </c>
      <c r="AO840" s="53" t="n">
        <v>0</v>
      </c>
      <c r="AP840" s="52" t="n">
        <v>0</v>
      </c>
      <c r="AQ840" s="53" t="n">
        <v>0</v>
      </c>
      <c r="AR840" s="52" t="n">
        <v>0</v>
      </c>
      <c r="AS840" s="51" t="n">
        <v>0</v>
      </c>
      <c r="AT840" s="48" t="n">
        <v>0</v>
      </c>
      <c r="AU840" s="49" t="n">
        <v>0</v>
      </c>
      <c r="AV840" s="49" t="n">
        <v>0</v>
      </c>
      <c r="AW840" s="50" t="n">
        <v>0</v>
      </c>
      <c r="AX840" s="51" t="n">
        <v>0</v>
      </c>
      <c r="AY840" s="52" t="n">
        <v>0</v>
      </c>
      <c r="AZ840" s="52" t="n">
        <v>0</v>
      </c>
      <c r="BA840" s="52" t="n">
        <v>0</v>
      </c>
      <c r="BB840" s="53" t="n">
        <v>0</v>
      </c>
      <c r="BC840" s="52" t="n">
        <v>0</v>
      </c>
      <c r="BD840" s="53" t="n">
        <v>0</v>
      </c>
      <c r="BE840" s="52" t="n">
        <v>0</v>
      </c>
      <c r="BF840" s="51" t="n">
        <v>0</v>
      </c>
    </row>
    <row r="841">
      <c r="A841">
        <f>HYPERLINK("https://www.walmart.com/ip/866052217", "866052217")</f>
        <v/>
      </c>
      <c r="B841" t="inlineStr">
        <is>
          <t>Puppy Blanket,Super Soft Sherpa Dog Blankets and Throws Cat Fleece Sleeping Mat for Pet Small Animals 45x30 Grey</t>
        </is>
      </c>
      <c r="C841" t="inlineStr">
        <is>
          <t>1PSBF345GYLT</t>
        </is>
      </c>
      <c r="D841" t="inlineStr">
        <is>
          <t>Pet Blankets</t>
        </is>
      </c>
      <c r="E841" t="inlineStr">
        <is>
          <t>Pawsse</t>
        </is>
      </c>
      <c r="F841" t="inlineStr">
        <is>
          <t>WFS,WFS Item</t>
        </is>
      </c>
      <c r="G841" s="48" t="n">
        <v>0</v>
      </c>
      <c r="H841" s="49" t="n">
        <v>0</v>
      </c>
      <c r="I841" s="49" t="n">
        <v>0</v>
      </c>
      <c r="J841" s="50" t="n">
        <v>0</v>
      </c>
      <c r="K841" s="51" t="n">
        <v>0</v>
      </c>
      <c r="L841" s="52" t="n">
        <v>0</v>
      </c>
      <c r="M841" s="52" t="n">
        <v>0</v>
      </c>
      <c r="N841" s="52" t="n">
        <v>0</v>
      </c>
      <c r="O841" s="53" t="n">
        <v>0</v>
      </c>
      <c r="P841" s="52" t="n">
        <v>0</v>
      </c>
      <c r="Q841" s="53" t="n">
        <v>0</v>
      </c>
      <c r="R841" s="52" t="n">
        <v>0</v>
      </c>
      <c r="S841" s="51" t="n">
        <v>0</v>
      </c>
      <c r="T841" s="48" t="n">
        <v>25.96</v>
      </c>
      <c r="U841" s="49" t="n">
        <v>2</v>
      </c>
      <c r="V841" s="49" t="n">
        <v>0</v>
      </c>
      <c r="W841" s="50" t="n">
        <v>0</v>
      </c>
      <c r="X841" s="51" t="n">
        <v>0</v>
      </c>
      <c r="Y841" s="52" t="n">
        <v>0</v>
      </c>
      <c r="Z841" s="52" t="n">
        <v>0</v>
      </c>
      <c r="AA841" s="52" t="n">
        <v>0</v>
      </c>
      <c r="AB841" s="53" t="n">
        <v>0</v>
      </c>
      <c r="AC841" s="52" t="n">
        <v>0</v>
      </c>
      <c r="AD841" s="53" t="n">
        <v>0</v>
      </c>
      <c r="AE841" s="52" t="n">
        <v>12.98</v>
      </c>
      <c r="AF841" s="51" t="n">
        <v>0</v>
      </c>
      <c r="AG841" s="48" t="n">
        <v>0</v>
      </c>
      <c r="AH841" s="49" t="n">
        <v>0</v>
      </c>
      <c r="AI841" s="49" t="n">
        <v>0</v>
      </c>
      <c r="AJ841" s="50" t="n">
        <v>0</v>
      </c>
      <c r="AK841" s="51" t="n">
        <v>0</v>
      </c>
      <c r="AL841" s="52" t="n">
        <v>0</v>
      </c>
      <c r="AM841" s="52" t="n">
        <v>0</v>
      </c>
      <c r="AN841" s="52" t="n">
        <v>0</v>
      </c>
      <c r="AO841" s="53" t="n">
        <v>0</v>
      </c>
      <c r="AP841" s="52" t="n">
        <v>0</v>
      </c>
      <c r="AQ841" s="53" t="n">
        <v>0</v>
      </c>
      <c r="AR841" s="52" t="n">
        <v>0</v>
      </c>
      <c r="AS841" s="51" t="n">
        <v>0</v>
      </c>
      <c r="AT841" s="48" t="n">
        <v>12.98</v>
      </c>
      <c r="AU841" s="49" t="n">
        <v>1</v>
      </c>
      <c r="AV841" s="49" t="n">
        <v>0</v>
      </c>
      <c r="AW841" s="50" t="n">
        <v>0</v>
      </c>
      <c r="AX841" s="51" t="n">
        <v>0</v>
      </c>
      <c r="AY841" s="52" t="n">
        <v>0</v>
      </c>
      <c r="AZ841" s="52" t="n">
        <v>0</v>
      </c>
      <c r="BA841" s="52" t="n">
        <v>0</v>
      </c>
      <c r="BB841" s="53" t="n">
        <v>0</v>
      </c>
      <c r="BC841" s="52" t="n">
        <v>0</v>
      </c>
      <c r="BD841" s="53" t="n">
        <v>0</v>
      </c>
      <c r="BE841" s="52" t="n">
        <v>12.98</v>
      </c>
      <c r="BF841" s="51" t="n">
        <v>0</v>
      </c>
    </row>
    <row r="842">
      <c r="A842">
        <f>HYPERLINK("https://www.walmart.com/ip/866476168", "866476168")</f>
        <v/>
      </c>
      <c r="B842" t="inlineStr">
        <is>
          <t>Tirrinia Leggings for Women,Workout Yoga Leggings with High Waist, Tummy Control and 4-Way Stretch, Grey</t>
        </is>
      </c>
      <c r="C842" t="inlineStr">
        <is>
          <t>1TRYP105GY-XXL</t>
        </is>
      </c>
      <c r="D842" t="inlineStr">
        <is>
          <t>Leggings</t>
        </is>
      </c>
      <c r="E842" t="inlineStr">
        <is>
          <t>Tirrinia</t>
        </is>
      </c>
      <c r="F842" t="inlineStr">
        <is>
          <t>Optimized</t>
        </is>
      </c>
      <c r="G842" s="48" t="n">
        <v>0</v>
      </c>
      <c r="H842" s="49" t="n">
        <v>0</v>
      </c>
      <c r="I842" s="49" t="n">
        <v>0</v>
      </c>
      <c r="J842" s="50" t="n">
        <v>0</v>
      </c>
      <c r="K842" s="51" t="n">
        <v>0</v>
      </c>
      <c r="L842" s="52" t="n">
        <v>0</v>
      </c>
      <c r="M842" s="52" t="n">
        <v>0</v>
      </c>
      <c r="N842" s="52" t="n">
        <v>0</v>
      </c>
      <c r="O842" s="53" t="n">
        <v>0</v>
      </c>
      <c r="P842" s="52" t="n">
        <v>0</v>
      </c>
      <c r="Q842" s="53" t="n">
        <v>0</v>
      </c>
      <c r="R842" s="52" t="n">
        <v>0</v>
      </c>
      <c r="S842" s="51" t="n">
        <v>0</v>
      </c>
      <c r="T842" s="48" t="n">
        <v>0</v>
      </c>
      <c r="U842" s="49" t="n">
        <v>0</v>
      </c>
      <c r="V842" s="49" t="n">
        <v>0</v>
      </c>
      <c r="W842" s="50" t="n">
        <v>0</v>
      </c>
      <c r="X842" s="51" t="n">
        <v>0</v>
      </c>
      <c r="Y842" s="52" t="n">
        <v>0</v>
      </c>
      <c r="Z842" s="52" t="n">
        <v>0</v>
      </c>
      <c r="AA842" s="52" t="n">
        <v>0</v>
      </c>
      <c r="AB842" s="53" t="n">
        <v>0</v>
      </c>
      <c r="AC842" s="52" t="n">
        <v>0</v>
      </c>
      <c r="AD842" s="53" t="n">
        <v>0</v>
      </c>
      <c r="AE842" s="52" t="n">
        <v>0</v>
      </c>
      <c r="AF842" s="51" t="n">
        <v>0</v>
      </c>
      <c r="AG842" s="48" t="n">
        <v>0</v>
      </c>
      <c r="AH842" s="49" t="n">
        <v>0</v>
      </c>
      <c r="AI842" s="49" t="n">
        <v>0</v>
      </c>
      <c r="AJ842" s="50" t="n">
        <v>0</v>
      </c>
      <c r="AK842" s="51" t="n">
        <v>0</v>
      </c>
      <c r="AL842" s="52" t="n">
        <v>0</v>
      </c>
      <c r="AM842" s="52" t="n">
        <v>0</v>
      </c>
      <c r="AN842" s="52" t="n">
        <v>0</v>
      </c>
      <c r="AO842" s="53" t="n">
        <v>0</v>
      </c>
      <c r="AP842" s="52" t="n">
        <v>0</v>
      </c>
      <c r="AQ842" s="53" t="n">
        <v>0</v>
      </c>
      <c r="AR842" s="52" t="n">
        <v>0</v>
      </c>
      <c r="AS842" s="51" t="n">
        <v>0</v>
      </c>
      <c r="AT842" s="48" t="n">
        <v>0</v>
      </c>
      <c r="AU842" s="49" t="n">
        <v>0</v>
      </c>
      <c r="AV842" s="49" t="n">
        <v>0</v>
      </c>
      <c r="AW842" s="50" t="n">
        <v>0</v>
      </c>
      <c r="AX842" s="51" t="n">
        <v>0</v>
      </c>
      <c r="AY842" s="52" t="n">
        <v>0</v>
      </c>
      <c r="AZ842" s="52" t="n">
        <v>0</v>
      </c>
      <c r="BA842" s="52" t="n">
        <v>0</v>
      </c>
      <c r="BB842" s="53" t="n">
        <v>0</v>
      </c>
      <c r="BC842" s="52" t="n">
        <v>0</v>
      </c>
      <c r="BD842" s="53" t="n">
        <v>0</v>
      </c>
      <c r="BE842" s="52" t="n">
        <v>0</v>
      </c>
      <c r="BF842" s="51" t="n">
        <v>0</v>
      </c>
    </row>
    <row r="843">
      <c r="A843">
        <f>HYPERLINK("https://www.walmart.com/ip/866631119", "866631119")</f>
        <v/>
      </c>
      <c r="B843" t="inlineStr">
        <is>
          <t>Pawsse Waterproof Pet Snuggle Blanket, Dog Puppy Cat Fleece Sherpa Throws Cushion Mat for Car Seat Furniture Protector Cover Medium 50"x60"</t>
        </is>
      </c>
      <c r="C843" t="inlineStr">
        <is>
          <t>1PSBW561BNTP</t>
        </is>
      </c>
      <c r="D843" t="inlineStr">
        <is>
          <t>Pet Blankets</t>
        </is>
      </c>
      <c r="E843" t="inlineStr">
        <is>
          <t>Pawsse</t>
        </is>
      </c>
      <c r="F843" t="inlineStr">
        <is>
          <t>Q2-Target,WFS,SEM,WFS Item</t>
        </is>
      </c>
      <c r="G843" s="48" t="n">
        <v>0</v>
      </c>
      <c r="H843" s="49" t="n">
        <v>0</v>
      </c>
      <c r="I843" s="49" t="n">
        <v>0</v>
      </c>
      <c r="J843" s="50" t="n">
        <v>0</v>
      </c>
      <c r="K843" s="51" t="n">
        <v>0</v>
      </c>
      <c r="L843" s="52" t="n">
        <v>0</v>
      </c>
      <c r="M843" s="52" t="n">
        <v>0</v>
      </c>
      <c r="N843" s="52" t="n">
        <v>0</v>
      </c>
      <c r="O843" s="53" t="n">
        <v>0</v>
      </c>
      <c r="P843" s="52" t="n">
        <v>0</v>
      </c>
      <c r="Q843" s="53" t="n">
        <v>0</v>
      </c>
      <c r="R843" s="52" t="n">
        <v>0</v>
      </c>
      <c r="S843" s="51" t="n">
        <v>0</v>
      </c>
      <c r="T843" s="48" t="n">
        <v>0</v>
      </c>
      <c r="U843" s="49" t="n">
        <v>0</v>
      </c>
      <c r="V843" s="49" t="n">
        <v>0</v>
      </c>
      <c r="W843" s="50" t="n">
        <v>0</v>
      </c>
      <c r="X843" s="51" t="n">
        <v>0</v>
      </c>
      <c r="Y843" s="52" t="n">
        <v>0</v>
      </c>
      <c r="Z843" s="52" t="n">
        <v>0</v>
      </c>
      <c r="AA843" s="52" t="n">
        <v>0</v>
      </c>
      <c r="AB843" s="53" t="n">
        <v>0</v>
      </c>
      <c r="AC843" s="52" t="n">
        <v>0</v>
      </c>
      <c r="AD843" s="53" t="n">
        <v>0</v>
      </c>
      <c r="AE843" s="52" t="n">
        <v>0</v>
      </c>
      <c r="AF843" s="51" t="n">
        <v>0</v>
      </c>
      <c r="AG843" s="48" t="n">
        <v>0</v>
      </c>
      <c r="AH843" s="49" t="n">
        <v>0</v>
      </c>
      <c r="AI843" s="49" t="n">
        <v>0</v>
      </c>
      <c r="AJ843" s="50" t="n">
        <v>0</v>
      </c>
      <c r="AK843" s="51" t="n">
        <v>0</v>
      </c>
      <c r="AL843" s="52" t="n">
        <v>0</v>
      </c>
      <c r="AM843" s="52" t="n">
        <v>0</v>
      </c>
      <c r="AN843" s="52" t="n">
        <v>0</v>
      </c>
      <c r="AO843" s="53" t="n">
        <v>0</v>
      </c>
      <c r="AP843" s="52" t="n">
        <v>0</v>
      </c>
      <c r="AQ843" s="53" t="n">
        <v>0</v>
      </c>
      <c r="AR843" s="52" t="n">
        <v>0</v>
      </c>
      <c r="AS843" s="51" t="n">
        <v>0</v>
      </c>
      <c r="AT843" s="48" t="n">
        <v>0</v>
      </c>
      <c r="AU843" s="49" t="n">
        <v>0</v>
      </c>
      <c r="AV843" s="49" t="n">
        <v>0</v>
      </c>
      <c r="AW843" s="50" t="n">
        <v>0</v>
      </c>
      <c r="AX843" s="51" t="n">
        <v>0</v>
      </c>
      <c r="AY843" s="52" t="n">
        <v>0</v>
      </c>
      <c r="AZ843" s="52" t="n">
        <v>0</v>
      </c>
      <c r="BA843" s="52" t="n">
        <v>0</v>
      </c>
      <c r="BB843" s="53" t="n">
        <v>0</v>
      </c>
      <c r="BC843" s="52" t="n">
        <v>0</v>
      </c>
      <c r="BD843" s="53" t="n">
        <v>0</v>
      </c>
      <c r="BE843" s="52" t="n">
        <v>0</v>
      </c>
      <c r="BF843" s="51" t="n">
        <v>0</v>
      </c>
    </row>
    <row r="844">
      <c r="A844">
        <f>HYPERLINK("https://www.walmart.com/ip/866962891", "866962891")</f>
        <v/>
      </c>
      <c r="B844" t="inlineStr">
        <is>
          <t>Napa Plush Throw Blanket Multicolor, 66"x90" Twin, Striped Reversible Velvet Luxury Fleece Warm Bed Couch Blanket, Super Soft and Cozy</t>
        </is>
      </c>
      <c r="C844" t="inlineStr">
        <is>
          <t>K8030TW-LTT</t>
        </is>
      </c>
      <c r="D844" t="inlineStr">
        <is>
          <t>Throws</t>
        </is>
      </c>
      <c r="E844" t="inlineStr">
        <is>
          <t>NAPA</t>
        </is>
      </c>
      <c r="F844" t="inlineStr">
        <is>
          <t>Q2-Target,Optimized</t>
        </is>
      </c>
      <c r="G844" s="48" t="n">
        <v>0</v>
      </c>
      <c r="H844" s="49" t="n">
        <v>0</v>
      </c>
      <c r="I844" s="49" t="n">
        <v>0</v>
      </c>
      <c r="J844" s="50" t="n">
        <v>0</v>
      </c>
      <c r="K844" s="51" t="n">
        <v>0</v>
      </c>
      <c r="L844" s="52" t="n">
        <v>0</v>
      </c>
      <c r="M844" s="52" t="n">
        <v>0</v>
      </c>
      <c r="N844" s="52" t="n">
        <v>0</v>
      </c>
      <c r="O844" s="53" t="n">
        <v>0</v>
      </c>
      <c r="P844" s="52" t="n">
        <v>0</v>
      </c>
      <c r="Q844" s="53" t="n">
        <v>0</v>
      </c>
      <c r="R844" s="52" t="n">
        <v>0</v>
      </c>
      <c r="S844" s="51" t="n">
        <v>0</v>
      </c>
      <c r="T844" s="48" t="n">
        <v>0</v>
      </c>
      <c r="U844" s="49" t="n">
        <v>0</v>
      </c>
      <c r="V844" s="49" t="n">
        <v>0</v>
      </c>
      <c r="W844" s="50" t="n">
        <v>0</v>
      </c>
      <c r="X844" s="51" t="n">
        <v>0</v>
      </c>
      <c r="Y844" s="52" t="n">
        <v>0</v>
      </c>
      <c r="Z844" s="52" t="n">
        <v>0</v>
      </c>
      <c r="AA844" s="52" t="n">
        <v>0</v>
      </c>
      <c r="AB844" s="53" t="n">
        <v>0</v>
      </c>
      <c r="AC844" s="52" t="n">
        <v>0</v>
      </c>
      <c r="AD844" s="53" t="n">
        <v>0</v>
      </c>
      <c r="AE844" s="52" t="n">
        <v>0</v>
      </c>
      <c r="AF844" s="51" t="n">
        <v>0</v>
      </c>
      <c r="AG844" s="48" t="n">
        <v>0</v>
      </c>
      <c r="AH844" s="49" t="n">
        <v>0</v>
      </c>
      <c r="AI844" s="49" t="n">
        <v>0</v>
      </c>
      <c r="AJ844" s="50" t="n">
        <v>0</v>
      </c>
      <c r="AK844" s="51" t="n">
        <v>0</v>
      </c>
      <c r="AL844" s="52" t="n">
        <v>0</v>
      </c>
      <c r="AM844" s="52" t="n">
        <v>0</v>
      </c>
      <c r="AN844" s="52" t="n">
        <v>0</v>
      </c>
      <c r="AO844" s="53" t="n">
        <v>0</v>
      </c>
      <c r="AP844" s="52" t="n">
        <v>0</v>
      </c>
      <c r="AQ844" s="53" t="n">
        <v>0</v>
      </c>
      <c r="AR844" s="52" t="n">
        <v>0</v>
      </c>
      <c r="AS844" s="51" t="n">
        <v>0</v>
      </c>
      <c r="AT844" s="48" t="n">
        <v>0</v>
      </c>
      <c r="AU844" s="49" t="n">
        <v>0</v>
      </c>
      <c r="AV844" s="49" t="n">
        <v>0</v>
      </c>
      <c r="AW844" s="50" t="n">
        <v>0</v>
      </c>
      <c r="AX844" s="51" t="n">
        <v>0</v>
      </c>
      <c r="AY844" s="52" t="n">
        <v>0</v>
      </c>
      <c r="AZ844" s="52" t="n">
        <v>0</v>
      </c>
      <c r="BA844" s="52" t="n">
        <v>0</v>
      </c>
      <c r="BB844" s="53" t="n">
        <v>0</v>
      </c>
      <c r="BC844" s="52" t="n">
        <v>0</v>
      </c>
      <c r="BD844" s="53" t="n">
        <v>0</v>
      </c>
      <c r="BE844" s="52" t="n">
        <v>0</v>
      </c>
      <c r="BF844" s="51" t="n">
        <v>0</v>
      </c>
    </row>
    <row r="845">
      <c r="A845">
        <f>HYPERLINK("https://www.walmart.com/ip/867863632", "867863632")</f>
        <v/>
      </c>
      <c r="B845" t="inlineStr">
        <is>
          <t>Sports Travel Money Belt - Unisex Fitness Fanny &amp; Waist Pack -Reflective Running Belt Flip Belt - Runners waist pack &amp; M</t>
        </is>
      </c>
      <c r="C845" t="inlineStr">
        <is>
          <t>TERRA-5NG-L-ZJ</t>
        </is>
      </c>
      <c r="D845" t="inlineStr">
        <is>
          <t>Running Belts</t>
        </is>
      </c>
      <c r="E845" t="inlineStr">
        <is>
          <t>Terra</t>
        </is>
      </c>
      <c r="F845" t="inlineStr">
        <is>
          <t>Batch 1 - TR</t>
        </is>
      </c>
      <c r="G845" s="48" t="n">
        <v>0</v>
      </c>
      <c r="H845" s="49" t="n">
        <v>0</v>
      </c>
      <c r="I845" s="49" t="n">
        <v>0</v>
      </c>
      <c r="J845" s="50" t="n">
        <v>0</v>
      </c>
      <c r="K845" s="51" t="n">
        <v>0</v>
      </c>
      <c r="L845" s="52" t="n">
        <v>0</v>
      </c>
      <c r="M845" s="52" t="n">
        <v>0</v>
      </c>
      <c r="N845" s="52" t="n">
        <v>0</v>
      </c>
      <c r="O845" s="53" t="n">
        <v>0</v>
      </c>
      <c r="P845" s="52" t="n">
        <v>0</v>
      </c>
      <c r="Q845" s="53" t="n">
        <v>0</v>
      </c>
      <c r="R845" s="52" t="n">
        <v>0</v>
      </c>
      <c r="S845" s="51" t="n">
        <v>0</v>
      </c>
      <c r="T845" s="48" t="n">
        <v>0</v>
      </c>
      <c r="U845" s="49" t="n">
        <v>0</v>
      </c>
      <c r="V845" s="49" t="n">
        <v>0</v>
      </c>
      <c r="W845" s="50" t="n">
        <v>0</v>
      </c>
      <c r="X845" s="51" t="n">
        <v>0</v>
      </c>
      <c r="Y845" s="52" t="n">
        <v>0</v>
      </c>
      <c r="Z845" s="52" t="n">
        <v>0</v>
      </c>
      <c r="AA845" s="52" t="n">
        <v>0</v>
      </c>
      <c r="AB845" s="53" t="n">
        <v>0</v>
      </c>
      <c r="AC845" s="52" t="n">
        <v>0</v>
      </c>
      <c r="AD845" s="53" t="n">
        <v>0</v>
      </c>
      <c r="AE845" s="52" t="n">
        <v>0</v>
      </c>
      <c r="AF845" s="51" t="n">
        <v>0</v>
      </c>
      <c r="AG845" s="48" t="n">
        <v>0</v>
      </c>
      <c r="AH845" s="49" t="n">
        <v>0</v>
      </c>
      <c r="AI845" s="49" t="n">
        <v>0</v>
      </c>
      <c r="AJ845" s="50" t="n">
        <v>0</v>
      </c>
      <c r="AK845" s="51" t="n">
        <v>0</v>
      </c>
      <c r="AL845" s="52" t="n">
        <v>0</v>
      </c>
      <c r="AM845" s="52" t="n">
        <v>0</v>
      </c>
      <c r="AN845" s="52" t="n">
        <v>0</v>
      </c>
      <c r="AO845" s="53" t="n">
        <v>0</v>
      </c>
      <c r="AP845" s="52" t="n">
        <v>0</v>
      </c>
      <c r="AQ845" s="53" t="n">
        <v>0</v>
      </c>
      <c r="AR845" s="52" t="n">
        <v>0</v>
      </c>
      <c r="AS845" s="51" t="n">
        <v>0</v>
      </c>
      <c r="AT845" s="48" t="n">
        <v>0</v>
      </c>
      <c r="AU845" s="49" t="n">
        <v>0</v>
      </c>
      <c r="AV845" s="49" t="n">
        <v>0</v>
      </c>
      <c r="AW845" s="50" t="n">
        <v>0</v>
      </c>
      <c r="AX845" s="51" t="n">
        <v>0</v>
      </c>
      <c r="AY845" s="52" t="n">
        <v>0</v>
      </c>
      <c r="AZ845" s="52" t="n">
        <v>0</v>
      </c>
      <c r="BA845" s="52" t="n">
        <v>0</v>
      </c>
      <c r="BB845" s="53" t="n">
        <v>0</v>
      </c>
      <c r="BC845" s="52" t="n">
        <v>0</v>
      </c>
      <c r="BD845" s="53" t="n">
        <v>0</v>
      </c>
      <c r="BE845" s="52" t="n">
        <v>0</v>
      </c>
      <c r="BF845" s="51" t="n">
        <v>0</v>
      </c>
    </row>
    <row r="846">
      <c r="A846">
        <f>HYPERLINK("https://www.walmart.com/ip/868651793", "868651793")</f>
        <v/>
      </c>
      <c r="B846" t="inlineStr">
        <is>
          <t>Sherpa Wearable Blanket with Sleeves Arms, Super Soft Warm Comfy Large Fleece Plush Sleeved TV Throws Wrap Robe Blanket for Adult Women and Men by Catalonia</t>
        </is>
      </c>
      <c r="C846" t="inlineStr">
        <is>
          <t>1CTSN210BL</t>
        </is>
      </c>
      <c r="D846" t="inlineStr">
        <is>
          <t>Throws</t>
        </is>
      </c>
      <c r="E846" t="inlineStr">
        <is>
          <t>Catalonia</t>
        </is>
      </c>
      <c r="F846" t="inlineStr">
        <is>
          <t>Q2-Target,Coupon_Discount,Batch 1 - TR</t>
        </is>
      </c>
      <c r="G846" s="48" t="n">
        <v>0</v>
      </c>
      <c r="H846" s="49" t="n">
        <v>0</v>
      </c>
      <c r="I846" s="49" t="n">
        <v>0</v>
      </c>
      <c r="J846" s="50" t="n">
        <v>0</v>
      </c>
      <c r="K846" s="51" t="n">
        <v>0</v>
      </c>
      <c r="L846" s="52" t="n">
        <v>0</v>
      </c>
      <c r="M846" s="52" t="n">
        <v>0</v>
      </c>
      <c r="N846" s="52" t="n">
        <v>0</v>
      </c>
      <c r="O846" s="53" t="n">
        <v>0</v>
      </c>
      <c r="P846" s="52" t="n">
        <v>0</v>
      </c>
      <c r="Q846" s="53" t="n">
        <v>0</v>
      </c>
      <c r="R846" s="52" t="n">
        <v>0</v>
      </c>
      <c r="S846" s="51" t="n">
        <v>0</v>
      </c>
      <c r="T846" s="48" t="n">
        <v>0</v>
      </c>
      <c r="U846" s="49" t="n">
        <v>0</v>
      </c>
      <c r="V846" s="49" t="n">
        <v>0</v>
      </c>
      <c r="W846" s="50" t="n">
        <v>0</v>
      </c>
      <c r="X846" s="51" t="n">
        <v>0</v>
      </c>
      <c r="Y846" s="52" t="n">
        <v>0</v>
      </c>
      <c r="Z846" s="52" t="n">
        <v>0</v>
      </c>
      <c r="AA846" s="52" t="n">
        <v>0</v>
      </c>
      <c r="AB846" s="53" t="n">
        <v>0</v>
      </c>
      <c r="AC846" s="52" t="n">
        <v>0</v>
      </c>
      <c r="AD846" s="53" t="n">
        <v>0</v>
      </c>
      <c r="AE846" s="52" t="n">
        <v>0</v>
      </c>
      <c r="AF846" s="51" t="n">
        <v>0</v>
      </c>
      <c r="AG846" s="48" t="n">
        <v>0</v>
      </c>
      <c r="AH846" s="49" t="n">
        <v>0</v>
      </c>
      <c r="AI846" s="49" t="n">
        <v>0</v>
      </c>
      <c r="AJ846" s="50" t="n">
        <v>0</v>
      </c>
      <c r="AK846" s="51" t="n">
        <v>0</v>
      </c>
      <c r="AL846" s="52" t="n">
        <v>0</v>
      </c>
      <c r="AM846" s="52" t="n">
        <v>0</v>
      </c>
      <c r="AN846" s="52" t="n">
        <v>0</v>
      </c>
      <c r="AO846" s="53" t="n">
        <v>0</v>
      </c>
      <c r="AP846" s="52" t="n">
        <v>0</v>
      </c>
      <c r="AQ846" s="53" t="n">
        <v>0</v>
      </c>
      <c r="AR846" s="52" t="n">
        <v>0</v>
      </c>
      <c r="AS846" s="51" t="n">
        <v>0</v>
      </c>
      <c r="AT846" s="48" t="n">
        <v>0</v>
      </c>
      <c r="AU846" s="49" t="n">
        <v>0</v>
      </c>
      <c r="AV846" s="49" t="n">
        <v>0</v>
      </c>
      <c r="AW846" s="50" t="n">
        <v>0</v>
      </c>
      <c r="AX846" s="51" t="n">
        <v>0</v>
      </c>
      <c r="AY846" s="52" t="n">
        <v>0</v>
      </c>
      <c r="AZ846" s="52" t="n">
        <v>0</v>
      </c>
      <c r="BA846" s="52" t="n">
        <v>0</v>
      </c>
      <c r="BB846" s="53" t="n">
        <v>0</v>
      </c>
      <c r="BC846" s="52" t="n">
        <v>0</v>
      </c>
      <c r="BD846" s="53" t="n">
        <v>0</v>
      </c>
      <c r="BE846" s="52" t="n">
        <v>0</v>
      </c>
      <c r="BF846" s="51" t="n">
        <v>0</v>
      </c>
    </row>
    <row r="847">
      <c r="A847">
        <f>HYPERLINK("https://www.walmart.com/ip/869555940", "869555940")</f>
        <v/>
      </c>
      <c r="B847" t="inlineStr">
        <is>
          <t>Catalonia Wearable TV Blanket with Sleeves Arms &amp; Feet pockets for Adult Micro Plush Fleece Large Wrap Throw Robe 75 x 5</t>
        </is>
      </c>
      <c r="C847" t="inlineStr">
        <is>
          <t>1CTSN101CHEETAH</t>
        </is>
      </c>
      <c r="D847" t="inlineStr">
        <is>
          <t>Throws</t>
        </is>
      </c>
      <c r="E847" t="inlineStr">
        <is>
          <t>Catalonia</t>
        </is>
      </c>
      <c r="F847" t="inlineStr">
        <is>
          <t>WFS,WFS Item,Fleece Blankets</t>
        </is>
      </c>
      <c r="G847" s="48" t="n">
        <v>0</v>
      </c>
      <c r="H847" s="49" t="n">
        <v>0</v>
      </c>
      <c r="I847" s="49" t="n">
        <v>0</v>
      </c>
      <c r="J847" s="50" t="n">
        <v>0</v>
      </c>
      <c r="K847" s="51" t="n">
        <v>0</v>
      </c>
      <c r="L847" s="52" t="n">
        <v>0</v>
      </c>
      <c r="M847" s="52" t="n">
        <v>0</v>
      </c>
      <c r="N847" s="52" t="n">
        <v>0</v>
      </c>
      <c r="O847" s="53" t="n">
        <v>0</v>
      </c>
      <c r="P847" s="52" t="n">
        <v>0</v>
      </c>
      <c r="Q847" s="53" t="n">
        <v>0</v>
      </c>
      <c r="R847" s="52" t="n">
        <v>0</v>
      </c>
      <c r="S847" s="51" t="n">
        <v>0</v>
      </c>
      <c r="T847" s="48" t="n">
        <v>0</v>
      </c>
      <c r="U847" s="49" t="n">
        <v>0</v>
      </c>
      <c r="V847" s="49" t="n">
        <v>0</v>
      </c>
      <c r="W847" s="50" t="n">
        <v>0</v>
      </c>
      <c r="X847" s="51" t="n">
        <v>0</v>
      </c>
      <c r="Y847" s="52" t="n">
        <v>0</v>
      </c>
      <c r="Z847" s="52" t="n">
        <v>0</v>
      </c>
      <c r="AA847" s="52" t="n">
        <v>0</v>
      </c>
      <c r="AB847" s="53" t="n">
        <v>0</v>
      </c>
      <c r="AC847" s="52" t="n">
        <v>0</v>
      </c>
      <c r="AD847" s="53" t="n">
        <v>0</v>
      </c>
      <c r="AE847" s="52" t="n">
        <v>0</v>
      </c>
      <c r="AF847" s="51" t="n">
        <v>0</v>
      </c>
      <c r="AG847" s="48" t="n">
        <v>0</v>
      </c>
      <c r="AH847" s="49" t="n">
        <v>0</v>
      </c>
      <c r="AI847" s="49" t="n">
        <v>0</v>
      </c>
      <c r="AJ847" s="50" t="n">
        <v>0</v>
      </c>
      <c r="AK847" s="51" t="n">
        <v>0</v>
      </c>
      <c r="AL847" s="52" t="n">
        <v>0</v>
      </c>
      <c r="AM847" s="52" t="n">
        <v>0</v>
      </c>
      <c r="AN847" s="52" t="n">
        <v>0</v>
      </c>
      <c r="AO847" s="53" t="n">
        <v>0</v>
      </c>
      <c r="AP847" s="52" t="n">
        <v>0</v>
      </c>
      <c r="AQ847" s="53" t="n">
        <v>0</v>
      </c>
      <c r="AR847" s="52" t="n">
        <v>0</v>
      </c>
      <c r="AS847" s="51" t="n">
        <v>0</v>
      </c>
      <c r="AT847" s="48" t="n">
        <v>0</v>
      </c>
      <c r="AU847" s="49" t="n">
        <v>0</v>
      </c>
      <c r="AV847" s="49" t="n">
        <v>0</v>
      </c>
      <c r="AW847" s="50" t="n">
        <v>0</v>
      </c>
      <c r="AX847" s="51" t="n">
        <v>0</v>
      </c>
      <c r="AY847" s="52" t="n">
        <v>0</v>
      </c>
      <c r="AZ847" s="52" t="n">
        <v>0</v>
      </c>
      <c r="BA847" s="52" t="n">
        <v>0</v>
      </c>
      <c r="BB847" s="53" t="n">
        <v>0</v>
      </c>
      <c r="BC847" s="52" t="n">
        <v>0</v>
      </c>
      <c r="BD847" s="53" t="n">
        <v>0</v>
      </c>
      <c r="BE847" s="52" t="n">
        <v>0</v>
      </c>
      <c r="BF847" s="51" t="n">
        <v>0</v>
      </c>
    </row>
    <row r="848">
      <c r="A848">
        <f>HYPERLINK("https://www.walmart.com/ip/870353713", "870353713")</f>
        <v/>
      </c>
      <c r="B848" t="inlineStr">
        <is>
          <t>Flyingstar Blanket with Sleeves and Pocket, Wearable Throws Blanket, Robe for Women and Men 73” x 51” Latte</t>
        </is>
      </c>
      <c r="C848" t="inlineStr">
        <is>
          <t>1WMSN100LT-ESGM</t>
        </is>
      </c>
      <c r="D848" t="inlineStr">
        <is>
          <t>Throws</t>
        </is>
      </c>
      <c r="E848" t="inlineStr">
        <is>
          <t>Flyingstar</t>
        </is>
      </c>
      <c r="F848" t="inlineStr">
        <is>
          <t>Batch 1 - TR</t>
        </is>
      </c>
      <c r="G848" s="48" t="n">
        <v>0</v>
      </c>
      <c r="H848" s="49" t="n">
        <v>0</v>
      </c>
      <c r="I848" s="49" t="n">
        <v>0</v>
      </c>
      <c r="J848" s="50" t="n">
        <v>0</v>
      </c>
      <c r="K848" s="51" t="n">
        <v>0</v>
      </c>
      <c r="L848" s="52" t="n">
        <v>0</v>
      </c>
      <c r="M848" s="52" t="n">
        <v>0</v>
      </c>
      <c r="N848" s="52" t="n">
        <v>0</v>
      </c>
      <c r="O848" s="53" t="n">
        <v>0</v>
      </c>
      <c r="P848" s="52" t="n">
        <v>0</v>
      </c>
      <c r="Q848" s="53" t="n">
        <v>0</v>
      </c>
      <c r="R848" s="52" t="n">
        <v>0</v>
      </c>
      <c r="S848" s="51" t="n">
        <v>0</v>
      </c>
      <c r="T848" s="48" t="n">
        <v>0</v>
      </c>
      <c r="U848" s="49" t="n">
        <v>0</v>
      </c>
      <c r="V848" s="49" t="n">
        <v>0</v>
      </c>
      <c r="W848" s="50" t="n">
        <v>0</v>
      </c>
      <c r="X848" s="51" t="n">
        <v>0</v>
      </c>
      <c r="Y848" s="52" t="n">
        <v>0</v>
      </c>
      <c r="Z848" s="52" t="n">
        <v>0</v>
      </c>
      <c r="AA848" s="52" t="n">
        <v>0</v>
      </c>
      <c r="AB848" s="53" t="n">
        <v>0</v>
      </c>
      <c r="AC848" s="52" t="n">
        <v>0</v>
      </c>
      <c r="AD848" s="53" t="n">
        <v>0</v>
      </c>
      <c r="AE848" s="52" t="n">
        <v>0</v>
      </c>
      <c r="AF848" s="51" t="n">
        <v>0</v>
      </c>
      <c r="AG848" s="48" t="n">
        <v>0</v>
      </c>
      <c r="AH848" s="49" t="n">
        <v>0</v>
      </c>
      <c r="AI848" s="49" t="n">
        <v>0</v>
      </c>
      <c r="AJ848" s="50" t="n">
        <v>0</v>
      </c>
      <c r="AK848" s="51" t="n">
        <v>0</v>
      </c>
      <c r="AL848" s="52" t="n">
        <v>0</v>
      </c>
      <c r="AM848" s="52" t="n">
        <v>0</v>
      </c>
      <c r="AN848" s="52" t="n">
        <v>0</v>
      </c>
      <c r="AO848" s="53" t="n">
        <v>0</v>
      </c>
      <c r="AP848" s="52" t="n">
        <v>0</v>
      </c>
      <c r="AQ848" s="53" t="n">
        <v>0</v>
      </c>
      <c r="AR848" s="52" t="n">
        <v>0</v>
      </c>
      <c r="AS848" s="51" t="n">
        <v>0</v>
      </c>
      <c r="AT848" s="48" t="n">
        <v>0</v>
      </c>
      <c r="AU848" s="49" t="n">
        <v>0</v>
      </c>
      <c r="AV848" s="49" t="n">
        <v>0</v>
      </c>
      <c r="AW848" s="50" t="n">
        <v>0</v>
      </c>
      <c r="AX848" s="51" t="n">
        <v>0</v>
      </c>
      <c r="AY848" s="52" t="n">
        <v>0</v>
      </c>
      <c r="AZ848" s="52" t="n">
        <v>0</v>
      </c>
      <c r="BA848" s="52" t="n">
        <v>0</v>
      </c>
      <c r="BB848" s="53" t="n">
        <v>0</v>
      </c>
      <c r="BC848" s="52" t="n">
        <v>0</v>
      </c>
      <c r="BD848" s="53" t="n">
        <v>0</v>
      </c>
      <c r="BE848" s="52" t="n">
        <v>0</v>
      </c>
      <c r="BF848" s="51" t="n">
        <v>0</v>
      </c>
    </row>
    <row r="849">
      <c r="A849">
        <f>HYPERLINK("https://www.walmart.com/ip/873055827", "873055827")</f>
        <v/>
      </c>
      <c r="B849" t="inlineStr">
        <is>
          <t>Sherpa Blanket, Throw Blanket, Sherpa Blanket Super Soft Warm Fuzzy Snowflake Blanket Reversible for Family 60"x50" by Catalonia</t>
        </is>
      </c>
      <c r="C849" t="inlineStr">
        <is>
          <t>1CTBF390BG</t>
        </is>
      </c>
      <c r="D849" t="inlineStr">
        <is>
          <t>Throws</t>
        </is>
      </c>
      <c r="E849" t="inlineStr">
        <is>
          <t>Catalonia</t>
        </is>
      </c>
      <c r="F849" t="inlineStr">
        <is>
          <t>Batch 1 - TR</t>
        </is>
      </c>
      <c r="G849" s="48" t="n">
        <v>0</v>
      </c>
      <c r="H849" s="49" t="n">
        <v>0</v>
      </c>
      <c r="I849" s="49" t="n">
        <v>0</v>
      </c>
      <c r="J849" s="50" t="n">
        <v>0</v>
      </c>
      <c r="K849" s="51" t="n">
        <v>0</v>
      </c>
      <c r="L849" s="52" t="n">
        <v>0</v>
      </c>
      <c r="M849" s="52" t="n">
        <v>0</v>
      </c>
      <c r="N849" s="52" t="n">
        <v>0</v>
      </c>
      <c r="O849" s="53" t="n">
        <v>0</v>
      </c>
      <c r="P849" s="52" t="n">
        <v>0</v>
      </c>
      <c r="Q849" s="53" t="n">
        <v>0</v>
      </c>
      <c r="R849" s="52" t="n">
        <v>0</v>
      </c>
      <c r="S849" s="51" t="n">
        <v>0</v>
      </c>
      <c r="T849" s="48" t="n">
        <v>0</v>
      </c>
      <c r="U849" s="49" t="n">
        <v>0</v>
      </c>
      <c r="V849" s="49" t="n">
        <v>0</v>
      </c>
      <c r="W849" s="50" t="n">
        <v>0</v>
      </c>
      <c r="X849" s="51" t="n">
        <v>0</v>
      </c>
      <c r="Y849" s="52" t="n">
        <v>0</v>
      </c>
      <c r="Z849" s="52" t="n">
        <v>0</v>
      </c>
      <c r="AA849" s="52" t="n">
        <v>0</v>
      </c>
      <c r="AB849" s="53" t="n">
        <v>0</v>
      </c>
      <c r="AC849" s="52" t="n">
        <v>0</v>
      </c>
      <c r="AD849" s="53" t="n">
        <v>0</v>
      </c>
      <c r="AE849" s="52" t="n">
        <v>0</v>
      </c>
      <c r="AF849" s="51" t="n">
        <v>0</v>
      </c>
      <c r="AG849" s="48" t="n">
        <v>0</v>
      </c>
      <c r="AH849" s="49" t="n">
        <v>0</v>
      </c>
      <c r="AI849" s="49" t="n">
        <v>0</v>
      </c>
      <c r="AJ849" s="50" t="n">
        <v>0</v>
      </c>
      <c r="AK849" s="51" t="n">
        <v>0</v>
      </c>
      <c r="AL849" s="52" t="n">
        <v>0</v>
      </c>
      <c r="AM849" s="52" t="n">
        <v>0</v>
      </c>
      <c r="AN849" s="52" t="n">
        <v>0</v>
      </c>
      <c r="AO849" s="53" t="n">
        <v>0</v>
      </c>
      <c r="AP849" s="52" t="n">
        <v>0</v>
      </c>
      <c r="AQ849" s="53" t="n">
        <v>0</v>
      </c>
      <c r="AR849" s="52" t="n">
        <v>0</v>
      </c>
      <c r="AS849" s="51" t="n">
        <v>0</v>
      </c>
      <c r="AT849" s="48" t="n">
        <v>0</v>
      </c>
      <c r="AU849" s="49" t="n">
        <v>0</v>
      </c>
      <c r="AV849" s="49" t="n">
        <v>0</v>
      </c>
      <c r="AW849" s="50" t="n">
        <v>0</v>
      </c>
      <c r="AX849" s="51" t="n">
        <v>0</v>
      </c>
      <c r="AY849" s="52" t="n">
        <v>0</v>
      </c>
      <c r="AZ849" s="52" t="n">
        <v>0</v>
      </c>
      <c r="BA849" s="52" t="n">
        <v>0</v>
      </c>
      <c r="BB849" s="53" t="n">
        <v>0</v>
      </c>
      <c r="BC849" s="52" t="n">
        <v>0</v>
      </c>
      <c r="BD849" s="53" t="n">
        <v>0</v>
      </c>
      <c r="BE849" s="52" t="n">
        <v>0</v>
      </c>
      <c r="BF849" s="51" t="n">
        <v>0</v>
      </c>
    </row>
    <row r="850">
      <c r="A850">
        <f>HYPERLINK("https://www.walmart.com/ip/931708208", "931708208")</f>
        <v/>
      </c>
      <c r="B850" t="inlineStr">
        <is>
          <t>Ski Gloves for Women &amp; Men 3M Winter Snow Gloves Mittens Insulation Waterproof for Outdoors Sports</t>
        </is>
      </c>
      <c r="C850" t="inlineStr">
        <is>
          <t>1SLWG100BKXL</t>
        </is>
      </c>
      <c r="D850" t="inlineStr">
        <is>
          <t>Gloves &amp; Mittens</t>
        </is>
      </c>
      <c r="E850" t="inlineStr">
        <is>
          <t>Solaris</t>
        </is>
      </c>
      <c r="F850" t="inlineStr">
        <is>
          <t>Gloves,WFS,WFS Item</t>
        </is>
      </c>
      <c r="G850" s="48" t="n">
        <v>0</v>
      </c>
      <c r="H850" s="49" t="n">
        <v>0</v>
      </c>
      <c r="I850" s="49" t="n">
        <v>0</v>
      </c>
      <c r="J850" s="50" t="n">
        <v>0</v>
      </c>
      <c r="K850" s="51" t="n">
        <v>0</v>
      </c>
      <c r="L850" s="52" t="n">
        <v>0</v>
      </c>
      <c r="M850" s="52" t="n">
        <v>0</v>
      </c>
      <c r="N850" s="52" t="n">
        <v>0</v>
      </c>
      <c r="O850" s="53" t="n">
        <v>0</v>
      </c>
      <c r="P850" s="52" t="n">
        <v>0</v>
      </c>
      <c r="Q850" s="53" t="n">
        <v>0</v>
      </c>
      <c r="R850" s="52" t="n">
        <v>0</v>
      </c>
      <c r="S850" s="51" t="n">
        <v>0</v>
      </c>
      <c r="T850" s="48" t="n">
        <v>0</v>
      </c>
      <c r="U850" s="49" t="n">
        <v>0</v>
      </c>
      <c r="V850" s="49" t="n">
        <v>0</v>
      </c>
      <c r="W850" s="50" t="n">
        <v>0</v>
      </c>
      <c r="X850" s="51" t="n">
        <v>0</v>
      </c>
      <c r="Y850" s="52" t="n">
        <v>0</v>
      </c>
      <c r="Z850" s="52" t="n">
        <v>0</v>
      </c>
      <c r="AA850" s="52" t="n">
        <v>0</v>
      </c>
      <c r="AB850" s="53" t="n">
        <v>0</v>
      </c>
      <c r="AC850" s="52" t="n">
        <v>0</v>
      </c>
      <c r="AD850" s="53" t="n">
        <v>0</v>
      </c>
      <c r="AE850" s="52" t="n">
        <v>0</v>
      </c>
      <c r="AF850" s="51" t="n">
        <v>0</v>
      </c>
      <c r="AG850" s="48" t="n">
        <v>0</v>
      </c>
      <c r="AH850" s="49" t="n">
        <v>0</v>
      </c>
      <c r="AI850" s="49" t="n">
        <v>0</v>
      </c>
      <c r="AJ850" s="50" t="n">
        <v>0</v>
      </c>
      <c r="AK850" s="51" t="n">
        <v>0</v>
      </c>
      <c r="AL850" s="52" t="n">
        <v>0</v>
      </c>
      <c r="AM850" s="52" t="n">
        <v>0</v>
      </c>
      <c r="AN850" s="52" t="n">
        <v>0</v>
      </c>
      <c r="AO850" s="53" t="n">
        <v>0</v>
      </c>
      <c r="AP850" s="52" t="n">
        <v>0</v>
      </c>
      <c r="AQ850" s="53" t="n">
        <v>0</v>
      </c>
      <c r="AR850" s="52" t="n">
        <v>0</v>
      </c>
      <c r="AS850" s="51" t="n">
        <v>0</v>
      </c>
      <c r="AT850" s="48" t="n">
        <v>0</v>
      </c>
      <c r="AU850" s="49" t="n">
        <v>0</v>
      </c>
      <c r="AV850" s="49" t="n">
        <v>0</v>
      </c>
      <c r="AW850" s="50" t="n">
        <v>0</v>
      </c>
      <c r="AX850" s="51" t="n">
        <v>0</v>
      </c>
      <c r="AY850" s="52" t="n">
        <v>0</v>
      </c>
      <c r="AZ850" s="52" t="n">
        <v>0</v>
      </c>
      <c r="BA850" s="52" t="n">
        <v>0</v>
      </c>
      <c r="BB850" s="53" t="n">
        <v>0</v>
      </c>
      <c r="BC850" s="52" t="n">
        <v>0</v>
      </c>
      <c r="BD850" s="53" t="n">
        <v>0</v>
      </c>
      <c r="BE850" s="52" t="n">
        <v>0</v>
      </c>
      <c r="BF850" s="51" t="n">
        <v>0</v>
      </c>
    </row>
    <row r="851">
      <c r="A851">
        <f>HYPERLINK("https://www.walmart.com/ip/932821814", "932821814")</f>
        <v/>
      </c>
      <c r="B851" t="inlineStr">
        <is>
          <t>Catalonia Waterproof Blanket for Baby, Pee Proof Pet Cover for Couch Bed, Reversible Sherpa Fleece Throws for Relaxing Traveling Camping, 60"x50", Brown/Tuape</t>
        </is>
      </c>
      <c r="C851" t="inlineStr">
        <is>
          <t>1CTBW561BNTP</t>
        </is>
      </c>
      <c r="D851" t="inlineStr">
        <is>
          <t>Throws</t>
        </is>
      </c>
      <c r="E851" t="inlineStr">
        <is>
          <t>Catalonia</t>
        </is>
      </c>
      <c r="F851" t="inlineStr">
        <is>
          <t>Q2-Target,Optimized,Wproof Blanket,SEM</t>
        </is>
      </c>
      <c r="G851" s="48" t="n">
        <v>0</v>
      </c>
      <c r="H851" s="49" t="n">
        <v>0</v>
      </c>
      <c r="I851" s="49" t="n">
        <v>0</v>
      </c>
      <c r="J851" s="50" t="n">
        <v>0</v>
      </c>
      <c r="K851" s="51" t="n">
        <v>0</v>
      </c>
      <c r="L851" s="52" t="n">
        <v>0</v>
      </c>
      <c r="M851" s="52" t="n">
        <v>0</v>
      </c>
      <c r="N851" s="52" t="n">
        <v>0</v>
      </c>
      <c r="O851" s="53" t="n">
        <v>0</v>
      </c>
      <c r="P851" s="52" t="n">
        <v>0</v>
      </c>
      <c r="Q851" s="53" t="n">
        <v>0</v>
      </c>
      <c r="R851" s="52" t="n">
        <v>0</v>
      </c>
      <c r="S851" s="51" t="n">
        <v>65</v>
      </c>
      <c r="T851" s="48" t="n">
        <v>0</v>
      </c>
      <c r="U851" s="49" t="n">
        <v>0</v>
      </c>
      <c r="V851" s="49" t="n">
        <v>0</v>
      </c>
      <c r="W851" s="50" t="n">
        <v>0</v>
      </c>
      <c r="X851" s="51" t="n">
        <v>1</v>
      </c>
      <c r="Y851" s="52" t="n">
        <v>0.31</v>
      </c>
      <c r="Z851" s="52" t="n">
        <v>0</v>
      </c>
      <c r="AA851" s="52" t="n">
        <v>0</v>
      </c>
      <c r="AB851" s="53" t="n">
        <v>0.0161</v>
      </c>
      <c r="AC851" s="52" t="n">
        <v>0.31</v>
      </c>
      <c r="AD851" s="53" t="n">
        <v>0</v>
      </c>
      <c r="AE851" s="52" t="n">
        <v>0</v>
      </c>
      <c r="AF851" s="51" t="n">
        <v>62</v>
      </c>
      <c r="AG851" s="48" t="n">
        <v>0</v>
      </c>
      <c r="AH851" s="49" t="n">
        <v>0</v>
      </c>
      <c r="AI851" s="49" t="n">
        <v>0</v>
      </c>
      <c r="AJ851" s="50" t="n">
        <v>0</v>
      </c>
      <c r="AK851" s="51" t="n">
        <v>0</v>
      </c>
      <c r="AL851" s="52" t="n">
        <v>0</v>
      </c>
      <c r="AM851" s="52" t="n">
        <v>0</v>
      </c>
      <c r="AN851" s="52" t="n">
        <v>0</v>
      </c>
      <c r="AO851" s="53" t="n">
        <v>0</v>
      </c>
      <c r="AP851" s="52" t="n">
        <v>0</v>
      </c>
      <c r="AQ851" s="53" t="n">
        <v>0</v>
      </c>
      <c r="AR851" s="52" t="n">
        <v>0</v>
      </c>
      <c r="AS851" s="51" t="n">
        <v>0</v>
      </c>
      <c r="AT851" s="48" t="n">
        <v>0</v>
      </c>
      <c r="AU851" s="49" t="n">
        <v>0</v>
      </c>
      <c r="AV851" s="49" t="n">
        <v>0</v>
      </c>
      <c r="AW851" s="50" t="n">
        <v>0</v>
      </c>
      <c r="AX851" s="51" t="n">
        <v>0</v>
      </c>
      <c r="AY851" s="52" t="n">
        <v>0</v>
      </c>
      <c r="AZ851" s="52" t="n">
        <v>0</v>
      </c>
      <c r="BA851" s="52" t="n">
        <v>0</v>
      </c>
      <c r="BB851" s="53" t="n">
        <v>0</v>
      </c>
      <c r="BC851" s="52" t="n">
        <v>0</v>
      </c>
      <c r="BD851" s="53" t="n">
        <v>0</v>
      </c>
      <c r="BE851" s="52" t="n">
        <v>0</v>
      </c>
      <c r="BF851" s="51" t="n">
        <v>44</v>
      </c>
    </row>
    <row r="852">
      <c r="A852">
        <f>HYPERLINK("https://www.walmart.com/ip/933172740", "933172740")</f>
        <v/>
      </c>
      <c r="B852" t="inlineStr">
        <is>
          <t>Tirrinia Super Soft Micro Fleece Plush Chevron Throw Flannel Sherpa Blanket, 50" x 60", Brown</t>
        </is>
      </c>
      <c r="C852" t="inlineStr">
        <is>
          <t>1TRBF560BR-TBCB</t>
        </is>
      </c>
      <c r="D852" t="inlineStr">
        <is>
          <t>Throws</t>
        </is>
      </c>
      <c r="E852" t="inlineStr">
        <is>
          <t>Tirrinia</t>
        </is>
      </c>
      <c r="F852" t="inlineStr">
        <is>
          <t>Optimized</t>
        </is>
      </c>
      <c r="G852" s="48" t="n">
        <v>0</v>
      </c>
      <c r="H852" s="49" t="n">
        <v>0</v>
      </c>
      <c r="I852" s="49" t="n">
        <v>0</v>
      </c>
      <c r="J852" s="50" t="n">
        <v>0</v>
      </c>
      <c r="K852" s="51" t="n">
        <v>0</v>
      </c>
      <c r="L852" s="52" t="n">
        <v>0</v>
      </c>
      <c r="M852" s="52" t="n">
        <v>0</v>
      </c>
      <c r="N852" s="52" t="n">
        <v>0</v>
      </c>
      <c r="O852" s="53" t="n">
        <v>0</v>
      </c>
      <c r="P852" s="52" t="n">
        <v>0</v>
      </c>
      <c r="Q852" s="53" t="n">
        <v>0</v>
      </c>
      <c r="R852" s="52" t="n">
        <v>0</v>
      </c>
      <c r="S852" s="51" t="n">
        <v>0</v>
      </c>
      <c r="T852" s="48" t="n">
        <v>0</v>
      </c>
      <c r="U852" s="49" t="n">
        <v>0</v>
      </c>
      <c r="V852" s="49" t="n">
        <v>0</v>
      </c>
      <c r="W852" s="50" t="n">
        <v>0</v>
      </c>
      <c r="X852" s="51" t="n">
        <v>0</v>
      </c>
      <c r="Y852" s="52" t="n">
        <v>0</v>
      </c>
      <c r="Z852" s="52" t="n">
        <v>0</v>
      </c>
      <c r="AA852" s="52" t="n">
        <v>0</v>
      </c>
      <c r="AB852" s="53" t="n">
        <v>0</v>
      </c>
      <c r="AC852" s="52" t="n">
        <v>0</v>
      </c>
      <c r="AD852" s="53" t="n">
        <v>0</v>
      </c>
      <c r="AE852" s="52" t="n">
        <v>0</v>
      </c>
      <c r="AF852" s="51" t="n">
        <v>0</v>
      </c>
      <c r="AG852" s="48" t="n">
        <v>0</v>
      </c>
      <c r="AH852" s="49" t="n">
        <v>0</v>
      </c>
      <c r="AI852" s="49" t="n">
        <v>0</v>
      </c>
      <c r="AJ852" s="50" t="n">
        <v>0</v>
      </c>
      <c r="AK852" s="51" t="n">
        <v>0</v>
      </c>
      <c r="AL852" s="52" t="n">
        <v>0</v>
      </c>
      <c r="AM852" s="52" t="n">
        <v>0</v>
      </c>
      <c r="AN852" s="52" t="n">
        <v>0</v>
      </c>
      <c r="AO852" s="53" t="n">
        <v>0</v>
      </c>
      <c r="AP852" s="52" t="n">
        <v>0</v>
      </c>
      <c r="AQ852" s="53" t="n">
        <v>0</v>
      </c>
      <c r="AR852" s="52" t="n">
        <v>0</v>
      </c>
      <c r="AS852" s="51" t="n">
        <v>0</v>
      </c>
      <c r="AT852" s="48" t="n">
        <v>0</v>
      </c>
      <c r="AU852" s="49" t="n">
        <v>0</v>
      </c>
      <c r="AV852" s="49" t="n">
        <v>0</v>
      </c>
      <c r="AW852" s="50" t="n">
        <v>0</v>
      </c>
      <c r="AX852" s="51" t="n">
        <v>0</v>
      </c>
      <c r="AY852" s="52" t="n">
        <v>0</v>
      </c>
      <c r="AZ852" s="52" t="n">
        <v>0</v>
      </c>
      <c r="BA852" s="52" t="n">
        <v>0</v>
      </c>
      <c r="BB852" s="53" t="n">
        <v>0</v>
      </c>
      <c r="BC852" s="52" t="n">
        <v>0</v>
      </c>
      <c r="BD852" s="53" t="n">
        <v>0</v>
      </c>
      <c r="BE852" s="52" t="n">
        <v>0</v>
      </c>
      <c r="BF852" s="51" t="n">
        <v>0</v>
      </c>
    </row>
    <row r="853">
      <c r="A853">
        <f>HYPERLINK("https://www.walmart.com/ip/971341551", "971341551")</f>
        <v/>
      </c>
      <c r="B853" t="inlineStr">
        <is>
          <t>Tirrinia 2 Bottle Wine Tote Carrier - Insulated &amp; Padded Versatile Cooler Bag for Travel, BYOB Restaurant, Wine Tasting, Party, Great Gift for Wine Lover, Cheetah</t>
        </is>
      </c>
      <c r="C853" t="inlineStr">
        <is>
          <t>1TRWB221CHEETAH</t>
        </is>
      </c>
      <c r="D853" t="inlineStr">
        <is>
          <t>Wine Totes, Bags &amp; Backpacks</t>
        </is>
      </c>
      <c r="E853" t="inlineStr">
        <is>
          <t>Tirrinia</t>
        </is>
      </c>
      <c r="F853" t="inlineStr">
        <is>
          <t>Wine,Christmas,Valentine,SEM</t>
        </is>
      </c>
      <c r="G853" s="48" t="n">
        <v>0</v>
      </c>
      <c r="H853" s="49" t="n">
        <v>0</v>
      </c>
      <c r="I853" s="49" t="n">
        <v>0</v>
      </c>
      <c r="J853" s="50" t="n">
        <v>0</v>
      </c>
      <c r="K853" s="51" t="n">
        <v>0</v>
      </c>
      <c r="L853" s="52" t="n">
        <v>0</v>
      </c>
      <c r="M853" s="52" t="n">
        <v>0</v>
      </c>
      <c r="N853" s="52" t="n">
        <v>0</v>
      </c>
      <c r="O853" s="53" t="n">
        <v>0</v>
      </c>
      <c r="P853" s="52" t="n">
        <v>0</v>
      </c>
      <c r="Q853" s="53" t="n">
        <v>0</v>
      </c>
      <c r="R853" s="52" t="n">
        <v>0</v>
      </c>
      <c r="S853" s="51" t="n">
        <v>1056</v>
      </c>
      <c r="T853" s="48" t="n">
        <v>0</v>
      </c>
      <c r="U853" s="49" t="n">
        <v>0</v>
      </c>
      <c r="V853" s="49" t="n">
        <v>0</v>
      </c>
      <c r="W853" s="50" t="n">
        <v>0</v>
      </c>
      <c r="X853" s="51" t="n">
        <v>2</v>
      </c>
      <c r="Y853" s="52" t="n">
        <v>1.02</v>
      </c>
      <c r="Z853" s="52" t="n">
        <v>0</v>
      </c>
      <c r="AA853" s="52" t="n">
        <v>0</v>
      </c>
      <c r="AB853" s="53" t="n">
        <v>0.0014</v>
      </c>
      <c r="AC853" s="52" t="n">
        <v>0.51</v>
      </c>
      <c r="AD853" s="53" t="n">
        <v>0</v>
      </c>
      <c r="AE853" s="52" t="n">
        <v>0</v>
      </c>
      <c r="AF853" s="51" t="n">
        <v>1427</v>
      </c>
      <c r="AG853" s="48" t="n">
        <v>19.99</v>
      </c>
      <c r="AH853" s="49" t="n">
        <v>1</v>
      </c>
      <c r="AI853" s="49" t="n">
        <v>0</v>
      </c>
      <c r="AJ853" s="50" t="n">
        <v>0</v>
      </c>
      <c r="AK853" s="51" t="n">
        <v>5</v>
      </c>
      <c r="AL853" s="52" t="n">
        <v>2.55</v>
      </c>
      <c r="AM853" s="52" t="n">
        <v>19.99</v>
      </c>
      <c r="AN853" s="52" t="n">
        <v>7.84</v>
      </c>
      <c r="AO853" s="53" t="n">
        <v>0.0062</v>
      </c>
      <c r="AP853" s="52" t="n">
        <v>0.51</v>
      </c>
      <c r="AQ853" s="53" t="n">
        <v>0.1275637818909455</v>
      </c>
      <c r="AR853" s="52" t="n">
        <v>19.99</v>
      </c>
      <c r="AS853" s="51" t="n">
        <v>810</v>
      </c>
      <c r="AT853" s="48" t="n">
        <v>0</v>
      </c>
      <c r="AU853" s="49" t="n">
        <v>0</v>
      </c>
      <c r="AV853" s="49" t="n">
        <v>0</v>
      </c>
      <c r="AW853" s="50" t="n">
        <v>0</v>
      </c>
      <c r="AX853" s="51" t="n">
        <v>1</v>
      </c>
      <c r="AY853" s="52" t="n">
        <v>0.51</v>
      </c>
      <c r="AZ853" s="52" t="n">
        <v>0</v>
      </c>
      <c r="BA853" s="52" t="n">
        <v>0</v>
      </c>
      <c r="BB853" s="53" t="n">
        <v>0.0017</v>
      </c>
      <c r="BC853" s="52" t="n">
        <v>0.51</v>
      </c>
      <c r="BD853" s="53" t="n">
        <v>0</v>
      </c>
      <c r="BE853" s="52" t="n">
        <v>0</v>
      </c>
      <c r="BF853" s="51" t="n">
        <v>582</v>
      </c>
    </row>
    <row r="854">
      <c r="A854">
        <f>HYPERLINK("https://www.walmart.com/ip/972319326", "972319326")</f>
        <v/>
      </c>
      <c r="B854" t="inlineStr">
        <is>
          <t>Fleece Blanket Wearable with Sleeves &amp; Foot pockets for Men and Women, Micro Plush Wrap Sleeved Throw Blanket Robe Multi-Colors 75”x53” by Catalonia</t>
        </is>
      </c>
      <c r="C854" t="inlineStr">
        <is>
          <t>1CTSN101WN</t>
        </is>
      </c>
      <c r="D854" t="inlineStr">
        <is>
          <t>Throws</t>
        </is>
      </c>
      <c r="E854" t="inlineStr">
        <is>
          <t>Catalonia</t>
        </is>
      </c>
      <c r="F854" t="inlineStr">
        <is>
          <t>WFS,Coupon_Discount,WFS Item,Fleece Blankets</t>
        </is>
      </c>
      <c r="G854" s="48" t="n">
        <v>0</v>
      </c>
      <c r="H854" s="49" t="n">
        <v>0</v>
      </c>
      <c r="I854" s="49" t="n">
        <v>0</v>
      </c>
      <c r="J854" s="50" t="n">
        <v>0</v>
      </c>
      <c r="K854" s="51" t="n">
        <v>0</v>
      </c>
      <c r="L854" s="52" t="n">
        <v>0</v>
      </c>
      <c r="M854" s="52" t="n">
        <v>0</v>
      </c>
      <c r="N854" s="52" t="n">
        <v>0</v>
      </c>
      <c r="O854" s="53" t="n">
        <v>0</v>
      </c>
      <c r="P854" s="52" t="n">
        <v>0</v>
      </c>
      <c r="Q854" s="53" t="n">
        <v>0</v>
      </c>
      <c r="R854" s="52" t="n">
        <v>0</v>
      </c>
      <c r="S854" s="51" t="n">
        <v>0</v>
      </c>
      <c r="T854" s="48" t="n">
        <v>0</v>
      </c>
      <c r="U854" s="49" t="n">
        <v>0</v>
      </c>
      <c r="V854" s="49" t="n">
        <v>0</v>
      </c>
      <c r="W854" s="50" t="n">
        <v>0</v>
      </c>
      <c r="X854" s="51" t="n">
        <v>0</v>
      </c>
      <c r="Y854" s="52" t="n">
        <v>0</v>
      </c>
      <c r="Z854" s="52" t="n">
        <v>0</v>
      </c>
      <c r="AA854" s="52" t="n">
        <v>0</v>
      </c>
      <c r="AB854" s="53" t="n">
        <v>0</v>
      </c>
      <c r="AC854" s="52" t="n">
        <v>0</v>
      </c>
      <c r="AD854" s="53" t="n">
        <v>0</v>
      </c>
      <c r="AE854" s="52" t="n">
        <v>0</v>
      </c>
      <c r="AF854" s="51" t="n">
        <v>0</v>
      </c>
      <c r="AG854" s="48" t="n">
        <v>0</v>
      </c>
      <c r="AH854" s="49" t="n">
        <v>0</v>
      </c>
      <c r="AI854" s="49" t="n">
        <v>0</v>
      </c>
      <c r="AJ854" s="50" t="n">
        <v>0</v>
      </c>
      <c r="AK854" s="51" t="n">
        <v>0</v>
      </c>
      <c r="AL854" s="52" t="n">
        <v>0</v>
      </c>
      <c r="AM854" s="52" t="n">
        <v>0</v>
      </c>
      <c r="AN854" s="52" t="n">
        <v>0</v>
      </c>
      <c r="AO854" s="53" t="n">
        <v>0</v>
      </c>
      <c r="AP854" s="52" t="n">
        <v>0</v>
      </c>
      <c r="AQ854" s="53" t="n">
        <v>0</v>
      </c>
      <c r="AR854" s="52" t="n">
        <v>0</v>
      </c>
      <c r="AS854" s="51" t="n">
        <v>0</v>
      </c>
      <c r="AT854" s="48" t="n">
        <v>0</v>
      </c>
      <c r="AU854" s="49" t="n">
        <v>0</v>
      </c>
      <c r="AV854" s="49" t="n">
        <v>0</v>
      </c>
      <c r="AW854" s="50" t="n">
        <v>0</v>
      </c>
      <c r="AX854" s="51" t="n">
        <v>0</v>
      </c>
      <c r="AY854" s="52" t="n">
        <v>0</v>
      </c>
      <c r="AZ854" s="52" t="n">
        <v>0</v>
      </c>
      <c r="BA854" s="52" t="n">
        <v>0</v>
      </c>
      <c r="BB854" s="53" t="n">
        <v>0</v>
      </c>
      <c r="BC854" s="52" t="n">
        <v>0</v>
      </c>
      <c r="BD854" s="53" t="n">
        <v>0</v>
      </c>
      <c r="BE854" s="52" t="n">
        <v>0</v>
      </c>
      <c r="BF854" s="51" t="n">
        <v>0</v>
      </c>
    </row>
    <row r="855">
      <c r="A855">
        <f>HYPERLINK("https://www.walmart.com/ip/972835004", "972835004")</f>
        <v/>
      </c>
      <c r="B855" t="inlineStr">
        <is>
          <t>Type C to Type A USB 3.1-3.0 Male Sync Charging Cable by SurjTech</t>
        </is>
      </c>
      <c r="C855" t="inlineStr">
        <is>
          <t>STU3TC03WT-1M-WA</t>
        </is>
      </c>
      <c r="D855" t="inlineStr">
        <is>
          <t>Computer Cables</t>
        </is>
      </c>
      <c r="E855" t="inlineStr">
        <is>
          <t>Surjtech</t>
        </is>
      </c>
      <c r="F855" t="inlineStr">
        <is>
          <t>Batch 1 - TR</t>
        </is>
      </c>
      <c r="G855" s="48" t="n">
        <v>0</v>
      </c>
      <c r="H855" s="49" t="n">
        <v>0</v>
      </c>
      <c r="I855" s="49" t="n">
        <v>0</v>
      </c>
      <c r="J855" s="50" t="n">
        <v>0</v>
      </c>
      <c r="K855" s="51" t="n">
        <v>0</v>
      </c>
      <c r="L855" s="52" t="n">
        <v>0</v>
      </c>
      <c r="M855" s="52" t="n">
        <v>0</v>
      </c>
      <c r="N855" s="52" t="n">
        <v>0</v>
      </c>
      <c r="O855" s="53" t="n">
        <v>0</v>
      </c>
      <c r="P855" s="52" t="n">
        <v>0</v>
      </c>
      <c r="Q855" s="53" t="n">
        <v>0</v>
      </c>
      <c r="R855" s="52" t="n">
        <v>0</v>
      </c>
      <c r="S855" s="51" t="n">
        <v>0</v>
      </c>
      <c r="T855" s="48" t="n">
        <v>0</v>
      </c>
      <c r="U855" s="49" t="n">
        <v>0</v>
      </c>
      <c r="V855" s="49" t="n">
        <v>0</v>
      </c>
      <c r="W855" s="50" t="n">
        <v>0</v>
      </c>
      <c r="X855" s="51" t="n">
        <v>0</v>
      </c>
      <c r="Y855" s="52" t="n">
        <v>0</v>
      </c>
      <c r="Z855" s="52" t="n">
        <v>0</v>
      </c>
      <c r="AA855" s="52" t="n">
        <v>0</v>
      </c>
      <c r="AB855" s="53" t="n">
        <v>0</v>
      </c>
      <c r="AC855" s="52" t="n">
        <v>0</v>
      </c>
      <c r="AD855" s="53" t="n">
        <v>0</v>
      </c>
      <c r="AE855" s="52" t="n">
        <v>0</v>
      </c>
      <c r="AF855" s="51" t="n">
        <v>0</v>
      </c>
      <c r="AG855" s="48" t="n">
        <v>0</v>
      </c>
      <c r="AH855" s="49" t="n">
        <v>0</v>
      </c>
      <c r="AI855" s="49" t="n">
        <v>0</v>
      </c>
      <c r="AJ855" s="50" t="n">
        <v>0</v>
      </c>
      <c r="AK855" s="51" t="n">
        <v>0</v>
      </c>
      <c r="AL855" s="52" t="n">
        <v>0</v>
      </c>
      <c r="AM855" s="52" t="n">
        <v>0</v>
      </c>
      <c r="AN855" s="52" t="n">
        <v>0</v>
      </c>
      <c r="AO855" s="53" t="n">
        <v>0</v>
      </c>
      <c r="AP855" s="52" t="n">
        <v>0</v>
      </c>
      <c r="AQ855" s="53" t="n">
        <v>0</v>
      </c>
      <c r="AR855" s="52" t="n">
        <v>0</v>
      </c>
      <c r="AS855" s="51" t="n">
        <v>0</v>
      </c>
      <c r="AT855" s="48" t="n">
        <v>0</v>
      </c>
      <c r="AU855" s="49" t="n">
        <v>0</v>
      </c>
      <c r="AV855" s="49" t="n">
        <v>0</v>
      </c>
      <c r="AW855" s="50" t="n">
        <v>0</v>
      </c>
      <c r="AX855" s="51" t="n">
        <v>0</v>
      </c>
      <c r="AY855" s="52" t="n">
        <v>0</v>
      </c>
      <c r="AZ855" s="52" t="n">
        <v>0</v>
      </c>
      <c r="BA855" s="52" t="n">
        <v>0</v>
      </c>
      <c r="BB855" s="53" t="n">
        <v>0</v>
      </c>
      <c r="BC855" s="52" t="n">
        <v>0</v>
      </c>
      <c r="BD855" s="53" t="n">
        <v>0</v>
      </c>
      <c r="BE855" s="52" t="n">
        <v>0</v>
      </c>
      <c r="BF855" s="51" t="n">
        <v>0</v>
      </c>
    </row>
    <row r="856">
      <c r="A856">
        <f>HYPERLINK("https://www.walmart.com/ip/972879374", "972879374")</f>
        <v/>
      </c>
      <c r="B856" t="inlineStr">
        <is>
          <t>Women Floppy Sun Bucket Hats w/ Wide Brim Straw Edge Summer Beach UV Protection Foldable Gardening Hiking Cap by Solaris</t>
        </is>
      </c>
      <c r="C856" t="inlineStr">
        <is>
          <t>1SLSH031WH</t>
        </is>
      </c>
      <c r="D856" t="inlineStr">
        <is>
          <t>Hats</t>
        </is>
      </c>
      <c r="E856" t="inlineStr">
        <is>
          <t>Solaris</t>
        </is>
      </c>
      <c r="F856" t="inlineStr">
        <is>
          <t>WFS,Hats,WFS Item</t>
        </is>
      </c>
      <c r="G856" s="48" t="n">
        <v>0</v>
      </c>
      <c r="H856" s="49" t="n">
        <v>0</v>
      </c>
      <c r="I856" s="49" t="n">
        <v>0</v>
      </c>
      <c r="J856" s="50" t="n">
        <v>0</v>
      </c>
      <c r="K856" s="51" t="n">
        <v>0</v>
      </c>
      <c r="L856" s="52" t="n">
        <v>0</v>
      </c>
      <c r="M856" s="52" t="n">
        <v>0</v>
      </c>
      <c r="N856" s="52" t="n">
        <v>0</v>
      </c>
      <c r="O856" s="53" t="n">
        <v>0</v>
      </c>
      <c r="P856" s="52" t="n">
        <v>0</v>
      </c>
      <c r="Q856" s="53" t="n">
        <v>0</v>
      </c>
      <c r="R856" s="52" t="n">
        <v>0</v>
      </c>
      <c r="S856" s="51" t="n">
        <v>0</v>
      </c>
      <c r="T856" s="48" t="n">
        <v>0</v>
      </c>
      <c r="U856" s="49" t="n">
        <v>0</v>
      </c>
      <c r="V856" s="49" t="n">
        <v>0</v>
      </c>
      <c r="W856" s="50" t="n">
        <v>0</v>
      </c>
      <c r="X856" s="51" t="n">
        <v>0</v>
      </c>
      <c r="Y856" s="52" t="n">
        <v>0</v>
      </c>
      <c r="Z856" s="52" t="n">
        <v>0</v>
      </c>
      <c r="AA856" s="52" t="n">
        <v>0</v>
      </c>
      <c r="AB856" s="53" t="n">
        <v>0</v>
      </c>
      <c r="AC856" s="52" t="n">
        <v>0</v>
      </c>
      <c r="AD856" s="53" t="n">
        <v>0</v>
      </c>
      <c r="AE856" s="52" t="n">
        <v>0</v>
      </c>
      <c r="AF856" s="51" t="n">
        <v>0</v>
      </c>
      <c r="AG856" s="48" t="n">
        <v>0</v>
      </c>
      <c r="AH856" s="49" t="n">
        <v>0</v>
      </c>
      <c r="AI856" s="49" t="n">
        <v>0</v>
      </c>
      <c r="AJ856" s="50" t="n">
        <v>0</v>
      </c>
      <c r="AK856" s="51" t="n">
        <v>0</v>
      </c>
      <c r="AL856" s="52" t="n">
        <v>0</v>
      </c>
      <c r="AM856" s="52" t="n">
        <v>0</v>
      </c>
      <c r="AN856" s="52" t="n">
        <v>0</v>
      </c>
      <c r="AO856" s="53" t="n">
        <v>0</v>
      </c>
      <c r="AP856" s="52" t="n">
        <v>0</v>
      </c>
      <c r="AQ856" s="53" t="n">
        <v>0</v>
      </c>
      <c r="AR856" s="52" t="n">
        <v>0</v>
      </c>
      <c r="AS856" s="51" t="n">
        <v>0</v>
      </c>
      <c r="AT856" s="48" t="n">
        <v>0</v>
      </c>
      <c r="AU856" s="49" t="n">
        <v>0</v>
      </c>
      <c r="AV856" s="49" t="n">
        <v>0</v>
      </c>
      <c r="AW856" s="50" t="n">
        <v>0</v>
      </c>
      <c r="AX856" s="51" t="n">
        <v>0</v>
      </c>
      <c r="AY856" s="52" t="n">
        <v>0</v>
      </c>
      <c r="AZ856" s="52" t="n">
        <v>0</v>
      </c>
      <c r="BA856" s="52" t="n">
        <v>0</v>
      </c>
      <c r="BB856" s="53" t="n">
        <v>0</v>
      </c>
      <c r="BC856" s="52" t="n">
        <v>0</v>
      </c>
      <c r="BD856" s="53" t="n">
        <v>0</v>
      </c>
      <c r="BE856" s="52" t="n">
        <v>0</v>
      </c>
      <c r="BF856" s="51" t="n">
        <v>0</v>
      </c>
    </row>
    <row r="857">
      <c r="A857">
        <f>HYPERLINK("https://www.walmart.com/ip/974013155", "974013155")</f>
        <v/>
      </c>
      <c r="B857" t="inlineStr">
        <is>
          <t>Solaris American Flag Sun Cap Outdoor Sports Baseball Tennis Golf Summer Hats for Men Women, White</t>
        </is>
      </c>
      <c r="C857" t="inlineStr">
        <is>
          <t>1SLBC120WH</t>
        </is>
      </c>
      <c r="D857" t="inlineStr">
        <is>
          <t>Hats</t>
        </is>
      </c>
      <c r="E857" t="inlineStr">
        <is>
          <t>Solaris</t>
        </is>
      </c>
      <c r="F857" t="inlineStr">
        <is>
          <t>Batch 1 - TR</t>
        </is>
      </c>
      <c r="G857" s="48" t="n">
        <v>0</v>
      </c>
      <c r="H857" s="49" t="n">
        <v>0</v>
      </c>
      <c r="I857" s="49" t="n">
        <v>0</v>
      </c>
      <c r="J857" s="50" t="n">
        <v>0</v>
      </c>
      <c r="K857" s="51" t="n">
        <v>0</v>
      </c>
      <c r="L857" s="52" t="n">
        <v>0</v>
      </c>
      <c r="M857" s="52" t="n">
        <v>0</v>
      </c>
      <c r="N857" s="52" t="n">
        <v>0</v>
      </c>
      <c r="O857" s="53" t="n">
        <v>0</v>
      </c>
      <c r="P857" s="52" t="n">
        <v>0</v>
      </c>
      <c r="Q857" s="53" t="n">
        <v>0</v>
      </c>
      <c r="R857" s="52" t="n">
        <v>0</v>
      </c>
      <c r="S857" s="51" t="n">
        <v>0</v>
      </c>
      <c r="T857" s="48" t="n">
        <v>0</v>
      </c>
      <c r="U857" s="49" t="n">
        <v>0</v>
      </c>
      <c r="V857" s="49" t="n">
        <v>0</v>
      </c>
      <c r="W857" s="50" t="n">
        <v>0</v>
      </c>
      <c r="X857" s="51" t="n">
        <v>0</v>
      </c>
      <c r="Y857" s="52" t="n">
        <v>0</v>
      </c>
      <c r="Z857" s="52" t="n">
        <v>0</v>
      </c>
      <c r="AA857" s="52" t="n">
        <v>0</v>
      </c>
      <c r="AB857" s="53" t="n">
        <v>0</v>
      </c>
      <c r="AC857" s="52" t="n">
        <v>0</v>
      </c>
      <c r="AD857" s="53" t="n">
        <v>0</v>
      </c>
      <c r="AE857" s="52" t="n">
        <v>0</v>
      </c>
      <c r="AF857" s="51" t="n">
        <v>0</v>
      </c>
      <c r="AG857" s="48" t="n">
        <v>0</v>
      </c>
      <c r="AH857" s="49" t="n">
        <v>0</v>
      </c>
      <c r="AI857" s="49" t="n">
        <v>0</v>
      </c>
      <c r="AJ857" s="50" t="n">
        <v>0</v>
      </c>
      <c r="AK857" s="51" t="n">
        <v>0</v>
      </c>
      <c r="AL857" s="52" t="n">
        <v>0</v>
      </c>
      <c r="AM857" s="52" t="n">
        <v>0</v>
      </c>
      <c r="AN857" s="52" t="n">
        <v>0</v>
      </c>
      <c r="AO857" s="53" t="n">
        <v>0</v>
      </c>
      <c r="AP857" s="52" t="n">
        <v>0</v>
      </c>
      <c r="AQ857" s="53" t="n">
        <v>0</v>
      </c>
      <c r="AR857" s="52" t="n">
        <v>0</v>
      </c>
      <c r="AS857" s="51" t="n">
        <v>0</v>
      </c>
      <c r="AT857" s="48" t="n">
        <v>0</v>
      </c>
      <c r="AU857" s="49" t="n">
        <v>0</v>
      </c>
      <c r="AV857" s="49" t="n">
        <v>0</v>
      </c>
      <c r="AW857" s="50" t="n">
        <v>0</v>
      </c>
      <c r="AX857" s="51" t="n">
        <v>0</v>
      </c>
      <c r="AY857" s="52" t="n">
        <v>0</v>
      </c>
      <c r="AZ857" s="52" t="n">
        <v>0</v>
      </c>
      <c r="BA857" s="52" t="n">
        <v>0</v>
      </c>
      <c r="BB857" s="53" t="n">
        <v>0</v>
      </c>
      <c r="BC857" s="52" t="n">
        <v>0</v>
      </c>
      <c r="BD857" s="53" t="n">
        <v>0</v>
      </c>
      <c r="BE857" s="52" t="n">
        <v>0</v>
      </c>
      <c r="BF857" s="51" t="n">
        <v>0</v>
      </c>
    </row>
    <row r="858">
      <c r="A858">
        <f>HYPERLINK("https://www.walmart.com/ip/974944335", "974944335")</f>
        <v/>
      </c>
      <c r="B858" t="inlineStr">
        <is>
          <t>Terra Cool Mens Baseball Cap Hat Snake Skin Printed Flat Bill Buckle Closure Brown</t>
        </is>
      </c>
      <c r="C858" t="inlineStr">
        <is>
          <t>TERRACAP-B006</t>
        </is>
      </c>
      <c r="D858" t="inlineStr">
        <is>
          <t>Hats</t>
        </is>
      </c>
      <c r="E858" t="inlineStr">
        <is>
          <t>Terra</t>
        </is>
      </c>
      <c r="F858" t="inlineStr">
        <is>
          <t>Optimized</t>
        </is>
      </c>
      <c r="G858" s="48" t="n">
        <v>0</v>
      </c>
      <c r="H858" s="49" t="n">
        <v>0</v>
      </c>
      <c r="I858" s="49" t="n">
        <v>0</v>
      </c>
      <c r="J858" s="50" t="n">
        <v>0</v>
      </c>
      <c r="K858" s="51" t="n">
        <v>0</v>
      </c>
      <c r="L858" s="52" t="n">
        <v>0</v>
      </c>
      <c r="M858" s="52" t="n">
        <v>0</v>
      </c>
      <c r="N858" s="52" t="n">
        <v>0</v>
      </c>
      <c r="O858" s="53" t="n">
        <v>0</v>
      </c>
      <c r="P858" s="52" t="n">
        <v>0</v>
      </c>
      <c r="Q858" s="53" t="n">
        <v>0</v>
      </c>
      <c r="R858" s="52" t="n">
        <v>0</v>
      </c>
      <c r="S858" s="51" t="n">
        <v>0</v>
      </c>
      <c r="T858" s="48" t="n">
        <v>0</v>
      </c>
      <c r="U858" s="49" t="n">
        <v>0</v>
      </c>
      <c r="V858" s="49" t="n">
        <v>0</v>
      </c>
      <c r="W858" s="50" t="n">
        <v>0</v>
      </c>
      <c r="X858" s="51" t="n">
        <v>0</v>
      </c>
      <c r="Y858" s="52" t="n">
        <v>0</v>
      </c>
      <c r="Z858" s="52" t="n">
        <v>0</v>
      </c>
      <c r="AA858" s="52" t="n">
        <v>0</v>
      </c>
      <c r="AB858" s="53" t="n">
        <v>0</v>
      </c>
      <c r="AC858" s="52" t="n">
        <v>0</v>
      </c>
      <c r="AD858" s="53" t="n">
        <v>0</v>
      </c>
      <c r="AE858" s="52" t="n">
        <v>0</v>
      </c>
      <c r="AF858" s="51" t="n">
        <v>0</v>
      </c>
      <c r="AG858" s="48" t="n">
        <v>0</v>
      </c>
      <c r="AH858" s="49" t="n">
        <v>0</v>
      </c>
      <c r="AI858" s="49" t="n">
        <v>0</v>
      </c>
      <c r="AJ858" s="50" t="n">
        <v>0</v>
      </c>
      <c r="AK858" s="51" t="n">
        <v>0</v>
      </c>
      <c r="AL858" s="52" t="n">
        <v>0</v>
      </c>
      <c r="AM858" s="52" t="n">
        <v>0</v>
      </c>
      <c r="AN858" s="52" t="n">
        <v>0</v>
      </c>
      <c r="AO858" s="53" t="n">
        <v>0</v>
      </c>
      <c r="AP858" s="52" t="n">
        <v>0</v>
      </c>
      <c r="AQ858" s="53" t="n">
        <v>0</v>
      </c>
      <c r="AR858" s="52" t="n">
        <v>0</v>
      </c>
      <c r="AS858" s="51" t="n">
        <v>0</v>
      </c>
      <c r="AT858" s="48" t="n">
        <v>0</v>
      </c>
      <c r="AU858" s="49" t="n">
        <v>0</v>
      </c>
      <c r="AV858" s="49" t="n">
        <v>0</v>
      </c>
      <c r="AW858" s="50" t="n">
        <v>0</v>
      </c>
      <c r="AX858" s="51" t="n">
        <v>0</v>
      </c>
      <c r="AY858" s="52" t="n">
        <v>0</v>
      </c>
      <c r="AZ858" s="52" t="n">
        <v>0</v>
      </c>
      <c r="BA858" s="52" t="n">
        <v>0</v>
      </c>
      <c r="BB858" s="53" t="n">
        <v>0</v>
      </c>
      <c r="BC858" s="52" t="n">
        <v>0</v>
      </c>
      <c r="BD858" s="53" t="n">
        <v>0</v>
      </c>
      <c r="BE858" s="52" t="n">
        <v>0</v>
      </c>
      <c r="BF858" s="51" t="n">
        <v>0</v>
      </c>
    </row>
    <row r="859">
      <c r="A859">
        <f>HYPERLINK("https://www.walmart.com/ip/974951081", "974951081")</f>
        <v/>
      </c>
      <c r="B859" t="inlineStr">
        <is>
          <t>Hooded Blanket Poncho | Wearable Blanket Wrap with Hand Pockets | Comfy Sherpa Fleece Throw Cape for Children and Adults, Women Gift</t>
        </is>
      </c>
      <c r="C859" t="inlineStr">
        <is>
          <t>1CTBC100PK</t>
        </is>
      </c>
      <c r="D859" t="inlineStr">
        <is>
          <t>Throws</t>
        </is>
      </c>
      <c r="E859" t="inlineStr">
        <is>
          <t>Catalonia</t>
        </is>
      </c>
      <c r="F859" t="inlineStr">
        <is>
          <t>Q2-Target,WFS,WFS Item</t>
        </is>
      </c>
      <c r="G859" s="48" t="n">
        <v>0</v>
      </c>
      <c r="H859" s="49" t="n">
        <v>0</v>
      </c>
      <c r="I859" s="49" t="n">
        <v>0</v>
      </c>
      <c r="J859" s="50" t="n">
        <v>0</v>
      </c>
      <c r="K859" s="51" t="n">
        <v>0</v>
      </c>
      <c r="L859" s="52" t="n">
        <v>0</v>
      </c>
      <c r="M859" s="52" t="n">
        <v>0</v>
      </c>
      <c r="N859" s="52" t="n">
        <v>0</v>
      </c>
      <c r="O859" s="53" t="n">
        <v>0</v>
      </c>
      <c r="P859" s="52" t="n">
        <v>0</v>
      </c>
      <c r="Q859" s="53" t="n">
        <v>0</v>
      </c>
      <c r="R859" s="52" t="n">
        <v>0</v>
      </c>
      <c r="S859" s="51" t="n">
        <v>0</v>
      </c>
      <c r="T859" s="48" t="n">
        <v>0</v>
      </c>
      <c r="U859" s="49" t="n">
        <v>0</v>
      </c>
      <c r="V859" s="49" t="n">
        <v>0</v>
      </c>
      <c r="W859" s="50" t="n">
        <v>0</v>
      </c>
      <c r="X859" s="51" t="n">
        <v>0</v>
      </c>
      <c r="Y859" s="52" t="n">
        <v>0</v>
      </c>
      <c r="Z859" s="52" t="n">
        <v>0</v>
      </c>
      <c r="AA859" s="52" t="n">
        <v>0</v>
      </c>
      <c r="AB859" s="53" t="n">
        <v>0</v>
      </c>
      <c r="AC859" s="52" t="n">
        <v>0</v>
      </c>
      <c r="AD859" s="53" t="n">
        <v>0</v>
      </c>
      <c r="AE859" s="52" t="n">
        <v>0</v>
      </c>
      <c r="AF859" s="51" t="n">
        <v>0</v>
      </c>
      <c r="AG859" s="48" t="n">
        <v>0</v>
      </c>
      <c r="AH859" s="49" t="n">
        <v>0</v>
      </c>
      <c r="AI859" s="49" t="n">
        <v>0</v>
      </c>
      <c r="AJ859" s="50" t="n">
        <v>0</v>
      </c>
      <c r="AK859" s="51" t="n">
        <v>0</v>
      </c>
      <c r="AL859" s="52" t="n">
        <v>0</v>
      </c>
      <c r="AM859" s="52" t="n">
        <v>0</v>
      </c>
      <c r="AN859" s="52" t="n">
        <v>0</v>
      </c>
      <c r="AO859" s="53" t="n">
        <v>0</v>
      </c>
      <c r="AP859" s="52" t="n">
        <v>0</v>
      </c>
      <c r="AQ859" s="53" t="n">
        <v>0</v>
      </c>
      <c r="AR859" s="52" t="n">
        <v>0</v>
      </c>
      <c r="AS859" s="51" t="n">
        <v>0</v>
      </c>
      <c r="AT859" s="48" t="n">
        <v>0</v>
      </c>
      <c r="AU859" s="49" t="n">
        <v>0</v>
      </c>
      <c r="AV859" s="49" t="n">
        <v>0</v>
      </c>
      <c r="AW859" s="50" t="n">
        <v>0</v>
      </c>
      <c r="AX859" s="51" t="n">
        <v>0</v>
      </c>
      <c r="AY859" s="52" t="n">
        <v>0</v>
      </c>
      <c r="AZ859" s="52" t="n">
        <v>0</v>
      </c>
      <c r="BA859" s="52" t="n">
        <v>0</v>
      </c>
      <c r="BB859" s="53" t="n">
        <v>0</v>
      </c>
      <c r="BC859" s="52" t="n">
        <v>0</v>
      </c>
      <c r="BD859" s="53" t="n">
        <v>0</v>
      </c>
      <c r="BE859" s="52" t="n">
        <v>0</v>
      </c>
      <c r="BF859" s="51" t="n">
        <v>0</v>
      </c>
    </row>
    <row r="860">
      <c r="A860">
        <f>HYPERLINK("https://www.walmart.com/ip/975441249", "975441249")</f>
        <v/>
      </c>
      <c r="B860" t="inlineStr">
        <is>
          <t>Flyingstar Insulated Lunch Bag, Leakproof Thermal Reusable Lunch Box Tote, All Ages, Grey Checkered</t>
        </is>
      </c>
      <c r="C860" t="inlineStr">
        <is>
          <t>1WMLB702P1GYCK</t>
        </is>
      </c>
      <c r="D860" t="inlineStr">
        <is>
          <t>Reusable Lunch Bags &amp; Boxes</t>
        </is>
      </c>
      <c r="E860" t="inlineStr">
        <is>
          <t>Flyingstar</t>
        </is>
      </c>
      <c r="F860" t="inlineStr">
        <is>
          <t>Lunch Bag,SEM</t>
        </is>
      </c>
      <c r="G860" s="48" t="n">
        <v>0</v>
      </c>
      <c r="H860" s="49" t="n">
        <v>0</v>
      </c>
      <c r="I860" s="49" t="n">
        <v>0</v>
      </c>
      <c r="J860" s="50" t="n">
        <v>0</v>
      </c>
      <c r="K860" s="51" t="n">
        <v>0</v>
      </c>
      <c r="L860" s="52" t="n">
        <v>0</v>
      </c>
      <c r="M860" s="52" t="n">
        <v>0</v>
      </c>
      <c r="N860" s="52" t="n">
        <v>0</v>
      </c>
      <c r="O860" s="53" t="n">
        <v>0</v>
      </c>
      <c r="P860" s="52" t="n">
        <v>0</v>
      </c>
      <c r="Q860" s="53" t="n">
        <v>0</v>
      </c>
      <c r="R860" s="52" t="n">
        <v>0</v>
      </c>
      <c r="S860" s="51" t="n">
        <v>0</v>
      </c>
      <c r="T860" s="48" t="n">
        <v>0</v>
      </c>
      <c r="U860" s="49" t="n">
        <v>0</v>
      </c>
      <c r="V860" s="49" t="n">
        <v>0</v>
      </c>
      <c r="W860" s="50" t="n">
        <v>0</v>
      </c>
      <c r="X860" s="51" t="n">
        <v>0</v>
      </c>
      <c r="Y860" s="52" t="n">
        <v>0</v>
      </c>
      <c r="Z860" s="52" t="n">
        <v>0</v>
      </c>
      <c r="AA860" s="52" t="n">
        <v>0</v>
      </c>
      <c r="AB860" s="53" t="n">
        <v>0</v>
      </c>
      <c r="AC860" s="52" t="n">
        <v>0</v>
      </c>
      <c r="AD860" s="53" t="n">
        <v>0</v>
      </c>
      <c r="AE860" s="52" t="n">
        <v>0</v>
      </c>
      <c r="AF860" s="51" t="n">
        <v>0</v>
      </c>
      <c r="AG860" s="48" t="n">
        <v>0</v>
      </c>
      <c r="AH860" s="49" t="n">
        <v>0</v>
      </c>
      <c r="AI860" s="49" t="n">
        <v>0</v>
      </c>
      <c r="AJ860" s="50" t="n">
        <v>0</v>
      </c>
      <c r="AK860" s="51" t="n">
        <v>0</v>
      </c>
      <c r="AL860" s="52" t="n">
        <v>0</v>
      </c>
      <c r="AM860" s="52" t="n">
        <v>0</v>
      </c>
      <c r="AN860" s="52" t="n">
        <v>0</v>
      </c>
      <c r="AO860" s="53" t="n">
        <v>0</v>
      </c>
      <c r="AP860" s="52" t="n">
        <v>0</v>
      </c>
      <c r="AQ860" s="53" t="n">
        <v>0</v>
      </c>
      <c r="AR860" s="52" t="n">
        <v>0</v>
      </c>
      <c r="AS860" s="51" t="n">
        <v>0</v>
      </c>
      <c r="AT860" s="48" t="n">
        <v>0</v>
      </c>
      <c r="AU860" s="49" t="n">
        <v>0</v>
      </c>
      <c r="AV860" s="49" t="n">
        <v>0</v>
      </c>
      <c r="AW860" s="50" t="n">
        <v>0</v>
      </c>
      <c r="AX860" s="51" t="n">
        <v>0</v>
      </c>
      <c r="AY860" s="52" t="n">
        <v>0</v>
      </c>
      <c r="AZ860" s="52" t="n">
        <v>0</v>
      </c>
      <c r="BA860" s="52" t="n">
        <v>0</v>
      </c>
      <c r="BB860" s="53" t="n">
        <v>0</v>
      </c>
      <c r="BC860" s="52" t="n">
        <v>0</v>
      </c>
      <c r="BD860" s="53" t="n">
        <v>0</v>
      </c>
      <c r="BE860" s="52" t="n">
        <v>0</v>
      </c>
      <c r="BF860" s="51" t="n">
        <v>0</v>
      </c>
    </row>
    <row r="861">
      <c r="A861">
        <f>HYPERLINK("https://www.walmart.com/ip/976189174", "976189174")</f>
        <v/>
      </c>
      <c r="B861" t="inlineStr">
        <is>
          <t>Tirrinia Pet Carrier Backpack for Dogs and Cats up to 15 LBS Comfort Dog Cat Carrier Travel Bag Breathable for Hiking, Walking, Cycling &amp; Outdoor Use 16"H x13.2"L x12"W Blue</t>
        </is>
      </c>
      <c r="C861" t="inlineStr">
        <is>
          <t>1PSPB200BL</t>
        </is>
      </c>
      <c r="D861" t="inlineStr">
        <is>
          <t>Pet Carriers</t>
        </is>
      </c>
      <c r="E861" t="inlineStr">
        <is>
          <t>Pawsse</t>
        </is>
      </c>
      <c r="F861" t="inlineStr">
        <is>
          <t>Batch 1 - TR</t>
        </is>
      </c>
      <c r="G861" s="48" t="n">
        <v>0</v>
      </c>
      <c r="H861" s="49" t="n">
        <v>0</v>
      </c>
      <c r="I861" s="49" t="n">
        <v>0</v>
      </c>
      <c r="J861" s="50" t="n">
        <v>0</v>
      </c>
      <c r="K861" s="51" t="n">
        <v>0</v>
      </c>
      <c r="L861" s="52" t="n">
        <v>0</v>
      </c>
      <c r="M861" s="52" t="n">
        <v>0</v>
      </c>
      <c r="N861" s="52" t="n">
        <v>0</v>
      </c>
      <c r="O861" s="53" t="n">
        <v>0</v>
      </c>
      <c r="P861" s="52" t="n">
        <v>0</v>
      </c>
      <c r="Q861" s="53" t="n">
        <v>0</v>
      </c>
      <c r="R861" s="52" t="n">
        <v>0</v>
      </c>
      <c r="S861" s="51" t="n">
        <v>0</v>
      </c>
      <c r="T861" s="48" t="n">
        <v>0</v>
      </c>
      <c r="U861" s="49" t="n">
        <v>0</v>
      </c>
      <c r="V861" s="49" t="n">
        <v>0</v>
      </c>
      <c r="W861" s="50" t="n">
        <v>0</v>
      </c>
      <c r="X861" s="51" t="n">
        <v>0</v>
      </c>
      <c r="Y861" s="52" t="n">
        <v>0</v>
      </c>
      <c r="Z861" s="52" t="n">
        <v>0</v>
      </c>
      <c r="AA861" s="52" t="n">
        <v>0</v>
      </c>
      <c r="AB861" s="53" t="n">
        <v>0</v>
      </c>
      <c r="AC861" s="52" t="n">
        <v>0</v>
      </c>
      <c r="AD861" s="53" t="n">
        <v>0</v>
      </c>
      <c r="AE861" s="52" t="n">
        <v>0</v>
      </c>
      <c r="AF861" s="51" t="n">
        <v>0</v>
      </c>
      <c r="AG861" s="48" t="n">
        <v>0</v>
      </c>
      <c r="AH861" s="49" t="n">
        <v>0</v>
      </c>
      <c r="AI861" s="49" t="n">
        <v>0</v>
      </c>
      <c r="AJ861" s="50" t="n">
        <v>0</v>
      </c>
      <c r="AK861" s="51" t="n">
        <v>0</v>
      </c>
      <c r="AL861" s="52" t="n">
        <v>0</v>
      </c>
      <c r="AM861" s="52" t="n">
        <v>0</v>
      </c>
      <c r="AN861" s="52" t="n">
        <v>0</v>
      </c>
      <c r="AO861" s="53" t="n">
        <v>0</v>
      </c>
      <c r="AP861" s="52" t="n">
        <v>0</v>
      </c>
      <c r="AQ861" s="53" t="n">
        <v>0</v>
      </c>
      <c r="AR861" s="52" t="n">
        <v>0</v>
      </c>
      <c r="AS861" s="51" t="n">
        <v>0</v>
      </c>
      <c r="AT861" s="48" t="n">
        <v>0</v>
      </c>
      <c r="AU861" s="49" t="n">
        <v>0</v>
      </c>
      <c r="AV861" s="49" t="n">
        <v>0</v>
      </c>
      <c r="AW861" s="50" t="n">
        <v>0</v>
      </c>
      <c r="AX861" s="51" t="n">
        <v>0</v>
      </c>
      <c r="AY861" s="52" t="n">
        <v>0</v>
      </c>
      <c r="AZ861" s="52" t="n">
        <v>0</v>
      </c>
      <c r="BA861" s="52" t="n">
        <v>0</v>
      </c>
      <c r="BB861" s="53" t="n">
        <v>0</v>
      </c>
      <c r="BC861" s="52" t="n">
        <v>0</v>
      </c>
      <c r="BD861" s="53" t="n">
        <v>0</v>
      </c>
      <c r="BE861" s="52" t="n">
        <v>0</v>
      </c>
      <c r="BF861" s="51" t="n">
        <v>0</v>
      </c>
    </row>
    <row r="862">
      <c r="A862">
        <f>HYPERLINK("https://www.walmart.com/ip/976661728", "976661728")</f>
        <v/>
      </c>
      <c r="B862" t="inlineStr">
        <is>
          <t>Catalonia Teal Sherpa Throws Blanket for Girl,Super Soft Comfy Fuzzy Micro Plush Fleece Snuggle Blanket for TV Bed Sofa Couch Reversible Match Color All Season 50"x60"</t>
        </is>
      </c>
      <c r="C862" t="inlineStr">
        <is>
          <t>1CTBF301GN</t>
        </is>
      </c>
      <c r="D862" t="inlineStr">
        <is>
          <t>Throws</t>
        </is>
      </c>
      <c r="E862" t="inlineStr">
        <is>
          <t>Catalonia</t>
        </is>
      </c>
      <c r="F862" t="inlineStr">
        <is>
          <t>WFS,WFS Item</t>
        </is>
      </c>
      <c r="G862" s="48" t="n">
        <v>0</v>
      </c>
      <c r="H862" s="49" t="n">
        <v>0</v>
      </c>
      <c r="I862" s="49" t="n">
        <v>0</v>
      </c>
      <c r="J862" s="50" t="n">
        <v>0</v>
      </c>
      <c r="K862" s="51" t="n">
        <v>0</v>
      </c>
      <c r="L862" s="52" t="n">
        <v>0</v>
      </c>
      <c r="M862" s="52" t="n">
        <v>0</v>
      </c>
      <c r="N862" s="52" t="n">
        <v>0</v>
      </c>
      <c r="O862" s="53" t="n">
        <v>0</v>
      </c>
      <c r="P862" s="52" t="n">
        <v>0</v>
      </c>
      <c r="Q862" s="53" t="n">
        <v>0</v>
      </c>
      <c r="R862" s="52" t="n">
        <v>0</v>
      </c>
      <c r="S862" s="51" t="n">
        <v>0</v>
      </c>
      <c r="T862" s="48" t="n">
        <v>0</v>
      </c>
      <c r="U862" s="49" t="n">
        <v>0</v>
      </c>
      <c r="V862" s="49" t="n">
        <v>0</v>
      </c>
      <c r="W862" s="50" t="n">
        <v>0</v>
      </c>
      <c r="X862" s="51" t="n">
        <v>0</v>
      </c>
      <c r="Y862" s="52" t="n">
        <v>0</v>
      </c>
      <c r="Z862" s="52" t="n">
        <v>0</v>
      </c>
      <c r="AA862" s="52" t="n">
        <v>0</v>
      </c>
      <c r="AB862" s="53" t="n">
        <v>0</v>
      </c>
      <c r="AC862" s="52" t="n">
        <v>0</v>
      </c>
      <c r="AD862" s="53" t="n">
        <v>0</v>
      </c>
      <c r="AE862" s="52" t="n">
        <v>0</v>
      </c>
      <c r="AF862" s="51" t="n">
        <v>0</v>
      </c>
      <c r="AG862" s="48" t="n">
        <v>0</v>
      </c>
      <c r="AH862" s="49" t="n">
        <v>0</v>
      </c>
      <c r="AI862" s="49" t="n">
        <v>0</v>
      </c>
      <c r="AJ862" s="50" t="n">
        <v>0</v>
      </c>
      <c r="AK862" s="51" t="n">
        <v>0</v>
      </c>
      <c r="AL862" s="52" t="n">
        <v>0</v>
      </c>
      <c r="AM862" s="52" t="n">
        <v>0</v>
      </c>
      <c r="AN862" s="52" t="n">
        <v>0</v>
      </c>
      <c r="AO862" s="53" t="n">
        <v>0</v>
      </c>
      <c r="AP862" s="52" t="n">
        <v>0</v>
      </c>
      <c r="AQ862" s="53" t="n">
        <v>0</v>
      </c>
      <c r="AR862" s="52" t="n">
        <v>0</v>
      </c>
      <c r="AS862" s="51" t="n">
        <v>0</v>
      </c>
      <c r="AT862" s="48" t="n">
        <v>0</v>
      </c>
      <c r="AU862" s="49" t="n">
        <v>0</v>
      </c>
      <c r="AV862" s="49" t="n">
        <v>0</v>
      </c>
      <c r="AW862" s="50" t="n">
        <v>0</v>
      </c>
      <c r="AX862" s="51" t="n">
        <v>0</v>
      </c>
      <c r="AY862" s="52" t="n">
        <v>0</v>
      </c>
      <c r="AZ862" s="52" t="n">
        <v>0</v>
      </c>
      <c r="BA862" s="52" t="n">
        <v>0</v>
      </c>
      <c r="BB862" s="53" t="n">
        <v>0</v>
      </c>
      <c r="BC862" s="52" t="n">
        <v>0</v>
      </c>
      <c r="BD862" s="53" t="n">
        <v>0</v>
      </c>
      <c r="BE862" s="52" t="n">
        <v>0</v>
      </c>
      <c r="BF862" s="51" t="n">
        <v>0</v>
      </c>
    </row>
    <row r="863">
      <c r="A863">
        <f>HYPERLINK("https://www.walmart.com/ip/977010995", "977010995")</f>
        <v/>
      </c>
      <c r="B863" t="inlineStr">
        <is>
          <t>Kato Insulated Padded Thermal Single Wine Bottle Tote Bag for Travel and Picnic, Wine Gift Bag, Black</t>
        </is>
      </c>
      <c r="C863" t="inlineStr">
        <is>
          <t>1KTWB100BKCK-VNGM</t>
        </is>
      </c>
      <c r="D863" t="inlineStr">
        <is>
          <t>Wine Totes, Bags &amp; Backpacks</t>
        </is>
      </c>
      <c r="E863" t="inlineStr">
        <is>
          <t>Tirrinia</t>
        </is>
      </c>
      <c r="G863" s="48" t="n">
        <v>0</v>
      </c>
      <c r="H863" s="49" t="n">
        <v>0</v>
      </c>
      <c r="I863" s="49" t="n">
        <v>0</v>
      </c>
      <c r="J863" s="50" t="n">
        <v>0</v>
      </c>
      <c r="K863" s="51" t="n">
        <v>0</v>
      </c>
      <c r="L863" s="52" t="n">
        <v>0</v>
      </c>
      <c r="M863" s="52" t="n">
        <v>0</v>
      </c>
      <c r="N863" s="52" t="n">
        <v>0</v>
      </c>
      <c r="O863" s="53" t="n">
        <v>0</v>
      </c>
      <c r="P863" s="52" t="n">
        <v>0</v>
      </c>
      <c r="Q863" s="53" t="n">
        <v>0</v>
      </c>
      <c r="R863" s="52" t="n">
        <v>0</v>
      </c>
      <c r="S863" s="51" t="n">
        <v>0</v>
      </c>
      <c r="T863" s="48" t="n">
        <v>0</v>
      </c>
      <c r="U863" s="49" t="n">
        <v>0</v>
      </c>
      <c r="V863" s="49" t="n">
        <v>0</v>
      </c>
      <c r="W863" s="50" t="n">
        <v>0</v>
      </c>
      <c r="X863" s="51" t="n">
        <v>0</v>
      </c>
      <c r="Y863" s="52" t="n">
        <v>0</v>
      </c>
      <c r="Z863" s="52" t="n">
        <v>0</v>
      </c>
      <c r="AA863" s="52" t="n">
        <v>0</v>
      </c>
      <c r="AB863" s="53" t="n">
        <v>0</v>
      </c>
      <c r="AC863" s="52" t="n">
        <v>0</v>
      </c>
      <c r="AD863" s="53" t="n">
        <v>0</v>
      </c>
      <c r="AE863" s="52" t="n">
        <v>0</v>
      </c>
      <c r="AF863" s="51" t="n">
        <v>0</v>
      </c>
      <c r="AG863" s="48" t="n">
        <v>0</v>
      </c>
      <c r="AH863" s="49" t="n">
        <v>0</v>
      </c>
      <c r="AI863" s="49" t="n">
        <v>0</v>
      </c>
      <c r="AJ863" s="50" t="n">
        <v>0</v>
      </c>
      <c r="AK863" s="51" t="n">
        <v>0</v>
      </c>
      <c r="AL863" s="52" t="n">
        <v>0</v>
      </c>
      <c r="AM863" s="52" t="n">
        <v>0</v>
      </c>
      <c r="AN863" s="52" t="n">
        <v>0</v>
      </c>
      <c r="AO863" s="53" t="n">
        <v>0</v>
      </c>
      <c r="AP863" s="52" t="n">
        <v>0</v>
      </c>
      <c r="AQ863" s="53" t="n">
        <v>0</v>
      </c>
      <c r="AR863" s="52" t="n">
        <v>0</v>
      </c>
      <c r="AS863" s="51" t="n">
        <v>0</v>
      </c>
      <c r="AT863" s="48" t="n">
        <v>0</v>
      </c>
      <c r="AU863" s="49" t="n">
        <v>0</v>
      </c>
      <c r="AV863" s="49" t="n">
        <v>0</v>
      </c>
      <c r="AW863" s="50" t="n">
        <v>0</v>
      </c>
      <c r="AX863" s="51" t="n">
        <v>0</v>
      </c>
      <c r="AY863" s="52" t="n">
        <v>0</v>
      </c>
      <c r="AZ863" s="52" t="n">
        <v>0</v>
      </c>
      <c r="BA863" s="52" t="n">
        <v>0</v>
      </c>
      <c r="BB863" s="53" t="n">
        <v>0</v>
      </c>
      <c r="BC863" s="52" t="n">
        <v>0</v>
      </c>
      <c r="BD863" s="53" t="n">
        <v>0</v>
      </c>
      <c r="BE863" s="52" t="n">
        <v>0</v>
      </c>
      <c r="BF863" s="51" t="n">
        <v>0</v>
      </c>
    </row>
    <row r="864">
      <c r="A864">
        <f>HYPERLINK("https://www.walmart.com/ip/977526715", "977526715")</f>
        <v/>
      </c>
      <c r="B864" t="inlineStr">
        <is>
          <t>Buffalo Plaid Sherpa Throw TV Blanket, Super Soft Reversible Fleece Blanket for Cabin Bed or Couch, Catalonia series by Terrania, Cabin Plaid Red and Black Check, 50" x 60".</t>
        </is>
      </c>
      <c r="C864" t="inlineStr">
        <is>
          <t>1TRBF300PRD</t>
        </is>
      </c>
      <c r="D864" t="inlineStr">
        <is>
          <t>Throws</t>
        </is>
      </c>
      <c r="E864" t="inlineStr">
        <is>
          <t>Tirrinia</t>
        </is>
      </c>
      <c r="F864" t="inlineStr">
        <is>
          <t>Q2-Target,WFS,WFS Item,Fleece Blankets</t>
        </is>
      </c>
      <c r="G864" s="48" t="n">
        <v>0</v>
      </c>
      <c r="H864" s="49" t="n">
        <v>0</v>
      </c>
      <c r="I864" s="49" t="n">
        <v>0</v>
      </c>
      <c r="J864" s="50" t="n">
        <v>0</v>
      </c>
      <c r="K864" s="51" t="n">
        <v>0</v>
      </c>
      <c r="L864" s="52" t="n">
        <v>0</v>
      </c>
      <c r="M864" s="52" t="n">
        <v>0</v>
      </c>
      <c r="N864" s="52" t="n">
        <v>0</v>
      </c>
      <c r="O864" s="53" t="n">
        <v>0</v>
      </c>
      <c r="P864" s="52" t="n">
        <v>0</v>
      </c>
      <c r="Q864" s="53" t="n">
        <v>0</v>
      </c>
      <c r="R864" s="52" t="n">
        <v>0</v>
      </c>
      <c r="S864" s="51" t="n">
        <v>0</v>
      </c>
      <c r="T864" s="48" t="n">
        <v>0</v>
      </c>
      <c r="U864" s="49" t="n">
        <v>0</v>
      </c>
      <c r="V864" s="49" t="n">
        <v>0</v>
      </c>
      <c r="W864" s="50" t="n">
        <v>0</v>
      </c>
      <c r="X864" s="51" t="n">
        <v>0</v>
      </c>
      <c r="Y864" s="52" t="n">
        <v>0</v>
      </c>
      <c r="Z864" s="52" t="n">
        <v>0</v>
      </c>
      <c r="AA864" s="52" t="n">
        <v>0</v>
      </c>
      <c r="AB864" s="53" t="n">
        <v>0</v>
      </c>
      <c r="AC864" s="52" t="n">
        <v>0</v>
      </c>
      <c r="AD864" s="53" t="n">
        <v>0</v>
      </c>
      <c r="AE864" s="52" t="n">
        <v>0</v>
      </c>
      <c r="AF864" s="51" t="n">
        <v>0</v>
      </c>
      <c r="AG864" s="48" t="n">
        <v>0</v>
      </c>
      <c r="AH864" s="49" t="n">
        <v>0</v>
      </c>
      <c r="AI864" s="49" t="n">
        <v>0</v>
      </c>
      <c r="AJ864" s="50" t="n">
        <v>0</v>
      </c>
      <c r="AK864" s="51" t="n">
        <v>0</v>
      </c>
      <c r="AL864" s="52" t="n">
        <v>0</v>
      </c>
      <c r="AM864" s="52" t="n">
        <v>0</v>
      </c>
      <c r="AN864" s="52" t="n">
        <v>0</v>
      </c>
      <c r="AO864" s="53" t="n">
        <v>0</v>
      </c>
      <c r="AP864" s="52" t="n">
        <v>0</v>
      </c>
      <c r="AQ864" s="53" t="n">
        <v>0</v>
      </c>
      <c r="AR864" s="52" t="n">
        <v>0</v>
      </c>
      <c r="AS864" s="51" t="n">
        <v>0</v>
      </c>
      <c r="AT864" s="48" t="n">
        <v>0</v>
      </c>
      <c r="AU864" s="49" t="n">
        <v>0</v>
      </c>
      <c r="AV864" s="49" t="n">
        <v>0</v>
      </c>
      <c r="AW864" s="50" t="n">
        <v>0</v>
      </c>
      <c r="AX864" s="51" t="n">
        <v>0</v>
      </c>
      <c r="AY864" s="52" t="n">
        <v>0</v>
      </c>
      <c r="AZ864" s="52" t="n">
        <v>0</v>
      </c>
      <c r="BA864" s="52" t="n">
        <v>0</v>
      </c>
      <c r="BB864" s="53" t="n">
        <v>0</v>
      </c>
      <c r="BC864" s="52" t="n">
        <v>0</v>
      </c>
      <c r="BD864" s="53" t="n">
        <v>0</v>
      </c>
      <c r="BE864" s="52" t="n">
        <v>0</v>
      </c>
      <c r="BF864" s="51" t="n">
        <v>0</v>
      </c>
    </row>
    <row r="865">
      <c r="A865">
        <f>HYPERLINK("https://www.walmart.com/ip/977973294", "977973294")</f>
        <v/>
      </c>
      <c r="B865" t="inlineStr">
        <is>
          <t>Home Comforts Blanket with Sleeves, Super Soft Wearable TV Blanket Robe Fleece for Adults 73 x 51”| Cozy Warm, Lightweight</t>
        </is>
      </c>
      <c r="C865" t="inlineStr">
        <is>
          <t>1TRSN100BK</t>
        </is>
      </c>
      <c r="D865" t="inlineStr">
        <is>
          <t>Throws</t>
        </is>
      </c>
      <c r="E865" t="inlineStr">
        <is>
          <t>Tirrinia</t>
        </is>
      </c>
      <c r="F865" t="inlineStr">
        <is>
          <t>WFS,WFS Item,Fleece Blankets</t>
        </is>
      </c>
      <c r="G865" s="48" t="n">
        <v>0</v>
      </c>
      <c r="H865" s="49" t="n">
        <v>0</v>
      </c>
      <c r="I865" s="49" t="n">
        <v>0</v>
      </c>
      <c r="J865" s="50" t="n">
        <v>0</v>
      </c>
      <c r="K865" s="51" t="n">
        <v>0</v>
      </c>
      <c r="L865" s="52" t="n">
        <v>0</v>
      </c>
      <c r="M865" s="52" t="n">
        <v>0</v>
      </c>
      <c r="N865" s="52" t="n">
        <v>0</v>
      </c>
      <c r="O865" s="53" t="n">
        <v>0</v>
      </c>
      <c r="P865" s="52" t="n">
        <v>0</v>
      </c>
      <c r="Q865" s="53" t="n">
        <v>0</v>
      </c>
      <c r="R865" s="52" t="n">
        <v>0</v>
      </c>
      <c r="S865" s="51" t="n">
        <v>0</v>
      </c>
      <c r="T865" s="48" t="n">
        <v>0</v>
      </c>
      <c r="U865" s="49" t="n">
        <v>0</v>
      </c>
      <c r="V865" s="49" t="n">
        <v>0</v>
      </c>
      <c r="W865" s="50" t="n">
        <v>0</v>
      </c>
      <c r="X865" s="51" t="n">
        <v>0</v>
      </c>
      <c r="Y865" s="52" t="n">
        <v>0</v>
      </c>
      <c r="Z865" s="52" t="n">
        <v>0</v>
      </c>
      <c r="AA865" s="52" t="n">
        <v>0</v>
      </c>
      <c r="AB865" s="53" t="n">
        <v>0</v>
      </c>
      <c r="AC865" s="52" t="n">
        <v>0</v>
      </c>
      <c r="AD865" s="53" t="n">
        <v>0</v>
      </c>
      <c r="AE865" s="52" t="n">
        <v>0</v>
      </c>
      <c r="AF865" s="51" t="n">
        <v>0</v>
      </c>
      <c r="AG865" s="48" t="n">
        <v>0</v>
      </c>
      <c r="AH865" s="49" t="n">
        <v>0</v>
      </c>
      <c r="AI865" s="49" t="n">
        <v>0</v>
      </c>
      <c r="AJ865" s="50" t="n">
        <v>0</v>
      </c>
      <c r="AK865" s="51" t="n">
        <v>0</v>
      </c>
      <c r="AL865" s="52" t="n">
        <v>0</v>
      </c>
      <c r="AM865" s="52" t="n">
        <v>0</v>
      </c>
      <c r="AN865" s="52" t="n">
        <v>0</v>
      </c>
      <c r="AO865" s="53" t="n">
        <v>0</v>
      </c>
      <c r="AP865" s="52" t="n">
        <v>0</v>
      </c>
      <c r="AQ865" s="53" t="n">
        <v>0</v>
      </c>
      <c r="AR865" s="52" t="n">
        <v>0</v>
      </c>
      <c r="AS865" s="51" t="n">
        <v>0</v>
      </c>
      <c r="AT865" s="48" t="n">
        <v>0</v>
      </c>
      <c r="AU865" s="49" t="n">
        <v>0</v>
      </c>
      <c r="AV865" s="49" t="n">
        <v>0</v>
      </c>
      <c r="AW865" s="50" t="n">
        <v>0</v>
      </c>
      <c r="AX865" s="51" t="n">
        <v>0</v>
      </c>
      <c r="AY865" s="52" t="n">
        <v>0</v>
      </c>
      <c r="AZ865" s="52" t="n">
        <v>0</v>
      </c>
      <c r="BA865" s="52" t="n">
        <v>0</v>
      </c>
      <c r="BB865" s="53" t="n">
        <v>0</v>
      </c>
      <c r="BC865" s="52" t="n">
        <v>0</v>
      </c>
      <c r="BD865" s="53" t="n">
        <v>0</v>
      </c>
      <c r="BE865" s="52" t="n">
        <v>0</v>
      </c>
      <c r="BF865" s="51" t="n">
        <v>0</v>
      </c>
    </row>
    <row r="866">
      <c r="A866">
        <f>HYPERLINK("https://www.walmart.com/ip/979279232", "979279232")</f>
        <v/>
      </c>
      <c r="B866" t="inlineStr">
        <is>
          <t>KritterWorld 2 in 1 Front Car Seat Covers Pet Travel Protector Basket for Dog Cat Scratch Resistant Waterproof and Non-slip Black</t>
        </is>
      </c>
      <c r="C866" t="inlineStr">
        <is>
          <t>KWPETCSC02-BK</t>
        </is>
      </c>
      <c r="D866" t="inlineStr">
        <is>
          <t>Pet Car Seat Covers</t>
        </is>
      </c>
      <c r="E866" t="inlineStr">
        <is>
          <t>KritterWorld</t>
        </is>
      </c>
      <c r="F866" t="inlineStr">
        <is>
          <t>Batch 1 - TR</t>
        </is>
      </c>
      <c r="G866" s="48" t="n">
        <v>0</v>
      </c>
      <c r="H866" s="49" t="n">
        <v>0</v>
      </c>
      <c r="I866" s="49" t="n">
        <v>0</v>
      </c>
      <c r="J866" s="50" t="n">
        <v>0</v>
      </c>
      <c r="K866" s="51" t="n">
        <v>0</v>
      </c>
      <c r="L866" s="52" t="n">
        <v>0</v>
      </c>
      <c r="M866" s="52" t="n">
        <v>0</v>
      </c>
      <c r="N866" s="52" t="n">
        <v>0</v>
      </c>
      <c r="O866" s="53" t="n">
        <v>0</v>
      </c>
      <c r="P866" s="52" t="n">
        <v>0</v>
      </c>
      <c r="Q866" s="53" t="n">
        <v>0</v>
      </c>
      <c r="R866" s="52" t="n">
        <v>0</v>
      </c>
      <c r="S866" s="51" t="n">
        <v>0</v>
      </c>
      <c r="T866" s="48" t="n">
        <v>0</v>
      </c>
      <c r="U866" s="49" t="n">
        <v>0</v>
      </c>
      <c r="V866" s="49" t="n">
        <v>0</v>
      </c>
      <c r="W866" s="50" t="n">
        <v>0</v>
      </c>
      <c r="X866" s="51" t="n">
        <v>0</v>
      </c>
      <c r="Y866" s="52" t="n">
        <v>0</v>
      </c>
      <c r="Z866" s="52" t="n">
        <v>0</v>
      </c>
      <c r="AA866" s="52" t="n">
        <v>0</v>
      </c>
      <c r="AB866" s="53" t="n">
        <v>0</v>
      </c>
      <c r="AC866" s="52" t="n">
        <v>0</v>
      </c>
      <c r="AD866" s="53" t="n">
        <v>0</v>
      </c>
      <c r="AE866" s="52" t="n">
        <v>0</v>
      </c>
      <c r="AF866" s="51" t="n">
        <v>0</v>
      </c>
      <c r="AG866" s="48" t="n">
        <v>0</v>
      </c>
      <c r="AH866" s="49" t="n">
        <v>0</v>
      </c>
      <c r="AI866" s="49" t="n">
        <v>0</v>
      </c>
      <c r="AJ866" s="50" t="n">
        <v>0</v>
      </c>
      <c r="AK866" s="51" t="n">
        <v>0</v>
      </c>
      <c r="AL866" s="52" t="n">
        <v>0</v>
      </c>
      <c r="AM866" s="52" t="n">
        <v>0</v>
      </c>
      <c r="AN866" s="52" t="n">
        <v>0</v>
      </c>
      <c r="AO866" s="53" t="n">
        <v>0</v>
      </c>
      <c r="AP866" s="52" t="n">
        <v>0</v>
      </c>
      <c r="AQ866" s="53" t="n">
        <v>0</v>
      </c>
      <c r="AR866" s="52" t="n">
        <v>0</v>
      </c>
      <c r="AS866" s="51" t="n">
        <v>0</v>
      </c>
      <c r="AT866" s="48" t="n">
        <v>0</v>
      </c>
      <c r="AU866" s="49" t="n">
        <v>0</v>
      </c>
      <c r="AV866" s="49" t="n">
        <v>0</v>
      </c>
      <c r="AW866" s="50" t="n">
        <v>0</v>
      </c>
      <c r="AX866" s="51" t="n">
        <v>0</v>
      </c>
      <c r="AY866" s="52" t="n">
        <v>0</v>
      </c>
      <c r="AZ866" s="52" t="n">
        <v>0</v>
      </c>
      <c r="BA866" s="52" t="n">
        <v>0</v>
      </c>
      <c r="BB866" s="53" t="n">
        <v>0</v>
      </c>
      <c r="BC866" s="52" t="n">
        <v>0</v>
      </c>
      <c r="BD866" s="53" t="n">
        <v>0</v>
      </c>
      <c r="BE866" s="52" t="n">
        <v>0</v>
      </c>
      <c r="BF866" s="51" t="n">
        <v>0</v>
      </c>
    </row>
    <row r="867">
      <c r="A867">
        <f>HYPERLINK("https://www.walmart.com/ip/979291779", "979291779")</f>
        <v/>
      </c>
      <c r="B867" t="inlineStr">
        <is>
          <t>Flyingstar Insulated Lunch Box for Women Men, Leakproof Thermal Reusable Lunch Bag with 4 Pockets for Adult &amp; Kids, Lunch Bag Cooler Tote for Office Work, Olive</t>
        </is>
      </c>
      <c r="C867" t="inlineStr">
        <is>
          <t>1WMLB702P1OL</t>
        </is>
      </c>
      <c r="D867" t="inlineStr">
        <is>
          <t>Reusable Lunch Bags &amp; Boxes</t>
        </is>
      </c>
      <c r="E867" t="inlineStr">
        <is>
          <t>Flyingstar</t>
        </is>
      </c>
      <c r="F867" t="inlineStr">
        <is>
          <t>Q2-Target,Lunch Bag,Lunch Bags</t>
        </is>
      </c>
      <c r="G867" s="48" t="n">
        <v>0</v>
      </c>
      <c r="H867" s="49" t="n">
        <v>0</v>
      </c>
      <c r="I867" s="49" t="n">
        <v>0</v>
      </c>
      <c r="J867" s="50" t="n">
        <v>0</v>
      </c>
      <c r="K867" s="51" t="n">
        <v>0</v>
      </c>
      <c r="L867" s="52" t="n">
        <v>0</v>
      </c>
      <c r="M867" s="52" t="n">
        <v>0</v>
      </c>
      <c r="N867" s="52" t="n">
        <v>0</v>
      </c>
      <c r="O867" s="53" t="n">
        <v>0</v>
      </c>
      <c r="P867" s="52" t="n">
        <v>0</v>
      </c>
      <c r="Q867" s="53" t="n">
        <v>0</v>
      </c>
      <c r="R867" s="52" t="n">
        <v>0</v>
      </c>
      <c r="S867" s="51" t="n">
        <v>0</v>
      </c>
      <c r="T867" s="48" t="n">
        <v>0</v>
      </c>
      <c r="U867" s="49" t="n">
        <v>0</v>
      </c>
      <c r="V867" s="49" t="n">
        <v>0</v>
      </c>
      <c r="W867" s="50" t="n">
        <v>0</v>
      </c>
      <c r="X867" s="51" t="n">
        <v>0</v>
      </c>
      <c r="Y867" s="52" t="n">
        <v>0</v>
      </c>
      <c r="Z867" s="52" t="n">
        <v>0</v>
      </c>
      <c r="AA867" s="52" t="n">
        <v>0</v>
      </c>
      <c r="AB867" s="53" t="n">
        <v>0</v>
      </c>
      <c r="AC867" s="52" t="n">
        <v>0</v>
      </c>
      <c r="AD867" s="53" t="n">
        <v>0</v>
      </c>
      <c r="AE867" s="52" t="n">
        <v>0</v>
      </c>
      <c r="AF867" s="51" t="n">
        <v>0</v>
      </c>
      <c r="AG867" s="48" t="n">
        <v>0</v>
      </c>
      <c r="AH867" s="49" t="n">
        <v>0</v>
      </c>
      <c r="AI867" s="49" t="n">
        <v>0</v>
      </c>
      <c r="AJ867" s="50" t="n">
        <v>0</v>
      </c>
      <c r="AK867" s="51" t="n">
        <v>0</v>
      </c>
      <c r="AL867" s="52" t="n">
        <v>0</v>
      </c>
      <c r="AM867" s="52" t="n">
        <v>0</v>
      </c>
      <c r="AN867" s="52" t="n">
        <v>0</v>
      </c>
      <c r="AO867" s="53" t="n">
        <v>0</v>
      </c>
      <c r="AP867" s="52" t="n">
        <v>0</v>
      </c>
      <c r="AQ867" s="53" t="n">
        <v>0</v>
      </c>
      <c r="AR867" s="52" t="n">
        <v>0</v>
      </c>
      <c r="AS867" s="51" t="n">
        <v>0</v>
      </c>
      <c r="AT867" s="48" t="n">
        <v>0</v>
      </c>
      <c r="AU867" s="49" t="n">
        <v>0</v>
      </c>
      <c r="AV867" s="49" t="n">
        <v>0</v>
      </c>
      <c r="AW867" s="50" t="n">
        <v>0</v>
      </c>
      <c r="AX867" s="51" t="n">
        <v>0</v>
      </c>
      <c r="AY867" s="52" t="n">
        <v>0</v>
      </c>
      <c r="AZ867" s="52" t="n">
        <v>0</v>
      </c>
      <c r="BA867" s="52" t="n">
        <v>0</v>
      </c>
      <c r="BB867" s="53" t="n">
        <v>0</v>
      </c>
      <c r="BC867" s="52" t="n">
        <v>0</v>
      </c>
      <c r="BD867" s="53" t="n">
        <v>0</v>
      </c>
      <c r="BE867" s="52" t="n">
        <v>0</v>
      </c>
      <c r="BF867" s="51" t="n">
        <v>0</v>
      </c>
    </row>
    <row r="868">
      <c r="A868">
        <f>HYPERLINK("https://www.walmart.com/ip/980018842", "980018842")</f>
        <v/>
      </c>
      <c r="B868" t="inlineStr">
        <is>
          <t>Catalonia Sherpa Wearable Blanket Poncho for Adult Women Men, Wrap Blanket Cape with Pocket, Warm, Soft, Cozy, Snuggly, Comfort Gift, No Sleeves, Grey</t>
        </is>
      </c>
      <c r="C868" t="inlineStr">
        <is>
          <t>1CTBP110GY</t>
        </is>
      </c>
      <c r="D868" t="inlineStr">
        <is>
          <t>Throws</t>
        </is>
      </c>
      <c r="E868" t="inlineStr">
        <is>
          <t>Catalonia</t>
        </is>
      </c>
      <c r="F868" t="inlineStr">
        <is>
          <t>Hero 5 Holidays,Batch 1 - TR</t>
        </is>
      </c>
      <c r="G868" s="48" t="n">
        <v>0</v>
      </c>
      <c r="H868" s="49" t="n">
        <v>0</v>
      </c>
      <c r="I868" s="49" t="n">
        <v>0</v>
      </c>
      <c r="J868" s="50" t="n">
        <v>0</v>
      </c>
      <c r="K868" s="51" t="n">
        <v>0</v>
      </c>
      <c r="L868" s="52" t="n">
        <v>0</v>
      </c>
      <c r="M868" s="52" t="n">
        <v>0</v>
      </c>
      <c r="N868" s="52" t="n">
        <v>0</v>
      </c>
      <c r="O868" s="53" t="n">
        <v>0</v>
      </c>
      <c r="P868" s="52" t="n">
        <v>0</v>
      </c>
      <c r="Q868" s="53" t="n">
        <v>0</v>
      </c>
      <c r="R868" s="52" t="n">
        <v>0</v>
      </c>
      <c r="S868" s="51" t="n">
        <v>0</v>
      </c>
      <c r="T868" s="48" t="n">
        <v>0</v>
      </c>
      <c r="U868" s="49" t="n">
        <v>0</v>
      </c>
      <c r="V868" s="49" t="n">
        <v>0</v>
      </c>
      <c r="W868" s="50" t="n">
        <v>0</v>
      </c>
      <c r="X868" s="51" t="n">
        <v>0</v>
      </c>
      <c r="Y868" s="52" t="n">
        <v>0</v>
      </c>
      <c r="Z868" s="52" t="n">
        <v>0</v>
      </c>
      <c r="AA868" s="52" t="n">
        <v>0</v>
      </c>
      <c r="AB868" s="53" t="n">
        <v>0</v>
      </c>
      <c r="AC868" s="52" t="n">
        <v>0</v>
      </c>
      <c r="AD868" s="53" t="n">
        <v>0</v>
      </c>
      <c r="AE868" s="52" t="n">
        <v>0</v>
      </c>
      <c r="AF868" s="51" t="n">
        <v>0</v>
      </c>
      <c r="AG868" s="48" t="n">
        <v>0</v>
      </c>
      <c r="AH868" s="49" t="n">
        <v>0</v>
      </c>
      <c r="AI868" s="49" t="n">
        <v>0</v>
      </c>
      <c r="AJ868" s="50" t="n">
        <v>0</v>
      </c>
      <c r="AK868" s="51" t="n">
        <v>0</v>
      </c>
      <c r="AL868" s="52" t="n">
        <v>0</v>
      </c>
      <c r="AM868" s="52" t="n">
        <v>0</v>
      </c>
      <c r="AN868" s="52" t="n">
        <v>0</v>
      </c>
      <c r="AO868" s="53" t="n">
        <v>0</v>
      </c>
      <c r="AP868" s="52" t="n">
        <v>0</v>
      </c>
      <c r="AQ868" s="53" t="n">
        <v>0</v>
      </c>
      <c r="AR868" s="52" t="n">
        <v>0</v>
      </c>
      <c r="AS868" s="51" t="n">
        <v>0</v>
      </c>
      <c r="AT868" s="48" t="n">
        <v>0</v>
      </c>
      <c r="AU868" s="49" t="n">
        <v>0</v>
      </c>
      <c r="AV868" s="49" t="n">
        <v>0</v>
      </c>
      <c r="AW868" s="50" t="n">
        <v>0</v>
      </c>
      <c r="AX868" s="51" t="n">
        <v>0</v>
      </c>
      <c r="AY868" s="52" t="n">
        <v>0</v>
      </c>
      <c r="AZ868" s="52" t="n">
        <v>0</v>
      </c>
      <c r="BA868" s="52" t="n">
        <v>0</v>
      </c>
      <c r="BB868" s="53" t="n">
        <v>0</v>
      </c>
      <c r="BC868" s="52" t="n">
        <v>0</v>
      </c>
      <c r="BD868" s="53" t="n">
        <v>0</v>
      </c>
      <c r="BE868" s="52" t="n">
        <v>0</v>
      </c>
      <c r="BF868" s="51" t="n">
        <v>0</v>
      </c>
    </row>
    <row r="869">
      <c r="A869">
        <f>HYPERLINK("https://www.walmart.com/ip/972147945", "972147945")</f>
        <v/>
      </c>
      <c r="B869" t="inlineStr">
        <is>
          <t>Wine Opener Accessories Gift Set - 5 Pcs Wine Bottle Corkscrew Screwpull Kit by Kato, Great Wedding and Birthday Gifts for Wine Lovers, Red</t>
        </is>
      </c>
      <c r="C869" t="inlineStr">
        <is>
          <t>1KTWO502RDBK</t>
        </is>
      </c>
      <c r="D869" t="inlineStr">
        <is>
          <t>Corkscrews &amp; Wine Bottle Openers</t>
        </is>
      </c>
      <c r="E869" t="inlineStr">
        <is>
          <t>Kato</t>
        </is>
      </c>
      <c r="F869" t="inlineStr">
        <is>
          <t>Wine,Christmas,WFS,Wine WFS,Valentine,WFS Item</t>
        </is>
      </c>
      <c r="G869" s="48" t="n">
        <v>0</v>
      </c>
      <c r="H869" s="49" t="n">
        <v>0</v>
      </c>
      <c r="I869" s="49" t="n">
        <v>0</v>
      </c>
      <c r="J869" s="50" t="n">
        <v>0</v>
      </c>
      <c r="K869" s="51" t="n">
        <v>0</v>
      </c>
      <c r="L869" s="52" t="n">
        <v>0</v>
      </c>
      <c r="M869" s="52" t="n">
        <v>0</v>
      </c>
      <c r="N869" s="52" t="n">
        <v>0</v>
      </c>
      <c r="O869" s="53" t="n">
        <v>0</v>
      </c>
      <c r="P869" s="52" t="n">
        <v>0</v>
      </c>
      <c r="Q869" s="53" t="n">
        <v>0</v>
      </c>
      <c r="R869" s="52" t="n">
        <v>0</v>
      </c>
      <c r="S869" s="51" t="n">
        <v>0</v>
      </c>
      <c r="T869" s="48" t="n">
        <v>0</v>
      </c>
      <c r="U869" s="49" t="n">
        <v>0</v>
      </c>
      <c r="V869" s="49" t="n">
        <v>0</v>
      </c>
      <c r="W869" s="50" t="n">
        <v>0</v>
      </c>
      <c r="X869" s="51" t="n">
        <v>0</v>
      </c>
      <c r="Y869" s="52" t="n">
        <v>0</v>
      </c>
      <c r="Z869" s="52" t="n">
        <v>0</v>
      </c>
      <c r="AA869" s="52" t="n">
        <v>0</v>
      </c>
      <c r="AB869" s="53" t="n">
        <v>0</v>
      </c>
      <c r="AC869" s="52" t="n">
        <v>0</v>
      </c>
      <c r="AD869" s="53" t="n">
        <v>0</v>
      </c>
      <c r="AE869" s="52" t="n">
        <v>0</v>
      </c>
      <c r="AF869" s="51" t="n">
        <v>0</v>
      </c>
      <c r="AG869" s="48" t="n">
        <v>0</v>
      </c>
      <c r="AH869" s="49" t="n">
        <v>0</v>
      </c>
      <c r="AI869" s="49" t="n">
        <v>0</v>
      </c>
      <c r="AJ869" s="50" t="n">
        <v>0</v>
      </c>
      <c r="AK869" s="51" t="n">
        <v>0</v>
      </c>
      <c r="AL869" s="52" t="n">
        <v>0</v>
      </c>
      <c r="AM869" s="52" t="n">
        <v>0</v>
      </c>
      <c r="AN869" s="52" t="n">
        <v>0</v>
      </c>
      <c r="AO869" s="53" t="n">
        <v>0</v>
      </c>
      <c r="AP869" s="52" t="n">
        <v>0</v>
      </c>
      <c r="AQ869" s="53" t="n">
        <v>0</v>
      </c>
      <c r="AR869" s="52" t="n">
        <v>0</v>
      </c>
      <c r="AS869" s="51" t="n">
        <v>0</v>
      </c>
      <c r="AT869" s="48" t="n">
        <v>0</v>
      </c>
      <c r="AU869" s="49" t="n">
        <v>0</v>
      </c>
      <c r="AV869" s="49" t="n">
        <v>0</v>
      </c>
      <c r="AW869" s="50" t="n">
        <v>0</v>
      </c>
      <c r="AX869" s="51" t="n">
        <v>0</v>
      </c>
      <c r="AY869" s="52" t="n">
        <v>0</v>
      </c>
      <c r="AZ869" s="52" t="n">
        <v>0</v>
      </c>
      <c r="BA869" s="52" t="n">
        <v>0</v>
      </c>
      <c r="BB869" s="53" t="n">
        <v>0</v>
      </c>
      <c r="BC869" s="52" t="n">
        <v>0</v>
      </c>
      <c r="BD869" s="53" t="n">
        <v>0</v>
      </c>
      <c r="BE869" s="52" t="n">
        <v>0</v>
      </c>
      <c r="BF869" s="51" t="n">
        <v>0</v>
      </c>
    </row>
    <row r="870">
      <c r="A870">
        <f>HYPERLINK("https://www.walmart.com/ip/970542815", "970542815")</f>
        <v/>
      </c>
      <c r="B870" t="inlineStr">
        <is>
          <t>Sherpa Throw Blanket Snowflake Pattern, Reversible Micro Fleece TV Blanket All Season for Bed or Couch 50" x 60"</t>
        </is>
      </c>
      <c r="C870" t="inlineStr">
        <is>
          <t>1TRBF571XMAS-TBCB</t>
        </is>
      </c>
      <c r="D870" t="inlineStr">
        <is>
          <t>Throws</t>
        </is>
      </c>
      <c r="E870" t="inlineStr">
        <is>
          <t>Tirrinia</t>
        </is>
      </c>
      <c r="F870" t="inlineStr">
        <is>
          <t>Christmas</t>
        </is>
      </c>
      <c r="G870" s="48" t="n">
        <v>0</v>
      </c>
      <c r="H870" s="49" t="n">
        <v>0</v>
      </c>
      <c r="I870" s="49" t="n">
        <v>0</v>
      </c>
      <c r="J870" s="50" t="n">
        <v>0</v>
      </c>
      <c r="K870" s="51" t="n">
        <v>0</v>
      </c>
      <c r="L870" s="52" t="n">
        <v>0</v>
      </c>
      <c r="M870" s="52" t="n">
        <v>0</v>
      </c>
      <c r="N870" s="52" t="n">
        <v>0</v>
      </c>
      <c r="O870" s="53" t="n">
        <v>0</v>
      </c>
      <c r="P870" s="52" t="n">
        <v>0</v>
      </c>
      <c r="Q870" s="53" t="n">
        <v>0</v>
      </c>
      <c r="R870" s="52" t="n">
        <v>0</v>
      </c>
      <c r="S870" s="51" t="n">
        <v>0</v>
      </c>
      <c r="T870" s="48" t="n">
        <v>0</v>
      </c>
      <c r="U870" s="49" t="n">
        <v>0</v>
      </c>
      <c r="V870" s="49" t="n">
        <v>0</v>
      </c>
      <c r="W870" s="50" t="n">
        <v>0</v>
      </c>
      <c r="X870" s="51" t="n">
        <v>0</v>
      </c>
      <c r="Y870" s="52" t="n">
        <v>0</v>
      </c>
      <c r="Z870" s="52" t="n">
        <v>0</v>
      </c>
      <c r="AA870" s="52" t="n">
        <v>0</v>
      </c>
      <c r="AB870" s="53" t="n">
        <v>0</v>
      </c>
      <c r="AC870" s="52" t="n">
        <v>0</v>
      </c>
      <c r="AD870" s="53" t="n">
        <v>0</v>
      </c>
      <c r="AE870" s="52" t="n">
        <v>0</v>
      </c>
      <c r="AF870" s="51" t="n">
        <v>0</v>
      </c>
      <c r="AG870" s="48" t="n">
        <v>0</v>
      </c>
      <c r="AH870" s="49" t="n">
        <v>0</v>
      </c>
      <c r="AI870" s="49" t="n">
        <v>0</v>
      </c>
      <c r="AJ870" s="50" t="n">
        <v>0</v>
      </c>
      <c r="AK870" s="51" t="n">
        <v>0</v>
      </c>
      <c r="AL870" s="52" t="n">
        <v>0</v>
      </c>
      <c r="AM870" s="52" t="n">
        <v>0</v>
      </c>
      <c r="AN870" s="52" t="n">
        <v>0</v>
      </c>
      <c r="AO870" s="53" t="n">
        <v>0</v>
      </c>
      <c r="AP870" s="52" t="n">
        <v>0</v>
      </c>
      <c r="AQ870" s="53" t="n">
        <v>0</v>
      </c>
      <c r="AR870" s="52" t="n">
        <v>0</v>
      </c>
      <c r="AS870" s="51" t="n">
        <v>0</v>
      </c>
      <c r="AT870" s="48" t="n">
        <v>0</v>
      </c>
      <c r="AU870" s="49" t="n">
        <v>0</v>
      </c>
      <c r="AV870" s="49" t="n">
        <v>0</v>
      </c>
      <c r="AW870" s="50" t="n">
        <v>0</v>
      </c>
      <c r="AX870" s="51" t="n">
        <v>0</v>
      </c>
      <c r="AY870" s="52" t="n">
        <v>0</v>
      </c>
      <c r="AZ870" s="52" t="n">
        <v>0</v>
      </c>
      <c r="BA870" s="52" t="n">
        <v>0</v>
      </c>
      <c r="BB870" s="53" t="n">
        <v>0</v>
      </c>
      <c r="BC870" s="52" t="n">
        <v>0</v>
      </c>
      <c r="BD870" s="53" t="n">
        <v>0</v>
      </c>
      <c r="BE870" s="52" t="n">
        <v>0</v>
      </c>
      <c r="BF870" s="51" t="n">
        <v>0</v>
      </c>
    </row>
    <row r="871">
      <c r="A871">
        <f>HYPERLINK("https://www.walmart.com/ip/981535425", "981535425")</f>
        <v/>
      </c>
      <c r="B871" t="inlineStr">
        <is>
          <t>Flyingstar Sherpa Throws Blanket, Fleece Soft Cozy Blanket Throws for Sofa Bed 50"x60"</t>
        </is>
      </c>
      <c r="C871" t="inlineStr">
        <is>
          <t>1WMBF571SNOWMAN</t>
        </is>
      </c>
      <c r="D871" t="inlineStr">
        <is>
          <t>Throws</t>
        </is>
      </c>
      <c r="E871" t="inlineStr">
        <is>
          <t>Flyingstar</t>
        </is>
      </c>
      <c r="F871" t="inlineStr">
        <is>
          <t>Christmas,Optimized</t>
        </is>
      </c>
      <c r="G871" s="48" t="n">
        <v>0</v>
      </c>
      <c r="H871" s="49" t="n">
        <v>0</v>
      </c>
      <c r="I871" s="49" t="n">
        <v>0</v>
      </c>
      <c r="J871" s="50" t="n">
        <v>0</v>
      </c>
      <c r="K871" s="51" t="n">
        <v>0</v>
      </c>
      <c r="L871" s="52" t="n">
        <v>0</v>
      </c>
      <c r="M871" s="52" t="n">
        <v>0</v>
      </c>
      <c r="N871" s="52" t="n">
        <v>0</v>
      </c>
      <c r="O871" s="53" t="n">
        <v>0</v>
      </c>
      <c r="P871" s="52" t="n">
        <v>0</v>
      </c>
      <c r="Q871" s="53" t="n">
        <v>0</v>
      </c>
      <c r="R871" s="52" t="n">
        <v>0</v>
      </c>
      <c r="S871" s="51" t="n">
        <v>0</v>
      </c>
      <c r="T871" s="48" t="n">
        <v>0</v>
      </c>
      <c r="U871" s="49" t="n">
        <v>0</v>
      </c>
      <c r="V871" s="49" t="n">
        <v>0</v>
      </c>
      <c r="W871" s="50" t="n">
        <v>0</v>
      </c>
      <c r="X871" s="51" t="n">
        <v>0</v>
      </c>
      <c r="Y871" s="52" t="n">
        <v>0</v>
      </c>
      <c r="Z871" s="52" t="n">
        <v>0</v>
      </c>
      <c r="AA871" s="52" t="n">
        <v>0</v>
      </c>
      <c r="AB871" s="53" t="n">
        <v>0</v>
      </c>
      <c r="AC871" s="52" t="n">
        <v>0</v>
      </c>
      <c r="AD871" s="53" t="n">
        <v>0</v>
      </c>
      <c r="AE871" s="52" t="n">
        <v>0</v>
      </c>
      <c r="AF871" s="51" t="n">
        <v>0</v>
      </c>
      <c r="AG871" s="48" t="n">
        <v>0</v>
      </c>
      <c r="AH871" s="49" t="n">
        <v>0</v>
      </c>
      <c r="AI871" s="49" t="n">
        <v>0</v>
      </c>
      <c r="AJ871" s="50" t="n">
        <v>0</v>
      </c>
      <c r="AK871" s="51" t="n">
        <v>0</v>
      </c>
      <c r="AL871" s="52" t="n">
        <v>0</v>
      </c>
      <c r="AM871" s="52" t="n">
        <v>0</v>
      </c>
      <c r="AN871" s="52" t="n">
        <v>0</v>
      </c>
      <c r="AO871" s="53" t="n">
        <v>0</v>
      </c>
      <c r="AP871" s="52" t="n">
        <v>0</v>
      </c>
      <c r="AQ871" s="53" t="n">
        <v>0</v>
      </c>
      <c r="AR871" s="52" t="n">
        <v>0</v>
      </c>
      <c r="AS871" s="51" t="n">
        <v>0</v>
      </c>
      <c r="AT871" s="48" t="n">
        <v>0</v>
      </c>
      <c r="AU871" s="49" t="n">
        <v>0</v>
      </c>
      <c r="AV871" s="49" t="n">
        <v>0</v>
      </c>
      <c r="AW871" s="50" t="n">
        <v>0</v>
      </c>
      <c r="AX871" s="51" t="n">
        <v>0</v>
      </c>
      <c r="AY871" s="52" t="n">
        <v>0</v>
      </c>
      <c r="AZ871" s="52" t="n">
        <v>0</v>
      </c>
      <c r="BA871" s="52" t="n">
        <v>0</v>
      </c>
      <c r="BB871" s="53" t="n">
        <v>0</v>
      </c>
      <c r="BC871" s="52" t="n">
        <v>0</v>
      </c>
      <c r="BD871" s="53" t="n">
        <v>0</v>
      </c>
      <c r="BE871" s="52" t="n">
        <v>0</v>
      </c>
      <c r="BF871" s="51" t="n">
        <v>0</v>
      </c>
    </row>
    <row r="872">
      <c r="A872">
        <f>HYPERLINK("https://www.walmart.com/ip/970092222", "970092222")</f>
        <v/>
      </c>
      <c r="B872" t="inlineStr">
        <is>
          <t>Flyingstar Wearable Blanket with Sleeves and Pocket, Fleece Micro Plush Throws Blanket, Robe for Women and Men 73” x 51” Purple</t>
        </is>
      </c>
      <c r="C872" t="inlineStr">
        <is>
          <t>1WMSN100PP</t>
        </is>
      </c>
      <c r="D872" t="inlineStr">
        <is>
          <t>Throws</t>
        </is>
      </c>
      <c r="E872" t="inlineStr">
        <is>
          <t>Flyingstar</t>
        </is>
      </c>
      <c r="F872" t="inlineStr">
        <is>
          <t>Batch 1 - TR</t>
        </is>
      </c>
      <c r="G872" s="48" t="n">
        <v>0</v>
      </c>
      <c r="H872" s="49" t="n">
        <v>0</v>
      </c>
      <c r="I872" s="49" t="n">
        <v>0</v>
      </c>
      <c r="J872" s="50" t="n">
        <v>0</v>
      </c>
      <c r="K872" s="51" t="n">
        <v>0</v>
      </c>
      <c r="L872" s="52" t="n">
        <v>0</v>
      </c>
      <c r="M872" s="52" t="n">
        <v>0</v>
      </c>
      <c r="N872" s="52" t="n">
        <v>0</v>
      </c>
      <c r="O872" s="53" t="n">
        <v>0</v>
      </c>
      <c r="P872" s="52" t="n">
        <v>0</v>
      </c>
      <c r="Q872" s="53" t="n">
        <v>0</v>
      </c>
      <c r="R872" s="52" t="n">
        <v>0</v>
      </c>
      <c r="S872" s="51" t="n">
        <v>0</v>
      </c>
      <c r="T872" s="48" t="n">
        <v>0</v>
      </c>
      <c r="U872" s="49" t="n">
        <v>0</v>
      </c>
      <c r="V872" s="49" t="n">
        <v>0</v>
      </c>
      <c r="W872" s="50" t="n">
        <v>0</v>
      </c>
      <c r="X872" s="51" t="n">
        <v>0</v>
      </c>
      <c r="Y872" s="52" t="n">
        <v>0</v>
      </c>
      <c r="Z872" s="52" t="n">
        <v>0</v>
      </c>
      <c r="AA872" s="52" t="n">
        <v>0</v>
      </c>
      <c r="AB872" s="53" t="n">
        <v>0</v>
      </c>
      <c r="AC872" s="52" t="n">
        <v>0</v>
      </c>
      <c r="AD872" s="53" t="n">
        <v>0</v>
      </c>
      <c r="AE872" s="52" t="n">
        <v>0</v>
      </c>
      <c r="AF872" s="51" t="n">
        <v>0</v>
      </c>
      <c r="AG872" s="48" t="n">
        <v>0</v>
      </c>
      <c r="AH872" s="49" t="n">
        <v>0</v>
      </c>
      <c r="AI872" s="49" t="n">
        <v>0</v>
      </c>
      <c r="AJ872" s="50" t="n">
        <v>0</v>
      </c>
      <c r="AK872" s="51" t="n">
        <v>0</v>
      </c>
      <c r="AL872" s="52" t="n">
        <v>0</v>
      </c>
      <c r="AM872" s="52" t="n">
        <v>0</v>
      </c>
      <c r="AN872" s="52" t="n">
        <v>0</v>
      </c>
      <c r="AO872" s="53" t="n">
        <v>0</v>
      </c>
      <c r="AP872" s="52" t="n">
        <v>0</v>
      </c>
      <c r="AQ872" s="53" t="n">
        <v>0</v>
      </c>
      <c r="AR872" s="52" t="n">
        <v>0</v>
      </c>
      <c r="AS872" s="51" t="n">
        <v>0</v>
      </c>
      <c r="AT872" s="48" t="n">
        <v>0</v>
      </c>
      <c r="AU872" s="49" t="n">
        <v>0</v>
      </c>
      <c r="AV872" s="49" t="n">
        <v>0</v>
      </c>
      <c r="AW872" s="50" t="n">
        <v>0</v>
      </c>
      <c r="AX872" s="51" t="n">
        <v>0</v>
      </c>
      <c r="AY872" s="52" t="n">
        <v>0</v>
      </c>
      <c r="AZ872" s="52" t="n">
        <v>0</v>
      </c>
      <c r="BA872" s="52" t="n">
        <v>0</v>
      </c>
      <c r="BB872" s="53" t="n">
        <v>0</v>
      </c>
      <c r="BC872" s="52" t="n">
        <v>0</v>
      </c>
      <c r="BD872" s="53" t="n">
        <v>0</v>
      </c>
      <c r="BE872" s="52" t="n">
        <v>0</v>
      </c>
      <c r="BF872" s="51" t="n">
        <v>0</v>
      </c>
    </row>
    <row r="873">
      <c r="A873">
        <f>HYPERLINK("https://www.walmart.com/ip/962141161", "962141161")</f>
        <v/>
      </c>
      <c r="B873" t="inlineStr">
        <is>
          <t>Catalonia Fleece Wearable Blanket Poncho Cape for Adult Women and Men, Wrap Blanket Cape with Pocket, Warm, Soft, Cozy, Snuggly, Comfort Gift, No Sleeves, All-Season, Cow</t>
        </is>
      </c>
      <c r="C873" t="inlineStr">
        <is>
          <t>1CTBP100DMT</t>
        </is>
      </c>
      <c r="D873" t="inlineStr">
        <is>
          <t>Throws</t>
        </is>
      </c>
      <c r="E873" t="inlineStr">
        <is>
          <t>Catalonia</t>
        </is>
      </c>
      <c r="F873" t="inlineStr">
        <is>
          <t>Hero 5 Holidays,WFS,WFS Item</t>
        </is>
      </c>
      <c r="G873" s="48" t="n">
        <v>0</v>
      </c>
      <c r="H873" s="49" t="n">
        <v>0</v>
      </c>
      <c r="I873" s="49" t="n">
        <v>0</v>
      </c>
      <c r="J873" s="50" t="n">
        <v>0</v>
      </c>
      <c r="K873" s="51" t="n">
        <v>0</v>
      </c>
      <c r="L873" s="52" t="n">
        <v>0</v>
      </c>
      <c r="M873" s="52" t="n">
        <v>0</v>
      </c>
      <c r="N873" s="52" t="n">
        <v>0</v>
      </c>
      <c r="O873" s="53" t="n">
        <v>0</v>
      </c>
      <c r="P873" s="52" t="n">
        <v>0</v>
      </c>
      <c r="Q873" s="53" t="n">
        <v>0</v>
      </c>
      <c r="R873" s="52" t="n">
        <v>0</v>
      </c>
      <c r="S873" s="51" t="n">
        <v>0</v>
      </c>
      <c r="T873" s="48" t="n">
        <v>0</v>
      </c>
      <c r="U873" s="49" t="n">
        <v>0</v>
      </c>
      <c r="V873" s="49" t="n">
        <v>0</v>
      </c>
      <c r="W873" s="50" t="n">
        <v>0</v>
      </c>
      <c r="X873" s="51" t="n">
        <v>0</v>
      </c>
      <c r="Y873" s="52" t="n">
        <v>0</v>
      </c>
      <c r="Z873" s="52" t="n">
        <v>0</v>
      </c>
      <c r="AA873" s="52" t="n">
        <v>0</v>
      </c>
      <c r="AB873" s="53" t="n">
        <v>0</v>
      </c>
      <c r="AC873" s="52" t="n">
        <v>0</v>
      </c>
      <c r="AD873" s="53" t="n">
        <v>0</v>
      </c>
      <c r="AE873" s="52" t="n">
        <v>0</v>
      </c>
      <c r="AF873" s="51" t="n">
        <v>0</v>
      </c>
      <c r="AG873" s="48" t="n">
        <v>0</v>
      </c>
      <c r="AH873" s="49" t="n">
        <v>0</v>
      </c>
      <c r="AI873" s="49" t="n">
        <v>0</v>
      </c>
      <c r="AJ873" s="50" t="n">
        <v>0</v>
      </c>
      <c r="AK873" s="51" t="n">
        <v>0</v>
      </c>
      <c r="AL873" s="52" t="n">
        <v>0</v>
      </c>
      <c r="AM873" s="52" t="n">
        <v>0</v>
      </c>
      <c r="AN873" s="52" t="n">
        <v>0</v>
      </c>
      <c r="AO873" s="53" t="n">
        <v>0</v>
      </c>
      <c r="AP873" s="52" t="n">
        <v>0</v>
      </c>
      <c r="AQ873" s="53" t="n">
        <v>0</v>
      </c>
      <c r="AR873" s="52" t="n">
        <v>0</v>
      </c>
      <c r="AS873" s="51" t="n">
        <v>0</v>
      </c>
      <c r="AT873" s="48" t="n">
        <v>0</v>
      </c>
      <c r="AU873" s="49" t="n">
        <v>0</v>
      </c>
      <c r="AV873" s="49" t="n">
        <v>0</v>
      </c>
      <c r="AW873" s="50" t="n">
        <v>0</v>
      </c>
      <c r="AX873" s="51" t="n">
        <v>0</v>
      </c>
      <c r="AY873" s="52" t="n">
        <v>0</v>
      </c>
      <c r="AZ873" s="52" t="n">
        <v>0</v>
      </c>
      <c r="BA873" s="52" t="n">
        <v>0</v>
      </c>
      <c r="BB873" s="53" t="n">
        <v>0</v>
      </c>
      <c r="BC873" s="52" t="n">
        <v>0</v>
      </c>
      <c r="BD873" s="53" t="n">
        <v>0</v>
      </c>
      <c r="BE873" s="52" t="n">
        <v>0</v>
      </c>
      <c r="BF873" s="51" t="n">
        <v>0</v>
      </c>
    </row>
    <row r="874">
      <c r="A874">
        <f>HYPERLINK("https://www.walmart.com/ip/962604921", "962604921")</f>
        <v/>
      </c>
      <c r="B874" t="inlineStr">
        <is>
          <t>Tirrinia Fuzzy Sherpa Fleece Blanket For Bed And Couch, Camel, 50" x 60"</t>
        </is>
      </c>
      <c r="C874" t="inlineStr">
        <is>
          <t>1TRBF300CA-TBCB</t>
        </is>
      </c>
      <c r="D874" t="inlineStr">
        <is>
          <t>Throws</t>
        </is>
      </c>
      <c r="E874" t="inlineStr">
        <is>
          <t>Tirrinia</t>
        </is>
      </c>
      <c r="F874" t="inlineStr">
        <is>
          <t>Optimized</t>
        </is>
      </c>
      <c r="G874" s="48" t="n">
        <v>0</v>
      </c>
      <c r="H874" s="49" t="n">
        <v>0</v>
      </c>
      <c r="I874" s="49" t="n">
        <v>0</v>
      </c>
      <c r="J874" s="50" t="n">
        <v>0</v>
      </c>
      <c r="K874" s="51" t="n">
        <v>0</v>
      </c>
      <c r="L874" s="52" t="n">
        <v>0</v>
      </c>
      <c r="M874" s="52" t="n">
        <v>0</v>
      </c>
      <c r="N874" s="52" t="n">
        <v>0</v>
      </c>
      <c r="O874" s="53" t="n">
        <v>0</v>
      </c>
      <c r="P874" s="52" t="n">
        <v>0</v>
      </c>
      <c r="Q874" s="53" t="n">
        <v>0</v>
      </c>
      <c r="R874" s="52" t="n">
        <v>0</v>
      </c>
      <c r="S874" s="51" t="n">
        <v>0</v>
      </c>
      <c r="T874" s="48" t="n">
        <v>0</v>
      </c>
      <c r="U874" s="49" t="n">
        <v>0</v>
      </c>
      <c r="V874" s="49" t="n">
        <v>0</v>
      </c>
      <c r="W874" s="50" t="n">
        <v>0</v>
      </c>
      <c r="X874" s="51" t="n">
        <v>0</v>
      </c>
      <c r="Y874" s="52" t="n">
        <v>0</v>
      </c>
      <c r="Z874" s="52" t="n">
        <v>0</v>
      </c>
      <c r="AA874" s="52" t="n">
        <v>0</v>
      </c>
      <c r="AB874" s="53" t="n">
        <v>0</v>
      </c>
      <c r="AC874" s="52" t="n">
        <v>0</v>
      </c>
      <c r="AD874" s="53" t="n">
        <v>0</v>
      </c>
      <c r="AE874" s="52" t="n">
        <v>0</v>
      </c>
      <c r="AF874" s="51" t="n">
        <v>0</v>
      </c>
      <c r="AG874" s="48" t="n">
        <v>0</v>
      </c>
      <c r="AH874" s="49" t="n">
        <v>0</v>
      </c>
      <c r="AI874" s="49" t="n">
        <v>0</v>
      </c>
      <c r="AJ874" s="50" t="n">
        <v>0</v>
      </c>
      <c r="AK874" s="51" t="n">
        <v>0</v>
      </c>
      <c r="AL874" s="52" t="n">
        <v>0</v>
      </c>
      <c r="AM874" s="52" t="n">
        <v>0</v>
      </c>
      <c r="AN874" s="52" t="n">
        <v>0</v>
      </c>
      <c r="AO874" s="53" t="n">
        <v>0</v>
      </c>
      <c r="AP874" s="52" t="n">
        <v>0</v>
      </c>
      <c r="AQ874" s="53" t="n">
        <v>0</v>
      </c>
      <c r="AR874" s="52" t="n">
        <v>0</v>
      </c>
      <c r="AS874" s="51" t="n">
        <v>0</v>
      </c>
      <c r="AT874" s="48" t="n">
        <v>0</v>
      </c>
      <c r="AU874" s="49" t="n">
        <v>0</v>
      </c>
      <c r="AV874" s="49" t="n">
        <v>0</v>
      </c>
      <c r="AW874" s="50" t="n">
        <v>0</v>
      </c>
      <c r="AX874" s="51" t="n">
        <v>0</v>
      </c>
      <c r="AY874" s="52" t="n">
        <v>0</v>
      </c>
      <c r="AZ874" s="52" t="n">
        <v>0</v>
      </c>
      <c r="BA874" s="52" t="n">
        <v>0</v>
      </c>
      <c r="BB874" s="53" t="n">
        <v>0</v>
      </c>
      <c r="BC874" s="52" t="n">
        <v>0</v>
      </c>
      <c r="BD874" s="53" t="n">
        <v>0</v>
      </c>
      <c r="BE874" s="52" t="n">
        <v>0</v>
      </c>
      <c r="BF874" s="51" t="n">
        <v>0</v>
      </c>
    </row>
    <row r="875">
      <c r="A875">
        <f>HYPERLINK("https://www.walmart.com/ip/963573839", "963573839")</f>
        <v/>
      </c>
      <c r="B875" t="inlineStr">
        <is>
          <t>Sun Hat for Men, Sun Cap with Neck Flap for Fishing, Safari, Cycling, Hiking, Garden, Backpacking, UPF50+,Tan</t>
        </is>
      </c>
      <c r="C875" t="inlineStr">
        <is>
          <t>KC-S9153-TN</t>
        </is>
      </c>
      <c r="D875" t="inlineStr">
        <is>
          <t>Hats</t>
        </is>
      </c>
      <c r="E875" t="inlineStr">
        <is>
          <t>Sun Blocker</t>
        </is>
      </c>
      <c r="F875" t="inlineStr">
        <is>
          <t>Optimized,WFS,Hats,WFS Item</t>
        </is>
      </c>
      <c r="G875" s="48" t="n">
        <v>0</v>
      </c>
      <c r="H875" s="49" t="n">
        <v>0</v>
      </c>
      <c r="I875" s="49" t="n">
        <v>0</v>
      </c>
      <c r="J875" s="50" t="n">
        <v>0</v>
      </c>
      <c r="K875" s="51" t="n">
        <v>0</v>
      </c>
      <c r="L875" s="52" t="n">
        <v>0</v>
      </c>
      <c r="M875" s="52" t="n">
        <v>0</v>
      </c>
      <c r="N875" s="52" t="n">
        <v>0</v>
      </c>
      <c r="O875" s="53" t="n">
        <v>0</v>
      </c>
      <c r="P875" s="52" t="n">
        <v>0</v>
      </c>
      <c r="Q875" s="53" t="n">
        <v>0</v>
      </c>
      <c r="R875" s="52" t="n">
        <v>0</v>
      </c>
      <c r="S875" s="51" t="n">
        <v>0</v>
      </c>
      <c r="T875" s="48" t="n">
        <v>0</v>
      </c>
      <c r="U875" s="49" t="n">
        <v>0</v>
      </c>
      <c r="V875" s="49" t="n">
        <v>0</v>
      </c>
      <c r="W875" s="50" t="n">
        <v>0</v>
      </c>
      <c r="X875" s="51" t="n">
        <v>0</v>
      </c>
      <c r="Y875" s="52" t="n">
        <v>0</v>
      </c>
      <c r="Z875" s="52" t="n">
        <v>0</v>
      </c>
      <c r="AA875" s="52" t="n">
        <v>0</v>
      </c>
      <c r="AB875" s="53" t="n">
        <v>0</v>
      </c>
      <c r="AC875" s="52" t="n">
        <v>0</v>
      </c>
      <c r="AD875" s="53" t="n">
        <v>0</v>
      </c>
      <c r="AE875" s="52" t="n">
        <v>0</v>
      </c>
      <c r="AF875" s="51" t="n">
        <v>0</v>
      </c>
      <c r="AG875" s="48" t="n">
        <v>0</v>
      </c>
      <c r="AH875" s="49" t="n">
        <v>0</v>
      </c>
      <c r="AI875" s="49" t="n">
        <v>0</v>
      </c>
      <c r="AJ875" s="50" t="n">
        <v>0</v>
      </c>
      <c r="AK875" s="51" t="n">
        <v>0</v>
      </c>
      <c r="AL875" s="52" t="n">
        <v>0</v>
      </c>
      <c r="AM875" s="52" t="n">
        <v>0</v>
      </c>
      <c r="AN875" s="52" t="n">
        <v>0</v>
      </c>
      <c r="AO875" s="53" t="n">
        <v>0</v>
      </c>
      <c r="AP875" s="52" t="n">
        <v>0</v>
      </c>
      <c r="AQ875" s="53" t="n">
        <v>0</v>
      </c>
      <c r="AR875" s="52" t="n">
        <v>0</v>
      </c>
      <c r="AS875" s="51" t="n">
        <v>0</v>
      </c>
      <c r="AT875" s="48" t="n">
        <v>0</v>
      </c>
      <c r="AU875" s="49" t="n">
        <v>0</v>
      </c>
      <c r="AV875" s="49" t="n">
        <v>0</v>
      </c>
      <c r="AW875" s="50" t="n">
        <v>0</v>
      </c>
      <c r="AX875" s="51" t="n">
        <v>0</v>
      </c>
      <c r="AY875" s="52" t="n">
        <v>0</v>
      </c>
      <c r="AZ875" s="52" t="n">
        <v>0</v>
      </c>
      <c r="BA875" s="52" t="n">
        <v>0</v>
      </c>
      <c r="BB875" s="53" t="n">
        <v>0</v>
      </c>
      <c r="BC875" s="52" t="n">
        <v>0</v>
      </c>
      <c r="BD875" s="53" t="n">
        <v>0</v>
      </c>
      <c r="BE875" s="52" t="n">
        <v>0</v>
      </c>
      <c r="BF875" s="51" t="n">
        <v>0</v>
      </c>
    </row>
    <row r="876">
      <c r="A876">
        <f>HYPERLINK("https://www.walmart.com/ip/964132730", "964132730")</f>
        <v/>
      </c>
      <c r="B876" t="inlineStr">
        <is>
          <t>Youth Reflective Knit Beanie Hat For Sports Warm</t>
        </is>
      </c>
      <c r="C876" t="inlineStr">
        <is>
          <t>1SLBN01DR-FSCB</t>
        </is>
      </c>
      <c r="D876" t="inlineStr">
        <is>
          <t>Hats</t>
        </is>
      </c>
      <c r="E876" t="inlineStr">
        <is>
          <t>Solaris</t>
        </is>
      </c>
      <c r="F876" t="inlineStr">
        <is>
          <t>Optimized</t>
        </is>
      </c>
      <c r="G876" s="48" t="n">
        <v>0</v>
      </c>
      <c r="H876" s="49" t="n">
        <v>0</v>
      </c>
      <c r="I876" s="49" t="n">
        <v>0</v>
      </c>
      <c r="J876" s="50" t="n">
        <v>0</v>
      </c>
      <c r="K876" s="51" t="n">
        <v>0</v>
      </c>
      <c r="L876" s="52" t="n">
        <v>0</v>
      </c>
      <c r="M876" s="52" t="n">
        <v>0</v>
      </c>
      <c r="N876" s="52" t="n">
        <v>0</v>
      </c>
      <c r="O876" s="53" t="n">
        <v>0</v>
      </c>
      <c r="P876" s="52" t="n">
        <v>0</v>
      </c>
      <c r="Q876" s="53" t="n">
        <v>0</v>
      </c>
      <c r="R876" s="52" t="n">
        <v>0</v>
      </c>
      <c r="S876" s="51" t="n">
        <v>0</v>
      </c>
      <c r="T876" s="48" t="n">
        <v>0</v>
      </c>
      <c r="U876" s="49" t="n">
        <v>0</v>
      </c>
      <c r="V876" s="49" t="n">
        <v>0</v>
      </c>
      <c r="W876" s="50" t="n">
        <v>0</v>
      </c>
      <c r="X876" s="51" t="n">
        <v>0</v>
      </c>
      <c r="Y876" s="52" t="n">
        <v>0</v>
      </c>
      <c r="Z876" s="52" t="n">
        <v>0</v>
      </c>
      <c r="AA876" s="52" t="n">
        <v>0</v>
      </c>
      <c r="AB876" s="53" t="n">
        <v>0</v>
      </c>
      <c r="AC876" s="52" t="n">
        <v>0</v>
      </c>
      <c r="AD876" s="53" t="n">
        <v>0</v>
      </c>
      <c r="AE876" s="52" t="n">
        <v>0</v>
      </c>
      <c r="AF876" s="51" t="n">
        <v>0</v>
      </c>
      <c r="AG876" s="48" t="n">
        <v>0</v>
      </c>
      <c r="AH876" s="49" t="n">
        <v>0</v>
      </c>
      <c r="AI876" s="49" t="n">
        <v>0</v>
      </c>
      <c r="AJ876" s="50" t="n">
        <v>0</v>
      </c>
      <c r="AK876" s="51" t="n">
        <v>0</v>
      </c>
      <c r="AL876" s="52" t="n">
        <v>0</v>
      </c>
      <c r="AM876" s="52" t="n">
        <v>0</v>
      </c>
      <c r="AN876" s="52" t="n">
        <v>0</v>
      </c>
      <c r="AO876" s="53" t="n">
        <v>0</v>
      </c>
      <c r="AP876" s="52" t="n">
        <v>0</v>
      </c>
      <c r="AQ876" s="53" t="n">
        <v>0</v>
      </c>
      <c r="AR876" s="52" t="n">
        <v>0</v>
      </c>
      <c r="AS876" s="51" t="n">
        <v>0</v>
      </c>
      <c r="AT876" s="48" t="n">
        <v>0</v>
      </c>
      <c r="AU876" s="49" t="n">
        <v>0</v>
      </c>
      <c r="AV876" s="49" t="n">
        <v>0</v>
      </c>
      <c r="AW876" s="50" t="n">
        <v>0</v>
      </c>
      <c r="AX876" s="51" t="n">
        <v>0</v>
      </c>
      <c r="AY876" s="52" t="n">
        <v>0</v>
      </c>
      <c r="AZ876" s="52" t="n">
        <v>0</v>
      </c>
      <c r="BA876" s="52" t="n">
        <v>0</v>
      </c>
      <c r="BB876" s="53" t="n">
        <v>0</v>
      </c>
      <c r="BC876" s="52" t="n">
        <v>0</v>
      </c>
      <c r="BD876" s="53" t="n">
        <v>0</v>
      </c>
      <c r="BE876" s="52" t="n">
        <v>0</v>
      </c>
      <c r="BF876" s="51" t="n">
        <v>0</v>
      </c>
    </row>
    <row r="877">
      <c r="A877">
        <f>HYPERLINK("https://www.walmart.com/ip/964410174", "964410174")</f>
        <v/>
      </c>
      <c r="B877" t="inlineStr">
        <is>
          <t>Wearable Lounging Blanket,Super Soft Warm Cozy Reversible Fuzzy,Extra Soft for Sofa Warm Blanket,Lightweight,Grey.</t>
        </is>
      </c>
      <c r="C877" t="inlineStr">
        <is>
          <t>1CTSN201GY</t>
        </is>
      </c>
      <c r="D877" t="inlineStr">
        <is>
          <t>Throws</t>
        </is>
      </c>
      <c r="E877" t="inlineStr">
        <is>
          <t>Catalonia</t>
        </is>
      </c>
      <c r="F877" t="inlineStr">
        <is>
          <t>Q2-Target,Optimized,WFS,Valentine,Coupon_Discount,WFS Item</t>
        </is>
      </c>
      <c r="G877" s="48" t="n">
        <v>0</v>
      </c>
      <c r="H877" s="49" t="n">
        <v>0</v>
      </c>
      <c r="I877" s="49" t="n">
        <v>0</v>
      </c>
      <c r="J877" s="50" t="n">
        <v>0</v>
      </c>
      <c r="K877" s="51" t="n">
        <v>0</v>
      </c>
      <c r="L877" s="52" t="n">
        <v>0</v>
      </c>
      <c r="M877" s="52" t="n">
        <v>0</v>
      </c>
      <c r="N877" s="52" t="n">
        <v>0</v>
      </c>
      <c r="O877" s="53" t="n">
        <v>0</v>
      </c>
      <c r="P877" s="52" t="n">
        <v>0</v>
      </c>
      <c r="Q877" s="53" t="n">
        <v>0</v>
      </c>
      <c r="R877" s="52" t="n">
        <v>0</v>
      </c>
      <c r="S877" s="51" t="n">
        <v>0</v>
      </c>
      <c r="T877" s="48" t="n">
        <v>0</v>
      </c>
      <c r="U877" s="49" t="n">
        <v>0</v>
      </c>
      <c r="V877" s="49" t="n">
        <v>0</v>
      </c>
      <c r="W877" s="50" t="n">
        <v>0</v>
      </c>
      <c r="X877" s="51" t="n">
        <v>0</v>
      </c>
      <c r="Y877" s="52" t="n">
        <v>0</v>
      </c>
      <c r="Z877" s="52" t="n">
        <v>0</v>
      </c>
      <c r="AA877" s="52" t="n">
        <v>0</v>
      </c>
      <c r="AB877" s="53" t="n">
        <v>0</v>
      </c>
      <c r="AC877" s="52" t="n">
        <v>0</v>
      </c>
      <c r="AD877" s="53" t="n">
        <v>0</v>
      </c>
      <c r="AE877" s="52" t="n">
        <v>0</v>
      </c>
      <c r="AF877" s="51" t="n">
        <v>0</v>
      </c>
      <c r="AG877" s="48" t="n">
        <v>0</v>
      </c>
      <c r="AH877" s="49" t="n">
        <v>0</v>
      </c>
      <c r="AI877" s="49" t="n">
        <v>0</v>
      </c>
      <c r="AJ877" s="50" t="n">
        <v>0</v>
      </c>
      <c r="AK877" s="51" t="n">
        <v>0</v>
      </c>
      <c r="AL877" s="52" t="n">
        <v>0</v>
      </c>
      <c r="AM877" s="52" t="n">
        <v>0</v>
      </c>
      <c r="AN877" s="52" t="n">
        <v>0</v>
      </c>
      <c r="AO877" s="53" t="n">
        <v>0</v>
      </c>
      <c r="AP877" s="52" t="n">
        <v>0</v>
      </c>
      <c r="AQ877" s="53" t="n">
        <v>0</v>
      </c>
      <c r="AR877" s="52" t="n">
        <v>0</v>
      </c>
      <c r="AS877" s="51" t="n">
        <v>0</v>
      </c>
      <c r="AT877" s="48" t="n">
        <v>0</v>
      </c>
      <c r="AU877" s="49" t="n">
        <v>0</v>
      </c>
      <c r="AV877" s="49" t="n">
        <v>0</v>
      </c>
      <c r="AW877" s="50" t="n">
        <v>0</v>
      </c>
      <c r="AX877" s="51" t="n">
        <v>0</v>
      </c>
      <c r="AY877" s="52" t="n">
        <v>0</v>
      </c>
      <c r="AZ877" s="52" t="n">
        <v>0</v>
      </c>
      <c r="BA877" s="52" t="n">
        <v>0</v>
      </c>
      <c r="BB877" s="53" t="n">
        <v>0</v>
      </c>
      <c r="BC877" s="52" t="n">
        <v>0</v>
      </c>
      <c r="BD877" s="53" t="n">
        <v>0</v>
      </c>
      <c r="BE877" s="52" t="n">
        <v>0</v>
      </c>
      <c r="BF877" s="51" t="n">
        <v>0</v>
      </c>
    </row>
    <row r="878">
      <c r="A878">
        <f>HYPERLINK("https://www.walmart.com/ip/965137317", "965137317")</f>
        <v/>
      </c>
      <c r="B878" t="inlineStr">
        <is>
          <t>home comforts blanket Blanket with Sleeves, Super Soft Wearable TV Blanket Robe Fleece for Adults 73 x 51”| Cozy Warm, Lightweigh</t>
        </is>
      </c>
      <c r="C878" t="inlineStr">
        <is>
          <t>1TRSN100BR-TBCB</t>
        </is>
      </c>
      <c r="D878" t="inlineStr">
        <is>
          <t>Throws</t>
        </is>
      </c>
      <c r="E878" t="inlineStr">
        <is>
          <t>Tirrinia</t>
        </is>
      </c>
      <c r="F878" t="inlineStr">
        <is>
          <t>WFS,WFS Item,Fleece Blankets</t>
        </is>
      </c>
      <c r="G878" s="48" t="n">
        <v>0</v>
      </c>
      <c r="H878" s="49" t="n">
        <v>0</v>
      </c>
      <c r="I878" s="49" t="n">
        <v>0</v>
      </c>
      <c r="J878" s="50" t="n">
        <v>0</v>
      </c>
      <c r="K878" s="51" t="n">
        <v>0</v>
      </c>
      <c r="L878" s="52" t="n">
        <v>0</v>
      </c>
      <c r="M878" s="52" t="n">
        <v>0</v>
      </c>
      <c r="N878" s="52" t="n">
        <v>0</v>
      </c>
      <c r="O878" s="53" t="n">
        <v>0</v>
      </c>
      <c r="P878" s="52" t="n">
        <v>0</v>
      </c>
      <c r="Q878" s="53" t="n">
        <v>0</v>
      </c>
      <c r="R878" s="52" t="n">
        <v>0</v>
      </c>
      <c r="S878" s="51" t="n">
        <v>0</v>
      </c>
      <c r="T878" s="48" t="n">
        <v>0</v>
      </c>
      <c r="U878" s="49" t="n">
        <v>0</v>
      </c>
      <c r="V878" s="49" t="n">
        <v>0</v>
      </c>
      <c r="W878" s="50" t="n">
        <v>0</v>
      </c>
      <c r="X878" s="51" t="n">
        <v>0</v>
      </c>
      <c r="Y878" s="52" t="n">
        <v>0</v>
      </c>
      <c r="Z878" s="52" t="n">
        <v>0</v>
      </c>
      <c r="AA878" s="52" t="n">
        <v>0</v>
      </c>
      <c r="AB878" s="53" t="n">
        <v>0</v>
      </c>
      <c r="AC878" s="52" t="n">
        <v>0</v>
      </c>
      <c r="AD878" s="53" t="n">
        <v>0</v>
      </c>
      <c r="AE878" s="52" t="n">
        <v>0</v>
      </c>
      <c r="AF878" s="51" t="n">
        <v>0</v>
      </c>
      <c r="AG878" s="48" t="n">
        <v>0</v>
      </c>
      <c r="AH878" s="49" t="n">
        <v>0</v>
      </c>
      <c r="AI878" s="49" t="n">
        <v>0</v>
      </c>
      <c r="AJ878" s="50" t="n">
        <v>0</v>
      </c>
      <c r="AK878" s="51" t="n">
        <v>0</v>
      </c>
      <c r="AL878" s="52" t="n">
        <v>0</v>
      </c>
      <c r="AM878" s="52" t="n">
        <v>0</v>
      </c>
      <c r="AN878" s="52" t="n">
        <v>0</v>
      </c>
      <c r="AO878" s="53" t="n">
        <v>0</v>
      </c>
      <c r="AP878" s="52" t="n">
        <v>0</v>
      </c>
      <c r="AQ878" s="53" t="n">
        <v>0</v>
      </c>
      <c r="AR878" s="52" t="n">
        <v>0</v>
      </c>
      <c r="AS878" s="51" t="n">
        <v>0</v>
      </c>
      <c r="AT878" s="48" t="n">
        <v>0</v>
      </c>
      <c r="AU878" s="49" t="n">
        <v>0</v>
      </c>
      <c r="AV878" s="49" t="n">
        <v>0</v>
      </c>
      <c r="AW878" s="50" t="n">
        <v>0</v>
      </c>
      <c r="AX878" s="51" t="n">
        <v>0</v>
      </c>
      <c r="AY878" s="52" t="n">
        <v>0</v>
      </c>
      <c r="AZ878" s="52" t="n">
        <v>0</v>
      </c>
      <c r="BA878" s="52" t="n">
        <v>0</v>
      </c>
      <c r="BB878" s="53" t="n">
        <v>0</v>
      </c>
      <c r="BC878" s="52" t="n">
        <v>0</v>
      </c>
      <c r="BD878" s="53" t="n">
        <v>0</v>
      </c>
      <c r="BE878" s="52" t="n">
        <v>0</v>
      </c>
      <c r="BF878" s="51" t="n">
        <v>0</v>
      </c>
    </row>
    <row r="879">
      <c r="A879">
        <f>HYPERLINK("https://www.walmart.com/ip/965226311", "965226311")</f>
        <v/>
      </c>
      <c r="B879" t="inlineStr">
        <is>
          <t>Tirrinia Super Soft Plush Sherpa Wearable Fleece Blanket Poncho for Adult, 55'' x 80'', Vanilla</t>
        </is>
      </c>
      <c r="C879" t="inlineStr">
        <is>
          <t>1TRBP110VN-TBCB</t>
        </is>
      </c>
      <c r="D879" t="inlineStr">
        <is>
          <t>Throws</t>
        </is>
      </c>
      <c r="E879" t="inlineStr">
        <is>
          <t>Tirrinia</t>
        </is>
      </c>
      <c r="F879" t="inlineStr">
        <is>
          <t>Optimized,Fleece Blankets</t>
        </is>
      </c>
      <c r="G879" s="48" t="n">
        <v>0</v>
      </c>
      <c r="H879" s="49" t="n">
        <v>0</v>
      </c>
      <c r="I879" s="49" t="n">
        <v>0</v>
      </c>
      <c r="J879" s="50" t="n">
        <v>0</v>
      </c>
      <c r="K879" s="51" t="n">
        <v>0</v>
      </c>
      <c r="L879" s="52" t="n">
        <v>0</v>
      </c>
      <c r="M879" s="52" t="n">
        <v>0</v>
      </c>
      <c r="N879" s="52" t="n">
        <v>0</v>
      </c>
      <c r="O879" s="53" t="n">
        <v>0</v>
      </c>
      <c r="P879" s="52" t="n">
        <v>0</v>
      </c>
      <c r="Q879" s="53" t="n">
        <v>0</v>
      </c>
      <c r="R879" s="52" t="n">
        <v>0</v>
      </c>
      <c r="S879" s="51" t="n">
        <v>0</v>
      </c>
      <c r="T879" s="48" t="n">
        <v>0</v>
      </c>
      <c r="U879" s="49" t="n">
        <v>0</v>
      </c>
      <c r="V879" s="49" t="n">
        <v>0</v>
      </c>
      <c r="W879" s="50" t="n">
        <v>0</v>
      </c>
      <c r="X879" s="51" t="n">
        <v>0</v>
      </c>
      <c r="Y879" s="52" t="n">
        <v>0</v>
      </c>
      <c r="Z879" s="52" t="n">
        <v>0</v>
      </c>
      <c r="AA879" s="52" t="n">
        <v>0</v>
      </c>
      <c r="AB879" s="53" t="n">
        <v>0</v>
      </c>
      <c r="AC879" s="52" t="n">
        <v>0</v>
      </c>
      <c r="AD879" s="53" t="n">
        <v>0</v>
      </c>
      <c r="AE879" s="52" t="n">
        <v>0</v>
      </c>
      <c r="AF879" s="51" t="n">
        <v>0</v>
      </c>
      <c r="AG879" s="48" t="n">
        <v>0</v>
      </c>
      <c r="AH879" s="49" t="n">
        <v>0</v>
      </c>
      <c r="AI879" s="49" t="n">
        <v>0</v>
      </c>
      <c r="AJ879" s="50" t="n">
        <v>0</v>
      </c>
      <c r="AK879" s="51" t="n">
        <v>0</v>
      </c>
      <c r="AL879" s="52" t="n">
        <v>0</v>
      </c>
      <c r="AM879" s="52" t="n">
        <v>0</v>
      </c>
      <c r="AN879" s="52" t="n">
        <v>0</v>
      </c>
      <c r="AO879" s="53" t="n">
        <v>0</v>
      </c>
      <c r="AP879" s="52" t="n">
        <v>0</v>
      </c>
      <c r="AQ879" s="53" t="n">
        <v>0</v>
      </c>
      <c r="AR879" s="52" t="n">
        <v>0</v>
      </c>
      <c r="AS879" s="51" t="n">
        <v>0</v>
      </c>
      <c r="AT879" s="48" t="n">
        <v>0</v>
      </c>
      <c r="AU879" s="49" t="n">
        <v>0</v>
      </c>
      <c r="AV879" s="49" t="n">
        <v>0</v>
      </c>
      <c r="AW879" s="50" t="n">
        <v>0</v>
      </c>
      <c r="AX879" s="51" t="n">
        <v>0</v>
      </c>
      <c r="AY879" s="52" t="n">
        <v>0</v>
      </c>
      <c r="AZ879" s="52" t="n">
        <v>0</v>
      </c>
      <c r="BA879" s="52" t="n">
        <v>0</v>
      </c>
      <c r="BB879" s="53" t="n">
        <v>0</v>
      </c>
      <c r="BC879" s="52" t="n">
        <v>0</v>
      </c>
      <c r="BD879" s="53" t="n">
        <v>0</v>
      </c>
      <c r="BE879" s="52" t="n">
        <v>0</v>
      </c>
      <c r="BF879" s="51" t="n">
        <v>0</v>
      </c>
    </row>
    <row r="880">
      <c r="A880">
        <f>HYPERLINK("https://www.walmart.com/ip/966175424", "966175424")</f>
        <v/>
      </c>
      <c r="B880" t="inlineStr">
        <is>
          <t>Flyingstar Sherpa Throws Blanket, Fleece Soft Cozy Blanket Throws for Sofa Bed 50"x60"</t>
        </is>
      </c>
      <c r="C880" t="inlineStr">
        <is>
          <t>1WMBF301GN-ESGM</t>
        </is>
      </c>
      <c r="D880" t="inlineStr">
        <is>
          <t>Throws</t>
        </is>
      </c>
      <c r="E880" t="inlineStr">
        <is>
          <t>Flyingstar</t>
        </is>
      </c>
      <c r="F880" t="inlineStr">
        <is>
          <t>Optimized</t>
        </is>
      </c>
      <c r="G880" s="48" t="n">
        <v>0</v>
      </c>
      <c r="H880" s="49" t="n">
        <v>0</v>
      </c>
      <c r="I880" s="49" t="n">
        <v>0</v>
      </c>
      <c r="J880" s="50" t="n">
        <v>0</v>
      </c>
      <c r="K880" s="51" t="n">
        <v>0</v>
      </c>
      <c r="L880" s="52" t="n">
        <v>0</v>
      </c>
      <c r="M880" s="52" t="n">
        <v>0</v>
      </c>
      <c r="N880" s="52" t="n">
        <v>0</v>
      </c>
      <c r="O880" s="53" t="n">
        <v>0</v>
      </c>
      <c r="P880" s="52" t="n">
        <v>0</v>
      </c>
      <c r="Q880" s="53" t="n">
        <v>0</v>
      </c>
      <c r="R880" s="52" t="n">
        <v>0</v>
      </c>
      <c r="S880" s="51" t="n">
        <v>0</v>
      </c>
      <c r="T880" s="48" t="n">
        <v>0</v>
      </c>
      <c r="U880" s="49" t="n">
        <v>0</v>
      </c>
      <c r="V880" s="49" t="n">
        <v>0</v>
      </c>
      <c r="W880" s="50" t="n">
        <v>0</v>
      </c>
      <c r="X880" s="51" t="n">
        <v>0</v>
      </c>
      <c r="Y880" s="52" t="n">
        <v>0</v>
      </c>
      <c r="Z880" s="52" t="n">
        <v>0</v>
      </c>
      <c r="AA880" s="52" t="n">
        <v>0</v>
      </c>
      <c r="AB880" s="53" t="n">
        <v>0</v>
      </c>
      <c r="AC880" s="52" t="n">
        <v>0</v>
      </c>
      <c r="AD880" s="53" t="n">
        <v>0</v>
      </c>
      <c r="AE880" s="52" t="n">
        <v>0</v>
      </c>
      <c r="AF880" s="51" t="n">
        <v>0</v>
      </c>
      <c r="AG880" s="48" t="n">
        <v>0</v>
      </c>
      <c r="AH880" s="49" t="n">
        <v>0</v>
      </c>
      <c r="AI880" s="49" t="n">
        <v>0</v>
      </c>
      <c r="AJ880" s="50" t="n">
        <v>0</v>
      </c>
      <c r="AK880" s="51" t="n">
        <v>0</v>
      </c>
      <c r="AL880" s="52" t="n">
        <v>0</v>
      </c>
      <c r="AM880" s="52" t="n">
        <v>0</v>
      </c>
      <c r="AN880" s="52" t="n">
        <v>0</v>
      </c>
      <c r="AO880" s="53" t="n">
        <v>0</v>
      </c>
      <c r="AP880" s="52" t="n">
        <v>0</v>
      </c>
      <c r="AQ880" s="53" t="n">
        <v>0</v>
      </c>
      <c r="AR880" s="52" t="n">
        <v>0</v>
      </c>
      <c r="AS880" s="51" t="n">
        <v>0</v>
      </c>
      <c r="AT880" s="48" t="n">
        <v>0</v>
      </c>
      <c r="AU880" s="49" t="n">
        <v>0</v>
      </c>
      <c r="AV880" s="49" t="n">
        <v>0</v>
      </c>
      <c r="AW880" s="50" t="n">
        <v>0</v>
      </c>
      <c r="AX880" s="51" t="n">
        <v>0</v>
      </c>
      <c r="AY880" s="52" t="n">
        <v>0</v>
      </c>
      <c r="AZ880" s="52" t="n">
        <v>0</v>
      </c>
      <c r="BA880" s="52" t="n">
        <v>0</v>
      </c>
      <c r="BB880" s="53" t="n">
        <v>0</v>
      </c>
      <c r="BC880" s="52" t="n">
        <v>0</v>
      </c>
      <c r="BD880" s="53" t="n">
        <v>0</v>
      </c>
      <c r="BE880" s="52" t="n">
        <v>0</v>
      </c>
      <c r="BF880" s="51" t="n">
        <v>0</v>
      </c>
    </row>
    <row r="881">
      <c r="A881">
        <f>HYPERLINK("https://www.walmart.com/ip/966954985", "966954985")</f>
        <v/>
      </c>
      <c r="B881" t="inlineStr">
        <is>
          <t>Extra Large Lunch Bag - 13L/ 22 Can, Insulated &amp; Leakproof Adult Reusable Meal Prep Bento Box Cooler Tote for Men &amp; Women with Dual Compartment By Tirrinia, Dark Blue</t>
        </is>
      </c>
      <c r="C881" t="inlineStr">
        <is>
          <t>1KTLB410DBL</t>
        </is>
      </c>
      <c r="D881" t="inlineStr">
        <is>
          <t>Reusable Lunch Bags &amp; Boxes</t>
        </is>
      </c>
      <c r="E881" t="inlineStr">
        <is>
          <t>Tirrinia</t>
        </is>
      </c>
      <c r="F881" t="inlineStr">
        <is>
          <t>Q2-Target,Brand Camp VD,Lunch Bag,WFS,Lunch Bags,SEM,WFS Item</t>
        </is>
      </c>
      <c r="G881" s="48" t="n">
        <v>0</v>
      </c>
      <c r="H881" s="49" t="n">
        <v>0</v>
      </c>
      <c r="I881" s="49" t="n">
        <v>1</v>
      </c>
      <c r="J881" s="50" t="n">
        <v>0</v>
      </c>
      <c r="K881" s="51" t="n">
        <v>0</v>
      </c>
      <c r="L881" s="52" t="n">
        <v>0</v>
      </c>
      <c r="M881" s="52" t="n">
        <v>0</v>
      </c>
      <c r="N881" s="52" t="n">
        <v>0</v>
      </c>
      <c r="O881" s="53" t="n">
        <v>0</v>
      </c>
      <c r="P881" s="52" t="n">
        <v>0</v>
      </c>
      <c r="Q881" s="53" t="n">
        <v>0</v>
      </c>
      <c r="R881" s="52" t="n">
        <v>0</v>
      </c>
      <c r="S881" s="51" t="n">
        <v>0</v>
      </c>
      <c r="T881" s="48" t="n">
        <v>0</v>
      </c>
      <c r="U881" s="49" t="n">
        <v>0</v>
      </c>
      <c r="V881" s="49" t="n">
        <v>1</v>
      </c>
      <c r="W881" s="50" t="n">
        <v>0</v>
      </c>
      <c r="X881" s="51" t="n">
        <v>0</v>
      </c>
      <c r="Y881" s="52" t="n">
        <v>0</v>
      </c>
      <c r="Z881" s="52" t="n">
        <v>0</v>
      </c>
      <c r="AA881" s="52" t="n">
        <v>0</v>
      </c>
      <c r="AB881" s="53" t="n">
        <v>0</v>
      </c>
      <c r="AC881" s="52" t="n">
        <v>0</v>
      </c>
      <c r="AD881" s="53" t="n">
        <v>0</v>
      </c>
      <c r="AE881" s="52" t="n">
        <v>0</v>
      </c>
      <c r="AF881" s="51" t="n">
        <v>0</v>
      </c>
      <c r="AG881" s="48" t="n">
        <v>24.1</v>
      </c>
      <c r="AH881" s="49" t="n">
        <v>1</v>
      </c>
      <c r="AI881" s="49" t="n">
        <v>6</v>
      </c>
      <c r="AJ881" s="50" t="n">
        <v>0.1666666666666667</v>
      </c>
      <c r="AK881" s="51" t="n">
        <v>0</v>
      </c>
      <c r="AL881" s="52" t="n">
        <v>0</v>
      </c>
      <c r="AM881" s="52" t="n">
        <v>0</v>
      </c>
      <c r="AN881" s="52" t="n">
        <v>0</v>
      </c>
      <c r="AO881" s="53" t="n">
        <v>0</v>
      </c>
      <c r="AP881" s="52" t="n">
        <v>0</v>
      </c>
      <c r="AQ881" s="53" t="n">
        <v>0</v>
      </c>
      <c r="AR881" s="52" t="n">
        <v>24.1</v>
      </c>
      <c r="AS881" s="51" t="n">
        <v>0</v>
      </c>
      <c r="AT881" s="48" t="n">
        <v>0</v>
      </c>
      <c r="AU881" s="49" t="n">
        <v>0</v>
      </c>
      <c r="AV881" s="49" t="n">
        <v>4</v>
      </c>
      <c r="AW881" s="50" t="n">
        <v>0</v>
      </c>
      <c r="AX881" s="51" t="n">
        <v>0</v>
      </c>
      <c r="AY881" s="52" t="n">
        <v>0</v>
      </c>
      <c r="AZ881" s="52" t="n">
        <v>0</v>
      </c>
      <c r="BA881" s="52" t="n">
        <v>0</v>
      </c>
      <c r="BB881" s="53" t="n">
        <v>0</v>
      </c>
      <c r="BC881" s="52" t="n">
        <v>0</v>
      </c>
      <c r="BD881" s="53" t="n">
        <v>0</v>
      </c>
      <c r="BE881" s="52" t="n">
        <v>0</v>
      </c>
      <c r="BF881" s="51" t="n">
        <v>0</v>
      </c>
    </row>
    <row r="882">
      <c r="A882">
        <f>HYPERLINK("https://www.walmart.com/ip/9673001933", "9673001933")</f>
        <v/>
      </c>
      <c r="B882" t="inlineStr">
        <is>
          <t>Tirrinia Wearable Fleece Blanket for Women and Men, Super-Soft Microplush TV Blanket, Adult Wrap, Full Body Robe for Lounge Couch, Dalmation, 73" x 51"</t>
        </is>
      </c>
      <c r="C882" t="inlineStr">
        <is>
          <t>1TRSN100WONDERCATGY</t>
        </is>
      </c>
      <c r="D882" t="inlineStr">
        <is>
          <t>Throws</t>
        </is>
      </c>
      <c r="E882" t="inlineStr">
        <is>
          <t>Tirrinia</t>
        </is>
      </c>
      <c r="G882" s="48" t="n">
        <v>0</v>
      </c>
      <c r="H882" s="49" t="n">
        <v>0</v>
      </c>
      <c r="I882" s="49" t="n">
        <v>0</v>
      </c>
      <c r="J882" s="50" t="n">
        <v>0</v>
      </c>
      <c r="K882" s="51" t="n">
        <v>0</v>
      </c>
      <c r="L882" s="52" t="n">
        <v>0</v>
      </c>
      <c r="M882" s="52" t="n">
        <v>0</v>
      </c>
      <c r="N882" s="52" t="n">
        <v>0</v>
      </c>
      <c r="O882" s="53" t="n">
        <v>0</v>
      </c>
      <c r="P882" s="52" t="n">
        <v>0</v>
      </c>
      <c r="Q882" s="53" t="n">
        <v>0</v>
      </c>
      <c r="R882" s="52" t="n">
        <v>0</v>
      </c>
      <c r="S882" s="51" t="n">
        <v>0</v>
      </c>
      <c r="T882" s="48" t="n">
        <v>26.99</v>
      </c>
      <c r="U882" s="49" t="n">
        <v>1</v>
      </c>
      <c r="V882" s="49" t="n">
        <v>0</v>
      </c>
      <c r="W882" s="50" t="n">
        <v>0</v>
      </c>
      <c r="X882" s="51" t="n">
        <v>0</v>
      </c>
      <c r="Y882" s="52" t="n">
        <v>0</v>
      </c>
      <c r="Z882" s="52" t="n">
        <v>0</v>
      </c>
      <c r="AA882" s="52" t="n">
        <v>0</v>
      </c>
      <c r="AB882" s="53" t="n">
        <v>0</v>
      </c>
      <c r="AC882" s="52" t="n">
        <v>0</v>
      </c>
      <c r="AD882" s="53" t="n">
        <v>0</v>
      </c>
      <c r="AE882" s="52" t="n">
        <v>26.99</v>
      </c>
      <c r="AF882" s="51" t="n">
        <v>0</v>
      </c>
      <c r="AG882" s="48" t="n">
        <v>0</v>
      </c>
      <c r="AH882" s="49" t="n">
        <v>0</v>
      </c>
      <c r="AI882" s="49" t="n">
        <v>0</v>
      </c>
      <c r="AJ882" s="50" t="n">
        <v>0</v>
      </c>
      <c r="AK882" s="51" t="n">
        <v>0</v>
      </c>
      <c r="AL882" s="52" t="n">
        <v>0</v>
      </c>
      <c r="AM882" s="52" t="n">
        <v>0</v>
      </c>
      <c r="AN882" s="52" t="n">
        <v>0</v>
      </c>
      <c r="AO882" s="53" t="n">
        <v>0</v>
      </c>
      <c r="AP882" s="52" t="n">
        <v>0</v>
      </c>
      <c r="AQ882" s="53" t="n">
        <v>0</v>
      </c>
      <c r="AR882" s="52" t="n">
        <v>0</v>
      </c>
      <c r="AS882" s="51" t="n">
        <v>0</v>
      </c>
      <c r="AT882" s="48" t="n">
        <v>0</v>
      </c>
      <c r="AU882" s="49" t="n">
        <v>0</v>
      </c>
      <c r="AV882" s="49" t="n">
        <v>0</v>
      </c>
      <c r="AW882" s="50" t="n">
        <v>0</v>
      </c>
      <c r="AX882" s="51" t="n">
        <v>0</v>
      </c>
      <c r="AY882" s="52" t="n">
        <v>0</v>
      </c>
      <c r="AZ882" s="52" t="n">
        <v>0</v>
      </c>
      <c r="BA882" s="52" t="n">
        <v>0</v>
      </c>
      <c r="BB882" s="53" t="n">
        <v>0</v>
      </c>
      <c r="BC882" s="52" t="n">
        <v>0</v>
      </c>
      <c r="BD882" s="53" t="n">
        <v>0</v>
      </c>
      <c r="BE882" s="52" t="n">
        <v>0</v>
      </c>
      <c r="BF882" s="51" t="n">
        <v>0</v>
      </c>
    </row>
    <row r="883">
      <c r="A883">
        <f>HYPERLINK("https://www.walmart.com/ip/9673001935", "9673001935")</f>
        <v/>
      </c>
      <c r="B883" t="inlineStr">
        <is>
          <t>Tirrinia Wearable Fleece Blanket for Women and Men, Super-Soft Microplush TV Blanket, Adult Wrap, Full Body Robe for Lounge Couch, Dalmation, 73" x 51"</t>
        </is>
      </c>
      <c r="C883" t="inlineStr">
        <is>
          <t>1TRSN100TPHORSE</t>
        </is>
      </c>
      <c r="D883" t="inlineStr">
        <is>
          <t>Throws</t>
        </is>
      </c>
      <c r="E883" t="inlineStr">
        <is>
          <t>Tirrinia</t>
        </is>
      </c>
      <c r="G883" s="48" t="n">
        <v>0</v>
      </c>
      <c r="H883" s="49" t="n">
        <v>0</v>
      </c>
      <c r="I883" s="49" t="n">
        <v>0</v>
      </c>
      <c r="J883" s="50" t="n">
        <v>0</v>
      </c>
      <c r="K883" s="51" t="n">
        <v>0</v>
      </c>
      <c r="L883" s="52" t="n">
        <v>0</v>
      </c>
      <c r="M883" s="52" t="n">
        <v>0</v>
      </c>
      <c r="N883" s="52" t="n">
        <v>0</v>
      </c>
      <c r="O883" s="53" t="n">
        <v>0</v>
      </c>
      <c r="P883" s="52" t="n">
        <v>0</v>
      </c>
      <c r="Q883" s="53" t="n">
        <v>0</v>
      </c>
      <c r="R883" s="52" t="n">
        <v>0</v>
      </c>
      <c r="S883" s="51" t="n">
        <v>0</v>
      </c>
      <c r="T883" s="48" t="n">
        <v>0</v>
      </c>
      <c r="U883" s="49" t="n">
        <v>0</v>
      </c>
      <c r="V883" s="49" t="n">
        <v>0</v>
      </c>
      <c r="W883" s="50" t="n">
        <v>0</v>
      </c>
      <c r="X883" s="51" t="n">
        <v>0</v>
      </c>
      <c r="Y883" s="52" t="n">
        <v>0</v>
      </c>
      <c r="Z883" s="52" t="n">
        <v>0</v>
      </c>
      <c r="AA883" s="52" t="n">
        <v>0</v>
      </c>
      <c r="AB883" s="53" t="n">
        <v>0</v>
      </c>
      <c r="AC883" s="52" t="n">
        <v>0</v>
      </c>
      <c r="AD883" s="53" t="n">
        <v>0</v>
      </c>
      <c r="AE883" s="52" t="n">
        <v>0</v>
      </c>
      <c r="AF883" s="51" t="n">
        <v>0</v>
      </c>
      <c r="AG883" s="48" t="n">
        <v>0</v>
      </c>
      <c r="AH883" s="49" t="n">
        <v>0</v>
      </c>
      <c r="AI883" s="49" t="n">
        <v>0</v>
      </c>
      <c r="AJ883" s="50" t="n">
        <v>0</v>
      </c>
      <c r="AK883" s="51" t="n">
        <v>0</v>
      </c>
      <c r="AL883" s="52" t="n">
        <v>0</v>
      </c>
      <c r="AM883" s="52" t="n">
        <v>0</v>
      </c>
      <c r="AN883" s="52" t="n">
        <v>0</v>
      </c>
      <c r="AO883" s="53" t="n">
        <v>0</v>
      </c>
      <c r="AP883" s="52" t="n">
        <v>0</v>
      </c>
      <c r="AQ883" s="53" t="n">
        <v>0</v>
      </c>
      <c r="AR883" s="52" t="n">
        <v>0</v>
      </c>
      <c r="AS883" s="51" t="n">
        <v>0</v>
      </c>
      <c r="AT883" s="48" t="n">
        <v>0</v>
      </c>
      <c r="AU883" s="49" t="n">
        <v>0</v>
      </c>
      <c r="AV883" s="49" t="n">
        <v>0</v>
      </c>
      <c r="AW883" s="50" t="n">
        <v>0</v>
      </c>
      <c r="AX883" s="51" t="n">
        <v>0</v>
      </c>
      <c r="AY883" s="52" t="n">
        <v>0</v>
      </c>
      <c r="AZ883" s="52" t="n">
        <v>0</v>
      </c>
      <c r="BA883" s="52" t="n">
        <v>0</v>
      </c>
      <c r="BB883" s="53" t="n">
        <v>0</v>
      </c>
      <c r="BC883" s="52" t="n">
        <v>0</v>
      </c>
      <c r="BD883" s="53" t="n">
        <v>0</v>
      </c>
      <c r="BE883" s="52" t="n">
        <v>0</v>
      </c>
      <c r="BF883" s="51" t="n">
        <v>0</v>
      </c>
    </row>
    <row r="884">
      <c r="A884">
        <f>HYPERLINK("https://www.walmart.com/ip/967766683", "967766683")</f>
        <v/>
      </c>
      <c r="B884" t="inlineStr">
        <is>
          <t>1TRPB100-GY</t>
        </is>
      </c>
      <c r="C884" t="inlineStr">
        <is>
          <t>1TRPB100-GY</t>
        </is>
      </c>
      <c r="D884" t="inlineStr">
        <is>
          <t>Picnic Baskets &amp; Bags</t>
        </is>
      </c>
      <c r="E884" t="inlineStr">
        <is>
          <t>Tirrinia</t>
        </is>
      </c>
      <c r="F884" t="inlineStr">
        <is>
          <t>Optimized</t>
        </is>
      </c>
      <c r="G884" s="48" t="n">
        <v>0</v>
      </c>
      <c r="H884" s="49" t="n">
        <v>0</v>
      </c>
      <c r="I884" s="49" t="n">
        <v>0</v>
      </c>
      <c r="J884" s="50" t="n">
        <v>0</v>
      </c>
      <c r="K884" s="51" t="n">
        <v>0</v>
      </c>
      <c r="L884" s="52" t="n">
        <v>0</v>
      </c>
      <c r="M884" s="52" t="n">
        <v>0</v>
      </c>
      <c r="N884" s="52" t="n">
        <v>0</v>
      </c>
      <c r="O884" s="53" t="n">
        <v>0</v>
      </c>
      <c r="P884" s="52" t="n">
        <v>0</v>
      </c>
      <c r="Q884" s="53" t="n">
        <v>0</v>
      </c>
      <c r="R884" s="52" t="n">
        <v>0</v>
      </c>
      <c r="S884" s="51" t="n">
        <v>0</v>
      </c>
      <c r="T884" s="48" t="n">
        <v>0</v>
      </c>
      <c r="U884" s="49" t="n">
        <v>0</v>
      </c>
      <c r="V884" s="49" t="n">
        <v>0</v>
      </c>
      <c r="W884" s="50" t="n">
        <v>0</v>
      </c>
      <c r="X884" s="51" t="n">
        <v>0</v>
      </c>
      <c r="Y884" s="52" t="n">
        <v>0</v>
      </c>
      <c r="Z884" s="52" t="n">
        <v>0</v>
      </c>
      <c r="AA884" s="52" t="n">
        <v>0</v>
      </c>
      <c r="AB884" s="53" t="n">
        <v>0</v>
      </c>
      <c r="AC884" s="52" t="n">
        <v>0</v>
      </c>
      <c r="AD884" s="53" t="n">
        <v>0</v>
      </c>
      <c r="AE884" s="52" t="n">
        <v>0</v>
      </c>
      <c r="AF884" s="51" t="n">
        <v>0</v>
      </c>
      <c r="AG884" s="48" t="n">
        <v>0</v>
      </c>
      <c r="AH884" s="49" t="n">
        <v>0</v>
      </c>
      <c r="AI884" s="49" t="n">
        <v>0</v>
      </c>
      <c r="AJ884" s="50" t="n">
        <v>0</v>
      </c>
      <c r="AK884" s="51" t="n">
        <v>0</v>
      </c>
      <c r="AL884" s="52" t="n">
        <v>0</v>
      </c>
      <c r="AM884" s="52" t="n">
        <v>0</v>
      </c>
      <c r="AN884" s="52" t="n">
        <v>0</v>
      </c>
      <c r="AO884" s="53" t="n">
        <v>0</v>
      </c>
      <c r="AP884" s="52" t="n">
        <v>0</v>
      </c>
      <c r="AQ884" s="53" t="n">
        <v>0</v>
      </c>
      <c r="AR884" s="52" t="n">
        <v>0</v>
      </c>
      <c r="AS884" s="51" t="n">
        <v>0</v>
      </c>
      <c r="AT884" s="48" t="n">
        <v>0</v>
      </c>
      <c r="AU884" s="49" t="n">
        <v>0</v>
      </c>
      <c r="AV884" s="49" t="n">
        <v>0</v>
      </c>
      <c r="AW884" s="50" t="n">
        <v>0</v>
      </c>
      <c r="AX884" s="51" t="n">
        <v>0</v>
      </c>
      <c r="AY884" s="52" t="n">
        <v>0</v>
      </c>
      <c r="AZ884" s="52" t="n">
        <v>0</v>
      </c>
      <c r="BA884" s="52" t="n">
        <v>0</v>
      </c>
      <c r="BB884" s="53" t="n">
        <v>0</v>
      </c>
      <c r="BC884" s="52" t="n">
        <v>0</v>
      </c>
      <c r="BD884" s="53" t="n">
        <v>0</v>
      </c>
      <c r="BE884" s="52" t="n">
        <v>0</v>
      </c>
      <c r="BF884" s="51" t="n">
        <v>0</v>
      </c>
    </row>
    <row r="885">
      <c r="A885">
        <f>HYPERLINK("https://www.walmart.com/ip/968336375", "968336375")</f>
        <v/>
      </c>
      <c r="B885" t="inlineStr">
        <is>
          <t>Catalonia Coral Fleece Throw Blanket for Couch, All Seasons Lightweight Soft Cozy Throws for Home Living Room Decoration, 50'' x 60'', Pink</t>
        </is>
      </c>
      <c r="C885" t="inlineStr">
        <is>
          <t>1CTBF577PK</t>
        </is>
      </c>
      <c r="D885" t="inlineStr">
        <is>
          <t>Throws</t>
        </is>
      </c>
      <c r="E885" t="inlineStr">
        <is>
          <t>Catalonia</t>
        </is>
      </c>
      <c r="F885" t="inlineStr">
        <is>
          <t>Q2-Target,WFS,Coupon_Discount,cost-added,WFS Item</t>
        </is>
      </c>
      <c r="G885" s="48" t="n">
        <v>0</v>
      </c>
      <c r="H885" s="49" t="n">
        <v>0</v>
      </c>
      <c r="I885" s="49" t="n">
        <v>0</v>
      </c>
      <c r="J885" s="50" t="n">
        <v>0</v>
      </c>
      <c r="K885" s="51" t="n">
        <v>0</v>
      </c>
      <c r="L885" s="52" t="n">
        <v>0</v>
      </c>
      <c r="M885" s="52" t="n">
        <v>0</v>
      </c>
      <c r="N885" s="52" t="n">
        <v>0</v>
      </c>
      <c r="O885" s="53" t="n">
        <v>0</v>
      </c>
      <c r="P885" s="52" t="n">
        <v>0</v>
      </c>
      <c r="Q885" s="53" t="n">
        <v>0</v>
      </c>
      <c r="R885" s="52" t="n">
        <v>0</v>
      </c>
      <c r="S885" s="51" t="n">
        <v>0</v>
      </c>
      <c r="T885" s="48" t="n">
        <v>0</v>
      </c>
      <c r="U885" s="49" t="n">
        <v>0</v>
      </c>
      <c r="V885" s="49" t="n">
        <v>0</v>
      </c>
      <c r="W885" s="50" t="n">
        <v>0</v>
      </c>
      <c r="X885" s="51" t="n">
        <v>0</v>
      </c>
      <c r="Y885" s="52" t="n">
        <v>0</v>
      </c>
      <c r="Z885" s="52" t="n">
        <v>0</v>
      </c>
      <c r="AA885" s="52" t="n">
        <v>0</v>
      </c>
      <c r="AB885" s="53" t="n">
        <v>0</v>
      </c>
      <c r="AC885" s="52" t="n">
        <v>0</v>
      </c>
      <c r="AD885" s="53" t="n">
        <v>0</v>
      </c>
      <c r="AE885" s="52" t="n">
        <v>0</v>
      </c>
      <c r="AF885" s="51" t="n">
        <v>0</v>
      </c>
      <c r="AG885" s="48" t="n">
        <v>0</v>
      </c>
      <c r="AH885" s="49" t="n">
        <v>0</v>
      </c>
      <c r="AI885" s="49" t="n">
        <v>0</v>
      </c>
      <c r="AJ885" s="50" t="n">
        <v>0</v>
      </c>
      <c r="AK885" s="51" t="n">
        <v>0</v>
      </c>
      <c r="AL885" s="52" t="n">
        <v>0</v>
      </c>
      <c r="AM885" s="52" t="n">
        <v>0</v>
      </c>
      <c r="AN885" s="52" t="n">
        <v>0</v>
      </c>
      <c r="AO885" s="53" t="n">
        <v>0</v>
      </c>
      <c r="AP885" s="52" t="n">
        <v>0</v>
      </c>
      <c r="AQ885" s="53" t="n">
        <v>0</v>
      </c>
      <c r="AR885" s="52" t="n">
        <v>0</v>
      </c>
      <c r="AS885" s="51" t="n">
        <v>0</v>
      </c>
      <c r="AT885" s="48" t="n">
        <v>0</v>
      </c>
      <c r="AU885" s="49" t="n">
        <v>0</v>
      </c>
      <c r="AV885" s="49" t="n">
        <v>0</v>
      </c>
      <c r="AW885" s="50" t="n">
        <v>0</v>
      </c>
      <c r="AX885" s="51" t="n">
        <v>0</v>
      </c>
      <c r="AY885" s="52" t="n">
        <v>0</v>
      </c>
      <c r="AZ885" s="52" t="n">
        <v>0</v>
      </c>
      <c r="BA885" s="52" t="n">
        <v>0</v>
      </c>
      <c r="BB885" s="53" t="n">
        <v>0</v>
      </c>
      <c r="BC885" s="52" t="n">
        <v>0</v>
      </c>
      <c r="BD885" s="53" t="n">
        <v>0</v>
      </c>
      <c r="BE885" s="52" t="n">
        <v>0</v>
      </c>
      <c r="BF885" s="51" t="n">
        <v>0</v>
      </c>
    </row>
    <row r="886">
      <c r="A886">
        <f>HYPERLINK("https://www.walmart.com/ip/969165683", "969165683")</f>
        <v/>
      </c>
      <c r="B886" t="inlineStr">
        <is>
          <t>Tirrinia Insulated 2 Bottle Wine Carrier Tote Cooler Bag for Travel Picnic Padded Champagne Glass Carrying Case</t>
        </is>
      </c>
      <c r="C886" t="inlineStr">
        <is>
          <t>1WMWB221DBL</t>
        </is>
      </c>
      <c r="D886" t="inlineStr">
        <is>
          <t>Wine Totes, Bags &amp; Backpacks</t>
        </is>
      </c>
      <c r="E886" t="inlineStr">
        <is>
          <t>Flyingstar</t>
        </is>
      </c>
      <c r="F886" t="inlineStr">
        <is>
          <t>Wine,Christmas,Valentine</t>
        </is>
      </c>
      <c r="G886" s="48" t="n">
        <v>0</v>
      </c>
      <c r="H886" s="49" t="n">
        <v>0</v>
      </c>
      <c r="I886" s="49" t="n">
        <v>0</v>
      </c>
      <c r="J886" s="50" t="n">
        <v>0</v>
      </c>
      <c r="K886" s="51" t="n">
        <v>0</v>
      </c>
      <c r="L886" s="52" t="n">
        <v>0</v>
      </c>
      <c r="M886" s="52" t="n">
        <v>0</v>
      </c>
      <c r="N886" s="52" t="n">
        <v>0</v>
      </c>
      <c r="O886" s="53" t="n">
        <v>0</v>
      </c>
      <c r="P886" s="52" t="n">
        <v>0</v>
      </c>
      <c r="Q886" s="53" t="n">
        <v>0</v>
      </c>
      <c r="R886" s="52" t="n">
        <v>0</v>
      </c>
      <c r="S886" s="51" t="n">
        <v>0</v>
      </c>
      <c r="T886" s="48" t="n">
        <v>0</v>
      </c>
      <c r="U886" s="49" t="n">
        <v>0</v>
      </c>
      <c r="V886" s="49" t="n">
        <v>0</v>
      </c>
      <c r="W886" s="50" t="n">
        <v>0</v>
      </c>
      <c r="X886" s="51" t="n">
        <v>0</v>
      </c>
      <c r="Y886" s="52" t="n">
        <v>0</v>
      </c>
      <c r="Z886" s="52" t="n">
        <v>0</v>
      </c>
      <c r="AA886" s="52" t="n">
        <v>0</v>
      </c>
      <c r="AB886" s="53" t="n">
        <v>0</v>
      </c>
      <c r="AC886" s="52" t="n">
        <v>0</v>
      </c>
      <c r="AD886" s="53" t="n">
        <v>0</v>
      </c>
      <c r="AE886" s="52" t="n">
        <v>0</v>
      </c>
      <c r="AF886" s="51" t="n">
        <v>0</v>
      </c>
      <c r="AG886" s="48" t="n">
        <v>0</v>
      </c>
      <c r="AH886" s="49" t="n">
        <v>0</v>
      </c>
      <c r="AI886" s="49" t="n">
        <v>0</v>
      </c>
      <c r="AJ886" s="50" t="n">
        <v>0</v>
      </c>
      <c r="AK886" s="51" t="n">
        <v>0</v>
      </c>
      <c r="AL886" s="52" t="n">
        <v>0</v>
      </c>
      <c r="AM886" s="52" t="n">
        <v>0</v>
      </c>
      <c r="AN886" s="52" t="n">
        <v>0</v>
      </c>
      <c r="AO886" s="53" t="n">
        <v>0</v>
      </c>
      <c r="AP886" s="52" t="n">
        <v>0</v>
      </c>
      <c r="AQ886" s="53" t="n">
        <v>0</v>
      </c>
      <c r="AR886" s="52" t="n">
        <v>0</v>
      </c>
      <c r="AS886" s="51" t="n">
        <v>0</v>
      </c>
      <c r="AT886" s="48" t="n">
        <v>0</v>
      </c>
      <c r="AU886" s="49" t="n">
        <v>0</v>
      </c>
      <c r="AV886" s="49" t="n">
        <v>0</v>
      </c>
      <c r="AW886" s="50" t="n">
        <v>0</v>
      </c>
      <c r="AX886" s="51" t="n">
        <v>0</v>
      </c>
      <c r="AY886" s="52" t="n">
        <v>0</v>
      </c>
      <c r="AZ886" s="52" t="n">
        <v>0</v>
      </c>
      <c r="BA886" s="52" t="n">
        <v>0</v>
      </c>
      <c r="BB886" s="53" t="n">
        <v>0</v>
      </c>
      <c r="BC886" s="52" t="n">
        <v>0</v>
      </c>
      <c r="BD886" s="53" t="n">
        <v>0</v>
      </c>
      <c r="BE886" s="52" t="n">
        <v>0</v>
      </c>
      <c r="BF886" s="51" t="n">
        <v>0</v>
      </c>
    </row>
    <row r="887">
      <c r="A887">
        <f>HYPERLINK("https://www.walmart.com/ip/969996874", "969996874")</f>
        <v/>
      </c>
      <c r="B887" t="inlineStr">
        <is>
          <t>Sherpa Throw Blanket, Super Soft Fleece Plush Sofa Couch Blanket, TV Bed Blanket, Comfy Cozy Fluffy Warm, Christmas Theme Throws, Holiday Gift, Red, 50" X 60".</t>
        </is>
      </c>
      <c r="C887" t="inlineStr">
        <is>
          <t>1CTBF570RDBK</t>
        </is>
      </c>
      <c r="D887" t="inlineStr">
        <is>
          <t>Throws</t>
        </is>
      </c>
      <c r="E887" t="inlineStr">
        <is>
          <t>Catalonia</t>
        </is>
      </c>
      <c r="F887" t="inlineStr">
        <is>
          <t>Q2-Target,WFS,Coupon_Discount,WFS Item</t>
        </is>
      </c>
      <c r="G887" s="48" t="n">
        <v>0</v>
      </c>
      <c r="H887" s="49" t="n">
        <v>0</v>
      </c>
      <c r="I887" s="49" t="n">
        <v>0</v>
      </c>
      <c r="J887" s="50" t="n">
        <v>0</v>
      </c>
      <c r="K887" s="51" t="n">
        <v>0</v>
      </c>
      <c r="L887" s="52" t="n">
        <v>0</v>
      </c>
      <c r="M887" s="52" t="n">
        <v>0</v>
      </c>
      <c r="N887" s="52" t="n">
        <v>0</v>
      </c>
      <c r="O887" s="53" t="n">
        <v>0</v>
      </c>
      <c r="P887" s="52" t="n">
        <v>0</v>
      </c>
      <c r="Q887" s="53" t="n">
        <v>0</v>
      </c>
      <c r="R887" s="52" t="n">
        <v>0</v>
      </c>
      <c r="S887" s="51" t="n">
        <v>0</v>
      </c>
      <c r="T887" s="48" t="n">
        <v>0</v>
      </c>
      <c r="U887" s="49" t="n">
        <v>0</v>
      </c>
      <c r="V887" s="49" t="n">
        <v>0</v>
      </c>
      <c r="W887" s="50" t="n">
        <v>0</v>
      </c>
      <c r="X887" s="51" t="n">
        <v>0</v>
      </c>
      <c r="Y887" s="52" t="n">
        <v>0</v>
      </c>
      <c r="Z887" s="52" t="n">
        <v>0</v>
      </c>
      <c r="AA887" s="52" t="n">
        <v>0</v>
      </c>
      <c r="AB887" s="53" t="n">
        <v>0</v>
      </c>
      <c r="AC887" s="52" t="n">
        <v>0</v>
      </c>
      <c r="AD887" s="53" t="n">
        <v>0</v>
      </c>
      <c r="AE887" s="52" t="n">
        <v>0</v>
      </c>
      <c r="AF887" s="51" t="n">
        <v>0</v>
      </c>
      <c r="AG887" s="48" t="n">
        <v>0</v>
      </c>
      <c r="AH887" s="49" t="n">
        <v>0</v>
      </c>
      <c r="AI887" s="49" t="n">
        <v>0</v>
      </c>
      <c r="AJ887" s="50" t="n">
        <v>0</v>
      </c>
      <c r="AK887" s="51" t="n">
        <v>0</v>
      </c>
      <c r="AL887" s="52" t="n">
        <v>0</v>
      </c>
      <c r="AM887" s="52" t="n">
        <v>0</v>
      </c>
      <c r="AN887" s="52" t="n">
        <v>0</v>
      </c>
      <c r="AO887" s="53" t="n">
        <v>0</v>
      </c>
      <c r="AP887" s="52" t="n">
        <v>0</v>
      </c>
      <c r="AQ887" s="53" t="n">
        <v>0</v>
      </c>
      <c r="AR887" s="52" t="n">
        <v>0</v>
      </c>
      <c r="AS887" s="51" t="n">
        <v>0</v>
      </c>
      <c r="AT887" s="48" t="n">
        <v>0</v>
      </c>
      <c r="AU887" s="49" t="n">
        <v>0</v>
      </c>
      <c r="AV887" s="49" t="n">
        <v>0</v>
      </c>
      <c r="AW887" s="50" t="n">
        <v>0</v>
      </c>
      <c r="AX887" s="51" t="n">
        <v>0</v>
      </c>
      <c r="AY887" s="52" t="n">
        <v>0</v>
      </c>
      <c r="AZ887" s="52" t="n">
        <v>0</v>
      </c>
      <c r="BA887" s="52" t="n">
        <v>0</v>
      </c>
      <c r="BB887" s="53" t="n">
        <v>0</v>
      </c>
      <c r="BC887" s="52" t="n">
        <v>0</v>
      </c>
      <c r="BD887" s="53" t="n">
        <v>0</v>
      </c>
      <c r="BE887" s="52" t="n">
        <v>0</v>
      </c>
      <c r="BF887" s="51" t="n">
        <v>0</v>
      </c>
    </row>
    <row r="888">
      <c r="A888">
        <f>HYPERLINK("https://www.walmart.com/ip/981254635", "981254635")</f>
        <v/>
      </c>
      <c r="B888" t="inlineStr">
        <is>
          <t>Oversized Hoodie Blanket Sweatshirt,Super Soft Warm Comfortable Fleece Giant Pullover with Large Front Pocket,for Adults Men Women Teenagers Kids Wife Girlfriend</t>
        </is>
      </c>
      <c r="C888" t="inlineStr">
        <is>
          <t>1CTHD300LT-UPC</t>
        </is>
      </c>
      <c r="D888" t="inlineStr">
        <is>
          <t>Sweatshirts &amp; Hoodies</t>
        </is>
      </c>
      <c r="E888" t="inlineStr">
        <is>
          <t>Catalonia</t>
        </is>
      </c>
      <c r="F888" t="inlineStr">
        <is>
          <t>Hoodie ForAdult,Optimized,Coupon_Discount</t>
        </is>
      </c>
      <c r="G888" s="48" t="n">
        <v>0</v>
      </c>
      <c r="H888" s="49" t="n">
        <v>0</v>
      </c>
      <c r="I888" s="49" t="n">
        <v>0</v>
      </c>
      <c r="J888" s="50" t="n">
        <v>0</v>
      </c>
      <c r="K888" s="51" t="n">
        <v>0</v>
      </c>
      <c r="L888" s="52" t="n">
        <v>0</v>
      </c>
      <c r="M888" s="52" t="n">
        <v>0</v>
      </c>
      <c r="N888" s="52" t="n">
        <v>0</v>
      </c>
      <c r="O888" s="53" t="n">
        <v>0</v>
      </c>
      <c r="P888" s="52" t="n">
        <v>0</v>
      </c>
      <c r="Q888" s="53" t="n">
        <v>0</v>
      </c>
      <c r="R888" s="52" t="n">
        <v>0</v>
      </c>
      <c r="S888" s="51" t="n">
        <v>0</v>
      </c>
      <c r="T888" s="48" t="n">
        <v>0</v>
      </c>
      <c r="U888" s="49" t="n">
        <v>0</v>
      </c>
      <c r="V888" s="49" t="n">
        <v>0</v>
      </c>
      <c r="W888" s="50" t="n">
        <v>0</v>
      </c>
      <c r="X888" s="51" t="n">
        <v>0</v>
      </c>
      <c r="Y888" s="52" t="n">
        <v>0</v>
      </c>
      <c r="Z888" s="52" t="n">
        <v>0</v>
      </c>
      <c r="AA888" s="52" t="n">
        <v>0</v>
      </c>
      <c r="AB888" s="53" t="n">
        <v>0</v>
      </c>
      <c r="AC888" s="52" t="n">
        <v>0</v>
      </c>
      <c r="AD888" s="53" t="n">
        <v>0</v>
      </c>
      <c r="AE888" s="52" t="n">
        <v>0</v>
      </c>
      <c r="AF888" s="51" t="n">
        <v>0</v>
      </c>
      <c r="AG888" s="48" t="n">
        <v>0</v>
      </c>
      <c r="AH888" s="49" t="n">
        <v>0</v>
      </c>
      <c r="AI888" s="49" t="n">
        <v>0</v>
      </c>
      <c r="AJ888" s="50" t="n">
        <v>0</v>
      </c>
      <c r="AK888" s="51" t="n">
        <v>0</v>
      </c>
      <c r="AL888" s="52" t="n">
        <v>0</v>
      </c>
      <c r="AM888" s="52" t="n">
        <v>0</v>
      </c>
      <c r="AN888" s="52" t="n">
        <v>0</v>
      </c>
      <c r="AO888" s="53" t="n">
        <v>0</v>
      </c>
      <c r="AP888" s="52" t="n">
        <v>0</v>
      </c>
      <c r="AQ888" s="53" t="n">
        <v>0</v>
      </c>
      <c r="AR888" s="52" t="n">
        <v>0</v>
      </c>
      <c r="AS888" s="51" t="n">
        <v>0</v>
      </c>
      <c r="AT888" s="48" t="n">
        <v>0</v>
      </c>
      <c r="AU888" s="49" t="n">
        <v>0</v>
      </c>
      <c r="AV888" s="49" t="n">
        <v>0</v>
      </c>
      <c r="AW888" s="50" t="n">
        <v>0</v>
      </c>
      <c r="AX888" s="51" t="n">
        <v>0</v>
      </c>
      <c r="AY888" s="52" t="n">
        <v>0</v>
      </c>
      <c r="AZ888" s="52" t="n">
        <v>0</v>
      </c>
      <c r="BA888" s="52" t="n">
        <v>0</v>
      </c>
      <c r="BB888" s="53" t="n">
        <v>0</v>
      </c>
      <c r="BC888" s="52" t="n">
        <v>0</v>
      </c>
      <c r="BD888" s="53" t="n">
        <v>0</v>
      </c>
      <c r="BE888" s="52" t="n">
        <v>0</v>
      </c>
      <c r="BF888" s="51" t="n">
        <v>0</v>
      </c>
    </row>
    <row r="889">
      <c r="A889">
        <f>HYPERLINK("https://www.walmart.com/ip/981578506", "981578506")</f>
        <v/>
      </c>
      <c r="B889" t="inlineStr">
        <is>
          <t>Tirrinia Travel Padded Insulated 3 Bottle Wine Bag, Black Stripe</t>
        </is>
      </c>
      <c r="C889" t="inlineStr">
        <is>
          <t>1TRWB310BKSTR</t>
        </is>
      </c>
      <c r="D889" t="inlineStr">
        <is>
          <t>Wine Totes, Bags &amp; Backpacks</t>
        </is>
      </c>
      <c r="E889" t="inlineStr">
        <is>
          <t>Tirrinia</t>
        </is>
      </c>
      <c r="F889" t="inlineStr">
        <is>
          <t>Wine,Christmas,Optimized,Valentine,SEM</t>
        </is>
      </c>
      <c r="G889" s="48" t="n">
        <v>0</v>
      </c>
      <c r="H889" s="49" t="n">
        <v>0</v>
      </c>
      <c r="I889" s="49" t="n">
        <v>0</v>
      </c>
      <c r="J889" s="50" t="n">
        <v>0</v>
      </c>
      <c r="K889" s="51" t="n">
        <v>0</v>
      </c>
      <c r="L889" s="52" t="n">
        <v>0</v>
      </c>
      <c r="M889" s="52" t="n">
        <v>0</v>
      </c>
      <c r="N889" s="52" t="n">
        <v>0</v>
      </c>
      <c r="O889" s="53" t="n">
        <v>0</v>
      </c>
      <c r="P889" s="52" t="n">
        <v>0</v>
      </c>
      <c r="Q889" s="53" t="n">
        <v>0</v>
      </c>
      <c r="R889" s="52" t="n">
        <v>0</v>
      </c>
      <c r="S889" s="51" t="n">
        <v>0</v>
      </c>
      <c r="T889" s="48" t="n">
        <v>0</v>
      </c>
      <c r="U889" s="49" t="n">
        <v>0</v>
      </c>
      <c r="V889" s="49" t="n">
        <v>0</v>
      </c>
      <c r="W889" s="50" t="n">
        <v>0</v>
      </c>
      <c r="X889" s="51" t="n">
        <v>0</v>
      </c>
      <c r="Y889" s="52" t="n">
        <v>0</v>
      </c>
      <c r="Z889" s="52" t="n">
        <v>0</v>
      </c>
      <c r="AA889" s="52" t="n">
        <v>0</v>
      </c>
      <c r="AB889" s="53" t="n">
        <v>0</v>
      </c>
      <c r="AC889" s="52" t="n">
        <v>0</v>
      </c>
      <c r="AD889" s="53" t="n">
        <v>0</v>
      </c>
      <c r="AE889" s="52" t="n">
        <v>0</v>
      </c>
      <c r="AF889" s="51" t="n">
        <v>0</v>
      </c>
      <c r="AG889" s="48" t="n">
        <v>0</v>
      </c>
      <c r="AH889" s="49" t="n">
        <v>0</v>
      </c>
      <c r="AI889" s="49" t="n">
        <v>0</v>
      </c>
      <c r="AJ889" s="50" t="n">
        <v>0</v>
      </c>
      <c r="AK889" s="51" t="n">
        <v>0</v>
      </c>
      <c r="AL889" s="52" t="n">
        <v>0</v>
      </c>
      <c r="AM889" s="52" t="n">
        <v>0</v>
      </c>
      <c r="AN889" s="52" t="n">
        <v>0</v>
      </c>
      <c r="AO889" s="53" t="n">
        <v>0</v>
      </c>
      <c r="AP889" s="52" t="n">
        <v>0</v>
      </c>
      <c r="AQ889" s="53" t="n">
        <v>0</v>
      </c>
      <c r="AR889" s="52" t="n">
        <v>0</v>
      </c>
      <c r="AS889" s="51" t="n">
        <v>0</v>
      </c>
      <c r="AT889" s="48" t="n">
        <v>0</v>
      </c>
      <c r="AU889" s="49" t="n">
        <v>0</v>
      </c>
      <c r="AV889" s="49" t="n">
        <v>0</v>
      </c>
      <c r="AW889" s="50" t="n">
        <v>0</v>
      </c>
      <c r="AX889" s="51" t="n">
        <v>0</v>
      </c>
      <c r="AY889" s="52" t="n">
        <v>0</v>
      </c>
      <c r="AZ889" s="52" t="n">
        <v>0</v>
      </c>
      <c r="BA889" s="52" t="n">
        <v>0</v>
      </c>
      <c r="BB889" s="53" t="n">
        <v>0</v>
      </c>
      <c r="BC889" s="52" t="n">
        <v>0</v>
      </c>
      <c r="BD889" s="53" t="n">
        <v>0</v>
      </c>
      <c r="BE889" s="52" t="n">
        <v>0</v>
      </c>
      <c r="BF889" s="51" t="n">
        <v>0</v>
      </c>
    </row>
    <row r="890">
      <c r="A890">
        <f>HYPERLINK("https://www.walmart.com/ip/934428968", "934428968")</f>
        <v/>
      </c>
      <c r="B890" t="inlineStr">
        <is>
          <t>Solaris Women's Tankini Swimsuit, Two-Piece Swimwear Bikini Set, Summer Bathing Suits, Large, Black</t>
        </is>
      </c>
      <c r="C890" t="inlineStr">
        <is>
          <t>1SLSS006BKBK-L</t>
        </is>
      </c>
      <c r="D890" t="inlineStr">
        <is>
          <t>Swimsuit Sets</t>
        </is>
      </c>
      <c r="E890" t="inlineStr">
        <is>
          <t>Solaris</t>
        </is>
      </c>
      <c r="F890" t="inlineStr">
        <is>
          <t>Optimized,WFS,Valentine,WFS Item</t>
        </is>
      </c>
      <c r="G890" s="48" t="n">
        <v>0</v>
      </c>
      <c r="H890" s="49" t="n">
        <v>0</v>
      </c>
      <c r="I890" s="49" t="n">
        <v>0</v>
      </c>
      <c r="J890" s="50" t="n">
        <v>0</v>
      </c>
      <c r="K890" s="51" t="n">
        <v>0</v>
      </c>
      <c r="L890" s="52" t="n">
        <v>0</v>
      </c>
      <c r="M890" s="52" t="n">
        <v>0</v>
      </c>
      <c r="N890" s="52" t="n">
        <v>0</v>
      </c>
      <c r="O890" s="53" t="n">
        <v>0</v>
      </c>
      <c r="P890" s="52" t="n">
        <v>0</v>
      </c>
      <c r="Q890" s="53" t="n">
        <v>0</v>
      </c>
      <c r="R890" s="52" t="n">
        <v>0</v>
      </c>
      <c r="S890" s="51" t="n">
        <v>0</v>
      </c>
      <c r="T890" s="48" t="n">
        <v>0</v>
      </c>
      <c r="U890" s="49" t="n">
        <v>0</v>
      </c>
      <c r="V890" s="49" t="n">
        <v>0</v>
      </c>
      <c r="W890" s="50" t="n">
        <v>0</v>
      </c>
      <c r="X890" s="51" t="n">
        <v>0</v>
      </c>
      <c r="Y890" s="52" t="n">
        <v>0</v>
      </c>
      <c r="Z890" s="52" t="n">
        <v>0</v>
      </c>
      <c r="AA890" s="52" t="n">
        <v>0</v>
      </c>
      <c r="AB890" s="53" t="n">
        <v>0</v>
      </c>
      <c r="AC890" s="52" t="n">
        <v>0</v>
      </c>
      <c r="AD890" s="53" t="n">
        <v>0</v>
      </c>
      <c r="AE890" s="52" t="n">
        <v>0</v>
      </c>
      <c r="AF890" s="51" t="n">
        <v>0</v>
      </c>
      <c r="AG890" s="48" t="n">
        <v>0</v>
      </c>
      <c r="AH890" s="49" t="n">
        <v>0</v>
      </c>
      <c r="AI890" s="49" t="n">
        <v>0</v>
      </c>
      <c r="AJ890" s="50" t="n">
        <v>0</v>
      </c>
      <c r="AK890" s="51" t="n">
        <v>0</v>
      </c>
      <c r="AL890" s="52" t="n">
        <v>0</v>
      </c>
      <c r="AM890" s="52" t="n">
        <v>0</v>
      </c>
      <c r="AN890" s="52" t="n">
        <v>0</v>
      </c>
      <c r="AO890" s="53" t="n">
        <v>0</v>
      </c>
      <c r="AP890" s="52" t="n">
        <v>0</v>
      </c>
      <c r="AQ890" s="53" t="n">
        <v>0</v>
      </c>
      <c r="AR890" s="52" t="n">
        <v>0</v>
      </c>
      <c r="AS890" s="51" t="n">
        <v>0</v>
      </c>
      <c r="AT890" s="48" t="n">
        <v>0</v>
      </c>
      <c r="AU890" s="49" t="n">
        <v>0</v>
      </c>
      <c r="AV890" s="49" t="n">
        <v>0</v>
      </c>
      <c r="AW890" s="50" t="n">
        <v>0</v>
      </c>
      <c r="AX890" s="51" t="n">
        <v>0</v>
      </c>
      <c r="AY890" s="52" t="n">
        <v>0</v>
      </c>
      <c r="AZ890" s="52" t="n">
        <v>0</v>
      </c>
      <c r="BA890" s="52" t="n">
        <v>0</v>
      </c>
      <c r="BB890" s="53" t="n">
        <v>0</v>
      </c>
      <c r="BC890" s="52" t="n">
        <v>0</v>
      </c>
      <c r="BD890" s="53" t="n">
        <v>0</v>
      </c>
      <c r="BE890" s="52" t="n">
        <v>0</v>
      </c>
      <c r="BF890" s="51" t="n">
        <v>0</v>
      </c>
    </row>
    <row r="891">
      <c r="A891">
        <f>HYPERLINK("https://www.walmart.com/ip/991633509", "991633509")</f>
        <v/>
      </c>
      <c r="B891" t="inlineStr">
        <is>
          <t>Catalonia Wearable Blanket with Sleeves and Pocket, Cozy Soft Fleece Micro Plush Wrap Adult Blanket Robe for Women Men, Makes a Great Gift for Holidays, Brown</t>
        </is>
      </c>
      <c r="C891" t="inlineStr">
        <is>
          <t>1CTSN100BR</t>
        </is>
      </c>
      <c r="D891" t="inlineStr">
        <is>
          <t>Throws</t>
        </is>
      </c>
      <c r="E891" t="inlineStr">
        <is>
          <t>Catalonia</t>
        </is>
      </c>
      <c r="F891" t="inlineStr">
        <is>
          <t>WFS,WFS Item</t>
        </is>
      </c>
      <c r="G891" s="48" t="n">
        <v>0</v>
      </c>
      <c r="H891" s="49" t="n">
        <v>0</v>
      </c>
      <c r="I891" s="49" t="n">
        <v>0</v>
      </c>
      <c r="J891" s="50" t="n">
        <v>0</v>
      </c>
      <c r="K891" s="51" t="n">
        <v>0</v>
      </c>
      <c r="L891" s="52" t="n">
        <v>0</v>
      </c>
      <c r="M891" s="52" t="n">
        <v>0</v>
      </c>
      <c r="N891" s="52" t="n">
        <v>0</v>
      </c>
      <c r="O891" s="53" t="n">
        <v>0</v>
      </c>
      <c r="P891" s="52" t="n">
        <v>0</v>
      </c>
      <c r="Q891" s="53" t="n">
        <v>0</v>
      </c>
      <c r="R891" s="52" t="n">
        <v>0</v>
      </c>
      <c r="S891" s="51" t="n">
        <v>2</v>
      </c>
      <c r="T891" s="48" t="n">
        <v>0</v>
      </c>
      <c r="U891" s="49" t="n">
        <v>0</v>
      </c>
      <c r="V891" s="49" t="n">
        <v>0</v>
      </c>
      <c r="W891" s="50" t="n">
        <v>0</v>
      </c>
      <c r="X891" s="51" t="n">
        <v>0</v>
      </c>
      <c r="Y891" s="52" t="n">
        <v>0</v>
      </c>
      <c r="Z891" s="52" t="n">
        <v>0</v>
      </c>
      <c r="AA891" s="52" t="n">
        <v>0</v>
      </c>
      <c r="AB891" s="53" t="n">
        <v>0</v>
      </c>
      <c r="AC891" s="52" t="n">
        <v>0</v>
      </c>
      <c r="AD891" s="53" t="n">
        <v>0</v>
      </c>
      <c r="AE891" s="52" t="n">
        <v>0</v>
      </c>
      <c r="AF891" s="51" t="n">
        <v>0</v>
      </c>
      <c r="AG891" s="48" t="n">
        <v>0</v>
      </c>
      <c r="AH891" s="49" t="n">
        <v>0</v>
      </c>
      <c r="AI891" s="49" t="n">
        <v>0</v>
      </c>
      <c r="AJ891" s="50" t="n">
        <v>0</v>
      </c>
      <c r="AK891" s="51" t="n">
        <v>0</v>
      </c>
      <c r="AL891" s="52" t="n">
        <v>0</v>
      </c>
      <c r="AM891" s="52" t="n">
        <v>0</v>
      </c>
      <c r="AN891" s="52" t="n">
        <v>0</v>
      </c>
      <c r="AO891" s="53" t="n">
        <v>0</v>
      </c>
      <c r="AP891" s="52" t="n">
        <v>0</v>
      </c>
      <c r="AQ891" s="53" t="n">
        <v>0</v>
      </c>
      <c r="AR891" s="52" t="n">
        <v>0</v>
      </c>
      <c r="AS891" s="51" t="n">
        <v>0</v>
      </c>
      <c r="AT891" s="48" t="n">
        <v>0</v>
      </c>
      <c r="AU891" s="49" t="n">
        <v>0</v>
      </c>
      <c r="AV891" s="49" t="n">
        <v>0</v>
      </c>
      <c r="AW891" s="50" t="n">
        <v>0</v>
      </c>
      <c r="AX891" s="51" t="n">
        <v>0</v>
      </c>
      <c r="AY891" s="52" t="n">
        <v>0</v>
      </c>
      <c r="AZ891" s="52" t="n">
        <v>0</v>
      </c>
      <c r="BA891" s="52" t="n">
        <v>0</v>
      </c>
      <c r="BB891" s="53" t="n">
        <v>0</v>
      </c>
      <c r="BC891" s="52" t="n">
        <v>0</v>
      </c>
      <c r="BD891" s="53" t="n">
        <v>0</v>
      </c>
      <c r="BE891" s="52" t="n">
        <v>0</v>
      </c>
      <c r="BF891" s="51" t="n">
        <v>0</v>
      </c>
    </row>
    <row r="892">
      <c r="A892">
        <f>HYPERLINK("https://www.walmart.com/ip/992966413", "992966413")</f>
        <v/>
      </c>
      <c r="B892" t="inlineStr">
        <is>
          <t>Catalonia Wearable Blanket, 100% Super Micro Plush Polyester, Unisex, Pink, 73" x 51"</t>
        </is>
      </c>
      <c r="C892" t="inlineStr">
        <is>
          <t>1CTSN100PK</t>
        </is>
      </c>
      <c r="D892" t="inlineStr">
        <is>
          <t>Throws</t>
        </is>
      </c>
      <c r="E892" t="inlineStr">
        <is>
          <t>Catalonia</t>
        </is>
      </c>
      <c r="F892" t="inlineStr">
        <is>
          <t>Optimized</t>
        </is>
      </c>
      <c r="G892" s="48" t="n">
        <v>0</v>
      </c>
      <c r="H892" s="49" t="n">
        <v>0</v>
      </c>
      <c r="I892" s="49" t="n">
        <v>0</v>
      </c>
      <c r="J892" s="50" t="n">
        <v>0</v>
      </c>
      <c r="K892" s="51" t="n">
        <v>0</v>
      </c>
      <c r="L892" s="52" t="n">
        <v>0</v>
      </c>
      <c r="M892" s="52" t="n">
        <v>0</v>
      </c>
      <c r="N892" s="52" t="n">
        <v>0</v>
      </c>
      <c r="O892" s="53" t="n">
        <v>0</v>
      </c>
      <c r="P892" s="52" t="n">
        <v>0</v>
      </c>
      <c r="Q892" s="53" t="n">
        <v>0</v>
      </c>
      <c r="R892" s="52" t="n">
        <v>0</v>
      </c>
      <c r="S892" s="51" t="n">
        <v>0</v>
      </c>
      <c r="T892" s="48" t="n">
        <v>0</v>
      </c>
      <c r="U892" s="49" t="n">
        <v>0</v>
      </c>
      <c r="V892" s="49" t="n">
        <v>0</v>
      </c>
      <c r="W892" s="50" t="n">
        <v>0</v>
      </c>
      <c r="X892" s="51" t="n">
        <v>0</v>
      </c>
      <c r="Y892" s="52" t="n">
        <v>0</v>
      </c>
      <c r="Z892" s="52" t="n">
        <v>0</v>
      </c>
      <c r="AA892" s="52" t="n">
        <v>0</v>
      </c>
      <c r="AB892" s="53" t="n">
        <v>0</v>
      </c>
      <c r="AC892" s="52" t="n">
        <v>0</v>
      </c>
      <c r="AD892" s="53" t="n">
        <v>0</v>
      </c>
      <c r="AE892" s="52" t="n">
        <v>0</v>
      </c>
      <c r="AF892" s="51" t="n">
        <v>0</v>
      </c>
      <c r="AG892" s="48" t="n">
        <v>0</v>
      </c>
      <c r="AH892" s="49" t="n">
        <v>0</v>
      </c>
      <c r="AI892" s="49" t="n">
        <v>0</v>
      </c>
      <c r="AJ892" s="50" t="n">
        <v>0</v>
      </c>
      <c r="AK892" s="51" t="n">
        <v>0</v>
      </c>
      <c r="AL892" s="52" t="n">
        <v>0</v>
      </c>
      <c r="AM892" s="52" t="n">
        <v>0</v>
      </c>
      <c r="AN892" s="52" t="n">
        <v>0</v>
      </c>
      <c r="AO892" s="53" t="n">
        <v>0</v>
      </c>
      <c r="AP892" s="52" t="n">
        <v>0</v>
      </c>
      <c r="AQ892" s="53" t="n">
        <v>0</v>
      </c>
      <c r="AR892" s="52" t="n">
        <v>0</v>
      </c>
      <c r="AS892" s="51" t="n">
        <v>0</v>
      </c>
      <c r="AT892" s="48" t="n">
        <v>0</v>
      </c>
      <c r="AU892" s="49" t="n">
        <v>0</v>
      </c>
      <c r="AV892" s="49" t="n">
        <v>0</v>
      </c>
      <c r="AW892" s="50" t="n">
        <v>0</v>
      </c>
      <c r="AX892" s="51" t="n">
        <v>0</v>
      </c>
      <c r="AY892" s="52" t="n">
        <v>0</v>
      </c>
      <c r="AZ892" s="52" t="n">
        <v>0</v>
      </c>
      <c r="BA892" s="52" t="n">
        <v>0</v>
      </c>
      <c r="BB892" s="53" t="n">
        <v>0</v>
      </c>
      <c r="BC892" s="52" t="n">
        <v>0</v>
      </c>
      <c r="BD892" s="53" t="n">
        <v>0</v>
      </c>
      <c r="BE892" s="52" t="n">
        <v>0</v>
      </c>
      <c r="BF892" s="51" t="n">
        <v>0</v>
      </c>
    </row>
    <row r="893">
      <c r="A893">
        <f>HYPERLINK("https://www.walmart.com/ip/993473978", "993473978")</f>
        <v/>
      </c>
      <c r="B893" t="inlineStr">
        <is>
          <t>Flyingstar 3 Bottle Insulated Wine Carrier, Travel Wine Cooler Tote Bag, Blue Stripe</t>
        </is>
      </c>
      <c r="C893" t="inlineStr">
        <is>
          <t>1WMWB300STR</t>
        </is>
      </c>
      <c r="D893" t="inlineStr">
        <is>
          <t>Wine Totes, Bags &amp; Backpacks</t>
        </is>
      </c>
      <c r="E893" t="inlineStr">
        <is>
          <t>Flyingstar</t>
        </is>
      </c>
      <c r="F893" t="inlineStr">
        <is>
          <t>Wine,Christmas,Optimized,Valentine,SEM</t>
        </is>
      </c>
      <c r="G893" s="48" t="n">
        <v>0</v>
      </c>
      <c r="H893" s="49" t="n">
        <v>0</v>
      </c>
      <c r="I893" s="49" t="n">
        <v>0</v>
      </c>
      <c r="J893" s="50" t="n">
        <v>0</v>
      </c>
      <c r="K893" s="51" t="n">
        <v>0</v>
      </c>
      <c r="L893" s="52" t="n">
        <v>0</v>
      </c>
      <c r="M893" s="52" t="n">
        <v>0</v>
      </c>
      <c r="N893" s="52" t="n">
        <v>0</v>
      </c>
      <c r="O893" s="53" t="n">
        <v>0</v>
      </c>
      <c r="P893" s="52" t="n">
        <v>0</v>
      </c>
      <c r="Q893" s="53" t="n">
        <v>0</v>
      </c>
      <c r="R893" s="52" t="n">
        <v>0</v>
      </c>
      <c r="S893" s="51" t="n">
        <v>0</v>
      </c>
      <c r="T893" s="48" t="n">
        <v>0</v>
      </c>
      <c r="U893" s="49" t="n">
        <v>0</v>
      </c>
      <c r="V893" s="49" t="n">
        <v>0</v>
      </c>
      <c r="W893" s="50" t="n">
        <v>0</v>
      </c>
      <c r="X893" s="51" t="n">
        <v>0</v>
      </c>
      <c r="Y893" s="52" t="n">
        <v>0</v>
      </c>
      <c r="Z893" s="52" t="n">
        <v>0</v>
      </c>
      <c r="AA893" s="52" t="n">
        <v>0</v>
      </c>
      <c r="AB893" s="53" t="n">
        <v>0</v>
      </c>
      <c r="AC893" s="52" t="n">
        <v>0</v>
      </c>
      <c r="AD893" s="53" t="n">
        <v>0</v>
      </c>
      <c r="AE893" s="52" t="n">
        <v>0</v>
      </c>
      <c r="AF893" s="51" t="n">
        <v>0</v>
      </c>
      <c r="AG893" s="48" t="n">
        <v>0</v>
      </c>
      <c r="AH893" s="49" t="n">
        <v>0</v>
      </c>
      <c r="AI893" s="49" t="n">
        <v>0</v>
      </c>
      <c r="AJ893" s="50" t="n">
        <v>0</v>
      </c>
      <c r="AK893" s="51" t="n">
        <v>0</v>
      </c>
      <c r="AL893" s="52" t="n">
        <v>0</v>
      </c>
      <c r="AM893" s="52" t="n">
        <v>0</v>
      </c>
      <c r="AN893" s="52" t="n">
        <v>0</v>
      </c>
      <c r="AO893" s="53" t="n">
        <v>0</v>
      </c>
      <c r="AP893" s="52" t="n">
        <v>0</v>
      </c>
      <c r="AQ893" s="53" t="n">
        <v>0</v>
      </c>
      <c r="AR893" s="52" t="n">
        <v>0</v>
      </c>
      <c r="AS893" s="51" t="n">
        <v>0</v>
      </c>
      <c r="AT893" s="48" t="n">
        <v>-17.99</v>
      </c>
      <c r="AU893" s="49" t="n">
        <v>-1</v>
      </c>
      <c r="AV893" s="49" t="n">
        <v>0</v>
      </c>
      <c r="AW893" s="50" t="n">
        <v>0</v>
      </c>
      <c r="AX893" s="51" t="n">
        <v>0</v>
      </c>
      <c r="AY893" s="52" t="n">
        <v>0</v>
      </c>
      <c r="AZ893" s="52" t="n">
        <v>0</v>
      </c>
      <c r="BA893" s="52" t="n">
        <v>0</v>
      </c>
      <c r="BB893" s="53" t="n">
        <v>0</v>
      </c>
      <c r="BC893" s="52" t="n">
        <v>0</v>
      </c>
      <c r="BD893" s="53" t="n">
        <v>0</v>
      </c>
      <c r="BE893" s="52" t="n">
        <v>0</v>
      </c>
      <c r="BF893" s="51" t="n">
        <v>0</v>
      </c>
    </row>
    <row r="894">
      <c r="A894">
        <f>HYPERLINK("https://www.walmart.com/ip/994532554", "994532554")</f>
        <v/>
      </c>
      <c r="B894" t="inlineStr">
        <is>
          <t>Tirrinia Insulated 2 Bottle Wine Carrier Tote Cooler Bag for Travel Picnic Padded Champagne Glass</t>
        </is>
      </c>
      <c r="C894" t="inlineStr">
        <is>
          <t>1TRWB230GY</t>
        </is>
      </c>
      <c r="D894" t="inlineStr">
        <is>
          <t>Wine Totes, Bags &amp; Backpacks</t>
        </is>
      </c>
      <c r="E894" t="inlineStr">
        <is>
          <t>Tirrinia</t>
        </is>
      </c>
      <c r="F894" t="inlineStr">
        <is>
          <t>Wine,Wine Bag Camp,Christmas,WFS,Wine WFS,Valentine,SEM,WFS Item</t>
        </is>
      </c>
      <c r="G894" s="48" t="n">
        <v>0</v>
      </c>
      <c r="H894" s="49" t="n">
        <v>0</v>
      </c>
      <c r="I894" s="49" t="n">
        <v>0</v>
      </c>
      <c r="J894" s="50" t="n">
        <v>0</v>
      </c>
      <c r="K894" s="51" t="n">
        <v>0</v>
      </c>
      <c r="L894" s="52" t="n">
        <v>0</v>
      </c>
      <c r="M894" s="52" t="n">
        <v>0</v>
      </c>
      <c r="N894" s="52" t="n">
        <v>0</v>
      </c>
      <c r="O894" s="53" t="n">
        <v>0</v>
      </c>
      <c r="P894" s="52" t="n">
        <v>0</v>
      </c>
      <c r="Q894" s="53" t="n">
        <v>0</v>
      </c>
      <c r="R894" s="52" t="n">
        <v>0</v>
      </c>
      <c r="S894" s="51" t="n">
        <v>0</v>
      </c>
      <c r="T894" s="48" t="n">
        <v>0</v>
      </c>
      <c r="U894" s="49" t="n">
        <v>0</v>
      </c>
      <c r="V894" s="49" t="n">
        <v>0</v>
      </c>
      <c r="W894" s="50" t="n">
        <v>0</v>
      </c>
      <c r="X894" s="51" t="n">
        <v>0</v>
      </c>
      <c r="Y894" s="52" t="n">
        <v>0</v>
      </c>
      <c r="Z894" s="52" t="n">
        <v>0</v>
      </c>
      <c r="AA894" s="52" t="n">
        <v>0</v>
      </c>
      <c r="AB894" s="53" t="n">
        <v>0</v>
      </c>
      <c r="AC894" s="52" t="n">
        <v>0</v>
      </c>
      <c r="AD894" s="53" t="n">
        <v>0</v>
      </c>
      <c r="AE894" s="52" t="n">
        <v>0</v>
      </c>
      <c r="AF894" s="51" t="n">
        <v>0</v>
      </c>
      <c r="AG894" s="48" t="n">
        <v>0</v>
      </c>
      <c r="AH894" s="49" t="n">
        <v>0</v>
      </c>
      <c r="AI894" s="49" t="n">
        <v>0</v>
      </c>
      <c r="AJ894" s="50" t="n">
        <v>0</v>
      </c>
      <c r="AK894" s="51" t="n">
        <v>0</v>
      </c>
      <c r="AL894" s="52" t="n">
        <v>0</v>
      </c>
      <c r="AM894" s="52" t="n">
        <v>0</v>
      </c>
      <c r="AN894" s="52" t="n">
        <v>0</v>
      </c>
      <c r="AO894" s="53" t="n">
        <v>0</v>
      </c>
      <c r="AP894" s="52" t="n">
        <v>0</v>
      </c>
      <c r="AQ894" s="53" t="n">
        <v>0</v>
      </c>
      <c r="AR894" s="52" t="n">
        <v>0</v>
      </c>
      <c r="AS894" s="51" t="n">
        <v>0</v>
      </c>
      <c r="AT894" s="48" t="n">
        <v>0</v>
      </c>
      <c r="AU894" s="49" t="n">
        <v>0</v>
      </c>
      <c r="AV894" s="49" t="n">
        <v>0</v>
      </c>
      <c r="AW894" s="50" t="n">
        <v>0</v>
      </c>
      <c r="AX894" s="51" t="n">
        <v>0</v>
      </c>
      <c r="AY894" s="52" t="n">
        <v>0</v>
      </c>
      <c r="AZ894" s="52" t="n">
        <v>0</v>
      </c>
      <c r="BA894" s="52" t="n">
        <v>0</v>
      </c>
      <c r="BB894" s="53" t="n">
        <v>0</v>
      </c>
      <c r="BC894" s="52" t="n">
        <v>0</v>
      </c>
      <c r="BD894" s="53" t="n">
        <v>0</v>
      </c>
      <c r="BE894" s="52" t="n">
        <v>0</v>
      </c>
      <c r="BF894" s="51" t="n">
        <v>0</v>
      </c>
    </row>
    <row r="895">
      <c r="A895">
        <f>HYPERLINK("https://www.walmart.com/ip/994633914", "994633914")</f>
        <v/>
      </c>
      <c r="B895" t="inlineStr">
        <is>
          <t>Catalonia Fleece Wearable Blanket Poncho for Adult Women Men, Wrap Blanket Cape with Pocket | Warm, Soft, Cozy, Snuggly, Comfort Gift, No Sleeves | All-Season, Navy</t>
        </is>
      </c>
      <c r="C895" t="inlineStr">
        <is>
          <t>1CTBP100NY</t>
        </is>
      </c>
      <c r="D895" t="inlineStr">
        <is>
          <t>Throws</t>
        </is>
      </c>
      <c r="E895" t="inlineStr">
        <is>
          <t>Catalonia</t>
        </is>
      </c>
      <c r="F895" t="inlineStr">
        <is>
          <t>Hero 5 Holidays,WFS,Wal-Exl-Price,WFS Item</t>
        </is>
      </c>
      <c r="G895" s="48" t="n">
        <v>0</v>
      </c>
      <c r="H895" s="49" t="n">
        <v>0</v>
      </c>
      <c r="I895" s="49" t="n">
        <v>0</v>
      </c>
      <c r="J895" s="50" t="n">
        <v>0</v>
      </c>
      <c r="K895" s="51" t="n">
        <v>0</v>
      </c>
      <c r="L895" s="52" t="n">
        <v>0</v>
      </c>
      <c r="M895" s="52" t="n">
        <v>0</v>
      </c>
      <c r="N895" s="52" t="n">
        <v>0</v>
      </c>
      <c r="O895" s="53" t="n">
        <v>0</v>
      </c>
      <c r="P895" s="52" t="n">
        <v>0</v>
      </c>
      <c r="Q895" s="53" t="n">
        <v>0</v>
      </c>
      <c r="R895" s="52" t="n">
        <v>0</v>
      </c>
      <c r="S895" s="51" t="n">
        <v>0</v>
      </c>
      <c r="T895" s="48" t="n">
        <v>0</v>
      </c>
      <c r="U895" s="49" t="n">
        <v>0</v>
      </c>
      <c r="V895" s="49" t="n">
        <v>0</v>
      </c>
      <c r="W895" s="50" t="n">
        <v>0</v>
      </c>
      <c r="X895" s="51" t="n">
        <v>0</v>
      </c>
      <c r="Y895" s="52" t="n">
        <v>0</v>
      </c>
      <c r="Z895" s="52" t="n">
        <v>0</v>
      </c>
      <c r="AA895" s="52" t="n">
        <v>0</v>
      </c>
      <c r="AB895" s="53" t="n">
        <v>0</v>
      </c>
      <c r="AC895" s="52" t="n">
        <v>0</v>
      </c>
      <c r="AD895" s="53" t="n">
        <v>0</v>
      </c>
      <c r="AE895" s="52" t="n">
        <v>0</v>
      </c>
      <c r="AF895" s="51" t="n">
        <v>0</v>
      </c>
      <c r="AG895" s="48" t="n">
        <v>0</v>
      </c>
      <c r="AH895" s="49" t="n">
        <v>0</v>
      </c>
      <c r="AI895" s="49" t="n">
        <v>0</v>
      </c>
      <c r="AJ895" s="50" t="n">
        <v>0</v>
      </c>
      <c r="AK895" s="51" t="n">
        <v>0</v>
      </c>
      <c r="AL895" s="52" t="n">
        <v>0</v>
      </c>
      <c r="AM895" s="52" t="n">
        <v>0</v>
      </c>
      <c r="AN895" s="52" t="n">
        <v>0</v>
      </c>
      <c r="AO895" s="53" t="n">
        <v>0</v>
      </c>
      <c r="AP895" s="52" t="n">
        <v>0</v>
      </c>
      <c r="AQ895" s="53" t="n">
        <v>0</v>
      </c>
      <c r="AR895" s="52" t="n">
        <v>0</v>
      </c>
      <c r="AS895" s="51" t="n">
        <v>0</v>
      </c>
      <c r="AT895" s="48" t="n">
        <v>0</v>
      </c>
      <c r="AU895" s="49" t="n">
        <v>0</v>
      </c>
      <c r="AV895" s="49" t="n">
        <v>0</v>
      </c>
      <c r="AW895" s="50" t="n">
        <v>0</v>
      </c>
      <c r="AX895" s="51" t="n">
        <v>0</v>
      </c>
      <c r="AY895" s="52" t="n">
        <v>0</v>
      </c>
      <c r="AZ895" s="52" t="n">
        <v>0</v>
      </c>
      <c r="BA895" s="52" t="n">
        <v>0</v>
      </c>
      <c r="BB895" s="53" t="n">
        <v>0</v>
      </c>
      <c r="BC895" s="52" t="n">
        <v>0</v>
      </c>
      <c r="BD895" s="53" t="n">
        <v>0</v>
      </c>
      <c r="BE895" s="52" t="n">
        <v>0</v>
      </c>
      <c r="BF895" s="51" t="n">
        <v>0</v>
      </c>
    </row>
    <row r="896">
      <c r="A896">
        <f>HYPERLINK("https://www.walmart.com/ip/994761445", "994761445")</f>
        <v/>
      </c>
      <c r="B896" t="inlineStr">
        <is>
          <t>Oversized Hoodie Blanket Sweatshirt,Super Soft Warm Comfortable Fleece Giant Pullover with Large Front Pocket,for Adults Men Women Teenagers Kids Wife Girlfriend</t>
        </is>
      </c>
      <c r="C896" t="inlineStr">
        <is>
          <t>1CTHD300PK-UPC</t>
        </is>
      </c>
      <c r="D896" t="inlineStr">
        <is>
          <t>Sweatshirts &amp; Hoodies</t>
        </is>
      </c>
      <c r="E896" t="inlineStr">
        <is>
          <t>Catalonia</t>
        </is>
      </c>
      <c r="F896" t="inlineStr">
        <is>
          <t>Hoodie ForAdult,Optimized</t>
        </is>
      </c>
      <c r="G896" s="48" t="n">
        <v>0</v>
      </c>
      <c r="H896" s="49" t="n">
        <v>0</v>
      </c>
      <c r="I896" s="49" t="n">
        <v>0</v>
      </c>
      <c r="J896" s="50" t="n">
        <v>0</v>
      </c>
      <c r="K896" s="51" t="n">
        <v>0</v>
      </c>
      <c r="L896" s="52" t="n">
        <v>0</v>
      </c>
      <c r="M896" s="52" t="n">
        <v>0</v>
      </c>
      <c r="N896" s="52" t="n">
        <v>0</v>
      </c>
      <c r="O896" s="53" t="n">
        <v>0</v>
      </c>
      <c r="P896" s="52" t="n">
        <v>0</v>
      </c>
      <c r="Q896" s="53" t="n">
        <v>0</v>
      </c>
      <c r="R896" s="52" t="n">
        <v>0</v>
      </c>
      <c r="S896" s="51" t="n">
        <v>0</v>
      </c>
      <c r="T896" s="48" t="n">
        <v>0</v>
      </c>
      <c r="U896" s="49" t="n">
        <v>0</v>
      </c>
      <c r="V896" s="49" t="n">
        <v>0</v>
      </c>
      <c r="W896" s="50" t="n">
        <v>0</v>
      </c>
      <c r="X896" s="51" t="n">
        <v>0</v>
      </c>
      <c r="Y896" s="52" t="n">
        <v>0</v>
      </c>
      <c r="Z896" s="52" t="n">
        <v>0</v>
      </c>
      <c r="AA896" s="52" t="n">
        <v>0</v>
      </c>
      <c r="AB896" s="53" t="n">
        <v>0</v>
      </c>
      <c r="AC896" s="52" t="n">
        <v>0</v>
      </c>
      <c r="AD896" s="53" t="n">
        <v>0</v>
      </c>
      <c r="AE896" s="52" t="n">
        <v>0</v>
      </c>
      <c r="AF896" s="51" t="n">
        <v>0</v>
      </c>
      <c r="AG896" s="48" t="n">
        <v>0</v>
      </c>
      <c r="AH896" s="49" t="n">
        <v>0</v>
      </c>
      <c r="AI896" s="49" t="n">
        <v>0</v>
      </c>
      <c r="AJ896" s="50" t="n">
        <v>0</v>
      </c>
      <c r="AK896" s="51" t="n">
        <v>0</v>
      </c>
      <c r="AL896" s="52" t="n">
        <v>0</v>
      </c>
      <c r="AM896" s="52" t="n">
        <v>0</v>
      </c>
      <c r="AN896" s="52" t="n">
        <v>0</v>
      </c>
      <c r="AO896" s="53" t="n">
        <v>0</v>
      </c>
      <c r="AP896" s="52" t="n">
        <v>0</v>
      </c>
      <c r="AQ896" s="53" t="n">
        <v>0</v>
      </c>
      <c r="AR896" s="52" t="n">
        <v>0</v>
      </c>
      <c r="AS896" s="51" t="n">
        <v>0</v>
      </c>
      <c r="AT896" s="48" t="n">
        <v>0</v>
      </c>
      <c r="AU896" s="49" t="n">
        <v>0</v>
      </c>
      <c r="AV896" s="49" t="n">
        <v>0</v>
      </c>
      <c r="AW896" s="50" t="n">
        <v>0</v>
      </c>
      <c r="AX896" s="51" t="n">
        <v>0</v>
      </c>
      <c r="AY896" s="52" t="n">
        <v>0</v>
      </c>
      <c r="AZ896" s="52" t="n">
        <v>0</v>
      </c>
      <c r="BA896" s="52" t="n">
        <v>0</v>
      </c>
      <c r="BB896" s="53" t="n">
        <v>0</v>
      </c>
      <c r="BC896" s="52" t="n">
        <v>0</v>
      </c>
      <c r="BD896" s="53" t="n">
        <v>0</v>
      </c>
      <c r="BE896" s="52" t="n">
        <v>0</v>
      </c>
      <c r="BF896" s="51" t="n">
        <v>0</v>
      </c>
    </row>
    <row r="897">
      <c r="A897">
        <f>HYPERLINK("https://www.walmart.com/ip/994817152", "994817152")</f>
        <v/>
      </c>
      <c r="B897" t="inlineStr">
        <is>
          <t>undefined</t>
        </is>
      </c>
      <c r="C897" t="inlineStr">
        <is>
          <t>JWBLSPH2010-2 Packs</t>
        </is>
      </c>
      <c r="G897" s="48" t="n">
        <v>0</v>
      </c>
      <c r="H897" s="49" t="n">
        <v>0</v>
      </c>
      <c r="I897" s="49" t="n">
        <v>0</v>
      </c>
      <c r="J897" s="50" t="n">
        <v>0</v>
      </c>
      <c r="K897" s="51" t="n">
        <v>0</v>
      </c>
      <c r="L897" s="52" t="n">
        <v>0</v>
      </c>
      <c r="M897" s="52" t="n">
        <v>0</v>
      </c>
      <c r="N897" s="52" t="n">
        <v>0</v>
      </c>
      <c r="O897" s="53" t="n">
        <v>0</v>
      </c>
      <c r="P897" s="52" t="n">
        <v>0</v>
      </c>
      <c r="Q897" s="53" t="n">
        <v>0</v>
      </c>
      <c r="R897" s="52" t="n">
        <v>0</v>
      </c>
      <c r="S897" s="51" t="n">
        <v>0</v>
      </c>
      <c r="T897" s="48" t="n">
        <v>0</v>
      </c>
      <c r="U897" s="49" t="n">
        <v>0</v>
      </c>
      <c r="V897" s="49" t="n">
        <v>0</v>
      </c>
      <c r="W897" s="50" t="n">
        <v>0</v>
      </c>
      <c r="X897" s="51" t="n">
        <v>0</v>
      </c>
      <c r="Y897" s="52" t="n">
        <v>0</v>
      </c>
      <c r="Z897" s="52" t="n">
        <v>0</v>
      </c>
      <c r="AA897" s="52" t="n">
        <v>0</v>
      </c>
      <c r="AB897" s="53" t="n">
        <v>0</v>
      </c>
      <c r="AC897" s="52" t="n">
        <v>0</v>
      </c>
      <c r="AD897" s="53" t="n">
        <v>0</v>
      </c>
      <c r="AE897" s="52" t="n">
        <v>0</v>
      </c>
      <c r="AF897" s="51" t="n">
        <v>0</v>
      </c>
      <c r="AG897" s="48" t="n">
        <v>0</v>
      </c>
      <c r="AH897" s="49" t="n">
        <v>0</v>
      </c>
      <c r="AI897" s="49" t="n">
        <v>0</v>
      </c>
      <c r="AJ897" s="50" t="n">
        <v>0</v>
      </c>
      <c r="AK897" s="51" t="n">
        <v>0</v>
      </c>
      <c r="AL897" s="52" t="n">
        <v>0</v>
      </c>
      <c r="AM897" s="52" t="n">
        <v>0</v>
      </c>
      <c r="AN897" s="52" t="n">
        <v>0</v>
      </c>
      <c r="AO897" s="53" t="n">
        <v>0</v>
      </c>
      <c r="AP897" s="52" t="n">
        <v>0</v>
      </c>
      <c r="AQ897" s="53" t="n">
        <v>0</v>
      </c>
      <c r="AR897" s="52" t="n">
        <v>0</v>
      </c>
      <c r="AS897" s="51" t="n">
        <v>0</v>
      </c>
      <c r="AT897" s="48" t="n">
        <v>0</v>
      </c>
      <c r="AU897" s="49" t="n">
        <v>0</v>
      </c>
      <c r="AV897" s="49" t="n">
        <v>0</v>
      </c>
      <c r="AW897" s="50" t="n">
        <v>0</v>
      </c>
      <c r="AX897" s="51" t="n">
        <v>0</v>
      </c>
      <c r="AY897" s="52" t="n">
        <v>0</v>
      </c>
      <c r="AZ897" s="52" t="n">
        <v>0</v>
      </c>
      <c r="BA897" s="52" t="n">
        <v>0</v>
      </c>
      <c r="BB897" s="53" t="n">
        <v>0</v>
      </c>
      <c r="BC897" s="52" t="n">
        <v>0</v>
      </c>
      <c r="BD897" s="53" t="n">
        <v>0</v>
      </c>
      <c r="BE897" s="52" t="n">
        <v>0</v>
      </c>
      <c r="BF897" s="51" t="n">
        <v>0</v>
      </c>
    </row>
    <row r="898">
      <c r="A898">
        <f>HYPERLINK("https://www.walmart.com/ip/996864768", "996864768")</f>
        <v/>
      </c>
      <c r="B898" t="inlineStr">
        <is>
          <t>Flyingstar Cat Oversized Sherpa Hoodie Sweatshirt for Women, Pockets, Hooded, Black Cat</t>
        </is>
      </c>
      <c r="C898" t="inlineStr">
        <is>
          <t>1WMHD201CAT-BK</t>
        </is>
      </c>
      <c r="D898" t="inlineStr">
        <is>
          <t>Sweatshirts &amp; Hoodies</t>
        </is>
      </c>
      <c r="E898" t="inlineStr">
        <is>
          <t>Flyingstar</t>
        </is>
      </c>
      <c r="F898" t="inlineStr">
        <is>
          <t>Hoodie ForAdult,Optimized</t>
        </is>
      </c>
      <c r="G898" s="48" t="n">
        <v>0</v>
      </c>
      <c r="H898" s="49" t="n">
        <v>0</v>
      </c>
      <c r="I898" s="49" t="n">
        <v>0</v>
      </c>
      <c r="J898" s="50" t="n">
        <v>0</v>
      </c>
      <c r="K898" s="51" t="n">
        <v>0</v>
      </c>
      <c r="L898" s="52" t="n">
        <v>0</v>
      </c>
      <c r="M898" s="52" t="n">
        <v>0</v>
      </c>
      <c r="N898" s="52" t="n">
        <v>0</v>
      </c>
      <c r="O898" s="53" t="n">
        <v>0</v>
      </c>
      <c r="P898" s="52" t="n">
        <v>0</v>
      </c>
      <c r="Q898" s="53" t="n">
        <v>0</v>
      </c>
      <c r="R898" s="52" t="n">
        <v>0</v>
      </c>
      <c r="S898" s="51" t="n">
        <v>0</v>
      </c>
      <c r="T898" s="48" t="n">
        <v>0</v>
      </c>
      <c r="U898" s="49" t="n">
        <v>0</v>
      </c>
      <c r="V898" s="49" t="n">
        <v>0</v>
      </c>
      <c r="W898" s="50" t="n">
        <v>0</v>
      </c>
      <c r="X898" s="51" t="n">
        <v>0</v>
      </c>
      <c r="Y898" s="52" t="n">
        <v>0</v>
      </c>
      <c r="Z898" s="52" t="n">
        <v>0</v>
      </c>
      <c r="AA898" s="52" t="n">
        <v>0</v>
      </c>
      <c r="AB898" s="53" t="n">
        <v>0</v>
      </c>
      <c r="AC898" s="52" t="n">
        <v>0</v>
      </c>
      <c r="AD898" s="53" t="n">
        <v>0</v>
      </c>
      <c r="AE898" s="52" t="n">
        <v>0</v>
      </c>
      <c r="AF898" s="51" t="n">
        <v>0</v>
      </c>
      <c r="AG898" s="48" t="n">
        <v>0</v>
      </c>
      <c r="AH898" s="49" t="n">
        <v>0</v>
      </c>
      <c r="AI898" s="49" t="n">
        <v>0</v>
      </c>
      <c r="AJ898" s="50" t="n">
        <v>0</v>
      </c>
      <c r="AK898" s="51" t="n">
        <v>0</v>
      </c>
      <c r="AL898" s="52" t="n">
        <v>0</v>
      </c>
      <c r="AM898" s="52" t="n">
        <v>0</v>
      </c>
      <c r="AN898" s="52" t="n">
        <v>0</v>
      </c>
      <c r="AO898" s="53" t="n">
        <v>0</v>
      </c>
      <c r="AP898" s="52" t="n">
        <v>0</v>
      </c>
      <c r="AQ898" s="53" t="n">
        <v>0</v>
      </c>
      <c r="AR898" s="52" t="n">
        <v>0</v>
      </c>
      <c r="AS898" s="51" t="n">
        <v>0</v>
      </c>
      <c r="AT898" s="48" t="n">
        <v>0</v>
      </c>
      <c r="AU898" s="49" t="n">
        <v>0</v>
      </c>
      <c r="AV898" s="49" t="n">
        <v>0</v>
      </c>
      <c r="AW898" s="50" t="n">
        <v>0</v>
      </c>
      <c r="AX898" s="51" t="n">
        <v>0</v>
      </c>
      <c r="AY898" s="52" t="n">
        <v>0</v>
      </c>
      <c r="AZ898" s="52" t="n">
        <v>0</v>
      </c>
      <c r="BA898" s="52" t="n">
        <v>0</v>
      </c>
      <c r="BB898" s="53" t="n">
        <v>0</v>
      </c>
      <c r="BC898" s="52" t="n">
        <v>0</v>
      </c>
      <c r="BD898" s="53" t="n">
        <v>0</v>
      </c>
      <c r="BE898" s="52" t="n">
        <v>0</v>
      </c>
      <c r="BF898" s="51" t="n">
        <v>0</v>
      </c>
    </row>
    <row r="899">
      <c r="A899">
        <f>HYPERLINK("https://www.walmart.com/ip/997566327", "997566327")</f>
        <v/>
      </c>
      <c r="B899" t="inlineStr">
        <is>
          <t>Kritter Planet Waterproof Dog Blanket for Couch, Washable Pet Couch Cover, Non-slip Bed Sofa Furniture Protector Mat, Latte, 30''x50''.</t>
        </is>
      </c>
      <c r="C899" t="inlineStr">
        <is>
          <t>1KPBW356LT</t>
        </is>
      </c>
      <c r="D899" t="inlineStr">
        <is>
          <t>Pet Blankets</t>
        </is>
      </c>
      <c r="E899" t="inlineStr">
        <is>
          <t>Kritter Planet</t>
        </is>
      </c>
      <c r="F899" t="inlineStr">
        <is>
          <t>Q2-Target,Optimized,SEM</t>
        </is>
      </c>
      <c r="G899" s="48" t="n">
        <v>0</v>
      </c>
      <c r="H899" s="49" t="n">
        <v>0</v>
      </c>
      <c r="I899" s="49" t="n">
        <v>0</v>
      </c>
      <c r="J899" s="50" t="n">
        <v>0</v>
      </c>
      <c r="K899" s="51" t="n">
        <v>0</v>
      </c>
      <c r="L899" s="52" t="n">
        <v>0</v>
      </c>
      <c r="M899" s="52" t="n">
        <v>0</v>
      </c>
      <c r="N899" s="52" t="n">
        <v>0</v>
      </c>
      <c r="O899" s="53" t="n">
        <v>0</v>
      </c>
      <c r="P899" s="52" t="n">
        <v>0</v>
      </c>
      <c r="Q899" s="53" t="n">
        <v>0</v>
      </c>
      <c r="R899" s="52" t="n">
        <v>0</v>
      </c>
      <c r="S899" s="51" t="n">
        <v>0</v>
      </c>
      <c r="T899" s="48" t="n">
        <v>0</v>
      </c>
      <c r="U899" s="49" t="n">
        <v>0</v>
      </c>
      <c r="V899" s="49" t="n">
        <v>0</v>
      </c>
      <c r="W899" s="50" t="n">
        <v>0</v>
      </c>
      <c r="X899" s="51" t="n">
        <v>0</v>
      </c>
      <c r="Y899" s="52" t="n">
        <v>0</v>
      </c>
      <c r="Z899" s="52" t="n">
        <v>0</v>
      </c>
      <c r="AA899" s="52" t="n">
        <v>0</v>
      </c>
      <c r="AB899" s="53" t="n">
        <v>0</v>
      </c>
      <c r="AC899" s="52" t="n">
        <v>0</v>
      </c>
      <c r="AD899" s="53" t="n">
        <v>0</v>
      </c>
      <c r="AE899" s="52" t="n">
        <v>0</v>
      </c>
      <c r="AF899" s="51" t="n">
        <v>0</v>
      </c>
      <c r="AG899" s="48" t="n">
        <v>1</v>
      </c>
      <c r="AH899" s="49" t="n">
        <v>0</v>
      </c>
      <c r="AI899" s="49" t="n">
        <v>0</v>
      </c>
      <c r="AJ899" s="50" t="n">
        <v>0</v>
      </c>
      <c r="AK899" s="51" t="n">
        <v>0</v>
      </c>
      <c r="AL899" s="52" t="n">
        <v>0</v>
      </c>
      <c r="AM899" s="52" t="n">
        <v>0</v>
      </c>
      <c r="AN899" s="52" t="n">
        <v>0</v>
      </c>
      <c r="AO899" s="53" t="n">
        <v>0</v>
      </c>
      <c r="AP899" s="52" t="n">
        <v>0</v>
      </c>
      <c r="AQ899" s="53" t="n">
        <v>0</v>
      </c>
      <c r="AR899" s="52" t="n">
        <v>0</v>
      </c>
      <c r="AS899" s="51" t="n">
        <v>0</v>
      </c>
      <c r="AT899" s="48" t="n">
        <v>0</v>
      </c>
      <c r="AU899" s="49" t="n">
        <v>0</v>
      </c>
      <c r="AV899" s="49" t="n">
        <v>2</v>
      </c>
      <c r="AW899" s="50" t="n">
        <v>0</v>
      </c>
      <c r="AX899" s="51" t="n">
        <v>0</v>
      </c>
      <c r="AY899" s="52" t="n">
        <v>0</v>
      </c>
      <c r="AZ899" s="52" t="n">
        <v>0</v>
      </c>
      <c r="BA899" s="52" t="n">
        <v>0</v>
      </c>
      <c r="BB899" s="53" t="n">
        <v>0</v>
      </c>
      <c r="BC899" s="52" t="n">
        <v>0</v>
      </c>
      <c r="BD899" s="53" t="n">
        <v>0</v>
      </c>
      <c r="BE899" s="52" t="n">
        <v>0</v>
      </c>
      <c r="BF899" s="51" t="n">
        <v>0</v>
      </c>
    </row>
    <row r="900">
      <c r="A900">
        <f>HYPERLINK("https://www.walmart.com/ip/997619642", "997619642")</f>
        <v/>
      </c>
      <c r="B900" t="inlineStr">
        <is>
          <t>Solaris Women's Two Piece V Neck Bathing Suit, 5% Spandex, Black, Extra Large</t>
        </is>
      </c>
      <c r="C900" t="inlineStr">
        <is>
          <t>1SLSS005BK-XL</t>
        </is>
      </c>
      <c r="D900" t="inlineStr">
        <is>
          <t>Swimsuit Sets</t>
        </is>
      </c>
      <c r="E900" t="inlineStr">
        <is>
          <t>Solaris</t>
        </is>
      </c>
      <c r="F900" t="inlineStr">
        <is>
          <t>Optimized</t>
        </is>
      </c>
      <c r="G900" s="48" t="n">
        <v>0</v>
      </c>
      <c r="H900" s="49" t="n">
        <v>0</v>
      </c>
      <c r="I900" s="49" t="n">
        <v>0</v>
      </c>
      <c r="J900" s="50" t="n">
        <v>0</v>
      </c>
      <c r="K900" s="51" t="n">
        <v>0</v>
      </c>
      <c r="L900" s="52" t="n">
        <v>0</v>
      </c>
      <c r="M900" s="52" t="n">
        <v>0</v>
      </c>
      <c r="N900" s="52" t="n">
        <v>0</v>
      </c>
      <c r="O900" s="53" t="n">
        <v>0</v>
      </c>
      <c r="P900" s="52" t="n">
        <v>0</v>
      </c>
      <c r="Q900" s="53" t="n">
        <v>0</v>
      </c>
      <c r="R900" s="52" t="n">
        <v>0</v>
      </c>
      <c r="S900" s="51" t="n">
        <v>0</v>
      </c>
      <c r="T900" s="48" t="n">
        <v>0</v>
      </c>
      <c r="U900" s="49" t="n">
        <v>0</v>
      </c>
      <c r="V900" s="49" t="n">
        <v>0</v>
      </c>
      <c r="W900" s="50" t="n">
        <v>0</v>
      </c>
      <c r="X900" s="51" t="n">
        <v>0</v>
      </c>
      <c r="Y900" s="52" t="n">
        <v>0</v>
      </c>
      <c r="Z900" s="52" t="n">
        <v>0</v>
      </c>
      <c r="AA900" s="52" t="n">
        <v>0</v>
      </c>
      <c r="AB900" s="53" t="n">
        <v>0</v>
      </c>
      <c r="AC900" s="52" t="n">
        <v>0</v>
      </c>
      <c r="AD900" s="53" t="n">
        <v>0</v>
      </c>
      <c r="AE900" s="52" t="n">
        <v>0</v>
      </c>
      <c r="AF900" s="51" t="n">
        <v>0</v>
      </c>
      <c r="AG900" s="48" t="n">
        <v>0</v>
      </c>
      <c r="AH900" s="49" t="n">
        <v>0</v>
      </c>
      <c r="AI900" s="49" t="n">
        <v>0</v>
      </c>
      <c r="AJ900" s="50" t="n">
        <v>0</v>
      </c>
      <c r="AK900" s="51" t="n">
        <v>0</v>
      </c>
      <c r="AL900" s="52" t="n">
        <v>0</v>
      </c>
      <c r="AM900" s="52" t="n">
        <v>0</v>
      </c>
      <c r="AN900" s="52" t="n">
        <v>0</v>
      </c>
      <c r="AO900" s="53" t="n">
        <v>0</v>
      </c>
      <c r="AP900" s="52" t="n">
        <v>0</v>
      </c>
      <c r="AQ900" s="53" t="n">
        <v>0</v>
      </c>
      <c r="AR900" s="52" t="n">
        <v>0</v>
      </c>
      <c r="AS900" s="51" t="n">
        <v>0</v>
      </c>
      <c r="AT900" s="48" t="n">
        <v>0</v>
      </c>
      <c r="AU900" s="49" t="n">
        <v>0</v>
      </c>
      <c r="AV900" s="49" t="n">
        <v>0</v>
      </c>
      <c r="AW900" s="50" t="n">
        <v>0</v>
      </c>
      <c r="AX900" s="51" t="n">
        <v>0</v>
      </c>
      <c r="AY900" s="52" t="n">
        <v>0</v>
      </c>
      <c r="AZ900" s="52" t="n">
        <v>0</v>
      </c>
      <c r="BA900" s="52" t="n">
        <v>0</v>
      </c>
      <c r="BB900" s="53" t="n">
        <v>0</v>
      </c>
      <c r="BC900" s="52" t="n">
        <v>0</v>
      </c>
      <c r="BD900" s="53" t="n">
        <v>0</v>
      </c>
      <c r="BE900" s="52" t="n">
        <v>0</v>
      </c>
      <c r="BF900" s="51" t="n">
        <v>0</v>
      </c>
    </row>
    <row r="901">
      <c r="A901">
        <f>HYPERLINK("https://www.walmart.com/ip/997745808", "997745808")</f>
        <v/>
      </c>
      <c r="B901" t="inlineStr">
        <is>
          <t>Flyingstar Insulated Lunch Bag, Reusable Tote Bag for Women &amp; Men &amp; Kids, Fashionable Large Cooler Lunch Bag for Working/School/Picnic</t>
        </is>
      </c>
      <c r="C901" t="inlineStr">
        <is>
          <t>1WMLB703GY</t>
        </is>
      </c>
      <c r="D901" t="inlineStr">
        <is>
          <t>Reusable Lunch Bags &amp; Boxes</t>
        </is>
      </c>
      <c r="E901" t="inlineStr">
        <is>
          <t>Flyingstar</t>
        </is>
      </c>
      <c r="F901" t="inlineStr">
        <is>
          <t>Q2-Target,Lunch Bag,Optimized,Lunch Bags</t>
        </is>
      </c>
      <c r="G901" s="48" t="n">
        <v>0</v>
      </c>
      <c r="H901" s="49" t="n">
        <v>0</v>
      </c>
      <c r="I901" s="49" t="n">
        <v>0</v>
      </c>
      <c r="J901" s="50" t="n">
        <v>0</v>
      </c>
      <c r="K901" s="51" t="n">
        <v>0</v>
      </c>
      <c r="L901" s="52" t="n">
        <v>0</v>
      </c>
      <c r="M901" s="52" t="n">
        <v>0</v>
      </c>
      <c r="N901" s="52" t="n">
        <v>0</v>
      </c>
      <c r="O901" s="53" t="n">
        <v>0</v>
      </c>
      <c r="P901" s="52" t="n">
        <v>0</v>
      </c>
      <c r="Q901" s="53" t="n">
        <v>0</v>
      </c>
      <c r="R901" s="52" t="n">
        <v>0</v>
      </c>
      <c r="S901" s="51" t="n">
        <v>0</v>
      </c>
      <c r="T901" s="48" t="n">
        <v>0</v>
      </c>
      <c r="U901" s="49" t="n">
        <v>0</v>
      </c>
      <c r="V901" s="49" t="n">
        <v>0</v>
      </c>
      <c r="W901" s="50" t="n">
        <v>0</v>
      </c>
      <c r="X901" s="51" t="n">
        <v>0</v>
      </c>
      <c r="Y901" s="52" t="n">
        <v>0</v>
      </c>
      <c r="Z901" s="52" t="n">
        <v>0</v>
      </c>
      <c r="AA901" s="52" t="n">
        <v>0</v>
      </c>
      <c r="AB901" s="53" t="n">
        <v>0</v>
      </c>
      <c r="AC901" s="52" t="n">
        <v>0</v>
      </c>
      <c r="AD901" s="53" t="n">
        <v>0</v>
      </c>
      <c r="AE901" s="52" t="n">
        <v>0</v>
      </c>
      <c r="AF901" s="51" t="n">
        <v>0</v>
      </c>
      <c r="AG901" s="48" t="n">
        <v>0</v>
      </c>
      <c r="AH901" s="49" t="n">
        <v>0</v>
      </c>
      <c r="AI901" s="49" t="n">
        <v>0</v>
      </c>
      <c r="AJ901" s="50" t="n">
        <v>0</v>
      </c>
      <c r="AK901" s="51" t="n">
        <v>0</v>
      </c>
      <c r="AL901" s="52" t="n">
        <v>0</v>
      </c>
      <c r="AM901" s="52" t="n">
        <v>0</v>
      </c>
      <c r="AN901" s="52" t="n">
        <v>0</v>
      </c>
      <c r="AO901" s="53" t="n">
        <v>0</v>
      </c>
      <c r="AP901" s="52" t="n">
        <v>0</v>
      </c>
      <c r="AQ901" s="53" t="n">
        <v>0</v>
      </c>
      <c r="AR901" s="52" t="n">
        <v>0</v>
      </c>
      <c r="AS901" s="51" t="n">
        <v>0</v>
      </c>
      <c r="AT901" s="48" t="n">
        <v>0</v>
      </c>
      <c r="AU901" s="49" t="n">
        <v>0</v>
      </c>
      <c r="AV901" s="49" t="n">
        <v>0</v>
      </c>
      <c r="AW901" s="50" t="n">
        <v>0</v>
      </c>
      <c r="AX901" s="51" t="n">
        <v>0</v>
      </c>
      <c r="AY901" s="52" t="n">
        <v>0</v>
      </c>
      <c r="AZ901" s="52" t="n">
        <v>0</v>
      </c>
      <c r="BA901" s="52" t="n">
        <v>0</v>
      </c>
      <c r="BB901" s="53" t="n">
        <v>0</v>
      </c>
      <c r="BC901" s="52" t="n">
        <v>0</v>
      </c>
      <c r="BD901" s="53" t="n">
        <v>0</v>
      </c>
      <c r="BE901" s="52" t="n">
        <v>0</v>
      </c>
      <c r="BF901" s="51" t="n">
        <v>0</v>
      </c>
    </row>
    <row r="902">
      <c r="A902">
        <f>HYPERLINK("https://www.walmart.com/ip/998009042", "998009042")</f>
        <v/>
      </c>
      <c r="B902" t="inlineStr">
        <is>
          <t>Tirrinia Insulated 2 Bottle Wine Carrier Tote Cooler Bag for Travel Picnic Padded Champagne Glass</t>
        </is>
      </c>
      <c r="C902" t="inlineStr">
        <is>
          <t>1WMWB231WTFL</t>
        </is>
      </c>
      <c r="D902" t="inlineStr">
        <is>
          <t>Wine Totes, Bags &amp; Backpacks</t>
        </is>
      </c>
      <c r="E902" t="inlineStr">
        <is>
          <t>Flyingstar</t>
        </is>
      </c>
      <c r="F902" t="inlineStr">
        <is>
          <t>Wine,Christmas,Valentine</t>
        </is>
      </c>
      <c r="G902" s="48" t="n">
        <v>0</v>
      </c>
      <c r="H902" s="49" t="n">
        <v>0</v>
      </c>
      <c r="I902" s="49" t="n">
        <v>0</v>
      </c>
      <c r="J902" s="50" t="n">
        <v>0</v>
      </c>
      <c r="K902" s="51" t="n">
        <v>0</v>
      </c>
      <c r="L902" s="52" t="n">
        <v>0</v>
      </c>
      <c r="M902" s="52" t="n">
        <v>0</v>
      </c>
      <c r="N902" s="52" t="n">
        <v>0</v>
      </c>
      <c r="O902" s="53" t="n">
        <v>0</v>
      </c>
      <c r="P902" s="52" t="n">
        <v>0</v>
      </c>
      <c r="Q902" s="53" t="n">
        <v>0</v>
      </c>
      <c r="R902" s="52" t="n">
        <v>0</v>
      </c>
      <c r="S902" s="51" t="n">
        <v>0</v>
      </c>
      <c r="T902" s="48" t="n">
        <v>0</v>
      </c>
      <c r="U902" s="49" t="n">
        <v>0</v>
      </c>
      <c r="V902" s="49" t="n">
        <v>0</v>
      </c>
      <c r="W902" s="50" t="n">
        <v>0</v>
      </c>
      <c r="X902" s="51" t="n">
        <v>0</v>
      </c>
      <c r="Y902" s="52" t="n">
        <v>0</v>
      </c>
      <c r="Z902" s="52" t="n">
        <v>0</v>
      </c>
      <c r="AA902" s="52" t="n">
        <v>0</v>
      </c>
      <c r="AB902" s="53" t="n">
        <v>0</v>
      </c>
      <c r="AC902" s="52" t="n">
        <v>0</v>
      </c>
      <c r="AD902" s="53" t="n">
        <v>0</v>
      </c>
      <c r="AE902" s="52" t="n">
        <v>0</v>
      </c>
      <c r="AF902" s="51" t="n">
        <v>0</v>
      </c>
      <c r="AG902" s="48" t="n">
        <v>0</v>
      </c>
      <c r="AH902" s="49" t="n">
        <v>0</v>
      </c>
      <c r="AI902" s="49" t="n">
        <v>0</v>
      </c>
      <c r="AJ902" s="50" t="n">
        <v>0</v>
      </c>
      <c r="AK902" s="51" t="n">
        <v>0</v>
      </c>
      <c r="AL902" s="52" t="n">
        <v>0</v>
      </c>
      <c r="AM902" s="52" t="n">
        <v>0</v>
      </c>
      <c r="AN902" s="52" t="n">
        <v>0</v>
      </c>
      <c r="AO902" s="53" t="n">
        <v>0</v>
      </c>
      <c r="AP902" s="52" t="n">
        <v>0</v>
      </c>
      <c r="AQ902" s="53" t="n">
        <v>0</v>
      </c>
      <c r="AR902" s="52" t="n">
        <v>0</v>
      </c>
      <c r="AS902" s="51" t="n">
        <v>0</v>
      </c>
      <c r="AT902" s="48" t="n">
        <v>0</v>
      </c>
      <c r="AU902" s="49" t="n">
        <v>0</v>
      </c>
      <c r="AV902" s="49" t="n">
        <v>0</v>
      </c>
      <c r="AW902" s="50" t="n">
        <v>0</v>
      </c>
      <c r="AX902" s="51" t="n">
        <v>0</v>
      </c>
      <c r="AY902" s="52" t="n">
        <v>0</v>
      </c>
      <c r="AZ902" s="52" t="n">
        <v>0</v>
      </c>
      <c r="BA902" s="52" t="n">
        <v>0</v>
      </c>
      <c r="BB902" s="53" t="n">
        <v>0</v>
      </c>
      <c r="BC902" s="52" t="n">
        <v>0</v>
      </c>
      <c r="BD902" s="53" t="n">
        <v>0</v>
      </c>
      <c r="BE902" s="52" t="n">
        <v>0</v>
      </c>
      <c r="BF902" s="51" t="n">
        <v>0</v>
      </c>
    </row>
    <row r="903">
      <c r="A903">
        <f>HYPERLINK("https://www.walmart.com/ip/998038481", "998038481")</f>
        <v/>
      </c>
      <c r="B903" t="inlineStr">
        <is>
          <t>Sherpa Wearable Blanket with Sleeves Arms, Super Soft Warm Comfy Large Fleece Plush Sleeved TV Throws Wrap Robe Blanket for Adult Women and Men by Catalonia</t>
        </is>
      </c>
      <c r="C903" t="inlineStr">
        <is>
          <t>1CTSN210CA</t>
        </is>
      </c>
      <c r="D903" t="inlineStr">
        <is>
          <t>Throws</t>
        </is>
      </c>
      <c r="E903" t="inlineStr">
        <is>
          <t>Catalonia</t>
        </is>
      </c>
      <c r="F903" t="inlineStr">
        <is>
          <t>Coupon_Discount,Batch 1 - TR</t>
        </is>
      </c>
      <c r="G903" s="48" t="n">
        <v>0</v>
      </c>
      <c r="H903" s="49" t="n">
        <v>0</v>
      </c>
      <c r="I903" s="49" t="n">
        <v>0</v>
      </c>
      <c r="J903" s="50" t="n">
        <v>0</v>
      </c>
      <c r="K903" s="51" t="n">
        <v>0</v>
      </c>
      <c r="L903" s="52" t="n">
        <v>0</v>
      </c>
      <c r="M903" s="52" t="n">
        <v>0</v>
      </c>
      <c r="N903" s="52" t="n">
        <v>0</v>
      </c>
      <c r="O903" s="53" t="n">
        <v>0</v>
      </c>
      <c r="P903" s="52" t="n">
        <v>0</v>
      </c>
      <c r="Q903" s="53" t="n">
        <v>0</v>
      </c>
      <c r="R903" s="52" t="n">
        <v>0</v>
      </c>
      <c r="S903" s="51" t="n">
        <v>0</v>
      </c>
      <c r="T903" s="48" t="n">
        <v>0</v>
      </c>
      <c r="U903" s="49" t="n">
        <v>0</v>
      </c>
      <c r="V903" s="49" t="n">
        <v>0</v>
      </c>
      <c r="W903" s="50" t="n">
        <v>0</v>
      </c>
      <c r="X903" s="51" t="n">
        <v>0</v>
      </c>
      <c r="Y903" s="52" t="n">
        <v>0</v>
      </c>
      <c r="Z903" s="52" t="n">
        <v>0</v>
      </c>
      <c r="AA903" s="52" t="n">
        <v>0</v>
      </c>
      <c r="AB903" s="53" t="n">
        <v>0</v>
      </c>
      <c r="AC903" s="52" t="n">
        <v>0</v>
      </c>
      <c r="AD903" s="53" t="n">
        <v>0</v>
      </c>
      <c r="AE903" s="52" t="n">
        <v>0</v>
      </c>
      <c r="AF903" s="51" t="n">
        <v>0</v>
      </c>
      <c r="AG903" s="48" t="n">
        <v>0</v>
      </c>
      <c r="AH903" s="49" t="n">
        <v>0</v>
      </c>
      <c r="AI903" s="49" t="n">
        <v>0</v>
      </c>
      <c r="AJ903" s="50" t="n">
        <v>0</v>
      </c>
      <c r="AK903" s="51" t="n">
        <v>0</v>
      </c>
      <c r="AL903" s="52" t="n">
        <v>0</v>
      </c>
      <c r="AM903" s="52" t="n">
        <v>0</v>
      </c>
      <c r="AN903" s="52" t="n">
        <v>0</v>
      </c>
      <c r="AO903" s="53" t="n">
        <v>0</v>
      </c>
      <c r="AP903" s="52" t="n">
        <v>0</v>
      </c>
      <c r="AQ903" s="53" t="n">
        <v>0</v>
      </c>
      <c r="AR903" s="52" t="n">
        <v>0</v>
      </c>
      <c r="AS903" s="51" t="n">
        <v>0</v>
      </c>
      <c r="AT903" s="48" t="n">
        <v>0</v>
      </c>
      <c r="AU903" s="49" t="n">
        <v>0</v>
      </c>
      <c r="AV903" s="49" t="n">
        <v>0</v>
      </c>
      <c r="AW903" s="50" t="n">
        <v>0</v>
      </c>
      <c r="AX903" s="51" t="n">
        <v>0</v>
      </c>
      <c r="AY903" s="52" t="n">
        <v>0</v>
      </c>
      <c r="AZ903" s="52" t="n">
        <v>0</v>
      </c>
      <c r="BA903" s="52" t="n">
        <v>0</v>
      </c>
      <c r="BB903" s="53" t="n">
        <v>0</v>
      </c>
      <c r="BC903" s="52" t="n">
        <v>0</v>
      </c>
      <c r="BD903" s="53" t="n">
        <v>0</v>
      </c>
      <c r="BE903" s="52" t="n">
        <v>0</v>
      </c>
      <c r="BF903" s="51" t="n">
        <v>0</v>
      </c>
    </row>
    <row r="904">
      <c r="A904">
        <f>HYPERLINK("https://www.walmart.com/ip/998086114", "998086114")</f>
        <v/>
      </c>
      <c r="B904" t="inlineStr">
        <is>
          <t>Tirrinia Chevron Sherpa Throw Blanket, 60"L x 50"W, Gray Micro Fleece Blanket for Couch, TV</t>
        </is>
      </c>
      <c r="C904" t="inlineStr">
        <is>
          <t>1TRBF560GY-TBCB</t>
        </is>
      </c>
      <c r="D904" t="inlineStr">
        <is>
          <t>Throws</t>
        </is>
      </c>
      <c r="E904" t="inlineStr">
        <is>
          <t>Tirrinia</t>
        </is>
      </c>
      <c r="F904" t="inlineStr">
        <is>
          <t>Optimized</t>
        </is>
      </c>
      <c r="G904" s="48" t="n">
        <v>0</v>
      </c>
      <c r="H904" s="49" t="n">
        <v>0</v>
      </c>
      <c r="I904" s="49" t="n">
        <v>0</v>
      </c>
      <c r="J904" s="50" t="n">
        <v>0</v>
      </c>
      <c r="K904" s="51" t="n">
        <v>0</v>
      </c>
      <c r="L904" s="52" t="n">
        <v>0</v>
      </c>
      <c r="M904" s="52" t="n">
        <v>0</v>
      </c>
      <c r="N904" s="52" t="n">
        <v>0</v>
      </c>
      <c r="O904" s="53" t="n">
        <v>0</v>
      </c>
      <c r="P904" s="52" t="n">
        <v>0</v>
      </c>
      <c r="Q904" s="53" t="n">
        <v>0</v>
      </c>
      <c r="R904" s="52" t="n">
        <v>0</v>
      </c>
      <c r="S904" s="51" t="n">
        <v>0</v>
      </c>
      <c r="T904" s="48" t="n">
        <v>0</v>
      </c>
      <c r="U904" s="49" t="n">
        <v>0</v>
      </c>
      <c r="V904" s="49" t="n">
        <v>0</v>
      </c>
      <c r="W904" s="50" t="n">
        <v>0</v>
      </c>
      <c r="X904" s="51" t="n">
        <v>0</v>
      </c>
      <c r="Y904" s="52" t="n">
        <v>0</v>
      </c>
      <c r="Z904" s="52" t="n">
        <v>0</v>
      </c>
      <c r="AA904" s="52" t="n">
        <v>0</v>
      </c>
      <c r="AB904" s="53" t="n">
        <v>0</v>
      </c>
      <c r="AC904" s="52" t="n">
        <v>0</v>
      </c>
      <c r="AD904" s="53" t="n">
        <v>0</v>
      </c>
      <c r="AE904" s="52" t="n">
        <v>0</v>
      </c>
      <c r="AF904" s="51" t="n">
        <v>0</v>
      </c>
      <c r="AG904" s="48" t="n">
        <v>0</v>
      </c>
      <c r="AH904" s="49" t="n">
        <v>0</v>
      </c>
      <c r="AI904" s="49" t="n">
        <v>0</v>
      </c>
      <c r="AJ904" s="50" t="n">
        <v>0</v>
      </c>
      <c r="AK904" s="51" t="n">
        <v>0</v>
      </c>
      <c r="AL904" s="52" t="n">
        <v>0</v>
      </c>
      <c r="AM904" s="52" t="n">
        <v>0</v>
      </c>
      <c r="AN904" s="52" t="n">
        <v>0</v>
      </c>
      <c r="AO904" s="53" t="n">
        <v>0</v>
      </c>
      <c r="AP904" s="52" t="n">
        <v>0</v>
      </c>
      <c r="AQ904" s="53" t="n">
        <v>0</v>
      </c>
      <c r="AR904" s="52" t="n">
        <v>0</v>
      </c>
      <c r="AS904" s="51" t="n">
        <v>0</v>
      </c>
      <c r="AT904" s="48" t="n">
        <v>0</v>
      </c>
      <c r="AU904" s="49" t="n">
        <v>0</v>
      </c>
      <c r="AV904" s="49" t="n">
        <v>0</v>
      </c>
      <c r="AW904" s="50" t="n">
        <v>0</v>
      </c>
      <c r="AX904" s="51" t="n">
        <v>0</v>
      </c>
      <c r="AY904" s="52" t="n">
        <v>0</v>
      </c>
      <c r="AZ904" s="52" t="n">
        <v>0</v>
      </c>
      <c r="BA904" s="52" t="n">
        <v>0</v>
      </c>
      <c r="BB904" s="53" t="n">
        <v>0</v>
      </c>
      <c r="BC904" s="52" t="n">
        <v>0</v>
      </c>
      <c r="BD904" s="53" t="n">
        <v>0</v>
      </c>
      <c r="BE904" s="52" t="n">
        <v>0</v>
      </c>
      <c r="BF904" s="51" t="n">
        <v>0</v>
      </c>
    </row>
    <row r="905">
      <c r="A905">
        <f>HYPERLINK("https://www.walmart.com/ip/998346056", "998346056")</f>
        <v/>
      </c>
      <c r="B905" t="inlineStr">
        <is>
          <t>Tirrinia Fleece Blanket Poncho Full Body Wrap Cover for Adult, Wine</t>
        </is>
      </c>
      <c r="C905" t="inlineStr">
        <is>
          <t>1TRBP200WN-TBCB</t>
        </is>
      </c>
      <c r="D905" t="inlineStr">
        <is>
          <t>Throws</t>
        </is>
      </c>
      <c r="E905" t="inlineStr">
        <is>
          <t>Tirrinia</t>
        </is>
      </c>
      <c r="F905" t="inlineStr">
        <is>
          <t>Optimized,WFS,Coupon_Discount,WFS Item</t>
        </is>
      </c>
      <c r="G905" s="48" t="n">
        <v>0</v>
      </c>
      <c r="H905" s="49" t="n">
        <v>0</v>
      </c>
      <c r="I905" s="49" t="n">
        <v>0</v>
      </c>
      <c r="J905" s="50" t="n">
        <v>0</v>
      </c>
      <c r="K905" s="51" t="n">
        <v>0</v>
      </c>
      <c r="L905" s="52" t="n">
        <v>0</v>
      </c>
      <c r="M905" s="52" t="n">
        <v>0</v>
      </c>
      <c r="N905" s="52" t="n">
        <v>0</v>
      </c>
      <c r="O905" s="53" t="n">
        <v>0</v>
      </c>
      <c r="P905" s="52" t="n">
        <v>0</v>
      </c>
      <c r="Q905" s="53" t="n">
        <v>0</v>
      </c>
      <c r="R905" s="52" t="n">
        <v>0</v>
      </c>
      <c r="S905" s="51" t="n">
        <v>0</v>
      </c>
      <c r="T905" s="48" t="n">
        <v>0</v>
      </c>
      <c r="U905" s="49" t="n">
        <v>0</v>
      </c>
      <c r="V905" s="49" t="n">
        <v>0</v>
      </c>
      <c r="W905" s="50" t="n">
        <v>0</v>
      </c>
      <c r="X905" s="51" t="n">
        <v>0</v>
      </c>
      <c r="Y905" s="52" t="n">
        <v>0</v>
      </c>
      <c r="Z905" s="52" t="n">
        <v>0</v>
      </c>
      <c r="AA905" s="52" t="n">
        <v>0</v>
      </c>
      <c r="AB905" s="53" t="n">
        <v>0</v>
      </c>
      <c r="AC905" s="52" t="n">
        <v>0</v>
      </c>
      <c r="AD905" s="53" t="n">
        <v>0</v>
      </c>
      <c r="AE905" s="52" t="n">
        <v>0</v>
      </c>
      <c r="AF905" s="51" t="n">
        <v>0</v>
      </c>
      <c r="AG905" s="48" t="n">
        <v>0</v>
      </c>
      <c r="AH905" s="49" t="n">
        <v>0</v>
      </c>
      <c r="AI905" s="49" t="n">
        <v>0</v>
      </c>
      <c r="AJ905" s="50" t="n">
        <v>0</v>
      </c>
      <c r="AK905" s="51" t="n">
        <v>0</v>
      </c>
      <c r="AL905" s="52" t="n">
        <v>0</v>
      </c>
      <c r="AM905" s="52" t="n">
        <v>0</v>
      </c>
      <c r="AN905" s="52" t="n">
        <v>0</v>
      </c>
      <c r="AO905" s="53" t="n">
        <v>0</v>
      </c>
      <c r="AP905" s="52" t="n">
        <v>0</v>
      </c>
      <c r="AQ905" s="53" t="n">
        <v>0</v>
      </c>
      <c r="AR905" s="52" t="n">
        <v>0</v>
      </c>
      <c r="AS905" s="51" t="n">
        <v>0</v>
      </c>
      <c r="AT905" s="48" t="n">
        <v>0</v>
      </c>
      <c r="AU905" s="49" t="n">
        <v>0</v>
      </c>
      <c r="AV905" s="49" t="n">
        <v>0</v>
      </c>
      <c r="AW905" s="50" t="n">
        <v>0</v>
      </c>
      <c r="AX905" s="51" t="n">
        <v>0</v>
      </c>
      <c r="AY905" s="52" t="n">
        <v>0</v>
      </c>
      <c r="AZ905" s="52" t="n">
        <v>0</v>
      </c>
      <c r="BA905" s="52" t="n">
        <v>0</v>
      </c>
      <c r="BB905" s="53" t="n">
        <v>0</v>
      </c>
      <c r="BC905" s="52" t="n">
        <v>0</v>
      </c>
      <c r="BD905" s="53" t="n">
        <v>0</v>
      </c>
      <c r="BE905" s="52" t="n">
        <v>0</v>
      </c>
      <c r="BF905" s="51" t="n">
        <v>0</v>
      </c>
    </row>
    <row r="906">
      <c r="A906">
        <f>HYPERLINK("https://www.walmart.com/ip/998760766", "998760766")</f>
        <v/>
      </c>
      <c r="B906" t="inlineStr">
        <is>
          <t>Solaris Sun Hats UV Protection Wide Brim Hat Unisex Adult Multicolor</t>
        </is>
      </c>
      <c r="C906" t="inlineStr">
        <is>
          <t>1SLSH910-digign</t>
        </is>
      </c>
      <c r="D906" t="inlineStr">
        <is>
          <t>Hats</t>
        </is>
      </c>
      <c r="E906" t="inlineStr">
        <is>
          <t>Solaris</t>
        </is>
      </c>
      <c r="F906" t="inlineStr">
        <is>
          <t>Hats,Batch 1 - TR</t>
        </is>
      </c>
      <c r="G906" s="48" t="n">
        <v>0</v>
      </c>
      <c r="H906" s="49" t="n">
        <v>0</v>
      </c>
      <c r="I906" s="49" t="n">
        <v>0</v>
      </c>
      <c r="J906" s="50" t="n">
        <v>0</v>
      </c>
      <c r="K906" s="51" t="n">
        <v>0</v>
      </c>
      <c r="L906" s="52" t="n">
        <v>0</v>
      </c>
      <c r="M906" s="52" t="n">
        <v>0</v>
      </c>
      <c r="N906" s="52" t="n">
        <v>0</v>
      </c>
      <c r="O906" s="53" t="n">
        <v>0</v>
      </c>
      <c r="P906" s="52" t="n">
        <v>0</v>
      </c>
      <c r="Q906" s="53" t="n">
        <v>0</v>
      </c>
      <c r="R906" s="52" t="n">
        <v>0</v>
      </c>
      <c r="S906" s="51" t="n">
        <v>0</v>
      </c>
      <c r="T906" s="48" t="n">
        <v>0</v>
      </c>
      <c r="U906" s="49" t="n">
        <v>0</v>
      </c>
      <c r="V906" s="49" t="n">
        <v>0</v>
      </c>
      <c r="W906" s="50" t="n">
        <v>0</v>
      </c>
      <c r="X906" s="51" t="n">
        <v>0</v>
      </c>
      <c r="Y906" s="52" t="n">
        <v>0</v>
      </c>
      <c r="Z906" s="52" t="n">
        <v>0</v>
      </c>
      <c r="AA906" s="52" t="n">
        <v>0</v>
      </c>
      <c r="AB906" s="53" t="n">
        <v>0</v>
      </c>
      <c r="AC906" s="52" t="n">
        <v>0</v>
      </c>
      <c r="AD906" s="53" t="n">
        <v>0</v>
      </c>
      <c r="AE906" s="52" t="n">
        <v>0</v>
      </c>
      <c r="AF906" s="51" t="n">
        <v>0</v>
      </c>
      <c r="AG906" s="48" t="n">
        <v>0</v>
      </c>
      <c r="AH906" s="49" t="n">
        <v>0</v>
      </c>
      <c r="AI906" s="49" t="n">
        <v>0</v>
      </c>
      <c r="AJ906" s="50" t="n">
        <v>0</v>
      </c>
      <c r="AK906" s="51" t="n">
        <v>0</v>
      </c>
      <c r="AL906" s="52" t="n">
        <v>0</v>
      </c>
      <c r="AM906" s="52" t="n">
        <v>0</v>
      </c>
      <c r="AN906" s="52" t="n">
        <v>0</v>
      </c>
      <c r="AO906" s="53" t="n">
        <v>0</v>
      </c>
      <c r="AP906" s="52" t="n">
        <v>0</v>
      </c>
      <c r="AQ906" s="53" t="n">
        <v>0</v>
      </c>
      <c r="AR906" s="52" t="n">
        <v>0</v>
      </c>
      <c r="AS906" s="51" t="n">
        <v>0</v>
      </c>
      <c r="AT906" s="48" t="n">
        <v>0</v>
      </c>
      <c r="AU906" s="49" t="n">
        <v>0</v>
      </c>
      <c r="AV906" s="49" t="n">
        <v>0</v>
      </c>
      <c r="AW906" s="50" t="n">
        <v>0</v>
      </c>
      <c r="AX906" s="51" t="n">
        <v>0</v>
      </c>
      <c r="AY906" s="52" t="n">
        <v>0</v>
      </c>
      <c r="AZ906" s="52" t="n">
        <v>0</v>
      </c>
      <c r="BA906" s="52" t="n">
        <v>0</v>
      </c>
      <c r="BB906" s="53" t="n">
        <v>0</v>
      </c>
      <c r="BC906" s="52" t="n">
        <v>0</v>
      </c>
      <c r="BD906" s="53" t="n">
        <v>0</v>
      </c>
      <c r="BE906" s="52" t="n">
        <v>0</v>
      </c>
      <c r="BF906" s="51" t="n">
        <v>0</v>
      </c>
    </row>
    <row r="907">
      <c r="A907">
        <f>HYPERLINK("https://www.walmart.com/ip/992076213", "992076213")</f>
        <v/>
      </c>
      <c r="B907" t="inlineStr">
        <is>
          <t>Solaris Ski Gloves, Winter Warm 3M Insulation Waterproof Snow Gloves for Skiing, Snowboarding, Motorcycling,Cycling, Outdoor Sports, Gifts for Men, Size Run Small</t>
        </is>
      </c>
      <c r="C907" t="inlineStr">
        <is>
          <t>1SLWG300BKL</t>
        </is>
      </c>
      <c r="D907" t="inlineStr">
        <is>
          <t>Gloves &amp; Mittens</t>
        </is>
      </c>
      <c r="E907" t="inlineStr">
        <is>
          <t>Solaris</t>
        </is>
      </c>
      <c r="F907" t="inlineStr">
        <is>
          <t>Gloves,WFS,WFS Item</t>
        </is>
      </c>
      <c r="G907" s="48" t="n">
        <v>0</v>
      </c>
      <c r="H907" s="49" t="n">
        <v>0</v>
      </c>
      <c r="I907" s="49" t="n">
        <v>0</v>
      </c>
      <c r="J907" s="50" t="n">
        <v>0</v>
      </c>
      <c r="K907" s="51" t="n">
        <v>0</v>
      </c>
      <c r="L907" s="52" t="n">
        <v>0</v>
      </c>
      <c r="M907" s="52" t="n">
        <v>0</v>
      </c>
      <c r="N907" s="52" t="n">
        <v>0</v>
      </c>
      <c r="O907" s="53" t="n">
        <v>0</v>
      </c>
      <c r="P907" s="52" t="n">
        <v>0</v>
      </c>
      <c r="Q907" s="53" t="n">
        <v>0</v>
      </c>
      <c r="R907" s="52" t="n">
        <v>0</v>
      </c>
      <c r="S907" s="51" t="n">
        <v>0</v>
      </c>
      <c r="T907" s="48" t="n">
        <v>0</v>
      </c>
      <c r="U907" s="49" t="n">
        <v>0</v>
      </c>
      <c r="V907" s="49" t="n">
        <v>0</v>
      </c>
      <c r="W907" s="50" t="n">
        <v>0</v>
      </c>
      <c r="X907" s="51" t="n">
        <v>0</v>
      </c>
      <c r="Y907" s="52" t="n">
        <v>0</v>
      </c>
      <c r="Z907" s="52" t="n">
        <v>0</v>
      </c>
      <c r="AA907" s="52" t="n">
        <v>0</v>
      </c>
      <c r="AB907" s="53" t="n">
        <v>0</v>
      </c>
      <c r="AC907" s="52" t="n">
        <v>0</v>
      </c>
      <c r="AD907" s="53" t="n">
        <v>0</v>
      </c>
      <c r="AE907" s="52" t="n">
        <v>0</v>
      </c>
      <c r="AF907" s="51" t="n">
        <v>0</v>
      </c>
      <c r="AG907" s="48" t="n">
        <v>0</v>
      </c>
      <c r="AH907" s="49" t="n">
        <v>0</v>
      </c>
      <c r="AI907" s="49" t="n">
        <v>0</v>
      </c>
      <c r="AJ907" s="50" t="n">
        <v>0</v>
      </c>
      <c r="AK907" s="51" t="n">
        <v>0</v>
      </c>
      <c r="AL907" s="52" t="n">
        <v>0</v>
      </c>
      <c r="AM907" s="52" t="n">
        <v>0</v>
      </c>
      <c r="AN907" s="52" t="n">
        <v>0</v>
      </c>
      <c r="AO907" s="53" t="n">
        <v>0</v>
      </c>
      <c r="AP907" s="52" t="n">
        <v>0</v>
      </c>
      <c r="AQ907" s="53" t="n">
        <v>0</v>
      </c>
      <c r="AR907" s="52" t="n">
        <v>0</v>
      </c>
      <c r="AS907" s="51" t="n">
        <v>0</v>
      </c>
      <c r="AT907" s="48" t="n">
        <v>0</v>
      </c>
      <c r="AU907" s="49" t="n">
        <v>0</v>
      </c>
      <c r="AV907" s="49" t="n">
        <v>0</v>
      </c>
      <c r="AW907" s="50" t="n">
        <v>0</v>
      </c>
      <c r="AX907" s="51" t="n">
        <v>0</v>
      </c>
      <c r="AY907" s="52" t="n">
        <v>0</v>
      </c>
      <c r="AZ907" s="52" t="n">
        <v>0</v>
      </c>
      <c r="BA907" s="52" t="n">
        <v>0</v>
      </c>
      <c r="BB907" s="53" t="n">
        <v>0</v>
      </c>
      <c r="BC907" s="52" t="n">
        <v>0</v>
      </c>
      <c r="BD907" s="53" t="n">
        <v>0</v>
      </c>
      <c r="BE907" s="52" t="n">
        <v>0</v>
      </c>
      <c r="BF907" s="51" t="n">
        <v>0</v>
      </c>
    </row>
    <row r="908">
      <c r="A908">
        <f>HYPERLINK("https://www.walmart.com/ip/991629663", "991629663")</f>
        <v/>
      </c>
      <c r="B908" t="inlineStr">
        <is>
          <t>Tirrinia Wine Cooler bag - 3 Bottle Travel Insulated Padded Wine Carrier Tote Bag with Handle and Adjustable Shoulder Strap</t>
        </is>
      </c>
      <c r="C908" t="inlineStr">
        <is>
          <t>1WMWB310RD</t>
        </is>
      </c>
      <c r="D908" t="inlineStr">
        <is>
          <t>Wine Totes, Bags &amp; Backpacks</t>
        </is>
      </c>
      <c r="E908" t="inlineStr">
        <is>
          <t>Flyingstar</t>
        </is>
      </c>
      <c r="F908" t="inlineStr">
        <is>
          <t>Wine,Christmas,Valentine</t>
        </is>
      </c>
      <c r="G908" s="48" t="n">
        <v>0</v>
      </c>
      <c r="H908" s="49" t="n">
        <v>0</v>
      </c>
      <c r="I908" s="49" t="n">
        <v>0</v>
      </c>
      <c r="J908" s="50" t="n">
        <v>0</v>
      </c>
      <c r="K908" s="51" t="n">
        <v>0</v>
      </c>
      <c r="L908" s="52" t="n">
        <v>0</v>
      </c>
      <c r="M908" s="52" t="n">
        <v>0</v>
      </c>
      <c r="N908" s="52" t="n">
        <v>0</v>
      </c>
      <c r="O908" s="53" t="n">
        <v>0</v>
      </c>
      <c r="P908" s="52" t="n">
        <v>0</v>
      </c>
      <c r="Q908" s="53" t="n">
        <v>0</v>
      </c>
      <c r="R908" s="52" t="n">
        <v>0</v>
      </c>
      <c r="S908" s="51" t="n">
        <v>0</v>
      </c>
      <c r="T908" s="48" t="n">
        <v>0</v>
      </c>
      <c r="U908" s="49" t="n">
        <v>0</v>
      </c>
      <c r="V908" s="49" t="n">
        <v>0</v>
      </c>
      <c r="W908" s="50" t="n">
        <v>0</v>
      </c>
      <c r="X908" s="51" t="n">
        <v>0</v>
      </c>
      <c r="Y908" s="52" t="n">
        <v>0</v>
      </c>
      <c r="Z908" s="52" t="n">
        <v>0</v>
      </c>
      <c r="AA908" s="52" t="n">
        <v>0</v>
      </c>
      <c r="AB908" s="53" t="n">
        <v>0</v>
      </c>
      <c r="AC908" s="52" t="n">
        <v>0</v>
      </c>
      <c r="AD908" s="53" t="n">
        <v>0</v>
      </c>
      <c r="AE908" s="52" t="n">
        <v>0</v>
      </c>
      <c r="AF908" s="51" t="n">
        <v>0</v>
      </c>
      <c r="AG908" s="48" t="n">
        <v>0</v>
      </c>
      <c r="AH908" s="49" t="n">
        <v>0</v>
      </c>
      <c r="AI908" s="49" t="n">
        <v>0</v>
      </c>
      <c r="AJ908" s="50" t="n">
        <v>0</v>
      </c>
      <c r="AK908" s="51" t="n">
        <v>0</v>
      </c>
      <c r="AL908" s="52" t="n">
        <v>0</v>
      </c>
      <c r="AM908" s="52" t="n">
        <v>0</v>
      </c>
      <c r="AN908" s="52" t="n">
        <v>0</v>
      </c>
      <c r="AO908" s="53" t="n">
        <v>0</v>
      </c>
      <c r="AP908" s="52" t="n">
        <v>0</v>
      </c>
      <c r="AQ908" s="53" t="n">
        <v>0</v>
      </c>
      <c r="AR908" s="52" t="n">
        <v>0</v>
      </c>
      <c r="AS908" s="51" t="n">
        <v>0</v>
      </c>
      <c r="AT908" s="48" t="n">
        <v>0</v>
      </c>
      <c r="AU908" s="49" t="n">
        <v>0</v>
      </c>
      <c r="AV908" s="49" t="n">
        <v>0</v>
      </c>
      <c r="AW908" s="50" t="n">
        <v>0</v>
      </c>
      <c r="AX908" s="51" t="n">
        <v>0</v>
      </c>
      <c r="AY908" s="52" t="n">
        <v>0</v>
      </c>
      <c r="AZ908" s="52" t="n">
        <v>0</v>
      </c>
      <c r="BA908" s="52" t="n">
        <v>0</v>
      </c>
      <c r="BB908" s="53" t="n">
        <v>0</v>
      </c>
      <c r="BC908" s="52" t="n">
        <v>0</v>
      </c>
      <c r="BD908" s="53" t="n">
        <v>0</v>
      </c>
      <c r="BE908" s="52" t="n">
        <v>0</v>
      </c>
      <c r="BF908" s="51" t="n">
        <v>0</v>
      </c>
    </row>
    <row r="909">
      <c r="A909">
        <f>HYPERLINK("https://www.walmart.com/ip/982483953", "982483953")</f>
        <v/>
      </c>
      <c r="B909" t="inlineStr">
        <is>
          <t>Tirrinia Fishing Hiking Hat for Women Safari Sun Hat Wide Brim Camping Hiking Fishing Hunting Boating Safari Cap with Adjustable Drawstring Boonie UPF 50+ Grey</t>
        </is>
      </c>
      <c r="C909" t="inlineStr">
        <is>
          <t>1TRSH9154GY-TBGM</t>
        </is>
      </c>
      <c r="D909" t="inlineStr">
        <is>
          <t>Hats</t>
        </is>
      </c>
      <c r="E909" t="inlineStr">
        <is>
          <t>Sun Blocker</t>
        </is>
      </c>
      <c r="F909" t="inlineStr">
        <is>
          <t>Batch 1 - TR</t>
        </is>
      </c>
      <c r="G909" s="48" t="n">
        <v>0</v>
      </c>
      <c r="H909" s="49" t="n">
        <v>0</v>
      </c>
      <c r="I909" s="49" t="n">
        <v>0</v>
      </c>
      <c r="J909" s="50" t="n">
        <v>0</v>
      </c>
      <c r="K909" s="51" t="n">
        <v>0</v>
      </c>
      <c r="L909" s="52" t="n">
        <v>0</v>
      </c>
      <c r="M909" s="52" t="n">
        <v>0</v>
      </c>
      <c r="N909" s="52" t="n">
        <v>0</v>
      </c>
      <c r="O909" s="53" t="n">
        <v>0</v>
      </c>
      <c r="P909" s="52" t="n">
        <v>0</v>
      </c>
      <c r="Q909" s="53" t="n">
        <v>0</v>
      </c>
      <c r="R909" s="52" t="n">
        <v>0</v>
      </c>
      <c r="S909" s="51" t="n">
        <v>0</v>
      </c>
      <c r="T909" s="48" t="n">
        <v>0</v>
      </c>
      <c r="U909" s="49" t="n">
        <v>0</v>
      </c>
      <c r="V909" s="49" t="n">
        <v>0</v>
      </c>
      <c r="W909" s="50" t="n">
        <v>0</v>
      </c>
      <c r="X909" s="51" t="n">
        <v>0</v>
      </c>
      <c r="Y909" s="52" t="n">
        <v>0</v>
      </c>
      <c r="Z909" s="52" t="n">
        <v>0</v>
      </c>
      <c r="AA909" s="52" t="n">
        <v>0</v>
      </c>
      <c r="AB909" s="53" t="n">
        <v>0</v>
      </c>
      <c r="AC909" s="52" t="n">
        <v>0</v>
      </c>
      <c r="AD909" s="53" t="n">
        <v>0</v>
      </c>
      <c r="AE909" s="52" t="n">
        <v>0</v>
      </c>
      <c r="AF909" s="51" t="n">
        <v>0</v>
      </c>
      <c r="AG909" s="48" t="n">
        <v>0</v>
      </c>
      <c r="AH909" s="49" t="n">
        <v>0</v>
      </c>
      <c r="AI909" s="49" t="n">
        <v>0</v>
      </c>
      <c r="AJ909" s="50" t="n">
        <v>0</v>
      </c>
      <c r="AK909" s="51" t="n">
        <v>0</v>
      </c>
      <c r="AL909" s="52" t="n">
        <v>0</v>
      </c>
      <c r="AM909" s="52" t="n">
        <v>0</v>
      </c>
      <c r="AN909" s="52" t="n">
        <v>0</v>
      </c>
      <c r="AO909" s="53" t="n">
        <v>0</v>
      </c>
      <c r="AP909" s="52" t="n">
        <v>0</v>
      </c>
      <c r="AQ909" s="53" t="n">
        <v>0</v>
      </c>
      <c r="AR909" s="52" t="n">
        <v>0</v>
      </c>
      <c r="AS909" s="51" t="n">
        <v>0</v>
      </c>
      <c r="AT909" s="48" t="n">
        <v>0</v>
      </c>
      <c r="AU909" s="49" t="n">
        <v>0</v>
      </c>
      <c r="AV909" s="49" t="n">
        <v>0</v>
      </c>
      <c r="AW909" s="50" t="n">
        <v>0</v>
      </c>
      <c r="AX909" s="51" t="n">
        <v>0</v>
      </c>
      <c r="AY909" s="52" t="n">
        <v>0</v>
      </c>
      <c r="AZ909" s="52" t="n">
        <v>0</v>
      </c>
      <c r="BA909" s="52" t="n">
        <v>0</v>
      </c>
      <c r="BB909" s="53" t="n">
        <v>0</v>
      </c>
      <c r="BC909" s="52" t="n">
        <v>0</v>
      </c>
      <c r="BD909" s="53" t="n">
        <v>0</v>
      </c>
      <c r="BE909" s="52" t="n">
        <v>0</v>
      </c>
      <c r="BF909" s="51" t="n">
        <v>0</v>
      </c>
    </row>
    <row r="910">
      <c r="A910">
        <f>HYPERLINK("https://www.walmart.com/ip/991327507", "991327507")</f>
        <v/>
      </c>
      <c r="B910" t="inlineStr">
        <is>
          <t>Catalonia Reversible Sherpa Throw Blanket, Super Soft Fluffy Blanket for Couch,  Fuzzy Comfy Warm Throws, Comfort Caring Gift, 50x60 inches, Pink</t>
        </is>
      </c>
      <c r="C910" t="inlineStr">
        <is>
          <t>1CTBF578PK</t>
        </is>
      </c>
      <c r="D910" t="inlineStr">
        <is>
          <t>Throws</t>
        </is>
      </c>
      <c r="E910" t="inlineStr">
        <is>
          <t>Catalonia</t>
        </is>
      </c>
      <c r="F910" t="inlineStr">
        <is>
          <t>Q2-Target,WFS,Coupon_Discount,WFS Item</t>
        </is>
      </c>
      <c r="G910" s="48" t="n">
        <v>0</v>
      </c>
      <c r="H910" s="49" t="n">
        <v>0</v>
      </c>
      <c r="I910" s="49" t="n">
        <v>0</v>
      </c>
      <c r="J910" s="50" t="n">
        <v>0</v>
      </c>
      <c r="K910" s="51" t="n">
        <v>0</v>
      </c>
      <c r="L910" s="52" t="n">
        <v>0</v>
      </c>
      <c r="M910" s="52" t="n">
        <v>0</v>
      </c>
      <c r="N910" s="52" t="n">
        <v>0</v>
      </c>
      <c r="O910" s="53" t="n">
        <v>0</v>
      </c>
      <c r="P910" s="52" t="n">
        <v>0</v>
      </c>
      <c r="Q910" s="53" t="n">
        <v>0</v>
      </c>
      <c r="R910" s="52" t="n">
        <v>0</v>
      </c>
      <c r="S910" s="51" t="n">
        <v>0</v>
      </c>
      <c r="T910" s="48" t="n">
        <v>0</v>
      </c>
      <c r="U910" s="49" t="n">
        <v>0</v>
      </c>
      <c r="V910" s="49" t="n">
        <v>24</v>
      </c>
      <c r="W910" s="50" t="n">
        <v>0</v>
      </c>
      <c r="X910" s="51" t="n">
        <v>0</v>
      </c>
      <c r="Y910" s="52" t="n">
        <v>0</v>
      </c>
      <c r="Z910" s="52" t="n">
        <v>0</v>
      </c>
      <c r="AA910" s="52" t="n">
        <v>0</v>
      </c>
      <c r="AB910" s="53" t="n">
        <v>0</v>
      </c>
      <c r="AC910" s="52" t="n">
        <v>0</v>
      </c>
      <c r="AD910" s="53" t="n">
        <v>0</v>
      </c>
      <c r="AE910" s="52" t="n">
        <v>0</v>
      </c>
      <c r="AF910" s="51" t="n">
        <v>0</v>
      </c>
      <c r="AG910" s="48" t="n">
        <v>20.99</v>
      </c>
      <c r="AH910" s="49" t="n">
        <v>1</v>
      </c>
      <c r="AI910" s="49" t="n">
        <v>24</v>
      </c>
      <c r="AJ910" s="50" t="n">
        <v>0.04166666666666666</v>
      </c>
      <c r="AK910" s="51" t="n">
        <v>0</v>
      </c>
      <c r="AL910" s="52" t="n">
        <v>0</v>
      </c>
      <c r="AM910" s="52" t="n">
        <v>0</v>
      </c>
      <c r="AN910" s="52" t="n">
        <v>0</v>
      </c>
      <c r="AO910" s="53" t="n">
        <v>0</v>
      </c>
      <c r="AP910" s="52" t="n">
        <v>0</v>
      </c>
      <c r="AQ910" s="53" t="n">
        <v>0</v>
      </c>
      <c r="AR910" s="52" t="n">
        <v>20.99</v>
      </c>
      <c r="AS910" s="51" t="n">
        <v>0</v>
      </c>
      <c r="AT910" s="48" t="n">
        <v>0</v>
      </c>
      <c r="AU910" s="49" t="n">
        <v>0</v>
      </c>
      <c r="AV910" s="49" t="n">
        <v>12</v>
      </c>
      <c r="AW910" s="50" t="n">
        <v>0</v>
      </c>
      <c r="AX910" s="51" t="n">
        <v>0</v>
      </c>
      <c r="AY910" s="52" t="n">
        <v>0</v>
      </c>
      <c r="AZ910" s="52" t="n">
        <v>0</v>
      </c>
      <c r="BA910" s="52" t="n">
        <v>0</v>
      </c>
      <c r="BB910" s="53" t="n">
        <v>0</v>
      </c>
      <c r="BC910" s="52" t="n">
        <v>0</v>
      </c>
      <c r="BD910" s="53" t="n">
        <v>0</v>
      </c>
      <c r="BE910" s="52" t="n">
        <v>0</v>
      </c>
      <c r="BF910" s="51" t="n">
        <v>0</v>
      </c>
    </row>
    <row r="911">
      <c r="A911">
        <f>HYPERLINK("https://www.walmart.com/ip/982844237", "982844237")</f>
        <v/>
      </c>
      <c r="B911" t="inlineStr">
        <is>
          <t>Tirrina Unisex Outdoor Sun Protection Fishing Cap with Neck Flap Wide Brim Mesh Hat for Travel Camping Hiking Hunting</t>
        </is>
      </c>
      <c r="C911" t="inlineStr">
        <is>
          <t>1WMSH910GN</t>
        </is>
      </c>
      <c r="D911" t="inlineStr">
        <is>
          <t>Hats</t>
        </is>
      </c>
      <c r="E911" t="inlineStr">
        <is>
          <t>Tirrinia</t>
        </is>
      </c>
      <c r="F911" t="inlineStr">
        <is>
          <t>Optimized</t>
        </is>
      </c>
      <c r="G911" s="48" t="n">
        <v>0</v>
      </c>
      <c r="H911" s="49" t="n">
        <v>0</v>
      </c>
      <c r="I911" s="49" t="n">
        <v>0</v>
      </c>
      <c r="J911" s="50" t="n">
        <v>0</v>
      </c>
      <c r="K911" s="51" t="n">
        <v>0</v>
      </c>
      <c r="L911" s="52" t="n">
        <v>0</v>
      </c>
      <c r="M911" s="52" t="n">
        <v>0</v>
      </c>
      <c r="N911" s="52" t="n">
        <v>0</v>
      </c>
      <c r="O911" s="53" t="n">
        <v>0</v>
      </c>
      <c r="P911" s="52" t="n">
        <v>0</v>
      </c>
      <c r="Q911" s="53" t="n">
        <v>0</v>
      </c>
      <c r="R911" s="52" t="n">
        <v>0</v>
      </c>
      <c r="S911" s="51" t="n">
        <v>0</v>
      </c>
      <c r="T911" s="48" t="n">
        <v>0</v>
      </c>
      <c r="U911" s="49" t="n">
        <v>0</v>
      </c>
      <c r="V911" s="49" t="n">
        <v>0</v>
      </c>
      <c r="W911" s="50" t="n">
        <v>0</v>
      </c>
      <c r="X911" s="51" t="n">
        <v>0</v>
      </c>
      <c r="Y911" s="52" t="n">
        <v>0</v>
      </c>
      <c r="Z911" s="52" t="n">
        <v>0</v>
      </c>
      <c r="AA911" s="52" t="n">
        <v>0</v>
      </c>
      <c r="AB911" s="53" t="n">
        <v>0</v>
      </c>
      <c r="AC911" s="52" t="n">
        <v>0</v>
      </c>
      <c r="AD911" s="53" t="n">
        <v>0</v>
      </c>
      <c r="AE911" s="52" t="n">
        <v>0</v>
      </c>
      <c r="AF911" s="51" t="n">
        <v>0</v>
      </c>
      <c r="AG911" s="48" t="n">
        <v>0</v>
      </c>
      <c r="AH911" s="49" t="n">
        <v>0</v>
      </c>
      <c r="AI911" s="49" t="n">
        <v>0</v>
      </c>
      <c r="AJ911" s="50" t="n">
        <v>0</v>
      </c>
      <c r="AK911" s="51" t="n">
        <v>0</v>
      </c>
      <c r="AL911" s="52" t="n">
        <v>0</v>
      </c>
      <c r="AM911" s="52" t="n">
        <v>0</v>
      </c>
      <c r="AN911" s="52" t="n">
        <v>0</v>
      </c>
      <c r="AO911" s="53" t="n">
        <v>0</v>
      </c>
      <c r="AP911" s="52" t="n">
        <v>0</v>
      </c>
      <c r="AQ911" s="53" t="n">
        <v>0</v>
      </c>
      <c r="AR911" s="52" t="n">
        <v>0</v>
      </c>
      <c r="AS911" s="51" t="n">
        <v>0</v>
      </c>
      <c r="AT911" s="48" t="n">
        <v>0</v>
      </c>
      <c r="AU911" s="49" t="n">
        <v>0</v>
      </c>
      <c r="AV911" s="49" t="n">
        <v>0</v>
      </c>
      <c r="AW911" s="50" t="n">
        <v>0</v>
      </c>
      <c r="AX911" s="51" t="n">
        <v>0</v>
      </c>
      <c r="AY911" s="52" t="n">
        <v>0</v>
      </c>
      <c r="AZ911" s="52" t="n">
        <v>0</v>
      </c>
      <c r="BA911" s="52" t="n">
        <v>0</v>
      </c>
      <c r="BB911" s="53" t="n">
        <v>0</v>
      </c>
      <c r="BC911" s="52" t="n">
        <v>0</v>
      </c>
      <c r="BD911" s="53" t="n">
        <v>0</v>
      </c>
      <c r="BE911" s="52" t="n">
        <v>0</v>
      </c>
      <c r="BF911" s="51" t="n">
        <v>0</v>
      </c>
    </row>
    <row r="912">
      <c r="A912">
        <f>HYPERLINK("https://www.walmart.com/ip/982952917", "982952917")</f>
        <v/>
      </c>
      <c r="B912" t="inlineStr">
        <is>
          <t>Medium Pet Travel Backpack Carrier for Dogs Cat Animal Puppy, Breathable Mesh Net Removable Sherpa Bed Outdoor Carrier f</t>
        </is>
      </c>
      <c r="C912" t="inlineStr">
        <is>
          <t>1TRPB200BK</t>
        </is>
      </c>
      <c r="D912" t="inlineStr">
        <is>
          <t>Pet Carriers</t>
        </is>
      </c>
      <c r="E912" t="inlineStr">
        <is>
          <t>Kato</t>
        </is>
      </c>
      <c r="F912" t="inlineStr">
        <is>
          <t>Optimized,WFS,WFS Item</t>
        </is>
      </c>
      <c r="G912" s="48" t="n">
        <v>0</v>
      </c>
      <c r="H912" s="49" t="n">
        <v>0</v>
      </c>
      <c r="I912" s="49" t="n">
        <v>0</v>
      </c>
      <c r="J912" s="50" t="n">
        <v>0</v>
      </c>
      <c r="K912" s="51" t="n">
        <v>0</v>
      </c>
      <c r="L912" s="52" t="n">
        <v>0</v>
      </c>
      <c r="M912" s="52" t="n">
        <v>0</v>
      </c>
      <c r="N912" s="52" t="n">
        <v>0</v>
      </c>
      <c r="O912" s="53" t="n">
        <v>0</v>
      </c>
      <c r="P912" s="52" t="n">
        <v>0</v>
      </c>
      <c r="Q912" s="53" t="n">
        <v>0</v>
      </c>
      <c r="R912" s="52" t="n">
        <v>0</v>
      </c>
      <c r="S912" s="51" t="n">
        <v>0</v>
      </c>
      <c r="T912" s="48" t="n">
        <v>0</v>
      </c>
      <c r="U912" s="49" t="n">
        <v>0</v>
      </c>
      <c r="V912" s="49" t="n">
        <v>0</v>
      </c>
      <c r="W912" s="50" t="n">
        <v>0</v>
      </c>
      <c r="X912" s="51" t="n">
        <v>0</v>
      </c>
      <c r="Y912" s="52" t="n">
        <v>0</v>
      </c>
      <c r="Z912" s="52" t="n">
        <v>0</v>
      </c>
      <c r="AA912" s="52" t="n">
        <v>0</v>
      </c>
      <c r="AB912" s="53" t="n">
        <v>0</v>
      </c>
      <c r="AC912" s="52" t="n">
        <v>0</v>
      </c>
      <c r="AD912" s="53" t="n">
        <v>0</v>
      </c>
      <c r="AE912" s="52" t="n">
        <v>0</v>
      </c>
      <c r="AF912" s="51" t="n">
        <v>0</v>
      </c>
      <c r="AG912" s="48" t="n">
        <v>0</v>
      </c>
      <c r="AH912" s="49" t="n">
        <v>0</v>
      </c>
      <c r="AI912" s="49" t="n">
        <v>0</v>
      </c>
      <c r="AJ912" s="50" t="n">
        <v>0</v>
      </c>
      <c r="AK912" s="51" t="n">
        <v>0</v>
      </c>
      <c r="AL912" s="52" t="n">
        <v>0</v>
      </c>
      <c r="AM912" s="52" t="n">
        <v>0</v>
      </c>
      <c r="AN912" s="52" t="n">
        <v>0</v>
      </c>
      <c r="AO912" s="53" t="n">
        <v>0</v>
      </c>
      <c r="AP912" s="52" t="n">
        <v>0</v>
      </c>
      <c r="AQ912" s="53" t="n">
        <v>0</v>
      </c>
      <c r="AR912" s="52" t="n">
        <v>0</v>
      </c>
      <c r="AS912" s="51" t="n">
        <v>0</v>
      </c>
      <c r="AT912" s="48" t="n">
        <v>0</v>
      </c>
      <c r="AU912" s="49" t="n">
        <v>0</v>
      </c>
      <c r="AV912" s="49" t="n">
        <v>0</v>
      </c>
      <c r="AW912" s="50" t="n">
        <v>0</v>
      </c>
      <c r="AX912" s="51" t="n">
        <v>0</v>
      </c>
      <c r="AY912" s="52" t="n">
        <v>0</v>
      </c>
      <c r="AZ912" s="52" t="n">
        <v>0</v>
      </c>
      <c r="BA912" s="52" t="n">
        <v>0</v>
      </c>
      <c r="BB912" s="53" t="n">
        <v>0</v>
      </c>
      <c r="BC912" s="52" t="n">
        <v>0</v>
      </c>
      <c r="BD912" s="53" t="n">
        <v>0</v>
      </c>
      <c r="BE912" s="52" t="n">
        <v>0</v>
      </c>
      <c r="BF912" s="51" t="n">
        <v>0</v>
      </c>
    </row>
    <row r="913">
      <c r="A913">
        <f>HYPERLINK("https://www.walmart.com/ip/984001524", "984001524")</f>
        <v/>
      </c>
      <c r="B913" t="inlineStr">
        <is>
          <t>Microplush Sherpa Blanket with Sleeves for Women and Men Black</t>
        </is>
      </c>
      <c r="C913" t="inlineStr">
        <is>
          <t>1TNSN110BK-TPB</t>
        </is>
      </c>
      <c r="D913" t="inlineStr">
        <is>
          <t>Throws</t>
        </is>
      </c>
      <c r="E913" t="inlineStr">
        <is>
          <t>Terrania</t>
        </is>
      </c>
      <c r="G913" s="48" t="n">
        <v>0</v>
      </c>
      <c r="H913" s="49" t="n">
        <v>0</v>
      </c>
      <c r="I913" s="49" t="n">
        <v>0</v>
      </c>
      <c r="J913" s="50" t="n">
        <v>0</v>
      </c>
      <c r="K913" s="51" t="n">
        <v>0</v>
      </c>
      <c r="L913" s="52" t="n">
        <v>0</v>
      </c>
      <c r="M913" s="52" t="n">
        <v>0</v>
      </c>
      <c r="N913" s="52" t="n">
        <v>0</v>
      </c>
      <c r="O913" s="53" t="n">
        <v>0</v>
      </c>
      <c r="P913" s="52" t="n">
        <v>0</v>
      </c>
      <c r="Q913" s="53" t="n">
        <v>0</v>
      </c>
      <c r="R913" s="52" t="n">
        <v>0</v>
      </c>
      <c r="S913" s="51" t="n">
        <v>0</v>
      </c>
      <c r="T913" s="48" t="n">
        <v>0</v>
      </c>
      <c r="U913" s="49" t="n">
        <v>0</v>
      </c>
      <c r="V913" s="49" t="n">
        <v>0</v>
      </c>
      <c r="W913" s="50" t="n">
        <v>0</v>
      </c>
      <c r="X913" s="51" t="n">
        <v>0</v>
      </c>
      <c r="Y913" s="52" t="n">
        <v>0</v>
      </c>
      <c r="Z913" s="52" t="n">
        <v>0</v>
      </c>
      <c r="AA913" s="52" t="n">
        <v>0</v>
      </c>
      <c r="AB913" s="53" t="n">
        <v>0</v>
      </c>
      <c r="AC913" s="52" t="n">
        <v>0</v>
      </c>
      <c r="AD913" s="53" t="n">
        <v>0</v>
      </c>
      <c r="AE913" s="52" t="n">
        <v>0</v>
      </c>
      <c r="AF913" s="51" t="n">
        <v>0</v>
      </c>
      <c r="AG913" s="48" t="n">
        <v>0</v>
      </c>
      <c r="AH913" s="49" t="n">
        <v>0</v>
      </c>
      <c r="AI913" s="49" t="n">
        <v>0</v>
      </c>
      <c r="AJ913" s="50" t="n">
        <v>0</v>
      </c>
      <c r="AK913" s="51" t="n">
        <v>0</v>
      </c>
      <c r="AL913" s="52" t="n">
        <v>0</v>
      </c>
      <c r="AM913" s="52" t="n">
        <v>0</v>
      </c>
      <c r="AN913" s="52" t="n">
        <v>0</v>
      </c>
      <c r="AO913" s="53" t="n">
        <v>0</v>
      </c>
      <c r="AP913" s="52" t="n">
        <v>0</v>
      </c>
      <c r="AQ913" s="53" t="n">
        <v>0</v>
      </c>
      <c r="AR913" s="52" t="n">
        <v>0</v>
      </c>
      <c r="AS913" s="51" t="n">
        <v>0</v>
      </c>
      <c r="AT913" s="48" t="n">
        <v>0</v>
      </c>
      <c r="AU913" s="49" t="n">
        <v>0</v>
      </c>
      <c r="AV913" s="49" t="n">
        <v>0</v>
      </c>
      <c r="AW913" s="50" t="n">
        <v>0</v>
      </c>
      <c r="AX913" s="51" t="n">
        <v>0</v>
      </c>
      <c r="AY913" s="52" t="n">
        <v>0</v>
      </c>
      <c r="AZ913" s="52" t="n">
        <v>0</v>
      </c>
      <c r="BA913" s="52" t="n">
        <v>0</v>
      </c>
      <c r="BB913" s="53" t="n">
        <v>0</v>
      </c>
      <c r="BC913" s="52" t="n">
        <v>0</v>
      </c>
      <c r="BD913" s="53" t="n">
        <v>0</v>
      </c>
      <c r="BE913" s="52" t="n">
        <v>0</v>
      </c>
      <c r="BF913" s="51" t="n">
        <v>0</v>
      </c>
    </row>
    <row r="914">
      <c r="A914">
        <f>HYPERLINK("https://www.walmart.com/ip/984075304", "984075304")</f>
        <v/>
      </c>
      <c r="B914" t="inlineStr">
        <is>
          <t>Orico® 5 Ports USB Quick-acting Travel Wall Charger for iPhone 6s LG Cell Phone</t>
        </is>
      </c>
      <c r="C914" t="inlineStr">
        <is>
          <t>ORICO DCH-5U BK</t>
        </is>
      </c>
      <c r="D914" t="inlineStr">
        <is>
          <t>USB Hubs</t>
        </is>
      </c>
      <c r="E914" t="inlineStr">
        <is>
          <t>ORICO</t>
        </is>
      </c>
      <c r="F914" t="inlineStr">
        <is>
          <t>Batch 1 - TR</t>
        </is>
      </c>
      <c r="G914" s="48" t="n">
        <v>0</v>
      </c>
      <c r="H914" s="49" t="n">
        <v>0</v>
      </c>
      <c r="I914" s="49" t="n">
        <v>0</v>
      </c>
      <c r="J914" s="50" t="n">
        <v>0</v>
      </c>
      <c r="K914" s="51" t="n">
        <v>0</v>
      </c>
      <c r="L914" s="52" t="n">
        <v>0</v>
      </c>
      <c r="M914" s="52" t="n">
        <v>0</v>
      </c>
      <c r="N914" s="52" t="n">
        <v>0</v>
      </c>
      <c r="O914" s="53" t="n">
        <v>0</v>
      </c>
      <c r="P914" s="52" t="n">
        <v>0</v>
      </c>
      <c r="Q914" s="53" t="n">
        <v>0</v>
      </c>
      <c r="R914" s="52" t="n">
        <v>0</v>
      </c>
      <c r="S914" s="51" t="n">
        <v>0</v>
      </c>
      <c r="T914" s="48" t="n">
        <v>0</v>
      </c>
      <c r="U914" s="49" t="n">
        <v>0</v>
      </c>
      <c r="V914" s="49" t="n">
        <v>0</v>
      </c>
      <c r="W914" s="50" t="n">
        <v>0</v>
      </c>
      <c r="X914" s="51" t="n">
        <v>0</v>
      </c>
      <c r="Y914" s="52" t="n">
        <v>0</v>
      </c>
      <c r="Z914" s="52" t="n">
        <v>0</v>
      </c>
      <c r="AA914" s="52" t="n">
        <v>0</v>
      </c>
      <c r="AB914" s="53" t="n">
        <v>0</v>
      </c>
      <c r="AC914" s="52" t="n">
        <v>0</v>
      </c>
      <c r="AD914" s="53" t="n">
        <v>0</v>
      </c>
      <c r="AE914" s="52" t="n">
        <v>0</v>
      </c>
      <c r="AF914" s="51" t="n">
        <v>0</v>
      </c>
      <c r="AG914" s="48" t="n">
        <v>0</v>
      </c>
      <c r="AH914" s="49" t="n">
        <v>0</v>
      </c>
      <c r="AI914" s="49" t="n">
        <v>0</v>
      </c>
      <c r="AJ914" s="50" t="n">
        <v>0</v>
      </c>
      <c r="AK914" s="51" t="n">
        <v>0</v>
      </c>
      <c r="AL914" s="52" t="n">
        <v>0</v>
      </c>
      <c r="AM914" s="52" t="n">
        <v>0</v>
      </c>
      <c r="AN914" s="52" t="n">
        <v>0</v>
      </c>
      <c r="AO914" s="53" t="n">
        <v>0</v>
      </c>
      <c r="AP914" s="52" t="n">
        <v>0</v>
      </c>
      <c r="AQ914" s="53" t="n">
        <v>0</v>
      </c>
      <c r="AR914" s="52" t="n">
        <v>0</v>
      </c>
      <c r="AS914" s="51" t="n">
        <v>0</v>
      </c>
      <c r="AT914" s="48" t="n">
        <v>0</v>
      </c>
      <c r="AU914" s="49" t="n">
        <v>0</v>
      </c>
      <c r="AV914" s="49" t="n">
        <v>0</v>
      </c>
      <c r="AW914" s="50" t="n">
        <v>0</v>
      </c>
      <c r="AX914" s="51" t="n">
        <v>0</v>
      </c>
      <c r="AY914" s="52" t="n">
        <v>0</v>
      </c>
      <c r="AZ914" s="52" t="n">
        <v>0</v>
      </c>
      <c r="BA914" s="52" t="n">
        <v>0</v>
      </c>
      <c r="BB914" s="53" t="n">
        <v>0</v>
      </c>
      <c r="BC914" s="52" t="n">
        <v>0</v>
      </c>
      <c r="BD914" s="53" t="n">
        <v>0</v>
      </c>
      <c r="BE914" s="52" t="n">
        <v>0</v>
      </c>
      <c r="BF914" s="51" t="n">
        <v>0</v>
      </c>
    </row>
    <row r="915">
      <c r="A915">
        <f>HYPERLINK("https://www.walmart.com/ip/984636091", "984636091")</f>
        <v/>
      </c>
      <c r="B915" t="inlineStr">
        <is>
          <t>Pawsse Sherpa Dog Blanket, Puppy Sunggle Blanket,Plush Micro Fleece Pet Throws for Small Animals Large Size 60"x49", Black</t>
        </is>
      </c>
      <c r="C915" t="inlineStr">
        <is>
          <t>1PSBF560BKLT</t>
        </is>
      </c>
      <c r="D915" t="inlineStr">
        <is>
          <t>Pet Blankets</t>
        </is>
      </c>
      <c r="E915" t="inlineStr">
        <is>
          <t>Pawsse</t>
        </is>
      </c>
      <c r="F915" t="inlineStr">
        <is>
          <t>Q2-Target,Optimized,WFS,WFS Item</t>
        </is>
      </c>
      <c r="G915" s="48" t="n">
        <v>0</v>
      </c>
      <c r="H915" s="49" t="n">
        <v>0</v>
      </c>
      <c r="I915" s="49" t="n">
        <v>0</v>
      </c>
      <c r="J915" s="50" t="n">
        <v>0</v>
      </c>
      <c r="K915" s="51" t="n">
        <v>12</v>
      </c>
      <c r="L915" s="52" t="n">
        <v>4.2</v>
      </c>
      <c r="M915" s="52" t="n">
        <v>0</v>
      </c>
      <c r="N915" s="52" t="n">
        <v>0</v>
      </c>
      <c r="O915" s="53" t="n">
        <v>0.0013</v>
      </c>
      <c r="P915" s="52" t="n">
        <v>0.35</v>
      </c>
      <c r="Q915" s="53" t="n">
        <v>0</v>
      </c>
      <c r="R915" s="52" t="n">
        <v>0</v>
      </c>
      <c r="S915" s="51" t="n">
        <v>9310</v>
      </c>
      <c r="T915" s="48" t="n">
        <v>0</v>
      </c>
      <c r="U915" s="49" t="n">
        <v>0</v>
      </c>
      <c r="V915" s="49" t="n">
        <v>0</v>
      </c>
      <c r="W915" s="50" t="n">
        <v>0</v>
      </c>
      <c r="X915" s="51" t="n">
        <v>11</v>
      </c>
      <c r="Y915" s="52" t="n">
        <v>3.85</v>
      </c>
      <c r="Z915" s="52" t="n">
        <v>0</v>
      </c>
      <c r="AA915" s="52" t="n">
        <v>0</v>
      </c>
      <c r="AB915" s="53" t="n">
        <v>0.0009</v>
      </c>
      <c r="AC915" s="52" t="n">
        <v>0.35</v>
      </c>
      <c r="AD915" s="53" t="n">
        <v>0</v>
      </c>
      <c r="AE915" s="52" t="n">
        <v>0</v>
      </c>
      <c r="AF915" s="51" t="n">
        <v>12491</v>
      </c>
      <c r="AG915" s="48" t="n">
        <v>0</v>
      </c>
      <c r="AH915" s="49" t="n">
        <v>0</v>
      </c>
      <c r="AI915" s="49" t="n">
        <v>0</v>
      </c>
      <c r="AJ915" s="50" t="n">
        <v>0</v>
      </c>
      <c r="AK915" s="51" t="n">
        <v>13</v>
      </c>
      <c r="AL915" s="52" t="n">
        <v>4.55</v>
      </c>
      <c r="AM915" s="52" t="n">
        <v>0</v>
      </c>
      <c r="AN915" s="52" t="n">
        <v>0</v>
      </c>
      <c r="AO915" s="53" t="n">
        <v>0.0011</v>
      </c>
      <c r="AP915" s="52" t="n">
        <v>0.35</v>
      </c>
      <c r="AQ915" s="53" t="n">
        <v>0</v>
      </c>
      <c r="AR915" s="52" t="n">
        <v>0</v>
      </c>
      <c r="AS915" s="51" t="n">
        <v>11912</v>
      </c>
      <c r="AT915" s="48" t="n">
        <v>0</v>
      </c>
      <c r="AU915" s="49" t="n">
        <v>0</v>
      </c>
      <c r="AV915" s="49" t="n">
        <v>0</v>
      </c>
      <c r="AW915" s="50" t="n">
        <v>0</v>
      </c>
      <c r="AX915" s="51" t="n">
        <v>9</v>
      </c>
      <c r="AY915" s="52" t="n">
        <v>3.15</v>
      </c>
      <c r="AZ915" s="52" t="n">
        <v>0</v>
      </c>
      <c r="BA915" s="52" t="n">
        <v>0</v>
      </c>
      <c r="BB915" s="53" t="n">
        <v>0.001</v>
      </c>
      <c r="BC915" s="52" t="n">
        <v>0.35</v>
      </c>
      <c r="BD915" s="53" t="n">
        <v>0</v>
      </c>
      <c r="BE915" s="52" t="n">
        <v>0</v>
      </c>
      <c r="BF915" s="51" t="n">
        <v>9184</v>
      </c>
    </row>
    <row r="916">
      <c r="A916">
        <f>HYPERLINK("https://www.walmart.com/ip/986246942", "986246942")</f>
        <v/>
      </c>
      <c r="B916" t="inlineStr">
        <is>
          <t>Tirrinia Women Floppy Straw Sun Hat Foldable Wide Brim Striped Beach Cap for Female, Great Gifts for Mother's Day, Beige</t>
        </is>
      </c>
      <c r="C916" t="inlineStr">
        <is>
          <t>1TRSH371BE-TBCB</t>
        </is>
      </c>
      <c r="D916" t="inlineStr">
        <is>
          <t>Hats</t>
        </is>
      </c>
      <c r="E916" t="inlineStr">
        <is>
          <t>Tirrinia</t>
        </is>
      </c>
      <c r="F916" t="inlineStr">
        <is>
          <t>Q2-Target,Hats,Batch 1 - TR</t>
        </is>
      </c>
      <c r="G916" s="48" t="n">
        <v>0</v>
      </c>
      <c r="H916" s="49" t="n">
        <v>0</v>
      </c>
      <c r="I916" s="49" t="n">
        <v>0</v>
      </c>
      <c r="J916" s="50" t="n">
        <v>0</v>
      </c>
      <c r="K916" s="51" t="n">
        <v>0</v>
      </c>
      <c r="L916" s="52" t="n">
        <v>0</v>
      </c>
      <c r="M916" s="52" t="n">
        <v>0</v>
      </c>
      <c r="N916" s="52" t="n">
        <v>0</v>
      </c>
      <c r="O916" s="53" t="n">
        <v>0</v>
      </c>
      <c r="P916" s="52" t="n">
        <v>0</v>
      </c>
      <c r="Q916" s="53" t="n">
        <v>0</v>
      </c>
      <c r="R916" s="52" t="n">
        <v>0</v>
      </c>
      <c r="S916" s="51" t="n">
        <v>0</v>
      </c>
      <c r="T916" s="48" t="n">
        <v>0</v>
      </c>
      <c r="U916" s="49" t="n">
        <v>0</v>
      </c>
      <c r="V916" s="49" t="n">
        <v>0</v>
      </c>
      <c r="W916" s="50" t="n">
        <v>0</v>
      </c>
      <c r="X916" s="51" t="n">
        <v>0</v>
      </c>
      <c r="Y916" s="52" t="n">
        <v>0</v>
      </c>
      <c r="Z916" s="52" t="n">
        <v>0</v>
      </c>
      <c r="AA916" s="52" t="n">
        <v>0</v>
      </c>
      <c r="AB916" s="53" t="n">
        <v>0</v>
      </c>
      <c r="AC916" s="52" t="n">
        <v>0</v>
      </c>
      <c r="AD916" s="53" t="n">
        <v>0</v>
      </c>
      <c r="AE916" s="52" t="n">
        <v>0</v>
      </c>
      <c r="AF916" s="51" t="n">
        <v>0</v>
      </c>
      <c r="AG916" s="48" t="n">
        <v>0</v>
      </c>
      <c r="AH916" s="49" t="n">
        <v>0</v>
      </c>
      <c r="AI916" s="49" t="n">
        <v>0</v>
      </c>
      <c r="AJ916" s="50" t="n">
        <v>0</v>
      </c>
      <c r="AK916" s="51" t="n">
        <v>0</v>
      </c>
      <c r="AL916" s="52" t="n">
        <v>0</v>
      </c>
      <c r="AM916" s="52" t="n">
        <v>0</v>
      </c>
      <c r="AN916" s="52" t="n">
        <v>0</v>
      </c>
      <c r="AO916" s="53" t="n">
        <v>0</v>
      </c>
      <c r="AP916" s="52" t="n">
        <v>0</v>
      </c>
      <c r="AQ916" s="53" t="n">
        <v>0</v>
      </c>
      <c r="AR916" s="52" t="n">
        <v>0</v>
      </c>
      <c r="AS916" s="51" t="n">
        <v>0</v>
      </c>
      <c r="AT916" s="48" t="n">
        <v>0</v>
      </c>
      <c r="AU916" s="49" t="n">
        <v>0</v>
      </c>
      <c r="AV916" s="49" t="n">
        <v>0</v>
      </c>
      <c r="AW916" s="50" t="n">
        <v>0</v>
      </c>
      <c r="AX916" s="51" t="n">
        <v>0</v>
      </c>
      <c r="AY916" s="52" t="n">
        <v>0</v>
      </c>
      <c r="AZ916" s="52" t="n">
        <v>0</v>
      </c>
      <c r="BA916" s="52" t="n">
        <v>0</v>
      </c>
      <c r="BB916" s="53" t="n">
        <v>0</v>
      </c>
      <c r="BC916" s="52" t="n">
        <v>0</v>
      </c>
      <c r="BD916" s="53" t="n">
        <v>0</v>
      </c>
      <c r="BE916" s="52" t="n">
        <v>0</v>
      </c>
      <c r="BF916" s="51" t="n">
        <v>0</v>
      </c>
    </row>
    <row r="917">
      <c r="A917">
        <f>HYPERLINK("https://www.walmart.com/ip/987797268", "987797268")</f>
        <v/>
      </c>
      <c r="B917" t="inlineStr">
        <is>
          <t>Catalonia Red Plaid Sherpa Throw Blanket, Super Soft Throw for Sofa Couch Bed, TV Blanket, Micro Mink Fleece Plush, Comfy Cozy Fluffy Warm, Holiday Gift (60x50 Inches, Buffalo)</t>
        </is>
      </c>
      <c r="C917" t="inlineStr">
        <is>
          <t>1CTBF568PRDBL</t>
        </is>
      </c>
      <c r="D917" t="inlineStr">
        <is>
          <t>Throws</t>
        </is>
      </c>
      <c r="E917" t="inlineStr">
        <is>
          <t>Catalonia</t>
        </is>
      </c>
      <c r="F917" t="inlineStr">
        <is>
          <t>Q2-Target,WFS,Coupon_Discount,WFS Item</t>
        </is>
      </c>
      <c r="G917" s="48" t="n">
        <v>0</v>
      </c>
      <c r="H917" s="49" t="n">
        <v>0</v>
      </c>
      <c r="I917" s="49" t="n">
        <v>0</v>
      </c>
      <c r="J917" s="50" t="n">
        <v>0</v>
      </c>
      <c r="K917" s="51" t="n">
        <v>0</v>
      </c>
      <c r="L917" s="52" t="n">
        <v>0</v>
      </c>
      <c r="M917" s="52" t="n">
        <v>0</v>
      </c>
      <c r="N917" s="52" t="n">
        <v>0</v>
      </c>
      <c r="O917" s="53" t="n">
        <v>0</v>
      </c>
      <c r="P917" s="52" t="n">
        <v>0</v>
      </c>
      <c r="Q917" s="53" t="n">
        <v>0</v>
      </c>
      <c r="R917" s="52" t="n">
        <v>0</v>
      </c>
      <c r="S917" s="51" t="n">
        <v>0</v>
      </c>
      <c r="T917" s="48" t="n">
        <v>0</v>
      </c>
      <c r="U917" s="49" t="n">
        <v>0</v>
      </c>
      <c r="V917" s="49" t="n">
        <v>0</v>
      </c>
      <c r="W917" s="50" t="n">
        <v>0</v>
      </c>
      <c r="X917" s="51" t="n">
        <v>0</v>
      </c>
      <c r="Y917" s="52" t="n">
        <v>0</v>
      </c>
      <c r="Z917" s="52" t="n">
        <v>0</v>
      </c>
      <c r="AA917" s="52" t="n">
        <v>0</v>
      </c>
      <c r="AB917" s="53" t="n">
        <v>0</v>
      </c>
      <c r="AC917" s="52" t="n">
        <v>0</v>
      </c>
      <c r="AD917" s="53" t="n">
        <v>0</v>
      </c>
      <c r="AE917" s="52" t="n">
        <v>0</v>
      </c>
      <c r="AF917" s="51" t="n">
        <v>0</v>
      </c>
      <c r="AG917" s="48" t="n">
        <v>0</v>
      </c>
      <c r="AH917" s="49" t="n">
        <v>0</v>
      </c>
      <c r="AI917" s="49" t="n">
        <v>0</v>
      </c>
      <c r="AJ917" s="50" t="n">
        <v>0</v>
      </c>
      <c r="AK917" s="51" t="n">
        <v>0</v>
      </c>
      <c r="AL917" s="52" t="n">
        <v>0</v>
      </c>
      <c r="AM917" s="52" t="n">
        <v>0</v>
      </c>
      <c r="AN917" s="52" t="n">
        <v>0</v>
      </c>
      <c r="AO917" s="53" t="n">
        <v>0</v>
      </c>
      <c r="AP917" s="52" t="n">
        <v>0</v>
      </c>
      <c r="AQ917" s="53" t="n">
        <v>0</v>
      </c>
      <c r="AR917" s="52" t="n">
        <v>0</v>
      </c>
      <c r="AS917" s="51" t="n">
        <v>0</v>
      </c>
      <c r="AT917" s="48" t="n">
        <v>0</v>
      </c>
      <c r="AU917" s="49" t="n">
        <v>0</v>
      </c>
      <c r="AV917" s="49" t="n">
        <v>0</v>
      </c>
      <c r="AW917" s="50" t="n">
        <v>0</v>
      </c>
      <c r="AX917" s="51" t="n">
        <v>0</v>
      </c>
      <c r="AY917" s="52" t="n">
        <v>0</v>
      </c>
      <c r="AZ917" s="52" t="n">
        <v>0</v>
      </c>
      <c r="BA917" s="52" t="n">
        <v>0</v>
      </c>
      <c r="BB917" s="53" t="n">
        <v>0</v>
      </c>
      <c r="BC917" s="52" t="n">
        <v>0</v>
      </c>
      <c r="BD917" s="53" t="n">
        <v>0</v>
      </c>
      <c r="BE917" s="52" t="n">
        <v>0</v>
      </c>
      <c r="BF917" s="51" t="n">
        <v>0</v>
      </c>
    </row>
    <row r="918">
      <c r="A918">
        <f>HYPERLINK("https://www.walmart.com/ip/988194071", "988194071")</f>
        <v/>
      </c>
      <c r="B918" t="inlineStr">
        <is>
          <t>Women’s Swim Bathing Suit Cover Up, Summer Chiffon Maxi Beach Dress Skirt</t>
        </is>
      </c>
      <c r="C918" t="inlineStr">
        <is>
          <t>1WMDS100GN</t>
        </is>
      </c>
      <c r="D918" t="inlineStr">
        <is>
          <t>Swimwear Cover-Ups</t>
        </is>
      </c>
      <c r="E918" t="inlineStr">
        <is>
          <t>Flyingstar</t>
        </is>
      </c>
      <c r="F918" t="inlineStr">
        <is>
          <t>Batch 1 - TR</t>
        </is>
      </c>
      <c r="G918" s="48" t="n">
        <v>0</v>
      </c>
      <c r="H918" s="49" t="n">
        <v>0</v>
      </c>
      <c r="I918" s="49" t="n">
        <v>0</v>
      </c>
      <c r="J918" s="50" t="n">
        <v>0</v>
      </c>
      <c r="K918" s="51" t="n">
        <v>0</v>
      </c>
      <c r="L918" s="52" t="n">
        <v>0</v>
      </c>
      <c r="M918" s="52" t="n">
        <v>0</v>
      </c>
      <c r="N918" s="52" t="n">
        <v>0</v>
      </c>
      <c r="O918" s="53" t="n">
        <v>0</v>
      </c>
      <c r="P918" s="52" t="n">
        <v>0</v>
      </c>
      <c r="Q918" s="53" t="n">
        <v>0</v>
      </c>
      <c r="R918" s="52" t="n">
        <v>0</v>
      </c>
      <c r="S918" s="51" t="n">
        <v>0</v>
      </c>
      <c r="T918" s="48" t="n">
        <v>0</v>
      </c>
      <c r="U918" s="49" t="n">
        <v>0</v>
      </c>
      <c r="V918" s="49" t="n">
        <v>0</v>
      </c>
      <c r="W918" s="50" t="n">
        <v>0</v>
      </c>
      <c r="X918" s="51" t="n">
        <v>0</v>
      </c>
      <c r="Y918" s="52" t="n">
        <v>0</v>
      </c>
      <c r="Z918" s="52" t="n">
        <v>0</v>
      </c>
      <c r="AA918" s="52" t="n">
        <v>0</v>
      </c>
      <c r="AB918" s="53" t="n">
        <v>0</v>
      </c>
      <c r="AC918" s="52" t="n">
        <v>0</v>
      </c>
      <c r="AD918" s="53" t="n">
        <v>0</v>
      </c>
      <c r="AE918" s="52" t="n">
        <v>0</v>
      </c>
      <c r="AF918" s="51" t="n">
        <v>0</v>
      </c>
      <c r="AG918" s="48" t="n">
        <v>0</v>
      </c>
      <c r="AH918" s="49" t="n">
        <v>0</v>
      </c>
      <c r="AI918" s="49" t="n">
        <v>0</v>
      </c>
      <c r="AJ918" s="50" t="n">
        <v>0</v>
      </c>
      <c r="AK918" s="51" t="n">
        <v>0</v>
      </c>
      <c r="AL918" s="52" t="n">
        <v>0</v>
      </c>
      <c r="AM918" s="52" t="n">
        <v>0</v>
      </c>
      <c r="AN918" s="52" t="n">
        <v>0</v>
      </c>
      <c r="AO918" s="53" t="n">
        <v>0</v>
      </c>
      <c r="AP918" s="52" t="n">
        <v>0</v>
      </c>
      <c r="AQ918" s="53" t="n">
        <v>0</v>
      </c>
      <c r="AR918" s="52" t="n">
        <v>0</v>
      </c>
      <c r="AS918" s="51" t="n">
        <v>0</v>
      </c>
      <c r="AT918" s="48" t="n">
        <v>0</v>
      </c>
      <c r="AU918" s="49" t="n">
        <v>0</v>
      </c>
      <c r="AV918" s="49" t="n">
        <v>0</v>
      </c>
      <c r="AW918" s="50" t="n">
        <v>0</v>
      </c>
      <c r="AX918" s="51" t="n">
        <v>0</v>
      </c>
      <c r="AY918" s="52" t="n">
        <v>0</v>
      </c>
      <c r="AZ918" s="52" t="n">
        <v>0</v>
      </c>
      <c r="BA918" s="52" t="n">
        <v>0</v>
      </c>
      <c r="BB918" s="53" t="n">
        <v>0</v>
      </c>
      <c r="BC918" s="52" t="n">
        <v>0</v>
      </c>
      <c r="BD918" s="53" t="n">
        <v>0</v>
      </c>
      <c r="BE918" s="52" t="n">
        <v>0</v>
      </c>
      <c r="BF918" s="51" t="n">
        <v>0</v>
      </c>
    </row>
    <row r="919">
      <c r="A919">
        <f>HYPERLINK("https://www.walmart.com/ip/988235552", "988235552")</f>
        <v/>
      </c>
      <c r="B919" t="inlineStr">
        <is>
          <t>Two-Piece Ladies Tankini Swimsuit for Women Swimsuits by Tirrinia</t>
        </is>
      </c>
      <c r="C919" t="inlineStr">
        <is>
          <t>1TRSS003BL-L</t>
        </is>
      </c>
      <c r="D919" t="inlineStr">
        <is>
          <t>Swimsuit Sets</t>
        </is>
      </c>
      <c r="E919" t="inlineStr">
        <is>
          <t>Tirrinia</t>
        </is>
      </c>
      <c r="G919" s="48" t="n">
        <v>0</v>
      </c>
      <c r="H919" s="49" t="n">
        <v>0</v>
      </c>
      <c r="I919" s="49" t="n">
        <v>0</v>
      </c>
      <c r="J919" s="50" t="n">
        <v>0</v>
      </c>
      <c r="K919" s="51" t="n">
        <v>0</v>
      </c>
      <c r="L919" s="52" t="n">
        <v>0</v>
      </c>
      <c r="M919" s="52" t="n">
        <v>0</v>
      </c>
      <c r="N919" s="52" t="n">
        <v>0</v>
      </c>
      <c r="O919" s="53" t="n">
        <v>0</v>
      </c>
      <c r="P919" s="52" t="n">
        <v>0</v>
      </c>
      <c r="Q919" s="53" t="n">
        <v>0</v>
      </c>
      <c r="R919" s="52" t="n">
        <v>0</v>
      </c>
      <c r="S919" s="51" t="n">
        <v>0</v>
      </c>
      <c r="T919" s="48" t="n">
        <v>0</v>
      </c>
      <c r="U919" s="49" t="n">
        <v>0</v>
      </c>
      <c r="V919" s="49" t="n">
        <v>0</v>
      </c>
      <c r="W919" s="50" t="n">
        <v>0</v>
      </c>
      <c r="X919" s="51" t="n">
        <v>0</v>
      </c>
      <c r="Y919" s="52" t="n">
        <v>0</v>
      </c>
      <c r="Z919" s="52" t="n">
        <v>0</v>
      </c>
      <c r="AA919" s="52" t="n">
        <v>0</v>
      </c>
      <c r="AB919" s="53" t="n">
        <v>0</v>
      </c>
      <c r="AC919" s="52" t="n">
        <v>0</v>
      </c>
      <c r="AD919" s="53" t="n">
        <v>0</v>
      </c>
      <c r="AE919" s="52" t="n">
        <v>0</v>
      </c>
      <c r="AF919" s="51" t="n">
        <v>0</v>
      </c>
      <c r="AG919" s="48" t="n">
        <v>0</v>
      </c>
      <c r="AH919" s="49" t="n">
        <v>0</v>
      </c>
      <c r="AI919" s="49" t="n">
        <v>0</v>
      </c>
      <c r="AJ919" s="50" t="n">
        <v>0</v>
      </c>
      <c r="AK919" s="51" t="n">
        <v>0</v>
      </c>
      <c r="AL919" s="52" t="n">
        <v>0</v>
      </c>
      <c r="AM919" s="52" t="n">
        <v>0</v>
      </c>
      <c r="AN919" s="52" t="n">
        <v>0</v>
      </c>
      <c r="AO919" s="53" t="n">
        <v>0</v>
      </c>
      <c r="AP919" s="52" t="n">
        <v>0</v>
      </c>
      <c r="AQ919" s="53" t="n">
        <v>0</v>
      </c>
      <c r="AR919" s="52" t="n">
        <v>0</v>
      </c>
      <c r="AS919" s="51" t="n">
        <v>0</v>
      </c>
      <c r="AT919" s="48" t="n">
        <v>0</v>
      </c>
      <c r="AU919" s="49" t="n">
        <v>0</v>
      </c>
      <c r="AV919" s="49" t="n">
        <v>0</v>
      </c>
      <c r="AW919" s="50" t="n">
        <v>0</v>
      </c>
      <c r="AX919" s="51" t="n">
        <v>0</v>
      </c>
      <c r="AY919" s="52" t="n">
        <v>0</v>
      </c>
      <c r="AZ919" s="52" t="n">
        <v>0</v>
      </c>
      <c r="BA919" s="52" t="n">
        <v>0</v>
      </c>
      <c r="BB919" s="53" t="n">
        <v>0</v>
      </c>
      <c r="BC919" s="52" t="n">
        <v>0</v>
      </c>
      <c r="BD919" s="53" t="n">
        <v>0</v>
      </c>
      <c r="BE919" s="52" t="n">
        <v>0</v>
      </c>
      <c r="BF919" s="51" t="n">
        <v>0</v>
      </c>
    </row>
    <row r="920">
      <c r="A920">
        <f>HYPERLINK("https://www.walmart.com/ip/988389373", "988389373")</f>
        <v/>
      </c>
      <c r="B920" t="inlineStr">
        <is>
          <t>Catalonia Wearable TV Blanket with Sleeves Arms Micro Plush Fleece Wrap Throw Robe 73 x 51”</t>
        </is>
      </c>
      <c r="C920" t="inlineStr">
        <is>
          <t>1CTSN100WN</t>
        </is>
      </c>
      <c r="D920" t="inlineStr">
        <is>
          <t>Throws</t>
        </is>
      </c>
      <c r="E920" t="inlineStr">
        <is>
          <t>Catalonia</t>
        </is>
      </c>
      <c r="F920" t="inlineStr">
        <is>
          <t>WFS,Coupon_Discount,WFS Item</t>
        </is>
      </c>
      <c r="G920" s="48" t="n">
        <v>0</v>
      </c>
      <c r="H920" s="49" t="n">
        <v>0</v>
      </c>
      <c r="I920" s="49" t="n">
        <v>0</v>
      </c>
      <c r="J920" s="50" t="n">
        <v>0</v>
      </c>
      <c r="K920" s="51" t="n">
        <v>0</v>
      </c>
      <c r="L920" s="52" t="n">
        <v>0</v>
      </c>
      <c r="M920" s="52" t="n">
        <v>0</v>
      </c>
      <c r="N920" s="52" t="n">
        <v>0</v>
      </c>
      <c r="O920" s="53" t="n">
        <v>0</v>
      </c>
      <c r="P920" s="52" t="n">
        <v>0</v>
      </c>
      <c r="Q920" s="53" t="n">
        <v>0</v>
      </c>
      <c r="R920" s="52" t="n">
        <v>0</v>
      </c>
      <c r="S920" s="51" t="n">
        <v>0</v>
      </c>
      <c r="T920" s="48" t="n">
        <v>0</v>
      </c>
      <c r="U920" s="49" t="n">
        <v>0</v>
      </c>
      <c r="V920" s="49" t="n">
        <v>0</v>
      </c>
      <c r="W920" s="50" t="n">
        <v>0</v>
      </c>
      <c r="X920" s="51" t="n">
        <v>0</v>
      </c>
      <c r="Y920" s="52" t="n">
        <v>0</v>
      </c>
      <c r="Z920" s="52" t="n">
        <v>0</v>
      </c>
      <c r="AA920" s="52" t="n">
        <v>0</v>
      </c>
      <c r="AB920" s="53" t="n">
        <v>0</v>
      </c>
      <c r="AC920" s="52" t="n">
        <v>0</v>
      </c>
      <c r="AD920" s="53" t="n">
        <v>0</v>
      </c>
      <c r="AE920" s="52" t="n">
        <v>0</v>
      </c>
      <c r="AF920" s="51" t="n">
        <v>0</v>
      </c>
      <c r="AG920" s="48" t="n">
        <v>0</v>
      </c>
      <c r="AH920" s="49" t="n">
        <v>0</v>
      </c>
      <c r="AI920" s="49" t="n">
        <v>0</v>
      </c>
      <c r="AJ920" s="50" t="n">
        <v>0</v>
      </c>
      <c r="AK920" s="51" t="n">
        <v>0</v>
      </c>
      <c r="AL920" s="52" t="n">
        <v>0</v>
      </c>
      <c r="AM920" s="52" t="n">
        <v>0</v>
      </c>
      <c r="AN920" s="52" t="n">
        <v>0</v>
      </c>
      <c r="AO920" s="53" t="n">
        <v>0</v>
      </c>
      <c r="AP920" s="52" t="n">
        <v>0</v>
      </c>
      <c r="AQ920" s="53" t="n">
        <v>0</v>
      </c>
      <c r="AR920" s="52" t="n">
        <v>0</v>
      </c>
      <c r="AS920" s="51" t="n">
        <v>0</v>
      </c>
      <c r="AT920" s="48" t="n">
        <v>0</v>
      </c>
      <c r="AU920" s="49" t="n">
        <v>0</v>
      </c>
      <c r="AV920" s="49" t="n">
        <v>0</v>
      </c>
      <c r="AW920" s="50" t="n">
        <v>0</v>
      </c>
      <c r="AX920" s="51" t="n">
        <v>0</v>
      </c>
      <c r="AY920" s="52" t="n">
        <v>0</v>
      </c>
      <c r="AZ920" s="52" t="n">
        <v>0</v>
      </c>
      <c r="BA920" s="52" t="n">
        <v>0</v>
      </c>
      <c r="BB920" s="53" t="n">
        <v>0</v>
      </c>
      <c r="BC920" s="52" t="n">
        <v>0</v>
      </c>
      <c r="BD920" s="53" t="n">
        <v>0</v>
      </c>
      <c r="BE920" s="52" t="n">
        <v>0</v>
      </c>
      <c r="BF920" s="51" t="n">
        <v>0</v>
      </c>
    </row>
    <row r="921">
      <c r="A921">
        <f>HYPERLINK("https://www.walmart.com/ip/989130878", "989130878")</f>
        <v/>
      </c>
      <c r="B921" t="inlineStr">
        <is>
          <t>Flyingstar Sherpa Throws Blanket, Fleece Soft Cozy Blanket Throws for Sofa Bed 50"x60"</t>
        </is>
      </c>
      <c r="C921" t="inlineStr">
        <is>
          <t>1WMBF571XMAS</t>
        </is>
      </c>
      <c r="D921" t="inlineStr">
        <is>
          <t>Throws</t>
        </is>
      </c>
      <c r="E921" t="inlineStr">
        <is>
          <t>Flyingstar</t>
        </is>
      </c>
      <c r="F921" t="inlineStr">
        <is>
          <t>Christmas</t>
        </is>
      </c>
      <c r="G921" s="48" t="n">
        <v>0</v>
      </c>
      <c r="H921" s="49" t="n">
        <v>0</v>
      </c>
      <c r="I921" s="49" t="n">
        <v>0</v>
      </c>
      <c r="J921" s="50" t="n">
        <v>0</v>
      </c>
      <c r="K921" s="51" t="n">
        <v>0</v>
      </c>
      <c r="L921" s="52" t="n">
        <v>0</v>
      </c>
      <c r="M921" s="52" t="n">
        <v>0</v>
      </c>
      <c r="N921" s="52" t="n">
        <v>0</v>
      </c>
      <c r="O921" s="53" t="n">
        <v>0</v>
      </c>
      <c r="P921" s="52" t="n">
        <v>0</v>
      </c>
      <c r="Q921" s="53" t="n">
        <v>0</v>
      </c>
      <c r="R921" s="52" t="n">
        <v>0</v>
      </c>
      <c r="S921" s="51" t="n">
        <v>0</v>
      </c>
      <c r="T921" s="48" t="n">
        <v>0</v>
      </c>
      <c r="U921" s="49" t="n">
        <v>0</v>
      </c>
      <c r="V921" s="49" t="n">
        <v>0</v>
      </c>
      <c r="W921" s="50" t="n">
        <v>0</v>
      </c>
      <c r="X921" s="51" t="n">
        <v>0</v>
      </c>
      <c r="Y921" s="52" t="n">
        <v>0</v>
      </c>
      <c r="Z921" s="52" t="n">
        <v>0</v>
      </c>
      <c r="AA921" s="52" t="n">
        <v>0</v>
      </c>
      <c r="AB921" s="53" t="n">
        <v>0</v>
      </c>
      <c r="AC921" s="52" t="n">
        <v>0</v>
      </c>
      <c r="AD921" s="53" t="n">
        <v>0</v>
      </c>
      <c r="AE921" s="52" t="n">
        <v>0</v>
      </c>
      <c r="AF921" s="51" t="n">
        <v>0</v>
      </c>
      <c r="AG921" s="48" t="n">
        <v>0</v>
      </c>
      <c r="AH921" s="49" t="n">
        <v>0</v>
      </c>
      <c r="AI921" s="49" t="n">
        <v>0</v>
      </c>
      <c r="AJ921" s="50" t="n">
        <v>0</v>
      </c>
      <c r="AK921" s="51" t="n">
        <v>0</v>
      </c>
      <c r="AL921" s="52" t="n">
        <v>0</v>
      </c>
      <c r="AM921" s="52" t="n">
        <v>0</v>
      </c>
      <c r="AN921" s="52" t="n">
        <v>0</v>
      </c>
      <c r="AO921" s="53" t="n">
        <v>0</v>
      </c>
      <c r="AP921" s="52" t="n">
        <v>0</v>
      </c>
      <c r="AQ921" s="53" t="n">
        <v>0</v>
      </c>
      <c r="AR921" s="52" t="n">
        <v>0</v>
      </c>
      <c r="AS921" s="51" t="n">
        <v>0</v>
      </c>
      <c r="AT921" s="48" t="n">
        <v>0</v>
      </c>
      <c r="AU921" s="49" t="n">
        <v>0</v>
      </c>
      <c r="AV921" s="49" t="n">
        <v>0</v>
      </c>
      <c r="AW921" s="50" t="n">
        <v>0</v>
      </c>
      <c r="AX921" s="51" t="n">
        <v>0</v>
      </c>
      <c r="AY921" s="52" t="n">
        <v>0</v>
      </c>
      <c r="AZ921" s="52" t="n">
        <v>0</v>
      </c>
      <c r="BA921" s="52" t="n">
        <v>0</v>
      </c>
      <c r="BB921" s="53" t="n">
        <v>0</v>
      </c>
      <c r="BC921" s="52" t="n">
        <v>0</v>
      </c>
      <c r="BD921" s="53" t="n">
        <v>0</v>
      </c>
      <c r="BE921" s="52" t="n">
        <v>0</v>
      </c>
      <c r="BF921" s="51" t="n">
        <v>0</v>
      </c>
    </row>
    <row r="922">
      <c r="A922">
        <f>HYPERLINK("https://www.walmart.com/ip/989386397", "989386397")</f>
        <v/>
      </c>
      <c r="B922" t="inlineStr">
        <is>
          <t>Youth Reflective Knit Beanie Hat For Sports Warm</t>
        </is>
      </c>
      <c r="C922" t="inlineStr">
        <is>
          <t>1SLBN01PP-FSCB</t>
        </is>
      </c>
      <c r="D922" t="inlineStr">
        <is>
          <t>Hats</t>
        </is>
      </c>
      <c r="E922" t="inlineStr">
        <is>
          <t>Solaris</t>
        </is>
      </c>
      <c r="F922" t="inlineStr">
        <is>
          <t>Optimized</t>
        </is>
      </c>
      <c r="G922" s="48" t="n">
        <v>0</v>
      </c>
      <c r="H922" s="49" t="n">
        <v>0</v>
      </c>
      <c r="I922" s="49" t="n">
        <v>0</v>
      </c>
      <c r="J922" s="50" t="n">
        <v>0</v>
      </c>
      <c r="K922" s="51" t="n">
        <v>0</v>
      </c>
      <c r="L922" s="52" t="n">
        <v>0</v>
      </c>
      <c r="M922" s="52" t="n">
        <v>0</v>
      </c>
      <c r="N922" s="52" t="n">
        <v>0</v>
      </c>
      <c r="O922" s="53" t="n">
        <v>0</v>
      </c>
      <c r="P922" s="52" t="n">
        <v>0</v>
      </c>
      <c r="Q922" s="53" t="n">
        <v>0</v>
      </c>
      <c r="R922" s="52" t="n">
        <v>0</v>
      </c>
      <c r="S922" s="51" t="n">
        <v>0</v>
      </c>
      <c r="T922" s="48" t="n">
        <v>0</v>
      </c>
      <c r="U922" s="49" t="n">
        <v>0</v>
      </c>
      <c r="V922" s="49" t="n">
        <v>0</v>
      </c>
      <c r="W922" s="50" t="n">
        <v>0</v>
      </c>
      <c r="X922" s="51" t="n">
        <v>0</v>
      </c>
      <c r="Y922" s="52" t="n">
        <v>0</v>
      </c>
      <c r="Z922" s="52" t="n">
        <v>0</v>
      </c>
      <c r="AA922" s="52" t="n">
        <v>0</v>
      </c>
      <c r="AB922" s="53" t="n">
        <v>0</v>
      </c>
      <c r="AC922" s="52" t="n">
        <v>0</v>
      </c>
      <c r="AD922" s="53" t="n">
        <v>0</v>
      </c>
      <c r="AE922" s="52" t="n">
        <v>0</v>
      </c>
      <c r="AF922" s="51" t="n">
        <v>0</v>
      </c>
      <c r="AG922" s="48" t="n">
        <v>0</v>
      </c>
      <c r="AH922" s="49" t="n">
        <v>0</v>
      </c>
      <c r="AI922" s="49" t="n">
        <v>0</v>
      </c>
      <c r="AJ922" s="50" t="n">
        <v>0</v>
      </c>
      <c r="AK922" s="51" t="n">
        <v>0</v>
      </c>
      <c r="AL922" s="52" t="n">
        <v>0</v>
      </c>
      <c r="AM922" s="52" t="n">
        <v>0</v>
      </c>
      <c r="AN922" s="52" t="n">
        <v>0</v>
      </c>
      <c r="AO922" s="53" t="n">
        <v>0</v>
      </c>
      <c r="AP922" s="52" t="n">
        <v>0</v>
      </c>
      <c r="AQ922" s="53" t="n">
        <v>0</v>
      </c>
      <c r="AR922" s="52" t="n">
        <v>0</v>
      </c>
      <c r="AS922" s="51" t="n">
        <v>0</v>
      </c>
      <c r="AT922" s="48" t="n">
        <v>0</v>
      </c>
      <c r="AU922" s="49" t="n">
        <v>0</v>
      </c>
      <c r="AV922" s="49" t="n">
        <v>0</v>
      </c>
      <c r="AW922" s="50" t="n">
        <v>0</v>
      </c>
      <c r="AX922" s="51" t="n">
        <v>0</v>
      </c>
      <c r="AY922" s="52" t="n">
        <v>0</v>
      </c>
      <c r="AZ922" s="52" t="n">
        <v>0</v>
      </c>
      <c r="BA922" s="52" t="n">
        <v>0</v>
      </c>
      <c r="BB922" s="53" t="n">
        <v>0</v>
      </c>
      <c r="BC922" s="52" t="n">
        <v>0</v>
      </c>
      <c r="BD922" s="53" t="n">
        <v>0</v>
      </c>
      <c r="BE922" s="52" t="n">
        <v>0</v>
      </c>
      <c r="BF922" s="51" t="n">
        <v>0</v>
      </c>
    </row>
    <row r="923">
      <c r="A923">
        <f>HYPERLINK("https://www.walmart.com/ip/989796392", "989796392")</f>
        <v/>
      </c>
      <c r="B923" t="inlineStr">
        <is>
          <t>3 Pack Wine Purse Replacement Bags - 3L, BPA Free Reusable Refillable Wine Replacement Storage Pouch with Spout, Portable Wine/Drink Disposable Beverage Bladders, Perfect for Travel Camping Hiking</t>
        </is>
      </c>
      <c r="C923" t="inlineStr">
        <is>
          <t>1TRLSB300SL-3PK</t>
        </is>
      </c>
      <c r="D923" t="inlineStr">
        <is>
          <t>Wine Totes, Bags &amp; Backpacks</t>
        </is>
      </c>
      <c r="E923" t="inlineStr">
        <is>
          <t>Tirrinia</t>
        </is>
      </c>
      <c r="F923" t="inlineStr">
        <is>
          <t>Optimized</t>
        </is>
      </c>
      <c r="G923" s="48" t="n">
        <v>0</v>
      </c>
      <c r="H923" s="49" t="n">
        <v>0</v>
      </c>
      <c r="I923" s="49" t="n">
        <v>0</v>
      </c>
      <c r="J923" s="50" t="n">
        <v>0</v>
      </c>
      <c r="K923" s="51" t="n">
        <v>0</v>
      </c>
      <c r="L923" s="52" t="n">
        <v>0</v>
      </c>
      <c r="M923" s="52" t="n">
        <v>0</v>
      </c>
      <c r="N923" s="52" t="n">
        <v>0</v>
      </c>
      <c r="O923" s="53" t="n">
        <v>0</v>
      </c>
      <c r="P923" s="52" t="n">
        <v>0</v>
      </c>
      <c r="Q923" s="53" t="n">
        <v>0</v>
      </c>
      <c r="R923" s="52" t="n">
        <v>0</v>
      </c>
      <c r="S923" s="51" t="n">
        <v>0</v>
      </c>
      <c r="T923" s="48" t="n">
        <v>0</v>
      </c>
      <c r="U923" s="49" t="n">
        <v>0</v>
      </c>
      <c r="V923" s="49" t="n">
        <v>0</v>
      </c>
      <c r="W923" s="50" t="n">
        <v>0</v>
      </c>
      <c r="X923" s="51" t="n">
        <v>0</v>
      </c>
      <c r="Y923" s="52" t="n">
        <v>0</v>
      </c>
      <c r="Z923" s="52" t="n">
        <v>0</v>
      </c>
      <c r="AA923" s="52" t="n">
        <v>0</v>
      </c>
      <c r="AB923" s="53" t="n">
        <v>0</v>
      </c>
      <c r="AC923" s="52" t="n">
        <v>0</v>
      </c>
      <c r="AD923" s="53" t="n">
        <v>0</v>
      </c>
      <c r="AE923" s="52" t="n">
        <v>0</v>
      </c>
      <c r="AF923" s="51" t="n">
        <v>0</v>
      </c>
      <c r="AG923" s="48" t="n">
        <v>0</v>
      </c>
      <c r="AH923" s="49" t="n">
        <v>0</v>
      </c>
      <c r="AI923" s="49" t="n">
        <v>0</v>
      </c>
      <c r="AJ923" s="50" t="n">
        <v>0</v>
      </c>
      <c r="AK923" s="51" t="n">
        <v>0</v>
      </c>
      <c r="AL923" s="52" t="n">
        <v>0</v>
      </c>
      <c r="AM923" s="52" t="n">
        <v>0</v>
      </c>
      <c r="AN923" s="52" t="n">
        <v>0</v>
      </c>
      <c r="AO923" s="53" t="n">
        <v>0</v>
      </c>
      <c r="AP923" s="52" t="n">
        <v>0</v>
      </c>
      <c r="AQ923" s="53" t="n">
        <v>0</v>
      </c>
      <c r="AR923" s="52" t="n">
        <v>0</v>
      </c>
      <c r="AS923" s="51" t="n">
        <v>0</v>
      </c>
      <c r="AT923" s="48" t="n">
        <v>0</v>
      </c>
      <c r="AU923" s="49" t="n">
        <v>0</v>
      </c>
      <c r="AV923" s="49" t="n">
        <v>0</v>
      </c>
      <c r="AW923" s="50" t="n">
        <v>0</v>
      </c>
      <c r="AX923" s="51" t="n">
        <v>0</v>
      </c>
      <c r="AY923" s="52" t="n">
        <v>0</v>
      </c>
      <c r="AZ923" s="52" t="n">
        <v>0</v>
      </c>
      <c r="BA923" s="52" t="n">
        <v>0</v>
      </c>
      <c r="BB923" s="53" t="n">
        <v>0</v>
      </c>
      <c r="BC923" s="52" t="n">
        <v>0</v>
      </c>
      <c r="BD923" s="53" t="n">
        <v>0</v>
      </c>
      <c r="BE923" s="52" t="n">
        <v>0</v>
      </c>
      <c r="BF923" s="51" t="n">
        <v>0</v>
      </c>
    </row>
    <row r="924">
      <c r="A924">
        <f>HYPERLINK("https://www.walmart.com/ip/990640353", "990640353")</f>
        <v/>
      </c>
      <c r="B924" t="inlineStr">
        <is>
          <t>Tirrina Unisex Outdoor Sun Protection Fishing Cap with Neck Flap Wide Brim Mesh Hat for Travel Camping Hiking Hunting</t>
        </is>
      </c>
      <c r="C924" t="inlineStr">
        <is>
          <t>1TRSH9150DIGIGN-TBCB</t>
        </is>
      </c>
      <c r="D924" t="inlineStr">
        <is>
          <t>Hats</t>
        </is>
      </c>
      <c r="E924" t="inlineStr">
        <is>
          <t>Tirrinia</t>
        </is>
      </c>
      <c r="F924" t="inlineStr">
        <is>
          <t>Hats,ST Patrick Day</t>
        </is>
      </c>
      <c r="G924" s="48" t="n">
        <v>0</v>
      </c>
      <c r="H924" s="49" t="n">
        <v>0</v>
      </c>
      <c r="I924" s="49" t="n">
        <v>0</v>
      </c>
      <c r="J924" s="50" t="n">
        <v>0</v>
      </c>
      <c r="K924" s="51" t="n">
        <v>0</v>
      </c>
      <c r="L924" s="52" t="n">
        <v>0</v>
      </c>
      <c r="M924" s="52" t="n">
        <v>0</v>
      </c>
      <c r="N924" s="52" t="n">
        <v>0</v>
      </c>
      <c r="O924" s="53" t="n">
        <v>0</v>
      </c>
      <c r="P924" s="52" t="n">
        <v>0</v>
      </c>
      <c r="Q924" s="53" t="n">
        <v>0</v>
      </c>
      <c r="R924" s="52" t="n">
        <v>0</v>
      </c>
      <c r="S924" s="51" t="n">
        <v>0</v>
      </c>
      <c r="T924" s="48" t="n">
        <v>0</v>
      </c>
      <c r="U924" s="49" t="n">
        <v>0</v>
      </c>
      <c r="V924" s="49" t="n">
        <v>0</v>
      </c>
      <c r="W924" s="50" t="n">
        <v>0</v>
      </c>
      <c r="X924" s="51" t="n">
        <v>0</v>
      </c>
      <c r="Y924" s="52" t="n">
        <v>0</v>
      </c>
      <c r="Z924" s="52" t="n">
        <v>0</v>
      </c>
      <c r="AA924" s="52" t="n">
        <v>0</v>
      </c>
      <c r="AB924" s="53" t="n">
        <v>0</v>
      </c>
      <c r="AC924" s="52" t="n">
        <v>0</v>
      </c>
      <c r="AD924" s="53" t="n">
        <v>0</v>
      </c>
      <c r="AE924" s="52" t="n">
        <v>0</v>
      </c>
      <c r="AF924" s="51" t="n">
        <v>0</v>
      </c>
      <c r="AG924" s="48" t="n">
        <v>0</v>
      </c>
      <c r="AH924" s="49" t="n">
        <v>0</v>
      </c>
      <c r="AI924" s="49" t="n">
        <v>0</v>
      </c>
      <c r="AJ924" s="50" t="n">
        <v>0</v>
      </c>
      <c r="AK924" s="51" t="n">
        <v>0</v>
      </c>
      <c r="AL924" s="52" t="n">
        <v>0</v>
      </c>
      <c r="AM924" s="52" t="n">
        <v>0</v>
      </c>
      <c r="AN924" s="52" t="n">
        <v>0</v>
      </c>
      <c r="AO924" s="53" t="n">
        <v>0</v>
      </c>
      <c r="AP924" s="52" t="n">
        <v>0</v>
      </c>
      <c r="AQ924" s="53" t="n">
        <v>0</v>
      </c>
      <c r="AR924" s="52" t="n">
        <v>0</v>
      </c>
      <c r="AS924" s="51" t="n">
        <v>0</v>
      </c>
      <c r="AT924" s="48" t="n">
        <v>0</v>
      </c>
      <c r="AU924" s="49" t="n">
        <v>0</v>
      </c>
      <c r="AV924" s="49" t="n">
        <v>0</v>
      </c>
      <c r="AW924" s="50" t="n">
        <v>0</v>
      </c>
      <c r="AX924" s="51" t="n">
        <v>0</v>
      </c>
      <c r="AY924" s="52" t="n">
        <v>0</v>
      </c>
      <c r="AZ924" s="52" t="n">
        <v>0</v>
      </c>
      <c r="BA924" s="52" t="n">
        <v>0</v>
      </c>
      <c r="BB924" s="53" t="n">
        <v>0</v>
      </c>
      <c r="BC924" s="52" t="n">
        <v>0</v>
      </c>
      <c r="BD924" s="53" t="n">
        <v>0</v>
      </c>
      <c r="BE924" s="52" t="n">
        <v>0</v>
      </c>
      <c r="BF924" s="51" t="n">
        <v>0</v>
      </c>
    </row>
    <row r="925">
      <c r="A925">
        <f>HYPERLINK("https://www.walmart.com/ip/991203599", "991203599")</f>
        <v/>
      </c>
      <c r="B925" t="inlineStr">
        <is>
          <t>Catalonia Wearable Blanket with Sleeves and Pocket, Cozy Soft Fleece Micro Plush Wrap Adult Snuggie Blanket Robe for Women Men, Makes a Great Gift for Holidays, Green</t>
        </is>
      </c>
      <c r="C925" t="inlineStr">
        <is>
          <t>1CTSN100GN</t>
        </is>
      </c>
      <c r="D925" t="inlineStr">
        <is>
          <t>Throws</t>
        </is>
      </c>
      <c r="E925" t="inlineStr">
        <is>
          <t>Catalonia</t>
        </is>
      </c>
      <c r="F925" t="inlineStr">
        <is>
          <t>WFS,WFS Item</t>
        </is>
      </c>
      <c r="G925" s="48" t="n">
        <v>0</v>
      </c>
      <c r="H925" s="49" t="n">
        <v>0</v>
      </c>
      <c r="I925" s="49" t="n">
        <v>0</v>
      </c>
      <c r="J925" s="50" t="n">
        <v>0</v>
      </c>
      <c r="K925" s="51" t="n">
        <v>0</v>
      </c>
      <c r="L925" s="52" t="n">
        <v>0</v>
      </c>
      <c r="M925" s="52" t="n">
        <v>0</v>
      </c>
      <c r="N925" s="52" t="n">
        <v>0</v>
      </c>
      <c r="O925" s="53" t="n">
        <v>0</v>
      </c>
      <c r="P925" s="52" t="n">
        <v>0</v>
      </c>
      <c r="Q925" s="53" t="n">
        <v>0</v>
      </c>
      <c r="R925" s="52" t="n">
        <v>0</v>
      </c>
      <c r="S925" s="51" t="n">
        <v>0</v>
      </c>
      <c r="T925" s="48" t="n">
        <v>0</v>
      </c>
      <c r="U925" s="49" t="n">
        <v>0</v>
      </c>
      <c r="V925" s="49" t="n">
        <v>0</v>
      </c>
      <c r="W925" s="50" t="n">
        <v>0</v>
      </c>
      <c r="X925" s="51" t="n">
        <v>0</v>
      </c>
      <c r="Y925" s="52" t="n">
        <v>0</v>
      </c>
      <c r="Z925" s="52" t="n">
        <v>0</v>
      </c>
      <c r="AA925" s="52" t="n">
        <v>0</v>
      </c>
      <c r="AB925" s="53" t="n">
        <v>0</v>
      </c>
      <c r="AC925" s="52" t="n">
        <v>0</v>
      </c>
      <c r="AD925" s="53" t="n">
        <v>0</v>
      </c>
      <c r="AE925" s="52" t="n">
        <v>0</v>
      </c>
      <c r="AF925" s="51" t="n">
        <v>0</v>
      </c>
      <c r="AG925" s="48" t="n">
        <v>0</v>
      </c>
      <c r="AH925" s="49" t="n">
        <v>0</v>
      </c>
      <c r="AI925" s="49" t="n">
        <v>0</v>
      </c>
      <c r="AJ925" s="50" t="n">
        <v>0</v>
      </c>
      <c r="AK925" s="51" t="n">
        <v>0</v>
      </c>
      <c r="AL925" s="52" t="n">
        <v>0</v>
      </c>
      <c r="AM925" s="52" t="n">
        <v>0</v>
      </c>
      <c r="AN925" s="52" t="n">
        <v>0</v>
      </c>
      <c r="AO925" s="53" t="n">
        <v>0</v>
      </c>
      <c r="AP925" s="52" t="n">
        <v>0</v>
      </c>
      <c r="AQ925" s="53" t="n">
        <v>0</v>
      </c>
      <c r="AR925" s="52" t="n">
        <v>0</v>
      </c>
      <c r="AS925" s="51" t="n">
        <v>0</v>
      </c>
      <c r="AT925" s="48" t="n">
        <v>0</v>
      </c>
      <c r="AU925" s="49" t="n">
        <v>0</v>
      </c>
      <c r="AV925" s="49" t="n">
        <v>0</v>
      </c>
      <c r="AW925" s="50" t="n">
        <v>0</v>
      </c>
      <c r="AX925" s="51" t="n">
        <v>0</v>
      </c>
      <c r="AY925" s="52" t="n">
        <v>0</v>
      </c>
      <c r="AZ925" s="52" t="n">
        <v>0</v>
      </c>
      <c r="BA925" s="52" t="n">
        <v>0</v>
      </c>
      <c r="BB925" s="53" t="n">
        <v>0</v>
      </c>
      <c r="BC925" s="52" t="n">
        <v>0</v>
      </c>
      <c r="BD925" s="53" t="n">
        <v>0</v>
      </c>
      <c r="BE925" s="52" t="n">
        <v>0</v>
      </c>
      <c r="BF925" s="51" t="n">
        <v>0</v>
      </c>
    </row>
    <row r="926">
      <c r="A926">
        <f>HYPERLINK("https://www.walmart.com/ip/961035708", "961035708")</f>
        <v/>
      </c>
      <c r="B926" t="inlineStr">
        <is>
          <t>Catalonia Sherpa Throws Blanket, Super Soft Comfy Fluffy Fuzzy Fleece Plush Blanket for Sofa Couch Bed Reversible All Season for Adults Children 50”x60”, Chevron Wine</t>
        </is>
      </c>
      <c r="C926" t="inlineStr">
        <is>
          <t>1CTBF320WN</t>
        </is>
      </c>
      <c r="D926" t="inlineStr">
        <is>
          <t>Throws</t>
        </is>
      </c>
      <c r="E926" t="inlineStr">
        <is>
          <t>Catalonia</t>
        </is>
      </c>
      <c r="F926" t="inlineStr">
        <is>
          <t>Q2-Target,WFS,Coupon_Discount,WFS Item</t>
        </is>
      </c>
      <c r="G926" s="48" t="n">
        <v>0</v>
      </c>
      <c r="H926" s="49" t="n">
        <v>0</v>
      </c>
      <c r="I926" s="49" t="n">
        <v>0</v>
      </c>
      <c r="J926" s="50" t="n">
        <v>0</v>
      </c>
      <c r="K926" s="51" t="n">
        <v>0</v>
      </c>
      <c r="L926" s="52" t="n">
        <v>0</v>
      </c>
      <c r="M926" s="52" t="n">
        <v>0</v>
      </c>
      <c r="N926" s="52" t="n">
        <v>0</v>
      </c>
      <c r="O926" s="53" t="n">
        <v>0</v>
      </c>
      <c r="P926" s="52" t="n">
        <v>0</v>
      </c>
      <c r="Q926" s="53" t="n">
        <v>0</v>
      </c>
      <c r="R926" s="52" t="n">
        <v>0</v>
      </c>
      <c r="S926" s="51" t="n">
        <v>0</v>
      </c>
      <c r="T926" s="48" t="n">
        <v>0</v>
      </c>
      <c r="U926" s="49" t="n">
        <v>0</v>
      </c>
      <c r="V926" s="49" t="n">
        <v>0</v>
      </c>
      <c r="W926" s="50" t="n">
        <v>0</v>
      </c>
      <c r="X926" s="51" t="n">
        <v>0</v>
      </c>
      <c r="Y926" s="52" t="n">
        <v>0</v>
      </c>
      <c r="Z926" s="52" t="n">
        <v>0</v>
      </c>
      <c r="AA926" s="52" t="n">
        <v>0</v>
      </c>
      <c r="AB926" s="53" t="n">
        <v>0</v>
      </c>
      <c r="AC926" s="52" t="n">
        <v>0</v>
      </c>
      <c r="AD926" s="53" t="n">
        <v>0</v>
      </c>
      <c r="AE926" s="52" t="n">
        <v>0</v>
      </c>
      <c r="AF926" s="51" t="n">
        <v>0</v>
      </c>
      <c r="AG926" s="48" t="n">
        <v>0</v>
      </c>
      <c r="AH926" s="49" t="n">
        <v>0</v>
      </c>
      <c r="AI926" s="49" t="n">
        <v>0</v>
      </c>
      <c r="AJ926" s="50" t="n">
        <v>0</v>
      </c>
      <c r="AK926" s="51" t="n">
        <v>0</v>
      </c>
      <c r="AL926" s="52" t="n">
        <v>0</v>
      </c>
      <c r="AM926" s="52" t="n">
        <v>0</v>
      </c>
      <c r="AN926" s="52" t="n">
        <v>0</v>
      </c>
      <c r="AO926" s="53" t="n">
        <v>0</v>
      </c>
      <c r="AP926" s="52" t="n">
        <v>0</v>
      </c>
      <c r="AQ926" s="53" t="n">
        <v>0</v>
      </c>
      <c r="AR926" s="52" t="n">
        <v>0</v>
      </c>
      <c r="AS926" s="51" t="n">
        <v>0</v>
      </c>
      <c r="AT926" s="48" t="n">
        <v>0</v>
      </c>
      <c r="AU926" s="49" t="n">
        <v>0</v>
      </c>
      <c r="AV926" s="49" t="n">
        <v>0</v>
      </c>
      <c r="AW926" s="50" t="n">
        <v>0</v>
      </c>
      <c r="AX926" s="51" t="n">
        <v>0</v>
      </c>
      <c r="AY926" s="52" t="n">
        <v>0</v>
      </c>
      <c r="AZ926" s="52" t="n">
        <v>0</v>
      </c>
      <c r="BA926" s="52" t="n">
        <v>0</v>
      </c>
      <c r="BB926" s="53" t="n">
        <v>0</v>
      </c>
      <c r="BC926" s="52" t="n">
        <v>0</v>
      </c>
      <c r="BD926" s="53" t="n">
        <v>0</v>
      </c>
      <c r="BE926" s="52" t="n">
        <v>0</v>
      </c>
      <c r="BF926" s="51" t="n">
        <v>0</v>
      </c>
    </row>
    <row r="927">
      <c r="A927">
        <f>HYPERLINK("https://www.walmart.com/ip/960610317", "960610317")</f>
        <v/>
      </c>
      <c r="B927" t="inlineStr">
        <is>
          <t>Kato Wine Bottle Opener Set, 5 Pcs Wine Corkscrew Screwpull Accessories Kit with Drink Stickers by Kato, Perfect Wedding Gifts for Wine Lover &amp; Drinker, Silver</t>
        </is>
      </c>
      <c r="C927" t="inlineStr">
        <is>
          <t>1KTWO501SLBK</t>
        </is>
      </c>
      <c r="D927" t="inlineStr">
        <is>
          <t>Barware Sets</t>
        </is>
      </c>
      <c r="E927" t="inlineStr">
        <is>
          <t>Kato</t>
        </is>
      </c>
      <c r="F927" t="inlineStr">
        <is>
          <t>Wine,Christmas,WFS,Valentine,SEM,WFS Item</t>
        </is>
      </c>
      <c r="G927" s="48" t="n">
        <v>0</v>
      </c>
      <c r="H927" s="49" t="n">
        <v>0</v>
      </c>
      <c r="I927" s="49" t="n">
        <v>0</v>
      </c>
      <c r="J927" s="50" t="n">
        <v>0</v>
      </c>
      <c r="K927" s="51" t="n">
        <v>0</v>
      </c>
      <c r="L927" s="52" t="n">
        <v>0</v>
      </c>
      <c r="M927" s="52" t="n">
        <v>0</v>
      </c>
      <c r="N927" s="52" t="n">
        <v>0</v>
      </c>
      <c r="O927" s="53" t="n">
        <v>0</v>
      </c>
      <c r="P927" s="52" t="n">
        <v>0</v>
      </c>
      <c r="Q927" s="53" t="n">
        <v>0</v>
      </c>
      <c r="R927" s="52" t="n">
        <v>0</v>
      </c>
      <c r="S927" s="51" t="n">
        <v>0</v>
      </c>
      <c r="T927" s="48" t="n">
        <v>0</v>
      </c>
      <c r="U927" s="49" t="n">
        <v>0</v>
      </c>
      <c r="V927" s="49" t="n">
        <v>0</v>
      </c>
      <c r="W927" s="50" t="n">
        <v>0</v>
      </c>
      <c r="X927" s="51" t="n">
        <v>0</v>
      </c>
      <c r="Y927" s="52" t="n">
        <v>0</v>
      </c>
      <c r="Z927" s="52" t="n">
        <v>0</v>
      </c>
      <c r="AA927" s="52" t="n">
        <v>0</v>
      </c>
      <c r="AB927" s="53" t="n">
        <v>0</v>
      </c>
      <c r="AC927" s="52" t="n">
        <v>0</v>
      </c>
      <c r="AD927" s="53" t="n">
        <v>0</v>
      </c>
      <c r="AE927" s="52" t="n">
        <v>0</v>
      </c>
      <c r="AF927" s="51" t="n">
        <v>0</v>
      </c>
      <c r="AG927" s="48" t="n">
        <v>0</v>
      </c>
      <c r="AH927" s="49" t="n">
        <v>0</v>
      </c>
      <c r="AI927" s="49" t="n">
        <v>0</v>
      </c>
      <c r="AJ927" s="50" t="n">
        <v>0</v>
      </c>
      <c r="AK927" s="51" t="n">
        <v>0</v>
      </c>
      <c r="AL927" s="52" t="n">
        <v>0</v>
      </c>
      <c r="AM927" s="52" t="n">
        <v>0</v>
      </c>
      <c r="AN927" s="52" t="n">
        <v>0</v>
      </c>
      <c r="AO927" s="53" t="n">
        <v>0</v>
      </c>
      <c r="AP927" s="52" t="n">
        <v>0</v>
      </c>
      <c r="AQ927" s="53" t="n">
        <v>0</v>
      </c>
      <c r="AR927" s="52" t="n">
        <v>0</v>
      </c>
      <c r="AS927" s="51" t="n">
        <v>0</v>
      </c>
      <c r="AT927" s="48" t="n">
        <v>0</v>
      </c>
      <c r="AU927" s="49" t="n">
        <v>0</v>
      </c>
      <c r="AV927" s="49" t="n">
        <v>0</v>
      </c>
      <c r="AW927" s="50" t="n">
        <v>0</v>
      </c>
      <c r="AX927" s="51" t="n">
        <v>0</v>
      </c>
      <c r="AY927" s="52" t="n">
        <v>0</v>
      </c>
      <c r="AZ927" s="52" t="n">
        <v>0</v>
      </c>
      <c r="BA927" s="52" t="n">
        <v>0</v>
      </c>
      <c r="BB927" s="53" t="n">
        <v>0</v>
      </c>
      <c r="BC927" s="52" t="n">
        <v>0</v>
      </c>
      <c r="BD927" s="53" t="n">
        <v>0</v>
      </c>
      <c r="BE927" s="52" t="n">
        <v>0</v>
      </c>
      <c r="BF927" s="51" t="n">
        <v>0</v>
      </c>
    </row>
    <row r="928">
      <c r="A928">
        <f>HYPERLINK("https://www.walmart.com/ip/960586307", "960586307")</f>
        <v/>
      </c>
      <c r="B928" t="inlineStr">
        <is>
          <t>Cat Oversized Sherpa Hoodie Blanket Sweatshirt for Women</t>
        </is>
      </c>
      <c r="C928" t="inlineStr">
        <is>
          <t>1WMHD201CAT-DG</t>
        </is>
      </c>
      <c r="D928" t="inlineStr">
        <is>
          <t>Sweatshirts &amp; Hoodies</t>
        </is>
      </c>
      <c r="E928" t="inlineStr">
        <is>
          <t>Flyingstar</t>
        </is>
      </c>
      <c r="F928" t="inlineStr">
        <is>
          <t>Hoodie ForAdult,Optimized</t>
        </is>
      </c>
      <c r="G928" s="48" t="n">
        <v>0</v>
      </c>
      <c r="H928" s="49" t="n">
        <v>0</v>
      </c>
      <c r="I928" s="49" t="n">
        <v>0</v>
      </c>
      <c r="J928" s="50" t="n">
        <v>0</v>
      </c>
      <c r="K928" s="51" t="n">
        <v>0</v>
      </c>
      <c r="L928" s="52" t="n">
        <v>0</v>
      </c>
      <c r="M928" s="52" t="n">
        <v>0</v>
      </c>
      <c r="N928" s="52" t="n">
        <v>0</v>
      </c>
      <c r="O928" s="53" t="n">
        <v>0</v>
      </c>
      <c r="P928" s="52" t="n">
        <v>0</v>
      </c>
      <c r="Q928" s="53" t="n">
        <v>0</v>
      </c>
      <c r="R928" s="52" t="n">
        <v>0</v>
      </c>
      <c r="S928" s="51" t="n">
        <v>0</v>
      </c>
      <c r="T928" s="48" t="n">
        <v>0</v>
      </c>
      <c r="U928" s="49" t="n">
        <v>0</v>
      </c>
      <c r="V928" s="49" t="n">
        <v>0</v>
      </c>
      <c r="W928" s="50" t="n">
        <v>0</v>
      </c>
      <c r="X928" s="51" t="n">
        <v>0</v>
      </c>
      <c r="Y928" s="52" t="n">
        <v>0</v>
      </c>
      <c r="Z928" s="52" t="n">
        <v>0</v>
      </c>
      <c r="AA928" s="52" t="n">
        <v>0</v>
      </c>
      <c r="AB928" s="53" t="n">
        <v>0</v>
      </c>
      <c r="AC928" s="52" t="n">
        <v>0</v>
      </c>
      <c r="AD928" s="53" t="n">
        <v>0</v>
      </c>
      <c r="AE928" s="52" t="n">
        <v>0</v>
      </c>
      <c r="AF928" s="51" t="n">
        <v>0</v>
      </c>
      <c r="AG928" s="48" t="n">
        <v>0</v>
      </c>
      <c r="AH928" s="49" t="n">
        <v>0</v>
      </c>
      <c r="AI928" s="49" t="n">
        <v>0</v>
      </c>
      <c r="AJ928" s="50" t="n">
        <v>0</v>
      </c>
      <c r="AK928" s="51" t="n">
        <v>0</v>
      </c>
      <c r="AL928" s="52" t="n">
        <v>0</v>
      </c>
      <c r="AM928" s="52" t="n">
        <v>0</v>
      </c>
      <c r="AN928" s="52" t="n">
        <v>0</v>
      </c>
      <c r="AO928" s="53" t="n">
        <v>0</v>
      </c>
      <c r="AP928" s="52" t="n">
        <v>0</v>
      </c>
      <c r="AQ928" s="53" t="n">
        <v>0</v>
      </c>
      <c r="AR928" s="52" t="n">
        <v>0</v>
      </c>
      <c r="AS928" s="51" t="n">
        <v>0</v>
      </c>
      <c r="AT928" s="48" t="n">
        <v>0</v>
      </c>
      <c r="AU928" s="49" t="n">
        <v>0</v>
      </c>
      <c r="AV928" s="49" t="n">
        <v>0</v>
      </c>
      <c r="AW928" s="50" t="n">
        <v>0</v>
      </c>
      <c r="AX928" s="51" t="n">
        <v>0</v>
      </c>
      <c r="AY928" s="52" t="n">
        <v>0</v>
      </c>
      <c r="AZ928" s="52" t="n">
        <v>0</v>
      </c>
      <c r="BA928" s="52" t="n">
        <v>0</v>
      </c>
      <c r="BB928" s="53" t="n">
        <v>0</v>
      </c>
      <c r="BC928" s="52" t="n">
        <v>0</v>
      </c>
      <c r="BD928" s="53" t="n">
        <v>0</v>
      </c>
      <c r="BE928" s="52" t="n">
        <v>0</v>
      </c>
      <c r="BF928" s="51" t="n">
        <v>0</v>
      </c>
    </row>
    <row r="929">
      <c r="A929">
        <f>HYPERLINK("https://www.walmart.com/ip/944645543", "944645543")</f>
        <v/>
      </c>
      <c r="B929" t="inlineStr">
        <is>
          <t>Sherpa Slipper Socks for Women,Winter Indoor Home Non Skid Booties</t>
        </is>
      </c>
      <c r="C929" t="inlineStr">
        <is>
          <t>1CTST200HP-1</t>
        </is>
      </c>
      <c r="D929" t="inlineStr">
        <is>
          <t>Socks</t>
        </is>
      </c>
      <c r="E929" t="inlineStr">
        <is>
          <t>Catalonia</t>
        </is>
      </c>
      <c r="F929" t="inlineStr">
        <is>
          <t>WFS,WFS Item</t>
        </is>
      </c>
      <c r="G929" s="48" t="n">
        <v>0</v>
      </c>
      <c r="H929" s="49" t="n">
        <v>0</v>
      </c>
      <c r="I929" s="49" t="n">
        <v>0</v>
      </c>
      <c r="J929" s="50" t="n">
        <v>0</v>
      </c>
      <c r="K929" s="51" t="n">
        <v>0</v>
      </c>
      <c r="L929" s="52" t="n">
        <v>0</v>
      </c>
      <c r="M929" s="52" t="n">
        <v>0</v>
      </c>
      <c r="N929" s="52" t="n">
        <v>0</v>
      </c>
      <c r="O929" s="53" t="n">
        <v>0</v>
      </c>
      <c r="P929" s="52" t="n">
        <v>0</v>
      </c>
      <c r="Q929" s="53" t="n">
        <v>0</v>
      </c>
      <c r="R929" s="52" t="n">
        <v>0</v>
      </c>
      <c r="S929" s="51" t="n">
        <v>0</v>
      </c>
      <c r="T929" s="48" t="n">
        <v>0</v>
      </c>
      <c r="U929" s="49" t="n">
        <v>0</v>
      </c>
      <c r="V929" s="49" t="n">
        <v>0</v>
      </c>
      <c r="W929" s="50" t="n">
        <v>0</v>
      </c>
      <c r="X929" s="51" t="n">
        <v>0</v>
      </c>
      <c r="Y929" s="52" t="n">
        <v>0</v>
      </c>
      <c r="Z929" s="52" t="n">
        <v>0</v>
      </c>
      <c r="AA929" s="52" t="n">
        <v>0</v>
      </c>
      <c r="AB929" s="53" t="n">
        <v>0</v>
      </c>
      <c r="AC929" s="52" t="n">
        <v>0</v>
      </c>
      <c r="AD929" s="53" t="n">
        <v>0</v>
      </c>
      <c r="AE929" s="52" t="n">
        <v>0</v>
      </c>
      <c r="AF929" s="51" t="n">
        <v>0</v>
      </c>
      <c r="AG929" s="48" t="n">
        <v>0</v>
      </c>
      <c r="AH929" s="49" t="n">
        <v>0</v>
      </c>
      <c r="AI929" s="49" t="n">
        <v>0</v>
      </c>
      <c r="AJ929" s="50" t="n">
        <v>0</v>
      </c>
      <c r="AK929" s="51" t="n">
        <v>0</v>
      </c>
      <c r="AL929" s="52" t="n">
        <v>0</v>
      </c>
      <c r="AM929" s="52" t="n">
        <v>0</v>
      </c>
      <c r="AN929" s="52" t="n">
        <v>0</v>
      </c>
      <c r="AO929" s="53" t="n">
        <v>0</v>
      </c>
      <c r="AP929" s="52" t="n">
        <v>0</v>
      </c>
      <c r="AQ929" s="53" t="n">
        <v>0</v>
      </c>
      <c r="AR929" s="52" t="n">
        <v>0</v>
      </c>
      <c r="AS929" s="51" t="n">
        <v>0</v>
      </c>
      <c r="AT929" s="48" t="n">
        <v>0</v>
      </c>
      <c r="AU929" s="49" t="n">
        <v>0</v>
      </c>
      <c r="AV929" s="49" t="n">
        <v>0</v>
      </c>
      <c r="AW929" s="50" t="n">
        <v>0</v>
      </c>
      <c r="AX929" s="51" t="n">
        <v>0</v>
      </c>
      <c r="AY929" s="52" t="n">
        <v>0</v>
      </c>
      <c r="AZ929" s="52" t="n">
        <v>0</v>
      </c>
      <c r="BA929" s="52" t="n">
        <v>0</v>
      </c>
      <c r="BB929" s="53" t="n">
        <v>0</v>
      </c>
      <c r="BC929" s="52" t="n">
        <v>0</v>
      </c>
      <c r="BD929" s="53" t="n">
        <v>0</v>
      </c>
      <c r="BE929" s="52" t="n">
        <v>0</v>
      </c>
      <c r="BF929" s="51" t="n">
        <v>0</v>
      </c>
    </row>
    <row r="930">
      <c r="A930">
        <f>HYPERLINK("https://www.walmart.com/ip/945241349", "945241349")</f>
        <v/>
      </c>
      <c r="B930" t="inlineStr">
        <is>
          <t>Oversized Hoodie Blanket Sweatshirt,Super Soft Warm Comfortable Fleece Giant Pullover with Large Front Pocket,for Adults Men Women Teenagers Kids Wife Girlfriend</t>
        </is>
      </c>
      <c r="C930" t="inlineStr">
        <is>
          <t>1WMHD300LBL</t>
        </is>
      </c>
      <c r="D930" t="inlineStr">
        <is>
          <t>Sweatshirts &amp; Hoodies</t>
        </is>
      </c>
      <c r="E930" t="inlineStr">
        <is>
          <t>Flyingstar</t>
        </is>
      </c>
      <c r="F930" t="inlineStr">
        <is>
          <t>Hoodie ForAdult,Optimized</t>
        </is>
      </c>
      <c r="G930" s="48" t="n">
        <v>0</v>
      </c>
      <c r="H930" s="49" t="n">
        <v>0</v>
      </c>
      <c r="I930" s="49" t="n">
        <v>0</v>
      </c>
      <c r="J930" s="50" t="n">
        <v>0</v>
      </c>
      <c r="K930" s="51" t="n">
        <v>0</v>
      </c>
      <c r="L930" s="52" t="n">
        <v>0</v>
      </c>
      <c r="M930" s="52" t="n">
        <v>0</v>
      </c>
      <c r="N930" s="52" t="n">
        <v>0</v>
      </c>
      <c r="O930" s="53" t="n">
        <v>0</v>
      </c>
      <c r="P930" s="52" t="n">
        <v>0</v>
      </c>
      <c r="Q930" s="53" t="n">
        <v>0</v>
      </c>
      <c r="R930" s="52" t="n">
        <v>0</v>
      </c>
      <c r="S930" s="51" t="n">
        <v>0</v>
      </c>
      <c r="T930" s="48" t="n">
        <v>0</v>
      </c>
      <c r="U930" s="49" t="n">
        <v>0</v>
      </c>
      <c r="V930" s="49" t="n">
        <v>0</v>
      </c>
      <c r="W930" s="50" t="n">
        <v>0</v>
      </c>
      <c r="X930" s="51" t="n">
        <v>0</v>
      </c>
      <c r="Y930" s="52" t="n">
        <v>0</v>
      </c>
      <c r="Z930" s="52" t="n">
        <v>0</v>
      </c>
      <c r="AA930" s="52" t="n">
        <v>0</v>
      </c>
      <c r="AB930" s="53" t="n">
        <v>0</v>
      </c>
      <c r="AC930" s="52" t="n">
        <v>0</v>
      </c>
      <c r="AD930" s="53" t="n">
        <v>0</v>
      </c>
      <c r="AE930" s="52" t="n">
        <v>0</v>
      </c>
      <c r="AF930" s="51" t="n">
        <v>0</v>
      </c>
      <c r="AG930" s="48" t="n">
        <v>0</v>
      </c>
      <c r="AH930" s="49" t="n">
        <v>0</v>
      </c>
      <c r="AI930" s="49" t="n">
        <v>0</v>
      </c>
      <c r="AJ930" s="50" t="n">
        <v>0</v>
      </c>
      <c r="AK930" s="51" t="n">
        <v>0</v>
      </c>
      <c r="AL930" s="52" t="n">
        <v>0</v>
      </c>
      <c r="AM930" s="52" t="n">
        <v>0</v>
      </c>
      <c r="AN930" s="52" t="n">
        <v>0</v>
      </c>
      <c r="AO930" s="53" t="n">
        <v>0</v>
      </c>
      <c r="AP930" s="52" t="n">
        <v>0</v>
      </c>
      <c r="AQ930" s="53" t="n">
        <v>0</v>
      </c>
      <c r="AR930" s="52" t="n">
        <v>0</v>
      </c>
      <c r="AS930" s="51" t="n">
        <v>0</v>
      </c>
      <c r="AT930" s="48" t="n">
        <v>0</v>
      </c>
      <c r="AU930" s="49" t="n">
        <v>0</v>
      </c>
      <c r="AV930" s="49" t="n">
        <v>0</v>
      </c>
      <c r="AW930" s="50" t="n">
        <v>0</v>
      </c>
      <c r="AX930" s="51" t="n">
        <v>0</v>
      </c>
      <c r="AY930" s="52" t="n">
        <v>0</v>
      </c>
      <c r="AZ930" s="52" t="n">
        <v>0</v>
      </c>
      <c r="BA930" s="52" t="n">
        <v>0</v>
      </c>
      <c r="BB930" s="53" t="n">
        <v>0</v>
      </c>
      <c r="BC930" s="52" t="n">
        <v>0</v>
      </c>
      <c r="BD930" s="53" t="n">
        <v>0</v>
      </c>
      <c r="BE930" s="52" t="n">
        <v>0</v>
      </c>
      <c r="BF930" s="51" t="n">
        <v>0</v>
      </c>
    </row>
    <row r="931">
      <c r="A931">
        <f>HYPERLINK("https://www.walmart.com/ip/945452259", "945452259")</f>
        <v/>
      </c>
      <c r="B931" t="inlineStr">
        <is>
          <t>Tirrinia Pressure Pump Opener Set Corkscrew, Foil Cutter, Wine Pourer, Vacuum Stopper, Gray</t>
        </is>
      </c>
      <c r="C931" t="inlineStr">
        <is>
          <t>1KTWO400GY</t>
        </is>
      </c>
      <c r="D931" t="inlineStr">
        <is>
          <t>Barware Sets</t>
        </is>
      </c>
      <c r="E931" t="inlineStr">
        <is>
          <t>Tirrinia</t>
        </is>
      </c>
      <c r="F931" t="inlineStr">
        <is>
          <t>Wine,Christmas,Optimized,WFS,Wine WFS,Valentine,WFS Item</t>
        </is>
      </c>
      <c r="G931" s="48" t="n">
        <v>0</v>
      </c>
      <c r="H931" s="49" t="n">
        <v>0</v>
      </c>
      <c r="I931" s="49" t="n">
        <v>0</v>
      </c>
      <c r="J931" s="50" t="n">
        <v>0</v>
      </c>
      <c r="K931" s="51" t="n">
        <v>0</v>
      </c>
      <c r="L931" s="52" t="n">
        <v>0</v>
      </c>
      <c r="M931" s="52" t="n">
        <v>0</v>
      </c>
      <c r="N931" s="52" t="n">
        <v>0</v>
      </c>
      <c r="O931" s="53" t="n">
        <v>0</v>
      </c>
      <c r="P931" s="52" t="n">
        <v>0</v>
      </c>
      <c r="Q931" s="53" t="n">
        <v>0</v>
      </c>
      <c r="R931" s="52" t="n">
        <v>0</v>
      </c>
      <c r="S931" s="51" t="n">
        <v>0</v>
      </c>
      <c r="T931" s="48" t="n">
        <v>0</v>
      </c>
      <c r="U931" s="49" t="n">
        <v>0</v>
      </c>
      <c r="V931" s="49" t="n">
        <v>0</v>
      </c>
      <c r="W931" s="50" t="n">
        <v>0</v>
      </c>
      <c r="X931" s="51" t="n">
        <v>0</v>
      </c>
      <c r="Y931" s="52" t="n">
        <v>0</v>
      </c>
      <c r="Z931" s="52" t="n">
        <v>0</v>
      </c>
      <c r="AA931" s="52" t="n">
        <v>0</v>
      </c>
      <c r="AB931" s="53" t="n">
        <v>0</v>
      </c>
      <c r="AC931" s="52" t="n">
        <v>0</v>
      </c>
      <c r="AD931" s="53" t="n">
        <v>0</v>
      </c>
      <c r="AE931" s="52" t="n">
        <v>0</v>
      </c>
      <c r="AF931" s="51" t="n">
        <v>0</v>
      </c>
      <c r="AG931" s="48" t="n">
        <v>0</v>
      </c>
      <c r="AH931" s="49" t="n">
        <v>0</v>
      </c>
      <c r="AI931" s="49" t="n">
        <v>0</v>
      </c>
      <c r="AJ931" s="50" t="n">
        <v>0</v>
      </c>
      <c r="AK931" s="51" t="n">
        <v>0</v>
      </c>
      <c r="AL931" s="52" t="n">
        <v>0</v>
      </c>
      <c r="AM931" s="52" t="n">
        <v>0</v>
      </c>
      <c r="AN931" s="52" t="n">
        <v>0</v>
      </c>
      <c r="AO931" s="53" t="n">
        <v>0</v>
      </c>
      <c r="AP931" s="52" t="n">
        <v>0</v>
      </c>
      <c r="AQ931" s="53" t="n">
        <v>0</v>
      </c>
      <c r="AR931" s="52" t="n">
        <v>0</v>
      </c>
      <c r="AS931" s="51" t="n">
        <v>0</v>
      </c>
      <c r="AT931" s="48" t="n">
        <v>0</v>
      </c>
      <c r="AU931" s="49" t="n">
        <v>0</v>
      </c>
      <c r="AV931" s="49" t="n">
        <v>0</v>
      </c>
      <c r="AW931" s="50" t="n">
        <v>0</v>
      </c>
      <c r="AX931" s="51" t="n">
        <v>0</v>
      </c>
      <c r="AY931" s="52" t="n">
        <v>0</v>
      </c>
      <c r="AZ931" s="52" t="n">
        <v>0</v>
      </c>
      <c r="BA931" s="52" t="n">
        <v>0</v>
      </c>
      <c r="BB931" s="53" t="n">
        <v>0</v>
      </c>
      <c r="BC931" s="52" t="n">
        <v>0</v>
      </c>
      <c r="BD931" s="53" t="n">
        <v>0</v>
      </c>
      <c r="BE931" s="52" t="n">
        <v>0</v>
      </c>
      <c r="BF931" s="51" t="n">
        <v>0</v>
      </c>
    </row>
    <row r="932">
      <c r="A932">
        <f>HYPERLINK("https://www.walmart.com/ip/945588716", "945588716")</f>
        <v/>
      </c>
      <c r="B932" t="inlineStr">
        <is>
          <t>Tirrinia Comfy Full Body Fleece Wearable Blanket Poncho for Adult Women Men, Grey</t>
        </is>
      </c>
      <c r="C932" t="inlineStr">
        <is>
          <t>1TRBP200GY-TBCB</t>
        </is>
      </c>
      <c r="D932" t="inlineStr">
        <is>
          <t>Throws</t>
        </is>
      </c>
      <c r="E932" t="inlineStr">
        <is>
          <t>Tirrinia</t>
        </is>
      </c>
      <c r="F932" t="inlineStr">
        <is>
          <t>Optimized</t>
        </is>
      </c>
      <c r="G932" s="48" t="n">
        <v>0</v>
      </c>
      <c r="H932" s="49" t="n">
        <v>0</v>
      </c>
      <c r="I932" s="49" t="n">
        <v>0</v>
      </c>
      <c r="J932" s="50" t="n">
        <v>0</v>
      </c>
      <c r="K932" s="51" t="n">
        <v>0</v>
      </c>
      <c r="L932" s="52" t="n">
        <v>0</v>
      </c>
      <c r="M932" s="52" t="n">
        <v>0</v>
      </c>
      <c r="N932" s="52" t="n">
        <v>0</v>
      </c>
      <c r="O932" s="53" t="n">
        <v>0</v>
      </c>
      <c r="P932" s="52" t="n">
        <v>0</v>
      </c>
      <c r="Q932" s="53" t="n">
        <v>0</v>
      </c>
      <c r="R932" s="52" t="n">
        <v>0</v>
      </c>
      <c r="S932" s="51" t="n">
        <v>0</v>
      </c>
      <c r="T932" s="48" t="n">
        <v>0</v>
      </c>
      <c r="U932" s="49" t="n">
        <v>0</v>
      </c>
      <c r="V932" s="49" t="n">
        <v>0</v>
      </c>
      <c r="W932" s="50" t="n">
        <v>0</v>
      </c>
      <c r="X932" s="51" t="n">
        <v>0</v>
      </c>
      <c r="Y932" s="52" t="n">
        <v>0</v>
      </c>
      <c r="Z932" s="52" t="n">
        <v>0</v>
      </c>
      <c r="AA932" s="52" t="n">
        <v>0</v>
      </c>
      <c r="AB932" s="53" t="n">
        <v>0</v>
      </c>
      <c r="AC932" s="52" t="n">
        <v>0</v>
      </c>
      <c r="AD932" s="53" t="n">
        <v>0</v>
      </c>
      <c r="AE932" s="52" t="n">
        <v>0</v>
      </c>
      <c r="AF932" s="51" t="n">
        <v>0</v>
      </c>
      <c r="AG932" s="48" t="n">
        <v>0</v>
      </c>
      <c r="AH932" s="49" t="n">
        <v>0</v>
      </c>
      <c r="AI932" s="49" t="n">
        <v>0</v>
      </c>
      <c r="AJ932" s="50" t="n">
        <v>0</v>
      </c>
      <c r="AK932" s="51" t="n">
        <v>0</v>
      </c>
      <c r="AL932" s="52" t="n">
        <v>0</v>
      </c>
      <c r="AM932" s="52" t="n">
        <v>0</v>
      </c>
      <c r="AN932" s="52" t="n">
        <v>0</v>
      </c>
      <c r="AO932" s="53" t="n">
        <v>0</v>
      </c>
      <c r="AP932" s="52" t="n">
        <v>0</v>
      </c>
      <c r="AQ932" s="53" t="n">
        <v>0</v>
      </c>
      <c r="AR932" s="52" t="n">
        <v>0</v>
      </c>
      <c r="AS932" s="51" t="n">
        <v>0</v>
      </c>
      <c r="AT932" s="48" t="n">
        <v>0</v>
      </c>
      <c r="AU932" s="49" t="n">
        <v>0</v>
      </c>
      <c r="AV932" s="49" t="n">
        <v>0</v>
      </c>
      <c r="AW932" s="50" t="n">
        <v>0</v>
      </c>
      <c r="AX932" s="51" t="n">
        <v>0</v>
      </c>
      <c r="AY932" s="52" t="n">
        <v>0</v>
      </c>
      <c r="AZ932" s="52" t="n">
        <v>0</v>
      </c>
      <c r="BA932" s="52" t="n">
        <v>0</v>
      </c>
      <c r="BB932" s="53" t="n">
        <v>0</v>
      </c>
      <c r="BC932" s="52" t="n">
        <v>0</v>
      </c>
      <c r="BD932" s="53" t="n">
        <v>0</v>
      </c>
      <c r="BE932" s="52" t="n">
        <v>0</v>
      </c>
      <c r="BF932" s="51" t="n">
        <v>0</v>
      </c>
    </row>
    <row r="933">
      <c r="A933">
        <f>HYPERLINK("https://www.walmart.com/ip/946415184", "946415184")</f>
        <v/>
      </c>
      <c r="B933" t="inlineStr">
        <is>
          <t>Tirrinia Large Insulated Lunch Bag,10L Leakproof Thermal Reusable Lunch Box for Adult, Kids, Student, Tall Meal Prep Lunch Cooler Tote with 4 Pockets for Office Work, Back to School</t>
        </is>
      </c>
      <c r="C933" t="inlineStr">
        <is>
          <t>1TRLB702DBL-T</t>
        </is>
      </c>
      <c r="D933" t="inlineStr">
        <is>
          <t>Reusable Lunch Bags &amp; Boxes</t>
        </is>
      </c>
      <c r="E933" t="inlineStr">
        <is>
          <t>Tirrinia</t>
        </is>
      </c>
      <c r="F933" t="inlineStr">
        <is>
          <t>Q2-Target,Brand Camp VD,Lunch Bag,WFS,Lunch Bags,WFS Item</t>
        </is>
      </c>
      <c r="G933" s="48" t="n">
        <v>0</v>
      </c>
      <c r="H933" s="49" t="n">
        <v>0</v>
      </c>
      <c r="I933" s="49" t="n">
        <v>0</v>
      </c>
      <c r="J933" s="50" t="n">
        <v>0</v>
      </c>
      <c r="K933" s="51" t="n">
        <v>0</v>
      </c>
      <c r="L933" s="52" t="n">
        <v>0</v>
      </c>
      <c r="M933" s="52" t="n">
        <v>0</v>
      </c>
      <c r="N933" s="52" t="n">
        <v>0</v>
      </c>
      <c r="O933" s="53" t="n">
        <v>0</v>
      </c>
      <c r="P933" s="52" t="n">
        <v>0</v>
      </c>
      <c r="Q933" s="53" t="n">
        <v>0</v>
      </c>
      <c r="R933" s="52" t="n">
        <v>0</v>
      </c>
      <c r="S933" s="51" t="n">
        <v>0</v>
      </c>
      <c r="T933" s="48" t="n">
        <v>0</v>
      </c>
      <c r="U933" s="49" t="n">
        <v>0</v>
      </c>
      <c r="V933" s="49" t="n">
        <v>0</v>
      </c>
      <c r="W933" s="50" t="n">
        <v>0</v>
      </c>
      <c r="X933" s="51" t="n">
        <v>0</v>
      </c>
      <c r="Y933" s="52" t="n">
        <v>0</v>
      </c>
      <c r="Z933" s="52" t="n">
        <v>0</v>
      </c>
      <c r="AA933" s="52" t="n">
        <v>0</v>
      </c>
      <c r="AB933" s="53" t="n">
        <v>0</v>
      </c>
      <c r="AC933" s="52" t="n">
        <v>0</v>
      </c>
      <c r="AD933" s="53" t="n">
        <v>0</v>
      </c>
      <c r="AE933" s="52" t="n">
        <v>0</v>
      </c>
      <c r="AF933" s="51" t="n">
        <v>0</v>
      </c>
      <c r="AG933" s="48" t="n">
        <v>0</v>
      </c>
      <c r="AH933" s="49" t="n">
        <v>0</v>
      </c>
      <c r="AI933" s="49" t="n">
        <v>0</v>
      </c>
      <c r="AJ933" s="50" t="n">
        <v>0</v>
      </c>
      <c r="AK933" s="51" t="n">
        <v>0</v>
      </c>
      <c r="AL933" s="52" t="n">
        <v>0</v>
      </c>
      <c r="AM933" s="52" t="n">
        <v>0</v>
      </c>
      <c r="AN933" s="52" t="n">
        <v>0</v>
      </c>
      <c r="AO933" s="53" t="n">
        <v>0</v>
      </c>
      <c r="AP933" s="52" t="n">
        <v>0</v>
      </c>
      <c r="AQ933" s="53" t="n">
        <v>0</v>
      </c>
      <c r="AR933" s="52" t="n">
        <v>0</v>
      </c>
      <c r="AS933" s="51" t="n">
        <v>0</v>
      </c>
      <c r="AT933" s="48" t="n">
        <v>0</v>
      </c>
      <c r="AU933" s="49" t="n">
        <v>0</v>
      </c>
      <c r="AV933" s="49" t="n">
        <v>0</v>
      </c>
      <c r="AW933" s="50" t="n">
        <v>0</v>
      </c>
      <c r="AX933" s="51" t="n">
        <v>0</v>
      </c>
      <c r="AY933" s="52" t="n">
        <v>0</v>
      </c>
      <c r="AZ933" s="52" t="n">
        <v>0</v>
      </c>
      <c r="BA933" s="52" t="n">
        <v>0</v>
      </c>
      <c r="BB933" s="53" t="n">
        <v>0</v>
      </c>
      <c r="BC933" s="52" t="n">
        <v>0</v>
      </c>
      <c r="BD933" s="53" t="n">
        <v>0</v>
      </c>
      <c r="BE933" s="52" t="n">
        <v>0</v>
      </c>
      <c r="BF933" s="51" t="n">
        <v>0</v>
      </c>
    </row>
    <row r="934">
      <c r="A934">
        <f>HYPERLINK("https://www.walmart.com/ip/947602244", "947602244")</f>
        <v/>
      </c>
      <c r="B934" t="inlineStr">
        <is>
          <t>Wine Tote Bag with Hidden Dispenser, Insulated Large Wine Carrying Carrier Set with Wine Bladder, Perfect Wine Gift for Byob, Movie Theater, Concert, Sport Events, Pool &amp; Beach, Black</t>
        </is>
      </c>
      <c r="C934" t="inlineStr">
        <is>
          <t>1TRWT100BK</t>
        </is>
      </c>
      <c r="D934" t="inlineStr">
        <is>
          <t>Wine Totes, Bags &amp; Backpacks</t>
        </is>
      </c>
      <c r="E934" t="inlineStr">
        <is>
          <t>Tirrinia</t>
        </is>
      </c>
      <c r="F934" t="inlineStr">
        <is>
          <t>Wine,WFS,Wine WFS,SEM,WFS Item</t>
        </is>
      </c>
      <c r="G934" s="48" t="n">
        <v>0</v>
      </c>
      <c r="H934" s="49" t="n">
        <v>0</v>
      </c>
      <c r="I934" s="49" t="n">
        <v>0</v>
      </c>
      <c r="J934" s="50" t="n">
        <v>0</v>
      </c>
      <c r="K934" s="51" t="n">
        <v>0</v>
      </c>
      <c r="L934" s="52" t="n">
        <v>0</v>
      </c>
      <c r="M934" s="52" t="n">
        <v>0</v>
      </c>
      <c r="N934" s="52" t="n">
        <v>0</v>
      </c>
      <c r="O934" s="53" t="n">
        <v>0</v>
      </c>
      <c r="P934" s="52" t="n">
        <v>0</v>
      </c>
      <c r="Q934" s="53" t="n">
        <v>0</v>
      </c>
      <c r="R934" s="52" t="n">
        <v>0</v>
      </c>
      <c r="S934" s="51" t="n">
        <v>0</v>
      </c>
      <c r="T934" s="48" t="n">
        <v>0</v>
      </c>
      <c r="U934" s="49" t="n">
        <v>0</v>
      </c>
      <c r="V934" s="49" t="n">
        <v>0</v>
      </c>
      <c r="W934" s="50" t="n">
        <v>0</v>
      </c>
      <c r="X934" s="51" t="n">
        <v>0</v>
      </c>
      <c r="Y934" s="52" t="n">
        <v>0</v>
      </c>
      <c r="Z934" s="52" t="n">
        <v>0</v>
      </c>
      <c r="AA934" s="52" t="n">
        <v>0</v>
      </c>
      <c r="AB934" s="53" t="n">
        <v>0</v>
      </c>
      <c r="AC934" s="52" t="n">
        <v>0</v>
      </c>
      <c r="AD934" s="53" t="n">
        <v>0</v>
      </c>
      <c r="AE934" s="52" t="n">
        <v>0</v>
      </c>
      <c r="AF934" s="51" t="n">
        <v>0</v>
      </c>
      <c r="AG934" s="48" t="n">
        <v>0</v>
      </c>
      <c r="AH934" s="49" t="n">
        <v>0</v>
      </c>
      <c r="AI934" s="49" t="n">
        <v>0</v>
      </c>
      <c r="AJ934" s="50" t="n">
        <v>0</v>
      </c>
      <c r="AK934" s="51" t="n">
        <v>0</v>
      </c>
      <c r="AL934" s="52" t="n">
        <v>0</v>
      </c>
      <c r="AM934" s="52" t="n">
        <v>0</v>
      </c>
      <c r="AN934" s="52" t="n">
        <v>0</v>
      </c>
      <c r="AO934" s="53" t="n">
        <v>0</v>
      </c>
      <c r="AP934" s="52" t="n">
        <v>0</v>
      </c>
      <c r="AQ934" s="53" t="n">
        <v>0</v>
      </c>
      <c r="AR934" s="52" t="n">
        <v>0</v>
      </c>
      <c r="AS934" s="51" t="n">
        <v>0</v>
      </c>
      <c r="AT934" s="48" t="n">
        <v>0</v>
      </c>
      <c r="AU934" s="49" t="n">
        <v>0</v>
      </c>
      <c r="AV934" s="49" t="n">
        <v>0</v>
      </c>
      <c r="AW934" s="50" t="n">
        <v>0</v>
      </c>
      <c r="AX934" s="51" t="n">
        <v>0</v>
      </c>
      <c r="AY934" s="52" t="n">
        <v>0</v>
      </c>
      <c r="AZ934" s="52" t="n">
        <v>0</v>
      </c>
      <c r="BA934" s="52" t="n">
        <v>0</v>
      </c>
      <c r="BB934" s="53" t="n">
        <v>0</v>
      </c>
      <c r="BC934" s="52" t="n">
        <v>0</v>
      </c>
      <c r="BD934" s="53" t="n">
        <v>0</v>
      </c>
      <c r="BE934" s="52" t="n">
        <v>0</v>
      </c>
      <c r="BF934" s="51" t="n">
        <v>0</v>
      </c>
    </row>
    <row r="935">
      <c r="A935">
        <f>HYPERLINK("https://www.walmart.com/ip/947664366", "947664366")</f>
        <v/>
      </c>
      <c r="B935" t="inlineStr">
        <is>
          <t>Catalonia Wearable TV Blanket with Sleeves Arms Micro Plush Fleece Wrap Throw Robe 73 x 51”</t>
        </is>
      </c>
      <c r="C935" t="inlineStr">
        <is>
          <t>1CTSN100AQ</t>
        </is>
      </c>
      <c r="D935" t="inlineStr">
        <is>
          <t>Throws</t>
        </is>
      </c>
      <c r="E935" t="inlineStr">
        <is>
          <t>Catalonia</t>
        </is>
      </c>
      <c r="F935" t="inlineStr">
        <is>
          <t>Optimized,WFS,WFS Item</t>
        </is>
      </c>
      <c r="G935" s="48" t="n">
        <v>0</v>
      </c>
      <c r="H935" s="49" t="n">
        <v>0</v>
      </c>
      <c r="I935" s="49" t="n">
        <v>0</v>
      </c>
      <c r="J935" s="50" t="n">
        <v>0</v>
      </c>
      <c r="K935" s="51" t="n">
        <v>0</v>
      </c>
      <c r="L935" s="52" t="n">
        <v>0</v>
      </c>
      <c r="M935" s="52" t="n">
        <v>0</v>
      </c>
      <c r="N935" s="52" t="n">
        <v>0</v>
      </c>
      <c r="O935" s="53" t="n">
        <v>0</v>
      </c>
      <c r="P935" s="52" t="n">
        <v>0</v>
      </c>
      <c r="Q935" s="53" t="n">
        <v>0</v>
      </c>
      <c r="R935" s="52" t="n">
        <v>0</v>
      </c>
      <c r="S935" s="51" t="n">
        <v>0</v>
      </c>
      <c r="T935" s="48" t="n">
        <v>0</v>
      </c>
      <c r="U935" s="49" t="n">
        <v>0</v>
      </c>
      <c r="V935" s="49" t="n">
        <v>0</v>
      </c>
      <c r="W935" s="50" t="n">
        <v>0</v>
      </c>
      <c r="X935" s="51" t="n">
        <v>0</v>
      </c>
      <c r="Y935" s="52" t="n">
        <v>0</v>
      </c>
      <c r="Z935" s="52" t="n">
        <v>0</v>
      </c>
      <c r="AA935" s="52" t="n">
        <v>0</v>
      </c>
      <c r="AB935" s="53" t="n">
        <v>0</v>
      </c>
      <c r="AC935" s="52" t="n">
        <v>0</v>
      </c>
      <c r="AD935" s="53" t="n">
        <v>0</v>
      </c>
      <c r="AE935" s="52" t="n">
        <v>0</v>
      </c>
      <c r="AF935" s="51" t="n">
        <v>0</v>
      </c>
      <c r="AG935" s="48" t="n">
        <v>0</v>
      </c>
      <c r="AH935" s="49" t="n">
        <v>0</v>
      </c>
      <c r="AI935" s="49" t="n">
        <v>0</v>
      </c>
      <c r="AJ935" s="50" t="n">
        <v>0</v>
      </c>
      <c r="AK935" s="51" t="n">
        <v>0</v>
      </c>
      <c r="AL935" s="52" t="n">
        <v>0</v>
      </c>
      <c r="AM935" s="52" t="n">
        <v>0</v>
      </c>
      <c r="AN935" s="52" t="n">
        <v>0</v>
      </c>
      <c r="AO935" s="53" t="n">
        <v>0</v>
      </c>
      <c r="AP935" s="52" t="n">
        <v>0</v>
      </c>
      <c r="AQ935" s="53" t="n">
        <v>0</v>
      </c>
      <c r="AR935" s="52" t="n">
        <v>0</v>
      </c>
      <c r="AS935" s="51" t="n">
        <v>0</v>
      </c>
      <c r="AT935" s="48" t="n">
        <v>0</v>
      </c>
      <c r="AU935" s="49" t="n">
        <v>0</v>
      </c>
      <c r="AV935" s="49" t="n">
        <v>0</v>
      </c>
      <c r="AW935" s="50" t="n">
        <v>0</v>
      </c>
      <c r="AX935" s="51" t="n">
        <v>0</v>
      </c>
      <c r="AY935" s="52" t="n">
        <v>0</v>
      </c>
      <c r="AZ935" s="52" t="n">
        <v>0</v>
      </c>
      <c r="BA935" s="52" t="n">
        <v>0</v>
      </c>
      <c r="BB935" s="53" t="n">
        <v>0</v>
      </c>
      <c r="BC935" s="52" t="n">
        <v>0</v>
      </c>
      <c r="BD935" s="53" t="n">
        <v>0</v>
      </c>
      <c r="BE935" s="52" t="n">
        <v>0</v>
      </c>
      <c r="BF935" s="51" t="n">
        <v>0</v>
      </c>
    </row>
    <row r="936">
      <c r="A936">
        <f>HYPERLINK("https://www.walmart.com/ip/948118824", "948118824")</f>
        <v/>
      </c>
      <c r="B936" t="inlineStr">
        <is>
          <t>Catalonia Waterproof Blanket for Baby, Pee Proof Pet Cover for Couch and Bed, Reversible Sherpa Fleece Throw Blanket for Relaxing, Traveling and Camping, Camel/Taupe, 60" x 50"</t>
        </is>
      </c>
      <c r="C936" t="inlineStr">
        <is>
          <t>1CTBW561TPTP</t>
        </is>
      </c>
      <c r="D936" t="inlineStr">
        <is>
          <t>Throws</t>
        </is>
      </c>
      <c r="E936" t="inlineStr">
        <is>
          <t>Catalonia</t>
        </is>
      </c>
      <c r="F936" t="inlineStr">
        <is>
          <t>Q2-Target,WFS,Wproof Blanket,WFS Item</t>
        </is>
      </c>
      <c r="G936" s="48" t="n">
        <v>0</v>
      </c>
      <c r="H936" s="49" t="n">
        <v>0</v>
      </c>
      <c r="I936" s="49" t="n">
        <v>7</v>
      </c>
      <c r="J936" s="50" t="n">
        <v>0</v>
      </c>
      <c r="K936" s="51" t="n">
        <v>0</v>
      </c>
      <c r="L936" s="52" t="n">
        <v>0</v>
      </c>
      <c r="M936" s="52" t="n">
        <v>0</v>
      </c>
      <c r="N936" s="52" t="n">
        <v>0</v>
      </c>
      <c r="O936" s="53" t="n">
        <v>0</v>
      </c>
      <c r="P936" s="52" t="n">
        <v>0</v>
      </c>
      <c r="Q936" s="53" t="n">
        <v>0</v>
      </c>
      <c r="R936" s="52" t="n">
        <v>0</v>
      </c>
      <c r="S936" s="51" t="n">
        <v>493</v>
      </c>
      <c r="T936" s="48" t="n">
        <v>29.99</v>
      </c>
      <c r="U936" s="49" t="n">
        <v>1</v>
      </c>
      <c r="V936" s="49" t="n">
        <v>10</v>
      </c>
      <c r="W936" s="50" t="n">
        <v>0.1</v>
      </c>
      <c r="X936" s="51" t="n">
        <v>0</v>
      </c>
      <c r="Y936" s="52" t="n">
        <v>0</v>
      </c>
      <c r="Z936" s="52" t="n">
        <v>0</v>
      </c>
      <c r="AA936" s="52" t="n">
        <v>0</v>
      </c>
      <c r="AB936" s="53" t="n">
        <v>0</v>
      </c>
      <c r="AC936" s="52" t="n">
        <v>0</v>
      </c>
      <c r="AD936" s="53" t="n">
        <v>0</v>
      </c>
      <c r="AE936" s="52" t="n">
        <v>29.99</v>
      </c>
      <c r="AF936" s="51" t="n">
        <v>522</v>
      </c>
      <c r="AG936" s="48" t="n">
        <v>0</v>
      </c>
      <c r="AH936" s="49" t="n">
        <v>0</v>
      </c>
      <c r="AI936" s="49" t="n">
        <v>13</v>
      </c>
      <c r="AJ936" s="50" t="n">
        <v>0</v>
      </c>
      <c r="AK936" s="51" t="n">
        <v>0</v>
      </c>
      <c r="AL936" s="52" t="n">
        <v>0</v>
      </c>
      <c r="AM936" s="52" t="n">
        <v>0</v>
      </c>
      <c r="AN936" s="52" t="n">
        <v>0</v>
      </c>
      <c r="AO936" s="53" t="n">
        <v>0</v>
      </c>
      <c r="AP936" s="52" t="n">
        <v>0</v>
      </c>
      <c r="AQ936" s="53" t="n">
        <v>0</v>
      </c>
      <c r="AR936" s="52" t="n">
        <v>0</v>
      </c>
      <c r="AS936" s="51" t="n">
        <v>0</v>
      </c>
      <c r="AT936" s="48" t="n">
        <v>29.99</v>
      </c>
      <c r="AU936" s="49" t="n">
        <v>1</v>
      </c>
      <c r="AV936" s="49" t="n">
        <v>14</v>
      </c>
      <c r="AW936" s="50" t="n">
        <v>0.07142857142857142</v>
      </c>
      <c r="AX936" s="51" t="n">
        <v>1</v>
      </c>
      <c r="AY936" s="52" t="n">
        <v>0.31</v>
      </c>
      <c r="AZ936" s="52" t="n">
        <v>0</v>
      </c>
      <c r="BA936" s="52" t="n">
        <v>0</v>
      </c>
      <c r="BB936" s="53" t="n">
        <v>0.0086</v>
      </c>
      <c r="BC936" s="52" t="n">
        <v>0.31</v>
      </c>
      <c r="BD936" s="53" t="n">
        <v>0.01033677892630877</v>
      </c>
      <c r="BE936" s="52" t="n">
        <v>29.99</v>
      </c>
      <c r="BF936" s="51" t="n">
        <v>116</v>
      </c>
    </row>
    <row r="937">
      <c r="A937">
        <f>HYPERLINK("https://www.walmart.com/ip/948200760", "948200760")</f>
        <v/>
      </c>
      <c r="B937" t="inlineStr">
        <is>
          <t>Tirrinia Wide Brim Sun Hat UPF 50 Foldable Bucket Summer Hat for Women Girls</t>
        </is>
      </c>
      <c r="C937" t="inlineStr">
        <is>
          <t>1TRSHF065BEI-TBCB</t>
        </is>
      </c>
      <c r="D937" t="inlineStr">
        <is>
          <t>Hats</t>
        </is>
      </c>
      <c r="E937" t="inlineStr">
        <is>
          <t>Tirrinia</t>
        </is>
      </c>
      <c r="F937" t="inlineStr">
        <is>
          <t>Batch 1 - TR</t>
        </is>
      </c>
      <c r="G937" s="48" t="n">
        <v>0</v>
      </c>
      <c r="H937" s="49" t="n">
        <v>0</v>
      </c>
      <c r="I937" s="49" t="n">
        <v>0</v>
      </c>
      <c r="J937" s="50" t="n">
        <v>0</v>
      </c>
      <c r="K937" s="51" t="n">
        <v>0</v>
      </c>
      <c r="L937" s="52" t="n">
        <v>0</v>
      </c>
      <c r="M937" s="52" t="n">
        <v>0</v>
      </c>
      <c r="N937" s="52" t="n">
        <v>0</v>
      </c>
      <c r="O937" s="53" t="n">
        <v>0</v>
      </c>
      <c r="P937" s="52" t="n">
        <v>0</v>
      </c>
      <c r="Q937" s="53" t="n">
        <v>0</v>
      </c>
      <c r="R937" s="52" t="n">
        <v>0</v>
      </c>
      <c r="S937" s="51" t="n">
        <v>0</v>
      </c>
      <c r="T937" s="48" t="n">
        <v>0</v>
      </c>
      <c r="U937" s="49" t="n">
        <v>0</v>
      </c>
      <c r="V937" s="49" t="n">
        <v>0</v>
      </c>
      <c r="W937" s="50" t="n">
        <v>0</v>
      </c>
      <c r="X937" s="51" t="n">
        <v>0</v>
      </c>
      <c r="Y937" s="52" t="n">
        <v>0</v>
      </c>
      <c r="Z937" s="52" t="n">
        <v>0</v>
      </c>
      <c r="AA937" s="52" t="n">
        <v>0</v>
      </c>
      <c r="AB937" s="53" t="n">
        <v>0</v>
      </c>
      <c r="AC937" s="52" t="n">
        <v>0</v>
      </c>
      <c r="AD937" s="53" t="n">
        <v>0</v>
      </c>
      <c r="AE937" s="52" t="n">
        <v>0</v>
      </c>
      <c r="AF937" s="51" t="n">
        <v>0</v>
      </c>
      <c r="AG937" s="48" t="n">
        <v>0</v>
      </c>
      <c r="AH937" s="49" t="n">
        <v>0</v>
      </c>
      <c r="AI937" s="49" t="n">
        <v>0</v>
      </c>
      <c r="AJ937" s="50" t="n">
        <v>0</v>
      </c>
      <c r="AK937" s="51" t="n">
        <v>0</v>
      </c>
      <c r="AL937" s="52" t="n">
        <v>0</v>
      </c>
      <c r="AM937" s="52" t="n">
        <v>0</v>
      </c>
      <c r="AN937" s="52" t="n">
        <v>0</v>
      </c>
      <c r="AO937" s="53" t="n">
        <v>0</v>
      </c>
      <c r="AP937" s="52" t="n">
        <v>0</v>
      </c>
      <c r="AQ937" s="53" t="n">
        <v>0</v>
      </c>
      <c r="AR937" s="52" t="n">
        <v>0</v>
      </c>
      <c r="AS937" s="51" t="n">
        <v>0</v>
      </c>
      <c r="AT937" s="48" t="n">
        <v>0</v>
      </c>
      <c r="AU937" s="49" t="n">
        <v>0</v>
      </c>
      <c r="AV937" s="49" t="n">
        <v>0</v>
      </c>
      <c r="AW937" s="50" t="n">
        <v>0</v>
      </c>
      <c r="AX937" s="51" t="n">
        <v>0</v>
      </c>
      <c r="AY937" s="52" t="n">
        <v>0</v>
      </c>
      <c r="AZ937" s="52" t="n">
        <v>0</v>
      </c>
      <c r="BA937" s="52" t="n">
        <v>0</v>
      </c>
      <c r="BB937" s="53" t="n">
        <v>0</v>
      </c>
      <c r="BC937" s="52" t="n">
        <v>0</v>
      </c>
      <c r="BD937" s="53" t="n">
        <v>0</v>
      </c>
      <c r="BE937" s="52" t="n">
        <v>0</v>
      </c>
      <c r="BF937" s="51" t="n">
        <v>0</v>
      </c>
    </row>
    <row r="938">
      <c r="A938">
        <f>HYPERLINK("https://www.walmart.com/ip/948676061", "948676061")</f>
        <v/>
      </c>
      <c r="B938" t="inlineStr">
        <is>
          <t>Terra Boxer Briefs Mens 3 Pack Underwear Elastic Waistband Solid New Classic Fit</t>
        </is>
      </c>
      <c r="C938" t="inlineStr">
        <is>
          <t>TERRA-BOXER8-M</t>
        </is>
      </c>
      <c r="D938" t="inlineStr">
        <is>
          <t>Underpants</t>
        </is>
      </c>
      <c r="E938" t="inlineStr">
        <is>
          <t>Terra</t>
        </is>
      </c>
      <c r="F938" t="inlineStr">
        <is>
          <t>Batch 1 - TR</t>
        </is>
      </c>
      <c r="G938" s="48" t="n">
        <v>0</v>
      </c>
      <c r="H938" s="49" t="n">
        <v>0</v>
      </c>
      <c r="I938" s="49" t="n">
        <v>0</v>
      </c>
      <c r="J938" s="50" t="n">
        <v>0</v>
      </c>
      <c r="K938" s="51" t="n">
        <v>0</v>
      </c>
      <c r="L938" s="52" t="n">
        <v>0</v>
      </c>
      <c r="M938" s="52" t="n">
        <v>0</v>
      </c>
      <c r="N938" s="52" t="n">
        <v>0</v>
      </c>
      <c r="O938" s="53" t="n">
        <v>0</v>
      </c>
      <c r="P938" s="52" t="n">
        <v>0</v>
      </c>
      <c r="Q938" s="53" t="n">
        <v>0</v>
      </c>
      <c r="R938" s="52" t="n">
        <v>0</v>
      </c>
      <c r="S938" s="51" t="n">
        <v>0</v>
      </c>
      <c r="T938" s="48" t="n">
        <v>0</v>
      </c>
      <c r="U938" s="49" t="n">
        <v>0</v>
      </c>
      <c r="V938" s="49" t="n">
        <v>0</v>
      </c>
      <c r="W938" s="50" t="n">
        <v>0</v>
      </c>
      <c r="X938" s="51" t="n">
        <v>0</v>
      </c>
      <c r="Y938" s="52" t="n">
        <v>0</v>
      </c>
      <c r="Z938" s="52" t="n">
        <v>0</v>
      </c>
      <c r="AA938" s="52" t="n">
        <v>0</v>
      </c>
      <c r="AB938" s="53" t="n">
        <v>0</v>
      </c>
      <c r="AC938" s="52" t="n">
        <v>0</v>
      </c>
      <c r="AD938" s="53" t="n">
        <v>0</v>
      </c>
      <c r="AE938" s="52" t="n">
        <v>0</v>
      </c>
      <c r="AF938" s="51" t="n">
        <v>0</v>
      </c>
      <c r="AG938" s="48" t="n">
        <v>0</v>
      </c>
      <c r="AH938" s="49" t="n">
        <v>0</v>
      </c>
      <c r="AI938" s="49" t="n">
        <v>0</v>
      </c>
      <c r="AJ938" s="50" t="n">
        <v>0</v>
      </c>
      <c r="AK938" s="51" t="n">
        <v>0</v>
      </c>
      <c r="AL938" s="52" t="n">
        <v>0</v>
      </c>
      <c r="AM938" s="52" t="n">
        <v>0</v>
      </c>
      <c r="AN938" s="52" t="n">
        <v>0</v>
      </c>
      <c r="AO938" s="53" t="n">
        <v>0</v>
      </c>
      <c r="AP938" s="52" t="n">
        <v>0</v>
      </c>
      <c r="AQ938" s="53" t="n">
        <v>0</v>
      </c>
      <c r="AR938" s="52" t="n">
        <v>0</v>
      </c>
      <c r="AS938" s="51" t="n">
        <v>0</v>
      </c>
      <c r="AT938" s="48" t="n">
        <v>0</v>
      </c>
      <c r="AU938" s="49" t="n">
        <v>0</v>
      </c>
      <c r="AV938" s="49" t="n">
        <v>0</v>
      </c>
      <c r="AW938" s="50" t="n">
        <v>0</v>
      </c>
      <c r="AX938" s="51" t="n">
        <v>0</v>
      </c>
      <c r="AY938" s="52" t="n">
        <v>0</v>
      </c>
      <c r="AZ938" s="52" t="n">
        <v>0</v>
      </c>
      <c r="BA938" s="52" t="n">
        <v>0</v>
      </c>
      <c r="BB938" s="53" t="n">
        <v>0</v>
      </c>
      <c r="BC938" s="52" t="n">
        <v>0</v>
      </c>
      <c r="BD938" s="53" t="n">
        <v>0</v>
      </c>
      <c r="BE938" s="52" t="n">
        <v>0</v>
      </c>
      <c r="BF938" s="51" t="n">
        <v>0</v>
      </c>
    </row>
    <row r="939">
      <c r="A939">
        <f>HYPERLINK("https://www.walmart.com/ip/9497022462", "9497022462")</f>
        <v/>
      </c>
      <c r="B939" t="inlineStr">
        <is>
          <t>Wrangler Clear Water-Resistant Backpack for Girls, Durable Plastic See-Thru Book Bag, Backpacks for School, Laptop Backpack for Casual Use, Stadiums and Concerts, Clear Graphite</t>
        </is>
      </c>
      <c r="C939" t="inlineStr">
        <is>
          <t>WR-BACKPACK-92958-GRAPHITE</t>
        </is>
      </c>
      <c r="D939" t="inlineStr">
        <is>
          <t>Backpacks</t>
        </is>
      </c>
      <c r="E939" t="inlineStr">
        <is>
          <t>Wrangler</t>
        </is>
      </c>
      <c r="F939" t="inlineStr">
        <is>
          <t>Backpack</t>
        </is>
      </c>
      <c r="G939" s="48" t="n">
        <v>0</v>
      </c>
      <c r="H939" s="49" t="n">
        <v>0</v>
      </c>
      <c r="I939" s="49" t="n">
        <v>0</v>
      </c>
      <c r="J939" s="50" t="n">
        <v>0</v>
      </c>
      <c r="K939" s="51" t="n">
        <v>0</v>
      </c>
      <c r="L939" s="52" t="n">
        <v>0</v>
      </c>
      <c r="M939" s="52" t="n">
        <v>0</v>
      </c>
      <c r="N939" s="52" t="n">
        <v>0</v>
      </c>
      <c r="O939" s="53" t="n">
        <v>0</v>
      </c>
      <c r="P939" s="52" t="n">
        <v>0</v>
      </c>
      <c r="Q939" s="53" t="n">
        <v>0</v>
      </c>
      <c r="R939" s="52" t="n">
        <v>0</v>
      </c>
      <c r="S939" s="51" t="n">
        <v>0</v>
      </c>
      <c r="T939" s="48" t="n">
        <v>0</v>
      </c>
      <c r="U939" s="49" t="n">
        <v>0</v>
      </c>
      <c r="V939" s="49" t="n">
        <v>0</v>
      </c>
      <c r="W939" s="50" t="n">
        <v>0</v>
      </c>
      <c r="X939" s="51" t="n">
        <v>0</v>
      </c>
      <c r="Y939" s="52" t="n">
        <v>0</v>
      </c>
      <c r="Z939" s="52" t="n">
        <v>0</v>
      </c>
      <c r="AA939" s="52" t="n">
        <v>0</v>
      </c>
      <c r="AB939" s="53" t="n">
        <v>0</v>
      </c>
      <c r="AC939" s="52" t="n">
        <v>0</v>
      </c>
      <c r="AD939" s="53" t="n">
        <v>0</v>
      </c>
      <c r="AE939" s="52" t="n">
        <v>0</v>
      </c>
      <c r="AF939" s="51" t="n">
        <v>0</v>
      </c>
      <c r="AG939" s="48" t="n">
        <v>0</v>
      </c>
      <c r="AH939" s="49" t="n">
        <v>0</v>
      </c>
      <c r="AI939" s="49" t="n">
        <v>0</v>
      </c>
      <c r="AJ939" s="50" t="n">
        <v>0</v>
      </c>
      <c r="AK939" s="51" t="n">
        <v>0</v>
      </c>
      <c r="AL939" s="52" t="n">
        <v>0</v>
      </c>
      <c r="AM939" s="52" t="n">
        <v>0</v>
      </c>
      <c r="AN939" s="52" t="n">
        <v>0</v>
      </c>
      <c r="AO939" s="53" t="n">
        <v>0</v>
      </c>
      <c r="AP939" s="52" t="n">
        <v>0</v>
      </c>
      <c r="AQ939" s="53" t="n">
        <v>0</v>
      </c>
      <c r="AR939" s="52" t="n">
        <v>0</v>
      </c>
      <c r="AS939" s="51" t="n">
        <v>0</v>
      </c>
      <c r="AT939" s="48" t="n">
        <v>0</v>
      </c>
      <c r="AU939" s="49" t="n">
        <v>0</v>
      </c>
      <c r="AV939" s="49" t="n">
        <v>0</v>
      </c>
      <c r="AW939" s="50" t="n">
        <v>0</v>
      </c>
      <c r="AX939" s="51" t="n">
        <v>0</v>
      </c>
      <c r="AY939" s="52" t="n">
        <v>0</v>
      </c>
      <c r="AZ939" s="52" t="n">
        <v>0</v>
      </c>
      <c r="BA939" s="52" t="n">
        <v>0</v>
      </c>
      <c r="BB939" s="53" t="n">
        <v>0</v>
      </c>
      <c r="BC939" s="52" t="n">
        <v>0</v>
      </c>
      <c r="BD939" s="53" t="n">
        <v>0</v>
      </c>
      <c r="BE939" s="52" t="n">
        <v>0</v>
      </c>
      <c r="BF939" s="51" t="n">
        <v>0</v>
      </c>
    </row>
    <row r="940">
      <c r="A940">
        <f>HYPERLINK("https://www.walmart.com/ip/9503261828", "9503261828")</f>
        <v/>
      </c>
      <c r="B940" t="inlineStr">
        <is>
          <t>Wrangler Clear Water-Resistant Backpack for Girls, Durable Plastic See-Thru Book Bag, Backpacks for School, Laptop Backpack for Casual Use, Stadiums and Concerts, Clear Blue</t>
        </is>
      </c>
      <c r="C940" t="inlineStr">
        <is>
          <t>WR-BACKPACK-92958-BLUE</t>
        </is>
      </c>
      <c r="D940" t="inlineStr">
        <is>
          <t>Backpacks</t>
        </is>
      </c>
      <c r="E940" t="inlineStr">
        <is>
          <t>Wrangler</t>
        </is>
      </c>
      <c r="F940" t="inlineStr">
        <is>
          <t>Backpack</t>
        </is>
      </c>
      <c r="G940" s="48" t="n">
        <v>0</v>
      </c>
      <c r="H940" s="49" t="n">
        <v>0</v>
      </c>
      <c r="I940" s="49" t="n">
        <v>0</v>
      </c>
      <c r="J940" s="50" t="n">
        <v>0</v>
      </c>
      <c r="K940" s="51" t="n">
        <v>0</v>
      </c>
      <c r="L940" s="52" t="n">
        <v>0</v>
      </c>
      <c r="M940" s="52" t="n">
        <v>0</v>
      </c>
      <c r="N940" s="52" t="n">
        <v>0</v>
      </c>
      <c r="O940" s="53" t="n">
        <v>0</v>
      </c>
      <c r="P940" s="52" t="n">
        <v>0</v>
      </c>
      <c r="Q940" s="53" t="n">
        <v>0</v>
      </c>
      <c r="R940" s="52" t="n">
        <v>0</v>
      </c>
      <c r="S940" s="51" t="n">
        <v>0</v>
      </c>
      <c r="T940" s="48" t="n">
        <v>0</v>
      </c>
      <c r="U940" s="49" t="n">
        <v>0</v>
      </c>
      <c r="V940" s="49" t="n">
        <v>0</v>
      </c>
      <c r="W940" s="50" t="n">
        <v>0</v>
      </c>
      <c r="X940" s="51" t="n">
        <v>0</v>
      </c>
      <c r="Y940" s="52" t="n">
        <v>0</v>
      </c>
      <c r="Z940" s="52" t="n">
        <v>0</v>
      </c>
      <c r="AA940" s="52" t="n">
        <v>0</v>
      </c>
      <c r="AB940" s="53" t="n">
        <v>0</v>
      </c>
      <c r="AC940" s="52" t="n">
        <v>0</v>
      </c>
      <c r="AD940" s="53" t="n">
        <v>0</v>
      </c>
      <c r="AE940" s="52" t="n">
        <v>0</v>
      </c>
      <c r="AF940" s="51" t="n">
        <v>0</v>
      </c>
      <c r="AG940" s="48" t="n">
        <v>0</v>
      </c>
      <c r="AH940" s="49" t="n">
        <v>0</v>
      </c>
      <c r="AI940" s="49" t="n">
        <v>0</v>
      </c>
      <c r="AJ940" s="50" t="n">
        <v>0</v>
      </c>
      <c r="AK940" s="51" t="n">
        <v>0</v>
      </c>
      <c r="AL940" s="52" t="n">
        <v>0</v>
      </c>
      <c r="AM940" s="52" t="n">
        <v>0</v>
      </c>
      <c r="AN940" s="52" t="n">
        <v>0</v>
      </c>
      <c r="AO940" s="53" t="n">
        <v>0</v>
      </c>
      <c r="AP940" s="52" t="n">
        <v>0</v>
      </c>
      <c r="AQ940" s="53" t="n">
        <v>0</v>
      </c>
      <c r="AR940" s="52" t="n">
        <v>0</v>
      </c>
      <c r="AS940" s="51" t="n">
        <v>0</v>
      </c>
      <c r="AT940" s="48" t="n">
        <v>0</v>
      </c>
      <c r="AU940" s="49" t="n">
        <v>0</v>
      </c>
      <c r="AV940" s="49" t="n">
        <v>0</v>
      </c>
      <c r="AW940" s="50" t="n">
        <v>0</v>
      </c>
      <c r="AX940" s="51" t="n">
        <v>0</v>
      </c>
      <c r="AY940" s="52" t="n">
        <v>0</v>
      </c>
      <c r="AZ940" s="52" t="n">
        <v>0</v>
      </c>
      <c r="BA940" s="52" t="n">
        <v>0</v>
      </c>
      <c r="BB940" s="53" t="n">
        <v>0</v>
      </c>
      <c r="BC940" s="52" t="n">
        <v>0</v>
      </c>
      <c r="BD940" s="53" t="n">
        <v>0</v>
      </c>
      <c r="BE940" s="52" t="n">
        <v>0</v>
      </c>
      <c r="BF940" s="51" t="n">
        <v>0</v>
      </c>
    </row>
    <row r="941">
      <c r="A941">
        <f>HYPERLINK("https://www.walmart.com/ip/9504909126", "9504909126")</f>
        <v/>
      </c>
      <c r="B941" t="inlineStr">
        <is>
          <t>Wrangler Yellowstone Sturdy Laptop Backpack for Travel, Hiking Backpack with Classic Logo, Water Resistant Casual Daypack, Padded Sleeve College Backpack for Notebook, Burgandy Patterned</t>
        </is>
      </c>
      <c r="C941" t="inlineStr">
        <is>
          <t>WR-BACKPACK-16273-BURG</t>
        </is>
      </c>
      <c r="D941" t="inlineStr">
        <is>
          <t>Backpacks</t>
        </is>
      </c>
      <c r="E941" t="inlineStr">
        <is>
          <t>Wrangler</t>
        </is>
      </c>
      <c r="F941" t="inlineStr">
        <is>
          <t>Backpack</t>
        </is>
      </c>
      <c r="G941" s="48" t="n">
        <v>0</v>
      </c>
      <c r="H941" s="49" t="n">
        <v>0</v>
      </c>
      <c r="I941" s="49" t="n">
        <v>0</v>
      </c>
      <c r="J941" s="50" t="n">
        <v>0</v>
      </c>
      <c r="K941" s="51" t="n">
        <v>0</v>
      </c>
      <c r="L941" s="52" t="n">
        <v>0</v>
      </c>
      <c r="M941" s="52" t="n">
        <v>0</v>
      </c>
      <c r="N941" s="52" t="n">
        <v>0</v>
      </c>
      <c r="O941" s="53" t="n">
        <v>0</v>
      </c>
      <c r="P941" s="52" t="n">
        <v>0</v>
      </c>
      <c r="Q941" s="53" t="n">
        <v>0</v>
      </c>
      <c r="R941" s="52" t="n">
        <v>0</v>
      </c>
      <c r="S941" s="51" t="n">
        <v>0</v>
      </c>
      <c r="T941" s="48" t="n">
        <v>0</v>
      </c>
      <c r="U941" s="49" t="n">
        <v>0</v>
      </c>
      <c r="V941" s="49" t="n">
        <v>0</v>
      </c>
      <c r="W941" s="50" t="n">
        <v>0</v>
      </c>
      <c r="X941" s="51" t="n">
        <v>0</v>
      </c>
      <c r="Y941" s="52" t="n">
        <v>0</v>
      </c>
      <c r="Z941" s="52" t="n">
        <v>0</v>
      </c>
      <c r="AA941" s="52" t="n">
        <v>0</v>
      </c>
      <c r="AB941" s="53" t="n">
        <v>0</v>
      </c>
      <c r="AC941" s="52" t="n">
        <v>0</v>
      </c>
      <c r="AD941" s="53" t="n">
        <v>0</v>
      </c>
      <c r="AE941" s="52" t="n">
        <v>0</v>
      </c>
      <c r="AF941" s="51" t="n">
        <v>0</v>
      </c>
      <c r="AG941" s="48" t="n">
        <v>0</v>
      </c>
      <c r="AH941" s="49" t="n">
        <v>0</v>
      </c>
      <c r="AI941" s="49" t="n">
        <v>0</v>
      </c>
      <c r="AJ941" s="50" t="n">
        <v>0</v>
      </c>
      <c r="AK941" s="51" t="n">
        <v>0</v>
      </c>
      <c r="AL941" s="52" t="n">
        <v>0</v>
      </c>
      <c r="AM941" s="52" t="n">
        <v>0</v>
      </c>
      <c r="AN941" s="52" t="n">
        <v>0</v>
      </c>
      <c r="AO941" s="53" t="n">
        <v>0</v>
      </c>
      <c r="AP941" s="52" t="n">
        <v>0</v>
      </c>
      <c r="AQ941" s="53" t="n">
        <v>0</v>
      </c>
      <c r="AR941" s="52" t="n">
        <v>0</v>
      </c>
      <c r="AS941" s="51" t="n">
        <v>0</v>
      </c>
      <c r="AT941" s="48" t="n">
        <v>0</v>
      </c>
      <c r="AU941" s="49" t="n">
        <v>0</v>
      </c>
      <c r="AV941" s="49" t="n">
        <v>0</v>
      </c>
      <c r="AW941" s="50" t="n">
        <v>0</v>
      </c>
      <c r="AX941" s="51" t="n">
        <v>0</v>
      </c>
      <c r="AY941" s="52" t="n">
        <v>0</v>
      </c>
      <c r="AZ941" s="52" t="n">
        <v>0</v>
      </c>
      <c r="BA941" s="52" t="n">
        <v>0</v>
      </c>
      <c r="BB941" s="53" t="n">
        <v>0</v>
      </c>
      <c r="BC941" s="52" t="n">
        <v>0</v>
      </c>
      <c r="BD941" s="53" t="n">
        <v>0</v>
      </c>
      <c r="BE941" s="52" t="n">
        <v>0</v>
      </c>
      <c r="BF941" s="51" t="n">
        <v>0</v>
      </c>
    </row>
    <row r="942">
      <c r="A942">
        <f>HYPERLINK("https://www.walmart.com/ip/9505771380", "9505771380")</f>
        <v/>
      </c>
      <c r="B942" t="inlineStr">
        <is>
          <t>Wrangler Clear Water-Resistant Backpack for Girls, Durable Plastic See-Thru Book Bag, Backpacks for School, Laptop Backpack for Casual Use, Stadiums and Concerts, Clear Black</t>
        </is>
      </c>
      <c r="C942" t="inlineStr">
        <is>
          <t>WR-BACKPACK-92958-BLACK</t>
        </is>
      </c>
      <c r="D942" t="inlineStr">
        <is>
          <t>Backpacks</t>
        </is>
      </c>
      <c r="E942" t="inlineStr">
        <is>
          <t>Wrangler</t>
        </is>
      </c>
      <c r="F942" t="inlineStr">
        <is>
          <t>Backpack</t>
        </is>
      </c>
      <c r="G942" s="48" t="n">
        <v>0</v>
      </c>
      <c r="H942" s="49" t="n">
        <v>0</v>
      </c>
      <c r="I942" s="49" t="n">
        <v>0</v>
      </c>
      <c r="J942" s="50" t="n">
        <v>0</v>
      </c>
      <c r="K942" s="51" t="n">
        <v>0</v>
      </c>
      <c r="L942" s="52" t="n">
        <v>0</v>
      </c>
      <c r="M942" s="52" t="n">
        <v>0</v>
      </c>
      <c r="N942" s="52" t="n">
        <v>0</v>
      </c>
      <c r="O942" s="53" t="n">
        <v>0</v>
      </c>
      <c r="P942" s="52" t="n">
        <v>0</v>
      </c>
      <c r="Q942" s="53" t="n">
        <v>0</v>
      </c>
      <c r="R942" s="52" t="n">
        <v>0</v>
      </c>
      <c r="S942" s="51" t="n">
        <v>0</v>
      </c>
      <c r="T942" s="48" t="n">
        <v>0</v>
      </c>
      <c r="U942" s="49" t="n">
        <v>0</v>
      </c>
      <c r="V942" s="49" t="n">
        <v>0</v>
      </c>
      <c r="W942" s="50" t="n">
        <v>0</v>
      </c>
      <c r="X942" s="51" t="n">
        <v>0</v>
      </c>
      <c r="Y942" s="52" t="n">
        <v>0</v>
      </c>
      <c r="Z942" s="52" t="n">
        <v>0</v>
      </c>
      <c r="AA942" s="52" t="n">
        <v>0</v>
      </c>
      <c r="AB942" s="53" t="n">
        <v>0</v>
      </c>
      <c r="AC942" s="52" t="n">
        <v>0</v>
      </c>
      <c r="AD942" s="53" t="n">
        <v>0</v>
      </c>
      <c r="AE942" s="52" t="n">
        <v>0</v>
      </c>
      <c r="AF942" s="51" t="n">
        <v>0</v>
      </c>
      <c r="AG942" s="48" t="n">
        <v>0</v>
      </c>
      <c r="AH942" s="49" t="n">
        <v>0</v>
      </c>
      <c r="AI942" s="49" t="n">
        <v>0</v>
      </c>
      <c r="AJ942" s="50" t="n">
        <v>0</v>
      </c>
      <c r="AK942" s="51" t="n">
        <v>0</v>
      </c>
      <c r="AL942" s="52" t="n">
        <v>0</v>
      </c>
      <c r="AM942" s="52" t="n">
        <v>0</v>
      </c>
      <c r="AN942" s="52" t="n">
        <v>0</v>
      </c>
      <c r="AO942" s="53" t="n">
        <v>0</v>
      </c>
      <c r="AP942" s="52" t="n">
        <v>0</v>
      </c>
      <c r="AQ942" s="53" t="n">
        <v>0</v>
      </c>
      <c r="AR942" s="52" t="n">
        <v>0</v>
      </c>
      <c r="AS942" s="51" t="n">
        <v>0</v>
      </c>
      <c r="AT942" s="48" t="n">
        <v>0</v>
      </c>
      <c r="AU942" s="49" t="n">
        <v>0</v>
      </c>
      <c r="AV942" s="49" t="n">
        <v>0</v>
      </c>
      <c r="AW942" s="50" t="n">
        <v>0</v>
      </c>
      <c r="AX942" s="51" t="n">
        <v>0</v>
      </c>
      <c r="AY942" s="52" t="n">
        <v>0</v>
      </c>
      <c r="AZ942" s="52" t="n">
        <v>0</v>
      </c>
      <c r="BA942" s="52" t="n">
        <v>0</v>
      </c>
      <c r="BB942" s="53" t="n">
        <v>0</v>
      </c>
      <c r="BC942" s="52" t="n">
        <v>0</v>
      </c>
      <c r="BD942" s="53" t="n">
        <v>0</v>
      </c>
      <c r="BE942" s="52" t="n">
        <v>0</v>
      </c>
      <c r="BF942" s="51" t="n">
        <v>0</v>
      </c>
    </row>
    <row r="943">
      <c r="A943">
        <f>HYPERLINK("https://www.walmart.com/ip/950920705", "950920705")</f>
        <v/>
      </c>
      <c r="B943" t="inlineStr">
        <is>
          <t>Solaris Sun Hat for Women, Wide Brim Summer Beach Hat with Neck Flap, UPF 50+</t>
        </is>
      </c>
      <c r="C943" t="inlineStr">
        <is>
          <t>1SLSH921GY</t>
        </is>
      </c>
      <c r="D943" t="inlineStr">
        <is>
          <t>Hats</t>
        </is>
      </c>
      <c r="E943" t="inlineStr">
        <is>
          <t>Solaris</t>
        </is>
      </c>
      <c r="F943" t="inlineStr">
        <is>
          <t>Q2-Target,Optimized,Hats</t>
        </is>
      </c>
      <c r="G943" s="48" t="n">
        <v>0</v>
      </c>
      <c r="H943" s="49" t="n">
        <v>0</v>
      </c>
      <c r="I943" s="49" t="n">
        <v>0</v>
      </c>
      <c r="J943" s="50" t="n">
        <v>0</v>
      </c>
      <c r="K943" s="51" t="n">
        <v>2</v>
      </c>
      <c r="L943" s="52" t="n">
        <v>0.62</v>
      </c>
      <c r="M943" s="52" t="n">
        <v>0</v>
      </c>
      <c r="N943" s="52" t="n">
        <v>0</v>
      </c>
      <c r="O943" s="53" t="n">
        <v>0.0007</v>
      </c>
      <c r="P943" s="52" t="n">
        <v>0.31</v>
      </c>
      <c r="Q943" s="53" t="n">
        <v>0</v>
      </c>
      <c r="R943" s="52" t="n">
        <v>0</v>
      </c>
      <c r="S943" s="51" t="n">
        <v>2755</v>
      </c>
      <c r="T943" s="48" t="n">
        <v>0</v>
      </c>
      <c r="U943" s="49" t="n">
        <v>0</v>
      </c>
      <c r="V943" s="49" t="n">
        <v>0</v>
      </c>
      <c r="W943" s="50" t="n">
        <v>0</v>
      </c>
      <c r="X943" s="51" t="n">
        <v>0</v>
      </c>
      <c r="Y943" s="52" t="n">
        <v>0</v>
      </c>
      <c r="Z943" s="52" t="n">
        <v>0</v>
      </c>
      <c r="AA943" s="52" t="n">
        <v>0</v>
      </c>
      <c r="AB943" s="53" t="n">
        <v>0</v>
      </c>
      <c r="AC943" s="52" t="n">
        <v>0</v>
      </c>
      <c r="AD943" s="53" t="n">
        <v>0</v>
      </c>
      <c r="AE943" s="52" t="n">
        <v>0</v>
      </c>
      <c r="AF943" s="51" t="n">
        <v>0</v>
      </c>
      <c r="AG943" s="48" t="n">
        <v>0</v>
      </c>
      <c r="AH943" s="49" t="n">
        <v>0</v>
      </c>
      <c r="AI943" s="49" t="n">
        <v>0</v>
      </c>
      <c r="AJ943" s="50" t="n">
        <v>0</v>
      </c>
      <c r="AK943" s="51" t="n">
        <v>0</v>
      </c>
      <c r="AL943" s="52" t="n">
        <v>0</v>
      </c>
      <c r="AM943" s="52" t="n">
        <v>0</v>
      </c>
      <c r="AN943" s="52" t="n">
        <v>0</v>
      </c>
      <c r="AO943" s="53" t="n">
        <v>0</v>
      </c>
      <c r="AP943" s="52" t="n">
        <v>0</v>
      </c>
      <c r="AQ943" s="53" t="n">
        <v>0</v>
      </c>
      <c r="AR943" s="52" t="n">
        <v>0</v>
      </c>
      <c r="AS943" s="51" t="n">
        <v>0</v>
      </c>
      <c r="AT943" s="48" t="n">
        <v>0</v>
      </c>
      <c r="AU943" s="49" t="n">
        <v>0</v>
      </c>
      <c r="AV943" s="49" t="n">
        <v>0</v>
      </c>
      <c r="AW943" s="50" t="n">
        <v>0</v>
      </c>
      <c r="AX943" s="51" t="n">
        <v>0</v>
      </c>
      <c r="AY943" s="52" t="n">
        <v>0</v>
      </c>
      <c r="AZ943" s="52" t="n">
        <v>0</v>
      </c>
      <c r="BA943" s="52" t="n">
        <v>0</v>
      </c>
      <c r="BB943" s="53" t="n">
        <v>0</v>
      </c>
      <c r="BC943" s="52" t="n">
        <v>0</v>
      </c>
      <c r="BD943" s="53" t="n">
        <v>0</v>
      </c>
      <c r="BE943" s="52" t="n">
        <v>0</v>
      </c>
      <c r="BF943" s="51" t="n">
        <v>0</v>
      </c>
    </row>
    <row r="944">
      <c r="A944">
        <f>HYPERLINK("https://www.walmart.com/ip/9510258645", "9510258645")</f>
        <v/>
      </c>
      <c r="B944" t="inlineStr">
        <is>
          <t>Wrangler Yellowstone Sturdy Laptop Backpack for Travel, Hiking Backpack with Classic Logo, Water Resistant Casual Daypack, Padded Sleeve College Backpack for Notebook, Dark Brown Cord</t>
        </is>
      </c>
      <c r="C944" t="inlineStr">
        <is>
          <t>WR-BACKPACK-16273-BROWN</t>
        </is>
      </c>
      <c r="D944" t="inlineStr">
        <is>
          <t>Backpacks</t>
        </is>
      </c>
      <c r="E944" t="inlineStr">
        <is>
          <t>Wrangler</t>
        </is>
      </c>
      <c r="F944" t="inlineStr">
        <is>
          <t>Backpack</t>
        </is>
      </c>
      <c r="G944" s="48" t="n">
        <v>0</v>
      </c>
      <c r="H944" s="49" t="n">
        <v>0</v>
      </c>
      <c r="I944" s="49" t="n">
        <v>0</v>
      </c>
      <c r="J944" s="50" t="n">
        <v>0</v>
      </c>
      <c r="K944" s="51" t="n">
        <v>0</v>
      </c>
      <c r="L944" s="52" t="n">
        <v>0</v>
      </c>
      <c r="M944" s="52" t="n">
        <v>0</v>
      </c>
      <c r="N944" s="52" t="n">
        <v>0</v>
      </c>
      <c r="O944" s="53" t="n">
        <v>0</v>
      </c>
      <c r="P944" s="52" t="n">
        <v>0</v>
      </c>
      <c r="Q944" s="53" t="n">
        <v>0</v>
      </c>
      <c r="R944" s="52" t="n">
        <v>0</v>
      </c>
      <c r="S944" s="51" t="n">
        <v>0</v>
      </c>
      <c r="T944" s="48" t="n">
        <v>34.99</v>
      </c>
      <c r="U944" s="49" t="n">
        <v>1</v>
      </c>
      <c r="V944" s="49" t="n">
        <v>0</v>
      </c>
      <c r="W944" s="50" t="n">
        <v>0</v>
      </c>
      <c r="X944" s="51" t="n">
        <v>0</v>
      </c>
      <c r="Y944" s="52" t="n">
        <v>0</v>
      </c>
      <c r="Z944" s="52" t="n">
        <v>0</v>
      </c>
      <c r="AA944" s="52" t="n">
        <v>0</v>
      </c>
      <c r="AB944" s="53" t="n">
        <v>0</v>
      </c>
      <c r="AC944" s="52" t="n">
        <v>0</v>
      </c>
      <c r="AD944" s="53" t="n">
        <v>0</v>
      </c>
      <c r="AE944" s="52" t="n">
        <v>34.99</v>
      </c>
      <c r="AF944" s="51" t="n">
        <v>0</v>
      </c>
      <c r="AG944" s="48" t="n">
        <v>0</v>
      </c>
      <c r="AH944" s="49" t="n">
        <v>0</v>
      </c>
      <c r="AI944" s="49" t="n">
        <v>0</v>
      </c>
      <c r="AJ944" s="50" t="n">
        <v>0</v>
      </c>
      <c r="AK944" s="51" t="n">
        <v>0</v>
      </c>
      <c r="AL944" s="52" t="n">
        <v>0</v>
      </c>
      <c r="AM944" s="52" t="n">
        <v>0</v>
      </c>
      <c r="AN944" s="52" t="n">
        <v>0</v>
      </c>
      <c r="AO944" s="53" t="n">
        <v>0</v>
      </c>
      <c r="AP944" s="52" t="n">
        <v>0</v>
      </c>
      <c r="AQ944" s="53" t="n">
        <v>0</v>
      </c>
      <c r="AR944" s="52" t="n">
        <v>0</v>
      </c>
      <c r="AS944" s="51" t="n">
        <v>0</v>
      </c>
      <c r="AT944" s="48" t="n">
        <v>0</v>
      </c>
      <c r="AU944" s="49" t="n">
        <v>0</v>
      </c>
      <c r="AV944" s="49" t="n">
        <v>0</v>
      </c>
      <c r="AW944" s="50" t="n">
        <v>0</v>
      </c>
      <c r="AX944" s="51" t="n">
        <v>0</v>
      </c>
      <c r="AY944" s="52" t="n">
        <v>0</v>
      </c>
      <c r="AZ944" s="52" t="n">
        <v>0</v>
      </c>
      <c r="BA944" s="52" t="n">
        <v>0</v>
      </c>
      <c r="BB944" s="53" t="n">
        <v>0</v>
      </c>
      <c r="BC944" s="52" t="n">
        <v>0</v>
      </c>
      <c r="BD944" s="53" t="n">
        <v>0</v>
      </c>
      <c r="BE944" s="52" t="n">
        <v>0</v>
      </c>
      <c r="BF944" s="51" t="n">
        <v>0</v>
      </c>
    </row>
    <row r="945">
      <c r="A945">
        <f>HYPERLINK("https://www.walmart.com/ip/944975761", "944975761")</f>
        <v/>
      </c>
      <c r="B945" t="inlineStr">
        <is>
          <t>Mermaid Hooded Bath Towel for 2 to 6 Years Girl,100% Cotton Water Absorption Beach Poncho Swim Changing Robe, Sand Proof</t>
        </is>
      </c>
      <c r="C945" t="inlineStr">
        <is>
          <t>1CTBR200MM-ESCB</t>
        </is>
      </c>
      <c r="D945" t="inlineStr">
        <is>
          <t>Towels &amp; Washcloths</t>
        </is>
      </c>
      <c r="E945" t="inlineStr">
        <is>
          <t>Catalonia</t>
        </is>
      </c>
      <c r="F945" t="inlineStr">
        <is>
          <t>Baby days,Beach Robe Camp</t>
        </is>
      </c>
      <c r="G945" s="48" t="n">
        <v>0</v>
      </c>
      <c r="H945" s="49" t="n">
        <v>0</v>
      </c>
      <c r="I945" s="49" t="n">
        <v>0</v>
      </c>
      <c r="J945" s="50" t="n">
        <v>0</v>
      </c>
      <c r="K945" s="51" t="n">
        <v>0</v>
      </c>
      <c r="L945" s="52" t="n">
        <v>0</v>
      </c>
      <c r="M945" s="52" t="n">
        <v>0</v>
      </c>
      <c r="N945" s="52" t="n">
        <v>0</v>
      </c>
      <c r="O945" s="53" t="n">
        <v>0</v>
      </c>
      <c r="P945" s="52" t="n">
        <v>0</v>
      </c>
      <c r="Q945" s="53" t="n">
        <v>0</v>
      </c>
      <c r="R945" s="52" t="n">
        <v>0</v>
      </c>
      <c r="S945" s="51" t="n">
        <v>0</v>
      </c>
      <c r="T945" s="48" t="n">
        <v>0</v>
      </c>
      <c r="U945" s="49" t="n">
        <v>0</v>
      </c>
      <c r="V945" s="49" t="n">
        <v>0</v>
      </c>
      <c r="W945" s="50" t="n">
        <v>0</v>
      </c>
      <c r="X945" s="51" t="n">
        <v>0</v>
      </c>
      <c r="Y945" s="52" t="n">
        <v>0</v>
      </c>
      <c r="Z945" s="52" t="n">
        <v>0</v>
      </c>
      <c r="AA945" s="52" t="n">
        <v>0</v>
      </c>
      <c r="AB945" s="53" t="n">
        <v>0</v>
      </c>
      <c r="AC945" s="52" t="n">
        <v>0</v>
      </c>
      <c r="AD945" s="53" t="n">
        <v>0</v>
      </c>
      <c r="AE945" s="52" t="n">
        <v>0</v>
      </c>
      <c r="AF945" s="51" t="n">
        <v>0</v>
      </c>
      <c r="AG945" s="48" t="n">
        <v>0</v>
      </c>
      <c r="AH945" s="49" t="n">
        <v>0</v>
      </c>
      <c r="AI945" s="49" t="n">
        <v>0</v>
      </c>
      <c r="AJ945" s="50" t="n">
        <v>0</v>
      </c>
      <c r="AK945" s="51" t="n">
        <v>0</v>
      </c>
      <c r="AL945" s="52" t="n">
        <v>0</v>
      </c>
      <c r="AM945" s="52" t="n">
        <v>0</v>
      </c>
      <c r="AN945" s="52" t="n">
        <v>0</v>
      </c>
      <c r="AO945" s="53" t="n">
        <v>0</v>
      </c>
      <c r="AP945" s="52" t="n">
        <v>0</v>
      </c>
      <c r="AQ945" s="53" t="n">
        <v>0</v>
      </c>
      <c r="AR945" s="52" t="n">
        <v>0</v>
      </c>
      <c r="AS945" s="51" t="n">
        <v>0</v>
      </c>
      <c r="AT945" s="48" t="n">
        <v>0</v>
      </c>
      <c r="AU945" s="49" t="n">
        <v>0</v>
      </c>
      <c r="AV945" s="49" t="n">
        <v>0</v>
      </c>
      <c r="AW945" s="50" t="n">
        <v>0</v>
      </c>
      <c r="AX945" s="51" t="n">
        <v>0</v>
      </c>
      <c r="AY945" s="52" t="n">
        <v>0</v>
      </c>
      <c r="AZ945" s="52" t="n">
        <v>0</v>
      </c>
      <c r="BA945" s="52" t="n">
        <v>0</v>
      </c>
      <c r="BB945" s="53" t="n">
        <v>0</v>
      </c>
      <c r="BC945" s="52" t="n">
        <v>0</v>
      </c>
      <c r="BD945" s="53" t="n">
        <v>0</v>
      </c>
      <c r="BE945" s="52" t="n">
        <v>0</v>
      </c>
      <c r="BF945" s="51" t="n">
        <v>0</v>
      </c>
    </row>
    <row r="946">
      <c r="A946">
        <f>HYPERLINK("https://www.walmart.com/ip/943773254", "943773254")</f>
        <v/>
      </c>
      <c r="B946" t="inlineStr">
        <is>
          <t>Tirrinia Women's Wide Brim Bucket Hats Breathable Outdoor Beach Gardening Hat One Size Fits All Adult, Pink Flower Pattern</t>
        </is>
      </c>
      <c r="C946" t="inlineStr">
        <is>
          <t>1TRSH9200FPK-TBGM</t>
        </is>
      </c>
      <c r="D946" t="inlineStr">
        <is>
          <t>Hats</t>
        </is>
      </c>
      <c r="E946" t="inlineStr">
        <is>
          <t>Tirrinia</t>
        </is>
      </c>
      <c r="F946" t="inlineStr">
        <is>
          <t>Optimized,Hats</t>
        </is>
      </c>
      <c r="G946" s="48" t="n">
        <v>0</v>
      </c>
      <c r="H946" s="49" t="n">
        <v>0</v>
      </c>
      <c r="I946" s="49" t="n">
        <v>0</v>
      </c>
      <c r="J946" s="50" t="n">
        <v>0</v>
      </c>
      <c r="K946" s="51" t="n">
        <v>0</v>
      </c>
      <c r="L946" s="52" t="n">
        <v>0</v>
      </c>
      <c r="M946" s="52" t="n">
        <v>0</v>
      </c>
      <c r="N946" s="52" t="n">
        <v>0</v>
      </c>
      <c r="O946" s="53" t="n">
        <v>0</v>
      </c>
      <c r="P946" s="52" t="n">
        <v>0</v>
      </c>
      <c r="Q946" s="53" t="n">
        <v>0</v>
      </c>
      <c r="R946" s="52" t="n">
        <v>0</v>
      </c>
      <c r="S946" s="51" t="n">
        <v>0</v>
      </c>
      <c r="T946" s="48" t="n">
        <v>0</v>
      </c>
      <c r="U946" s="49" t="n">
        <v>0</v>
      </c>
      <c r="V946" s="49" t="n">
        <v>0</v>
      </c>
      <c r="W946" s="50" t="n">
        <v>0</v>
      </c>
      <c r="X946" s="51" t="n">
        <v>0</v>
      </c>
      <c r="Y946" s="52" t="n">
        <v>0</v>
      </c>
      <c r="Z946" s="52" t="n">
        <v>0</v>
      </c>
      <c r="AA946" s="52" t="n">
        <v>0</v>
      </c>
      <c r="AB946" s="53" t="n">
        <v>0</v>
      </c>
      <c r="AC946" s="52" t="n">
        <v>0</v>
      </c>
      <c r="AD946" s="53" t="n">
        <v>0</v>
      </c>
      <c r="AE946" s="52" t="n">
        <v>0</v>
      </c>
      <c r="AF946" s="51" t="n">
        <v>0</v>
      </c>
      <c r="AG946" s="48" t="n">
        <v>0</v>
      </c>
      <c r="AH946" s="49" t="n">
        <v>0</v>
      </c>
      <c r="AI946" s="49" t="n">
        <v>0</v>
      </c>
      <c r="AJ946" s="50" t="n">
        <v>0</v>
      </c>
      <c r="AK946" s="51" t="n">
        <v>0</v>
      </c>
      <c r="AL946" s="52" t="n">
        <v>0</v>
      </c>
      <c r="AM946" s="52" t="n">
        <v>0</v>
      </c>
      <c r="AN946" s="52" t="n">
        <v>0</v>
      </c>
      <c r="AO946" s="53" t="n">
        <v>0</v>
      </c>
      <c r="AP946" s="52" t="n">
        <v>0</v>
      </c>
      <c r="AQ946" s="53" t="n">
        <v>0</v>
      </c>
      <c r="AR946" s="52" t="n">
        <v>0</v>
      </c>
      <c r="AS946" s="51" t="n">
        <v>0</v>
      </c>
      <c r="AT946" s="48" t="n">
        <v>0</v>
      </c>
      <c r="AU946" s="49" t="n">
        <v>0</v>
      </c>
      <c r="AV946" s="49" t="n">
        <v>0</v>
      </c>
      <c r="AW946" s="50" t="n">
        <v>0</v>
      </c>
      <c r="AX946" s="51" t="n">
        <v>0</v>
      </c>
      <c r="AY946" s="52" t="n">
        <v>0</v>
      </c>
      <c r="AZ946" s="52" t="n">
        <v>0</v>
      </c>
      <c r="BA946" s="52" t="n">
        <v>0</v>
      </c>
      <c r="BB946" s="53" t="n">
        <v>0</v>
      </c>
      <c r="BC946" s="52" t="n">
        <v>0</v>
      </c>
      <c r="BD946" s="53" t="n">
        <v>0</v>
      </c>
      <c r="BE946" s="52" t="n">
        <v>0</v>
      </c>
      <c r="BF946" s="51" t="n">
        <v>0</v>
      </c>
    </row>
    <row r="947">
      <c r="A947">
        <f>HYPERLINK("https://www.walmart.com/ip/9605755115", "9605755115")</f>
        <v/>
      </c>
      <c r="B947" t="inlineStr">
        <is>
          <t>National Park Foundation Hydration Backpack with 2L Hydro Water Bladder Bag, Lightweight Hiking Backpack, Travel Backpack for Cycling, Running, and Climbing, 18L,Blue</t>
        </is>
      </c>
      <c r="C947" t="inlineStr">
        <is>
          <t>NPF-BACKPACK-HYDRATION-BLUE</t>
        </is>
      </c>
      <c r="D947" t="inlineStr">
        <is>
          <t>Backpacks</t>
        </is>
      </c>
      <c r="E947" t="inlineStr">
        <is>
          <t>National Park Foundation</t>
        </is>
      </c>
      <c r="F947" t="inlineStr">
        <is>
          <t>Backpack</t>
        </is>
      </c>
      <c r="G947" s="48" t="n">
        <v>0</v>
      </c>
      <c r="H947" s="49" t="n">
        <v>0</v>
      </c>
      <c r="I947" s="49" t="n">
        <v>0</v>
      </c>
      <c r="J947" s="50" t="n">
        <v>0</v>
      </c>
      <c r="K947" s="51" t="n">
        <v>0</v>
      </c>
      <c r="L947" s="52" t="n">
        <v>0</v>
      </c>
      <c r="M947" s="52" t="n">
        <v>0</v>
      </c>
      <c r="N947" s="52" t="n">
        <v>0</v>
      </c>
      <c r="O947" s="53" t="n">
        <v>0</v>
      </c>
      <c r="P947" s="52" t="n">
        <v>0</v>
      </c>
      <c r="Q947" s="53" t="n">
        <v>0</v>
      </c>
      <c r="R947" s="52" t="n">
        <v>0</v>
      </c>
      <c r="S947" s="51" t="n">
        <v>0</v>
      </c>
      <c r="T947" s="48" t="n">
        <v>0</v>
      </c>
      <c r="U947" s="49" t="n">
        <v>0</v>
      </c>
      <c r="V947" s="49" t="n">
        <v>0</v>
      </c>
      <c r="W947" s="50" t="n">
        <v>0</v>
      </c>
      <c r="X947" s="51" t="n">
        <v>0</v>
      </c>
      <c r="Y947" s="52" t="n">
        <v>0</v>
      </c>
      <c r="Z947" s="52" t="n">
        <v>0</v>
      </c>
      <c r="AA947" s="52" t="n">
        <v>0</v>
      </c>
      <c r="AB947" s="53" t="n">
        <v>0</v>
      </c>
      <c r="AC947" s="52" t="n">
        <v>0</v>
      </c>
      <c r="AD947" s="53" t="n">
        <v>0</v>
      </c>
      <c r="AE947" s="52" t="n">
        <v>0</v>
      </c>
      <c r="AF947" s="51" t="n">
        <v>0</v>
      </c>
      <c r="AG947" s="48" t="n">
        <v>0</v>
      </c>
      <c r="AH947" s="49" t="n">
        <v>0</v>
      </c>
      <c r="AI947" s="49" t="n">
        <v>0</v>
      </c>
      <c r="AJ947" s="50" t="n">
        <v>0</v>
      </c>
      <c r="AK947" s="51" t="n">
        <v>0</v>
      </c>
      <c r="AL947" s="52" t="n">
        <v>0</v>
      </c>
      <c r="AM947" s="52" t="n">
        <v>0</v>
      </c>
      <c r="AN947" s="52" t="n">
        <v>0</v>
      </c>
      <c r="AO947" s="53" t="n">
        <v>0</v>
      </c>
      <c r="AP947" s="52" t="n">
        <v>0</v>
      </c>
      <c r="AQ947" s="53" t="n">
        <v>0</v>
      </c>
      <c r="AR947" s="52" t="n">
        <v>0</v>
      </c>
      <c r="AS947" s="51" t="n">
        <v>0</v>
      </c>
      <c r="AT947" s="48" t="n">
        <v>0</v>
      </c>
      <c r="AU947" s="49" t="n">
        <v>0</v>
      </c>
      <c r="AV947" s="49" t="n">
        <v>0</v>
      </c>
      <c r="AW947" s="50" t="n">
        <v>0</v>
      </c>
      <c r="AX947" s="51" t="n">
        <v>0</v>
      </c>
      <c r="AY947" s="52" t="n">
        <v>0</v>
      </c>
      <c r="AZ947" s="52" t="n">
        <v>0</v>
      </c>
      <c r="BA947" s="52" t="n">
        <v>0</v>
      </c>
      <c r="BB947" s="53" t="n">
        <v>0</v>
      </c>
      <c r="BC947" s="52" t="n">
        <v>0</v>
      </c>
      <c r="BD947" s="53" t="n">
        <v>0</v>
      </c>
      <c r="BE947" s="52" t="n">
        <v>0</v>
      </c>
      <c r="BF947" s="51" t="n">
        <v>0</v>
      </c>
    </row>
    <row r="948">
      <c r="A948">
        <f>HYPERLINK("https://www.walmart.com/ip/943416028", "943416028")</f>
        <v/>
      </c>
      <c r="B948" t="inlineStr">
        <is>
          <t>Ski Gloves for Women &amp; Men 3M Winter Snow Gloves Mittens Insulation Waterproof for Outdoors Sports</t>
        </is>
      </c>
      <c r="C948" t="inlineStr">
        <is>
          <t>1SLWG100BLM</t>
        </is>
      </c>
      <c r="D948" t="inlineStr">
        <is>
          <t>Gloves &amp; Mittens</t>
        </is>
      </c>
      <c r="E948" t="inlineStr">
        <is>
          <t>Solaris</t>
        </is>
      </c>
      <c r="F948" t="inlineStr">
        <is>
          <t>Gloves,Batch 1 - TR</t>
        </is>
      </c>
      <c r="G948" s="48" t="n">
        <v>0</v>
      </c>
      <c r="H948" s="49" t="n">
        <v>0</v>
      </c>
      <c r="I948" s="49" t="n">
        <v>0</v>
      </c>
      <c r="J948" s="50" t="n">
        <v>0</v>
      </c>
      <c r="K948" s="51" t="n">
        <v>0</v>
      </c>
      <c r="L948" s="52" t="n">
        <v>0</v>
      </c>
      <c r="M948" s="52" t="n">
        <v>0</v>
      </c>
      <c r="N948" s="52" t="n">
        <v>0</v>
      </c>
      <c r="O948" s="53" t="n">
        <v>0</v>
      </c>
      <c r="P948" s="52" t="n">
        <v>0</v>
      </c>
      <c r="Q948" s="53" t="n">
        <v>0</v>
      </c>
      <c r="R948" s="52" t="n">
        <v>0</v>
      </c>
      <c r="S948" s="51" t="n">
        <v>0</v>
      </c>
      <c r="T948" s="48" t="n">
        <v>0</v>
      </c>
      <c r="U948" s="49" t="n">
        <v>0</v>
      </c>
      <c r="V948" s="49" t="n">
        <v>0</v>
      </c>
      <c r="W948" s="50" t="n">
        <v>0</v>
      </c>
      <c r="X948" s="51" t="n">
        <v>0</v>
      </c>
      <c r="Y948" s="52" t="n">
        <v>0</v>
      </c>
      <c r="Z948" s="52" t="n">
        <v>0</v>
      </c>
      <c r="AA948" s="52" t="n">
        <v>0</v>
      </c>
      <c r="AB948" s="53" t="n">
        <v>0</v>
      </c>
      <c r="AC948" s="52" t="n">
        <v>0</v>
      </c>
      <c r="AD948" s="53" t="n">
        <v>0</v>
      </c>
      <c r="AE948" s="52" t="n">
        <v>0</v>
      </c>
      <c r="AF948" s="51" t="n">
        <v>0</v>
      </c>
      <c r="AG948" s="48" t="n">
        <v>0</v>
      </c>
      <c r="AH948" s="49" t="n">
        <v>0</v>
      </c>
      <c r="AI948" s="49" t="n">
        <v>0</v>
      </c>
      <c r="AJ948" s="50" t="n">
        <v>0</v>
      </c>
      <c r="AK948" s="51" t="n">
        <v>0</v>
      </c>
      <c r="AL948" s="52" t="n">
        <v>0</v>
      </c>
      <c r="AM948" s="52" t="n">
        <v>0</v>
      </c>
      <c r="AN948" s="52" t="n">
        <v>0</v>
      </c>
      <c r="AO948" s="53" t="n">
        <v>0</v>
      </c>
      <c r="AP948" s="52" t="n">
        <v>0</v>
      </c>
      <c r="AQ948" s="53" t="n">
        <v>0</v>
      </c>
      <c r="AR948" s="52" t="n">
        <v>0</v>
      </c>
      <c r="AS948" s="51" t="n">
        <v>0</v>
      </c>
      <c r="AT948" s="48" t="n">
        <v>0</v>
      </c>
      <c r="AU948" s="49" t="n">
        <v>0</v>
      </c>
      <c r="AV948" s="49" t="n">
        <v>0</v>
      </c>
      <c r="AW948" s="50" t="n">
        <v>0</v>
      </c>
      <c r="AX948" s="51" t="n">
        <v>0</v>
      </c>
      <c r="AY948" s="52" t="n">
        <v>0</v>
      </c>
      <c r="AZ948" s="52" t="n">
        <v>0</v>
      </c>
      <c r="BA948" s="52" t="n">
        <v>0</v>
      </c>
      <c r="BB948" s="53" t="n">
        <v>0</v>
      </c>
      <c r="BC948" s="52" t="n">
        <v>0</v>
      </c>
      <c r="BD948" s="53" t="n">
        <v>0</v>
      </c>
      <c r="BE948" s="52" t="n">
        <v>0</v>
      </c>
      <c r="BF948" s="51" t="n">
        <v>0</v>
      </c>
    </row>
    <row r="949">
      <c r="A949">
        <f>HYPERLINK("https://www.walmart.com/ip/935225656", "935225656")</f>
        <v/>
      </c>
      <c r="B949" t="inlineStr">
        <is>
          <t>Tirrinia Soft Velvet Plush Throw Blanket 50”x 70” Microfiber Lightweight Warm Home Bed Sofa Couch</t>
        </is>
      </c>
      <c r="C949" t="inlineStr">
        <is>
          <t>1TRBF8023GY-TBGM</t>
        </is>
      </c>
      <c r="D949" t="inlineStr">
        <is>
          <t>Throws</t>
        </is>
      </c>
      <c r="E949" t="inlineStr">
        <is>
          <t>Tirrinia</t>
        </is>
      </c>
      <c r="F949" t="inlineStr">
        <is>
          <t>Optimized</t>
        </is>
      </c>
      <c r="G949" s="48" t="n">
        <v>0</v>
      </c>
      <c r="H949" s="49" t="n">
        <v>0</v>
      </c>
      <c r="I949" s="49" t="n">
        <v>0</v>
      </c>
      <c r="J949" s="50" t="n">
        <v>0</v>
      </c>
      <c r="K949" s="51" t="n">
        <v>0</v>
      </c>
      <c r="L949" s="52" t="n">
        <v>0</v>
      </c>
      <c r="M949" s="52" t="n">
        <v>0</v>
      </c>
      <c r="N949" s="52" t="n">
        <v>0</v>
      </c>
      <c r="O949" s="53" t="n">
        <v>0</v>
      </c>
      <c r="P949" s="52" t="n">
        <v>0</v>
      </c>
      <c r="Q949" s="53" t="n">
        <v>0</v>
      </c>
      <c r="R949" s="52" t="n">
        <v>0</v>
      </c>
      <c r="S949" s="51" t="n">
        <v>0</v>
      </c>
      <c r="T949" s="48" t="n">
        <v>0</v>
      </c>
      <c r="U949" s="49" t="n">
        <v>0</v>
      </c>
      <c r="V949" s="49" t="n">
        <v>0</v>
      </c>
      <c r="W949" s="50" t="n">
        <v>0</v>
      </c>
      <c r="X949" s="51" t="n">
        <v>0</v>
      </c>
      <c r="Y949" s="52" t="n">
        <v>0</v>
      </c>
      <c r="Z949" s="52" t="n">
        <v>0</v>
      </c>
      <c r="AA949" s="52" t="n">
        <v>0</v>
      </c>
      <c r="AB949" s="53" t="n">
        <v>0</v>
      </c>
      <c r="AC949" s="52" t="n">
        <v>0</v>
      </c>
      <c r="AD949" s="53" t="n">
        <v>0</v>
      </c>
      <c r="AE949" s="52" t="n">
        <v>0</v>
      </c>
      <c r="AF949" s="51" t="n">
        <v>0</v>
      </c>
      <c r="AG949" s="48" t="n">
        <v>0</v>
      </c>
      <c r="AH949" s="49" t="n">
        <v>0</v>
      </c>
      <c r="AI949" s="49" t="n">
        <v>0</v>
      </c>
      <c r="AJ949" s="50" t="n">
        <v>0</v>
      </c>
      <c r="AK949" s="51" t="n">
        <v>0</v>
      </c>
      <c r="AL949" s="52" t="n">
        <v>0</v>
      </c>
      <c r="AM949" s="52" t="n">
        <v>0</v>
      </c>
      <c r="AN949" s="52" t="n">
        <v>0</v>
      </c>
      <c r="AO949" s="53" t="n">
        <v>0</v>
      </c>
      <c r="AP949" s="52" t="n">
        <v>0</v>
      </c>
      <c r="AQ949" s="53" t="n">
        <v>0</v>
      </c>
      <c r="AR949" s="52" t="n">
        <v>0</v>
      </c>
      <c r="AS949" s="51" t="n">
        <v>0</v>
      </c>
      <c r="AT949" s="48" t="n">
        <v>0</v>
      </c>
      <c r="AU949" s="49" t="n">
        <v>0</v>
      </c>
      <c r="AV949" s="49" t="n">
        <v>0</v>
      </c>
      <c r="AW949" s="50" t="n">
        <v>0</v>
      </c>
      <c r="AX949" s="51" t="n">
        <v>0</v>
      </c>
      <c r="AY949" s="52" t="n">
        <v>0</v>
      </c>
      <c r="AZ949" s="52" t="n">
        <v>0</v>
      </c>
      <c r="BA949" s="52" t="n">
        <v>0</v>
      </c>
      <c r="BB949" s="53" t="n">
        <v>0</v>
      </c>
      <c r="BC949" s="52" t="n">
        <v>0</v>
      </c>
      <c r="BD949" s="53" t="n">
        <v>0</v>
      </c>
      <c r="BE949" s="52" t="n">
        <v>0</v>
      </c>
      <c r="BF949" s="51" t="n">
        <v>0</v>
      </c>
    </row>
    <row r="950">
      <c r="A950">
        <f>HYPERLINK("https://www.walmart.com/ip/935279484", "935279484")</f>
        <v/>
      </c>
      <c r="B950" t="inlineStr">
        <is>
          <t>Tirrinia Unisex Surf Poncho Changing Towel Robe for Adult Surfer Swimmer Outdoor Beach Black</t>
        </is>
      </c>
      <c r="C950" t="inlineStr">
        <is>
          <t>1WMBR100-BK</t>
        </is>
      </c>
      <c r="D950" t="inlineStr">
        <is>
          <t>Sleepwear Robes &amp; Bathrobes</t>
        </is>
      </c>
      <c r="E950" t="inlineStr">
        <is>
          <t>Flyingstar</t>
        </is>
      </c>
      <c r="F950" t="inlineStr">
        <is>
          <t>Optimized,Beach Robe Camp</t>
        </is>
      </c>
      <c r="G950" s="48" t="n">
        <v>0</v>
      </c>
      <c r="H950" s="49" t="n">
        <v>0</v>
      </c>
      <c r="I950" s="49" t="n">
        <v>0</v>
      </c>
      <c r="J950" s="50" t="n">
        <v>0</v>
      </c>
      <c r="K950" s="51" t="n">
        <v>0</v>
      </c>
      <c r="L950" s="52" t="n">
        <v>0</v>
      </c>
      <c r="M950" s="52" t="n">
        <v>0</v>
      </c>
      <c r="N950" s="52" t="n">
        <v>0</v>
      </c>
      <c r="O950" s="53" t="n">
        <v>0</v>
      </c>
      <c r="P950" s="52" t="n">
        <v>0</v>
      </c>
      <c r="Q950" s="53" t="n">
        <v>0</v>
      </c>
      <c r="R950" s="52" t="n">
        <v>0</v>
      </c>
      <c r="S950" s="51" t="n">
        <v>0</v>
      </c>
      <c r="T950" s="48" t="n">
        <v>0</v>
      </c>
      <c r="U950" s="49" t="n">
        <v>0</v>
      </c>
      <c r="V950" s="49" t="n">
        <v>0</v>
      </c>
      <c r="W950" s="50" t="n">
        <v>0</v>
      </c>
      <c r="X950" s="51" t="n">
        <v>0</v>
      </c>
      <c r="Y950" s="52" t="n">
        <v>0</v>
      </c>
      <c r="Z950" s="52" t="n">
        <v>0</v>
      </c>
      <c r="AA950" s="52" t="n">
        <v>0</v>
      </c>
      <c r="AB950" s="53" t="n">
        <v>0</v>
      </c>
      <c r="AC950" s="52" t="n">
        <v>0</v>
      </c>
      <c r="AD950" s="53" t="n">
        <v>0</v>
      </c>
      <c r="AE950" s="52" t="n">
        <v>0</v>
      </c>
      <c r="AF950" s="51" t="n">
        <v>0</v>
      </c>
      <c r="AG950" s="48" t="n">
        <v>0</v>
      </c>
      <c r="AH950" s="49" t="n">
        <v>0</v>
      </c>
      <c r="AI950" s="49" t="n">
        <v>0</v>
      </c>
      <c r="AJ950" s="50" t="n">
        <v>0</v>
      </c>
      <c r="AK950" s="51" t="n">
        <v>0</v>
      </c>
      <c r="AL950" s="52" t="n">
        <v>0</v>
      </c>
      <c r="AM950" s="52" t="n">
        <v>0</v>
      </c>
      <c r="AN950" s="52" t="n">
        <v>0</v>
      </c>
      <c r="AO950" s="53" t="n">
        <v>0</v>
      </c>
      <c r="AP950" s="52" t="n">
        <v>0</v>
      </c>
      <c r="AQ950" s="53" t="n">
        <v>0</v>
      </c>
      <c r="AR950" s="52" t="n">
        <v>0</v>
      </c>
      <c r="AS950" s="51" t="n">
        <v>0</v>
      </c>
      <c r="AT950" s="48" t="n">
        <v>0</v>
      </c>
      <c r="AU950" s="49" t="n">
        <v>0</v>
      </c>
      <c r="AV950" s="49" t="n">
        <v>0</v>
      </c>
      <c r="AW950" s="50" t="n">
        <v>0</v>
      </c>
      <c r="AX950" s="51" t="n">
        <v>0</v>
      </c>
      <c r="AY950" s="52" t="n">
        <v>0</v>
      </c>
      <c r="AZ950" s="52" t="n">
        <v>0</v>
      </c>
      <c r="BA950" s="52" t="n">
        <v>0</v>
      </c>
      <c r="BB950" s="53" t="n">
        <v>0</v>
      </c>
      <c r="BC950" s="52" t="n">
        <v>0</v>
      </c>
      <c r="BD950" s="53" t="n">
        <v>0</v>
      </c>
      <c r="BE950" s="52" t="n">
        <v>0</v>
      </c>
      <c r="BF950" s="51" t="n">
        <v>0</v>
      </c>
    </row>
    <row r="951">
      <c r="A951">
        <f>HYPERLINK("https://www.walmart.com/ip/935577192", "935577192")</f>
        <v/>
      </c>
      <c r="B951" t="inlineStr">
        <is>
          <t>Catalonia Oversized Hoodie Blanket with Zipper, Wearable Sherpa Sweatshirt Pullover, Soft Warm Comfortable Jacket for Adults Men Women, Wine</t>
        </is>
      </c>
      <c r="C951" t="inlineStr">
        <is>
          <t>1CTHD220WN</t>
        </is>
      </c>
      <c r="D951" t="inlineStr">
        <is>
          <t>Throws</t>
        </is>
      </c>
      <c r="E951" t="inlineStr">
        <is>
          <t>Catalonia</t>
        </is>
      </c>
      <c r="F951" t="inlineStr">
        <is>
          <t>Hoodie ForAdult,WFS,Coupon_Discount,WFS Item</t>
        </is>
      </c>
      <c r="G951" s="48" t="n">
        <v>0</v>
      </c>
      <c r="H951" s="49" t="n">
        <v>0</v>
      </c>
      <c r="I951" s="49" t="n">
        <v>0</v>
      </c>
      <c r="J951" s="50" t="n">
        <v>0</v>
      </c>
      <c r="K951" s="51" t="n">
        <v>0</v>
      </c>
      <c r="L951" s="52" t="n">
        <v>0</v>
      </c>
      <c r="M951" s="52" t="n">
        <v>0</v>
      </c>
      <c r="N951" s="52" t="n">
        <v>0</v>
      </c>
      <c r="O951" s="53" t="n">
        <v>0</v>
      </c>
      <c r="P951" s="52" t="n">
        <v>0</v>
      </c>
      <c r="Q951" s="53" t="n">
        <v>0</v>
      </c>
      <c r="R951" s="52" t="n">
        <v>0</v>
      </c>
      <c r="S951" s="51" t="n">
        <v>0</v>
      </c>
      <c r="T951" s="48" t="n">
        <v>0</v>
      </c>
      <c r="U951" s="49" t="n">
        <v>0</v>
      </c>
      <c r="V951" s="49" t="n">
        <v>0</v>
      </c>
      <c r="W951" s="50" t="n">
        <v>0</v>
      </c>
      <c r="X951" s="51" t="n">
        <v>0</v>
      </c>
      <c r="Y951" s="52" t="n">
        <v>0</v>
      </c>
      <c r="Z951" s="52" t="n">
        <v>0</v>
      </c>
      <c r="AA951" s="52" t="n">
        <v>0</v>
      </c>
      <c r="AB951" s="53" t="n">
        <v>0</v>
      </c>
      <c r="AC951" s="52" t="n">
        <v>0</v>
      </c>
      <c r="AD951" s="53" t="n">
        <v>0</v>
      </c>
      <c r="AE951" s="52" t="n">
        <v>0</v>
      </c>
      <c r="AF951" s="51" t="n">
        <v>0</v>
      </c>
      <c r="AG951" s="48" t="n">
        <v>0</v>
      </c>
      <c r="AH951" s="49" t="n">
        <v>0</v>
      </c>
      <c r="AI951" s="49" t="n">
        <v>0</v>
      </c>
      <c r="AJ951" s="50" t="n">
        <v>0</v>
      </c>
      <c r="AK951" s="51" t="n">
        <v>0</v>
      </c>
      <c r="AL951" s="52" t="n">
        <v>0</v>
      </c>
      <c r="AM951" s="52" t="n">
        <v>0</v>
      </c>
      <c r="AN951" s="52" t="n">
        <v>0</v>
      </c>
      <c r="AO951" s="53" t="n">
        <v>0</v>
      </c>
      <c r="AP951" s="52" t="n">
        <v>0</v>
      </c>
      <c r="AQ951" s="53" t="n">
        <v>0</v>
      </c>
      <c r="AR951" s="52" t="n">
        <v>0</v>
      </c>
      <c r="AS951" s="51" t="n">
        <v>0</v>
      </c>
      <c r="AT951" s="48" t="n">
        <v>0</v>
      </c>
      <c r="AU951" s="49" t="n">
        <v>0</v>
      </c>
      <c r="AV951" s="49" t="n">
        <v>0</v>
      </c>
      <c r="AW951" s="50" t="n">
        <v>0</v>
      </c>
      <c r="AX951" s="51" t="n">
        <v>0</v>
      </c>
      <c r="AY951" s="52" t="n">
        <v>0</v>
      </c>
      <c r="AZ951" s="52" t="n">
        <v>0</v>
      </c>
      <c r="BA951" s="52" t="n">
        <v>0</v>
      </c>
      <c r="BB951" s="53" t="n">
        <v>0</v>
      </c>
      <c r="BC951" s="52" t="n">
        <v>0</v>
      </c>
      <c r="BD951" s="53" t="n">
        <v>0</v>
      </c>
      <c r="BE951" s="52" t="n">
        <v>0</v>
      </c>
      <c r="BF951" s="51" t="n">
        <v>0</v>
      </c>
    </row>
    <row r="952">
      <c r="A952">
        <f>HYPERLINK("https://www.walmart.com/ip/936465595", "936465595")</f>
        <v/>
      </c>
      <c r="B952" t="inlineStr">
        <is>
          <t>Flyingstar Sherpa Throws Blanket, Fleece Soft Cozy Blanket Throws for Sofa Bed 50"x60"</t>
        </is>
      </c>
      <c r="C952" t="inlineStr">
        <is>
          <t>1WMBF301PK-ESGM</t>
        </is>
      </c>
      <c r="D952" t="inlineStr">
        <is>
          <t>Throws</t>
        </is>
      </c>
      <c r="E952" t="inlineStr">
        <is>
          <t>Flyingstar</t>
        </is>
      </c>
      <c r="F952" t="inlineStr">
        <is>
          <t>Optimized</t>
        </is>
      </c>
      <c r="G952" s="48" t="n">
        <v>0</v>
      </c>
      <c r="H952" s="49" t="n">
        <v>0</v>
      </c>
      <c r="I952" s="49" t="n">
        <v>0</v>
      </c>
      <c r="J952" s="50" t="n">
        <v>0</v>
      </c>
      <c r="K952" s="51" t="n">
        <v>0</v>
      </c>
      <c r="L952" s="52" t="n">
        <v>0</v>
      </c>
      <c r="M952" s="52" t="n">
        <v>0</v>
      </c>
      <c r="N952" s="52" t="n">
        <v>0</v>
      </c>
      <c r="O952" s="53" t="n">
        <v>0</v>
      </c>
      <c r="P952" s="52" t="n">
        <v>0</v>
      </c>
      <c r="Q952" s="53" t="n">
        <v>0</v>
      </c>
      <c r="R952" s="52" t="n">
        <v>0</v>
      </c>
      <c r="S952" s="51" t="n">
        <v>0</v>
      </c>
      <c r="T952" s="48" t="n">
        <v>0</v>
      </c>
      <c r="U952" s="49" t="n">
        <v>0</v>
      </c>
      <c r="V952" s="49" t="n">
        <v>0</v>
      </c>
      <c r="W952" s="50" t="n">
        <v>0</v>
      </c>
      <c r="X952" s="51" t="n">
        <v>0</v>
      </c>
      <c r="Y952" s="52" t="n">
        <v>0</v>
      </c>
      <c r="Z952" s="52" t="n">
        <v>0</v>
      </c>
      <c r="AA952" s="52" t="n">
        <v>0</v>
      </c>
      <c r="AB952" s="53" t="n">
        <v>0</v>
      </c>
      <c r="AC952" s="52" t="n">
        <v>0</v>
      </c>
      <c r="AD952" s="53" t="n">
        <v>0</v>
      </c>
      <c r="AE952" s="52" t="n">
        <v>0</v>
      </c>
      <c r="AF952" s="51" t="n">
        <v>0</v>
      </c>
      <c r="AG952" s="48" t="n">
        <v>0</v>
      </c>
      <c r="AH952" s="49" t="n">
        <v>0</v>
      </c>
      <c r="AI952" s="49" t="n">
        <v>0</v>
      </c>
      <c r="AJ952" s="50" t="n">
        <v>0</v>
      </c>
      <c r="AK952" s="51" t="n">
        <v>0</v>
      </c>
      <c r="AL952" s="52" t="n">
        <v>0</v>
      </c>
      <c r="AM952" s="52" t="n">
        <v>0</v>
      </c>
      <c r="AN952" s="52" t="n">
        <v>0</v>
      </c>
      <c r="AO952" s="53" t="n">
        <v>0</v>
      </c>
      <c r="AP952" s="52" t="n">
        <v>0</v>
      </c>
      <c r="AQ952" s="53" t="n">
        <v>0</v>
      </c>
      <c r="AR952" s="52" t="n">
        <v>0</v>
      </c>
      <c r="AS952" s="51" t="n">
        <v>0</v>
      </c>
      <c r="AT952" s="48" t="n">
        <v>0</v>
      </c>
      <c r="AU952" s="49" t="n">
        <v>0</v>
      </c>
      <c r="AV952" s="49" t="n">
        <v>0</v>
      </c>
      <c r="AW952" s="50" t="n">
        <v>0</v>
      </c>
      <c r="AX952" s="51" t="n">
        <v>0</v>
      </c>
      <c r="AY952" s="52" t="n">
        <v>0</v>
      </c>
      <c r="AZ952" s="52" t="n">
        <v>0</v>
      </c>
      <c r="BA952" s="52" t="n">
        <v>0</v>
      </c>
      <c r="BB952" s="53" t="n">
        <v>0</v>
      </c>
      <c r="BC952" s="52" t="n">
        <v>0</v>
      </c>
      <c r="BD952" s="53" t="n">
        <v>0</v>
      </c>
      <c r="BE952" s="52" t="n">
        <v>0</v>
      </c>
      <c r="BF952" s="51" t="n">
        <v>0</v>
      </c>
    </row>
    <row r="953">
      <c r="A953">
        <f>HYPERLINK("https://www.walmart.com/ip/936528233", "936528233")</f>
        <v/>
      </c>
      <c r="B953" t="inlineStr">
        <is>
          <t>Sun Blocker Outdoor Sun Protection Fishing Cap with Neck Flap, Wide Brim Sun Hat for Travel Camping Hiking Hunting Boating Safari Cap with Adjustable Drawstring, Digital Gray</t>
        </is>
      </c>
      <c r="C953" t="inlineStr">
        <is>
          <t>kc-s9150-digigy-ZFH</t>
        </is>
      </c>
      <c r="D953" t="inlineStr">
        <is>
          <t>Hats</t>
        </is>
      </c>
      <c r="E953" t="inlineStr">
        <is>
          <t>Sun Blocker</t>
        </is>
      </c>
      <c r="F953" t="inlineStr">
        <is>
          <t>Optimized</t>
        </is>
      </c>
      <c r="G953" s="48" t="n">
        <v>0</v>
      </c>
      <c r="H953" s="49" t="n">
        <v>0</v>
      </c>
      <c r="I953" s="49" t="n">
        <v>0</v>
      </c>
      <c r="J953" s="50" t="n">
        <v>0</v>
      </c>
      <c r="K953" s="51" t="n">
        <v>0</v>
      </c>
      <c r="L953" s="52" t="n">
        <v>0</v>
      </c>
      <c r="M953" s="52" t="n">
        <v>0</v>
      </c>
      <c r="N953" s="52" t="n">
        <v>0</v>
      </c>
      <c r="O953" s="53" t="n">
        <v>0</v>
      </c>
      <c r="P953" s="52" t="n">
        <v>0</v>
      </c>
      <c r="Q953" s="53" t="n">
        <v>0</v>
      </c>
      <c r="R953" s="52" t="n">
        <v>0</v>
      </c>
      <c r="S953" s="51" t="n">
        <v>0</v>
      </c>
      <c r="T953" s="48" t="n">
        <v>0</v>
      </c>
      <c r="U953" s="49" t="n">
        <v>0</v>
      </c>
      <c r="V953" s="49" t="n">
        <v>0</v>
      </c>
      <c r="W953" s="50" t="n">
        <v>0</v>
      </c>
      <c r="X953" s="51" t="n">
        <v>0</v>
      </c>
      <c r="Y953" s="52" t="n">
        <v>0</v>
      </c>
      <c r="Z953" s="52" t="n">
        <v>0</v>
      </c>
      <c r="AA953" s="52" t="n">
        <v>0</v>
      </c>
      <c r="AB953" s="53" t="n">
        <v>0</v>
      </c>
      <c r="AC953" s="52" t="n">
        <v>0</v>
      </c>
      <c r="AD953" s="53" t="n">
        <v>0</v>
      </c>
      <c r="AE953" s="52" t="n">
        <v>0</v>
      </c>
      <c r="AF953" s="51" t="n">
        <v>0</v>
      </c>
      <c r="AG953" s="48" t="n">
        <v>0</v>
      </c>
      <c r="AH953" s="49" t="n">
        <v>0</v>
      </c>
      <c r="AI953" s="49" t="n">
        <v>0</v>
      </c>
      <c r="AJ953" s="50" t="n">
        <v>0</v>
      </c>
      <c r="AK953" s="51" t="n">
        <v>0</v>
      </c>
      <c r="AL953" s="52" t="n">
        <v>0</v>
      </c>
      <c r="AM953" s="52" t="n">
        <v>0</v>
      </c>
      <c r="AN953" s="52" t="n">
        <v>0</v>
      </c>
      <c r="AO953" s="53" t="n">
        <v>0</v>
      </c>
      <c r="AP953" s="52" t="n">
        <v>0</v>
      </c>
      <c r="AQ953" s="53" t="n">
        <v>0</v>
      </c>
      <c r="AR953" s="52" t="n">
        <v>0</v>
      </c>
      <c r="AS953" s="51" t="n">
        <v>0</v>
      </c>
      <c r="AT953" s="48" t="n">
        <v>0</v>
      </c>
      <c r="AU953" s="49" t="n">
        <v>0</v>
      </c>
      <c r="AV953" s="49" t="n">
        <v>0</v>
      </c>
      <c r="AW953" s="50" t="n">
        <v>0</v>
      </c>
      <c r="AX953" s="51" t="n">
        <v>0</v>
      </c>
      <c r="AY953" s="52" t="n">
        <v>0</v>
      </c>
      <c r="AZ953" s="52" t="n">
        <v>0</v>
      </c>
      <c r="BA953" s="52" t="n">
        <v>0</v>
      </c>
      <c r="BB953" s="53" t="n">
        <v>0</v>
      </c>
      <c r="BC953" s="52" t="n">
        <v>0</v>
      </c>
      <c r="BD953" s="53" t="n">
        <v>0</v>
      </c>
      <c r="BE953" s="52" t="n">
        <v>0</v>
      </c>
      <c r="BF953" s="51" t="n">
        <v>0</v>
      </c>
    </row>
    <row r="954">
      <c r="A954">
        <f>HYPERLINK("https://www.walmart.com/ip/938317779", "938317779")</f>
        <v/>
      </c>
      <c r="B954" t="inlineStr">
        <is>
          <t>Sherpa Fleece Throw Blanket for Kids,Super Soft Light Weight Reversible Fuzzy Snuggle Blanket for Camping Couch Bed All</t>
        </is>
      </c>
      <c r="C954" t="inlineStr">
        <is>
          <t>1CTBF579PP</t>
        </is>
      </c>
      <c r="D954" t="inlineStr">
        <is>
          <t>Throws</t>
        </is>
      </c>
      <c r="E954" t="inlineStr">
        <is>
          <t>Catalonia</t>
        </is>
      </c>
      <c r="F954" t="inlineStr">
        <is>
          <t>WFS,WFS Item</t>
        </is>
      </c>
      <c r="G954" s="48" t="n">
        <v>0</v>
      </c>
      <c r="H954" s="49" t="n">
        <v>0</v>
      </c>
      <c r="I954" s="49" t="n">
        <v>0</v>
      </c>
      <c r="J954" s="50" t="n">
        <v>0</v>
      </c>
      <c r="K954" s="51" t="n">
        <v>0</v>
      </c>
      <c r="L954" s="52" t="n">
        <v>0</v>
      </c>
      <c r="M954" s="52" t="n">
        <v>0</v>
      </c>
      <c r="N954" s="52" t="n">
        <v>0</v>
      </c>
      <c r="O954" s="53" t="n">
        <v>0</v>
      </c>
      <c r="P954" s="52" t="n">
        <v>0</v>
      </c>
      <c r="Q954" s="53" t="n">
        <v>0</v>
      </c>
      <c r="R954" s="52" t="n">
        <v>0</v>
      </c>
      <c r="S954" s="51" t="n">
        <v>0</v>
      </c>
      <c r="T954" s="48" t="n">
        <v>0</v>
      </c>
      <c r="U954" s="49" t="n">
        <v>0</v>
      </c>
      <c r="V954" s="49" t="n">
        <v>0</v>
      </c>
      <c r="W954" s="50" t="n">
        <v>0</v>
      </c>
      <c r="X954" s="51" t="n">
        <v>0</v>
      </c>
      <c r="Y954" s="52" t="n">
        <v>0</v>
      </c>
      <c r="Z954" s="52" t="n">
        <v>0</v>
      </c>
      <c r="AA954" s="52" t="n">
        <v>0</v>
      </c>
      <c r="AB954" s="53" t="n">
        <v>0</v>
      </c>
      <c r="AC954" s="52" t="n">
        <v>0</v>
      </c>
      <c r="AD954" s="53" t="n">
        <v>0</v>
      </c>
      <c r="AE954" s="52" t="n">
        <v>0</v>
      </c>
      <c r="AF954" s="51" t="n">
        <v>0</v>
      </c>
      <c r="AG954" s="48" t="n">
        <v>0</v>
      </c>
      <c r="AH954" s="49" t="n">
        <v>0</v>
      </c>
      <c r="AI954" s="49" t="n">
        <v>0</v>
      </c>
      <c r="AJ954" s="50" t="n">
        <v>0</v>
      </c>
      <c r="AK954" s="51" t="n">
        <v>0</v>
      </c>
      <c r="AL954" s="52" t="n">
        <v>0</v>
      </c>
      <c r="AM954" s="52" t="n">
        <v>0</v>
      </c>
      <c r="AN954" s="52" t="n">
        <v>0</v>
      </c>
      <c r="AO954" s="53" t="n">
        <v>0</v>
      </c>
      <c r="AP954" s="52" t="n">
        <v>0</v>
      </c>
      <c r="AQ954" s="53" t="n">
        <v>0</v>
      </c>
      <c r="AR954" s="52" t="n">
        <v>0</v>
      </c>
      <c r="AS954" s="51" t="n">
        <v>0</v>
      </c>
      <c r="AT954" s="48" t="n">
        <v>0</v>
      </c>
      <c r="AU954" s="49" t="n">
        <v>0</v>
      </c>
      <c r="AV954" s="49" t="n">
        <v>0</v>
      </c>
      <c r="AW954" s="50" t="n">
        <v>0</v>
      </c>
      <c r="AX954" s="51" t="n">
        <v>0</v>
      </c>
      <c r="AY954" s="52" t="n">
        <v>0</v>
      </c>
      <c r="AZ954" s="52" t="n">
        <v>0</v>
      </c>
      <c r="BA954" s="52" t="n">
        <v>0</v>
      </c>
      <c r="BB954" s="53" t="n">
        <v>0</v>
      </c>
      <c r="BC954" s="52" t="n">
        <v>0</v>
      </c>
      <c r="BD954" s="53" t="n">
        <v>0</v>
      </c>
      <c r="BE954" s="52" t="n">
        <v>0</v>
      </c>
      <c r="BF954" s="51" t="n">
        <v>0</v>
      </c>
    </row>
    <row r="955">
      <c r="A955">
        <f>HYPERLINK("https://www.walmart.com/ip/938876883", "938876883")</f>
        <v/>
      </c>
      <c r="B955" t="inlineStr">
        <is>
          <t>Pawsse Waterproof Dog Blanket, Super Soft Warm Sherpa Fleece Plush Pet Blankets and Throws for Small, Medium, and Large Dogs and Cats</t>
        </is>
      </c>
      <c r="C955" t="inlineStr">
        <is>
          <t>1PSBF301GN</t>
        </is>
      </c>
      <c r="D955" t="inlineStr">
        <is>
          <t>Pet Blankets</t>
        </is>
      </c>
      <c r="E955" t="inlineStr">
        <is>
          <t>Pawsse</t>
        </is>
      </c>
      <c r="F955" t="inlineStr">
        <is>
          <t>WFS,Coupon_Discount,WFS Item</t>
        </is>
      </c>
      <c r="G955" s="48" t="n">
        <v>0</v>
      </c>
      <c r="H955" s="49" t="n">
        <v>0</v>
      </c>
      <c r="I955" s="49" t="n">
        <v>0</v>
      </c>
      <c r="J955" s="50" t="n">
        <v>0</v>
      </c>
      <c r="K955" s="51" t="n">
        <v>0</v>
      </c>
      <c r="L955" s="52" t="n">
        <v>0</v>
      </c>
      <c r="M955" s="52" t="n">
        <v>0</v>
      </c>
      <c r="N955" s="52" t="n">
        <v>0</v>
      </c>
      <c r="O955" s="53" t="n">
        <v>0</v>
      </c>
      <c r="P955" s="52" t="n">
        <v>0</v>
      </c>
      <c r="Q955" s="53" t="n">
        <v>0</v>
      </c>
      <c r="R955" s="52" t="n">
        <v>0</v>
      </c>
      <c r="S955" s="51" t="n">
        <v>0</v>
      </c>
      <c r="T955" s="48" t="n">
        <v>0</v>
      </c>
      <c r="U955" s="49" t="n">
        <v>0</v>
      </c>
      <c r="V955" s="49" t="n">
        <v>0</v>
      </c>
      <c r="W955" s="50" t="n">
        <v>0</v>
      </c>
      <c r="X955" s="51" t="n">
        <v>0</v>
      </c>
      <c r="Y955" s="52" t="n">
        <v>0</v>
      </c>
      <c r="Z955" s="52" t="n">
        <v>0</v>
      </c>
      <c r="AA955" s="52" t="n">
        <v>0</v>
      </c>
      <c r="AB955" s="53" t="n">
        <v>0</v>
      </c>
      <c r="AC955" s="52" t="n">
        <v>0</v>
      </c>
      <c r="AD955" s="53" t="n">
        <v>0</v>
      </c>
      <c r="AE955" s="52" t="n">
        <v>0</v>
      </c>
      <c r="AF955" s="51" t="n">
        <v>0</v>
      </c>
      <c r="AG955" s="48" t="n">
        <v>0</v>
      </c>
      <c r="AH955" s="49" t="n">
        <v>0</v>
      </c>
      <c r="AI955" s="49" t="n">
        <v>0</v>
      </c>
      <c r="AJ955" s="50" t="n">
        <v>0</v>
      </c>
      <c r="AK955" s="51" t="n">
        <v>0</v>
      </c>
      <c r="AL955" s="52" t="n">
        <v>0</v>
      </c>
      <c r="AM955" s="52" t="n">
        <v>0</v>
      </c>
      <c r="AN955" s="52" t="n">
        <v>0</v>
      </c>
      <c r="AO955" s="53" t="n">
        <v>0</v>
      </c>
      <c r="AP955" s="52" t="n">
        <v>0</v>
      </c>
      <c r="AQ955" s="53" t="n">
        <v>0</v>
      </c>
      <c r="AR955" s="52" t="n">
        <v>0</v>
      </c>
      <c r="AS955" s="51" t="n">
        <v>0</v>
      </c>
      <c r="AT955" s="48" t="n">
        <v>0</v>
      </c>
      <c r="AU955" s="49" t="n">
        <v>0</v>
      </c>
      <c r="AV955" s="49" t="n">
        <v>0</v>
      </c>
      <c r="AW955" s="50" t="n">
        <v>0</v>
      </c>
      <c r="AX955" s="51" t="n">
        <v>0</v>
      </c>
      <c r="AY955" s="52" t="n">
        <v>0</v>
      </c>
      <c r="AZ955" s="52" t="n">
        <v>0</v>
      </c>
      <c r="BA955" s="52" t="n">
        <v>0</v>
      </c>
      <c r="BB955" s="53" t="n">
        <v>0</v>
      </c>
      <c r="BC955" s="52" t="n">
        <v>0</v>
      </c>
      <c r="BD955" s="53" t="n">
        <v>0</v>
      </c>
      <c r="BE955" s="52" t="n">
        <v>0</v>
      </c>
      <c r="BF955" s="51" t="n">
        <v>0</v>
      </c>
    </row>
    <row r="956">
      <c r="A956">
        <f>HYPERLINK("https://www.walmart.com/ip/939062191", "939062191")</f>
        <v/>
      </c>
      <c r="B956" t="inlineStr">
        <is>
          <t>Napa Plush  Super Soft Warm Throw Blanket Bed Couch Blanket More Useful</t>
        </is>
      </c>
      <c r="C956" t="inlineStr">
        <is>
          <t>K8030QF-LBL</t>
        </is>
      </c>
      <c r="D956" t="inlineStr">
        <is>
          <t>Throws</t>
        </is>
      </c>
      <c r="E956" t="inlineStr">
        <is>
          <t>NAPA</t>
        </is>
      </c>
      <c r="G956" s="48" t="n">
        <v>0</v>
      </c>
      <c r="H956" s="49" t="n">
        <v>0</v>
      </c>
      <c r="I956" s="49" t="n">
        <v>0</v>
      </c>
      <c r="J956" s="50" t="n">
        <v>0</v>
      </c>
      <c r="K956" s="51" t="n">
        <v>0</v>
      </c>
      <c r="L956" s="52" t="n">
        <v>0</v>
      </c>
      <c r="M956" s="52" t="n">
        <v>0</v>
      </c>
      <c r="N956" s="52" t="n">
        <v>0</v>
      </c>
      <c r="O956" s="53" t="n">
        <v>0</v>
      </c>
      <c r="P956" s="52" t="n">
        <v>0</v>
      </c>
      <c r="Q956" s="53" t="n">
        <v>0</v>
      </c>
      <c r="R956" s="52" t="n">
        <v>0</v>
      </c>
      <c r="S956" s="51" t="n">
        <v>0</v>
      </c>
      <c r="T956" s="48" t="n">
        <v>0</v>
      </c>
      <c r="U956" s="49" t="n">
        <v>0</v>
      </c>
      <c r="V956" s="49" t="n">
        <v>0</v>
      </c>
      <c r="W956" s="50" t="n">
        <v>0</v>
      </c>
      <c r="X956" s="51" t="n">
        <v>0</v>
      </c>
      <c r="Y956" s="52" t="n">
        <v>0</v>
      </c>
      <c r="Z956" s="52" t="n">
        <v>0</v>
      </c>
      <c r="AA956" s="52" t="n">
        <v>0</v>
      </c>
      <c r="AB956" s="53" t="n">
        <v>0</v>
      </c>
      <c r="AC956" s="52" t="n">
        <v>0</v>
      </c>
      <c r="AD956" s="53" t="n">
        <v>0</v>
      </c>
      <c r="AE956" s="52" t="n">
        <v>0</v>
      </c>
      <c r="AF956" s="51" t="n">
        <v>0</v>
      </c>
      <c r="AG956" s="48" t="n">
        <v>0</v>
      </c>
      <c r="AH956" s="49" t="n">
        <v>0</v>
      </c>
      <c r="AI956" s="49" t="n">
        <v>0</v>
      </c>
      <c r="AJ956" s="50" t="n">
        <v>0</v>
      </c>
      <c r="AK956" s="51" t="n">
        <v>0</v>
      </c>
      <c r="AL956" s="52" t="n">
        <v>0</v>
      </c>
      <c r="AM956" s="52" t="n">
        <v>0</v>
      </c>
      <c r="AN956" s="52" t="n">
        <v>0</v>
      </c>
      <c r="AO956" s="53" t="n">
        <v>0</v>
      </c>
      <c r="AP956" s="52" t="n">
        <v>0</v>
      </c>
      <c r="AQ956" s="53" t="n">
        <v>0</v>
      </c>
      <c r="AR956" s="52" t="n">
        <v>0</v>
      </c>
      <c r="AS956" s="51" t="n">
        <v>0</v>
      </c>
      <c r="AT956" s="48" t="n">
        <v>0</v>
      </c>
      <c r="AU956" s="49" t="n">
        <v>0</v>
      </c>
      <c r="AV956" s="49" t="n">
        <v>0</v>
      </c>
      <c r="AW956" s="50" t="n">
        <v>0</v>
      </c>
      <c r="AX956" s="51" t="n">
        <v>0</v>
      </c>
      <c r="AY956" s="52" t="n">
        <v>0</v>
      </c>
      <c r="AZ956" s="52" t="n">
        <v>0</v>
      </c>
      <c r="BA956" s="52" t="n">
        <v>0</v>
      </c>
      <c r="BB956" s="53" t="n">
        <v>0</v>
      </c>
      <c r="BC956" s="52" t="n">
        <v>0</v>
      </c>
      <c r="BD956" s="53" t="n">
        <v>0</v>
      </c>
      <c r="BE956" s="52" t="n">
        <v>0</v>
      </c>
      <c r="BF956" s="51" t="n">
        <v>0</v>
      </c>
    </row>
    <row r="957">
      <c r="A957">
        <f>HYPERLINK("https://www.walmart.com/ip/939851965", "939851965")</f>
        <v/>
      </c>
      <c r="B957" t="inlineStr">
        <is>
          <t>Microplush Sherpa Blanket with Sleeves for Women and Men Camel</t>
        </is>
      </c>
      <c r="C957" t="inlineStr">
        <is>
          <t>1TNSN110CA-TPB</t>
        </is>
      </c>
      <c r="D957" t="inlineStr">
        <is>
          <t>Throws</t>
        </is>
      </c>
      <c r="E957" t="inlineStr">
        <is>
          <t>Terrania</t>
        </is>
      </c>
      <c r="G957" s="48" t="n">
        <v>0</v>
      </c>
      <c r="H957" s="49" t="n">
        <v>0</v>
      </c>
      <c r="I957" s="49" t="n">
        <v>0</v>
      </c>
      <c r="J957" s="50" t="n">
        <v>0</v>
      </c>
      <c r="K957" s="51" t="n">
        <v>0</v>
      </c>
      <c r="L957" s="52" t="n">
        <v>0</v>
      </c>
      <c r="M957" s="52" t="n">
        <v>0</v>
      </c>
      <c r="N957" s="52" t="n">
        <v>0</v>
      </c>
      <c r="O957" s="53" t="n">
        <v>0</v>
      </c>
      <c r="P957" s="52" t="n">
        <v>0</v>
      </c>
      <c r="Q957" s="53" t="n">
        <v>0</v>
      </c>
      <c r="R957" s="52" t="n">
        <v>0</v>
      </c>
      <c r="S957" s="51" t="n">
        <v>0</v>
      </c>
      <c r="T957" s="48" t="n">
        <v>0</v>
      </c>
      <c r="U957" s="49" t="n">
        <v>0</v>
      </c>
      <c r="V957" s="49" t="n">
        <v>0</v>
      </c>
      <c r="W957" s="50" t="n">
        <v>0</v>
      </c>
      <c r="X957" s="51" t="n">
        <v>0</v>
      </c>
      <c r="Y957" s="52" t="n">
        <v>0</v>
      </c>
      <c r="Z957" s="52" t="n">
        <v>0</v>
      </c>
      <c r="AA957" s="52" t="n">
        <v>0</v>
      </c>
      <c r="AB957" s="53" t="n">
        <v>0</v>
      </c>
      <c r="AC957" s="52" t="n">
        <v>0</v>
      </c>
      <c r="AD957" s="53" t="n">
        <v>0</v>
      </c>
      <c r="AE957" s="52" t="n">
        <v>0</v>
      </c>
      <c r="AF957" s="51" t="n">
        <v>0</v>
      </c>
      <c r="AG957" s="48" t="n">
        <v>0</v>
      </c>
      <c r="AH957" s="49" t="n">
        <v>0</v>
      </c>
      <c r="AI957" s="49" t="n">
        <v>0</v>
      </c>
      <c r="AJ957" s="50" t="n">
        <v>0</v>
      </c>
      <c r="AK957" s="51" t="n">
        <v>0</v>
      </c>
      <c r="AL957" s="52" t="n">
        <v>0</v>
      </c>
      <c r="AM957" s="52" t="n">
        <v>0</v>
      </c>
      <c r="AN957" s="52" t="n">
        <v>0</v>
      </c>
      <c r="AO957" s="53" t="n">
        <v>0</v>
      </c>
      <c r="AP957" s="52" t="n">
        <v>0</v>
      </c>
      <c r="AQ957" s="53" t="n">
        <v>0</v>
      </c>
      <c r="AR957" s="52" t="n">
        <v>0</v>
      </c>
      <c r="AS957" s="51" t="n">
        <v>0</v>
      </c>
      <c r="AT957" s="48" t="n">
        <v>0</v>
      </c>
      <c r="AU957" s="49" t="n">
        <v>0</v>
      </c>
      <c r="AV957" s="49" t="n">
        <v>0</v>
      </c>
      <c r="AW957" s="50" t="n">
        <v>0</v>
      </c>
      <c r="AX957" s="51" t="n">
        <v>0</v>
      </c>
      <c r="AY957" s="52" t="n">
        <v>0</v>
      </c>
      <c r="AZ957" s="52" t="n">
        <v>0</v>
      </c>
      <c r="BA957" s="52" t="n">
        <v>0</v>
      </c>
      <c r="BB957" s="53" t="n">
        <v>0</v>
      </c>
      <c r="BC957" s="52" t="n">
        <v>0</v>
      </c>
      <c r="BD957" s="53" t="n">
        <v>0</v>
      </c>
      <c r="BE957" s="52" t="n">
        <v>0</v>
      </c>
      <c r="BF957" s="51" t="n">
        <v>0</v>
      </c>
    </row>
    <row r="958">
      <c r="A958">
        <f>HYPERLINK("https://www.walmart.com/ip/941284014", "941284014")</f>
        <v/>
      </c>
      <c r="B958" t="inlineStr">
        <is>
          <t>Oversized Hoodie Blanket Sweatshirt,Super Soft Warm Comfortable Fleece Giant Pullover with Large Front Pocket,for Adults Men Women Teenagers Kids Wife Girlfriend</t>
        </is>
      </c>
      <c r="C958" t="inlineStr">
        <is>
          <t>1CTHD300IVR-UPC</t>
        </is>
      </c>
      <c r="D958" t="inlineStr">
        <is>
          <t>Sweatshirts &amp; Hoodies</t>
        </is>
      </c>
      <c r="E958" t="inlineStr">
        <is>
          <t>Catalonia</t>
        </is>
      </c>
      <c r="F958" t="inlineStr">
        <is>
          <t>Hoodie ForAdult,Optimized</t>
        </is>
      </c>
      <c r="G958" s="48" t="n">
        <v>0</v>
      </c>
      <c r="H958" s="49" t="n">
        <v>0</v>
      </c>
      <c r="I958" s="49" t="n">
        <v>0</v>
      </c>
      <c r="J958" s="50" t="n">
        <v>0</v>
      </c>
      <c r="K958" s="51" t="n">
        <v>0</v>
      </c>
      <c r="L958" s="52" t="n">
        <v>0</v>
      </c>
      <c r="M958" s="52" t="n">
        <v>0</v>
      </c>
      <c r="N958" s="52" t="n">
        <v>0</v>
      </c>
      <c r="O958" s="53" t="n">
        <v>0</v>
      </c>
      <c r="P958" s="52" t="n">
        <v>0</v>
      </c>
      <c r="Q958" s="53" t="n">
        <v>0</v>
      </c>
      <c r="R958" s="52" t="n">
        <v>0</v>
      </c>
      <c r="S958" s="51" t="n">
        <v>0</v>
      </c>
      <c r="T958" s="48" t="n">
        <v>0</v>
      </c>
      <c r="U958" s="49" t="n">
        <v>0</v>
      </c>
      <c r="V958" s="49" t="n">
        <v>0</v>
      </c>
      <c r="W958" s="50" t="n">
        <v>0</v>
      </c>
      <c r="X958" s="51" t="n">
        <v>0</v>
      </c>
      <c r="Y958" s="52" t="n">
        <v>0</v>
      </c>
      <c r="Z958" s="52" t="n">
        <v>0</v>
      </c>
      <c r="AA958" s="52" t="n">
        <v>0</v>
      </c>
      <c r="AB958" s="53" t="n">
        <v>0</v>
      </c>
      <c r="AC958" s="52" t="n">
        <v>0</v>
      </c>
      <c r="AD958" s="53" t="n">
        <v>0</v>
      </c>
      <c r="AE958" s="52" t="n">
        <v>0</v>
      </c>
      <c r="AF958" s="51" t="n">
        <v>0</v>
      </c>
      <c r="AG958" s="48" t="n">
        <v>0</v>
      </c>
      <c r="AH958" s="49" t="n">
        <v>0</v>
      </c>
      <c r="AI958" s="49" t="n">
        <v>0</v>
      </c>
      <c r="AJ958" s="50" t="n">
        <v>0</v>
      </c>
      <c r="AK958" s="51" t="n">
        <v>0</v>
      </c>
      <c r="AL958" s="52" t="n">
        <v>0</v>
      </c>
      <c r="AM958" s="52" t="n">
        <v>0</v>
      </c>
      <c r="AN958" s="52" t="n">
        <v>0</v>
      </c>
      <c r="AO958" s="53" t="n">
        <v>0</v>
      </c>
      <c r="AP958" s="52" t="n">
        <v>0</v>
      </c>
      <c r="AQ958" s="53" t="n">
        <v>0</v>
      </c>
      <c r="AR958" s="52" t="n">
        <v>0</v>
      </c>
      <c r="AS958" s="51" t="n">
        <v>0</v>
      </c>
      <c r="AT958" s="48" t="n">
        <v>0</v>
      </c>
      <c r="AU958" s="49" t="n">
        <v>0</v>
      </c>
      <c r="AV958" s="49" t="n">
        <v>0</v>
      </c>
      <c r="AW958" s="50" t="n">
        <v>0</v>
      </c>
      <c r="AX958" s="51" t="n">
        <v>0</v>
      </c>
      <c r="AY958" s="52" t="n">
        <v>0</v>
      </c>
      <c r="AZ958" s="52" t="n">
        <v>0</v>
      </c>
      <c r="BA958" s="52" t="n">
        <v>0</v>
      </c>
      <c r="BB958" s="53" t="n">
        <v>0</v>
      </c>
      <c r="BC958" s="52" t="n">
        <v>0</v>
      </c>
      <c r="BD958" s="53" t="n">
        <v>0</v>
      </c>
      <c r="BE958" s="52" t="n">
        <v>0</v>
      </c>
      <c r="BF958" s="51" t="n">
        <v>0</v>
      </c>
    </row>
    <row r="959">
      <c r="A959">
        <f>HYPERLINK("https://www.walmart.com/ip/941474783", "941474783")</f>
        <v/>
      </c>
      <c r="B959" t="inlineStr">
        <is>
          <t>Tirrinia Wine Cooler bag - 3 Bottle Travel Insulated Padded Wine Carrier Tote Bag with Handle and Adjustable Shoulder Strap</t>
        </is>
      </c>
      <c r="C959" t="inlineStr">
        <is>
          <t>1WMWB310WTFL</t>
        </is>
      </c>
      <c r="D959" t="inlineStr">
        <is>
          <t>Wine Totes, Bags &amp; Backpacks</t>
        </is>
      </c>
      <c r="E959" t="inlineStr">
        <is>
          <t>Flyingstar</t>
        </is>
      </c>
      <c r="F959" t="inlineStr">
        <is>
          <t>Wine,Christmas,Valentine</t>
        </is>
      </c>
      <c r="G959" s="48" t="n">
        <v>0</v>
      </c>
      <c r="H959" s="49" t="n">
        <v>0</v>
      </c>
      <c r="I959" s="49" t="n">
        <v>0</v>
      </c>
      <c r="J959" s="50" t="n">
        <v>0</v>
      </c>
      <c r="K959" s="51" t="n">
        <v>0</v>
      </c>
      <c r="L959" s="52" t="n">
        <v>0</v>
      </c>
      <c r="M959" s="52" t="n">
        <v>0</v>
      </c>
      <c r="N959" s="52" t="n">
        <v>0</v>
      </c>
      <c r="O959" s="53" t="n">
        <v>0</v>
      </c>
      <c r="P959" s="52" t="n">
        <v>0</v>
      </c>
      <c r="Q959" s="53" t="n">
        <v>0</v>
      </c>
      <c r="R959" s="52" t="n">
        <v>0</v>
      </c>
      <c r="S959" s="51" t="n">
        <v>0</v>
      </c>
      <c r="T959" s="48" t="n">
        <v>0</v>
      </c>
      <c r="U959" s="49" t="n">
        <v>0</v>
      </c>
      <c r="V959" s="49" t="n">
        <v>0</v>
      </c>
      <c r="W959" s="50" t="n">
        <v>0</v>
      </c>
      <c r="X959" s="51" t="n">
        <v>0</v>
      </c>
      <c r="Y959" s="52" t="n">
        <v>0</v>
      </c>
      <c r="Z959" s="52" t="n">
        <v>0</v>
      </c>
      <c r="AA959" s="52" t="n">
        <v>0</v>
      </c>
      <c r="AB959" s="53" t="n">
        <v>0</v>
      </c>
      <c r="AC959" s="52" t="n">
        <v>0</v>
      </c>
      <c r="AD959" s="53" t="n">
        <v>0</v>
      </c>
      <c r="AE959" s="52" t="n">
        <v>0</v>
      </c>
      <c r="AF959" s="51" t="n">
        <v>0</v>
      </c>
      <c r="AG959" s="48" t="n">
        <v>0</v>
      </c>
      <c r="AH959" s="49" t="n">
        <v>0</v>
      </c>
      <c r="AI959" s="49" t="n">
        <v>0</v>
      </c>
      <c r="AJ959" s="50" t="n">
        <v>0</v>
      </c>
      <c r="AK959" s="51" t="n">
        <v>0</v>
      </c>
      <c r="AL959" s="52" t="n">
        <v>0</v>
      </c>
      <c r="AM959" s="52" t="n">
        <v>0</v>
      </c>
      <c r="AN959" s="52" t="n">
        <v>0</v>
      </c>
      <c r="AO959" s="53" t="n">
        <v>0</v>
      </c>
      <c r="AP959" s="52" t="n">
        <v>0</v>
      </c>
      <c r="AQ959" s="53" t="n">
        <v>0</v>
      </c>
      <c r="AR959" s="52" t="n">
        <v>0</v>
      </c>
      <c r="AS959" s="51" t="n">
        <v>0</v>
      </c>
      <c r="AT959" s="48" t="n">
        <v>0</v>
      </c>
      <c r="AU959" s="49" t="n">
        <v>0</v>
      </c>
      <c r="AV959" s="49" t="n">
        <v>0</v>
      </c>
      <c r="AW959" s="50" t="n">
        <v>0</v>
      </c>
      <c r="AX959" s="51" t="n">
        <v>0</v>
      </c>
      <c r="AY959" s="52" t="n">
        <v>0</v>
      </c>
      <c r="AZ959" s="52" t="n">
        <v>0</v>
      </c>
      <c r="BA959" s="52" t="n">
        <v>0</v>
      </c>
      <c r="BB959" s="53" t="n">
        <v>0</v>
      </c>
      <c r="BC959" s="52" t="n">
        <v>0</v>
      </c>
      <c r="BD959" s="53" t="n">
        <v>0</v>
      </c>
      <c r="BE959" s="52" t="n">
        <v>0</v>
      </c>
      <c r="BF959" s="51" t="n">
        <v>0</v>
      </c>
    </row>
    <row r="960">
      <c r="A960">
        <f>HYPERLINK("https://www.walmart.com/ip/941908441", "941908441")</f>
        <v/>
      </c>
      <c r="B960" t="inlineStr">
        <is>
          <t>Tirrinia Super Soft Micro Fleece Plush Reversible Sherpa Blanket, 50" x 60", Snow Light Gray</t>
        </is>
      </c>
      <c r="C960" t="inlineStr">
        <is>
          <t>1TRBF321LG-TBGM</t>
        </is>
      </c>
      <c r="D960" t="inlineStr">
        <is>
          <t>Throws</t>
        </is>
      </c>
      <c r="E960" t="inlineStr">
        <is>
          <t>Tirrinia</t>
        </is>
      </c>
      <c r="F960" t="inlineStr">
        <is>
          <t>Optimized</t>
        </is>
      </c>
      <c r="G960" s="48" t="n">
        <v>0</v>
      </c>
      <c r="H960" s="49" t="n">
        <v>0</v>
      </c>
      <c r="I960" s="49" t="n">
        <v>0</v>
      </c>
      <c r="J960" s="50" t="n">
        <v>0</v>
      </c>
      <c r="K960" s="51" t="n">
        <v>0</v>
      </c>
      <c r="L960" s="52" t="n">
        <v>0</v>
      </c>
      <c r="M960" s="52" t="n">
        <v>0</v>
      </c>
      <c r="N960" s="52" t="n">
        <v>0</v>
      </c>
      <c r="O960" s="53" t="n">
        <v>0</v>
      </c>
      <c r="P960" s="52" t="n">
        <v>0</v>
      </c>
      <c r="Q960" s="53" t="n">
        <v>0</v>
      </c>
      <c r="R960" s="52" t="n">
        <v>0</v>
      </c>
      <c r="S960" s="51" t="n">
        <v>0</v>
      </c>
      <c r="T960" s="48" t="n">
        <v>0</v>
      </c>
      <c r="U960" s="49" t="n">
        <v>0</v>
      </c>
      <c r="V960" s="49" t="n">
        <v>0</v>
      </c>
      <c r="W960" s="50" t="n">
        <v>0</v>
      </c>
      <c r="X960" s="51" t="n">
        <v>0</v>
      </c>
      <c r="Y960" s="52" t="n">
        <v>0</v>
      </c>
      <c r="Z960" s="52" t="n">
        <v>0</v>
      </c>
      <c r="AA960" s="52" t="n">
        <v>0</v>
      </c>
      <c r="AB960" s="53" t="n">
        <v>0</v>
      </c>
      <c r="AC960" s="52" t="n">
        <v>0</v>
      </c>
      <c r="AD960" s="53" t="n">
        <v>0</v>
      </c>
      <c r="AE960" s="52" t="n">
        <v>0</v>
      </c>
      <c r="AF960" s="51" t="n">
        <v>0</v>
      </c>
      <c r="AG960" s="48" t="n">
        <v>0</v>
      </c>
      <c r="AH960" s="49" t="n">
        <v>0</v>
      </c>
      <c r="AI960" s="49" t="n">
        <v>0</v>
      </c>
      <c r="AJ960" s="50" t="n">
        <v>0</v>
      </c>
      <c r="AK960" s="51" t="n">
        <v>0</v>
      </c>
      <c r="AL960" s="52" t="n">
        <v>0</v>
      </c>
      <c r="AM960" s="52" t="n">
        <v>0</v>
      </c>
      <c r="AN960" s="52" t="n">
        <v>0</v>
      </c>
      <c r="AO960" s="53" t="n">
        <v>0</v>
      </c>
      <c r="AP960" s="52" t="n">
        <v>0</v>
      </c>
      <c r="AQ960" s="53" t="n">
        <v>0</v>
      </c>
      <c r="AR960" s="52" t="n">
        <v>0</v>
      </c>
      <c r="AS960" s="51" t="n">
        <v>0</v>
      </c>
      <c r="AT960" s="48" t="n">
        <v>0</v>
      </c>
      <c r="AU960" s="49" t="n">
        <v>0</v>
      </c>
      <c r="AV960" s="49" t="n">
        <v>0</v>
      </c>
      <c r="AW960" s="50" t="n">
        <v>0</v>
      </c>
      <c r="AX960" s="51" t="n">
        <v>0</v>
      </c>
      <c r="AY960" s="52" t="n">
        <v>0</v>
      </c>
      <c r="AZ960" s="52" t="n">
        <v>0</v>
      </c>
      <c r="BA960" s="52" t="n">
        <v>0</v>
      </c>
      <c r="BB960" s="53" t="n">
        <v>0</v>
      </c>
      <c r="BC960" s="52" t="n">
        <v>0</v>
      </c>
      <c r="BD960" s="53" t="n">
        <v>0</v>
      </c>
      <c r="BE960" s="52" t="n">
        <v>0</v>
      </c>
      <c r="BF960" s="51" t="n">
        <v>0</v>
      </c>
    </row>
    <row r="961">
      <c r="A961">
        <f>HYPERLINK("https://www.walmart.com/ip/943090625", "943090625")</f>
        <v/>
      </c>
      <c r="B961" t="inlineStr">
        <is>
          <t>Catalonia Sherpa Throw Blanket Velvet Plush Fleece Melange Blue  50”x60” For Adults Child, Super Soft Fluffy Fuzzy Comfy TV and Throws for Sofa Couch Bed by Catalonia</t>
        </is>
      </c>
      <c r="C961" t="inlineStr">
        <is>
          <t>1CTBF321BL</t>
        </is>
      </c>
      <c r="D961" t="inlineStr">
        <is>
          <t>Throws</t>
        </is>
      </c>
      <c r="E961" t="inlineStr">
        <is>
          <t>Catalonia</t>
        </is>
      </c>
      <c r="F961" t="inlineStr">
        <is>
          <t>Q2-Target,Optimized,WFS,Coupon_Discount,SeePriceInCart,WFS Item</t>
        </is>
      </c>
      <c r="G961" s="48" t="n">
        <v>0</v>
      </c>
      <c r="H961" s="49" t="n">
        <v>0</v>
      </c>
      <c r="I961" s="49" t="n">
        <v>0</v>
      </c>
      <c r="J961" s="50" t="n">
        <v>0</v>
      </c>
      <c r="K961" s="51" t="n">
        <v>0</v>
      </c>
      <c r="L961" s="52" t="n">
        <v>0</v>
      </c>
      <c r="M961" s="52" t="n">
        <v>0</v>
      </c>
      <c r="N961" s="52" t="n">
        <v>0</v>
      </c>
      <c r="O961" s="53" t="n">
        <v>0</v>
      </c>
      <c r="P961" s="52" t="n">
        <v>0</v>
      </c>
      <c r="Q961" s="53" t="n">
        <v>0</v>
      </c>
      <c r="R961" s="52" t="n">
        <v>0</v>
      </c>
      <c r="S961" s="51" t="n">
        <v>0</v>
      </c>
      <c r="T961" s="48" t="n">
        <v>0</v>
      </c>
      <c r="U961" s="49" t="n">
        <v>0</v>
      </c>
      <c r="V961" s="49" t="n">
        <v>0</v>
      </c>
      <c r="W961" s="50" t="n">
        <v>0</v>
      </c>
      <c r="X961" s="51" t="n">
        <v>0</v>
      </c>
      <c r="Y961" s="52" t="n">
        <v>0</v>
      </c>
      <c r="Z961" s="52" t="n">
        <v>0</v>
      </c>
      <c r="AA961" s="52" t="n">
        <v>0</v>
      </c>
      <c r="AB961" s="53" t="n">
        <v>0</v>
      </c>
      <c r="AC961" s="52" t="n">
        <v>0</v>
      </c>
      <c r="AD961" s="53" t="n">
        <v>0</v>
      </c>
      <c r="AE961" s="52" t="n">
        <v>0</v>
      </c>
      <c r="AF961" s="51" t="n">
        <v>0</v>
      </c>
      <c r="AG961" s="48" t="n">
        <v>0</v>
      </c>
      <c r="AH961" s="49" t="n">
        <v>0</v>
      </c>
      <c r="AI961" s="49" t="n">
        <v>0</v>
      </c>
      <c r="AJ961" s="50" t="n">
        <v>0</v>
      </c>
      <c r="AK961" s="51" t="n">
        <v>0</v>
      </c>
      <c r="AL961" s="52" t="n">
        <v>0</v>
      </c>
      <c r="AM961" s="52" t="n">
        <v>0</v>
      </c>
      <c r="AN961" s="52" t="n">
        <v>0</v>
      </c>
      <c r="AO961" s="53" t="n">
        <v>0</v>
      </c>
      <c r="AP961" s="52" t="n">
        <v>0</v>
      </c>
      <c r="AQ961" s="53" t="n">
        <v>0</v>
      </c>
      <c r="AR961" s="52" t="n">
        <v>0</v>
      </c>
      <c r="AS961" s="51" t="n">
        <v>0</v>
      </c>
      <c r="AT961" s="48" t="n">
        <v>0</v>
      </c>
      <c r="AU961" s="49" t="n">
        <v>0</v>
      </c>
      <c r="AV961" s="49" t="n">
        <v>0</v>
      </c>
      <c r="AW961" s="50" t="n">
        <v>0</v>
      </c>
      <c r="AX961" s="51" t="n">
        <v>0</v>
      </c>
      <c r="AY961" s="52" t="n">
        <v>0</v>
      </c>
      <c r="AZ961" s="52" t="n">
        <v>0</v>
      </c>
      <c r="BA961" s="52" t="n">
        <v>0</v>
      </c>
      <c r="BB961" s="53" t="n">
        <v>0</v>
      </c>
      <c r="BC961" s="52" t="n">
        <v>0</v>
      </c>
      <c r="BD961" s="53" t="n">
        <v>0</v>
      </c>
      <c r="BE961" s="52" t="n">
        <v>0</v>
      </c>
      <c r="BF961" s="51" t="n">
        <v>0</v>
      </c>
    </row>
    <row r="962">
      <c r="A962">
        <f>HYPERLINK("https://www.walmart.com/ip/943235643", "943235643")</f>
        <v/>
      </c>
      <c r="B962" t="inlineStr">
        <is>
          <t>Insulated Expandable Lunch Bags Tote Thermal Cooler Leak Proof Travel Container Food Case for Adults Adjustable Shoulder</t>
        </is>
      </c>
      <c r="C962" t="inlineStr">
        <is>
          <t>1KTLB110GY</t>
        </is>
      </c>
      <c r="D962" t="inlineStr">
        <is>
          <t>Reusable Lunch Bags &amp; Boxes</t>
        </is>
      </c>
      <c r="E962" t="inlineStr">
        <is>
          <t>Kato</t>
        </is>
      </c>
      <c r="F962" t="inlineStr">
        <is>
          <t>Lunch Bag,Optimized,Lunch Bags,SEM</t>
        </is>
      </c>
      <c r="G962" s="48" t="n">
        <v>0</v>
      </c>
      <c r="H962" s="49" t="n">
        <v>0</v>
      </c>
      <c r="I962" s="49" t="n">
        <v>0</v>
      </c>
      <c r="J962" s="50" t="n">
        <v>0</v>
      </c>
      <c r="K962" s="51" t="n">
        <v>0</v>
      </c>
      <c r="L962" s="52" t="n">
        <v>0</v>
      </c>
      <c r="M962" s="52" t="n">
        <v>0</v>
      </c>
      <c r="N962" s="52" t="n">
        <v>0</v>
      </c>
      <c r="O962" s="53" t="n">
        <v>0</v>
      </c>
      <c r="P962" s="52" t="n">
        <v>0</v>
      </c>
      <c r="Q962" s="53" t="n">
        <v>0</v>
      </c>
      <c r="R962" s="52" t="n">
        <v>0</v>
      </c>
      <c r="S962" s="51" t="n">
        <v>0</v>
      </c>
      <c r="T962" s="48" t="n">
        <v>0</v>
      </c>
      <c r="U962" s="49" t="n">
        <v>0</v>
      </c>
      <c r="V962" s="49" t="n">
        <v>0</v>
      </c>
      <c r="W962" s="50" t="n">
        <v>0</v>
      </c>
      <c r="X962" s="51" t="n">
        <v>0</v>
      </c>
      <c r="Y962" s="52" t="n">
        <v>0</v>
      </c>
      <c r="Z962" s="52" t="n">
        <v>0</v>
      </c>
      <c r="AA962" s="52" t="n">
        <v>0</v>
      </c>
      <c r="AB962" s="53" t="n">
        <v>0</v>
      </c>
      <c r="AC962" s="52" t="n">
        <v>0</v>
      </c>
      <c r="AD962" s="53" t="n">
        <v>0</v>
      </c>
      <c r="AE962" s="52" t="n">
        <v>0</v>
      </c>
      <c r="AF962" s="51" t="n">
        <v>0</v>
      </c>
      <c r="AG962" s="48" t="n">
        <v>0</v>
      </c>
      <c r="AH962" s="49" t="n">
        <v>0</v>
      </c>
      <c r="AI962" s="49" t="n">
        <v>0</v>
      </c>
      <c r="AJ962" s="50" t="n">
        <v>0</v>
      </c>
      <c r="AK962" s="51" t="n">
        <v>0</v>
      </c>
      <c r="AL962" s="52" t="n">
        <v>0</v>
      </c>
      <c r="AM962" s="52" t="n">
        <v>0</v>
      </c>
      <c r="AN962" s="52" t="n">
        <v>0</v>
      </c>
      <c r="AO962" s="53" t="n">
        <v>0</v>
      </c>
      <c r="AP962" s="52" t="n">
        <v>0</v>
      </c>
      <c r="AQ962" s="53" t="n">
        <v>0</v>
      </c>
      <c r="AR962" s="52" t="n">
        <v>0</v>
      </c>
      <c r="AS962" s="51" t="n">
        <v>0</v>
      </c>
      <c r="AT962" s="48" t="n">
        <v>0</v>
      </c>
      <c r="AU962" s="49" t="n">
        <v>0</v>
      </c>
      <c r="AV962" s="49" t="n">
        <v>0</v>
      </c>
      <c r="AW962" s="50" t="n">
        <v>0</v>
      </c>
      <c r="AX962" s="51" t="n">
        <v>0</v>
      </c>
      <c r="AY962" s="52" t="n">
        <v>0</v>
      </c>
      <c r="AZ962" s="52" t="n">
        <v>0</v>
      </c>
      <c r="BA962" s="52" t="n">
        <v>0</v>
      </c>
      <c r="BB962" s="53" t="n">
        <v>0</v>
      </c>
      <c r="BC962" s="52" t="n">
        <v>0</v>
      </c>
      <c r="BD962" s="53" t="n">
        <v>0</v>
      </c>
      <c r="BE962" s="52" t="n">
        <v>0</v>
      </c>
      <c r="BF962" s="51" t="n">
        <v>0</v>
      </c>
    </row>
    <row r="963">
      <c r="A963">
        <f>HYPERLINK("https://www.walmart.com/ip/943267429", "943267429")</f>
        <v/>
      </c>
      <c r="B963" t="inlineStr">
        <is>
          <t>Women's High Waist Yoga Pants Workout Running Capri Legging Inner Pocket</t>
        </is>
      </c>
      <c r="C963" t="inlineStr">
        <is>
          <t>1TRYP102BK-SM</t>
        </is>
      </c>
      <c r="D963" t="inlineStr">
        <is>
          <t>Leggings</t>
        </is>
      </c>
      <c r="E963" t="inlineStr">
        <is>
          <t>Tirrinia</t>
        </is>
      </c>
      <c r="F963" t="inlineStr">
        <is>
          <t>Optimized</t>
        </is>
      </c>
      <c r="G963" s="48" t="n">
        <v>0</v>
      </c>
      <c r="H963" s="49" t="n">
        <v>0</v>
      </c>
      <c r="I963" s="49" t="n">
        <v>0</v>
      </c>
      <c r="J963" s="50" t="n">
        <v>0</v>
      </c>
      <c r="K963" s="51" t="n">
        <v>0</v>
      </c>
      <c r="L963" s="52" t="n">
        <v>0</v>
      </c>
      <c r="M963" s="52" t="n">
        <v>0</v>
      </c>
      <c r="N963" s="52" t="n">
        <v>0</v>
      </c>
      <c r="O963" s="53" t="n">
        <v>0</v>
      </c>
      <c r="P963" s="52" t="n">
        <v>0</v>
      </c>
      <c r="Q963" s="53" t="n">
        <v>0</v>
      </c>
      <c r="R963" s="52" t="n">
        <v>0</v>
      </c>
      <c r="S963" s="51" t="n">
        <v>0</v>
      </c>
      <c r="T963" s="48" t="n">
        <v>0</v>
      </c>
      <c r="U963" s="49" t="n">
        <v>0</v>
      </c>
      <c r="V963" s="49" t="n">
        <v>0</v>
      </c>
      <c r="W963" s="50" t="n">
        <v>0</v>
      </c>
      <c r="X963" s="51" t="n">
        <v>0</v>
      </c>
      <c r="Y963" s="52" t="n">
        <v>0</v>
      </c>
      <c r="Z963" s="52" t="n">
        <v>0</v>
      </c>
      <c r="AA963" s="52" t="n">
        <v>0</v>
      </c>
      <c r="AB963" s="53" t="n">
        <v>0</v>
      </c>
      <c r="AC963" s="52" t="n">
        <v>0</v>
      </c>
      <c r="AD963" s="53" t="n">
        <v>0</v>
      </c>
      <c r="AE963" s="52" t="n">
        <v>0</v>
      </c>
      <c r="AF963" s="51" t="n">
        <v>0</v>
      </c>
      <c r="AG963" s="48" t="n">
        <v>0</v>
      </c>
      <c r="AH963" s="49" t="n">
        <v>0</v>
      </c>
      <c r="AI963" s="49" t="n">
        <v>0</v>
      </c>
      <c r="AJ963" s="50" t="n">
        <v>0</v>
      </c>
      <c r="AK963" s="51" t="n">
        <v>0</v>
      </c>
      <c r="AL963" s="52" t="n">
        <v>0</v>
      </c>
      <c r="AM963" s="52" t="n">
        <v>0</v>
      </c>
      <c r="AN963" s="52" t="n">
        <v>0</v>
      </c>
      <c r="AO963" s="53" t="n">
        <v>0</v>
      </c>
      <c r="AP963" s="52" t="n">
        <v>0</v>
      </c>
      <c r="AQ963" s="53" t="n">
        <v>0</v>
      </c>
      <c r="AR963" s="52" t="n">
        <v>0</v>
      </c>
      <c r="AS963" s="51" t="n">
        <v>0</v>
      </c>
      <c r="AT963" s="48" t="n">
        <v>0</v>
      </c>
      <c r="AU963" s="49" t="n">
        <v>0</v>
      </c>
      <c r="AV963" s="49" t="n">
        <v>0</v>
      </c>
      <c r="AW963" s="50" t="n">
        <v>0</v>
      </c>
      <c r="AX963" s="51" t="n">
        <v>0</v>
      </c>
      <c r="AY963" s="52" t="n">
        <v>0</v>
      </c>
      <c r="AZ963" s="52" t="n">
        <v>0</v>
      </c>
      <c r="BA963" s="52" t="n">
        <v>0</v>
      </c>
      <c r="BB963" s="53" t="n">
        <v>0</v>
      </c>
      <c r="BC963" s="52" t="n">
        <v>0</v>
      </c>
      <c r="BD963" s="53" t="n">
        <v>0</v>
      </c>
      <c r="BE963" s="52" t="n">
        <v>0</v>
      </c>
      <c r="BF963" s="51" t="n">
        <v>0</v>
      </c>
    </row>
    <row r="964">
      <c r="A964">
        <f>HYPERLINK("https://www.walmart.com/ip/951107799", "951107799")</f>
        <v/>
      </c>
      <c r="B964" t="inlineStr">
        <is>
          <t>Camouflage Military Wine Bag, Insulated 2 Bottle Travel Padded Wine Carrying Cooler Carrier Tote with Handle and Shoulder Strap, 8.6" x 7.1" x 12.5".</t>
        </is>
      </c>
      <c r="C964" t="inlineStr">
        <is>
          <t>1KTWB420DC</t>
        </is>
      </c>
      <c r="D964" t="inlineStr">
        <is>
          <t>Wine Totes, Bags &amp; Backpacks</t>
        </is>
      </c>
      <c r="E964" t="inlineStr">
        <is>
          <t>Kato</t>
        </is>
      </c>
      <c r="F964" t="inlineStr">
        <is>
          <t>Wine,Christmas,Optimized,Valentine</t>
        </is>
      </c>
      <c r="G964" s="48" t="n">
        <v>0</v>
      </c>
      <c r="H964" s="49" t="n">
        <v>0</v>
      </c>
      <c r="I964" s="49" t="n">
        <v>0</v>
      </c>
      <c r="J964" s="50" t="n">
        <v>0</v>
      </c>
      <c r="K964" s="51" t="n">
        <v>0</v>
      </c>
      <c r="L964" s="52" t="n">
        <v>0</v>
      </c>
      <c r="M964" s="52" t="n">
        <v>0</v>
      </c>
      <c r="N964" s="52" t="n">
        <v>0</v>
      </c>
      <c r="O964" s="53" t="n">
        <v>0</v>
      </c>
      <c r="P964" s="52" t="n">
        <v>0</v>
      </c>
      <c r="Q964" s="53" t="n">
        <v>0</v>
      </c>
      <c r="R964" s="52" t="n">
        <v>0</v>
      </c>
      <c r="S964" s="51" t="n">
        <v>1008</v>
      </c>
      <c r="T964" s="48" t="n">
        <v>0</v>
      </c>
      <c r="U964" s="49" t="n">
        <v>0</v>
      </c>
      <c r="V964" s="49" t="n">
        <v>0</v>
      </c>
      <c r="W964" s="50" t="n">
        <v>0</v>
      </c>
      <c r="X964" s="51" t="n">
        <v>0</v>
      </c>
      <c r="Y964" s="52" t="n">
        <v>0</v>
      </c>
      <c r="Z964" s="52" t="n">
        <v>0</v>
      </c>
      <c r="AA964" s="52" t="n">
        <v>0</v>
      </c>
      <c r="AB964" s="53" t="n">
        <v>0</v>
      </c>
      <c r="AC964" s="52" t="n">
        <v>0</v>
      </c>
      <c r="AD964" s="53" t="n">
        <v>0</v>
      </c>
      <c r="AE964" s="52" t="n">
        <v>0</v>
      </c>
      <c r="AF964" s="51" t="n">
        <v>717</v>
      </c>
      <c r="AG964" s="48" t="n">
        <v>0</v>
      </c>
      <c r="AH964" s="49" t="n">
        <v>0</v>
      </c>
      <c r="AI964" s="49" t="n">
        <v>0</v>
      </c>
      <c r="AJ964" s="50" t="n">
        <v>0</v>
      </c>
      <c r="AK964" s="51" t="n">
        <v>0</v>
      </c>
      <c r="AL964" s="52" t="n">
        <v>0</v>
      </c>
      <c r="AM964" s="52" t="n">
        <v>0</v>
      </c>
      <c r="AN964" s="52" t="n">
        <v>0</v>
      </c>
      <c r="AO964" s="53" t="n">
        <v>0</v>
      </c>
      <c r="AP964" s="52" t="n">
        <v>0</v>
      </c>
      <c r="AQ964" s="53" t="n">
        <v>0</v>
      </c>
      <c r="AR964" s="52" t="n">
        <v>0</v>
      </c>
      <c r="AS964" s="51" t="n">
        <v>628</v>
      </c>
      <c r="AT964" s="48" t="n">
        <v>0</v>
      </c>
      <c r="AU964" s="49" t="n">
        <v>0</v>
      </c>
      <c r="AV964" s="49" t="n">
        <v>0</v>
      </c>
      <c r="AW964" s="50" t="n">
        <v>0</v>
      </c>
      <c r="AX964" s="51" t="n">
        <v>0</v>
      </c>
      <c r="AY964" s="52" t="n">
        <v>0</v>
      </c>
      <c r="AZ964" s="52" t="n">
        <v>0</v>
      </c>
      <c r="BA964" s="52" t="n">
        <v>0</v>
      </c>
      <c r="BB964" s="53" t="n">
        <v>0</v>
      </c>
      <c r="BC964" s="52" t="n">
        <v>0</v>
      </c>
      <c r="BD964" s="53" t="n">
        <v>0</v>
      </c>
      <c r="BE964" s="52" t="n">
        <v>0</v>
      </c>
      <c r="BF964" s="51" t="n">
        <v>1024</v>
      </c>
    </row>
    <row r="965">
      <c r="A965">
        <f>HYPERLINK("https://www.walmart.com/ip/9511207654", "9511207654")</f>
        <v/>
      </c>
      <c r="B965" t="inlineStr">
        <is>
          <t>Ocean Pacific Og Corduroy Backpack for Travel, Sports, and Work, Waterproof College Backpack, Laptop Backpack Fits 15.6” Devices, Casual Daypack Backpacks for Adults, Black</t>
        </is>
      </c>
      <c r="C965" t="inlineStr">
        <is>
          <t>OP-BACKPACK-15381-BLACK</t>
        </is>
      </c>
      <c r="D965" t="inlineStr">
        <is>
          <t>Backpacks</t>
        </is>
      </c>
      <c r="E965" t="inlineStr">
        <is>
          <t>Ocean Pacific</t>
        </is>
      </c>
      <c r="F965" t="inlineStr">
        <is>
          <t>Backpack</t>
        </is>
      </c>
      <c r="G965" s="48" t="n">
        <v>0</v>
      </c>
      <c r="H965" s="49" t="n">
        <v>0</v>
      </c>
      <c r="I965" s="49" t="n">
        <v>0</v>
      </c>
      <c r="J965" s="50" t="n">
        <v>0</v>
      </c>
      <c r="K965" s="51" t="n">
        <v>0</v>
      </c>
      <c r="L965" s="52" t="n">
        <v>0</v>
      </c>
      <c r="M965" s="52" t="n">
        <v>0</v>
      </c>
      <c r="N965" s="52" t="n">
        <v>0</v>
      </c>
      <c r="O965" s="53" t="n">
        <v>0</v>
      </c>
      <c r="P965" s="52" t="n">
        <v>0</v>
      </c>
      <c r="Q965" s="53" t="n">
        <v>0</v>
      </c>
      <c r="R965" s="52" t="n">
        <v>0</v>
      </c>
      <c r="S965" s="51" t="n">
        <v>0</v>
      </c>
      <c r="T965" s="48" t="n">
        <v>0</v>
      </c>
      <c r="U965" s="49" t="n">
        <v>0</v>
      </c>
      <c r="V965" s="49" t="n">
        <v>0</v>
      </c>
      <c r="W965" s="50" t="n">
        <v>0</v>
      </c>
      <c r="X965" s="51" t="n">
        <v>0</v>
      </c>
      <c r="Y965" s="52" t="n">
        <v>0</v>
      </c>
      <c r="Z965" s="52" t="n">
        <v>0</v>
      </c>
      <c r="AA965" s="52" t="n">
        <v>0</v>
      </c>
      <c r="AB965" s="53" t="n">
        <v>0</v>
      </c>
      <c r="AC965" s="52" t="n">
        <v>0</v>
      </c>
      <c r="AD965" s="53" t="n">
        <v>0</v>
      </c>
      <c r="AE965" s="52" t="n">
        <v>0</v>
      </c>
      <c r="AF965" s="51" t="n">
        <v>0</v>
      </c>
      <c r="AG965" s="48" t="n">
        <v>0</v>
      </c>
      <c r="AH965" s="49" t="n">
        <v>0</v>
      </c>
      <c r="AI965" s="49" t="n">
        <v>0</v>
      </c>
      <c r="AJ965" s="50" t="n">
        <v>0</v>
      </c>
      <c r="AK965" s="51" t="n">
        <v>0</v>
      </c>
      <c r="AL965" s="52" t="n">
        <v>0</v>
      </c>
      <c r="AM965" s="52" t="n">
        <v>0</v>
      </c>
      <c r="AN965" s="52" t="n">
        <v>0</v>
      </c>
      <c r="AO965" s="53" t="n">
        <v>0</v>
      </c>
      <c r="AP965" s="52" t="n">
        <v>0</v>
      </c>
      <c r="AQ965" s="53" t="n">
        <v>0</v>
      </c>
      <c r="AR965" s="52" t="n">
        <v>0</v>
      </c>
      <c r="AS965" s="51" t="n">
        <v>0</v>
      </c>
      <c r="AT965" s="48" t="n">
        <v>0</v>
      </c>
      <c r="AU965" s="49" t="n">
        <v>0</v>
      </c>
      <c r="AV965" s="49" t="n">
        <v>0</v>
      </c>
      <c r="AW965" s="50" t="n">
        <v>0</v>
      </c>
      <c r="AX965" s="51" t="n">
        <v>0</v>
      </c>
      <c r="AY965" s="52" t="n">
        <v>0</v>
      </c>
      <c r="AZ965" s="52" t="n">
        <v>0</v>
      </c>
      <c r="BA965" s="52" t="n">
        <v>0</v>
      </c>
      <c r="BB965" s="53" t="n">
        <v>0</v>
      </c>
      <c r="BC965" s="52" t="n">
        <v>0</v>
      </c>
      <c r="BD965" s="53" t="n">
        <v>0</v>
      </c>
      <c r="BE965" s="52" t="n">
        <v>0</v>
      </c>
      <c r="BF965" s="51" t="n">
        <v>0</v>
      </c>
    </row>
    <row r="966">
      <c r="A966">
        <f>HYPERLINK("https://www.walmart.com/ip/9511207660", "9511207660")</f>
        <v/>
      </c>
      <c r="B966" t="inlineStr">
        <is>
          <t>Wrangler Yellowstone Sturdy Laptop Backpack for Travel, Hiking Backpack with Classic Logo, Water Resistant Casual Daypack, Padded Sleeve College Backpack for Notebook, Brown Corduroy</t>
        </is>
      </c>
      <c r="C966" t="inlineStr">
        <is>
          <t>WR-BACKPACK-16273-BRNCORD</t>
        </is>
      </c>
      <c r="D966" t="inlineStr">
        <is>
          <t>Backpacks</t>
        </is>
      </c>
      <c r="E966" t="inlineStr">
        <is>
          <t>Wrangler</t>
        </is>
      </c>
      <c r="F966" t="inlineStr">
        <is>
          <t>Backpack</t>
        </is>
      </c>
      <c r="G966" s="48" t="n">
        <v>0</v>
      </c>
      <c r="H966" s="49" t="n">
        <v>0</v>
      </c>
      <c r="I966" s="49" t="n">
        <v>0</v>
      </c>
      <c r="J966" s="50" t="n">
        <v>0</v>
      </c>
      <c r="K966" s="51" t="n">
        <v>0</v>
      </c>
      <c r="L966" s="52" t="n">
        <v>0</v>
      </c>
      <c r="M966" s="52" t="n">
        <v>0</v>
      </c>
      <c r="N966" s="52" t="n">
        <v>0</v>
      </c>
      <c r="O966" s="53" t="n">
        <v>0</v>
      </c>
      <c r="P966" s="52" t="n">
        <v>0</v>
      </c>
      <c r="Q966" s="53" t="n">
        <v>0</v>
      </c>
      <c r="R966" s="52" t="n">
        <v>0</v>
      </c>
      <c r="S966" s="51" t="n">
        <v>0</v>
      </c>
      <c r="T966" s="48" t="n">
        <v>0</v>
      </c>
      <c r="U966" s="49" t="n">
        <v>0</v>
      </c>
      <c r="V966" s="49" t="n">
        <v>0</v>
      </c>
      <c r="W966" s="50" t="n">
        <v>0</v>
      </c>
      <c r="X966" s="51" t="n">
        <v>0</v>
      </c>
      <c r="Y966" s="52" t="n">
        <v>0</v>
      </c>
      <c r="Z966" s="52" t="n">
        <v>0</v>
      </c>
      <c r="AA966" s="52" t="n">
        <v>0</v>
      </c>
      <c r="AB966" s="53" t="n">
        <v>0</v>
      </c>
      <c r="AC966" s="52" t="n">
        <v>0</v>
      </c>
      <c r="AD966" s="53" t="n">
        <v>0</v>
      </c>
      <c r="AE966" s="52" t="n">
        <v>0</v>
      </c>
      <c r="AF966" s="51" t="n">
        <v>0</v>
      </c>
      <c r="AG966" s="48" t="n">
        <v>0</v>
      </c>
      <c r="AH966" s="49" t="n">
        <v>0</v>
      </c>
      <c r="AI966" s="49" t="n">
        <v>0</v>
      </c>
      <c r="AJ966" s="50" t="n">
        <v>0</v>
      </c>
      <c r="AK966" s="51" t="n">
        <v>0</v>
      </c>
      <c r="AL966" s="52" t="n">
        <v>0</v>
      </c>
      <c r="AM966" s="52" t="n">
        <v>0</v>
      </c>
      <c r="AN966" s="52" t="n">
        <v>0</v>
      </c>
      <c r="AO966" s="53" t="n">
        <v>0</v>
      </c>
      <c r="AP966" s="52" t="n">
        <v>0</v>
      </c>
      <c r="AQ966" s="53" t="n">
        <v>0</v>
      </c>
      <c r="AR966" s="52" t="n">
        <v>0</v>
      </c>
      <c r="AS966" s="51" t="n">
        <v>0</v>
      </c>
      <c r="AT966" s="48" t="n">
        <v>0</v>
      </c>
      <c r="AU966" s="49" t="n">
        <v>0</v>
      </c>
      <c r="AV966" s="49" t="n">
        <v>0</v>
      </c>
      <c r="AW966" s="50" t="n">
        <v>0</v>
      </c>
      <c r="AX966" s="51" t="n">
        <v>0</v>
      </c>
      <c r="AY966" s="52" t="n">
        <v>0</v>
      </c>
      <c r="AZ966" s="52" t="n">
        <v>0</v>
      </c>
      <c r="BA966" s="52" t="n">
        <v>0</v>
      </c>
      <c r="BB966" s="53" t="n">
        <v>0</v>
      </c>
      <c r="BC966" s="52" t="n">
        <v>0</v>
      </c>
      <c r="BD966" s="53" t="n">
        <v>0</v>
      </c>
      <c r="BE966" s="52" t="n">
        <v>0</v>
      </c>
      <c r="BF966" s="51" t="n">
        <v>0</v>
      </c>
    </row>
    <row r="967">
      <c r="A967">
        <f>HYPERLINK("https://www.walmart.com/ip/9513964719", "9513964719")</f>
        <v/>
      </c>
      <c r="B967" t="inlineStr">
        <is>
          <t>Wrangler Yellowstone Sturdy Laptop Backpack for Travel, Hiking Backpack with Classic Logo, Water Resistant Casual Daypack, Padded Sleeve College Backpack for Notebook, Navy Denim</t>
        </is>
      </c>
      <c r="C967" t="inlineStr">
        <is>
          <t>WR-BACKPACK-16273-NVYDENIM</t>
        </is>
      </c>
      <c r="D967" t="inlineStr">
        <is>
          <t>Backpacks</t>
        </is>
      </c>
      <c r="E967" t="inlineStr">
        <is>
          <t>Wrangler</t>
        </is>
      </c>
      <c r="F967" t="inlineStr">
        <is>
          <t>Backpack</t>
        </is>
      </c>
      <c r="G967" s="48" t="n">
        <v>0</v>
      </c>
      <c r="H967" s="49" t="n">
        <v>0</v>
      </c>
      <c r="I967" s="49" t="n">
        <v>0</v>
      </c>
      <c r="J967" s="50" t="n">
        <v>0</v>
      </c>
      <c r="K967" s="51" t="n">
        <v>0</v>
      </c>
      <c r="L967" s="52" t="n">
        <v>0</v>
      </c>
      <c r="M967" s="52" t="n">
        <v>0</v>
      </c>
      <c r="N967" s="52" t="n">
        <v>0</v>
      </c>
      <c r="O967" s="53" t="n">
        <v>0</v>
      </c>
      <c r="P967" s="52" t="n">
        <v>0</v>
      </c>
      <c r="Q967" s="53" t="n">
        <v>0</v>
      </c>
      <c r="R967" s="52" t="n">
        <v>0</v>
      </c>
      <c r="S967" s="51" t="n">
        <v>0</v>
      </c>
      <c r="T967" s="48" t="n">
        <v>0</v>
      </c>
      <c r="U967" s="49" t="n">
        <v>0</v>
      </c>
      <c r="V967" s="49" t="n">
        <v>0</v>
      </c>
      <c r="W967" s="50" t="n">
        <v>0</v>
      </c>
      <c r="X967" s="51" t="n">
        <v>0</v>
      </c>
      <c r="Y967" s="52" t="n">
        <v>0</v>
      </c>
      <c r="Z967" s="52" t="n">
        <v>0</v>
      </c>
      <c r="AA967" s="52" t="n">
        <v>0</v>
      </c>
      <c r="AB967" s="53" t="n">
        <v>0</v>
      </c>
      <c r="AC967" s="52" t="n">
        <v>0</v>
      </c>
      <c r="AD967" s="53" t="n">
        <v>0</v>
      </c>
      <c r="AE967" s="52" t="n">
        <v>0</v>
      </c>
      <c r="AF967" s="51" t="n">
        <v>0</v>
      </c>
      <c r="AG967" s="48" t="n">
        <v>0</v>
      </c>
      <c r="AH967" s="49" t="n">
        <v>0</v>
      </c>
      <c r="AI967" s="49" t="n">
        <v>0</v>
      </c>
      <c r="AJ967" s="50" t="n">
        <v>0</v>
      </c>
      <c r="AK967" s="51" t="n">
        <v>0</v>
      </c>
      <c r="AL967" s="52" t="n">
        <v>0</v>
      </c>
      <c r="AM967" s="52" t="n">
        <v>0</v>
      </c>
      <c r="AN967" s="52" t="n">
        <v>0</v>
      </c>
      <c r="AO967" s="53" t="n">
        <v>0</v>
      </c>
      <c r="AP967" s="52" t="n">
        <v>0</v>
      </c>
      <c r="AQ967" s="53" t="n">
        <v>0</v>
      </c>
      <c r="AR967" s="52" t="n">
        <v>0</v>
      </c>
      <c r="AS967" s="51" t="n">
        <v>0</v>
      </c>
      <c r="AT967" s="48" t="n">
        <v>0</v>
      </c>
      <c r="AU967" s="49" t="n">
        <v>0</v>
      </c>
      <c r="AV967" s="49" t="n">
        <v>0</v>
      </c>
      <c r="AW967" s="50" t="n">
        <v>0</v>
      </c>
      <c r="AX967" s="51" t="n">
        <v>0</v>
      </c>
      <c r="AY967" s="52" t="n">
        <v>0</v>
      </c>
      <c r="AZ967" s="52" t="n">
        <v>0</v>
      </c>
      <c r="BA967" s="52" t="n">
        <v>0</v>
      </c>
      <c r="BB967" s="53" t="n">
        <v>0</v>
      </c>
      <c r="BC967" s="52" t="n">
        <v>0</v>
      </c>
      <c r="BD967" s="53" t="n">
        <v>0</v>
      </c>
      <c r="BE967" s="52" t="n">
        <v>0</v>
      </c>
      <c r="BF967" s="51" t="n">
        <v>0</v>
      </c>
    </row>
    <row r="968">
      <c r="A968">
        <f>HYPERLINK("https://www.walmart.com/ip/9541856319", "9541856319")</f>
        <v/>
      </c>
      <c r="B968" t="inlineStr">
        <is>
          <t>Wrangler Industry Backpack, Classic Logo Water Resistant Casual Daypack with Padded Laptop Notebook Sleeve, Ideal as a Book Bag or Laptop Backpack, Great for Backpacks for School, Brown Duck</t>
        </is>
      </c>
      <c r="C968" t="inlineStr">
        <is>
          <t>WR-BACKPACK-INDUSTRY-BROWNDUCK</t>
        </is>
      </c>
      <c r="D968" t="inlineStr">
        <is>
          <t>Laptop Bags</t>
        </is>
      </c>
      <c r="E968" t="inlineStr">
        <is>
          <t>Wrangler</t>
        </is>
      </c>
      <c r="F968" t="inlineStr">
        <is>
          <t>Backpack</t>
        </is>
      </c>
      <c r="G968" s="48" t="n">
        <v>0</v>
      </c>
      <c r="H968" s="49" t="n">
        <v>0</v>
      </c>
      <c r="I968" s="49" t="n">
        <v>0</v>
      </c>
      <c r="J968" s="50" t="n">
        <v>0</v>
      </c>
      <c r="K968" s="51" t="n">
        <v>0</v>
      </c>
      <c r="L968" s="52" t="n">
        <v>0</v>
      </c>
      <c r="M968" s="52" t="n">
        <v>0</v>
      </c>
      <c r="N968" s="52" t="n">
        <v>0</v>
      </c>
      <c r="O968" s="53" t="n">
        <v>0</v>
      </c>
      <c r="P968" s="52" t="n">
        <v>0</v>
      </c>
      <c r="Q968" s="53" t="n">
        <v>0</v>
      </c>
      <c r="R968" s="52" t="n">
        <v>0</v>
      </c>
      <c r="S968" s="51" t="n">
        <v>0</v>
      </c>
      <c r="T968" s="48" t="n">
        <v>0</v>
      </c>
      <c r="U968" s="49" t="n">
        <v>0</v>
      </c>
      <c r="V968" s="49" t="n">
        <v>0</v>
      </c>
      <c r="W968" s="50" t="n">
        <v>0</v>
      </c>
      <c r="X968" s="51" t="n">
        <v>0</v>
      </c>
      <c r="Y968" s="52" t="n">
        <v>0</v>
      </c>
      <c r="Z968" s="52" t="n">
        <v>0</v>
      </c>
      <c r="AA968" s="52" t="n">
        <v>0</v>
      </c>
      <c r="AB968" s="53" t="n">
        <v>0</v>
      </c>
      <c r="AC968" s="52" t="n">
        <v>0</v>
      </c>
      <c r="AD968" s="53" t="n">
        <v>0</v>
      </c>
      <c r="AE968" s="52" t="n">
        <v>0</v>
      </c>
      <c r="AF968" s="51" t="n">
        <v>0</v>
      </c>
      <c r="AG968" s="48" t="n">
        <v>0</v>
      </c>
      <c r="AH968" s="49" t="n">
        <v>0</v>
      </c>
      <c r="AI968" s="49" t="n">
        <v>0</v>
      </c>
      <c r="AJ968" s="50" t="n">
        <v>0</v>
      </c>
      <c r="AK968" s="51" t="n">
        <v>0</v>
      </c>
      <c r="AL968" s="52" t="n">
        <v>0</v>
      </c>
      <c r="AM968" s="52" t="n">
        <v>0</v>
      </c>
      <c r="AN968" s="52" t="n">
        <v>0</v>
      </c>
      <c r="AO968" s="53" t="n">
        <v>0</v>
      </c>
      <c r="AP968" s="52" t="n">
        <v>0</v>
      </c>
      <c r="AQ968" s="53" t="n">
        <v>0</v>
      </c>
      <c r="AR968" s="52" t="n">
        <v>0</v>
      </c>
      <c r="AS968" s="51" t="n">
        <v>0</v>
      </c>
      <c r="AT968" s="48" t="n">
        <v>0</v>
      </c>
      <c r="AU968" s="49" t="n">
        <v>0</v>
      </c>
      <c r="AV968" s="49" t="n">
        <v>0</v>
      </c>
      <c r="AW968" s="50" t="n">
        <v>0</v>
      </c>
      <c r="AX968" s="51" t="n">
        <v>0</v>
      </c>
      <c r="AY968" s="52" t="n">
        <v>0</v>
      </c>
      <c r="AZ968" s="52" t="n">
        <v>0</v>
      </c>
      <c r="BA968" s="52" t="n">
        <v>0</v>
      </c>
      <c r="BB968" s="53" t="n">
        <v>0</v>
      </c>
      <c r="BC968" s="52" t="n">
        <v>0</v>
      </c>
      <c r="BD968" s="53" t="n">
        <v>0</v>
      </c>
      <c r="BE968" s="52" t="n">
        <v>0</v>
      </c>
      <c r="BF968" s="51" t="n">
        <v>0</v>
      </c>
    </row>
    <row r="969">
      <c r="A969">
        <f>HYPERLINK("https://www.walmart.com/ip/954491761", "954491761")</f>
        <v/>
      </c>
      <c r="B969" t="inlineStr">
        <is>
          <t>Flyingstar Blanket with Sleeves and Pocket, Wearable Throws Blanket, Robe for Women and Men 73” x 51” Green</t>
        </is>
      </c>
      <c r="C969" t="inlineStr">
        <is>
          <t>1WMSN100GN-ESGM</t>
        </is>
      </c>
      <c r="D969" t="inlineStr">
        <is>
          <t>Throws</t>
        </is>
      </c>
      <c r="E969" t="inlineStr">
        <is>
          <t>Flyingstar</t>
        </is>
      </c>
      <c r="F969" t="inlineStr">
        <is>
          <t>ST Patrick Day</t>
        </is>
      </c>
      <c r="G969" s="48" t="n">
        <v>0</v>
      </c>
      <c r="H969" s="49" t="n">
        <v>0</v>
      </c>
      <c r="I969" s="49" t="n">
        <v>0</v>
      </c>
      <c r="J969" s="50" t="n">
        <v>0</v>
      </c>
      <c r="K969" s="51" t="n">
        <v>0</v>
      </c>
      <c r="L969" s="52" t="n">
        <v>0</v>
      </c>
      <c r="M969" s="52" t="n">
        <v>0</v>
      </c>
      <c r="N969" s="52" t="n">
        <v>0</v>
      </c>
      <c r="O969" s="53" t="n">
        <v>0</v>
      </c>
      <c r="P969" s="52" t="n">
        <v>0</v>
      </c>
      <c r="Q969" s="53" t="n">
        <v>0</v>
      </c>
      <c r="R969" s="52" t="n">
        <v>0</v>
      </c>
      <c r="S969" s="51" t="n">
        <v>0</v>
      </c>
      <c r="T969" s="48" t="n">
        <v>0</v>
      </c>
      <c r="U969" s="49" t="n">
        <v>0</v>
      </c>
      <c r="V969" s="49" t="n">
        <v>0</v>
      </c>
      <c r="W969" s="50" t="n">
        <v>0</v>
      </c>
      <c r="X969" s="51" t="n">
        <v>0</v>
      </c>
      <c r="Y969" s="52" t="n">
        <v>0</v>
      </c>
      <c r="Z969" s="52" t="n">
        <v>0</v>
      </c>
      <c r="AA969" s="52" t="n">
        <v>0</v>
      </c>
      <c r="AB969" s="53" t="n">
        <v>0</v>
      </c>
      <c r="AC969" s="52" t="n">
        <v>0</v>
      </c>
      <c r="AD969" s="53" t="n">
        <v>0</v>
      </c>
      <c r="AE969" s="52" t="n">
        <v>0</v>
      </c>
      <c r="AF969" s="51" t="n">
        <v>0</v>
      </c>
      <c r="AG969" s="48" t="n">
        <v>0</v>
      </c>
      <c r="AH969" s="49" t="n">
        <v>0</v>
      </c>
      <c r="AI969" s="49" t="n">
        <v>0</v>
      </c>
      <c r="AJ969" s="50" t="n">
        <v>0</v>
      </c>
      <c r="AK969" s="51" t="n">
        <v>0</v>
      </c>
      <c r="AL969" s="52" t="n">
        <v>0</v>
      </c>
      <c r="AM969" s="52" t="n">
        <v>0</v>
      </c>
      <c r="AN969" s="52" t="n">
        <v>0</v>
      </c>
      <c r="AO969" s="53" t="n">
        <v>0</v>
      </c>
      <c r="AP969" s="52" t="n">
        <v>0</v>
      </c>
      <c r="AQ969" s="53" t="n">
        <v>0</v>
      </c>
      <c r="AR969" s="52" t="n">
        <v>0</v>
      </c>
      <c r="AS969" s="51" t="n">
        <v>0</v>
      </c>
      <c r="AT969" s="48" t="n">
        <v>0</v>
      </c>
      <c r="AU969" s="49" t="n">
        <v>0</v>
      </c>
      <c r="AV969" s="49" t="n">
        <v>0</v>
      </c>
      <c r="AW969" s="50" t="n">
        <v>0</v>
      </c>
      <c r="AX969" s="51" t="n">
        <v>0</v>
      </c>
      <c r="AY969" s="52" t="n">
        <v>0</v>
      </c>
      <c r="AZ969" s="52" t="n">
        <v>0</v>
      </c>
      <c r="BA969" s="52" t="n">
        <v>0</v>
      </c>
      <c r="BB969" s="53" t="n">
        <v>0</v>
      </c>
      <c r="BC969" s="52" t="n">
        <v>0</v>
      </c>
      <c r="BD969" s="53" t="n">
        <v>0</v>
      </c>
      <c r="BE969" s="52" t="n">
        <v>0</v>
      </c>
      <c r="BF969" s="51" t="n">
        <v>0</v>
      </c>
    </row>
    <row r="970">
      <c r="A970">
        <f>HYPERLINK("https://www.walmart.com/ip/9547970981", "9547970981")</f>
        <v/>
      </c>
      <c r="B970" t="inlineStr">
        <is>
          <t>Lee Clear Water Resistant Backpack for Boys and Girls, Durable See Thru Book Bag, Backpacks for School, Laptop Backpack, Ideal for Stadiums, Concerts, and Casual Use, Clear Grey</t>
        </is>
      </c>
      <c r="C970" t="inlineStr">
        <is>
          <t>LE-BACKPACK-93038-GREY</t>
        </is>
      </c>
      <c r="D970" t="inlineStr">
        <is>
          <t>Backpacks</t>
        </is>
      </c>
      <c r="E970" t="inlineStr">
        <is>
          <t>Lee</t>
        </is>
      </c>
      <c r="F970" t="inlineStr">
        <is>
          <t>Backpack</t>
        </is>
      </c>
      <c r="G970" s="48" t="n">
        <v>0</v>
      </c>
      <c r="H970" s="49" t="n">
        <v>0</v>
      </c>
      <c r="I970" s="49" t="n">
        <v>0</v>
      </c>
      <c r="J970" s="50" t="n">
        <v>0</v>
      </c>
      <c r="K970" s="51" t="n">
        <v>0</v>
      </c>
      <c r="L970" s="52" t="n">
        <v>0</v>
      </c>
      <c r="M970" s="52" t="n">
        <v>0</v>
      </c>
      <c r="N970" s="52" t="n">
        <v>0</v>
      </c>
      <c r="O970" s="53" t="n">
        <v>0</v>
      </c>
      <c r="P970" s="52" t="n">
        <v>0</v>
      </c>
      <c r="Q970" s="53" t="n">
        <v>0</v>
      </c>
      <c r="R970" s="52" t="n">
        <v>0</v>
      </c>
      <c r="S970" s="51" t="n">
        <v>0</v>
      </c>
      <c r="T970" s="48" t="n">
        <v>0</v>
      </c>
      <c r="U970" s="49" t="n">
        <v>0</v>
      </c>
      <c r="V970" s="49" t="n">
        <v>0</v>
      </c>
      <c r="W970" s="50" t="n">
        <v>0</v>
      </c>
      <c r="X970" s="51" t="n">
        <v>0</v>
      </c>
      <c r="Y970" s="52" t="n">
        <v>0</v>
      </c>
      <c r="Z970" s="52" t="n">
        <v>0</v>
      </c>
      <c r="AA970" s="52" t="n">
        <v>0</v>
      </c>
      <c r="AB970" s="53" t="n">
        <v>0</v>
      </c>
      <c r="AC970" s="52" t="n">
        <v>0</v>
      </c>
      <c r="AD970" s="53" t="n">
        <v>0</v>
      </c>
      <c r="AE970" s="52" t="n">
        <v>0</v>
      </c>
      <c r="AF970" s="51" t="n">
        <v>0</v>
      </c>
      <c r="AG970" s="48" t="n">
        <v>0</v>
      </c>
      <c r="AH970" s="49" t="n">
        <v>0</v>
      </c>
      <c r="AI970" s="49" t="n">
        <v>0</v>
      </c>
      <c r="AJ970" s="50" t="n">
        <v>0</v>
      </c>
      <c r="AK970" s="51" t="n">
        <v>0</v>
      </c>
      <c r="AL970" s="52" t="n">
        <v>0</v>
      </c>
      <c r="AM970" s="52" t="n">
        <v>0</v>
      </c>
      <c r="AN970" s="52" t="n">
        <v>0</v>
      </c>
      <c r="AO970" s="53" t="n">
        <v>0</v>
      </c>
      <c r="AP970" s="52" t="n">
        <v>0</v>
      </c>
      <c r="AQ970" s="53" t="n">
        <v>0</v>
      </c>
      <c r="AR970" s="52" t="n">
        <v>0</v>
      </c>
      <c r="AS970" s="51" t="n">
        <v>0</v>
      </c>
      <c r="AT970" s="48" t="n">
        <v>0</v>
      </c>
      <c r="AU970" s="49" t="n">
        <v>0</v>
      </c>
      <c r="AV970" s="49" t="n">
        <v>0</v>
      </c>
      <c r="AW970" s="50" t="n">
        <v>0</v>
      </c>
      <c r="AX970" s="51" t="n">
        <v>0</v>
      </c>
      <c r="AY970" s="52" t="n">
        <v>0</v>
      </c>
      <c r="AZ970" s="52" t="n">
        <v>0</v>
      </c>
      <c r="BA970" s="52" t="n">
        <v>0</v>
      </c>
      <c r="BB970" s="53" t="n">
        <v>0</v>
      </c>
      <c r="BC970" s="52" t="n">
        <v>0</v>
      </c>
      <c r="BD970" s="53" t="n">
        <v>0</v>
      </c>
      <c r="BE970" s="52" t="n">
        <v>0</v>
      </c>
      <c r="BF970" s="51" t="n">
        <v>0</v>
      </c>
    </row>
    <row r="971">
      <c r="A971">
        <f>HYPERLINK("https://www.walmart.com/ip/9553755516", "9553755516")</f>
        <v/>
      </c>
      <c r="B971" t="inlineStr">
        <is>
          <t>Lee Clear Water Resistant Laptop Backpack for Boys and Girls, Durable See Thru Book Bag, Backpacks for School, Ideal for Stadiums, Concerts, and Casual Use, Clear Black</t>
        </is>
      </c>
      <c r="C971" t="inlineStr">
        <is>
          <t>LE-BACKPACK-93038-BLACK</t>
        </is>
      </c>
      <c r="D971" t="inlineStr">
        <is>
          <t>Backpacks</t>
        </is>
      </c>
      <c r="E971" t="inlineStr">
        <is>
          <t>Lee</t>
        </is>
      </c>
      <c r="F971" t="inlineStr">
        <is>
          <t>Backpack</t>
        </is>
      </c>
      <c r="G971" s="48" t="n">
        <v>0</v>
      </c>
      <c r="H971" s="49" t="n">
        <v>0</v>
      </c>
      <c r="I971" s="49" t="n">
        <v>0</v>
      </c>
      <c r="J971" s="50" t="n">
        <v>0</v>
      </c>
      <c r="K971" s="51" t="n">
        <v>0</v>
      </c>
      <c r="L971" s="52" t="n">
        <v>0</v>
      </c>
      <c r="M971" s="52" t="n">
        <v>0</v>
      </c>
      <c r="N971" s="52" t="n">
        <v>0</v>
      </c>
      <c r="O971" s="53" t="n">
        <v>0</v>
      </c>
      <c r="P971" s="52" t="n">
        <v>0</v>
      </c>
      <c r="Q971" s="53" t="n">
        <v>0</v>
      </c>
      <c r="R971" s="52" t="n">
        <v>0</v>
      </c>
      <c r="S971" s="51" t="n">
        <v>0</v>
      </c>
      <c r="T971" s="48" t="n">
        <v>0</v>
      </c>
      <c r="U971" s="49" t="n">
        <v>0</v>
      </c>
      <c r="V971" s="49" t="n">
        <v>0</v>
      </c>
      <c r="W971" s="50" t="n">
        <v>0</v>
      </c>
      <c r="X971" s="51" t="n">
        <v>0</v>
      </c>
      <c r="Y971" s="52" t="n">
        <v>0</v>
      </c>
      <c r="Z971" s="52" t="n">
        <v>0</v>
      </c>
      <c r="AA971" s="52" t="n">
        <v>0</v>
      </c>
      <c r="AB971" s="53" t="n">
        <v>0</v>
      </c>
      <c r="AC971" s="52" t="n">
        <v>0</v>
      </c>
      <c r="AD971" s="53" t="n">
        <v>0</v>
      </c>
      <c r="AE971" s="52" t="n">
        <v>0</v>
      </c>
      <c r="AF971" s="51" t="n">
        <v>0</v>
      </c>
      <c r="AG971" s="48" t="n">
        <v>0</v>
      </c>
      <c r="AH971" s="49" t="n">
        <v>0</v>
      </c>
      <c r="AI971" s="49" t="n">
        <v>0</v>
      </c>
      <c r="AJ971" s="50" t="n">
        <v>0</v>
      </c>
      <c r="AK971" s="51" t="n">
        <v>0</v>
      </c>
      <c r="AL971" s="52" t="n">
        <v>0</v>
      </c>
      <c r="AM971" s="52" t="n">
        <v>0</v>
      </c>
      <c r="AN971" s="52" t="n">
        <v>0</v>
      </c>
      <c r="AO971" s="53" t="n">
        <v>0</v>
      </c>
      <c r="AP971" s="52" t="n">
        <v>0</v>
      </c>
      <c r="AQ971" s="53" t="n">
        <v>0</v>
      </c>
      <c r="AR971" s="52" t="n">
        <v>0</v>
      </c>
      <c r="AS971" s="51" t="n">
        <v>0</v>
      </c>
      <c r="AT971" s="48" t="n">
        <v>0</v>
      </c>
      <c r="AU971" s="49" t="n">
        <v>0</v>
      </c>
      <c r="AV971" s="49" t="n">
        <v>0</v>
      </c>
      <c r="AW971" s="50" t="n">
        <v>0</v>
      </c>
      <c r="AX971" s="51" t="n">
        <v>0</v>
      </c>
      <c r="AY971" s="52" t="n">
        <v>0</v>
      </c>
      <c r="AZ971" s="52" t="n">
        <v>0</v>
      </c>
      <c r="BA971" s="52" t="n">
        <v>0</v>
      </c>
      <c r="BB971" s="53" t="n">
        <v>0</v>
      </c>
      <c r="BC971" s="52" t="n">
        <v>0</v>
      </c>
      <c r="BD971" s="53" t="n">
        <v>0</v>
      </c>
      <c r="BE971" s="52" t="n">
        <v>0</v>
      </c>
      <c r="BF971" s="51" t="n">
        <v>0</v>
      </c>
    </row>
    <row r="972">
      <c r="A972">
        <f>HYPERLINK("https://www.walmart.com/ip/955795616", "955795616")</f>
        <v/>
      </c>
      <c r="B972" t="inlineStr">
        <is>
          <t>Tirrinia Adult Insulated Lunch Bag with Front Pocket, White/Pink, 14'' x 7'' x 9.5'', 10.8 L</t>
        </is>
      </c>
      <c r="C972" t="inlineStr">
        <is>
          <t>1WMLB705WTPK</t>
        </is>
      </c>
      <c r="D972" t="inlineStr">
        <is>
          <t>Reusable Lunch Bags &amp; Boxes</t>
        </is>
      </c>
      <c r="E972" t="inlineStr">
        <is>
          <t>Flyingstar</t>
        </is>
      </c>
      <c r="F972" t="inlineStr">
        <is>
          <t>Q2-Target,Lunch Bag,Optimized,Lunch Bags</t>
        </is>
      </c>
      <c r="G972" s="48" t="n">
        <v>0</v>
      </c>
      <c r="H972" s="49" t="n">
        <v>0</v>
      </c>
      <c r="I972" s="49" t="n">
        <v>0</v>
      </c>
      <c r="J972" s="50" t="n">
        <v>0</v>
      </c>
      <c r="K972" s="51" t="n">
        <v>0</v>
      </c>
      <c r="L972" s="52" t="n">
        <v>0</v>
      </c>
      <c r="M972" s="52" t="n">
        <v>0</v>
      </c>
      <c r="N972" s="52" t="n">
        <v>0</v>
      </c>
      <c r="O972" s="53" t="n">
        <v>0</v>
      </c>
      <c r="P972" s="52" t="n">
        <v>0</v>
      </c>
      <c r="Q972" s="53" t="n">
        <v>0</v>
      </c>
      <c r="R972" s="52" t="n">
        <v>0</v>
      </c>
      <c r="S972" s="51" t="n">
        <v>0</v>
      </c>
      <c r="T972" s="48" t="n">
        <v>0</v>
      </c>
      <c r="U972" s="49" t="n">
        <v>0</v>
      </c>
      <c r="V972" s="49" t="n">
        <v>0</v>
      </c>
      <c r="W972" s="50" t="n">
        <v>0</v>
      </c>
      <c r="X972" s="51" t="n">
        <v>0</v>
      </c>
      <c r="Y972" s="52" t="n">
        <v>0</v>
      </c>
      <c r="Z972" s="52" t="n">
        <v>0</v>
      </c>
      <c r="AA972" s="52" t="n">
        <v>0</v>
      </c>
      <c r="AB972" s="53" t="n">
        <v>0</v>
      </c>
      <c r="AC972" s="52" t="n">
        <v>0</v>
      </c>
      <c r="AD972" s="53" t="n">
        <v>0</v>
      </c>
      <c r="AE972" s="52" t="n">
        <v>0</v>
      </c>
      <c r="AF972" s="51" t="n">
        <v>0</v>
      </c>
      <c r="AG972" s="48" t="n">
        <v>0</v>
      </c>
      <c r="AH972" s="49" t="n">
        <v>0</v>
      </c>
      <c r="AI972" s="49" t="n">
        <v>0</v>
      </c>
      <c r="AJ972" s="50" t="n">
        <v>0</v>
      </c>
      <c r="AK972" s="51" t="n">
        <v>0</v>
      </c>
      <c r="AL972" s="52" t="n">
        <v>0</v>
      </c>
      <c r="AM972" s="52" t="n">
        <v>0</v>
      </c>
      <c r="AN972" s="52" t="n">
        <v>0</v>
      </c>
      <c r="AO972" s="53" t="n">
        <v>0</v>
      </c>
      <c r="AP972" s="52" t="n">
        <v>0</v>
      </c>
      <c r="AQ972" s="53" t="n">
        <v>0</v>
      </c>
      <c r="AR972" s="52" t="n">
        <v>0</v>
      </c>
      <c r="AS972" s="51" t="n">
        <v>0</v>
      </c>
      <c r="AT972" s="48" t="n">
        <v>0</v>
      </c>
      <c r="AU972" s="49" t="n">
        <v>0</v>
      </c>
      <c r="AV972" s="49" t="n">
        <v>0</v>
      </c>
      <c r="AW972" s="50" t="n">
        <v>0</v>
      </c>
      <c r="AX972" s="51" t="n">
        <v>0</v>
      </c>
      <c r="AY972" s="52" t="n">
        <v>0</v>
      </c>
      <c r="AZ972" s="52" t="n">
        <v>0</v>
      </c>
      <c r="BA972" s="52" t="n">
        <v>0</v>
      </c>
      <c r="BB972" s="53" t="n">
        <v>0</v>
      </c>
      <c r="BC972" s="52" t="n">
        <v>0</v>
      </c>
      <c r="BD972" s="53" t="n">
        <v>0</v>
      </c>
      <c r="BE972" s="52" t="n">
        <v>0</v>
      </c>
      <c r="BF972" s="51" t="n">
        <v>0</v>
      </c>
    </row>
    <row r="973">
      <c r="A973">
        <f>HYPERLINK("https://www.walmart.com/ip/956472718", "956472718")</f>
        <v/>
      </c>
      <c r="B973" t="inlineStr">
        <is>
          <t>Catalonia 15lb Weighted Blanket for Kids Adult, Premium Heavy Blanket with Removable Cover, 48"×72", Cotton, Grey</t>
        </is>
      </c>
      <c r="C973" t="inlineStr">
        <is>
          <t>1CTBG724GY-15M+C</t>
        </is>
      </c>
      <c r="D973" t="inlineStr">
        <is>
          <t>Bed Blankets</t>
        </is>
      </c>
      <c r="E973" t="inlineStr">
        <is>
          <t>Catalonia</t>
        </is>
      </c>
      <c r="F973" t="inlineStr">
        <is>
          <t>WFS,Valentine,WFS Item</t>
        </is>
      </c>
      <c r="G973" s="48" t="n">
        <v>0</v>
      </c>
      <c r="H973" s="49" t="n">
        <v>0</v>
      </c>
      <c r="I973" s="49" t="n">
        <v>0</v>
      </c>
      <c r="J973" s="50" t="n">
        <v>0</v>
      </c>
      <c r="K973" s="51" t="n">
        <v>0</v>
      </c>
      <c r="L973" s="52" t="n">
        <v>0</v>
      </c>
      <c r="M973" s="52" t="n">
        <v>0</v>
      </c>
      <c r="N973" s="52" t="n">
        <v>0</v>
      </c>
      <c r="O973" s="53" t="n">
        <v>0</v>
      </c>
      <c r="P973" s="52" t="n">
        <v>0</v>
      </c>
      <c r="Q973" s="53" t="n">
        <v>0</v>
      </c>
      <c r="R973" s="52" t="n">
        <v>0</v>
      </c>
      <c r="S973" s="51" t="n">
        <v>0</v>
      </c>
      <c r="T973" s="48" t="n">
        <v>0</v>
      </c>
      <c r="U973" s="49" t="n">
        <v>0</v>
      </c>
      <c r="V973" s="49" t="n">
        <v>0</v>
      </c>
      <c r="W973" s="50" t="n">
        <v>0</v>
      </c>
      <c r="X973" s="51" t="n">
        <v>0</v>
      </c>
      <c r="Y973" s="52" t="n">
        <v>0</v>
      </c>
      <c r="Z973" s="52" t="n">
        <v>0</v>
      </c>
      <c r="AA973" s="52" t="n">
        <v>0</v>
      </c>
      <c r="AB973" s="53" t="n">
        <v>0</v>
      </c>
      <c r="AC973" s="52" t="n">
        <v>0</v>
      </c>
      <c r="AD973" s="53" t="n">
        <v>0</v>
      </c>
      <c r="AE973" s="52" t="n">
        <v>0</v>
      </c>
      <c r="AF973" s="51" t="n">
        <v>0</v>
      </c>
      <c r="AG973" s="48" t="n">
        <v>0</v>
      </c>
      <c r="AH973" s="49" t="n">
        <v>0</v>
      </c>
      <c r="AI973" s="49" t="n">
        <v>0</v>
      </c>
      <c r="AJ973" s="50" t="n">
        <v>0</v>
      </c>
      <c r="AK973" s="51" t="n">
        <v>0</v>
      </c>
      <c r="AL973" s="52" t="n">
        <v>0</v>
      </c>
      <c r="AM973" s="52" t="n">
        <v>0</v>
      </c>
      <c r="AN973" s="52" t="n">
        <v>0</v>
      </c>
      <c r="AO973" s="53" t="n">
        <v>0</v>
      </c>
      <c r="AP973" s="52" t="n">
        <v>0</v>
      </c>
      <c r="AQ973" s="53" t="n">
        <v>0</v>
      </c>
      <c r="AR973" s="52" t="n">
        <v>0</v>
      </c>
      <c r="AS973" s="51" t="n">
        <v>0</v>
      </c>
      <c r="AT973" s="48" t="n">
        <v>0</v>
      </c>
      <c r="AU973" s="49" t="n">
        <v>0</v>
      </c>
      <c r="AV973" s="49" t="n">
        <v>0</v>
      </c>
      <c r="AW973" s="50" t="n">
        <v>0</v>
      </c>
      <c r="AX973" s="51" t="n">
        <v>0</v>
      </c>
      <c r="AY973" s="52" t="n">
        <v>0</v>
      </c>
      <c r="AZ973" s="52" t="n">
        <v>0</v>
      </c>
      <c r="BA973" s="52" t="n">
        <v>0</v>
      </c>
      <c r="BB973" s="53" t="n">
        <v>0</v>
      </c>
      <c r="BC973" s="52" t="n">
        <v>0</v>
      </c>
      <c r="BD973" s="53" t="n">
        <v>0</v>
      </c>
      <c r="BE973" s="52" t="n">
        <v>0</v>
      </c>
      <c r="BF973" s="51" t="n">
        <v>0</v>
      </c>
    </row>
    <row r="974">
      <c r="A974">
        <f>HYPERLINK("https://www.walmart.com/ip/957547925", "957547925")</f>
        <v/>
      </c>
      <c r="B974" t="inlineStr">
        <is>
          <t>Catalonia Sherpa Fleece Blanket for Bed, Super Soft Fleece Plush Sofa Couch Throw Blanket, TV Bed Blanket, Comfy Cozy Fluffy Warm Comforter, Caring Gift(Royal Blue,60x80 inches)</t>
        </is>
      </c>
      <c r="C974" t="inlineStr">
        <is>
          <t>1CTBF368BL</t>
        </is>
      </c>
      <c r="D974" t="inlineStr">
        <is>
          <t>Throws</t>
        </is>
      </c>
      <c r="E974" t="inlineStr">
        <is>
          <t>Catalonia</t>
        </is>
      </c>
      <c r="F974" t="inlineStr">
        <is>
          <t>WFS,WFS Item,Fleece Blankets</t>
        </is>
      </c>
      <c r="G974" s="48" t="n">
        <v>0</v>
      </c>
      <c r="H974" s="49" t="n">
        <v>0</v>
      </c>
      <c r="I974" s="49" t="n">
        <v>0</v>
      </c>
      <c r="J974" s="50" t="n">
        <v>0</v>
      </c>
      <c r="K974" s="51" t="n">
        <v>0</v>
      </c>
      <c r="L974" s="52" t="n">
        <v>0</v>
      </c>
      <c r="M974" s="52" t="n">
        <v>0</v>
      </c>
      <c r="N974" s="52" t="n">
        <v>0</v>
      </c>
      <c r="O974" s="53" t="n">
        <v>0</v>
      </c>
      <c r="P974" s="52" t="n">
        <v>0</v>
      </c>
      <c r="Q974" s="53" t="n">
        <v>0</v>
      </c>
      <c r="R974" s="52" t="n">
        <v>0</v>
      </c>
      <c r="S974" s="51" t="n">
        <v>0</v>
      </c>
      <c r="T974" s="48" t="n">
        <v>0</v>
      </c>
      <c r="U974" s="49" t="n">
        <v>0</v>
      </c>
      <c r="V974" s="49" t="n">
        <v>0</v>
      </c>
      <c r="W974" s="50" t="n">
        <v>0</v>
      </c>
      <c r="X974" s="51" t="n">
        <v>0</v>
      </c>
      <c r="Y974" s="52" t="n">
        <v>0</v>
      </c>
      <c r="Z974" s="52" t="n">
        <v>0</v>
      </c>
      <c r="AA974" s="52" t="n">
        <v>0</v>
      </c>
      <c r="AB974" s="53" t="n">
        <v>0</v>
      </c>
      <c r="AC974" s="52" t="n">
        <v>0</v>
      </c>
      <c r="AD974" s="53" t="n">
        <v>0</v>
      </c>
      <c r="AE974" s="52" t="n">
        <v>0</v>
      </c>
      <c r="AF974" s="51" t="n">
        <v>0</v>
      </c>
      <c r="AG974" s="48" t="n">
        <v>0</v>
      </c>
      <c r="AH974" s="49" t="n">
        <v>0</v>
      </c>
      <c r="AI974" s="49" t="n">
        <v>0</v>
      </c>
      <c r="AJ974" s="50" t="n">
        <v>0</v>
      </c>
      <c r="AK974" s="51" t="n">
        <v>0</v>
      </c>
      <c r="AL974" s="52" t="n">
        <v>0</v>
      </c>
      <c r="AM974" s="52" t="n">
        <v>0</v>
      </c>
      <c r="AN974" s="52" t="n">
        <v>0</v>
      </c>
      <c r="AO974" s="53" t="n">
        <v>0</v>
      </c>
      <c r="AP974" s="52" t="n">
        <v>0</v>
      </c>
      <c r="AQ974" s="53" t="n">
        <v>0</v>
      </c>
      <c r="AR974" s="52" t="n">
        <v>0</v>
      </c>
      <c r="AS974" s="51" t="n">
        <v>0</v>
      </c>
      <c r="AT974" s="48" t="n">
        <v>0</v>
      </c>
      <c r="AU974" s="49" t="n">
        <v>0</v>
      </c>
      <c r="AV974" s="49" t="n">
        <v>0</v>
      </c>
      <c r="AW974" s="50" t="n">
        <v>0</v>
      </c>
      <c r="AX974" s="51" t="n">
        <v>0</v>
      </c>
      <c r="AY974" s="52" t="n">
        <v>0</v>
      </c>
      <c r="AZ974" s="52" t="n">
        <v>0</v>
      </c>
      <c r="BA974" s="52" t="n">
        <v>0</v>
      </c>
      <c r="BB974" s="53" t="n">
        <v>0</v>
      </c>
      <c r="BC974" s="52" t="n">
        <v>0</v>
      </c>
      <c r="BD974" s="53" t="n">
        <v>0</v>
      </c>
      <c r="BE974" s="52" t="n">
        <v>0</v>
      </c>
      <c r="BF974" s="51" t="n">
        <v>0</v>
      </c>
    </row>
    <row r="975">
      <c r="A975">
        <f>HYPERLINK("https://www.walmart.com/ip/9576372791", "9576372791")</f>
        <v/>
      </c>
      <c r="B975" t="inlineStr">
        <is>
          <t>National Park Foundation Hydration Backpack with 2L Hydro Water Bladder Bag, Lightweight Hiking Backpack, Travel Backpack for Cycling, Running, and Climbing, 18L</t>
        </is>
      </c>
      <c r="C975" t="inlineStr">
        <is>
          <t>NPF-BACKPACK-HYDRATION-OLIVE</t>
        </is>
      </c>
      <c r="D975" t="inlineStr">
        <is>
          <t>Hydration Packs</t>
        </is>
      </c>
      <c r="E975" t="inlineStr">
        <is>
          <t>National Park Foundation</t>
        </is>
      </c>
      <c r="F975" t="inlineStr">
        <is>
          <t>Backpack</t>
        </is>
      </c>
      <c r="G975" s="48" t="n">
        <v>0</v>
      </c>
      <c r="H975" s="49" t="n">
        <v>0</v>
      </c>
      <c r="I975" s="49" t="n">
        <v>0</v>
      </c>
      <c r="J975" s="50" t="n">
        <v>0</v>
      </c>
      <c r="K975" s="51" t="n">
        <v>0</v>
      </c>
      <c r="L975" s="52" t="n">
        <v>0</v>
      </c>
      <c r="M975" s="52" t="n">
        <v>0</v>
      </c>
      <c r="N975" s="52" t="n">
        <v>0</v>
      </c>
      <c r="O975" s="53" t="n">
        <v>0</v>
      </c>
      <c r="P975" s="52" t="n">
        <v>0</v>
      </c>
      <c r="Q975" s="53" t="n">
        <v>0</v>
      </c>
      <c r="R975" s="52" t="n">
        <v>0</v>
      </c>
      <c r="S975" s="51" t="n">
        <v>0</v>
      </c>
      <c r="T975" s="48" t="n">
        <v>0</v>
      </c>
      <c r="U975" s="49" t="n">
        <v>0</v>
      </c>
      <c r="V975" s="49" t="n">
        <v>0</v>
      </c>
      <c r="W975" s="50" t="n">
        <v>0</v>
      </c>
      <c r="X975" s="51" t="n">
        <v>0</v>
      </c>
      <c r="Y975" s="52" t="n">
        <v>0</v>
      </c>
      <c r="Z975" s="52" t="n">
        <v>0</v>
      </c>
      <c r="AA975" s="52" t="n">
        <v>0</v>
      </c>
      <c r="AB975" s="53" t="n">
        <v>0</v>
      </c>
      <c r="AC975" s="52" t="n">
        <v>0</v>
      </c>
      <c r="AD975" s="53" t="n">
        <v>0</v>
      </c>
      <c r="AE975" s="52" t="n">
        <v>0</v>
      </c>
      <c r="AF975" s="51" t="n">
        <v>0</v>
      </c>
      <c r="AG975" s="48" t="n">
        <v>0</v>
      </c>
      <c r="AH975" s="49" t="n">
        <v>0</v>
      </c>
      <c r="AI975" s="49" t="n">
        <v>0</v>
      </c>
      <c r="AJ975" s="50" t="n">
        <v>0</v>
      </c>
      <c r="AK975" s="51" t="n">
        <v>0</v>
      </c>
      <c r="AL975" s="52" t="n">
        <v>0</v>
      </c>
      <c r="AM975" s="52" t="n">
        <v>0</v>
      </c>
      <c r="AN975" s="52" t="n">
        <v>0</v>
      </c>
      <c r="AO975" s="53" t="n">
        <v>0</v>
      </c>
      <c r="AP975" s="52" t="n">
        <v>0</v>
      </c>
      <c r="AQ975" s="53" t="n">
        <v>0</v>
      </c>
      <c r="AR975" s="52" t="n">
        <v>0</v>
      </c>
      <c r="AS975" s="51" t="n">
        <v>0</v>
      </c>
      <c r="AT975" s="48" t="n">
        <v>0</v>
      </c>
      <c r="AU975" s="49" t="n">
        <v>0</v>
      </c>
      <c r="AV975" s="49" t="n">
        <v>0</v>
      </c>
      <c r="AW975" s="50" t="n">
        <v>0</v>
      </c>
      <c r="AX975" s="51" t="n">
        <v>0</v>
      </c>
      <c r="AY975" s="52" t="n">
        <v>0</v>
      </c>
      <c r="AZ975" s="52" t="n">
        <v>0</v>
      </c>
      <c r="BA975" s="52" t="n">
        <v>0</v>
      </c>
      <c r="BB975" s="53" t="n">
        <v>0</v>
      </c>
      <c r="BC975" s="52" t="n">
        <v>0</v>
      </c>
      <c r="BD975" s="53" t="n">
        <v>0</v>
      </c>
      <c r="BE975" s="52" t="n">
        <v>0</v>
      </c>
      <c r="BF975" s="51" t="n">
        <v>0</v>
      </c>
    </row>
    <row r="976">
      <c r="A976">
        <f>HYPERLINK("https://www.walmart.com/ip/9584573351", "9584573351")</f>
        <v/>
      </c>
      <c r="B976" t="inlineStr">
        <is>
          <t>National Park Foundation Hydration Backpack with 2L Hydro Water Bladder Bag, Lightweight Hiking Backpack, Travel Backpack for Cycling, Running, and Climbing, 18L, Black</t>
        </is>
      </c>
      <c r="C976" t="inlineStr">
        <is>
          <t>NPF-BACKPACK-HYDRATION-BLACK</t>
        </is>
      </c>
      <c r="D976" t="inlineStr">
        <is>
          <t>Backpacks</t>
        </is>
      </c>
      <c r="E976" t="inlineStr">
        <is>
          <t>National Park Foundation</t>
        </is>
      </c>
      <c r="F976" t="inlineStr">
        <is>
          <t>Backpack</t>
        </is>
      </c>
      <c r="G976" s="48" t="n">
        <v>0</v>
      </c>
      <c r="H976" s="49" t="n">
        <v>0</v>
      </c>
      <c r="I976" s="49" t="n">
        <v>0</v>
      </c>
      <c r="J976" s="50" t="n">
        <v>0</v>
      </c>
      <c r="K976" s="51" t="n">
        <v>0</v>
      </c>
      <c r="L976" s="52" t="n">
        <v>0</v>
      </c>
      <c r="M976" s="52" t="n">
        <v>0</v>
      </c>
      <c r="N976" s="52" t="n">
        <v>0</v>
      </c>
      <c r="O976" s="53" t="n">
        <v>0</v>
      </c>
      <c r="P976" s="52" t="n">
        <v>0</v>
      </c>
      <c r="Q976" s="53" t="n">
        <v>0</v>
      </c>
      <c r="R976" s="52" t="n">
        <v>0</v>
      </c>
      <c r="S976" s="51" t="n">
        <v>0</v>
      </c>
      <c r="T976" s="48" t="n">
        <v>0</v>
      </c>
      <c r="U976" s="49" t="n">
        <v>0</v>
      </c>
      <c r="V976" s="49" t="n">
        <v>0</v>
      </c>
      <c r="W976" s="50" t="n">
        <v>0</v>
      </c>
      <c r="X976" s="51" t="n">
        <v>0</v>
      </c>
      <c r="Y976" s="52" t="n">
        <v>0</v>
      </c>
      <c r="Z976" s="52" t="n">
        <v>0</v>
      </c>
      <c r="AA976" s="52" t="n">
        <v>0</v>
      </c>
      <c r="AB976" s="53" t="n">
        <v>0</v>
      </c>
      <c r="AC976" s="52" t="n">
        <v>0</v>
      </c>
      <c r="AD976" s="53" t="n">
        <v>0</v>
      </c>
      <c r="AE976" s="52" t="n">
        <v>0</v>
      </c>
      <c r="AF976" s="51" t="n">
        <v>0</v>
      </c>
      <c r="AG976" s="48" t="n">
        <v>0</v>
      </c>
      <c r="AH976" s="49" t="n">
        <v>0</v>
      </c>
      <c r="AI976" s="49" t="n">
        <v>0</v>
      </c>
      <c r="AJ976" s="50" t="n">
        <v>0</v>
      </c>
      <c r="AK976" s="51" t="n">
        <v>0</v>
      </c>
      <c r="AL976" s="52" t="n">
        <v>0</v>
      </c>
      <c r="AM976" s="52" t="n">
        <v>0</v>
      </c>
      <c r="AN976" s="52" t="n">
        <v>0</v>
      </c>
      <c r="AO976" s="53" t="n">
        <v>0</v>
      </c>
      <c r="AP976" s="52" t="n">
        <v>0</v>
      </c>
      <c r="AQ976" s="53" t="n">
        <v>0</v>
      </c>
      <c r="AR976" s="52" t="n">
        <v>0</v>
      </c>
      <c r="AS976" s="51" t="n">
        <v>0</v>
      </c>
      <c r="AT976" s="48" t="n">
        <v>0</v>
      </c>
      <c r="AU976" s="49" t="n">
        <v>0</v>
      </c>
      <c r="AV976" s="49" t="n">
        <v>0</v>
      </c>
      <c r="AW976" s="50" t="n">
        <v>0</v>
      </c>
      <c r="AX976" s="51" t="n">
        <v>0</v>
      </c>
      <c r="AY976" s="52" t="n">
        <v>0</v>
      </c>
      <c r="AZ976" s="52" t="n">
        <v>0</v>
      </c>
      <c r="BA976" s="52" t="n">
        <v>0</v>
      </c>
      <c r="BB976" s="53" t="n">
        <v>0</v>
      </c>
      <c r="BC976" s="52" t="n">
        <v>0</v>
      </c>
      <c r="BD976" s="53" t="n">
        <v>0</v>
      </c>
      <c r="BE976" s="52" t="n">
        <v>0</v>
      </c>
      <c r="BF976" s="51" t="n">
        <v>0</v>
      </c>
    </row>
    <row r="977">
      <c r="A977">
        <f>HYPERLINK("https://www.walmart.com/ip/958779445", "958779445")</f>
        <v/>
      </c>
      <c r="B977" t="inlineStr">
        <is>
          <t>Tirrinia Fleece Reversible Plush Sherpa Throw Blanket for Bed and Couch, 50" x 60", Cheetah</t>
        </is>
      </c>
      <c r="C977" t="inlineStr">
        <is>
          <t>1TRBF300CHEETAH-TBCB</t>
        </is>
      </c>
      <c r="D977" t="inlineStr">
        <is>
          <t>Throws</t>
        </is>
      </c>
      <c r="E977" t="inlineStr">
        <is>
          <t>Tirrinia</t>
        </is>
      </c>
      <c r="F977" t="inlineStr">
        <is>
          <t>Optimized</t>
        </is>
      </c>
      <c r="G977" s="48" t="n">
        <v>0</v>
      </c>
      <c r="H977" s="49" t="n">
        <v>0</v>
      </c>
      <c r="I977" s="49" t="n">
        <v>0</v>
      </c>
      <c r="J977" s="50" t="n">
        <v>0</v>
      </c>
      <c r="K977" s="51" t="n">
        <v>0</v>
      </c>
      <c r="L977" s="52" t="n">
        <v>0</v>
      </c>
      <c r="M977" s="52" t="n">
        <v>0</v>
      </c>
      <c r="N977" s="52" t="n">
        <v>0</v>
      </c>
      <c r="O977" s="53" t="n">
        <v>0</v>
      </c>
      <c r="P977" s="52" t="n">
        <v>0</v>
      </c>
      <c r="Q977" s="53" t="n">
        <v>0</v>
      </c>
      <c r="R977" s="52" t="n">
        <v>0</v>
      </c>
      <c r="S977" s="51" t="n">
        <v>0</v>
      </c>
      <c r="T977" s="48" t="n">
        <v>0</v>
      </c>
      <c r="U977" s="49" t="n">
        <v>0</v>
      </c>
      <c r="V977" s="49" t="n">
        <v>0</v>
      </c>
      <c r="W977" s="50" t="n">
        <v>0</v>
      </c>
      <c r="X977" s="51" t="n">
        <v>0</v>
      </c>
      <c r="Y977" s="52" t="n">
        <v>0</v>
      </c>
      <c r="Z977" s="52" t="n">
        <v>0</v>
      </c>
      <c r="AA977" s="52" t="n">
        <v>0</v>
      </c>
      <c r="AB977" s="53" t="n">
        <v>0</v>
      </c>
      <c r="AC977" s="52" t="n">
        <v>0</v>
      </c>
      <c r="AD977" s="53" t="n">
        <v>0</v>
      </c>
      <c r="AE977" s="52" t="n">
        <v>0</v>
      </c>
      <c r="AF977" s="51" t="n">
        <v>0</v>
      </c>
      <c r="AG977" s="48" t="n">
        <v>0</v>
      </c>
      <c r="AH977" s="49" t="n">
        <v>0</v>
      </c>
      <c r="AI977" s="49" t="n">
        <v>0</v>
      </c>
      <c r="AJ977" s="50" t="n">
        <v>0</v>
      </c>
      <c r="AK977" s="51" t="n">
        <v>0</v>
      </c>
      <c r="AL977" s="52" t="n">
        <v>0</v>
      </c>
      <c r="AM977" s="52" t="n">
        <v>0</v>
      </c>
      <c r="AN977" s="52" t="n">
        <v>0</v>
      </c>
      <c r="AO977" s="53" t="n">
        <v>0</v>
      </c>
      <c r="AP977" s="52" t="n">
        <v>0</v>
      </c>
      <c r="AQ977" s="53" t="n">
        <v>0</v>
      </c>
      <c r="AR977" s="52" t="n">
        <v>0</v>
      </c>
      <c r="AS977" s="51" t="n">
        <v>0</v>
      </c>
      <c r="AT977" s="48" t="n">
        <v>0</v>
      </c>
      <c r="AU977" s="49" t="n">
        <v>0</v>
      </c>
      <c r="AV977" s="49" t="n">
        <v>0</v>
      </c>
      <c r="AW977" s="50" t="n">
        <v>0</v>
      </c>
      <c r="AX977" s="51" t="n">
        <v>0</v>
      </c>
      <c r="AY977" s="52" t="n">
        <v>0</v>
      </c>
      <c r="AZ977" s="52" t="n">
        <v>0</v>
      </c>
      <c r="BA977" s="52" t="n">
        <v>0</v>
      </c>
      <c r="BB977" s="53" t="n">
        <v>0</v>
      </c>
      <c r="BC977" s="52" t="n">
        <v>0</v>
      </c>
      <c r="BD977" s="53" t="n">
        <v>0</v>
      </c>
      <c r="BE977" s="52" t="n">
        <v>0</v>
      </c>
      <c r="BF977" s="51" t="n">
        <v>0</v>
      </c>
    </row>
    <row r="978">
      <c r="A978">
        <f>HYPERLINK("https://www.walmart.com/ip/959188663", "959188663")</f>
        <v/>
      </c>
      <c r="B978" t="inlineStr">
        <is>
          <t>Wearable Lounging Blanket,Super Soft Warm Cozy Reversible Fuzzy,Extra Soft for Sofa Warm Blanket,Lightweight,Wine.</t>
        </is>
      </c>
      <c r="C978" t="inlineStr">
        <is>
          <t>1CTSN201WN</t>
        </is>
      </c>
      <c r="D978" t="inlineStr">
        <is>
          <t>Throws</t>
        </is>
      </c>
      <c r="E978" t="inlineStr">
        <is>
          <t>Catalonia</t>
        </is>
      </c>
      <c r="F978" t="inlineStr">
        <is>
          <t>Q2-Target,WFS,Coupon_Discount,WFS Item</t>
        </is>
      </c>
      <c r="G978" s="48" t="n">
        <v>0</v>
      </c>
      <c r="H978" s="49" t="n">
        <v>0</v>
      </c>
      <c r="I978" s="49" t="n">
        <v>0</v>
      </c>
      <c r="J978" s="50" t="n">
        <v>0</v>
      </c>
      <c r="K978" s="51" t="n">
        <v>0</v>
      </c>
      <c r="L978" s="52" t="n">
        <v>0</v>
      </c>
      <c r="M978" s="52" t="n">
        <v>0</v>
      </c>
      <c r="N978" s="52" t="n">
        <v>0</v>
      </c>
      <c r="O978" s="53" t="n">
        <v>0</v>
      </c>
      <c r="P978" s="52" t="n">
        <v>0</v>
      </c>
      <c r="Q978" s="53" t="n">
        <v>0</v>
      </c>
      <c r="R978" s="52" t="n">
        <v>0</v>
      </c>
      <c r="S978" s="51" t="n">
        <v>0</v>
      </c>
      <c r="T978" s="48" t="n">
        <v>0</v>
      </c>
      <c r="U978" s="49" t="n">
        <v>0</v>
      </c>
      <c r="V978" s="49" t="n">
        <v>0</v>
      </c>
      <c r="W978" s="50" t="n">
        <v>0</v>
      </c>
      <c r="X978" s="51" t="n">
        <v>0</v>
      </c>
      <c r="Y978" s="52" t="n">
        <v>0</v>
      </c>
      <c r="Z978" s="52" t="n">
        <v>0</v>
      </c>
      <c r="AA978" s="52" t="n">
        <v>0</v>
      </c>
      <c r="AB978" s="53" t="n">
        <v>0</v>
      </c>
      <c r="AC978" s="52" t="n">
        <v>0</v>
      </c>
      <c r="AD978" s="53" t="n">
        <v>0</v>
      </c>
      <c r="AE978" s="52" t="n">
        <v>0</v>
      </c>
      <c r="AF978" s="51" t="n">
        <v>0</v>
      </c>
      <c r="AG978" s="48" t="n">
        <v>0</v>
      </c>
      <c r="AH978" s="49" t="n">
        <v>0</v>
      </c>
      <c r="AI978" s="49" t="n">
        <v>0</v>
      </c>
      <c r="AJ978" s="50" t="n">
        <v>0</v>
      </c>
      <c r="AK978" s="51" t="n">
        <v>0</v>
      </c>
      <c r="AL978" s="52" t="n">
        <v>0</v>
      </c>
      <c r="AM978" s="52" t="n">
        <v>0</v>
      </c>
      <c r="AN978" s="52" t="n">
        <v>0</v>
      </c>
      <c r="AO978" s="53" t="n">
        <v>0</v>
      </c>
      <c r="AP978" s="52" t="n">
        <v>0</v>
      </c>
      <c r="AQ978" s="53" t="n">
        <v>0</v>
      </c>
      <c r="AR978" s="52" t="n">
        <v>0</v>
      </c>
      <c r="AS978" s="51" t="n">
        <v>0</v>
      </c>
      <c r="AT978" s="48" t="n">
        <v>0</v>
      </c>
      <c r="AU978" s="49" t="n">
        <v>0</v>
      </c>
      <c r="AV978" s="49" t="n">
        <v>0</v>
      </c>
      <c r="AW978" s="50" t="n">
        <v>0</v>
      </c>
      <c r="AX978" s="51" t="n">
        <v>0</v>
      </c>
      <c r="AY978" s="52" t="n">
        <v>0</v>
      </c>
      <c r="AZ978" s="52" t="n">
        <v>0</v>
      </c>
      <c r="BA978" s="52" t="n">
        <v>0</v>
      </c>
      <c r="BB978" s="53" t="n">
        <v>0</v>
      </c>
      <c r="BC978" s="52" t="n">
        <v>0</v>
      </c>
      <c r="BD978" s="53" t="n">
        <v>0</v>
      </c>
      <c r="BE978" s="52" t="n">
        <v>0</v>
      </c>
      <c r="BF978" s="51" t="n">
        <v>0</v>
      </c>
    </row>
    <row r="979">
      <c r="A979">
        <f>HYPERLINK("https://www.walmart.com/ip/959249773", "959249773")</f>
        <v/>
      </c>
      <c r="B979" t="inlineStr">
        <is>
          <t>Pawsse Pet Carrier Backpack, Green &amp; Gray, 16"H x13.2"L x12"W</t>
        </is>
      </c>
      <c r="C979" t="inlineStr">
        <is>
          <t>1PSPB200GN</t>
        </is>
      </c>
      <c r="D979" t="inlineStr">
        <is>
          <t>Pet Carriers</t>
        </is>
      </c>
      <c r="E979" t="inlineStr">
        <is>
          <t>Pawsse</t>
        </is>
      </c>
      <c r="F979" t="inlineStr">
        <is>
          <t>WFS,WFS Item,ST Patrick Day</t>
        </is>
      </c>
      <c r="G979" s="48" t="n">
        <v>0</v>
      </c>
      <c r="H979" s="49" t="n">
        <v>0</v>
      </c>
      <c r="I979" s="49" t="n">
        <v>0</v>
      </c>
      <c r="J979" s="50" t="n">
        <v>0</v>
      </c>
      <c r="K979" s="51" t="n">
        <v>0</v>
      </c>
      <c r="L979" s="52" t="n">
        <v>0</v>
      </c>
      <c r="M979" s="52" t="n">
        <v>0</v>
      </c>
      <c r="N979" s="52" t="n">
        <v>0</v>
      </c>
      <c r="O979" s="53" t="n">
        <v>0</v>
      </c>
      <c r="P979" s="52" t="n">
        <v>0</v>
      </c>
      <c r="Q979" s="53" t="n">
        <v>0</v>
      </c>
      <c r="R979" s="52" t="n">
        <v>0</v>
      </c>
      <c r="S979" s="51" t="n">
        <v>0</v>
      </c>
      <c r="T979" s="48" t="n">
        <v>0</v>
      </c>
      <c r="U979" s="49" t="n">
        <v>0</v>
      </c>
      <c r="V979" s="49" t="n">
        <v>0</v>
      </c>
      <c r="W979" s="50" t="n">
        <v>0</v>
      </c>
      <c r="X979" s="51" t="n">
        <v>0</v>
      </c>
      <c r="Y979" s="52" t="n">
        <v>0</v>
      </c>
      <c r="Z979" s="52" t="n">
        <v>0</v>
      </c>
      <c r="AA979" s="52" t="n">
        <v>0</v>
      </c>
      <c r="AB979" s="53" t="n">
        <v>0</v>
      </c>
      <c r="AC979" s="52" t="n">
        <v>0</v>
      </c>
      <c r="AD979" s="53" t="n">
        <v>0</v>
      </c>
      <c r="AE979" s="52" t="n">
        <v>0</v>
      </c>
      <c r="AF979" s="51" t="n">
        <v>0</v>
      </c>
      <c r="AG979" s="48" t="n">
        <v>0</v>
      </c>
      <c r="AH979" s="49" t="n">
        <v>0</v>
      </c>
      <c r="AI979" s="49" t="n">
        <v>0</v>
      </c>
      <c r="AJ979" s="50" t="n">
        <v>0</v>
      </c>
      <c r="AK979" s="51" t="n">
        <v>0</v>
      </c>
      <c r="AL979" s="52" t="n">
        <v>0</v>
      </c>
      <c r="AM979" s="52" t="n">
        <v>0</v>
      </c>
      <c r="AN979" s="52" t="n">
        <v>0</v>
      </c>
      <c r="AO979" s="53" t="n">
        <v>0</v>
      </c>
      <c r="AP979" s="52" t="n">
        <v>0</v>
      </c>
      <c r="AQ979" s="53" t="n">
        <v>0</v>
      </c>
      <c r="AR979" s="52" t="n">
        <v>0</v>
      </c>
      <c r="AS979" s="51" t="n">
        <v>0</v>
      </c>
      <c r="AT979" s="48" t="n">
        <v>0</v>
      </c>
      <c r="AU979" s="49" t="n">
        <v>0</v>
      </c>
      <c r="AV979" s="49" t="n">
        <v>0</v>
      </c>
      <c r="AW979" s="50" t="n">
        <v>0</v>
      </c>
      <c r="AX979" s="51" t="n">
        <v>0</v>
      </c>
      <c r="AY979" s="52" t="n">
        <v>0</v>
      </c>
      <c r="AZ979" s="52" t="n">
        <v>0</v>
      </c>
      <c r="BA979" s="52" t="n">
        <v>0</v>
      </c>
      <c r="BB979" s="53" t="n">
        <v>0</v>
      </c>
      <c r="BC979" s="52" t="n">
        <v>0</v>
      </c>
      <c r="BD979" s="53" t="n">
        <v>0</v>
      </c>
      <c r="BE979" s="52" t="n">
        <v>0</v>
      </c>
      <c r="BF979" s="51" t="n">
        <v>0</v>
      </c>
    </row>
    <row r="980">
      <c r="A980">
        <f>HYPERLINK("https://www.walmart.com/ip/9592558660", "9592558660")</f>
        <v/>
      </c>
      <c r="B980" t="inlineStr">
        <is>
          <t>National Park Foundation Hydration Backpack with 2L Hydro Water Bladder Bag, Lightweight Hiking Backpack, Travel Backpack for Cycling, Running, and Climbing, 18L, Mustard</t>
        </is>
      </c>
      <c r="C980" t="inlineStr">
        <is>
          <t>NPF-BACKPACK-HYDRATION-MUSTARD</t>
        </is>
      </c>
      <c r="D980" t="inlineStr">
        <is>
          <t>Backpacks</t>
        </is>
      </c>
      <c r="E980" t="inlineStr">
        <is>
          <t>National Park Foundation</t>
        </is>
      </c>
      <c r="F980" t="inlineStr">
        <is>
          <t>Backpack</t>
        </is>
      </c>
      <c r="G980" s="48" t="n">
        <v>0</v>
      </c>
      <c r="H980" s="49" t="n">
        <v>0</v>
      </c>
      <c r="I980" s="49" t="n">
        <v>0</v>
      </c>
      <c r="J980" s="50" t="n">
        <v>0</v>
      </c>
      <c r="K980" s="51" t="n">
        <v>0</v>
      </c>
      <c r="L980" s="52" t="n">
        <v>0</v>
      </c>
      <c r="M980" s="52" t="n">
        <v>0</v>
      </c>
      <c r="N980" s="52" t="n">
        <v>0</v>
      </c>
      <c r="O980" s="53" t="n">
        <v>0</v>
      </c>
      <c r="P980" s="52" t="n">
        <v>0</v>
      </c>
      <c r="Q980" s="53" t="n">
        <v>0</v>
      </c>
      <c r="R980" s="52" t="n">
        <v>0</v>
      </c>
      <c r="S980" s="51" t="n">
        <v>0</v>
      </c>
      <c r="T980" s="48" t="n">
        <v>0</v>
      </c>
      <c r="U980" s="49" t="n">
        <v>0</v>
      </c>
      <c r="V980" s="49" t="n">
        <v>0</v>
      </c>
      <c r="W980" s="50" t="n">
        <v>0</v>
      </c>
      <c r="X980" s="51" t="n">
        <v>0</v>
      </c>
      <c r="Y980" s="52" t="n">
        <v>0</v>
      </c>
      <c r="Z980" s="52" t="n">
        <v>0</v>
      </c>
      <c r="AA980" s="52" t="n">
        <v>0</v>
      </c>
      <c r="AB980" s="53" t="n">
        <v>0</v>
      </c>
      <c r="AC980" s="52" t="n">
        <v>0</v>
      </c>
      <c r="AD980" s="53" t="n">
        <v>0</v>
      </c>
      <c r="AE980" s="52" t="n">
        <v>0</v>
      </c>
      <c r="AF980" s="51" t="n">
        <v>0</v>
      </c>
      <c r="AG980" s="48" t="n">
        <v>0</v>
      </c>
      <c r="AH980" s="49" t="n">
        <v>0</v>
      </c>
      <c r="AI980" s="49" t="n">
        <v>0</v>
      </c>
      <c r="AJ980" s="50" t="n">
        <v>0</v>
      </c>
      <c r="AK980" s="51" t="n">
        <v>0</v>
      </c>
      <c r="AL980" s="52" t="n">
        <v>0</v>
      </c>
      <c r="AM980" s="52" t="n">
        <v>0</v>
      </c>
      <c r="AN980" s="52" t="n">
        <v>0</v>
      </c>
      <c r="AO980" s="53" t="n">
        <v>0</v>
      </c>
      <c r="AP980" s="52" t="n">
        <v>0</v>
      </c>
      <c r="AQ980" s="53" t="n">
        <v>0</v>
      </c>
      <c r="AR980" s="52" t="n">
        <v>0</v>
      </c>
      <c r="AS980" s="51" t="n">
        <v>0</v>
      </c>
      <c r="AT980" s="48" t="n">
        <v>0</v>
      </c>
      <c r="AU980" s="49" t="n">
        <v>0</v>
      </c>
      <c r="AV980" s="49" t="n">
        <v>0</v>
      </c>
      <c r="AW980" s="50" t="n">
        <v>0</v>
      </c>
      <c r="AX980" s="51" t="n">
        <v>0</v>
      </c>
      <c r="AY980" s="52" t="n">
        <v>0</v>
      </c>
      <c r="AZ980" s="52" t="n">
        <v>0</v>
      </c>
      <c r="BA980" s="52" t="n">
        <v>0</v>
      </c>
      <c r="BB980" s="53" t="n">
        <v>0</v>
      </c>
      <c r="BC980" s="52" t="n">
        <v>0</v>
      </c>
      <c r="BD980" s="53" t="n">
        <v>0</v>
      </c>
      <c r="BE980" s="52" t="n">
        <v>0</v>
      </c>
      <c r="BF980" s="51" t="n">
        <v>0</v>
      </c>
    </row>
    <row r="981">
      <c r="A981">
        <f>HYPERLINK("https://www.walmart.com/ip/959506124", "959506124")</f>
        <v/>
      </c>
      <c r="B981" t="inlineStr">
        <is>
          <t>Catalonia Mermaid Tail Fleece Blanket for Teen Girls with Anti-slip Neck Strap and Wave Pattern, Soft Sleeping Bag for All Seasons, Pink, 66.5" x 22.5"</t>
        </is>
      </c>
      <c r="C981" t="inlineStr">
        <is>
          <t>1CTMM100PK-TPB</t>
        </is>
      </c>
      <c r="D981" t="inlineStr">
        <is>
          <t>Throws</t>
        </is>
      </c>
      <c r="E981" t="inlineStr">
        <is>
          <t>Catalonia</t>
        </is>
      </c>
      <c r="F981" t="inlineStr">
        <is>
          <t>Q2-Target,WFS,WFS Item</t>
        </is>
      </c>
      <c r="G981" s="48" t="n">
        <v>0</v>
      </c>
      <c r="H981" s="49" t="n">
        <v>0</v>
      </c>
      <c r="I981" s="49" t="n">
        <v>3</v>
      </c>
      <c r="J981" s="50" t="n">
        <v>0</v>
      </c>
      <c r="K981" s="51" t="n">
        <v>7</v>
      </c>
      <c r="L981" s="52" t="n">
        <v>2.59</v>
      </c>
      <c r="M981" s="52" t="n">
        <v>0</v>
      </c>
      <c r="N981" s="52" t="n">
        <v>0</v>
      </c>
      <c r="O981" s="53" t="n">
        <v>0.0074</v>
      </c>
      <c r="P981" s="52" t="n">
        <v>0.37</v>
      </c>
      <c r="Q981" s="53" t="n">
        <v>0</v>
      </c>
      <c r="R981" s="52" t="n">
        <v>0</v>
      </c>
      <c r="S981" s="51" t="n">
        <v>945</v>
      </c>
      <c r="T981" s="48" t="n">
        <v>0</v>
      </c>
      <c r="U981" s="49" t="n">
        <v>0</v>
      </c>
      <c r="V981" s="49" t="n">
        <v>3</v>
      </c>
      <c r="W981" s="50" t="n">
        <v>0</v>
      </c>
      <c r="X981" s="51" t="n">
        <v>7</v>
      </c>
      <c r="Y981" s="52" t="n">
        <v>2.88</v>
      </c>
      <c r="Z981" s="52" t="n">
        <v>0</v>
      </c>
      <c r="AA981" s="52" t="n">
        <v>0</v>
      </c>
      <c r="AB981" s="53" t="n">
        <v>0.0057</v>
      </c>
      <c r="AC981" s="52" t="n">
        <v>0.4114285714285714</v>
      </c>
      <c r="AD981" s="53" t="n">
        <v>0</v>
      </c>
      <c r="AE981" s="52" t="n">
        <v>0</v>
      </c>
      <c r="AF981" s="51" t="n">
        <v>1235</v>
      </c>
      <c r="AG981" s="48" t="n">
        <v>-82.95999999999999</v>
      </c>
      <c r="AH981" s="49" t="n">
        <v>-5</v>
      </c>
      <c r="AI981" s="49" t="n">
        <v>4</v>
      </c>
      <c r="AJ981" s="50" t="n">
        <v>-1.25</v>
      </c>
      <c r="AK981" s="51" t="n">
        <v>5</v>
      </c>
      <c r="AL981" s="52" t="n">
        <v>1.82</v>
      </c>
      <c r="AM981" s="52" t="n">
        <v>0</v>
      </c>
      <c r="AN981" s="52" t="n">
        <v>0</v>
      </c>
      <c r="AO981" s="53" t="n">
        <v>0.0048</v>
      </c>
      <c r="AP981" s="52" t="n">
        <v>0.364</v>
      </c>
      <c r="AQ981" s="53" t="n">
        <v>0</v>
      </c>
      <c r="AR981" s="52" t="n">
        <v>0</v>
      </c>
      <c r="AS981" s="51" t="n">
        <v>1039</v>
      </c>
      <c r="AT981" s="48" t="n">
        <v>53.97</v>
      </c>
      <c r="AU981" s="49" t="n">
        <v>3</v>
      </c>
      <c r="AV981" s="49" t="n">
        <v>0</v>
      </c>
      <c r="AW981" s="50" t="n">
        <v>0</v>
      </c>
      <c r="AX981" s="51" t="n">
        <v>6</v>
      </c>
      <c r="AY981" s="52" t="n">
        <v>2.64</v>
      </c>
      <c r="AZ981" s="52" t="n">
        <v>17.99</v>
      </c>
      <c r="BA981" s="52" t="n">
        <v>6.81</v>
      </c>
      <c r="BB981" s="53" t="n">
        <v>0.0075</v>
      </c>
      <c r="BC981" s="52" t="n">
        <v>0.44</v>
      </c>
      <c r="BD981" s="53" t="n">
        <v>0.04891606448026682</v>
      </c>
      <c r="BE981" s="52" t="n">
        <v>17.99</v>
      </c>
      <c r="BF981" s="51" t="n">
        <v>804</v>
      </c>
    </row>
    <row r="982">
      <c r="A982">
        <f>HYPERLINK("https://www.walmart.com/ip/960128628", "960128628")</f>
        <v/>
      </c>
      <c r="B982" t="inlineStr">
        <is>
          <t>Tirrinia Insulated Lunch Bag for Women Men, 10L Leakproof Thermal Reusable Lunch Box for Adult, Kids, Tall Meal Prep Lunch Cooler Tote for Office Work, Back to School, Large, Light Blue</t>
        </is>
      </c>
      <c r="C982" t="inlineStr">
        <is>
          <t>1TRLB701LBL-T</t>
        </is>
      </c>
      <c r="D982" t="inlineStr">
        <is>
          <t>Reusable Lunch Bags &amp; Boxes</t>
        </is>
      </c>
      <c r="E982" t="inlineStr">
        <is>
          <t>Tirrinia</t>
        </is>
      </c>
      <c r="F982" t="inlineStr">
        <is>
          <t>Brand Camp VD,Lunch Bag,WFS,Lunch Bags,SEM</t>
        </is>
      </c>
      <c r="G982" s="48" t="n">
        <v>0</v>
      </c>
      <c r="H982" s="49" t="n">
        <v>0</v>
      </c>
      <c r="I982" s="49" t="n">
        <v>5</v>
      </c>
      <c r="J982" s="50" t="n">
        <v>0</v>
      </c>
      <c r="K982" s="51" t="n">
        <v>0</v>
      </c>
      <c r="L982" s="52" t="n">
        <v>0</v>
      </c>
      <c r="M982" s="52" t="n">
        <v>0</v>
      </c>
      <c r="N982" s="52" t="n">
        <v>0</v>
      </c>
      <c r="O982" s="53" t="n">
        <v>0</v>
      </c>
      <c r="P982" s="52" t="n">
        <v>0</v>
      </c>
      <c r="Q982" s="53" t="n">
        <v>0</v>
      </c>
      <c r="R982" s="52" t="n">
        <v>0</v>
      </c>
      <c r="S982" s="51" t="n">
        <v>0</v>
      </c>
      <c r="T982" s="48" t="n">
        <v>149.4</v>
      </c>
      <c r="U982" s="49" t="n">
        <v>12</v>
      </c>
      <c r="V982" s="49" t="n">
        <v>6</v>
      </c>
      <c r="W982" s="50" t="n">
        <v>2</v>
      </c>
      <c r="X982" s="51" t="n">
        <v>0</v>
      </c>
      <c r="Y982" s="52" t="n">
        <v>0</v>
      </c>
      <c r="Z982" s="52" t="n">
        <v>0</v>
      </c>
      <c r="AA982" s="52" t="n">
        <v>0</v>
      </c>
      <c r="AB982" s="53" t="n">
        <v>0</v>
      </c>
      <c r="AC982" s="52" t="n">
        <v>0</v>
      </c>
      <c r="AD982" s="53" t="n">
        <v>0</v>
      </c>
      <c r="AE982" s="52" t="n">
        <v>12.45</v>
      </c>
      <c r="AF982" s="51" t="n">
        <v>0</v>
      </c>
      <c r="AG982" s="48" t="n">
        <v>0</v>
      </c>
      <c r="AH982" s="49" t="n">
        <v>0</v>
      </c>
      <c r="AI982" s="49" t="n">
        <v>4</v>
      </c>
      <c r="AJ982" s="50" t="n">
        <v>0</v>
      </c>
      <c r="AK982" s="51" t="n">
        <v>0</v>
      </c>
      <c r="AL982" s="52" t="n">
        <v>0</v>
      </c>
      <c r="AM982" s="52" t="n">
        <v>0</v>
      </c>
      <c r="AN982" s="52" t="n">
        <v>0</v>
      </c>
      <c r="AO982" s="53" t="n">
        <v>0</v>
      </c>
      <c r="AP982" s="52" t="n">
        <v>0</v>
      </c>
      <c r="AQ982" s="53" t="n">
        <v>0</v>
      </c>
      <c r="AR982" s="52" t="n">
        <v>0</v>
      </c>
      <c r="AS982" s="51" t="n">
        <v>0</v>
      </c>
      <c r="AT982" s="48" t="n">
        <v>0</v>
      </c>
      <c r="AU982" s="49" t="n">
        <v>0</v>
      </c>
      <c r="AV982" s="49" t="n">
        <v>3</v>
      </c>
      <c r="AW982" s="50" t="n">
        <v>0</v>
      </c>
      <c r="AX982" s="51" t="n">
        <v>0</v>
      </c>
      <c r="AY982" s="52" t="n">
        <v>0</v>
      </c>
      <c r="AZ982" s="52" t="n">
        <v>0</v>
      </c>
      <c r="BA982" s="52" t="n">
        <v>0</v>
      </c>
      <c r="BB982" s="53" t="n">
        <v>0</v>
      </c>
      <c r="BC982" s="52" t="n">
        <v>0</v>
      </c>
      <c r="BD982" s="53" t="n">
        <v>0</v>
      </c>
      <c r="BE982" s="52" t="n">
        <v>0</v>
      </c>
      <c r="BF982" s="51" t="n">
        <v>0</v>
      </c>
    </row>
    <row r="983">
      <c r="A983">
        <f>HYPERLINK("https://www.walmart.com/ip/9541856312", "9541856312")</f>
        <v/>
      </c>
      <c r="B983" t="inlineStr">
        <is>
          <t>Ocean Pacific Og Corduroy Backpack for Travel, Sports, and Work, Waterproof College Backpack, Laptop Backpack Fits 15.6” Devices, Casual Daypack Backpacks for Adults, Cream</t>
        </is>
      </c>
      <c r="C983" t="inlineStr">
        <is>
          <t>OP-BACKPACK-15381-BEACH</t>
        </is>
      </c>
      <c r="D983" t="inlineStr">
        <is>
          <t>Backpacks</t>
        </is>
      </c>
      <c r="E983" t="inlineStr">
        <is>
          <t>Ocean Pacific</t>
        </is>
      </c>
      <c r="F983" t="inlineStr">
        <is>
          <t>Backpack</t>
        </is>
      </c>
      <c r="G983" s="48" t="n">
        <v>0</v>
      </c>
      <c r="H983" s="49" t="n">
        <v>0</v>
      </c>
      <c r="I983" s="49" t="n">
        <v>0</v>
      </c>
      <c r="J983" s="50" t="n">
        <v>0</v>
      </c>
      <c r="K983" s="51" t="n">
        <v>0</v>
      </c>
      <c r="L983" s="52" t="n">
        <v>0</v>
      </c>
      <c r="M983" s="52" t="n">
        <v>0</v>
      </c>
      <c r="N983" s="52" t="n">
        <v>0</v>
      </c>
      <c r="O983" s="53" t="n">
        <v>0</v>
      </c>
      <c r="P983" s="52" t="n">
        <v>0</v>
      </c>
      <c r="Q983" s="53" t="n">
        <v>0</v>
      </c>
      <c r="R983" s="52" t="n">
        <v>0</v>
      </c>
      <c r="S983" s="51" t="n">
        <v>0</v>
      </c>
      <c r="T983" s="48" t="n">
        <v>0</v>
      </c>
      <c r="U983" s="49" t="n">
        <v>0</v>
      </c>
      <c r="V983" s="49" t="n">
        <v>0</v>
      </c>
      <c r="W983" s="50" t="n">
        <v>0</v>
      </c>
      <c r="X983" s="51" t="n">
        <v>0</v>
      </c>
      <c r="Y983" s="52" t="n">
        <v>0</v>
      </c>
      <c r="Z983" s="52" t="n">
        <v>0</v>
      </c>
      <c r="AA983" s="52" t="n">
        <v>0</v>
      </c>
      <c r="AB983" s="53" t="n">
        <v>0</v>
      </c>
      <c r="AC983" s="52" t="n">
        <v>0</v>
      </c>
      <c r="AD983" s="53" t="n">
        <v>0</v>
      </c>
      <c r="AE983" s="52" t="n">
        <v>0</v>
      </c>
      <c r="AF983" s="51" t="n">
        <v>0</v>
      </c>
      <c r="AG983" s="48" t="n">
        <v>0</v>
      </c>
      <c r="AH983" s="49" t="n">
        <v>0</v>
      </c>
      <c r="AI983" s="49" t="n">
        <v>0</v>
      </c>
      <c r="AJ983" s="50" t="n">
        <v>0</v>
      </c>
      <c r="AK983" s="51" t="n">
        <v>0</v>
      </c>
      <c r="AL983" s="52" t="n">
        <v>0</v>
      </c>
      <c r="AM983" s="52" t="n">
        <v>0</v>
      </c>
      <c r="AN983" s="52" t="n">
        <v>0</v>
      </c>
      <c r="AO983" s="53" t="n">
        <v>0</v>
      </c>
      <c r="AP983" s="52" t="n">
        <v>0</v>
      </c>
      <c r="AQ983" s="53" t="n">
        <v>0</v>
      </c>
      <c r="AR983" s="52" t="n">
        <v>0</v>
      </c>
      <c r="AS983" s="51" t="n">
        <v>0</v>
      </c>
      <c r="AT983" s="48" t="n">
        <v>0</v>
      </c>
      <c r="AU983" s="49" t="n">
        <v>0</v>
      </c>
      <c r="AV983" s="49" t="n">
        <v>0</v>
      </c>
      <c r="AW983" s="50" t="n">
        <v>0</v>
      </c>
      <c r="AX983" s="51" t="n">
        <v>0</v>
      </c>
      <c r="AY983" s="52" t="n">
        <v>0</v>
      </c>
      <c r="AZ983" s="52" t="n">
        <v>0</v>
      </c>
      <c r="BA983" s="52" t="n">
        <v>0</v>
      </c>
      <c r="BB983" s="53" t="n">
        <v>0</v>
      </c>
      <c r="BC983" s="52" t="n">
        <v>0</v>
      </c>
      <c r="BD983" s="53" t="n">
        <v>0</v>
      </c>
      <c r="BE983" s="52" t="n">
        <v>0</v>
      </c>
      <c r="BF983" s="51" t="n">
        <v>0</v>
      </c>
    </row>
    <row r="984">
      <c r="A984">
        <f>HYPERLINK("https://www.walmart.com/ip/9536168360", "9536168360")</f>
        <v/>
      </c>
      <c r="B984" t="inlineStr">
        <is>
          <t>Wrangler Yellowstone Sturdy Laptop Backpack for Travel, Hiking Backpack with Classic Logo, Water Resistant Casual Daypack, Padded Sleeve College Backpack for Notebook, SSG</t>
        </is>
      </c>
      <c r="C984" t="inlineStr">
        <is>
          <t>WR-BACKPACK-16273-SGG</t>
        </is>
      </c>
      <c r="D984" t="inlineStr">
        <is>
          <t>Laptop Bags</t>
        </is>
      </c>
      <c r="E984" t="inlineStr">
        <is>
          <t>Wrangler</t>
        </is>
      </c>
      <c r="F984" t="inlineStr">
        <is>
          <t>Backpack</t>
        </is>
      </c>
      <c r="G984" s="48" t="n">
        <v>0</v>
      </c>
      <c r="H984" s="49" t="n">
        <v>0</v>
      </c>
      <c r="I984" s="49" t="n">
        <v>0</v>
      </c>
      <c r="J984" s="50" t="n">
        <v>0</v>
      </c>
      <c r="K984" s="51" t="n">
        <v>0</v>
      </c>
      <c r="L984" s="52" t="n">
        <v>0</v>
      </c>
      <c r="M984" s="52" t="n">
        <v>0</v>
      </c>
      <c r="N984" s="52" t="n">
        <v>0</v>
      </c>
      <c r="O984" s="53" t="n">
        <v>0</v>
      </c>
      <c r="P984" s="52" t="n">
        <v>0</v>
      </c>
      <c r="Q984" s="53" t="n">
        <v>0</v>
      </c>
      <c r="R984" s="52" t="n">
        <v>0</v>
      </c>
      <c r="S984" s="51" t="n">
        <v>0</v>
      </c>
      <c r="T984" s="48" t="n">
        <v>0</v>
      </c>
      <c r="U984" s="49" t="n">
        <v>0</v>
      </c>
      <c r="V984" s="49" t="n">
        <v>0</v>
      </c>
      <c r="W984" s="50" t="n">
        <v>0</v>
      </c>
      <c r="X984" s="51" t="n">
        <v>0</v>
      </c>
      <c r="Y984" s="52" t="n">
        <v>0</v>
      </c>
      <c r="Z984" s="52" t="n">
        <v>0</v>
      </c>
      <c r="AA984" s="52" t="n">
        <v>0</v>
      </c>
      <c r="AB984" s="53" t="n">
        <v>0</v>
      </c>
      <c r="AC984" s="52" t="n">
        <v>0</v>
      </c>
      <c r="AD984" s="53" t="n">
        <v>0</v>
      </c>
      <c r="AE984" s="52" t="n">
        <v>0</v>
      </c>
      <c r="AF984" s="51" t="n">
        <v>0</v>
      </c>
      <c r="AG984" s="48" t="n">
        <v>0</v>
      </c>
      <c r="AH984" s="49" t="n">
        <v>0</v>
      </c>
      <c r="AI984" s="49" t="n">
        <v>0</v>
      </c>
      <c r="AJ984" s="50" t="n">
        <v>0</v>
      </c>
      <c r="AK984" s="51" t="n">
        <v>0</v>
      </c>
      <c r="AL984" s="52" t="n">
        <v>0</v>
      </c>
      <c r="AM984" s="52" t="n">
        <v>0</v>
      </c>
      <c r="AN984" s="52" t="n">
        <v>0</v>
      </c>
      <c r="AO984" s="53" t="n">
        <v>0</v>
      </c>
      <c r="AP984" s="52" t="n">
        <v>0</v>
      </c>
      <c r="AQ984" s="53" t="n">
        <v>0</v>
      </c>
      <c r="AR984" s="52" t="n">
        <v>0</v>
      </c>
      <c r="AS984" s="51" t="n">
        <v>0</v>
      </c>
      <c r="AT984" s="48" t="n">
        <v>0</v>
      </c>
      <c r="AU984" s="49" t="n">
        <v>0</v>
      </c>
      <c r="AV984" s="49" t="n">
        <v>0</v>
      </c>
      <c r="AW984" s="50" t="n">
        <v>0</v>
      </c>
      <c r="AX984" s="51" t="n">
        <v>0</v>
      </c>
      <c r="AY984" s="52" t="n">
        <v>0</v>
      </c>
      <c r="AZ984" s="52" t="n">
        <v>0</v>
      </c>
      <c r="BA984" s="52" t="n">
        <v>0</v>
      </c>
      <c r="BB984" s="53" t="n">
        <v>0</v>
      </c>
      <c r="BC984" s="52" t="n">
        <v>0</v>
      </c>
      <c r="BD984" s="53" t="n">
        <v>0</v>
      </c>
      <c r="BE984" s="52" t="n">
        <v>0</v>
      </c>
      <c r="BF984" s="51" t="n">
        <v>0</v>
      </c>
    </row>
    <row r="985">
      <c r="A985">
        <f>HYPERLINK("https://www.walmart.com/ip/9536168353", "9536168353")</f>
        <v/>
      </c>
      <c r="B985" t="inlineStr">
        <is>
          <t>Wrangler Yellowstone Sturdy Laptop Backpack for Travel, Hiking Backpack with Classic Logo, Water Resistant Casual Daypack, Padded Sleeve College Backpack for Notebook, Dark Gray</t>
        </is>
      </c>
      <c r="C985" t="inlineStr">
        <is>
          <t>WR-BACKPACK-16273-DKGREY</t>
        </is>
      </c>
      <c r="D985" t="inlineStr">
        <is>
          <t>Backpacks</t>
        </is>
      </c>
      <c r="E985" t="inlineStr">
        <is>
          <t>Wrangler</t>
        </is>
      </c>
      <c r="F985" t="inlineStr">
        <is>
          <t>Backpack</t>
        </is>
      </c>
      <c r="G985" s="48" t="n">
        <v>0</v>
      </c>
      <c r="H985" s="49" t="n">
        <v>0</v>
      </c>
      <c r="I985" s="49" t="n">
        <v>0</v>
      </c>
      <c r="J985" s="50" t="n">
        <v>0</v>
      </c>
      <c r="K985" s="51" t="n">
        <v>0</v>
      </c>
      <c r="L985" s="52" t="n">
        <v>0</v>
      </c>
      <c r="M985" s="52" t="n">
        <v>0</v>
      </c>
      <c r="N985" s="52" t="n">
        <v>0</v>
      </c>
      <c r="O985" s="53" t="n">
        <v>0</v>
      </c>
      <c r="P985" s="52" t="n">
        <v>0</v>
      </c>
      <c r="Q985" s="53" t="n">
        <v>0</v>
      </c>
      <c r="R985" s="52" t="n">
        <v>0</v>
      </c>
      <c r="S985" s="51" t="n">
        <v>0</v>
      </c>
      <c r="T985" s="48" t="n">
        <v>0</v>
      </c>
      <c r="U985" s="49" t="n">
        <v>0</v>
      </c>
      <c r="V985" s="49" t="n">
        <v>0</v>
      </c>
      <c r="W985" s="50" t="n">
        <v>0</v>
      </c>
      <c r="X985" s="51" t="n">
        <v>0</v>
      </c>
      <c r="Y985" s="52" t="n">
        <v>0</v>
      </c>
      <c r="Z985" s="52" t="n">
        <v>0</v>
      </c>
      <c r="AA985" s="52" t="n">
        <v>0</v>
      </c>
      <c r="AB985" s="53" t="n">
        <v>0</v>
      </c>
      <c r="AC985" s="52" t="n">
        <v>0</v>
      </c>
      <c r="AD985" s="53" t="n">
        <v>0</v>
      </c>
      <c r="AE985" s="52" t="n">
        <v>0</v>
      </c>
      <c r="AF985" s="51" t="n">
        <v>0</v>
      </c>
      <c r="AG985" s="48" t="n">
        <v>0</v>
      </c>
      <c r="AH985" s="49" t="n">
        <v>0</v>
      </c>
      <c r="AI985" s="49" t="n">
        <v>0</v>
      </c>
      <c r="AJ985" s="50" t="n">
        <v>0</v>
      </c>
      <c r="AK985" s="51" t="n">
        <v>0</v>
      </c>
      <c r="AL985" s="52" t="n">
        <v>0</v>
      </c>
      <c r="AM985" s="52" t="n">
        <v>0</v>
      </c>
      <c r="AN985" s="52" t="n">
        <v>0</v>
      </c>
      <c r="AO985" s="53" t="n">
        <v>0</v>
      </c>
      <c r="AP985" s="52" t="n">
        <v>0</v>
      </c>
      <c r="AQ985" s="53" t="n">
        <v>0</v>
      </c>
      <c r="AR985" s="52" t="n">
        <v>0</v>
      </c>
      <c r="AS985" s="51" t="n">
        <v>0</v>
      </c>
      <c r="AT985" s="48" t="n">
        <v>0</v>
      </c>
      <c r="AU985" s="49" t="n">
        <v>0</v>
      </c>
      <c r="AV985" s="49" t="n">
        <v>0</v>
      </c>
      <c r="AW985" s="50" t="n">
        <v>0</v>
      </c>
      <c r="AX985" s="51" t="n">
        <v>0</v>
      </c>
      <c r="AY985" s="52" t="n">
        <v>0</v>
      </c>
      <c r="AZ985" s="52" t="n">
        <v>0</v>
      </c>
      <c r="BA985" s="52" t="n">
        <v>0</v>
      </c>
      <c r="BB985" s="53" t="n">
        <v>0</v>
      </c>
      <c r="BC985" s="52" t="n">
        <v>0</v>
      </c>
      <c r="BD985" s="53" t="n">
        <v>0</v>
      </c>
      <c r="BE985" s="52" t="n">
        <v>0</v>
      </c>
      <c r="BF985" s="51" t="n">
        <v>0</v>
      </c>
    </row>
    <row r="986">
      <c r="A986">
        <f>HYPERLINK("https://www.walmart.com/ip/9523050662", "9523050662")</f>
        <v/>
      </c>
      <c r="B986" t="inlineStr">
        <is>
          <t>Wrangler Industry Backpack, Classic Logo Water Resistant Casual Daypack with Padded Laptop Notebook Sleeve, Ideal as a Book Bag or Laptop Backpack, Great for Backpacks for School, Black</t>
        </is>
      </c>
      <c r="C986" t="inlineStr">
        <is>
          <t>WR-BACKPACK-INDUSTRY-BLACK</t>
        </is>
      </c>
      <c r="D986" t="inlineStr">
        <is>
          <t>Laptop Bags</t>
        </is>
      </c>
      <c r="E986" t="inlineStr">
        <is>
          <t>Wrangler</t>
        </is>
      </c>
      <c r="F986" t="inlineStr">
        <is>
          <t>Backpack</t>
        </is>
      </c>
      <c r="G986" s="48" t="n">
        <v>0</v>
      </c>
      <c r="H986" s="49" t="n">
        <v>0</v>
      </c>
      <c r="I986" s="49" t="n">
        <v>0</v>
      </c>
      <c r="J986" s="50" t="n">
        <v>0</v>
      </c>
      <c r="K986" s="51" t="n">
        <v>0</v>
      </c>
      <c r="L986" s="52" t="n">
        <v>0</v>
      </c>
      <c r="M986" s="52" t="n">
        <v>0</v>
      </c>
      <c r="N986" s="52" t="n">
        <v>0</v>
      </c>
      <c r="O986" s="53" t="n">
        <v>0</v>
      </c>
      <c r="P986" s="52" t="n">
        <v>0</v>
      </c>
      <c r="Q986" s="53" t="n">
        <v>0</v>
      </c>
      <c r="R986" s="52" t="n">
        <v>0</v>
      </c>
      <c r="S986" s="51" t="n">
        <v>0</v>
      </c>
      <c r="T986" s="48" t="n">
        <v>0</v>
      </c>
      <c r="U986" s="49" t="n">
        <v>0</v>
      </c>
      <c r="V986" s="49" t="n">
        <v>0</v>
      </c>
      <c r="W986" s="50" t="n">
        <v>0</v>
      </c>
      <c r="X986" s="51" t="n">
        <v>0</v>
      </c>
      <c r="Y986" s="52" t="n">
        <v>0</v>
      </c>
      <c r="Z986" s="52" t="n">
        <v>0</v>
      </c>
      <c r="AA986" s="52" t="n">
        <v>0</v>
      </c>
      <c r="AB986" s="53" t="n">
        <v>0</v>
      </c>
      <c r="AC986" s="52" t="n">
        <v>0</v>
      </c>
      <c r="AD986" s="53" t="n">
        <v>0</v>
      </c>
      <c r="AE986" s="52" t="n">
        <v>0</v>
      </c>
      <c r="AF986" s="51" t="n">
        <v>0</v>
      </c>
      <c r="AG986" s="48" t="n">
        <v>0</v>
      </c>
      <c r="AH986" s="49" t="n">
        <v>0</v>
      </c>
      <c r="AI986" s="49" t="n">
        <v>0</v>
      </c>
      <c r="AJ986" s="50" t="n">
        <v>0</v>
      </c>
      <c r="AK986" s="51" t="n">
        <v>0</v>
      </c>
      <c r="AL986" s="52" t="n">
        <v>0</v>
      </c>
      <c r="AM986" s="52" t="n">
        <v>0</v>
      </c>
      <c r="AN986" s="52" t="n">
        <v>0</v>
      </c>
      <c r="AO986" s="53" t="n">
        <v>0</v>
      </c>
      <c r="AP986" s="52" t="n">
        <v>0</v>
      </c>
      <c r="AQ986" s="53" t="n">
        <v>0</v>
      </c>
      <c r="AR986" s="52" t="n">
        <v>0</v>
      </c>
      <c r="AS986" s="51" t="n">
        <v>0</v>
      </c>
      <c r="AT986" s="48" t="n">
        <v>0</v>
      </c>
      <c r="AU986" s="49" t="n">
        <v>0</v>
      </c>
      <c r="AV986" s="49" t="n">
        <v>0</v>
      </c>
      <c r="AW986" s="50" t="n">
        <v>0</v>
      </c>
      <c r="AX986" s="51" t="n">
        <v>0</v>
      </c>
      <c r="AY986" s="52" t="n">
        <v>0</v>
      </c>
      <c r="AZ986" s="52" t="n">
        <v>0</v>
      </c>
      <c r="BA986" s="52" t="n">
        <v>0</v>
      </c>
      <c r="BB986" s="53" t="n">
        <v>0</v>
      </c>
      <c r="BC986" s="52" t="n">
        <v>0</v>
      </c>
      <c r="BD986" s="53" t="n">
        <v>0</v>
      </c>
      <c r="BE986" s="52" t="n">
        <v>0</v>
      </c>
      <c r="BF986" s="51" t="n">
        <v>0</v>
      </c>
    </row>
    <row r="987">
      <c r="A987">
        <f>HYPERLINK("https://www.walmart.com/ip/9514014601", "9514014601")</f>
        <v/>
      </c>
      <c r="B987" t="inlineStr">
        <is>
          <t>Wrangler Yellowstone Sturdy Laptop Backpack for Travel, Hiking Backpack with Classic Logo, Water Resistant Casual Daypack, Padded Sleeve College Backpack for Notebook, Tan Patterned</t>
        </is>
      </c>
      <c r="C987" t="inlineStr">
        <is>
          <t>WR-BACKPACK-16273-TAN</t>
        </is>
      </c>
      <c r="D987" t="inlineStr">
        <is>
          <t>Backpacks</t>
        </is>
      </c>
      <c r="E987" t="inlineStr">
        <is>
          <t>Wrangler</t>
        </is>
      </c>
      <c r="F987" t="inlineStr">
        <is>
          <t>Backpack</t>
        </is>
      </c>
      <c r="G987" s="48" t="n">
        <v>0</v>
      </c>
      <c r="H987" s="49" t="n">
        <v>0</v>
      </c>
      <c r="I987" s="49" t="n">
        <v>0</v>
      </c>
      <c r="J987" s="50" t="n">
        <v>0</v>
      </c>
      <c r="K987" s="51" t="n">
        <v>0</v>
      </c>
      <c r="L987" s="52" t="n">
        <v>0</v>
      </c>
      <c r="M987" s="52" t="n">
        <v>0</v>
      </c>
      <c r="N987" s="52" t="n">
        <v>0</v>
      </c>
      <c r="O987" s="53" t="n">
        <v>0</v>
      </c>
      <c r="P987" s="52" t="n">
        <v>0</v>
      </c>
      <c r="Q987" s="53" t="n">
        <v>0</v>
      </c>
      <c r="R987" s="52" t="n">
        <v>0</v>
      </c>
      <c r="S987" s="51" t="n">
        <v>0</v>
      </c>
      <c r="T987" s="48" t="n">
        <v>0</v>
      </c>
      <c r="U987" s="49" t="n">
        <v>0</v>
      </c>
      <c r="V987" s="49" t="n">
        <v>0</v>
      </c>
      <c r="W987" s="50" t="n">
        <v>0</v>
      </c>
      <c r="X987" s="51" t="n">
        <v>0</v>
      </c>
      <c r="Y987" s="52" t="n">
        <v>0</v>
      </c>
      <c r="Z987" s="52" t="n">
        <v>0</v>
      </c>
      <c r="AA987" s="52" t="n">
        <v>0</v>
      </c>
      <c r="AB987" s="53" t="n">
        <v>0</v>
      </c>
      <c r="AC987" s="52" t="n">
        <v>0</v>
      </c>
      <c r="AD987" s="53" t="n">
        <v>0</v>
      </c>
      <c r="AE987" s="52" t="n">
        <v>0</v>
      </c>
      <c r="AF987" s="51" t="n">
        <v>0</v>
      </c>
      <c r="AG987" s="48" t="n">
        <v>0</v>
      </c>
      <c r="AH987" s="49" t="n">
        <v>0</v>
      </c>
      <c r="AI987" s="49" t="n">
        <v>0</v>
      </c>
      <c r="AJ987" s="50" t="n">
        <v>0</v>
      </c>
      <c r="AK987" s="51" t="n">
        <v>0</v>
      </c>
      <c r="AL987" s="52" t="n">
        <v>0</v>
      </c>
      <c r="AM987" s="52" t="n">
        <v>0</v>
      </c>
      <c r="AN987" s="52" t="n">
        <v>0</v>
      </c>
      <c r="AO987" s="53" t="n">
        <v>0</v>
      </c>
      <c r="AP987" s="52" t="n">
        <v>0</v>
      </c>
      <c r="AQ987" s="53" t="n">
        <v>0</v>
      </c>
      <c r="AR987" s="52" t="n">
        <v>0</v>
      </c>
      <c r="AS987" s="51" t="n">
        <v>0</v>
      </c>
      <c r="AT987" s="48" t="n">
        <v>0</v>
      </c>
      <c r="AU987" s="49" t="n">
        <v>0</v>
      </c>
      <c r="AV987" s="49" t="n">
        <v>0</v>
      </c>
      <c r="AW987" s="50" t="n">
        <v>0</v>
      </c>
      <c r="AX987" s="51" t="n">
        <v>0</v>
      </c>
      <c r="AY987" s="52" t="n">
        <v>0</v>
      </c>
      <c r="AZ987" s="52" t="n">
        <v>0</v>
      </c>
      <c r="BA987" s="52" t="n">
        <v>0</v>
      </c>
      <c r="BB987" s="53" t="n">
        <v>0</v>
      </c>
      <c r="BC987" s="52" t="n">
        <v>0</v>
      </c>
      <c r="BD987" s="53" t="n">
        <v>0</v>
      </c>
      <c r="BE987" s="52" t="n">
        <v>0</v>
      </c>
      <c r="BF987" s="51" t="n">
        <v>0</v>
      </c>
    </row>
    <row r="988">
      <c r="A988">
        <f>HYPERLINK("https://www.walmart.com/ip/951529320", "951529320")</f>
        <v/>
      </c>
      <c r="B988" t="inlineStr">
        <is>
          <t>Sherpa Wearable Blanket with Sleeves Arms,Super Soft Warm Comfy Large Fleece Plush Sleeved TV Throws Wrap Robe Blanket for Adult Women and Men Red Plaid By Catalonia</t>
        </is>
      </c>
      <c r="C988" t="inlineStr">
        <is>
          <t>1CTSN110P2RD</t>
        </is>
      </c>
      <c r="D988" t="inlineStr">
        <is>
          <t>Throws</t>
        </is>
      </c>
      <c r="E988" t="inlineStr">
        <is>
          <t>Catalonia</t>
        </is>
      </c>
      <c r="F988" t="inlineStr">
        <is>
          <t>Q2-Target,WFS,Coupon_Discount,WFS Item</t>
        </is>
      </c>
      <c r="G988" s="48" t="n">
        <v>0</v>
      </c>
      <c r="H988" s="49" t="n">
        <v>0</v>
      </c>
      <c r="I988" s="49" t="n">
        <v>0</v>
      </c>
      <c r="J988" s="50" t="n">
        <v>0</v>
      </c>
      <c r="K988" s="51" t="n">
        <v>0</v>
      </c>
      <c r="L988" s="52" t="n">
        <v>0</v>
      </c>
      <c r="M988" s="52" t="n">
        <v>0</v>
      </c>
      <c r="N988" s="52" t="n">
        <v>0</v>
      </c>
      <c r="O988" s="53" t="n">
        <v>0</v>
      </c>
      <c r="P988" s="52" t="n">
        <v>0</v>
      </c>
      <c r="Q988" s="53" t="n">
        <v>0</v>
      </c>
      <c r="R988" s="52" t="n">
        <v>0</v>
      </c>
      <c r="S988" s="51" t="n">
        <v>0</v>
      </c>
      <c r="T988" s="48" t="n">
        <v>0</v>
      </c>
      <c r="U988" s="49" t="n">
        <v>0</v>
      </c>
      <c r="V988" s="49" t="n">
        <v>0</v>
      </c>
      <c r="W988" s="50" t="n">
        <v>0</v>
      </c>
      <c r="X988" s="51" t="n">
        <v>0</v>
      </c>
      <c r="Y988" s="52" t="n">
        <v>0</v>
      </c>
      <c r="Z988" s="52" t="n">
        <v>0</v>
      </c>
      <c r="AA988" s="52" t="n">
        <v>0</v>
      </c>
      <c r="AB988" s="53" t="n">
        <v>0</v>
      </c>
      <c r="AC988" s="52" t="n">
        <v>0</v>
      </c>
      <c r="AD988" s="53" t="n">
        <v>0</v>
      </c>
      <c r="AE988" s="52" t="n">
        <v>0</v>
      </c>
      <c r="AF988" s="51" t="n">
        <v>0</v>
      </c>
      <c r="AG988" s="48" t="n">
        <v>0</v>
      </c>
      <c r="AH988" s="49" t="n">
        <v>0</v>
      </c>
      <c r="AI988" s="49" t="n">
        <v>0</v>
      </c>
      <c r="AJ988" s="50" t="n">
        <v>0</v>
      </c>
      <c r="AK988" s="51" t="n">
        <v>0</v>
      </c>
      <c r="AL988" s="52" t="n">
        <v>0</v>
      </c>
      <c r="AM988" s="52" t="n">
        <v>0</v>
      </c>
      <c r="AN988" s="52" t="n">
        <v>0</v>
      </c>
      <c r="AO988" s="53" t="n">
        <v>0</v>
      </c>
      <c r="AP988" s="52" t="n">
        <v>0</v>
      </c>
      <c r="AQ988" s="53" t="n">
        <v>0</v>
      </c>
      <c r="AR988" s="52" t="n">
        <v>0</v>
      </c>
      <c r="AS988" s="51" t="n">
        <v>0</v>
      </c>
      <c r="AT988" s="48" t="n">
        <v>0</v>
      </c>
      <c r="AU988" s="49" t="n">
        <v>0</v>
      </c>
      <c r="AV988" s="49" t="n">
        <v>0</v>
      </c>
      <c r="AW988" s="50" t="n">
        <v>0</v>
      </c>
      <c r="AX988" s="51" t="n">
        <v>0</v>
      </c>
      <c r="AY988" s="52" t="n">
        <v>0</v>
      </c>
      <c r="AZ988" s="52" t="n">
        <v>0</v>
      </c>
      <c r="BA988" s="52" t="n">
        <v>0</v>
      </c>
      <c r="BB988" s="53" t="n">
        <v>0</v>
      </c>
      <c r="BC988" s="52" t="n">
        <v>0</v>
      </c>
      <c r="BD988" s="53" t="n">
        <v>0</v>
      </c>
      <c r="BE988" s="52" t="n">
        <v>0</v>
      </c>
      <c r="BF988" s="51" t="n">
        <v>0</v>
      </c>
    </row>
    <row r="989">
      <c r="A989">
        <f>HYPERLINK("https://www.walmart.com/ip/952136370", "952136370")</f>
        <v/>
      </c>
      <c r="B989" t="inlineStr">
        <is>
          <t>Catalonia Fleece Throw Blanket for Couch, Super Soft Fuzzy Plush Blanket for Adults and Kids, All Seasons Home Decor Blanket, Machine Washable, 50"x60", Yellow</t>
        </is>
      </c>
      <c r="C989" t="inlineStr">
        <is>
          <t>1CTBF575YL</t>
        </is>
      </c>
      <c r="D989" t="inlineStr">
        <is>
          <t>Throws</t>
        </is>
      </c>
      <c r="E989" t="inlineStr">
        <is>
          <t>Catalonia</t>
        </is>
      </c>
      <c r="F989" t="inlineStr">
        <is>
          <t>Q2-Target,Optimized,WFS,WFS Item</t>
        </is>
      </c>
      <c r="G989" s="48" t="n">
        <v>0</v>
      </c>
      <c r="H989" s="49" t="n">
        <v>0</v>
      </c>
      <c r="I989" s="49" t="n">
        <v>0</v>
      </c>
      <c r="J989" s="50" t="n">
        <v>0</v>
      </c>
      <c r="K989" s="51" t="n">
        <v>0</v>
      </c>
      <c r="L989" s="52" t="n">
        <v>0</v>
      </c>
      <c r="M989" s="52" t="n">
        <v>0</v>
      </c>
      <c r="N989" s="52" t="n">
        <v>0</v>
      </c>
      <c r="O989" s="53" t="n">
        <v>0</v>
      </c>
      <c r="P989" s="52" t="n">
        <v>0</v>
      </c>
      <c r="Q989" s="53" t="n">
        <v>0</v>
      </c>
      <c r="R989" s="52" t="n">
        <v>0</v>
      </c>
      <c r="S989" s="51" t="n">
        <v>0</v>
      </c>
      <c r="T989" s="48" t="n">
        <v>0</v>
      </c>
      <c r="U989" s="49" t="n">
        <v>0</v>
      </c>
      <c r="V989" s="49" t="n">
        <v>0</v>
      </c>
      <c r="W989" s="50" t="n">
        <v>0</v>
      </c>
      <c r="X989" s="51" t="n">
        <v>0</v>
      </c>
      <c r="Y989" s="52" t="n">
        <v>0</v>
      </c>
      <c r="Z989" s="52" t="n">
        <v>0</v>
      </c>
      <c r="AA989" s="52" t="n">
        <v>0</v>
      </c>
      <c r="AB989" s="53" t="n">
        <v>0</v>
      </c>
      <c r="AC989" s="52" t="n">
        <v>0</v>
      </c>
      <c r="AD989" s="53" t="n">
        <v>0</v>
      </c>
      <c r="AE989" s="52" t="n">
        <v>0</v>
      </c>
      <c r="AF989" s="51" t="n">
        <v>0</v>
      </c>
      <c r="AG989" s="48" t="n">
        <v>0</v>
      </c>
      <c r="AH989" s="49" t="n">
        <v>0</v>
      </c>
      <c r="AI989" s="49" t="n">
        <v>0</v>
      </c>
      <c r="AJ989" s="50" t="n">
        <v>0</v>
      </c>
      <c r="AK989" s="51" t="n">
        <v>0</v>
      </c>
      <c r="AL989" s="52" t="n">
        <v>0</v>
      </c>
      <c r="AM989" s="52" t="n">
        <v>0</v>
      </c>
      <c r="AN989" s="52" t="n">
        <v>0</v>
      </c>
      <c r="AO989" s="53" t="n">
        <v>0</v>
      </c>
      <c r="AP989" s="52" t="n">
        <v>0</v>
      </c>
      <c r="AQ989" s="53" t="n">
        <v>0</v>
      </c>
      <c r="AR989" s="52" t="n">
        <v>0</v>
      </c>
      <c r="AS989" s="51" t="n">
        <v>0</v>
      </c>
      <c r="AT989" s="48" t="n">
        <v>0</v>
      </c>
      <c r="AU989" s="49" t="n">
        <v>0</v>
      </c>
      <c r="AV989" s="49" t="n">
        <v>0</v>
      </c>
      <c r="AW989" s="50" t="n">
        <v>0</v>
      </c>
      <c r="AX989" s="51" t="n">
        <v>0</v>
      </c>
      <c r="AY989" s="52" t="n">
        <v>0</v>
      </c>
      <c r="AZ989" s="52" t="n">
        <v>0</v>
      </c>
      <c r="BA989" s="52" t="n">
        <v>0</v>
      </c>
      <c r="BB989" s="53" t="n">
        <v>0</v>
      </c>
      <c r="BC989" s="52" t="n">
        <v>0</v>
      </c>
      <c r="BD989" s="53" t="n">
        <v>0</v>
      </c>
      <c r="BE989" s="52" t="n">
        <v>0</v>
      </c>
      <c r="BF989" s="51" t="n">
        <v>0</v>
      </c>
    </row>
    <row r="990">
      <c r="A990">
        <f>HYPERLINK("https://www.walmart.com/ip/9523000918", "9523000918")</f>
        <v/>
      </c>
      <c r="B990" t="inlineStr">
        <is>
          <t>Wrangler Yellowstone Sturdy Laptop Backpack for Travel, Hiking Backpack with Classic Logo, Water Resistant Casual Daypack, Padded Sleeve College Backpack for Notebook, Cream</t>
        </is>
      </c>
      <c r="C990" t="inlineStr">
        <is>
          <t>WR-BACKPACK-16273-CREAM</t>
        </is>
      </c>
      <c r="D990" t="inlineStr">
        <is>
          <t>Backpacks</t>
        </is>
      </c>
      <c r="E990" t="inlineStr">
        <is>
          <t>Wrangler</t>
        </is>
      </c>
      <c r="F990" t="inlineStr">
        <is>
          <t>Backpack</t>
        </is>
      </c>
      <c r="G990" s="48" t="n">
        <v>0</v>
      </c>
      <c r="H990" s="49" t="n">
        <v>0</v>
      </c>
      <c r="I990" s="49" t="n">
        <v>0</v>
      </c>
      <c r="J990" s="50" t="n">
        <v>0</v>
      </c>
      <c r="K990" s="51" t="n">
        <v>0</v>
      </c>
      <c r="L990" s="52" t="n">
        <v>0</v>
      </c>
      <c r="M990" s="52" t="n">
        <v>0</v>
      </c>
      <c r="N990" s="52" t="n">
        <v>0</v>
      </c>
      <c r="O990" s="53" t="n">
        <v>0</v>
      </c>
      <c r="P990" s="52" t="n">
        <v>0</v>
      </c>
      <c r="Q990" s="53" t="n">
        <v>0</v>
      </c>
      <c r="R990" s="52" t="n">
        <v>0</v>
      </c>
      <c r="S990" s="51" t="n">
        <v>0</v>
      </c>
      <c r="T990" s="48" t="n">
        <v>0</v>
      </c>
      <c r="U990" s="49" t="n">
        <v>0</v>
      </c>
      <c r="V990" s="49" t="n">
        <v>0</v>
      </c>
      <c r="W990" s="50" t="n">
        <v>0</v>
      </c>
      <c r="X990" s="51" t="n">
        <v>0</v>
      </c>
      <c r="Y990" s="52" t="n">
        <v>0</v>
      </c>
      <c r="Z990" s="52" t="n">
        <v>0</v>
      </c>
      <c r="AA990" s="52" t="n">
        <v>0</v>
      </c>
      <c r="AB990" s="53" t="n">
        <v>0</v>
      </c>
      <c r="AC990" s="52" t="n">
        <v>0</v>
      </c>
      <c r="AD990" s="53" t="n">
        <v>0</v>
      </c>
      <c r="AE990" s="52" t="n">
        <v>0</v>
      </c>
      <c r="AF990" s="51" t="n">
        <v>0</v>
      </c>
      <c r="AG990" s="48" t="n">
        <v>0</v>
      </c>
      <c r="AH990" s="49" t="n">
        <v>0</v>
      </c>
      <c r="AI990" s="49" t="n">
        <v>0</v>
      </c>
      <c r="AJ990" s="50" t="n">
        <v>0</v>
      </c>
      <c r="AK990" s="51" t="n">
        <v>0</v>
      </c>
      <c r="AL990" s="52" t="n">
        <v>0</v>
      </c>
      <c r="AM990" s="52" t="n">
        <v>0</v>
      </c>
      <c r="AN990" s="52" t="n">
        <v>0</v>
      </c>
      <c r="AO990" s="53" t="n">
        <v>0</v>
      </c>
      <c r="AP990" s="52" t="n">
        <v>0</v>
      </c>
      <c r="AQ990" s="53" t="n">
        <v>0</v>
      </c>
      <c r="AR990" s="52" t="n">
        <v>0</v>
      </c>
      <c r="AS990" s="51" t="n">
        <v>0</v>
      </c>
      <c r="AT990" s="48" t="n">
        <v>0</v>
      </c>
      <c r="AU990" s="49" t="n">
        <v>0</v>
      </c>
      <c r="AV990" s="49" t="n">
        <v>0</v>
      </c>
      <c r="AW990" s="50" t="n">
        <v>0</v>
      </c>
      <c r="AX990" s="51" t="n">
        <v>0</v>
      </c>
      <c r="AY990" s="52" t="n">
        <v>0</v>
      </c>
      <c r="AZ990" s="52" t="n">
        <v>0</v>
      </c>
      <c r="BA990" s="52" t="n">
        <v>0</v>
      </c>
      <c r="BB990" s="53" t="n">
        <v>0</v>
      </c>
      <c r="BC990" s="52" t="n">
        <v>0</v>
      </c>
      <c r="BD990" s="53" t="n">
        <v>0</v>
      </c>
      <c r="BE990" s="52" t="n">
        <v>0</v>
      </c>
      <c r="BF990" s="51" t="n">
        <v>0</v>
      </c>
    </row>
    <row r="991">
      <c r="A991">
        <f>HYPERLINK("https://www.walmart.com/ip/9523050651", "9523050651")</f>
        <v/>
      </c>
      <c r="B991" t="inlineStr">
        <is>
          <t>Ocean Pacific Og Corduroy Backpack for Travel, Sports, and Work, Waterproof College Backpack, Laptop Backpack Fits 15.6” Devices, Casual Daypack Backpacks for Adults, Olive</t>
        </is>
      </c>
      <c r="C991" t="inlineStr">
        <is>
          <t>OP-BACKPACK-15381-OLIVE</t>
        </is>
      </c>
      <c r="D991" t="inlineStr">
        <is>
          <t>Backpacks</t>
        </is>
      </c>
      <c r="E991" t="inlineStr">
        <is>
          <t>Ocean Pacific</t>
        </is>
      </c>
      <c r="F991" t="inlineStr">
        <is>
          <t>Backpack</t>
        </is>
      </c>
      <c r="G991" s="48" t="n">
        <v>0</v>
      </c>
      <c r="H991" s="49" t="n">
        <v>0</v>
      </c>
      <c r="I991" s="49" t="n">
        <v>0</v>
      </c>
      <c r="J991" s="50" t="n">
        <v>0</v>
      </c>
      <c r="K991" s="51" t="n">
        <v>0</v>
      </c>
      <c r="L991" s="52" t="n">
        <v>0</v>
      </c>
      <c r="M991" s="52" t="n">
        <v>0</v>
      </c>
      <c r="N991" s="52" t="n">
        <v>0</v>
      </c>
      <c r="O991" s="53" t="n">
        <v>0</v>
      </c>
      <c r="P991" s="52" t="n">
        <v>0</v>
      </c>
      <c r="Q991" s="53" t="n">
        <v>0</v>
      </c>
      <c r="R991" s="52" t="n">
        <v>0</v>
      </c>
      <c r="S991" s="51" t="n">
        <v>0</v>
      </c>
      <c r="T991" s="48" t="n">
        <v>0</v>
      </c>
      <c r="U991" s="49" t="n">
        <v>0</v>
      </c>
      <c r="V991" s="49" t="n">
        <v>0</v>
      </c>
      <c r="W991" s="50" t="n">
        <v>0</v>
      </c>
      <c r="X991" s="51" t="n">
        <v>0</v>
      </c>
      <c r="Y991" s="52" t="n">
        <v>0</v>
      </c>
      <c r="Z991" s="52" t="n">
        <v>0</v>
      </c>
      <c r="AA991" s="52" t="n">
        <v>0</v>
      </c>
      <c r="AB991" s="53" t="n">
        <v>0</v>
      </c>
      <c r="AC991" s="52" t="n">
        <v>0</v>
      </c>
      <c r="AD991" s="53" t="n">
        <v>0</v>
      </c>
      <c r="AE991" s="52" t="n">
        <v>0</v>
      </c>
      <c r="AF991" s="51" t="n">
        <v>0</v>
      </c>
      <c r="AG991" s="48" t="n">
        <v>0</v>
      </c>
      <c r="AH991" s="49" t="n">
        <v>0</v>
      </c>
      <c r="AI991" s="49" t="n">
        <v>0</v>
      </c>
      <c r="AJ991" s="50" t="n">
        <v>0</v>
      </c>
      <c r="AK991" s="51" t="n">
        <v>0</v>
      </c>
      <c r="AL991" s="52" t="n">
        <v>0</v>
      </c>
      <c r="AM991" s="52" t="n">
        <v>0</v>
      </c>
      <c r="AN991" s="52" t="n">
        <v>0</v>
      </c>
      <c r="AO991" s="53" t="n">
        <v>0</v>
      </c>
      <c r="AP991" s="52" t="n">
        <v>0</v>
      </c>
      <c r="AQ991" s="53" t="n">
        <v>0</v>
      </c>
      <c r="AR991" s="52" t="n">
        <v>0</v>
      </c>
      <c r="AS991" s="51" t="n">
        <v>0</v>
      </c>
      <c r="AT991" s="48" t="n">
        <v>0</v>
      </c>
      <c r="AU991" s="49" t="n">
        <v>0</v>
      </c>
      <c r="AV991" s="49" t="n">
        <v>0</v>
      </c>
      <c r="AW991" s="50" t="n">
        <v>0</v>
      </c>
      <c r="AX991" s="51" t="n">
        <v>0</v>
      </c>
      <c r="AY991" s="52" t="n">
        <v>0</v>
      </c>
      <c r="AZ991" s="52" t="n">
        <v>0</v>
      </c>
      <c r="BA991" s="52" t="n">
        <v>0</v>
      </c>
      <c r="BB991" s="53" t="n">
        <v>0</v>
      </c>
      <c r="BC991" s="52" t="n">
        <v>0</v>
      </c>
      <c r="BD991" s="53" t="n">
        <v>0</v>
      </c>
      <c r="BE991" s="52" t="n">
        <v>0</v>
      </c>
      <c r="BF991" s="51" t="n">
        <v>0</v>
      </c>
    </row>
    <row r="992">
      <c r="A992">
        <f>HYPERLINK("https://www.walmart.com/ip/9523050660", "9523050660")</f>
        <v/>
      </c>
      <c r="B992" t="inlineStr">
        <is>
          <t>Wrangler Yellowstone Sturdy Laptop Backpack for Travel, Hiking Backpack with Classic Logo, Water Resistant Casual Daypack, Padded Sleeve College Backpack for Notebook, Graphite</t>
        </is>
      </c>
      <c r="C992" t="inlineStr">
        <is>
          <t>WR-BACKPACK-16273-GRAPHITE</t>
        </is>
      </c>
      <c r="D992" t="inlineStr">
        <is>
          <t>Backpacks</t>
        </is>
      </c>
      <c r="E992" t="inlineStr">
        <is>
          <t>Wrangler</t>
        </is>
      </c>
      <c r="F992" t="inlineStr">
        <is>
          <t>Backpack</t>
        </is>
      </c>
      <c r="G992" s="48" t="n">
        <v>0</v>
      </c>
      <c r="H992" s="49" t="n">
        <v>0</v>
      </c>
      <c r="I992" s="49" t="n">
        <v>0</v>
      </c>
      <c r="J992" s="50" t="n">
        <v>0</v>
      </c>
      <c r="K992" s="51" t="n">
        <v>0</v>
      </c>
      <c r="L992" s="52" t="n">
        <v>0</v>
      </c>
      <c r="M992" s="52" t="n">
        <v>0</v>
      </c>
      <c r="N992" s="52" t="n">
        <v>0</v>
      </c>
      <c r="O992" s="53" t="n">
        <v>0</v>
      </c>
      <c r="P992" s="52" t="n">
        <v>0</v>
      </c>
      <c r="Q992" s="53" t="n">
        <v>0</v>
      </c>
      <c r="R992" s="52" t="n">
        <v>0</v>
      </c>
      <c r="S992" s="51" t="n">
        <v>0</v>
      </c>
      <c r="T992" s="48" t="n">
        <v>0</v>
      </c>
      <c r="U992" s="49" t="n">
        <v>0</v>
      </c>
      <c r="V992" s="49" t="n">
        <v>0</v>
      </c>
      <c r="W992" s="50" t="n">
        <v>0</v>
      </c>
      <c r="X992" s="51" t="n">
        <v>0</v>
      </c>
      <c r="Y992" s="52" t="n">
        <v>0</v>
      </c>
      <c r="Z992" s="52" t="n">
        <v>0</v>
      </c>
      <c r="AA992" s="52" t="n">
        <v>0</v>
      </c>
      <c r="AB992" s="53" t="n">
        <v>0</v>
      </c>
      <c r="AC992" s="52" t="n">
        <v>0</v>
      </c>
      <c r="AD992" s="53" t="n">
        <v>0</v>
      </c>
      <c r="AE992" s="52" t="n">
        <v>0</v>
      </c>
      <c r="AF992" s="51" t="n">
        <v>0</v>
      </c>
      <c r="AG992" s="48" t="n">
        <v>0</v>
      </c>
      <c r="AH992" s="49" t="n">
        <v>0</v>
      </c>
      <c r="AI992" s="49" t="n">
        <v>0</v>
      </c>
      <c r="AJ992" s="50" t="n">
        <v>0</v>
      </c>
      <c r="AK992" s="51" t="n">
        <v>0</v>
      </c>
      <c r="AL992" s="52" t="n">
        <v>0</v>
      </c>
      <c r="AM992" s="52" t="n">
        <v>0</v>
      </c>
      <c r="AN992" s="52" t="n">
        <v>0</v>
      </c>
      <c r="AO992" s="53" t="n">
        <v>0</v>
      </c>
      <c r="AP992" s="52" t="n">
        <v>0</v>
      </c>
      <c r="AQ992" s="53" t="n">
        <v>0</v>
      </c>
      <c r="AR992" s="52" t="n">
        <v>0</v>
      </c>
      <c r="AS992" s="51" t="n">
        <v>0</v>
      </c>
      <c r="AT992" s="48" t="n">
        <v>0</v>
      </c>
      <c r="AU992" s="49" t="n">
        <v>0</v>
      </c>
      <c r="AV992" s="49" t="n">
        <v>0</v>
      </c>
      <c r="AW992" s="50" t="n">
        <v>0</v>
      </c>
      <c r="AX992" s="51" t="n">
        <v>0</v>
      </c>
      <c r="AY992" s="52" t="n">
        <v>0</v>
      </c>
      <c r="AZ992" s="52" t="n">
        <v>0</v>
      </c>
      <c r="BA992" s="52" t="n">
        <v>0</v>
      </c>
      <c r="BB992" s="53" t="n">
        <v>0</v>
      </c>
      <c r="BC992" s="52" t="n">
        <v>0</v>
      </c>
      <c r="BD992" s="53" t="n">
        <v>0</v>
      </c>
      <c r="BE992" s="52" t="n">
        <v>0</v>
      </c>
      <c r="BF992" s="51" t="n">
        <v>0</v>
      </c>
    </row>
    <row r="993">
      <c r="A993">
        <f>HYPERLINK("https://www.walmart.com/ip/9523620713", "9523620713")</f>
        <v/>
      </c>
      <c r="B993" t="inlineStr">
        <is>
          <t>Wrangler Yellowstone Sturdy Laptop Backpack for Travel, Hiking Backpack with Classic Logo, Water Resistant Casual Daypack, Padded Sleeve College Backpack for Notebook, Wild West</t>
        </is>
      </c>
      <c r="C993" t="inlineStr">
        <is>
          <t>WR-BACKPACK-16273-WILDWEST</t>
        </is>
      </c>
      <c r="D993" t="inlineStr">
        <is>
          <t>Backpacks</t>
        </is>
      </c>
      <c r="E993" t="inlineStr">
        <is>
          <t>Wrangler</t>
        </is>
      </c>
      <c r="F993" t="inlineStr">
        <is>
          <t>Backpack</t>
        </is>
      </c>
      <c r="G993" s="48" t="n">
        <v>0</v>
      </c>
      <c r="H993" s="49" t="n">
        <v>0</v>
      </c>
      <c r="I993" s="49" t="n">
        <v>0</v>
      </c>
      <c r="J993" s="50" t="n">
        <v>0</v>
      </c>
      <c r="K993" s="51" t="n">
        <v>0</v>
      </c>
      <c r="L993" s="52" t="n">
        <v>0</v>
      </c>
      <c r="M993" s="52" t="n">
        <v>0</v>
      </c>
      <c r="N993" s="52" t="n">
        <v>0</v>
      </c>
      <c r="O993" s="53" t="n">
        <v>0</v>
      </c>
      <c r="P993" s="52" t="n">
        <v>0</v>
      </c>
      <c r="Q993" s="53" t="n">
        <v>0</v>
      </c>
      <c r="R993" s="52" t="n">
        <v>0</v>
      </c>
      <c r="S993" s="51" t="n">
        <v>0</v>
      </c>
      <c r="T993" s="48" t="n">
        <v>0</v>
      </c>
      <c r="U993" s="49" t="n">
        <v>0</v>
      </c>
      <c r="V993" s="49" t="n">
        <v>0</v>
      </c>
      <c r="W993" s="50" t="n">
        <v>0</v>
      </c>
      <c r="X993" s="51" t="n">
        <v>0</v>
      </c>
      <c r="Y993" s="52" t="n">
        <v>0</v>
      </c>
      <c r="Z993" s="52" t="n">
        <v>0</v>
      </c>
      <c r="AA993" s="52" t="n">
        <v>0</v>
      </c>
      <c r="AB993" s="53" t="n">
        <v>0</v>
      </c>
      <c r="AC993" s="52" t="n">
        <v>0</v>
      </c>
      <c r="AD993" s="53" t="n">
        <v>0</v>
      </c>
      <c r="AE993" s="52" t="n">
        <v>0</v>
      </c>
      <c r="AF993" s="51" t="n">
        <v>0</v>
      </c>
      <c r="AG993" s="48" t="n">
        <v>0</v>
      </c>
      <c r="AH993" s="49" t="n">
        <v>0</v>
      </c>
      <c r="AI993" s="49" t="n">
        <v>0</v>
      </c>
      <c r="AJ993" s="50" t="n">
        <v>0</v>
      </c>
      <c r="AK993" s="51" t="n">
        <v>0</v>
      </c>
      <c r="AL993" s="52" t="n">
        <v>0</v>
      </c>
      <c r="AM993" s="52" t="n">
        <v>0</v>
      </c>
      <c r="AN993" s="52" t="n">
        <v>0</v>
      </c>
      <c r="AO993" s="53" t="n">
        <v>0</v>
      </c>
      <c r="AP993" s="52" t="n">
        <v>0</v>
      </c>
      <c r="AQ993" s="53" t="n">
        <v>0</v>
      </c>
      <c r="AR993" s="52" t="n">
        <v>0</v>
      </c>
      <c r="AS993" s="51" t="n">
        <v>0</v>
      </c>
      <c r="AT993" s="48" t="n">
        <v>0</v>
      </c>
      <c r="AU993" s="49" t="n">
        <v>0</v>
      </c>
      <c r="AV993" s="49" t="n">
        <v>0</v>
      </c>
      <c r="AW993" s="50" t="n">
        <v>0</v>
      </c>
      <c r="AX993" s="51" t="n">
        <v>0</v>
      </c>
      <c r="AY993" s="52" t="n">
        <v>0</v>
      </c>
      <c r="AZ993" s="52" t="n">
        <v>0</v>
      </c>
      <c r="BA993" s="52" t="n">
        <v>0</v>
      </c>
      <c r="BB993" s="53" t="n">
        <v>0</v>
      </c>
      <c r="BC993" s="52" t="n">
        <v>0</v>
      </c>
      <c r="BD993" s="53" t="n">
        <v>0</v>
      </c>
      <c r="BE993" s="52" t="n">
        <v>0</v>
      </c>
      <c r="BF993" s="51" t="n">
        <v>0</v>
      </c>
    </row>
    <row r="994">
      <c r="A994">
        <f>HYPERLINK("https://www.walmart.com/ip/9528713966", "9528713966")</f>
        <v/>
      </c>
      <c r="B994" t="inlineStr">
        <is>
          <t>Wrangler Yellowstone Sturdy Laptop Backpack for Travel, Hiking Backpack with Classic Logo, Water Resistant Casual Daypack, Padded Sleeve College Backpack for Notebook, Teal Patterned</t>
        </is>
      </c>
      <c r="C994" t="inlineStr">
        <is>
          <t>WR-BACKPACK-16273-TEAL</t>
        </is>
      </c>
      <c r="D994" t="inlineStr">
        <is>
          <t>Backpacks</t>
        </is>
      </c>
      <c r="E994" t="inlineStr">
        <is>
          <t>Wrangler</t>
        </is>
      </c>
      <c r="F994" t="inlineStr">
        <is>
          <t>Backpack</t>
        </is>
      </c>
      <c r="G994" s="48" t="n">
        <v>0</v>
      </c>
      <c r="H994" s="49" t="n">
        <v>0</v>
      </c>
      <c r="I994" s="49" t="n">
        <v>0</v>
      </c>
      <c r="J994" s="50" t="n">
        <v>0</v>
      </c>
      <c r="K994" s="51" t="n">
        <v>0</v>
      </c>
      <c r="L994" s="52" t="n">
        <v>0</v>
      </c>
      <c r="M994" s="52" t="n">
        <v>0</v>
      </c>
      <c r="N994" s="52" t="n">
        <v>0</v>
      </c>
      <c r="O994" s="53" t="n">
        <v>0</v>
      </c>
      <c r="P994" s="52" t="n">
        <v>0</v>
      </c>
      <c r="Q994" s="53" t="n">
        <v>0</v>
      </c>
      <c r="R994" s="52" t="n">
        <v>0</v>
      </c>
      <c r="S994" s="51" t="n">
        <v>0</v>
      </c>
      <c r="T994" s="48" t="n">
        <v>0</v>
      </c>
      <c r="U994" s="49" t="n">
        <v>0</v>
      </c>
      <c r="V994" s="49" t="n">
        <v>0</v>
      </c>
      <c r="W994" s="50" t="n">
        <v>0</v>
      </c>
      <c r="X994" s="51" t="n">
        <v>0</v>
      </c>
      <c r="Y994" s="52" t="n">
        <v>0</v>
      </c>
      <c r="Z994" s="52" t="n">
        <v>0</v>
      </c>
      <c r="AA994" s="52" t="n">
        <v>0</v>
      </c>
      <c r="AB994" s="53" t="n">
        <v>0</v>
      </c>
      <c r="AC994" s="52" t="n">
        <v>0</v>
      </c>
      <c r="AD994" s="53" t="n">
        <v>0</v>
      </c>
      <c r="AE994" s="52" t="n">
        <v>0</v>
      </c>
      <c r="AF994" s="51" t="n">
        <v>0</v>
      </c>
      <c r="AG994" s="48" t="n">
        <v>0</v>
      </c>
      <c r="AH994" s="49" t="n">
        <v>0</v>
      </c>
      <c r="AI994" s="49" t="n">
        <v>0</v>
      </c>
      <c r="AJ994" s="50" t="n">
        <v>0</v>
      </c>
      <c r="AK994" s="51" t="n">
        <v>0</v>
      </c>
      <c r="AL994" s="52" t="n">
        <v>0</v>
      </c>
      <c r="AM994" s="52" t="n">
        <v>0</v>
      </c>
      <c r="AN994" s="52" t="n">
        <v>0</v>
      </c>
      <c r="AO994" s="53" t="n">
        <v>0</v>
      </c>
      <c r="AP994" s="52" t="n">
        <v>0</v>
      </c>
      <c r="AQ994" s="53" t="n">
        <v>0</v>
      </c>
      <c r="AR994" s="52" t="n">
        <v>0</v>
      </c>
      <c r="AS994" s="51" t="n">
        <v>0</v>
      </c>
      <c r="AT994" s="48" t="n">
        <v>0</v>
      </c>
      <c r="AU994" s="49" t="n">
        <v>0</v>
      </c>
      <c r="AV994" s="49" t="n">
        <v>0</v>
      </c>
      <c r="AW994" s="50" t="n">
        <v>0</v>
      </c>
      <c r="AX994" s="51" t="n">
        <v>0</v>
      </c>
      <c r="AY994" s="52" t="n">
        <v>0</v>
      </c>
      <c r="AZ994" s="52" t="n">
        <v>0</v>
      </c>
      <c r="BA994" s="52" t="n">
        <v>0</v>
      </c>
      <c r="BB994" s="53" t="n">
        <v>0</v>
      </c>
      <c r="BC994" s="52" t="n">
        <v>0</v>
      </c>
      <c r="BD994" s="53" t="n">
        <v>0</v>
      </c>
      <c r="BE994" s="52" t="n">
        <v>0</v>
      </c>
      <c r="BF994" s="51" t="n">
        <v>0</v>
      </c>
    </row>
    <row r="995">
      <c r="A995">
        <f>HYPERLINK("https://www.walmart.com/ip/9526874803", "9526874803")</f>
        <v/>
      </c>
      <c r="B995" t="inlineStr">
        <is>
          <t>Wrangler Yellowstone Sturdy Laptop Backpack for Travel, Hiking Backpack with Classic Logo, Water Resistant Casual Daypack, Padded Sleeve College Backpack for Notebook, Black Denim</t>
        </is>
      </c>
      <c r="C995" t="inlineStr">
        <is>
          <t>WR-BACKPACK-16273-BLKDENIM</t>
        </is>
      </c>
      <c r="D995" t="inlineStr">
        <is>
          <t>Backpacks</t>
        </is>
      </c>
      <c r="E995" t="inlineStr">
        <is>
          <t>Wrangler</t>
        </is>
      </c>
      <c r="F995" t="inlineStr">
        <is>
          <t>Backpack</t>
        </is>
      </c>
      <c r="G995" s="48" t="n">
        <v>0</v>
      </c>
      <c r="H995" s="49" t="n">
        <v>0</v>
      </c>
      <c r="I995" s="49" t="n">
        <v>0</v>
      </c>
      <c r="J995" s="50" t="n">
        <v>0</v>
      </c>
      <c r="K995" s="51" t="n">
        <v>0</v>
      </c>
      <c r="L995" s="52" t="n">
        <v>0</v>
      </c>
      <c r="M995" s="52" t="n">
        <v>0</v>
      </c>
      <c r="N995" s="52" t="n">
        <v>0</v>
      </c>
      <c r="O995" s="53" t="n">
        <v>0</v>
      </c>
      <c r="P995" s="52" t="n">
        <v>0</v>
      </c>
      <c r="Q995" s="53" t="n">
        <v>0</v>
      </c>
      <c r="R995" s="52" t="n">
        <v>0</v>
      </c>
      <c r="S995" s="51" t="n">
        <v>0</v>
      </c>
      <c r="T995" s="48" t="n">
        <v>0</v>
      </c>
      <c r="U995" s="49" t="n">
        <v>0</v>
      </c>
      <c r="V995" s="49" t="n">
        <v>0</v>
      </c>
      <c r="W995" s="50" t="n">
        <v>0</v>
      </c>
      <c r="X995" s="51" t="n">
        <v>0</v>
      </c>
      <c r="Y995" s="52" t="n">
        <v>0</v>
      </c>
      <c r="Z995" s="52" t="n">
        <v>0</v>
      </c>
      <c r="AA995" s="52" t="n">
        <v>0</v>
      </c>
      <c r="AB995" s="53" t="n">
        <v>0</v>
      </c>
      <c r="AC995" s="52" t="n">
        <v>0</v>
      </c>
      <c r="AD995" s="53" t="n">
        <v>0</v>
      </c>
      <c r="AE995" s="52" t="n">
        <v>0</v>
      </c>
      <c r="AF995" s="51" t="n">
        <v>0</v>
      </c>
      <c r="AG995" s="48" t="n">
        <v>0</v>
      </c>
      <c r="AH995" s="49" t="n">
        <v>0</v>
      </c>
      <c r="AI995" s="49" t="n">
        <v>0</v>
      </c>
      <c r="AJ995" s="50" t="n">
        <v>0</v>
      </c>
      <c r="AK995" s="51" t="n">
        <v>0</v>
      </c>
      <c r="AL995" s="52" t="n">
        <v>0</v>
      </c>
      <c r="AM995" s="52" t="n">
        <v>0</v>
      </c>
      <c r="AN995" s="52" t="n">
        <v>0</v>
      </c>
      <c r="AO995" s="53" t="n">
        <v>0</v>
      </c>
      <c r="AP995" s="52" t="n">
        <v>0</v>
      </c>
      <c r="AQ995" s="53" t="n">
        <v>0</v>
      </c>
      <c r="AR995" s="52" t="n">
        <v>0</v>
      </c>
      <c r="AS995" s="51" t="n">
        <v>0</v>
      </c>
      <c r="AT995" s="48" t="n">
        <v>0</v>
      </c>
      <c r="AU995" s="49" t="n">
        <v>0</v>
      </c>
      <c r="AV995" s="49" t="n">
        <v>0</v>
      </c>
      <c r="AW995" s="50" t="n">
        <v>0</v>
      </c>
      <c r="AX995" s="51" t="n">
        <v>0</v>
      </c>
      <c r="AY995" s="52" t="n">
        <v>0</v>
      </c>
      <c r="AZ995" s="52" t="n">
        <v>0</v>
      </c>
      <c r="BA995" s="52" t="n">
        <v>0</v>
      </c>
      <c r="BB995" s="53" t="n">
        <v>0</v>
      </c>
      <c r="BC995" s="52" t="n">
        <v>0</v>
      </c>
      <c r="BD995" s="53" t="n">
        <v>0</v>
      </c>
      <c r="BE995" s="52" t="n">
        <v>0</v>
      </c>
      <c r="BF995" s="51" t="n">
        <v>0</v>
      </c>
    </row>
    <row r="996">
      <c r="A996">
        <f>HYPERLINK("https://www.walmart.com/ip/9527811157", "9527811157")</f>
        <v/>
      </c>
      <c r="B996" t="inlineStr">
        <is>
          <t>Lee Clear Water Resistant Backpack for Boys and Girls, Durable See Thru Book Bag, Backpacks for School, Laptop Backpack, Ideal for Stadiums, Concerts, and Casual Use, Clear Red</t>
        </is>
      </c>
      <c r="C996" t="inlineStr">
        <is>
          <t>LE-BACKPACK-93038-RED</t>
        </is>
      </c>
      <c r="D996" t="inlineStr">
        <is>
          <t>Backpacks</t>
        </is>
      </c>
      <c r="E996" t="inlineStr">
        <is>
          <t>Lee</t>
        </is>
      </c>
      <c r="F996" t="inlineStr">
        <is>
          <t>Backpack</t>
        </is>
      </c>
      <c r="G996" s="48" t="n">
        <v>0</v>
      </c>
      <c r="H996" s="49" t="n">
        <v>0</v>
      </c>
      <c r="I996" s="49" t="n">
        <v>0</v>
      </c>
      <c r="J996" s="50" t="n">
        <v>0</v>
      </c>
      <c r="K996" s="51" t="n">
        <v>0</v>
      </c>
      <c r="L996" s="52" t="n">
        <v>0</v>
      </c>
      <c r="M996" s="52" t="n">
        <v>0</v>
      </c>
      <c r="N996" s="52" t="n">
        <v>0</v>
      </c>
      <c r="O996" s="53" t="n">
        <v>0</v>
      </c>
      <c r="P996" s="52" t="n">
        <v>0</v>
      </c>
      <c r="Q996" s="53" t="n">
        <v>0</v>
      </c>
      <c r="R996" s="52" t="n">
        <v>0</v>
      </c>
      <c r="S996" s="51" t="n">
        <v>0</v>
      </c>
      <c r="T996" s="48" t="n">
        <v>0</v>
      </c>
      <c r="U996" s="49" t="n">
        <v>0</v>
      </c>
      <c r="V996" s="49" t="n">
        <v>0</v>
      </c>
      <c r="W996" s="50" t="n">
        <v>0</v>
      </c>
      <c r="X996" s="51" t="n">
        <v>0</v>
      </c>
      <c r="Y996" s="52" t="n">
        <v>0</v>
      </c>
      <c r="Z996" s="52" t="n">
        <v>0</v>
      </c>
      <c r="AA996" s="52" t="n">
        <v>0</v>
      </c>
      <c r="AB996" s="53" t="n">
        <v>0</v>
      </c>
      <c r="AC996" s="52" t="n">
        <v>0</v>
      </c>
      <c r="AD996" s="53" t="n">
        <v>0</v>
      </c>
      <c r="AE996" s="52" t="n">
        <v>0</v>
      </c>
      <c r="AF996" s="51" t="n">
        <v>0</v>
      </c>
      <c r="AG996" s="48" t="n">
        <v>0</v>
      </c>
      <c r="AH996" s="49" t="n">
        <v>0</v>
      </c>
      <c r="AI996" s="49" t="n">
        <v>0</v>
      </c>
      <c r="AJ996" s="50" t="n">
        <v>0</v>
      </c>
      <c r="AK996" s="51" t="n">
        <v>0</v>
      </c>
      <c r="AL996" s="52" t="n">
        <v>0</v>
      </c>
      <c r="AM996" s="52" t="n">
        <v>0</v>
      </c>
      <c r="AN996" s="52" t="n">
        <v>0</v>
      </c>
      <c r="AO996" s="53" t="n">
        <v>0</v>
      </c>
      <c r="AP996" s="52" t="n">
        <v>0</v>
      </c>
      <c r="AQ996" s="53" t="n">
        <v>0</v>
      </c>
      <c r="AR996" s="52" t="n">
        <v>0</v>
      </c>
      <c r="AS996" s="51" t="n">
        <v>0</v>
      </c>
      <c r="AT996" s="48" t="n">
        <v>0</v>
      </c>
      <c r="AU996" s="49" t="n">
        <v>0</v>
      </c>
      <c r="AV996" s="49" t="n">
        <v>0</v>
      </c>
      <c r="AW996" s="50" t="n">
        <v>0</v>
      </c>
      <c r="AX996" s="51" t="n">
        <v>0</v>
      </c>
      <c r="AY996" s="52" t="n">
        <v>0</v>
      </c>
      <c r="AZ996" s="52" t="n">
        <v>0</v>
      </c>
      <c r="BA996" s="52" t="n">
        <v>0</v>
      </c>
      <c r="BB996" s="53" t="n">
        <v>0</v>
      </c>
      <c r="BC996" s="52" t="n">
        <v>0</v>
      </c>
      <c r="BD996" s="53" t="n">
        <v>0</v>
      </c>
      <c r="BE996" s="52" t="n">
        <v>0</v>
      </c>
      <c r="BF996" s="51" t="n">
        <v>0</v>
      </c>
    </row>
    <row r="997">
      <c r="A997">
        <f>HYPERLINK("https://www.walmart.com/ip/9528705047", "9528705047")</f>
        <v/>
      </c>
      <c r="B997" t="inlineStr">
        <is>
          <t>Wrangler Clear Water-Resistant Backpack for Girls, Durable Plastic See-Thru Book Bag, Backpacks for School, Laptop Backpack for Casual Use, Stadiums and Concerts, Clear Red</t>
        </is>
      </c>
      <c r="C997" t="inlineStr">
        <is>
          <t>WR-BACKPACK-92958-RED</t>
        </is>
      </c>
      <c r="D997" t="inlineStr">
        <is>
          <t>Backpacks</t>
        </is>
      </c>
      <c r="E997" t="inlineStr">
        <is>
          <t>Wrangler</t>
        </is>
      </c>
      <c r="F997" t="inlineStr">
        <is>
          <t>Backpack</t>
        </is>
      </c>
      <c r="G997" s="48" t="n">
        <v>0</v>
      </c>
      <c r="H997" s="49" t="n">
        <v>0</v>
      </c>
      <c r="I997" s="49" t="n">
        <v>0</v>
      </c>
      <c r="J997" s="50" t="n">
        <v>0</v>
      </c>
      <c r="K997" s="51" t="n">
        <v>0</v>
      </c>
      <c r="L997" s="52" t="n">
        <v>0</v>
      </c>
      <c r="M997" s="52" t="n">
        <v>0</v>
      </c>
      <c r="N997" s="52" t="n">
        <v>0</v>
      </c>
      <c r="O997" s="53" t="n">
        <v>0</v>
      </c>
      <c r="P997" s="52" t="n">
        <v>0</v>
      </c>
      <c r="Q997" s="53" t="n">
        <v>0</v>
      </c>
      <c r="R997" s="52" t="n">
        <v>0</v>
      </c>
      <c r="S997" s="51" t="n">
        <v>0</v>
      </c>
      <c r="T997" s="48" t="n">
        <v>0</v>
      </c>
      <c r="U997" s="49" t="n">
        <v>0</v>
      </c>
      <c r="V997" s="49" t="n">
        <v>0</v>
      </c>
      <c r="W997" s="50" t="n">
        <v>0</v>
      </c>
      <c r="X997" s="51" t="n">
        <v>0</v>
      </c>
      <c r="Y997" s="52" t="n">
        <v>0</v>
      </c>
      <c r="Z997" s="52" t="n">
        <v>0</v>
      </c>
      <c r="AA997" s="52" t="n">
        <v>0</v>
      </c>
      <c r="AB997" s="53" t="n">
        <v>0</v>
      </c>
      <c r="AC997" s="52" t="n">
        <v>0</v>
      </c>
      <c r="AD997" s="53" t="n">
        <v>0</v>
      </c>
      <c r="AE997" s="52" t="n">
        <v>0</v>
      </c>
      <c r="AF997" s="51" t="n">
        <v>0</v>
      </c>
      <c r="AG997" s="48" t="n">
        <v>0</v>
      </c>
      <c r="AH997" s="49" t="n">
        <v>0</v>
      </c>
      <c r="AI997" s="49" t="n">
        <v>0</v>
      </c>
      <c r="AJ997" s="50" t="n">
        <v>0</v>
      </c>
      <c r="AK997" s="51" t="n">
        <v>0</v>
      </c>
      <c r="AL997" s="52" t="n">
        <v>0</v>
      </c>
      <c r="AM997" s="52" t="n">
        <v>0</v>
      </c>
      <c r="AN997" s="52" t="n">
        <v>0</v>
      </c>
      <c r="AO997" s="53" t="n">
        <v>0</v>
      </c>
      <c r="AP997" s="52" t="n">
        <v>0</v>
      </c>
      <c r="AQ997" s="53" t="n">
        <v>0</v>
      </c>
      <c r="AR997" s="52" t="n">
        <v>0</v>
      </c>
      <c r="AS997" s="51" t="n">
        <v>0</v>
      </c>
      <c r="AT997" s="48" t="n">
        <v>0</v>
      </c>
      <c r="AU997" s="49" t="n">
        <v>0</v>
      </c>
      <c r="AV997" s="49" t="n">
        <v>0</v>
      </c>
      <c r="AW997" s="50" t="n">
        <v>0</v>
      </c>
      <c r="AX997" s="51" t="n">
        <v>0</v>
      </c>
      <c r="AY997" s="52" t="n">
        <v>0</v>
      </c>
      <c r="AZ997" s="52" t="n">
        <v>0</v>
      </c>
      <c r="BA997" s="52" t="n">
        <v>0</v>
      </c>
      <c r="BB997" s="53" t="n">
        <v>0</v>
      </c>
      <c r="BC997" s="52" t="n">
        <v>0</v>
      </c>
      <c r="BD997" s="53" t="n">
        <v>0</v>
      </c>
      <c r="BE997" s="52" t="n">
        <v>0</v>
      </c>
      <c r="BF997" s="51" t="n">
        <v>0</v>
      </c>
    </row>
    <row r="998">
      <c r="A998">
        <f>HYPERLINK("https://www.walmart.com/ip/9528705714", "9528705714")</f>
        <v/>
      </c>
      <c r="B998" t="inlineStr">
        <is>
          <t>Wrangler Yellowstone Sturdy Laptop Backpack for Travel, Hiking Backpack with Classic Logo, Water Resistant Casual Daypack, Padded Sleeve College Backpack for Notebook, Grey</t>
        </is>
      </c>
      <c r="C998" t="inlineStr">
        <is>
          <t>WR-BACKPACK-16273-GREY</t>
        </is>
      </c>
      <c r="D998" t="inlineStr">
        <is>
          <t>Backpacks</t>
        </is>
      </c>
      <c r="E998" t="inlineStr">
        <is>
          <t>Wrangler</t>
        </is>
      </c>
      <c r="F998" t="inlineStr">
        <is>
          <t>Backpack</t>
        </is>
      </c>
      <c r="G998" s="48" t="n">
        <v>0</v>
      </c>
      <c r="H998" s="49" t="n">
        <v>0</v>
      </c>
      <c r="I998" s="49" t="n">
        <v>0</v>
      </c>
      <c r="J998" s="50" t="n">
        <v>0</v>
      </c>
      <c r="K998" s="51" t="n">
        <v>0</v>
      </c>
      <c r="L998" s="52" t="n">
        <v>0</v>
      </c>
      <c r="M998" s="52" t="n">
        <v>0</v>
      </c>
      <c r="N998" s="52" t="n">
        <v>0</v>
      </c>
      <c r="O998" s="53" t="n">
        <v>0</v>
      </c>
      <c r="P998" s="52" t="n">
        <v>0</v>
      </c>
      <c r="Q998" s="53" t="n">
        <v>0</v>
      </c>
      <c r="R998" s="52" t="n">
        <v>0</v>
      </c>
      <c r="S998" s="51" t="n">
        <v>0</v>
      </c>
      <c r="T998" s="48" t="n">
        <v>0</v>
      </c>
      <c r="U998" s="49" t="n">
        <v>0</v>
      </c>
      <c r="V998" s="49" t="n">
        <v>0</v>
      </c>
      <c r="W998" s="50" t="n">
        <v>0</v>
      </c>
      <c r="X998" s="51" t="n">
        <v>0</v>
      </c>
      <c r="Y998" s="52" t="n">
        <v>0</v>
      </c>
      <c r="Z998" s="52" t="n">
        <v>0</v>
      </c>
      <c r="AA998" s="52" t="n">
        <v>0</v>
      </c>
      <c r="AB998" s="53" t="n">
        <v>0</v>
      </c>
      <c r="AC998" s="52" t="n">
        <v>0</v>
      </c>
      <c r="AD998" s="53" t="n">
        <v>0</v>
      </c>
      <c r="AE998" s="52" t="n">
        <v>0</v>
      </c>
      <c r="AF998" s="51" t="n">
        <v>0</v>
      </c>
      <c r="AG998" s="48" t="n">
        <v>0</v>
      </c>
      <c r="AH998" s="49" t="n">
        <v>0</v>
      </c>
      <c r="AI998" s="49" t="n">
        <v>0</v>
      </c>
      <c r="AJ998" s="50" t="n">
        <v>0</v>
      </c>
      <c r="AK998" s="51" t="n">
        <v>0</v>
      </c>
      <c r="AL998" s="52" t="n">
        <v>0</v>
      </c>
      <c r="AM998" s="52" t="n">
        <v>0</v>
      </c>
      <c r="AN998" s="52" t="n">
        <v>0</v>
      </c>
      <c r="AO998" s="53" t="n">
        <v>0</v>
      </c>
      <c r="AP998" s="52" t="n">
        <v>0</v>
      </c>
      <c r="AQ998" s="53" t="n">
        <v>0</v>
      </c>
      <c r="AR998" s="52" t="n">
        <v>0</v>
      </c>
      <c r="AS998" s="51" t="n">
        <v>0</v>
      </c>
      <c r="AT998" s="48" t="n">
        <v>0</v>
      </c>
      <c r="AU998" s="49" t="n">
        <v>0</v>
      </c>
      <c r="AV998" s="49" t="n">
        <v>0</v>
      </c>
      <c r="AW998" s="50" t="n">
        <v>0</v>
      </c>
      <c r="AX998" s="51" t="n">
        <v>0</v>
      </c>
      <c r="AY998" s="52" t="n">
        <v>0</v>
      </c>
      <c r="AZ998" s="52" t="n">
        <v>0</v>
      </c>
      <c r="BA998" s="52" t="n">
        <v>0</v>
      </c>
      <c r="BB998" s="53" t="n">
        <v>0</v>
      </c>
      <c r="BC998" s="52" t="n">
        <v>0</v>
      </c>
      <c r="BD998" s="53" t="n">
        <v>0</v>
      </c>
      <c r="BE998" s="52" t="n">
        <v>0</v>
      </c>
      <c r="BF998" s="51" t="n">
        <v>0</v>
      </c>
    </row>
    <row r="999">
      <c r="A999">
        <f>HYPERLINK("https://www.walmart.com/ip/9528713025", "9528713025")</f>
        <v/>
      </c>
      <c r="B999" t="inlineStr">
        <is>
          <t>Wrangler Yellowstone Sturdy Laptop Backpack for Travel, Hiking Backpack with Classic Logo, Water Resistant Casual Daypack, Padded Sleeve College Backpack for Notebook, New Retro</t>
        </is>
      </c>
      <c r="C999" t="inlineStr">
        <is>
          <t>WR-BACKPACK-16273-NEWRETRO</t>
        </is>
      </c>
      <c r="D999" t="inlineStr">
        <is>
          <t>Backpacks</t>
        </is>
      </c>
      <c r="E999" t="inlineStr">
        <is>
          <t>Wrangler</t>
        </is>
      </c>
      <c r="F999" t="inlineStr">
        <is>
          <t>Backpack</t>
        </is>
      </c>
      <c r="G999" s="48" t="n">
        <v>0</v>
      </c>
      <c r="H999" s="49" t="n">
        <v>0</v>
      </c>
      <c r="I999" s="49" t="n">
        <v>0</v>
      </c>
      <c r="J999" s="50" t="n">
        <v>0</v>
      </c>
      <c r="K999" s="51" t="n">
        <v>0</v>
      </c>
      <c r="L999" s="52" t="n">
        <v>0</v>
      </c>
      <c r="M999" s="52" t="n">
        <v>0</v>
      </c>
      <c r="N999" s="52" t="n">
        <v>0</v>
      </c>
      <c r="O999" s="53" t="n">
        <v>0</v>
      </c>
      <c r="P999" s="52" t="n">
        <v>0</v>
      </c>
      <c r="Q999" s="53" t="n">
        <v>0</v>
      </c>
      <c r="R999" s="52" t="n">
        <v>0</v>
      </c>
      <c r="S999" s="51" t="n">
        <v>0</v>
      </c>
      <c r="T999" s="48" t="n">
        <v>0</v>
      </c>
      <c r="U999" s="49" t="n">
        <v>0</v>
      </c>
      <c r="V999" s="49" t="n">
        <v>0</v>
      </c>
      <c r="W999" s="50" t="n">
        <v>0</v>
      </c>
      <c r="X999" s="51" t="n">
        <v>0</v>
      </c>
      <c r="Y999" s="52" t="n">
        <v>0</v>
      </c>
      <c r="Z999" s="52" t="n">
        <v>0</v>
      </c>
      <c r="AA999" s="52" t="n">
        <v>0</v>
      </c>
      <c r="AB999" s="53" t="n">
        <v>0</v>
      </c>
      <c r="AC999" s="52" t="n">
        <v>0</v>
      </c>
      <c r="AD999" s="53" t="n">
        <v>0</v>
      </c>
      <c r="AE999" s="52" t="n">
        <v>0</v>
      </c>
      <c r="AF999" s="51" t="n">
        <v>0</v>
      </c>
      <c r="AG999" s="48" t="n">
        <v>0</v>
      </c>
      <c r="AH999" s="49" t="n">
        <v>0</v>
      </c>
      <c r="AI999" s="49" t="n">
        <v>0</v>
      </c>
      <c r="AJ999" s="50" t="n">
        <v>0</v>
      </c>
      <c r="AK999" s="51" t="n">
        <v>0</v>
      </c>
      <c r="AL999" s="52" t="n">
        <v>0</v>
      </c>
      <c r="AM999" s="52" t="n">
        <v>0</v>
      </c>
      <c r="AN999" s="52" t="n">
        <v>0</v>
      </c>
      <c r="AO999" s="53" t="n">
        <v>0</v>
      </c>
      <c r="AP999" s="52" t="n">
        <v>0</v>
      </c>
      <c r="AQ999" s="53" t="n">
        <v>0</v>
      </c>
      <c r="AR999" s="52" t="n">
        <v>0</v>
      </c>
      <c r="AS999" s="51" t="n">
        <v>0</v>
      </c>
      <c r="AT999" s="48" t="n">
        <v>0</v>
      </c>
      <c r="AU999" s="49" t="n">
        <v>0</v>
      </c>
      <c r="AV999" s="49" t="n">
        <v>0</v>
      </c>
      <c r="AW999" s="50" t="n">
        <v>0</v>
      </c>
      <c r="AX999" s="51" t="n">
        <v>0</v>
      </c>
      <c r="AY999" s="52" t="n">
        <v>0</v>
      </c>
      <c r="AZ999" s="52" t="n">
        <v>0</v>
      </c>
      <c r="BA999" s="52" t="n">
        <v>0</v>
      </c>
      <c r="BB999" s="53" t="n">
        <v>0</v>
      </c>
      <c r="BC999" s="52" t="n">
        <v>0</v>
      </c>
      <c r="BD999" s="53" t="n">
        <v>0</v>
      </c>
      <c r="BE999" s="52" t="n">
        <v>0</v>
      </c>
      <c r="BF999" s="51" t="n">
        <v>0</v>
      </c>
    </row>
    <row r="1000">
      <c r="A1000">
        <f>HYPERLINK("https://www.walmart.com/ip/9528713040", "9528713040")</f>
        <v/>
      </c>
      <c r="B1000" t="inlineStr">
        <is>
          <t>Wrangler Clear Water Resistant Backpack for Girls - Durable Plastic See Thru Bag for Casual Use, Stadiums, Concerts, School (Clear Tan)</t>
        </is>
      </c>
      <c r="C1000" t="inlineStr">
        <is>
          <t>WR-BACKPACK-92958-TAN</t>
        </is>
      </c>
      <c r="D1000" t="inlineStr">
        <is>
          <t>Backpacks</t>
        </is>
      </c>
      <c r="E1000" t="inlineStr">
        <is>
          <t>Wrangler</t>
        </is>
      </c>
      <c r="F1000" t="inlineStr">
        <is>
          <t>Backpack</t>
        </is>
      </c>
      <c r="G1000" s="48" t="n">
        <v>0</v>
      </c>
      <c r="H1000" s="49" t="n">
        <v>0</v>
      </c>
      <c r="I1000" s="49" t="n">
        <v>0</v>
      </c>
      <c r="J1000" s="50" t="n">
        <v>0</v>
      </c>
      <c r="K1000" s="51" t="n">
        <v>0</v>
      </c>
      <c r="L1000" s="52" t="n">
        <v>0</v>
      </c>
      <c r="M1000" s="52" t="n">
        <v>0</v>
      </c>
      <c r="N1000" s="52" t="n">
        <v>0</v>
      </c>
      <c r="O1000" s="53" t="n">
        <v>0</v>
      </c>
      <c r="P1000" s="52" t="n">
        <v>0</v>
      </c>
      <c r="Q1000" s="53" t="n">
        <v>0</v>
      </c>
      <c r="R1000" s="52" t="n">
        <v>0</v>
      </c>
      <c r="S1000" s="51" t="n">
        <v>0</v>
      </c>
      <c r="T1000" s="48" t="n">
        <v>0</v>
      </c>
      <c r="U1000" s="49" t="n">
        <v>0</v>
      </c>
      <c r="V1000" s="49" t="n">
        <v>0</v>
      </c>
      <c r="W1000" s="50" t="n">
        <v>0</v>
      </c>
      <c r="X1000" s="51" t="n">
        <v>0</v>
      </c>
      <c r="Y1000" s="52" t="n">
        <v>0</v>
      </c>
      <c r="Z1000" s="52" t="n">
        <v>0</v>
      </c>
      <c r="AA1000" s="52" t="n">
        <v>0</v>
      </c>
      <c r="AB1000" s="53" t="n">
        <v>0</v>
      </c>
      <c r="AC1000" s="52" t="n">
        <v>0</v>
      </c>
      <c r="AD1000" s="53" t="n">
        <v>0</v>
      </c>
      <c r="AE1000" s="52" t="n">
        <v>0</v>
      </c>
      <c r="AF1000" s="51" t="n">
        <v>0</v>
      </c>
      <c r="AG1000" s="48" t="n">
        <v>0</v>
      </c>
      <c r="AH1000" s="49" t="n">
        <v>0</v>
      </c>
      <c r="AI1000" s="49" t="n">
        <v>0</v>
      </c>
      <c r="AJ1000" s="50" t="n">
        <v>0</v>
      </c>
      <c r="AK1000" s="51" t="n">
        <v>0</v>
      </c>
      <c r="AL1000" s="52" t="n">
        <v>0</v>
      </c>
      <c r="AM1000" s="52" t="n">
        <v>0</v>
      </c>
      <c r="AN1000" s="52" t="n">
        <v>0</v>
      </c>
      <c r="AO1000" s="53" t="n">
        <v>0</v>
      </c>
      <c r="AP1000" s="52" t="n">
        <v>0</v>
      </c>
      <c r="AQ1000" s="53" t="n">
        <v>0</v>
      </c>
      <c r="AR1000" s="52" t="n">
        <v>0</v>
      </c>
      <c r="AS1000" s="51" t="n">
        <v>0</v>
      </c>
      <c r="AT1000" s="48" t="n">
        <v>0</v>
      </c>
      <c r="AU1000" s="49" t="n">
        <v>0</v>
      </c>
      <c r="AV1000" s="49" t="n">
        <v>0</v>
      </c>
      <c r="AW1000" s="50" t="n">
        <v>0</v>
      </c>
      <c r="AX1000" s="51" t="n">
        <v>0</v>
      </c>
      <c r="AY1000" s="52" t="n">
        <v>0</v>
      </c>
      <c r="AZ1000" s="52" t="n">
        <v>0</v>
      </c>
      <c r="BA1000" s="52" t="n">
        <v>0</v>
      </c>
      <c r="BB1000" s="53" t="n">
        <v>0</v>
      </c>
      <c r="BC1000" s="52" t="n">
        <v>0</v>
      </c>
      <c r="BD1000" s="53" t="n">
        <v>0</v>
      </c>
      <c r="BE1000" s="52" t="n">
        <v>0</v>
      </c>
      <c r="BF1000" s="51" t="n">
        <v>0</v>
      </c>
    </row>
    <row r="1001">
      <c r="A1001">
        <f>HYPERLINK("https://www.walmart.com/ip/831530911", "831530911")</f>
        <v/>
      </c>
      <c r="B1001" t="inlineStr">
        <is>
          <t>Catalonia Wearable Fleece Blanket with Sleeves and Foot Pockets for Adult Women Men, Micro Plush Comfy Wrap Sleeved Throw Blanket Robe Large, Navy</t>
        </is>
      </c>
      <c r="C1001" t="inlineStr">
        <is>
          <t>1CTSN101NY</t>
        </is>
      </c>
      <c r="D1001" t="inlineStr">
        <is>
          <t>Throws</t>
        </is>
      </c>
      <c r="E1001" t="inlineStr">
        <is>
          <t>Catalonia</t>
        </is>
      </c>
      <c r="F1001" t="inlineStr">
        <is>
          <t>Q2-Target,WFS,WFS Item</t>
        </is>
      </c>
      <c r="G1001" s="48" t="n">
        <v>0</v>
      </c>
      <c r="H1001" s="49" t="n">
        <v>0</v>
      </c>
      <c r="I1001" s="49" t="n">
        <v>0</v>
      </c>
      <c r="J1001" s="50" t="n">
        <v>0</v>
      </c>
      <c r="K1001" s="51" t="n">
        <v>7</v>
      </c>
      <c r="L1001" s="52" t="n">
        <v>2.84</v>
      </c>
      <c r="M1001" s="52" t="n">
        <v>0</v>
      </c>
      <c r="N1001" s="52" t="n">
        <v>0</v>
      </c>
      <c r="O1001" s="53" t="n">
        <v>0.0031</v>
      </c>
      <c r="P1001" s="52" t="n">
        <v>0.4057142857142857</v>
      </c>
      <c r="Q1001" s="53" t="n">
        <v>0</v>
      </c>
      <c r="R1001" s="52" t="n">
        <v>0</v>
      </c>
      <c r="S1001" s="51" t="n">
        <v>2289</v>
      </c>
      <c r="T1001" s="48" t="n">
        <v>0</v>
      </c>
      <c r="U1001" s="49" t="n">
        <v>0</v>
      </c>
      <c r="V1001" s="49" t="n">
        <v>0</v>
      </c>
      <c r="W1001" s="50" t="n">
        <v>0</v>
      </c>
      <c r="X1001" s="51" t="n">
        <v>3</v>
      </c>
      <c r="Y1001" s="52" t="n">
        <v>0.66</v>
      </c>
      <c r="Z1001" s="52" t="n">
        <v>0</v>
      </c>
      <c r="AA1001" s="52" t="n">
        <v>0</v>
      </c>
      <c r="AB1001" s="53" t="n">
        <v>0.0015</v>
      </c>
      <c r="AC1001" s="52" t="n">
        <v>0.22</v>
      </c>
      <c r="AD1001" s="53" t="n">
        <v>0</v>
      </c>
      <c r="AE1001" s="52" t="n">
        <v>0</v>
      </c>
      <c r="AF1001" s="51" t="n">
        <v>2059</v>
      </c>
      <c r="AG1001" s="48" t="n">
        <v>0</v>
      </c>
      <c r="AH1001" s="49" t="n">
        <v>0</v>
      </c>
      <c r="AI1001" s="49" t="n">
        <v>0</v>
      </c>
      <c r="AJ1001" s="50" t="n">
        <v>0</v>
      </c>
      <c r="AK1001" s="51" t="n">
        <v>3</v>
      </c>
      <c r="AL1001" s="52" t="n">
        <v>1.08</v>
      </c>
      <c r="AM1001" s="52" t="n">
        <v>0</v>
      </c>
      <c r="AN1001" s="52" t="n">
        <v>0</v>
      </c>
      <c r="AO1001" s="53" t="n">
        <v>0.0028</v>
      </c>
      <c r="AP1001" s="52" t="n">
        <v>0.36</v>
      </c>
      <c r="AQ1001" s="53" t="n">
        <v>0</v>
      </c>
      <c r="AR1001" s="52" t="n">
        <v>0</v>
      </c>
      <c r="AS1001" s="51" t="n">
        <v>1067</v>
      </c>
      <c r="AT1001" s="48" t="n">
        <v>0</v>
      </c>
      <c r="AU1001" s="49" t="n">
        <v>0</v>
      </c>
      <c r="AV1001" s="49" t="n">
        <v>0</v>
      </c>
      <c r="AW1001" s="50" t="n">
        <v>0</v>
      </c>
      <c r="AX1001" s="51" t="n">
        <v>0</v>
      </c>
      <c r="AY1001" s="52" t="n">
        <v>0</v>
      </c>
      <c r="AZ1001" s="52" t="n">
        <v>0</v>
      </c>
      <c r="BA1001" s="52" t="n">
        <v>0</v>
      </c>
      <c r="BB1001" s="53" t="n">
        <v>0</v>
      </c>
      <c r="BC1001" s="52" t="n">
        <v>0</v>
      </c>
      <c r="BD1001" s="53" t="n">
        <v>0</v>
      </c>
      <c r="BE1001" s="52" t="n">
        <v>0</v>
      </c>
      <c r="BF1001" s="51" t="n">
        <v>806</v>
      </c>
    </row>
    <row r="1002">
      <c r="A1002">
        <f>HYPERLINK("https://www.walmart.com/ip/830377534", "830377534")</f>
        <v/>
      </c>
      <c r="B1002" t="inlineStr">
        <is>
          <t>Flyingstar Sherpa Throws Blanket, Fleece Soft Cozy Blanket Throws for Sofa Bed 50"x60"</t>
        </is>
      </c>
      <c r="C1002" t="inlineStr">
        <is>
          <t>1WMBF573RDDENTE</t>
        </is>
      </c>
      <c r="D1002" t="inlineStr">
        <is>
          <t>Throws</t>
        </is>
      </c>
      <c r="E1002" t="inlineStr">
        <is>
          <t>Flyingstar</t>
        </is>
      </c>
      <c r="F1002" t="inlineStr">
        <is>
          <t>Optimized</t>
        </is>
      </c>
      <c r="G1002" s="48" t="n">
        <v>0</v>
      </c>
      <c r="H1002" s="49" t="n">
        <v>0</v>
      </c>
      <c r="I1002" s="49" t="n">
        <v>0</v>
      </c>
      <c r="J1002" s="50" t="n">
        <v>0</v>
      </c>
      <c r="K1002" s="51" t="n">
        <v>0</v>
      </c>
      <c r="L1002" s="52" t="n">
        <v>0</v>
      </c>
      <c r="M1002" s="52" t="n">
        <v>0</v>
      </c>
      <c r="N1002" s="52" t="n">
        <v>0</v>
      </c>
      <c r="O1002" s="53" t="n">
        <v>0</v>
      </c>
      <c r="P1002" s="52" t="n">
        <v>0</v>
      </c>
      <c r="Q1002" s="53" t="n">
        <v>0</v>
      </c>
      <c r="R1002" s="52" t="n">
        <v>0</v>
      </c>
      <c r="S1002" s="51" t="n">
        <v>0</v>
      </c>
      <c r="T1002" s="48" t="n">
        <v>0</v>
      </c>
      <c r="U1002" s="49" t="n">
        <v>0</v>
      </c>
      <c r="V1002" s="49" t="n">
        <v>0</v>
      </c>
      <c r="W1002" s="50" t="n">
        <v>0</v>
      </c>
      <c r="X1002" s="51" t="n">
        <v>0</v>
      </c>
      <c r="Y1002" s="52" t="n">
        <v>0</v>
      </c>
      <c r="Z1002" s="52" t="n">
        <v>0</v>
      </c>
      <c r="AA1002" s="52" t="n">
        <v>0</v>
      </c>
      <c r="AB1002" s="53" t="n">
        <v>0</v>
      </c>
      <c r="AC1002" s="52" t="n">
        <v>0</v>
      </c>
      <c r="AD1002" s="53" t="n">
        <v>0</v>
      </c>
      <c r="AE1002" s="52" t="n">
        <v>0</v>
      </c>
      <c r="AF1002" s="51" t="n">
        <v>0</v>
      </c>
      <c r="AG1002" s="48" t="n">
        <v>0</v>
      </c>
      <c r="AH1002" s="49" t="n">
        <v>0</v>
      </c>
      <c r="AI1002" s="49" t="n">
        <v>0</v>
      </c>
      <c r="AJ1002" s="50" t="n">
        <v>0</v>
      </c>
      <c r="AK1002" s="51" t="n">
        <v>0</v>
      </c>
      <c r="AL1002" s="52" t="n">
        <v>0</v>
      </c>
      <c r="AM1002" s="52" t="n">
        <v>0</v>
      </c>
      <c r="AN1002" s="52" t="n">
        <v>0</v>
      </c>
      <c r="AO1002" s="53" t="n">
        <v>0</v>
      </c>
      <c r="AP1002" s="52" t="n">
        <v>0</v>
      </c>
      <c r="AQ1002" s="53" t="n">
        <v>0</v>
      </c>
      <c r="AR1002" s="52" t="n">
        <v>0</v>
      </c>
      <c r="AS1002" s="51" t="n">
        <v>0</v>
      </c>
      <c r="AT1002" s="48" t="n">
        <v>0</v>
      </c>
      <c r="AU1002" s="49" t="n">
        <v>0</v>
      </c>
      <c r="AV1002" s="49" t="n">
        <v>0</v>
      </c>
      <c r="AW1002" s="50" t="n">
        <v>0</v>
      </c>
      <c r="AX1002" s="51" t="n">
        <v>0</v>
      </c>
      <c r="AY1002" s="52" t="n">
        <v>0</v>
      </c>
      <c r="AZ1002" s="52" t="n">
        <v>0</v>
      </c>
      <c r="BA1002" s="52" t="n">
        <v>0</v>
      </c>
      <c r="BB1002" s="53" t="n">
        <v>0</v>
      </c>
      <c r="BC1002" s="52" t="n">
        <v>0</v>
      </c>
      <c r="BD1002" s="53" t="n">
        <v>0</v>
      </c>
      <c r="BE1002" s="52" t="n">
        <v>0</v>
      </c>
      <c r="BF1002" s="51" t="n">
        <v>0</v>
      </c>
    </row>
    <row r="1003">
      <c r="A1003">
        <f>HYPERLINK("https://www.walmart.com/ip/630377346", "630377346")</f>
        <v/>
      </c>
      <c r="B1003" t="inlineStr">
        <is>
          <t>Sun Blocker Outdoor Sun Protection Fishing Cap with Neck Flap, Wide Brim Sun Hat for Travel Camping Hiking Hunting Boating Safari Cap with Adjustable Drawstring, Blue</t>
        </is>
      </c>
      <c r="C1003" t="inlineStr">
        <is>
          <t>KC-S9150-BL</t>
        </is>
      </c>
      <c r="D1003" t="inlineStr">
        <is>
          <t>Hats</t>
        </is>
      </c>
      <c r="E1003" t="inlineStr">
        <is>
          <t>Sun Blocker</t>
        </is>
      </c>
      <c r="F1003" t="inlineStr">
        <is>
          <t>Hats,Batch 1 - TR</t>
        </is>
      </c>
      <c r="G1003" s="48" t="n">
        <v>0</v>
      </c>
      <c r="H1003" s="49" t="n">
        <v>0</v>
      </c>
      <c r="I1003" s="49" t="n">
        <v>0</v>
      </c>
      <c r="J1003" s="50" t="n">
        <v>0</v>
      </c>
      <c r="K1003" s="51" t="n">
        <v>0</v>
      </c>
      <c r="L1003" s="52" t="n">
        <v>0</v>
      </c>
      <c r="M1003" s="52" t="n">
        <v>0</v>
      </c>
      <c r="N1003" s="52" t="n">
        <v>0</v>
      </c>
      <c r="O1003" s="53" t="n">
        <v>0</v>
      </c>
      <c r="P1003" s="52" t="n">
        <v>0</v>
      </c>
      <c r="Q1003" s="53" t="n">
        <v>0</v>
      </c>
      <c r="R1003" s="52" t="n">
        <v>0</v>
      </c>
      <c r="S1003" s="51" t="n">
        <v>0</v>
      </c>
      <c r="T1003" s="48" t="n">
        <v>0</v>
      </c>
      <c r="U1003" s="49" t="n">
        <v>0</v>
      </c>
      <c r="V1003" s="49" t="n">
        <v>0</v>
      </c>
      <c r="W1003" s="50" t="n">
        <v>0</v>
      </c>
      <c r="X1003" s="51" t="n">
        <v>0</v>
      </c>
      <c r="Y1003" s="52" t="n">
        <v>0</v>
      </c>
      <c r="Z1003" s="52" t="n">
        <v>0</v>
      </c>
      <c r="AA1003" s="52" t="n">
        <v>0</v>
      </c>
      <c r="AB1003" s="53" t="n">
        <v>0</v>
      </c>
      <c r="AC1003" s="52" t="n">
        <v>0</v>
      </c>
      <c r="AD1003" s="53" t="n">
        <v>0</v>
      </c>
      <c r="AE1003" s="52" t="n">
        <v>0</v>
      </c>
      <c r="AF1003" s="51" t="n">
        <v>0</v>
      </c>
      <c r="AG1003" s="48" t="n">
        <v>0</v>
      </c>
      <c r="AH1003" s="49" t="n">
        <v>0</v>
      </c>
      <c r="AI1003" s="49" t="n">
        <v>0</v>
      </c>
      <c r="AJ1003" s="50" t="n">
        <v>0</v>
      </c>
      <c r="AK1003" s="51" t="n">
        <v>0</v>
      </c>
      <c r="AL1003" s="52" t="n">
        <v>0</v>
      </c>
      <c r="AM1003" s="52" t="n">
        <v>0</v>
      </c>
      <c r="AN1003" s="52" t="n">
        <v>0</v>
      </c>
      <c r="AO1003" s="53" t="n">
        <v>0</v>
      </c>
      <c r="AP1003" s="52" t="n">
        <v>0</v>
      </c>
      <c r="AQ1003" s="53" t="n">
        <v>0</v>
      </c>
      <c r="AR1003" s="52" t="n">
        <v>0</v>
      </c>
      <c r="AS1003" s="51" t="n">
        <v>0</v>
      </c>
      <c r="AT1003" s="48" t="n">
        <v>0</v>
      </c>
      <c r="AU1003" s="49" t="n">
        <v>0</v>
      </c>
      <c r="AV1003" s="49" t="n">
        <v>0</v>
      </c>
      <c r="AW1003" s="50" t="n">
        <v>0</v>
      </c>
      <c r="AX1003" s="51" t="n">
        <v>0</v>
      </c>
      <c r="AY1003" s="52" t="n">
        <v>0</v>
      </c>
      <c r="AZ1003" s="52" t="n">
        <v>0</v>
      </c>
      <c r="BA1003" s="52" t="n">
        <v>0</v>
      </c>
      <c r="BB1003" s="53" t="n">
        <v>0</v>
      </c>
      <c r="BC1003" s="52" t="n">
        <v>0</v>
      </c>
      <c r="BD1003" s="53" t="n">
        <v>0</v>
      </c>
      <c r="BE1003" s="52" t="n">
        <v>0</v>
      </c>
      <c r="BF1003" s="51" t="n">
        <v>0</v>
      </c>
    </row>
    <row r="1004">
      <c r="A1004">
        <f>HYPERLINK("https://www.walmart.com/ip/703523074", "703523074")</f>
        <v/>
      </c>
      <c r="B1004" t="inlineStr">
        <is>
          <t>Large Insulated Lunch Bag for Women Men, 10L Leakproof Thermal Reusable Lunch Box for Adult, Kids, Student, Tall Meal Prep Lunch Cooler Tote with 4 Pockets for Office Work, Back to School</t>
        </is>
      </c>
      <c r="C1004" t="inlineStr">
        <is>
          <t>1TRLB702RD-T</t>
        </is>
      </c>
      <c r="D1004" t="inlineStr">
        <is>
          <t>Reusable Lunch Bags &amp; Boxes</t>
        </is>
      </c>
      <c r="E1004" t="inlineStr">
        <is>
          <t>Tirrinia</t>
        </is>
      </c>
      <c r="F1004" t="inlineStr">
        <is>
          <t>Q2-Target,Brand Camp VD,Lunch Bag</t>
        </is>
      </c>
      <c r="G1004" s="48" t="n">
        <v>0</v>
      </c>
      <c r="H1004" s="49" t="n">
        <v>0</v>
      </c>
      <c r="I1004" s="49" t="n">
        <v>0</v>
      </c>
      <c r="J1004" s="50" t="n">
        <v>0</v>
      </c>
      <c r="K1004" s="51" t="n">
        <v>0</v>
      </c>
      <c r="L1004" s="52" t="n">
        <v>0</v>
      </c>
      <c r="M1004" s="52" t="n">
        <v>0</v>
      </c>
      <c r="N1004" s="52" t="n">
        <v>0</v>
      </c>
      <c r="O1004" s="53" t="n">
        <v>0</v>
      </c>
      <c r="P1004" s="52" t="n">
        <v>0</v>
      </c>
      <c r="Q1004" s="53" t="n">
        <v>0</v>
      </c>
      <c r="R1004" s="52" t="n">
        <v>0</v>
      </c>
      <c r="S1004" s="51" t="n">
        <v>0</v>
      </c>
      <c r="T1004" s="48" t="n">
        <v>0</v>
      </c>
      <c r="U1004" s="49" t="n">
        <v>0</v>
      </c>
      <c r="V1004" s="49" t="n">
        <v>0</v>
      </c>
      <c r="W1004" s="50" t="n">
        <v>0</v>
      </c>
      <c r="X1004" s="51" t="n">
        <v>0</v>
      </c>
      <c r="Y1004" s="52" t="n">
        <v>0</v>
      </c>
      <c r="Z1004" s="52" t="n">
        <v>0</v>
      </c>
      <c r="AA1004" s="52" t="n">
        <v>0</v>
      </c>
      <c r="AB1004" s="53" t="n">
        <v>0</v>
      </c>
      <c r="AC1004" s="52" t="n">
        <v>0</v>
      </c>
      <c r="AD1004" s="53" t="n">
        <v>0</v>
      </c>
      <c r="AE1004" s="52" t="n">
        <v>0</v>
      </c>
      <c r="AF1004" s="51" t="n">
        <v>0</v>
      </c>
      <c r="AG1004" s="48" t="n">
        <v>0</v>
      </c>
      <c r="AH1004" s="49" t="n">
        <v>0</v>
      </c>
      <c r="AI1004" s="49" t="n">
        <v>0</v>
      </c>
      <c r="AJ1004" s="50" t="n">
        <v>0</v>
      </c>
      <c r="AK1004" s="51" t="n">
        <v>0</v>
      </c>
      <c r="AL1004" s="52" t="n">
        <v>0</v>
      </c>
      <c r="AM1004" s="52" t="n">
        <v>0</v>
      </c>
      <c r="AN1004" s="52" t="n">
        <v>0</v>
      </c>
      <c r="AO1004" s="53" t="n">
        <v>0</v>
      </c>
      <c r="AP1004" s="52" t="n">
        <v>0</v>
      </c>
      <c r="AQ1004" s="53" t="n">
        <v>0</v>
      </c>
      <c r="AR1004" s="52" t="n">
        <v>0</v>
      </c>
      <c r="AS1004" s="51" t="n">
        <v>0</v>
      </c>
      <c r="AT1004" s="48" t="n">
        <v>0</v>
      </c>
      <c r="AU1004" s="49" t="n">
        <v>0</v>
      </c>
      <c r="AV1004" s="49" t="n">
        <v>0</v>
      </c>
      <c r="AW1004" s="50" t="n">
        <v>0</v>
      </c>
      <c r="AX1004" s="51" t="n">
        <v>0</v>
      </c>
      <c r="AY1004" s="52" t="n">
        <v>0</v>
      </c>
      <c r="AZ1004" s="52" t="n">
        <v>0</v>
      </c>
      <c r="BA1004" s="52" t="n">
        <v>0</v>
      </c>
      <c r="BB1004" s="53" t="n">
        <v>0</v>
      </c>
      <c r="BC1004" s="52" t="n">
        <v>0</v>
      </c>
      <c r="BD1004" s="53" t="n">
        <v>0</v>
      </c>
      <c r="BE1004" s="52" t="n">
        <v>0</v>
      </c>
      <c r="BF1004" s="51" t="n">
        <v>0</v>
      </c>
    </row>
    <row r="1005">
      <c r="A1005">
        <f>HYPERLINK("https://www.walmart.com/ip/705115717", "705115717")</f>
        <v/>
      </c>
      <c r="B1005" t="inlineStr">
        <is>
          <t>Tirrinia Insulated Lunch Bag, Leakproof Thermal Bento Cooler Tote for Women and Men, Dual Compartment with Shoulder Strap, 10.2" x 7.5" x 9", Light Gray</t>
        </is>
      </c>
      <c r="C1005" t="inlineStr">
        <is>
          <t>1TRLB601LG</t>
        </is>
      </c>
      <c r="D1005" t="inlineStr">
        <is>
          <t>Reusable Lunch Bags &amp; Boxes</t>
        </is>
      </c>
      <c r="E1005" t="inlineStr">
        <is>
          <t>Tirrinia</t>
        </is>
      </c>
      <c r="F1005" t="inlineStr">
        <is>
          <t>Q2-Target,Lunch Bag,WFS,Lunch Bags,SEM,WFS Item</t>
        </is>
      </c>
      <c r="G1005" s="48" t="n">
        <v>0</v>
      </c>
      <c r="H1005" s="49" t="n">
        <v>0</v>
      </c>
      <c r="I1005" s="49" t="n">
        <v>1</v>
      </c>
      <c r="J1005" s="50" t="n">
        <v>0</v>
      </c>
      <c r="K1005" s="51" t="n">
        <v>0</v>
      </c>
      <c r="L1005" s="52" t="n">
        <v>0</v>
      </c>
      <c r="M1005" s="52" t="n">
        <v>0</v>
      </c>
      <c r="N1005" s="52" t="n">
        <v>0</v>
      </c>
      <c r="O1005" s="53" t="n">
        <v>0</v>
      </c>
      <c r="P1005" s="52" t="n">
        <v>0</v>
      </c>
      <c r="Q1005" s="53" t="n">
        <v>0</v>
      </c>
      <c r="R1005" s="52" t="n">
        <v>0</v>
      </c>
      <c r="S1005" s="51" t="n">
        <v>0</v>
      </c>
      <c r="T1005" s="48" t="n">
        <v>0</v>
      </c>
      <c r="U1005" s="49" t="n">
        <v>0</v>
      </c>
      <c r="V1005" s="49" t="n">
        <v>2</v>
      </c>
      <c r="W1005" s="50" t="n">
        <v>0</v>
      </c>
      <c r="X1005" s="51" t="n">
        <v>0</v>
      </c>
      <c r="Y1005" s="52" t="n">
        <v>0</v>
      </c>
      <c r="Z1005" s="52" t="n">
        <v>0</v>
      </c>
      <c r="AA1005" s="52" t="n">
        <v>0</v>
      </c>
      <c r="AB1005" s="53" t="n">
        <v>0</v>
      </c>
      <c r="AC1005" s="52" t="n">
        <v>0</v>
      </c>
      <c r="AD1005" s="53" t="n">
        <v>0</v>
      </c>
      <c r="AE1005" s="52" t="n">
        <v>0</v>
      </c>
      <c r="AF1005" s="51" t="n">
        <v>0</v>
      </c>
      <c r="AG1005" s="48" t="n">
        <v>0</v>
      </c>
      <c r="AH1005" s="49" t="n">
        <v>0</v>
      </c>
      <c r="AI1005" s="49" t="n">
        <v>2</v>
      </c>
      <c r="AJ1005" s="50" t="n">
        <v>0</v>
      </c>
      <c r="AK1005" s="51" t="n">
        <v>0</v>
      </c>
      <c r="AL1005" s="52" t="n">
        <v>0</v>
      </c>
      <c r="AM1005" s="52" t="n">
        <v>0</v>
      </c>
      <c r="AN1005" s="52" t="n">
        <v>0</v>
      </c>
      <c r="AO1005" s="53" t="n">
        <v>0</v>
      </c>
      <c r="AP1005" s="52" t="n">
        <v>0</v>
      </c>
      <c r="AQ1005" s="53" t="n">
        <v>0</v>
      </c>
      <c r="AR1005" s="52" t="n">
        <v>0</v>
      </c>
      <c r="AS1005" s="51" t="n">
        <v>0</v>
      </c>
      <c r="AT1005" s="48" t="n">
        <v>0</v>
      </c>
      <c r="AU1005" s="49" t="n">
        <v>0</v>
      </c>
      <c r="AV1005" s="49" t="n">
        <v>1</v>
      </c>
      <c r="AW1005" s="50" t="n">
        <v>0</v>
      </c>
      <c r="AX1005" s="51" t="n">
        <v>0</v>
      </c>
      <c r="AY1005" s="52" t="n">
        <v>0</v>
      </c>
      <c r="AZ1005" s="52" t="n">
        <v>0</v>
      </c>
      <c r="BA1005" s="52" t="n">
        <v>0</v>
      </c>
      <c r="BB1005" s="53" t="n">
        <v>0</v>
      </c>
      <c r="BC1005" s="52" t="n">
        <v>0</v>
      </c>
      <c r="BD1005" s="53" t="n">
        <v>0</v>
      </c>
      <c r="BE1005" s="52" t="n">
        <v>0</v>
      </c>
      <c r="BF1005" s="51" t="n">
        <v>0</v>
      </c>
    </row>
    <row r="1006">
      <c r="A1006">
        <f>HYPERLINK("https://www.walmart.com/ip/705345484", "705345484")</f>
        <v/>
      </c>
      <c r="B1006" t="inlineStr">
        <is>
          <t>Catalonia Microfiber Plush Blanket for Couch and Bed, Holiday Theme Sherpa Fleece Throw Christmas Gift Blanket | Super Soft, Comfy, Cozy, Fluffy, Warm | 90x90 inch, Camel</t>
        </is>
      </c>
      <c r="C1006" t="inlineStr">
        <is>
          <t>1CTBF399CA</t>
        </is>
      </c>
      <c r="D1006" t="inlineStr">
        <is>
          <t>Throws</t>
        </is>
      </c>
      <c r="E1006" t="inlineStr">
        <is>
          <t>Catalonia</t>
        </is>
      </c>
      <c r="F1006" t="inlineStr">
        <is>
          <t>Q2-Target,WFS,Coupon_Discount,WFS Item</t>
        </is>
      </c>
      <c r="G1006" s="48" t="n">
        <v>0</v>
      </c>
      <c r="H1006" s="49" t="n">
        <v>0</v>
      </c>
      <c r="I1006" s="49" t="n">
        <v>0</v>
      </c>
      <c r="J1006" s="50" t="n">
        <v>0</v>
      </c>
      <c r="K1006" s="51" t="n">
        <v>0</v>
      </c>
      <c r="L1006" s="52" t="n">
        <v>0</v>
      </c>
      <c r="M1006" s="52" t="n">
        <v>0</v>
      </c>
      <c r="N1006" s="52" t="n">
        <v>0</v>
      </c>
      <c r="O1006" s="53" t="n">
        <v>0</v>
      </c>
      <c r="P1006" s="52" t="n">
        <v>0</v>
      </c>
      <c r="Q1006" s="53" t="n">
        <v>0</v>
      </c>
      <c r="R1006" s="52" t="n">
        <v>0</v>
      </c>
      <c r="S1006" s="51" t="n">
        <v>0</v>
      </c>
      <c r="T1006" s="48" t="n">
        <v>0</v>
      </c>
      <c r="U1006" s="49" t="n">
        <v>0</v>
      </c>
      <c r="V1006" s="49" t="n">
        <v>0</v>
      </c>
      <c r="W1006" s="50" t="n">
        <v>0</v>
      </c>
      <c r="X1006" s="51" t="n">
        <v>0</v>
      </c>
      <c r="Y1006" s="52" t="n">
        <v>0</v>
      </c>
      <c r="Z1006" s="52" t="n">
        <v>0</v>
      </c>
      <c r="AA1006" s="52" t="n">
        <v>0</v>
      </c>
      <c r="AB1006" s="53" t="n">
        <v>0</v>
      </c>
      <c r="AC1006" s="52" t="n">
        <v>0</v>
      </c>
      <c r="AD1006" s="53" t="n">
        <v>0</v>
      </c>
      <c r="AE1006" s="52" t="n">
        <v>0</v>
      </c>
      <c r="AF1006" s="51" t="n">
        <v>0</v>
      </c>
      <c r="AG1006" s="48" t="n">
        <v>0</v>
      </c>
      <c r="AH1006" s="49" t="n">
        <v>0</v>
      </c>
      <c r="AI1006" s="49" t="n">
        <v>0</v>
      </c>
      <c r="AJ1006" s="50" t="n">
        <v>0</v>
      </c>
      <c r="AK1006" s="51" t="n">
        <v>0</v>
      </c>
      <c r="AL1006" s="52" t="n">
        <v>0</v>
      </c>
      <c r="AM1006" s="52" t="n">
        <v>0</v>
      </c>
      <c r="AN1006" s="52" t="n">
        <v>0</v>
      </c>
      <c r="AO1006" s="53" t="n">
        <v>0</v>
      </c>
      <c r="AP1006" s="52" t="n">
        <v>0</v>
      </c>
      <c r="AQ1006" s="53" t="n">
        <v>0</v>
      </c>
      <c r="AR1006" s="52" t="n">
        <v>0</v>
      </c>
      <c r="AS1006" s="51" t="n">
        <v>0</v>
      </c>
      <c r="AT1006" s="48" t="n">
        <v>0</v>
      </c>
      <c r="AU1006" s="49" t="n">
        <v>0</v>
      </c>
      <c r="AV1006" s="49" t="n">
        <v>0</v>
      </c>
      <c r="AW1006" s="50" t="n">
        <v>0</v>
      </c>
      <c r="AX1006" s="51" t="n">
        <v>0</v>
      </c>
      <c r="AY1006" s="52" t="n">
        <v>0</v>
      </c>
      <c r="AZ1006" s="52" t="n">
        <v>0</v>
      </c>
      <c r="BA1006" s="52" t="n">
        <v>0</v>
      </c>
      <c r="BB1006" s="53" t="n">
        <v>0</v>
      </c>
      <c r="BC1006" s="52" t="n">
        <v>0</v>
      </c>
      <c r="BD1006" s="53" t="n">
        <v>0</v>
      </c>
      <c r="BE1006" s="52" t="n">
        <v>0</v>
      </c>
      <c r="BF1006" s="51" t="n">
        <v>0</v>
      </c>
    </row>
    <row r="1007">
      <c r="A1007">
        <f>HYPERLINK("https://www.walmart.com/ip/706620053", "706620053")</f>
        <v/>
      </c>
      <c r="B1007" t="inlineStr">
        <is>
          <t>Flyingstar Blanket with Sleeves and Pocket, Wearable Throws Blanket, Robe for Women and Men 73” x 51” Blue</t>
        </is>
      </c>
      <c r="C1007" t="inlineStr">
        <is>
          <t>1WMSN100BL-ESGM</t>
        </is>
      </c>
      <c r="D1007" t="inlineStr">
        <is>
          <t>Throws</t>
        </is>
      </c>
      <c r="E1007" t="inlineStr">
        <is>
          <t>Flyingstar</t>
        </is>
      </c>
      <c r="F1007" t="inlineStr">
        <is>
          <t>Batch 1 - TR</t>
        </is>
      </c>
      <c r="G1007" s="48" t="n">
        <v>0</v>
      </c>
      <c r="H1007" s="49" t="n">
        <v>0</v>
      </c>
      <c r="I1007" s="49" t="n">
        <v>0</v>
      </c>
      <c r="J1007" s="50" t="n">
        <v>0</v>
      </c>
      <c r="K1007" s="51" t="n">
        <v>0</v>
      </c>
      <c r="L1007" s="52" t="n">
        <v>0</v>
      </c>
      <c r="M1007" s="52" t="n">
        <v>0</v>
      </c>
      <c r="N1007" s="52" t="n">
        <v>0</v>
      </c>
      <c r="O1007" s="53" t="n">
        <v>0</v>
      </c>
      <c r="P1007" s="52" t="n">
        <v>0</v>
      </c>
      <c r="Q1007" s="53" t="n">
        <v>0</v>
      </c>
      <c r="R1007" s="52" t="n">
        <v>0</v>
      </c>
      <c r="S1007" s="51" t="n">
        <v>0</v>
      </c>
      <c r="T1007" s="48" t="n">
        <v>0</v>
      </c>
      <c r="U1007" s="49" t="n">
        <v>0</v>
      </c>
      <c r="V1007" s="49" t="n">
        <v>0</v>
      </c>
      <c r="W1007" s="50" t="n">
        <v>0</v>
      </c>
      <c r="X1007" s="51" t="n">
        <v>0</v>
      </c>
      <c r="Y1007" s="52" t="n">
        <v>0</v>
      </c>
      <c r="Z1007" s="52" t="n">
        <v>0</v>
      </c>
      <c r="AA1007" s="52" t="n">
        <v>0</v>
      </c>
      <c r="AB1007" s="53" t="n">
        <v>0</v>
      </c>
      <c r="AC1007" s="52" t="n">
        <v>0</v>
      </c>
      <c r="AD1007" s="53" t="n">
        <v>0</v>
      </c>
      <c r="AE1007" s="52" t="n">
        <v>0</v>
      </c>
      <c r="AF1007" s="51" t="n">
        <v>0</v>
      </c>
      <c r="AG1007" s="48" t="n">
        <v>0</v>
      </c>
      <c r="AH1007" s="49" t="n">
        <v>0</v>
      </c>
      <c r="AI1007" s="49" t="n">
        <v>0</v>
      </c>
      <c r="AJ1007" s="50" t="n">
        <v>0</v>
      </c>
      <c r="AK1007" s="51" t="n">
        <v>0</v>
      </c>
      <c r="AL1007" s="52" t="n">
        <v>0</v>
      </c>
      <c r="AM1007" s="52" t="n">
        <v>0</v>
      </c>
      <c r="AN1007" s="52" t="n">
        <v>0</v>
      </c>
      <c r="AO1007" s="53" t="n">
        <v>0</v>
      </c>
      <c r="AP1007" s="52" t="n">
        <v>0</v>
      </c>
      <c r="AQ1007" s="53" t="n">
        <v>0</v>
      </c>
      <c r="AR1007" s="52" t="n">
        <v>0</v>
      </c>
      <c r="AS1007" s="51" t="n">
        <v>0</v>
      </c>
      <c r="AT1007" s="48" t="n">
        <v>0</v>
      </c>
      <c r="AU1007" s="49" t="n">
        <v>0</v>
      </c>
      <c r="AV1007" s="49" t="n">
        <v>0</v>
      </c>
      <c r="AW1007" s="50" t="n">
        <v>0</v>
      </c>
      <c r="AX1007" s="51" t="n">
        <v>0</v>
      </c>
      <c r="AY1007" s="52" t="n">
        <v>0</v>
      </c>
      <c r="AZ1007" s="52" t="n">
        <v>0</v>
      </c>
      <c r="BA1007" s="52" t="n">
        <v>0</v>
      </c>
      <c r="BB1007" s="53" t="n">
        <v>0</v>
      </c>
      <c r="BC1007" s="52" t="n">
        <v>0</v>
      </c>
      <c r="BD1007" s="53" t="n">
        <v>0</v>
      </c>
      <c r="BE1007" s="52" t="n">
        <v>0</v>
      </c>
      <c r="BF1007" s="51" t="n">
        <v>0</v>
      </c>
    </row>
    <row r="1008">
      <c r="A1008">
        <f>HYPERLINK("https://www.walmart.com/ip/707159676", "707159676")</f>
        <v/>
      </c>
      <c r="B1008" t="inlineStr">
        <is>
          <t>Women's Poncho Cape, Sherpa Fleece Cloak Coat, Snuggly Hooded Wearable Blanket, Gift Idea for Adults and Teen Girls</t>
        </is>
      </c>
      <c r="C1008" t="inlineStr">
        <is>
          <t>1CTBC300BK</t>
        </is>
      </c>
      <c r="D1008" t="inlineStr">
        <is>
          <t>Capes &amp; Cloaks</t>
        </is>
      </c>
      <c r="E1008" t="inlineStr">
        <is>
          <t>Catalonia</t>
        </is>
      </c>
      <c r="F1008" t="inlineStr">
        <is>
          <t>Q2-Target,WFS,WFS Item</t>
        </is>
      </c>
      <c r="G1008" s="48" t="n">
        <v>0</v>
      </c>
      <c r="H1008" s="49" t="n">
        <v>0</v>
      </c>
      <c r="I1008" s="49" t="n">
        <v>0</v>
      </c>
      <c r="J1008" s="50" t="n">
        <v>0</v>
      </c>
      <c r="K1008" s="51" t="n">
        <v>0</v>
      </c>
      <c r="L1008" s="52" t="n">
        <v>0</v>
      </c>
      <c r="M1008" s="52" t="n">
        <v>0</v>
      </c>
      <c r="N1008" s="52" t="n">
        <v>0</v>
      </c>
      <c r="O1008" s="53" t="n">
        <v>0</v>
      </c>
      <c r="P1008" s="52" t="n">
        <v>0</v>
      </c>
      <c r="Q1008" s="53" t="n">
        <v>0</v>
      </c>
      <c r="R1008" s="52" t="n">
        <v>0</v>
      </c>
      <c r="S1008" s="51" t="n">
        <v>0</v>
      </c>
      <c r="T1008" s="48" t="n">
        <v>0</v>
      </c>
      <c r="U1008" s="49" t="n">
        <v>0</v>
      </c>
      <c r="V1008" s="49" t="n">
        <v>0</v>
      </c>
      <c r="W1008" s="50" t="n">
        <v>0</v>
      </c>
      <c r="X1008" s="51" t="n">
        <v>0</v>
      </c>
      <c r="Y1008" s="52" t="n">
        <v>0</v>
      </c>
      <c r="Z1008" s="52" t="n">
        <v>0</v>
      </c>
      <c r="AA1008" s="52" t="n">
        <v>0</v>
      </c>
      <c r="AB1008" s="53" t="n">
        <v>0</v>
      </c>
      <c r="AC1008" s="52" t="n">
        <v>0</v>
      </c>
      <c r="AD1008" s="53" t="n">
        <v>0</v>
      </c>
      <c r="AE1008" s="52" t="n">
        <v>0</v>
      </c>
      <c r="AF1008" s="51" t="n">
        <v>0</v>
      </c>
      <c r="AG1008" s="48" t="n">
        <v>0</v>
      </c>
      <c r="AH1008" s="49" t="n">
        <v>0</v>
      </c>
      <c r="AI1008" s="49" t="n">
        <v>0</v>
      </c>
      <c r="AJ1008" s="50" t="n">
        <v>0</v>
      </c>
      <c r="AK1008" s="51" t="n">
        <v>0</v>
      </c>
      <c r="AL1008" s="52" t="n">
        <v>0</v>
      </c>
      <c r="AM1008" s="52" t="n">
        <v>0</v>
      </c>
      <c r="AN1008" s="52" t="n">
        <v>0</v>
      </c>
      <c r="AO1008" s="53" t="n">
        <v>0</v>
      </c>
      <c r="AP1008" s="52" t="n">
        <v>0</v>
      </c>
      <c r="AQ1008" s="53" t="n">
        <v>0</v>
      </c>
      <c r="AR1008" s="52" t="n">
        <v>0</v>
      </c>
      <c r="AS1008" s="51" t="n">
        <v>0</v>
      </c>
      <c r="AT1008" s="48" t="n">
        <v>35.99</v>
      </c>
      <c r="AU1008" s="49" t="n">
        <v>1</v>
      </c>
      <c r="AV1008" s="49" t="n">
        <v>0</v>
      </c>
      <c r="AW1008" s="50" t="n">
        <v>0</v>
      </c>
      <c r="AX1008" s="51" t="n">
        <v>0</v>
      </c>
      <c r="AY1008" s="52" t="n">
        <v>0</v>
      </c>
      <c r="AZ1008" s="52" t="n">
        <v>0</v>
      </c>
      <c r="BA1008" s="52" t="n">
        <v>0</v>
      </c>
      <c r="BB1008" s="53" t="n">
        <v>0</v>
      </c>
      <c r="BC1008" s="52" t="n">
        <v>0</v>
      </c>
      <c r="BD1008" s="53" t="n">
        <v>0</v>
      </c>
      <c r="BE1008" s="52" t="n">
        <v>35.99</v>
      </c>
      <c r="BF1008" s="51" t="n">
        <v>0</v>
      </c>
    </row>
    <row r="1009">
      <c r="A1009">
        <f>HYPERLINK("https://www.walmart.com/ip/707295024", "707295024")</f>
        <v/>
      </c>
      <c r="B1009" t="inlineStr">
        <is>
          <t>Tirrinia Insulated 2 Bottle Wine Carrier Tote Cooler Bag for Travel Picnic Padded Champagne Glass Carrying Case</t>
        </is>
      </c>
      <c r="C1009" t="inlineStr">
        <is>
          <t>1WMWB221RD</t>
        </is>
      </c>
      <c r="D1009" t="inlineStr">
        <is>
          <t>Wine Totes, Bags &amp; Backpacks</t>
        </is>
      </c>
      <c r="E1009" t="inlineStr">
        <is>
          <t>Flyingstar</t>
        </is>
      </c>
      <c r="F1009" t="inlineStr">
        <is>
          <t>Wine,Christmas,Valentine</t>
        </is>
      </c>
      <c r="G1009" s="48" t="n">
        <v>0</v>
      </c>
      <c r="H1009" s="49" t="n">
        <v>0</v>
      </c>
      <c r="I1009" s="49" t="n">
        <v>0</v>
      </c>
      <c r="J1009" s="50" t="n">
        <v>0</v>
      </c>
      <c r="K1009" s="51" t="n">
        <v>0</v>
      </c>
      <c r="L1009" s="52" t="n">
        <v>0</v>
      </c>
      <c r="M1009" s="52" t="n">
        <v>0</v>
      </c>
      <c r="N1009" s="52" t="n">
        <v>0</v>
      </c>
      <c r="O1009" s="53" t="n">
        <v>0</v>
      </c>
      <c r="P1009" s="52" t="n">
        <v>0</v>
      </c>
      <c r="Q1009" s="53" t="n">
        <v>0</v>
      </c>
      <c r="R1009" s="52" t="n">
        <v>0</v>
      </c>
      <c r="S1009" s="51" t="n">
        <v>0</v>
      </c>
      <c r="T1009" s="48" t="n">
        <v>0</v>
      </c>
      <c r="U1009" s="49" t="n">
        <v>0</v>
      </c>
      <c r="V1009" s="49" t="n">
        <v>0</v>
      </c>
      <c r="W1009" s="50" t="n">
        <v>0</v>
      </c>
      <c r="X1009" s="51" t="n">
        <v>0</v>
      </c>
      <c r="Y1009" s="52" t="n">
        <v>0</v>
      </c>
      <c r="Z1009" s="52" t="n">
        <v>0</v>
      </c>
      <c r="AA1009" s="52" t="n">
        <v>0</v>
      </c>
      <c r="AB1009" s="53" t="n">
        <v>0</v>
      </c>
      <c r="AC1009" s="52" t="n">
        <v>0</v>
      </c>
      <c r="AD1009" s="53" t="n">
        <v>0</v>
      </c>
      <c r="AE1009" s="52" t="n">
        <v>0</v>
      </c>
      <c r="AF1009" s="51" t="n">
        <v>0</v>
      </c>
      <c r="AG1009" s="48" t="n">
        <v>0</v>
      </c>
      <c r="AH1009" s="49" t="n">
        <v>0</v>
      </c>
      <c r="AI1009" s="49" t="n">
        <v>0</v>
      </c>
      <c r="AJ1009" s="50" t="n">
        <v>0</v>
      </c>
      <c r="AK1009" s="51" t="n">
        <v>0</v>
      </c>
      <c r="AL1009" s="52" t="n">
        <v>0</v>
      </c>
      <c r="AM1009" s="52" t="n">
        <v>0</v>
      </c>
      <c r="AN1009" s="52" t="n">
        <v>0</v>
      </c>
      <c r="AO1009" s="53" t="n">
        <v>0</v>
      </c>
      <c r="AP1009" s="52" t="n">
        <v>0</v>
      </c>
      <c r="AQ1009" s="53" t="n">
        <v>0</v>
      </c>
      <c r="AR1009" s="52" t="n">
        <v>0</v>
      </c>
      <c r="AS1009" s="51" t="n">
        <v>0</v>
      </c>
      <c r="AT1009" s="48" t="n">
        <v>0</v>
      </c>
      <c r="AU1009" s="49" t="n">
        <v>0</v>
      </c>
      <c r="AV1009" s="49" t="n">
        <v>0</v>
      </c>
      <c r="AW1009" s="50" t="n">
        <v>0</v>
      </c>
      <c r="AX1009" s="51" t="n">
        <v>0</v>
      </c>
      <c r="AY1009" s="52" t="n">
        <v>0</v>
      </c>
      <c r="AZ1009" s="52" t="n">
        <v>0</v>
      </c>
      <c r="BA1009" s="52" t="n">
        <v>0</v>
      </c>
      <c r="BB1009" s="53" t="n">
        <v>0</v>
      </c>
      <c r="BC1009" s="52" t="n">
        <v>0</v>
      </c>
      <c r="BD1009" s="53" t="n">
        <v>0</v>
      </c>
      <c r="BE1009" s="52" t="n">
        <v>0</v>
      </c>
      <c r="BF1009" s="51" t="n">
        <v>0</v>
      </c>
    </row>
    <row r="1010">
      <c r="A1010">
        <f>HYPERLINK("https://www.walmart.com/ip/708164308", "708164308")</f>
        <v/>
      </c>
      <c r="B1010" t="inlineStr">
        <is>
          <t>Flyingstar Insulated Picnic Basket, 26L Leakproof Collapsible Portable Cooler Basket for Camping, Travel and Shopping, with a Free Foldable Grocery Bag, Black, 16.8" x 9.7" x 10"</t>
        </is>
      </c>
      <c r="C1010" t="inlineStr">
        <is>
          <t>1WMPB100-BK</t>
        </is>
      </c>
      <c r="D1010" t="inlineStr">
        <is>
          <t>Picnic Baskets &amp; Bags</t>
        </is>
      </c>
      <c r="E1010" t="inlineStr">
        <is>
          <t>Tirrinia</t>
        </is>
      </c>
      <c r="F1010" t="inlineStr">
        <is>
          <t>Batch 1 - TR</t>
        </is>
      </c>
      <c r="G1010" s="48" t="n">
        <v>0</v>
      </c>
      <c r="H1010" s="49" t="n">
        <v>0</v>
      </c>
      <c r="I1010" s="49" t="n">
        <v>0</v>
      </c>
      <c r="J1010" s="50" t="n">
        <v>0</v>
      </c>
      <c r="K1010" s="51" t="n">
        <v>0</v>
      </c>
      <c r="L1010" s="52" t="n">
        <v>0</v>
      </c>
      <c r="M1010" s="52" t="n">
        <v>0</v>
      </c>
      <c r="N1010" s="52" t="n">
        <v>0</v>
      </c>
      <c r="O1010" s="53" t="n">
        <v>0</v>
      </c>
      <c r="P1010" s="52" t="n">
        <v>0</v>
      </c>
      <c r="Q1010" s="53" t="n">
        <v>0</v>
      </c>
      <c r="R1010" s="52" t="n">
        <v>0</v>
      </c>
      <c r="S1010" s="51" t="n">
        <v>0</v>
      </c>
      <c r="T1010" s="48" t="n">
        <v>0</v>
      </c>
      <c r="U1010" s="49" t="n">
        <v>0</v>
      </c>
      <c r="V1010" s="49" t="n">
        <v>0</v>
      </c>
      <c r="W1010" s="50" t="n">
        <v>0</v>
      </c>
      <c r="X1010" s="51" t="n">
        <v>0</v>
      </c>
      <c r="Y1010" s="52" t="n">
        <v>0</v>
      </c>
      <c r="Z1010" s="52" t="n">
        <v>0</v>
      </c>
      <c r="AA1010" s="52" t="n">
        <v>0</v>
      </c>
      <c r="AB1010" s="53" t="n">
        <v>0</v>
      </c>
      <c r="AC1010" s="52" t="n">
        <v>0</v>
      </c>
      <c r="AD1010" s="53" t="n">
        <v>0</v>
      </c>
      <c r="AE1010" s="52" t="n">
        <v>0</v>
      </c>
      <c r="AF1010" s="51" t="n">
        <v>0</v>
      </c>
      <c r="AG1010" s="48" t="n">
        <v>0</v>
      </c>
      <c r="AH1010" s="49" t="n">
        <v>0</v>
      </c>
      <c r="AI1010" s="49" t="n">
        <v>0</v>
      </c>
      <c r="AJ1010" s="50" t="n">
        <v>0</v>
      </c>
      <c r="AK1010" s="51" t="n">
        <v>0</v>
      </c>
      <c r="AL1010" s="52" t="n">
        <v>0</v>
      </c>
      <c r="AM1010" s="52" t="n">
        <v>0</v>
      </c>
      <c r="AN1010" s="52" t="n">
        <v>0</v>
      </c>
      <c r="AO1010" s="53" t="n">
        <v>0</v>
      </c>
      <c r="AP1010" s="52" t="n">
        <v>0</v>
      </c>
      <c r="AQ1010" s="53" t="n">
        <v>0</v>
      </c>
      <c r="AR1010" s="52" t="n">
        <v>0</v>
      </c>
      <c r="AS1010" s="51" t="n">
        <v>0</v>
      </c>
      <c r="AT1010" s="48" t="n">
        <v>0</v>
      </c>
      <c r="AU1010" s="49" t="n">
        <v>0</v>
      </c>
      <c r="AV1010" s="49" t="n">
        <v>0</v>
      </c>
      <c r="AW1010" s="50" t="n">
        <v>0</v>
      </c>
      <c r="AX1010" s="51" t="n">
        <v>0</v>
      </c>
      <c r="AY1010" s="52" t="n">
        <v>0</v>
      </c>
      <c r="AZ1010" s="52" t="n">
        <v>0</v>
      </c>
      <c r="BA1010" s="52" t="n">
        <v>0</v>
      </c>
      <c r="BB1010" s="53" t="n">
        <v>0</v>
      </c>
      <c r="BC1010" s="52" t="n">
        <v>0</v>
      </c>
      <c r="BD1010" s="53" t="n">
        <v>0</v>
      </c>
      <c r="BE1010" s="52" t="n">
        <v>0</v>
      </c>
      <c r="BF1010" s="51" t="n">
        <v>0</v>
      </c>
    </row>
    <row r="1011">
      <c r="A1011">
        <f>HYPERLINK("https://www.walmart.com/ip/708964671", "708964671")</f>
        <v/>
      </c>
      <c r="B1011" t="inlineStr">
        <is>
          <t>Women's Poncho Cape, Sherpa Fleece Cloak Coat, Snuggly Hooded Wearable Blanket, Gift Idea for Adults and Teen Girls</t>
        </is>
      </c>
      <c r="C1011" t="inlineStr">
        <is>
          <t>1CTBC300P2RD</t>
        </is>
      </c>
      <c r="D1011" t="inlineStr">
        <is>
          <t>Throws</t>
        </is>
      </c>
      <c r="E1011" t="inlineStr">
        <is>
          <t>Catalonia</t>
        </is>
      </c>
      <c r="F1011" t="inlineStr">
        <is>
          <t>SEM,WFS Item</t>
        </is>
      </c>
      <c r="G1011" s="48" t="n">
        <v>0</v>
      </c>
      <c r="H1011" s="49" t="n">
        <v>0</v>
      </c>
      <c r="I1011" s="49" t="n">
        <v>1</v>
      </c>
      <c r="J1011" s="50" t="n">
        <v>0</v>
      </c>
      <c r="K1011" s="51" t="n">
        <v>0</v>
      </c>
      <c r="L1011" s="52" t="n">
        <v>0</v>
      </c>
      <c r="M1011" s="52" t="n">
        <v>0</v>
      </c>
      <c r="N1011" s="52" t="n">
        <v>0</v>
      </c>
      <c r="O1011" s="53" t="n">
        <v>0</v>
      </c>
      <c r="P1011" s="52" t="n">
        <v>0</v>
      </c>
      <c r="Q1011" s="53" t="n">
        <v>0</v>
      </c>
      <c r="R1011" s="52" t="n">
        <v>0</v>
      </c>
      <c r="S1011" s="51" t="n">
        <v>0</v>
      </c>
      <c r="T1011" s="48" t="n">
        <v>0</v>
      </c>
      <c r="U1011" s="49" t="n">
        <v>0</v>
      </c>
      <c r="V1011" s="49" t="n">
        <v>0</v>
      </c>
      <c r="W1011" s="50" t="n">
        <v>0</v>
      </c>
      <c r="X1011" s="51" t="n">
        <v>0</v>
      </c>
      <c r="Y1011" s="52" t="n">
        <v>0</v>
      </c>
      <c r="Z1011" s="52" t="n">
        <v>0</v>
      </c>
      <c r="AA1011" s="52" t="n">
        <v>0</v>
      </c>
      <c r="AB1011" s="53" t="n">
        <v>0</v>
      </c>
      <c r="AC1011" s="52" t="n">
        <v>0</v>
      </c>
      <c r="AD1011" s="53" t="n">
        <v>0</v>
      </c>
      <c r="AE1011" s="52" t="n">
        <v>0</v>
      </c>
      <c r="AF1011" s="51" t="n">
        <v>0</v>
      </c>
      <c r="AG1011" s="48" t="n">
        <v>0</v>
      </c>
      <c r="AH1011" s="49" t="n">
        <v>0</v>
      </c>
      <c r="AI1011" s="49" t="n">
        <v>1</v>
      </c>
      <c r="AJ1011" s="50" t="n">
        <v>0</v>
      </c>
      <c r="AK1011" s="51" t="n">
        <v>0</v>
      </c>
      <c r="AL1011" s="52" t="n">
        <v>0</v>
      </c>
      <c r="AM1011" s="52" t="n">
        <v>0</v>
      </c>
      <c r="AN1011" s="52" t="n">
        <v>0</v>
      </c>
      <c r="AO1011" s="53" t="n">
        <v>0</v>
      </c>
      <c r="AP1011" s="52" t="n">
        <v>0</v>
      </c>
      <c r="AQ1011" s="53" t="n">
        <v>0</v>
      </c>
      <c r="AR1011" s="52" t="n">
        <v>0</v>
      </c>
      <c r="AS1011" s="51" t="n">
        <v>0</v>
      </c>
      <c r="AT1011" s="48" t="n">
        <v>0</v>
      </c>
      <c r="AU1011" s="49" t="n">
        <v>0</v>
      </c>
      <c r="AV1011" s="49" t="n">
        <v>1</v>
      </c>
      <c r="AW1011" s="50" t="n">
        <v>0</v>
      </c>
      <c r="AX1011" s="51" t="n">
        <v>0</v>
      </c>
      <c r="AY1011" s="52" t="n">
        <v>0</v>
      </c>
      <c r="AZ1011" s="52" t="n">
        <v>0</v>
      </c>
      <c r="BA1011" s="52" t="n">
        <v>0</v>
      </c>
      <c r="BB1011" s="53" t="n">
        <v>0</v>
      </c>
      <c r="BC1011" s="52" t="n">
        <v>0</v>
      </c>
      <c r="BD1011" s="53" t="n">
        <v>0</v>
      </c>
      <c r="BE1011" s="52" t="n">
        <v>0</v>
      </c>
      <c r="BF1011" s="51" t="n">
        <v>0</v>
      </c>
    </row>
    <row r="1012">
      <c r="A1012">
        <f>HYPERLINK("https://www.walmart.com/ip/709043246", "709043246")</f>
        <v/>
      </c>
      <c r="B1012" t="inlineStr">
        <is>
          <t>Unicorn Oversized Sherpa Hoodie Blanket Sweatshirt for Women</t>
        </is>
      </c>
      <c r="C1012" t="inlineStr">
        <is>
          <t>1WMHD201UNI</t>
        </is>
      </c>
      <c r="D1012" t="inlineStr">
        <is>
          <t>Sweatshirts &amp; Hoodies</t>
        </is>
      </c>
      <c r="E1012" t="inlineStr">
        <is>
          <t>Flyingstar</t>
        </is>
      </c>
      <c r="F1012" t="inlineStr">
        <is>
          <t>Hoodie ForAdult,Optimized</t>
        </is>
      </c>
      <c r="G1012" s="48" t="n">
        <v>0</v>
      </c>
      <c r="H1012" s="49" t="n">
        <v>0</v>
      </c>
      <c r="I1012" s="49" t="n">
        <v>0</v>
      </c>
      <c r="J1012" s="50" t="n">
        <v>0</v>
      </c>
      <c r="K1012" s="51" t="n">
        <v>0</v>
      </c>
      <c r="L1012" s="52" t="n">
        <v>0</v>
      </c>
      <c r="M1012" s="52" t="n">
        <v>0</v>
      </c>
      <c r="N1012" s="52" t="n">
        <v>0</v>
      </c>
      <c r="O1012" s="53" t="n">
        <v>0</v>
      </c>
      <c r="P1012" s="52" t="n">
        <v>0</v>
      </c>
      <c r="Q1012" s="53" t="n">
        <v>0</v>
      </c>
      <c r="R1012" s="52" t="n">
        <v>0</v>
      </c>
      <c r="S1012" s="51" t="n">
        <v>0</v>
      </c>
      <c r="T1012" s="48" t="n">
        <v>0</v>
      </c>
      <c r="U1012" s="49" t="n">
        <v>0</v>
      </c>
      <c r="V1012" s="49" t="n">
        <v>0</v>
      </c>
      <c r="W1012" s="50" t="n">
        <v>0</v>
      </c>
      <c r="X1012" s="51" t="n">
        <v>0</v>
      </c>
      <c r="Y1012" s="52" t="n">
        <v>0</v>
      </c>
      <c r="Z1012" s="52" t="n">
        <v>0</v>
      </c>
      <c r="AA1012" s="52" t="n">
        <v>0</v>
      </c>
      <c r="AB1012" s="53" t="n">
        <v>0</v>
      </c>
      <c r="AC1012" s="52" t="n">
        <v>0</v>
      </c>
      <c r="AD1012" s="53" t="n">
        <v>0</v>
      </c>
      <c r="AE1012" s="52" t="n">
        <v>0</v>
      </c>
      <c r="AF1012" s="51" t="n">
        <v>0</v>
      </c>
      <c r="AG1012" s="48" t="n">
        <v>0</v>
      </c>
      <c r="AH1012" s="49" t="n">
        <v>0</v>
      </c>
      <c r="AI1012" s="49" t="n">
        <v>0</v>
      </c>
      <c r="AJ1012" s="50" t="n">
        <v>0</v>
      </c>
      <c r="AK1012" s="51" t="n">
        <v>0</v>
      </c>
      <c r="AL1012" s="52" t="n">
        <v>0</v>
      </c>
      <c r="AM1012" s="52" t="n">
        <v>0</v>
      </c>
      <c r="AN1012" s="52" t="n">
        <v>0</v>
      </c>
      <c r="AO1012" s="53" t="n">
        <v>0</v>
      </c>
      <c r="AP1012" s="52" t="n">
        <v>0</v>
      </c>
      <c r="AQ1012" s="53" t="n">
        <v>0</v>
      </c>
      <c r="AR1012" s="52" t="n">
        <v>0</v>
      </c>
      <c r="AS1012" s="51" t="n">
        <v>0</v>
      </c>
      <c r="AT1012" s="48" t="n">
        <v>0</v>
      </c>
      <c r="AU1012" s="49" t="n">
        <v>0</v>
      </c>
      <c r="AV1012" s="49" t="n">
        <v>0</v>
      </c>
      <c r="AW1012" s="50" t="n">
        <v>0</v>
      </c>
      <c r="AX1012" s="51" t="n">
        <v>0</v>
      </c>
      <c r="AY1012" s="52" t="n">
        <v>0</v>
      </c>
      <c r="AZ1012" s="52" t="n">
        <v>0</v>
      </c>
      <c r="BA1012" s="52" t="n">
        <v>0</v>
      </c>
      <c r="BB1012" s="53" t="n">
        <v>0</v>
      </c>
      <c r="BC1012" s="52" t="n">
        <v>0</v>
      </c>
      <c r="BD1012" s="53" t="n">
        <v>0</v>
      </c>
      <c r="BE1012" s="52" t="n">
        <v>0</v>
      </c>
      <c r="BF1012" s="51" t="n">
        <v>0</v>
      </c>
    </row>
    <row r="1013">
      <c r="A1013">
        <f>HYPERLINK("https://www.walmart.com/ip/709316689", "709316689")</f>
        <v/>
      </c>
      <c r="B1013" t="inlineStr">
        <is>
          <t>undefined</t>
        </is>
      </c>
      <c r="C1013" t="inlineStr">
        <is>
          <t>1CTWIG001-F1BBG-ESCB</t>
        </is>
      </c>
      <c r="G1013" s="48" t="n">
        <v>0</v>
      </c>
      <c r="H1013" s="49" t="n">
        <v>0</v>
      </c>
      <c r="I1013" s="49" t="n">
        <v>0</v>
      </c>
      <c r="J1013" s="50" t="n">
        <v>0</v>
      </c>
      <c r="K1013" s="51" t="n">
        <v>0</v>
      </c>
      <c r="L1013" s="52" t="n">
        <v>0</v>
      </c>
      <c r="M1013" s="52" t="n">
        <v>0</v>
      </c>
      <c r="N1013" s="52" t="n">
        <v>0</v>
      </c>
      <c r="O1013" s="53" t="n">
        <v>0</v>
      </c>
      <c r="P1013" s="52" t="n">
        <v>0</v>
      </c>
      <c r="Q1013" s="53" t="n">
        <v>0</v>
      </c>
      <c r="R1013" s="52" t="n">
        <v>0</v>
      </c>
      <c r="S1013" s="51" t="n">
        <v>0</v>
      </c>
      <c r="T1013" s="48" t="n">
        <v>0</v>
      </c>
      <c r="U1013" s="49" t="n">
        <v>0</v>
      </c>
      <c r="V1013" s="49" t="n">
        <v>0</v>
      </c>
      <c r="W1013" s="50" t="n">
        <v>0</v>
      </c>
      <c r="X1013" s="51" t="n">
        <v>0</v>
      </c>
      <c r="Y1013" s="52" t="n">
        <v>0</v>
      </c>
      <c r="Z1013" s="52" t="n">
        <v>0</v>
      </c>
      <c r="AA1013" s="52" t="n">
        <v>0</v>
      </c>
      <c r="AB1013" s="53" t="n">
        <v>0</v>
      </c>
      <c r="AC1013" s="52" t="n">
        <v>0</v>
      </c>
      <c r="AD1013" s="53" t="n">
        <v>0</v>
      </c>
      <c r="AE1013" s="52" t="n">
        <v>0</v>
      </c>
      <c r="AF1013" s="51" t="n">
        <v>0</v>
      </c>
      <c r="AG1013" s="48" t="n">
        <v>0</v>
      </c>
      <c r="AH1013" s="49" t="n">
        <v>0</v>
      </c>
      <c r="AI1013" s="49" t="n">
        <v>0</v>
      </c>
      <c r="AJ1013" s="50" t="n">
        <v>0</v>
      </c>
      <c r="AK1013" s="51" t="n">
        <v>0</v>
      </c>
      <c r="AL1013" s="52" t="n">
        <v>0</v>
      </c>
      <c r="AM1013" s="52" t="n">
        <v>0</v>
      </c>
      <c r="AN1013" s="52" t="n">
        <v>0</v>
      </c>
      <c r="AO1013" s="53" t="n">
        <v>0</v>
      </c>
      <c r="AP1013" s="52" t="n">
        <v>0</v>
      </c>
      <c r="AQ1013" s="53" t="n">
        <v>0</v>
      </c>
      <c r="AR1013" s="52" t="n">
        <v>0</v>
      </c>
      <c r="AS1013" s="51" t="n">
        <v>0</v>
      </c>
      <c r="AT1013" s="48" t="n">
        <v>0</v>
      </c>
      <c r="AU1013" s="49" t="n">
        <v>0</v>
      </c>
      <c r="AV1013" s="49" t="n">
        <v>0</v>
      </c>
      <c r="AW1013" s="50" t="n">
        <v>0</v>
      </c>
      <c r="AX1013" s="51" t="n">
        <v>0</v>
      </c>
      <c r="AY1013" s="52" t="n">
        <v>0</v>
      </c>
      <c r="AZ1013" s="52" t="n">
        <v>0</v>
      </c>
      <c r="BA1013" s="52" t="n">
        <v>0</v>
      </c>
      <c r="BB1013" s="53" t="n">
        <v>0</v>
      </c>
      <c r="BC1013" s="52" t="n">
        <v>0</v>
      </c>
      <c r="BD1013" s="53" t="n">
        <v>0</v>
      </c>
      <c r="BE1013" s="52" t="n">
        <v>0</v>
      </c>
      <c r="BF1013" s="51" t="n">
        <v>0</v>
      </c>
    </row>
    <row r="1014">
      <c r="A1014">
        <f>HYPERLINK("https://www.walmart.com/ip/710463986", "710463986")</f>
        <v/>
      </c>
      <c r="B1014" t="inlineStr">
        <is>
          <t>Sherpa Wearable Blanket with Sleeves Arms, Super Soft Warm Comfy Large Fleece Plush Sleeved TV Throws Wrap Robe Blanket for Adult Women and Men, Tiger</t>
        </is>
      </c>
      <c r="C1014" t="inlineStr">
        <is>
          <t>1CTSN110TG</t>
        </is>
      </c>
      <c r="D1014" t="inlineStr">
        <is>
          <t>Throws</t>
        </is>
      </c>
      <c r="E1014" t="inlineStr">
        <is>
          <t>Catalonia</t>
        </is>
      </c>
      <c r="F1014" t="inlineStr">
        <is>
          <t>Q2-Target,Coupon_Discount,Batch 1 - TR</t>
        </is>
      </c>
      <c r="G1014" s="48" t="n">
        <v>0</v>
      </c>
      <c r="H1014" s="49" t="n">
        <v>0</v>
      </c>
      <c r="I1014" s="49" t="n">
        <v>0</v>
      </c>
      <c r="J1014" s="50" t="n">
        <v>0</v>
      </c>
      <c r="K1014" s="51" t="n">
        <v>0</v>
      </c>
      <c r="L1014" s="52" t="n">
        <v>0</v>
      </c>
      <c r="M1014" s="52" t="n">
        <v>0</v>
      </c>
      <c r="N1014" s="52" t="n">
        <v>0</v>
      </c>
      <c r="O1014" s="53" t="n">
        <v>0</v>
      </c>
      <c r="P1014" s="52" t="n">
        <v>0</v>
      </c>
      <c r="Q1014" s="53" t="n">
        <v>0</v>
      </c>
      <c r="R1014" s="52" t="n">
        <v>0</v>
      </c>
      <c r="S1014" s="51" t="n">
        <v>0</v>
      </c>
      <c r="T1014" s="48" t="n">
        <v>0</v>
      </c>
      <c r="U1014" s="49" t="n">
        <v>0</v>
      </c>
      <c r="V1014" s="49" t="n">
        <v>0</v>
      </c>
      <c r="W1014" s="50" t="n">
        <v>0</v>
      </c>
      <c r="X1014" s="51" t="n">
        <v>0</v>
      </c>
      <c r="Y1014" s="52" t="n">
        <v>0</v>
      </c>
      <c r="Z1014" s="52" t="n">
        <v>0</v>
      </c>
      <c r="AA1014" s="52" t="n">
        <v>0</v>
      </c>
      <c r="AB1014" s="53" t="n">
        <v>0</v>
      </c>
      <c r="AC1014" s="52" t="n">
        <v>0</v>
      </c>
      <c r="AD1014" s="53" t="n">
        <v>0</v>
      </c>
      <c r="AE1014" s="52" t="n">
        <v>0</v>
      </c>
      <c r="AF1014" s="51" t="n">
        <v>0</v>
      </c>
      <c r="AG1014" s="48" t="n">
        <v>0</v>
      </c>
      <c r="AH1014" s="49" t="n">
        <v>0</v>
      </c>
      <c r="AI1014" s="49" t="n">
        <v>0</v>
      </c>
      <c r="AJ1014" s="50" t="n">
        <v>0</v>
      </c>
      <c r="AK1014" s="51" t="n">
        <v>0</v>
      </c>
      <c r="AL1014" s="52" t="n">
        <v>0</v>
      </c>
      <c r="AM1014" s="52" t="n">
        <v>0</v>
      </c>
      <c r="AN1014" s="52" t="n">
        <v>0</v>
      </c>
      <c r="AO1014" s="53" t="n">
        <v>0</v>
      </c>
      <c r="AP1014" s="52" t="n">
        <v>0</v>
      </c>
      <c r="AQ1014" s="53" t="n">
        <v>0</v>
      </c>
      <c r="AR1014" s="52" t="n">
        <v>0</v>
      </c>
      <c r="AS1014" s="51" t="n">
        <v>0</v>
      </c>
      <c r="AT1014" s="48" t="n">
        <v>0</v>
      </c>
      <c r="AU1014" s="49" t="n">
        <v>0</v>
      </c>
      <c r="AV1014" s="49" t="n">
        <v>0</v>
      </c>
      <c r="AW1014" s="50" t="n">
        <v>0</v>
      </c>
      <c r="AX1014" s="51" t="n">
        <v>0</v>
      </c>
      <c r="AY1014" s="52" t="n">
        <v>0</v>
      </c>
      <c r="AZ1014" s="52" t="n">
        <v>0</v>
      </c>
      <c r="BA1014" s="52" t="n">
        <v>0</v>
      </c>
      <c r="BB1014" s="53" t="n">
        <v>0</v>
      </c>
      <c r="BC1014" s="52" t="n">
        <v>0</v>
      </c>
      <c r="BD1014" s="53" t="n">
        <v>0</v>
      </c>
      <c r="BE1014" s="52" t="n">
        <v>0</v>
      </c>
      <c r="BF1014" s="51" t="n">
        <v>0</v>
      </c>
    </row>
    <row r="1015">
      <c r="A1015">
        <f>HYPERLINK("https://www.walmart.com/ip/711245788", "711245788")</f>
        <v/>
      </c>
      <c r="B1015" t="inlineStr">
        <is>
          <t>Fleece Blanket Wearable with Sleeves and Pocket, Micro Plush Warm Comfy Sleeved TV Throw Blanket Robe for Women and Men Multi-Colors 72”X55” by Catalonia</t>
        </is>
      </c>
      <c r="C1015" t="inlineStr">
        <is>
          <t>1CTSN110BL-ESGM</t>
        </is>
      </c>
      <c r="D1015" t="inlineStr">
        <is>
          <t>Throws</t>
        </is>
      </c>
      <c r="E1015" t="inlineStr">
        <is>
          <t>Catalonia</t>
        </is>
      </c>
      <c r="F1015" t="inlineStr">
        <is>
          <t>Fleece Blankets,Batch 1 - TR</t>
        </is>
      </c>
      <c r="G1015" s="48" t="n">
        <v>0</v>
      </c>
      <c r="H1015" s="49" t="n">
        <v>0</v>
      </c>
      <c r="I1015" s="49" t="n">
        <v>0</v>
      </c>
      <c r="J1015" s="50" t="n">
        <v>0</v>
      </c>
      <c r="K1015" s="51" t="n">
        <v>0</v>
      </c>
      <c r="L1015" s="52" t="n">
        <v>0</v>
      </c>
      <c r="M1015" s="52" t="n">
        <v>0</v>
      </c>
      <c r="N1015" s="52" t="n">
        <v>0</v>
      </c>
      <c r="O1015" s="53" t="n">
        <v>0</v>
      </c>
      <c r="P1015" s="52" t="n">
        <v>0</v>
      </c>
      <c r="Q1015" s="53" t="n">
        <v>0</v>
      </c>
      <c r="R1015" s="52" t="n">
        <v>0</v>
      </c>
      <c r="S1015" s="51" t="n">
        <v>0</v>
      </c>
      <c r="T1015" s="48" t="n">
        <v>0</v>
      </c>
      <c r="U1015" s="49" t="n">
        <v>0</v>
      </c>
      <c r="V1015" s="49" t="n">
        <v>0</v>
      </c>
      <c r="W1015" s="50" t="n">
        <v>0</v>
      </c>
      <c r="X1015" s="51" t="n">
        <v>0</v>
      </c>
      <c r="Y1015" s="52" t="n">
        <v>0</v>
      </c>
      <c r="Z1015" s="52" t="n">
        <v>0</v>
      </c>
      <c r="AA1015" s="52" t="n">
        <v>0</v>
      </c>
      <c r="AB1015" s="53" t="n">
        <v>0</v>
      </c>
      <c r="AC1015" s="52" t="n">
        <v>0</v>
      </c>
      <c r="AD1015" s="53" t="n">
        <v>0</v>
      </c>
      <c r="AE1015" s="52" t="n">
        <v>0</v>
      </c>
      <c r="AF1015" s="51" t="n">
        <v>0</v>
      </c>
      <c r="AG1015" s="48" t="n">
        <v>0</v>
      </c>
      <c r="AH1015" s="49" t="n">
        <v>0</v>
      </c>
      <c r="AI1015" s="49" t="n">
        <v>0</v>
      </c>
      <c r="AJ1015" s="50" t="n">
        <v>0</v>
      </c>
      <c r="AK1015" s="51" t="n">
        <v>0</v>
      </c>
      <c r="AL1015" s="52" t="n">
        <v>0</v>
      </c>
      <c r="AM1015" s="52" t="n">
        <v>0</v>
      </c>
      <c r="AN1015" s="52" t="n">
        <v>0</v>
      </c>
      <c r="AO1015" s="53" t="n">
        <v>0</v>
      </c>
      <c r="AP1015" s="52" t="n">
        <v>0</v>
      </c>
      <c r="AQ1015" s="53" t="n">
        <v>0</v>
      </c>
      <c r="AR1015" s="52" t="n">
        <v>0</v>
      </c>
      <c r="AS1015" s="51" t="n">
        <v>0</v>
      </c>
      <c r="AT1015" s="48" t="n">
        <v>0</v>
      </c>
      <c r="AU1015" s="49" t="n">
        <v>0</v>
      </c>
      <c r="AV1015" s="49" t="n">
        <v>0</v>
      </c>
      <c r="AW1015" s="50" t="n">
        <v>0</v>
      </c>
      <c r="AX1015" s="51" t="n">
        <v>0</v>
      </c>
      <c r="AY1015" s="52" t="n">
        <v>0</v>
      </c>
      <c r="AZ1015" s="52" t="n">
        <v>0</v>
      </c>
      <c r="BA1015" s="52" t="n">
        <v>0</v>
      </c>
      <c r="BB1015" s="53" t="n">
        <v>0</v>
      </c>
      <c r="BC1015" s="52" t="n">
        <v>0</v>
      </c>
      <c r="BD1015" s="53" t="n">
        <v>0</v>
      </c>
      <c r="BE1015" s="52" t="n">
        <v>0</v>
      </c>
      <c r="BF1015" s="51" t="n">
        <v>0</v>
      </c>
    </row>
    <row r="1016">
      <c r="A1016">
        <f>HYPERLINK("https://www.walmart.com/ip/711271124", "711271124")</f>
        <v/>
      </c>
      <c r="B1016" t="inlineStr">
        <is>
          <t>Sherpa Slipper Socks for Women,Winter Indoor Home Non Skid Booties</t>
        </is>
      </c>
      <c r="C1016" t="inlineStr">
        <is>
          <t>1CTST200LBL-1</t>
        </is>
      </c>
      <c r="D1016" t="inlineStr">
        <is>
          <t>Socks</t>
        </is>
      </c>
      <c r="E1016" t="inlineStr">
        <is>
          <t>Catalonia</t>
        </is>
      </c>
      <c r="F1016" t="inlineStr">
        <is>
          <t>WFS,WFS Item</t>
        </is>
      </c>
      <c r="G1016" s="48" t="n">
        <v>0</v>
      </c>
      <c r="H1016" s="49" t="n">
        <v>0</v>
      </c>
      <c r="I1016" s="49" t="n">
        <v>0</v>
      </c>
      <c r="J1016" s="50" t="n">
        <v>0</v>
      </c>
      <c r="K1016" s="51" t="n">
        <v>0</v>
      </c>
      <c r="L1016" s="52" t="n">
        <v>0</v>
      </c>
      <c r="M1016" s="52" t="n">
        <v>0</v>
      </c>
      <c r="N1016" s="52" t="n">
        <v>0</v>
      </c>
      <c r="O1016" s="53" t="n">
        <v>0</v>
      </c>
      <c r="P1016" s="52" t="n">
        <v>0</v>
      </c>
      <c r="Q1016" s="53" t="n">
        <v>0</v>
      </c>
      <c r="R1016" s="52" t="n">
        <v>0</v>
      </c>
      <c r="S1016" s="51" t="n">
        <v>0</v>
      </c>
      <c r="T1016" s="48" t="n">
        <v>0</v>
      </c>
      <c r="U1016" s="49" t="n">
        <v>0</v>
      </c>
      <c r="V1016" s="49" t="n">
        <v>0</v>
      </c>
      <c r="W1016" s="50" t="n">
        <v>0</v>
      </c>
      <c r="X1016" s="51" t="n">
        <v>0</v>
      </c>
      <c r="Y1016" s="52" t="n">
        <v>0</v>
      </c>
      <c r="Z1016" s="52" t="n">
        <v>0</v>
      </c>
      <c r="AA1016" s="52" t="n">
        <v>0</v>
      </c>
      <c r="AB1016" s="53" t="n">
        <v>0</v>
      </c>
      <c r="AC1016" s="52" t="n">
        <v>0</v>
      </c>
      <c r="AD1016" s="53" t="n">
        <v>0</v>
      </c>
      <c r="AE1016" s="52" t="n">
        <v>0</v>
      </c>
      <c r="AF1016" s="51" t="n">
        <v>0</v>
      </c>
      <c r="AG1016" s="48" t="n">
        <v>0</v>
      </c>
      <c r="AH1016" s="49" t="n">
        <v>0</v>
      </c>
      <c r="AI1016" s="49" t="n">
        <v>0</v>
      </c>
      <c r="AJ1016" s="50" t="n">
        <v>0</v>
      </c>
      <c r="AK1016" s="51" t="n">
        <v>0</v>
      </c>
      <c r="AL1016" s="52" t="n">
        <v>0</v>
      </c>
      <c r="AM1016" s="52" t="n">
        <v>0</v>
      </c>
      <c r="AN1016" s="52" t="n">
        <v>0</v>
      </c>
      <c r="AO1016" s="53" t="n">
        <v>0</v>
      </c>
      <c r="AP1016" s="52" t="n">
        <v>0</v>
      </c>
      <c r="AQ1016" s="53" t="n">
        <v>0</v>
      </c>
      <c r="AR1016" s="52" t="n">
        <v>0</v>
      </c>
      <c r="AS1016" s="51" t="n">
        <v>0</v>
      </c>
      <c r="AT1016" s="48" t="n">
        <v>0</v>
      </c>
      <c r="AU1016" s="49" t="n">
        <v>0</v>
      </c>
      <c r="AV1016" s="49" t="n">
        <v>0</v>
      </c>
      <c r="AW1016" s="50" t="n">
        <v>0</v>
      </c>
      <c r="AX1016" s="51" t="n">
        <v>0</v>
      </c>
      <c r="AY1016" s="52" t="n">
        <v>0</v>
      </c>
      <c r="AZ1016" s="52" t="n">
        <v>0</v>
      </c>
      <c r="BA1016" s="52" t="n">
        <v>0</v>
      </c>
      <c r="BB1016" s="53" t="n">
        <v>0</v>
      </c>
      <c r="BC1016" s="52" t="n">
        <v>0</v>
      </c>
      <c r="BD1016" s="53" t="n">
        <v>0</v>
      </c>
      <c r="BE1016" s="52" t="n">
        <v>0</v>
      </c>
      <c r="BF1016" s="51" t="n">
        <v>0</v>
      </c>
    </row>
    <row r="1017">
      <c r="A1017">
        <f>HYPERLINK("https://www.walmart.com/ip/711883867", "711883867")</f>
        <v/>
      </c>
      <c r="B1017" t="inlineStr">
        <is>
          <t>Tirrinia 2 Bottle Wine Tote Carrier - Leakproof &amp; Insulated Padded Versatile Canvas Cooler Bag for Travel, BYOB Restaurant, Wine Tasting, Party, Great Christmas Day Gift for Wine Lover, Beige</t>
        </is>
      </c>
      <c r="C1017" t="inlineStr">
        <is>
          <t>1KTWB220BG</t>
        </is>
      </c>
      <c r="D1017" t="inlineStr">
        <is>
          <t>Wine Totes, Bags &amp; Backpacks</t>
        </is>
      </c>
      <c r="E1017" t="inlineStr">
        <is>
          <t>Tirrinia</t>
        </is>
      </c>
      <c r="F1017" t="inlineStr">
        <is>
          <t>Wine,Christmas,WFS,Wine WFS,Valentine,SEM,WFS Item</t>
        </is>
      </c>
      <c r="G1017" s="48" t="n">
        <v>0</v>
      </c>
      <c r="H1017" s="49" t="n">
        <v>0</v>
      </c>
      <c r="I1017" s="49" t="n">
        <v>0</v>
      </c>
      <c r="J1017" s="50" t="n">
        <v>0</v>
      </c>
      <c r="K1017" s="51" t="n">
        <v>0</v>
      </c>
      <c r="L1017" s="52" t="n">
        <v>0</v>
      </c>
      <c r="M1017" s="52" t="n">
        <v>0</v>
      </c>
      <c r="N1017" s="52" t="n">
        <v>0</v>
      </c>
      <c r="O1017" s="53" t="n">
        <v>0</v>
      </c>
      <c r="P1017" s="52" t="n">
        <v>0</v>
      </c>
      <c r="Q1017" s="53" t="n">
        <v>0</v>
      </c>
      <c r="R1017" s="52" t="n">
        <v>0</v>
      </c>
      <c r="S1017" s="51" t="n">
        <v>0</v>
      </c>
      <c r="T1017" s="48" t="n">
        <v>0</v>
      </c>
      <c r="U1017" s="49" t="n">
        <v>0</v>
      </c>
      <c r="V1017" s="49" t="n">
        <v>0</v>
      </c>
      <c r="W1017" s="50" t="n">
        <v>0</v>
      </c>
      <c r="X1017" s="51" t="n">
        <v>0</v>
      </c>
      <c r="Y1017" s="52" t="n">
        <v>0</v>
      </c>
      <c r="Z1017" s="52" t="n">
        <v>0</v>
      </c>
      <c r="AA1017" s="52" t="n">
        <v>0</v>
      </c>
      <c r="AB1017" s="53" t="n">
        <v>0</v>
      </c>
      <c r="AC1017" s="52" t="n">
        <v>0</v>
      </c>
      <c r="AD1017" s="53" t="n">
        <v>0</v>
      </c>
      <c r="AE1017" s="52" t="n">
        <v>0</v>
      </c>
      <c r="AF1017" s="51" t="n">
        <v>0</v>
      </c>
      <c r="AG1017" s="48" t="n">
        <v>0</v>
      </c>
      <c r="AH1017" s="49" t="n">
        <v>0</v>
      </c>
      <c r="AI1017" s="49" t="n">
        <v>0</v>
      </c>
      <c r="AJ1017" s="50" t="n">
        <v>0</v>
      </c>
      <c r="AK1017" s="51" t="n">
        <v>0</v>
      </c>
      <c r="AL1017" s="52" t="n">
        <v>0</v>
      </c>
      <c r="AM1017" s="52" t="n">
        <v>0</v>
      </c>
      <c r="AN1017" s="52" t="n">
        <v>0</v>
      </c>
      <c r="AO1017" s="53" t="n">
        <v>0</v>
      </c>
      <c r="AP1017" s="52" t="n">
        <v>0</v>
      </c>
      <c r="AQ1017" s="53" t="n">
        <v>0</v>
      </c>
      <c r="AR1017" s="52" t="n">
        <v>0</v>
      </c>
      <c r="AS1017" s="51" t="n">
        <v>0</v>
      </c>
      <c r="AT1017" s="48" t="n">
        <v>0</v>
      </c>
      <c r="AU1017" s="49" t="n">
        <v>0</v>
      </c>
      <c r="AV1017" s="49" t="n">
        <v>0</v>
      </c>
      <c r="AW1017" s="50" t="n">
        <v>0</v>
      </c>
      <c r="AX1017" s="51" t="n">
        <v>0</v>
      </c>
      <c r="AY1017" s="52" t="n">
        <v>0</v>
      </c>
      <c r="AZ1017" s="52" t="n">
        <v>0</v>
      </c>
      <c r="BA1017" s="52" t="n">
        <v>0</v>
      </c>
      <c r="BB1017" s="53" t="n">
        <v>0</v>
      </c>
      <c r="BC1017" s="52" t="n">
        <v>0</v>
      </c>
      <c r="BD1017" s="53" t="n">
        <v>0</v>
      </c>
      <c r="BE1017" s="52" t="n">
        <v>0</v>
      </c>
      <c r="BF1017" s="51" t="n">
        <v>0</v>
      </c>
    </row>
    <row r="1018">
      <c r="A1018">
        <f>HYPERLINK("https://www.walmart.com/ip/712622757", "712622757")</f>
        <v/>
      </c>
      <c r="B1018" t="inlineStr">
        <is>
          <t>Tirrinia Insulated 2 Bottle Wine Carrier Tote Cooler Bag for Travel Picnic Padded Champagne Glass Carrying Case</t>
        </is>
      </c>
      <c r="C1018" t="inlineStr">
        <is>
          <t>1WMWB221PP</t>
        </is>
      </c>
      <c r="D1018" t="inlineStr">
        <is>
          <t>Wine Totes, Bags &amp; Backpacks</t>
        </is>
      </c>
      <c r="E1018" t="inlineStr">
        <is>
          <t>Flyingstar</t>
        </is>
      </c>
      <c r="F1018" t="inlineStr">
        <is>
          <t>Wine,Christmas,Valentine,SEM</t>
        </is>
      </c>
      <c r="G1018" s="48" t="n">
        <v>0</v>
      </c>
      <c r="H1018" s="49" t="n">
        <v>0</v>
      </c>
      <c r="I1018" s="49" t="n">
        <v>0</v>
      </c>
      <c r="J1018" s="50" t="n">
        <v>0</v>
      </c>
      <c r="K1018" s="51" t="n">
        <v>0</v>
      </c>
      <c r="L1018" s="52" t="n">
        <v>0</v>
      </c>
      <c r="M1018" s="52" t="n">
        <v>0</v>
      </c>
      <c r="N1018" s="52" t="n">
        <v>0</v>
      </c>
      <c r="O1018" s="53" t="n">
        <v>0</v>
      </c>
      <c r="P1018" s="52" t="n">
        <v>0</v>
      </c>
      <c r="Q1018" s="53" t="n">
        <v>0</v>
      </c>
      <c r="R1018" s="52" t="n">
        <v>0</v>
      </c>
      <c r="S1018" s="51" t="n">
        <v>0</v>
      </c>
      <c r="T1018" s="48" t="n">
        <v>0</v>
      </c>
      <c r="U1018" s="49" t="n">
        <v>0</v>
      </c>
      <c r="V1018" s="49" t="n">
        <v>0</v>
      </c>
      <c r="W1018" s="50" t="n">
        <v>0</v>
      </c>
      <c r="X1018" s="51" t="n">
        <v>0</v>
      </c>
      <c r="Y1018" s="52" t="n">
        <v>0</v>
      </c>
      <c r="Z1018" s="52" t="n">
        <v>0</v>
      </c>
      <c r="AA1018" s="52" t="n">
        <v>0</v>
      </c>
      <c r="AB1018" s="53" t="n">
        <v>0</v>
      </c>
      <c r="AC1018" s="52" t="n">
        <v>0</v>
      </c>
      <c r="AD1018" s="53" t="n">
        <v>0</v>
      </c>
      <c r="AE1018" s="52" t="n">
        <v>0</v>
      </c>
      <c r="AF1018" s="51" t="n">
        <v>0</v>
      </c>
      <c r="AG1018" s="48" t="n">
        <v>0</v>
      </c>
      <c r="AH1018" s="49" t="n">
        <v>0</v>
      </c>
      <c r="AI1018" s="49" t="n">
        <v>0</v>
      </c>
      <c r="AJ1018" s="50" t="n">
        <v>0</v>
      </c>
      <c r="AK1018" s="51" t="n">
        <v>0</v>
      </c>
      <c r="AL1018" s="52" t="n">
        <v>0</v>
      </c>
      <c r="AM1018" s="52" t="n">
        <v>0</v>
      </c>
      <c r="AN1018" s="52" t="n">
        <v>0</v>
      </c>
      <c r="AO1018" s="53" t="n">
        <v>0</v>
      </c>
      <c r="AP1018" s="52" t="n">
        <v>0</v>
      </c>
      <c r="AQ1018" s="53" t="n">
        <v>0</v>
      </c>
      <c r="AR1018" s="52" t="n">
        <v>0</v>
      </c>
      <c r="AS1018" s="51" t="n">
        <v>0</v>
      </c>
      <c r="AT1018" s="48" t="n">
        <v>0</v>
      </c>
      <c r="AU1018" s="49" t="n">
        <v>0</v>
      </c>
      <c r="AV1018" s="49" t="n">
        <v>0</v>
      </c>
      <c r="AW1018" s="50" t="n">
        <v>0</v>
      </c>
      <c r="AX1018" s="51" t="n">
        <v>0</v>
      </c>
      <c r="AY1018" s="52" t="n">
        <v>0</v>
      </c>
      <c r="AZ1018" s="52" t="n">
        <v>0</v>
      </c>
      <c r="BA1018" s="52" t="n">
        <v>0</v>
      </c>
      <c r="BB1018" s="53" t="n">
        <v>0</v>
      </c>
      <c r="BC1018" s="52" t="n">
        <v>0</v>
      </c>
      <c r="BD1018" s="53" t="n">
        <v>0</v>
      </c>
      <c r="BE1018" s="52" t="n">
        <v>0</v>
      </c>
      <c r="BF1018" s="51" t="n">
        <v>0</v>
      </c>
    </row>
    <row r="1019">
      <c r="A1019">
        <f>HYPERLINK("https://www.walmart.com/ip/712656183", "712656183")</f>
        <v/>
      </c>
      <c r="B1019" t="inlineStr">
        <is>
          <t>Flyingstar Insulated Lunch Bag, Reusable Tote Bag for Women &amp; Men &amp; Kids, Fashionable Large Cooler Lunch Bag for Working/School/Picnic</t>
        </is>
      </c>
      <c r="C1019" t="inlineStr">
        <is>
          <t>1WMLB703GYSTR</t>
        </is>
      </c>
      <c r="D1019" t="inlineStr">
        <is>
          <t>Reusable Lunch Bags &amp; Boxes</t>
        </is>
      </c>
      <c r="E1019" t="inlineStr">
        <is>
          <t>Flyingstar</t>
        </is>
      </c>
      <c r="F1019" t="inlineStr">
        <is>
          <t>Lunch Bag,Optimized,Lunch Bags</t>
        </is>
      </c>
      <c r="G1019" s="48" t="n">
        <v>0</v>
      </c>
      <c r="H1019" s="49" t="n">
        <v>0</v>
      </c>
      <c r="I1019" s="49" t="n">
        <v>0</v>
      </c>
      <c r="J1019" s="50" t="n">
        <v>0</v>
      </c>
      <c r="K1019" s="51" t="n">
        <v>0</v>
      </c>
      <c r="L1019" s="52" t="n">
        <v>0</v>
      </c>
      <c r="M1019" s="52" t="n">
        <v>0</v>
      </c>
      <c r="N1019" s="52" t="n">
        <v>0</v>
      </c>
      <c r="O1019" s="53" t="n">
        <v>0</v>
      </c>
      <c r="P1019" s="52" t="n">
        <v>0</v>
      </c>
      <c r="Q1019" s="53" t="n">
        <v>0</v>
      </c>
      <c r="R1019" s="52" t="n">
        <v>0</v>
      </c>
      <c r="S1019" s="51" t="n">
        <v>0</v>
      </c>
      <c r="T1019" s="48" t="n">
        <v>0</v>
      </c>
      <c r="U1019" s="49" t="n">
        <v>0</v>
      </c>
      <c r="V1019" s="49" t="n">
        <v>0</v>
      </c>
      <c r="W1019" s="50" t="n">
        <v>0</v>
      </c>
      <c r="X1019" s="51" t="n">
        <v>0</v>
      </c>
      <c r="Y1019" s="52" t="n">
        <v>0</v>
      </c>
      <c r="Z1019" s="52" t="n">
        <v>0</v>
      </c>
      <c r="AA1019" s="52" t="n">
        <v>0</v>
      </c>
      <c r="AB1019" s="53" t="n">
        <v>0</v>
      </c>
      <c r="AC1019" s="52" t="n">
        <v>0</v>
      </c>
      <c r="AD1019" s="53" t="n">
        <v>0</v>
      </c>
      <c r="AE1019" s="52" t="n">
        <v>0</v>
      </c>
      <c r="AF1019" s="51" t="n">
        <v>0</v>
      </c>
      <c r="AG1019" s="48" t="n">
        <v>0</v>
      </c>
      <c r="AH1019" s="49" t="n">
        <v>0</v>
      </c>
      <c r="AI1019" s="49" t="n">
        <v>0</v>
      </c>
      <c r="AJ1019" s="50" t="n">
        <v>0</v>
      </c>
      <c r="AK1019" s="51" t="n">
        <v>0</v>
      </c>
      <c r="AL1019" s="52" t="n">
        <v>0</v>
      </c>
      <c r="AM1019" s="52" t="n">
        <v>0</v>
      </c>
      <c r="AN1019" s="52" t="n">
        <v>0</v>
      </c>
      <c r="AO1019" s="53" t="n">
        <v>0</v>
      </c>
      <c r="AP1019" s="52" t="n">
        <v>0</v>
      </c>
      <c r="AQ1019" s="53" t="n">
        <v>0</v>
      </c>
      <c r="AR1019" s="52" t="n">
        <v>0</v>
      </c>
      <c r="AS1019" s="51" t="n">
        <v>0</v>
      </c>
      <c r="AT1019" s="48" t="n">
        <v>0</v>
      </c>
      <c r="AU1019" s="49" t="n">
        <v>0</v>
      </c>
      <c r="AV1019" s="49" t="n">
        <v>0</v>
      </c>
      <c r="AW1019" s="50" t="n">
        <v>0</v>
      </c>
      <c r="AX1019" s="51" t="n">
        <v>0</v>
      </c>
      <c r="AY1019" s="52" t="n">
        <v>0</v>
      </c>
      <c r="AZ1019" s="52" t="n">
        <v>0</v>
      </c>
      <c r="BA1019" s="52" t="n">
        <v>0</v>
      </c>
      <c r="BB1019" s="53" t="n">
        <v>0</v>
      </c>
      <c r="BC1019" s="52" t="n">
        <v>0</v>
      </c>
      <c r="BD1019" s="53" t="n">
        <v>0</v>
      </c>
      <c r="BE1019" s="52" t="n">
        <v>0</v>
      </c>
      <c r="BF1019" s="51" t="n">
        <v>0</v>
      </c>
    </row>
    <row r="1020">
      <c r="A1020">
        <f>HYPERLINK("https://www.walmart.com/ip/704439169", "704439169")</f>
        <v/>
      </c>
      <c r="B1020" t="inlineStr">
        <is>
          <t>Flyingstar Insulated Picnic Basket with Handle, Leakproof Collapsible Portable Insulated Cooler Bag for Camping, Travel, and Shopping, with Free Foldable Grocery Bag, 26L</t>
        </is>
      </c>
      <c r="C1020" t="inlineStr">
        <is>
          <t>1WMPB100-BL</t>
        </is>
      </c>
      <c r="D1020" t="inlineStr">
        <is>
          <t>Picnic Baskets &amp; Bags</t>
        </is>
      </c>
      <c r="E1020" t="inlineStr">
        <is>
          <t>Tirrinia</t>
        </is>
      </c>
      <c r="F1020" t="inlineStr">
        <is>
          <t>Optimized,SEM</t>
        </is>
      </c>
      <c r="G1020" s="48" t="n">
        <v>0</v>
      </c>
      <c r="H1020" s="49" t="n">
        <v>0</v>
      </c>
      <c r="I1020" s="49" t="n">
        <v>0</v>
      </c>
      <c r="J1020" s="50" t="n">
        <v>0</v>
      </c>
      <c r="K1020" s="51" t="n">
        <v>0</v>
      </c>
      <c r="L1020" s="52" t="n">
        <v>0</v>
      </c>
      <c r="M1020" s="52" t="n">
        <v>0</v>
      </c>
      <c r="N1020" s="52" t="n">
        <v>0</v>
      </c>
      <c r="O1020" s="53" t="n">
        <v>0</v>
      </c>
      <c r="P1020" s="52" t="n">
        <v>0</v>
      </c>
      <c r="Q1020" s="53" t="n">
        <v>0</v>
      </c>
      <c r="R1020" s="52" t="n">
        <v>0</v>
      </c>
      <c r="S1020" s="51" t="n">
        <v>0</v>
      </c>
      <c r="T1020" s="48" t="n">
        <v>0</v>
      </c>
      <c r="U1020" s="49" t="n">
        <v>0</v>
      </c>
      <c r="V1020" s="49" t="n">
        <v>0</v>
      </c>
      <c r="W1020" s="50" t="n">
        <v>0</v>
      </c>
      <c r="X1020" s="51" t="n">
        <v>0</v>
      </c>
      <c r="Y1020" s="52" t="n">
        <v>0</v>
      </c>
      <c r="Z1020" s="52" t="n">
        <v>0</v>
      </c>
      <c r="AA1020" s="52" t="n">
        <v>0</v>
      </c>
      <c r="AB1020" s="53" t="n">
        <v>0</v>
      </c>
      <c r="AC1020" s="52" t="n">
        <v>0</v>
      </c>
      <c r="AD1020" s="53" t="n">
        <v>0</v>
      </c>
      <c r="AE1020" s="52" t="n">
        <v>0</v>
      </c>
      <c r="AF1020" s="51" t="n">
        <v>0</v>
      </c>
      <c r="AG1020" s="48" t="n">
        <v>0</v>
      </c>
      <c r="AH1020" s="49" t="n">
        <v>0</v>
      </c>
      <c r="AI1020" s="49" t="n">
        <v>0</v>
      </c>
      <c r="AJ1020" s="50" t="n">
        <v>0</v>
      </c>
      <c r="AK1020" s="51" t="n">
        <v>0</v>
      </c>
      <c r="AL1020" s="52" t="n">
        <v>0</v>
      </c>
      <c r="AM1020" s="52" t="n">
        <v>0</v>
      </c>
      <c r="AN1020" s="52" t="n">
        <v>0</v>
      </c>
      <c r="AO1020" s="53" t="n">
        <v>0</v>
      </c>
      <c r="AP1020" s="52" t="n">
        <v>0</v>
      </c>
      <c r="AQ1020" s="53" t="n">
        <v>0</v>
      </c>
      <c r="AR1020" s="52" t="n">
        <v>0</v>
      </c>
      <c r="AS1020" s="51" t="n">
        <v>0</v>
      </c>
      <c r="AT1020" s="48" t="n">
        <v>0</v>
      </c>
      <c r="AU1020" s="49" t="n">
        <v>0</v>
      </c>
      <c r="AV1020" s="49" t="n">
        <v>0</v>
      </c>
      <c r="AW1020" s="50" t="n">
        <v>0</v>
      </c>
      <c r="AX1020" s="51" t="n">
        <v>0</v>
      </c>
      <c r="AY1020" s="52" t="n">
        <v>0</v>
      </c>
      <c r="AZ1020" s="52" t="n">
        <v>0</v>
      </c>
      <c r="BA1020" s="52" t="n">
        <v>0</v>
      </c>
      <c r="BB1020" s="53" t="n">
        <v>0</v>
      </c>
      <c r="BC1020" s="52" t="n">
        <v>0</v>
      </c>
      <c r="BD1020" s="53" t="n">
        <v>0</v>
      </c>
      <c r="BE1020" s="52" t="n">
        <v>0</v>
      </c>
      <c r="BF1020" s="51" t="n">
        <v>0</v>
      </c>
    </row>
    <row r="1021">
      <c r="A1021">
        <f>HYPERLINK("https://www.walmart.com/ip/703461091", "703461091")</f>
        <v/>
      </c>
      <c r="B1021" t="inlineStr">
        <is>
          <t>Terra Men Boxer Brief Underwear Best 3 Pack Most Comfortable Cotton Trunk Short</t>
        </is>
      </c>
      <c r="C1021" t="inlineStr">
        <is>
          <t>TERRA-BOXER8-L</t>
        </is>
      </c>
      <c r="D1021" t="inlineStr">
        <is>
          <t>Underpants</t>
        </is>
      </c>
      <c r="E1021" t="inlineStr">
        <is>
          <t>Terra</t>
        </is>
      </c>
      <c r="F1021" t="inlineStr">
        <is>
          <t>Batch 1 - TR</t>
        </is>
      </c>
      <c r="G1021" s="48" t="n">
        <v>0</v>
      </c>
      <c r="H1021" s="49" t="n">
        <v>0</v>
      </c>
      <c r="I1021" s="49" t="n">
        <v>0</v>
      </c>
      <c r="J1021" s="50" t="n">
        <v>0</v>
      </c>
      <c r="K1021" s="51" t="n">
        <v>0</v>
      </c>
      <c r="L1021" s="52" t="n">
        <v>0</v>
      </c>
      <c r="M1021" s="52" t="n">
        <v>0</v>
      </c>
      <c r="N1021" s="52" t="n">
        <v>0</v>
      </c>
      <c r="O1021" s="53" t="n">
        <v>0</v>
      </c>
      <c r="P1021" s="52" t="n">
        <v>0</v>
      </c>
      <c r="Q1021" s="53" t="n">
        <v>0</v>
      </c>
      <c r="R1021" s="52" t="n">
        <v>0</v>
      </c>
      <c r="S1021" s="51" t="n">
        <v>0</v>
      </c>
      <c r="T1021" s="48" t="n">
        <v>0</v>
      </c>
      <c r="U1021" s="49" t="n">
        <v>0</v>
      </c>
      <c r="V1021" s="49" t="n">
        <v>0</v>
      </c>
      <c r="W1021" s="50" t="n">
        <v>0</v>
      </c>
      <c r="X1021" s="51" t="n">
        <v>0</v>
      </c>
      <c r="Y1021" s="52" t="n">
        <v>0</v>
      </c>
      <c r="Z1021" s="52" t="n">
        <v>0</v>
      </c>
      <c r="AA1021" s="52" t="n">
        <v>0</v>
      </c>
      <c r="AB1021" s="53" t="n">
        <v>0</v>
      </c>
      <c r="AC1021" s="52" t="n">
        <v>0</v>
      </c>
      <c r="AD1021" s="53" t="n">
        <v>0</v>
      </c>
      <c r="AE1021" s="52" t="n">
        <v>0</v>
      </c>
      <c r="AF1021" s="51" t="n">
        <v>0</v>
      </c>
      <c r="AG1021" s="48" t="n">
        <v>0</v>
      </c>
      <c r="AH1021" s="49" t="n">
        <v>0</v>
      </c>
      <c r="AI1021" s="49" t="n">
        <v>0</v>
      </c>
      <c r="AJ1021" s="50" t="n">
        <v>0</v>
      </c>
      <c r="AK1021" s="51" t="n">
        <v>0</v>
      </c>
      <c r="AL1021" s="52" t="n">
        <v>0</v>
      </c>
      <c r="AM1021" s="52" t="n">
        <v>0</v>
      </c>
      <c r="AN1021" s="52" t="n">
        <v>0</v>
      </c>
      <c r="AO1021" s="53" t="n">
        <v>0</v>
      </c>
      <c r="AP1021" s="52" t="n">
        <v>0</v>
      </c>
      <c r="AQ1021" s="53" t="n">
        <v>0</v>
      </c>
      <c r="AR1021" s="52" t="n">
        <v>0</v>
      </c>
      <c r="AS1021" s="51" t="n">
        <v>0</v>
      </c>
      <c r="AT1021" s="48" t="n">
        <v>0</v>
      </c>
      <c r="AU1021" s="49" t="n">
        <v>0</v>
      </c>
      <c r="AV1021" s="49" t="n">
        <v>0</v>
      </c>
      <c r="AW1021" s="50" t="n">
        <v>0</v>
      </c>
      <c r="AX1021" s="51" t="n">
        <v>0</v>
      </c>
      <c r="AY1021" s="52" t="n">
        <v>0</v>
      </c>
      <c r="AZ1021" s="52" t="n">
        <v>0</v>
      </c>
      <c r="BA1021" s="52" t="n">
        <v>0</v>
      </c>
      <c r="BB1021" s="53" t="n">
        <v>0</v>
      </c>
      <c r="BC1021" s="52" t="n">
        <v>0</v>
      </c>
      <c r="BD1021" s="53" t="n">
        <v>0</v>
      </c>
      <c r="BE1021" s="52" t="n">
        <v>0</v>
      </c>
      <c r="BF1021" s="51" t="n">
        <v>0</v>
      </c>
    </row>
    <row r="1022">
      <c r="A1022">
        <f>HYPERLINK("https://www.walmart.com/ip/712836022", "712836022")</f>
        <v/>
      </c>
      <c r="B1022" t="inlineStr">
        <is>
          <t>Solaris Men Winter Ski Snow Gloves with Breathable Face Mask The Warmest 3M Insulation Waterproof Outdoor Snowboard Mitt</t>
        </is>
      </c>
      <c r="C1022" t="inlineStr">
        <is>
          <t>1SLWG301GYBK-L</t>
        </is>
      </c>
      <c r="D1022" t="inlineStr">
        <is>
          <t>Gloves &amp; Mittens</t>
        </is>
      </c>
      <c r="E1022" t="inlineStr">
        <is>
          <t>Solaris</t>
        </is>
      </c>
      <c r="F1022" t="inlineStr">
        <is>
          <t>Gloves,WFS,WFS Item</t>
        </is>
      </c>
      <c r="G1022" s="48" t="n">
        <v>0</v>
      </c>
      <c r="H1022" s="49" t="n">
        <v>0</v>
      </c>
      <c r="I1022" s="49" t="n">
        <v>0</v>
      </c>
      <c r="J1022" s="50" t="n">
        <v>0</v>
      </c>
      <c r="K1022" s="51" t="n">
        <v>0</v>
      </c>
      <c r="L1022" s="52" t="n">
        <v>0</v>
      </c>
      <c r="M1022" s="52" t="n">
        <v>0</v>
      </c>
      <c r="N1022" s="52" t="n">
        <v>0</v>
      </c>
      <c r="O1022" s="53" t="n">
        <v>0</v>
      </c>
      <c r="P1022" s="52" t="n">
        <v>0</v>
      </c>
      <c r="Q1022" s="53" t="n">
        <v>0</v>
      </c>
      <c r="R1022" s="52" t="n">
        <v>0</v>
      </c>
      <c r="S1022" s="51" t="n">
        <v>0</v>
      </c>
      <c r="T1022" s="48" t="n">
        <v>0</v>
      </c>
      <c r="U1022" s="49" t="n">
        <v>0</v>
      </c>
      <c r="V1022" s="49" t="n">
        <v>0</v>
      </c>
      <c r="W1022" s="50" t="n">
        <v>0</v>
      </c>
      <c r="X1022" s="51" t="n">
        <v>0</v>
      </c>
      <c r="Y1022" s="52" t="n">
        <v>0</v>
      </c>
      <c r="Z1022" s="52" t="n">
        <v>0</v>
      </c>
      <c r="AA1022" s="52" t="n">
        <v>0</v>
      </c>
      <c r="AB1022" s="53" t="n">
        <v>0</v>
      </c>
      <c r="AC1022" s="52" t="n">
        <v>0</v>
      </c>
      <c r="AD1022" s="53" t="n">
        <v>0</v>
      </c>
      <c r="AE1022" s="52" t="n">
        <v>0</v>
      </c>
      <c r="AF1022" s="51" t="n">
        <v>0</v>
      </c>
      <c r="AG1022" s="48" t="n">
        <v>0</v>
      </c>
      <c r="AH1022" s="49" t="n">
        <v>0</v>
      </c>
      <c r="AI1022" s="49" t="n">
        <v>0</v>
      </c>
      <c r="AJ1022" s="50" t="n">
        <v>0</v>
      </c>
      <c r="AK1022" s="51" t="n">
        <v>0</v>
      </c>
      <c r="AL1022" s="52" t="n">
        <v>0</v>
      </c>
      <c r="AM1022" s="52" t="n">
        <v>0</v>
      </c>
      <c r="AN1022" s="52" t="n">
        <v>0</v>
      </c>
      <c r="AO1022" s="53" t="n">
        <v>0</v>
      </c>
      <c r="AP1022" s="52" t="n">
        <v>0</v>
      </c>
      <c r="AQ1022" s="53" t="n">
        <v>0</v>
      </c>
      <c r="AR1022" s="52" t="n">
        <v>0</v>
      </c>
      <c r="AS1022" s="51" t="n">
        <v>0</v>
      </c>
      <c r="AT1022" s="48" t="n">
        <v>0</v>
      </c>
      <c r="AU1022" s="49" t="n">
        <v>0</v>
      </c>
      <c r="AV1022" s="49" t="n">
        <v>0</v>
      </c>
      <c r="AW1022" s="50" t="n">
        <v>0</v>
      </c>
      <c r="AX1022" s="51" t="n">
        <v>0</v>
      </c>
      <c r="AY1022" s="52" t="n">
        <v>0</v>
      </c>
      <c r="AZ1022" s="52" t="n">
        <v>0</v>
      </c>
      <c r="BA1022" s="52" t="n">
        <v>0</v>
      </c>
      <c r="BB1022" s="53" t="n">
        <v>0</v>
      </c>
      <c r="BC1022" s="52" t="n">
        <v>0</v>
      </c>
      <c r="BD1022" s="53" t="n">
        <v>0</v>
      </c>
      <c r="BE1022" s="52" t="n">
        <v>0</v>
      </c>
      <c r="BF1022" s="51" t="n">
        <v>0</v>
      </c>
    </row>
    <row r="1023">
      <c r="A1023">
        <f>HYPERLINK("https://www.walmart.com/ip/702937282", "702937282")</f>
        <v/>
      </c>
      <c r="B1023" t="inlineStr">
        <is>
          <t>Catalonia Red Plaid Sherpa Throw Blanket, Super Soft Throw for Sofa Couch Bed, TV Blanket, Micro Mink Fleece Plush, Comfy Cozy Fluffy Warm, Holiday Gift (60x50 Inches, Buffalo)</t>
        </is>
      </c>
      <c r="C1023" t="inlineStr">
        <is>
          <t>1CTBF568PRDGN</t>
        </is>
      </c>
      <c r="D1023" t="inlineStr">
        <is>
          <t>Throws</t>
        </is>
      </c>
      <c r="E1023" t="inlineStr">
        <is>
          <t>Catalonia</t>
        </is>
      </c>
      <c r="F1023" t="inlineStr">
        <is>
          <t>Q2-Target,WFS,Coupon_Discount,WFS Item</t>
        </is>
      </c>
      <c r="G1023" s="48" t="n">
        <v>0</v>
      </c>
      <c r="H1023" s="49" t="n">
        <v>0</v>
      </c>
      <c r="I1023" s="49" t="n">
        <v>0</v>
      </c>
      <c r="J1023" s="50" t="n">
        <v>0</v>
      </c>
      <c r="K1023" s="51" t="n">
        <v>0</v>
      </c>
      <c r="L1023" s="52" t="n">
        <v>0</v>
      </c>
      <c r="M1023" s="52" t="n">
        <v>0</v>
      </c>
      <c r="N1023" s="52" t="n">
        <v>0</v>
      </c>
      <c r="O1023" s="53" t="n">
        <v>0</v>
      </c>
      <c r="P1023" s="52" t="n">
        <v>0</v>
      </c>
      <c r="Q1023" s="53" t="n">
        <v>0</v>
      </c>
      <c r="R1023" s="52" t="n">
        <v>0</v>
      </c>
      <c r="S1023" s="51" t="n">
        <v>0</v>
      </c>
      <c r="T1023" s="48" t="n">
        <v>0</v>
      </c>
      <c r="U1023" s="49" t="n">
        <v>0</v>
      </c>
      <c r="V1023" s="49" t="n">
        <v>0</v>
      </c>
      <c r="W1023" s="50" t="n">
        <v>0</v>
      </c>
      <c r="X1023" s="51" t="n">
        <v>0</v>
      </c>
      <c r="Y1023" s="52" t="n">
        <v>0</v>
      </c>
      <c r="Z1023" s="52" t="n">
        <v>0</v>
      </c>
      <c r="AA1023" s="52" t="n">
        <v>0</v>
      </c>
      <c r="AB1023" s="53" t="n">
        <v>0</v>
      </c>
      <c r="AC1023" s="52" t="n">
        <v>0</v>
      </c>
      <c r="AD1023" s="53" t="n">
        <v>0</v>
      </c>
      <c r="AE1023" s="52" t="n">
        <v>0</v>
      </c>
      <c r="AF1023" s="51" t="n">
        <v>0</v>
      </c>
      <c r="AG1023" s="48" t="n">
        <v>0</v>
      </c>
      <c r="AH1023" s="49" t="n">
        <v>0</v>
      </c>
      <c r="AI1023" s="49" t="n">
        <v>0</v>
      </c>
      <c r="AJ1023" s="50" t="n">
        <v>0</v>
      </c>
      <c r="AK1023" s="51" t="n">
        <v>0</v>
      </c>
      <c r="AL1023" s="52" t="n">
        <v>0</v>
      </c>
      <c r="AM1023" s="52" t="n">
        <v>0</v>
      </c>
      <c r="AN1023" s="52" t="n">
        <v>0</v>
      </c>
      <c r="AO1023" s="53" t="n">
        <v>0</v>
      </c>
      <c r="AP1023" s="52" t="n">
        <v>0</v>
      </c>
      <c r="AQ1023" s="53" t="n">
        <v>0</v>
      </c>
      <c r="AR1023" s="52" t="n">
        <v>0</v>
      </c>
      <c r="AS1023" s="51" t="n">
        <v>0</v>
      </c>
      <c r="AT1023" s="48" t="n">
        <v>0</v>
      </c>
      <c r="AU1023" s="49" t="n">
        <v>0</v>
      </c>
      <c r="AV1023" s="49" t="n">
        <v>0</v>
      </c>
      <c r="AW1023" s="50" t="n">
        <v>0</v>
      </c>
      <c r="AX1023" s="51" t="n">
        <v>0</v>
      </c>
      <c r="AY1023" s="52" t="n">
        <v>0</v>
      </c>
      <c r="AZ1023" s="52" t="n">
        <v>0</v>
      </c>
      <c r="BA1023" s="52" t="n">
        <v>0</v>
      </c>
      <c r="BB1023" s="53" t="n">
        <v>0</v>
      </c>
      <c r="BC1023" s="52" t="n">
        <v>0</v>
      </c>
      <c r="BD1023" s="53" t="n">
        <v>0</v>
      </c>
      <c r="BE1023" s="52" t="n">
        <v>0</v>
      </c>
      <c r="BF1023" s="51" t="n">
        <v>0</v>
      </c>
    </row>
    <row r="1024">
      <c r="A1024">
        <f>HYPERLINK("https://www.walmart.com/ip/695590866", "695590866")</f>
        <v/>
      </c>
      <c r="B1024" t="inlineStr">
        <is>
          <t>Two Pieces Tankini Swimsuit for Women Shoulder Strap Swimwear Bikini Bottom Bathing Suits Set by Tirrinia</t>
        </is>
      </c>
      <c r="C1024" t="inlineStr">
        <is>
          <t>1TRSS006BKBK-L</t>
        </is>
      </c>
      <c r="D1024" t="inlineStr">
        <is>
          <t>Swimsuit Sets</t>
        </is>
      </c>
      <c r="E1024" t="inlineStr">
        <is>
          <t>Tirrinia</t>
        </is>
      </c>
      <c r="F1024" t="inlineStr">
        <is>
          <t>Batch 1 - TR</t>
        </is>
      </c>
      <c r="G1024" s="48" t="n">
        <v>0</v>
      </c>
      <c r="H1024" s="49" t="n">
        <v>0</v>
      </c>
      <c r="I1024" s="49" t="n">
        <v>0</v>
      </c>
      <c r="J1024" s="50" t="n">
        <v>0</v>
      </c>
      <c r="K1024" s="51" t="n">
        <v>0</v>
      </c>
      <c r="L1024" s="52" t="n">
        <v>0</v>
      </c>
      <c r="M1024" s="52" t="n">
        <v>0</v>
      </c>
      <c r="N1024" s="52" t="n">
        <v>0</v>
      </c>
      <c r="O1024" s="53" t="n">
        <v>0</v>
      </c>
      <c r="P1024" s="52" t="n">
        <v>0</v>
      </c>
      <c r="Q1024" s="53" t="n">
        <v>0</v>
      </c>
      <c r="R1024" s="52" t="n">
        <v>0</v>
      </c>
      <c r="S1024" s="51" t="n">
        <v>0</v>
      </c>
      <c r="T1024" s="48" t="n">
        <v>0</v>
      </c>
      <c r="U1024" s="49" t="n">
        <v>0</v>
      </c>
      <c r="V1024" s="49" t="n">
        <v>0</v>
      </c>
      <c r="W1024" s="50" t="n">
        <v>0</v>
      </c>
      <c r="X1024" s="51" t="n">
        <v>0</v>
      </c>
      <c r="Y1024" s="52" t="n">
        <v>0</v>
      </c>
      <c r="Z1024" s="52" t="n">
        <v>0</v>
      </c>
      <c r="AA1024" s="52" t="n">
        <v>0</v>
      </c>
      <c r="AB1024" s="53" t="n">
        <v>0</v>
      </c>
      <c r="AC1024" s="52" t="n">
        <v>0</v>
      </c>
      <c r="AD1024" s="53" t="n">
        <v>0</v>
      </c>
      <c r="AE1024" s="52" t="n">
        <v>0</v>
      </c>
      <c r="AF1024" s="51" t="n">
        <v>0</v>
      </c>
      <c r="AG1024" s="48" t="n">
        <v>0</v>
      </c>
      <c r="AH1024" s="49" t="n">
        <v>0</v>
      </c>
      <c r="AI1024" s="49" t="n">
        <v>0</v>
      </c>
      <c r="AJ1024" s="50" t="n">
        <v>0</v>
      </c>
      <c r="AK1024" s="51" t="n">
        <v>0</v>
      </c>
      <c r="AL1024" s="52" t="n">
        <v>0</v>
      </c>
      <c r="AM1024" s="52" t="n">
        <v>0</v>
      </c>
      <c r="AN1024" s="52" t="n">
        <v>0</v>
      </c>
      <c r="AO1024" s="53" t="n">
        <v>0</v>
      </c>
      <c r="AP1024" s="52" t="n">
        <v>0</v>
      </c>
      <c r="AQ1024" s="53" t="n">
        <v>0</v>
      </c>
      <c r="AR1024" s="52" t="n">
        <v>0</v>
      </c>
      <c r="AS1024" s="51" t="n">
        <v>0</v>
      </c>
      <c r="AT1024" s="48" t="n">
        <v>0</v>
      </c>
      <c r="AU1024" s="49" t="n">
        <v>0</v>
      </c>
      <c r="AV1024" s="49" t="n">
        <v>0</v>
      </c>
      <c r="AW1024" s="50" t="n">
        <v>0</v>
      </c>
      <c r="AX1024" s="51" t="n">
        <v>0</v>
      </c>
      <c r="AY1024" s="52" t="n">
        <v>0</v>
      </c>
      <c r="AZ1024" s="52" t="n">
        <v>0</v>
      </c>
      <c r="BA1024" s="52" t="n">
        <v>0</v>
      </c>
      <c r="BB1024" s="53" t="n">
        <v>0</v>
      </c>
      <c r="BC1024" s="52" t="n">
        <v>0</v>
      </c>
      <c r="BD1024" s="53" t="n">
        <v>0</v>
      </c>
      <c r="BE1024" s="52" t="n">
        <v>0</v>
      </c>
      <c r="BF1024" s="51" t="n">
        <v>0</v>
      </c>
    </row>
    <row r="1025">
      <c r="A1025">
        <f>HYPERLINK("https://www.walmart.com/ip/695656137", "695656137")</f>
        <v/>
      </c>
      <c r="B1025" t="inlineStr">
        <is>
          <t>Catalonia 15lb Weighted Blanket for Kids Adult, Premium Heavy Blanket, 60"×80", Cotton, Grey</t>
        </is>
      </c>
      <c r="C1025" t="inlineStr">
        <is>
          <t>1CTBG806GY-15C</t>
        </is>
      </c>
      <c r="D1025" t="inlineStr">
        <is>
          <t>Bed Blankets</t>
        </is>
      </c>
      <c r="E1025" t="inlineStr">
        <is>
          <t>Catalonia</t>
        </is>
      </c>
      <c r="F1025" t="inlineStr">
        <is>
          <t>WFS,Valentine,WFS Item</t>
        </is>
      </c>
      <c r="G1025" s="48" t="n">
        <v>0</v>
      </c>
      <c r="H1025" s="49" t="n">
        <v>0</v>
      </c>
      <c r="I1025" s="49" t="n">
        <v>0</v>
      </c>
      <c r="J1025" s="50" t="n">
        <v>0</v>
      </c>
      <c r="K1025" s="51" t="n">
        <v>0</v>
      </c>
      <c r="L1025" s="52" t="n">
        <v>0</v>
      </c>
      <c r="M1025" s="52" t="n">
        <v>0</v>
      </c>
      <c r="N1025" s="52" t="n">
        <v>0</v>
      </c>
      <c r="O1025" s="53" t="n">
        <v>0</v>
      </c>
      <c r="P1025" s="52" t="n">
        <v>0</v>
      </c>
      <c r="Q1025" s="53" t="n">
        <v>0</v>
      </c>
      <c r="R1025" s="52" t="n">
        <v>0</v>
      </c>
      <c r="S1025" s="51" t="n">
        <v>0</v>
      </c>
      <c r="T1025" s="48" t="n">
        <v>0</v>
      </c>
      <c r="U1025" s="49" t="n">
        <v>0</v>
      </c>
      <c r="V1025" s="49" t="n">
        <v>0</v>
      </c>
      <c r="W1025" s="50" t="n">
        <v>0</v>
      </c>
      <c r="X1025" s="51" t="n">
        <v>0</v>
      </c>
      <c r="Y1025" s="52" t="n">
        <v>0</v>
      </c>
      <c r="Z1025" s="52" t="n">
        <v>0</v>
      </c>
      <c r="AA1025" s="52" t="n">
        <v>0</v>
      </c>
      <c r="AB1025" s="53" t="n">
        <v>0</v>
      </c>
      <c r="AC1025" s="52" t="n">
        <v>0</v>
      </c>
      <c r="AD1025" s="53" t="n">
        <v>0</v>
      </c>
      <c r="AE1025" s="52" t="n">
        <v>0</v>
      </c>
      <c r="AF1025" s="51" t="n">
        <v>0</v>
      </c>
      <c r="AG1025" s="48" t="n">
        <v>0</v>
      </c>
      <c r="AH1025" s="49" t="n">
        <v>0</v>
      </c>
      <c r="AI1025" s="49" t="n">
        <v>0</v>
      </c>
      <c r="AJ1025" s="50" t="n">
        <v>0</v>
      </c>
      <c r="AK1025" s="51" t="n">
        <v>0</v>
      </c>
      <c r="AL1025" s="52" t="n">
        <v>0</v>
      </c>
      <c r="AM1025" s="52" t="n">
        <v>0</v>
      </c>
      <c r="AN1025" s="52" t="n">
        <v>0</v>
      </c>
      <c r="AO1025" s="53" t="n">
        <v>0</v>
      </c>
      <c r="AP1025" s="52" t="n">
        <v>0</v>
      </c>
      <c r="AQ1025" s="53" t="n">
        <v>0</v>
      </c>
      <c r="AR1025" s="52" t="n">
        <v>0</v>
      </c>
      <c r="AS1025" s="51" t="n">
        <v>0</v>
      </c>
      <c r="AT1025" s="48" t="n">
        <v>0</v>
      </c>
      <c r="AU1025" s="49" t="n">
        <v>0</v>
      </c>
      <c r="AV1025" s="49" t="n">
        <v>0</v>
      </c>
      <c r="AW1025" s="50" t="n">
        <v>0</v>
      </c>
      <c r="AX1025" s="51" t="n">
        <v>0</v>
      </c>
      <c r="AY1025" s="52" t="n">
        <v>0</v>
      </c>
      <c r="AZ1025" s="52" t="n">
        <v>0</v>
      </c>
      <c r="BA1025" s="52" t="n">
        <v>0</v>
      </c>
      <c r="BB1025" s="53" t="n">
        <v>0</v>
      </c>
      <c r="BC1025" s="52" t="n">
        <v>0</v>
      </c>
      <c r="BD1025" s="53" t="n">
        <v>0</v>
      </c>
      <c r="BE1025" s="52" t="n">
        <v>0</v>
      </c>
      <c r="BF1025" s="51" t="n">
        <v>0</v>
      </c>
    </row>
    <row r="1026">
      <c r="A1026">
        <f>HYPERLINK("https://www.walmart.com/ip/695726874", "695726874")</f>
        <v/>
      </c>
      <c r="B1026" t="inlineStr">
        <is>
          <t>Tirrinia Insulated 2 Bottle Wine Carrier Tote Cooler Bag for Travel Picnic Padded Champagne Glass</t>
        </is>
      </c>
      <c r="C1026" t="inlineStr">
        <is>
          <t>1TRWB231KK</t>
        </is>
      </c>
      <c r="D1026" t="inlineStr">
        <is>
          <t>Wine Totes, Bags &amp; Backpacks</t>
        </is>
      </c>
      <c r="E1026" t="inlineStr">
        <is>
          <t>Tirrinia</t>
        </is>
      </c>
      <c r="F1026" t="inlineStr">
        <is>
          <t>Wine,Christmas,WFS,Valentine,SEM,WFS Item</t>
        </is>
      </c>
      <c r="G1026" s="48" t="n">
        <v>0</v>
      </c>
      <c r="H1026" s="49" t="n">
        <v>0</v>
      </c>
      <c r="I1026" s="49" t="n">
        <v>0</v>
      </c>
      <c r="J1026" s="50" t="n">
        <v>0</v>
      </c>
      <c r="K1026" s="51" t="n">
        <v>0</v>
      </c>
      <c r="L1026" s="52" t="n">
        <v>0</v>
      </c>
      <c r="M1026" s="52" t="n">
        <v>0</v>
      </c>
      <c r="N1026" s="52" t="n">
        <v>0</v>
      </c>
      <c r="O1026" s="53" t="n">
        <v>0</v>
      </c>
      <c r="P1026" s="52" t="n">
        <v>0</v>
      </c>
      <c r="Q1026" s="53" t="n">
        <v>0</v>
      </c>
      <c r="R1026" s="52" t="n">
        <v>0</v>
      </c>
      <c r="S1026" s="51" t="n">
        <v>297</v>
      </c>
      <c r="T1026" s="48" t="n">
        <v>0</v>
      </c>
      <c r="U1026" s="49" t="n">
        <v>0</v>
      </c>
      <c r="V1026" s="49" t="n">
        <v>0</v>
      </c>
      <c r="W1026" s="50" t="n">
        <v>0</v>
      </c>
      <c r="X1026" s="51" t="n">
        <v>0</v>
      </c>
      <c r="Y1026" s="52" t="n">
        <v>0</v>
      </c>
      <c r="Z1026" s="52" t="n">
        <v>0</v>
      </c>
      <c r="AA1026" s="52" t="n">
        <v>0</v>
      </c>
      <c r="AB1026" s="53" t="n">
        <v>0</v>
      </c>
      <c r="AC1026" s="52" t="n">
        <v>0</v>
      </c>
      <c r="AD1026" s="53" t="n">
        <v>0</v>
      </c>
      <c r="AE1026" s="52" t="n">
        <v>0</v>
      </c>
      <c r="AF1026" s="51" t="n">
        <v>648</v>
      </c>
      <c r="AG1026" s="48" t="n">
        <v>0</v>
      </c>
      <c r="AH1026" s="49" t="n">
        <v>0</v>
      </c>
      <c r="AI1026" s="49" t="n">
        <v>0</v>
      </c>
      <c r="AJ1026" s="50" t="n">
        <v>0</v>
      </c>
      <c r="AK1026" s="51" t="n">
        <v>0</v>
      </c>
      <c r="AL1026" s="52" t="n">
        <v>0</v>
      </c>
      <c r="AM1026" s="52" t="n">
        <v>0</v>
      </c>
      <c r="AN1026" s="52" t="n">
        <v>0</v>
      </c>
      <c r="AO1026" s="53" t="n">
        <v>0</v>
      </c>
      <c r="AP1026" s="52" t="n">
        <v>0</v>
      </c>
      <c r="AQ1026" s="53" t="n">
        <v>0</v>
      </c>
      <c r="AR1026" s="52" t="n">
        <v>0</v>
      </c>
      <c r="AS1026" s="51" t="n">
        <v>618</v>
      </c>
      <c r="AT1026" s="48" t="n">
        <v>0</v>
      </c>
      <c r="AU1026" s="49" t="n">
        <v>0</v>
      </c>
      <c r="AV1026" s="49" t="n">
        <v>0</v>
      </c>
      <c r="AW1026" s="50" t="n">
        <v>0</v>
      </c>
      <c r="AX1026" s="51" t="n">
        <v>0</v>
      </c>
      <c r="AY1026" s="52" t="n">
        <v>0</v>
      </c>
      <c r="AZ1026" s="52" t="n">
        <v>0</v>
      </c>
      <c r="BA1026" s="52" t="n">
        <v>0</v>
      </c>
      <c r="BB1026" s="53" t="n">
        <v>0</v>
      </c>
      <c r="BC1026" s="52" t="n">
        <v>0</v>
      </c>
      <c r="BD1026" s="53" t="n">
        <v>0</v>
      </c>
      <c r="BE1026" s="52" t="n">
        <v>0</v>
      </c>
      <c r="BF1026" s="51" t="n">
        <v>785</v>
      </c>
    </row>
    <row r="1027">
      <c r="A1027">
        <f>HYPERLINK("https://www.walmart.com/ip/696086917", "696086917")</f>
        <v/>
      </c>
      <c r="B1027" t="inlineStr">
        <is>
          <t>Kato 5 Pcs Deluxe Wine Accessory Gift Set - Wine Bottle Corkscrew Opener, Stopper, Drip Ring, Foil Cutter</t>
        </is>
      </c>
      <c r="C1027" t="inlineStr">
        <is>
          <t>1KTWO500BK</t>
        </is>
      </c>
      <c r="D1027" t="inlineStr">
        <is>
          <t>Corkscrews &amp; Wine Bottle Openers</t>
        </is>
      </c>
      <c r="E1027" t="inlineStr">
        <is>
          <t>Kato</t>
        </is>
      </c>
      <c r="F1027" t="inlineStr">
        <is>
          <t>Wine,Christmas,WFS,Valentine,WFS Item</t>
        </is>
      </c>
      <c r="G1027" s="48" t="n">
        <v>0</v>
      </c>
      <c r="H1027" s="49" t="n">
        <v>0</v>
      </c>
      <c r="I1027" s="49" t="n">
        <v>0</v>
      </c>
      <c r="J1027" s="50" t="n">
        <v>0</v>
      </c>
      <c r="K1027" s="51" t="n">
        <v>0</v>
      </c>
      <c r="L1027" s="52" t="n">
        <v>0</v>
      </c>
      <c r="M1027" s="52" t="n">
        <v>0</v>
      </c>
      <c r="N1027" s="52" t="n">
        <v>0</v>
      </c>
      <c r="O1027" s="53" t="n">
        <v>0</v>
      </c>
      <c r="P1027" s="52" t="n">
        <v>0</v>
      </c>
      <c r="Q1027" s="53" t="n">
        <v>0</v>
      </c>
      <c r="R1027" s="52" t="n">
        <v>0</v>
      </c>
      <c r="S1027" s="51" t="n">
        <v>0</v>
      </c>
      <c r="T1027" s="48" t="n">
        <v>0</v>
      </c>
      <c r="U1027" s="49" t="n">
        <v>0</v>
      </c>
      <c r="V1027" s="49" t="n">
        <v>0</v>
      </c>
      <c r="W1027" s="50" t="n">
        <v>0</v>
      </c>
      <c r="X1027" s="51" t="n">
        <v>0</v>
      </c>
      <c r="Y1027" s="52" t="n">
        <v>0</v>
      </c>
      <c r="Z1027" s="52" t="n">
        <v>0</v>
      </c>
      <c r="AA1027" s="52" t="n">
        <v>0</v>
      </c>
      <c r="AB1027" s="53" t="n">
        <v>0</v>
      </c>
      <c r="AC1027" s="52" t="n">
        <v>0</v>
      </c>
      <c r="AD1027" s="53" t="n">
        <v>0</v>
      </c>
      <c r="AE1027" s="52" t="n">
        <v>0</v>
      </c>
      <c r="AF1027" s="51" t="n">
        <v>0</v>
      </c>
      <c r="AG1027" s="48" t="n">
        <v>0</v>
      </c>
      <c r="AH1027" s="49" t="n">
        <v>0</v>
      </c>
      <c r="AI1027" s="49" t="n">
        <v>0</v>
      </c>
      <c r="AJ1027" s="50" t="n">
        <v>0</v>
      </c>
      <c r="AK1027" s="51" t="n">
        <v>0</v>
      </c>
      <c r="AL1027" s="52" t="n">
        <v>0</v>
      </c>
      <c r="AM1027" s="52" t="n">
        <v>0</v>
      </c>
      <c r="AN1027" s="52" t="n">
        <v>0</v>
      </c>
      <c r="AO1027" s="53" t="n">
        <v>0</v>
      </c>
      <c r="AP1027" s="52" t="n">
        <v>0</v>
      </c>
      <c r="AQ1027" s="53" t="n">
        <v>0</v>
      </c>
      <c r="AR1027" s="52" t="n">
        <v>0</v>
      </c>
      <c r="AS1027" s="51" t="n">
        <v>0</v>
      </c>
      <c r="AT1027" s="48" t="n">
        <v>0</v>
      </c>
      <c r="AU1027" s="49" t="n">
        <v>0</v>
      </c>
      <c r="AV1027" s="49" t="n">
        <v>0</v>
      </c>
      <c r="AW1027" s="50" t="n">
        <v>0</v>
      </c>
      <c r="AX1027" s="51" t="n">
        <v>0</v>
      </c>
      <c r="AY1027" s="52" t="n">
        <v>0</v>
      </c>
      <c r="AZ1027" s="52" t="n">
        <v>0</v>
      </c>
      <c r="BA1027" s="52" t="n">
        <v>0</v>
      </c>
      <c r="BB1027" s="53" t="n">
        <v>0</v>
      </c>
      <c r="BC1027" s="52" t="n">
        <v>0</v>
      </c>
      <c r="BD1027" s="53" t="n">
        <v>0</v>
      </c>
      <c r="BE1027" s="52" t="n">
        <v>0</v>
      </c>
      <c r="BF1027" s="51" t="n">
        <v>0</v>
      </c>
    </row>
    <row r="1028">
      <c r="A1028">
        <f>HYPERLINK("https://www.walmart.com/ip/697110021", "697110021")</f>
        <v/>
      </c>
      <c r="B1028" t="inlineStr">
        <is>
          <t>Tirrinia Comfy Sherpa Wearable Blanket Poncho for Adult, 55'' x 80'', Grey</t>
        </is>
      </c>
      <c r="C1028" t="inlineStr">
        <is>
          <t>1TRBP110GY-TBCB</t>
        </is>
      </c>
      <c r="D1028" t="inlineStr">
        <is>
          <t>Throws</t>
        </is>
      </c>
      <c r="E1028" t="inlineStr">
        <is>
          <t>Tirrinia</t>
        </is>
      </c>
      <c r="F1028" t="inlineStr">
        <is>
          <t>Optimized</t>
        </is>
      </c>
      <c r="G1028" s="48" t="n">
        <v>0</v>
      </c>
      <c r="H1028" s="49" t="n">
        <v>0</v>
      </c>
      <c r="I1028" s="49" t="n">
        <v>0</v>
      </c>
      <c r="J1028" s="50" t="n">
        <v>0</v>
      </c>
      <c r="K1028" s="51" t="n">
        <v>0</v>
      </c>
      <c r="L1028" s="52" t="n">
        <v>0</v>
      </c>
      <c r="M1028" s="52" t="n">
        <v>0</v>
      </c>
      <c r="N1028" s="52" t="n">
        <v>0</v>
      </c>
      <c r="O1028" s="53" t="n">
        <v>0</v>
      </c>
      <c r="P1028" s="52" t="n">
        <v>0</v>
      </c>
      <c r="Q1028" s="53" t="n">
        <v>0</v>
      </c>
      <c r="R1028" s="52" t="n">
        <v>0</v>
      </c>
      <c r="S1028" s="51" t="n">
        <v>0</v>
      </c>
      <c r="T1028" s="48" t="n">
        <v>0</v>
      </c>
      <c r="U1028" s="49" t="n">
        <v>0</v>
      </c>
      <c r="V1028" s="49" t="n">
        <v>0</v>
      </c>
      <c r="W1028" s="50" t="n">
        <v>0</v>
      </c>
      <c r="X1028" s="51" t="n">
        <v>0</v>
      </c>
      <c r="Y1028" s="52" t="n">
        <v>0</v>
      </c>
      <c r="Z1028" s="52" t="n">
        <v>0</v>
      </c>
      <c r="AA1028" s="52" t="n">
        <v>0</v>
      </c>
      <c r="AB1028" s="53" t="n">
        <v>0</v>
      </c>
      <c r="AC1028" s="52" t="n">
        <v>0</v>
      </c>
      <c r="AD1028" s="53" t="n">
        <v>0</v>
      </c>
      <c r="AE1028" s="52" t="n">
        <v>0</v>
      </c>
      <c r="AF1028" s="51" t="n">
        <v>0</v>
      </c>
      <c r="AG1028" s="48" t="n">
        <v>0</v>
      </c>
      <c r="AH1028" s="49" t="n">
        <v>0</v>
      </c>
      <c r="AI1028" s="49" t="n">
        <v>0</v>
      </c>
      <c r="AJ1028" s="50" t="n">
        <v>0</v>
      </c>
      <c r="AK1028" s="51" t="n">
        <v>0</v>
      </c>
      <c r="AL1028" s="52" t="n">
        <v>0</v>
      </c>
      <c r="AM1028" s="52" t="n">
        <v>0</v>
      </c>
      <c r="AN1028" s="52" t="n">
        <v>0</v>
      </c>
      <c r="AO1028" s="53" t="n">
        <v>0</v>
      </c>
      <c r="AP1028" s="52" t="n">
        <v>0</v>
      </c>
      <c r="AQ1028" s="53" t="n">
        <v>0</v>
      </c>
      <c r="AR1028" s="52" t="n">
        <v>0</v>
      </c>
      <c r="AS1028" s="51" t="n">
        <v>0</v>
      </c>
      <c r="AT1028" s="48" t="n">
        <v>0</v>
      </c>
      <c r="AU1028" s="49" t="n">
        <v>0</v>
      </c>
      <c r="AV1028" s="49" t="n">
        <v>0</v>
      </c>
      <c r="AW1028" s="50" t="n">
        <v>0</v>
      </c>
      <c r="AX1028" s="51" t="n">
        <v>0</v>
      </c>
      <c r="AY1028" s="52" t="n">
        <v>0</v>
      </c>
      <c r="AZ1028" s="52" t="n">
        <v>0</v>
      </c>
      <c r="BA1028" s="52" t="n">
        <v>0</v>
      </c>
      <c r="BB1028" s="53" t="n">
        <v>0</v>
      </c>
      <c r="BC1028" s="52" t="n">
        <v>0</v>
      </c>
      <c r="BD1028" s="53" t="n">
        <v>0</v>
      </c>
      <c r="BE1028" s="52" t="n">
        <v>0</v>
      </c>
      <c r="BF1028" s="51" t="n">
        <v>0</v>
      </c>
    </row>
    <row r="1029">
      <c r="A1029">
        <f>HYPERLINK("https://www.walmart.com/ip/697661347", "697661347")</f>
        <v/>
      </c>
      <c r="B1029" t="inlineStr">
        <is>
          <t>Flyingstar Lunch Bag for Women Men, Insulated Lunch Tote for Working/School/Picnic Fashionable Cooler Bag</t>
        </is>
      </c>
      <c r="C1029" t="inlineStr">
        <is>
          <t>1WMLB704BLFL</t>
        </is>
      </c>
      <c r="D1029" t="inlineStr">
        <is>
          <t>Reusable Lunch Bags &amp; Boxes</t>
        </is>
      </c>
      <c r="E1029" t="inlineStr">
        <is>
          <t>Flyingstar</t>
        </is>
      </c>
      <c r="F1029" t="inlineStr">
        <is>
          <t>Lunch Bag</t>
        </is>
      </c>
      <c r="G1029" s="48" t="n">
        <v>0</v>
      </c>
      <c r="H1029" s="49" t="n">
        <v>0</v>
      </c>
      <c r="I1029" s="49" t="n">
        <v>4</v>
      </c>
      <c r="J1029" s="50" t="n">
        <v>0</v>
      </c>
      <c r="K1029" s="51" t="n">
        <v>0</v>
      </c>
      <c r="L1029" s="52" t="n">
        <v>0</v>
      </c>
      <c r="M1029" s="52" t="n">
        <v>0</v>
      </c>
      <c r="N1029" s="52" t="n">
        <v>0</v>
      </c>
      <c r="O1029" s="53" t="n">
        <v>0</v>
      </c>
      <c r="P1029" s="52" t="n">
        <v>0</v>
      </c>
      <c r="Q1029" s="53" t="n">
        <v>0</v>
      </c>
      <c r="R1029" s="52" t="n">
        <v>0</v>
      </c>
      <c r="S1029" s="51" t="n">
        <v>0</v>
      </c>
      <c r="T1029" s="48" t="n">
        <v>0</v>
      </c>
      <c r="U1029" s="49" t="n">
        <v>0</v>
      </c>
      <c r="V1029" s="49" t="n">
        <v>2</v>
      </c>
      <c r="W1029" s="50" t="n">
        <v>0</v>
      </c>
      <c r="X1029" s="51" t="n">
        <v>0</v>
      </c>
      <c r="Y1029" s="52" t="n">
        <v>0</v>
      </c>
      <c r="Z1029" s="52" t="n">
        <v>0</v>
      </c>
      <c r="AA1029" s="52" t="n">
        <v>0</v>
      </c>
      <c r="AB1029" s="53" t="n">
        <v>0</v>
      </c>
      <c r="AC1029" s="52" t="n">
        <v>0</v>
      </c>
      <c r="AD1029" s="53" t="n">
        <v>0</v>
      </c>
      <c r="AE1029" s="52" t="n">
        <v>0</v>
      </c>
      <c r="AF1029" s="51" t="n">
        <v>0</v>
      </c>
      <c r="AG1029" s="48" t="n">
        <v>9.99</v>
      </c>
      <c r="AH1029" s="49" t="n">
        <v>1</v>
      </c>
      <c r="AI1029" s="49" t="n">
        <v>2</v>
      </c>
      <c r="AJ1029" s="50" t="n">
        <v>0.5</v>
      </c>
      <c r="AK1029" s="51" t="n">
        <v>0</v>
      </c>
      <c r="AL1029" s="52" t="n">
        <v>0</v>
      </c>
      <c r="AM1029" s="52" t="n">
        <v>0</v>
      </c>
      <c r="AN1029" s="52" t="n">
        <v>0</v>
      </c>
      <c r="AO1029" s="53" t="n">
        <v>0</v>
      </c>
      <c r="AP1029" s="52" t="n">
        <v>0</v>
      </c>
      <c r="AQ1029" s="53" t="n">
        <v>0</v>
      </c>
      <c r="AR1029" s="52" t="n">
        <v>9.99</v>
      </c>
      <c r="AS1029" s="51" t="n">
        <v>0</v>
      </c>
      <c r="AT1029" s="48" t="n">
        <v>0</v>
      </c>
      <c r="AU1029" s="49" t="n">
        <v>0</v>
      </c>
      <c r="AV1029" s="49" t="n">
        <v>1</v>
      </c>
      <c r="AW1029" s="50" t="n">
        <v>0</v>
      </c>
      <c r="AX1029" s="51" t="n">
        <v>0</v>
      </c>
      <c r="AY1029" s="52" t="n">
        <v>0</v>
      </c>
      <c r="AZ1029" s="52" t="n">
        <v>0</v>
      </c>
      <c r="BA1029" s="52" t="n">
        <v>0</v>
      </c>
      <c r="BB1029" s="53" t="n">
        <v>0</v>
      </c>
      <c r="BC1029" s="52" t="n">
        <v>0</v>
      </c>
      <c r="BD1029" s="53" t="n">
        <v>0</v>
      </c>
      <c r="BE1029" s="52" t="n">
        <v>0</v>
      </c>
      <c r="BF1029" s="51" t="n">
        <v>0</v>
      </c>
    </row>
    <row r="1030">
      <c r="A1030">
        <f>HYPERLINK("https://www.walmart.com/ip/697880843", "697880843")</f>
        <v/>
      </c>
      <c r="B1030" t="inlineStr">
        <is>
          <t>Napa Super Soft Velvet Plush Throw Blanket, Reversible Fuzzy Solid Blanket, All Season Bed Throw TV Blanket, Wine, 50'' x 70''</t>
        </is>
      </c>
      <c r="C1030" t="inlineStr">
        <is>
          <t>K8023WN</t>
        </is>
      </c>
      <c r="D1030" t="inlineStr">
        <is>
          <t>Throws</t>
        </is>
      </c>
      <c r="E1030" t="inlineStr">
        <is>
          <t>NAPA</t>
        </is>
      </c>
      <c r="F1030" t="inlineStr">
        <is>
          <t>Optimized</t>
        </is>
      </c>
      <c r="G1030" s="48" t="n">
        <v>0</v>
      </c>
      <c r="H1030" s="49" t="n">
        <v>0</v>
      </c>
      <c r="I1030" s="49" t="n">
        <v>0</v>
      </c>
      <c r="J1030" s="50" t="n">
        <v>0</v>
      </c>
      <c r="K1030" s="51" t="n">
        <v>0</v>
      </c>
      <c r="L1030" s="52" t="n">
        <v>0</v>
      </c>
      <c r="M1030" s="52" t="n">
        <v>0</v>
      </c>
      <c r="N1030" s="52" t="n">
        <v>0</v>
      </c>
      <c r="O1030" s="53" t="n">
        <v>0</v>
      </c>
      <c r="P1030" s="52" t="n">
        <v>0</v>
      </c>
      <c r="Q1030" s="53" t="n">
        <v>0</v>
      </c>
      <c r="R1030" s="52" t="n">
        <v>0</v>
      </c>
      <c r="S1030" s="51" t="n">
        <v>0</v>
      </c>
      <c r="T1030" s="48" t="n">
        <v>0</v>
      </c>
      <c r="U1030" s="49" t="n">
        <v>0</v>
      </c>
      <c r="V1030" s="49" t="n">
        <v>0</v>
      </c>
      <c r="W1030" s="50" t="n">
        <v>0</v>
      </c>
      <c r="X1030" s="51" t="n">
        <v>0</v>
      </c>
      <c r="Y1030" s="52" t="n">
        <v>0</v>
      </c>
      <c r="Z1030" s="52" t="n">
        <v>0</v>
      </c>
      <c r="AA1030" s="52" t="n">
        <v>0</v>
      </c>
      <c r="AB1030" s="53" t="n">
        <v>0</v>
      </c>
      <c r="AC1030" s="52" t="n">
        <v>0</v>
      </c>
      <c r="AD1030" s="53" t="n">
        <v>0</v>
      </c>
      <c r="AE1030" s="52" t="n">
        <v>0</v>
      </c>
      <c r="AF1030" s="51" t="n">
        <v>0</v>
      </c>
      <c r="AG1030" s="48" t="n">
        <v>0</v>
      </c>
      <c r="AH1030" s="49" t="n">
        <v>0</v>
      </c>
      <c r="AI1030" s="49" t="n">
        <v>0</v>
      </c>
      <c r="AJ1030" s="50" t="n">
        <v>0</v>
      </c>
      <c r="AK1030" s="51" t="n">
        <v>0</v>
      </c>
      <c r="AL1030" s="52" t="n">
        <v>0</v>
      </c>
      <c r="AM1030" s="52" t="n">
        <v>0</v>
      </c>
      <c r="AN1030" s="52" t="n">
        <v>0</v>
      </c>
      <c r="AO1030" s="53" t="n">
        <v>0</v>
      </c>
      <c r="AP1030" s="52" t="n">
        <v>0</v>
      </c>
      <c r="AQ1030" s="53" t="n">
        <v>0</v>
      </c>
      <c r="AR1030" s="52" t="n">
        <v>0</v>
      </c>
      <c r="AS1030" s="51" t="n">
        <v>0</v>
      </c>
      <c r="AT1030" s="48" t="n">
        <v>0</v>
      </c>
      <c r="AU1030" s="49" t="n">
        <v>0</v>
      </c>
      <c r="AV1030" s="49" t="n">
        <v>0</v>
      </c>
      <c r="AW1030" s="50" t="n">
        <v>0</v>
      </c>
      <c r="AX1030" s="51" t="n">
        <v>0</v>
      </c>
      <c r="AY1030" s="52" t="n">
        <v>0</v>
      </c>
      <c r="AZ1030" s="52" t="n">
        <v>0</v>
      </c>
      <c r="BA1030" s="52" t="n">
        <v>0</v>
      </c>
      <c r="BB1030" s="53" t="n">
        <v>0</v>
      </c>
      <c r="BC1030" s="52" t="n">
        <v>0</v>
      </c>
      <c r="BD1030" s="53" t="n">
        <v>0</v>
      </c>
      <c r="BE1030" s="52" t="n">
        <v>0</v>
      </c>
      <c r="BF1030" s="51" t="n">
        <v>0</v>
      </c>
    </row>
    <row r="1031">
      <c r="A1031">
        <f>HYPERLINK("https://www.walmart.com/ip/699140737", "699140737")</f>
        <v/>
      </c>
      <c r="B1031" t="inlineStr">
        <is>
          <t>KC Caps Thick Weave Waffle Knit Beanie</t>
        </is>
      </c>
      <c r="C1031" t="inlineStr">
        <is>
          <t>KCW1600NV</t>
        </is>
      </c>
      <c r="D1031" t="inlineStr">
        <is>
          <t>Hats</t>
        </is>
      </c>
      <c r="E1031" t="inlineStr">
        <is>
          <t>KC Caps</t>
        </is>
      </c>
      <c r="F1031" t="inlineStr">
        <is>
          <t>Optimized</t>
        </is>
      </c>
      <c r="G1031" s="48" t="n">
        <v>0</v>
      </c>
      <c r="H1031" s="49" t="n">
        <v>0</v>
      </c>
      <c r="I1031" s="49" t="n">
        <v>0</v>
      </c>
      <c r="J1031" s="50" t="n">
        <v>0</v>
      </c>
      <c r="K1031" s="51" t="n">
        <v>0</v>
      </c>
      <c r="L1031" s="52" t="n">
        <v>0</v>
      </c>
      <c r="M1031" s="52" t="n">
        <v>0</v>
      </c>
      <c r="N1031" s="52" t="n">
        <v>0</v>
      </c>
      <c r="O1031" s="53" t="n">
        <v>0</v>
      </c>
      <c r="P1031" s="52" t="n">
        <v>0</v>
      </c>
      <c r="Q1031" s="53" t="n">
        <v>0</v>
      </c>
      <c r="R1031" s="52" t="n">
        <v>0</v>
      </c>
      <c r="S1031" s="51" t="n">
        <v>0</v>
      </c>
      <c r="T1031" s="48" t="n">
        <v>0</v>
      </c>
      <c r="U1031" s="49" t="n">
        <v>0</v>
      </c>
      <c r="V1031" s="49" t="n">
        <v>0</v>
      </c>
      <c r="W1031" s="50" t="n">
        <v>0</v>
      </c>
      <c r="X1031" s="51" t="n">
        <v>0</v>
      </c>
      <c r="Y1031" s="52" t="n">
        <v>0</v>
      </c>
      <c r="Z1031" s="52" t="n">
        <v>0</v>
      </c>
      <c r="AA1031" s="52" t="n">
        <v>0</v>
      </c>
      <c r="AB1031" s="53" t="n">
        <v>0</v>
      </c>
      <c r="AC1031" s="52" t="n">
        <v>0</v>
      </c>
      <c r="AD1031" s="53" t="n">
        <v>0</v>
      </c>
      <c r="AE1031" s="52" t="n">
        <v>0</v>
      </c>
      <c r="AF1031" s="51" t="n">
        <v>0</v>
      </c>
      <c r="AG1031" s="48" t="n">
        <v>0</v>
      </c>
      <c r="AH1031" s="49" t="n">
        <v>0</v>
      </c>
      <c r="AI1031" s="49" t="n">
        <v>0</v>
      </c>
      <c r="AJ1031" s="50" t="n">
        <v>0</v>
      </c>
      <c r="AK1031" s="51" t="n">
        <v>0</v>
      </c>
      <c r="AL1031" s="52" t="n">
        <v>0</v>
      </c>
      <c r="AM1031" s="52" t="n">
        <v>0</v>
      </c>
      <c r="AN1031" s="52" t="n">
        <v>0</v>
      </c>
      <c r="AO1031" s="53" t="n">
        <v>0</v>
      </c>
      <c r="AP1031" s="52" t="n">
        <v>0</v>
      </c>
      <c r="AQ1031" s="53" t="n">
        <v>0</v>
      </c>
      <c r="AR1031" s="52" t="n">
        <v>0</v>
      </c>
      <c r="AS1031" s="51" t="n">
        <v>0</v>
      </c>
      <c r="AT1031" s="48" t="n">
        <v>0</v>
      </c>
      <c r="AU1031" s="49" t="n">
        <v>0</v>
      </c>
      <c r="AV1031" s="49" t="n">
        <v>0</v>
      </c>
      <c r="AW1031" s="50" t="n">
        <v>0</v>
      </c>
      <c r="AX1031" s="51" t="n">
        <v>0</v>
      </c>
      <c r="AY1031" s="52" t="n">
        <v>0</v>
      </c>
      <c r="AZ1031" s="52" t="n">
        <v>0</v>
      </c>
      <c r="BA1031" s="52" t="n">
        <v>0</v>
      </c>
      <c r="BB1031" s="53" t="n">
        <v>0</v>
      </c>
      <c r="BC1031" s="52" t="n">
        <v>0</v>
      </c>
      <c r="BD1031" s="53" t="n">
        <v>0</v>
      </c>
      <c r="BE1031" s="52" t="n">
        <v>0</v>
      </c>
      <c r="BF1031" s="51" t="n">
        <v>0</v>
      </c>
    </row>
    <row r="1032">
      <c r="A1032">
        <f>HYPERLINK("https://www.walmart.com/ip/699976715", "699976715")</f>
        <v/>
      </c>
      <c r="B1032" t="inlineStr">
        <is>
          <t>JenniWears Women Sexy Lace Boyshort Panty Plus Size Stretch Mesh Briefs Lingerie Underwear Sleepwear Gold</t>
        </is>
      </c>
      <c r="C1032" t="inlineStr">
        <is>
          <t>JWPT05JD-2XL</t>
        </is>
      </c>
      <c r="D1032" t="inlineStr">
        <is>
          <t>Panties</t>
        </is>
      </c>
      <c r="E1032" t="inlineStr">
        <is>
          <t>JenniWears</t>
        </is>
      </c>
      <c r="F1032" t="inlineStr">
        <is>
          <t>Valentine</t>
        </is>
      </c>
      <c r="G1032" s="48" t="n">
        <v>0</v>
      </c>
      <c r="H1032" s="49" t="n">
        <v>0</v>
      </c>
      <c r="I1032" s="49" t="n">
        <v>0</v>
      </c>
      <c r="J1032" s="50" t="n">
        <v>0</v>
      </c>
      <c r="K1032" s="51" t="n">
        <v>0</v>
      </c>
      <c r="L1032" s="52" t="n">
        <v>0</v>
      </c>
      <c r="M1032" s="52" t="n">
        <v>0</v>
      </c>
      <c r="N1032" s="52" t="n">
        <v>0</v>
      </c>
      <c r="O1032" s="53" t="n">
        <v>0</v>
      </c>
      <c r="P1032" s="52" t="n">
        <v>0</v>
      </c>
      <c r="Q1032" s="53" t="n">
        <v>0</v>
      </c>
      <c r="R1032" s="52" t="n">
        <v>0</v>
      </c>
      <c r="S1032" s="51" t="n">
        <v>0</v>
      </c>
      <c r="T1032" s="48" t="n">
        <v>0</v>
      </c>
      <c r="U1032" s="49" t="n">
        <v>0</v>
      </c>
      <c r="V1032" s="49" t="n">
        <v>0</v>
      </c>
      <c r="W1032" s="50" t="n">
        <v>0</v>
      </c>
      <c r="X1032" s="51" t="n">
        <v>0</v>
      </c>
      <c r="Y1032" s="52" t="n">
        <v>0</v>
      </c>
      <c r="Z1032" s="52" t="n">
        <v>0</v>
      </c>
      <c r="AA1032" s="52" t="n">
        <v>0</v>
      </c>
      <c r="AB1032" s="53" t="n">
        <v>0</v>
      </c>
      <c r="AC1032" s="52" t="n">
        <v>0</v>
      </c>
      <c r="AD1032" s="53" t="n">
        <v>0</v>
      </c>
      <c r="AE1032" s="52" t="n">
        <v>0</v>
      </c>
      <c r="AF1032" s="51" t="n">
        <v>0</v>
      </c>
      <c r="AG1032" s="48" t="n">
        <v>0</v>
      </c>
      <c r="AH1032" s="49" t="n">
        <v>0</v>
      </c>
      <c r="AI1032" s="49" t="n">
        <v>0</v>
      </c>
      <c r="AJ1032" s="50" t="n">
        <v>0</v>
      </c>
      <c r="AK1032" s="51" t="n">
        <v>0</v>
      </c>
      <c r="AL1032" s="52" t="n">
        <v>0</v>
      </c>
      <c r="AM1032" s="52" t="n">
        <v>0</v>
      </c>
      <c r="AN1032" s="52" t="n">
        <v>0</v>
      </c>
      <c r="AO1032" s="53" t="n">
        <v>0</v>
      </c>
      <c r="AP1032" s="52" t="n">
        <v>0</v>
      </c>
      <c r="AQ1032" s="53" t="n">
        <v>0</v>
      </c>
      <c r="AR1032" s="52" t="n">
        <v>0</v>
      </c>
      <c r="AS1032" s="51" t="n">
        <v>0</v>
      </c>
      <c r="AT1032" s="48" t="n">
        <v>0</v>
      </c>
      <c r="AU1032" s="49" t="n">
        <v>0</v>
      </c>
      <c r="AV1032" s="49" t="n">
        <v>0</v>
      </c>
      <c r="AW1032" s="50" t="n">
        <v>0</v>
      </c>
      <c r="AX1032" s="51" t="n">
        <v>0</v>
      </c>
      <c r="AY1032" s="52" t="n">
        <v>0</v>
      </c>
      <c r="AZ1032" s="52" t="n">
        <v>0</v>
      </c>
      <c r="BA1032" s="52" t="n">
        <v>0</v>
      </c>
      <c r="BB1032" s="53" t="n">
        <v>0</v>
      </c>
      <c r="BC1032" s="52" t="n">
        <v>0</v>
      </c>
      <c r="BD1032" s="53" t="n">
        <v>0</v>
      </c>
      <c r="BE1032" s="52" t="n">
        <v>0</v>
      </c>
      <c r="BF1032" s="51" t="n">
        <v>0</v>
      </c>
    </row>
    <row r="1033">
      <c r="A1033">
        <f>HYPERLINK("https://www.walmart.com/ip/700298785", "700298785")</f>
        <v/>
      </c>
      <c r="B1033" t="inlineStr">
        <is>
          <t>Tirrinia Plush Fleece Wearable Blanket Comfy Poncho for Adult Women Men, Navy</t>
        </is>
      </c>
      <c r="C1033" t="inlineStr">
        <is>
          <t>1TRBP200NY-TBCB</t>
        </is>
      </c>
      <c r="D1033" t="inlineStr">
        <is>
          <t>Throws</t>
        </is>
      </c>
      <c r="E1033" t="inlineStr">
        <is>
          <t>Tirrinia</t>
        </is>
      </c>
      <c r="F1033" t="inlineStr">
        <is>
          <t>Optimized</t>
        </is>
      </c>
      <c r="G1033" s="48" t="n">
        <v>0</v>
      </c>
      <c r="H1033" s="49" t="n">
        <v>0</v>
      </c>
      <c r="I1033" s="49" t="n">
        <v>0</v>
      </c>
      <c r="J1033" s="50" t="n">
        <v>0</v>
      </c>
      <c r="K1033" s="51" t="n">
        <v>0</v>
      </c>
      <c r="L1033" s="52" t="n">
        <v>0</v>
      </c>
      <c r="M1033" s="52" t="n">
        <v>0</v>
      </c>
      <c r="N1033" s="52" t="n">
        <v>0</v>
      </c>
      <c r="O1033" s="53" t="n">
        <v>0</v>
      </c>
      <c r="P1033" s="52" t="n">
        <v>0</v>
      </c>
      <c r="Q1033" s="53" t="n">
        <v>0</v>
      </c>
      <c r="R1033" s="52" t="n">
        <v>0</v>
      </c>
      <c r="S1033" s="51" t="n">
        <v>0</v>
      </c>
      <c r="T1033" s="48" t="n">
        <v>0</v>
      </c>
      <c r="U1033" s="49" t="n">
        <v>0</v>
      </c>
      <c r="V1033" s="49" t="n">
        <v>0</v>
      </c>
      <c r="W1033" s="50" t="n">
        <v>0</v>
      </c>
      <c r="X1033" s="51" t="n">
        <v>0</v>
      </c>
      <c r="Y1033" s="52" t="n">
        <v>0</v>
      </c>
      <c r="Z1033" s="52" t="n">
        <v>0</v>
      </c>
      <c r="AA1033" s="52" t="n">
        <v>0</v>
      </c>
      <c r="AB1033" s="53" t="n">
        <v>0</v>
      </c>
      <c r="AC1033" s="52" t="n">
        <v>0</v>
      </c>
      <c r="AD1033" s="53" t="n">
        <v>0</v>
      </c>
      <c r="AE1033" s="52" t="n">
        <v>0</v>
      </c>
      <c r="AF1033" s="51" t="n">
        <v>0</v>
      </c>
      <c r="AG1033" s="48" t="n">
        <v>0</v>
      </c>
      <c r="AH1033" s="49" t="n">
        <v>0</v>
      </c>
      <c r="AI1033" s="49" t="n">
        <v>0</v>
      </c>
      <c r="AJ1033" s="50" t="n">
        <v>0</v>
      </c>
      <c r="AK1033" s="51" t="n">
        <v>0</v>
      </c>
      <c r="AL1033" s="52" t="n">
        <v>0</v>
      </c>
      <c r="AM1033" s="52" t="n">
        <v>0</v>
      </c>
      <c r="AN1033" s="52" t="n">
        <v>0</v>
      </c>
      <c r="AO1033" s="53" t="n">
        <v>0</v>
      </c>
      <c r="AP1033" s="52" t="n">
        <v>0</v>
      </c>
      <c r="AQ1033" s="53" t="n">
        <v>0</v>
      </c>
      <c r="AR1033" s="52" t="n">
        <v>0</v>
      </c>
      <c r="AS1033" s="51" t="n">
        <v>0</v>
      </c>
      <c r="AT1033" s="48" t="n">
        <v>0</v>
      </c>
      <c r="AU1033" s="49" t="n">
        <v>0</v>
      </c>
      <c r="AV1033" s="49" t="n">
        <v>0</v>
      </c>
      <c r="AW1033" s="50" t="n">
        <v>0</v>
      </c>
      <c r="AX1033" s="51" t="n">
        <v>0</v>
      </c>
      <c r="AY1033" s="52" t="n">
        <v>0</v>
      </c>
      <c r="AZ1033" s="52" t="n">
        <v>0</v>
      </c>
      <c r="BA1033" s="52" t="n">
        <v>0</v>
      </c>
      <c r="BB1033" s="53" t="n">
        <v>0</v>
      </c>
      <c r="BC1033" s="52" t="n">
        <v>0</v>
      </c>
      <c r="BD1033" s="53" t="n">
        <v>0</v>
      </c>
      <c r="BE1033" s="52" t="n">
        <v>0</v>
      </c>
      <c r="BF1033" s="51" t="n">
        <v>0</v>
      </c>
    </row>
    <row r="1034">
      <c r="A1034">
        <f>HYPERLINK("https://www.walmart.com/ip/700395906", "700395906")</f>
        <v/>
      </c>
      <c r="B1034" t="inlineStr">
        <is>
          <t>Catalonia Oversized Hoodie Sweatshirt Poncho, Casual Hoodie Cape, Batwing Coat Pullover Blanket | Fluffy Sherpa, Comfortable, Roomy | Gift for Adults Women Men, Wine</t>
        </is>
      </c>
      <c r="C1034" t="inlineStr">
        <is>
          <t>1CTHD542WN</t>
        </is>
      </c>
      <c r="D1034" t="inlineStr">
        <is>
          <t>Sweatshirts &amp; Hoodies</t>
        </is>
      </c>
      <c r="E1034" t="inlineStr">
        <is>
          <t>Catalonia</t>
        </is>
      </c>
      <c r="F1034" t="inlineStr">
        <is>
          <t>Hoodie ForAdult,Optimized</t>
        </is>
      </c>
      <c r="G1034" s="48" t="n">
        <v>0</v>
      </c>
      <c r="H1034" s="49" t="n">
        <v>0</v>
      </c>
      <c r="I1034" s="49" t="n">
        <v>0</v>
      </c>
      <c r="J1034" s="50" t="n">
        <v>0</v>
      </c>
      <c r="K1034" s="51" t="n">
        <v>0</v>
      </c>
      <c r="L1034" s="52" t="n">
        <v>0</v>
      </c>
      <c r="M1034" s="52" t="n">
        <v>0</v>
      </c>
      <c r="N1034" s="52" t="n">
        <v>0</v>
      </c>
      <c r="O1034" s="53" t="n">
        <v>0</v>
      </c>
      <c r="P1034" s="52" t="n">
        <v>0</v>
      </c>
      <c r="Q1034" s="53" t="n">
        <v>0</v>
      </c>
      <c r="R1034" s="52" t="n">
        <v>0</v>
      </c>
      <c r="S1034" s="51" t="n">
        <v>0</v>
      </c>
      <c r="T1034" s="48" t="n">
        <v>0</v>
      </c>
      <c r="U1034" s="49" t="n">
        <v>0</v>
      </c>
      <c r="V1034" s="49" t="n">
        <v>0</v>
      </c>
      <c r="W1034" s="50" t="n">
        <v>0</v>
      </c>
      <c r="X1034" s="51" t="n">
        <v>0</v>
      </c>
      <c r="Y1034" s="52" t="n">
        <v>0</v>
      </c>
      <c r="Z1034" s="52" t="n">
        <v>0</v>
      </c>
      <c r="AA1034" s="52" t="n">
        <v>0</v>
      </c>
      <c r="AB1034" s="53" t="n">
        <v>0</v>
      </c>
      <c r="AC1034" s="52" t="n">
        <v>0</v>
      </c>
      <c r="AD1034" s="53" t="n">
        <v>0</v>
      </c>
      <c r="AE1034" s="52" t="n">
        <v>0</v>
      </c>
      <c r="AF1034" s="51" t="n">
        <v>0</v>
      </c>
      <c r="AG1034" s="48" t="n">
        <v>0</v>
      </c>
      <c r="AH1034" s="49" t="n">
        <v>0</v>
      </c>
      <c r="AI1034" s="49" t="n">
        <v>0</v>
      </c>
      <c r="AJ1034" s="50" t="n">
        <v>0</v>
      </c>
      <c r="AK1034" s="51" t="n">
        <v>0</v>
      </c>
      <c r="AL1034" s="52" t="n">
        <v>0</v>
      </c>
      <c r="AM1034" s="52" t="n">
        <v>0</v>
      </c>
      <c r="AN1034" s="52" t="n">
        <v>0</v>
      </c>
      <c r="AO1034" s="53" t="n">
        <v>0</v>
      </c>
      <c r="AP1034" s="52" t="n">
        <v>0</v>
      </c>
      <c r="AQ1034" s="53" t="n">
        <v>0</v>
      </c>
      <c r="AR1034" s="52" t="n">
        <v>0</v>
      </c>
      <c r="AS1034" s="51" t="n">
        <v>0</v>
      </c>
      <c r="AT1034" s="48" t="n">
        <v>0</v>
      </c>
      <c r="AU1034" s="49" t="n">
        <v>0</v>
      </c>
      <c r="AV1034" s="49" t="n">
        <v>0</v>
      </c>
      <c r="AW1034" s="50" t="n">
        <v>0</v>
      </c>
      <c r="AX1034" s="51" t="n">
        <v>0</v>
      </c>
      <c r="AY1034" s="52" t="n">
        <v>0</v>
      </c>
      <c r="AZ1034" s="52" t="n">
        <v>0</v>
      </c>
      <c r="BA1034" s="52" t="n">
        <v>0</v>
      </c>
      <c r="BB1034" s="53" t="n">
        <v>0</v>
      </c>
      <c r="BC1034" s="52" t="n">
        <v>0</v>
      </c>
      <c r="BD1034" s="53" t="n">
        <v>0</v>
      </c>
      <c r="BE1034" s="52" t="n">
        <v>0</v>
      </c>
      <c r="BF1034" s="51" t="n">
        <v>0</v>
      </c>
    </row>
    <row r="1035">
      <c r="A1035">
        <f>HYPERLINK("https://www.walmart.com/ip/700944003", "700944003")</f>
        <v/>
      </c>
      <c r="B1035" t="inlineStr">
        <is>
          <t>Catalonia Sherpa Fleece Blanket&lt;strong&gt; &lt;/strong&gt;60" x 80", for Bed Sofa Couch, Plush Throw TV Cozy Warm Comforter Caring Gift</t>
        </is>
      </c>
      <c r="C1035" t="inlineStr">
        <is>
          <t>1CTBF368GN</t>
        </is>
      </c>
      <c r="D1035" t="inlineStr">
        <is>
          <t>Throws</t>
        </is>
      </c>
      <c r="E1035" t="inlineStr">
        <is>
          <t>Catalonia</t>
        </is>
      </c>
      <c r="F1035" t="inlineStr">
        <is>
          <t>Q2-Target,Optimized,WFS,Coupon_Discount,WFS Item,Fleece Blankets</t>
        </is>
      </c>
      <c r="G1035" s="48" t="n">
        <v>0</v>
      </c>
      <c r="H1035" s="49" t="n">
        <v>0</v>
      </c>
      <c r="I1035" s="49" t="n">
        <v>0</v>
      </c>
      <c r="J1035" s="50" t="n">
        <v>0</v>
      </c>
      <c r="K1035" s="51" t="n">
        <v>0</v>
      </c>
      <c r="L1035" s="52" t="n">
        <v>0</v>
      </c>
      <c r="M1035" s="52" t="n">
        <v>0</v>
      </c>
      <c r="N1035" s="52" t="n">
        <v>0</v>
      </c>
      <c r="O1035" s="53" t="n">
        <v>0</v>
      </c>
      <c r="P1035" s="52" t="n">
        <v>0</v>
      </c>
      <c r="Q1035" s="53" t="n">
        <v>0</v>
      </c>
      <c r="R1035" s="52" t="n">
        <v>0</v>
      </c>
      <c r="S1035" s="51" t="n">
        <v>0</v>
      </c>
      <c r="T1035" s="48" t="n">
        <v>0</v>
      </c>
      <c r="U1035" s="49" t="n">
        <v>0</v>
      </c>
      <c r="V1035" s="49" t="n">
        <v>0</v>
      </c>
      <c r="W1035" s="50" t="n">
        <v>0</v>
      </c>
      <c r="X1035" s="51" t="n">
        <v>0</v>
      </c>
      <c r="Y1035" s="52" t="n">
        <v>0</v>
      </c>
      <c r="Z1035" s="52" t="n">
        <v>0</v>
      </c>
      <c r="AA1035" s="52" t="n">
        <v>0</v>
      </c>
      <c r="AB1035" s="53" t="n">
        <v>0</v>
      </c>
      <c r="AC1035" s="52" t="n">
        <v>0</v>
      </c>
      <c r="AD1035" s="53" t="n">
        <v>0</v>
      </c>
      <c r="AE1035" s="52" t="n">
        <v>0</v>
      </c>
      <c r="AF1035" s="51" t="n">
        <v>0</v>
      </c>
      <c r="AG1035" s="48" t="n">
        <v>0</v>
      </c>
      <c r="AH1035" s="49" t="n">
        <v>0</v>
      </c>
      <c r="AI1035" s="49" t="n">
        <v>0</v>
      </c>
      <c r="AJ1035" s="50" t="n">
        <v>0</v>
      </c>
      <c r="AK1035" s="51" t="n">
        <v>0</v>
      </c>
      <c r="AL1035" s="52" t="n">
        <v>0</v>
      </c>
      <c r="AM1035" s="52" t="n">
        <v>0</v>
      </c>
      <c r="AN1035" s="52" t="n">
        <v>0</v>
      </c>
      <c r="AO1035" s="53" t="n">
        <v>0</v>
      </c>
      <c r="AP1035" s="52" t="n">
        <v>0</v>
      </c>
      <c r="AQ1035" s="53" t="n">
        <v>0</v>
      </c>
      <c r="AR1035" s="52" t="n">
        <v>0</v>
      </c>
      <c r="AS1035" s="51" t="n">
        <v>0</v>
      </c>
      <c r="AT1035" s="48" t="n">
        <v>0</v>
      </c>
      <c r="AU1035" s="49" t="n">
        <v>0</v>
      </c>
      <c r="AV1035" s="49" t="n">
        <v>0</v>
      </c>
      <c r="AW1035" s="50" t="n">
        <v>0</v>
      </c>
      <c r="AX1035" s="51" t="n">
        <v>0</v>
      </c>
      <c r="AY1035" s="52" t="n">
        <v>0</v>
      </c>
      <c r="AZ1035" s="52" t="n">
        <v>0</v>
      </c>
      <c r="BA1035" s="52" t="n">
        <v>0</v>
      </c>
      <c r="BB1035" s="53" t="n">
        <v>0</v>
      </c>
      <c r="BC1035" s="52" t="n">
        <v>0</v>
      </c>
      <c r="BD1035" s="53" t="n">
        <v>0</v>
      </c>
      <c r="BE1035" s="52" t="n">
        <v>0</v>
      </c>
      <c r="BF1035" s="51" t="n">
        <v>0</v>
      </c>
    </row>
    <row r="1036">
      <c r="A1036">
        <f>HYPERLINK("https://www.walmart.com/ip/701360796", "701360796")</f>
        <v/>
      </c>
      <c r="B1036" t="inlineStr">
        <is>
          <t>Oversized Hoodie Blanket Sweatshirt,Super Soft Warm Comfortable Fleece Giant Pullover with Large Front Pocket,for Adults Men Women Teenagers Kids Wife Girlfriend</t>
        </is>
      </c>
      <c r="C1036" t="inlineStr">
        <is>
          <t>1CTHD300GY-UPC</t>
        </is>
      </c>
      <c r="D1036" t="inlineStr">
        <is>
          <t>Sweatshirts &amp; Hoodies</t>
        </is>
      </c>
      <c r="E1036" t="inlineStr">
        <is>
          <t>Catalonia</t>
        </is>
      </c>
      <c r="F1036" t="inlineStr">
        <is>
          <t>Hoodie ForAdult,Optimized</t>
        </is>
      </c>
      <c r="G1036" s="48" t="n">
        <v>0</v>
      </c>
      <c r="H1036" s="49" t="n">
        <v>0</v>
      </c>
      <c r="I1036" s="49" t="n">
        <v>0</v>
      </c>
      <c r="J1036" s="50" t="n">
        <v>0</v>
      </c>
      <c r="K1036" s="51" t="n">
        <v>0</v>
      </c>
      <c r="L1036" s="52" t="n">
        <v>0</v>
      </c>
      <c r="M1036" s="52" t="n">
        <v>0</v>
      </c>
      <c r="N1036" s="52" t="n">
        <v>0</v>
      </c>
      <c r="O1036" s="53" t="n">
        <v>0</v>
      </c>
      <c r="P1036" s="52" t="n">
        <v>0</v>
      </c>
      <c r="Q1036" s="53" t="n">
        <v>0</v>
      </c>
      <c r="R1036" s="52" t="n">
        <v>0</v>
      </c>
      <c r="S1036" s="51" t="n">
        <v>0</v>
      </c>
      <c r="T1036" s="48" t="n">
        <v>0</v>
      </c>
      <c r="U1036" s="49" t="n">
        <v>0</v>
      </c>
      <c r="V1036" s="49" t="n">
        <v>0</v>
      </c>
      <c r="W1036" s="50" t="n">
        <v>0</v>
      </c>
      <c r="X1036" s="51" t="n">
        <v>0</v>
      </c>
      <c r="Y1036" s="52" t="n">
        <v>0</v>
      </c>
      <c r="Z1036" s="52" t="n">
        <v>0</v>
      </c>
      <c r="AA1036" s="52" t="n">
        <v>0</v>
      </c>
      <c r="AB1036" s="53" t="n">
        <v>0</v>
      </c>
      <c r="AC1036" s="52" t="n">
        <v>0</v>
      </c>
      <c r="AD1036" s="53" t="n">
        <v>0</v>
      </c>
      <c r="AE1036" s="52" t="n">
        <v>0</v>
      </c>
      <c r="AF1036" s="51" t="n">
        <v>0</v>
      </c>
      <c r="AG1036" s="48" t="n">
        <v>0</v>
      </c>
      <c r="AH1036" s="49" t="n">
        <v>0</v>
      </c>
      <c r="AI1036" s="49" t="n">
        <v>0</v>
      </c>
      <c r="AJ1036" s="50" t="n">
        <v>0</v>
      </c>
      <c r="AK1036" s="51" t="n">
        <v>0</v>
      </c>
      <c r="AL1036" s="52" t="n">
        <v>0</v>
      </c>
      <c r="AM1036" s="52" t="n">
        <v>0</v>
      </c>
      <c r="AN1036" s="52" t="n">
        <v>0</v>
      </c>
      <c r="AO1036" s="53" t="n">
        <v>0</v>
      </c>
      <c r="AP1036" s="52" t="n">
        <v>0</v>
      </c>
      <c r="AQ1036" s="53" t="n">
        <v>0</v>
      </c>
      <c r="AR1036" s="52" t="n">
        <v>0</v>
      </c>
      <c r="AS1036" s="51" t="n">
        <v>0</v>
      </c>
      <c r="AT1036" s="48" t="n">
        <v>0</v>
      </c>
      <c r="AU1036" s="49" t="n">
        <v>0</v>
      </c>
      <c r="AV1036" s="49" t="n">
        <v>0</v>
      </c>
      <c r="AW1036" s="50" t="n">
        <v>0</v>
      </c>
      <c r="AX1036" s="51" t="n">
        <v>0</v>
      </c>
      <c r="AY1036" s="52" t="n">
        <v>0</v>
      </c>
      <c r="AZ1036" s="52" t="n">
        <v>0</v>
      </c>
      <c r="BA1036" s="52" t="n">
        <v>0</v>
      </c>
      <c r="BB1036" s="53" t="n">
        <v>0</v>
      </c>
      <c r="BC1036" s="52" t="n">
        <v>0</v>
      </c>
      <c r="BD1036" s="53" t="n">
        <v>0</v>
      </c>
      <c r="BE1036" s="52" t="n">
        <v>0</v>
      </c>
      <c r="BF1036" s="51" t="n">
        <v>0</v>
      </c>
    </row>
    <row r="1037">
      <c r="A1037">
        <f>HYPERLINK("https://www.walmart.com/ip/701571669", "701571669")</f>
        <v/>
      </c>
      <c r="B1037" t="inlineStr">
        <is>
          <t>Kato Wine Accessories Gift Set - Wine Bottle Corkscrew Opener Kit, Drip Ring, Foil Cutter and Wine Pourer and Stopper in Novelty Bottle-Shaped Case for Wine Lover Gift, Red</t>
        </is>
      </c>
      <c r="C1037" t="inlineStr">
        <is>
          <t>1KTWO500RD</t>
        </is>
      </c>
      <c r="D1037" t="inlineStr">
        <is>
          <t>Corkscrews &amp; Wine Bottle Openers</t>
        </is>
      </c>
      <c r="E1037" t="inlineStr">
        <is>
          <t>Kato</t>
        </is>
      </c>
      <c r="F1037" t="inlineStr">
        <is>
          <t>Wine,Christmas,WFS,Wine WFS,Valentine,WFS Item</t>
        </is>
      </c>
      <c r="G1037" s="48" t="n">
        <v>0</v>
      </c>
      <c r="H1037" s="49" t="n">
        <v>0</v>
      </c>
      <c r="I1037" s="49" t="n">
        <v>0</v>
      </c>
      <c r="J1037" s="50" t="n">
        <v>0</v>
      </c>
      <c r="K1037" s="51" t="n">
        <v>0</v>
      </c>
      <c r="L1037" s="52" t="n">
        <v>0</v>
      </c>
      <c r="M1037" s="52" t="n">
        <v>0</v>
      </c>
      <c r="N1037" s="52" t="n">
        <v>0</v>
      </c>
      <c r="O1037" s="53" t="n">
        <v>0</v>
      </c>
      <c r="P1037" s="52" t="n">
        <v>0</v>
      </c>
      <c r="Q1037" s="53" t="n">
        <v>0</v>
      </c>
      <c r="R1037" s="52" t="n">
        <v>0</v>
      </c>
      <c r="S1037" s="51" t="n">
        <v>0</v>
      </c>
      <c r="T1037" s="48" t="n">
        <v>0</v>
      </c>
      <c r="U1037" s="49" t="n">
        <v>0</v>
      </c>
      <c r="V1037" s="49" t="n">
        <v>0</v>
      </c>
      <c r="W1037" s="50" t="n">
        <v>0</v>
      </c>
      <c r="X1037" s="51" t="n">
        <v>0</v>
      </c>
      <c r="Y1037" s="52" t="n">
        <v>0</v>
      </c>
      <c r="Z1037" s="52" t="n">
        <v>0</v>
      </c>
      <c r="AA1037" s="52" t="n">
        <v>0</v>
      </c>
      <c r="AB1037" s="53" t="n">
        <v>0</v>
      </c>
      <c r="AC1037" s="52" t="n">
        <v>0</v>
      </c>
      <c r="AD1037" s="53" t="n">
        <v>0</v>
      </c>
      <c r="AE1037" s="52" t="n">
        <v>0</v>
      </c>
      <c r="AF1037" s="51" t="n">
        <v>0</v>
      </c>
      <c r="AG1037" s="48" t="n">
        <v>0</v>
      </c>
      <c r="AH1037" s="49" t="n">
        <v>0</v>
      </c>
      <c r="AI1037" s="49" t="n">
        <v>0</v>
      </c>
      <c r="AJ1037" s="50" t="n">
        <v>0</v>
      </c>
      <c r="AK1037" s="51" t="n">
        <v>0</v>
      </c>
      <c r="AL1037" s="52" t="n">
        <v>0</v>
      </c>
      <c r="AM1037" s="52" t="n">
        <v>0</v>
      </c>
      <c r="AN1037" s="52" t="n">
        <v>0</v>
      </c>
      <c r="AO1037" s="53" t="n">
        <v>0</v>
      </c>
      <c r="AP1037" s="52" t="n">
        <v>0</v>
      </c>
      <c r="AQ1037" s="53" t="n">
        <v>0</v>
      </c>
      <c r="AR1037" s="52" t="n">
        <v>0</v>
      </c>
      <c r="AS1037" s="51" t="n">
        <v>0</v>
      </c>
      <c r="AT1037" s="48" t="n">
        <v>0</v>
      </c>
      <c r="AU1037" s="49" t="n">
        <v>0</v>
      </c>
      <c r="AV1037" s="49" t="n">
        <v>0</v>
      </c>
      <c r="AW1037" s="50" t="n">
        <v>0</v>
      </c>
      <c r="AX1037" s="51" t="n">
        <v>0</v>
      </c>
      <c r="AY1037" s="52" t="n">
        <v>0</v>
      </c>
      <c r="AZ1037" s="52" t="n">
        <v>0</v>
      </c>
      <c r="BA1037" s="52" t="n">
        <v>0</v>
      </c>
      <c r="BB1037" s="53" t="n">
        <v>0</v>
      </c>
      <c r="BC1037" s="52" t="n">
        <v>0</v>
      </c>
      <c r="BD1037" s="53" t="n">
        <v>0</v>
      </c>
      <c r="BE1037" s="52" t="n">
        <v>0</v>
      </c>
      <c r="BF1037" s="51" t="n">
        <v>0</v>
      </c>
    </row>
    <row r="1038">
      <c r="A1038">
        <f>HYPERLINK("https://www.walmart.com/ip/702705753", "702705753")</f>
        <v/>
      </c>
      <c r="B1038" t="inlineStr">
        <is>
          <t>Catalonia Wearable Fleece Blanket with Sleeves and Foot Pockets for Adult Women Men, Micro Plush Comfy Wrap Sleeved Throw Blanket Robe Large, Purple</t>
        </is>
      </c>
      <c r="C1038" t="inlineStr">
        <is>
          <t>1CTSN101PP</t>
        </is>
      </c>
      <c r="D1038" t="inlineStr">
        <is>
          <t>Throws</t>
        </is>
      </c>
      <c r="E1038" t="inlineStr">
        <is>
          <t>Catalonia</t>
        </is>
      </c>
      <c r="F1038" t="inlineStr">
        <is>
          <t>Q2-Target,WFS,Coupon_Discount,WFS Item,Fleece Blankets</t>
        </is>
      </c>
      <c r="G1038" s="48" t="n">
        <v>0</v>
      </c>
      <c r="H1038" s="49" t="n">
        <v>0</v>
      </c>
      <c r="I1038" s="49" t="n">
        <v>0</v>
      </c>
      <c r="J1038" s="50" t="n">
        <v>0</v>
      </c>
      <c r="K1038" s="51" t="n">
        <v>0</v>
      </c>
      <c r="L1038" s="52" t="n">
        <v>0</v>
      </c>
      <c r="M1038" s="52" t="n">
        <v>0</v>
      </c>
      <c r="N1038" s="52" t="n">
        <v>0</v>
      </c>
      <c r="O1038" s="53" t="n">
        <v>0</v>
      </c>
      <c r="P1038" s="52" t="n">
        <v>0</v>
      </c>
      <c r="Q1038" s="53" t="n">
        <v>0</v>
      </c>
      <c r="R1038" s="52" t="n">
        <v>0</v>
      </c>
      <c r="S1038" s="51" t="n">
        <v>0</v>
      </c>
      <c r="T1038" s="48" t="n">
        <v>0</v>
      </c>
      <c r="U1038" s="49" t="n">
        <v>0</v>
      </c>
      <c r="V1038" s="49" t="n">
        <v>0</v>
      </c>
      <c r="W1038" s="50" t="n">
        <v>0</v>
      </c>
      <c r="X1038" s="51" t="n">
        <v>0</v>
      </c>
      <c r="Y1038" s="52" t="n">
        <v>0</v>
      </c>
      <c r="Z1038" s="52" t="n">
        <v>0</v>
      </c>
      <c r="AA1038" s="52" t="n">
        <v>0</v>
      </c>
      <c r="AB1038" s="53" t="n">
        <v>0</v>
      </c>
      <c r="AC1038" s="52" t="n">
        <v>0</v>
      </c>
      <c r="AD1038" s="53" t="n">
        <v>0</v>
      </c>
      <c r="AE1038" s="52" t="n">
        <v>0</v>
      </c>
      <c r="AF1038" s="51" t="n">
        <v>0</v>
      </c>
      <c r="AG1038" s="48" t="n">
        <v>0</v>
      </c>
      <c r="AH1038" s="49" t="n">
        <v>0</v>
      </c>
      <c r="AI1038" s="49" t="n">
        <v>0</v>
      </c>
      <c r="AJ1038" s="50" t="n">
        <v>0</v>
      </c>
      <c r="AK1038" s="51" t="n">
        <v>0</v>
      </c>
      <c r="AL1038" s="52" t="n">
        <v>0</v>
      </c>
      <c r="AM1038" s="52" t="n">
        <v>0</v>
      </c>
      <c r="AN1038" s="52" t="n">
        <v>0</v>
      </c>
      <c r="AO1038" s="53" t="n">
        <v>0</v>
      </c>
      <c r="AP1038" s="52" t="n">
        <v>0</v>
      </c>
      <c r="AQ1038" s="53" t="n">
        <v>0</v>
      </c>
      <c r="AR1038" s="52" t="n">
        <v>0</v>
      </c>
      <c r="AS1038" s="51" t="n">
        <v>0</v>
      </c>
      <c r="AT1038" s="48" t="n">
        <v>0</v>
      </c>
      <c r="AU1038" s="49" t="n">
        <v>0</v>
      </c>
      <c r="AV1038" s="49" t="n">
        <v>0</v>
      </c>
      <c r="AW1038" s="50" t="n">
        <v>0</v>
      </c>
      <c r="AX1038" s="51" t="n">
        <v>0</v>
      </c>
      <c r="AY1038" s="52" t="n">
        <v>0</v>
      </c>
      <c r="AZ1038" s="52" t="n">
        <v>0</v>
      </c>
      <c r="BA1038" s="52" t="n">
        <v>0</v>
      </c>
      <c r="BB1038" s="53" t="n">
        <v>0</v>
      </c>
      <c r="BC1038" s="52" t="n">
        <v>0</v>
      </c>
      <c r="BD1038" s="53" t="n">
        <v>0</v>
      </c>
      <c r="BE1038" s="52" t="n">
        <v>0</v>
      </c>
      <c r="BF1038" s="51" t="n">
        <v>0</v>
      </c>
    </row>
    <row r="1039">
      <c r="A1039">
        <f>HYPERLINK("https://www.walmart.com/ip/712705328", "712705328")</f>
        <v/>
      </c>
      <c r="B1039" t="inlineStr">
        <is>
          <t>Oversized Hoodie Blanket Sweatshirt,Super Soft Warm Comfortable Fleece Giant Pullover with Large Front Pocket,for Adults Men Women Teenagers Kids Wife Girlfriend</t>
        </is>
      </c>
      <c r="C1039" t="inlineStr">
        <is>
          <t>1CTHD300WN-UPC</t>
        </is>
      </c>
      <c r="D1039" t="inlineStr">
        <is>
          <t>Sweatshirts &amp; Hoodies</t>
        </is>
      </c>
      <c r="E1039" t="inlineStr">
        <is>
          <t>Catalonia</t>
        </is>
      </c>
      <c r="F1039" t="inlineStr">
        <is>
          <t>Hoodie ForAdult,Optimized,Coupon_Discount</t>
        </is>
      </c>
      <c r="G1039" s="48" t="n">
        <v>0</v>
      </c>
      <c r="H1039" s="49" t="n">
        <v>0</v>
      </c>
      <c r="I1039" s="49" t="n">
        <v>0</v>
      </c>
      <c r="J1039" s="50" t="n">
        <v>0</v>
      </c>
      <c r="K1039" s="51" t="n">
        <v>0</v>
      </c>
      <c r="L1039" s="52" t="n">
        <v>0</v>
      </c>
      <c r="M1039" s="52" t="n">
        <v>0</v>
      </c>
      <c r="N1039" s="52" t="n">
        <v>0</v>
      </c>
      <c r="O1039" s="53" t="n">
        <v>0</v>
      </c>
      <c r="P1039" s="52" t="n">
        <v>0</v>
      </c>
      <c r="Q1039" s="53" t="n">
        <v>0</v>
      </c>
      <c r="R1039" s="52" t="n">
        <v>0</v>
      </c>
      <c r="S1039" s="51" t="n">
        <v>0</v>
      </c>
      <c r="T1039" s="48" t="n">
        <v>0</v>
      </c>
      <c r="U1039" s="49" t="n">
        <v>0</v>
      </c>
      <c r="V1039" s="49" t="n">
        <v>0</v>
      </c>
      <c r="W1039" s="50" t="n">
        <v>0</v>
      </c>
      <c r="X1039" s="51" t="n">
        <v>0</v>
      </c>
      <c r="Y1039" s="52" t="n">
        <v>0</v>
      </c>
      <c r="Z1039" s="52" t="n">
        <v>0</v>
      </c>
      <c r="AA1039" s="52" t="n">
        <v>0</v>
      </c>
      <c r="AB1039" s="53" t="n">
        <v>0</v>
      </c>
      <c r="AC1039" s="52" t="n">
        <v>0</v>
      </c>
      <c r="AD1039" s="53" t="n">
        <v>0</v>
      </c>
      <c r="AE1039" s="52" t="n">
        <v>0</v>
      </c>
      <c r="AF1039" s="51" t="n">
        <v>0</v>
      </c>
      <c r="AG1039" s="48" t="n">
        <v>0</v>
      </c>
      <c r="AH1039" s="49" t="n">
        <v>0</v>
      </c>
      <c r="AI1039" s="49" t="n">
        <v>0</v>
      </c>
      <c r="AJ1039" s="50" t="n">
        <v>0</v>
      </c>
      <c r="AK1039" s="51" t="n">
        <v>0</v>
      </c>
      <c r="AL1039" s="52" t="n">
        <v>0</v>
      </c>
      <c r="AM1039" s="52" t="n">
        <v>0</v>
      </c>
      <c r="AN1039" s="52" t="n">
        <v>0</v>
      </c>
      <c r="AO1039" s="53" t="n">
        <v>0</v>
      </c>
      <c r="AP1039" s="52" t="n">
        <v>0</v>
      </c>
      <c r="AQ1039" s="53" t="n">
        <v>0</v>
      </c>
      <c r="AR1039" s="52" t="n">
        <v>0</v>
      </c>
      <c r="AS1039" s="51" t="n">
        <v>0</v>
      </c>
      <c r="AT1039" s="48" t="n">
        <v>0</v>
      </c>
      <c r="AU1039" s="49" t="n">
        <v>0</v>
      </c>
      <c r="AV1039" s="49" t="n">
        <v>0</v>
      </c>
      <c r="AW1039" s="50" t="n">
        <v>0</v>
      </c>
      <c r="AX1039" s="51" t="n">
        <v>0</v>
      </c>
      <c r="AY1039" s="52" t="n">
        <v>0</v>
      </c>
      <c r="AZ1039" s="52" t="n">
        <v>0</v>
      </c>
      <c r="BA1039" s="52" t="n">
        <v>0</v>
      </c>
      <c r="BB1039" s="53" t="n">
        <v>0</v>
      </c>
      <c r="BC1039" s="52" t="n">
        <v>0</v>
      </c>
      <c r="BD1039" s="53" t="n">
        <v>0</v>
      </c>
      <c r="BE1039" s="52" t="n">
        <v>0</v>
      </c>
      <c r="BF1039" s="51" t="n">
        <v>0</v>
      </c>
    </row>
    <row r="1040">
      <c r="A1040">
        <f>HYPERLINK("https://www.walmart.com/ip/713575349", "713575349")</f>
        <v/>
      </c>
      <c r="B1040" t="inlineStr">
        <is>
          <t>Terrania Running Belt for iPhone 8 X 7 Plus 6S, Fanny Pack Phone Pouch for Fitness, Black, Large</t>
        </is>
      </c>
      <c r="C1040" t="inlineStr">
        <is>
          <t>TRWB100BK-L</t>
        </is>
      </c>
      <c r="D1040" t="inlineStr">
        <is>
          <t>Running Belts</t>
        </is>
      </c>
      <c r="E1040" t="inlineStr">
        <is>
          <t>Terrania</t>
        </is>
      </c>
      <c r="F1040" t="inlineStr">
        <is>
          <t>Batch 1 - TR</t>
        </is>
      </c>
      <c r="G1040" s="48" t="n">
        <v>0</v>
      </c>
      <c r="H1040" s="49" t="n">
        <v>0</v>
      </c>
      <c r="I1040" s="49" t="n">
        <v>0</v>
      </c>
      <c r="J1040" s="50" t="n">
        <v>0</v>
      </c>
      <c r="K1040" s="51" t="n">
        <v>0</v>
      </c>
      <c r="L1040" s="52" t="n">
        <v>0</v>
      </c>
      <c r="M1040" s="52" t="n">
        <v>0</v>
      </c>
      <c r="N1040" s="52" t="n">
        <v>0</v>
      </c>
      <c r="O1040" s="53" t="n">
        <v>0</v>
      </c>
      <c r="P1040" s="52" t="n">
        <v>0</v>
      </c>
      <c r="Q1040" s="53" t="n">
        <v>0</v>
      </c>
      <c r="R1040" s="52" t="n">
        <v>0</v>
      </c>
      <c r="S1040" s="51" t="n">
        <v>0</v>
      </c>
      <c r="T1040" s="48" t="n">
        <v>0</v>
      </c>
      <c r="U1040" s="49" t="n">
        <v>0</v>
      </c>
      <c r="V1040" s="49" t="n">
        <v>0</v>
      </c>
      <c r="W1040" s="50" t="n">
        <v>0</v>
      </c>
      <c r="X1040" s="51" t="n">
        <v>0</v>
      </c>
      <c r="Y1040" s="52" t="n">
        <v>0</v>
      </c>
      <c r="Z1040" s="52" t="n">
        <v>0</v>
      </c>
      <c r="AA1040" s="52" t="n">
        <v>0</v>
      </c>
      <c r="AB1040" s="53" t="n">
        <v>0</v>
      </c>
      <c r="AC1040" s="52" t="n">
        <v>0</v>
      </c>
      <c r="AD1040" s="53" t="n">
        <v>0</v>
      </c>
      <c r="AE1040" s="52" t="n">
        <v>0</v>
      </c>
      <c r="AF1040" s="51" t="n">
        <v>0</v>
      </c>
      <c r="AG1040" s="48" t="n">
        <v>0</v>
      </c>
      <c r="AH1040" s="49" t="n">
        <v>0</v>
      </c>
      <c r="AI1040" s="49" t="n">
        <v>0</v>
      </c>
      <c r="AJ1040" s="50" t="n">
        <v>0</v>
      </c>
      <c r="AK1040" s="51" t="n">
        <v>0</v>
      </c>
      <c r="AL1040" s="52" t="n">
        <v>0</v>
      </c>
      <c r="AM1040" s="52" t="n">
        <v>0</v>
      </c>
      <c r="AN1040" s="52" t="n">
        <v>0</v>
      </c>
      <c r="AO1040" s="53" t="n">
        <v>0</v>
      </c>
      <c r="AP1040" s="52" t="n">
        <v>0</v>
      </c>
      <c r="AQ1040" s="53" t="n">
        <v>0</v>
      </c>
      <c r="AR1040" s="52" t="n">
        <v>0</v>
      </c>
      <c r="AS1040" s="51" t="n">
        <v>0</v>
      </c>
      <c r="AT1040" s="48" t="n">
        <v>0</v>
      </c>
      <c r="AU1040" s="49" t="n">
        <v>0</v>
      </c>
      <c r="AV1040" s="49" t="n">
        <v>0</v>
      </c>
      <c r="AW1040" s="50" t="n">
        <v>0</v>
      </c>
      <c r="AX1040" s="51" t="n">
        <v>0</v>
      </c>
      <c r="AY1040" s="52" t="n">
        <v>0</v>
      </c>
      <c r="AZ1040" s="52" t="n">
        <v>0</v>
      </c>
      <c r="BA1040" s="52" t="n">
        <v>0</v>
      </c>
      <c r="BB1040" s="53" t="n">
        <v>0</v>
      </c>
      <c r="BC1040" s="52" t="n">
        <v>0</v>
      </c>
      <c r="BD1040" s="53" t="n">
        <v>0</v>
      </c>
      <c r="BE1040" s="52" t="n">
        <v>0</v>
      </c>
      <c r="BF1040" s="51" t="n">
        <v>0</v>
      </c>
    </row>
    <row r="1041">
      <c r="A1041">
        <f>HYPERLINK("https://www.walmart.com/ip/689835417", "689835417")</f>
        <v/>
      </c>
      <c r="B1041" t="inlineStr">
        <is>
          <t>KritterWorld Pet Dog Cat Puppy Kitten Reversible  Blanket Throw 45" x30" Latte/Brown</t>
        </is>
      </c>
      <c r="C1041" t="inlineStr">
        <is>
          <t>DOG3045-LTBR</t>
        </is>
      </c>
      <c r="D1041" t="inlineStr">
        <is>
          <t>Pet Blankets</t>
        </is>
      </c>
      <c r="E1041" t="inlineStr">
        <is>
          <t>KritterWorld</t>
        </is>
      </c>
      <c r="G1041" s="48" t="n">
        <v>0</v>
      </c>
      <c r="H1041" s="49" t="n">
        <v>0</v>
      </c>
      <c r="I1041" s="49" t="n">
        <v>0</v>
      </c>
      <c r="J1041" s="50" t="n">
        <v>0</v>
      </c>
      <c r="K1041" s="51" t="n">
        <v>0</v>
      </c>
      <c r="L1041" s="52" t="n">
        <v>0</v>
      </c>
      <c r="M1041" s="52" t="n">
        <v>0</v>
      </c>
      <c r="N1041" s="52" t="n">
        <v>0</v>
      </c>
      <c r="O1041" s="53" t="n">
        <v>0</v>
      </c>
      <c r="P1041" s="52" t="n">
        <v>0</v>
      </c>
      <c r="Q1041" s="53" t="n">
        <v>0</v>
      </c>
      <c r="R1041" s="52" t="n">
        <v>0</v>
      </c>
      <c r="S1041" s="51" t="n">
        <v>0</v>
      </c>
      <c r="T1041" s="48" t="n">
        <v>0</v>
      </c>
      <c r="U1041" s="49" t="n">
        <v>0</v>
      </c>
      <c r="V1041" s="49" t="n">
        <v>0</v>
      </c>
      <c r="W1041" s="50" t="n">
        <v>0</v>
      </c>
      <c r="X1041" s="51" t="n">
        <v>0</v>
      </c>
      <c r="Y1041" s="52" t="n">
        <v>0</v>
      </c>
      <c r="Z1041" s="52" t="n">
        <v>0</v>
      </c>
      <c r="AA1041" s="52" t="n">
        <v>0</v>
      </c>
      <c r="AB1041" s="53" t="n">
        <v>0</v>
      </c>
      <c r="AC1041" s="52" t="n">
        <v>0</v>
      </c>
      <c r="AD1041" s="53" t="n">
        <v>0</v>
      </c>
      <c r="AE1041" s="52" t="n">
        <v>0</v>
      </c>
      <c r="AF1041" s="51" t="n">
        <v>0</v>
      </c>
      <c r="AG1041" s="48" t="n">
        <v>0</v>
      </c>
      <c r="AH1041" s="49" t="n">
        <v>0</v>
      </c>
      <c r="AI1041" s="49" t="n">
        <v>0</v>
      </c>
      <c r="AJ1041" s="50" t="n">
        <v>0</v>
      </c>
      <c r="AK1041" s="51" t="n">
        <v>0</v>
      </c>
      <c r="AL1041" s="52" t="n">
        <v>0</v>
      </c>
      <c r="AM1041" s="52" t="n">
        <v>0</v>
      </c>
      <c r="AN1041" s="52" t="n">
        <v>0</v>
      </c>
      <c r="AO1041" s="53" t="n">
        <v>0</v>
      </c>
      <c r="AP1041" s="52" t="n">
        <v>0</v>
      </c>
      <c r="AQ1041" s="53" t="n">
        <v>0</v>
      </c>
      <c r="AR1041" s="52" t="n">
        <v>0</v>
      </c>
      <c r="AS1041" s="51" t="n">
        <v>0</v>
      </c>
      <c r="AT1041" s="48" t="n">
        <v>0</v>
      </c>
      <c r="AU1041" s="49" t="n">
        <v>0</v>
      </c>
      <c r="AV1041" s="49" t="n">
        <v>0</v>
      </c>
      <c r="AW1041" s="50" t="n">
        <v>0</v>
      </c>
      <c r="AX1041" s="51" t="n">
        <v>0</v>
      </c>
      <c r="AY1041" s="52" t="n">
        <v>0</v>
      </c>
      <c r="AZ1041" s="52" t="n">
        <v>0</v>
      </c>
      <c r="BA1041" s="52" t="n">
        <v>0</v>
      </c>
      <c r="BB1041" s="53" t="n">
        <v>0</v>
      </c>
      <c r="BC1041" s="52" t="n">
        <v>0</v>
      </c>
      <c r="BD1041" s="53" t="n">
        <v>0</v>
      </c>
      <c r="BE1041" s="52" t="n">
        <v>0</v>
      </c>
      <c r="BF1041" s="51" t="n">
        <v>0</v>
      </c>
    </row>
    <row r="1042">
      <c r="A1042">
        <f>HYPERLINK("https://www.walmart.com/ip/729422112", "729422112")</f>
        <v/>
      </c>
      <c r="B1042" t="inlineStr">
        <is>
          <t>Oversized Hoodie Blanket Sweatshirt,Super Soft Warm Comfortable Fleece Giant Pullover with Large Front Pocket,for Adults Men Women Teenagers Kids Wife Girlfriend</t>
        </is>
      </c>
      <c r="C1042" t="inlineStr">
        <is>
          <t>1WMHD300IVR</t>
        </is>
      </c>
      <c r="D1042" t="inlineStr">
        <is>
          <t>Sweatshirts &amp; Hoodies</t>
        </is>
      </c>
      <c r="E1042" t="inlineStr">
        <is>
          <t>Flyingstar</t>
        </is>
      </c>
      <c r="F1042" t="inlineStr">
        <is>
          <t>Hoodie ForAdult,Optimized</t>
        </is>
      </c>
      <c r="G1042" s="48" t="n">
        <v>0</v>
      </c>
      <c r="H1042" s="49" t="n">
        <v>0</v>
      </c>
      <c r="I1042" s="49" t="n">
        <v>0</v>
      </c>
      <c r="J1042" s="50" t="n">
        <v>0</v>
      </c>
      <c r="K1042" s="51" t="n">
        <v>0</v>
      </c>
      <c r="L1042" s="52" t="n">
        <v>0</v>
      </c>
      <c r="M1042" s="52" t="n">
        <v>0</v>
      </c>
      <c r="N1042" s="52" t="n">
        <v>0</v>
      </c>
      <c r="O1042" s="53" t="n">
        <v>0</v>
      </c>
      <c r="P1042" s="52" t="n">
        <v>0</v>
      </c>
      <c r="Q1042" s="53" t="n">
        <v>0</v>
      </c>
      <c r="R1042" s="52" t="n">
        <v>0</v>
      </c>
      <c r="S1042" s="51" t="n">
        <v>0</v>
      </c>
      <c r="T1042" s="48" t="n">
        <v>0</v>
      </c>
      <c r="U1042" s="49" t="n">
        <v>0</v>
      </c>
      <c r="V1042" s="49" t="n">
        <v>0</v>
      </c>
      <c r="W1042" s="50" t="n">
        <v>0</v>
      </c>
      <c r="X1042" s="51" t="n">
        <v>0</v>
      </c>
      <c r="Y1042" s="52" t="n">
        <v>0</v>
      </c>
      <c r="Z1042" s="52" t="n">
        <v>0</v>
      </c>
      <c r="AA1042" s="52" t="n">
        <v>0</v>
      </c>
      <c r="AB1042" s="53" t="n">
        <v>0</v>
      </c>
      <c r="AC1042" s="52" t="n">
        <v>0</v>
      </c>
      <c r="AD1042" s="53" t="n">
        <v>0</v>
      </c>
      <c r="AE1042" s="52" t="n">
        <v>0</v>
      </c>
      <c r="AF1042" s="51" t="n">
        <v>0</v>
      </c>
      <c r="AG1042" s="48" t="n">
        <v>0</v>
      </c>
      <c r="AH1042" s="49" t="n">
        <v>0</v>
      </c>
      <c r="AI1042" s="49" t="n">
        <v>0</v>
      </c>
      <c r="AJ1042" s="50" t="n">
        <v>0</v>
      </c>
      <c r="AK1042" s="51" t="n">
        <v>0</v>
      </c>
      <c r="AL1042" s="52" t="n">
        <v>0</v>
      </c>
      <c r="AM1042" s="52" t="n">
        <v>0</v>
      </c>
      <c r="AN1042" s="52" t="n">
        <v>0</v>
      </c>
      <c r="AO1042" s="53" t="n">
        <v>0</v>
      </c>
      <c r="AP1042" s="52" t="n">
        <v>0</v>
      </c>
      <c r="AQ1042" s="53" t="n">
        <v>0</v>
      </c>
      <c r="AR1042" s="52" t="n">
        <v>0</v>
      </c>
      <c r="AS1042" s="51" t="n">
        <v>0</v>
      </c>
      <c r="AT1042" s="48" t="n">
        <v>0</v>
      </c>
      <c r="AU1042" s="49" t="n">
        <v>0</v>
      </c>
      <c r="AV1042" s="49" t="n">
        <v>0</v>
      </c>
      <c r="AW1042" s="50" t="n">
        <v>0</v>
      </c>
      <c r="AX1042" s="51" t="n">
        <v>0</v>
      </c>
      <c r="AY1042" s="52" t="n">
        <v>0</v>
      </c>
      <c r="AZ1042" s="52" t="n">
        <v>0</v>
      </c>
      <c r="BA1042" s="52" t="n">
        <v>0</v>
      </c>
      <c r="BB1042" s="53" t="n">
        <v>0</v>
      </c>
      <c r="BC1042" s="52" t="n">
        <v>0</v>
      </c>
      <c r="BD1042" s="53" t="n">
        <v>0</v>
      </c>
      <c r="BE1042" s="52" t="n">
        <v>0</v>
      </c>
      <c r="BF1042" s="51" t="n">
        <v>0</v>
      </c>
    </row>
    <row r="1043">
      <c r="A1043">
        <f>HYPERLINK("https://www.walmart.com/ip/730581368", "730581368")</f>
        <v/>
      </c>
      <c r="B1043" t="inlineStr">
        <is>
          <t>Fleece Blanket Wearable with Sleeves &amp; Foot pockets for Men and Women, Micro Plush Wrap Sleeved Throw Blanket Robe Multi-Colors 75”x53” by Catalonia</t>
        </is>
      </c>
      <c r="C1043" t="inlineStr">
        <is>
          <t>1CTSN101LT</t>
        </is>
      </c>
      <c r="D1043" t="inlineStr">
        <is>
          <t>Throws</t>
        </is>
      </c>
      <c r="E1043" t="inlineStr">
        <is>
          <t>Catalonia</t>
        </is>
      </c>
      <c r="F1043" t="inlineStr">
        <is>
          <t>WFS,WFS Item,Fleece Blankets</t>
        </is>
      </c>
      <c r="G1043" s="48" t="n">
        <v>0</v>
      </c>
      <c r="H1043" s="49" t="n">
        <v>0</v>
      </c>
      <c r="I1043" s="49" t="n">
        <v>0</v>
      </c>
      <c r="J1043" s="50" t="n">
        <v>0</v>
      </c>
      <c r="K1043" s="51" t="n">
        <v>0</v>
      </c>
      <c r="L1043" s="52" t="n">
        <v>0</v>
      </c>
      <c r="M1043" s="52" t="n">
        <v>0</v>
      </c>
      <c r="N1043" s="52" t="n">
        <v>0</v>
      </c>
      <c r="O1043" s="53" t="n">
        <v>0</v>
      </c>
      <c r="P1043" s="52" t="n">
        <v>0</v>
      </c>
      <c r="Q1043" s="53" t="n">
        <v>0</v>
      </c>
      <c r="R1043" s="52" t="n">
        <v>0</v>
      </c>
      <c r="S1043" s="51" t="n">
        <v>0</v>
      </c>
      <c r="T1043" s="48" t="n">
        <v>0</v>
      </c>
      <c r="U1043" s="49" t="n">
        <v>0</v>
      </c>
      <c r="V1043" s="49" t="n">
        <v>0</v>
      </c>
      <c r="W1043" s="50" t="n">
        <v>0</v>
      </c>
      <c r="X1043" s="51" t="n">
        <v>0</v>
      </c>
      <c r="Y1043" s="52" t="n">
        <v>0</v>
      </c>
      <c r="Z1043" s="52" t="n">
        <v>0</v>
      </c>
      <c r="AA1043" s="52" t="n">
        <v>0</v>
      </c>
      <c r="AB1043" s="53" t="n">
        <v>0</v>
      </c>
      <c r="AC1043" s="52" t="n">
        <v>0</v>
      </c>
      <c r="AD1043" s="53" t="n">
        <v>0</v>
      </c>
      <c r="AE1043" s="52" t="n">
        <v>0</v>
      </c>
      <c r="AF1043" s="51" t="n">
        <v>0</v>
      </c>
      <c r="AG1043" s="48" t="n">
        <v>0</v>
      </c>
      <c r="AH1043" s="49" t="n">
        <v>0</v>
      </c>
      <c r="AI1043" s="49" t="n">
        <v>0</v>
      </c>
      <c r="AJ1043" s="50" t="n">
        <v>0</v>
      </c>
      <c r="AK1043" s="51" t="n">
        <v>0</v>
      </c>
      <c r="AL1043" s="52" t="n">
        <v>0</v>
      </c>
      <c r="AM1043" s="52" t="n">
        <v>0</v>
      </c>
      <c r="AN1043" s="52" t="n">
        <v>0</v>
      </c>
      <c r="AO1043" s="53" t="n">
        <v>0</v>
      </c>
      <c r="AP1043" s="52" t="n">
        <v>0</v>
      </c>
      <c r="AQ1043" s="53" t="n">
        <v>0</v>
      </c>
      <c r="AR1043" s="52" t="n">
        <v>0</v>
      </c>
      <c r="AS1043" s="51" t="n">
        <v>0</v>
      </c>
      <c r="AT1043" s="48" t="n">
        <v>0</v>
      </c>
      <c r="AU1043" s="49" t="n">
        <v>0</v>
      </c>
      <c r="AV1043" s="49" t="n">
        <v>0</v>
      </c>
      <c r="AW1043" s="50" t="n">
        <v>0</v>
      </c>
      <c r="AX1043" s="51" t="n">
        <v>0</v>
      </c>
      <c r="AY1043" s="52" t="n">
        <v>0</v>
      </c>
      <c r="AZ1043" s="52" t="n">
        <v>0</v>
      </c>
      <c r="BA1043" s="52" t="n">
        <v>0</v>
      </c>
      <c r="BB1043" s="53" t="n">
        <v>0</v>
      </c>
      <c r="BC1043" s="52" t="n">
        <v>0</v>
      </c>
      <c r="BD1043" s="53" t="n">
        <v>0</v>
      </c>
      <c r="BE1043" s="52" t="n">
        <v>0</v>
      </c>
      <c r="BF1043" s="51" t="n">
        <v>0</v>
      </c>
    </row>
    <row r="1044">
      <c r="A1044">
        <f>HYPERLINK("https://www.walmart.com/ip/730795864", "730795864")</f>
        <v/>
      </c>
      <c r="B1044" t="inlineStr">
        <is>
          <t>Solaris Waterproof Snow Gloves for Men and Women, 100-Gram 3M Thinsulate Cold Weather Protection, Gray and Black, Large</t>
        </is>
      </c>
      <c r="C1044" t="inlineStr">
        <is>
          <t>1SLWG302BKGY-L</t>
        </is>
      </c>
      <c r="D1044" t="inlineStr">
        <is>
          <t>Gloves &amp; Mittens</t>
        </is>
      </c>
      <c r="E1044" t="inlineStr">
        <is>
          <t>Solaris</t>
        </is>
      </c>
      <c r="F1044" t="inlineStr">
        <is>
          <t>Optimized,Gloves,WFS,WFS Item</t>
        </is>
      </c>
      <c r="G1044" s="48" t="n">
        <v>0</v>
      </c>
      <c r="H1044" s="49" t="n">
        <v>0</v>
      </c>
      <c r="I1044" s="49" t="n">
        <v>0</v>
      </c>
      <c r="J1044" s="50" t="n">
        <v>0</v>
      </c>
      <c r="K1044" s="51" t="n">
        <v>0</v>
      </c>
      <c r="L1044" s="52" t="n">
        <v>0</v>
      </c>
      <c r="M1044" s="52" t="n">
        <v>0</v>
      </c>
      <c r="N1044" s="52" t="n">
        <v>0</v>
      </c>
      <c r="O1044" s="53" t="n">
        <v>0</v>
      </c>
      <c r="P1044" s="52" t="n">
        <v>0</v>
      </c>
      <c r="Q1044" s="53" t="n">
        <v>0</v>
      </c>
      <c r="R1044" s="52" t="n">
        <v>0</v>
      </c>
      <c r="S1044" s="51" t="n">
        <v>0</v>
      </c>
      <c r="T1044" s="48" t="n">
        <v>0</v>
      </c>
      <c r="U1044" s="49" t="n">
        <v>0</v>
      </c>
      <c r="V1044" s="49" t="n">
        <v>0</v>
      </c>
      <c r="W1044" s="50" t="n">
        <v>0</v>
      </c>
      <c r="X1044" s="51" t="n">
        <v>0</v>
      </c>
      <c r="Y1044" s="52" t="n">
        <v>0</v>
      </c>
      <c r="Z1044" s="52" t="n">
        <v>0</v>
      </c>
      <c r="AA1044" s="52" t="n">
        <v>0</v>
      </c>
      <c r="AB1044" s="53" t="n">
        <v>0</v>
      </c>
      <c r="AC1044" s="52" t="n">
        <v>0</v>
      </c>
      <c r="AD1044" s="53" t="n">
        <v>0</v>
      </c>
      <c r="AE1044" s="52" t="n">
        <v>0</v>
      </c>
      <c r="AF1044" s="51" t="n">
        <v>0</v>
      </c>
      <c r="AG1044" s="48" t="n">
        <v>0</v>
      </c>
      <c r="AH1044" s="49" t="n">
        <v>0</v>
      </c>
      <c r="AI1044" s="49" t="n">
        <v>2</v>
      </c>
      <c r="AJ1044" s="50" t="n">
        <v>0</v>
      </c>
      <c r="AK1044" s="51" t="n">
        <v>0</v>
      </c>
      <c r="AL1044" s="52" t="n">
        <v>0</v>
      </c>
      <c r="AM1044" s="52" t="n">
        <v>0</v>
      </c>
      <c r="AN1044" s="52" t="n">
        <v>0</v>
      </c>
      <c r="AO1044" s="53" t="n">
        <v>0</v>
      </c>
      <c r="AP1044" s="52" t="n">
        <v>0</v>
      </c>
      <c r="AQ1044" s="53" t="n">
        <v>0</v>
      </c>
      <c r="AR1044" s="52" t="n">
        <v>0</v>
      </c>
      <c r="AS1044" s="51" t="n">
        <v>0</v>
      </c>
      <c r="AT1044" s="48" t="n">
        <v>0</v>
      </c>
      <c r="AU1044" s="49" t="n">
        <v>0</v>
      </c>
      <c r="AV1044" s="49" t="n">
        <v>2</v>
      </c>
      <c r="AW1044" s="50" t="n">
        <v>0</v>
      </c>
      <c r="AX1044" s="51" t="n">
        <v>0</v>
      </c>
      <c r="AY1044" s="52" t="n">
        <v>0</v>
      </c>
      <c r="AZ1044" s="52" t="n">
        <v>0</v>
      </c>
      <c r="BA1044" s="52" t="n">
        <v>0</v>
      </c>
      <c r="BB1044" s="53" t="n">
        <v>0</v>
      </c>
      <c r="BC1044" s="52" t="n">
        <v>0</v>
      </c>
      <c r="BD1044" s="53" t="n">
        <v>0</v>
      </c>
      <c r="BE1044" s="52" t="n">
        <v>0</v>
      </c>
      <c r="BF1044" s="51" t="n">
        <v>0</v>
      </c>
    </row>
    <row r="1045">
      <c r="A1045">
        <f>HYPERLINK("https://www.walmart.com/ip/730982909", "730982909")</f>
        <v/>
      </c>
      <c r="B1045" t="inlineStr">
        <is>
          <t>Solaris Winter Cable Knit Beanie Hats with Fur Pom Pom for Women Ski Cap</t>
        </is>
      </c>
      <c r="C1045" t="inlineStr">
        <is>
          <t>1SLPPH01RD</t>
        </is>
      </c>
      <c r="D1045" t="inlineStr">
        <is>
          <t>Hats</t>
        </is>
      </c>
      <c r="E1045" t="inlineStr">
        <is>
          <t>Solaris</t>
        </is>
      </c>
      <c r="F1045" t="inlineStr">
        <is>
          <t>Batch 1 - TR</t>
        </is>
      </c>
      <c r="G1045" s="48" t="n">
        <v>0</v>
      </c>
      <c r="H1045" s="49" t="n">
        <v>0</v>
      </c>
      <c r="I1045" s="49" t="n">
        <v>0</v>
      </c>
      <c r="J1045" s="50" t="n">
        <v>0</v>
      </c>
      <c r="K1045" s="51" t="n">
        <v>0</v>
      </c>
      <c r="L1045" s="52" t="n">
        <v>0</v>
      </c>
      <c r="M1045" s="52" t="n">
        <v>0</v>
      </c>
      <c r="N1045" s="52" t="n">
        <v>0</v>
      </c>
      <c r="O1045" s="53" t="n">
        <v>0</v>
      </c>
      <c r="P1045" s="52" t="n">
        <v>0</v>
      </c>
      <c r="Q1045" s="53" t="n">
        <v>0</v>
      </c>
      <c r="R1045" s="52" t="n">
        <v>0</v>
      </c>
      <c r="S1045" s="51" t="n">
        <v>0</v>
      </c>
      <c r="T1045" s="48" t="n">
        <v>0</v>
      </c>
      <c r="U1045" s="49" t="n">
        <v>0</v>
      </c>
      <c r="V1045" s="49" t="n">
        <v>0</v>
      </c>
      <c r="W1045" s="50" t="n">
        <v>0</v>
      </c>
      <c r="X1045" s="51" t="n">
        <v>0</v>
      </c>
      <c r="Y1045" s="52" t="n">
        <v>0</v>
      </c>
      <c r="Z1045" s="52" t="n">
        <v>0</v>
      </c>
      <c r="AA1045" s="52" t="n">
        <v>0</v>
      </c>
      <c r="AB1045" s="53" t="n">
        <v>0</v>
      </c>
      <c r="AC1045" s="52" t="n">
        <v>0</v>
      </c>
      <c r="AD1045" s="53" t="n">
        <v>0</v>
      </c>
      <c r="AE1045" s="52" t="n">
        <v>0</v>
      </c>
      <c r="AF1045" s="51" t="n">
        <v>0</v>
      </c>
      <c r="AG1045" s="48" t="n">
        <v>0</v>
      </c>
      <c r="AH1045" s="49" t="n">
        <v>0</v>
      </c>
      <c r="AI1045" s="49" t="n">
        <v>0</v>
      </c>
      <c r="AJ1045" s="50" t="n">
        <v>0</v>
      </c>
      <c r="AK1045" s="51" t="n">
        <v>0</v>
      </c>
      <c r="AL1045" s="52" t="n">
        <v>0</v>
      </c>
      <c r="AM1045" s="52" t="n">
        <v>0</v>
      </c>
      <c r="AN1045" s="52" t="n">
        <v>0</v>
      </c>
      <c r="AO1045" s="53" t="n">
        <v>0</v>
      </c>
      <c r="AP1045" s="52" t="n">
        <v>0</v>
      </c>
      <c r="AQ1045" s="53" t="n">
        <v>0</v>
      </c>
      <c r="AR1045" s="52" t="n">
        <v>0</v>
      </c>
      <c r="AS1045" s="51" t="n">
        <v>0</v>
      </c>
      <c r="AT1045" s="48" t="n">
        <v>0</v>
      </c>
      <c r="AU1045" s="49" t="n">
        <v>0</v>
      </c>
      <c r="AV1045" s="49" t="n">
        <v>0</v>
      </c>
      <c r="AW1045" s="50" t="n">
        <v>0</v>
      </c>
      <c r="AX1045" s="51" t="n">
        <v>0</v>
      </c>
      <c r="AY1045" s="52" t="n">
        <v>0</v>
      </c>
      <c r="AZ1045" s="52" t="n">
        <v>0</v>
      </c>
      <c r="BA1045" s="52" t="n">
        <v>0</v>
      </c>
      <c r="BB1045" s="53" t="n">
        <v>0</v>
      </c>
      <c r="BC1045" s="52" t="n">
        <v>0</v>
      </c>
      <c r="BD1045" s="53" t="n">
        <v>0</v>
      </c>
      <c r="BE1045" s="52" t="n">
        <v>0</v>
      </c>
      <c r="BF1045" s="51" t="n">
        <v>0</v>
      </c>
    </row>
    <row r="1046">
      <c r="A1046">
        <f>HYPERLINK("https://www.walmart.com/ip/731062665", "731062665")</f>
        <v/>
      </c>
      <c r="B1046" t="inlineStr">
        <is>
          <t>Pawsse Pet Blankets, Super Soft Warm Sherpa Dog Fleece Blanket, Large Dog Blankets, and Dog Throw Blanket for Small, Medium Puppy, Doggy, Pet Cats, Gray, 60'' x 49''</t>
        </is>
      </c>
      <c r="C1046" t="inlineStr">
        <is>
          <t>1PSBF301LG</t>
        </is>
      </c>
      <c r="D1046" t="inlineStr">
        <is>
          <t>Pet Blankets</t>
        </is>
      </c>
      <c r="E1046" t="inlineStr">
        <is>
          <t>Pawsse</t>
        </is>
      </c>
      <c r="F1046" t="inlineStr">
        <is>
          <t>WFS,WFS Item</t>
        </is>
      </c>
      <c r="G1046" s="48" t="n">
        <v>0</v>
      </c>
      <c r="H1046" s="49" t="n">
        <v>0</v>
      </c>
      <c r="I1046" s="49" t="n">
        <v>0</v>
      </c>
      <c r="J1046" s="50" t="n">
        <v>0</v>
      </c>
      <c r="K1046" s="51" t="n">
        <v>0</v>
      </c>
      <c r="L1046" s="52" t="n">
        <v>0</v>
      </c>
      <c r="M1046" s="52" t="n">
        <v>0</v>
      </c>
      <c r="N1046" s="52" t="n">
        <v>0</v>
      </c>
      <c r="O1046" s="53" t="n">
        <v>0</v>
      </c>
      <c r="P1046" s="52" t="n">
        <v>0</v>
      </c>
      <c r="Q1046" s="53" t="n">
        <v>0</v>
      </c>
      <c r="R1046" s="52" t="n">
        <v>0</v>
      </c>
      <c r="S1046" s="51" t="n">
        <v>0</v>
      </c>
      <c r="T1046" s="48" t="n">
        <v>0</v>
      </c>
      <c r="U1046" s="49" t="n">
        <v>0</v>
      </c>
      <c r="V1046" s="49" t="n">
        <v>0</v>
      </c>
      <c r="W1046" s="50" t="n">
        <v>0</v>
      </c>
      <c r="X1046" s="51" t="n">
        <v>0</v>
      </c>
      <c r="Y1046" s="52" t="n">
        <v>0</v>
      </c>
      <c r="Z1046" s="52" t="n">
        <v>0</v>
      </c>
      <c r="AA1046" s="52" t="n">
        <v>0</v>
      </c>
      <c r="AB1046" s="53" t="n">
        <v>0</v>
      </c>
      <c r="AC1046" s="52" t="n">
        <v>0</v>
      </c>
      <c r="AD1046" s="53" t="n">
        <v>0</v>
      </c>
      <c r="AE1046" s="52" t="n">
        <v>0</v>
      </c>
      <c r="AF1046" s="51" t="n">
        <v>0</v>
      </c>
      <c r="AG1046" s="48" t="n">
        <v>0</v>
      </c>
      <c r="AH1046" s="49" t="n">
        <v>0</v>
      </c>
      <c r="AI1046" s="49" t="n">
        <v>0</v>
      </c>
      <c r="AJ1046" s="50" t="n">
        <v>0</v>
      </c>
      <c r="AK1046" s="51" t="n">
        <v>0</v>
      </c>
      <c r="AL1046" s="52" t="n">
        <v>0</v>
      </c>
      <c r="AM1046" s="52" t="n">
        <v>0</v>
      </c>
      <c r="AN1046" s="52" t="n">
        <v>0</v>
      </c>
      <c r="AO1046" s="53" t="n">
        <v>0</v>
      </c>
      <c r="AP1046" s="52" t="n">
        <v>0</v>
      </c>
      <c r="AQ1046" s="53" t="n">
        <v>0</v>
      </c>
      <c r="AR1046" s="52" t="n">
        <v>0</v>
      </c>
      <c r="AS1046" s="51" t="n">
        <v>0</v>
      </c>
      <c r="AT1046" s="48" t="n">
        <v>49.98</v>
      </c>
      <c r="AU1046" s="49" t="n">
        <v>2</v>
      </c>
      <c r="AV1046" s="49" t="n">
        <v>0</v>
      </c>
      <c r="AW1046" s="50" t="n">
        <v>0</v>
      </c>
      <c r="AX1046" s="51" t="n">
        <v>0</v>
      </c>
      <c r="AY1046" s="52" t="n">
        <v>0</v>
      </c>
      <c r="AZ1046" s="52" t="n">
        <v>0</v>
      </c>
      <c r="BA1046" s="52" t="n">
        <v>0</v>
      </c>
      <c r="BB1046" s="53" t="n">
        <v>0</v>
      </c>
      <c r="BC1046" s="52" t="n">
        <v>0</v>
      </c>
      <c r="BD1046" s="53" t="n">
        <v>0</v>
      </c>
      <c r="BE1046" s="52" t="n">
        <v>24.99</v>
      </c>
      <c r="BF1046" s="51" t="n">
        <v>0</v>
      </c>
    </row>
    <row r="1047">
      <c r="A1047">
        <f>HYPERLINK("https://www.walmart.com/ip/731362127", "731362127")</f>
        <v/>
      </c>
      <c r="B1047" t="inlineStr">
        <is>
          <t>Panda Oversized Sherpa Hoodie Blanket Sweatshirt for Women</t>
        </is>
      </c>
      <c r="C1047" t="inlineStr">
        <is>
          <t>1WMHD201PAN</t>
        </is>
      </c>
      <c r="D1047" t="inlineStr">
        <is>
          <t>Sweatshirts &amp; Hoodies</t>
        </is>
      </c>
      <c r="E1047" t="inlineStr">
        <is>
          <t>Flyingstar</t>
        </is>
      </c>
      <c r="F1047" t="inlineStr">
        <is>
          <t>Hoodie ForAdult,Optimized</t>
        </is>
      </c>
      <c r="G1047" s="48" t="n">
        <v>0</v>
      </c>
      <c r="H1047" s="49" t="n">
        <v>0</v>
      </c>
      <c r="I1047" s="49" t="n">
        <v>0</v>
      </c>
      <c r="J1047" s="50" t="n">
        <v>0</v>
      </c>
      <c r="K1047" s="51" t="n">
        <v>0</v>
      </c>
      <c r="L1047" s="52" t="n">
        <v>0</v>
      </c>
      <c r="M1047" s="52" t="n">
        <v>0</v>
      </c>
      <c r="N1047" s="52" t="n">
        <v>0</v>
      </c>
      <c r="O1047" s="53" t="n">
        <v>0</v>
      </c>
      <c r="P1047" s="52" t="n">
        <v>0</v>
      </c>
      <c r="Q1047" s="53" t="n">
        <v>0</v>
      </c>
      <c r="R1047" s="52" t="n">
        <v>0</v>
      </c>
      <c r="S1047" s="51" t="n">
        <v>0</v>
      </c>
      <c r="T1047" s="48" t="n">
        <v>0</v>
      </c>
      <c r="U1047" s="49" t="n">
        <v>0</v>
      </c>
      <c r="V1047" s="49" t="n">
        <v>0</v>
      </c>
      <c r="W1047" s="50" t="n">
        <v>0</v>
      </c>
      <c r="X1047" s="51" t="n">
        <v>0</v>
      </c>
      <c r="Y1047" s="52" t="n">
        <v>0</v>
      </c>
      <c r="Z1047" s="52" t="n">
        <v>0</v>
      </c>
      <c r="AA1047" s="52" t="n">
        <v>0</v>
      </c>
      <c r="AB1047" s="53" t="n">
        <v>0</v>
      </c>
      <c r="AC1047" s="52" t="n">
        <v>0</v>
      </c>
      <c r="AD1047" s="53" t="n">
        <v>0</v>
      </c>
      <c r="AE1047" s="52" t="n">
        <v>0</v>
      </c>
      <c r="AF1047" s="51" t="n">
        <v>0</v>
      </c>
      <c r="AG1047" s="48" t="n">
        <v>0</v>
      </c>
      <c r="AH1047" s="49" t="n">
        <v>0</v>
      </c>
      <c r="AI1047" s="49" t="n">
        <v>0</v>
      </c>
      <c r="AJ1047" s="50" t="n">
        <v>0</v>
      </c>
      <c r="AK1047" s="51" t="n">
        <v>0</v>
      </c>
      <c r="AL1047" s="52" t="n">
        <v>0</v>
      </c>
      <c r="AM1047" s="52" t="n">
        <v>0</v>
      </c>
      <c r="AN1047" s="52" t="n">
        <v>0</v>
      </c>
      <c r="AO1047" s="53" t="n">
        <v>0</v>
      </c>
      <c r="AP1047" s="52" t="n">
        <v>0</v>
      </c>
      <c r="AQ1047" s="53" t="n">
        <v>0</v>
      </c>
      <c r="AR1047" s="52" t="n">
        <v>0</v>
      </c>
      <c r="AS1047" s="51" t="n">
        <v>0</v>
      </c>
      <c r="AT1047" s="48" t="n">
        <v>0</v>
      </c>
      <c r="AU1047" s="49" t="n">
        <v>0</v>
      </c>
      <c r="AV1047" s="49" t="n">
        <v>0</v>
      </c>
      <c r="AW1047" s="50" t="n">
        <v>0</v>
      </c>
      <c r="AX1047" s="51" t="n">
        <v>0</v>
      </c>
      <c r="AY1047" s="52" t="n">
        <v>0</v>
      </c>
      <c r="AZ1047" s="52" t="n">
        <v>0</v>
      </c>
      <c r="BA1047" s="52" t="n">
        <v>0</v>
      </c>
      <c r="BB1047" s="53" t="n">
        <v>0</v>
      </c>
      <c r="BC1047" s="52" t="n">
        <v>0</v>
      </c>
      <c r="BD1047" s="53" t="n">
        <v>0</v>
      </c>
      <c r="BE1047" s="52" t="n">
        <v>0</v>
      </c>
      <c r="BF1047" s="51" t="n">
        <v>0</v>
      </c>
    </row>
    <row r="1048">
      <c r="A1048">
        <f>HYPERLINK("https://www.walmart.com/ip/731972430", "731972430")</f>
        <v/>
      </c>
      <c r="B1048" t="inlineStr">
        <is>
          <t>Canadian Flag Sherpa Throw Blanket, Super Cozy Fleece Plush Bed Throw TV Blankets Reversible for Bed or Couch  50" x 60" | Catalonia series by Terrania | Canadian Flag</t>
        </is>
      </c>
      <c r="C1048" t="inlineStr">
        <is>
          <t>1TRBF300CAD-TPCB</t>
        </is>
      </c>
      <c r="D1048" t="inlineStr">
        <is>
          <t>Throws</t>
        </is>
      </c>
      <c r="E1048" t="inlineStr">
        <is>
          <t>Tirrinia</t>
        </is>
      </c>
      <c r="F1048" t="inlineStr">
        <is>
          <t>Batch 1 - TR</t>
        </is>
      </c>
      <c r="G1048" s="48" t="n">
        <v>0</v>
      </c>
      <c r="H1048" s="49" t="n">
        <v>0</v>
      </c>
      <c r="I1048" s="49" t="n">
        <v>0</v>
      </c>
      <c r="J1048" s="50" t="n">
        <v>0</v>
      </c>
      <c r="K1048" s="51" t="n">
        <v>0</v>
      </c>
      <c r="L1048" s="52" t="n">
        <v>0</v>
      </c>
      <c r="M1048" s="52" t="n">
        <v>0</v>
      </c>
      <c r="N1048" s="52" t="n">
        <v>0</v>
      </c>
      <c r="O1048" s="53" t="n">
        <v>0</v>
      </c>
      <c r="P1048" s="52" t="n">
        <v>0</v>
      </c>
      <c r="Q1048" s="53" t="n">
        <v>0</v>
      </c>
      <c r="R1048" s="52" t="n">
        <v>0</v>
      </c>
      <c r="S1048" s="51" t="n">
        <v>0</v>
      </c>
      <c r="T1048" s="48" t="n">
        <v>0</v>
      </c>
      <c r="U1048" s="49" t="n">
        <v>0</v>
      </c>
      <c r="V1048" s="49" t="n">
        <v>0</v>
      </c>
      <c r="W1048" s="50" t="n">
        <v>0</v>
      </c>
      <c r="X1048" s="51" t="n">
        <v>0</v>
      </c>
      <c r="Y1048" s="52" t="n">
        <v>0</v>
      </c>
      <c r="Z1048" s="52" t="n">
        <v>0</v>
      </c>
      <c r="AA1048" s="52" t="n">
        <v>0</v>
      </c>
      <c r="AB1048" s="53" t="n">
        <v>0</v>
      </c>
      <c r="AC1048" s="52" t="n">
        <v>0</v>
      </c>
      <c r="AD1048" s="53" t="n">
        <v>0</v>
      </c>
      <c r="AE1048" s="52" t="n">
        <v>0</v>
      </c>
      <c r="AF1048" s="51" t="n">
        <v>0</v>
      </c>
      <c r="AG1048" s="48" t="n">
        <v>0</v>
      </c>
      <c r="AH1048" s="49" t="n">
        <v>0</v>
      </c>
      <c r="AI1048" s="49" t="n">
        <v>0</v>
      </c>
      <c r="AJ1048" s="50" t="n">
        <v>0</v>
      </c>
      <c r="AK1048" s="51" t="n">
        <v>0</v>
      </c>
      <c r="AL1048" s="52" t="n">
        <v>0</v>
      </c>
      <c r="AM1048" s="52" t="n">
        <v>0</v>
      </c>
      <c r="AN1048" s="52" t="n">
        <v>0</v>
      </c>
      <c r="AO1048" s="53" t="n">
        <v>0</v>
      </c>
      <c r="AP1048" s="52" t="n">
        <v>0</v>
      </c>
      <c r="AQ1048" s="53" t="n">
        <v>0</v>
      </c>
      <c r="AR1048" s="52" t="n">
        <v>0</v>
      </c>
      <c r="AS1048" s="51" t="n">
        <v>0</v>
      </c>
      <c r="AT1048" s="48" t="n">
        <v>0</v>
      </c>
      <c r="AU1048" s="49" t="n">
        <v>0</v>
      </c>
      <c r="AV1048" s="49" t="n">
        <v>0</v>
      </c>
      <c r="AW1048" s="50" t="n">
        <v>0</v>
      </c>
      <c r="AX1048" s="51" t="n">
        <v>0</v>
      </c>
      <c r="AY1048" s="52" t="n">
        <v>0</v>
      </c>
      <c r="AZ1048" s="52" t="n">
        <v>0</v>
      </c>
      <c r="BA1048" s="52" t="n">
        <v>0</v>
      </c>
      <c r="BB1048" s="53" t="n">
        <v>0</v>
      </c>
      <c r="BC1048" s="52" t="n">
        <v>0</v>
      </c>
      <c r="BD1048" s="53" t="n">
        <v>0</v>
      </c>
      <c r="BE1048" s="52" t="n">
        <v>0</v>
      </c>
      <c r="BF1048" s="51" t="n">
        <v>0</v>
      </c>
    </row>
    <row r="1049">
      <c r="A1049">
        <f>HYPERLINK("https://www.walmart.com/ip/732723404", "732723404")</f>
        <v/>
      </c>
      <c r="B1049" t="inlineStr">
        <is>
          <t>Tirrinia Portable Travel Blanket for Airplane and Office, 4-in-1 Fleece Poncho Blanket, Folable with Pocket and Built-in Bag-Great for Airplane, Car, Train, Travel and Camping, Dark Blue, 60" x 40"</t>
        </is>
      </c>
      <c r="C1049" t="inlineStr">
        <is>
          <t>1TRTB100DBL</t>
        </is>
      </c>
      <c r="D1049" t="inlineStr">
        <is>
          <t>Throws</t>
        </is>
      </c>
      <c r="E1049" t="inlineStr">
        <is>
          <t>Tirrinia</t>
        </is>
      </c>
      <c r="F1049" t="inlineStr">
        <is>
          <t>WFS,SEM,WFS Item</t>
        </is>
      </c>
      <c r="G1049" s="48" t="n">
        <v>0</v>
      </c>
      <c r="H1049" s="49" t="n">
        <v>0</v>
      </c>
      <c r="I1049" s="49" t="n">
        <v>0</v>
      </c>
      <c r="J1049" s="50" t="n">
        <v>0</v>
      </c>
      <c r="K1049" s="51" t="n">
        <v>0</v>
      </c>
      <c r="L1049" s="52" t="n">
        <v>0</v>
      </c>
      <c r="M1049" s="52" t="n">
        <v>0</v>
      </c>
      <c r="N1049" s="52" t="n">
        <v>0</v>
      </c>
      <c r="O1049" s="53" t="n">
        <v>0</v>
      </c>
      <c r="P1049" s="52" t="n">
        <v>0</v>
      </c>
      <c r="Q1049" s="53" t="n">
        <v>0</v>
      </c>
      <c r="R1049" s="52" t="n">
        <v>0</v>
      </c>
      <c r="S1049" s="51" t="n">
        <v>0</v>
      </c>
      <c r="T1049" s="48" t="n">
        <v>0</v>
      </c>
      <c r="U1049" s="49" t="n">
        <v>0</v>
      </c>
      <c r="V1049" s="49" t="n">
        <v>0</v>
      </c>
      <c r="W1049" s="50" t="n">
        <v>0</v>
      </c>
      <c r="X1049" s="51" t="n">
        <v>0</v>
      </c>
      <c r="Y1049" s="52" t="n">
        <v>0</v>
      </c>
      <c r="Z1049" s="52" t="n">
        <v>0</v>
      </c>
      <c r="AA1049" s="52" t="n">
        <v>0</v>
      </c>
      <c r="AB1049" s="53" t="n">
        <v>0</v>
      </c>
      <c r="AC1049" s="52" t="n">
        <v>0</v>
      </c>
      <c r="AD1049" s="53" t="n">
        <v>0</v>
      </c>
      <c r="AE1049" s="52" t="n">
        <v>0</v>
      </c>
      <c r="AF1049" s="51" t="n">
        <v>0</v>
      </c>
      <c r="AG1049" s="48" t="n">
        <v>0</v>
      </c>
      <c r="AH1049" s="49" t="n">
        <v>0</v>
      </c>
      <c r="AI1049" s="49" t="n">
        <v>0</v>
      </c>
      <c r="AJ1049" s="50" t="n">
        <v>0</v>
      </c>
      <c r="AK1049" s="51" t="n">
        <v>0</v>
      </c>
      <c r="AL1049" s="52" t="n">
        <v>0</v>
      </c>
      <c r="AM1049" s="52" t="n">
        <v>0</v>
      </c>
      <c r="AN1049" s="52" t="n">
        <v>0</v>
      </c>
      <c r="AO1049" s="53" t="n">
        <v>0</v>
      </c>
      <c r="AP1049" s="52" t="n">
        <v>0</v>
      </c>
      <c r="AQ1049" s="53" t="n">
        <v>0</v>
      </c>
      <c r="AR1049" s="52" t="n">
        <v>0</v>
      </c>
      <c r="AS1049" s="51" t="n">
        <v>0</v>
      </c>
      <c r="AT1049" s="48" t="n">
        <v>0</v>
      </c>
      <c r="AU1049" s="49" t="n">
        <v>0</v>
      </c>
      <c r="AV1049" s="49" t="n">
        <v>0</v>
      </c>
      <c r="AW1049" s="50" t="n">
        <v>0</v>
      </c>
      <c r="AX1049" s="51" t="n">
        <v>0</v>
      </c>
      <c r="AY1049" s="52" t="n">
        <v>0</v>
      </c>
      <c r="AZ1049" s="52" t="n">
        <v>0</v>
      </c>
      <c r="BA1049" s="52" t="n">
        <v>0</v>
      </c>
      <c r="BB1049" s="53" t="n">
        <v>0</v>
      </c>
      <c r="BC1049" s="52" t="n">
        <v>0</v>
      </c>
      <c r="BD1049" s="53" t="n">
        <v>0</v>
      </c>
      <c r="BE1049" s="52" t="n">
        <v>0</v>
      </c>
      <c r="BF1049" s="51" t="n">
        <v>0</v>
      </c>
    </row>
    <row r="1050">
      <c r="A1050">
        <f>HYPERLINK("https://www.walmart.com/ip/733855921", "733855921")</f>
        <v/>
      </c>
      <c r="B1050" t="inlineStr">
        <is>
          <t>sun blocker women's sun hat upf 50+ bucket cap packable outdoor travel hat</t>
        </is>
      </c>
      <c r="C1050" t="inlineStr">
        <is>
          <t>KC-S9200-BL</t>
        </is>
      </c>
      <c r="D1050" t="inlineStr">
        <is>
          <t>Hats</t>
        </is>
      </c>
      <c r="E1050" t="inlineStr">
        <is>
          <t>Sun Blocker</t>
        </is>
      </c>
      <c r="F1050" t="inlineStr">
        <is>
          <t>Batch 1 - TR</t>
        </is>
      </c>
      <c r="G1050" s="48" t="n">
        <v>0</v>
      </c>
      <c r="H1050" s="49" t="n">
        <v>0</v>
      </c>
      <c r="I1050" s="49" t="n">
        <v>0</v>
      </c>
      <c r="J1050" s="50" t="n">
        <v>0</v>
      </c>
      <c r="K1050" s="51" t="n">
        <v>0</v>
      </c>
      <c r="L1050" s="52" t="n">
        <v>0</v>
      </c>
      <c r="M1050" s="52" t="n">
        <v>0</v>
      </c>
      <c r="N1050" s="52" t="n">
        <v>0</v>
      </c>
      <c r="O1050" s="53" t="n">
        <v>0</v>
      </c>
      <c r="P1050" s="52" t="n">
        <v>0</v>
      </c>
      <c r="Q1050" s="53" t="n">
        <v>0</v>
      </c>
      <c r="R1050" s="52" t="n">
        <v>0</v>
      </c>
      <c r="S1050" s="51" t="n">
        <v>0</v>
      </c>
      <c r="T1050" s="48" t="n">
        <v>0</v>
      </c>
      <c r="U1050" s="49" t="n">
        <v>0</v>
      </c>
      <c r="V1050" s="49" t="n">
        <v>0</v>
      </c>
      <c r="W1050" s="50" t="n">
        <v>0</v>
      </c>
      <c r="X1050" s="51" t="n">
        <v>0</v>
      </c>
      <c r="Y1050" s="52" t="n">
        <v>0</v>
      </c>
      <c r="Z1050" s="52" t="n">
        <v>0</v>
      </c>
      <c r="AA1050" s="52" t="n">
        <v>0</v>
      </c>
      <c r="AB1050" s="53" t="n">
        <v>0</v>
      </c>
      <c r="AC1050" s="52" t="n">
        <v>0</v>
      </c>
      <c r="AD1050" s="53" t="n">
        <v>0</v>
      </c>
      <c r="AE1050" s="52" t="n">
        <v>0</v>
      </c>
      <c r="AF1050" s="51" t="n">
        <v>0</v>
      </c>
      <c r="AG1050" s="48" t="n">
        <v>0</v>
      </c>
      <c r="AH1050" s="49" t="n">
        <v>0</v>
      </c>
      <c r="AI1050" s="49" t="n">
        <v>0</v>
      </c>
      <c r="AJ1050" s="50" t="n">
        <v>0</v>
      </c>
      <c r="AK1050" s="51" t="n">
        <v>0</v>
      </c>
      <c r="AL1050" s="52" t="n">
        <v>0</v>
      </c>
      <c r="AM1050" s="52" t="n">
        <v>0</v>
      </c>
      <c r="AN1050" s="52" t="n">
        <v>0</v>
      </c>
      <c r="AO1050" s="53" t="n">
        <v>0</v>
      </c>
      <c r="AP1050" s="52" t="n">
        <v>0</v>
      </c>
      <c r="AQ1050" s="53" t="n">
        <v>0</v>
      </c>
      <c r="AR1050" s="52" t="n">
        <v>0</v>
      </c>
      <c r="AS1050" s="51" t="n">
        <v>0</v>
      </c>
      <c r="AT1050" s="48" t="n">
        <v>0</v>
      </c>
      <c r="AU1050" s="49" t="n">
        <v>0</v>
      </c>
      <c r="AV1050" s="49" t="n">
        <v>0</v>
      </c>
      <c r="AW1050" s="50" t="n">
        <v>0</v>
      </c>
      <c r="AX1050" s="51" t="n">
        <v>0</v>
      </c>
      <c r="AY1050" s="52" t="n">
        <v>0</v>
      </c>
      <c r="AZ1050" s="52" t="n">
        <v>0</v>
      </c>
      <c r="BA1050" s="52" t="n">
        <v>0</v>
      </c>
      <c r="BB1050" s="53" t="n">
        <v>0</v>
      </c>
      <c r="BC1050" s="52" t="n">
        <v>0</v>
      </c>
      <c r="BD1050" s="53" t="n">
        <v>0</v>
      </c>
      <c r="BE1050" s="52" t="n">
        <v>0</v>
      </c>
      <c r="BF1050" s="51" t="n">
        <v>0</v>
      </c>
    </row>
    <row r="1051">
      <c r="A1051">
        <f>HYPERLINK("https://www.walmart.com/ip/734548305", "734548305")</f>
        <v/>
      </c>
      <c r="B1051" t="inlineStr">
        <is>
          <t>Tirrinia Comfy Plush Wearable Fleece Blanket Poncho Wrap Cover For Adult, Pink</t>
        </is>
      </c>
      <c r="C1051" t="inlineStr">
        <is>
          <t>1TRBP200PK-TBCB</t>
        </is>
      </c>
      <c r="D1051" t="inlineStr">
        <is>
          <t>Throws</t>
        </is>
      </c>
      <c r="E1051" t="inlineStr">
        <is>
          <t>Tirrinia</t>
        </is>
      </c>
      <c r="F1051" t="inlineStr">
        <is>
          <t>Optimized</t>
        </is>
      </c>
      <c r="G1051" s="48" t="n">
        <v>0</v>
      </c>
      <c r="H1051" s="49" t="n">
        <v>0</v>
      </c>
      <c r="I1051" s="49" t="n">
        <v>0</v>
      </c>
      <c r="J1051" s="50" t="n">
        <v>0</v>
      </c>
      <c r="K1051" s="51" t="n">
        <v>0</v>
      </c>
      <c r="L1051" s="52" t="n">
        <v>0</v>
      </c>
      <c r="M1051" s="52" t="n">
        <v>0</v>
      </c>
      <c r="N1051" s="52" t="n">
        <v>0</v>
      </c>
      <c r="O1051" s="53" t="n">
        <v>0</v>
      </c>
      <c r="P1051" s="52" t="n">
        <v>0</v>
      </c>
      <c r="Q1051" s="53" t="n">
        <v>0</v>
      </c>
      <c r="R1051" s="52" t="n">
        <v>0</v>
      </c>
      <c r="S1051" s="51" t="n">
        <v>0</v>
      </c>
      <c r="T1051" s="48" t="n">
        <v>0</v>
      </c>
      <c r="U1051" s="49" t="n">
        <v>0</v>
      </c>
      <c r="V1051" s="49" t="n">
        <v>0</v>
      </c>
      <c r="W1051" s="50" t="n">
        <v>0</v>
      </c>
      <c r="X1051" s="51" t="n">
        <v>0</v>
      </c>
      <c r="Y1051" s="52" t="n">
        <v>0</v>
      </c>
      <c r="Z1051" s="52" t="n">
        <v>0</v>
      </c>
      <c r="AA1051" s="52" t="n">
        <v>0</v>
      </c>
      <c r="AB1051" s="53" t="n">
        <v>0</v>
      </c>
      <c r="AC1051" s="52" t="n">
        <v>0</v>
      </c>
      <c r="AD1051" s="53" t="n">
        <v>0</v>
      </c>
      <c r="AE1051" s="52" t="n">
        <v>0</v>
      </c>
      <c r="AF1051" s="51" t="n">
        <v>0</v>
      </c>
      <c r="AG1051" s="48" t="n">
        <v>0</v>
      </c>
      <c r="AH1051" s="49" t="n">
        <v>0</v>
      </c>
      <c r="AI1051" s="49" t="n">
        <v>0</v>
      </c>
      <c r="AJ1051" s="50" t="n">
        <v>0</v>
      </c>
      <c r="AK1051" s="51" t="n">
        <v>0</v>
      </c>
      <c r="AL1051" s="52" t="n">
        <v>0</v>
      </c>
      <c r="AM1051" s="52" t="n">
        <v>0</v>
      </c>
      <c r="AN1051" s="52" t="n">
        <v>0</v>
      </c>
      <c r="AO1051" s="53" t="n">
        <v>0</v>
      </c>
      <c r="AP1051" s="52" t="n">
        <v>0</v>
      </c>
      <c r="AQ1051" s="53" t="n">
        <v>0</v>
      </c>
      <c r="AR1051" s="52" t="n">
        <v>0</v>
      </c>
      <c r="AS1051" s="51" t="n">
        <v>0</v>
      </c>
      <c r="AT1051" s="48" t="n">
        <v>0</v>
      </c>
      <c r="AU1051" s="49" t="n">
        <v>0</v>
      </c>
      <c r="AV1051" s="49" t="n">
        <v>0</v>
      </c>
      <c r="AW1051" s="50" t="n">
        <v>0</v>
      </c>
      <c r="AX1051" s="51" t="n">
        <v>0</v>
      </c>
      <c r="AY1051" s="52" t="n">
        <v>0</v>
      </c>
      <c r="AZ1051" s="52" t="n">
        <v>0</v>
      </c>
      <c r="BA1051" s="52" t="n">
        <v>0</v>
      </c>
      <c r="BB1051" s="53" t="n">
        <v>0</v>
      </c>
      <c r="BC1051" s="52" t="n">
        <v>0</v>
      </c>
      <c r="BD1051" s="53" t="n">
        <v>0</v>
      </c>
      <c r="BE1051" s="52" t="n">
        <v>0</v>
      </c>
      <c r="BF1051" s="51" t="n">
        <v>0</v>
      </c>
    </row>
    <row r="1052">
      <c r="A1052">
        <f>HYPERLINK("https://www.walmart.com/ip/735913253", "735913253")</f>
        <v/>
      </c>
      <c r="B1052" t="inlineStr">
        <is>
          <t>Sherpa Fleece Throw Blanket, Cozy Fuzzy Jacquard Blanket for the Couch Bed | Fluffy Comfy Warm Heavy Throws | Comfort Caring Gift, 50x60 inches</t>
        </is>
      </c>
      <c r="C1052" t="inlineStr">
        <is>
          <t>1CTBF573GYTILE</t>
        </is>
      </c>
      <c r="D1052" t="inlineStr">
        <is>
          <t>Throws</t>
        </is>
      </c>
      <c r="E1052" t="inlineStr">
        <is>
          <t>Catalonia</t>
        </is>
      </c>
      <c r="F1052" t="inlineStr">
        <is>
          <t>Q2-Target,WFS,WFS Item</t>
        </is>
      </c>
      <c r="G1052" s="48" t="n">
        <v>0</v>
      </c>
      <c r="H1052" s="49" t="n">
        <v>0</v>
      </c>
      <c r="I1052" s="49" t="n">
        <v>0</v>
      </c>
      <c r="J1052" s="50" t="n">
        <v>0</v>
      </c>
      <c r="K1052" s="51" t="n">
        <v>0</v>
      </c>
      <c r="L1052" s="52" t="n">
        <v>0</v>
      </c>
      <c r="M1052" s="52" t="n">
        <v>0</v>
      </c>
      <c r="N1052" s="52" t="n">
        <v>0</v>
      </c>
      <c r="O1052" s="53" t="n">
        <v>0</v>
      </c>
      <c r="P1052" s="52" t="n">
        <v>0</v>
      </c>
      <c r="Q1052" s="53" t="n">
        <v>0</v>
      </c>
      <c r="R1052" s="52" t="n">
        <v>0</v>
      </c>
      <c r="S1052" s="51" t="n">
        <v>0</v>
      </c>
      <c r="T1052" s="48" t="n">
        <v>0</v>
      </c>
      <c r="U1052" s="49" t="n">
        <v>0</v>
      </c>
      <c r="V1052" s="49" t="n">
        <v>0</v>
      </c>
      <c r="W1052" s="50" t="n">
        <v>0</v>
      </c>
      <c r="X1052" s="51" t="n">
        <v>0</v>
      </c>
      <c r="Y1052" s="52" t="n">
        <v>0</v>
      </c>
      <c r="Z1052" s="52" t="n">
        <v>0</v>
      </c>
      <c r="AA1052" s="52" t="n">
        <v>0</v>
      </c>
      <c r="AB1052" s="53" t="n">
        <v>0</v>
      </c>
      <c r="AC1052" s="52" t="n">
        <v>0</v>
      </c>
      <c r="AD1052" s="53" t="n">
        <v>0</v>
      </c>
      <c r="AE1052" s="52" t="n">
        <v>0</v>
      </c>
      <c r="AF1052" s="51" t="n">
        <v>0</v>
      </c>
      <c r="AG1052" s="48" t="n">
        <v>0</v>
      </c>
      <c r="AH1052" s="49" t="n">
        <v>0</v>
      </c>
      <c r="AI1052" s="49" t="n">
        <v>0</v>
      </c>
      <c r="AJ1052" s="50" t="n">
        <v>0</v>
      </c>
      <c r="AK1052" s="51" t="n">
        <v>0</v>
      </c>
      <c r="AL1052" s="52" t="n">
        <v>0</v>
      </c>
      <c r="AM1052" s="52" t="n">
        <v>0</v>
      </c>
      <c r="AN1052" s="52" t="n">
        <v>0</v>
      </c>
      <c r="AO1052" s="53" t="n">
        <v>0</v>
      </c>
      <c r="AP1052" s="52" t="n">
        <v>0</v>
      </c>
      <c r="AQ1052" s="53" t="n">
        <v>0</v>
      </c>
      <c r="AR1052" s="52" t="n">
        <v>0</v>
      </c>
      <c r="AS1052" s="51" t="n">
        <v>0</v>
      </c>
      <c r="AT1052" s="48" t="n">
        <v>0</v>
      </c>
      <c r="AU1052" s="49" t="n">
        <v>0</v>
      </c>
      <c r="AV1052" s="49" t="n">
        <v>0</v>
      </c>
      <c r="AW1052" s="50" t="n">
        <v>0</v>
      </c>
      <c r="AX1052" s="51" t="n">
        <v>0</v>
      </c>
      <c r="AY1052" s="52" t="n">
        <v>0</v>
      </c>
      <c r="AZ1052" s="52" t="n">
        <v>0</v>
      </c>
      <c r="BA1052" s="52" t="n">
        <v>0</v>
      </c>
      <c r="BB1052" s="53" t="n">
        <v>0</v>
      </c>
      <c r="BC1052" s="52" t="n">
        <v>0</v>
      </c>
      <c r="BD1052" s="53" t="n">
        <v>0</v>
      </c>
      <c r="BE1052" s="52" t="n">
        <v>0</v>
      </c>
      <c r="BF1052" s="51" t="n">
        <v>0</v>
      </c>
    </row>
    <row r="1053">
      <c r="A1053">
        <f>HYPERLINK("https://www.walmart.com/ip/736393350", "736393350")</f>
        <v/>
      </c>
      <c r="B1053" t="inlineStr">
        <is>
          <t>Tirrinia Insulated Lunch Bag for Women Men, 10L Leakproof Thermal Reusable Lunch Box for Adult Kids, Tall Meal Prep Lunch Cooler Tote for Office Work, Back to School, Large, Red</t>
        </is>
      </c>
      <c r="C1053" t="inlineStr">
        <is>
          <t>1TRLB701RD-T</t>
        </is>
      </c>
      <c r="D1053" t="inlineStr">
        <is>
          <t>Reusable Lunch Bags &amp; Boxes</t>
        </is>
      </c>
      <c r="E1053" t="inlineStr">
        <is>
          <t>Tirrinia</t>
        </is>
      </c>
      <c r="F1053" t="inlineStr">
        <is>
          <t>Brand Camp VD,Lunch Bag,WFS,Lunch Bags,SEM,WFS Item</t>
        </is>
      </c>
      <c r="G1053" s="48" t="n">
        <v>0</v>
      </c>
      <c r="H1053" s="49" t="n">
        <v>0</v>
      </c>
      <c r="I1053" s="49" t="n">
        <v>20</v>
      </c>
      <c r="J1053" s="50" t="n">
        <v>0</v>
      </c>
      <c r="K1053" s="51" t="n">
        <v>0</v>
      </c>
      <c r="L1053" s="52" t="n">
        <v>0</v>
      </c>
      <c r="M1053" s="52" t="n">
        <v>0</v>
      </c>
      <c r="N1053" s="52" t="n">
        <v>0</v>
      </c>
      <c r="O1053" s="53" t="n">
        <v>0</v>
      </c>
      <c r="P1053" s="52" t="n">
        <v>0</v>
      </c>
      <c r="Q1053" s="53" t="n">
        <v>0</v>
      </c>
      <c r="R1053" s="52" t="n">
        <v>0</v>
      </c>
      <c r="S1053" s="51" t="n">
        <v>0</v>
      </c>
      <c r="T1053" s="48" t="n">
        <v>59.96</v>
      </c>
      <c r="U1053" s="49" t="n">
        <v>4</v>
      </c>
      <c r="V1053" s="49" t="n">
        <v>35</v>
      </c>
      <c r="W1053" s="50" t="n">
        <v>0.1142857142857143</v>
      </c>
      <c r="X1053" s="51" t="n">
        <v>0</v>
      </c>
      <c r="Y1053" s="52" t="n">
        <v>0</v>
      </c>
      <c r="Z1053" s="52" t="n">
        <v>0</v>
      </c>
      <c r="AA1053" s="52" t="n">
        <v>0</v>
      </c>
      <c r="AB1053" s="53" t="n">
        <v>0</v>
      </c>
      <c r="AC1053" s="52" t="n">
        <v>0</v>
      </c>
      <c r="AD1053" s="53" t="n">
        <v>0</v>
      </c>
      <c r="AE1053" s="52" t="n">
        <v>14.99</v>
      </c>
      <c r="AF1053" s="51" t="n">
        <v>0</v>
      </c>
      <c r="AG1053" s="48" t="n">
        <v>0</v>
      </c>
      <c r="AH1053" s="49" t="n">
        <v>0</v>
      </c>
      <c r="AI1053" s="49" t="n">
        <v>32</v>
      </c>
      <c r="AJ1053" s="50" t="n">
        <v>0</v>
      </c>
      <c r="AK1053" s="51" t="n">
        <v>0</v>
      </c>
      <c r="AL1053" s="52" t="n">
        <v>0</v>
      </c>
      <c r="AM1053" s="52" t="n">
        <v>0</v>
      </c>
      <c r="AN1053" s="52" t="n">
        <v>0</v>
      </c>
      <c r="AO1053" s="53" t="n">
        <v>0</v>
      </c>
      <c r="AP1053" s="52" t="n">
        <v>0</v>
      </c>
      <c r="AQ1053" s="53" t="n">
        <v>0</v>
      </c>
      <c r="AR1053" s="52" t="n">
        <v>0</v>
      </c>
      <c r="AS1053" s="51" t="n">
        <v>0</v>
      </c>
      <c r="AT1053" s="48" t="n">
        <v>29.98</v>
      </c>
      <c r="AU1053" s="49" t="n">
        <v>2</v>
      </c>
      <c r="AV1053" s="49" t="n">
        <v>33</v>
      </c>
      <c r="AW1053" s="50" t="n">
        <v>0.06060606060606061</v>
      </c>
      <c r="AX1053" s="51" t="n">
        <v>0</v>
      </c>
      <c r="AY1053" s="52" t="n">
        <v>0</v>
      </c>
      <c r="AZ1053" s="52" t="n">
        <v>0</v>
      </c>
      <c r="BA1053" s="52" t="n">
        <v>0</v>
      </c>
      <c r="BB1053" s="53" t="n">
        <v>0</v>
      </c>
      <c r="BC1053" s="52" t="n">
        <v>0</v>
      </c>
      <c r="BD1053" s="53" t="n">
        <v>0</v>
      </c>
      <c r="BE1053" s="52" t="n">
        <v>14.99</v>
      </c>
      <c r="BF1053" s="51" t="n">
        <v>0</v>
      </c>
    </row>
    <row r="1054">
      <c r="A1054">
        <f>HYPERLINK("https://www.walmart.com/ip/736569751", "736569751")</f>
        <v/>
      </c>
      <c r="B1054" t="inlineStr">
        <is>
          <t>Tirrinia Insulated 2 Bottle Wine Carrier Tote Cooler Bag for Travel Picnic Padded Champagne Glass</t>
        </is>
      </c>
      <c r="C1054" t="inlineStr">
        <is>
          <t>1TRWB230STR</t>
        </is>
      </c>
      <c r="D1054" t="inlineStr">
        <is>
          <t>Wine Totes, Bags &amp; Backpacks</t>
        </is>
      </c>
      <c r="E1054" t="inlineStr">
        <is>
          <t>Tirrinia</t>
        </is>
      </c>
      <c r="F1054" t="inlineStr">
        <is>
          <t>Wine,Christmas,WFS,Wine WFS,Valentine,SEM,WFS Item</t>
        </is>
      </c>
      <c r="G1054" s="48" t="n">
        <v>0</v>
      </c>
      <c r="H1054" s="49" t="n">
        <v>0</v>
      </c>
      <c r="I1054" s="49" t="n">
        <v>0</v>
      </c>
      <c r="J1054" s="50" t="n">
        <v>0</v>
      </c>
      <c r="K1054" s="51" t="n">
        <v>0</v>
      </c>
      <c r="L1054" s="52" t="n">
        <v>0</v>
      </c>
      <c r="M1054" s="52" t="n">
        <v>0</v>
      </c>
      <c r="N1054" s="52" t="n">
        <v>0</v>
      </c>
      <c r="O1054" s="53" t="n">
        <v>0</v>
      </c>
      <c r="P1054" s="52" t="n">
        <v>0</v>
      </c>
      <c r="Q1054" s="53" t="n">
        <v>0</v>
      </c>
      <c r="R1054" s="52" t="n">
        <v>0</v>
      </c>
      <c r="S1054" s="51" t="n">
        <v>0</v>
      </c>
      <c r="T1054" s="48" t="n">
        <v>0</v>
      </c>
      <c r="U1054" s="49" t="n">
        <v>0</v>
      </c>
      <c r="V1054" s="49" t="n">
        <v>0</v>
      </c>
      <c r="W1054" s="50" t="n">
        <v>0</v>
      </c>
      <c r="X1054" s="51" t="n">
        <v>0</v>
      </c>
      <c r="Y1054" s="52" t="n">
        <v>0</v>
      </c>
      <c r="Z1054" s="52" t="n">
        <v>0</v>
      </c>
      <c r="AA1054" s="52" t="n">
        <v>0</v>
      </c>
      <c r="AB1054" s="53" t="n">
        <v>0</v>
      </c>
      <c r="AC1054" s="52" t="n">
        <v>0</v>
      </c>
      <c r="AD1054" s="53" t="n">
        <v>0</v>
      </c>
      <c r="AE1054" s="52" t="n">
        <v>0</v>
      </c>
      <c r="AF1054" s="51" t="n">
        <v>0</v>
      </c>
      <c r="AG1054" s="48" t="n">
        <v>0</v>
      </c>
      <c r="AH1054" s="49" t="n">
        <v>0</v>
      </c>
      <c r="AI1054" s="49" t="n">
        <v>0</v>
      </c>
      <c r="AJ1054" s="50" t="n">
        <v>0</v>
      </c>
      <c r="AK1054" s="51" t="n">
        <v>0</v>
      </c>
      <c r="AL1054" s="52" t="n">
        <v>0</v>
      </c>
      <c r="AM1054" s="52" t="n">
        <v>0</v>
      </c>
      <c r="AN1054" s="52" t="n">
        <v>0</v>
      </c>
      <c r="AO1054" s="53" t="n">
        <v>0</v>
      </c>
      <c r="AP1054" s="52" t="n">
        <v>0</v>
      </c>
      <c r="AQ1054" s="53" t="n">
        <v>0</v>
      </c>
      <c r="AR1054" s="52" t="n">
        <v>0</v>
      </c>
      <c r="AS1054" s="51" t="n">
        <v>0</v>
      </c>
      <c r="AT1054" s="48" t="n">
        <v>0</v>
      </c>
      <c r="AU1054" s="49" t="n">
        <v>0</v>
      </c>
      <c r="AV1054" s="49" t="n">
        <v>0</v>
      </c>
      <c r="AW1054" s="50" t="n">
        <v>0</v>
      </c>
      <c r="AX1054" s="51" t="n">
        <v>0</v>
      </c>
      <c r="AY1054" s="52" t="n">
        <v>0</v>
      </c>
      <c r="AZ1054" s="52" t="n">
        <v>0</v>
      </c>
      <c r="BA1054" s="52" t="n">
        <v>0</v>
      </c>
      <c r="BB1054" s="53" t="n">
        <v>0</v>
      </c>
      <c r="BC1054" s="52" t="n">
        <v>0</v>
      </c>
      <c r="BD1054" s="53" t="n">
        <v>0</v>
      </c>
      <c r="BE1054" s="52" t="n">
        <v>0</v>
      </c>
      <c r="BF1054" s="51" t="n">
        <v>0</v>
      </c>
    </row>
    <row r="1055">
      <c r="A1055">
        <f>HYPERLINK("https://www.walmart.com/ip/737918174", "737918174")</f>
        <v/>
      </c>
      <c r="B1055" t="inlineStr">
        <is>
          <t>7-Piece Wine Opener Set, Rabbit Corkscrew, Foil Cutter, Aerator Pourer, Wine Enthusiast Gift Set</t>
        </is>
      </c>
      <c r="C1055" t="inlineStr">
        <is>
          <t>1KTWO700BK1</t>
        </is>
      </c>
      <c r="D1055" t="inlineStr">
        <is>
          <t>Barware Sets</t>
        </is>
      </c>
      <c r="E1055" t="inlineStr">
        <is>
          <t>Kato</t>
        </is>
      </c>
      <c r="F1055" t="inlineStr">
        <is>
          <t>Wine,Christmas,Optimized,Valentine,SEM,cost-added</t>
        </is>
      </c>
      <c r="G1055" s="48" t="n">
        <v>0</v>
      </c>
      <c r="H1055" s="49" t="n">
        <v>0</v>
      </c>
      <c r="I1055" s="49" t="n">
        <v>0</v>
      </c>
      <c r="J1055" s="50" t="n">
        <v>0</v>
      </c>
      <c r="K1055" s="51" t="n">
        <v>0</v>
      </c>
      <c r="L1055" s="52" t="n">
        <v>0</v>
      </c>
      <c r="M1055" s="52" t="n">
        <v>0</v>
      </c>
      <c r="N1055" s="52" t="n">
        <v>0</v>
      </c>
      <c r="O1055" s="53" t="n">
        <v>0</v>
      </c>
      <c r="P1055" s="52" t="n">
        <v>0</v>
      </c>
      <c r="Q1055" s="53" t="n">
        <v>0</v>
      </c>
      <c r="R1055" s="52" t="n">
        <v>0</v>
      </c>
      <c r="S1055" s="51" t="n">
        <v>0</v>
      </c>
      <c r="T1055" s="48" t="n">
        <v>0</v>
      </c>
      <c r="U1055" s="49" t="n">
        <v>0</v>
      </c>
      <c r="V1055" s="49" t="n">
        <v>0</v>
      </c>
      <c r="W1055" s="50" t="n">
        <v>0</v>
      </c>
      <c r="X1055" s="51" t="n">
        <v>0</v>
      </c>
      <c r="Y1055" s="52" t="n">
        <v>0</v>
      </c>
      <c r="Z1055" s="52" t="n">
        <v>0</v>
      </c>
      <c r="AA1055" s="52" t="n">
        <v>0</v>
      </c>
      <c r="AB1055" s="53" t="n">
        <v>0</v>
      </c>
      <c r="AC1055" s="52" t="n">
        <v>0</v>
      </c>
      <c r="AD1055" s="53" t="n">
        <v>0</v>
      </c>
      <c r="AE1055" s="52" t="n">
        <v>0</v>
      </c>
      <c r="AF1055" s="51" t="n">
        <v>0</v>
      </c>
      <c r="AG1055" s="48" t="n">
        <v>0</v>
      </c>
      <c r="AH1055" s="49" t="n">
        <v>0</v>
      </c>
      <c r="AI1055" s="49" t="n">
        <v>0</v>
      </c>
      <c r="AJ1055" s="50" t="n">
        <v>0</v>
      </c>
      <c r="AK1055" s="51" t="n">
        <v>0</v>
      </c>
      <c r="AL1055" s="52" t="n">
        <v>0</v>
      </c>
      <c r="AM1055" s="52" t="n">
        <v>0</v>
      </c>
      <c r="AN1055" s="52" t="n">
        <v>0</v>
      </c>
      <c r="AO1055" s="53" t="n">
        <v>0</v>
      </c>
      <c r="AP1055" s="52" t="n">
        <v>0</v>
      </c>
      <c r="AQ1055" s="53" t="n">
        <v>0</v>
      </c>
      <c r="AR1055" s="52" t="n">
        <v>0</v>
      </c>
      <c r="AS1055" s="51" t="n">
        <v>0</v>
      </c>
      <c r="AT1055" s="48" t="n">
        <v>0</v>
      </c>
      <c r="AU1055" s="49" t="n">
        <v>0</v>
      </c>
      <c r="AV1055" s="49" t="n">
        <v>0</v>
      </c>
      <c r="AW1055" s="50" t="n">
        <v>0</v>
      </c>
      <c r="AX1055" s="51" t="n">
        <v>0</v>
      </c>
      <c r="AY1055" s="52" t="n">
        <v>0</v>
      </c>
      <c r="AZ1055" s="52" t="n">
        <v>0</v>
      </c>
      <c r="BA1055" s="52" t="n">
        <v>0</v>
      </c>
      <c r="BB1055" s="53" t="n">
        <v>0</v>
      </c>
      <c r="BC1055" s="52" t="n">
        <v>0</v>
      </c>
      <c r="BD1055" s="53" t="n">
        <v>0</v>
      </c>
      <c r="BE1055" s="52" t="n">
        <v>0</v>
      </c>
      <c r="BF1055" s="51" t="n">
        <v>0</v>
      </c>
    </row>
    <row r="1056">
      <c r="A1056">
        <f>HYPERLINK("https://www.walmart.com/ip/737949560", "737949560")</f>
        <v/>
      </c>
      <c r="B1056" t="inlineStr">
        <is>
          <t>Catalonia Wearable TV Blanket with Sleeves Arms Warm Micro Plush Sherpa Fleece for Adult Large Wrap Throw Robe 72 x 55”</t>
        </is>
      </c>
      <c r="C1056" t="inlineStr">
        <is>
          <t>1CTSN210P2RD</t>
        </is>
      </c>
      <c r="D1056" t="inlineStr">
        <is>
          <t>Throws</t>
        </is>
      </c>
      <c r="E1056" t="inlineStr">
        <is>
          <t>Catalonia</t>
        </is>
      </c>
      <c r="F1056" t="inlineStr">
        <is>
          <t>Coupon_Discount,Batch 1 - TR</t>
        </is>
      </c>
      <c r="G1056" s="48" t="n">
        <v>0</v>
      </c>
      <c r="H1056" s="49" t="n">
        <v>0</v>
      </c>
      <c r="I1056" s="49" t="n">
        <v>0</v>
      </c>
      <c r="J1056" s="50" t="n">
        <v>0</v>
      </c>
      <c r="K1056" s="51" t="n">
        <v>0</v>
      </c>
      <c r="L1056" s="52" t="n">
        <v>0</v>
      </c>
      <c r="M1056" s="52" t="n">
        <v>0</v>
      </c>
      <c r="N1056" s="52" t="n">
        <v>0</v>
      </c>
      <c r="O1056" s="53" t="n">
        <v>0</v>
      </c>
      <c r="P1056" s="52" t="n">
        <v>0</v>
      </c>
      <c r="Q1056" s="53" t="n">
        <v>0</v>
      </c>
      <c r="R1056" s="52" t="n">
        <v>0</v>
      </c>
      <c r="S1056" s="51" t="n">
        <v>0</v>
      </c>
      <c r="T1056" s="48" t="n">
        <v>0</v>
      </c>
      <c r="U1056" s="49" t="n">
        <v>0</v>
      </c>
      <c r="V1056" s="49" t="n">
        <v>0</v>
      </c>
      <c r="W1056" s="50" t="n">
        <v>0</v>
      </c>
      <c r="X1056" s="51" t="n">
        <v>0</v>
      </c>
      <c r="Y1056" s="52" t="n">
        <v>0</v>
      </c>
      <c r="Z1056" s="52" t="n">
        <v>0</v>
      </c>
      <c r="AA1056" s="52" t="n">
        <v>0</v>
      </c>
      <c r="AB1056" s="53" t="n">
        <v>0</v>
      </c>
      <c r="AC1056" s="52" t="n">
        <v>0</v>
      </c>
      <c r="AD1056" s="53" t="n">
        <v>0</v>
      </c>
      <c r="AE1056" s="52" t="n">
        <v>0</v>
      </c>
      <c r="AF1056" s="51" t="n">
        <v>0</v>
      </c>
      <c r="AG1056" s="48" t="n">
        <v>0</v>
      </c>
      <c r="AH1056" s="49" t="n">
        <v>0</v>
      </c>
      <c r="AI1056" s="49" t="n">
        <v>0</v>
      </c>
      <c r="AJ1056" s="50" t="n">
        <v>0</v>
      </c>
      <c r="AK1056" s="51" t="n">
        <v>0</v>
      </c>
      <c r="AL1056" s="52" t="n">
        <v>0</v>
      </c>
      <c r="AM1056" s="52" t="n">
        <v>0</v>
      </c>
      <c r="AN1056" s="52" t="n">
        <v>0</v>
      </c>
      <c r="AO1056" s="53" t="n">
        <v>0</v>
      </c>
      <c r="AP1056" s="52" t="n">
        <v>0</v>
      </c>
      <c r="AQ1056" s="53" t="n">
        <v>0</v>
      </c>
      <c r="AR1056" s="52" t="n">
        <v>0</v>
      </c>
      <c r="AS1056" s="51" t="n">
        <v>0</v>
      </c>
      <c r="AT1056" s="48" t="n">
        <v>0</v>
      </c>
      <c r="AU1056" s="49" t="n">
        <v>0</v>
      </c>
      <c r="AV1056" s="49" t="n">
        <v>0</v>
      </c>
      <c r="AW1056" s="50" t="n">
        <v>0</v>
      </c>
      <c r="AX1056" s="51" t="n">
        <v>0</v>
      </c>
      <c r="AY1056" s="52" t="n">
        <v>0</v>
      </c>
      <c r="AZ1056" s="52" t="n">
        <v>0</v>
      </c>
      <c r="BA1056" s="52" t="n">
        <v>0</v>
      </c>
      <c r="BB1056" s="53" t="n">
        <v>0</v>
      </c>
      <c r="BC1056" s="52" t="n">
        <v>0</v>
      </c>
      <c r="BD1056" s="53" t="n">
        <v>0</v>
      </c>
      <c r="BE1056" s="52" t="n">
        <v>0</v>
      </c>
      <c r="BF1056" s="51" t="n">
        <v>0</v>
      </c>
    </row>
    <row r="1057">
      <c r="A1057">
        <f>HYPERLINK("https://www.walmart.com/ip/738154224", "738154224")</f>
        <v/>
      </c>
      <c r="B1057" t="inlineStr">
        <is>
          <t>Catalonia Wearable TV Blanket with Sleeves Arms &amp; Feet pockets for Adult Micro Plush Fleece Large Wrap Throw Robe 75 x 5</t>
        </is>
      </c>
      <c r="C1057" t="inlineStr">
        <is>
          <t>1CTSN101P2RD</t>
        </is>
      </c>
      <c r="D1057" t="inlineStr">
        <is>
          <t>Throws</t>
        </is>
      </c>
      <c r="E1057" t="inlineStr">
        <is>
          <t>Catalonia</t>
        </is>
      </c>
      <c r="F1057" t="inlineStr">
        <is>
          <t>WFS,WFS Item,Fleece Blankets</t>
        </is>
      </c>
      <c r="G1057" s="48" t="n">
        <v>0</v>
      </c>
      <c r="H1057" s="49" t="n">
        <v>0</v>
      </c>
      <c r="I1057" s="49" t="n">
        <v>0</v>
      </c>
      <c r="J1057" s="50" t="n">
        <v>0</v>
      </c>
      <c r="K1057" s="51" t="n">
        <v>0</v>
      </c>
      <c r="L1057" s="52" t="n">
        <v>0</v>
      </c>
      <c r="M1057" s="52" t="n">
        <v>0</v>
      </c>
      <c r="N1057" s="52" t="n">
        <v>0</v>
      </c>
      <c r="O1057" s="53" t="n">
        <v>0</v>
      </c>
      <c r="P1057" s="52" t="n">
        <v>0</v>
      </c>
      <c r="Q1057" s="53" t="n">
        <v>0</v>
      </c>
      <c r="R1057" s="52" t="n">
        <v>0</v>
      </c>
      <c r="S1057" s="51" t="n">
        <v>0</v>
      </c>
      <c r="T1057" s="48" t="n">
        <v>0</v>
      </c>
      <c r="U1057" s="49" t="n">
        <v>0</v>
      </c>
      <c r="V1057" s="49" t="n">
        <v>0</v>
      </c>
      <c r="W1057" s="50" t="n">
        <v>0</v>
      </c>
      <c r="X1057" s="51" t="n">
        <v>0</v>
      </c>
      <c r="Y1057" s="52" t="n">
        <v>0</v>
      </c>
      <c r="Z1057" s="52" t="n">
        <v>0</v>
      </c>
      <c r="AA1057" s="52" t="n">
        <v>0</v>
      </c>
      <c r="AB1057" s="53" t="n">
        <v>0</v>
      </c>
      <c r="AC1057" s="52" t="n">
        <v>0</v>
      </c>
      <c r="AD1057" s="53" t="n">
        <v>0</v>
      </c>
      <c r="AE1057" s="52" t="n">
        <v>0</v>
      </c>
      <c r="AF1057" s="51" t="n">
        <v>0</v>
      </c>
      <c r="AG1057" s="48" t="n">
        <v>0</v>
      </c>
      <c r="AH1057" s="49" t="n">
        <v>0</v>
      </c>
      <c r="AI1057" s="49" t="n">
        <v>0</v>
      </c>
      <c r="AJ1057" s="50" t="n">
        <v>0</v>
      </c>
      <c r="AK1057" s="51" t="n">
        <v>0</v>
      </c>
      <c r="AL1057" s="52" t="n">
        <v>0</v>
      </c>
      <c r="AM1057" s="52" t="n">
        <v>0</v>
      </c>
      <c r="AN1057" s="52" t="n">
        <v>0</v>
      </c>
      <c r="AO1057" s="53" t="n">
        <v>0</v>
      </c>
      <c r="AP1057" s="52" t="n">
        <v>0</v>
      </c>
      <c r="AQ1057" s="53" t="n">
        <v>0</v>
      </c>
      <c r="AR1057" s="52" t="n">
        <v>0</v>
      </c>
      <c r="AS1057" s="51" t="n">
        <v>0</v>
      </c>
      <c r="AT1057" s="48" t="n">
        <v>0</v>
      </c>
      <c r="AU1057" s="49" t="n">
        <v>0</v>
      </c>
      <c r="AV1057" s="49" t="n">
        <v>0</v>
      </c>
      <c r="AW1057" s="50" t="n">
        <v>0</v>
      </c>
      <c r="AX1057" s="51" t="n">
        <v>0</v>
      </c>
      <c r="AY1057" s="52" t="n">
        <v>0</v>
      </c>
      <c r="AZ1057" s="52" t="n">
        <v>0</v>
      </c>
      <c r="BA1057" s="52" t="n">
        <v>0</v>
      </c>
      <c r="BB1057" s="53" t="n">
        <v>0</v>
      </c>
      <c r="BC1057" s="52" t="n">
        <v>0</v>
      </c>
      <c r="BD1057" s="53" t="n">
        <v>0</v>
      </c>
      <c r="BE1057" s="52" t="n">
        <v>0</v>
      </c>
      <c r="BF1057" s="51" t="n">
        <v>0</v>
      </c>
    </row>
    <row r="1058">
      <c r="A1058">
        <f>HYPERLINK("https://www.walmart.com/ip/730018158", "730018158")</f>
        <v/>
      </c>
      <c r="B1058" t="inlineStr">
        <is>
          <t>Women's Poncho Cape, Sherpa Fleece Cloak Coat, Snuggly Hooded Wearable Blanket, Gift Idea for Adults and Teen Girls</t>
        </is>
      </c>
      <c r="C1058" t="inlineStr">
        <is>
          <t>1CTBC300NY</t>
        </is>
      </c>
      <c r="D1058" t="inlineStr">
        <is>
          <t>Throws</t>
        </is>
      </c>
      <c r="E1058" t="inlineStr">
        <is>
          <t>Catalonia</t>
        </is>
      </c>
      <c r="F1058" t="inlineStr">
        <is>
          <t>SEM,WFS Item</t>
        </is>
      </c>
      <c r="G1058" s="48" t="n">
        <v>0</v>
      </c>
      <c r="H1058" s="49" t="n">
        <v>0</v>
      </c>
      <c r="I1058" s="49" t="n">
        <v>0</v>
      </c>
      <c r="J1058" s="50" t="n">
        <v>0</v>
      </c>
      <c r="K1058" s="51" t="n">
        <v>0</v>
      </c>
      <c r="L1058" s="52" t="n">
        <v>0</v>
      </c>
      <c r="M1058" s="52" t="n">
        <v>0</v>
      </c>
      <c r="N1058" s="52" t="n">
        <v>0</v>
      </c>
      <c r="O1058" s="53" t="n">
        <v>0</v>
      </c>
      <c r="P1058" s="52" t="n">
        <v>0</v>
      </c>
      <c r="Q1058" s="53" t="n">
        <v>0</v>
      </c>
      <c r="R1058" s="52" t="n">
        <v>0</v>
      </c>
      <c r="S1058" s="51" t="n">
        <v>0</v>
      </c>
      <c r="T1058" s="48" t="n">
        <v>0</v>
      </c>
      <c r="U1058" s="49" t="n">
        <v>0</v>
      </c>
      <c r="V1058" s="49" t="n">
        <v>0</v>
      </c>
      <c r="W1058" s="50" t="n">
        <v>0</v>
      </c>
      <c r="X1058" s="51" t="n">
        <v>0</v>
      </c>
      <c r="Y1058" s="52" t="n">
        <v>0</v>
      </c>
      <c r="Z1058" s="52" t="n">
        <v>0</v>
      </c>
      <c r="AA1058" s="52" t="n">
        <v>0</v>
      </c>
      <c r="AB1058" s="53" t="n">
        <v>0</v>
      </c>
      <c r="AC1058" s="52" t="n">
        <v>0</v>
      </c>
      <c r="AD1058" s="53" t="n">
        <v>0</v>
      </c>
      <c r="AE1058" s="52" t="n">
        <v>0</v>
      </c>
      <c r="AF1058" s="51" t="n">
        <v>0</v>
      </c>
      <c r="AG1058" s="48" t="n">
        <v>0</v>
      </c>
      <c r="AH1058" s="49" t="n">
        <v>0</v>
      </c>
      <c r="AI1058" s="49" t="n">
        <v>0</v>
      </c>
      <c r="AJ1058" s="50" t="n">
        <v>0</v>
      </c>
      <c r="AK1058" s="51" t="n">
        <v>0</v>
      </c>
      <c r="AL1058" s="52" t="n">
        <v>0</v>
      </c>
      <c r="AM1058" s="52" t="n">
        <v>0</v>
      </c>
      <c r="AN1058" s="52" t="n">
        <v>0</v>
      </c>
      <c r="AO1058" s="53" t="n">
        <v>0</v>
      </c>
      <c r="AP1058" s="52" t="n">
        <v>0</v>
      </c>
      <c r="AQ1058" s="53" t="n">
        <v>0</v>
      </c>
      <c r="AR1058" s="52" t="n">
        <v>0</v>
      </c>
      <c r="AS1058" s="51" t="n">
        <v>0</v>
      </c>
      <c r="AT1058" s="48" t="n">
        <v>0</v>
      </c>
      <c r="AU1058" s="49" t="n">
        <v>0</v>
      </c>
      <c r="AV1058" s="49" t="n">
        <v>0</v>
      </c>
      <c r="AW1058" s="50" t="n">
        <v>0</v>
      </c>
      <c r="AX1058" s="51" t="n">
        <v>0</v>
      </c>
      <c r="AY1058" s="52" t="n">
        <v>0</v>
      </c>
      <c r="AZ1058" s="52" t="n">
        <v>0</v>
      </c>
      <c r="BA1058" s="52" t="n">
        <v>0</v>
      </c>
      <c r="BB1058" s="53" t="n">
        <v>0</v>
      </c>
      <c r="BC1058" s="52" t="n">
        <v>0</v>
      </c>
      <c r="BD1058" s="53" t="n">
        <v>0</v>
      </c>
      <c r="BE1058" s="52" t="n">
        <v>0</v>
      </c>
      <c r="BF1058" s="51" t="n">
        <v>0</v>
      </c>
    </row>
    <row r="1059">
      <c r="A1059">
        <f>HYPERLINK("https://www.walmart.com/ip/729259105", "729259105")</f>
        <v/>
      </c>
      <c r="B1059" t="inlineStr">
        <is>
          <t>Tirrinia Leggings for Women,Workout Yoga Leggings with High Waist, Tummy Control and 4-Way Stretch, Grey</t>
        </is>
      </c>
      <c r="C1059" t="inlineStr">
        <is>
          <t>1TRYP105GY-SM</t>
        </is>
      </c>
      <c r="D1059" t="inlineStr">
        <is>
          <t>Leggings</t>
        </is>
      </c>
      <c r="E1059" t="inlineStr">
        <is>
          <t>Tirrinia</t>
        </is>
      </c>
      <c r="F1059" t="inlineStr">
        <is>
          <t>Optimized</t>
        </is>
      </c>
      <c r="G1059" s="48" t="n">
        <v>0</v>
      </c>
      <c r="H1059" s="49" t="n">
        <v>0</v>
      </c>
      <c r="I1059" s="49" t="n">
        <v>0</v>
      </c>
      <c r="J1059" s="50" t="n">
        <v>0</v>
      </c>
      <c r="K1059" s="51" t="n">
        <v>0</v>
      </c>
      <c r="L1059" s="52" t="n">
        <v>0</v>
      </c>
      <c r="M1059" s="52" t="n">
        <v>0</v>
      </c>
      <c r="N1059" s="52" t="n">
        <v>0</v>
      </c>
      <c r="O1059" s="53" t="n">
        <v>0</v>
      </c>
      <c r="P1059" s="52" t="n">
        <v>0</v>
      </c>
      <c r="Q1059" s="53" t="n">
        <v>0</v>
      </c>
      <c r="R1059" s="52" t="n">
        <v>0</v>
      </c>
      <c r="S1059" s="51" t="n">
        <v>0</v>
      </c>
      <c r="T1059" s="48" t="n">
        <v>0</v>
      </c>
      <c r="U1059" s="49" t="n">
        <v>0</v>
      </c>
      <c r="V1059" s="49" t="n">
        <v>0</v>
      </c>
      <c r="W1059" s="50" t="n">
        <v>0</v>
      </c>
      <c r="X1059" s="51" t="n">
        <v>0</v>
      </c>
      <c r="Y1059" s="52" t="n">
        <v>0</v>
      </c>
      <c r="Z1059" s="52" t="n">
        <v>0</v>
      </c>
      <c r="AA1059" s="52" t="n">
        <v>0</v>
      </c>
      <c r="AB1059" s="53" t="n">
        <v>0</v>
      </c>
      <c r="AC1059" s="52" t="n">
        <v>0</v>
      </c>
      <c r="AD1059" s="53" t="n">
        <v>0</v>
      </c>
      <c r="AE1059" s="52" t="n">
        <v>0</v>
      </c>
      <c r="AF1059" s="51" t="n">
        <v>0</v>
      </c>
      <c r="AG1059" s="48" t="n">
        <v>0</v>
      </c>
      <c r="AH1059" s="49" t="n">
        <v>0</v>
      </c>
      <c r="AI1059" s="49" t="n">
        <v>0</v>
      </c>
      <c r="AJ1059" s="50" t="n">
        <v>0</v>
      </c>
      <c r="AK1059" s="51" t="n">
        <v>0</v>
      </c>
      <c r="AL1059" s="52" t="n">
        <v>0</v>
      </c>
      <c r="AM1059" s="52" t="n">
        <v>0</v>
      </c>
      <c r="AN1059" s="52" t="n">
        <v>0</v>
      </c>
      <c r="AO1059" s="53" t="n">
        <v>0</v>
      </c>
      <c r="AP1059" s="52" t="n">
        <v>0</v>
      </c>
      <c r="AQ1059" s="53" t="n">
        <v>0</v>
      </c>
      <c r="AR1059" s="52" t="n">
        <v>0</v>
      </c>
      <c r="AS1059" s="51" t="n">
        <v>0</v>
      </c>
      <c r="AT1059" s="48" t="n">
        <v>0</v>
      </c>
      <c r="AU1059" s="49" t="n">
        <v>0</v>
      </c>
      <c r="AV1059" s="49" t="n">
        <v>0</v>
      </c>
      <c r="AW1059" s="50" t="n">
        <v>0</v>
      </c>
      <c r="AX1059" s="51" t="n">
        <v>0</v>
      </c>
      <c r="AY1059" s="52" t="n">
        <v>0</v>
      </c>
      <c r="AZ1059" s="52" t="n">
        <v>0</v>
      </c>
      <c r="BA1059" s="52" t="n">
        <v>0</v>
      </c>
      <c r="BB1059" s="53" t="n">
        <v>0</v>
      </c>
      <c r="BC1059" s="52" t="n">
        <v>0</v>
      </c>
      <c r="BD1059" s="53" t="n">
        <v>0</v>
      </c>
      <c r="BE1059" s="52" t="n">
        <v>0</v>
      </c>
      <c r="BF1059" s="51" t="n">
        <v>0</v>
      </c>
    </row>
    <row r="1060">
      <c r="A1060">
        <f>HYPERLINK("https://www.walmart.com/ip/714263261", "714263261")</f>
        <v/>
      </c>
      <c r="B1060" t="inlineStr">
        <is>
          <t>Brazilian Body Wave Lace Front Wig,Natural Looking Synthetic Fiber Curly Long Hair Wig for Black Women African American</t>
        </is>
      </c>
      <c r="C1060" t="inlineStr">
        <is>
          <t>1CTWIG272-2-ESCB</t>
        </is>
      </c>
      <c r="D1060" t="inlineStr">
        <is>
          <t>Wigs &amp; Toupees</t>
        </is>
      </c>
      <c r="E1060" t="inlineStr">
        <is>
          <t>Catalonia</t>
        </is>
      </c>
      <c r="F1060" t="inlineStr">
        <is>
          <t>Batch 1 - TR</t>
        </is>
      </c>
      <c r="G1060" s="48" t="n">
        <v>0</v>
      </c>
      <c r="H1060" s="49" t="n">
        <v>0</v>
      </c>
      <c r="I1060" s="49" t="n">
        <v>0</v>
      </c>
      <c r="J1060" s="50" t="n">
        <v>0</v>
      </c>
      <c r="K1060" s="51" t="n">
        <v>0</v>
      </c>
      <c r="L1060" s="52" t="n">
        <v>0</v>
      </c>
      <c r="M1060" s="52" t="n">
        <v>0</v>
      </c>
      <c r="N1060" s="52" t="n">
        <v>0</v>
      </c>
      <c r="O1060" s="53" t="n">
        <v>0</v>
      </c>
      <c r="P1060" s="52" t="n">
        <v>0</v>
      </c>
      <c r="Q1060" s="53" t="n">
        <v>0</v>
      </c>
      <c r="R1060" s="52" t="n">
        <v>0</v>
      </c>
      <c r="S1060" s="51" t="n">
        <v>0</v>
      </c>
      <c r="T1060" s="48" t="n">
        <v>0</v>
      </c>
      <c r="U1060" s="49" t="n">
        <v>0</v>
      </c>
      <c r="V1060" s="49" t="n">
        <v>0</v>
      </c>
      <c r="W1060" s="50" t="n">
        <v>0</v>
      </c>
      <c r="X1060" s="51" t="n">
        <v>0</v>
      </c>
      <c r="Y1060" s="52" t="n">
        <v>0</v>
      </c>
      <c r="Z1060" s="52" t="n">
        <v>0</v>
      </c>
      <c r="AA1060" s="52" t="n">
        <v>0</v>
      </c>
      <c r="AB1060" s="53" t="n">
        <v>0</v>
      </c>
      <c r="AC1060" s="52" t="n">
        <v>0</v>
      </c>
      <c r="AD1060" s="53" t="n">
        <v>0</v>
      </c>
      <c r="AE1060" s="52" t="n">
        <v>0</v>
      </c>
      <c r="AF1060" s="51" t="n">
        <v>0</v>
      </c>
      <c r="AG1060" s="48" t="n">
        <v>0</v>
      </c>
      <c r="AH1060" s="49" t="n">
        <v>0</v>
      </c>
      <c r="AI1060" s="49" t="n">
        <v>0</v>
      </c>
      <c r="AJ1060" s="50" t="n">
        <v>0</v>
      </c>
      <c r="AK1060" s="51" t="n">
        <v>0</v>
      </c>
      <c r="AL1060" s="52" t="n">
        <v>0</v>
      </c>
      <c r="AM1060" s="52" t="n">
        <v>0</v>
      </c>
      <c r="AN1060" s="52" t="n">
        <v>0</v>
      </c>
      <c r="AO1060" s="53" t="n">
        <v>0</v>
      </c>
      <c r="AP1060" s="52" t="n">
        <v>0</v>
      </c>
      <c r="AQ1060" s="53" t="n">
        <v>0</v>
      </c>
      <c r="AR1060" s="52" t="n">
        <v>0</v>
      </c>
      <c r="AS1060" s="51" t="n">
        <v>0</v>
      </c>
      <c r="AT1060" s="48" t="n">
        <v>0</v>
      </c>
      <c r="AU1060" s="49" t="n">
        <v>0</v>
      </c>
      <c r="AV1060" s="49" t="n">
        <v>0</v>
      </c>
      <c r="AW1060" s="50" t="n">
        <v>0</v>
      </c>
      <c r="AX1060" s="51" t="n">
        <v>0</v>
      </c>
      <c r="AY1060" s="52" t="n">
        <v>0</v>
      </c>
      <c r="AZ1060" s="52" t="n">
        <v>0</v>
      </c>
      <c r="BA1060" s="52" t="n">
        <v>0</v>
      </c>
      <c r="BB1060" s="53" t="n">
        <v>0</v>
      </c>
      <c r="BC1060" s="52" t="n">
        <v>0</v>
      </c>
      <c r="BD1060" s="53" t="n">
        <v>0</v>
      </c>
      <c r="BE1060" s="52" t="n">
        <v>0</v>
      </c>
      <c r="BF1060" s="51" t="n">
        <v>0</v>
      </c>
    </row>
    <row r="1061">
      <c r="A1061">
        <f>HYPERLINK("https://www.walmart.com/ip/728436396", "728436396")</f>
        <v/>
      </c>
      <c r="B1061" t="inlineStr">
        <is>
          <t>Sherpa jackie Mink Fleece for Adults 73 x 51”| Cozy Warm</t>
        </is>
      </c>
      <c r="C1061" t="inlineStr">
        <is>
          <t>1CTJK200BR</t>
        </is>
      </c>
      <c r="D1061" t="inlineStr">
        <is>
          <t>Sweatshirts &amp; Hoodies</t>
        </is>
      </c>
      <c r="E1061" t="inlineStr">
        <is>
          <t>Catalonia</t>
        </is>
      </c>
      <c r="F1061" t="inlineStr">
        <is>
          <t>Jacket ForAdult,WFS,WFS Item</t>
        </is>
      </c>
      <c r="G1061" s="48" t="n">
        <v>0</v>
      </c>
      <c r="H1061" s="49" t="n">
        <v>0</v>
      </c>
      <c r="I1061" s="49" t="n">
        <v>0</v>
      </c>
      <c r="J1061" s="50" t="n">
        <v>0</v>
      </c>
      <c r="K1061" s="51" t="n">
        <v>0</v>
      </c>
      <c r="L1061" s="52" t="n">
        <v>0</v>
      </c>
      <c r="M1061" s="52" t="n">
        <v>0</v>
      </c>
      <c r="N1061" s="52" t="n">
        <v>0</v>
      </c>
      <c r="O1061" s="53" t="n">
        <v>0</v>
      </c>
      <c r="P1061" s="52" t="n">
        <v>0</v>
      </c>
      <c r="Q1061" s="53" t="n">
        <v>0</v>
      </c>
      <c r="R1061" s="52" t="n">
        <v>0</v>
      </c>
      <c r="S1061" s="51" t="n">
        <v>0</v>
      </c>
      <c r="T1061" s="48" t="n">
        <v>0</v>
      </c>
      <c r="U1061" s="49" t="n">
        <v>0</v>
      </c>
      <c r="V1061" s="49" t="n">
        <v>0</v>
      </c>
      <c r="W1061" s="50" t="n">
        <v>0</v>
      </c>
      <c r="X1061" s="51" t="n">
        <v>0</v>
      </c>
      <c r="Y1061" s="52" t="n">
        <v>0</v>
      </c>
      <c r="Z1061" s="52" t="n">
        <v>0</v>
      </c>
      <c r="AA1061" s="52" t="n">
        <v>0</v>
      </c>
      <c r="AB1061" s="53" t="n">
        <v>0</v>
      </c>
      <c r="AC1061" s="52" t="n">
        <v>0</v>
      </c>
      <c r="AD1061" s="53" t="n">
        <v>0</v>
      </c>
      <c r="AE1061" s="52" t="n">
        <v>0</v>
      </c>
      <c r="AF1061" s="51" t="n">
        <v>0</v>
      </c>
      <c r="AG1061" s="48" t="n">
        <v>0</v>
      </c>
      <c r="AH1061" s="49" t="n">
        <v>0</v>
      </c>
      <c r="AI1061" s="49" t="n">
        <v>0</v>
      </c>
      <c r="AJ1061" s="50" t="n">
        <v>0</v>
      </c>
      <c r="AK1061" s="51" t="n">
        <v>0</v>
      </c>
      <c r="AL1061" s="52" t="n">
        <v>0</v>
      </c>
      <c r="AM1061" s="52" t="n">
        <v>0</v>
      </c>
      <c r="AN1061" s="52" t="n">
        <v>0</v>
      </c>
      <c r="AO1061" s="53" t="n">
        <v>0</v>
      </c>
      <c r="AP1061" s="52" t="n">
        <v>0</v>
      </c>
      <c r="AQ1061" s="53" t="n">
        <v>0</v>
      </c>
      <c r="AR1061" s="52" t="n">
        <v>0</v>
      </c>
      <c r="AS1061" s="51" t="n">
        <v>0</v>
      </c>
      <c r="AT1061" s="48" t="n">
        <v>0</v>
      </c>
      <c r="AU1061" s="49" t="n">
        <v>0</v>
      </c>
      <c r="AV1061" s="49" t="n">
        <v>0</v>
      </c>
      <c r="AW1061" s="50" t="n">
        <v>0</v>
      </c>
      <c r="AX1061" s="51" t="n">
        <v>0</v>
      </c>
      <c r="AY1061" s="52" t="n">
        <v>0</v>
      </c>
      <c r="AZ1061" s="52" t="n">
        <v>0</v>
      </c>
      <c r="BA1061" s="52" t="n">
        <v>0</v>
      </c>
      <c r="BB1061" s="53" t="n">
        <v>0</v>
      </c>
      <c r="BC1061" s="52" t="n">
        <v>0</v>
      </c>
      <c r="BD1061" s="53" t="n">
        <v>0</v>
      </c>
      <c r="BE1061" s="52" t="n">
        <v>0</v>
      </c>
      <c r="BF1061" s="51" t="n">
        <v>0</v>
      </c>
    </row>
    <row r="1062">
      <c r="A1062">
        <f>HYPERLINK("https://www.walmart.com/ip/714322224", "714322224")</f>
        <v/>
      </c>
      <c r="B1062" t="inlineStr">
        <is>
          <t>Tirrinia Super Soft Comfy Plush Wearable Fleece Blanket With Sleeves For Adult, 73" x 51", Navy</t>
        </is>
      </c>
      <c r="C1062" t="inlineStr">
        <is>
          <t>1TRSN100NY-TBCB</t>
        </is>
      </c>
      <c r="D1062" t="inlineStr">
        <is>
          <t>Throws</t>
        </is>
      </c>
      <c r="E1062" t="inlineStr">
        <is>
          <t>Tirrinia</t>
        </is>
      </c>
      <c r="F1062" t="inlineStr">
        <is>
          <t>Optimized,Fleece Blankets</t>
        </is>
      </c>
      <c r="G1062" s="48" t="n">
        <v>0</v>
      </c>
      <c r="H1062" s="49" t="n">
        <v>0</v>
      </c>
      <c r="I1062" s="49" t="n">
        <v>0</v>
      </c>
      <c r="J1062" s="50" t="n">
        <v>0</v>
      </c>
      <c r="K1062" s="51" t="n">
        <v>0</v>
      </c>
      <c r="L1062" s="52" t="n">
        <v>0</v>
      </c>
      <c r="M1062" s="52" t="n">
        <v>0</v>
      </c>
      <c r="N1062" s="52" t="n">
        <v>0</v>
      </c>
      <c r="O1062" s="53" t="n">
        <v>0</v>
      </c>
      <c r="P1062" s="52" t="n">
        <v>0</v>
      </c>
      <c r="Q1062" s="53" t="n">
        <v>0</v>
      </c>
      <c r="R1062" s="52" t="n">
        <v>0</v>
      </c>
      <c r="S1062" s="51" t="n">
        <v>0</v>
      </c>
      <c r="T1062" s="48" t="n">
        <v>0</v>
      </c>
      <c r="U1062" s="49" t="n">
        <v>0</v>
      </c>
      <c r="V1062" s="49" t="n">
        <v>0</v>
      </c>
      <c r="W1062" s="50" t="n">
        <v>0</v>
      </c>
      <c r="X1062" s="51" t="n">
        <v>0</v>
      </c>
      <c r="Y1062" s="52" t="n">
        <v>0</v>
      </c>
      <c r="Z1062" s="52" t="n">
        <v>0</v>
      </c>
      <c r="AA1062" s="52" t="n">
        <v>0</v>
      </c>
      <c r="AB1062" s="53" t="n">
        <v>0</v>
      </c>
      <c r="AC1062" s="52" t="n">
        <v>0</v>
      </c>
      <c r="AD1062" s="53" t="n">
        <v>0</v>
      </c>
      <c r="AE1062" s="52" t="n">
        <v>0</v>
      </c>
      <c r="AF1062" s="51" t="n">
        <v>0</v>
      </c>
      <c r="AG1062" s="48" t="n">
        <v>0</v>
      </c>
      <c r="AH1062" s="49" t="n">
        <v>0</v>
      </c>
      <c r="AI1062" s="49" t="n">
        <v>0</v>
      </c>
      <c r="AJ1062" s="50" t="n">
        <v>0</v>
      </c>
      <c r="AK1062" s="51" t="n">
        <v>0</v>
      </c>
      <c r="AL1062" s="52" t="n">
        <v>0</v>
      </c>
      <c r="AM1062" s="52" t="n">
        <v>0</v>
      </c>
      <c r="AN1062" s="52" t="n">
        <v>0</v>
      </c>
      <c r="AO1062" s="53" t="n">
        <v>0</v>
      </c>
      <c r="AP1062" s="52" t="n">
        <v>0</v>
      </c>
      <c r="AQ1062" s="53" t="n">
        <v>0</v>
      </c>
      <c r="AR1062" s="52" t="n">
        <v>0</v>
      </c>
      <c r="AS1062" s="51" t="n">
        <v>0</v>
      </c>
      <c r="AT1062" s="48" t="n">
        <v>0</v>
      </c>
      <c r="AU1062" s="49" t="n">
        <v>0</v>
      </c>
      <c r="AV1062" s="49" t="n">
        <v>0</v>
      </c>
      <c r="AW1062" s="50" t="n">
        <v>0</v>
      </c>
      <c r="AX1062" s="51" t="n">
        <v>0</v>
      </c>
      <c r="AY1062" s="52" t="n">
        <v>0</v>
      </c>
      <c r="AZ1062" s="52" t="n">
        <v>0</v>
      </c>
      <c r="BA1062" s="52" t="n">
        <v>0</v>
      </c>
      <c r="BB1062" s="53" t="n">
        <v>0</v>
      </c>
      <c r="BC1062" s="52" t="n">
        <v>0</v>
      </c>
      <c r="BD1062" s="53" t="n">
        <v>0</v>
      </c>
      <c r="BE1062" s="52" t="n">
        <v>0</v>
      </c>
      <c r="BF1062" s="51" t="n">
        <v>0</v>
      </c>
    </row>
    <row r="1063">
      <c r="A1063">
        <f>HYPERLINK("https://www.walmart.com/ip/714436708", "714436708")</f>
        <v/>
      </c>
      <c r="B1063" t="inlineStr">
        <is>
          <t>Tirrinia Insulated Wine Carrier Tote - Travel Padded 2 Bottle Wine/Champagne Cooler Bag with Handle and Adjustable Shoulder Strap + Free Corkscrew, Great Wine Lover Gift, Red</t>
        </is>
      </c>
      <c r="C1063" t="inlineStr">
        <is>
          <t>1KTWB210RD</t>
        </is>
      </c>
      <c r="D1063" t="inlineStr">
        <is>
          <t>Wine Totes, Bags &amp; Backpacks</t>
        </is>
      </c>
      <c r="E1063" t="inlineStr">
        <is>
          <t>Tirrinia</t>
        </is>
      </c>
      <c r="F1063" t="inlineStr">
        <is>
          <t>Wine,Christmas,WFS,Wine WFS,Valentine,WFS Item,Lily Brand Camp</t>
        </is>
      </c>
      <c r="G1063" s="48" t="n">
        <v>0</v>
      </c>
      <c r="H1063" s="49" t="n">
        <v>0</v>
      </c>
      <c r="I1063" s="49" t="n">
        <v>0</v>
      </c>
      <c r="J1063" s="50" t="n">
        <v>0</v>
      </c>
      <c r="K1063" s="51" t="n">
        <v>0</v>
      </c>
      <c r="L1063" s="52" t="n">
        <v>0</v>
      </c>
      <c r="M1063" s="52" t="n">
        <v>0</v>
      </c>
      <c r="N1063" s="52" t="n">
        <v>0</v>
      </c>
      <c r="O1063" s="53" t="n">
        <v>0</v>
      </c>
      <c r="P1063" s="52" t="n">
        <v>0</v>
      </c>
      <c r="Q1063" s="53" t="n">
        <v>0</v>
      </c>
      <c r="R1063" s="52" t="n">
        <v>0</v>
      </c>
      <c r="S1063" s="51" t="n">
        <v>1</v>
      </c>
      <c r="T1063" s="48" t="n">
        <v>0</v>
      </c>
      <c r="U1063" s="49" t="n">
        <v>0</v>
      </c>
      <c r="V1063" s="49" t="n">
        <v>0</v>
      </c>
      <c r="W1063" s="50" t="n">
        <v>0</v>
      </c>
      <c r="X1063" s="51" t="n">
        <v>0</v>
      </c>
      <c r="Y1063" s="52" t="n">
        <v>0</v>
      </c>
      <c r="Z1063" s="52" t="n">
        <v>0</v>
      </c>
      <c r="AA1063" s="52" t="n">
        <v>0</v>
      </c>
      <c r="AB1063" s="53" t="n">
        <v>0</v>
      </c>
      <c r="AC1063" s="52" t="n">
        <v>0</v>
      </c>
      <c r="AD1063" s="53" t="n">
        <v>0</v>
      </c>
      <c r="AE1063" s="52" t="n">
        <v>0</v>
      </c>
      <c r="AF1063" s="51" t="n">
        <v>0</v>
      </c>
      <c r="AG1063" s="48" t="n">
        <v>0</v>
      </c>
      <c r="AH1063" s="49" t="n">
        <v>0</v>
      </c>
      <c r="AI1063" s="49" t="n">
        <v>0</v>
      </c>
      <c r="AJ1063" s="50" t="n">
        <v>0</v>
      </c>
      <c r="AK1063" s="51" t="n">
        <v>0</v>
      </c>
      <c r="AL1063" s="52" t="n">
        <v>0</v>
      </c>
      <c r="AM1063" s="52" t="n">
        <v>0</v>
      </c>
      <c r="AN1063" s="52" t="n">
        <v>0</v>
      </c>
      <c r="AO1063" s="53" t="n">
        <v>0</v>
      </c>
      <c r="AP1063" s="52" t="n">
        <v>0</v>
      </c>
      <c r="AQ1063" s="53" t="n">
        <v>0</v>
      </c>
      <c r="AR1063" s="52" t="n">
        <v>0</v>
      </c>
      <c r="AS1063" s="51" t="n">
        <v>0</v>
      </c>
      <c r="AT1063" s="48" t="n">
        <v>0</v>
      </c>
      <c r="AU1063" s="49" t="n">
        <v>0</v>
      </c>
      <c r="AV1063" s="49" t="n">
        <v>0</v>
      </c>
      <c r="AW1063" s="50" t="n">
        <v>0</v>
      </c>
      <c r="AX1063" s="51" t="n">
        <v>0</v>
      </c>
      <c r="AY1063" s="52" t="n">
        <v>0</v>
      </c>
      <c r="AZ1063" s="52" t="n">
        <v>0</v>
      </c>
      <c r="BA1063" s="52" t="n">
        <v>0</v>
      </c>
      <c r="BB1063" s="53" t="n">
        <v>0</v>
      </c>
      <c r="BC1063" s="52" t="n">
        <v>0</v>
      </c>
      <c r="BD1063" s="53" t="n">
        <v>0</v>
      </c>
      <c r="BE1063" s="52" t="n">
        <v>0</v>
      </c>
      <c r="BF1063" s="51" t="n">
        <v>0</v>
      </c>
    </row>
    <row r="1064">
      <c r="A1064">
        <f>HYPERLINK("https://www.walmart.com/ip/714613908", "714613908")</f>
        <v/>
      </c>
      <c r="B1064" t="inlineStr">
        <is>
          <t>Unisex Safari Sun Hat Wide Brim Boonie Cap with Adjustable Drawstring and Removable Bucket Crown for Camping Hiking Fishing Hunting Boating</t>
        </is>
      </c>
      <c r="C1064" t="inlineStr">
        <is>
          <t>1TRSH895OL-TBCB</t>
        </is>
      </c>
      <c r="D1064" t="inlineStr">
        <is>
          <t>Hats</t>
        </is>
      </c>
      <c r="E1064" t="inlineStr">
        <is>
          <t>Tirrinia</t>
        </is>
      </c>
      <c r="F1064" t="inlineStr">
        <is>
          <t>Hats,Batch 1 - TR</t>
        </is>
      </c>
      <c r="G1064" s="48" t="n">
        <v>0</v>
      </c>
      <c r="H1064" s="49" t="n">
        <v>0</v>
      </c>
      <c r="I1064" s="49" t="n">
        <v>0</v>
      </c>
      <c r="J1064" s="50" t="n">
        <v>0</v>
      </c>
      <c r="K1064" s="51" t="n">
        <v>0</v>
      </c>
      <c r="L1064" s="52" t="n">
        <v>0</v>
      </c>
      <c r="M1064" s="52" t="n">
        <v>0</v>
      </c>
      <c r="N1064" s="52" t="n">
        <v>0</v>
      </c>
      <c r="O1064" s="53" t="n">
        <v>0</v>
      </c>
      <c r="P1064" s="52" t="n">
        <v>0</v>
      </c>
      <c r="Q1064" s="53" t="n">
        <v>0</v>
      </c>
      <c r="R1064" s="52" t="n">
        <v>0</v>
      </c>
      <c r="S1064" s="51" t="n">
        <v>0</v>
      </c>
      <c r="T1064" s="48" t="n">
        <v>0</v>
      </c>
      <c r="U1064" s="49" t="n">
        <v>0</v>
      </c>
      <c r="V1064" s="49" t="n">
        <v>0</v>
      </c>
      <c r="W1064" s="50" t="n">
        <v>0</v>
      </c>
      <c r="X1064" s="51" t="n">
        <v>0</v>
      </c>
      <c r="Y1064" s="52" t="n">
        <v>0</v>
      </c>
      <c r="Z1064" s="52" t="n">
        <v>0</v>
      </c>
      <c r="AA1064" s="52" t="n">
        <v>0</v>
      </c>
      <c r="AB1064" s="53" t="n">
        <v>0</v>
      </c>
      <c r="AC1064" s="52" t="n">
        <v>0</v>
      </c>
      <c r="AD1064" s="53" t="n">
        <v>0</v>
      </c>
      <c r="AE1064" s="52" t="n">
        <v>0</v>
      </c>
      <c r="AF1064" s="51" t="n">
        <v>0</v>
      </c>
      <c r="AG1064" s="48" t="n">
        <v>0</v>
      </c>
      <c r="AH1064" s="49" t="n">
        <v>0</v>
      </c>
      <c r="AI1064" s="49" t="n">
        <v>0</v>
      </c>
      <c r="AJ1064" s="50" t="n">
        <v>0</v>
      </c>
      <c r="AK1064" s="51" t="n">
        <v>0</v>
      </c>
      <c r="AL1064" s="52" t="n">
        <v>0</v>
      </c>
      <c r="AM1064" s="52" t="n">
        <v>0</v>
      </c>
      <c r="AN1064" s="52" t="n">
        <v>0</v>
      </c>
      <c r="AO1064" s="53" t="n">
        <v>0</v>
      </c>
      <c r="AP1064" s="52" t="n">
        <v>0</v>
      </c>
      <c r="AQ1064" s="53" t="n">
        <v>0</v>
      </c>
      <c r="AR1064" s="52" t="n">
        <v>0</v>
      </c>
      <c r="AS1064" s="51" t="n">
        <v>0</v>
      </c>
      <c r="AT1064" s="48" t="n">
        <v>0</v>
      </c>
      <c r="AU1064" s="49" t="n">
        <v>0</v>
      </c>
      <c r="AV1064" s="49" t="n">
        <v>0</v>
      </c>
      <c r="AW1064" s="50" t="n">
        <v>0</v>
      </c>
      <c r="AX1064" s="51" t="n">
        <v>0</v>
      </c>
      <c r="AY1064" s="52" t="n">
        <v>0</v>
      </c>
      <c r="AZ1064" s="52" t="n">
        <v>0</v>
      </c>
      <c r="BA1064" s="52" t="n">
        <v>0</v>
      </c>
      <c r="BB1064" s="53" t="n">
        <v>0</v>
      </c>
      <c r="BC1064" s="52" t="n">
        <v>0</v>
      </c>
      <c r="BD1064" s="53" t="n">
        <v>0</v>
      </c>
      <c r="BE1064" s="52" t="n">
        <v>0</v>
      </c>
      <c r="BF1064" s="51" t="n">
        <v>0</v>
      </c>
    </row>
    <row r="1065">
      <c r="A1065">
        <f>HYPERLINK("https://www.walmart.com/ip/714861789", "714861789")</f>
        <v/>
      </c>
      <c r="B1065" t="inlineStr">
        <is>
          <t>Kritter Planet Waterproof Dog Blanket for Couch, Washable Pet Couch Cover, Non-slip Bed Sofa Furniture Protector Mat, Grey, 60''x50''.</t>
        </is>
      </c>
      <c r="C1065" t="inlineStr">
        <is>
          <t>1KPBW566GY</t>
        </is>
      </c>
      <c r="D1065" t="inlineStr">
        <is>
          <t>Pet Blankets</t>
        </is>
      </c>
      <c r="E1065" t="inlineStr">
        <is>
          <t>Kritter Planet</t>
        </is>
      </c>
      <c r="F1065" t="inlineStr">
        <is>
          <t>Q2-Target,Optimized,SEM</t>
        </is>
      </c>
      <c r="G1065" s="48" t="n">
        <v>0</v>
      </c>
      <c r="H1065" s="49" t="n">
        <v>0</v>
      </c>
      <c r="I1065" s="49" t="n">
        <v>0</v>
      </c>
      <c r="J1065" s="50" t="n">
        <v>0</v>
      </c>
      <c r="K1065" s="51" t="n">
        <v>0</v>
      </c>
      <c r="L1065" s="52" t="n">
        <v>0</v>
      </c>
      <c r="M1065" s="52" t="n">
        <v>0</v>
      </c>
      <c r="N1065" s="52" t="n">
        <v>0</v>
      </c>
      <c r="O1065" s="53" t="n">
        <v>0</v>
      </c>
      <c r="P1065" s="52" t="n">
        <v>0</v>
      </c>
      <c r="Q1065" s="53" t="n">
        <v>0</v>
      </c>
      <c r="R1065" s="52" t="n">
        <v>0</v>
      </c>
      <c r="S1065" s="51" t="n">
        <v>0</v>
      </c>
      <c r="T1065" s="48" t="n">
        <v>19.99</v>
      </c>
      <c r="U1065" s="49" t="n">
        <v>1</v>
      </c>
      <c r="V1065" s="49" t="n">
        <v>0</v>
      </c>
      <c r="W1065" s="50" t="n">
        <v>0</v>
      </c>
      <c r="X1065" s="51" t="n">
        <v>0</v>
      </c>
      <c r="Y1065" s="52" t="n">
        <v>0</v>
      </c>
      <c r="Z1065" s="52" t="n">
        <v>0</v>
      </c>
      <c r="AA1065" s="52" t="n">
        <v>0</v>
      </c>
      <c r="AB1065" s="53" t="n">
        <v>0</v>
      </c>
      <c r="AC1065" s="52" t="n">
        <v>0</v>
      </c>
      <c r="AD1065" s="53" t="n">
        <v>0</v>
      </c>
      <c r="AE1065" s="52" t="n">
        <v>19.99</v>
      </c>
      <c r="AF1065" s="51" t="n">
        <v>0</v>
      </c>
      <c r="AG1065" s="48" t="n">
        <v>0</v>
      </c>
      <c r="AH1065" s="49" t="n">
        <v>0</v>
      </c>
      <c r="AI1065" s="49" t="n">
        <v>0</v>
      </c>
      <c r="AJ1065" s="50" t="n">
        <v>0</v>
      </c>
      <c r="AK1065" s="51" t="n">
        <v>0</v>
      </c>
      <c r="AL1065" s="52" t="n">
        <v>0</v>
      </c>
      <c r="AM1065" s="52" t="n">
        <v>0</v>
      </c>
      <c r="AN1065" s="52" t="n">
        <v>0</v>
      </c>
      <c r="AO1065" s="53" t="n">
        <v>0</v>
      </c>
      <c r="AP1065" s="52" t="n">
        <v>0</v>
      </c>
      <c r="AQ1065" s="53" t="n">
        <v>0</v>
      </c>
      <c r="AR1065" s="52" t="n">
        <v>0</v>
      </c>
      <c r="AS1065" s="51" t="n">
        <v>0</v>
      </c>
      <c r="AT1065" s="48" t="n">
        <v>0</v>
      </c>
      <c r="AU1065" s="49" t="n">
        <v>0</v>
      </c>
      <c r="AV1065" s="49" t="n">
        <v>0</v>
      </c>
      <c r="AW1065" s="50" t="n">
        <v>0</v>
      </c>
      <c r="AX1065" s="51" t="n">
        <v>0</v>
      </c>
      <c r="AY1065" s="52" t="n">
        <v>0</v>
      </c>
      <c r="AZ1065" s="52" t="n">
        <v>0</v>
      </c>
      <c r="BA1065" s="52" t="n">
        <v>0</v>
      </c>
      <c r="BB1065" s="53" t="n">
        <v>0</v>
      </c>
      <c r="BC1065" s="52" t="n">
        <v>0</v>
      </c>
      <c r="BD1065" s="53" t="n">
        <v>0</v>
      </c>
      <c r="BE1065" s="52" t="n">
        <v>0</v>
      </c>
      <c r="BF1065" s="51" t="n">
        <v>0</v>
      </c>
    </row>
    <row r="1066">
      <c r="A1066">
        <f>HYPERLINK("https://www.walmart.com/ip/716687678", "716687678")</f>
        <v/>
      </c>
      <c r="B1066" t="inlineStr">
        <is>
          <t>Terra Womens Floppy Beach Summer Hat Reversible Sunhat Packable Wide Brim Flower Pattern Navy</t>
        </is>
      </c>
      <c r="C1066" t="inlineStr">
        <is>
          <t>TERRACAP-F069-NAY</t>
        </is>
      </c>
      <c r="D1066" t="inlineStr">
        <is>
          <t>Hats</t>
        </is>
      </c>
      <c r="E1066" t="inlineStr">
        <is>
          <t>Terra</t>
        </is>
      </c>
      <c r="F1066" t="inlineStr">
        <is>
          <t>Hats,Batch 1 - TR</t>
        </is>
      </c>
      <c r="G1066" s="48" t="n">
        <v>0</v>
      </c>
      <c r="H1066" s="49" t="n">
        <v>0</v>
      </c>
      <c r="I1066" s="49" t="n">
        <v>0</v>
      </c>
      <c r="J1066" s="50" t="n">
        <v>0</v>
      </c>
      <c r="K1066" s="51" t="n">
        <v>0</v>
      </c>
      <c r="L1066" s="52" t="n">
        <v>0</v>
      </c>
      <c r="M1066" s="52" t="n">
        <v>0</v>
      </c>
      <c r="N1066" s="52" t="n">
        <v>0</v>
      </c>
      <c r="O1066" s="53" t="n">
        <v>0</v>
      </c>
      <c r="P1066" s="52" t="n">
        <v>0</v>
      </c>
      <c r="Q1066" s="53" t="n">
        <v>0</v>
      </c>
      <c r="R1066" s="52" t="n">
        <v>0</v>
      </c>
      <c r="S1066" s="51" t="n">
        <v>0</v>
      </c>
      <c r="T1066" s="48" t="n">
        <v>0</v>
      </c>
      <c r="U1066" s="49" t="n">
        <v>0</v>
      </c>
      <c r="V1066" s="49" t="n">
        <v>0</v>
      </c>
      <c r="W1066" s="50" t="n">
        <v>0</v>
      </c>
      <c r="X1066" s="51" t="n">
        <v>0</v>
      </c>
      <c r="Y1066" s="52" t="n">
        <v>0</v>
      </c>
      <c r="Z1066" s="52" t="n">
        <v>0</v>
      </c>
      <c r="AA1066" s="52" t="n">
        <v>0</v>
      </c>
      <c r="AB1066" s="53" t="n">
        <v>0</v>
      </c>
      <c r="AC1066" s="52" t="n">
        <v>0</v>
      </c>
      <c r="AD1066" s="53" t="n">
        <v>0</v>
      </c>
      <c r="AE1066" s="52" t="n">
        <v>0</v>
      </c>
      <c r="AF1066" s="51" t="n">
        <v>0</v>
      </c>
      <c r="AG1066" s="48" t="n">
        <v>0</v>
      </c>
      <c r="AH1066" s="49" t="n">
        <v>0</v>
      </c>
      <c r="AI1066" s="49" t="n">
        <v>0</v>
      </c>
      <c r="AJ1066" s="50" t="n">
        <v>0</v>
      </c>
      <c r="AK1066" s="51" t="n">
        <v>0</v>
      </c>
      <c r="AL1066" s="52" t="n">
        <v>0</v>
      </c>
      <c r="AM1066" s="52" t="n">
        <v>0</v>
      </c>
      <c r="AN1066" s="52" t="n">
        <v>0</v>
      </c>
      <c r="AO1066" s="53" t="n">
        <v>0</v>
      </c>
      <c r="AP1066" s="52" t="n">
        <v>0</v>
      </c>
      <c r="AQ1066" s="53" t="n">
        <v>0</v>
      </c>
      <c r="AR1066" s="52" t="n">
        <v>0</v>
      </c>
      <c r="AS1066" s="51" t="n">
        <v>0</v>
      </c>
      <c r="AT1066" s="48" t="n">
        <v>0</v>
      </c>
      <c r="AU1066" s="49" t="n">
        <v>0</v>
      </c>
      <c r="AV1066" s="49" t="n">
        <v>0</v>
      </c>
      <c r="AW1066" s="50" t="n">
        <v>0</v>
      </c>
      <c r="AX1066" s="51" t="n">
        <v>0</v>
      </c>
      <c r="AY1066" s="52" t="n">
        <v>0</v>
      </c>
      <c r="AZ1066" s="52" t="n">
        <v>0</v>
      </c>
      <c r="BA1066" s="52" t="n">
        <v>0</v>
      </c>
      <c r="BB1066" s="53" t="n">
        <v>0</v>
      </c>
      <c r="BC1066" s="52" t="n">
        <v>0</v>
      </c>
      <c r="BD1066" s="53" t="n">
        <v>0</v>
      </c>
      <c r="BE1066" s="52" t="n">
        <v>0</v>
      </c>
      <c r="BF1066" s="51" t="n">
        <v>0</v>
      </c>
    </row>
    <row r="1067">
      <c r="A1067">
        <f>HYPERLINK("https://www.walmart.com/ip/716767861", "716767861")</f>
        <v/>
      </c>
      <c r="B1067" t="inlineStr">
        <is>
          <t>Tirrinia Insulated Wine Carrier Tote - Travel Padded 2 Bottle Wine/Champagne Cooler Bag with Handle and Adjustable Shoulder Strap + Free Corkscrew, Great Wine Lover Gift, Black</t>
        </is>
      </c>
      <c r="C1067" t="inlineStr">
        <is>
          <t>1KTWB210BKCK</t>
        </is>
      </c>
      <c r="D1067" t="inlineStr">
        <is>
          <t>Wine Totes, Bags &amp; Backpacks</t>
        </is>
      </c>
      <c r="E1067" t="inlineStr">
        <is>
          <t>Tirrinia</t>
        </is>
      </c>
      <c r="F1067" t="inlineStr">
        <is>
          <t>Wine,Wine Bag Camp,Wine WFS,Batch 1 - TR,Lily Brand Camp</t>
        </is>
      </c>
      <c r="G1067" s="48" t="n">
        <v>0</v>
      </c>
      <c r="H1067" s="49" t="n">
        <v>0</v>
      </c>
      <c r="I1067" s="49" t="n">
        <v>0</v>
      </c>
      <c r="J1067" s="50" t="n">
        <v>0</v>
      </c>
      <c r="K1067" s="51" t="n">
        <v>0</v>
      </c>
      <c r="L1067" s="52" t="n">
        <v>0</v>
      </c>
      <c r="M1067" s="52" t="n">
        <v>0</v>
      </c>
      <c r="N1067" s="52" t="n">
        <v>0</v>
      </c>
      <c r="O1067" s="53" t="n">
        <v>0</v>
      </c>
      <c r="P1067" s="52" t="n">
        <v>0</v>
      </c>
      <c r="Q1067" s="53" t="n">
        <v>0</v>
      </c>
      <c r="R1067" s="52" t="n">
        <v>0</v>
      </c>
      <c r="S1067" s="51" t="n">
        <v>0</v>
      </c>
      <c r="T1067" s="48" t="n">
        <v>0</v>
      </c>
      <c r="U1067" s="49" t="n">
        <v>0</v>
      </c>
      <c r="V1067" s="49" t="n">
        <v>0</v>
      </c>
      <c r="W1067" s="50" t="n">
        <v>0</v>
      </c>
      <c r="X1067" s="51" t="n">
        <v>0</v>
      </c>
      <c r="Y1067" s="52" t="n">
        <v>0</v>
      </c>
      <c r="Z1067" s="52" t="n">
        <v>0</v>
      </c>
      <c r="AA1067" s="52" t="n">
        <v>0</v>
      </c>
      <c r="AB1067" s="53" t="n">
        <v>0</v>
      </c>
      <c r="AC1067" s="52" t="n">
        <v>0</v>
      </c>
      <c r="AD1067" s="53" t="n">
        <v>0</v>
      </c>
      <c r="AE1067" s="52" t="n">
        <v>0</v>
      </c>
      <c r="AF1067" s="51" t="n">
        <v>0</v>
      </c>
      <c r="AG1067" s="48" t="n">
        <v>0</v>
      </c>
      <c r="AH1067" s="49" t="n">
        <v>0</v>
      </c>
      <c r="AI1067" s="49" t="n">
        <v>0</v>
      </c>
      <c r="AJ1067" s="50" t="n">
        <v>0</v>
      </c>
      <c r="AK1067" s="51" t="n">
        <v>0</v>
      </c>
      <c r="AL1067" s="52" t="n">
        <v>0</v>
      </c>
      <c r="AM1067" s="52" t="n">
        <v>0</v>
      </c>
      <c r="AN1067" s="52" t="n">
        <v>0</v>
      </c>
      <c r="AO1067" s="53" t="n">
        <v>0</v>
      </c>
      <c r="AP1067" s="52" t="n">
        <v>0</v>
      </c>
      <c r="AQ1067" s="53" t="n">
        <v>0</v>
      </c>
      <c r="AR1067" s="52" t="n">
        <v>0</v>
      </c>
      <c r="AS1067" s="51" t="n">
        <v>0</v>
      </c>
      <c r="AT1067" s="48" t="n">
        <v>0</v>
      </c>
      <c r="AU1067" s="49" t="n">
        <v>0</v>
      </c>
      <c r="AV1067" s="49" t="n">
        <v>0</v>
      </c>
      <c r="AW1067" s="50" t="n">
        <v>0</v>
      </c>
      <c r="AX1067" s="51" t="n">
        <v>0</v>
      </c>
      <c r="AY1067" s="52" t="n">
        <v>0</v>
      </c>
      <c r="AZ1067" s="52" t="n">
        <v>0</v>
      </c>
      <c r="BA1067" s="52" t="n">
        <v>0</v>
      </c>
      <c r="BB1067" s="53" t="n">
        <v>0</v>
      </c>
      <c r="BC1067" s="52" t="n">
        <v>0</v>
      </c>
      <c r="BD1067" s="53" t="n">
        <v>0</v>
      </c>
      <c r="BE1067" s="52" t="n">
        <v>0</v>
      </c>
      <c r="BF1067" s="51" t="n">
        <v>0</v>
      </c>
    </row>
    <row r="1068">
      <c r="A1068">
        <f>HYPERLINK("https://www.walmart.com/ip/717653561", "717653561")</f>
        <v/>
      </c>
      <c r="B1068" t="inlineStr">
        <is>
          <t>Sherpa Wearable Blanket with Sleeves &amp; Foot Pockets for Adult Women Men, Comfy Snuggle Wrap Sleeved Throw Blanket Robe, Gift Idea, Zebra</t>
        </is>
      </c>
      <c r="C1068" t="inlineStr">
        <is>
          <t>1CTSN310ZEBRA</t>
        </is>
      </c>
      <c r="D1068" t="inlineStr">
        <is>
          <t>Throws</t>
        </is>
      </c>
      <c r="E1068" t="inlineStr">
        <is>
          <t>Catalonia</t>
        </is>
      </c>
      <c r="F1068" t="inlineStr">
        <is>
          <t>Q2-Target,Optimized,WFS,Coupon_Discount,WFS Item</t>
        </is>
      </c>
      <c r="G1068" s="48" t="n">
        <v>0</v>
      </c>
      <c r="H1068" s="49" t="n">
        <v>0</v>
      </c>
      <c r="I1068" s="49" t="n">
        <v>0</v>
      </c>
      <c r="J1068" s="50" t="n">
        <v>0</v>
      </c>
      <c r="K1068" s="51" t="n">
        <v>0</v>
      </c>
      <c r="L1068" s="52" t="n">
        <v>0</v>
      </c>
      <c r="M1068" s="52" t="n">
        <v>0</v>
      </c>
      <c r="N1068" s="52" t="n">
        <v>0</v>
      </c>
      <c r="O1068" s="53" t="n">
        <v>0</v>
      </c>
      <c r="P1068" s="52" t="n">
        <v>0</v>
      </c>
      <c r="Q1068" s="53" t="n">
        <v>0</v>
      </c>
      <c r="R1068" s="52" t="n">
        <v>0</v>
      </c>
      <c r="S1068" s="51" t="n">
        <v>0</v>
      </c>
      <c r="T1068" s="48" t="n">
        <v>0</v>
      </c>
      <c r="U1068" s="49" t="n">
        <v>0</v>
      </c>
      <c r="V1068" s="49" t="n">
        <v>0</v>
      </c>
      <c r="W1068" s="50" t="n">
        <v>0</v>
      </c>
      <c r="X1068" s="51" t="n">
        <v>0</v>
      </c>
      <c r="Y1068" s="52" t="n">
        <v>0</v>
      </c>
      <c r="Z1068" s="52" t="n">
        <v>0</v>
      </c>
      <c r="AA1068" s="52" t="n">
        <v>0</v>
      </c>
      <c r="AB1068" s="53" t="n">
        <v>0</v>
      </c>
      <c r="AC1068" s="52" t="n">
        <v>0</v>
      </c>
      <c r="AD1068" s="53" t="n">
        <v>0</v>
      </c>
      <c r="AE1068" s="52" t="n">
        <v>0</v>
      </c>
      <c r="AF1068" s="51" t="n">
        <v>0</v>
      </c>
      <c r="AG1068" s="48" t="n">
        <v>0</v>
      </c>
      <c r="AH1068" s="49" t="n">
        <v>0</v>
      </c>
      <c r="AI1068" s="49" t="n">
        <v>0</v>
      </c>
      <c r="AJ1068" s="50" t="n">
        <v>0</v>
      </c>
      <c r="AK1068" s="51" t="n">
        <v>0</v>
      </c>
      <c r="AL1068" s="52" t="n">
        <v>0</v>
      </c>
      <c r="AM1068" s="52" t="n">
        <v>0</v>
      </c>
      <c r="AN1068" s="52" t="n">
        <v>0</v>
      </c>
      <c r="AO1068" s="53" t="n">
        <v>0</v>
      </c>
      <c r="AP1068" s="52" t="n">
        <v>0</v>
      </c>
      <c r="AQ1068" s="53" t="n">
        <v>0</v>
      </c>
      <c r="AR1068" s="52" t="n">
        <v>0</v>
      </c>
      <c r="AS1068" s="51" t="n">
        <v>0</v>
      </c>
      <c r="AT1068" s="48" t="n">
        <v>0</v>
      </c>
      <c r="AU1068" s="49" t="n">
        <v>0</v>
      </c>
      <c r="AV1068" s="49" t="n">
        <v>0</v>
      </c>
      <c r="AW1068" s="50" t="n">
        <v>0</v>
      </c>
      <c r="AX1068" s="51" t="n">
        <v>0</v>
      </c>
      <c r="AY1068" s="52" t="n">
        <v>0</v>
      </c>
      <c r="AZ1068" s="52" t="n">
        <v>0</v>
      </c>
      <c r="BA1068" s="52" t="n">
        <v>0</v>
      </c>
      <c r="BB1068" s="53" t="n">
        <v>0</v>
      </c>
      <c r="BC1068" s="52" t="n">
        <v>0</v>
      </c>
      <c r="BD1068" s="53" t="n">
        <v>0</v>
      </c>
      <c r="BE1068" s="52" t="n">
        <v>0</v>
      </c>
      <c r="BF1068" s="51" t="n">
        <v>0</v>
      </c>
    </row>
    <row r="1069">
      <c r="A1069">
        <f>HYPERLINK("https://www.walmart.com/ip/718394544", "718394544")</f>
        <v/>
      </c>
      <c r="B1069" t="inlineStr">
        <is>
          <t>Flyingstar Women's Ponytail Sun Hat for Hiking, Gardening and Safari, Wide Brim Hat For Women with Breathable Mesh and Ponytail Hole Opening, Tan</t>
        </is>
      </c>
      <c r="C1069" t="inlineStr">
        <is>
          <t>1WMSH912TN</t>
        </is>
      </c>
      <c r="D1069" t="inlineStr">
        <is>
          <t>Hats</t>
        </is>
      </c>
      <c r="E1069" t="inlineStr">
        <is>
          <t>Flyingstar</t>
        </is>
      </c>
      <c r="F1069" t="inlineStr">
        <is>
          <t>Optimized,Hats</t>
        </is>
      </c>
      <c r="G1069" s="48" t="n">
        <v>0</v>
      </c>
      <c r="H1069" s="49" t="n">
        <v>0</v>
      </c>
      <c r="I1069" s="49" t="n">
        <v>0</v>
      </c>
      <c r="J1069" s="50" t="n">
        <v>0</v>
      </c>
      <c r="K1069" s="51" t="n">
        <v>0</v>
      </c>
      <c r="L1069" s="52" t="n">
        <v>0</v>
      </c>
      <c r="M1069" s="52" t="n">
        <v>0</v>
      </c>
      <c r="N1069" s="52" t="n">
        <v>0</v>
      </c>
      <c r="O1069" s="53" t="n">
        <v>0</v>
      </c>
      <c r="P1069" s="52" t="n">
        <v>0</v>
      </c>
      <c r="Q1069" s="53" t="n">
        <v>0</v>
      </c>
      <c r="R1069" s="52" t="n">
        <v>0</v>
      </c>
      <c r="S1069" s="51" t="n">
        <v>0</v>
      </c>
      <c r="T1069" s="48" t="n">
        <v>0</v>
      </c>
      <c r="U1069" s="49" t="n">
        <v>0</v>
      </c>
      <c r="V1069" s="49" t="n">
        <v>0</v>
      </c>
      <c r="W1069" s="50" t="n">
        <v>0</v>
      </c>
      <c r="X1069" s="51" t="n">
        <v>0</v>
      </c>
      <c r="Y1069" s="52" t="n">
        <v>0</v>
      </c>
      <c r="Z1069" s="52" t="n">
        <v>0</v>
      </c>
      <c r="AA1069" s="52" t="n">
        <v>0</v>
      </c>
      <c r="AB1069" s="53" t="n">
        <v>0</v>
      </c>
      <c r="AC1069" s="52" t="n">
        <v>0</v>
      </c>
      <c r="AD1069" s="53" t="n">
        <v>0</v>
      </c>
      <c r="AE1069" s="52" t="n">
        <v>0</v>
      </c>
      <c r="AF1069" s="51" t="n">
        <v>0</v>
      </c>
      <c r="AG1069" s="48" t="n">
        <v>0</v>
      </c>
      <c r="AH1069" s="49" t="n">
        <v>0</v>
      </c>
      <c r="AI1069" s="49" t="n">
        <v>0</v>
      </c>
      <c r="AJ1069" s="50" t="n">
        <v>0</v>
      </c>
      <c r="AK1069" s="51" t="n">
        <v>0</v>
      </c>
      <c r="AL1069" s="52" t="n">
        <v>0</v>
      </c>
      <c r="AM1069" s="52" t="n">
        <v>0</v>
      </c>
      <c r="AN1069" s="52" t="n">
        <v>0</v>
      </c>
      <c r="AO1069" s="53" t="n">
        <v>0</v>
      </c>
      <c r="AP1069" s="52" t="n">
        <v>0</v>
      </c>
      <c r="AQ1069" s="53" t="n">
        <v>0</v>
      </c>
      <c r="AR1069" s="52" t="n">
        <v>0</v>
      </c>
      <c r="AS1069" s="51" t="n">
        <v>0</v>
      </c>
      <c r="AT1069" s="48" t="n">
        <v>0</v>
      </c>
      <c r="AU1069" s="49" t="n">
        <v>0</v>
      </c>
      <c r="AV1069" s="49" t="n">
        <v>0</v>
      </c>
      <c r="AW1069" s="50" t="n">
        <v>0</v>
      </c>
      <c r="AX1069" s="51" t="n">
        <v>0</v>
      </c>
      <c r="AY1069" s="52" t="n">
        <v>0</v>
      </c>
      <c r="AZ1069" s="52" t="n">
        <v>0</v>
      </c>
      <c r="BA1069" s="52" t="n">
        <v>0</v>
      </c>
      <c r="BB1069" s="53" t="n">
        <v>0</v>
      </c>
      <c r="BC1069" s="52" t="n">
        <v>0</v>
      </c>
      <c r="BD1069" s="53" t="n">
        <v>0</v>
      </c>
      <c r="BE1069" s="52" t="n">
        <v>0</v>
      </c>
      <c r="BF1069" s="51" t="n">
        <v>0</v>
      </c>
    </row>
    <row r="1070">
      <c r="A1070">
        <f>HYPERLINK("https://www.walmart.com/ip/719130562", "719130562")</f>
        <v/>
      </c>
      <c r="B1070" t="inlineStr">
        <is>
          <t>Tirrinia Wearable Fleece Blanket Plush Comfy Poncho For Adults Women Men, Purple</t>
        </is>
      </c>
      <c r="C1070" t="inlineStr">
        <is>
          <t>1TRBP200PP-TBCB</t>
        </is>
      </c>
      <c r="D1070" t="inlineStr">
        <is>
          <t>Throws</t>
        </is>
      </c>
      <c r="E1070" t="inlineStr">
        <is>
          <t>Tirrinia</t>
        </is>
      </c>
      <c r="F1070" t="inlineStr">
        <is>
          <t>Optimized</t>
        </is>
      </c>
      <c r="G1070" s="48" t="n">
        <v>0</v>
      </c>
      <c r="H1070" s="49" t="n">
        <v>0</v>
      </c>
      <c r="I1070" s="49" t="n">
        <v>0</v>
      </c>
      <c r="J1070" s="50" t="n">
        <v>0</v>
      </c>
      <c r="K1070" s="51" t="n">
        <v>0</v>
      </c>
      <c r="L1070" s="52" t="n">
        <v>0</v>
      </c>
      <c r="M1070" s="52" t="n">
        <v>0</v>
      </c>
      <c r="N1070" s="52" t="n">
        <v>0</v>
      </c>
      <c r="O1070" s="53" t="n">
        <v>0</v>
      </c>
      <c r="P1070" s="52" t="n">
        <v>0</v>
      </c>
      <c r="Q1070" s="53" t="n">
        <v>0</v>
      </c>
      <c r="R1070" s="52" t="n">
        <v>0</v>
      </c>
      <c r="S1070" s="51" t="n">
        <v>0</v>
      </c>
      <c r="T1070" s="48" t="n">
        <v>0</v>
      </c>
      <c r="U1070" s="49" t="n">
        <v>0</v>
      </c>
      <c r="V1070" s="49" t="n">
        <v>0</v>
      </c>
      <c r="W1070" s="50" t="n">
        <v>0</v>
      </c>
      <c r="X1070" s="51" t="n">
        <v>0</v>
      </c>
      <c r="Y1070" s="52" t="n">
        <v>0</v>
      </c>
      <c r="Z1070" s="52" t="n">
        <v>0</v>
      </c>
      <c r="AA1070" s="52" t="n">
        <v>0</v>
      </c>
      <c r="AB1070" s="53" t="n">
        <v>0</v>
      </c>
      <c r="AC1070" s="52" t="n">
        <v>0</v>
      </c>
      <c r="AD1070" s="53" t="n">
        <v>0</v>
      </c>
      <c r="AE1070" s="52" t="n">
        <v>0</v>
      </c>
      <c r="AF1070" s="51" t="n">
        <v>0</v>
      </c>
      <c r="AG1070" s="48" t="n">
        <v>0</v>
      </c>
      <c r="AH1070" s="49" t="n">
        <v>0</v>
      </c>
      <c r="AI1070" s="49" t="n">
        <v>0</v>
      </c>
      <c r="AJ1070" s="50" t="n">
        <v>0</v>
      </c>
      <c r="AK1070" s="51" t="n">
        <v>0</v>
      </c>
      <c r="AL1070" s="52" t="n">
        <v>0</v>
      </c>
      <c r="AM1070" s="52" t="n">
        <v>0</v>
      </c>
      <c r="AN1070" s="52" t="n">
        <v>0</v>
      </c>
      <c r="AO1070" s="53" t="n">
        <v>0</v>
      </c>
      <c r="AP1070" s="52" t="n">
        <v>0</v>
      </c>
      <c r="AQ1070" s="53" t="n">
        <v>0</v>
      </c>
      <c r="AR1070" s="52" t="n">
        <v>0</v>
      </c>
      <c r="AS1070" s="51" t="n">
        <v>0</v>
      </c>
      <c r="AT1070" s="48" t="n">
        <v>0</v>
      </c>
      <c r="AU1070" s="49" t="n">
        <v>0</v>
      </c>
      <c r="AV1070" s="49" t="n">
        <v>0</v>
      </c>
      <c r="AW1070" s="50" t="n">
        <v>0</v>
      </c>
      <c r="AX1070" s="51" t="n">
        <v>0</v>
      </c>
      <c r="AY1070" s="52" t="n">
        <v>0</v>
      </c>
      <c r="AZ1070" s="52" t="n">
        <v>0</v>
      </c>
      <c r="BA1070" s="52" t="n">
        <v>0</v>
      </c>
      <c r="BB1070" s="53" t="n">
        <v>0</v>
      </c>
      <c r="BC1070" s="52" t="n">
        <v>0</v>
      </c>
      <c r="BD1070" s="53" t="n">
        <v>0</v>
      </c>
      <c r="BE1070" s="52" t="n">
        <v>0</v>
      </c>
      <c r="BF1070" s="51" t="n">
        <v>0</v>
      </c>
    </row>
    <row r="1071">
      <c r="A1071">
        <f>HYPERLINK("https://www.walmart.com/ip/720447721", "720447721")</f>
        <v/>
      </c>
      <c r="B1071" t="inlineStr">
        <is>
          <t>JenniWears Women Sexy Lace Boyshort Panty Plus Size Stretch Mesh Briefs Lingerie Underwear Sleepwear Red</t>
        </is>
      </c>
      <c r="C1071" t="inlineStr">
        <is>
          <t>JWPT05RD-3XL</t>
        </is>
      </c>
      <c r="D1071" t="inlineStr">
        <is>
          <t>Panties</t>
        </is>
      </c>
      <c r="E1071" t="inlineStr">
        <is>
          <t>JenniWears</t>
        </is>
      </c>
      <c r="F1071" t="inlineStr">
        <is>
          <t>Valentine</t>
        </is>
      </c>
      <c r="G1071" s="48" t="n">
        <v>0</v>
      </c>
      <c r="H1071" s="49" t="n">
        <v>0</v>
      </c>
      <c r="I1071" s="49" t="n">
        <v>0</v>
      </c>
      <c r="J1071" s="50" t="n">
        <v>0</v>
      </c>
      <c r="K1071" s="51" t="n">
        <v>0</v>
      </c>
      <c r="L1071" s="52" t="n">
        <v>0</v>
      </c>
      <c r="M1071" s="52" t="n">
        <v>0</v>
      </c>
      <c r="N1071" s="52" t="n">
        <v>0</v>
      </c>
      <c r="O1071" s="53" t="n">
        <v>0</v>
      </c>
      <c r="P1071" s="52" t="n">
        <v>0</v>
      </c>
      <c r="Q1071" s="53" t="n">
        <v>0</v>
      </c>
      <c r="R1071" s="52" t="n">
        <v>0</v>
      </c>
      <c r="S1071" s="51" t="n">
        <v>0</v>
      </c>
      <c r="T1071" s="48" t="n">
        <v>0</v>
      </c>
      <c r="U1071" s="49" t="n">
        <v>0</v>
      </c>
      <c r="V1071" s="49" t="n">
        <v>0</v>
      </c>
      <c r="W1071" s="50" t="n">
        <v>0</v>
      </c>
      <c r="X1071" s="51" t="n">
        <v>0</v>
      </c>
      <c r="Y1071" s="52" t="n">
        <v>0</v>
      </c>
      <c r="Z1071" s="52" t="n">
        <v>0</v>
      </c>
      <c r="AA1071" s="52" t="n">
        <v>0</v>
      </c>
      <c r="AB1071" s="53" t="n">
        <v>0</v>
      </c>
      <c r="AC1071" s="52" t="n">
        <v>0</v>
      </c>
      <c r="AD1071" s="53" t="n">
        <v>0</v>
      </c>
      <c r="AE1071" s="52" t="n">
        <v>0</v>
      </c>
      <c r="AF1071" s="51" t="n">
        <v>0</v>
      </c>
      <c r="AG1071" s="48" t="n">
        <v>0</v>
      </c>
      <c r="AH1071" s="49" t="n">
        <v>0</v>
      </c>
      <c r="AI1071" s="49" t="n">
        <v>0</v>
      </c>
      <c r="AJ1071" s="50" t="n">
        <v>0</v>
      </c>
      <c r="AK1071" s="51" t="n">
        <v>0</v>
      </c>
      <c r="AL1071" s="52" t="n">
        <v>0</v>
      </c>
      <c r="AM1071" s="52" t="n">
        <v>0</v>
      </c>
      <c r="AN1071" s="52" t="n">
        <v>0</v>
      </c>
      <c r="AO1071" s="53" t="n">
        <v>0</v>
      </c>
      <c r="AP1071" s="52" t="n">
        <v>0</v>
      </c>
      <c r="AQ1071" s="53" t="n">
        <v>0</v>
      </c>
      <c r="AR1071" s="52" t="n">
        <v>0</v>
      </c>
      <c r="AS1071" s="51" t="n">
        <v>0</v>
      </c>
      <c r="AT1071" s="48" t="n">
        <v>0</v>
      </c>
      <c r="AU1071" s="49" t="n">
        <v>0</v>
      </c>
      <c r="AV1071" s="49" t="n">
        <v>0</v>
      </c>
      <c r="AW1071" s="50" t="n">
        <v>0</v>
      </c>
      <c r="AX1071" s="51" t="n">
        <v>0</v>
      </c>
      <c r="AY1071" s="52" t="n">
        <v>0</v>
      </c>
      <c r="AZ1071" s="52" t="n">
        <v>0</v>
      </c>
      <c r="BA1071" s="52" t="n">
        <v>0</v>
      </c>
      <c r="BB1071" s="53" t="n">
        <v>0</v>
      </c>
      <c r="BC1071" s="52" t="n">
        <v>0</v>
      </c>
      <c r="BD1071" s="53" t="n">
        <v>0</v>
      </c>
      <c r="BE1071" s="52" t="n">
        <v>0</v>
      </c>
      <c r="BF1071" s="51" t="n">
        <v>0</v>
      </c>
    </row>
    <row r="1072">
      <c r="A1072">
        <f>HYPERLINK("https://www.walmart.com/ip/724653683", "724653683")</f>
        <v/>
      </c>
      <c r="B1072" t="inlineStr">
        <is>
          <t>Tirrinia Leakproof Thermal Reusable Insulated Lunch Bag for Men and Women With Shoulder Strap, Black Checkered</t>
        </is>
      </c>
      <c r="C1072" t="inlineStr">
        <is>
          <t>1TRLB702P1BRCK</t>
        </is>
      </c>
      <c r="D1072" t="inlineStr">
        <is>
          <t>Reusable Lunch Bags &amp; Boxes</t>
        </is>
      </c>
      <c r="E1072" t="inlineStr">
        <is>
          <t>Tirrinia</t>
        </is>
      </c>
      <c r="F1072" t="inlineStr">
        <is>
          <t>Q2-Target,Brand Camp VD,Lunch Bag,Optimized,SEM</t>
        </is>
      </c>
      <c r="G1072" s="48" t="n">
        <v>0</v>
      </c>
      <c r="H1072" s="49" t="n">
        <v>0</v>
      </c>
      <c r="I1072" s="49" t="n">
        <v>0</v>
      </c>
      <c r="J1072" s="50" t="n">
        <v>0</v>
      </c>
      <c r="K1072" s="51" t="n">
        <v>0</v>
      </c>
      <c r="L1072" s="52" t="n">
        <v>0</v>
      </c>
      <c r="M1072" s="52" t="n">
        <v>0</v>
      </c>
      <c r="N1072" s="52" t="n">
        <v>0</v>
      </c>
      <c r="O1072" s="53" t="n">
        <v>0</v>
      </c>
      <c r="P1072" s="52" t="n">
        <v>0</v>
      </c>
      <c r="Q1072" s="53" t="n">
        <v>0</v>
      </c>
      <c r="R1072" s="52" t="n">
        <v>0</v>
      </c>
      <c r="S1072" s="51" t="n">
        <v>0</v>
      </c>
      <c r="T1072" s="48" t="n">
        <v>-12.99</v>
      </c>
      <c r="U1072" s="49" t="n">
        <v>-1</v>
      </c>
      <c r="V1072" s="49" t="n">
        <v>0</v>
      </c>
      <c r="W1072" s="50" t="n">
        <v>0</v>
      </c>
      <c r="X1072" s="51" t="n">
        <v>0</v>
      </c>
      <c r="Y1072" s="52" t="n">
        <v>0</v>
      </c>
      <c r="Z1072" s="52" t="n">
        <v>0</v>
      </c>
      <c r="AA1072" s="52" t="n">
        <v>0</v>
      </c>
      <c r="AB1072" s="53" t="n">
        <v>0</v>
      </c>
      <c r="AC1072" s="52" t="n">
        <v>0</v>
      </c>
      <c r="AD1072" s="53" t="n">
        <v>0</v>
      </c>
      <c r="AE1072" s="52" t="n">
        <v>0</v>
      </c>
      <c r="AF1072" s="51" t="n">
        <v>0</v>
      </c>
      <c r="AG1072" s="48" t="n">
        <v>0</v>
      </c>
      <c r="AH1072" s="49" t="n">
        <v>0</v>
      </c>
      <c r="AI1072" s="49" t="n">
        <v>2</v>
      </c>
      <c r="AJ1072" s="50" t="n">
        <v>0</v>
      </c>
      <c r="AK1072" s="51" t="n">
        <v>0</v>
      </c>
      <c r="AL1072" s="52" t="n">
        <v>0</v>
      </c>
      <c r="AM1072" s="52" t="n">
        <v>0</v>
      </c>
      <c r="AN1072" s="52" t="n">
        <v>0</v>
      </c>
      <c r="AO1072" s="53" t="n">
        <v>0</v>
      </c>
      <c r="AP1072" s="52" t="n">
        <v>0</v>
      </c>
      <c r="AQ1072" s="53" t="n">
        <v>0</v>
      </c>
      <c r="AR1072" s="52" t="n">
        <v>0</v>
      </c>
      <c r="AS1072" s="51" t="n">
        <v>0</v>
      </c>
      <c r="AT1072" s="48" t="n">
        <v>0</v>
      </c>
      <c r="AU1072" s="49" t="n">
        <v>0</v>
      </c>
      <c r="AV1072" s="49" t="n">
        <v>6</v>
      </c>
      <c r="AW1072" s="50" t="n">
        <v>0</v>
      </c>
      <c r="AX1072" s="51" t="n">
        <v>0</v>
      </c>
      <c r="AY1072" s="52" t="n">
        <v>0</v>
      </c>
      <c r="AZ1072" s="52" t="n">
        <v>0</v>
      </c>
      <c r="BA1072" s="52" t="n">
        <v>0</v>
      </c>
      <c r="BB1072" s="53" t="n">
        <v>0</v>
      </c>
      <c r="BC1072" s="52" t="n">
        <v>0</v>
      </c>
      <c r="BD1072" s="53" t="n">
        <v>0</v>
      </c>
      <c r="BE1072" s="52" t="n">
        <v>0</v>
      </c>
      <c r="BF1072" s="51" t="n">
        <v>0</v>
      </c>
    </row>
    <row r="1073">
      <c r="A1073">
        <f>HYPERLINK("https://www.walmart.com/ip/725168068", "725168068")</f>
        <v/>
      </c>
      <c r="B1073" t="inlineStr">
        <is>
          <t>Tirrinia Large Insulated Picnic Basket, Foldable Bag, 28L Leakproof Portable Basket Set, Blue</t>
        </is>
      </c>
      <c r="C1073" t="inlineStr">
        <is>
          <t>1TRPB100-BL</t>
        </is>
      </c>
      <c r="D1073" t="inlineStr">
        <is>
          <t>Picnic Baskets &amp; Bags</t>
        </is>
      </c>
      <c r="E1073" t="inlineStr">
        <is>
          <t>Tirrinia</t>
        </is>
      </c>
      <c r="F1073" t="inlineStr">
        <is>
          <t>Batch 1 - TR</t>
        </is>
      </c>
      <c r="G1073" s="48" t="n">
        <v>0</v>
      </c>
      <c r="H1073" s="49" t="n">
        <v>0</v>
      </c>
      <c r="I1073" s="49" t="n">
        <v>0</v>
      </c>
      <c r="J1073" s="50" t="n">
        <v>0</v>
      </c>
      <c r="K1073" s="51" t="n">
        <v>0</v>
      </c>
      <c r="L1073" s="52" t="n">
        <v>0</v>
      </c>
      <c r="M1073" s="52" t="n">
        <v>0</v>
      </c>
      <c r="N1073" s="52" t="n">
        <v>0</v>
      </c>
      <c r="O1073" s="53" t="n">
        <v>0</v>
      </c>
      <c r="P1073" s="52" t="n">
        <v>0</v>
      </c>
      <c r="Q1073" s="53" t="n">
        <v>0</v>
      </c>
      <c r="R1073" s="52" t="n">
        <v>0</v>
      </c>
      <c r="S1073" s="51" t="n">
        <v>0</v>
      </c>
      <c r="T1073" s="48" t="n">
        <v>0</v>
      </c>
      <c r="U1073" s="49" t="n">
        <v>0</v>
      </c>
      <c r="V1073" s="49" t="n">
        <v>0</v>
      </c>
      <c r="W1073" s="50" t="n">
        <v>0</v>
      </c>
      <c r="X1073" s="51" t="n">
        <v>0</v>
      </c>
      <c r="Y1073" s="52" t="n">
        <v>0</v>
      </c>
      <c r="Z1073" s="52" t="n">
        <v>0</v>
      </c>
      <c r="AA1073" s="52" t="n">
        <v>0</v>
      </c>
      <c r="AB1073" s="53" t="n">
        <v>0</v>
      </c>
      <c r="AC1073" s="52" t="n">
        <v>0</v>
      </c>
      <c r="AD1073" s="53" t="n">
        <v>0</v>
      </c>
      <c r="AE1073" s="52" t="n">
        <v>0</v>
      </c>
      <c r="AF1073" s="51" t="n">
        <v>0</v>
      </c>
      <c r="AG1073" s="48" t="n">
        <v>0</v>
      </c>
      <c r="AH1073" s="49" t="n">
        <v>0</v>
      </c>
      <c r="AI1073" s="49" t="n">
        <v>0</v>
      </c>
      <c r="AJ1073" s="50" t="n">
        <v>0</v>
      </c>
      <c r="AK1073" s="51" t="n">
        <v>0</v>
      </c>
      <c r="AL1073" s="52" t="n">
        <v>0</v>
      </c>
      <c r="AM1073" s="52" t="n">
        <v>0</v>
      </c>
      <c r="AN1073" s="52" t="n">
        <v>0</v>
      </c>
      <c r="AO1073" s="53" t="n">
        <v>0</v>
      </c>
      <c r="AP1073" s="52" t="n">
        <v>0</v>
      </c>
      <c r="AQ1073" s="53" t="n">
        <v>0</v>
      </c>
      <c r="AR1073" s="52" t="n">
        <v>0</v>
      </c>
      <c r="AS1073" s="51" t="n">
        <v>0</v>
      </c>
      <c r="AT1073" s="48" t="n">
        <v>0</v>
      </c>
      <c r="AU1073" s="49" t="n">
        <v>0</v>
      </c>
      <c r="AV1073" s="49" t="n">
        <v>0</v>
      </c>
      <c r="AW1073" s="50" t="n">
        <v>0</v>
      </c>
      <c r="AX1073" s="51" t="n">
        <v>0</v>
      </c>
      <c r="AY1073" s="52" t="n">
        <v>0</v>
      </c>
      <c r="AZ1073" s="52" t="n">
        <v>0</v>
      </c>
      <c r="BA1073" s="52" t="n">
        <v>0</v>
      </c>
      <c r="BB1073" s="53" t="n">
        <v>0</v>
      </c>
      <c r="BC1073" s="52" t="n">
        <v>0</v>
      </c>
      <c r="BD1073" s="53" t="n">
        <v>0</v>
      </c>
      <c r="BE1073" s="52" t="n">
        <v>0</v>
      </c>
      <c r="BF1073" s="51" t="n">
        <v>0</v>
      </c>
    </row>
    <row r="1074">
      <c r="A1074">
        <f>HYPERLINK("https://www.walmart.com/ip/725432115", "725432115")</f>
        <v/>
      </c>
      <c r="B1074" t="inlineStr">
        <is>
          <t>Tirrinia Super Cozy Fleece Plush Sherpa Patriotic Throw Blanket, American Flag, 50" x 60", USA Flag</t>
        </is>
      </c>
      <c r="C1074" t="inlineStr">
        <is>
          <t>1TRBF300USA2-TBCB01</t>
        </is>
      </c>
      <c r="D1074" t="inlineStr">
        <is>
          <t>Throws</t>
        </is>
      </c>
      <c r="E1074" t="inlineStr">
        <is>
          <t>Tirrinia</t>
        </is>
      </c>
      <c r="F1074" t="inlineStr">
        <is>
          <t>Optimized</t>
        </is>
      </c>
      <c r="G1074" s="48" t="n">
        <v>0</v>
      </c>
      <c r="H1074" s="49" t="n">
        <v>0</v>
      </c>
      <c r="I1074" s="49" t="n">
        <v>0</v>
      </c>
      <c r="J1074" s="50" t="n">
        <v>0</v>
      </c>
      <c r="K1074" s="51" t="n">
        <v>0</v>
      </c>
      <c r="L1074" s="52" t="n">
        <v>0</v>
      </c>
      <c r="M1074" s="52" t="n">
        <v>0</v>
      </c>
      <c r="N1074" s="52" t="n">
        <v>0</v>
      </c>
      <c r="O1074" s="53" t="n">
        <v>0</v>
      </c>
      <c r="P1074" s="52" t="n">
        <v>0</v>
      </c>
      <c r="Q1074" s="53" t="n">
        <v>0</v>
      </c>
      <c r="R1074" s="52" t="n">
        <v>0</v>
      </c>
      <c r="S1074" s="51" t="n">
        <v>0</v>
      </c>
      <c r="T1074" s="48" t="n">
        <v>0</v>
      </c>
      <c r="U1074" s="49" t="n">
        <v>0</v>
      </c>
      <c r="V1074" s="49" t="n">
        <v>0</v>
      </c>
      <c r="W1074" s="50" t="n">
        <v>0</v>
      </c>
      <c r="X1074" s="51" t="n">
        <v>0</v>
      </c>
      <c r="Y1074" s="52" t="n">
        <v>0</v>
      </c>
      <c r="Z1074" s="52" t="n">
        <v>0</v>
      </c>
      <c r="AA1074" s="52" t="n">
        <v>0</v>
      </c>
      <c r="AB1074" s="53" t="n">
        <v>0</v>
      </c>
      <c r="AC1074" s="52" t="n">
        <v>0</v>
      </c>
      <c r="AD1074" s="53" t="n">
        <v>0</v>
      </c>
      <c r="AE1074" s="52" t="n">
        <v>0</v>
      </c>
      <c r="AF1074" s="51" t="n">
        <v>0</v>
      </c>
      <c r="AG1074" s="48" t="n">
        <v>0</v>
      </c>
      <c r="AH1074" s="49" t="n">
        <v>0</v>
      </c>
      <c r="AI1074" s="49" t="n">
        <v>0</v>
      </c>
      <c r="AJ1074" s="50" t="n">
        <v>0</v>
      </c>
      <c r="AK1074" s="51" t="n">
        <v>0</v>
      </c>
      <c r="AL1074" s="52" t="n">
        <v>0</v>
      </c>
      <c r="AM1074" s="52" t="n">
        <v>0</v>
      </c>
      <c r="AN1074" s="52" t="n">
        <v>0</v>
      </c>
      <c r="AO1074" s="53" t="n">
        <v>0</v>
      </c>
      <c r="AP1074" s="52" t="n">
        <v>0</v>
      </c>
      <c r="AQ1074" s="53" t="n">
        <v>0</v>
      </c>
      <c r="AR1074" s="52" t="n">
        <v>0</v>
      </c>
      <c r="AS1074" s="51" t="n">
        <v>0</v>
      </c>
      <c r="AT1074" s="48" t="n">
        <v>0</v>
      </c>
      <c r="AU1074" s="49" t="n">
        <v>0</v>
      </c>
      <c r="AV1074" s="49" t="n">
        <v>0</v>
      </c>
      <c r="AW1074" s="50" t="n">
        <v>0</v>
      </c>
      <c r="AX1074" s="51" t="n">
        <v>0</v>
      </c>
      <c r="AY1074" s="52" t="n">
        <v>0</v>
      </c>
      <c r="AZ1074" s="52" t="n">
        <v>0</v>
      </c>
      <c r="BA1074" s="52" t="n">
        <v>0</v>
      </c>
      <c r="BB1074" s="53" t="n">
        <v>0</v>
      </c>
      <c r="BC1074" s="52" t="n">
        <v>0</v>
      </c>
      <c r="BD1074" s="53" t="n">
        <v>0</v>
      </c>
      <c r="BE1074" s="52" t="n">
        <v>0</v>
      </c>
      <c r="BF1074" s="51" t="n">
        <v>0</v>
      </c>
    </row>
    <row r="1075">
      <c r="A1075">
        <f>HYPERLINK("https://www.walmart.com/ip/726763490", "726763490")</f>
        <v/>
      </c>
      <c r="B1075" t="inlineStr">
        <is>
          <t>Tirrinia Womens Floppy Beach Summer Hat Reversible Sunhat Packable Wide Brim Flower Pattern Navy</t>
        </is>
      </c>
      <c r="C1075" t="inlineStr">
        <is>
          <t>1TRSH069NV-TBCB</t>
        </is>
      </c>
      <c r="D1075" t="inlineStr">
        <is>
          <t>Hats</t>
        </is>
      </c>
      <c r="E1075" t="inlineStr">
        <is>
          <t>Tirrinia</t>
        </is>
      </c>
      <c r="F1075" t="inlineStr">
        <is>
          <t>Optimized</t>
        </is>
      </c>
      <c r="G1075" s="48" t="n">
        <v>0</v>
      </c>
      <c r="H1075" s="49" t="n">
        <v>0</v>
      </c>
      <c r="I1075" s="49" t="n">
        <v>0</v>
      </c>
      <c r="J1075" s="50" t="n">
        <v>0</v>
      </c>
      <c r="K1075" s="51" t="n">
        <v>0</v>
      </c>
      <c r="L1075" s="52" t="n">
        <v>0</v>
      </c>
      <c r="M1075" s="52" t="n">
        <v>0</v>
      </c>
      <c r="N1075" s="52" t="n">
        <v>0</v>
      </c>
      <c r="O1075" s="53" t="n">
        <v>0</v>
      </c>
      <c r="P1075" s="52" t="n">
        <v>0</v>
      </c>
      <c r="Q1075" s="53" t="n">
        <v>0</v>
      </c>
      <c r="R1075" s="52" t="n">
        <v>0</v>
      </c>
      <c r="S1075" s="51" t="n">
        <v>0</v>
      </c>
      <c r="T1075" s="48" t="n">
        <v>0</v>
      </c>
      <c r="U1075" s="49" t="n">
        <v>0</v>
      </c>
      <c r="V1075" s="49" t="n">
        <v>0</v>
      </c>
      <c r="W1075" s="50" t="n">
        <v>0</v>
      </c>
      <c r="X1075" s="51" t="n">
        <v>0</v>
      </c>
      <c r="Y1075" s="52" t="n">
        <v>0</v>
      </c>
      <c r="Z1075" s="52" t="n">
        <v>0</v>
      </c>
      <c r="AA1075" s="52" t="n">
        <v>0</v>
      </c>
      <c r="AB1075" s="53" t="n">
        <v>0</v>
      </c>
      <c r="AC1075" s="52" t="n">
        <v>0</v>
      </c>
      <c r="AD1075" s="53" t="n">
        <v>0</v>
      </c>
      <c r="AE1075" s="52" t="n">
        <v>0</v>
      </c>
      <c r="AF1075" s="51" t="n">
        <v>0</v>
      </c>
      <c r="AG1075" s="48" t="n">
        <v>0</v>
      </c>
      <c r="AH1075" s="49" t="n">
        <v>0</v>
      </c>
      <c r="AI1075" s="49" t="n">
        <v>0</v>
      </c>
      <c r="AJ1075" s="50" t="n">
        <v>0</v>
      </c>
      <c r="AK1075" s="51" t="n">
        <v>0</v>
      </c>
      <c r="AL1075" s="52" t="n">
        <v>0</v>
      </c>
      <c r="AM1075" s="52" t="n">
        <v>0</v>
      </c>
      <c r="AN1075" s="52" t="n">
        <v>0</v>
      </c>
      <c r="AO1075" s="53" t="n">
        <v>0</v>
      </c>
      <c r="AP1075" s="52" t="n">
        <v>0</v>
      </c>
      <c r="AQ1075" s="53" t="n">
        <v>0</v>
      </c>
      <c r="AR1075" s="52" t="n">
        <v>0</v>
      </c>
      <c r="AS1075" s="51" t="n">
        <v>0</v>
      </c>
      <c r="AT1075" s="48" t="n">
        <v>0</v>
      </c>
      <c r="AU1075" s="49" t="n">
        <v>0</v>
      </c>
      <c r="AV1075" s="49" t="n">
        <v>0</v>
      </c>
      <c r="AW1075" s="50" t="n">
        <v>0</v>
      </c>
      <c r="AX1075" s="51" t="n">
        <v>0</v>
      </c>
      <c r="AY1075" s="52" t="n">
        <v>0</v>
      </c>
      <c r="AZ1075" s="52" t="n">
        <v>0</v>
      </c>
      <c r="BA1075" s="52" t="n">
        <v>0</v>
      </c>
      <c r="BB1075" s="53" t="n">
        <v>0</v>
      </c>
      <c r="BC1075" s="52" t="n">
        <v>0</v>
      </c>
      <c r="BD1075" s="53" t="n">
        <v>0</v>
      </c>
      <c r="BE1075" s="52" t="n">
        <v>0</v>
      </c>
      <c r="BF1075" s="51" t="n">
        <v>0</v>
      </c>
    </row>
    <row r="1076">
      <c r="A1076">
        <f>HYPERLINK("https://www.walmart.com/ip/726845682", "726845682")</f>
        <v/>
      </c>
      <c r="B1076" t="inlineStr">
        <is>
          <t>Flyingstar Lunch Bag for Women Men, Insulated Lunch Tote for Working/School/Picnic Fashionable Cooler Bag</t>
        </is>
      </c>
      <c r="C1076" t="inlineStr">
        <is>
          <t>1WMLB704GY</t>
        </is>
      </c>
      <c r="D1076" t="inlineStr">
        <is>
          <t>Reusable Lunch Bags &amp; Boxes</t>
        </is>
      </c>
      <c r="E1076" t="inlineStr">
        <is>
          <t>Flyingstar</t>
        </is>
      </c>
      <c r="F1076" t="inlineStr">
        <is>
          <t>Q2-Target,Lunch Bag</t>
        </is>
      </c>
      <c r="G1076" s="48" t="n">
        <v>0</v>
      </c>
      <c r="H1076" s="49" t="n">
        <v>0</v>
      </c>
      <c r="I1076" s="49" t="n">
        <v>0</v>
      </c>
      <c r="J1076" s="50" t="n">
        <v>0</v>
      </c>
      <c r="K1076" s="51" t="n">
        <v>0</v>
      </c>
      <c r="L1076" s="52" t="n">
        <v>0</v>
      </c>
      <c r="M1076" s="52" t="n">
        <v>0</v>
      </c>
      <c r="N1076" s="52" t="n">
        <v>0</v>
      </c>
      <c r="O1076" s="53" t="n">
        <v>0</v>
      </c>
      <c r="P1076" s="52" t="n">
        <v>0</v>
      </c>
      <c r="Q1076" s="53" t="n">
        <v>0</v>
      </c>
      <c r="R1076" s="52" t="n">
        <v>0</v>
      </c>
      <c r="S1076" s="51" t="n">
        <v>0</v>
      </c>
      <c r="T1076" s="48" t="n">
        <v>9.99</v>
      </c>
      <c r="U1076" s="49" t="n">
        <v>1</v>
      </c>
      <c r="V1076" s="49" t="n">
        <v>0</v>
      </c>
      <c r="W1076" s="50" t="n">
        <v>0</v>
      </c>
      <c r="X1076" s="51" t="n">
        <v>0</v>
      </c>
      <c r="Y1076" s="52" t="n">
        <v>0</v>
      </c>
      <c r="Z1076" s="52" t="n">
        <v>0</v>
      </c>
      <c r="AA1076" s="52" t="n">
        <v>0</v>
      </c>
      <c r="AB1076" s="53" t="n">
        <v>0</v>
      </c>
      <c r="AC1076" s="52" t="n">
        <v>0</v>
      </c>
      <c r="AD1076" s="53" t="n">
        <v>0</v>
      </c>
      <c r="AE1076" s="52" t="n">
        <v>9.99</v>
      </c>
      <c r="AF1076" s="51" t="n">
        <v>0</v>
      </c>
      <c r="AG1076" s="48" t="n">
        <v>0</v>
      </c>
      <c r="AH1076" s="49" t="n">
        <v>0</v>
      </c>
      <c r="AI1076" s="49" t="n">
        <v>0</v>
      </c>
      <c r="AJ1076" s="50" t="n">
        <v>0</v>
      </c>
      <c r="AK1076" s="51" t="n">
        <v>0</v>
      </c>
      <c r="AL1076" s="52" t="n">
        <v>0</v>
      </c>
      <c r="AM1076" s="52" t="n">
        <v>0</v>
      </c>
      <c r="AN1076" s="52" t="n">
        <v>0</v>
      </c>
      <c r="AO1076" s="53" t="n">
        <v>0</v>
      </c>
      <c r="AP1076" s="52" t="n">
        <v>0</v>
      </c>
      <c r="AQ1076" s="53" t="n">
        <v>0</v>
      </c>
      <c r="AR1076" s="52" t="n">
        <v>0</v>
      </c>
      <c r="AS1076" s="51" t="n">
        <v>0</v>
      </c>
      <c r="AT1076" s="48" t="n">
        <v>0</v>
      </c>
      <c r="AU1076" s="49" t="n">
        <v>0</v>
      </c>
      <c r="AV1076" s="49" t="n">
        <v>0</v>
      </c>
      <c r="AW1076" s="50" t="n">
        <v>0</v>
      </c>
      <c r="AX1076" s="51" t="n">
        <v>0</v>
      </c>
      <c r="AY1076" s="52" t="n">
        <v>0</v>
      </c>
      <c r="AZ1076" s="52" t="n">
        <v>0</v>
      </c>
      <c r="BA1076" s="52" t="n">
        <v>0</v>
      </c>
      <c r="BB1076" s="53" t="n">
        <v>0</v>
      </c>
      <c r="BC1076" s="52" t="n">
        <v>0</v>
      </c>
      <c r="BD1076" s="53" t="n">
        <v>0</v>
      </c>
      <c r="BE1076" s="52" t="n">
        <v>0</v>
      </c>
      <c r="BF1076" s="51" t="n">
        <v>0</v>
      </c>
    </row>
    <row r="1077">
      <c r="A1077">
        <f>HYPERLINK("https://www.walmart.com/ip/694252673", "694252673")</f>
        <v/>
      </c>
      <c r="B1077" t="inlineStr">
        <is>
          <t>Tirrinia Reversible Chevron Throw Blanket, 50" x 60", Mocha</t>
        </is>
      </c>
      <c r="C1077" t="inlineStr">
        <is>
          <t>1TRBF320MO-TBCB</t>
        </is>
      </c>
      <c r="D1077" t="inlineStr">
        <is>
          <t>Throws</t>
        </is>
      </c>
      <c r="E1077" t="inlineStr">
        <is>
          <t>Tirrinia</t>
        </is>
      </c>
      <c r="F1077" t="inlineStr">
        <is>
          <t>Optimized</t>
        </is>
      </c>
      <c r="G1077" s="48" t="n">
        <v>0</v>
      </c>
      <c r="H1077" s="49" t="n">
        <v>0</v>
      </c>
      <c r="I1077" s="49" t="n">
        <v>0</v>
      </c>
      <c r="J1077" s="50" t="n">
        <v>0</v>
      </c>
      <c r="K1077" s="51" t="n">
        <v>0</v>
      </c>
      <c r="L1077" s="52" t="n">
        <v>0</v>
      </c>
      <c r="M1077" s="52" t="n">
        <v>0</v>
      </c>
      <c r="N1077" s="52" t="n">
        <v>0</v>
      </c>
      <c r="O1077" s="53" t="n">
        <v>0</v>
      </c>
      <c r="P1077" s="52" t="n">
        <v>0</v>
      </c>
      <c r="Q1077" s="53" t="n">
        <v>0</v>
      </c>
      <c r="R1077" s="52" t="n">
        <v>0</v>
      </c>
      <c r="S1077" s="51" t="n">
        <v>0</v>
      </c>
      <c r="T1077" s="48" t="n">
        <v>0</v>
      </c>
      <c r="U1077" s="49" t="n">
        <v>0</v>
      </c>
      <c r="V1077" s="49" t="n">
        <v>0</v>
      </c>
      <c r="W1077" s="50" t="n">
        <v>0</v>
      </c>
      <c r="X1077" s="51" t="n">
        <v>0</v>
      </c>
      <c r="Y1077" s="52" t="n">
        <v>0</v>
      </c>
      <c r="Z1077" s="52" t="n">
        <v>0</v>
      </c>
      <c r="AA1077" s="52" t="n">
        <v>0</v>
      </c>
      <c r="AB1077" s="53" t="n">
        <v>0</v>
      </c>
      <c r="AC1077" s="52" t="n">
        <v>0</v>
      </c>
      <c r="AD1077" s="53" t="n">
        <v>0</v>
      </c>
      <c r="AE1077" s="52" t="n">
        <v>0</v>
      </c>
      <c r="AF1077" s="51" t="n">
        <v>0</v>
      </c>
      <c r="AG1077" s="48" t="n">
        <v>0</v>
      </c>
      <c r="AH1077" s="49" t="n">
        <v>0</v>
      </c>
      <c r="AI1077" s="49" t="n">
        <v>0</v>
      </c>
      <c r="AJ1077" s="50" t="n">
        <v>0</v>
      </c>
      <c r="AK1077" s="51" t="n">
        <v>0</v>
      </c>
      <c r="AL1077" s="52" t="n">
        <v>0</v>
      </c>
      <c r="AM1077" s="52" t="n">
        <v>0</v>
      </c>
      <c r="AN1077" s="52" t="n">
        <v>0</v>
      </c>
      <c r="AO1077" s="53" t="n">
        <v>0</v>
      </c>
      <c r="AP1077" s="52" t="n">
        <v>0</v>
      </c>
      <c r="AQ1077" s="53" t="n">
        <v>0</v>
      </c>
      <c r="AR1077" s="52" t="n">
        <v>0</v>
      </c>
      <c r="AS1077" s="51" t="n">
        <v>0</v>
      </c>
      <c r="AT1077" s="48" t="n">
        <v>0</v>
      </c>
      <c r="AU1077" s="49" t="n">
        <v>0</v>
      </c>
      <c r="AV1077" s="49" t="n">
        <v>0</v>
      </c>
      <c r="AW1077" s="50" t="n">
        <v>0</v>
      </c>
      <c r="AX1077" s="51" t="n">
        <v>0</v>
      </c>
      <c r="AY1077" s="52" t="n">
        <v>0</v>
      </c>
      <c r="AZ1077" s="52" t="n">
        <v>0</v>
      </c>
      <c r="BA1077" s="52" t="n">
        <v>0</v>
      </c>
      <c r="BB1077" s="53" t="n">
        <v>0</v>
      </c>
      <c r="BC1077" s="52" t="n">
        <v>0</v>
      </c>
      <c r="BD1077" s="53" t="n">
        <v>0</v>
      </c>
      <c r="BE1077" s="52" t="n">
        <v>0</v>
      </c>
      <c r="BF1077" s="51" t="n">
        <v>0</v>
      </c>
    </row>
    <row r="1078">
      <c r="A1078">
        <f>HYPERLINK("https://www.walmart.com/ip/689433950", "689433950")</f>
        <v/>
      </c>
      <c r="B1078" t="inlineStr">
        <is>
          <t>Catalonia Twin Size Quilt Set, Lightweight Bedspread for Summer and Spring, 2 Pieces Bedding Coverlet, 1 Quilt and 1 Pillow Sham, Grey Froest Pattern, 68'' x 90''</t>
        </is>
      </c>
      <c r="C1078" t="inlineStr">
        <is>
          <t>1CTBQ202TW-GYWT</t>
        </is>
      </c>
      <c r="D1078" t="inlineStr">
        <is>
          <t>Bedding Sets</t>
        </is>
      </c>
      <c r="E1078" t="inlineStr">
        <is>
          <t>Catalonia</t>
        </is>
      </c>
      <c r="F1078" t="inlineStr">
        <is>
          <t>Optimized</t>
        </is>
      </c>
      <c r="G1078" s="48" t="n">
        <v>0</v>
      </c>
      <c r="H1078" s="49" t="n">
        <v>0</v>
      </c>
      <c r="I1078" s="49" t="n">
        <v>5</v>
      </c>
      <c r="J1078" s="50" t="n">
        <v>0</v>
      </c>
      <c r="K1078" s="51" t="n">
        <v>0</v>
      </c>
      <c r="L1078" s="52" t="n">
        <v>0</v>
      </c>
      <c r="M1078" s="52" t="n">
        <v>0</v>
      </c>
      <c r="N1078" s="52" t="n">
        <v>0</v>
      </c>
      <c r="O1078" s="53" t="n">
        <v>0</v>
      </c>
      <c r="P1078" s="52" t="n">
        <v>0</v>
      </c>
      <c r="Q1078" s="53" t="n">
        <v>0</v>
      </c>
      <c r="R1078" s="52" t="n">
        <v>0</v>
      </c>
      <c r="S1078" s="51" t="n">
        <v>0</v>
      </c>
      <c r="T1078" s="48" t="n">
        <v>0</v>
      </c>
      <c r="U1078" s="49" t="n">
        <v>0</v>
      </c>
      <c r="V1078" s="49" t="n">
        <v>5</v>
      </c>
      <c r="W1078" s="50" t="n">
        <v>0</v>
      </c>
      <c r="X1078" s="51" t="n">
        <v>0</v>
      </c>
      <c r="Y1078" s="52" t="n">
        <v>0</v>
      </c>
      <c r="Z1078" s="52" t="n">
        <v>0</v>
      </c>
      <c r="AA1078" s="52" t="n">
        <v>0</v>
      </c>
      <c r="AB1078" s="53" t="n">
        <v>0</v>
      </c>
      <c r="AC1078" s="52" t="n">
        <v>0</v>
      </c>
      <c r="AD1078" s="53" t="n">
        <v>0</v>
      </c>
      <c r="AE1078" s="52" t="n">
        <v>0</v>
      </c>
      <c r="AF1078" s="51" t="n">
        <v>0</v>
      </c>
      <c r="AG1078" s="48" t="n">
        <v>0</v>
      </c>
      <c r="AH1078" s="49" t="n">
        <v>0</v>
      </c>
      <c r="AI1078" s="49" t="n">
        <v>0</v>
      </c>
      <c r="AJ1078" s="50" t="n">
        <v>0</v>
      </c>
      <c r="AK1078" s="51" t="n">
        <v>0</v>
      </c>
      <c r="AL1078" s="52" t="n">
        <v>0</v>
      </c>
      <c r="AM1078" s="52" t="n">
        <v>0</v>
      </c>
      <c r="AN1078" s="52" t="n">
        <v>0</v>
      </c>
      <c r="AO1078" s="53" t="n">
        <v>0</v>
      </c>
      <c r="AP1078" s="52" t="n">
        <v>0</v>
      </c>
      <c r="AQ1078" s="53" t="n">
        <v>0</v>
      </c>
      <c r="AR1078" s="52" t="n">
        <v>0</v>
      </c>
      <c r="AS1078" s="51" t="n">
        <v>0</v>
      </c>
      <c r="AT1078" s="48" t="n">
        <v>0</v>
      </c>
      <c r="AU1078" s="49" t="n">
        <v>0</v>
      </c>
      <c r="AV1078" s="49" t="n">
        <v>0</v>
      </c>
      <c r="AW1078" s="50" t="n">
        <v>0</v>
      </c>
      <c r="AX1078" s="51" t="n">
        <v>0</v>
      </c>
      <c r="AY1078" s="52" t="n">
        <v>0</v>
      </c>
      <c r="AZ1078" s="52" t="n">
        <v>0</v>
      </c>
      <c r="BA1078" s="52" t="n">
        <v>0</v>
      </c>
      <c r="BB1078" s="53" t="n">
        <v>0</v>
      </c>
      <c r="BC1078" s="52" t="n">
        <v>0</v>
      </c>
      <c r="BD1078" s="53" t="n">
        <v>0</v>
      </c>
      <c r="BE1078" s="52" t="n">
        <v>0</v>
      </c>
      <c r="BF1078" s="51" t="n">
        <v>0</v>
      </c>
    </row>
    <row r="1079">
      <c r="A1079">
        <f>HYPERLINK("https://www.walmart.com/ip/829040273", "829040273")</f>
        <v/>
      </c>
      <c r="B1079" t="inlineStr">
        <is>
          <t>Tirrinia Women's Tankini Swimsuit Flyaway Swimdress Top, 2-Piece Bathing Suits, Black, Small</t>
        </is>
      </c>
      <c r="C1079" t="inlineStr">
        <is>
          <t>1TRSS006BKBK-M</t>
        </is>
      </c>
      <c r="D1079" t="inlineStr">
        <is>
          <t>Swimsuit Sets</t>
        </is>
      </c>
      <c r="E1079" t="inlineStr">
        <is>
          <t>Tirrinia</t>
        </is>
      </c>
      <c r="F1079" t="inlineStr">
        <is>
          <t>Batch 1 - TR</t>
        </is>
      </c>
      <c r="G1079" s="48" t="n">
        <v>0</v>
      </c>
      <c r="H1079" s="49" t="n">
        <v>0</v>
      </c>
      <c r="I1079" s="49" t="n">
        <v>0</v>
      </c>
      <c r="J1079" s="50" t="n">
        <v>0</v>
      </c>
      <c r="K1079" s="51" t="n">
        <v>0</v>
      </c>
      <c r="L1079" s="52" t="n">
        <v>0</v>
      </c>
      <c r="M1079" s="52" t="n">
        <v>0</v>
      </c>
      <c r="N1079" s="52" t="n">
        <v>0</v>
      </c>
      <c r="O1079" s="53" t="n">
        <v>0</v>
      </c>
      <c r="P1079" s="52" t="n">
        <v>0</v>
      </c>
      <c r="Q1079" s="53" t="n">
        <v>0</v>
      </c>
      <c r="R1079" s="52" t="n">
        <v>0</v>
      </c>
      <c r="S1079" s="51" t="n">
        <v>0</v>
      </c>
      <c r="T1079" s="48" t="n">
        <v>0</v>
      </c>
      <c r="U1079" s="49" t="n">
        <v>0</v>
      </c>
      <c r="V1079" s="49" t="n">
        <v>0</v>
      </c>
      <c r="W1079" s="50" t="n">
        <v>0</v>
      </c>
      <c r="X1079" s="51" t="n">
        <v>0</v>
      </c>
      <c r="Y1079" s="52" t="n">
        <v>0</v>
      </c>
      <c r="Z1079" s="52" t="n">
        <v>0</v>
      </c>
      <c r="AA1079" s="52" t="n">
        <v>0</v>
      </c>
      <c r="AB1079" s="53" t="n">
        <v>0</v>
      </c>
      <c r="AC1079" s="52" t="n">
        <v>0</v>
      </c>
      <c r="AD1079" s="53" t="n">
        <v>0</v>
      </c>
      <c r="AE1079" s="52" t="n">
        <v>0</v>
      </c>
      <c r="AF1079" s="51" t="n">
        <v>0</v>
      </c>
      <c r="AG1079" s="48" t="n">
        <v>0</v>
      </c>
      <c r="AH1079" s="49" t="n">
        <v>0</v>
      </c>
      <c r="AI1079" s="49" t="n">
        <v>0</v>
      </c>
      <c r="AJ1079" s="50" t="n">
        <v>0</v>
      </c>
      <c r="AK1079" s="51" t="n">
        <v>0</v>
      </c>
      <c r="AL1079" s="52" t="n">
        <v>0</v>
      </c>
      <c r="AM1079" s="52" t="n">
        <v>0</v>
      </c>
      <c r="AN1079" s="52" t="n">
        <v>0</v>
      </c>
      <c r="AO1079" s="53" t="n">
        <v>0</v>
      </c>
      <c r="AP1079" s="52" t="n">
        <v>0</v>
      </c>
      <c r="AQ1079" s="53" t="n">
        <v>0</v>
      </c>
      <c r="AR1079" s="52" t="n">
        <v>0</v>
      </c>
      <c r="AS1079" s="51" t="n">
        <v>0</v>
      </c>
      <c r="AT1079" s="48" t="n">
        <v>0</v>
      </c>
      <c r="AU1079" s="49" t="n">
        <v>0</v>
      </c>
      <c r="AV1079" s="49" t="n">
        <v>0</v>
      </c>
      <c r="AW1079" s="50" t="n">
        <v>0</v>
      </c>
      <c r="AX1079" s="51" t="n">
        <v>0</v>
      </c>
      <c r="AY1079" s="52" t="n">
        <v>0</v>
      </c>
      <c r="AZ1079" s="52" t="n">
        <v>0</v>
      </c>
      <c r="BA1079" s="52" t="n">
        <v>0</v>
      </c>
      <c r="BB1079" s="53" t="n">
        <v>0</v>
      </c>
      <c r="BC1079" s="52" t="n">
        <v>0</v>
      </c>
      <c r="BD1079" s="53" t="n">
        <v>0</v>
      </c>
      <c r="BE1079" s="52" t="n">
        <v>0</v>
      </c>
      <c r="BF1079" s="51" t="n">
        <v>0</v>
      </c>
    </row>
    <row r="1080">
      <c r="A1080">
        <f>HYPERLINK("https://www.walmart.com/ip/642519557", "642519557")</f>
        <v/>
      </c>
      <c r="B1080" t="inlineStr">
        <is>
          <t>Flyingstar 6 Bottle Wine cooler bag - Insulated Padded Portable Versatile Wine Carrier Tote Bag for Travel, BYOB, Black</t>
        </is>
      </c>
      <c r="C1080" t="inlineStr">
        <is>
          <t>1WMWB602BK</t>
        </is>
      </c>
      <c r="D1080" t="inlineStr">
        <is>
          <t>Wine Totes, Bags &amp; Backpacks</t>
        </is>
      </c>
      <c r="E1080" t="inlineStr">
        <is>
          <t>Flyingstar</t>
        </is>
      </c>
      <c r="F1080" t="inlineStr">
        <is>
          <t>Wine,Christmas,Optimized,Valentine,SEM</t>
        </is>
      </c>
      <c r="G1080" s="48" t="n">
        <v>0</v>
      </c>
      <c r="H1080" s="49" t="n">
        <v>0</v>
      </c>
      <c r="I1080" s="49" t="n">
        <v>0</v>
      </c>
      <c r="J1080" s="50" t="n">
        <v>0</v>
      </c>
      <c r="K1080" s="51" t="n">
        <v>0</v>
      </c>
      <c r="L1080" s="52" t="n">
        <v>0</v>
      </c>
      <c r="M1080" s="52" t="n">
        <v>0</v>
      </c>
      <c r="N1080" s="52" t="n">
        <v>0</v>
      </c>
      <c r="O1080" s="53" t="n">
        <v>0</v>
      </c>
      <c r="P1080" s="52" t="n">
        <v>0</v>
      </c>
      <c r="Q1080" s="53" t="n">
        <v>0</v>
      </c>
      <c r="R1080" s="52" t="n">
        <v>0</v>
      </c>
      <c r="S1080" s="51" t="n">
        <v>0</v>
      </c>
      <c r="T1080" s="48" t="n">
        <v>0</v>
      </c>
      <c r="U1080" s="49" t="n">
        <v>0</v>
      </c>
      <c r="V1080" s="49" t="n">
        <v>0</v>
      </c>
      <c r="W1080" s="50" t="n">
        <v>0</v>
      </c>
      <c r="X1080" s="51" t="n">
        <v>0</v>
      </c>
      <c r="Y1080" s="52" t="n">
        <v>0</v>
      </c>
      <c r="Z1080" s="52" t="n">
        <v>0</v>
      </c>
      <c r="AA1080" s="52" t="n">
        <v>0</v>
      </c>
      <c r="AB1080" s="53" t="n">
        <v>0</v>
      </c>
      <c r="AC1080" s="52" t="n">
        <v>0</v>
      </c>
      <c r="AD1080" s="53" t="n">
        <v>0</v>
      </c>
      <c r="AE1080" s="52" t="n">
        <v>0</v>
      </c>
      <c r="AF1080" s="51" t="n">
        <v>0</v>
      </c>
      <c r="AG1080" s="48" t="n">
        <v>18.99</v>
      </c>
      <c r="AH1080" s="49" t="n">
        <v>1</v>
      </c>
      <c r="AI1080" s="49" t="n">
        <v>0</v>
      </c>
      <c r="AJ1080" s="50" t="n">
        <v>0</v>
      </c>
      <c r="AK1080" s="51" t="n">
        <v>0</v>
      </c>
      <c r="AL1080" s="52" t="n">
        <v>0</v>
      </c>
      <c r="AM1080" s="52" t="n">
        <v>0</v>
      </c>
      <c r="AN1080" s="52" t="n">
        <v>0</v>
      </c>
      <c r="AO1080" s="53" t="n">
        <v>0</v>
      </c>
      <c r="AP1080" s="52" t="n">
        <v>0</v>
      </c>
      <c r="AQ1080" s="53" t="n">
        <v>0</v>
      </c>
      <c r="AR1080" s="52" t="n">
        <v>18.99</v>
      </c>
      <c r="AS1080" s="51" t="n">
        <v>0</v>
      </c>
      <c r="AT1080" s="48" t="n">
        <v>0</v>
      </c>
      <c r="AU1080" s="49" t="n">
        <v>0</v>
      </c>
      <c r="AV1080" s="49" t="n">
        <v>0</v>
      </c>
      <c r="AW1080" s="50" t="n">
        <v>0</v>
      </c>
      <c r="AX1080" s="51" t="n">
        <v>0</v>
      </c>
      <c r="AY1080" s="52" t="n">
        <v>0</v>
      </c>
      <c r="AZ1080" s="52" t="n">
        <v>0</v>
      </c>
      <c r="BA1080" s="52" t="n">
        <v>0</v>
      </c>
      <c r="BB1080" s="53" t="n">
        <v>0</v>
      </c>
      <c r="BC1080" s="52" t="n">
        <v>0</v>
      </c>
      <c r="BD1080" s="53" t="n">
        <v>0</v>
      </c>
      <c r="BE1080" s="52" t="n">
        <v>0</v>
      </c>
      <c r="BF1080" s="51" t="n">
        <v>0</v>
      </c>
    </row>
    <row r="1081">
      <c r="A1081">
        <f>HYPERLINK("https://www.walmart.com/ip/645250394", "645250394")</f>
        <v/>
      </c>
      <c r="B1081" t="inlineStr">
        <is>
          <t>Oversized Hooded Poncho Cape, Casual Hoodie Sweatshirt, Batwing Coat Pullover | Light Weight, Cozy, Comfortable, Roomy | for Adults Women Men Teens</t>
        </is>
      </c>
      <c r="C1081" t="inlineStr">
        <is>
          <t>1CTHD542PP</t>
        </is>
      </c>
      <c r="D1081" t="inlineStr">
        <is>
          <t>Sweatshirts &amp; Hoodies</t>
        </is>
      </c>
      <c r="E1081" t="inlineStr">
        <is>
          <t>Catalonia</t>
        </is>
      </c>
      <c r="F1081" t="inlineStr">
        <is>
          <t>Hoodie ForAdult,Optimized,Coupon_Discount</t>
        </is>
      </c>
      <c r="G1081" s="48" t="n">
        <v>0</v>
      </c>
      <c r="H1081" s="49" t="n">
        <v>0</v>
      </c>
      <c r="I1081" s="49" t="n">
        <v>0</v>
      </c>
      <c r="J1081" s="50" t="n">
        <v>0</v>
      </c>
      <c r="K1081" s="51" t="n">
        <v>0</v>
      </c>
      <c r="L1081" s="52" t="n">
        <v>0</v>
      </c>
      <c r="M1081" s="52" t="n">
        <v>0</v>
      </c>
      <c r="N1081" s="52" t="n">
        <v>0</v>
      </c>
      <c r="O1081" s="53" t="n">
        <v>0</v>
      </c>
      <c r="P1081" s="52" t="n">
        <v>0</v>
      </c>
      <c r="Q1081" s="53" t="n">
        <v>0</v>
      </c>
      <c r="R1081" s="52" t="n">
        <v>0</v>
      </c>
      <c r="S1081" s="51" t="n">
        <v>0</v>
      </c>
      <c r="T1081" s="48" t="n">
        <v>0</v>
      </c>
      <c r="U1081" s="49" t="n">
        <v>0</v>
      </c>
      <c r="V1081" s="49" t="n">
        <v>0</v>
      </c>
      <c r="W1081" s="50" t="n">
        <v>0</v>
      </c>
      <c r="X1081" s="51" t="n">
        <v>0</v>
      </c>
      <c r="Y1081" s="52" t="n">
        <v>0</v>
      </c>
      <c r="Z1081" s="52" t="n">
        <v>0</v>
      </c>
      <c r="AA1081" s="52" t="n">
        <v>0</v>
      </c>
      <c r="AB1081" s="53" t="n">
        <v>0</v>
      </c>
      <c r="AC1081" s="52" t="n">
        <v>0</v>
      </c>
      <c r="AD1081" s="53" t="n">
        <v>0</v>
      </c>
      <c r="AE1081" s="52" t="n">
        <v>0</v>
      </c>
      <c r="AF1081" s="51" t="n">
        <v>0</v>
      </c>
      <c r="AG1081" s="48" t="n">
        <v>0</v>
      </c>
      <c r="AH1081" s="49" t="n">
        <v>0</v>
      </c>
      <c r="AI1081" s="49" t="n">
        <v>0</v>
      </c>
      <c r="AJ1081" s="50" t="n">
        <v>0</v>
      </c>
      <c r="AK1081" s="51" t="n">
        <v>0</v>
      </c>
      <c r="AL1081" s="52" t="n">
        <v>0</v>
      </c>
      <c r="AM1081" s="52" t="n">
        <v>0</v>
      </c>
      <c r="AN1081" s="52" t="n">
        <v>0</v>
      </c>
      <c r="AO1081" s="53" t="n">
        <v>0</v>
      </c>
      <c r="AP1081" s="52" t="n">
        <v>0</v>
      </c>
      <c r="AQ1081" s="53" t="n">
        <v>0</v>
      </c>
      <c r="AR1081" s="52" t="n">
        <v>0</v>
      </c>
      <c r="AS1081" s="51" t="n">
        <v>0</v>
      </c>
      <c r="AT1081" s="48" t="n">
        <v>0</v>
      </c>
      <c r="AU1081" s="49" t="n">
        <v>0</v>
      </c>
      <c r="AV1081" s="49" t="n">
        <v>0</v>
      </c>
      <c r="AW1081" s="50" t="n">
        <v>0</v>
      </c>
      <c r="AX1081" s="51" t="n">
        <v>0</v>
      </c>
      <c r="AY1081" s="52" t="n">
        <v>0</v>
      </c>
      <c r="AZ1081" s="52" t="n">
        <v>0</v>
      </c>
      <c r="BA1081" s="52" t="n">
        <v>0</v>
      </c>
      <c r="BB1081" s="53" t="n">
        <v>0</v>
      </c>
      <c r="BC1081" s="52" t="n">
        <v>0</v>
      </c>
      <c r="BD1081" s="53" t="n">
        <v>0</v>
      </c>
      <c r="BE1081" s="52" t="n">
        <v>0</v>
      </c>
      <c r="BF1081" s="51" t="n">
        <v>0</v>
      </c>
    </row>
    <row r="1082">
      <c r="A1082">
        <f>HYPERLINK("https://www.walmart.com/ip/645515358", "645515358")</f>
        <v/>
      </c>
      <c r="B1082" t="inlineStr">
        <is>
          <t>Medium Pet Travel Backpack Carrier for Dogs Cat Animal Puppy, Breathable Mesh Net Removable Sherpa Bed Outdoor Carrier f</t>
        </is>
      </c>
      <c r="C1082" t="inlineStr">
        <is>
          <t>1WMPB200BK</t>
        </is>
      </c>
      <c r="D1082" t="inlineStr">
        <is>
          <t>Pet Carriers</t>
        </is>
      </c>
      <c r="E1082" t="inlineStr">
        <is>
          <t>Flyingstar</t>
        </is>
      </c>
      <c r="F1082" t="inlineStr">
        <is>
          <t>Optimized</t>
        </is>
      </c>
      <c r="G1082" s="48" t="n">
        <v>0</v>
      </c>
      <c r="H1082" s="49" t="n">
        <v>0</v>
      </c>
      <c r="I1082" s="49" t="n">
        <v>0</v>
      </c>
      <c r="J1082" s="50" t="n">
        <v>0</v>
      </c>
      <c r="K1082" s="51" t="n">
        <v>0</v>
      </c>
      <c r="L1082" s="52" t="n">
        <v>0</v>
      </c>
      <c r="M1082" s="52" t="n">
        <v>0</v>
      </c>
      <c r="N1082" s="52" t="n">
        <v>0</v>
      </c>
      <c r="O1082" s="53" t="n">
        <v>0</v>
      </c>
      <c r="P1082" s="52" t="n">
        <v>0</v>
      </c>
      <c r="Q1082" s="53" t="n">
        <v>0</v>
      </c>
      <c r="R1082" s="52" t="n">
        <v>0</v>
      </c>
      <c r="S1082" s="51" t="n">
        <v>0</v>
      </c>
      <c r="T1082" s="48" t="n">
        <v>0</v>
      </c>
      <c r="U1082" s="49" t="n">
        <v>0</v>
      </c>
      <c r="V1082" s="49" t="n">
        <v>0</v>
      </c>
      <c r="W1082" s="50" t="n">
        <v>0</v>
      </c>
      <c r="X1082" s="51" t="n">
        <v>0</v>
      </c>
      <c r="Y1082" s="52" t="n">
        <v>0</v>
      </c>
      <c r="Z1082" s="52" t="n">
        <v>0</v>
      </c>
      <c r="AA1082" s="52" t="n">
        <v>0</v>
      </c>
      <c r="AB1082" s="53" t="n">
        <v>0</v>
      </c>
      <c r="AC1082" s="52" t="n">
        <v>0</v>
      </c>
      <c r="AD1082" s="53" t="n">
        <v>0</v>
      </c>
      <c r="AE1082" s="52" t="n">
        <v>0</v>
      </c>
      <c r="AF1082" s="51" t="n">
        <v>0</v>
      </c>
      <c r="AG1082" s="48" t="n">
        <v>0</v>
      </c>
      <c r="AH1082" s="49" t="n">
        <v>0</v>
      </c>
      <c r="AI1082" s="49" t="n">
        <v>0</v>
      </c>
      <c r="AJ1082" s="50" t="n">
        <v>0</v>
      </c>
      <c r="AK1082" s="51" t="n">
        <v>0</v>
      </c>
      <c r="AL1082" s="52" t="n">
        <v>0</v>
      </c>
      <c r="AM1082" s="52" t="n">
        <v>0</v>
      </c>
      <c r="AN1082" s="52" t="n">
        <v>0</v>
      </c>
      <c r="AO1082" s="53" t="n">
        <v>0</v>
      </c>
      <c r="AP1082" s="52" t="n">
        <v>0</v>
      </c>
      <c r="AQ1082" s="53" t="n">
        <v>0</v>
      </c>
      <c r="AR1082" s="52" t="n">
        <v>0</v>
      </c>
      <c r="AS1082" s="51" t="n">
        <v>0</v>
      </c>
      <c r="AT1082" s="48" t="n">
        <v>0</v>
      </c>
      <c r="AU1082" s="49" t="n">
        <v>0</v>
      </c>
      <c r="AV1082" s="49" t="n">
        <v>0</v>
      </c>
      <c r="AW1082" s="50" t="n">
        <v>0</v>
      </c>
      <c r="AX1082" s="51" t="n">
        <v>0</v>
      </c>
      <c r="AY1082" s="52" t="n">
        <v>0</v>
      </c>
      <c r="AZ1082" s="52" t="n">
        <v>0</v>
      </c>
      <c r="BA1082" s="52" t="n">
        <v>0</v>
      </c>
      <c r="BB1082" s="53" t="n">
        <v>0</v>
      </c>
      <c r="BC1082" s="52" t="n">
        <v>0</v>
      </c>
      <c r="BD1082" s="53" t="n">
        <v>0</v>
      </c>
      <c r="BE1082" s="52" t="n">
        <v>0</v>
      </c>
      <c r="BF1082" s="51" t="n">
        <v>0</v>
      </c>
    </row>
    <row r="1083">
      <c r="A1083">
        <f>HYPERLINK("https://www.walmart.com/ip/646388542", "646388542")</f>
        <v/>
      </c>
      <c r="B1083" t="inlineStr">
        <is>
          <t>Fleece Blanket Wearable with Sleeves and Pocket, Micro Plush Warm Comfy Sleeved TV Throw Blanket Robe for Women and Men Multi-Colors 72”X55” by Catalonia</t>
        </is>
      </c>
      <c r="C1083" t="inlineStr">
        <is>
          <t>1CTSN110CA-ESGM</t>
        </is>
      </c>
      <c r="D1083" t="inlineStr">
        <is>
          <t>Throws</t>
        </is>
      </c>
      <c r="E1083" t="inlineStr">
        <is>
          <t>Catalonia</t>
        </is>
      </c>
      <c r="F1083" t="inlineStr">
        <is>
          <t>Fleece Blankets,Batch 1 - TR</t>
        </is>
      </c>
      <c r="G1083" s="48" t="n">
        <v>0</v>
      </c>
      <c r="H1083" s="49" t="n">
        <v>0</v>
      </c>
      <c r="I1083" s="49" t="n">
        <v>0</v>
      </c>
      <c r="J1083" s="50" t="n">
        <v>0</v>
      </c>
      <c r="K1083" s="51" t="n">
        <v>0</v>
      </c>
      <c r="L1083" s="52" t="n">
        <v>0</v>
      </c>
      <c r="M1083" s="52" t="n">
        <v>0</v>
      </c>
      <c r="N1083" s="52" t="n">
        <v>0</v>
      </c>
      <c r="O1083" s="53" t="n">
        <v>0</v>
      </c>
      <c r="P1083" s="52" t="n">
        <v>0</v>
      </c>
      <c r="Q1083" s="53" t="n">
        <v>0</v>
      </c>
      <c r="R1083" s="52" t="n">
        <v>0</v>
      </c>
      <c r="S1083" s="51" t="n">
        <v>0</v>
      </c>
      <c r="T1083" s="48" t="n">
        <v>0</v>
      </c>
      <c r="U1083" s="49" t="n">
        <v>0</v>
      </c>
      <c r="V1083" s="49" t="n">
        <v>0</v>
      </c>
      <c r="W1083" s="50" t="n">
        <v>0</v>
      </c>
      <c r="X1083" s="51" t="n">
        <v>0</v>
      </c>
      <c r="Y1083" s="52" t="n">
        <v>0</v>
      </c>
      <c r="Z1083" s="52" t="n">
        <v>0</v>
      </c>
      <c r="AA1083" s="52" t="n">
        <v>0</v>
      </c>
      <c r="AB1083" s="53" t="n">
        <v>0</v>
      </c>
      <c r="AC1083" s="52" t="n">
        <v>0</v>
      </c>
      <c r="AD1083" s="53" t="n">
        <v>0</v>
      </c>
      <c r="AE1083" s="52" t="n">
        <v>0</v>
      </c>
      <c r="AF1083" s="51" t="n">
        <v>0</v>
      </c>
      <c r="AG1083" s="48" t="n">
        <v>0</v>
      </c>
      <c r="AH1083" s="49" t="n">
        <v>0</v>
      </c>
      <c r="AI1083" s="49" t="n">
        <v>0</v>
      </c>
      <c r="AJ1083" s="50" t="n">
        <v>0</v>
      </c>
      <c r="AK1083" s="51" t="n">
        <v>0</v>
      </c>
      <c r="AL1083" s="52" t="n">
        <v>0</v>
      </c>
      <c r="AM1083" s="52" t="n">
        <v>0</v>
      </c>
      <c r="AN1083" s="52" t="n">
        <v>0</v>
      </c>
      <c r="AO1083" s="53" t="n">
        <v>0</v>
      </c>
      <c r="AP1083" s="52" t="n">
        <v>0</v>
      </c>
      <c r="AQ1083" s="53" t="n">
        <v>0</v>
      </c>
      <c r="AR1083" s="52" t="n">
        <v>0</v>
      </c>
      <c r="AS1083" s="51" t="n">
        <v>0</v>
      </c>
      <c r="AT1083" s="48" t="n">
        <v>0</v>
      </c>
      <c r="AU1083" s="49" t="n">
        <v>0</v>
      </c>
      <c r="AV1083" s="49" t="n">
        <v>0</v>
      </c>
      <c r="AW1083" s="50" t="n">
        <v>0</v>
      </c>
      <c r="AX1083" s="51" t="n">
        <v>0</v>
      </c>
      <c r="AY1083" s="52" t="n">
        <v>0</v>
      </c>
      <c r="AZ1083" s="52" t="n">
        <v>0</v>
      </c>
      <c r="BA1083" s="52" t="n">
        <v>0</v>
      </c>
      <c r="BB1083" s="53" t="n">
        <v>0</v>
      </c>
      <c r="BC1083" s="52" t="n">
        <v>0</v>
      </c>
      <c r="BD1083" s="53" t="n">
        <v>0</v>
      </c>
      <c r="BE1083" s="52" t="n">
        <v>0</v>
      </c>
      <c r="BF1083" s="51" t="n">
        <v>0</v>
      </c>
    </row>
    <row r="1084">
      <c r="A1084">
        <f>HYPERLINK("https://www.walmart.com/ip/646900422", "646900422")</f>
        <v/>
      </c>
      <c r="B1084" t="inlineStr">
        <is>
          <t>Tirrinia Single Wine Cooler Bags, Insulated and Padded Portable Wine Tote Carrier for Travel, BYOB Restaurant, Wine Tasting, Party, Great Gift for Wine Lover, Beige</t>
        </is>
      </c>
      <c r="C1084" t="inlineStr">
        <is>
          <t>1TRWB101BG</t>
        </is>
      </c>
      <c r="D1084" t="inlineStr">
        <is>
          <t>Wine Totes, Bags &amp; Backpacks</t>
        </is>
      </c>
      <c r="E1084" t="inlineStr">
        <is>
          <t>Tirrinia</t>
        </is>
      </c>
      <c r="F1084" t="inlineStr">
        <is>
          <t>Wine,Christmas,WFS,Valentine,WFS Item</t>
        </is>
      </c>
      <c r="G1084" s="48" t="n">
        <v>0</v>
      </c>
      <c r="H1084" s="49" t="n">
        <v>0</v>
      </c>
      <c r="I1084" s="49" t="n">
        <v>0</v>
      </c>
      <c r="J1084" s="50" t="n">
        <v>0</v>
      </c>
      <c r="K1084" s="51" t="n">
        <v>0</v>
      </c>
      <c r="L1084" s="52" t="n">
        <v>0</v>
      </c>
      <c r="M1084" s="52" t="n">
        <v>0</v>
      </c>
      <c r="N1084" s="52" t="n">
        <v>0</v>
      </c>
      <c r="O1084" s="53" t="n">
        <v>0</v>
      </c>
      <c r="P1084" s="52" t="n">
        <v>0</v>
      </c>
      <c r="Q1084" s="53" t="n">
        <v>0</v>
      </c>
      <c r="R1084" s="52" t="n">
        <v>0</v>
      </c>
      <c r="S1084" s="51" t="n">
        <v>0</v>
      </c>
      <c r="T1084" s="48" t="n">
        <v>29.98</v>
      </c>
      <c r="U1084" s="49" t="n">
        <v>2</v>
      </c>
      <c r="V1084" s="49" t="n">
        <v>0</v>
      </c>
      <c r="W1084" s="50" t="n">
        <v>0</v>
      </c>
      <c r="X1084" s="51" t="n">
        <v>0</v>
      </c>
      <c r="Y1084" s="52" t="n">
        <v>0</v>
      </c>
      <c r="Z1084" s="52" t="n">
        <v>0</v>
      </c>
      <c r="AA1084" s="52" t="n">
        <v>0</v>
      </c>
      <c r="AB1084" s="53" t="n">
        <v>0</v>
      </c>
      <c r="AC1084" s="52" t="n">
        <v>0</v>
      </c>
      <c r="AD1084" s="53" t="n">
        <v>0</v>
      </c>
      <c r="AE1084" s="52" t="n">
        <v>14.99</v>
      </c>
      <c r="AF1084" s="51" t="n">
        <v>0</v>
      </c>
      <c r="AG1084" s="48" t="n">
        <v>0</v>
      </c>
      <c r="AH1084" s="49" t="n">
        <v>0</v>
      </c>
      <c r="AI1084" s="49" t="n">
        <v>0</v>
      </c>
      <c r="AJ1084" s="50" t="n">
        <v>0</v>
      </c>
      <c r="AK1084" s="51" t="n">
        <v>0</v>
      </c>
      <c r="AL1084" s="52" t="n">
        <v>0</v>
      </c>
      <c r="AM1084" s="52" t="n">
        <v>0</v>
      </c>
      <c r="AN1084" s="52" t="n">
        <v>0</v>
      </c>
      <c r="AO1084" s="53" t="n">
        <v>0</v>
      </c>
      <c r="AP1084" s="52" t="n">
        <v>0</v>
      </c>
      <c r="AQ1084" s="53" t="n">
        <v>0</v>
      </c>
      <c r="AR1084" s="52" t="n">
        <v>0</v>
      </c>
      <c r="AS1084" s="51" t="n">
        <v>0</v>
      </c>
      <c r="AT1084" s="48" t="n">
        <v>14.99</v>
      </c>
      <c r="AU1084" s="49" t="n">
        <v>1</v>
      </c>
      <c r="AV1084" s="49" t="n">
        <v>0</v>
      </c>
      <c r="AW1084" s="50" t="n">
        <v>0</v>
      </c>
      <c r="AX1084" s="51" t="n">
        <v>0</v>
      </c>
      <c r="AY1084" s="52" t="n">
        <v>0</v>
      </c>
      <c r="AZ1084" s="52" t="n">
        <v>0</v>
      </c>
      <c r="BA1084" s="52" t="n">
        <v>0</v>
      </c>
      <c r="BB1084" s="53" t="n">
        <v>0</v>
      </c>
      <c r="BC1084" s="52" t="n">
        <v>0</v>
      </c>
      <c r="BD1084" s="53" t="n">
        <v>0</v>
      </c>
      <c r="BE1084" s="52" t="n">
        <v>14.99</v>
      </c>
      <c r="BF1084" s="51" t="n">
        <v>0</v>
      </c>
    </row>
    <row r="1085">
      <c r="A1085">
        <f>HYPERLINK("https://www.walmart.com/ip/648459144", "648459144")</f>
        <v/>
      </c>
      <c r="B1085" t="inlineStr">
        <is>
          <t>Wearable Fleece Blanket with Sleeves and Pocket for Women Men, Super Soft Microplush Adult Wrap Full Body Blanket Robe for Lounge Couch As Seen On TV 73" x 51" | Catalonia series by Terrania | Blue</t>
        </is>
      </c>
      <c r="C1085" t="inlineStr">
        <is>
          <t>1TRSN100BL-TBCB</t>
        </is>
      </c>
      <c r="D1085" t="inlineStr">
        <is>
          <t>Throws</t>
        </is>
      </c>
      <c r="E1085" t="inlineStr">
        <is>
          <t>Tirrinia</t>
        </is>
      </c>
      <c r="F1085" t="inlineStr">
        <is>
          <t>WFS,WFS Item,Fleece Blankets</t>
        </is>
      </c>
      <c r="G1085" s="48" t="n">
        <v>0</v>
      </c>
      <c r="H1085" s="49" t="n">
        <v>0</v>
      </c>
      <c r="I1085" s="49" t="n">
        <v>0</v>
      </c>
      <c r="J1085" s="50" t="n">
        <v>0</v>
      </c>
      <c r="K1085" s="51" t="n">
        <v>0</v>
      </c>
      <c r="L1085" s="52" t="n">
        <v>0</v>
      </c>
      <c r="M1085" s="52" t="n">
        <v>0</v>
      </c>
      <c r="N1085" s="52" t="n">
        <v>0</v>
      </c>
      <c r="O1085" s="53" t="n">
        <v>0</v>
      </c>
      <c r="P1085" s="52" t="n">
        <v>0</v>
      </c>
      <c r="Q1085" s="53" t="n">
        <v>0</v>
      </c>
      <c r="R1085" s="52" t="n">
        <v>0</v>
      </c>
      <c r="S1085" s="51" t="n">
        <v>0</v>
      </c>
      <c r="T1085" s="48" t="n">
        <v>0</v>
      </c>
      <c r="U1085" s="49" t="n">
        <v>0</v>
      </c>
      <c r="V1085" s="49" t="n">
        <v>0</v>
      </c>
      <c r="W1085" s="50" t="n">
        <v>0</v>
      </c>
      <c r="X1085" s="51" t="n">
        <v>0</v>
      </c>
      <c r="Y1085" s="52" t="n">
        <v>0</v>
      </c>
      <c r="Z1085" s="52" t="n">
        <v>0</v>
      </c>
      <c r="AA1085" s="52" t="n">
        <v>0</v>
      </c>
      <c r="AB1085" s="53" t="n">
        <v>0</v>
      </c>
      <c r="AC1085" s="52" t="n">
        <v>0</v>
      </c>
      <c r="AD1085" s="53" t="n">
        <v>0</v>
      </c>
      <c r="AE1085" s="52" t="n">
        <v>0</v>
      </c>
      <c r="AF1085" s="51" t="n">
        <v>0</v>
      </c>
      <c r="AG1085" s="48" t="n">
        <v>0</v>
      </c>
      <c r="AH1085" s="49" t="n">
        <v>0</v>
      </c>
      <c r="AI1085" s="49" t="n">
        <v>0</v>
      </c>
      <c r="AJ1085" s="50" t="n">
        <v>0</v>
      </c>
      <c r="AK1085" s="51" t="n">
        <v>0</v>
      </c>
      <c r="AL1085" s="52" t="n">
        <v>0</v>
      </c>
      <c r="AM1085" s="52" t="n">
        <v>0</v>
      </c>
      <c r="AN1085" s="52" t="n">
        <v>0</v>
      </c>
      <c r="AO1085" s="53" t="n">
        <v>0</v>
      </c>
      <c r="AP1085" s="52" t="n">
        <v>0</v>
      </c>
      <c r="AQ1085" s="53" t="n">
        <v>0</v>
      </c>
      <c r="AR1085" s="52" t="n">
        <v>0</v>
      </c>
      <c r="AS1085" s="51" t="n">
        <v>0</v>
      </c>
      <c r="AT1085" s="48" t="n">
        <v>19.99</v>
      </c>
      <c r="AU1085" s="49" t="n">
        <v>1</v>
      </c>
      <c r="AV1085" s="49" t="n">
        <v>0</v>
      </c>
      <c r="AW1085" s="50" t="n">
        <v>0</v>
      </c>
      <c r="AX1085" s="51" t="n">
        <v>0</v>
      </c>
      <c r="AY1085" s="52" t="n">
        <v>0</v>
      </c>
      <c r="AZ1085" s="52" t="n">
        <v>0</v>
      </c>
      <c r="BA1085" s="52" t="n">
        <v>0</v>
      </c>
      <c r="BB1085" s="53" t="n">
        <v>0</v>
      </c>
      <c r="BC1085" s="52" t="n">
        <v>0</v>
      </c>
      <c r="BD1085" s="53" t="n">
        <v>0</v>
      </c>
      <c r="BE1085" s="52" t="n">
        <v>19.99</v>
      </c>
      <c r="BF1085" s="51" t="n">
        <v>0</v>
      </c>
    </row>
    <row r="1086">
      <c r="A1086">
        <f>HYPERLINK("https://www.walmart.com/ip/648587696", "648587696")</f>
        <v/>
      </c>
      <c r="B1086" t="inlineStr">
        <is>
          <t>Tirrinia 3-Bottle, Padded, Insulated Wine Carrier Bag, Wine Gift Bag with Front Pocket, Gray, 12" x 4" x 13"</t>
        </is>
      </c>
      <c r="C1086" t="inlineStr">
        <is>
          <t>1TRWB310GY</t>
        </is>
      </c>
      <c r="D1086" t="inlineStr">
        <is>
          <t>Wine Totes, Bags &amp; Backpacks</t>
        </is>
      </c>
      <c r="E1086" t="inlineStr">
        <is>
          <t>Tirrinia</t>
        </is>
      </c>
      <c r="F1086" t="inlineStr">
        <is>
          <t>Wine,Christmas,Optimized,Valentine,Lily Brand Camp</t>
        </is>
      </c>
      <c r="G1086" s="48" t="n">
        <v>0</v>
      </c>
      <c r="H1086" s="49" t="n">
        <v>0</v>
      </c>
      <c r="I1086" s="49" t="n">
        <v>0</v>
      </c>
      <c r="J1086" s="50" t="n">
        <v>0</v>
      </c>
      <c r="K1086" s="51" t="n">
        <v>0</v>
      </c>
      <c r="L1086" s="52" t="n">
        <v>0</v>
      </c>
      <c r="M1086" s="52" t="n">
        <v>0</v>
      </c>
      <c r="N1086" s="52" t="n">
        <v>0</v>
      </c>
      <c r="O1086" s="53" t="n">
        <v>0</v>
      </c>
      <c r="P1086" s="52" t="n">
        <v>0</v>
      </c>
      <c r="Q1086" s="53" t="n">
        <v>0</v>
      </c>
      <c r="R1086" s="52" t="n">
        <v>0</v>
      </c>
      <c r="S1086" s="51" t="n">
        <v>0</v>
      </c>
      <c r="T1086" s="48" t="n">
        <v>0</v>
      </c>
      <c r="U1086" s="49" t="n">
        <v>0</v>
      </c>
      <c r="V1086" s="49" t="n">
        <v>0</v>
      </c>
      <c r="W1086" s="50" t="n">
        <v>0</v>
      </c>
      <c r="X1086" s="51" t="n">
        <v>0</v>
      </c>
      <c r="Y1086" s="52" t="n">
        <v>0</v>
      </c>
      <c r="Z1086" s="52" t="n">
        <v>0</v>
      </c>
      <c r="AA1086" s="52" t="n">
        <v>0</v>
      </c>
      <c r="AB1086" s="53" t="n">
        <v>0</v>
      </c>
      <c r="AC1086" s="52" t="n">
        <v>0</v>
      </c>
      <c r="AD1086" s="53" t="n">
        <v>0</v>
      </c>
      <c r="AE1086" s="52" t="n">
        <v>0</v>
      </c>
      <c r="AF1086" s="51" t="n">
        <v>0</v>
      </c>
      <c r="AG1086" s="48" t="n">
        <v>0</v>
      </c>
      <c r="AH1086" s="49" t="n">
        <v>0</v>
      </c>
      <c r="AI1086" s="49" t="n">
        <v>0</v>
      </c>
      <c r="AJ1086" s="50" t="n">
        <v>0</v>
      </c>
      <c r="AK1086" s="51" t="n">
        <v>0</v>
      </c>
      <c r="AL1086" s="52" t="n">
        <v>0</v>
      </c>
      <c r="AM1086" s="52" t="n">
        <v>0</v>
      </c>
      <c r="AN1086" s="52" t="n">
        <v>0</v>
      </c>
      <c r="AO1086" s="53" t="n">
        <v>0</v>
      </c>
      <c r="AP1086" s="52" t="n">
        <v>0</v>
      </c>
      <c r="AQ1086" s="53" t="n">
        <v>0</v>
      </c>
      <c r="AR1086" s="52" t="n">
        <v>0</v>
      </c>
      <c r="AS1086" s="51" t="n">
        <v>0</v>
      </c>
      <c r="AT1086" s="48" t="n">
        <v>0</v>
      </c>
      <c r="AU1086" s="49" t="n">
        <v>0</v>
      </c>
      <c r="AV1086" s="49" t="n">
        <v>0</v>
      </c>
      <c r="AW1086" s="50" t="n">
        <v>0</v>
      </c>
      <c r="AX1086" s="51" t="n">
        <v>0</v>
      </c>
      <c r="AY1086" s="52" t="n">
        <v>0</v>
      </c>
      <c r="AZ1086" s="52" t="n">
        <v>0</v>
      </c>
      <c r="BA1086" s="52" t="n">
        <v>0</v>
      </c>
      <c r="BB1086" s="53" t="n">
        <v>0</v>
      </c>
      <c r="BC1086" s="52" t="n">
        <v>0</v>
      </c>
      <c r="BD1086" s="53" t="n">
        <v>0</v>
      </c>
      <c r="BE1086" s="52" t="n">
        <v>0</v>
      </c>
      <c r="BF1086" s="51" t="n">
        <v>0</v>
      </c>
    </row>
    <row r="1087">
      <c r="A1087">
        <f>HYPERLINK("https://www.walmart.com/ip/648820529", "648820529")</f>
        <v/>
      </c>
      <c r="B1087" t="inlineStr">
        <is>
          <t>Tirrinia Comfy Christmas Sherpa Throw Blanket, Red Buffalo Plaid, 50" x 60"</t>
        </is>
      </c>
      <c r="C1087" t="inlineStr">
        <is>
          <t>1TRBF567PRDGN-TBCB01</t>
        </is>
      </c>
      <c r="D1087" t="inlineStr">
        <is>
          <t>Throws</t>
        </is>
      </c>
      <c r="E1087" t="inlineStr">
        <is>
          <t>Tirrinia</t>
        </is>
      </c>
      <c r="F1087" t="inlineStr">
        <is>
          <t>Optimized,Coupon_Discount</t>
        </is>
      </c>
      <c r="G1087" s="48" t="n">
        <v>0</v>
      </c>
      <c r="H1087" s="49" t="n">
        <v>0</v>
      </c>
      <c r="I1087" s="49" t="n">
        <v>0</v>
      </c>
      <c r="J1087" s="50" t="n">
        <v>0</v>
      </c>
      <c r="K1087" s="51" t="n">
        <v>6</v>
      </c>
      <c r="L1087" s="52" t="n">
        <v>1.5</v>
      </c>
      <c r="M1087" s="52" t="n">
        <v>0</v>
      </c>
      <c r="N1087" s="52" t="n">
        <v>0</v>
      </c>
      <c r="O1087" s="53" t="n">
        <v>0.0008</v>
      </c>
      <c r="P1087" s="52" t="n">
        <v>0.25</v>
      </c>
      <c r="Q1087" s="53" t="n">
        <v>0</v>
      </c>
      <c r="R1087" s="52" t="n">
        <v>0</v>
      </c>
      <c r="S1087" s="51" t="n">
        <v>7228</v>
      </c>
      <c r="T1087" s="48" t="n">
        <v>0</v>
      </c>
      <c r="U1087" s="49" t="n">
        <v>0</v>
      </c>
      <c r="V1087" s="49" t="n">
        <v>0</v>
      </c>
      <c r="W1087" s="50" t="n">
        <v>0</v>
      </c>
      <c r="X1087" s="51" t="n">
        <v>5</v>
      </c>
      <c r="Y1087" s="52" t="n">
        <v>1.37</v>
      </c>
      <c r="Z1087" s="52" t="n">
        <v>0</v>
      </c>
      <c r="AA1087" s="52" t="n">
        <v>0</v>
      </c>
      <c r="AB1087" s="53" t="n">
        <v>0.0007</v>
      </c>
      <c r="AC1087" s="52" t="n">
        <v>0.274</v>
      </c>
      <c r="AD1087" s="53" t="n">
        <v>0</v>
      </c>
      <c r="AE1087" s="52" t="n">
        <v>0</v>
      </c>
      <c r="AF1087" s="51" t="n">
        <v>6757</v>
      </c>
      <c r="AG1087" s="48" t="n">
        <v>0</v>
      </c>
      <c r="AH1087" s="49" t="n">
        <v>0</v>
      </c>
      <c r="AI1087" s="49" t="n">
        <v>0</v>
      </c>
      <c r="AJ1087" s="50" t="n">
        <v>0</v>
      </c>
      <c r="AK1087" s="51" t="n">
        <v>0</v>
      </c>
      <c r="AL1087" s="52" t="n">
        <v>0</v>
      </c>
      <c r="AM1087" s="52" t="n">
        <v>0</v>
      </c>
      <c r="AN1087" s="52" t="n">
        <v>0</v>
      </c>
      <c r="AO1087" s="53" t="n">
        <v>0</v>
      </c>
      <c r="AP1087" s="52" t="n">
        <v>0</v>
      </c>
      <c r="AQ1087" s="53" t="n">
        <v>0</v>
      </c>
      <c r="AR1087" s="52" t="n">
        <v>0</v>
      </c>
      <c r="AS1087" s="51" t="n">
        <v>0</v>
      </c>
      <c r="AT1087" s="48" t="n">
        <v>0</v>
      </c>
      <c r="AU1087" s="49" t="n">
        <v>0</v>
      </c>
      <c r="AV1087" s="49" t="n">
        <v>0</v>
      </c>
      <c r="AW1087" s="50" t="n">
        <v>0</v>
      </c>
      <c r="AX1087" s="51" t="n">
        <v>1</v>
      </c>
      <c r="AY1087" s="52" t="n">
        <v>0.31</v>
      </c>
      <c r="AZ1087" s="52" t="n">
        <v>0</v>
      </c>
      <c r="BA1087" s="52" t="n">
        <v>0</v>
      </c>
      <c r="BB1087" s="53" t="n">
        <v>0.0004</v>
      </c>
      <c r="BC1087" s="52" t="n">
        <v>0.31</v>
      </c>
      <c r="BD1087" s="53" t="n">
        <v>0</v>
      </c>
      <c r="BE1087" s="52" t="n">
        <v>0</v>
      </c>
      <c r="BF1087" s="51" t="n">
        <v>2389</v>
      </c>
    </row>
    <row r="1088">
      <c r="A1088">
        <f>HYPERLINK("https://www.walmart.com/ip/649477384", "649477384")</f>
        <v/>
      </c>
      <c r="B1088" t="inlineStr">
        <is>
          <t>Mens Underwear Mens Boxer Briefs with Elastic Waistband Solid New Classic Fit, 3 Pack by Terra</t>
        </is>
      </c>
      <c r="C1088" t="inlineStr">
        <is>
          <t>TERRA-BOXER4-M</t>
        </is>
      </c>
      <c r="D1088" t="inlineStr">
        <is>
          <t>Underpants</t>
        </is>
      </c>
      <c r="E1088" t="inlineStr">
        <is>
          <t>Terra</t>
        </is>
      </c>
      <c r="F1088" t="inlineStr">
        <is>
          <t>Batch 1 - TR</t>
        </is>
      </c>
      <c r="G1088" s="48" t="n">
        <v>0</v>
      </c>
      <c r="H1088" s="49" t="n">
        <v>0</v>
      </c>
      <c r="I1088" s="49" t="n">
        <v>0</v>
      </c>
      <c r="J1088" s="50" t="n">
        <v>0</v>
      </c>
      <c r="K1088" s="51" t="n">
        <v>0</v>
      </c>
      <c r="L1088" s="52" t="n">
        <v>0</v>
      </c>
      <c r="M1088" s="52" t="n">
        <v>0</v>
      </c>
      <c r="N1088" s="52" t="n">
        <v>0</v>
      </c>
      <c r="O1088" s="53" t="n">
        <v>0</v>
      </c>
      <c r="P1088" s="52" t="n">
        <v>0</v>
      </c>
      <c r="Q1088" s="53" t="n">
        <v>0</v>
      </c>
      <c r="R1088" s="52" t="n">
        <v>0</v>
      </c>
      <c r="S1088" s="51" t="n">
        <v>0</v>
      </c>
      <c r="T1088" s="48" t="n">
        <v>0</v>
      </c>
      <c r="U1088" s="49" t="n">
        <v>0</v>
      </c>
      <c r="V1088" s="49" t="n">
        <v>0</v>
      </c>
      <c r="W1088" s="50" t="n">
        <v>0</v>
      </c>
      <c r="X1088" s="51" t="n">
        <v>0</v>
      </c>
      <c r="Y1088" s="52" t="n">
        <v>0</v>
      </c>
      <c r="Z1088" s="52" t="n">
        <v>0</v>
      </c>
      <c r="AA1088" s="52" t="n">
        <v>0</v>
      </c>
      <c r="AB1088" s="53" t="n">
        <v>0</v>
      </c>
      <c r="AC1088" s="52" t="n">
        <v>0</v>
      </c>
      <c r="AD1088" s="53" t="n">
        <v>0</v>
      </c>
      <c r="AE1088" s="52" t="n">
        <v>0</v>
      </c>
      <c r="AF1088" s="51" t="n">
        <v>0</v>
      </c>
      <c r="AG1088" s="48" t="n">
        <v>0</v>
      </c>
      <c r="AH1088" s="49" t="n">
        <v>0</v>
      </c>
      <c r="AI1088" s="49" t="n">
        <v>0</v>
      </c>
      <c r="AJ1088" s="50" t="n">
        <v>0</v>
      </c>
      <c r="AK1088" s="51" t="n">
        <v>0</v>
      </c>
      <c r="AL1088" s="52" t="n">
        <v>0</v>
      </c>
      <c r="AM1088" s="52" t="n">
        <v>0</v>
      </c>
      <c r="AN1088" s="52" t="n">
        <v>0</v>
      </c>
      <c r="AO1088" s="53" t="n">
        <v>0</v>
      </c>
      <c r="AP1088" s="52" t="n">
        <v>0</v>
      </c>
      <c r="AQ1088" s="53" t="n">
        <v>0</v>
      </c>
      <c r="AR1088" s="52" t="n">
        <v>0</v>
      </c>
      <c r="AS1088" s="51" t="n">
        <v>0</v>
      </c>
      <c r="AT1088" s="48" t="n">
        <v>0</v>
      </c>
      <c r="AU1088" s="49" t="n">
        <v>0</v>
      </c>
      <c r="AV1088" s="49" t="n">
        <v>0</v>
      </c>
      <c r="AW1088" s="50" t="n">
        <v>0</v>
      </c>
      <c r="AX1088" s="51" t="n">
        <v>0</v>
      </c>
      <c r="AY1088" s="52" t="n">
        <v>0</v>
      </c>
      <c r="AZ1088" s="52" t="n">
        <v>0</v>
      </c>
      <c r="BA1088" s="52" t="n">
        <v>0</v>
      </c>
      <c r="BB1088" s="53" t="n">
        <v>0</v>
      </c>
      <c r="BC1088" s="52" t="n">
        <v>0</v>
      </c>
      <c r="BD1088" s="53" t="n">
        <v>0</v>
      </c>
      <c r="BE1088" s="52" t="n">
        <v>0</v>
      </c>
      <c r="BF1088" s="51" t="n">
        <v>0</v>
      </c>
    </row>
    <row r="1089">
      <c r="A1089">
        <f>HYPERLINK("https://www.walmart.com/ip/652262501", "652262501")</f>
        <v/>
      </c>
      <c r="B1089" t="inlineStr">
        <is>
          <t>Catalonia Women’s Sherpa Hoodie Sweatshirt Dress, Casual Snuggle Wearable Blanket Pullover Sweater with Kangaroo Pocket, Warm and Soft, Gift for Her, Black</t>
        </is>
      </c>
      <c r="C1089" t="inlineStr">
        <is>
          <t>1CTHD532BK</t>
        </is>
      </c>
      <c r="D1089" t="inlineStr">
        <is>
          <t>Sweatshirts &amp; Hoodies</t>
        </is>
      </c>
      <c r="E1089" t="inlineStr">
        <is>
          <t>Catalonia</t>
        </is>
      </c>
      <c r="F1089" t="inlineStr">
        <is>
          <t>Hoodie ForAdult,Optimized,High AUR Items</t>
        </is>
      </c>
      <c r="G1089" s="48" t="n">
        <v>0</v>
      </c>
      <c r="H1089" s="49" t="n">
        <v>0</v>
      </c>
      <c r="I1089" s="49" t="n">
        <v>0</v>
      </c>
      <c r="J1089" s="50" t="n">
        <v>0</v>
      </c>
      <c r="K1089" s="51" t="n">
        <v>0</v>
      </c>
      <c r="L1089" s="52" t="n">
        <v>0</v>
      </c>
      <c r="M1089" s="52" t="n">
        <v>0</v>
      </c>
      <c r="N1089" s="52" t="n">
        <v>0</v>
      </c>
      <c r="O1089" s="53" t="n">
        <v>0</v>
      </c>
      <c r="P1089" s="52" t="n">
        <v>0</v>
      </c>
      <c r="Q1089" s="53" t="n">
        <v>0</v>
      </c>
      <c r="R1089" s="52" t="n">
        <v>0</v>
      </c>
      <c r="S1089" s="51" t="n">
        <v>0</v>
      </c>
      <c r="T1089" s="48" t="n">
        <v>0</v>
      </c>
      <c r="U1089" s="49" t="n">
        <v>0</v>
      </c>
      <c r="V1089" s="49" t="n">
        <v>0</v>
      </c>
      <c r="W1089" s="50" t="n">
        <v>0</v>
      </c>
      <c r="X1089" s="51" t="n">
        <v>0</v>
      </c>
      <c r="Y1089" s="52" t="n">
        <v>0</v>
      </c>
      <c r="Z1089" s="52" t="n">
        <v>0</v>
      </c>
      <c r="AA1089" s="52" t="n">
        <v>0</v>
      </c>
      <c r="AB1089" s="53" t="n">
        <v>0</v>
      </c>
      <c r="AC1089" s="52" t="n">
        <v>0</v>
      </c>
      <c r="AD1089" s="53" t="n">
        <v>0</v>
      </c>
      <c r="AE1089" s="52" t="n">
        <v>0</v>
      </c>
      <c r="AF1089" s="51" t="n">
        <v>0</v>
      </c>
      <c r="AG1089" s="48" t="n">
        <v>0</v>
      </c>
      <c r="AH1089" s="49" t="n">
        <v>0</v>
      </c>
      <c r="AI1089" s="49" t="n">
        <v>0</v>
      </c>
      <c r="AJ1089" s="50" t="n">
        <v>0</v>
      </c>
      <c r="AK1089" s="51" t="n">
        <v>0</v>
      </c>
      <c r="AL1089" s="52" t="n">
        <v>0</v>
      </c>
      <c r="AM1089" s="52" t="n">
        <v>0</v>
      </c>
      <c r="AN1089" s="52" t="n">
        <v>0</v>
      </c>
      <c r="AO1089" s="53" t="n">
        <v>0</v>
      </c>
      <c r="AP1089" s="52" t="n">
        <v>0</v>
      </c>
      <c r="AQ1089" s="53" t="n">
        <v>0</v>
      </c>
      <c r="AR1089" s="52" t="n">
        <v>0</v>
      </c>
      <c r="AS1089" s="51" t="n">
        <v>0</v>
      </c>
      <c r="AT1089" s="48" t="n">
        <v>0</v>
      </c>
      <c r="AU1089" s="49" t="n">
        <v>0</v>
      </c>
      <c r="AV1089" s="49" t="n">
        <v>0</v>
      </c>
      <c r="AW1089" s="50" t="n">
        <v>0</v>
      </c>
      <c r="AX1089" s="51" t="n">
        <v>0</v>
      </c>
      <c r="AY1089" s="52" t="n">
        <v>0</v>
      </c>
      <c r="AZ1089" s="52" t="n">
        <v>0</v>
      </c>
      <c r="BA1089" s="52" t="n">
        <v>0</v>
      </c>
      <c r="BB1089" s="53" t="n">
        <v>0</v>
      </c>
      <c r="BC1089" s="52" t="n">
        <v>0</v>
      </c>
      <c r="BD1089" s="53" t="n">
        <v>0</v>
      </c>
      <c r="BE1089" s="52" t="n">
        <v>0</v>
      </c>
      <c r="BF1089" s="51" t="n">
        <v>0</v>
      </c>
    </row>
    <row r="1090">
      <c r="A1090">
        <f>HYPERLINK("https://www.walmart.com/ip/653030869", "653030869")</f>
        <v/>
      </c>
      <c r="B1090" t="inlineStr">
        <is>
          <t>Flyingstar Wearable Blanket with Sleeves and Pocket, Fleece Micro Plush Throws Blanket, Robe for Women and Men 73” x 51” Wine</t>
        </is>
      </c>
      <c r="C1090" t="inlineStr">
        <is>
          <t>1WMSN100WN</t>
        </is>
      </c>
      <c r="D1090" t="inlineStr">
        <is>
          <t>Throws</t>
        </is>
      </c>
      <c r="E1090" t="inlineStr">
        <is>
          <t>Flyingstar</t>
        </is>
      </c>
      <c r="F1090" t="inlineStr">
        <is>
          <t>Batch 1 - TR</t>
        </is>
      </c>
      <c r="G1090" s="48" t="n">
        <v>0</v>
      </c>
      <c r="H1090" s="49" t="n">
        <v>0</v>
      </c>
      <c r="I1090" s="49" t="n">
        <v>0</v>
      </c>
      <c r="J1090" s="50" t="n">
        <v>0</v>
      </c>
      <c r="K1090" s="51" t="n">
        <v>0</v>
      </c>
      <c r="L1090" s="52" t="n">
        <v>0</v>
      </c>
      <c r="M1090" s="52" t="n">
        <v>0</v>
      </c>
      <c r="N1090" s="52" t="n">
        <v>0</v>
      </c>
      <c r="O1090" s="53" t="n">
        <v>0</v>
      </c>
      <c r="P1090" s="52" t="n">
        <v>0</v>
      </c>
      <c r="Q1090" s="53" t="n">
        <v>0</v>
      </c>
      <c r="R1090" s="52" t="n">
        <v>0</v>
      </c>
      <c r="S1090" s="51" t="n">
        <v>0</v>
      </c>
      <c r="T1090" s="48" t="n">
        <v>0</v>
      </c>
      <c r="U1090" s="49" t="n">
        <v>0</v>
      </c>
      <c r="V1090" s="49" t="n">
        <v>0</v>
      </c>
      <c r="W1090" s="50" t="n">
        <v>0</v>
      </c>
      <c r="X1090" s="51" t="n">
        <v>0</v>
      </c>
      <c r="Y1090" s="52" t="n">
        <v>0</v>
      </c>
      <c r="Z1090" s="52" t="n">
        <v>0</v>
      </c>
      <c r="AA1090" s="52" t="n">
        <v>0</v>
      </c>
      <c r="AB1090" s="53" t="n">
        <v>0</v>
      </c>
      <c r="AC1090" s="52" t="n">
        <v>0</v>
      </c>
      <c r="AD1090" s="53" t="n">
        <v>0</v>
      </c>
      <c r="AE1090" s="52" t="n">
        <v>0</v>
      </c>
      <c r="AF1090" s="51" t="n">
        <v>0</v>
      </c>
      <c r="AG1090" s="48" t="n">
        <v>0</v>
      </c>
      <c r="AH1090" s="49" t="n">
        <v>0</v>
      </c>
      <c r="AI1090" s="49" t="n">
        <v>0</v>
      </c>
      <c r="AJ1090" s="50" t="n">
        <v>0</v>
      </c>
      <c r="AK1090" s="51" t="n">
        <v>0</v>
      </c>
      <c r="AL1090" s="52" t="n">
        <v>0</v>
      </c>
      <c r="AM1090" s="52" t="n">
        <v>0</v>
      </c>
      <c r="AN1090" s="52" t="n">
        <v>0</v>
      </c>
      <c r="AO1090" s="53" t="n">
        <v>0</v>
      </c>
      <c r="AP1090" s="52" t="n">
        <v>0</v>
      </c>
      <c r="AQ1090" s="53" t="n">
        <v>0</v>
      </c>
      <c r="AR1090" s="52" t="n">
        <v>0</v>
      </c>
      <c r="AS1090" s="51" t="n">
        <v>0</v>
      </c>
      <c r="AT1090" s="48" t="n">
        <v>0</v>
      </c>
      <c r="AU1090" s="49" t="n">
        <v>0</v>
      </c>
      <c r="AV1090" s="49" t="n">
        <v>0</v>
      </c>
      <c r="AW1090" s="50" t="n">
        <v>0</v>
      </c>
      <c r="AX1090" s="51" t="n">
        <v>0</v>
      </c>
      <c r="AY1090" s="52" t="n">
        <v>0</v>
      </c>
      <c r="AZ1090" s="52" t="n">
        <v>0</v>
      </c>
      <c r="BA1090" s="52" t="n">
        <v>0</v>
      </c>
      <c r="BB1090" s="53" t="n">
        <v>0</v>
      </c>
      <c r="BC1090" s="52" t="n">
        <v>0</v>
      </c>
      <c r="BD1090" s="53" t="n">
        <v>0</v>
      </c>
      <c r="BE1090" s="52" t="n">
        <v>0</v>
      </c>
      <c r="BF1090" s="51" t="n">
        <v>0</v>
      </c>
    </row>
    <row r="1091">
      <c r="A1091">
        <f>HYPERLINK("https://www.walmart.com/ip/653031662", "653031662")</f>
        <v/>
      </c>
      <c r="B1091" t="inlineStr">
        <is>
          <t>Catalonia Hooded Wearable Blanket Poncho for Adult Women Men, Fleece Wrap Blanket Cape with Hood | Warm, Soft, Cozy, Snuggly | Comfort Gift, No Sleeves, Navy</t>
        </is>
      </c>
      <c r="C1091" t="inlineStr">
        <is>
          <t>1CTBP120NY</t>
        </is>
      </c>
      <c r="D1091" t="inlineStr">
        <is>
          <t>Throws</t>
        </is>
      </c>
      <c r="E1091" t="inlineStr">
        <is>
          <t>Catalonia</t>
        </is>
      </c>
      <c r="F1091" t="inlineStr">
        <is>
          <t>Q2-Target,Hero 5 Holidays,WFS,WFS Item</t>
        </is>
      </c>
      <c r="G1091" s="48" t="n">
        <v>0</v>
      </c>
      <c r="H1091" s="49" t="n">
        <v>0</v>
      </c>
      <c r="I1091" s="49" t="n">
        <v>0</v>
      </c>
      <c r="J1091" s="50" t="n">
        <v>0</v>
      </c>
      <c r="K1091" s="51" t="n">
        <v>10</v>
      </c>
      <c r="L1091" s="52" t="n">
        <v>2.92</v>
      </c>
      <c r="M1091" s="52" t="n">
        <v>0</v>
      </c>
      <c r="N1091" s="52" t="n">
        <v>0</v>
      </c>
      <c r="O1091" s="53" t="n">
        <v>0.0028</v>
      </c>
      <c r="P1091" s="52" t="n">
        <v>0.292</v>
      </c>
      <c r="Q1091" s="53" t="n">
        <v>0</v>
      </c>
      <c r="R1091" s="52" t="n">
        <v>0</v>
      </c>
      <c r="S1091" s="51" t="n">
        <v>3570</v>
      </c>
      <c r="T1091" s="48" t="n">
        <v>0</v>
      </c>
      <c r="U1091" s="49" t="n">
        <v>0</v>
      </c>
      <c r="V1091" s="49" t="n">
        <v>0</v>
      </c>
      <c r="W1091" s="50" t="n">
        <v>0</v>
      </c>
      <c r="X1091" s="51" t="n">
        <v>0</v>
      </c>
      <c r="Y1091" s="52" t="n">
        <v>0</v>
      </c>
      <c r="Z1091" s="52" t="n">
        <v>0</v>
      </c>
      <c r="AA1091" s="52" t="n">
        <v>0</v>
      </c>
      <c r="AB1091" s="53" t="n">
        <v>0</v>
      </c>
      <c r="AC1091" s="52" t="n">
        <v>0</v>
      </c>
      <c r="AD1091" s="53" t="n">
        <v>0</v>
      </c>
      <c r="AE1091" s="52" t="n">
        <v>0</v>
      </c>
      <c r="AF1091" s="51" t="n">
        <v>0</v>
      </c>
      <c r="AG1091" s="48" t="n">
        <v>0</v>
      </c>
      <c r="AH1091" s="49" t="n">
        <v>0</v>
      </c>
      <c r="AI1091" s="49" t="n">
        <v>0</v>
      </c>
      <c r="AJ1091" s="50" t="n">
        <v>0</v>
      </c>
      <c r="AK1091" s="51" t="n">
        <v>0</v>
      </c>
      <c r="AL1091" s="52" t="n">
        <v>0</v>
      </c>
      <c r="AM1091" s="52" t="n">
        <v>0</v>
      </c>
      <c r="AN1091" s="52" t="n">
        <v>0</v>
      </c>
      <c r="AO1091" s="53" t="n">
        <v>0</v>
      </c>
      <c r="AP1091" s="52" t="n">
        <v>0</v>
      </c>
      <c r="AQ1091" s="53" t="n">
        <v>0</v>
      </c>
      <c r="AR1091" s="52" t="n">
        <v>0</v>
      </c>
      <c r="AS1091" s="51" t="n">
        <v>0</v>
      </c>
      <c r="AT1091" s="48" t="n">
        <v>0</v>
      </c>
      <c r="AU1091" s="49" t="n">
        <v>0</v>
      </c>
      <c r="AV1091" s="49" t="n">
        <v>1</v>
      </c>
      <c r="AW1091" s="50" t="n">
        <v>0</v>
      </c>
      <c r="AX1091" s="51" t="n">
        <v>0</v>
      </c>
      <c r="AY1091" s="52" t="n">
        <v>0</v>
      </c>
      <c r="AZ1091" s="52" t="n">
        <v>0</v>
      </c>
      <c r="BA1091" s="52" t="n">
        <v>0</v>
      </c>
      <c r="BB1091" s="53" t="n">
        <v>0</v>
      </c>
      <c r="BC1091" s="52" t="n">
        <v>0</v>
      </c>
      <c r="BD1091" s="53" t="n">
        <v>0</v>
      </c>
      <c r="BE1091" s="52" t="n">
        <v>0</v>
      </c>
      <c r="BF1091" s="51" t="n">
        <v>0</v>
      </c>
    </row>
    <row r="1092">
      <c r="A1092">
        <f>HYPERLINK("https://www.walmart.com/ip/653063425", "653063425")</f>
        <v/>
      </c>
      <c r="B1092" t="inlineStr">
        <is>
          <t>Single Wine Cooler Bags - Insulated &amp; Padded Portable Wine Tote Carrier for Travel, BYOB Restaurant, Wine Tasting, Party, Great Christmas Gift for Wine Lover, Black</t>
        </is>
      </c>
      <c r="C1092" t="inlineStr">
        <is>
          <t>1WMWB101BK</t>
        </is>
      </c>
      <c r="D1092" t="inlineStr">
        <is>
          <t>Wine Totes, Bags &amp; Backpacks</t>
        </is>
      </c>
      <c r="E1092" t="inlineStr">
        <is>
          <t>Flyingstar</t>
        </is>
      </c>
      <c r="F1092" t="inlineStr">
        <is>
          <t>Wine,Christmas,Optimized,Valentine,SEM</t>
        </is>
      </c>
      <c r="G1092" s="48" t="n">
        <v>0</v>
      </c>
      <c r="H1092" s="49" t="n">
        <v>0</v>
      </c>
      <c r="I1092" s="49" t="n">
        <v>0</v>
      </c>
      <c r="J1092" s="50" t="n">
        <v>0</v>
      </c>
      <c r="K1092" s="51" t="n">
        <v>0</v>
      </c>
      <c r="L1092" s="52" t="n">
        <v>0</v>
      </c>
      <c r="M1092" s="52" t="n">
        <v>0</v>
      </c>
      <c r="N1092" s="52" t="n">
        <v>0</v>
      </c>
      <c r="O1092" s="53" t="n">
        <v>0</v>
      </c>
      <c r="P1092" s="52" t="n">
        <v>0</v>
      </c>
      <c r="Q1092" s="53" t="n">
        <v>0</v>
      </c>
      <c r="R1092" s="52" t="n">
        <v>0</v>
      </c>
      <c r="S1092" s="51" t="n">
        <v>0</v>
      </c>
      <c r="T1092" s="48" t="n">
        <v>16.99</v>
      </c>
      <c r="U1092" s="49" t="n">
        <v>1</v>
      </c>
      <c r="V1092" s="49" t="n">
        <v>0</v>
      </c>
      <c r="W1092" s="50" t="n">
        <v>0</v>
      </c>
      <c r="X1092" s="51" t="n">
        <v>0</v>
      </c>
      <c r="Y1092" s="52" t="n">
        <v>0</v>
      </c>
      <c r="Z1092" s="52" t="n">
        <v>0</v>
      </c>
      <c r="AA1092" s="52" t="n">
        <v>0</v>
      </c>
      <c r="AB1092" s="53" t="n">
        <v>0</v>
      </c>
      <c r="AC1092" s="52" t="n">
        <v>0</v>
      </c>
      <c r="AD1092" s="53" t="n">
        <v>0</v>
      </c>
      <c r="AE1092" s="52" t="n">
        <v>16.99</v>
      </c>
      <c r="AF1092" s="51" t="n">
        <v>0</v>
      </c>
      <c r="AG1092" s="48" t="n">
        <v>0</v>
      </c>
      <c r="AH1092" s="49" t="n">
        <v>0</v>
      </c>
      <c r="AI1092" s="49" t="n">
        <v>0</v>
      </c>
      <c r="AJ1092" s="50" t="n">
        <v>0</v>
      </c>
      <c r="AK1092" s="51" t="n">
        <v>0</v>
      </c>
      <c r="AL1092" s="52" t="n">
        <v>0</v>
      </c>
      <c r="AM1092" s="52" t="n">
        <v>0</v>
      </c>
      <c r="AN1092" s="52" t="n">
        <v>0</v>
      </c>
      <c r="AO1092" s="53" t="n">
        <v>0</v>
      </c>
      <c r="AP1092" s="52" t="n">
        <v>0</v>
      </c>
      <c r="AQ1092" s="53" t="n">
        <v>0</v>
      </c>
      <c r="AR1092" s="52" t="n">
        <v>0</v>
      </c>
      <c r="AS1092" s="51" t="n">
        <v>0</v>
      </c>
      <c r="AT1092" s="48" t="n">
        <v>0</v>
      </c>
      <c r="AU1092" s="49" t="n">
        <v>0</v>
      </c>
      <c r="AV1092" s="49" t="n">
        <v>0</v>
      </c>
      <c r="AW1092" s="50" t="n">
        <v>0</v>
      </c>
      <c r="AX1092" s="51" t="n">
        <v>0</v>
      </c>
      <c r="AY1092" s="52" t="n">
        <v>0</v>
      </c>
      <c r="AZ1092" s="52" t="n">
        <v>0</v>
      </c>
      <c r="BA1092" s="52" t="n">
        <v>0</v>
      </c>
      <c r="BB1092" s="53" t="n">
        <v>0</v>
      </c>
      <c r="BC1092" s="52" t="n">
        <v>0</v>
      </c>
      <c r="BD1092" s="53" t="n">
        <v>0</v>
      </c>
      <c r="BE1092" s="52" t="n">
        <v>0</v>
      </c>
      <c r="BF1092" s="51" t="n">
        <v>0</v>
      </c>
    </row>
    <row r="1093">
      <c r="A1093">
        <f>HYPERLINK("https://www.walmart.com/ip/653774365", "653774365")</f>
        <v/>
      </c>
      <c r="B1093" t="inlineStr">
        <is>
          <t>Catalonia Sherpa Fleece Throw Cozy Fuzzy Jacquard Fluffy Blanket 50x60 inches, for the Couch Bed | Comfy Warm Heavy | Comfort Caring Gift0</t>
        </is>
      </c>
      <c r="C1093" t="inlineStr">
        <is>
          <t>1CTBF573BLTILE</t>
        </is>
      </c>
      <c r="D1093" t="inlineStr">
        <is>
          <t>Throws</t>
        </is>
      </c>
      <c r="E1093" t="inlineStr">
        <is>
          <t>Catalonia</t>
        </is>
      </c>
      <c r="F1093" t="inlineStr">
        <is>
          <t>Q2-Target,Optimized,WFS,WFS Item</t>
        </is>
      </c>
      <c r="G1093" s="48" t="n">
        <v>0</v>
      </c>
      <c r="H1093" s="49" t="n">
        <v>0</v>
      </c>
      <c r="I1093" s="49" t="n">
        <v>0</v>
      </c>
      <c r="J1093" s="50" t="n">
        <v>0</v>
      </c>
      <c r="K1093" s="51" t="n">
        <v>0</v>
      </c>
      <c r="L1093" s="52" t="n">
        <v>0</v>
      </c>
      <c r="M1093" s="52" t="n">
        <v>0</v>
      </c>
      <c r="N1093" s="52" t="n">
        <v>0</v>
      </c>
      <c r="O1093" s="53" t="n">
        <v>0</v>
      </c>
      <c r="P1093" s="52" t="n">
        <v>0</v>
      </c>
      <c r="Q1093" s="53" t="n">
        <v>0</v>
      </c>
      <c r="R1093" s="52" t="n">
        <v>0</v>
      </c>
      <c r="S1093" s="51" t="n">
        <v>0</v>
      </c>
      <c r="T1093" s="48" t="n">
        <v>0</v>
      </c>
      <c r="U1093" s="49" t="n">
        <v>0</v>
      </c>
      <c r="V1093" s="49" t="n">
        <v>0</v>
      </c>
      <c r="W1093" s="50" t="n">
        <v>0</v>
      </c>
      <c r="X1093" s="51" t="n">
        <v>0</v>
      </c>
      <c r="Y1093" s="52" t="n">
        <v>0</v>
      </c>
      <c r="Z1093" s="52" t="n">
        <v>0</v>
      </c>
      <c r="AA1093" s="52" t="n">
        <v>0</v>
      </c>
      <c r="AB1093" s="53" t="n">
        <v>0</v>
      </c>
      <c r="AC1093" s="52" t="n">
        <v>0</v>
      </c>
      <c r="AD1093" s="53" t="n">
        <v>0</v>
      </c>
      <c r="AE1093" s="52" t="n">
        <v>0</v>
      </c>
      <c r="AF1093" s="51" t="n">
        <v>0</v>
      </c>
      <c r="AG1093" s="48" t="n">
        <v>0</v>
      </c>
      <c r="AH1093" s="49" t="n">
        <v>0</v>
      </c>
      <c r="AI1093" s="49" t="n">
        <v>0</v>
      </c>
      <c r="AJ1093" s="50" t="n">
        <v>0</v>
      </c>
      <c r="AK1093" s="51" t="n">
        <v>0</v>
      </c>
      <c r="AL1093" s="52" t="n">
        <v>0</v>
      </c>
      <c r="AM1093" s="52" t="n">
        <v>0</v>
      </c>
      <c r="AN1093" s="52" t="n">
        <v>0</v>
      </c>
      <c r="AO1093" s="53" t="n">
        <v>0</v>
      </c>
      <c r="AP1093" s="52" t="n">
        <v>0</v>
      </c>
      <c r="AQ1093" s="53" t="n">
        <v>0</v>
      </c>
      <c r="AR1093" s="52" t="n">
        <v>0</v>
      </c>
      <c r="AS1093" s="51" t="n">
        <v>0</v>
      </c>
      <c r="AT1093" s="48" t="n">
        <v>0</v>
      </c>
      <c r="AU1093" s="49" t="n">
        <v>0</v>
      </c>
      <c r="AV1093" s="49" t="n">
        <v>0</v>
      </c>
      <c r="AW1093" s="50" t="n">
        <v>0</v>
      </c>
      <c r="AX1093" s="51" t="n">
        <v>0</v>
      </c>
      <c r="AY1093" s="52" t="n">
        <v>0</v>
      </c>
      <c r="AZ1093" s="52" t="n">
        <v>0</v>
      </c>
      <c r="BA1093" s="52" t="n">
        <v>0</v>
      </c>
      <c r="BB1093" s="53" t="n">
        <v>0</v>
      </c>
      <c r="BC1093" s="52" t="n">
        <v>0</v>
      </c>
      <c r="BD1093" s="53" t="n">
        <v>0</v>
      </c>
      <c r="BE1093" s="52" t="n">
        <v>0</v>
      </c>
      <c r="BF1093" s="51" t="n">
        <v>0</v>
      </c>
    </row>
    <row r="1094">
      <c r="A1094">
        <f>HYPERLINK("https://www.walmart.com/ip/654577091", "654577091")</f>
        <v/>
      </c>
      <c r="B1094" t="inlineStr">
        <is>
          <t>Large Dog Blanket, Super Soft Fluffy Sherpa Fleece Dog Couch Blankets and Throws for Large Medium  Small Dogs Puppy Doggy Pet Cats, Latte</t>
        </is>
      </c>
      <c r="C1094" t="inlineStr">
        <is>
          <t>1PSBF560LTLT</t>
        </is>
      </c>
      <c r="D1094" t="inlineStr">
        <is>
          <t>Pet Blankets</t>
        </is>
      </c>
      <c r="E1094" t="inlineStr">
        <is>
          <t>Pawsse</t>
        </is>
      </c>
      <c r="F1094" t="inlineStr">
        <is>
          <t>Q2-Target,Optimized,WFS,WFS Item</t>
        </is>
      </c>
      <c r="G1094" s="48" t="n">
        <v>0</v>
      </c>
      <c r="H1094" s="49" t="n">
        <v>0</v>
      </c>
      <c r="I1094" s="49" t="n">
        <v>0</v>
      </c>
      <c r="J1094" s="50" t="n">
        <v>0</v>
      </c>
      <c r="K1094" s="51" t="n">
        <v>0</v>
      </c>
      <c r="L1094" s="52" t="n">
        <v>0</v>
      </c>
      <c r="M1094" s="52" t="n">
        <v>0</v>
      </c>
      <c r="N1094" s="52" t="n">
        <v>0</v>
      </c>
      <c r="O1094" s="53" t="n">
        <v>0</v>
      </c>
      <c r="P1094" s="52" t="n">
        <v>0</v>
      </c>
      <c r="Q1094" s="53" t="n">
        <v>0</v>
      </c>
      <c r="R1094" s="52" t="n">
        <v>0</v>
      </c>
      <c r="S1094" s="51" t="n">
        <v>793</v>
      </c>
      <c r="T1094" s="48" t="n">
        <v>0</v>
      </c>
      <c r="U1094" s="49" t="n">
        <v>0</v>
      </c>
      <c r="V1094" s="49" t="n">
        <v>0</v>
      </c>
      <c r="W1094" s="50" t="n">
        <v>0</v>
      </c>
      <c r="X1094" s="51" t="n">
        <v>0</v>
      </c>
      <c r="Y1094" s="52" t="n">
        <v>0</v>
      </c>
      <c r="Z1094" s="52" t="n">
        <v>0</v>
      </c>
      <c r="AA1094" s="52" t="n">
        <v>0</v>
      </c>
      <c r="AB1094" s="53" t="n">
        <v>0</v>
      </c>
      <c r="AC1094" s="52" t="n">
        <v>0</v>
      </c>
      <c r="AD1094" s="53" t="n">
        <v>0</v>
      </c>
      <c r="AE1094" s="52" t="n">
        <v>0</v>
      </c>
      <c r="AF1094" s="51" t="n">
        <v>1147</v>
      </c>
      <c r="AG1094" s="48" t="n">
        <v>0</v>
      </c>
      <c r="AH1094" s="49" t="n">
        <v>0</v>
      </c>
      <c r="AI1094" s="49" t="n">
        <v>0</v>
      </c>
      <c r="AJ1094" s="50" t="n">
        <v>0</v>
      </c>
      <c r="AK1094" s="51" t="n">
        <v>0</v>
      </c>
      <c r="AL1094" s="52" t="n">
        <v>0</v>
      </c>
      <c r="AM1094" s="52" t="n">
        <v>0</v>
      </c>
      <c r="AN1094" s="52" t="n">
        <v>0</v>
      </c>
      <c r="AO1094" s="53" t="n">
        <v>0</v>
      </c>
      <c r="AP1094" s="52" t="n">
        <v>0</v>
      </c>
      <c r="AQ1094" s="53" t="n">
        <v>0</v>
      </c>
      <c r="AR1094" s="52" t="n">
        <v>0</v>
      </c>
      <c r="AS1094" s="51" t="n">
        <v>672</v>
      </c>
      <c r="AT1094" s="48" t="n">
        <v>0</v>
      </c>
      <c r="AU1094" s="49" t="n">
        <v>0</v>
      </c>
      <c r="AV1094" s="49" t="n">
        <v>0</v>
      </c>
      <c r="AW1094" s="50" t="n">
        <v>0</v>
      </c>
      <c r="AX1094" s="51" t="n">
        <v>1</v>
      </c>
      <c r="AY1094" s="52" t="n">
        <v>0.24</v>
      </c>
      <c r="AZ1094" s="52" t="n">
        <v>0</v>
      </c>
      <c r="BA1094" s="52" t="n">
        <v>0</v>
      </c>
      <c r="BB1094" s="53" t="n">
        <v>0.0007</v>
      </c>
      <c r="BC1094" s="52" t="n">
        <v>0.24</v>
      </c>
      <c r="BD1094" s="53" t="n">
        <v>0</v>
      </c>
      <c r="BE1094" s="52" t="n">
        <v>0</v>
      </c>
      <c r="BF1094" s="51" t="n">
        <v>1334</v>
      </c>
    </row>
    <row r="1095">
      <c r="A1095">
        <f>HYPERLINK("https://www.walmart.com/ip/655001568", "655001568")</f>
        <v/>
      </c>
      <c r="B1095" t="inlineStr">
        <is>
          <t>Solaris Womens Bucket Hat UV Sun Protection Lightweight Packable Summer Travel Beach Cap,Kahki</t>
        </is>
      </c>
      <c r="C1095" t="inlineStr">
        <is>
          <t>1SLSH189KK</t>
        </is>
      </c>
      <c r="D1095" t="inlineStr">
        <is>
          <t>Hats</t>
        </is>
      </c>
      <c r="E1095" t="inlineStr">
        <is>
          <t>Solaris</t>
        </is>
      </c>
      <c r="F1095" t="inlineStr">
        <is>
          <t>Hats,Batch 1 - TR</t>
        </is>
      </c>
      <c r="G1095" s="48" t="n">
        <v>0</v>
      </c>
      <c r="H1095" s="49" t="n">
        <v>0</v>
      </c>
      <c r="I1095" s="49" t="n">
        <v>0</v>
      </c>
      <c r="J1095" s="50" t="n">
        <v>0</v>
      </c>
      <c r="K1095" s="51" t="n">
        <v>0</v>
      </c>
      <c r="L1095" s="52" t="n">
        <v>0</v>
      </c>
      <c r="M1095" s="52" t="n">
        <v>0</v>
      </c>
      <c r="N1095" s="52" t="n">
        <v>0</v>
      </c>
      <c r="O1095" s="53" t="n">
        <v>0</v>
      </c>
      <c r="P1095" s="52" t="n">
        <v>0</v>
      </c>
      <c r="Q1095" s="53" t="n">
        <v>0</v>
      </c>
      <c r="R1095" s="52" t="n">
        <v>0</v>
      </c>
      <c r="S1095" s="51" t="n">
        <v>0</v>
      </c>
      <c r="T1095" s="48" t="n">
        <v>9.99</v>
      </c>
      <c r="U1095" s="49" t="n">
        <v>1</v>
      </c>
      <c r="V1095" s="49" t="n">
        <v>0</v>
      </c>
      <c r="W1095" s="50" t="n">
        <v>0</v>
      </c>
      <c r="X1095" s="51" t="n">
        <v>0</v>
      </c>
      <c r="Y1095" s="52" t="n">
        <v>0</v>
      </c>
      <c r="Z1095" s="52" t="n">
        <v>0</v>
      </c>
      <c r="AA1095" s="52" t="n">
        <v>0</v>
      </c>
      <c r="AB1095" s="53" t="n">
        <v>0</v>
      </c>
      <c r="AC1095" s="52" t="n">
        <v>0</v>
      </c>
      <c r="AD1095" s="53" t="n">
        <v>0</v>
      </c>
      <c r="AE1095" s="52" t="n">
        <v>9.99</v>
      </c>
      <c r="AF1095" s="51" t="n">
        <v>0</v>
      </c>
      <c r="AG1095" s="48" t="n">
        <v>0</v>
      </c>
      <c r="AH1095" s="49" t="n">
        <v>0</v>
      </c>
      <c r="AI1095" s="49" t="n">
        <v>0</v>
      </c>
      <c r="AJ1095" s="50" t="n">
        <v>0</v>
      </c>
      <c r="AK1095" s="51" t="n">
        <v>0</v>
      </c>
      <c r="AL1095" s="52" t="n">
        <v>0</v>
      </c>
      <c r="AM1095" s="52" t="n">
        <v>0</v>
      </c>
      <c r="AN1095" s="52" t="n">
        <v>0</v>
      </c>
      <c r="AO1095" s="53" t="n">
        <v>0</v>
      </c>
      <c r="AP1095" s="52" t="n">
        <v>0</v>
      </c>
      <c r="AQ1095" s="53" t="n">
        <v>0</v>
      </c>
      <c r="AR1095" s="52" t="n">
        <v>0</v>
      </c>
      <c r="AS1095" s="51" t="n">
        <v>0</v>
      </c>
      <c r="AT1095" s="48" t="n">
        <v>0</v>
      </c>
      <c r="AU1095" s="49" t="n">
        <v>0</v>
      </c>
      <c r="AV1095" s="49" t="n">
        <v>0</v>
      </c>
      <c r="AW1095" s="50" t="n">
        <v>0</v>
      </c>
      <c r="AX1095" s="51" t="n">
        <v>0</v>
      </c>
      <c r="AY1095" s="52" t="n">
        <v>0</v>
      </c>
      <c r="AZ1095" s="52" t="n">
        <v>0</v>
      </c>
      <c r="BA1095" s="52" t="n">
        <v>0</v>
      </c>
      <c r="BB1095" s="53" t="n">
        <v>0</v>
      </c>
      <c r="BC1095" s="52" t="n">
        <v>0</v>
      </c>
      <c r="BD1095" s="53" t="n">
        <v>0</v>
      </c>
      <c r="BE1095" s="52" t="n">
        <v>0</v>
      </c>
      <c r="BF1095" s="51" t="n">
        <v>0</v>
      </c>
    </row>
    <row r="1096">
      <c r="A1096">
        <f>HYPERLINK("https://www.walmart.com/ip/644251416", "644251416")</f>
        <v/>
      </c>
      <c r="B1096" t="inlineStr">
        <is>
          <t>Terra Men Boxer Brief Underwear Best 3 Pack Most Comfortable Cotton Trunk Short</t>
        </is>
      </c>
      <c r="C1096" t="inlineStr">
        <is>
          <t>TERRA-BOXER9-L</t>
        </is>
      </c>
      <c r="D1096" t="inlineStr">
        <is>
          <t>Underpants</t>
        </is>
      </c>
      <c r="E1096" t="inlineStr">
        <is>
          <t>Terra</t>
        </is>
      </c>
      <c r="F1096" t="inlineStr">
        <is>
          <t>Batch 1 - TR</t>
        </is>
      </c>
      <c r="G1096" s="48" t="n">
        <v>0</v>
      </c>
      <c r="H1096" s="49" t="n">
        <v>0</v>
      </c>
      <c r="I1096" s="49" t="n">
        <v>0</v>
      </c>
      <c r="J1096" s="50" t="n">
        <v>0</v>
      </c>
      <c r="K1096" s="51" t="n">
        <v>0</v>
      </c>
      <c r="L1096" s="52" t="n">
        <v>0</v>
      </c>
      <c r="M1096" s="52" t="n">
        <v>0</v>
      </c>
      <c r="N1096" s="52" t="n">
        <v>0</v>
      </c>
      <c r="O1096" s="53" t="n">
        <v>0</v>
      </c>
      <c r="P1096" s="52" t="n">
        <v>0</v>
      </c>
      <c r="Q1096" s="53" t="n">
        <v>0</v>
      </c>
      <c r="R1096" s="52" t="n">
        <v>0</v>
      </c>
      <c r="S1096" s="51" t="n">
        <v>0</v>
      </c>
      <c r="T1096" s="48" t="n">
        <v>0</v>
      </c>
      <c r="U1096" s="49" t="n">
        <v>0</v>
      </c>
      <c r="V1096" s="49" t="n">
        <v>0</v>
      </c>
      <c r="W1096" s="50" t="n">
        <v>0</v>
      </c>
      <c r="X1096" s="51" t="n">
        <v>0</v>
      </c>
      <c r="Y1096" s="52" t="n">
        <v>0</v>
      </c>
      <c r="Z1096" s="52" t="n">
        <v>0</v>
      </c>
      <c r="AA1096" s="52" t="n">
        <v>0</v>
      </c>
      <c r="AB1096" s="53" t="n">
        <v>0</v>
      </c>
      <c r="AC1096" s="52" t="n">
        <v>0</v>
      </c>
      <c r="AD1096" s="53" t="n">
        <v>0</v>
      </c>
      <c r="AE1096" s="52" t="n">
        <v>0</v>
      </c>
      <c r="AF1096" s="51" t="n">
        <v>0</v>
      </c>
      <c r="AG1096" s="48" t="n">
        <v>0</v>
      </c>
      <c r="AH1096" s="49" t="n">
        <v>0</v>
      </c>
      <c r="AI1096" s="49" t="n">
        <v>0</v>
      </c>
      <c r="AJ1096" s="50" t="n">
        <v>0</v>
      </c>
      <c r="AK1096" s="51" t="n">
        <v>0</v>
      </c>
      <c r="AL1096" s="52" t="n">
        <v>0</v>
      </c>
      <c r="AM1096" s="52" t="n">
        <v>0</v>
      </c>
      <c r="AN1096" s="52" t="n">
        <v>0</v>
      </c>
      <c r="AO1096" s="53" t="n">
        <v>0</v>
      </c>
      <c r="AP1096" s="52" t="n">
        <v>0</v>
      </c>
      <c r="AQ1096" s="53" t="n">
        <v>0</v>
      </c>
      <c r="AR1096" s="52" t="n">
        <v>0</v>
      </c>
      <c r="AS1096" s="51" t="n">
        <v>0</v>
      </c>
      <c r="AT1096" s="48" t="n">
        <v>0</v>
      </c>
      <c r="AU1096" s="49" t="n">
        <v>0</v>
      </c>
      <c r="AV1096" s="49" t="n">
        <v>0</v>
      </c>
      <c r="AW1096" s="50" t="n">
        <v>0</v>
      </c>
      <c r="AX1096" s="51" t="n">
        <v>0</v>
      </c>
      <c r="AY1096" s="52" t="n">
        <v>0</v>
      </c>
      <c r="AZ1096" s="52" t="n">
        <v>0</v>
      </c>
      <c r="BA1096" s="52" t="n">
        <v>0</v>
      </c>
      <c r="BB1096" s="53" t="n">
        <v>0</v>
      </c>
      <c r="BC1096" s="52" t="n">
        <v>0</v>
      </c>
      <c r="BD1096" s="53" t="n">
        <v>0</v>
      </c>
      <c r="BE1096" s="52" t="n">
        <v>0</v>
      </c>
      <c r="BF1096" s="51" t="n">
        <v>0</v>
      </c>
    </row>
    <row r="1097">
      <c r="A1097">
        <f>HYPERLINK("https://www.walmart.com/ip/642206749", "642206749")</f>
        <v/>
      </c>
      <c r="B1097" t="inlineStr">
        <is>
          <t>Waterproof Blanket, Pee Proof Couch Sofa Bed Protector Cover for Baby, Super Cozy Plush Fleece Warm Sherpa Lining Throws and Blankets for Boating Camping</t>
        </is>
      </c>
      <c r="C1097" t="inlineStr">
        <is>
          <t>1CTBW682BNTP</t>
        </is>
      </c>
      <c r="D1097" t="inlineStr">
        <is>
          <t>Throws</t>
        </is>
      </c>
      <c r="E1097" t="inlineStr">
        <is>
          <t>Catalonia</t>
        </is>
      </c>
      <c r="F1097" t="inlineStr">
        <is>
          <t>Q2-Target,Optimized,Wproof Blanket,SEM</t>
        </is>
      </c>
      <c r="G1097" s="48" t="n">
        <v>0</v>
      </c>
      <c r="H1097" s="49" t="n">
        <v>0</v>
      </c>
      <c r="I1097" s="49" t="n">
        <v>0</v>
      </c>
      <c r="J1097" s="50" t="n">
        <v>0</v>
      </c>
      <c r="K1097" s="51" t="n">
        <v>0</v>
      </c>
      <c r="L1097" s="52" t="n">
        <v>0</v>
      </c>
      <c r="M1097" s="52" t="n">
        <v>0</v>
      </c>
      <c r="N1097" s="52" t="n">
        <v>0</v>
      </c>
      <c r="O1097" s="53" t="n">
        <v>0</v>
      </c>
      <c r="P1097" s="52" t="n">
        <v>0</v>
      </c>
      <c r="Q1097" s="53" t="n">
        <v>0</v>
      </c>
      <c r="R1097" s="52" t="n">
        <v>0</v>
      </c>
      <c r="S1097" s="51" t="n">
        <v>0</v>
      </c>
      <c r="T1097" s="48" t="n">
        <v>0</v>
      </c>
      <c r="U1097" s="49" t="n">
        <v>0</v>
      </c>
      <c r="V1097" s="49" t="n">
        <v>0</v>
      </c>
      <c r="W1097" s="50" t="n">
        <v>0</v>
      </c>
      <c r="X1097" s="51" t="n">
        <v>0</v>
      </c>
      <c r="Y1097" s="52" t="n">
        <v>0</v>
      </c>
      <c r="Z1097" s="52" t="n">
        <v>0</v>
      </c>
      <c r="AA1097" s="52" t="n">
        <v>0</v>
      </c>
      <c r="AB1097" s="53" t="n">
        <v>0</v>
      </c>
      <c r="AC1097" s="52" t="n">
        <v>0</v>
      </c>
      <c r="AD1097" s="53" t="n">
        <v>0</v>
      </c>
      <c r="AE1097" s="52" t="n">
        <v>0</v>
      </c>
      <c r="AF1097" s="51" t="n">
        <v>0</v>
      </c>
      <c r="AG1097" s="48" t="n">
        <v>0</v>
      </c>
      <c r="AH1097" s="49" t="n">
        <v>0</v>
      </c>
      <c r="AI1097" s="49" t="n">
        <v>0</v>
      </c>
      <c r="AJ1097" s="50" t="n">
        <v>0</v>
      </c>
      <c r="AK1097" s="51" t="n">
        <v>0</v>
      </c>
      <c r="AL1097" s="52" t="n">
        <v>0</v>
      </c>
      <c r="AM1097" s="52" t="n">
        <v>0</v>
      </c>
      <c r="AN1097" s="52" t="n">
        <v>0</v>
      </c>
      <c r="AO1097" s="53" t="n">
        <v>0</v>
      </c>
      <c r="AP1097" s="52" t="n">
        <v>0</v>
      </c>
      <c r="AQ1097" s="53" t="n">
        <v>0</v>
      </c>
      <c r="AR1097" s="52" t="n">
        <v>0</v>
      </c>
      <c r="AS1097" s="51" t="n">
        <v>0</v>
      </c>
      <c r="AT1097" s="48" t="n">
        <v>0</v>
      </c>
      <c r="AU1097" s="49" t="n">
        <v>0</v>
      </c>
      <c r="AV1097" s="49" t="n">
        <v>0</v>
      </c>
      <c r="AW1097" s="50" t="n">
        <v>0</v>
      </c>
      <c r="AX1097" s="51" t="n">
        <v>0</v>
      </c>
      <c r="AY1097" s="52" t="n">
        <v>0</v>
      </c>
      <c r="AZ1097" s="52" t="n">
        <v>0</v>
      </c>
      <c r="BA1097" s="52" t="n">
        <v>0</v>
      </c>
      <c r="BB1097" s="53" t="n">
        <v>0</v>
      </c>
      <c r="BC1097" s="52" t="n">
        <v>0</v>
      </c>
      <c r="BD1097" s="53" t="n">
        <v>0</v>
      </c>
      <c r="BE1097" s="52" t="n">
        <v>0</v>
      </c>
      <c r="BF1097" s="51" t="n">
        <v>0</v>
      </c>
    </row>
    <row r="1098">
      <c r="A1098">
        <f>HYPERLINK("https://www.walmart.com/ip/655381211", "655381211")</f>
        <v/>
      </c>
      <c r="B1098" t="inlineStr">
        <is>
          <t>Tirrinia Super Soft Comfy Warm Fuzzy Sherpa Throw Plush Blanket For Bed And Couch, 60 inch x 80 inch, Grey</t>
        </is>
      </c>
      <c r="C1098" t="inlineStr">
        <is>
          <t>1TRBF368GY-TBCB</t>
        </is>
      </c>
      <c r="D1098" t="inlineStr">
        <is>
          <t>Throws</t>
        </is>
      </c>
      <c r="E1098" t="inlineStr">
        <is>
          <t>Tirrinia</t>
        </is>
      </c>
      <c r="F1098" t="inlineStr">
        <is>
          <t>Optimized</t>
        </is>
      </c>
      <c r="G1098" s="48" t="n">
        <v>0</v>
      </c>
      <c r="H1098" s="49" t="n">
        <v>0</v>
      </c>
      <c r="I1098" s="49" t="n">
        <v>0</v>
      </c>
      <c r="J1098" s="50" t="n">
        <v>0</v>
      </c>
      <c r="K1098" s="51" t="n">
        <v>0</v>
      </c>
      <c r="L1098" s="52" t="n">
        <v>0</v>
      </c>
      <c r="M1098" s="52" t="n">
        <v>0</v>
      </c>
      <c r="N1098" s="52" t="n">
        <v>0</v>
      </c>
      <c r="O1098" s="53" t="n">
        <v>0</v>
      </c>
      <c r="P1098" s="52" t="n">
        <v>0</v>
      </c>
      <c r="Q1098" s="53" t="n">
        <v>0</v>
      </c>
      <c r="R1098" s="52" t="n">
        <v>0</v>
      </c>
      <c r="S1098" s="51" t="n">
        <v>0</v>
      </c>
      <c r="T1098" s="48" t="n">
        <v>0</v>
      </c>
      <c r="U1098" s="49" t="n">
        <v>0</v>
      </c>
      <c r="V1098" s="49" t="n">
        <v>0</v>
      </c>
      <c r="W1098" s="50" t="n">
        <v>0</v>
      </c>
      <c r="X1098" s="51" t="n">
        <v>0</v>
      </c>
      <c r="Y1098" s="52" t="n">
        <v>0</v>
      </c>
      <c r="Z1098" s="52" t="n">
        <v>0</v>
      </c>
      <c r="AA1098" s="52" t="n">
        <v>0</v>
      </c>
      <c r="AB1098" s="53" t="n">
        <v>0</v>
      </c>
      <c r="AC1098" s="52" t="n">
        <v>0</v>
      </c>
      <c r="AD1098" s="53" t="n">
        <v>0</v>
      </c>
      <c r="AE1098" s="52" t="n">
        <v>0</v>
      </c>
      <c r="AF1098" s="51" t="n">
        <v>0</v>
      </c>
      <c r="AG1098" s="48" t="n">
        <v>0</v>
      </c>
      <c r="AH1098" s="49" t="n">
        <v>0</v>
      </c>
      <c r="AI1098" s="49" t="n">
        <v>0</v>
      </c>
      <c r="AJ1098" s="50" t="n">
        <v>0</v>
      </c>
      <c r="AK1098" s="51" t="n">
        <v>0</v>
      </c>
      <c r="AL1098" s="52" t="n">
        <v>0</v>
      </c>
      <c r="AM1098" s="52" t="n">
        <v>0</v>
      </c>
      <c r="AN1098" s="52" t="n">
        <v>0</v>
      </c>
      <c r="AO1098" s="53" t="n">
        <v>0</v>
      </c>
      <c r="AP1098" s="52" t="n">
        <v>0</v>
      </c>
      <c r="AQ1098" s="53" t="n">
        <v>0</v>
      </c>
      <c r="AR1098" s="52" t="n">
        <v>0</v>
      </c>
      <c r="AS1098" s="51" t="n">
        <v>0</v>
      </c>
      <c r="AT1098" s="48" t="n">
        <v>0</v>
      </c>
      <c r="AU1098" s="49" t="n">
        <v>0</v>
      </c>
      <c r="AV1098" s="49" t="n">
        <v>0</v>
      </c>
      <c r="AW1098" s="50" t="n">
        <v>0</v>
      </c>
      <c r="AX1098" s="51" t="n">
        <v>0</v>
      </c>
      <c r="AY1098" s="52" t="n">
        <v>0</v>
      </c>
      <c r="AZ1098" s="52" t="n">
        <v>0</v>
      </c>
      <c r="BA1098" s="52" t="n">
        <v>0</v>
      </c>
      <c r="BB1098" s="53" t="n">
        <v>0</v>
      </c>
      <c r="BC1098" s="52" t="n">
        <v>0</v>
      </c>
      <c r="BD1098" s="53" t="n">
        <v>0</v>
      </c>
      <c r="BE1098" s="52" t="n">
        <v>0</v>
      </c>
      <c r="BF1098" s="51" t="n">
        <v>0</v>
      </c>
    </row>
    <row r="1099">
      <c r="A1099">
        <f>HYPERLINK("https://www.walmart.com/ip/641006388", "641006388")</f>
        <v/>
      </c>
      <c r="B1099" t="inlineStr">
        <is>
          <t>Solaris Men Winter Ski Snow Gloves with Breathable Face Mask The Warmest 3M Insulation Waterproof Outdoor Snowboard Mitt</t>
        </is>
      </c>
      <c r="C1099" t="inlineStr">
        <is>
          <t>1SLWG301BKBK-XL</t>
        </is>
      </c>
      <c r="D1099" t="inlineStr">
        <is>
          <t>Gloves &amp; Mittens</t>
        </is>
      </c>
      <c r="E1099" t="inlineStr">
        <is>
          <t>Solaris</t>
        </is>
      </c>
      <c r="F1099" t="inlineStr">
        <is>
          <t>Optimized,Gloves</t>
        </is>
      </c>
      <c r="G1099" s="48" t="n">
        <v>0</v>
      </c>
      <c r="H1099" s="49" t="n">
        <v>0</v>
      </c>
      <c r="I1099" s="49" t="n">
        <v>0</v>
      </c>
      <c r="J1099" s="50" t="n">
        <v>0</v>
      </c>
      <c r="K1099" s="51" t="n">
        <v>0</v>
      </c>
      <c r="L1099" s="52" t="n">
        <v>0</v>
      </c>
      <c r="M1099" s="52" t="n">
        <v>0</v>
      </c>
      <c r="N1099" s="52" t="n">
        <v>0</v>
      </c>
      <c r="O1099" s="53" t="n">
        <v>0</v>
      </c>
      <c r="P1099" s="52" t="n">
        <v>0</v>
      </c>
      <c r="Q1099" s="53" t="n">
        <v>0</v>
      </c>
      <c r="R1099" s="52" t="n">
        <v>0</v>
      </c>
      <c r="S1099" s="51" t="n">
        <v>0</v>
      </c>
      <c r="T1099" s="48" t="n">
        <v>0</v>
      </c>
      <c r="U1099" s="49" t="n">
        <v>0</v>
      </c>
      <c r="V1099" s="49" t="n">
        <v>0</v>
      </c>
      <c r="W1099" s="50" t="n">
        <v>0</v>
      </c>
      <c r="X1099" s="51" t="n">
        <v>0</v>
      </c>
      <c r="Y1099" s="52" t="n">
        <v>0</v>
      </c>
      <c r="Z1099" s="52" t="n">
        <v>0</v>
      </c>
      <c r="AA1099" s="52" t="n">
        <v>0</v>
      </c>
      <c r="AB1099" s="53" t="n">
        <v>0</v>
      </c>
      <c r="AC1099" s="52" t="n">
        <v>0</v>
      </c>
      <c r="AD1099" s="53" t="n">
        <v>0</v>
      </c>
      <c r="AE1099" s="52" t="n">
        <v>0</v>
      </c>
      <c r="AF1099" s="51" t="n">
        <v>0</v>
      </c>
      <c r="AG1099" s="48" t="n">
        <v>0</v>
      </c>
      <c r="AH1099" s="49" t="n">
        <v>0</v>
      </c>
      <c r="AI1099" s="49" t="n">
        <v>0</v>
      </c>
      <c r="AJ1099" s="50" t="n">
        <v>0</v>
      </c>
      <c r="AK1099" s="51" t="n">
        <v>0</v>
      </c>
      <c r="AL1099" s="52" t="n">
        <v>0</v>
      </c>
      <c r="AM1099" s="52" t="n">
        <v>0</v>
      </c>
      <c r="AN1099" s="52" t="n">
        <v>0</v>
      </c>
      <c r="AO1099" s="53" t="n">
        <v>0</v>
      </c>
      <c r="AP1099" s="52" t="n">
        <v>0</v>
      </c>
      <c r="AQ1099" s="53" t="n">
        <v>0</v>
      </c>
      <c r="AR1099" s="52" t="n">
        <v>0</v>
      </c>
      <c r="AS1099" s="51" t="n">
        <v>0</v>
      </c>
      <c r="AT1099" s="48" t="n">
        <v>0</v>
      </c>
      <c r="AU1099" s="49" t="n">
        <v>0</v>
      </c>
      <c r="AV1099" s="49" t="n">
        <v>0</v>
      </c>
      <c r="AW1099" s="50" t="n">
        <v>0</v>
      </c>
      <c r="AX1099" s="51" t="n">
        <v>0</v>
      </c>
      <c r="AY1099" s="52" t="n">
        <v>0</v>
      </c>
      <c r="AZ1099" s="52" t="n">
        <v>0</v>
      </c>
      <c r="BA1099" s="52" t="n">
        <v>0</v>
      </c>
      <c r="BB1099" s="53" t="n">
        <v>0</v>
      </c>
      <c r="BC1099" s="52" t="n">
        <v>0</v>
      </c>
      <c r="BD1099" s="53" t="n">
        <v>0</v>
      </c>
      <c r="BE1099" s="52" t="n">
        <v>0</v>
      </c>
      <c r="BF1099" s="51" t="n">
        <v>0</v>
      </c>
    </row>
    <row r="1100">
      <c r="A1100">
        <f>HYPERLINK("https://www.walmart.com/ip/630847130", "630847130")</f>
        <v/>
      </c>
      <c r="B1100" t="inlineStr">
        <is>
          <t>Catalonia Sherpa Throw Blanket, Fuzzy Snuggle Blanket for Camping Traveling Couch Bed, Super Soft, Light Weight, Reversible, All Season Use, 50x60 inches, Gray Camo</t>
        </is>
      </c>
      <c r="C1100" t="inlineStr">
        <is>
          <t>1CTBF579GYCAMO</t>
        </is>
      </c>
      <c r="D1100" t="inlineStr">
        <is>
          <t>Throws</t>
        </is>
      </c>
      <c r="E1100" t="inlineStr">
        <is>
          <t>Catalonia</t>
        </is>
      </c>
      <c r="F1100" t="inlineStr">
        <is>
          <t>WFS,WFS Item</t>
        </is>
      </c>
      <c r="G1100" s="48" t="n">
        <v>0</v>
      </c>
      <c r="H1100" s="49" t="n">
        <v>0</v>
      </c>
      <c r="I1100" s="49" t="n">
        <v>0</v>
      </c>
      <c r="J1100" s="50" t="n">
        <v>0</v>
      </c>
      <c r="K1100" s="51" t="n">
        <v>0</v>
      </c>
      <c r="L1100" s="52" t="n">
        <v>0</v>
      </c>
      <c r="M1100" s="52" t="n">
        <v>0</v>
      </c>
      <c r="N1100" s="52" t="n">
        <v>0</v>
      </c>
      <c r="O1100" s="53" t="n">
        <v>0</v>
      </c>
      <c r="P1100" s="52" t="n">
        <v>0</v>
      </c>
      <c r="Q1100" s="53" t="n">
        <v>0</v>
      </c>
      <c r="R1100" s="52" t="n">
        <v>0</v>
      </c>
      <c r="S1100" s="51" t="n">
        <v>0</v>
      </c>
      <c r="T1100" s="48" t="n">
        <v>0</v>
      </c>
      <c r="U1100" s="49" t="n">
        <v>0</v>
      </c>
      <c r="V1100" s="49" t="n">
        <v>0</v>
      </c>
      <c r="W1100" s="50" t="n">
        <v>0</v>
      </c>
      <c r="X1100" s="51" t="n">
        <v>0</v>
      </c>
      <c r="Y1100" s="52" t="n">
        <v>0</v>
      </c>
      <c r="Z1100" s="52" t="n">
        <v>0</v>
      </c>
      <c r="AA1100" s="52" t="n">
        <v>0</v>
      </c>
      <c r="AB1100" s="53" t="n">
        <v>0</v>
      </c>
      <c r="AC1100" s="52" t="n">
        <v>0</v>
      </c>
      <c r="AD1100" s="53" t="n">
        <v>0</v>
      </c>
      <c r="AE1100" s="52" t="n">
        <v>0</v>
      </c>
      <c r="AF1100" s="51" t="n">
        <v>0</v>
      </c>
      <c r="AG1100" s="48" t="n">
        <v>0</v>
      </c>
      <c r="AH1100" s="49" t="n">
        <v>0</v>
      </c>
      <c r="AI1100" s="49" t="n">
        <v>0</v>
      </c>
      <c r="AJ1100" s="50" t="n">
        <v>0</v>
      </c>
      <c r="AK1100" s="51" t="n">
        <v>0</v>
      </c>
      <c r="AL1100" s="52" t="n">
        <v>0</v>
      </c>
      <c r="AM1100" s="52" t="n">
        <v>0</v>
      </c>
      <c r="AN1100" s="52" t="n">
        <v>0</v>
      </c>
      <c r="AO1100" s="53" t="n">
        <v>0</v>
      </c>
      <c r="AP1100" s="52" t="n">
        <v>0</v>
      </c>
      <c r="AQ1100" s="53" t="n">
        <v>0</v>
      </c>
      <c r="AR1100" s="52" t="n">
        <v>0</v>
      </c>
      <c r="AS1100" s="51" t="n">
        <v>0</v>
      </c>
      <c r="AT1100" s="48" t="n">
        <v>0</v>
      </c>
      <c r="AU1100" s="49" t="n">
        <v>0</v>
      </c>
      <c r="AV1100" s="49" t="n">
        <v>0</v>
      </c>
      <c r="AW1100" s="50" t="n">
        <v>0</v>
      </c>
      <c r="AX1100" s="51" t="n">
        <v>0</v>
      </c>
      <c r="AY1100" s="52" t="n">
        <v>0</v>
      </c>
      <c r="AZ1100" s="52" t="n">
        <v>0</v>
      </c>
      <c r="BA1100" s="52" t="n">
        <v>0</v>
      </c>
      <c r="BB1100" s="53" t="n">
        <v>0</v>
      </c>
      <c r="BC1100" s="52" t="n">
        <v>0</v>
      </c>
      <c r="BD1100" s="53" t="n">
        <v>0</v>
      </c>
      <c r="BE1100" s="52" t="n">
        <v>0</v>
      </c>
      <c r="BF1100" s="51" t="n">
        <v>0</v>
      </c>
    </row>
    <row r="1101">
      <c r="A1101">
        <f>HYPERLINK("https://www.walmart.com/ip/631227535", "631227535")</f>
        <v/>
      </c>
      <c r="B1101" t="inlineStr">
        <is>
          <t>Two Pieces Double up Tankini Swimsuit for Women Bathing Suits Set by Tirrinia</t>
        </is>
      </c>
      <c r="C1101" t="inlineStr">
        <is>
          <t>1TRSS002BL-XL</t>
        </is>
      </c>
      <c r="D1101" t="inlineStr">
        <is>
          <t>Swimsuit Sets</t>
        </is>
      </c>
      <c r="E1101" t="inlineStr">
        <is>
          <t>Tirrinia</t>
        </is>
      </c>
      <c r="G1101" s="48" t="n">
        <v>0</v>
      </c>
      <c r="H1101" s="49" t="n">
        <v>0</v>
      </c>
      <c r="I1101" s="49" t="n">
        <v>0</v>
      </c>
      <c r="J1101" s="50" t="n">
        <v>0</v>
      </c>
      <c r="K1101" s="51" t="n">
        <v>0</v>
      </c>
      <c r="L1101" s="52" t="n">
        <v>0</v>
      </c>
      <c r="M1101" s="52" t="n">
        <v>0</v>
      </c>
      <c r="N1101" s="52" t="n">
        <v>0</v>
      </c>
      <c r="O1101" s="53" t="n">
        <v>0</v>
      </c>
      <c r="P1101" s="52" t="n">
        <v>0</v>
      </c>
      <c r="Q1101" s="53" t="n">
        <v>0</v>
      </c>
      <c r="R1101" s="52" t="n">
        <v>0</v>
      </c>
      <c r="S1101" s="51" t="n">
        <v>0</v>
      </c>
      <c r="T1101" s="48" t="n">
        <v>0</v>
      </c>
      <c r="U1101" s="49" t="n">
        <v>0</v>
      </c>
      <c r="V1101" s="49" t="n">
        <v>0</v>
      </c>
      <c r="W1101" s="50" t="n">
        <v>0</v>
      </c>
      <c r="X1101" s="51" t="n">
        <v>0</v>
      </c>
      <c r="Y1101" s="52" t="n">
        <v>0</v>
      </c>
      <c r="Z1101" s="52" t="n">
        <v>0</v>
      </c>
      <c r="AA1101" s="52" t="n">
        <v>0</v>
      </c>
      <c r="AB1101" s="53" t="n">
        <v>0</v>
      </c>
      <c r="AC1101" s="52" t="n">
        <v>0</v>
      </c>
      <c r="AD1101" s="53" t="n">
        <v>0</v>
      </c>
      <c r="AE1101" s="52" t="n">
        <v>0</v>
      </c>
      <c r="AF1101" s="51" t="n">
        <v>0</v>
      </c>
      <c r="AG1101" s="48" t="n">
        <v>0</v>
      </c>
      <c r="AH1101" s="49" t="n">
        <v>0</v>
      </c>
      <c r="AI1101" s="49" t="n">
        <v>0</v>
      </c>
      <c r="AJ1101" s="50" t="n">
        <v>0</v>
      </c>
      <c r="AK1101" s="51" t="n">
        <v>0</v>
      </c>
      <c r="AL1101" s="52" t="n">
        <v>0</v>
      </c>
      <c r="AM1101" s="52" t="n">
        <v>0</v>
      </c>
      <c r="AN1101" s="52" t="n">
        <v>0</v>
      </c>
      <c r="AO1101" s="53" t="n">
        <v>0</v>
      </c>
      <c r="AP1101" s="52" t="n">
        <v>0</v>
      </c>
      <c r="AQ1101" s="53" t="n">
        <v>0</v>
      </c>
      <c r="AR1101" s="52" t="n">
        <v>0</v>
      </c>
      <c r="AS1101" s="51" t="n">
        <v>0</v>
      </c>
      <c r="AT1101" s="48" t="n">
        <v>0</v>
      </c>
      <c r="AU1101" s="49" t="n">
        <v>0</v>
      </c>
      <c r="AV1101" s="49" t="n">
        <v>0</v>
      </c>
      <c r="AW1101" s="50" t="n">
        <v>0</v>
      </c>
      <c r="AX1101" s="51" t="n">
        <v>0</v>
      </c>
      <c r="AY1101" s="52" t="n">
        <v>0</v>
      </c>
      <c r="AZ1101" s="52" t="n">
        <v>0</v>
      </c>
      <c r="BA1101" s="52" t="n">
        <v>0</v>
      </c>
      <c r="BB1101" s="53" t="n">
        <v>0</v>
      </c>
      <c r="BC1101" s="52" t="n">
        <v>0</v>
      </c>
      <c r="BD1101" s="53" t="n">
        <v>0</v>
      </c>
      <c r="BE1101" s="52" t="n">
        <v>0</v>
      </c>
      <c r="BF1101" s="51" t="n">
        <v>0</v>
      </c>
    </row>
    <row r="1102">
      <c r="A1102">
        <f>HYPERLINK("https://www.walmart.com/ip/631476284", "631476284")</f>
        <v/>
      </c>
      <c r="B1102" t="inlineStr">
        <is>
          <t>Jennis Women's Awaken Desires Kimono Lace Lingerie Sleepwear Matching Cheeky Panty ( XXXL=US 12-14 )</t>
        </is>
      </c>
      <c r="C1102" t="inlineStr">
        <is>
          <t>JWRS01BK-3XL</t>
        </is>
      </c>
      <c r="D1102" t="inlineStr">
        <is>
          <t>Lingerie Sets</t>
        </is>
      </c>
      <c r="E1102" t="inlineStr">
        <is>
          <t>JenniWears</t>
        </is>
      </c>
      <c r="F1102" t="inlineStr">
        <is>
          <t>Optimized,Valentine</t>
        </is>
      </c>
      <c r="G1102" s="48" t="n">
        <v>0</v>
      </c>
      <c r="H1102" s="49" t="n">
        <v>0</v>
      </c>
      <c r="I1102" s="49" t="n">
        <v>0</v>
      </c>
      <c r="J1102" s="50" t="n">
        <v>0</v>
      </c>
      <c r="K1102" s="51" t="n">
        <v>0</v>
      </c>
      <c r="L1102" s="52" t="n">
        <v>0</v>
      </c>
      <c r="M1102" s="52" t="n">
        <v>0</v>
      </c>
      <c r="N1102" s="52" t="n">
        <v>0</v>
      </c>
      <c r="O1102" s="53" t="n">
        <v>0</v>
      </c>
      <c r="P1102" s="52" t="n">
        <v>0</v>
      </c>
      <c r="Q1102" s="53" t="n">
        <v>0</v>
      </c>
      <c r="R1102" s="52" t="n">
        <v>0</v>
      </c>
      <c r="S1102" s="51" t="n">
        <v>0</v>
      </c>
      <c r="T1102" s="48" t="n">
        <v>0</v>
      </c>
      <c r="U1102" s="49" t="n">
        <v>0</v>
      </c>
      <c r="V1102" s="49" t="n">
        <v>0</v>
      </c>
      <c r="W1102" s="50" t="n">
        <v>0</v>
      </c>
      <c r="X1102" s="51" t="n">
        <v>0</v>
      </c>
      <c r="Y1102" s="52" t="n">
        <v>0</v>
      </c>
      <c r="Z1102" s="52" t="n">
        <v>0</v>
      </c>
      <c r="AA1102" s="52" t="n">
        <v>0</v>
      </c>
      <c r="AB1102" s="53" t="n">
        <v>0</v>
      </c>
      <c r="AC1102" s="52" t="n">
        <v>0</v>
      </c>
      <c r="AD1102" s="53" t="n">
        <v>0</v>
      </c>
      <c r="AE1102" s="52" t="n">
        <v>0</v>
      </c>
      <c r="AF1102" s="51" t="n">
        <v>0</v>
      </c>
      <c r="AG1102" s="48" t="n">
        <v>0</v>
      </c>
      <c r="AH1102" s="49" t="n">
        <v>0</v>
      </c>
      <c r="AI1102" s="49" t="n">
        <v>0</v>
      </c>
      <c r="AJ1102" s="50" t="n">
        <v>0</v>
      </c>
      <c r="AK1102" s="51" t="n">
        <v>0</v>
      </c>
      <c r="AL1102" s="52" t="n">
        <v>0</v>
      </c>
      <c r="AM1102" s="52" t="n">
        <v>0</v>
      </c>
      <c r="AN1102" s="52" t="n">
        <v>0</v>
      </c>
      <c r="AO1102" s="53" t="n">
        <v>0</v>
      </c>
      <c r="AP1102" s="52" t="n">
        <v>0</v>
      </c>
      <c r="AQ1102" s="53" t="n">
        <v>0</v>
      </c>
      <c r="AR1102" s="52" t="n">
        <v>0</v>
      </c>
      <c r="AS1102" s="51" t="n">
        <v>0</v>
      </c>
      <c r="AT1102" s="48" t="n">
        <v>0</v>
      </c>
      <c r="AU1102" s="49" t="n">
        <v>0</v>
      </c>
      <c r="AV1102" s="49" t="n">
        <v>0</v>
      </c>
      <c r="AW1102" s="50" t="n">
        <v>0</v>
      </c>
      <c r="AX1102" s="51" t="n">
        <v>0</v>
      </c>
      <c r="AY1102" s="52" t="n">
        <v>0</v>
      </c>
      <c r="AZ1102" s="52" t="n">
        <v>0</v>
      </c>
      <c r="BA1102" s="52" t="n">
        <v>0</v>
      </c>
      <c r="BB1102" s="53" t="n">
        <v>0</v>
      </c>
      <c r="BC1102" s="52" t="n">
        <v>0</v>
      </c>
      <c r="BD1102" s="53" t="n">
        <v>0</v>
      </c>
      <c r="BE1102" s="52" t="n">
        <v>0</v>
      </c>
      <c r="BF1102" s="51" t="n">
        <v>0</v>
      </c>
    </row>
    <row r="1103">
      <c r="A1103">
        <f>HYPERLINK("https://www.walmart.com/ip/632587469", "632587469")</f>
        <v/>
      </c>
      <c r="B1103" t="inlineStr">
        <is>
          <t>Catalonia Sherpa Throws Blanket,Super Soft Comfy Micro Mink Fleece Couch Blanket Reversible Bed Throw TV Blanket Comfort Caring Gift 50" x 60" Brown</t>
        </is>
      </c>
      <c r="C1103" t="inlineStr">
        <is>
          <t>1CTBF300BR</t>
        </is>
      </c>
      <c r="D1103" t="inlineStr">
        <is>
          <t>Throws</t>
        </is>
      </c>
      <c r="E1103" t="inlineStr">
        <is>
          <t>Catalonia</t>
        </is>
      </c>
      <c r="F1103" t="inlineStr">
        <is>
          <t>Q2-Target,WFS,Coupon_Discount,WFS Item</t>
        </is>
      </c>
      <c r="G1103" s="48" t="n">
        <v>0</v>
      </c>
      <c r="H1103" s="49" t="n">
        <v>0</v>
      </c>
      <c r="I1103" s="49" t="n">
        <v>0</v>
      </c>
      <c r="J1103" s="50" t="n">
        <v>0</v>
      </c>
      <c r="K1103" s="51" t="n">
        <v>0</v>
      </c>
      <c r="L1103" s="52" t="n">
        <v>0</v>
      </c>
      <c r="M1103" s="52" t="n">
        <v>0</v>
      </c>
      <c r="N1103" s="52" t="n">
        <v>0</v>
      </c>
      <c r="O1103" s="53" t="n">
        <v>0</v>
      </c>
      <c r="P1103" s="52" t="n">
        <v>0</v>
      </c>
      <c r="Q1103" s="53" t="n">
        <v>0</v>
      </c>
      <c r="R1103" s="52" t="n">
        <v>0</v>
      </c>
      <c r="S1103" s="51" t="n">
        <v>0</v>
      </c>
      <c r="T1103" s="48" t="n">
        <v>0</v>
      </c>
      <c r="U1103" s="49" t="n">
        <v>0</v>
      </c>
      <c r="V1103" s="49" t="n">
        <v>0</v>
      </c>
      <c r="W1103" s="50" t="n">
        <v>0</v>
      </c>
      <c r="X1103" s="51" t="n">
        <v>0</v>
      </c>
      <c r="Y1103" s="52" t="n">
        <v>0</v>
      </c>
      <c r="Z1103" s="52" t="n">
        <v>0</v>
      </c>
      <c r="AA1103" s="52" t="n">
        <v>0</v>
      </c>
      <c r="AB1103" s="53" t="n">
        <v>0</v>
      </c>
      <c r="AC1103" s="52" t="n">
        <v>0</v>
      </c>
      <c r="AD1103" s="53" t="n">
        <v>0</v>
      </c>
      <c r="AE1103" s="52" t="n">
        <v>0</v>
      </c>
      <c r="AF1103" s="51" t="n">
        <v>0</v>
      </c>
      <c r="AG1103" s="48" t="n">
        <v>0</v>
      </c>
      <c r="AH1103" s="49" t="n">
        <v>0</v>
      </c>
      <c r="AI1103" s="49" t="n">
        <v>0</v>
      </c>
      <c r="AJ1103" s="50" t="n">
        <v>0</v>
      </c>
      <c r="AK1103" s="51" t="n">
        <v>0</v>
      </c>
      <c r="AL1103" s="52" t="n">
        <v>0</v>
      </c>
      <c r="AM1103" s="52" t="n">
        <v>0</v>
      </c>
      <c r="AN1103" s="52" t="n">
        <v>0</v>
      </c>
      <c r="AO1103" s="53" t="n">
        <v>0</v>
      </c>
      <c r="AP1103" s="52" t="n">
        <v>0</v>
      </c>
      <c r="AQ1103" s="53" t="n">
        <v>0</v>
      </c>
      <c r="AR1103" s="52" t="n">
        <v>0</v>
      </c>
      <c r="AS1103" s="51" t="n">
        <v>0</v>
      </c>
      <c r="AT1103" s="48" t="n">
        <v>0</v>
      </c>
      <c r="AU1103" s="49" t="n">
        <v>0</v>
      </c>
      <c r="AV1103" s="49" t="n">
        <v>0</v>
      </c>
      <c r="AW1103" s="50" t="n">
        <v>0</v>
      </c>
      <c r="AX1103" s="51" t="n">
        <v>0</v>
      </c>
      <c r="AY1103" s="52" t="n">
        <v>0</v>
      </c>
      <c r="AZ1103" s="52" t="n">
        <v>0</v>
      </c>
      <c r="BA1103" s="52" t="n">
        <v>0</v>
      </c>
      <c r="BB1103" s="53" t="n">
        <v>0</v>
      </c>
      <c r="BC1103" s="52" t="n">
        <v>0</v>
      </c>
      <c r="BD1103" s="53" t="n">
        <v>0</v>
      </c>
      <c r="BE1103" s="52" t="n">
        <v>0</v>
      </c>
      <c r="BF1103" s="51" t="n">
        <v>0</v>
      </c>
    </row>
    <row r="1104">
      <c r="A1104">
        <f>HYPERLINK("https://www.walmart.com/ip/632884269", "632884269")</f>
        <v/>
      </c>
      <c r="B1104" t="inlineStr">
        <is>
          <t>Catalonia Oversized Hoodie Blanket with Zipper, Wearable Sherpa Sweatshirt Pullover, Soft Warm Comfortable Jacket for Adults Men Women, Black</t>
        </is>
      </c>
      <c r="C1104" t="inlineStr">
        <is>
          <t>1CTHD220BK</t>
        </is>
      </c>
      <c r="D1104" t="inlineStr">
        <is>
          <t>Throws</t>
        </is>
      </c>
      <c r="E1104" t="inlineStr">
        <is>
          <t>Catalonia</t>
        </is>
      </c>
      <c r="F1104" t="inlineStr">
        <is>
          <t>Hoodie ForAdult,WFS,Coupon_Discount,WFS Item</t>
        </is>
      </c>
      <c r="G1104" s="48" t="n">
        <v>0</v>
      </c>
      <c r="H1104" s="49" t="n">
        <v>0</v>
      </c>
      <c r="I1104" s="49" t="n">
        <v>0</v>
      </c>
      <c r="J1104" s="50" t="n">
        <v>0</v>
      </c>
      <c r="K1104" s="51" t="n">
        <v>0</v>
      </c>
      <c r="L1104" s="52" t="n">
        <v>0</v>
      </c>
      <c r="M1104" s="52" t="n">
        <v>0</v>
      </c>
      <c r="N1104" s="52" t="n">
        <v>0</v>
      </c>
      <c r="O1104" s="53" t="n">
        <v>0</v>
      </c>
      <c r="P1104" s="52" t="n">
        <v>0</v>
      </c>
      <c r="Q1104" s="53" t="n">
        <v>0</v>
      </c>
      <c r="R1104" s="52" t="n">
        <v>0</v>
      </c>
      <c r="S1104" s="51" t="n">
        <v>0</v>
      </c>
      <c r="T1104" s="48" t="n">
        <v>44.99</v>
      </c>
      <c r="U1104" s="49" t="n">
        <v>1</v>
      </c>
      <c r="V1104" s="49" t="n">
        <v>0</v>
      </c>
      <c r="W1104" s="50" t="n">
        <v>0</v>
      </c>
      <c r="X1104" s="51" t="n">
        <v>0</v>
      </c>
      <c r="Y1104" s="52" t="n">
        <v>0</v>
      </c>
      <c r="Z1104" s="52" t="n">
        <v>0</v>
      </c>
      <c r="AA1104" s="52" t="n">
        <v>0</v>
      </c>
      <c r="AB1104" s="53" t="n">
        <v>0</v>
      </c>
      <c r="AC1104" s="52" t="n">
        <v>0</v>
      </c>
      <c r="AD1104" s="53" t="n">
        <v>0</v>
      </c>
      <c r="AE1104" s="52" t="n">
        <v>44.99</v>
      </c>
      <c r="AF1104" s="51" t="n">
        <v>0</v>
      </c>
      <c r="AG1104" s="48" t="n">
        <v>0</v>
      </c>
      <c r="AH1104" s="49" t="n">
        <v>0</v>
      </c>
      <c r="AI1104" s="49" t="n">
        <v>0</v>
      </c>
      <c r="AJ1104" s="50" t="n">
        <v>0</v>
      </c>
      <c r="AK1104" s="51" t="n">
        <v>0</v>
      </c>
      <c r="AL1104" s="52" t="n">
        <v>0</v>
      </c>
      <c r="AM1104" s="52" t="n">
        <v>0</v>
      </c>
      <c r="AN1104" s="52" t="n">
        <v>0</v>
      </c>
      <c r="AO1104" s="53" t="n">
        <v>0</v>
      </c>
      <c r="AP1104" s="52" t="n">
        <v>0</v>
      </c>
      <c r="AQ1104" s="53" t="n">
        <v>0</v>
      </c>
      <c r="AR1104" s="52" t="n">
        <v>0</v>
      </c>
      <c r="AS1104" s="51" t="n">
        <v>0</v>
      </c>
      <c r="AT1104" s="48" t="n">
        <v>44.99</v>
      </c>
      <c r="AU1104" s="49" t="n">
        <v>1</v>
      </c>
      <c r="AV1104" s="49" t="n">
        <v>0</v>
      </c>
      <c r="AW1104" s="50" t="n">
        <v>0</v>
      </c>
      <c r="AX1104" s="51" t="n">
        <v>0</v>
      </c>
      <c r="AY1104" s="52" t="n">
        <v>0</v>
      </c>
      <c r="AZ1104" s="52" t="n">
        <v>0</v>
      </c>
      <c r="BA1104" s="52" t="n">
        <v>0</v>
      </c>
      <c r="BB1104" s="53" t="n">
        <v>0</v>
      </c>
      <c r="BC1104" s="52" t="n">
        <v>0</v>
      </c>
      <c r="BD1104" s="53" t="n">
        <v>0</v>
      </c>
      <c r="BE1104" s="52" t="n">
        <v>44.99</v>
      </c>
      <c r="BF1104" s="51" t="n">
        <v>0</v>
      </c>
    </row>
    <row r="1105">
      <c r="A1105">
        <f>HYPERLINK("https://www.walmart.com/ip/632926267", "632926267")</f>
        <v/>
      </c>
      <c r="B1105" t="inlineStr">
        <is>
          <t>Tirrinia Super Soft Micro Fleece Plush Reversible Sherpa Blanket, Snow Dark Grey, 50" x 60"</t>
        </is>
      </c>
      <c r="C1105" t="inlineStr">
        <is>
          <t>1TRBF321DG-TBCB</t>
        </is>
      </c>
      <c r="D1105" t="inlineStr">
        <is>
          <t>Throws</t>
        </is>
      </c>
      <c r="E1105" t="inlineStr">
        <is>
          <t>Tirrinia</t>
        </is>
      </c>
      <c r="F1105" t="inlineStr">
        <is>
          <t>Optimized</t>
        </is>
      </c>
      <c r="G1105" s="48" t="n">
        <v>0</v>
      </c>
      <c r="H1105" s="49" t="n">
        <v>0</v>
      </c>
      <c r="I1105" s="49" t="n">
        <v>0</v>
      </c>
      <c r="J1105" s="50" t="n">
        <v>0</v>
      </c>
      <c r="K1105" s="51" t="n">
        <v>0</v>
      </c>
      <c r="L1105" s="52" t="n">
        <v>0</v>
      </c>
      <c r="M1105" s="52" t="n">
        <v>0</v>
      </c>
      <c r="N1105" s="52" t="n">
        <v>0</v>
      </c>
      <c r="O1105" s="53" t="n">
        <v>0</v>
      </c>
      <c r="P1105" s="52" t="n">
        <v>0</v>
      </c>
      <c r="Q1105" s="53" t="n">
        <v>0</v>
      </c>
      <c r="R1105" s="52" t="n">
        <v>0</v>
      </c>
      <c r="S1105" s="51" t="n">
        <v>0</v>
      </c>
      <c r="T1105" s="48" t="n">
        <v>0</v>
      </c>
      <c r="U1105" s="49" t="n">
        <v>0</v>
      </c>
      <c r="V1105" s="49" t="n">
        <v>0</v>
      </c>
      <c r="W1105" s="50" t="n">
        <v>0</v>
      </c>
      <c r="X1105" s="51" t="n">
        <v>0</v>
      </c>
      <c r="Y1105" s="52" t="n">
        <v>0</v>
      </c>
      <c r="Z1105" s="52" t="n">
        <v>0</v>
      </c>
      <c r="AA1105" s="52" t="n">
        <v>0</v>
      </c>
      <c r="AB1105" s="53" t="n">
        <v>0</v>
      </c>
      <c r="AC1105" s="52" t="n">
        <v>0</v>
      </c>
      <c r="AD1105" s="53" t="n">
        <v>0</v>
      </c>
      <c r="AE1105" s="52" t="n">
        <v>0</v>
      </c>
      <c r="AF1105" s="51" t="n">
        <v>0</v>
      </c>
      <c r="AG1105" s="48" t="n">
        <v>0</v>
      </c>
      <c r="AH1105" s="49" t="n">
        <v>0</v>
      </c>
      <c r="AI1105" s="49" t="n">
        <v>0</v>
      </c>
      <c r="AJ1105" s="50" t="n">
        <v>0</v>
      </c>
      <c r="AK1105" s="51" t="n">
        <v>0</v>
      </c>
      <c r="AL1105" s="52" t="n">
        <v>0</v>
      </c>
      <c r="AM1105" s="52" t="n">
        <v>0</v>
      </c>
      <c r="AN1105" s="52" t="n">
        <v>0</v>
      </c>
      <c r="AO1105" s="53" t="n">
        <v>0</v>
      </c>
      <c r="AP1105" s="52" t="n">
        <v>0</v>
      </c>
      <c r="AQ1105" s="53" t="n">
        <v>0</v>
      </c>
      <c r="AR1105" s="52" t="n">
        <v>0</v>
      </c>
      <c r="AS1105" s="51" t="n">
        <v>0</v>
      </c>
      <c r="AT1105" s="48" t="n">
        <v>0</v>
      </c>
      <c r="AU1105" s="49" t="n">
        <v>0</v>
      </c>
      <c r="AV1105" s="49" t="n">
        <v>0</v>
      </c>
      <c r="AW1105" s="50" t="n">
        <v>0</v>
      </c>
      <c r="AX1105" s="51" t="n">
        <v>0</v>
      </c>
      <c r="AY1105" s="52" t="n">
        <v>0</v>
      </c>
      <c r="AZ1105" s="52" t="n">
        <v>0</v>
      </c>
      <c r="BA1105" s="52" t="n">
        <v>0</v>
      </c>
      <c r="BB1105" s="53" t="n">
        <v>0</v>
      </c>
      <c r="BC1105" s="52" t="n">
        <v>0</v>
      </c>
      <c r="BD1105" s="53" t="n">
        <v>0</v>
      </c>
      <c r="BE1105" s="52" t="n">
        <v>0</v>
      </c>
      <c r="BF1105" s="51" t="n">
        <v>0</v>
      </c>
    </row>
    <row r="1106">
      <c r="A1106">
        <f>HYPERLINK("https://www.walmart.com/ip/634192094", "634192094")</f>
        <v/>
      </c>
      <c r="B1106" t="inlineStr">
        <is>
          <t>Terra Cool Mens Baseball Cap Hat USA American Flag Printed Flat Bill Buckle</t>
        </is>
      </c>
      <c r="C1106" t="inlineStr">
        <is>
          <t>TERRACAP-B003A</t>
        </is>
      </c>
      <c r="D1106" t="inlineStr">
        <is>
          <t>Hats</t>
        </is>
      </c>
      <c r="E1106" t="inlineStr">
        <is>
          <t>Terra</t>
        </is>
      </c>
      <c r="F1106" t="inlineStr">
        <is>
          <t>Optimized</t>
        </is>
      </c>
      <c r="G1106" s="48" t="n">
        <v>0</v>
      </c>
      <c r="H1106" s="49" t="n">
        <v>0</v>
      </c>
      <c r="I1106" s="49" t="n">
        <v>0</v>
      </c>
      <c r="J1106" s="50" t="n">
        <v>0</v>
      </c>
      <c r="K1106" s="51" t="n">
        <v>0</v>
      </c>
      <c r="L1106" s="52" t="n">
        <v>0</v>
      </c>
      <c r="M1106" s="52" t="n">
        <v>0</v>
      </c>
      <c r="N1106" s="52" t="n">
        <v>0</v>
      </c>
      <c r="O1106" s="53" t="n">
        <v>0</v>
      </c>
      <c r="P1106" s="52" t="n">
        <v>0</v>
      </c>
      <c r="Q1106" s="53" t="n">
        <v>0</v>
      </c>
      <c r="R1106" s="52" t="n">
        <v>0</v>
      </c>
      <c r="S1106" s="51" t="n">
        <v>0</v>
      </c>
      <c r="T1106" s="48" t="n">
        <v>0</v>
      </c>
      <c r="U1106" s="49" t="n">
        <v>0</v>
      </c>
      <c r="V1106" s="49" t="n">
        <v>0</v>
      </c>
      <c r="W1106" s="50" t="n">
        <v>0</v>
      </c>
      <c r="X1106" s="51" t="n">
        <v>0</v>
      </c>
      <c r="Y1106" s="52" t="n">
        <v>0</v>
      </c>
      <c r="Z1106" s="52" t="n">
        <v>0</v>
      </c>
      <c r="AA1106" s="52" t="n">
        <v>0</v>
      </c>
      <c r="AB1106" s="53" t="n">
        <v>0</v>
      </c>
      <c r="AC1106" s="52" t="n">
        <v>0</v>
      </c>
      <c r="AD1106" s="53" t="n">
        <v>0</v>
      </c>
      <c r="AE1106" s="52" t="n">
        <v>0</v>
      </c>
      <c r="AF1106" s="51" t="n">
        <v>0</v>
      </c>
      <c r="AG1106" s="48" t="n">
        <v>0</v>
      </c>
      <c r="AH1106" s="49" t="n">
        <v>0</v>
      </c>
      <c r="AI1106" s="49" t="n">
        <v>0</v>
      </c>
      <c r="AJ1106" s="50" t="n">
        <v>0</v>
      </c>
      <c r="AK1106" s="51" t="n">
        <v>0</v>
      </c>
      <c r="AL1106" s="52" t="n">
        <v>0</v>
      </c>
      <c r="AM1106" s="52" t="n">
        <v>0</v>
      </c>
      <c r="AN1106" s="52" t="n">
        <v>0</v>
      </c>
      <c r="AO1106" s="53" t="n">
        <v>0</v>
      </c>
      <c r="AP1106" s="52" t="n">
        <v>0</v>
      </c>
      <c r="AQ1106" s="53" t="n">
        <v>0</v>
      </c>
      <c r="AR1106" s="52" t="n">
        <v>0</v>
      </c>
      <c r="AS1106" s="51" t="n">
        <v>0</v>
      </c>
      <c r="AT1106" s="48" t="n">
        <v>0</v>
      </c>
      <c r="AU1106" s="49" t="n">
        <v>0</v>
      </c>
      <c r="AV1106" s="49" t="n">
        <v>0</v>
      </c>
      <c r="AW1106" s="50" t="n">
        <v>0</v>
      </c>
      <c r="AX1106" s="51" t="n">
        <v>0</v>
      </c>
      <c r="AY1106" s="52" t="n">
        <v>0</v>
      </c>
      <c r="AZ1106" s="52" t="n">
        <v>0</v>
      </c>
      <c r="BA1106" s="52" t="n">
        <v>0</v>
      </c>
      <c r="BB1106" s="53" t="n">
        <v>0</v>
      </c>
      <c r="BC1106" s="52" t="n">
        <v>0</v>
      </c>
      <c r="BD1106" s="53" t="n">
        <v>0</v>
      </c>
      <c r="BE1106" s="52" t="n">
        <v>0</v>
      </c>
      <c r="BF1106" s="51" t="n">
        <v>0</v>
      </c>
    </row>
    <row r="1107">
      <c r="A1107">
        <f>HYPERLINK("https://www.walmart.com/ip/635001768", "635001768")</f>
        <v/>
      </c>
      <c r="B1107" t="inlineStr">
        <is>
          <t>Catalonia Fleece Reversible Snuggle Micro Sherpa Soft Warm Blanket 60”x50”, Plush Throws for Bedding Couch Mulri-Color</t>
        </is>
      </c>
      <c r="C1107" t="inlineStr">
        <is>
          <t>1CTBF300PRD</t>
        </is>
      </c>
      <c r="D1107" t="inlineStr">
        <is>
          <t>Throws</t>
        </is>
      </c>
      <c r="E1107" t="inlineStr">
        <is>
          <t>Catalonia</t>
        </is>
      </c>
      <c r="F1107" t="inlineStr">
        <is>
          <t>Optimized,WFS,WFS Item,Fleece Blankets</t>
        </is>
      </c>
      <c r="G1107" s="48" t="n">
        <v>0</v>
      </c>
      <c r="H1107" s="49" t="n">
        <v>0</v>
      </c>
      <c r="I1107" s="49" t="n">
        <v>0</v>
      </c>
      <c r="J1107" s="50" t="n">
        <v>0</v>
      </c>
      <c r="K1107" s="51" t="n">
        <v>0</v>
      </c>
      <c r="L1107" s="52" t="n">
        <v>0</v>
      </c>
      <c r="M1107" s="52" t="n">
        <v>0</v>
      </c>
      <c r="N1107" s="52" t="n">
        <v>0</v>
      </c>
      <c r="O1107" s="53" t="n">
        <v>0</v>
      </c>
      <c r="P1107" s="52" t="n">
        <v>0</v>
      </c>
      <c r="Q1107" s="53" t="n">
        <v>0</v>
      </c>
      <c r="R1107" s="52" t="n">
        <v>0</v>
      </c>
      <c r="S1107" s="51" t="n">
        <v>0</v>
      </c>
      <c r="T1107" s="48" t="n">
        <v>0</v>
      </c>
      <c r="U1107" s="49" t="n">
        <v>0</v>
      </c>
      <c r="V1107" s="49" t="n">
        <v>0</v>
      </c>
      <c r="W1107" s="50" t="n">
        <v>0</v>
      </c>
      <c r="X1107" s="51" t="n">
        <v>0</v>
      </c>
      <c r="Y1107" s="52" t="n">
        <v>0</v>
      </c>
      <c r="Z1107" s="52" t="n">
        <v>0</v>
      </c>
      <c r="AA1107" s="52" t="n">
        <v>0</v>
      </c>
      <c r="AB1107" s="53" t="n">
        <v>0</v>
      </c>
      <c r="AC1107" s="52" t="n">
        <v>0</v>
      </c>
      <c r="AD1107" s="53" t="n">
        <v>0</v>
      </c>
      <c r="AE1107" s="52" t="n">
        <v>0</v>
      </c>
      <c r="AF1107" s="51" t="n">
        <v>0</v>
      </c>
      <c r="AG1107" s="48" t="n">
        <v>0</v>
      </c>
      <c r="AH1107" s="49" t="n">
        <v>0</v>
      </c>
      <c r="AI1107" s="49" t="n">
        <v>0</v>
      </c>
      <c r="AJ1107" s="50" t="n">
        <v>0</v>
      </c>
      <c r="AK1107" s="51" t="n">
        <v>0</v>
      </c>
      <c r="AL1107" s="52" t="n">
        <v>0</v>
      </c>
      <c r="AM1107" s="52" t="n">
        <v>0</v>
      </c>
      <c r="AN1107" s="52" t="n">
        <v>0</v>
      </c>
      <c r="AO1107" s="53" t="n">
        <v>0</v>
      </c>
      <c r="AP1107" s="52" t="n">
        <v>0</v>
      </c>
      <c r="AQ1107" s="53" t="n">
        <v>0</v>
      </c>
      <c r="AR1107" s="52" t="n">
        <v>0</v>
      </c>
      <c r="AS1107" s="51" t="n">
        <v>0</v>
      </c>
      <c r="AT1107" s="48" t="n">
        <v>0</v>
      </c>
      <c r="AU1107" s="49" t="n">
        <v>0</v>
      </c>
      <c r="AV1107" s="49" t="n">
        <v>0</v>
      </c>
      <c r="AW1107" s="50" t="n">
        <v>0</v>
      </c>
      <c r="AX1107" s="51" t="n">
        <v>0</v>
      </c>
      <c r="AY1107" s="52" t="n">
        <v>0</v>
      </c>
      <c r="AZ1107" s="52" t="n">
        <v>0</v>
      </c>
      <c r="BA1107" s="52" t="n">
        <v>0</v>
      </c>
      <c r="BB1107" s="53" t="n">
        <v>0</v>
      </c>
      <c r="BC1107" s="52" t="n">
        <v>0</v>
      </c>
      <c r="BD1107" s="53" t="n">
        <v>0</v>
      </c>
      <c r="BE1107" s="52" t="n">
        <v>0</v>
      </c>
      <c r="BF1107" s="51" t="n">
        <v>0</v>
      </c>
    </row>
    <row r="1108">
      <c r="A1108">
        <f>HYPERLINK("https://www.walmart.com/ip/635507508", "635507508")</f>
        <v/>
      </c>
      <c r="B1108" t="inlineStr">
        <is>
          <t>Tirrinia Poncho Blanket, Super Soft, Comfy, Plush Wearable Fleece Blanket for Women, Men and Kids, Camel, 55'' x 80''</t>
        </is>
      </c>
      <c r="C1108" t="inlineStr">
        <is>
          <t>1TRBP100CA-TBCB</t>
        </is>
      </c>
      <c r="D1108" t="inlineStr">
        <is>
          <t>Throws</t>
        </is>
      </c>
      <c r="E1108" t="inlineStr">
        <is>
          <t>Tirrinia</t>
        </is>
      </c>
      <c r="F1108" t="inlineStr">
        <is>
          <t>Q2-Target,Optimized,Coupon_Discount,Fleece Blankets</t>
        </is>
      </c>
      <c r="G1108" s="48" t="n">
        <v>0</v>
      </c>
      <c r="H1108" s="49" t="n">
        <v>0</v>
      </c>
      <c r="I1108" s="49" t="n">
        <v>0</v>
      </c>
      <c r="J1108" s="50" t="n">
        <v>0</v>
      </c>
      <c r="K1108" s="51" t="n">
        <v>0</v>
      </c>
      <c r="L1108" s="52" t="n">
        <v>0</v>
      </c>
      <c r="M1108" s="52" t="n">
        <v>0</v>
      </c>
      <c r="N1108" s="52" t="n">
        <v>0</v>
      </c>
      <c r="O1108" s="53" t="n">
        <v>0</v>
      </c>
      <c r="P1108" s="52" t="n">
        <v>0</v>
      </c>
      <c r="Q1108" s="53" t="n">
        <v>0</v>
      </c>
      <c r="R1108" s="52" t="n">
        <v>0</v>
      </c>
      <c r="S1108" s="51" t="n">
        <v>0</v>
      </c>
      <c r="T1108" s="48" t="n">
        <v>0</v>
      </c>
      <c r="U1108" s="49" t="n">
        <v>0</v>
      </c>
      <c r="V1108" s="49" t="n">
        <v>0</v>
      </c>
      <c r="W1108" s="50" t="n">
        <v>0</v>
      </c>
      <c r="X1108" s="51" t="n">
        <v>0</v>
      </c>
      <c r="Y1108" s="52" t="n">
        <v>0</v>
      </c>
      <c r="Z1108" s="52" t="n">
        <v>0</v>
      </c>
      <c r="AA1108" s="52" t="n">
        <v>0</v>
      </c>
      <c r="AB1108" s="53" t="n">
        <v>0</v>
      </c>
      <c r="AC1108" s="52" t="n">
        <v>0</v>
      </c>
      <c r="AD1108" s="53" t="n">
        <v>0</v>
      </c>
      <c r="AE1108" s="52" t="n">
        <v>0</v>
      </c>
      <c r="AF1108" s="51" t="n">
        <v>0</v>
      </c>
      <c r="AG1108" s="48" t="n">
        <v>0</v>
      </c>
      <c r="AH1108" s="49" t="n">
        <v>0</v>
      </c>
      <c r="AI1108" s="49" t="n">
        <v>0</v>
      </c>
      <c r="AJ1108" s="50" t="n">
        <v>0</v>
      </c>
      <c r="AK1108" s="51" t="n">
        <v>0</v>
      </c>
      <c r="AL1108" s="52" t="n">
        <v>0</v>
      </c>
      <c r="AM1108" s="52" t="n">
        <v>0</v>
      </c>
      <c r="AN1108" s="52" t="n">
        <v>0</v>
      </c>
      <c r="AO1108" s="53" t="n">
        <v>0</v>
      </c>
      <c r="AP1108" s="52" t="n">
        <v>0</v>
      </c>
      <c r="AQ1108" s="53" t="n">
        <v>0</v>
      </c>
      <c r="AR1108" s="52" t="n">
        <v>0</v>
      </c>
      <c r="AS1108" s="51" t="n">
        <v>0</v>
      </c>
      <c r="AT1108" s="48" t="n">
        <v>0</v>
      </c>
      <c r="AU1108" s="49" t="n">
        <v>0</v>
      </c>
      <c r="AV1108" s="49" t="n">
        <v>0</v>
      </c>
      <c r="AW1108" s="50" t="n">
        <v>0</v>
      </c>
      <c r="AX1108" s="51" t="n">
        <v>0</v>
      </c>
      <c r="AY1108" s="52" t="n">
        <v>0</v>
      </c>
      <c r="AZ1108" s="52" t="n">
        <v>0</v>
      </c>
      <c r="BA1108" s="52" t="n">
        <v>0</v>
      </c>
      <c r="BB1108" s="53" t="n">
        <v>0</v>
      </c>
      <c r="BC1108" s="52" t="n">
        <v>0</v>
      </c>
      <c r="BD1108" s="53" t="n">
        <v>0</v>
      </c>
      <c r="BE1108" s="52" t="n">
        <v>0</v>
      </c>
      <c r="BF1108" s="51" t="n">
        <v>0</v>
      </c>
    </row>
    <row r="1109">
      <c r="A1109">
        <f>HYPERLINK("https://www.walmart.com/ip/636155719", "636155719")</f>
        <v/>
      </c>
      <c r="B1109" t="inlineStr">
        <is>
          <t>Luxury Knit Throw Decorative Blanket with Pom Pom Fringe Super Soft Warm Sleeping Cover for Adults or Kids on the Couch</t>
        </is>
      </c>
      <c r="C1109" t="inlineStr">
        <is>
          <t>1TRBN200BN-TBCB</t>
        </is>
      </c>
      <c r="D1109" t="inlineStr">
        <is>
          <t>Throws</t>
        </is>
      </c>
      <c r="E1109" t="inlineStr">
        <is>
          <t>Tirrinia</t>
        </is>
      </c>
      <c r="G1109" s="48" t="n">
        <v>0</v>
      </c>
      <c r="H1109" s="49" t="n">
        <v>0</v>
      </c>
      <c r="I1109" s="49" t="n">
        <v>0</v>
      </c>
      <c r="J1109" s="50" t="n">
        <v>0</v>
      </c>
      <c r="K1109" s="51" t="n">
        <v>0</v>
      </c>
      <c r="L1109" s="52" t="n">
        <v>0</v>
      </c>
      <c r="M1109" s="52" t="n">
        <v>0</v>
      </c>
      <c r="N1109" s="52" t="n">
        <v>0</v>
      </c>
      <c r="O1109" s="53" t="n">
        <v>0</v>
      </c>
      <c r="P1109" s="52" t="n">
        <v>0</v>
      </c>
      <c r="Q1109" s="53" t="n">
        <v>0</v>
      </c>
      <c r="R1109" s="52" t="n">
        <v>0</v>
      </c>
      <c r="S1109" s="51" t="n">
        <v>0</v>
      </c>
      <c r="T1109" s="48" t="n">
        <v>0</v>
      </c>
      <c r="U1109" s="49" t="n">
        <v>0</v>
      </c>
      <c r="V1109" s="49" t="n">
        <v>0</v>
      </c>
      <c r="W1109" s="50" t="n">
        <v>0</v>
      </c>
      <c r="X1109" s="51" t="n">
        <v>0</v>
      </c>
      <c r="Y1109" s="52" t="n">
        <v>0</v>
      </c>
      <c r="Z1109" s="52" t="n">
        <v>0</v>
      </c>
      <c r="AA1109" s="52" t="n">
        <v>0</v>
      </c>
      <c r="AB1109" s="53" t="n">
        <v>0</v>
      </c>
      <c r="AC1109" s="52" t="n">
        <v>0</v>
      </c>
      <c r="AD1109" s="53" t="n">
        <v>0</v>
      </c>
      <c r="AE1109" s="52" t="n">
        <v>0</v>
      </c>
      <c r="AF1109" s="51" t="n">
        <v>0</v>
      </c>
      <c r="AG1109" s="48" t="n">
        <v>0</v>
      </c>
      <c r="AH1109" s="49" t="n">
        <v>0</v>
      </c>
      <c r="AI1109" s="49" t="n">
        <v>0</v>
      </c>
      <c r="AJ1109" s="50" t="n">
        <v>0</v>
      </c>
      <c r="AK1109" s="51" t="n">
        <v>0</v>
      </c>
      <c r="AL1109" s="52" t="n">
        <v>0</v>
      </c>
      <c r="AM1109" s="52" t="n">
        <v>0</v>
      </c>
      <c r="AN1109" s="52" t="n">
        <v>0</v>
      </c>
      <c r="AO1109" s="53" t="n">
        <v>0</v>
      </c>
      <c r="AP1109" s="52" t="n">
        <v>0</v>
      </c>
      <c r="AQ1109" s="53" t="n">
        <v>0</v>
      </c>
      <c r="AR1109" s="52" t="n">
        <v>0</v>
      </c>
      <c r="AS1109" s="51" t="n">
        <v>0</v>
      </c>
      <c r="AT1109" s="48" t="n">
        <v>0</v>
      </c>
      <c r="AU1109" s="49" t="n">
        <v>0</v>
      </c>
      <c r="AV1109" s="49" t="n">
        <v>0</v>
      </c>
      <c r="AW1109" s="50" t="n">
        <v>0</v>
      </c>
      <c r="AX1109" s="51" t="n">
        <v>0</v>
      </c>
      <c r="AY1109" s="52" t="n">
        <v>0</v>
      </c>
      <c r="AZ1109" s="52" t="n">
        <v>0</v>
      </c>
      <c r="BA1109" s="52" t="n">
        <v>0</v>
      </c>
      <c r="BB1109" s="53" t="n">
        <v>0</v>
      </c>
      <c r="BC1109" s="52" t="n">
        <v>0</v>
      </c>
      <c r="BD1109" s="53" t="n">
        <v>0</v>
      </c>
      <c r="BE1109" s="52" t="n">
        <v>0</v>
      </c>
      <c r="BF1109" s="51" t="n">
        <v>0</v>
      </c>
    </row>
    <row r="1110">
      <c r="A1110">
        <f>HYPERLINK("https://www.walmart.com/ip/637017115", "637017115")</f>
        <v/>
      </c>
      <c r="B1110" t="inlineStr">
        <is>
          <t>Catalonia Women's Plush Fleece Long Robe, Warm Comfy Fluffy Female Bathrobe with Hood, Machine Washable, One Size, Black</t>
        </is>
      </c>
      <c r="C1110" t="inlineStr">
        <is>
          <t>1CTRB100BK-LDCB</t>
        </is>
      </c>
      <c r="D1110" t="inlineStr">
        <is>
          <t>Sleepwear Robes &amp; Bathrobes</t>
        </is>
      </c>
      <c r="E1110" t="inlineStr">
        <is>
          <t>Catalonia</t>
        </is>
      </c>
      <c r="F1110" t="inlineStr">
        <is>
          <t>Optimized,Hero 5 Holidays,Bathrobe</t>
        </is>
      </c>
      <c r="G1110" s="48" t="n">
        <v>0</v>
      </c>
      <c r="H1110" s="49" t="n">
        <v>0</v>
      </c>
      <c r="I1110" s="49" t="n">
        <v>0</v>
      </c>
      <c r="J1110" s="50" t="n">
        <v>0</v>
      </c>
      <c r="K1110" s="51" t="n">
        <v>0</v>
      </c>
      <c r="L1110" s="52" t="n">
        <v>0</v>
      </c>
      <c r="M1110" s="52" t="n">
        <v>0</v>
      </c>
      <c r="N1110" s="52" t="n">
        <v>0</v>
      </c>
      <c r="O1110" s="53" t="n">
        <v>0</v>
      </c>
      <c r="P1110" s="52" t="n">
        <v>0</v>
      </c>
      <c r="Q1110" s="53" t="n">
        <v>0</v>
      </c>
      <c r="R1110" s="52" t="n">
        <v>0</v>
      </c>
      <c r="S1110" s="51" t="n">
        <v>0</v>
      </c>
      <c r="T1110" s="48" t="n">
        <v>0</v>
      </c>
      <c r="U1110" s="49" t="n">
        <v>0</v>
      </c>
      <c r="V1110" s="49" t="n">
        <v>0</v>
      </c>
      <c r="W1110" s="50" t="n">
        <v>0</v>
      </c>
      <c r="X1110" s="51" t="n">
        <v>0</v>
      </c>
      <c r="Y1110" s="52" t="n">
        <v>0</v>
      </c>
      <c r="Z1110" s="52" t="n">
        <v>0</v>
      </c>
      <c r="AA1110" s="52" t="n">
        <v>0</v>
      </c>
      <c r="AB1110" s="53" t="n">
        <v>0</v>
      </c>
      <c r="AC1110" s="52" t="n">
        <v>0</v>
      </c>
      <c r="AD1110" s="53" t="n">
        <v>0</v>
      </c>
      <c r="AE1110" s="52" t="n">
        <v>0</v>
      </c>
      <c r="AF1110" s="51" t="n">
        <v>0</v>
      </c>
      <c r="AG1110" s="48" t="n">
        <v>0</v>
      </c>
      <c r="AH1110" s="49" t="n">
        <v>0</v>
      </c>
      <c r="AI1110" s="49" t="n">
        <v>0</v>
      </c>
      <c r="AJ1110" s="50" t="n">
        <v>0</v>
      </c>
      <c r="AK1110" s="51" t="n">
        <v>0</v>
      </c>
      <c r="AL1110" s="52" t="n">
        <v>0</v>
      </c>
      <c r="AM1110" s="52" t="n">
        <v>0</v>
      </c>
      <c r="AN1110" s="52" t="n">
        <v>0</v>
      </c>
      <c r="AO1110" s="53" t="n">
        <v>0</v>
      </c>
      <c r="AP1110" s="52" t="n">
        <v>0</v>
      </c>
      <c r="AQ1110" s="53" t="n">
        <v>0</v>
      </c>
      <c r="AR1110" s="52" t="n">
        <v>0</v>
      </c>
      <c r="AS1110" s="51" t="n">
        <v>0</v>
      </c>
      <c r="AT1110" s="48" t="n">
        <v>0</v>
      </c>
      <c r="AU1110" s="49" t="n">
        <v>0</v>
      </c>
      <c r="AV1110" s="49" t="n">
        <v>0</v>
      </c>
      <c r="AW1110" s="50" t="n">
        <v>0</v>
      </c>
      <c r="AX1110" s="51" t="n">
        <v>0</v>
      </c>
      <c r="AY1110" s="52" t="n">
        <v>0</v>
      </c>
      <c r="AZ1110" s="52" t="n">
        <v>0</v>
      </c>
      <c r="BA1110" s="52" t="n">
        <v>0</v>
      </c>
      <c r="BB1110" s="53" t="n">
        <v>0</v>
      </c>
      <c r="BC1110" s="52" t="n">
        <v>0</v>
      </c>
      <c r="BD1110" s="53" t="n">
        <v>0</v>
      </c>
      <c r="BE1110" s="52" t="n">
        <v>0</v>
      </c>
      <c r="BF1110" s="51" t="n">
        <v>0</v>
      </c>
    </row>
    <row r="1111">
      <c r="A1111">
        <f>HYPERLINK("https://www.walmart.com/ip/637310703", "637310703")</f>
        <v/>
      </c>
      <c r="B1111" t="inlineStr">
        <is>
          <t>Wearable Fleece Blanket with Sleeves for Adult Women Men, Super Soft Comfy Plush TV Blanket Throw Wrap Cover for Lounge Couch Reading Watching TV 73" x 51" Blue</t>
        </is>
      </c>
      <c r="C1111" t="inlineStr">
        <is>
          <t>1TRSN100BL</t>
        </is>
      </c>
      <c r="D1111" t="inlineStr">
        <is>
          <t>Throws</t>
        </is>
      </c>
      <c r="E1111" t="inlineStr">
        <is>
          <t>Tirrinia</t>
        </is>
      </c>
      <c r="F1111" t="inlineStr">
        <is>
          <t>WFS,WFS Item,Fleece Blankets</t>
        </is>
      </c>
      <c r="G1111" s="48" t="n">
        <v>0</v>
      </c>
      <c r="H1111" s="49" t="n">
        <v>0</v>
      </c>
      <c r="I1111" s="49" t="n">
        <v>0</v>
      </c>
      <c r="J1111" s="50" t="n">
        <v>0</v>
      </c>
      <c r="K1111" s="51" t="n">
        <v>0</v>
      </c>
      <c r="L1111" s="52" t="n">
        <v>0</v>
      </c>
      <c r="M1111" s="52" t="n">
        <v>0</v>
      </c>
      <c r="N1111" s="52" t="n">
        <v>0</v>
      </c>
      <c r="O1111" s="53" t="n">
        <v>0</v>
      </c>
      <c r="P1111" s="52" t="n">
        <v>0</v>
      </c>
      <c r="Q1111" s="53" t="n">
        <v>0</v>
      </c>
      <c r="R1111" s="52" t="n">
        <v>0</v>
      </c>
      <c r="S1111" s="51" t="n">
        <v>0</v>
      </c>
      <c r="T1111" s="48" t="n">
        <v>0</v>
      </c>
      <c r="U1111" s="49" t="n">
        <v>0</v>
      </c>
      <c r="V1111" s="49" t="n">
        <v>0</v>
      </c>
      <c r="W1111" s="50" t="n">
        <v>0</v>
      </c>
      <c r="X1111" s="51" t="n">
        <v>0</v>
      </c>
      <c r="Y1111" s="52" t="n">
        <v>0</v>
      </c>
      <c r="Z1111" s="52" t="n">
        <v>0</v>
      </c>
      <c r="AA1111" s="52" t="n">
        <v>0</v>
      </c>
      <c r="AB1111" s="53" t="n">
        <v>0</v>
      </c>
      <c r="AC1111" s="52" t="n">
        <v>0</v>
      </c>
      <c r="AD1111" s="53" t="n">
        <v>0</v>
      </c>
      <c r="AE1111" s="52" t="n">
        <v>0</v>
      </c>
      <c r="AF1111" s="51" t="n">
        <v>0</v>
      </c>
      <c r="AG1111" s="48" t="n">
        <v>0</v>
      </c>
      <c r="AH1111" s="49" t="n">
        <v>0</v>
      </c>
      <c r="AI1111" s="49" t="n">
        <v>0</v>
      </c>
      <c r="AJ1111" s="50" t="n">
        <v>0</v>
      </c>
      <c r="AK1111" s="51" t="n">
        <v>0</v>
      </c>
      <c r="AL1111" s="52" t="n">
        <v>0</v>
      </c>
      <c r="AM1111" s="52" t="n">
        <v>0</v>
      </c>
      <c r="AN1111" s="52" t="n">
        <v>0</v>
      </c>
      <c r="AO1111" s="53" t="n">
        <v>0</v>
      </c>
      <c r="AP1111" s="52" t="n">
        <v>0</v>
      </c>
      <c r="AQ1111" s="53" t="n">
        <v>0</v>
      </c>
      <c r="AR1111" s="52" t="n">
        <v>0</v>
      </c>
      <c r="AS1111" s="51" t="n">
        <v>0</v>
      </c>
      <c r="AT1111" s="48" t="n">
        <v>0</v>
      </c>
      <c r="AU1111" s="49" t="n">
        <v>0</v>
      </c>
      <c r="AV1111" s="49" t="n">
        <v>0</v>
      </c>
      <c r="AW1111" s="50" t="n">
        <v>0</v>
      </c>
      <c r="AX1111" s="51" t="n">
        <v>0</v>
      </c>
      <c r="AY1111" s="52" t="n">
        <v>0</v>
      </c>
      <c r="AZ1111" s="52" t="n">
        <v>0</v>
      </c>
      <c r="BA1111" s="52" t="n">
        <v>0</v>
      </c>
      <c r="BB1111" s="53" t="n">
        <v>0</v>
      </c>
      <c r="BC1111" s="52" t="n">
        <v>0</v>
      </c>
      <c r="BD1111" s="53" t="n">
        <v>0</v>
      </c>
      <c r="BE1111" s="52" t="n">
        <v>0</v>
      </c>
      <c r="BF1111" s="51" t="n">
        <v>0</v>
      </c>
    </row>
    <row r="1112">
      <c r="A1112">
        <f>HYPERLINK("https://www.walmart.com/ip/638032822", "638032822")</f>
        <v/>
      </c>
      <c r="B1112" t="inlineStr">
        <is>
          <t>Mens Underwear Mens&amp;nbsp;Boxer&amp;nbsp;Briefs with Elastic Waistband Solid New Classic Fit, 3 Pack by Terra</t>
        </is>
      </c>
      <c r="C1112" t="inlineStr">
        <is>
          <t>TERRA-BOXER10-M</t>
        </is>
      </c>
      <c r="D1112" t="inlineStr">
        <is>
          <t>Underpants</t>
        </is>
      </c>
      <c r="E1112" t="inlineStr">
        <is>
          <t>Terra</t>
        </is>
      </c>
      <c r="F1112" t="inlineStr">
        <is>
          <t>Batch 1 - TR</t>
        </is>
      </c>
      <c r="G1112" s="48" t="n">
        <v>0</v>
      </c>
      <c r="H1112" s="49" t="n">
        <v>0</v>
      </c>
      <c r="I1112" s="49" t="n">
        <v>0</v>
      </c>
      <c r="J1112" s="50" t="n">
        <v>0</v>
      </c>
      <c r="K1112" s="51" t="n">
        <v>0</v>
      </c>
      <c r="L1112" s="52" t="n">
        <v>0</v>
      </c>
      <c r="M1112" s="52" t="n">
        <v>0</v>
      </c>
      <c r="N1112" s="52" t="n">
        <v>0</v>
      </c>
      <c r="O1112" s="53" t="n">
        <v>0</v>
      </c>
      <c r="P1112" s="52" t="n">
        <v>0</v>
      </c>
      <c r="Q1112" s="53" t="n">
        <v>0</v>
      </c>
      <c r="R1112" s="52" t="n">
        <v>0</v>
      </c>
      <c r="S1112" s="51" t="n">
        <v>0</v>
      </c>
      <c r="T1112" s="48" t="n">
        <v>0</v>
      </c>
      <c r="U1112" s="49" t="n">
        <v>0</v>
      </c>
      <c r="V1112" s="49" t="n">
        <v>0</v>
      </c>
      <c r="W1112" s="50" t="n">
        <v>0</v>
      </c>
      <c r="X1112" s="51" t="n">
        <v>0</v>
      </c>
      <c r="Y1112" s="52" t="n">
        <v>0</v>
      </c>
      <c r="Z1112" s="52" t="n">
        <v>0</v>
      </c>
      <c r="AA1112" s="52" t="n">
        <v>0</v>
      </c>
      <c r="AB1112" s="53" t="n">
        <v>0</v>
      </c>
      <c r="AC1112" s="52" t="n">
        <v>0</v>
      </c>
      <c r="AD1112" s="53" t="n">
        <v>0</v>
      </c>
      <c r="AE1112" s="52" t="n">
        <v>0</v>
      </c>
      <c r="AF1112" s="51" t="n">
        <v>0</v>
      </c>
      <c r="AG1112" s="48" t="n">
        <v>0</v>
      </c>
      <c r="AH1112" s="49" t="n">
        <v>0</v>
      </c>
      <c r="AI1112" s="49" t="n">
        <v>0</v>
      </c>
      <c r="AJ1112" s="50" t="n">
        <v>0</v>
      </c>
      <c r="AK1112" s="51" t="n">
        <v>0</v>
      </c>
      <c r="AL1112" s="52" t="n">
        <v>0</v>
      </c>
      <c r="AM1112" s="52" t="n">
        <v>0</v>
      </c>
      <c r="AN1112" s="52" t="n">
        <v>0</v>
      </c>
      <c r="AO1112" s="53" t="n">
        <v>0</v>
      </c>
      <c r="AP1112" s="52" t="n">
        <v>0</v>
      </c>
      <c r="AQ1112" s="53" t="n">
        <v>0</v>
      </c>
      <c r="AR1112" s="52" t="n">
        <v>0</v>
      </c>
      <c r="AS1112" s="51" t="n">
        <v>0</v>
      </c>
      <c r="AT1112" s="48" t="n">
        <v>0</v>
      </c>
      <c r="AU1112" s="49" t="n">
        <v>0</v>
      </c>
      <c r="AV1112" s="49" t="n">
        <v>0</v>
      </c>
      <c r="AW1112" s="50" t="n">
        <v>0</v>
      </c>
      <c r="AX1112" s="51" t="n">
        <v>0</v>
      </c>
      <c r="AY1112" s="52" t="n">
        <v>0</v>
      </c>
      <c r="AZ1112" s="52" t="n">
        <v>0</v>
      </c>
      <c r="BA1112" s="52" t="n">
        <v>0</v>
      </c>
      <c r="BB1112" s="53" t="n">
        <v>0</v>
      </c>
      <c r="BC1112" s="52" t="n">
        <v>0</v>
      </c>
      <c r="BD1112" s="53" t="n">
        <v>0</v>
      </c>
      <c r="BE1112" s="52" t="n">
        <v>0</v>
      </c>
      <c r="BF1112" s="51" t="n">
        <v>0</v>
      </c>
    </row>
    <row r="1113">
      <c r="A1113">
        <f>HYPERLINK("https://www.walmart.com/ip/638255663", "638255663")</f>
        <v/>
      </c>
      <c r="B1113" t="inlineStr">
        <is>
          <t>Terra Men Boxer Brief Underwear Best 3 Pack Most Comfortable Cotton Trunk Short</t>
        </is>
      </c>
      <c r="C1113" t="inlineStr">
        <is>
          <t>TERRA-BOXER3-M</t>
        </is>
      </c>
      <c r="D1113" t="inlineStr">
        <is>
          <t>Underpants</t>
        </is>
      </c>
      <c r="E1113" t="inlineStr">
        <is>
          <t>Terra</t>
        </is>
      </c>
      <c r="F1113" t="inlineStr">
        <is>
          <t>Batch 1 - TR</t>
        </is>
      </c>
      <c r="G1113" s="48" t="n">
        <v>0</v>
      </c>
      <c r="H1113" s="49" t="n">
        <v>0</v>
      </c>
      <c r="I1113" s="49" t="n">
        <v>0</v>
      </c>
      <c r="J1113" s="50" t="n">
        <v>0</v>
      </c>
      <c r="K1113" s="51" t="n">
        <v>0</v>
      </c>
      <c r="L1113" s="52" t="n">
        <v>0</v>
      </c>
      <c r="M1113" s="52" t="n">
        <v>0</v>
      </c>
      <c r="N1113" s="52" t="n">
        <v>0</v>
      </c>
      <c r="O1113" s="53" t="n">
        <v>0</v>
      </c>
      <c r="P1113" s="52" t="n">
        <v>0</v>
      </c>
      <c r="Q1113" s="53" t="n">
        <v>0</v>
      </c>
      <c r="R1113" s="52" t="n">
        <v>0</v>
      </c>
      <c r="S1113" s="51" t="n">
        <v>0</v>
      </c>
      <c r="T1113" s="48" t="n">
        <v>0</v>
      </c>
      <c r="U1113" s="49" t="n">
        <v>0</v>
      </c>
      <c r="V1113" s="49" t="n">
        <v>0</v>
      </c>
      <c r="W1113" s="50" t="n">
        <v>0</v>
      </c>
      <c r="X1113" s="51" t="n">
        <v>0</v>
      </c>
      <c r="Y1113" s="52" t="n">
        <v>0</v>
      </c>
      <c r="Z1113" s="52" t="n">
        <v>0</v>
      </c>
      <c r="AA1113" s="52" t="n">
        <v>0</v>
      </c>
      <c r="AB1113" s="53" t="n">
        <v>0</v>
      </c>
      <c r="AC1113" s="52" t="n">
        <v>0</v>
      </c>
      <c r="AD1113" s="53" t="n">
        <v>0</v>
      </c>
      <c r="AE1113" s="52" t="n">
        <v>0</v>
      </c>
      <c r="AF1113" s="51" t="n">
        <v>0</v>
      </c>
      <c r="AG1113" s="48" t="n">
        <v>0</v>
      </c>
      <c r="AH1113" s="49" t="n">
        <v>0</v>
      </c>
      <c r="AI1113" s="49" t="n">
        <v>0</v>
      </c>
      <c r="AJ1113" s="50" t="n">
        <v>0</v>
      </c>
      <c r="AK1113" s="51" t="n">
        <v>0</v>
      </c>
      <c r="AL1113" s="52" t="n">
        <v>0</v>
      </c>
      <c r="AM1113" s="52" t="n">
        <v>0</v>
      </c>
      <c r="AN1113" s="52" t="n">
        <v>0</v>
      </c>
      <c r="AO1113" s="53" t="n">
        <v>0</v>
      </c>
      <c r="AP1113" s="52" t="n">
        <v>0</v>
      </c>
      <c r="AQ1113" s="53" t="n">
        <v>0</v>
      </c>
      <c r="AR1113" s="52" t="n">
        <v>0</v>
      </c>
      <c r="AS1113" s="51" t="n">
        <v>0</v>
      </c>
      <c r="AT1113" s="48" t="n">
        <v>0</v>
      </c>
      <c r="AU1113" s="49" t="n">
        <v>0</v>
      </c>
      <c r="AV1113" s="49" t="n">
        <v>0</v>
      </c>
      <c r="AW1113" s="50" t="n">
        <v>0</v>
      </c>
      <c r="AX1113" s="51" t="n">
        <v>0</v>
      </c>
      <c r="AY1113" s="52" t="n">
        <v>0</v>
      </c>
      <c r="AZ1113" s="52" t="n">
        <v>0</v>
      </c>
      <c r="BA1113" s="52" t="n">
        <v>0</v>
      </c>
      <c r="BB1113" s="53" t="n">
        <v>0</v>
      </c>
      <c r="BC1113" s="52" t="n">
        <v>0</v>
      </c>
      <c r="BD1113" s="53" t="n">
        <v>0</v>
      </c>
      <c r="BE1113" s="52" t="n">
        <v>0</v>
      </c>
      <c r="BF1113" s="51" t="n">
        <v>0</v>
      </c>
    </row>
    <row r="1114">
      <c r="A1114">
        <f>HYPERLINK("https://www.walmart.com/ip/640528468", "640528468")</f>
        <v/>
      </c>
      <c r="B1114" t="inlineStr">
        <is>
          <t>Tirrinia Warm Comfy Foldable Outdoor Waterproof Blanket for Camping Stadium, 51'' X 59'', Navy</t>
        </is>
      </c>
      <c r="C1114" t="inlineStr">
        <is>
          <t>1TRBW506NYGY-TBCB</t>
        </is>
      </c>
      <c r="D1114" t="inlineStr">
        <is>
          <t>Throws</t>
        </is>
      </c>
      <c r="E1114" t="inlineStr">
        <is>
          <t>Tirrinia</t>
        </is>
      </c>
      <c r="F1114" t="inlineStr">
        <is>
          <t>Q2-Target,Optimized</t>
        </is>
      </c>
      <c r="G1114" s="48" t="n">
        <v>0</v>
      </c>
      <c r="H1114" s="49" t="n">
        <v>0</v>
      </c>
      <c r="I1114" s="49" t="n">
        <v>0</v>
      </c>
      <c r="J1114" s="50" t="n">
        <v>0</v>
      </c>
      <c r="K1114" s="51" t="n">
        <v>0</v>
      </c>
      <c r="L1114" s="52" t="n">
        <v>0</v>
      </c>
      <c r="M1114" s="52" t="n">
        <v>0</v>
      </c>
      <c r="N1114" s="52" t="n">
        <v>0</v>
      </c>
      <c r="O1114" s="53" t="n">
        <v>0</v>
      </c>
      <c r="P1114" s="52" t="n">
        <v>0</v>
      </c>
      <c r="Q1114" s="53" t="n">
        <v>0</v>
      </c>
      <c r="R1114" s="52" t="n">
        <v>0</v>
      </c>
      <c r="S1114" s="51" t="n">
        <v>0</v>
      </c>
      <c r="T1114" s="48" t="n">
        <v>0</v>
      </c>
      <c r="U1114" s="49" t="n">
        <v>0</v>
      </c>
      <c r="V1114" s="49" t="n">
        <v>0</v>
      </c>
      <c r="W1114" s="50" t="n">
        <v>0</v>
      </c>
      <c r="X1114" s="51" t="n">
        <v>0</v>
      </c>
      <c r="Y1114" s="52" t="n">
        <v>0</v>
      </c>
      <c r="Z1114" s="52" t="n">
        <v>0</v>
      </c>
      <c r="AA1114" s="52" t="n">
        <v>0</v>
      </c>
      <c r="AB1114" s="53" t="n">
        <v>0</v>
      </c>
      <c r="AC1114" s="52" t="n">
        <v>0</v>
      </c>
      <c r="AD1114" s="53" t="n">
        <v>0</v>
      </c>
      <c r="AE1114" s="52" t="n">
        <v>0</v>
      </c>
      <c r="AF1114" s="51" t="n">
        <v>0</v>
      </c>
      <c r="AG1114" s="48" t="n">
        <v>0</v>
      </c>
      <c r="AH1114" s="49" t="n">
        <v>0</v>
      </c>
      <c r="AI1114" s="49" t="n">
        <v>0</v>
      </c>
      <c r="AJ1114" s="50" t="n">
        <v>0</v>
      </c>
      <c r="AK1114" s="51" t="n">
        <v>0</v>
      </c>
      <c r="AL1114" s="52" t="n">
        <v>0</v>
      </c>
      <c r="AM1114" s="52" t="n">
        <v>0</v>
      </c>
      <c r="AN1114" s="52" t="n">
        <v>0</v>
      </c>
      <c r="AO1114" s="53" t="n">
        <v>0</v>
      </c>
      <c r="AP1114" s="52" t="n">
        <v>0</v>
      </c>
      <c r="AQ1114" s="53" t="n">
        <v>0</v>
      </c>
      <c r="AR1114" s="52" t="n">
        <v>0</v>
      </c>
      <c r="AS1114" s="51" t="n">
        <v>0</v>
      </c>
      <c r="AT1114" s="48" t="n">
        <v>0</v>
      </c>
      <c r="AU1114" s="49" t="n">
        <v>0</v>
      </c>
      <c r="AV1114" s="49" t="n">
        <v>0</v>
      </c>
      <c r="AW1114" s="50" t="n">
        <v>0</v>
      </c>
      <c r="AX1114" s="51" t="n">
        <v>0</v>
      </c>
      <c r="AY1114" s="52" t="n">
        <v>0</v>
      </c>
      <c r="AZ1114" s="52" t="n">
        <v>0</v>
      </c>
      <c r="BA1114" s="52" t="n">
        <v>0</v>
      </c>
      <c r="BB1114" s="53" t="n">
        <v>0</v>
      </c>
      <c r="BC1114" s="52" t="n">
        <v>0</v>
      </c>
      <c r="BD1114" s="53" t="n">
        <v>0</v>
      </c>
      <c r="BE1114" s="52" t="n">
        <v>0</v>
      </c>
      <c r="BF1114" s="51" t="n">
        <v>0</v>
      </c>
    </row>
    <row r="1115">
      <c r="A1115">
        <f>HYPERLINK("https://www.walmart.com/ip/655377883", "655377883")</f>
        <v/>
      </c>
      <c r="B1115" t="inlineStr">
        <is>
          <t>Tirrinia Fishing Hiking Hat for Women Safari Sun Hat Wide Brim Camping Hiking Fishing Hunting Boating Safari Cap with Adjustable Drawstring Boonie UPF 50+ Tan</t>
        </is>
      </c>
      <c r="C1115" t="inlineStr">
        <is>
          <t>1TRSH9154TN-TBGM</t>
        </is>
      </c>
      <c r="D1115" t="inlineStr">
        <is>
          <t>Hats</t>
        </is>
      </c>
      <c r="E1115" t="inlineStr">
        <is>
          <t>Sun Blocker</t>
        </is>
      </c>
      <c r="F1115" t="inlineStr">
        <is>
          <t>Batch 1 - TR</t>
        </is>
      </c>
      <c r="G1115" s="48" t="n">
        <v>0</v>
      </c>
      <c r="H1115" s="49" t="n">
        <v>0</v>
      </c>
      <c r="I1115" s="49" t="n">
        <v>0</v>
      </c>
      <c r="J1115" s="50" t="n">
        <v>0</v>
      </c>
      <c r="K1115" s="51" t="n">
        <v>0</v>
      </c>
      <c r="L1115" s="52" t="n">
        <v>0</v>
      </c>
      <c r="M1115" s="52" t="n">
        <v>0</v>
      </c>
      <c r="N1115" s="52" t="n">
        <v>0</v>
      </c>
      <c r="O1115" s="53" t="n">
        <v>0</v>
      </c>
      <c r="P1115" s="52" t="n">
        <v>0</v>
      </c>
      <c r="Q1115" s="53" t="n">
        <v>0</v>
      </c>
      <c r="R1115" s="52" t="n">
        <v>0</v>
      </c>
      <c r="S1115" s="51" t="n">
        <v>0</v>
      </c>
      <c r="T1115" s="48" t="n">
        <v>0</v>
      </c>
      <c r="U1115" s="49" t="n">
        <v>0</v>
      </c>
      <c r="V1115" s="49" t="n">
        <v>0</v>
      </c>
      <c r="W1115" s="50" t="n">
        <v>0</v>
      </c>
      <c r="X1115" s="51" t="n">
        <v>0</v>
      </c>
      <c r="Y1115" s="52" t="n">
        <v>0</v>
      </c>
      <c r="Z1115" s="52" t="n">
        <v>0</v>
      </c>
      <c r="AA1115" s="52" t="n">
        <v>0</v>
      </c>
      <c r="AB1115" s="53" t="n">
        <v>0</v>
      </c>
      <c r="AC1115" s="52" t="n">
        <v>0</v>
      </c>
      <c r="AD1115" s="53" t="n">
        <v>0</v>
      </c>
      <c r="AE1115" s="52" t="n">
        <v>0</v>
      </c>
      <c r="AF1115" s="51" t="n">
        <v>0</v>
      </c>
      <c r="AG1115" s="48" t="n">
        <v>0</v>
      </c>
      <c r="AH1115" s="49" t="n">
        <v>0</v>
      </c>
      <c r="AI1115" s="49" t="n">
        <v>0</v>
      </c>
      <c r="AJ1115" s="50" t="n">
        <v>0</v>
      </c>
      <c r="AK1115" s="51" t="n">
        <v>0</v>
      </c>
      <c r="AL1115" s="52" t="n">
        <v>0</v>
      </c>
      <c r="AM1115" s="52" t="n">
        <v>0</v>
      </c>
      <c r="AN1115" s="52" t="n">
        <v>0</v>
      </c>
      <c r="AO1115" s="53" t="n">
        <v>0</v>
      </c>
      <c r="AP1115" s="52" t="n">
        <v>0</v>
      </c>
      <c r="AQ1115" s="53" t="n">
        <v>0</v>
      </c>
      <c r="AR1115" s="52" t="n">
        <v>0</v>
      </c>
      <c r="AS1115" s="51" t="n">
        <v>0</v>
      </c>
      <c r="AT1115" s="48" t="n">
        <v>0</v>
      </c>
      <c r="AU1115" s="49" t="n">
        <v>0</v>
      </c>
      <c r="AV1115" s="49" t="n">
        <v>0</v>
      </c>
      <c r="AW1115" s="50" t="n">
        <v>0</v>
      </c>
      <c r="AX1115" s="51" t="n">
        <v>0</v>
      </c>
      <c r="AY1115" s="52" t="n">
        <v>0</v>
      </c>
      <c r="AZ1115" s="52" t="n">
        <v>0</v>
      </c>
      <c r="BA1115" s="52" t="n">
        <v>0</v>
      </c>
      <c r="BB1115" s="53" t="n">
        <v>0</v>
      </c>
      <c r="BC1115" s="52" t="n">
        <v>0</v>
      </c>
      <c r="BD1115" s="53" t="n">
        <v>0</v>
      </c>
      <c r="BE1115" s="52" t="n">
        <v>0</v>
      </c>
      <c r="BF1115" s="51" t="n">
        <v>0</v>
      </c>
    </row>
    <row r="1116">
      <c r="A1116">
        <f>HYPERLINK("https://www.walmart.com/ip/655974689", "655974689")</f>
        <v/>
      </c>
      <c r="B1116" t="inlineStr">
        <is>
          <t>Tirrinia Insulated 2 Bottle Wine Carrier Tote Cooler Bag for Travel Picnic Padded Champagne Glass</t>
        </is>
      </c>
      <c r="C1116" t="inlineStr">
        <is>
          <t>1TRWB231CHEETAH</t>
        </is>
      </c>
      <c r="D1116" t="inlineStr">
        <is>
          <t>Wine Totes, Bags &amp; Backpacks</t>
        </is>
      </c>
      <c r="E1116" t="inlineStr">
        <is>
          <t>Tirrinia</t>
        </is>
      </c>
      <c r="F1116" t="inlineStr">
        <is>
          <t>Wine,Christmas,WFS,Valentine,WFS Item</t>
        </is>
      </c>
      <c r="G1116" s="48" t="n">
        <v>0</v>
      </c>
      <c r="H1116" s="49" t="n">
        <v>0</v>
      </c>
      <c r="I1116" s="49" t="n">
        <v>0</v>
      </c>
      <c r="J1116" s="50" t="n">
        <v>0</v>
      </c>
      <c r="K1116" s="51" t="n">
        <v>0</v>
      </c>
      <c r="L1116" s="52" t="n">
        <v>0</v>
      </c>
      <c r="M1116" s="52" t="n">
        <v>0</v>
      </c>
      <c r="N1116" s="52" t="n">
        <v>0</v>
      </c>
      <c r="O1116" s="53" t="n">
        <v>0</v>
      </c>
      <c r="P1116" s="52" t="n">
        <v>0</v>
      </c>
      <c r="Q1116" s="53" t="n">
        <v>0</v>
      </c>
      <c r="R1116" s="52" t="n">
        <v>0</v>
      </c>
      <c r="S1116" s="51" t="n">
        <v>0</v>
      </c>
      <c r="T1116" s="48" t="n">
        <v>27.98</v>
      </c>
      <c r="U1116" s="49" t="n">
        <v>1</v>
      </c>
      <c r="V1116" s="49" t="n">
        <v>0</v>
      </c>
      <c r="W1116" s="50" t="n">
        <v>0</v>
      </c>
      <c r="X1116" s="51" t="n">
        <v>1</v>
      </c>
      <c r="Y1116" s="52" t="n">
        <v>0.4</v>
      </c>
      <c r="Z1116" s="52" t="n">
        <v>0</v>
      </c>
      <c r="AA1116" s="52" t="n">
        <v>0</v>
      </c>
      <c r="AB1116" s="53" t="n">
        <v>0.0026</v>
      </c>
      <c r="AC1116" s="52" t="n">
        <v>0.4</v>
      </c>
      <c r="AD1116" s="53" t="n">
        <v>0.01429592566118656</v>
      </c>
      <c r="AE1116" s="52" t="n">
        <v>27.98</v>
      </c>
      <c r="AF1116" s="51" t="n">
        <v>390</v>
      </c>
      <c r="AG1116" s="48" t="n">
        <v>0</v>
      </c>
      <c r="AH1116" s="49" t="n">
        <v>0</v>
      </c>
      <c r="AI1116" s="49" t="n">
        <v>0</v>
      </c>
      <c r="AJ1116" s="50" t="n">
        <v>0</v>
      </c>
      <c r="AK1116" s="51" t="n">
        <v>1</v>
      </c>
      <c r="AL1116" s="52" t="n">
        <v>0.44</v>
      </c>
      <c r="AM1116" s="52" t="n">
        <v>0</v>
      </c>
      <c r="AN1116" s="52" t="n">
        <v>0</v>
      </c>
      <c r="AO1116" s="53" t="n">
        <v>0.001</v>
      </c>
      <c r="AP1116" s="52" t="n">
        <v>0.44</v>
      </c>
      <c r="AQ1116" s="53" t="n">
        <v>0</v>
      </c>
      <c r="AR1116" s="52" t="n">
        <v>0</v>
      </c>
      <c r="AS1116" s="51" t="n">
        <v>1043</v>
      </c>
      <c r="AT1116" s="48" t="n">
        <v>0</v>
      </c>
      <c r="AU1116" s="49" t="n">
        <v>0</v>
      </c>
      <c r="AV1116" s="49" t="n">
        <v>0</v>
      </c>
      <c r="AW1116" s="50" t="n">
        <v>0</v>
      </c>
      <c r="AX1116" s="51" t="n">
        <v>0</v>
      </c>
      <c r="AY1116" s="52" t="n">
        <v>0</v>
      </c>
      <c r="AZ1116" s="52" t="n">
        <v>0</v>
      </c>
      <c r="BA1116" s="52" t="n">
        <v>0</v>
      </c>
      <c r="BB1116" s="53" t="n">
        <v>0</v>
      </c>
      <c r="BC1116" s="52" t="n">
        <v>0</v>
      </c>
      <c r="BD1116" s="53" t="n">
        <v>0</v>
      </c>
      <c r="BE1116" s="52" t="n">
        <v>0</v>
      </c>
      <c r="BF1116" s="51" t="n">
        <v>490</v>
      </c>
    </row>
    <row r="1117">
      <c r="A1117">
        <f>HYPERLINK("https://www.walmart.com/ip/689089955", "689089955")</f>
        <v/>
      </c>
      <c r="B1117" t="inlineStr">
        <is>
          <t>Catalonia Beach Changing Poncho Towel with Hood, Super Absorbent Microfiber Swim Robe for Men Women Surfing Bath Shower Pool, Quick Drying, Grey</t>
        </is>
      </c>
      <c r="C1117" t="inlineStr">
        <is>
          <t>1CTBR100-GY-ES</t>
        </is>
      </c>
      <c r="D1117" t="inlineStr">
        <is>
          <t>default</t>
        </is>
      </c>
      <c r="E1117" t="inlineStr">
        <is>
          <t>Catalonia</t>
        </is>
      </c>
      <c r="F1117" t="inlineStr">
        <is>
          <t>Optimized</t>
        </is>
      </c>
      <c r="G1117" s="48" t="n">
        <v>0</v>
      </c>
      <c r="H1117" s="49" t="n">
        <v>0</v>
      </c>
      <c r="I1117" s="49" t="n">
        <v>0</v>
      </c>
      <c r="J1117" s="50" t="n">
        <v>0</v>
      </c>
      <c r="K1117" s="51" t="n">
        <v>0</v>
      </c>
      <c r="L1117" s="52" t="n">
        <v>0</v>
      </c>
      <c r="M1117" s="52" t="n">
        <v>0</v>
      </c>
      <c r="N1117" s="52" t="n">
        <v>0</v>
      </c>
      <c r="O1117" s="53" t="n">
        <v>0</v>
      </c>
      <c r="P1117" s="52" t="n">
        <v>0</v>
      </c>
      <c r="Q1117" s="53" t="n">
        <v>0</v>
      </c>
      <c r="R1117" s="52" t="n">
        <v>0</v>
      </c>
      <c r="S1117" s="51" t="n">
        <v>0</v>
      </c>
      <c r="T1117" s="48" t="n">
        <v>0</v>
      </c>
      <c r="U1117" s="49" t="n">
        <v>0</v>
      </c>
      <c r="V1117" s="49" t="n">
        <v>0</v>
      </c>
      <c r="W1117" s="50" t="n">
        <v>0</v>
      </c>
      <c r="X1117" s="51" t="n">
        <v>0</v>
      </c>
      <c r="Y1117" s="52" t="n">
        <v>0</v>
      </c>
      <c r="Z1117" s="52" t="n">
        <v>0</v>
      </c>
      <c r="AA1117" s="52" t="n">
        <v>0</v>
      </c>
      <c r="AB1117" s="53" t="n">
        <v>0</v>
      </c>
      <c r="AC1117" s="52" t="n">
        <v>0</v>
      </c>
      <c r="AD1117" s="53" t="n">
        <v>0</v>
      </c>
      <c r="AE1117" s="52" t="n">
        <v>0</v>
      </c>
      <c r="AF1117" s="51" t="n">
        <v>0</v>
      </c>
      <c r="AG1117" s="48" t="n">
        <v>0</v>
      </c>
      <c r="AH1117" s="49" t="n">
        <v>0</v>
      </c>
      <c r="AI1117" s="49" t="n">
        <v>0</v>
      </c>
      <c r="AJ1117" s="50" t="n">
        <v>0</v>
      </c>
      <c r="AK1117" s="51" t="n">
        <v>0</v>
      </c>
      <c r="AL1117" s="52" t="n">
        <v>0</v>
      </c>
      <c r="AM1117" s="52" t="n">
        <v>0</v>
      </c>
      <c r="AN1117" s="52" t="n">
        <v>0</v>
      </c>
      <c r="AO1117" s="53" t="n">
        <v>0</v>
      </c>
      <c r="AP1117" s="52" t="n">
        <v>0</v>
      </c>
      <c r="AQ1117" s="53" t="n">
        <v>0</v>
      </c>
      <c r="AR1117" s="52" t="n">
        <v>0</v>
      </c>
      <c r="AS1117" s="51" t="n">
        <v>0</v>
      </c>
      <c r="AT1117" s="48" t="n">
        <v>0</v>
      </c>
      <c r="AU1117" s="49" t="n">
        <v>0</v>
      </c>
      <c r="AV1117" s="49" t="n">
        <v>0</v>
      </c>
      <c r="AW1117" s="50" t="n">
        <v>0</v>
      </c>
      <c r="AX1117" s="51" t="n">
        <v>0</v>
      </c>
      <c r="AY1117" s="52" t="n">
        <v>0</v>
      </c>
      <c r="AZ1117" s="52" t="n">
        <v>0</v>
      </c>
      <c r="BA1117" s="52" t="n">
        <v>0</v>
      </c>
      <c r="BB1117" s="53" t="n">
        <v>0</v>
      </c>
      <c r="BC1117" s="52" t="n">
        <v>0</v>
      </c>
      <c r="BD1117" s="53" t="n">
        <v>0</v>
      </c>
      <c r="BE1117" s="52" t="n">
        <v>0</v>
      </c>
      <c r="BF1117" s="51" t="n">
        <v>0</v>
      </c>
    </row>
    <row r="1118">
      <c r="A1118">
        <f>HYPERLINK("https://www.walmart.com/ip/671813265", "671813265")</f>
        <v/>
      </c>
      <c r="B1118" t="inlineStr">
        <is>
          <t>Microplush Sherpa Blanket with Sleeves for Women and Men</t>
        </is>
      </c>
      <c r="C1118" t="inlineStr">
        <is>
          <t>1TNSN110P2GN-TPB</t>
        </is>
      </c>
      <c r="D1118" t="inlineStr">
        <is>
          <t>Throws</t>
        </is>
      </c>
      <c r="E1118" t="inlineStr">
        <is>
          <t>Terrania</t>
        </is>
      </c>
      <c r="F1118" t="inlineStr">
        <is>
          <t>Optimized,ST Patrick Day</t>
        </is>
      </c>
      <c r="G1118" s="48" t="n">
        <v>0</v>
      </c>
      <c r="H1118" s="49" t="n">
        <v>0</v>
      </c>
      <c r="I1118" s="49" t="n">
        <v>0</v>
      </c>
      <c r="J1118" s="50" t="n">
        <v>0</v>
      </c>
      <c r="K1118" s="51" t="n">
        <v>0</v>
      </c>
      <c r="L1118" s="52" t="n">
        <v>0</v>
      </c>
      <c r="M1118" s="52" t="n">
        <v>0</v>
      </c>
      <c r="N1118" s="52" t="n">
        <v>0</v>
      </c>
      <c r="O1118" s="53" t="n">
        <v>0</v>
      </c>
      <c r="P1118" s="52" t="n">
        <v>0</v>
      </c>
      <c r="Q1118" s="53" t="n">
        <v>0</v>
      </c>
      <c r="R1118" s="52" t="n">
        <v>0</v>
      </c>
      <c r="S1118" s="51" t="n">
        <v>0</v>
      </c>
      <c r="T1118" s="48" t="n">
        <v>0</v>
      </c>
      <c r="U1118" s="49" t="n">
        <v>0</v>
      </c>
      <c r="V1118" s="49" t="n">
        <v>0</v>
      </c>
      <c r="W1118" s="50" t="n">
        <v>0</v>
      </c>
      <c r="X1118" s="51" t="n">
        <v>0</v>
      </c>
      <c r="Y1118" s="52" t="n">
        <v>0</v>
      </c>
      <c r="Z1118" s="52" t="n">
        <v>0</v>
      </c>
      <c r="AA1118" s="52" t="n">
        <v>0</v>
      </c>
      <c r="AB1118" s="53" t="n">
        <v>0</v>
      </c>
      <c r="AC1118" s="52" t="n">
        <v>0</v>
      </c>
      <c r="AD1118" s="53" t="n">
        <v>0</v>
      </c>
      <c r="AE1118" s="52" t="n">
        <v>0</v>
      </c>
      <c r="AF1118" s="51" t="n">
        <v>0</v>
      </c>
      <c r="AG1118" s="48" t="n">
        <v>0</v>
      </c>
      <c r="AH1118" s="49" t="n">
        <v>0</v>
      </c>
      <c r="AI1118" s="49" t="n">
        <v>0</v>
      </c>
      <c r="AJ1118" s="50" t="n">
        <v>0</v>
      </c>
      <c r="AK1118" s="51" t="n">
        <v>0</v>
      </c>
      <c r="AL1118" s="52" t="n">
        <v>0</v>
      </c>
      <c r="AM1118" s="52" t="n">
        <v>0</v>
      </c>
      <c r="AN1118" s="52" t="n">
        <v>0</v>
      </c>
      <c r="AO1118" s="53" t="n">
        <v>0</v>
      </c>
      <c r="AP1118" s="52" t="n">
        <v>0</v>
      </c>
      <c r="AQ1118" s="53" t="n">
        <v>0</v>
      </c>
      <c r="AR1118" s="52" t="n">
        <v>0</v>
      </c>
      <c r="AS1118" s="51" t="n">
        <v>0</v>
      </c>
      <c r="AT1118" s="48" t="n">
        <v>0</v>
      </c>
      <c r="AU1118" s="49" t="n">
        <v>0</v>
      </c>
      <c r="AV1118" s="49" t="n">
        <v>0</v>
      </c>
      <c r="AW1118" s="50" t="n">
        <v>0</v>
      </c>
      <c r="AX1118" s="51" t="n">
        <v>0</v>
      </c>
      <c r="AY1118" s="52" t="n">
        <v>0</v>
      </c>
      <c r="AZ1118" s="52" t="n">
        <v>0</v>
      </c>
      <c r="BA1118" s="52" t="n">
        <v>0</v>
      </c>
      <c r="BB1118" s="53" t="n">
        <v>0</v>
      </c>
      <c r="BC1118" s="52" t="n">
        <v>0</v>
      </c>
      <c r="BD1118" s="53" t="n">
        <v>0</v>
      </c>
      <c r="BE1118" s="52" t="n">
        <v>0</v>
      </c>
      <c r="BF1118" s="51" t="n">
        <v>0</v>
      </c>
    </row>
    <row r="1119">
      <c r="A1119">
        <f>HYPERLINK("https://www.walmart.com/ip/673271822", "673271822")</f>
        <v/>
      </c>
      <c r="B1119" t="inlineStr">
        <is>
          <t>Terra Youth Reflective Knit Hat High Visibility Cold Weather Running Beanie Cool</t>
        </is>
      </c>
      <c r="C1119" t="inlineStr">
        <is>
          <t>TERRABN01-PP</t>
        </is>
      </c>
      <c r="D1119" t="inlineStr">
        <is>
          <t>Hats</t>
        </is>
      </c>
      <c r="E1119" t="inlineStr">
        <is>
          <t>Terra</t>
        </is>
      </c>
      <c r="G1119" s="48" t="n">
        <v>0</v>
      </c>
      <c r="H1119" s="49" t="n">
        <v>0</v>
      </c>
      <c r="I1119" s="49" t="n">
        <v>0</v>
      </c>
      <c r="J1119" s="50" t="n">
        <v>0</v>
      </c>
      <c r="K1119" s="51" t="n">
        <v>0</v>
      </c>
      <c r="L1119" s="52" t="n">
        <v>0</v>
      </c>
      <c r="M1119" s="52" t="n">
        <v>0</v>
      </c>
      <c r="N1119" s="52" t="n">
        <v>0</v>
      </c>
      <c r="O1119" s="53" t="n">
        <v>0</v>
      </c>
      <c r="P1119" s="52" t="n">
        <v>0</v>
      </c>
      <c r="Q1119" s="53" t="n">
        <v>0</v>
      </c>
      <c r="R1119" s="52" t="n">
        <v>0</v>
      </c>
      <c r="S1119" s="51" t="n">
        <v>0</v>
      </c>
      <c r="T1119" s="48" t="n">
        <v>0</v>
      </c>
      <c r="U1119" s="49" t="n">
        <v>0</v>
      </c>
      <c r="V1119" s="49" t="n">
        <v>0</v>
      </c>
      <c r="W1119" s="50" t="n">
        <v>0</v>
      </c>
      <c r="X1119" s="51" t="n">
        <v>0</v>
      </c>
      <c r="Y1119" s="52" t="n">
        <v>0</v>
      </c>
      <c r="Z1119" s="52" t="n">
        <v>0</v>
      </c>
      <c r="AA1119" s="52" t="n">
        <v>0</v>
      </c>
      <c r="AB1119" s="53" t="n">
        <v>0</v>
      </c>
      <c r="AC1119" s="52" t="n">
        <v>0</v>
      </c>
      <c r="AD1119" s="53" t="n">
        <v>0</v>
      </c>
      <c r="AE1119" s="52" t="n">
        <v>0</v>
      </c>
      <c r="AF1119" s="51" t="n">
        <v>0</v>
      </c>
      <c r="AG1119" s="48" t="n">
        <v>0</v>
      </c>
      <c r="AH1119" s="49" t="n">
        <v>0</v>
      </c>
      <c r="AI1119" s="49" t="n">
        <v>0</v>
      </c>
      <c r="AJ1119" s="50" t="n">
        <v>0</v>
      </c>
      <c r="AK1119" s="51" t="n">
        <v>0</v>
      </c>
      <c r="AL1119" s="52" t="n">
        <v>0</v>
      </c>
      <c r="AM1119" s="52" t="n">
        <v>0</v>
      </c>
      <c r="AN1119" s="52" t="n">
        <v>0</v>
      </c>
      <c r="AO1119" s="53" t="n">
        <v>0</v>
      </c>
      <c r="AP1119" s="52" t="n">
        <v>0</v>
      </c>
      <c r="AQ1119" s="53" t="n">
        <v>0</v>
      </c>
      <c r="AR1119" s="52" t="n">
        <v>0</v>
      </c>
      <c r="AS1119" s="51" t="n">
        <v>0</v>
      </c>
      <c r="AT1119" s="48" t="n">
        <v>0</v>
      </c>
      <c r="AU1119" s="49" t="n">
        <v>0</v>
      </c>
      <c r="AV1119" s="49" t="n">
        <v>0</v>
      </c>
      <c r="AW1119" s="50" t="n">
        <v>0</v>
      </c>
      <c r="AX1119" s="51" t="n">
        <v>0</v>
      </c>
      <c r="AY1119" s="52" t="n">
        <v>0</v>
      </c>
      <c r="AZ1119" s="52" t="n">
        <v>0</v>
      </c>
      <c r="BA1119" s="52" t="n">
        <v>0</v>
      </c>
      <c r="BB1119" s="53" t="n">
        <v>0</v>
      </c>
      <c r="BC1119" s="52" t="n">
        <v>0</v>
      </c>
      <c r="BD1119" s="53" t="n">
        <v>0</v>
      </c>
      <c r="BE1119" s="52" t="n">
        <v>0</v>
      </c>
      <c r="BF1119" s="51" t="n">
        <v>0</v>
      </c>
    </row>
    <row r="1120">
      <c r="A1120">
        <f>HYPERLINK("https://www.walmart.com/ip/675588239", "675588239")</f>
        <v/>
      </c>
      <c r="B1120" t="inlineStr">
        <is>
          <t>Napa Plush  Throw Blanket Light Grey, Twin 60"x90", Striped Reversible Velvet Luxury Fleece Warm Bed Couch Blanket, Super Soft and Cozy</t>
        </is>
      </c>
      <c r="C1120" t="inlineStr">
        <is>
          <t>K8030TW-LGY</t>
        </is>
      </c>
      <c r="D1120" t="inlineStr">
        <is>
          <t>Throws</t>
        </is>
      </c>
      <c r="E1120" t="inlineStr">
        <is>
          <t>NAPA</t>
        </is>
      </c>
      <c r="F1120" t="inlineStr">
        <is>
          <t>Optimized</t>
        </is>
      </c>
      <c r="G1120" s="48" t="n">
        <v>0</v>
      </c>
      <c r="H1120" s="49" t="n">
        <v>0</v>
      </c>
      <c r="I1120" s="49" t="n">
        <v>0</v>
      </c>
      <c r="J1120" s="50" t="n">
        <v>0</v>
      </c>
      <c r="K1120" s="51" t="n">
        <v>0</v>
      </c>
      <c r="L1120" s="52" t="n">
        <v>0</v>
      </c>
      <c r="M1120" s="52" t="n">
        <v>0</v>
      </c>
      <c r="N1120" s="52" t="n">
        <v>0</v>
      </c>
      <c r="O1120" s="53" t="n">
        <v>0</v>
      </c>
      <c r="P1120" s="52" t="n">
        <v>0</v>
      </c>
      <c r="Q1120" s="53" t="n">
        <v>0</v>
      </c>
      <c r="R1120" s="52" t="n">
        <v>0</v>
      </c>
      <c r="S1120" s="51" t="n">
        <v>0</v>
      </c>
      <c r="T1120" s="48" t="n">
        <v>0</v>
      </c>
      <c r="U1120" s="49" t="n">
        <v>0</v>
      </c>
      <c r="V1120" s="49" t="n">
        <v>0</v>
      </c>
      <c r="W1120" s="50" t="n">
        <v>0</v>
      </c>
      <c r="X1120" s="51" t="n">
        <v>0</v>
      </c>
      <c r="Y1120" s="52" t="n">
        <v>0</v>
      </c>
      <c r="Z1120" s="52" t="n">
        <v>0</v>
      </c>
      <c r="AA1120" s="52" t="n">
        <v>0</v>
      </c>
      <c r="AB1120" s="53" t="n">
        <v>0</v>
      </c>
      <c r="AC1120" s="52" t="n">
        <v>0</v>
      </c>
      <c r="AD1120" s="53" t="n">
        <v>0</v>
      </c>
      <c r="AE1120" s="52" t="n">
        <v>0</v>
      </c>
      <c r="AF1120" s="51" t="n">
        <v>0</v>
      </c>
      <c r="AG1120" s="48" t="n">
        <v>0</v>
      </c>
      <c r="AH1120" s="49" t="n">
        <v>0</v>
      </c>
      <c r="AI1120" s="49" t="n">
        <v>0</v>
      </c>
      <c r="AJ1120" s="50" t="n">
        <v>0</v>
      </c>
      <c r="AK1120" s="51" t="n">
        <v>0</v>
      </c>
      <c r="AL1120" s="52" t="n">
        <v>0</v>
      </c>
      <c r="AM1120" s="52" t="n">
        <v>0</v>
      </c>
      <c r="AN1120" s="52" t="n">
        <v>0</v>
      </c>
      <c r="AO1120" s="53" t="n">
        <v>0</v>
      </c>
      <c r="AP1120" s="52" t="n">
        <v>0</v>
      </c>
      <c r="AQ1120" s="53" t="n">
        <v>0</v>
      </c>
      <c r="AR1120" s="52" t="n">
        <v>0</v>
      </c>
      <c r="AS1120" s="51" t="n">
        <v>0</v>
      </c>
      <c r="AT1120" s="48" t="n">
        <v>0</v>
      </c>
      <c r="AU1120" s="49" t="n">
        <v>0</v>
      </c>
      <c r="AV1120" s="49" t="n">
        <v>0</v>
      </c>
      <c r="AW1120" s="50" t="n">
        <v>0</v>
      </c>
      <c r="AX1120" s="51" t="n">
        <v>0</v>
      </c>
      <c r="AY1120" s="52" t="n">
        <v>0</v>
      </c>
      <c r="AZ1120" s="52" t="n">
        <v>0</v>
      </c>
      <c r="BA1120" s="52" t="n">
        <v>0</v>
      </c>
      <c r="BB1120" s="53" t="n">
        <v>0</v>
      </c>
      <c r="BC1120" s="52" t="n">
        <v>0</v>
      </c>
      <c r="BD1120" s="53" t="n">
        <v>0</v>
      </c>
      <c r="BE1120" s="52" t="n">
        <v>0</v>
      </c>
      <c r="BF1120" s="51" t="n">
        <v>0</v>
      </c>
    </row>
    <row r="1121">
      <c r="A1121">
        <f>HYPERLINK("https://www.walmart.com/ip/677316411", "677316411")</f>
        <v/>
      </c>
      <c r="B1121" t="inlineStr">
        <is>
          <t>Tirrinia Buffalo Plaid Fleece Blanket, Super Soft Warm Comfy Flannel Fleece for Bedding, Couch Cabin Throw, Decorative Blanket, Plaid Red, 50" x 60"</t>
        </is>
      </c>
      <c r="C1121" t="inlineStr">
        <is>
          <t>1TRBF576PRD</t>
        </is>
      </c>
      <c r="D1121" t="inlineStr">
        <is>
          <t>Throws</t>
        </is>
      </c>
      <c r="E1121" t="inlineStr">
        <is>
          <t>Tirrinia</t>
        </is>
      </c>
      <c r="F1121" t="inlineStr">
        <is>
          <t>Q2-Target,WFS,Coupon_Discount,WFS Item,Fleece Blankets</t>
        </is>
      </c>
      <c r="G1121" s="48" t="n">
        <v>0</v>
      </c>
      <c r="H1121" s="49" t="n">
        <v>0</v>
      </c>
      <c r="I1121" s="49" t="n">
        <v>0</v>
      </c>
      <c r="J1121" s="50" t="n">
        <v>0</v>
      </c>
      <c r="K1121" s="51" t="n">
        <v>0</v>
      </c>
      <c r="L1121" s="52" t="n">
        <v>0</v>
      </c>
      <c r="M1121" s="52" t="n">
        <v>0</v>
      </c>
      <c r="N1121" s="52" t="n">
        <v>0</v>
      </c>
      <c r="O1121" s="53" t="n">
        <v>0</v>
      </c>
      <c r="P1121" s="52" t="n">
        <v>0</v>
      </c>
      <c r="Q1121" s="53" t="n">
        <v>0</v>
      </c>
      <c r="R1121" s="52" t="n">
        <v>0</v>
      </c>
      <c r="S1121" s="51" t="n">
        <v>0</v>
      </c>
      <c r="T1121" s="48" t="n">
        <v>0</v>
      </c>
      <c r="U1121" s="49" t="n">
        <v>0</v>
      </c>
      <c r="V1121" s="49" t="n">
        <v>0</v>
      </c>
      <c r="W1121" s="50" t="n">
        <v>0</v>
      </c>
      <c r="X1121" s="51" t="n">
        <v>0</v>
      </c>
      <c r="Y1121" s="52" t="n">
        <v>0</v>
      </c>
      <c r="Z1121" s="52" t="n">
        <v>0</v>
      </c>
      <c r="AA1121" s="52" t="n">
        <v>0</v>
      </c>
      <c r="AB1121" s="53" t="n">
        <v>0</v>
      </c>
      <c r="AC1121" s="52" t="n">
        <v>0</v>
      </c>
      <c r="AD1121" s="53" t="n">
        <v>0</v>
      </c>
      <c r="AE1121" s="52" t="n">
        <v>0</v>
      </c>
      <c r="AF1121" s="51" t="n">
        <v>0</v>
      </c>
      <c r="AG1121" s="48" t="n">
        <v>0</v>
      </c>
      <c r="AH1121" s="49" t="n">
        <v>0</v>
      </c>
      <c r="AI1121" s="49" t="n">
        <v>0</v>
      </c>
      <c r="AJ1121" s="50" t="n">
        <v>0</v>
      </c>
      <c r="AK1121" s="51" t="n">
        <v>0</v>
      </c>
      <c r="AL1121" s="52" t="n">
        <v>0</v>
      </c>
      <c r="AM1121" s="52" t="n">
        <v>0</v>
      </c>
      <c r="AN1121" s="52" t="n">
        <v>0</v>
      </c>
      <c r="AO1121" s="53" t="n">
        <v>0</v>
      </c>
      <c r="AP1121" s="52" t="n">
        <v>0</v>
      </c>
      <c r="AQ1121" s="53" t="n">
        <v>0</v>
      </c>
      <c r="AR1121" s="52" t="n">
        <v>0</v>
      </c>
      <c r="AS1121" s="51" t="n">
        <v>0</v>
      </c>
      <c r="AT1121" s="48" t="n">
        <v>0</v>
      </c>
      <c r="AU1121" s="49" t="n">
        <v>0</v>
      </c>
      <c r="AV1121" s="49" t="n">
        <v>0</v>
      </c>
      <c r="AW1121" s="50" t="n">
        <v>0</v>
      </c>
      <c r="AX1121" s="51" t="n">
        <v>0</v>
      </c>
      <c r="AY1121" s="52" t="n">
        <v>0</v>
      </c>
      <c r="AZ1121" s="52" t="n">
        <v>0</v>
      </c>
      <c r="BA1121" s="52" t="n">
        <v>0</v>
      </c>
      <c r="BB1121" s="53" t="n">
        <v>0</v>
      </c>
      <c r="BC1121" s="52" t="n">
        <v>0</v>
      </c>
      <c r="BD1121" s="53" t="n">
        <v>0</v>
      </c>
      <c r="BE1121" s="52" t="n">
        <v>0</v>
      </c>
      <c r="BF1121" s="51" t="n">
        <v>0</v>
      </c>
    </row>
    <row r="1122">
      <c r="A1122">
        <f>HYPERLINK("https://www.walmart.com/ip/677328308", "677328308")</f>
        <v/>
      </c>
      <c r="B1122" t="inlineStr">
        <is>
          <t>KC Caps® Cotton Twill Unconstructed Hat Velcro Closure Casual Trucker Cap</t>
        </is>
      </c>
      <c r="C1122" t="inlineStr">
        <is>
          <t>KC Caps 8321 Camo Green</t>
        </is>
      </c>
      <c r="D1122" t="inlineStr">
        <is>
          <t>Hats</t>
        </is>
      </c>
      <c r="E1122" t="inlineStr">
        <is>
          <t>KC Caps</t>
        </is>
      </c>
      <c r="F1122" t="inlineStr">
        <is>
          <t>Optimized,ST Patrick Day</t>
        </is>
      </c>
      <c r="G1122" s="48" t="n">
        <v>0</v>
      </c>
      <c r="H1122" s="49" t="n">
        <v>0</v>
      </c>
      <c r="I1122" s="49" t="n">
        <v>0</v>
      </c>
      <c r="J1122" s="50" t="n">
        <v>0</v>
      </c>
      <c r="K1122" s="51" t="n">
        <v>0</v>
      </c>
      <c r="L1122" s="52" t="n">
        <v>0</v>
      </c>
      <c r="M1122" s="52" t="n">
        <v>0</v>
      </c>
      <c r="N1122" s="52" t="n">
        <v>0</v>
      </c>
      <c r="O1122" s="53" t="n">
        <v>0</v>
      </c>
      <c r="P1122" s="52" t="n">
        <v>0</v>
      </c>
      <c r="Q1122" s="53" t="n">
        <v>0</v>
      </c>
      <c r="R1122" s="52" t="n">
        <v>0</v>
      </c>
      <c r="S1122" s="51" t="n">
        <v>0</v>
      </c>
      <c r="T1122" s="48" t="n">
        <v>0</v>
      </c>
      <c r="U1122" s="49" t="n">
        <v>0</v>
      </c>
      <c r="V1122" s="49" t="n">
        <v>0</v>
      </c>
      <c r="W1122" s="50" t="n">
        <v>0</v>
      </c>
      <c r="X1122" s="51" t="n">
        <v>0</v>
      </c>
      <c r="Y1122" s="52" t="n">
        <v>0</v>
      </c>
      <c r="Z1122" s="52" t="n">
        <v>0</v>
      </c>
      <c r="AA1122" s="52" t="n">
        <v>0</v>
      </c>
      <c r="AB1122" s="53" t="n">
        <v>0</v>
      </c>
      <c r="AC1122" s="52" t="n">
        <v>0</v>
      </c>
      <c r="AD1122" s="53" t="n">
        <v>0</v>
      </c>
      <c r="AE1122" s="52" t="n">
        <v>0</v>
      </c>
      <c r="AF1122" s="51" t="n">
        <v>0</v>
      </c>
      <c r="AG1122" s="48" t="n">
        <v>0</v>
      </c>
      <c r="AH1122" s="49" t="n">
        <v>0</v>
      </c>
      <c r="AI1122" s="49" t="n">
        <v>0</v>
      </c>
      <c r="AJ1122" s="50" t="n">
        <v>0</v>
      </c>
      <c r="AK1122" s="51" t="n">
        <v>0</v>
      </c>
      <c r="AL1122" s="52" t="n">
        <v>0</v>
      </c>
      <c r="AM1122" s="52" t="n">
        <v>0</v>
      </c>
      <c r="AN1122" s="52" t="n">
        <v>0</v>
      </c>
      <c r="AO1122" s="53" t="n">
        <v>0</v>
      </c>
      <c r="AP1122" s="52" t="n">
        <v>0</v>
      </c>
      <c r="AQ1122" s="53" t="n">
        <v>0</v>
      </c>
      <c r="AR1122" s="52" t="n">
        <v>0</v>
      </c>
      <c r="AS1122" s="51" t="n">
        <v>0</v>
      </c>
      <c r="AT1122" s="48" t="n">
        <v>0</v>
      </c>
      <c r="AU1122" s="49" t="n">
        <v>0</v>
      </c>
      <c r="AV1122" s="49" t="n">
        <v>0</v>
      </c>
      <c r="AW1122" s="50" t="n">
        <v>0</v>
      </c>
      <c r="AX1122" s="51" t="n">
        <v>0</v>
      </c>
      <c r="AY1122" s="52" t="n">
        <v>0</v>
      </c>
      <c r="AZ1122" s="52" t="n">
        <v>0</v>
      </c>
      <c r="BA1122" s="52" t="n">
        <v>0</v>
      </c>
      <c r="BB1122" s="53" t="n">
        <v>0</v>
      </c>
      <c r="BC1122" s="52" t="n">
        <v>0</v>
      </c>
      <c r="BD1122" s="53" t="n">
        <v>0</v>
      </c>
      <c r="BE1122" s="52" t="n">
        <v>0</v>
      </c>
      <c r="BF1122" s="51" t="n">
        <v>0</v>
      </c>
    </row>
    <row r="1123">
      <c r="A1123">
        <f>HYPERLINK("https://www.walmart.com/ip/677404672", "677404672")</f>
        <v/>
      </c>
      <c r="B1123" t="inlineStr">
        <is>
          <t>Long Kinky Curly Wig Lace Front,Synthetic Fiber Deep Wave Afro Hair Replacement Wig 19 Inch</t>
        </is>
      </c>
      <c r="C1123" t="inlineStr">
        <is>
          <t>1CTWIG001-1B-ESCB</t>
        </is>
      </c>
      <c r="D1123" t="inlineStr">
        <is>
          <t>Wigs &amp; Toupees</t>
        </is>
      </c>
      <c r="E1123" t="inlineStr">
        <is>
          <t>Catalonia</t>
        </is>
      </c>
      <c r="G1123" s="48" t="n">
        <v>0</v>
      </c>
      <c r="H1123" s="49" t="n">
        <v>0</v>
      </c>
      <c r="I1123" s="49" t="n">
        <v>0</v>
      </c>
      <c r="J1123" s="50" t="n">
        <v>0</v>
      </c>
      <c r="K1123" s="51" t="n">
        <v>0</v>
      </c>
      <c r="L1123" s="52" t="n">
        <v>0</v>
      </c>
      <c r="M1123" s="52" t="n">
        <v>0</v>
      </c>
      <c r="N1123" s="52" t="n">
        <v>0</v>
      </c>
      <c r="O1123" s="53" t="n">
        <v>0</v>
      </c>
      <c r="P1123" s="52" t="n">
        <v>0</v>
      </c>
      <c r="Q1123" s="53" t="n">
        <v>0</v>
      </c>
      <c r="R1123" s="52" t="n">
        <v>0</v>
      </c>
      <c r="S1123" s="51" t="n">
        <v>0</v>
      </c>
      <c r="T1123" s="48" t="n">
        <v>0</v>
      </c>
      <c r="U1123" s="49" t="n">
        <v>0</v>
      </c>
      <c r="V1123" s="49" t="n">
        <v>0</v>
      </c>
      <c r="W1123" s="50" t="n">
        <v>0</v>
      </c>
      <c r="X1123" s="51" t="n">
        <v>0</v>
      </c>
      <c r="Y1123" s="52" t="n">
        <v>0</v>
      </c>
      <c r="Z1123" s="52" t="n">
        <v>0</v>
      </c>
      <c r="AA1123" s="52" t="n">
        <v>0</v>
      </c>
      <c r="AB1123" s="53" t="n">
        <v>0</v>
      </c>
      <c r="AC1123" s="52" t="n">
        <v>0</v>
      </c>
      <c r="AD1123" s="53" t="n">
        <v>0</v>
      </c>
      <c r="AE1123" s="52" t="n">
        <v>0</v>
      </c>
      <c r="AF1123" s="51" t="n">
        <v>0</v>
      </c>
      <c r="AG1123" s="48" t="n">
        <v>0</v>
      </c>
      <c r="AH1123" s="49" t="n">
        <v>0</v>
      </c>
      <c r="AI1123" s="49" t="n">
        <v>0</v>
      </c>
      <c r="AJ1123" s="50" t="n">
        <v>0</v>
      </c>
      <c r="AK1123" s="51" t="n">
        <v>0</v>
      </c>
      <c r="AL1123" s="52" t="n">
        <v>0</v>
      </c>
      <c r="AM1123" s="52" t="n">
        <v>0</v>
      </c>
      <c r="AN1123" s="52" t="n">
        <v>0</v>
      </c>
      <c r="AO1123" s="53" t="n">
        <v>0</v>
      </c>
      <c r="AP1123" s="52" t="n">
        <v>0</v>
      </c>
      <c r="AQ1123" s="53" t="n">
        <v>0</v>
      </c>
      <c r="AR1123" s="52" t="n">
        <v>0</v>
      </c>
      <c r="AS1123" s="51" t="n">
        <v>0</v>
      </c>
      <c r="AT1123" s="48" t="n">
        <v>0</v>
      </c>
      <c r="AU1123" s="49" t="n">
        <v>0</v>
      </c>
      <c r="AV1123" s="49" t="n">
        <v>0</v>
      </c>
      <c r="AW1123" s="50" t="n">
        <v>0</v>
      </c>
      <c r="AX1123" s="51" t="n">
        <v>0</v>
      </c>
      <c r="AY1123" s="52" t="n">
        <v>0</v>
      </c>
      <c r="AZ1123" s="52" t="n">
        <v>0</v>
      </c>
      <c r="BA1123" s="52" t="n">
        <v>0</v>
      </c>
      <c r="BB1123" s="53" t="n">
        <v>0</v>
      </c>
      <c r="BC1123" s="52" t="n">
        <v>0</v>
      </c>
      <c r="BD1123" s="53" t="n">
        <v>0</v>
      </c>
      <c r="BE1123" s="52" t="n">
        <v>0</v>
      </c>
      <c r="BF1123" s="51" t="n">
        <v>0</v>
      </c>
    </row>
    <row r="1124">
      <c r="A1124">
        <f>HYPERLINK("https://www.walmart.com/ip/677566457", "677566457")</f>
        <v/>
      </c>
      <c r="B1124" t="inlineStr">
        <is>
          <t>Catalonia Wearable Blanket with Sleeves and Pocket, Cozy Soft Fleece Micro Plush Wrap Adult Blanket Robe for Women Men, Makes a Great Gift for Holidays, Latte</t>
        </is>
      </c>
      <c r="C1124" t="inlineStr">
        <is>
          <t>1CTSN100LT</t>
        </is>
      </c>
      <c r="D1124" t="inlineStr">
        <is>
          <t>Throws</t>
        </is>
      </c>
      <c r="E1124" t="inlineStr">
        <is>
          <t>Catalonia</t>
        </is>
      </c>
      <c r="F1124" t="inlineStr">
        <is>
          <t>Coupon_Discount,Batch 1 - TR</t>
        </is>
      </c>
      <c r="G1124" s="48" t="n">
        <v>0</v>
      </c>
      <c r="H1124" s="49" t="n">
        <v>0</v>
      </c>
      <c r="I1124" s="49" t="n">
        <v>0</v>
      </c>
      <c r="J1124" s="50" t="n">
        <v>0</v>
      </c>
      <c r="K1124" s="51" t="n">
        <v>0</v>
      </c>
      <c r="L1124" s="52" t="n">
        <v>0</v>
      </c>
      <c r="M1124" s="52" t="n">
        <v>0</v>
      </c>
      <c r="N1124" s="52" t="n">
        <v>0</v>
      </c>
      <c r="O1124" s="53" t="n">
        <v>0</v>
      </c>
      <c r="P1124" s="52" t="n">
        <v>0</v>
      </c>
      <c r="Q1124" s="53" t="n">
        <v>0</v>
      </c>
      <c r="R1124" s="52" t="n">
        <v>0</v>
      </c>
      <c r="S1124" s="51" t="n">
        <v>0</v>
      </c>
      <c r="T1124" s="48" t="n">
        <v>0</v>
      </c>
      <c r="U1124" s="49" t="n">
        <v>0</v>
      </c>
      <c r="V1124" s="49" t="n">
        <v>0</v>
      </c>
      <c r="W1124" s="50" t="n">
        <v>0</v>
      </c>
      <c r="X1124" s="51" t="n">
        <v>0</v>
      </c>
      <c r="Y1124" s="52" t="n">
        <v>0</v>
      </c>
      <c r="Z1124" s="52" t="n">
        <v>0</v>
      </c>
      <c r="AA1124" s="52" t="n">
        <v>0</v>
      </c>
      <c r="AB1124" s="53" t="n">
        <v>0</v>
      </c>
      <c r="AC1124" s="52" t="n">
        <v>0</v>
      </c>
      <c r="AD1124" s="53" t="n">
        <v>0</v>
      </c>
      <c r="AE1124" s="52" t="n">
        <v>0</v>
      </c>
      <c r="AF1124" s="51" t="n">
        <v>0</v>
      </c>
      <c r="AG1124" s="48" t="n">
        <v>0</v>
      </c>
      <c r="AH1124" s="49" t="n">
        <v>0</v>
      </c>
      <c r="AI1124" s="49" t="n">
        <v>0</v>
      </c>
      <c r="AJ1124" s="50" t="n">
        <v>0</v>
      </c>
      <c r="AK1124" s="51" t="n">
        <v>0</v>
      </c>
      <c r="AL1124" s="52" t="n">
        <v>0</v>
      </c>
      <c r="AM1124" s="52" t="n">
        <v>0</v>
      </c>
      <c r="AN1124" s="52" t="n">
        <v>0</v>
      </c>
      <c r="AO1124" s="53" t="n">
        <v>0</v>
      </c>
      <c r="AP1124" s="52" t="n">
        <v>0</v>
      </c>
      <c r="AQ1124" s="53" t="n">
        <v>0</v>
      </c>
      <c r="AR1124" s="52" t="n">
        <v>0</v>
      </c>
      <c r="AS1124" s="51" t="n">
        <v>0</v>
      </c>
      <c r="AT1124" s="48" t="n">
        <v>0</v>
      </c>
      <c r="AU1124" s="49" t="n">
        <v>0</v>
      </c>
      <c r="AV1124" s="49" t="n">
        <v>0</v>
      </c>
      <c r="AW1124" s="50" t="n">
        <v>0</v>
      </c>
      <c r="AX1124" s="51" t="n">
        <v>0</v>
      </c>
      <c r="AY1124" s="52" t="n">
        <v>0</v>
      </c>
      <c r="AZ1124" s="52" t="n">
        <v>0</v>
      </c>
      <c r="BA1124" s="52" t="n">
        <v>0</v>
      </c>
      <c r="BB1124" s="53" t="n">
        <v>0</v>
      </c>
      <c r="BC1124" s="52" t="n">
        <v>0</v>
      </c>
      <c r="BD1124" s="53" t="n">
        <v>0</v>
      </c>
      <c r="BE1124" s="52" t="n">
        <v>0</v>
      </c>
      <c r="BF1124" s="51" t="n">
        <v>0</v>
      </c>
    </row>
    <row r="1125">
      <c r="A1125">
        <f>HYPERLINK("https://www.walmart.com/ip/680862595", "680862595")</f>
        <v/>
      </c>
      <c r="B1125" t="inlineStr">
        <is>
          <t>Solaris Sun Hats for Women with Neck Flap, Large Brim, UV Protection, Foldable, for Fishing and Hiking, Head Circumference 22.6".</t>
        </is>
      </c>
      <c r="C1125" t="inlineStr">
        <is>
          <t>1SLSH921TN</t>
        </is>
      </c>
      <c r="D1125" t="inlineStr">
        <is>
          <t>Hats</t>
        </is>
      </c>
      <c r="E1125" t="inlineStr">
        <is>
          <t>Solaris</t>
        </is>
      </c>
      <c r="F1125" t="inlineStr">
        <is>
          <t>Q2-Target,WFS,Hats,WFS Item</t>
        </is>
      </c>
      <c r="G1125" s="48" t="n">
        <v>0</v>
      </c>
      <c r="H1125" s="49" t="n">
        <v>0</v>
      </c>
      <c r="I1125" s="49" t="n">
        <v>0</v>
      </c>
      <c r="J1125" s="50" t="n">
        <v>0</v>
      </c>
      <c r="K1125" s="51" t="n">
        <v>0</v>
      </c>
      <c r="L1125" s="52" t="n">
        <v>0</v>
      </c>
      <c r="M1125" s="52" t="n">
        <v>0</v>
      </c>
      <c r="N1125" s="52" t="n">
        <v>0</v>
      </c>
      <c r="O1125" s="53" t="n">
        <v>0</v>
      </c>
      <c r="P1125" s="52" t="n">
        <v>0</v>
      </c>
      <c r="Q1125" s="53" t="n">
        <v>0</v>
      </c>
      <c r="R1125" s="52" t="n">
        <v>0</v>
      </c>
      <c r="S1125" s="51" t="n">
        <v>0</v>
      </c>
      <c r="T1125" s="48" t="n">
        <v>18.99</v>
      </c>
      <c r="U1125" s="49" t="n">
        <v>1</v>
      </c>
      <c r="V1125" s="49" t="n">
        <v>0</v>
      </c>
      <c r="W1125" s="50" t="n">
        <v>0</v>
      </c>
      <c r="X1125" s="51" t="n">
        <v>0</v>
      </c>
      <c r="Y1125" s="52" t="n">
        <v>0</v>
      </c>
      <c r="Z1125" s="52" t="n">
        <v>0</v>
      </c>
      <c r="AA1125" s="52" t="n">
        <v>0</v>
      </c>
      <c r="AB1125" s="53" t="n">
        <v>0</v>
      </c>
      <c r="AC1125" s="52" t="n">
        <v>0</v>
      </c>
      <c r="AD1125" s="53" t="n">
        <v>0</v>
      </c>
      <c r="AE1125" s="52" t="n">
        <v>18.99</v>
      </c>
      <c r="AF1125" s="51" t="n">
        <v>0</v>
      </c>
      <c r="AG1125" s="48" t="n">
        <v>0</v>
      </c>
      <c r="AH1125" s="49" t="n">
        <v>0</v>
      </c>
      <c r="AI1125" s="49" t="n">
        <v>0</v>
      </c>
      <c r="AJ1125" s="50" t="n">
        <v>0</v>
      </c>
      <c r="AK1125" s="51" t="n">
        <v>0</v>
      </c>
      <c r="AL1125" s="52" t="n">
        <v>0</v>
      </c>
      <c r="AM1125" s="52" t="n">
        <v>0</v>
      </c>
      <c r="AN1125" s="52" t="n">
        <v>0</v>
      </c>
      <c r="AO1125" s="53" t="n">
        <v>0</v>
      </c>
      <c r="AP1125" s="52" t="n">
        <v>0</v>
      </c>
      <c r="AQ1125" s="53" t="n">
        <v>0</v>
      </c>
      <c r="AR1125" s="52" t="n">
        <v>0</v>
      </c>
      <c r="AS1125" s="51" t="n">
        <v>0</v>
      </c>
      <c r="AT1125" s="48" t="n">
        <v>0</v>
      </c>
      <c r="AU1125" s="49" t="n">
        <v>0</v>
      </c>
      <c r="AV1125" s="49" t="n">
        <v>0</v>
      </c>
      <c r="AW1125" s="50" t="n">
        <v>0</v>
      </c>
      <c r="AX1125" s="51" t="n">
        <v>0</v>
      </c>
      <c r="AY1125" s="52" t="n">
        <v>0</v>
      </c>
      <c r="AZ1125" s="52" t="n">
        <v>0</v>
      </c>
      <c r="BA1125" s="52" t="n">
        <v>0</v>
      </c>
      <c r="BB1125" s="53" t="n">
        <v>0</v>
      </c>
      <c r="BC1125" s="52" t="n">
        <v>0</v>
      </c>
      <c r="BD1125" s="53" t="n">
        <v>0</v>
      </c>
      <c r="BE1125" s="52" t="n">
        <v>0</v>
      </c>
      <c r="BF1125" s="51" t="n">
        <v>0</v>
      </c>
    </row>
    <row r="1126">
      <c r="A1126">
        <f>HYPERLINK("https://www.walmart.com/ip/684978844", "684978844")</f>
        <v/>
      </c>
      <c r="B1126" t="inlineStr">
        <is>
          <t>Sherpa jackie Mink Fleece for Adults 73 x 51”| Cozy Warm</t>
        </is>
      </c>
      <c r="C1126" t="inlineStr">
        <is>
          <t>1CTJK200GY</t>
        </is>
      </c>
      <c r="D1126" t="inlineStr">
        <is>
          <t>Sweatshirts &amp; Hoodies</t>
        </is>
      </c>
      <c r="E1126" t="inlineStr">
        <is>
          <t>Catalonia</t>
        </is>
      </c>
      <c r="F1126" t="inlineStr">
        <is>
          <t>Jacket ForAdult,Optimized,WFS,WFS Item</t>
        </is>
      </c>
      <c r="G1126" s="48" t="n">
        <v>0</v>
      </c>
      <c r="H1126" s="49" t="n">
        <v>0</v>
      </c>
      <c r="I1126" s="49" t="n">
        <v>0</v>
      </c>
      <c r="J1126" s="50" t="n">
        <v>0</v>
      </c>
      <c r="K1126" s="51" t="n">
        <v>0</v>
      </c>
      <c r="L1126" s="52" t="n">
        <v>0</v>
      </c>
      <c r="M1126" s="52" t="n">
        <v>0</v>
      </c>
      <c r="N1126" s="52" t="n">
        <v>0</v>
      </c>
      <c r="O1126" s="53" t="n">
        <v>0</v>
      </c>
      <c r="P1126" s="52" t="n">
        <v>0</v>
      </c>
      <c r="Q1126" s="53" t="n">
        <v>0</v>
      </c>
      <c r="R1126" s="52" t="n">
        <v>0</v>
      </c>
      <c r="S1126" s="51" t="n">
        <v>0</v>
      </c>
      <c r="T1126" s="48" t="n">
        <v>0</v>
      </c>
      <c r="U1126" s="49" t="n">
        <v>0</v>
      </c>
      <c r="V1126" s="49" t="n">
        <v>0</v>
      </c>
      <c r="W1126" s="50" t="n">
        <v>0</v>
      </c>
      <c r="X1126" s="51" t="n">
        <v>0</v>
      </c>
      <c r="Y1126" s="52" t="n">
        <v>0</v>
      </c>
      <c r="Z1126" s="52" t="n">
        <v>0</v>
      </c>
      <c r="AA1126" s="52" t="n">
        <v>0</v>
      </c>
      <c r="AB1126" s="53" t="n">
        <v>0</v>
      </c>
      <c r="AC1126" s="52" t="n">
        <v>0</v>
      </c>
      <c r="AD1126" s="53" t="n">
        <v>0</v>
      </c>
      <c r="AE1126" s="52" t="n">
        <v>0</v>
      </c>
      <c r="AF1126" s="51" t="n">
        <v>0</v>
      </c>
      <c r="AG1126" s="48" t="n">
        <v>0</v>
      </c>
      <c r="AH1126" s="49" t="n">
        <v>0</v>
      </c>
      <c r="AI1126" s="49" t="n">
        <v>0</v>
      </c>
      <c r="AJ1126" s="50" t="n">
        <v>0</v>
      </c>
      <c r="AK1126" s="51" t="n">
        <v>0</v>
      </c>
      <c r="AL1126" s="52" t="n">
        <v>0</v>
      </c>
      <c r="AM1126" s="52" t="n">
        <v>0</v>
      </c>
      <c r="AN1126" s="52" t="n">
        <v>0</v>
      </c>
      <c r="AO1126" s="53" t="n">
        <v>0</v>
      </c>
      <c r="AP1126" s="52" t="n">
        <v>0</v>
      </c>
      <c r="AQ1126" s="53" t="n">
        <v>0</v>
      </c>
      <c r="AR1126" s="52" t="n">
        <v>0</v>
      </c>
      <c r="AS1126" s="51" t="n">
        <v>0</v>
      </c>
      <c r="AT1126" s="48" t="n">
        <v>0</v>
      </c>
      <c r="AU1126" s="49" t="n">
        <v>0</v>
      </c>
      <c r="AV1126" s="49" t="n">
        <v>0</v>
      </c>
      <c r="AW1126" s="50" t="n">
        <v>0</v>
      </c>
      <c r="AX1126" s="51" t="n">
        <v>0</v>
      </c>
      <c r="AY1126" s="52" t="n">
        <v>0</v>
      </c>
      <c r="AZ1126" s="52" t="n">
        <v>0</v>
      </c>
      <c r="BA1126" s="52" t="n">
        <v>0</v>
      </c>
      <c r="BB1126" s="53" t="n">
        <v>0</v>
      </c>
      <c r="BC1126" s="52" t="n">
        <v>0</v>
      </c>
      <c r="BD1126" s="53" t="n">
        <v>0</v>
      </c>
      <c r="BE1126" s="52" t="n">
        <v>0</v>
      </c>
      <c r="BF1126" s="51" t="n">
        <v>0</v>
      </c>
    </row>
    <row r="1127">
      <c r="A1127">
        <f>HYPERLINK("https://www.walmart.com/ip/685026506", "685026506")</f>
        <v/>
      </c>
      <c r="B1127" t="inlineStr">
        <is>
          <t>Outdoor Wide Brim Sun Hats Blocking UV Protection Cap UPF 50+ Foldable Mesh Net for Finishing, Hiking, Camping by Solari</t>
        </is>
      </c>
      <c r="C1127" t="inlineStr">
        <is>
          <t>1SLSH911GY</t>
        </is>
      </c>
      <c r="D1127" t="inlineStr">
        <is>
          <t>Hats</t>
        </is>
      </c>
      <c r="E1127" t="inlineStr">
        <is>
          <t>Solaris</t>
        </is>
      </c>
      <c r="F1127" t="inlineStr">
        <is>
          <t>Q2-Target,WFS,Hats,SEM,WFS Item</t>
        </is>
      </c>
      <c r="G1127" s="48" t="n">
        <v>0</v>
      </c>
      <c r="H1127" s="49" t="n">
        <v>0</v>
      </c>
      <c r="I1127" s="49" t="n">
        <v>19</v>
      </c>
      <c r="J1127" s="50" t="n">
        <v>0</v>
      </c>
      <c r="K1127" s="51" t="n">
        <v>0</v>
      </c>
      <c r="L1127" s="52" t="n">
        <v>0</v>
      </c>
      <c r="M1127" s="52" t="n">
        <v>0</v>
      </c>
      <c r="N1127" s="52" t="n">
        <v>0</v>
      </c>
      <c r="O1127" s="53" t="n">
        <v>0</v>
      </c>
      <c r="P1127" s="52" t="n">
        <v>0</v>
      </c>
      <c r="Q1127" s="53" t="n">
        <v>0</v>
      </c>
      <c r="R1127" s="52" t="n">
        <v>0</v>
      </c>
      <c r="S1127" s="51" t="n">
        <v>0</v>
      </c>
      <c r="T1127" s="48" t="n">
        <v>0</v>
      </c>
      <c r="U1127" s="49" t="n">
        <v>0</v>
      </c>
      <c r="V1127" s="49" t="n">
        <v>14</v>
      </c>
      <c r="W1127" s="50" t="n">
        <v>0</v>
      </c>
      <c r="X1127" s="51" t="n">
        <v>0</v>
      </c>
      <c r="Y1127" s="52" t="n">
        <v>0</v>
      </c>
      <c r="Z1127" s="52" t="n">
        <v>0</v>
      </c>
      <c r="AA1127" s="52" t="n">
        <v>0</v>
      </c>
      <c r="AB1127" s="53" t="n">
        <v>0</v>
      </c>
      <c r="AC1127" s="52" t="n">
        <v>0</v>
      </c>
      <c r="AD1127" s="53" t="n">
        <v>0</v>
      </c>
      <c r="AE1127" s="52" t="n">
        <v>0</v>
      </c>
      <c r="AF1127" s="51" t="n">
        <v>0</v>
      </c>
      <c r="AG1127" s="48" t="n">
        <v>19.99</v>
      </c>
      <c r="AH1127" s="49" t="n">
        <v>1</v>
      </c>
      <c r="AI1127" s="49" t="n">
        <v>11</v>
      </c>
      <c r="AJ1127" s="50" t="n">
        <v>0.09090909090909091</v>
      </c>
      <c r="AK1127" s="51" t="n">
        <v>0</v>
      </c>
      <c r="AL1127" s="52" t="n">
        <v>0</v>
      </c>
      <c r="AM1127" s="52" t="n">
        <v>0</v>
      </c>
      <c r="AN1127" s="52" t="n">
        <v>0</v>
      </c>
      <c r="AO1127" s="53" t="n">
        <v>0</v>
      </c>
      <c r="AP1127" s="52" t="n">
        <v>0</v>
      </c>
      <c r="AQ1127" s="53" t="n">
        <v>0</v>
      </c>
      <c r="AR1127" s="52" t="n">
        <v>19.99</v>
      </c>
      <c r="AS1127" s="51" t="n">
        <v>0</v>
      </c>
      <c r="AT1127" s="48" t="n">
        <v>19.99</v>
      </c>
      <c r="AU1127" s="49" t="n">
        <v>1</v>
      </c>
      <c r="AV1127" s="49" t="n">
        <v>10</v>
      </c>
      <c r="AW1127" s="50" t="n">
        <v>0.1</v>
      </c>
      <c r="AX1127" s="51" t="n">
        <v>0</v>
      </c>
      <c r="AY1127" s="52" t="n">
        <v>0</v>
      </c>
      <c r="AZ1127" s="52" t="n">
        <v>0</v>
      </c>
      <c r="BA1127" s="52" t="n">
        <v>0</v>
      </c>
      <c r="BB1127" s="53" t="n">
        <v>0</v>
      </c>
      <c r="BC1127" s="52" t="n">
        <v>0</v>
      </c>
      <c r="BD1127" s="53" t="n">
        <v>0</v>
      </c>
      <c r="BE1127" s="52" t="n">
        <v>19.99</v>
      </c>
      <c r="BF1127" s="51" t="n">
        <v>0</v>
      </c>
    </row>
    <row r="1128">
      <c r="A1128">
        <f>HYPERLINK("https://www.walmart.com/ip/685340221", "685340221")</f>
        <v/>
      </c>
      <c r="B1128" s="5" t="inlineStr">
        <is>
          <t>https://www.walmart.com/ip/Women-s-Open-Cup-Crotchless-Babydoll-Lingerie-Strappy-Bra-G-string-by-Jenniwears/685340221</t>
        </is>
      </c>
      <c r="C1128" t="inlineStr">
        <is>
          <t>JWBASS02BK-M-WA</t>
        </is>
      </c>
      <c r="G1128" s="48" t="n">
        <v>0</v>
      </c>
      <c r="H1128" s="49" t="n">
        <v>0</v>
      </c>
      <c r="I1128" s="49" t="n">
        <v>0</v>
      </c>
      <c r="J1128" s="50" t="n">
        <v>0</v>
      </c>
      <c r="K1128" s="51" t="n">
        <v>0</v>
      </c>
      <c r="L1128" s="52" t="n">
        <v>0</v>
      </c>
      <c r="M1128" s="52" t="n">
        <v>0</v>
      </c>
      <c r="N1128" s="52" t="n">
        <v>0</v>
      </c>
      <c r="O1128" s="53" t="n">
        <v>0</v>
      </c>
      <c r="P1128" s="52" t="n">
        <v>0</v>
      </c>
      <c r="Q1128" s="53" t="n">
        <v>0</v>
      </c>
      <c r="R1128" s="52" t="n">
        <v>0</v>
      </c>
      <c r="S1128" s="51" t="n">
        <v>0</v>
      </c>
      <c r="T1128" s="48" t="n">
        <v>0</v>
      </c>
      <c r="U1128" s="49" t="n">
        <v>0</v>
      </c>
      <c r="V1128" s="49" t="n">
        <v>0</v>
      </c>
      <c r="W1128" s="50" t="n">
        <v>0</v>
      </c>
      <c r="X1128" s="51" t="n">
        <v>0</v>
      </c>
      <c r="Y1128" s="52" t="n">
        <v>0</v>
      </c>
      <c r="Z1128" s="52" t="n">
        <v>0</v>
      </c>
      <c r="AA1128" s="52" t="n">
        <v>0</v>
      </c>
      <c r="AB1128" s="53" t="n">
        <v>0</v>
      </c>
      <c r="AC1128" s="52" t="n">
        <v>0</v>
      </c>
      <c r="AD1128" s="53" t="n">
        <v>0</v>
      </c>
      <c r="AE1128" s="52" t="n">
        <v>0</v>
      </c>
      <c r="AF1128" s="51" t="n">
        <v>0</v>
      </c>
      <c r="AG1128" s="48" t="n">
        <v>0</v>
      </c>
      <c r="AH1128" s="49" t="n">
        <v>0</v>
      </c>
      <c r="AI1128" s="49" t="n">
        <v>0</v>
      </c>
      <c r="AJ1128" s="50" t="n">
        <v>0</v>
      </c>
      <c r="AK1128" s="51" t="n">
        <v>0</v>
      </c>
      <c r="AL1128" s="52" t="n">
        <v>0</v>
      </c>
      <c r="AM1128" s="52" t="n">
        <v>0</v>
      </c>
      <c r="AN1128" s="52" t="n">
        <v>0</v>
      </c>
      <c r="AO1128" s="53" t="n">
        <v>0</v>
      </c>
      <c r="AP1128" s="52" t="n">
        <v>0</v>
      </c>
      <c r="AQ1128" s="53" t="n">
        <v>0</v>
      </c>
      <c r="AR1128" s="52" t="n">
        <v>0</v>
      </c>
      <c r="AS1128" s="51" t="n">
        <v>0</v>
      </c>
      <c r="AT1128" s="48" t="n">
        <v>0</v>
      </c>
      <c r="AU1128" s="49" t="n">
        <v>0</v>
      </c>
      <c r="AV1128" s="49" t="n">
        <v>0</v>
      </c>
      <c r="AW1128" s="50" t="n">
        <v>0</v>
      </c>
      <c r="AX1128" s="51" t="n">
        <v>0</v>
      </c>
      <c r="AY1128" s="52" t="n">
        <v>0</v>
      </c>
      <c r="AZ1128" s="52" t="n">
        <v>0</v>
      </c>
      <c r="BA1128" s="52" t="n">
        <v>0</v>
      </c>
      <c r="BB1128" s="53" t="n">
        <v>0</v>
      </c>
      <c r="BC1128" s="52" t="n">
        <v>0</v>
      </c>
      <c r="BD1128" s="53" t="n">
        <v>0</v>
      </c>
      <c r="BE1128" s="52" t="n">
        <v>0</v>
      </c>
      <c r="BF1128" s="51" t="n">
        <v>0</v>
      </c>
    </row>
    <row r="1129">
      <c r="A1129">
        <f>HYPERLINK("https://www.walmart.com/ip/687231210", "687231210")</f>
        <v/>
      </c>
      <c r="B1129" t="inlineStr">
        <is>
          <t>Catalonia Waterproof Blanket Couch Sofa Bed Protector Cover for Baby, Super Cozy Plush Fleece Warm Sherpa Lining Throws for Boating Camping</t>
        </is>
      </c>
      <c r="C1129" t="inlineStr">
        <is>
          <t>1CTBW981GYTP</t>
        </is>
      </c>
      <c r="D1129" t="inlineStr">
        <is>
          <t>Throws</t>
        </is>
      </c>
      <c r="E1129" t="inlineStr">
        <is>
          <t>Catalonia</t>
        </is>
      </c>
      <c r="F1129" t="inlineStr">
        <is>
          <t>Optimized,WFS,High AUR Items,Wproof Blanket,SEM,WFS Item</t>
        </is>
      </c>
      <c r="G1129" s="48" t="n">
        <v>0</v>
      </c>
      <c r="H1129" s="49" t="n">
        <v>0</v>
      </c>
      <c r="I1129" s="49" t="n">
        <v>0</v>
      </c>
      <c r="J1129" s="50" t="n">
        <v>0</v>
      </c>
      <c r="K1129" s="51" t="n">
        <v>0</v>
      </c>
      <c r="L1129" s="52" t="n">
        <v>0</v>
      </c>
      <c r="M1129" s="52" t="n">
        <v>0</v>
      </c>
      <c r="N1129" s="52" t="n">
        <v>0</v>
      </c>
      <c r="O1129" s="53" t="n">
        <v>0</v>
      </c>
      <c r="P1129" s="52" t="n">
        <v>0</v>
      </c>
      <c r="Q1129" s="53" t="n">
        <v>0</v>
      </c>
      <c r="R1129" s="52" t="n">
        <v>0</v>
      </c>
      <c r="S1129" s="51" t="n">
        <v>0</v>
      </c>
      <c r="T1129" s="48" t="n">
        <v>0</v>
      </c>
      <c r="U1129" s="49" t="n">
        <v>0</v>
      </c>
      <c r="V1129" s="49" t="n">
        <v>0</v>
      </c>
      <c r="W1129" s="50" t="n">
        <v>0</v>
      </c>
      <c r="X1129" s="51" t="n">
        <v>0</v>
      </c>
      <c r="Y1129" s="52" t="n">
        <v>0</v>
      </c>
      <c r="Z1129" s="52" t="n">
        <v>0</v>
      </c>
      <c r="AA1129" s="52" t="n">
        <v>0</v>
      </c>
      <c r="AB1129" s="53" t="n">
        <v>0</v>
      </c>
      <c r="AC1129" s="52" t="n">
        <v>0</v>
      </c>
      <c r="AD1129" s="53" t="n">
        <v>0</v>
      </c>
      <c r="AE1129" s="52" t="n">
        <v>0</v>
      </c>
      <c r="AF1129" s="51" t="n">
        <v>0</v>
      </c>
      <c r="AG1129" s="48" t="n">
        <v>0</v>
      </c>
      <c r="AH1129" s="49" t="n">
        <v>0</v>
      </c>
      <c r="AI1129" s="49" t="n">
        <v>0</v>
      </c>
      <c r="AJ1129" s="50" t="n">
        <v>0</v>
      </c>
      <c r="AK1129" s="51" t="n">
        <v>0</v>
      </c>
      <c r="AL1129" s="52" t="n">
        <v>0</v>
      </c>
      <c r="AM1129" s="52" t="n">
        <v>0</v>
      </c>
      <c r="AN1129" s="52" t="n">
        <v>0</v>
      </c>
      <c r="AO1129" s="53" t="n">
        <v>0</v>
      </c>
      <c r="AP1129" s="52" t="n">
        <v>0</v>
      </c>
      <c r="AQ1129" s="53" t="n">
        <v>0</v>
      </c>
      <c r="AR1129" s="52" t="n">
        <v>0</v>
      </c>
      <c r="AS1129" s="51" t="n">
        <v>0</v>
      </c>
      <c r="AT1129" s="48" t="n">
        <v>0</v>
      </c>
      <c r="AU1129" s="49" t="n">
        <v>0</v>
      </c>
      <c r="AV1129" s="49" t="n">
        <v>0</v>
      </c>
      <c r="AW1129" s="50" t="n">
        <v>0</v>
      </c>
      <c r="AX1129" s="51" t="n">
        <v>0</v>
      </c>
      <c r="AY1129" s="52" t="n">
        <v>0</v>
      </c>
      <c r="AZ1129" s="52" t="n">
        <v>0</v>
      </c>
      <c r="BA1129" s="52" t="n">
        <v>0</v>
      </c>
      <c r="BB1129" s="53" t="n">
        <v>0</v>
      </c>
      <c r="BC1129" s="52" t="n">
        <v>0</v>
      </c>
      <c r="BD1129" s="53" t="n">
        <v>0</v>
      </c>
      <c r="BE1129" s="52" t="n">
        <v>0</v>
      </c>
      <c r="BF1129" s="51" t="n">
        <v>0</v>
      </c>
    </row>
    <row r="1130">
      <c r="A1130">
        <f>HYPERLINK("https://www.walmart.com/ip/687361170", "687361170")</f>
        <v/>
      </c>
      <c r="B1130" t="inlineStr">
        <is>
          <t>JenniWears® Women Strap Backless Sleepwear Lace Nightwear Mesh Babydoll Wire</t>
        </is>
      </c>
      <c r="C1130" t="inlineStr">
        <is>
          <t>JWBD010BL-3XL</t>
        </is>
      </c>
      <c r="D1130" t="inlineStr">
        <is>
          <t>Lingerie Sets</t>
        </is>
      </c>
      <c r="E1130" t="inlineStr">
        <is>
          <t>JenniWears</t>
        </is>
      </c>
      <c r="G1130" s="48" t="n">
        <v>0</v>
      </c>
      <c r="H1130" s="49" t="n">
        <v>0</v>
      </c>
      <c r="I1130" s="49" t="n">
        <v>0</v>
      </c>
      <c r="J1130" s="50" t="n">
        <v>0</v>
      </c>
      <c r="K1130" s="51" t="n">
        <v>0</v>
      </c>
      <c r="L1130" s="52" t="n">
        <v>0</v>
      </c>
      <c r="M1130" s="52" t="n">
        <v>0</v>
      </c>
      <c r="N1130" s="52" t="n">
        <v>0</v>
      </c>
      <c r="O1130" s="53" t="n">
        <v>0</v>
      </c>
      <c r="P1130" s="52" t="n">
        <v>0</v>
      </c>
      <c r="Q1130" s="53" t="n">
        <v>0</v>
      </c>
      <c r="R1130" s="52" t="n">
        <v>0</v>
      </c>
      <c r="S1130" s="51" t="n">
        <v>0</v>
      </c>
      <c r="T1130" s="48" t="n">
        <v>0</v>
      </c>
      <c r="U1130" s="49" t="n">
        <v>0</v>
      </c>
      <c r="V1130" s="49" t="n">
        <v>0</v>
      </c>
      <c r="W1130" s="50" t="n">
        <v>0</v>
      </c>
      <c r="X1130" s="51" t="n">
        <v>0</v>
      </c>
      <c r="Y1130" s="52" t="n">
        <v>0</v>
      </c>
      <c r="Z1130" s="52" t="n">
        <v>0</v>
      </c>
      <c r="AA1130" s="52" t="n">
        <v>0</v>
      </c>
      <c r="AB1130" s="53" t="n">
        <v>0</v>
      </c>
      <c r="AC1130" s="52" t="n">
        <v>0</v>
      </c>
      <c r="AD1130" s="53" t="n">
        <v>0</v>
      </c>
      <c r="AE1130" s="52" t="n">
        <v>0</v>
      </c>
      <c r="AF1130" s="51" t="n">
        <v>0</v>
      </c>
      <c r="AG1130" s="48" t="n">
        <v>0</v>
      </c>
      <c r="AH1130" s="49" t="n">
        <v>0</v>
      </c>
      <c r="AI1130" s="49" t="n">
        <v>0</v>
      </c>
      <c r="AJ1130" s="50" t="n">
        <v>0</v>
      </c>
      <c r="AK1130" s="51" t="n">
        <v>0</v>
      </c>
      <c r="AL1130" s="52" t="n">
        <v>0</v>
      </c>
      <c r="AM1130" s="52" t="n">
        <v>0</v>
      </c>
      <c r="AN1130" s="52" t="n">
        <v>0</v>
      </c>
      <c r="AO1130" s="53" t="n">
        <v>0</v>
      </c>
      <c r="AP1130" s="52" t="n">
        <v>0</v>
      </c>
      <c r="AQ1130" s="53" t="n">
        <v>0</v>
      </c>
      <c r="AR1130" s="52" t="n">
        <v>0</v>
      </c>
      <c r="AS1130" s="51" t="n">
        <v>0</v>
      </c>
      <c r="AT1130" s="48" t="n">
        <v>0</v>
      </c>
      <c r="AU1130" s="49" t="n">
        <v>0</v>
      </c>
      <c r="AV1130" s="49" t="n">
        <v>0</v>
      </c>
      <c r="AW1130" s="50" t="n">
        <v>0</v>
      </c>
      <c r="AX1130" s="51" t="n">
        <v>0</v>
      </c>
      <c r="AY1130" s="52" t="n">
        <v>0</v>
      </c>
      <c r="AZ1130" s="52" t="n">
        <v>0</v>
      </c>
      <c r="BA1130" s="52" t="n">
        <v>0</v>
      </c>
      <c r="BB1130" s="53" t="n">
        <v>0</v>
      </c>
      <c r="BC1130" s="52" t="n">
        <v>0</v>
      </c>
      <c r="BD1130" s="53" t="n">
        <v>0</v>
      </c>
      <c r="BE1130" s="52" t="n">
        <v>0</v>
      </c>
      <c r="BF1130" s="51" t="n">
        <v>0</v>
      </c>
    </row>
    <row r="1131">
      <c r="A1131">
        <f>HYPERLINK("https://www.walmart.com/ip/687777977", "687777977")</f>
        <v/>
      </c>
      <c r="B1131" t="inlineStr">
        <is>
          <t>Tirrinia Wearable Comfy Fleece Blanket with Sleeves For Adult, 73" x 51", Zebra</t>
        </is>
      </c>
      <c r="C1131" t="inlineStr">
        <is>
          <t>1TRSN100ZEBRA-TBCB</t>
        </is>
      </c>
      <c r="D1131" t="inlineStr">
        <is>
          <t>Throws</t>
        </is>
      </c>
      <c r="E1131" t="inlineStr">
        <is>
          <t>Tirrinia</t>
        </is>
      </c>
      <c r="F1131" t="inlineStr">
        <is>
          <t>Coupon_Discount,Fleece Blankets,Batch 1 - TR</t>
        </is>
      </c>
      <c r="G1131" s="48" t="n">
        <v>0</v>
      </c>
      <c r="H1131" s="49" t="n">
        <v>0</v>
      </c>
      <c r="I1131" s="49" t="n">
        <v>0</v>
      </c>
      <c r="J1131" s="50" t="n">
        <v>0</v>
      </c>
      <c r="K1131" s="51" t="n">
        <v>0</v>
      </c>
      <c r="L1131" s="52" t="n">
        <v>0</v>
      </c>
      <c r="M1131" s="52" t="n">
        <v>0</v>
      </c>
      <c r="N1131" s="52" t="n">
        <v>0</v>
      </c>
      <c r="O1131" s="53" t="n">
        <v>0</v>
      </c>
      <c r="P1131" s="52" t="n">
        <v>0</v>
      </c>
      <c r="Q1131" s="53" t="n">
        <v>0</v>
      </c>
      <c r="R1131" s="52" t="n">
        <v>0</v>
      </c>
      <c r="S1131" s="51" t="n">
        <v>0</v>
      </c>
      <c r="T1131" s="48" t="n">
        <v>0</v>
      </c>
      <c r="U1131" s="49" t="n">
        <v>0</v>
      </c>
      <c r="V1131" s="49" t="n">
        <v>0</v>
      </c>
      <c r="W1131" s="50" t="n">
        <v>0</v>
      </c>
      <c r="X1131" s="51" t="n">
        <v>0</v>
      </c>
      <c r="Y1131" s="52" t="n">
        <v>0</v>
      </c>
      <c r="Z1131" s="52" t="n">
        <v>0</v>
      </c>
      <c r="AA1131" s="52" t="n">
        <v>0</v>
      </c>
      <c r="AB1131" s="53" t="n">
        <v>0</v>
      </c>
      <c r="AC1131" s="52" t="n">
        <v>0</v>
      </c>
      <c r="AD1131" s="53" t="n">
        <v>0</v>
      </c>
      <c r="AE1131" s="52" t="n">
        <v>0</v>
      </c>
      <c r="AF1131" s="51" t="n">
        <v>0</v>
      </c>
      <c r="AG1131" s="48" t="n">
        <v>0</v>
      </c>
      <c r="AH1131" s="49" t="n">
        <v>0</v>
      </c>
      <c r="AI1131" s="49" t="n">
        <v>0</v>
      </c>
      <c r="AJ1131" s="50" t="n">
        <v>0</v>
      </c>
      <c r="AK1131" s="51" t="n">
        <v>0</v>
      </c>
      <c r="AL1131" s="52" t="n">
        <v>0</v>
      </c>
      <c r="AM1131" s="52" t="n">
        <v>0</v>
      </c>
      <c r="AN1131" s="52" t="n">
        <v>0</v>
      </c>
      <c r="AO1131" s="53" t="n">
        <v>0</v>
      </c>
      <c r="AP1131" s="52" t="n">
        <v>0</v>
      </c>
      <c r="AQ1131" s="53" t="n">
        <v>0</v>
      </c>
      <c r="AR1131" s="52" t="n">
        <v>0</v>
      </c>
      <c r="AS1131" s="51" t="n">
        <v>0</v>
      </c>
      <c r="AT1131" s="48" t="n">
        <v>0</v>
      </c>
      <c r="AU1131" s="49" t="n">
        <v>0</v>
      </c>
      <c r="AV1131" s="49" t="n">
        <v>0</v>
      </c>
      <c r="AW1131" s="50" t="n">
        <v>0</v>
      </c>
      <c r="AX1131" s="51" t="n">
        <v>0</v>
      </c>
      <c r="AY1131" s="52" t="n">
        <v>0</v>
      </c>
      <c r="AZ1131" s="52" t="n">
        <v>0</v>
      </c>
      <c r="BA1131" s="52" t="n">
        <v>0</v>
      </c>
      <c r="BB1131" s="53" t="n">
        <v>0</v>
      </c>
      <c r="BC1131" s="52" t="n">
        <v>0</v>
      </c>
      <c r="BD1131" s="53" t="n">
        <v>0</v>
      </c>
      <c r="BE1131" s="52" t="n">
        <v>0</v>
      </c>
      <c r="BF1131" s="51" t="n">
        <v>0</v>
      </c>
    </row>
    <row r="1132">
      <c r="A1132">
        <f>HYPERLINK("https://www.walmart.com/ip/688255013", "688255013")</f>
        <v/>
      </c>
      <c r="B1132" t="inlineStr">
        <is>
          <t>Fleece Blanket Wearable with Sleeves and Pocket, Micro Plush Warm Comfy Sleeved TV Throw Blanket Robe for Women and Men Multi-Colors 72”X55” by Catalonia</t>
        </is>
      </c>
      <c r="C1132" t="inlineStr">
        <is>
          <t>1CTSN110WN-ESGM</t>
        </is>
      </c>
      <c r="D1132" t="inlineStr">
        <is>
          <t>Throws</t>
        </is>
      </c>
      <c r="E1132" t="inlineStr">
        <is>
          <t>Catalonia</t>
        </is>
      </c>
      <c r="F1132" t="inlineStr">
        <is>
          <t>Fleece Blankets,Batch 1 - TR</t>
        </is>
      </c>
      <c r="G1132" s="48" t="n">
        <v>0</v>
      </c>
      <c r="H1132" s="49" t="n">
        <v>0</v>
      </c>
      <c r="I1132" s="49" t="n">
        <v>0</v>
      </c>
      <c r="J1132" s="50" t="n">
        <v>0</v>
      </c>
      <c r="K1132" s="51" t="n">
        <v>0</v>
      </c>
      <c r="L1132" s="52" t="n">
        <v>0</v>
      </c>
      <c r="M1132" s="52" t="n">
        <v>0</v>
      </c>
      <c r="N1132" s="52" t="n">
        <v>0</v>
      </c>
      <c r="O1132" s="53" t="n">
        <v>0</v>
      </c>
      <c r="P1132" s="52" t="n">
        <v>0</v>
      </c>
      <c r="Q1132" s="53" t="n">
        <v>0</v>
      </c>
      <c r="R1132" s="52" t="n">
        <v>0</v>
      </c>
      <c r="S1132" s="51" t="n">
        <v>0</v>
      </c>
      <c r="T1132" s="48" t="n">
        <v>0</v>
      </c>
      <c r="U1132" s="49" t="n">
        <v>0</v>
      </c>
      <c r="V1132" s="49" t="n">
        <v>0</v>
      </c>
      <c r="W1132" s="50" t="n">
        <v>0</v>
      </c>
      <c r="X1132" s="51" t="n">
        <v>0</v>
      </c>
      <c r="Y1132" s="52" t="n">
        <v>0</v>
      </c>
      <c r="Z1132" s="52" t="n">
        <v>0</v>
      </c>
      <c r="AA1132" s="52" t="n">
        <v>0</v>
      </c>
      <c r="AB1132" s="53" t="n">
        <v>0</v>
      </c>
      <c r="AC1132" s="52" t="n">
        <v>0</v>
      </c>
      <c r="AD1132" s="53" t="n">
        <v>0</v>
      </c>
      <c r="AE1132" s="52" t="n">
        <v>0</v>
      </c>
      <c r="AF1132" s="51" t="n">
        <v>0</v>
      </c>
      <c r="AG1132" s="48" t="n">
        <v>0</v>
      </c>
      <c r="AH1132" s="49" t="n">
        <v>0</v>
      </c>
      <c r="AI1132" s="49" t="n">
        <v>0</v>
      </c>
      <c r="AJ1132" s="50" t="n">
        <v>0</v>
      </c>
      <c r="AK1132" s="51" t="n">
        <v>0</v>
      </c>
      <c r="AL1132" s="52" t="n">
        <v>0</v>
      </c>
      <c r="AM1132" s="52" t="n">
        <v>0</v>
      </c>
      <c r="AN1132" s="52" t="n">
        <v>0</v>
      </c>
      <c r="AO1132" s="53" t="n">
        <v>0</v>
      </c>
      <c r="AP1132" s="52" t="n">
        <v>0</v>
      </c>
      <c r="AQ1132" s="53" t="n">
        <v>0</v>
      </c>
      <c r="AR1132" s="52" t="n">
        <v>0</v>
      </c>
      <c r="AS1132" s="51" t="n">
        <v>0</v>
      </c>
      <c r="AT1132" s="48" t="n">
        <v>0</v>
      </c>
      <c r="AU1132" s="49" t="n">
        <v>0</v>
      </c>
      <c r="AV1132" s="49" t="n">
        <v>0</v>
      </c>
      <c r="AW1132" s="50" t="n">
        <v>0</v>
      </c>
      <c r="AX1132" s="51" t="n">
        <v>0</v>
      </c>
      <c r="AY1132" s="52" t="n">
        <v>0</v>
      </c>
      <c r="AZ1132" s="52" t="n">
        <v>0</v>
      </c>
      <c r="BA1132" s="52" t="n">
        <v>0</v>
      </c>
      <c r="BB1132" s="53" t="n">
        <v>0</v>
      </c>
      <c r="BC1132" s="52" t="n">
        <v>0</v>
      </c>
      <c r="BD1132" s="53" t="n">
        <v>0</v>
      </c>
      <c r="BE1132" s="52" t="n">
        <v>0</v>
      </c>
      <c r="BF1132" s="51" t="n">
        <v>0</v>
      </c>
    </row>
    <row r="1133">
      <c r="A1133">
        <f>HYPERLINK("https://www.walmart.com/ip/688559257", "688559257")</f>
        <v/>
      </c>
      <c r="B1133" t="inlineStr">
        <is>
          <t>Catalonia Queen Size Sherpa Comforter Set,  Ultra-soft Reversible Fluffy Micromink Bedding Set-3 Pieces, 1 Comforter and 2 Pillow Shams, 88x90 inches</t>
        </is>
      </c>
      <c r="C1133" t="inlineStr">
        <is>
          <t>1CTBQ300QF-PGY</t>
        </is>
      </c>
      <c r="D1133" t="inlineStr">
        <is>
          <t>Bedding Sets</t>
        </is>
      </c>
      <c r="E1133" t="inlineStr">
        <is>
          <t>Catalonia</t>
        </is>
      </c>
      <c r="F1133" t="inlineStr">
        <is>
          <t>WFS,WFS Item</t>
        </is>
      </c>
      <c r="G1133" s="48" t="n">
        <v>0</v>
      </c>
      <c r="H1133" s="49" t="n">
        <v>0</v>
      </c>
      <c r="I1133" s="49" t="n">
        <v>0</v>
      </c>
      <c r="J1133" s="50" t="n">
        <v>0</v>
      </c>
      <c r="K1133" s="51" t="n">
        <v>0</v>
      </c>
      <c r="L1133" s="52" t="n">
        <v>0</v>
      </c>
      <c r="M1133" s="52" t="n">
        <v>0</v>
      </c>
      <c r="N1133" s="52" t="n">
        <v>0</v>
      </c>
      <c r="O1133" s="53" t="n">
        <v>0</v>
      </c>
      <c r="P1133" s="52" t="n">
        <v>0</v>
      </c>
      <c r="Q1133" s="53" t="n">
        <v>0</v>
      </c>
      <c r="R1133" s="52" t="n">
        <v>0</v>
      </c>
      <c r="S1133" s="51" t="n">
        <v>0</v>
      </c>
      <c r="T1133" s="48" t="n">
        <v>0</v>
      </c>
      <c r="U1133" s="49" t="n">
        <v>0</v>
      </c>
      <c r="V1133" s="49" t="n">
        <v>0</v>
      </c>
      <c r="W1133" s="50" t="n">
        <v>0</v>
      </c>
      <c r="X1133" s="51" t="n">
        <v>0</v>
      </c>
      <c r="Y1133" s="52" t="n">
        <v>0</v>
      </c>
      <c r="Z1133" s="52" t="n">
        <v>0</v>
      </c>
      <c r="AA1133" s="52" t="n">
        <v>0</v>
      </c>
      <c r="AB1133" s="53" t="n">
        <v>0</v>
      </c>
      <c r="AC1133" s="52" t="n">
        <v>0</v>
      </c>
      <c r="AD1133" s="53" t="n">
        <v>0</v>
      </c>
      <c r="AE1133" s="52" t="n">
        <v>0</v>
      </c>
      <c r="AF1133" s="51" t="n">
        <v>0</v>
      </c>
      <c r="AG1133" s="48" t="n">
        <v>0</v>
      </c>
      <c r="AH1133" s="49" t="n">
        <v>0</v>
      </c>
      <c r="AI1133" s="49" t="n">
        <v>0</v>
      </c>
      <c r="AJ1133" s="50" t="n">
        <v>0</v>
      </c>
      <c r="AK1133" s="51" t="n">
        <v>0</v>
      </c>
      <c r="AL1133" s="52" t="n">
        <v>0</v>
      </c>
      <c r="AM1133" s="52" t="n">
        <v>0</v>
      </c>
      <c r="AN1133" s="52" t="n">
        <v>0</v>
      </c>
      <c r="AO1133" s="53" t="n">
        <v>0</v>
      </c>
      <c r="AP1133" s="52" t="n">
        <v>0</v>
      </c>
      <c r="AQ1133" s="53" t="n">
        <v>0</v>
      </c>
      <c r="AR1133" s="52" t="n">
        <v>0</v>
      </c>
      <c r="AS1133" s="51" t="n">
        <v>0</v>
      </c>
      <c r="AT1133" s="48" t="n">
        <v>0</v>
      </c>
      <c r="AU1133" s="49" t="n">
        <v>0</v>
      </c>
      <c r="AV1133" s="49" t="n">
        <v>0</v>
      </c>
      <c r="AW1133" s="50" t="n">
        <v>0</v>
      </c>
      <c r="AX1133" s="51" t="n">
        <v>0</v>
      </c>
      <c r="AY1133" s="52" t="n">
        <v>0</v>
      </c>
      <c r="AZ1133" s="52" t="n">
        <v>0</v>
      </c>
      <c r="BA1133" s="52" t="n">
        <v>0</v>
      </c>
      <c r="BB1133" s="53" t="n">
        <v>0</v>
      </c>
      <c r="BC1133" s="52" t="n">
        <v>0</v>
      </c>
      <c r="BD1133" s="53" t="n">
        <v>0</v>
      </c>
      <c r="BE1133" s="52" t="n">
        <v>0</v>
      </c>
      <c r="BF1133" s="51" t="n">
        <v>0</v>
      </c>
    </row>
    <row r="1134">
      <c r="A1134">
        <f>HYPERLINK("https://www.walmart.com/ip/672225548", "672225548")</f>
        <v/>
      </c>
      <c r="B1134" t="inlineStr">
        <is>
          <t>Tirrinia Insulated 2 Bottle Wine Carrier Tote Cooler Bag for Travel Picnic Padded Champagne Glass</t>
        </is>
      </c>
      <c r="C1134" t="inlineStr">
        <is>
          <t>1WMWB230STR</t>
        </is>
      </c>
      <c r="D1134" t="inlineStr">
        <is>
          <t>Wine Totes, Bags &amp; Backpacks</t>
        </is>
      </c>
      <c r="E1134" t="inlineStr">
        <is>
          <t>Flyingstar</t>
        </is>
      </c>
      <c r="F1134" t="inlineStr">
        <is>
          <t>Wine,Christmas,Wine WFS,Valentine</t>
        </is>
      </c>
      <c r="G1134" s="48" t="n">
        <v>0</v>
      </c>
      <c r="H1134" s="49" t="n">
        <v>0</v>
      </c>
      <c r="I1134" s="49" t="n">
        <v>0</v>
      </c>
      <c r="J1134" s="50" t="n">
        <v>0</v>
      </c>
      <c r="K1134" s="51" t="n">
        <v>0</v>
      </c>
      <c r="L1134" s="52" t="n">
        <v>0</v>
      </c>
      <c r="M1134" s="52" t="n">
        <v>0</v>
      </c>
      <c r="N1134" s="52" t="n">
        <v>0</v>
      </c>
      <c r="O1134" s="53" t="n">
        <v>0</v>
      </c>
      <c r="P1134" s="52" t="n">
        <v>0</v>
      </c>
      <c r="Q1134" s="53" t="n">
        <v>0</v>
      </c>
      <c r="R1134" s="52" t="n">
        <v>0</v>
      </c>
      <c r="S1134" s="51" t="n">
        <v>0</v>
      </c>
      <c r="T1134" s="48" t="n">
        <v>0</v>
      </c>
      <c r="U1134" s="49" t="n">
        <v>0</v>
      </c>
      <c r="V1134" s="49" t="n">
        <v>0</v>
      </c>
      <c r="W1134" s="50" t="n">
        <v>0</v>
      </c>
      <c r="X1134" s="51" t="n">
        <v>0</v>
      </c>
      <c r="Y1134" s="52" t="n">
        <v>0</v>
      </c>
      <c r="Z1134" s="52" t="n">
        <v>0</v>
      </c>
      <c r="AA1134" s="52" t="n">
        <v>0</v>
      </c>
      <c r="AB1134" s="53" t="n">
        <v>0</v>
      </c>
      <c r="AC1134" s="52" t="n">
        <v>0</v>
      </c>
      <c r="AD1134" s="53" t="n">
        <v>0</v>
      </c>
      <c r="AE1134" s="52" t="n">
        <v>0</v>
      </c>
      <c r="AF1134" s="51" t="n">
        <v>0</v>
      </c>
      <c r="AG1134" s="48" t="n">
        <v>0</v>
      </c>
      <c r="AH1134" s="49" t="n">
        <v>0</v>
      </c>
      <c r="AI1134" s="49" t="n">
        <v>0</v>
      </c>
      <c r="AJ1134" s="50" t="n">
        <v>0</v>
      </c>
      <c r="AK1134" s="51" t="n">
        <v>0</v>
      </c>
      <c r="AL1134" s="52" t="n">
        <v>0</v>
      </c>
      <c r="AM1134" s="52" t="n">
        <v>0</v>
      </c>
      <c r="AN1134" s="52" t="n">
        <v>0</v>
      </c>
      <c r="AO1134" s="53" t="n">
        <v>0</v>
      </c>
      <c r="AP1134" s="52" t="n">
        <v>0</v>
      </c>
      <c r="AQ1134" s="53" t="n">
        <v>0</v>
      </c>
      <c r="AR1134" s="52" t="n">
        <v>0</v>
      </c>
      <c r="AS1134" s="51" t="n">
        <v>0</v>
      </c>
      <c r="AT1134" s="48" t="n">
        <v>0</v>
      </c>
      <c r="AU1134" s="49" t="n">
        <v>0</v>
      </c>
      <c r="AV1134" s="49" t="n">
        <v>0</v>
      </c>
      <c r="AW1134" s="50" t="n">
        <v>0</v>
      </c>
      <c r="AX1134" s="51" t="n">
        <v>0</v>
      </c>
      <c r="AY1134" s="52" t="n">
        <v>0</v>
      </c>
      <c r="AZ1134" s="52" t="n">
        <v>0</v>
      </c>
      <c r="BA1134" s="52" t="n">
        <v>0</v>
      </c>
      <c r="BB1134" s="53" t="n">
        <v>0</v>
      </c>
      <c r="BC1134" s="52" t="n">
        <v>0</v>
      </c>
      <c r="BD1134" s="53" t="n">
        <v>0</v>
      </c>
      <c r="BE1134" s="52" t="n">
        <v>0</v>
      </c>
      <c r="BF1134" s="51" t="n">
        <v>0</v>
      </c>
    </row>
    <row r="1135">
      <c r="A1135">
        <f>HYPERLINK("https://www.walmart.com/ip/670578162", "670578162")</f>
        <v/>
      </c>
      <c r="B1135" t="inlineStr">
        <is>
          <t>Catalonia Cow Print Sherpa Fleece Blanket, Super Soft Warm Cozy Flannel Reversible Throw Blanket for Couch Sofa Bed, 50" x 60"</t>
        </is>
      </c>
      <c r="C1135" t="inlineStr">
        <is>
          <t>1CTBF300DMT</t>
        </is>
      </c>
      <c r="D1135" t="inlineStr">
        <is>
          <t>Throws</t>
        </is>
      </c>
      <c r="E1135" t="inlineStr">
        <is>
          <t>Catalonia</t>
        </is>
      </c>
      <c r="F1135" t="inlineStr">
        <is>
          <t>Q2-Target,WFS,SeePriceInCart,WFS Item,Fleece Blankets</t>
        </is>
      </c>
      <c r="G1135" s="48" t="n">
        <v>0</v>
      </c>
      <c r="H1135" s="49" t="n">
        <v>0</v>
      </c>
      <c r="I1135" s="49" t="n">
        <v>0</v>
      </c>
      <c r="J1135" s="50" t="n">
        <v>0</v>
      </c>
      <c r="K1135" s="51" t="n">
        <v>0</v>
      </c>
      <c r="L1135" s="52" t="n">
        <v>0</v>
      </c>
      <c r="M1135" s="52" t="n">
        <v>0</v>
      </c>
      <c r="N1135" s="52" t="n">
        <v>0</v>
      </c>
      <c r="O1135" s="53" t="n">
        <v>0</v>
      </c>
      <c r="P1135" s="52" t="n">
        <v>0</v>
      </c>
      <c r="Q1135" s="53" t="n">
        <v>0</v>
      </c>
      <c r="R1135" s="52" t="n">
        <v>0</v>
      </c>
      <c r="S1135" s="51" t="n">
        <v>0</v>
      </c>
      <c r="T1135" s="48" t="n">
        <v>0</v>
      </c>
      <c r="U1135" s="49" t="n">
        <v>0</v>
      </c>
      <c r="V1135" s="49" t="n">
        <v>0</v>
      </c>
      <c r="W1135" s="50" t="n">
        <v>0</v>
      </c>
      <c r="X1135" s="51" t="n">
        <v>0</v>
      </c>
      <c r="Y1135" s="52" t="n">
        <v>0</v>
      </c>
      <c r="Z1135" s="52" t="n">
        <v>0</v>
      </c>
      <c r="AA1135" s="52" t="n">
        <v>0</v>
      </c>
      <c r="AB1135" s="53" t="n">
        <v>0</v>
      </c>
      <c r="AC1135" s="52" t="n">
        <v>0</v>
      </c>
      <c r="AD1135" s="53" t="n">
        <v>0</v>
      </c>
      <c r="AE1135" s="52" t="n">
        <v>0</v>
      </c>
      <c r="AF1135" s="51" t="n">
        <v>0</v>
      </c>
      <c r="AG1135" s="48" t="n">
        <v>0</v>
      </c>
      <c r="AH1135" s="49" t="n">
        <v>0</v>
      </c>
      <c r="AI1135" s="49" t="n">
        <v>0</v>
      </c>
      <c r="AJ1135" s="50" t="n">
        <v>0</v>
      </c>
      <c r="AK1135" s="51" t="n">
        <v>0</v>
      </c>
      <c r="AL1135" s="52" t="n">
        <v>0</v>
      </c>
      <c r="AM1135" s="52" t="n">
        <v>0</v>
      </c>
      <c r="AN1135" s="52" t="n">
        <v>0</v>
      </c>
      <c r="AO1135" s="53" t="n">
        <v>0</v>
      </c>
      <c r="AP1135" s="52" t="n">
        <v>0</v>
      </c>
      <c r="AQ1135" s="53" t="n">
        <v>0</v>
      </c>
      <c r="AR1135" s="52" t="n">
        <v>0</v>
      </c>
      <c r="AS1135" s="51" t="n">
        <v>0</v>
      </c>
      <c r="AT1135" s="48" t="n">
        <v>0</v>
      </c>
      <c r="AU1135" s="49" t="n">
        <v>0</v>
      </c>
      <c r="AV1135" s="49" t="n">
        <v>0</v>
      </c>
      <c r="AW1135" s="50" t="n">
        <v>0</v>
      </c>
      <c r="AX1135" s="51" t="n">
        <v>0</v>
      </c>
      <c r="AY1135" s="52" t="n">
        <v>0</v>
      </c>
      <c r="AZ1135" s="52" t="n">
        <v>0</v>
      </c>
      <c r="BA1135" s="52" t="n">
        <v>0</v>
      </c>
      <c r="BB1135" s="53" t="n">
        <v>0</v>
      </c>
      <c r="BC1135" s="52" t="n">
        <v>0</v>
      </c>
      <c r="BD1135" s="53" t="n">
        <v>0</v>
      </c>
      <c r="BE1135" s="52" t="n">
        <v>0</v>
      </c>
      <c r="BF1135" s="51" t="n">
        <v>0</v>
      </c>
    </row>
    <row r="1136">
      <c r="A1136">
        <f>HYPERLINK("https://www.walmart.com/ip/371351927", "371351927")</f>
        <v/>
      </c>
      <c r="B1136" t="inlineStr">
        <is>
          <t>Tirrinia UV Protection Hat Unisex Wide Brim Large Bill Neck Flap Mesh Nets with Adjustable Drawstring Khaki</t>
        </is>
      </c>
      <c r="C1136" t="inlineStr">
        <is>
          <t>1TRSH9152KK-TBGM</t>
        </is>
      </c>
      <c r="D1136" t="inlineStr">
        <is>
          <t>Hats</t>
        </is>
      </c>
      <c r="E1136" t="inlineStr">
        <is>
          <t>Tirrinia</t>
        </is>
      </c>
      <c r="F1136" t="inlineStr">
        <is>
          <t>Optimized</t>
        </is>
      </c>
      <c r="G1136" s="48" t="n">
        <v>0</v>
      </c>
      <c r="H1136" s="49" t="n">
        <v>0</v>
      </c>
      <c r="I1136" s="49" t="n">
        <v>0</v>
      </c>
      <c r="J1136" s="50" t="n">
        <v>0</v>
      </c>
      <c r="K1136" s="51" t="n">
        <v>0</v>
      </c>
      <c r="L1136" s="52" t="n">
        <v>0</v>
      </c>
      <c r="M1136" s="52" t="n">
        <v>0</v>
      </c>
      <c r="N1136" s="52" t="n">
        <v>0</v>
      </c>
      <c r="O1136" s="53" t="n">
        <v>0</v>
      </c>
      <c r="P1136" s="52" t="n">
        <v>0</v>
      </c>
      <c r="Q1136" s="53" t="n">
        <v>0</v>
      </c>
      <c r="R1136" s="52" t="n">
        <v>0</v>
      </c>
      <c r="S1136" s="51" t="n">
        <v>45</v>
      </c>
      <c r="T1136" s="48" t="n">
        <v>0</v>
      </c>
      <c r="U1136" s="49" t="n">
        <v>0</v>
      </c>
      <c r="V1136" s="49" t="n">
        <v>0</v>
      </c>
      <c r="W1136" s="50" t="n">
        <v>0</v>
      </c>
      <c r="X1136" s="51" t="n">
        <v>0</v>
      </c>
      <c r="Y1136" s="52" t="n">
        <v>0</v>
      </c>
      <c r="Z1136" s="52" t="n">
        <v>0</v>
      </c>
      <c r="AA1136" s="52" t="n">
        <v>0</v>
      </c>
      <c r="AB1136" s="53" t="n">
        <v>0</v>
      </c>
      <c r="AC1136" s="52" t="n">
        <v>0</v>
      </c>
      <c r="AD1136" s="53" t="n">
        <v>0</v>
      </c>
      <c r="AE1136" s="52" t="n">
        <v>0</v>
      </c>
      <c r="AF1136" s="51" t="n">
        <v>0</v>
      </c>
      <c r="AG1136" s="48" t="n">
        <v>0</v>
      </c>
      <c r="AH1136" s="49" t="n">
        <v>0</v>
      </c>
      <c r="AI1136" s="49" t="n">
        <v>0</v>
      </c>
      <c r="AJ1136" s="50" t="n">
        <v>0</v>
      </c>
      <c r="AK1136" s="51" t="n">
        <v>0</v>
      </c>
      <c r="AL1136" s="52" t="n">
        <v>0</v>
      </c>
      <c r="AM1136" s="52" t="n">
        <v>0</v>
      </c>
      <c r="AN1136" s="52" t="n">
        <v>0</v>
      </c>
      <c r="AO1136" s="53" t="n">
        <v>0</v>
      </c>
      <c r="AP1136" s="52" t="n">
        <v>0</v>
      </c>
      <c r="AQ1136" s="53" t="n">
        <v>0</v>
      </c>
      <c r="AR1136" s="52" t="n">
        <v>0</v>
      </c>
      <c r="AS1136" s="51" t="n">
        <v>0</v>
      </c>
      <c r="AT1136" s="48" t="n">
        <v>0</v>
      </c>
      <c r="AU1136" s="49" t="n">
        <v>0</v>
      </c>
      <c r="AV1136" s="49" t="n">
        <v>0</v>
      </c>
      <c r="AW1136" s="50" t="n">
        <v>0</v>
      </c>
      <c r="AX1136" s="51" t="n">
        <v>0</v>
      </c>
      <c r="AY1136" s="52" t="n">
        <v>0</v>
      </c>
      <c r="AZ1136" s="52" t="n">
        <v>0</v>
      </c>
      <c r="BA1136" s="52" t="n">
        <v>0</v>
      </c>
      <c r="BB1136" s="53" t="n">
        <v>0</v>
      </c>
      <c r="BC1136" s="52" t="n">
        <v>0</v>
      </c>
      <c r="BD1136" s="53" t="n">
        <v>0</v>
      </c>
      <c r="BE1136" s="52" t="n">
        <v>0</v>
      </c>
      <c r="BF1136" s="51" t="n">
        <v>0</v>
      </c>
    </row>
    <row r="1137">
      <c r="A1137">
        <f>HYPERLINK("https://www.walmart.com/ip/670417568", "670417568")</f>
        <v/>
      </c>
      <c r="B1137" t="inlineStr">
        <is>
          <t>Tirrinia Insulated 4 Bottle Wine Carrier Tote Cooler Bag for Travel Picnic Padded Champagne Glass Carrying Case Leather</t>
        </is>
      </c>
      <c r="C1137" t="inlineStr">
        <is>
          <t>1WMWB421PP</t>
        </is>
      </c>
      <c r="D1137" t="inlineStr">
        <is>
          <t>Wine Totes, Bags &amp; Backpacks</t>
        </is>
      </c>
      <c r="E1137" t="inlineStr">
        <is>
          <t>Flyingstar</t>
        </is>
      </c>
      <c r="F1137" t="inlineStr">
        <is>
          <t>Wine,Christmas,Optimized,Valentine</t>
        </is>
      </c>
      <c r="G1137" s="48" t="n">
        <v>0</v>
      </c>
      <c r="H1137" s="49" t="n">
        <v>0</v>
      </c>
      <c r="I1137" s="49" t="n">
        <v>0</v>
      </c>
      <c r="J1137" s="50" t="n">
        <v>0</v>
      </c>
      <c r="K1137" s="51" t="n">
        <v>0</v>
      </c>
      <c r="L1137" s="52" t="n">
        <v>0</v>
      </c>
      <c r="M1137" s="52" t="n">
        <v>0</v>
      </c>
      <c r="N1137" s="52" t="n">
        <v>0</v>
      </c>
      <c r="O1137" s="53" t="n">
        <v>0</v>
      </c>
      <c r="P1137" s="52" t="n">
        <v>0</v>
      </c>
      <c r="Q1137" s="53" t="n">
        <v>0</v>
      </c>
      <c r="R1137" s="52" t="n">
        <v>0</v>
      </c>
      <c r="S1137" s="51" t="n">
        <v>0</v>
      </c>
      <c r="T1137" s="48" t="n">
        <v>0</v>
      </c>
      <c r="U1137" s="49" t="n">
        <v>0</v>
      </c>
      <c r="V1137" s="49" t="n">
        <v>0</v>
      </c>
      <c r="W1137" s="50" t="n">
        <v>0</v>
      </c>
      <c r="X1137" s="51" t="n">
        <v>0</v>
      </c>
      <c r="Y1137" s="52" t="n">
        <v>0</v>
      </c>
      <c r="Z1137" s="52" t="n">
        <v>0</v>
      </c>
      <c r="AA1137" s="52" t="n">
        <v>0</v>
      </c>
      <c r="AB1137" s="53" t="n">
        <v>0</v>
      </c>
      <c r="AC1137" s="52" t="n">
        <v>0</v>
      </c>
      <c r="AD1137" s="53" t="n">
        <v>0</v>
      </c>
      <c r="AE1137" s="52" t="n">
        <v>0</v>
      </c>
      <c r="AF1137" s="51" t="n">
        <v>0</v>
      </c>
      <c r="AG1137" s="48" t="n">
        <v>0</v>
      </c>
      <c r="AH1137" s="49" t="n">
        <v>0</v>
      </c>
      <c r="AI1137" s="49" t="n">
        <v>0</v>
      </c>
      <c r="AJ1137" s="50" t="n">
        <v>0</v>
      </c>
      <c r="AK1137" s="51" t="n">
        <v>0</v>
      </c>
      <c r="AL1137" s="52" t="n">
        <v>0</v>
      </c>
      <c r="AM1137" s="52" t="n">
        <v>0</v>
      </c>
      <c r="AN1137" s="52" t="n">
        <v>0</v>
      </c>
      <c r="AO1137" s="53" t="n">
        <v>0</v>
      </c>
      <c r="AP1137" s="52" t="n">
        <v>0</v>
      </c>
      <c r="AQ1137" s="53" t="n">
        <v>0</v>
      </c>
      <c r="AR1137" s="52" t="n">
        <v>0</v>
      </c>
      <c r="AS1137" s="51" t="n">
        <v>0</v>
      </c>
      <c r="AT1137" s="48" t="n">
        <v>0</v>
      </c>
      <c r="AU1137" s="49" t="n">
        <v>0</v>
      </c>
      <c r="AV1137" s="49" t="n">
        <v>0</v>
      </c>
      <c r="AW1137" s="50" t="n">
        <v>0</v>
      </c>
      <c r="AX1137" s="51" t="n">
        <v>0</v>
      </c>
      <c r="AY1137" s="52" t="n">
        <v>0</v>
      </c>
      <c r="AZ1137" s="52" t="n">
        <v>0</v>
      </c>
      <c r="BA1137" s="52" t="n">
        <v>0</v>
      </c>
      <c r="BB1137" s="53" t="n">
        <v>0</v>
      </c>
      <c r="BC1137" s="52" t="n">
        <v>0</v>
      </c>
      <c r="BD1137" s="53" t="n">
        <v>0</v>
      </c>
      <c r="BE1137" s="52" t="n">
        <v>0</v>
      </c>
      <c r="BF1137" s="51" t="n">
        <v>0</v>
      </c>
    </row>
    <row r="1138">
      <c r="A1138">
        <f>HYPERLINK("https://www.walmart.com/ip/656544063", "656544063")</f>
        <v/>
      </c>
      <c r="B1138" t="inlineStr">
        <is>
          <t>Catalonia Brazilian Curly Wigs for African American Black Women,Kinky Lace Front Wig Heat Resistance Synthetic Fiber 16" Brown</t>
        </is>
      </c>
      <c r="C1138" t="inlineStr">
        <is>
          <t>1CTWIG386-2-ESCB</t>
        </is>
      </c>
      <c r="D1138" t="inlineStr">
        <is>
          <t>Wigs &amp; Toupees</t>
        </is>
      </c>
      <c r="E1138" t="inlineStr">
        <is>
          <t>Catalonia</t>
        </is>
      </c>
      <c r="G1138" s="48" t="n">
        <v>0</v>
      </c>
      <c r="H1138" s="49" t="n">
        <v>0</v>
      </c>
      <c r="I1138" s="49" t="n">
        <v>0</v>
      </c>
      <c r="J1138" s="50" t="n">
        <v>0</v>
      </c>
      <c r="K1138" s="51" t="n">
        <v>0</v>
      </c>
      <c r="L1138" s="52" t="n">
        <v>0</v>
      </c>
      <c r="M1138" s="52" t="n">
        <v>0</v>
      </c>
      <c r="N1138" s="52" t="n">
        <v>0</v>
      </c>
      <c r="O1138" s="53" t="n">
        <v>0</v>
      </c>
      <c r="P1138" s="52" t="n">
        <v>0</v>
      </c>
      <c r="Q1138" s="53" t="n">
        <v>0</v>
      </c>
      <c r="R1138" s="52" t="n">
        <v>0</v>
      </c>
      <c r="S1138" s="51" t="n">
        <v>0</v>
      </c>
      <c r="T1138" s="48" t="n">
        <v>0</v>
      </c>
      <c r="U1138" s="49" t="n">
        <v>0</v>
      </c>
      <c r="V1138" s="49" t="n">
        <v>0</v>
      </c>
      <c r="W1138" s="50" t="n">
        <v>0</v>
      </c>
      <c r="X1138" s="51" t="n">
        <v>0</v>
      </c>
      <c r="Y1138" s="52" t="n">
        <v>0</v>
      </c>
      <c r="Z1138" s="52" t="n">
        <v>0</v>
      </c>
      <c r="AA1138" s="52" t="n">
        <v>0</v>
      </c>
      <c r="AB1138" s="53" t="n">
        <v>0</v>
      </c>
      <c r="AC1138" s="52" t="n">
        <v>0</v>
      </c>
      <c r="AD1138" s="53" t="n">
        <v>0</v>
      </c>
      <c r="AE1138" s="52" t="n">
        <v>0</v>
      </c>
      <c r="AF1138" s="51" t="n">
        <v>0</v>
      </c>
      <c r="AG1138" s="48" t="n">
        <v>0</v>
      </c>
      <c r="AH1138" s="49" t="n">
        <v>0</v>
      </c>
      <c r="AI1138" s="49" t="n">
        <v>0</v>
      </c>
      <c r="AJ1138" s="50" t="n">
        <v>0</v>
      </c>
      <c r="AK1138" s="51" t="n">
        <v>0</v>
      </c>
      <c r="AL1138" s="52" t="n">
        <v>0</v>
      </c>
      <c r="AM1138" s="52" t="n">
        <v>0</v>
      </c>
      <c r="AN1138" s="52" t="n">
        <v>0</v>
      </c>
      <c r="AO1138" s="53" t="n">
        <v>0</v>
      </c>
      <c r="AP1138" s="52" t="n">
        <v>0</v>
      </c>
      <c r="AQ1138" s="53" t="n">
        <v>0</v>
      </c>
      <c r="AR1138" s="52" t="n">
        <v>0</v>
      </c>
      <c r="AS1138" s="51" t="n">
        <v>0</v>
      </c>
      <c r="AT1138" s="48" t="n">
        <v>0</v>
      </c>
      <c r="AU1138" s="49" t="n">
        <v>0</v>
      </c>
      <c r="AV1138" s="49" t="n">
        <v>0</v>
      </c>
      <c r="AW1138" s="50" t="n">
        <v>0</v>
      </c>
      <c r="AX1138" s="51" t="n">
        <v>0</v>
      </c>
      <c r="AY1138" s="52" t="n">
        <v>0</v>
      </c>
      <c r="AZ1138" s="52" t="n">
        <v>0</v>
      </c>
      <c r="BA1138" s="52" t="n">
        <v>0</v>
      </c>
      <c r="BB1138" s="53" t="n">
        <v>0</v>
      </c>
      <c r="BC1138" s="52" t="n">
        <v>0</v>
      </c>
      <c r="BD1138" s="53" t="n">
        <v>0</v>
      </c>
      <c r="BE1138" s="52" t="n">
        <v>0</v>
      </c>
      <c r="BF1138" s="51" t="n">
        <v>0</v>
      </c>
    </row>
    <row r="1139">
      <c r="A1139">
        <f>HYPERLINK("https://www.walmart.com/ip/657141976", "657141976")</f>
        <v/>
      </c>
      <c r="B1139" t="inlineStr">
        <is>
          <t>Catalonia Sherpa Fleece Throw Blanket, Super Soft Plush Couch Blanket, TV Bed Blanket, Comfy Warm Heavy Throws, Comfort Caring Gift, 50x60 inches</t>
        </is>
      </c>
      <c r="C1139" t="inlineStr">
        <is>
          <t>1CTBF300ZEBRA</t>
        </is>
      </c>
      <c r="D1139" t="inlineStr">
        <is>
          <t>Throws</t>
        </is>
      </c>
      <c r="E1139" t="inlineStr">
        <is>
          <t>Catalonia</t>
        </is>
      </c>
      <c r="F1139" t="inlineStr">
        <is>
          <t>WFS,Coupon_Discount,WFS Item</t>
        </is>
      </c>
      <c r="G1139" s="48" t="n">
        <v>0</v>
      </c>
      <c r="H1139" s="49" t="n">
        <v>0</v>
      </c>
      <c r="I1139" s="49" t="n">
        <v>0</v>
      </c>
      <c r="J1139" s="50" t="n">
        <v>0</v>
      </c>
      <c r="K1139" s="51" t="n">
        <v>0</v>
      </c>
      <c r="L1139" s="52" t="n">
        <v>0</v>
      </c>
      <c r="M1139" s="52" t="n">
        <v>0</v>
      </c>
      <c r="N1139" s="52" t="n">
        <v>0</v>
      </c>
      <c r="O1139" s="53" t="n">
        <v>0</v>
      </c>
      <c r="P1139" s="52" t="n">
        <v>0</v>
      </c>
      <c r="Q1139" s="53" t="n">
        <v>0</v>
      </c>
      <c r="R1139" s="52" t="n">
        <v>0</v>
      </c>
      <c r="S1139" s="51" t="n">
        <v>0</v>
      </c>
      <c r="T1139" s="48" t="n">
        <v>0</v>
      </c>
      <c r="U1139" s="49" t="n">
        <v>0</v>
      </c>
      <c r="V1139" s="49" t="n">
        <v>0</v>
      </c>
      <c r="W1139" s="50" t="n">
        <v>0</v>
      </c>
      <c r="X1139" s="51" t="n">
        <v>0</v>
      </c>
      <c r="Y1139" s="52" t="n">
        <v>0</v>
      </c>
      <c r="Z1139" s="52" t="n">
        <v>0</v>
      </c>
      <c r="AA1139" s="52" t="n">
        <v>0</v>
      </c>
      <c r="AB1139" s="53" t="n">
        <v>0</v>
      </c>
      <c r="AC1139" s="52" t="n">
        <v>0</v>
      </c>
      <c r="AD1139" s="53" t="n">
        <v>0</v>
      </c>
      <c r="AE1139" s="52" t="n">
        <v>0</v>
      </c>
      <c r="AF1139" s="51" t="n">
        <v>0</v>
      </c>
      <c r="AG1139" s="48" t="n">
        <v>0</v>
      </c>
      <c r="AH1139" s="49" t="n">
        <v>0</v>
      </c>
      <c r="AI1139" s="49" t="n">
        <v>0</v>
      </c>
      <c r="AJ1139" s="50" t="n">
        <v>0</v>
      </c>
      <c r="AK1139" s="51" t="n">
        <v>0</v>
      </c>
      <c r="AL1139" s="52" t="n">
        <v>0</v>
      </c>
      <c r="AM1139" s="52" t="n">
        <v>0</v>
      </c>
      <c r="AN1139" s="52" t="n">
        <v>0</v>
      </c>
      <c r="AO1139" s="53" t="n">
        <v>0</v>
      </c>
      <c r="AP1139" s="52" t="n">
        <v>0</v>
      </c>
      <c r="AQ1139" s="53" t="n">
        <v>0</v>
      </c>
      <c r="AR1139" s="52" t="n">
        <v>0</v>
      </c>
      <c r="AS1139" s="51" t="n">
        <v>0</v>
      </c>
      <c r="AT1139" s="48" t="n">
        <v>0</v>
      </c>
      <c r="AU1139" s="49" t="n">
        <v>0</v>
      </c>
      <c r="AV1139" s="49" t="n">
        <v>0</v>
      </c>
      <c r="AW1139" s="50" t="n">
        <v>0</v>
      </c>
      <c r="AX1139" s="51" t="n">
        <v>0</v>
      </c>
      <c r="AY1139" s="52" t="n">
        <v>0</v>
      </c>
      <c r="AZ1139" s="52" t="n">
        <v>0</v>
      </c>
      <c r="BA1139" s="52" t="n">
        <v>0</v>
      </c>
      <c r="BB1139" s="53" t="n">
        <v>0</v>
      </c>
      <c r="BC1139" s="52" t="n">
        <v>0</v>
      </c>
      <c r="BD1139" s="53" t="n">
        <v>0</v>
      </c>
      <c r="BE1139" s="52" t="n">
        <v>0</v>
      </c>
      <c r="BF1139" s="51" t="n">
        <v>0</v>
      </c>
    </row>
    <row r="1140">
      <c r="A1140">
        <f>HYPERLINK("https://www.walmart.com/ip/657559608", "657559608")</f>
        <v/>
      </c>
      <c r="B1140" t="inlineStr">
        <is>
          <t>Ski Gloves for Women &amp; Men 3M Winter Snow Gloves Mittens Insulation Waterproof for Outdoors Sports</t>
        </is>
      </c>
      <c r="C1140" t="inlineStr">
        <is>
          <t>1SLWG100BKM</t>
        </is>
      </c>
      <c r="D1140" t="inlineStr">
        <is>
          <t>Gloves &amp; Mittens</t>
        </is>
      </c>
      <c r="E1140" t="inlineStr">
        <is>
          <t>Solaris</t>
        </is>
      </c>
      <c r="F1140" t="inlineStr">
        <is>
          <t>Gloves,WFS,WFS Item</t>
        </is>
      </c>
      <c r="G1140" s="48" t="n">
        <v>0</v>
      </c>
      <c r="H1140" s="49" t="n">
        <v>0</v>
      </c>
      <c r="I1140" s="49" t="n">
        <v>0</v>
      </c>
      <c r="J1140" s="50" t="n">
        <v>0</v>
      </c>
      <c r="K1140" s="51" t="n">
        <v>0</v>
      </c>
      <c r="L1140" s="52" t="n">
        <v>0</v>
      </c>
      <c r="M1140" s="52" t="n">
        <v>0</v>
      </c>
      <c r="N1140" s="52" t="n">
        <v>0</v>
      </c>
      <c r="O1140" s="53" t="n">
        <v>0</v>
      </c>
      <c r="P1140" s="52" t="n">
        <v>0</v>
      </c>
      <c r="Q1140" s="53" t="n">
        <v>0</v>
      </c>
      <c r="R1140" s="52" t="n">
        <v>0</v>
      </c>
      <c r="S1140" s="51" t="n">
        <v>0</v>
      </c>
      <c r="T1140" s="48" t="n">
        <v>0</v>
      </c>
      <c r="U1140" s="49" t="n">
        <v>0</v>
      </c>
      <c r="V1140" s="49" t="n">
        <v>0</v>
      </c>
      <c r="W1140" s="50" t="n">
        <v>0</v>
      </c>
      <c r="X1140" s="51" t="n">
        <v>0</v>
      </c>
      <c r="Y1140" s="52" t="n">
        <v>0</v>
      </c>
      <c r="Z1140" s="52" t="n">
        <v>0</v>
      </c>
      <c r="AA1140" s="52" t="n">
        <v>0</v>
      </c>
      <c r="AB1140" s="53" t="n">
        <v>0</v>
      </c>
      <c r="AC1140" s="52" t="n">
        <v>0</v>
      </c>
      <c r="AD1140" s="53" t="n">
        <v>0</v>
      </c>
      <c r="AE1140" s="52" t="n">
        <v>0</v>
      </c>
      <c r="AF1140" s="51" t="n">
        <v>0</v>
      </c>
      <c r="AG1140" s="48" t="n">
        <v>0</v>
      </c>
      <c r="AH1140" s="49" t="n">
        <v>0</v>
      </c>
      <c r="AI1140" s="49" t="n">
        <v>0</v>
      </c>
      <c r="AJ1140" s="50" t="n">
        <v>0</v>
      </c>
      <c r="AK1140" s="51" t="n">
        <v>0</v>
      </c>
      <c r="AL1140" s="52" t="n">
        <v>0</v>
      </c>
      <c r="AM1140" s="52" t="n">
        <v>0</v>
      </c>
      <c r="AN1140" s="52" t="n">
        <v>0</v>
      </c>
      <c r="AO1140" s="53" t="n">
        <v>0</v>
      </c>
      <c r="AP1140" s="52" t="n">
        <v>0</v>
      </c>
      <c r="AQ1140" s="53" t="n">
        <v>0</v>
      </c>
      <c r="AR1140" s="52" t="n">
        <v>0</v>
      </c>
      <c r="AS1140" s="51" t="n">
        <v>0</v>
      </c>
      <c r="AT1140" s="48" t="n">
        <v>0</v>
      </c>
      <c r="AU1140" s="49" t="n">
        <v>0</v>
      </c>
      <c r="AV1140" s="49" t="n">
        <v>0</v>
      </c>
      <c r="AW1140" s="50" t="n">
        <v>0</v>
      </c>
      <c r="AX1140" s="51" t="n">
        <v>0</v>
      </c>
      <c r="AY1140" s="52" t="n">
        <v>0</v>
      </c>
      <c r="AZ1140" s="52" t="n">
        <v>0</v>
      </c>
      <c r="BA1140" s="52" t="n">
        <v>0</v>
      </c>
      <c r="BB1140" s="53" t="n">
        <v>0</v>
      </c>
      <c r="BC1140" s="52" t="n">
        <v>0</v>
      </c>
      <c r="BD1140" s="53" t="n">
        <v>0</v>
      </c>
      <c r="BE1140" s="52" t="n">
        <v>0</v>
      </c>
      <c r="BF1140" s="51" t="n">
        <v>0</v>
      </c>
    </row>
    <row r="1141">
      <c r="A1141">
        <f>HYPERLINK("https://www.walmart.com/ip/657989120", "657989120")</f>
        <v/>
      </c>
      <c r="B1141" t="inlineStr">
        <is>
          <t>Tirrinia Insulated 2 Bottle Wine Carrier Tote Cooler Bag for Travel Picnic Padded Champagne Glass</t>
        </is>
      </c>
      <c r="C1141" t="inlineStr">
        <is>
          <t>1WMWB231BLSTR</t>
        </is>
      </c>
      <c r="D1141" t="inlineStr">
        <is>
          <t>Wine Totes, Bags &amp; Backpacks</t>
        </is>
      </c>
      <c r="E1141" t="inlineStr">
        <is>
          <t>Flyingstar</t>
        </is>
      </c>
      <c r="F1141" t="inlineStr">
        <is>
          <t>Wine,Christmas,Valentine</t>
        </is>
      </c>
      <c r="G1141" s="48" t="n">
        <v>0</v>
      </c>
      <c r="H1141" s="49" t="n">
        <v>0</v>
      </c>
      <c r="I1141" s="49" t="n">
        <v>0</v>
      </c>
      <c r="J1141" s="50" t="n">
        <v>0</v>
      </c>
      <c r="K1141" s="51" t="n">
        <v>0</v>
      </c>
      <c r="L1141" s="52" t="n">
        <v>0</v>
      </c>
      <c r="M1141" s="52" t="n">
        <v>0</v>
      </c>
      <c r="N1141" s="52" t="n">
        <v>0</v>
      </c>
      <c r="O1141" s="53" t="n">
        <v>0</v>
      </c>
      <c r="P1141" s="52" t="n">
        <v>0</v>
      </c>
      <c r="Q1141" s="53" t="n">
        <v>0</v>
      </c>
      <c r="R1141" s="52" t="n">
        <v>0</v>
      </c>
      <c r="S1141" s="51" t="n">
        <v>0</v>
      </c>
      <c r="T1141" s="48" t="n">
        <v>0</v>
      </c>
      <c r="U1141" s="49" t="n">
        <v>0</v>
      </c>
      <c r="V1141" s="49" t="n">
        <v>0</v>
      </c>
      <c r="W1141" s="50" t="n">
        <v>0</v>
      </c>
      <c r="X1141" s="51" t="n">
        <v>0</v>
      </c>
      <c r="Y1141" s="52" t="n">
        <v>0</v>
      </c>
      <c r="Z1141" s="52" t="n">
        <v>0</v>
      </c>
      <c r="AA1141" s="52" t="n">
        <v>0</v>
      </c>
      <c r="AB1141" s="53" t="n">
        <v>0</v>
      </c>
      <c r="AC1141" s="52" t="n">
        <v>0</v>
      </c>
      <c r="AD1141" s="53" t="n">
        <v>0</v>
      </c>
      <c r="AE1141" s="52" t="n">
        <v>0</v>
      </c>
      <c r="AF1141" s="51" t="n">
        <v>0</v>
      </c>
      <c r="AG1141" s="48" t="n">
        <v>0</v>
      </c>
      <c r="AH1141" s="49" t="n">
        <v>0</v>
      </c>
      <c r="AI1141" s="49" t="n">
        <v>0</v>
      </c>
      <c r="AJ1141" s="50" t="n">
        <v>0</v>
      </c>
      <c r="AK1141" s="51" t="n">
        <v>0</v>
      </c>
      <c r="AL1141" s="52" t="n">
        <v>0</v>
      </c>
      <c r="AM1141" s="52" t="n">
        <v>0</v>
      </c>
      <c r="AN1141" s="52" t="n">
        <v>0</v>
      </c>
      <c r="AO1141" s="53" t="n">
        <v>0</v>
      </c>
      <c r="AP1141" s="52" t="n">
        <v>0</v>
      </c>
      <c r="AQ1141" s="53" t="n">
        <v>0</v>
      </c>
      <c r="AR1141" s="52" t="n">
        <v>0</v>
      </c>
      <c r="AS1141" s="51" t="n">
        <v>0</v>
      </c>
      <c r="AT1141" s="48" t="n">
        <v>0</v>
      </c>
      <c r="AU1141" s="49" t="n">
        <v>0</v>
      </c>
      <c r="AV1141" s="49" t="n">
        <v>0</v>
      </c>
      <c r="AW1141" s="50" t="n">
        <v>0</v>
      </c>
      <c r="AX1141" s="51" t="n">
        <v>0</v>
      </c>
      <c r="AY1141" s="52" t="n">
        <v>0</v>
      </c>
      <c r="AZ1141" s="52" t="n">
        <v>0</v>
      </c>
      <c r="BA1141" s="52" t="n">
        <v>0</v>
      </c>
      <c r="BB1141" s="53" t="n">
        <v>0</v>
      </c>
      <c r="BC1141" s="52" t="n">
        <v>0</v>
      </c>
      <c r="BD1141" s="53" t="n">
        <v>0</v>
      </c>
      <c r="BE1141" s="52" t="n">
        <v>0</v>
      </c>
      <c r="BF1141" s="51" t="n">
        <v>0</v>
      </c>
    </row>
    <row r="1142">
      <c r="A1142">
        <f>HYPERLINK("https://www.walmart.com/ip/660689445", "660689445")</f>
        <v/>
      </c>
      <c r="B1142" t="inlineStr">
        <is>
          <t>Tirrinia Wearable Fleece Blanket with Sleeves for Adult Women Men, Super Soft Comfy Plush TV Blanket Throw Wrap Cover for Lounge Couch Reading Watching TV 73" x 51" Grey</t>
        </is>
      </c>
      <c r="C1142" t="inlineStr">
        <is>
          <t>1TRSN100GY</t>
        </is>
      </c>
      <c r="D1142" t="inlineStr">
        <is>
          <t>Throws</t>
        </is>
      </c>
      <c r="E1142" t="inlineStr">
        <is>
          <t>Tirrinia</t>
        </is>
      </c>
      <c r="F1142" t="inlineStr">
        <is>
          <t>WFS,WFS Item,Fleece Blankets</t>
        </is>
      </c>
      <c r="G1142" s="48" t="n">
        <v>0</v>
      </c>
      <c r="H1142" s="49" t="n">
        <v>0</v>
      </c>
      <c r="I1142" s="49" t="n">
        <v>0</v>
      </c>
      <c r="J1142" s="50" t="n">
        <v>0</v>
      </c>
      <c r="K1142" s="51" t="n">
        <v>0</v>
      </c>
      <c r="L1142" s="52" t="n">
        <v>0</v>
      </c>
      <c r="M1142" s="52" t="n">
        <v>0</v>
      </c>
      <c r="N1142" s="52" t="n">
        <v>0</v>
      </c>
      <c r="O1142" s="53" t="n">
        <v>0</v>
      </c>
      <c r="P1142" s="52" t="n">
        <v>0</v>
      </c>
      <c r="Q1142" s="53" t="n">
        <v>0</v>
      </c>
      <c r="R1142" s="52" t="n">
        <v>0</v>
      </c>
      <c r="S1142" s="51" t="n">
        <v>0</v>
      </c>
      <c r="T1142" s="48" t="n">
        <v>0</v>
      </c>
      <c r="U1142" s="49" t="n">
        <v>0</v>
      </c>
      <c r="V1142" s="49" t="n">
        <v>0</v>
      </c>
      <c r="W1142" s="50" t="n">
        <v>0</v>
      </c>
      <c r="X1142" s="51" t="n">
        <v>0</v>
      </c>
      <c r="Y1142" s="52" t="n">
        <v>0</v>
      </c>
      <c r="Z1142" s="52" t="n">
        <v>0</v>
      </c>
      <c r="AA1142" s="52" t="n">
        <v>0</v>
      </c>
      <c r="AB1142" s="53" t="n">
        <v>0</v>
      </c>
      <c r="AC1142" s="52" t="n">
        <v>0</v>
      </c>
      <c r="AD1142" s="53" t="n">
        <v>0</v>
      </c>
      <c r="AE1142" s="52" t="n">
        <v>0</v>
      </c>
      <c r="AF1142" s="51" t="n">
        <v>0</v>
      </c>
      <c r="AG1142" s="48" t="n">
        <v>0</v>
      </c>
      <c r="AH1142" s="49" t="n">
        <v>0</v>
      </c>
      <c r="AI1142" s="49" t="n">
        <v>0</v>
      </c>
      <c r="AJ1142" s="50" t="n">
        <v>0</v>
      </c>
      <c r="AK1142" s="51" t="n">
        <v>0</v>
      </c>
      <c r="AL1142" s="52" t="n">
        <v>0</v>
      </c>
      <c r="AM1142" s="52" t="n">
        <v>0</v>
      </c>
      <c r="AN1142" s="52" t="n">
        <v>0</v>
      </c>
      <c r="AO1142" s="53" t="n">
        <v>0</v>
      </c>
      <c r="AP1142" s="52" t="n">
        <v>0</v>
      </c>
      <c r="AQ1142" s="53" t="n">
        <v>0</v>
      </c>
      <c r="AR1142" s="52" t="n">
        <v>0</v>
      </c>
      <c r="AS1142" s="51" t="n">
        <v>0</v>
      </c>
      <c r="AT1142" s="48" t="n">
        <v>0</v>
      </c>
      <c r="AU1142" s="49" t="n">
        <v>0</v>
      </c>
      <c r="AV1142" s="49" t="n">
        <v>0</v>
      </c>
      <c r="AW1142" s="50" t="n">
        <v>0</v>
      </c>
      <c r="AX1142" s="51" t="n">
        <v>0</v>
      </c>
      <c r="AY1142" s="52" t="n">
        <v>0</v>
      </c>
      <c r="AZ1142" s="52" t="n">
        <v>0</v>
      </c>
      <c r="BA1142" s="52" t="n">
        <v>0</v>
      </c>
      <c r="BB1142" s="53" t="n">
        <v>0</v>
      </c>
      <c r="BC1142" s="52" t="n">
        <v>0</v>
      </c>
      <c r="BD1142" s="53" t="n">
        <v>0</v>
      </c>
      <c r="BE1142" s="52" t="n">
        <v>0</v>
      </c>
      <c r="BF1142" s="51" t="n">
        <v>0</v>
      </c>
    </row>
    <row r="1143">
      <c r="A1143">
        <f>HYPERLINK("https://www.walmart.com/ip/660768837", "660768837")</f>
        <v/>
      </c>
      <c r="B1143" t="inlineStr">
        <is>
          <t>Catalonia Queen Size Quilt Set, Lightweight Bedspread for Summer and Spring, 2 Pieces Bedding Coverlet, 1 Quilt and 1 Pillow Sham, Blue Wave Pattern, 90" X 96"</t>
        </is>
      </c>
      <c r="C1143" t="inlineStr">
        <is>
          <t>1CTBQ201QF-BLWT</t>
        </is>
      </c>
      <c r="D1143" t="inlineStr">
        <is>
          <t>Quilts</t>
        </is>
      </c>
      <c r="E1143" t="inlineStr">
        <is>
          <t>Catalonia</t>
        </is>
      </c>
      <c r="F1143" t="inlineStr">
        <is>
          <t>Optimized,SEM,Quilt_Vinay</t>
        </is>
      </c>
      <c r="G1143" s="48" t="n">
        <v>0</v>
      </c>
      <c r="H1143" s="49" t="n">
        <v>0</v>
      </c>
      <c r="I1143" s="49" t="n">
        <v>0</v>
      </c>
      <c r="J1143" s="50" t="n">
        <v>0</v>
      </c>
      <c r="K1143" s="51" t="n">
        <v>0</v>
      </c>
      <c r="L1143" s="52" t="n">
        <v>0</v>
      </c>
      <c r="M1143" s="52" t="n">
        <v>0</v>
      </c>
      <c r="N1143" s="52" t="n">
        <v>0</v>
      </c>
      <c r="O1143" s="53" t="n">
        <v>0</v>
      </c>
      <c r="P1143" s="52" t="n">
        <v>0</v>
      </c>
      <c r="Q1143" s="53" t="n">
        <v>0</v>
      </c>
      <c r="R1143" s="52" t="n">
        <v>0</v>
      </c>
      <c r="S1143" s="51" t="n">
        <v>0</v>
      </c>
      <c r="T1143" s="48" t="n">
        <v>0</v>
      </c>
      <c r="U1143" s="49" t="n">
        <v>0</v>
      </c>
      <c r="V1143" s="49" t="n">
        <v>0</v>
      </c>
      <c r="W1143" s="50" t="n">
        <v>0</v>
      </c>
      <c r="X1143" s="51" t="n">
        <v>0</v>
      </c>
      <c r="Y1143" s="52" t="n">
        <v>0</v>
      </c>
      <c r="Z1143" s="52" t="n">
        <v>0</v>
      </c>
      <c r="AA1143" s="52" t="n">
        <v>0</v>
      </c>
      <c r="AB1143" s="53" t="n">
        <v>0</v>
      </c>
      <c r="AC1143" s="52" t="n">
        <v>0</v>
      </c>
      <c r="AD1143" s="53" t="n">
        <v>0</v>
      </c>
      <c r="AE1143" s="52" t="n">
        <v>0</v>
      </c>
      <c r="AF1143" s="51" t="n">
        <v>0</v>
      </c>
      <c r="AG1143" s="48" t="n">
        <v>0</v>
      </c>
      <c r="AH1143" s="49" t="n">
        <v>0</v>
      </c>
      <c r="AI1143" s="49" t="n">
        <v>0</v>
      </c>
      <c r="AJ1143" s="50" t="n">
        <v>0</v>
      </c>
      <c r="AK1143" s="51" t="n">
        <v>0</v>
      </c>
      <c r="AL1143" s="52" t="n">
        <v>0</v>
      </c>
      <c r="AM1143" s="52" t="n">
        <v>0</v>
      </c>
      <c r="AN1143" s="52" t="n">
        <v>0</v>
      </c>
      <c r="AO1143" s="53" t="n">
        <v>0</v>
      </c>
      <c r="AP1143" s="52" t="n">
        <v>0</v>
      </c>
      <c r="AQ1143" s="53" t="n">
        <v>0</v>
      </c>
      <c r="AR1143" s="52" t="n">
        <v>0</v>
      </c>
      <c r="AS1143" s="51" t="n">
        <v>0</v>
      </c>
      <c r="AT1143" s="48" t="n">
        <v>0</v>
      </c>
      <c r="AU1143" s="49" t="n">
        <v>0</v>
      </c>
      <c r="AV1143" s="49" t="n">
        <v>0</v>
      </c>
      <c r="AW1143" s="50" t="n">
        <v>0</v>
      </c>
      <c r="AX1143" s="51" t="n">
        <v>0</v>
      </c>
      <c r="AY1143" s="52" t="n">
        <v>0</v>
      </c>
      <c r="AZ1143" s="52" t="n">
        <v>0</v>
      </c>
      <c r="BA1143" s="52" t="n">
        <v>0</v>
      </c>
      <c r="BB1143" s="53" t="n">
        <v>0</v>
      </c>
      <c r="BC1143" s="52" t="n">
        <v>0</v>
      </c>
      <c r="BD1143" s="53" t="n">
        <v>0</v>
      </c>
      <c r="BE1143" s="52" t="n">
        <v>0</v>
      </c>
      <c r="BF1143" s="51" t="n">
        <v>0</v>
      </c>
    </row>
    <row r="1144">
      <c r="A1144">
        <f>HYPERLINK("https://www.walmart.com/ip/662884176", "662884176")</f>
        <v/>
      </c>
      <c r="B1144" t="inlineStr">
        <is>
          <t>Two-Piece Tankini Swimsuit for Women Open Back Swimwear Suits Bathing Set by Tirrinia</t>
        </is>
      </c>
      <c r="C1144" t="inlineStr">
        <is>
          <t>1TRSS005BK-M</t>
        </is>
      </c>
      <c r="D1144" t="inlineStr">
        <is>
          <t>Bikini &amp; Tankini Tops</t>
        </is>
      </c>
      <c r="E1144" t="inlineStr">
        <is>
          <t>Tirrinia</t>
        </is>
      </c>
      <c r="F1144" t="inlineStr">
        <is>
          <t>Optimized</t>
        </is>
      </c>
      <c r="G1144" s="48" t="n">
        <v>0</v>
      </c>
      <c r="H1144" s="49" t="n">
        <v>0</v>
      </c>
      <c r="I1144" s="49" t="n">
        <v>0</v>
      </c>
      <c r="J1144" s="50" t="n">
        <v>0</v>
      </c>
      <c r="K1144" s="51" t="n">
        <v>0</v>
      </c>
      <c r="L1144" s="52" t="n">
        <v>0</v>
      </c>
      <c r="M1144" s="52" t="n">
        <v>0</v>
      </c>
      <c r="N1144" s="52" t="n">
        <v>0</v>
      </c>
      <c r="O1144" s="53" t="n">
        <v>0</v>
      </c>
      <c r="P1144" s="52" t="n">
        <v>0</v>
      </c>
      <c r="Q1144" s="53" t="n">
        <v>0</v>
      </c>
      <c r="R1144" s="52" t="n">
        <v>0</v>
      </c>
      <c r="S1144" s="51" t="n">
        <v>0</v>
      </c>
      <c r="T1144" s="48" t="n">
        <v>0</v>
      </c>
      <c r="U1144" s="49" t="n">
        <v>0</v>
      </c>
      <c r="V1144" s="49" t="n">
        <v>0</v>
      </c>
      <c r="W1144" s="50" t="n">
        <v>0</v>
      </c>
      <c r="X1144" s="51" t="n">
        <v>0</v>
      </c>
      <c r="Y1144" s="52" t="n">
        <v>0</v>
      </c>
      <c r="Z1144" s="52" t="n">
        <v>0</v>
      </c>
      <c r="AA1144" s="52" t="n">
        <v>0</v>
      </c>
      <c r="AB1144" s="53" t="n">
        <v>0</v>
      </c>
      <c r="AC1144" s="52" t="n">
        <v>0</v>
      </c>
      <c r="AD1144" s="53" t="n">
        <v>0</v>
      </c>
      <c r="AE1144" s="52" t="n">
        <v>0</v>
      </c>
      <c r="AF1144" s="51" t="n">
        <v>0</v>
      </c>
      <c r="AG1144" s="48" t="n">
        <v>0</v>
      </c>
      <c r="AH1144" s="49" t="n">
        <v>0</v>
      </c>
      <c r="AI1144" s="49" t="n">
        <v>0</v>
      </c>
      <c r="AJ1144" s="50" t="n">
        <v>0</v>
      </c>
      <c r="AK1144" s="51" t="n">
        <v>0</v>
      </c>
      <c r="AL1144" s="52" t="n">
        <v>0</v>
      </c>
      <c r="AM1144" s="52" t="n">
        <v>0</v>
      </c>
      <c r="AN1144" s="52" t="n">
        <v>0</v>
      </c>
      <c r="AO1144" s="53" t="n">
        <v>0</v>
      </c>
      <c r="AP1144" s="52" t="n">
        <v>0</v>
      </c>
      <c r="AQ1144" s="53" t="n">
        <v>0</v>
      </c>
      <c r="AR1144" s="52" t="n">
        <v>0</v>
      </c>
      <c r="AS1144" s="51" t="n">
        <v>0</v>
      </c>
      <c r="AT1144" s="48" t="n">
        <v>0</v>
      </c>
      <c r="AU1144" s="49" t="n">
        <v>0</v>
      </c>
      <c r="AV1144" s="49" t="n">
        <v>0</v>
      </c>
      <c r="AW1144" s="50" t="n">
        <v>0</v>
      </c>
      <c r="AX1144" s="51" t="n">
        <v>0</v>
      </c>
      <c r="AY1144" s="52" t="n">
        <v>0</v>
      </c>
      <c r="AZ1144" s="52" t="n">
        <v>0</v>
      </c>
      <c r="BA1144" s="52" t="n">
        <v>0</v>
      </c>
      <c r="BB1144" s="53" t="n">
        <v>0</v>
      </c>
      <c r="BC1144" s="52" t="n">
        <v>0</v>
      </c>
      <c r="BD1144" s="53" t="n">
        <v>0</v>
      </c>
      <c r="BE1144" s="52" t="n">
        <v>0</v>
      </c>
      <c r="BF1144" s="51" t="n">
        <v>0</v>
      </c>
    </row>
    <row r="1145">
      <c r="A1145">
        <f>HYPERLINK("https://www.walmart.com/ip/663987373", "663987373")</f>
        <v/>
      </c>
      <c r="B1145" t="inlineStr">
        <is>
          <t>Tirrinia Women's Sun Hat with Wide Brim and Neck Flap, Fishing Safari Hat for Outdoors, Hiking, Camping, Gardening and Lawn Field Work, Pink</t>
        </is>
      </c>
      <c r="C1145" t="inlineStr">
        <is>
          <t>1TRSH910PK-TBCB</t>
        </is>
      </c>
      <c r="D1145" t="inlineStr">
        <is>
          <t>Hats</t>
        </is>
      </c>
      <c r="E1145" t="inlineStr">
        <is>
          <t>Tirrinia</t>
        </is>
      </c>
      <c r="F1145" t="inlineStr">
        <is>
          <t>Hats,Batch 1 - TR</t>
        </is>
      </c>
      <c r="G1145" s="48" t="n">
        <v>0</v>
      </c>
      <c r="H1145" s="49" t="n">
        <v>0</v>
      </c>
      <c r="I1145" s="49" t="n">
        <v>0</v>
      </c>
      <c r="J1145" s="50" t="n">
        <v>0</v>
      </c>
      <c r="K1145" s="51" t="n">
        <v>0</v>
      </c>
      <c r="L1145" s="52" t="n">
        <v>0</v>
      </c>
      <c r="M1145" s="52" t="n">
        <v>0</v>
      </c>
      <c r="N1145" s="52" t="n">
        <v>0</v>
      </c>
      <c r="O1145" s="53" t="n">
        <v>0</v>
      </c>
      <c r="P1145" s="52" t="n">
        <v>0</v>
      </c>
      <c r="Q1145" s="53" t="n">
        <v>0</v>
      </c>
      <c r="R1145" s="52" t="n">
        <v>0</v>
      </c>
      <c r="S1145" s="51" t="n">
        <v>0</v>
      </c>
      <c r="T1145" s="48" t="n">
        <v>0</v>
      </c>
      <c r="U1145" s="49" t="n">
        <v>0</v>
      </c>
      <c r="V1145" s="49" t="n">
        <v>0</v>
      </c>
      <c r="W1145" s="50" t="n">
        <v>0</v>
      </c>
      <c r="X1145" s="51" t="n">
        <v>0</v>
      </c>
      <c r="Y1145" s="52" t="n">
        <v>0</v>
      </c>
      <c r="Z1145" s="52" t="n">
        <v>0</v>
      </c>
      <c r="AA1145" s="52" t="n">
        <v>0</v>
      </c>
      <c r="AB1145" s="53" t="n">
        <v>0</v>
      </c>
      <c r="AC1145" s="52" t="n">
        <v>0</v>
      </c>
      <c r="AD1145" s="53" t="n">
        <v>0</v>
      </c>
      <c r="AE1145" s="52" t="n">
        <v>0</v>
      </c>
      <c r="AF1145" s="51" t="n">
        <v>0</v>
      </c>
      <c r="AG1145" s="48" t="n">
        <v>0</v>
      </c>
      <c r="AH1145" s="49" t="n">
        <v>0</v>
      </c>
      <c r="AI1145" s="49" t="n">
        <v>0</v>
      </c>
      <c r="AJ1145" s="50" t="n">
        <v>0</v>
      </c>
      <c r="AK1145" s="51" t="n">
        <v>0</v>
      </c>
      <c r="AL1145" s="52" t="n">
        <v>0</v>
      </c>
      <c r="AM1145" s="52" t="n">
        <v>0</v>
      </c>
      <c r="AN1145" s="52" t="n">
        <v>0</v>
      </c>
      <c r="AO1145" s="53" t="n">
        <v>0</v>
      </c>
      <c r="AP1145" s="52" t="n">
        <v>0</v>
      </c>
      <c r="AQ1145" s="53" t="n">
        <v>0</v>
      </c>
      <c r="AR1145" s="52" t="n">
        <v>0</v>
      </c>
      <c r="AS1145" s="51" t="n">
        <v>0</v>
      </c>
      <c r="AT1145" s="48" t="n">
        <v>0</v>
      </c>
      <c r="AU1145" s="49" t="n">
        <v>0</v>
      </c>
      <c r="AV1145" s="49" t="n">
        <v>0</v>
      </c>
      <c r="AW1145" s="50" t="n">
        <v>0</v>
      </c>
      <c r="AX1145" s="51" t="n">
        <v>0</v>
      </c>
      <c r="AY1145" s="52" t="n">
        <v>0</v>
      </c>
      <c r="AZ1145" s="52" t="n">
        <v>0</v>
      </c>
      <c r="BA1145" s="52" t="n">
        <v>0</v>
      </c>
      <c r="BB1145" s="53" t="n">
        <v>0</v>
      </c>
      <c r="BC1145" s="52" t="n">
        <v>0</v>
      </c>
      <c r="BD1145" s="53" t="n">
        <v>0</v>
      </c>
      <c r="BE1145" s="52" t="n">
        <v>0</v>
      </c>
      <c r="BF1145" s="51" t="n">
        <v>0</v>
      </c>
    </row>
    <row r="1146">
      <c r="A1146">
        <f>HYPERLINK("https://www.walmart.com/ip/664726003", "664726003")</f>
        <v/>
      </c>
      <c r="B1146" t="inlineStr">
        <is>
          <t>Catalonia Hooded Blanket Poncho | Wearable Blanket Wrap with Hand Pockets | Comfy Sherpa Fleece Throw Cape for Children and Adults, Christmas Thanksgiving Mother Gift, Cow Print</t>
        </is>
      </c>
      <c r="C1146" t="inlineStr">
        <is>
          <t>1CTBC100DMT</t>
        </is>
      </c>
      <c r="D1146" t="inlineStr">
        <is>
          <t>Throws</t>
        </is>
      </c>
      <c r="E1146" t="inlineStr">
        <is>
          <t>Catalonia</t>
        </is>
      </c>
      <c r="F1146" t="inlineStr">
        <is>
          <t>WFS,High AUR Items,WFS Item</t>
        </is>
      </c>
      <c r="G1146" s="48" t="n">
        <v>0</v>
      </c>
      <c r="H1146" s="49" t="n">
        <v>0</v>
      </c>
      <c r="I1146" s="49" t="n">
        <v>0</v>
      </c>
      <c r="J1146" s="50" t="n">
        <v>0</v>
      </c>
      <c r="K1146" s="51" t="n">
        <v>0</v>
      </c>
      <c r="L1146" s="52" t="n">
        <v>0</v>
      </c>
      <c r="M1146" s="52" t="n">
        <v>0</v>
      </c>
      <c r="N1146" s="52" t="n">
        <v>0</v>
      </c>
      <c r="O1146" s="53" t="n">
        <v>0</v>
      </c>
      <c r="P1146" s="52" t="n">
        <v>0</v>
      </c>
      <c r="Q1146" s="53" t="n">
        <v>0</v>
      </c>
      <c r="R1146" s="52" t="n">
        <v>0</v>
      </c>
      <c r="S1146" s="51" t="n">
        <v>0</v>
      </c>
      <c r="T1146" s="48" t="n">
        <v>0</v>
      </c>
      <c r="U1146" s="49" t="n">
        <v>0</v>
      </c>
      <c r="V1146" s="49" t="n">
        <v>0</v>
      </c>
      <c r="W1146" s="50" t="n">
        <v>0</v>
      </c>
      <c r="X1146" s="51" t="n">
        <v>0</v>
      </c>
      <c r="Y1146" s="52" t="n">
        <v>0</v>
      </c>
      <c r="Z1146" s="52" t="n">
        <v>0</v>
      </c>
      <c r="AA1146" s="52" t="n">
        <v>0</v>
      </c>
      <c r="AB1146" s="53" t="n">
        <v>0</v>
      </c>
      <c r="AC1146" s="52" t="n">
        <v>0</v>
      </c>
      <c r="AD1146" s="53" t="n">
        <v>0</v>
      </c>
      <c r="AE1146" s="52" t="n">
        <v>0</v>
      </c>
      <c r="AF1146" s="51" t="n">
        <v>0</v>
      </c>
      <c r="AG1146" s="48" t="n">
        <v>0</v>
      </c>
      <c r="AH1146" s="49" t="n">
        <v>0</v>
      </c>
      <c r="AI1146" s="49" t="n">
        <v>0</v>
      </c>
      <c r="AJ1146" s="50" t="n">
        <v>0</v>
      </c>
      <c r="AK1146" s="51" t="n">
        <v>0</v>
      </c>
      <c r="AL1146" s="52" t="n">
        <v>0</v>
      </c>
      <c r="AM1146" s="52" t="n">
        <v>0</v>
      </c>
      <c r="AN1146" s="52" t="n">
        <v>0</v>
      </c>
      <c r="AO1146" s="53" t="n">
        <v>0</v>
      </c>
      <c r="AP1146" s="52" t="n">
        <v>0</v>
      </c>
      <c r="AQ1146" s="53" t="n">
        <v>0</v>
      </c>
      <c r="AR1146" s="52" t="n">
        <v>0</v>
      </c>
      <c r="AS1146" s="51" t="n">
        <v>0</v>
      </c>
      <c r="AT1146" s="48" t="n">
        <v>0</v>
      </c>
      <c r="AU1146" s="49" t="n">
        <v>0</v>
      </c>
      <c r="AV1146" s="49" t="n">
        <v>0</v>
      </c>
      <c r="AW1146" s="50" t="n">
        <v>0</v>
      </c>
      <c r="AX1146" s="51" t="n">
        <v>0</v>
      </c>
      <c r="AY1146" s="52" t="n">
        <v>0</v>
      </c>
      <c r="AZ1146" s="52" t="n">
        <v>0</v>
      </c>
      <c r="BA1146" s="52" t="n">
        <v>0</v>
      </c>
      <c r="BB1146" s="53" t="n">
        <v>0</v>
      </c>
      <c r="BC1146" s="52" t="n">
        <v>0</v>
      </c>
      <c r="BD1146" s="53" t="n">
        <v>0</v>
      </c>
      <c r="BE1146" s="52" t="n">
        <v>0</v>
      </c>
      <c r="BF1146" s="51" t="n">
        <v>0</v>
      </c>
    </row>
    <row r="1147">
      <c r="A1147">
        <f>HYPERLINK("https://www.walmart.com/ip/665536454", "665536454")</f>
        <v/>
      </c>
      <c r="B1147" t="inlineStr">
        <is>
          <t>Kato Insulated Wine Carrier Tote - 4 Bottle Travel Padded Wine Carrying Cooler Bag with Handle and Adjustable Shoulder Strap, Great Gift for Wine Lover, Beige</t>
        </is>
      </c>
      <c r="C1147" t="inlineStr">
        <is>
          <t>1KTWB420BG</t>
        </is>
      </c>
      <c r="D1147" t="inlineStr">
        <is>
          <t>Wine Totes, Bags &amp; Backpacks</t>
        </is>
      </c>
      <c r="E1147" t="inlineStr">
        <is>
          <t>Kato</t>
        </is>
      </c>
      <c r="F1147" t="inlineStr">
        <is>
          <t>Wine,Christmas,Valentine</t>
        </is>
      </c>
      <c r="G1147" s="48" t="n">
        <v>0</v>
      </c>
      <c r="H1147" s="49" t="n">
        <v>0</v>
      </c>
      <c r="I1147" s="49" t="n">
        <v>0</v>
      </c>
      <c r="J1147" s="50" t="n">
        <v>0</v>
      </c>
      <c r="K1147" s="51" t="n">
        <v>5</v>
      </c>
      <c r="L1147" s="52" t="n">
        <v>2.16</v>
      </c>
      <c r="M1147" s="52" t="n">
        <v>0</v>
      </c>
      <c r="N1147" s="52" t="n">
        <v>0</v>
      </c>
      <c r="O1147" s="53" t="n">
        <v>0.0048</v>
      </c>
      <c r="P1147" s="52" t="n">
        <v>0.4320000000000001</v>
      </c>
      <c r="Q1147" s="53" t="n">
        <v>0</v>
      </c>
      <c r="R1147" s="52" t="n">
        <v>0</v>
      </c>
      <c r="S1147" s="51" t="n">
        <v>1033</v>
      </c>
      <c r="T1147" s="48" t="n">
        <v>0</v>
      </c>
      <c r="U1147" s="49" t="n">
        <v>0</v>
      </c>
      <c r="V1147" s="49" t="n">
        <v>0</v>
      </c>
      <c r="W1147" s="50" t="n">
        <v>0</v>
      </c>
      <c r="X1147" s="51" t="n">
        <v>0</v>
      </c>
      <c r="Y1147" s="52" t="n">
        <v>0</v>
      </c>
      <c r="Z1147" s="52" t="n">
        <v>0</v>
      </c>
      <c r="AA1147" s="52" t="n">
        <v>0</v>
      </c>
      <c r="AB1147" s="53" t="n">
        <v>0</v>
      </c>
      <c r="AC1147" s="52" t="n">
        <v>0</v>
      </c>
      <c r="AD1147" s="53" t="n">
        <v>0</v>
      </c>
      <c r="AE1147" s="52" t="n">
        <v>0</v>
      </c>
      <c r="AF1147" s="51" t="n">
        <v>493</v>
      </c>
      <c r="AG1147" s="48" t="n">
        <v>0</v>
      </c>
      <c r="AH1147" s="49" t="n">
        <v>0</v>
      </c>
      <c r="AI1147" s="49" t="n">
        <v>0</v>
      </c>
      <c r="AJ1147" s="50" t="n">
        <v>0</v>
      </c>
      <c r="AK1147" s="51" t="n">
        <v>0</v>
      </c>
      <c r="AL1147" s="52" t="n">
        <v>0</v>
      </c>
      <c r="AM1147" s="52" t="n">
        <v>0</v>
      </c>
      <c r="AN1147" s="52" t="n">
        <v>0</v>
      </c>
      <c r="AO1147" s="53" t="n">
        <v>0</v>
      </c>
      <c r="AP1147" s="52" t="n">
        <v>0</v>
      </c>
      <c r="AQ1147" s="53" t="n">
        <v>0</v>
      </c>
      <c r="AR1147" s="52" t="n">
        <v>0</v>
      </c>
      <c r="AS1147" s="51" t="n">
        <v>508</v>
      </c>
      <c r="AT1147" s="48" t="n">
        <v>0</v>
      </c>
      <c r="AU1147" s="49" t="n">
        <v>0</v>
      </c>
      <c r="AV1147" s="49" t="n">
        <v>0</v>
      </c>
      <c r="AW1147" s="50" t="n">
        <v>0</v>
      </c>
      <c r="AX1147" s="51" t="n">
        <v>0</v>
      </c>
      <c r="AY1147" s="52" t="n">
        <v>0</v>
      </c>
      <c r="AZ1147" s="52" t="n">
        <v>0</v>
      </c>
      <c r="BA1147" s="52" t="n">
        <v>0</v>
      </c>
      <c r="BB1147" s="53" t="n">
        <v>0</v>
      </c>
      <c r="BC1147" s="52" t="n">
        <v>0</v>
      </c>
      <c r="BD1147" s="53" t="n">
        <v>0</v>
      </c>
      <c r="BE1147" s="52" t="n">
        <v>0</v>
      </c>
      <c r="BF1147" s="51" t="n">
        <v>380</v>
      </c>
    </row>
    <row r="1148">
      <c r="A1148">
        <f>HYPERLINK("https://www.walmart.com/ip/665872536", "665872536")</f>
        <v/>
      </c>
      <c r="B1148" t="inlineStr">
        <is>
          <t>Women’s Swim Bathing Suit Cover Up, Summer Chiffon Backless Beach Dress Skirt</t>
        </is>
      </c>
      <c r="C1148" t="inlineStr">
        <is>
          <t>1WMDS110RD</t>
        </is>
      </c>
      <c r="D1148" t="inlineStr">
        <is>
          <t>Dresses</t>
        </is>
      </c>
      <c r="E1148" t="inlineStr">
        <is>
          <t>Flyingstar</t>
        </is>
      </c>
      <c r="F1148" t="inlineStr">
        <is>
          <t>Optimized</t>
        </is>
      </c>
      <c r="G1148" s="48" t="n">
        <v>0</v>
      </c>
      <c r="H1148" s="49" t="n">
        <v>0</v>
      </c>
      <c r="I1148" s="49" t="n">
        <v>0</v>
      </c>
      <c r="J1148" s="50" t="n">
        <v>0</v>
      </c>
      <c r="K1148" s="51" t="n">
        <v>0</v>
      </c>
      <c r="L1148" s="52" t="n">
        <v>0</v>
      </c>
      <c r="M1148" s="52" t="n">
        <v>0</v>
      </c>
      <c r="N1148" s="52" t="n">
        <v>0</v>
      </c>
      <c r="O1148" s="53" t="n">
        <v>0</v>
      </c>
      <c r="P1148" s="52" t="n">
        <v>0</v>
      </c>
      <c r="Q1148" s="53" t="n">
        <v>0</v>
      </c>
      <c r="R1148" s="52" t="n">
        <v>0</v>
      </c>
      <c r="S1148" s="51" t="n">
        <v>0</v>
      </c>
      <c r="T1148" s="48" t="n">
        <v>0</v>
      </c>
      <c r="U1148" s="49" t="n">
        <v>0</v>
      </c>
      <c r="V1148" s="49" t="n">
        <v>0</v>
      </c>
      <c r="W1148" s="50" t="n">
        <v>0</v>
      </c>
      <c r="X1148" s="51" t="n">
        <v>0</v>
      </c>
      <c r="Y1148" s="52" t="n">
        <v>0</v>
      </c>
      <c r="Z1148" s="52" t="n">
        <v>0</v>
      </c>
      <c r="AA1148" s="52" t="n">
        <v>0</v>
      </c>
      <c r="AB1148" s="53" t="n">
        <v>0</v>
      </c>
      <c r="AC1148" s="52" t="n">
        <v>0</v>
      </c>
      <c r="AD1148" s="53" t="n">
        <v>0</v>
      </c>
      <c r="AE1148" s="52" t="n">
        <v>0</v>
      </c>
      <c r="AF1148" s="51" t="n">
        <v>0</v>
      </c>
      <c r="AG1148" s="48" t="n">
        <v>0</v>
      </c>
      <c r="AH1148" s="49" t="n">
        <v>0</v>
      </c>
      <c r="AI1148" s="49" t="n">
        <v>0</v>
      </c>
      <c r="AJ1148" s="50" t="n">
        <v>0</v>
      </c>
      <c r="AK1148" s="51" t="n">
        <v>0</v>
      </c>
      <c r="AL1148" s="52" t="n">
        <v>0</v>
      </c>
      <c r="AM1148" s="52" t="n">
        <v>0</v>
      </c>
      <c r="AN1148" s="52" t="n">
        <v>0</v>
      </c>
      <c r="AO1148" s="53" t="n">
        <v>0</v>
      </c>
      <c r="AP1148" s="52" t="n">
        <v>0</v>
      </c>
      <c r="AQ1148" s="53" t="n">
        <v>0</v>
      </c>
      <c r="AR1148" s="52" t="n">
        <v>0</v>
      </c>
      <c r="AS1148" s="51" t="n">
        <v>0</v>
      </c>
      <c r="AT1148" s="48" t="n">
        <v>0</v>
      </c>
      <c r="AU1148" s="49" t="n">
        <v>0</v>
      </c>
      <c r="AV1148" s="49" t="n">
        <v>0</v>
      </c>
      <c r="AW1148" s="50" t="n">
        <v>0</v>
      </c>
      <c r="AX1148" s="51" t="n">
        <v>0</v>
      </c>
      <c r="AY1148" s="52" t="n">
        <v>0</v>
      </c>
      <c r="AZ1148" s="52" t="n">
        <v>0</v>
      </c>
      <c r="BA1148" s="52" t="n">
        <v>0</v>
      </c>
      <c r="BB1148" s="53" t="n">
        <v>0</v>
      </c>
      <c r="BC1148" s="52" t="n">
        <v>0</v>
      </c>
      <c r="BD1148" s="53" t="n">
        <v>0</v>
      </c>
      <c r="BE1148" s="52" t="n">
        <v>0</v>
      </c>
      <c r="BF1148" s="51" t="n">
        <v>0</v>
      </c>
    </row>
    <row r="1149">
      <c r="A1149">
        <f>HYPERLINK("https://www.walmart.com/ip/666068339", "666068339")</f>
        <v/>
      </c>
      <c r="B1149" t="inlineStr">
        <is>
          <t>Summer Outdoor UV Protection Sun Hats Unisex Caps Wide Brim Removable Crown Mesh Net Adjustable Drawstring</t>
        </is>
      </c>
      <c r="C1149" t="inlineStr">
        <is>
          <t>1SLSH895DG</t>
        </is>
      </c>
      <c r="D1149" t="inlineStr">
        <is>
          <t>Hats</t>
        </is>
      </c>
      <c r="E1149" t="inlineStr">
        <is>
          <t>Solaris</t>
        </is>
      </c>
      <c r="F1149" t="inlineStr">
        <is>
          <t>Batch 1 - TR</t>
        </is>
      </c>
      <c r="G1149" s="48" t="n">
        <v>0</v>
      </c>
      <c r="H1149" s="49" t="n">
        <v>0</v>
      </c>
      <c r="I1149" s="49" t="n">
        <v>0</v>
      </c>
      <c r="J1149" s="50" t="n">
        <v>0</v>
      </c>
      <c r="K1149" s="51" t="n">
        <v>0</v>
      </c>
      <c r="L1149" s="52" t="n">
        <v>0</v>
      </c>
      <c r="M1149" s="52" t="n">
        <v>0</v>
      </c>
      <c r="N1149" s="52" t="n">
        <v>0</v>
      </c>
      <c r="O1149" s="53" t="n">
        <v>0</v>
      </c>
      <c r="P1149" s="52" t="n">
        <v>0</v>
      </c>
      <c r="Q1149" s="53" t="n">
        <v>0</v>
      </c>
      <c r="R1149" s="52" t="n">
        <v>0</v>
      </c>
      <c r="S1149" s="51" t="n">
        <v>0</v>
      </c>
      <c r="T1149" s="48" t="n">
        <v>0</v>
      </c>
      <c r="U1149" s="49" t="n">
        <v>0</v>
      </c>
      <c r="V1149" s="49" t="n">
        <v>0</v>
      </c>
      <c r="W1149" s="50" t="n">
        <v>0</v>
      </c>
      <c r="X1149" s="51" t="n">
        <v>0</v>
      </c>
      <c r="Y1149" s="52" t="n">
        <v>0</v>
      </c>
      <c r="Z1149" s="52" t="n">
        <v>0</v>
      </c>
      <c r="AA1149" s="52" t="n">
        <v>0</v>
      </c>
      <c r="AB1149" s="53" t="n">
        <v>0</v>
      </c>
      <c r="AC1149" s="52" t="n">
        <v>0</v>
      </c>
      <c r="AD1149" s="53" t="n">
        <v>0</v>
      </c>
      <c r="AE1149" s="52" t="n">
        <v>0</v>
      </c>
      <c r="AF1149" s="51" t="n">
        <v>0</v>
      </c>
      <c r="AG1149" s="48" t="n">
        <v>0</v>
      </c>
      <c r="AH1149" s="49" t="n">
        <v>0</v>
      </c>
      <c r="AI1149" s="49" t="n">
        <v>0</v>
      </c>
      <c r="AJ1149" s="50" t="n">
        <v>0</v>
      </c>
      <c r="AK1149" s="51" t="n">
        <v>0</v>
      </c>
      <c r="AL1149" s="52" t="n">
        <v>0</v>
      </c>
      <c r="AM1149" s="52" t="n">
        <v>0</v>
      </c>
      <c r="AN1149" s="52" t="n">
        <v>0</v>
      </c>
      <c r="AO1149" s="53" t="n">
        <v>0</v>
      </c>
      <c r="AP1149" s="52" t="n">
        <v>0</v>
      </c>
      <c r="AQ1149" s="53" t="n">
        <v>0</v>
      </c>
      <c r="AR1149" s="52" t="n">
        <v>0</v>
      </c>
      <c r="AS1149" s="51" t="n">
        <v>0</v>
      </c>
      <c r="AT1149" s="48" t="n">
        <v>0</v>
      </c>
      <c r="AU1149" s="49" t="n">
        <v>0</v>
      </c>
      <c r="AV1149" s="49" t="n">
        <v>0</v>
      </c>
      <c r="AW1149" s="50" t="n">
        <v>0</v>
      </c>
      <c r="AX1149" s="51" t="n">
        <v>0</v>
      </c>
      <c r="AY1149" s="52" t="n">
        <v>0</v>
      </c>
      <c r="AZ1149" s="52" t="n">
        <v>0</v>
      </c>
      <c r="BA1149" s="52" t="n">
        <v>0</v>
      </c>
      <c r="BB1149" s="53" t="n">
        <v>0</v>
      </c>
      <c r="BC1149" s="52" t="n">
        <v>0</v>
      </c>
      <c r="BD1149" s="53" t="n">
        <v>0</v>
      </c>
      <c r="BE1149" s="52" t="n">
        <v>0</v>
      </c>
      <c r="BF1149" s="51" t="n">
        <v>0</v>
      </c>
    </row>
    <row r="1150">
      <c r="A1150">
        <f>HYPERLINK("https://www.walmart.com/ip/667681681", "667681681")</f>
        <v/>
      </c>
      <c r="B1150" t="inlineStr">
        <is>
          <t>Jennis Women's Sexy See-through Lingerie Lace Fishnet Suspender</t>
        </is>
      </c>
      <c r="C1150" t="inlineStr">
        <is>
          <t>JWBD01LE-3XL</t>
        </is>
      </c>
      <c r="D1150" t="inlineStr">
        <is>
          <t>Teddies &amp; Bodystockings</t>
        </is>
      </c>
      <c r="E1150" t="inlineStr">
        <is>
          <t>Jennis</t>
        </is>
      </c>
      <c r="F1150" t="inlineStr">
        <is>
          <t>Valentine</t>
        </is>
      </c>
      <c r="G1150" s="48" t="n">
        <v>0</v>
      </c>
      <c r="H1150" s="49" t="n">
        <v>0</v>
      </c>
      <c r="I1150" s="49" t="n">
        <v>0</v>
      </c>
      <c r="J1150" s="50" t="n">
        <v>0</v>
      </c>
      <c r="K1150" s="51" t="n">
        <v>0</v>
      </c>
      <c r="L1150" s="52" t="n">
        <v>0</v>
      </c>
      <c r="M1150" s="52" t="n">
        <v>0</v>
      </c>
      <c r="N1150" s="52" t="n">
        <v>0</v>
      </c>
      <c r="O1150" s="53" t="n">
        <v>0</v>
      </c>
      <c r="P1150" s="52" t="n">
        <v>0</v>
      </c>
      <c r="Q1150" s="53" t="n">
        <v>0</v>
      </c>
      <c r="R1150" s="52" t="n">
        <v>0</v>
      </c>
      <c r="S1150" s="51" t="n">
        <v>0</v>
      </c>
      <c r="T1150" s="48" t="n">
        <v>0</v>
      </c>
      <c r="U1150" s="49" t="n">
        <v>0</v>
      </c>
      <c r="V1150" s="49" t="n">
        <v>0</v>
      </c>
      <c r="W1150" s="50" t="n">
        <v>0</v>
      </c>
      <c r="X1150" s="51" t="n">
        <v>0</v>
      </c>
      <c r="Y1150" s="52" t="n">
        <v>0</v>
      </c>
      <c r="Z1150" s="52" t="n">
        <v>0</v>
      </c>
      <c r="AA1150" s="52" t="n">
        <v>0</v>
      </c>
      <c r="AB1150" s="53" t="n">
        <v>0</v>
      </c>
      <c r="AC1150" s="52" t="n">
        <v>0</v>
      </c>
      <c r="AD1150" s="53" t="n">
        <v>0</v>
      </c>
      <c r="AE1150" s="52" t="n">
        <v>0</v>
      </c>
      <c r="AF1150" s="51" t="n">
        <v>0</v>
      </c>
      <c r="AG1150" s="48" t="n">
        <v>0</v>
      </c>
      <c r="AH1150" s="49" t="n">
        <v>0</v>
      </c>
      <c r="AI1150" s="49" t="n">
        <v>0</v>
      </c>
      <c r="AJ1150" s="50" t="n">
        <v>0</v>
      </c>
      <c r="AK1150" s="51" t="n">
        <v>0</v>
      </c>
      <c r="AL1150" s="52" t="n">
        <v>0</v>
      </c>
      <c r="AM1150" s="52" t="n">
        <v>0</v>
      </c>
      <c r="AN1150" s="52" t="n">
        <v>0</v>
      </c>
      <c r="AO1150" s="53" t="n">
        <v>0</v>
      </c>
      <c r="AP1150" s="52" t="n">
        <v>0</v>
      </c>
      <c r="AQ1150" s="53" t="n">
        <v>0</v>
      </c>
      <c r="AR1150" s="52" t="n">
        <v>0</v>
      </c>
      <c r="AS1150" s="51" t="n">
        <v>0</v>
      </c>
      <c r="AT1150" s="48" t="n">
        <v>0</v>
      </c>
      <c r="AU1150" s="49" t="n">
        <v>0</v>
      </c>
      <c r="AV1150" s="49" t="n">
        <v>0</v>
      </c>
      <c r="AW1150" s="50" t="n">
        <v>0</v>
      </c>
      <c r="AX1150" s="51" t="n">
        <v>0</v>
      </c>
      <c r="AY1150" s="52" t="n">
        <v>0</v>
      </c>
      <c r="AZ1150" s="52" t="n">
        <v>0</v>
      </c>
      <c r="BA1150" s="52" t="n">
        <v>0</v>
      </c>
      <c r="BB1150" s="53" t="n">
        <v>0</v>
      </c>
      <c r="BC1150" s="52" t="n">
        <v>0</v>
      </c>
      <c r="BD1150" s="53" t="n">
        <v>0</v>
      </c>
      <c r="BE1150" s="52" t="n">
        <v>0</v>
      </c>
      <c r="BF1150" s="51" t="n">
        <v>0</v>
      </c>
    </row>
    <row r="1151">
      <c r="A1151">
        <f>HYPERLINK("https://www.walmart.com/ip/668408701", "668408701")</f>
        <v/>
      </c>
      <c r="B1151" t="inlineStr">
        <is>
          <t>sun blocker women's sun hat upf 50+ bucket cap packable outdoor travel hat</t>
        </is>
      </c>
      <c r="C1151" t="inlineStr">
        <is>
          <t>KC-S9200-GR</t>
        </is>
      </c>
      <c r="D1151" t="inlineStr">
        <is>
          <t>Hats</t>
        </is>
      </c>
      <c r="E1151" t="inlineStr">
        <is>
          <t>Sun Blocker</t>
        </is>
      </c>
      <c r="F1151" t="inlineStr">
        <is>
          <t>Batch 1 - TR</t>
        </is>
      </c>
      <c r="G1151" s="48" t="n">
        <v>0</v>
      </c>
      <c r="H1151" s="49" t="n">
        <v>0</v>
      </c>
      <c r="I1151" s="49" t="n">
        <v>0</v>
      </c>
      <c r="J1151" s="50" t="n">
        <v>0</v>
      </c>
      <c r="K1151" s="51" t="n">
        <v>0</v>
      </c>
      <c r="L1151" s="52" t="n">
        <v>0</v>
      </c>
      <c r="M1151" s="52" t="n">
        <v>0</v>
      </c>
      <c r="N1151" s="52" t="n">
        <v>0</v>
      </c>
      <c r="O1151" s="53" t="n">
        <v>0</v>
      </c>
      <c r="P1151" s="52" t="n">
        <v>0</v>
      </c>
      <c r="Q1151" s="53" t="n">
        <v>0</v>
      </c>
      <c r="R1151" s="52" t="n">
        <v>0</v>
      </c>
      <c r="S1151" s="51" t="n">
        <v>0</v>
      </c>
      <c r="T1151" s="48" t="n">
        <v>0</v>
      </c>
      <c r="U1151" s="49" t="n">
        <v>0</v>
      </c>
      <c r="V1151" s="49" t="n">
        <v>0</v>
      </c>
      <c r="W1151" s="50" t="n">
        <v>0</v>
      </c>
      <c r="X1151" s="51" t="n">
        <v>0</v>
      </c>
      <c r="Y1151" s="52" t="n">
        <v>0</v>
      </c>
      <c r="Z1151" s="52" t="n">
        <v>0</v>
      </c>
      <c r="AA1151" s="52" t="n">
        <v>0</v>
      </c>
      <c r="AB1151" s="53" t="n">
        <v>0</v>
      </c>
      <c r="AC1151" s="52" t="n">
        <v>0</v>
      </c>
      <c r="AD1151" s="53" t="n">
        <v>0</v>
      </c>
      <c r="AE1151" s="52" t="n">
        <v>0</v>
      </c>
      <c r="AF1151" s="51" t="n">
        <v>0</v>
      </c>
      <c r="AG1151" s="48" t="n">
        <v>0</v>
      </c>
      <c r="AH1151" s="49" t="n">
        <v>0</v>
      </c>
      <c r="AI1151" s="49" t="n">
        <v>0</v>
      </c>
      <c r="AJ1151" s="50" t="n">
        <v>0</v>
      </c>
      <c r="AK1151" s="51" t="n">
        <v>0</v>
      </c>
      <c r="AL1151" s="52" t="n">
        <v>0</v>
      </c>
      <c r="AM1151" s="52" t="n">
        <v>0</v>
      </c>
      <c r="AN1151" s="52" t="n">
        <v>0</v>
      </c>
      <c r="AO1151" s="53" t="n">
        <v>0</v>
      </c>
      <c r="AP1151" s="52" t="n">
        <v>0</v>
      </c>
      <c r="AQ1151" s="53" t="n">
        <v>0</v>
      </c>
      <c r="AR1151" s="52" t="n">
        <v>0</v>
      </c>
      <c r="AS1151" s="51" t="n">
        <v>0</v>
      </c>
      <c r="AT1151" s="48" t="n">
        <v>0</v>
      </c>
      <c r="AU1151" s="49" t="n">
        <v>0</v>
      </c>
      <c r="AV1151" s="49" t="n">
        <v>0</v>
      </c>
      <c r="AW1151" s="50" t="n">
        <v>0</v>
      </c>
      <c r="AX1151" s="51" t="n">
        <v>0</v>
      </c>
      <c r="AY1151" s="52" t="n">
        <v>0</v>
      </c>
      <c r="AZ1151" s="52" t="n">
        <v>0</v>
      </c>
      <c r="BA1151" s="52" t="n">
        <v>0</v>
      </c>
      <c r="BB1151" s="53" t="n">
        <v>0</v>
      </c>
      <c r="BC1151" s="52" t="n">
        <v>0</v>
      </c>
      <c r="BD1151" s="53" t="n">
        <v>0</v>
      </c>
      <c r="BE1151" s="52" t="n">
        <v>0</v>
      </c>
      <c r="BF1151" s="51" t="n">
        <v>0</v>
      </c>
    </row>
    <row r="1152">
      <c r="A1152">
        <f>HYPERLINK("https://www.walmart.com/ip/6698168886", "6698168886")</f>
        <v/>
      </c>
      <c r="B1152" t="inlineStr">
        <is>
          <t>Tirrinia Comfort All-Season Robe, Ultra-Smooth Womens Robe, Breathable,Luxury for Everyday Indulgence, Skin-friendly</t>
        </is>
      </c>
      <c r="C1152" t="inlineStr">
        <is>
          <t>1TRRB505PP-3-1</t>
        </is>
      </c>
      <c r="D1152" t="inlineStr">
        <is>
          <t>Sleepwear Robes &amp; Bathrobes</t>
        </is>
      </c>
      <c r="E1152" t="inlineStr">
        <is>
          <t>Tirrinia</t>
        </is>
      </c>
      <c r="G1152" s="48" t="n">
        <v>0</v>
      </c>
      <c r="H1152" s="49" t="n">
        <v>0</v>
      </c>
      <c r="I1152" s="49" t="n">
        <v>0</v>
      </c>
      <c r="J1152" s="50" t="n">
        <v>0</v>
      </c>
      <c r="K1152" s="51" t="n">
        <v>0</v>
      </c>
      <c r="L1152" s="52" t="n">
        <v>0</v>
      </c>
      <c r="M1152" s="52" t="n">
        <v>0</v>
      </c>
      <c r="N1152" s="52" t="n">
        <v>0</v>
      </c>
      <c r="O1152" s="53" t="n">
        <v>0</v>
      </c>
      <c r="P1152" s="52" t="n">
        <v>0</v>
      </c>
      <c r="Q1152" s="53" t="n">
        <v>0</v>
      </c>
      <c r="R1152" s="52" t="n">
        <v>0</v>
      </c>
      <c r="S1152" s="51" t="n">
        <v>0</v>
      </c>
      <c r="T1152" s="48" t="n">
        <v>0</v>
      </c>
      <c r="U1152" s="49" t="n">
        <v>0</v>
      </c>
      <c r="V1152" s="49" t="n">
        <v>0</v>
      </c>
      <c r="W1152" s="50" t="n">
        <v>0</v>
      </c>
      <c r="X1152" s="51" t="n">
        <v>0</v>
      </c>
      <c r="Y1152" s="52" t="n">
        <v>0</v>
      </c>
      <c r="Z1152" s="52" t="n">
        <v>0</v>
      </c>
      <c r="AA1152" s="52" t="n">
        <v>0</v>
      </c>
      <c r="AB1152" s="53" t="n">
        <v>0</v>
      </c>
      <c r="AC1152" s="52" t="n">
        <v>0</v>
      </c>
      <c r="AD1152" s="53" t="n">
        <v>0</v>
      </c>
      <c r="AE1152" s="52" t="n">
        <v>0</v>
      </c>
      <c r="AF1152" s="51" t="n">
        <v>0</v>
      </c>
      <c r="AG1152" s="48" t="n">
        <v>0</v>
      </c>
      <c r="AH1152" s="49" t="n">
        <v>0</v>
      </c>
      <c r="AI1152" s="49" t="n">
        <v>0</v>
      </c>
      <c r="AJ1152" s="50" t="n">
        <v>0</v>
      </c>
      <c r="AK1152" s="51" t="n">
        <v>0</v>
      </c>
      <c r="AL1152" s="52" t="n">
        <v>0</v>
      </c>
      <c r="AM1152" s="52" t="n">
        <v>0</v>
      </c>
      <c r="AN1152" s="52" t="n">
        <v>0</v>
      </c>
      <c r="AO1152" s="53" t="n">
        <v>0</v>
      </c>
      <c r="AP1152" s="52" t="n">
        <v>0</v>
      </c>
      <c r="AQ1152" s="53" t="n">
        <v>0</v>
      </c>
      <c r="AR1152" s="52" t="n">
        <v>0</v>
      </c>
      <c r="AS1152" s="51" t="n">
        <v>0</v>
      </c>
      <c r="AT1152" s="48" t="n">
        <v>0</v>
      </c>
      <c r="AU1152" s="49" t="n">
        <v>0</v>
      </c>
      <c r="AV1152" s="49" t="n">
        <v>0</v>
      </c>
      <c r="AW1152" s="50" t="n">
        <v>0</v>
      </c>
      <c r="AX1152" s="51" t="n">
        <v>0</v>
      </c>
      <c r="AY1152" s="52" t="n">
        <v>0</v>
      </c>
      <c r="AZ1152" s="52" t="n">
        <v>0</v>
      </c>
      <c r="BA1152" s="52" t="n">
        <v>0</v>
      </c>
      <c r="BB1152" s="53" t="n">
        <v>0</v>
      </c>
      <c r="BC1152" s="52" t="n">
        <v>0</v>
      </c>
      <c r="BD1152" s="53" t="n">
        <v>0</v>
      </c>
      <c r="BE1152" s="52" t="n">
        <v>0</v>
      </c>
      <c r="BF1152" s="51" t="n">
        <v>0</v>
      </c>
    </row>
    <row r="1153">
      <c r="A1153">
        <f>HYPERLINK("https://www.walmart.com/ip/738735577", "738735577")</f>
        <v/>
      </c>
      <c r="B1153" t="inlineStr">
        <is>
          <t>Catalonia 15lb Weighted Blanket for Kids Adult, Premium Heavy Blanket with Removable Cover, 60"×80", Cotton, Grey</t>
        </is>
      </c>
      <c r="C1153" t="inlineStr">
        <is>
          <t>1CTBG806GY-15M+C</t>
        </is>
      </c>
      <c r="D1153" t="inlineStr">
        <is>
          <t>Bed Blankets</t>
        </is>
      </c>
      <c r="E1153" t="inlineStr">
        <is>
          <t>Catalonia</t>
        </is>
      </c>
      <c r="F1153" t="inlineStr">
        <is>
          <t>WFS,Valentine,WFS Item</t>
        </is>
      </c>
      <c r="G1153" s="48" t="n">
        <v>0</v>
      </c>
      <c r="H1153" s="49" t="n">
        <v>0</v>
      </c>
      <c r="I1153" s="49" t="n">
        <v>0</v>
      </c>
      <c r="J1153" s="50" t="n">
        <v>0</v>
      </c>
      <c r="K1153" s="51" t="n">
        <v>0</v>
      </c>
      <c r="L1153" s="52" t="n">
        <v>0</v>
      </c>
      <c r="M1153" s="52" t="n">
        <v>0</v>
      </c>
      <c r="N1153" s="52" t="n">
        <v>0</v>
      </c>
      <c r="O1153" s="53" t="n">
        <v>0</v>
      </c>
      <c r="P1153" s="52" t="n">
        <v>0</v>
      </c>
      <c r="Q1153" s="53" t="n">
        <v>0</v>
      </c>
      <c r="R1153" s="52" t="n">
        <v>0</v>
      </c>
      <c r="S1153" s="51" t="n">
        <v>0</v>
      </c>
      <c r="T1153" s="48" t="n">
        <v>0</v>
      </c>
      <c r="U1153" s="49" t="n">
        <v>0</v>
      </c>
      <c r="V1153" s="49" t="n">
        <v>0</v>
      </c>
      <c r="W1153" s="50" t="n">
        <v>0</v>
      </c>
      <c r="X1153" s="51" t="n">
        <v>0</v>
      </c>
      <c r="Y1153" s="52" t="n">
        <v>0</v>
      </c>
      <c r="Z1153" s="52" t="n">
        <v>0</v>
      </c>
      <c r="AA1153" s="52" t="n">
        <v>0</v>
      </c>
      <c r="AB1153" s="53" t="n">
        <v>0</v>
      </c>
      <c r="AC1153" s="52" t="n">
        <v>0</v>
      </c>
      <c r="AD1153" s="53" t="n">
        <v>0</v>
      </c>
      <c r="AE1153" s="52" t="n">
        <v>0</v>
      </c>
      <c r="AF1153" s="51" t="n">
        <v>0</v>
      </c>
      <c r="AG1153" s="48" t="n">
        <v>0</v>
      </c>
      <c r="AH1153" s="49" t="n">
        <v>0</v>
      </c>
      <c r="AI1153" s="49" t="n">
        <v>0</v>
      </c>
      <c r="AJ1153" s="50" t="n">
        <v>0</v>
      </c>
      <c r="AK1153" s="51" t="n">
        <v>0</v>
      </c>
      <c r="AL1153" s="52" t="n">
        <v>0</v>
      </c>
      <c r="AM1153" s="52" t="n">
        <v>0</v>
      </c>
      <c r="AN1153" s="52" t="n">
        <v>0</v>
      </c>
      <c r="AO1153" s="53" t="n">
        <v>0</v>
      </c>
      <c r="AP1153" s="52" t="n">
        <v>0</v>
      </c>
      <c r="AQ1153" s="53" t="n">
        <v>0</v>
      </c>
      <c r="AR1153" s="52" t="n">
        <v>0</v>
      </c>
      <c r="AS1153" s="51" t="n">
        <v>0</v>
      </c>
      <c r="AT1153" s="48" t="n">
        <v>0</v>
      </c>
      <c r="AU1153" s="49" t="n">
        <v>0</v>
      </c>
      <c r="AV1153" s="49" t="n">
        <v>0</v>
      </c>
      <c r="AW1153" s="50" t="n">
        <v>0</v>
      </c>
      <c r="AX1153" s="51" t="n">
        <v>0</v>
      </c>
      <c r="AY1153" s="52" t="n">
        <v>0</v>
      </c>
      <c r="AZ1153" s="52" t="n">
        <v>0</v>
      </c>
      <c r="BA1153" s="52" t="n">
        <v>0</v>
      </c>
      <c r="BB1153" s="53" t="n">
        <v>0</v>
      </c>
      <c r="BC1153" s="52" t="n">
        <v>0</v>
      </c>
      <c r="BD1153" s="53" t="n">
        <v>0</v>
      </c>
      <c r="BE1153" s="52" t="n">
        <v>0</v>
      </c>
      <c r="BF1153" s="51" t="n">
        <v>0</v>
      </c>
    </row>
    <row r="1154">
      <c r="A1154">
        <f>HYPERLINK("https://www.walmart.com/ip/739132543", "739132543")</f>
        <v/>
      </c>
      <c r="B1154" t="inlineStr">
        <is>
          <t>Catalonia Sherpa Throw Blanket, Reversible Cozy Waffle Pattern Knitted Blanket Throw for Couch Bed 60"x50"</t>
        </is>
      </c>
      <c r="C1154" t="inlineStr">
        <is>
          <t>1CTBN300GY</t>
        </is>
      </c>
      <c r="D1154" t="inlineStr">
        <is>
          <t>Throws</t>
        </is>
      </c>
      <c r="E1154" t="inlineStr">
        <is>
          <t>Catalonia</t>
        </is>
      </c>
      <c r="F1154" t="inlineStr">
        <is>
          <t>Q2-Target,WFS,Coupon_Discount,WFS Item</t>
        </is>
      </c>
      <c r="G1154" s="48" t="n">
        <v>0</v>
      </c>
      <c r="H1154" s="49" t="n">
        <v>0</v>
      </c>
      <c r="I1154" s="49" t="n">
        <v>0</v>
      </c>
      <c r="J1154" s="50" t="n">
        <v>0</v>
      </c>
      <c r="K1154" s="51" t="n">
        <v>0</v>
      </c>
      <c r="L1154" s="52" t="n">
        <v>0</v>
      </c>
      <c r="M1154" s="52" t="n">
        <v>0</v>
      </c>
      <c r="N1154" s="52" t="n">
        <v>0</v>
      </c>
      <c r="O1154" s="53" t="n">
        <v>0</v>
      </c>
      <c r="P1154" s="52" t="n">
        <v>0</v>
      </c>
      <c r="Q1154" s="53" t="n">
        <v>0</v>
      </c>
      <c r="R1154" s="52" t="n">
        <v>0</v>
      </c>
      <c r="S1154" s="51" t="n">
        <v>0</v>
      </c>
      <c r="T1154" s="48" t="n">
        <v>0</v>
      </c>
      <c r="U1154" s="49" t="n">
        <v>0</v>
      </c>
      <c r="V1154" s="49" t="n">
        <v>0</v>
      </c>
      <c r="W1154" s="50" t="n">
        <v>0</v>
      </c>
      <c r="X1154" s="51" t="n">
        <v>0</v>
      </c>
      <c r="Y1154" s="52" t="n">
        <v>0</v>
      </c>
      <c r="Z1154" s="52" t="n">
        <v>0</v>
      </c>
      <c r="AA1154" s="52" t="n">
        <v>0</v>
      </c>
      <c r="AB1154" s="53" t="n">
        <v>0</v>
      </c>
      <c r="AC1154" s="52" t="n">
        <v>0</v>
      </c>
      <c r="AD1154" s="53" t="n">
        <v>0</v>
      </c>
      <c r="AE1154" s="52" t="n">
        <v>0</v>
      </c>
      <c r="AF1154" s="51" t="n">
        <v>0</v>
      </c>
      <c r="AG1154" s="48" t="n">
        <v>0</v>
      </c>
      <c r="AH1154" s="49" t="n">
        <v>0</v>
      </c>
      <c r="AI1154" s="49" t="n">
        <v>0</v>
      </c>
      <c r="AJ1154" s="50" t="n">
        <v>0</v>
      </c>
      <c r="AK1154" s="51" t="n">
        <v>0</v>
      </c>
      <c r="AL1154" s="52" t="n">
        <v>0</v>
      </c>
      <c r="AM1154" s="52" t="n">
        <v>0</v>
      </c>
      <c r="AN1154" s="52" t="n">
        <v>0</v>
      </c>
      <c r="AO1154" s="53" t="n">
        <v>0</v>
      </c>
      <c r="AP1154" s="52" t="n">
        <v>0</v>
      </c>
      <c r="AQ1154" s="53" t="n">
        <v>0</v>
      </c>
      <c r="AR1154" s="52" t="n">
        <v>0</v>
      </c>
      <c r="AS1154" s="51" t="n">
        <v>0</v>
      </c>
      <c r="AT1154" s="48" t="n">
        <v>0</v>
      </c>
      <c r="AU1154" s="49" t="n">
        <v>0</v>
      </c>
      <c r="AV1154" s="49" t="n">
        <v>0</v>
      </c>
      <c r="AW1154" s="50" t="n">
        <v>0</v>
      </c>
      <c r="AX1154" s="51" t="n">
        <v>0</v>
      </c>
      <c r="AY1154" s="52" t="n">
        <v>0</v>
      </c>
      <c r="AZ1154" s="52" t="n">
        <v>0</v>
      </c>
      <c r="BA1154" s="52" t="n">
        <v>0</v>
      </c>
      <c r="BB1154" s="53" t="n">
        <v>0</v>
      </c>
      <c r="BC1154" s="52" t="n">
        <v>0</v>
      </c>
      <c r="BD1154" s="53" t="n">
        <v>0</v>
      </c>
      <c r="BE1154" s="52" t="n">
        <v>0</v>
      </c>
      <c r="BF1154" s="51" t="n">
        <v>0</v>
      </c>
    </row>
    <row r="1155">
      <c r="A1155">
        <f>HYPERLINK("https://www.walmart.com/ip/740461992", "740461992")</f>
        <v/>
      </c>
      <c r="B1155" t="inlineStr">
        <is>
          <t>KC Caps® Sports Unisex plain Golf Flex Sandwich Baseball Cap Fitted Cotton Hat</t>
        </is>
      </c>
      <c r="C1155" t="inlineStr">
        <is>
          <t>KC Caps 8313 khaki</t>
        </is>
      </c>
      <c r="D1155" t="inlineStr">
        <is>
          <t>Golf Hats</t>
        </is>
      </c>
      <c r="E1155" t="inlineStr">
        <is>
          <t>KC Caps</t>
        </is>
      </c>
      <c r="F1155" t="inlineStr">
        <is>
          <t>Optimized</t>
        </is>
      </c>
      <c r="G1155" s="48" t="n">
        <v>0</v>
      </c>
      <c r="H1155" s="49" t="n">
        <v>0</v>
      </c>
      <c r="I1155" s="49" t="n">
        <v>0</v>
      </c>
      <c r="J1155" s="50" t="n">
        <v>0</v>
      </c>
      <c r="K1155" s="51" t="n">
        <v>0</v>
      </c>
      <c r="L1155" s="52" t="n">
        <v>0</v>
      </c>
      <c r="M1155" s="52" t="n">
        <v>0</v>
      </c>
      <c r="N1155" s="52" t="n">
        <v>0</v>
      </c>
      <c r="O1155" s="53" t="n">
        <v>0</v>
      </c>
      <c r="P1155" s="52" t="n">
        <v>0</v>
      </c>
      <c r="Q1155" s="53" t="n">
        <v>0</v>
      </c>
      <c r="R1155" s="52" t="n">
        <v>0</v>
      </c>
      <c r="S1155" s="51" t="n">
        <v>0</v>
      </c>
      <c r="T1155" s="48" t="n">
        <v>0</v>
      </c>
      <c r="U1155" s="49" t="n">
        <v>0</v>
      </c>
      <c r="V1155" s="49" t="n">
        <v>0</v>
      </c>
      <c r="W1155" s="50" t="n">
        <v>0</v>
      </c>
      <c r="X1155" s="51" t="n">
        <v>0</v>
      </c>
      <c r="Y1155" s="52" t="n">
        <v>0</v>
      </c>
      <c r="Z1155" s="52" t="n">
        <v>0</v>
      </c>
      <c r="AA1155" s="52" t="n">
        <v>0</v>
      </c>
      <c r="AB1155" s="53" t="n">
        <v>0</v>
      </c>
      <c r="AC1155" s="52" t="n">
        <v>0</v>
      </c>
      <c r="AD1155" s="53" t="n">
        <v>0</v>
      </c>
      <c r="AE1155" s="52" t="n">
        <v>0</v>
      </c>
      <c r="AF1155" s="51" t="n">
        <v>0</v>
      </c>
      <c r="AG1155" s="48" t="n">
        <v>0</v>
      </c>
      <c r="AH1155" s="49" t="n">
        <v>0</v>
      </c>
      <c r="AI1155" s="49" t="n">
        <v>0</v>
      </c>
      <c r="AJ1155" s="50" t="n">
        <v>0</v>
      </c>
      <c r="AK1155" s="51" t="n">
        <v>0</v>
      </c>
      <c r="AL1155" s="52" t="n">
        <v>0</v>
      </c>
      <c r="AM1155" s="52" t="n">
        <v>0</v>
      </c>
      <c r="AN1155" s="52" t="n">
        <v>0</v>
      </c>
      <c r="AO1155" s="53" t="n">
        <v>0</v>
      </c>
      <c r="AP1155" s="52" t="n">
        <v>0</v>
      </c>
      <c r="AQ1155" s="53" t="n">
        <v>0</v>
      </c>
      <c r="AR1155" s="52" t="n">
        <v>0</v>
      </c>
      <c r="AS1155" s="51" t="n">
        <v>0</v>
      </c>
      <c r="AT1155" s="48" t="n">
        <v>8.99</v>
      </c>
      <c r="AU1155" s="49" t="n">
        <v>1</v>
      </c>
      <c r="AV1155" s="49" t="n">
        <v>0</v>
      </c>
      <c r="AW1155" s="50" t="n">
        <v>0</v>
      </c>
      <c r="AX1155" s="51" t="n">
        <v>0</v>
      </c>
      <c r="AY1155" s="52" t="n">
        <v>0</v>
      </c>
      <c r="AZ1155" s="52" t="n">
        <v>0</v>
      </c>
      <c r="BA1155" s="52" t="n">
        <v>0</v>
      </c>
      <c r="BB1155" s="53" t="n">
        <v>0</v>
      </c>
      <c r="BC1155" s="52" t="n">
        <v>0</v>
      </c>
      <c r="BD1155" s="53" t="n">
        <v>0</v>
      </c>
      <c r="BE1155" s="52" t="n">
        <v>8.99</v>
      </c>
      <c r="BF1155" s="51" t="n">
        <v>0</v>
      </c>
    </row>
    <row r="1156">
      <c r="A1156">
        <f>HYPERLINK("https://www.walmart.com/ip/800195774", "800195774")</f>
        <v/>
      </c>
      <c r="B1156" t="inlineStr">
        <is>
          <t>Sherpa Wearable Blanket with Sleeves Arms, Super Soft Warm Comfy Large Fleece Plush Sleeved TV Throws Wrap Robe Blanket for Adult Women and Men, Zebra</t>
        </is>
      </c>
      <c r="C1156" t="inlineStr">
        <is>
          <t>1CTSN110ZEBRA</t>
        </is>
      </c>
      <c r="D1156" t="inlineStr">
        <is>
          <t>Throws</t>
        </is>
      </c>
      <c r="E1156" t="inlineStr">
        <is>
          <t>Catalonia</t>
        </is>
      </c>
      <c r="F1156" t="inlineStr">
        <is>
          <t>Q2-Target,Coupon_Discount,Batch 1 - TR</t>
        </is>
      </c>
      <c r="G1156" s="48" t="n">
        <v>0</v>
      </c>
      <c r="H1156" s="49" t="n">
        <v>0</v>
      </c>
      <c r="I1156" s="49" t="n">
        <v>0</v>
      </c>
      <c r="J1156" s="50" t="n">
        <v>0</v>
      </c>
      <c r="K1156" s="51" t="n">
        <v>0</v>
      </c>
      <c r="L1156" s="52" t="n">
        <v>0</v>
      </c>
      <c r="M1156" s="52" t="n">
        <v>0</v>
      </c>
      <c r="N1156" s="52" t="n">
        <v>0</v>
      </c>
      <c r="O1156" s="53" t="n">
        <v>0</v>
      </c>
      <c r="P1156" s="52" t="n">
        <v>0</v>
      </c>
      <c r="Q1156" s="53" t="n">
        <v>0</v>
      </c>
      <c r="R1156" s="52" t="n">
        <v>0</v>
      </c>
      <c r="S1156" s="51" t="n">
        <v>0</v>
      </c>
      <c r="T1156" s="48" t="n">
        <v>0</v>
      </c>
      <c r="U1156" s="49" t="n">
        <v>0</v>
      </c>
      <c r="V1156" s="49" t="n">
        <v>0</v>
      </c>
      <c r="W1156" s="50" t="n">
        <v>0</v>
      </c>
      <c r="X1156" s="51" t="n">
        <v>0</v>
      </c>
      <c r="Y1156" s="52" t="n">
        <v>0</v>
      </c>
      <c r="Z1156" s="52" t="n">
        <v>0</v>
      </c>
      <c r="AA1156" s="52" t="n">
        <v>0</v>
      </c>
      <c r="AB1156" s="53" t="n">
        <v>0</v>
      </c>
      <c r="AC1156" s="52" t="n">
        <v>0</v>
      </c>
      <c r="AD1156" s="53" t="n">
        <v>0</v>
      </c>
      <c r="AE1156" s="52" t="n">
        <v>0</v>
      </c>
      <c r="AF1156" s="51" t="n">
        <v>0</v>
      </c>
      <c r="AG1156" s="48" t="n">
        <v>0</v>
      </c>
      <c r="AH1156" s="49" t="n">
        <v>0</v>
      </c>
      <c r="AI1156" s="49" t="n">
        <v>0</v>
      </c>
      <c r="AJ1156" s="50" t="n">
        <v>0</v>
      </c>
      <c r="AK1156" s="51" t="n">
        <v>0</v>
      </c>
      <c r="AL1156" s="52" t="n">
        <v>0</v>
      </c>
      <c r="AM1156" s="52" t="n">
        <v>0</v>
      </c>
      <c r="AN1156" s="52" t="n">
        <v>0</v>
      </c>
      <c r="AO1156" s="53" t="n">
        <v>0</v>
      </c>
      <c r="AP1156" s="52" t="n">
        <v>0</v>
      </c>
      <c r="AQ1156" s="53" t="n">
        <v>0</v>
      </c>
      <c r="AR1156" s="52" t="n">
        <v>0</v>
      </c>
      <c r="AS1156" s="51" t="n">
        <v>0</v>
      </c>
      <c r="AT1156" s="48" t="n">
        <v>0</v>
      </c>
      <c r="AU1156" s="49" t="n">
        <v>0</v>
      </c>
      <c r="AV1156" s="49" t="n">
        <v>0</v>
      </c>
      <c r="AW1156" s="50" t="n">
        <v>0</v>
      </c>
      <c r="AX1156" s="51" t="n">
        <v>0</v>
      </c>
      <c r="AY1156" s="52" t="n">
        <v>0</v>
      </c>
      <c r="AZ1156" s="52" t="n">
        <v>0</v>
      </c>
      <c r="BA1156" s="52" t="n">
        <v>0</v>
      </c>
      <c r="BB1156" s="53" t="n">
        <v>0</v>
      </c>
      <c r="BC1156" s="52" t="n">
        <v>0</v>
      </c>
      <c r="BD1156" s="53" t="n">
        <v>0</v>
      </c>
      <c r="BE1156" s="52" t="n">
        <v>0</v>
      </c>
      <c r="BF1156" s="51" t="n">
        <v>0</v>
      </c>
    </row>
    <row r="1157">
      <c r="A1157">
        <f>HYPERLINK("https://www.walmart.com/ip/801338253", "801338253")</f>
        <v/>
      </c>
      <c r="B1157" t="inlineStr">
        <is>
          <t>Kato Wine Bottle Opener Set 5 Pcs – Corkscrew, Stopper, Aerator Pourer, Foil Cutter, Drip Ring</t>
        </is>
      </c>
      <c r="C1157" t="inlineStr">
        <is>
          <t>1KTWO50RDBK</t>
        </is>
      </c>
      <c r="D1157" t="inlineStr">
        <is>
          <t>Barware Sets</t>
        </is>
      </c>
      <c r="E1157" t="inlineStr">
        <is>
          <t>Kato</t>
        </is>
      </c>
      <c r="F1157" t="inlineStr">
        <is>
          <t>Wine,Christmas,WFS,Valentine,SEM,WFS Item</t>
        </is>
      </c>
      <c r="G1157" s="48" t="n">
        <v>0</v>
      </c>
      <c r="H1157" s="49" t="n">
        <v>0</v>
      </c>
      <c r="I1157" s="49" t="n">
        <v>0</v>
      </c>
      <c r="J1157" s="50" t="n">
        <v>0</v>
      </c>
      <c r="K1157" s="51" t="n">
        <v>0</v>
      </c>
      <c r="L1157" s="52" t="n">
        <v>0</v>
      </c>
      <c r="M1157" s="52" t="n">
        <v>0</v>
      </c>
      <c r="N1157" s="52" t="n">
        <v>0</v>
      </c>
      <c r="O1157" s="53" t="n">
        <v>0</v>
      </c>
      <c r="P1157" s="52" t="n">
        <v>0</v>
      </c>
      <c r="Q1157" s="53" t="n">
        <v>0</v>
      </c>
      <c r="R1157" s="52" t="n">
        <v>0</v>
      </c>
      <c r="S1157" s="51" t="n">
        <v>0</v>
      </c>
      <c r="T1157" s="48" t="n">
        <v>0</v>
      </c>
      <c r="U1157" s="49" t="n">
        <v>0</v>
      </c>
      <c r="V1157" s="49" t="n">
        <v>0</v>
      </c>
      <c r="W1157" s="50" t="n">
        <v>0</v>
      </c>
      <c r="X1157" s="51" t="n">
        <v>0</v>
      </c>
      <c r="Y1157" s="52" t="n">
        <v>0</v>
      </c>
      <c r="Z1157" s="52" t="n">
        <v>0</v>
      </c>
      <c r="AA1157" s="52" t="n">
        <v>0</v>
      </c>
      <c r="AB1157" s="53" t="n">
        <v>0</v>
      </c>
      <c r="AC1157" s="52" t="n">
        <v>0</v>
      </c>
      <c r="AD1157" s="53" t="n">
        <v>0</v>
      </c>
      <c r="AE1157" s="52" t="n">
        <v>0</v>
      </c>
      <c r="AF1157" s="51" t="n">
        <v>0</v>
      </c>
      <c r="AG1157" s="48" t="n">
        <v>0</v>
      </c>
      <c r="AH1157" s="49" t="n">
        <v>0</v>
      </c>
      <c r="AI1157" s="49" t="n">
        <v>0</v>
      </c>
      <c r="AJ1157" s="50" t="n">
        <v>0</v>
      </c>
      <c r="AK1157" s="51" t="n">
        <v>0</v>
      </c>
      <c r="AL1157" s="52" t="n">
        <v>0</v>
      </c>
      <c r="AM1157" s="52" t="n">
        <v>0</v>
      </c>
      <c r="AN1157" s="52" t="n">
        <v>0</v>
      </c>
      <c r="AO1157" s="53" t="n">
        <v>0</v>
      </c>
      <c r="AP1157" s="52" t="n">
        <v>0</v>
      </c>
      <c r="AQ1157" s="53" t="n">
        <v>0</v>
      </c>
      <c r="AR1157" s="52" t="n">
        <v>0</v>
      </c>
      <c r="AS1157" s="51" t="n">
        <v>0</v>
      </c>
      <c r="AT1157" s="48" t="n">
        <v>0</v>
      </c>
      <c r="AU1157" s="49" t="n">
        <v>0</v>
      </c>
      <c r="AV1157" s="49" t="n">
        <v>0</v>
      </c>
      <c r="AW1157" s="50" t="n">
        <v>0</v>
      </c>
      <c r="AX1157" s="51" t="n">
        <v>0</v>
      </c>
      <c r="AY1157" s="52" t="n">
        <v>0</v>
      </c>
      <c r="AZ1157" s="52" t="n">
        <v>0</v>
      </c>
      <c r="BA1157" s="52" t="n">
        <v>0</v>
      </c>
      <c r="BB1157" s="53" t="n">
        <v>0</v>
      </c>
      <c r="BC1157" s="52" t="n">
        <v>0</v>
      </c>
      <c r="BD1157" s="53" t="n">
        <v>0</v>
      </c>
      <c r="BE1157" s="52" t="n">
        <v>0</v>
      </c>
      <c r="BF1157" s="51" t="n">
        <v>0</v>
      </c>
    </row>
    <row r="1158">
      <c r="A1158">
        <f>HYPERLINK("https://www.walmart.com/ip/801604952", "801604952")</f>
        <v/>
      </c>
      <c r="B1158" t="inlineStr">
        <is>
          <t>Sherpa Fleece Throw Blanket, Cozy Fuzzy Jacquard Blanket for the Couch Bed | Fluffy Comfy Warm Heavy Throws | Comfort Caring Gift, 50x60 inches</t>
        </is>
      </c>
      <c r="C1158" t="inlineStr">
        <is>
          <t>1CTBF573CASOLE</t>
        </is>
      </c>
      <c r="D1158" t="inlineStr">
        <is>
          <t>Throws</t>
        </is>
      </c>
      <c r="E1158" t="inlineStr">
        <is>
          <t>Catalonia</t>
        </is>
      </c>
      <c r="F1158" t="inlineStr">
        <is>
          <t>Q2-Target,Coupon_Discount,Batch 1 - TR</t>
        </is>
      </c>
      <c r="G1158" s="48" t="n">
        <v>0</v>
      </c>
      <c r="H1158" s="49" t="n">
        <v>0</v>
      </c>
      <c r="I1158" s="49" t="n">
        <v>0</v>
      </c>
      <c r="J1158" s="50" t="n">
        <v>0</v>
      </c>
      <c r="K1158" s="51" t="n">
        <v>0</v>
      </c>
      <c r="L1158" s="52" t="n">
        <v>0</v>
      </c>
      <c r="M1158" s="52" t="n">
        <v>0</v>
      </c>
      <c r="N1158" s="52" t="n">
        <v>0</v>
      </c>
      <c r="O1158" s="53" t="n">
        <v>0</v>
      </c>
      <c r="P1158" s="52" t="n">
        <v>0</v>
      </c>
      <c r="Q1158" s="53" t="n">
        <v>0</v>
      </c>
      <c r="R1158" s="52" t="n">
        <v>0</v>
      </c>
      <c r="S1158" s="51" t="n">
        <v>0</v>
      </c>
      <c r="T1158" s="48" t="n">
        <v>0</v>
      </c>
      <c r="U1158" s="49" t="n">
        <v>0</v>
      </c>
      <c r="V1158" s="49" t="n">
        <v>0</v>
      </c>
      <c r="W1158" s="50" t="n">
        <v>0</v>
      </c>
      <c r="X1158" s="51" t="n">
        <v>0</v>
      </c>
      <c r="Y1158" s="52" t="n">
        <v>0</v>
      </c>
      <c r="Z1158" s="52" t="n">
        <v>0</v>
      </c>
      <c r="AA1158" s="52" t="n">
        <v>0</v>
      </c>
      <c r="AB1158" s="53" t="n">
        <v>0</v>
      </c>
      <c r="AC1158" s="52" t="n">
        <v>0</v>
      </c>
      <c r="AD1158" s="53" t="n">
        <v>0</v>
      </c>
      <c r="AE1158" s="52" t="n">
        <v>0</v>
      </c>
      <c r="AF1158" s="51" t="n">
        <v>0</v>
      </c>
      <c r="AG1158" s="48" t="n">
        <v>0</v>
      </c>
      <c r="AH1158" s="49" t="n">
        <v>0</v>
      </c>
      <c r="AI1158" s="49" t="n">
        <v>0</v>
      </c>
      <c r="AJ1158" s="50" t="n">
        <v>0</v>
      </c>
      <c r="AK1158" s="51" t="n">
        <v>0</v>
      </c>
      <c r="AL1158" s="52" t="n">
        <v>0</v>
      </c>
      <c r="AM1158" s="52" t="n">
        <v>0</v>
      </c>
      <c r="AN1158" s="52" t="n">
        <v>0</v>
      </c>
      <c r="AO1158" s="53" t="n">
        <v>0</v>
      </c>
      <c r="AP1158" s="52" t="n">
        <v>0</v>
      </c>
      <c r="AQ1158" s="53" t="n">
        <v>0</v>
      </c>
      <c r="AR1158" s="52" t="n">
        <v>0</v>
      </c>
      <c r="AS1158" s="51" t="n">
        <v>0</v>
      </c>
      <c r="AT1158" s="48" t="n">
        <v>0</v>
      </c>
      <c r="AU1158" s="49" t="n">
        <v>0</v>
      </c>
      <c r="AV1158" s="49" t="n">
        <v>0</v>
      </c>
      <c r="AW1158" s="50" t="n">
        <v>0</v>
      </c>
      <c r="AX1158" s="51" t="n">
        <v>0</v>
      </c>
      <c r="AY1158" s="52" t="n">
        <v>0</v>
      </c>
      <c r="AZ1158" s="52" t="n">
        <v>0</v>
      </c>
      <c r="BA1158" s="52" t="n">
        <v>0</v>
      </c>
      <c r="BB1158" s="53" t="n">
        <v>0</v>
      </c>
      <c r="BC1158" s="52" t="n">
        <v>0</v>
      </c>
      <c r="BD1158" s="53" t="n">
        <v>0</v>
      </c>
      <c r="BE1158" s="52" t="n">
        <v>0</v>
      </c>
      <c r="BF1158" s="51" t="n">
        <v>0</v>
      </c>
    </row>
    <row r="1159">
      <c r="A1159">
        <f>HYPERLINK("https://www.walmart.com/ip/801779048", "801779048")</f>
        <v/>
      </c>
      <c r="B1159" t="inlineStr">
        <is>
          <t>Terra Bed Blankets, Bedspreads, Bed throws, Soft Cozy Reversible Fuzzy Blanket  50" W x 60" L, Latte</t>
        </is>
      </c>
      <c r="C1159" t="inlineStr">
        <is>
          <t>1TRK9000WN-JWCB</t>
        </is>
      </c>
      <c r="D1159" t="inlineStr">
        <is>
          <t>Throws</t>
        </is>
      </c>
      <c r="E1159" t="inlineStr">
        <is>
          <t>NAPA</t>
        </is>
      </c>
      <c r="G1159" s="48" t="n">
        <v>0</v>
      </c>
      <c r="H1159" s="49" t="n">
        <v>0</v>
      </c>
      <c r="I1159" s="49" t="n">
        <v>0</v>
      </c>
      <c r="J1159" s="50" t="n">
        <v>0</v>
      </c>
      <c r="K1159" s="51" t="n">
        <v>0</v>
      </c>
      <c r="L1159" s="52" t="n">
        <v>0</v>
      </c>
      <c r="M1159" s="52" t="n">
        <v>0</v>
      </c>
      <c r="N1159" s="52" t="n">
        <v>0</v>
      </c>
      <c r="O1159" s="53" t="n">
        <v>0</v>
      </c>
      <c r="P1159" s="52" t="n">
        <v>0</v>
      </c>
      <c r="Q1159" s="53" t="n">
        <v>0</v>
      </c>
      <c r="R1159" s="52" t="n">
        <v>0</v>
      </c>
      <c r="S1159" s="51" t="n">
        <v>0</v>
      </c>
      <c r="T1159" s="48" t="n">
        <v>0</v>
      </c>
      <c r="U1159" s="49" t="n">
        <v>0</v>
      </c>
      <c r="V1159" s="49" t="n">
        <v>0</v>
      </c>
      <c r="W1159" s="50" t="n">
        <v>0</v>
      </c>
      <c r="X1159" s="51" t="n">
        <v>0</v>
      </c>
      <c r="Y1159" s="52" t="n">
        <v>0</v>
      </c>
      <c r="Z1159" s="52" t="n">
        <v>0</v>
      </c>
      <c r="AA1159" s="52" t="n">
        <v>0</v>
      </c>
      <c r="AB1159" s="53" t="n">
        <v>0</v>
      </c>
      <c r="AC1159" s="52" t="n">
        <v>0</v>
      </c>
      <c r="AD1159" s="53" t="n">
        <v>0</v>
      </c>
      <c r="AE1159" s="52" t="n">
        <v>0</v>
      </c>
      <c r="AF1159" s="51" t="n">
        <v>0</v>
      </c>
      <c r="AG1159" s="48" t="n">
        <v>0</v>
      </c>
      <c r="AH1159" s="49" t="n">
        <v>0</v>
      </c>
      <c r="AI1159" s="49" t="n">
        <v>0</v>
      </c>
      <c r="AJ1159" s="50" t="n">
        <v>0</v>
      </c>
      <c r="AK1159" s="51" t="n">
        <v>0</v>
      </c>
      <c r="AL1159" s="52" t="n">
        <v>0</v>
      </c>
      <c r="AM1159" s="52" t="n">
        <v>0</v>
      </c>
      <c r="AN1159" s="52" t="n">
        <v>0</v>
      </c>
      <c r="AO1159" s="53" t="n">
        <v>0</v>
      </c>
      <c r="AP1159" s="52" t="n">
        <v>0</v>
      </c>
      <c r="AQ1159" s="53" t="n">
        <v>0</v>
      </c>
      <c r="AR1159" s="52" t="n">
        <v>0</v>
      </c>
      <c r="AS1159" s="51" t="n">
        <v>0</v>
      </c>
      <c r="AT1159" s="48" t="n">
        <v>0</v>
      </c>
      <c r="AU1159" s="49" t="n">
        <v>0</v>
      </c>
      <c r="AV1159" s="49" t="n">
        <v>0</v>
      </c>
      <c r="AW1159" s="50" t="n">
        <v>0</v>
      </c>
      <c r="AX1159" s="51" t="n">
        <v>0</v>
      </c>
      <c r="AY1159" s="52" t="n">
        <v>0</v>
      </c>
      <c r="AZ1159" s="52" t="n">
        <v>0</v>
      </c>
      <c r="BA1159" s="52" t="n">
        <v>0</v>
      </c>
      <c r="BB1159" s="53" t="n">
        <v>0</v>
      </c>
      <c r="BC1159" s="52" t="n">
        <v>0</v>
      </c>
      <c r="BD1159" s="53" t="n">
        <v>0</v>
      </c>
      <c r="BE1159" s="52" t="n">
        <v>0</v>
      </c>
      <c r="BF1159" s="51" t="n">
        <v>0</v>
      </c>
    </row>
    <row r="1160">
      <c r="A1160">
        <f>HYPERLINK("https://www.walmart.com/ip/802198021", "802198021")</f>
        <v/>
      </c>
      <c r="B1160" t="inlineStr">
        <is>
          <t>Bear Oversized Sherpa Hoodie Blanket Sweatshirt for Women</t>
        </is>
      </c>
      <c r="C1160" t="inlineStr">
        <is>
          <t>1WMHD201BEA</t>
        </is>
      </c>
      <c r="D1160" t="inlineStr">
        <is>
          <t>Sweatshirts &amp; Hoodies</t>
        </is>
      </c>
      <c r="E1160" t="inlineStr">
        <is>
          <t>Flyingstar</t>
        </is>
      </c>
      <c r="F1160" t="inlineStr">
        <is>
          <t>Hoodie ForAdult,Optimized</t>
        </is>
      </c>
      <c r="G1160" s="48" t="n">
        <v>0</v>
      </c>
      <c r="H1160" s="49" t="n">
        <v>0</v>
      </c>
      <c r="I1160" s="49" t="n">
        <v>0</v>
      </c>
      <c r="J1160" s="50" t="n">
        <v>0</v>
      </c>
      <c r="K1160" s="51" t="n">
        <v>0</v>
      </c>
      <c r="L1160" s="52" t="n">
        <v>0</v>
      </c>
      <c r="M1160" s="52" t="n">
        <v>0</v>
      </c>
      <c r="N1160" s="52" t="n">
        <v>0</v>
      </c>
      <c r="O1160" s="53" t="n">
        <v>0</v>
      </c>
      <c r="P1160" s="52" t="n">
        <v>0</v>
      </c>
      <c r="Q1160" s="53" t="n">
        <v>0</v>
      </c>
      <c r="R1160" s="52" t="n">
        <v>0</v>
      </c>
      <c r="S1160" s="51" t="n">
        <v>0</v>
      </c>
      <c r="T1160" s="48" t="n">
        <v>0</v>
      </c>
      <c r="U1160" s="49" t="n">
        <v>0</v>
      </c>
      <c r="V1160" s="49" t="n">
        <v>0</v>
      </c>
      <c r="W1160" s="50" t="n">
        <v>0</v>
      </c>
      <c r="X1160" s="51" t="n">
        <v>0</v>
      </c>
      <c r="Y1160" s="52" t="n">
        <v>0</v>
      </c>
      <c r="Z1160" s="52" t="n">
        <v>0</v>
      </c>
      <c r="AA1160" s="52" t="n">
        <v>0</v>
      </c>
      <c r="AB1160" s="53" t="n">
        <v>0</v>
      </c>
      <c r="AC1160" s="52" t="n">
        <v>0</v>
      </c>
      <c r="AD1160" s="53" t="n">
        <v>0</v>
      </c>
      <c r="AE1160" s="52" t="n">
        <v>0</v>
      </c>
      <c r="AF1160" s="51" t="n">
        <v>0</v>
      </c>
      <c r="AG1160" s="48" t="n">
        <v>0</v>
      </c>
      <c r="AH1160" s="49" t="n">
        <v>0</v>
      </c>
      <c r="AI1160" s="49" t="n">
        <v>0</v>
      </c>
      <c r="AJ1160" s="50" t="n">
        <v>0</v>
      </c>
      <c r="AK1160" s="51" t="n">
        <v>0</v>
      </c>
      <c r="AL1160" s="52" t="n">
        <v>0</v>
      </c>
      <c r="AM1160" s="52" t="n">
        <v>0</v>
      </c>
      <c r="AN1160" s="52" t="n">
        <v>0</v>
      </c>
      <c r="AO1160" s="53" t="n">
        <v>0</v>
      </c>
      <c r="AP1160" s="52" t="n">
        <v>0</v>
      </c>
      <c r="AQ1160" s="53" t="n">
        <v>0</v>
      </c>
      <c r="AR1160" s="52" t="n">
        <v>0</v>
      </c>
      <c r="AS1160" s="51" t="n">
        <v>0</v>
      </c>
      <c r="AT1160" s="48" t="n">
        <v>0</v>
      </c>
      <c r="AU1160" s="49" t="n">
        <v>0</v>
      </c>
      <c r="AV1160" s="49" t="n">
        <v>0</v>
      </c>
      <c r="AW1160" s="50" t="n">
        <v>0</v>
      </c>
      <c r="AX1160" s="51" t="n">
        <v>0</v>
      </c>
      <c r="AY1160" s="52" t="n">
        <v>0</v>
      </c>
      <c r="AZ1160" s="52" t="n">
        <v>0</v>
      </c>
      <c r="BA1160" s="52" t="n">
        <v>0</v>
      </c>
      <c r="BB1160" s="53" t="n">
        <v>0</v>
      </c>
      <c r="BC1160" s="52" t="n">
        <v>0</v>
      </c>
      <c r="BD1160" s="53" t="n">
        <v>0</v>
      </c>
      <c r="BE1160" s="52" t="n">
        <v>0</v>
      </c>
      <c r="BF1160" s="51" t="n">
        <v>0</v>
      </c>
    </row>
    <row r="1161">
      <c r="A1161">
        <f>HYPERLINK("https://www.walmart.com/ip/802408755", "802408755")</f>
        <v/>
      </c>
      <c r="B1161" t="inlineStr">
        <is>
          <t>KC Caps® Realtree Mesh Baseball Cap Outdoor Sports Embroidery Duck Hunting Hat</t>
        </is>
      </c>
      <c r="C1161" t="inlineStr">
        <is>
          <t>KC Caps HT02</t>
        </is>
      </c>
      <c r="D1161" t="inlineStr">
        <is>
          <t>Hats</t>
        </is>
      </c>
      <c r="E1161" t="inlineStr">
        <is>
          <t>KC Caps</t>
        </is>
      </c>
      <c r="F1161" t="inlineStr">
        <is>
          <t>Optimized</t>
        </is>
      </c>
      <c r="G1161" s="48" t="n">
        <v>0</v>
      </c>
      <c r="H1161" s="49" t="n">
        <v>0</v>
      </c>
      <c r="I1161" s="49" t="n">
        <v>0</v>
      </c>
      <c r="J1161" s="50" t="n">
        <v>0</v>
      </c>
      <c r="K1161" s="51" t="n">
        <v>0</v>
      </c>
      <c r="L1161" s="52" t="n">
        <v>0</v>
      </c>
      <c r="M1161" s="52" t="n">
        <v>0</v>
      </c>
      <c r="N1161" s="52" t="n">
        <v>0</v>
      </c>
      <c r="O1161" s="53" t="n">
        <v>0</v>
      </c>
      <c r="P1161" s="52" t="n">
        <v>0</v>
      </c>
      <c r="Q1161" s="53" t="n">
        <v>0</v>
      </c>
      <c r="R1161" s="52" t="n">
        <v>0</v>
      </c>
      <c r="S1161" s="51" t="n">
        <v>0</v>
      </c>
      <c r="T1161" s="48" t="n">
        <v>0</v>
      </c>
      <c r="U1161" s="49" t="n">
        <v>0</v>
      </c>
      <c r="V1161" s="49" t="n">
        <v>0</v>
      </c>
      <c r="W1161" s="50" t="n">
        <v>0</v>
      </c>
      <c r="X1161" s="51" t="n">
        <v>0</v>
      </c>
      <c r="Y1161" s="52" t="n">
        <v>0</v>
      </c>
      <c r="Z1161" s="52" t="n">
        <v>0</v>
      </c>
      <c r="AA1161" s="52" t="n">
        <v>0</v>
      </c>
      <c r="AB1161" s="53" t="n">
        <v>0</v>
      </c>
      <c r="AC1161" s="52" t="n">
        <v>0</v>
      </c>
      <c r="AD1161" s="53" t="n">
        <v>0</v>
      </c>
      <c r="AE1161" s="52" t="n">
        <v>0</v>
      </c>
      <c r="AF1161" s="51" t="n">
        <v>0</v>
      </c>
      <c r="AG1161" s="48" t="n">
        <v>0</v>
      </c>
      <c r="AH1161" s="49" t="n">
        <v>0</v>
      </c>
      <c r="AI1161" s="49" t="n">
        <v>0</v>
      </c>
      <c r="AJ1161" s="50" t="n">
        <v>0</v>
      </c>
      <c r="AK1161" s="51" t="n">
        <v>0</v>
      </c>
      <c r="AL1161" s="52" t="n">
        <v>0</v>
      </c>
      <c r="AM1161" s="52" t="n">
        <v>0</v>
      </c>
      <c r="AN1161" s="52" t="n">
        <v>0</v>
      </c>
      <c r="AO1161" s="53" t="n">
        <v>0</v>
      </c>
      <c r="AP1161" s="52" t="n">
        <v>0</v>
      </c>
      <c r="AQ1161" s="53" t="n">
        <v>0</v>
      </c>
      <c r="AR1161" s="52" t="n">
        <v>0</v>
      </c>
      <c r="AS1161" s="51" t="n">
        <v>0</v>
      </c>
      <c r="AT1161" s="48" t="n">
        <v>0</v>
      </c>
      <c r="AU1161" s="49" t="n">
        <v>0</v>
      </c>
      <c r="AV1161" s="49" t="n">
        <v>0</v>
      </c>
      <c r="AW1161" s="50" t="n">
        <v>0</v>
      </c>
      <c r="AX1161" s="51" t="n">
        <v>0</v>
      </c>
      <c r="AY1161" s="52" t="n">
        <v>0</v>
      </c>
      <c r="AZ1161" s="52" t="n">
        <v>0</v>
      </c>
      <c r="BA1161" s="52" t="n">
        <v>0</v>
      </c>
      <c r="BB1161" s="53" t="n">
        <v>0</v>
      </c>
      <c r="BC1161" s="52" t="n">
        <v>0</v>
      </c>
      <c r="BD1161" s="53" t="n">
        <v>0</v>
      </c>
      <c r="BE1161" s="52" t="n">
        <v>0</v>
      </c>
      <c r="BF1161" s="51" t="n">
        <v>0</v>
      </c>
    </row>
    <row r="1162">
      <c r="A1162">
        <f>HYPERLINK("https://www.walmart.com/ip/803186607", "803186607")</f>
        <v/>
      </c>
      <c r="B1162" t="inlineStr">
        <is>
          <t>Catalonia King Size Sherpa Comforter Set, Ultra-soft Reversible Fluffy Micromink Bedding Set-3 Pieces, 1 Comforter and 2 Pillow Shams, 90x103 inches</t>
        </is>
      </c>
      <c r="C1162" t="inlineStr">
        <is>
          <t>1CTBQ300KI-GY</t>
        </is>
      </c>
      <c r="D1162" t="inlineStr">
        <is>
          <t>Bedding Sets</t>
        </is>
      </c>
      <c r="E1162" t="inlineStr">
        <is>
          <t>Catalonia</t>
        </is>
      </c>
      <c r="F1162" t="inlineStr">
        <is>
          <t>WFS,High AUR Items,Coupon_Discount,WFS Item</t>
        </is>
      </c>
      <c r="G1162" s="48" t="n">
        <v>0</v>
      </c>
      <c r="H1162" s="49" t="n">
        <v>0</v>
      </c>
      <c r="I1162" s="49" t="n">
        <v>6</v>
      </c>
      <c r="J1162" s="50" t="n">
        <v>0</v>
      </c>
      <c r="K1162" s="51" t="n">
        <v>0</v>
      </c>
      <c r="L1162" s="52" t="n">
        <v>0</v>
      </c>
      <c r="M1162" s="52" t="n">
        <v>0</v>
      </c>
      <c r="N1162" s="52" t="n">
        <v>0</v>
      </c>
      <c r="O1162" s="53" t="n">
        <v>0</v>
      </c>
      <c r="P1162" s="52" t="n">
        <v>0</v>
      </c>
      <c r="Q1162" s="53" t="n">
        <v>0</v>
      </c>
      <c r="R1162" s="52" t="n">
        <v>0</v>
      </c>
      <c r="S1162" s="51" t="n">
        <v>0</v>
      </c>
      <c r="T1162" s="48" t="n">
        <v>79.98</v>
      </c>
      <c r="U1162" s="49" t="n">
        <v>2</v>
      </c>
      <c r="V1162" s="49" t="n">
        <v>4</v>
      </c>
      <c r="W1162" s="50" t="n">
        <v>0.5</v>
      </c>
      <c r="X1162" s="51" t="n">
        <v>0</v>
      </c>
      <c r="Y1162" s="52" t="n">
        <v>0</v>
      </c>
      <c r="Z1162" s="52" t="n">
        <v>0</v>
      </c>
      <c r="AA1162" s="52" t="n">
        <v>0</v>
      </c>
      <c r="AB1162" s="53" t="n">
        <v>0</v>
      </c>
      <c r="AC1162" s="52" t="n">
        <v>0</v>
      </c>
      <c r="AD1162" s="53" t="n">
        <v>0</v>
      </c>
      <c r="AE1162" s="52" t="n">
        <v>39.99</v>
      </c>
      <c r="AF1162" s="51" t="n">
        <v>0</v>
      </c>
      <c r="AG1162" s="48" t="n">
        <v>0</v>
      </c>
      <c r="AH1162" s="49" t="n">
        <v>0</v>
      </c>
      <c r="AI1162" s="49" t="n">
        <v>4</v>
      </c>
      <c r="AJ1162" s="50" t="n">
        <v>0</v>
      </c>
      <c r="AK1162" s="51" t="n">
        <v>0</v>
      </c>
      <c r="AL1162" s="52" t="n">
        <v>0</v>
      </c>
      <c r="AM1162" s="52" t="n">
        <v>0</v>
      </c>
      <c r="AN1162" s="52" t="n">
        <v>0</v>
      </c>
      <c r="AO1162" s="53" t="n">
        <v>0</v>
      </c>
      <c r="AP1162" s="52" t="n">
        <v>0</v>
      </c>
      <c r="AQ1162" s="53" t="n">
        <v>0</v>
      </c>
      <c r="AR1162" s="52" t="n">
        <v>0</v>
      </c>
      <c r="AS1162" s="51" t="n">
        <v>0</v>
      </c>
      <c r="AT1162" s="48" t="n">
        <v>0</v>
      </c>
      <c r="AU1162" s="49" t="n">
        <v>0</v>
      </c>
      <c r="AV1162" s="49" t="n">
        <v>0</v>
      </c>
      <c r="AW1162" s="50" t="n">
        <v>0</v>
      </c>
      <c r="AX1162" s="51" t="n">
        <v>0</v>
      </c>
      <c r="AY1162" s="52" t="n">
        <v>0</v>
      </c>
      <c r="AZ1162" s="52" t="n">
        <v>0</v>
      </c>
      <c r="BA1162" s="52" t="n">
        <v>0</v>
      </c>
      <c r="BB1162" s="53" t="n">
        <v>0</v>
      </c>
      <c r="BC1162" s="52" t="n">
        <v>0</v>
      </c>
      <c r="BD1162" s="53" t="n">
        <v>0</v>
      </c>
      <c r="BE1162" s="52" t="n">
        <v>0</v>
      </c>
      <c r="BF1162" s="51" t="n">
        <v>0</v>
      </c>
    </row>
    <row r="1163">
      <c r="A1163">
        <f>HYPERLINK("https://www.walmart.com/ip/803240576", "803240576")</f>
        <v/>
      </c>
      <c r="B1163" t="inlineStr">
        <is>
          <t>Tirrinia Fashionable Insulated Lunch Tote Bag with Leather Handle for Women, Black Dot</t>
        </is>
      </c>
      <c r="C1163" t="inlineStr">
        <is>
          <t>1TRLB703BKDOT</t>
        </is>
      </c>
      <c r="D1163" t="inlineStr">
        <is>
          <t>Reusable Lunch Bags &amp; Boxes</t>
        </is>
      </c>
      <c r="E1163" t="inlineStr">
        <is>
          <t>Tirrinia</t>
        </is>
      </c>
      <c r="G1163" s="48" t="n">
        <v>0</v>
      </c>
      <c r="H1163" s="49" t="n">
        <v>0</v>
      </c>
      <c r="I1163" s="49" t="n">
        <v>0</v>
      </c>
      <c r="J1163" s="50" t="n">
        <v>0</v>
      </c>
      <c r="K1163" s="51" t="n">
        <v>0</v>
      </c>
      <c r="L1163" s="52" t="n">
        <v>0</v>
      </c>
      <c r="M1163" s="52" t="n">
        <v>0</v>
      </c>
      <c r="N1163" s="52" t="n">
        <v>0</v>
      </c>
      <c r="O1163" s="53" t="n">
        <v>0</v>
      </c>
      <c r="P1163" s="52" t="n">
        <v>0</v>
      </c>
      <c r="Q1163" s="53" t="n">
        <v>0</v>
      </c>
      <c r="R1163" s="52" t="n">
        <v>0</v>
      </c>
      <c r="S1163" s="51" t="n">
        <v>0</v>
      </c>
      <c r="T1163" s="48" t="n">
        <v>0</v>
      </c>
      <c r="U1163" s="49" t="n">
        <v>0</v>
      </c>
      <c r="V1163" s="49" t="n">
        <v>0</v>
      </c>
      <c r="W1163" s="50" t="n">
        <v>0</v>
      </c>
      <c r="X1163" s="51" t="n">
        <v>0</v>
      </c>
      <c r="Y1163" s="52" t="n">
        <v>0</v>
      </c>
      <c r="Z1163" s="52" t="n">
        <v>0</v>
      </c>
      <c r="AA1163" s="52" t="n">
        <v>0</v>
      </c>
      <c r="AB1163" s="53" t="n">
        <v>0</v>
      </c>
      <c r="AC1163" s="52" t="n">
        <v>0</v>
      </c>
      <c r="AD1163" s="53" t="n">
        <v>0</v>
      </c>
      <c r="AE1163" s="52" t="n">
        <v>0</v>
      </c>
      <c r="AF1163" s="51" t="n">
        <v>0</v>
      </c>
      <c r="AG1163" s="48" t="n">
        <v>0</v>
      </c>
      <c r="AH1163" s="49" t="n">
        <v>0</v>
      </c>
      <c r="AI1163" s="49" t="n">
        <v>0</v>
      </c>
      <c r="AJ1163" s="50" t="n">
        <v>0</v>
      </c>
      <c r="AK1163" s="51" t="n">
        <v>0</v>
      </c>
      <c r="AL1163" s="52" t="n">
        <v>0</v>
      </c>
      <c r="AM1163" s="52" t="n">
        <v>0</v>
      </c>
      <c r="AN1163" s="52" t="n">
        <v>0</v>
      </c>
      <c r="AO1163" s="53" t="n">
        <v>0</v>
      </c>
      <c r="AP1163" s="52" t="n">
        <v>0</v>
      </c>
      <c r="AQ1163" s="53" t="n">
        <v>0</v>
      </c>
      <c r="AR1163" s="52" t="n">
        <v>0</v>
      </c>
      <c r="AS1163" s="51" t="n">
        <v>0</v>
      </c>
      <c r="AT1163" s="48" t="n">
        <v>0</v>
      </c>
      <c r="AU1163" s="49" t="n">
        <v>0</v>
      </c>
      <c r="AV1163" s="49" t="n">
        <v>0</v>
      </c>
      <c r="AW1163" s="50" t="n">
        <v>0</v>
      </c>
      <c r="AX1163" s="51" t="n">
        <v>0</v>
      </c>
      <c r="AY1163" s="52" t="n">
        <v>0</v>
      </c>
      <c r="AZ1163" s="52" t="n">
        <v>0</v>
      </c>
      <c r="BA1163" s="52" t="n">
        <v>0</v>
      </c>
      <c r="BB1163" s="53" t="n">
        <v>0</v>
      </c>
      <c r="BC1163" s="52" t="n">
        <v>0</v>
      </c>
      <c r="BD1163" s="53" t="n">
        <v>0</v>
      </c>
      <c r="BE1163" s="52" t="n">
        <v>0</v>
      </c>
      <c r="BF1163" s="51" t="n">
        <v>0</v>
      </c>
    </row>
    <row r="1164">
      <c r="A1164">
        <f>HYPERLINK("https://www.walmart.com/ip/805161387", "805161387")</f>
        <v/>
      </c>
      <c r="B1164" t="inlineStr">
        <is>
          <t>Tirrinia Insulated 2 Bottle Wine Carrier Tote Cooler Bag for Travel Picnic Padded Champagne Glass</t>
        </is>
      </c>
      <c r="C1164" t="inlineStr">
        <is>
          <t>1WMWB231RDSTR</t>
        </is>
      </c>
      <c r="D1164" t="inlineStr">
        <is>
          <t>Wine Totes, Bags &amp; Backpacks</t>
        </is>
      </c>
      <c r="E1164" t="inlineStr">
        <is>
          <t>Flyingstar</t>
        </is>
      </c>
      <c r="F1164" t="inlineStr">
        <is>
          <t>Wine,Christmas,Valentine</t>
        </is>
      </c>
      <c r="G1164" s="48" t="n">
        <v>0</v>
      </c>
      <c r="H1164" s="49" t="n">
        <v>0</v>
      </c>
      <c r="I1164" s="49" t="n">
        <v>0</v>
      </c>
      <c r="J1164" s="50" t="n">
        <v>0</v>
      </c>
      <c r="K1164" s="51" t="n">
        <v>0</v>
      </c>
      <c r="L1164" s="52" t="n">
        <v>0</v>
      </c>
      <c r="M1164" s="52" t="n">
        <v>0</v>
      </c>
      <c r="N1164" s="52" t="n">
        <v>0</v>
      </c>
      <c r="O1164" s="53" t="n">
        <v>0</v>
      </c>
      <c r="P1164" s="52" t="n">
        <v>0</v>
      </c>
      <c r="Q1164" s="53" t="n">
        <v>0</v>
      </c>
      <c r="R1164" s="52" t="n">
        <v>0</v>
      </c>
      <c r="S1164" s="51" t="n">
        <v>0</v>
      </c>
      <c r="T1164" s="48" t="n">
        <v>0</v>
      </c>
      <c r="U1164" s="49" t="n">
        <v>0</v>
      </c>
      <c r="V1164" s="49" t="n">
        <v>0</v>
      </c>
      <c r="W1164" s="50" t="n">
        <v>0</v>
      </c>
      <c r="X1164" s="51" t="n">
        <v>0</v>
      </c>
      <c r="Y1164" s="52" t="n">
        <v>0</v>
      </c>
      <c r="Z1164" s="52" t="n">
        <v>0</v>
      </c>
      <c r="AA1164" s="52" t="n">
        <v>0</v>
      </c>
      <c r="AB1164" s="53" t="n">
        <v>0</v>
      </c>
      <c r="AC1164" s="52" t="n">
        <v>0</v>
      </c>
      <c r="AD1164" s="53" t="n">
        <v>0</v>
      </c>
      <c r="AE1164" s="52" t="n">
        <v>0</v>
      </c>
      <c r="AF1164" s="51" t="n">
        <v>0</v>
      </c>
      <c r="AG1164" s="48" t="n">
        <v>0</v>
      </c>
      <c r="AH1164" s="49" t="n">
        <v>0</v>
      </c>
      <c r="AI1164" s="49" t="n">
        <v>0</v>
      </c>
      <c r="AJ1164" s="50" t="n">
        <v>0</v>
      </c>
      <c r="AK1164" s="51" t="n">
        <v>0</v>
      </c>
      <c r="AL1164" s="52" t="n">
        <v>0</v>
      </c>
      <c r="AM1164" s="52" t="n">
        <v>0</v>
      </c>
      <c r="AN1164" s="52" t="n">
        <v>0</v>
      </c>
      <c r="AO1164" s="53" t="n">
        <v>0</v>
      </c>
      <c r="AP1164" s="52" t="n">
        <v>0</v>
      </c>
      <c r="AQ1164" s="53" t="n">
        <v>0</v>
      </c>
      <c r="AR1164" s="52" t="n">
        <v>0</v>
      </c>
      <c r="AS1164" s="51" t="n">
        <v>0</v>
      </c>
      <c r="AT1164" s="48" t="n">
        <v>0</v>
      </c>
      <c r="AU1164" s="49" t="n">
        <v>0</v>
      </c>
      <c r="AV1164" s="49" t="n">
        <v>0</v>
      </c>
      <c r="AW1164" s="50" t="n">
        <v>0</v>
      </c>
      <c r="AX1164" s="51" t="n">
        <v>0</v>
      </c>
      <c r="AY1164" s="52" t="n">
        <v>0</v>
      </c>
      <c r="AZ1164" s="52" t="n">
        <v>0</v>
      </c>
      <c r="BA1164" s="52" t="n">
        <v>0</v>
      </c>
      <c r="BB1164" s="53" t="n">
        <v>0</v>
      </c>
      <c r="BC1164" s="52" t="n">
        <v>0</v>
      </c>
      <c r="BD1164" s="53" t="n">
        <v>0</v>
      </c>
      <c r="BE1164" s="52" t="n">
        <v>0</v>
      </c>
      <c r="BF1164" s="51" t="n">
        <v>0</v>
      </c>
    </row>
    <row r="1165">
      <c r="A1165">
        <f>HYPERLINK("https://www.walmart.com/ip/805607895", "805607895")</f>
        <v/>
      </c>
      <c r="B1165" t="inlineStr">
        <is>
          <t>Catalonia Knit Throw Blanket with Pom-Pom Fringes, Soft and Warm Decorative Throws, 60" x 50", Brown</t>
        </is>
      </c>
      <c r="C1165" t="inlineStr">
        <is>
          <t>1CTBN200BN</t>
        </is>
      </c>
      <c r="D1165" t="inlineStr">
        <is>
          <t>Throws</t>
        </is>
      </c>
      <c r="E1165" t="inlineStr">
        <is>
          <t>Catalonia</t>
        </is>
      </c>
      <c r="F1165" t="inlineStr">
        <is>
          <t>Q2-Target,Optimized</t>
        </is>
      </c>
      <c r="G1165" s="48" t="n">
        <v>0</v>
      </c>
      <c r="H1165" s="49" t="n">
        <v>0</v>
      </c>
      <c r="I1165" s="49" t="n">
        <v>0</v>
      </c>
      <c r="J1165" s="50" t="n">
        <v>0</v>
      </c>
      <c r="K1165" s="51" t="n">
        <v>0</v>
      </c>
      <c r="L1165" s="52" t="n">
        <v>0</v>
      </c>
      <c r="M1165" s="52" t="n">
        <v>0</v>
      </c>
      <c r="N1165" s="52" t="n">
        <v>0</v>
      </c>
      <c r="O1165" s="53" t="n">
        <v>0</v>
      </c>
      <c r="P1165" s="52" t="n">
        <v>0</v>
      </c>
      <c r="Q1165" s="53" t="n">
        <v>0</v>
      </c>
      <c r="R1165" s="52" t="n">
        <v>0</v>
      </c>
      <c r="S1165" s="51" t="n">
        <v>0</v>
      </c>
      <c r="T1165" s="48" t="n">
        <v>0</v>
      </c>
      <c r="U1165" s="49" t="n">
        <v>0</v>
      </c>
      <c r="V1165" s="49" t="n">
        <v>0</v>
      </c>
      <c r="W1165" s="50" t="n">
        <v>0</v>
      </c>
      <c r="X1165" s="51" t="n">
        <v>0</v>
      </c>
      <c r="Y1165" s="52" t="n">
        <v>0</v>
      </c>
      <c r="Z1165" s="52" t="n">
        <v>0</v>
      </c>
      <c r="AA1165" s="52" t="n">
        <v>0</v>
      </c>
      <c r="AB1165" s="53" t="n">
        <v>0</v>
      </c>
      <c r="AC1165" s="52" t="n">
        <v>0</v>
      </c>
      <c r="AD1165" s="53" t="n">
        <v>0</v>
      </c>
      <c r="AE1165" s="52" t="n">
        <v>0</v>
      </c>
      <c r="AF1165" s="51" t="n">
        <v>0</v>
      </c>
      <c r="AG1165" s="48" t="n">
        <v>0</v>
      </c>
      <c r="AH1165" s="49" t="n">
        <v>0</v>
      </c>
      <c r="AI1165" s="49" t="n">
        <v>0</v>
      </c>
      <c r="AJ1165" s="50" t="n">
        <v>0</v>
      </c>
      <c r="AK1165" s="51" t="n">
        <v>0</v>
      </c>
      <c r="AL1165" s="52" t="n">
        <v>0</v>
      </c>
      <c r="AM1165" s="52" t="n">
        <v>0</v>
      </c>
      <c r="AN1165" s="52" t="n">
        <v>0</v>
      </c>
      <c r="AO1165" s="53" t="n">
        <v>0</v>
      </c>
      <c r="AP1165" s="52" t="n">
        <v>0</v>
      </c>
      <c r="AQ1165" s="53" t="n">
        <v>0</v>
      </c>
      <c r="AR1165" s="52" t="n">
        <v>0</v>
      </c>
      <c r="AS1165" s="51" t="n">
        <v>0</v>
      </c>
      <c r="AT1165" s="48" t="n">
        <v>0</v>
      </c>
      <c r="AU1165" s="49" t="n">
        <v>0</v>
      </c>
      <c r="AV1165" s="49" t="n">
        <v>0</v>
      </c>
      <c r="AW1165" s="50" t="n">
        <v>0</v>
      </c>
      <c r="AX1165" s="51" t="n">
        <v>0</v>
      </c>
      <c r="AY1165" s="52" t="n">
        <v>0</v>
      </c>
      <c r="AZ1165" s="52" t="n">
        <v>0</v>
      </c>
      <c r="BA1165" s="52" t="n">
        <v>0</v>
      </c>
      <c r="BB1165" s="53" t="n">
        <v>0</v>
      </c>
      <c r="BC1165" s="52" t="n">
        <v>0</v>
      </c>
      <c r="BD1165" s="53" t="n">
        <v>0</v>
      </c>
      <c r="BE1165" s="52" t="n">
        <v>0</v>
      </c>
      <c r="BF1165" s="51" t="n">
        <v>0</v>
      </c>
    </row>
    <row r="1166">
      <c r="A1166">
        <f>HYPERLINK("https://www.walmart.com/ip/805646855", "805646855")</f>
        <v/>
      </c>
      <c r="B1166" t="inlineStr">
        <is>
          <t>Catalonia Beach Changing Poncho Towel with Hood, Super Absorbent Microfiber Swim Robe for Men Women Surfing Bath Shower Pool, Quick Drying, Black</t>
        </is>
      </c>
      <c r="C1166" t="inlineStr">
        <is>
          <t>1CTBR100-BK-ES</t>
        </is>
      </c>
      <c r="D1166" t="inlineStr">
        <is>
          <t>Towels &amp; Washcloths</t>
        </is>
      </c>
      <c r="E1166" t="inlineStr">
        <is>
          <t>Catalonia</t>
        </is>
      </c>
      <c r="F1166" t="inlineStr">
        <is>
          <t>Optimized,Beach Robe Camp</t>
        </is>
      </c>
      <c r="G1166" s="48" t="n">
        <v>0</v>
      </c>
      <c r="H1166" s="49" t="n">
        <v>0</v>
      </c>
      <c r="I1166" s="49" t="n">
        <v>0</v>
      </c>
      <c r="J1166" s="50" t="n">
        <v>0</v>
      </c>
      <c r="K1166" s="51" t="n">
        <v>0</v>
      </c>
      <c r="L1166" s="52" t="n">
        <v>0</v>
      </c>
      <c r="M1166" s="52" t="n">
        <v>0</v>
      </c>
      <c r="N1166" s="52" t="n">
        <v>0</v>
      </c>
      <c r="O1166" s="53" t="n">
        <v>0</v>
      </c>
      <c r="P1166" s="52" t="n">
        <v>0</v>
      </c>
      <c r="Q1166" s="53" t="n">
        <v>0</v>
      </c>
      <c r="R1166" s="52" t="n">
        <v>0</v>
      </c>
      <c r="S1166" s="51" t="n">
        <v>0</v>
      </c>
      <c r="T1166" s="48" t="n">
        <v>0</v>
      </c>
      <c r="U1166" s="49" t="n">
        <v>0</v>
      </c>
      <c r="V1166" s="49" t="n">
        <v>0</v>
      </c>
      <c r="W1166" s="50" t="n">
        <v>0</v>
      </c>
      <c r="X1166" s="51" t="n">
        <v>0</v>
      </c>
      <c r="Y1166" s="52" t="n">
        <v>0</v>
      </c>
      <c r="Z1166" s="52" t="n">
        <v>0</v>
      </c>
      <c r="AA1166" s="52" t="n">
        <v>0</v>
      </c>
      <c r="AB1166" s="53" t="n">
        <v>0</v>
      </c>
      <c r="AC1166" s="52" t="n">
        <v>0</v>
      </c>
      <c r="AD1166" s="53" t="n">
        <v>0</v>
      </c>
      <c r="AE1166" s="52" t="n">
        <v>0</v>
      </c>
      <c r="AF1166" s="51" t="n">
        <v>0</v>
      </c>
      <c r="AG1166" s="48" t="n">
        <v>0</v>
      </c>
      <c r="AH1166" s="49" t="n">
        <v>0</v>
      </c>
      <c r="AI1166" s="49" t="n">
        <v>0</v>
      </c>
      <c r="AJ1166" s="50" t="n">
        <v>0</v>
      </c>
      <c r="AK1166" s="51" t="n">
        <v>0</v>
      </c>
      <c r="AL1166" s="52" t="n">
        <v>0</v>
      </c>
      <c r="AM1166" s="52" t="n">
        <v>0</v>
      </c>
      <c r="AN1166" s="52" t="n">
        <v>0</v>
      </c>
      <c r="AO1166" s="53" t="n">
        <v>0</v>
      </c>
      <c r="AP1166" s="52" t="n">
        <v>0</v>
      </c>
      <c r="AQ1166" s="53" t="n">
        <v>0</v>
      </c>
      <c r="AR1166" s="52" t="n">
        <v>0</v>
      </c>
      <c r="AS1166" s="51" t="n">
        <v>0</v>
      </c>
      <c r="AT1166" s="48" t="n">
        <v>0</v>
      </c>
      <c r="AU1166" s="49" t="n">
        <v>0</v>
      </c>
      <c r="AV1166" s="49" t="n">
        <v>0</v>
      </c>
      <c r="AW1166" s="50" t="n">
        <v>0</v>
      </c>
      <c r="AX1166" s="51" t="n">
        <v>0</v>
      </c>
      <c r="AY1166" s="52" t="n">
        <v>0</v>
      </c>
      <c r="AZ1166" s="52" t="n">
        <v>0</v>
      </c>
      <c r="BA1166" s="52" t="n">
        <v>0</v>
      </c>
      <c r="BB1166" s="53" t="n">
        <v>0</v>
      </c>
      <c r="BC1166" s="52" t="n">
        <v>0</v>
      </c>
      <c r="BD1166" s="53" t="n">
        <v>0</v>
      </c>
      <c r="BE1166" s="52" t="n">
        <v>0</v>
      </c>
      <c r="BF1166" s="51" t="n">
        <v>0</v>
      </c>
    </row>
    <row r="1167">
      <c r="A1167">
        <f>HYPERLINK("https://www.walmart.com/ip/806688161", "806688161")</f>
        <v/>
      </c>
      <c r="B1167" t="inlineStr">
        <is>
          <t>Tirrinia Womens Super Soft Warm Microfiber Fleece Plush Bathrobe Spa Robe with Pockets Large</t>
        </is>
      </c>
      <c r="C1167" t="inlineStr">
        <is>
          <t>1TRRB510GY-01</t>
        </is>
      </c>
      <c r="D1167" t="inlineStr">
        <is>
          <t>Sleepwear Robes &amp; Bathrobes</t>
        </is>
      </c>
      <c r="E1167" t="inlineStr">
        <is>
          <t>Tirrinia</t>
        </is>
      </c>
      <c r="F1167" t="inlineStr">
        <is>
          <t>WFS,Bathrobe</t>
        </is>
      </c>
      <c r="G1167" s="48" t="n">
        <v>0</v>
      </c>
      <c r="H1167" s="49" t="n">
        <v>0</v>
      </c>
      <c r="I1167" s="49" t="n">
        <v>0</v>
      </c>
      <c r="J1167" s="50" t="n">
        <v>0</v>
      </c>
      <c r="K1167" s="51" t="n">
        <v>0</v>
      </c>
      <c r="L1167" s="52" t="n">
        <v>0</v>
      </c>
      <c r="M1167" s="52" t="n">
        <v>0</v>
      </c>
      <c r="N1167" s="52" t="n">
        <v>0</v>
      </c>
      <c r="O1167" s="53" t="n">
        <v>0</v>
      </c>
      <c r="P1167" s="52" t="n">
        <v>0</v>
      </c>
      <c r="Q1167" s="53" t="n">
        <v>0</v>
      </c>
      <c r="R1167" s="52" t="n">
        <v>0</v>
      </c>
      <c r="S1167" s="51" t="n">
        <v>0</v>
      </c>
      <c r="T1167" s="48" t="n">
        <v>0</v>
      </c>
      <c r="U1167" s="49" t="n">
        <v>0</v>
      </c>
      <c r="V1167" s="49" t="n">
        <v>0</v>
      </c>
      <c r="W1167" s="50" t="n">
        <v>0</v>
      </c>
      <c r="X1167" s="51" t="n">
        <v>0</v>
      </c>
      <c r="Y1167" s="52" t="n">
        <v>0</v>
      </c>
      <c r="Z1167" s="52" t="n">
        <v>0</v>
      </c>
      <c r="AA1167" s="52" t="n">
        <v>0</v>
      </c>
      <c r="AB1167" s="53" t="n">
        <v>0</v>
      </c>
      <c r="AC1167" s="52" t="n">
        <v>0</v>
      </c>
      <c r="AD1167" s="53" t="n">
        <v>0</v>
      </c>
      <c r="AE1167" s="52" t="n">
        <v>0</v>
      </c>
      <c r="AF1167" s="51" t="n">
        <v>0</v>
      </c>
      <c r="AG1167" s="48" t="n">
        <v>0</v>
      </c>
      <c r="AH1167" s="49" t="n">
        <v>0</v>
      </c>
      <c r="AI1167" s="49" t="n">
        <v>0</v>
      </c>
      <c r="AJ1167" s="50" t="n">
        <v>0</v>
      </c>
      <c r="AK1167" s="51" t="n">
        <v>0</v>
      </c>
      <c r="AL1167" s="52" t="n">
        <v>0</v>
      </c>
      <c r="AM1167" s="52" t="n">
        <v>0</v>
      </c>
      <c r="AN1167" s="52" t="n">
        <v>0</v>
      </c>
      <c r="AO1167" s="53" t="n">
        <v>0</v>
      </c>
      <c r="AP1167" s="52" t="n">
        <v>0</v>
      </c>
      <c r="AQ1167" s="53" t="n">
        <v>0</v>
      </c>
      <c r="AR1167" s="52" t="n">
        <v>0</v>
      </c>
      <c r="AS1167" s="51" t="n">
        <v>0</v>
      </c>
      <c r="AT1167" s="48" t="n">
        <v>0</v>
      </c>
      <c r="AU1167" s="49" t="n">
        <v>0</v>
      </c>
      <c r="AV1167" s="49" t="n">
        <v>0</v>
      </c>
      <c r="AW1167" s="50" t="n">
        <v>0</v>
      </c>
      <c r="AX1167" s="51" t="n">
        <v>0</v>
      </c>
      <c r="AY1167" s="52" t="n">
        <v>0</v>
      </c>
      <c r="AZ1167" s="52" t="n">
        <v>0</v>
      </c>
      <c r="BA1167" s="52" t="n">
        <v>0</v>
      </c>
      <c r="BB1167" s="53" t="n">
        <v>0</v>
      </c>
      <c r="BC1167" s="52" t="n">
        <v>0</v>
      </c>
      <c r="BD1167" s="53" t="n">
        <v>0</v>
      </c>
      <c r="BE1167" s="52" t="n">
        <v>0</v>
      </c>
      <c r="BF1167" s="51" t="n">
        <v>0</v>
      </c>
    </row>
    <row r="1168">
      <c r="A1168">
        <f>HYPERLINK("https://www.walmart.com/ip/808607371", "808607371")</f>
        <v/>
      </c>
      <c r="B1168" t="inlineStr">
        <is>
          <t>Catalonia Fleece Wearable Blanket Poncho for Adult Women Men, Wrap Blanket Cape with Pocket | Warm, Soft, Cozy, Snuggly, Comfort Gift, No Sleeves | All-Season, Wine</t>
        </is>
      </c>
      <c r="C1168" t="inlineStr">
        <is>
          <t>1CTBP100WN</t>
        </is>
      </c>
      <c r="D1168" t="inlineStr">
        <is>
          <t>Throws</t>
        </is>
      </c>
      <c r="E1168" t="inlineStr">
        <is>
          <t>Catalonia</t>
        </is>
      </c>
      <c r="F1168" t="inlineStr">
        <is>
          <t>Hero 5 Holidays,Batch 1 - TR</t>
        </is>
      </c>
      <c r="G1168" s="48" t="n">
        <v>0</v>
      </c>
      <c r="H1168" s="49" t="n">
        <v>0</v>
      </c>
      <c r="I1168" s="49" t="n">
        <v>0</v>
      </c>
      <c r="J1168" s="50" t="n">
        <v>0</v>
      </c>
      <c r="K1168" s="51" t="n">
        <v>0</v>
      </c>
      <c r="L1168" s="52" t="n">
        <v>0</v>
      </c>
      <c r="M1168" s="52" t="n">
        <v>0</v>
      </c>
      <c r="N1168" s="52" t="n">
        <v>0</v>
      </c>
      <c r="O1168" s="53" t="n">
        <v>0</v>
      </c>
      <c r="P1168" s="52" t="n">
        <v>0</v>
      </c>
      <c r="Q1168" s="53" t="n">
        <v>0</v>
      </c>
      <c r="R1168" s="52" t="n">
        <v>0</v>
      </c>
      <c r="S1168" s="51" t="n">
        <v>0</v>
      </c>
      <c r="T1168" s="48" t="n">
        <v>0</v>
      </c>
      <c r="U1168" s="49" t="n">
        <v>0</v>
      </c>
      <c r="V1168" s="49" t="n">
        <v>0</v>
      </c>
      <c r="W1168" s="50" t="n">
        <v>0</v>
      </c>
      <c r="X1168" s="51" t="n">
        <v>0</v>
      </c>
      <c r="Y1168" s="52" t="n">
        <v>0</v>
      </c>
      <c r="Z1168" s="52" t="n">
        <v>0</v>
      </c>
      <c r="AA1168" s="52" t="n">
        <v>0</v>
      </c>
      <c r="AB1168" s="53" t="n">
        <v>0</v>
      </c>
      <c r="AC1168" s="52" t="n">
        <v>0</v>
      </c>
      <c r="AD1168" s="53" t="n">
        <v>0</v>
      </c>
      <c r="AE1168" s="52" t="n">
        <v>0</v>
      </c>
      <c r="AF1168" s="51" t="n">
        <v>0</v>
      </c>
      <c r="AG1168" s="48" t="n">
        <v>0</v>
      </c>
      <c r="AH1168" s="49" t="n">
        <v>0</v>
      </c>
      <c r="AI1168" s="49" t="n">
        <v>0</v>
      </c>
      <c r="AJ1168" s="50" t="n">
        <v>0</v>
      </c>
      <c r="AK1168" s="51" t="n">
        <v>0</v>
      </c>
      <c r="AL1168" s="52" t="n">
        <v>0</v>
      </c>
      <c r="AM1168" s="52" t="n">
        <v>0</v>
      </c>
      <c r="AN1168" s="52" t="n">
        <v>0</v>
      </c>
      <c r="AO1168" s="53" t="n">
        <v>0</v>
      </c>
      <c r="AP1168" s="52" t="n">
        <v>0</v>
      </c>
      <c r="AQ1168" s="53" t="n">
        <v>0</v>
      </c>
      <c r="AR1168" s="52" t="n">
        <v>0</v>
      </c>
      <c r="AS1168" s="51" t="n">
        <v>0</v>
      </c>
      <c r="AT1168" s="48" t="n">
        <v>0</v>
      </c>
      <c r="AU1168" s="49" t="n">
        <v>0</v>
      </c>
      <c r="AV1168" s="49" t="n">
        <v>0</v>
      </c>
      <c r="AW1168" s="50" t="n">
        <v>0</v>
      </c>
      <c r="AX1168" s="51" t="n">
        <v>0</v>
      </c>
      <c r="AY1168" s="52" t="n">
        <v>0</v>
      </c>
      <c r="AZ1168" s="52" t="n">
        <v>0</v>
      </c>
      <c r="BA1168" s="52" t="n">
        <v>0</v>
      </c>
      <c r="BB1168" s="53" t="n">
        <v>0</v>
      </c>
      <c r="BC1168" s="52" t="n">
        <v>0</v>
      </c>
      <c r="BD1168" s="53" t="n">
        <v>0</v>
      </c>
      <c r="BE1168" s="52" t="n">
        <v>0</v>
      </c>
      <c r="BF1168" s="51" t="n">
        <v>0</v>
      </c>
    </row>
    <row r="1169">
      <c r="A1169">
        <f>HYPERLINK("https://www.walmart.com/ip/811317492", "811317492")</f>
        <v/>
      </c>
      <c r="B1169" t="inlineStr">
        <is>
          <t>Silky Soft Sherpa Throw Blanket, Flannel Chevron Micro Plush Fleece Throws for Couch Sofa TV Bed, Reversible, Comfy, Fuzzy, 50"x60"  Charcoal</t>
        </is>
      </c>
      <c r="C1169" t="inlineStr">
        <is>
          <t>1CTBF560CH</t>
        </is>
      </c>
      <c r="D1169" t="inlineStr">
        <is>
          <t>Throws</t>
        </is>
      </c>
      <c r="E1169" t="inlineStr">
        <is>
          <t>Catalonia</t>
        </is>
      </c>
      <c r="F1169" t="inlineStr">
        <is>
          <t>Q2-Target,WFS,Coupon_Discount,WFS Item</t>
        </is>
      </c>
      <c r="G1169" s="48" t="n">
        <v>0</v>
      </c>
      <c r="H1169" s="49" t="n">
        <v>0</v>
      </c>
      <c r="I1169" s="49" t="n">
        <v>0</v>
      </c>
      <c r="J1169" s="50" t="n">
        <v>0</v>
      </c>
      <c r="K1169" s="51" t="n">
        <v>0</v>
      </c>
      <c r="L1169" s="52" t="n">
        <v>0</v>
      </c>
      <c r="M1169" s="52" t="n">
        <v>0</v>
      </c>
      <c r="N1169" s="52" t="n">
        <v>0</v>
      </c>
      <c r="O1169" s="53" t="n">
        <v>0</v>
      </c>
      <c r="P1169" s="52" t="n">
        <v>0</v>
      </c>
      <c r="Q1169" s="53" t="n">
        <v>0</v>
      </c>
      <c r="R1169" s="52" t="n">
        <v>0</v>
      </c>
      <c r="S1169" s="51" t="n">
        <v>0</v>
      </c>
      <c r="T1169" s="48" t="n">
        <v>0</v>
      </c>
      <c r="U1169" s="49" t="n">
        <v>0</v>
      </c>
      <c r="V1169" s="49" t="n">
        <v>0</v>
      </c>
      <c r="W1169" s="50" t="n">
        <v>0</v>
      </c>
      <c r="X1169" s="51" t="n">
        <v>0</v>
      </c>
      <c r="Y1169" s="52" t="n">
        <v>0</v>
      </c>
      <c r="Z1169" s="52" t="n">
        <v>0</v>
      </c>
      <c r="AA1169" s="52" t="n">
        <v>0</v>
      </c>
      <c r="AB1169" s="53" t="n">
        <v>0</v>
      </c>
      <c r="AC1169" s="52" t="n">
        <v>0</v>
      </c>
      <c r="AD1169" s="53" t="n">
        <v>0</v>
      </c>
      <c r="AE1169" s="52" t="n">
        <v>0</v>
      </c>
      <c r="AF1169" s="51" t="n">
        <v>0</v>
      </c>
      <c r="AG1169" s="48" t="n">
        <v>0</v>
      </c>
      <c r="AH1169" s="49" t="n">
        <v>0</v>
      </c>
      <c r="AI1169" s="49" t="n">
        <v>0</v>
      </c>
      <c r="AJ1169" s="50" t="n">
        <v>0</v>
      </c>
      <c r="AK1169" s="51" t="n">
        <v>0</v>
      </c>
      <c r="AL1169" s="52" t="n">
        <v>0</v>
      </c>
      <c r="AM1169" s="52" t="n">
        <v>0</v>
      </c>
      <c r="AN1169" s="52" t="n">
        <v>0</v>
      </c>
      <c r="AO1169" s="53" t="n">
        <v>0</v>
      </c>
      <c r="AP1169" s="52" t="n">
        <v>0</v>
      </c>
      <c r="AQ1169" s="53" t="n">
        <v>0</v>
      </c>
      <c r="AR1169" s="52" t="n">
        <v>0</v>
      </c>
      <c r="AS1169" s="51" t="n">
        <v>0</v>
      </c>
      <c r="AT1169" s="48" t="n">
        <v>0</v>
      </c>
      <c r="AU1169" s="49" t="n">
        <v>0</v>
      </c>
      <c r="AV1169" s="49" t="n">
        <v>0</v>
      </c>
      <c r="AW1169" s="50" t="n">
        <v>0</v>
      </c>
      <c r="AX1169" s="51" t="n">
        <v>0</v>
      </c>
      <c r="AY1169" s="52" t="n">
        <v>0</v>
      </c>
      <c r="AZ1169" s="52" t="n">
        <v>0</v>
      </c>
      <c r="BA1169" s="52" t="n">
        <v>0</v>
      </c>
      <c r="BB1169" s="53" t="n">
        <v>0</v>
      </c>
      <c r="BC1169" s="52" t="n">
        <v>0</v>
      </c>
      <c r="BD1169" s="53" t="n">
        <v>0</v>
      </c>
      <c r="BE1169" s="52" t="n">
        <v>0</v>
      </c>
      <c r="BF1169" s="51" t="n">
        <v>0</v>
      </c>
    </row>
    <row r="1170">
      <c r="A1170">
        <f>HYPERLINK("https://www.walmart.com/ip/811898847", "811898847")</f>
        <v/>
      </c>
      <c r="B1170" t="inlineStr">
        <is>
          <t>Sun Blocker Outdoor Sun Protection Fishing Cap with Neck Flap Wide Brim Hat for Men Women Baseball, Backpacking, Cycling, Hiking, Garden, Hunting, Camping, Tan</t>
        </is>
      </c>
      <c r="C1170" t="inlineStr">
        <is>
          <t>KC-S9155-TN</t>
        </is>
      </c>
      <c r="D1170" t="inlineStr">
        <is>
          <t>Hats</t>
        </is>
      </c>
      <c r="E1170" t="inlineStr">
        <is>
          <t>Sun Blocker</t>
        </is>
      </c>
      <c r="F1170" t="inlineStr">
        <is>
          <t>Hats,Batch 1 - TR</t>
        </is>
      </c>
      <c r="G1170" s="48" t="n">
        <v>0</v>
      </c>
      <c r="H1170" s="49" t="n">
        <v>0</v>
      </c>
      <c r="I1170" s="49" t="n">
        <v>1</v>
      </c>
      <c r="J1170" s="50" t="n">
        <v>0</v>
      </c>
      <c r="K1170" s="51" t="n">
        <v>0</v>
      </c>
      <c r="L1170" s="52" t="n">
        <v>0</v>
      </c>
      <c r="M1170" s="52" t="n">
        <v>0</v>
      </c>
      <c r="N1170" s="52" t="n">
        <v>0</v>
      </c>
      <c r="O1170" s="53" t="n">
        <v>0</v>
      </c>
      <c r="P1170" s="52" t="n">
        <v>0</v>
      </c>
      <c r="Q1170" s="53" t="n">
        <v>0</v>
      </c>
      <c r="R1170" s="52" t="n">
        <v>0</v>
      </c>
      <c r="S1170" s="51" t="n">
        <v>0</v>
      </c>
      <c r="T1170" s="48" t="n">
        <v>0</v>
      </c>
      <c r="U1170" s="49" t="n">
        <v>0</v>
      </c>
      <c r="V1170" s="49" t="n">
        <v>1</v>
      </c>
      <c r="W1170" s="50" t="n">
        <v>0</v>
      </c>
      <c r="X1170" s="51" t="n">
        <v>0</v>
      </c>
      <c r="Y1170" s="52" t="n">
        <v>0</v>
      </c>
      <c r="Z1170" s="52" t="n">
        <v>0</v>
      </c>
      <c r="AA1170" s="52" t="n">
        <v>0</v>
      </c>
      <c r="AB1170" s="53" t="n">
        <v>0</v>
      </c>
      <c r="AC1170" s="52" t="n">
        <v>0</v>
      </c>
      <c r="AD1170" s="53" t="n">
        <v>0</v>
      </c>
      <c r="AE1170" s="52" t="n">
        <v>0</v>
      </c>
      <c r="AF1170" s="51" t="n">
        <v>0</v>
      </c>
      <c r="AG1170" s="48" t="n">
        <v>17.99</v>
      </c>
      <c r="AH1170" s="49" t="n">
        <v>1</v>
      </c>
      <c r="AI1170" s="49" t="n">
        <v>2</v>
      </c>
      <c r="AJ1170" s="50" t="n">
        <v>0.5</v>
      </c>
      <c r="AK1170" s="51" t="n">
        <v>0</v>
      </c>
      <c r="AL1170" s="52" t="n">
        <v>0</v>
      </c>
      <c r="AM1170" s="52" t="n">
        <v>0</v>
      </c>
      <c r="AN1170" s="52" t="n">
        <v>0</v>
      </c>
      <c r="AO1170" s="53" t="n">
        <v>0</v>
      </c>
      <c r="AP1170" s="52" t="n">
        <v>0</v>
      </c>
      <c r="AQ1170" s="53" t="n">
        <v>0</v>
      </c>
      <c r="AR1170" s="52" t="n">
        <v>17.99</v>
      </c>
      <c r="AS1170" s="51" t="n">
        <v>0</v>
      </c>
      <c r="AT1170" s="48" t="n">
        <v>0</v>
      </c>
      <c r="AU1170" s="49" t="n">
        <v>0</v>
      </c>
      <c r="AV1170" s="49" t="n">
        <v>0</v>
      </c>
      <c r="AW1170" s="50" t="n">
        <v>0</v>
      </c>
      <c r="AX1170" s="51" t="n">
        <v>0</v>
      </c>
      <c r="AY1170" s="52" t="n">
        <v>0</v>
      </c>
      <c r="AZ1170" s="52" t="n">
        <v>0</v>
      </c>
      <c r="BA1170" s="52" t="n">
        <v>0</v>
      </c>
      <c r="BB1170" s="53" t="n">
        <v>0</v>
      </c>
      <c r="BC1170" s="52" t="n">
        <v>0</v>
      </c>
      <c r="BD1170" s="53" t="n">
        <v>0</v>
      </c>
      <c r="BE1170" s="52" t="n">
        <v>0</v>
      </c>
      <c r="BF1170" s="51" t="n">
        <v>0</v>
      </c>
    </row>
    <row r="1171">
      <c r="A1171">
        <f>HYPERLINK("https://www.walmart.com/ip/8122819724", "8122819724")</f>
        <v/>
      </c>
      <c r="B1171" t="inlineStr">
        <is>
          <t>Catalonia Hooded Blanket Poncho | Wearable Blanket Wrap with Hand Pockets | Comfy Sherpa Fleece Throw Cape for Children and Adults, Christmas Thanksgiving Mother Gift, Blue Cat</t>
        </is>
      </c>
      <c r="C1171" t="inlineStr">
        <is>
          <t>1CTBC100BLCAT</t>
        </is>
      </c>
      <c r="D1171" t="inlineStr">
        <is>
          <t>Throws</t>
        </is>
      </c>
      <c r="E1171" t="inlineStr">
        <is>
          <t>Catalonia</t>
        </is>
      </c>
      <c r="G1171" s="48" t="n">
        <v>0</v>
      </c>
      <c r="H1171" s="49" t="n">
        <v>0</v>
      </c>
      <c r="I1171" s="49" t="n">
        <v>0</v>
      </c>
      <c r="J1171" s="50" t="n">
        <v>0</v>
      </c>
      <c r="K1171" s="51" t="n">
        <v>0</v>
      </c>
      <c r="L1171" s="52" t="n">
        <v>0</v>
      </c>
      <c r="M1171" s="52" t="n">
        <v>0</v>
      </c>
      <c r="N1171" s="52" t="n">
        <v>0</v>
      </c>
      <c r="O1171" s="53" t="n">
        <v>0</v>
      </c>
      <c r="P1171" s="52" t="n">
        <v>0</v>
      </c>
      <c r="Q1171" s="53" t="n">
        <v>0</v>
      </c>
      <c r="R1171" s="52" t="n">
        <v>0</v>
      </c>
      <c r="S1171" s="51" t="n">
        <v>0</v>
      </c>
      <c r="T1171" s="48" t="n">
        <v>0</v>
      </c>
      <c r="U1171" s="49" t="n">
        <v>0</v>
      </c>
      <c r="V1171" s="49" t="n">
        <v>0</v>
      </c>
      <c r="W1171" s="50" t="n">
        <v>0</v>
      </c>
      <c r="X1171" s="51" t="n">
        <v>0</v>
      </c>
      <c r="Y1171" s="52" t="n">
        <v>0</v>
      </c>
      <c r="Z1171" s="52" t="n">
        <v>0</v>
      </c>
      <c r="AA1171" s="52" t="n">
        <v>0</v>
      </c>
      <c r="AB1171" s="53" t="n">
        <v>0</v>
      </c>
      <c r="AC1171" s="52" t="n">
        <v>0</v>
      </c>
      <c r="AD1171" s="53" t="n">
        <v>0</v>
      </c>
      <c r="AE1171" s="52" t="n">
        <v>0</v>
      </c>
      <c r="AF1171" s="51" t="n">
        <v>0</v>
      </c>
      <c r="AG1171" s="48" t="n">
        <v>0</v>
      </c>
      <c r="AH1171" s="49" t="n">
        <v>0</v>
      </c>
      <c r="AI1171" s="49" t="n">
        <v>0</v>
      </c>
      <c r="AJ1171" s="50" t="n">
        <v>0</v>
      </c>
      <c r="AK1171" s="51" t="n">
        <v>0</v>
      </c>
      <c r="AL1171" s="52" t="n">
        <v>0</v>
      </c>
      <c r="AM1171" s="52" t="n">
        <v>0</v>
      </c>
      <c r="AN1171" s="52" t="n">
        <v>0</v>
      </c>
      <c r="AO1171" s="53" t="n">
        <v>0</v>
      </c>
      <c r="AP1171" s="52" t="n">
        <v>0</v>
      </c>
      <c r="AQ1171" s="53" t="n">
        <v>0</v>
      </c>
      <c r="AR1171" s="52" t="n">
        <v>0</v>
      </c>
      <c r="AS1171" s="51" t="n">
        <v>0</v>
      </c>
      <c r="AT1171" s="48" t="n">
        <v>0</v>
      </c>
      <c r="AU1171" s="49" t="n">
        <v>0</v>
      </c>
      <c r="AV1171" s="49" t="n">
        <v>0</v>
      </c>
      <c r="AW1171" s="50" t="n">
        <v>0</v>
      </c>
      <c r="AX1171" s="51" t="n">
        <v>0</v>
      </c>
      <c r="AY1171" s="52" t="n">
        <v>0</v>
      </c>
      <c r="AZ1171" s="52" t="n">
        <v>0</v>
      </c>
      <c r="BA1171" s="52" t="n">
        <v>0</v>
      </c>
      <c r="BB1171" s="53" t="n">
        <v>0</v>
      </c>
      <c r="BC1171" s="52" t="n">
        <v>0</v>
      </c>
      <c r="BD1171" s="53" t="n">
        <v>0</v>
      </c>
      <c r="BE1171" s="52" t="n">
        <v>0</v>
      </c>
      <c r="BF1171" s="51" t="n">
        <v>0</v>
      </c>
    </row>
    <row r="1172">
      <c r="A1172">
        <f>HYPERLINK("https://www.walmart.com/ip/800386741", "800386741")</f>
        <v/>
      </c>
      <c r="B1172" t="inlineStr">
        <is>
          <t>Tirrinia Insulated Lunch Bag for Women, Men, and Kids, Leakproof Thermal Reusable Insulated Cooler Bag for Meal Prep, Office Work, and Back to School, Large, Light Grey, 10" X 8.5" X 9.3", 10L</t>
        </is>
      </c>
      <c r="C1172" t="inlineStr">
        <is>
          <t>1TRLB701LGY-T</t>
        </is>
      </c>
      <c r="D1172" t="inlineStr">
        <is>
          <t>Reusable Lunch Bags &amp; Boxes</t>
        </is>
      </c>
      <c r="E1172" t="inlineStr">
        <is>
          <t>Tirrinia</t>
        </is>
      </c>
      <c r="F1172" t="inlineStr">
        <is>
          <t>Q2-Target,Brand Camp VD,Lunch Bag,WFS,Lunch Bags,SEM,WFS Item</t>
        </is>
      </c>
      <c r="G1172" s="48" t="n">
        <v>0</v>
      </c>
      <c r="H1172" s="49" t="n">
        <v>0</v>
      </c>
      <c r="I1172" s="49" t="n">
        <v>0</v>
      </c>
      <c r="J1172" s="50" t="n">
        <v>0</v>
      </c>
      <c r="K1172" s="51" t="n">
        <v>0</v>
      </c>
      <c r="L1172" s="52" t="n">
        <v>0</v>
      </c>
      <c r="M1172" s="52" t="n">
        <v>0</v>
      </c>
      <c r="N1172" s="52" t="n">
        <v>0</v>
      </c>
      <c r="O1172" s="53" t="n">
        <v>0</v>
      </c>
      <c r="P1172" s="52" t="n">
        <v>0</v>
      </c>
      <c r="Q1172" s="53" t="n">
        <v>0</v>
      </c>
      <c r="R1172" s="52" t="n">
        <v>0</v>
      </c>
      <c r="S1172" s="51" t="n">
        <v>0</v>
      </c>
      <c r="T1172" s="48" t="n">
        <v>0</v>
      </c>
      <c r="U1172" s="49" t="n">
        <v>0</v>
      </c>
      <c r="V1172" s="49" t="n">
        <v>0</v>
      </c>
      <c r="W1172" s="50" t="n">
        <v>0</v>
      </c>
      <c r="X1172" s="51" t="n">
        <v>0</v>
      </c>
      <c r="Y1172" s="52" t="n">
        <v>0</v>
      </c>
      <c r="Z1172" s="52" t="n">
        <v>0</v>
      </c>
      <c r="AA1172" s="52" t="n">
        <v>0</v>
      </c>
      <c r="AB1172" s="53" t="n">
        <v>0</v>
      </c>
      <c r="AC1172" s="52" t="n">
        <v>0</v>
      </c>
      <c r="AD1172" s="53" t="n">
        <v>0</v>
      </c>
      <c r="AE1172" s="52" t="n">
        <v>0</v>
      </c>
      <c r="AF1172" s="51" t="n">
        <v>0</v>
      </c>
      <c r="AG1172" s="48" t="n">
        <v>0</v>
      </c>
      <c r="AH1172" s="49" t="n">
        <v>0</v>
      </c>
      <c r="AI1172" s="49" t="n">
        <v>0</v>
      </c>
      <c r="AJ1172" s="50" t="n">
        <v>0</v>
      </c>
      <c r="AK1172" s="51" t="n">
        <v>0</v>
      </c>
      <c r="AL1172" s="52" t="n">
        <v>0</v>
      </c>
      <c r="AM1172" s="52" t="n">
        <v>0</v>
      </c>
      <c r="AN1172" s="52" t="n">
        <v>0</v>
      </c>
      <c r="AO1172" s="53" t="n">
        <v>0</v>
      </c>
      <c r="AP1172" s="52" t="n">
        <v>0</v>
      </c>
      <c r="AQ1172" s="53" t="n">
        <v>0</v>
      </c>
      <c r="AR1172" s="52" t="n">
        <v>0</v>
      </c>
      <c r="AS1172" s="51" t="n">
        <v>0</v>
      </c>
      <c r="AT1172" s="48" t="n">
        <v>0</v>
      </c>
      <c r="AU1172" s="49" t="n">
        <v>0</v>
      </c>
      <c r="AV1172" s="49" t="n">
        <v>0</v>
      </c>
      <c r="AW1172" s="50" t="n">
        <v>0</v>
      </c>
      <c r="AX1172" s="51" t="n">
        <v>0</v>
      </c>
      <c r="AY1172" s="52" t="n">
        <v>0</v>
      </c>
      <c r="AZ1172" s="52" t="n">
        <v>0</v>
      </c>
      <c r="BA1172" s="52" t="n">
        <v>0</v>
      </c>
      <c r="BB1172" s="53" t="n">
        <v>0</v>
      </c>
      <c r="BC1172" s="52" t="n">
        <v>0</v>
      </c>
      <c r="BD1172" s="53" t="n">
        <v>0</v>
      </c>
      <c r="BE1172" s="52" t="n">
        <v>0</v>
      </c>
      <c r="BF1172" s="51" t="n">
        <v>0</v>
      </c>
    </row>
    <row r="1173">
      <c r="A1173">
        <f>HYPERLINK("https://www.walmart.com/ip/798908080", "798908080")</f>
        <v/>
      </c>
      <c r="B1173" t="inlineStr">
        <is>
          <t>Jennis Women's Awaken Desires Kimono Lace Lingerie Sleepwear Matching Cheeky Panty ( XXXL=US 12-14 )</t>
        </is>
      </c>
      <c r="C1173" t="inlineStr">
        <is>
          <t>JWRS01BL-3XL</t>
        </is>
      </c>
      <c r="D1173" t="inlineStr">
        <is>
          <t>Lingerie Sets</t>
        </is>
      </c>
      <c r="E1173" t="inlineStr">
        <is>
          <t>JenniWears</t>
        </is>
      </c>
      <c r="F1173" t="inlineStr">
        <is>
          <t>Optimized,Valentine</t>
        </is>
      </c>
      <c r="G1173" s="48" t="n">
        <v>0</v>
      </c>
      <c r="H1173" s="49" t="n">
        <v>0</v>
      </c>
      <c r="I1173" s="49" t="n">
        <v>0</v>
      </c>
      <c r="J1173" s="50" t="n">
        <v>0</v>
      </c>
      <c r="K1173" s="51" t="n">
        <v>0</v>
      </c>
      <c r="L1173" s="52" t="n">
        <v>0</v>
      </c>
      <c r="M1173" s="52" t="n">
        <v>0</v>
      </c>
      <c r="N1173" s="52" t="n">
        <v>0</v>
      </c>
      <c r="O1173" s="53" t="n">
        <v>0</v>
      </c>
      <c r="P1173" s="52" t="n">
        <v>0</v>
      </c>
      <c r="Q1173" s="53" t="n">
        <v>0</v>
      </c>
      <c r="R1173" s="52" t="n">
        <v>0</v>
      </c>
      <c r="S1173" s="51" t="n">
        <v>0</v>
      </c>
      <c r="T1173" s="48" t="n">
        <v>0</v>
      </c>
      <c r="U1173" s="49" t="n">
        <v>0</v>
      </c>
      <c r="V1173" s="49" t="n">
        <v>0</v>
      </c>
      <c r="W1173" s="50" t="n">
        <v>0</v>
      </c>
      <c r="X1173" s="51" t="n">
        <v>0</v>
      </c>
      <c r="Y1173" s="52" t="n">
        <v>0</v>
      </c>
      <c r="Z1173" s="52" t="n">
        <v>0</v>
      </c>
      <c r="AA1173" s="52" t="n">
        <v>0</v>
      </c>
      <c r="AB1173" s="53" t="n">
        <v>0</v>
      </c>
      <c r="AC1173" s="52" t="n">
        <v>0</v>
      </c>
      <c r="AD1173" s="53" t="n">
        <v>0</v>
      </c>
      <c r="AE1173" s="52" t="n">
        <v>0</v>
      </c>
      <c r="AF1173" s="51" t="n">
        <v>0</v>
      </c>
      <c r="AG1173" s="48" t="n">
        <v>0</v>
      </c>
      <c r="AH1173" s="49" t="n">
        <v>0</v>
      </c>
      <c r="AI1173" s="49" t="n">
        <v>0</v>
      </c>
      <c r="AJ1173" s="50" t="n">
        <v>0</v>
      </c>
      <c r="AK1173" s="51" t="n">
        <v>0</v>
      </c>
      <c r="AL1173" s="52" t="n">
        <v>0</v>
      </c>
      <c r="AM1173" s="52" t="n">
        <v>0</v>
      </c>
      <c r="AN1173" s="52" t="n">
        <v>0</v>
      </c>
      <c r="AO1173" s="53" t="n">
        <v>0</v>
      </c>
      <c r="AP1173" s="52" t="n">
        <v>0</v>
      </c>
      <c r="AQ1173" s="53" t="n">
        <v>0</v>
      </c>
      <c r="AR1173" s="52" t="n">
        <v>0</v>
      </c>
      <c r="AS1173" s="51" t="n">
        <v>0</v>
      </c>
      <c r="AT1173" s="48" t="n">
        <v>0</v>
      </c>
      <c r="AU1173" s="49" t="n">
        <v>0</v>
      </c>
      <c r="AV1173" s="49" t="n">
        <v>0</v>
      </c>
      <c r="AW1173" s="50" t="n">
        <v>0</v>
      </c>
      <c r="AX1173" s="51" t="n">
        <v>0</v>
      </c>
      <c r="AY1173" s="52" t="n">
        <v>0</v>
      </c>
      <c r="AZ1173" s="52" t="n">
        <v>0</v>
      </c>
      <c r="BA1173" s="52" t="n">
        <v>0</v>
      </c>
      <c r="BB1173" s="53" t="n">
        <v>0</v>
      </c>
      <c r="BC1173" s="52" t="n">
        <v>0</v>
      </c>
      <c r="BD1173" s="53" t="n">
        <v>0</v>
      </c>
      <c r="BE1173" s="52" t="n">
        <v>0</v>
      </c>
      <c r="BF1173" s="51" t="n">
        <v>0</v>
      </c>
    </row>
    <row r="1174">
      <c r="A1174">
        <f>HYPERLINK("https://www.walmart.com/ip/812918085", "812918085")</f>
        <v/>
      </c>
      <c r="B1174" t="inlineStr">
        <is>
          <t>Flyingstar Sherpa Throws Blanket, Fleece Soft Cozy Blanket Throws for Sofa Bed 50"x60"</t>
        </is>
      </c>
      <c r="C1174" t="inlineStr">
        <is>
          <t>1WMBF573BKDENTE</t>
        </is>
      </c>
      <c r="D1174" t="inlineStr">
        <is>
          <t>Throws</t>
        </is>
      </c>
      <c r="E1174" t="inlineStr">
        <is>
          <t>Flyingstar</t>
        </is>
      </c>
      <c r="F1174" t="inlineStr">
        <is>
          <t>Optimized</t>
        </is>
      </c>
      <c r="G1174" s="48" t="n">
        <v>0</v>
      </c>
      <c r="H1174" s="49" t="n">
        <v>0</v>
      </c>
      <c r="I1174" s="49" t="n">
        <v>0</v>
      </c>
      <c r="J1174" s="50" t="n">
        <v>0</v>
      </c>
      <c r="K1174" s="51" t="n">
        <v>0</v>
      </c>
      <c r="L1174" s="52" t="n">
        <v>0</v>
      </c>
      <c r="M1174" s="52" t="n">
        <v>0</v>
      </c>
      <c r="N1174" s="52" t="n">
        <v>0</v>
      </c>
      <c r="O1174" s="53" t="n">
        <v>0</v>
      </c>
      <c r="P1174" s="52" t="n">
        <v>0</v>
      </c>
      <c r="Q1174" s="53" t="n">
        <v>0</v>
      </c>
      <c r="R1174" s="52" t="n">
        <v>0</v>
      </c>
      <c r="S1174" s="51" t="n">
        <v>0</v>
      </c>
      <c r="T1174" s="48" t="n">
        <v>0</v>
      </c>
      <c r="U1174" s="49" t="n">
        <v>0</v>
      </c>
      <c r="V1174" s="49" t="n">
        <v>0</v>
      </c>
      <c r="W1174" s="50" t="n">
        <v>0</v>
      </c>
      <c r="X1174" s="51" t="n">
        <v>0</v>
      </c>
      <c r="Y1174" s="52" t="n">
        <v>0</v>
      </c>
      <c r="Z1174" s="52" t="n">
        <v>0</v>
      </c>
      <c r="AA1174" s="52" t="n">
        <v>0</v>
      </c>
      <c r="AB1174" s="53" t="n">
        <v>0</v>
      </c>
      <c r="AC1174" s="52" t="n">
        <v>0</v>
      </c>
      <c r="AD1174" s="53" t="n">
        <v>0</v>
      </c>
      <c r="AE1174" s="52" t="n">
        <v>0</v>
      </c>
      <c r="AF1174" s="51" t="n">
        <v>0</v>
      </c>
      <c r="AG1174" s="48" t="n">
        <v>0</v>
      </c>
      <c r="AH1174" s="49" t="n">
        <v>0</v>
      </c>
      <c r="AI1174" s="49" t="n">
        <v>0</v>
      </c>
      <c r="AJ1174" s="50" t="n">
        <v>0</v>
      </c>
      <c r="AK1174" s="51" t="n">
        <v>0</v>
      </c>
      <c r="AL1174" s="52" t="n">
        <v>0</v>
      </c>
      <c r="AM1174" s="52" t="n">
        <v>0</v>
      </c>
      <c r="AN1174" s="52" t="n">
        <v>0</v>
      </c>
      <c r="AO1174" s="53" t="n">
        <v>0</v>
      </c>
      <c r="AP1174" s="52" t="n">
        <v>0</v>
      </c>
      <c r="AQ1174" s="53" t="n">
        <v>0</v>
      </c>
      <c r="AR1174" s="52" t="n">
        <v>0</v>
      </c>
      <c r="AS1174" s="51" t="n">
        <v>0</v>
      </c>
      <c r="AT1174" s="48" t="n">
        <v>0</v>
      </c>
      <c r="AU1174" s="49" t="n">
        <v>0</v>
      </c>
      <c r="AV1174" s="49" t="n">
        <v>0</v>
      </c>
      <c r="AW1174" s="50" t="n">
        <v>0</v>
      </c>
      <c r="AX1174" s="51" t="n">
        <v>0</v>
      </c>
      <c r="AY1174" s="52" t="n">
        <v>0</v>
      </c>
      <c r="AZ1174" s="52" t="n">
        <v>0</v>
      </c>
      <c r="BA1174" s="52" t="n">
        <v>0</v>
      </c>
      <c r="BB1174" s="53" t="n">
        <v>0</v>
      </c>
      <c r="BC1174" s="52" t="n">
        <v>0</v>
      </c>
      <c r="BD1174" s="53" t="n">
        <v>0</v>
      </c>
      <c r="BE1174" s="52" t="n">
        <v>0</v>
      </c>
      <c r="BF1174" s="51" t="n">
        <v>0</v>
      </c>
    </row>
    <row r="1175">
      <c r="A1175">
        <f>HYPERLINK("https://www.walmart.com/ip/798889565", "798889565")</f>
        <v/>
      </c>
      <c r="B1175" t="inlineStr">
        <is>
          <t>Terra Cool Mens Baseball Cap Hat Camo Pattern Printed Flat Bill Buckle Closure</t>
        </is>
      </c>
      <c r="C1175" t="inlineStr">
        <is>
          <t>TERRACAP-B010</t>
        </is>
      </c>
      <c r="D1175" t="inlineStr">
        <is>
          <t>Hats</t>
        </is>
      </c>
      <c r="E1175" t="inlineStr">
        <is>
          <t>Terra</t>
        </is>
      </c>
      <c r="F1175" t="inlineStr">
        <is>
          <t>Optimized</t>
        </is>
      </c>
      <c r="G1175" s="48" t="n">
        <v>0</v>
      </c>
      <c r="H1175" s="49" t="n">
        <v>0</v>
      </c>
      <c r="I1175" s="49" t="n">
        <v>0</v>
      </c>
      <c r="J1175" s="50" t="n">
        <v>0</v>
      </c>
      <c r="K1175" s="51" t="n">
        <v>0</v>
      </c>
      <c r="L1175" s="52" t="n">
        <v>0</v>
      </c>
      <c r="M1175" s="52" t="n">
        <v>0</v>
      </c>
      <c r="N1175" s="52" t="n">
        <v>0</v>
      </c>
      <c r="O1175" s="53" t="n">
        <v>0</v>
      </c>
      <c r="P1175" s="52" t="n">
        <v>0</v>
      </c>
      <c r="Q1175" s="53" t="n">
        <v>0</v>
      </c>
      <c r="R1175" s="52" t="n">
        <v>0</v>
      </c>
      <c r="S1175" s="51" t="n">
        <v>0</v>
      </c>
      <c r="T1175" s="48" t="n">
        <v>0</v>
      </c>
      <c r="U1175" s="49" t="n">
        <v>0</v>
      </c>
      <c r="V1175" s="49" t="n">
        <v>0</v>
      </c>
      <c r="W1175" s="50" t="n">
        <v>0</v>
      </c>
      <c r="X1175" s="51" t="n">
        <v>0</v>
      </c>
      <c r="Y1175" s="52" t="n">
        <v>0</v>
      </c>
      <c r="Z1175" s="52" t="n">
        <v>0</v>
      </c>
      <c r="AA1175" s="52" t="n">
        <v>0</v>
      </c>
      <c r="AB1175" s="53" t="n">
        <v>0</v>
      </c>
      <c r="AC1175" s="52" t="n">
        <v>0</v>
      </c>
      <c r="AD1175" s="53" t="n">
        <v>0</v>
      </c>
      <c r="AE1175" s="52" t="n">
        <v>0</v>
      </c>
      <c r="AF1175" s="51" t="n">
        <v>0</v>
      </c>
      <c r="AG1175" s="48" t="n">
        <v>0</v>
      </c>
      <c r="AH1175" s="49" t="n">
        <v>0</v>
      </c>
      <c r="AI1175" s="49" t="n">
        <v>0</v>
      </c>
      <c r="AJ1175" s="50" t="n">
        <v>0</v>
      </c>
      <c r="AK1175" s="51" t="n">
        <v>0</v>
      </c>
      <c r="AL1175" s="52" t="n">
        <v>0</v>
      </c>
      <c r="AM1175" s="52" t="n">
        <v>0</v>
      </c>
      <c r="AN1175" s="52" t="n">
        <v>0</v>
      </c>
      <c r="AO1175" s="53" t="n">
        <v>0</v>
      </c>
      <c r="AP1175" s="52" t="n">
        <v>0</v>
      </c>
      <c r="AQ1175" s="53" t="n">
        <v>0</v>
      </c>
      <c r="AR1175" s="52" t="n">
        <v>0</v>
      </c>
      <c r="AS1175" s="51" t="n">
        <v>0</v>
      </c>
      <c r="AT1175" s="48" t="n">
        <v>0</v>
      </c>
      <c r="AU1175" s="49" t="n">
        <v>0</v>
      </c>
      <c r="AV1175" s="49" t="n">
        <v>0</v>
      </c>
      <c r="AW1175" s="50" t="n">
        <v>0</v>
      </c>
      <c r="AX1175" s="51" t="n">
        <v>0</v>
      </c>
      <c r="AY1175" s="52" t="n">
        <v>0</v>
      </c>
      <c r="AZ1175" s="52" t="n">
        <v>0</v>
      </c>
      <c r="BA1175" s="52" t="n">
        <v>0</v>
      </c>
      <c r="BB1175" s="53" t="n">
        <v>0</v>
      </c>
      <c r="BC1175" s="52" t="n">
        <v>0</v>
      </c>
      <c r="BD1175" s="53" t="n">
        <v>0</v>
      </c>
      <c r="BE1175" s="52" t="n">
        <v>0</v>
      </c>
      <c r="BF1175" s="51" t="n">
        <v>0</v>
      </c>
    </row>
    <row r="1176">
      <c r="A1176">
        <f>HYPERLINK("https://www.walmart.com/ip/788420613", "788420613")</f>
        <v/>
      </c>
      <c r="B1176" t="inlineStr">
        <is>
          <t>Catalonia Sherpa Wearable Blanket Poncho for Adult Women Men, Wrap Blanket Cape with Pocket, Warm, Soft, Cozy, Snuggly, Comfort Gift, No Sleeves, Wine</t>
        </is>
      </c>
      <c r="C1176" t="inlineStr">
        <is>
          <t>1CTBP110WN</t>
        </is>
      </c>
      <c r="D1176" t="inlineStr">
        <is>
          <t>Throws</t>
        </is>
      </c>
      <c r="E1176" t="inlineStr">
        <is>
          <t>Catalonia</t>
        </is>
      </c>
      <c r="F1176" t="inlineStr">
        <is>
          <t>Hero 5 Holidays,Batch 1 - TR</t>
        </is>
      </c>
      <c r="G1176" s="48" t="n">
        <v>0</v>
      </c>
      <c r="H1176" s="49" t="n">
        <v>0</v>
      </c>
      <c r="I1176" s="49" t="n">
        <v>0</v>
      </c>
      <c r="J1176" s="50" t="n">
        <v>0</v>
      </c>
      <c r="K1176" s="51" t="n">
        <v>0</v>
      </c>
      <c r="L1176" s="52" t="n">
        <v>0</v>
      </c>
      <c r="M1176" s="52" t="n">
        <v>0</v>
      </c>
      <c r="N1176" s="52" t="n">
        <v>0</v>
      </c>
      <c r="O1176" s="53" t="n">
        <v>0</v>
      </c>
      <c r="P1176" s="52" t="n">
        <v>0</v>
      </c>
      <c r="Q1176" s="53" t="n">
        <v>0</v>
      </c>
      <c r="R1176" s="52" t="n">
        <v>0</v>
      </c>
      <c r="S1176" s="51" t="n">
        <v>0</v>
      </c>
      <c r="T1176" s="48" t="n">
        <v>0</v>
      </c>
      <c r="U1176" s="49" t="n">
        <v>0</v>
      </c>
      <c r="V1176" s="49" t="n">
        <v>0</v>
      </c>
      <c r="W1176" s="50" t="n">
        <v>0</v>
      </c>
      <c r="X1176" s="51" t="n">
        <v>0</v>
      </c>
      <c r="Y1176" s="52" t="n">
        <v>0</v>
      </c>
      <c r="Z1176" s="52" t="n">
        <v>0</v>
      </c>
      <c r="AA1176" s="52" t="n">
        <v>0</v>
      </c>
      <c r="AB1176" s="53" t="n">
        <v>0</v>
      </c>
      <c r="AC1176" s="52" t="n">
        <v>0</v>
      </c>
      <c r="AD1176" s="53" t="n">
        <v>0</v>
      </c>
      <c r="AE1176" s="52" t="n">
        <v>0</v>
      </c>
      <c r="AF1176" s="51" t="n">
        <v>0</v>
      </c>
      <c r="AG1176" s="48" t="n">
        <v>0</v>
      </c>
      <c r="AH1176" s="49" t="n">
        <v>0</v>
      </c>
      <c r="AI1176" s="49" t="n">
        <v>0</v>
      </c>
      <c r="AJ1176" s="50" t="n">
        <v>0</v>
      </c>
      <c r="AK1176" s="51" t="n">
        <v>0</v>
      </c>
      <c r="AL1176" s="52" t="n">
        <v>0</v>
      </c>
      <c r="AM1176" s="52" t="n">
        <v>0</v>
      </c>
      <c r="AN1176" s="52" t="n">
        <v>0</v>
      </c>
      <c r="AO1176" s="53" t="n">
        <v>0</v>
      </c>
      <c r="AP1176" s="52" t="n">
        <v>0</v>
      </c>
      <c r="AQ1176" s="53" t="n">
        <v>0</v>
      </c>
      <c r="AR1176" s="52" t="n">
        <v>0</v>
      </c>
      <c r="AS1176" s="51" t="n">
        <v>0</v>
      </c>
      <c r="AT1176" s="48" t="n">
        <v>0</v>
      </c>
      <c r="AU1176" s="49" t="n">
        <v>0</v>
      </c>
      <c r="AV1176" s="49" t="n">
        <v>0</v>
      </c>
      <c r="AW1176" s="50" t="n">
        <v>0</v>
      </c>
      <c r="AX1176" s="51" t="n">
        <v>0</v>
      </c>
      <c r="AY1176" s="52" t="n">
        <v>0</v>
      </c>
      <c r="AZ1176" s="52" t="n">
        <v>0</v>
      </c>
      <c r="BA1176" s="52" t="n">
        <v>0</v>
      </c>
      <c r="BB1176" s="53" t="n">
        <v>0</v>
      </c>
      <c r="BC1176" s="52" t="n">
        <v>0</v>
      </c>
      <c r="BD1176" s="53" t="n">
        <v>0</v>
      </c>
      <c r="BE1176" s="52" t="n">
        <v>0</v>
      </c>
      <c r="BF1176" s="51" t="n">
        <v>0</v>
      </c>
    </row>
    <row r="1177">
      <c r="A1177">
        <f>HYPERLINK("https://www.walmart.com/ip/789179888", "789179888")</f>
        <v/>
      </c>
      <c r="B1177" t="inlineStr">
        <is>
          <t>Pawsse Pet Sherpa Throw Blanket, Fleece Snuggle Dog Blanket Cushion Mat for Puppy Cat Small Animals 45”x30”</t>
        </is>
      </c>
      <c r="C1177" t="inlineStr">
        <is>
          <t>1PSBF345LTLT</t>
        </is>
      </c>
      <c r="D1177" t="inlineStr">
        <is>
          <t>Pet Blankets</t>
        </is>
      </c>
      <c r="E1177" t="inlineStr">
        <is>
          <t>Pawsse</t>
        </is>
      </c>
      <c r="F1177" t="inlineStr">
        <is>
          <t>WFS,WFS Item</t>
        </is>
      </c>
      <c r="G1177" s="48" t="n">
        <v>0</v>
      </c>
      <c r="H1177" s="49" t="n">
        <v>0</v>
      </c>
      <c r="I1177" s="49" t="n">
        <v>0</v>
      </c>
      <c r="J1177" s="50" t="n">
        <v>0</v>
      </c>
      <c r="K1177" s="51" t="n">
        <v>0</v>
      </c>
      <c r="L1177" s="52" t="n">
        <v>0</v>
      </c>
      <c r="M1177" s="52" t="n">
        <v>0</v>
      </c>
      <c r="N1177" s="52" t="n">
        <v>0</v>
      </c>
      <c r="O1177" s="53" t="n">
        <v>0</v>
      </c>
      <c r="P1177" s="52" t="n">
        <v>0</v>
      </c>
      <c r="Q1177" s="53" t="n">
        <v>0</v>
      </c>
      <c r="R1177" s="52" t="n">
        <v>0</v>
      </c>
      <c r="S1177" s="51" t="n">
        <v>0</v>
      </c>
      <c r="T1177" s="48" t="n">
        <v>0</v>
      </c>
      <c r="U1177" s="49" t="n">
        <v>0</v>
      </c>
      <c r="V1177" s="49" t="n">
        <v>0</v>
      </c>
      <c r="W1177" s="50" t="n">
        <v>0</v>
      </c>
      <c r="X1177" s="51" t="n">
        <v>0</v>
      </c>
      <c r="Y1177" s="52" t="n">
        <v>0</v>
      </c>
      <c r="Z1177" s="52" t="n">
        <v>0</v>
      </c>
      <c r="AA1177" s="52" t="n">
        <v>0</v>
      </c>
      <c r="AB1177" s="53" t="n">
        <v>0</v>
      </c>
      <c r="AC1177" s="52" t="n">
        <v>0</v>
      </c>
      <c r="AD1177" s="53" t="n">
        <v>0</v>
      </c>
      <c r="AE1177" s="52" t="n">
        <v>0</v>
      </c>
      <c r="AF1177" s="51" t="n">
        <v>0</v>
      </c>
      <c r="AG1177" s="48" t="n">
        <v>0</v>
      </c>
      <c r="AH1177" s="49" t="n">
        <v>0</v>
      </c>
      <c r="AI1177" s="49" t="n">
        <v>0</v>
      </c>
      <c r="AJ1177" s="50" t="n">
        <v>0</v>
      </c>
      <c r="AK1177" s="51" t="n">
        <v>0</v>
      </c>
      <c r="AL1177" s="52" t="n">
        <v>0</v>
      </c>
      <c r="AM1177" s="52" t="n">
        <v>0</v>
      </c>
      <c r="AN1177" s="52" t="n">
        <v>0</v>
      </c>
      <c r="AO1177" s="53" t="n">
        <v>0</v>
      </c>
      <c r="AP1177" s="52" t="n">
        <v>0</v>
      </c>
      <c r="AQ1177" s="53" t="n">
        <v>0</v>
      </c>
      <c r="AR1177" s="52" t="n">
        <v>0</v>
      </c>
      <c r="AS1177" s="51" t="n">
        <v>0</v>
      </c>
      <c r="AT1177" s="48" t="n">
        <v>0</v>
      </c>
      <c r="AU1177" s="49" t="n">
        <v>0</v>
      </c>
      <c r="AV1177" s="49" t="n">
        <v>0</v>
      </c>
      <c r="AW1177" s="50" t="n">
        <v>0</v>
      </c>
      <c r="AX1177" s="51" t="n">
        <v>0</v>
      </c>
      <c r="AY1177" s="52" t="n">
        <v>0</v>
      </c>
      <c r="AZ1177" s="52" t="n">
        <v>0</v>
      </c>
      <c r="BA1177" s="52" t="n">
        <v>0</v>
      </c>
      <c r="BB1177" s="53" t="n">
        <v>0</v>
      </c>
      <c r="BC1177" s="52" t="n">
        <v>0</v>
      </c>
      <c r="BD1177" s="53" t="n">
        <v>0</v>
      </c>
      <c r="BE1177" s="52" t="n">
        <v>0</v>
      </c>
      <c r="BF1177" s="51" t="n">
        <v>0</v>
      </c>
    </row>
    <row r="1178">
      <c r="A1178">
        <f>HYPERLINK("https://www.walmart.com/ip/789931376", "789931376")</f>
        <v/>
      </c>
      <c r="B1178" t="inlineStr">
        <is>
          <t>Tirrinia Warm Comfy Foldable Waterproof Outdoor Blanket for Camping Stadium, 51'' X 59''</t>
        </is>
      </c>
      <c r="C1178" t="inlineStr">
        <is>
          <t>1TRBW506BKGY</t>
        </is>
      </c>
      <c r="D1178" t="inlineStr">
        <is>
          <t>Throws</t>
        </is>
      </c>
      <c r="E1178" t="inlineStr">
        <is>
          <t>Tirrinia</t>
        </is>
      </c>
      <c r="F1178" t="inlineStr">
        <is>
          <t>Q2-Target,Optimized</t>
        </is>
      </c>
      <c r="G1178" s="48" t="n">
        <v>0</v>
      </c>
      <c r="H1178" s="49" t="n">
        <v>0</v>
      </c>
      <c r="I1178" s="49" t="n">
        <v>2</v>
      </c>
      <c r="J1178" s="50" t="n">
        <v>0</v>
      </c>
      <c r="K1178" s="51" t="n">
        <v>0</v>
      </c>
      <c r="L1178" s="52" t="n">
        <v>0</v>
      </c>
      <c r="M1178" s="52" t="n">
        <v>0</v>
      </c>
      <c r="N1178" s="52" t="n">
        <v>0</v>
      </c>
      <c r="O1178" s="53" t="n">
        <v>0</v>
      </c>
      <c r="P1178" s="52" t="n">
        <v>0</v>
      </c>
      <c r="Q1178" s="53" t="n">
        <v>0</v>
      </c>
      <c r="R1178" s="52" t="n">
        <v>0</v>
      </c>
      <c r="S1178" s="51" t="n">
        <v>0</v>
      </c>
      <c r="T1178" s="48" t="n">
        <v>29.99</v>
      </c>
      <c r="U1178" s="49" t="n">
        <v>1</v>
      </c>
      <c r="V1178" s="49" t="n">
        <v>4</v>
      </c>
      <c r="W1178" s="50" t="n">
        <v>0.25</v>
      </c>
      <c r="X1178" s="51" t="n">
        <v>0</v>
      </c>
      <c r="Y1178" s="52" t="n">
        <v>0</v>
      </c>
      <c r="Z1178" s="52" t="n">
        <v>0</v>
      </c>
      <c r="AA1178" s="52" t="n">
        <v>0</v>
      </c>
      <c r="AB1178" s="53" t="n">
        <v>0</v>
      </c>
      <c r="AC1178" s="52" t="n">
        <v>0</v>
      </c>
      <c r="AD1178" s="53" t="n">
        <v>0</v>
      </c>
      <c r="AE1178" s="52" t="n">
        <v>29.99</v>
      </c>
      <c r="AF1178" s="51" t="n">
        <v>0</v>
      </c>
      <c r="AG1178" s="48" t="n">
        <v>29.99</v>
      </c>
      <c r="AH1178" s="49" t="n">
        <v>1</v>
      </c>
      <c r="AI1178" s="49" t="n">
        <v>6</v>
      </c>
      <c r="AJ1178" s="50" t="n">
        <v>0.1666666666666667</v>
      </c>
      <c r="AK1178" s="51" t="n">
        <v>0</v>
      </c>
      <c r="AL1178" s="52" t="n">
        <v>0</v>
      </c>
      <c r="AM1178" s="52" t="n">
        <v>0</v>
      </c>
      <c r="AN1178" s="52" t="n">
        <v>0</v>
      </c>
      <c r="AO1178" s="53" t="n">
        <v>0</v>
      </c>
      <c r="AP1178" s="52" t="n">
        <v>0</v>
      </c>
      <c r="AQ1178" s="53" t="n">
        <v>0</v>
      </c>
      <c r="AR1178" s="52" t="n">
        <v>29.99</v>
      </c>
      <c r="AS1178" s="51" t="n">
        <v>0</v>
      </c>
      <c r="AT1178" s="48" t="n">
        <v>0</v>
      </c>
      <c r="AU1178" s="49" t="n">
        <v>0</v>
      </c>
      <c r="AV1178" s="49" t="n">
        <v>0</v>
      </c>
      <c r="AW1178" s="50" t="n">
        <v>0</v>
      </c>
      <c r="AX1178" s="51" t="n">
        <v>0</v>
      </c>
      <c r="AY1178" s="52" t="n">
        <v>0</v>
      </c>
      <c r="AZ1178" s="52" t="n">
        <v>0</v>
      </c>
      <c r="BA1178" s="52" t="n">
        <v>0</v>
      </c>
      <c r="BB1178" s="53" t="n">
        <v>0</v>
      </c>
      <c r="BC1178" s="52" t="n">
        <v>0</v>
      </c>
      <c r="BD1178" s="53" t="n">
        <v>0</v>
      </c>
      <c r="BE1178" s="52" t="n">
        <v>0</v>
      </c>
      <c r="BF1178" s="51" t="n">
        <v>0</v>
      </c>
    </row>
    <row r="1179">
      <c r="A1179">
        <f>HYPERLINK("https://www.walmart.com/ip/790379186", "790379186")</f>
        <v/>
      </c>
      <c r="B1179" t="inlineStr">
        <is>
          <t>Sherpa Throw Blanket Fleece, Super Cozy Warm TV Blankets for Bed or Couch Reversible 50" x 60"</t>
        </is>
      </c>
      <c r="C1179" t="inlineStr">
        <is>
          <t>1TNBF300LA-TPB</t>
        </is>
      </c>
      <c r="D1179" t="inlineStr">
        <is>
          <t>Throws</t>
        </is>
      </c>
      <c r="E1179" t="inlineStr">
        <is>
          <t>Tirrinia</t>
        </is>
      </c>
      <c r="G1179" s="48" t="n">
        <v>0</v>
      </c>
      <c r="H1179" s="49" t="n">
        <v>0</v>
      </c>
      <c r="I1179" s="49" t="n">
        <v>0</v>
      </c>
      <c r="J1179" s="50" t="n">
        <v>0</v>
      </c>
      <c r="K1179" s="51" t="n">
        <v>0</v>
      </c>
      <c r="L1179" s="52" t="n">
        <v>0</v>
      </c>
      <c r="M1179" s="52" t="n">
        <v>0</v>
      </c>
      <c r="N1179" s="52" t="n">
        <v>0</v>
      </c>
      <c r="O1179" s="53" t="n">
        <v>0</v>
      </c>
      <c r="P1179" s="52" t="n">
        <v>0</v>
      </c>
      <c r="Q1179" s="53" t="n">
        <v>0</v>
      </c>
      <c r="R1179" s="52" t="n">
        <v>0</v>
      </c>
      <c r="S1179" s="51" t="n">
        <v>0</v>
      </c>
      <c r="T1179" s="48" t="n">
        <v>0</v>
      </c>
      <c r="U1179" s="49" t="n">
        <v>0</v>
      </c>
      <c r="V1179" s="49" t="n">
        <v>0</v>
      </c>
      <c r="W1179" s="50" t="n">
        <v>0</v>
      </c>
      <c r="X1179" s="51" t="n">
        <v>0</v>
      </c>
      <c r="Y1179" s="52" t="n">
        <v>0</v>
      </c>
      <c r="Z1179" s="52" t="n">
        <v>0</v>
      </c>
      <c r="AA1179" s="52" t="n">
        <v>0</v>
      </c>
      <c r="AB1179" s="53" t="n">
        <v>0</v>
      </c>
      <c r="AC1179" s="52" t="n">
        <v>0</v>
      </c>
      <c r="AD1179" s="53" t="n">
        <v>0</v>
      </c>
      <c r="AE1179" s="52" t="n">
        <v>0</v>
      </c>
      <c r="AF1179" s="51" t="n">
        <v>0</v>
      </c>
      <c r="AG1179" s="48" t="n">
        <v>0</v>
      </c>
      <c r="AH1179" s="49" t="n">
        <v>0</v>
      </c>
      <c r="AI1179" s="49" t="n">
        <v>0</v>
      </c>
      <c r="AJ1179" s="50" t="n">
        <v>0</v>
      </c>
      <c r="AK1179" s="51" t="n">
        <v>0</v>
      </c>
      <c r="AL1179" s="52" t="n">
        <v>0</v>
      </c>
      <c r="AM1179" s="52" t="n">
        <v>0</v>
      </c>
      <c r="AN1179" s="52" t="n">
        <v>0</v>
      </c>
      <c r="AO1179" s="53" t="n">
        <v>0</v>
      </c>
      <c r="AP1179" s="52" t="n">
        <v>0</v>
      </c>
      <c r="AQ1179" s="53" t="n">
        <v>0</v>
      </c>
      <c r="AR1179" s="52" t="n">
        <v>0</v>
      </c>
      <c r="AS1179" s="51" t="n">
        <v>0</v>
      </c>
      <c r="AT1179" s="48" t="n">
        <v>0</v>
      </c>
      <c r="AU1179" s="49" t="n">
        <v>0</v>
      </c>
      <c r="AV1179" s="49" t="n">
        <v>0</v>
      </c>
      <c r="AW1179" s="50" t="n">
        <v>0</v>
      </c>
      <c r="AX1179" s="51" t="n">
        <v>0</v>
      </c>
      <c r="AY1179" s="52" t="n">
        <v>0</v>
      </c>
      <c r="AZ1179" s="52" t="n">
        <v>0</v>
      </c>
      <c r="BA1179" s="52" t="n">
        <v>0</v>
      </c>
      <c r="BB1179" s="53" t="n">
        <v>0</v>
      </c>
      <c r="BC1179" s="52" t="n">
        <v>0</v>
      </c>
      <c r="BD1179" s="53" t="n">
        <v>0</v>
      </c>
      <c r="BE1179" s="52" t="n">
        <v>0</v>
      </c>
      <c r="BF1179" s="51" t="n">
        <v>0</v>
      </c>
    </row>
    <row r="1180">
      <c r="A1180">
        <f>HYPERLINK("https://www.walmart.com/ip/790807870", "790807870")</f>
        <v/>
      </c>
      <c r="B1180" t="inlineStr">
        <is>
          <t>Flyingstar Sherpa Throws Blanket, Fleece Soft Cozy Blanket Throws for Sofa Bed 50"x60"</t>
        </is>
      </c>
      <c r="C1180" t="inlineStr">
        <is>
          <t>1WMBF573CASOLE</t>
        </is>
      </c>
      <c r="D1180" t="inlineStr">
        <is>
          <t>Throws</t>
        </is>
      </c>
      <c r="E1180" t="inlineStr">
        <is>
          <t>Flyingstar</t>
        </is>
      </c>
      <c r="F1180" t="inlineStr">
        <is>
          <t>Optimized</t>
        </is>
      </c>
      <c r="G1180" s="48" t="n">
        <v>0</v>
      </c>
      <c r="H1180" s="49" t="n">
        <v>0</v>
      </c>
      <c r="I1180" s="49" t="n">
        <v>0</v>
      </c>
      <c r="J1180" s="50" t="n">
        <v>0</v>
      </c>
      <c r="K1180" s="51" t="n">
        <v>0</v>
      </c>
      <c r="L1180" s="52" t="n">
        <v>0</v>
      </c>
      <c r="M1180" s="52" t="n">
        <v>0</v>
      </c>
      <c r="N1180" s="52" t="n">
        <v>0</v>
      </c>
      <c r="O1180" s="53" t="n">
        <v>0</v>
      </c>
      <c r="P1180" s="52" t="n">
        <v>0</v>
      </c>
      <c r="Q1180" s="53" t="n">
        <v>0</v>
      </c>
      <c r="R1180" s="52" t="n">
        <v>0</v>
      </c>
      <c r="S1180" s="51" t="n">
        <v>0</v>
      </c>
      <c r="T1180" s="48" t="n">
        <v>0</v>
      </c>
      <c r="U1180" s="49" t="n">
        <v>0</v>
      </c>
      <c r="V1180" s="49" t="n">
        <v>0</v>
      </c>
      <c r="W1180" s="50" t="n">
        <v>0</v>
      </c>
      <c r="X1180" s="51" t="n">
        <v>0</v>
      </c>
      <c r="Y1180" s="52" t="n">
        <v>0</v>
      </c>
      <c r="Z1180" s="52" t="n">
        <v>0</v>
      </c>
      <c r="AA1180" s="52" t="n">
        <v>0</v>
      </c>
      <c r="AB1180" s="53" t="n">
        <v>0</v>
      </c>
      <c r="AC1180" s="52" t="n">
        <v>0</v>
      </c>
      <c r="AD1180" s="53" t="n">
        <v>0</v>
      </c>
      <c r="AE1180" s="52" t="n">
        <v>0</v>
      </c>
      <c r="AF1180" s="51" t="n">
        <v>0</v>
      </c>
      <c r="AG1180" s="48" t="n">
        <v>0</v>
      </c>
      <c r="AH1180" s="49" t="n">
        <v>0</v>
      </c>
      <c r="AI1180" s="49" t="n">
        <v>0</v>
      </c>
      <c r="AJ1180" s="50" t="n">
        <v>0</v>
      </c>
      <c r="AK1180" s="51" t="n">
        <v>0</v>
      </c>
      <c r="AL1180" s="52" t="n">
        <v>0</v>
      </c>
      <c r="AM1180" s="52" t="n">
        <v>0</v>
      </c>
      <c r="AN1180" s="52" t="n">
        <v>0</v>
      </c>
      <c r="AO1180" s="53" t="n">
        <v>0</v>
      </c>
      <c r="AP1180" s="52" t="n">
        <v>0</v>
      </c>
      <c r="AQ1180" s="53" t="n">
        <v>0</v>
      </c>
      <c r="AR1180" s="52" t="n">
        <v>0</v>
      </c>
      <c r="AS1180" s="51" t="n">
        <v>0</v>
      </c>
      <c r="AT1180" s="48" t="n">
        <v>0</v>
      </c>
      <c r="AU1180" s="49" t="n">
        <v>0</v>
      </c>
      <c r="AV1180" s="49" t="n">
        <v>0</v>
      </c>
      <c r="AW1180" s="50" t="n">
        <v>0</v>
      </c>
      <c r="AX1180" s="51" t="n">
        <v>0</v>
      </c>
      <c r="AY1180" s="52" t="n">
        <v>0</v>
      </c>
      <c r="AZ1180" s="52" t="n">
        <v>0</v>
      </c>
      <c r="BA1180" s="52" t="n">
        <v>0</v>
      </c>
      <c r="BB1180" s="53" t="n">
        <v>0</v>
      </c>
      <c r="BC1180" s="52" t="n">
        <v>0</v>
      </c>
      <c r="BD1180" s="53" t="n">
        <v>0</v>
      </c>
      <c r="BE1180" s="52" t="n">
        <v>0</v>
      </c>
      <c r="BF1180" s="51" t="n">
        <v>0</v>
      </c>
    </row>
    <row r="1181">
      <c r="A1181">
        <f>HYPERLINK("https://www.walmart.com/ip/791658599", "791658599")</f>
        <v/>
      </c>
      <c r="B1181" t="inlineStr">
        <is>
          <t>Sherpa Slipper Socks for Women,Winter Indoor Home Non Skid Booties</t>
        </is>
      </c>
      <c r="C1181" t="inlineStr">
        <is>
          <t>1CTST200PK-1</t>
        </is>
      </c>
      <c r="D1181" t="inlineStr">
        <is>
          <t>Socks</t>
        </is>
      </c>
      <c r="E1181" t="inlineStr">
        <is>
          <t>Catalonia</t>
        </is>
      </c>
      <c r="F1181" t="inlineStr">
        <is>
          <t>WFS,WFS Item</t>
        </is>
      </c>
      <c r="G1181" s="48" t="n">
        <v>0</v>
      </c>
      <c r="H1181" s="49" t="n">
        <v>0</v>
      </c>
      <c r="I1181" s="49" t="n">
        <v>0</v>
      </c>
      <c r="J1181" s="50" t="n">
        <v>0</v>
      </c>
      <c r="K1181" s="51" t="n">
        <v>0</v>
      </c>
      <c r="L1181" s="52" t="n">
        <v>0</v>
      </c>
      <c r="M1181" s="52" t="n">
        <v>0</v>
      </c>
      <c r="N1181" s="52" t="n">
        <v>0</v>
      </c>
      <c r="O1181" s="53" t="n">
        <v>0</v>
      </c>
      <c r="P1181" s="52" t="n">
        <v>0</v>
      </c>
      <c r="Q1181" s="53" t="n">
        <v>0</v>
      </c>
      <c r="R1181" s="52" t="n">
        <v>0</v>
      </c>
      <c r="S1181" s="51" t="n">
        <v>0</v>
      </c>
      <c r="T1181" s="48" t="n">
        <v>0</v>
      </c>
      <c r="U1181" s="49" t="n">
        <v>0</v>
      </c>
      <c r="V1181" s="49" t="n">
        <v>0</v>
      </c>
      <c r="W1181" s="50" t="n">
        <v>0</v>
      </c>
      <c r="X1181" s="51" t="n">
        <v>0</v>
      </c>
      <c r="Y1181" s="52" t="n">
        <v>0</v>
      </c>
      <c r="Z1181" s="52" t="n">
        <v>0</v>
      </c>
      <c r="AA1181" s="52" t="n">
        <v>0</v>
      </c>
      <c r="AB1181" s="53" t="n">
        <v>0</v>
      </c>
      <c r="AC1181" s="52" t="n">
        <v>0</v>
      </c>
      <c r="AD1181" s="53" t="n">
        <v>0</v>
      </c>
      <c r="AE1181" s="52" t="n">
        <v>0</v>
      </c>
      <c r="AF1181" s="51" t="n">
        <v>0</v>
      </c>
      <c r="AG1181" s="48" t="n">
        <v>0</v>
      </c>
      <c r="AH1181" s="49" t="n">
        <v>0</v>
      </c>
      <c r="AI1181" s="49" t="n">
        <v>0</v>
      </c>
      <c r="AJ1181" s="50" t="n">
        <v>0</v>
      </c>
      <c r="AK1181" s="51" t="n">
        <v>0</v>
      </c>
      <c r="AL1181" s="52" t="n">
        <v>0</v>
      </c>
      <c r="AM1181" s="52" t="n">
        <v>0</v>
      </c>
      <c r="AN1181" s="52" t="n">
        <v>0</v>
      </c>
      <c r="AO1181" s="53" t="n">
        <v>0</v>
      </c>
      <c r="AP1181" s="52" t="n">
        <v>0</v>
      </c>
      <c r="AQ1181" s="53" t="n">
        <v>0</v>
      </c>
      <c r="AR1181" s="52" t="n">
        <v>0</v>
      </c>
      <c r="AS1181" s="51" t="n">
        <v>0</v>
      </c>
      <c r="AT1181" s="48" t="n">
        <v>0</v>
      </c>
      <c r="AU1181" s="49" t="n">
        <v>0</v>
      </c>
      <c r="AV1181" s="49" t="n">
        <v>0</v>
      </c>
      <c r="AW1181" s="50" t="n">
        <v>0</v>
      </c>
      <c r="AX1181" s="51" t="n">
        <v>0</v>
      </c>
      <c r="AY1181" s="52" t="n">
        <v>0</v>
      </c>
      <c r="AZ1181" s="52" t="n">
        <v>0</v>
      </c>
      <c r="BA1181" s="52" t="n">
        <v>0</v>
      </c>
      <c r="BB1181" s="53" t="n">
        <v>0</v>
      </c>
      <c r="BC1181" s="52" t="n">
        <v>0</v>
      </c>
      <c r="BD1181" s="53" t="n">
        <v>0</v>
      </c>
      <c r="BE1181" s="52" t="n">
        <v>0</v>
      </c>
      <c r="BF1181" s="51" t="n">
        <v>0</v>
      </c>
    </row>
    <row r="1182">
      <c r="A1182">
        <f>HYPERLINK("https://www.walmart.com/ip/792163104", "792163104")</f>
        <v/>
      </c>
      <c r="B1182" t="inlineStr">
        <is>
          <t>Kato Insulated Expandable Lunch Bag, Thermal Cooler Leakproof Travel Container Food Case for Adults, Adjustable Shoulder</t>
        </is>
      </c>
      <c r="C1182" t="inlineStr">
        <is>
          <t>1KTLB110RD</t>
        </is>
      </c>
      <c r="D1182" t="inlineStr">
        <is>
          <t>Reusable Lunch Bags &amp; Boxes</t>
        </is>
      </c>
      <c r="E1182" t="inlineStr">
        <is>
          <t>Kato</t>
        </is>
      </c>
      <c r="F1182" t="inlineStr">
        <is>
          <t>Lunch Bag,Optimized,SEM</t>
        </is>
      </c>
      <c r="G1182" s="48" t="n">
        <v>0</v>
      </c>
      <c r="H1182" s="49" t="n">
        <v>0</v>
      </c>
      <c r="I1182" s="49" t="n">
        <v>0</v>
      </c>
      <c r="J1182" s="50" t="n">
        <v>0</v>
      </c>
      <c r="K1182" s="51" t="n">
        <v>0</v>
      </c>
      <c r="L1182" s="52" t="n">
        <v>0</v>
      </c>
      <c r="M1182" s="52" t="n">
        <v>0</v>
      </c>
      <c r="N1182" s="52" t="n">
        <v>0</v>
      </c>
      <c r="O1182" s="53" t="n">
        <v>0</v>
      </c>
      <c r="P1182" s="52" t="n">
        <v>0</v>
      </c>
      <c r="Q1182" s="53" t="n">
        <v>0</v>
      </c>
      <c r="R1182" s="52" t="n">
        <v>0</v>
      </c>
      <c r="S1182" s="51" t="n">
        <v>0</v>
      </c>
      <c r="T1182" s="48" t="n">
        <v>0</v>
      </c>
      <c r="U1182" s="49" t="n">
        <v>0</v>
      </c>
      <c r="V1182" s="49" t="n">
        <v>0</v>
      </c>
      <c r="W1182" s="50" t="n">
        <v>0</v>
      </c>
      <c r="X1182" s="51" t="n">
        <v>0</v>
      </c>
      <c r="Y1182" s="52" t="n">
        <v>0</v>
      </c>
      <c r="Z1182" s="52" t="n">
        <v>0</v>
      </c>
      <c r="AA1182" s="52" t="n">
        <v>0</v>
      </c>
      <c r="AB1182" s="53" t="n">
        <v>0</v>
      </c>
      <c r="AC1182" s="52" t="n">
        <v>0</v>
      </c>
      <c r="AD1182" s="53" t="n">
        <v>0</v>
      </c>
      <c r="AE1182" s="52" t="n">
        <v>0</v>
      </c>
      <c r="AF1182" s="51" t="n">
        <v>0</v>
      </c>
      <c r="AG1182" s="48" t="n">
        <v>0</v>
      </c>
      <c r="AH1182" s="49" t="n">
        <v>0</v>
      </c>
      <c r="AI1182" s="49" t="n">
        <v>0</v>
      </c>
      <c r="AJ1182" s="50" t="n">
        <v>0</v>
      </c>
      <c r="AK1182" s="51" t="n">
        <v>0</v>
      </c>
      <c r="AL1182" s="52" t="n">
        <v>0</v>
      </c>
      <c r="AM1182" s="52" t="n">
        <v>0</v>
      </c>
      <c r="AN1182" s="52" t="n">
        <v>0</v>
      </c>
      <c r="AO1182" s="53" t="n">
        <v>0</v>
      </c>
      <c r="AP1182" s="52" t="n">
        <v>0</v>
      </c>
      <c r="AQ1182" s="53" t="n">
        <v>0</v>
      </c>
      <c r="AR1182" s="52" t="n">
        <v>0</v>
      </c>
      <c r="AS1182" s="51" t="n">
        <v>0</v>
      </c>
      <c r="AT1182" s="48" t="n">
        <v>0</v>
      </c>
      <c r="AU1182" s="49" t="n">
        <v>0</v>
      </c>
      <c r="AV1182" s="49" t="n">
        <v>0</v>
      </c>
      <c r="AW1182" s="50" t="n">
        <v>0</v>
      </c>
      <c r="AX1182" s="51" t="n">
        <v>0</v>
      </c>
      <c r="AY1182" s="52" t="n">
        <v>0</v>
      </c>
      <c r="AZ1182" s="52" t="n">
        <v>0</v>
      </c>
      <c r="BA1182" s="52" t="n">
        <v>0</v>
      </c>
      <c r="BB1182" s="53" t="n">
        <v>0</v>
      </c>
      <c r="BC1182" s="52" t="n">
        <v>0</v>
      </c>
      <c r="BD1182" s="53" t="n">
        <v>0</v>
      </c>
      <c r="BE1182" s="52" t="n">
        <v>0</v>
      </c>
      <c r="BF1182" s="51" t="n">
        <v>0</v>
      </c>
    </row>
    <row r="1183">
      <c r="A1183">
        <f>HYPERLINK("https://www.walmart.com/ip/793017956", "793017956")</f>
        <v/>
      </c>
      <c r="B1183" t="inlineStr">
        <is>
          <t>Catalonia Sherpa Throw Blanket Reversible Match Color Super Soft Comfy Fuzzy Micro Plush Fleece Snuggle Blanket All Season for TV Bed or Couch 50" x 60" Gray</t>
        </is>
      </c>
      <c r="C1183" t="inlineStr">
        <is>
          <t>1CTBF301LG</t>
        </is>
      </c>
      <c r="D1183" t="inlineStr">
        <is>
          <t>Throws</t>
        </is>
      </c>
      <c r="E1183" t="inlineStr">
        <is>
          <t>Catalonia</t>
        </is>
      </c>
      <c r="F1183" t="inlineStr">
        <is>
          <t>WFS,WFS Item</t>
        </is>
      </c>
      <c r="G1183" s="48" t="n">
        <v>0</v>
      </c>
      <c r="H1183" s="49" t="n">
        <v>0</v>
      </c>
      <c r="I1183" s="49" t="n">
        <v>0</v>
      </c>
      <c r="J1183" s="50" t="n">
        <v>0</v>
      </c>
      <c r="K1183" s="51" t="n">
        <v>0</v>
      </c>
      <c r="L1183" s="52" t="n">
        <v>0</v>
      </c>
      <c r="M1183" s="52" t="n">
        <v>0</v>
      </c>
      <c r="N1183" s="52" t="n">
        <v>0</v>
      </c>
      <c r="O1183" s="53" t="n">
        <v>0</v>
      </c>
      <c r="P1183" s="52" t="n">
        <v>0</v>
      </c>
      <c r="Q1183" s="53" t="n">
        <v>0</v>
      </c>
      <c r="R1183" s="52" t="n">
        <v>0</v>
      </c>
      <c r="S1183" s="51" t="n">
        <v>0</v>
      </c>
      <c r="T1183" s="48" t="n">
        <v>0</v>
      </c>
      <c r="U1183" s="49" t="n">
        <v>0</v>
      </c>
      <c r="V1183" s="49" t="n">
        <v>0</v>
      </c>
      <c r="W1183" s="50" t="n">
        <v>0</v>
      </c>
      <c r="X1183" s="51" t="n">
        <v>0</v>
      </c>
      <c r="Y1183" s="52" t="n">
        <v>0</v>
      </c>
      <c r="Z1183" s="52" t="n">
        <v>0</v>
      </c>
      <c r="AA1183" s="52" t="n">
        <v>0</v>
      </c>
      <c r="AB1183" s="53" t="n">
        <v>0</v>
      </c>
      <c r="AC1183" s="52" t="n">
        <v>0</v>
      </c>
      <c r="AD1183" s="53" t="n">
        <v>0</v>
      </c>
      <c r="AE1183" s="52" t="n">
        <v>0</v>
      </c>
      <c r="AF1183" s="51" t="n">
        <v>0</v>
      </c>
      <c r="AG1183" s="48" t="n">
        <v>0</v>
      </c>
      <c r="AH1183" s="49" t="n">
        <v>0</v>
      </c>
      <c r="AI1183" s="49" t="n">
        <v>0</v>
      </c>
      <c r="AJ1183" s="50" t="n">
        <v>0</v>
      </c>
      <c r="AK1183" s="51" t="n">
        <v>0</v>
      </c>
      <c r="AL1183" s="52" t="n">
        <v>0</v>
      </c>
      <c r="AM1183" s="52" t="n">
        <v>0</v>
      </c>
      <c r="AN1183" s="52" t="n">
        <v>0</v>
      </c>
      <c r="AO1183" s="53" t="n">
        <v>0</v>
      </c>
      <c r="AP1183" s="52" t="n">
        <v>0</v>
      </c>
      <c r="AQ1183" s="53" t="n">
        <v>0</v>
      </c>
      <c r="AR1183" s="52" t="n">
        <v>0</v>
      </c>
      <c r="AS1183" s="51" t="n">
        <v>0</v>
      </c>
      <c r="AT1183" s="48" t="n">
        <v>0</v>
      </c>
      <c r="AU1183" s="49" t="n">
        <v>0</v>
      </c>
      <c r="AV1183" s="49" t="n">
        <v>0</v>
      </c>
      <c r="AW1183" s="50" t="n">
        <v>0</v>
      </c>
      <c r="AX1183" s="51" t="n">
        <v>0</v>
      </c>
      <c r="AY1183" s="52" t="n">
        <v>0</v>
      </c>
      <c r="AZ1183" s="52" t="n">
        <v>0</v>
      </c>
      <c r="BA1183" s="52" t="n">
        <v>0</v>
      </c>
      <c r="BB1183" s="53" t="n">
        <v>0</v>
      </c>
      <c r="BC1183" s="52" t="n">
        <v>0</v>
      </c>
      <c r="BD1183" s="53" t="n">
        <v>0</v>
      </c>
      <c r="BE1183" s="52" t="n">
        <v>0</v>
      </c>
      <c r="BF1183" s="51" t="n">
        <v>0</v>
      </c>
    </row>
    <row r="1184">
      <c r="A1184">
        <f>HYPERLINK("https://www.walmart.com/ip/793040786", "793040786")</f>
        <v/>
      </c>
      <c r="B1184" t="inlineStr">
        <is>
          <t>Women Floppy Sun Bucket Hats w/ Wide Brim Straw Edge Summer Beach UV Protection Foldable Gardening Hiking Cap</t>
        </is>
      </c>
      <c r="C1184" t="inlineStr">
        <is>
          <t>1TRSH031BE-TBCB</t>
        </is>
      </c>
      <c r="D1184" t="inlineStr">
        <is>
          <t>Hats</t>
        </is>
      </c>
      <c r="E1184" t="inlineStr">
        <is>
          <t>Tirrinia</t>
        </is>
      </c>
      <c r="F1184" t="inlineStr">
        <is>
          <t>Batch 1 - TR</t>
        </is>
      </c>
      <c r="G1184" s="48" t="n">
        <v>0</v>
      </c>
      <c r="H1184" s="49" t="n">
        <v>0</v>
      </c>
      <c r="I1184" s="49" t="n">
        <v>0</v>
      </c>
      <c r="J1184" s="50" t="n">
        <v>0</v>
      </c>
      <c r="K1184" s="51" t="n">
        <v>0</v>
      </c>
      <c r="L1184" s="52" t="n">
        <v>0</v>
      </c>
      <c r="M1184" s="52" t="n">
        <v>0</v>
      </c>
      <c r="N1184" s="52" t="n">
        <v>0</v>
      </c>
      <c r="O1184" s="53" t="n">
        <v>0</v>
      </c>
      <c r="P1184" s="52" t="n">
        <v>0</v>
      </c>
      <c r="Q1184" s="53" t="n">
        <v>0</v>
      </c>
      <c r="R1184" s="52" t="n">
        <v>0</v>
      </c>
      <c r="S1184" s="51" t="n">
        <v>0</v>
      </c>
      <c r="T1184" s="48" t="n">
        <v>0</v>
      </c>
      <c r="U1184" s="49" t="n">
        <v>0</v>
      </c>
      <c r="V1184" s="49" t="n">
        <v>0</v>
      </c>
      <c r="W1184" s="50" t="n">
        <v>0</v>
      </c>
      <c r="X1184" s="51" t="n">
        <v>0</v>
      </c>
      <c r="Y1184" s="52" t="n">
        <v>0</v>
      </c>
      <c r="Z1184" s="52" t="n">
        <v>0</v>
      </c>
      <c r="AA1184" s="52" t="n">
        <v>0</v>
      </c>
      <c r="AB1184" s="53" t="n">
        <v>0</v>
      </c>
      <c r="AC1184" s="52" t="n">
        <v>0</v>
      </c>
      <c r="AD1184" s="53" t="n">
        <v>0</v>
      </c>
      <c r="AE1184" s="52" t="n">
        <v>0</v>
      </c>
      <c r="AF1184" s="51" t="n">
        <v>0</v>
      </c>
      <c r="AG1184" s="48" t="n">
        <v>0</v>
      </c>
      <c r="AH1184" s="49" t="n">
        <v>0</v>
      </c>
      <c r="AI1184" s="49" t="n">
        <v>0</v>
      </c>
      <c r="AJ1184" s="50" t="n">
        <v>0</v>
      </c>
      <c r="AK1184" s="51" t="n">
        <v>0</v>
      </c>
      <c r="AL1184" s="52" t="n">
        <v>0</v>
      </c>
      <c r="AM1184" s="52" t="n">
        <v>0</v>
      </c>
      <c r="AN1184" s="52" t="n">
        <v>0</v>
      </c>
      <c r="AO1184" s="53" t="n">
        <v>0</v>
      </c>
      <c r="AP1184" s="52" t="n">
        <v>0</v>
      </c>
      <c r="AQ1184" s="53" t="n">
        <v>0</v>
      </c>
      <c r="AR1184" s="52" t="n">
        <v>0</v>
      </c>
      <c r="AS1184" s="51" t="n">
        <v>0</v>
      </c>
      <c r="AT1184" s="48" t="n">
        <v>0</v>
      </c>
      <c r="AU1184" s="49" t="n">
        <v>0</v>
      </c>
      <c r="AV1184" s="49" t="n">
        <v>0</v>
      </c>
      <c r="AW1184" s="50" t="n">
        <v>0</v>
      </c>
      <c r="AX1184" s="51" t="n">
        <v>0</v>
      </c>
      <c r="AY1184" s="52" t="n">
        <v>0</v>
      </c>
      <c r="AZ1184" s="52" t="n">
        <v>0</v>
      </c>
      <c r="BA1184" s="52" t="n">
        <v>0</v>
      </c>
      <c r="BB1184" s="53" t="n">
        <v>0</v>
      </c>
      <c r="BC1184" s="52" t="n">
        <v>0</v>
      </c>
      <c r="BD1184" s="53" t="n">
        <v>0</v>
      </c>
      <c r="BE1184" s="52" t="n">
        <v>0</v>
      </c>
      <c r="BF1184" s="51" t="n">
        <v>0</v>
      </c>
    </row>
    <row r="1185">
      <c r="A1185">
        <f>HYPERLINK("https://www.walmart.com/ip/795260720", "795260720")</f>
        <v/>
      </c>
      <c r="B1185" t="inlineStr">
        <is>
          <t>Tirrinia Sherpa Wearable Blanket for Adult Women and Men, Super Soft Comfy Warm Plush Throw with Sleeves TV Blanket Wrap Robe Cover for  Sofa, Couch 72" x 55" Zebra</t>
        </is>
      </c>
      <c r="C1185" t="inlineStr">
        <is>
          <t>1TRSN110ZEBRA</t>
        </is>
      </c>
      <c r="D1185" t="inlineStr">
        <is>
          <t>Throws</t>
        </is>
      </c>
      <c r="E1185" t="inlineStr">
        <is>
          <t>Terrania</t>
        </is>
      </c>
      <c r="F1185" t="inlineStr">
        <is>
          <t>Q2-Target,Coupon_Discount</t>
        </is>
      </c>
      <c r="G1185" s="48" t="n">
        <v>0</v>
      </c>
      <c r="H1185" s="49" t="n">
        <v>0</v>
      </c>
      <c r="I1185" s="49" t="n">
        <v>0</v>
      </c>
      <c r="J1185" s="50" t="n">
        <v>0</v>
      </c>
      <c r="K1185" s="51" t="n">
        <v>0</v>
      </c>
      <c r="L1185" s="52" t="n">
        <v>0</v>
      </c>
      <c r="M1185" s="52" t="n">
        <v>0</v>
      </c>
      <c r="N1185" s="52" t="n">
        <v>0</v>
      </c>
      <c r="O1185" s="53" t="n">
        <v>0</v>
      </c>
      <c r="P1185" s="52" t="n">
        <v>0</v>
      </c>
      <c r="Q1185" s="53" t="n">
        <v>0</v>
      </c>
      <c r="R1185" s="52" t="n">
        <v>0</v>
      </c>
      <c r="S1185" s="51" t="n">
        <v>0</v>
      </c>
      <c r="T1185" s="48" t="n">
        <v>0</v>
      </c>
      <c r="U1185" s="49" t="n">
        <v>0</v>
      </c>
      <c r="V1185" s="49" t="n">
        <v>0</v>
      </c>
      <c r="W1185" s="50" t="n">
        <v>0</v>
      </c>
      <c r="X1185" s="51" t="n">
        <v>0</v>
      </c>
      <c r="Y1185" s="52" t="n">
        <v>0</v>
      </c>
      <c r="Z1185" s="52" t="n">
        <v>0</v>
      </c>
      <c r="AA1185" s="52" t="n">
        <v>0</v>
      </c>
      <c r="AB1185" s="53" t="n">
        <v>0</v>
      </c>
      <c r="AC1185" s="52" t="n">
        <v>0</v>
      </c>
      <c r="AD1185" s="53" t="n">
        <v>0</v>
      </c>
      <c r="AE1185" s="52" t="n">
        <v>0</v>
      </c>
      <c r="AF1185" s="51" t="n">
        <v>0</v>
      </c>
      <c r="AG1185" s="48" t="n">
        <v>0</v>
      </c>
      <c r="AH1185" s="49" t="n">
        <v>0</v>
      </c>
      <c r="AI1185" s="49" t="n">
        <v>0</v>
      </c>
      <c r="AJ1185" s="50" t="n">
        <v>0</v>
      </c>
      <c r="AK1185" s="51" t="n">
        <v>0</v>
      </c>
      <c r="AL1185" s="52" t="n">
        <v>0</v>
      </c>
      <c r="AM1185" s="52" t="n">
        <v>0</v>
      </c>
      <c r="AN1185" s="52" t="n">
        <v>0</v>
      </c>
      <c r="AO1185" s="53" t="n">
        <v>0</v>
      </c>
      <c r="AP1185" s="52" t="n">
        <v>0</v>
      </c>
      <c r="AQ1185" s="53" t="n">
        <v>0</v>
      </c>
      <c r="AR1185" s="52" t="n">
        <v>0</v>
      </c>
      <c r="AS1185" s="51" t="n">
        <v>0</v>
      </c>
      <c r="AT1185" s="48" t="n">
        <v>0</v>
      </c>
      <c r="AU1185" s="49" t="n">
        <v>0</v>
      </c>
      <c r="AV1185" s="49" t="n">
        <v>0</v>
      </c>
      <c r="AW1185" s="50" t="n">
        <v>0</v>
      </c>
      <c r="AX1185" s="51" t="n">
        <v>0</v>
      </c>
      <c r="AY1185" s="52" t="n">
        <v>0</v>
      </c>
      <c r="AZ1185" s="52" t="n">
        <v>0</v>
      </c>
      <c r="BA1185" s="52" t="n">
        <v>0</v>
      </c>
      <c r="BB1185" s="53" t="n">
        <v>0</v>
      </c>
      <c r="BC1185" s="52" t="n">
        <v>0</v>
      </c>
      <c r="BD1185" s="53" t="n">
        <v>0</v>
      </c>
      <c r="BE1185" s="52" t="n">
        <v>0</v>
      </c>
      <c r="BF1185" s="51" t="n">
        <v>0</v>
      </c>
    </row>
    <row r="1186">
      <c r="A1186">
        <f>HYPERLINK("https://www.walmart.com/ip/795333184", "795333184")</f>
        <v/>
      </c>
      <c r="B1186" t="inlineStr">
        <is>
          <t>Kato 9 Cans Small Insulated Lunch Bag, Mini Thermal Portable Cooler Lunch Box Tote with Dual Zipper Closure for Students, Men and Women, Gray</t>
        </is>
      </c>
      <c r="C1186" t="inlineStr">
        <is>
          <t>1KTLB100BK</t>
        </is>
      </c>
      <c r="D1186" t="inlineStr">
        <is>
          <t>Reusable Lunch Bags &amp; Boxes</t>
        </is>
      </c>
      <c r="E1186" t="inlineStr">
        <is>
          <t>Kato</t>
        </is>
      </c>
      <c r="F1186" t="inlineStr">
        <is>
          <t>Q2-Target,Lunch Bag,Lunch Bags,SEM,Wal-Exl-Price</t>
        </is>
      </c>
      <c r="G1186" s="48" t="n">
        <v>0</v>
      </c>
      <c r="H1186" s="49" t="n">
        <v>0</v>
      </c>
      <c r="I1186" s="49" t="n">
        <v>5</v>
      </c>
      <c r="J1186" s="50" t="n">
        <v>0</v>
      </c>
      <c r="K1186" s="51" t="n">
        <v>0</v>
      </c>
      <c r="L1186" s="52" t="n">
        <v>0</v>
      </c>
      <c r="M1186" s="52" t="n">
        <v>0</v>
      </c>
      <c r="N1186" s="52" t="n">
        <v>0</v>
      </c>
      <c r="O1186" s="53" t="n">
        <v>0</v>
      </c>
      <c r="P1186" s="52" t="n">
        <v>0</v>
      </c>
      <c r="Q1186" s="53" t="n">
        <v>0</v>
      </c>
      <c r="R1186" s="52" t="n">
        <v>0</v>
      </c>
      <c r="S1186" s="51" t="n">
        <v>0</v>
      </c>
      <c r="T1186" s="48" t="n">
        <v>0</v>
      </c>
      <c r="U1186" s="49" t="n">
        <v>0</v>
      </c>
      <c r="V1186" s="49" t="n">
        <v>0</v>
      </c>
      <c r="W1186" s="50" t="n">
        <v>0</v>
      </c>
      <c r="X1186" s="51" t="n">
        <v>0</v>
      </c>
      <c r="Y1186" s="52" t="n">
        <v>0</v>
      </c>
      <c r="Z1186" s="52" t="n">
        <v>0</v>
      </c>
      <c r="AA1186" s="52" t="n">
        <v>0</v>
      </c>
      <c r="AB1186" s="53" t="n">
        <v>0</v>
      </c>
      <c r="AC1186" s="52" t="n">
        <v>0</v>
      </c>
      <c r="AD1186" s="53" t="n">
        <v>0</v>
      </c>
      <c r="AE1186" s="52" t="n">
        <v>0</v>
      </c>
      <c r="AF1186" s="51" t="n">
        <v>0</v>
      </c>
      <c r="AG1186" s="48" t="n">
        <v>0</v>
      </c>
      <c r="AH1186" s="49" t="n">
        <v>0</v>
      </c>
      <c r="AI1186" s="49" t="n">
        <v>0</v>
      </c>
      <c r="AJ1186" s="50" t="n">
        <v>0</v>
      </c>
      <c r="AK1186" s="51" t="n">
        <v>0</v>
      </c>
      <c r="AL1186" s="52" t="n">
        <v>0</v>
      </c>
      <c r="AM1186" s="52" t="n">
        <v>0</v>
      </c>
      <c r="AN1186" s="52" t="n">
        <v>0</v>
      </c>
      <c r="AO1186" s="53" t="n">
        <v>0</v>
      </c>
      <c r="AP1186" s="52" t="n">
        <v>0</v>
      </c>
      <c r="AQ1186" s="53" t="n">
        <v>0</v>
      </c>
      <c r="AR1186" s="52" t="n">
        <v>0</v>
      </c>
      <c r="AS1186" s="51" t="n">
        <v>0</v>
      </c>
      <c r="AT1186" s="48" t="n">
        <v>0</v>
      </c>
      <c r="AU1186" s="49" t="n">
        <v>0</v>
      </c>
      <c r="AV1186" s="49" t="n">
        <v>2</v>
      </c>
      <c r="AW1186" s="50" t="n">
        <v>0</v>
      </c>
      <c r="AX1186" s="51" t="n">
        <v>0</v>
      </c>
      <c r="AY1186" s="52" t="n">
        <v>0</v>
      </c>
      <c r="AZ1186" s="52" t="n">
        <v>0</v>
      </c>
      <c r="BA1186" s="52" t="n">
        <v>0</v>
      </c>
      <c r="BB1186" s="53" t="n">
        <v>0</v>
      </c>
      <c r="BC1186" s="52" t="n">
        <v>0</v>
      </c>
      <c r="BD1186" s="53" t="n">
        <v>0</v>
      </c>
      <c r="BE1186" s="52" t="n">
        <v>0</v>
      </c>
      <c r="BF1186" s="51" t="n">
        <v>0</v>
      </c>
    </row>
    <row r="1187">
      <c r="A1187">
        <f>HYPERLINK("https://www.walmart.com/ip/795351614", "795351614")</f>
        <v/>
      </c>
      <c r="B1187" t="inlineStr">
        <is>
          <t>Grey Plaid Decorative Throw TV Sherpa Blanket, Soft, Warm, Comfy, Plush Fleece for Bedding, Couch and Cabin, Red Blue Buffalo Throw Blanket, 50" x 60".</t>
        </is>
      </c>
      <c r="C1187" t="inlineStr">
        <is>
          <t>1CTBF569PGY</t>
        </is>
      </c>
      <c r="D1187" t="inlineStr">
        <is>
          <t>Throws</t>
        </is>
      </c>
      <c r="E1187" t="inlineStr">
        <is>
          <t>Catalonia</t>
        </is>
      </c>
      <c r="F1187" t="inlineStr">
        <is>
          <t>Q2-Target,WFS,WFS Item</t>
        </is>
      </c>
      <c r="G1187" s="48" t="n">
        <v>0</v>
      </c>
      <c r="H1187" s="49" t="n">
        <v>0</v>
      </c>
      <c r="I1187" s="49" t="n">
        <v>0</v>
      </c>
      <c r="J1187" s="50" t="n">
        <v>0</v>
      </c>
      <c r="K1187" s="51" t="n">
        <v>0</v>
      </c>
      <c r="L1187" s="52" t="n">
        <v>0</v>
      </c>
      <c r="M1187" s="52" t="n">
        <v>0</v>
      </c>
      <c r="N1187" s="52" t="n">
        <v>0</v>
      </c>
      <c r="O1187" s="53" t="n">
        <v>0</v>
      </c>
      <c r="P1187" s="52" t="n">
        <v>0</v>
      </c>
      <c r="Q1187" s="53" t="n">
        <v>0</v>
      </c>
      <c r="R1187" s="52" t="n">
        <v>0</v>
      </c>
      <c r="S1187" s="51" t="n">
        <v>0</v>
      </c>
      <c r="T1187" s="48" t="n">
        <v>0</v>
      </c>
      <c r="U1187" s="49" t="n">
        <v>0</v>
      </c>
      <c r="V1187" s="49" t="n">
        <v>0</v>
      </c>
      <c r="W1187" s="50" t="n">
        <v>0</v>
      </c>
      <c r="X1187" s="51" t="n">
        <v>0</v>
      </c>
      <c r="Y1187" s="52" t="n">
        <v>0</v>
      </c>
      <c r="Z1187" s="52" t="n">
        <v>0</v>
      </c>
      <c r="AA1187" s="52" t="n">
        <v>0</v>
      </c>
      <c r="AB1187" s="53" t="n">
        <v>0</v>
      </c>
      <c r="AC1187" s="52" t="n">
        <v>0</v>
      </c>
      <c r="AD1187" s="53" t="n">
        <v>0</v>
      </c>
      <c r="AE1187" s="52" t="n">
        <v>0</v>
      </c>
      <c r="AF1187" s="51" t="n">
        <v>0</v>
      </c>
      <c r="AG1187" s="48" t="n">
        <v>0</v>
      </c>
      <c r="AH1187" s="49" t="n">
        <v>0</v>
      </c>
      <c r="AI1187" s="49" t="n">
        <v>0</v>
      </c>
      <c r="AJ1187" s="50" t="n">
        <v>0</v>
      </c>
      <c r="AK1187" s="51" t="n">
        <v>0</v>
      </c>
      <c r="AL1187" s="52" t="n">
        <v>0</v>
      </c>
      <c r="AM1187" s="52" t="n">
        <v>0</v>
      </c>
      <c r="AN1187" s="52" t="n">
        <v>0</v>
      </c>
      <c r="AO1187" s="53" t="n">
        <v>0</v>
      </c>
      <c r="AP1187" s="52" t="n">
        <v>0</v>
      </c>
      <c r="AQ1187" s="53" t="n">
        <v>0</v>
      </c>
      <c r="AR1187" s="52" t="n">
        <v>0</v>
      </c>
      <c r="AS1187" s="51" t="n">
        <v>0</v>
      </c>
      <c r="AT1187" s="48" t="n">
        <v>0</v>
      </c>
      <c r="AU1187" s="49" t="n">
        <v>0</v>
      </c>
      <c r="AV1187" s="49" t="n">
        <v>0</v>
      </c>
      <c r="AW1187" s="50" t="n">
        <v>0</v>
      </c>
      <c r="AX1187" s="51" t="n">
        <v>0</v>
      </c>
      <c r="AY1187" s="52" t="n">
        <v>0</v>
      </c>
      <c r="AZ1187" s="52" t="n">
        <v>0</v>
      </c>
      <c r="BA1187" s="52" t="n">
        <v>0</v>
      </c>
      <c r="BB1187" s="53" t="n">
        <v>0</v>
      </c>
      <c r="BC1187" s="52" t="n">
        <v>0</v>
      </c>
      <c r="BD1187" s="53" t="n">
        <v>0</v>
      </c>
      <c r="BE1187" s="52" t="n">
        <v>0</v>
      </c>
      <c r="BF1187" s="51" t="n">
        <v>0</v>
      </c>
    </row>
    <row r="1188">
      <c r="A1188">
        <f>HYPERLINK("https://www.walmart.com/ip/795483021", "795483021")</f>
        <v/>
      </c>
      <c r="B1188" t="inlineStr">
        <is>
          <t>Kato Outdoor Wine Picnic Table, Folding Portable Bamboo Camping Table with Wine Glasses and Bottle Holder for Concerts at the Park or Beach, Ideal Wine Lover Gift</t>
        </is>
      </c>
      <c r="C1188" t="inlineStr">
        <is>
          <t>1KTPT100</t>
        </is>
      </c>
      <c r="D1188" t="inlineStr">
        <is>
          <t>Picnic Tables</t>
        </is>
      </c>
      <c r="E1188" t="inlineStr">
        <is>
          <t>Kato</t>
        </is>
      </c>
      <c r="F1188" t="inlineStr">
        <is>
          <t>Wine,Optimized,WFS,Wine WFS,Valentine,SEM,WFS Item</t>
        </is>
      </c>
      <c r="G1188" s="48" t="n">
        <v>0</v>
      </c>
      <c r="H1188" s="49" t="n">
        <v>0</v>
      </c>
      <c r="I1188" s="49" t="n">
        <v>0</v>
      </c>
      <c r="J1188" s="50" t="n">
        <v>0</v>
      </c>
      <c r="K1188" s="51" t="n">
        <v>0</v>
      </c>
      <c r="L1188" s="52" t="n">
        <v>0</v>
      </c>
      <c r="M1188" s="52" t="n">
        <v>0</v>
      </c>
      <c r="N1188" s="52" t="n">
        <v>0</v>
      </c>
      <c r="O1188" s="53" t="n">
        <v>0</v>
      </c>
      <c r="P1188" s="52" t="n">
        <v>0</v>
      </c>
      <c r="Q1188" s="53" t="n">
        <v>0</v>
      </c>
      <c r="R1188" s="52" t="n">
        <v>0</v>
      </c>
      <c r="S1188" s="51" t="n">
        <v>0</v>
      </c>
      <c r="T1188" s="48" t="n">
        <v>0</v>
      </c>
      <c r="U1188" s="49" t="n">
        <v>0</v>
      </c>
      <c r="V1188" s="49" t="n">
        <v>0</v>
      </c>
      <c r="W1188" s="50" t="n">
        <v>0</v>
      </c>
      <c r="X1188" s="51" t="n">
        <v>0</v>
      </c>
      <c r="Y1188" s="52" t="n">
        <v>0</v>
      </c>
      <c r="Z1188" s="52" t="n">
        <v>0</v>
      </c>
      <c r="AA1188" s="52" t="n">
        <v>0</v>
      </c>
      <c r="AB1188" s="53" t="n">
        <v>0</v>
      </c>
      <c r="AC1188" s="52" t="n">
        <v>0</v>
      </c>
      <c r="AD1188" s="53" t="n">
        <v>0</v>
      </c>
      <c r="AE1188" s="52" t="n">
        <v>0</v>
      </c>
      <c r="AF1188" s="51" t="n">
        <v>0</v>
      </c>
      <c r="AG1188" s="48" t="n">
        <v>0</v>
      </c>
      <c r="AH1188" s="49" t="n">
        <v>0</v>
      </c>
      <c r="AI1188" s="49" t="n">
        <v>0</v>
      </c>
      <c r="AJ1188" s="50" t="n">
        <v>0</v>
      </c>
      <c r="AK1188" s="51" t="n">
        <v>0</v>
      </c>
      <c r="AL1188" s="52" t="n">
        <v>0</v>
      </c>
      <c r="AM1188" s="52" t="n">
        <v>0</v>
      </c>
      <c r="AN1188" s="52" t="n">
        <v>0</v>
      </c>
      <c r="AO1188" s="53" t="n">
        <v>0</v>
      </c>
      <c r="AP1188" s="52" t="n">
        <v>0</v>
      </c>
      <c r="AQ1188" s="53" t="n">
        <v>0</v>
      </c>
      <c r="AR1188" s="52" t="n">
        <v>0</v>
      </c>
      <c r="AS1188" s="51" t="n">
        <v>0</v>
      </c>
      <c r="AT1188" s="48" t="n">
        <v>0</v>
      </c>
      <c r="AU1188" s="49" t="n">
        <v>0</v>
      </c>
      <c r="AV1188" s="49" t="n">
        <v>0</v>
      </c>
      <c r="AW1188" s="50" t="n">
        <v>0</v>
      </c>
      <c r="AX1188" s="51" t="n">
        <v>0</v>
      </c>
      <c r="AY1188" s="52" t="n">
        <v>0</v>
      </c>
      <c r="AZ1188" s="52" t="n">
        <v>0</v>
      </c>
      <c r="BA1188" s="52" t="n">
        <v>0</v>
      </c>
      <c r="BB1188" s="53" t="n">
        <v>0</v>
      </c>
      <c r="BC1188" s="52" t="n">
        <v>0</v>
      </c>
      <c r="BD1188" s="53" t="n">
        <v>0</v>
      </c>
      <c r="BE1188" s="52" t="n">
        <v>0</v>
      </c>
      <c r="BF1188" s="51" t="n">
        <v>0</v>
      </c>
    </row>
    <row r="1189">
      <c r="A1189">
        <f>HYPERLINK("https://www.walmart.com/ip/795661025", "795661025")</f>
        <v/>
      </c>
      <c r="B1189" t="inlineStr">
        <is>
          <t>Sun Hat for Men, Sun Cap with Neck Flap for Fishing, Safari, Cycling, Hiking, Garden, Backpacking, UPF50+, Grey</t>
        </is>
      </c>
      <c r="C1189" t="inlineStr">
        <is>
          <t>KC-S9153-GY</t>
        </is>
      </c>
      <c r="D1189" t="inlineStr">
        <is>
          <t>Hats</t>
        </is>
      </c>
      <c r="E1189" t="inlineStr">
        <is>
          <t>Sun Blocker</t>
        </is>
      </c>
      <c r="F1189" t="inlineStr">
        <is>
          <t>Hats</t>
        </is>
      </c>
      <c r="G1189" s="48" t="n">
        <v>0</v>
      </c>
      <c r="H1189" s="49" t="n">
        <v>0</v>
      </c>
      <c r="I1189" s="49" t="n">
        <v>0</v>
      </c>
      <c r="J1189" s="50" t="n">
        <v>0</v>
      </c>
      <c r="K1189" s="51" t="n">
        <v>0</v>
      </c>
      <c r="L1189" s="52" t="n">
        <v>0</v>
      </c>
      <c r="M1189" s="52" t="n">
        <v>0</v>
      </c>
      <c r="N1189" s="52" t="n">
        <v>0</v>
      </c>
      <c r="O1189" s="53" t="n">
        <v>0</v>
      </c>
      <c r="P1189" s="52" t="n">
        <v>0</v>
      </c>
      <c r="Q1189" s="53" t="n">
        <v>0</v>
      </c>
      <c r="R1189" s="52" t="n">
        <v>0</v>
      </c>
      <c r="S1189" s="51" t="n">
        <v>0</v>
      </c>
      <c r="T1189" s="48" t="n">
        <v>14.99</v>
      </c>
      <c r="U1189" s="49" t="n">
        <v>1</v>
      </c>
      <c r="V1189" s="49" t="n">
        <v>0</v>
      </c>
      <c r="W1189" s="50" t="n">
        <v>0</v>
      </c>
      <c r="X1189" s="51" t="n">
        <v>0</v>
      </c>
      <c r="Y1189" s="52" t="n">
        <v>0</v>
      </c>
      <c r="Z1189" s="52" t="n">
        <v>0</v>
      </c>
      <c r="AA1189" s="52" t="n">
        <v>0</v>
      </c>
      <c r="AB1189" s="53" t="n">
        <v>0</v>
      </c>
      <c r="AC1189" s="52" t="n">
        <v>0</v>
      </c>
      <c r="AD1189" s="53" t="n">
        <v>0</v>
      </c>
      <c r="AE1189" s="52" t="n">
        <v>14.99</v>
      </c>
      <c r="AF1189" s="51" t="n">
        <v>0</v>
      </c>
      <c r="AG1189" s="48" t="n">
        <v>0</v>
      </c>
      <c r="AH1189" s="49" t="n">
        <v>0</v>
      </c>
      <c r="AI1189" s="49" t="n">
        <v>0</v>
      </c>
      <c r="AJ1189" s="50" t="n">
        <v>0</v>
      </c>
      <c r="AK1189" s="51" t="n">
        <v>0</v>
      </c>
      <c r="AL1189" s="52" t="n">
        <v>0</v>
      </c>
      <c r="AM1189" s="52" t="n">
        <v>0</v>
      </c>
      <c r="AN1189" s="52" t="n">
        <v>0</v>
      </c>
      <c r="AO1189" s="53" t="n">
        <v>0</v>
      </c>
      <c r="AP1189" s="52" t="n">
        <v>0</v>
      </c>
      <c r="AQ1189" s="53" t="n">
        <v>0</v>
      </c>
      <c r="AR1189" s="52" t="n">
        <v>0</v>
      </c>
      <c r="AS1189" s="51" t="n">
        <v>0</v>
      </c>
      <c r="AT1189" s="48" t="n">
        <v>0</v>
      </c>
      <c r="AU1189" s="49" t="n">
        <v>0</v>
      </c>
      <c r="AV1189" s="49" t="n">
        <v>0</v>
      </c>
      <c r="AW1189" s="50" t="n">
        <v>0</v>
      </c>
      <c r="AX1189" s="51" t="n">
        <v>0</v>
      </c>
      <c r="AY1189" s="52" t="n">
        <v>0</v>
      </c>
      <c r="AZ1189" s="52" t="n">
        <v>0</v>
      </c>
      <c r="BA1189" s="52" t="n">
        <v>0</v>
      </c>
      <c r="BB1189" s="53" t="n">
        <v>0</v>
      </c>
      <c r="BC1189" s="52" t="n">
        <v>0</v>
      </c>
      <c r="BD1189" s="53" t="n">
        <v>0</v>
      </c>
      <c r="BE1189" s="52" t="n">
        <v>0</v>
      </c>
      <c r="BF1189" s="51" t="n">
        <v>0</v>
      </c>
    </row>
    <row r="1190">
      <c r="A1190">
        <f>HYPERLINK("https://www.walmart.com/ip/797276188", "797276188")</f>
        <v/>
      </c>
      <c r="B1190" t="inlineStr">
        <is>
          <t>Catalonia Sherpa Wearable Blanket Poncho for Adult Women Men, Wrap Blanket Cape with Pocket, Warm, Soft, Cozy, Snuggly, Comfort Gift, No Sleeves, Cow Print</t>
        </is>
      </c>
      <c r="C1190" t="inlineStr">
        <is>
          <t>1CTBP110DMT</t>
        </is>
      </c>
      <c r="D1190" t="inlineStr">
        <is>
          <t>Throws</t>
        </is>
      </c>
      <c r="E1190" t="inlineStr">
        <is>
          <t>Catalonia</t>
        </is>
      </c>
      <c r="F1190" t="inlineStr">
        <is>
          <t>Hero 5 Holidays,WFS,WFS Item</t>
        </is>
      </c>
      <c r="G1190" s="48" t="n">
        <v>0</v>
      </c>
      <c r="H1190" s="49" t="n">
        <v>0</v>
      </c>
      <c r="I1190" s="49" t="n">
        <v>0</v>
      </c>
      <c r="J1190" s="50" t="n">
        <v>0</v>
      </c>
      <c r="K1190" s="51" t="n">
        <v>0</v>
      </c>
      <c r="L1190" s="52" t="n">
        <v>0</v>
      </c>
      <c r="M1190" s="52" t="n">
        <v>0</v>
      </c>
      <c r="N1190" s="52" t="n">
        <v>0</v>
      </c>
      <c r="O1190" s="53" t="n">
        <v>0</v>
      </c>
      <c r="P1190" s="52" t="n">
        <v>0</v>
      </c>
      <c r="Q1190" s="53" t="n">
        <v>0</v>
      </c>
      <c r="R1190" s="52" t="n">
        <v>0</v>
      </c>
      <c r="S1190" s="51" t="n">
        <v>0</v>
      </c>
      <c r="T1190" s="48" t="n">
        <v>0</v>
      </c>
      <c r="U1190" s="49" t="n">
        <v>0</v>
      </c>
      <c r="V1190" s="49" t="n">
        <v>0</v>
      </c>
      <c r="W1190" s="50" t="n">
        <v>0</v>
      </c>
      <c r="X1190" s="51" t="n">
        <v>0</v>
      </c>
      <c r="Y1190" s="52" t="n">
        <v>0</v>
      </c>
      <c r="Z1190" s="52" t="n">
        <v>0</v>
      </c>
      <c r="AA1190" s="52" t="n">
        <v>0</v>
      </c>
      <c r="AB1190" s="53" t="n">
        <v>0</v>
      </c>
      <c r="AC1190" s="52" t="n">
        <v>0</v>
      </c>
      <c r="AD1190" s="53" t="n">
        <v>0</v>
      </c>
      <c r="AE1190" s="52" t="n">
        <v>0</v>
      </c>
      <c r="AF1190" s="51" t="n">
        <v>0</v>
      </c>
      <c r="AG1190" s="48" t="n">
        <v>0</v>
      </c>
      <c r="AH1190" s="49" t="n">
        <v>0</v>
      </c>
      <c r="AI1190" s="49" t="n">
        <v>0</v>
      </c>
      <c r="AJ1190" s="50" t="n">
        <v>0</v>
      </c>
      <c r="AK1190" s="51" t="n">
        <v>0</v>
      </c>
      <c r="AL1190" s="52" t="n">
        <v>0</v>
      </c>
      <c r="AM1190" s="52" t="n">
        <v>0</v>
      </c>
      <c r="AN1190" s="52" t="n">
        <v>0</v>
      </c>
      <c r="AO1190" s="53" t="n">
        <v>0</v>
      </c>
      <c r="AP1190" s="52" t="n">
        <v>0</v>
      </c>
      <c r="AQ1190" s="53" t="n">
        <v>0</v>
      </c>
      <c r="AR1190" s="52" t="n">
        <v>0</v>
      </c>
      <c r="AS1190" s="51" t="n">
        <v>0</v>
      </c>
      <c r="AT1190" s="48" t="n">
        <v>0</v>
      </c>
      <c r="AU1190" s="49" t="n">
        <v>0</v>
      </c>
      <c r="AV1190" s="49" t="n">
        <v>0</v>
      </c>
      <c r="AW1190" s="50" t="n">
        <v>0</v>
      </c>
      <c r="AX1190" s="51" t="n">
        <v>0</v>
      </c>
      <c r="AY1190" s="52" t="n">
        <v>0</v>
      </c>
      <c r="AZ1190" s="52" t="n">
        <v>0</v>
      </c>
      <c r="BA1190" s="52" t="n">
        <v>0</v>
      </c>
      <c r="BB1190" s="53" t="n">
        <v>0</v>
      </c>
      <c r="BC1190" s="52" t="n">
        <v>0</v>
      </c>
      <c r="BD1190" s="53" t="n">
        <v>0</v>
      </c>
      <c r="BE1190" s="52" t="n">
        <v>0</v>
      </c>
      <c r="BF1190" s="51" t="n">
        <v>0</v>
      </c>
    </row>
    <row r="1191">
      <c r="A1191">
        <f>HYPERLINK("https://www.walmart.com/ip/812625607", "812625607")</f>
        <v/>
      </c>
      <c r="B1191" t="inlineStr">
        <is>
          <t>Catalonia Mermaid Tail Fleece Blanket, Soft Flannel All Seasons Bed Blanket for Kids, Adults, Rainbow Ombre Fish Scale Design Snuggle Blanket, Ideal Gift for Holidays, 61" x 20"</t>
        </is>
      </c>
      <c r="C1191" t="inlineStr">
        <is>
          <t>1CTMM500MUL</t>
        </is>
      </c>
      <c r="D1191" t="inlineStr">
        <is>
          <t>Throws</t>
        </is>
      </c>
      <c r="E1191" t="inlineStr">
        <is>
          <t>Catalonia</t>
        </is>
      </c>
      <c r="F1191" t="inlineStr">
        <is>
          <t>Q2-Target,Baby days,Optimized,WFS,WFS Item</t>
        </is>
      </c>
      <c r="G1191" s="48" t="n">
        <v>0</v>
      </c>
      <c r="H1191" s="49" t="n">
        <v>0</v>
      </c>
      <c r="I1191" s="49" t="n">
        <v>12</v>
      </c>
      <c r="J1191" s="50" t="n">
        <v>0</v>
      </c>
      <c r="K1191" s="51" t="n">
        <v>5</v>
      </c>
      <c r="L1191" s="52" t="n">
        <v>1.04</v>
      </c>
      <c r="M1191" s="52" t="n">
        <v>17.99</v>
      </c>
      <c r="N1191" s="52" t="n">
        <v>17.3</v>
      </c>
      <c r="O1191" s="53" t="n">
        <v>0.0024</v>
      </c>
      <c r="P1191" s="52" t="n">
        <v>0.208</v>
      </c>
      <c r="Q1191" s="53" t="n">
        <v>0</v>
      </c>
      <c r="R1191" s="52" t="n">
        <v>0</v>
      </c>
      <c r="S1191" s="51" t="n">
        <v>2065</v>
      </c>
      <c r="T1191" s="48" t="n">
        <v>53.97</v>
      </c>
      <c r="U1191" s="49" t="n">
        <v>3</v>
      </c>
      <c r="V1191" s="49" t="n">
        <v>14</v>
      </c>
      <c r="W1191" s="50" t="n">
        <v>0.2142857142857143</v>
      </c>
      <c r="X1191" s="51" t="n">
        <v>8</v>
      </c>
      <c r="Y1191" s="52" t="n">
        <v>1.67</v>
      </c>
      <c r="Z1191" s="52" t="n">
        <v>35.98</v>
      </c>
      <c r="AA1191" s="52" t="n">
        <v>21.54</v>
      </c>
      <c r="AB1191" s="53" t="n">
        <v>0.0037</v>
      </c>
      <c r="AC1191" s="52" t="n">
        <v>0.20875</v>
      </c>
      <c r="AD1191" s="53" t="n">
        <v>0.03094311654622938</v>
      </c>
      <c r="AE1191" s="52" t="n">
        <v>17.99</v>
      </c>
      <c r="AF1191" s="51" t="n">
        <v>2169</v>
      </c>
      <c r="AG1191" s="48" t="n">
        <v>17.99</v>
      </c>
      <c r="AH1191" s="49" t="n">
        <v>1</v>
      </c>
      <c r="AI1191" s="49" t="n">
        <v>13</v>
      </c>
      <c r="AJ1191" s="50" t="n">
        <v>0.07692307692307693</v>
      </c>
      <c r="AK1191" s="51" t="n">
        <v>9</v>
      </c>
      <c r="AL1191" s="52" t="n">
        <v>1.89</v>
      </c>
      <c r="AM1191" s="52" t="n">
        <v>17.99</v>
      </c>
      <c r="AN1191" s="52" t="n">
        <v>9.52</v>
      </c>
      <c r="AO1191" s="53" t="n">
        <v>0.0038</v>
      </c>
      <c r="AP1191" s="52" t="n">
        <v>0.21</v>
      </c>
      <c r="AQ1191" s="53" t="n">
        <v>0.1050583657587549</v>
      </c>
      <c r="AR1191" s="52" t="n">
        <v>17.99</v>
      </c>
      <c r="AS1191" s="51" t="n">
        <v>2391</v>
      </c>
      <c r="AT1191" s="48" t="n">
        <v>35.98</v>
      </c>
      <c r="AU1191" s="49" t="n">
        <v>2</v>
      </c>
      <c r="AV1191" s="49" t="n">
        <v>10</v>
      </c>
      <c r="AW1191" s="50" t="n">
        <v>0.2</v>
      </c>
      <c r="AX1191" s="51" t="n">
        <v>11</v>
      </c>
      <c r="AY1191" s="52" t="n">
        <v>2.3</v>
      </c>
      <c r="AZ1191" s="52" t="n">
        <v>71.95999999999999</v>
      </c>
      <c r="BA1191" s="52" t="n">
        <v>31.29</v>
      </c>
      <c r="BB1191" s="53" t="n">
        <v>0.004</v>
      </c>
      <c r="BC1191" s="52" t="n">
        <v>0.2090909090909091</v>
      </c>
      <c r="BD1191" s="53" t="n">
        <v>0.06392440244580322</v>
      </c>
      <c r="BE1191" s="52" t="n">
        <v>17.99</v>
      </c>
      <c r="BF1191" s="51" t="n">
        <v>2779</v>
      </c>
    </row>
    <row r="1192">
      <c r="A1192">
        <f>HYPERLINK("https://www.walmart.com/ip/8132070606", "8132070606")</f>
        <v/>
      </c>
      <c r="B1192" t="inlineStr">
        <is>
          <t>Catalonia Hooded Blanket Poncho | Wearable Blanket Wrap with Hand Pockets | Comfy Sherpa Fleece Throw Cape for Children and Adults, Christmas Thanksgiving Mother Gift, Horse</t>
        </is>
      </c>
      <c r="C1192" t="inlineStr">
        <is>
          <t>1CTBC100TPHORSE</t>
        </is>
      </c>
      <c r="D1192" t="inlineStr">
        <is>
          <t>Throws</t>
        </is>
      </c>
      <c r="E1192" t="inlineStr">
        <is>
          <t>Catalonia</t>
        </is>
      </c>
      <c r="G1192" s="48" t="n">
        <v>0</v>
      </c>
      <c r="H1192" s="49" t="n">
        <v>0</v>
      </c>
      <c r="I1192" s="49" t="n">
        <v>0</v>
      </c>
      <c r="J1192" s="50" t="n">
        <v>0</v>
      </c>
      <c r="K1192" s="51" t="n">
        <v>0</v>
      </c>
      <c r="L1192" s="52" t="n">
        <v>0</v>
      </c>
      <c r="M1192" s="52" t="n">
        <v>0</v>
      </c>
      <c r="N1192" s="52" t="n">
        <v>0</v>
      </c>
      <c r="O1192" s="53" t="n">
        <v>0</v>
      </c>
      <c r="P1192" s="52" t="n">
        <v>0</v>
      </c>
      <c r="Q1192" s="53" t="n">
        <v>0</v>
      </c>
      <c r="R1192" s="52" t="n">
        <v>0</v>
      </c>
      <c r="S1192" s="51" t="n">
        <v>0</v>
      </c>
      <c r="T1192" s="48" t="n">
        <v>0</v>
      </c>
      <c r="U1192" s="49" t="n">
        <v>0</v>
      </c>
      <c r="V1192" s="49" t="n">
        <v>0</v>
      </c>
      <c r="W1192" s="50" t="n">
        <v>0</v>
      </c>
      <c r="X1192" s="51" t="n">
        <v>0</v>
      </c>
      <c r="Y1192" s="52" t="n">
        <v>0</v>
      </c>
      <c r="Z1192" s="52" t="n">
        <v>0</v>
      </c>
      <c r="AA1192" s="52" t="n">
        <v>0</v>
      </c>
      <c r="AB1192" s="53" t="n">
        <v>0</v>
      </c>
      <c r="AC1192" s="52" t="n">
        <v>0</v>
      </c>
      <c r="AD1192" s="53" t="n">
        <v>0</v>
      </c>
      <c r="AE1192" s="52" t="n">
        <v>0</v>
      </c>
      <c r="AF1192" s="51" t="n">
        <v>0</v>
      </c>
      <c r="AG1192" s="48" t="n">
        <v>0</v>
      </c>
      <c r="AH1192" s="49" t="n">
        <v>0</v>
      </c>
      <c r="AI1192" s="49" t="n">
        <v>0</v>
      </c>
      <c r="AJ1192" s="50" t="n">
        <v>0</v>
      </c>
      <c r="AK1192" s="51" t="n">
        <v>0</v>
      </c>
      <c r="AL1192" s="52" t="n">
        <v>0</v>
      </c>
      <c r="AM1192" s="52" t="n">
        <v>0</v>
      </c>
      <c r="AN1192" s="52" t="n">
        <v>0</v>
      </c>
      <c r="AO1192" s="53" t="n">
        <v>0</v>
      </c>
      <c r="AP1192" s="52" t="n">
        <v>0</v>
      </c>
      <c r="AQ1192" s="53" t="n">
        <v>0</v>
      </c>
      <c r="AR1192" s="52" t="n">
        <v>0</v>
      </c>
      <c r="AS1192" s="51" t="n">
        <v>0</v>
      </c>
      <c r="AT1192" s="48" t="n">
        <v>0</v>
      </c>
      <c r="AU1192" s="49" t="n">
        <v>0</v>
      </c>
      <c r="AV1192" s="49" t="n">
        <v>0</v>
      </c>
      <c r="AW1192" s="50" t="n">
        <v>0</v>
      </c>
      <c r="AX1192" s="51" t="n">
        <v>0</v>
      </c>
      <c r="AY1192" s="52" t="n">
        <v>0</v>
      </c>
      <c r="AZ1192" s="52" t="n">
        <v>0</v>
      </c>
      <c r="BA1192" s="52" t="n">
        <v>0</v>
      </c>
      <c r="BB1192" s="53" t="n">
        <v>0</v>
      </c>
      <c r="BC1192" s="52" t="n">
        <v>0</v>
      </c>
      <c r="BD1192" s="53" t="n">
        <v>0</v>
      </c>
      <c r="BE1192" s="52" t="n">
        <v>0</v>
      </c>
      <c r="BF1192" s="51" t="n">
        <v>0</v>
      </c>
    </row>
    <row r="1193">
      <c r="A1193">
        <f>HYPERLINK("https://www.walmart.com/ip/740898962", "740898962")</f>
        <v/>
      </c>
      <c r="B1193" t="inlineStr">
        <is>
          <t>Insulated Expandable Lunch Bags Tote Thermal Cooler Leak Proof Travel Container Food Case for Adults Adjustable Shoulder</t>
        </is>
      </c>
      <c r="C1193" t="inlineStr">
        <is>
          <t>1KTLB110PP</t>
        </is>
      </c>
      <c r="D1193" t="inlineStr">
        <is>
          <t>Reusable Lunch Bags &amp; Boxes</t>
        </is>
      </c>
      <c r="E1193" t="inlineStr">
        <is>
          <t>Kato</t>
        </is>
      </c>
      <c r="F1193" t="inlineStr">
        <is>
          <t>Lunch Bag,Optimized,Lunch Bags,SEM</t>
        </is>
      </c>
      <c r="G1193" s="48" t="n">
        <v>0</v>
      </c>
      <c r="H1193" s="49" t="n">
        <v>0</v>
      </c>
      <c r="I1193" s="49" t="n">
        <v>0</v>
      </c>
      <c r="J1193" s="50" t="n">
        <v>0</v>
      </c>
      <c r="K1193" s="51" t="n">
        <v>0</v>
      </c>
      <c r="L1193" s="52" t="n">
        <v>0</v>
      </c>
      <c r="M1193" s="52" t="n">
        <v>0</v>
      </c>
      <c r="N1193" s="52" t="n">
        <v>0</v>
      </c>
      <c r="O1193" s="53" t="n">
        <v>0</v>
      </c>
      <c r="P1193" s="52" t="n">
        <v>0</v>
      </c>
      <c r="Q1193" s="53" t="n">
        <v>0</v>
      </c>
      <c r="R1193" s="52" t="n">
        <v>0</v>
      </c>
      <c r="S1193" s="51" t="n">
        <v>0</v>
      </c>
      <c r="T1193" s="48" t="n">
        <v>0</v>
      </c>
      <c r="U1193" s="49" t="n">
        <v>0</v>
      </c>
      <c r="V1193" s="49" t="n">
        <v>0</v>
      </c>
      <c r="W1193" s="50" t="n">
        <v>0</v>
      </c>
      <c r="X1193" s="51" t="n">
        <v>0</v>
      </c>
      <c r="Y1193" s="52" t="n">
        <v>0</v>
      </c>
      <c r="Z1193" s="52" t="n">
        <v>0</v>
      </c>
      <c r="AA1193" s="52" t="n">
        <v>0</v>
      </c>
      <c r="AB1193" s="53" t="n">
        <v>0</v>
      </c>
      <c r="AC1193" s="52" t="n">
        <v>0</v>
      </c>
      <c r="AD1193" s="53" t="n">
        <v>0</v>
      </c>
      <c r="AE1193" s="52" t="n">
        <v>0</v>
      </c>
      <c r="AF1193" s="51" t="n">
        <v>0</v>
      </c>
      <c r="AG1193" s="48" t="n">
        <v>0</v>
      </c>
      <c r="AH1193" s="49" t="n">
        <v>0</v>
      </c>
      <c r="AI1193" s="49" t="n">
        <v>0</v>
      </c>
      <c r="AJ1193" s="50" t="n">
        <v>0</v>
      </c>
      <c r="AK1193" s="51" t="n">
        <v>0</v>
      </c>
      <c r="AL1193" s="52" t="n">
        <v>0</v>
      </c>
      <c r="AM1193" s="52" t="n">
        <v>0</v>
      </c>
      <c r="AN1193" s="52" t="n">
        <v>0</v>
      </c>
      <c r="AO1193" s="53" t="n">
        <v>0</v>
      </c>
      <c r="AP1193" s="52" t="n">
        <v>0</v>
      </c>
      <c r="AQ1193" s="53" t="n">
        <v>0</v>
      </c>
      <c r="AR1193" s="52" t="n">
        <v>0</v>
      </c>
      <c r="AS1193" s="51" t="n">
        <v>0</v>
      </c>
      <c r="AT1193" s="48" t="n">
        <v>0</v>
      </c>
      <c r="AU1193" s="49" t="n">
        <v>0</v>
      </c>
      <c r="AV1193" s="49" t="n">
        <v>0</v>
      </c>
      <c r="AW1193" s="50" t="n">
        <v>0</v>
      </c>
      <c r="AX1193" s="51" t="n">
        <v>0</v>
      </c>
      <c r="AY1193" s="52" t="n">
        <v>0</v>
      </c>
      <c r="AZ1193" s="52" t="n">
        <v>0</v>
      </c>
      <c r="BA1193" s="52" t="n">
        <v>0</v>
      </c>
      <c r="BB1193" s="53" t="n">
        <v>0</v>
      </c>
      <c r="BC1193" s="52" t="n">
        <v>0</v>
      </c>
      <c r="BD1193" s="53" t="n">
        <v>0</v>
      </c>
      <c r="BE1193" s="52" t="n">
        <v>0</v>
      </c>
      <c r="BF1193" s="51" t="n">
        <v>0</v>
      </c>
    </row>
    <row r="1194">
      <c r="A1194">
        <f>HYPERLINK("https://www.walmart.com/ip/8182168292", "8182168292")</f>
        <v/>
      </c>
      <c r="B1194" t="inlineStr">
        <is>
          <t>Tirrinia Wearable Blanket Poncho, Cloak with hood, Poncho capes for Women, Sherpa Wrap Shawl Blanket, Cozy Fluffy Lightweight Women Mom Gift</t>
        </is>
      </c>
      <c r="C1194" t="inlineStr">
        <is>
          <t>1TRBC101NYBARK</t>
        </is>
      </c>
      <c r="D1194" t="inlineStr">
        <is>
          <t>Throws</t>
        </is>
      </c>
      <c r="E1194" t="inlineStr">
        <is>
          <t>Tirrinia</t>
        </is>
      </c>
      <c r="G1194" s="48" t="n">
        <v>0</v>
      </c>
      <c r="H1194" s="49" t="n">
        <v>0</v>
      </c>
      <c r="I1194" s="49" t="n">
        <v>0</v>
      </c>
      <c r="J1194" s="50" t="n">
        <v>0</v>
      </c>
      <c r="K1194" s="51" t="n">
        <v>0</v>
      </c>
      <c r="L1194" s="52" t="n">
        <v>0</v>
      </c>
      <c r="M1194" s="52" t="n">
        <v>0</v>
      </c>
      <c r="N1194" s="52" t="n">
        <v>0</v>
      </c>
      <c r="O1194" s="53" t="n">
        <v>0</v>
      </c>
      <c r="P1194" s="52" t="n">
        <v>0</v>
      </c>
      <c r="Q1194" s="53" t="n">
        <v>0</v>
      </c>
      <c r="R1194" s="52" t="n">
        <v>0</v>
      </c>
      <c r="S1194" s="51" t="n">
        <v>0</v>
      </c>
      <c r="T1194" s="48" t="n">
        <v>0</v>
      </c>
      <c r="U1194" s="49" t="n">
        <v>0</v>
      </c>
      <c r="V1194" s="49" t="n">
        <v>0</v>
      </c>
      <c r="W1194" s="50" t="n">
        <v>0</v>
      </c>
      <c r="X1194" s="51" t="n">
        <v>0</v>
      </c>
      <c r="Y1194" s="52" t="n">
        <v>0</v>
      </c>
      <c r="Z1194" s="52" t="n">
        <v>0</v>
      </c>
      <c r="AA1194" s="52" t="n">
        <v>0</v>
      </c>
      <c r="AB1194" s="53" t="n">
        <v>0</v>
      </c>
      <c r="AC1194" s="52" t="n">
        <v>0</v>
      </c>
      <c r="AD1194" s="53" t="n">
        <v>0</v>
      </c>
      <c r="AE1194" s="52" t="n">
        <v>0</v>
      </c>
      <c r="AF1194" s="51" t="n">
        <v>0</v>
      </c>
      <c r="AG1194" s="48" t="n">
        <v>0</v>
      </c>
      <c r="AH1194" s="49" t="n">
        <v>0</v>
      </c>
      <c r="AI1194" s="49" t="n">
        <v>0</v>
      </c>
      <c r="AJ1194" s="50" t="n">
        <v>0</v>
      </c>
      <c r="AK1194" s="51" t="n">
        <v>0</v>
      </c>
      <c r="AL1194" s="52" t="n">
        <v>0</v>
      </c>
      <c r="AM1194" s="52" t="n">
        <v>0</v>
      </c>
      <c r="AN1194" s="52" t="n">
        <v>0</v>
      </c>
      <c r="AO1194" s="53" t="n">
        <v>0</v>
      </c>
      <c r="AP1194" s="52" t="n">
        <v>0</v>
      </c>
      <c r="AQ1194" s="53" t="n">
        <v>0</v>
      </c>
      <c r="AR1194" s="52" t="n">
        <v>0</v>
      </c>
      <c r="AS1194" s="51" t="n">
        <v>0</v>
      </c>
      <c r="AT1194" s="48" t="n">
        <v>0</v>
      </c>
      <c r="AU1194" s="49" t="n">
        <v>0</v>
      </c>
      <c r="AV1194" s="49" t="n">
        <v>0</v>
      </c>
      <c r="AW1194" s="50" t="n">
        <v>0</v>
      </c>
      <c r="AX1194" s="51" t="n">
        <v>0</v>
      </c>
      <c r="AY1194" s="52" t="n">
        <v>0</v>
      </c>
      <c r="AZ1194" s="52" t="n">
        <v>0</v>
      </c>
      <c r="BA1194" s="52" t="n">
        <v>0</v>
      </c>
      <c r="BB1194" s="53" t="n">
        <v>0</v>
      </c>
      <c r="BC1194" s="52" t="n">
        <v>0</v>
      </c>
      <c r="BD1194" s="53" t="n">
        <v>0</v>
      </c>
      <c r="BE1194" s="52" t="n">
        <v>0</v>
      </c>
      <c r="BF1194" s="51" t="n">
        <v>0</v>
      </c>
    </row>
    <row r="1195">
      <c r="A1195">
        <f>HYPERLINK("https://www.walmart.com/ip/818741888", "818741888")</f>
        <v/>
      </c>
      <c r="B1195" t="inlineStr">
        <is>
          <t>Catalonia Women’s Sherpa Hoodie Sweatshirt Dress, Casual Snuggle Wearable Blanket Pullover Sweater with Kangaroo Pocket, Warm and Soft, Gift for Her, Pink</t>
        </is>
      </c>
      <c r="C1195" t="inlineStr">
        <is>
          <t>1CTHD532PK</t>
        </is>
      </c>
      <c r="D1195" t="inlineStr">
        <is>
          <t>Sweatshirts &amp; Hoodies</t>
        </is>
      </c>
      <c r="E1195" t="inlineStr">
        <is>
          <t>Catalonia</t>
        </is>
      </c>
      <c r="F1195" t="inlineStr">
        <is>
          <t>Hoodie ForAdult,Optimized</t>
        </is>
      </c>
      <c r="G1195" s="48" t="n">
        <v>0</v>
      </c>
      <c r="H1195" s="49" t="n">
        <v>0</v>
      </c>
      <c r="I1195" s="49" t="n">
        <v>0</v>
      </c>
      <c r="J1195" s="50" t="n">
        <v>0</v>
      </c>
      <c r="K1195" s="51" t="n">
        <v>0</v>
      </c>
      <c r="L1195" s="52" t="n">
        <v>0</v>
      </c>
      <c r="M1195" s="52" t="n">
        <v>0</v>
      </c>
      <c r="N1195" s="52" t="n">
        <v>0</v>
      </c>
      <c r="O1195" s="53" t="n">
        <v>0</v>
      </c>
      <c r="P1195" s="52" t="n">
        <v>0</v>
      </c>
      <c r="Q1195" s="53" t="n">
        <v>0</v>
      </c>
      <c r="R1195" s="52" t="n">
        <v>0</v>
      </c>
      <c r="S1195" s="51" t="n">
        <v>0</v>
      </c>
      <c r="T1195" s="48" t="n">
        <v>0</v>
      </c>
      <c r="U1195" s="49" t="n">
        <v>0</v>
      </c>
      <c r="V1195" s="49" t="n">
        <v>0</v>
      </c>
      <c r="W1195" s="50" t="n">
        <v>0</v>
      </c>
      <c r="X1195" s="51" t="n">
        <v>0</v>
      </c>
      <c r="Y1195" s="52" t="n">
        <v>0</v>
      </c>
      <c r="Z1195" s="52" t="n">
        <v>0</v>
      </c>
      <c r="AA1195" s="52" t="n">
        <v>0</v>
      </c>
      <c r="AB1195" s="53" t="n">
        <v>0</v>
      </c>
      <c r="AC1195" s="52" t="n">
        <v>0</v>
      </c>
      <c r="AD1195" s="53" t="n">
        <v>0</v>
      </c>
      <c r="AE1195" s="52" t="n">
        <v>0</v>
      </c>
      <c r="AF1195" s="51" t="n">
        <v>0</v>
      </c>
      <c r="AG1195" s="48" t="n">
        <v>0</v>
      </c>
      <c r="AH1195" s="49" t="n">
        <v>0</v>
      </c>
      <c r="AI1195" s="49" t="n">
        <v>0</v>
      </c>
      <c r="AJ1195" s="50" t="n">
        <v>0</v>
      </c>
      <c r="AK1195" s="51" t="n">
        <v>0</v>
      </c>
      <c r="AL1195" s="52" t="n">
        <v>0</v>
      </c>
      <c r="AM1195" s="52" t="n">
        <v>0</v>
      </c>
      <c r="AN1195" s="52" t="n">
        <v>0</v>
      </c>
      <c r="AO1195" s="53" t="n">
        <v>0</v>
      </c>
      <c r="AP1195" s="52" t="n">
        <v>0</v>
      </c>
      <c r="AQ1195" s="53" t="n">
        <v>0</v>
      </c>
      <c r="AR1195" s="52" t="n">
        <v>0</v>
      </c>
      <c r="AS1195" s="51" t="n">
        <v>0</v>
      </c>
      <c r="AT1195" s="48" t="n">
        <v>0</v>
      </c>
      <c r="AU1195" s="49" t="n">
        <v>0</v>
      </c>
      <c r="AV1195" s="49" t="n">
        <v>0</v>
      </c>
      <c r="AW1195" s="50" t="n">
        <v>0</v>
      </c>
      <c r="AX1195" s="51" t="n">
        <v>0</v>
      </c>
      <c r="AY1195" s="52" t="n">
        <v>0</v>
      </c>
      <c r="AZ1195" s="52" t="n">
        <v>0</v>
      </c>
      <c r="BA1195" s="52" t="n">
        <v>0</v>
      </c>
      <c r="BB1195" s="53" t="n">
        <v>0</v>
      </c>
      <c r="BC1195" s="52" t="n">
        <v>0</v>
      </c>
      <c r="BD1195" s="53" t="n">
        <v>0</v>
      </c>
      <c r="BE1195" s="52" t="n">
        <v>0</v>
      </c>
      <c r="BF1195" s="51" t="n">
        <v>0</v>
      </c>
    </row>
    <row r="1196">
      <c r="A1196">
        <f>HYPERLINK("https://www.walmart.com/ip/818876677", "818876677")</f>
        <v/>
      </c>
      <c r="B1196" t="inlineStr">
        <is>
          <t>Bucket Sun Hat Cute Cap for Women Fashion Fold-up Brim Packable Summer Beach by Solaris</t>
        </is>
      </c>
      <c r="C1196" t="inlineStr">
        <is>
          <t>1SLSH9200FLWPK-FSCB</t>
        </is>
      </c>
      <c r="D1196" t="inlineStr">
        <is>
          <t>Hats</t>
        </is>
      </c>
      <c r="E1196" t="inlineStr">
        <is>
          <t>Solaris</t>
        </is>
      </c>
      <c r="G1196" s="48" t="n">
        <v>0</v>
      </c>
      <c r="H1196" s="49" t="n">
        <v>0</v>
      </c>
      <c r="I1196" s="49" t="n">
        <v>0</v>
      </c>
      <c r="J1196" s="50" t="n">
        <v>0</v>
      </c>
      <c r="K1196" s="51" t="n">
        <v>0</v>
      </c>
      <c r="L1196" s="52" t="n">
        <v>0</v>
      </c>
      <c r="M1196" s="52" t="n">
        <v>0</v>
      </c>
      <c r="N1196" s="52" t="n">
        <v>0</v>
      </c>
      <c r="O1196" s="53" t="n">
        <v>0</v>
      </c>
      <c r="P1196" s="52" t="n">
        <v>0</v>
      </c>
      <c r="Q1196" s="53" t="n">
        <v>0</v>
      </c>
      <c r="R1196" s="52" t="n">
        <v>0</v>
      </c>
      <c r="S1196" s="51" t="n">
        <v>0</v>
      </c>
      <c r="T1196" s="48" t="n">
        <v>0</v>
      </c>
      <c r="U1196" s="49" t="n">
        <v>0</v>
      </c>
      <c r="V1196" s="49" t="n">
        <v>0</v>
      </c>
      <c r="W1196" s="50" t="n">
        <v>0</v>
      </c>
      <c r="X1196" s="51" t="n">
        <v>0</v>
      </c>
      <c r="Y1196" s="52" t="n">
        <v>0</v>
      </c>
      <c r="Z1196" s="52" t="n">
        <v>0</v>
      </c>
      <c r="AA1196" s="52" t="n">
        <v>0</v>
      </c>
      <c r="AB1196" s="53" t="n">
        <v>0</v>
      </c>
      <c r="AC1196" s="52" t="n">
        <v>0</v>
      </c>
      <c r="AD1196" s="53" t="n">
        <v>0</v>
      </c>
      <c r="AE1196" s="52" t="n">
        <v>0</v>
      </c>
      <c r="AF1196" s="51" t="n">
        <v>0</v>
      </c>
      <c r="AG1196" s="48" t="n">
        <v>0</v>
      </c>
      <c r="AH1196" s="49" t="n">
        <v>0</v>
      </c>
      <c r="AI1196" s="49" t="n">
        <v>0</v>
      </c>
      <c r="AJ1196" s="50" t="n">
        <v>0</v>
      </c>
      <c r="AK1196" s="51" t="n">
        <v>0</v>
      </c>
      <c r="AL1196" s="52" t="n">
        <v>0</v>
      </c>
      <c r="AM1196" s="52" t="n">
        <v>0</v>
      </c>
      <c r="AN1196" s="52" t="n">
        <v>0</v>
      </c>
      <c r="AO1196" s="53" t="n">
        <v>0</v>
      </c>
      <c r="AP1196" s="52" t="n">
        <v>0</v>
      </c>
      <c r="AQ1196" s="53" t="n">
        <v>0</v>
      </c>
      <c r="AR1196" s="52" t="n">
        <v>0</v>
      </c>
      <c r="AS1196" s="51" t="n">
        <v>0</v>
      </c>
      <c r="AT1196" s="48" t="n">
        <v>0</v>
      </c>
      <c r="AU1196" s="49" t="n">
        <v>0</v>
      </c>
      <c r="AV1196" s="49" t="n">
        <v>0</v>
      </c>
      <c r="AW1196" s="50" t="n">
        <v>0</v>
      </c>
      <c r="AX1196" s="51" t="n">
        <v>0</v>
      </c>
      <c r="AY1196" s="52" t="n">
        <v>0</v>
      </c>
      <c r="AZ1196" s="52" t="n">
        <v>0</v>
      </c>
      <c r="BA1196" s="52" t="n">
        <v>0</v>
      </c>
      <c r="BB1196" s="53" t="n">
        <v>0</v>
      </c>
      <c r="BC1196" s="52" t="n">
        <v>0</v>
      </c>
      <c r="BD1196" s="53" t="n">
        <v>0</v>
      </c>
      <c r="BE1196" s="52" t="n">
        <v>0</v>
      </c>
      <c r="BF1196" s="51" t="n">
        <v>0</v>
      </c>
    </row>
    <row r="1197">
      <c r="A1197">
        <f>HYPERLINK("https://www.walmart.com/ip/818955209", "818955209")</f>
        <v/>
      </c>
      <c r="B1197" t="inlineStr">
        <is>
          <t>Kato Insulated Wine Carrier Bag - 4 Bottle Travel Padded Wine Carrying CoolerTote with Handle and Shoulder Strap, Great Wine Lover Gift, Black</t>
        </is>
      </c>
      <c r="C1197" t="inlineStr">
        <is>
          <t>1KTWB420BK</t>
        </is>
      </c>
      <c r="D1197" t="inlineStr">
        <is>
          <t>Wine Totes, Bags &amp; Backpacks</t>
        </is>
      </c>
      <c r="E1197" t="inlineStr">
        <is>
          <t>Kato</t>
        </is>
      </c>
      <c r="F1197" t="inlineStr">
        <is>
          <t>Wine,Christmas,WFS,Wine WFS,Valentine,SEM,WFS Item</t>
        </is>
      </c>
      <c r="G1197" s="48" t="n">
        <v>0</v>
      </c>
      <c r="H1197" s="49" t="n">
        <v>0</v>
      </c>
      <c r="I1197" s="49" t="n">
        <v>0</v>
      </c>
      <c r="J1197" s="50" t="n">
        <v>0</v>
      </c>
      <c r="K1197" s="51" t="n">
        <v>5</v>
      </c>
      <c r="L1197" s="52" t="n">
        <v>2.2</v>
      </c>
      <c r="M1197" s="52" t="n">
        <v>22.99</v>
      </c>
      <c r="N1197" s="52" t="n">
        <v>10.45</v>
      </c>
      <c r="O1197" s="53" t="n">
        <v>0.0022</v>
      </c>
      <c r="P1197" s="52" t="n">
        <v>0.4400000000000001</v>
      </c>
      <c r="Q1197" s="53" t="n">
        <v>0</v>
      </c>
      <c r="R1197" s="52" t="n">
        <v>0</v>
      </c>
      <c r="S1197" s="51" t="n">
        <v>2286</v>
      </c>
      <c r="T1197" s="48" t="n">
        <v>21.99</v>
      </c>
      <c r="U1197" s="49" t="n">
        <v>1</v>
      </c>
      <c r="V1197" s="49" t="n">
        <v>0</v>
      </c>
      <c r="W1197" s="50" t="n">
        <v>0</v>
      </c>
      <c r="X1197" s="51" t="n">
        <v>8</v>
      </c>
      <c r="Y1197" s="52" t="n">
        <v>3.52</v>
      </c>
      <c r="Z1197" s="52" t="n">
        <v>21.99</v>
      </c>
      <c r="AA1197" s="52" t="n">
        <v>6.25</v>
      </c>
      <c r="AB1197" s="53" t="n">
        <v>0.0044</v>
      </c>
      <c r="AC1197" s="52" t="n">
        <v>0.44</v>
      </c>
      <c r="AD1197" s="53" t="n">
        <v>0.1600727603456117</v>
      </c>
      <c r="AE1197" s="52" t="n">
        <v>21.99</v>
      </c>
      <c r="AF1197" s="51" t="n">
        <v>1802</v>
      </c>
      <c r="AG1197" s="48" t="n">
        <v>0</v>
      </c>
      <c r="AH1197" s="49" t="n">
        <v>0</v>
      </c>
      <c r="AI1197" s="49" t="n">
        <v>0</v>
      </c>
      <c r="AJ1197" s="50" t="n">
        <v>0</v>
      </c>
      <c r="AK1197" s="51" t="n">
        <v>6</v>
      </c>
      <c r="AL1197" s="52" t="n">
        <v>2.64</v>
      </c>
      <c r="AM1197" s="52" t="n">
        <v>0</v>
      </c>
      <c r="AN1197" s="52" t="n">
        <v>0</v>
      </c>
      <c r="AO1197" s="53" t="n">
        <v>0.0047</v>
      </c>
      <c r="AP1197" s="52" t="n">
        <v>0.44</v>
      </c>
      <c r="AQ1197" s="53" t="n">
        <v>0</v>
      </c>
      <c r="AR1197" s="52" t="n">
        <v>0</v>
      </c>
      <c r="AS1197" s="51" t="n">
        <v>1288</v>
      </c>
      <c r="AT1197" s="48" t="n">
        <v>0</v>
      </c>
      <c r="AU1197" s="49" t="n">
        <v>0</v>
      </c>
      <c r="AV1197" s="49" t="n">
        <v>0</v>
      </c>
      <c r="AW1197" s="50" t="n">
        <v>0</v>
      </c>
      <c r="AX1197" s="51" t="n">
        <v>3</v>
      </c>
      <c r="AY1197" s="52" t="n">
        <v>1.32</v>
      </c>
      <c r="AZ1197" s="52" t="n">
        <v>0</v>
      </c>
      <c r="BA1197" s="52" t="n">
        <v>0</v>
      </c>
      <c r="BB1197" s="53" t="n">
        <v>0.0038</v>
      </c>
      <c r="BC1197" s="52" t="n">
        <v>0.44</v>
      </c>
      <c r="BD1197" s="53" t="n">
        <v>0</v>
      </c>
      <c r="BE1197" s="52" t="n">
        <v>0</v>
      </c>
      <c r="BF1197" s="51" t="n">
        <v>792</v>
      </c>
    </row>
    <row r="1198">
      <c r="A1198">
        <f>HYPERLINK("https://www.walmart.com/ip/820497117", "820497117")</f>
        <v/>
      </c>
      <c r="B1198" t="inlineStr">
        <is>
          <t>Bucket Sun Hat Cute Cap for Women Fashion Fold-up Brim Packable Summer Beach by Solaris</t>
        </is>
      </c>
      <c r="C1198" t="inlineStr">
        <is>
          <t>1SLSH9200FLWBL-FSCB</t>
        </is>
      </c>
      <c r="D1198" t="inlineStr">
        <is>
          <t>Hats</t>
        </is>
      </c>
      <c r="E1198" t="inlineStr">
        <is>
          <t>Solaris</t>
        </is>
      </c>
      <c r="G1198" s="48" t="n">
        <v>0</v>
      </c>
      <c r="H1198" s="49" t="n">
        <v>0</v>
      </c>
      <c r="I1198" s="49" t="n">
        <v>0</v>
      </c>
      <c r="J1198" s="50" t="n">
        <v>0</v>
      </c>
      <c r="K1198" s="51" t="n">
        <v>0</v>
      </c>
      <c r="L1198" s="52" t="n">
        <v>0</v>
      </c>
      <c r="M1198" s="52" t="n">
        <v>0</v>
      </c>
      <c r="N1198" s="52" t="n">
        <v>0</v>
      </c>
      <c r="O1198" s="53" t="n">
        <v>0</v>
      </c>
      <c r="P1198" s="52" t="n">
        <v>0</v>
      </c>
      <c r="Q1198" s="53" t="n">
        <v>0</v>
      </c>
      <c r="R1198" s="52" t="n">
        <v>0</v>
      </c>
      <c r="S1198" s="51" t="n">
        <v>0</v>
      </c>
      <c r="T1198" s="48" t="n">
        <v>0</v>
      </c>
      <c r="U1198" s="49" t="n">
        <v>0</v>
      </c>
      <c r="V1198" s="49" t="n">
        <v>0</v>
      </c>
      <c r="W1198" s="50" t="n">
        <v>0</v>
      </c>
      <c r="X1198" s="51" t="n">
        <v>0</v>
      </c>
      <c r="Y1198" s="52" t="n">
        <v>0</v>
      </c>
      <c r="Z1198" s="52" t="n">
        <v>0</v>
      </c>
      <c r="AA1198" s="52" t="n">
        <v>0</v>
      </c>
      <c r="AB1198" s="53" t="n">
        <v>0</v>
      </c>
      <c r="AC1198" s="52" t="n">
        <v>0</v>
      </c>
      <c r="AD1198" s="53" t="n">
        <v>0</v>
      </c>
      <c r="AE1198" s="52" t="n">
        <v>0</v>
      </c>
      <c r="AF1198" s="51" t="n">
        <v>0</v>
      </c>
      <c r="AG1198" s="48" t="n">
        <v>0</v>
      </c>
      <c r="AH1198" s="49" t="n">
        <v>0</v>
      </c>
      <c r="AI1198" s="49" t="n">
        <v>0</v>
      </c>
      <c r="AJ1198" s="50" t="n">
        <v>0</v>
      </c>
      <c r="AK1198" s="51" t="n">
        <v>0</v>
      </c>
      <c r="AL1198" s="52" t="n">
        <v>0</v>
      </c>
      <c r="AM1198" s="52" t="n">
        <v>0</v>
      </c>
      <c r="AN1198" s="52" t="n">
        <v>0</v>
      </c>
      <c r="AO1198" s="53" t="n">
        <v>0</v>
      </c>
      <c r="AP1198" s="52" t="n">
        <v>0</v>
      </c>
      <c r="AQ1198" s="53" t="n">
        <v>0</v>
      </c>
      <c r="AR1198" s="52" t="n">
        <v>0</v>
      </c>
      <c r="AS1198" s="51" t="n">
        <v>0</v>
      </c>
      <c r="AT1198" s="48" t="n">
        <v>0</v>
      </c>
      <c r="AU1198" s="49" t="n">
        <v>0</v>
      </c>
      <c r="AV1198" s="49" t="n">
        <v>0</v>
      </c>
      <c r="AW1198" s="50" t="n">
        <v>0</v>
      </c>
      <c r="AX1198" s="51" t="n">
        <v>0</v>
      </c>
      <c r="AY1198" s="52" t="n">
        <v>0</v>
      </c>
      <c r="AZ1198" s="52" t="n">
        <v>0</v>
      </c>
      <c r="BA1198" s="52" t="n">
        <v>0</v>
      </c>
      <c r="BB1198" s="53" t="n">
        <v>0</v>
      </c>
      <c r="BC1198" s="52" t="n">
        <v>0</v>
      </c>
      <c r="BD1198" s="53" t="n">
        <v>0</v>
      </c>
      <c r="BE1198" s="52" t="n">
        <v>0</v>
      </c>
      <c r="BF1198" s="51" t="n">
        <v>0</v>
      </c>
    </row>
    <row r="1199">
      <c r="A1199">
        <f>HYPERLINK("https://www.walmart.com/ip/821016160", "821016160")</f>
        <v/>
      </c>
      <c r="B1199" t="inlineStr">
        <is>
          <t>Solaris Knit Beanie Hat for Women,  Faux Fuzzy Pom Pom Winter Ski Skullies Cap, Grey</t>
        </is>
      </c>
      <c r="C1199" t="inlineStr">
        <is>
          <t>1SLWH100GY</t>
        </is>
      </c>
      <c r="D1199" t="inlineStr">
        <is>
          <t>Hats</t>
        </is>
      </c>
      <c r="E1199" t="inlineStr">
        <is>
          <t>Solaris</t>
        </is>
      </c>
      <c r="F1199" t="inlineStr">
        <is>
          <t>Batch 1 - TR</t>
        </is>
      </c>
      <c r="G1199" s="48" t="n">
        <v>0</v>
      </c>
      <c r="H1199" s="49" t="n">
        <v>0</v>
      </c>
      <c r="I1199" s="49" t="n">
        <v>0</v>
      </c>
      <c r="J1199" s="50" t="n">
        <v>0</v>
      </c>
      <c r="K1199" s="51" t="n">
        <v>0</v>
      </c>
      <c r="L1199" s="52" t="n">
        <v>0</v>
      </c>
      <c r="M1199" s="52" t="n">
        <v>0</v>
      </c>
      <c r="N1199" s="52" t="n">
        <v>0</v>
      </c>
      <c r="O1199" s="53" t="n">
        <v>0</v>
      </c>
      <c r="P1199" s="52" t="n">
        <v>0</v>
      </c>
      <c r="Q1199" s="53" t="n">
        <v>0</v>
      </c>
      <c r="R1199" s="52" t="n">
        <v>0</v>
      </c>
      <c r="S1199" s="51" t="n">
        <v>0</v>
      </c>
      <c r="T1199" s="48" t="n">
        <v>0</v>
      </c>
      <c r="U1199" s="49" t="n">
        <v>0</v>
      </c>
      <c r="V1199" s="49" t="n">
        <v>0</v>
      </c>
      <c r="W1199" s="50" t="n">
        <v>0</v>
      </c>
      <c r="X1199" s="51" t="n">
        <v>0</v>
      </c>
      <c r="Y1199" s="52" t="n">
        <v>0</v>
      </c>
      <c r="Z1199" s="52" t="n">
        <v>0</v>
      </c>
      <c r="AA1199" s="52" t="n">
        <v>0</v>
      </c>
      <c r="AB1199" s="53" t="n">
        <v>0</v>
      </c>
      <c r="AC1199" s="52" t="n">
        <v>0</v>
      </c>
      <c r="AD1199" s="53" t="n">
        <v>0</v>
      </c>
      <c r="AE1199" s="52" t="n">
        <v>0</v>
      </c>
      <c r="AF1199" s="51" t="n">
        <v>0</v>
      </c>
      <c r="AG1199" s="48" t="n">
        <v>0</v>
      </c>
      <c r="AH1199" s="49" t="n">
        <v>0</v>
      </c>
      <c r="AI1199" s="49" t="n">
        <v>0</v>
      </c>
      <c r="AJ1199" s="50" t="n">
        <v>0</v>
      </c>
      <c r="AK1199" s="51" t="n">
        <v>0</v>
      </c>
      <c r="AL1199" s="52" t="n">
        <v>0</v>
      </c>
      <c r="AM1199" s="52" t="n">
        <v>0</v>
      </c>
      <c r="AN1199" s="52" t="n">
        <v>0</v>
      </c>
      <c r="AO1199" s="53" t="n">
        <v>0</v>
      </c>
      <c r="AP1199" s="52" t="n">
        <v>0</v>
      </c>
      <c r="AQ1199" s="53" t="n">
        <v>0</v>
      </c>
      <c r="AR1199" s="52" t="n">
        <v>0</v>
      </c>
      <c r="AS1199" s="51" t="n">
        <v>0</v>
      </c>
      <c r="AT1199" s="48" t="n">
        <v>0</v>
      </c>
      <c r="AU1199" s="49" t="n">
        <v>0</v>
      </c>
      <c r="AV1199" s="49" t="n">
        <v>0</v>
      </c>
      <c r="AW1199" s="50" t="n">
        <v>0</v>
      </c>
      <c r="AX1199" s="51" t="n">
        <v>0</v>
      </c>
      <c r="AY1199" s="52" t="n">
        <v>0</v>
      </c>
      <c r="AZ1199" s="52" t="n">
        <v>0</v>
      </c>
      <c r="BA1199" s="52" t="n">
        <v>0</v>
      </c>
      <c r="BB1199" s="53" t="n">
        <v>0</v>
      </c>
      <c r="BC1199" s="52" t="n">
        <v>0</v>
      </c>
      <c r="BD1199" s="53" t="n">
        <v>0</v>
      </c>
      <c r="BE1199" s="52" t="n">
        <v>0</v>
      </c>
      <c r="BF1199" s="51" t="n">
        <v>0</v>
      </c>
    </row>
    <row r="1200">
      <c r="A1200">
        <f>HYPERLINK("https://www.walmart.com/ip/821075669", "821075669")</f>
        <v/>
      </c>
      <c r="B1200" t="inlineStr">
        <is>
          <t>Vina Mini Stainless Steel Manual Salt and Pepper Grinder Set With bamboo stand</t>
        </is>
      </c>
      <c r="C1200" t="inlineStr">
        <is>
          <t>VINAESP656-2PK</t>
        </is>
      </c>
      <c r="D1200" t="inlineStr">
        <is>
          <t>Salt &amp; Pepper Mills</t>
        </is>
      </c>
      <c r="E1200" t="inlineStr">
        <is>
          <t>Vina</t>
        </is>
      </c>
      <c r="F1200" t="inlineStr">
        <is>
          <t>WFS,Kitchen Items,SEM,WFS Item</t>
        </is>
      </c>
      <c r="G1200" s="48" t="n">
        <v>0</v>
      </c>
      <c r="H1200" s="49" t="n">
        <v>0</v>
      </c>
      <c r="I1200" s="49" t="n">
        <v>0</v>
      </c>
      <c r="J1200" s="50" t="n">
        <v>0</v>
      </c>
      <c r="K1200" s="51" t="n">
        <v>0</v>
      </c>
      <c r="L1200" s="52" t="n">
        <v>0</v>
      </c>
      <c r="M1200" s="52" t="n">
        <v>0</v>
      </c>
      <c r="N1200" s="52" t="n">
        <v>0</v>
      </c>
      <c r="O1200" s="53" t="n">
        <v>0</v>
      </c>
      <c r="P1200" s="52" t="n">
        <v>0</v>
      </c>
      <c r="Q1200" s="53" t="n">
        <v>0</v>
      </c>
      <c r="R1200" s="52" t="n">
        <v>0</v>
      </c>
      <c r="S1200" s="51" t="n">
        <v>0</v>
      </c>
      <c r="T1200" s="48" t="n">
        <v>0</v>
      </c>
      <c r="U1200" s="49" t="n">
        <v>0</v>
      </c>
      <c r="V1200" s="49" t="n">
        <v>0</v>
      </c>
      <c r="W1200" s="50" t="n">
        <v>0</v>
      </c>
      <c r="X1200" s="51" t="n">
        <v>0</v>
      </c>
      <c r="Y1200" s="52" t="n">
        <v>0</v>
      </c>
      <c r="Z1200" s="52" t="n">
        <v>0</v>
      </c>
      <c r="AA1200" s="52" t="n">
        <v>0</v>
      </c>
      <c r="AB1200" s="53" t="n">
        <v>0</v>
      </c>
      <c r="AC1200" s="52" t="n">
        <v>0</v>
      </c>
      <c r="AD1200" s="53" t="n">
        <v>0</v>
      </c>
      <c r="AE1200" s="52" t="n">
        <v>0</v>
      </c>
      <c r="AF1200" s="51" t="n">
        <v>0</v>
      </c>
      <c r="AG1200" s="48" t="n">
        <v>0</v>
      </c>
      <c r="AH1200" s="49" t="n">
        <v>0</v>
      </c>
      <c r="AI1200" s="49" t="n">
        <v>0</v>
      </c>
      <c r="AJ1200" s="50" t="n">
        <v>0</v>
      </c>
      <c r="AK1200" s="51" t="n">
        <v>0</v>
      </c>
      <c r="AL1200" s="52" t="n">
        <v>0</v>
      </c>
      <c r="AM1200" s="52" t="n">
        <v>0</v>
      </c>
      <c r="AN1200" s="52" t="n">
        <v>0</v>
      </c>
      <c r="AO1200" s="53" t="n">
        <v>0</v>
      </c>
      <c r="AP1200" s="52" t="n">
        <v>0</v>
      </c>
      <c r="AQ1200" s="53" t="n">
        <v>0</v>
      </c>
      <c r="AR1200" s="52" t="n">
        <v>0</v>
      </c>
      <c r="AS1200" s="51" t="n">
        <v>0</v>
      </c>
      <c r="AT1200" s="48" t="n">
        <v>0</v>
      </c>
      <c r="AU1200" s="49" t="n">
        <v>0</v>
      </c>
      <c r="AV1200" s="49" t="n">
        <v>0</v>
      </c>
      <c r="AW1200" s="50" t="n">
        <v>0</v>
      </c>
      <c r="AX1200" s="51" t="n">
        <v>0</v>
      </c>
      <c r="AY1200" s="52" t="n">
        <v>0</v>
      </c>
      <c r="AZ1200" s="52" t="n">
        <v>0</v>
      </c>
      <c r="BA1200" s="52" t="n">
        <v>0</v>
      </c>
      <c r="BB1200" s="53" t="n">
        <v>0</v>
      </c>
      <c r="BC1200" s="52" t="n">
        <v>0</v>
      </c>
      <c r="BD1200" s="53" t="n">
        <v>0</v>
      </c>
      <c r="BE1200" s="52" t="n">
        <v>0</v>
      </c>
      <c r="BF1200" s="51" t="n">
        <v>0</v>
      </c>
    </row>
    <row r="1201">
      <c r="A1201">
        <f>HYPERLINK("https://www.walmart.com/ip/821635627", "821635627")</f>
        <v/>
      </c>
      <c r="B1201" t="inlineStr">
        <is>
          <t>Catalonia Bedding Quilt Set,Lightweight Bedspread for Summer and Spring, Bedding Coverlet - Quilt and Pillow Shams, Twin, Grey/White</t>
        </is>
      </c>
      <c r="C1201" t="inlineStr">
        <is>
          <t>1CTBQ203TW-GYWT</t>
        </is>
      </c>
      <c r="D1201" t="inlineStr">
        <is>
          <t>Bedding Sets</t>
        </is>
      </c>
      <c r="E1201" t="inlineStr">
        <is>
          <t>Catalonia</t>
        </is>
      </c>
      <c r="F1201" t="inlineStr">
        <is>
          <t>Optimized,WFS,WFS Item</t>
        </is>
      </c>
      <c r="G1201" s="48" t="n">
        <v>0</v>
      </c>
      <c r="H1201" s="49" t="n">
        <v>0</v>
      </c>
      <c r="I1201" s="49" t="n">
        <v>0</v>
      </c>
      <c r="J1201" s="50" t="n">
        <v>0</v>
      </c>
      <c r="K1201" s="51" t="n">
        <v>0</v>
      </c>
      <c r="L1201" s="52" t="n">
        <v>0</v>
      </c>
      <c r="M1201" s="52" t="n">
        <v>0</v>
      </c>
      <c r="N1201" s="52" t="n">
        <v>0</v>
      </c>
      <c r="O1201" s="53" t="n">
        <v>0</v>
      </c>
      <c r="P1201" s="52" t="n">
        <v>0</v>
      </c>
      <c r="Q1201" s="53" t="n">
        <v>0</v>
      </c>
      <c r="R1201" s="52" t="n">
        <v>0</v>
      </c>
      <c r="S1201" s="51" t="n">
        <v>0</v>
      </c>
      <c r="T1201" s="48" t="n">
        <v>0</v>
      </c>
      <c r="U1201" s="49" t="n">
        <v>0</v>
      </c>
      <c r="V1201" s="49" t="n">
        <v>0</v>
      </c>
      <c r="W1201" s="50" t="n">
        <v>0</v>
      </c>
      <c r="X1201" s="51" t="n">
        <v>0</v>
      </c>
      <c r="Y1201" s="52" t="n">
        <v>0</v>
      </c>
      <c r="Z1201" s="52" t="n">
        <v>0</v>
      </c>
      <c r="AA1201" s="52" t="n">
        <v>0</v>
      </c>
      <c r="AB1201" s="53" t="n">
        <v>0</v>
      </c>
      <c r="AC1201" s="52" t="n">
        <v>0</v>
      </c>
      <c r="AD1201" s="53" t="n">
        <v>0</v>
      </c>
      <c r="AE1201" s="52" t="n">
        <v>0</v>
      </c>
      <c r="AF1201" s="51" t="n">
        <v>0</v>
      </c>
      <c r="AG1201" s="48" t="n">
        <v>0</v>
      </c>
      <c r="AH1201" s="49" t="n">
        <v>0</v>
      </c>
      <c r="AI1201" s="49" t="n">
        <v>0</v>
      </c>
      <c r="AJ1201" s="50" t="n">
        <v>0</v>
      </c>
      <c r="AK1201" s="51" t="n">
        <v>0</v>
      </c>
      <c r="AL1201" s="52" t="n">
        <v>0</v>
      </c>
      <c r="AM1201" s="52" t="n">
        <v>0</v>
      </c>
      <c r="AN1201" s="52" t="n">
        <v>0</v>
      </c>
      <c r="AO1201" s="53" t="n">
        <v>0</v>
      </c>
      <c r="AP1201" s="52" t="n">
        <v>0</v>
      </c>
      <c r="AQ1201" s="53" t="n">
        <v>0</v>
      </c>
      <c r="AR1201" s="52" t="n">
        <v>0</v>
      </c>
      <c r="AS1201" s="51" t="n">
        <v>0</v>
      </c>
      <c r="AT1201" s="48" t="n">
        <v>0</v>
      </c>
      <c r="AU1201" s="49" t="n">
        <v>0</v>
      </c>
      <c r="AV1201" s="49" t="n">
        <v>0</v>
      </c>
      <c r="AW1201" s="50" t="n">
        <v>0</v>
      </c>
      <c r="AX1201" s="51" t="n">
        <v>0</v>
      </c>
      <c r="AY1201" s="52" t="n">
        <v>0</v>
      </c>
      <c r="AZ1201" s="52" t="n">
        <v>0</v>
      </c>
      <c r="BA1201" s="52" t="n">
        <v>0</v>
      </c>
      <c r="BB1201" s="53" t="n">
        <v>0</v>
      </c>
      <c r="BC1201" s="52" t="n">
        <v>0</v>
      </c>
      <c r="BD1201" s="53" t="n">
        <v>0</v>
      </c>
      <c r="BE1201" s="52" t="n">
        <v>0</v>
      </c>
      <c r="BF1201" s="51" t="n">
        <v>0</v>
      </c>
    </row>
    <row r="1202">
      <c r="A1202">
        <f>HYPERLINK("https://www.walmart.com/ip/822065966", "822065966")</f>
        <v/>
      </c>
      <c r="B1202" t="inlineStr">
        <is>
          <t>Flyingstar Foldable Soft Sided Airline-Approved Travel Pet Carrier Backpack,Light Grey</t>
        </is>
      </c>
      <c r="C1202" t="inlineStr">
        <is>
          <t>1WMPB200LGY</t>
        </is>
      </c>
      <c r="D1202" t="inlineStr">
        <is>
          <t>Pet Carriers</t>
        </is>
      </c>
      <c r="E1202" t="inlineStr">
        <is>
          <t>Flyingstar</t>
        </is>
      </c>
      <c r="F1202" t="inlineStr">
        <is>
          <t>Optimized</t>
        </is>
      </c>
      <c r="G1202" s="48" t="n">
        <v>0</v>
      </c>
      <c r="H1202" s="49" t="n">
        <v>0</v>
      </c>
      <c r="I1202" s="49" t="n">
        <v>0</v>
      </c>
      <c r="J1202" s="50" t="n">
        <v>0</v>
      </c>
      <c r="K1202" s="51" t="n">
        <v>0</v>
      </c>
      <c r="L1202" s="52" t="n">
        <v>0</v>
      </c>
      <c r="M1202" s="52" t="n">
        <v>0</v>
      </c>
      <c r="N1202" s="52" t="n">
        <v>0</v>
      </c>
      <c r="O1202" s="53" t="n">
        <v>0</v>
      </c>
      <c r="P1202" s="52" t="n">
        <v>0</v>
      </c>
      <c r="Q1202" s="53" t="n">
        <v>0</v>
      </c>
      <c r="R1202" s="52" t="n">
        <v>0</v>
      </c>
      <c r="S1202" s="51" t="n">
        <v>0</v>
      </c>
      <c r="T1202" s="48" t="n">
        <v>0</v>
      </c>
      <c r="U1202" s="49" t="n">
        <v>0</v>
      </c>
      <c r="V1202" s="49" t="n">
        <v>0</v>
      </c>
      <c r="W1202" s="50" t="n">
        <v>0</v>
      </c>
      <c r="X1202" s="51" t="n">
        <v>0</v>
      </c>
      <c r="Y1202" s="52" t="n">
        <v>0</v>
      </c>
      <c r="Z1202" s="52" t="n">
        <v>0</v>
      </c>
      <c r="AA1202" s="52" t="n">
        <v>0</v>
      </c>
      <c r="AB1202" s="53" t="n">
        <v>0</v>
      </c>
      <c r="AC1202" s="52" t="n">
        <v>0</v>
      </c>
      <c r="AD1202" s="53" t="n">
        <v>0</v>
      </c>
      <c r="AE1202" s="52" t="n">
        <v>0</v>
      </c>
      <c r="AF1202" s="51" t="n">
        <v>0</v>
      </c>
      <c r="AG1202" s="48" t="n">
        <v>0</v>
      </c>
      <c r="AH1202" s="49" t="n">
        <v>0</v>
      </c>
      <c r="AI1202" s="49" t="n">
        <v>0</v>
      </c>
      <c r="AJ1202" s="50" t="n">
        <v>0</v>
      </c>
      <c r="AK1202" s="51" t="n">
        <v>0</v>
      </c>
      <c r="AL1202" s="52" t="n">
        <v>0</v>
      </c>
      <c r="AM1202" s="52" t="n">
        <v>0</v>
      </c>
      <c r="AN1202" s="52" t="n">
        <v>0</v>
      </c>
      <c r="AO1202" s="53" t="n">
        <v>0</v>
      </c>
      <c r="AP1202" s="52" t="n">
        <v>0</v>
      </c>
      <c r="AQ1202" s="53" t="n">
        <v>0</v>
      </c>
      <c r="AR1202" s="52" t="n">
        <v>0</v>
      </c>
      <c r="AS1202" s="51" t="n">
        <v>0</v>
      </c>
      <c r="AT1202" s="48" t="n">
        <v>0</v>
      </c>
      <c r="AU1202" s="49" t="n">
        <v>0</v>
      </c>
      <c r="AV1202" s="49" t="n">
        <v>0</v>
      </c>
      <c r="AW1202" s="50" t="n">
        <v>0</v>
      </c>
      <c r="AX1202" s="51" t="n">
        <v>0</v>
      </c>
      <c r="AY1202" s="52" t="n">
        <v>0</v>
      </c>
      <c r="AZ1202" s="52" t="n">
        <v>0</v>
      </c>
      <c r="BA1202" s="52" t="n">
        <v>0</v>
      </c>
      <c r="BB1202" s="53" t="n">
        <v>0</v>
      </c>
      <c r="BC1202" s="52" t="n">
        <v>0</v>
      </c>
      <c r="BD1202" s="53" t="n">
        <v>0</v>
      </c>
      <c r="BE1202" s="52" t="n">
        <v>0</v>
      </c>
      <c r="BF1202" s="51" t="n">
        <v>0</v>
      </c>
    </row>
    <row r="1203">
      <c r="A1203">
        <f>HYPERLINK("https://www.walmart.com/ip/822070876", "822070876")</f>
        <v/>
      </c>
      <c r="B1203" t="inlineStr">
        <is>
          <t>Bucket Sun Hat Cute Cap for Women Fashion Fold-up Brim Packable Summer Beach by Solaris</t>
        </is>
      </c>
      <c r="C1203" t="inlineStr">
        <is>
          <t>1SLSH9200PK-FSCB</t>
        </is>
      </c>
      <c r="D1203" t="inlineStr">
        <is>
          <t>Hats</t>
        </is>
      </c>
      <c r="E1203" t="inlineStr">
        <is>
          <t>Solaris</t>
        </is>
      </c>
      <c r="G1203" s="48" t="n">
        <v>0</v>
      </c>
      <c r="H1203" s="49" t="n">
        <v>0</v>
      </c>
      <c r="I1203" s="49" t="n">
        <v>0</v>
      </c>
      <c r="J1203" s="50" t="n">
        <v>0</v>
      </c>
      <c r="K1203" s="51" t="n">
        <v>0</v>
      </c>
      <c r="L1203" s="52" t="n">
        <v>0</v>
      </c>
      <c r="M1203" s="52" t="n">
        <v>0</v>
      </c>
      <c r="N1203" s="52" t="n">
        <v>0</v>
      </c>
      <c r="O1203" s="53" t="n">
        <v>0</v>
      </c>
      <c r="P1203" s="52" t="n">
        <v>0</v>
      </c>
      <c r="Q1203" s="53" t="n">
        <v>0</v>
      </c>
      <c r="R1203" s="52" t="n">
        <v>0</v>
      </c>
      <c r="S1203" s="51" t="n">
        <v>0</v>
      </c>
      <c r="T1203" s="48" t="n">
        <v>0</v>
      </c>
      <c r="U1203" s="49" t="n">
        <v>0</v>
      </c>
      <c r="V1203" s="49" t="n">
        <v>0</v>
      </c>
      <c r="W1203" s="50" t="n">
        <v>0</v>
      </c>
      <c r="X1203" s="51" t="n">
        <v>0</v>
      </c>
      <c r="Y1203" s="52" t="n">
        <v>0</v>
      </c>
      <c r="Z1203" s="52" t="n">
        <v>0</v>
      </c>
      <c r="AA1203" s="52" t="n">
        <v>0</v>
      </c>
      <c r="AB1203" s="53" t="n">
        <v>0</v>
      </c>
      <c r="AC1203" s="52" t="n">
        <v>0</v>
      </c>
      <c r="AD1203" s="53" t="n">
        <v>0</v>
      </c>
      <c r="AE1203" s="52" t="n">
        <v>0</v>
      </c>
      <c r="AF1203" s="51" t="n">
        <v>0</v>
      </c>
      <c r="AG1203" s="48" t="n">
        <v>0</v>
      </c>
      <c r="AH1203" s="49" t="n">
        <v>0</v>
      </c>
      <c r="AI1203" s="49" t="n">
        <v>0</v>
      </c>
      <c r="AJ1203" s="50" t="n">
        <v>0</v>
      </c>
      <c r="AK1203" s="51" t="n">
        <v>0</v>
      </c>
      <c r="AL1203" s="52" t="n">
        <v>0</v>
      </c>
      <c r="AM1203" s="52" t="n">
        <v>0</v>
      </c>
      <c r="AN1203" s="52" t="n">
        <v>0</v>
      </c>
      <c r="AO1203" s="53" t="n">
        <v>0</v>
      </c>
      <c r="AP1203" s="52" t="n">
        <v>0</v>
      </c>
      <c r="AQ1203" s="53" t="n">
        <v>0</v>
      </c>
      <c r="AR1203" s="52" t="n">
        <v>0</v>
      </c>
      <c r="AS1203" s="51" t="n">
        <v>0</v>
      </c>
      <c r="AT1203" s="48" t="n">
        <v>0</v>
      </c>
      <c r="AU1203" s="49" t="n">
        <v>0</v>
      </c>
      <c r="AV1203" s="49" t="n">
        <v>0</v>
      </c>
      <c r="AW1203" s="50" t="n">
        <v>0</v>
      </c>
      <c r="AX1203" s="51" t="n">
        <v>0</v>
      </c>
      <c r="AY1203" s="52" t="n">
        <v>0</v>
      </c>
      <c r="AZ1203" s="52" t="n">
        <v>0</v>
      </c>
      <c r="BA1203" s="52" t="n">
        <v>0</v>
      </c>
      <c r="BB1203" s="53" t="n">
        <v>0</v>
      </c>
      <c r="BC1203" s="52" t="n">
        <v>0</v>
      </c>
      <c r="BD1203" s="53" t="n">
        <v>0</v>
      </c>
      <c r="BE1203" s="52" t="n">
        <v>0</v>
      </c>
      <c r="BF1203" s="51" t="n">
        <v>0</v>
      </c>
    </row>
    <row r="1204">
      <c r="A1204">
        <f>HYPERLINK("https://www.walmart.com/ip/823531741", "823531741")</f>
        <v/>
      </c>
      <c r="B1204" t="inlineStr">
        <is>
          <t>Pawsse Dog Cuddler Bed,Soft Plush Pet Sofa Thick Kennel Cushion Pad Crate Mat Blanket Car Seat Cover for Small Medium Large Dogs Puppy Cats Grey</t>
        </is>
      </c>
      <c r="C1204" t="inlineStr">
        <is>
          <t>1PSPB406GY</t>
        </is>
      </c>
      <c r="D1204" t="inlineStr">
        <is>
          <t>Pet Beds</t>
        </is>
      </c>
      <c r="E1204" t="inlineStr">
        <is>
          <t>Pawsse</t>
        </is>
      </c>
      <c r="F1204" t="inlineStr">
        <is>
          <t>Optimized</t>
        </is>
      </c>
      <c r="G1204" s="48" t="n">
        <v>0</v>
      </c>
      <c r="H1204" s="49" t="n">
        <v>0</v>
      </c>
      <c r="I1204" s="49" t="n">
        <v>0</v>
      </c>
      <c r="J1204" s="50" t="n">
        <v>0</v>
      </c>
      <c r="K1204" s="51" t="n">
        <v>0</v>
      </c>
      <c r="L1204" s="52" t="n">
        <v>0</v>
      </c>
      <c r="M1204" s="52" t="n">
        <v>0</v>
      </c>
      <c r="N1204" s="52" t="n">
        <v>0</v>
      </c>
      <c r="O1204" s="53" t="n">
        <v>0</v>
      </c>
      <c r="P1204" s="52" t="n">
        <v>0</v>
      </c>
      <c r="Q1204" s="53" t="n">
        <v>0</v>
      </c>
      <c r="R1204" s="52" t="n">
        <v>0</v>
      </c>
      <c r="S1204" s="51" t="n">
        <v>0</v>
      </c>
      <c r="T1204" s="48" t="n">
        <v>0</v>
      </c>
      <c r="U1204" s="49" t="n">
        <v>0</v>
      </c>
      <c r="V1204" s="49" t="n">
        <v>0</v>
      </c>
      <c r="W1204" s="50" t="n">
        <v>0</v>
      </c>
      <c r="X1204" s="51" t="n">
        <v>0</v>
      </c>
      <c r="Y1204" s="52" t="n">
        <v>0</v>
      </c>
      <c r="Z1204" s="52" t="n">
        <v>0</v>
      </c>
      <c r="AA1204" s="52" t="n">
        <v>0</v>
      </c>
      <c r="AB1204" s="53" t="n">
        <v>0</v>
      </c>
      <c r="AC1204" s="52" t="n">
        <v>0</v>
      </c>
      <c r="AD1204" s="53" t="n">
        <v>0</v>
      </c>
      <c r="AE1204" s="52" t="n">
        <v>0</v>
      </c>
      <c r="AF1204" s="51" t="n">
        <v>0</v>
      </c>
      <c r="AG1204" s="48" t="n">
        <v>0</v>
      </c>
      <c r="AH1204" s="49" t="n">
        <v>0</v>
      </c>
      <c r="AI1204" s="49" t="n">
        <v>0</v>
      </c>
      <c r="AJ1204" s="50" t="n">
        <v>0</v>
      </c>
      <c r="AK1204" s="51" t="n">
        <v>0</v>
      </c>
      <c r="AL1204" s="52" t="n">
        <v>0</v>
      </c>
      <c r="AM1204" s="52" t="n">
        <v>0</v>
      </c>
      <c r="AN1204" s="52" t="n">
        <v>0</v>
      </c>
      <c r="AO1204" s="53" t="n">
        <v>0</v>
      </c>
      <c r="AP1204" s="52" t="n">
        <v>0</v>
      </c>
      <c r="AQ1204" s="53" t="n">
        <v>0</v>
      </c>
      <c r="AR1204" s="52" t="n">
        <v>0</v>
      </c>
      <c r="AS1204" s="51" t="n">
        <v>0</v>
      </c>
      <c r="AT1204" s="48" t="n">
        <v>0</v>
      </c>
      <c r="AU1204" s="49" t="n">
        <v>0</v>
      </c>
      <c r="AV1204" s="49" t="n">
        <v>0</v>
      </c>
      <c r="AW1204" s="50" t="n">
        <v>0</v>
      </c>
      <c r="AX1204" s="51" t="n">
        <v>0</v>
      </c>
      <c r="AY1204" s="52" t="n">
        <v>0</v>
      </c>
      <c r="AZ1204" s="52" t="n">
        <v>0</v>
      </c>
      <c r="BA1204" s="52" t="n">
        <v>0</v>
      </c>
      <c r="BB1204" s="53" t="n">
        <v>0</v>
      </c>
      <c r="BC1204" s="52" t="n">
        <v>0</v>
      </c>
      <c r="BD1204" s="53" t="n">
        <v>0</v>
      </c>
      <c r="BE1204" s="52" t="n">
        <v>0</v>
      </c>
      <c r="BF1204" s="51" t="n">
        <v>0</v>
      </c>
    </row>
    <row r="1205">
      <c r="A1205">
        <f>HYPERLINK("https://www.walmart.com/ip/823917465", "823917465")</f>
        <v/>
      </c>
      <c r="B1205" t="inlineStr">
        <is>
          <t>Wearable Blanket with Sleeves and Kangaroo Pocket for Adult Soft Warm Comfy Throws Wrap Robe Blanket in Black.</t>
        </is>
      </c>
      <c r="C1205" t="inlineStr">
        <is>
          <t>1CTSN200BK</t>
        </is>
      </c>
      <c r="D1205" t="inlineStr">
        <is>
          <t>Throws</t>
        </is>
      </c>
      <c r="E1205" t="inlineStr">
        <is>
          <t>Catalonia</t>
        </is>
      </c>
      <c r="F1205" t="inlineStr">
        <is>
          <t>WFS,WFS Item</t>
        </is>
      </c>
      <c r="G1205" s="48" t="n">
        <v>0</v>
      </c>
      <c r="H1205" s="49" t="n">
        <v>0</v>
      </c>
      <c r="I1205" s="49" t="n">
        <v>0</v>
      </c>
      <c r="J1205" s="50" t="n">
        <v>0</v>
      </c>
      <c r="K1205" s="51" t="n">
        <v>0</v>
      </c>
      <c r="L1205" s="52" t="n">
        <v>0</v>
      </c>
      <c r="M1205" s="52" t="n">
        <v>0</v>
      </c>
      <c r="N1205" s="52" t="n">
        <v>0</v>
      </c>
      <c r="O1205" s="53" t="n">
        <v>0</v>
      </c>
      <c r="P1205" s="52" t="n">
        <v>0</v>
      </c>
      <c r="Q1205" s="53" t="n">
        <v>0</v>
      </c>
      <c r="R1205" s="52" t="n">
        <v>0</v>
      </c>
      <c r="S1205" s="51" t="n">
        <v>0</v>
      </c>
      <c r="T1205" s="48" t="n">
        <v>0</v>
      </c>
      <c r="U1205" s="49" t="n">
        <v>0</v>
      </c>
      <c r="V1205" s="49" t="n">
        <v>0</v>
      </c>
      <c r="W1205" s="50" t="n">
        <v>0</v>
      </c>
      <c r="X1205" s="51" t="n">
        <v>0</v>
      </c>
      <c r="Y1205" s="52" t="n">
        <v>0</v>
      </c>
      <c r="Z1205" s="52" t="n">
        <v>0</v>
      </c>
      <c r="AA1205" s="52" t="n">
        <v>0</v>
      </c>
      <c r="AB1205" s="53" t="n">
        <v>0</v>
      </c>
      <c r="AC1205" s="52" t="n">
        <v>0</v>
      </c>
      <c r="AD1205" s="53" t="n">
        <v>0</v>
      </c>
      <c r="AE1205" s="52" t="n">
        <v>0</v>
      </c>
      <c r="AF1205" s="51" t="n">
        <v>0</v>
      </c>
      <c r="AG1205" s="48" t="n">
        <v>0</v>
      </c>
      <c r="AH1205" s="49" t="n">
        <v>0</v>
      </c>
      <c r="AI1205" s="49" t="n">
        <v>0</v>
      </c>
      <c r="AJ1205" s="50" t="n">
        <v>0</v>
      </c>
      <c r="AK1205" s="51" t="n">
        <v>0</v>
      </c>
      <c r="AL1205" s="52" t="n">
        <v>0</v>
      </c>
      <c r="AM1205" s="52" t="n">
        <v>0</v>
      </c>
      <c r="AN1205" s="52" t="n">
        <v>0</v>
      </c>
      <c r="AO1205" s="53" t="n">
        <v>0</v>
      </c>
      <c r="AP1205" s="52" t="n">
        <v>0</v>
      </c>
      <c r="AQ1205" s="53" t="n">
        <v>0</v>
      </c>
      <c r="AR1205" s="52" t="n">
        <v>0</v>
      </c>
      <c r="AS1205" s="51" t="n">
        <v>0</v>
      </c>
      <c r="AT1205" s="48" t="n">
        <v>0</v>
      </c>
      <c r="AU1205" s="49" t="n">
        <v>0</v>
      </c>
      <c r="AV1205" s="49" t="n">
        <v>0</v>
      </c>
      <c r="AW1205" s="50" t="n">
        <v>0</v>
      </c>
      <c r="AX1205" s="51" t="n">
        <v>0</v>
      </c>
      <c r="AY1205" s="52" t="n">
        <v>0</v>
      </c>
      <c r="AZ1205" s="52" t="n">
        <v>0</v>
      </c>
      <c r="BA1205" s="52" t="n">
        <v>0</v>
      </c>
      <c r="BB1205" s="53" t="n">
        <v>0</v>
      </c>
      <c r="BC1205" s="52" t="n">
        <v>0</v>
      </c>
      <c r="BD1205" s="53" t="n">
        <v>0</v>
      </c>
      <c r="BE1205" s="52" t="n">
        <v>0</v>
      </c>
      <c r="BF1205" s="51" t="n">
        <v>0</v>
      </c>
    </row>
    <row r="1206">
      <c r="A1206">
        <f>HYPERLINK("https://www.walmart.com/ip/824264926", "824264926")</f>
        <v/>
      </c>
      <c r="B1206" t="inlineStr">
        <is>
          <t>Solaris Waterproof Snow Gloves for Men and Women, 100-Gram 3M Thinsulate Cold Weather Protection, Gray and Black, X-Large</t>
        </is>
      </c>
      <c r="C1206" t="inlineStr">
        <is>
          <t>1SLWG302BKGY-XL</t>
        </is>
      </c>
      <c r="D1206" t="inlineStr">
        <is>
          <t>Gloves &amp; Mittens</t>
        </is>
      </c>
      <c r="E1206" t="inlineStr">
        <is>
          <t>Solaris</t>
        </is>
      </c>
      <c r="F1206" t="inlineStr">
        <is>
          <t>Optimized,Gloves,WFS,WFS Item</t>
        </is>
      </c>
      <c r="G1206" s="48" t="n">
        <v>0</v>
      </c>
      <c r="H1206" s="49" t="n">
        <v>0</v>
      </c>
      <c r="I1206" s="49" t="n">
        <v>0</v>
      </c>
      <c r="J1206" s="50" t="n">
        <v>0</v>
      </c>
      <c r="K1206" s="51" t="n">
        <v>0</v>
      </c>
      <c r="L1206" s="52" t="n">
        <v>0</v>
      </c>
      <c r="M1206" s="52" t="n">
        <v>0</v>
      </c>
      <c r="N1206" s="52" t="n">
        <v>0</v>
      </c>
      <c r="O1206" s="53" t="n">
        <v>0</v>
      </c>
      <c r="P1206" s="52" t="n">
        <v>0</v>
      </c>
      <c r="Q1206" s="53" t="n">
        <v>0</v>
      </c>
      <c r="R1206" s="52" t="n">
        <v>0</v>
      </c>
      <c r="S1206" s="51" t="n">
        <v>0</v>
      </c>
      <c r="T1206" s="48" t="n">
        <v>0</v>
      </c>
      <c r="U1206" s="49" t="n">
        <v>0</v>
      </c>
      <c r="V1206" s="49" t="n">
        <v>0</v>
      </c>
      <c r="W1206" s="50" t="n">
        <v>0</v>
      </c>
      <c r="X1206" s="51" t="n">
        <v>0</v>
      </c>
      <c r="Y1206" s="52" t="n">
        <v>0</v>
      </c>
      <c r="Z1206" s="52" t="n">
        <v>0</v>
      </c>
      <c r="AA1206" s="52" t="n">
        <v>0</v>
      </c>
      <c r="AB1206" s="53" t="n">
        <v>0</v>
      </c>
      <c r="AC1206" s="52" t="n">
        <v>0</v>
      </c>
      <c r="AD1206" s="53" t="n">
        <v>0</v>
      </c>
      <c r="AE1206" s="52" t="n">
        <v>0</v>
      </c>
      <c r="AF1206" s="51" t="n">
        <v>0</v>
      </c>
      <c r="AG1206" s="48" t="n">
        <v>0</v>
      </c>
      <c r="AH1206" s="49" t="n">
        <v>0</v>
      </c>
      <c r="AI1206" s="49" t="n">
        <v>0</v>
      </c>
      <c r="AJ1206" s="50" t="n">
        <v>0</v>
      </c>
      <c r="AK1206" s="51" t="n">
        <v>0</v>
      </c>
      <c r="AL1206" s="52" t="n">
        <v>0</v>
      </c>
      <c r="AM1206" s="52" t="n">
        <v>0</v>
      </c>
      <c r="AN1206" s="52" t="n">
        <v>0</v>
      </c>
      <c r="AO1206" s="53" t="n">
        <v>0</v>
      </c>
      <c r="AP1206" s="52" t="n">
        <v>0</v>
      </c>
      <c r="AQ1206" s="53" t="n">
        <v>0</v>
      </c>
      <c r="AR1206" s="52" t="n">
        <v>0</v>
      </c>
      <c r="AS1206" s="51" t="n">
        <v>0</v>
      </c>
      <c r="AT1206" s="48" t="n">
        <v>0</v>
      </c>
      <c r="AU1206" s="49" t="n">
        <v>0</v>
      </c>
      <c r="AV1206" s="49" t="n">
        <v>0</v>
      </c>
      <c r="AW1206" s="50" t="n">
        <v>0</v>
      </c>
      <c r="AX1206" s="51" t="n">
        <v>0</v>
      </c>
      <c r="AY1206" s="52" t="n">
        <v>0</v>
      </c>
      <c r="AZ1206" s="52" t="n">
        <v>0</v>
      </c>
      <c r="BA1206" s="52" t="n">
        <v>0</v>
      </c>
      <c r="BB1206" s="53" t="n">
        <v>0</v>
      </c>
      <c r="BC1206" s="52" t="n">
        <v>0</v>
      </c>
      <c r="BD1206" s="53" t="n">
        <v>0</v>
      </c>
      <c r="BE1206" s="52" t="n">
        <v>0</v>
      </c>
      <c r="BF1206" s="51" t="n">
        <v>0</v>
      </c>
    </row>
    <row r="1207">
      <c r="A1207">
        <f>HYPERLINK("https://www.walmart.com/ip/824381021", "824381021")</f>
        <v/>
      </c>
      <c r="B1207" t="inlineStr">
        <is>
          <t>Sun Visor Sports Cotton Twill Plain Hat with Adjustable Strap for Men Women Outdoor Golf Tennis Running Jogging Hiking</t>
        </is>
      </c>
      <c r="C1207" t="inlineStr">
        <is>
          <t>1SLVS4130LIME</t>
        </is>
      </c>
      <c r="D1207" t="inlineStr">
        <is>
          <t>Hats</t>
        </is>
      </c>
      <c r="E1207" t="inlineStr">
        <is>
          <t>Solaris</t>
        </is>
      </c>
      <c r="G1207" s="48" t="n">
        <v>0</v>
      </c>
      <c r="H1207" s="49" t="n">
        <v>0</v>
      </c>
      <c r="I1207" s="49" t="n">
        <v>0</v>
      </c>
      <c r="J1207" s="50" t="n">
        <v>0</v>
      </c>
      <c r="K1207" s="51" t="n">
        <v>0</v>
      </c>
      <c r="L1207" s="52" t="n">
        <v>0</v>
      </c>
      <c r="M1207" s="52" t="n">
        <v>0</v>
      </c>
      <c r="N1207" s="52" t="n">
        <v>0</v>
      </c>
      <c r="O1207" s="53" t="n">
        <v>0</v>
      </c>
      <c r="P1207" s="52" t="n">
        <v>0</v>
      </c>
      <c r="Q1207" s="53" t="n">
        <v>0</v>
      </c>
      <c r="R1207" s="52" t="n">
        <v>0</v>
      </c>
      <c r="S1207" s="51" t="n">
        <v>0</v>
      </c>
      <c r="T1207" s="48" t="n">
        <v>0</v>
      </c>
      <c r="U1207" s="49" t="n">
        <v>0</v>
      </c>
      <c r="V1207" s="49" t="n">
        <v>0</v>
      </c>
      <c r="W1207" s="50" t="n">
        <v>0</v>
      </c>
      <c r="X1207" s="51" t="n">
        <v>0</v>
      </c>
      <c r="Y1207" s="52" t="n">
        <v>0</v>
      </c>
      <c r="Z1207" s="52" t="n">
        <v>0</v>
      </c>
      <c r="AA1207" s="52" t="n">
        <v>0</v>
      </c>
      <c r="AB1207" s="53" t="n">
        <v>0</v>
      </c>
      <c r="AC1207" s="52" t="n">
        <v>0</v>
      </c>
      <c r="AD1207" s="53" t="n">
        <v>0</v>
      </c>
      <c r="AE1207" s="52" t="n">
        <v>0</v>
      </c>
      <c r="AF1207" s="51" t="n">
        <v>0</v>
      </c>
      <c r="AG1207" s="48" t="n">
        <v>0</v>
      </c>
      <c r="AH1207" s="49" t="n">
        <v>0</v>
      </c>
      <c r="AI1207" s="49" t="n">
        <v>0</v>
      </c>
      <c r="AJ1207" s="50" t="n">
        <v>0</v>
      </c>
      <c r="AK1207" s="51" t="n">
        <v>0</v>
      </c>
      <c r="AL1207" s="52" t="n">
        <v>0</v>
      </c>
      <c r="AM1207" s="52" t="n">
        <v>0</v>
      </c>
      <c r="AN1207" s="52" t="n">
        <v>0</v>
      </c>
      <c r="AO1207" s="53" t="n">
        <v>0</v>
      </c>
      <c r="AP1207" s="52" t="n">
        <v>0</v>
      </c>
      <c r="AQ1207" s="53" t="n">
        <v>0</v>
      </c>
      <c r="AR1207" s="52" t="n">
        <v>0</v>
      </c>
      <c r="AS1207" s="51" t="n">
        <v>0</v>
      </c>
      <c r="AT1207" s="48" t="n">
        <v>0</v>
      </c>
      <c r="AU1207" s="49" t="n">
        <v>0</v>
      </c>
      <c r="AV1207" s="49" t="n">
        <v>0</v>
      </c>
      <c r="AW1207" s="50" t="n">
        <v>0</v>
      </c>
      <c r="AX1207" s="51" t="n">
        <v>0</v>
      </c>
      <c r="AY1207" s="52" t="n">
        <v>0</v>
      </c>
      <c r="AZ1207" s="52" t="n">
        <v>0</v>
      </c>
      <c r="BA1207" s="52" t="n">
        <v>0</v>
      </c>
      <c r="BB1207" s="53" t="n">
        <v>0</v>
      </c>
      <c r="BC1207" s="52" t="n">
        <v>0</v>
      </c>
      <c r="BD1207" s="53" t="n">
        <v>0</v>
      </c>
      <c r="BE1207" s="52" t="n">
        <v>0</v>
      </c>
      <c r="BF1207" s="51" t="n">
        <v>0</v>
      </c>
    </row>
    <row r="1208">
      <c r="A1208">
        <f>HYPERLINK("https://www.walmart.com/ip/824611421", "824611421")</f>
        <v/>
      </c>
      <c r="B1208" t="inlineStr">
        <is>
          <t>Pawsse Waterproof Pet Blanket, Pee Urine Proof Dog Blanket Cover for Couch Bed Furniture Protector, Liquid Proof Blanket for Small Medium Dogs, Buffale Red/Tuape, 50” x 30”.</t>
        </is>
      </c>
      <c r="C1208" t="inlineStr">
        <is>
          <t>1PSBW351BRTP</t>
        </is>
      </c>
      <c r="D1208" t="inlineStr">
        <is>
          <t>Pet Blankets</t>
        </is>
      </c>
      <c r="E1208" t="inlineStr">
        <is>
          <t>Pawsse</t>
        </is>
      </c>
      <c r="F1208" t="inlineStr">
        <is>
          <t>Q2-Target,Batch 1 - TR</t>
        </is>
      </c>
      <c r="G1208" s="48" t="n">
        <v>0</v>
      </c>
      <c r="H1208" s="49" t="n">
        <v>0</v>
      </c>
      <c r="I1208" s="49" t="n">
        <v>0</v>
      </c>
      <c r="J1208" s="50" t="n">
        <v>0</v>
      </c>
      <c r="K1208" s="51" t="n">
        <v>1</v>
      </c>
      <c r="L1208" s="52" t="n">
        <v>0.43</v>
      </c>
      <c r="M1208" s="52" t="n">
        <v>0</v>
      </c>
      <c r="N1208" s="52" t="n">
        <v>0</v>
      </c>
      <c r="O1208" s="53" t="n">
        <v>0.0003</v>
      </c>
      <c r="P1208" s="52" t="n">
        <v>0.43</v>
      </c>
      <c r="Q1208" s="53" t="n">
        <v>0</v>
      </c>
      <c r="R1208" s="52" t="n">
        <v>0</v>
      </c>
      <c r="S1208" s="51" t="n">
        <v>3458</v>
      </c>
      <c r="T1208" s="48" t="n">
        <v>0</v>
      </c>
      <c r="U1208" s="49" t="n">
        <v>0</v>
      </c>
      <c r="V1208" s="49" t="n">
        <v>0</v>
      </c>
      <c r="W1208" s="50" t="n">
        <v>0</v>
      </c>
      <c r="X1208" s="51" t="n">
        <v>3</v>
      </c>
      <c r="Y1208" s="52" t="n">
        <v>1.29</v>
      </c>
      <c r="Z1208" s="52" t="n">
        <v>0</v>
      </c>
      <c r="AA1208" s="52" t="n">
        <v>0</v>
      </c>
      <c r="AB1208" s="53" t="n">
        <v>0.0008</v>
      </c>
      <c r="AC1208" s="52" t="n">
        <v>0.43</v>
      </c>
      <c r="AD1208" s="53" t="n">
        <v>0</v>
      </c>
      <c r="AE1208" s="52" t="n">
        <v>0</v>
      </c>
      <c r="AF1208" s="51" t="n">
        <v>3731</v>
      </c>
      <c r="AG1208" s="48" t="n">
        <v>0</v>
      </c>
      <c r="AH1208" s="49" t="n">
        <v>0</v>
      </c>
      <c r="AI1208" s="49" t="n">
        <v>0</v>
      </c>
      <c r="AJ1208" s="50" t="n">
        <v>0</v>
      </c>
      <c r="AK1208" s="51" t="n">
        <v>2</v>
      </c>
      <c r="AL1208" s="52" t="n">
        <v>0.65</v>
      </c>
      <c r="AM1208" s="52" t="n">
        <v>0</v>
      </c>
      <c r="AN1208" s="52" t="n">
        <v>0</v>
      </c>
      <c r="AO1208" s="53" t="n">
        <v>0.0005</v>
      </c>
      <c r="AP1208" s="52" t="n">
        <v>0.325</v>
      </c>
      <c r="AQ1208" s="53" t="n">
        <v>0</v>
      </c>
      <c r="AR1208" s="52" t="n">
        <v>0</v>
      </c>
      <c r="AS1208" s="51" t="n">
        <v>4107</v>
      </c>
      <c r="AT1208" s="48" t="n">
        <v>0</v>
      </c>
      <c r="AU1208" s="49" t="n">
        <v>0</v>
      </c>
      <c r="AV1208" s="49" t="n">
        <v>0</v>
      </c>
      <c r="AW1208" s="50" t="n">
        <v>0</v>
      </c>
      <c r="AX1208" s="51" t="n">
        <v>1</v>
      </c>
      <c r="AY1208" s="52" t="n">
        <v>0.43</v>
      </c>
      <c r="AZ1208" s="52" t="n">
        <v>0</v>
      </c>
      <c r="BA1208" s="52" t="n">
        <v>0</v>
      </c>
      <c r="BB1208" s="53" t="n">
        <v>0.0002</v>
      </c>
      <c r="BC1208" s="52" t="n">
        <v>0.43</v>
      </c>
      <c r="BD1208" s="53" t="n">
        <v>0</v>
      </c>
      <c r="BE1208" s="52" t="n">
        <v>0</v>
      </c>
      <c r="BF1208" s="51" t="n">
        <v>4235</v>
      </c>
    </row>
    <row r="1209">
      <c r="A1209">
        <f>HYPERLINK("https://www.walmart.com/ip/828032967", "828032967")</f>
        <v/>
      </c>
      <c r="B1209" t="inlineStr">
        <is>
          <t>Catalonia Fleece Wearable Blanket Poncho for Adult Women Men, Wrap Blanket Cape with Pocket |Warm,Soft, Cozy,Snuggly, Comfort Gift, No Sleeves|All Season, Navy</t>
        </is>
      </c>
      <c r="C1209" t="inlineStr">
        <is>
          <t>1CTBP200NY</t>
        </is>
      </c>
      <c r="D1209" t="inlineStr">
        <is>
          <t>Throws</t>
        </is>
      </c>
      <c r="E1209" t="inlineStr">
        <is>
          <t>Catalonia</t>
        </is>
      </c>
      <c r="F1209" t="inlineStr">
        <is>
          <t>Hero 5 Holidays,WFS,WFS Item</t>
        </is>
      </c>
      <c r="G1209" s="48" t="n">
        <v>0</v>
      </c>
      <c r="H1209" s="49" t="n">
        <v>0</v>
      </c>
      <c r="I1209" s="49" t="n">
        <v>0</v>
      </c>
      <c r="J1209" s="50" t="n">
        <v>0</v>
      </c>
      <c r="K1209" s="51" t="n">
        <v>0</v>
      </c>
      <c r="L1209" s="52" t="n">
        <v>0</v>
      </c>
      <c r="M1209" s="52" t="n">
        <v>0</v>
      </c>
      <c r="N1209" s="52" t="n">
        <v>0</v>
      </c>
      <c r="O1209" s="53" t="n">
        <v>0</v>
      </c>
      <c r="P1209" s="52" t="n">
        <v>0</v>
      </c>
      <c r="Q1209" s="53" t="n">
        <v>0</v>
      </c>
      <c r="R1209" s="52" t="n">
        <v>0</v>
      </c>
      <c r="S1209" s="51" t="n">
        <v>4</v>
      </c>
      <c r="T1209" s="48" t="n">
        <v>0</v>
      </c>
      <c r="U1209" s="49" t="n">
        <v>0</v>
      </c>
      <c r="V1209" s="49" t="n">
        <v>0</v>
      </c>
      <c r="W1209" s="50" t="n">
        <v>0</v>
      </c>
      <c r="X1209" s="51" t="n">
        <v>0</v>
      </c>
      <c r="Y1209" s="52" t="n">
        <v>0</v>
      </c>
      <c r="Z1209" s="52" t="n">
        <v>0</v>
      </c>
      <c r="AA1209" s="52" t="n">
        <v>0</v>
      </c>
      <c r="AB1209" s="53" t="n">
        <v>0</v>
      </c>
      <c r="AC1209" s="52" t="n">
        <v>0</v>
      </c>
      <c r="AD1209" s="53" t="n">
        <v>0</v>
      </c>
      <c r="AE1209" s="52" t="n">
        <v>0</v>
      </c>
      <c r="AF1209" s="51" t="n">
        <v>0</v>
      </c>
      <c r="AG1209" s="48" t="n">
        <v>0</v>
      </c>
      <c r="AH1209" s="49" t="n">
        <v>0</v>
      </c>
      <c r="AI1209" s="49" t="n">
        <v>0</v>
      </c>
      <c r="AJ1209" s="50" t="n">
        <v>0</v>
      </c>
      <c r="AK1209" s="51" t="n">
        <v>0</v>
      </c>
      <c r="AL1209" s="52" t="n">
        <v>0</v>
      </c>
      <c r="AM1209" s="52" t="n">
        <v>0</v>
      </c>
      <c r="AN1209" s="52" t="n">
        <v>0</v>
      </c>
      <c r="AO1209" s="53" t="n">
        <v>0</v>
      </c>
      <c r="AP1209" s="52" t="n">
        <v>0</v>
      </c>
      <c r="AQ1209" s="53" t="n">
        <v>0</v>
      </c>
      <c r="AR1209" s="52" t="n">
        <v>0</v>
      </c>
      <c r="AS1209" s="51" t="n">
        <v>0</v>
      </c>
      <c r="AT1209" s="48" t="n">
        <v>0</v>
      </c>
      <c r="AU1209" s="49" t="n">
        <v>0</v>
      </c>
      <c r="AV1209" s="49" t="n">
        <v>0</v>
      </c>
      <c r="AW1209" s="50" t="n">
        <v>0</v>
      </c>
      <c r="AX1209" s="51" t="n">
        <v>0</v>
      </c>
      <c r="AY1209" s="52" t="n">
        <v>0</v>
      </c>
      <c r="AZ1209" s="52" t="n">
        <v>0</v>
      </c>
      <c r="BA1209" s="52" t="n">
        <v>0</v>
      </c>
      <c r="BB1209" s="53" t="n">
        <v>0</v>
      </c>
      <c r="BC1209" s="52" t="n">
        <v>0</v>
      </c>
      <c r="BD1209" s="53" t="n">
        <v>0</v>
      </c>
      <c r="BE1209" s="52" t="n">
        <v>0</v>
      </c>
      <c r="BF1209" s="51" t="n">
        <v>0</v>
      </c>
    </row>
    <row r="1210">
      <c r="A1210">
        <f>HYPERLINK("https://www.walmart.com/ip/818314436", "818314436")</f>
        <v/>
      </c>
      <c r="B1210" t="inlineStr">
        <is>
          <t>Tirrinia Sherpa Wearable Comfy Plush Fleece Blanket Poncho For Adult, 55'' x 80'', Camel</t>
        </is>
      </c>
      <c r="C1210" t="inlineStr">
        <is>
          <t>1TRBP110CA-TBCB</t>
        </is>
      </c>
      <c r="D1210" t="inlineStr">
        <is>
          <t>Throws</t>
        </is>
      </c>
      <c r="E1210" t="inlineStr">
        <is>
          <t>Tirrinia</t>
        </is>
      </c>
      <c r="F1210" t="inlineStr">
        <is>
          <t>Optimized</t>
        </is>
      </c>
      <c r="G1210" s="48" t="n">
        <v>0</v>
      </c>
      <c r="H1210" s="49" t="n">
        <v>0</v>
      </c>
      <c r="I1210" s="49" t="n">
        <v>0</v>
      </c>
      <c r="J1210" s="50" t="n">
        <v>0</v>
      </c>
      <c r="K1210" s="51" t="n">
        <v>0</v>
      </c>
      <c r="L1210" s="52" t="n">
        <v>0</v>
      </c>
      <c r="M1210" s="52" t="n">
        <v>0</v>
      </c>
      <c r="N1210" s="52" t="n">
        <v>0</v>
      </c>
      <c r="O1210" s="53" t="n">
        <v>0</v>
      </c>
      <c r="P1210" s="52" t="n">
        <v>0</v>
      </c>
      <c r="Q1210" s="53" t="n">
        <v>0</v>
      </c>
      <c r="R1210" s="52" t="n">
        <v>0</v>
      </c>
      <c r="S1210" s="51" t="n">
        <v>0</v>
      </c>
      <c r="T1210" s="48" t="n">
        <v>0</v>
      </c>
      <c r="U1210" s="49" t="n">
        <v>0</v>
      </c>
      <c r="V1210" s="49" t="n">
        <v>0</v>
      </c>
      <c r="W1210" s="50" t="n">
        <v>0</v>
      </c>
      <c r="X1210" s="51" t="n">
        <v>0</v>
      </c>
      <c r="Y1210" s="52" t="n">
        <v>0</v>
      </c>
      <c r="Z1210" s="52" t="n">
        <v>0</v>
      </c>
      <c r="AA1210" s="52" t="n">
        <v>0</v>
      </c>
      <c r="AB1210" s="53" t="n">
        <v>0</v>
      </c>
      <c r="AC1210" s="52" t="n">
        <v>0</v>
      </c>
      <c r="AD1210" s="53" t="n">
        <v>0</v>
      </c>
      <c r="AE1210" s="52" t="n">
        <v>0</v>
      </c>
      <c r="AF1210" s="51" t="n">
        <v>0</v>
      </c>
      <c r="AG1210" s="48" t="n">
        <v>0</v>
      </c>
      <c r="AH1210" s="49" t="n">
        <v>0</v>
      </c>
      <c r="AI1210" s="49" t="n">
        <v>0</v>
      </c>
      <c r="AJ1210" s="50" t="n">
        <v>0</v>
      </c>
      <c r="AK1210" s="51" t="n">
        <v>0</v>
      </c>
      <c r="AL1210" s="52" t="n">
        <v>0</v>
      </c>
      <c r="AM1210" s="52" t="n">
        <v>0</v>
      </c>
      <c r="AN1210" s="52" t="n">
        <v>0</v>
      </c>
      <c r="AO1210" s="53" t="n">
        <v>0</v>
      </c>
      <c r="AP1210" s="52" t="n">
        <v>0</v>
      </c>
      <c r="AQ1210" s="53" t="n">
        <v>0</v>
      </c>
      <c r="AR1210" s="52" t="n">
        <v>0</v>
      </c>
      <c r="AS1210" s="51" t="n">
        <v>0</v>
      </c>
      <c r="AT1210" s="48" t="n">
        <v>0</v>
      </c>
      <c r="AU1210" s="49" t="n">
        <v>0</v>
      </c>
      <c r="AV1210" s="49" t="n">
        <v>0</v>
      </c>
      <c r="AW1210" s="50" t="n">
        <v>0</v>
      </c>
      <c r="AX1210" s="51" t="n">
        <v>0</v>
      </c>
      <c r="AY1210" s="52" t="n">
        <v>0</v>
      </c>
      <c r="AZ1210" s="52" t="n">
        <v>0</v>
      </c>
      <c r="BA1210" s="52" t="n">
        <v>0</v>
      </c>
      <c r="BB1210" s="53" t="n">
        <v>0</v>
      </c>
      <c r="BC1210" s="52" t="n">
        <v>0</v>
      </c>
      <c r="BD1210" s="53" t="n">
        <v>0</v>
      </c>
      <c r="BE1210" s="52" t="n">
        <v>0</v>
      </c>
      <c r="BF1210" s="51" t="n">
        <v>0</v>
      </c>
    </row>
    <row r="1211">
      <c r="A1211">
        <f>HYPERLINK("https://www.walmart.com/ip/818171363", "818171363")</f>
        <v/>
      </c>
      <c r="B1211" t="inlineStr">
        <is>
          <t>Sun Blocker Outdoor Sun Protection Fishing Cap with Neck Flap Wide Brim Hat for Men Women Baseball, Backpacking, Cycling, Hiking, Garden, Hunting, Camping, Olive</t>
        </is>
      </c>
      <c r="C1211" t="inlineStr">
        <is>
          <t>KC-S9155-OL</t>
        </is>
      </c>
      <c r="D1211" t="inlineStr">
        <is>
          <t>Hats</t>
        </is>
      </c>
      <c r="E1211" t="inlineStr">
        <is>
          <t>Sun Blocker</t>
        </is>
      </c>
      <c r="F1211" t="inlineStr">
        <is>
          <t>Hats,Batch 1 - TR</t>
        </is>
      </c>
      <c r="G1211" s="48" t="n">
        <v>0</v>
      </c>
      <c r="H1211" s="49" t="n">
        <v>0</v>
      </c>
      <c r="I1211" s="49" t="n">
        <v>0</v>
      </c>
      <c r="J1211" s="50" t="n">
        <v>0</v>
      </c>
      <c r="K1211" s="51" t="n">
        <v>0</v>
      </c>
      <c r="L1211" s="52" t="n">
        <v>0</v>
      </c>
      <c r="M1211" s="52" t="n">
        <v>0</v>
      </c>
      <c r="N1211" s="52" t="n">
        <v>0</v>
      </c>
      <c r="O1211" s="53" t="n">
        <v>0</v>
      </c>
      <c r="P1211" s="52" t="n">
        <v>0</v>
      </c>
      <c r="Q1211" s="53" t="n">
        <v>0</v>
      </c>
      <c r="R1211" s="52" t="n">
        <v>0</v>
      </c>
      <c r="S1211" s="51" t="n">
        <v>0</v>
      </c>
      <c r="T1211" s="48" t="n">
        <v>0</v>
      </c>
      <c r="U1211" s="49" t="n">
        <v>0</v>
      </c>
      <c r="V1211" s="49" t="n">
        <v>0</v>
      </c>
      <c r="W1211" s="50" t="n">
        <v>0</v>
      </c>
      <c r="X1211" s="51" t="n">
        <v>0</v>
      </c>
      <c r="Y1211" s="52" t="n">
        <v>0</v>
      </c>
      <c r="Z1211" s="52" t="n">
        <v>0</v>
      </c>
      <c r="AA1211" s="52" t="n">
        <v>0</v>
      </c>
      <c r="AB1211" s="53" t="n">
        <v>0</v>
      </c>
      <c r="AC1211" s="52" t="n">
        <v>0</v>
      </c>
      <c r="AD1211" s="53" t="n">
        <v>0</v>
      </c>
      <c r="AE1211" s="52" t="n">
        <v>0</v>
      </c>
      <c r="AF1211" s="51" t="n">
        <v>0</v>
      </c>
      <c r="AG1211" s="48" t="n">
        <v>0</v>
      </c>
      <c r="AH1211" s="49" t="n">
        <v>0</v>
      </c>
      <c r="AI1211" s="49" t="n">
        <v>0</v>
      </c>
      <c r="AJ1211" s="50" t="n">
        <v>0</v>
      </c>
      <c r="AK1211" s="51" t="n">
        <v>0</v>
      </c>
      <c r="AL1211" s="52" t="n">
        <v>0</v>
      </c>
      <c r="AM1211" s="52" t="n">
        <v>0</v>
      </c>
      <c r="AN1211" s="52" t="n">
        <v>0</v>
      </c>
      <c r="AO1211" s="53" t="n">
        <v>0</v>
      </c>
      <c r="AP1211" s="52" t="n">
        <v>0</v>
      </c>
      <c r="AQ1211" s="53" t="n">
        <v>0</v>
      </c>
      <c r="AR1211" s="52" t="n">
        <v>0</v>
      </c>
      <c r="AS1211" s="51" t="n">
        <v>0</v>
      </c>
      <c r="AT1211" s="48" t="n">
        <v>0</v>
      </c>
      <c r="AU1211" s="49" t="n">
        <v>0</v>
      </c>
      <c r="AV1211" s="49" t="n">
        <v>0</v>
      </c>
      <c r="AW1211" s="50" t="n">
        <v>0</v>
      </c>
      <c r="AX1211" s="51" t="n">
        <v>0</v>
      </c>
      <c r="AY1211" s="52" t="n">
        <v>0</v>
      </c>
      <c r="AZ1211" s="52" t="n">
        <v>0</v>
      </c>
      <c r="BA1211" s="52" t="n">
        <v>0</v>
      </c>
      <c r="BB1211" s="53" t="n">
        <v>0</v>
      </c>
      <c r="BC1211" s="52" t="n">
        <v>0</v>
      </c>
      <c r="BD1211" s="53" t="n">
        <v>0</v>
      </c>
      <c r="BE1211" s="52" t="n">
        <v>0</v>
      </c>
      <c r="BF1211" s="51" t="n">
        <v>0</v>
      </c>
    </row>
    <row r="1212">
      <c r="A1212">
        <f>HYPERLINK("https://www.walmart.com/ip/813734406", "813734406")</f>
        <v/>
      </c>
      <c r="B1212" t="inlineStr">
        <is>
          <t>Terra Men Boxer Brief Underwear Best 3 Pack Most Comfortable Cotton Trunk Short</t>
        </is>
      </c>
      <c r="C1212" t="inlineStr">
        <is>
          <t>TERRA-BOXER9-M</t>
        </is>
      </c>
      <c r="D1212" t="inlineStr">
        <is>
          <t>Underpants</t>
        </is>
      </c>
      <c r="E1212" t="inlineStr">
        <is>
          <t>Terra</t>
        </is>
      </c>
      <c r="F1212" t="inlineStr">
        <is>
          <t>Batch 1 - TR</t>
        </is>
      </c>
      <c r="G1212" s="48" t="n">
        <v>0</v>
      </c>
      <c r="H1212" s="49" t="n">
        <v>0</v>
      </c>
      <c r="I1212" s="49" t="n">
        <v>0</v>
      </c>
      <c r="J1212" s="50" t="n">
        <v>0</v>
      </c>
      <c r="K1212" s="51" t="n">
        <v>0</v>
      </c>
      <c r="L1212" s="52" t="n">
        <v>0</v>
      </c>
      <c r="M1212" s="52" t="n">
        <v>0</v>
      </c>
      <c r="N1212" s="52" t="n">
        <v>0</v>
      </c>
      <c r="O1212" s="53" t="n">
        <v>0</v>
      </c>
      <c r="P1212" s="52" t="n">
        <v>0</v>
      </c>
      <c r="Q1212" s="53" t="n">
        <v>0</v>
      </c>
      <c r="R1212" s="52" t="n">
        <v>0</v>
      </c>
      <c r="S1212" s="51" t="n">
        <v>0</v>
      </c>
      <c r="T1212" s="48" t="n">
        <v>0</v>
      </c>
      <c r="U1212" s="49" t="n">
        <v>0</v>
      </c>
      <c r="V1212" s="49" t="n">
        <v>0</v>
      </c>
      <c r="W1212" s="50" t="n">
        <v>0</v>
      </c>
      <c r="X1212" s="51" t="n">
        <v>0</v>
      </c>
      <c r="Y1212" s="52" t="n">
        <v>0</v>
      </c>
      <c r="Z1212" s="52" t="n">
        <v>0</v>
      </c>
      <c r="AA1212" s="52" t="n">
        <v>0</v>
      </c>
      <c r="AB1212" s="53" t="n">
        <v>0</v>
      </c>
      <c r="AC1212" s="52" t="n">
        <v>0</v>
      </c>
      <c r="AD1212" s="53" t="n">
        <v>0</v>
      </c>
      <c r="AE1212" s="52" t="n">
        <v>0</v>
      </c>
      <c r="AF1212" s="51" t="n">
        <v>0</v>
      </c>
      <c r="AG1212" s="48" t="n">
        <v>0</v>
      </c>
      <c r="AH1212" s="49" t="n">
        <v>0</v>
      </c>
      <c r="AI1212" s="49" t="n">
        <v>0</v>
      </c>
      <c r="AJ1212" s="50" t="n">
        <v>0</v>
      </c>
      <c r="AK1212" s="51" t="n">
        <v>0</v>
      </c>
      <c r="AL1212" s="52" t="n">
        <v>0</v>
      </c>
      <c r="AM1212" s="52" t="n">
        <v>0</v>
      </c>
      <c r="AN1212" s="52" t="n">
        <v>0</v>
      </c>
      <c r="AO1212" s="53" t="n">
        <v>0</v>
      </c>
      <c r="AP1212" s="52" t="n">
        <v>0</v>
      </c>
      <c r="AQ1212" s="53" t="n">
        <v>0</v>
      </c>
      <c r="AR1212" s="52" t="n">
        <v>0</v>
      </c>
      <c r="AS1212" s="51" t="n">
        <v>0</v>
      </c>
      <c r="AT1212" s="48" t="n">
        <v>0</v>
      </c>
      <c r="AU1212" s="49" t="n">
        <v>0</v>
      </c>
      <c r="AV1212" s="49" t="n">
        <v>0</v>
      </c>
      <c r="AW1212" s="50" t="n">
        <v>0</v>
      </c>
      <c r="AX1212" s="51" t="n">
        <v>0</v>
      </c>
      <c r="AY1212" s="52" t="n">
        <v>0</v>
      </c>
      <c r="AZ1212" s="52" t="n">
        <v>0</v>
      </c>
      <c r="BA1212" s="52" t="n">
        <v>0</v>
      </c>
      <c r="BB1212" s="53" t="n">
        <v>0</v>
      </c>
      <c r="BC1212" s="52" t="n">
        <v>0</v>
      </c>
      <c r="BD1212" s="53" t="n">
        <v>0</v>
      </c>
      <c r="BE1212" s="52" t="n">
        <v>0</v>
      </c>
      <c r="BF1212" s="51" t="n">
        <v>0</v>
      </c>
    </row>
    <row r="1213">
      <c r="A1213">
        <f>HYPERLINK("https://www.walmart.com/ip/817140249", "817140249")</f>
        <v/>
      </c>
      <c r="B1213" t="inlineStr">
        <is>
          <t>Waterproof 3M Thinsulate Ski Gloves for Men Women, Winter Warm Cozy Snowboard Gloves with Half Ski Mask for Skiing, Snowboarding, Shoveling &amp; Outdoor Sports, with Pocket &amp; Wrist Leashes</t>
        </is>
      </c>
      <c r="C1213" t="inlineStr">
        <is>
          <t>1SLWG301GYBK-XL</t>
        </is>
      </c>
      <c r="D1213" t="inlineStr">
        <is>
          <t>Gloves &amp; Mittens</t>
        </is>
      </c>
      <c r="E1213" t="inlineStr">
        <is>
          <t>Solaris</t>
        </is>
      </c>
      <c r="F1213" t="inlineStr">
        <is>
          <t>Gloves,WFS,WFS Item</t>
        </is>
      </c>
      <c r="G1213" s="48" t="n">
        <v>0</v>
      </c>
      <c r="H1213" s="49" t="n">
        <v>0</v>
      </c>
      <c r="I1213" s="49" t="n">
        <v>0</v>
      </c>
      <c r="J1213" s="50" t="n">
        <v>0</v>
      </c>
      <c r="K1213" s="51" t="n">
        <v>0</v>
      </c>
      <c r="L1213" s="52" t="n">
        <v>0</v>
      </c>
      <c r="M1213" s="52" t="n">
        <v>0</v>
      </c>
      <c r="N1213" s="52" t="n">
        <v>0</v>
      </c>
      <c r="O1213" s="53" t="n">
        <v>0</v>
      </c>
      <c r="P1213" s="52" t="n">
        <v>0</v>
      </c>
      <c r="Q1213" s="53" t="n">
        <v>0</v>
      </c>
      <c r="R1213" s="52" t="n">
        <v>0</v>
      </c>
      <c r="S1213" s="51" t="n">
        <v>0</v>
      </c>
      <c r="T1213" s="48" t="n">
        <v>0</v>
      </c>
      <c r="U1213" s="49" t="n">
        <v>0</v>
      </c>
      <c r="V1213" s="49" t="n">
        <v>0</v>
      </c>
      <c r="W1213" s="50" t="n">
        <v>0</v>
      </c>
      <c r="X1213" s="51" t="n">
        <v>0</v>
      </c>
      <c r="Y1213" s="52" t="n">
        <v>0</v>
      </c>
      <c r="Z1213" s="52" t="n">
        <v>0</v>
      </c>
      <c r="AA1213" s="52" t="n">
        <v>0</v>
      </c>
      <c r="AB1213" s="53" t="n">
        <v>0</v>
      </c>
      <c r="AC1213" s="52" t="n">
        <v>0</v>
      </c>
      <c r="AD1213" s="53" t="n">
        <v>0</v>
      </c>
      <c r="AE1213" s="52" t="n">
        <v>0</v>
      </c>
      <c r="AF1213" s="51" t="n">
        <v>0</v>
      </c>
      <c r="AG1213" s="48" t="n">
        <v>0</v>
      </c>
      <c r="AH1213" s="49" t="n">
        <v>0</v>
      </c>
      <c r="AI1213" s="49" t="n">
        <v>0</v>
      </c>
      <c r="AJ1213" s="50" t="n">
        <v>0</v>
      </c>
      <c r="AK1213" s="51" t="n">
        <v>0</v>
      </c>
      <c r="AL1213" s="52" t="n">
        <v>0</v>
      </c>
      <c r="AM1213" s="52" t="n">
        <v>0</v>
      </c>
      <c r="AN1213" s="52" t="n">
        <v>0</v>
      </c>
      <c r="AO1213" s="53" t="n">
        <v>0</v>
      </c>
      <c r="AP1213" s="52" t="n">
        <v>0</v>
      </c>
      <c r="AQ1213" s="53" t="n">
        <v>0</v>
      </c>
      <c r="AR1213" s="52" t="n">
        <v>0</v>
      </c>
      <c r="AS1213" s="51" t="n">
        <v>0</v>
      </c>
      <c r="AT1213" s="48" t="n">
        <v>0</v>
      </c>
      <c r="AU1213" s="49" t="n">
        <v>0</v>
      </c>
      <c r="AV1213" s="49" t="n">
        <v>0</v>
      </c>
      <c r="AW1213" s="50" t="n">
        <v>0</v>
      </c>
      <c r="AX1213" s="51" t="n">
        <v>0</v>
      </c>
      <c r="AY1213" s="52" t="n">
        <v>0</v>
      </c>
      <c r="AZ1213" s="52" t="n">
        <v>0</v>
      </c>
      <c r="BA1213" s="52" t="n">
        <v>0</v>
      </c>
      <c r="BB1213" s="53" t="n">
        <v>0</v>
      </c>
      <c r="BC1213" s="52" t="n">
        <v>0</v>
      </c>
      <c r="BD1213" s="53" t="n">
        <v>0</v>
      </c>
      <c r="BE1213" s="52" t="n">
        <v>0</v>
      </c>
      <c r="BF1213" s="51" t="n">
        <v>0</v>
      </c>
    </row>
    <row r="1214">
      <c r="A1214">
        <f>HYPERLINK("https://www.walmart.com/ip/814050622", "814050622")</f>
        <v/>
      </c>
      <c r="B1214" t="inlineStr">
        <is>
          <t>&lt;span style="color: #46474a; font-family: BogleWeb, Helvetica Neue, Helvetica, Arial, sans-serif;"&gt;&lt;span style="background-color: #ffffff;"&gt;Catalonia &lt;/span&gt;&lt;/span&gt;Plaid Sherpa Throw Blanket 50" x 60", for Couch and Bed, Super Soft Comfort Caring Gift</t>
        </is>
      </c>
      <c r="C1214" t="inlineStr">
        <is>
          <t>1CTBF565PGY</t>
        </is>
      </c>
      <c r="D1214" t="inlineStr">
        <is>
          <t>Throws</t>
        </is>
      </c>
      <c r="E1214" t="inlineStr">
        <is>
          <t>Catalonia</t>
        </is>
      </c>
      <c r="F1214" t="inlineStr">
        <is>
          <t>Optimized,WFS,WFS Item</t>
        </is>
      </c>
      <c r="G1214" s="48" t="n">
        <v>0</v>
      </c>
      <c r="H1214" s="49" t="n">
        <v>0</v>
      </c>
      <c r="I1214" s="49" t="n">
        <v>0</v>
      </c>
      <c r="J1214" s="50" t="n">
        <v>0</v>
      </c>
      <c r="K1214" s="51" t="n">
        <v>0</v>
      </c>
      <c r="L1214" s="52" t="n">
        <v>0</v>
      </c>
      <c r="M1214" s="52" t="n">
        <v>0</v>
      </c>
      <c r="N1214" s="52" t="n">
        <v>0</v>
      </c>
      <c r="O1214" s="53" t="n">
        <v>0</v>
      </c>
      <c r="P1214" s="52" t="n">
        <v>0</v>
      </c>
      <c r="Q1214" s="53" t="n">
        <v>0</v>
      </c>
      <c r="R1214" s="52" t="n">
        <v>0</v>
      </c>
      <c r="S1214" s="51" t="n">
        <v>0</v>
      </c>
      <c r="T1214" s="48" t="n">
        <v>0</v>
      </c>
      <c r="U1214" s="49" t="n">
        <v>0</v>
      </c>
      <c r="V1214" s="49" t="n">
        <v>0</v>
      </c>
      <c r="W1214" s="50" t="n">
        <v>0</v>
      </c>
      <c r="X1214" s="51" t="n">
        <v>0</v>
      </c>
      <c r="Y1214" s="52" t="n">
        <v>0</v>
      </c>
      <c r="Z1214" s="52" t="n">
        <v>0</v>
      </c>
      <c r="AA1214" s="52" t="n">
        <v>0</v>
      </c>
      <c r="AB1214" s="53" t="n">
        <v>0</v>
      </c>
      <c r="AC1214" s="52" t="n">
        <v>0</v>
      </c>
      <c r="AD1214" s="53" t="n">
        <v>0</v>
      </c>
      <c r="AE1214" s="52" t="n">
        <v>0</v>
      </c>
      <c r="AF1214" s="51" t="n">
        <v>0</v>
      </c>
      <c r="AG1214" s="48" t="n">
        <v>0</v>
      </c>
      <c r="AH1214" s="49" t="n">
        <v>0</v>
      </c>
      <c r="AI1214" s="49" t="n">
        <v>0</v>
      </c>
      <c r="AJ1214" s="50" t="n">
        <v>0</v>
      </c>
      <c r="AK1214" s="51" t="n">
        <v>0</v>
      </c>
      <c r="AL1214" s="52" t="n">
        <v>0</v>
      </c>
      <c r="AM1214" s="52" t="n">
        <v>0</v>
      </c>
      <c r="AN1214" s="52" t="n">
        <v>0</v>
      </c>
      <c r="AO1214" s="53" t="n">
        <v>0</v>
      </c>
      <c r="AP1214" s="52" t="n">
        <v>0</v>
      </c>
      <c r="AQ1214" s="53" t="n">
        <v>0</v>
      </c>
      <c r="AR1214" s="52" t="n">
        <v>0</v>
      </c>
      <c r="AS1214" s="51" t="n">
        <v>0</v>
      </c>
      <c r="AT1214" s="48" t="n">
        <v>0</v>
      </c>
      <c r="AU1214" s="49" t="n">
        <v>0</v>
      </c>
      <c r="AV1214" s="49" t="n">
        <v>0</v>
      </c>
      <c r="AW1214" s="50" t="n">
        <v>0</v>
      </c>
      <c r="AX1214" s="51" t="n">
        <v>0</v>
      </c>
      <c r="AY1214" s="52" t="n">
        <v>0</v>
      </c>
      <c r="AZ1214" s="52" t="n">
        <v>0</v>
      </c>
      <c r="BA1214" s="52" t="n">
        <v>0</v>
      </c>
      <c r="BB1214" s="53" t="n">
        <v>0</v>
      </c>
      <c r="BC1214" s="52" t="n">
        <v>0</v>
      </c>
      <c r="BD1214" s="53" t="n">
        <v>0</v>
      </c>
      <c r="BE1214" s="52" t="n">
        <v>0</v>
      </c>
      <c r="BF1214" s="51" t="n">
        <v>0</v>
      </c>
    </row>
    <row r="1215">
      <c r="A1215">
        <f>HYPERLINK("https://www.walmart.com/ip/814209589", "814209589")</f>
        <v/>
      </c>
      <c r="B1215" t="inlineStr">
        <is>
          <t>Tirrinia Surf Poncho Changing Towel with Hood, Quick Dry Oversized Fits All Adult, Black</t>
        </is>
      </c>
      <c r="C1215" t="inlineStr">
        <is>
          <t>1TRBR100-BK-TB01</t>
        </is>
      </c>
      <c r="D1215" t="inlineStr">
        <is>
          <t>Towels &amp; Washcloths</t>
        </is>
      </c>
      <c r="E1215" t="inlineStr">
        <is>
          <t>Tirrinia</t>
        </is>
      </c>
      <c r="F1215" t="inlineStr">
        <is>
          <t>Batch 1 - TR</t>
        </is>
      </c>
      <c r="G1215" s="48" t="n">
        <v>0</v>
      </c>
      <c r="H1215" s="49" t="n">
        <v>0</v>
      </c>
      <c r="I1215" s="49" t="n">
        <v>0</v>
      </c>
      <c r="J1215" s="50" t="n">
        <v>0</v>
      </c>
      <c r="K1215" s="51" t="n">
        <v>0</v>
      </c>
      <c r="L1215" s="52" t="n">
        <v>0</v>
      </c>
      <c r="M1215" s="52" t="n">
        <v>0</v>
      </c>
      <c r="N1215" s="52" t="n">
        <v>0</v>
      </c>
      <c r="O1215" s="53" t="n">
        <v>0</v>
      </c>
      <c r="P1215" s="52" t="n">
        <v>0</v>
      </c>
      <c r="Q1215" s="53" t="n">
        <v>0</v>
      </c>
      <c r="R1215" s="52" t="n">
        <v>0</v>
      </c>
      <c r="S1215" s="51" t="n">
        <v>0</v>
      </c>
      <c r="T1215" s="48" t="n">
        <v>0</v>
      </c>
      <c r="U1215" s="49" t="n">
        <v>0</v>
      </c>
      <c r="V1215" s="49" t="n">
        <v>0</v>
      </c>
      <c r="W1215" s="50" t="n">
        <v>0</v>
      </c>
      <c r="X1215" s="51" t="n">
        <v>0</v>
      </c>
      <c r="Y1215" s="52" t="n">
        <v>0</v>
      </c>
      <c r="Z1215" s="52" t="n">
        <v>0</v>
      </c>
      <c r="AA1215" s="52" t="n">
        <v>0</v>
      </c>
      <c r="AB1215" s="53" t="n">
        <v>0</v>
      </c>
      <c r="AC1215" s="52" t="n">
        <v>0</v>
      </c>
      <c r="AD1215" s="53" t="n">
        <v>0</v>
      </c>
      <c r="AE1215" s="52" t="n">
        <v>0</v>
      </c>
      <c r="AF1215" s="51" t="n">
        <v>0</v>
      </c>
      <c r="AG1215" s="48" t="n">
        <v>0</v>
      </c>
      <c r="AH1215" s="49" t="n">
        <v>0</v>
      </c>
      <c r="AI1215" s="49" t="n">
        <v>0</v>
      </c>
      <c r="AJ1215" s="50" t="n">
        <v>0</v>
      </c>
      <c r="AK1215" s="51" t="n">
        <v>0</v>
      </c>
      <c r="AL1215" s="52" t="n">
        <v>0</v>
      </c>
      <c r="AM1215" s="52" t="n">
        <v>0</v>
      </c>
      <c r="AN1215" s="52" t="n">
        <v>0</v>
      </c>
      <c r="AO1215" s="53" t="n">
        <v>0</v>
      </c>
      <c r="AP1215" s="52" t="n">
        <v>0</v>
      </c>
      <c r="AQ1215" s="53" t="n">
        <v>0</v>
      </c>
      <c r="AR1215" s="52" t="n">
        <v>0</v>
      </c>
      <c r="AS1215" s="51" t="n">
        <v>0</v>
      </c>
      <c r="AT1215" s="48" t="n">
        <v>0</v>
      </c>
      <c r="AU1215" s="49" t="n">
        <v>0</v>
      </c>
      <c r="AV1215" s="49" t="n">
        <v>0</v>
      </c>
      <c r="AW1215" s="50" t="n">
        <v>0</v>
      </c>
      <c r="AX1215" s="51" t="n">
        <v>0</v>
      </c>
      <c r="AY1215" s="52" t="n">
        <v>0</v>
      </c>
      <c r="AZ1215" s="52" t="n">
        <v>0</v>
      </c>
      <c r="BA1215" s="52" t="n">
        <v>0</v>
      </c>
      <c r="BB1215" s="53" t="n">
        <v>0</v>
      </c>
      <c r="BC1215" s="52" t="n">
        <v>0</v>
      </c>
      <c r="BD1215" s="53" t="n">
        <v>0</v>
      </c>
      <c r="BE1215" s="52" t="n">
        <v>0</v>
      </c>
      <c r="BF1215" s="51" t="n">
        <v>0</v>
      </c>
    </row>
    <row r="1216">
      <c r="A1216">
        <f>HYPERLINK("https://www.walmart.com/ip/815170101", "815170101")</f>
        <v/>
      </c>
      <c r="B1216" t="inlineStr">
        <is>
          <t>Kato 6 Bottle Insulated Portable Wine Tote Bag for Travel/Picnic/Party, Black</t>
        </is>
      </c>
      <c r="C1216" t="inlineStr">
        <is>
          <t>1KTWB600BK-CDGM</t>
        </is>
      </c>
      <c r="D1216" t="inlineStr">
        <is>
          <t>Wine Totes, Bags &amp; Backpacks</t>
        </is>
      </c>
      <c r="E1216" t="inlineStr">
        <is>
          <t>Kato</t>
        </is>
      </c>
      <c r="G1216" s="48" t="n">
        <v>0</v>
      </c>
      <c r="H1216" s="49" t="n">
        <v>0</v>
      </c>
      <c r="I1216" s="49" t="n">
        <v>0</v>
      </c>
      <c r="J1216" s="50" t="n">
        <v>0</v>
      </c>
      <c r="K1216" s="51" t="n">
        <v>0</v>
      </c>
      <c r="L1216" s="52" t="n">
        <v>0</v>
      </c>
      <c r="M1216" s="52" t="n">
        <v>0</v>
      </c>
      <c r="N1216" s="52" t="n">
        <v>0</v>
      </c>
      <c r="O1216" s="53" t="n">
        <v>0</v>
      </c>
      <c r="P1216" s="52" t="n">
        <v>0</v>
      </c>
      <c r="Q1216" s="53" t="n">
        <v>0</v>
      </c>
      <c r="R1216" s="52" t="n">
        <v>0</v>
      </c>
      <c r="S1216" s="51" t="n">
        <v>0</v>
      </c>
      <c r="T1216" s="48" t="n">
        <v>0</v>
      </c>
      <c r="U1216" s="49" t="n">
        <v>0</v>
      </c>
      <c r="V1216" s="49" t="n">
        <v>0</v>
      </c>
      <c r="W1216" s="50" t="n">
        <v>0</v>
      </c>
      <c r="X1216" s="51" t="n">
        <v>0</v>
      </c>
      <c r="Y1216" s="52" t="n">
        <v>0</v>
      </c>
      <c r="Z1216" s="52" t="n">
        <v>0</v>
      </c>
      <c r="AA1216" s="52" t="n">
        <v>0</v>
      </c>
      <c r="AB1216" s="53" t="n">
        <v>0</v>
      </c>
      <c r="AC1216" s="52" t="n">
        <v>0</v>
      </c>
      <c r="AD1216" s="53" t="n">
        <v>0</v>
      </c>
      <c r="AE1216" s="52" t="n">
        <v>0</v>
      </c>
      <c r="AF1216" s="51" t="n">
        <v>0</v>
      </c>
      <c r="AG1216" s="48" t="n">
        <v>0</v>
      </c>
      <c r="AH1216" s="49" t="n">
        <v>0</v>
      </c>
      <c r="AI1216" s="49" t="n">
        <v>0</v>
      </c>
      <c r="AJ1216" s="50" t="n">
        <v>0</v>
      </c>
      <c r="AK1216" s="51" t="n">
        <v>0</v>
      </c>
      <c r="AL1216" s="52" t="n">
        <v>0</v>
      </c>
      <c r="AM1216" s="52" t="n">
        <v>0</v>
      </c>
      <c r="AN1216" s="52" t="n">
        <v>0</v>
      </c>
      <c r="AO1216" s="53" t="n">
        <v>0</v>
      </c>
      <c r="AP1216" s="52" t="n">
        <v>0</v>
      </c>
      <c r="AQ1216" s="53" t="n">
        <v>0</v>
      </c>
      <c r="AR1216" s="52" t="n">
        <v>0</v>
      </c>
      <c r="AS1216" s="51" t="n">
        <v>0</v>
      </c>
      <c r="AT1216" s="48" t="n">
        <v>0</v>
      </c>
      <c r="AU1216" s="49" t="n">
        <v>0</v>
      </c>
      <c r="AV1216" s="49" t="n">
        <v>0</v>
      </c>
      <c r="AW1216" s="50" t="n">
        <v>0</v>
      </c>
      <c r="AX1216" s="51" t="n">
        <v>0</v>
      </c>
      <c r="AY1216" s="52" t="n">
        <v>0</v>
      </c>
      <c r="AZ1216" s="52" t="n">
        <v>0</v>
      </c>
      <c r="BA1216" s="52" t="n">
        <v>0</v>
      </c>
      <c r="BB1216" s="53" t="n">
        <v>0</v>
      </c>
      <c r="BC1216" s="52" t="n">
        <v>0</v>
      </c>
      <c r="BD1216" s="53" t="n">
        <v>0</v>
      </c>
      <c r="BE1216" s="52" t="n">
        <v>0</v>
      </c>
      <c r="BF1216" s="51" t="n">
        <v>0</v>
      </c>
    </row>
    <row r="1217">
      <c r="A1217">
        <f>HYPERLINK("https://www.walmart.com/ip/815187851", "815187851")</f>
        <v/>
      </c>
      <c r="B1217" t="inlineStr">
        <is>
          <t>Catalonia Twin Size Quilt Set, Lightweight Bedspread for Summer and Spring, 2 Pieces Bedding Coverlet, 1 Quilt and 1 Pillow Sham, Blue Wave Pattern, 68'' x 90''</t>
        </is>
      </c>
      <c r="C1217" t="inlineStr">
        <is>
          <t>1CTBQ201TW-BLWT</t>
        </is>
      </c>
      <c r="D1217" t="inlineStr">
        <is>
          <t>Quilts</t>
        </is>
      </c>
      <c r="E1217" t="inlineStr">
        <is>
          <t>Catalonia</t>
        </is>
      </c>
      <c r="F1217" t="inlineStr">
        <is>
          <t>Optimized,WFS,WFS Item</t>
        </is>
      </c>
      <c r="G1217" s="48" t="n">
        <v>0</v>
      </c>
      <c r="H1217" s="49" t="n">
        <v>0</v>
      </c>
      <c r="I1217" s="49" t="n">
        <v>0</v>
      </c>
      <c r="J1217" s="50" t="n">
        <v>0</v>
      </c>
      <c r="K1217" s="51" t="n">
        <v>0</v>
      </c>
      <c r="L1217" s="52" t="n">
        <v>0</v>
      </c>
      <c r="M1217" s="52" t="n">
        <v>0</v>
      </c>
      <c r="N1217" s="52" t="n">
        <v>0</v>
      </c>
      <c r="O1217" s="53" t="n">
        <v>0</v>
      </c>
      <c r="P1217" s="52" t="n">
        <v>0</v>
      </c>
      <c r="Q1217" s="53" t="n">
        <v>0</v>
      </c>
      <c r="R1217" s="52" t="n">
        <v>0</v>
      </c>
      <c r="S1217" s="51" t="n">
        <v>0</v>
      </c>
      <c r="T1217" s="48" t="n">
        <v>0</v>
      </c>
      <c r="U1217" s="49" t="n">
        <v>0</v>
      </c>
      <c r="V1217" s="49" t="n">
        <v>4</v>
      </c>
      <c r="W1217" s="50" t="n">
        <v>0</v>
      </c>
      <c r="X1217" s="51" t="n">
        <v>0</v>
      </c>
      <c r="Y1217" s="52" t="n">
        <v>0</v>
      </c>
      <c r="Z1217" s="52" t="n">
        <v>0</v>
      </c>
      <c r="AA1217" s="52" t="n">
        <v>0</v>
      </c>
      <c r="AB1217" s="53" t="n">
        <v>0</v>
      </c>
      <c r="AC1217" s="52" t="n">
        <v>0</v>
      </c>
      <c r="AD1217" s="53" t="n">
        <v>0</v>
      </c>
      <c r="AE1217" s="52" t="n">
        <v>0</v>
      </c>
      <c r="AF1217" s="51" t="n">
        <v>0</v>
      </c>
      <c r="AG1217" s="48" t="n">
        <v>0</v>
      </c>
      <c r="AH1217" s="49" t="n">
        <v>0</v>
      </c>
      <c r="AI1217" s="49" t="n">
        <v>3</v>
      </c>
      <c r="AJ1217" s="50" t="n">
        <v>0</v>
      </c>
      <c r="AK1217" s="51" t="n">
        <v>0</v>
      </c>
      <c r="AL1217" s="52" t="n">
        <v>0</v>
      </c>
      <c r="AM1217" s="52" t="n">
        <v>0</v>
      </c>
      <c r="AN1217" s="52" t="n">
        <v>0</v>
      </c>
      <c r="AO1217" s="53" t="n">
        <v>0</v>
      </c>
      <c r="AP1217" s="52" t="n">
        <v>0</v>
      </c>
      <c r="AQ1217" s="53" t="n">
        <v>0</v>
      </c>
      <c r="AR1217" s="52" t="n">
        <v>0</v>
      </c>
      <c r="AS1217" s="51" t="n">
        <v>0</v>
      </c>
      <c r="AT1217" s="48" t="n">
        <v>0</v>
      </c>
      <c r="AU1217" s="49" t="n">
        <v>0</v>
      </c>
      <c r="AV1217" s="49" t="n">
        <v>0</v>
      </c>
      <c r="AW1217" s="50" t="n">
        <v>0</v>
      </c>
      <c r="AX1217" s="51" t="n">
        <v>0</v>
      </c>
      <c r="AY1217" s="52" t="n">
        <v>0</v>
      </c>
      <c r="AZ1217" s="52" t="n">
        <v>0</v>
      </c>
      <c r="BA1217" s="52" t="n">
        <v>0</v>
      </c>
      <c r="BB1217" s="53" t="n">
        <v>0</v>
      </c>
      <c r="BC1217" s="52" t="n">
        <v>0</v>
      </c>
      <c r="BD1217" s="53" t="n">
        <v>0</v>
      </c>
      <c r="BE1217" s="52" t="n">
        <v>0</v>
      </c>
      <c r="BF1217" s="51" t="n">
        <v>0</v>
      </c>
    </row>
    <row r="1218">
      <c r="A1218">
        <f>HYPERLINK("https://www.walmart.com/ip/815244005", "815244005")</f>
        <v/>
      </c>
      <c r="B1218" t="inlineStr">
        <is>
          <t>American Flag Sun Cap Patriotic Sports Baseball Tennis Golf Dad Hats for Men Women by Solaris</t>
        </is>
      </c>
      <c r="C1218" t="inlineStr">
        <is>
          <t>1SLBC120NV</t>
        </is>
      </c>
      <c r="D1218" t="inlineStr">
        <is>
          <t>Golf Hats</t>
        </is>
      </c>
      <c r="E1218" t="inlineStr">
        <is>
          <t>Solaris</t>
        </is>
      </c>
      <c r="F1218" t="inlineStr">
        <is>
          <t>Optimized</t>
        </is>
      </c>
      <c r="G1218" s="48" t="n">
        <v>0</v>
      </c>
      <c r="H1218" s="49" t="n">
        <v>0</v>
      </c>
      <c r="I1218" s="49" t="n">
        <v>0</v>
      </c>
      <c r="J1218" s="50" t="n">
        <v>0</v>
      </c>
      <c r="K1218" s="51" t="n">
        <v>0</v>
      </c>
      <c r="L1218" s="52" t="n">
        <v>0</v>
      </c>
      <c r="M1218" s="52" t="n">
        <v>0</v>
      </c>
      <c r="N1218" s="52" t="n">
        <v>0</v>
      </c>
      <c r="O1218" s="53" t="n">
        <v>0</v>
      </c>
      <c r="P1218" s="52" t="n">
        <v>0</v>
      </c>
      <c r="Q1218" s="53" t="n">
        <v>0</v>
      </c>
      <c r="R1218" s="52" t="n">
        <v>0</v>
      </c>
      <c r="S1218" s="51" t="n">
        <v>0</v>
      </c>
      <c r="T1218" s="48" t="n">
        <v>0</v>
      </c>
      <c r="U1218" s="49" t="n">
        <v>0</v>
      </c>
      <c r="V1218" s="49" t="n">
        <v>0</v>
      </c>
      <c r="W1218" s="50" t="n">
        <v>0</v>
      </c>
      <c r="X1218" s="51" t="n">
        <v>0</v>
      </c>
      <c r="Y1218" s="52" t="n">
        <v>0</v>
      </c>
      <c r="Z1218" s="52" t="n">
        <v>0</v>
      </c>
      <c r="AA1218" s="52" t="n">
        <v>0</v>
      </c>
      <c r="AB1218" s="53" t="n">
        <v>0</v>
      </c>
      <c r="AC1218" s="52" t="n">
        <v>0</v>
      </c>
      <c r="AD1218" s="53" t="n">
        <v>0</v>
      </c>
      <c r="AE1218" s="52" t="n">
        <v>0</v>
      </c>
      <c r="AF1218" s="51" t="n">
        <v>0</v>
      </c>
      <c r="AG1218" s="48" t="n">
        <v>0</v>
      </c>
      <c r="AH1218" s="49" t="n">
        <v>0</v>
      </c>
      <c r="AI1218" s="49" t="n">
        <v>0</v>
      </c>
      <c r="AJ1218" s="50" t="n">
        <v>0</v>
      </c>
      <c r="AK1218" s="51" t="n">
        <v>0</v>
      </c>
      <c r="AL1218" s="52" t="n">
        <v>0</v>
      </c>
      <c r="AM1218" s="52" t="n">
        <v>0</v>
      </c>
      <c r="AN1218" s="52" t="n">
        <v>0</v>
      </c>
      <c r="AO1218" s="53" t="n">
        <v>0</v>
      </c>
      <c r="AP1218" s="52" t="n">
        <v>0</v>
      </c>
      <c r="AQ1218" s="53" t="n">
        <v>0</v>
      </c>
      <c r="AR1218" s="52" t="n">
        <v>0</v>
      </c>
      <c r="AS1218" s="51" t="n">
        <v>0</v>
      </c>
      <c r="AT1218" s="48" t="n">
        <v>0</v>
      </c>
      <c r="AU1218" s="49" t="n">
        <v>0</v>
      </c>
      <c r="AV1218" s="49" t="n">
        <v>0</v>
      </c>
      <c r="AW1218" s="50" t="n">
        <v>0</v>
      </c>
      <c r="AX1218" s="51" t="n">
        <v>0</v>
      </c>
      <c r="AY1218" s="52" t="n">
        <v>0</v>
      </c>
      <c r="AZ1218" s="52" t="n">
        <v>0</v>
      </c>
      <c r="BA1218" s="52" t="n">
        <v>0</v>
      </c>
      <c r="BB1218" s="53" t="n">
        <v>0</v>
      </c>
      <c r="BC1218" s="52" t="n">
        <v>0</v>
      </c>
      <c r="BD1218" s="53" t="n">
        <v>0</v>
      </c>
      <c r="BE1218" s="52" t="n">
        <v>0</v>
      </c>
      <c r="BF1218" s="51" t="n">
        <v>0</v>
      </c>
    </row>
    <row r="1219">
      <c r="A1219">
        <f>HYPERLINK("https://www.walmart.com/ip/815484125", "815484125")</f>
        <v/>
      </c>
      <c r="B1219" t="inlineStr">
        <is>
          <t>Unisex Fishing Hat with Foldable Neck Flap Cover Wide Brim Sun UV Protection Hiking Safari Bucket Cap for Bug Free (Khaki)</t>
        </is>
      </c>
      <c r="C1219" t="inlineStr">
        <is>
          <t>1SLSH060KK</t>
        </is>
      </c>
      <c r="D1219" t="inlineStr">
        <is>
          <t>Hats</t>
        </is>
      </c>
      <c r="E1219" t="inlineStr">
        <is>
          <t>Solaris</t>
        </is>
      </c>
      <c r="F1219" t="inlineStr">
        <is>
          <t>Hats,Batch 1 - TR</t>
        </is>
      </c>
      <c r="G1219" s="48" t="n">
        <v>0</v>
      </c>
      <c r="H1219" s="49" t="n">
        <v>0</v>
      </c>
      <c r="I1219" s="49" t="n">
        <v>0</v>
      </c>
      <c r="J1219" s="50" t="n">
        <v>0</v>
      </c>
      <c r="K1219" s="51" t="n">
        <v>0</v>
      </c>
      <c r="L1219" s="52" t="n">
        <v>0</v>
      </c>
      <c r="M1219" s="52" t="n">
        <v>0</v>
      </c>
      <c r="N1219" s="52" t="n">
        <v>0</v>
      </c>
      <c r="O1219" s="53" t="n">
        <v>0</v>
      </c>
      <c r="P1219" s="52" t="n">
        <v>0</v>
      </c>
      <c r="Q1219" s="53" t="n">
        <v>0</v>
      </c>
      <c r="R1219" s="52" t="n">
        <v>0</v>
      </c>
      <c r="S1219" s="51" t="n">
        <v>0</v>
      </c>
      <c r="T1219" s="48" t="n">
        <v>0</v>
      </c>
      <c r="U1219" s="49" t="n">
        <v>0</v>
      </c>
      <c r="V1219" s="49" t="n">
        <v>0</v>
      </c>
      <c r="W1219" s="50" t="n">
        <v>0</v>
      </c>
      <c r="X1219" s="51" t="n">
        <v>0</v>
      </c>
      <c r="Y1219" s="52" t="n">
        <v>0</v>
      </c>
      <c r="Z1219" s="52" t="n">
        <v>0</v>
      </c>
      <c r="AA1219" s="52" t="n">
        <v>0</v>
      </c>
      <c r="AB1219" s="53" t="n">
        <v>0</v>
      </c>
      <c r="AC1219" s="52" t="n">
        <v>0</v>
      </c>
      <c r="AD1219" s="53" t="n">
        <v>0</v>
      </c>
      <c r="AE1219" s="52" t="n">
        <v>0</v>
      </c>
      <c r="AF1219" s="51" t="n">
        <v>0</v>
      </c>
      <c r="AG1219" s="48" t="n">
        <v>0</v>
      </c>
      <c r="AH1219" s="49" t="n">
        <v>0</v>
      </c>
      <c r="AI1219" s="49" t="n">
        <v>0</v>
      </c>
      <c r="AJ1219" s="50" t="n">
        <v>0</v>
      </c>
      <c r="AK1219" s="51" t="n">
        <v>0</v>
      </c>
      <c r="AL1219" s="52" t="n">
        <v>0</v>
      </c>
      <c r="AM1219" s="52" t="n">
        <v>0</v>
      </c>
      <c r="AN1219" s="52" t="n">
        <v>0</v>
      </c>
      <c r="AO1219" s="53" t="n">
        <v>0</v>
      </c>
      <c r="AP1219" s="52" t="n">
        <v>0</v>
      </c>
      <c r="AQ1219" s="53" t="n">
        <v>0</v>
      </c>
      <c r="AR1219" s="52" t="n">
        <v>0</v>
      </c>
      <c r="AS1219" s="51" t="n">
        <v>0</v>
      </c>
      <c r="AT1219" s="48" t="n">
        <v>0</v>
      </c>
      <c r="AU1219" s="49" t="n">
        <v>0</v>
      </c>
      <c r="AV1219" s="49" t="n">
        <v>0</v>
      </c>
      <c r="AW1219" s="50" t="n">
        <v>0</v>
      </c>
      <c r="AX1219" s="51" t="n">
        <v>0</v>
      </c>
      <c r="AY1219" s="52" t="n">
        <v>0</v>
      </c>
      <c r="AZ1219" s="52" t="n">
        <v>0</v>
      </c>
      <c r="BA1219" s="52" t="n">
        <v>0</v>
      </c>
      <c r="BB1219" s="53" t="n">
        <v>0</v>
      </c>
      <c r="BC1219" s="52" t="n">
        <v>0</v>
      </c>
      <c r="BD1219" s="53" t="n">
        <v>0</v>
      </c>
      <c r="BE1219" s="52" t="n">
        <v>0</v>
      </c>
      <c r="BF1219" s="51" t="n">
        <v>0</v>
      </c>
    </row>
    <row r="1220">
      <c r="A1220">
        <f>HYPERLINK("https://www.walmart.com/ip/815510126", "815510126")</f>
        <v/>
      </c>
      <c r="B1220" t="inlineStr">
        <is>
          <t>Fleece Blanket Wearable with Sleeves &amp; Foot pockets for Men and Women, Micro Plush Wrap Sleeved Throw Blanket Robe Multi-Colors 75”x53” by Catalonia</t>
        </is>
      </c>
      <c r="C1220" t="inlineStr">
        <is>
          <t>1CTSN101GY</t>
        </is>
      </c>
      <c r="D1220" t="inlineStr">
        <is>
          <t>Throws</t>
        </is>
      </c>
      <c r="E1220" t="inlineStr">
        <is>
          <t>Catalonia</t>
        </is>
      </c>
      <c r="F1220" t="inlineStr">
        <is>
          <t>WFS,Coupon_Discount,WFS Item,Fleece Blankets</t>
        </is>
      </c>
      <c r="G1220" s="48" t="n">
        <v>0</v>
      </c>
      <c r="H1220" s="49" t="n">
        <v>0</v>
      </c>
      <c r="I1220" s="49" t="n">
        <v>0</v>
      </c>
      <c r="J1220" s="50" t="n">
        <v>0</v>
      </c>
      <c r="K1220" s="51" t="n">
        <v>0</v>
      </c>
      <c r="L1220" s="52" t="n">
        <v>0</v>
      </c>
      <c r="M1220" s="52" t="n">
        <v>0</v>
      </c>
      <c r="N1220" s="52" t="n">
        <v>0</v>
      </c>
      <c r="O1220" s="53" t="n">
        <v>0</v>
      </c>
      <c r="P1220" s="52" t="n">
        <v>0</v>
      </c>
      <c r="Q1220" s="53" t="n">
        <v>0</v>
      </c>
      <c r="R1220" s="52" t="n">
        <v>0</v>
      </c>
      <c r="S1220" s="51" t="n">
        <v>0</v>
      </c>
      <c r="T1220" s="48" t="n">
        <v>0</v>
      </c>
      <c r="U1220" s="49" t="n">
        <v>0</v>
      </c>
      <c r="V1220" s="49" t="n">
        <v>0</v>
      </c>
      <c r="W1220" s="50" t="n">
        <v>0</v>
      </c>
      <c r="X1220" s="51" t="n">
        <v>0</v>
      </c>
      <c r="Y1220" s="52" t="n">
        <v>0</v>
      </c>
      <c r="Z1220" s="52" t="n">
        <v>0</v>
      </c>
      <c r="AA1220" s="52" t="n">
        <v>0</v>
      </c>
      <c r="AB1220" s="53" t="n">
        <v>0</v>
      </c>
      <c r="AC1220" s="52" t="n">
        <v>0</v>
      </c>
      <c r="AD1220" s="53" t="n">
        <v>0</v>
      </c>
      <c r="AE1220" s="52" t="n">
        <v>0</v>
      </c>
      <c r="AF1220" s="51" t="n">
        <v>0</v>
      </c>
      <c r="AG1220" s="48" t="n">
        <v>0</v>
      </c>
      <c r="AH1220" s="49" t="n">
        <v>0</v>
      </c>
      <c r="AI1220" s="49" t="n">
        <v>0</v>
      </c>
      <c r="AJ1220" s="50" t="n">
        <v>0</v>
      </c>
      <c r="AK1220" s="51" t="n">
        <v>0</v>
      </c>
      <c r="AL1220" s="52" t="n">
        <v>0</v>
      </c>
      <c r="AM1220" s="52" t="n">
        <v>0</v>
      </c>
      <c r="AN1220" s="52" t="n">
        <v>0</v>
      </c>
      <c r="AO1220" s="53" t="n">
        <v>0</v>
      </c>
      <c r="AP1220" s="52" t="n">
        <v>0</v>
      </c>
      <c r="AQ1220" s="53" t="n">
        <v>0</v>
      </c>
      <c r="AR1220" s="52" t="n">
        <v>0</v>
      </c>
      <c r="AS1220" s="51" t="n">
        <v>0</v>
      </c>
      <c r="AT1220" s="48" t="n">
        <v>0</v>
      </c>
      <c r="AU1220" s="49" t="n">
        <v>0</v>
      </c>
      <c r="AV1220" s="49" t="n">
        <v>0</v>
      </c>
      <c r="AW1220" s="50" t="n">
        <v>0</v>
      </c>
      <c r="AX1220" s="51" t="n">
        <v>0</v>
      </c>
      <c r="AY1220" s="52" t="n">
        <v>0</v>
      </c>
      <c r="AZ1220" s="52" t="n">
        <v>0</v>
      </c>
      <c r="BA1220" s="52" t="n">
        <v>0</v>
      </c>
      <c r="BB1220" s="53" t="n">
        <v>0</v>
      </c>
      <c r="BC1220" s="52" t="n">
        <v>0</v>
      </c>
      <c r="BD1220" s="53" t="n">
        <v>0</v>
      </c>
      <c r="BE1220" s="52" t="n">
        <v>0</v>
      </c>
      <c r="BF1220" s="51" t="n">
        <v>0</v>
      </c>
    </row>
    <row r="1221">
      <c r="A1221">
        <f>HYPERLINK("https://www.walmart.com/ip/815916743", "815916743")</f>
        <v/>
      </c>
      <c r="B1221" t="inlineStr">
        <is>
          <t>Kato Wine Bottle Opener Set 5 Pcs – Corkscrew, Stopper, Aerator Pourer, Foil Cutter, Sliver Glass Paint Marker With Free</t>
        </is>
      </c>
      <c r="C1221" t="inlineStr">
        <is>
          <t>1KTWO51SLBK</t>
        </is>
      </c>
      <c r="D1221" t="inlineStr">
        <is>
          <t>Barware Sets</t>
        </is>
      </c>
      <c r="E1221" t="inlineStr">
        <is>
          <t>Kato</t>
        </is>
      </c>
      <c r="F1221" t="inlineStr">
        <is>
          <t>Wine,Christmas,WFS,Valentine,WFS Item</t>
        </is>
      </c>
      <c r="G1221" s="48" t="n">
        <v>0</v>
      </c>
      <c r="H1221" s="49" t="n">
        <v>0</v>
      </c>
      <c r="I1221" s="49" t="n">
        <v>0</v>
      </c>
      <c r="J1221" s="50" t="n">
        <v>0</v>
      </c>
      <c r="K1221" s="51" t="n">
        <v>0</v>
      </c>
      <c r="L1221" s="52" t="n">
        <v>0</v>
      </c>
      <c r="M1221" s="52" t="n">
        <v>0</v>
      </c>
      <c r="N1221" s="52" t="n">
        <v>0</v>
      </c>
      <c r="O1221" s="53" t="n">
        <v>0</v>
      </c>
      <c r="P1221" s="52" t="n">
        <v>0</v>
      </c>
      <c r="Q1221" s="53" t="n">
        <v>0</v>
      </c>
      <c r="R1221" s="52" t="n">
        <v>0</v>
      </c>
      <c r="S1221" s="51" t="n">
        <v>0</v>
      </c>
      <c r="T1221" s="48" t="n">
        <v>0</v>
      </c>
      <c r="U1221" s="49" t="n">
        <v>0</v>
      </c>
      <c r="V1221" s="49" t="n">
        <v>0</v>
      </c>
      <c r="W1221" s="50" t="n">
        <v>0</v>
      </c>
      <c r="X1221" s="51" t="n">
        <v>0</v>
      </c>
      <c r="Y1221" s="52" t="n">
        <v>0</v>
      </c>
      <c r="Z1221" s="52" t="n">
        <v>0</v>
      </c>
      <c r="AA1221" s="52" t="n">
        <v>0</v>
      </c>
      <c r="AB1221" s="53" t="n">
        <v>0</v>
      </c>
      <c r="AC1221" s="52" t="n">
        <v>0</v>
      </c>
      <c r="AD1221" s="53" t="n">
        <v>0</v>
      </c>
      <c r="AE1221" s="52" t="n">
        <v>0</v>
      </c>
      <c r="AF1221" s="51" t="n">
        <v>0</v>
      </c>
      <c r="AG1221" s="48" t="n">
        <v>0</v>
      </c>
      <c r="AH1221" s="49" t="n">
        <v>0</v>
      </c>
      <c r="AI1221" s="49" t="n">
        <v>0</v>
      </c>
      <c r="AJ1221" s="50" t="n">
        <v>0</v>
      </c>
      <c r="AK1221" s="51" t="n">
        <v>0</v>
      </c>
      <c r="AL1221" s="52" t="n">
        <v>0</v>
      </c>
      <c r="AM1221" s="52" t="n">
        <v>0</v>
      </c>
      <c r="AN1221" s="52" t="n">
        <v>0</v>
      </c>
      <c r="AO1221" s="53" t="n">
        <v>0</v>
      </c>
      <c r="AP1221" s="52" t="n">
        <v>0</v>
      </c>
      <c r="AQ1221" s="53" t="n">
        <v>0</v>
      </c>
      <c r="AR1221" s="52" t="n">
        <v>0</v>
      </c>
      <c r="AS1221" s="51" t="n">
        <v>0</v>
      </c>
      <c r="AT1221" s="48" t="n">
        <v>0</v>
      </c>
      <c r="AU1221" s="49" t="n">
        <v>0</v>
      </c>
      <c r="AV1221" s="49" t="n">
        <v>0</v>
      </c>
      <c r="AW1221" s="50" t="n">
        <v>0</v>
      </c>
      <c r="AX1221" s="51" t="n">
        <v>0</v>
      </c>
      <c r="AY1221" s="52" t="n">
        <v>0</v>
      </c>
      <c r="AZ1221" s="52" t="n">
        <v>0</v>
      </c>
      <c r="BA1221" s="52" t="n">
        <v>0</v>
      </c>
      <c r="BB1221" s="53" t="n">
        <v>0</v>
      </c>
      <c r="BC1221" s="52" t="n">
        <v>0</v>
      </c>
      <c r="BD1221" s="53" t="n">
        <v>0</v>
      </c>
      <c r="BE1221" s="52" t="n">
        <v>0</v>
      </c>
      <c r="BF1221" s="51" t="n">
        <v>0</v>
      </c>
    </row>
    <row r="1222">
      <c r="A1222">
        <f>HYPERLINK("https://www.walmart.com/ip/8164251345", "8164251345")</f>
        <v/>
      </c>
      <c r="B1222" t="inlineStr">
        <is>
          <t>Tirrinia Wearable Throws Blanket Poncho, Cloak with Hood, Poncho Capes, Women, 1.68 lb, 67" x 43"</t>
        </is>
      </c>
      <c r="C1222" t="inlineStr">
        <is>
          <t>1TRBC101PKBARK</t>
        </is>
      </c>
      <c r="D1222" t="inlineStr">
        <is>
          <t>Throws</t>
        </is>
      </c>
      <c r="E1222" t="inlineStr">
        <is>
          <t>Tirrinia</t>
        </is>
      </c>
      <c r="G1222" s="48" t="n">
        <v>0</v>
      </c>
      <c r="H1222" s="49" t="n">
        <v>0</v>
      </c>
      <c r="I1222" s="49" t="n">
        <v>0</v>
      </c>
      <c r="J1222" s="50" t="n">
        <v>0</v>
      </c>
      <c r="K1222" s="51" t="n">
        <v>0</v>
      </c>
      <c r="L1222" s="52" t="n">
        <v>0</v>
      </c>
      <c r="M1222" s="52" t="n">
        <v>0</v>
      </c>
      <c r="N1222" s="52" t="n">
        <v>0</v>
      </c>
      <c r="O1222" s="53" t="n">
        <v>0</v>
      </c>
      <c r="P1222" s="52" t="n">
        <v>0</v>
      </c>
      <c r="Q1222" s="53" t="n">
        <v>0</v>
      </c>
      <c r="R1222" s="52" t="n">
        <v>0</v>
      </c>
      <c r="S1222" s="51" t="n">
        <v>0</v>
      </c>
      <c r="T1222" s="48" t="n">
        <v>0</v>
      </c>
      <c r="U1222" s="49" t="n">
        <v>0</v>
      </c>
      <c r="V1222" s="49" t="n">
        <v>0</v>
      </c>
      <c r="W1222" s="50" t="n">
        <v>0</v>
      </c>
      <c r="X1222" s="51" t="n">
        <v>0</v>
      </c>
      <c r="Y1222" s="52" t="n">
        <v>0</v>
      </c>
      <c r="Z1222" s="52" t="n">
        <v>0</v>
      </c>
      <c r="AA1222" s="52" t="n">
        <v>0</v>
      </c>
      <c r="AB1222" s="53" t="n">
        <v>0</v>
      </c>
      <c r="AC1222" s="52" t="n">
        <v>0</v>
      </c>
      <c r="AD1222" s="53" t="n">
        <v>0</v>
      </c>
      <c r="AE1222" s="52" t="n">
        <v>0</v>
      </c>
      <c r="AF1222" s="51" t="n">
        <v>0</v>
      </c>
      <c r="AG1222" s="48" t="n">
        <v>0</v>
      </c>
      <c r="AH1222" s="49" t="n">
        <v>0</v>
      </c>
      <c r="AI1222" s="49" t="n">
        <v>0</v>
      </c>
      <c r="AJ1222" s="50" t="n">
        <v>0</v>
      </c>
      <c r="AK1222" s="51" t="n">
        <v>0</v>
      </c>
      <c r="AL1222" s="52" t="n">
        <v>0</v>
      </c>
      <c r="AM1222" s="52" t="n">
        <v>0</v>
      </c>
      <c r="AN1222" s="52" t="n">
        <v>0</v>
      </c>
      <c r="AO1222" s="53" t="n">
        <v>0</v>
      </c>
      <c r="AP1222" s="52" t="n">
        <v>0</v>
      </c>
      <c r="AQ1222" s="53" t="n">
        <v>0</v>
      </c>
      <c r="AR1222" s="52" t="n">
        <v>0</v>
      </c>
      <c r="AS1222" s="51" t="n">
        <v>0</v>
      </c>
      <c r="AT1222" s="48" t="n">
        <v>0</v>
      </c>
      <c r="AU1222" s="49" t="n">
        <v>0</v>
      </c>
      <c r="AV1222" s="49" t="n">
        <v>0</v>
      </c>
      <c r="AW1222" s="50" t="n">
        <v>0</v>
      </c>
      <c r="AX1222" s="51" t="n">
        <v>0</v>
      </c>
      <c r="AY1222" s="52" t="n">
        <v>0</v>
      </c>
      <c r="AZ1222" s="52" t="n">
        <v>0</v>
      </c>
      <c r="BA1222" s="52" t="n">
        <v>0</v>
      </c>
      <c r="BB1222" s="53" t="n">
        <v>0</v>
      </c>
      <c r="BC1222" s="52" t="n">
        <v>0</v>
      </c>
      <c r="BD1222" s="53" t="n">
        <v>0</v>
      </c>
      <c r="BE1222" s="52" t="n">
        <v>0</v>
      </c>
      <c r="BF1222" s="51" t="n">
        <v>0</v>
      </c>
    </row>
    <row r="1223">
      <c r="A1223">
        <f>HYPERLINK("https://www.walmart.com/ip/8165519155", "8165519155")</f>
        <v/>
      </c>
      <c r="B1223" t="inlineStr">
        <is>
          <t>Tirrinia Wearable Throws Blanket Poncho, Cloak with Hood, Poncho Capes for Women, 1.68 lb</t>
        </is>
      </c>
      <c r="C1223" t="inlineStr">
        <is>
          <t>1TRBC101PPBARK</t>
        </is>
      </c>
      <c r="D1223" t="inlineStr">
        <is>
          <t>Throws</t>
        </is>
      </c>
      <c r="E1223" t="inlineStr">
        <is>
          <t>Tirrinia</t>
        </is>
      </c>
      <c r="G1223" s="48" t="n">
        <v>0</v>
      </c>
      <c r="H1223" s="49" t="n">
        <v>0</v>
      </c>
      <c r="I1223" s="49" t="n">
        <v>0</v>
      </c>
      <c r="J1223" s="50" t="n">
        <v>0</v>
      </c>
      <c r="K1223" s="51" t="n">
        <v>0</v>
      </c>
      <c r="L1223" s="52" t="n">
        <v>0</v>
      </c>
      <c r="M1223" s="52" t="n">
        <v>0</v>
      </c>
      <c r="N1223" s="52" t="n">
        <v>0</v>
      </c>
      <c r="O1223" s="53" t="n">
        <v>0</v>
      </c>
      <c r="P1223" s="52" t="n">
        <v>0</v>
      </c>
      <c r="Q1223" s="53" t="n">
        <v>0</v>
      </c>
      <c r="R1223" s="52" t="n">
        <v>0</v>
      </c>
      <c r="S1223" s="51" t="n">
        <v>0</v>
      </c>
      <c r="T1223" s="48" t="n">
        <v>0</v>
      </c>
      <c r="U1223" s="49" t="n">
        <v>0</v>
      </c>
      <c r="V1223" s="49" t="n">
        <v>0</v>
      </c>
      <c r="W1223" s="50" t="n">
        <v>0</v>
      </c>
      <c r="X1223" s="51" t="n">
        <v>0</v>
      </c>
      <c r="Y1223" s="52" t="n">
        <v>0</v>
      </c>
      <c r="Z1223" s="52" t="n">
        <v>0</v>
      </c>
      <c r="AA1223" s="52" t="n">
        <v>0</v>
      </c>
      <c r="AB1223" s="53" t="n">
        <v>0</v>
      </c>
      <c r="AC1223" s="52" t="n">
        <v>0</v>
      </c>
      <c r="AD1223" s="53" t="n">
        <v>0</v>
      </c>
      <c r="AE1223" s="52" t="n">
        <v>0</v>
      </c>
      <c r="AF1223" s="51" t="n">
        <v>0</v>
      </c>
      <c r="AG1223" s="48" t="n">
        <v>0</v>
      </c>
      <c r="AH1223" s="49" t="n">
        <v>0</v>
      </c>
      <c r="AI1223" s="49" t="n">
        <v>0</v>
      </c>
      <c r="AJ1223" s="50" t="n">
        <v>0</v>
      </c>
      <c r="AK1223" s="51" t="n">
        <v>0</v>
      </c>
      <c r="AL1223" s="52" t="n">
        <v>0</v>
      </c>
      <c r="AM1223" s="52" t="n">
        <v>0</v>
      </c>
      <c r="AN1223" s="52" t="n">
        <v>0</v>
      </c>
      <c r="AO1223" s="53" t="n">
        <v>0</v>
      </c>
      <c r="AP1223" s="52" t="n">
        <v>0</v>
      </c>
      <c r="AQ1223" s="53" t="n">
        <v>0</v>
      </c>
      <c r="AR1223" s="52" t="n">
        <v>0</v>
      </c>
      <c r="AS1223" s="51" t="n">
        <v>0</v>
      </c>
      <c r="AT1223" s="48" t="n">
        <v>0</v>
      </c>
      <c r="AU1223" s="49" t="n">
        <v>0</v>
      </c>
      <c r="AV1223" s="49" t="n">
        <v>0</v>
      </c>
      <c r="AW1223" s="50" t="n">
        <v>0</v>
      </c>
      <c r="AX1223" s="51" t="n">
        <v>0</v>
      </c>
      <c r="AY1223" s="52" t="n">
        <v>0</v>
      </c>
      <c r="AZ1223" s="52" t="n">
        <v>0</v>
      </c>
      <c r="BA1223" s="52" t="n">
        <v>0</v>
      </c>
      <c r="BB1223" s="53" t="n">
        <v>0</v>
      </c>
      <c r="BC1223" s="52" t="n">
        <v>0</v>
      </c>
      <c r="BD1223" s="53" t="n">
        <v>0</v>
      </c>
      <c r="BE1223" s="52" t="n">
        <v>0</v>
      </c>
      <c r="BF1223" s="51" t="n">
        <v>0</v>
      </c>
    </row>
    <row r="1224">
      <c r="A1224">
        <f>HYPERLINK("https://www.walmart.com/ip/816638440", "816638440")</f>
        <v/>
      </c>
      <c r="B1224" t="inlineStr">
        <is>
          <t>Ski Gloves for Women &amp; Men 3M Winter Snow Gloves Mittens Insulation Waterproof for Outdoors Sports</t>
        </is>
      </c>
      <c r="C1224" t="inlineStr">
        <is>
          <t>1SLWG100BLL</t>
        </is>
      </c>
      <c r="D1224" t="inlineStr">
        <is>
          <t>Gloves &amp; Mittens</t>
        </is>
      </c>
      <c r="E1224" t="inlineStr">
        <is>
          <t>Solaris</t>
        </is>
      </c>
      <c r="G1224" s="48" t="n">
        <v>0</v>
      </c>
      <c r="H1224" s="49" t="n">
        <v>0</v>
      </c>
      <c r="I1224" s="49" t="n">
        <v>0</v>
      </c>
      <c r="J1224" s="50" t="n">
        <v>0</v>
      </c>
      <c r="K1224" s="51" t="n">
        <v>0</v>
      </c>
      <c r="L1224" s="52" t="n">
        <v>0</v>
      </c>
      <c r="M1224" s="52" t="n">
        <v>0</v>
      </c>
      <c r="N1224" s="52" t="n">
        <v>0</v>
      </c>
      <c r="O1224" s="53" t="n">
        <v>0</v>
      </c>
      <c r="P1224" s="52" t="n">
        <v>0</v>
      </c>
      <c r="Q1224" s="53" t="n">
        <v>0</v>
      </c>
      <c r="R1224" s="52" t="n">
        <v>0</v>
      </c>
      <c r="S1224" s="51" t="n">
        <v>0</v>
      </c>
      <c r="T1224" s="48" t="n">
        <v>0</v>
      </c>
      <c r="U1224" s="49" t="n">
        <v>0</v>
      </c>
      <c r="V1224" s="49" t="n">
        <v>0</v>
      </c>
      <c r="W1224" s="50" t="n">
        <v>0</v>
      </c>
      <c r="X1224" s="51" t="n">
        <v>0</v>
      </c>
      <c r="Y1224" s="52" t="n">
        <v>0</v>
      </c>
      <c r="Z1224" s="52" t="n">
        <v>0</v>
      </c>
      <c r="AA1224" s="52" t="n">
        <v>0</v>
      </c>
      <c r="AB1224" s="53" t="n">
        <v>0</v>
      </c>
      <c r="AC1224" s="52" t="n">
        <v>0</v>
      </c>
      <c r="AD1224" s="53" t="n">
        <v>0</v>
      </c>
      <c r="AE1224" s="52" t="n">
        <v>0</v>
      </c>
      <c r="AF1224" s="51" t="n">
        <v>0</v>
      </c>
      <c r="AG1224" s="48" t="n">
        <v>0</v>
      </c>
      <c r="AH1224" s="49" t="n">
        <v>0</v>
      </c>
      <c r="AI1224" s="49" t="n">
        <v>0</v>
      </c>
      <c r="AJ1224" s="50" t="n">
        <v>0</v>
      </c>
      <c r="AK1224" s="51" t="n">
        <v>0</v>
      </c>
      <c r="AL1224" s="52" t="n">
        <v>0</v>
      </c>
      <c r="AM1224" s="52" t="n">
        <v>0</v>
      </c>
      <c r="AN1224" s="52" t="n">
        <v>0</v>
      </c>
      <c r="AO1224" s="53" t="n">
        <v>0</v>
      </c>
      <c r="AP1224" s="52" t="n">
        <v>0</v>
      </c>
      <c r="AQ1224" s="53" t="n">
        <v>0</v>
      </c>
      <c r="AR1224" s="52" t="n">
        <v>0</v>
      </c>
      <c r="AS1224" s="51" t="n">
        <v>0</v>
      </c>
      <c r="AT1224" s="48" t="n">
        <v>0</v>
      </c>
      <c r="AU1224" s="49" t="n">
        <v>0</v>
      </c>
      <c r="AV1224" s="49" t="n">
        <v>0</v>
      </c>
      <c r="AW1224" s="50" t="n">
        <v>0</v>
      </c>
      <c r="AX1224" s="51" t="n">
        <v>0</v>
      </c>
      <c r="AY1224" s="52" t="n">
        <v>0</v>
      </c>
      <c r="AZ1224" s="52" t="n">
        <v>0</v>
      </c>
      <c r="BA1224" s="52" t="n">
        <v>0</v>
      </c>
      <c r="BB1224" s="53" t="n">
        <v>0</v>
      </c>
      <c r="BC1224" s="52" t="n">
        <v>0</v>
      </c>
      <c r="BD1224" s="53" t="n">
        <v>0</v>
      </c>
      <c r="BE1224" s="52" t="n">
        <v>0</v>
      </c>
      <c r="BF1224" s="51" t="n">
        <v>0</v>
      </c>
    </row>
    <row r="1225">
      <c r="A1225">
        <f>HYPERLINK("https://www.walmart.com/ip/8166813267", "8166813267")</f>
        <v/>
      </c>
      <c r="B1225" t="inlineStr">
        <is>
          <t>Tirrinia Wearable Blanket Poncho, Cloak with hood, Women Mom Gift, Adult of All Ages, 1.68 lb</t>
        </is>
      </c>
      <c r="C1225" t="inlineStr">
        <is>
          <t>1TRBC101BKBARK</t>
        </is>
      </c>
      <c r="D1225" t="inlineStr">
        <is>
          <t>Throws</t>
        </is>
      </c>
      <c r="E1225" t="inlineStr">
        <is>
          <t>Tirrinia</t>
        </is>
      </c>
      <c r="G1225" s="48" t="n">
        <v>0</v>
      </c>
      <c r="H1225" s="49" t="n">
        <v>0</v>
      </c>
      <c r="I1225" s="49" t="n">
        <v>0</v>
      </c>
      <c r="J1225" s="50" t="n">
        <v>0</v>
      </c>
      <c r="K1225" s="51" t="n">
        <v>0</v>
      </c>
      <c r="L1225" s="52" t="n">
        <v>0</v>
      </c>
      <c r="M1225" s="52" t="n">
        <v>0</v>
      </c>
      <c r="N1225" s="52" t="n">
        <v>0</v>
      </c>
      <c r="O1225" s="53" t="n">
        <v>0</v>
      </c>
      <c r="P1225" s="52" t="n">
        <v>0</v>
      </c>
      <c r="Q1225" s="53" t="n">
        <v>0</v>
      </c>
      <c r="R1225" s="52" t="n">
        <v>0</v>
      </c>
      <c r="S1225" s="51" t="n">
        <v>0</v>
      </c>
      <c r="T1225" s="48" t="n">
        <v>0</v>
      </c>
      <c r="U1225" s="49" t="n">
        <v>0</v>
      </c>
      <c r="V1225" s="49" t="n">
        <v>0</v>
      </c>
      <c r="W1225" s="50" t="n">
        <v>0</v>
      </c>
      <c r="X1225" s="51" t="n">
        <v>0</v>
      </c>
      <c r="Y1225" s="52" t="n">
        <v>0</v>
      </c>
      <c r="Z1225" s="52" t="n">
        <v>0</v>
      </c>
      <c r="AA1225" s="52" t="n">
        <v>0</v>
      </c>
      <c r="AB1225" s="53" t="n">
        <v>0</v>
      </c>
      <c r="AC1225" s="52" t="n">
        <v>0</v>
      </c>
      <c r="AD1225" s="53" t="n">
        <v>0</v>
      </c>
      <c r="AE1225" s="52" t="n">
        <v>0</v>
      </c>
      <c r="AF1225" s="51" t="n">
        <v>0</v>
      </c>
      <c r="AG1225" s="48" t="n">
        <v>0</v>
      </c>
      <c r="AH1225" s="49" t="n">
        <v>0</v>
      </c>
      <c r="AI1225" s="49" t="n">
        <v>0</v>
      </c>
      <c r="AJ1225" s="50" t="n">
        <v>0</v>
      </c>
      <c r="AK1225" s="51" t="n">
        <v>0</v>
      </c>
      <c r="AL1225" s="52" t="n">
        <v>0</v>
      </c>
      <c r="AM1225" s="52" t="n">
        <v>0</v>
      </c>
      <c r="AN1225" s="52" t="n">
        <v>0</v>
      </c>
      <c r="AO1225" s="53" t="n">
        <v>0</v>
      </c>
      <c r="AP1225" s="52" t="n">
        <v>0</v>
      </c>
      <c r="AQ1225" s="53" t="n">
        <v>0</v>
      </c>
      <c r="AR1225" s="52" t="n">
        <v>0</v>
      </c>
      <c r="AS1225" s="51" t="n">
        <v>0</v>
      </c>
      <c r="AT1225" s="48" t="n">
        <v>0</v>
      </c>
      <c r="AU1225" s="49" t="n">
        <v>0</v>
      </c>
      <c r="AV1225" s="49" t="n">
        <v>0</v>
      </c>
      <c r="AW1225" s="50" t="n">
        <v>0</v>
      </c>
      <c r="AX1225" s="51" t="n">
        <v>0</v>
      </c>
      <c r="AY1225" s="52" t="n">
        <v>0</v>
      </c>
      <c r="AZ1225" s="52" t="n">
        <v>0</v>
      </c>
      <c r="BA1225" s="52" t="n">
        <v>0</v>
      </c>
      <c r="BB1225" s="53" t="n">
        <v>0</v>
      </c>
      <c r="BC1225" s="52" t="n">
        <v>0</v>
      </c>
      <c r="BD1225" s="53" t="n">
        <v>0</v>
      </c>
      <c r="BE1225" s="52" t="n">
        <v>0</v>
      </c>
      <c r="BF1225" s="51" t="n">
        <v>0</v>
      </c>
    </row>
    <row r="1226">
      <c r="A1226">
        <f>HYPERLINK("https://www.walmart.com/ip/816816275", "816816275")</f>
        <v/>
      </c>
      <c r="B1226" t="inlineStr">
        <is>
          <t>Catalonia Wine Colored Sherpa Throws Blanket,Super Soft Comfy Fuzzy Micro Plush Fleece Snuggle Blanket for TV Bed Sofa Couch Reversible Match Color All Season 50"x60"</t>
        </is>
      </c>
      <c r="C1226" t="inlineStr">
        <is>
          <t>1CTBF301RD</t>
        </is>
      </c>
      <c r="D1226" t="inlineStr">
        <is>
          <t>Throws</t>
        </is>
      </c>
      <c r="E1226" t="inlineStr">
        <is>
          <t>Catalonia</t>
        </is>
      </c>
      <c r="F1226" t="inlineStr">
        <is>
          <t>WFS,WFS Item</t>
        </is>
      </c>
      <c r="G1226" s="48" t="n">
        <v>0</v>
      </c>
      <c r="H1226" s="49" t="n">
        <v>0</v>
      </c>
      <c r="I1226" s="49" t="n">
        <v>0</v>
      </c>
      <c r="J1226" s="50" t="n">
        <v>0</v>
      </c>
      <c r="K1226" s="51" t="n">
        <v>0</v>
      </c>
      <c r="L1226" s="52" t="n">
        <v>0</v>
      </c>
      <c r="M1226" s="52" t="n">
        <v>0</v>
      </c>
      <c r="N1226" s="52" t="n">
        <v>0</v>
      </c>
      <c r="O1226" s="53" t="n">
        <v>0</v>
      </c>
      <c r="P1226" s="52" t="n">
        <v>0</v>
      </c>
      <c r="Q1226" s="53" t="n">
        <v>0</v>
      </c>
      <c r="R1226" s="52" t="n">
        <v>0</v>
      </c>
      <c r="S1226" s="51" t="n">
        <v>0</v>
      </c>
      <c r="T1226" s="48" t="n">
        <v>0</v>
      </c>
      <c r="U1226" s="49" t="n">
        <v>0</v>
      </c>
      <c r="V1226" s="49" t="n">
        <v>0</v>
      </c>
      <c r="W1226" s="50" t="n">
        <v>0</v>
      </c>
      <c r="X1226" s="51" t="n">
        <v>0</v>
      </c>
      <c r="Y1226" s="52" t="n">
        <v>0</v>
      </c>
      <c r="Z1226" s="52" t="n">
        <v>0</v>
      </c>
      <c r="AA1226" s="52" t="n">
        <v>0</v>
      </c>
      <c r="AB1226" s="53" t="n">
        <v>0</v>
      </c>
      <c r="AC1226" s="52" t="n">
        <v>0</v>
      </c>
      <c r="AD1226" s="53" t="n">
        <v>0</v>
      </c>
      <c r="AE1226" s="52" t="n">
        <v>0</v>
      </c>
      <c r="AF1226" s="51" t="n">
        <v>0</v>
      </c>
      <c r="AG1226" s="48" t="n">
        <v>0</v>
      </c>
      <c r="AH1226" s="49" t="n">
        <v>0</v>
      </c>
      <c r="AI1226" s="49" t="n">
        <v>0</v>
      </c>
      <c r="AJ1226" s="50" t="n">
        <v>0</v>
      </c>
      <c r="AK1226" s="51" t="n">
        <v>0</v>
      </c>
      <c r="AL1226" s="52" t="n">
        <v>0</v>
      </c>
      <c r="AM1226" s="52" t="n">
        <v>0</v>
      </c>
      <c r="AN1226" s="52" t="n">
        <v>0</v>
      </c>
      <c r="AO1226" s="53" t="n">
        <v>0</v>
      </c>
      <c r="AP1226" s="52" t="n">
        <v>0</v>
      </c>
      <c r="AQ1226" s="53" t="n">
        <v>0</v>
      </c>
      <c r="AR1226" s="52" t="n">
        <v>0</v>
      </c>
      <c r="AS1226" s="51" t="n">
        <v>0</v>
      </c>
      <c r="AT1226" s="48" t="n">
        <v>0</v>
      </c>
      <c r="AU1226" s="49" t="n">
        <v>0</v>
      </c>
      <c r="AV1226" s="49" t="n">
        <v>0</v>
      </c>
      <c r="AW1226" s="50" t="n">
        <v>0</v>
      </c>
      <c r="AX1226" s="51" t="n">
        <v>0</v>
      </c>
      <c r="AY1226" s="52" t="n">
        <v>0</v>
      </c>
      <c r="AZ1226" s="52" t="n">
        <v>0</v>
      </c>
      <c r="BA1226" s="52" t="n">
        <v>0</v>
      </c>
      <c r="BB1226" s="53" t="n">
        <v>0</v>
      </c>
      <c r="BC1226" s="52" t="n">
        <v>0</v>
      </c>
      <c r="BD1226" s="53" t="n">
        <v>0</v>
      </c>
      <c r="BE1226" s="52" t="n">
        <v>0</v>
      </c>
      <c r="BF1226" s="51" t="n">
        <v>0</v>
      </c>
    </row>
    <row r="1227">
      <c r="A1227">
        <f>HYPERLINK("https://www.walmart.com/ip/816832569", "816832569")</f>
        <v/>
      </c>
      <c r="B1227" t="inlineStr">
        <is>
          <t>Jennis Women's Plue Size Flower laced Sexy Babydoll</t>
        </is>
      </c>
      <c r="C1227" t="inlineStr">
        <is>
          <t>JWBD05PP-3XL</t>
        </is>
      </c>
      <c r="D1227" t="inlineStr">
        <is>
          <t>Lingerie Sets</t>
        </is>
      </c>
      <c r="E1227" t="inlineStr">
        <is>
          <t>JenniWears</t>
        </is>
      </c>
      <c r="F1227" t="inlineStr">
        <is>
          <t>Valentine</t>
        </is>
      </c>
      <c r="G1227" s="48" t="n">
        <v>0</v>
      </c>
      <c r="H1227" s="49" t="n">
        <v>0</v>
      </c>
      <c r="I1227" s="49" t="n">
        <v>0</v>
      </c>
      <c r="J1227" s="50" t="n">
        <v>0</v>
      </c>
      <c r="K1227" s="51" t="n">
        <v>0</v>
      </c>
      <c r="L1227" s="52" t="n">
        <v>0</v>
      </c>
      <c r="M1227" s="52" t="n">
        <v>0</v>
      </c>
      <c r="N1227" s="52" t="n">
        <v>0</v>
      </c>
      <c r="O1227" s="53" t="n">
        <v>0</v>
      </c>
      <c r="P1227" s="52" t="n">
        <v>0</v>
      </c>
      <c r="Q1227" s="53" t="n">
        <v>0</v>
      </c>
      <c r="R1227" s="52" t="n">
        <v>0</v>
      </c>
      <c r="S1227" s="51" t="n">
        <v>0</v>
      </c>
      <c r="T1227" s="48" t="n">
        <v>0</v>
      </c>
      <c r="U1227" s="49" t="n">
        <v>0</v>
      </c>
      <c r="V1227" s="49" t="n">
        <v>0</v>
      </c>
      <c r="W1227" s="50" t="n">
        <v>0</v>
      </c>
      <c r="X1227" s="51" t="n">
        <v>0</v>
      </c>
      <c r="Y1227" s="52" t="n">
        <v>0</v>
      </c>
      <c r="Z1227" s="52" t="n">
        <v>0</v>
      </c>
      <c r="AA1227" s="52" t="n">
        <v>0</v>
      </c>
      <c r="AB1227" s="53" t="n">
        <v>0</v>
      </c>
      <c r="AC1227" s="52" t="n">
        <v>0</v>
      </c>
      <c r="AD1227" s="53" t="n">
        <v>0</v>
      </c>
      <c r="AE1227" s="52" t="n">
        <v>0</v>
      </c>
      <c r="AF1227" s="51" t="n">
        <v>0</v>
      </c>
      <c r="AG1227" s="48" t="n">
        <v>0</v>
      </c>
      <c r="AH1227" s="49" t="n">
        <v>0</v>
      </c>
      <c r="AI1227" s="49" t="n">
        <v>0</v>
      </c>
      <c r="AJ1227" s="50" t="n">
        <v>0</v>
      </c>
      <c r="AK1227" s="51" t="n">
        <v>0</v>
      </c>
      <c r="AL1227" s="52" t="n">
        <v>0</v>
      </c>
      <c r="AM1227" s="52" t="n">
        <v>0</v>
      </c>
      <c r="AN1227" s="52" t="n">
        <v>0</v>
      </c>
      <c r="AO1227" s="53" t="n">
        <v>0</v>
      </c>
      <c r="AP1227" s="52" t="n">
        <v>0</v>
      </c>
      <c r="AQ1227" s="53" t="n">
        <v>0</v>
      </c>
      <c r="AR1227" s="52" t="n">
        <v>0</v>
      </c>
      <c r="AS1227" s="51" t="n">
        <v>0</v>
      </c>
      <c r="AT1227" s="48" t="n">
        <v>0</v>
      </c>
      <c r="AU1227" s="49" t="n">
        <v>0</v>
      </c>
      <c r="AV1227" s="49" t="n">
        <v>0</v>
      </c>
      <c r="AW1227" s="50" t="n">
        <v>0</v>
      </c>
      <c r="AX1227" s="51" t="n">
        <v>0</v>
      </c>
      <c r="AY1227" s="52" t="n">
        <v>0</v>
      </c>
      <c r="AZ1227" s="52" t="n">
        <v>0</v>
      </c>
      <c r="BA1227" s="52" t="n">
        <v>0</v>
      </c>
      <c r="BB1227" s="53" t="n">
        <v>0</v>
      </c>
      <c r="BC1227" s="52" t="n">
        <v>0</v>
      </c>
      <c r="BD1227" s="53" t="n">
        <v>0</v>
      </c>
      <c r="BE1227" s="52" t="n">
        <v>0</v>
      </c>
      <c r="BF1227" s="51" t="n">
        <v>0</v>
      </c>
    </row>
    <row r="1228">
      <c r="A1228">
        <f>HYPERLINK("https://www.walmart.com/ip/816840346", "816840346")</f>
        <v/>
      </c>
      <c r="B1228" t="inlineStr">
        <is>
          <t>Two-Piece Ladies Tankini Swimsuit for Women Swimsuits by Tirrinia</t>
        </is>
      </c>
      <c r="C1228" t="inlineStr">
        <is>
          <t>1TRSS003BL-M</t>
        </is>
      </c>
      <c r="D1228" t="inlineStr">
        <is>
          <t>Swimsuit Sets</t>
        </is>
      </c>
      <c r="E1228" t="inlineStr">
        <is>
          <t>Tirrinia</t>
        </is>
      </c>
      <c r="G1228" s="48" t="n">
        <v>0</v>
      </c>
      <c r="H1228" s="49" t="n">
        <v>0</v>
      </c>
      <c r="I1228" s="49" t="n">
        <v>0</v>
      </c>
      <c r="J1228" s="50" t="n">
        <v>0</v>
      </c>
      <c r="K1228" s="51" t="n">
        <v>0</v>
      </c>
      <c r="L1228" s="52" t="n">
        <v>0</v>
      </c>
      <c r="M1228" s="52" t="n">
        <v>0</v>
      </c>
      <c r="N1228" s="52" t="n">
        <v>0</v>
      </c>
      <c r="O1228" s="53" t="n">
        <v>0</v>
      </c>
      <c r="P1228" s="52" t="n">
        <v>0</v>
      </c>
      <c r="Q1228" s="53" t="n">
        <v>0</v>
      </c>
      <c r="R1228" s="52" t="n">
        <v>0</v>
      </c>
      <c r="S1228" s="51" t="n">
        <v>0</v>
      </c>
      <c r="T1228" s="48" t="n">
        <v>0</v>
      </c>
      <c r="U1228" s="49" t="n">
        <v>0</v>
      </c>
      <c r="V1228" s="49" t="n">
        <v>0</v>
      </c>
      <c r="W1228" s="50" t="n">
        <v>0</v>
      </c>
      <c r="X1228" s="51" t="n">
        <v>0</v>
      </c>
      <c r="Y1228" s="52" t="n">
        <v>0</v>
      </c>
      <c r="Z1228" s="52" t="n">
        <v>0</v>
      </c>
      <c r="AA1228" s="52" t="n">
        <v>0</v>
      </c>
      <c r="AB1228" s="53" t="n">
        <v>0</v>
      </c>
      <c r="AC1228" s="52" t="n">
        <v>0</v>
      </c>
      <c r="AD1228" s="53" t="n">
        <v>0</v>
      </c>
      <c r="AE1228" s="52" t="n">
        <v>0</v>
      </c>
      <c r="AF1228" s="51" t="n">
        <v>0</v>
      </c>
      <c r="AG1228" s="48" t="n">
        <v>0</v>
      </c>
      <c r="AH1228" s="49" t="n">
        <v>0</v>
      </c>
      <c r="AI1228" s="49" t="n">
        <v>0</v>
      </c>
      <c r="AJ1228" s="50" t="n">
        <v>0</v>
      </c>
      <c r="AK1228" s="51" t="n">
        <v>0</v>
      </c>
      <c r="AL1228" s="52" t="n">
        <v>0</v>
      </c>
      <c r="AM1228" s="52" t="n">
        <v>0</v>
      </c>
      <c r="AN1228" s="52" t="n">
        <v>0</v>
      </c>
      <c r="AO1228" s="53" t="n">
        <v>0</v>
      </c>
      <c r="AP1228" s="52" t="n">
        <v>0</v>
      </c>
      <c r="AQ1228" s="53" t="n">
        <v>0</v>
      </c>
      <c r="AR1228" s="52" t="n">
        <v>0</v>
      </c>
      <c r="AS1228" s="51" t="n">
        <v>0</v>
      </c>
      <c r="AT1228" s="48" t="n">
        <v>0</v>
      </c>
      <c r="AU1228" s="49" t="n">
        <v>0</v>
      </c>
      <c r="AV1228" s="49" t="n">
        <v>0</v>
      </c>
      <c r="AW1228" s="50" t="n">
        <v>0</v>
      </c>
      <c r="AX1228" s="51" t="n">
        <v>0</v>
      </c>
      <c r="AY1228" s="52" t="n">
        <v>0</v>
      </c>
      <c r="AZ1228" s="52" t="n">
        <v>0</v>
      </c>
      <c r="BA1228" s="52" t="n">
        <v>0</v>
      </c>
      <c r="BB1228" s="53" t="n">
        <v>0</v>
      </c>
      <c r="BC1228" s="52" t="n">
        <v>0</v>
      </c>
      <c r="BD1228" s="53" t="n">
        <v>0</v>
      </c>
      <c r="BE1228" s="52" t="n">
        <v>0</v>
      </c>
      <c r="BF1228" s="51" t="n">
        <v>0</v>
      </c>
    </row>
    <row r="1229">
      <c r="A1229">
        <f>HYPERLINK("https://www.walmart.com/ip/786923376", "786923376")</f>
        <v/>
      </c>
      <c r="B1229" t="inlineStr">
        <is>
          <t>Sherpa Wearable Blanket with Sleeves &amp; Foot Pockets for Adult Women Men, Comfy Snuggle Wrap Sleeved Throw Blanket Robe, Gift Idea, Brown</t>
        </is>
      </c>
      <c r="C1229" t="inlineStr">
        <is>
          <t>1CTSN310BR</t>
        </is>
      </c>
      <c r="D1229" t="inlineStr">
        <is>
          <t>Throws</t>
        </is>
      </c>
      <c r="E1229" t="inlineStr">
        <is>
          <t>Catalonia</t>
        </is>
      </c>
      <c r="F1229" t="inlineStr">
        <is>
          <t>Optimized,WFS,WFS Item</t>
        </is>
      </c>
      <c r="G1229" s="48" t="n">
        <v>0</v>
      </c>
      <c r="H1229" s="49" t="n">
        <v>0</v>
      </c>
      <c r="I1229" s="49" t="n">
        <v>0</v>
      </c>
      <c r="J1229" s="50" t="n">
        <v>0</v>
      </c>
      <c r="K1229" s="51" t="n">
        <v>0</v>
      </c>
      <c r="L1229" s="52" t="n">
        <v>0</v>
      </c>
      <c r="M1229" s="52" t="n">
        <v>0</v>
      </c>
      <c r="N1229" s="52" t="n">
        <v>0</v>
      </c>
      <c r="O1229" s="53" t="n">
        <v>0</v>
      </c>
      <c r="P1229" s="52" t="n">
        <v>0</v>
      </c>
      <c r="Q1229" s="53" t="n">
        <v>0</v>
      </c>
      <c r="R1229" s="52" t="n">
        <v>0</v>
      </c>
      <c r="S1229" s="51" t="n">
        <v>0</v>
      </c>
      <c r="T1229" s="48" t="n">
        <v>0</v>
      </c>
      <c r="U1229" s="49" t="n">
        <v>0</v>
      </c>
      <c r="V1229" s="49" t="n">
        <v>0</v>
      </c>
      <c r="W1229" s="50" t="n">
        <v>0</v>
      </c>
      <c r="X1229" s="51" t="n">
        <v>0</v>
      </c>
      <c r="Y1229" s="52" t="n">
        <v>0</v>
      </c>
      <c r="Z1229" s="52" t="n">
        <v>0</v>
      </c>
      <c r="AA1229" s="52" t="n">
        <v>0</v>
      </c>
      <c r="AB1229" s="53" t="n">
        <v>0</v>
      </c>
      <c r="AC1229" s="52" t="n">
        <v>0</v>
      </c>
      <c r="AD1229" s="53" t="n">
        <v>0</v>
      </c>
      <c r="AE1229" s="52" t="n">
        <v>0</v>
      </c>
      <c r="AF1229" s="51" t="n">
        <v>0</v>
      </c>
      <c r="AG1229" s="48" t="n">
        <v>0</v>
      </c>
      <c r="AH1229" s="49" t="n">
        <v>0</v>
      </c>
      <c r="AI1229" s="49" t="n">
        <v>0</v>
      </c>
      <c r="AJ1229" s="50" t="n">
        <v>0</v>
      </c>
      <c r="AK1229" s="51" t="n">
        <v>0</v>
      </c>
      <c r="AL1229" s="52" t="n">
        <v>0</v>
      </c>
      <c r="AM1229" s="52" t="n">
        <v>0</v>
      </c>
      <c r="AN1229" s="52" t="n">
        <v>0</v>
      </c>
      <c r="AO1229" s="53" t="n">
        <v>0</v>
      </c>
      <c r="AP1229" s="52" t="n">
        <v>0</v>
      </c>
      <c r="AQ1229" s="53" t="n">
        <v>0</v>
      </c>
      <c r="AR1229" s="52" t="n">
        <v>0</v>
      </c>
      <c r="AS1229" s="51" t="n">
        <v>0</v>
      </c>
      <c r="AT1229" s="48" t="n">
        <v>0</v>
      </c>
      <c r="AU1229" s="49" t="n">
        <v>0</v>
      </c>
      <c r="AV1229" s="49" t="n">
        <v>0</v>
      </c>
      <c r="AW1229" s="50" t="n">
        <v>0</v>
      </c>
      <c r="AX1229" s="51" t="n">
        <v>0</v>
      </c>
      <c r="AY1229" s="52" t="n">
        <v>0</v>
      </c>
      <c r="AZ1229" s="52" t="n">
        <v>0</v>
      </c>
      <c r="BA1229" s="52" t="n">
        <v>0</v>
      </c>
      <c r="BB1229" s="53" t="n">
        <v>0</v>
      </c>
      <c r="BC1229" s="52" t="n">
        <v>0</v>
      </c>
      <c r="BD1229" s="53" t="n">
        <v>0</v>
      </c>
      <c r="BE1229" s="52" t="n">
        <v>0</v>
      </c>
      <c r="BF1229" s="51" t="n">
        <v>0</v>
      </c>
    </row>
    <row r="1230">
      <c r="A1230">
        <f>HYPERLINK("https://www.walmart.com/ip/786288651", "786288651")</f>
        <v/>
      </c>
      <c r="B1230" t="inlineStr">
        <is>
          <t>Catalonia Snuggie Tails Toddlers Blanket Kids Sleep Bag Warm Plush Super Soft for Baby Children Teen Boy Girl</t>
        </is>
      </c>
      <c r="C1230" t="inlineStr">
        <is>
          <t>1CTMM200NM</t>
        </is>
      </c>
      <c r="D1230" t="inlineStr">
        <is>
          <t>Throws</t>
        </is>
      </c>
      <c r="E1230" t="inlineStr">
        <is>
          <t>Catalonia</t>
        </is>
      </c>
      <c r="F1230" t="inlineStr">
        <is>
          <t>Baby days,WFS,WFS Item</t>
        </is>
      </c>
      <c r="G1230" s="48" t="n">
        <v>0</v>
      </c>
      <c r="H1230" s="49" t="n">
        <v>0</v>
      </c>
      <c r="I1230" s="49" t="n">
        <v>0</v>
      </c>
      <c r="J1230" s="50" t="n">
        <v>0</v>
      </c>
      <c r="K1230" s="51" t="n">
        <v>0</v>
      </c>
      <c r="L1230" s="52" t="n">
        <v>0</v>
      </c>
      <c r="M1230" s="52" t="n">
        <v>0</v>
      </c>
      <c r="N1230" s="52" t="n">
        <v>0</v>
      </c>
      <c r="O1230" s="53" t="n">
        <v>0</v>
      </c>
      <c r="P1230" s="52" t="n">
        <v>0</v>
      </c>
      <c r="Q1230" s="53" t="n">
        <v>0</v>
      </c>
      <c r="R1230" s="52" t="n">
        <v>0</v>
      </c>
      <c r="S1230" s="51" t="n">
        <v>0</v>
      </c>
      <c r="T1230" s="48" t="n">
        <v>0</v>
      </c>
      <c r="U1230" s="49" t="n">
        <v>0</v>
      </c>
      <c r="V1230" s="49" t="n">
        <v>0</v>
      </c>
      <c r="W1230" s="50" t="n">
        <v>0</v>
      </c>
      <c r="X1230" s="51" t="n">
        <v>0</v>
      </c>
      <c r="Y1230" s="52" t="n">
        <v>0</v>
      </c>
      <c r="Z1230" s="52" t="n">
        <v>0</v>
      </c>
      <c r="AA1230" s="52" t="n">
        <v>0</v>
      </c>
      <c r="AB1230" s="53" t="n">
        <v>0</v>
      </c>
      <c r="AC1230" s="52" t="n">
        <v>0</v>
      </c>
      <c r="AD1230" s="53" t="n">
        <v>0</v>
      </c>
      <c r="AE1230" s="52" t="n">
        <v>0</v>
      </c>
      <c r="AF1230" s="51" t="n">
        <v>0</v>
      </c>
      <c r="AG1230" s="48" t="n">
        <v>0</v>
      </c>
      <c r="AH1230" s="49" t="n">
        <v>0</v>
      </c>
      <c r="AI1230" s="49" t="n">
        <v>0</v>
      </c>
      <c r="AJ1230" s="50" t="n">
        <v>0</v>
      </c>
      <c r="AK1230" s="51" t="n">
        <v>0</v>
      </c>
      <c r="AL1230" s="52" t="n">
        <v>0</v>
      </c>
      <c r="AM1230" s="52" t="n">
        <v>0</v>
      </c>
      <c r="AN1230" s="52" t="n">
        <v>0</v>
      </c>
      <c r="AO1230" s="53" t="n">
        <v>0</v>
      </c>
      <c r="AP1230" s="52" t="n">
        <v>0</v>
      </c>
      <c r="AQ1230" s="53" t="n">
        <v>0</v>
      </c>
      <c r="AR1230" s="52" t="n">
        <v>0</v>
      </c>
      <c r="AS1230" s="51" t="n">
        <v>0</v>
      </c>
      <c r="AT1230" s="48" t="n">
        <v>0</v>
      </c>
      <c r="AU1230" s="49" t="n">
        <v>0</v>
      </c>
      <c r="AV1230" s="49" t="n">
        <v>0</v>
      </c>
      <c r="AW1230" s="50" t="n">
        <v>0</v>
      </c>
      <c r="AX1230" s="51" t="n">
        <v>0</v>
      </c>
      <c r="AY1230" s="52" t="n">
        <v>0</v>
      </c>
      <c r="AZ1230" s="52" t="n">
        <v>0</v>
      </c>
      <c r="BA1230" s="52" t="n">
        <v>0</v>
      </c>
      <c r="BB1230" s="53" t="n">
        <v>0</v>
      </c>
      <c r="BC1230" s="52" t="n">
        <v>0</v>
      </c>
      <c r="BD1230" s="53" t="n">
        <v>0</v>
      </c>
      <c r="BE1230" s="52" t="n">
        <v>0</v>
      </c>
      <c r="BF1230" s="51" t="n">
        <v>0</v>
      </c>
    </row>
    <row r="1231">
      <c r="A1231">
        <f>HYPERLINK("https://www.walmart.com/ip/785889519", "785889519")</f>
        <v/>
      </c>
      <c r="B1231" t="inlineStr">
        <is>
          <t>Tirrinia Extra Large Lunch Bag - 13L/ 22 Can, Insulated &amp; Leakproof Adult Reusable Meal Prep Bento Box Cooler Tote for Men &amp; Women with Dual Compartment, Grey</t>
        </is>
      </c>
      <c r="C1231" t="inlineStr">
        <is>
          <t>1KTLB410GY</t>
        </is>
      </c>
      <c r="D1231" t="inlineStr">
        <is>
          <t>Reusable Lunch Bags &amp; Boxes</t>
        </is>
      </c>
      <c r="E1231" t="inlineStr">
        <is>
          <t>Tirrinia</t>
        </is>
      </c>
      <c r="F1231" t="inlineStr">
        <is>
          <t>Q2-Target,Brand Camp VD,Lunch Bag,Optimized,WFS,Lunch Bags,SEM,Wal-Exl-Price,WFS Item</t>
        </is>
      </c>
      <c r="G1231" s="48" t="n">
        <v>0</v>
      </c>
      <c r="H1231" s="49" t="n">
        <v>0</v>
      </c>
      <c r="I1231" s="49" t="n">
        <v>0</v>
      </c>
      <c r="J1231" s="50" t="n">
        <v>0</v>
      </c>
      <c r="K1231" s="51" t="n">
        <v>0</v>
      </c>
      <c r="L1231" s="52" t="n">
        <v>0</v>
      </c>
      <c r="M1231" s="52" t="n">
        <v>0</v>
      </c>
      <c r="N1231" s="52" t="n">
        <v>0</v>
      </c>
      <c r="O1231" s="53" t="n">
        <v>0</v>
      </c>
      <c r="P1231" s="52" t="n">
        <v>0</v>
      </c>
      <c r="Q1231" s="53" t="n">
        <v>0</v>
      </c>
      <c r="R1231" s="52" t="n">
        <v>0</v>
      </c>
      <c r="S1231" s="51" t="n">
        <v>0</v>
      </c>
      <c r="T1231" s="48" t="n">
        <v>19.99</v>
      </c>
      <c r="U1231" s="49" t="n">
        <v>1</v>
      </c>
      <c r="V1231" s="49" t="n">
        <v>0</v>
      </c>
      <c r="W1231" s="50" t="n">
        <v>0</v>
      </c>
      <c r="X1231" s="51" t="n">
        <v>0</v>
      </c>
      <c r="Y1231" s="52" t="n">
        <v>0</v>
      </c>
      <c r="Z1231" s="52" t="n">
        <v>0</v>
      </c>
      <c r="AA1231" s="52" t="n">
        <v>0</v>
      </c>
      <c r="AB1231" s="53" t="n">
        <v>0</v>
      </c>
      <c r="AC1231" s="52" t="n">
        <v>0</v>
      </c>
      <c r="AD1231" s="53" t="n">
        <v>0</v>
      </c>
      <c r="AE1231" s="52" t="n">
        <v>19.99</v>
      </c>
      <c r="AF1231" s="51" t="n">
        <v>0</v>
      </c>
      <c r="AG1231" s="48" t="n">
        <v>0</v>
      </c>
      <c r="AH1231" s="49" t="n">
        <v>0</v>
      </c>
      <c r="AI1231" s="49" t="n">
        <v>0</v>
      </c>
      <c r="AJ1231" s="50" t="n">
        <v>0</v>
      </c>
      <c r="AK1231" s="51" t="n">
        <v>0</v>
      </c>
      <c r="AL1231" s="52" t="n">
        <v>0</v>
      </c>
      <c r="AM1231" s="52" t="n">
        <v>0</v>
      </c>
      <c r="AN1231" s="52" t="n">
        <v>0</v>
      </c>
      <c r="AO1231" s="53" t="n">
        <v>0</v>
      </c>
      <c r="AP1231" s="52" t="n">
        <v>0</v>
      </c>
      <c r="AQ1231" s="53" t="n">
        <v>0</v>
      </c>
      <c r="AR1231" s="52" t="n">
        <v>0</v>
      </c>
      <c r="AS1231" s="51" t="n">
        <v>0</v>
      </c>
      <c r="AT1231" s="48" t="n">
        <v>0</v>
      </c>
      <c r="AU1231" s="49" t="n">
        <v>0</v>
      </c>
      <c r="AV1231" s="49" t="n">
        <v>0</v>
      </c>
      <c r="AW1231" s="50" t="n">
        <v>0</v>
      </c>
      <c r="AX1231" s="51" t="n">
        <v>0</v>
      </c>
      <c r="AY1231" s="52" t="n">
        <v>0</v>
      </c>
      <c r="AZ1231" s="52" t="n">
        <v>0</v>
      </c>
      <c r="BA1231" s="52" t="n">
        <v>0</v>
      </c>
      <c r="BB1231" s="53" t="n">
        <v>0</v>
      </c>
      <c r="BC1231" s="52" t="n">
        <v>0</v>
      </c>
      <c r="BD1231" s="53" t="n">
        <v>0</v>
      </c>
      <c r="BE1231" s="52" t="n">
        <v>0</v>
      </c>
      <c r="BF1231" s="51" t="n">
        <v>0</v>
      </c>
    </row>
    <row r="1232">
      <c r="A1232">
        <f>HYPERLINK("https://www.walmart.com/ip/759590349", "759590349")</f>
        <v/>
      </c>
      <c r="B1232" t="inlineStr">
        <is>
          <t>UK/ England Flag Sherpa Throw Blanket Polar Fleece, Super Cozy Warm TV Blankets for Bed or Couch Reversible 50" x 60"</t>
        </is>
      </c>
      <c r="C1232" t="inlineStr">
        <is>
          <t>1TRBF300UK-TPCB</t>
        </is>
      </c>
      <c r="D1232" t="inlineStr">
        <is>
          <t>Throws</t>
        </is>
      </c>
      <c r="E1232" t="inlineStr">
        <is>
          <t>Tirrinia</t>
        </is>
      </c>
      <c r="F1232" t="inlineStr">
        <is>
          <t>Batch 1 - TR</t>
        </is>
      </c>
      <c r="G1232" s="48" t="n">
        <v>0</v>
      </c>
      <c r="H1232" s="49" t="n">
        <v>0</v>
      </c>
      <c r="I1232" s="49" t="n">
        <v>0</v>
      </c>
      <c r="J1232" s="50" t="n">
        <v>0</v>
      </c>
      <c r="K1232" s="51" t="n">
        <v>0</v>
      </c>
      <c r="L1232" s="52" t="n">
        <v>0</v>
      </c>
      <c r="M1232" s="52" t="n">
        <v>0</v>
      </c>
      <c r="N1232" s="52" t="n">
        <v>0</v>
      </c>
      <c r="O1232" s="53" t="n">
        <v>0</v>
      </c>
      <c r="P1232" s="52" t="n">
        <v>0</v>
      </c>
      <c r="Q1232" s="53" t="n">
        <v>0</v>
      </c>
      <c r="R1232" s="52" t="n">
        <v>0</v>
      </c>
      <c r="S1232" s="51" t="n">
        <v>0</v>
      </c>
      <c r="T1232" s="48" t="n">
        <v>0</v>
      </c>
      <c r="U1232" s="49" t="n">
        <v>0</v>
      </c>
      <c r="V1232" s="49" t="n">
        <v>0</v>
      </c>
      <c r="W1232" s="50" t="n">
        <v>0</v>
      </c>
      <c r="X1232" s="51" t="n">
        <v>0</v>
      </c>
      <c r="Y1232" s="52" t="n">
        <v>0</v>
      </c>
      <c r="Z1232" s="52" t="n">
        <v>0</v>
      </c>
      <c r="AA1232" s="52" t="n">
        <v>0</v>
      </c>
      <c r="AB1232" s="53" t="n">
        <v>0</v>
      </c>
      <c r="AC1232" s="52" t="n">
        <v>0</v>
      </c>
      <c r="AD1232" s="53" t="n">
        <v>0</v>
      </c>
      <c r="AE1232" s="52" t="n">
        <v>0</v>
      </c>
      <c r="AF1232" s="51" t="n">
        <v>0</v>
      </c>
      <c r="AG1232" s="48" t="n">
        <v>0</v>
      </c>
      <c r="AH1232" s="49" t="n">
        <v>0</v>
      </c>
      <c r="AI1232" s="49" t="n">
        <v>0</v>
      </c>
      <c r="AJ1232" s="50" t="n">
        <v>0</v>
      </c>
      <c r="AK1232" s="51" t="n">
        <v>0</v>
      </c>
      <c r="AL1232" s="52" t="n">
        <v>0</v>
      </c>
      <c r="AM1232" s="52" t="n">
        <v>0</v>
      </c>
      <c r="AN1232" s="52" t="n">
        <v>0</v>
      </c>
      <c r="AO1232" s="53" t="n">
        <v>0</v>
      </c>
      <c r="AP1232" s="52" t="n">
        <v>0</v>
      </c>
      <c r="AQ1232" s="53" t="n">
        <v>0</v>
      </c>
      <c r="AR1232" s="52" t="n">
        <v>0</v>
      </c>
      <c r="AS1232" s="51" t="n">
        <v>0</v>
      </c>
      <c r="AT1232" s="48" t="n">
        <v>0</v>
      </c>
      <c r="AU1232" s="49" t="n">
        <v>0</v>
      </c>
      <c r="AV1232" s="49" t="n">
        <v>0</v>
      </c>
      <c r="AW1232" s="50" t="n">
        <v>0</v>
      </c>
      <c r="AX1232" s="51" t="n">
        <v>0</v>
      </c>
      <c r="AY1232" s="52" t="n">
        <v>0</v>
      </c>
      <c r="AZ1232" s="52" t="n">
        <v>0</v>
      </c>
      <c r="BA1232" s="52" t="n">
        <v>0</v>
      </c>
      <c r="BB1232" s="53" t="n">
        <v>0</v>
      </c>
      <c r="BC1232" s="52" t="n">
        <v>0</v>
      </c>
      <c r="BD1232" s="53" t="n">
        <v>0</v>
      </c>
      <c r="BE1232" s="52" t="n">
        <v>0</v>
      </c>
      <c r="BF1232" s="51" t="n">
        <v>0</v>
      </c>
    </row>
    <row r="1233">
      <c r="A1233">
        <f>HYPERLINK("https://www.walmart.com/ip/760775698", "760775698")</f>
        <v/>
      </c>
      <c r="B1233" t="inlineStr">
        <is>
          <t>Solaris Men Winter Ski Snow Gloves with Breathable Face Mask The Warmest 3M Insulation Waterproof Outdoor Snowboard Mitt</t>
        </is>
      </c>
      <c r="C1233" t="inlineStr">
        <is>
          <t>1SLWG300PKXL-FSGM</t>
        </is>
      </c>
      <c r="D1233" t="inlineStr">
        <is>
          <t>Gloves &amp; Mittens</t>
        </is>
      </c>
      <c r="E1233" t="inlineStr">
        <is>
          <t>Solaris</t>
        </is>
      </c>
      <c r="F1233" t="inlineStr">
        <is>
          <t>Optimized,Gloves</t>
        </is>
      </c>
      <c r="G1233" s="48" t="n">
        <v>0</v>
      </c>
      <c r="H1233" s="49" t="n">
        <v>0</v>
      </c>
      <c r="I1233" s="49" t="n">
        <v>0</v>
      </c>
      <c r="J1233" s="50" t="n">
        <v>0</v>
      </c>
      <c r="K1233" s="51" t="n">
        <v>0</v>
      </c>
      <c r="L1233" s="52" t="n">
        <v>0</v>
      </c>
      <c r="M1233" s="52" t="n">
        <v>0</v>
      </c>
      <c r="N1233" s="52" t="n">
        <v>0</v>
      </c>
      <c r="O1233" s="53" t="n">
        <v>0</v>
      </c>
      <c r="P1233" s="52" t="n">
        <v>0</v>
      </c>
      <c r="Q1233" s="53" t="n">
        <v>0</v>
      </c>
      <c r="R1233" s="52" t="n">
        <v>0</v>
      </c>
      <c r="S1233" s="51" t="n">
        <v>0</v>
      </c>
      <c r="T1233" s="48" t="n">
        <v>0</v>
      </c>
      <c r="U1233" s="49" t="n">
        <v>0</v>
      </c>
      <c r="V1233" s="49" t="n">
        <v>0</v>
      </c>
      <c r="W1233" s="50" t="n">
        <v>0</v>
      </c>
      <c r="X1233" s="51" t="n">
        <v>0</v>
      </c>
      <c r="Y1233" s="52" t="n">
        <v>0</v>
      </c>
      <c r="Z1233" s="52" t="n">
        <v>0</v>
      </c>
      <c r="AA1233" s="52" t="n">
        <v>0</v>
      </c>
      <c r="AB1233" s="53" t="n">
        <v>0</v>
      </c>
      <c r="AC1233" s="52" t="n">
        <v>0</v>
      </c>
      <c r="AD1233" s="53" t="n">
        <v>0</v>
      </c>
      <c r="AE1233" s="52" t="n">
        <v>0</v>
      </c>
      <c r="AF1233" s="51" t="n">
        <v>0</v>
      </c>
      <c r="AG1233" s="48" t="n">
        <v>0</v>
      </c>
      <c r="AH1233" s="49" t="n">
        <v>0</v>
      </c>
      <c r="AI1233" s="49" t="n">
        <v>0</v>
      </c>
      <c r="AJ1233" s="50" t="n">
        <v>0</v>
      </c>
      <c r="AK1233" s="51" t="n">
        <v>0</v>
      </c>
      <c r="AL1233" s="52" t="n">
        <v>0</v>
      </c>
      <c r="AM1233" s="52" t="n">
        <v>0</v>
      </c>
      <c r="AN1233" s="52" t="n">
        <v>0</v>
      </c>
      <c r="AO1233" s="53" t="n">
        <v>0</v>
      </c>
      <c r="AP1233" s="52" t="n">
        <v>0</v>
      </c>
      <c r="AQ1233" s="53" t="n">
        <v>0</v>
      </c>
      <c r="AR1233" s="52" t="n">
        <v>0</v>
      </c>
      <c r="AS1233" s="51" t="n">
        <v>0</v>
      </c>
      <c r="AT1233" s="48" t="n">
        <v>0</v>
      </c>
      <c r="AU1233" s="49" t="n">
        <v>0</v>
      </c>
      <c r="AV1233" s="49" t="n">
        <v>0</v>
      </c>
      <c r="AW1233" s="50" t="n">
        <v>0</v>
      </c>
      <c r="AX1233" s="51" t="n">
        <v>0</v>
      </c>
      <c r="AY1233" s="52" t="n">
        <v>0</v>
      </c>
      <c r="AZ1233" s="52" t="n">
        <v>0</v>
      </c>
      <c r="BA1233" s="52" t="n">
        <v>0</v>
      </c>
      <c r="BB1233" s="53" t="n">
        <v>0</v>
      </c>
      <c r="BC1233" s="52" t="n">
        <v>0</v>
      </c>
      <c r="BD1233" s="53" t="n">
        <v>0</v>
      </c>
      <c r="BE1233" s="52" t="n">
        <v>0</v>
      </c>
      <c r="BF1233" s="51" t="n">
        <v>0</v>
      </c>
    </row>
    <row r="1234">
      <c r="A1234">
        <f>HYPERLINK("https://www.walmart.com/ip/760825616", "760825616")</f>
        <v/>
      </c>
      <c r="B1234" t="inlineStr">
        <is>
          <t>Tirrinia Super-Soft Comfy Plush Wearable Fleece Blanket Poncho for Adults, 55'' x 80'', Grey</t>
        </is>
      </c>
      <c r="C1234" t="inlineStr">
        <is>
          <t>1TRBP100GY-TBCB</t>
        </is>
      </c>
      <c r="D1234" t="inlineStr">
        <is>
          <t>Throws</t>
        </is>
      </c>
      <c r="E1234" t="inlineStr">
        <is>
          <t>Tirrinia</t>
        </is>
      </c>
      <c r="F1234" t="inlineStr">
        <is>
          <t>Optimized,Fleece Blankets</t>
        </is>
      </c>
      <c r="G1234" s="48" t="n">
        <v>0</v>
      </c>
      <c r="H1234" s="49" t="n">
        <v>0</v>
      </c>
      <c r="I1234" s="49" t="n">
        <v>0</v>
      </c>
      <c r="J1234" s="50" t="n">
        <v>0</v>
      </c>
      <c r="K1234" s="51" t="n">
        <v>0</v>
      </c>
      <c r="L1234" s="52" t="n">
        <v>0</v>
      </c>
      <c r="M1234" s="52" t="n">
        <v>0</v>
      </c>
      <c r="N1234" s="52" t="n">
        <v>0</v>
      </c>
      <c r="O1234" s="53" t="n">
        <v>0</v>
      </c>
      <c r="P1234" s="52" t="n">
        <v>0</v>
      </c>
      <c r="Q1234" s="53" t="n">
        <v>0</v>
      </c>
      <c r="R1234" s="52" t="n">
        <v>0</v>
      </c>
      <c r="S1234" s="51" t="n">
        <v>0</v>
      </c>
      <c r="T1234" s="48" t="n">
        <v>0</v>
      </c>
      <c r="U1234" s="49" t="n">
        <v>0</v>
      </c>
      <c r="V1234" s="49" t="n">
        <v>0</v>
      </c>
      <c r="W1234" s="50" t="n">
        <v>0</v>
      </c>
      <c r="X1234" s="51" t="n">
        <v>0</v>
      </c>
      <c r="Y1234" s="52" t="n">
        <v>0</v>
      </c>
      <c r="Z1234" s="52" t="n">
        <v>0</v>
      </c>
      <c r="AA1234" s="52" t="n">
        <v>0</v>
      </c>
      <c r="AB1234" s="53" t="n">
        <v>0</v>
      </c>
      <c r="AC1234" s="52" t="n">
        <v>0</v>
      </c>
      <c r="AD1234" s="53" t="n">
        <v>0</v>
      </c>
      <c r="AE1234" s="52" t="n">
        <v>0</v>
      </c>
      <c r="AF1234" s="51" t="n">
        <v>0</v>
      </c>
      <c r="AG1234" s="48" t="n">
        <v>0</v>
      </c>
      <c r="AH1234" s="49" t="n">
        <v>0</v>
      </c>
      <c r="AI1234" s="49" t="n">
        <v>0</v>
      </c>
      <c r="AJ1234" s="50" t="n">
        <v>0</v>
      </c>
      <c r="AK1234" s="51" t="n">
        <v>0</v>
      </c>
      <c r="AL1234" s="52" t="n">
        <v>0</v>
      </c>
      <c r="AM1234" s="52" t="n">
        <v>0</v>
      </c>
      <c r="AN1234" s="52" t="n">
        <v>0</v>
      </c>
      <c r="AO1234" s="53" t="n">
        <v>0</v>
      </c>
      <c r="AP1234" s="52" t="n">
        <v>0</v>
      </c>
      <c r="AQ1234" s="53" t="n">
        <v>0</v>
      </c>
      <c r="AR1234" s="52" t="n">
        <v>0</v>
      </c>
      <c r="AS1234" s="51" t="n">
        <v>0</v>
      </c>
      <c r="AT1234" s="48" t="n">
        <v>0</v>
      </c>
      <c r="AU1234" s="49" t="n">
        <v>0</v>
      </c>
      <c r="AV1234" s="49" t="n">
        <v>0</v>
      </c>
      <c r="AW1234" s="50" t="n">
        <v>0</v>
      </c>
      <c r="AX1234" s="51" t="n">
        <v>0</v>
      </c>
      <c r="AY1234" s="52" t="n">
        <v>0</v>
      </c>
      <c r="AZ1234" s="52" t="n">
        <v>0</v>
      </c>
      <c r="BA1234" s="52" t="n">
        <v>0</v>
      </c>
      <c r="BB1234" s="53" t="n">
        <v>0</v>
      </c>
      <c r="BC1234" s="52" t="n">
        <v>0</v>
      </c>
      <c r="BD1234" s="53" t="n">
        <v>0</v>
      </c>
      <c r="BE1234" s="52" t="n">
        <v>0</v>
      </c>
      <c r="BF1234" s="51" t="n">
        <v>0</v>
      </c>
    </row>
    <row r="1235">
      <c r="A1235">
        <f>HYPERLINK("https://www.walmart.com/ip/761490287", "761490287")</f>
        <v/>
      </c>
      <c r="B1235" t="inlineStr">
        <is>
          <t>Tirrinia Sherpa Wearable Blanket Ultra Soft Comfy Warm Plush Full Body Throw with Sleeves, Reading Wrap TV Blankets Robe Cover for Adult Grandma Women and Men, Wine</t>
        </is>
      </c>
      <c r="C1235" t="inlineStr">
        <is>
          <t>1TRSN110WN</t>
        </is>
      </c>
      <c r="D1235" t="inlineStr">
        <is>
          <t>Throws</t>
        </is>
      </c>
      <c r="E1235" t="inlineStr">
        <is>
          <t>Tirrinia</t>
        </is>
      </c>
      <c r="F1235" t="inlineStr">
        <is>
          <t>Coupon_Discount,WFS Item</t>
        </is>
      </c>
      <c r="G1235" s="48" t="n">
        <v>0</v>
      </c>
      <c r="H1235" s="49" t="n">
        <v>0</v>
      </c>
      <c r="I1235" s="49" t="n">
        <v>0</v>
      </c>
      <c r="J1235" s="50" t="n">
        <v>0</v>
      </c>
      <c r="K1235" s="51" t="n">
        <v>0</v>
      </c>
      <c r="L1235" s="52" t="n">
        <v>0</v>
      </c>
      <c r="M1235" s="52" t="n">
        <v>0</v>
      </c>
      <c r="N1235" s="52" t="n">
        <v>0</v>
      </c>
      <c r="O1235" s="53" t="n">
        <v>0</v>
      </c>
      <c r="P1235" s="52" t="n">
        <v>0</v>
      </c>
      <c r="Q1235" s="53" t="n">
        <v>0</v>
      </c>
      <c r="R1235" s="52" t="n">
        <v>0</v>
      </c>
      <c r="S1235" s="51" t="n">
        <v>0</v>
      </c>
      <c r="T1235" s="48" t="n">
        <v>0</v>
      </c>
      <c r="U1235" s="49" t="n">
        <v>0</v>
      </c>
      <c r="V1235" s="49" t="n">
        <v>0</v>
      </c>
      <c r="W1235" s="50" t="n">
        <v>0</v>
      </c>
      <c r="X1235" s="51" t="n">
        <v>0</v>
      </c>
      <c r="Y1235" s="52" t="n">
        <v>0</v>
      </c>
      <c r="Z1235" s="52" t="n">
        <v>0</v>
      </c>
      <c r="AA1235" s="52" t="n">
        <v>0</v>
      </c>
      <c r="AB1235" s="53" t="n">
        <v>0</v>
      </c>
      <c r="AC1235" s="52" t="n">
        <v>0</v>
      </c>
      <c r="AD1235" s="53" t="n">
        <v>0</v>
      </c>
      <c r="AE1235" s="52" t="n">
        <v>0</v>
      </c>
      <c r="AF1235" s="51" t="n">
        <v>0</v>
      </c>
      <c r="AG1235" s="48" t="n">
        <v>0</v>
      </c>
      <c r="AH1235" s="49" t="n">
        <v>0</v>
      </c>
      <c r="AI1235" s="49" t="n">
        <v>0</v>
      </c>
      <c r="AJ1235" s="50" t="n">
        <v>0</v>
      </c>
      <c r="AK1235" s="51" t="n">
        <v>0</v>
      </c>
      <c r="AL1235" s="52" t="n">
        <v>0</v>
      </c>
      <c r="AM1235" s="52" t="n">
        <v>0</v>
      </c>
      <c r="AN1235" s="52" t="n">
        <v>0</v>
      </c>
      <c r="AO1235" s="53" t="n">
        <v>0</v>
      </c>
      <c r="AP1235" s="52" t="n">
        <v>0</v>
      </c>
      <c r="AQ1235" s="53" t="n">
        <v>0</v>
      </c>
      <c r="AR1235" s="52" t="n">
        <v>0</v>
      </c>
      <c r="AS1235" s="51" t="n">
        <v>0</v>
      </c>
      <c r="AT1235" s="48" t="n">
        <v>0</v>
      </c>
      <c r="AU1235" s="49" t="n">
        <v>0</v>
      </c>
      <c r="AV1235" s="49" t="n">
        <v>0</v>
      </c>
      <c r="AW1235" s="50" t="n">
        <v>0</v>
      </c>
      <c r="AX1235" s="51" t="n">
        <v>0</v>
      </c>
      <c r="AY1235" s="52" t="n">
        <v>0</v>
      </c>
      <c r="AZ1235" s="52" t="n">
        <v>0</v>
      </c>
      <c r="BA1235" s="52" t="n">
        <v>0</v>
      </c>
      <c r="BB1235" s="53" t="n">
        <v>0</v>
      </c>
      <c r="BC1235" s="52" t="n">
        <v>0</v>
      </c>
      <c r="BD1235" s="53" t="n">
        <v>0</v>
      </c>
      <c r="BE1235" s="52" t="n">
        <v>0</v>
      </c>
      <c r="BF1235" s="51" t="n">
        <v>0</v>
      </c>
    </row>
    <row r="1236">
      <c r="A1236">
        <f>HYPERLINK("https://www.walmart.com/ip/761838379", "761838379")</f>
        <v/>
      </c>
      <c r="B1236" t="inlineStr">
        <is>
          <t>KC Caps® Unisex Realtree Hunting Cap Camouflage Jungle Sports Hat</t>
        </is>
      </c>
      <c r="C1236" t="inlineStr">
        <is>
          <t>KC Caps 4730</t>
        </is>
      </c>
      <c r="D1236" t="inlineStr">
        <is>
          <t>Hats</t>
        </is>
      </c>
      <c r="E1236" t="inlineStr">
        <is>
          <t>KC Caps</t>
        </is>
      </c>
      <c r="F1236" t="inlineStr">
        <is>
          <t>Batch 1 - TR</t>
        </is>
      </c>
      <c r="G1236" s="48" t="n">
        <v>0</v>
      </c>
      <c r="H1236" s="49" t="n">
        <v>0</v>
      </c>
      <c r="I1236" s="49" t="n">
        <v>0</v>
      </c>
      <c r="J1236" s="50" t="n">
        <v>0</v>
      </c>
      <c r="K1236" s="51" t="n">
        <v>0</v>
      </c>
      <c r="L1236" s="52" t="n">
        <v>0</v>
      </c>
      <c r="M1236" s="52" t="n">
        <v>0</v>
      </c>
      <c r="N1236" s="52" t="n">
        <v>0</v>
      </c>
      <c r="O1236" s="53" t="n">
        <v>0</v>
      </c>
      <c r="P1236" s="52" t="n">
        <v>0</v>
      </c>
      <c r="Q1236" s="53" t="n">
        <v>0</v>
      </c>
      <c r="R1236" s="52" t="n">
        <v>0</v>
      </c>
      <c r="S1236" s="51" t="n">
        <v>0</v>
      </c>
      <c r="T1236" s="48" t="n">
        <v>0</v>
      </c>
      <c r="U1236" s="49" t="n">
        <v>0</v>
      </c>
      <c r="V1236" s="49" t="n">
        <v>0</v>
      </c>
      <c r="W1236" s="50" t="n">
        <v>0</v>
      </c>
      <c r="X1236" s="51" t="n">
        <v>0</v>
      </c>
      <c r="Y1236" s="52" t="n">
        <v>0</v>
      </c>
      <c r="Z1236" s="52" t="n">
        <v>0</v>
      </c>
      <c r="AA1236" s="52" t="n">
        <v>0</v>
      </c>
      <c r="AB1236" s="53" t="n">
        <v>0</v>
      </c>
      <c r="AC1236" s="52" t="n">
        <v>0</v>
      </c>
      <c r="AD1236" s="53" t="n">
        <v>0</v>
      </c>
      <c r="AE1236" s="52" t="n">
        <v>0</v>
      </c>
      <c r="AF1236" s="51" t="n">
        <v>0</v>
      </c>
      <c r="AG1236" s="48" t="n">
        <v>0</v>
      </c>
      <c r="AH1236" s="49" t="n">
        <v>0</v>
      </c>
      <c r="AI1236" s="49" t="n">
        <v>0</v>
      </c>
      <c r="AJ1236" s="50" t="n">
        <v>0</v>
      </c>
      <c r="AK1236" s="51" t="n">
        <v>0</v>
      </c>
      <c r="AL1236" s="52" t="n">
        <v>0</v>
      </c>
      <c r="AM1236" s="52" t="n">
        <v>0</v>
      </c>
      <c r="AN1236" s="52" t="n">
        <v>0</v>
      </c>
      <c r="AO1236" s="53" t="n">
        <v>0</v>
      </c>
      <c r="AP1236" s="52" t="n">
        <v>0</v>
      </c>
      <c r="AQ1236" s="53" t="n">
        <v>0</v>
      </c>
      <c r="AR1236" s="52" t="n">
        <v>0</v>
      </c>
      <c r="AS1236" s="51" t="n">
        <v>0</v>
      </c>
      <c r="AT1236" s="48" t="n">
        <v>0</v>
      </c>
      <c r="AU1236" s="49" t="n">
        <v>0</v>
      </c>
      <c r="AV1236" s="49" t="n">
        <v>0</v>
      </c>
      <c r="AW1236" s="50" t="n">
        <v>0</v>
      </c>
      <c r="AX1236" s="51" t="n">
        <v>0</v>
      </c>
      <c r="AY1236" s="52" t="n">
        <v>0</v>
      </c>
      <c r="AZ1236" s="52" t="n">
        <v>0</v>
      </c>
      <c r="BA1236" s="52" t="n">
        <v>0</v>
      </c>
      <c r="BB1236" s="53" t="n">
        <v>0</v>
      </c>
      <c r="BC1236" s="52" t="n">
        <v>0</v>
      </c>
      <c r="BD1236" s="53" t="n">
        <v>0</v>
      </c>
      <c r="BE1236" s="52" t="n">
        <v>0</v>
      </c>
      <c r="BF1236" s="51" t="n">
        <v>0</v>
      </c>
    </row>
    <row r="1237">
      <c r="A1237">
        <f>HYPERLINK("https://www.walmart.com/ip/762289566", "762289566")</f>
        <v/>
      </c>
      <c r="B1237" t="inlineStr">
        <is>
          <t>Tirrinia Insulated Lunch Bag for Women, Men, and Kids, Leakproof Thermal Reusable Insulated Cooler Bag for Office, Work, Back to School, Medium, Light Grey, 8L, 10" X 8.5" X 9.3"</t>
        </is>
      </c>
      <c r="C1237" t="inlineStr">
        <is>
          <t>1TRLB701LGY-N</t>
        </is>
      </c>
      <c r="D1237" t="inlineStr">
        <is>
          <t>Reusable Lunch Bags &amp; Boxes</t>
        </is>
      </c>
      <c r="E1237" t="inlineStr">
        <is>
          <t>Tirrinia</t>
        </is>
      </c>
      <c r="F1237" t="inlineStr">
        <is>
          <t>Q2-Target,Brand Camp VD,Lunch Bag,WFS,Lunch Bags,WFS Item</t>
        </is>
      </c>
      <c r="G1237" s="48" t="n">
        <v>0</v>
      </c>
      <c r="H1237" s="49" t="n">
        <v>0</v>
      </c>
      <c r="I1237" s="49" t="n">
        <v>5</v>
      </c>
      <c r="J1237" s="50" t="n">
        <v>0</v>
      </c>
      <c r="K1237" s="51" t="n">
        <v>0</v>
      </c>
      <c r="L1237" s="52" t="n">
        <v>0</v>
      </c>
      <c r="M1237" s="52" t="n">
        <v>0</v>
      </c>
      <c r="N1237" s="52" t="n">
        <v>0</v>
      </c>
      <c r="O1237" s="53" t="n">
        <v>0</v>
      </c>
      <c r="P1237" s="52" t="n">
        <v>0</v>
      </c>
      <c r="Q1237" s="53" t="n">
        <v>0</v>
      </c>
      <c r="R1237" s="52" t="n">
        <v>0</v>
      </c>
      <c r="S1237" s="51" t="n">
        <v>0</v>
      </c>
      <c r="T1237" s="48" t="n">
        <v>0</v>
      </c>
      <c r="U1237" s="49" t="n">
        <v>0</v>
      </c>
      <c r="V1237" s="49" t="n">
        <v>1</v>
      </c>
      <c r="W1237" s="50" t="n">
        <v>0</v>
      </c>
      <c r="X1237" s="51" t="n">
        <v>0</v>
      </c>
      <c r="Y1237" s="52" t="n">
        <v>0</v>
      </c>
      <c r="Z1237" s="52" t="n">
        <v>0</v>
      </c>
      <c r="AA1237" s="52" t="n">
        <v>0</v>
      </c>
      <c r="AB1237" s="53" t="n">
        <v>0</v>
      </c>
      <c r="AC1237" s="52" t="n">
        <v>0</v>
      </c>
      <c r="AD1237" s="53" t="n">
        <v>0</v>
      </c>
      <c r="AE1237" s="52" t="n">
        <v>0</v>
      </c>
      <c r="AF1237" s="51" t="n">
        <v>0</v>
      </c>
      <c r="AG1237" s="48" t="n">
        <v>0</v>
      </c>
      <c r="AH1237" s="49" t="n">
        <v>0</v>
      </c>
      <c r="AI1237" s="49" t="n">
        <v>3</v>
      </c>
      <c r="AJ1237" s="50" t="n">
        <v>0</v>
      </c>
      <c r="AK1237" s="51" t="n">
        <v>0</v>
      </c>
      <c r="AL1237" s="52" t="n">
        <v>0</v>
      </c>
      <c r="AM1237" s="52" t="n">
        <v>0</v>
      </c>
      <c r="AN1237" s="52" t="n">
        <v>0</v>
      </c>
      <c r="AO1237" s="53" t="n">
        <v>0</v>
      </c>
      <c r="AP1237" s="52" t="n">
        <v>0</v>
      </c>
      <c r="AQ1237" s="53" t="n">
        <v>0</v>
      </c>
      <c r="AR1237" s="52" t="n">
        <v>0</v>
      </c>
      <c r="AS1237" s="51" t="n">
        <v>0</v>
      </c>
      <c r="AT1237" s="48" t="n">
        <v>0</v>
      </c>
      <c r="AU1237" s="49" t="n">
        <v>0</v>
      </c>
      <c r="AV1237" s="49" t="n">
        <v>4</v>
      </c>
      <c r="AW1237" s="50" t="n">
        <v>0</v>
      </c>
      <c r="AX1237" s="51" t="n">
        <v>0</v>
      </c>
      <c r="AY1237" s="52" t="n">
        <v>0</v>
      </c>
      <c r="AZ1237" s="52" t="n">
        <v>0</v>
      </c>
      <c r="BA1237" s="52" t="n">
        <v>0</v>
      </c>
      <c r="BB1237" s="53" t="n">
        <v>0</v>
      </c>
      <c r="BC1237" s="52" t="n">
        <v>0</v>
      </c>
      <c r="BD1237" s="53" t="n">
        <v>0</v>
      </c>
      <c r="BE1237" s="52" t="n">
        <v>0</v>
      </c>
      <c r="BF1237" s="51" t="n">
        <v>0</v>
      </c>
    </row>
    <row r="1238">
      <c r="A1238">
        <f>HYPERLINK("https://www.walmart.com/ip/762459009", "762459009")</f>
        <v/>
      </c>
      <c r="B1238" t="inlineStr">
        <is>
          <t>Flyingstar Lunch Bag for Women Men, Insulated Lunch Tote for Working/School/Picnic Fashionable Cooler Bag</t>
        </is>
      </c>
      <c r="C1238" t="inlineStr">
        <is>
          <t>1WMLB704GYSTR</t>
        </is>
      </c>
      <c r="D1238" t="inlineStr">
        <is>
          <t>Reusable Lunch Bags &amp; Boxes</t>
        </is>
      </c>
      <c r="E1238" t="inlineStr">
        <is>
          <t>Flyingstar</t>
        </is>
      </c>
      <c r="F1238" t="inlineStr">
        <is>
          <t>Q2-Target,Lunch Bag,WFS,Lunch Bags,WFS Item</t>
        </is>
      </c>
      <c r="G1238" s="48" t="n">
        <v>0</v>
      </c>
      <c r="H1238" s="49" t="n">
        <v>0</v>
      </c>
      <c r="I1238" s="49" t="n">
        <v>0</v>
      </c>
      <c r="J1238" s="50" t="n">
        <v>0</v>
      </c>
      <c r="K1238" s="51" t="n">
        <v>0</v>
      </c>
      <c r="L1238" s="52" t="n">
        <v>0</v>
      </c>
      <c r="M1238" s="52" t="n">
        <v>0</v>
      </c>
      <c r="N1238" s="52" t="n">
        <v>0</v>
      </c>
      <c r="O1238" s="53" t="n">
        <v>0</v>
      </c>
      <c r="P1238" s="52" t="n">
        <v>0</v>
      </c>
      <c r="Q1238" s="53" t="n">
        <v>0</v>
      </c>
      <c r="R1238" s="52" t="n">
        <v>0</v>
      </c>
      <c r="S1238" s="51" t="n">
        <v>0</v>
      </c>
      <c r="T1238" s="48" t="n">
        <v>0</v>
      </c>
      <c r="U1238" s="49" t="n">
        <v>0</v>
      </c>
      <c r="V1238" s="49" t="n">
        <v>0</v>
      </c>
      <c r="W1238" s="50" t="n">
        <v>0</v>
      </c>
      <c r="X1238" s="51" t="n">
        <v>0</v>
      </c>
      <c r="Y1238" s="52" t="n">
        <v>0</v>
      </c>
      <c r="Z1238" s="52" t="n">
        <v>0</v>
      </c>
      <c r="AA1238" s="52" t="n">
        <v>0</v>
      </c>
      <c r="AB1238" s="53" t="n">
        <v>0</v>
      </c>
      <c r="AC1238" s="52" t="n">
        <v>0</v>
      </c>
      <c r="AD1238" s="53" t="n">
        <v>0</v>
      </c>
      <c r="AE1238" s="52" t="n">
        <v>0</v>
      </c>
      <c r="AF1238" s="51" t="n">
        <v>0</v>
      </c>
      <c r="AG1238" s="48" t="n">
        <v>0</v>
      </c>
      <c r="AH1238" s="49" t="n">
        <v>0</v>
      </c>
      <c r="AI1238" s="49" t="n">
        <v>0</v>
      </c>
      <c r="AJ1238" s="50" t="n">
        <v>0</v>
      </c>
      <c r="AK1238" s="51" t="n">
        <v>0</v>
      </c>
      <c r="AL1238" s="52" t="n">
        <v>0</v>
      </c>
      <c r="AM1238" s="52" t="n">
        <v>0</v>
      </c>
      <c r="AN1238" s="52" t="n">
        <v>0</v>
      </c>
      <c r="AO1238" s="53" t="n">
        <v>0</v>
      </c>
      <c r="AP1238" s="52" t="n">
        <v>0</v>
      </c>
      <c r="AQ1238" s="53" t="n">
        <v>0</v>
      </c>
      <c r="AR1238" s="52" t="n">
        <v>0</v>
      </c>
      <c r="AS1238" s="51" t="n">
        <v>0</v>
      </c>
      <c r="AT1238" s="48" t="n">
        <v>0</v>
      </c>
      <c r="AU1238" s="49" t="n">
        <v>0</v>
      </c>
      <c r="AV1238" s="49" t="n">
        <v>0</v>
      </c>
      <c r="AW1238" s="50" t="n">
        <v>0</v>
      </c>
      <c r="AX1238" s="51" t="n">
        <v>0</v>
      </c>
      <c r="AY1238" s="52" t="n">
        <v>0</v>
      </c>
      <c r="AZ1238" s="52" t="n">
        <v>0</v>
      </c>
      <c r="BA1238" s="52" t="n">
        <v>0</v>
      </c>
      <c r="BB1238" s="53" t="n">
        <v>0</v>
      </c>
      <c r="BC1238" s="52" t="n">
        <v>0</v>
      </c>
      <c r="BD1238" s="53" t="n">
        <v>0</v>
      </c>
      <c r="BE1238" s="52" t="n">
        <v>0</v>
      </c>
      <c r="BF1238" s="51" t="n">
        <v>0</v>
      </c>
    </row>
    <row r="1239">
      <c r="A1239">
        <f>HYPERLINK("https://www.walmart.com/ip/763048311", "763048311")</f>
        <v/>
      </c>
      <c r="B1239" t="inlineStr">
        <is>
          <t>Tirrinia Two Pieces Tankini Swimsuit for Women Open Back Swimwear Bathing Suits Set, Black, XLarge</t>
        </is>
      </c>
      <c r="C1239" t="inlineStr">
        <is>
          <t>1TRSS005BK-XL</t>
        </is>
      </c>
      <c r="D1239" t="inlineStr">
        <is>
          <t>Bikini &amp; Tankini Tops</t>
        </is>
      </c>
      <c r="E1239" t="inlineStr">
        <is>
          <t>Tirrinia</t>
        </is>
      </c>
      <c r="F1239" t="inlineStr">
        <is>
          <t>Optimized</t>
        </is>
      </c>
      <c r="G1239" s="48" t="n">
        <v>0</v>
      </c>
      <c r="H1239" s="49" t="n">
        <v>0</v>
      </c>
      <c r="I1239" s="49" t="n">
        <v>0</v>
      </c>
      <c r="J1239" s="50" t="n">
        <v>0</v>
      </c>
      <c r="K1239" s="51" t="n">
        <v>0</v>
      </c>
      <c r="L1239" s="52" t="n">
        <v>0</v>
      </c>
      <c r="M1239" s="52" t="n">
        <v>0</v>
      </c>
      <c r="N1239" s="52" t="n">
        <v>0</v>
      </c>
      <c r="O1239" s="53" t="n">
        <v>0</v>
      </c>
      <c r="P1239" s="52" t="n">
        <v>0</v>
      </c>
      <c r="Q1239" s="53" t="n">
        <v>0</v>
      </c>
      <c r="R1239" s="52" t="n">
        <v>0</v>
      </c>
      <c r="S1239" s="51" t="n">
        <v>0</v>
      </c>
      <c r="T1239" s="48" t="n">
        <v>0</v>
      </c>
      <c r="U1239" s="49" t="n">
        <v>0</v>
      </c>
      <c r="V1239" s="49" t="n">
        <v>0</v>
      </c>
      <c r="W1239" s="50" t="n">
        <v>0</v>
      </c>
      <c r="X1239" s="51" t="n">
        <v>0</v>
      </c>
      <c r="Y1239" s="52" t="n">
        <v>0</v>
      </c>
      <c r="Z1239" s="52" t="n">
        <v>0</v>
      </c>
      <c r="AA1239" s="52" t="n">
        <v>0</v>
      </c>
      <c r="AB1239" s="53" t="n">
        <v>0</v>
      </c>
      <c r="AC1239" s="52" t="n">
        <v>0</v>
      </c>
      <c r="AD1239" s="53" t="n">
        <v>0</v>
      </c>
      <c r="AE1239" s="52" t="n">
        <v>0</v>
      </c>
      <c r="AF1239" s="51" t="n">
        <v>0</v>
      </c>
      <c r="AG1239" s="48" t="n">
        <v>0</v>
      </c>
      <c r="AH1239" s="49" t="n">
        <v>0</v>
      </c>
      <c r="AI1239" s="49" t="n">
        <v>0</v>
      </c>
      <c r="AJ1239" s="50" t="n">
        <v>0</v>
      </c>
      <c r="AK1239" s="51" t="n">
        <v>0</v>
      </c>
      <c r="AL1239" s="52" t="n">
        <v>0</v>
      </c>
      <c r="AM1239" s="52" t="n">
        <v>0</v>
      </c>
      <c r="AN1239" s="52" t="n">
        <v>0</v>
      </c>
      <c r="AO1239" s="53" t="n">
        <v>0</v>
      </c>
      <c r="AP1239" s="52" t="n">
        <v>0</v>
      </c>
      <c r="AQ1239" s="53" t="n">
        <v>0</v>
      </c>
      <c r="AR1239" s="52" t="n">
        <v>0</v>
      </c>
      <c r="AS1239" s="51" t="n">
        <v>0</v>
      </c>
      <c r="AT1239" s="48" t="n">
        <v>0</v>
      </c>
      <c r="AU1239" s="49" t="n">
        <v>0</v>
      </c>
      <c r="AV1239" s="49" t="n">
        <v>0</v>
      </c>
      <c r="AW1239" s="50" t="n">
        <v>0</v>
      </c>
      <c r="AX1239" s="51" t="n">
        <v>0</v>
      </c>
      <c r="AY1239" s="52" t="n">
        <v>0</v>
      </c>
      <c r="AZ1239" s="52" t="n">
        <v>0</v>
      </c>
      <c r="BA1239" s="52" t="n">
        <v>0</v>
      </c>
      <c r="BB1239" s="53" t="n">
        <v>0</v>
      </c>
      <c r="BC1239" s="52" t="n">
        <v>0</v>
      </c>
      <c r="BD1239" s="53" t="n">
        <v>0</v>
      </c>
      <c r="BE1239" s="52" t="n">
        <v>0</v>
      </c>
      <c r="BF1239" s="51" t="n">
        <v>0</v>
      </c>
    </row>
    <row r="1240">
      <c r="A1240">
        <f>HYPERLINK("https://www.walmart.com/ip/763058423", "763058423")</f>
        <v/>
      </c>
      <c r="B1240" t="inlineStr">
        <is>
          <t>Catalonia Sherpa Wearable Blanket Poncho for Adult Women Men, Wrap Blanket Cape with Pocket, Warm, Soft, Cozy, Snuggly, Comfort Gift, No Sleeves, Plaid Buffalo Christmas</t>
        </is>
      </c>
      <c r="C1240" t="inlineStr">
        <is>
          <t>1CTBP110PRD</t>
        </is>
      </c>
      <c r="D1240" t="inlineStr">
        <is>
          <t>Throws</t>
        </is>
      </c>
      <c r="E1240" t="inlineStr">
        <is>
          <t>Catalonia</t>
        </is>
      </c>
      <c r="F1240" t="inlineStr">
        <is>
          <t>Q2-Target,Hero 5 Holidays,WFS,Coupon_Discount,WFS Item</t>
        </is>
      </c>
      <c r="G1240" s="48" t="n">
        <v>0</v>
      </c>
      <c r="H1240" s="49" t="n">
        <v>0</v>
      </c>
      <c r="I1240" s="49" t="n">
        <v>0</v>
      </c>
      <c r="J1240" s="50" t="n">
        <v>0</v>
      </c>
      <c r="K1240" s="51" t="n">
        <v>0</v>
      </c>
      <c r="L1240" s="52" t="n">
        <v>0</v>
      </c>
      <c r="M1240" s="52" t="n">
        <v>0</v>
      </c>
      <c r="N1240" s="52" t="n">
        <v>0</v>
      </c>
      <c r="O1240" s="53" t="n">
        <v>0</v>
      </c>
      <c r="P1240" s="52" t="n">
        <v>0</v>
      </c>
      <c r="Q1240" s="53" t="n">
        <v>0</v>
      </c>
      <c r="R1240" s="52" t="n">
        <v>0</v>
      </c>
      <c r="S1240" s="51" t="n">
        <v>0</v>
      </c>
      <c r="T1240" s="48" t="n">
        <v>0</v>
      </c>
      <c r="U1240" s="49" t="n">
        <v>0</v>
      </c>
      <c r="V1240" s="49" t="n">
        <v>0</v>
      </c>
      <c r="W1240" s="50" t="n">
        <v>0</v>
      </c>
      <c r="X1240" s="51" t="n">
        <v>0</v>
      </c>
      <c r="Y1240" s="52" t="n">
        <v>0</v>
      </c>
      <c r="Z1240" s="52" t="n">
        <v>0</v>
      </c>
      <c r="AA1240" s="52" t="n">
        <v>0</v>
      </c>
      <c r="AB1240" s="53" t="n">
        <v>0</v>
      </c>
      <c r="AC1240" s="52" t="n">
        <v>0</v>
      </c>
      <c r="AD1240" s="53" t="n">
        <v>0</v>
      </c>
      <c r="AE1240" s="52" t="n">
        <v>0</v>
      </c>
      <c r="AF1240" s="51" t="n">
        <v>0</v>
      </c>
      <c r="AG1240" s="48" t="n">
        <v>0</v>
      </c>
      <c r="AH1240" s="49" t="n">
        <v>0</v>
      </c>
      <c r="AI1240" s="49" t="n">
        <v>0</v>
      </c>
      <c r="AJ1240" s="50" t="n">
        <v>0</v>
      </c>
      <c r="AK1240" s="51" t="n">
        <v>0</v>
      </c>
      <c r="AL1240" s="52" t="n">
        <v>0</v>
      </c>
      <c r="AM1240" s="52" t="n">
        <v>0</v>
      </c>
      <c r="AN1240" s="52" t="n">
        <v>0</v>
      </c>
      <c r="AO1240" s="53" t="n">
        <v>0</v>
      </c>
      <c r="AP1240" s="52" t="n">
        <v>0</v>
      </c>
      <c r="AQ1240" s="53" t="n">
        <v>0</v>
      </c>
      <c r="AR1240" s="52" t="n">
        <v>0</v>
      </c>
      <c r="AS1240" s="51" t="n">
        <v>0</v>
      </c>
      <c r="AT1240" s="48" t="n">
        <v>0</v>
      </c>
      <c r="AU1240" s="49" t="n">
        <v>0</v>
      </c>
      <c r="AV1240" s="49" t="n">
        <v>0</v>
      </c>
      <c r="AW1240" s="50" t="n">
        <v>0</v>
      </c>
      <c r="AX1240" s="51" t="n">
        <v>0</v>
      </c>
      <c r="AY1240" s="52" t="n">
        <v>0</v>
      </c>
      <c r="AZ1240" s="52" t="n">
        <v>0</v>
      </c>
      <c r="BA1240" s="52" t="n">
        <v>0</v>
      </c>
      <c r="BB1240" s="53" t="n">
        <v>0</v>
      </c>
      <c r="BC1240" s="52" t="n">
        <v>0</v>
      </c>
      <c r="BD1240" s="53" t="n">
        <v>0</v>
      </c>
      <c r="BE1240" s="52" t="n">
        <v>0</v>
      </c>
      <c r="BF1240" s="51" t="n">
        <v>0</v>
      </c>
    </row>
    <row r="1241">
      <c r="A1241">
        <f>HYPERLINK("https://www.walmart.com/ip/765909574", "765909574")</f>
        <v/>
      </c>
      <c r="B1241" t="inlineStr">
        <is>
          <t>Tirrinia 2 Bottle Wine Tote Carrier - Leakproof &amp; Insulated Padded Versatile Wine Cooler Bag for Travel, BYOB Restaurant, Wine Tasting, Party, Dinner, Great Christmas Day Gift for Wine Lover, Grey</t>
        </is>
      </c>
      <c r="C1241" t="inlineStr">
        <is>
          <t>1KTWB220GY</t>
        </is>
      </c>
      <c r="D1241" t="inlineStr">
        <is>
          <t>Wine Totes, Bags &amp; Backpacks</t>
        </is>
      </c>
      <c r="E1241" t="inlineStr">
        <is>
          <t>Tirrinia</t>
        </is>
      </c>
      <c r="F1241" t="inlineStr">
        <is>
          <t>Wine,Wine Bag Camp,Christmas,WFS,Wine WFS,Valentine,WFS Item</t>
        </is>
      </c>
      <c r="G1241" s="48" t="n">
        <v>0</v>
      </c>
      <c r="H1241" s="49" t="n">
        <v>0</v>
      </c>
      <c r="I1241" s="49" t="n">
        <v>6</v>
      </c>
      <c r="J1241" s="50" t="n">
        <v>0</v>
      </c>
      <c r="K1241" s="51" t="n">
        <v>9</v>
      </c>
      <c r="L1241" s="52" t="n">
        <v>3.22</v>
      </c>
      <c r="M1241" s="52" t="n">
        <v>0</v>
      </c>
      <c r="N1241" s="52" t="n">
        <v>0</v>
      </c>
      <c r="O1241" s="53" t="n">
        <v>0.0029</v>
      </c>
      <c r="P1241" s="52" t="n">
        <v>0.3577777777777778</v>
      </c>
      <c r="Q1241" s="53" t="n">
        <v>0</v>
      </c>
      <c r="R1241" s="52" t="n">
        <v>0</v>
      </c>
      <c r="S1241" s="51" t="n">
        <v>3104</v>
      </c>
      <c r="T1241" s="48" t="n">
        <v>0</v>
      </c>
      <c r="U1241" s="49" t="n">
        <v>0</v>
      </c>
      <c r="V1241" s="49" t="n">
        <v>3</v>
      </c>
      <c r="W1241" s="50" t="n">
        <v>0</v>
      </c>
      <c r="X1241" s="51" t="n">
        <v>12</v>
      </c>
      <c r="Y1241" s="52" t="n">
        <v>4.45</v>
      </c>
      <c r="Z1241" s="52" t="n">
        <v>36.98</v>
      </c>
      <c r="AA1241" s="52" t="n">
        <v>8.31</v>
      </c>
      <c r="AB1241" s="53" t="n">
        <v>0.0034</v>
      </c>
      <c r="AC1241" s="52" t="n">
        <v>0.3708333333333333</v>
      </c>
      <c r="AD1241" s="53" t="n">
        <v>0</v>
      </c>
      <c r="AE1241" s="52" t="n">
        <v>0</v>
      </c>
      <c r="AF1241" s="51" t="n">
        <v>3521</v>
      </c>
      <c r="AG1241" s="48" t="n">
        <v>20.99</v>
      </c>
      <c r="AH1241" s="49" t="n">
        <v>1</v>
      </c>
      <c r="AI1241" s="49" t="n">
        <v>5</v>
      </c>
      <c r="AJ1241" s="50" t="n">
        <v>0.2</v>
      </c>
      <c r="AK1241" s="51" t="n">
        <v>6</v>
      </c>
      <c r="AL1241" s="52" t="n">
        <v>2.38</v>
      </c>
      <c r="AM1241" s="52" t="n">
        <v>17.99</v>
      </c>
      <c r="AN1241" s="52" t="n">
        <v>7.56</v>
      </c>
      <c r="AO1241" s="53" t="n">
        <v>0.002</v>
      </c>
      <c r="AP1241" s="52" t="n">
        <v>0.3966666666666667</v>
      </c>
      <c r="AQ1241" s="53" t="n">
        <v>0.1133873272987137</v>
      </c>
      <c r="AR1241" s="52" t="n">
        <v>20.99</v>
      </c>
      <c r="AS1241" s="51" t="n">
        <v>2955</v>
      </c>
      <c r="AT1241" s="48" t="n">
        <v>0</v>
      </c>
      <c r="AU1241" s="49" t="n">
        <v>0</v>
      </c>
      <c r="AV1241" s="49" t="n">
        <v>4</v>
      </c>
      <c r="AW1241" s="50" t="n">
        <v>0</v>
      </c>
      <c r="AX1241" s="51" t="n">
        <v>6</v>
      </c>
      <c r="AY1241" s="52" t="n">
        <v>2.31</v>
      </c>
      <c r="AZ1241" s="52" t="n">
        <v>0</v>
      </c>
      <c r="BA1241" s="52" t="n">
        <v>0</v>
      </c>
      <c r="BB1241" s="53" t="n">
        <v>0.002</v>
      </c>
      <c r="BC1241" s="52" t="n">
        <v>0.385</v>
      </c>
      <c r="BD1241" s="53" t="n">
        <v>0</v>
      </c>
      <c r="BE1241" s="52" t="n">
        <v>0</v>
      </c>
      <c r="BF1241" s="51" t="n">
        <v>3054</v>
      </c>
    </row>
    <row r="1242">
      <c r="A1242">
        <f>HYPERLINK("https://www.walmart.com/ip/766214747", "766214747")</f>
        <v/>
      </c>
      <c r="B1242" t="inlineStr">
        <is>
          <t>Sherpa Slipper Socks for Women,Winter Indoor Home Non Skid Booties</t>
        </is>
      </c>
      <c r="C1242" t="inlineStr">
        <is>
          <t>1CTST200RD-1</t>
        </is>
      </c>
      <c r="D1242" t="inlineStr">
        <is>
          <t>Socks</t>
        </is>
      </c>
      <c r="E1242" t="inlineStr">
        <is>
          <t>Catalonia</t>
        </is>
      </c>
      <c r="F1242" t="inlineStr">
        <is>
          <t>WFS,WFS Item</t>
        </is>
      </c>
      <c r="G1242" s="48" t="n">
        <v>0</v>
      </c>
      <c r="H1242" s="49" t="n">
        <v>0</v>
      </c>
      <c r="I1242" s="49" t="n">
        <v>0</v>
      </c>
      <c r="J1242" s="50" t="n">
        <v>0</v>
      </c>
      <c r="K1242" s="51" t="n">
        <v>0</v>
      </c>
      <c r="L1242" s="52" t="n">
        <v>0</v>
      </c>
      <c r="M1242" s="52" t="n">
        <v>0</v>
      </c>
      <c r="N1242" s="52" t="n">
        <v>0</v>
      </c>
      <c r="O1242" s="53" t="n">
        <v>0</v>
      </c>
      <c r="P1242" s="52" t="n">
        <v>0</v>
      </c>
      <c r="Q1242" s="53" t="n">
        <v>0</v>
      </c>
      <c r="R1242" s="52" t="n">
        <v>0</v>
      </c>
      <c r="S1242" s="51" t="n">
        <v>0</v>
      </c>
      <c r="T1242" s="48" t="n">
        <v>0</v>
      </c>
      <c r="U1242" s="49" t="n">
        <v>0</v>
      </c>
      <c r="V1242" s="49" t="n">
        <v>0</v>
      </c>
      <c r="W1242" s="50" t="n">
        <v>0</v>
      </c>
      <c r="X1242" s="51" t="n">
        <v>0</v>
      </c>
      <c r="Y1242" s="52" t="n">
        <v>0</v>
      </c>
      <c r="Z1242" s="52" t="n">
        <v>0</v>
      </c>
      <c r="AA1242" s="52" t="n">
        <v>0</v>
      </c>
      <c r="AB1242" s="53" t="n">
        <v>0</v>
      </c>
      <c r="AC1242" s="52" t="n">
        <v>0</v>
      </c>
      <c r="AD1242" s="53" t="n">
        <v>0</v>
      </c>
      <c r="AE1242" s="52" t="n">
        <v>0</v>
      </c>
      <c r="AF1242" s="51" t="n">
        <v>0</v>
      </c>
      <c r="AG1242" s="48" t="n">
        <v>0</v>
      </c>
      <c r="AH1242" s="49" t="n">
        <v>0</v>
      </c>
      <c r="AI1242" s="49" t="n">
        <v>0</v>
      </c>
      <c r="AJ1242" s="50" t="n">
        <v>0</v>
      </c>
      <c r="AK1242" s="51" t="n">
        <v>0</v>
      </c>
      <c r="AL1242" s="52" t="n">
        <v>0</v>
      </c>
      <c r="AM1242" s="52" t="n">
        <v>0</v>
      </c>
      <c r="AN1242" s="52" t="n">
        <v>0</v>
      </c>
      <c r="AO1242" s="53" t="n">
        <v>0</v>
      </c>
      <c r="AP1242" s="52" t="n">
        <v>0</v>
      </c>
      <c r="AQ1242" s="53" t="n">
        <v>0</v>
      </c>
      <c r="AR1242" s="52" t="n">
        <v>0</v>
      </c>
      <c r="AS1242" s="51" t="n">
        <v>0</v>
      </c>
      <c r="AT1242" s="48" t="n">
        <v>0</v>
      </c>
      <c r="AU1242" s="49" t="n">
        <v>0</v>
      </c>
      <c r="AV1242" s="49" t="n">
        <v>0</v>
      </c>
      <c r="AW1242" s="50" t="n">
        <v>0</v>
      </c>
      <c r="AX1242" s="51" t="n">
        <v>0</v>
      </c>
      <c r="AY1242" s="52" t="n">
        <v>0</v>
      </c>
      <c r="AZ1242" s="52" t="n">
        <v>0</v>
      </c>
      <c r="BA1242" s="52" t="n">
        <v>0</v>
      </c>
      <c r="BB1242" s="53" t="n">
        <v>0</v>
      </c>
      <c r="BC1242" s="52" t="n">
        <v>0</v>
      </c>
      <c r="BD1242" s="53" t="n">
        <v>0</v>
      </c>
      <c r="BE1242" s="52" t="n">
        <v>0</v>
      </c>
      <c r="BF1242" s="51" t="n">
        <v>0</v>
      </c>
    </row>
    <row r="1243">
      <c r="A1243">
        <f>HYPERLINK("https://www.walmart.com/ip/766236233", "766236233")</f>
        <v/>
      </c>
      <c r="B1243" t="inlineStr">
        <is>
          <t>Napa Soft Plush Fleece Throw Blanket 50”x 70” Microfiber Moroccan Lightweight Warm Bed Sofa Couch Brown</t>
        </is>
      </c>
      <c r="C1243" t="inlineStr">
        <is>
          <t>K8022-BRN</t>
        </is>
      </c>
      <c r="D1243" t="inlineStr">
        <is>
          <t>Throws</t>
        </is>
      </c>
      <c r="E1243" t="inlineStr">
        <is>
          <t>NAPA</t>
        </is>
      </c>
      <c r="F1243" t="inlineStr">
        <is>
          <t>Optimized</t>
        </is>
      </c>
      <c r="G1243" s="48" t="n">
        <v>0</v>
      </c>
      <c r="H1243" s="49" t="n">
        <v>0</v>
      </c>
      <c r="I1243" s="49" t="n">
        <v>0</v>
      </c>
      <c r="J1243" s="50" t="n">
        <v>0</v>
      </c>
      <c r="K1243" s="51" t="n">
        <v>0</v>
      </c>
      <c r="L1243" s="52" t="n">
        <v>0</v>
      </c>
      <c r="M1243" s="52" t="n">
        <v>0</v>
      </c>
      <c r="N1243" s="52" t="n">
        <v>0</v>
      </c>
      <c r="O1243" s="53" t="n">
        <v>0</v>
      </c>
      <c r="P1243" s="52" t="n">
        <v>0</v>
      </c>
      <c r="Q1243" s="53" t="n">
        <v>0</v>
      </c>
      <c r="R1243" s="52" t="n">
        <v>0</v>
      </c>
      <c r="S1243" s="51" t="n">
        <v>0</v>
      </c>
      <c r="T1243" s="48" t="n">
        <v>0</v>
      </c>
      <c r="U1243" s="49" t="n">
        <v>0</v>
      </c>
      <c r="V1243" s="49" t="n">
        <v>0</v>
      </c>
      <c r="W1243" s="50" t="n">
        <v>0</v>
      </c>
      <c r="X1243" s="51" t="n">
        <v>0</v>
      </c>
      <c r="Y1243" s="52" t="n">
        <v>0</v>
      </c>
      <c r="Z1243" s="52" t="n">
        <v>0</v>
      </c>
      <c r="AA1243" s="52" t="n">
        <v>0</v>
      </c>
      <c r="AB1243" s="53" t="n">
        <v>0</v>
      </c>
      <c r="AC1243" s="52" t="n">
        <v>0</v>
      </c>
      <c r="AD1243" s="53" t="n">
        <v>0</v>
      </c>
      <c r="AE1243" s="52" t="n">
        <v>0</v>
      </c>
      <c r="AF1243" s="51" t="n">
        <v>0</v>
      </c>
      <c r="AG1243" s="48" t="n">
        <v>0</v>
      </c>
      <c r="AH1243" s="49" t="n">
        <v>0</v>
      </c>
      <c r="AI1243" s="49" t="n">
        <v>0</v>
      </c>
      <c r="AJ1243" s="50" t="n">
        <v>0</v>
      </c>
      <c r="AK1243" s="51" t="n">
        <v>0</v>
      </c>
      <c r="AL1243" s="52" t="n">
        <v>0</v>
      </c>
      <c r="AM1243" s="52" t="n">
        <v>0</v>
      </c>
      <c r="AN1243" s="52" t="n">
        <v>0</v>
      </c>
      <c r="AO1243" s="53" t="n">
        <v>0</v>
      </c>
      <c r="AP1243" s="52" t="n">
        <v>0</v>
      </c>
      <c r="AQ1243" s="53" t="n">
        <v>0</v>
      </c>
      <c r="AR1243" s="52" t="n">
        <v>0</v>
      </c>
      <c r="AS1243" s="51" t="n">
        <v>0</v>
      </c>
      <c r="AT1243" s="48" t="n">
        <v>0</v>
      </c>
      <c r="AU1243" s="49" t="n">
        <v>0</v>
      </c>
      <c r="AV1243" s="49" t="n">
        <v>0</v>
      </c>
      <c r="AW1243" s="50" t="n">
        <v>0</v>
      </c>
      <c r="AX1243" s="51" t="n">
        <v>0</v>
      </c>
      <c r="AY1243" s="52" t="n">
        <v>0</v>
      </c>
      <c r="AZ1243" s="52" t="n">
        <v>0</v>
      </c>
      <c r="BA1243" s="52" t="n">
        <v>0</v>
      </c>
      <c r="BB1243" s="53" t="n">
        <v>0</v>
      </c>
      <c r="BC1243" s="52" t="n">
        <v>0</v>
      </c>
      <c r="BD1243" s="53" t="n">
        <v>0</v>
      </c>
      <c r="BE1243" s="52" t="n">
        <v>0</v>
      </c>
      <c r="BF1243" s="51" t="n">
        <v>0</v>
      </c>
    </row>
    <row r="1244">
      <c r="A1244">
        <f>HYPERLINK("https://www.walmart.com/ip/766256676", "766256676")</f>
        <v/>
      </c>
      <c r="B1244" t="inlineStr">
        <is>
          <t>Solaris Men Winter Ski Snow Gloves with Breathable Face Mask The Warmest 3M Insulation Waterproof Outdoor Snowboard Mitt</t>
        </is>
      </c>
      <c r="C1244" t="inlineStr">
        <is>
          <t>1SLWG301BKBK-M</t>
        </is>
      </c>
      <c r="D1244" t="inlineStr">
        <is>
          <t>Gloves &amp; Mittens</t>
        </is>
      </c>
      <c r="E1244" t="inlineStr">
        <is>
          <t>Solaris</t>
        </is>
      </c>
      <c r="F1244" t="inlineStr">
        <is>
          <t>Optimized</t>
        </is>
      </c>
      <c r="G1244" s="48" t="n">
        <v>0</v>
      </c>
      <c r="H1244" s="49" t="n">
        <v>0</v>
      </c>
      <c r="I1244" s="49" t="n">
        <v>0</v>
      </c>
      <c r="J1244" s="50" t="n">
        <v>0</v>
      </c>
      <c r="K1244" s="51" t="n">
        <v>0</v>
      </c>
      <c r="L1244" s="52" t="n">
        <v>0</v>
      </c>
      <c r="M1244" s="52" t="n">
        <v>0</v>
      </c>
      <c r="N1244" s="52" t="n">
        <v>0</v>
      </c>
      <c r="O1244" s="53" t="n">
        <v>0</v>
      </c>
      <c r="P1244" s="52" t="n">
        <v>0</v>
      </c>
      <c r="Q1244" s="53" t="n">
        <v>0</v>
      </c>
      <c r="R1244" s="52" t="n">
        <v>0</v>
      </c>
      <c r="S1244" s="51" t="n">
        <v>0</v>
      </c>
      <c r="T1244" s="48" t="n">
        <v>0</v>
      </c>
      <c r="U1244" s="49" t="n">
        <v>0</v>
      </c>
      <c r="V1244" s="49" t="n">
        <v>0</v>
      </c>
      <c r="W1244" s="50" t="n">
        <v>0</v>
      </c>
      <c r="X1244" s="51" t="n">
        <v>0</v>
      </c>
      <c r="Y1244" s="52" t="n">
        <v>0</v>
      </c>
      <c r="Z1244" s="52" t="n">
        <v>0</v>
      </c>
      <c r="AA1244" s="52" t="n">
        <v>0</v>
      </c>
      <c r="AB1244" s="53" t="n">
        <v>0</v>
      </c>
      <c r="AC1244" s="52" t="n">
        <v>0</v>
      </c>
      <c r="AD1244" s="53" t="n">
        <v>0</v>
      </c>
      <c r="AE1244" s="52" t="n">
        <v>0</v>
      </c>
      <c r="AF1244" s="51" t="n">
        <v>0</v>
      </c>
      <c r="AG1244" s="48" t="n">
        <v>0</v>
      </c>
      <c r="AH1244" s="49" t="n">
        <v>0</v>
      </c>
      <c r="AI1244" s="49" t="n">
        <v>0</v>
      </c>
      <c r="AJ1244" s="50" t="n">
        <v>0</v>
      </c>
      <c r="AK1244" s="51" t="n">
        <v>0</v>
      </c>
      <c r="AL1244" s="52" t="n">
        <v>0</v>
      </c>
      <c r="AM1244" s="52" t="n">
        <v>0</v>
      </c>
      <c r="AN1244" s="52" t="n">
        <v>0</v>
      </c>
      <c r="AO1244" s="53" t="n">
        <v>0</v>
      </c>
      <c r="AP1244" s="52" t="n">
        <v>0</v>
      </c>
      <c r="AQ1244" s="53" t="n">
        <v>0</v>
      </c>
      <c r="AR1244" s="52" t="n">
        <v>0</v>
      </c>
      <c r="AS1244" s="51" t="n">
        <v>0</v>
      </c>
      <c r="AT1244" s="48" t="n">
        <v>0</v>
      </c>
      <c r="AU1244" s="49" t="n">
        <v>0</v>
      </c>
      <c r="AV1244" s="49" t="n">
        <v>0</v>
      </c>
      <c r="AW1244" s="50" t="n">
        <v>0</v>
      </c>
      <c r="AX1244" s="51" t="n">
        <v>0</v>
      </c>
      <c r="AY1244" s="52" t="n">
        <v>0</v>
      </c>
      <c r="AZ1244" s="52" t="n">
        <v>0</v>
      </c>
      <c r="BA1244" s="52" t="n">
        <v>0</v>
      </c>
      <c r="BB1244" s="53" t="n">
        <v>0</v>
      </c>
      <c r="BC1244" s="52" t="n">
        <v>0</v>
      </c>
      <c r="BD1244" s="53" t="n">
        <v>0</v>
      </c>
      <c r="BE1244" s="52" t="n">
        <v>0</v>
      </c>
      <c r="BF1244" s="51" t="n">
        <v>0</v>
      </c>
    </row>
    <row r="1245">
      <c r="A1245">
        <f>HYPERLINK("https://www.walmart.com/ip/766276492", "766276492")</f>
        <v/>
      </c>
      <c r="B1245" t="inlineStr">
        <is>
          <t>Solaris Sun Hats UV Protection Wide Brim Hat Unisex Adult Multicolor</t>
        </is>
      </c>
      <c r="C1245" t="inlineStr">
        <is>
          <t>1SLSH910PK</t>
        </is>
      </c>
      <c r="D1245" t="inlineStr">
        <is>
          <t>Hats</t>
        </is>
      </c>
      <c r="E1245" t="inlineStr">
        <is>
          <t>Solaris</t>
        </is>
      </c>
      <c r="F1245" t="inlineStr">
        <is>
          <t>Hats,Batch 1 - TR</t>
        </is>
      </c>
      <c r="G1245" s="48" t="n">
        <v>0</v>
      </c>
      <c r="H1245" s="49" t="n">
        <v>0</v>
      </c>
      <c r="I1245" s="49" t="n">
        <v>0</v>
      </c>
      <c r="J1245" s="50" t="n">
        <v>0</v>
      </c>
      <c r="K1245" s="51" t="n">
        <v>0</v>
      </c>
      <c r="L1245" s="52" t="n">
        <v>0</v>
      </c>
      <c r="M1245" s="52" t="n">
        <v>0</v>
      </c>
      <c r="N1245" s="52" t="n">
        <v>0</v>
      </c>
      <c r="O1245" s="53" t="n">
        <v>0</v>
      </c>
      <c r="P1245" s="52" t="n">
        <v>0</v>
      </c>
      <c r="Q1245" s="53" t="n">
        <v>0</v>
      </c>
      <c r="R1245" s="52" t="n">
        <v>0</v>
      </c>
      <c r="S1245" s="51" t="n">
        <v>0</v>
      </c>
      <c r="T1245" s="48" t="n">
        <v>0</v>
      </c>
      <c r="U1245" s="49" t="n">
        <v>0</v>
      </c>
      <c r="V1245" s="49" t="n">
        <v>0</v>
      </c>
      <c r="W1245" s="50" t="n">
        <v>0</v>
      </c>
      <c r="X1245" s="51" t="n">
        <v>0</v>
      </c>
      <c r="Y1245" s="52" t="n">
        <v>0</v>
      </c>
      <c r="Z1245" s="52" t="n">
        <v>0</v>
      </c>
      <c r="AA1245" s="52" t="n">
        <v>0</v>
      </c>
      <c r="AB1245" s="53" t="n">
        <v>0</v>
      </c>
      <c r="AC1245" s="52" t="n">
        <v>0</v>
      </c>
      <c r="AD1245" s="53" t="n">
        <v>0</v>
      </c>
      <c r="AE1245" s="52" t="n">
        <v>0</v>
      </c>
      <c r="AF1245" s="51" t="n">
        <v>0</v>
      </c>
      <c r="AG1245" s="48" t="n">
        <v>17.99</v>
      </c>
      <c r="AH1245" s="49" t="n">
        <v>1</v>
      </c>
      <c r="AI1245" s="49" t="n">
        <v>0</v>
      </c>
      <c r="AJ1245" s="50" t="n">
        <v>0</v>
      </c>
      <c r="AK1245" s="51" t="n">
        <v>0</v>
      </c>
      <c r="AL1245" s="52" t="n">
        <v>0</v>
      </c>
      <c r="AM1245" s="52" t="n">
        <v>0</v>
      </c>
      <c r="AN1245" s="52" t="n">
        <v>0</v>
      </c>
      <c r="AO1245" s="53" t="n">
        <v>0</v>
      </c>
      <c r="AP1245" s="52" t="n">
        <v>0</v>
      </c>
      <c r="AQ1245" s="53" t="n">
        <v>0</v>
      </c>
      <c r="AR1245" s="52" t="n">
        <v>17.99</v>
      </c>
      <c r="AS1245" s="51" t="n">
        <v>0</v>
      </c>
      <c r="AT1245" s="48" t="n">
        <v>0</v>
      </c>
      <c r="AU1245" s="49" t="n">
        <v>0</v>
      </c>
      <c r="AV1245" s="49" t="n">
        <v>0</v>
      </c>
      <c r="AW1245" s="50" t="n">
        <v>0</v>
      </c>
      <c r="AX1245" s="51" t="n">
        <v>0</v>
      </c>
      <c r="AY1245" s="52" t="n">
        <v>0</v>
      </c>
      <c r="AZ1245" s="52" t="n">
        <v>0</v>
      </c>
      <c r="BA1245" s="52" t="n">
        <v>0</v>
      </c>
      <c r="BB1245" s="53" t="n">
        <v>0</v>
      </c>
      <c r="BC1245" s="52" t="n">
        <v>0</v>
      </c>
      <c r="BD1245" s="53" t="n">
        <v>0</v>
      </c>
      <c r="BE1245" s="52" t="n">
        <v>0</v>
      </c>
      <c r="BF1245" s="51" t="n">
        <v>0</v>
      </c>
    </row>
    <row r="1246">
      <c r="A1246">
        <f>HYPERLINK("https://www.walmart.com/ip/767166581", "767166581")</f>
        <v/>
      </c>
      <c r="B1246" t="inlineStr">
        <is>
          <t>Tirrinia Insulated 2 Bottle Wine Carrier Tote Cooler Bag for Travel Picnic Padded Champagne Glass</t>
        </is>
      </c>
      <c r="C1246" t="inlineStr">
        <is>
          <t>1TRWB230CH</t>
        </is>
      </c>
      <c r="D1246" t="inlineStr">
        <is>
          <t>Wine Totes, Bags &amp; Backpacks</t>
        </is>
      </c>
      <c r="E1246" t="inlineStr">
        <is>
          <t>Tirrinia</t>
        </is>
      </c>
      <c r="F1246" t="inlineStr">
        <is>
          <t>Wine,Christmas,Optimized,Valentine</t>
        </is>
      </c>
      <c r="G1246" s="48" t="n">
        <v>0</v>
      </c>
      <c r="H1246" s="49" t="n">
        <v>0</v>
      </c>
      <c r="I1246" s="49" t="n">
        <v>0</v>
      </c>
      <c r="J1246" s="50" t="n">
        <v>0</v>
      </c>
      <c r="K1246" s="51" t="n">
        <v>0</v>
      </c>
      <c r="L1246" s="52" t="n">
        <v>0</v>
      </c>
      <c r="M1246" s="52" t="n">
        <v>0</v>
      </c>
      <c r="N1246" s="52" t="n">
        <v>0</v>
      </c>
      <c r="O1246" s="53" t="n">
        <v>0</v>
      </c>
      <c r="P1246" s="52" t="n">
        <v>0</v>
      </c>
      <c r="Q1246" s="53" t="n">
        <v>0</v>
      </c>
      <c r="R1246" s="52" t="n">
        <v>0</v>
      </c>
      <c r="S1246" s="51" t="n">
        <v>0</v>
      </c>
      <c r="T1246" s="48" t="n">
        <v>0</v>
      </c>
      <c r="U1246" s="49" t="n">
        <v>0</v>
      </c>
      <c r="V1246" s="49" t="n">
        <v>0</v>
      </c>
      <c r="W1246" s="50" t="n">
        <v>0</v>
      </c>
      <c r="X1246" s="51" t="n">
        <v>0</v>
      </c>
      <c r="Y1246" s="52" t="n">
        <v>0</v>
      </c>
      <c r="Z1246" s="52" t="n">
        <v>0</v>
      </c>
      <c r="AA1246" s="52" t="n">
        <v>0</v>
      </c>
      <c r="AB1246" s="53" t="n">
        <v>0</v>
      </c>
      <c r="AC1246" s="52" t="n">
        <v>0</v>
      </c>
      <c r="AD1246" s="53" t="n">
        <v>0</v>
      </c>
      <c r="AE1246" s="52" t="n">
        <v>0</v>
      </c>
      <c r="AF1246" s="51" t="n">
        <v>0</v>
      </c>
      <c r="AG1246" s="48" t="n">
        <v>0</v>
      </c>
      <c r="AH1246" s="49" t="n">
        <v>0</v>
      </c>
      <c r="AI1246" s="49" t="n">
        <v>0</v>
      </c>
      <c r="AJ1246" s="50" t="n">
        <v>0</v>
      </c>
      <c r="AK1246" s="51" t="n">
        <v>0</v>
      </c>
      <c r="AL1246" s="52" t="n">
        <v>0</v>
      </c>
      <c r="AM1246" s="52" t="n">
        <v>0</v>
      </c>
      <c r="AN1246" s="52" t="n">
        <v>0</v>
      </c>
      <c r="AO1246" s="53" t="n">
        <v>0</v>
      </c>
      <c r="AP1246" s="52" t="n">
        <v>0</v>
      </c>
      <c r="AQ1246" s="53" t="n">
        <v>0</v>
      </c>
      <c r="AR1246" s="52" t="n">
        <v>0</v>
      </c>
      <c r="AS1246" s="51" t="n">
        <v>0</v>
      </c>
      <c r="AT1246" s="48" t="n">
        <v>0</v>
      </c>
      <c r="AU1246" s="49" t="n">
        <v>0</v>
      </c>
      <c r="AV1246" s="49" t="n">
        <v>0</v>
      </c>
      <c r="AW1246" s="50" t="n">
        <v>0</v>
      </c>
      <c r="AX1246" s="51" t="n">
        <v>0</v>
      </c>
      <c r="AY1246" s="52" t="n">
        <v>0</v>
      </c>
      <c r="AZ1246" s="52" t="n">
        <v>0</v>
      </c>
      <c r="BA1246" s="52" t="n">
        <v>0</v>
      </c>
      <c r="BB1246" s="53" t="n">
        <v>0</v>
      </c>
      <c r="BC1246" s="52" t="n">
        <v>0</v>
      </c>
      <c r="BD1246" s="53" t="n">
        <v>0</v>
      </c>
      <c r="BE1246" s="52" t="n">
        <v>0</v>
      </c>
      <c r="BF1246" s="51" t="n">
        <v>0</v>
      </c>
    </row>
    <row r="1247">
      <c r="A1247">
        <f>HYPERLINK("https://www.walmart.com/ip/768083940", "768083940")</f>
        <v/>
      </c>
      <c r="B1247" t="inlineStr">
        <is>
          <t>Microplush Sherpa Blanket with Sleeves for Women and Men Blue</t>
        </is>
      </c>
      <c r="C1247" t="inlineStr">
        <is>
          <t>1TRSN110BL</t>
        </is>
      </c>
      <c r="D1247" t="inlineStr">
        <is>
          <t>Throws</t>
        </is>
      </c>
      <c r="E1247" t="inlineStr">
        <is>
          <t>Tirrinia</t>
        </is>
      </c>
      <c r="F1247" t="inlineStr">
        <is>
          <t>WFS,Coupon_Discount,WFS Item</t>
        </is>
      </c>
      <c r="G1247" s="48" t="n">
        <v>0</v>
      </c>
      <c r="H1247" s="49" t="n">
        <v>0</v>
      </c>
      <c r="I1247" s="49" t="n">
        <v>0</v>
      </c>
      <c r="J1247" s="50" t="n">
        <v>0</v>
      </c>
      <c r="K1247" s="51" t="n">
        <v>0</v>
      </c>
      <c r="L1247" s="52" t="n">
        <v>0</v>
      </c>
      <c r="M1247" s="52" t="n">
        <v>0</v>
      </c>
      <c r="N1247" s="52" t="n">
        <v>0</v>
      </c>
      <c r="O1247" s="53" t="n">
        <v>0</v>
      </c>
      <c r="P1247" s="52" t="n">
        <v>0</v>
      </c>
      <c r="Q1247" s="53" t="n">
        <v>0</v>
      </c>
      <c r="R1247" s="52" t="n">
        <v>0</v>
      </c>
      <c r="S1247" s="51" t="n">
        <v>0</v>
      </c>
      <c r="T1247" s="48" t="n">
        <v>0</v>
      </c>
      <c r="U1247" s="49" t="n">
        <v>0</v>
      </c>
      <c r="V1247" s="49" t="n">
        <v>0</v>
      </c>
      <c r="W1247" s="50" t="n">
        <v>0</v>
      </c>
      <c r="X1247" s="51" t="n">
        <v>0</v>
      </c>
      <c r="Y1247" s="52" t="n">
        <v>0</v>
      </c>
      <c r="Z1247" s="52" t="n">
        <v>0</v>
      </c>
      <c r="AA1247" s="52" t="n">
        <v>0</v>
      </c>
      <c r="AB1247" s="53" t="n">
        <v>0</v>
      </c>
      <c r="AC1247" s="52" t="n">
        <v>0</v>
      </c>
      <c r="AD1247" s="53" t="n">
        <v>0</v>
      </c>
      <c r="AE1247" s="52" t="n">
        <v>0</v>
      </c>
      <c r="AF1247" s="51" t="n">
        <v>0</v>
      </c>
      <c r="AG1247" s="48" t="n">
        <v>0</v>
      </c>
      <c r="AH1247" s="49" t="n">
        <v>0</v>
      </c>
      <c r="AI1247" s="49" t="n">
        <v>0</v>
      </c>
      <c r="AJ1247" s="50" t="n">
        <v>0</v>
      </c>
      <c r="AK1247" s="51" t="n">
        <v>0</v>
      </c>
      <c r="AL1247" s="52" t="n">
        <v>0</v>
      </c>
      <c r="AM1247" s="52" t="n">
        <v>0</v>
      </c>
      <c r="AN1247" s="52" t="n">
        <v>0</v>
      </c>
      <c r="AO1247" s="53" t="n">
        <v>0</v>
      </c>
      <c r="AP1247" s="52" t="n">
        <v>0</v>
      </c>
      <c r="AQ1247" s="53" t="n">
        <v>0</v>
      </c>
      <c r="AR1247" s="52" t="n">
        <v>0</v>
      </c>
      <c r="AS1247" s="51" t="n">
        <v>0</v>
      </c>
      <c r="AT1247" s="48" t="n">
        <v>0</v>
      </c>
      <c r="AU1247" s="49" t="n">
        <v>0</v>
      </c>
      <c r="AV1247" s="49" t="n">
        <v>0</v>
      </c>
      <c r="AW1247" s="50" t="n">
        <v>0</v>
      </c>
      <c r="AX1247" s="51" t="n">
        <v>0</v>
      </c>
      <c r="AY1247" s="52" t="n">
        <v>0</v>
      </c>
      <c r="AZ1247" s="52" t="n">
        <v>0</v>
      </c>
      <c r="BA1247" s="52" t="n">
        <v>0</v>
      </c>
      <c r="BB1247" s="53" t="n">
        <v>0</v>
      </c>
      <c r="BC1247" s="52" t="n">
        <v>0</v>
      </c>
      <c r="BD1247" s="53" t="n">
        <v>0</v>
      </c>
      <c r="BE1247" s="52" t="n">
        <v>0</v>
      </c>
      <c r="BF1247" s="51" t="n">
        <v>0</v>
      </c>
    </row>
    <row r="1248">
      <c r="A1248">
        <f>HYPERLINK("https://www.walmart.com/ip/759888188", "759888188")</f>
        <v/>
      </c>
      <c r="B1248" t="inlineStr">
        <is>
          <t>Long Kinky Curly Wig Lace Front, Black Halloween Wigs for Women, Synthetic Fiber Deep Wave Hair Replacement Wig 19 Inch</t>
        </is>
      </c>
      <c r="C1248" t="inlineStr">
        <is>
          <t>1CTWIG001-2-ESCB</t>
        </is>
      </c>
      <c r="D1248" t="inlineStr">
        <is>
          <t>Wigs &amp; Toupees</t>
        </is>
      </c>
      <c r="E1248" t="inlineStr">
        <is>
          <t>Catalonia</t>
        </is>
      </c>
      <c r="G1248" s="48" t="n">
        <v>0</v>
      </c>
      <c r="H1248" s="49" t="n">
        <v>0</v>
      </c>
      <c r="I1248" s="49" t="n">
        <v>0</v>
      </c>
      <c r="J1248" s="50" t="n">
        <v>0</v>
      </c>
      <c r="K1248" s="51" t="n">
        <v>0</v>
      </c>
      <c r="L1248" s="52" t="n">
        <v>0</v>
      </c>
      <c r="M1248" s="52" t="n">
        <v>0</v>
      </c>
      <c r="N1248" s="52" t="n">
        <v>0</v>
      </c>
      <c r="O1248" s="53" t="n">
        <v>0</v>
      </c>
      <c r="P1248" s="52" t="n">
        <v>0</v>
      </c>
      <c r="Q1248" s="53" t="n">
        <v>0</v>
      </c>
      <c r="R1248" s="52" t="n">
        <v>0</v>
      </c>
      <c r="S1248" s="51" t="n">
        <v>0</v>
      </c>
      <c r="T1248" s="48" t="n">
        <v>0</v>
      </c>
      <c r="U1248" s="49" t="n">
        <v>0</v>
      </c>
      <c r="V1248" s="49" t="n">
        <v>0</v>
      </c>
      <c r="W1248" s="50" t="n">
        <v>0</v>
      </c>
      <c r="X1248" s="51" t="n">
        <v>0</v>
      </c>
      <c r="Y1248" s="52" t="n">
        <v>0</v>
      </c>
      <c r="Z1248" s="52" t="n">
        <v>0</v>
      </c>
      <c r="AA1248" s="52" t="n">
        <v>0</v>
      </c>
      <c r="AB1248" s="53" t="n">
        <v>0</v>
      </c>
      <c r="AC1248" s="52" t="n">
        <v>0</v>
      </c>
      <c r="AD1248" s="53" t="n">
        <v>0</v>
      </c>
      <c r="AE1248" s="52" t="n">
        <v>0</v>
      </c>
      <c r="AF1248" s="51" t="n">
        <v>0</v>
      </c>
      <c r="AG1248" s="48" t="n">
        <v>0</v>
      </c>
      <c r="AH1248" s="49" t="n">
        <v>0</v>
      </c>
      <c r="AI1248" s="49" t="n">
        <v>0</v>
      </c>
      <c r="AJ1248" s="50" t="n">
        <v>0</v>
      </c>
      <c r="AK1248" s="51" t="n">
        <v>0</v>
      </c>
      <c r="AL1248" s="52" t="n">
        <v>0</v>
      </c>
      <c r="AM1248" s="52" t="n">
        <v>0</v>
      </c>
      <c r="AN1248" s="52" t="n">
        <v>0</v>
      </c>
      <c r="AO1248" s="53" t="n">
        <v>0</v>
      </c>
      <c r="AP1248" s="52" t="n">
        <v>0</v>
      </c>
      <c r="AQ1248" s="53" t="n">
        <v>0</v>
      </c>
      <c r="AR1248" s="52" t="n">
        <v>0</v>
      </c>
      <c r="AS1248" s="51" t="n">
        <v>0</v>
      </c>
      <c r="AT1248" s="48" t="n">
        <v>0</v>
      </c>
      <c r="AU1248" s="49" t="n">
        <v>0</v>
      </c>
      <c r="AV1248" s="49" t="n">
        <v>0</v>
      </c>
      <c r="AW1248" s="50" t="n">
        <v>0</v>
      </c>
      <c r="AX1248" s="51" t="n">
        <v>0</v>
      </c>
      <c r="AY1248" s="52" t="n">
        <v>0</v>
      </c>
      <c r="AZ1248" s="52" t="n">
        <v>0</v>
      </c>
      <c r="BA1248" s="52" t="n">
        <v>0</v>
      </c>
      <c r="BB1248" s="53" t="n">
        <v>0</v>
      </c>
      <c r="BC1248" s="52" t="n">
        <v>0</v>
      </c>
      <c r="BD1248" s="53" t="n">
        <v>0</v>
      </c>
      <c r="BE1248" s="52" t="n">
        <v>0</v>
      </c>
      <c r="BF1248" s="51" t="n">
        <v>0</v>
      </c>
    </row>
    <row r="1249">
      <c r="A1249">
        <f>HYPERLINK("https://www.walmart.com/ip/759415807", "759415807")</f>
        <v/>
      </c>
      <c r="B1249" t="inlineStr">
        <is>
          <t>Tirrinia Women Floppy Straw Sun Hat Wide Brim Striped Beach Cap Foldable, Black, Head Circumference Measures 22.5”, Brim Measures 3.5”.</t>
        </is>
      </c>
      <c r="C1249" t="inlineStr">
        <is>
          <t>1TRSH101BK-TBCB</t>
        </is>
      </c>
      <c r="D1249" t="inlineStr">
        <is>
          <t>Hats</t>
        </is>
      </c>
      <c r="E1249" t="inlineStr">
        <is>
          <t>Tirrinia</t>
        </is>
      </c>
      <c r="F1249" t="inlineStr">
        <is>
          <t>Q2-Target</t>
        </is>
      </c>
      <c r="G1249" s="48" t="n">
        <v>0</v>
      </c>
      <c r="H1249" s="49" t="n">
        <v>0</v>
      </c>
      <c r="I1249" s="49" t="n">
        <v>0</v>
      </c>
      <c r="J1249" s="50" t="n">
        <v>0</v>
      </c>
      <c r="K1249" s="51" t="n">
        <v>0</v>
      </c>
      <c r="L1249" s="52" t="n">
        <v>0</v>
      </c>
      <c r="M1249" s="52" t="n">
        <v>0</v>
      </c>
      <c r="N1249" s="52" t="n">
        <v>0</v>
      </c>
      <c r="O1249" s="53" t="n">
        <v>0</v>
      </c>
      <c r="P1249" s="52" t="n">
        <v>0</v>
      </c>
      <c r="Q1249" s="53" t="n">
        <v>0</v>
      </c>
      <c r="R1249" s="52" t="n">
        <v>0</v>
      </c>
      <c r="S1249" s="51" t="n">
        <v>0</v>
      </c>
      <c r="T1249" s="48" t="n">
        <v>0</v>
      </c>
      <c r="U1249" s="49" t="n">
        <v>0</v>
      </c>
      <c r="V1249" s="49" t="n">
        <v>0</v>
      </c>
      <c r="W1249" s="50" t="n">
        <v>0</v>
      </c>
      <c r="X1249" s="51" t="n">
        <v>0</v>
      </c>
      <c r="Y1249" s="52" t="n">
        <v>0</v>
      </c>
      <c r="Z1249" s="52" t="n">
        <v>0</v>
      </c>
      <c r="AA1249" s="52" t="n">
        <v>0</v>
      </c>
      <c r="AB1249" s="53" t="n">
        <v>0</v>
      </c>
      <c r="AC1249" s="52" t="n">
        <v>0</v>
      </c>
      <c r="AD1249" s="53" t="n">
        <v>0</v>
      </c>
      <c r="AE1249" s="52" t="n">
        <v>0</v>
      </c>
      <c r="AF1249" s="51" t="n">
        <v>0</v>
      </c>
      <c r="AG1249" s="48" t="n">
        <v>0</v>
      </c>
      <c r="AH1249" s="49" t="n">
        <v>0</v>
      </c>
      <c r="AI1249" s="49" t="n">
        <v>0</v>
      </c>
      <c r="AJ1249" s="50" t="n">
        <v>0</v>
      </c>
      <c r="AK1249" s="51" t="n">
        <v>0</v>
      </c>
      <c r="AL1249" s="52" t="n">
        <v>0</v>
      </c>
      <c r="AM1249" s="52" t="n">
        <v>0</v>
      </c>
      <c r="AN1249" s="52" t="n">
        <v>0</v>
      </c>
      <c r="AO1249" s="53" t="n">
        <v>0</v>
      </c>
      <c r="AP1249" s="52" t="n">
        <v>0</v>
      </c>
      <c r="AQ1249" s="53" t="n">
        <v>0</v>
      </c>
      <c r="AR1249" s="52" t="n">
        <v>0</v>
      </c>
      <c r="AS1249" s="51" t="n">
        <v>0</v>
      </c>
      <c r="AT1249" s="48" t="n">
        <v>0</v>
      </c>
      <c r="AU1249" s="49" t="n">
        <v>0</v>
      </c>
      <c r="AV1249" s="49" t="n">
        <v>0</v>
      </c>
      <c r="AW1249" s="50" t="n">
        <v>0</v>
      </c>
      <c r="AX1249" s="51" t="n">
        <v>0</v>
      </c>
      <c r="AY1249" s="52" t="n">
        <v>0</v>
      </c>
      <c r="AZ1249" s="52" t="n">
        <v>0</v>
      </c>
      <c r="BA1249" s="52" t="n">
        <v>0</v>
      </c>
      <c r="BB1249" s="53" t="n">
        <v>0</v>
      </c>
      <c r="BC1249" s="52" t="n">
        <v>0</v>
      </c>
      <c r="BD1249" s="53" t="n">
        <v>0</v>
      </c>
      <c r="BE1249" s="52" t="n">
        <v>0</v>
      </c>
      <c r="BF1249" s="51" t="n">
        <v>0</v>
      </c>
    </row>
    <row r="1250">
      <c r="A1250">
        <f>HYPERLINK("https://www.walmart.com/ip/785813879", "785813879")</f>
        <v/>
      </c>
      <c r="B1250" t="inlineStr">
        <is>
          <t>Women’s Swim Bathing Suit Cover Up, Summer Chiffon Maxi Beach Dress Skirt</t>
        </is>
      </c>
      <c r="C1250" t="inlineStr">
        <is>
          <t>1WMDS100BG</t>
        </is>
      </c>
      <c r="D1250" t="inlineStr">
        <is>
          <t>Dresses</t>
        </is>
      </c>
      <c r="E1250" t="inlineStr">
        <is>
          <t>Flyingstar</t>
        </is>
      </c>
      <c r="F1250" t="inlineStr">
        <is>
          <t>Batch 1 - TR</t>
        </is>
      </c>
      <c r="G1250" s="48" t="n">
        <v>0</v>
      </c>
      <c r="H1250" s="49" t="n">
        <v>0</v>
      </c>
      <c r="I1250" s="49" t="n">
        <v>0</v>
      </c>
      <c r="J1250" s="50" t="n">
        <v>0</v>
      </c>
      <c r="K1250" s="51" t="n">
        <v>0</v>
      </c>
      <c r="L1250" s="52" t="n">
        <v>0</v>
      </c>
      <c r="M1250" s="52" t="n">
        <v>0</v>
      </c>
      <c r="N1250" s="52" t="n">
        <v>0</v>
      </c>
      <c r="O1250" s="53" t="n">
        <v>0</v>
      </c>
      <c r="P1250" s="52" t="n">
        <v>0</v>
      </c>
      <c r="Q1250" s="53" t="n">
        <v>0</v>
      </c>
      <c r="R1250" s="52" t="n">
        <v>0</v>
      </c>
      <c r="S1250" s="51" t="n">
        <v>0</v>
      </c>
      <c r="T1250" s="48" t="n">
        <v>0</v>
      </c>
      <c r="U1250" s="49" t="n">
        <v>0</v>
      </c>
      <c r="V1250" s="49" t="n">
        <v>0</v>
      </c>
      <c r="W1250" s="50" t="n">
        <v>0</v>
      </c>
      <c r="X1250" s="51" t="n">
        <v>0</v>
      </c>
      <c r="Y1250" s="52" t="n">
        <v>0</v>
      </c>
      <c r="Z1250" s="52" t="n">
        <v>0</v>
      </c>
      <c r="AA1250" s="52" t="n">
        <v>0</v>
      </c>
      <c r="AB1250" s="53" t="n">
        <v>0</v>
      </c>
      <c r="AC1250" s="52" t="n">
        <v>0</v>
      </c>
      <c r="AD1250" s="53" t="n">
        <v>0</v>
      </c>
      <c r="AE1250" s="52" t="n">
        <v>0</v>
      </c>
      <c r="AF1250" s="51" t="n">
        <v>0</v>
      </c>
      <c r="AG1250" s="48" t="n">
        <v>0</v>
      </c>
      <c r="AH1250" s="49" t="n">
        <v>0</v>
      </c>
      <c r="AI1250" s="49" t="n">
        <v>0</v>
      </c>
      <c r="AJ1250" s="50" t="n">
        <v>0</v>
      </c>
      <c r="AK1250" s="51" t="n">
        <v>0</v>
      </c>
      <c r="AL1250" s="52" t="n">
        <v>0</v>
      </c>
      <c r="AM1250" s="52" t="n">
        <v>0</v>
      </c>
      <c r="AN1250" s="52" t="n">
        <v>0</v>
      </c>
      <c r="AO1250" s="53" t="n">
        <v>0</v>
      </c>
      <c r="AP1250" s="52" t="n">
        <v>0</v>
      </c>
      <c r="AQ1250" s="53" t="n">
        <v>0</v>
      </c>
      <c r="AR1250" s="52" t="n">
        <v>0</v>
      </c>
      <c r="AS1250" s="51" t="n">
        <v>0</v>
      </c>
      <c r="AT1250" s="48" t="n">
        <v>0</v>
      </c>
      <c r="AU1250" s="49" t="n">
        <v>0</v>
      </c>
      <c r="AV1250" s="49" t="n">
        <v>0</v>
      </c>
      <c r="AW1250" s="50" t="n">
        <v>0</v>
      </c>
      <c r="AX1250" s="51" t="n">
        <v>0</v>
      </c>
      <c r="AY1250" s="52" t="n">
        <v>0</v>
      </c>
      <c r="AZ1250" s="52" t="n">
        <v>0</v>
      </c>
      <c r="BA1250" s="52" t="n">
        <v>0</v>
      </c>
      <c r="BB1250" s="53" t="n">
        <v>0</v>
      </c>
      <c r="BC1250" s="52" t="n">
        <v>0</v>
      </c>
      <c r="BD1250" s="53" t="n">
        <v>0</v>
      </c>
      <c r="BE1250" s="52" t="n">
        <v>0</v>
      </c>
      <c r="BF1250" s="51" t="n">
        <v>0</v>
      </c>
    </row>
    <row r="1251">
      <c r="A1251">
        <f>HYPERLINK("https://www.walmart.com/ip/759178264", "759178264")</f>
        <v/>
      </c>
      <c r="B1251" t="inlineStr">
        <is>
          <t>Wearable Fleece Blanket with Sleeves and Pocket for Women Men, Super Soft Microplush Adult Wrap Full Body Blanket Robe for Lounge Couch As Seen On TV 73" x 51" | Catalonia series by Terrania | Black</t>
        </is>
      </c>
      <c r="C1251" t="inlineStr">
        <is>
          <t>1TRSN100BK-TBCB</t>
        </is>
      </c>
      <c r="D1251" t="inlineStr">
        <is>
          <t>Throws</t>
        </is>
      </c>
      <c r="E1251" t="inlineStr">
        <is>
          <t>Tirrinia</t>
        </is>
      </c>
      <c r="F1251" t="inlineStr">
        <is>
          <t>Optimized,WFS,WFS Item,Fleece Blankets</t>
        </is>
      </c>
      <c r="G1251" s="48" t="n">
        <v>0</v>
      </c>
      <c r="H1251" s="49" t="n">
        <v>0</v>
      </c>
      <c r="I1251" s="49" t="n">
        <v>0</v>
      </c>
      <c r="J1251" s="50" t="n">
        <v>0</v>
      </c>
      <c r="K1251" s="51" t="n">
        <v>0</v>
      </c>
      <c r="L1251" s="52" t="n">
        <v>0</v>
      </c>
      <c r="M1251" s="52" t="n">
        <v>0</v>
      </c>
      <c r="N1251" s="52" t="n">
        <v>0</v>
      </c>
      <c r="O1251" s="53" t="n">
        <v>0</v>
      </c>
      <c r="P1251" s="52" t="n">
        <v>0</v>
      </c>
      <c r="Q1251" s="53" t="n">
        <v>0</v>
      </c>
      <c r="R1251" s="52" t="n">
        <v>0</v>
      </c>
      <c r="S1251" s="51" t="n">
        <v>0</v>
      </c>
      <c r="T1251" s="48" t="n">
        <v>0</v>
      </c>
      <c r="U1251" s="49" t="n">
        <v>0</v>
      </c>
      <c r="V1251" s="49" t="n">
        <v>0</v>
      </c>
      <c r="W1251" s="50" t="n">
        <v>0</v>
      </c>
      <c r="X1251" s="51" t="n">
        <v>0</v>
      </c>
      <c r="Y1251" s="52" t="n">
        <v>0</v>
      </c>
      <c r="Z1251" s="52" t="n">
        <v>0</v>
      </c>
      <c r="AA1251" s="52" t="n">
        <v>0</v>
      </c>
      <c r="AB1251" s="53" t="n">
        <v>0</v>
      </c>
      <c r="AC1251" s="52" t="n">
        <v>0</v>
      </c>
      <c r="AD1251" s="53" t="n">
        <v>0</v>
      </c>
      <c r="AE1251" s="52" t="n">
        <v>0</v>
      </c>
      <c r="AF1251" s="51" t="n">
        <v>0</v>
      </c>
      <c r="AG1251" s="48" t="n">
        <v>0</v>
      </c>
      <c r="AH1251" s="49" t="n">
        <v>0</v>
      </c>
      <c r="AI1251" s="49" t="n">
        <v>0</v>
      </c>
      <c r="AJ1251" s="50" t="n">
        <v>0</v>
      </c>
      <c r="AK1251" s="51" t="n">
        <v>0</v>
      </c>
      <c r="AL1251" s="52" t="n">
        <v>0</v>
      </c>
      <c r="AM1251" s="52" t="n">
        <v>0</v>
      </c>
      <c r="AN1251" s="52" t="n">
        <v>0</v>
      </c>
      <c r="AO1251" s="53" t="n">
        <v>0</v>
      </c>
      <c r="AP1251" s="52" t="n">
        <v>0</v>
      </c>
      <c r="AQ1251" s="53" t="n">
        <v>0</v>
      </c>
      <c r="AR1251" s="52" t="n">
        <v>0</v>
      </c>
      <c r="AS1251" s="51" t="n">
        <v>0</v>
      </c>
      <c r="AT1251" s="48" t="n">
        <v>0</v>
      </c>
      <c r="AU1251" s="49" t="n">
        <v>0</v>
      </c>
      <c r="AV1251" s="49" t="n">
        <v>0</v>
      </c>
      <c r="AW1251" s="50" t="n">
        <v>0</v>
      </c>
      <c r="AX1251" s="51" t="n">
        <v>0</v>
      </c>
      <c r="AY1251" s="52" t="n">
        <v>0</v>
      </c>
      <c r="AZ1251" s="52" t="n">
        <v>0</v>
      </c>
      <c r="BA1251" s="52" t="n">
        <v>0</v>
      </c>
      <c r="BB1251" s="53" t="n">
        <v>0</v>
      </c>
      <c r="BC1251" s="52" t="n">
        <v>0</v>
      </c>
      <c r="BD1251" s="53" t="n">
        <v>0</v>
      </c>
      <c r="BE1251" s="52" t="n">
        <v>0</v>
      </c>
      <c r="BF1251" s="51" t="n">
        <v>0</v>
      </c>
    </row>
    <row r="1252">
      <c r="A1252">
        <f>HYPERLINK("https://www.walmart.com/ip/741215290", "741215290")</f>
        <v/>
      </c>
      <c r="B1252" t="inlineStr">
        <is>
          <t>Flyingstar Insulated Thermal Lunch Bag, Reusable Tote Bag for Men, Women &amp; Kids with Floral Blue Pattern</t>
        </is>
      </c>
      <c r="C1252" t="inlineStr">
        <is>
          <t>1WMLB703BLFL</t>
        </is>
      </c>
      <c r="D1252" t="inlineStr">
        <is>
          <t>Reusable Lunch Bags &amp; Boxes</t>
        </is>
      </c>
      <c r="E1252" t="inlineStr">
        <is>
          <t>Flyingstar</t>
        </is>
      </c>
      <c r="F1252" t="inlineStr">
        <is>
          <t>Q2-Target,Lunch Bag,Optimized,Lunch Bags,WFS Item</t>
        </is>
      </c>
      <c r="G1252" s="48" t="n">
        <v>0</v>
      </c>
      <c r="H1252" s="49" t="n">
        <v>0</v>
      </c>
      <c r="I1252" s="49" t="n">
        <v>0</v>
      </c>
      <c r="J1252" s="50" t="n">
        <v>0</v>
      </c>
      <c r="K1252" s="51" t="n">
        <v>0</v>
      </c>
      <c r="L1252" s="52" t="n">
        <v>0</v>
      </c>
      <c r="M1252" s="52" t="n">
        <v>0</v>
      </c>
      <c r="N1252" s="52" t="n">
        <v>0</v>
      </c>
      <c r="O1252" s="53" t="n">
        <v>0</v>
      </c>
      <c r="P1252" s="52" t="n">
        <v>0</v>
      </c>
      <c r="Q1252" s="53" t="n">
        <v>0</v>
      </c>
      <c r="R1252" s="52" t="n">
        <v>0</v>
      </c>
      <c r="S1252" s="51" t="n">
        <v>0</v>
      </c>
      <c r="T1252" s="48" t="n">
        <v>0</v>
      </c>
      <c r="U1252" s="49" t="n">
        <v>0</v>
      </c>
      <c r="V1252" s="49" t="n">
        <v>0</v>
      </c>
      <c r="W1252" s="50" t="n">
        <v>0</v>
      </c>
      <c r="X1252" s="51" t="n">
        <v>0</v>
      </c>
      <c r="Y1252" s="52" t="n">
        <v>0</v>
      </c>
      <c r="Z1252" s="52" t="n">
        <v>0</v>
      </c>
      <c r="AA1252" s="52" t="n">
        <v>0</v>
      </c>
      <c r="AB1252" s="53" t="n">
        <v>0</v>
      </c>
      <c r="AC1252" s="52" t="n">
        <v>0</v>
      </c>
      <c r="AD1252" s="53" t="n">
        <v>0</v>
      </c>
      <c r="AE1252" s="52" t="n">
        <v>0</v>
      </c>
      <c r="AF1252" s="51" t="n">
        <v>0</v>
      </c>
      <c r="AG1252" s="48" t="n">
        <v>0</v>
      </c>
      <c r="AH1252" s="49" t="n">
        <v>0</v>
      </c>
      <c r="AI1252" s="49" t="n">
        <v>0</v>
      </c>
      <c r="AJ1252" s="50" t="n">
        <v>0</v>
      </c>
      <c r="AK1252" s="51" t="n">
        <v>0</v>
      </c>
      <c r="AL1252" s="52" t="n">
        <v>0</v>
      </c>
      <c r="AM1252" s="52" t="n">
        <v>0</v>
      </c>
      <c r="AN1252" s="52" t="n">
        <v>0</v>
      </c>
      <c r="AO1252" s="53" t="n">
        <v>0</v>
      </c>
      <c r="AP1252" s="52" t="n">
        <v>0</v>
      </c>
      <c r="AQ1252" s="53" t="n">
        <v>0</v>
      </c>
      <c r="AR1252" s="52" t="n">
        <v>0</v>
      </c>
      <c r="AS1252" s="51" t="n">
        <v>0</v>
      </c>
      <c r="AT1252" s="48" t="n">
        <v>0</v>
      </c>
      <c r="AU1252" s="49" t="n">
        <v>0</v>
      </c>
      <c r="AV1252" s="49" t="n">
        <v>0</v>
      </c>
      <c r="AW1252" s="50" t="n">
        <v>0</v>
      </c>
      <c r="AX1252" s="51" t="n">
        <v>0</v>
      </c>
      <c r="AY1252" s="52" t="n">
        <v>0</v>
      </c>
      <c r="AZ1252" s="52" t="n">
        <v>0</v>
      </c>
      <c r="BA1252" s="52" t="n">
        <v>0</v>
      </c>
      <c r="BB1252" s="53" t="n">
        <v>0</v>
      </c>
      <c r="BC1252" s="52" t="n">
        <v>0</v>
      </c>
      <c r="BD1252" s="53" t="n">
        <v>0</v>
      </c>
      <c r="BE1252" s="52" t="n">
        <v>0</v>
      </c>
      <c r="BF1252" s="51" t="n">
        <v>0</v>
      </c>
    </row>
    <row r="1253">
      <c r="A1253">
        <f>HYPERLINK("https://www.walmart.com/ip/742084694", "742084694")</f>
        <v/>
      </c>
      <c r="B1253" t="inlineStr">
        <is>
          <t>Tirrinia Wearable Fleece Blanket with Sleeves for Adult Women and Men, Super Soft Comfy Plush TV Blanket, Throw Wrap Cover for Lounge Couch, Red Buffalo Plaid, 73" x 51"</t>
        </is>
      </c>
      <c r="C1253" t="inlineStr">
        <is>
          <t>1TRSN100P2RD</t>
        </is>
      </c>
      <c r="D1253" t="inlineStr">
        <is>
          <t>Throws</t>
        </is>
      </c>
      <c r="E1253" t="inlineStr">
        <is>
          <t>Tirrinia</t>
        </is>
      </c>
      <c r="F1253" t="inlineStr">
        <is>
          <t>WFS,WFS Item,Fleece Blankets</t>
        </is>
      </c>
      <c r="G1253" s="48" t="n">
        <v>0</v>
      </c>
      <c r="H1253" s="49" t="n">
        <v>0</v>
      </c>
      <c r="I1253" s="49" t="n">
        <v>0</v>
      </c>
      <c r="J1253" s="50" t="n">
        <v>0</v>
      </c>
      <c r="K1253" s="51" t="n">
        <v>0</v>
      </c>
      <c r="L1253" s="52" t="n">
        <v>0</v>
      </c>
      <c r="M1253" s="52" t="n">
        <v>0</v>
      </c>
      <c r="N1253" s="52" t="n">
        <v>0</v>
      </c>
      <c r="O1253" s="53" t="n">
        <v>0</v>
      </c>
      <c r="P1253" s="52" t="n">
        <v>0</v>
      </c>
      <c r="Q1253" s="53" t="n">
        <v>0</v>
      </c>
      <c r="R1253" s="52" t="n">
        <v>0</v>
      </c>
      <c r="S1253" s="51" t="n">
        <v>0</v>
      </c>
      <c r="T1253" s="48" t="n">
        <v>0</v>
      </c>
      <c r="U1253" s="49" t="n">
        <v>0</v>
      </c>
      <c r="V1253" s="49" t="n">
        <v>0</v>
      </c>
      <c r="W1253" s="50" t="n">
        <v>0</v>
      </c>
      <c r="X1253" s="51" t="n">
        <v>0</v>
      </c>
      <c r="Y1253" s="52" t="n">
        <v>0</v>
      </c>
      <c r="Z1253" s="52" t="n">
        <v>0</v>
      </c>
      <c r="AA1253" s="52" t="n">
        <v>0</v>
      </c>
      <c r="AB1253" s="53" t="n">
        <v>0</v>
      </c>
      <c r="AC1253" s="52" t="n">
        <v>0</v>
      </c>
      <c r="AD1253" s="53" t="n">
        <v>0</v>
      </c>
      <c r="AE1253" s="52" t="n">
        <v>0</v>
      </c>
      <c r="AF1253" s="51" t="n">
        <v>0</v>
      </c>
      <c r="AG1253" s="48" t="n">
        <v>0</v>
      </c>
      <c r="AH1253" s="49" t="n">
        <v>0</v>
      </c>
      <c r="AI1253" s="49" t="n">
        <v>0</v>
      </c>
      <c r="AJ1253" s="50" t="n">
        <v>0</v>
      </c>
      <c r="AK1253" s="51" t="n">
        <v>0</v>
      </c>
      <c r="AL1253" s="52" t="n">
        <v>0</v>
      </c>
      <c r="AM1253" s="52" t="n">
        <v>0</v>
      </c>
      <c r="AN1253" s="52" t="n">
        <v>0</v>
      </c>
      <c r="AO1253" s="53" t="n">
        <v>0</v>
      </c>
      <c r="AP1253" s="52" t="n">
        <v>0</v>
      </c>
      <c r="AQ1253" s="53" t="n">
        <v>0</v>
      </c>
      <c r="AR1253" s="52" t="n">
        <v>0</v>
      </c>
      <c r="AS1253" s="51" t="n">
        <v>0</v>
      </c>
      <c r="AT1253" s="48" t="n">
        <v>0</v>
      </c>
      <c r="AU1253" s="49" t="n">
        <v>0</v>
      </c>
      <c r="AV1253" s="49" t="n">
        <v>0</v>
      </c>
      <c r="AW1253" s="50" t="n">
        <v>0</v>
      </c>
      <c r="AX1253" s="51" t="n">
        <v>0</v>
      </c>
      <c r="AY1253" s="52" t="n">
        <v>0</v>
      </c>
      <c r="AZ1253" s="52" t="n">
        <v>0</v>
      </c>
      <c r="BA1253" s="52" t="n">
        <v>0</v>
      </c>
      <c r="BB1253" s="53" t="n">
        <v>0</v>
      </c>
      <c r="BC1253" s="52" t="n">
        <v>0</v>
      </c>
      <c r="BD1253" s="53" t="n">
        <v>0</v>
      </c>
      <c r="BE1253" s="52" t="n">
        <v>0</v>
      </c>
      <c r="BF1253" s="51" t="n">
        <v>0</v>
      </c>
    </row>
    <row r="1254">
      <c r="A1254">
        <f>HYPERLINK("https://www.walmart.com/ip/742753618", "742753618")</f>
        <v/>
      </c>
      <c r="B1254" t="inlineStr">
        <is>
          <t>Women's High Waist Yoga Pants Workout Running Capri Legging Inner Pocket</t>
        </is>
      </c>
      <c r="C1254" t="inlineStr">
        <is>
          <t>1TRYP102BK-LXL</t>
        </is>
      </c>
      <c r="D1254" t="inlineStr">
        <is>
          <t>Leggings</t>
        </is>
      </c>
      <c r="E1254" t="inlineStr">
        <is>
          <t>Tirrinia</t>
        </is>
      </c>
      <c r="F1254" t="inlineStr">
        <is>
          <t>Optimized</t>
        </is>
      </c>
      <c r="G1254" s="48" t="n">
        <v>0</v>
      </c>
      <c r="H1254" s="49" t="n">
        <v>0</v>
      </c>
      <c r="I1254" s="49" t="n">
        <v>0</v>
      </c>
      <c r="J1254" s="50" t="n">
        <v>0</v>
      </c>
      <c r="K1254" s="51" t="n">
        <v>0</v>
      </c>
      <c r="L1254" s="52" t="n">
        <v>0</v>
      </c>
      <c r="M1254" s="52" t="n">
        <v>0</v>
      </c>
      <c r="N1254" s="52" t="n">
        <v>0</v>
      </c>
      <c r="O1254" s="53" t="n">
        <v>0</v>
      </c>
      <c r="P1254" s="52" t="n">
        <v>0</v>
      </c>
      <c r="Q1254" s="53" t="n">
        <v>0</v>
      </c>
      <c r="R1254" s="52" t="n">
        <v>0</v>
      </c>
      <c r="S1254" s="51" t="n">
        <v>0</v>
      </c>
      <c r="T1254" s="48" t="n">
        <v>0</v>
      </c>
      <c r="U1254" s="49" t="n">
        <v>0</v>
      </c>
      <c r="V1254" s="49" t="n">
        <v>0</v>
      </c>
      <c r="W1254" s="50" t="n">
        <v>0</v>
      </c>
      <c r="X1254" s="51" t="n">
        <v>0</v>
      </c>
      <c r="Y1254" s="52" t="n">
        <v>0</v>
      </c>
      <c r="Z1254" s="52" t="n">
        <v>0</v>
      </c>
      <c r="AA1254" s="52" t="n">
        <v>0</v>
      </c>
      <c r="AB1254" s="53" t="n">
        <v>0</v>
      </c>
      <c r="AC1254" s="52" t="n">
        <v>0</v>
      </c>
      <c r="AD1254" s="53" t="n">
        <v>0</v>
      </c>
      <c r="AE1254" s="52" t="n">
        <v>0</v>
      </c>
      <c r="AF1254" s="51" t="n">
        <v>0</v>
      </c>
      <c r="AG1254" s="48" t="n">
        <v>0</v>
      </c>
      <c r="AH1254" s="49" t="n">
        <v>0</v>
      </c>
      <c r="AI1254" s="49" t="n">
        <v>0</v>
      </c>
      <c r="AJ1254" s="50" t="n">
        <v>0</v>
      </c>
      <c r="AK1254" s="51" t="n">
        <v>0</v>
      </c>
      <c r="AL1254" s="52" t="n">
        <v>0</v>
      </c>
      <c r="AM1254" s="52" t="n">
        <v>0</v>
      </c>
      <c r="AN1254" s="52" t="n">
        <v>0</v>
      </c>
      <c r="AO1254" s="53" t="n">
        <v>0</v>
      </c>
      <c r="AP1254" s="52" t="n">
        <v>0</v>
      </c>
      <c r="AQ1254" s="53" t="n">
        <v>0</v>
      </c>
      <c r="AR1254" s="52" t="n">
        <v>0</v>
      </c>
      <c r="AS1254" s="51" t="n">
        <v>0</v>
      </c>
      <c r="AT1254" s="48" t="n">
        <v>0</v>
      </c>
      <c r="AU1254" s="49" t="n">
        <v>0</v>
      </c>
      <c r="AV1254" s="49" t="n">
        <v>0</v>
      </c>
      <c r="AW1254" s="50" t="n">
        <v>0</v>
      </c>
      <c r="AX1254" s="51" t="n">
        <v>0</v>
      </c>
      <c r="AY1254" s="52" t="n">
        <v>0</v>
      </c>
      <c r="AZ1254" s="52" t="n">
        <v>0</v>
      </c>
      <c r="BA1254" s="52" t="n">
        <v>0</v>
      </c>
      <c r="BB1254" s="53" t="n">
        <v>0</v>
      </c>
      <c r="BC1254" s="52" t="n">
        <v>0</v>
      </c>
      <c r="BD1254" s="53" t="n">
        <v>0</v>
      </c>
      <c r="BE1254" s="52" t="n">
        <v>0</v>
      </c>
      <c r="BF1254" s="51" t="n">
        <v>0</v>
      </c>
    </row>
    <row r="1255">
      <c r="A1255">
        <f>HYPERLINK("https://www.walmart.com/ip/744897977", "744897977")</f>
        <v/>
      </c>
      <c r="B1255" t="inlineStr">
        <is>
          <t>Women Floppy Sun Beach Hats w/ Bow Wide Brim Summer UV Protection Foldable Gardening Hiking Cap by Tirrinia</t>
        </is>
      </c>
      <c r="C1255" t="inlineStr">
        <is>
          <t>1TRSH260NV-TBCB</t>
        </is>
      </c>
      <c r="D1255" t="inlineStr">
        <is>
          <t>Hats</t>
        </is>
      </c>
      <c r="E1255" t="inlineStr">
        <is>
          <t>Tirrinia</t>
        </is>
      </c>
      <c r="F1255" t="inlineStr">
        <is>
          <t>Q2-Target,Optimized,Hats</t>
        </is>
      </c>
      <c r="G1255" s="48" t="n">
        <v>0</v>
      </c>
      <c r="H1255" s="49" t="n">
        <v>0</v>
      </c>
      <c r="I1255" s="49" t="n">
        <v>0</v>
      </c>
      <c r="J1255" s="50" t="n">
        <v>0</v>
      </c>
      <c r="K1255" s="51" t="n">
        <v>0</v>
      </c>
      <c r="L1255" s="52" t="n">
        <v>0</v>
      </c>
      <c r="M1255" s="52" t="n">
        <v>0</v>
      </c>
      <c r="N1255" s="52" t="n">
        <v>0</v>
      </c>
      <c r="O1255" s="53" t="n">
        <v>0</v>
      </c>
      <c r="P1255" s="52" t="n">
        <v>0</v>
      </c>
      <c r="Q1255" s="53" t="n">
        <v>0</v>
      </c>
      <c r="R1255" s="52" t="n">
        <v>0</v>
      </c>
      <c r="S1255" s="51" t="n">
        <v>0</v>
      </c>
      <c r="T1255" s="48" t="n">
        <v>0</v>
      </c>
      <c r="U1255" s="49" t="n">
        <v>0</v>
      </c>
      <c r="V1255" s="49" t="n">
        <v>0</v>
      </c>
      <c r="W1255" s="50" t="n">
        <v>0</v>
      </c>
      <c r="X1255" s="51" t="n">
        <v>0</v>
      </c>
      <c r="Y1255" s="52" t="n">
        <v>0</v>
      </c>
      <c r="Z1255" s="52" t="n">
        <v>0</v>
      </c>
      <c r="AA1255" s="52" t="n">
        <v>0</v>
      </c>
      <c r="AB1255" s="53" t="n">
        <v>0</v>
      </c>
      <c r="AC1255" s="52" t="n">
        <v>0</v>
      </c>
      <c r="AD1255" s="53" t="n">
        <v>0</v>
      </c>
      <c r="AE1255" s="52" t="n">
        <v>0</v>
      </c>
      <c r="AF1255" s="51" t="n">
        <v>0</v>
      </c>
      <c r="AG1255" s="48" t="n">
        <v>9.99</v>
      </c>
      <c r="AH1255" s="49" t="n">
        <v>1</v>
      </c>
      <c r="AI1255" s="49" t="n">
        <v>0</v>
      </c>
      <c r="AJ1255" s="50" t="n">
        <v>0</v>
      </c>
      <c r="AK1255" s="51" t="n">
        <v>0</v>
      </c>
      <c r="AL1255" s="52" t="n">
        <v>0</v>
      </c>
      <c r="AM1255" s="52" t="n">
        <v>0</v>
      </c>
      <c r="AN1255" s="52" t="n">
        <v>0</v>
      </c>
      <c r="AO1255" s="53" t="n">
        <v>0</v>
      </c>
      <c r="AP1255" s="52" t="n">
        <v>0</v>
      </c>
      <c r="AQ1255" s="53" t="n">
        <v>0</v>
      </c>
      <c r="AR1255" s="52" t="n">
        <v>9.99</v>
      </c>
      <c r="AS1255" s="51" t="n">
        <v>0</v>
      </c>
      <c r="AT1255" s="48" t="n">
        <v>0</v>
      </c>
      <c r="AU1255" s="49" t="n">
        <v>0</v>
      </c>
      <c r="AV1255" s="49" t="n">
        <v>0</v>
      </c>
      <c r="AW1255" s="50" t="n">
        <v>0</v>
      </c>
      <c r="AX1255" s="51" t="n">
        <v>0</v>
      </c>
      <c r="AY1255" s="52" t="n">
        <v>0</v>
      </c>
      <c r="AZ1255" s="52" t="n">
        <v>0</v>
      </c>
      <c r="BA1255" s="52" t="n">
        <v>0</v>
      </c>
      <c r="BB1255" s="53" t="n">
        <v>0</v>
      </c>
      <c r="BC1255" s="52" t="n">
        <v>0</v>
      </c>
      <c r="BD1255" s="53" t="n">
        <v>0</v>
      </c>
      <c r="BE1255" s="52" t="n">
        <v>0</v>
      </c>
      <c r="BF1255" s="51" t="n">
        <v>0</v>
      </c>
    </row>
    <row r="1256">
      <c r="A1256">
        <f>HYPERLINK("https://www.walmart.com/ip/748394104", "748394104")</f>
        <v/>
      </c>
      <c r="B1256" t="inlineStr">
        <is>
          <t>Sherpa Wearable Blanket with Sleeves Arms, Super Soft Warm Comfy Large Fleece Plush Sleeved TV Throws Wrap Robe Blanket for Adult Women and Men by Catalonia</t>
        </is>
      </c>
      <c r="C1256" t="inlineStr">
        <is>
          <t>1CTSN210GY</t>
        </is>
      </c>
      <c r="D1256" t="inlineStr">
        <is>
          <t>Throws</t>
        </is>
      </c>
      <c r="E1256" t="inlineStr">
        <is>
          <t>Catalonia</t>
        </is>
      </c>
      <c r="F1256" t="inlineStr">
        <is>
          <t>Optimized,Coupon_Discount</t>
        </is>
      </c>
      <c r="G1256" s="48" t="n">
        <v>0</v>
      </c>
      <c r="H1256" s="49" t="n">
        <v>0</v>
      </c>
      <c r="I1256" s="49" t="n">
        <v>0</v>
      </c>
      <c r="J1256" s="50" t="n">
        <v>0</v>
      </c>
      <c r="K1256" s="51" t="n">
        <v>0</v>
      </c>
      <c r="L1256" s="52" t="n">
        <v>0</v>
      </c>
      <c r="M1256" s="52" t="n">
        <v>0</v>
      </c>
      <c r="N1256" s="52" t="n">
        <v>0</v>
      </c>
      <c r="O1256" s="53" t="n">
        <v>0</v>
      </c>
      <c r="P1256" s="52" t="n">
        <v>0</v>
      </c>
      <c r="Q1256" s="53" t="n">
        <v>0</v>
      </c>
      <c r="R1256" s="52" t="n">
        <v>0</v>
      </c>
      <c r="S1256" s="51" t="n">
        <v>0</v>
      </c>
      <c r="T1256" s="48" t="n">
        <v>0</v>
      </c>
      <c r="U1256" s="49" t="n">
        <v>0</v>
      </c>
      <c r="V1256" s="49" t="n">
        <v>0</v>
      </c>
      <c r="W1256" s="50" t="n">
        <v>0</v>
      </c>
      <c r="X1256" s="51" t="n">
        <v>0</v>
      </c>
      <c r="Y1256" s="52" t="n">
        <v>0</v>
      </c>
      <c r="Z1256" s="52" t="n">
        <v>0</v>
      </c>
      <c r="AA1256" s="52" t="n">
        <v>0</v>
      </c>
      <c r="AB1256" s="53" t="n">
        <v>0</v>
      </c>
      <c r="AC1256" s="52" t="n">
        <v>0</v>
      </c>
      <c r="AD1256" s="53" t="n">
        <v>0</v>
      </c>
      <c r="AE1256" s="52" t="n">
        <v>0</v>
      </c>
      <c r="AF1256" s="51" t="n">
        <v>0</v>
      </c>
      <c r="AG1256" s="48" t="n">
        <v>0</v>
      </c>
      <c r="AH1256" s="49" t="n">
        <v>0</v>
      </c>
      <c r="AI1256" s="49" t="n">
        <v>0</v>
      </c>
      <c r="AJ1256" s="50" t="n">
        <v>0</v>
      </c>
      <c r="AK1256" s="51" t="n">
        <v>0</v>
      </c>
      <c r="AL1256" s="52" t="n">
        <v>0</v>
      </c>
      <c r="AM1256" s="52" t="n">
        <v>0</v>
      </c>
      <c r="AN1256" s="52" t="n">
        <v>0</v>
      </c>
      <c r="AO1256" s="53" t="n">
        <v>0</v>
      </c>
      <c r="AP1256" s="52" t="n">
        <v>0</v>
      </c>
      <c r="AQ1256" s="53" t="n">
        <v>0</v>
      </c>
      <c r="AR1256" s="52" t="n">
        <v>0</v>
      </c>
      <c r="AS1256" s="51" t="n">
        <v>0</v>
      </c>
      <c r="AT1256" s="48" t="n">
        <v>0</v>
      </c>
      <c r="AU1256" s="49" t="n">
        <v>0</v>
      </c>
      <c r="AV1256" s="49" t="n">
        <v>0</v>
      </c>
      <c r="AW1256" s="50" t="n">
        <v>0</v>
      </c>
      <c r="AX1256" s="51" t="n">
        <v>0</v>
      </c>
      <c r="AY1256" s="52" t="n">
        <v>0</v>
      </c>
      <c r="AZ1256" s="52" t="n">
        <v>0</v>
      </c>
      <c r="BA1256" s="52" t="n">
        <v>0</v>
      </c>
      <c r="BB1256" s="53" t="n">
        <v>0</v>
      </c>
      <c r="BC1256" s="52" t="n">
        <v>0</v>
      </c>
      <c r="BD1256" s="53" t="n">
        <v>0</v>
      </c>
      <c r="BE1256" s="52" t="n">
        <v>0</v>
      </c>
      <c r="BF1256" s="51" t="n">
        <v>0</v>
      </c>
    </row>
    <row r="1257">
      <c r="A1257">
        <f>HYPERLINK("https://www.walmart.com/ip/748854832", "748854832")</f>
        <v/>
      </c>
      <c r="B1257" t="inlineStr">
        <is>
          <t>Napa Plush Throw Blanket Dark Blue, 108"x90" King, Striped Reversible Velvet Luxury Fleece Warm Bed Couch Blanket, Super Soft and Cozy</t>
        </is>
      </c>
      <c r="C1257" t="inlineStr">
        <is>
          <t>K8030KI-LTT</t>
        </is>
      </c>
      <c r="D1257" t="inlineStr">
        <is>
          <t>Throws</t>
        </is>
      </c>
      <c r="E1257" t="inlineStr">
        <is>
          <t>NAPA</t>
        </is>
      </c>
      <c r="F1257" t="inlineStr">
        <is>
          <t>Optimized</t>
        </is>
      </c>
      <c r="G1257" s="48" t="n">
        <v>0</v>
      </c>
      <c r="H1257" s="49" t="n">
        <v>0</v>
      </c>
      <c r="I1257" s="49" t="n">
        <v>0</v>
      </c>
      <c r="J1257" s="50" t="n">
        <v>0</v>
      </c>
      <c r="K1257" s="51" t="n">
        <v>0</v>
      </c>
      <c r="L1257" s="52" t="n">
        <v>0</v>
      </c>
      <c r="M1257" s="52" t="n">
        <v>0</v>
      </c>
      <c r="N1257" s="52" t="n">
        <v>0</v>
      </c>
      <c r="O1257" s="53" t="n">
        <v>0</v>
      </c>
      <c r="P1257" s="52" t="n">
        <v>0</v>
      </c>
      <c r="Q1257" s="53" t="n">
        <v>0</v>
      </c>
      <c r="R1257" s="52" t="n">
        <v>0</v>
      </c>
      <c r="S1257" s="51" t="n">
        <v>0</v>
      </c>
      <c r="T1257" s="48" t="n">
        <v>0</v>
      </c>
      <c r="U1257" s="49" t="n">
        <v>0</v>
      </c>
      <c r="V1257" s="49" t="n">
        <v>0</v>
      </c>
      <c r="W1257" s="50" t="n">
        <v>0</v>
      </c>
      <c r="X1257" s="51" t="n">
        <v>0</v>
      </c>
      <c r="Y1257" s="52" t="n">
        <v>0</v>
      </c>
      <c r="Z1257" s="52" t="n">
        <v>0</v>
      </c>
      <c r="AA1257" s="52" t="n">
        <v>0</v>
      </c>
      <c r="AB1257" s="53" t="n">
        <v>0</v>
      </c>
      <c r="AC1257" s="52" t="n">
        <v>0</v>
      </c>
      <c r="AD1257" s="53" t="n">
        <v>0</v>
      </c>
      <c r="AE1257" s="52" t="n">
        <v>0</v>
      </c>
      <c r="AF1257" s="51" t="n">
        <v>0</v>
      </c>
      <c r="AG1257" s="48" t="n">
        <v>0</v>
      </c>
      <c r="AH1257" s="49" t="n">
        <v>0</v>
      </c>
      <c r="AI1257" s="49" t="n">
        <v>0</v>
      </c>
      <c r="AJ1257" s="50" t="n">
        <v>0</v>
      </c>
      <c r="AK1257" s="51" t="n">
        <v>0</v>
      </c>
      <c r="AL1257" s="52" t="n">
        <v>0</v>
      </c>
      <c r="AM1257" s="52" t="n">
        <v>0</v>
      </c>
      <c r="AN1257" s="52" t="n">
        <v>0</v>
      </c>
      <c r="AO1257" s="53" t="n">
        <v>0</v>
      </c>
      <c r="AP1257" s="52" t="n">
        <v>0</v>
      </c>
      <c r="AQ1257" s="53" t="n">
        <v>0</v>
      </c>
      <c r="AR1257" s="52" t="n">
        <v>0</v>
      </c>
      <c r="AS1257" s="51" t="n">
        <v>0</v>
      </c>
      <c r="AT1257" s="48" t="n">
        <v>0</v>
      </c>
      <c r="AU1257" s="49" t="n">
        <v>0</v>
      </c>
      <c r="AV1257" s="49" t="n">
        <v>0</v>
      </c>
      <c r="AW1257" s="50" t="n">
        <v>0</v>
      </c>
      <c r="AX1257" s="51" t="n">
        <v>0</v>
      </c>
      <c r="AY1257" s="52" t="n">
        <v>0</v>
      </c>
      <c r="AZ1257" s="52" t="n">
        <v>0</v>
      </c>
      <c r="BA1257" s="52" t="n">
        <v>0</v>
      </c>
      <c r="BB1257" s="53" t="n">
        <v>0</v>
      </c>
      <c r="BC1257" s="52" t="n">
        <v>0</v>
      </c>
      <c r="BD1257" s="53" t="n">
        <v>0</v>
      </c>
      <c r="BE1257" s="52" t="n">
        <v>0</v>
      </c>
      <c r="BF1257" s="51" t="n">
        <v>0</v>
      </c>
    </row>
    <row r="1258">
      <c r="A1258">
        <f>HYPERLINK("https://www.walmart.com/ip/752278729", "752278729")</f>
        <v/>
      </c>
      <c r="B1258" t="inlineStr">
        <is>
          <t>JenniWears Women Sexy Lace Boyshort Panty Plus Size Stretch Mesh Briefs Lingerie Underwear Sleepwear White</t>
        </is>
      </c>
      <c r="C1258" t="inlineStr">
        <is>
          <t>JWPT05WT-2XL</t>
        </is>
      </c>
      <c r="D1258" t="inlineStr">
        <is>
          <t>Panties</t>
        </is>
      </c>
      <c r="E1258" t="inlineStr">
        <is>
          <t>JenniWears</t>
        </is>
      </c>
      <c r="F1258" t="inlineStr">
        <is>
          <t>Valentine</t>
        </is>
      </c>
      <c r="G1258" s="48" t="n">
        <v>0</v>
      </c>
      <c r="H1258" s="49" t="n">
        <v>0</v>
      </c>
      <c r="I1258" s="49" t="n">
        <v>0</v>
      </c>
      <c r="J1258" s="50" t="n">
        <v>0</v>
      </c>
      <c r="K1258" s="51" t="n">
        <v>0</v>
      </c>
      <c r="L1258" s="52" t="n">
        <v>0</v>
      </c>
      <c r="M1258" s="52" t="n">
        <v>0</v>
      </c>
      <c r="N1258" s="52" t="n">
        <v>0</v>
      </c>
      <c r="O1258" s="53" t="n">
        <v>0</v>
      </c>
      <c r="P1258" s="52" t="n">
        <v>0</v>
      </c>
      <c r="Q1258" s="53" t="n">
        <v>0</v>
      </c>
      <c r="R1258" s="52" t="n">
        <v>0</v>
      </c>
      <c r="S1258" s="51" t="n">
        <v>0</v>
      </c>
      <c r="T1258" s="48" t="n">
        <v>0</v>
      </c>
      <c r="U1258" s="49" t="n">
        <v>0</v>
      </c>
      <c r="V1258" s="49" t="n">
        <v>0</v>
      </c>
      <c r="W1258" s="50" t="n">
        <v>0</v>
      </c>
      <c r="X1258" s="51" t="n">
        <v>0</v>
      </c>
      <c r="Y1258" s="52" t="n">
        <v>0</v>
      </c>
      <c r="Z1258" s="52" t="n">
        <v>0</v>
      </c>
      <c r="AA1258" s="52" t="n">
        <v>0</v>
      </c>
      <c r="AB1258" s="53" t="n">
        <v>0</v>
      </c>
      <c r="AC1258" s="52" t="n">
        <v>0</v>
      </c>
      <c r="AD1258" s="53" t="n">
        <v>0</v>
      </c>
      <c r="AE1258" s="52" t="n">
        <v>0</v>
      </c>
      <c r="AF1258" s="51" t="n">
        <v>0</v>
      </c>
      <c r="AG1258" s="48" t="n">
        <v>0</v>
      </c>
      <c r="AH1258" s="49" t="n">
        <v>0</v>
      </c>
      <c r="AI1258" s="49" t="n">
        <v>0</v>
      </c>
      <c r="AJ1258" s="50" t="n">
        <v>0</v>
      </c>
      <c r="AK1258" s="51" t="n">
        <v>0</v>
      </c>
      <c r="AL1258" s="52" t="n">
        <v>0</v>
      </c>
      <c r="AM1258" s="52" t="n">
        <v>0</v>
      </c>
      <c r="AN1258" s="52" t="n">
        <v>0</v>
      </c>
      <c r="AO1258" s="53" t="n">
        <v>0</v>
      </c>
      <c r="AP1258" s="52" t="n">
        <v>0</v>
      </c>
      <c r="AQ1258" s="53" t="n">
        <v>0</v>
      </c>
      <c r="AR1258" s="52" t="n">
        <v>0</v>
      </c>
      <c r="AS1258" s="51" t="n">
        <v>0</v>
      </c>
      <c r="AT1258" s="48" t="n">
        <v>0</v>
      </c>
      <c r="AU1258" s="49" t="n">
        <v>0</v>
      </c>
      <c r="AV1258" s="49" t="n">
        <v>0</v>
      </c>
      <c r="AW1258" s="50" t="n">
        <v>0</v>
      </c>
      <c r="AX1258" s="51" t="n">
        <v>0</v>
      </c>
      <c r="AY1258" s="52" t="n">
        <v>0</v>
      </c>
      <c r="AZ1258" s="52" t="n">
        <v>0</v>
      </c>
      <c r="BA1258" s="52" t="n">
        <v>0</v>
      </c>
      <c r="BB1258" s="53" t="n">
        <v>0</v>
      </c>
      <c r="BC1258" s="52" t="n">
        <v>0</v>
      </c>
      <c r="BD1258" s="53" t="n">
        <v>0</v>
      </c>
      <c r="BE1258" s="52" t="n">
        <v>0</v>
      </c>
      <c r="BF1258" s="51" t="n">
        <v>0</v>
      </c>
    </row>
    <row r="1259">
      <c r="A1259">
        <f>HYPERLINK("https://www.walmart.com/ip/752711430", "752711430")</f>
        <v/>
      </c>
      <c r="B1259" t="inlineStr">
        <is>
          <t>Catalonia Fluffy Sherpa Throw Blanket, Super Soft Mink Plush Couch Blanket, TV Bed Fuzzy Blanket, Comfy Warm Heavy Throws, Comfort Caring Gift,50x60 inches, Teal</t>
        </is>
      </c>
      <c r="C1259" t="inlineStr">
        <is>
          <t>1CTBF300GN</t>
        </is>
      </c>
      <c r="D1259" t="inlineStr">
        <is>
          <t>Throws</t>
        </is>
      </c>
      <c r="E1259" t="inlineStr">
        <is>
          <t>Catalonia</t>
        </is>
      </c>
      <c r="F1259" t="inlineStr">
        <is>
          <t>Q2-Target,WFS,Coupon_Discount,WFS Item</t>
        </is>
      </c>
      <c r="G1259" s="48" t="n">
        <v>0</v>
      </c>
      <c r="H1259" s="49" t="n">
        <v>0</v>
      </c>
      <c r="I1259" s="49" t="n">
        <v>0</v>
      </c>
      <c r="J1259" s="50" t="n">
        <v>0</v>
      </c>
      <c r="K1259" s="51" t="n">
        <v>5</v>
      </c>
      <c r="L1259" s="52" t="n">
        <v>1.05</v>
      </c>
      <c r="M1259" s="52" t="n">
        <v>0</v>
      </c>
      <c r="N1259" s="52" t="n">
        <v>0</v>
      </c>
      <c r="O1259" s="53" t="n">
        <v>0.0016</v>
      </c>
      <c r="P1259" s="52" t="n">
        <v>0.21</v>
      </c>
      <c r="Q1259" s="53" t="n">
        <v>0</v>
      </c>
      <c r="R1259" s="52" t="n">
        <v>0</v>
      </c>
      <c r="S1259" s="51" t="n">
        <v>3221</v>
      </c>
      <c r="T1259" s="48" t="n">
        <v>0</v>
      </c>
      <c r="U1259" s="49" t="n">
        <v>0</v>
      </c>
      <c r="V1259" s="49" t="n">
        <v>0</v>
      </c>
      <c r="W1259" s="50" t="n">
        <v>0</v>
      </c>
      <c r="X1259" s="51" t="n">
        <v>5</v>
      </c>
      <c r="Y1259" s="52" t="n">
        <v>1.05</v>
      </c>
      <c r="Z1259" s="52" t="n">
        <v>0</v>
      </c>
      <c r="AA1259" s="52" t="n">
        <v>0</v>
      </c>
      <c r="AB1259" s="53" t="n">
        <v>0.0016</v>
      </c>
      <c r="AC1259" s="52" t="n">
        <v>0.21</v>
      </c>
      <c r="AD1259" s="53" t="n">
        <v>0</v>
      </c>
      <c r="AE1259" s="52" t="n">
        <v>0</v>
      </c>
      <c r="AF1259" s="51" t="n">
        <v>3049</v>
      </c>
      <c r="AG1259" s="48" t="n">
        <v>24.99</v>
      </c>
      <c r="AH1259" s="49" t="n">
        <v>1</v>
      </c>
      <c r="AI1259" s="49" t="n">
        <v>0</v>
      </c>
      <c r="AJ1259" s="50" t="n">
        <v>0</v>
      </c>
      <c r="AK1259" s="51" t="n">
        <v>5</v>
      </c>
      <c r="AL1259" s="52" t="n">
        <v>1.05</v>
      </c>
      <c r="AM1259" s="52" t="n">
        <v>0</v>
      </c>
      <c r="AN1259" s="52" t="n">
        <v>0</v>
      </c>
      <c r="AO1259" s="53" t="n">
        <v>0.0015</v>
      </c>
      <c r="AP1259" s="52" t="n">
        <v>0.21</v>
      </c>
      <c r="AQ1259" s="53" t="n">
        <v>0.04201680672268908</v>
      </c>
      <c r="AR1259" s="52" t="n">
        <v>24.99</v>
      </c>
      <c r="AS1259" s="51" t="n">
        <v>3390</v>
      </c>
      <c r="AT1259" s="48" t="n">
        <v>0</v>
      </c>
      <c r="AU1259" s="49" t="n">
        <v>0</v>
      </c>
      <c r="AV1259" s="49" t="n">
        <v>2</v>
      </c>
      <c r="AW1259" s="50" t="n">
        <v>0</v>
      </c>
      <c r="AX1259" s="51" t="n">
        <v>8</v>
      </c>
      <c r="AY1259" s="52" t="n">
        <v>1.68</v>
      </c>
      <c r="AZ1259" s="52" t="n">
        <v>0</v>
      </c>
      <c r="BA1259" s="52" t="n">
        <v>0</v>
      </c>
      <c r="BB1259" s="53" t="n">
        <v>0.0015</v>
      </c>
      <c r="BC1259" s="52" t="n">
        <v>0.21</v>
      </c>
      <c r="BD1259" s="53" t="n">
        <v>0</v>
      </c>
      <c r="BE1259" s="52" t="n">
        <v>0</v>
      </c>
      <c r="BF1259" s="51" t="n">
        <v>5457</v>
      </c>
    </row>
    <row r="1260">
      <c r="A1260">
        <f>HYPERLINK("https://www.walmart.com/ip/753395977", "753395977")</f>
        <v/>
      </c>
      <c r="B1260" t="inlineStr">
        <is>
          <t>Oversized Hoodie Blanket Sweatshirt,Super Soft Warm Comfortable Fleece Giant Pullover with Large Front Pocket,for Adults Men Women Teenagers Kids Wife Girlfriend</t>
        </is>
      </c>
      <c r="C1260" t="inlineStr">
        <is>
          <t>1CTHD300RB-UPC</t>
        </is>
      </c>
      <c r="D1260" t="inlineStr">
        <is>
          <t>Sweatshirts &amp; Hoodies</t>
        </is>
      </c>
      <c r="E1260" t="inlineStr">
        <is>
          <t>Catalonia</t>
        </is>
      </c>
      <c r="F1260" t="inlineStr">
        <is>
          <t>Hoodie ForAdult,Optimized</t>
        </is>
      </c>
      <c r="G1260" s="48" t="n">
        <v>0</v>
      </c>
      <c r="H1260" s="49" t="n">
        <v>0</v>
      </c>
      <c r="I1260" s="49" t="n">
        <v>0</v>
      </c>
      <c r="J1260" s="50" t="n">
        <v>0</v>
      </c>
      <c r="K1260" s="51" t="n">
        <v>0</v>
      </c>
      <c r="L1260" s="52" t="n">
        <v>0</v>
      </c>
      <c r="M1260" s="52" t="n">
        <v>0</v>
      </c>
      <c r="N1260" s="52" t="n">
        <v>0</v>
      </c>
      <c r="O1260" s="53" t="n">
        <v>0</v>
      </c>
      <c r="P1260" s="52" t="n">
        <v>0</v>
      </c>
      <c r="Q1260" s="53" t="n">
        <v>0</v>
      </c>
      <c r="R1260" s="52" t="n">
        <v>0</v>
      </c>
      <c r="S1260" s="51" t="n">
        <v>0</v>
      </c>
      <c r="T1260" s="48" t="n">
        <v>0</v>
      </c>
      <c r="U1260" s="49" t="n">
        <v>0</v>
      </c>
      <c r="V1260" s="49" t="n">
        <v>0</v>
      </c>
      <c r="W1260" s="50" t="n">
        <v>0</v>
      </c>
      <c r="X1260" s="51" t="n">
        <v>0</v>
      </c>
      <c r="Y1260" s="52" t="n">
        <v>0</v>
      </c>
      <c r="Z1260" s="52" t="n">
        <v>0</v>
      </c>
      <c r="AA1260" s="52" t="n">
        <v>0</v>
      </c>
      <c r="AB1260" s="53" t="n">
        <v>0</v>
      </c>
      <c r="AC1260" s="52" t="n">
        <v>0</v>
      </c>
      <c r="AD1260" s="53" t="n">
        <v>0</v>
      </c>
      <c r="AE1260" s="52" t="n">
        <v>0</v>
      </c>
      <c r="AF1260" s="51" t="n">
        <v>0</v>
      </c>
      <c r="AG1260" s="48" t="n">
        <v>0</v>
      </c>
      <c r="AH1260" s="49" t="n">
        <v>0</v>
      </c>
      <c r="AI1260" s="49" t="n">
        <v>0</v>
      </c>
      <c r="AJ1260" s="50" t="n">
        <v>0</v>
      </c>
      <c r="AK1260" s="51" t="n">
        <v>0</v>
      </c>
      <c r="AL1260" s="52" t="n">
        <v>0</v>
      </c>
      <c r="AM1260" s="52" t="n">
        <v>0</v>
      </c>
      <c r="AN1260" s="52" t="n">
        <v>0</v>
      </c>
      <c r="AO1260" s="53" t="n">
        <v>0</v>
      </c>
      <c r="AP1260" s="52" t="n">
        <v>0</v>
      </c>
      <c r="AQ1260" s="53" t="n">
        <v>0</v>
      </c>
      <c r="AR1260" s="52" t="n">
        <v>0</v>
      </c>
      <c r="AS1260" s="51" t="n">
        <v>0</v>
      </c>
      <c r="AT1260" s="48" t="n">
        <v>0</v>
      </c>
      <c r="AU1260" s="49" t="n">
        <v>0</v>
      </c>
      <c r="AV1260" s="49" t="n">
        <v>0</v>
      </c>
      <c r="AW1260" s="50" t="n">
        <v>0</v>
      </c>
      <c r="AX1260" s="51" t="n">
        <v>0</v>
      </c>
      <c r="AY1260" s="52" t="n">
        <v>0</v>
      </c>
      <c r="AZ1260" s="52" t="n">
        <v>0</v>
      </c>
      <c r="BA1260" s="52" t="n">
        <v>0</v>
      </c>
      <c r="BB1260" s="53" t="n">
        <v>0</v>
      </c>
      <c r="BC1260" s="52" t="n">
        <v>0</v>
      </c>
      <c r="BD1260" s="53" t="n">
        <v>0</v>
      </c>
      <c r="BE1260" s="52" t="n">
        <v>0</v>
      </c>
      <c r="BF1260" s="51" t="n">
        <v>0</v>
      </c>
    </row>
    <row r="1261">
      <c r="A1261">
        <f>HYPERLINK("https://www.walmart.com/ip/753821563", "753821563")</f>
        <v/>
      </c>
      <c r="B1261" t="inlineStr">
        <is>
          <t>Flyingstar Woman Sweatshirt Dress, Casual Ladies Pullover, Juniors Hoodie Dress with Kangaroo Pocket, One Size, Red</t>
        </is>
      </c>
      <c r="C1261" t="inlineStr">
        <is>
          <t>1WMHD530S1RD</t>
        </is>
      </c>
      <c r="D1261" t="inlineStr">
        <is>
          <t>Sweatshirts &amp; Hoodies</t>
        </is>
      </c>
      <c r="E1261" t="inlineStr">
        <is>
          <t>Flyingstar</t>
        </is>
      </c>
      <c r="F1261" t="inlineStr">
        <is>
          <t>Hoodie ForAdult,Optimized</t>
        </is>
      </c>
      <c r="G1261" s="48" t="n">
        <v>0</v>
      </c>
      <c r="H1261" s="49" t="n">
        <v>0</v>
      </c>
      <c r="I1261" s="49" t="n">
        <v>0</v>
      </c>
      <c r="J1261" s="50" t="n">
        <v>0</v>
      </c>
      <c r="K1261" s="51" t="n">
        <v>0</v>
      </c>
      <c r="L1261" s="52" t="n">
        <v>0</v>
      </c>
      <c r="M1261" s="52" t="n">
        <v>0</v>
      </c>
      <c r="N1261" s="52" t="n">
        <v>0</v>
      </c>
      <c r="O1261" s="53" t="n">
        <v>0</v>
      </c>
      <c r="P1261" s="52" t="n">
        <v>0</v>
      </c>
      <c r="Q1261" s="53" t="n">
        <v>0</v>
      </c>
      <c r="R1261" s="52" t="n">
        <v>0</v>
      </c>
      <c r="S1261" s="51" t="n">
        <v>0</v>
      </c>
      <c r="T1261" s="48" t="n">
        <v>0</v>
      </c>
      <c r="U1261" s="49" t="n">
        <v>0</v>
      </c>
      <c r="V1261" s="49" t="n">
        <v>0</v>
      </c>
      <c r="W1261" s="50" t="n">
        <v>0</v>
      </c>
      <c r="X1261" s="51" t="n">
        <v>0</v>
      </c>
      <c r="Y1261" s="52" t="n">
        <v>0</v>
      </c>
      <c r="Z1261" s="52" t="n">
        <v>0</v>
      </c>
      <c r="AA1261" s="52" t="n">
        <v>0</v>
      </c>
      <c r="AB1261" s="53" t="n">
        <v>0</v>
      </c>
      <c r="AC1261" s="52" t="n">
        <v>0</v>
      </c>
      <c r="AD1261" s="53" t="n">
        <v>0</v>
      </c>
      <c r="AE1261" s="52" t="n">
        <v>0</v>
      </c>
      <c r="AF1261" s="51" t="n">
        <v>0</v>
      </c>
      <c r="AG1261" s="48" t="n">
        <v>0</v>
      </c>
      <c r="AH1261" s="49" t="n">
        <v>0</v>
      </c>
      <c r="AI1261" s="49" t="n">
        <v>0</v>
      </c>
      <c r="AJ1261" s="50" t="n">
        <v>0</v>
      </c>
      <c r="AK1261" s="51" t="n">
        <v>0</v>
      </c>
      <c r="AL1261" s="52" t="n">
        <v>0</v>
      </c>
      <c r="AM1261" s="52" t="n">
        <v>0</v>
      </c>
      <c r="AN1261" s="52" t="n">
        <v>0</v>
      </c>
      <c r="AO1261" s="53" t="n">
        <v>0</v>
      </c>
      <c r="AP1261" s="52" t="n">
        <v>0</v>
      </c>
      <c r="AQ1261" s="53" t="n">
        <v>0</v>
      </c>
      <c r="AR1261" s="52" t="n">
        <v>0</v>
      </c>
      <c r="AS1261" s="51" t="n">
        <v>0</v>
      </c>
      <c r="AT1261" s="48" t="n">
        <v>0</v>
      </c>
      <c r="AU1261" s="49" t="n">
        <v>0</v>
      </c>
      <c r="AV1261" s="49" t="n">
        <v>0</v>
      </c>
      <c r="AW1261" s="50" t="n">
        <v>0</v>
      </c>
      <c r="AX1261" s="51" t="n">
        <v>0</v>
      </c>
      <c r="AY1261" s="52" t="n">
        <v>0</v>
      </c>
      <c r="AZ1261" s="52" t="n">
        <v>0</v>
      </c>
      <c r="BA1261" s="52" t="n">
        <v>0</v>
      </c>
      <c r="BB1261" s="53" t="n">
        <v>0</v>
      </c>
      <c r="BC1261" s="52" t="n">
        <v>0</v>
      </c>
      <c r="BD1261" s="53" t="n">
        <v>0</v>
      </c>
      <c r="BE1261" s="52" t="n">
        <v>0</v>
      </c>
      <c r="BF1261" s="51" t="n">
        <v>0</v>
      </c>
    </row>
    <row r="1262">
      <c r="A1262">
        <f>HYPERLINK("https://www.walmart.com/ip/753873695", "753873695")</f>
        <v/>
      </c>
      <c r="B1262" t="inlineStr">
        <is>
          <t>Tirrinia Sherpa Wearable Snuggle Blanket, Unisex Soft Warm Blanket with Sleeves 72" x 55" Cheetah</t>
        </is>
      </c>
      <c r="C1262" t="inlineStr">
        <is>
          <t>1TRSN110CHEETAH</t>
        </is>
      </c>
      <c r="D1262" t="inlineStr">
        <is>
          <t>Throws</t>
        </is>
      </c>
      <c r="E1262" t="inlineStr">
        <is>
          <t>Terrania</t>
        </is>
      </c>
      <c r="F1262" t="inlineStr">
        <is>
          <t>Coupon_Discount,Batch 1 - TR</t>
        </is>
      </c>
      <c r="G1262" s="48" t="n">
        <v>0</v>
      </c>
      <c r="H1262" s="49" t="n">
        <v>0</v>
      </c>
      <c r="I1262" s="49" t="n">
        <v>0</v>
      </c>
      <c r="J1262" s="50" t="n">
        <v>0</v>
      </c>
      <c r="K1262" s="51" t="n">
        <v>0</v>
      </c>
      <c r="L1262" s="52" t="n">
        <v>0</v>
      </c>
      <c r="M1262" s="52" t="n">
        <v>0</v>
      </c>
      <c r="N1262" s="52" t="n">
        <v>0</v>
      </c>
      <c r="O1262" s="53" t="n">
        <v>0</v>
      </c>
      <c r="P1262" s="52" t="n">
        <v>0</v>
      </c>
      <c r="Q1262" s="53" t="n">
        <v>0</v>
      </c>
      <c r="R1262" s="52" t="n">
        <v>0</v>
      </c>
      <c r="S1262" s="51" t="n">
        <v>0</v>
      </c>
      <c r="T1262" s="48" t="n">
        <v>0</v>
      </c>
      <c r="U1262" s="49" t="n">
        <v>0</v>
      </c>
      <c r="V1262" s="49" t="n">
        <v>0</v>
      </c>
      <c r="W1262" s="50" t="n">
        <v>0</v>
      </c>
      <c r="X1262" s="51" t="n">
        <v>0</v>
      </c>
      <c r="Y1262" s="52" t="n">
        <v>0</v>
      </c>
      <c r="Z1262" s="52" t="n">
        <v>0</v>
      </c>
      <c r="AA1262" s="52" t="n">
        <v>0</v>
      </c>
      <c r="AB1262" s="53" t="n">
        <v>0</v>
      </c>
      <c r="AC1262" s="52" t="n">
        <v>0</v>
      </c>
      <c r="AD1262" s="53" t="n">
        <v>0</v>
      </c>
      <c r="AE1262" s="52" t="n">
        <v>0</v>
      </c>
      <c r="AF1262" s="51" t="n">
        <v>0</v>
      </c>
      <c r="AG1262" s="48" t="n">
        <v>0</v>
      </c>
      <c r="AH1262" s="49" t="n">
        <v>0</v>
      </c>
      <c r="AI1262" s="49" t="n">
        <v>0</v>
      </c>
      <c r="AJ1262" s="50" t="n">
        <v>0</v>
      </c>
      <c r="AK1262" s="51" t="n">
        <v>0</v>
      </c>
      <c r="AL1262" s="52" t="n">
        <v>0</v>
      </c>
      <c r="AM1262" s="52" t="n">
        <v>0</v>
      </c>
      <c r="AN1262" s="52" t="n">
        <v>0</v>
      </c>
      <c r="AO1262" s="53" t="n">
        <v>0</v>
      </c>
      <c r="AP1262" s="52" t="n">
        <v>0</v>
      </c>
      <c r="AQ1262" s="53" t="n">
        <v>0</v>
      </c>
      <c r="AR1262" s="52" t="n">
        <v>0</v>
      </c>
      <c r="AS1262" s="51" t="n">
        <v>0</v>
      </c>
      <c r="AT1262" s="48" t="n">
        <v>0</v>
      </c>
      <c r="AU1262" s="49" t="n">
        <v>0</v>
      </c>
      <c r="AV1262" s="49" t="n">
        <v>0</v>
      </c>
      <c r="AW1262" s="50" t="n">
        <v>0</v>
      </c>
      <c r="AX1262" s="51" t="n">
        <v>0</v>
      </c>
      <c r="AY1262" s="52" t="n">
        <v>0</v>
      </c>
      <c r="AZ1262" s="52" t="n">
        <v>0</v>
      </c>
      <c r="BA1262" s="52" t="n">
        <v>0</v>
      </c>
      <c r="BB1262" s="53" t="n">
        <v>0</v>
      </c>
      <c r="BC1262" s="52" t="n">
        <v>0</v>
      </c>
      <c r="BD1262" s="53" t="n">
        <v>0</v>
      </c>
      <c r="BE1262" s="52" t="n">
        <v>0</v>
      </c>
      <c r="BF1262" s="51" t="n">
        <v>0</v>
      </c>
    </row>
    <row r="1263">
      <c r="A1263">
        <f>HYPERLINK("https://www.walmart.com/ip/754680996", "754680996")</f>
        <v/>
      </c>
      <c r="B1263" t="inlineStr">
        <is>
          <t>Oversized Hoodie Blanket Sweatshirt,Super Soft Warm Comfortable Fleece Giant Pullover with Large Front Pocket,for Adults Men Women Teenagers Kids Wife Girlfriend</t>
        </is>
      </c>
      <c r="C1263" t="inlineStr">
        <is>
          <t>1CTHD300MN-UPC</t>
        </is>
      </c>
      <c r="D1263" t="inlineStr">
        <is>
          <t>Sweatshirts &amp; Hoodies</t>
        </is>
      </c>
      <c r="E1263" t="inlineStr">
        <is>
          <t>Catalonia</t>
        </is>
      </c>
      <c r="F1263" t="inlineStr">
        <is>
          <t>Hoodie ForAdult,Optimized</t>
        </is>
      </c>
      <c r="G1263" s="48" t="n">
        <v>0</v>
      </c>
      <c r="H1263" s="49" t="n">
        <v>0</v>
      </c>
      <c r="I1263" s="49" t="n">
        <v>0</v>
      </c>
      <c r="J1263" s="50" t="n">
        <v>0</v>
      </c>
      <c r="K1263" s="51" t="n">
        <v>0</v>
      </c>
      <c r="L1263" s="52" t="n">
        <v>0</v>
      </c>
      <c r="M1263" s="52" t="n">
        <v>0</v>
      </c>
      <c r="N1263" s="52" t="n">
        <v>0</v>
      </c>
      <c r="O1263" s="53" t="n">
        <v>0</v>
      </c>
      <c r="P1263" s="52" t="n">
        <v>0</v>
      </c>
      <c r="Q1263" s="53" t="n">
        <v>0</v>
      </c>
      <c r="R1263" s="52" t="n">
        <v>0</v>
      </c>
      <c r="S1263" s="51" t="n">
        <v>0</v>
      </c>
      <c r="T1263" s="48" t="n">
        <v>0</v>
      </c>
      <c r="U1263" s="49" t="n">
        <v>0</v>
      </c>
      <c r="V1263" s="49" t="n">
        <v>0</v>
      </c>
      <c r="W1263" s="50" t="n">
        <v>0</v>
      </c>
      <c r="X1263" s="51" t="n">
        <v>0</v>
      </c>
      <c r="Y1263" s="52" t="n">
        <v>0</v>
      </c>
      <c r="Z1263" s="52" t="n">
        <v>0</v>
      </c>
      <c r="AA1263" s="52" t="n">
        <v>0</v>
      </c>
      <c r="AB1263" s="53" t="n">
        <v>0</v>
      </c>
      <c r="AC1263" s="52" t="n">
        <v>0</v>
      </c>
      <c r="AD1263" s="53" t="n">
        <v>0</v>
      </c>
      <c r="AE1263" s="52" t="n">
        <v>0</v>
      </c>
      <c r="AF1263" s="51" t="n">
        <v>0</v>
      </c>
      <c r="AG1263" s="48" t="n">
        <v>0</v>
      </c>
      <c r="AH1263" s="49" t="n">
        <v>0</v>
      </c>
      <c r="AI1263" s="49" t="n">
        <v>0</v>
      </c>
      <c r="AJ1263" s="50" t="n">
        <v>0</v>
      </c>
      <c r="AK1263" s="51" t="n">
        <v>0</v>
      </c>
      <c r="AL1263" s="52" t="n">
        <v>0</v>
      </c>
      <c r="AM1263" s="52" t="n">
        <v>0</v>
      </c>
      <c r="AN1263" s="52" t="n">
        <v>0</v>
      </c>
      <c r="AO1263" s="53" t="n">
        <v>0</v>
      </c>
      <c r="AP1263" s="52" t="n">
        <v>0</v>
      </c>
      <c r="AQ1263" s="53" t="n">
        <v>0</v>
      </c>
      <c r="AR1263" s="52" t="n">
        <v>0</v>
      </c>
      <c r="AS1263" s="51" t="n">
        <v>0</v>
      </c>
      <c r="AT1263" s="48" t="n">
        <v>0</v>
      </c>
      <c r="AU1263" s="49" t="n">
        <v>0</v>
      </c>
      <c r="AV1263" s="49" t="n">
        <v>0</v>
      </c>
      <c r="AW1263" s="50" t="n">
        <v>0</v>
      </c>
      <c r="AX1263" s="51" t="n">
        <v>0</v>
      </c>
      <c r="AY1263" s="52" t="n">
        <v>0</v>
      </c>
      <c r="AZ1263" s="52" t="n">
        <v>0</v>
      </c>
      <c r="BA1263" s="52" t="n">
        <v>0</v>
      </c>
      <c r="BB1263" s="53" t="n">
        <v>0</v>
      </c>
      <c r="BC1263" s="52" t="n">
        <v>0</v>
      </c>
      <c r="BD1263" s="53" t="n">
        <v>0</v>
      </c>
      <c r="BE1263" s="52" t="n">
        <v>0</v>
      </c>
      <c r="BF1263" s="51" t="n">
        <v>0</v>
      </c>
    </row>
    <row r="1264">
      <c r="A1264">
        <f>HYPERLINK("https://www.walmart.com/ip/757558691", "757558691")</f>
        <v/>
      </c>
      <c r="B1264" t="inlineStr">
        <is>
          <t>Women’s Crop Top Hoodie Sweatshirt Oversized Casual 3/4 Sleeve One Size Grey</t>
        </is>
      </c>
      <c r="C1264" t="inlineStr">
        <is>
          <t>1WMHD520S1GY</t>
        </is>
      </c>
      <c r="D1264" t="inlineStr">
        <is>
          <t>Sweatshirts &amp; Hoodies</t>
        </is>
      </c>
      <c r="E1264" t="inlineStr">
        <is>
          <t>Flyingstar</t>
        </is>
      </c>
      <c r="F1264" t="inlineStr">
        <is>
          <t>Hoodie ForAdult,Optimized</t>
        </is>
      </c>
      <c r="G1264" s="48" t="n">
        <v>0</v>
      </c>
      <c r="H1264" s="49" t="n">
        <v>0</v>
      </c>
      <c r="I1264" s="49" t="n">
        <v>0</v>
      </c>
      <c r="J1264" s="50" t="n">
        <v>0</v>
      </c>
      <c r="K1264" s="51" t="n">
        <v>0</v>
      </c>
      <c r="L1264" s="52" t="n">
        <v>0</v>
      </c>
      <c r="M1264" s="52" t="n">
        <v>0</v>
      </c>
      <c r="N1264" s="52" t="n">
        <v>0</v>
      </c>
      <c r="O1264" s="53" t="n">
        <v>0</v>
      </c>
      <c r="P1264" s="52" t="n">
        <v>0</v>
      </c>
      <c r="Q1264" s="53" t="n">
        <v>0</v>
      </c>
      <c r="R1264" s="52" t="n">
        <v>0</v>
      </c>
      <c r="S1264" s="51" t="n">
        <v>0</v>
      </c>
      <c r="T1264" s="48" t="n">
        <v>0</v>
      </c>
      <c r="U1264" s="49" t="n">
        <v>0</v>
      </c>
      <c r="V1264" s="49" t="n">
        <v>0</v>
      </c>
      <c r="W1264" s="50" t="n">
        <v>0</v>
      </c>
      <c r="X1264" s="51" t="n">
        <v>0</v>
      </c>
      <c r="Y1264" s="52" t="n">
        <v>0</v>
      </c>
      <c r="Z1264" s="52" t="n">
        <v>0</v>
      </c>
      <c r="AA1264" s="52" t="n">
        <v>0</v>
      </c>
      <c r="AB1264" s="53" t="n">
        <v>0</v>
      </c>
      <c r="AC1264" s="52" t="n">
        <v>0</v>
      </c>
      <c r="AD1264" s="53" t="n">
        <v>0</v>
      </c>
      <c r="AE1264" s="52" t="n">
        <v>0</v>
      </c>
      <c r="AF1264" s="51" t="n">
        <v>0</v>
      </c>
      <c r="AG1264" s="48" t="n">
        <v>0</v>
      </c>
      <c r="AH1264" s="49" t="n">
        <v>0</v>
      </c>
      <c r="AI1264" s="49" t="n">
        <v>0</v>
      </c>
      <c r="AJ1264" s="50" t="n">
        <v>0</v>
      </c>
      <c r="AK1264" s="51" t="n">
        <v>0</v>
      </c>
      <c r="AL1264" s="52" t="n">
        <v>0</v>
      </c>
      <c r="AM1264" s="52" t="n">
        <v>0</v>
      </c>
      <c r="AN1264" s="52" t="n">
        <v>0</v>
      </c>
      <c r="AO1264" s="53" t="n">
        <v>0</v>
      </c>
      <c r="AP1264" s="52" t="n">
        <v>0</v>
      </c>
      <c r="AQ1264" s="53" t="n">
        <v>0</v>
      </c>
      <c r="AR1264" s="52" t="n">
        <v>0</v>
      </c>
      <c r="AS1264" s="51" t="n">
        <v>0</v>
      </c>
      <c r="AT1264" s="48" t="n">
        <v>0</v>
      </c>
      <c r="AU1264" s="49" t="n">
        <v>0</v>
      </c>
      <c r="AV1264" s="49" t="n">
        <v>0</v>
      </c>
      <c r="AW1264" s="50" t="n">
        <v>0</v>
      </c>
      <c r="AX1264" s="51" t="n">
        <v>0</v>
      </c>
      <c r="AY1264" s="52" t="n">
        <v>0</v>
      </c>
      <c r="AZ1264" s="52" t="n">
        <v>0</v>
      </c>
      <c r="BA1264" s="52" t="n">
        <v>0</v>
      </c>
      <c r="BB1264" s="53" t="n">
        <v>0</v>
      </c>
      <c r="BC1264" s="52" t="n">
        <v>0</v>
      </c>
      <c r="BD1264" s="53" t="n">
        <v>0</v>
      </c>
      <c r="BE1264" s="52" t="n">
        <v>0</v>
      </c>
      <c r="BF1264" s="51" t="n">
        <v>0</v>
      </c>
    </row>
    <row r="1265">
      <c r="A1265">
        <f>HYPERLINK("https://www.walmart.com/ip/758501304", "758501304")</f>
        <v/>
      </c>
      <c r="B1265" t="inlineStr">
        <is>
          <t>Youth Reflective Knit Beanie Hat For Sports Warm</t>
        </is>
      </c>
      <c r="C1265" t="inlineStr">
        <is>
          <t>1SLBN02OR-FSCB</t>
        </is>
      </c>
      <c r="D1265" t="inlineStr">
        <is>
          <t>Hats</t>
        </is>
      </c>
      <c r="E1265" t="inlineStr">
        <is>
          <t>Solaris</t>
        </is>
      </c>
      <c r="F1265" t="inlineStr">
        <is>
          <t>Optimized</t>
        </is>
      </c>
      <c r="G1265" s="48" t="n">
        <v>0</v>
      </c>
      <c r="H1265" s="49" t="n">
        <v>0</v>
      </c>
      <c r="I1265" s="49" t="n">
        <v>0</v>
      </c>
      <c r="J1265" s="50" t="n">
        <v>0</v>
      </c>
      <c r="K1265" s="51" t="n">
        <v>0</v>
      </c>
      <c r="L1265" s="52" t="n">
        <v>0</v>
      </c>
      <c r="M1265" s="52" t="n">
        <v>0</v>
      </c>
      <c r="N1265" s="52" t="n">
        <v>0</v>
      </c>
      <c r="O1265" s="53" t="n">
        <v>0</v>
      </c>
      <c r="P1265" s="52" t="n">
        <v>0</v>
      </c>
      <c r="Q1265" s="53" t="n">
        <v>0</v>
      </c>
      <c r="R1265" s="52" t="n">
        <v>0</v>
      </c>
      <c r="S1265" s="51" t="n">
        <v>0</v>
      </c>
      <c r="T1265" s="48" t="n">
        <v>0</v>
      </c>
      <c r="U1265" s="49" t="n">
        <v>0</v>
      </c>
      <c r="V1265" s="49" t="n">
        <v>0</v>
      </c>
      <c r="W1265" s="50" t="n">
        <v>0</v>
      </c>
      <c r="X1265" s="51" t="n">
        <v>0</v>
      </c>
      <c r="Y1265" s="52" t="n">
        <v>0</v>
      </c>
      <c r="Z1265" s="52" t="n">
        <v>0</v>
      </c>
      <c r="AA1265" s="52" t="n">
        <v>0</v>
      </c>
      <c r="AB1265" s="53" t="n">
        <v>0</v>
      </c>
      <c r="AC1265" s="52" t="n">
        <v>0</v>
      </c>
      <c r="AD1265" s="53" t="n">
        <v>0</v>
      </c>
      <c r="AE1265" s="52" t="n">
        <v>0</v>
      </c>
      <c r="AF1265" s="51" t="n">
        <v>0</v>
      </c>
      <c r="AG1265" s="48" t="n">
        <v>0</v>
      </c>
      <c r="AH1265" s="49" t="n">
        <v>0</v>
      </c>
      <c r="AI1265" s="49" t="n">
        <v>0</v>
      </c>
      <c r="AJ1265" s="50" t="n">
        <v>0</v>
      </c>
      <c r="AK1265" s="51" t="n">
        <v>0</v>
      </c>
      <c r="AL1265" s="52" t="n">
        <v>0</v>
      </c>
      <c r="AM1265" s="52" t="n">
        <v>0</v>
      </c>
      <c r="AN1265" s="52" t="n">
        <v>0</v>
      </c>
      <c r="AO1265" s="53" t="n">
        <v>0</v>
      </c>
      <c r="AP1265" s="52" t="n">
        <v>0</v>
      </c>
      <c r="AQ1265" s="53" t="n">
        <v>0</v>
      </c>
      <c r="AR1265" s="52" t="n">
        <v>0</v>
      </c>
      <c r="AS1265" s="51" t="n">
        <v>0</v>
      </c>
      <c r="AT1265" s="48" t="n">
        <v>0</v>
      </c>
      <c r="AU1265" s="49" t="n">
        <v>0</v>
      </c>
      <c r="AV1265" s="49" t="n">
        <v>0</v>
      </c>
      <c r="AW1265" s="50" t="n">
        <v>0</v>
      </c>
      <c r="AX1265" s="51" t="n">
        <v>0</v>
      </c>
      <c r="AY1265" s="52" t="n">
        <v>0</v>
      </c>
      <c r="AZ1265" s="52" t="n">
        <v>0</v>
      </c>
      <c r="BA1265" s="52" t="n">
        <v>0</v>
      </c>
      <c r="BB1265" s="53" t="n">
        <v>0</v>
      </c>
      <c r="BC1265" s="52" t="n">
        <v>0</v>
      </c>
      <c r="BD1265" s="53" t="n">
        <v>0</v>
      </c>
      <c r="BE1265" s="52" t="n">
        <v>0</v>
      </c>
      <c r="BF1265" s="51" t="n">
        <v>0</v>
      </c>
    </row>
    <row r="1266">
      <c r="A1266">
        <f>HYPERLINK("https://www.walmart.com/ip/758938048", "758938048")</f>
        <v/>
      </c>
      <c r="B1266" t="inlineStr">
        <is>
          <t>Terra Men Boxer Brief Underwear Best 3 Pack Most Comfortable Cotton Trunk Short</t>
        </is>
      </c>
      <c r="C1266" t="inlineStr">
        <is>
          <t>TERRA-BOXER6-L</t>
        </is>
      </c>
      <c r="D1266" t="inlineStr">
        <is>
          <t>Underpants</t>
        </is>
      </c>
      <c r="E1266" t="inlineStr">
        <is>
          <t>Terra</t>
        </is>
      </c>
      <c r="F1266" t="inlineStr">
        <is>
          <t>Batch 1 - TR</t>
        </is>
      </c>
      <c r="G1266" s="48" t="n">
        <v>0</v>
      </c>
      <c r="H1266" s="49" t="n">
        <v>0</v>
      </c>
      <c r="I1266" s="49" t="n">
        <v>0</v>
      </c>
      <c r="J1266" s="50" t="n">
        <v>0</v>
      </c>
      <c r="K1266" s="51" t="n">
        <v>0</v>
      </c>
      <c r="L1266" s="52" t="n">
        <v>0</v>
      </c>
      <c r="M1266" s="52" t="n">
        <v>0</v>
      </c>
      <c r="N1266" s="52" t="n">
        <v>0</v>
      </c>
      <c r="O1266" s="53" t="n">
        <v>0</v>
      </c>
      <c r="P1266" s="52" t="n">
        <v>0</v>
      </c>
      <c r="Q1266" s="53" t="n">
        <v>0</v>
      </c>
      <c r="R1266" s="52" t="n">
        <v>0</v>
      </c>
      <c r="S1266" s="51" t="n">
        <v>0</v>
      </c>
      <c r="T1266" s="48" t="n">
        <v>0</v>
      </c>
      <c r="U1266" s="49" t="n">
        <v>0</v>
      </c>
      <c r="V1266" s="49" t="n">
        <v>0</v>
      </c>
      <c r="W1266" s="50" t="n">
        <v>0</v>
      </c>
      <c r="X1266" s="51" t="n">
        <v>0</v>
      </c>
      <c r="Y1266" s="52" t="n">
        <v>0</v>
      </c>
      <c r="Z1266" s="52" t="n">
        <v>0</v>
      </c>
      <c r="AA1266" s="52" t="n">
        <v>0</v>
      </c>
      <c r="AB1266" s="53" t="n">
        <v>0</v>
      </c>
      <c r="AC1266" s="52" t="n">
        <v>0</v>
      </c>
      <c r="AD1266" s="53" t="n">
        <v>0</v>
      </c>
      <c r="AE1266" s="52" t="n">
        <v>0</v>
      </c>
      <c r="AF1266" s="51" t="n">
        <v>0</v>
      </c>
      <c r="AG1266" s="48" t="n">
        <v>0</v>
      </c>
      <c r="AH1266" s="49" t="n">
        <v>0</v>
      </c>
      <c r="AI1266" s="49" t="n">
        <v>0</v>
      </c>
      <c r="AJ1266" s="50" t="n">
        <v>0</v>
      </c>
      <c r="AK1266" s="51" t="n">
        <v>0</v>
      </c>
      <c r="AL1266" s="52" t="n">
        <v>0</v>
      </c>
      <c r="AM1266" s="52" t="n">
        <v>0</v>
      </c>
      <c r="AN1266" s="52" t="n">
        <v>0</v>
      </c>
      <c r="AO1266" s="53" t="n">
        <v>0</v>
      </c>
      <c r="AP1266" s="52" t="n">
        <v>0</v>
      </c>
      <c r="AQ1266" s="53" t="n">
        <v>0</v>
      </c>
      <c r="AR1266" s="52" t="n">
        <v>0</v>
      </c>
      <c r="AS1266" s="51" t="n">
        <v>0</v>
      </c>
      <c r="AT1266" s="48" t="n">
        <v>0</v>
      </c>
      <c r="AU1266" s="49" t="n">
        <v>0</v>
      </c>
      <c r="AV1266" s="49" t="n">
        <v>0</v>
      </c>
      <c r="AW1266" s="50" t="n">
        <v>0</v>
      </c>
      <c r="AX1266" s="51" t="n">
        <v>0</v>
      </c>
      <c r="AY1266" s="52" t="n">
        <v>0</v>
      </c>
      <c r="AZ1266" s="52" t="n">
        <v>0</v>
      </c>
      <c r="BA1266" s="52" t="n">
        <v>0</v>
      </c>
      <c r="BB1266" s="53" t="n">
        <v>0</v>
      </c>
      <c r="BC1266" s="52" t="n">
        <v>0</v>
      </c>
      <c r="BD1266" s="53" t="n">
        <v>0</v>
      </c>
      <c r="BE1266" s="52" t="n">
        <v>0</v>
      </c>
      <c r="BF1266" s="51" t="n">
        <v>0</v>
      </c>
    </row>
    <row r="1267">
      <c r="A1267">
        <f>HYPERLINK("https://www.walmart.com/ip/768292431", "768292431")</f>
        <v/>
      </c>
      <c r="B1267" t="inlineStr">
        <is>
          <t>Catalonia King Size Bed Quilt Set, Summer Bedspread Coverlet, 100x106 inches, Grey/White, Forest Pattern</t>
        </is>
      </c>
      <c r="C1267" t="inlineStr">
        <is>
          <t>1CTBQ202KI-GYWT</t>
        </is>
      </c>
      <c r="D1267" t="inlineStr">
        <is>
          <t>Bedding Sets</t>
        </is>
      </c>
      <c r="E1267" t="inlineStr">
        <is>
          <t>Catalonia</t>
        </is>
      </c>
      <c r="F1267" t="inlineStr">
        <is>
          <t>Optimized,Quilt_Vinay</t>
        </is>
      </c>
      <c r="G1267" s="48" t="n">
        <v>0</v>
      </c>
      <c r="H1267" s="49" t="n">
        <v>0</v>
      </c>
      <c r="I1267" s="49" t="n">
        <v>0</v>
      </c>
      <c r="J1267" s="50" t="n">
        <v>0</v>
      </c>
      <c r="K1267" s="51" t="n">
        <v>0</v>
      </c>
      <c r="L1267" s="52" t="n">
        <v>0</v>
      </c>
      <c r="M1267" s="52" t="n">
        <v>0</v>
      </c>
      <c r="N1267" s="52" t="n">
        <v>0</v>
      </c>
      <c r="O1267" s="53" t="n">
        <v>0</v>
      </c>
      <c r="P1267" s="52" t="n">
        <v>0</v>
      </c>
      <c r="Q1267" s="53" t="n">
        <v>0</v>
      </c>
      <c r="R1267" s="52" t="n">
        <v>0</v>
      </c>
      <c r="S1267" s="51" t="n">
        <v>0</v>
      </c>
      <c r="T1267" s="48" t="n">
        <v>0</v>
      </c>
      <c r="U1267" s="49" t="n">
        <v>0</v>
      </c>
      <c r="V1267" s="49" t="n">
        <v>0</v>
      </c>
      <c r="W1267" s="50" t="n">
        <v>0</v>
      </c>
      <c r="X1267" s="51" t="n">
        <v>0</v>
      </c>
      <c r="Y1267" s="52" t="n">
        <v>0</v>
      </c>
      <c r="Z1267" s="52" t="n">
        <v>0</v>
      </c>
      <c r="AA1267" s="52" t="n">
        <v>0</v>
      </c>
      <c r="AB1267" s="53" t="n">
        <v>0</v>
      </c>
      <c r="AC1267" s="52" t="n">
        <v>0</v>
      </c>
      <c r="AD1267" s="53" t="n">
        <v>0</v>
      </c>
      <c r="AE1267" s="52" t="n">
        <v>0</v>
      </c>
      <c r="AF1267" s="51" t="n">
        <v>0</v>
      </c>
      <c r="AG1267" s="48" t="n">
        <v>0</v>
      </c>
      <c r="AH1267" s="49" t="n">
        <v>0</v>
      </c>
      <c r="AI1267" s="49" t="n">
        <v>0</v>
      </c>
      <c r="AJ1267" s="50" t="n">
        <v>0</v>
      </c>
      <c r="AK1267" s="51" t="n">
        <v>0</v>
      </c>
      <c r="AL1267" s="52" t="n">
        <v>0</v>
      </c>
      <c r="AM1267" s="52" t="n">
        <v>0</v>
      </c>
      <c r="AN1267" s="52" t="n">
        <v>0</v>
      </c>
      <c r="AO1267" s="53" t="n">
        <v>0</v>
      </c>
      <c r="AP1267" s="52" t="n">
        <v>0</v>
      </c>
      <c r="AQ1267" s="53" t="n">
        <v>0</v>
      </c>
      <c r="AR1267" s="52" t="n">
        <v>0</v>
      </c>
      <c r="AS1267" s="51" t="n">
        <v>0</v>
      </c>
      <c r="AT1267" s="48" t="n">
        <v>0</v>
      </c>
      <c r="AU1267" s="49" t="n">
        <v>0</v>
      </c>
      <c r="AV1267" s="49" t="n">
        <v>0</v>
      </c>
      <c r="AW1267" s="50" t="n">
        <v>0</v>
      </c>
      <c r="AX1267" s="51" t="n">
        <v>0</v>
      </c>
      <c r="AY1267" s="52" t="n">
        <v>0</v>
      </c>
      <c r="AZ1267" s="52" t="n">
        <v>0</v>
      </c>
      <c r="BA1267" s="52" t="n">
        <v>0</v>
      </c>
      <c r="BB1267" s="53" t="n">
        <v>0</v>
      </c>
      <c r="BC1267" s="52" t="n">
        <v>0</v>
      </c>
      <c r="BD1267" s="53" t="n">
        <v>0</v>
      </c>
      <c r="BE1267" s="52" t="n">
        <v>0</v>
      </c>
      <c r="BF1267" s="51" t="n">
        <v>0</v>
      </c>
    </row>
    <row r="1268">
      <c r="A1268">
        <f>HYPERLINK("https://www.walmart.com/ip/768651483", "768651483")</f>
        <v/>
      </c>
      <c r="B1268" t="inlineStr">
        <is>
          <t>Catalonia Coral Fleece Throw Blanket for Couch, All Seasons Lightweight Soft Cozy Throws for Home Living Room Decoration, 50'' x 60'', Gray</t>
        </is>
      </c>
      <c r="C1268" t="inlineStr">
        <is>
          <t>1CTBF577GY</t>
        </is>
      </c>
      <c r="D1268" t="inlineStr">
        <is>
          <t>Throws</t>
        </is>
      </c>
      <c r="E1268" t="inlineStr">
        <is>
          <t>Catalonia</t>
        </is>
      </c>
      <c r="F1268" t="inlineStr">
        <is>
          <t>WFS,cost-added,WFS Item</t>
        </is>
      </c>
      <c r="G1268" s="48" t="n">
        <v>0</v>
      </c>
      <c r="H1268" s="49" t="n">
        <v>0</v>
      </c>
      <c r="I1268" s="49" t="n">
        <v>0</v>
      </c>
      <c r="J1268" s="50" t="n">
        <v>0</v>
      </c>
      <c r="K1268" s="51" t="n">
        <v>0</v>
      </c>
      <c r="L1268" s="52" t="n">
        <v>0</v>
      </c>
      <c r="M1268" s="52" t="n">
        <v>0</v>
      </c>
      <c r="N1268" s="52" t="n">
        <v>0</v>
      </c>
      <c r="O1268" s="53" t="n">
        <v>0</v>
      </c>
      <c r="P1268" s="52" t="n">
        <v>0</v>
      </c>
      <c r="Q1268" s="53" t="n">
        <v>0</v>
      </c>
      <c r="R1268" s="52" t="n">
        <v>0</v>
      </c>
      <c r="S1268" s="51" t="n">
        <v>0</v>
      </c>
      <c r="T1268" s="48" t="n">
        <v>0</v>
      </c>
      <c r="U1268" s="49" t="n">
        <v>0</v>
      </c>
      <c r="V1268" s="49" t="n">
        <v>0</v>
      </c>
      <c r="W1268" s="50" t="n">
        <v>0</v>
      </c>
      <c r="X1268" s="51" t="n">
        <v>0</v>
      </c>
      <c r="Y1268" s="52" t="n">
        <v>0</v>
      </c>
      <c r="Z1268" s="52" t="n">
        <v>0</v>
      </c>
      <c r="AA1268" s="52" t="n">
        <v>0</v>
      </c>
      <c r="AB1268" s="53" t="n">
        <v>0</v>
      </c>
      <c r="AC1268" s="52" t="n">
        <v>0</v>
      </c>
      <c r="AD1268" s="53" t="n">
        <v>0</v>
      </c>
      <c r="AE1268" s="52" t="n">
        <v>0</v>
      </c>
      <c r="AF1268" s="51" t="n">
        <v>0</v>
      </c>
      <c r="AG1268" s="48" t="n">
        <v>0</v>
      </c>
      <c r="AH1268" s="49" t="n">
        <v>0</v>
      </c>
      <c r="AI1268" s="49" t="n">
        <v>0</v>
      </c>
      <c r="AJ1268" s="50" t="n">
        <v>0</v>
      </c>
      <c r="AK1268" s="51" t="n">
        <v>0</v>
      </c>
      <c r="AL1268" s="52" t="n">
        <v>0</v>
      </c>
      <c r="AM1268" s="52" t="n">
        <v>0</v>
      </c>
      <c r="AN1268" s="52" t="n">
        <v>0</v>
      </c>
      <c r="AO1268" s="53" t="n">
        <v>0</v>
      </c>
      <c r="AP1268" s="52" t="n">
        <v>0</v>
      </c>
      <c r="AQ1268" s="53" t="n">
        <v>0</v>
      </c>
      <c r="AR1268" s="52" t="n">
        <v>0</v>
      </c>
      <c r="AS1268" s="51" t="n">
        <v>0</v>
      </c>
      <c r="AT1268" s="48" t="n">
        <v>0</v>
      </c>
      <c r="AU1268" s="49" t="n">
        <v>0</v>
      </c>
      <c r="AV1268" s="49" t="n">
        <v>0</v>
      </c>
      <c r="AW1268" s="50" t="n">
        <v>0</v>
      </c>
      <c r="AX1268" s="51" t="n">
        <v>0</v>
      </c>
      <c r="AY1268" s="52" t="n">
        <v>0</v>
      </c>
      <c r="AZ1268" s="52" t="n">
        <v>0</v>
      </c>
      <c r="BA1268" s="52" t="n">
        <v>0</v>
      </c>
      <c r="BB1268" s="53" t="n">
        <v>0</v>
      </c>
      <c r="BC1268" s="52" t="n">
        <v>0</v>
      </c>
      <c r="BD1268" s="53" t="n">
        <v>0</v>
      </c>
      <c r="BE1268" s="52" t="n">
        <v>0</v>
      </c>
      <c r="BF1268" s="51" t="n">
        <v>0</v>
      </c>
    </row>
    <row r="1269">
      <c r="A1269">
        <f>HYPERLINK("https://www.walmart.com/ip/768700910", "768700910")</f>
        <v/>
      </c>
      <c r="B1269" t="inlineStr">
        <is>
          <t>Catalonia Sherpa Throw Blanket, Fuzzy Snuggle Blanket for Camping, Traveling, Couch, and Bed, Super Soft, Light Weight, Reversible Blanket for all Season Use, Green Camo, 50'' x 60''</t>
        </is>
      </c>
      <c r="C1269" t="inlineStr">
        <is>
          <t>1CTBF579GNCAMO</t>
        </is>
      </c>
      <c r="D1269" t="inlineStr">
        <is>
          <t>Throws</t>
        </is>
      </c>
      <c r="E1269" t="inlineStr">
        <is>
          <t>Catalonia</t>
        </is>
      </c>
      <c r="F1269" t="inlineStr">
        <is>
          <t>WFS,WFS Item</t>
        </is>
      </c>
      <c r="G1269" s="48" t="n">
        <v>0</v>
      </c>
      <c r="H1269" s="49" t="n">
        <v>0</v>
      </c>
      <c r="I1269" s="49" t="n">
        <v>0</v>
      </c>
      <c r="J1269" s="50" t="n">
        <v>0</v>
      </c>
      <c r="K1269" s="51" t="n">
        <v>1</v>
      </c>
      <c r="L1269" s="52" t="n">
        <v>0.31</v>
      </c>
      <c r="M1269" s="52" t="n">
        <v>0</v>
      </c>
      <c r="N1269" s="52" t="n">
        <v>0</v>
      </c>
      <c r="O1269" s="53" t="n">
        <v>0.0016</v>
      </c>
      <c r="P1269" s="52" t="n">
        <v>0.31</v>
      </c>
      <c r="Q1269" s="53" t="n">
        <v>0</v>
      </c>
      <c r="R1269" s="52" t="n">
        <v>0</v>
      </c>
      <c r="S1269" s="51" t="n">
        <v>639</v>
      </c>
      <c r="T1269" s="48" t="n">
        <v>0</v>
      </c>
      <c r="U1269" s="49" t="n">
        <v>0</v>
      </c>
      <c r="V1269" s="49" t="n">
        <v>0</v>
      </c>
      <c r="W1269" s="50" t="n">
        <v>0</v>
      </c>
      <c r="X1269" s="51" t="n">
        <v>4</v>
      </c>
      <c r="Y1269" s="52" t="n">
        <v>1.23</v>
      </c>
      <c r="Z1269" s="52" t="n">
        <v>0</v>
      </c>
      <c r="AA1269" s="52" t="n">
        <v>0</v>
      </c>
      <c r="AB1269" s="53" t="n">
        <v>0.0023</v>
      </c>
      <c r="AC1269" s="52" t="n">
        <v>0.3075</v>
      </c>
      <c r="AD1269" s="53" t="n">
        <v>0</v>
      </c>
      <c r="AE1269" s="52" t="n">
        <v>0</v>
      </c>
      <c r="AF1269" s="51" t="n">
        <v>1776</v>
      </c>
      <c r="AG1269" s="48" t="n">
        <v>0</v>
      </c>
      <c r="AH1269" s="49" t="n">
        <v>0</v>
      </c>
      <c r="AI1269" s="49" t="n">
        <v>0</v>
      </c>
      <c r="AJ1269" s="50" t="n">
        <v>0</v>
      </c>
      <c r="AK1269" s="51" t="n">
        <v>3</v>
      </c>
      <c r="AL1269" s="52" t="n">
        <v>0.9099999999999999</v>
      </c>
      <c r="AM1269" s="52" t="n">
        <v>0</v>
      </c>
      <c r="AN1269" s="52" t="n">
        <v>0</v>
      </c>
      <c r="AO1269" s="53" t="n">
        <v>0.0016</v>
      </c>
      <c r="AP1269" s="52" t="n">
        <v>0.3033333333333333</v>
      </c>
      <c r="AQ1269" s="53" t="n">
        <v>0</v>
      </c>
      <c r="AR1269" s="52" t="n">
        <v>0</v>
      </c>
      <c r="AS1269" s="51" t="n">
        <v>1882</v>
      </c>
      <c r="AT1269" s="48" t="n">
        <v>0</v>
      </c>
      <c r="AU1269" s="49" t="n">
        <v>0</v>
      </c>
      <c r="AV1269" s="49" t="n">
        <v>0</v>
      </c>
      <c r="AW1269" s="50" t="n">
        <v>0</v>
      </c>
      <c r="AX1269" s="51" t="n">
        <v>7</v>
      </c>
      <c r="AY1269" s="52" t="n">
        <v>2.17</v>
      </c>
      <c r="AZ1269" s="52" t="n">
        <v>0</v>
      </c>
      <c r="BA1269" s="52" t="n">
        <v>0</v>
      </c>
      <c r="BB1269" s="53" t="n">
        <v>0.0034</v>
      </c>
      <c r="BC1269" s="52" t="n">
        <v>0.31</v>
      </c>
      <c r="BD1269" s="53" t="n">
        <v>0</v>
      </c>
      <c r="BE1269" s="52" t="n">
        <v>0</v>
      </c>
      <c r="BF1269" s="51" t="n">
        <v>2086</v>
      </c>
    </row>
    <row r="1270">
      <c r="A1270">
        <f>HYPERLINK("https://www.walmart.com/ip/769798241", "769798241")</f>
        <v/>
      </c>
      <c r="B1270" t="inlineStr">
        <is>
          <t>Waterproof Ski Gloves, Winter Warm 3M Insulation Snow Gloves for Skiing, Snowboarding, Shoveling, Cycling, Skating, Outdoor Sports, Gifts for Men Women, Black</t>
        </is>
      </c>
      <c r="C1270" t="inlineStr">
        <is>
          <t>1SLWG301BKBK-L</t>
        </is>
      </c>
      <c r="D1270" t="inlineStr">
        <is>
          <t>Gloves &amp; Mittens</t>
        </is>
      </c>
      <c r="E1270" t="inlineStr">
        <is>
          <t>Solaris</t>
        </is>
      </c>
      <c r="F1270" t="inlineStr">
        <is>
          <t>Gloves,WFS,WFS Item</t>
        </is>
      </c>
      <c r="G1270" s="48" t="n">
        <v>0</v>
      </c>
      <c r="H1270" s="49" t="n">
        <v>0</v>
      </c>
      <c r="I1270" s="49" t="n">
        <v>0</v>
      </c>
      <c r="J1270" s="50" t="n">
        <v>0</v>
      </c>
      <c r="K1270" s="51" t="n">
        <v>0</v>
      </c>
      <c r="L1270" s="52" t="n">
        <v>0</v>
      </c>
      <c r="M1270" s="52" t="n">
        <v>0</v>
      </c>
      <c r="N1270" s="52" t="n">
        <v>0</v>
      </c>
      <c r="O1270" s="53" t="n">
        <v>0</v>
      </c>
      <c r="P1270" s="52" t="n">
        <v>0</v>
      </c>
      <c r="Q1270" s="53" t="n">
        <v>0</v>
      </c>
      <c r="R1270" s="52" t="n">
        <v>0</v>
      </c>
      <c r="S1270" s="51" t="n">
        <v>0</v>
      </c>
      <c r="T1270" s="48" t="n">
        <v>0</v>
      </c>
      <c r="U1270" s="49" t="n">
        <v>0</v>
      </c>
      <c r="V1270" s="49" t="n">
        <v>0</v>
      </c>
      <c r="W1270" s="50" t="n">
        <v>0</v>
      </c>
      <c r="X1270" s="51" t="n">
        <v>0</v>
      </c>
      <c r="Y1270" s="52" t="n">
        <v>0</v>
      </c>
      <c r="Z1270" s="52" t="n">
        <v>0</v>
      </c>
      <c r="AA1270" s="52" t="n">
        <v>0</v>
      </c>
      <c r="AB1270" s="53" t="n">
        <v>0</v>
      </c>
      <c r="AC1270" s="52" t="n">
        <v>0</v>
      </c>
      <c r="AD1270" s="53" t="n">
        <v>0</v>
      </c>
      <c r="AE1270" s="52" t="n">
        <v>0</v>
      </c>
      <c r="AF1270" s="51" t="n">
        <v>0</v>
      </c>
      <c r="AG1270" s="48" t="n">
        <v>0</v>
      </c>
      <c r="AH1270" s="49" t="n">
        <v>0</v>
      </c>
      <c r="AI1270" s="49" t="n">
        <v>0</v>
      </c>
      <c r="AJ1270" s="50" t="n">
        <v>0</v>
      </c>
      <c r="AK1270" s="51" t="n">
        <v>0</v>
      </c>
      <c r="AL1270" s="52" t="n">
        <v>0</v>
      </c>
      <c r="AM1270" s="52" t="n">
        <v>0</v>
      </c>
      <c r="AN1270" s="52" t="n">
        <v>0</v>
      </c>
      <c r="AO1270" s="53" t="n">
        <v>0</v>
      </c>
      <c r="AP1270" s="52" t="n">
        <v>0</v>
      </c>
      <c r="AQ1270" s="53" t="n">
        <v>0</v>
      </c>
      <c r="AR1270" s="52" t="n">
        <v>0</v>
      </c>
      <c r="AS1270" s="51" t="n">
        <v>0</v>
      </c>
      <c r="AT1270" s="48" t="n">
        <v>0</v>
      </c>
      <c r="AU1270" s="49" t="n">
        <v>0</v>
      </c>
      <c r="AV1270" s="49" t="n">
        <v>0</v>
      </c>
      <c r="AW1270" s="50" t="n">
        <v>0</v>
      </c>
      <c r="AX1270" s="51" t="n">
        <v>0</v>
      </c>
      <c r="AY1270" s="52" t="n">
        <v>0</v>
      </c>
      <c r="AZ1270" s="52" t="n">
        <v>0</v>
      </c>
      <c r="BA1270" s="52" t="n">
        <v>0</v>
      </c>
      <c r="BB1270" s="53" t="n">
        <v>0</v>
      </c>
      <c r="BC1270" s="52" t="n">
        <v>0</v>
      </c>
      <c r="BD1270" s="53" t="n">
        <v>0</v>
      </c>
      <c r="BE1270" s="52" t="n">
        <v>0</v>
      </c>
      <c r="BF1270" s="51" t="n">
        <v>0</v>
      </c>
    </row>
    <row r="1271">
      <c r="A1271">
        <f>HYPERLINK("https://www.walmart.com/ip/779627389", "779627389")</f>
        <v/>
      </c>
      <c r="B1271" t="inlineStr">
        <is>
          <t>Solaris Winter Cable Knit Beanie Hats with Fur Pom Pom for Women Ski Cap</t>
        </is>
      </c>
      <c r="C1271" t="inlineStr">
        <is>
          <t>1SLPPH02BL</t>
        </is>
      </c>
      <c r="D1271" t="inlineStr">
        <is>
          <t>Hats</t>
        </is>
      </c>
      <c r="E1271" t="inlineStr">
        <is>
          <t>Solaris</t>
        </is>
      </c>
      <c r="F1271" t="inlineStr">
        <is>
          <t>Batch 1 - TR</t>
        </is>
      </c>
      <c r="G1271" s="48" t="n">
        <v>0</v>
      </c>
      <c r="H1271" s="49" t="n">
        <v>0</v>
      </c>
      <c r="I1271" s="49" t="n">
        <v>0</v>
      </c>
      <c r="J1271" s="50" t="n">
        <v>0</v>
      </c>
      <c r="K1271" s="51" t="n">
        <v>0</v>
      </c>
      <c r="L1271" s="52" t="n">
        <v>0</v>
      </c>
      <c r="M1271" s="52" t="n">
        <v>0</v>
      </c>
      <c r="N1271" s="52" t="n">
        <v>0</v>
      </c>
      <c r="O1271" s="53" t="n">
        <v>0</v>
      </c>
      <c r="P1271" s="52" t="n">
        <v>0</v>
      </c>
      <c r="Q1271" s="53" t="n">
        <v>0</v>
      </c>
      <c r="R1271" s="52" t="n">
        <v>0</v>
      </c>
      <c r="S1271" s="51" t="n">
        <v>0</v>
      </c>
      <c r="T1271" s="48" t="n">
        <v>0</v>
      </c>
      <c r="U1271" s="49" t="n">
        <v>0</v>
      </c>
      <c r="V1271" s="49" t="n">
        <v>0</v>
      </c>
      <c r="W1271" s="50" t="n">
        <v>0</v>
      </c>
      <c r="X1271" s="51" t="n">
        <v>0</v>
      </c>
      <c r="Y1271" s="52" t="n">
        <v>0</v>
      </c>
      <c r="Z1271" s="52" t="n">
        <v>0</v>
      </c>
      <c r="AA1271" s="52" t="n">
        <v>0</v>
      </c>
      <c r="AB1271" s="53" t="n">
        <v>0</v>
      </c>
      <c r="AC1271" s="52" t="n">
        <v>0</v>
      </c>
      <c r="AD1271" s="53" t="n">
        <v>0</v>
      </c>
      <c r="AE1271" s="52" t="n">
        <v>0</v>
      </c>
      <c r="AF1271" s="51" t="n">
        <v>0</v>
      </c>
      <c r="AG1271" s="48" t="n">
        <v>0</v>
      </c>
      <c r="AH1271" s="49" t="n">
        <v>0</v>
      </c>
      <c r="AI1271" s="49" t="n">
        <v>0</v>
      </c>
      <c r="AJ1271" s="50" t="n">
        <v>0</v>
      </c>
      <c r="AK1271" s="51" t="n">
        <v>0</v>
      </c>
      <c r="AL1271" s="52" t="n">
        <v>0</v>
      </c>
      <c r="AM1271" s="52" t="n">
        <v>0</v>
      </c>
      <c r="AN1271" s="52" t="n">
        <v>0</v>
      </c>
      <c r="AO1271" s="53" t="n">
        <v>0</v>
      </c>
      <c r="AP1271" s="52" t="n">
        <v>0</v>
      </c>
      <c r="AQ1271" s="53" t="n">
        <v>0</v>
      </c>
      <c r="AR1271" s="52" t="n">
        <v>0</v>
      </c>
      <c r="AS1271" s="51" t="n">
        <v>0</v>
      </c>
      <c r="AT1271" s="48" t="n">
        <v>0</v>
      </c>
      <c r="AU1271" s="49" t="n">
        <v>0</v>
      </c>
      <c r="AV1271" s="49" t="n">
        <v>0</v>
      </c>
      <c r="AW1271" s="50" t="n">
        <v>0</v>
      </c>
      <c r="AX1271" s="51" t="n">
        <v>0</v>
      </c>
      <c r="AY1271" s="52" t="n">
        <v>0</v>
      </c>
      <c r="AZ1271" s="52" t="n">
        <v>0</v>
      </c>
      <c r="BA1271" s="52" t="n">
        <v>0</v>
      </c>
      <c r="BB1271" s="53" t="n">
        <v>0</v>
      </c>
      <c r="BC1271" s="52" t="n">
        <v>0</v>
      </c>
      <c r="BD1271" s="53" t="n">
        <v>0</v>
      </c>
      <c r="BE1271" s="52" t="n">
        <v>0</v>
      </c>
      <c r="BF1271" s="51" t="n">
        <v>0</v>
      </c>
    </row>
    <row r="1272">
      <c r="A1272">
        <f>HYPERLINK("https://www.walmart.com/ip/780933748", "780933748")</f>
        <v/>
      </c>
      <c r="B1272" t="inlineStr">
        <is>
          <t>Flyingstar Sherpa Throws Blanket, Fleece Soft Cozy Blanket Throws for Sofa Bed 50"x60"</t>
        </is>
      </c>
      <c r="C1272" t="inlineStr">
        <is>
          <t>1WMBF571TRIBE</t>
        </is>
      </c>
      <c r="D1272" t="inlineStr">
        <is>
          <t>Throws</t>
        </is>
      </c>
      <c r="E1272" t="inlineStr">
        <is>
          <t>Flyingstar</t>
        </is>
      </c>
      <c r="F1272" t="inlineStr">
        <is>
          <t>Christmas,Optimized</t>
        </is>
      </c>
      <c r="G1272" s="48" t="n">
        <v>0</v>
      </c>
      <c r="H1272" s="49" t="n">
        <v>0</v>
      </c>
      <c r="I1272" s="49" t="n">
        <v>0</v>
      </c>
      <c r="J1272" s="50" t="n">
        <v>0</v>
      </c>
      <c r="K1272" s="51" t="n">
        <v>0</v>
      </c>
      <c r="L1272" s="52" t="n">
        <v>0</v>
      </c>
      <c r="M1272" s="52" t="n">
        <v>0</v>
      </c>
      <c r="N1272" s="52" t="n">
        <v>0</v>
      </c>
      <c r="O1272" s="53" t="n">
        <v>0</v>
      </c>
      <c r="P1272" s="52" t="n">
        <v>0</v>
      </c>
      <c r="Q1272" s="53" t="n">
        <v>0</v>
      </c>
      <c r="R1272" s="52" t="n">
        <v>0</v>
      </c>
      <c r="S1272" s="51" t="n">
        <v>0</v>
      </c>
      <c r="T1272" s="48" t="n">
        <v>0</v>
      </c>
      <c r="U1272" s="49" t="n">
        <v>0</v>
      </c>
      <c r="V1272" s="49" t="n">
        <v>0</v>
      </c>
      <c r="W1272" s="50" t="n">
        <v>0</v>
      </c>
      <c r="X1272" s="51" t="n">
        <v>0</v>
      </c>
      <c r="Y1272" s="52" t="n">
        <v>0</v>
      </c>
      <c r="Z1272" s="52" t="n">
        <v>0</v>
      </c>
      <c r="AA1272" s="52" t="n">
        <v>0</v>
      </c>
      <c r="AB1272" s="53" t="n">
        <v>0</v>
      </c>
      <c r="AC1272" s="52" t="n">
        <v>0</v>
      </c>
      <c r="AD1272" s="53" t="n">
        <v>0</v>
      </c>
      <c r="AE1272" s="52" t="n">
        <v>0</v>
      </c>
      <c r="AF1272" s="51" t="n">
        <v>0</v>
      </c>
      <c r="AG1272" s="48" t="n">
        <v>0</v>
      </c>
      <c r="AH1272" s="49" t="n">
        <v>0</v>
      </c>
      <c r="AI1272" s="49" t="n">
        <v>0</v>
      </c>
      <c r="AJ1272" s="50" t="n">
        <v>0</v>
      </c>
      <c r="AK1272" s="51" t="n">
        <v>0</v>
      </c>
      <c r="AL1272" s="52" t="n">
        <v>0</v>
      </c>
      <c r="AM1272" s="52" t="n">
        <v>0</v>
      </c>
      <c r="AN1272" s="52" t="n">
        <v>0</v>
      </c>
      <c r="AO1272" s="53" t="n">
        <v>0</v>
      </c>
      <c r="AP1272" s="52" t="n">
        <v>0</v>
      </c>
      <c r="AQ1272" s="53" t="n">
        <v>0</v>
      </c>
      <c r="AR1272" s="52" t="n">
        <v>0</v>
      </c>
      <c r="AS1272" s="51" t="n">
        <v>0</v>
      </c>
      <c r="AT1272" s="48" t="n">
        <v>0</v>
      </c>
      <c r="AU1272" s="49" t="n">
        <v>0</v>
      </c>
      <c r="AV1272" s="49" t="n">
        <v>0</v>
      </c>
      <c r="AW1272" s="50" t="n">
        <v>0</v>
      </c>
      <c r="AX1272" s="51" t="n">
        <v>0</v>
      </c>
      <c r="AY1272" s="52" t="n">
        <v>0</v>
      </c>
      <c r="AZ1272" s="52" t="n">
        <v>0</v>
      </c>
      <c r="BA1272" s="52" t="n">
        <v>0</v>
      </c>
      <c r="BB1272" s="53" t="n">
        <v>0</v>
      </c>
      <c r="BC1272" s="52" t="n">
        <v>0</v>
      </c>
      <c r="BD1272" s="53" t="n">
        <v>0</v>
      </c>
      <c r="BE1272" s="52" t="n">
        <v>0</v>
      </c>
      <c r="BF1272" s="51" t="n">
        <v>0</v>
      </c>
    </row>
    <row r="1273">
      <c r="A1273">
        <f>HYPERLINK("https://www.walmart.com/ip/781423419", "781423419")</f>
        <v/>
      </c>
      <c r="B1273" t="inlineStr">
        <is>
          <t>Flyingstar Mermaid Tail Blanket, Soft Flannel Fleece All Seasons Sleeping Blanket for Kids Adults, Rainbow Ombre Fish Scale Design Snuggle Blanket, Best Gifts</t>
        </is>
      </c>
      <c r="C1273" t="inlineStr">
        <is>
          <t>1WMMP100GN</t>
        </is>
      </c>
      <c r="D1273" t="inlineStr">
        <is>
          <t>Throws</t>
        </is>
      </c>
      <c r="E1273" t="inlineStr">
        <is>
          <t>Flyingstar</t>
        </is>
      </c>
      <c r="F1273" t="inlineStr">
        <is>
          <t>Baby days,Optimized</t>
        </is>
      </c>
      <c r="G1273" s="48" t="n">
        <v>0</v>
      </c>
      <c r="H1273" s="49" t="n">
        <v>0</v>
      </c>
      <c r="I1273" s="49" t="n">
        <v>0</v>
      </c>
      <c r="J1273" s="50" t="n">
        <v>0</v>
      </c>
      <c r="K1273" s="51" t="n">
        <v>0</v>
      </c>
      <c r="L1273" s="52" t="n">
        <v>0</v>
      </c>
      <c r="M1273" s="52" t="n">
        <v>0</v>
      </c>
      <c r="N1273" s="52" t="n">
        <v>0</v>
      </c>
      <c r="O1273" s="53" t="n">
        <v>0</v>
      </c>
      <c r="P1273" s="52" t="n">
        <v>0</v>
      </c>
      <c r="Q1273" s="53" t="n">
        <v>0</v>
      </c>
      <c r="R1273" s="52" t="n">
        <v>0</v>
      </c>
      <c r="S1273" s="51" t="n">
        <v>0</v>
      </c>
      <c r="T1273" s="48" t="n">
        <v>0</v>
      </c>
      <c r="U1273" s="49" t="n">
        <v>0</v>
      </c>
      <c r="V1273" s="49" t="n">
        <v>0</v>
      </c>
      <c r="W1273" s="50" t="n">
        <v>0</v>
      </c>
      <c r="X1273" s="51" t="n">
        <v>0</v>
      </c>
      <c r="Y1273" s="52" t="n">
        <v>0</v>
      </c>
      <c r="Z1273" s="52" t="n">
        <v>0</v>
      </c>
      <c r="AA1273" s="52" t="n">
        <v>0</v>
      </c>
      <c r="AB1273" s="53" t="n">
        <v>0</v>
      </c>
      <c r="AC1273" s="52" t="n">
        <v>0</v>
      </c>
      <c r="AD1273" s="53" t="n">
        <v>0</v>
      </c>
      <c r="AE1273" s="52" t="n">
        <v>0</v>
      </c>
      <c r="AF1273" s="51" t="n">
        <v>0</v>
      </c>
      <c r="AG1273" s="48" t="n">
        <v>0</v>
      </c>
      <c r="AH1273" s="49" t="n">
        <v>0</v>
      </c>
      <c r="AI1273" s="49" t="n">
        <v>0</v>
      </c>
      <c r="AJ1273" s="50" t="n">
        <v>0</v>
      </c>
      <c r="AK1273" s="51" t="n">
        <v>0</v>
      </c>
      <c r="AL1273" s="52" t="n">
        <v>0</v>
      </c>
      <c r="AM1273" s="52" t="n">
        <v>0</v>
      </c>
      <c r="AN1273" s="52" t="n">
        <v>0</v>
      </c>
      <c r="AO1273" s="53" t="n">
        <v>0</v>
      </c>
      <c r="AP1273" s="52" t="n">
        <v>0</v>
      </c>
      <c r="AQ1273" s="53" t="n">
        <v>0</v>
      </c>
      <c r="AR1273" s="52" t="n">
        <v>0</v>
      </c>
      <c r="AS1273" s="51" t="n">
        <v>0</v>
      </c>
      <c r="AT1273" s="48" t="n">
        <v>0</v>
      </c>
      <c r="AU1273" s="49" t="n">
        <v>0</v>
      </c>
      <c r="AV1273" s="49" t="n">
        <v>0</v>
      </c>
      <c r="AW1273" s="50" t="n">
        <v>0</v>
      </c>
      <c r="AX1273" s="51" t="n">
        <v>0</v>
      </c>
      <c r="AY1273" s="52" t="n">
        <v>0</v>
      </c>
      <c r="AZ1273" s="52" t="n">
        <v>0</v>
      </c>
      <c r="BA1273" s="52" t="n">
        <v>0</v>
      </c>
      <c r="BB1273" s="53" t="n">
        <v>0</v>
      </c>
      <c r="BC1273" s="52" t="n">
        <v>0</v>
      </c>
      <c r="BD1273" s="53" t="n">
        <v>0</v>
      </c>
      <c r="BE1273" s="52" t="n">
        <v>0</v>
      </c>
      <c r="BF1273" s="51" t="n">
        <v>0</v>
      </c>
    </row>
    <row r="1274">
      <c r="A1274">
        <f>HYPERLINK("https://www.walmart.com/ip/781753852", "781753852")</f>
        <v/>
      </c>
      <c r="B1274" t="inlineStr">
        <is>
          <t>Jennis Women's Plue Size Flower laced Sexy Babydoll</t>
        </is>
      </c>
      <c r="C1274" t="inlineStr">
        <is>
          <t>JWBD05BK-3XL</t>
        </is>
      </c>
      <c r="D1274" t="inlineStr">
        <is>
          <t>Lingerie Sets</t>
        </is>
      </c>
      <c r="E1274" t="inlineStr">
        <is>
          <t>JenniWears</t>
        </is>
      </c>
      <c r="F1274" t="inlineStr">
        <is>
          <t>Valentine</t>
        </is>
      </c>
      <c r="G1274" s="48" t="n">
        <v>0</v>
      </c>
      <c r="H1274" s="49" t="n">
        <v>0</v>
      </c>
      <c r="I1274" s="49" t="n">
        <v>0</v>
      </c>
      <c r="J1274" s="50" t="n">
        <v>0</v>
      </c>
      <c r="K1274" s="51" t="n">
        <v>0</v>
      </c>
      <c r="L1274" s="52" t="n">
        <v>0</v>
      </c>
      <c r="M1274" s="52" t="n">
        <v>0</v>
      </c>
      <c r="N1274" s="52" t="n">
        <v>0</v>
      </c>
      <c r="O1274" s="53" t="n">
        <v>0</v>
      </c>
      <c r="P1274" s="52" t="n">
        <v>0</v>
      </c>
      <c r="Q1274" s="53" t="n">
        <v>0</v>
      </c>
      <c r="R1274" s="52" t="n">
        <v>0</v>
      </c>
      <c r="S1274" s="51" t="n">
        <v>0</v>
      </c>
      <c r="T1274" s="48" t="n">
        <v>0</v>
      </c>
      <c r="U1274" s="49" t="n">
        <v>0</v>
      </c>
      <c r="V1274" s="49" t="n">
        <v>0</v>
      </c>
      <c r="W1274" s="50" t="n">
        <v>0</v>
      </c>
      <c r="X1274" s="51" t="n">
        <v>0</v>
      </c>
      <c r="Y1274" s="52" t="n">
        <v>0</v>
      </c>
      <c r="Z1274" s="52" t="n">
        <v>0</v>
      </c>
      <c r="AA1274" s="52" t="n">
        <v>0</v>
      </c>
      <c r="AB1274" s="53" t="n">
        <v>0</v>
      </c>
      <c r="AC1274" s="52" t="n">
        <v>0</v>
      </c>
      <c r="AD1274" s="53" t="n">
        <v>0</v>
      </c>
      <c r="AE1274" s="52" t="n">
        <v>0</v>
      </c>
      <c r="AF1274" s="51" t="n">
        <v>0</v>
      </c>
      <c r="AG1274" s="48" t="n">
        <v>0</v>
      </c>
      <c r="AH1274" s="49" t="n">
        <v>0</v>
      </c>
      <c r="AI1274" s="49" t="n">
        <v>0</v>
      </c>
      <c r="AJ1274" s="50" t="n">
        <v>0</v>
      </c>
      <c r="AK1274" s="51" t="n">
        <v>0</v>
      </c>
      <c r="AL1274" s="52" t="n">
        <v>0</v>
      </c>
      <c r="AM1274" s="52" t="n">
        <v>0</v>
      </c>
      <c r="AN1274" s="52" t="n">
        <v>0</v>
      </c>
      <c r="AO1274" s="53" t="n">
        <v>0</v>
      </c>
      <c r="AP1274" s="52" t="n">
        <v>0</v>
      </c>
      <c r="AQ1274" s="53" t="n">
        <v>0</v>
      </c>
      <c r="AR1274" s="52" t="n">
        <v>0</v>
      </c>
      <c r="AS1274" s="51" t="n">
        <v>0</v>
      </c>
      <c r="AT1274" s="48" t="n">
        <v>0</v>
      </c>
      <c r="AU1274" s="49" t="n">
        <v>0</v>
      </c>
      <c r="AV1274" s="49" t="n">
        <v>0</v>
      </c>
      <c r="AW1274" s="50" t="n">
        <v>0</v>
      </c>
      <c r="AX1274" s="51" t="n">
        <v>0</v>
      </c>
      <c r="AY1274" s="52" t="n">
        <v>0</v>
      </c>
      <c r="AZ1274" s="52" t="n">
        <v>0</v>
      </c>
      <c r="BA1274" s="52" t="n">
        <v>0</v>
      </c>
      <c r="BB1274" s="53" t="n">
        <v>0</v>
      </c>
      <c r="BC1274" s="52" t="n">
        <v>0</v>
      </c>
      <c r="BD1274" s="53" t="n">
        <v>0</v>
      </c>
      <c r="BE1274" s="52" t="n">
        <v>0</v>
      </c>
      <c r="BF1274" s="51" t="n">
        <v>0</v>
      </c>
    </row>
    <row r="1275">
      <c r="A1275">
        <f>HYPERLINK("https://www.walmart.com/ip/782074121", "782074121")</f>
        <v/>
      </c>
      <c r="B1275" t="inlineStr">
        <is>
          <t>Catalonia Mermaid Tail Blanket, Super Soft Blanket Sherpa Lined Knit with Non-slip Neck Strap, Best Gift for Girls Women Adult Teens, One Size, Grey</t>
        </is>
      </c>
      <c r="C1275" t="inlineStr">
        <is>
          <t>1CTMM300GY</t>
        </is>
      </c>
      <c r="D1275" t="inlineStr">
        <is>
          <t>Bed Blankets</t>
        </is>
      </c>
      <c r="E1275" t="inlineStr">
        <is>
          <t>Catalonia</t>
        </is>
      </c>
      <c r="F1275" t="inlineStr">
        <is>
          <t>Batch 1 - TR</t>
        </is>
      </c>
      <c r="G1275" s="48" t="n">
        <v>0</v>
      </c>
      <c r="H1275" s="49" t="n">
        <v>0</v>
      </c>
      <c r="I1275" s="49" t="n">
        <v>0</v>
      </c>
      <c r="J1275" s="50" t="n">
        <v>0</v>
      </c>
      <c r="K1275" s="51" t="n">
        <v>0</v>
      </c>
      <c r="L1275" s="52" t="n">
        <v>0</v>
      </c>
      <c r="M1275" s="52" t="n">
        <v>0</v>
      </c>
      <c r="N1275" s="52" t="n">
        <v>0</v>
      </c>
      <c r="O1275" s="53" t="n">
        <v>0</v>
      </c>
      <c r="P1275" s="52" t="n">
        <v>0</v>
      </c>
      <c r="Q1275" s="53" t="n">
        <v>0</v>
      </c>
      <c r="R1275" s="52" t="n">
        <v>0</v>
      </c>
      <c r="S1275" s="51" t="n">
        <v>0</v>
      </c>
      <c r="T1275" s="48" t="n">
        <v>0</v>
      </c>
      <c r="U1275" s="49" t="n">
        <v>0</v>
      </c>
      <c r="V1275" s="49" t="n">
        <v>0</v>
      </c>
      <c r="W1275" s="50" t="n">
        <v>0</v>
      </c>
      <c r="X1275" s="51" t="n">
        <v>0</v>
      </c>
      <c r="Y1275" s="52" t="n">
        <v>0</v>
      </c>
      <c r="Z1275" s="52" t="n">
        <v>0</v>
      </c>
      <c r="AA1275" s="52" t="n">
        <v>0</v>
      </c>
      <c r="AB1275" s="53" t="n">
        <v>0</v>
      </c>
      <c r="AC1275" s="52" t="n">
        <v>0</v>
      </c>
      <c r="AD1275" s="53" t="n">
        <v>0</v>
      </c>
      <c r="AE1275" s="52" t="n">
        <v>0</v>
      </c>
      <c r="AF1275" s="51" t="n">
        <v>0</v>
      </c>
      <c r="AG1275" s="48" t="n">
        <v>0</v>
      </c>
      <c r="AH1275" s="49" t="n">
        <v>0</v>
      </c>
      <c r="AI1275" s="49" t="n">
        <v>0</v>
      </c>
      <c r="AJ1275" s="50" t="n">
        <v>0</v>
      </c>
      <c r="AK1275" s="51" t="n">
        <v>0</v>
      </c>
      <c r="AL1275" s="52" t="n">
        <v>0</v>
      </c>
      <c r="AM1275" s="52" t="n">
        <v>0</v>
      </c>
      <c r="AN1275" s="52" t="n">
        <v>0</v>
      </c>
      <c r="AO1275" s="53" t="n">
        <v>0</v>
      </c>
      <c r="AP1275" s="52" t="n">
        <v>0</v>
      </c>
      <c r="AQ1275" s="53" t="n">
        <v>0</v>
      </c>
      <c r="AR1275" s="52" t="n">
        <v>0</v>
      </c>
      <c r="AS1275" s="51" t="n">
        <v>0</v>
      </c>
      <c r="AT1275" s="48" t="n">
        <v>0</v>
      </c>
      <c r="AU1275" s="49" t="n">
        <v>0</v>
      </c>
      <c r="AV1275" s="49" t="n">
        <v>0</v>
      </c>
      <c r="AW1275" s="50" t="n">
        <v>0</v>
      </c>
      <c r="AX1275" s="51" t="n">
        <v>0</v>
      </c>
      <c r="AY1275" s="52" t="n">
        <v>0</v>
      </c>
      <c r="AZ1275" s="52" t="n">
        <v>0</v>
      </c>
      <c r="BA1275" s="52" t="n">
        <v>0</v>
      </c>
      <c r="BB1275" s="53" t="n">
        <v>0</v>
      </c>
      <c r="BC1275" s="52" t="n">
        <v>0</v>
      </c>
      <c r="BD1275" s="53" t="n">
        <v>0</v>
      </c>
      <c r="BE1275" s="52" t="n">
        <v>0</v>
      </c>
      <c r="BF1275" s="51" t="n">
        <v>0</v>
      </c>
    </row>
    <row r="1276">
      <c r="A1276">
        <f>HYPERLINK("https://www.walmart.com/ip/782090688", "782090688")</f>
        <v/>
      </c>
      <c r="B1276" t="inlineStr">
        <is>
          <t>Tirrinia Insulated Lunch Bag, Leakproof Thermal Bento Cooler Tote for Women and Men, Dual Compartment with Shoulder Strap, 10.2" x 7.5" x 9",Red</t>
        </is>
      </c>
      <c r="C1276" t="inlineStr">
        <is>
          <t>1TRLB601RD</t>
        </is>
      </c>
      <c r="D1276" t="inlineStr">
        <is>
          <t>Reusable Lunch Bags &amp; Boxes</t>
        </is>
      </c>
      <c r="E1276" t="inlineStr">
        <is>
          <t>Tirrinia</t>
        </is>
      </c>
      <c r="F1276" t="inlineStr">
        <is>
          <t>Q2-Target,Brand Camp VD,Lunch Bag,WFS,Lunch Bags,WFS Item</t>
        </is>
      </c>
      <c r="G1276" s="48" t="n">
        <v>0</v>
      </c>
      <c r="H1276" s="49" t="n">
        <v>0</v>
      </c>
      <c r="I1276" s="49" t="n">
        <v>0</v>
      </c>
      <c r="J1276" s="50" t="n">
        <v>0</v>
      </c>
      <c r="K1276" s="51" t="n">
        <v>0</v>
      </c>
      <c r="L1276" s="52" t="n">
        <v>0</v>
      </c>
      <c r="M1276" s="52" t="n">
        <v>0</v>
      </c>
      <c r="N1276" s="52" t="n">
        <v>0</v>
      </c>
      <c r="O1276" s="53" t="n">
        <v>0</v>
      </c>
      <c r="P1276" s="52" t="n">
        <v>0</v>
      </c>
      <c r="Q1276" s="53" t="n">
        <v>0</v>
      </c>
      <c r="R1276" s="52" t="n">
        <v>0</v>
      </c>
      <c r="S1276" s="51" t="n">
        <v>0</v>
      </c>
      <c r="T1276" s="48" t="n">
        <v>0</v>
      </c>
      <c r="U1276" s="49" t="n">
        <v>0</v>
      </c>
      <c r="V1276" s="49" t="n">
        <v>0</v>
      </c>
      <c r="W1276" s="50" t="n">
        <v>0</v>
      </c>
      <c r="X1276" s="51" t="n">
        <v>0</v>
      </c>
      <c r="Y1276" s="52" t="n">
        <v>0</v>
      </c>
      <c r="Z1276" s="52" t="n">
        <v>0</v>
      </c>
      <c r="AA1276" s="52" t="n">
        <v>0</v>
      </c>
      <c r="AB1276" s="53" t="n">
        <v>0</v>
      </c>
      <c r="AC1276" s="52" t="n">
        <v>0</v>
      </c>
      <c r="AD1276" s="53" t="n">
        <v>0</v>
      </c>
      <c r="AE1276" s="52" t="n">
        <v>0</v>
      </c>
      <c r="AF1276" s="51" t="n">
        <v>0</v>
      </c>
      <c r="AG1276" s="48" t="n">
        <v>0</v>
      </c>
      <c r="AH1276" s="49" t="n">
        <v>0</v>
      </c>
      <c r="AI1276" s="49" t="n">
        <v>0</v>
      </c>
      <c r="AJ1276" s="50" t="n">
        <v>0</v>
      </c>
      <c r="AK1276" s="51" t="n">
        <v>0</v>
      </c>
      <c r="AL1276" s="52" t="n">
        <v>0</v>
      </c>
      <c r="AM1276" s="52" t="n">
        <v>0</v>
      </c>
      <c r="AN1276" s="52" t="n">
        <v>0</v>
      </c>
      <c r="AO1276" s="53" t="n">
        <v>0</v>
      </c>
      <c r="AP1276" s="52" t="n">
        <v>0</v>
      </c>
      <c r="AQ1276" s="53" t="n">
        <v>0</v>
      </c>
      <c r="AR1276" s="52" t="n">
        <v>0</v>
      </c>
      <c r="AS1276" s="51" t="n">
        <v>0</v>
      </c>
      <c r="AT1276" s="48" t="n">
        <v>18.99</v>
      </c>
      <c r="AU1276" s="49" t="n">
        <v>1</v>
      </c>
      <c r="AV1276" s="49" t="n">
        <v>0</v>
      </c>
      <c r="AW1276" s="50" t="n">
        <v>0</v>
      </c>
      <c r="AX1276" s="51" t="n">
        <v>0</v>
      </c>
      <c r="AY1276" s="52" t="n">
        <v>0</v>
      </c>
      <c r="AZ1276" s="52" t="n">
        <v>0</v>
      </c>
      <c r="BA1276" s="52" t="n">
        <v>0</v>
      </c>
      <c r="BB1276" s="53" t="n">
        <v>0</v>
      </c>
      <c r="BC1276" s="52" t="n">
        <v>0</v>
      </c>
      <c r="BD1276" s="53" t="n">
        <v>0</v>
      </c>
      <c r="BE1276" s="52" t="n">
        <v>18.99</v>
      </c>
      <c r="BF1276" s="51" t="n">
        <v>0</v>
      </c>
    </row>
    <row r="1277">
      <c r="A1277">
        <f>HYPERLINK("https://www.walmart.com/ip/782469893", "782469893")</f>
        <v/>
      </c>
      <c r="B1277" t="inlineStr">
        <is>
          <t>Fleece Blanket Wearable with Sleeves and Pocket, Micro Plush Warm Comfy Sleeved TV Throw Blanket Robe for Women and Men Multi-Colors 72”X55” by Catalonia</t>
        </is>
      </c>
      <c r="C1277" t="inlineStr">
        <is>
          <t>1CTSN110BR-ESGM</t>
        </is>
      </c>
      <c r="D1277" t="inlineStr">
        <is>
          <t>Throws</t>
        </is>
      </c>
      <c r="E1277" t="inlineStr">
        <is>
          <t>Catalonia</t>
        </is>
      </c>
      <c r="F1277" t="inlineStr">
        <is>
          <t>Fleece Blankets,Batch 1 - TR</t>
        </is>
      </c>
      <c r="G1277" s="48" t="n">
        <v>0</v>
      </c>
      <c r="H1277" s="49" t="n">
        <v>0</v>
      </c>
      <c r="I1277" s="49" t="n">
        <v>0</v>
      </c>
      <c r="J1277" s="50" t="n">
        <v>0</v>
      </c>
      <c r="K1277" s="51" t="n">
        <v>0</v>
      </c>
      <c r="L1277" s="52" t="n">
        <v>0</v>
      </c>
      <c r="M1277" s="52" t="n">
        <v>0</v>
      </c>
      <c r="N1277" s="52" t="n">
        <v>0</v>
      </c>
      <c r="O1277" s="53" t="n">
        <v>0</v>
      </c>
      <c r="P1277" s="52" t="n">
        <v>0</v>
      </c>
      <c r="Q1277" s="53" t="n">
        <v>0</v>
      </c>
      <c r="R1277" s="52" t="n">
        <v>0</v>
      </c>
      <c r="S1277" s="51" t="n">
        <v>0</v>
      </c>
      <c r="T1277" s="48" t="n">
        <v>0</v>
      </c>
      <c r="U1277" s="49" t="n">
        <v>0</v>
      </c>
      <c r="V1277" s="49" t="n">
        <v>0</v>
      </c>
      <c r="W1277" s="50" t="n">
        <v>0</v>
      </c>
      <c r="X1277" s="51" t="n">
        <v>0</v>
      </c>
      <c r="Y1277" s="52" t="n">
        <v>0</v>
      </c>
      <c r="Z1277" s="52" t="n">
        <v>0</v>
      </c>
      <c r="AA1277" s="52" t="n">
        <v>0</v>
      </c>
      <c r="AB1277" s="53" t="n">
        <v>0</v>
      </c>
      <c r="AC1277" s="52" t="n">
        <v>0</v>
      </c>
      <c r="AD1277" s="53" t="n">
        <v>0</v>
      </c>
      <c r="AE1277" s="52" t="n">
        <v>0</v>
      </c>
      <c r="AF1277" s="51" t="n">
        <v>0</v>
      </c>
      <c r="AG1277" s="48" t="n">
        <v>0</v>
      </c>
      <c r="AH1277" s="49" t="n">
        <v>0</v>
      </c>
      <c r="AI1277" s="49" t="n">
        <v>0</v>
      </c>
      <c r="AJ1277" s="50" t="n">
        <v>0</v>
      </c>
      <c r="AK1277" s="51" t="n">
        <v>0</v>
      </c>
      <c r="AL1277" s="52" t="n">
        <v>0</v>
      </c>
      <c r="AM1277" s="52" t="n">
        <v>0</v>
      </c>
      <c r="AN1277" s="52" t="n">
        <v>0</v>
      </c>
      <c r="AO1277" s="53" t="n">
        <v>0</v>
      </c>
      <c r="AP1277" s="52" t="n">
        <v>0</v>
      </c>
      <c r="AQ1277" s="53" t="n">
        <v>0</v>
      </c>
      <c r="AR1277" s="52" t="n">
        <v>0</v>
      </c>
      <c r="AS1277" s="51" t="n">
        <v>0</v>
      </c>
      <c r="AT1277" s="48" t="n">
        <v>0</v>
      </c>
      <c r="AU1277" s="49" t="n">
        <v>0</v>
      </c>
      <c r="AV1277" s="49" t="n">
        <v>0</v>
      </c>
      <c r="AW1277" s="50" t="n">
        <v>0</v>
      </c>
      <c r="AX1277" s="51" t="n">
        <v>0</v>
      </c>
      <c r="AY1277" s="52" t="n">
        <v>0</v>
      </c>
      <c r="AZ1277" s="52" t="n">
        <v>0</v>
      </c>
      <c r="BA1277" s="52" t="n">
        <v>0</v>
      </c>
      <c r="BB1277" s="53" t="n">
        <v>0</v>
      </c>
      <c r="BC1277" s="52" t="n">
        <v>0</v>
      </c>
      <c r="BD1277" s="53" t="n">
        <v>0</v>
      </c>
      <c r="BE1277" s="52" t="n">
        <v>0</v>
      </c>
      <c r="BF1277" s="51" t="n">
        <v>0</v>
      </c>
    </row>
    <row r="1278">
      <c r="A1278">
        <f>HYPERLINK("https://www.walmart.com/ip/782528984", "782528984")</f>
        <v/>
      </c>
      <c r="B1278" t="inlineStr">
        <is>
          <t>Women's Sherpa Bathrobe, Soft Warm Fleece Long Robe, Shawl Collar, Comfy, Full Length</t>
        </is>
      </c>
      <c r="C1278" t="inlineStr">
        <is>
          <t>1CTRB510GY-01</t>
        </is>
      </c>
      <c r="D1278" t="inlineStr">
        <is>
          <t>Sleepwear Robes &amp; Bathrobes</t>
        </is>
      </c>
      <c r="E1278" t="inlineStr">
        <is>
          <t>Catalonia</t>
        </is>
      </c>
      <c r="F1278" t="inlineStr">
        <is>
          <t>WFS,Bathrobe,WFS Item</t>
        </is>
      </c>
      <c r="G1278" s="48" t="n">
        <v>0</v>
      </c>
      <c r="H1278" s="49" t="n">
        <v>0</v>
      </c>
      <c r="I1278" s="49" t="n">
        <v>0</v>
      </c>
      <c r="J1278" s="50" t="n">
        <v>0</v>
      </c>
      <c r="K1278" s="51" t="n">
        <v>0</v>
      </c>
      <c r="L1278" s="52" t="n">
        <v>0</v>
      </c>
      <c r="M1278" s="52" t="n">
        <v>0</v>
      </c>
      <c r="N1278" s="52" t="n">
        <v>0</v>
      </c>
      <c r="O1278" s="53" t="n">
        <v>0</v>
      </c>
      <c r="P1278" s="52" t="n">
        <v>0</v>
      </c>
      <c r="Q1278" s="53" t="n">
        <v>0</v>
      </c>
      <c r="R1278" s="52" t="n">
        <v>0</v>
      </c>
      <c r="S1278" s="51" t="n">
        <v>0</v>
      </c>
      <c r="T1278" s="48" t="n">
        <v>0</v>
      </c>
      <c r="U1278" s="49" t="n">
        <v>0</v>
      </c>
      <c r="V1278" s="49" t="n">
        <v>0</v>
      </c>
      <c r="W1278" s="50" t="n">
        <v>0</v>
      </c>
      <c r="X1278" s="51" t="n">
        <v>0</v>
      </c>
      <c r="Y1278" s="52" t="n">
        <v>0</v>
      </c>
      <c r="Z1278" s="52" t="n">
        <v>0</v>
      </c>
      <c r="AA1278" s="52" t="n">
        <v>0</v>
      </c>
      <c r="AB1278" s="53" t="n">
        <v>0</v>
      </c>
      <c r="AC1278" s="52" t="n">
        <v>0</v>
      </c>
      <c r="AD1278" s="53" t="n">
        <v>0</v>
      </c>
      <c r="AE1278" s="52" t="n">
        <v>0</v>
      </c>
      <c r="AF1278" s="51" t="n">
        <v>0</v>
      </c>
      <c r="AG1278" s="48" t="n">
        <v>0</v>
      </c>
      <c r="AH1278" s="49" t="n">
        <v>0</v>
      </c>
      <c r="AI1278" s="49" t="n">
        <v>0</v>
      </c>
      <c r="AJ1278" s="50" t="n">
        <v>0</v>
      </c>
      <c r="AK1278" s="51" t="n">
        <v>0</v>
      </c>
      <c r="AL1278" s="52" t="n">
        <v>0</v>
      </c>
      <c r="AM1278" s="52" t="n">
        <v>0</v>
      </c>
      <c r="AN1278" s="52" t="n">
        <v>0</v>
      </c>
      <c r="AO1278" s="53" t="n">
        <v>0</v>
      </c>
      <c r="AP1278" s="52" t="n">
        <v>0</v>
      </c>
      <c r="AQ1278" s="53" t="n">
        <v>0</v>
      </c>
      <c r="AR1278" s="52" t="n">
        <v>0</v>
      </c>
      <c r="AS1278" s="51" t="n">
        <v>0</v>
      </c>
      <c r="AT1278" s="48" t="n">
        <v>0</v>
      </c>
      <c r="AU1278" s="49" t="n">
        <v>0</v>
      </c>
      <c r="AV1278" s="49" t="n">
        <v>0</v>
      </c>
      <c r="AW1278" s="50" t="n">
        <v>0</v>
      </c>
      <c r="AX1278" s="51" t="n">
        <v>0</v>
      </c>
      <c r="AY1278" s="52" t="n">
        <v>0</v>
      </c>
      <c r="AZ1278" s="52" t="n">
        <v>0</v>
      </c>
      <c r="BA1278" s="52" t="n">
        <v>0</v>
      </c>
      <c r="BB1278" s="53" t="n">
        <v>0</v>
      </c>
      <c r="BC1278" s="52" t="n">
        <v>0</v>
      </c>
      <c r="BD1278" s="53" t="n">
        <v>0</v>
      </c>
      <c r="BE1278" s="52" t="n">
        <v>0</v>
      </c>
      <c r="BF1278" s="51" t="n">
        <v>0</v>
      </c>
    </row>
    <row r="1279">
      <c r="A1279">
        <f>HYPERLINK("https://www.walmart.com/ip/783067096", "783067096")</f>
        <v/>
      </c>
      <c r="B1279" t="inlineStr">
        <is>
          <t>Men's Sun Hat with Neck Flap, Wide Brim Fishing Safari Hiking Hat, UPF 50+ Protection, Adjustable Chin Strap</t>
        </is>
      </c>
      <c r="C1279" t="inlineStr">
        <is>
          <t>1SLSH923OL</t>
        </is>
      </c>
      <c r="D1279" t="inlineStr">
        <is>
          <t>Hats</t>
        </is>
      </c>
      <c r="E1279" t="inlineStr">
        <is>
          <t>Solaris</t>
        </is>
      </c>
      <c r="F1279" t="inlineStr">
        <is>
          <t>Q2-Target,WFS,Hats,WFS Item</t>
        </is>
      </c>
      <c r="G1279" s="48" t="n">
        <v>0</v>
      </c>
      <c r="H1279" s="49" t="n">
        <v>0</v>
      </c>
      <c r="I1279" s="49" t="n">
        <v>15</v>
      </c>
      <c r="J1279" s="50" t="n">
        <v>0</v>
      </c>
      <c r="K1279" s="51" t="n">
        <v>0</v>
      </c>
      <c r="L1279" s="52" t="n">
        <v>0</v>
      </c>
      <c r="M1279" s="52" t="n">
        <v>0</v>
      </c>
      <c r="N1279" s="52" t="n">
        <v>0</v>
      </c>
      <c r="O1279" s="53" t="n">
        <v>0</v>
      </c>
      <c r="P1279" s="52" t="n">
        <v>0</v>
      </c>
      <c r="Q1279" s="53" t="n">
        <v>0</v>
      </c>
      <c r="R1279" s="52" t="n">
        <v>0</v>
      </c>
      <c r="S1279" s="51" t="n">
        <v>0</v>
      </c>
      <c r="T1279" s="48" t="n">
        <v>27.98</v>
      </c>
      <c r="U1279" s="49" t="n">
        <v>2</v>
      </c>
      <c r="V1279" s="49" t="n">
        <v>10</v>
      </c>
      <c r="W1279" s="50" t="n">
        <v>0.2</v>
      </c>
      <c r="X1279" s="51" t="n">
        <v>0</v>
      </c>
      <c r="Y1279" s="52" t="n">
        <v>0</v>
      </c>
      <c r="Z1279" s="52" t="n">
        <v>0</v>
      </c>
      <c r="AA1279" s="52" t="n">
        <v>0</v>
      </c>
      <c r="AB1279" s="53" t="n">
        <v>0</v>
      </c>
      <c r="AC1279" s="52" t="n">
        <v>0</v>
      </c>
      <c r="AD1279" s="53" t="n">
        <v>0</v>
      </c>
      <c r="AE1279" s="52" t="n">
        <v>13.99</v>
      </c>
      <c r="AF1279" s="51" t="n">
        <v>0</v>
      </c>
      <c r="AG1279" s="48" t="n">
        <v>13.99</v>
      </c>
      <c r="AH1279" s="49" t="n">
        <v>1</v>
      </c>
      <c r="AI1279" s="49" t="n">
        <v>5</v>
      </c>
      <c r="AJ1279" s="50" t="n">
        <v>0.2</v>
      </c>
      <c r="AK1279" s="51" t="n">
        <v>0</v>
      </c>
      <c r="AL1279" s="52" t="n">
        <v>0</v>
      </c>
      <c r="AM1279" s="52" t="n">
        <v>0</v>
      </c>
      <c r="AN1279" s="52" t="n">
        <v>0</v>
      </c>
      <c r="AO1279" s="53" t="n">
        <v>0</v>
      </c>
      <c r="AP1279" s="52" t="n">
        <v>0</v>
      </c>
      <c r="AQ1279" s="53" t="n">
        <v>0</v>
      </c>
      <c r="AR1279" s="52" t="n">
        <v>13.99</v>
      </c>
      <c r="AS1279" s="51" t="n">
        <v>0</v>
      </c>
      <c r="AT1279" s="48" t="n">
        <v>13.99</v>
      </c>
      <c r="AU1279" s="49" t="n">
        <v>1</v>
      </c>
      <c r="AV1279" s="49" t="n">
        <v>6</v>
      </c>
      <c r="AW1279" s="50" t="n">
        <v>0.1666666666666667</v>
      </c>
      <c r="AX1279" s="51" t="n">
        <v>0</v>
      </c>
      <c r="AY1279" s="52" t="n">
        <v>0</v>
      </c>
      <c r="AZ1279" s="52" t="n">
        <v>0</v>
      </c>
      <c r="BA1279" s="52" t="n">
        <v>0</v>
      </c>
      <c r="BB1279" s="53" t="n">
        <v>0</v>
      </c>
      <c r="BC1279" s="52" t="n">
        <v>0</v>
      </c>
      <c r="BD1279" s="53" t="n">
        <v>0</v>
      </c>
      <c r="BE1279" s="52" t="n">
        <v>13.99</v>
      </c>
      <c r="BF1279" s="51" t="n">
        <v>0</v>
      </c>
    </row>
    <row r="1280">
      <c r="A1280">
        <f>HYPERLINK("https://www.walmart.com/ip/783068964", "783068964")</f>
        <v/>
      </c>
      <c r="B1280" t="inlineStr">
        <is>
          <t>Catalonia Wearable Fleece Blanket with Sleeves and Foot Pockets for Adult Women Men, Micro Plush Comfy Wrap Sleeved Throw Blanket Robe Large, Dalmatian</t>
        </is>
      </c>
      <c r="C1280" t="inlineStr">
        <is>
          <t>1CTSN101RDDOT</t>
        </is>
      </c>
      <c r="D1280" t="inlineStr">
        <is>
          <t>Throws</t>
        </is>
      </c>
      <c r="E1280" t="inlineStr">
        <is>
          <t>Catalonia</t>
        </is>
      </c>
      <c r="F1280" t="inlineStr">
        <is>
          <t>Fleece Blankets,Batch 1 - TR</t>
        </is>
      </c>
      <c r="G1280" s="48" t="n">
        <v>0</v>
      </c>
      <c r="H1280" s="49" t="n">
        <v>0</v>
      </c>
      <c r="I1280" s="49" t="n">
        <v>0</v>
      </c>
      <c r="J1280" s="50" t="n">
        <v>0</v>
      </c>
      <c r="K1280" s="51" t="n">
        <v>0</v>
      </c>
      <c r="L1280" s="52" t="n">
        <v>0</v>
      </c>
      <c r="M1280" s="52" t="n">
        <v>0</v>
      </c>
      <c r="N1280" s="52" t="n">
        <v>0</v>
      </c>
      <c r="O1280" s="53" t="n">
        <v>0</v>
      </c>
      <c r="P1280" s="52" t="n">
        <v>0</v>
      </c>
      <c r="Q1280" s="53" t="n">
        <v>0</v>
      </c>
      <c r="R1280" s="52" t="n">
        <v>0</v>
      </c>
      <c r="S1280" s="51" t="n">
        <v>0</v>
      </c>
      <c r="T1280" s="48" t="n">
        <v>0</v>
      </c>
      <c r="U1280" s="49" t="n">
        <v>0</v>
      </c>
      <c r="V1280" s="49" t="n">
        <v>0</v>
      </c>
      <c r="W1280" s="50" t="n">
        <v>0</v>
      </c>
      <c r="X1280" s="51" t="n">
        <v>0</v>
      </c>
      <c r="Y1280" s="52" t="n">
        <v>0</v>
      </c>
      <c r="Z1280" s="52" t="n">
        <v>0</v>
      </c>
      <c r="AA1280" s="52" t="n">
        <v>0</v>
      </c>
      <c r="AB1280" s="53" t="n">
        <v>0</v>
      </c>
      <c r="AC1280" s="52" t="n">
        <v>0</v>
      </c>
      <c r="AD1280" s="53" t="n">
        <v>0</v>
      </c>
      <c r="AE1280" s="52" t="n">
        <v>0</v>
      </c>
      <c r="AF1280" s="51" t="n">
        <v>0</v>
      </c>
      <c r="AG1280" s="48" t="n">
        <v>0</v>
      </c>
      <c r="AH1280" s="49" t="n">
        <v>0</v>
      </c>
      <c r="AI1280" s="49" t="n">
        <v>0</v>
      </c>
      <c r="AJ1280" s="50" t="n">
        <v>0</v>
      </c>
      <c r="AK1280" s="51" t="n">
        <v>0</v>
      </c>
      <c r="AL1280" s="52" t="n">
        <v>0</v>
      </c>
      <c r="AM1280" s="52" t="n">
        <v>0</v>
      </c>
      <c r="AN1280" s="52" t="n">
        <v>0</v>
      </c>
      <c r="AO1280" s="53" t="n">
        <v>0</v>
      </c>
      <c r="AP1280" s="52" t="n">
        <v>0</v>
      </c>
      <c r="AQ1280" s="53" t="n">
        <v>0</v>
      </c>
      <c r="AR1280" s="52" t="n">
        <v>0</v>
      </c>
      <c r="AS1280" s="51" t="n">
        <v>0</v>
      </c>
      <c r="AT1280" s="48" t="n">
        <v>0</v>
      </c>
      <c r="AU1280" s="49" t="n">
        <v>0</v>
      </c>
      <c r="AV1280" s="49" t="n">
        <v>0</v>
      </c>
      <c r="AW1280" s="50" t="n">
        <v>0</v>
      </c>
      <c r="AX1280" s="51" t="n">
        <v>0</v>
      </c>
      <c r="AY1280" s="52" t="n">
        <v>0</v>
      </c>
      <c r="AZ1280" s="52" t="n">
        <v>0</v>
      </c>
      <c r="BA1280" s="52" t="n">
        <v>0</v>
      </c>
      <c r="BB1280" s="53" t="n">
        <v>0</v>
      </c>
      <c r="BC1280" s="52" t="n">
        <v>0</v>
      </c>
      <c r="BD1280" s="53" t="n">
        <v>0</v>
      </c>
      <c r="BE1280" s="52" t="n">
        <v>0</v>
      </c>
      <c r="BF1280" s="51" t="n">
        <v>0</v>
      </c>
    </row>
    <row r="1281">
      <c r="A1281">
        <f>HYPERLINK("https://www.walmart.com/ip/783266374", "783266374")</f>
        <v/>
      </c>
      <c r="B1281" t="inlineStr">
        <is>
          <t>JenniWears® Women's Sexy See-through Lingerie Lace Fishnet Suspender</t>
        </is>
      </c>
      <c r="C1281" t="inlineStr">
        <is>
          <t>JWBD01BKPK-3XL</t>
        </is>
      </c>
      <c r="D1281" t="inlineStr">
        <is>
          <t>Lingerie Sets</t>
        </is>
      </c>
      <c r="E1281" t="inlineStr">
        <is>
          <t>JenniWears</t>
        </is>
      </c>
      <c r="F1281" t="inlineStr">
        <is>
          <t>Valentine</t>
        </is>
      </c>
      <c r="G1281" s="48" t="n">
        <v>0</v>
      </c>
      <c r="H1281" s="49" t="n">
        <v>0</v>
      </c>
      <c r="I1281" s="49" t="n">
        <v>0</v>
      </c>
      <c r="J1281" s="50" t="n">
        <v>0</v>
      </c>
      <c r="K1281" s="51" t="n">
        <v>0</v>
      </c>
      <c r="L1281" s="52" t="n">
        <v>0</v>
      </c>
      <c r="M1281" s="52" t="n">
        <v>0</v>
      </c>
      <c r="N1281" s="52" t="n">
        <v>0</v>
      </c>
      <c r="O1281" s="53" t="n">
        <v>0</v>
      </c>
      <c r="P1281" s="52" t="n">
        <v>0</v>
      </c>
      <c r="Q1281" s="53" t="n">
        <v>0</v>
      </c>
      <c r="R1281" s="52" t="n">
        <v>0</v>
      </c>
      <c r="S1281" s="51" t="n">
        <v>0</v>
      </c>
      <c r="T1281" s="48" t="n">
        <v>0</v>
      </c>
      <c r="U1281" s="49" t="n">
        <v>0</v>
      </c>
      <c r="V1281" s="49" t="n">
        <v>0</v>
      </c>
      <c r="W1281" s="50" t="n">
        <v>0</v>
      </c>
      <c r="X1281" s="51" t="n">
        <v>0</v>
      </c>
      <c r="Y1281" s="52" t="n">
        <v>0</v>
      </c>
      <c r="Z1281" s="52" t="n">
        <v>0</v>
      </c>
      <c r="AA1281" s="52" t="n">
        <v>0</v>
      </c>
      <c r="AB1281" s="53" t="n">
        <v>0</v>
      </c>
      <c r="AC1281" s="52" t="n">
        <v>0</v>
      </c>
      <c r="AD1281" s="53" t="n">
        <v>0</v>
      </c>
      <c r="AE1281" s="52" t="n">
        <v>0</v>
      </c>
      <c r="AF1281" s="51" t="n">
        <v>0</v>
      </c>
      <c r="AG1281" s="48" t="n">
        <v>0</v>
      </c>
      <c r="AH1281" s="49" t="n">
        <v>0</v>
      </c>
      <c r="AI1281" s="49" t="n">
        <v>0</v>
      </c>
      <c r="AJ1281" s="50" t="n">
        <v>0</v>
      </c>
      <c r="AK1281" s="51" t="n">
        <v>0</v>
      </c>
      <c r="AL1281" s="52" t="n">
        <v>0</v>
      </c>
      <c r="AM1281" s="52" t="n">
        <v>0</v>
      </c>
      <c r="AN1281" s="52" t="n">
        <v>0</v>
      </c>
      <c r="AO1281" s="53" t="n">
        <v>0</v>
      </c>
      <c r="AP1281" s="52" t="n">
        <v>0</v>
      </c>
      <c r="AQ1281" s="53" t="n">
        <v>0</v>
      </c>
      <c r="AR1281" s="52" t="n">
        <v>0</v>
      </c>
      <c r="AS1281" s="51" t="n">
        <v>0</v>
      </c>
      <c r="AT1281" s="48" t="n">
        <v>0</v>
      </c>
      <c r="AU1281" s="49" t="n">
        <v>0</v>
      </c>
      <c r="AV1281" s="49" t="n">
        <v>0</v>
      </c>
      <c r="AW1281" s="50" t="n">
        <v>0</v>
      </c>
      <c r="AX1281" s="51" t="n">
        <v>0</v>
      </c>
      <c r="AY1281" s="52" t="n">
        <v>0</v>
      </c>
      <c r="AZ1281" s="52" t="n">
        <v>0</v>
      </c>
      <c r="BA1281" s="52" t="n">
        <v>0</v>
      </c>
      <c r="BB1281" s="53" t="n">
        <v>0</v>
      </c>
      <c r="BC1281" s="52" t="n">
        <v>0</v>
      </c>
      <c r="BD1281" s="53" t="n">
        <v>0</v>
      </c>
      <c r="BE1281" s="52" t="n">
        <v>0</v>
      </c>
      <c r="BF1281" s="51" t="n">
        <v>0</v>
      </c>
    </row>
    <row r="1282">
      <c r="A1282">
        <f>HYPERLINK("https://www.walmart.com/ip/783283732", "783283732")</f>
        <v/>
      </c>
      <c r="B1282" t="inlineStr">
        <is>
          <t>Flyingstar Blanket with Sleeves and Pocket, Wearable Throws Blanket, Robe for Women and Men 73” x 51” Cheetah</t>
        </is>
      </c>
      <c r="C1282" t="inlineStr">
        <is>
          <t>1WMSN100CHEETAH-ESGM</t>
        </is>
      </c>
      <c r="D1282" t="inlineStr">
        <is>
          <t>Throws</t>
        </is>
      </c>
      <c r="E1282" t="inlineStr">
        <is>
          <t>Flyingstar</t>
        </is>
      </c>
      <c r="F1282" t="inlineStr">
        <is>
          <t>Batch 1 - TR</t>
        </is>
      </c>
      <c r="G1282" s="48" t="n">
        <v>0</v>
      </c>
      <c r="H1282" s="49" t="n">
        <v>0</v>
      </c>
      <c r="I1282" s="49" t="n">
        <v>0</v>
      </c>
      <c r="J1282" s="50" t="n">
        <v>0</v>
      </c>
      <c r="K1282" s="51" t="n">
        <v>0</v>
      </c>
      <c r="L1282" s="52" t="n">
        <v>0</v>
      </c>
      <c r="M1282" s="52" t="n">
        <v>0</v>
      </c>
      <c r="N1282" s="52" t="n">
        <v>0</v>
      </c>
      <c r="O1282" s="53" t="n">
        <v>0</v>
      </c>
      <c r="P1282" s="52" t="n">
        <v>0</v>
      </c>
      <c r="Q1282" s="53" t="n">
        <v>0</v>
      </c>
      <c r="R1282" s="52" t="n">
        <v>0</v>
      </c>
      <c r="S1282" s="51" t="n">
        <v>0</v>
      </c>
      <c r="T1282" s="48" t="n">
        <v>0</v>
      </c>
      <c r="U1282" s="49" t="n">
        <v>0</v>
      </c>
      <c r="V1282" s="49" t="n">
        <v>0</v>
      </c>
      <c r="W1282" s="50" t="n">
        <v>0</v>
      </c>
      <c r="X1282" s="51" t="n">
        <v>0</v>
      </c>
      <c r="Y1282" s="52" t="n">
        <v>0</v>
      </c>
      <c r="Z1282" s="52" t="n">
        <v>0</v>
      </c>
      <c r="AA1282" s="52" t="n">
        <v>0</v>
      </c>
      <c r="AB1282" s="53" t="n">
        <v>0</v>
      </c>
      <c r="AC1282" s="52" t="n">
        <v>0</v>
      </c>
      <c r="AD1282" s="53" t="n">
        <v>0</v>
      </c>
      <c r="AE1282" s="52" t="n">
        <v>0</v>
      </c>
      <c r="AF1282" s="51" t="n">
        <v>0</v>
      </c>
      <c r="AG1282" s="48" t="n">
        <v>0</v>
      </c>
      <c r="AH1282" s="49" t="n">
        <v>0</v>
      </c>
      <c r="AI1282" s="49" t="n">
        <v>0</v>
      </c>
      <c r="AJ1282" s="50" t="n">
        <v>0</v>
      </c>
      <c r="AK1282" s="51" t="n">
        <v>0</v>
      </c>
      <c r="AL1282" s="52" t="n">
        <v>0</v>
      </c>
      <c r="AM1282" s="52" t="n">
        <v>0</v>
      </c>
      <c r="AN1282" s="52" t="n">
        <v>0</v>
      </c>
      <c r="AO1282" s="53" t="n">
        <v>0</v>
      </c>
      <c r="AP1282" s="52" t="n">
        <v>0</v>
      </c>
      <c r="AQ1282" s="53" t="n">
        <v>0</v>
      </c>
      <c r="AR1282" s="52" t="n">
        <v>0</v>
      </c>
      <c r="AS1282" s="51" t="n">
        <v>0</v>
      </c>
      <c r="AT1282" s="48" t="n">
        <v>0</v>
      </c>
      <c r="AU1282" s="49" t="n">
        <v>0</v>
      </c>
      <c r="AV1282" s="49" t="n">
        <v>0</v>
      </c>
      <c r="AW1282" s="50" t="n">
        <v>0</v>
      </c>
      <c r="AX1282" s="51" t="n">
        <v>0</v>
      </c>
      <c r="AY1282" s="52" t="n">
        <v>0</v>
      </c>
      <c r="AZ1282" s="52" t="n">
        <v>0</v>
      </c>
      <c r="BA1282" s="52" t="n">
        <v>0</v>
      </c>
      <c r="BB1282" s="53" t="n">
        <v>0</v>
      </c>
      <c r="BC1282" s="52" t="n">
        <v>0</v>
      </c>
      <c r="BD1282" s="53" t="n">
        <v>0</v>
      </c>
      <c r="BE1282" s="52" t="n">
        <v>0</v>
      </c>
      <c r="BF1282" s="51" t="n">
        <v>0</v>
      </c>
    </row>
    <row r="1283">
      <c r="A1283">
        <f>HYPERLINK("https://www.walmart.com/ip/784406173", "784406173")</f>
        <v/>
      </c>
      <c r="B1283" t="inlineStr">
        <is>
          <t>JenniWears 2 Women's Beileise Sexy Pantyhose Lace Stockings Black Sheer Socks</t>
        </is>
      </c>
      <c r="C1283" t="inlineStr">
        <is>
          <t>JWBLSPH2091-2 Pack</t>
        </is>
      </c>
      <c r="D1283" t="inlineStr">
        <is>
          <t>Pantyhose &amp; Tights</t>
        </is>
      </c>
      <c r="E1283" t="inlineStr">
        <is>
          <t>JenniWears</t>
        </is>
      </c>
      <c r="F1283" t="inlineStr">
        <is>
          <t>WFS,Valentine,WFS Item</t>
        </is>
      </c>
      <c r="G1283" s="48" t="n">
        <v>0</v>
      </c>
      <c r="H1283" s="49" t="n">
        <v>0</v>
      </c>
      <c r="I1283" s="49" t="n">
        <v>0</v>
      </c>
      <c r="J1283" s="50" t="n">
        <v>0</v>
      </c>
      <c r="K1283" s="51" t="n">
        <v>0</v>
      </c>
      <c r="L1283" s="52" t="n">
        <v>0</v>
      </c>
      <c r="M1283" s="52" t="n">
        <v>0</v>
      </c>
      <c r="N1283" s="52" t="n">
        <v>0</v>
      </c>
      <c r="O1283" s="53" t="n">
        <v>0</v>
      </c>
      <c r="P1283" s="52" t="n">
        <v>0</v>
      </c>
      <c r="Q1283" s="53" t="n">
        <v>0</v>
      </c>
      <c r="R1283" s="52" t="n">
        <v>0</v>
      </c>
      <c r="S1283" s="51" t="n">
        <v>0</v>
      </c>
      <c r="T1283" s="48" t="n">
        <v>0</v>
      </c>
      <c r="U1283" s="49" t="n">
        <v>0</v>
      </c>
      <c r="V1283" s="49" t="n">
        <v>0</v>
      </c>
      <c r="W1283" s="50" t="n">
        <v>0</v>
      </c>
      <c r="X1283" s="51" t="n">
        <v>0</v>
      </c>
      <c r="Y1283" s="52" t="n">
        <v>0</v>
      </c>
      <c r="Z1283" s="52" t="n">
        <v>0</v>
      </c>
      <c r="AA1283" s="52" t="n">
        <v>0</v>
      </c>
      <c r="AB1283" s="53" t="n">
        <v>0</v>
      </c>
      <c r="AC1283" s="52" t="n">
        <v>0</v>
      </c>
      <c r="AD1283" s="53" t="n">
        <v>0</v>
      </c>
      <c r="AE1283" s="52" t="n">
        <v>0</v>
      </c>
      <c r="AF1283" s="51" t="n">
        <v>0</v>
      </c>
      <c r="AG1283" s="48" t="n">
        <v>0</v>
      </c>
      <c r="AH1283" s="49" t="n">
        <v>0</v>
      </c>
      <c r="AI1283" s="49" t="n">
        <v>0</v>
      </c>
      <c r="AJ1283" s="50" t="n">
        <v>0</v>
      </c>
      <c r="AK1283" s="51" t="n">
        <v>0</v>
      </c>
      <c r="AL1283" s="52" t="n">
        <v>0</v>
      </c>
      <c r="AM1283" s="52" t="n">
        <v>0</v>
      </c>
      <c r="AN1283" s="52" t="n">
        <v>0</v>
      </c>
      <c r="AO1283" s="53" t="n">
        <v>0</v>
      </c>
      <c r="AP1283" s="52" t="n">
        <v>0</v>
      </c>
      <c r="AQ1283" s="53" t="n">
        <v>0</v>
      </c>
      <c r="AR1283" s="52" t="n">
        <v>0</v>
      </c>
      <c r="AS1283" s="51" t="n">
        <v>0</v>
      </c>
      <c r="AT1283" s="48" t="n">
        <v>0</v>
      </c>
      <c r="AU1283" s="49" t="n">
        <v>0</v>
      </c>
      <c r="AV1283" s="49" t="n">
        <v>0</v>
      </c>
      <c r="AW1283" s="50" t="n">
        <v>0</v>
      </c>
      <c r="AX1283" s="51" t="n">
        <v>0</v>
      </c>
      <c r="AY1283" s="52" t="n">
        <v>0</v>
      </c>
      <c r="AZ1283" s="52" t="n">
        <v>0</v>
      </c>
      <c r="BA1283" s="52" t="n">
        <v>0</v>
      </c>
      <c r="BB1283" s="53" t="n">
        <v>0</v>
      </c>
      <c r="BC1283" s="52" t="n">
        <v>0</v>
      </c>
      <c r="BD1283" s="53" t="n">
        <v>0</v>
      </c>
      <c r="BE1283" s="52" t="n">
        <v>0</v>
      </c>
      <c r="BF1283" s="51" t="n">
        <v>0</v>
      </c>
    </row>
    <row r="1284">
      <c r="A1284">
        <f>HYPERLINK("https://www.walmart.com/ip/785071963", "785071963")</f>
        <v/>
      </c>
      <c r="B1284" t="inlineStr">
        <is>
          <t>Sherpa Slipper Socks for Women,Winter Indoor Home Non Skid Booties</t>
        </is>
      </c>
      <c r="C1284" t="inlineStr">
        <is>
          <t>1CTST200DBL-1</t>
        </is>
      </c>
      <c r="D1284" t="inlineStr">
        <is>
          <t>Socks</t>
        </is>
      </c>
      <c r="E1284" t="inlineStr">
        <is>
          <t>Catalonia</t>
        </is>
      </c>
      <c r="F1284" t="inlineStr">
        <is>
          <t>WFS,WFS Item</t>
        </is>
      </c>
      <c r="G1284" s="48" t="n">
        <v>0</v>
      </c>
      <c r="H1284" s="49" t="n">
        <v>0</v>
      </c>
      <c r="I1284" s="49" t="n">
        <v>0</v>
      </c>
      <c r="J1284" s="50" t="n">
        <v>0</v>
      </c>
      <c r="K1284" s="51" t="n">
        <v>0</v>
      </c>
      <c r="L1284" s="52" t="n">
        <v>0</v>
      </c>
      <c r="M1284" s="52" t="n">
        <v>0</v>
      </c>
      <c r="N1284" s="52" t="n">
        <v>0</v>
      </c>
      <c r="O1284" s="53" t="n">
        <v>0</v>
      </c>
      <c r="P1284" s="52" t="n">
        <v>0</v>
      </c>
      <c r="Q1284" s="53" t="n">
        <v>0</v>
      </c>
      <c r="R1284" s="52" t="n">
        <v>0</v>
      </c>
      <c r="S1284" s="51" t="n">
        <v>0</v>
      </c>
      <c r="T1284" s="48" t="n">
        <v>0</v>
      </c>
      <c r="U1284" s="49" t="n">
        <v>0</v>
      </c>
      <c r="V1284" s="49" t="n">
        <v>0</v>
      </c>
      <c r="W1284" s="50" t="n">
        <v>0</v>
      </c>
      <c r="X1284" s="51" t="n">
        <v>0</v>
      </c>
      <c r="Y1284" s="52" t="n">
        <v>0</v>
      </c>
      <c r="Z1284" s="52" t="n">
        <v>0</v>
      </c>
      <c r="AA1284" s="52" t="n">
        <v>0</v>
      </c>
      <c r="AB1284" s="53" t="n">
        <v>0</v>
      </c>
      <c r="AC1284" s="52" t="n">
        <v>0</v>
      </c>
      <c r="AD1284" s="53" t="n">
        <v>0</v>
      </c>
      <c r="AE1284" s="52" t="n">
        <v>0</v>
      </c>
      <c r="AF1284" s="51" t="n">
        <v>0</v>
      </c>
      <c r="AG1284" s="48" t="n">
        <v>0</v>
      </c>
      <c r="AH1284" s="49" t="n">
        <v>0</v>
      </c>
      <c r="AI1284" s="49" t="n">
        <v>0</v>
      </c>
      <c r="AJ1284" s="50" t="n">
        <v>0</v>
      </c>
      <c r="AK1284" s="51" t="n">
        <v>0</v>
      </c>
      <c r="AL1284" s="52" t="n">
        <v>0</v>
      </c>
      <c r="AM1284" s="52" t="n">
        <v>0</v>
      </c>
      <c r="AN1284" s="52" t="n">
        <v>0</v>
      </c>
      <c r="AO1284" s="53" t="n">
        <v>0</v>
      </c>
      <c r="AP1284" s="52" t="n">
        <v>0</v>
      </c>
      <c r="AQ1284" s="53" t="n">
        <v>0</v>
      </c>
      <c r="AR1284" s="52" t="n">
        <v>0</v>
      </c>
      <c r="AS1284" s="51" t="n">
        <v>0</v>
      </c>
      <c r="AT1284" s="48" t="n">
        <v>0</v>
      </c>
      <c r="AU1284" s="49" t="n">
        <v>0</v>
      </c>
      <c r="AV1284" s="49" t="n">
        <v>0</v>
      </c>
      <c r="AW1284" s="50" t="n">
        <v>0</v>
      </c>
      <c r="AX1284" s="51" t="n">
        <v>0</v>
      </c>
      <c r="AY1284" s="52" t="n">
        <v>0</v>
      </c>
      <c r="AZ1284" s="52" t="n">
        <v>0</v>
      </c>
      <c r="BA1284" s="52" t="n">
        <v>0</v>
      </c>
      <c r="BB1284" s="53" t="n">
        <v>0</v>
      </c>
      <c r="BC1284" s="52" t="n">
        <v>0</v>
      </c>
      <c r="BD1284" s="53" t="n">
        <v>0</v>
      </c>
      <c r="BE1284" s="52" t="n">
        <v>0</v>
      </c>
      <c r="BF1284" s="51" t="n">
        <v>0</v>
      </c>
    </row>
    <row r="1285">
      <c r="A1285">
        <f>HYPERLINK("https://www.walmart.com/ip/785175130", "785175130")</f>
        <v/>
      </c>
      <c r="B1285" t="inlineStr">
        <is>
          <t>Tirrinia Reversible Fuzzy Super Soft Ultra Plush Throw Blanket, Brown Moroccan, 50in x 70in</t>
        </is>
      </c>
      <c r="C1285" t="inlineStr">
        <is>
          <t>1TRBF8022BRN-TBCB</t>
        </is>
      </c>
      <c r="D1285" t="inlineStr">
        <is>
          <t>Throws</t>
        </is>
      </c>
      <c r="E1285" t="inlineStr">
        <is>
          <t>Tirrinia</t>
        </is>
      </c>
      <c r="F1285" t="inlineStr">
        <is>
          <t>Optimized</t>
        </is>
      </c>
      <c r="G1285" s="48" t="n">
        <v>0</v>
      </c>
      <c r="H1285" s="49" t="n">
        <v>0</v>
      </c>
      <c r="I1285" s="49" t="n">
        <v>0</v>
      </c>
      <c r="J1285" s="50" t="n">
        <v>0</v>
      </c>
      <c r="K1285" s="51" t="n">
        <v>0</v>
      </c>
      <c r="L1285" s="52" t="n">
        <v>0</v>
      </c>
      <c r="M1285" s="52" t="n">
        <v>0</v>
      </c>
      <c r="N1285" s="52" t="n">
        <v>0</v>
      </c>
      <c r="O1285" s="53" t="n">
        <v>0</v>
      </c>
      <c r="P1285" s="52" t="n">
        <v>0</v>
      </c>
      <c r="Q1285" s="53" t="n">
        <v>0</v>
      </c>
      <c r="R1285" s="52" t="n">
        <v>0</v>
      </c>
      <c r="S1285" s="51" t="n">
        <v>0</v>
      </c>
      <c r="T1285" s="48" t="n">
        <v>0</v>
      </c>
      <c r="U1285" s="49" t="n">
        <v>0</v>
      </c>
      <c r="V1285" s="49" t="n">
        <v>0</v>
      </c>
      <c r="W1285" s="50" t="n">
        <v>0</v>
      </c>
      <c r="X1285" s="51" t="n">
        <v>0</v>
      </c>
      <c r="Y1285" s="52" t="n">
        <v>0</v>
      </c>
      <c r="Z1285" s="52" t="n">
        <v>0</v>
      </c>
      <c r="AA1285" s="52" t="n">
        <v>0</v>
      </c>
      <c r="AB1285" s="53" t="n">
        <v>0</v>
      </c>
      <c r="AC1285" s="52" t="n">
        <v>0</v>
      </c>
      <c r="AD1285" s="53" t="n">
        <v>0</v>
      </c>
      <c r="AE1285" s="52" t="n">
        <v>0</v>
      </c>
      <c r="AF1285" s="51" t="n">
        <v>0</v>
      </c>
      <c r="AG1285" s="48" t="n">
        <v>0</v>
      </c>
      <c r="AH1285" s="49" t="n">
        <v>0</v>
      </c>
      <c r="AI1285" s="49" t="n">
        <v>0</v>
      </c>
      <c r="AJ1285" s="50" t="n">
        <v>0</v>
      </c>
      <c r="AK1285" s="51" t="n">
        <v>0</v>
      </c>
      <c r="AL1285" s="52" t="n">
        <v>0</v>
      </c>
      <c r="AM1285" s="52" t="n">
        <v>0</v>
      </c>
      <c r="AN1285" s="52" t="n">
        <v>0</v>
      </c>
      <c r="AO1285" s="53" t="n">
        <v>0</v>
      </c>
      <c r="AP1285" s="52" t="n">
        <v>0</v>
      </c>
      <c r="AQ1285" s="53" t="n">
        <v>0</v>
      </c>
      <c r="AR1285" s="52" t="n">
        <v>0</v>
      </c>
      <c r="AS1285" s="51" t="n">
        <v>0</v>
      </c>
      <c r="AT1285" s="48" t="n">
        <v>0</v>
      </c>
      <c r="AU1285" s="49" t="n">
        <v>0</v>
      </c>
      <c r="AV1285" s="49" t="n">
        <v>0</v>
      </c>
      <c r="AW1285" s="50" t="n">
        <v>0</v>
      </c>
      <c r="AX1285" s="51" t="n">
        <v>0</v>
      </c>
      <c r="AY1285" s="52" t="n">
        <v>0</v>
      </c>
      <c r="AZ1285" s="52" t="n">
        <v>0</v>
      </c>
      <c r="BA1285" s="52" t="n">
        <v>0</v>
      </c>
      <c r="BB1285" s="53" t="n">
        <v>0</v>
      </c>
      <c r="BC1285" s="52" t="n">
        <v>0</v>
      </c>
      <c r="BD1285" s="53" t="n">
        <v>0</v>
      </c>
      <c r="BE1285" s="52" t="n">
        <v>0</v>
      </c>
      <c r="BF1285" s="51" t="n">
        <v>0</v>
      </c>
    </row>
    <row r="1286">
      <c r="A1286">
        <f>HYPERLINK("https://www.walmart.com/ip/779483691", "779483691")</f>
        <v/>
      </c>
      <c r="B1286" t="inlineStr">
        <is>
          <t>Sun Hat for Women, Summer Beach UPF 50+ Packable Wide Brim Bucket Hat, Line Stripe Pattern Design</t>
        </is>
      </c>
      <c r="C1286" t="inlineStr">
        <is>
          <t>TERRACAP-F065-BLK</t>
        </is>
      </c>
      <c r="D1286" t="inlineStr">
        <is>
          <t>Hats</t>
        </is>
      </c>
      <c r="E1286" t="inlineStr">
        <is>
          <t>Terra</t>
        </is>
      </c>
      <c r="F1286" t="inlineStr">
        <is>
          <t>Optimized,Hats</t>
        </is>
      </c>
      <c r="G1286" s="48" t="n">
        <v>0</v>
      </c>
      <c r="H1286" s="49" t="n">
        <v>0</v>
      </c>
      <c r="I1286" s="49" t="n">
        <v>0</v>
      </c>
      <c r="J1286" s="50" t="n">
        <v>0</v>
      </c>
      <c r="K1286" s="51" t="n">
        <v>0</v>
      </c>
      <c r="L1286" s="52" t="n">
        <v>0</v>
      </c>
      <c r="M1286" s="52" t="n">
        <v>0</v>
      </c>
      <c r="N1286" s="52" t="n">
        <v>0</v>
      </c>
      <c r="O1286" s="53" t="n">
        <v>0</v>
      </c>
      <c r="P1286" s="52" t="n">
        <v>0</v>
      </c>
      <c r="Q1286" s="53" t="n">
        <v>0</v>
      </c>
      <c r="R1286" s="52" t="n">
        <v>0</v>
      </c>
      <c r="S1286" s="51" t="n">
        <v>0</v>
      </c>
      <c r="T1286" s="48" t="n">
        <v>0</v>
      </c>
      <c r="U1286" s="49" t="n">
        <v>0</v>
      </c>
      <c r="V1286" s="49" t="n">
        <v>0</v>
      </c>
      <c r="W1286" s="50" t="n">
        <v>0</v>
      </c>
      <c r="X1286" s="51" t="n">
        <v>0</v>
      </c>
      <c r="Y1286" s="52" t="n">
        <v>0</v>
      </c>
      <c r="Z1286" s="52" t="n">
        <v>0</v>
      </c>
      <c r="AA1286" s="52" t="n">
        <v>0</v>
      </c>
      <c r="AB1286" s="53" t="n">
        <v>0</v>
      </c>
      <c r="AC1286" s="52" t="n">
        <v>0</v>
      </c>
      <c r="AD1286" s="53" t="n">
        <v>0</v>
      </c>
      <c r="AE1286" s="52" t="n">
        <v>0</v>
      </c>
      <c r="AF1286" s="51" t="n">
        <v>0</v>
      </c>
      <c r="AG1286" s="48" t="n">
        <v>0</v>
      </c>
      <c r="AH1286" s="49" t="n">
        <v>0</v>
      </c>
      <c r="AI1286" s="49" t="n">
        <v>0</v>
      </c>
      <c r="AJ1286" s="50" t="n">
        <v>0</v>
      </c>
      <c r="AK1286" s="51" t="n">
        <v>0</v>
      </c>
      <c r="AL1286" s="52" t="n">
        <v>0</v>
      </c>
      <c r="AM1286" s="52" t="n">
        <v>0</v>
      </c>
      <c r="AN1286" s="52" t="n">
        <v>0</v>
      </c>
      <c r="AO1286" s="53" t="n">
        <v>0</v>
      </c>
      <c r="AP1286" s="52" t="n">
        <v>0</v>
      </c>
      <c r="AQ1286" s="53" t="n">
        <v>0</v>
      </c>
      <c r="AR1286" s="52" t="n">
        <v>0</v>
      </c>
      <c r="AS1286" s="51" t="n">
        <v>0</v>
      </c>
      <c r="AT1286" s="48" t="n">
        <v>0</v>
      </c>
      <c r="AU1286" s="49" t="n">
        <v>0</v>
      </c>
      <c r="AV1286" s="49" t="n">
        <v>0</v>
      </c>
      <c r="AW1286" s="50" t="n">
        <v>0</v>
      </c>
      <c r="AX1286" s="51" t="n">
        <v>0</v>
      </c>
      <c r="AY1286" s="52" t="n">
        <v>0</v>
      </c>
      <c r="AZ1286" s="52" t="n">
        <v>0</v>
      </c>
      <c r="BA1286" s="52" t="n">
        <v>0</v>
      </c>
      <c r="BB1286" s="53" t="n">
        <v>0</v>
      </c>
      <c r="BC1286" s="52" t="n">
        <v>0</v>
      </c>
      <c r="BD1286" s="53" t="n">
        <v>0</v>
      </c>
      <c r="BE1286" s="52" t="n">
        <v>0</v>
      </c>
      <c r="BF1286" s="51" t="n">
        <v>0</v>
      </c>
    </row>
    <row r="1287">
      <c r="A1287">
        <f>HYPERLINK("https://www.walmart.com/ip/779044410", "779044410")</f>
        <v/>
      </c>
      <c r="B1287" t="inlineStr">
        <is>
          <t>Tirrinia Single Wine Tote Bag, Insulated Padded Thermal Wine Bottle Carrying Cooler Carrier for Travel, Picnic, Perfect Gift for Wine Lover, Canvas Beige</t>
        </is>
      </c>
      <c r="C1287" t="inlineStr">
        <is>
          <t>1KTWB100BG</t>
        </is>
      </c>
      <c r="D1287" t="inlineStr">
        <is>
          <t>Wine Totes, Bags &amp; Backpacks</t>
        </is>
      </c>
      <c r="E1287" t="inlineStr">
        <is>
          <t>Tirrinia</t>
        </is>
      </c>
      <c r="F1287" t="inlineStr">
        <is>
          <t>Wine,Christmas,WFS,Wine WFS,Valentine,SEM,WFS Item</t>
        </is>
      </c>
      <c r="G1287" s="48" t="n">
        <v>0</v>
      </c>
      <c r="H1287" s="49" t="n">
        <v>0</v>
      </c>
      <c r="I1287" s="49" t="n">
        <v>0</v>
      </c>
      <c r="J1287" s="50" t="n">
        <v>0</v>
      </c>
      <c r="K1287" s="51" t="n">
        <v>0</v>
      </c>
      <c r="L1287" s="52" t="n">
        <v>0</v>
      </c>
      <c r="M1287" s="52" t="n">
        <v>0</v>
      </c>
      <c r="N1287" s="52" t="n">
        <v>0</v>
      </c>
      <c r="O1287" s="53" t="n">
        <v>0</v>
      </c>
      <c r="P1287" s="52" t="n">
        <v>0</v>
      </c>
      <c r="Q1287" s="53" t="n">
        <v>0</v>
      </c>
      <c r="R1287" s="52" t="n">
        <v>0</v>
      </c>
      <c r="S1287" s="51" t="n">
        <v>0</v>
      </c>
      <c r="T1287" s="48" t="n">
        <v>0</v>
      </c>
      <c r="U1287" s="49" t="n">
        <v>0</v>
      </c>
      <c r="V1287" s="49" t="n">
        <v>0</v>
      </c>
      <c r="W1287" s="50" t="n">
        <v>0</v>
      </c>
      <c r="X1287" s="51" t="n">
        <v>0</v>
      </c>
      <c r="Y1287" s="52" t="n">
        <v>0</v>
      </c>
      <c r="Z1287" s="52" t="n">
        <v>0</v>
      </c>
      <c r="AA1287" s="52" t="n">
        <v>0</v>
      </c>
      <c r="AB1287" s="53" t="n">
        <v>0</v>
      </c>
      <c r="AC1287" s="52" t="n">
        <v>0</v>
      </c>
      <c r="AD1287" s="53" t="n">
        <v>0</v>
      </c>
      <c r="AE1287" s="52" t="n">
        <v>0</v>
      </c>
      <c r="AF1287" s="51" t="n">
        <v>0</v>
      </c>
      <c r="AG1287" s="48" t="n">
        <v>0</v>
      </c>
      <c r="AH1287" s="49" t="n">
        <v>0</v>
      </c>
      <c r="AI1287" s="49" t="n">
        <v>0</v>
      </c>
      <c r="AJ1287" s="50" t="n">
        <v>0</v>
      </c>
      <c r="AK1287" s="51" t="n">
        <v>0</v>
      </c>
      <c r="AL1287" s="52" t="n">
        <v>0</v>
      </c>
      <c r="AM1287" s="52" t="n">
        <v>0</v>
      </c>
      <c r="AN1287" s="52" t="n">
        <v>0</v>
      </c>
      <c r="AO1287" s="53" t="n">
        <v>0</v>
      </c>
      <c r="AP1287" s="52" t="n">
        <v>0</v>
      </c>
      <c r="AQ1287" s="53" t="n">
        <v>0</v>
      </c>
      <c r="AR1287" s="52" t="n">
        <v>0</v>
      </c>
      <c r="AS1287" s="51" t="n">
        <v>0</v>
      </c>
      <c r="AT1287" s="48" t="n">
        <v>0</v>
      </c>
      <c r="AU1287" s="49" t="n">
        <v>0</v>
      </c>
      <c r="AV1287" s="49" t="n">
        <v>0</v>
      </c>
      <c r="AW1287" s="50" t="n">
        <v>0</v>
      </c>
      <c r="AX1287" s="51" t="n">
        <v>0</v>
      </c>
      <c r="AY1287" s="52" t="n">
        <v>0</v>
      </c>
      <c r="AZ1287" s="52" t="n">
        <v>0</v>
      </c>
      <c r="BA1287" s="52" t="n">
        <v>0</v>
      </c>
      <c r="BB1287" s="53" t="n">
        <v>0</v>
      </c>
      <c r="BC1287" s="52" t="n">
        <v>0</v>
      </c>
      <c r="BD1287" s="53" t="n">
        <v>0</v>
      </c>
      <c r="BE1287" s="52" t="n">
        <v>0</v>
      </c>
      <c r="BF1287" s="51" t="n">
        <v>0</v>
      </c>
    </row>
    <row r="1288">
      <c r="A1288">
        <f>HYPERLINK("https://www.walmart.com/ip/777666039", "777666039")</f>
        <v/>
      </c>
      <c r="B1288" t="inlineStr">
        <is>
          <t>Tirrinia Pressure Pump Opener Set Corkscrew+foil cutter+wine pourer+Vacuum Stopper, Pink</t>
        </is>
      </c>
      <c r="C1288" t="inlineStr">
        <is>
          <t>1KTWO400PK</t>
        </is>
      </c>
      <c r="D1288" t="inlineStr">
        <is>
          <t>Barware Sets</t>
        </is>
      </c>
      <c r="E1288" t="inlineStr">
        <is>
          <t>Tirrinia</t>
        </is>
      </c>
      <c r="F1288" t="inlineStr">
        <is>
          <t>Wine,Christmas,Optimized,WFS,Valentine,WFS Item</t>
        </is>
      </c>
      <c r="G1288" s="48" t="n">
        <v>0</v>
      </c>
      <c r="H1288" s="49" t="n">
        <v>0</v>
      </c>
      <c r="I1288" s="49" t="n">
        <v>0</v>
      </c>
      <c r="J1288" s="50" t="n">
        <v>0</v>
      </c>
      <c r="K1288" s="51" t="n">
        <v>0</v>
      </c>
      <c r="L1288" s="52" t="n">
        <v>0</v>
      </c>
      <c r="M1288" s="52" t="n">
        <v>0</v>
      </c>
      <c r="N1288" s="52" t="n">
        <v>0</v>
      </c>
      <c r="O1288" s="53" t="n">
        <v>0</v>
      </c>
      <c r="P1288" s="52" t="n">
        <v>0</v>
      </c>
      <c r="Q1288" s="53" t="n">
        <v>0</v>
      </c>
      <c r="R1288" s="52" t="n">
        <v>0</v>
      </c>
      <c r="S1288" s="51" t="n">
        <v>0</v>
      </c>
      <c r="T1288" s="48" t="n">
        <v>0</v>
      </c>
      <c r="U1288" s="49" t="n">
        <v>0</v>
      </c>
      <c r="V1288" s="49" t="n">
        <v>0</v>
      </c>
      <c r="W1288" s="50" t="n">
        <v>0</v>
      </c>
      <c r="X1288" s="51" t="n">
        <v>0</v>
      </c>
      <c r="Y1288" s="52" t="n">
        <v>0</v>
      </c>
      <c r="Z1288" s="52" t="n">
        <v>0</v>
      </c>
      <c r="AA1288" s="52" t="n">
        <v>0</v>
      </c>
      <c r="AB1288" s="53" t="n">
        <v>0</v>
      </c>
      <c r="AC1288" s="52" t="n">
        <v>0</v>
      </c>
      <c r="AD1288" s="53" t="n">
        <v>0</v>
      </c>
      <c r="AE1288" s="52" t="n">
        <v>0</v>
      </c>
      <c r="AF1288" s="51" t="n">
        <v>0</v>
      </c>
      <c r="AG1288" s="48" t="n">
        <v>0</v>
      </c>
      <c r="AH1288" s="49" t="n">
        <v>0</v>
      </c>
      <c r="AI1288" s="49" t="n">
        <v>0</v>
      </c>
      <c r="AJ1288" s="50" t="n">
        <v>0</v>
      </c>
      <c r="AK1288" s="51" t="n">
        <v>0</v>
      </c>
      <c r="AL1288" s="52" t="n">
        <v>0</v>
      </c>
      <c r="AM1288" s="52" t="n">
        <v>0</v>
      </c>
      <c r="AN1288" s="52" t="n">
        <v>0</v>
      </c>
      <c r="AO1288" s="53" t="n">
        <v>0</v>
      </c>
      <c r="AP1288" s="52" t="n">
        <v>0</v>
      </c>
      <c r="AQ1288" s="53" t="n">
        <v>0</v>
      </c>
      <c r="AR1288" s="52" t="n">
        <v>0</v>
      </c>
      <c r="AS1288" s="51" t="n">
        <v>0</v>
      </c>
      <c r="AT1288" s="48" t="n">
        <v>0</v>
      </c>
      <c r="AU1288" s="49" t="n">
        <v>0</v>
      </c>
      <c r="AV1288" s="49" t="n">
        <v>0</v>
      </c>
      <c r="AW1288" s="50" t="n">
        <v>0</v>
      </c>
      <c r="AX1288" s="51" t="n">
        <v>0</v>
      </c>
      <c r="AY1288" s="52" t="n">
        <v>0</v>
      </c>
      <c r="AZ1288" s="52" t="n">
        <v>0</v>
      </c>
      <c r="BA1288" s="52" t="n">
        <v>0</v>
      </c>
      <c r="BB1288" s="53" t="n">
        <v>0</v>
      </c>
      <c r="BC1288" s="52" t="n">
        <v>0</v>
      </c>
      <c r="BD1288" s="53" t="n">
        <v>0</v>
      </c>
      <c r="BE1288" s="52" t="n">
        <v>0</v>
      </c>
      <c r="BF1288" s="51" t="n">
        <v>0</v>
      </c>
    </row>
    <row r="1289">
      <c r="A1289">
        <f>HYPERLINK("https://www.walmart.com/ip/773018457", "773018457")</f>
        <v/>
      </c>
      <c r="B1289" t="inlineStr">
        <is>
          <t>Tirrinia Waterproof Outdoor Blanket with Sherpa Lining, Windproof Triple Layers Warm Comfy Foldable for Camping Stadium, Sports, Picnic, Concerts and Pets, Machine Washable, Light Grey, 60'' X 80''.</t>
        </is>
      </c>
      <c r="C1289" t="inlineStr">
        <is>
          <t>1TRBW608LGDG-CDCB</t>
        </is>
      </c>
      <c r="D1289" t="inlineStr">
        <is>
          <t>Throws</t>
        </is>
      </c>
      <c r="E1289" t="inlineStr">
        <is>
          <t>Tirrinia</t>
        </is>
      </c>
      <c r="F1289" t="inlineStr">
        <is>
          <t>Q2-Target,Optimized</t>
        </is>
      </c>
      <c r="G1289" s="48" t="n">
        <v>0</v>
      </c>
      <c r="H1289" s="49" t="n">
        <v>0</v>
      </c>
      <c r="I1289" s="49" t="n">
        <v>0</v>
      </c>
      <c r="J1289" s="50" t="n">
        <v>0</v>
      </c>
      <c r="K1289" s="51" t="n">
        <v>5</v>
      </c>
      <c r="L1289" s="52" t="n">
        <v>1.5</v>
      </c>
      <c r="M1289" s="52" t="n">
        <v>0</v>
      </c>
      <c r="N1289" s="52" t="n">
        <v>0</v>
      </c>
      <c r="O1289" s="53" t="n">
        <v>0.0011</v>
      </c>
      <c r="P1289" s="52" t="n">
        <v>0.3</v>
      </c>
      <c r="Q1289" s="53" t="n">
        <v>0</v>
      </c>
      <c r="R1289" s="52" t="n">
        <v>0</v>
      </c>
      <c r="S1289" s="51" t="n">
        <v>4613</v>
      </c>
      <c r="T1289" s="48" t="n">
        <v>0</v>
      </c>
      <c r="U1289" s="49" t="n">
        <v>0</v>
      </c>
      <c r="V1289" s="49" t="n">
        <v>0</v>
      </c>
      <c r="W1289" s="50" t="n">
        <v>0</v>
      </c>
      <c r="X1289" s="51" t="n">
        <v>2</v>
      </c>
      <c r="Y1289" s="52" t="n">
        <v>0.42</v>
      </c>
      <c r="Z1289" s="52" t="n">
        <v>0</v>
      </c>
      <c r="AA1289" s="52" t="n">
        <v>0</v>
      </c>
      <c r="AB1289" s="53" t="n">
        <v>0.0003</v>
      </c>
      <c r="AC1289" s="52" t="n">
        <v>0.21</v>
      </c>
      <c r="AD1289" s="53" t="n">
        <v>0</v>
      </c>
      <c r="AE1289" s="52" t="n">
        <v>0</v>
      </c>
      <c r="AF1289" s="51" t="n">
        <v>6032</v>
      </c>
      <c r="AG1289" s="48" t="n">
        <v>0</v>
      </c>
      <c r="AH1289" s="49" t="n">
        <v>0</v>
      </c>
      <c r="AI1289" s="49" t="n">
        <v>0</v>
      </c>
      <c r="AJ1289" s="50" t="n">
        <v>0</v>
      </c>
      <c r="AK1289" s="51" t="n">
        <v>0</v>
      </c>
      <c r="AL1289" s="52" t="n">
        <v>0</v>
      </c>
      <c r="AM1289" s="52" t="n">
        <v>0</v>
      </c>
      <c r="AN1289" s="52" t="n">
        <v>0</v>
      </c>
      <c r="AO1289" s="53" t="n">
        <v>0</v>
      </c>
      <c r="AP1289" s="52" t="n">
        <v>0</v>
      </c>
      <c r="AQ1289" s="53" t="n">
        <v>0</v>
      </c>
      <c r="AR1289" s="52" t="n">
        <v>0</v>
      </c>
      <c r="AS1289" s="51" t="n">
        <v>0</v>
      </c>
      <c r="AT1289" s="48" t="n">
        <v>0</v>
      </c>
      <c r="AU1289" s="49" t="n">
        <v>0</v>
      </c>
      <c r="AV1289" s="49" t="n">
        <v>0</v>
      </c>
      <c r="AW1289" s="50" t="n">
        <v>0</v>
      </c>
      <c r="AX1289" s="51" t="n">
        <v>3</v>
      </c>
      <c r="AY1289" s="52" t="n">
        <v>1.41</v>
      </c>
      <c r="AZ1289" s="52" t="n">
        <v>0</v>
      </c>
      <c r="BA1289" s="52" t="n">
        <v>0</v>
      </c>
      <c r="BB1289" s="53" t="n">
        <v>0.0038</v>
      </c>
      <c r="BC1289" s="52" t="n">
        <v>0.47</v>
      </c>
      <c r="BD1289" s="53" t="n">
        <v>0</v>
      </c>
      <c r="BE1289" s="52" t="n">
        <v>0</v>
      </c>
      <c r="BF1289" s="51" t="n">
        <v>793</v>
      </c>
    </row>
    <row r="1290">
      <c r="A1290">
        <f>HYPERLINK("https://www.walmart.com/ip/771364230", "771364230")</f>
        <v/>
      </c>
      <c r="B1290" t="inlineStr">
        <is>
          <t>Flyingstar High SPF Men's Sun Hat,UV Protection Wide-Brimmed with Air Panels, Olive</t>
        </is>
      </c>
      <c r="C1290" t="inlineStr">
        <is>
          <t>1WMSH911OL</t>
        </is>
      </c>
      <c r="D1290" t="inlineStr">
        <is>
          <t>Hats</t>
        </is>
      </c>
      <c r="E1290" t="inlineStr">
        <is>
          <t>Flyingstar</t>
        </is>
      </c>
      <c r="F1290" t="inlineStr">
        <is>
          <t>Optimized</t>
        </is>
      </c>
      <c r="G1290" s="48" t="n">
        <v>0</v>
      </c>
      <c r="H1290" s="49" t="n">
        <v>0</v>
      </c>
      <c r="I1290" s="49" t="n">
        <v>0</v>
      </c>
      <c r="J1290" s="50" t="n">
        <v>0</v>
      </c>
      <c r="K1290" s="51" t="n">
        <v>0</v>
      </c>
      <c r="L1290" s="52" t="n">
        <v>0</v>
      </c>
      <c r="M1290" s="52" t="n">
        <v>0</v>
      </c>
      <c r="N1290" s="52" t="n">
        <v>0</v>
      </c>
      <c r="O1290" s="53" t="n">
        <v>0</v>
      </c>
      <c r="P1290" s="52" t="n">
        <v>0</v>
      </c>
      <c r="Q1290" s="53" t="n">
        <v>0</v>
      </c>
      <c r="R1290" s="52" t="n">
        <v>0</v>
      </c>
      <c r="S1290" s="51" t="n">
        <v>0</v>
      </c>
      <c r="T1290" s="48" t="n">
        <v>0</v>
      </c>
      <c r="U1290" s="49" t="n">
        <v>0</v>
      </c>
      <c r="V1290" s="49" t="n">
        <v>0</v>
      </c>
      <c r="W1290" s="50" t="n">
        <v>0</v>
      </c>
      <c r="X1290" s="51" t="n">
        <v>0</v>
      </c>
      <c r="Y1290" s="52" t="n">
        <v>0</v>
      </c>
      <c r="Z1290" s="52" t="n">
        <v>0</v>
      </c>
      <c r="AA1290" s="52" t="n">
        <v>0</v>
      </c>
      <c r="AB1290" s="53" t="n">
        <v>0</v>
      </c>
      <c r="AC1290" s="52" t="n">
        <v>0</v>
      </c>
      <c r="AD1290" s="53" t="n">
        <v>0</v>
      </c>
      <c r="AE1290" s="52" t="n">
        <v>0</v>
      </c>
      <c r="AF1290" s="51" t="n">
        <v>0</v>
      </c>
      <c r="AG1290" s="48" t="n">
        <v>0</v>
      </c>
      <c r="AH1290" s="49" t="n">
        <v>0</v>
      </c>
      <c r="AI1290" s="49" t="n">
        <v>0</v>
      </c>
      <c r="AJ1290" s="50" t="n">
        <v>0</v>
      </c>
      <c r="AK1290" s="51" t="n">
        <v>0</v>
      </c>
      <c r="AL1290" s="52" t="n">
        <v>0</v>
      </c>
      <c r="AM1290" s="52" t="n">
        <v>0</v>
      </c>
      <c r="AN1290" s="52" t="n">
        <v>0</v>
      </c>
      <c r="AO1290" s="53" t="n">
        <v>0</v>
      </c>
      <c r="AP1290" s="52" t="n">
        <v>0</v>
      </c>
      <c r="AQ1290" s="53" t="n">
        <v>0</v>
      </c>
      <c r="AR1290" s="52" t="n">
        <v>0</v>
      </c>
      <c r="AS1290" s="51" t="n">
        <v>0</v>
      </c>
      <c r="AT1290" s="48" t="n">
        <v>0</v>
      </c>
      <c r="AU1290" s="49" t="n">
        <v>0</v>
      </c>
      <c r="AV1290" s="49" t="n">
        <v>0</v>
      </c>
      <c r="AW1290" s="50" t="n">
        <v>0</v>
      </c>
      <c r="AX1290" s="51" t="n">
        <v>0</v>
      </c>
      <c r="AY1290" s="52" t="n">
        <v>0</v>
      </c>
      <c r="AZ1290" s="52" t="n">
        <v>0</v>
      </c>
      <c r="BA1290" s="52" t="n">
        <v>0</v>
      </c>
      <c r="BB1290" s="53" t="n">
        <v>0</v>
      </c>
      <c r="BC1290" s="52" t="n">
        <v>0</v>
      </c>
      <c r="BD1290" s="53" t="n">
        <v>0</v>
      </c>
      <c r="BE1290" s="52" t="n">
        <v>0</v>
      </c>
      <c r="BF1290" s="51" t="n">
        <v>0</v>
      </c>
    </row>
    <row r="1291">
      <c r="A1291">
        <f>HYPERLINK("https://www.walmart.com/ip/771666786", "771666786")</f>
        <v/>
      </c>
      <c r="B1291" t="inlineStr">
        <is>
          <t>Two Pieces Double up Tankini Swimsuit for Women Bathing Suits Set by Tirrinia</t>
        </is>
      </c>
      <c r="C1291" t="inlineStr">
        <is>
          <t>1TRSS002WH-L</t>
        </is>
      </c>
      <c r="D1291" t="inlineStr">
        <is>
          <t>Swimsuit Sets</t>
        </is>
      </c>
      <c r="E1291" t="inlineStr">
        <is>
          <t>Tirrinia</t>
        </is>
      </c>
      <c r="F1291" t="inlineStr">
        <is>
          <t>Batch 1 - TR</t>
        </is>
      </c>
      <c r="G1291" s="48" t="n">
        <v>0</v>
      </c>
      <c r="H1291" s="49" t="n">
        <v>0</v>
      </c>
      <c r="I1291" s="49" t="n">
        <v>0</v>
      </c>
      <c r="J1291" s="50" t="n">
        <v>0</v>
      </c>
      <c r="K1291" s="51" t="n">
        <v>0</v>
      </c>
      <c r="L1291" s="52" t="n">
        <v>0</v>
      </c>
      <c r="M1291" s="52" t="n">
        <v>0</v>
      </c>
      <c r="N1291" s="52" t="n">
        <v>0</v>
      </c>
      <c r="O1291" s="53" t="n">
        <v>0</v>
      </c>
      <c r="P1291" s="52" t="n">
        <v>0</v>
      </c>
      <c r="Q1291" s="53" t="n">
        <v>0</v>
      </c>
      <c r="R1291" s="52" t="n">
        <v>0</v>
      </c>
      <c r="S1291" s="51" t="n">
        <v>0</v>
      </c>
      <c r="T1291" s="48" t="n">
        <v>0</v>
      </c>
      <c r="U1291" s="49" t="n">
        <v>0</v>
      </c>
      <c r="V1291" s="49" t="n">
        <v>0</v>
      </c>
      <c r="W1291" s="50" t="n">
        <v>0</v>
      </c>
      <c r="X1291" s="51" t="n">
        <v>0</v>
      </c>
      <c r="Y1291" s="52" t="n">
        <v>0</v>
      </c>
      <c r="Z1291" s="52" t="n">
        <v>0</v>
      </c>
      <c r="AA1291" s="52" t="n">
        <v>0</v>
      </c>
      <c r="AB1291" s="53" t="n">
        <v>0</v>
      </c>
      <c r="AC1291" s="52" t="n">
        <v>0</v>
      </c>
      <c r="AD1291" s="53" t="n">
        <v>0</v>
      </c>
      <c r="AE1291" s="52" t="n">
        <v>0</v>
      </c>
      <c r="AF1291" s="51" t="n">
        <v>0</v>
      </c>
      <c r="AG1291" s="48" t="n">
        <v>0</v>
      </c>
      <c r="AH1291" s="49" t="n">
        <v>0</v>
      </c>
      <c r="AI1291" s="49" t="n">
        <v>0</v>
      </c>
      <c r="AJ1291" s="50" t="n">
        <v>0</v>
      </c>
      <c r="AK1291" s="51" t="n">
        <v>0</v>
      </c>
      <c r="AL1291" s="52" t="n">
        <v>0</v>
      </c>
      <c r="AM1291" s="52" t="n">
        <v>0</v>
      </c>
      <c r="AN1291" s="52" t="n">
        <v>0</v>
      </c>
      <c r="AO1291" s="53" t="n">
        <v>0</v>
      </c>
      <c r="AP1291" s="52" t="n">
        <v>0</v>
      </c>
      <c r="AQ1291" s="53" t="n">
        <v>0</v>
      </c>
      <c r="AR1291" s="52" t="n">
        <v>0</v>
      </c>
      <c r="AS1291" s="51" t="n">
        <v>0</v>
      </c>
      <c r="AT1291" s="48" t="n">
        <v>0</v>
      </c>
      <c r="AU1291" s="49" t="n">
        <v>0</v>
      </c>
      <c r="AV1291" s="49" t="n">
        <v>0</v>
      </c>
      <c r="AW1291" s="50" t="n">
        <v>0</v>
      </c>
      <c r="AX1291" s="51" t="n">
        <v>0</v>
      </c>
      <c r="AY1291" s="52" t="n">
        <v>0</v>
      </c>
      <c r="AZ1291" s="52" t="n">
        <v>0</v>
      </c>
      <c r="BA1291" s="52" t="n">
        <v>0</v>
      </c>
      <c r="BB1291" s="53" t="n">
        <v>0</v>
      </c>
      <c r="BC1291" s="52" t="n">
        <v>0</v>
      </c>
      <c r="BD1291" s="53" t="n">
        <v>0</v>
      </c>
      <c r="BE1291" s="52" t="n">
        <v>0</v>
      </c>
      <c r="BF1291" s="51" t="n">
        <v>0</v>
      </c>
    </row>
    <row r="1292">
      <c r="A1292">
        <f>HYPERLINK("https://www.walmart.com/ip/772250682", "772250682")</f>
        <v/>
      </c>
      <c r="B1292" t="inlineStr">
        <is>
          <t>Napa Plush  Throw Blanket Dark Blue, 90"x90" Queen/Full, Striped Reversible Velvet Luxury Fleece Warm Bed Couch Blanket, Super Soft and Cozy</t>
        </is>
      </c>
      <c r="C1292" t="inlineStr">
        <is>
          <t>K8030QF-DBL</t>
        </is>
      </c>
      <c r="D1292" t="inlineStr">
        <is>
          <t>Throws</t>
        </is>
      </c>
      <c r="E1292" t="inlineStr">
        <is>
          <t>NAPA</t>
        </is>
      </c>
      <c r="F1292" t="inlineStr">
        <is>
          <t>Optimized</t>
        </is>
      </c>
      <c r="G1292" s="48" t="n">
        <v>0</v>
      </c>
      <c r="H1292" s="49" t="n">
        <v>0</v>
      </c>
      <c r="I1292" s="49" t="n">
        <v>0</v>
      </c>
      <c r="J1292" s="50" t="n">
        <v>0</v>
      </c>
      <c r="K1292" s="51" t="n">
        <v>0</v>
      </c>
      <c r="L1292" s="52" t="n">
        <v>0</v>
      </c>
      <c r="M1292" s="52" t="n">
        <v>0</v>
      </c>
      <c r="N1292" s="52" t="n">
        <v>0</v>
      </c>
      <c r="O1292" s="53" t="n">
        <v>0</v>
      </c>
      <c r="P1292" s="52" t="n">
        <v>0</v>
      </c>
      <c r="Q1292" s="53" t="n">
        <v>0</v>
      </c>
      <c r="R1292" s="52" t="n">
        <v>0</v>
      </c>
      <c r="S1292" s="51" t="n">
        <v>0</v>
      </c>
      <c r="T1292" s="48" t="n">
        <v>0</v>
      </c>
      <c r="U1292" s="49" t="n">
        <v>0</v>
      </c>
      <c r="V1292" s="49" t="n">
        <v>0</v>
      </c>
      <c r="W1292" s="50" t="n">
        <v>0</v>
      </c>
      <c r="X1292" s="51" t="n">
        <v>0</v>
      </c>
      <c r="Y1292" s="52" t="n">
        <v>0</v>
      </c>
      <c r="Z1292" s="52" t="n">
        <v>0</v>
      </c>
      <c r="AA1292" s="52" t="n">
        <v>0</v>
      </c>
      <c r="AB1292" s="53" t="n">
        <v>0</v>
      </c>
      <c r="AC1292" s="52" t="n">
        <v>0</v>
      </c>
      <c r="AD1292" s="53" t="n">
        <v>0</v>
      </c>
      <c r="AE1292" s="52" t="n">
        <v>0</v>
      </c>
      <c r="AF1292" s="51" t="n">
        <v>0</v>
      </c>
      <c r="AG1292" s="48" t="n">
        <v>0</v>
      </c>
      <c r="AH1292" s="49" t="n">
        <v>0</v>
      </c>
      <c r="AI1292" s="49" t="n">
        <v>0</v>
      </c>
      <c r="AJ1292" s="50" t="n">
        <v>0</v>
      </c>
      <c r="AK1292" s="51" t="n">
        <v>0</v>
      </c>
      <c r="AL1292" s="52" t="n">
        <v>0</v>
      </c>
      <c r="AM1292" s="52" t="n">
        <v>0</v>
      </c>
      <c r="AN1292" s="52" t="n">
        <v>0</v>
      </c>
      <c r="AO1292" s="53" t="n">
        <v>0</v>
      </c>
      <c r="AP1292" s="52" t="n">
        <v>0</v>
      </c>
      <c r="AQ1292" s="53" t="n">
        <v>0</v>
      </c>
      <c r="AR1292" s="52" t="n">
        <v>0</v>
      </c>
      <c r="AS1292" s="51" t="n">
        <v>0</v>
      </c>
      <c r="AT1292" s="48" t="n">
        <v>0</v>
      </c>
      <c r="AU1292" s="49" t="n">
        <v>0</v>
      </c>
      <c r="AV1292" s="49" t="n">
        <v>0</v>
      </c>
      <c r="AW1292" s="50" t="n">
        <v>0</v>
      </c>
      <c r="AX1292" s="51" t="n">
        <v>0</v>
      </c>
      <c r="AY1292" s="52" t="n">
        <v>0</v>
      </c>
      <c r="AZ1292" s="52" t="n">
        <v>0</v>
      </c>
      <c r="BA1292" s="52" t="n">
        <v>0</v>
      </c>
      <c r="BB1292" s="53" t="n">
        <v>0</v>
      </c>
      <c r="BC1292" s="52" t="n">
        <v>0</v>
      </c>
      <c r="BD1292" s="53" t="n">
        <v>0</v>
      </c>
      <c r="BE1292" s="52" t="n">
        <v>0</v>
      </c>
      <c r="BF1292" s="51" t="n">
        <v>0</v>
      </c>
    </row>
    <row r="1293">
      <c r="A1293">
        <f>HYPERLINK("https://www.walmart.com/ip/772452784", "772452784")</f>
        <v/>
      </c>
      <c r="B1293" t="inlineStr">
        <is>
          <t>Tirrinia Super Soft Fluffy Hooded Robe Long Plush Fuzzy Bathrobe for Women with Hood Sherpa Lined, Machine Washable, Dalmation</t>
        </is>
      </c>
      <c r="C1293" t="inlineStr">
        <is>
          <t>1TRRB100DMT</t>
        </is>
      </c>
      <c r="D1293" t="inlineStr">
        <is>
          <t>Sleepwear Robes &amp; Bathrobes</t>
        </is>
      </c>
      <c r="E1293" t="inlineStr">
        <is>
          <t>Tirrinia</t>
        </is>
      </c>
      <c r="F1293" t="inlineStr">
        <is>
          <t>WFS,Bathrobe,Coupon_Discount,WFS Item</t>
        </is>
      </c>
      <c r="G1293" s="48" t="n">
        <v>0</v>
      </c>
      <c r="H1293" s="49" t="n">
        <v>0</v>
      </c>
      <c r="I1293" s="49" t="n">
        <v>0</v>
      </c>
      <c r="J1293" s="50" t="n">
        <v>0</v>
      </c>
      <c r="K1293" s="51" t="n">
        <v>0</v>
      </c>
      <c r="L1293" s="52" t="n">
        <v>0</v>
      </c>
      <c r="M1293" s="52" t="n">
        <v>0</v>
      </c>
      <c r="N1293" s="52" t="n">
        <v>0</v>
      </c>
      <c r="O1293" s="53" t="n">
        <v>0</v>
      </c>
      <c r="P1293" s="52" t="n">
        <v>0</v>
      </c>
      <c r="Q1293" s="53" t="n">
        <v>0</v>
      </c>
      <c r="R1293" s="52" t="n">
        <v>0</v>
      </c>
      <c r="S1293" s="51" t="n">
        <v>0</v>
      </c>
      <c r="T1293" s="48" t="n">
        <v>0</v>
      </c>
      <c r="U1293" s="49" t="n">
        <v>0</v>
      </c>
      <c r="V1293" s="49" t="n">
        <v>0</v>
      </c>
      <c r="W1293" s="50" t="n">
        <v>0</v>
      </c>
      <c r="X1293" s="51" t="n">
        <v>0</v>
      </c>
      <c r="Y1293" s="52" t="n">
        <v>0</v>
      </c>
      <c r="Z1293" s="52" t="n">
        <v>0</v>
      </c>
      <c r="AA1293" s="52" t="n">
        <v>0</v>
      </c>
      <c r="AB1293" s="53" t="n">
        <v>0</v>
      </c>
      <c r="AC1293" s="52" t="n">
        <v>0</v>
      </c>
      <c r="AD1293" s="53" t="n">
        <v>0</v>
      </c>
      <c r="AE1293" s="52" t="n">
        <v>0</v>
      </c>
      <c r="AF1293" s="51" t="n">
        <v>0</v>
      </c>
      <c r="AG1293" s="48" t="n">
        <v>0</v>
      </c>
      <c r="AH1293" s="49" t="n">
        <v>0</v>
      </c>
      <c r="AI1293" s="49" t="n">
        <v>0</v>
      </c>
      <c r="AJ1293" s="50" t="n">
        <v>0</v>
      </c>
      <c r="AK1293" s="51" t="n">
        <v>0</v>
      </c>
      <c r="AL1293" s="52" t="n">
        <v>0</v>
      </c>
      <c r="AM1293" s="52" t="n">
        <v>0</v>
      </c>
      <c r="AN1293" s="52" t="n">
        <v>0</v>
      </c>
      <c r="AO1293" s="53" t="n">
        <v>0</v>
      </c>
      <c r="AP1293" s="52" t="n">
        <v>0</v>
      </c>
      <c r="AQ1293" s="53" t="n">
        <v>0</v>
      </c>
      <c r="AR1293" s="52" t="n">
        <v>0</v>
      </c>
      <c r="AS1293" s="51" t="n">
        <v>0</v>
      </c>
      <c r="AT1293" s="48" t="n">
        <v>0</v>
      </c>
      <c r="AU1293" s="49" t="n">
        <v>0</v>
      </c>
      <c r="AV1293" s="49" t="n">
        <v>0</v>
      </c>
      <c r="AW1293" s="50" t="n">
        <v>0</v>
      </c>
      <c r="AX1293" s="51" t="n">
        <v>0</v>
      </c>
      <c r="AY1293" s="52" t="n">
        <v>0</v>
      </c>
      <c r="AZ1293" s="52" t="n">
        <v>0</v>
      </c>
      <c r="BA1293" s="52" t="n">
        <v>0</v>
      </c>
      <c r="BB1293" s="53" t="n">
        <v>0</v>
      </c>
      <c r="BC1293" s="52" t="n">
        <v>0</v>
      </c>
      <c r="BD1293" s="53" t="n">
        <v>0</v>
      </c>
      <c r="BE1293" s="52" t="n">
        <v>0</v>
      </c>
      <c r="BF1293" s="51" t="n">
        <v>0</v>
      </c>
    </row>
    <row r="1294">
      <c r="A1294">
        <f>HYPERLINK("https://www.walmart.com/ip/772519607", "772519607")</f>
        <v/>
      </c>
      <c r="B1294" t="inlineStr">
        <is>
          <t>Waterproof Dog Blanket for Bed,Pee Proof Pet Blankets for Couch Sofa Cover, Reversible Furniture Protector Sherpa Cushion Mat for Small to Medium Large Dogs, Puppies and Cats, King Size, 80" x 90"</t>
        </is>
      </c>
      <c r="C1294" t="inlineStr">
        <is>
          <t>1PSBW981WNTP</t>
        </is>
      </c>
      <c r="D1294" t="inlineStr">
        <is>
          <t>Pet Blankets</t>
        </is>
      </c>
      <c r="E1294" t="inlineStr">
        <is>
          <t>Pawsse</t>
        </is>
      </c>
      <c r="F1294" t="inlineStr">
        <is>
          <t>Q2-Target,Batch 1 - TR</t>
        </is>
      </c>
      <c r="G1294" s="48" t="n">
        <v>0</v>
      </c>
      <c r="H1294" s="49" t="n">
        <v>0</v>
      </c>
      <c r="I1294" s="49" t="n">
        <v>0</v>
      </c>
      <c r="J1294" s="50" t="n">
        <v>0</v>
      </c>
      <c r="K1294" s="51" t="n">
        <v>0</v>
      </c>
      <c r="L1294" s="52" t="n">
        <v>0</v>
      </c>
      <c r="M1294" s="52" t="n">
        <v>0</v>
      </c>
      <c r="N1294" s="52" t="n">
        <v>0</v>
      </c>
      <c r="O1294" s="53" t="n">
        <v>0</v>
      </c>
      <c r="P1294" s="52" t="n">
        <v>0</v>
      </c>
      <c r="Q1294" s="53" t="n">
        <v>0</v>
      </c>
      <c r="R1294" s="52" t="n">
        <v>0</v>
      </c>
      <c r="S1294" s="51" t="n">
        <v>364</v>
      </c>
      <c r="T1294" s="48" t="n">
        <v>0</v>
      </c>
      <c r="U1294" s="49" t="n">
        <v>0</v>
      </c>
      <c r="V1294" s="49" t="n">
        <v>0</v>
      </c>
      <c r="W1294" s="50" t="n">
        <v>0</v>
      </c>
      <c r="X1294" s="51" t="n">
        <v>0</v>
      </c>
      <c r="Y1294" s="52" t="n">
        <v>0</v>
      </c>
      <c r="Z1294" s="52" t="n">
        <v>0</v>
      </c>
      <c r="AA1294" s="52" t="n">
        <v>0</v>
      </c>
      <c r="AB1294" s="53" t="n">
        <v>0</v>
      </c>
      <c r="AC1294" s="52" t="n">
        <v>0</v>
      </c>
      <c r="AD1294" s="53" t="n">
        <v>0</v>
      </c>
      <c r="AE1294" s="52" t="n">
        <v>0</v>
      </c>
      <c r="AF1294" s="51" t="n">
        <v>509</v>
      </c>
      <c r="AG1294" s="48" t="n">
        <v>0</v>
      </c>
      <c r="AH1294" s="49" t="n">
        <v>0</v>
      </c>
      <c r="AI1294" s="49" t="n">
        <v>0</v>
      </c>
      <c r="AJ1294" s="50" t="n">
        <v>0</v>
      </c>
      <c r="AK1294" s="51" t="n">
        <v>0</v>
      </c>
      <c r="AL1294" s="52" t="n">
        <v>0</v>
      </c>
      <c r="AM1294" s="52" t="n">
        <v>0</v>
      </c>
      <c r="AN1294" s="52" t="n">
        <v>0</v>
      </c>
      <c r="AO1294" s="53" t="n">
        <v>0</v>
      </c>
      <c r="AP1294" s="52" t="n">
        <v>0</v>
      </c>
      <c r="AQ1294" s="53" t="n">
        <v>0</v>
      </c>
      <c r="AR1294" s="52" t="n">
        <v>0</v>
      </c>
      <c r="AS1294" s="51" t="n">
        <v>765</v>
      </c>
      <c r="AT1294" s="48" t="n">
        <v>0</v>
      </c>
      <c r="AU1294" s="49" t="n">
        <v>0</v>
      </c>
      <c r="AV1294" s="49" t="n">
        <v>0</v>
      </c>
      <c r="AW1294" s="50" t="n">
        <v>0</v>
      </c>
      <c r="AX1294" s="51" t="n">
        <v>2</v>
      </c>
      <c r="AY1294" s="52" t="n">
        <v>0.65</v>
      </c>
      <c r="AZ1294" s="52" t="n">
        <v>0</v>
      </c>
      <c r="BA1294" s="52" t="n">
        <v>0</v>
      </c>
      <c r="BB1294" s="53" t="n">
        <v>0.0022</v>
      </c>
      <c r="BC1294" s="52" t="n">
        <v>0.325</v>
      </c>
      <c r="BD1294" s="53" t="n">
        <v>0</v>
      </c>
      <c r="BE1294" s="52" t="n">
        <v>0</v>
      </c>
      <c r="BF1294" s="51" t="n">
        <v>927</v>
      </c>
    </row>
    <row r="1295">
      <c r="A1295">
        <f>HYPERLINK("https://www.walmart.com/ip/772543692", "772543692")</f>
        <v/>
      </c>
      <c r="B1295" t="inlineStr">
        <is>
          <t>Tirrinia Insulated 2 Bottle Wine Carrier Tote Cooler Bag for Travel Picnic Padded Champagne Glass Carrying Case</t>
        </is>
      </c>
      <c r="C1295" t="inlineStr">
        <is>
          <t>1WMWB220GY</t>
        </is>
      </c>
      <c r="D1295" t="inlineStr">
        <is>
          <t>Wine Totes, Bags &amp; Backpacks</t>
        </is>
      </c>
      <c r="E1295" t="inlineStr">
        <is>
          <t>Flyingstar</t>
        </is>
      </c>
      <c r="F1295" t="inlineStr">
        <is>
          <t>Wine,Christmas,Valentine</t>
        </is>
      </c>
      <c r="G1295" s="48" t="n">
        <v>0</v>
      </c>
      <c r="H1295" s="49" t="n">
        <v>0</v>
      </c>
      <c r="I1295" s="49" t="n">
        <v>0</v>
      </c>
      <c r="J1295" s="50" t="n">
        <v>0</v>
      </c>
      <c r="K1295" s="51" t="n">
        <v>0</v>
      </c>
      <c r="L1295" s="52" t="n">
        <v>0</v>
      </c>
      <c r="M1295" s="52" t="n">
        <v>0</v>
      </c>
      <c r="N1295" s="52" t="n">
        <v>0</v>
      </c>
      <c r="O1295" s="53" t="n">
        <v>0</v>
      </c>
      <c r="P1295" s="52" t="n">
        <v>0</v>
      </c>
      <c r="Q1295" s="53" t="n">
        <v>0</v>
      </c>
      <c r="R1295" s="52" t="n">
        <v>0</v>
      </c>
      <c r="S1295" s="51" t="n">
        <v>0</v>
      </c>
      <c r="T1295" s="48" t="n">
        <v>0</v>
      </c>
      <c r="U1295" s="49" t="n">
        <v>0</v>
      </c>
      <c r="V1295" s="49" t="n">
        <v>0</v>
      </c>
      <c r="W1295" s="50" t="n">
        <v>0</v>
      </c>
      <c r="X1295" s="51" t="n">
        <v>0</v>
      </c>
      <c r="Y1295" s="52" t="n">
        <v>0</v>
      </c>
      <c r="Z1295" s="52" t="n">
        <v>0</v>
      </c>
      <c r="AA1295" s="52" t="n">
        <v>0</v>
      </c>
      <c r="AB1295" s="53" t="n">
        <v>0</v>
      </c>
      <c r="AC1295" s="52" t="n">
        <v>0</v>
      </c>
      <c r="AD1295" s="53" t="n">
        <v>0</v>
      </c>
      <c r="AE1295" s="52" t="n">
        <v>0</v>
      </c>
      <c r="AF1295" s="51" t="n">
        <v>0</v>
      </c>
      <c r="AG1295" s="48" t="n">
        <v>0</v>
      </c>
      <c r="AH1295" s="49" t="n">
        <v>0</v>
      </c>
      <c r="AI1295" s="49" t="n">
        <v>0</v>
      </c>
      <c r="AJ1295" s="50" t="n">
        <v>0</v>
      </c>
      <c r="AK1295" s="51" t="n">
        <v>0</v>
      </c>
      <c r="AL1295" s="52" t="n">
        <v>0</v>
      </c>
      <c r="AM1295" s="52" t="n">
        <v>0</v>
      </c>
      <c r="AN1295" s="52" t="n">
        <v>0</v>
      </c>
      <c r="AO1295" s="53" t="n">
        <v>0</v>
      </c>
      <c r="AP1295" s="52" t="n">
        <v>0</v>
      </c>
      <c r="AQ1295" s="53" t="n">
        <v>0</v>
      </c>
      <c r="AR1295" s="52" t="n">
        <v>0</v>
      </c>
      <c r="AS1295" s="51" t="n">
        <v>0</v>
      </c>
      <c r="AT1295" s="48" t="n">
        <v>0</v>
      </c>
      <c r="AU1295" s="49" t="n">
        <v>0</v>
      </c>
      <c r="AV1295" s="49" t="n">
        <v>0</v>
      </c>
      <c r="AW1295" s="50" t="n">
        <v>0</v>
      </c>
      <c r="AX1295" s="51" t="n">
        <v>0</v>
      </c>
      <c r="AY1295" s="52" t="n">
        <v>0</v>
      </c>
      <c r="AZ1295" s="52" t="n">
        <v>0</v>
      </c>
      <c r="BA1295" s="52" t="n">
        <v>0</v>
      </c>
      <c r="BB1295" s="53" t="n">
        <v>0</v>
      </c>
      <c r="BC1295" s="52" t="n">
        <v>0</v>
      </c>
      <c r="BD1295" s="53" t="n">
        <v>0</v>
      </c>
      <c r="BE1295" s="52" t="n">
        <v>0</v>
      </c>
      <c r="BF1295" s="51" t="n">
        <v>0</v>
      </c>
    </row>
    <row r="1296">
      <c r="A1296">
        <f>HYPERLINK("https://www.walmart.com/ip/773830545", "773830545")</f>
        <v/>
      </c>
      <c r="B1296" t="inlineStr">
        <is>
          <t>Napa Plush  Throw Blanket Mocha, 90"x90" Queen/Full, Striped Reversible Velvet Luxury Fleece Warm Bed Couch Blanket, Super Soft and Cozy</t>
        </is>
      </c>
      <c r="C1296" t="inlineStr">
        <is>
          <t>K8030QF-MOC</t>
        </is>
      </c>
      <c r="D1296" t="inlineStr">
        <is>
          <t>Throws</t>
        </is>
      </c>
      <c r="E1296" t="inlineStr">
        <is>
          <t>NAPA</t>
        </is>
      </c>
      <c r="F1296" t="inlineStr">
        <is>
          <t>Optimized,cost-added</t>
        </is>
      </c>
      <c r="G1296" s="48" t="n">
        <v>0</v>
      </c>
      <c r="H1296" s="49" t="n">
        <v>0</v>
      </c>
      <c r="I1296" s="49" t="n">
        <v>0</v>
      </c>
      <c r="J1296" s="50" t="n">
        <v>0</v>
      </c>
      <c r="K1296" s="51" t="n">
        <v>0</v>
      </c>
      <c r="L1296" s="52" t="n">
        <v>0</v>
      </c>
      <c r="M1296" s="52" t="n">
        <v>0</v>
      </c>
      <c r="N1296" s="52" t="n">
        <v>0</v>
      </c>
      <c r="O1296" s="53" t="n">
        <v>0</v>
      </c>
      <c r="P1296" s="52" t="n">
        <v>0</v>
      </c>
      <c r="Q1296" s="53" t="n">
        <v>0</v>
      </c>
      <c r="R1296" s="52" t="n">
        <v>0</v>
      </c>
      <c r="S1296" s="51" t="n">
        <v>0</v>
      </c>
      <c r="T1296" s="48" t="n">
        <v>0</v>
      </c>
      <c r="U1296" s="49" t="n">
        <v>0</v>
      </c>
      <c r="V1296" s="49" t="n">
        <v>0</v>
      </c>
      <c r="W1296" s="50" t="n">
        <v>0</v>
      </c>
      <c r="X1296" s="51" t="n">
        <v>0</v>
      </c>
      <c r="Y1296" s="52" t="n">
        <v>0</v>
      </c>
      <c r="Z1296" s="52" t="n">
        <v>0</v>
      </c>
      <c r="AA1296" s="52" t="n">
        <v>0</v>
      </c>
      <c r="AB1296" s="53" t="n">
        <v>0</v>
      </c>
      <c r="AC1296" s="52" t="n">
        <v>0</v>
      </c>
      <c r="AD1296" s="53" t="n">
        <v>0</v>
      </c>
      <c r="AE1296" s="52" t="n">
        <v>0</v>
      </c>
      <c r="AF1296" s="51" t="n">
        <v>0</v>
      </c>
      <c r="AG1296" s="48" t="n">
        <v>0</v>
      </c>
      <c r="AH1296" s="49" t="n">
        <v>0</v>
      </c>
      <c r="AI1296" s="49" t="n">
        <v>0</v>
      </c>
      <c r="AJ1296" s="50" t="n">
        <v>0</v>
      </c>
      <c r="AK1296" s="51" t="n">
        <v>0</v>
      </c>
      <c r="AL1296" s="52" t="n">
        <v>0</v>
      </c>
      <c r="AM1296" s="52" t="n">
        <v>0</v>
      </c>
      <c r="AN1296" s="52" t="n">
        <v>0</v>
      </c>
      <c r="AO1296" s="53" t="n">
        <v>0</v>
      </c>
      <c r="AP1296" s="52" t="n">
        <v>0</v>
      </c>
      <c r="AQ1296" s="53" t="n">
        <v>0</v>
      </c>
      <c r="AR1296" s="52" t="n">
        <v>0</v>
      </c>
      <c r="AS1296" s="51" t="n">
        <v>0</v>
      </c>
      <c r="AT1296" s="48" t="n">
        <v>0</v>
      </c>
      <c r="AU1296" s="49" t="n">
        <v>0</v>
      </c>
      <c r="AV1296" s="49" t="n">
        <v>0</v>
      </c>
      <c r="AW1296" s="50" t="n">
        <v>0</v>
      </c>
      <c r="AX1296" s="51" t="n">
        <v>0</v>
      </c>
      <c r="AY1296" s="52" t="n">
        <v>0</v>
      </c>
      <c r="AZ1296" s="52" t="n">
        <v>0</v>
      </c>
      <c r="BA1296" s="52" t="n">
        <v>0</v>
      </c>
      <c r="BB1296" s="53" t="n">
        <v>0</v>
      </c>
      <c r="BC1296" s="52" t="n">
        <v>0</v>
      </c>
      <c r="BD1296" s="53" t="n">
        <v>0</v>
      </c>
      <c r="BE1296" s="52" t="n">
        <v>0</v>
      </c>
      <c r="BF1296" s="51" t="n">
        <v>0</v>
      </c>
    </row>
    <row r="1297">
      <c r="A1297">
        <f>HYPERLINK("https://www.walmart.com/ip/777545397", "777545397")</f>
        <v/>
      </c>
      <c r="B1297" t="inlineStr">
        <is>
          <t>Bucket Sun Hat Cute Cap for Women Fashion Fold-up Brim Packable Summer Beach by Solaris</t>
        </is>
      </c>
      <c r="C1297" t="inlineStr">
        <is>
          <t>1SLSH9200FLWGR-FSCB</t>
        </is>
      </c>
      <c r="D1297" t="inlineStr">
        <is>
          <t>Hats</t>
        </is>
      </c>
      <c r="E1297" t="inlineStr">
        <is>
          <t>Solaris</t>
        </is>
      </c>
      <c r="G1297" s="48" t="n">
        <v>0</v>
      </c>
      <c r="H1297" s="49" t="n">
        <v>0</v>
      </c>
      <c r="I1297" s="49" t="n">
        <v>0</v>
      </c>
      <c r="J1297" s="50" t="n">
        <v>0</v>
      </c>
      <c r="K1297" s="51" t="n">
        <v>0</v>
      </c>
      <c r="L1297" s="52" t="n">
        <v>0</v>
      </c>
      <c r="M1297" s="52" t="n">
        <v>0</v>
      </c>
      <c r="N1297" s="52" t="n">
        <v>0</v>
      </c>
      <c r="O1297" s="53" t="n">
        <v>0</v>
      </c>
      <c r="P1297" s="52" t="n">
        <v>0</v>
      </c>
      <c r="Q1297" s="53" t="n">
        <v>0</v>
      </c>
      <c r="R1297" s="52" t="n">
        <v>0</v>
      </c>
      <c r="S1297" s="51" t="n">
        <v>0</v>
      </c>
      <c r="T1297" s="48" t="n">
        <v>0</v>
      </c>
      <c r="U1297" s="49" t="n">
        <v>0</v>
      </c>
      <c r="V1297" s="49" t="n">
        <v>0</v>
      </c>
      <c r="W1297" s="50" t="n">
        <v>0</v>
      </c>
      <c r="X1297" s="51" t="n">
        <v>0</v>
      </c>
      <c r="Y1297" s="52" t="n">
        <v>0</v>
      </c>
      <c r="Z1297" s="52" t="n">
        <v>0</v>
      </c>
      <c r="AA1297" s="52" t="n">
        <v>0</v>
      </c>
      <c r="AB1297" s="53" t="n">
        <v>0</v>
      </c>
      <c r="AC1297" s="52" t="n">
        <v>0</v>
      </c>
      <c r="AD1297" s="53" t="n">
        <v>0</v>
      </c>
      <c r="AE1297" s="52" t="n">
        <v>0</v>
      </c>
      <c r="AF1297" s="51" t="n">
        <v>0</v>
      </c>
      <c r="AG1297" s="48" t="n">
        <v>0</v>
      </c>
      <c r="AH1297" s="49" t="n">
        <v>0</v>
      </c>
      <c r="AI1297" s="49" t="n">
        <v>0</v>
      </c>
      <c r="AJ1297" s="50" t="n">
        <v>0</v>
      </c>
      <c r="AK1297" s="51" t="n">
        <v>0</v>
      </c>
      <c r="AL1297" s="52" t="n">
        <v>0</v>
      </c>
      <c r="AM1297" s="52" t="n">
        <v>0</v>
      </c>
      <c r="AN1297" s="52" t="n">
        <v>0</v>
      </c>
      <c r="AO1297" s="53" t="n">
        <v>0</v>
      </c>
      <c r="AP1297" s="52" t="n">
        <v>0</v>
      </c>
      <c r="AQ1297" s="53" t="n">
        <v>0</v>
      </c>
      <c r="AR1297" s="52" t="n">
        <v>0</v>
      </c>
      <c r="AS1297" s="51" t="n">
        <v>0</v>
      </c>
      <c r="AT1297" s="48" t="n">
        <v>0</v>
      </c>
      <c r="AU1297" s="49" t="n">
        <v>0</v>
      </c>
      <c r="AV1297" s="49" t="n">
        <v>0</v>
      </c>
      <c r="AW1297" s="50" t="n">
        <v>0</v>
      </c>
      <c r="AX1297" s="51" t="n">
        <v>0</v>
      </c>
      <c r="AY1297" s="52" t="n">
        <v>0</v>
      </c>
      <c r="AZ1297" s="52" t="n">
        <v>0</v>
      </c>
      <c r="BA1297" s="52" t="n">
        <v>0</v>
      </c>
      <c r="BB1297" s="53" t="n">
        <v>0</v>
      </c>
      <c r="BC1297" s="52" t="n">
        <v>0</v>
      </c>
      <c r="BD1297" s="53" t="n">
        <v>0</v>
      </c>
      <c r="BE1297" s="52" t="n">
        <v>0</v>
      </c>
      <c r="BF1297" s="51" t="n">
        <v>0</v>
      </c>
    </row>
    <row r="1298">
      <c r="A1298">
        <f>HYPERLINK("https://www.walmart.com/ip/774715896", "774715896")</f>
        <v/>
      </c>
      <c r="B1298" t="inlineStr">
        <is>
          <t>Tirrinia Insulated 3 Bottle Wine Carrier Tote Cooler Bag for Travel Picnic Padded Champagne Glass Carrying Case</t>
        </is>
      </c>
      <c r="C1298" t="inlineStr">
        <is>
          <t>1WMWB300GY-SC</t>
        </is>
      </c>
      <c r="D1298" t="inlineStr">
        <is>
          <t>Wine Totes, Bags &amp; Backpacks</t>
        </is>
      </c>
      <c r="E1298" t="inlineStr">
        <is>
          <t>Flyingstar</t>
        </is>
      </c>
      <c r="F1298" t="inlineStr">
        <is>
          <t>Wine,Christmas,Optimized,Wine WFS,Valentine</t>
        </is>
      </c>
      <c r="G1298" s="48" t="n">
        <v>0</v>
      </c>
      <c r="H1298" s="49" t="n">
        <v>0</v>
      </c>
      <c r="I1298" s="49" t="n">
        <v>0</v>
      </c>
      <c r="J1298" s="50" t="n">
        <v>0</v>
      </c>
      <c r="K1298" s="51" t="n">
        <v>0</v>
      </c>
      <c r="L1298" s="52" t="n">
        <v>0</v>
      </c>
      <c r="M1298" s="52" t="n">
        <v>0</v>
      </c>
      <c r="N1298" s="52" t="n">
        <v>0</v>
      </c>
      <c r="O1298" s="53" t="n">
        <v>0</v>
      </c>
      <c r="P1298" s="52" t="n">
        <v>0</v>
      </c>
      <c r="Q1298" s="53" t="n">
        <v>0</v>
      </c>
      <c r="R1298" s="52" t="n">
        <v>0</v>
      </c>
      <c r="S1298" s="51" t="n">
        <v>0</v>
      </c>
      <c r="T1298" s="48" t="n">
        <v>0</v>
      </c>
      <c r="U1298" s="49" t="n">
        <v>0</v>
      </c>
      <c r="V1298" s="49" t="n">
        <v>0</v>
      </c>
      <c r="W1298" s="50" t="n">
        <v>0</v>
      </c>
      <c r="X1298" s="51" t="n">
        <v>0</v>
      </c>
      <c r="Y1298" s="52" t="n">
        <v>0</v>
      </c>
      <c r="Z1298" s="52" t="n">
        <v>0</v>
      </c>
      <c r="AA1298" s="52" t="n">
        <v>0</v>
      </c>
      <c r="AB1298" s="53" t="n">
        <v>0</v>
      </c>
      <c r="AC1298" s="52" t="n">
        <v>0</v>
      </c>
      <c r="AD1298" s="53" t="n">
        <v>0</v>
      </c>
      <c r="AE1298" s="52" t="n">
        <v>0</v>
      </c>
      <c r="AF1298" s="51" t="n">
        <v>0</v>
      </c>
      <c r="AG1298" s="48" t="n">
        <v>0</v>
      </c>
      <c r="AH1298" s="49" t="n">
        <v>0</v>
      </c>
      <c r="AI1298" s="49" t="n">
        <v>0</v>
      </c>
      <c r="AJ1298" s="50" t="n">
        <v>0</v>
      </c>
      <c r="AK1298" s="51" t="n">
        <v>0</v>
      </c>
      <c r="AL1298" s="52" t="n">
        <v>0</v>
      </c>
      <c r="AM1298" s="52" t="n">
        <v>0</v>
      </c>
      <c r="AN1298" s="52" t="n">
        <v>0</v>
      </c>
      <c r="AO1298" s="53" t="n">
        <v>0</v>
      </c>
      <c r="AP1298" s="52" t="n">
        <v>0</v>
      </c>
      <c r="AQ1298" s="53" t="n">
        <v>0</v>
      </c>
      <c r="AR1298" s="52" t="n">
        <v>0</v>
      </c>
      <c r="AS1298" s="51" t="n">
        <v>0</v>
      </c>
      <c r="AT1298" s="48" t="n">
        <v>0</v>
      </c>
      <c r="AU1298" s="49" t="n">
        <v>0</v>
      </c>
      <c r="AV1298" s="49" t="n">
        <v>0</v>
      </c>
      <c r="AW1298" s="50" t="n">
        <v>0</v>
      </c>
      <c r="AX1298" s="51" t="n">
        <v>0</v>
      </c>
      <c r="AY1298" s="52" t="n">
        <v>0</v>
      </c>
      <c r="AZ1298" s="52" t="n">
        <v>0</v>
      </c>
      <c r="BA1298" s="52" t="n">
        <v>0</v>
      </c>
      <c r="BB1298" s="53" t="n">
        <v>0</v>
      </c>
      <c r="BC1298" s="52" t="n">
        <v>0</v>
      </c>
      <c r="BD1298" s="53" t="n">
        <v>0</v>
      </c>
      <c r="BE1298" s="52" t="n">
        <v>0</v>
      </c>
      <c r="BF1298" s="51" t="n">
        <v>0</v>
      </c>
    </row>
    <row r="1299">
      <c r="A1299">
        <f>HYPERLINK("https://www.walmart.com/ip/774962388", "774962388")</f>
        <v/>
      </c>
      <c r="B1299" t="inlineStr">
        <is>
          <t>Women Floppy Sun Bucket Hats w/ Wide Brim Straw Edge Summer Beach UV Protection Foldable Gardening Hiking Cap</t>
        </is>
      </c>
      <c r="C1299" t="inlineStr">
        <is>
          <t>1TRSH031WH-TBCB01</t>
        </is>
      </c>
      <c r="D1299" t="inlineStr">
        <is>
          <t>Hats</t>
        </is>
      </c>
      <c r="E1299" t="inlineStr">
        <is>
          <t>Tirrinia</t>
        </is>
      </c>
      <c r="F1299" t="inlineStr">
        <is>
          <t>Batch 1 - TR</t>
        </is>
      </c>
      <c r="G1299" s="48" t="n">
        <v>0</v>
      </c>
      <c r="H1299" s="49" t="n">
        <v>0</v>
      </c>
      <c r="I1299" s="49" t="n">
        <v>0</v>
      </c>
      <c r="J1299" s="50" t="n">
        <v>0</v>
      </c>
      <c r="K1299" s="51" t="n">
        <v>0</v>
      </c>
      <c r="L1299" s="52" t="n">
        <v>0</v>
      </c>
      <c r="M1299" s="52" t="n">
        <v>0</v>
      </c>
      <c r="N1299" s="52" t="n">
        <v>0</v>
      </c>
      <c r="O1299" s="53" t="n">
        <v>0</v>
      </c>
      <c r="P1299" s="52" t="n">
        <v>0</v>
      </c>
      <c r="Q1299" s="53" t="n">
        <v>0</v>
      </c>
      <c r="R1299" s="52" t="n">
        <v>0</v>
      </c>
      <c r="S1299" s="51" t="n">
        <v>0</v>
      </c>
      <c r="T1299" s="48" t="n">
        <v>0</v>
      </c>
      <c r="U1299" s="49" t="n">
        <v>0</v>
      </c>
      <c r="V1299" s="49" t="n">
        <v>0</v>
      </c>
      <c r="W1299" s="50" t="n">
        <v>0</v>
      </c>
      <c r="X1299" s="51" t="n">
        <v>0</v>
      </c>
      <c r="Y1299" s="52" t="n">
        <v>0</v>
      </c>
      <c r="Z1299" s="52" t="n">
        <v>0</v>
      </c>
      <c r="AA1299" s="52" t="n">
        <v>0</v>
      </c>
      <c r="AB1299" s="53" t="n">
        <v>0</v>
      </c>
      <c r="AC1299" s="52" t="n">
        <v>0</v>
      </c>
      <c r="AD1299" s="53" t="n">
        <v>0</v>
      </c>
      <c r="AE1299" s="52" t="n">
        <v>0</v>
      </c>
      <c r="AF1299" s="51" t="n">
        <v>0</v>
      </c>
      <c r="AG1299" s="48" t="n">
        <v>0</v>
      </c>
      <c r="AH1299" s="49" t="n">
        <v>0</v>
      </c>
      <c r="AI1299" s="49" t="n">
        <v>0</v>
      </c>
      <c r="AJ1299" s="50" t="n">
        <v>0</v>
      </c>
      <c r="AK1299" s="51" t="n">
        <v>0</v>
      </c>
      <c r="AL1299" s="52" t="n">
        <v>0</v>
      </c>
      <c r="AM1299" s="52" t="n">
        <v>0</v>
      </c>
      <c r="AN1299" s="52" t="n">
        <v>0</v>
      </c>
      <c r="AO1299" s="53" t="n">
        <v>0</v>
      </c>
      <c r="AP1299" s="52" t="n">
        <v>0</v>
      </c>
      <c r="AQ1299" s="53" t="n">
        <v>0</v>
      </c>
      <c r="AR1299" s="52" t="n">
        <v>0</v>
      </c>
      <c r="AS1299" s="51" t="n">
        <v>0</v>
      </c>
      <c r="AT1299" s="48" t="n">
        <v>0</v>
      </c>
      <c r="AU1299" s="49" t="n">
        <v>0</v>
      </c>
      <c r="AV1299" s="49" t="n">
        <v>0</v>
      </c>
      <c r="AW1299" s="50" t="n">
        <v>0</v>
      </c>
      <c r="AX1299" s="51" t="n">
        <v>0</v>
      </c>
      <c r="AY1299" s="52" t="n">
        <v>0</v>
      </c>
      <c r="AZ1299" s="52" t="n">
        <v>0</v>
      </c>
      <c r="BA1299" s="52" t="n">
        <v>0</v>
      </c>
      <c r="BB1299" s="53" t="n">
        <v>0</v>
      </c>
      <c r="BC1299" s="52" t="n">
        <v>0</v>
      </c>
      <c r="BD1299" s="53" t="n">
        <v>0</v>
      </c>
      <c r="BE1299" s="52" t="n">
        <v>0</v>
      </c>
      <c r="BF1299" s="51" t="n">
        <v>0</v>
      </c>
    </row>
    <row r="1300">
      <c r="A1300">
        <f>HYPERLINK("https://www.walmart.com/ip/775704271", "775704271")</f>
        <v/>
      </c>
      <c r="B1300" t="inlineStr">
        <is>
          <t>Catalonia Buffalo Plaid Sherpa Throw TV Blanket 50" x 60" Super Soft Reversible Fleece Blanket for Cabin Bed or Couch | Cabin Plaid Check, Blue Plaid</t>
        </is>
      </c>
      <c r="C1300" t="inlineStr">
        <is>
          <t>1CTBF300PBL</t>
        </is>
      </c>
      <c r="D1300" t="inlineStr">
        <is>
          <t>Throws</t>
        </is>
      </c>
      <c r="E1300" t="inlineStr">
        <is>
          <t>Catalonia</t>
        </is>
      </c>
      <c r="F1300" t="inlineStr">
        <is>
          <t>Q2-Target,WFS,Coupon_Discount,WFS Item,Fleece Blankets</t>
        </is>
      </c>
      <c r="G1300" s="48" t="n">
        <v>0</v>
      </c>
      <c r="H1300" s="49" t="n">
        <v>0</v>
      </c>
      <c r="I1300" s="49" t="n">
        <v>2</v>
      </c>
      <c r="J1300" s="50" t="n">
        <v>0</v>
      </c>
      <c r="K1300" s="51" t="n">
        <v>0</v>
      </c>
      <c r="L1300" s="52" t="n">
        <v>0</v>
      </c>
      <c r="M1300" s="52" t="n">
        <v>0</v>
      </c>
      <c r="N1300" s="52" t="n">
        <v>0</v>
      </c>
      <c r="O1300" s="53" t="n">
        <v>0</v>
      </c>
      <c r="P1300" s="52" t="n">
        <v>0</v>
      </c>
      <c r="Q1300" s="53" t="n">
        <v>0</v>
      </c>
      <c r="R1300" s="52" t="n">
        <v>0</v>
      </c>
      <c r="S1300" s="51" t="n">
        <v>0</v>
      </c>
      <c r="T1300" s="48" t="n">
        <v>0</v>
      </c>
      <c r="U1300" s="49" t="n">
        <v>0</v>
      </c>
      <c r="V1300" s="49" t="n">
        <v>2</v>
      </c>
      <c r="W1300" s="50" t="n">
        <v>0</v>
      </c>
      <c r="X1300" s="51" t="n">
        <v>0</v>
      </c>
      <c r="Y1300" s="52" t="n">
        <v>0</v>
      </c>
      <c r="Z1300" s="52" t="n">
        <v>0</v>
      </c>
      <c r="AA1300" s="52" t="n">
        <v>0</v>
      </c>
      <c r="AB1300" s="53" t="n">
        <v>0</v>
      </c>
      <c r="AC1300" s="52" t="n">
        <v>0</v>
      </c>
      <c r="AD1300" s="53" t="n">
        <v>0</v>
      </c>
      <c r="AE1300" s="52" t="n">
        <v>0</v>
      </c>
      <c r="AF1300" s="51" t="n">
        <v>0</v>
      </c>
      <c r="AG1300" s="48" t="n">
        <v>0</v>
      </c>
      <c r="AH1300" s="49" t="n">
        <v>0</v>
      </c>
      <c r="AI1300" s="49" t="n">
        <v>1</v>
      </c>
      <c r="AJ1300" s="50" t="n">
        <v>0</v>
      </c>
      <c r="AK1300" s="51" t="n">
        <v>0</v>
      </c>
      <c r="AL1300" s="52" t="n">
        <v>0</v>
      </c>
      <c r="AM1300" s="52" t="n">
        <v>0</v>
      </c>
      <c r="AN1300" s="52" t="n">
        <v>0</v>
      </c>
      <c r="AO1300" s="53" t="n">
        <v>0</v>
      </c>
      <c r="AP1300" s="52" t="n">
        <v>0</v>
      </c>
      <c r="AQ1300" s="53" t="n">
        <v>0</v>
      </c>
      <c r="AR1300" s="52" t="n">
        <v>0</v>
      </c>
      <c r="AS1300" s="51" t="n">
        <v>0</v>
      </c>
      <c r="AT1300" s="48" t="n">
        <v>0</v>
      </c>
      <c r="AU1300" s="49" t="n">
        <v>0</v>
      </c>
      <c r="AV1300" s="49" t="n">
        <v>2</v>
      </c>
      <c r="AW1300" s="50" t="n">
        <v>0</v>
      </c>
      <c r="AX1300" s="51" t="n">
        <v>0</v>
      </c>
      <c r="AY1300" s="52" t="n">
        <v>0</v>
      </c>
      <c r="AZ1300" s="52" t="n">
        <v>0</v>
      </c>
      <c r="BA1300" s="52" t="n">
        <v>0</v>
      </c>
      <c r="BB1300" s="53" t="n">
        <v>0</v>
      </c>
      <c r="BC1300" s="52" t="n">
        <v>0</v>
      </c>
      <c r="BD1300" s="53" t="n">
        <v>0</v>
      </c>
      <c r="BE1300" s="52" t="n">
        <v>0</v>
      </c>
      <c r="BF1300" s="51" t="n">
        <v>0</v>
      </c>
    </row>
    <row r="1301">
      <c r="A1301">
        <f>HYPERLINK("https://www.walmart.com/ip/775933127", "775933127")</f>
        <v/>
      </c>
      <c r="B1301" t="inlineStr">
        <is>
          <t>Tirrinia Comfy Plush Wearable Fleece Blanket Poncho For Adults And Children, 55'' x 80'', Navy</t>
        </is>
      </c>
      <c r="C1301" t="inlineStr">
        <is>
          <t>1TRBP100NY-TBCB</t>
        </is>
      </c>
      <c r="D1301" t="inlineStr">
        <is>
          <t>Throws</t>
        </is>
      </c>
      <c r="E1301" t="inlineStr">
        <is>
          <t>Tirrinia</t>
        </is>
      </c>
      <c r="F1301" t="inlineStr">
        <is>
          <t>Optimized,Fleece Blankets</t>
        </is>
      </c>
      <c r="G1301" s="48" t="n">
        <v>0</v>
      </c>
      <c r="H1301" s="49" t="n">
        <v>0</v>
      </c>
      <c r="I1301" s="49" t="n">
        <v>0</v>
      </c>
      <c r="J1301" s="50" t="n">
        <v>0</v>
      </c>
      <c r="K1301" s="51" t="n">
        <v>0</v>
      </c>
      <c r="L1301" s="52" t="n">
        <v>0</v>
      </c>
      <c r="M1301" s="52" t="n">
        <v>0</v>
      </c>
      <c r="N1301" s="52" t="n">
        <v>0</v>
      </c>
      <c r="O1301" s="53" t="n">
        <v>0</v>
      </c>
      <c r="P1301" s="52" t="n">
        <v>0</v>
      </c>
      <c r="Q1301" s="53" t="n">
        <v>0</v>
      </c>
      <c r="R1301" s="52" t="n">
        <v>0</v>
      </c>
      <c r="S1301" s="51" t="n">
        <v>0</v>
      </c>
      <c r="T1301" s="48" t="n">
        <v>0</v>
      </c>
      <c r="U1301" s="49" t="n">
        <v>0</v>
      </c>
      <c r="V1301" s="49" t="n">
        <v>0</v>
      </c>
      <c r="W1301" s="50" t="n">
        <v>0</v>
      </c>
      <c r="X1301" s="51" t="n">
        <v>0</v>
      </c>
      <c r="Y1301" s="52" t="n">
        <v>0</v>
      </c>
      <c r="Z1301" s="52" t="n">
        <v>0</v>
      </c>
      <c r="AA1301" s="52" t="n">
        <v>0</v>
      </c>
      <c r="AB1301" s="53" t="n">
        <v>0</v>
      </c>
      <c r="AC1301" s="52" t="n">
        <v>0</v>
      </c>
      <c r="AD1301" s="53" t="n">
        <v>0</v>
      </c>
      <c r="AE1301" s="52" t="n">
        <v>0</v>
      </c>
      <c r="AF1301" s="51" t="n">
        <v>0</v>
      </c>
      <c r="AG1301" s="48" t="n">
        <v>0</v>
      </c>
      <c r="AH1301" s="49" t="n">
        <v>0</v>
      </c>
      <c r="AI1301" s="49" t="n">
        <v>0</v>
      </c>
      <c r="AJ1301" s="50" t="n">
        <v>0</v>
      </c>
      <c r="AK1301" s="51" t="n">
        <v>0</v>
      </c>
      <c r="AL1301" s="52" t="n">
        <v>0</v>
      </c>
      <c r="AM1301" s="52" t="n">
        <v>0</v>
      </c>
      <c r="AN1301" s="52" t="n">
        <v>0</v>
      </c>
      <c r="AO1301" s="53" t="n">
        <v>0</v>
      </c>
      <c r="AP1301" s="52" t="n">
        <v>0</v>
      </c>
      <c r="AQ1301" s="53" t="n">
        <v>0</v>
      </c>
      <c r="AR1301" s="52" t="n">
        <v>0</v>
      </c>
      <c r="AS1301" s="51" t="n">
        <v>0</v>
      </c>
      <c r="AT1301" s="48" t="n">
        <v>0</v>
      </c>
      <c r="AU1301" s="49" t="n">
        <v>0</v>
      </c>
      <c r="AV1301" s="49" t="n">
        <v>0</v>
      </c>
      <c r="AW1301" s="50" t="n">
        <v>0</v>
      </c>
      <c r="AX1301" s="51" t="n">
        <v>0</v>
      </c>
      <c r="AY1301" s="52" t="n">
        <v>0</v>
      </c>
      <c r="AZ1301" s="52" t="n">
        <v>0</v>
      </c>
      <c r="BA1301" s="52" t="n">
        <v>0</v>
      </c>
      <c r="BB1301" s="53" t="n">
        <v>0</v>
      </c>
      <c r="BC1301" s="52" t="n">
        <v>0</v>
      </c>
      <c r="BD1301" s="53" t="n">
        <v>0</v>
      </c>
      <c r="BE1301" s="52" t="n">
        <v>0</v>
      </c>
      <c r="BF1301" s="51" t="n">
        <v>0</v>
      </c>
    </row>
    <row r="1302">
      <c r="A1302">
        <f>HYPERLINK("https://www.walmart.com/ip/776025923", "776025923")</f>
        <v/>
      </c>
      <c r="B1302" t="inlineStr">
        <is>
          <t>Women's Poncho Cape, Sherpa Fleece Cloak Coat, Snuggly Hooded Wearable Blanket, Gift Idea for Adults and Teen Girls</t>
        </is>
      </c>
      <c r="C1302" t="inlineStr">
        <is>
          <t>1CTBC300PP</t>
        </is>
      </c>
      <c r="D1302" t="inlineStr">
        <is>
          <t>Throws</t>
        </is>
      </c>
      <c r="E1302" t="inlineStr">
        <is>
          <t>Catalonia</t>
        </is>
      </c>
      <c r="F1302" t="inlineStr">
        <is>
          <t>WFS,WFS Item</t>
        </is>
      </c>
      <c r="G1302" s="48" t="n">
        <v>0</v>
      </c>
      <c r="H1302" s="49" t="n">
        <v>0</v>
      </c>
      <c r="I1302" s="49" t="n">
        <v>0</v>
      </c>
      <c r="J1302" s="50" t="n">
        <v>0</v>
      </c>
      <c r="K1302" s="51" t="n">
        <v>0</v>
      </c>
      <c r="L1302" s="52" t="n">
        <v>0</v>
      </c>
      <c r="M1302" s="52" t="n">
        <v>0</v>
      </c>
      <c r="N1302" s="52" t="n">
        <v>0</v>
      </c>
      <c r="O1302" s="53" t="n">
        <v>0</v>
      </c>
      <c r="P1302" s="52" t="n">
        <v>0</v>
      </c>
      <c r="Q1302" s="53" t="n">
        <v>0</v>
      </c>
      <c r="R1302" s="52" t="n">
        <v>0</v>
      </c>
      <c r="S1302" s="51" t="n">
        <v>0</v>
      </c>
      <c r="T1302" s="48" t="n">
        <v>0</v>
      </c>
      <c r="U1302" s="49" t="n">
        <v>0</v>
      </c>
      <c r="V1302" s="49" t="n">
        <v>0</v>
      </c>
      <c r="W1302" s="50" t="n">
        <v>0</v>
      </c>
      <c r="X1302" s="51" t="n">
        <v>0</v>
      </c>
      <c r="Y1302" s="52" t="n">
        <v>0</v>
      </c>
      <c r="Z1302" s="52" t="n">
        <v>0</v>
      </c>
      <c r="AA1302" s="52" t="n">
        <v>0</v>
      </c>
      <c r="AB1302" s="53" t="n">
        <v>0</v>
      </c>
      <c r="AC1302" s="52" t="n">
        <v>0</v>
      </c>
      <c r="AD1302" s="53" t="n">
        <v>0</v>
      </c>
      <c r="AE1302" s="52" t="n">
        <v>0</v>
      </c>
      <c r="AF1302" s="51" t="n">
        <v>0</v>
      </c>
      <c r="AG1302" s="48" t="n">
        <v>0</v>
      </c>
      <c r="AH1302" s="49" t="n">
        <v>0</v>
      </c>
      <c r="AI1302" s="49" t="n">
        <v>0</v>
      </c>
      <c r="AJ1302" s="50" t="n">
        <v>0</v>
      </c>
      <c r="AK1302" s="51" t="n">
        <v>0</v>
      </c>
      <c r="AL1302" s="52" t="n">
        <v>0</v>
      </c>
      <c r="AM1302" s="52" t="n">
        <v>0</v>
      </c>
      <c r="AN1302" s="52" t="n">
        <v>0</v>
      </c>
      <c r="AO1302" s="53" t="n">
        <v>0</v>
      </c>
      <c r="AP1302" s="52" t="n">
        <v>0</v>
      </c>
      <c r="AQ1302" s="53" t="n">
        <v>0</v>
      </c>
      <c r="AR1302" s="52" t="n">
        <v>0</v>
      </c>
      <c r="AS1302" s="51" t="n">
        <v>0</v>
      </c>
      <c r="AT1302" s="48" t="n">
        <v>0</v>
      </c>
      <c r="AU1302" s="49" t="n">
        <v>0</v>
      </c>
      <c r="AV1302" s="49" t="n">
        <v>0</v>
      </c>
      <c r="AW1302" s="50" t="n">
        <v>0</v>
      </c>
      <c r="AX1302" s="51" t="n">
        <v>0</v>
      </c>
      <c r="AY1302" s="52" t="n">
        <v>0</v>
      </c>
      <c r="AZ1302" s="52" t="n">
        <v>0</v>
      </c>
      <c r="BA1302" s="52" t="n">
        <v>0</v>
      </c>
      <c r="BB1302" s="53" t="n">
        <v>0</v>
      </c>
      <c r="BC1302" s="52" t="n">
        <v>0</v>
      </c>
      <c r="BD1302" s="53" t="n">
        <v>0</v>
      </c>
      <c r="BE1302" s="52" t="n">
        <v>0</v>
      </c>
      <c r="BF1302" s="51" t="n">
        <v>0</v>
      </c>
    </row>
    <row r="1303">
      <c r="A1303">
        <f>HYPERLINK("https://www.walmart.com/ip/776370550", "776370550")</f>
        <v/>
      </c>
      <c r="B1303" t="inlineStr">
        <is>
          <t>Cable Knit Sherpa Blanket, Throw Blanket, Reversible Ultra-Soft Sherpa Sweater Blanket Warm Cozy 60"x50" Multi-Color By Catalonia</t>
        </is>
      </c>
      <c r="C1303" t="inlineStr">
        <is>
          <t>1CTBN100BL</t>
        </is>
      </c>
      <c r="D1303" t="inlineStr">
        <is>
          <t>Throws</t>
        </is>
      </c>
      <c r="E1303" t="inlineStr">
        <is>
          <t>Catalonia</t>
        </is>
      </c>
      <c r="G1303" s="48" t="n">
        <v>0</v>
      </c>
      <c r="H1303" s="49" t="n">
        <v>0</v>
      </c>
      <c r="I1303" s="49" t="n">
        <v>0</v>
      </c>
      <c r="J1303" s="50" t="n">
        <v>0</v>
      </c>
      <c r="K1303" s="51" t="n">
        <v>0</v>
      </c>
      <c r="L1303" s="52" t="n">
        <v>0</v>
      </c>
      <c r="M1303" s="52" t="n">
        <v>0</v>
      </c>
      <c r="N1303" s="52" t="n">
        <v>0</v>
      </c>
      <c r="O1303" s="53" t="n">
        <v>0</v>
      </c>
      <c r="P1303" s="52" t="n">
        <v>0</v>
      </c>
      <c r="Q1303" s="53" t="n">
        <v>0</v>
      </c>
      <c r="R1303" s="52" t="n">
        <v>0</v>
      </c>
      <c r="S1303" s="51" t="n">
        <v>0</v>
      </c>
      <c r="T1303" s="48" t="n">
        <v>0</v>
      </c>
      <c r="U1303" s="49" t="n">
        <v>0</v>
      </c>
      <c r="V1303" s="49" t="n">
        <v>0</v>
      </c>
      <c r="W1303" s="50" t="n">
        <v>0</v>
      </c>
      <c r="X1303" s="51" t="n">
        <v>0</v>
      </c>
      <c r="Y1303" s="52" t="n">
        <v>0</v>
      </c>
      <c r="Z1303" s="52" t="n">
        <v>0</v>
      </c>
      <c r="AA1303" s="52" t="n">
        <v>0</v>
      </c>
      <c r="AB1303" s="53" t="n">
        <v>0</v>
      </c>
      <c r="AC1303" s="52" t="n">
        <v>0</v>
      </c>
      <c r="AD1303" s="53" t="n">
        <v>0</v>
      </c>
      <c r="AE1303" s="52" t="n">
        <v>0</v>
      </c>
      <c r="AF1303" s="51" t="n">
        <v>0</v>
      </c>
      <c r="AG1303" s="48" t="n">
        <v>0</v>
      </c>
      <c r="AH1303" s="49" t="n">
        <v>0</v>
      </c>
      <c r="AI1303" s="49" t="n">
        <v>0</v>
      </c>
      <c r="AJ1303" s="50" t="n">
        <v>0</v>
      </c>
      <c r="AK1303" s="51" t="n">
        <v>0</v>
      </c>
      <c r="AL1303" s="52" t="n">
        <v>0</v>
      </c>
      <c r="AM1303" s="52" t="n">
        <v>0</v>
      </c>
      <c r="AN1303" s="52" t="n">
        <v>0</v>
      </c>
      <c r="AO1303" s="53" t="n">
        <v>0</v>
      </c>
      <c r="AP1303" s="52" t="n">
        <v>0</v>
      </c>
      <c r="AQ1303" s="53" t="n">
        <v>0</v>
      </c>
      <c r="AR1303" s="52" t="n">
        <v>0</v>
      </c>
      <c r="AS1303" s="51" t="n">
        <v>0</v>
      </c>
      <c r="AT1303" s="48" t="n">
        <v>0</v>
      </c>
      <c r="AU1303" s="49" t="n">
        <v>0</v>
      </c>
      <c r="AV1303" s="49" t="n">
        <v>0</v>
      </c>
      <c r="AW1303" s="50" t="n">
        <v>0</v>
      </c>
      <c r="AX1303" s="51" t="n">
        <v>0</v>
      </c>
      <c r="AY1303" s="52" t="n">
        <v>0</v>
      </c>
      <c r="AZ1303" s="52" t="n">
        <v>0</v>
      </c>
      <c r="BA1303" s="52" t="n">
        <v>0</v>
      </c>
      <c r="BB1303" s="53" t="n">
        <v>0</v>
      </c>
      <c r="BC1303" s="52" t="n">
        <v>0</v>
      </c>
      <c r="BD1303" s="53" t="n">
        <v>0</v>
      </c>
      <c r="BE1303" s="52" t="n">
        <v>0</v>
      </c>
      <c r="BF1303" s="51" t="n">
        <v>0</v>
      </c>
    </row>
    <row r="1304">
      <c r="A1304">
        <f>HYPERLINK("https://www.walmart.com/ip/371450378", "371450378")</f>
        <v/>
      </c>
      <c r="B1304" t="inlineStr">
        <is>
          <t>Sherpa Hood Wearable Blanket for Adult Women and Men, Super Soft Comfy Warm Plush Throw with Sleeves TV Blanket Wrap Robe Hoodie Cover for Lounge Chair Couch 72" x 55" Black</t>
        </is>
      </c>
      <c r="C1304" t="inlineStr">
        <is>
          <t>1TRSN410BK</t>
        </is>
      </c>
      <c r="D1304" t="inlineStr">
        <is>
          <t>Throws</t>
        </is>
      </c>
      <c r="E1304" t="inlineStr">
        <is>
          <t>Tirrinia</t>
        </is>
      </c>
      <c r="F1304" t="inlineStr">
        <is>
          <t>WFS,WFS Item</t>
        </is>
      </c>
      <c r="G1304" s="48" t="n">
        <v>0</v>
      </c>
      <c r="H1304" s="49" t="n">
        <v>0</v>
      </c>
      <c r="I1304" s="49" t="n">
        <v>0</v>
      </c>
      <c r="J1304" s="50" t="n">
        <v>0</v>
      </c>
      <c r="K1304" s="51" t="n">
        <v>0</v>
      </c>
      <c r="L1304" s="52" t="n">
        <v>0</v>
      </c>
      <c r="M1304" s="52" t="n">
        <v>0</v>
      </c>
      <c r="N1304" s="52" t="n">
        <v>0</v>
      </c>
      <c r="O1304" s="53" t="n">
        <v>0</v>
      </c>
      <c r="P1304" s="52" t="n">
        <v>0</v>
      </c>
      <c r="Q1304" s="53" t="n">
        <v>0</v>
      </c>
      <c r="R1304" s="52" t="n">
        <v>0</v>
      </c>
      <c r="S1304" s="51" t="n">
        <v>0</v>
      </c>
      <c r="T1304" s="48" t="n">
        <v>0</v>
      </c>
      <c r="U1304" s="49" t="n">
        <v>0</v>
      </c>
      <c r="V1304" s="49" t="n">
        <v>0</v>
      </c>
      <c r="W1304" s="50" t="n">
        <v>0</v>
      </c>
      <c r="X1304" s="51" t="n">
        <v>0</v>
      </c>
      <c r="Y1304" s="52" t="n">
        <v>0</v>
      </c>
      <c r="Z1304" s="52" t="n">
        <v>0</v>
      </c>
      <c r="AA1304" s="52" t="n">
        <v>0</v>
      </c>
      <c r="AB1304" s="53" t="n">
        <v>0</v>
      </c>
      <c r="AC1304" s="52" t="n">
        <v>0</v>
      </c>
      <c r="AD1304" s="53" t="n">
        <v>0</v>
      </c>
      <c r="AE1304" s="52" t="n">
        <v>0</v>
      </c>
      <c r="AF1304" s="51" t="n">
        <v>0</v>
      </c>
      <c r="AG1304" s="48" t="n">
        <v>0</v>
      </c>
      <c r="AH1304" s="49" t="n">
        <v>0</v>
      </c>
      <c r="AI1304" s="49" t="n">
        <v>0</v>
      </c>
      <c r="AJ1304" s="50" t="n">
        <v>0</v>
      </c>
      <c r="AK1304" s="51" t="n">
        <v>0</v>
      </c>
      <c r="AL1304" s="52" t="n">
        <v>0</v>
      </c>
      <c r="AM1304" s="52" t="n">
        <v>0</v>
      </c>
      <c r="AN1304" s="52" t="n">
        <v>0</v>
      </c>
      <c r="AO1304" s="53" t="n">
        <v>0</v>
      </c>
      <c r="AP1304" s="52" t="n">
        <v>0</v>
      </c>
      <c r="AQ1304" s="53" t="n">
        <v>0</v>
      </c>
      <c r="AR1304" s="52" t="n">
        <v>0</v>
      </c>
      <c r="AS1304" s="51" t="n">
        <v>0</v>
      </c>
      <c r="AT1304" s="48" t="n">
        <v>0</v>
      </c>
      <c r="AU1304" s="49" t="n">
        <v>0</v>
      </c>
      <c r="AV1304" s="49" t="n">
        <v>0</v>
      </c>
      <c r="AW1304" s="50" t="n">
        <v>0</v>
      </c>
      <c r="AX1304" s="51" t="n">
        <v>0</v>
      </c>
      <c r="AY1304" s="52" t="n">
        <v>0</v>
      </c>
      <c r="AZ1304" s="52" t="n">
        <v>0</v>
      </c>
      <c r="BA1304" s="52" t="n">
        <v>0</v>
      </c>
      <c r="BB1304" s="53" t="n">
        <v>0</v>
      </c>
      <c r="BC1304" s="52" t="n">
        <v>0</v>
      </c>
      <c r="BD1304" s="53" t="n">
        <v>0</v>
      </c>
      <c r="BE1304" s="52" t="n">
        <v>0</v>
      </c>
      <c r="BF1304" s="51" t="n">
        <v>0</v>
      </c>
    </row>
    <row r="1305">
      <c r="A1305">
        <f>HYPERLINK("https://www.walmart.com/ip/348595969", "348595969")</f>
        <v/>
      </c>
      <c r="B1305" t="inlineStr">
        <is>
          <t>KC Caps® Large 2 Pocket Bib Cooking Restaurant Kitchen Chef Apron Dress Canvas</t>
        </is>
      </c>
      <c r="C1305" t="inlineStr">
        <is>
          <t>KC-A9324-ROYAL</t>
        </is>
      </c>
      <c r="D1305" t="inlineStr">
        <is>
          <t>Cooking Aprons</t>
        </is>
      </c>
      <c r="E1305" t="inlineStr">
        <is>
          <t>KC Caps</t>
        </is>
      </c>
      <c r="F1305" t="inlineStr">
        <is>
          <t>Batch 1 - TR</t>
        </is>
      </c>
      <c r="G1305" s="48" t="n">
        <v>0</v>
      </c>
      <c r="H1305" s="49" t="n">
        <v>0</v>
      </c>
      <c r="I1305" s="49" t="n">
        <v>0</v>
      </c>
      <c r="J1305" s="50" t="n">
        <v>0</v>
      </c>
      <c r="K1305" s="51" t="n">
        <v>0</v>
      </c>
      <c r="L1305" s="52" t="n">
        <v>0</v>
      </c>
      <c r="M1305" s="52" t="n">
        <v>0</v>
      </c>
      <c r="N1305" s="52" t="n">
        <v>0</v>
      </c>
      <c r="O1305" s="53" t="n">
        <v>0</v>
      </c>
      <c r="P1305" s="52" t="n">
        <v>0</v>
      </c>
      <c r="Q1305" s="53" t="n">
        <v>0</v>
      </c>
      <c r="R1305" s="52" t="n">
        <v>0</v>
      </c>
      <c r="S1305" s="51" t="n">
        <v>0</v>
      </c>
      <c r="T1305" s="48" t="n">
        <v>0</v>
      </c>
      <c r="U1305" s="49" t="n">
        <v>0</v>
      </c>
      <c r="V1305" s="49" t="n">
        <v>0</v>
      </c>
      <c r="W1305" s="50" t="n">
        <v>0</v>
      </c>
      <c r="X1305" s="51" t="n">
        <v>0</v>
      </c>
      <c r="Y1305" s="52" t="n">
        <v>0</v>
      </c>
      <c r="Z1305" s="52" t="n">
        <v>0</v>
      </c>
      <c r="AA1305" s="52" t="n">
        <v>0</v>
      </c>
      <c r="AB1305" s="53" t="n">
        <v>0</v>
      </c>
      <c r="AC1305" s="52" t="n">
        <v>0</v>
      </c>
      <c r="AD1305" s="53" t="n">
        <v>0</v>
      </c>
      <c r="AE1305" s="52" t="n">
        <v>0</v>
      </c>
      <c r="AF1305" s="51" t="n">
        <v>0</v>
      </c>
      <c r="AG1305" s="48" t="n">
        <v>0</v>
      </c>
      <c r="AH1305" s="49" t="n">
        <v>0</v>
      </c>
      <c r="AI1305" s="49" t="n">
        <v>0</v>
      </c>
      <c r="AJ1305" s="50" t="n">
        <v>0</v>
      </c>
      <c r="AK1305" s="51" t="n">
        <v>0</v>
      </c>
      <c r="AL1305" s="52" t="n">
        <v>0</v>
      </c>
      <c r="AM1305" s="52" t="n">
        <v>0</v>
      </c>
      <c r="AN1305" s="52" t="n">
        <v>0</v>
      </c>
      <c r="AO1305" s="53" t="n">
        <v>0</v>
      </c>
      <c r="AP1305" s="52" t="n">
        <v>0</v>
      </c>
      <c r="AQ1305" s="53" t="n">
        <v>0</v>
      </c>
      <c r="AR1305" s="52" t="n">
        <v>0</v>
      </c>
      <c r="AS1305" s="51" t="n">
        <v>0</v>
      </c>
      <c r="AT1305" s="48" t="n">
        <v>0</v>
      </c>
      <c r="AU1305" s="49" t="n">
        <v>0</v>
      </c>
      <c r="AV1305" s="49" t="n">
        <v>0</v>
      </c>
      <c r="AW1305" s="50" t="n">
        <v>0</v>
      </c>
      <c r="AX1305" s="51" t="n">
        <v>0</v>
      </c>
      <c r="AY1305" s="52" t="n">
        <v>0</v>
      </c>
      <c r="AZ1305" s="52" t="n">
        <v>0</v>
      </c>
      <c r="BA1305" s="52" t="n">
        <v>0</v>
      </c>
      <c r="BB1305" s="53" t="n">
        <v>0</v>
      </c>
      <c r="BC1305" s="52" t="n">
        <v>0</v>
      </c>
      <c r="BD1305" s="53" t="n">
        <v>0</v>
      </c>
      <c r="BE1305" s="52" t="n">
        <v>0</v>
      </c>
      <c r="BF1305" s="51" t="n">
        <v>0</v>
      </c>
    </row>
    <row r="1306">
      <c r="A1306">
        <f>HYPERLINK("https://www.walmart.com/ip/371292642", "371292642")</f>
        <v/>
      </c>
      <c r="B1306" t="inlineStr">
        <is>
          <t>Stemless Insulated Wine Tumbler with Lid, 12oz 2 Pack Stainless Steel Double Walled Metal Wine &amp; Champagne Tumbler, Silver</t>
        </is>
      </c>
      <c r="C1306" t="inlineStr">
        <is>
          <t>1WMWT120SL-2PK</t>
        </is>
      </c>
      <c r="D1306" t="inlineStr">
        <is>
          <t>Tumblers</t>
        </is>
      </c>
      <c r="E1306" t="inlineStr">
        <is>
          <t>Flyingstar</t>
        </is>
      </c>
      <c r="F1306" t="inlineStr">
        <is>
          <t>Wine,Christmas,Valentine</t>
        </is>
      </c>
      <c r="G1306" s="48" t="n">
        <v>0</v>
      </c>
      <c r="H1306" s="49" t="n">
        <v>0</v>
      </c>
      <c r="I1306" s="49" t="n">
        <v>0</v>
      </c>
      <c r="J1306" s="50" t="n">
        <v>0</v>
      </c>
      <c r="K1306" s="51" t="n">
        <v>0</v>
      </c>
      <c r="L1306" s="52" t="n">
        <v>0</v>
      </c>
      <c r="M1306" s="52" t="n">
        <v>0</v>
      </c>
      <c r="N1306" s="52" t="n">
        <v>0</v>
      </c>
      <c r="O1306" s="53" t="n">
        <v>0</v>
      </c>
      <c r="P1306" s="52" t="n">
        <v>0</v>
      </c>
      <c r="Q1306" s="53" t="n">
        <v>0</v>
      </c>
      <c r="R1306" s="52" t="n">
        <v>0</v>
      </c>
      <c r="S1306" s="51" t="n">
        <v>0</v>
      </c>
      <c r="T1306" s="48" t="n">
        <v>0</v>
      </c>
      <c r="U1306" s="49" t="n">
        <v>0</v>
      </c>
      <c r="V1306" s="49" t="n">
        <v>0</v>
      </c>
      <c r="W1306" s="50" t="n">
        <v>0</v>
      </c>
      <c r="X1306" s="51" t="n">
        <v>0</v>
      </c>
      <c r="Y1306" s="52" t="n">
        <v>0</v>
      </c>
      <c r="Z1306" s="52" t="n">
        <v>0</v>
      </c>
      <c r="AA1306" s="52" t="n">
        <v>0</v>
      </c>
      <c r="AB1306" s="53" t="n">
        <v>0</v>
      </c>
      <c r="AC1306" s="52" t="n">
        <v>0</v>
      </c>
      <c r="AD1306" s="53" t="n">
        <v>0</v>
      </c>
      <c r="AE1306" s="52" t="n">
        <v>0</v>
      </c>
      <c r="AF1306" s="51" t="n">
        <v>0</v>
      </c>
      <c r="AG1306" s="48" t="n">
        <v>0</v>
      </c>
      <c r="AH1306" s="49" t="n">
        <v>0</v>
      </c>
      <c r="AI1306" s="49" t="n">
        <v>0</v>
      </c>
      <c r="AJ1306" s="50" t="n">
        <v>0</v>
      </c>
      <c r="AK1306" s="51" t="n">
        <v>0</v>
      </c>
      <c r="AL1306" s="52" t="n">
        <v>0</v>
      </c>
      <c r="AM1306" s="52" t="n">
        <v>0</v>
      </c>
      <c r="AN1306" s="52" t="n">
        <v>0</v>
      </c>
      <c r="AO1306" s="53" t="n">
        <v>0</v>
      </c>
      <c r="AP1306" s="52" t="n">
        <v>0</v>
      </c>
      <c r="AQ1306" s="53" t="n">
        <v>0</v>
      </c>
      <c r="AR1306" s="52" t="n">
        <v>0</v>
      </c>
      <c r="AS1306" s="51" t="n">
        <v>0</v>
      </c>
      <c r="AT1306" s="48" t="n">
        <v>0</v>
      </c>
      <c r="AU1306" s="49" t="n">
        <v>0</v>
      </c>
      <c r="AV1306" s="49" t="n">
        <v>0</v>
      </c>
      <c r="AW1306" s="50" t="n">
        <v>0</v>
      </c>
      <c r="AX1306" s="51" t="n">
        <v>0</v>
      </c>
      <c r="AY1306" s="52" t="n">
        <v>0</v>
      </c>
      <c r="AZ1306" s="52" t="n">
        <v>0</v>
      </c>
      <c r="BA1306" s="52" t="n">
        <v>0</v>
      </c>
      <c r="BB1306" s="53" t="n">
        <v>0</v>
      </c>
      <c r="BC1306" s="52" t="n">
        <v>0</v>
      </c>
      <c r="BD1306" s="53" t="n">
        <v>0</v>
      </c>
      <c r="BE1306" s="52" t="n">
        <v>0</v>
      </c>
      <c r="BF1306" s="51" t="n">
        <v>0</v>
      </c>
    </row>
    <row r="1307">
      <c r="A1307">
        <f>HYPERLINK("https://www.walmart.com/ip/14505655140", "14505655140")</f>
        <v/>
      </c>
      <c r="B1307" t="inlineStr">
        <is>
          <t>Catalonia Blanket Hoodie for Kids, Oversized Wearable Fleece Sweatshirt Pullover for 7-16 yr Teens Youth, Kids Gift Idea, Pink Dot</t>
        </is>
      </c>
      <c r="C1307" t="inlineStr">
        <is>
          <t>1CTOSH401PKDOT-FS</t>
        </is>
      </c>
      <c r="D1307" t="inlineStr">
        <is>
          <t>Sweatshirts &amp; Hoodies</t>
        </is>
      </c>
      <c r="E1307" t="inlineStr">
        <is>
          <t>Catalonia</t>
        </is>
      </c>
      <c r="G1307" s="48" t="n">
        <v>0</v>
      </c>
      <c r="H1307" s="49" t="n">
        <v>0</v>
      </c>
      <c r="I1307" s="49" t="n">
        <v>0</v>
      </c>
      <c r="J1307" s="50" t="n">
        <v>0</v>
      </c>
      <c r="K1307" s="51" t="n">
        <v>0</v>
      </c>
      <c r="L1307" s="52" t="n">
        <v>0</v>
      </c>
      <c r="M1307" s="52" t="n">
        <v>0</v>
      </c>
      <c r="N1307" s="52" t="n">
        <v>0</v>
      </c>
      <c r="O1307" s="53" t="n">
        <v>0</v>
      </c>
      <c r="P1307" s="52" t="n">
        <v>0</v>
      </c>
      <c r="Q1307" s="53" t="n">
        <v>0</v>
      </c>
      <c r="R1307" s="52" t="n">
        <v>0</v>
      </c>
      <c r="S1307" s="51" t="n">
        <v>0</v>
      </c>
      <c r="T1307" s="48" t="n">
        <v>0</v>
      </c>
      <c r="U1307" s="49" t="n">
        <v>0</v>
      </c>
      <c r="V1307" s="49" t="n">
        <v>0</v>
      </c>
      <c r="W1307" s="50" t="n">
        <v>0</v>
      </c>
      <c r="X1307" s="51" t="n">
        <v>0</v>
      </c>
      <c r="Y1307" s="52" t="n">
        <v>0</v>
      </c>
      <c r="Z1307" s="52" t="n">
        <v>0</v>
      </c>
      <c r="AA1307" s="52" t="n">
        <v>0</v>
      </c>
      <c r="AB1307" s="53" t="n">
        <v>0</v>
      </c>
      <c r="AC1307" s="52" t="n">
        <v>0</v>
      </c>
      <c r="AD1307" s="53" t="n">
        <v>0</v>
      </c>
      <c r="AE1307" s="52" t="n">
        <v>0</v>
      </c>
      <c r="AF1307" s="51" t="n">
        <v>0</v>
      </c>
      <c r="AG1307" s="48" t="n">
        <v>0</v>
      </c>
      <c r="AH1307" s="49" t="n">
        <v>0</v>
      </c>
      <c r="AI1307" s="49" t="n">
        <v>0</v>
      </c>
      <c r="AJ1307" s="50" t="n">
        <v>0</v>
      </c>
      <c r="AK1307" s="51" t="n">
        <v>0</v>
      </c>
      <c r="AL1307" s="52" t="n">
        <v>0</v>
      </c>
      <c r="AM1307" s="52" t="n">
        <v>0</v>
      </c>
      <c r="AN1307" s="52" t="n">
        <v>0</v>
      </c>
      <c r="AO1307" s="53" t="n">
        <v>0</v>
      </c>
      <c r="AP1307" s="52" t="n">
        <v>0</v>
      </c>
      <c r="AQ1307" s="53" t="n">
        <v>0</v>
      </c>
      <c r="AR1307" s="52" t="n">
        <v>0</v>
      </c>
      <c r="AS1307" s="51" t="n">
        <v>0</v>
      </c>
      <c r="AT1307" s="48" t="n">
        <v>0</v>
      </c>
      <c r="AU1307" s="49" t="n">
        <v>0</v>
      </c>
      <c r="AV1307" s="49" t="n">
        <v>0</v>
      </c>
      <c r="AW1307" s="50" t="n">
        <v>0</v>
      </c>
      <c r="AX1307" s="51" t="n">
        <v>0</v>
      </c>
      <c r="AY1307" s="52" t="n">
        <v>0</v>
      </c>
      <c r="AZ1307" s="52" t="n">
        <v>0</v>
      </c>
      <c r="BA1307" s="52" t="n">
        <v>0</v>
      </c>
      <c r="BB1307" s="53" t="n">
        <v>0</v>
      </c>
      <c r="BC1307" s="52" t="n">
        <v>0</v>
      </c>
      <c r="BD1307" s="53" t="n">
        <v>0</v>
      </c>
      <c r="BE1307" s="52" t="n">
        <v>0</v>
      </c>
      <c r="BF1307" s="51" t="n">
        <v>0</v>
      </c>
    </row>
    <row r="1308">
      <c r="A1308">
        <f>HYPERLINK("https://www.walmart.com/ip/14505655960", "14505655960")</f>
        <v/>
      </c>
      <c r="B1308" t="inlineStr">
        <is>
          <t>Ultra Long Fleece Blanket Hoodie Sweatshirt for Mens Womens, Full Body Warm Lounging Pullover, Southwestern Aztec - Catalonia</t>
        </is>
      </c>
      <c r="C1308" t="inlineStr">
        <is>
          <t>1CTOSH310SW-FS</t>
        </is>
      </c>
      <c r="D1308" t="inlineStr">
        <is>
          <t>Sweatshirts &amp; Hoodies</t>
        </is>
      </c>
      <c r="E1308" t="inlineStr">
        <is>
          <t>Catalonia</t>
        </is>
      </c>
      <c r="G1308" s="48" t="n">
        <v>0</v>
      </c>
      <c r="H1308" s="49" t="n">
        <v>0</v>
      </c>
      <c r="I1308" s="49" t="n">
        <v>0</v>
      </c>
      <c r="J1308" s="50" t="n">
        <v>0</v>
      </c>
      <c r="K1308" s="51" t="n">
        <v>0</v>
      </c>
      <c r="L1308" s="52" t="n">
        <v>0</v>
      </c>
      <c r="M1308" s="52" t="n">
        <v>0</v>
      </c>
      <c r="N1308" s="52" t="n">
        <v>0</v>
      </c>
      <c r="O1308" s="53" t="n">
        <v>0</v>
      </c>
      <c r="P1308" s="52" t="n">
        <v>0</v>
      </c>
      <c r="Q1308" s="53" t="n">
        <v>0</v>
      </c>
      <c r="R1308" s="52" t="n">
        <v>0</v>
      </c>
      <c r="S1308" s="51" t="n">
        <v>0</v>
      </c>
      <c r="T1308" s="48" t="n">
        <v>0</v>
      </c>
      <c r="U1308" s="49" t="n">
        <v>0</v>
      </c>
      <c r="V1308" s="49" t="n">
        <v>0</v>
      </c>
      <c r="W1308" s="50" t="n">
        <v>0</v>
      </c>
      <c r="X1308" s="51" t="n">
        <v>0</v>
      </c>
      <c r="Y1308" s="52" t="n">
        <v>0</v>
      </c>
      <c r="Z1308" s="52" t="n">
        <v>0</v>
      </c>
      <c r="AA1308" s="52" t="n">
        <v>0</v>
      </c>
      <c r="AB1308" s="53" t="n">
        <v>0</v>
      </c>
      <c r="AC1308" s="52" t="n">
        <v>0</v>
      </c>
      <c r="AD1308" s="53" t="n">
        <v>0</v>
      </c>
      <c r="AE1308" s="52" t="n">
        <v>0</v>
      </c>
      <c r="AF1308" s="51" t="n">
        <v>0</v>
      </c>
      <c r="AG1308" s="48" t="n">
        <v>0</v>
      </c>
      <c r="AH1308" s="49" t="n">
        <v>0</v>
      </c>
      <c r="AI1308" s="49" t="n">
        <v>0</v>
      </c>
      <c r="AJ1308" s="50" t="n">
        <v>0</v>
      </c>
      <c r="AK1308" s="51" t="n">
        <v>0</v>
      </c>
      <c r="AL1308" s="52" t="n">
        <v>0</v>
      </c>
      <c r="AM1308" s="52" t="n">
        <v>0</v>
      </c>
      <c r="AN1308" s="52" t="n">
        <v>0</v>
      </c>
      <c r="AO1308" s="53" t="n">
        <v>0</v>
      </c>
      <c r="AP1308" s="52" t="n">
        <v>0</v>
      </c>
      <c r="AQ1308" s="53" t="n">
        <v>0</v>
      </c>
      <c r="AR1308" s="52" t="n">
        <v>0</v>
      </c>
      <c r="AS1308" s="51" t="n">
        <v>0</v>
      </c>
      <c r="AT1308" s="48" t="n">
        <v>0</v>
      </c>
      <c r="AU1308" s="49" t="n">
        <v>0</v>
      </c>
      <c r="AV1308" s="49" t="n">
        <v>0</v>
      </c>
      <c r="AW1308" s="50" t="n">
        <v>0</v>
      </c>
      <c r="AX1308" s="51" t="n">
        <v>0</v>
      </c>
      <c r="AY1308" s="52" t="n">
        <v>0</v>
      </c>
      <c r="AZ1308" s="52" t="n">
        <v>0</v>
      </c>
      <c r="BA1308" s="52" t="n">
        <v>0</v>
      </c>
      <c r="BB1308" s="53" t="n">
        <v>0</v>
      </c>
      <c r="BC1308" s="52" t="n">
        <v>0</v>
      </c>
      <c r="BD1308" s="53" t="n">
        <v>0</v>
      </c>
      <c r="BE1308" s="52" t="n">
        <v>0</v>
      </c>
      <c r="BF1308" s="51" t="n">
        <v>0</v>
      </c>
    </row>
    <row r="1309">
      <c r="A1309">
        <f>HYPERLINK("https://www.walmart.com/ip/14505655972", "14505655972")</f>
        <v/>
      </c>
      <c r="B1309" t="inlineStr">
        <is>
          <t>Womens Oversized Flannel Blanket Hoodie Sweatshirt, Plush Fleece Lined Lounging Pullover, Christmas Gift for Women (Charcoal) - Catalonia</t>
        </is>
      </c>
      <c r="C1309" t="inlineStr">
        <is>
          <t>1CTOSH400BKASH-FS</t>
        </is>
      </c>
      <c r="D1309" t="inlineStr">
        <is>
          <t>Sweatshirts &amp; Hoodies</t>
        </is>
      </c>
      <c r="E1309" t="inlineStr">
        <is>
          <t>Catalonia</t>
        </is>
      </c>
      <c r="G1309" s="48" t="n">
        <v>0</v>
      </c>
      <c r="H1309" s="49" t="n">
        <v>0</v>
      </c>
      <c r="I1309" s="49" t="n">
        <v>0</v>
      </c>
      <c r="J1309" s="50" t="n">
        <v>0</v>
      </c>
      <c r="K1309" s="51" t="n">
        <v>0</v>
      </c>
      <c r="L1309" s="52" t="n">
        <v>0</v>
      </c>
      <c r="M1309" s="52" t="n">
        <v>0</v>
      </c>
      <c r="N1309" s="52" t="n">
        <v>0</v>
      </c>
      <c r="O1309" s="53" t="n">
        <v>0</v>
      </c>
      <c r="P1309" s="52" t="n">
        <v>0</v>
      </c>
      <c r="Q1309" s="53" t="n">
        <v>0</v>
      </c>
      <c r="R1309" s="52" t="n">
        <v>0</v>
      </c>
      <c r="S1309" s="51" t="n">
        <v>0</v>
      </c>
      <c r="T1309" s="48" t="n">
        <v>0</v>
      </c>
      <c r="U1309" s="49" t="n">
        <v>0</v>
      </c>
      <c r="V1309" s="49" t="n">
        <v>0</v>
      </c>
      <c r="W1309" s="50" t="n">
        <v>0</v>
      </c>
      <c r="X1309" s="51" t="n">
        <v>0</v>
      </c>
      <c r="Y1309" s="52" t="n">
        <v>0</v>
      </c>
      <c r="Z1309" s="52" t="n">
        <v>0</v>
      </c>
      <c r="AA1309" s="52" t="n">
        <v>0</v>
      </c>
      <c r="AB1309" s="53" t="n">
        <v>0</v>
      </c>
      <c r="AC1309" s="52" t="n">
        <v>0</v>
      </c>
      <c r="AD1309" s="53" t="n">
        <v>0</v>
      </c>
      <c r="AE1309" s="52" t="n">
        <v>0</v>
      </c>
      <c r="AF1309" s="51" t="n">
        <v>0</v>
      </c>
      <c r="AG1309" s="48" t="n">
        <v>0</v>
      </c>
      <c r="AH1309" s="49" t="n">
        <v>0</v>
      </c>
      <c r="AI1309" s="49" t="n">
        <v>0</v>
      </c>
      <c r="AJ1309" s="50" t="n">
        <v>0</v>
      </c>
      <c r="AK1309" s="51" t="n">
        <v>0</v>
      </c>
      <c r="AL1309" s="52" t="n">
        <v>0</v>
      </c>
      <c r="AM1309" s="52" t="n">
        <v>0</v>
      </c>
      <c r="AN1309" s="52" t="n">
        <v>0</v>
      </c>
      <c r="AO1309" s="53" t="n">
        <v>0</v>
      </c>
      <c r="AP1309" s="52" t="n">
        <v>0</v>
      </c>
      <c r="AQ1309" s="53" t="n">
        <v>0</v>
      </c>
      <c r="AR1309" s="52" t="n">
        <v>0</v>
      </c>
      <c r="AS1309" s="51" t="n">
        <v>0</v>
      </c>
      <c r="AT1309" s="48" t="n">
        <v>0</v>
      </c>
      <c r="AU1309" s="49" t="n">
        <v>0</v>
      </c>
      <c r="AV1309" s="49" t="n">
        <v>0</v>
      </c>
      <c r="AW1309" s="50" t="n">
        <v>0</v>
      </c>
      <c r="AX1309" s="51" t="n">
        <v>0</v>
      </c>
      <c r="AY1309" s="52" t="n">
        <v>0</v>
      </c>
      <c r="AZ1309" s="52" t="n">
        <v>0</v>
      </c>
      <c r="BA1309" s="52" t="n">
        <v>0</v>
      </c>
      <c r="BB1309" s="53" t="n">
        <v>0</v>
      </c>
      <c r="BC1309" s="52" t="n">
        <v>0</v>
      </c>
      <c r="BD1309" s="53" t="n">
        <v>0</v>
      </c>
      <c r="BE1309" s="52" t="n">
        <v>0</v>
      </c>
      <c r="BF1309" s="51" t="n">
        <v>0</v>
      </c>
    </row>
    <row r="1310">
      <c r="A1310">
        <f>HYPERLINK("https://www.walmart.com/ip/14505705633", "14505705633")</f>
        <v/>
      </c>
      <c r="B1310" t="inlineStr">
        <is>
          <t>Catalonia Blanket Hoodie for Kids, Oversized Wearable Fleece Sweatshirt Pullover for 7-16 yr Teens Youth, Kids Gift Idea, Latte</t>
        </is>
      </c>
      <c r="C1310" t="inlineStr">
        <is>
          <t>1CTOSH401LT-FS</t>
        </is>
      </c>
      <c r="D1310" t="inlineStr">
        <is>
          <t>Sweatshirts &amp; Hoodies</t>
        </is>
      </c>
      <c r="E1310" t="inlineStr">
        <is>
          <t>Catalonia</t>
        </is>
      </c>
      <c r="G1310" s="48" t="n">
        <v>0</v>
      </c>
      <c r="H1310" s="49" t="n">
        <v>0</v>
      </c>
      <c r="I1310" s="49" t="n">
        <v>0</v>
      </c>
      <c r="J1310" s="50" t="n">
        <v>0</v>
      </c>
      <c r="K1310" s="51" t="n">
        <v>0</v>
      </c>
      <c r="L1310" s="52" t="n">
        <v>0</v>
      </c>
      <c r="M1310" s="52" t="n">
        <v>0</v>
      </c>
      <c r="N1310" s="52" t="n">
        <v>0</v>
      </c>
      <c r="O1310" s="53" t="n">
        <v>0</v>
      </c>
      <c r="P1310" s="52" t="n">
        <v>0</v>
      </c>
      <c r="Q1310" s="53" t="n">
        <v>0</v>
      </c>
      <c r="R1310" s="52" t="n">
        <v>0</v>
      </c>
      <c r="S1310" s="51" t="n">
        <v>0</v>
      </c>
      <c r="T1310" s="48" t="n">
        <v>0</v>
      </c>
      <c r="U1310" s="49" t="n">
        <v>0</v>
      </c>
      <c r="V1310" s="49" t="n">
        <v>0</v>
      </c>
      <c r="W1310" s="50" t="n">
        <v>0</v>
      </c>
      <c r="X1310" s="51" t="n">
        <v>0</v>
      </c>
      <c r="Y1310" s="52" t="n">
        <v>0</v>
      </c>
      <c r="Z1310" s="52" t="n">
        <v>0</v>
      </c>
      <c r="AA1310" s="52" t="n">
        <v>0</v>
      </c>
      <c r="AB1310" s="53" t="n">
        <v>0</v>
      </c>
      <c r="AC1310" s="52" t="n">
        <v>0</v>
      </c>
      <c r="AD1310" s="53" t="n">
        <v>0</v>
      </c>
      <c r="AE1310" s="52" t="n">
        <v>0</v>
      </c>
      <c r="AF1310" s="51" t="n">
        <v>0</v>
      </c>
      <c r="AG1310" s="48" t="n">
        <v>0</v>
      </c>
      <c r="AH1310" s="49" t="n">
        <v>0</v>
      </c>
      <c r="AI1310" s="49" t="n">
        <v>0</v>
      </c>
      <c r="AJ1310" s="50" t="n">
        <v>0</v>
      </c>
      <c r="AK1310" s="51" t="n">
        <v>0</v>
      </c>
      <c r="AL1310" s="52" t="n">
        <v>0</v>
      </c>
      <c r="AM1310" s="52" t="n">
        <v>0</v>
      </c>
      <c r="AN1310" s="52" t="n">
        <v>0</v>
      </c>
      <c r="AO1310" s="53" t="n">
        <v>0</v>
      </c>
      <c r="AP1310" s="52" t="n">
        <v>0</v>
      </c>
      <c r="AQ1310" s="53" t="n">
        <v>0</v>
      </c>
      <c r="AR1310" s="52" t="n">
        <v>0</v>
      </c>
      <c r="AS1310" s="51" t="n">
        <v>0</v>
      </c>
      <c r="AT1310" s="48" t="n">
        <v>0</v>
      </c>
      <c r="AU1310" s="49" t="n">
        <v>0</v>
      </c>
      <c r="AV1310" s="49" t="n">
        <v>0</v>
      </c>
      <c r="AW1310" s="50" t="n">
        <v>0</v>
      </c>
      <c r="AX1310" s="51" t="n">
        <v>0</v>
      </c>
      <c r="AY1310" s="52" t="n">
        <v>0</v>
      </c>
      <c r="AZ1310" s="52" t="n">
        <v>0</v>
      </c>
      <c r="BA1310" s="52" t="n">
        <v>0</v>
      </c>
      <c r="BB1310" s="53" t="n">
        <v>0</v>
      </c>
      <c r="BC1310" s="52" t="n">
        <v>0</v>
      </c>
      <c r="BD1310" s="53" t="n">
        <v>0</v>
      </c>
      <c r="BE1310" s="52" t="n">
        <v>0</v>
      </c>
      <c r="BF1310" s="51" t="n">
        <v>0</v>
      </c>
    </row>
    <row r="1311">
      <c r="A1311">
        <f>HYPERLINK("https://www.walmart.com/ip/14505705639", "14505705639")</f>
        <v/>
      </c>
      <c r="B1311" t="inlineStr">
        <is>
          <t>Catalonia Oversized Blanket Hoodie Sweatshirt, Fleece Hooded Lounging Pullover with Giant Pocket, Birthday Gifts Christmas Gifts, Southwestern Aztec</t>
        </is>
      </c>
      <c r="C1311" t="inlineStr">
        <is>
          <t>1CTOSH300SW-FS</t>
        </is>
      </c>
      <c r="D1311" t="inlineStr">
        <is>
          <t>Sweatshirts &amp; Hoodies</t>
        </is>
      </c>
      <c r="E1311" t="inlineStr">
        <is>
          <t>Catalonia</t>
        </is>
      </c>
      <c r="G1311" s="48" t="n">
        <v>0</v>
      </c>
      <c r="H1311" s="49" t="n">
        <v>0</v>
      </c>
      <c r="I1311" s="49" t="n">
        <v>0</v>
      </c>
      <c r="J1311" s="50" t="n">
        <v>0</v>
      </c>
      <c r="K1311" s="51" t="n">
        <v>0</v>
      </c>
      <c r="L1311" s="52" t="n">
        <v>0</v>
      </c>
      <c r="M1311" s="52" t="n">
        <v>0</v>
      </c>
      <c r="N1311" s="52" t="n">
        <v>0</v>
      </c>
      <c r="O1311" s="53" t="n">
        <v>0</v>
      </c>
      <c r="P1311" s="52" t="n">
        <v>0</v>
      </c>
      <c r="Q1311" s="53" t="n">
        <v>0</v>
      </c>
      <c r="R1311" s="52" t="n">
        <v>0</v>
      </c>
      <c r="S1311" s="51" t="n">
        <v>0</v>
      </c>
      <c r="T1311" s="48" t="n">
        <v>0</v>
      </c>
      <c r="U1311" s="49" t="n">
        <v>0</v>
      </c>
      <c r="V1311" s="49" t="n">
        <v>0</v>
      </c>
      <c r="W1311" s="50" t="n">
        <v>0</v>
      </c>
      <c r="X1311" s="51" t="n">
        <v>0</v>
      </c>
      <c r="Y1311" s="52" t="n">
        <v>0</v>
      </c>
      <c r="Z1311" s="52" t="n">
        <v>0</v>
      </c>
      <c r="AA1311" s="52" t="n">
        <v>0</v>
      </c>
      <c r="AB1311" s="53" t="n">
        <v>0</v>
      </c>
      <c r="AC1311" s="52" t="n">
        <v>0</v>
      </c>
      <c r="AD1311" s="53" t="n">
        <v>0</v>
      </c>
      <c r="AE1311" s="52" t="n">
        <v>0</v>
      </c>
      <c r="AF1311" s="51" t="n">
        <v>0</v>
      </c>
      <c r="AG1311" s="48" t="n">
        <v>0</v>
      </c>
      <c r="AH1311" s="49" t="n">
        <v>0</v>
      </c>
      <c r="AI1311" s="49" t="n">
        <v>0</v>
      </c>
      <c r="AJ1311" s="50" t="n">
        <v>0</v>
      </c>
      <c r="AK1311" s="51" t="n">
        <v>0</v>
      </c>
      <c r="AL1311" s="52" t="n">
        <v>0</v>
      </c>
      <c r="AM1311" s="52" t="n">
        <v>0</v>
      </c>
      <c r="AN1311" s="52" t="n">
        <v>0</v>
      </c>
      <c r="AO1311" s="53" t="n">
        <v>0</v>
      </c>
      <c r="AP1311" s="52" t="n">
        <v>0</v>
      </c>
      <c r="AQ1311" s="53" t="n">
        <v>0</v>
      </c>
      <c r="AR1311" s="52" t="n">
        <v>0</v>
      </c>
      <c r="AS1311" s="51" t="n">
        <v>0</v>
      </c>
      <c r="AT1311" s="48" t="n">
        <v>0</v>
      </c>
      <c r="AU1311" s="49" t="n">
        <v>0</v>
      </c>
      <c r="AV1311" s="49" t="n">
        <v>0</v>
      </c>
      <c r="AW1311" s="50" t="n">
        <v>0</v>
      </c>
      <c r="AX1311" s="51" t="n">
        <v>0</v>
      </c>
      <c r="AY1311" s="52" t="n">
        <v>0</v>
      </c>
      <c r="AZ1311" s="52" t="n">
        <v>0</v>
      </c>
      <c r="BA1311" s="52" t="n">
        <v>0</v>
      </c>
      <c r="BB1311" s="53" t="n">
        <v>0</v>
      </c>
      <c r="BC1311" s="52" t="n">
        <v>0</v>
      </c>
      <c r="BD1311" s="53" t="n">
        <v>0</v>
      </c>
      <c r="BE1311" s="52" t="n">
        <v>0</v>
      </c>
      <c r="BF1311" s="51" t="n">
        <v>0</v>
      </c>
    </row>
    <row r="1312">
      <c r="A1312">
        <f>HYPERLINK("https://www.walmart.com/ip/14505710525", "14505710525")</f>
        <v/>
      </c>
      <c r="B1312" t="inlineStr">
        <is>
          <t>Catalonia Blanket Hoodie for Kids, Oversized Wearable Fleece Sweatshirt Pullover for 7-16 yr Teens Youth, Kids Gift Idea</t>
        </is>
      </c>
      <c r="C1312" t="inlineStr">
        <is>
          <t>1CTOSH401GYASH-FS</t>
        </is>
      </c>
      <c r="D1312" t="inlineStr">
        <is>
          <t>Sweatshirts &amp; Hoodies</t>
        </is>
      </c>
      <c r="E1312" t="inlineStr">
        <is>
          <t>Catalonia</t>
        </is>
      </c>
      <c r="G1312" s="48" t="n">
        <v>0</v>
      </c>
      <c r="H1312" s="49" t="n">
        <v>0</v>
      </c>
      <c r="I1312" s="49" t="n">
        <v>0</v>
      </c>
      <c r="J1312" s="50" t="n">
        <v>0</v>
      </c>
      <c r="K1312" s="51" t="n">
        <v>0</v>
      </c>
      <c r="L1312" s="52" t="n">
        <v>0</v>
      </c>
      <c r="M1312" s="52" t="n">
        <v>0</v>
      </c>
      <c r="N1312" s="52" t="n">
        <v>0</v>
      </c>
      <c r="O1312" s="53" t="n">
        <v>0</v>
      </c>
      <c r="P1312" s="52" t="n">
        <v>0</v>
      </c>
      <c r="Q1312" s="53" t="n">
        <v>0</v>
      </c>
      <c r="R1312" s="52" t="n">
        <v>0</v>
      </c>
      <c r="S1312" s="51" t="n">
        <v>0</v>
      </c>
      <c r="T1312" s="48" t="n">
        <v>0</v>
      </c>
      <c r="U1312" s="49" t="n">
        <v>0</v>
      </c>
      <c r="V1312" s="49" t="n">
        <v>0</v>
      </c>
      <c r="W1312" s="50" t="n">
        <v>0</v>
      </c>
      <c r="X1312" s="51" t="n">
        <v>0</v>
      </c>
      <c r="Y1312" s="52" t="n">
        <v>0</v>
      </c>
      <c r="Z1312" s="52" t="n">
        <v>0</v>
      </c>
      <c r="AA1312" s="52" t="n">
        <v>0</v>
      </c>
      <c r="AB1312" s="53" t="n">
        <v>0</v>
      </c>
      <c r="AC1312" s="52" t="n">
        <v>0</v>
      </c>
      <c r="AD1312" s="53" t="n">
        <v>0</v>
      </c>
      <c r="AE1312" s="52" t="n">
        <v>0</v>
      </c>
      <c r="AF1312" s="51" t="n">
        <v>0</v>
      </c>
      <c r="AG1312" s="48" t="n">
        <v>0</v>
      </c>
      <c r="AH1312" s="49" t="n">
        <v>0</v>
      </c>
      <c r="AI1312" s="49" t="n">
        <v>0</v>
      </c>
      <c r="AJ1312" s="50" t="n">
        <v>0</v>
      </c>
      <c r="AK1312" s="51" t="n">
        <v>0</v>
      </c>
      <c r="AL1312" s="52" t="n">
        <v>0</v>
      </c>
      <c r="AM1312" s="52" t="n">
        <v>0</v>
      </c>
      <c r="AN1312" s="52" t="n">
        <v>0</v>
      </c>
      <c r="AO1312" s="53" t="n">
        <v>0</v>
      </c>
      <c r="AP1312" s="52" t="n">
        <v>0</v>
      </c>
      <c r="AQ1312" s="53" t="n">
        <v>0</v>
      </c>
      <c r="AR1312" s="52" t="n">
        <v>0</v>
      </c>
      <c r="AS1312" s="51" t="n">
        <v>0</v>
      </c>
      <c r="AT1312" s="48" t="n">
        <v>0</v>
      </c>
      <c r="AU1312" s="49" t="n">
        <v>0</v>
      </c>
      <c r="AV1312" s="49" t="n">
        <v>0</v>
      </c>
      <c r="AW1312" s="50" t="n">
        <v>0</v>
      </c>
      <c r="AX1312" s="51" t="n">
        <v>0</v>
      </c>
      <c r="AY1312" s="52" t="n">
        <v>0</v>
      </c>
      <c r="AZ1312" s="52" t="n">
        <v>0</v>
      </c>
      <c r="BA1312" s="52" t="n">
        <v>0</v>
      </c>
      <c r="BB1312" s="53" t="n">
        <v>0</v>
      </c>
      <c r="BC1312" s="52" t="n">
        <v>0</v>
      </c>
      <c r="BD1312" s="53" t="n">
        <v>0</v>
      </c>
      <c r="BE1312" s="52" t="n">
        <v>0</v>
      </c>
      <c r="BF1312" s="51" t="n">
        <v>0</v>
      </c>
    </row>
    <row r="1313">
      <c r="A1313">
        <f>HYPERLINK("https://www.walmart.com/ip/14505710529", "14505710529")</f>
        <v/>
      </c>
      <c r="B1313" t="inlineStr">
        <is>
          <t>Catalonia Women's Hoodie Sweatshirt, Casual Pullover Sweater with front Pocket, Womens Fall Winter Clothing, Blanket Hoodie Sweatshirt, Dog Pattern</t>
        </is>
      </c>
      <c r="C1313" t="inlineStr">
        <is>
          <t>1CTOSH300S1GYDOG-FS</t>
        </is>
      </c>
      <c r="D1313" t="inlineStr">
        <is>
          <t>Sweatshirts &amp; Hoodies</t>
        </is>
      </c>
      <c r="E1313" t="inlineStr">
        <is>
          <t>Catalonia</t>
        </is>
      </c>
      <c r="G1313" s="48" t="n">
        <v>0</v>
      </c>
      <c r="H1313" s="49" t="n">
        <v>0</v>
      </c>
      <c r="I1313" s="49" t="n">
        <v>0</v>
      </c>
      <c r="J1313" s="50" t="n">
        <v>0</v>
      </c>
      <c r="K1313" s="51" t="n">
        <v>0</v>
      </c>
      <c r="L1313" s="52" t="n">
        <v>0</v>
      </c>
      <c r="M1313" s="52" t="n">
        <v>0</v>
      </c>
      <c r="N1313" s="52" t="n">
        <v>0</v>
      </c>
      <c r="O1313" s="53" t="n">
        <v>0</v>
      </c>
      <c r="P1313" s="52" t="n">
        <v>0</v>
      </c>
      <c r="Q1313" s="53" t="n">
        <v>0</v>
      </c>
      <c r="R1313" s="52" t="n">
        <v>0</v>
      </c>
      <c r="S1313" s="51" t="n">
        <v>0</v>
      </c>
      <c r="T1313" s="48" t="n">
        <v>0</v>
      </c>
      <c r="U1313" s="49" t="n">
        <v>0</v>
      </c>
      <c r="V1313" s="49" t="n">
        <v>0</v>
      </c>
      <c r="W1313" s="50" t="n">
        <v>0</v>
      </c>
      <c r="X1313" s="51" t="n">
        <v>0</v>
      </c>
      <c r="Y1313" s="52" t="n">
        <v>0</v>
      </c>
      <c r="Z1313" s="52" t="n">
        <v>0</v>
      </c>
      <c r="AA1313" s="52" t="n">
        <v>0</v>
      </c>
      <c r="AB1313" s="53" t="n">
        <v>0</v>
      </c>
      <c r="AC1313" s="52" t="n">
        <v>0</v>
      </c>
      <c r="AD1313" s="53" t="n">
        <v>0</v>
      </c>
      <c r="AE1313" s="52" t="n">
        <v>0</v>
      </c>
      <c r="AF1313" s="51" t="n">
        <v>0</v>
      </c>
      <c r="AG1313" s="48" t="n">
        <v>0</v>
      </c>
      <c r="AH1313" s="49" t="n">
        <v>0</v>
      </c>
      <c r="AI1313" s="49" t="n">
        <v>0</v>
      </c>
      <c r="AJ1313" s="50" t="n">
        <v>0</v>
      </c>
      <c r="AK1313" s="51" t="n">
        <v>0</v>
      </c>
      <c r="AL1313" s="52" t="n">
        <v>0</v>
      </c>
      <c r="AM1313" s="52" t="n">
        <v>0</v>
      </c>
      <c r="AN1313" s="52" t="n">
        <v>0</v>
      </c>
      <c r="AO1313" s="53" t="n">
        <v>0</v>
      </c>
      <c r="AP1313" s="52" t="n">
        <v>0</v>
      </c>
      <c r="AQ1313" s="53" t="n">
        <v>0</v>
      </c>
      <c r="AR1313" s="52" t="n">
        <v>0</v>
      </c>
      <c r="AS1313" s="51" t="n">
        <v>0</v>
      </c>
      <c r="AT1313" s="48" t="n">
        <v>0</v>
      </c>
      <c r="AU1313" s="49" t="n">
        <v>0</v>
      </c>
      <c r="AV1313" s="49" t="n">
        <v>0</v>
      </c>
      <c r="AW1313" s="50" t="n">
        <v>0</v>
      </c>
      <c r="AX1313" s="51" t="n">
        <v>0</v>
      </c>
      <c r="AY1313" s="52" t="n">
        <v>0</v>
      </c>
      <c r="AZ1313" s="52" t="n">
        <v>0</v>
      </c>
      <c r="BA1313" s="52" t="n">
        <v>0</v>
      </c>
      <c r="BB1313" s="53" t="n">
        <v>0</v>
      </c>
      <c r="BC1313" s="52" t="n">
        <v>0</v>
      </c>
      <c r="BD1313" s="53" t="n">
        <v>0</v>
      </c>
      <c r="BE1313" s="52" t="n">
        <v>0</v>
      </c>
      <c r="BF1313" s="51" t="n">
        <v>0</v>
      </c>
    </row>
    <row r="1314">
      <c r="A1314">
        <f>HYPERLINK("https://www.walmart.com/ip/14508550385", "14508550385")</f>
        <v/>
      </c>
      <c r="B1314" t="inlineStr">
        <is>
          <t>PEANUTS Womens 100% Cotton Family Matching Pajamas Holiday Festive Nightwear Sleepwear 2-Piece Sets for Christmas Gifts (Green Polka Dot, S)</t>
        </is>
      </c>
      <c r="C1314" t="inlineStr">
        <is>
          <t>PEA-PJS-FAMILY-WOMEN-GREEN-S</t>
        </is>
      </c>
      <c r="D1314" t="inlineStr">
        <is>
          <t>Pajamas</t>
        </is>
      </c>
      <c r="E1314" t="inlineStr">
        <is>
          <t>Peanuts</t>
        </is>
      </c>
      <c r="G1314" s="48" t="n">
        <v>0</v>
      </c>
      <c r="H1314" s="49" t="n">
        <v>0</v>
      </c>
      <c r="I1314" s="49" t="n">
        <v>0</v>
      </c>
      <c r="J1314" s="50" t="n">
        <v>0</v>
      </c>
      <c r="K1314" s="51" t="n">
        <v>0</v>
      </c>
      <c r="L1314" s="52" t="n">
        <v>0</v>
      </c>
      <c r="M1314" s="52" t="n">
        <v>0</v>
      </c>
      <c r="N1314" s="52" t="n">
        <v>0</v>
      </c>
      <c r="O1314" s="53" t="n">
        <v>0</v>
      </c>
      <c r="P1314" s="52" t="n">
        <v>0</v>
      </c>
      <c r="Q1314" s="53" t="n">
        <v>0</v>
      </c>
      <c r="R1314" s="52" t="n">
        <v>0</v>
      </c>
      <c r="S1314" s="51" t="n">
        <v>0</v>
      </c>
      <c r="T1314" s="48" t="n">
        <v>0</v>
      </c>
      <c r="U1314" s="49" t="n">
        <v>0</v>
      </c>
      <c r="V1314" s="49" t="n">
        <v>0</v>
      </c>
      <c r="W1314" s="50" t="n">
        <v>0</v>
      </c>
      <c r="X1314" s="51" t="n">
        <v>0</v>
      </c>
      <c r="Y1314" s="52" t="n">
        <v>0</v>
      </c>
      <c r="Z1314" s="52" t="n">
        <v>0</v>
      </c>
      <c r="AA1314" s="52" t="n">
        <v>0</v>
      </c>
      <c r="AB1314" s="53" t="n">
        <v>0</v>
      </c>
      <c r="AC1314" s="52" t="n">
        <v>0</v>
      </c>
      <c r="AD1314" s="53" t="n">
        <v>0</v>
      </c>
      <c r="AE1314" s="52" t="n">
        <v>0</v>
      </c>
      <c r="AF1314" s="51" t="n">
        <v>0</v>
      </c>
      <c r="AG1314" s="48" t="n">
        <v>0</v>
      </c>
      <c r="AH1314" s="49" t="n">
        <v>0</v>
      </c>
      <c r="AI1314" s="49" t="n">
        <v>0</v>
      </c>
      <c r="AJ1314" s="50" t="n">
        <v>0</v>
      </c>
      <c r="AK1314" s="51" t="n">
        <v>0</v>
      </c>
      <c r="AL1314" s="52" t="n">
        <v>0</v>
      </c>
      <c r="AM1314" s="52" t="n">
        <v>0</v>
      </c>
      <c r="AN1314" s="52" t="n">
        <v>0</v>
      </c>
      <c r="AO1314" s="53" t="n">
        <v>0</v>
      </c>
      <c r="AP1314" s="52" t="n">
        <v>0</v>
      </c>
      <c r="AQ1314" s="53" t="n">
        <v>0</v>
      </c>
      <c r="AR1314" s="52" t="n">
        <v>0</v>
      </c>
      <c r="AS1314" s="51" t="n">
        <v>0</v>
      </c>
      <c r="AT1314" s="48" t="n">
        <v>0</v>
      </c>
      <c r="AU1314" s="49" t="n">
        <v>0</v>
      </c>
      <c r="AV1314" s="49" t="n">
        <v>0</v>
      </c>
      <c r="AW1314" s="50" t="n">
        <v>0</v>
      </c>
      <c r="AX1314" s="51" t="n">
        <v>0</v>
      </c>
      <c r="AY1314" s="52" t="n">
        <v>0</v>
      </c>
      <c r="AZ1314" s="52" t="n">
        <v>0</v>
      </c>
      <c r="BA1314" s="52" t="n">
        <v>0</v>
      </c>
      <c r="BB1314" s="53" t="n">
        <v>0</v>
      </c>
      <c r="BC1314" s="52" t="n">
        <v>0</v>
      </c>
      <c r="BD1314" s="53" t="n">
        <v>0</v>
      </c>
      <c r="BE1314" s="52" t="n">
        <v>0</v>
      </c>
      <c r="BF1314" s="51" t="n">
        <v>0</v>
      </c>
    </row>
    <row r="1315">
      <c r="A1315">
        <f>HYPERLINK("https://www.walmart.com/ip/14508600270", "14508600270")</f>
        <v/>
      </c>
      <c r="B1315" t="inlineStr">
        <is>
          <t>PEANUTS Womens 100% Cotton Family Matching Pajamas Holiday Festive Nightwear Sleepwear 2-Piece Sets for Christmas Gifts (Red Polka Dot, XL)</t>
        </is>
      </c>
      <c r="C1315" t="inlineStr">
        <is>
          <t>PEA-PJS-FAMILY-WOMEN-RED-XL</t>
        </is>
      </c>
      <c r="D1315" t="inlineStr">
        <is>
          <t>Pajamas</t>
        </is>
      </c>
      <c r="E1315" t="inlineStr">
        <is>
          <t>Peanuts</t>
        </is>
      </c>
      <c r="G1315" s="48" t="n">
        <v>0</v>
      </c>
      <c r="H1315" s="49" t="n">
        <v>0</v>
      </c>
      <c r="I1315" s="49" t="n">
        <v>0</v>
      </c>
      <c r="J1315" s="50" t="n">
        <v>0</v>
      </c>
      <c r="K1315" s="51" t="n">
        <v>0</v>
      </c>
      <c r="L1315" s="52" t="n">
        <v>0</v>
      </c>
      <c r="M1315" s="52" t="n">
        <v>0</v>
      </c>
      <c r="N1315" s="52" t="n">
        <v>0</v>
      </c>
      <c r="O1315" s="53" t="n">
        <v>0</v>
      </c>
      <c r="P1315" s="52" t="n">
        <v>0</v>
      </c>
      <c r="Q1315" s="53" t="n">
        <v>0</v>
      </c>
      <c r="R1315" s="52" t="n">
        <v>0</v>
      </c>
      <c r="S1315" s="51" t="n">
        <v>0</v>
      </c>
      <c r="T1315" s="48" t="n">
        <v>0</v>
      </c>
      <c r="U1315" s="49" t="n">
        <v>0</v>
      </c>
      <c r="V1315" s="49" t="n">
        <v>0</v>
      </c>
      <c r="W1315" s="50" t="n">
        <v>0</v>
      </c>
      <c r="X1315" s="51" t="n">
        <v>0</v>
      </c>
      <c r="Y1315" s="52" t="n">
        <v>0</v>
      </c>
      <c r="Z1315" s="52" t="n">
        <v>0</v>
      </c>
      <c r="AA1315" s="52" t="n">
        <v>0</v>
      </c>
      <c r="AB1315" s="53" t="n">
        <v>0</v>
      </c>
      <c r="AC1315" s="52" t="n">
        <v>0</v>
      </c>
      <c r="AD1315" s="53" t="n">
        <v>0</v>
      </c>
      <c r="AE1315" s="52" t="n">
        <v>0</v>
      </c>
      <c r="AF1315" s="51" t="n">
        <v>0</v>
      </c>
      <c r="AG1315" s="48" t="n">
        <v>0</v>
      </c>
      <c r="AH1315" s="49" t="n">
        <v>0</v>
      </c>
      <c r="AI1315" s="49" t="n">
        <v>0</v>
      </c>
      <c r="AJ1315" s="50" t="n">
        <v>0</v>
      </c>
      <c r="AK1315" s="51" t="n">
        <v>0</v>
      </c>
      <c r="AL1315" s="52" t="n">
        <v>0</v>
      </c>
      <c r="AM1315" s="52" t="n">
        <v>0</v>
      </c>
      <c r="AN1315" s="52" t="n">
        <v>0</v>
      </c>
      <c r="AO1315" s="53" t="n">
        <v>0</v>
      </c>
      <c r="AP1315" s="52" t="n">
        <v>0</v>
      </c>
      <c r="AQ1315" s="53" t="n">
        <v>0</v>
      </c>
      <c r="AR1315" s="52" t="n">
        <v>0</v>
      </c>
      <c r="AS1315" s="51" t="n">
        <v>0</v>
      </c>
      <c r="AT1315" s="48" t="n">
        <v>0</v>
      </c>
      <c r="AU1315" s="49" t="n">
        <v>0</v>
      </c>
      <c r="AV1315" s="49" t="n">
        <v>0</v>
      </c>
      <c r="AW1315" s="50" t="n">
        <v>0</v>
      </c>
      <c r="AX1315" s="51" t="n">
        <v>0</v>
      </c>
      <c r="AY1315" s="52" t="n">
        <v>0</v>
      </c>
      <c r="AZ1315" s="52" t="n">
        <v>0</v>
      </c>
      <c r="BA1315" s="52" t="n">
        <v>0</v>
      </c>
      <c r="BB1315" s="53" t="n">
        <v>0</v>
      </c>
      <c r="BC1315" s="52" t="n">
        <v>0</v>
      </c>
      <c r="BD1315" s="53" t="n">
        <v>0</v>
      </c>
      <c r="BE1315" s="52" t="n">
        <v>0</v>
      </c>
      <c r="BF1315" s="51" t="n">
        <v>0</v>
      </c>
    </row>
    <row r="1316">
      <c r="A1316">
        <f>HYPERLINK("https://www.walmart.com/ip/14509171581", "14509171581")</f>
        <v/>
      </c>
      <c r="B1316" t="inlineStr">
        <is>
          <t>PEANUTS Toddler Boys Girls Snoopy Family Matching Pajamas Sleepwear 2-Piece Sets for Christmas with Woodstock Charlie Brown Linus (Red Polka Dot, 2T)</t>
        </is>
      </c>
      <c r="C1316" t="inlineStr">
        <is>
          <t>PEA-PJS-FAMILY-TODDLER-RED-2T</t>
        </is>
      </c>
      <c r="D1316" t="inlineStr">
        <is>
          <t>Pajamas</t>
        </is>
      </c>
      <c r="E1316" t="inlineStr">
        <is>
          <t>Peanuts</t>
        </is>
      </c>
      <c r="G1316" s="48" t="n">
        <v>0</v>
      </c>
      <c r="H1316" s="49" t="n">
        <v>0</v>
      </c>
      <c r="I1316" s="49" t="n">
        <v>0</v>
      </c>
      <c r="J1316" s="50" t="n">
        <v>0</v>
      </c>
      <c r="K1316" s="51" t="n">
        <v>0</v>
      </c>
      <c r="L1316" s="52" t="n">
        <v>0</v>
      </c>
      <c r="M1316" s="52" t="n">
        <v>0</v>
      </c>
      <c r="N1316" s="52" t="n">
        <v>0</v>
      </c>
      <c r="O1316" s="53" t="n">
        <v>0</v>
      </c>
      <c r="P1316" s="52" t="n">
        <v>0</v>
      </c>
      <c r="Q1316" s="53" t="n">
        <v>0</v>
      </c>
      <c r="R1316" s="52" t="n">
        <v>0</v>
      </c>
      <c r="S1316" s="51" t="n">
        <v>0</v>
      </c>
      <c r="T1316" s="48" t="n">
        <v>0</v>
      </c>
      <c r="U1316" s="49" t="n">
        <v>0</v>
      </c>
      <c r="V1316" s="49" t="n">
        <v>0</v>
      </c>
      <c r="W1316" s="50" t="n">
        <v>0</v>
      </c>
      <c r="X1316" s="51" t="n">
        <v>0</v>
      </c>
      <c r="Y1316" s="52" t="n">
        <v>0</v>
      </c>
      <c r="Z1316" s="52" t="n">
        <v>0</v>
      </c>
      <c r="AA1316" s="52" t="n">
        <v>0</v>
      </c>
      <c r="AB1316" s="53" t="n">
        <v>0</v>
      </c>
      <c r="AC1316" s="52" t="n">
        <v>0</v>
      </c>
      <c r="AD1316" s="53" t="n">
        <v>0</v>
      </c>
      <c r="AE1316" s="52" t="n">
        <v>0</v>
      </c>
      <c r="AF1316" s="51" t="n">
        <v>0</v>
      </c>
      <c r="AG1316" s="48" t="n">
        <v>0</v>
      </c>
      <c r="AH1316" s="49" t="n">
        <v>0</v>
      </c>
      <c r="AI1316" s="49" t="n">
        <v>0</v>
      </c>
      <c r="AJ1316" s="50" t="n">
        <v>0</v>
      </c>
      <c r="AK1316" s="51" t="n">
        <v>0</v>
      </c>
      <c r="AL1316" s="52" t="n">
        <v>0</v>
      </c>
      <c r="AM1316" s="52" t="n">
        <v>0</v>
      </c>
      <c r="AN1316" s="52" t="n">
        <v>0</v>
      </c>
      <c r="AO1316" s="53" t="n">
        <v>0</v>
      </c>
      <c r="AP1316" s="52" t="n">
        <v>0</v>
      </c>
      <c r="AQ1316" s="53" t="n">
        <v>0</v>
      </c>
      <c r="AR1316" s="52" t="n">
        <v>0</v>
      </c>
      <c r="AS1316" s="51" t="n">
        <v>0</v>
      </c>
      <c r="AT1316" s="48" t="n">
        <v>0</v>
      </c>
      <c r="AU1316" s="49" t="n">
        <v>0</v>
      </c>
      <c r="AV1316" s="49" t="n">
        <v>0</v>
      </c>
      <c r="AW1316" s="50" t="n">
        <v>0</v>
      </c>
      <c r="AX1316" s="51" t="n">
        <v>0</v>
      </c>
      <c r="AY1316" s="52" t="n">
        <v>0</v>
      </c>
      <c r="AZ1316" s="52" t="n">
        <v>0</v>
      </c>
      <c r="BA1316" s="52" t="n">
        <v>0</v>
      </c>
      <c r="BB1316" s="53" t="n">
        <v>0</v>
      </c>
      <c r="BC1316" s="52" t="n">
        <v>0</v>
      </c>
      <c r="BD1316" s="53" t="n">
        <v>0</v>
      </c>
      <c r="BE1316" s="52" t="n">
        <v>0</v>
      </c>
      <c r="BF1316" s="51" t="n">
        <v>0</v>
      </c>
    </row>
    <row r="1317">
      <c r="A1317">
        <f>HYPERLINK("https://www.walmart.com/ip/1451015655", "1451015655")</f>
        <v/>
      </c>
      <c r="B1317" t="inlineStr">
        <is>
          <t>Catalonia Oversized Hoodie Blanket with Zipper, Wearable Sherpa Sweatshirt Pullover, Soft Warm Comfortable Jacket for Adults Men Women, Red Checkered</t>
        </is>
      </c>
      <c r="C1317" t="inlineStr">
        <is>
          <t>1CTHD220P2RD</t>
        </is>
      </c>
      <c r="D1317" t="inlineStr">
        <is>
          <t>Sweatshirts &amp; Hoodies</t>
        </is>
      </c>
      <c r="E1317" t="inlineStr">
        <is>
          <t>Catalonia</t>
        </is>
      </c>
      <c r="F1317" t="inlineStr">
        <is>
          <t>Coupon_Discount</t>
        </is>
      </c>
      <c r="G1317" s="48" t="n">
        <v>0</v>
      </c>
      <c r="H1317" s="49" t="n">
        <v>0</v>
      </c>
      <c r="I1317" s="49" t="n">
        <v>0</v>
      </c>
      <c r="J1317" s="50" t="n">
        <v>0</v>
      </c>
      <c r="K1317" s="51" t="n">
        <v>0</v>
      </c>
      <c r="L1317" s="52" t="n">
        <v>0</v>
      </c>
      <c r="M1317" s="52" t="n">
        <v>0</v>
      </c>
      <c r="N1317" s="52" t="n">
        <v>0</v>
      </c>
      <c r="O1317" s="53" t="n">
        <v>0</v>
      </c>
      <c r="P1317" s="52" t="n">
        <v>0</v>
      </c>
      <c r="Q1317" s="53" t="n">
        <v>0</v>
      </c>
      <c r="R1317" s="52" t="n">
        <v>0</v>
      </c>
      <c r="S1317" s="51" t="n">
        <v>0</v>
      </c>
      <c r="T1317" s="48" t="n">
        <v>0</v>
      </c>
      <c r="U1317" s="49" t="n">
        <v>0</v>
      </c>
      <c r="V1317" s="49" t="n">
        <v>0</v>
      </c>
      <c r="W1317" s="50" t="n">
        <v>0</v>
      </c>
      <c r="X1317" s="51" t="n">
        <v>0</v>
      </c>
      <c r="Y1317" s="52" t="n">
        <v>0</v>
      </c>
      <c r="Z1317" s="52" t="n">
        <v>0</v>
      </c>
      <c r="AA1317" s="52" t="n">
        <v>0</v>
      </c>
      <c r="AB1317" s="53" t="n">
        <v>0</v>
      </c>
      <c r="AC1317" s="52" t="n">
        <v>0</v>
      </c>
      <c r="AD1317" s="53" t="n">
        <v>0</v>
      </c>
      <c r="AE1317" s="52" t="n">
        <v>0</v>
      </c>
      <c r="AF1317" s="51" t="n">
        <v>0</v>
      </c>
      <c r="AG1317" s="48" t="n">
        <v>0</v>
      </c>
      <c r="AH1317" s="49" t="n">
        <v>0</v>
      </c>
      <c r="AI1317" s="49" t="n">
        <v>0</v>
      </c>
      <c r="AJ1317" s="50" t="n">
        <v>0</v>
      </c>
      <c r="AK1317" s="51" t="n">
        <v>0</v>
      </c>
      <c r="AL1317" s="52" t="n">
        <v>0</v>
      </c>
      <c r="AM1317" s="52" t="n">
        <v>0</v>
      </c>
      <c r="AN1317" s="52" t="n">
        <v>0</v>
      </c>
      <c r="AO1317" s="53" t="n">
        <v>0</v>
      </c>
      <c r="AP1317" s="52" t="n">
        <v>0</v>
      </c>
      <c r="AQ1317" s="53" t="n">
        <v>0</v>
      </c>
      <c r="AR1317" s="52" t="n">
        <v>0</v>
      </c>
      <c r="AS1317" s="51" t="n">
        <v>0</v>
      </c>
      <c r="AT1317" s="48" t="n">
        <v>0</v>
      </c>
      <c r="AU1317" s="49" t="n">
        <v>0</v>
      </c>
      <c r="AV1317" s="49" t="n">
        <v>0</v>
      </c>
      <c r="AW1317" s="50" t="n">
        <v>0</v>
      </c>
      <c r="AX1317" s="51" t="n">
        <v>0</v>
      </c>
      <c r="AY1317" s="52" t="n">
        <v>0</v>
      </c>
      <c r="AZ1317" s="52" t="n">
        <v>0</v>
      </c>
      <c r="BA1317" s="52" t="n">
        <v>0</v>
      </c>
      <c r="BB1317" s="53" t="n">
        <v>0</v>
      </c>
      <c r="BC1317" s="52" t="n">
        <v>0</v>
      </c>
      <c r="BD1317" s="53" t="n">
        <v>0</v>
      </c>
      <c r="BE1317" s="52" t="n">
        <v>0</v>
      </c>
      <c r="BF1317" s="51" t="n">
        <v>0</v>
      </c>
    </row>
    <row r="1318">
      <c r="A1318">
        <f>HYPERLINK("https://www.walmart.com/ip/14510259690", "14510259690")</f>
        <v/>
      </c>
      <c r="B1318" t="inlineStr">
        <is>
          <t>PEANUTS Snoopy 100% Cotton Family Matching Pajamas Holiday 2-Piece Sets for Christmas with Woodstock Charlie Brown Linus for Baby (Red Polka Dot, 12M)</t>
        </is>
      </c>
      <c r="C1318" t="inlineStr">
        <is>
          <t>PEA-PJS-FAMILY-INFANT-RED-12M</t>
        </is>
      </c>
      <c r="D1318" t="inlineStr">
        <is>
          <t>Pajamas</t>
        </is>
      </c>
      <c r="E1318" t="inlineStr">
        <is>
          <t>Peanuts</t>
        </is>
      </c>
      <c r="G1318" s="48" t="n">
        <v>0</v>
      </c>
      <c r="H1318" s="49" t="n">
        <v>0</v>
      </c>
      <c r="I1318" s="49" t="n">
        <v>0</v>
      </c>
      <c r="J1318" s="50" t="n">
        <v>0</v>
      </c>
      <c r="K1318" s="51" t="n">
        <v>0</v>
      </c>
      <c r="L1318" s="52" t="n">
        <v>0</v>
      </c>
      <c r="M1318" s="52" t="n">
        <v>0</v>
      </c>
      <c r="N1318" s="52" t="n">
        <v>0</v>
      </c>
      <c r="O1318" s="53" t="n">
        <v>0</v>
      </c>
      <c r="P1318" s="52" t="n">
        <v>0</v>
      </c>
      <c r="Q1318" s="53" t="n">
        <v>0</v>
      </c>
      <c r="R1318" s="52" t="n">
        <v>0</v>
      </c>
      <c r="S1318" s="51" t="n">
        <v>0</v>
      </c>
      <c r="T1318" s="48" t="n">
        <v>0</v>
      </c>
      <c r="U1318" s="49" t="n">
        <v>0</v>
      </c>
      <c r="V1318" s="49" t="n">
        <v>0</v>
      </c>
      <c r="W1318" s="50" t="n">
        <v>0</v>
      </c>
      <c r="X1318" s="51" t="n">
        <v>0</v>
      </c>
      <c r="Y1318" s="52" t="n">
        <v>0</v>
      </c>
      <c r="Z1318" s="52" t="n">
        <v>0</v>
      </c>
      <c r="AA1318" s="52" t="n">
        <v>0</v>
      </c>
      <c r="AB1318" s="53" t="n">
        <v>0</v>
      </c>
      <c r="AC1318" s="52" t="n">
        <v>0</v>
      </c>
      <c r="AD1318" s="53" t="n">
        <v>0</v>
      </c>
      <c r="AE1318" s="52" t="n">
        <v>0</v>
      </c>
      <c r="AF1318" s="51" t="n">
        <v>0</v>
      </c>
      <c r="AG1318" s="48" t="n">
        <v>0</v>
      </c>
      <c r="AH1318" s="49" t="n">
        <v>0</v>
      </c>
      <c r="AI1318" s="49" t="n">
        <v>0</v>
      </c>
      <c r="AJ1318" s="50" t="n">
        <v>0</v>
      </c>
      <c r="AK1318" s="51" t="n">
        <v>0</v>
      </c>
      <c r="AL1318" s="52" t="n">
        <v>0</v>
      </c>
      <c r="AM1318" s="52" t="n">
        <v>0</v>
      </c>
      <c r="AN1318" s="52" t="n">
        <v>0</v>
      </c>
      <c r="AO1318" s="53" t="n">
        <v>0</v>
      </c>
      <c r="AP1318" s="52" t="n">
        <v>0</v>
      </c>
      <c r="AQ1318" s="53" t="n">
        <v>0</v>
      </c>
      <c r="AR1318" s="52" t="n">
        <v>0</v>
      </c>
      <c r="AS1318" s="51" t="n">
        <v>0</v>
      </c>
      <c r="AT1318" s="48" t="n">
        <v>0</v>
      </c>
      <c r="AU1318" s="49" t="n">
        <v>0</v>
      </c>
      <c r="AV1318" s="49" t="n">
        <v>0</v>
      </c>
      <c r="AW1318" s="50" t="n">
        <v>0</v>
      </c>
      <c r="AX1318" s="51" t="n">
        <v>0</v>
      </c>
      <c r="AY1318" s="52" t="n">
        <v>0</v>
      </c>
      <c r="AZ1318" s="52" t="n">
        <v>0</v>
      </c>
      <c r="BA1318" s="52" t="n">
        <v>0</v>
      </c>
      <c r="BB1318" s="53" t="n">
        <v>0</v>
      </c>
      <c r="BC1318" s="52" t="n">
        <v>0</v>
      </c>
      <c r="BD1318" s="53" t="n">
        <v>0</v>
      </c>
      <c r="BE1318" s="52" t="n">
        <v>0</v>
      </c>
      <c r="BF1318" s="51" t="n">
        <v>0</v>
      </c>
    </row>
    <row r="1319">
      <c r="A1319">
        <f>HYPERLINK("https://www.walmart.com/ip/14510359194", "14510359194")</f>
        <v/>
      </c>
      <c r="B1319" t="inlineStr">
        <is>
          <t>PEANUTS Snoopy 100% Cotton Family Matching Pajamas Holiday 2-Piece Sets for Christmas with Woodstock Charlie Brown Linus for Baby (Black Plaid, 6M)</t>
        </is>
      </c>
      <c r="C1319" t="inlineStr">
        <is>
          <t>PEA-PJS-FAMILY-INFANT-BLACKPLAID-6M</t>
        </is>
      </c>
      <c r="D1319" t="inlineStr">
        <is>
          <t>Pajamas</t>
        </is>
      </c>
      <c r="E1319" t="inlineStr">
        <is>
          <t>Peanuts</t>
        </is>
      </c>
      <c r="G1319" s="48" t="n">
        <v>0</v>
      </c>
      <c r="H1319" s="49" t="n">
        <v>0</v>
      </c>
      <c r="I1319" s="49" t="n">
        <v>0</v>
      </c>
      <c r="J1319" s="50" t="n">
        <v>0</v>
      </c>
      <c r="K1319" s="51" t="n">
        <v>0</v>
      </c>
      <c r="L1319" s="52" t="n">
        <v>0</v>
      </c>
      <c r="M1319" s="52" t="n">
        <v>0</v>
      </c>
      <c r="N1319" s="52" t="n">
        <v>0</v>
      </c>
      <c r="O1319" s="53" t="n">
        <v>0</v>
      </c>
      <c r="P1319" s="52" t="n">
        <v>0</v>
      </c>
      <c r="Q1319" s="53" t="n">
        <v>0</v>
      </c>
      <c r="R1319" s="52" t="n">
        <v>0</v>
      </c>
      <c r="S1319" s="51" t="n">
        <v>0</v>
      </c>
      <c r="T1319" s="48" t="n">
        <v>0</v>
      </c>
      <c r="U1319" s="49" t="n">
        <v>0</v>
      </c>
      <c r="V1319" s="49" t="n">
        <v>0</v>
      </c>
      <c r="W1319" s="50" t="n">
        <v>0</v>
      </c>
      <c r="X1319" s="51" t="n">
        <v>0</v>
      </c>
      <c r="Y1319" s="52" t="n">
        <v>0</v>
      </c>
      <c r="Z1319" s="52" t="n">
        <v>0</v>
      </c>
      <c r="AA1319" s="52" t="n">
        <v>0</v>
      </c>
      <c r="AB1319" s="53" t="n">
        <v>0</v>
      </c>
      <c r="AC1319" s="52" t="n">
        <v>0</v>
      </c>
      <c r="AD1319" s="53" t="n">
        <v>0</v>
      </c>
      <c r="AE1319" s="52" t="n">
        <v>0</v>
      </c>
      <c r="AF1319" s="51" t="n">
        <v>0</v>
      </c>
      <c r="AG1319" s="48" t="n">
        <v>0</v>
      </c>
      <c r="AH1319" s="49" t="n">
        <v>0</v>
      </c>
      <c r="AI1319" s="49" t="n">
        <v>0</v>
      </c>
      <c r="AJ1319" s="50" t="n">
        <v>0</v>
      </c>
      <c r="AK1319" s="51" t="n">
        <v>0</v>
      </c>
      <c r="AL1319" s="52" t="n">
        <v>0</v>
      </c>
      <c r="AM1319" s="52" t="n">
        <v>0</v>
      </c>
      <c r="AN1319" s="52" t="n">
        <v>0</v>
      </c>
      <c r="AO1319" s="53" t="n">
        <v>0</v>
      </c>
      <c r="AP1319" s="52" t="n">
        <v>0</v>
      </c>
      <c r="AQ1319" s="53" t="n">
        <v>0</v>
      </c>
      <c r="AR1319" s="52" t="n">
        <v>0</v>
      </c>
      <c r="AS1319" s="51" t="n">
        <v>0</v>
      </c>
      <c r="AT1319" s="48" t="n">
        <v>0</v>
      </c>
      <c r="AU1319" s="49" t="n">
        <v>0</v>
      </c>
      <c r="AV1319" s="49" t="n">
        <v>0</v>
      </c>
      <c r="AW1319" s="50" t="n">
        <v>0</v>
      </c>
      <c r="AX1319" s="51" t="n">
        <v>0</v>
      </c>
      <c r="AY1319" s="52" t="n">
        <v>0</v>
      </c>
      <c r="AZ1319" s="52" t="n">
        <v>0</v>
      </c>
      <c r="BA1319" s="52" t="n">
        <v>0</v>
      </c>
      <c r="BB1319" s="53" t="n">
        <v>0</v>
      </c>
      <c r="BC1319" s="52" t="n">
        <v>0</v>
      </c>
      <c r="BD1319" s="53" t="n">
        <v>0</v>
      </c>
      <c r="BE1319" s="52" t="n">
        <v>0</v>
      </c>
      <c r="BF1319" s="51" t="n">
        <v>0</v>
      </c>
    </row>
    <row r="1320">
      <c r="A1320">
        <f>HYPERLINK("https://www.walmart.com/ip/14510674941", "14510674941")</f>
        <v/>
      </c>
      <c r="B1320" t="inlineStr">
        <is>
          <t>PEANUTS Mens' Cotton Snoopy Family Matching Pajamas 2-Piece Sets for Christmas with Woodstock Charlie Brown Linus, Gift for him (Black Plaid, S)</t>
        </is>
      </c>
      <c r="C1320" t="inlineStr">
        <is>
          <t>PEA-PJS-FAMILY-MEN-BLACKPLAID-S</t>
        </is>
      </c>
      <c r="D1320" t="inlineStr">
        <is>
          <t>Pajamas</t>
        </is>
      </c>
      <c r="E1320" t="inlineStr">
        <is>
          <t>Peanuts</t>
        </is>
      </c>
      <c r="G1320" s="48" t="n">
        <v>0</v>
      </c>
      <c r="H1320" s="49" t="n">
        <v>0</v>
      </c>
      <c r="I1320" s="49" t="n">
        <v>0</v>
      </c>
      <c r="J1320" s="50" t="n">
        <v>0</v>
      </c>
      <c r="K1320" s="51" t="n">
        <v>0</v>
      </c>
      <c r="L1320" s="52" t="n">
        <v>0</v>
      </c>
      <c r="M1320" s="52" t="n">
        <v>0</v>
      </c>
      <c r="N1320" s="52" t="n">
        <v>0</v>
      </c>
      <c r="O1320" s="53" t="n">
        <v>0</v>
      </c>
      <c r="P1320" s="52" t="n">
        <v>0</v>
      </c>
      <c r="Q1320" s="53" t="n">
        <v>0</v>
      </c>
      <c r="R1320" s="52" t="n">
        <v>0</v>
      </c>
      <c r="S1320" s="51" t="n">
        <v>0</v>
      </c>
      <c r="T1320" s="48" t="n">
        <v>0</v>
      </c>
      <c r="U1320" s="49" t="n">
        <v>0</v>
      </c>
      <c r="V1320" s="49" t="n">
        <v>0</v>
      </c>
      <c r="W1320" s="50" t="n">
        <v>0</v>
      </c>
      <c r="X1320" s="51" t="n">
        <v>0</v>
      </c>
      <c r="Y1320" s="52" t="n">
        <v>0</v>
      </c>
      <c r="Z1320" s="52" t="n">
        <v>0</v>
      </c>
      <c r="AA1320" s="52" t="n">
        <v>0</v>
      </c>
      <c r="AB1320" s="53" t="n">
        <v>0</v>
      </c>
      <c r="AC1320" s="52" t="n">
        <v>0</v>
      </c>
      <c r="AD1320" s="53" t="n">
        <v>0</v>
      </c>
      <c r="AE1320" s="52" t="n">
        <v>0</v>
      </c>
      <c r="AF1320" s="51" t="n">
        <v>0</v>
      </c>
      <c r="AG1320" s="48" t="n">
        <v>0</v>
      </c>
      <c r="AH1320" s="49" t="n">
        <v>0</v>
      </c>
      <c r="AI1320" s="49" t="n">
        <v>0</v>
      </c>
      <c r="AJ1320" s="50" t="n">
        <v>0</v>
      </c>
      <c r="AK1320" s="51" t="n">
        <v>0</v>
      </c>
      <c r="AL1320" s="52" t="n">
        <v>0</v>
      </c>
      <c r="AM1320" s="52" t="n">
        <v>0</v>
      </c>
      <c r="AN1320" s="52" t="n">
        <v>0</v>
      </c>
      <c r="AO1320" s="53" t="n">
        <v>0</v>
      </c>
      <c r="AP1320" s="52" t="n">
        <v>0</v>
      </c>
      <c r="AQ1320" s="53" t="n">
        <v>0</v>
      </c>
      <c r="AR1320" s="52" t="n">
        <v>0</v>
      </c>
      <c r="AS1320" s="51" t="n">
        <v>0</v>
      </c>
      <c r="AT1320" s="48" t="n">
        <v>0</v>
      </c>
      <c r="AU1320" s="49" t="n">
        <v>0</v>
      </c>
      <c r="AV1320" s="49" t="n">
        <v>0</v>
      </c>
      <c r="AW1320" s="50" t="n">
        <v>0</v>
      </c>
      <c r="AX1320" s="51" t="n">
        <v>0</v>
      </c>
      <c r="AY1320" s="52" t="n">
        <v>0</v>
      </c>
      <c r="AZ1320" s="52" t="n">
        <v>0</v>
      </c>
      <c r="BA1320" s="52" t="n">
        <v>0</v>
      </c>
      <c r="BB1320" s="53" t="n">
        <v>0</v>
      </c>
      <c r="BC1320" s="52" t="n">
        <v>0</v>
      </c>
      <c r="BD1320" s="53" t="n">
        <v>0</v>
      </c>
      <c r="BE1320" s="52" t="n">
        <v>0</v>
      </c>
      <c r="BF1320" s="51" t="n">
        <v>0</v>
      </c>
    </row>
    <row r="1321">
      <c r="A1321">
        <f>HYPERLINK("https://www.walmart.com/ip/14510674943", "14510674943")</f>
        <v/>
      </c>
      <c r="B1321" t="inlineStr">
        <is>
          <t>PEANUTS Womens 100% Cotton Family Matching Pajamas Holiday Festive Nightwear Sleepwear 2-Piece Sets for Christmas Gifts (Black Plaid, XS)</t>
        </is>
      </c>
      <c r="C1321" t="inlineStr">
        <is>
          <t>PEA-PJS-FAMILY-WOMEN-BLACKPLAID-XS</t>
        </is>
      </c>
      <c r="D1321" t="inlineStr">
        <is>
          <t>Pajamas</t>
        </is>
      </c>
      <c r="E1321" t="inlineStr">
        <is>
          <t>Peanuts</t>
        </is>
      </c>
      <c r="G1321" s="48" t="n">
        <v>0</v>
      </c>
      <c r="H1321" s="49" t="n">
        <v>0</v>
      </c>
      <c r="I1321" s="49" t="n">
        <v>0</v>
      </c>
      <c r="J1321" s="50" t="n">
        <v>0</v>
      </c>
      <c r="K1321" s="51" t="n">
        <v>0</v>
      </c>
      <c r="L1321" s="52" t="n">
        <v>0</v>
      </c>
      <c r="M1321" s="52" t="n">
        <v>0</v>
      </c>
      <c r="N1321" s="52" t="n">
        <v>0</v>
      </c>
      <c r="O1321" s="53" t="n">
        <v>0</v>
      </c>
      <c r="P1321" s="52" t="n">
        <v>0</v>
      </c>
      <c r="Q1321" s="53" t="n">
        <v>0</v>
      </c>
      <c r="R1321" s="52" t="n">
        <v>0</v>
      </c>
      <c r="S1321" s="51" t="n">
        <v>0</v>
      </c>
      <c r="T1321" s="48" t="n">
        <v>0</v>
      </c>
      <c r="U1321" s="49" t="n">
        <v>0</v>
      </c>
      <c r="V1321" s="49" t="n">
        <v>0</v>
      </c>
      <c r="W1321" s="50" t="n">
        <v>0</v>
      </c>
      <c r="X1321" s="51" t="n">
        <v>0</v>
      </c>
      <c r="Y1321" s="52" t="n">
        <v>0</v>
      </c>
      <c r="Z1321" s="52" t="n">
        <v>0</v>
      </c>
      <c r="AA1321" s="52" t="n">
        <v>0</v>
      </c>
      <c r="AB1321" s="53" t="n">
        <v>0</v>
      </c>
      <c r="AC1321" s="52" t="n">
        <v>0</v>
      </c>
      <c r="AD1321" s="53" t="n">
        <v>0</v>
      </c>
      <c r="AE1321" s="52" t="n">
        <v>0</v>
      </c>
      <c r="AF1321" s="51" t="n">
        <v>0</v>
      </c>
      <c r="AG1321" s="48" t="n">
        <v>0</v>
      </c>
      <c r="AH1321" s="49" t="n">
        <v>0</v>
      </c>
      <c r="AI1321" s="49" t="n">
        <v>0</v>
      </c>
      <c r="AJ1321" s="50" t="n">
        <v>0</v>
      </c>
      <c r="AK1321" s="51" t="n">
        <v>0</v>
      </c>
      <c r="AL1321" s="52" t="n">
        <v>0</v>
      </c>
      <c r="AM1321" s="52" t="n">
        <v>0</v>
      </c>
      <c r="AN1321" s="52" t="n">
        <v>0</v>
      </c>
      <c r="AO1321" s="53" t="n">
        <v>0</v>
      </c>
      <c r="AP1321" s="52" t="n">
        <v>0</v>
      </c>
      <c r="AQ1321" s="53" t="n">
        <v>0</v>
      </c>
      <c r="AR1321" s="52" t="n">
        <v>0</v>
      </c>
      <c r="AS1321" s="51" t="n">
        <v>0</v>
      </c>
      <c r="AT1321" s="48" t="n">
        <v>0</v>
      </c>
      <c r="AU1321" s="49" t="n">
        <v>0</v>
      </c>
      <c r="AV1321" s="49" t="n">
        <v>0</v>
      </c>
      <c r="AW1321" s="50" t="n">
        <v>0</v>
      </c>
      <c r="AX1321" s="51" t="n">
        <v>0</v>
      </c>
      <c r="AY1321" s="52" t="n">
        <v>0</v>
      </c>
      <c r="AZ1321" s="52" t="n">
        <v>0</v>
      </c>
      <c r="BA1321" s="52" t="n">
        <v>0</v>
      </c>
      <c r="BB1321" s="53" t="n">
        <v>0</v>
      </c>
      <c r="BC1321" s="52" t="n">
        <v>0</v>
      </c>
      <c r="BD1321" s="53" t="n">
        <v>0</v>
      </c>
      <c r="BE1321" s="52" t="n">
        <v>0</v>
      </c>
      <c r="BF1321" s="51" t="n">
        <v>0</v>
      </c>
    </row>
    <row r="1322">
      <c r="A1322">
        <f>HYPERLINK("https://www.walmart.com/ip/14511051595", "14511051595")</f>
        <v/>
      </c>
      <c r="B1322" t="inlineStr">
        <is>
          <t>Aeropostale  Backpack for School, College, and Travel， Water Resistant Bookbag Lilac BOBA</t>
        </is>
      </c>
      <c r="C1322" t="inlineStr">
        <is>
          <t>1AEBPK92029LLBOBA</t>
        </is>
      </c>
      <c r="D1322" t="inlineStr">
        <is>
          <t>Backpacks</t>
        </is>
      </c>
      <c r="E1322" t="inlineStr">
        <is>
          <t>Aeropostale</t>
        </is>
      </c>
      <c r="G1322" s="48" t="n">
        <v>0</v>
      </c>
      <c r="H1322" s="49" t="n">
        <v>0</v>
      </c>
      <c r="I1322" s="49" t="n">
        <v>0</v>
      </c>
      <c r="J1322" s="50" t="n">
        <v>0</v>
      </c>
      <c r="K1322" s="51" t="n">
        <v>0</v>
      </c>
      <c r="L1322" s="52" t="n">
        <v>0</v>
      </c>
      <c r="M1322" s="52" t="n">
        <v>0</v>
      </c>
      <c r="N1322" s="52" t="n">
        <v>0</v>
      </c>
      <c r="O1322" s="53" t="n">
        <v>0</v>
      </c>
      <c r="P1322" s="52" t="n">
        <v>0</v>
      </c>
      <c r="Q1322" s="53" t="n">
        <v>0</v>
      </c>
      <c r="R1322" s="52" t="n">
        <v>0</v>
      </c>
      <c r="S1322" s="51" t="n">
        <v>0</v>
      </c>
      <c r="T1322" s="48" t="n">
        <v>0</v>
      </c>
      <c r="U1322" s="49" t="n">
        <v>0</v>
      </c>
      <c r="V1322" s="49" t="n">
        <v>0</v>
      </c>
      <c r="W1322" s="50" t="n">
        <v>0</v>
      </c>
      <c r="X1322" s="51" t="n">
        <v>0</v>
      </c>
      <c r="Y1322" s="52" t="n">
        <v>0</v>
      </c>
      <c r="Z1322" s="52" t="n">
        <v>0</v>
      </c>
      <c r="AA1322" s="52" t="n">
        <v>0</v>
      </c>
      <c r="AB1322" s="53" t="n">
        <v>0</v>
      </c>
      <c r="AC1322" s="52" t="n">
        <v>0</v>
      </c>
      <c r="AD1322" s="53" t="n">
        <v>0</v>
      </c>
      <c r="AE1322" s="52" t="n">
        <v>0</v>
      </c>
      <c r="AF1322" s="51" t="n">
        <v>0</v>
      </c>
      <c r="AG1322" s="48" t="n">
        <v>0</v>
      </c>
      <c r="AH1322" s="49" t="n">
        <v>0</v>
      </c>
      <c r="AI1322" s="49" t="n">
        <v>0</v>
      </c>
      <c r="AJ1322" s="50" t="n">
        <v>0</v>
      </c>
      <c r="AK1322" s="51" t="n">
        <v>0</v>
      </c>
      <c r="AL1322" s="52" t="n">
        <v>0</v>
      </c>
      <c r="AM1322" s="52" t="n">
        <v>0</v>
      </c>
      <c r="AN1322" s="52" t="n">
        <v>0</v>
      </c>
      <c r="AO1322" s="53" t="n">
        <v>0</v>
      </c>
      <c r="AP1322" s="52" t="n">
        <v>0</v>
      </c>
      <c r="AQ1322" s="53" t="n">
        <v>0</v>
      </c>
      <c r="AR1322" s="52" t="n">
        <v>0</v>
      </c>
      <c r="AS1322" s="51" t="n">
        <v>0</v>
      </c>
      <c r="AT1322" s="48" t="n">
        <v>0</v>
      </c>
      <c r="AU1322" s="49" t="n">
        <v>0</v>
      </c>
      <c r="AV1322" s="49" t="n">
        <v>0</v>
      </c>
      <c r="AW1322" s="50" t="n">
        <v>0</v>
      </c>
      <c r="AX1322" s="51" t="n">
        <v>0</v>
      </c>
      <c r="AY1322" s="52" t="n">
        <v>0</v>
      </c>
      <c r="AZ1322" s="52" t="n">
        <v>0</v>
      </c>
      <c r="BA1322" s="52" t="n">
        <v>0</v>
      </c>
      <c r="BB1322" s="53" t="n">
        <v>0</v>
      </c>
      <c r="BC1322" s="52" t="n">
        <v>0</v>
      </c>
      <c r="BD1322" s="53" t="n">
        <v>0</v>
      </c>
      <c r="BE1322" s="52" t="n">
        <v>0</v>
      </c>
      <c r="BF1322" s="51" t="n">
        <v>0</v>
      </c>
    </row>
    <row r="1323">
      <c r="A1323">
        <f>HYPERLINK("https://www.walmart.com/ip/14505655144", "14505655144")</f>
        <v/>
      </c>
      <c r="B1323" t="inlineStr">
        <is>
          <t>Womens Oversized Flannel Blanket Hoodie Sweatshirt, Plush Fleece Lined Lounging Pullover, Christmas Gift for Women (Cheetah) - Catalonia</t>
        </is>
      </c>
      <c r="C1323" t="inlineStr">
        <is>
          <t>1CTOSH400CHEETAH-FS</t>
        </is>
      </c>
      <c r="D1323" t="inlineStr">
        <is>
          <t>Sweatshirts &amp; Hoodies</t>
        </is>
      </c>
      <c r="E1323" t="inlineStr">
        <is>
          <t>Catalonia</t>
        </is>
      </c>
      <c r="G1323" s="48" t="n">
        <v>0</v>
      </c>
      <c r="H1323" s="49" t="n">
        <v>0</v>
      </c>
      <c r="I1323" s="49" t="n">
        <v>0</v>
      </c>
      <c r="J1323" s="50" t="n">
        <v>0</v>
      </c>
      <c r="K1323" s="51" t="n">
        <v>0</v>
      </c>
      <c r="L1323" s="52" t="n">
        <v>0</v>
      </c>
      <c r="M1323" s="52" t="n">
        <v>0</v>
      </c>
      <c r="N1323" s="52" t="n">
        <v>0</v>
      </c>
      <c r="O1323" s="53" t="n">
        <v>0</v>
      </c>
      <c r="P1323" s="52" t="n">
        <v>0</v>
      </c>
      <c r="Q1323" s="53" t="n">
        <v>0</v>
      </c>
      <c r="R1323" s="52" t="n">
        <v>0</v>
      </c>
      <c r="S1323" s="51" t="n">
        <v>0</v>
      </c>
      <c r="T1323" s="48" t="n">
        <v>0</v>
      </c>
      <c r="U1323" s="49" t="n">
        <v>0</v>
      </c>
      <c r="V1323" s="49" t="n">
        <v>0</v>
      </c>
      <c r="W1323" s="50" t="n">
        <v>0</v>
      </c>
      <c r="X1323" s="51" t="n">
        <v>0</v>
      </c>
      <c r="Y1323" s="52" t="n">
        <v>0</v>
      </c>
      <c r="Z1323" s="52" t="n">
        <v>0</v>
      </c>
      <c r="AA1323" s="52" t="n">
        <v>0</v>
      </c>
      <c r="AB1323" s="53" t="n">
        <v>0</v>
      </c>
      <c r="AC1323" s="52" t="n">
        <v>0</v>
      </c>
      <c r="AD1323" s="53" t="n">
        <v>0</v>
      </c>
      <c r="AE1323" s="52" t="n">
        <v>0</v>
      </c>
      <c r="AF1323" s="51" t="n">
        <v>0</v>
      </c>
      <c r="AG1323" s="48" t="n">
        <v>0</v>
      </c>
      <c r="AH1323" s="49" t="n">
        <v>0</v>
      </c>
      <c r="AI1323" s="49" t="n">
        <v>0</v>
      </c>
      <c r="AJ1323" s="50" t="n">
        <v>0</v>
      </c>
      <c r="AK1323" s="51" t="n">
        <v>0</v>
      </c>
      <c r="AL1323" s="52" t="n">
        <v>0</v>
      </c>
      <c r="AM1323" s="52" t="n">
        <v>0</v>
      </c>
      <c r="AN1323" s="52" t="n">
        <v>0</v>
      </c>
      <c r="AO1323" s="53" t="n">
        <v>0</v>
      </c>
      <c r="AP1323" s="52" t="n">
        <v>0</v>
      </c>
      <c r="AQ1323" s="53" t="n">
        <v>0</v>
      </c>
      <c r="AR1323" s="52" t="n">
        <v>0</v>
      </c>
      <c r="AS1323" s="51" t="n">
        <v>0</v>
      </c>
      <c r="AT1323" s="48" t="n">
        <v>0</v>
      </c>
      <c r="AU1323" s="49" t="n">
        <v>0</v>
      </c>
      <c r="AV1323" s="49" t="n">
        <v>0</v>
      </c>
      <c r="AW1323" s="50" t="n">
        <v>0</v>
      </c>
      <c r="AX1323" s="51" t="n">
        <v>0</v>
      </c>
      <c r="AY1323" s="52" t="n">
        <v>0</v>
      </c>
      <c r="AZ1323" s="52" t="n">
        <v>0</v>
      </c>
      <c r="BA1323" s="52" t="n">
        <v>0</v>
      </c>
      <c r="BB1323" s="53" t="n">
        <v>0</v>
      </c>
      <c r="BC1323" s="52" t="n">
        <v>0</v>
      </c>
      <c r="BD1323" s="53" t="n">
        <v>0</v>
      </c>
      <c r="BE1323" s="52" t="n">
        <v>0</v>
      </c>
      <c r="BF1323" s="51" t="n">
        <v>0</v>
      </c>
    </row>
    <row r="1324">
      <c r="A1324">
        <f>HYPERLINK("https://www.walmart.com/ip/14505610982", "14505610982")</f>
        <v/>
      </c>
      <c r="B1324" t="inlineStr">
        <is>
          <t>Womens Oversized Flannel Blanket Hoodie Sweatshirt, Plush Fleece Lined Lounging Pullover, Christmas Gift for Women (Black) - Catalonia</t>
        </is>
      </c>
      <c r="C1324" t="inlineStr">
        <is>
          <t>1CTOSH310S1PK-FS</t>
        </is>
      </c>
      <c r="D1324" t="inlineStr">
        <is>
          <t>Sweatshirts &amp; Hoodies</t>
        </is>
      </c>
      <c r="E1324" t="inlineStr">
        <is>
          <t>Catalonia</t>
        </is>
      </c>
      <c r="G1324" s="48" t="n">
        <v>0</v>
      </c>
      <c r="H1324" s="49" t="n">
        <v>0</v>
      </c>
      <c r="I1324" s="49" t="n">
        <v>0</v>
      </c>
      <c r="J1324" s="50" t="n">
        <v>0</v>
      </c>
      <c r="K1324" s="51" t="n">
        <v>0</v>
      </c>
      <c r="L1324" s="52" t="n">
        <v>0</v>
      </c>
      <c r="M1324" s="52" t="n">
        <v>0</v>
      </c>
      <c r="N1324" s="52" t="n">
        <v>0</v>
      </c>
      <c r="O1324" s="53" t="n">
        <v>0</v>
      </c>
      <c r="P1324" s="52" t="n">
        <v>0</v>
      </c>
      <c r="Q1324" s="53" t="n">
        <v>0</v>
      </c>
      <c r="R1324" s="52" t="n">
        <v>0</v>
      </c>
      <c r="S1324" s="51" t="n">
        <v>0</v>
      </c>
      <c r="T1324" s="48" t="n">
        <v>0</v>
      </c>
      <c r="U1324" s="49" t="n">
        <v>0</v>
      </c>
      <c r="V1324" s="49" t="n">
        <v>0</v>
      </c>
      <c r="W1324" s="50" t="n">
        <v>0</v>
      </c>
      <c r="X1324" s="51" t="n">
        <v>0</v>
      </c>
      <c r="Y1324" s="52" t="n">
        <v>0</v>
      </c>
      <c r="Z1324" s="52" t="n">
        <v>0</v>
      </c>
      <c r="AA1324" s="52" t="n">
        <v>0</v>
      </c>
      <c r="AB1324" s="53" t="n">
        <v>0</v>
      </c>
      <c r="AC1324" s="52" t="n">
        <v>0</v>
      </c>
      <c r="AD1324" s="53" t="n">
        <v>0</v>
      </c>
      <c r="AE1324" s="52" t="n">
        <v>0</v>
      </c>
      <c r="AF1324" s="51" t="n">
        <v>0</v>
      </c>
      <c r="AG1324" s="48" t="n">
        <v>0</v>
      </c>
      <c r="AH1324" s="49" t="n">
        <v>0</v>
      </c>
      <c r="AI1324" s="49" t="n">
        <v>0</v>
      </c>
      <c r="AJ1324" s="50" t="n">
        <v>0</v>
      </c>
      <c r="AK1324" s="51" t="n">
        <v>0</v>
      </c>
      <c r="AL1324" s="52" t="n">
        <v>0</v>
      </c>
      <c r="AM1324" s="52" t="n">
        <v>0</v>
      </c>
      <c r="AN1324" s="52" t="n">
        <v>0</v>
      </c>
      <c r="AO1324" s="53" t="n">
        <v>0</v>
      </c>
      <c r="AP1324" s="52" t="n">
        <v>0</v>
      </c>
      <c r="AQ1324" s="53" t="n">
        <v>0</v>
      </c>
      <c r="AR1324" s="52" t="n">
        <v>0</v>
      </c>
      <c r="AS1324" s="51" t="n">
        <v>0</v>
      </c>
      <c r="AT1324" s="48" t="n">
        <v>0</v>
      </c>
      <c r="AU1324" s="49" t="n">
        <v>0</v>
      </c>
      <c r="AV1324" s="49" t="n">
        <v>0</v>
      </c>
      <c r="AW1324" s="50" t="n">
        <v>0</v>
      </c>
      <c r="AX1324" s="51" t="n">
        <v>0</v>
      </c>
      <c r="AY1324" s="52" t="n">
        <v>0</v>
      </c>
      <c r="AZ1324" s="52" t="n">
        <v>0</v>
      </c>
      <c r="BA1324" s="52" t="n">
        <v>0</v>
      </c>
      <c r="BB1324" s="53" t="n">
        <v>0</v>
      </c>
      <c r="BC1324" s="52" t="n">
        <v>0</v>
      </c>
      <c r="BD1324" s="53" t="n">
        <v>0</v>
      </c>
      <c r="BE1324" s="52" t="n">
        <v>0</v>
      </c>
      <c r="BF1324" s="51" t="n">
        <v>0</v>
      </c>
    </row>
    <row r="1325">
      <c r="A1325">
        <f>HYPERLINK("https://www.walmart.com/ip/14514109808", "14514109808")</f>
        <v/>
      </c>
      <c r="B1325" t="inlineStr">
        <is>
          <t>PEANUTS Womens Family Matching Pajamas Comfy Cotton PJ Sleepwear 2-Piece Sets for Christmas with Woodstock Charlie Brown (Green Polka Dot, XL)</t>
        </is>
      </c>
      <c r="C1325" t="inlineStr">
        <is>
          <t>PEA-PJS-FAMILY-WOMEN-GREEN-XL</t>
        </is>
      </c>
      <c r="D1325" t="inlineStr">
        <is>
          <t>Pajamas</t>
        </is>
      </c>
      <c r="E1325" t="inlineStr">
        <is>
          <t>Peanuts</t>
        </is>
      </c>
      <c r="G1325" s="48" t="n">
        <v>0</v>
      </c>
      <c r="H1325" s="49" t="n">
        <v>0</v>
      </c>
      <c r="I1325" s="49" t="n">
        <v>0</v>
      </c>
      <c r="J1325" s="50" t="n">
        <v>0</v>
      </c>
      <c r="K1325" s="51" t="n">
        <v>0</v>
      </c>
      <c r="L1325" s="52" t="n">
        <v>0</v>
      </c>
      <c r="M1325" s="52" t="n">
        <v>0</v>
      </c>
      <c r="N1325" s="52" t="n">
        <v>0</v>
      </c>
      <c r="O1325" s="53" t="n">
        <v>0</v>
      </c>
      <c r="P1325" s="52" t="n">
        <v>0</v>
      </c>
      <c r="Q1325" s="53" t="n">
        <v>0</v>
      </c>
      <c r="R1325" s="52" t="n">
        <v>0</v>
      </c>
      <c r="S1325" s="51" t="n">
        <v>0</v>
      </c>
      <c r="T1325" s="48" t="n">
        <v>0</v>
      </c>
      <c r="U1325" s="49" t="n">
        <v>0</v>
      </c>
      <c r="V1325" s="49" t="n">
        <v>0</v>
      </c>
      <c r="W1325" s="50" t="n">
        <v>0</v>
      </c>
      <c r="X1325" s="51" t="n">
        <v>0</v>
      </c>
      <c r="Y1325" s="52" t="n">
        <v>0</v>
      </c>
      <c r="Z1325" s="52" t="n">
        <v>0</v>
      </c>
      <c r="AA1325" s="52" t="n">
        <v>0</v>
      </c>
      <c r="AB1325" s="53" t="n">
        <v>0</v>
      </c>
      <c r="AC1325" s="52" t="n">
        <v>0</v>
      </c>
      <c r="AD1325" s="53" t="n">
        <v>0</v>
      </c>
      <c r="AE1325" s="52" t="n">
        <v>0</v>
      </c>
      <c r="AF1325" s="51" t="n">
        <v>0</v>
      </c>
      <c r="AG1325" s="48" t="n">
        <v>0</v>
      </c>
      <c r="AH1325" s="49" t="n">
        <v>0</v>
      </c>
      <c r="AI1325" s="49" t="n">
        <v>0</v>
      </c>
      <c r="AJ1325" s="50" t="n">
        <v>0</v>
      </c>
      <c r="AK1325" s="51" t="n">
        <v>0</v>
      </c>
      <c r="AL1325" s="52" t="n">
        <v>0</v>
      </c>
      <c r="AM1325" s="52" t="n">
        <v>0</v>
      </c>
      <c r="AN1325" s="52" t="n">
        <v>0</v>
      </c>
      <c r="AO1325" s="53" t="n">
        <v>0</v>
      </c>
      <c r="AP1325" s="52" t="n">
        <v>0</v>
      </c>
      <c r="AQ1325" s="53" t="n">
        <v>0</v>
      </c>
      <c r="AR1325" s="52" t="n">
        <v>0</v>
      </c>
      <c r="AS1325" s="51" t="n">
        <v>0</v>
      </c>
      <c r="AT1325" s="48" t="n">
        <v>0</v>
      </c>
      <c r="AU1325" s="49" t="n">
        <v>0</v>
      </c>
      <c r="AV1325" s="49" t="n">
        <v>0</v>
      </c>
      <c r="AW1325" s="50" t="n">
        <v>0</v>
      </c>
      <c r="AX1325" s="51" t="n">
        <v>0</v>
      </c>
      <c r="AY1325" s="52" t="n">
        <v>0</v>
      </c>
      <c r="AZ1325" s="52" t="n">
        <v>0</v>
      </c>
      <c r="BA1325" s="52" t="n">
        <v>0</v>
      </c>
      <c r="BB1325" s="53" t="n">
        <v>0</v>
      </c>
      <c r="BC1325" s="52" t="n">
        <v>0</v>
      </c>
      <c r="BD1325" s="53" t="n">
        <v>0</v>
      </c>
      <c r="BE1325" s="52" t="n">
        <v>0</v>
      </c>
      <c r="BF1325" s="51" t="n">
        <v>0</v>
      </c>
    </row>
    <row r="1326">
      <c r="A1326">
        <f>HYPERLINK("https://www.walmart.com/ip/14505610242", "14505610242")</f>
        <v/>
      </c>
      <c r="B1326" t="inlineStr">
        <is>
          <t>Catalonia Women's Hoodie Sweatshirt, Casual Pullover Sweater with front Pocket, Womens Fall Winter Clothing, Blanket Hoodie Sweatshirt, Cotton Candy</t>
        </is>
      </c>
      <c r="C1326" t="inlineStr">
        <is>
          <t>1CTOSH300S1COTTONCANDY-FS</t>
        </is>
      </c>
      <c r="D1326" t="inlineStr">
        <is>
          <t>Sweatshirts &amp; Hoodies</t>
        </is>
      </c>
      <c r="E1326" t="inlineStr">
        <is>
          <t>Catalonia</t>
        </is>
      </c>
      <c r="G1326" s="48" t="n">
        <v>0</v>
      </c>
      <c r="H1326" s="49" t="n">
        <v>0</v>
      </c>
      <c r="I1326" s="49" t="n">
        <v>0</v>
      </c>
      <c r="J1326" s="50" t="n">
        <v>0</v>
      </c>
      <c r="K1326" s="51" t="n">
        <v>0</v>
      </c>
      <c r="L1326" s="52" t="n">
        <v>0</v>
      </c>
      <c r="M1326" s="52" t="n">
        <v>0</v>
      </c>
      <c r="N1326" s="52" t="n">
        <v>0</v>
      </c>
      <c r="O1326" s="53" t="n">
        <v>0</v>
      </c>
      <c r="P1326" s="52" t="n">
        <v>0</v>
      </c>
      <c r="Q1326" s="53" t="n">
        <v>0</v>
      </c>
      <c r="R1326" s="52" t="n">
        <v>0</v>
      </c>
      <c r="S1326" s="51" t="n">
        <v>0</v>
      </c>
      <c r="T1326" s="48" t="n">
        <v>0</v>
      </c>
      <c r="U1326" s="49" t="n">
        <v>0</v>
      </c>
      <c r="V1326" s="49" t="n">
        <v>0</v>
      </c>
      <c r="W1326" s="50" t="n">
        <v>0</v>
      </c>
      <c r="X1326" s="51" t="n">
        <v>0</v>
      </c>
      <c r="Y1326" s="52" t="n">
        <v>0</v>
      </c>
      <c r="Z1326" s="52" t="n">
        <v>0</v>
      </c>
      <c r="AA1326" s="52" t="n">
        <v>0</v>
      </c>
      <c r="AB1326" s="53" t="n">
        <v>0</v>
      </c>
      <c r="AC1326" s="52" t="n">
        <v>0</v>
      </c>
      <c r="AD1326" s="53" t="n">
        <v>0</v>
      </c>
      <c r="AE1326" s="52" t="n">
        <v>0</v>
      </c>
      <c r="AF1326" s="51" t="n">
        <v>0</v>
      </c>
      <c r="AG1326" s="48" t="n">
        <v>0</v>
      </c>
      <c r="AH1326" s="49" t="n">
        <v>0</v>
      </c>
      <c r="AI1326" s="49" t="n">
        <v>0</v>
      </c>
      <c r="AJ1326" s="50" t="n">
        <v>0</v>
      </c>
      <c r="AK1326" s="51" t="n">
        <v>0</v>
      </c>
      <c r="AL1326" s="52" t="n">
        <v>0</v>
      </c>
      <c r="AM1326" s="52" t="n">
        <v>0</v>
      </c>
      <c r="AN1326" s="52" t="n">
        <v>0</v>
      </c>
      <c r="AO1326" s="53" t="n">
        <v>0</v>
      </c>
      <c r="AP1326" s="52" t="n">
        <v>0</v>
      </c>
      <c r="AQ1326" s="53" t="n">
        <v>0</v>
      </c>
      <c r="AR1326" s="52" t="n">
        <v>0</v>
      </c>
      <c r="AS1326" s="51" t="n">
        <v>0</v>
      </c>
      <c r="AT1326" s="48" t="n">
        <v>0</v>
      </c>
      <c r="AU1326" s="49" t="n">
        <v>0</v>
      </c>
      <c r="AV1326" s="49" t="n">
        <v>0</v>
      </c>
      <c r="AW1326" s="50" t="n">
        <v>0</v>
      </c>
      <c r="AX1326" s="51" t="n">
        <v>0</v>
      </c>
      <c r="AY1326" s="52" t="n">
        <v>0</v>
      </c>
      <c r="AZ1326" s="52" t="n">
        <v>0</v>
      </c>
      <c r="BA1326" s="52" t="n">
        <v>0</v>
      </c>
      <c r="BB1326" s="53" t="n">
        <v>0</v>
      </c>
      <c r="BC1326" s="52" t="n">
        <v>0</v>
      </c>
      <c r="BD1326" s="53" t="n">
        <v>0</v>
      </c>
      <c r="BE1326" s="52" t="n">
        <v>0</v>
      </c>
      <c r="BF1326" s="51" t="n">
        <v>0</v>
      </c>
    </row>
    <row r="1327">
      <c r="A1327">
        <f>HYPERLINK("https://www.walmart.com/ip/14489068821", "14489068821")</f>
        <v/>
      </c>
      <c r="B1327" t="inlineStr">
        <is>
          <t>Tirrinia Womens' Hoodie Blanket Sweatshirt, Oversized Comfortable Fleece Giant Wearable Blankets, Hoodie Blanket for Men, Gift for Her Him, Latte</t>
        </is>
      </c>
      <c r="C1327" t="inlineStr">
        <is>
          <t>1TROSH400LT-FS</t>
        </is>
      </c>
      <c r="D1327" t="inlineStr">
        <is>
          <t>Sweatshirts &amp; Hoodies</t>
        </is>
      </c>
      <c r="E1327" t="inlineStr">
        <is>
          <t>Tirrinia</t>
        </is>
      </c>
      <c r="G1327" s="48" t="n">
        <v>0</v>
      </c>
      <c r="H1327" s="49" t="n">
        <v>0</v>
      </c>
      <c r="I1327" s="49" t="n">
        <v>0</v>
      </c>
      <c r="J1327" s="50" t="n">
        <v>0</v>
      </c>
      <c r="K1327" s="51" t="n">
        <v>0</v>
      </c>
      <c r="L1327" s="52" t="n">
        <v>0</v>
      </c>
      <c r="M1327" s="52" t="n">
        <v>0</v>
      </c>
      <c r="N1327" s="52" t="n">
        <v>0</v>
      </c>
      <c r="O1327" s="53" t="n">
        <v>0</v>
      </c>
      <c r="P1327" s="52" t="n">
        <v>0</v>
      </c>
      <c r="Q1327" s="53" t="n">
        <v>0</v>
      </c>
      <c r="R1327" s="52" t="n">
        <v>0</v>
      </c>
      <c r="S1327" s="51" t="n">
        <v>0</v>
      </c>
      <c r="T1327" s="48" t="n">
        <v>0</v>
      </c>
      <c r="U1327" s="49" t="n">
        <v>0</v>
      </c>
      <c r="V1327" s="49" t="n">
        <v>0</v>
      </c>
      <c r="W1327" s="50" t="n">
        <v>0</v>
      </c>
      <c r="X1327" s="51" t="n">
        <v>0</v>
      </c>
      <c r="Y1327" s="52" t="n">
        <v>0</v>
      </c>
      <c r="Z1327" s="52" t="n">
        <v>0</v>
      </c>
      <c r="AA1327" s="52" t="n">
        <v>0</v>
      </c>
      <c r="AB1327" s="53" t="n">
        <v>0</v>
      </c>
      <c r="AC1327" s="52" t="n">
        <v>0</v>
      </c>
      <c r="AD1327" s="53" t="n">
        <v>0</v>
      </c>
      <c r="AE1327" s="52" t="n">
        <v>0</v>
      </c>
      <c r="AF1327" s="51" t="n">
        <v>0</v>
      </c>
      <c r="AG1327" s="48" t="n">
        <v>0</v>
      </c>
      <c r="AH1327" s="49" t="n">
        <v>0</v>
      </c>
      <c r="AI1327" s="49" t="n">
        <v>0</v>
      </c>
      <c r="AJ1327" s="50" t="n">
        <v>0</v>
      </c>
      <c r="AK1327" s="51" t="n">
        <v>0</v>
      </c>
      <c r="AL1327" s="52" t="n">
        <v>0</v>
      </c>
      <c r="AM1327" s="52" t="n">
        <v>0</v>
      </c>
      <c r="AN1327" s="52" t="n">
        <v>0</v>
      </c>
      <c r="AO1327" s="53" t="n">
        <v>0</v>
      </c>
      <c r="AP1327" s="52" t="n">
        <v>0</v>
      </c>
      <c r="AQ1327" s="53" t="n">
        <v>0</v>
      </c>
      <c r="AR1327" s="52" t="n">
        <v>0</v>
      </c>
      <c r="AS1327" s="51" t="n">
        <v>0</v>
      </c>
      <c r="AT1327" s="48" t="n">
        <v>0</v>
      </c>
      <c r="AU1327" s="49" t="n">
        <v>0</v>
      </c>
      <c r="AV1327" s="49" t="n">
        <v>0</v>
      </c>
      <c r="AW1327" s="50" t="n">
        <v>0</v>
      </c>
      <c r="AX1327" s="51" t="n">
        <v>0</v>
      </c>
      <c r="AY1327" s="52" t="n">
        <v>0</v>
      </c>
      <c r="AZ1327" s="52" t="n">
        <v>0</v>
      </c>
      <c r="BA1327" s="52" t="n">
        <v>0</v>
      </c>
      <c r="BB1327" s="53" t="n">
        <v>0</v>
      </c>
      <c r="BC1327" s="52" t="n">
        <v>0</v>
      </c>
      <c r="BD1327" s="53" t="n">
        <v>0</v>
      </c>
      <c r="BE1327" s="52" t="n">
        <v>0</v>
      </c>
      <c r="BF1327" s="51" t="n">
        <v>0</v>
      </c>
    </row>
    <row r="1328">
      <c r="A1328">
        <f>HYPERLINK("https://www.walmart.com/ip/14489118467", "14489118467")</f>
        <v/>
      </c>
      <c r="B1328" t="inlineStr">
        <is>
          <t>Tirrinia Oversized Blanket Hoodie Sweatshirts, Wearable Fluffy Fleece Plush Blanket, Lightweight Cozy Sweatshirt Blanket Gift for Women Men, Black</t>
        </is>
      </c>
      <c r="C1328" t="inlineStr">
        <is>
          <t>1TROSH340PP-FS</t>
        </is>
      </c>
      <c r="D1328" t="inlineStr">
        <is>
          <t>Sweatshirts &amp; Hoodies</t>
        </is>
      </c>
      <c r="E1328" t="inlineStr">
        <is>
          <t>Tirrinia</t>
        </is>
      </c>
      <c r="G1328" s="48" t="n">
        <v>0</v>
      </c>
      <c r="H1328" s="49" t="n">
        <v>0</v>
      </c>
      <c r="I1328" s="49" t="n">
        <v>0</v>
      </c>
      <c r="J1328" s="50" t="n">
        <v>0</v>
      </c>
      <c r="K1328" s="51" t="n">
        <v>0</v>
      </c>
      <c r="L1328" s="52" t="n">
        <v>0</v>
      </c>
      <c r="M1328" s="52" t="n">
        <v>0</v>
      </c>
      <c r="N1328" s="52" t="n">
        <v>0</v>
      </c>
      <c r="O1328" s="53" t="n">
        <v>0</v>
      </c>
      <c r="P1328" s="52" t="n">
        <v>0</v>
      </c>
      <c r="Q1328" s="53" t="n">
        <v>0</v>
      </c>
      <c r="R1328" s="52" t="n">
        <v>0</v>
      </c>
      <c r="S1328" s="51" t="n">
        <v>0</v>
      </c>
      <c r="T1328" s="48" t="n">
        <v>0</v>
      </c>
      <c r="U1328" s="49" t="n">
        <v>0</v>
      </c>
      <c r="V1328" s="49" t="n">
        <v>0</v>
      </c>
      <c r="W1328" s="50" t="n">
        <v>0</v>
      </c>
      <c r="X1328" s="51" t="n">
        <v>0</v>
      </c>
      <c r="Y1328" s="52" t="n">
        <v>0</v>
      </c>
      <c r="Z1328" s="52" t="n">
        <v>0</v>
      </c>
      <c r="AA1328" s="52" t="n">
        <v>0</v>
      </c>
      <c r="AB1328" s="53" t="n">
        <v>0</v>
      </c>
      <c r="AC1328" s="52" t="n">
        <v>0</v>
      </c>
      <c r="AD1328" s="53" t="n">
        <v>0</v>
      </c>
      <c r="AE1328" s="52" t="n">
        <v>0</v>
      </c>
      <c r="AF1328" s="51" t="n">
        <v>0</v>
      </c>
      <c r="AG1328" s="48" t="n">
        <v>0</v>
      </c>
      <c r="AH1328" s="49" t="n">
        <v>0</v>
      </c>
      <c r="AI1328" s="49" t="n">
        <v>0</v>
      </c>
      <c r="AJ1328" s="50" t="n">
        <v>0</v>
      </c>
      <c r="AK1328" s="51" t="n">
        <v>0</v>
      </c>
      <c r="AL1328" s="52" t="n">
        <v>0</v>
      </c>
      <c r="AM1328" s="52" t="n">
        <v>0</v>
      </c>
      <c r="AN1328" s="52" t="n">
        <v>0</v>
      </c>
      <c r="AO1328" s="53" t="n">
        <v>0</v>
      </c>
      <c r="AP1328" s="52" t="n">
        <v>0</v>
      </c>
      <c r="AQ1328" s="53" t="n">
        <v>0</v>
      </c>
      <c r="AR1328" s="52" t="n">
        <v>0</v>
      </c>
      <c r="AS1328" s="51" t="n">
        <v>0</v>
      </c>
      <c r="AT1328" s="48" t="n">
        <v>0</v>
      </c>
      <c r="AU1328" s="49" t="n">
        <v>0</v>
      </c>
      <c r="AV1328" s="49" t="n">
        <v>0</v>
      </c>
      <c r="AW1328" s="50" t="n">
        <v>0</v>
      </c>
      <c r="AX1328" s="51" t="n">
        <v>0</v>
      </c>
      <c r="AY1328" s="52" t="n">
        <v>0</v>
      </c>
      <c r="AZ1328" s="52" t="n">
        <v>0</v>
      </c>
      <c r="BA1328" s="52" t="n">
        <v>0</v>
      </c>
      <c r="BB1328" s="53" t="n">
        <v>0</v>
      </c>
      <c r="BC1328" s="52" t="n">
        <v>0</v>
      </c>
      <c r="BD1328" s="53" t="n">
        <v>0</v>
      </c>
      <c r="BE1328" s="52" t="n">
        <v>0</v>
      </c>
      <c r="BF1328" s="51" t="n">
        <v>0</v>
      </c>
    </row>
    <row r="1329">
      <c r="A1329">
        <f>HYPERLINK("https://www.walmart.com/ip/144903691", "144903691")</f>
        <v/>
      </c>
      <c r="B1329" t="inlineStr">
        <is>
          <t>Women's Plus Size Floral Lace Mesh Chemise Sleepwear and G-string</t>
        </is>
      </c>
      <c r="C1329" t="inlineStr">
        <is>
          <t>JWBD05BK-XL</t>
        </is>
      </c>
      <c r="D1329" t="inlineStr">
        <is>
          <t>Lingerie Sets</t>
        </is>
      </c>
      <c r="E1329" t="inlineStr">
        <is>
          <t>JenniWears</t>
        </is>
      </c>
      <c r="F1329" t="inlineStr">
        <is>
          <t>Optimized,Valentine</t>
        </is>
      </c>
      <c r="G1329" s="48" t="n">
        <v>0</v>
      </c>
      <c r="H1329" s="49" t="n">
        <v>0</v>
      </c>
      <c r="I1329" s="49" t="n">
        <v>0</v>
      </c>
      <c r="J1329" s="50" t="n">
        <v>0</v>
      </c>
      <c r="K1329" s="51" t="n">
        <v>0</v>
      </c>
      <c r="L1329" s="52" t="n">
        <v>0</v>
      </c>
      <c r="M1329" s="52" t="n">
        <v>0</v>
      </c>
      <c r="N1329" s="52" t="n">
        <v>0</v>
      </c>
      <c r="O1329" s="53" t="n">
        <v>0</v>
      </c>
      <c r="P1329" s="52" t="n">
        <v>0</v>
      </c>
      <c r="Q1329" s="53" t="n">
        <v>0</v>
      </c>
      <c r="R1329" s="52" t="n">
        <v>0</v>
      </c>
      <c r="S1329" s="51" t="n">
        <v>0</v>
      </c>
      <c r="T1329" s="48" t="n">
        <v>0</v>
      </c>
      <c r="U1329" s="49" t="n">
        <v>0</v>
      </c>
      <c r="V1329" s="49" t="n">
        <v>0</v>
      </c>
      <c r="W1329" s="50" t="n">
        <v>0</v>
      </c>
      <c r="X1329" s="51" t="n">
        <v>0</v>
      </c>
      <c r="Y1329" s="52" t="n">
        <v>0</v>
      </c>
      <c r="Z1329" s="52" t="n">
        <v>0</v>
      </c>
      <c r="AA1329" s="52" t="n">
        <v>0</v>
      </c>
      <c r="AB1329" s="53" t="n">
        <v>0</v>
      </c>
      <c r="AC1329" s="52" t="n">
        <v>0</v>
      </c>
      <c r="AD1329" s="53" t="n">
        <v>0</v>
      </c>
      <c r="AE1329" s="52" t="n">
        <v>0</v>
      </c>
      <c r="AF1329" s="51" t="n">
        <v>0</v>
      </c>
      <c r="AG1329" s="48" t="n">
        <v>0</v>
      </c>
      <c r="AH1329" s="49" t="n">
        <v>0</v>
      </c>
      <c r="AI1329" s="49" t="n">
        <v>0</v>
      </c>
      <c r="AJ1329" s="50" t="n">
        <v>0</v>
      </c>
      <c r="AK1329" s="51" t="n">
        <v>0</v>
      </c>
      <c r="AL1329" s="52" t="n">
        <v>0</v>
      </c>
      <c r="AM1329" s="52" t="n">
        <v>0</v>
      </c>
      <c r="AN1329" s="52" t="n">
        <v>0</v>
      </c>
      <c r="AO1329" s="53" t="n">
        <v>0</v>
      </c>
      <c r="AP1329" s="52" t="n">
        <v>0</v>
      </c>
      <c r="AQ1329" s="53" t="n">
        <v>0</v>
      </c>
      <c r="AR1329" s="52" t="n">
        <v>0</v>
      </c>
      <c r="AS1329" s="51" t="n">
        <v>0</v>
      </c>
      <c r="AT1329" s="48" t="n">
        <v>0</v>
      </c>
      <c r="AU1329" s="49" t="n">
        <v>0</v>
      </c>
      <c r="AV1329" s="49" t="n">
        <v>0</v>
      </c>
      <c r="AW1329" s="50" t="n">
        <v>0</v>
      </c>
      <c r="AX1329" s="51" t="n">
        <v>0</v>
      </c>
      <c r="AY1329" s="52" t="n">
        <v>0</v>
      </c>
      <c r="AZ1329" s="52" t="n">
        <v>0</v>
      </c>
      <c r="BA1329" s="52" t="n">
        <v>0</v>
      </c>
      <c r="BB1329" s="53" t="n">
        <v>0</v>
      </c>
      <c r="BC1329" s="52" t="n">
        <v>0</v>
      </c>
      <c r="BD1329" s="53" t="n">
        <v>0</v>
      </c>
      <c r="BE1329" s="52" t="n">
        <v>0</v>
      </c>
      <c r="BF1329" s="51" t="n">
        <v>0</v>
      </c>
    </row>
    <row r="1330">
      <c r="A1330">
        <f>HYPERLINK("https://www.walmart.com/ip/14490451678", "14490451678")</f>
        <v/>
      </c>
      <c r="B1330" t="inlineStr">
        <is>
          <t>PEANUTS Womens 100% Cotton Family Matching Pajamas Holiday Festive Nightwear Sleepwear 2-Piece Sets for Christmas Gifts (Red Plaid, S)</t>
        </is>
      </c>
      <c r="C1330" t="inlineStr">
        <is>
          <t>PEA-PJS-FAMILY-WOMEN-REDPLAID-S</t>
        </is>
      </c>
      <c r="D1330" t="inlineStr">
        <is>
          <t>Pajamas</t>
        </is>
      </c>
      <c r="E1330" t="inlineStr">
        <is>
          <t>Peanuts</t>
        </is>
      </c>
      <c r="G1330" s="48" t="n">
        <v>0</v>
      </c>
      <c r="H1330" s="49" t="n">
        <v>0</v>
      </c>
      <c r="I1330" s="49" t="n">
        <v>0</v>
      </c>
      <c r="J1330" s="50" t="n">
        <v>0</v>
      </c>
      <c r="K1330" s="51" t="n">
        <v>0</v>
      </c>
      <c r="L1330" s="52" t="n">
        <v>0</v>
      </c>
      <c r="M1330" s="52" t="n">
        <v>0</v>
      </c>
      <c r="N1330" s="52" t="n">
        <v>0</v>
      </c>
      <c r="O1330" s="53" t="n">
        <v>0</v>
      </c>
      <c r="P1330" s="52" t="n">
        <v>0</v>
      </c>
      <c r="Q1330" s="53" t="n">
        <v>0</v>
      </c>
      <c r="R1330" s="52" t="n">
        <v>0</v>
      </c>
      <c r="S1330" s="51" t="n">
        <v>0</v>
      </c>
      <c r="T1330" s="48" t="n">
        <v>0</v>
      </c>
      <c r="U1330" s="49" t="n">
        <v>0</v>
      </c>
      <c r="V1330" s="49" t="n">
        <v>0</v>
      </c>
      <c r="W1330" s="50" t="n">
        <v>0</v>
      </c>
      <c r="X1330" s="51" t="n">
        <v>0</v>
      </c>
      <c r="Y1330" s="52" t="n">
        <v>0</v>
      </c>
      <c r="Z1330" s="52" t="n">
        <v>0</v>
      </c>
      <c r="AA1330" s="52" t="n">
        <v>0</v>
      </c>
      <c r="AB1330" s="53" t="n">
        <v>0</v>
      </c>
      <c r="AC1330" s="52" t="n">
        <v>0</v>
      </c>
      <c r="AD1330" s="53" t="n">
        <v>0</v>
      </c>
      <c r="AE1330" s="52" t="n">
        <v>0</v>
      </c>
      <c r="AF1330" s="51" t="n">
        <v>0</v>
      </c>
      <c r="AG1330" s="48" t="n">
        <v>0</v>
      </c>
      <c r="AH1330" s="49" t="n">
        <v>0</v>
      </c>
      <c r="AI1330" s="49" t="n">
        <v>0</v>
      </c>
      <c r="AJ1330" s="50" t="n">
        <v>0</v>
      </c>
      <c r="AK1330" s="51" t="n">
        <v>0</v>
      </c>
      <c r="AL1330" s="52" t="n">
        <v>0</v>
      </c>
      <c r="AM1330" s="52" t="n">
        <v>0</v>
      </c>
      <c r="AN1330" s="52" t="n">
        <v>0</v>
      </c>
      <c r="AO1330" s="53" t="n">
        <v>0</v>
      </c>
      <c r="AP1330" s="52" t="n">
        <v>0</v>
      </c>
      <c r="AQ1330" s="53" t="n">
        <v>0</v>
      </c>
      <c r="AR1330" s="52" t="n">
        <v>0</v>
      </c>
      <c r="AS1330" s="51" t="n">
        <v>0</v>
      </c>
      <c r="AT1330" s="48" t="n">
        <v>0</v>
      </c>
      <c r="AU1330" s="49" t="n">
        <v>0</v>
      </c>
      <c r="AV1330" s="49" t="n">
        <v>0</v>
      </c>
      <c r="AW1330" s="50" t="n">
        <v>0</v>
      </c>
      <c r="AX1330" s="51" t="n">
        <v>0</v>
      </c>
      <c r="AY1330" s="52" t="n">
        <v>0</v>
      </c>
      <c r="AZ1330" s="52" t="n">
        <v>0</v>
      </c>
      <c r="BA1330" s="52" t="n">
        <v>0</v>
      </c>
      <c r="BB1330" s="53" t="n">
        <v>0</v>
      </c>
      <c r="BC1330" s="52" t="n">
        <v>0</v>
      </c>
      <c r="BD1330" s="53" t="n">
        <v>0</v>
      </c>
      <c r="BE1330" s="52" t="n">
        <v>0</v>
      </c>
      <c r="BF1330" s="51" t="n">
        <v>0</v>
      </c>
    </row>
    <row r="1331">
      <c r="A1331">
        <f>HYPERLINK("https://www.walmart.com/ip/14490551303", "14490551303")</f>
        <v/>
      </c>
      <c r="B1331" t="inlineStr">
        <is>
          <t>PEANUTS Mens' Cotton Snoopy Family Matching Pajamas 2-Piece Sets for Christmas with Woodstock Charlie Brown Linus, Gift for him (Red Polka Dot, S)</t>
        </is>
      </c>
      <c r="C1331" t="inlineStr">
        <is>
          <t>PEA-PJS-FAMILY-MEN-RED-S</t>
        </is>
      </c>
      <c r="D1331" t="inlineStr">
        <is>
          <t>Pajamas</t>
        </is>
      </c>
      <c r="E1331" t="inlineStr">
        <is>
          <t>Peanuts</t>
        </is>
      </c>
      <c r="G1331" s="48" t="n">
        <v>0</v>
      </c>
      <c r="H1331" s="49" t="n">
        <v>0</v>
      </c>
      <c r="I1331" s="49" t="n">
        <v>0</v>
      </c>
      <c r="J1331" s="50" t="n">
        <v>0</v>
      </c>
      <c r="K1331" s="51" t="n">
        <v>0</v>
      </c>
      <c r="L1331" s="52" t="n">
        <v>0</v>
      </c>
      <c r="M1331" s="52" t="n">
        <v>0</v>
      </c>
      <c r="N1331" s="52" t="n">
        <v>0</v>
      </c>
      <c r="O1331" s="53" t="n">
        <v>0</v>
      </c>
      <c r="P1331" s="52" t="n">
        <v>0</v>
      </c>
      <c r="Q1331" s="53" t="n">
        <v>0</v>
      </c>
      <c r="R1331" s="52" t="n">
        <v>0</v>
      </c>
      <c r="S1331" s="51" t="n">
        <v>0</v>
      </c>
      <c r="T1331" s="48" t="n">
        <v>0</v>
      </c>
      <c r="U1331" s="49" t="n">
        <v>0</v>
      </c>
      <c r="V1331" s="49" t="n">
        <v>0</v>
      </c>
      <c r="W1331" s="50" t="n">
        <v>0</v>
      </c>
      <c r="X1331" s="51" t="n">
        <v>0</v>
      </c>
      <c r="Y1331" s="52" t="n">
        <v>0</v>
      </c>
      <c r="Z1331" s="52" t="n">
        <v>0</v>
      </c>
      <c r="AA1331" s="52" t="n">
        <v>0</v>
      </c>
      <c r="AB1331" s="53" t="n">
        <v>0</v>
      </c>
      <c r="AC1331" s="52" t="n">
        <v>0</v>
      </c>
      <c r="AD1331" s="53" t="n">
        <v>0</v>
      </c>
      <c r="AE1331" s="52" t="n">
        <v>0</v>
      </c>
      <c r="AF1331" s="51" t="n">
        <v>0</v>
      </c>
      <c r="AG1331" s="48" t="n">
        <v>0</v>
      </c>
      <c r="AH1331" s="49" t="n">
        <v>0</v>
      </c>
      <c r="AI1331" s="49" t="n">
        <v>0</v>
      </c>
      <c r="AJ1331" s="50" t="n">
        <v>0</v>
      </c>
      <c r="AK1331" s="51" t="n">
        <v>0</v>
      </c>
      <c r="AL1331" s="52" t="n">
        <v>0</v>
      </c>
      <c r="AM1331" s="52" t="n">
        <v>0</v>
      </c>
      <c r="AN1331" s="52" t="n">
        <v>0</v>
      </c>
      <c r="AO1331" s="53" t="n">
        <v>0</v>
      </c>
      <c r="AP1331" s="52" t="n">
        <v>0</v>
      </c>
      <c r="AQ1331" s="53" t="n">
        <v>0</v>
      </c>
      <c r="AR1331" s="52" t="n">
        <v>0</v>
      </c>
      <c r="AS1331" s="51" t="n">
        <v>0</v>
      </c>
      <c r="AT1331" s="48" t="n">
        <v>0</v>
      </c>
      <c r="AU1331" s="49" t="n">
        <v>0</v>
      </c>
      <c r="AV1331" s="49" t="n">
        <v>0</v>
      </c>
      <c r="AW1331" s="50" t="n">
        <v>0</v>
      </c>
      <c r="AX1331" s="51" t="n">
        <v>0</v>
      </c>
      <c r="AY1331" s="52" t="n">
        <v>0</v>
      </c>
      <c r="AZ1331" s="52" t="n">
        <v>0</v>
      </c>
      <c r="BA1331" s="52" t="n">
        <v>0</v>
      </c>
      <c r="BB1331" s="53" t="n">
        <v>0</v>
      </c>
      <c r="BC1331" s="52" t="n">
        <v>0</v>
      </c>
      <c r="BD1331" s="53" t="n">
        <v>0</v>
      </c>
      <c r="BE1331" s="52" t="n">
        <v>0</v>
      </c>
      <c r="BF1331" s="51" t="n">
        <v>0</v>
      </c>
    </row>
    <row r="1332">
      <c r="A1332">
        <f>HYPERLINK("https://www.walmart.com/ip/14490551305", "14490551305")</f>
        <v/>
      </c>
      <c r="B1332" t="inlineStr">
        <is>
          <t>PEANUTS Mens' Cotton Snoopy Family Matching Pajamas 2-Piece Sets for Christmas with Woodstock Charlie Brown Linus, Gift for him (Green Polka Dot, M)</t>
        </is>
      </c>
      <c r="C1332" t="inlineStr">
        <is>
          <t>PEA-PJS-FAMILY-MEN-GREEN-M</t>
        </is>
      </c>
      <c r="D1332" t="inlineStr">
        <is>
          <t>Pajamas</t>
        </is>
      </c>
      <c r="E1332" t="inlineStr">
        <is>
          <t>Peanuts</t>
        </is>
      </c>
      <c r="G1332" s="48" t="n">
        <v>0</v>
      </c>
      <c r="H1332" s="49" t="n">
        <v>0</v>
      </c>
      <c r="I1332" s="49" t="n">
        <v>0</v>
      </c>
      <c r="J1332" s="50" t="n">
        <v>0</v>
      </c>
      <c r="K1332" s="51" t="n">
        <v>0</v>
      </c>
      <c r="L1332" s="52" t="n">
        <v>0</v>
      </c>
      <c r="M1332" s="52" t="n">
        <v>0</v>
      </c>
      <c r="N1332" s="52" t="n">
        <v>0</v>
      </c>
      <c r="O1332" s="53" t="n">
        <v>0</v>
      </c>
      <c r="P1332" s="52" t="n">
        <v>0</v>
      </c>
      <c r="Q1332" s="53" t="n">
        <v>0</v>
      </c>
      <c r="R1332" s="52" t="n">
        <v>0</v>
      </c>
      <c r="S1332" s="51" t="n">
        <v>0</v>
      </c>
      <c r="T1332" s="48" t="n">
        <v>0</v>
      </c>
      <c r="U1332" s="49" t="n">
        <v>0</v>
      </c>
      <c r="V1332" s="49" t="n">
        <v>0</v>
      </c>
      <c r="W1332" s="50" t="n">
        <v>0</v>
      </c>
      <c r="X1332" s="51" t="n">
        <v>0</v>
      </c>
      <c r="Y1332" s="52" t="n">
        <v>0</v>
      </c>
      <c r="Z1332" s="52" t="n">
        <v>0</v>
      </c>
      <c r="AA1332" s="52" t="n">
        <v>0</v>
      </c>
      <c r="AB1332" s="53" t="n">
        <v>0</v>
      </c>
      <c r="AC1332" s="52" t="n">
        <v>0</v>
      </c>
      <c r="AD1332" s="53" t="n">
        <v>0</v>
      </c>
      <c r="AE1332" s="52" t="n">
        <v>0</v>
      </c>
      <c r="AF1332" s="51" t="n">
        <v>0</v>
      </c>
      <c r="AG1332" s="48" t="n">
        <v>0</v>
      </c>
      <c r="AH1332" s="49" t="n">
        <v>0</v>
      </c>
      <c r="AI1332" s="49" t="n">
        <v>0</v>
      </c>
      <c r="AJ1332" s="50" t="n">
        <v>0</v>
      </c>
      <c r="AK1332" s="51" t="n">
        <v>0</v>
      </c>
      <c r="AL1332" s="52" t="n">
        <v>0</v>
      </c>
      <c r="AM1332" s="52" t="n">
        <v>0</v>
      </c>
      <c r="AN1332" s="52" t="n">
        <v>0</v>
      </c>
      <c r="AO1332" s="53" t="n">
        <v>0</v>
      </c>
      <c r="AP1332" s="52" t="n">
        <v>0</v>
      </c>
      <c r="AQ1332" s="53" t="n">
        <v>0</v>
      </c>
      <c r="AR1332" s="52" t="n">
        <v>0</v>
      </c>
      <c r="AS1332" s="51" t="n">
        <v>0</v>
      </c>
      <c r="AT1332" s="48" t="n">
        <v>0</v>
      </c>
      <c r="AU1332" s="49" t="n">
        <v>0</v>
      </c>
      <c r="AV1332" s="49" t="n">
        <v>0</v>
      </c>
      <c r="AW1332" s="50" t="n">
        <v>0</v>
      </c>
      <c r="AX1332" s="51" t="n">
        <v>0</v>
      </c>
      <c r="AY1332" s="52" t="n">
        <v>0</v>
      </c>
      <c r="AZ1332" s="52" t="n">
        <v>0</v>
      </c>
      <c r="BA1332" s="52" t="n">
        <v>0</v>
      </c>
      <c r="BB1332" s="53" t="n">
        <v>0</v>
      </c>
      <c r="BC1332" s="52" t="n">
        <v>0</v>
      </c>
      <c r="BD1332" s="53" t="n">
        <v>0</v>
      </c>
      <c r="BE1332" s="52" t="n">
        <v>0</v>
      </c>
      <c r="BF1332" s="51" t="n">
        <v>0</v>
      </c>
    </row>
    <row r="1333">
      <c r="A1333">
        <f>HYPERLINK("https://www.walmart.com/ip/14490601203", "14490601203")</f>
        <v/>
      </c>
      <c r="B1333" t="inlineStr">
        <is>
          <t>PEANUTS Toddler Boys Girls Snoopy Family Matching Pajamas Sleepwear 2-Piece Sets for Christmas with Woodstock Charlie Brown Linus (Black Plaid, 5T)</t>
        </is>
      </c>
      <c r="C1333" t="inlineStr">
        <is>
          <t>PEA-PJS-FAMILY-TODDLER-BLACKPLAID-5T</t>
        </is>
      </c>
      <c r="D1333" t="inlineStr">
        <is>
          <t>Pajamas</t>
        </is>
      </c>
      <c r="E1333" t="inlineStr">
        <is>
          <t>Peanuts</t>
        </is>
      </c>
      <c r="G1333" s="48" t="n">
        <v>0</v>
      </c>
      <c r="H1333" s="49" t="n">
        <v>0</v>
      </c>
      <c r="I1333" s="49" t="n">
        <v>0</v>
      </c>
      <c r="J1333" s="50" t="n">
        <v>0</v>
      </c>
      <c r="K1333" s="51" t="n">
        <v>0</v>
      </c>
      <c r="L1333" s="52" t="n">
        <v>0</v>
      </c>
      <c r="M1333" s="52" t="n">
        <v>0</v>
      </c>
      <c r="N1333" s="52" t="n">
        <v>0</v>
      </c>
      <c r="O1333" s="53" t="n">
        <v>0</v>
      </c>
      <c r="P1333" s="52" t="n">
        <v>0</v>
      </c>
      <c r="Q1333" s="53" t="n">
        <v>0</v>
      </c>
      <c r="R1333" s="52" t="n">
        <v>0</v>
      </c>
      <c r="S1333" s="51" t="n">
        <v>0</v>
      </c>
      <c r="T1333" s="48" t="n">
        <v>0</v>
      </c>
      <c r="U1333" s="49" t="n">
        <v>0</v>
      </c>
      <c r="V1333" s="49" t="n">
        <v>0</v>
      </c>
      <c r="W1333" s="50" t="n">
        <v>0</v>
      </c>
      <c r="X1333" s="51" t="n">
        <v>0</v>
      </c>
      <c r="Y1333" s="52" t="n">
        <v>0</v>
      </c>
      <c r="Z1333" s="52" t="n">
        <v>0</v>
      </c>
      <c r="AA1333" s="52" t="n">
        <v>0</v>
      </c>
      <c r="AB1333" s="53" t="n">
        <v>0</v>
      </c>
      <c r="AC1333" s="52" t="n">
        <v>0</v>
      </c>
      <c r="AD1333" s="53" t="n">
        <v>0</v>
      </c>
      <c r="AE1333" s="52" t="n">
        <v>0</v>
      </c>
      <c r="AF1333" s="51" t="n">
        <v>0</v>
      </c>
      <c r="AG1333" s="48" t="n">
        <v>0</v>
      </c>
      <c r="AH1333" s="49" t="n">
        <v>0</v>
      </c>
      <c r="AI1333" s="49" t="n">
        <v>0</v>
      </c>
      <c r="AJ1333" s="50" t="n">
        <v>0</v>
      </c>
      <c r="AK1333" s="51" t="n">
        <v>0</v>
      </c>
      <c r="AL1333" s="52" t="n">
        <v>0</v>
      </c>
      <c r="AM1333" s="52" t="n">
        <v>0</v>
      </c>
      <c r="AN1333" s="52" t="n">
        <v>0</v>
      </c>
      <c r="AO1333" s="53" t="n">
        <v>0</v>
      </c>
      <c r="AP1333" s="52" t="n">
        <v>0</v>
      </c>
      <c r="AQ1333" s="53" t="n">
        <v>0</v>
      </c>
      <c r="AR1333" s="52" t="n">
        <v>0</v>
      </c>
      <c r="AS1333" s="51" t="n">
        <v>0</v>
      </c>
      <c r="AT1333" s="48" t="n">
        <v>0</v>
      </c>
      <c r="AU1333" s="49" t="n">
        <v>0</v>
      </c>
      <c r="AV1333" s="49" t="n">
        <v>0</v>
      </c>
      <c r="AW1333" s="50" t="n">
        <v>0</v>
      </c>
      <c r="AX1333" s="51" t="n">
        <v>0</v>
      </c>
      <c r="AY1333" s="52" t="n">
        <v>0</v>
      </c>
      <c r="AZ1333" s="52" t="n">
        <v>0</v>
      </c>
      <c r="BA1333" s="52" t="n">
        <v>0</v>
      </c>
      <c r="BB1333" s="53" t="n">
        <v>0</v>
      </c>
      <c r="BC1333" s="52" t="n">
        <v>0</v>
      </c>
      <c r="BD1333" s="53" t="n">
        <v>0</v>
      </c>
      <c r="BE1333" s="52" t="n">
        <v>0</v>
      </c>
      <c r="BF1333" s="51" t="n">
        <v>0</v>
      </c>
    </row>
    <row r="1334">
      <c r="A1334">
        <f>HYPERLINK("https://www.walmart.com/ip/14491120088", "14491120088")</f>
        <v/>
      </c>
      <c r="B1334" t="inlineStr">
        <is>
          <t>Tirrinia Womens' Hoodie Blanket Sweatshirt, Oversized Comfortable Fleece Giant Wearable Blankets, Hoodie Blanket for Men, Gift for Her Him, Red Solid</t>
        </is>
      </c>
      <c r="C1334" t="inlineStr">
        <is>
          <t>1TROSH400WN-FS</t>
        </is>
      </c>
      <c r="D1334" t="inlineStr">
        <is>
          <t>Sweatshirts &amp; Hoodies</t>
        </is>
      </c>
      <c r="E1334" t="inlineStr">
        <is>
          <t>Tirrinia</t>
        </is>
      </c>
      <c r="G1334" s="48" t="n">
        <v>0</v>
      </c>
      <c r="H1334" s="49" t="n">
        <v>0</v>
      </c>
      <c r="I1334" s="49" t="n">
        <v>0</v>
      </c>
      <c r="J1334" s="50" t="n">
        <v>0</v>
      </c>
      <c r="K1334" s="51" t="n">
        <v>0</v>
      </c>
      <c r="L1334" s="52" t="n">
        <v>0</v>
      </c>
      <c r="M1334" s="52" t="n">
        <v>0</v>
      </c>
      <c r="N1334" s="52" t="n">
        <v>0</v>
      </c>
      <c r="O1334" s="53" t="n">
        <v>0</v>
      </c>
      <c r="P1334" s="52" t="n">
        <v>0</v>
      </c>
      <c r="Q1334" s="53" t="n">
        <v>0</v>
      </c>
      <c r="R1334" s="52" t="n">
        <v>0</v>
      </c>
      <c r="S1334" s="51" t="n">
        <v>0</v>
      </c>
      <c r="T1334" s="48" t="n">
        <v>0</v>
      </c>
      <c r="U1334" s="49" t="n">
        <v>0</v>
      </c>
      <c r="V1334" s="49" t="n">
        <v>0</v>
      </c>
      <c r="W1334" s="50" t="n">
        <v>0</v>
      </c>
      <c r="X1334" s="51" t="n">
        <v>0</v>
      </c>
      <c r="Y1334" s="52" t="n">
        <v>0</v>
      </c>
      <c r="Z1334" s="52" t="n">
        <v>0</v>
      </c>
      <c r="AA1334" s="52" t="n">
        <v>0</v>
      </c>
      <c r="AB1334" s="53" t="n">
        <v>0</v>
      </c>
      <c r="AC1334" s="52" t="n">
        <v>0</v>
      </c>
      <c r="AD1334" s="53" t="n">
        <v>0</v>
      </c>
      <c r="AE1334" s="52" t="n">
        <v>0</v>
      </c>
      <c r="AF1334" s="51" t="n">
        <v>0</v>
      </c>
      <c r="AG1334" s="48" t="n">
        <v>0</v>
      </c>
      <c r="AH1334" s="49" t="n">
        <v>0</v>
      </c>
      <c r="AI1334" s="49" t="n">
        <v>0</v>
      </c>
      <c r="AJ1334" s="50" t="n">
        <v>0</v>
      </c>
      <c r="AK1334" s="51" t="n">
        <v>0</v>
      </c>
      <c r="AL1334" s="52" t="n">
        <v>0</v>
      </c>
      <c r="AM1334" s="52" t="n">
        <v>0</v>
      </c>
      <c r="AN1334" s="52" t="n">
        <v>0</v>
      </c>
      <c r="AO1334" s="53" t="n">
        <v>0</v>
      </c>
      <c r="AP1334" s="52" t="n">
        <v>0</v>
      </c>
      <c r="AQ1334" s="53" t="n">
        <v>0</v>
      </c>
      <c r="AR1334" s="52" t="n">
        <v>0</v>
      </c>
      <c r="AS1334" s="51" t="n">
        <v>0</v>
      </c>
      <c r="AT1334" s="48" t="n">
        <v>0</v>
      </c>
      <c r="AU1334" s="49" t="n">
        <v>0</v>
      </c>
      <c r="AV1334" s="49" t="n">
        <v>0</v>
      </c>
      <c r="AW1334" s="50" t="n">
        <v>0</v>
      </c>
      <c r="AX1334" s="51" t="n">
        <v>0</v>
      </c>
      <c r="AY1334" s="52" t="n">
        <v>0</v>
      </c>
      <c r="AZ1334" s="52" t="n">
        <v>0</v>
      </c>
      <c r="BA1334" s="52" t="n">
        <v>0</v>
      </c>
      <c r="BB1334" s="53" t="n">
        <v>0</v>
      </c>
      <c r="BC1334" s="52" t="n">
        <v>0</v>
      </c>
      <c r="BD1334" s="53" t="n">
        <v>0</v>
      </c>
      <c r="BE1334" s="52" t="n">
        <v>0</v>
      </c>
      <c r="BF1334" s="51" t="n">
        <v>0</v>
      </c>
    </row>
    <row r="1335">
      <c r="A1335">
        <f>HYPERLINK("https://www.walmart.com/ip/14492273638", "14492273638")</f>
        <v/>
      </c>
      <c r="B1335" t="inlineStr">
        <is>
          <t>PEANUTS Womens 100% Cotton Family Matching Pajamas Holiday Festive Nightwear Sleepwear 2-Piece Sets for Christmas Gifts (Green Polka Dot, L)</t>
        </is>
      </c>
      <c r="C1335" t="inlineStr">
        <is>
          <t>PEA-PJS-FAMILY-WOMEN-GREEN-L</t>
        </is>
      </c>
      <c r="D1335" t="inlineStr">
        <is>
          <t>Pajamas</t>
        </is>
      </c>
      <c r="E1335" t="inlineStr">
        <is>
          <t>Peanuts</t>
        </is>
      </c>
      <c r="G1335" s="48" t="n">
        <v>0</v>
      </c>
      <c r="H1335" s="49" t="n">
        <v>0</v>
      </c>
      <c r="I1335" s="49" t="n">
        <v>0</v>
      </c>
      <c r="J1335" s="50" t="n">
        <v>0</v>
      </c>
      <c r="K1335" s="51" t="n">
        <v>0</v>
      </c>
      <c r="L1335" s="52" t="n">
        <v>0</v>
      </c>
      <c r="M1335" s="52" t="n">
        <v>0</v>
      </c>
      <c r="N1335" s="52" t="n">
        <v>0</v>
      </c>
      <c r="O1335" s="53" t="n">
        <v>0</v>
      </c>
      <c r="P1335" s="52" t="n">
        <v>0</v>
      </c>
      <c r="Q1335" s="53" t="n">
        <v>0</v>
      </c>
      <c r="R1335" s="52" t="n">
        <v>0</v>
      </c>
      <c r="S1335" s="51" t="n">
        <v>0</v>
      </c>
      <c r="T1335" s="48" t="n">
        <v>0</v>
      </c>
      <c r="U1335" s="49" t="n">
        <v>0</v>
      </c>
      <c r="V1335" s="49" t="n">
        <v>0</v>
      </c>
      <c r="W1335" s="50" t="n">
        <v>0</v>
      </c>
      <c r="X1335" s="51" t="n">
        <v>0</v>
      </c>
      <c r="Y1335" s="52" t="n">
        <v>0</v>
      </c>
      <c r="Z1335" s="52" t="n">
        <v>0</v>
      </c>
      <c r="AA1335" s="52" t="n">
        <v>0</v>
      </c>
      <c r="AB1335" s="53" t="n">
        <v>0</v>
      </c>
      <c r="AC1335" s="52" t="n">
        <v>0</v>
      </c>
      <c r="AD1335" s="53" t="n">
        <v>0</v>
      </c>
      <c r="AE1335" s="52" t="n">
        <v>0</v>
      </c>
      <c r="AF1335" s="51" t="n">
        <v>0</v>
      </c>
      <c r="AG1335" s="48" t="n">
        <v>0</v>
      </c>
      <c r="AH1335" s="49" t="n">
        <v>0</v>
      </c>
      <c r="AI1335" s="49" t="n">
        <v>0</v>
      </c>
      <c r="AJ1335" s="50" t="n">
        <v>0</v>
      </c>
      <c r="AK1335" s="51" t="n">
        <v>0</v>
      </c>
      <c r="AL1335" s="52" t="n">
        <v>0</v>
      </c>
      <c r="AM1335" s="52" t="n">
        <v>0</v>
      </c>
      <c r="AN1335" s="52" t="n">
        <v>0</v>
      </c>
      <c r="AO1335" s="53" t="n">
        <v>0</v>
      </c>
      <c r="AP1335" s="52" t="n">
        <v>0</v>
      </c>
      <c r="AQ1335" s="53" t="n">
        <v>0</v>
      </c>
      <c r="AR1335" s="52" t="n">
        <v>0</v>
      </c>
      <c r="AS1335" s="51" t="n">
        <v>0</v>
      </c>
      <c r="AT1335" s="48" t="n">
        <v>0</v>
      </c>
      <c r="AU1335" s="49" t="n">
        <v>0</v>
      </c>
      <c r="AV1335" s="49" t="n">
        <v>0</v>
      </c>
      <c r="AW1335" s="50" t="n">
        <v>0</v>
      </c>
      <c r="AX1335" s="51" t="n">
        <v>0</v>
      </c>
      <c r="AY1335" s="52" t="n">
        <v>0</v>
      </c>
      <c r="AZ1335" s="52" t="n">
        <v>0</v>
      </c>
      <c r="BA1335" s="52" t="n">
        <v>0</v>
      </c>
      <c r="BB1335" s="53" t="n">
        <v>0</v>
      </c>
      <c r="BC1335" s="52" t="n">
        <v>0</v>
      </c>
      <c r="BD1335" s="53" t="n">
        <v>0</v>
      </c>
      <c r="BE1335" s="52" t="n">
        <v>0</v>
      </c>
      <c r="BF1335" s="51" t="n">
        <v>0</v>
      </c>
    </row>
    <row r="1336">
      <c r="A1336">
        <f>HYPERLINK("https://www.walmart.com/ip/14498457694", "14498457694")</f>
        <v/>
      </c>
      <c r="B1336" t="inlineStr">
        <is>
          <t>Catalonia Oversized Blanket Hoodie Sweatshirt, Fleece Hooded Lounging Pullover with Giant Pocket, Birthday Gifts Christmas Gifts, Buffalo Plaid Black</t>
        </is>
      </c>
      <c r="C1336" t="inlineStr">
        <is>
          <t>1CTOSH300PPK-FS</t>
        </is>
      </c>
      <c r="D1336" t="inlineStr">
        <is>
          <t>Sweatshirts &amp; Hoodies</t>
        </is>
      </c>
      <c r="E1336" t="inlineStr">
        <is>
          <t>Catalonia</t>
        </is>
      </c>
      <c r="G1336" s="48" t="n">
        <v>0</v>
      </c>
      <c r="H1336" s="49" t="n">
        <v>0</v>
      </c>
      <c r="I1336" s="49" t="n">
        <v>0</v>
      </c>
      <c r="J1336" s="50" t="n">
        <v>0</v>
      </c>
      <c r="K1336" s="51" t="n">
        <v>0</v>
      </c>
      <c r="L1336" s="52" t="n">
        <v>0</v>
      </c>
      <c r="M1336" s="52" t="n">
        <v>0</v>
      </c>
      <c r="N1336" s="52" t="n">
        <v>0</v>
      </c>
      <c r="O1336" s="53" t="n">
        <v>0</v>
      </c>
      <c r="P1336" s="52" t="n">
        <v>0</v>
      </c>
      <c r="Q1336" s="53" t="n">
        <v>0</v>
      </c>
      <c r="R1336" s="52" t="n">
        <v>0</v>
      </c>
      <c r="S1336" s="51" t="n">
        <v>0</v>
      </c>
      <c r="T1336" s="48" t="n">
        <v>0</v>
      </c>
      <c r="U1336" s="49" t="n">
        <v>0</v>
      </c>
      <c r="V1336" s="49" t="n">
        <v>0</v>
      </c>
      <c r="W1336" s="50" t="n">
        <v>0</v>
      </c>
      <c r="X1336" s="51" t="n">
        <v>0</v>
      </c>
      <c r="Y1336" s="52" t="n">
        <v>0</v>
      </c>
      <c r="Z1336" s="52" t="n">
        <v>0</v>
      </c>
      <c r="AA1336" s="52" t="n">
        <v>0</v>
      </c>
      <c r="AB1336" s="53" t="n">
        <v>0</v>
      </c>
      <c r="AC1336" s="52" t="n">
        <v>0</v>
      </c>
      <c r="AD1336" s="53" t="n">
        <v>0</v>
      </c>
      <c r="AE1336" s="52" t="n">
        <v>0</v>
      </c>
      <c r="AF1336" s="51" t="n">
        <v>0</v>
      </c>
      <c r="AG1336" s="48" t="n">
        <v>0</v>
      </c>
      <c r="AH1336" s="49" t="n">
        <v>0</v>
      </c>
      <c r="AI1336" s="49" t="n">
        <v>0</v>
      </c>
      <c r="AJ1336" s="50" t="n">
        <v>0</v>
      </c>
      <c r="AK1336" s="51" t="n">
        <v>0</v>
      </c>
      <c r="AL1336" s="52" t="n">
        <v>0</v>
      </c>
      <c r="AM1336" s="52" t="n">
        <v>0</v>
      </c>
      <c r="AN1336" s="52" t="n">
        <v>0</v>
      </c>
      <c r="AO1336" s="53" t="n">
        <v>0</v>
      </c>
      <c r="AP1336" s="52" t="n">
        <v>0</v>
      </c>
      <c r="AQ1336" s="53" t="n">
        <v>0</v>
      </c>
      <c r="AR1336" s="52" t="n">
        <v>0</v>
      </c>
      <c r="AS1336" s="51" t="n">
        <v>0</v>
      </c>
      <c r="AT1336" s="48" t="n">
        <v>0</v>
      </c>
      <c r="AU1336" s="49" t="n">
        <v>0</v>
      </c>
      <c r="AV1336" s="49" t="n">
        <v>0</v>
      </c>
      <c r="AW1336" s="50" t="n">
        <v>0</v>
      </c>
      <c r="AX1336" s="51" t="n">
        <v>0</v>
      </c>
      <c r="AY1336" s="52" t="n">
        <v>0</v>
      </c>
      <c r="AZ1336" s="52" t="n">
        <v>0</v>
      </c>
      <c r="BA1336" s="52" t="n">
        <v>0</v>
      </c>
      <c r="BB1336" s="53" t="n">
        <v>0</v>
      </c>
      <c r="BC1336" s="52" t="n">
        <v>0</v>
      </c>
      <c r="BD1336" s="53" t="n">
        <v>0</v>
      </c>
      <c r="BE1336" s="52" t="n">
        <v>0</v>
      </c>
      <c r="BF1336" s="51" t="n">
        <v>0</v>
      </c>
    </row>
    <row r="1337">
      <c r="A1337">
        <f>HYPERLINK("https://www.walmart.com/ip/14498457702", "14498457702")</f>
        <v/>
      </c>
      <c r="B1337" t="inlineStr">
        <is>
          <t>Womens Oversized Flannel Blanket Hoodie Sweatshirt, Plush Fleece Lined Lounging Pullover, Christmas Gift for Women (Red) - Catalonia</t>
        </is>
      </c>
      <c r="C1337" t="inlineStr">
        <is>
          <t>1CTOSH400RD-FS</t>
        </is>
      </c>
      <c r="D1337" t="inlineStr">
        <is>
          <t>Sweatshirts &amp; Hoodies</t>
        </is>
      </c>
      <c r="E1337" t="inlineStr">
        <is>
          <t>Catalonia</t>
        </is>
      </c>
      <c r="G1337" s="48" t="n">
        <v>0</v>
      </c>
      <c r="H1337" s="49" t="n">
        <v>0</v>
      </c>
      <c r="I1337" s="49" t="n">
        <v>0</v>
      </c>
      <c r="J1337" s="50" t="n">
        <v>0</v>
      </c>
      <c r="K1337" s="51" t="n">
        <v>0</v>
      </c>
      <c r="L1337" s="52" t="n">
        <v>0</v>
      </c>
      <c r="M1337" s="52" t="n">
        <v>0</v>
      </c>
      <c r="N1337" s="52" t="n">
        <v>0</v>
      </c>
      <c r="O1337" s="53" t="n">
        <v>0</v>
      </c>
      <c r="P1337" s="52" t="n">
        <v>0</v>
      </c>
      <c r="Q1337" s="53" t="n">
        <v>0</v>
      </c>
      <c r="R1337" s="52" t="n">
        <v>0</v>
      </c>
      <c r="S1337" s="51" t="n">
        <v>0</v>
      </c>
      <c r="T1337" s="48" t="n">
        <v>0</v>
      </c>
      <c r="U1337" s="49" t="n">
        <v>0</v>
      </c>
      <c r="V1337" s="49" t="n">
        <v>0</v>
      </c>
      <c r="W1337" s="50" t="n">
        <v>0</v>
      </c>
      <c r="X1337" s="51" t="n">
        <v>0</v>
      </c>
      <c r="Y1337" s="52" t="n">
        <v>0</v>
      </c>
      <c r="Z1337" s="52" t="n">
        <v>0</v>
      </c>
      <c r="AA1337" s="52" t="n">
        <v>0</v>
      </c>
      <c r="AB1337" s="53" t="n">
        <v>0</v>
      </c>
      <c r="AC1337" s="52" t="n">
        <v>0</v>
      </c>
      <c r="AD1337" s="53" t="n">
        <v>0</v>
      </c>
      <c r="AE1337" s="52" t="n">
        <v>0</v>
      </c>
      <c r="AF1337" s="51" t="n">
        <v>0</v>
      </c>
      <c r="AG1337" s="48" t="n">
        <v>0</v>
      </c>
      <c r="AH1337" s="49" t="n">
        <v>0</v>
      </c>
      <c r="AI1337" s="49" t="n">
        <v>0</v>
      </c>
      <c r="AJ1337" s="50" t="n">
        <v>0</v>
      </c>
      <c r="AK1337" s="51" t="n">
        <v>0</v>
      </c>
      <c r="AL1337" s="52" t="n">
        <v>0</v>
      </c>
      <c r="AM1337" s="52" t="n">
        <v>0</v>
      </c>
      <c r="AN1337" s="52" t="n">
        <v>0</v>
      </c>
      <c r="AO1337" s="53" t="n">
        <v>0</v>
      </c>
      <c r="AP1337" s="52" t="n">
        <v>0</v>
      </c>
      <c r="AQ1337" s="53" t="n">
        <v>0</v>
      </c>
      <c r="AR1337" s="52" t="n">
        <v>0</v>
      </c>
      <c r="AS1337" s="51" t="n">
        <v>0</v>
      </c>
      <c r="AT1337" s="48" t="n">
        <v>0</v>
      </c>
      <c r="AU1337" s="49" t="n">
        <v>0</v>
      </c>
      <c r="AV1337" s="49" t="n">
        <v>0</v>
      </c>
      <c r="AW1337" s="50" t="n">
        <v>0</v>
      </c>
      <c r="AX1337" s="51" t="n">
        <v>0</v>
      </c>
      <c r="AY1337" s="52" t="n">
        <v>0</v>
      </c>
      <c r="AZ1337" s="52" t="n">
        <v>0</v>
      </c>
      <c r="BA1337" s="52" t="n">
        <v>0</v>
      </c>
      <c r="BB1337" s="53" t="n">
        <v>0</v>
      </c>
      <c r="BC1337" s="52" t="n">
        <v>0</v>
      </c>
      <c r="BD1337" s="53" t="n">
        <v>0</v>
      </c>
      <c r="BE1337" s="52" t="n">
        <v>0</v>
      </c>
      <c r="BF1337" s="51" t="n">
        <v>0</v>
      </c>
    </row>
    <row r="1338">
      <c r="A1338">
        <f>HYPERLINK("https://www.walmart.com/ip/14500306112", "14500306112")</f>
        <v/>
      </c>
      <c r="B1338" t="inlineStr">
        <is>
          <t>Catalonia Blanket Hoodie for Kids, Oversized Wearable Fleece Sweatshirt Pullover for 7-16 yr Teens Youth, Kids Gift Idea, Sea Blue</t>
        </is>
      </c>
      <c r="C1338" t="inlineStr">
        <is>
          <t>1CTOSH400P2RD-FS</t>
        </is>
      </c>
      <c r="D1338" t="inlineStr">
        <is>
          <t>Sweatshirts &amp; Hoodies</t>
        </is>
      </c>
      <c r="E1338" t="inlineStr">
        <is>
          <t>Catalonia</t>
        </is>
      </c>
      <c r="G1338" s="48" t="n">
        <v>0</v>
      </c>
      <c r="H1338" s="49" t="n">
        <v>0</v>
      </c>
      <c r="I1338" s="49" t="n">
        <v>0</v>
      </c>
      <c r="J1338" s="50" t="n">
        <v>0</v>
      </c>
      <c r="K1338" s="51" t="n">
        <v>0</v>
      </c>
      <c r="L1338" s="52" t="n">
        <v>0</v>
      </c>
      <c r="M1338" s="52" t="n">
        <v>0</v>
      </c>
      <c r="N1338" s="52" t="n">
        <v>0</v>
      </c>
      <c r="O1338" s="53" t="n">
        <v>0</v>
      </c>
      <c r="P1338" s="52" t="n">
        <v>0</v>
      </c>
      <c r="Q1338" s="53" t="n">
        <v>0</v>
      </c>
      <c r="R1338" s="52" t="n">
        <v>0</v>
      </c>
      <c r="S1338" s="51" t="n">
        <v>0</v>
      </c>
      <c r="T1338" s="48" t="n">
        <v>0</v>
      </c>
      <c r="U1338" s="49" t="n">
        <v>0</v>
      </c>
      <c r="V1338" s="49" t="n">
        <v>0</v>
      </c>
      <c r="W1338" s="50" t="n">
        <v>0</v>
      </c>
      <c r="X1338" s="51" t="n">
        <v>0</v>
      </c>
      <c r="Y1338" s="52" t="n">
        <v>0</v>
      </c>
      <c r="Z1338" s="52" t="n">
        <v>0</v>
      </c>
      <c r="AA1338" s="52" t="n">
        <v>0</v>
      </c>
      <c r="AB1338" s="53" t="n">
        <v>0</v>
      </c>
      <c r="AC1338" s="52" t="n">
        <v>0</v>
      </c>
      <c r="AD1338" s="53" t="n">
        <v>0</v>
      </c>
      <c r="AE1338" s="52" t="n">
        <v>0</v>
      </c>
      <c r="AF1338" s="51" t="n">
        <v>0</v>
      </c>
      <c r="AG1338" s="48" t="n">
        <v>0</v>
      </c>
      <c r="AH1338" s="49" t="n">
        <v>0</v>
      </c>
      <c r="AI1338" s="49" t="n">
        <v>0</v>
      </c>
      <c r="AJ1338" s="50" t="n">
        <v>0</v>
      </c>
      <c r="AK1338" s="51" t="n">
        <v>0</v>
      </c>
      <c r="AL1338" s="52" t="n">
        <v>0</v>
      </c>
      <c r="AM1338" s="52" t="n">
        <v>0</v>
      </c>
      <c r="AN1338" s="52" t="n">
        <v>0</v>
      </c>
      <c r="AO1338" s="53" t="n">
        <v>0</v>
      </c>
      <c r="AP1338" s="52" t="n">
        <v>0</v>
      </c>
      <c r="AQ1338" s="53" t="n">
        <v>0</v>
      </c>
      <c r="AR1338" s="52" t="n">
        <v>0</v>
      </c>
      <c r="AS1338" s="51" t="n">
        <v>0</v>
      </c>
      <c r="AT1338" s="48" t="n">
        <v>0</v>
      </c>
      <c r="AU1338" s="49" t="n">
        <v>0</v>
      </c>
      <c r="AV1338" s="49" t="n">
        <v>0</v>
      </c>
      <c r="AW1338" s="50" t="n">
        <v>0</v>
      </c>
      <c r="AX1338" s="51" t="n">
        <v>0</v>
      </c>
      <c r="AY1338" s="52" t="n">
        <v>0</v>
      </c>
      <c r="AZ1338" s="52" t="n">
        <v>0</v>
      </c>
      <c r="BA1338" s="52" t="n">
        <v>0</v>
      </c>
      <c r="BB1338" s="53" t="n">
        <v>0</v>
      </c>
      <c r="BC1338" s="52" t="n">
        <v>0</v>
      </c>
      <c r="BD1338" s="53" t="n">
        <v>0</v>
      </c>
      <c r="BE1338" s="52" t="n">
        <v>0</v>
      </c>
      <c r="BF1338" s="51" t="n">
        <v>0</v>
      </c>
    </row>
    <row r="1339">
      <c r="A1339">
        <f>HYPERLINK("https://www.walmart.com/ip/14503719010", "14503719010")</f>
        <v/>
      </c>
      <c r="B1339" t="inlineStr">
        <is>
          <t>PEANUTS Womens 100% Cotton Family Matching Pajamas Holiday Festive Nightwear Sleepwear 2-Piece Sets for Christmas Gifts (Red Polka Dot, L)</t>
        </is>
      </c>
      <c r="C1339" t="inlineStr">
        <is>
          <t>PEA-PJS-FAMILY-WOMEN-RED-L</t>
        </is>
      </c>
      <c r="D1339" t="inlineStr">
        <is>
          <t>Pajamas</t>
        </is>
      </c>
      <c r="E1339" t="inlineStr">
        <is>
          <t>Peanuts</t>
        </is>
      </c>
      <c r="G1339" s="48" t="n">
        <v>0</v>
      </c>
      <c r="H1339" s="49" t="n">
        <v>0</v>
      </c>
      <c r="I1339" s="49" t="n">
        <v>0</v>
      </c>
      <c r="J1339" s="50" t="n">
        <v>0</v>
      </c>
      <c r="K1339" s="51" t="n">
        <v>0</v>
      </c>
      <c r="L1339" s="52" t="n">
        <v>0</v>
      </c>
      <c r="M1339" s="52" t="n">
        <v>0</v>
      </c>
      <c r="N1339" s="52" t="n">
        <v>0</v>
      </c>
      <c r="O1339" s="53" t="n">
        <v>0</v>
      </c>
      <c r="P1339" s="52" t="n">
        <v>0</v>
      </c>
      <c r="Q1339" s="53" t="n">
        <v>0</v>
      </c>
      <c r="R1339" s="52" t="n">
        <v>0</v>
      </c>
      <c r="S1339" s="51" t="n">
        <v>0</v>
      </c>
      <c r="T1339" s="48" t="n">
        <v>0</v>
      </c>
      <c r="U1339" s="49" t="n">
        <v>0</v>
      </c>
      <c r="V1339" s="49" t="n">
        <v>0</v>
      </c>
      <c r="W1339" s="50" t="n">
        <v>0</v>
      </c>
      <c r="X1339" s="51" t="n">
        <v>0</v>
      </c>
      <c r="Y1339" s="52" t="n">
        <v>0</v>
      </c>
      <c r="Z1339" s="52" t="n">
        <v>0</v>
      </c>
      <c r="AA1339" s="52" t="n">
        <v>0</v>
      </c>
      <c r="AB1339" s="53" t="n">
        <v>0</v>
      </c>
      <c r="AC1339" s="52" t="n">
        <v>0</v>
      </c>
      <c r="AD1339" s="53" t="n">
        <v>0</v>
      </c>
      <c r="AE1339" s="52" t="n">
        <v>0</v>
      </c>
      <c r="AF1339" s="51" t="n">
        <v>0</v>
      </c>
      <c r="AG1339" s="48" t="n">
        <v>0</v>
      </c>
      <c r="AH1339" s="49" t="n">
        <v>0</v>
      </c>
      <c r="AI1339" s="49" t="n">
        <v>0</v>
      </c>
      <c r="AJ1339" s="50" t="n">
        <v>0</v>
      </c>
      <c r="AK1339" s="51" t="n">
        <v>0</v>
      </c>
      <c r="AL1339" s="52" t="n">
        <v>0</v>
      </c>
      <c r="AM1339" s="52" t="n">
        <v>0</v>
      </c>
      <c r="AN1339" s="52" t="n">
        <v>0</v>
      </c>
      <c r="AO1339" s="53" t="n">
        <v>0</v>
      </c>
      <c r="AP1339" s="52" t="n">
        <v>0</v>
      </c>
      <c r="AQ1339" s="53" t="n">
        <v>0</v>
      </c>
      <c r="AR1339" s="52" t="n">
        <v>0</v>
      </c>
      <c r="AS1339" s="51" t="n">
        <v>0</v>
      </c>
      <c r="AT1339" s="48" t="n">
        <v>0</v>
      </c>
      <c r="AU1339" s="49" t="n">
        <v>0</v>
      </c>
      <c r="AV1339" s="49" t="n">
        <v>0</v>
      </c>
      <c r="AW1339" s="50" t="n">
        <v>0</v>
      </c>
      <c r="AX1339" s="51" t="n">
        <v>0</v>
      </c>
      <c r="AY1339" s="52" t="n">
        <v>0</v>
      </c>
      <c r="AZ1339" s="52" t="n">
        <v>0</v>
      </c>
      <c r="BA1339" s="52" t="n">
        <v>0</v>
      </c>
      <c r="BB1339" s="53" t="n">
        <v>0</v>
      </c>
      <c r="BC1339" s="52" t="n">
        <v>0</v>
      </c>
      <c r="BD1339" s="53" t="n">
        <v>0</v>
      </c>
      <c r="BE1339" s="52" t="n">
        <v>0</v>
      </c>
      <c r="BF1339" s="51" t="n">
        <v>0</v>
      </c>
    </row>
    <row r="1340">
      <c r="A1340">
        <f>HYPERLINK("https://www.walmart.com/ip/14503719585", "14503719585")</f>
        <v/>
      </c>
      <c r="B1340" t="inlineStr">
        <is>
          <t>PEANUTS Toddler Boys Girls Snoopy Family Matching Pajamas Sleepwear 2-Piece Sets for Christmas with Woodstock Charlie Brown Linus (Black Plaid, 3T)</t>
        </is>
      </c>
      <c r="C1340" t="inlineStr">
        <is>
          <t>PEA-PJS-FAMILY-TODDLER-BLACKPLAID-3T</t>
        </is>
      </c>
      <c r="D1340" t="inlineStr">
        <is>
          <t>Pajamas</t>
        </is>
      </c>
      <c r="E1340" t="inlineStr">
        <is>
          <t>Peanuts</t>
        </is>
      </c>
      <c r="G1340" s="48" t="n">
        <v>0</v>
      </c>
      <c r="H1340" s="49" t="n">
        <v>0</v>
      </c>
      <c r="I1340" s="49" t="n">
        <v>0</v>
      </c>
      <c r="J1340" s="50" t="n">
        <v>0</v>
      </c>
      <c r="K1340" s="51" t="n">
        <v>0</v>
      </c>
      <c r="L1340" s="52" t="n">
        <v>0</v>
      </c>
      <c r="M1340" s="52" t="n">
        <v>0</v>
      </c>
      <c r="N1340" s="52" t="n">
        <v>0</v>
      </c>
      <c r="O1340" s="53" t="n">
        <v>0</v>
      </c>
      <c r="P1340" s="52" t="n">
        <v>0</v>
      </c>
      <c r="Q1340" s="53" t="n">
        <v>0</v>
      </c>
      <c r="R1340" s="52" t="n">
        <v>0</v>
      </c>
      <c r="S1340" s="51" t="n">
        <v>0</v>
      </c>
      <c r="T1340" s="48" t="n">
        <v>0</v>
      </c>
      <c r="U1340" s="49" t="n">
        <v>0</v>
      </c>
      <c r="V1340" s="49" t="n">
        <v>0</v>
      </c>
      <c r="W1340" s="50" t="n">
        <v>0</v>
      </c>
      <c r="X1340" s="51" t="n">
        <v>0</v>
      </c>
      <c r="Y1340" s="52" t="n">
        <v>0</v>
      </c>
      <c r="Z1340" s="52" t="n">
        <v>0</v>
      </c>
      <c r="AA1340" s="52" t="n">
        <v>0</v>
      </c>
      <c r="AB1340" s="53" t="n">
        <v>0</v>
      </c>
      <c r="AC1340" s="52" t="n">
        <v>0</v>
      </c>
      <c r="AD1340" s="53" t="n">
        <v>0</v>
      </c>
      <c r="AE1340" s="52" t="n">
        <v>0</v>
      </c>
      <c r="AF1340" s="51" t="n">
        <v>0</v>
      </c>
      <c r="AG1340" s="48" t="n">
        <v>0</v>
      </c>
      <c r="AH1340" s="49" t="n">
        <v>0</v>
      </c>
      <c r="AI1340" s="49" t="n">
        <v>0</v>
      </c>
      <c r="AJ1340" s="50" t="n">
        <v>0</v>
      </c>
      <c r="AK1340" s="51" t="n">
        <v>0</v>
      </c>
      <c r="AL1340" s="52" t="n">
        <v>0</v>
      </c>
      <c r="AM1340" s="52" t="n">
        <v>0</v>
      </c>
      <c r="AN1340" s="52" t="n">
        <v>0</v>
      </c>
      <c r="AO1340" s="53" t="n">
        <v>0</v>
      </c>
      <c r="AP1340" s="52" t="n">
        <v>0</v>
      </c>
      <c r="AQ1340" s="53" t="n">
        <v>0</v>
      </c>
      <c r="AR1340" s="52" t="n">
        <v>0</v>
      </c>
      <c r="AS1340" s="51" t="n">
        <v>0</v>
      </c>
      <c r="AT1340" s="48" t="n">
        <v>0</v>
      </c>
      <c r="AU1340" s="49" t="n">
        <v>0</v>
      </c>
      <c r="AV1340" s="49" t="n">
        <v>0</v>
      </c>
      <c r="AW1340" s="50" t="n">
        <v>0</v>
      </c>
      <c r="AX1340" s="51" t="n">
        <v>0</v>
      </c>
      <c r="AY1340" s="52" t="n">
        <v>0</v>
      </c>
      <c r="AZ1340" s="52" t="n">
        <v>0</v>
      </c>
      <c r="BA1340" s="52" t="n">
        <v>0</v>
      </c>
      <c r="BB1340" s="53" t="n">
        <v>0</v>
      </c>
      <c r="BC1340" s="52" t="n">
        <v>0</v>
      </c>
      <c r="BD1340" s="53" t="n">
        <v>0</v>
      </c>
      <c r="BE1340" s="52" t="n">
        <v>0</v>
      </c>
      <c r="BF1340" s="51" t="n">
        <v>0</v>
      </c>
    </row>
    <row r="1341">
      <c r="A1341">
        <f>HYPERLINK("https://www.walmart.com/ip/14504171589", "14504171589")</f>
        <v/>
      </c>
      <c r="B1341" t="inlineStr">
        <is>
          <t>PEANUTS Snoopy Cotton Family Matching Pajamas Holiday 2-Piece Sets for Christmas with Woodstock Charlie Brown Linus for Baby (Green Polka Dot, 12M)</t>
        </is>
      </c>
      <c r="C1341" t="inlineStr">
        <is>
          <t>PEA-PJS-FAMILY-INFANT-GREEN-12M</t>
        </is>
      </c>
      <c r="D1341" t="inlineStr">
        <is>
          <t>Pajamas</t>
        </is>
      </c>
      <c r="E1341" t="inlineStr">
        <is>
          <t>Peanuts</t>
        </is>
      </c>
      <c r="G1341" s="48" t="n">
        <v>0</v>
      </c>
      <c r="H1341" s="49" t="n">
        <v>0</v>
      </c>
      <c r="I1341" s="49" t="n">
        <v>0</v>
      </c>
      <c r="J1341" s="50" t="n">
        <v>0</v>
      </c>
      <c r="K1341" s="51" t="n">
        <v>0</v>
      </c>
      <c r="L1341" s="52" t="n">
        <v>0</v>
      </c>
      <c r="M1341" s="52" t="n">
        <v>0</v>
      </c>
      <c r="N1341" s="52" t="n">
        <v>0</v>
      </c>
      <c r="O1341" s="53" t="n">
        <v>0</v>
      </c>
      <c r="P1341" s="52" t="n">
        <v>0</v>
      </c>
      <c r="Q1341" s="53" t="n">
        <v>0</v>
      </c>
      <c r="R1341" s="52" t="n">
        <v>0</v>
      </c>
      <c r="S1341" s="51" t="n">
        <v>0</v>
      </c>
      <c r="T1341" s="48" t="n">
        <v>0</v>
      </c>
      <c r="U1341" s="49" t="n">
        <v>0</v>
      </c>
      <c r="V1341" s="49" t="n">
        <v>0</v>
      </c>
      <c r="W1341" s="50" t="n">
        <v>0</v>
      </c>
      <c r="X1341" s="51" t="n">
        <v>0</v>
      </c>
      <c r="Y1341" s="52" t="n">
        <v>0</v>
      </c>
      <c r="Z1341" s="52" t="n">
        <v>0</v>
      </c>
      <c r="AA1341" s="52" t="n">
        <v>0</v>
      </c>
      <c r="AB1341" s="53" t="n">
        <v>0</v>
      </c>
      <c r="AC1341" s="52" t="n">
        <v>0</v>
      </c>
      <c r="AD1341" s="53" t="n">
        <v>0</v>
      </c>
      <c r="AE1341" s="52" t="n">
        <v>0</v>
      </c>
      <c r="AF1341" s="51" t="n">
        <v>0</v>
      </c>
      <c r="AG1341" s="48" t="n">
        <v>0</v>
      </c>
      <c r="AH1341" s="49" t="n">
        <v>0</v>
      </c>
      <c r="AI1341" s="49" t="n">
        <v>0</v>
      </c>
      <c r="AJ1341" s="50" t="n">
        <v>0</v>
      </c>
      <c r="AK1341" s="51" t="n">
        <v>0</v>
      </c>
      <c r="AL1341" s="52" t="n">
        <v>0</v>
      </c>
      <c r="AM1341" s="52" t="n">
        <v>0</v>
      </c>
      <c r="AN1341" s="52" t="n">
        <v>0</v>
      </c>
      <c r="AO1341" s="53" t="n">
        <v>0</v>
      </c>
      <c r="AP1341" s="52" t="n">
        <v>0</v>
      </c>
      <c r="AQ1341" s="53" t="n">
        <v>0</v>
      </c>
      <c r="AR1341" s="52" t="n">
        <v>0</v>
      </c>
      <c r="AS1341" s="51" t="n">
        <v>0</v>
      </c>
      <c r="AT1341" s="48" t="n">
        <v>0</v>
      </c>
      <c r="AU1341" s="49" t="n">
        <v>0</v>
      </c>
      <c r="AV1341" s="49" t="n">
        <v>0</v>
      </c>
      <c r="AW1341" s="50" t="n">
        <v>0</v>
      </c>
      <c r="AX1341" s="51" t="n">
        <v>0</v>
      </c>
      <c r="AY1341" s="52" t="n">
        <v>0</v>
      </c>
      <c r="AZ1341" s="52" t="n">
        <v>0</v>
      </c>
      <c r="BA1341" s="52" t="n">
        <v>0</v>
      </c>
      <c r="BB1341" s="53" t="n">
        <v>0</v>
      </c>
      <c r="BC1341" s="52" t="n">
        <v>0</v>
      </c>
      <c r="BD1341" s="53" t="n">
        <v>0</v>
      </c>
      <c r="BE1341" s="52" t="n">
        <v>0</v>
      </c>
      <c r="BF1341" s="51" t="n">
        <v>0</v>
      </c>
    </row>
    <row r="1342">
      <c r="A1342">
        <f>HYPERLINK("https://www.walmart.com/ip/14514109806", "14514109806")</f>
        <v/>
      </c>
      <c r="B1342" t="inlineStr">
        <is>
          <t>PEANUTS Mens' Cotton Snoopy Family Matching Pajamas 2-Piece Sets for Christmas with Woodstock Charlie Brown Linus, Gift for him (Black Plaid, M)</t>
        </is>
      </c>
      <c r="C1342" t="inlineStr">
        <is>
          <t>PEA-PJS-FAMILY-MEN-BLACKPLAID-M</t>
        </is>
      </c>
      <c r="D1342" t="inlineStr">
        <is>
          <t>Pajamas</t>
        </is>
      </c>
      <c r="E1342" t="inlineStr">
        <is>
          <t>Peanuts</t>
        </is>
      </c>
      <c r="G1342" s="48" t="n">
        <v>0</v>
      </c>
      <c r="H1342" s="49" t="n">
        <v>0</v>
      </c>
      <c r="I1342" s="49" t="n">
        <v>0</v>
      </c>
      <c r="J1342" s="50" t="n">
        <v>0</v>
      </c>
      <c r="K1342" s="51" t="n">
        <v>0</v>
      </c>
      <c r="L1342" s="52" t="n">
        <v>0</v>
      </c>
      <c r="M1342" s="52" t="n">
        <v>0</v>
      </c>
      <c r="N1342" s="52" t="n">
        <v>0</v>
      </c>
      <c r="O1342" s="53" t="n">
        <v>0</v>
      </c>
      <c r="P1342" s="52" t="n">
        <v>0</v>
      </c>
      <c r="Q1342" s="53" t="n">
        <v>0</v>
      </c>
      <c r="R1342" s="52" t="n">
        <v>0</v>
      </c>
      <c r="S1342" s="51" t="n">
        <v>0</v>
      </c>
      <c r="T1342" s="48" t="n">
        <v>0</v>
      </c>
      <c r="U1342" s="49" t="n">
        <v>0</v>
      </c>
      <c r="V1342" s="49" t="n">
        <v>0</v>
      </c>
      <c r="W1342" s="50" t="n">
        <v>0</v>
      </c>
      <c r="X1342" s="51" t="n">
        <v>0</v>
      </c>
      <c r="Y1342" s="52" t="n">
        <v>0</v>
      </c>
      <c r="Z1342" s="52" t="n">
        <v>0</v>
      </c>
      <c r="AA1342" s="52" t="n">
        <v>0</v>
      </c>
      <c r="AB1342" s="53" t="n">
        <v>0</v>
      </c>
      <c r="AC1342" s="52" t="n">
        <v>0</v>
      </c>
      <c r="AD1342" s="53" t="n">
        <v>0</v>
      </c>
      <c r="AE1342" s="52" t="n">
        <v>0</v>
      </c>
      <c r="AF1342" s="51" t="n">
        <v>0</v>
      </c>
      <c r="AG1342" s="48" t="n">
        <v>0</v>
      </c>
      <c r="AH1342" s="49" t="n">
        <v>0</v>
      </c>
      <c r="AI1342" s="49" t="n">
        <v>0</v>
      </c>
      <c r="AJ1342" s="50" t="n">
        <v>0</v>
      </c>
      <c r="AK1342" s="51" t="n">
        <v>0</v>
      </c>
      <c r="AL1342" s="52" t="n">
        <v>0</v>
      </c>
      <c r="AM1342" s="52" t="n">
        <v>0</v>
      </c>
      <c r="AN1342" s="52" t="n">
        <v>0</v>
      </c>
      <c r="AO1342" s="53" t="n">
        <v>0</v>
      </c>
      <c r="AP1342" s="52" t="n">
        <v>0</v>
      </c>
      <c r="AQ1342" s="53" t="n">
        <v>0</v>
      </c>
      <c r="AR1342" s="52" t="n">
        <v>0</v>
      </c>
      <c r="AS1342" s="51" t="n">
        <v>0</v>
      </c>
      <c r="AT1342" s="48" t="n">
        <v>0</v>
      </c>
      <c r="AU1342" s="49" t="n">
        <v>0</v>
      </c>
      <c r="AV1342" s="49" t="n">
        <v>0</v>
      </c>
      <c r="AW1342" s="50" t="n">
        <v>0</v>
      </c>
      <c r="AX1342" s="51" t="n">
        <v>0</v>
      </c>
      <c r="AY1342" s="52" t="n">
        <v>0</v>
      </c>
      <c r="AZ1342" s="52" t="n">
        <v>0</v>
      </c>
      <c r="BA1342" s="52" t="n">
        <v>0</v>
      </c>
      <c r="BB1342" s="53" t="n">
        <v>0</v>
      </c>
      <c r="BC1342" s="52" t="n">
        <v>0</v>
      </c>
      <c r="BD1342" s="53" t="n">
        <v>0</v>
      </c>
      <c r="BE1342" s="52" t="n">
        <v>0</v>
      </c>
      <c r="BF1342" s="51" t="n">
        <v>0</v>
      </c>
    </row>
    <row r="1343">
      <c r="A1343">
        <f>HYPERLINK("https://www.walmart.com/ip/14514159362", "14514159362")</f>
        <v/>
      </c>
      <c r="B1343" t="inlineStr">
        <is>
          <t>PEANUTS Snoopy 100% Cotton Family Matching Pajamas Holiday 2-Piece Sets for Christmas with Woodstock Charlie Brown Linus for Baby (Red Polka Dot, 6M)</t>
        </is>
      </c>
      <c r="C1343" t="inlineStr">
        <is>
          <t>PEA-PJS-FAMILY-INFANT-RED-6M</t>
        </is>
      </c>
      <c r="D1343" t="inlineStr">
        <is>
          <t>Pajamas</t>
        </is>
      </c>
      <c r="E1343" t="inlineStr">
        <is>
          <t>Peanuts</t>
        </is>
      </c>
      <c r="G1343" s="48" t="n">
        <v>0</v>
      </c>
      <c r="H1343" s="49" t="n">
        <v>0</v>
      </c>
      <c r="I1343" s="49" t="n">
        <v>0</v>
      </c>
      <c r="J1343" s="50" t="n">
        <v>0</v>
      </c>
      <c r="K1343" s="51" t="n">
        <v>0</v>
      </c>
      <c r="L1343" s="52" t="n">
        <v>0</v>
      </c>
      <c r="M1343" s="52" t="n">
        <v>0</v>
      </c>
      <c r="N1343" s="52" t="n">
        <v>0</v>
      </c>
      <c r="O1343" s="53" t="n">
        <v>0</v>
      </c>
      <c r="P1343" s="52" t="n">
        <v>0</v>
      </c>
      <c r="Q1343" s="53" t="n">
        <v>0</v>
      </c>
      <c r="R1343" s="52" t="n">
        <v>0</v>
      </c>
      <c r="S1343" s="51" t="n">
        <v>0</v>
      </c>
      <c r="T1343" s="48" t="n">
        <v>0</v>
      </c>
      <c r="U1343" s="49" t="n">
        <v>0</v>
      </c>
      <c r="V1343" s="49" t="n">
        <v>0</v>
      </c>
      <c r="W1343" s="50" t="n">
        <v>0</v>
      </c>
      <c r="X1343" s="51" t="n">
        <v>0</v>
      </c>
      <c r="Y1343" s="52" t="n">
        <v>0</v>
      </c>
      <c r="Z1343" s="52" t="n">
        <v>0</v>
      </c>
      <c r="AA1343" s="52" t="n">
        <v>0</v>
      </c>
      <c r="AB1343" s="53" t="n">
        <v>0</v>
      </c>
      <c r="AC1343" s="52" t="n">
        <v>0</v>
      </c>
      <c r="AD1343" s="53" t="n">
        <v>0</v>
      </c>
      <c r="AE1343" s="52" t="n">
        <v>0</v>
      </c>
      <c r="AF1343" s="51" t="n">
        <v>0</v>
      </c>
      <c r="AG1343" s="48" t="n">
        <v>0</v>
      </c>
      <c r="AH1343" s="49" t="n">
        <v>0</v>
      </c>
      <c r="AI1343" s="49" t="n">
        <v>0</v>
      </c>
      <c r="AJ1343" s="50" t="n">
        <v>0</v>
      </c>
      <c r="AK1343" s="51" t="n">
        <v>0</v>
      </c>
      <c r="AL1343" s="52" t="n">
        <v>0</v>
      </c>
      <c r="AM1343" s="52" t="n">
        <v>0</v>
      </c>
      <c r="AN1343" s="52" t="n">
        <v>0</v>
      </c>
      <c r="AO1343" s="53" t="n">
        <v>0</v>
      </c>
      <c r="AP1343" s="52" t="n">
        <v>0</v>
      </c>
      <c r="AQ1343" s="53" t="n">
        <v>0</v>
      </c>
      <c r="AR1343" s="52" t="n">
        <v>0</v>
      </c>
      <c r="AS1343" s="51" t="n">
        <v>0</v>
      </c>
      <c r="AT1343" s="48" t="n">
        <v>0</v>
      </c>
      <c r="AU1343" s="49" t="n">
        <v>0</v>
      </c>
      <c r="AV1343" s="49" t="n">
        <v>0</v>
      </c>
      <c r="AW1343" s="50" t="n">
        <v>0</v>
      </c>
      <c r="AX1343" s="51" t="n">
        <v>0</v>
      </c>
      <c r="AY1343" s="52" t="n">
        <v>0</v>
      </c>
      <c r="AZ1343" s="52" t="n">
        <v>0</v>
      </c>
      <c r="BA1343" s="52" t="n">
        <v>0</v>
      </c>
      <c r="BB1343" s="53" t="n">
        <v>0</v>
      </c>
      <c r="BC1343" s="52" t="n">
        <v>0</v>
      </c>
      <c r="BD1343" s="53" t="n">
        <v>0</v>
      </c>
      <c r="BE1343" s="52" t="n">
        <v>0</v>
      </c>
      <c r="BF1343" s="51" t="n">
        <v>0</v>
      </c>
    </row>
    <row r="1344">
      <c r="A1344">
        <f>HYPERLINK("https://www.walmart.com/ip/14489014458", "14489014458")</f>
        <v/>
      </c>
      <c r="B1344" t="inlineStr">
        <is>
          <t>Tirrinia Womens' Hoodie Blanket Sweatshirt, Oversized Comfortable Fleece Giant Wearable Blankets, Hoodie Blanket for Men, Gift for Her Him, Black</t>
        </is>
      </c>
      <c r="C1344" t="inlineStr">
        <is>
          <t>1TROSH400BK-FS</t>
        </is>
      </c>
      <c r="D1344" t="inlineStr">
        <is>
          <t>Sweatshirts &amp; Hoodies</t>
        </is>
      </c>
      <c r="E1344" t="inlineStr">
        <is>
          <t>Tirrinia</t>
        </is>
      </c>
      <c r="G1344" s="48" t="n">
        <v>0</v>
      </c>
      <c r="H1344" s="49" t="n">
        <v>0</v>
      </c>
      <c r="I1344" s="49" t="n">
        <v>0</v>
      </c>
      <c r="J1344" s="50" t="n">
        <v>0</v>
      </c>
      <c r="K1344" s="51" t="n">
        <v>0</v>
      </c>
      <c r="L1344" s="52" t="n">
        <v>0</v>
      </c>
      <c r="M1344" s="52" t="n">
        <v>0</v>
      </c>
      <c r="N1344" s="52" t="n">
        <v>0</v>
      </c>
      <c r="O1344" s="53" t="n">
        <v>0</v>
      </c>
      <c r="P1344" s="52" t="n">
        <v>0</v>
      </c>
      <c r="Q1344" s="53" t="n">
        <v>0</v>
      </c>
      <c r="R1344" s="52" t="n">
        <v>0</v>
      </c>
      <c r="S1344" s="51" t="n">
        <v>0</v>
      </c>
      <c r="T1344" s="48" t="n">
        <v>0</v>
      </c>
      <c r="U1344" s="49" t="n">
        <v>0</v>
      </c>
      <c r="V1344" s="49" t="n">
        <v>0</v>
      </c>
      <c r="W1344" s="50" t="n">
        <v>0</v>
      </c>
      <c r="X1344" s="51" t="n">
        <v>0</v>
      </c>
      <c r="Y1344" s="52" t="n">
        <v>0</v>
      </c>
      <c r="Z1344" s="52" t="n">
        <v>0</v>
      </c>
      <c r="AA1344" s="52" t="n">
        <v>0</v>
      </c>
      <c r="AB1344" s="53" t="n">
        <v>0</v>
      </c>
      <c r="AC1344" s="52" t="n">
        <v>0</v>
      </c>
      <c r="AD1344" s="53" t="n">
        <v>0</v>
      </c>
      <c r="AE1344" s="52" t="n">
        <v>0</v>
      </c>
      <c r="AF1344" s="51" t="n">
        <v>0</v>
      </c>
      <c r="AG1344" s="48" t="n">
        <v>0</v>
      </c>
      <c r="AH1344" s="49" t="n">
        <v>0</v>
      </c>
      <c r="AI1344" s="49" t="n">
        <v>0</v>
      </c>
      <c r="AJ1344" s="50" t="n">
        <v>0</v>
      </c>
      <c r="AK1344" s="51" t="n">
        <v>0</v>
      </c>
      <c r="AL1344" s="52" t="n">
        <v>0</v>
      </c>
      <c r="AM1344" s="52" t="n">
        <v>0</v>
      </c>
      <c r="AN1344" s="52" t="n">
        <v>0</v>
      </c>
      <c r="AO1344" s="53" t="n">
        <v>0</v>
      </c>
      <c r="AP1344" s="52" t="n">
        <v>0</v>
      </c>
      <c r="AQ1344" s="53" t="n">
        <v>0</v>
      </c>
      <c r="AR1344" s="52" t="n">
        <v>0</v>
      </c>
      <c r="AS1344" s="51" t="n">
        <v>0</v>
      </c>
      <c r="AT1344" s="48" t="n">
        <v>0</v>
      </c>
      <c r="AU1344" s="49" t="n">
        <v>0</v>
      </c>
      <c r="AV1344" s="49" t="n">
        <v>0</v>
      </c>
      <c r="AW1344" s="50" t="n">
        <v>0</v>
      </c>
      <c r="AX1344" s="51" t="n">
        <v>0</v>
      </c>
      <c r="AY1344" s="52" t="n">
        <v>0</v>
      </c>
      <c r="AZ1344" s="52" t="n">
        <v>0</v>
      </c>
      <c r="BA1344" s="52" t="n">
        <v>0</v>
      </c>
      <c r="BB1344" s="53" t="n">
        <v>0</v>
      </c>
      <c r="BC1344" s="52" t="n">
        <v>0</v>
      </c>
      <c r="BD1344" s="53" t="n">
        <v>0</v>
      </c>
      <c r="BE1344" s="52" t="n">
        <v>0</v>
      </c>
      <c r="BF1344" s="51" t="n">
        <v>0</v>
      </c>
    </row>
    <row r="1345">
      <c r="A1345">
        <f>HYPERLINK("https://www.walmart.com/ip/14525011718", "14525011718")</f>
        <v/>
      </c>
      <c r="B1345" t="inlineStr">
        <is>
          <t>PEANUTS Snoopy 100% Cotton Family Matching Pajamas Holiday 2-Piece Sets for Christmas with Woodstock Charlie Brown Linus for Baby (Red Polka Dot, 18M)</t>
        </is>
      </c>
      <c r="C1345" t="inlineStr">
        <is>
          <t>PEA-PJS-FAMILY-INFANT-RED-18M</t>
        </is>
      </c>
      <c r="D1345" t="inlineStr">
        <is>
          <t>Pajamas</t>
        </is>
      </c>
      <c r="E1345" t="inlineStr">
        <is>
          <t>Peanuts</t>
        </is>
      </c>
      <c r="G1345" s="48" t="n">
        <v>0</v>
      </c>
      <c r="H1345" s="49" t="n">
        <v>0</v>
      </c>
      <c r="I1345" s="49" t="n">
        <v>0</v>
      </c>
      <c r="J1345" s="50" t="n">
        <v>0</v>
      </c>
      <c r="K1345" s="51" t="n">
        <v>0</v>
      </c>
      <c r="L1345" s="52" t="n">
        <v>0</v>
      </c>
      <c r="M1345" s="52" t="n">
        <v>0</v>
      </c>
      <c r="N1345" s="52" t="n">
        <v>0</v>
      </c>
      <c r="O1345" s="53" t="n">
        <v>0</v>
      </c>
      <c r="P1345" s="52" t="n">
        <v>0</v>
      </c>
      <c r="Q1345" s="53" t="n">
        <v>0</v>
      </c>
      <c r="R1345" s="52" t="n">
        <v>0</v>
      </c>
      <c r="S1345" s="51" t="n">
        <v>0</v>
      </c>
      <c r="T1345" s="48" t="n">
        <v>0</v>
      </c>
      <c r="U1345" s="49" t="n">
        <v>0</v>
      </c>
      <c r="V1345" s="49" t="n">
        <v>0</v>
      </c>
      <c r="W1345" s="50" t="n">
        <v>0</v>
      </c>
      <c r="X1345" s="51" t="n">
        <v>0</v>
      </c>
      <c r="Y1345" s="52" t="n">
        <v>0</v>
      </c>
      <c r="Z1345" s="52" t="n">
        <v>0</v>
      </c>
      <c r="AA1345" s="52" t="n">
        <v>0</v>
      </c>
      <c r="AB1345" s="53" t="n">
        <v>0</v>
      </c>
      <c r="AC1345" s="52" t="n">
        <v>0</v>
      </c>
      <c r="AD1345" s="53" t="n">
        <v>0</v>
      </c>
      <c r="AE1345" s="52" t="n">
        <v>0</v>
      </c>
      <c r="AF1345" s="51" t="n">
        <v>0</v>
      </c>
      <c r="AG1345" s="48" t="n">
        <v>0</v>
      </c>
      <c r="AH1345" s="49" t="n">
        <v>0</v>
      </c>
      <c r="AI1345" s="49" t="n">
        <v>0</v>
      </c>
      <c r="AJ1345" s="50" t="n">
        <v>0</v>
      </c>
      <c r="AK1345" s="51" t="n">
        <v>0</v>
      </c>
      <c r="AL1345" s="52" t="n">
        <v>0</v>
      </c>
      <c r="AM1345" s="52" t="n">
        <v>0</v>
      </c>
      <c r="AN1345" s="52" t="n">
        <v>0</v>
      </c>
      <c r="AO1345" s="53" t="n">
        <v>0</v>
      </c>
      <c r="AP1345" s="52" t="n">
        <v>0</v>
      </c>
      <c r="AQ1345" s="53" t="n">
        <v>0</v>
      </c>
      <c r="AR1345" s="52" t="n">
        <v>0</v>
      </c>
      <c r="AS1345" s="51" t="n">
        <v>0</v>
      </c>
      <c r="AT1345" s="48" t="n">
        <v>0</v>
      </c>
      <c r="AU1345" s="49" t="n">
        <v>0</v>
      </c>
      <c r="AV1345" s="49" t="n">
        <v>0</v>
      </c>
      <c r="AW1345" s="50" t="n">
        <v>0</v>
      </c>
      <c r="AX1345" s="51" t="n">
        <v>0</v>
      </c>
      <c r="AY1345" s="52" t="n">
        <v>0</v>
      </c>
      <c r="AZ1345" s="52" t="n">
        <v>0</v>
      </c>
      <c r="BA1345" s="52" t="n">
        <v>0</v>
      </c>
      <c r="BB1345" s="53" t="n">
        <v>0</v>
      </c>
      <c r="BC1345" s="52" t="n">
        <v>0</v>
      </c>
      <c r="BD1345" s="53" t="n">
        <v>0</v>
      </c>
      <c r="BE1345" s="52" t="n">
        <v>0</v>
      </c>
      <c r="BF1345" s="51" t="n">
        <v>0</v>
      </c>
    </row>
    <row r="1346">
      <c r="A1346">
        <f>HYPERLINK("https://www.walmart.com/ip/14527013541", "14527013541")</f>
        <v/>
      </c>
      <c r="B1346" t="inlineStr">
        <is>
          <t>PEANUTS Mens' Cotton Snoopy Family Matching Pajamas 2-Piece Sets for Christmas with Woodstock Charlie Brown Linus, Gift for him (Black Plaid, L)</t>
        </is>
      </c>
      <c r="C1346" t="inlineStr">
        <is>
          <t>PEA-PJS-FAMILY-MEN-BLACKPLAID-L</t>
        </is>
      </c>
      <c r="D1346" t="inlineStr">
        <is>
          <t>Pajamas</t>
        </is>
      </c>
      <c r="E1346" t="inlineStr">
        <is>
          <t>Peanuts</t>
        </is>
      </c>
      <c r="G1346" s="48" t="n">
        <v>0</v>
      </c>
      <c r="H1346" s="49" t="n">
        <v>0</v>
      </c>
      <c r="I1346" s="49" t="n">
        <v>0</v>
      </c>
      <c r="J1346" s="50" t="n">
        <v>0</v>
      </c>
      <c r="K1346" s="51" t="n">
        <v>0</v>
      </c>
      <c r="L1346" s="52" t="n">
        <v>0</v>
      </c>
      <c r="M1346" s="52" t="n">
        <v>0</v>
      </c>
      <c r="N1346" s="52" t="n">
        <v>0</v>
      </c>
      <c r="O1346" s="53" t="n">
        <v>0</v>
      </c>
      <c r="P1346" s="52" t="n">
        <v>0</v>
      </c>
      <c r="Q1346" s="53" t="n">
        <v>0</v>
      </c>
      <c r="R1346" s="52" t="n">
        <v>0</v>
      </c>
      <c r="S1346" s="51" t="n">
        <v>0</v>
      </c>
      <c r="T1346" s="48" t="n">
        <v>0</v>
      </c>
      <c r="U1346" s="49" t="n">
        <v>0</v>
      </c>
      <c r="V1346" s="49" t="n">
        <v>0</v>
      </c>
      <c r="W1346" s="50" t="n">
        <v>0</v>
      </c>
      <c r="X1346" s="51" t="n">
        <v>0</v>
      </c>
      <c r="Y1346" s="52" t="n">
        <v>0</v>
      </c>
      <c r="Z1346" s="52" t="n">
        <v>0</v>
      </c>
      <c r="AA1346" s="52" t="n">
        <v>0</v>
      </c>
      <c r="AB1346" s="53" t="n">
        <v>0</v>
      </c>
      <c r="AC1346" s="52" t="n">
        <v>0</v>
      </c>
      <c r="AD1346" s="53" t="n">
        <v>0</v>
      </c>
      <c r="AE1346" s="52" t="n">
        <v>0</v>
      </c>
      <c r="AF1346" s="51" t="n">
        <v>0</v>
      </c>
      <c r="AG1346" s="48" t="n">
        <v>0</v>
      </c>
      <c r="AH1346" s="49" t="n">
        <v>0</v>
      </c>
      <c r="AI1346" s="49" t="n">
        <v>0</v>
      </c>
      <c r="AJ1346" s="50" t="n">
        <v>0</v>
      </c>
      <c r="AK1346" s="51" t="n">
        <v>0</v>
      </c>
      <c r="AL1346" s="52" t="n">
        <v>0</v>
      </c>
      <c r="AM1346" s="52" t="n">
        <v>0</v>
      </c>
      <c r="AN1346" s="52" t="n">
        <v>0</v>
      </c>
      <c r="AO1346" s="53" t="n">
        <v>0</v>
      </c>
      <c r="AP1346" s="52" t="n">
        <v>0</v>
      </c>
      <c r="AQ1346" s="53" t="n">
        <v>0</v>
      </c>
      <c r="AR1346" s="52" t="n">
        <v>0</v>
      </c>
      <c r="AS1346" s="51" t="n">
        <v>0</v>
      </c>
      <c r="AT1346" s="48" t="n">
        <v>0</v>
      </c>
      <c r="AU1346" s="49" t="n">
        <v>0</v>
      </c>
      <c r="AV1346" s="49" t="n">
        <v>0</v>
      </c>
      <c r="AW1346" s="50" t="n">
        <v>0</v>
      </c>
      <c r="AX1346" s="51" t="n">
        <v>0</v>
      </c>
      <c r="AY1346" s="52" t="n">
        <v>0</v>
      </c>
      <c r="AZ1346" s="52" t="n">
        <v>0</v>
      </c>
      <c r="BA1346" s="52" t="n">
        <v>0</v>
      </c>
      <c r="BB1346" s="53" t="n">
        <v>0</v>
      </c>
      <c r="BC1346" s="52" t="n">
        <v>0</v>
      </c>
      <c r="BD1346" s="53" t="n">
        <v>0</v>
      </c>
      <c r="BE1346" s="52" t="n">
        <v>0</v>
      </c>
      <c r="BF1346" s="51" t="n">
        <v>0</v>
      </c>
    </row>
    <row r="1347">
      <c r="A1347">
        <f>HYPERLINK("https://www.walmart.com/ip/14527013543", "14527013543")</f>
        <v/>
      </c>
      <c r="B1347" t="inlineStr">
        <is>
          <t>PEANUTS Womens 100% Cotton Family Matching Pajamas Holiday Festive Nightwear Sleepwear 2-Piece Sets for Christmas Gifts Gifts (Black Plaid, L)</t>
        </is>
      </c>
      <c r="C1347" t="inlineStr">
        <is>
          <t>PEA-PJS-FAMILY-WOMEN-BLACKPLAID-L</t>
        </is>
      </c>
      <c r="D1347" t="inlineStr">
        <is>
          <t>Pajamas</t>
        </is>
      </c>
      <c r="E1347" t="inlineStr">
        <is>
          <t>Peanuts</t>
        </is>
      </c>
      <c r="G1347" s="48" t="n">
        <v>0</v>
      </c>
      <c r="H1347" s="49" t="n">
        <v>0</v>
      </c>
      <c r="I1347" s="49" t="n">
        <v>0</v>
      </c>
      <c r="J1347" s="50" t="n">
        <v>0</v>
      </c>
      <c r="K1347" s="51" t="n">
        <v>0</v>
      </c>
      <c r="L1347" s="52" t="n">
        <v>0</v>
      </c>
      <c r="M1347" s="52" t="n">
        <v>0</v>
      </c>
      <c r="N1347" s="52" t="n">
        <v>0</v>
      </c>
      <c r="O1347" s="53" t="n">
        <v>0</v>
      </c>
      <c r="P1347" s="52" t="n">
        <v>0</v>
      </c>
      <c r="Q1347" s="53" t="n">
        <v>0</v>
      </c>
      <c r="R1347" s="52" t="n">
        <v>0</v>
      </c>
      <c r="S1347" s="51" t="n">
        <v>0</v>
      </c>
      <c r="T1347" s="48" t="n">
        <v>0</v>
      </c>
      <c r="U1347" s="49" t="n">
        <v>0</v>
      </c>
      <c r="V1347" s="49" t="n">
        <v>0</v>
      </c>
      <c r="W1347" s="50" t="n">
        <v>0</v>
      </c>
      <c r="X1347" s="51" t="n">
        <v>0</v>
      </c>
      <c r="Y1347" s="52" t="n">
        <v>0</v>
      </c>
      <c r="Z1347" s="52" t="n">
        <v>0</v>
      </c>
      <c r="AA1347" s="52" t="n">
        <v>0</v>
      </c>
      <c r="AB1347" s="53" t="n">
        <v>0</v>
      </c>
      <c r="AC1347" s="52" t="n">
        <v>0</v>
      </c>
      <c r="AD1347" s="53" t="n">
        <v>0</v>
      </c>
      <c r="AE1347" s="52" t="n">
        <v>0</v>
      </c>
      <c r="AF1347" s="51" t="n">
        <v>0</v>
      </c>
      <c r="AG1347" s="48" t="n">
        <v>0</v>
      </c>
      <c r="AH1347" s="49" t="n">
        <v>0</v>
      </c>
      <c r="AI1347" s="49" t="n">
        <v>0</v>
      </c>
      <c r="AJ1347" s="50" t="n">
        <v>0</v>
      </c>
      <c r="AK1347" s="51" t="n">
        <v>0</v>
      </c>
      <c r="AL1347" s="52" t="n">
        <v>0</v>
      </c>
      <c r="AM1347" s="52" t="n">
        <v>0</v>
      </c>
      <c r="AN1347" s="52" t="n">
        <v>0</v>
      </c>
      <c r="AO1347" s="53" t="n">
        <v>0</v>
      </c>
      <c r="AP1347" s="52" t="n">
        <v>0</v>
      </c>
      <c r="AQ1347" s="53" t="n">
        <v>0</v>
      </c>
      <c r="AR1347" s="52" t="n">
        <v>0</v>
      </c>
      <c r="AS1347" s="51" t="n">
        <v>0</v>
      </c>
      <c r="AT1347" s="48" t="n">
        <v>0</v>
      </c>
      <c r="AU1347" s="49" t="n">
        <v>0</v>
      </c>
      <c r="AV1347" s="49" t="n">
        <v>0</v>
      </c>
      <c r="AW1347" s="50" t="n">
        <v>0</v>
      </c>
      <c r="AX1347" s="51" t="n">
        <v>0</v>
      </c>
      <c r="AY1347" s="52" t="n">
        <v>0</v>
      </c>
      <c r="AZ1347" s="52" t="n">
        <v>0</v>
      </c>
      <c r="BA1347" s="52" t="n">
        <v>0</v>
      </c>
      <c r="BB1347" s="53" t="n">
        <v>0</v>
      </c>
      <c r="BC1347" s="52" t="n">
        <v>0</v>
      </c>
      <c r="BD1347" s="53" t="n">
        <v>0</v>
      </c>
      <c r="BE1347" s="52" t="n">
        <v>0</v>
      </c>
      <c r="BF1347" s="51" t="n">
        <v>0</v>
      </c>
    </row>
    <row r="1348">
      <c r="A1348">
        <f>HYPERLINK("https://www.walmart.com/ip/14527764278", "14527764278")</f>
        <v/>
      </c>
      <c r="B1348" t="inlineStr">
        <is>
          <t>PEANUTS Womens 100% Cotton Family Matching Pajamas Holiday Festive Nightwear Sleepwear 2-Piece Sets for Christmas Gifts (Red Polka Dot, S)</t>
        </is>
      </c>
      <c r="C1348" t="inlineStr">
        <is>
          <t>PEA-PJS-FAMILY-WOMEN-RED-S</t>
        </is>
      </c>
      <c r="D1348" t="inlineStr">
        <is>
          <t>Pajamas</t>
        </is>
      </c>
      <c r="E1348" t="inlineStr">
        <is>
          <t>Peanuts</t>
        </is>
      </c>
      <c r="G1348" s="48" t="n">
        <v>0</v>
      </c>
      <c r="H1348" s="49" t="n">
        <v>0</v>
      </c>
      <c r="I1348" s="49" t="n">
        <v>0</v>
      </c>
      <c r="J1348" s="50" t="n">
        <v>0</v>
      </c>
      <c r="K1348" s="51" t="n">
        <v>0</v>
      </c>
      <c r="L1348" s="52" t="n">
        <v>0</v>
      </c>
      <c r="M1348" s="52" t="n">
        <v>0</v>
      </c>
      <c r="N1348" s="52" t="n">
        <v>0</v>
      </c>
      <c r="O1348" s="53" t="n">
        <v>0</v>
      </c>
      <c r="P1348" s="52" t="n">
        <v>0</v>
      </c>
      <c r="Q1348" s="53" t="n">
        <v>0</v>
      </c>
      <c r="R1348" s="52" t="n">
        <v>0</v>
      </c>
      <c r="S1348" s="51" t="n">
        <v>0</v>
      </c>
      <c r="T1348" s="48" t="n">
        <v>0</v>
      </c>
      <c r="U1348" s="49" t="n">
        <v>0</v>
      </c>
      <c r="V1348" s="49" t="n">
        <v>0</v>
      </c>
      <c r="W1348" s="50" t="n">
        <v>0</v>
      </c>
      <c r="X1348" s="51" t="n">
        <v>0</v>
      </c>
      <c r="Y1348" s="52" t="n">
        <v>0</v>
      </c>
      <c r="Z1348" s="52" t="n">
        <v>0</v>
      </c>
      <c r="AA1348" s="52" t="n">
        <v>0</v>
      </c>
      <c r="AB1348" s="53" t="n">
        <v>0</v>
      </c>
      <c r="AC1348" s="52" t="n">
        <v>0</v>
      </c>
      <c r="AD1348" s="53" t="n">
        <v>0</v>
      </c>
      <c r="AE1348" s="52" t="n">
        <v>0</v>
      </c>
      <c r="AF1348" s="51" t="n">
        <v>0</v>
      </c>
      <c r="AG1348" s="48" t="n">
        <v>0</v>
      </c>
      <c r="AH1348" s="49" t="n">
        <v>0</v>
      </c>
      <c r="AI1348" s="49" t="n">
        <v>0</v>
      </c>
      <c r="AJ1348" s="50" t="n">
        <v>0</v>
      </c>
      <c r="AK1348" s="51" t="n">
        <v>0</v>
      </c>
      <c r="AL1348" s="52" t="n">
        <v>0</v>
      </c>
      <c r="AM1348" s="52" t="n">
        <v>0</v>
      </c>
      <c r="AN1348" s="52" t="n">
        <v>0</v>
      </c>
      <c r="AO1348" s="53" t="n">
        <v>0</v>
      </c>
      <c r="AP1348" s="52" t="n">
        <v>0</v>
      </c>
      <c r="AQ1348" s="53" t="n">
        <v>0</v>
      </c>
      <c r="AR1348" s="52" t="n">
        <v>0</v>
      </c>
      <c r="AS1348" s="51" t="n">
        <v>0</v>
      </c>
      <c r="AT1348" s="48" t="n">
        <v>0</v>
      </c>
      <c r="AU1348" s="49" t="n">
        <v>0</v>
      </c>
      <c r="AV1348" s="49" t="n">
        <v>0</v>
      </c>
      <c r="AW1348" s="50" t="n">
        <v>0</v>
      </c>
      <c r="AX1348" s="51" t="n">
        <v>0</v>
      </c>
      <c r="AY1348" s="52" t="n">
        <v>0</v>
      </c>
      <c r="AZ1348" s="52" t="n">
        <v>0</v>
      </c>
      <c r="BA1348" s="52" t="n">
        <v>0</v>
      </c>
      <c r="BB1348" s="53" t="n">
        <v>0</v>
      </c>
      <c r="BC1348" s="52" t="n">
        <v>0</v>
      </c>
      <c r="BD1348" s="53" t="n">
        <v>0</v>
      </c>
      <c r="BE1348" s="52" t="n">
        <v>0</v>
      </c>
      <c r="BF1348" s="51" t="n">
        <v>0</v>
      </c>
    </row>
    <row r="1349">
      <c r="A1349">
        <f>HYPERLINK("https://www.walmart.com/ip/14527764280", "14527764280")</f>
        <v/>
      </c>
      <c r="B1349" t="inlineStr">
        <is>
          <t>PEANUTS Mens' Cotton Snoopy Family Matching Pajamas 2-Piece Sets for Christmas with Woodstock Charlie Brown Linus, Gift for him (Red Plaid, S)</t>
        </is>
      </c>
      <c r="C1349" t="inlineStr">
        <is>
          <t>PEA-PJS-FAMILY-MEN-REDPLAID-S</t>
        </is>
      </c>
      <c r="D1349" t="inlineStr">
        <is>
          <t>Pajamas</t>
        </is>
      </c>
      <c r="E1349" t="inlineStr">
        <is>
          <t>Peanuts</t>
        </is>
      </c>
      <c r="G1349" s="48" t="n">
        <v>0</v>
      </c>
      <c r="H1349" s="49" t="n">
        <v>0</v>
      </c>
      <c r="I1349" s="49" t="n">
        <v>0</v>
      </c>
      <c r="J1349" s="50" t="n">
        <v>0</v>
      </c>
      <c r="K1349" s="51" t="n">
        <v>0</v>
      </c>
      <c r="L1349" s="52" t="n">
        <v>0</v>
      </c>
      <c r="M1349" s="52" t="n">
        <v>0</v>
      </c>
      <c r="N1349" s="52" t="n">
        <v>0</v>
      </c>
      <c r="O1349" s="53" t="n">
        <v>0</v>
      </c>
      <c r="P1349" s="52" t="n">
        <v>0</v>
      </c>
      <c r="Q1349" s="53" t="n">
        <v>0</v>
      </c>
      <c r="R1349" s="52" t="n">
        <v>0</v>
      </c>
      <c r="S1349" s="51" t="n">
        <v>0</v>
      </c>
      <c r="T1349" s="48" t="n">
        <v>0</v>
      </c>
      <c r="U1349" s="49" t="n">
        <v>0</v>
      </c>
      <c r="V1349" s="49" t="n">
        <v>0</v>
      </c>
      <c r="W1349" s="50" t="n">
        <v>0</v>
      </c>
      <c r="X1349" s="51" t="n">
        <v>0</v>
      </c>
      <c r="Y1349" s="52" t="n">
        <v>0</v>
      </c>
      <c r="Z1349" s="52" t="n">
        <v>0</v>
      </c>
      <c r="AA1349" s="52" t="n">
        <v>0</v>
      </c>
      <c r="AB1349" s="53" t="n">
        <v>0</v>
      </c>
      <c r="AC1349" s="52" t="n">
        <v>0</v>
      </c>
      <c r="AD1349" s="53" t="n">
        <v>0</v>
      </c>
      <c r="AE1349" s="52" t="n">
        <v>0</v>
      </c>
      <c r="AF1349" s="51" t="n">
        <v>0</v>
      </c>
      <c r="AG1349" s="48" t="n">
        <v>0</v>
      </c>
      <c r="AH1349" s="49" t="n">
        <v>0</v>
      </c>
      <c r="AI1349" s="49" t="n">
        <v>0</v>
      </c>
      <c r="AJ1349" s="50" t="n">
        <v>0</v>
      </c>
      <c r="AK1349" s="51" t="n">
        <v>0</v>
      </c>
      <c r="AL1349" s="52" t="n">
        <v>0</v>
      </c>
      <c r="AM1349" s="52" t="n">
        <v>0</v>
      </c>
      <c r="AN1349" s="52" t="n">
        <v>0</v>
      </c>
      <c r="AO1349" s="53" t="n">
        <v>0</v>
      </c>
      <c r="AP1349" s="52" t="n">
        <v>0</v>
      </c>
      <c r="AQ1349" s="53" t="n">
        <v>0</v>
      </c>
      <c r="AR1349" s="52" t="n">
        <v>0</v>
      </c>
      <c r="AS1349" s="51" t="n">
        <v>0</v>
      </c>
      <c r="AT1349" s="48" t="n">
        <v>0</v>
      </c>
      <c r="AU1349" s="49" t="n">
        <v>0</v>
      </c>
      <c r="AV1349" s="49" t="n">
        <v>0</v>
      </c>
      <c r="AW1349" s="50" t="n">
        <v>0</v>
      </c>
      <c r="AX1349" s="51" t="n">
        <v>0</v>
      </c>
      <c r="AY1349" s="52" t="n">
        <v>0</v>
      </c>
      <c r="AZ1349" s="52" t="n">
        <v>0</v>
      </c>
      <c r="BA1349" s="52" t="n">
        <v>0</v>
      </c>
      <c r="BB1349" s="53" t="n">
        <v>0</v>
      </c>
      <c r="BC1349" s="52" t="n">
        <v>0</v>
      </c>
      <c r="BD1349" s="53" t="n">
        <v>0</v>
      </c>
      <c r="BE1349" s="52" t="n">
        <v>0</v>
      </c>
      <c r="BF1349" s="51" t="n">
        <v>0</v>
      </c>
    </row>
    <row r="1350">
      <c r="A1350">
        <f>HYPERLINK("https://www.walmart.com/ip/14527764282", "14527764282")</f>
        <v/>
      </c>
      <c r="B1350" t="inlineStr">
        <is>
          <t>PEANUTS Mens' Cotton Snoopy Family Matching Pajamas 2-Piece Sets for Christmas with Woodstock Charlie Brown Linus, Gift for him (Green Polka Dot, XXL)</t>
        </is>
      </c>
      <c r="C1350" t="inlineStr">
        <is>
          <t>PEA-PJS-FAMILY-MEN-GREEN-2XL</t>
        </is>
      </c>
      <c r="D1350" t="inlineStr">
        <is>
          <t>Pajamas</t>
        </is>
      </c>
      <c r="E1350" t="inlineStr">
        <is>
          <t>Peanuts</t>
        </is>
      </c>
      <c r="G1350" s="48" t="n">
        <v>0</v>
      </c>
      <c r="H1350" s="49" t="n">
        <v>0</v>
      </c>
      <c r="I1350" s="49" t="n">
        <v>0</v>
      </c>
      <c r="J1350" s="50" t="n">
        <v>0</v>
      </c>
      <c r="K1350" s="51" t="n">
        <v>0</v>
      </c>
      <c r="L1350" s="52" t="n">
        <v>0</v>
      </c>
      <c r="M1350" s="52" t="n">
        <v>0</v>
      </c>
      <c r="N1350" s="52" t="n">
        <v>0</v>
      </c>
      <c r="O1350" s="53" t="n">
        <v>0</v>
      </c>
      <c r="P1350" s="52" t="n">
        <v>0</v>
      </c>
      <c r="Q1350" s="53" t="n">
        <v>0</v>
      </c>
      <c r="R1350" s="52" t="n">
        <v>0</v>
      </c>
      <c r="S1350" s="51" t="n">
        <v>0</v>
      </c>
      <c r="T1350" s="48" t="n">
        <v>0</v>
      </c>
      <c r="U1350" s="49" t="n">
        <v>0</v>
      </c>
      <c r="V1350" s="49" t="n">
        <v>0</v>
      </c>
      <c r="W1350" s="50" t="n">
        <v>0</v>
      </c>
      <c r="X1350" s="51" t="n">
        <v>0</v>
      </c>
      <c r="Y1350" s="52" t="n">
        <v>0</v>
      </c>
      <c r="Z1350" s="52" t="n">
        <v>0</v>
      </c>
      <c r="AA1350" s="52" t="n">
        <v>0</v>
      </c>
      <c r="AB1350" s="53" t="n">
        <v>0</v>
      </c>
      <c r="AC1350" s="52" t="n">
        <v>0</v>
      </c>
      <c r="AD1350" s="53" t="n">
        <v>0</v>
      </c>
      <c r="AE1350" s="52" t="n">
        <v>0</v>
      </c>
      <c r="AF1350" s="51" t="n">
        <v>0</v>
      </c>
      <c r="AG1350" s="48" t="n">
        <v>0</v>
      </c>
      <c r="AH1350" s="49" t="n">
        <v>0</v>
      </c>
      <c r="AI1350" s="49" t="n">
        <v>0</v>
      </c>
      <c r="AJ1350" s="50" t="n">
        <v>0</v>
      </c>
      <c r="AK1350" s="51" t="n">
        <v>0</v>
      </c>
      <c r="AL1350" s="52" t="n">
        <v>0</v>
      </c>
      <c r="AM1350" s="52" t="n">
        <v>0</v>
      </c>
      <c r="AN1350" s="52" t="n">
        <v>0</v>
      </c>
      <c r="AO1350" s="53" t="n">
        <v>0</v>
      </c>
      <c r="AP1350" s="52" t="n">
        <v>0</v>
      </c>
      <c r="AQ1350" s="53" t="n">
        <v>0</v>
      </c>
      <c r="AR1350" s="52" t="n">
        <v>0</v>
      </c>
      <c r="AS1350" s="51" t="n">
        <v>0</v>
      </c>
      <c r="AT1350" s="48" t="n">
        <v>0</v>
      </c>
      <c r="AU1350" s="49" t="n">
        <v>0</v>
      </c>
      <c r="AV1350" s="49" t="n">
        <v>0</v>
      </c>
      <c r="AW1350" s="50" t="n">
        <v>0</v>
      </c>
      <c r="AX1350" s="51" t="n">
        <v>0</v>
      </c>
      <c r="AY1350" s="52" t="n">
        <v>0</v>
      </c>
      <c r="AZ1350" s="52" t="n">
        <v>0</v>
      </c>
      <c r="BA1350" s="52" t="n">
        <v>0</v>
      </c>
      <c r="BB1350" s="53" t="n">
        <v>0</v>
      </c>
      <c r="BC1350" s="52" t="n">
        <v>0</v>
      </c>
      <c r="BD1350" s="53" t="n">
        <v>0</v>
      </c>
      <c r="BE1350" s="52" t="n">
        <v>0</v>
      </c>
      <c r="BF1350" s="51" t="n">
        <v>0</v>
      </c>
    </row>
    <row r="1351">
      <c r="A1351">
        <f>HYPERLINK("https://www.walmart.com/ip/1452831611", "1452831611")</f>
        <v/>
      </c>
      <c r="B1351" t="inlineStr">
        <is>
          <t>Tirrinia Men's Trout Ventilate Mesh Fish Embroidery Cap Fishing Hat Navy Blue</t>
        </is>
      </c>
      <c r="C1351" t="inlineStr">
        <is>
          <t>1TRHT7180INFI-TBCB</t>
        </is>
      </c>
      <c r="D1351" t="inlineStr">
        <is>
          <t>Hats</t>
        </is>
      </c>
      <c r="E1351" t="inlineStr">
        <is>
          <t>Tirrinia</t>
        </is>
      </c>
      <c r="F1351" t="inlineStr">
        <is>
          <t>Batch 1 - TR</t>
        </is>
      </c>
      <c r="G1351" s="48" t="n">
        <v>0</v>
      </c>
      <c r="H1351" s="49" t="n">
        <v>0</v>
      </c>
      <c r="I1351" s="49" t="n">
        <v>0</v>
      </c>
      <c r="J1351" s="50" t="n">
        <v>0</v>
      </c>
      <c r="K1351" s="51" t="n">
        <v>0</v>
      </c>
      <c r="L1351" s="52" t="n">
        <v>0</v>
      </c>
      <c r="M1351" s="52" t="n">
        <v>0</v>
      </c>
      <c r="N1351" s="52" t="n">
        <v>0</v>
      </c>
      <c r="O1351" s="53" t="n">
        <v>0</v>
      </c>
      <c r="P1351" s="52" t="n">
        <v>0</v>
      </c>
      <c r="Q1351" s="53" t="n">
        <v>0</v>
      </c>
      <c r="R1351" s="52" t="n">
        <v>0</v>
      </c>
      <c r="S1351" s="51" t="n">
        <v>0</v>
      </c>
      <c r="T1351" s="48" t="n">
        <v>0</v>
      </c>
      <c r="U1351" s="49" t="n">
        <v>0</v>
      </c>
      <c r="V1351" s="49" t="n">
        <v>0</v>
      </c>
      <c r="W1351" s="50" t="n">
        <v>0</v>
      </c>
      <c r="X1351" s="51" t="n">
        <v>0</v>
      </c>
      <c r="Y1351" s="52" t="n">
        <v>0</v>
      </c>
      <c r="Z1351" s="52" t="n">
        <v>0</v>
      </c>
      <c r="AA1351" s="52" t="n">
        <v>0</v>
      </c>
      <c r="AB1351" s="53" t="n">
        <v>0</v>
      </c>
      <c r="AC1351" s="52" t="n">
        <v>0</v>
      </c>
      <c r="AD1351" s="53" t="n">
        <v>0</v>
      </c>
      <c r="AE1351" s="52" t="n">
        <v>0</v>
      </c>
      <c r="AF1351" s="51" t="n">
        <v>0</v>
      </c>
      <c r="AG1351" s="48" t="n">
        <v>0</v>
      </c>
      <c r="AH1351" s="49" t="n">
        <v>0</v>
      </c>
      <c r="AI1351" s="49" t="n">
        <v>0</v>
      </c>
      <c r="AJ1351" s="50" t="n">
        <v>0</v>
      </c>
      <c r="AK1351" s="51" t="n">
        <v>0</v>
      </c>
      <c r="AL1351" s="52" t="n">
        <v>0</v>
      </c>
      <c r="AM1351" s="52" t="n">
        <v>0</v>
      </c>
      <c r="AN1351" s="52" t="n">
        <v>0</v>
      </c>
      <c r="AO1351" s="53" t="n">
        <v>0</v>
      </c>
      <c r="AP1351" s="52" t="n">
        <v>0</v>
      </c>
      <c r="AQ1351" s="53" t="n">
        <v>0</v>
      </c>
      <c r="AR1351" s="52" t="n">
        <v>0</v>
      </c>
      <c r="AS1351" s="51" t="n">
        <v>0</v>
      </c>
      <c r="AT1351" s="48" t="n">
        <v>0</v>
      </c>
      <c r="AU1351" s="49" t="n">
        <v>0</v>
      </c>
      <c r="AV1351" s="49" t="n">
        <v>0</v>
      </c>
      <c r="AW1351" s="50" t="n">
        <v>0</v>
      </c>
      <c r="AX1351" s="51" t="n">
        <v>0</v>
      </c>
      <c r="AY1351" s="52" t="n">
        <v>0</v>
      </c>
      <c r="AZ1351" s="52" t="n">
        <v>0</v>
      </c>
      <c r="BA1351" s="52" t="n">
        <v>0</v>
      </c>
      <c r="BB1351" s="53" t="n">
        <v>0</v>
      </c>
      <c r="BC1351" s="52" t="n">
        <v>0</v>
      </c>
      <c r="BD1351" s="53" t="n">
        <v>0</v>
      </c>
      <c r="BE1351" s="52" t="n">
        <v>0</v>
      </c>
      <c r="BF1351" s="51" t="n">
        <v>0</v>
      </c>
    </row>
    <row r="1352">
      <c r="A1352">
        <f>HYPERLINK("https://www.walmart.com/ip/14529374149", "14529374149")</f>
        <v/>
      </c>
      <c r="B1352" t="inlineStr">
        <is>
          <t>Aeropostale  Backpack for School, College, and Travel， Water Resistant Bookbag Black</t>
        </is>
      </c>
      <c r="C1352" t="inlineStr">
        <is>
          <t>1AEBPK92029BK</t>
        </is>
      </c>
      <c r="D1352" t="inlineStr">
        <is>
          <t>Backpacks</t>
        </is>
      </c>
      <c r="E1352" t="inlineStr">
        <is>
          <t>Aeropostale</t>
        </is>
      </c>
      <c r="G1352" s="48" t="n">
        <v>0</v>
      </c>
      <c r="H1352" s="49" t="n">
        <v>0</v>
      </c>
      <c r="I1352" s="49" t="n">
        <v>0</v>
      </c>
      <c r="J1352" s="50" t="n">
        <v>0</v>
      </c>
      <c r="K1352" s="51" t="n">
        <v>0</v>
      </c>
      <c r="L1352" s="52" t="n">
        <v>0</v>
      </c>
      <c r="M1352" s="52" t="n">
        <v>0</v>
      </c>
      <c r="N1352" s="52" t="n">
        <v>0</v>
      </c>
      <c r="O1352" s="53" t="n">
        <v>0</v>
      </c>
      <c r="P1352" s="52" t="n">
        <v>0</v>
      </c>
      <c r="Q1352" s="53" t="n">
        <v>0</v>
      </c>
      <c r="R1352" s="52" t="n">
        <v>0</v>
      </c>
      <c r="S1352" s="51" t="n">
        <v>0</v>
      </c>
      <c r="T1352" s="48" t="n">
        <v>0</v>
      </c>
      <c r="U1352" s="49" t="n">
        <v>0</v>
      </c>
      <c r="V1352" s="49" t="n">
        <v>0</v>
      </c>
      <c r="W1352" s="50" t="n">
        <v>0</v>
      </c>
      <c r="X1352" s="51" t="n">
        <v>0</v>
      </c>
      <c r="Y1352" s="52" t="n">
        <v>0</v>
      </c>
      <c r="Z1352" s="52" t="n">
        <v>0</v>
      </c>
      <c r="AA1352" s="52" t="n">
        <v>0</v>
      </c>
      <c r="AB1352" s="53" t="n">
        <v>0</v>
      </c>
      <c r="AC1352" s="52" t="n">
        <v>0</v>
      </c>
      <c r="AD1352" s="53" t="n">
        <v>0</v>
      </c>
      <c r="AE1352" s="52" t="n">
        <v>0</v>
      </c>
      <c r="AF1352" s="51" t="n">
        <v>0</v>
      </c>
      <c r="AG1352" s="48" t="n">
        <v>0</v>
      </c>
      <c r="AH1352" s="49" t="n">
        <v>0</v>
      </c>
      <c r="AI1352" s="49" t="n">
        <v>0</v>
      </c>
      <c r="AJ1352" s="50" t="n">
        <v>0</v>
      </c>
      <c r="AK1352" s="51" t="n">
        <v>0</v>
      </c>
      <c r="AL1352" s="52" t="n">
        <v>0</v>
      </c>
      <c r="AM1352" s="52" t="n">
        <v>0</v>
      </c>
      <c r="AN1352" s="52" t="n">
        <v>0</v>
      </c>
      <c r="AO1352" s="53" t="n">
        <v>0</v>
      </c>
      <c r="AP1352" s="52" t="n">
        <v>0</v>
      </c>
      <c r="AQ1352" s="53" t="n">
        <v>0</v>
      </c>
      <c r="AR1352" s="52" t="n">
        <v>0</v>
      </c>
      <c r="AS1352" s="51" t="n">
        <v>0</v>
      </c>
      <c r="AT1352" s="48" t="n">
        <v>0</v>
      </c>
      <c r="AU1352" s="49" t="n">
        <v>0</v>
      </c>
      <c r="AV1352" s="49" t="n">
        <v>0</v>
      </c>
      <c r="AW1352" s="50" t="n">
        <v>0</v>
      </c>
      <c r="AX1352" s="51" t="n">
        <v>0</v>
      </c>
      <c r="AY1352" s="52" t="n">
        <v>0</v>
      </c>
      <c r="AZ1352" s="52" t="n">
        <v>0</v>
      </c>
      <c r="BA1352" s="52" t="n">
        <v>0</v>
      </c>
      <c r="BB1352" s="53" t="n">
        <v>0</v>
      </c>
      <c r="BC1352" s="52" t="n">
        <v>0</v>
      </c>
      <c r="BD1352" s="53" t="n">
        <v>0</v>
      </c>
      <c r="BE1352" s="52" t="n">
        <v>0</v>
      </c>
      <c r="BF1352" s="51" t="n">
        <v>0</v>
      </c>
    </row>
    <row r="1353">
      <c r="A1353">
        <f>HYPERLINK("https://www.walmart.com/ip/14529374153", "14529374153")</f>
        <v/>
      </c>
      <c r="B1353" t="inlineStr">
        <is>
          <t>Aeropostale  Backpack for School, College, and Travel， Water Resistant Bookbag Navy Red</t>
        </is>
      </c>
      <c r="C1353" t="inlineStr">
        <is>
          <t>1AEBPK92029NYRD</t>
        </is>
      </c>
      <c r="D1353" t="inlineStr">
        <is>
          <t>Backpacks</t>
        </is>
      </c>
      <c r="E1353" t="inlineStr">
        <is>
          <t>Aeropostale</t>
        </is>
      </c>
      <c r="G1353" s="48" t="n">
        <v>0</v>
      </c>
      <c r="H1353" s="49" t="n">
        <v>0</v>
      </c>
      <c r="I1353" s="49" t="n">
        <v>0</v>
      </c>
      <c r="J1353" s="50" t="n">
        <v>0</v>
      </c>
      <c r="K1353" s="51" t="n">
        <v>0</v>
      </c>
      <c r="L1353" s="52" t="n">
        <v>0</v>
      </c>
      <c r="M1353" s="52" t="n">
        <v>0</v>
      </c>
      <c r="N1353" s="52" t="n">
        <v>0</v>
      </c>
      <c r="O1353" s="53" t="n">
        <v>0</v>
      </c>
      <c r="P1353" s="52" t="n">
        <v>0</v>
      </c>
      <c r="Q1353" s="53" t="n">
        <v>0</v>
      </c>
      <c r="R1353" s="52" t="n">
        <v>0</v>
      </c>
      <c r="S1353" s="51" t="n">
        <v>0</v>
      </c>
      <c r="T1353" s="48" t="n">
        <v>0</v>
      </c>
      <c r="U1353" s="49" t="n">
        <v>0</v>
      </c>
      <c r="V1353" s="49" t="n">
        <v>0</v>
      </c>
      <c r="W1353" s="50" t="n">
        <v>0</v>
      </c>
      <c r="X1353" s="51" t="n">
        <v>0</v>
      </c>
      <c r="Y1353" s="52" t="n">
        <v>0</v>
      </c>
      <c r="Z1353" s="52" t="n">
        <v>0</v>
      </c>
      <c r="AA1353" s="52" t="n">
        <v>0</v>
      </c>
      <c r="AB1353" s="53" t="n">
        <v>0</v>
      </c>
      <c r="AC1353" s="52" t="n">
        <v>0</v>
      </c>
      <c r="AD1353" s="53" t="n">
        <v>0</v>
      </c>
      <c r="AE1353" s="52" t="n">
        <v>0</v>
      </c>
      <c r="AF1353" s="51" t="n">
        <v>0</v>
      </c>
      <c r="AG1353" s="48" t="n">
        <v>0</v>
      </c>
      <c r="AH1353" s="49" t="n">
        <v>0</v>
      </c>
      <c r="AI1353" s="49" t="n">
        <v>0</v>
      </c>
      <c r="AJ1353" s="50" t="n">
        <v>0</v>
      </c>
      <c r="AK1353" s="51" t="n">
        <v>0</v>
      </c>
      <c r="AL1353" s="52" t="n">
        <v>0</v>
      </c>
      <c r="AM1353" s="52" t="n">
        <v>0</v>
      </c>
      <c r="AN1353" s="52" t="n">
        <v>0</v>
      </c>
      <c r="AO1353" s="53" t="n">
        <v>0</v>
      </c>
      <c r="AP1353" s="52" t="n">
        <v>0</v>
      </c>
      <c r="AQ1353" s="53" t="n">
        <v>0</v>
      </c>
      <c r="AR1353" s="52" t="n">
        <v>0</v>
      </c>
      <c r="AS1353" s="51" t="n">
        <v>0</v>
      </c>
      <c r="AT1353" s="48" t="n">
        <v>0</v>
      </c>
      <c r="AU1353" s="49" t="n">
        <v>0</v>
      </c>
      <c r="AV1353" s="49" t="n">
        <v>0</v>
      </c>
      <c r="AW1353" s="50" t="n">
        <v>0</v>
      </c>
      <c r="AX1353" s="51" t="n">
        <v>0</v>
      </c>
      <c r="AY1353" s="52" t="n">
        <v>0</v>
      </c>
      <c r="AZ1353" s="52" t="n">
        <v>0</v>
      </c>
      <c r="BA1353" s="52" t="n">
        <v>0</v>
      </c>
      <c r="BB1353" s="53" t="n">
        <v>0</v>
      </c>
      <c r="BC1353" s="52" t="n">
        <v>0</v>
      </c>
      <c r="BD1353" s="53" t="n">
        <v>0</v>
      </c>
      <c r="BE1353" s="52" t="n">
        <v>0</v>
      </c>
      <c r="BF1353" s="51" t="n">
        <v>0</v>
      </c>
    </row>
    <row r="1354">
      <c r="A1354">
        <f>HYPERLINK("https://www.walmart.com/ip/14529424212", "14529424212")</f>
        <v/>
      </c>
      <c r="B1354" t="inlineStr">
        <is>
          <t>Aeropostale  Backpack for School, College, and Travel， Water Resistant Bookbag Pink Rose</t>
        </is>
      </c>
      <c r="C1354" t="inlineStr">
        <is>
          <t>1AEBPK92029PKROSE</t>
        </is>
      </c>
      <c r="D1354" t="inlineStr">
        <is>
          <t>Backpacks</t>
        </is>
      </c>
      <c r="E1354" t="inlineStr">
        <is>
          <t>Aeropostale</t>
        </is>
      </c>
      <c r="G1354" s="48" t="n">
        <v>0</v>
      </c>
      <c r="H1354" s="49" t="n">
        <v>0</v>
      </c>
      <c r="I1354" s="49" t="n">
        <v>0</v>
      </c>
      <c r="J1354" s="50" t="n">
        <v>0</v>
      </c>
      <c r="K1354" s="51" t="n">
        <v>0</v>
      </c>
      <c r="L1354" s="52" t="n">
        <v>0</v>
      </c>
      <c r="M1354" s="52" t="n">
        <v>0</v>
      </c>
      <c r="N1354" s="52" t="n">
        <v>0</v>
      </c>
      <c r="O1354" s="53" t="n">
        <v>0</v>
      </c>
      <c r="P1354" s="52" t="n">
        <v>0</v>
      </c>
      <c r="Q1354" s="53" t="n">
        <v>0</v>
      </c>
      <c r="R1354" s="52" t="n">
        <v>0</v>
      </c>
      <c r="S1354" s="51" t="n">
        <v>0</v>
      </c>
      <c r="T1354" s="48" t="n">
        <v>0</v>
      </c>
      <c r="U1354" s="49" t="n">
        <v>0</v>
      </c>
      <c r="V1354" s="49" t="n">
        <v>0</v>
      </c>
      <c r="W1354" s="50" t="n">
        <v>0</v>
      </c>
      <c r="X1354" s="51" t="n">
        <v>0</v>
      </c>
      <c r="Y1354" s="52" t="n">
        <v>0</v>
      </c>
      <c r="Z1354" s="52" t="n">
        <v>0</v>
      </c>
      <c r="AA1354" s="52" t="n">
        <v>0</v>
      </c>
      <c r="AB1354" s="53" t="n">
        <v>0</v>
      </c>
      <c r="AC1354" s="52" t="n">
        <v>0</v>
      </c>
      <c r="AD1354" s="53" t="n">
        <v>0</v>
      </c>
      <c r="AE1354" s="52" t="n">
        <v>0</v>
      </c>
      <c r="AF1354" s="51" t="n">
        <v>0</v>
      </c>
      <c r="AG1354" s="48" t="n">
        <v>0</v>
      </c>
      <c r="AH1354" s="49" t="n">
        <v>0</v>
      </c>
      <c r="AI1354" s="49" t="n">
        <v>0</v>
      </c>
      <c r="AJ1354" s="50" t="n">
        <v>0</v>
      </c>
      <c r="AK1354" s="51" t="n">
        <v>0</v>
      </c>
      <c r="AL1354" s="52" t="n">
        <v>0</v>
      </c>
      <c r="AM1354" s="52" t="n">
        <v>0</v>
      </c>
      <c r="AN1354" s="52" t="n">
        <v>0</v>
      </c>
      <c r="AO1354" s="53" t="n">
        <v>0</v>
      </c>
      <c r="AP1354" s="52" t="n">
        <v>0</v>
      </c>
      <c r="AQ1354" s="53" t="n">
        <v>0</v>
      </c>
      <c r="AR1354" s="52" t="n">
        <v>0</v>
      </c>
      <c r="AS1354" s="51" t="n">
        <v>0</v>
      </c>
      <c r="AT1354" s="48" t="n">
        <v>0</v>
      </c>
      <c r="AU1354" s="49" t="n">
        <v>0</v>
      </c>
      <c r="AV1354" s="49" t="n">
        <v>0</v>
      </c>
      <c r="AW1354" s="50" t="n">
        <v>0</v>
      </c>
      <c r="AX1354" s="51" t="n">
        <v>0</v>
      </c>
      <c r="AY1354" s="52" t="n">
        <v>0</v>
      </c>
      <c r="AZ1354" s="52" t="n">
        <v>0</v>
      </c>
      <c r="BA1354" s="52" t="n">
        <v>0</v>
      </c>
      <c r="BB1354" s="53" t="n">
        <v>0</v>
      </c>
      <c r="BC1354" s="52" t="n">
        <v>0</v>
      </c>
      <c r="BD1354" s="53" t="n">
        <v>0</v>
      </c>
      <c r="BE1354" s="52" t="n">
        <v>0</v>
      </c>
      <c r="BF1354" s="51" t="n">
        <v>0</v>
      </c>
    </row>
    <row r="1355">
      <c r="A1355">
        <f>HYPERLINK("https://www.walmart.com/ip/14529970211", "14529970211")</f>
        <v/>
      </c>
      <c r="B1355" t="inlineStr">
        <is>
          <t>PEANUTS Womens 100% Cotton Family Matching Pajamas Holiday Festive Nightwear Sleepwear 2-Piece Sets for Christmas Gifts (Green Polka Dot, M)</t>
        </is>
      </c>
      <c r="C1355" t="inlineStr">
        <is>
          <t>PEA-PJS-FAMILY-WOMEN-GREEN-M</t>
        </is>
      </c>
      <c r="D1355" t="inlineStr">
        <is>
          <t>Pajamas</t>
        </is>
      </c>
      <c r="E1355" t="inlineStr">
        <is>
          <t>Peanuts</t>
        </is>
      </c>
      <c r="G1355" s="48" t="n">
        <v>0</v>
      </c>
      <c r="H1355" s="49" t="n">
        <v>0</v>
      </c>
      <c r="I1355" s="49" t="n">
        <v>0</v>
      </c>
      <c r="J1355" s="50" t="n">
        <v>0</v>
      </c>
      <c r="K1355" s="51" t="n">
        <v>0</v>
      </c>
      <c r="L1355" s="52" t="n">
        <v>0</v>
      </c>
      <c r="M1355" s="52" t="n">
        <v>0</v>
      </c>
      <c r="N1355" s="52" t="n">
        <v>0</v>
      </c>
      <c r="O1355" s="53" t="n">
        <v>0</v>
      </c>
      <c r="P1355" s="52" t="n">
        <v>0</v>
      </c>
      <c r="Q1355" s="53" t="n">
        <v>0</v>
      </c>
      <c r="R1355" s="52" t="n">
        <v>0</v>
      </c>
      <c r="S1355" s="51" t="n">
        <v>0</v>
      </c>
      <c r="T1355" s="48" t="n">
        <v>0</v>
      </c>
      <c r="U1355" s="49" t="n">
        <v>0</v>
      </c>
      <c r="V1355" s="49" t="n">
        <v>0</v>
      </c>
      <c r="W1355" s="50" t="n">
        <v>0</v>
      </c>
      <c r="X1355" s="51" t="n">
        <v>0</v>
      </c>
      <c r="Y1355" s="52" t="n">
        <v>0</v>
      </c>
      <c r="Z1355" s="52" t="n">
        <v>0</v>
      </c>
      <c r="AA1355" s="52" t="n">
        <v>0</v>
      </c>
      <c r="AB1355" s="53" t="n">
        <v>0</v>
      </c>
      <c r="AC1355" s="52" t="n">
        <v>0</v>
      </c>
      <c r="AD1355" s="53" t="n">
        <v>0</v>
      </c>
      <c r="AE1355" s="52" t="n">
        <v>0</v>
      </c>
      <c r="AF1355" s="51" t="n">
        <v>0</v>
      </c>
      <c r="AG1355" s="48" t="n">
        <v>0</v>
      </c>
      <c r="AH1355" s="49" t="n">
        <v>0</v>
      </c>
      <c r="AI1355" s="49" t="n">
        <v>0</v>
      </c>
      <c r="AJ1355" s="50" t="n">
        <v>0</v>
      </c>
      <c r="AK1355" s="51" t="n">
        <v>0</v>
      </c>
      <c r="AL1355" s="52" t="n">
        <v>0</v>
      </c>
      <c r="AM1355" s="52" t="n">
        <v>0</v>
      </c>
      <c r="AN1355" s="52" t="n">
        <v>0</v>
      </c>
      <c r="AO1355" s="53" t="n">
        <v>0</v>
      </c>
      <c r="AP1355" s="52" t="n">
        <v>0</v>
      </c>
      <c r="AQ1355" s="53" t="n">
        <v>0</v>
      </c>
      <c r="AR1355" s="52" t="n">
        <v>0</v>
      </c>
      <c r="AS1355" s="51" t="n">
        <v>0</v>
      </c>
      <c r="AT1355" s="48" t="n">
        <v>0</v>
      </c>
      <c r="AU1355" s="49" t="n">
        <v>0</v>
      </c>
      <c r="AV1355" s="49" t="n">
        <v>0</v>
      </c>
      <c r="AW1355" s="50" t="n">
        <v>0</v>
      </c>
      <c r="AX1355" s="51" t="n">
        <v>0</v>
      </c>
      <c r="AY1355" s="52" t="n">
        <v>0</v>
      </c>
      <c r="AZ1355" s="52" t="n">
        <v>0</v>
      </c>
      <c r="BA1355" s="52" t="n">
        <v>0</v>
      </c>
      <c r="BB1355" s="53" t="n">
        <v>0</v>
      </c>
      <c r="BC1355" s="52" t="n">
        <v>0</v>
      </c>
      <c r="BD1355" s="53" t="n">
        <v>0</v>
      </c>
      <c r="BE1355" s="52" t="n">
        <v>0</v>
      </c>
      <c r="BF1355" s="51" t="n">
        <v>0</v>
      </c>
    </row>
    <row r="1356">
      <c r="A1356">
        <f>HYPERLINK("https://www.walmart.com/ip/14531053130", "14531053130")</f>
        <v/>
      </c>
      <c r="B1356" t="inlineStr">
        <is>
          <t>PEANUTS Womens 100% Cotton Family Matching Pajamas Holiday Festive Nightwear Sleepwear 2-Piece Sets for Christmas Gifts (Red Plaid, XL)</t>
        </is>
      </c>
      <c r="C1356" t="inlineStr">
        <is>
          <t>PEA-PJS-FAMILY-WOMEN-REDPLAID-XL</t>
        </is>
      </c>
      <c r="D1356" t="inlineStr">
        <is>
          <t>Pajamas</t>
        </is>
      </c>
      <c r="E1356" t="inlineStr">
        <is>
          <t>Peanuts</t>
        </is>
      </c>
      <c r="G1356" s="48" t="n">
        <v>0</v>
      </c>
      <c r="H1356" s="49" t="n">
        <v>0</v>
      </c>
      <c r="I1356" s="49" t="n">
        <v>0</v>
      </c>
      <c r="J1356" s="50" t="n">
        <v>0</v>
      </c>
      <c r="K1356" s="51" t="n">
        <v>0</v>
      </c>
      <c r="L1356" s="52" t="n">
        <v>0</v>
      </c>
      <c r="M1356" s="52" t="n">
        <v>0</v>
      </c>
      <c r="N1356" s="52" t="n">
        <v>0</v>
      </c>
      <c r="O1356" s="53" t="n">
        <v>0</v>
      </c>
      <c r="P1356" s="52" t="n">
        <v>0</v>
      </c>
      <c r="Q1356" s="53" t="n">
        <v>0</v>
      </c>
      <c r="R1356" s="52" t="n">
        <v>0</v>
      </c>
      <c r="S1356" s="51" t="n">
        <v>0</v>
      </c>
      <c r="T1356" s="48" t="n">
        <v>0</v>
      </c>
      <c r="U1356" s="49" t="n">
        <v>0</v>
      </c>
      <c r="V1356" s="49" t="n">
        <v>0</v>
      </c>
      <c r="W1356" s="50" t="n">
        <v>0</v>
      </c>
      <c r="X1356" s="51" t="n">
        <v>0</v>
      </c>
      <c r="Y1356" s="52" t="n">
        <v>0</v>
      </c>
      <c r="Z1356" s="52" t="n">
        <v>0</v>
      </c>
      <c r="AA1356" s="52" t="n">
        <v>0</v>
      </c>
      <c r="AB1356" s="53" t="n">
        <v>0</v>
      </c>
      <c r="AC1356" s="52" t="n">
        <v>0</v>
      </c>
      <c r="AD1356" s="53" t="n">
        <v>0</v>
      </c>
      <c r="AE1356" s="52" t="n">
        <v>0</v>
      </c>
      <c r="AF1356" s="51" t="n">
        <v>0</v>
      </c>
      <c r="AG1356" s="48" t="n">
        <v>0</v>
      </c>
      <c r="AH1356" s="49" t="n">
        <v>0</v>
      </c>
      <c r="AI1356" s="49" t="n">
        <v>0</v>
      </c>
      <c r="AJ1356" s="50" t="n">
        <v>0</v>
      </c>
      <c r="AK1356" s="51" t="n">
        <v>0</v>
      </c>
      <c r="AL1356" s="52" t="n">
        <v>0</v>
      </c>
      <c r="AM1356" s="52" t="n">
        <v>0</v>
      </c>
      <c r="AN1356" s="52" t="n">
        <v>0</v>
      </c>
      <c r="AO1356" s="53" t="n">
        <v>0</v>
      </c>
      <c r="AP1356" s="52" t="n">
        <v>0</v>
      </c>
      <c r="AQ1356" s="53" t="n">
        <v>0</v>
      </c>
      <c r="AR1356" s="52" t="n">
        <v>0</v>
      </c>
      <c r="AS1356" s="51" t="n">
        <v>0</v>
      </c>
      <c r="AT1356" s="48" t="n">
        <v>0</v>
      </c>
      <c r="AU1356" s="49" t="n">
        <v>0</v>
      </c>
      <c r="AV1356" s="49" t="n">
        <v>0</v>
      </c>
      <c r="AW1356" s="50" t="n">
        <v>0</v>
      </c>
      <c r="AX1356" s="51" t="n">
        <v>0</v>
      </c>
      <c r="AY1356" s="52" t="n">
        <v>0</v>
      </c>
      <c r="AZ1356" s="52" t="n">
        <v>0</v>
      </c>
      <c r="BA1356" s="52" t="n">
        <v>0</v>
      </c>
      <c r="BB1356" s="53" t="n">
        <v>0</v>
      </c>
      <c r="BC1356" s="52" t="n">
        <v>0</v>
      </c>
      <c r="BD1356" s="53" t="n">
        <v>0</v>
      </c>
      <c r="BE1356" s="52" t="n">
        <v>0</v>
      </c>
      <c r="BF1356" s="51" t="n">
        <v>0</v>
      </c>
    </row>
    <row r="1357">
      <c r="A1357">
        <f>HYPERLINK("https://www.walmart.com/ip/14531053132", "14531053132")</f>
        <v/>
      </c>
      <c r="B1357" t="inlineStr">
        <is>
          <t>PEANUTS Mens' Cotton Snoopy Family Matching Pajamas 2-Piece Sets for Christmas with Woodstock Charlie Brown Linus, Gift for him (Red Polka Dot, M)</t>
        </is>
      </c>
      <c r="C1357" t="inlineStr">
        <is>
          <t>PEA-PJS-FAMILY-MEN-RED-M</t>
        </is>
      </c>
      <c r="D1357" t="inlineStr">
        <is>
          <t>Pajamas</t>
        </is>
      </c>
      <c r="E1357" t="inlineStr">
        <is>
          <t>Peanuts</t>
        </is>
      </c>
      <c r="G1357" s="48" t="n">
        <v>0</v>
      </c>
      <c r="H1357" s="49" t="n">
        <v>0</v>
      </c>
      <c r="I1357" s="49" t="n">
        <v>0</v>
      </c>
      <c r="J1357" s="50" t="n">
        <v>0</v>
      </c>
      <c r="K1357" s="51" t="n">
        <v>0</v>
      </c>
      <c r="L1357" s="52" t="n">
        <v>0</v>
      </c>
      <c r="M1357" s="52" t="n">
        <v>0</v>
      </c>
      <c r="N1357" s="52" t="n">
        <v>0</v>
      </c>
      <c r="O1357" s="53" t="n">
        <v>0</v>
      </c>
      <c r="P1357" s="52" t="n">
        <v>0</v>
      </c>
      <c r="Q1357" s="53" t="n">
        <v>0</v>
      </c>
      <c r="R1357" s="52" t="n">
        <v>0</v>
      </c>
      <c r="S1357" s="51" t="n">
        <v>0</v>
      </c>
      <c r="T1357" s="48" t="n">
        <v>0</v>
      </c>
      <c r="U1357" s="49" t="n">
        <v>0</v>
      </c>
      <c r="V1357" s="49" t="n">
        <v>0</v>
      </c>
      <c r="W1357" s="50" t="n">
        <v>0</v>
      </c>
      <c r="X1357" s="51" t="n">
        <v>0</v>
      </c>
      <c r="Y1357" s="52" t="n">
        <v>0</v>
      </c>
      <c r="Z1357" s="52" t="n">
        <v>0</v>
      </c>
      <c r="AA1357" s="52" t="n">
        <v>0</v>
      </c>
      <c r="AB1357" s="53" t="n">
        <v>0</v>
      </c>
      <c r="AC1357" s="52" t="n">
        <v>0</v>
      </c>
      <c r="AD1357" s="53" t="n">
        <v>0</v>
      </c>
      <c r="AE1357" s="52" t="n">
        <v>0</v>
      </c>
      <c r="AF1357" s="51" t="n">
        <v>0</v>
      </c>
      <c r="AG1357" s="48" t="n">
        <v>0</v>
      </c>
      <c r="AH1357" s="49" t="n">
        <v>0</v>
      </c>
      <c r="AI1357" s="49" t="n">
        <v>0</v>
      </c>
      <c r="AJ1357" s="50" t="n">
        <v>0</v>
      </c>
      <c r="AK1357" s="51" t="n">
        <v>0</v>
      </c>
      <c r="AL1357" s="52" t="n">
        <v>0</v>
      </c>
      <c r="AM1357" s="52" t="n">
        <v>0</v>
      </c>
      <c r="AN1357" s="52" t="n">
        <v>0</v>
      </c>
      <c r="AO1357" s="53" t="n">
        <v>0</v>
      </c>
      <c r="AP1357" s="52" t="n">
        <v>0</v>
      </c>
      <c r="AQ1357" s="53" t="n">
        <v>0</v>
      </c>
      <c r="AR1357" s="52" t="n">
        <v>0</v>
      </c>
      <c r="AS1357" s="51" t="n">
        <v>0</v>
      </c>
      <c r="AT1357" s="48" t="n">
        <v>0</v>
      </c>
      <c r="AU1357" s="49" t="n">
        <v>0</v>
      </c>
      <c r="AV1357" s="49" t="n">
        <v>0</v>
      </c>
      <c r="AW1357" s="50" t="n">
        <v>0</v>
      </c>
      <c r="AX1357" s="51" t="n">
        <v>0</v>
      </c>
      <c r="AY1357" s="52" t="n">
        <v>0</v>
      </c>
      <c r="AZ1357" s="52" t="n">
        <v>0</v>
      </c>
      <c r="BA1357" s="52" t="n">
        <v>0</v>
      </c>
      <c r="BB1357" s="53" t="n">
        <v>0</v>
      </c>
      <c r="BC1357" s="52" t="n">
        <v>0</v>
      </c>
      <c r="BD1357" s="53" t="n">
        <v>0</v>
      </c>
      <c r="BE1357" s="52" t="n">
        <v>0</v>
      </c>
      <c r="BF1357" s="51" t="n">
        <v>0</v>
      </c>
    </row>
    <row r="1358">
      <c r="A1358">
        <f>HYPERLINK("https://www.walmart.com/ip/14531053915", "14531053915")</f>
        <v/>
      </c>
      <c r="B1358" t="inlineStr">
        <is>
          <t>PEANUTS Toddler Boys Girls Snoopy Family Matching Pajamas 2-Piece Sets for Christmas with Woodstock Charlie Brown Linus (Green Polka Dot, 2T)</t>
        </is>
      </c>
      <c r="C1358" t="inlineStr">
        <is>
          <t>PEA-PJS-FAMILY-TODDLER-GREEN-2T</t>
        </is>
      </c>
      <c r="D1358" t="inlineStr">
        <is>
          <t>Pajamas</t>
        </is>
      </c>
      <c r="E1358" t="inlineStr">
        <is>
          <t>Peanuts</t>
        </is>
      </c>
      <c r="G1358" s="48" t="n">
        <v>0</v>
      </c>
      <c r="H1358" s="49" t="n">
        <v>0</v>
      </c>
      <c r="I1358" s="49" t="n">
        <v>0</v>
      </c>
      <c r="J1358" s="50" t="n">
        <v>0</v>
      </c>
      <c r="K1358" s="51" t="n">
        <v>0</v>
      </c>
      <c r="L1358" s="52" t="n">
        <v>0</v>
      </c>
      <c r="M1358" s="52" t="n">
        <v>0</v>
      </c>
      <c r="N1358" s="52" t="n">
        <v>0</v>
      </c>
      <c r="O1358" s="53" t="n">
        <v>0</v>
      </c>
      <c r="P1358" s="52" t="n">
        <v>0</v>
      </c>
      <c r="Q1358" s="53" t="n">
        <v>0</v>
      </c>
      <c r="R1358" s="52" t="n">
        <v>0</v>
      </c>
      <c r="S1358" s="51" t="n">
        <v>0</v>
      </c>
      <c r="T1358" s="48" t="n">
        <v>0</v>
      </c>
      <c r="U1358" s="49" t="n">
        <v>0</v>
      </c>
      <c r="V1358" s="49" t="n">
        <v>0</v>
      </c>
      <c r="W1358" s="50" t="n">
        <v>0</v>
      </c>
      <c r="X1358" s="51" t="n">
        <v>0</v>
      </c>
      <c r="Y1358" s="52" t="n">
        <v>0</v>
      </c>
      <c r="Z1358" s="52" t="n">
        <v>0</v>
      </c>
      <c r="AA1358" s="52" t="n">
        <v>0</v>
      </c>
      <c r="AB1358" s="53" t="n">
        <v>0</v>
      </c>
      <c r="AC1358" s="52" t="n">
        <v>0</v>
      </c>
      <c r="AD1358" s="53" t="n">
        <v>0</v>
      </c>
      <c r="AE1358" s="52" t="n">
        <v>0</v>
      </c>
      <c r="AF1358" s="51" t="n">
        <v>0</v>
      </c>
      <c r="AG1358" s="48" t="n">
        <v>0</v>
      </c>
      <c r="AH1358" s="49" t="n">
        <v>0</v>
      </c>
      <c r="AI1358" s="49" t="n">
        <v>0</v>
      </c>
      <c r="AJ1358" s="50" t="n">
        <v>0</v>
      </c>
      <c r="AK1358" s="51" t="n">
        <v>0</v>
      </c>
      <c r="AL1358" s="52" t="n">
        <v>0</v>
      </c>
      <c r="AM1358" s="52" t="n">
        <v>0</v>
      </c>
      <c r="AN1358" s="52" t="n">
        <v>0</v>
      </c>
      <c r="AO1358" s="53" t="n">
        <v>0</v>
      </c>
      <c r="AP1358" s="52" t="n">
        <v>0</v>
      </c>
      <c r="AQ1358" s="53" t="n">
        <v>0</v>
      </c>
      <c r="AR1358" s="52" t="n">
        <v>0</v>
      </c>
      <c r="AS1358" s="51" t="n">
        <v>0</v>
      </c>
      <c r="AT1358" s="48" t="n">
        <v>0</v>
      </c>
      <c r="AU1358" s="49" t="n">
        <v>0</v>
      </c>
      <c r="AV1358" s="49" t="n">
        <v>0</v>
      </c>
      <c r="AW1358" s="50" t="n">
        <v>0</v>
      </c>
      <c r="AX1358" s="51" t="n">
        <v>0</v>
      </c>
      <c r="AY1358" s="52" t="n">
        <v>0</v>
      </c>
      <c r="AZ1358" s="52" t="n">
        <v>0</v>
      </c>
      <c r="BA1358" s="52" t="n">
        <v>0</v>
      </c>
      <c r="BB1358" s="53" t="n">
        <v>0</v>
      </c>
      <c r="BC1358" s="52" t="n">
        <v>0</v>
      </c>
      <c r="BD1358" s="53" t="n">
        <v>0</v>
      </c>
      <c r="BE1358" s="52" t="n">
        <v>0</v>
      </c>
      <c r="BF1358" s="51" t="n">
        <v>0</v>
      </c>
    </row>
    <row r="1359">
      <c r="A1359">
        <f>HYPERLINK("https://www.walmart.com/ip/14531053917", "14531053917")</f>
        <v/>
      </c>
      <c r="B1359" t="inlineStr">
        <is>
          <t>PEANUTS Mens' Cotton Snoopy Family Matching Pajamas 2-Piece Sets for Christmas with Woodstock Charlie Brown Linus, Gift for him (Green Polka Dot, S)</t>
        </is>
      </c>
      <c r="C1359" t="inlineStr">
        <is>
          <t>PEA-PJS-FAMILY-MEN-GREEN-S</t>
        </is>
      </c>
      <c r="D1359" t="inlineStr">
        <is>
          <t>Pajamas</t>
        </is>
      </c>
      <c r="E1359" t="inlineStr">
        <is>
          <t>Peanuts</t>
        </is>
      </c>
      <c r="G1359" s="48" t="n">
        <v>0</v>
      </c>
      <c r="H1359" s="49" t="n">
        <v>0</v>
      </c>
      <c r="I1359" s="49" t="n">
        <v>0</v>
      </c>
      <c r="J1359" s="50" t="n">
        <v>0</v>
      </c>
      <c r="K1359" s="51" t="n">
        <v>0</v>
      </c>
      <c r="L1359" s="52" t="n">
        <v>0</v>
      </c>
      <c r="M1359" s="52" t="n">
        <v>0</v>
      </c>
      <c r="N1359" s="52" t="n">
        <v>0</v>
      </c>
      <c r="O1359" s="53" t="n">
        <v>0</v>
      </c>
      <c r="P1359" s="52" t="n">
        <v>0</v>
      </c>
      <c r="Q1359" s="53" t="n">
        <v>0</v>
      </c>
      <c r="R1359" s="52" t="n">
        <v>0</v>
      </c>
      <c r="S1359" s="51" t="n">
        <v>0</v>
      </c>
      <c r="T1359" s="48" t="n">
        <v>0</v>
      </c>
      <c r="U1359" s="49" t="n">
        <v>0</v>
      </c>
      <c r="V1359" s="49" t="n">
        <v>0</v>
      </c>
      <c r="W1359" s="50" t="n">
        <v>0</v>
      </c>
      <c r="X1359" s="51" t="n">
        <v>0</v>
      </c>
      <c r="Y1359" s="52" t="n">
        <v>0</v>
      </c>
      <c r="Z1359" s="52" t="n">
        <v>0</v>
      </c>
      <c r="AA1359" s="52" t="n">
        <v>0</v>
      </c>
      <c r="AB1359" s="53" t="n">
        <v>0</v>
      </c>
      <c r="AC1359" s="52" t="n">
        <v>0</v>
      </c>
      <c r="AD1359" s="53" t="n">
        <v>0</v>
      </c>
      <c r="AE1359" s="52" t="n">
        <v>0</v>
      </c>
      <c r="AF1359" s="51" t="n">
        <v>0</v>
      </c>
      <c r="AG1359" s="48" t="n">
        <v>0</v>
      </c>
      <c r="AH1359" s="49" t="n">
        <v>0</v>
      </c>
      <c r="AI1359" s="49" t="n">
        <v>0</v>
      </c>
      <c r="AJ1359" s="50" t="n">
        <v>0</v>
      </c>
      <c r="AK1359" s="51" t="n">
        <v>0</v>
      </c>
      <c r="AL1359" s="52" t="n">
        <v>0</v>
      </c>
      <c r="AM1359" s="52" t="n">
        <v>0</v>
      </c>
      <c r="AN1359" s="52" t="n">
        <v>0</v>
      </c>
      <c r="AO1359" s="53" t="n">
        <v>0</v>
      </c>
      <c r="AP1359" s="52" t="n">
        <v>0</v>
      </c>
      <c r="AQ1359" s="53" t="n">
        <v>0</v>
      </c>
      <c r="AR1359" s="52" t="n">
        <v>0</v>
      </c>
      <c r="AS1359" s="51" t="n">
        <v>0</v>
      </c>
      <c r="AT1359" s="48" t="n">
        <v>0</v>
      </c>
      <c r="AU1359" s="49" t="n">
        <v>0</v>
      </c>
      <c r="AV1359" s="49" t="n">
        <v>0</v>
      </c>
      <c r="AW1359" s="50" t="n">
        <v>0</v>
      </c>
      <c r="AX1359" s="51" t="n">
        <v>0</v>
      </c>
      <c r="AY1359" s="52" t="n">
        <v>0</v>
      </c>
      <c r="AZ1359" s="52" t="n">
        <v>0</v>
      </c>
      <c r="BA1359" s="52" t="n">
        <v>0</v>
      </c>
      <c r="BB1359" s="53" t="n">
        <v>0</v>
      </c>
      <c r="BC1359" s="52" t="n">
        <v>0</v>
      </c>
      <c r="BD1359" s="53" t="n">
        <v>0</v>
      </c>
      <c r="BE1359" s="52" t="n">
        <v>0</v>
      </c>
      <c r="BF1359" s="51" t="n">
        <v>0</v>
      </c>
    </row>
    <row r="1360">
      <c r="A1360">
        <f>HYPERLINK("https://www.walmart.com/ip/14531103493", "14531103493")</f>
        <v/>
      </c>
      <c r="B1360" t="inlineStr">
        <is>
          <t>PEANUTS Mens' Cotton Snoopy Family Matching Pajamas 2-Piece Sets for Christmas with Woodstock Charlie Brown Linus, Gift for him (Red Plaid, L)</t>
        </is>
      </c>
      <c r="C1360" t="inlineStr">
        <is>
          <t>PEA-PJS-FAMILY-MEN-REDPLAID-L</t>
        </is>
      </c>
      <c r="D1360" t="inlineStr">
        <is>
          <t>Pajamas</t>
        </is>
      </c>
      <c r="E1360" t="inlineStr">
        <is>
          <t>Peanuts</t>
        </is>
      </c>
      <c r="G1360" s="48" t="n">
        <v>0</v>
      </c>
      <c r="H1360" s="49" t="n">
        <v>0</v>
      </c>
      <c r="I1360" s="49" t="n">
        <v>0</v>
      </c>
      <c r="J1360" s="50" t="n">
        <v>0</v>
      </c>
      <c r="K1360" s="51" t="n">
        <v>0</v>
      </c>
      <c r="L1360" s="52" t="n">
        <v>0</v>
      </c>
      <c r="M1360" s="52" t="n">
        <v>0</v>
      </c>
      <c r="N1360" s="52" t="n">
        <v>0</v>
      </c>
      <c r="O1360" s="53" t="n">
        <v>0</v>
      </c>
      <c r="P1360" s="52" t="n">
        <v>0</v>
      </c>
      <c r="Q1360" s="53" t="n">
        <v>0</v>
      </c>
      <c r="R1360" s="52" t="n">
        <v>0</v>
      </c>
      <c r="S1360" s="51" t="n">
        <v>0</v>
      </c>
      <c r="T1360" s="48" t="n">
        <v>0</v>
      </c>
      <c r="U1360" s="49" t="n">
        <v>0</v>
      </c>
      <c r="V1360" s="49" t="n">
        <v>0</v>
      </c>
      <c r="W1360" s="50" t="n">
        <v>0</v>
      </c>
      <c r="X1360" s="51" t="n">
        <v>0</v>
      </c>
      <c r="Y1360" s="52" t="n">
        <v>0</v>
      </c>
      <c r="Z1360" s="52" t="n">
        <v>0</v>
      </c>
      <c r="AA1360" s="52" t="n">
        <v>0</v>
      </c>
      <c r="AB1360" s="53" t="n">
        <v>0</v>
      </c>
      <c r="AC1360" s="52" t="n">
        <v>0</v>
      </c>
      <c r="AD1360" s="53" t="n">
        <v>0</v>
      </c>
      <c r="AE1360" s="52" t="n">
        <v>0</v>
      </c>
      <c r="AF1360" s="51" t="n">
        <v>0</v>
      </c>
      <c r="AG1360" s="48" t="n">
        <v>0</v>
      </c>
      <c r="AH1360" s="49" t="n">
        <v>0</v>
      </c>
      <c r="AI1360" s="49" t="n">
        <v>0</v>
      </c>
      <c r="AJ1360" s="50" t="n">
        <v>0</v>
      </c>
      <c r="AK1360" s="51" t="n">
        <v>0</v>
      </c>
      <c r="AL1360" s="52" t="n">
        <v>0</v>
      </c>
      <c r="AM1360" s="52" t="n">
        <v>0</v>
      </c>
      <c r="AN1360" s="52" t="n">
        <v>0</v>
      </c>
      <c r="AO1360" s="53" t="n">
        <v>0</v>
      </c>
      <c r="AP1360" s="52" t="n">
        <v>0</v>
      </c>
      <c r="AQ1360" s="53" t="n">
        <v>0</v>
      </c>
      <c r="AR1360" s="52" t="n">
        <v>0</v>
      </c>
      <c r="AS1360" s="51" t="n">
        <v>0</v>
      </c>
      <c r="AT1360" s="48" t="n">
        <v>0</v>
      </c>
      <c r="AU1360" s="49" t="n">
        <v>0</v>
      </c>
      <c r="AV1360" s="49" t="n">
        <v>0</v>
      </c>
      <c r="AW1360" s="50" t="n">
        <v>0</v>
      </c>
      <c r="AX1360" s="51" t="n">
        <v>0</v>
      </c>
      <c r="AY1360" s="52" t="n">
        <v>0</v>
      </c>
      <c r="AZ1360" s="52" t="n">
        <v>0</v>
      </c>
      <c r="BA1360" s="52" t="n">
        <v>0</v>
      </c>
      <c r="BB1360" s="53" t="n">
        <v>0</v>
      </c>
      <c r="BC1360" s="52" t="n">
        <v>0</v>
      </c>
      <c r="BD1360" s="53" t="n">
        <v>0</v>
      </c>
      <c r="BE1360" s="52" t="n">
        <v>0</v>
      </c>
      <c r="BF1360" s="51" t="n">
        <v>0</v>
      </c>
    </row>
    <row r="1361">
      <c r="A1361">
        <f>HYPERLINK("https://www.walmart.com/ip/14526353104", "14526353104")</f>
        <v/>
      </c>
      <c r="B1361" t="inlineStr">
        <is>
          <t>PEANUTS Snoopy Cotton Family Matching Pajamas Holiday 2-Piece Sets for Christmas with Woodstock Charlie Brown Linus for Baby (Green Polka Dot, 18M)</t>
        </is>
      </c>
      <c r="C1361" t="inlineStr">
        <is>
          <t>PEA-PJS-FAMILY-INFANT-GREEN-18M</t>
        </is>
      </c>
      <c r="D1361" t="inlineStr">
        <is>
          <t>Pajamas</t>
        </is>
      </c>
      <c r="E1361" t="inlineStr">
        <is>
          <t>Peanuts</t>
        </is>
      </c>
      <c r="G1361" s="48" t="n">
        <v>0</v>
      </c>
      <c r="H1361" s="49" t="n">
        <v>0</v>
      </c>
      <c r="I1361" s="49" t="n">
        <v>0</v>
      </c>
      <c r="J1361" s="50" t="n">
        <v>0</v>
      </c>
      <c r="K1361" s="51" t="n">
        <v>0</v>
      </c>
      <c r="L1361" s="52" t="n">
        <v>0</v>
      </c>
      <c r="M1361" s="52" t="n">
        <v>0</v>
      </c>
      <c r="N1361" s="52" t="n">
        <v>0</v>
      </c>
      <c r="O1361" s="53" t="n">
        <v>0</v>
      </c>
      <c r="P1361" s="52" t="n">
        <v>0</v>
      </c>
      <c r="Q1361" s="53" t="n">
        <v>0</v>
      </c>
      <c r="R1361" s="52" t="n">
        <v>0</v>
      </c>
      <c r="S1361" s="51" t="n">
        <v>0</v>
      </c>
      <c r="T1361" s="48" t="n">
        <v>0</v>
      </c>
      <c r="U1361" s="49" t="n">
        <v>0</v>
      </c>
      <c r="V1361" s="49" t="n">
        <v>0</v>
      </c>
      <c r="W1361" s="50" t="n">
        <v>0</v>
      </c>
      <c r="X1361" s="51" t="n">
        <v>0</v>
      </c>
      <c r="Y1361" s="52" t="n">
        <v>0</v>
      </c>
      <c r="Z1361" s="52" t="n">
        <v>0</v>
      </c>
      <c r="AA1361" s="52" t="n">
        <v>0</v>
      </c>
      <c r="AB1361" s="53" t="n">
        <v>0</v>
      </c>
      <c r="AC1361" s="52" t="n">
        <v>0</v>
      </c>
      <c r="AD1361" s="53" t="n">
        <v>0</v>
      </c>
      <c r="AE1361" s="52" t="n">
        <v>0</v>
      </c>
      <c r="AF1361" s="51" t="n">
        <v>0</v>
      </c>
      <c r="AG1361" s="48" t="n">
        <v>0</v>
      </c>
      <c r="AH1361" s="49" t="n">
        <v>0</v>
      </c>
      <c r="AI1361" s="49" t="n">
        <v>0</v>
      </c>
      <c r="AJ1361" s="50" t="n">
        <v>0</v>
      </c>
      <c r="AK1361" s="51" t="n">
        <v>0</v>
      </c>
      <c r="AL1361" s="52" t="n">
        <v>0</v>
      </c>
      <c r="AM1361" s="52" t="n">
        <v>0</v>
      </c>
      <c r="AN1361" s="52" t="n">
        <v>0</v>
      </c>
      <c r="AO1361" s="53" t="n">
        <v>0</v>
      </c>
      <c r="AP1361" s="52" t="n">
        <v>0</v>
      </c>
      <c r="AQ1361" s="53" t="n">
        <v>0</v>
      </c>
      <c r="AR1361" s="52" t="n">
        <v>0</v>
      </c>
      <c r="AS1361" s="51" t="n">
        <v>0</v>
      </c>
      <c r="AT1361" s="48" t="n">
        <v>0</v>
      </c>
      <c r="AU1361" s="49" t="n">
        <v>0</v>
      </c>
      <c r="AV1361" s="49" t="n">
        <v>0</v>
      </c>
      <c r="AW1361" s="50" t="n">
        <v>0</v>
      </c>
      <c r="AX1361" s="51" t="n">
        <v>0</v>
      </c>
      <c r="AY1361" s="52" t="n">
        <v>0</v>
      </c>
      <c r="AZ1361" s="52" t="n">
        <v>0</v>
      </c>
      <c r="BA1361" s="52" t="n">
        <v>0</v>
      </c>
      <c r="BB1361" s="53" t="n">
        <v>0</v>
      </c>
      <c r="BC1361" s="52" t="n">
        <v>0</v>
      </c>
      <c r="BD1361" s="53" t="n">
        <v>0</v>
      </c>
      <c r="BE1361" s="52" t="n">
        <v>0</v>
      </c>
      <c r="BF1361" s="51" t="n">
        <v>0</v>
      </c>
    </row>
    <row r="1362">
      <c r="A1362">
        <f>HYPERLINK("https://www.walmart.com/ip/14524812334", "14524812334")</f>
        <v/>
      </c>
      <c r="B1362" t="inlineStr">
        <is>
          <t>PEANUTS Toddler Boys Girls Snoopy Family Matching Pajamas Sleepwear 2-Piece Sets for Christmas with Woodstock Charlie Brown Linus (Red Plaid, 5T)</t>
        </is>
      </c>
      <c r="C1362" t="inlineStr">
        <is>
          <t>PEA-PJS-FAMILY-TODDLER-REDPLAID-5T</t>
        </is>
      </c>
      <c r="D1362" t="inlineStr">
        <is>
          <t>Pajamas</t>
        </is>
      </c>
      <c r="E1362" t="inlineStr">
        <is>
          <t>Peanuts</t>
        </is>
      </c>
      <c r="G1362" s="48" t="n">
        <v>0</v>
      </c>
      <c r="H1362" s="49" t="n">
        <v>0</v>
      </c>
      <c r="I1362" s="49" t="n">
        <v>0</v>
      </c>
      <c r="J1362" s="50" t="n">
        <v>0</v>
      </c>
      <c r="K1362" s="51" t="n">
        <v>0</v>
      </c>
      <c r="L1362" s="52" t="n">
        <v>0</v>
      </c>
      <c r="M1362" s="52" t="n">
        <v>0</v>
      </c>
      <c r="N1362" s="52" t="n">
        <v>0</v>
      </c>
      <c r="O1362" s="53" t="n">
        <v>0</v>
      </c>
      <c r="P1362" s="52" t="n">
        <v>0</v>
      </c>
      <c r="Q1362" s="53" t="n">
        <v>0</v>
      </c>
      <c r="R1362" s="52" t="n">
        <v>0</v>
      </c>
      <c r="S1362" s="51" t="n">
        <v>0</v>
      </c>
      <c r="T1362" s="48" t="n">
        <v>0</v>
      </c>
      <c r="U1362" s="49" t="n">
        <v>0</v>
      </c>
      <c r="V1362" s="49" t="n">
        <v>0</v>
      </c>
      <c r="W1362" s="50" t="n">
        <v>0</v>
      </c>
      <c r="X1362" s="51" t="n">
        <v>0</v>
      </c>
      <c r="Y1362" s="52" t="n">
        <v>0</v>
      </c>
      <c r="Z1362" s="52" t="n">
        <v>0</v>
      </c>
      <c r="AA1362" s="52" t="n">
        <v>0</v>
      </c>
      <c r="AB1362" s="53" t="n">
        <v>0</v>
      </c>
      <c r="AC1362" s="52" t="n">
        <v>0</v>
      </c>
      <c r="AD1362" s="53" t="n">
        <v>0</v>
      </c>
      <c r="AE1362" s="52" t="n">
        <v>0</v>
      </c>
      <c r="AF1362" s="51" t="n">
        <v>0</v>
      </c>
      <c r="AG1362" s="48" t="n">
        <v>0</v>
      </c>
      <c r="AH1362" s="49" t="n">
        <v>0</v>
      </c>
      <c r="AI1362" s="49" t="n">
        <v>0</v>
      </c>
      <c r="AJ1362" s="50" t="n">
        <v>0</v>
      </c>
      <c r="AK1362" s="51" t="n">
        <v>0</v>
      </c>
      <c r="AL1362" s="52" t="n">
        <v>0</v>
      </c>
      <c r="AM1362" s="52" t="n">
        <v>0</v>
      </c>
      <c r="AN1362" s="52" t="n">
        <v>0</v>
      </c>
      <c r="AO1362" s="53" t="n">
        <v>0</v>
      </c>
      <c r="AP1362" s="52" t="n">
        <v>0</v>
      </c>
      <c r="AQ1362" s="53" t="n">
        <v>0</v>
      </c>
      <c r="AR1362" s="52" t="n">
        <v>0</v>
      </c>
      <c r="AS1362" s="51" t="n">
        <v>0</v>
      </c>
      <c r="AT1362" s="48" t="n">
        <v>0</v>
      </c>
      <c r="AU1362" s="49" t="n">
        <v>0</v>
      </c>
      <c r="AV1362" s="49" t="n">
        <v>0</v>
      </c>
      <c r="AW1362" s="50" t="n">
        <v>0</v>
      </c>
      <c r="AX1362" s="51" t="n">
        <v>0</v>
      </c>
      <c r="AY1362" s="52" t="n">
        <v>0</v>
      </c>
      <c r="AZ1362" s="52" t="n">
        <v>0</v>
      </c>
      <c r="BA1362" s="52" t="n">
        <v>0</v>
      </c>
      <c r="BB1362" s="53" t="n">
        <v>0</v>
      </c>
      <c r="BC1362" s="52" t="n">
        <v>0</v>
      </c>
      <c r="BD1362" s="53" t="n">
        <v>0</v>
      </c>
      <c r="BE1362" s="52" t="n">
        <v>0</v>
      </c>
      <c r="BF1362" s="51" t="n">
        <v>0</v>
      </c>
    </row>
    <row r="1363">
      <c r="A1363">
        <f>HYPERLINK("https://www.walmart.com/ip/14514159364", "14514159364")</f>
        <v/>
      </c>
      <c r="B1363" t="inlineStr">
        <is>
          <t>PEANUTS Toddler Boys Girls Snoopy Family Matching Pajamas Sleepwear 2-Piece Sets for Christmas with Woodstock Charlie Brown Linus (Red Plaid, 2T)</t>
        </is>
      </c>
      <c r="C1363" t="inlineStr">
        <is>
          <t>PEA-PJS-FAMILY-TODDLER-REDPLAID-2T</t>
        </is>
      </c>
      <c r="D1363" t="inlineStr">
        <is>
          <t>Pajamas</t>
        </is>
      </c>
      <c r="E1363" t="inlineStr">
        <is>
          <t>Peanuts</t>
        </is>
      </c>
      <c r="G1363" s="48" t="n">
        <v>0</v>
      </c>
      <c r="H1363" s="49" t="n">
        <v>0</v>
      </c>
      <c r="I1363" s="49" t="n">
        <v>0</v>
      </c>
      <c r="J1363" s="50" t="n">
        <v>0</v>
      </c>
      <c r="K1363" s="51" t="n">
        <v>0</v>
      </c>
      <c r="L1363" s="52" t="n">
        <v>0</v>
      </c>
      <c r="M1363" s="52" t="n">
        <v>0</v>
      </c>
      <c r="N1363" s="52" t="n">
        <v>0</v>
      </c>
      <c r="O1363" s="53" t="n">
        <v>0</v>
      </c>
      <c r="P1363" s="52" t="n">
        <v>0</v>
      </c>
      <c r="Q1363" s="53" t="n">
        <v>0</v>
      </c>
      <c r="R1363" s="52" t="n">
        <v>0</v>
      </c>
      <c r="S1363" s="51" t="n">
        <v>0</v>
      </c>
      <c r="T1363" s="48" t="n">
        <v>0</v>
      </c>
      <c r="U1363" s="49" t="n">
        <v>0</v>
      </c>
      <c r="V1363" s="49" t="n">
        <v>0</v>
      </c>
      <c r="W1363" s="50" t="n">
        <v>0</v>
      </c>
      <c r="X1363" s="51" t="n">
        <v>0</v>
      </c>
      <c r="Y1363" s="52" t="n">
        <v>0</v>
      </c>
      <c r="Z1363" s="52" t="n">
        <v>0</v>
      </c>
      <c r="AA1363" s="52" t="n">
        <v>0</v>
      </c>
      <c r="AB1363" s="53" t="n">
        <v>0</v>
      </c>
      <c r="AC1363" s="52" t="n">
        <v>0</v>
      </c>
      <c r="AD1363" s="53" t="n">
        <v>0</v>
      </c>
      <c r="AE1363" s="52" t="n">
        <v>0</v>
      </c>
      <c r="AF1363" s="51" t="n">
        <v>0</v>
      </c>
      <c r="AG1363" s="48" t="n">
        <v>0</v>
      </c>
      <c r="AH1363" s="49" t="n">
        <v>0</v>
      </c>
      <c r="AI1363" s="49" t="n">
        <v>0</v>
      </c>
      <c r="AJ1363" s="50" t="n">
        <v>0</v>
      </c>
      <c r="AK1363" s="51" t="n">
        <v>0</v>
      </c>
      <c r="AL1363" s="52" t="n">
        <v>0</v>
      </c>
      <c r="AM1363" s="52" t="n">
        <v>0</v>
      </c>
      <c r="AN1363" s="52" t="n">
        <v>0</v>
      </c>
      <c r="AO1363" s="53" t="n">
        <v>0</v>
      </c>
      <c r="AP1363" s="52" t="n">
        <v>0</v>
      </c>
      <c r="AQ1363" s="53" t="n">
        <v>0</v>
      </c>
      <c r="AR1363" s="52" t="n">
        <v>0</v>
      </c>
      <c r="AS1363" s="51" t="n">
        <v>0</v>
      </c>
      <c r="AT1363" s="48" t="n">
        <v>0</v>
      </c>
      <c r="AU1363" s="49" t="n">
        <v>0</v>
      </c>
      <c r="AV1363" s="49" t="n">
        <v>0</v>
      </c>
      <c r="AW1363" s="50" t="n">
        <v>0</v>
      </c>
      <c r="AX1363" s="51" t="n">
        <v>0</v>
      </c>
      <c r="AY1363" s="52" t="n">
        <v>0</v>
      </c>
      <c r="AZ1363" s="52" t="n">
        <v>0</v>
      </c>
      <c r="BA1363" s="52" t="n">
        <v>0</v>
      </c>
      <c r="BB1363" s="53" t="n">
        <v>0</v>
      </c>
      <c r="BC1363" s="52" t="n">
        <v>0</v>
      </c>
      <c r="BD1363" s="53" t="n">
        <v>0</v>
      </c>
      <c r="BE1363" s="52" t="n">
        <v>0</v>
      </c>
      <c r="BF1363" s="51" t="n">
        <v>0</v>
      </c>
    </row>
    <row r="1364">
      <c r="A1364">
        <f>HYPERLINK("https://www.walmart.com/ip/14523702239", "14523702239")</f>
        <v/>
      </c>
      <c r="B1364" t="inlineStr">
        <is>
          <t>PEANUTS Toddler Boys Girls Snoopy Family Matching Pajamas Sleepwear 2-Piece Sets for Christmas with Woodstock Charlie Brown Linus (Red Polka Dot, 5T)</t>
        </is>
      </c>
      <c r="C1364" t="inlineStr">
        <is>
          <t>PEA-PJS-FAMILY-TODDLER-RED-5T</t>
        </is>
      </c>
      <c r="D1364" t="inlineStr">
        <is>
          <t>Pajamas</t>
        </is>
      </c>
      <c r="E1364" t="inlineStr">
        <is>
          <t>Peanuts</t>
        </is>
      </c>
      <c r="G1364" s="48" t="n">
        <v>0</v>
      </c>
      <c r="H1364" s="49" t="n">
        <v>0</v>
      </c>
      <c r="I1364" s="49" t="n">
        <v>0</v>
      </c>
      <c r="J1364" s="50" t="n">
        <v>0</v>
      </c>
      <c r="K1364" s="51" t="n">
        <v>0</v>
      </c>
      <c r="L1364" s="52" t="n">
        <v>0</v>
      </c>
      <c r="M1364" s="52" t="n">
        <v>0</v>
      </c>
      <c r="N1364" s="52" t="n">
        <v>0</v>
      </c>
      <c r="O1364" s="53" t="n">
        <v>0</v>
      </c>
      <c r="P1364" s="52" t="n">
        <v>0</v>
      </c>
      <c r="Q1364" s="53" t="n">
        <v>0</v>
      </c>
      <c r="R1364" s="52" t="n">
        <v>0</v>
      </c>
      <c r="S1364" s="51" t="n">
        <v>0</v>
      </c>
      <c r="T1364" s="48" t="n">
        <v>0</v>
      </c>
      <c r="U1364" s="49" t="n">
        <v>0</v>
      </c>
      <c r="V1364" s="49" t="n">
        <v>0</v>
      </c>
      <c r="W1364" s="50" t="n">
        <v>0</v>
      </c>
      <c r="X1364" s="51" t="n">
        <v>0</v>
      </c>
      <c r="Y1364" s="52" t="n">
        <v>0</v>
      </c>
      <c r="Z1364" s="52" t="n">
        <v>0</v>
      </c>
      <c r="AA1364" s="52" t="n">
        <v>0</v>
      </c>
      <c r="AB1364" s="53" t="n">
        <v>0</v>
      </c>
      <c r="AC1364" s="52" t="n">
        <v>0</v>
      </c>
      <c r="AD1364" s="53" t="n">
        <v>0</v>
      </c>
      <c r="AE1364" s="52" t="n">
        <v>0</v>
      </c>
      <c r="AF1364" s="51" t="n">
        <v>0</v>
      </c>
      <c r="AG1364" s="48" t="n">
        <v>0</v>
      </c>
      <c r="AH1364" s="49" t="n">
        <v>0</v>
      </c>
      <c r="AI1364" s="49" t="n">
        <v>0</v>
      </c>
      <c r="AJ1364" s="50" t="n">
        <v>0</v>
      </c>
      <c r="AK1364" s="51" t="n">
        <v>0</v>
      </c>
      <c r="AL1364" s="52" t="n">
        <v>0</v>
      </c>
      <c r="AM1364" s="52" t="n">
        <v>0</v>
      </c>
      <c r="AN1364" s="52" t="n">
        <v>0</v>
      </c>
      <c r="AO1364" s="53" t="n">
        <v>0</v>
      </c>
      <c r="AP1364" s="52" t="n">
        <v>0</v>
      </c>
      <c r="AQ1364" s="53" t="n">
        <v>0</v>
      </c>
      <c r="AR1364" s="52" t="n">
        <v>0</v>
      </c>
      <c r="AS1364" s="51" t="n">
        <v>0</v>
      </c>
      <c r="AT1364" s="48" t="n">
        <v>0</v>
      </c>
      <c r="AU1364" s="49" t="n">
        <v>0</v>
      </c>
      <c r="AV1364" s="49" t="n">
        <v>0</v>
      </c>
      <c r="AW1364" s="50" t="n">
        <v>0</v>
      </c>
      <c r="AX1364" s="51" t="n">
        <v>0</v>
      </c>
      <c r="AY1364" s="52" t="n">
        <v>0</v>
      </c>
      <c r="AZ1364" s="52" t="n">
        <v>0</v>
      </c>
      <c r="BA1364" s="52" t="n">
        <v>0</v>
      </c>
      <c r="BB1364" s="53" t="n">
        <v>0</v>
      </c>
      <c r="BC1364" s="52" t="n">
        <v>0</v>
      </c>
      <c r="BD1364" s="53" t="n">
        <v>0</v>
      </c>
      <c r="BE1364" s="52" t="n">
        <v>0</v>
      </c>
      <c r="BF1364" s="51" t="n">
        <v>0</v>
      </c>
    </row>
    <row r="1365">
      <c r="A1365">
        <f>HYPERLINK("https://www.walmart.com/ip/14514565156", "14514565156")</f>
        <v/>
      </c>
      <c r="B1365" t="inlineStr">
        <is>
          <t>Tirrinia Oversized Blanket Hoodie Sweatshirts, Wearable Fluffy Fleece Plush Blanket, Lightweight Cozy Sweatshirt Blanket Gift for Women Men, Blue</t>
        </is>
      </c>
      <c r="C1365" t="inlineStr">
        <is>
          <t>1TROSH360BK-FS</t>
        </is>
      </c>
      <c r="D1365" t="inlineStr">
        <is>
          <t>Sweatshirts &amp; Hoodies</t>
        </is>
      </c>
      <c r="E1365" t="inlineStr">
        <is>
          <t>Tirrinia</t>
        </is>
      </c>
      <c r="G1365" s="48" t="n">
        <v>0</v>
      </c>
      <c r="H1365" s="49" t="n">
        <v>0</v>
      </c>
      <c r="I1365" s="49" t="n">
        <v>0</v>
      </c>
      <c r="J1365" s="50" t="n">
        <v>0</v>
      </c>
      <c r="K1365" s="51" t="n">
        <v>0</v>
      </c>
      <c r="L1365" s="52" t="n">
        <v>0</v>
      </c>
      <c r="M1365" s="52" t="n">
        <v>0</v>
      </c>
      <c r="N1365" s="52" t="n">
        <v>0</v>
      </c>
      <c r="O1365" s="53" t="n">
        <v>0</v>
      </c>
      <c r="P1365" s="52" t="n">
        <v>0</v>
      </c>
      <c r="Q1365" s="53" t="n">
        <v>0</v>
      </c>
      <c r="R1365" s="52" t="n">
        <v>0</v>
      </c>
      <c r="S1365" s="51" t="n">
        <v>0</v>
      </c>
      <c r="T1365" s="48" t="n">
        <v>0</v>
      </c>
      <c r="U1365" s="49" t="n">
        <v>0</v>
      </c>
      <c r="V1365" s="49" t="n">
        <v>0</v>
      </c>
      <c r="W1365" s="50" t="n">
        <v>0</v>
      </c>
      <c r="X1365" s="51" t="n">
        <v>0</v>
      </c>
      <c r="Y1365" s="52" t="n">
        <v>0</v>
      </c>
      <c r="Z1365" s="52" t="n">
        <v>0</v>
      </c>
      <c r="AA1365" s="52" t="n">
        <v>0</v>
      </c>
      <c r="AB1365" s="53" t="n">
        <v>0</v>
      </c>
      <c r="AC1365" s="52" t="n">
        <v>0</v>
      </c>
      <c r="AD1365" s="53" t="n">
        <v>0</v>
      </c>
      <c r="AE1365" s="52" t="n">
        <v>0</v>
      </c>
      <c r="AF1365" s="51" t="n">
        <v>0</v>
      </c>
      <c r="AG1365" s="48" t="n">
        <v>0</v>
      </c>
      <c r="AH1365" s="49" t="n">
        <v>0</v>
      </c>
      <c r="AI1365" s="49" t="n">
        <v>0</v>
      </c>
      <c r="AJ1365" s="50" t="n">
        <v>0</v>
      </c>
      <c r="AK1365" s="51" t="n">
        <v>0</v>
      </c>
      <c r="AL1365" s="52" t="n">
        <v>0</v>
      </c>
      <c r="AM1365" s="52" t="n">
        <v>0</v>
      </c>
      <c r="AN1365" s="52" t="n">
        <v>0</v>
      </c>
      <c r="AO1365" s="53" t="n">
        <v>0</v>
      </c>
      <c r="AP1365" s="52" t="n">
        <v>0</v>
      </c>
      <c r="AQ1365" s="53" t="n">
        <v>0</v>
      </c>
      <c r="AR1365" s="52" t="n">
        <v>0</v>
      </c>
      <c r="AS1365" s="51" t="n">
        <v>0</v>
      </c>
      <c r="AT1365" s="48" t="n">
        <v>0</v>
      </c>
      <c r="AU1365" s="49" t="n">
        <v>0</v>
      </c>
      <c r="AV1365" s="49" t="n">
        <v>0</v>
      </c>
      <c r="AW1365" s="50" t="n">
        <v>0</v>
      </c>
      <c r="AX1365" s="51" t="n">
        <v>0</v>
      </c>
      <c r="AY1365" s="52" t="n">
        <v>0</v>
      </c>
      <c r="AZ1365" s="52" t="n">
        <v>0</v>
      </c>
      <c r="BA1365" s="52" t="n">
        <v>0</v>
      </c>
      <c r="BB1365" s="53" t="n">
        <v>0</v>
      </c>
      <c r="BC1365" s="52" t="n">
        <v>0</v>
      </c>
      <c r="BD1365" s="53" t="n">
        <v>0</v>
      </c>
      <c r="BE1365" s="52" t="n">
        <v>0</v>
      </c>
      <c r="BF1365" s="51" t="n">
        <v>0</v>
      </c>
    </row>
    <row r="1366">
      <c r="A1366">
        <f>HYPERLINK("https://www.walmart.com/ip/14514615100", "14514615100")</f>
        <v/>
      </c>
      <c r="B1366" t="inlineStr">
        <is>
          <t>Tirrinia Oversized Blanket Hoodie Sweatshirts, Wearable Fluffy Fleece Plush Blanket, Lightweight Cozy Sweatshirt Blanket Gift for Women Men, Gray</t>
        </is>
      </c>
      <c r="C1366" t="inlineStr">
        <is>
          <t>1TROSH360BL-FS</t>
        </is>
      </c>
      <c r="D1366" t="inlineStr">
        <is>
          <t>Sweatshirts &amp; Hoodies</t>
        </is>
      </c>
      <c r="E1366" t="inlineStr">
        <is>
          <t>Tirrinia</t>
        </is>
      </c>
      <c r="G1366" s="48" t="n">
        <v>0</v>
      </c>
      <c r="H1366" s="49" t="n">
        <v>0</v>
      </c>
      <c r="I1366" s="49" t="n">
        <v>0</v>
      </c>
      <c r="J1366" s="50" t="n">
        <v>0</v>
      </c>
      <c r="K1366" s="51" t="n">
        <v>0</v>
      </c>
      <c r="L1366" s="52" t="n">
        <v>0</v>
      </c>
      <c r="M1366" s="52" t="n">
        <v>0</v>
      </c>
      <c r="N1366" s="52" t="n">
        <v>0</v>
      </c>
      <c r="O1366" s="53" t="n">
        <v>0</v>
      </c>
      <c r="P1366" s="52" t="n">
        <v>0</v>
      </c>
      <c r="Q1366" s="53" t="n">
        <v>0</v>
      </c>
      <c r="R1366" s="52" t="n">
        <v>0</v>
      </c>
      <c r="S1366" s="51" t="n">
        <v>0</v>
      </c>
      <c r="T1366" s="48" t="n">
        <v>0</v>
      </c>
      <c r="U1366" s="49" t="n">
        <v>0</v>
      </c>
      <c r="V1366" s="49" t="n">
        <v>0</v>
      </c>
      <c r="W1366" s="50" t="n">
        <v>0</v>
      </c>
      <c r="X1366" s="51" t="n">
        <v>0</v>
      </c>
      <c r="Y1366" s="52" t="n">
        <v>0</v>
      </c>
      <c r="Z1366" s="52" t="n">
        <v>0</v>
      </c>
      <c r="AA1366" s="52" t="n">
        <v>0</v>
      </c>
      <c r="AB1366" s="53" t="n">
        <v>0</v>
      </c>
      <c r="AC1366" s="52" t="n">
        <v>0</v>
      </c>
      <c r="AD1366" s="53" t="n">
        <v>0</v>
      </c>
      <c r="AE1366" s="52" t="n">
        <v>0</v>
      </c>
      <c r="AF1366" s="51" t="n">
        <v>0</v>
      </c>
      <c r="AG1366" s="48" t="n">
        <v>0</v>
      </c>
      <c r="AH1366" s="49" t="n">
        <v>0</v>
      </c>
      <c r="AI1366" s="49" t="n">
        <v>0</v>
      </c>
      <c r="AJ1366" s="50" t="n">
        <v>0</v>
      </c>
      <c r="AK1366" s="51" t="n">
        <v>0</v>
      </c>
      <c r="AL1366" s="52" t="n">
        <v>0</v>
      </c>
      <c r="AM1366" s="52" t="n">
        <v>0</v>
      </c>
      <c r="AN1366" s="52" t="n">
        <v>0</v>
      </c>
      <c r="AO1366" s="53" t="n">
        <v>0</v>
      </c>
      <c r="AP1366" s="52" t="n">
        <v>0</v>
      </c>
      <c r="AQ1366" s="53" t="n">
        <v>0</v>
      </c>
      <c r="AR1366" s="52" t="n">
        <v>0</v>
      </c>
      <c r="AS1366" s="51" t="n">
        <v>0</v>
      </c>
      <c r="AT1366" s="48" t="n">
        <v>0</v>
      </c>
      <c r="AU1366" s="49" t="n">
        <v>0</v>
      </c>
      <c r="AV1366" s="49" t="n">
        <v>0</v>
      </c>
      <c r="AW1366" s="50" t="n">
        <v>0</v>
      </c>
      <c r="AX1366" s="51" t="n">
        <v>0</v>
      </c>
      <c r="AY1366" s="52" t="n">
        <v>0</v>
      </c>
      <c r="AZ1366" s="52" t="n">
        <v>0</v>
      </c>
      <c r="BA1366" s="52" t="n">
        <v>0</v>
      </c>
      <c r="BB1366" s="53" t="n">
        <v>0</v>
      </c>
      <c r="BC1366" s="52" t="n">
        <v>0</v>
      </c>
      <c r="BD1366" s="53" t="n">
        <v>0</v>
      </c>
      <c r="BE1366" s="52" t="n">
        <v>0</v>
      </c>
      <c r="BF1366" s="51" t="n">
        <v>0</v>
      </c>
    </row>
    <row r="1367">
      <c r="A1367">
        <f>HYPERLINK("https://www.walmart.com/ip/14515567521", "14515567521")</f>
        <v/>
      </c>
      <c r="B1367" t="inlineStr">
        <is>
          <t>PEANUTS Snoopy Family Matching Pajamas Holiday Festive Nightwear Sleepwear 2-Piece Sets for Christmas - Women (Red Plaid, M)</t>
        </is>
      </c>
      <c r="C1367" t="inlineStr">
        <is>
          <t>PEA-PJS-FAMILY-WOMEN-REDPLAID-M</t>
        </is>
      </c>
      <c r="D1367" t="inlineStr">
        <is>
          <t>Pajamas</t>
        </is>
      </c>
      <c r="E1367" t="inlineStr">
        <is>
          <t>Peanuts</t>
        </is>
      </c>
      <c r="G1367" s="48" t="n">
        <v>0</v>
      </c>
      <c r="H1367" s="49" t="n">
        <v>0</v>
      </c>
      <c r="I1367" s="49" t="n">
        <v>0</v>
      </c>
      <c r="J1367" s="50" t="n">
        <v>0</v>
      </c>
      <c r="K1367" s="51" t="n">
        <v>0</v>
      </c>
      <c r="L1367" s="52" t="n">
        <v>0</v>
      </c>
      <c r="M1367" s="52" t="n">
        <v>0</v>
      </c>
      <c r="N1367" s="52" t="n">
        <v>0</v>
      </c>
      <c r="O1367" s="53" t="n">
        <v>0</v>
      </c>
      <c r="P1367" s="52" t="n">
        <v>0</v>
      </c>
      <c r="Q1367" s="53" t="n">
        <v>0</v>
      </c>
      <c r="R1367" s="52" t="n">
        <v>0</v>
      </c>
      <c r="S1367" s="51" t="n">
        <v>0</v>
      </c>
      <c r="T1367" s="48" t="n">
        <v>0</v>
      </c>
      <c r="U1367" s="49" t="n">
        <v>0</v>
      </c>
      <c r="V1367" s="49" t="n">
        <v>0</v>
      </c>
      <c r="W1367" s="50" t="n">
        <v>0</v>
      </c>
      <c r="X1367" s="51" t="n">
        <v>0</v>
      </c>
      <c r="Y1367" s="52" t="n">
        <v>0</v>
      </c>
      <c r="Z1367" s="52" t="n">
        <v>0</v>
      </c>
      <c r="AA1367" s="52" t="n">
        <v>0</v>
      </c>
      <c r="AB1367" s="53" t="n">
        <v>0</v>
      </c>
      <c r="AC1367" s="52" t="n">
        <v>0</v>
      </c>
      <c r="AD1367" s="53" t="n">
        <v>0</v>
      </c>
      <c r="AE1367" s="52" t="n">
        <v>0</v>
      </c>
      <c r="AF1367" s="51" t="n">
        <v>0</v>
      </c>
      <c r="AG1367" s="48" t="n">
        <v>0</v>
      </c>
      <c r="AH1367" s="49" t="n">
        <v>0</v>
      </c>
      <c r="AI1367" s="49" t="n">
        <v>0</v>
      </c>
      <c r="AJ1367" s="50" t="n">
        <v>0</v>
      </c>
      <c r="AK1367" s="51" t="n">
        <v>0</v>
      </c>
      <c r="AL1367" s="52" t="n">
        <v>0</v>
      </c>
      <c r="AM1367" s="52" t="n">
        <v>0</v>
      </c>
      <c r="AN1367" s="52" t="n">
        <v>0</v>
      </c>
      <c r="AO1367" s="53" t="n">
        <v>0</v>
      </c>
      <c r="AP1367" s="52" t="n">
        <v>0</v>
      </c>
      <c r="AQ1367" s="53" t="n">
        <v>0</v>
      </c>
      <c r="AR1367" s="52" t="n">
        <v>0</v>
      </c>
      <c r="AS1367" s="51" t="n">
        <v>0</v>
      </c>
      <c r="AT1367" s="48" t="n">
        <v>0</v>
      </c>
      <c r="AU1367" s="49" t="n">
        <v>0</v>
      </c>
      <c r="AV1367" s="49" t="n">
        <v>0</v>
      </c>
      <c r="AW1367" s="50" t="n">
        <v>0</v>
      </c>
      <c r="AX1367" s="51" t="n">
        <v>0</v>
      </c>
      <c r="AY1367" s="52" t="n">
        <v>0</v>
      </c>
      <c r="AZ1367" s="52" t="n">
        <v>0</v>
      </c>
      <c r="BA1367" s="52" t="n">
        <v>0</v>
      </c>
      <c r="BB1367" s="53" t="n">
        <v>0</v>
      </c>
      <c r="BC1367" s="52" t="n">
        <v>0</v>
      </c>
      <c r="BD1367" s="53" t="n">
        <v>0</v>
      </c>
      <c r="BE1367" s="52" t="n">
        <v>0</v>
      </c>
      <c r="BF1367" s="51" t="n">
        <v>0</v>
      </c>
    </row>
    <row r="1368">
      <c r="A1368">
        <f>HYPERLINK("https://www.walmart.com/ip/14515617539", "14515617539")</f>
        <v/>
      </c>
      <c r="B1368" t="inlineStr">
        <is>
          <t>PEANUTS Mens' Cotton Snoopy Family Matching Pajamas 2-Piece Sets for Christmas with Woodstock Charlie Brown Linus, Gift for him (Red Polka Dot, XXL)</t>
        </is>
      </c>
      <c r="C1368" t="inlineStr">
        <is>
          <t>PEA-PJS-FAMILY-MEN-RED-2XL</t>
        </is>
      </c>
      <c r="D1368" t="inlineStr">
        <is>
          <t>Pajamas</t>
        </is>
      </c>
      <c r="E1368" t="inlineStr">
        <is>
          <t>Peanuts</t>
        </is>
      </c>
      <c r="G1368" s="48" t="n">
        <v>0</v>
      </c>
      <c r="H1368" s="49" t="n">
        <v>0</v>
      </c>
      <c r="I1368" s="49" t="n">
        <v>0</v>
      </c>
      <c r="J1368" s="50" t="n">
        <v>0</v>
      </c>
      <c r="K1368" s="51" t="n">
        <v>0</v>
      </c>
      <c r="L1368" s="52" t="n">
        <v>0</v>
      </c>
      <c r="M1368" s="52" t="n">
        <v>0</v>
      </c>
      <c r="N1368" s="52" t="n">
        <v>0</v>
      </c>
      <c r="O1368" s="53" t="n">
        <v>0</v>
      </c>
      <c r="P1368" s="52" t="n">
        <v>0</v>
      </c>
      <c r="Q1368" s="53" t="n">
        <v>0</v>
      </c>
      <c r="R1368" s="52" t="n">
        <v>0</v>
      </c>
      <c r="S1368" s="51" t="n">
        <v>0</v>
      </c>
      <c r="T1368" s="48" t="n">
        <v>0</v>
      </c>
      <c r="U1368" s="49" t="n">
        <v>0</v>
      </c>
      <c r="V1368" s="49" t="n">
        <v>0</v>
      </c>
      <c r="W1368" s="50" t="n">
        <v>0</v>
      </c>
      <c r="X1368" s="51" t="n">
        <v>0</v>
      </c>
      <c r="Y1368" s="52" t="n">
        <v>0</v>
      </c>
      <c r="Z1368" s="52" t="n">
        <v>0</v>
      </c>
      <c r="AA1368" s="52" t="n">
        <v>0</v>
      </c>
      <c r="AB1368" s="53" t="n">
        <v>0</v>
      </c>
      <c r="AC1368" s="52" t="n">
        <v>0</v>
      </c>
      <c r="AD1368" s="53" t="n">
        <v>0</v>
      </c>
      <c r="AE1368" s="52" t="n">
        <v>0</v>
      </c>
      <c r="AF1368" s="51" t="n">
        <v>0</v>
      </c>
      <c r="AG1368" s="48" t="n">
        <v>0</v>
      </c>
      <c r="AH1368" s="49" t="n">
        <v>0</v>
      </c>
      <c r="AI1368" s="49" t="n">
        <v>0</v>
      </c>
      <c r="AJ1368" s="50" t="n">
        <v>0</v>
      </c>
      <c r="AK1368" s="51" t="n">
        <v>0</v>
      </c>
      <c r="AL1368" s="52" t="n">
        <v>0</v>
      </c>
      <c r="AM1368" s="52" t="n">
        <v>0</v>
      </c>
      <c r="AN1368" s="52" t="n">
        <v>0</v>
      </c>
      <c r="AO1368" s="53" t="n">
        <v>0</v>
      </c>
      <c r="AP1368" s="52" t="n">
        <v>0</v>
      </c>
      <c r="AQ1368" s="53" t="n">
        <v>0</v>
      </c>
      <c r="AR1368" s="52" t="n">
        <v>0</v>
      </c>
      <c r="AS1368" s="51" t="n">
        <v>0</v>
      </c>
      <c r="AT1368" s="48" t="n">
        <v>0</v>
      </c>
      <c r="AU1368" s="49" t="n">
        <v>0</v>
      </c>
      <c r="AV1368" s="49" t="n">
        <v>0</v>
      </c>
      <c r="AW1368" s="50" t="n">
        <v>0</v>
      </c>
      <c r="AX1368" s="51" t="n">
        <v>0</v>
      </c>
      <c r="AY1368" s="52" t="n">
        <v>0</v>
      </c>
      <c r="AZ1368" s="52" t="n">
        <v>0</v>
      </c>
      <c r="BA1368" s="52" t="n">
        <v>0</v>
      </c>
      <c r="BB1368" s="53" t="n">
        <v>0</v>
      </c>
      <c r="BC1368" s="52" t="n">
        <v>0</v>
      </c>
      <c r="BD1368" s="53" t="n">
        <v>0</v>
      </c>
      <c r="BE1368" s="52" t="n">
        <v>0</v>
      </c>
      <c r="BF1368" s="51" t="n">
        <v>0</v>
      </c>
    </row>
    <row r="1369">
      <c r="A1369">
        <f>HYPERLINK("https://www.walmart.com/ip/14515667164", "14515667164")</f>
        <v/>
      </c>
      <c r="B1369" t="inlineStr">
        <is>
          <t>PEANUTS Snoopy 100% Cotton Family Matching Pajamas Holiday 2-Piece Sets for Christmas with Woodstock Charlie Brown Linus for Baby (Red Plaid, 18M)</t>
        </is>
      </c>
      <c r="C1369" t="inlineStr">
        <is>
          <t>PEA-PJS-FAMILY-INFANT-REDPLAID-18M</t>
        </is>
      </c>
      <c r="D1369" t="inlineStr">
        <is>
          <t>Pajamas</t>
        </is>
      </c>
      <c r="E1369" t="inlineStr">
        <is>
          <t>Peanuts</t>
        </is>
      </c>
      <c r="G1369" s="48" t="n">
        <v>0</v>
      </c>
      <c r="H1369" s="49" t="n">
        <v>0</v>
      </c>
      <c r="I1369" s="49" t="n">
        <v>0</v>
      </c>
      <c r="J1369" s="50" t="n">
        <v>0</v>
      </c>
      <c r="K1369" s="51" t="n">
        <v>0</v>
      </c>
      <c r="L1369" s="52" t="n">
        <v>0</v>
      </c>
      <c r="M1369" s="52" t="n">
        <v>0</v>
      </c>
      <c r="N1369" s="52" t="n">
        <v>0</v>
      </c>
      <c r="O1369" s="53" t="n">
        <v>0</v>
      </c>
      <c r="P1369" s="52" t="n">
        <v>0</v>
      </c>
      <c r="Q1369" s="53" t="n">
        <v>0</v>
      </c>
      <c r="R1369" s="52" t="n">
        <v>0</v>
      </c>
      <c r="S1369" s="51" t="n">
        <v>0</v>
      </c>
      <c r="T1369" s="48" t="n">
        <v>0</v>
      </c>
      <c r="U1369" s="49" t="n">
        <v>0</v>
      </c>
      <c r="V1369" s="49" t="n">
        <v>0</v>
      </c>
      <c r="W1369" s="50" t="n">
        <v>0</v>
      </c>
      <c r="X1369" s="51" t="n">
        <v>0</v>
      </c>
      <c r="Y1369" s="52" t="n">
        <v>0</v>
      </c>
      <c r="Z1369" s="52" t="n">
        <v>0</v>
      </c>
      <c r="AA1369" s="52" t="n">
        <v>0</v>
      </c>
      <c r="AB1369" s="53" t="n">
        <v>0</v>
      </c>
      <c r="AC1369" s="52" t="n">
        <v>0</v>
      </c>
      <c r="AD1369" s="53" t="n">
        <v>0</v>
      </c>
      <c r="AE1369" s="52" t="n">
        <v>0</v>
      </c>
      <c r="AF1369" s="51" t="n">
        <v>0</v>
      </c>
      <c r="AG1369" s="48" t="n">
        <v>0</v>
      </c>
      <c r="AH1369" s="49" t="n">
        <v>0</v>
      </c>
      <c r="AI1369" s="49" t="n">
        <v>0</v>
      </c>
      <c r="AJ1369" s="50" t="n">
        <v>0</v>
      </c>
      <c r="AK1369" s="51" t="n">
        <v>0</v>
      </c>
      <c r="AL1369" s="52" t="n">
        <v>0</v>
      </c>
      <c r="AM1369" s="52" t="n">
        <v>0</v>
      </c>
      <c r="AN1369" s="52" t="n">
        <v>0</v>
      </c>
      <c r="AO1369" s="53" t="n">
        <v>0</v>
      </c>
      <c r="AP1369" s="52" t="n">
        <v>0</v>
      </c>
      <c r="AQ1369" s="53" t="n">
        <v>0</v>
      </c>
      <c r="AR1369" s="52" t="n">
        <v>0</v>
      </c>
      <c r="AS1369" s="51" t="n">
        <v>0</v>
      </c>
      <c r="AT1369" s="48" t="n">
        <v>0</v>
      </c>
      <c r="AU1369" s="49" t="n">
        <v>0</v>
      </c>
      <c r="AV1369" s="49" t="n">
        <v>0</v>
      </c>
      <c r="AW1369" s="50" t="n">
        <v>0</v>
      </c>
      <c r="AX1369" s="51" t="n">
        <v>0</v>
      </c>
      <c r="AY1369" s="52" t="n">
        <v>0</v>
      </c>
      <c r="AZ1369" s="52" t="n">
        <v>0</v>
      </c>
      <c r="BA1369" s="52" t="n">
        <v>0</v>
      </c>
      <c r="BB1369" s="53" t="n">
        <v>0</v>
      </c>
      <c r="BC1369" s="52" t="n">
        <v>0</v>
      </c>
      <c r="BD1369" s="53" t="n">
        <v>0</v>
      </c>
      <c r="BE1369" s="52" t="n">
        <v>0</v>
      </c>
      <c r="BF1369" s="51" t="n">
        <v>0</v>
      </c>
    </row>
    <row r="1370">
      <c r="A1370">
        <f>HYPERLINK("https://www.walmart.com/ip/14515717039", "14515717039")</f>
        <v/>
      </c>
      <c r="B1370" t="inlineStr">
        <is>
          <t>PEANUTS Mens' Cotton Snoopy Family Matching Pajamas 2-Piece Sets for Christmas with Woodstock Charlie Brown Linus, Gift for him (Black Plaid, XL)</t>
        </is>
      </c>
      <c r="C1370" t="inlineStr">
        <is>
          <t>PEA-PJS-FAMILY-MEN-BLACKPLAID-XL</t>
        </is>
      </c>
      <c r="D1370" t="inlineStr">
        <is>
          <t>Pajamas</t>
        </is>
      </c>
      <c r="E1370" t="inlineStr">
        <is>
          <t>Peanuts</t>
        </is>
      </c>
      <c r="G1370" s="48" t="n">
        <v>0</v>
      </c>
      <c r="H1370" s="49" t="n">
        <v>0</v>
      </c>
      <c r="I1370" s="49" t="n">
        <v>0</v>
      </c>
      <c r="J1370" s="50" t="n">
        <v>0</v>
      </c>
      <c r="K1370" s="51" t="n">
        <v>0</v>
      </c>
      <c r="L1370" s="52" t="n">
        <v>0</v>
      </c>
      <c r="M1370" s="52" t="n">
        <v>0</v>
      </c>
      <c r="N1370" s="52" t="n">
        <v>0</v>
      </c>
      <c r="O1370" s="53" t="n">
        <v>0</v>
      </c>
      <c r="P1370" s="52" t="n">
        <v>0</v>
      </c>
      <c r="Q1370" s="53" t="n">
        <v>0</v>
      </c>
      <c r="R1370" s="52" t="n">
        <v>0</v>
      </c>
      <c r="S1370" s="51" t="n">
        <v>0</v>
      </c>
      <c r="T1370" s="48" t="n">
        <v>0</v>
      </c>
      <c r="U1370" s="49" t="n">
        <v>0</v>
      </c>
      <c r="V1370" s="49" t="n">
        <v>0</v>
      </c>
      <c r="W1370" s="50" t="n">
        <v>0</v>
      </c>
      <c r="X1370" s="51" t="n">
        <v>0</v>
      </c>
      <c r="Y1370" s="52" t="n">
        <v>0</v>
      </c>
      <c r="Z1370" s="52" t="n">
        <v>0</v>
      </c>
      <c r="AA1370" s="52" t="n">
        <v>0</v>
      </c>
      <c r="AB1370" s="53" t="n">
        <v>0</v>
      </c>
      <c r="AC1370" s="52" t="n">
        <v>0</v>
      </c>
      <c r="AD1370" s="53" t="n">
        <v>0</v>
      </c>
      <c r="AE1370" s="52" t="n">
        <v>0</v>
      </c>
      <c r="AF1370" s="51" t="n">
        <v>0</v>
      </c>
      <c r="AG1370" s="48" t="n">
        <v>0</v>
      </c>
      <c r="AH1370" s="49" t="n">
        <v>0</v>
      </c>
      <c r="AI1370" s="49" t="n">
        <v>0</v>
      </c>
      <c r="AJ1370" s="50" t="n">
        <v>0</v>
      </c>
      <c r="AK1370" s="51" t="n">
        <v>0</v>
      </c>
      <c r="AL1370" s="52" t="n">
        <v>0</v>
      </c>
      <c r="AM1370" s="52" t="n">
        <v>0</v>
      </c>
      <c r="AN1370" s="52" t="n">
        <v>0</v>
      </c>
      <c r="AO1370" s="53" t="n">
        <v>0</v>
      </c>
      <c r="AP1370" s="52" t="n">
        <v>0</v>
      </c>
      <c r="AQ1370" s="53" t="n">
        <v>0</v>
      </c>
      <c r="AR1370" s="52" t="n">
        <v>0</v>
      </c>
      <c r="AS1370" s="51" t="n">
        <v>0</v>
      </c>
      <c r="AT1370" s="48" t="n">
        <v>0</v>
      </c>
      <c r="AU1370" s="49" t="n">
        <v>0</v>
      </c>
      <c r="AV1370" s="49" t="n">
        <v>0</v>
      </c>
      <c r="AW1370" s="50" t="n">
        <v>0</v>
      </c>
      <c r="AX1370" s="51" t="n">
        <v>0</v>
      </c>
      <c r="AY1370" s="52" t="n">
        <v>0</v>
      </c>
      <c r="AZ1370" s="52" t="n">
        <v>0</v>
      </c>
      <c r="BA1370" s="52" t="n">
        <v>0</v>
      </c>
      <c r="BB1370" s="53" t="n">
        <v>0</v>
      </c>
      <c r="BC1370" s="52" t="n">
        <v>0</v>
      </c>
      <c r="BD1370" s="53" t="n">
        <v>0</v>
      </c>
      <c r="BE1370" s="52" t="n">
        <v>0</v>
      </c>
      <c r="BF1370" s="51" t="n">
        <v>0</v>
      </c>
    </row>
    <row r="1371">
      <c r="A1371">
        <f>HYPERLINK("https://www.walmart.com/ip/14516958875", "14516958875")</f>
        <v/>
      </c>
      <c r="B1371" t="inlineStr">
        <is>
          <t>PEANUTS Mens' Cotton Snoopy Family Matching Pajamas 2-Piece Sets for Christmas with Woodstock Charlie Brown Linus, Gift for him (Red Plaid, XXL)</t>
        </is>
      </c>
      <c r="C1371" t="inlineStr">
        <is>
          <t>PEA-PJS-FAMILY-MEN-REDPLAID-2XL</t>
        </is>
      </c>
      <c r="D1371" t="inlineStr">
        <is>
          <t>Pajamas</t>
        </is>
      </c>
      <c r="E1371" t="inlineStr">
        <is>
          <t>Peanuts</t>
        </is>
      </c>
      <c r="G1371" s="48" t="n">
        <v>0</v>
      </c>
      <c r="H1371" s="49" t="n">
        <v>0</v>
      </c>
      <c r="I1371" s="49" t="n">
        <v>0</v>
      </c>
      <c r="J1371" s="50" t="n">
        <v>0</v>
      </c>
      <c r="K1371" s="51" t="n">
        <v>0</v>
      </c>
      <c r="L1371" s="52" t="n">
        <v>0</v>
      </c>
      <c r="M1371" s="52" t="n">
        <v>0</v>
      </c>
      <c r="N1371" s="52" t="n">
        <v>0</v>
      </c>
      <c r="O1371" s="53" t="n">
        <v>0</v>
      </c>
      <c r="P1371" s="52" t="n">
        <v>0</v>
      </c>
      <c r="Q1371" s="53" t="n">
        <v>0</v>
      </c>
      <c r="R1371" s="52" t="n">
        <v>0</v>
      </c>
      <c r="S1371" s="51" t="n">
        <v>0</v>
      </c>
      <c r="T1371" s="48" t="n">
        <v>0</v>
      </c>
      <c r="U1371" s="49" t="n">
        <v>0</v>
      </c>
      <c r="V1371" s="49" t="n">
        <v>0</v>
      </c>
      <c r="W1371" s="50" t="n">
        <v>0</v>
      </c>
      <c r="X1371" s="51" t="n">
        <v>0</v>
      </c>
      <c r="Y1371" s="52" t="n">
        <v>0</v>
      </c>
      <c r="Z1371" s="52" t="n">
        <v>0</v>
      </c>
      <c r="AA1371" s="52" t="n">
        <v>0</v>
      </c>
      <c r="AB1371" s="53" t="n">
        <v>0</v>
      </c>
      <c r="AC1371" s="52" t="n">
        <v>0</v>
      </c>
      <c r="AD1371" s="53" t="n">
        <v>0</v>
      </c>
      <c r="AE1371" s="52" t="n">
        <v>0</v>
      </c>
      <c r="AF1371" s="51" t="n">
        <v>0</v>
      </c>
      <c r="AG1371" s="48" t="n">
        <v>0</v>
      </c>
      <c r="AH1371" s="49" t="n">
        <v>0</v>
      </c>
      <c r="AI1371" s="49" t="n">
        <v>0</v>
      </c>
      <c r="AJ1371" s="50" t="n">
        <v>0</v>
      </c>
      <c r="AK1371" s="51" t="n">
        <v>0</v>
      </c>
      <c r="AL1371" s="52" t="n">
        <v>0</v>
      </c>
      <c r="AM1371" s="52" t="n">
        <v>0</v>
      </c>
      <c r="AN1371" s="52" t="n">
        <v>0</v>
      </c>
      <c r="AO1371" s="53" t="n">
        <v>0</v>
      </c>
      <c r="AP1371" s="52" t="n">
        <v>0</v>
      </c>
      <c r="AQ1371" s="53" t="n">
        <v>0</v>
      </c>
      <c r="AR1371" s="52" t="n">
        <v>0</v>
      </c>
      <c r="AS1371" s="51" t="n">
        <v>0</v>
      </c>
      <c r="AT1371" s="48" t="n">
        <v>0</v>
      </c>
      <c r="AU1371" s="49" t="n">
        <v>0</v>
      </c>
      <c r="AV1371" s="49" t="n">
        <v>0</v>
      </c>
      <c r="AW1371" s="50" t="n">
        <v>0</v>
      </c>
      <c r="AX1371" s="51" t="n">
        <v>0</v>
      </c>
      <c r="AY1371" s="52" t="n">
        <v>0</v>
      </c>
      <c r="AZ1371" s="52" t="n">
        <v>0</v>
      </c>
      <c r="BA1371" s="52" t="n">
        <v>0</v>
      </c>
      <c r="BB1371" s="53" t="n">
        <v>0</v>
      </c>
      <c r="BC1371" s="52" t="n">
        <v>0</v>
      </c>
      <c r="BD1371" s="53" t="n">
        <v>0</v>
      </c>
      <c r="BE1371" s="52" t="n">
        <v>0</v>
      </c>
      <c r="BF1371" s="51" t="n">
        <v>0</v>
      </c>
    </row>
    <row r="1372">
      <c r="A1372">
        <f>HYPERLINK("https://www.walmart.com/ip/14516958877", "14516958877")</f>
        <v/>
      </c>
      <c r="B1372" t="inlineStr">
        <is>
          <t>PEANUTS Mens' Cotton Snoopy Family Matching Pajamas 2-Piece Sets for Christmas with Woodstock Charlie Brown Linus, Gift for him (Green Polka Dot, L)</t>
        </is>
      </c>
      <c r="C1372" t="inlineStr">
        <is>
          <t>PEA-PJS-FAMILY-MEN-GREEN-L</t>
        </is>
      </c>
      <c r="D1372" t="inlineStr">
        <is>
          <t>Pajamas</t>
        </is>
      </c>
      <c r="E1372" t="inlineStr">
        <is>
          <t>Peanuts</t>
        </is>
      </c>
      <c r="G1372" s="48" t="n">
        <v>0</v>
      </c>
      <c r="H1372" s="49" t="n">
        <v>0</v>
      </c>
      <c r="I1372" s="49" t="n">
        <v>0</v>
      </c>
      <c r="J1372" s="50" t="n">
        <v>0</v>
      </c>
      <c r="K1372" s="51" t="n">
        <v>0</v>
      </c>
      <c r="L1372" s="52" t="n">
        <v>0</v>
      </c>
      <c r="M1372" s="52" t="n">
        <v>0</v>
      </c>
      <c r="N1372" s="52" t="n">
        <v>0</v>
      </c>
      <c r="O1372" s="53" t="n">
        <v>0</v>
      </c>
      <c r="P1372" s="52" t="n">
        <v>0</v>
      </c>
      <c r="Q1372" s="53" t="n">
        <v>0</v>
      </c>
      <c r="R1372" s="52" t="n">
        <v>0</v>
      </c>
      <c r="S1372" s="51" t="n">
        <v>0</v>
      </c>
      <c r="T1372" s="48" t="n">
        <v>0</v>
      </c>
      <c r="U1372" s="49" t="n">
        <v>0</v>
      </c>
      <c r="V1372" s="49" t="n">
        <v>0</v>
      </c>
      <c r="W1372" s="50" t="n">
        <v>0</v>
      </c>
      <c r="X1372" s="51" t="n">
        <v>0</v>
      </c>
      <c r="Y1372" s="52" t="n">
        <v>0</v>
      </c>
      <c r="Z1372" s="52" t="n">
        <v>0</v>
      </c>
      <c r="AA1372" s="52" t="n">
        <v>0</v>
      </c>
      <c r="AB1372" s="53" t="n">
        <v>0</v>
      </c>
      <c r="AC1372" s="52" t="n">
        <v>0</v>
      </c>
      <c r="AD1372" s="53" t="n">
        <v>0</v>
      </c>
      <c r="AE1372" s="52" t="n">
        <v>0</v>
      </c>
      <c r="AF1372" s="51" t="n">
        <v>0</v>
      </c>
      <c r="AG1372" s="48" t="n">
        <v>0</v>
      </c>
      <c r="AH1372" s="49" t="n">
        <v>0</v>
      </c>
      <c r="AI1372" s="49" t="n">
        <v>0</v>
      </c>
      <c r="AJ1372" s="50" t="n">
        <v>0</v>
      </c>
      <c r="AK1372" s="51" t="n">
        <v>0</v>
      </c>
      <c r="AL1372" s="52" t="n">
        <v>0</v>
      </c>
      <c r="AM1372" s="52" t="n">
        <v>0</v>
      </c>
      <c r="AN1372" s="52" t="n">
        <v>0</v>
      </c>
      <c r="AO1372" s="53" t="n">
        <v>0</v>
      </c>
      <c r="AP1372" s="52" t="n">
        <v>0</v>
      </c>
      <c r="AQ1372" s="53" t="n">
        <v>0</v>
      </c>
      <c r="AR1372" s="52" t="n">
        <v>0</v>
      </c>
      <c r="AS1372" s="51" t="n">
        <v>0</v>
      </c>
      <c r="AT1372" s="48" t="n">
        <v>0</v>
      </c>
      <c r="AU1372" s="49" t="n">
        <v>0</v>
      </c>
      <c r="AV1372" s="49" t="n">
        <v>0</v>
      </c>
      <c r="AW1372" s="50" t="n">
        <v>0</v>
      </c>
      <c r="AX1372" s="51" t="n">
        <v>0</v>
      </c>
      <c r="AY1372" s="52" t="n">
        <v>0</v>
      </c>
      <c r="AZ1372" s="52" t="n">
        <v>0</v>
      </c>
      <c r="BA1372" s="52" t="n">
        <v>0</v>
      </c>
      <c r="BB1372" s="53" t="n">
        <v>0</v>
      </c>
      <c r="BC1372" s="52" t="n">
        <v>0</v>
      </c>
      <c r="BD1372" s="53" t="n">
        <v>0</v>
      </c>
      <c r="BE1372" s="52" t="n">
        <v>0</v>
      </c>
      <c r="BF1372" s="51" t="n">
        <v>0</v>
      </c>
    </row>
    <row r="1373">
      <c r="A1373">
        <f>HYPERLINK("https://www.walmart.com/ip/14516958879", "14516958879")</f>
        <v/>
      </c>
      <c r="B1373" t="inlineStr">
        <is>
          <t>PEANUTS Snoopy 100% Cotton Family Matching Pajamas Holiday 2-Piece Sets for Christmas with Woodstock Charlie Brown Linus for Baby (Red Plaid, 6M)</t>
        </is>
      </c>
      <c r="C1373" t="inlineStr">
        <is>
          <t>PEA-PJS-FAMILY-INFANT-REDPLAID-6M</t>
        </is>
      </c>
      <c r="D1373" t="inlineStr">
        <is>
          <t>Pajamas</t>
        </is>
      </c>
      <c r="E1373" t="inlineStr">
        <is>
          <t>Peanuts</t>
        </is>
      </c>
      <c r="G1373" s="48" t="n">
        <v>0</v>
      </c>
      <c r="H1373" s="49" t="n">
        <v>0</v>
      </c>
      <c r="I1373" s="49" t="n">
        <v>0</v>
      </c>
      <c r="J1373" s="50" t="n">
        <v>0</v>
      </c>
      <c r="K1373" s="51" t="n">
        <v>0</v>
      </c>
      <c r="L1373" s="52" t="n">
        <v>0</v>
      </c>
      <c r="M1373" s="52" t="n">
        <v>0</v>
      </c>
      <c r="N1373" s="52" t="n">
        <v>0</v>
      </c>
      <c r="O1373" s="53" t="n">
        <v>0</v>
      </c>
      <c r="P1373" s="52" t="n">
        <v>0</v>
      </c>
      <c r="Q1373" s="53" t="n">
        <v>0</v>
      </c>
      <c r="R1373" s="52" t="n">
        <v>0</v>
      </c>
      <c r="S1373" s="51" t="n">
        <v>0</v>
      </c>
      <c r="T1373" s="48" t="n">
        <v>0</v>
      </c>
      <c r="U1373" s="49" t="n">
        <v>0</v>
      </c>
      <c r="V1373" s="49" t="n">
        <v>0</v>
      </c>
      <c r="W1373" s="50" t="n">
        <v>0</v>
      </c>
      <c r="X1373" s="51" t="n">
        <v>0</v>
      </c>
      <c r="Y1373" s="52" t="n">
        <v>0</v>
      </c>
      <c r="Z1373" s="52" t="n">
        <v>0</v>
      </c>
      <c r="AA1373" s="52" t="n">
        <v>0</v>
      </c>
      <c r="AB1373" s="53" t="n">
        <v>0</v>
      </c>
      <c r="AC1373" s="52" t="n">
        <v>0</v>
      </c>
      <c r="AD1373" s="53" t="n">
        <v>0</v>
      </c>
      <c r="AE1373" s="52" t="n">
        <v>0</v>
      </c>
      <c r="AF1373" s="51" t="n">
        <v>0</v>
      </c>
      <c r="AG1373" s="48" t="n">
        <v>0</v>
      </c>
      <c r="AH1373" s="49" t="n">
        <v>0</v>
      </c>
      <c r="AI1373" s="49" t="n">
        <v>0</v>
      </c>
      <c r="AJ1373" s="50" t="n">
        <v>0</v>
      </c>
      <c r="AK1373" s="51" t="n">
        <v>0</v>
      </c>
      <c r="AL1373" s="52" t="n">
        <v>0</v>
      </c>
      <c r="AM1373" s="52" t="n">
        <v>0</v>
      </c>
      <c r="AN1373" s="52" t="n">
        <v>0</v>
      </c>
      <c r="AO1373" s="53" t="n">
        <v>0</v>
      </c>
      <c r="AP1373" s="52" t="n">
        <v>0</v>
      </c>
      <c r="AQ1373" s="53" t="n">
        <v>0</v>
      </c>
      <c r="AR1373" s="52" t="n">
        <v>0</v>
      </c>
      <c r="AS1373" s="51" t="n">
        <v>0</v>
      </c>
      <c r="AT1373" s="48" t="n">
        <v>0</v>
      </c>
      <c r="AU1373" s="49" t="n">
        <v>0</v>
      </c>
      <c r="AV1373" s="49" t="n">
        <v>0</v>
      </c>
      <c r="AW1373" s="50" t="n">
        <v>0</v>
      </c>
      <c r="AX1373" s="51" t="n">
        <v>0</v>
      </c>
      <c r="AY1373" s="52" t="n">
        <v>0</v>
      </c>
      <c r="AZ1373" s="52" t="n">
        <v>0</v>
      </c>
      <c r="BA1373" s="52" t="n">
        <v>0</v>
      </c>
      <c r="BB1373" s="53" t="n">
        <v>0</v>
      </c>
      <c r="BC1373" s="52" t="n">
        <v>0</v>
      </c>
      <c r="BD1373" s="53" t="n">
        <v>0</v>
      </c>
      <c r="BE1373" s="52" t="n">
        <v>0</v>
      </c>
      <c r="BF1373" s="51" t="n">
        <v>0</v>
      </c>
    </row>
    <row r="1374">
      <c r="A1374">
        <f>HYPERLINK("https://www.walmart.com/ip/14516958881", "14516958881")</f>
        <v/>
      </c>
      <c r="B1374" t="inlineStr">
        <is>
          <t>PEANUTS Womens 100% Cotton Family Matching Pajamas Holiday Festive Nightwear Sleepwear 2-Piece Sets for Christmas Gifts (Green Polka Dot, XS)</t>
        </is>
      </c>
      <c r="C1374" t="inlineStr">
        <is>
          <t>PEA-PJS-FAMILY-WOMEN-GREEN-XS</t>
        </is>
      </c>
      <c r="D1374" t="inlineStr">
        <is>
          <t>Pajamas</t>
        </is>
      </c>
      <c r="E1374" t="inlineStr">
        <is>
          <t>Peanuts</t>
        </is>
      </c>
      <c r="G1374" s="48" t="n">
        <v>0</v>
      </c>
      <c r="H1374" s="49" t="n">
        <v>0</v>
      </c>
      <c r="I1374" s="49" t="n">
        <v>0</v>
      </c>
      <c r="J1374" s="50" t="n">
        <v>0</v>
      </c>
      <c r="K1374" s="51" t="n">
        <v>0</v>
      </c>
      <c r="L1374" s="52" t="n">
        <v>0</v>
      </c>
      <c r="M1374" s="52" t="n">
        <v>0</v>
      </c>
      <c r="N1374" s="52" t="n">
        <v>0</v>
      </c>
      <c r="O1374" s="53" t="n">
        <v>0</v>
      </c>
      <c r="P1374" s="52" t="n">
        <v>0</v>
      </c>
      <c r="Q1374" s="53" t="n">
        <v>0</v>
      </c>
      <c r="R1374" s="52" t="n">
        <v>0</v>
      </c>
      <c r="S1374" s="51" t="n">
        <v>0</v>
      </c>
      <c r="T1374" s="48" t="n">
        <v>0</v>
      </c>
      <c r="U1374" s="49" t="n">
        <v>0</v>
      </c>
      <c r="V1374" s="49" t="n">
        <v>0</v>
      </c>
      <c r="W1374" s="50" t="n">
        <v>0</v>
      </c>
      <c r="X1374" s="51" t="n">
        <v>0</v>
      </c>
      <c r="Y1374" s="52" t="n">
        <v>0</v>
      </c>
      <c r="Z1374" s="52" t="n">
        <v>0</v>
      </c>
      <c r="AA1374" s="52" t="n">
        <v>0</v>
      </c>
      <c r="AB1374" s="53" t="n">
        <v>0</v>
      </c>
      <c r="AC1374" s="52" t="n">
        <v>0</v>
      </c>
      <c r="AD1374" s="53" t="n">
        <v>0</v>
      </c>
      <c r="AE1374" s="52" t="n">
        <v>0</v>
      </c>
      <c r="AF1374" s="51" t="n">
        <v>0</v>
      </c>
      <c r="AG1374" s="48" t="n">
        <v>0</v>
      </c>
      <c r="AH1374" s="49" t="n">
        <v>0</v>
      </c>
      <c r="AI1374" s="49" t="n">
        <v>0</v>
      </c>
      <c r="AJ1374" s="50" t="n">
        <v>0</v>
      </c>
      <c r="AK1374" s="51" t="n">
        <v>0</v>
      </c>
      <c r="AL1374" s="52" t="n">
        <v>0</v>
      </c>
      <c r="AM1374" s="52" t="n">
        <v>0</v>
      </c>
      <c r="AN1374" s="52" t="n">
        <v>0</v>
      </c>
      <c r="AO1374" s="53" t="n">
        <v>0</v>
      </c>
      <c r="AP1374" s="52" t="n">
        <v>0</v>
      </c>
      <c r="AQ1374" s="53" t="n">
        <v>0</v>
      </c>
      <c r="AR1374" s="52" t="n">
        <v>0</v>
      </c>
      <c r="AS1374" s="51" t="n">
        <v>0</v>
      </c>
      <c r="AT1374" s="48" t="n">
        <v>0</v>
      </c>
      <c r="AU1374" s="49" t="n">
        <v>0</v>
      </c>
      <c r="AV1374" s="49" t="n">
        <v>0</v>
      </c>
      <c r="AW1374" s="50" t="n">
        <v>0</v>
      </c>
      <c r="AX1374" s="51" t="n">
        <v>0</v>
      </c>
      <c r="AY1374" s="52" t="n">
        <v>0</v>
      </c>
      <c r="AZ1374" s="52" t="n">
        <v>0</v>
      </c>
      <c r="BA1374" s="52" t="n">
        <v>0</v>
      </c>
      <c r="BB1374" s="53" t="n">
        <v>0</v>
      </c>
      <c r="BC1374" s="52" t="n">
        <v>0</v>
      </c>
      <c r="BD1374" s="53" t="n">
        <v>0</v>
      </c>
      <c r="BE1374" s="52" t="n">
        <v>0</v>
      </c>
      <c r="BF1374" s="51" t="n">
        <v>0</v>
      </c>
    </row>
    <row r="1375">
      <c r="A1375">
        <f>HYPERLINK("https://www.walmart.com/ip/14522665306", "14522665306")</f>
        <v/>
      </c>
      <c r="B1375" t="inlineStr">
        <is>
          <t>Catalonia Oversized Blanket Hoodie Sweatshirt, Comfortable Wearable Blanket Pullover Adults, Black Golden</t>
        </is>
      </c>
      <c r="C1375" t="inlineStr">
        <is>
          <t>1CTOSH401RAINBOW-FS</t>
        </is>
      </c>
      <c r="D1375" t="inlineStr">
        <is>
          <t>Sweatshirts &amp; Hoodies</t>
        </is>
      </c>
      <c r="E1375" t="inlineStr">
        <is>
          <t>Catalonia</t>
        </is>
      </c>
      <c r="G1375" s="48" t="n">
        <v>0</v>
      </c>
      <c r="H1375" s="49" t="n">
        <v>0</v>
      </c>
      <c r="I1375" s="49" t="n">
        <v>0</v>
      </c>
      <c r="J1375" s="50" t="n">
        <v>0</v>
      </c>
      <c r="K1375" s="51" t="n">
        <v>0</v>
      </c>
      <c r="L1375" s="52" t="n">
        <v>0</v>
      </c>
      <c r="M1375" s="52" t="n">
        <v>0</v>
      </c>
      <c r="N1375" s="52" t="n">
        <v>0</v>
      </c>
      <c r="O1375" s="53" t="n">
        <v>0</v>
      </c>
      <c r="P1375" s="52" t="n">
        <v>0</v>
      </c>
      <c r="Q1375" s="53" t="n">
        <v>0</v>
      </c>
      <c r="R1375" s="52" t="n">
        <v>0</v>
      </c>
      <c r="S1375" s="51" t="n">
        <v>0</v>
      </c>
      <c r="T1375" s="48" t="n">
        <v>0</v>
      </c>
      <c r="U1375" s="49" t="n">
        <v>0</v>
      </c>
      <c r="V1375" s="49" t="n">
        <v>0</v>
      </c>
      <c r="W1375" s="50" t="n">
        <v>0</v>
      </c>
      <c r="X1375" s="51" t="n">
        <v>0</v>
      </c>
      <c r="Y1375" s="52" t="n">
        <v>0</v>
      </c>
      <c r="Z1375" s="52" t="n">
        <v>0</v>
      </c>
      <c r="AA1375" s="52" t="n">
        <v>0</v>
      </c>
      <c r="AB1375" s="53" t="n">
        <v>0</v>
      </c>
      <c r="AC1375" s="52" t="n">
        <v>0</v>
      </c>
      <c r="AD1375" s="53" t="n">
        <v>0</v>
      </c>
      <c r="AE1375" s="52" t="n">
        <v>0</v>
      </c>
      <c r="AF1375" s="51" t="n">
        <v>0</v>
      </c>
      <c r="AG1375" s="48" t="n">
        <v>0</v>
      </c>
      <c r="AH1375" s="49" t="n">
        <v>0</v>
      </c>
      <c r="AI1375" s="49" t="n">
        <v>0</v>
      </c>
      <c r="AJ1375" s="50" t="n">
        <v>0</v>
      </c>
      <c r="AK1375" s="51" t="n">
        <v>0</v>
      </c>
      <c r="AL1375" s="52" t="n">
        <v>0</v>
      </c>
      <c r="AM1375" s="52" t="n">
        <v>0</v>
      </c>
      <c r="AN1375" s="52" t="n">
        <v>0</v>
      </c>
      <c r="AO1375" s="53" t="n">
        <v>0</v>
      </c>
      <c r="AP1375" s="52" t="n">
        <v>0</v>
      </c>
      <c r="AQ1375" s="53" t="n">
        <v>0</v>
      </c>
      <c r="AR1375" s="52" t="n">
        <v>0</v>
      </c>
      <c r="AS1375" s="51" t="n">
        <v>0</v>
      </c>
      <c r="AT1375" s="48" t="n">
        <v>0</v>
      </c>
      <c r="AU1375" s="49" t="n">
        <v>0</v>
      </c>
      <c r="AV1375" s="49" t="n">
        <v>0</v>
      </c>
      <c r="AW1375" s="50" t="n">
        <v>0</v>
      </c>
      <c r="AX1375" s="51" t="n">
        <v>0</v>
      </c>
      <c r="AY1375" s="52" t="n">
        <v>0</v>
      </c>
      <c r="AZ1375" s="52" t="n">
        <v>0</v>
      </c>
      <c r="BA1375" s="52" t="n">
        <v>0</v>
      </c>
      <c r="BB1375" s="53" t="n">
        <v>0</v>
      </c>
      <c r="BC1375" s="52" t="n">
        <v>0</v>
      </c>
      <c r="BD1375" s="53" t="n">
        <v>0</v>
      </c>
      <c r="BE1375" s="52" t="n">
        <v>0</v>
      </c>
      <c r="BF1375" s="51" t="n">
        <v>0</v>
      </c>
    </row>
    <row r="1376">
      <c r="A1376">
        <f>HYPERLINK("https://www.walmart.com/ip/14522704428", "14522704428")</f>
        <v/>
      </c>
      <c r="B1376" t="inlineStr">
        <is>
          <t>PEANUTS Toddler Boys Girls Snoopy Family Matching Pajamas Sleepwear 2-Piece Sets for Christmas with Woodstock Charlie Brown Linus (Black Plaid, 2T)</t>
        </is>
      </c>
      <c r="C1376" t="inlineStr">
        <is>
          <t>PEA-PJS-FAMILY-TODDLER-BLACKPLAID-2T</t>
        </is>
      </c>
      <c r="D1376" t="inlineStr">
        <is>
          <t>Pajamas</t>
        </is>
      </c>
      <c r="E1376" t="inlineStr">
        <is>
          <t>Peanuts</t>
        </is>
      </c>
      <c r="G1376" s="48" t="n">
        <v>0</v>
      </c>
      <c r="H1376" s="49" t="n">
        <v>0</v>
      </c>
      <c r="I1376" s="49" t="n">
        <v>0</v>
      </c>
      <c r="J1376" s="50" t="n">
        <v>0</v>
      </c>
      <c r="K1376" s="51" t="n">
        <v>0</v>
      </c>
      <c r="L1376" s="52" t="n">
        <v>0</v>
      </c>
      <c r="M1376" s="52" t="n">
        <v>0</v>
      </c>
      <c r="N1376" s="52" t="n">
        <v>0</v>
      </c>
      <c r="O1376" s="53" t="n">
        <v>0</v>
      </c>
      <c r="P1376" s="52" t="n">
        <v>0</v>
      </c>
      <c r="Q1376" s="53" t="n">
        <v>0</v>
      </c>
      <c r="R1376" s="52" t="n">
        <v>0</v>
      </c>
      <c r="S1376" s="51" t="n">
        <v>0</v>
      </c>
      <c r="T1376" s="48" t="n">
        <v>0</v>
      </c>
      <c r="U1376" s="49" t="n">
        <v>0</v>
      </c>
      <c r="V1376" s="49" t="n">
        <v>0</v>
      </c>
      <c r="W1376" s="50" t="n">
        <v>0</v>
      </c>
      <c r="X1376" s="51" t="n">
        <v>0</v>
      </c>
      <c r="Y1376" s="52" t="n">
        <v>0</v>
      </c>
      <c r="Z1376" s="52" t="n">
        <v>0</v>
      </c>
      <c r="AA1376" s="52" t="n">
        <v>0</v>
      </c>
      <c r="AB1376" s="53" t="n">
        <v>0</v>
      </c>
      <c r="AC1376" s="52" t="n">
        <v>0</v>
      </c>
      <c r="AD1376" s="53" t="n">
        <v>0</v>
      </c>
      <c r="AE1376" s="52" t="n">
        <v>0</v>
      </c>
      <c r="AF1376" s="51" t="n">
        <v>0</v>
      </c>
      <c r="AG1376" s="48" t="n">
        <v>0</v>
      </c>
      <c r="AH1376" s="49" t="n">
        <v>0</v>
      </c>
      <c r="AI1376" s="49" t="n">
        <v>0</v>
      </c>
      <c r="AJ1376" s="50" t="n">
        <v>0</v>
      </c>
      <c r="AK1376" s="51" t="n">
        <v>0</v>
      </c>
      <c r="AL1376" s="52" t="n">
        <v>0</v>
      </c>
      <c r="AM1376" s="52" t="n">
        <v>0</v>
      </c>
      <c r="AN1376" s="52" t="n">
        <v>0</v>
      </c>
      <c r="AO1376" s="53" t="n">
        <v>0</v>
      </c>
      <c r="AP1376" s="52" t="n">
        <v>0</v>
      </c>
      <c r="AQ1376" s="53" t="n">
        <v>0</v>
      </c>
      <c r="AR1376" s="52" t="n">
        <v>0</v>
      </c>
      <c r="AS1376" s="51" t="n">
        <v>0</v>
      </c>
      <c r="AT1376" s="48" t="n">
        <v>0</v>
      </c>
      <c r="AU1376" s="49" t="n">
        <v>0</v>
      </c>
      <c r="AV1376" s="49" t="n">
        <v>0</v>
      </c>
      <c r="AW1376" s="50" t="n">
        <v>0</v>
      </c>
      <c r="AX1376" s="51" t="n">
        <v>0</v>
      </c>
      <c r="AY1376" s="52" t="n">
        <v>0</v>
      </c>
      <c r="AZ1376" s="52" t="n">
        <v>0</v>
      </c>
      <c r="BA1376" s="52" t="n">
        <v>0</v>
      </c>
      <c r="BB1376" s="53" t="n">
        <v>0</v>
      </c>
      <c r="BC1376" s="52" t="n">
        <v>0</v>
      </c>
      <c r="BD1376" s="53" t="n">
        <v>0</v>
      </c>
      <c r="BE1376" s="52" t="n">
        <v>0</v>
      </c>
      <c r="BF1376" s="51" t="n">
        <v>0</v>
      </c>
    </row>
    <row r="1377">
      <c r="A1377">
        <f>HYPERLINK("https://www.walmart.com/ip/14523702233", "14523702233")</f>
        <v/>
      </c>
      <c r="B1377" t="inlineStr">
        <is>
          <t>PEANUTS Womens 100% Cotton Family Matching Pajamas Holiday Festive Nightwear Sleepwear 2-Piece Sets for Christmas Gifts (Red Plaid, XS)</t>
        </is>
      </c>
      <c r="C1377" t="inlineStr">
        <is>
          <t>PEA-PJS-FAMILY-WOMEN-REDPLAID-XS</t>
        </is>
      </c>
      <c r="D1377" t="inlineStr">
        <is>
          <t>Pajamas</t>
        </is>
      </c>
      <c r="E1377" t="inlineStr">
        <is>
          <t>Peanuts</t>
        </is>
      </c>
      <c r="G1377" s="48" t="n">
        <v>0</v>
      </c>
      <c r="H1377" s="49" t="n">
        <v>0</v>
      </c>
      <c r="I1377" s="49" t="n">
        <v>0</v>
      </c>
      <c r="J1377" s="50" t="n">
        <v>0</v>
      </c>
      <c r="K1377" s="51" t="n">
        <v>0</v>
      </c>
      <c r="L1377" s="52" t="n">
        <v>0</v>
      </c>
      <c r="M1377" s="52" t="n">
        <v>0</v>
      </c>
      <c r="N1377" s="52" t="n">
        <v>0</v>
      </c>
      <c r="O1377" s="53" t="n">
        <v>0</v>
      </c>
      <c r="P1377" s="52" t="n">
        <v>0</v>
      </c>
      <c r="Q1377" s="53" t="n">
        <v>0</v>
      </c>
      <c r="R1377" s="52" t="n">
        <v>0</v>
      </c>
      <c r="S1377" s="51" t="n">
        <v>0</v>
      </c>
      <c r="T1377" s="48" t="n">
        <v>0</v>
      </c>
      <c r="U1377" s="49" t="n">
        <v>0</v>
      </c>
      <c r="V1377" s="49" t="n">
        <v>0</v>
      </c>
      <c r="W1377" s="50" t="n">
        <v>0</v>
      </c>
      <c r="X1377" s="51" t="n">
        <v>0</v>
      </c>
      <c r="Y1377" s="52" t="n">
        <v>0</v>
      </c>
      <c r="Z1377" s="52" t="n">
        <v>0</v>
      </c>
      <c r="AA1377" s="52" t="n">
        <v>0</v>
      </c>
      <c r="AB1377" s="53" t="n">
        <v>0</v>
      </c>
      <c r="AC1377" s="52" t="n">
        <v>0</v>
      </c>
      <c r="AD1377" s="53" t="n">
        <v>0</v>
      </c>
      <c r="AE1377" s="52" t="n">
        <v>0</v>
      </c>
      <c r="AF1377" s="51" t="n">
        <v>0</v>
      </c>
      <c r="AG1377" s="48" t="n">
        <v>0</v>
      </c>
      <c r="AH1377" s="49" t="n">
        <v>0</v>
      </c>
      <c r="AI1377" s="49" t="n">
        <v>0</v>
      </c>
      <c r="AJ1377" s="50" t="n">
        <v>0</v>
      </c>
      <c r="AK1377" s="51" t="n">
        <v>0</v>
      </c>
      <c r="AL1377" s="52" t="n">
        <v>0</v>
      </c>
      <c r="AM1377" s="52" t="n">
        <v>0</v>
      </c>
      <c r="AN1377" s="52" t="n">
        <v>0</v>
      </c>
      <c r="AO1377" s="53" t="n">
        <v>0</v>
      </c>
      <c r="AP1377" s="52" t="n">
        <v>0</v>
      </c>
      <c r="AQ1377" s="53" t="n">
        <v>0</v>
      </c>
      <c r="AR1377" s="52" t="n">
        <v>0</v>
      </c>
      <c r="AS1377" s="51" t="n">
        <v>0</v>
      </c>
      <c r="AT1377" s="48" t="n">
        <v>0</v>
      </c>
      <c r="AU1377" s="49" t="n">
        <v>0</v>
      </c>
      <c r="AV1377" s="49" t="n">
        <v>0</v>
      </c>
      <c r="AW1377" s="50" t="n">
        <v>0</v>
      </c>
      <c r="AX1377" s="51" t="n">
        <v>0</v>
      </c>
      <c r="AY1377" s="52" t="n">
        <v>0</v>
      </c>
      <c r="AZ1377" s="52" t="n">
        <v>0</v>
      </c>
      <c r="BA1377" s="52" t="n">
        <v>0</v>
      </c>
      <c r="BB1377" s="53" t="n">
        <v>0</v>
      </c>
      <c r="BC1377" s="52" t="n">
        <v>0</v>
      </c>
      <c r="BD1377" s="53" t="n">
        <v>0</v>
      </c>
      <c r="BE1377" s="52" t="n">
        <v>0</v>
      </c>
      <c r="BF1377" s="51" t="n">
        <v>0</v>
      </c>
    </row>
    <row r="1378">
      <c r="A1378">
        <f>HYPERLINK("https://www.walmart.com/ip/14523702235", "14523702235")</f>
        <v/>
      </c>
      <c r="B1378" t="inlineStr">
        <is>
          <t>PEANUTS Womens 100% Cotton Family Matching Pajamas Holiday Festive Nightwear Sleepwear 2-Piece Sets for Christmas Gifts (Black Plaid, XL)</t>
        </is>
      </c>
      <c r="C1378" t="inlineStr">
        <is>
          <t>PEA-PJS-FAMILY-WOMEN-BLACKPLAID-XL</t>
        </is>
      </c>
      <c r="D1378" t="inlineStr">
        <is>
          <t>Pajamas</t>
        </is>
      </c>
      <c r="E1378" t="inlineStr">
        <is>
          <t>Peanuts</t>
        </is>
      </c>
      <c r="G1378" s="48" t="n">
        <v>0</v>
      </c>
      <c r="H1378" s="49" t="n">
        <v>0</v>
      </c>
      <c r="I1378" s="49" t="n">
        <v>0</v>
      </c>
      <c r="J1378" s="50" t="n">
        <v>0</v>
      </c>
      <c r="K1378" s="51" t="n">
        <v>0</v>
      </c>
      <c r="L1378" s="52" t="n">
        <v>0</v>
      </c>
      <c r="M1378" s="52" t="n">
        <v>0</v>
      </c>
      <c r="N1378" s="52" t="n">
        <v>0</v>
      </c>
      <c r="O1378" s="53" t="n">
        <v>0</v>
      </c>
      <c r="P1378" s="52" t="n">
        <v>0</v>
      </c>
      <c r="Q1378" s="53" t="n">
        <v>0</v>
      </c>
      <c r="R1378" s="52" t="n">
        <v>0</v>
      </c>
      <c r="S1378" s="51" t="n">
        <v>0</v>
      </c>
      <c r="T1378" s="48" t="n">
        <v>0</v>
      </c>
      <c r="U1378" s="49" t="n">
        <v>0</v>
      </c>
      <c r="V1378" s="49" t="n">
        <v>0</v>
      </c>
      <c r="W1378" s="50" t="n">
        <v>0</v>
      </c>
      <c r="X1378" s="51" t="n">
        <v>0</v>
      </c>
      <c r="Y1378" s="52" t="n">
        <v>0</v>
      </c>
      <c r="Z1378" s="52" t="n">
        <v>0</v>
      </c>
      <c r="AA1378" s="52" t="n">
        <v>0</v>
      </c>
      <c r="AB1378" s="53" t="n">
        <v>0</v>
      </c>
      <c r="AC1378" s="52" t="n">
        <v>0</v>
      </c>
      <c r="AD1378" s="53" t="n">
        <v>0</v>
      </c>
      <c r="AE1378" s="52" t="n">
        <v>0</v>
      </c>
      <c r="AF1378" s="51" t="n">
        <v>0</v>
      </c>
      <c r="AG1378" s="48" t="n">
        <v>0</v>
      </c>
      <c r="AH1378" s="49" t="n">
        <v>0</v>
      </c>
      <c r="AI1378" s="49" t="n">
        <v>0</v>
      </c>
      <c r="AJ1378" s="50" t="n">
        <v>0</v>
      </c>
      <c r="AK1378" s="51" t="n">
        <v>0</v>
      </c>
      <c r="AL1378" s="52" t="n">
        <v>0</v>
      </c>
      <c r="AM1378" s="52" t="n">
        <v>0</v>
      </c>
      <c r="AN1378" s="52" t="n">
        <v>0</v>
      </c>
      <c r="AO1378" s="53" t="n">
        <v>0</v>
      </c>
      <c r="AP1378" s="52" t="n">
        <v>0</v>
      </c>
      <c r="AQ1378" s="53" t="n">
        <v>0</v>
      </c>
      <c r="AR1378" s="52" t="n">
        <v>0</v>
      </c>
      <c r="AS1378" s="51" t="n">
        <v>0</v>
      </c>
      <c r="AT1378" s="48" t="n">
        <v>0</v>
      </c>
      <c r="AU1378" s="49" t="n">
        <v>0</v>
      </c>
      <c r="AV1378" s="49" t="n">
        <v>0</v>
      </c>
      <c r="AW1378" s="50" t="n">
        <v>0</v>
      </c>
      <c r="AX1378" s="51" t="n">
        <v>0</v>
      </c>
      <c r="AY1378" s="52" t="n">
        <v>0</v>
      </c>
      <c r="AZ1378" s="52" t="n">
        <v>0</v>
      </c>
      <c r="BA1378" s="52" t="n">
        <v>0</v>
      </c>
      <c r="BB1378" s="53" t="n">
        <v>0</v>
      </c>
      <c r="BC1378" s="52" t="n">
        <v>0</v>
      </c>
      <c r="BD1378" s="53" t="n">
        <v>0</v>
      </c>
      <c r="BE1378" s="52" t="n">
        <v>0</v>
      </c>
      <c r="BF1378" s="51" t="n">
        <v>0</v>
      </c>
    </row>
    <row r="1379">
      <c r="A1379">
        <f>HYPERLINK("https://www.walmart.com/ip/14523702237", "14523702237")</f>
        <v/>
      </c>
      <c r="B1379" t="inlineStr">
        <is>
          <t>PEANUTS Toddler Boys Girls Snoopy Family Matching Pajamas Sleepwear 2-Piece Sets for Christmas with Woodstock Charlie Brown Linus (Red Plaid, 3T)</t>
        </is>
      </c>
      <c r="C1379" t="inlineStr">
        <is>
          <t>PEA-PJS-FAMILY-TODDLER-REDPLAID-3T</t>
        </is>
      </c>
      <c r="D1379" t="inlineStr">
        <is>
          <t>Pajamas</t>
        </is>
      </c>
      <c r="E1379" t="inlineStr">
        <is>
          <t>Peanuts</t>
        </is>
      </c>
      <c r="G1379" s="48" t="n">
        <v>0</v>
      </c>
      <c r="H1379" s="49" t="n">
        <v>0</v>
      </c>
      <c r="I1379" s="49" t="n">
        <v>0</v>
      </c>
      <c r="J1379" s="50" t="n">
        <v>0</v>
      </c>
      <c r="K1379" s="51" t="n">
        <v>0</v>
      </c>
      <c r="L1379" s="52" t="n">
        <v>0</v>
      </c>
      <c r="M1379" s="52" t="n">
        <v>0</v>
      </c>
      <c r="N1379" s="52" t="n">
        <v>0</v>
      </c>
      <c r="O1379" s="53" t="n">
        <v>0</v>
      </c>
      <c r="P1379" s="52" t="n">
        <v>0</v>
      </c>
      <c r="Q1379" s="53" t="n">
        <v>0</v>
      </c>
      <c r="R1379" s="52" t="n">
        <v>0</v>
      </c>
      <c r="S1379" s="51" t="n">
        <v>0</v>
      </c>
      <c r="T1379" s="48" t="n">
        <v>0</v>
      </c>
      <c r="U1379" s="49" t="n">
        <v>0</v>
      </c>
      <c r="V1379" s="49" t="n">
        <v>0</v>
      </c>
      <c r="W1379" s="50" t="n">
        <v>0</v>
      </c>
      <c r="X1379" s="51" t="n">
        <v>0</v>
      </c>
      <c r="Y1379" s="52" t="n">
        <v>0</v>
      </c>
      <c r="Z1379" s="52" t="n">
        <v>0</v>
      </c>
      <c r="AA1379" s="52" t="n">
        <v>0</v>
      </c>
      <c r="AB1379" s="53" t="n">
        <v>0</v>
      </c>
      <c r="AC1379" s="52" t="n">
        <v>0</v>
      </c>
      <c r="AD1379" s="53" t="n">
        <v>0</v>
      </c>
      <c r="AE1379" s="52" t="n">
        <v>0</v>
      </c>
      <c r="AF1379" s="51" t="n">
        <v>0</v>
      </c>
      <c r="AG1379" s="48" t="n">
        <v>0</v>
      </c>
      <c r="AH1379" s="49" t="n">
        <v>0</v>
      </c>
      <c r="AI1379" s="49" t="n">
        <v>0</v>
      </c>
      <c r="AJ1379" s="50" t="n">
        <v>0</v>
      </c>
      <c r="AK1379" s="51" t="n">
        <v>0</v>
      </c>
      <c r="AL1379" s="52" t="n">
        <v>0</v>
      </c>
      <c r="AM1379" s="52" t="n">
        <v>0</v>
      </c>
      <c r="AN1379" s="52" t="n">
        <v>0</v>
      </c>
      <c r="AO1379" s="53" t="n">
        <v>0</v>
      </c>
      <c r="AP1379" s="52" t="n">
        <v>0</v>
      </c>
      <c r="AQ1379" s="53" t="n">
        <v>0</v>
      </c>
      <c r="AR1379" s="52" t="n">
        <v>0</v>
      </c>
      <c r="AS1379" s="51" t="n">
        <v>0</v>
      </c>
      <c r="AT1379" s="48" t="n">
        <v>0</v>
      </c>
      <c r="AU1379" s="49" t="n">
        <v>0</v>
      </c>
      <c r="AV1379" s="49" t="n">
        <v>0</v>
      </c>
      <c r="AW1379" s="50" t="n">
        <v>0</v>
      </c>
      <c r="AX1379" s="51" t="n">
        <v>0</v>
      </c>
      <c r="AY1379" s="52" t="n">
        <v>0</v>
      </c>
      <c r="AZ1379" s="52" t="n">
        <v>0</v>
      </c>
      <c r="BA1379" s="52" t="n">
        <v>0</v>
      </c>
      <c r="BB1379" s="53" t="n">
        <v>0</v>
      </c>
      <c r="BC1379" s="52" t="n">
        <v>0</v>
      </c>
      <c r="BD1379" s="53" t="n">
        <v>0</v>
      </c>
      <c r="BE1379" s="52" t="n">
        <v>0</v>
      </c>
      <c r="BF1379" s="51" t="n">
        <v>0</v>
      </c>
    </row>
    <row r="1380">
      <c r="A1380">
        <f>HYPERLINK("https://www.walmart.com/ip/14489068782", "14489068782")</f>
        <v/>
      </c>
      <c r="B1380" t="inlineStr">
        <is>
          <t>Catalonia Pink Blanket Hoodie for Kids, Oversized Wearable Fleece Sweatshirt Pullover for 7-16 yr Teens Youth, Kids Gift Idea</t>
        </is>
      </c>
      <c r="C1380" t="inlineStr">
        <is>
          <t>1CTOSH401LBL-FS</t>
        </is>
      </c>
      <c r="D1380" t="inlineStr">
        <is>
          <t>Sweatshirts &amp; Hoodies</t>
        </is>
      </c>
      <c r="E1380" t="inlineStr">
        <is>
          <t>Catalonia</t>
        </is>
      </c>
      <c r="G1380" s="48" t="n">
        <v>0</v>
      </c>
      <c r="H1380" s="49" t="n">
        <v>0</v>
      </c>
      <c r="I1380" s="49" t="n">
        <v>0</v>
      </c>
      <c r="J1380" s="50" t="n">
        <v>0</v>
      </c>
      <c r="K1380" s="51" t="n">
        <v>0</v>
      </c>
      <c r="L1380" s="52" t="n">
        <v>0</v>
      </c>
      <c r="M1380" s="52" t="n">
        <v>0</v>
      </c>
      <c r="N1380" s="52" t="n">
        <v>0</v>
      </c>
      <c r="O1380" s="53" t="n">
        <v>0</v>
      </c>
      <c r="P1380" s="52" t="n">
        <v>0</v>
      </c>
      <c r="Q1380" s="53" t="n">
        <v>0</v>
      </c>
      <c r="R1380" s="52" t="n">
        <v>0</v>
      </c>
      <c r="S1380" s="51" t="n">
        <v>0</v>
      </c>
      <c r="T1380" s="48" t="n">
        <v>0</v>
      </c>
      <c r="U1380" s="49" t="n">
        <v>0</v>
      </c>
      <c r="V1380" s="49" t="n">
        <v>0</v>
      </c>
      <c r="W1380" s="50" t="n">
        <v>0</v>
      </c>
      <c r="X1380" s="51" t="n">
        <v>0</v>
      </c>
      <c r="Y1380" s="52" t="n">
        <v>0</v>
      </c>
      <c r="Z1380" s="52" t="n">
        <v>0</v>
      </c>
      <c r="AA1380" s="52" t="n">
        <v>0</v>
      </c>
      <c r="AB1380" s="53" t="n">
        <v>0</v>
      </c>
      <c r="AC1380" s="52" t="n">
        <v>0</v>
      </c>
      <c r="AD1380" s="53" t="n">
        <v>0</v>
      </c>
      <c r="AE1380" s="52" t="n">
        <v>0</v>
      </c>
      <c r="AF1380" s="51" t="n">
        <v>0</v>
      </c>
      <c r="AG1380" s="48" t="n">
        <v>0</v>
      </c>
      <c r="AH1380" s="49" t="n">
        <v>0</v>
      </c>
      <c r="AI1380" s="49" t="n">
        <v>0</v>
      </c>
      <c r="AJ1380" s="50" t="n">
        <v>0</v>
      </c>
      <c r="AK1380" s="51" t="n">
        <v>0</v>
      </c>
      <c r="AL1380" s="52" t="n">
        <v>0</v>
      </c>
      <c r="AM1380" s="52" t="n">
        <v>0</v>
      </c>
      <c r="AN1380" s="52" t="n">
        <v>0</v>
      </c>
      <c r="AO1380" s="53" t="n">
        <v>0</v>
      </c>
      <c r="AP1380" s="52" t="n">
        <v>0</v>
      </c>
      <c r="AQ1380" s="53" t="n">
        <v>0</v>
      </c>
      <c r="AR1380" s="52" t="n">
        <v>0</v>
      </c>
      <c r="AS1380" s="51" t="n">
        <v>0</v>
      </c>
      <c r="AT1380" s="48" t="n">
        <v>0</v>
      </c>
      <c r="AU1380" s="49" t="n">
        <v>0</v>
      </c>
      <c r="AV1380" s="49" t="n">
        <v>0</v>
      </c>
      <c r="AW1380" s="50" t="n">
        <v>0</v>
      </c>
      <c r="AX1380" s="51" t="n">
        <v>0</v>
      </c>
      <c r="AY1380" s="52" t="n">
        <v>0</v>
      </c>
      <c r="AZ1380" s="52" t="n">
        <v>0</v>
      </c>
      <c r="BA1380" s="52" t="n">
        <v>0</v>
      </c>
      <c r="BB1380" s="53" t="n">
        <v>0</v>
      </c>
      <c r="BC1380" s="52" t="n">
        <v>0</v>
      </c>
      <c r="BD1380" s="53" t="n">
        <v>0</v>
      </c>
      <c r="BE1380" s="52" t="n">
        <v>0</v>
      </c>
      <c r="BF1380" s="51" t="n">
        <v>0</v>
      </c>
    </row>
    <row r="1381">
      <c r="A1381">
        <f>HYPERLINK("https://www.walmart.com/ip/14488964547", "14488964547")</f>
        <v/>
      </c>
      <c r="B1381" t="inlineStr">
        <is>
          <t>Catalonia Women's Hoodie Sweatshirt, Casual Pullover Sweater with front Pocket, Womens Fall Winter Clothing, Blanket Hoodie Sweatshirt, Cat Print</t>
        </is>
      </c>
      <c r="C1381" t="inlineStr">
        <is>
          <t>1CTOSH300S1BLCAT-FS</t>
        </is>
      </c>
      <c r="D1381" t="inlineStr">
        <is>
          <t>Sweatshirts &amp; Hoodies</t>
        </is>
      </c>
      <c r="E1381" t="inlineStr">
        <is>
          <t>Catalonia</t>
        </is>
      </c>
      <c r="G1381" s="48" t="n">
        <v>0</v>
      </c>
      <c r="H1381" s="49" t="n">
        <v>0</v>
      </c>
      <c r="I1381" s="49" t="n">
        <v>0</v>
      </c>
      <c r="J1381" s="50" t="n">
        <v>0</v>
      </c>
      <c r="K1381" s="51" t="n">
        <v>0</v>
      </c>
      <c r="L1381" s="52" t="n">
        <v>0</v>
      </c>
      <c r="M1381" s="52" t="n">
        <v>0</v>
      </c>
      <c r="N1381" s="52" t="n">
        <v>0</v>
      </c>
      <c r="O1381" s="53" t="n">
        <v>0</v>
      </c>
      <c r="P1381" s="52" t="n">
        <v>0</v>
      </c>
      <c r="Q1381" s="53" t="n">
        <v>0</v>
      </c>
      <c r="R1381" s="52" t="n">
        <v>0</v>
      </c>
      <c r="S1381" s="51" t="n">
        <v>0</v>
      </c>
      <c r="T1381" s="48" t="n">
        <v>0</v>
      </c>
      <c r="U1381" s="49" t="n">
        <v>0</v>
      </c>
      <c r="V1381" s="49" t="n">
        <v>0</v>
      </c>
      <c r="W1381" s="50" t="n">
        <v>0</v>
      </c>
      <c r="X1381" s="51" t="n">
        <v>0</v>
      </c>
      <c r="Y1381" s="52" t="n">
        <v>0</v>
      </c>
      <c r="Z1381" s="52" t="n">
        <v>0</v>
      </c>
      <c r="AA1381" s="52" t="n">
        <v>0</v>
      </c>
      <c r="AB1381" s="53" t="n">
        <v>0</v>
      </c>
      <c r="AC1381" s="52" t="n">
        <v>0</v>
      </c>
      <c r="AD1381" s="53" t="n">
        <v>0</v>
      </c>
      <c r="AE1381" s="52" t="n">
        <v>0</v>
      </c>
      <c r="AF1381" s="51" t="n">
        <v>0</v>
      </c>
      <c r="AG1381" s="48" t="n">
        <v>0</v>
      </c>
      <c r="AH1381" s="49" t="n">
        <v>0</v>
      </c>
      <c r="AI1381" s="49" t="n">
        <v>0</v>
      </c>
      <c r="AJ1381" s="50" t="n">
        <v>0</v>
      </c>
      <c r="AK1381" s="51" t="n">
        <v>0</v>
      </c>
      <c r="AL1381" s="52" t="n">
        <v>0</v>
      </c>
      <c r="AM1381" s="52" t="n">
        <v>0</v>
      </c>
      <c r="AN1381" s="52" t="n">
        <v>0</v>
      </c>
      <c r="AO1381" s="53" t="n">
        <v>0</v>
      </c>
      <c r="AP1381" s="52" t="n">
        <v>0</v>
      </c>
      <c r="AQ1381" s="53" t="n">
        <v>0</v>
      </c>
      <c r="AR1381" s="52" t="n">
        <v>0</v>
      </c>
      <c r="AS1381" s="51" t="n">
        <v>0</v>
      </c>
      <c r="AT1381" s="48" t="n">
        <v>0</v>
      </c>
      <c r="AU1381" s="49" t="n">
        <v>0</v>
      </c>
      <c r="AV1381" s="49" t="n">
        <v>0</v>
      </c>
      <c r="AW1381" s="50" t="n">
        <v>0</v>
      </c>
      <c r="AX1381" s="51" t="n">
        <v>0</v>
      </c>
      <c r="AY1381" s="52" t="n">
        <v>0</v>
      </c>
      <c r="AZ1381" s="52" t="n">
        <v>0</v>
      </c>
      <c r="BA1381" s="52" t="n">
        <v>0</v>
      </c>
      <c r="BB1381" s="53" t="n">
        <v>0</v>
      </c>
      <c r="BC1381" s="52" t="n">
        <v>0</v>
      </c>
      <c r="BD1381" s="53" t="n">
        <v>0</v>
      </c>
      <c r="BE1381" s="52" t="n">
        <v>0</v>
      </c>
      <c r="BF1381" s="51" t="n">
        <v>0</v>
      </c>
    </row>
    <row r="1382">
      <c r="A1382">
        <f>HYPERLINK("https://www.walmart.com/ip/139817363", "139817363")</f>
        <v/>
      </c>
      <c r="B1382" t="inlineStr">
        <is>
          <t>JenniWears® Women's Sexy Lace Nightgown Sleepwear Bathrobe 2 Piece Set</t>
        </is>
      </c>
      <c r="C1382" t="inlineStr">
        <is>
          <t>JWRS02BK-M</t>
        </is>
      </c>
      <c r="D1382" t="inlineStr">
        <is>
          <t>Nightgowns &amp; Sleepshirts</t>
        </is>
      </c>
      <c r="E1382" t="inlineStr">
        <is>
          <t>JenniWears</t>
        </is>
      </c>
      <c r="F1382" t="inlineStr">
        <is>
          <t>Optimized,Valentine,Bathrobe</t>
        </is>
      </c>
      <c r="G1382" s="48" t="n">
        <v>0</v>
      </c>
      <c r="H1382" s="49" t="n">
        <v>0</v>
      </c>
      <c r="I1382" s="49" t="n">
        <v>0</v>
      </c>
      <c r="J1382" s="50" t="n">
        <v>0</v>
      </c>
      <c r="K1382" s="51" t="n">
        <v>0</v>
      </c>
      <c r="L1382" s="52" t="n">
        <v>0</v>
      </c>
      <c r="M1382" s="52" t="n">
        <v>0</v>
      </c>
      <c r="N1382" s="52" t="n">
        <v>0</v>
      </c>
      <c r="O1382" s="53" t="n">
        <v>0</v>
      </c>
      <c r="P1382" s="52" t="n">
        <v>0</v>
      </c>
      <c r="Q1382" s="53" t="n">
        <v>0</v>
      </c>
      <c r="R1382" s="52" t="n">
        <v>0</v>
      </c>
      <c r="S1382" s="51" t="n">
        <v>0</v>
      </c>
      <c r="T1382" s="48" t="n">
        <v>0</v>
      </c>
      <c r="U1382" s="49" t="n">
        <v>0</v>
      </c>
      <c r="V1382" s="49" t="n">
        <v>0</v>
      </c>
      <c r="W1382" s="50" t="n">
        <v>0</v>
      </c>
      <c r="X1382" s="51" t="n">
        <v>0</v>
      </c>
      <c r="Y1382" s="52" t="n">
        <v>0</v>
      </c>
      <c r="Z1382" s="52" t="n">
        <v>0</v>
      </c>
      <c r="AA1382" s="52" t="n">
        <v>0</v>
      </c>
      <c r="AB1382" s="53" t="n">
        <v>0</v>
      </c>
      <c r="AC1382" s="52" t="n">
        <v>0</v>
      </c>
      <c r="AD1382" s="53" t="n">
        <v>0</v>
      </c>
      <c r="AE1382" s="52" t="n">
        <v>0</v>
      </c>
      <c r="AF1382" s="51" t="n">
        <v>0</v>
      </c>
      <c r="AG1382" s="48" t="n">
        <v>0</v>
      </c>
      <c r="AH1382" s="49" t="n">
        <v>0</v>
      </c>
      <c r="AI1382" s="49" t="n">
        <v>0</v>
      </c>
      <c r="AJ1382" s="50" t="n">
        <v>0</v>
      </c>
      <c r="AK1382" s="51" t="n">
        <v>0</v>
      </c>
      <c r="AL1382" s="52" t="n">
        <v>0</v>
      </c>
      <c r="AM1382" s="52" t="n">
        <v>0</v>
      </c>
      <c r="AN1382" s="52" t="n">
        <v>0</v>
      </c>
      <c r="AO1382" s="53" t="n">
        <v>0</v>
      </c>
      <c r="AP1382" s="52" t="n">
        <v>0</v>
      </c>
      <c r="AQ1382" s="53" t="n">
        <v>0</v>
      </c>
      <c r="AR1382" s="52" t="n">
        <v>0</v>
      </c>
      <c r="AS1382" s="51" t="n">
        <v>0</v>
      </c>
      <c r="AT1382" s="48" t="n">
        <v>0</v>
      </c>
      <c r="AU1382" s="49" t="n">
        <v>0</v>
      </c>
      <c r="AV1382" s="49" t="n">
        <v>0</v>
      </c>
      <c r="AW1382" s="50" t="n">
        <v>0</v>
      </c>
      <c r="AX1382" s="51" t="n">
        <v>0</v>
      </c>
      <c r="AY1382" s="52" t="n">
        <v>0</v>
      </c>
      <c r="AZ1382" s="52" t="n">
        <v>0</v>
      </c>
      <c r="BA1382" s="52" t="n">
        <v>0</v>
      </c>
      <c r="BB1382" s="53" t="n">
        <v>0</v>
      </c>
      <c r="BC1382" s="52" t="n">
        <v>0</v>
      </c>
      <c r="BD1382" s="53" t="n">
        <v>0</v>
      </c>
      <c r="BE1382" s="52" t="n">
        <v>0</v>
      </c>
      <c r="BF1382" s="51" t="n">
        <v>0</v>
      </c>
    </row>
    <row r="1383">
      <c r="A1383">
        <f>HYPERLINK("https://www.walmart.com/ip/142982610", "142982610")</f>
        <v/>
      </c>
      <c r="B1383" t="inlineStr">
        <is>
          <t>JenniWears® Women's Stretch Mesh Bikini Panty with Open Back Heart Detail</t>
        </is>
      </c>
      <c r="C1383" t="inlineStr">
        <is>
          <t>JWPT02RD-2XL</t>
        </is>
      </c>
      <c r="D1383" t="inlineStr">
        <is>
          <t>Panties</t>
        </is>
      </c>
      <c r="E1383" t="inlineStr">
        <is>
          <t>JenniWears</t>
        </is>
      </c>
      <c r="F1383" t="inlineStr">
        <is>
          <t>Valentine</t>
        </is>
      </c>
      <c r="G1383" s="48" t="n">
        <v>0</v>
      </c>
      <c r="H1383" s="49" t="n">
        <v>0</v>
      </c>
      <c r="I1383" s="49" t="n">
        <v>0</v>
      </c>
      <c r="J1383" s="50" t="n">
        <v>0</v>
      </c>
      <c r="K1383" s="51" t="n">
        <v>0</v>
      </c>
      <c r="L1383" s="52" t="n">
        <v>0</v>
      </c>
      <c r="M1383" s="52" t="n">
        <v>0</v>
      </c>
      <c r="N1383" s="52" t="n">
        <v>0</v>
      </c>
      <c r="O1383" s="53" t="n">
        <v>0</v>
      </c>
      <c r="P1383" s="52" t="n">
        <v>0</v>
      </c>
      <c r="Q1383" s="53" t="n">
        <v>0</v>
      </c>
      <c r="R1383" s="52" t="n">
        <v>0</v>
      </c>
      <c r="S1383" s="51" t="n">
        <v>0</v>
      </c>
      <c r="T1383" s="48" t="n">
        <v>0</v>
      </c>
      <c r="U1383" s="49" t="n">
        <v>0</v>
      </c>
      <c r="V1383" s="49" t="n">
        <v>0</v>
      </c>
      <c r="W1383" s="50" t="n">
        <v>0</v>
      </c>
      <c r="X1383" s="51" t="n">
        <v>0</v>
      </c>
      <c r="Y1383" s="52" t="n">
        <v>0</v>
      </c>
      <c r="Z1383" s="52" t="n">
        <v>0</v>
      </c>
      <c r="AA1383" s="52" t="n">
        <v>0</v>
      </c>
      <c r="AB1383" s="53" t="n">
        <v>0</v>
      </c>
      <c r="AC1383" s="52" t="n">
        <v>0</v>
      </c>
      <c r="AD1383" s="53" t="n">
        <v>0</v>
      </c>
      <c r="AE1383" s="52" t="n">
        <v>0</v>
      </c>
      <c r="AF1383" s="51" t="n">
        <v>0</v>
      </c>
      <c r="AG1383" s="48" t="n">
        <v>0</v>
      </c>
      <c r="AH1383" s="49" t="n">
        <v>0</v>
      </c>
      <c r="AI1383" s="49" t="n">
        <v>0</v>
      </c>
      <c r="AJ1383" s="50" t="n">
        <v>0</v>
      </c>
      <c r="AK1383" s="51" t="n">
        <v>0</v>
      </c>
      <c r="AL1383" s="52" t="n">
        <v>0</v>
      </c>
      <c r="AM1383" s="52" t="n">
        <v>0</v>
      </c>
      <c r="AN1383" s="52" t="n">
        <v>0</v>
      </c>
      <c r="AO1383" s="53" t="n">
        <v>0</v>
      </c>
      <c r="AP1383" s="52" t="n">
        <v>0</v>
      </c>
      <c r="AQ1383" s="53" t="n">
        <v>0</v>
      </c>
      <c r="AR1383" s="52" t="n">
        <v>0</v>
      </c>
      <c r="AS1383" s="51" t="n">
        <v>0</v>
      </c>
      <c r="AT1383" s="48" t="n">
        <v>0</v>
      </c>
      <c r="AU1383" s="49" t="n">
        <v>0</v>
      </c>
      <c r="AV1383" s="49" t="n">
        <v>0</v>
      </c>
      <c r="AW1383" s="50" t="n">
        <v>0</v>
      </c>
      <c r="AX1383" s="51" t="n">
        <v>0</v>
      </c>
      <c r="AY1383" s="52" t="n">
        <v>0</v>
      </c>
      <c r="AZ1383" s="52" t="n">
        <v>0</v>
      </c>
      <c r="BA1383" s="52" t="n">
        <v>0</v>
      </c>
      <c r="BB1383" s="53" t="n">
        <v>0</v>
      </c>
      <c r="BC1383" s="52" t="n">
        <v>0</v>
      </c>
      <c r="BD1383" s="53" t="n">
        <v>0</v>
      </c>
      <c r="BE1383" s="52" t="n">
        <v>0</v>
      </c>
      <c r="BF1383" s="51" t="n">
        <v>0</v>
      </c>
    </row>
    <row r="1384">
      <c r="A1384">
        <f>HYPERLINK("https://www.walmart.com/ip/143242589", "143242589")</f>
        <v/>
      </c>
      <c r="B1384" t="inlineStr">
        <is>
          <t>Real Tree Unisex Real Tree Hunting Mesh Cap trucker hat</t>
        </is>
      </c>
      <c r="C1384" t="inlineStr">
        <is>
          <t>7140-Break</t>
        </is>
      </c>
      <c r="D1384" t="inlineStr">
        <is>
          <t>Hats</t>
        </is>
      </c>
      <c r="E1384" t="inlineStr">
        <is>
          <t>KC Caps</t>
        </is>
      </c>
      <c r="F1384" t="inlineStr">
        <is>
          <t>Optimized</t>
        </is>
      </c>
      <c r="G1384" s="48" t="n">
        <v>0</v>
      </c>
      <c r="H1384" s="49" t="n">
        <v>0</v>
      </c>
      <c r="I1384" s="49" t="n">
        <v>0</v>
      </c>
      <c r="J1384" s="50" t="n">
        <v>0</v>
      </c>
      <c r="K1384" s="51" t="n">
        <v>0</v>
      </c>
      <c r="L1384" s="52" t="n">
        <v>0</v>
      </c>
      <c r="M1384" s="52" t="n">
        <v>0</v>
      </c>
      <c r="N1384" s="52" t="n">
        <v>0</v>
      </c>
      <c r="O1384" s="53" t="n">
        <v>0</v>
      </c>
      <c r="P1384" s="52" t="n">
        <v>0</v>
      </c>
      <c r="Q1384" s="53" t="n">
        <v>0</v>
      </c>
      <c r="R1384" s="52" t="n">
        <v>0</v>
      </c>
      <c r="S1384" s="51" t="n">
        <v>0</v>
      </c>
      <c r="T1384" s="48" t="n">
        <v>0</v>
      </c>
      <c r="U1384" s="49" t="n">
        <v>0</v>
      </c>
      <c r="V1384" s="49" t="n">
        <v>0</v>
      </c>
      <c r="W1384" s="50" t="n">
        <v>0</v>
      </c>
      <c r="X1384" s="51" t="n">
        <v>0</v>
      </c>
      <c r="Y1384" s="52" t="n">
        <v>0</v>
      </c>
      <c r="Z1384" s="52" t="n">
        <v>0</v>
      </c>
      <c r="AA1384" s="52" t="n">
        <v>0</v>
      </c>
      <c r="AB1384" s="53" t="n">
        <v>0</v>
      </c>
      <c r="AC1384" s="52" t="n">
        <v>0</v>
      </c>
      <c r="AD1384" s="53" t="n">
        <v>0</v>
      </c>
      <c r="AE1384" s="52" t="n">
        <v>0</v>
      </c>
      <c r="AF1384" s="51" t="n">
        <v>0</v>
      </c>
      <c r="AG1384" s="48" t="n">
        <v>0</v>
      </c>
      <c r="AH1384" s="49" t="n">
        <v>0</v>
      </c>
      <c r="AI1384" s="49" t="n">
        <v>0</v>
      </c>
      <c r="AJ1384" s="50" t="n">
        <v>0</v>
      </c>
      <c r="AK1384" s="51" t="n">
        <v>0</v>
      </c>
      <c r="AL1384" s="52" t="n">
        <v>0</v>
      </c>
      <c r="AM1384" s="52" t="n">
        <v>0</v>
      </c>
      <c r="AN1384" s="52" t="n">
        <v>0</v>
      </c>
      <c r="AO1384" s="53" t="n">
        <v>0</v>
      </c>
      <c r="AP1384" s="52" t="n">
        <v>0</v>
      </c>
      <c r="AQ1384" s="53" t="n">
        <v>0</v>
      </c>
      <c r="AR1384" s="52" t="n">
        <v>0</v>
      </c>
      <c r="AS1384" s="51" t="n">
        <v>0</v>
      </c>
      <c r="AT1384" s="48" t="n">
        <v>0</v>
      </c>
      <c r="AU1384" s="49" t="n">
        <v>0</v>
      </c>
      <c r="AV1384" s="49" t="n">
        <v>0</v>
      </c>
      <c r="AW1384" s="50" t="n">
        <v>0</v>
      </c>
      <c r="AX1384" s="51" t="n">
        <v>0</v>
      </c>
      <c r="AY1384" s="52" t="n">
        <v>0</v>
      </c>
      <c r="AZ1384" s="52" t="n">
        <v>0</v>
      </c>
      <c r="BA1384" s="52" t="n">
        <v>0</v>
      </c>
      <c r="BB1384" s="53" t="n">
        <v>0</v>
      </c>
      <c r="BC1384" s="52" t="n">
        <v>0</v>
      </c>
      <c r="BD1384" s="53" t="n">
        <v>0</v>
      </c>
      <c r="BE1384" s="52" t="n">
        <v>0</v>
      </c>
      <c r="BF1384" s="51" t="n">
        <v>0</v>
      </c>
    </row>
    <row r="1385">
      <c r="A1385">
        <f>HYPERLINK("https://www.walmart.com/ip/143410315", "143410315")</f>
        <v/>
      </c>
      <c r="B1385" t="inlineStr">
        <is>
          <t>Flyingstar Insulated Lunch Bag for Women Men, Leakproof Thermal Reusable Lunch Box Tote for Adult &amp; Kids Lunch Cooler for Office Work</t>
        </is>
      </c>
      <c r="C1385" t="inlineStr">
        <is>
          <t>1WMLB701P1OL</t>
        </is>
      </c>
      <c r="D1385" t="inlineStr">
        <is>
          <t>Reusable Lunch Bags &amp; Boxes</t>
        </is>
      </c>
      <c r="E1385" t="inlineStr">
        <is>
          <t>Flyingstar</t>
        </is>
      </c>
      <c r="F1385" t="inlineStr">
        <is>
          <t>Lunch Bag,Optimized,Lunch Bags</t>
        </is>
      </c>
      <c r="G1385" s="48" t="n">
        <v>0</v>
      </c>
      <c r="H1385" s="49" t="n">
        <v>0</v>
      </c>
      <c r="I1385" s="49" t="n">
        <v>0</v>
      </c>
      <c r="J1385" s="50" t="n">
        <v>0</v>
      </c>
      <c r="K1385" s="51" t="n">
        <v>0</v>
      </c>
      <c r="L1385" s="52" t="n">
        <v>0</v>
      </c>
      <c r="M1385" s="52" t="n">
        <v>0</v>
      </c>
      <c r="N1385" s="52" t="n">
        <v>0</v>
      </c>
      <c r="O1385" s="53" t="n">
        <v>0</v>
      </c>
      <c r="P1385" s="52" t="n">
        <v>0</v>
      </c>
      <c r="Q1385" s="53" t="n">
        <v>0</v>
      </c>
      <c r="R1385" s="52" t="n">
        <v>0</v>
      </c>
      <c r="S1385" s="51" t="n">
        <v>0</v>
      </c>
      <c r="T1385" s="48" t="n">
        <v>0</v>
      </c>
      <c r="U1385" s="49" t="n">
        <v>0</v>
      </c>
      <c r="V1385" s="49" t="n">
        <v>0</v>
      </c>
      <c r="W1385" s="50" t="n">
        <v>0</v>
      </c>
      <c r="X1385" s="51" t="n">
        <v>0</v>
      </c>
      <c r="Y1385" s="52" t="n">
        <v>0</v>
      </c>
      <c r="Z1385" s="52" t="n">
        <v>0</v>
      </c>
      <c r="AA1385" s="52" t="n">
        <v>0</v>
      </c>
      <c r="AB1385" s="53" t="n">
        <v>0</v>
      </c>
      <c r="AC1385" s="52" t="n">
        <v>0</v>
      </c>
      <c r="AD1385" s="53" t="n">
        <v>0</v>
      </c>
      <c r="AE1385" s="52" t="n">
        <v>0</v>
      </c>
      <c r="AF1385" s="51" t="n">
        <v>0</v>
      </c>
      <c r="AG1385" s="48" t="n">
        <v>0</v>
      </c>
      <c r="AH1385" s="49" t="n">
        <v>0</v>
      </c>
      <c r="AI1385" s="49" t="n">
        <v>0</v>
      </c>
      <c r="AJ1385" s="50" t="n">
        <v>0</v>
      </c>
      <c r="AK1385" s="51" t="n">
        <v>0</v>
      </c>
      <c r="AL1385" s="52" t="n">
        <v>0</v>
      </c>
      <c r="AM1385" s="52" t="n">
        <v>0</v>
      </c>
      <c r="AN1385" s="52" t="n">
        <v>0</v>
      </c>
      <c r="AO1385" s="53" t="n">
        <v>0</v>
      </c>
      <c r="AP1385" s="52" t="n">
        <v>0</v>
      </c>
      <c r="AQ1385" s="53" t="n">
        <v>0</v>
      </c>
      <c r="AR1385" s="52" t="n">
        <v>0</v>
      </c>
      <c r="AS1385" s="51" t="n">
        <v>0</v>
      </c>
      <c r="AT1385" s="48" t="n">
        <v>0</v>
      </c>
      <c r="AU1385" s="49" t="n">
        <v>0</v>
      </c>
      <c r="AV1385" s="49" t="n">
        <v>0</v>
      </c>
      <c r="AW1385" s="50" t="n">
        <v>0</v>
      </c>
      <c r="AX1385" s="51" t="n">
        <v>0</v>
      </c>
      <c r="AY1385" s="52" t="n">
        <v>0</v>
      </c>
      <c r="AZ1385" s="52" t="n">
        <v>0</v>
      </c>
      <c r="BA1385" s="52" t="n">
        <v>0</v>
      </c>
      <c r="BB1385" s="53" t="n">
        <v>0</v>
      </c>
      <c r="BC1385" s="52" t="n">
        <v>0</v>
      </c>
      <c r="BD1385" s="53" t="n">
        <v>0</v>
      </c>
      <c r="BE1385" s="52" t="n">
        <v>0</v>
      </c>
      <c r="BF1385" s="51" t="n">
        <v>0</v>
      </c>
    </row>
    <row r="1386">
      <c r="A1386">
        <f>HYPERLINK("https://www.walmart.com/ip/143469985", "143469985")</f>
        <v/>
      </c>
      <c r="B1386" t="inlineStr">
        <is>
          <t>Catalonia Cheetah Fluffy Sherpa Throw Blanket, Super Soft Mink Fleece Couch Blanket, TV Bed Fuzzy Blanket, Fluffy Comfy Warm Heavy Throws, Comfort Caring Gift,50x60 inches</t>
        </is>
      </c>
      <c r="C1386" t="inlineStr">
        <is>
          <t>1CTBF300CHEETAHMUL</t>
        </is>
      </c>
      <c r="D1386" t="inlineStr">
        <is>
          <t>Throws</t>
        </is>
      </c>
      <c r="E1386" t="inlineStr">
        <is>
          <t>Catalonia</t>
        </is>
      </c>
      <c r="F1386" t="inlineStr">
        <is>
          <t>WFS,WFS Item</t>
        </is>
      </c>
      <c r="G1386" s="48" t="n">
        <v>0</v>
      </c>
      <c r="H1386" s="49" t="n">
        <v>0</v>
      </c>
      <c r="I1386" s="49" t="n">
        <v>0</v>
      </c>
      <c r="J1386" s="50" t="n">
        <v>0</v>
      </c>
      <c r="K1386" s="51" t="n">
        <v>0</v>
      </c>
      <c r="L1386" s="52" t="n">
        <v>0</v>
      </c>
      <c r="M1386" s="52" t="n">
        <v>0</v>
      </c>
      <c r="N1386" s="52" t="n">
        <v>0</v>
      </c>
      <c r="O1386" s="53" t="n">
        <v>0</v>
      </c>
      <c r="P1386" s="52" t="n">
        <v>0</v>
      </c>
      <c r="Q1386" s="53" t="n">
        <v>0</v>
      </c>
      <c r="R1386" s="52" t="n">
        <v>0</v>
      </c>
      <c r="S1386" s="51" t="n">
        <v>0</v>
      </c>
      <c r="T1386" s="48" t="n">
        <v>0</v>
      </c>
      <c r="U1386" s="49" t="n">
        <v>0</v>
      </c>
      <c r="V1386" s="49" t="n">
        <v>0</v>
      </c>
      <c r="W1386" s="50" t="n">
        <v>0</v>
      </c>
      <c r="X1386" s="51" t="n">
        <v>0</v>
      </c>
      <c r="Y1386" s="52" t="n">
        <v>0</v>
      </c>
      <c r="Z1386" s="52" t="n">
        <v>0</v>
      </c>
      <c r="AA1386" s="52" t="n">
        <v>0</v>
      </c>
      <c r="AB1386" s="53" t="n">
        <v>0</v>
      </c>
      <c r="AC1386" s="52" t="n">
        <v>0</v>
      </c>
      <c r="AD1386" s="53" t="n">
        <v>0</v>
      </c>
      <c r="AE1386" s="52" t="n">
        <v>0</v>
      </c>
      <c r="AF1386" s="51" t="n">
        <v>0</v>
      </c>
      <c r="AG1386" s="48" t="n">
        <v>0</v>
      </c>
      <c r="AH1386" s="49" t="n">
        <v>0</v>
      </c>
      <c r="AI1386" s="49" t="n">
        <v>0</v>
      </c>
      <c r="AJ1386" s="50" t="n">
        <v>0</v>
      </c>
      <c r="AK1386" s="51" t="n">
        <v>0</v>
      </c>
      <c r="AL1386" s="52" t="n">
        <v>0</v>
      </c>
      <c r="AM1386" s="52" t="n">
        <v>0</v>
      </c>
      <c r="AN1386" s="52" t="n">
        <v>0</v>
      </c>
      <c r="AO1386" s="53" t="n">
        <v>0</v>
      </c>
      <c r="AP1386" s="52" t="n">
        <v>0</v>
      </c>
      <c r="AQ1386" s="53" t="n">
        <v>0</v>
      </c>
      <c r="AR1386" s="52" t="n">
        <v>0</v>
      </c>
      <c r="AS1386" s="51" t="n">
        <v>0</v>
      </c>
      <c r="AT1386" s="48" t="n">
        <v>0</v>
      </c>
      <c r="AU1386" s="49" t="n">
        <v>0</v>
      </c>
      <c r="AV1386" s="49" t="n">
        <v>0</v>
      </c>
      <c r="AW1386" s="50" t="n">
        <v>0</v>
      </c>
      <c r="AX1386" s="51" t="n">
        <v>0</v>
      </c>
      <c r="AY1386" s="52" t="n">
        <v>0</v>
      </c>
      <c r="AZ1386" s="52" t="n">
        <v>0</v>
      </c>
      <c r="BA1386" s="52" t="n">
        <v>0</v>
      </c>
      <c r="BB1386" s="53" t="n">
        <v>0</v>
      </c>
      <c r="BC1386" s="52" t="n">
        <v>0</v>
      </c>
      <c r="BD1386" s="53" t="n">
        <v>0</v>
      </c>
      <c r="BE1386" s="52" t="n">
        <v>0</v>
      </c>
      <c r="BF1386" s="51" t="n">
        <v>0</v>
      </c>
    </row>
    <row r="1387">
      <c r="A1387">
        <f>HYPERLINK("https://www.walmart.com/ip/143619828", "143619828")</f>
        <v/>
      </c>
      <c r="B1387" t="inlineStr">
        <is>
          <t>Women's High Waist Yoga Pants Workout Running Capri Legging Inner Pocket</t>
        </is>
      </c>
      <c r="C1387" t="inlineStr">
        <is>
          <t>1TRYP102PK-SM</t>
        </is>
      </c>
      <c r="D1387" t="inlineStr">
        <is>
          <t>Leggings</t>
        </is>
      </c>
      <c r="E1387" t="inlineStr">
        <is>
          <t>Tirrinia</t>
        </is>
      </c>
      <c r="F1387" t="inlineStr">
        <is>
          <t>Optimized</t>
        </is>
      </c>
      <c r="G1387" s="48" t="n">
        <v>0</v>
      </c>
      <c r="H1387" s="49" t="n">
        <v>0</v>
      </c>
      <c r="I1387" s="49" t="n">
        <v>0</v>
      </c>
      <c r="J1387" s="50" t="n">
        <v>0</v>
      </c>
      <c r="K1387" s="51" t="n">
        <v>0</v>
      </c>
      <c r="L1387" s="52" t="n">
        <v>0</v>
      </c>
      <c r="M1387" s="52" t="n">
        <v>0</v>
      </c>
      <c r="N1387" s="52" t="n">
        <v>0</v>
      </c>
      <c r="O1387" s="53" t="n">
        <v>0</v>
      </c>
      <c r="P1387" s="52" t="n">
        <v>0</v>
      </c>
      <c r="Q1387" s="53" t="n">
        <v>0</v>
      </c>
      <c r="R1387" s="52" t="n">
        <v>0</v>
      </c>
      <c r="S1387" s="51" t="n">
        <v>0</v>
      </c>
      <c r="T1387" s="48" t="n">
        <v>0</v>
      </c>
      <c r="U1387" s="49" t="n">
        <v>0</v>
      </c>
      <c r="V1387" s="49" t="n">
        <v>0</v>
      </c>
      <c r="W1387" s="50" t="n">
        <v>0</v>
      </c>
      <c r="X1387" s="51" t="n">
        <v>0</v>
      </c>
      <c r="Y1387" s="52" t="n">
        <v>0</v>
      </c>
      <c r="Z1387" s="52" t="n">
        <v>0</v>
      </c>
      <c r="AA1387" s="52" t="n">
        <v>0</v>
      </c>
      <c r="AB1387" s="53" t="n">
        <v>0</v>
      </c>
      <c r="AC1387" s="52" t="n">
        <v>0</v>
      </c>
      <c r="AD1387" s="53" t="n">
        <v>0</v>
      </c>
      <c r="AE1387" s="52" t="n">
        <v>0</v>
      </c>
      <c r="AF1387" s="51" t="n">
        <v>0</v>
      </c>
      <c r="AG1387" s="48" t="n">
        <v>0</v>
      </c>
      <c r="AH1387" s="49" t="n">
        <v>0</v>
      </c>
      <c r="AI1387" s="49" t="n">
        <v>0</v>
      </c>
      <c r="AJ1387" s="50" t="n">
        <v>0</v>
      </c>
      <c r="AK1387" s="51" t="n">
        <v>0</v>
      </c>
      <c r="AL1387" s="52" t="n">
        <v>0</v>
      </c>
      <c r="AM1387" s="52" t="n">
        <v>0</v>
      </c>
      <c r="AN1387" s="52" t="n">
        <v>0</v>
      </c>
      <c r="AO1387" s="53" t="n">
        <v>0</v>
      </c>
      <c r="AP1387" s="52" t="n">
        <v>0</v>
      </c>
      <c r="AQ1387" s="53" t="n">
        <v>0</v>
      </c>
      <c r="AR1387" s="52" t="n">
        <v>0</v>
      </c>
      <c r="AS1387" s="51" t="n">
        <v>0</v>
      </c>
      <c r="AT1387" s="48" t="n">
        <v>0</v>
      </c>
      <c r="AU1387" s="49" t="n">
        <v>0</v>
      </c>
      <c r="AV1387" s="49" t="n">
        <v>0</v>
      </c>
      <c r="AW1387" s="50" t="n">
        <v>0</v>
      </c>
      <c r="AX1387" s="51" t="n">
        <v>0</v>
      </c>
      <c r="AY1387" s="52" t="n">
        <v>0</v>
      </c>
      <c r="AZ1387" s="52" t="n">
        <v>0</v>
      </c>
      <c r="BA1387" s="52" t="n">
        <v>0</v>
      </c>
      <c r="BB1387" s="53" t="n">
        <v>0</v>
      </c>
      <c r="BC1387" s="52" t="n">
        <v>0</v>
      </c>
      <c r="BD1387" s="53" t="n">
        <v>0</v>
      </c>
      <c r="BE1387" s="52" t="n">
        <v>0</v>
      </c>
      <c r="BF1387" s="51" t="n">
        <v>0</v>
      </c>
    </row>
    <row r="1388">
      <c r="A1388">
        <f>HYPERLINK("https://www.walmart.com/ip/143730342", "143730342")</f>
        <v/>
      </c>
      <c r="B1388" t="inlineStr">
        <is>
          <t>Male Female Adjustable Buckle Closure USA Flag Embroidered Cap</t>
        </is>
      </c>
      <c r="C1388" t="inlineStr">
        <is>
          <t>kc-ae8010-nv</t>
        </is>
      </c>
      <c r="D1388" t="inlineStr">
        <is>
          <t>Hats</t>
        </is>
      </c>
      <c r="E1388" t="inlineStr">
        <is>
          <t>KC Caps</t>
        </is>
      </c>
      <c r="F1388" t="inlineStr">
        <is>
          <t>Optimized</t>
        </is>
      </c>
      <c r="G1388" s="48" t="n">
        <v>0</v>
      </c>
      <c r="H1388" s="49" t="n">
        <v>0</v>
      </c>
      <c r="I1388" s="49" t="n">
        <v>0</v>
      </c>
      <c r="J1388" s="50" t="n">
        <v>0</v>
      </c>
      <c r="K1388" s="51" t="n">
        <v>0</v>
      </c>
      <c r="L1388" s="52" t="n">
        <v>0</v>
      </c>
      <c r="M1388" s="52" t="n">
        <v>0</v>
      </c>
      <c r="N1388" s="52" t="n">
        <v>0</v>
      </c>
      <c r="O1388" s="53" t="n">
        <v>0</v>
      </c>
      <c r="P1388" s="52" t="n">
        <v>0</v>
      </c>
      <c r="Q1388" s="53" t="n">
        <v>0</v>
      </c>
      <c r="R1388" s="52" t="n">
        <v>0</v>
      </c>
      <c r="S1388" s="51" t="n">
        <v>0</v>
      </c>
      <c r="T1388" s="48" t="n">
        <v>0</v>
      </c>
      <c r="U1388" s="49" t="n">
        <v>0</v>
      </c>
      <c r="V1388" s="49" t="n">
        <v>0</v>
      </c>
      <c r="W1388" s="50" t="n">
        <v>0</v>
      </c>
      <c r="X1388" s="51" t="n">
        <v>0</v>
      </c>
      <c r="Y1388" s="52" t="n">
        <v>0</v>
      </c>
      <c r="Z1388" s="52" t="n">
        <v>0</v>
      </c>
      <c r="AA1388" s="52" t="n">
        <v>0</v>
      </c>
      <c r="AB1388" s="53" t="n">
        <v>0</v>
      </c>
      <c r="AC1388" s="52" t="n">
        <v>0</v>
      </c>
      <c r="AD1388" s="53" t="n">
        <v>0</v>
      </c>
      <c r="AE1388" s="52" t="n">
        <v>0</v>
      </c>
      <c r="AF1388" s="51" t="n">
        <v>0</v>
      </c>
      <c r="AG1388" s="48" t="n">
        <v>0</v>
      </c>
      <c r="AH1388" s="49" t="n">
        <v>0</v>
      </c>
      <c r="AI1388" s="49" t="n">
        <v>0</v>
      </c>
      <c r="AJ1388" s="50" t="n">
        <v>0</v>
      </c>
      <c r="AK1388" s="51" t="n">
        <v>0</v>
      </c>
      <c r="AL1388" s="52" t="n">
        <v>0</v>
      </c>
      <c r="AM1388" s="52" t="n">
        <v>0</v>
      </c>
      <c r="AN1388" s="52" t="n">
        <v>0</v>
      </c>
      <c r="AO1388" s="53" t="n">
        <v>0</v>
      </c>
      <c r="AP1388" s="52" t="n">
        <v>0</v>
      </c>
      <c r="AQ1388" s="53" t="n">
        <v>0</v>
      </c>
      <c r="AR1388" s="52" t="n">
        <v>0</v>
      </c>
      <c r="AS1388" s="51" t="n">
        <v>0</v>
      </c>
      <c r="AT1388" s="48" t="n">
        <v>0</v>
      </c>
      <c r="AU1388" s="49" t="n">
        <v>0</v>
      </c>
      <c r="AV1388" s="49" t="n">
        <v>0</v>
      </c>
      <c r="AW1388" s="50" t="n">
        <v>0</v>
      </c>
      <c r="AX1388" s="51" t="n">
        <v>0</v>
      </c>
      <c r="AY1388" s="52" t="n">
        <v>0</v>
      </c>
      <c r="AZ1388" s="52" t="n">
        <v>0</v>
      </c>
      <c r="BA1388" s="52" t="n">
        <v>0</v>
      </c>
      <c r="BB1388" s="53" t="n">
        <v>0</v>
      </c>
      <c r="BC1388" s="52" t="n">
        <v>0</v>
      </c>
      <c r="BD1388" s="53" t="n">
        <v>0</v>
      </c>
      <c r="BE1388" s="52" t="n">
        <v>0</v>
      </c>
      <c r="BF1388" s="51" t="n">
        <v>0</v>
      </c>
    </row>
    <row r="1389">
      <c r="A1389">
        <f>HYPERLINK("https://www.walmart.com/ip/144091535", "144091535")</f>
        <v/>
      </c>
      <c r="B1389" t="inlineStr">
        <is>
          <t>Tirrinia Insulated Wine Carrier Tote - Travel Padded 2 Bottle Wine/Champagne Cooler Bag with Handle and Adjustable Shoulder Strap + Free Corkscrew, Great Wine Lover Gift, Grey</t>
        </is>
      </c>
      <c r="C1389" t="inlineStr">
        <is>
          <t>1KTWB210GY</t>
        </is>
      </c>
      <c r="D1389" t="inlineStr">
        <is>
          <t>Wine Totes, Bags &amp; Backpacks</t>
        </is>
      </c>
      <c r="E1389" t="inlineStr">
        <is>
          <t>Tirrinia</t>
        </is>
      </c>
      <c r="F1389" t="inlineStr">
        <is>
          <t>Wine,Christmas,Valentine,Lily Brand Camp</t>
        </is>
      </c>
      <c r="G1389" s="48" t="n">
        <v>0</v>
      </c>
      <c r="H1389" s="49" t="n">
        <v>0</v>
      </c>
      <c r="I1389" s="49" t="n">
        <v>0</v>
      </c>
      <c r="J1389" s="50" t="n">
        <v>0</v>
      </c>
      <c r="K1389" s="51" t="n">
        <v>1</v>
      </c>
      <c r="L1389" s="52" t="n">
        <v>0.44</v>
      </c>
      <c r="M1389" s="52" t="n">
        <v>0</v>
      </c>
      <c r="N1389" s="52" t="n">
        <v>0</v>
      </c>
      <c r="O1389" s="53" t="n">
        <v>0.0011</v>
      </c>
      <c r="P1389" s="52" t="n">
        <v>0.44</v>
      </c>
      <c r="Q1389" s="53" t="n">
        <v>0</v>
      </c>
      <c r="R1389" s="52" t="n">
        <v>0</v>
      </c>
      <c r="S1389" s="51" t="n">
        <v>885</v>
      </c>
      <c r="T1389" s="48" t="n">
        <v>0</v>
      </c>
      <c r="U1389" s="49" t="n">
        <v>0</v>
      </c>
      <c r="V1389" s="49" t="n">
        <v>0</v>
      </c>
      <c r="W1389" s="50" t="n">
        <v>0</v>
      </c>
      <c r="X1389" s="51" t="n">
        <v>0</v>
      </c>
      <c r="Y1389" s="52" t="n">
        <v>0</v>
      </c>
      <c r="Z1389" s="52" t="n">
        <v>0</v>
      </c>
      <c r="AA1389" s="52" t="n">
        <v>0</v>
      </c>
      <c r="AB1389" s="53" t="n">
        <v>0</v>
      </c>
      <c r="AC1389" s="52" t="n">
        <v>0</v>
      </c>
      <c r="AD1389" s="53" t="n">
        <v>0</v>
      </c>
      <c r="AE1389" s="52" t="n">
        <v>0</v>
      </c>
      <c r="AF1389" s="51" t="n">
        <v>530</v>
      </c>
      <c r="AG1389" s="48" t="n">
        <v>0</v>
      </c>
      <c r="AH1389" s="49" t="n">
        <v>0</v>
      </c>
      <c r="AI1389" s="49" t="n">
        <v>0</v>
      </c>
      <c r="AJ1389" s="50" t="n">
        <v>0</v>
      </c>
      <c r="AK1389" s="51" t="n">
        <v>0</v>
      </c>
      <c r="AL1389" s="52" t="n">
        <v>0</v>
      </c>
      <c r="AM1389" s="52" t="n">
        <v>0</v>
      </c>
      <c r="AN1389" s="52" t="n">
        <v>0</v>
      </c>
      <c r="AO1389" s="53" t="n">
        <v>0</v>
      </c>
      <c r="AP1389" s="52" t="n">
        <v>0</v>
      </c>
      <c r="AQ1389" s="53" t="n">
        <v>0</v>
      </c>
      <c r="AR1389" s="52" t="n">
        <v>0</v>
      </c>
      <c r="AS1389" s="51" t="n">
        <v>447</v>
      </c>
      <c r="AT1389" s="48" t="n">
        <v>0</v>
      </c>
      <c r="AU1389" s="49" t="n">
        <v>0</v>
      </c>
      <c r="AV1389" s="49" t="n">
        <v>0</v>
      </c>
      <c r="AW1389" s="50" t="n">
        <v>0</v>
      </c>
      <c r="AX1389" s="51" t="n">
        <v>0</v>
      </c>
      <c r="AY1389" s="52" t="n">
        <v>0</v>
      </c>
      <c r="AZ1389" s="52" t="n">
        <v>0</v>
      </c>
      <c r="BA1389" s="52" t="n">
        <v>0</v>
      </c>
      <c r="BB1389" s="53" t="n">
        <v>0</v>
      </c>
      <c r="BC1389" s="52" t="n">
        <v>0</v>
      </c>
      <c r="BD1389" s="53" t="n">
        <v>0</v>
      </c>
      <c r="BE1389" s="52" t="n">
        <v>0</v>
      </c>
      <c r="BF1389" s="51" t="n">
        <v>171</v>
      </c>
    </row>
    <row r="1390">
      <c r="A1390">
        <f>HYPERLINK("https://www.walmart.com/ip/144108904", "144108904")</f>
        <v/>
      </c>
      <c r="B1390" t="inlineStr">
        <is>
          <t>KC Caps Washed Denim Bucket Hat, Summer Fishing Hat for Women and Men, Red</t>
        </is>
      </c>
      <c r="C1390" t="inlineStr">
        <is>
          <t>KC9120RD-L</t>
        </is>
      </c>
      <c r="D1390" t="inlineStr">
        <is>
          <t>Hats</t>
        </is>
      </c>
      <c r="E1390" t="inlineStr">
        <is>
          <t>KC Caps</t>
        </is>
      </c>
      <c r="F1390" t="inlineStr">
        <is>
          <t>Optimized</t>
        </is>
      </c>
      <c r="G1390" s="48" t="n">
        <v>0</v>
      </c>
      <c r="H1390" s="49" t="n">
        <v>0</v>
      </c>
      <c r="I1390" s="49" t="n">
        <v>0</v>
      </c>
      <c r="J1390" s="50" t="n">
        <v>0</v>
      </c>
      <c r="K1390" s="51" t="n">
        <v>0</v>
      </c>
      <c r="L1390" s="52" t="n">
        <v>0</v>
      </c>
      <c r="M1390" s="52" t="n">
        <v>0</v>
      </c>
      <c r="N1390" s="52" t="n">
        <v>0</v>
      </c>
      <c r="O1390" s="53" t="n">
        <v>0</v>
      </c>
      <c r="P1390" s="52" t="n">
        <v>0</v>
      </c>
      <c r="Q1390" s="53" t="n">
        <v>0</v>
      </c>
      <c r="R1390" s="52" t="n">
        <v>0</v>
      </c>
      <c r="S1390" s="51" t="n">
        <v>0</v>
      </c>
      <c r="T1390" s="48" t="n">
        <v>0</v>
      </c>
      <c r="U1390" s="49" t="n">
        <v>0</v>
      </c>
      <c r="V1390" s="49" t="n">
        <v>0</v>
      </c>
      <c r="W1390" s="50" t="n">
        <v>0</v>
      </c>
      <c r="X1390" s="51" t="n">
        <v>0</v>
      </c>
      <c r="Y1390" s="52" t="n">
        <v>0</v>
      </c>
      <c r="Z1390" s="52" t="n">
        <v>0</v>
      </c>
      <c r="AA1390" s="52" t="n">
        <v>0</v>
      </c>
      <c r="AB1390" s="53" t="n">
        <v>0</v>
      </c>
      <c r="AC1390" s="52" t="n">
        <v>0</v>
      </c>
      <c r="AD1390" s="53" t="n">
        <v>0</v>
      </c>
      <c r="AE1390" s="52" t="n">
        <v>0</v>
      </c>
      <c r="AF1390" s="51" t="n">
        <v>0</v>
      </c>
      <c r="AG1390" s="48" t="n">
        <v>0</v>
      </c>
      <c r="AH1390" s="49" t="n">
        <v>0</v>
      </c>
      <c r="AI1390" s="49" t="n">
        <v>0</v>
      </c>
      <c r="AJ1390" s="50" t="n">
        <v>0</v>
      </c>
      <c r="AK1390" s="51" t="n">
        <v>0</v>
      </c>
      <c r="AL1390" s="52" t="n">
        <v>0</v>
      </c>
      <c r="AM1390" s="52" t="n">
        <v>0</v>
      </c>
      <c r="AN1390" s="52" t="n">
        <v>0</v>
      </c>
      <c r="AO1390" s="53" t="n">
        <v>0</v>
      </c>
      <c r="AP1390" s="52" t="n">
        <v>0</v>
      </c>
      <c r="AQ1390" s="53" t="n">
        <v>0</v>
      </c>
      <c r="AR1390" s="52" t="n">
        <v>0</v>
      </c>
      <c r="AS1390" s="51" t="n">
        <v>0</v>
      </c>
      <c r="AT1390" s="48" t="n">
        <v>0</v>
      </c>
      <c r="AU1390" s="49" t="n">
        <v>0</v>
      </c>
      <c r="AV1390" s="49" t="n">
        <v>0</v>
      </c>
      <c r="AW1390" s="50" t="n">
        <v>0</v>
      </c>
      <c r="AX1390" s="51" t="n">
        <v>0</v>
      </c>
      <c r="AY1390" s="52" t="n">
        <v>0</v>
      </c>
      <c r="AZ1390" s="52" t="n">
        <v>0</v>
      </c>
      <c r="BA1390" s="52" t="n">
        <v>0</v>
      </c>
      <c r="BB1390" s="53" t="n">
        <v>0</v>
      </c>
      <c r="BC1390" s="52" t="n">
        <v>0</v>
      </c>
      <c r="BD1390" s="53" t="n">
        <v>0</v>
      </c>
      <c r="BE1390" s="52" t="n">
        <v>0</v>
      </c>
      <c r="BF1390" s="51" t="n">
        <v>0</v>
      </c>
    </row>
    <row r="1391">
      <c r="A1391">
        <f>HYPERLINK("https://www.walmart.com/ip/1442443725", "1442443725")</f>
        <v/>
      </c>
      <c r="B1391" t="inlineStr">
        <is>
          <t>Every Day is Christmas Glass Blown Ornaments 2022 Cute Hand Made Figurines Tree Decoration - 12.7cm glass wrench and vice and hammer and screwdriver ornament</t>
        </is>
      </c>
      <c r="C1391" t="inlineStr">
        <is>
          <t>EDC-FIGURINE-TOOLS</t>
        </is>
      </c>
      <c r="D1391" t="inlineStr">
        <is>
          <t>Ornaments</t>
        </is>
      </c>
      <c r="E1391" t="inlineStr">
        <is>
          <t>Every Day is Christmas</t>
        </is>
      </c>
      <c r="G1391" s="48" t="n">
        <v>0</v>
      </c>
      <c r="H1391" s="49" t="n">
        <v>0</v>
      </c>
      <c r="I1391" s="49" t="n">
        <v>0</v>
      </c>
      <c r="J1391" s="50" t="n">
        <v>0</v>
      </c>
      <c r="K1391" s="51" t="n">
        <v>0</v>
      </c>
      <c r="L1391" s="52" t="n">
        <v>0</v>
      </c>
      <c r="M1391" s="52" t="n">
        <v>0</v>
      </c>
      <c r="N1391" s="52" t="n">
        <v>0</v>
      </c>
      <c r="O1391" s="53" t="n">
        <v>0</v>
      </c>
      <c r="P1391" s="52" t="n">
        <v>0</v>
      </c>
      <c r="Q1391" s="53" t="n">
        <v>0</v>
      </c>
      <c r="R1391" s="52" t="n">
        <v>0</v>
      </c>
      <c r="S1391" s="51" t="n">
        <v>0</v>
      </c>
      <c r="T1391" s="48" t="n">
        <v>0</v>
      </c>
      <c r="U1391" s="49" t="n">
        <v>0</v>
      </c>
      <c r="V1391" s="49" t="n">
        <v>0</v>
      </c>
      <c r="W1391" s="50" t="n">
        <v>0</v>
      </c>
      <c r="X1391" s="51" t="n">
        <v>0</v>
      </c>
      <c r="Y1391" s="52" t="n">
        <v>0</v>
      </c>
      <c r="Z1391" s="52" t="n">
        <v>0</v>
      </c>
      <c r="AA1391" s="52" t="n">
        <v>0</v>
      </c>
      <c r="AB1391" s="53" t="n">
        <v>0</v>
      </c>
      <c r="AC1391" s="52" t="n">
        <v>0</v>
      </c>
      <c r="AD1391" s="53" t="n">
        <v>0</v>
      </c>
      <c r="AE1391" s="52" t="n">
        <v>0</v>
      </c>
      <c r="AF1391" s="51" t="n">
        <v>0</v>
      </c>
      <c r="AG1391" s="48" t="n">
        <v>0</v>
      </c>
      <c r="AH1391" s="49" t="n">
        <v>0</v>
      </c>
      <c r="AI1391" s="49" t="n">
        <v>0</v>
      </c>
      <c r="AJ1391" s="50" t="n">
        <v>0</v>
      </c>
      <c r="AK1391" s="51" t="n">
        <v>0</v>
      </c>
      <c r="AL1391" s="52" t="n">
        <v>0</v>
      </c>
      <c r="AM1391" s="52" t="n">
        <v>0</v>
      </c>
      <c r="AN1391" s="52" t="n">
        <v>0</v>
      </c>
      <c r="AO1391" s="53" t="n">
        <v>0</v>
      </c>
      <c r="AP1391" s="52" t="n">
        <v>0</v>
      </c>
      <c r="AQ1391" s="53" t="n">
        <v>0</v>
      </c>
      <c r="AR1391" s="52" t="n">
        <v>0</v>
      </c>
      <c r="AS1391" s="51" t="n">
        <v>0</v>
      </c>
      <c r="AT1391" s="48" t="n">
        <v>0</v>
      </c>
      <c r="AU1391" s="49" t="n">
        <v>0</v>
      </c>
      <c r="AV1391" s="49" t="n">
        <v>0</v>
      </c>
      <c r="AW1391" s="50" t="n">
        <v>0</v>
      </c>
      <c r="AX1391" s="51" t="n">
        <v>0</v>
      </c>
      <c r="AY1391" s="52" t="n">
        <v>0</v>
      </c>
      <c r="AZ1391" s="52" t="n">
        <v>0</v>
      </c>
      <c r="BA1391" s="52" t="n">
        <v>0</v>
      </c>
      <c r="BB1391" s="53" t="n">
        <v>0</v>
      </c>
      <c r="BC1391" s="52" t="n">
        <v>0</v>
      </c>
      <c r="BD1391" s="53" t="n">
        <v>0</v>
      </c>
      <c r="BE1391" s="52" t="n">
        <v>0</v>
      </c>
      <c r="BF1391" s="51" t="n">
        <v>0</v>
      </c>
    </row>
    <row r="1392">
      <c r="A1392">
        <f>HYPERLINK("https://www.walmart.com/ip/144276925", "144276925")</f>
        <v/>
      </c>
      <c r="B1392" t="inlineStr">
        <is>
          <t>JenniWears® Women's Plus Size Sexy Lingerie Lace Babydolls 2 Pieces Mesh Chemises and G-string for Halloween</t>
        </is>
      </c>
      <c r="C1392" t="inlineStr">
        <is>
          <t>JWBD06BKPP-XL</t>
        </is>
      </c>
      <c r="D1392" t="inlineStr">
        <is>
          <t>Lingerie Sets</t>
        </is>
      </c>
      <c r="E1392" t="inlineStr">
        <is>
          <t>JenniWears</t>
        </is>
      </c>
      <c r="F1392" t="inlineStr">
        <is>
          <t>Valentine</t>
        </is>
      </c>
      <c r="G1392" s="48" t="n">
        <v>0</v>
      </c>
      <c r="H1392" s="49" t="n">
        <v>0</v>
      </c>
      <c r="I1392" s="49" t="n">
        <v>0</v>
      </c>
      <c r="J1392" s="50" t="n">
        <v>0</v>
      </c>
      <c r="K1392" s="51" t="n">
        <v>0</v>
      </c>
      <c r="L1392" s="52" t="n">
        <v>0</v>
      </c>
      <c r="M1392" s="52" t="n">
        <v>0</v>
      </c>
      <c r="N1392" s="52" t="n">
        <v>0</v>
      </c>
      <c r="O1392" s="53" t="n">
        <v>0</v>
      </c>
      <c r="P1392" s="52" t="n">
        <v>0</v>
      </c>
      <c r="Q1392" s="53" t="n">
        <v>0</v>
      </c>
      <c r="R1392" s="52" t="n">
        <v>0</v>
      </c>
      <c r="S1392" s="51" t="n">
        <v>0</v>
      </c>
      <c r="T1392" s="48" t="n">
        <v>0</v>
      </c>
      <c r="U1392" s="49" t="n">
        <v>0</v>
      </c>
      <c r="V1392" s="49" t="n">
        <v>0</v>
      </c>
      <c r="W1392" s="50" t="n">
        <v>0</v>
      </c>
      <c r="X1392" s="51" t="n">
        <v>0</v>
      </c>
      <c r="Y1392" s="52" t="n">
        <v>0</v>
      </c>
      <c r="Z1392" s="52" t="n">
        <v>0</v>
      </c>
      <c r="AA1392" s="52" t="n">
        <v>0</v>
      </c>
      <c r="AB1392" s="53" t="n">
        <v>0</v>
      </c>
      <c r="AC1392" s="52" t="n">
        <v>0</v>
      </c>
      <c r="AD1392" s="53" t="n">
        <v>0</v>
      </c>
      <c r="AE1392" s="52" t="n">
        <v>0</v>
      </c>
      <c r="AF1392" s="51" t="n">
        <v>0</v>
      </c>
      <c r="AG1392" s="48" t="n">
        <v>0</v>
      </c>
      <c r="AH1392" s="49" t="n">
        <v>0</v>
      </c>
      <c r="AI1392" s="49" t="n">
        <v>0</v>
      </c>
      <c r="AJ1392" s="50" t="n">
        <v>0</v>
      </c>
      <c r="AK1392" s="51" t="n">
        <v>0</v>
      </c>
      <c r="AL1392" s="52" t="n">
        <v>0</v>
      </c>
      <c r="AM1392" s="52" t="n">
        <v>0</v>
      </c>
      <c r="AN1392" s="52" t="n">
        <v>0</v>
      </c>
      <c r="AO1392" s="53" t="n">
        <v>0</v>
      </c>
      <c r="AP1392" s="52" t="n">
        <v>0</v>
      </c>
      <c r="AQ1392" s="53" t="n">
        <v>0</v>
      </c>
      <c r="AR1392" s="52" t="n">
        <v>0</v>
      </c>
      <c r="AS1392" s="51" t="n">
        <v>0</v>
      </c>
      <c r="AT1392" s="48" t="n">
        <v>7.99</v>
      </c>
      <c r="AU1392" s="49" t="n">
        <v>1</v>
      </c>
      <c r="AV1392" s="49" t="n">
        <v>0</v>
      </c>
      <c r="AW1392" s="50" t="n">
        <v>0</v>
      </c>
      <c r="AX1392" s="51" t="n">
        <v>0</v>
      </c>
      <c r="AY1392" s="52" t="n">
        <v>0</v>
      </c>
      <c r="AZ1392" s="52" t="n">
        <v>0</v>
      </c>
      <c r="BA1392" s="52" t="n">
        <v>0</v>
      </c>
      <c r="BB1392" s="53" t="n">
        <v>0</v>
      </c>
      <c r="BC1392" s="52" t="n">
        <v>0</v>
      </c>
      <c r="BD1392" s="53" t="n">
        <v>0</v>
      </c>
      <c r="BE1392" s="52" t="n">
        <v>7.99</v>
      </c>
      <c r="BF1392" s="51" t="n">
        <v>0</v>
      </c>
    </row>
    <row r="1393">
      <c r="A1393">
        <f>HYPERLINK("https://www.walmart.com/ip/14440922018", "14440922018")</f>
        <v/>
      </c>
      <c r="B1393" t="inlineStr">
        <is>
          <t>Catalonia Blanket Hoodie for Kids, Oversized Wearable Fleece Sweatshirt Pullover for 7-16 yr Teens Youth, Kids Gift Idea, Rose</t>
        </is>
      </c>
      <c r="C1393" t="inlineStr">
        <is>
          <t>1CTOSH401HP-FS</t>
        </is>
      </c>
      <c r="D1393" t="inlineStr">
        <is>
          <t>Sweatshirts &amp; Hoodies</t>
        </is>
      </c>
      <c r="E1393" t="inlineStr">
        <is>
          <t>Catalonia</t>
        </is>
      </c>
      <c r="G1393" s="48" t="n">
        <v>0</v>
      </c>
      <c r="H1393" s="49" t="n">
        <v>0</v>
      </c>
      <c r="I1393" s="49" t="n">
        <v>0</v>
      </c>
      <c r="J1393" s="50" t="n">
        <v>0</v>
      </c>
      <c r="K1393" s="51" t="n">
        <v>0</v>
      </c>
      <c r="L1393" s="52" t="n">
        <v>0</v>
      </c>
      <c r="M1393" s="52" t="n">
        <v>0</v>
      </c>
      <c r="N1393" s="52" t="n">
        <v>0</v>
      </c>
      <c r="O1393" s="53" t="n">
        <v>0</v>
      </c>
      <c r="P1393" s="52" t="n">
        <v>0</v>
      </c>
      <c r="Q1393" s="53" t="n">
        <v>0</v>
      </c>
      <c r="R1393" s="52" t="n">
        <v>0</v>
      </c>
      <c r="S1393" s="51" t="n">
        <v>0</v>
      </c>
      <c r="T1393" s="48" t="n">
        <v>0</v>
      </c>
      <c r="U1393" s="49" t="n">
        <v>0</v>
      </c>
      <c r="V1393" s="49" t="n">
        <v>0</v>
      </c>
      <c r="W1393" s="50" t="n">
        <v>0</v>
      </c>
      <c r="X1393" s="51" t="n">
        <v>0</v>
      </c>
      <c r="Y1393" s="52" t="n">
        <v>0</v>
      </c>
      <c r="Z1393" s="52" t="n">
        <v>0</v>
      </c>
      <c r="AA1393" s="52" t="n">
        <v>0</v>
      </c>
      <c r="AB1393" s="53" t="n">
        <v>0</v>
      </c>
      <c r="AC1393" s="52" t="n">
        <v>0</v>
      </c>
      <c r="AD1393" s="53" t="n">
        <v>0</v>
      </c>
      <c r="AE1393" s="52" t="n">
        <v>0</v>
      </c>
      <c r="AF1393" s="51" t="n">
        <v>0</v>
      </c>
      <c r="AG1393" s="48" t="n">
        <v>0</v>
      </c>
      <c r="AH1393" s="49" t="n">
        <v>0</v>
      </c>
      <c r="AI1393" s="49" t="n">
        <v>0</v>
      </c>
      <c r="AJ1393" s="50" t="n">
        <v>0</v>
      </c>
      <c r="AK1393" s="51" t="n">
        <v>0</v>
      </c>
      <c r="AL1393" s="52" t="n">
        <v>0</v>
      </c>
      <c r="AM1393" s="52" t="n">
        <v>0</v>
      </c>
      <c r="AN1393" s="52" t="n">
        <v>0</v>
      </c>
      <c r="AO1393" s="53" t="n">
        <v>0</v>
      </c>
      <c r="AP1393" s="52" t="n">
        <v>0</v>
      </c>
      <c r="AQ1393" s="53" t="n">
        <v>0</v>
      </c>
      <c r="AR1393" s="52" t="n">
        <v>0</v>
      </c>
      <c r="AS1393" s="51" t="n">
        <v>0</v>
      </c>
      <c r="AT1393" s="48" t="n">
        <v>0</v>
      </c>
      <c r="AU1393" s="49" t="n">
        <v>0</v>
      </c>
      <c r="AV1393" s="49" t="n">
        <v>0</v>
      </c>
      <c r="AW1393" s="50" t="n">
        <v>0</v>
      </c>
      <c r="AX1393" s="51" t="n">
        <v>0</v>
      </c>
      <c r="AY1393" s="52" t="n">
        <v>0</v>
      </c>
      <c r="AZ1393" s="52" t="n">
        <v>0</v>
      </c>
      <c r="BA1393" s="52" t="n">
        <v>0</v>
      </c>
      <c r="BB1393" s="53" t="n">
        <v>0</v>
      </c>
      <c r="BC1393" s="52" t="n">
        <v>0</v>
      </c>
      <c r="BD1393" s="53" t="n">
        <v>0</v>
      </c>
      <c r="BE1393" s="52" t="n">
        <v>0</v>
      </c>
      <c r="BF1393" s="51" t="n">
        <v>0</v>
      </c>
    </row>
    <row r="1394">
      <c r="A1394">
        <f>HYPERLINK("https://www.walmart.com/ip/144430959", "144430959")</f>
        <v/>
      </c>
      <c r="B1394" t="inlineStr">
        <is>
          <t>Orange Adjustable Embroidery Cap Sports baseball Hat personalized Unisex Hat</t>
        </is>
      </c>
      <c r="C1394" t="inlineStr">
        <is>
          <t>ht22-Neonquail</t>
        </is>
      </c>
      <c r="D1394" t="inlineStr">
        <is>
          <t>Hats</t>
        </is>
      </c>
      <c r="E1394" t="inlineStr">
        <is>
          <t>Tirrinia</t>
        </is>
      </c>
      <c r="F1394" t="inlineStr">
        <is>
          <t>WFS,WFS Item</t>
        </is>
      </c>
      <c r="G1394" s="48" t="n">
        <v>0</v>
      </c>
      <c r="H1394" s="49" t="n">
        <v>0</v>
      </c>
      <c r="I1394" s="49" t="n">
        <v>0</v>
      </c>
      <c r="J1394" s="50" t="n">
        <v>0</v>
      </c>
      <c r="K1394" s="51" t="n">
        <v>0</v>
      </c>
      <c r="L1394" s="52" t="n">
        <v>0</v>
      </c>
      <c r="M1394" s="52" t="n">
        <v>0</v>
      </c>
      <c r="N1394" s="52" t="n">
        <v>0</v>
      </c>
      <c r="O1394" s="53" t="n">
        <v>0</v>
      </c>
      <c r="P1394" s="52" t="n">
        <v>0</v>
      </c>
      <c r="Q1394" s="53" t="n">
        <v>0</v>
      </c>
      <c r="R1394" s="52" t="n">
        <v>0</v>
      </c>
      <c r="S1394" s="51" t="n">
        <v>0</v>
      </c>
      <c r="T1394" s="48" t="n">
        <v>0</v>
      </c>
      <c r="U1394" s="49" t="n">
        <v>0</v>
      </c>
      <c r="V1394" s="49" t="n">
        <v>0</v>
      </c>
      <c r="W1394" s="50" t="n">
        <v>0</v>
      </c>
      <c r="X1394" s="51" t="n">
        <v>0</v>
      </c>
      <c r="Y1394" s="52" t="n">
        <v>0</v>
      </c>
      <c r="Z1394" s="52" t="n">
        <v>0</v>
      </c>
      <c r="AA1394" s="52" t="n">
        <v>0</v>
      </c>
      <c r="AB1394" s="53" t="n">
        <v>0</v>
      </c>
      <c r="AC1394" s="52" t="n">
        <v>0</v>
      </c>
      <c r="AD1394" s="53" t="n">
        <v>0</v>
      </c>
      <c r="AE1394" s="52" t="n">
        <v>0</v>
      </c>
      <c r="AF1394" s="51" t="n">
        <v>0</v>
      </c>
      <c r="AG1394" s="48" t="n">
        <v>0</v>
      </c>
      <c r="AH1394" s="49" t="n">
        <v>0</v>
      </c>
      <c r="AI1394" s="49" t="n">
        <v>0</v>
      </c>
      <c r="AJ1394" s="50" t="n">
        <v>0</v>
      </c>
      <c r="AK1394" s="51" t="n">
        <v>0</v>
      </c>
      <c r="AL1394" s="52" t="n">
        <v>0</v>
      </c>
      <c r="AM1394" s="52" t="n">
        <v>0</v>
      </c>
      <c r="AN1394" s="52" t="n">
        <v>0</v>
      </c>
      <c r="AO1394" s="53" t="n">
        <v>0</v>
      </c>
      <c r="AP1394" s="52" t="n">
        <v>0</v>
      </c>
      <c r="AQ1394" s="53" t="n">
        <v>0</v>
      </c>
      <c r="AR1394" s="52" t="n">
        <v>0</v>
      </c>
      <c r="AS1394" s="51" t="n">
        <v>0</v>
      </c>
      <c r="AT1394" s="48" t="n">
        <v>0</v>
      </c>
      <c r="AU1394" s="49" t="n">
        <v>0</v>
      </c>
      <c r="AV1394" s="49" t="n">
        <v>0</v>
      </c>
      <c r="AW1394" s="50" t="n">
        <v>0</v>
      </c>
      <c r="AX1394" s="51" t="n">
        <v>0</v>
      </c>
      <c r="AY1394" s="52" t="n">
        <v>0</v>
      </c>
      <c r="AZ1394" s="52" t="n">
        <v>0</v>
      </c>
      <c r="BA1394" s="52" t="n">
        <v>0</v>
      </c>
      <c r="BB1394" s="53" t="n">
        <v>0</v>
      </c>
      <c r="BC1394" s="52" t="n">
        <v>0</v>
      </c>
      <c r="BD1394" s="53" t="n">
        <v>0</v>
      </c>
      <c r="BE1394" s="52" t="n">
        <v>0</v>
      </c>
      <c r="BF1394" s="51" t="n">
        <v>0</v>
      </c>
    </row>
    <row r="1395">
      <c r="A1395">
        <f>HYPERLINK("https://www.walmart.com/ip/144433784", "144433784")</f>
        <v/>
      </c>
      <c r="B1395" t="inlineStr">
        <is>
          <t>KC Caps Super Soft and Comfy Knit Beanie Winter Cap Pink</t>
        </is>
      </c>
      <c r="C1395" t="inlineStr">
        <is>
          <t>kc-w1710pk</t>
        </is>
      </c>
      <c r="D1395" t="inlineStr">
        <is>
          <t>Hats</t>
        </is>
      </c>
      <c r="E1395" t="inlineStr">
        <is>
          <t>KC Caps</t>
        </is>
      </c>
      <c r="F1395" t="inlineStr">
        <is>
          <t>Optimized</t>
        </is>
      </c>
      <c r="G1395" s="48" t="n">
        <v>0</v>
      </c>
      <c r="H1395" s="49" t="n">
        <v>0</v>
      </c>
      <c r="I1395" s="49" t="n">
        <v>0</v>
      </c>
      <c r="J1395" s="50" t="n">
        <v>0</v>
      </c>
      <c r="K1395" s="51" t="n">
        <v>0</v>
      </c>
      <c r="L1395" s="52" t="n">
        <v>0</v>
      </c>
      <c r="M1395" s="52" t="n">
        <v>0</v>
      </c>
      <c r="N1395" s="52" t="n">
        <v>0</v>
      </c>
      <c r="O1395" s="53" t="n">
        <v>0</v>
      </c>
      <c r="P1395" s="52" t="n">
        <v>0</v>
      </c>
      <c r="Q1395" s="53" t="n">
        <v>0</v>
      </c>
      <c r="R1395" s="52" t="n">
        <v>0</v>
      </c>
      <c r="S1395" s="51" t="n">
        <v>0</v>
      </c>
      <c r="T1395" s="48" t="n">
        <v>0</v>
      </c>
      <c r="U1395" s="49" t="n">
        <v>0</v>
      </c>
      <c r="V1395" s="49" t="n">
        <v>0</v>
      </c>
      <c r="W1395" s="50" t="n">
        <v>0</v>
      </c>
      <c r="X1395" s="51" t="n">
        <v>0</v>
      </c>
      <c r="Y1395" s="52" t="n">
        <v>0</v>
      </c>
      <c r="Z1395" s="52" t="n">
        <v>0</v>
      </c>
      <c r="AA1395" s="52" t="n">
        <v>0</v>
      </c>
      <c r="AB1395" s="53" t="n">
        <v>0</v>
      </c>
      <c r="AC1395" s="52" t="n">
        <v>0</v>
      </c>
      <c r="AD1395" s="53" t="n">
        <v>0</v>
      </c>
      <c r="AE1395" s="52" t="n">
        <v>0</v>
      </c>
      <c r="AF1395" s="51" t="n">
        <v>0</v>
      </c>
      <c r="AG1395" s="48" t="n">
        <v>0</v>
      </c>
      <c r="AH1395" s="49" t="n">
        <v>0</v>
      </c>
      <c r="AI1395" s="49" t="n">
        <v>0</v>
      </c>
      <c r="AJ1395" s="50" t="n">
        <v>0</v>
      </c>
      <c r="AK1395" s="51" t="n">
        <v>0</v>
      </c>
      <c r="AL1395" s="52" t="n">
        <v>0</v>
      </c>
      <c r="AM1395" s="52" t="n">
        <v>0</v>
      </c>
      <c r="AN1395" s="52" t="n">
        <v>0</v>
      </c>
      <c r="AO1395" s="53" t="n">
        <v>0</v>
      </c>
      <c r="AP1395" s="52" t="n">
        <v>0</v>
      </c>
      <c r="AQ1395" s="53" t="n">
        <v>0</v>
      </c>
      <c r="AR1395" s="52" t="n">
        <v>0</v>
      </c>
      <c r="AS1395" s="51" t="n">
        <v>0</v>
      </c>
      <c r="AT1395" s="48" t="n">
        <v>0</v>
      </c>
      <c r="AU1395" s="49" t="n">
        <v>0</v>
      </c>
      <c r="AV1395" s="49" t="n">
        <v>0</v>
      </c>
      <c r="AW1395" s="50" t="n">
        <v>0</v>
      </c>
      <c r="AX1395" s="51" t="n">
        <v>0</v>
      </c>
      <c r="AY1395" s="52" t="n">
        <v>0</v>
      </c>
      <c r="AZ1395" s="52" t="n">
        <v>0</v>
      </c>
      <c r="BA1395" s="52" t="n">
        <v>0</v>
      </c>
      <c r="BB1395" s="53" t="n">
        <v>0</v>
      </c>
      <c r="BC1395" s="52" t="n">
        <v>0</v>
      </c>
      <c r="BD1395" s="53" t="n">
        <v>0</v>
      </c>
      <c r="BE1395" s="52" t="n">
        <v>0</v>
      </c>
      <c r="BF1395" s="51" t="n">
        <v>0</v>
      </c>
    </row>
    <row r="1396">
      <c r="A1396">
        <f>HYPERLINK("https://www.walmart.com/ip/144503035", "144503035")</f>
        <v/>
      </c>
      <c r="B1396" t="inlineStr">
        <is>
          <t>Stemless Insulated Wine Tumbler Set with Lid, Stainless Steel Double Walled Metal Wine &amp; Champagne Tumbler with Straw and Brush for Camping, Travel and Outdoor, Rose Gold, 12oz, 2 Pack.</t>
        </is>
      </c>
      <c r="C1396" t="inlineStr">
        <is>
          <t>1TRWT120RG -2PK</t>
        </is>
      </c>
      <c r="D1396" t="inlineStr">
        <is>
          <t>Tumblers</t>
        </is>
      </c>
      <c r="E1396" t="inlineStr">
        <is>
          <t>Tirrinia</t>
        </is>
      </c>
      <c r="F1396" t="inlineStr">
        <is>
          <t>Wine,Christmas,Optimized,WFS,Wine WFS,Valentine,SEM,WFS Item</t>
        </is>
      </c>
      <c r="G1396" s="48" t="n">
        <v>0</v>
      </c>
      <c r="H1396" s="49" t="n">
        <v>0</v>
      </c>
      <c r="I1396" s="49" t="n">
        <v>0</v>
      </c>
      <c r="J1396" s="50" t="n">
        <v>0</v>
      </c>
      <c r="K1396" s="51" t="n">
        <v>0</v>
      </c>
      <c r="L1396" s="52" t="n">
        <v>0</v>
      </c>
      <c r="M1396" s="52" t="n">
        <v>0</v>
      </c>
      <c r="N1396" s="52" t="n">
        <v>0</v>
      </c>
      <c r="O1396" s="53" t="n">
        <v>0</v>
      </c>
      <c r="P1396" s="52" t="n">
        <v>0</v>
      </c>
      <c r="Q1396" s="53" t="n">
        <v>0</v>
      </c>
      <c r="R1396" s="52" t="n">
        <v>0</v>
      </c>
      <c r="S1396" s="51" t="n">
        <v>5</v>
      </c>
      <c r="T1396" s="48" t="n">
        <v>0</v>
      </c>
      <c r="U1396" s="49" t="n">
        <v>0</v>
      </c>
      <c r="V1396" s="49" t="n">
        <v>0</v>
      </c>
      <c r="W1396" s="50" t="n">
        <v>0</v>
      </c>
      <c r="X1396" s="51" t="n">
        <v>0</v>
      </c>
      <c r="Y1396" s="52" t="n">
        <v>0</v>
      </c>
      <c r="Z1396" s="52" t="n">
        <v>0</v>
      </c>
      <c r="AA1396" s="52" t="n">
        <v>0</v>
      </c>
      <c r="AB1396" s="53" t="n">
        <v>0</v>
      </c>
      <c r="AC1396" s="52" t="n">
        <v>0</v>
      </c>
      <c r="AD1396" s="53" t="n">
        <v>0</v>
      </c>
      <c r="AE1396" s="52" t="n">
        <v>0</v>
      </c>
      <c r="AF1396" s="51" t="n">
        <v>0</v>
      </c>
      <c r="AG1396" s="48" t="n">
        <v>0</v>
      </c>
      <c r="AH1396" s="49" t="n">
        <v>0</v>
      </c>
      <c r="AI1396" s="49" t="n">
        <v>0</v>
      </c>
      <c r="AJ1396" s="50" t="n">
        <v>0</v>
      </c>
      <c r="AK1396" s="51" t="n">
        <v>0</v>
      </c>
      <c r="AL1396" s="52" t="n">
        <v>0</v>
      </c>
      <c r="AM1396" s="52" t="n">
        <v>0</v>
      </c>
      <c r="AN1396" s="52" t="n">
        <v>0</v>
      </c>
      <c r="AO1396" s="53" t="n">
        <v>0</v>
      </c>
      <c r="AP1396" s="52" t="n">
        <v>0</v>
      </c>
      <c r="AQ1396" s="53" t="n">
        <v>0</v>
      </c>
      <c r="AR1396" s="52" t="n">
        <v>0</v>
      </c>
      <c r="AS1396" s="51" t="n">
        <v>0</v>
      </c>
      <c r="AT1396" s="48" t="n">
        <v>0</v>
      </c>
      <c r="AU1396" s="49" t="n">
        <v>0</v>
      </c>
      <c r="AV1396" s="49" t="n">
        <v>0</v>
      </c>
      <c r="AW1396" s="50" t="n">
        <v>0</v>
      </c>
      <c r="AX1396" s="51" t="n">
        <v>0</v>
      </c>
      <c r="AY1396" s="52" t="n">
        <v>0</v>
      </c>
      <c r="AZ1396" s="52" t="n">
        <v>0</v>
      </c>
      <c r="BA1396" s="52" t="n">
        <v>0</v>
      </c>
      <c r="BB1396" s="53" t="n">
        <v>0</v>
      </c>
      <c r="BC1396" s="52" t="n">
        <v>0</v>
      </c>
      <c r="BD1396" s="53" t="n">
        <v>0</v>
      </c>
      <c r="BE1396" s="52" t="n">
        <v>0</v>
      </c>
      <c r="BF1396" s="51" t="n">
        <v>0</v>
      </c>
    </row>
    <row r="1397">
      <c r="A1397">
        <f>HYPERLINK("https://www.walmart.com/ip/14453423581", "14453423581")</f>
        <v/>
      </c>
      <c r="B1397" t="inlineStr">
        <is>
          <t>Tirrinia Oversized Wearable Blanket Hoodie, Fleece Home Blanket Sweatshirt, Warm Blanket with Sleeves, Gift for lover</t>
        </is>
      </c>
      <c r="C1397" t="inlineStr">
        <is>
          <t>1TROSH340BK-FS</t>
        </is>
      </c>
      <c r="D1397" t="inlineStr">
        <is>
          <t>Sweatshirts &amp; Hoodies</t>
        </is>
      </c>
      <c r="E1397" t="inlineStr">
        <is>
          <t>Tirrinia</t>
        </is>
      </c>
      <c r="G1397" s="48" t="n">
        <v>0</v>
      </c>
      <c r="H1397" s="49" t="n">
        <v>0</v>
      </c>
      <c r="I1397" s="49" t="n">
        <v>0</v>
      </c>
      <c r="J1397" s="50" t="n">
        <v>0</v>
      </c>
      <c r="K1397" s="51" t="n">
        <v>0</v>
      </c>
      <c r="L1397" s="52" t="n">
        <v>0</v>
      </c>
      <c r="M1397" s="52" t="n">
        <v>0</v>
      </c>
      <c r="N1397" s="52" t="n">
        <v>0</v>
      </c>
      <c r="O1397" s="53" t="n">
        <v>0</v>
      </c>
      <c r="P1397" s="52" t="n">
        <v>0</v>
      </c>
      <c r="Q1397" s="53" t="n">
        <v>0</v>
      </c>
      <c r="R1397" s="52" t="n">
        <v>0</v>
      </c>
      <c r="S1397" s="51" t="n">
        <v>0</v>
      </c>
      <c r="T1397" s="48" t="n">
        <v>0</v>
      </c>
      <c r="U1397" s="49" t="n">
        <v>0</v>
      </c>
      <c r="V1397" s="49" t="n">
        <v>0</v>
      </c>
      <c r="W1397" s="50" t="n">
        <v>0</v>
      </c>
      <c r="X1397" s="51" t="n">
        <v>0</v>
      </c>
      <c r="Y1397" s="52" t="n">
        <v>0</v>
      </c>
      <c r="Z1397" s="52" t="n">
        <v>0</v>
      </c>
      <c r="AA1397" s="52" t="n">
        <v>0</v>
      </c>
      <c r="AB1397" s="53" t="n">
        <v>0</v>
      </c>
      <c r="AC1397" s="52" t="n">
        <v>0</v>
      </c>
      <c r="AD1397" s="53" t="n">
        <v>0</v>
      </c>
      <c r="AE1397" s="52" t="n">
        <v>0</v>
      </c>
      <c r="AF1397" s="51" t="n">
        <v>0</v>
      </c>
      <c r="AG1397" s="48" t="n">
        <v>0</v>
      </c>
      <c r="AH1397" s="49" t="n">
        <v>0</v>
      </c>
      <c r="AI1397" s="49" t="n">
        <v>0</v>
      </c>
      <c r="AJ1397" s="50" t="n">
        <v>0</v>
      </c>
      <c r="AK1397" s="51" t="n">
        <v>0</v>
      </c>
      <c r="AL1397" s="52" t="n">
        <v>0</v>
      </c>
      <c r="AM1397" s="52" t="n">
        <v>0</v>
      </c>
      <c r="AN1397" s="52" t="n">
        <v>0</v>
      </c>
      <c r="AO1397" s="53" t="n">
        <v>0</v>
      </c>
      <c r="AP1397" s="52" t="n">
        <v>0</v>
      </c>
      <c r="AQ1397" s="53" t="n">
        <v>0</v>
      </c>
      <c r="AR1397" s="52" t="n">
        <v>0</v>
      </c>
      <c r="AS1397" s="51" t="n">
        <v>0</v>
      </c>
      <c r="AT1397" s="48" t="n">
        <v>0</v>
      </c>
      <c r="AU1397" s="49" t="n">
        <v>0</v>
      </c>
      <c r="AV1397" s="49" t="n">
        <v>0</v>
      </c>
      <c r="AW1397" s="50" t="n">
        <v>0</v>
      </c>
      <c r="AX1397" s="51" t="n">
        <v>0</v>
      </c>
      <c r="AY1397" s="52" t="n">
        <v>0</v>
      </c>
      <c r="AZ1397" s="52" t="n">
        <v>0</v>
      </c>
      <c r="BA1397" s="52" t="n">
        <v>0</v>
      </c>
      <c r="BB1397" s="53" t="n">
        <v>0</v>
      </c>
      <c r="BC1397" s="52" t="n">
        <v>0</v>
      </c>
      <c r="BD1397" s="53" t="n">
        <v>0</v>
      </c>
      <c r="BE1397" s="52" t="n">
        <v>0</v>
      </c>
      <c r="BF1397" s="51" t="n">
        <v>0</v>
      </c>
    </row>
    <row r="1398">
      <c r="A1398">
        <f>HYPERLINK("https://www.walmart.com/ip/14453423588", "14453423588")</f>
        <v/>
      </c>
      <c r="B1398" t="inlineStr">
        <is>
          <t>Womens Oversized Flannel Blanket Hoodie Sweatshirt, Plush Fleece Lined Lounging Pullover, Christmas Gift for Women (Purple) - Catalonia</t>
        </is>
      </c>
      <c r="C1398" t="inlineStr">
        <is>
          <t>1CTOSH400PP-FS</t>
        </is>
      </c>
      <c r="D1398" t="inlineStr">
        <is>
          <t>Sweatshirts &amp; Hoodies</t>
        </is>
      </c>
      <c r="E1398" t="inlineStr">
        <is>
          <t>Catalonia</t>
        </is>
      </c>
      <c r="G1398" s="48" t="n">
        <v>0</v>
      </c>
      <c r="H1398" s="49" t="n">
        <v>0</v>
      </c>
      <c r="I1398" s="49" t="n">
        <v>0</v>
      </c>
      <c r="J1398" s="50" t="n">
        <v>0</v>
      </c>
      <c r="K1398" s="51" t="n">
        <v>0</v>
      </c>
      <c r="L1398" s="52" t="n">
        <v>0</v>
      </c>
      <c r="M1398" s="52" t="n">
        <v>0</v>
      </c>
      <c r="N1398" s="52" t="n">
        <v>0</v>
      </c>
      <c r="O1398" s="53" t="n">
        <v>0</v>
      </c>
      <c r="P1398" s="52" t="n">
        <v>0</v>
      </c>
      <c r="Q1398" s="53" t="n">
        <v>0</v>
      </c>
      <c r="R1398" s="52" t="n">
        <v>0</v>
      </c>
      <c r="S1398" s="51" t="n">
        <v>0</v>
      </c>
      <c r="T1398" s="48" t="n">
        <v>0</v>
      </c>
      <c r="U1398" s="49" t="n">
        <v>0</v>
      </c>
      <c r="V1398" s="49" t="n">
        <v>0</v>
      </c>
      <c r="W1398" s="50" t="n">
        <v>0</v>
      </c>
      <c r="X1398" s="51" t="n">
        <v>0</v>
      </c>
      <c r="Y1398" s="52" t="n">
        <v>0</v>
      </c>
      <c r="Z1398" s="52" t="n">
        <v>0</v>
      </c>
      <c r="AA1398" s="52" t="n">
        <v>0</v>
      </c>
      <c r="AB1398" s="53" t="n">
        <v>0</v>
      </c>
      <c r="AC1398" s="52" t="n">
        <v>0</v>
      </c>
      <c r="AD1398" s="53" t="n">
        <v>0</v>
      </c>
      <c r="AE1398" s="52" t="n">
        <v>0</v>
      </c>
      <c r="AF1398" s="51" t="n">
        <v>0</v>
      </c>
      <c r="AG1398" s="48" t="n">
        <v>0</v>
      </c>
      <c r="AH1398" s="49" t="n">
        <v>0</v>
      </c>
      <c r="AI1398" s="49" t="n">
        <v>0</v>
      </c>
      <c r="AJ1398" s="50" t="n">
        <v>0</v>
      </c>
      <c r="AK1398" s="51" t="n">
        <v>0</v>
      </c>
      <c r="AL1398" s="52" t="n">
        <v>0</v>
      </c>
      <c r="AM1398" s="52" t="n">
        <v>0</v>
      </c>
      <c r="AN1398" s="52" t="n">
        <v>0</v>
      </c>
      <c r="AO1398" s="53" t="n">
        <v>0</v>
      </c>
      <c r="AP1398" s="52" t="n">
        <v>0</v>
      </c>
      <c r="AQ1398" s="53" t="n">
        <v>0</v>
      </c>
      <c r="AR1398" s="52" t="n">
        <v>0</v>
      </c>
      <c r="AS1398" s="51" t="n">
        <v>0</v>
      </c>
      <c r="AT1398" s="48" t="n">
        <v>0</v>
      </c>
      <c r="AU1398" s="49" t="n">
        <v>0</v>
      </c>
      <c r="AV1398" s="49" t="n">
        <v>0</v>
      </c>
      <c r="AW1398" s="50" t="n">
        <v>0</v>
      </c>
      <c r="AX1398" s="51" t="n">
        <v>0</v>
      </c>
      <c r="AY1398" s="52" t="n">
        <v>0</v>
      </c>
      <c r="AZ1398" s="52" t="n">
        <v>0</v>
      </c>
      <c r="BA1398" s="52" t="n">
        <v>0</v>
      </c>
      <c r="BB1398" s="53" t="n">
        <v>0</v>
      </c>
      <c r="BC1398" s="52" t="n">
        <v>0</v>
      </c>
      <c r="BD1398" s="53" t="n">
        <v>0</v>
      </c>
      <c r="BE1398" s="52" t="n">
        <v>0</v>
      </c>
      <c r="BF1398" s="51" t="n">
        <v>0</v>
      </c>
    </row>
    <row r="1399">
      <c r="A1399">
        <f>HYPERLINK("https://www.walmart.com/ip/143098345", "143098345")</f>
        <v/>
      </c>
      <c r="B1399" t="inlineStr">
        <is>
          <t>KC Caps Unisex Two-Tone Cotton Twill Adjustable Baseball Cap with Suede Bill, White/Black</t>
        </is>
      </c>
      <c r="C1399" t="inlineStr">
        <is>
          <t>KC-S6300-WH/BK</t>
        </is>
      </c>
      <c r="D1399" t="inlineStr">
        <is>
          <t>Hats</t>
        </is>
      </c>
      <c r="E1399" t="inlineStr">
        <is>
          <t>KC Caps</t>
        </is>
      </c>
      <c r="G1399" s="48" t="n">
        <v>0</v>
      </c>
      <c r="H1399" s="49" t="n">
        <v>0</v>
      </c>
      <c r="I1399" s="49" t="n">
        <v>0</v>
      </c>
      <c r="J1399" s="50" t="n">
        <v>0</v>
      </c>
      <c r="K1399" s="51" t="n">
        <v>0</v>
      </c>
      <c r="L1399" s="52" t="n">
        <v>0</v>
      </c>
      <c r="M1399" s="52" t="n">
        <v>0</v>
      </c>
      <c r="N1399" s="52" t="n">
        <v>0</v>
      </c>
      <c r="O1399" s="53" t="n">
        <v>0</v>
      </c>
      <c r="P1399" s="52" t="n">
        <v>0</v>
      </c>
      <c r="Q1399" s="53" t="n">
        <v>0</v>
      </c>
      <c r="R1399" s="52" t="n">
        <v>0</v>
      </c>
      <c r="S1399" s="51" t="n">
        <v>0</v>
      </c>
      <c r="T1399" s="48" t="n">
        <v>0</v>
      </c>
      <c r="U1399" s="49" t="n">
        <v>0</v>
      </c>
      <c r="V1399" s="49" t="n">
        <v>0</v>
      </c>
      <c r="W1399" s="50" t="n">
        <v>0</v>
      </c>
      <c r="X1399" s="51" t="n">
        <v>0</v>
      </c>
      <c r="Y1399" s="52" t="n">
        <v>0</v>
      </c>
      <c r="Z1399" s="52" t="n">
        <v>0</v>
      </c>
      <c r="AA1399" s="52" t="n">
        <v>0</v>
      </c>
      <c r="AB1399" s="53" t="n">
        <v>0</v>
      </c>
      <c r="AC1399" s="52" t="n">
        <v>0</v>
      </c>
      <c r="AD1399" s="53" t="n">
        <v>0</v>
      </c>
      <c r="AE1399" s="52" t="n">
        <v>0</v>
      </c>
      <c r="AF1399" s="51" t="n">
        <v>0</v>
      </c>
      <c r="AG1399" s="48" t="n">
        <v>0</v>
      </c>
      <c r="AH1399" s="49" t="n">
        <v>0</v>
      </c>
      <c r="AI1399" s="49" t="n">
        <v>0</v>
      </c>
      <c r="AJ1399" s="50" t="n">
        <v>0</v>
      </c>
      <c r="AK1399" s="51" t="n">
        <v>0</v>
      </c>
      <c r="AL1399" s="52" t="n">
        <v>0</v>
      </c>
      <c r="AM1399" s="52" t="n">
        <v>0</v>
      </c>
      <c r="AN1399" s="52" t="n">
        <v>0</v>
      </c>
      <c r="AO1399" s="53" t="n">
        <v>0</v>
      </c>
      <c r="AP1399" s="52" t="n">
        <v>0</v>
      </c>
      <c r="AQ1399" s="53" t="n">
        <v>0</v>
      </c>
      <c r="AR1399" s="52" t="n">
        <v>0</v>
      </c>
      <c r="AS1399" s="51" t="n">
        <v>0</v>
      </c>
      <c r="AT1399" s="48" t="n">
        <v>0</v>
      </c>
      <c r="AU1399" s="49" t="n">
        <v>0</v>
      </c>
      <c r="AV1399" s="49" t="n">
        <v>0</v>
      </c>
      <c r="AW1399" s="50" t="n">
        <v>0</v>
      </c>
      <c r="AX1399" s="51" t="n">
        <v>0</v>
      </c>
      <c r="AY1399" s="52" t="n">
        <v>0</v>
      </c>
      <c r="AZ1399" s="52" t="n">
        <v>0</v>
      </c>
      <c r="BA1399" s="52" t="n">
        <v>0</v>
      </c>
      <c r="BB1399" s="53" t="n">
        <v>0</v>
      </c>
      <c r="BC1399" s="52" t="n">
        <v>0</v>
      </c>
      <c r="BD1399" s="53" t="n">
        <v>0</v>
      </c>
      <c r="BE1399" s="52" t="n">
        <v>0</v>
      </c>
      <c r="BF1399" s="51" t="n">
        <v>0</v>
      </c>
    </row>
    <row r="1400">
      <c r="A1400">
        <f>HYPERLINK("https://www.walmart.com/ip/142905199", "142905199")</f>
        <v/>
      </c>
      <c r="B1400" t="inlineStr">
        <is>
          <t>KC Caps Washed Cotton Twill Hat</t>
        </is>
      </c>
      <c r="C1400" t="inlineStr">
        <is>
          <t>KCS4130ROY</t>
        </is>
      </c>
      <c r="D1400" t="inlineStr">
        <is>
          <t>Hats</t>
        </is>
      </c>
      <c r="E1400" t="inlineStr">
        <is>
          <t>KC Caps</t>
        </is>
      </c>
      <c r="F1400" t="inlineStr">
        <is>
          <t>Optimized</t>
        </is>
      </c>
      <c r="G1400" s="48" t="n">
        <v>0</v>
      </c>
      <c r="H1400" s="49" t="n">
        <v>0</v>
      </c>
      <c r="I1400" s="49" t="n">
        <v>0</v>
      </c>
      <c r="J1400" s="50" t="n">
        <v>0</v>
      </c>
      <c r="K1400" s="51" t="n">
        <v>0</v>
      </c>
      <c r="L1400" s="52" t="n">
        <v>0</v>
      </c>
      <c r="M1400" s="52" t="n">
        <v>0</v>
      </c>
      <c r="N1400" s="52" t="n">
        <v>0</v>
      </c>
      <c r="O1400" s="53" t="n">
        <v>0</v>
      </c>
      <c r="P1400" s="52" t="n">
        <v>0</v>
      </c>
      <c r="Q1400" s="53" t="n">
        <v>0</v>
      </c>
      <c r="R1400" s="52" t="n">
        <v>0</v>
      </c>
      <c r="S1400" s="51" t="n">
        <v>0</v>
      </c>
      <c r="T1400" s="48" t="n">
        <v>0</v>
      </c>
      <c r="U1400" s="49" t="n">
        <v>0</v>
      </c>
      <c r="V1400" s="49" t="n">
        <v>0</v>
      </c>
      <c r="W1400" s="50" t="n">
        <v>0</v>
      </c>
      <c r="X1400" s="51" t="n">
        <v>0</v>
      </c>
      <c r="Y1400" s="52" t="n">
        <v>0</v>
      </c>
      <c r="Z1400" s="52" t="n">
        <v>0</v>
      </c>
      <c r="AA1400" s="52" t="n">
        <v>0</v>
      </c>
      <c r="AB1400" s="53" t="n">
        <v>0</v>
      </c>
      <c r="AC1400" s="52" t="n">
        <v>0</v>
      </c>
      <c r="AD1400" s="53" t="n">
        <v>0</v>
      </c>
      <c r="AE1400" s="52" t="n">
        <v>0</v>
      </c>
      <c r="AF1400" s="51" t="n">
        <v>0</v>
      </c>
      <c r="AG1400" s="48" t="n">
        <v>0</v>
      </c>
      <c r="AH1400" s="49" t="n">
        <v>0</v>
      </c>
      <c r="AI1400" s="49" t="n">
        <v>0</v>
      </c>
      <c r="AJ1400" s="50" t="n">
        <v>0</v>
      </c>
      <c r="AK1400" s="51" t="n">
        <v>0</v>
      </c>
      <c r="AL1400" s="52" t="n">
        <v>0</v>
      </c>
      <c r="AM1400" s="52" t="n">
        <v>0</v>
      </c>
      <c r="AN1400" s="52" t="n">
        <v>0</v>
      </c>
      <c r="AO1400" s="53" t="n">
        <v>0</v>
      </c>
      <c r="AP1400" s="52" t="n">
        <v>0</v>
      </c>
      <c r="AQ1400" s="53" t="n">
        <v>0</v>
      </c>
      <c r="AR1400" s="52" t="n">
        <v>0</v>
      </c>
      <c r="AS1400" s="51" t="n">
        <v>0</v>
      </c>
      <c r="AT1400" s="48" t="n">
        <v>0</v>
      </c>
      <c r="AU1400" s="49" t="n">
        <v>0</v>
      </c>
      <c r="AV1400" s="49" t="n">
        <v>0</v>
      </c>
      <c r="AW1400" s="50" t="n">
        <v>0</v>
      </c>
      <c r="AX1400" s="51" t="n">
        <v>0</v>
      </c>
      <c r="AY1400" s="52" t="n">
        <v>0</v>
      </c>
      <c r="AZ1400" s="52" t="n">
        <v>0</v>
      </c>
      <c r="BA1400" s="52" t="n">
        <v>0</v>
      </c>
      <c r="BB1400" s="53" t="n">
        <v>0</v>
      </c>
      <c r="BC1400" s="52" t="n">
        <v>0</v>
      </c>
      <c r="BD1400" s="53" t="n">
        <v>0</v>
      </c>
      <c r="BE1400" s="52" t="n">
        <v>0</v>
      </c>
      <c r="BF1400" s="51" t="n">
        <v>0</v>
      </c>
    </row>
    <row r="1401">
      <c r="A1401">
        <f>HYPERLINK("https://www.walmart.com/ip/1446754753", "1446754753")</f>
        <v/>
      </c>
      <c r="B1401" t="inlineStr">
        <is>
          <t>Tirrinia Insulated Lunch Box for Women Men, Leakproof Thermal Reusable Lunch Bag with 4 Pockets for Adult &amp; Kids, Lunch Bag Cooler Tote for Office Work Back to School, Green</t>
        </is>
      </c>
      <c r="C1401" t="inlineStr">
        <is>
          <t>1TRLB702GN-T</t>
        </is>
      </c>
      <c r="D1401" t="inlineStr">
        <is>
          <t>Reusable Lunch Bags &amp; Boxes</t>
        </is>
      </c>
      <c r="E1401" t="inlineStr">
        <is>
          <t>Tirrinia</t>
        </is>
      </c>
      <c r="F1401" t="inlineStr">
        <is>
          <t>Q2-Target,Brand Camp VD,Lunch Bags,Batch 1 - TR</t>
        </is>
      </c>
      <c r="G1401" s="48" t="n">
        <v>0</v>
      </c>
      <c r="H1401" s="49" t="n">
        <v>0</v>
      </c>
      <c r="I1401" s="49" t="n">
        <v>0</v>
      </c>
      <c r="J1401" s="50" t="n">
        <v>0</v>
      </c>
      <c r="K1401" s="51" t="n">
        <v>0</v>
      </c>
      <c r="L1401" s="52" t="n">
        <v>0</v>
      </c>
      <c r="M1401" s="52" t="n">
        <v>0</v>
      </c>
      <c r="N1401" s="52" t="n">
        <v>0</v>
      </c>
      <c r="O1401" s="53" t="n">
        <v>0</v>
      </c>
      <c r="P1401" s="52" t="n">
        <v>0</v>
      </c>
      <c r="Q1401" s="53" t="n">
        <v>0</v>
      </c>
      <c r="R1401" s="52" t="n">
        <v>0</v>
      </c>
      <c r="S1401" s="51" t="n">
        <v>0</v>
      </c>
      <c r="T1401" s="48" t="n">
        <v>0</v>
      </c>
      <c r="U1401" s="49" t="n">
        <v>0</v>
      </c>
      <c r="V1401" s="49" t="n">
        <v>0</v>
      </c>
      <c r="W1401" s="50" t="n">
        <v>0</v>
      </c>
      <c r="X1401" s="51" t="n">
        <v>0</v>
      </c>
      <c r="Y1401" s="52" t="n">
        <v>0</v>
      </c>
      <c r="Z1401" s="52" t="n">
        <v>0</v>
      </c>
      <c r="AA1401" s="52" t="n">
        <v>0</v>
      </c>
      <c r="AB1401" s="53" t="n">
        <v>0</v>
      </c>
      <c r="AC1401" s="52" t="n">
        <v>0</v>
      </c>
      <c r="AD1401" s="53" t="n">
        <v>0</v>
      </c>
      <c r="AE1401" s="52" t="n">
        <v>0</v>
      </c>
      <c r="AF1401" s="51" t="n">
        <v>0</v>
      </c>
      <c r="AG1401" s="48" t="n">
        <v>0</v>
      </c>
      <c r="AH1401" s="49" t="n">
        <v>0</v>
      </c>
      <c r="AI1401" s="49" t="n">
        <v>0</v>
      </c>
      <c r="AJ1401" s="50" t="n">
        <v>0</v>
      </c>
      <c r="AK1401" s="51" t="n">
        <v>0</v>
      </c>
      <c r="AL1401" s="52" t="n">
        <v>0</v>
      </c>
      <c r="AM1401" s="52" t="n">
        <v>0</v>
      </c>
      <c r="AN1401" s="52" t="n">
        <v>0</v>
      </c>
      <c r="AO1401" s="53" t="n">
        <v>0</v>
      </c>
      <c r="AP1401" s="52" t="n">
        <v>0</v>
      </c>
      <c r="AQ1401" s="53" t="n">
        <v>0</v>
      </c>
      <c r="AR1401" s="52" t="n">
        <v>0</v>
      </c>
      <c r="AS1401" s="51" t="n">
        <v>0</v>
      </c>
      <c r="AT1401" s="48" t="n">
        <v>0</v>
      </c>
      <c r="AU1401" s="49" t="n">
        <v>0</v>
      </c>
      <c r="AV1401" s="49" t="n">
        <v>0</v>
      </c>
      <c r="AW1401" s="50" t="n">
        <v>0</v>
      </c>
      <c r="AX1401" s="51" t="n">
        <v>0</v>
      </c>
      <c r="AY1401" s="52" t="n">
        <v>0</v>
      </c>
      <c r="AZ1401" s="52" t="n">
        <v>0</v>
      </c>
      <c r="BA1401" s="52" t="n">
        <v>0</v>
      </c>
      <c r="BB1401" s="53" t="n">
        <v>0</v>
      </c>
      <c r="BC1401" s="52" t="n">
        <v>0</v>
      </c>
      <c r="BD1401" s="53" t="n">
        <v>0</v>
      </c>
      <c r="BE1401" s="52" t="n">
        <v>0</v>
      </c>
      <c r="BF1401" s="51" t="n">
        <v>0</v>
      </c>
    </row>
    <row r="1402">
      <c r="A1402">
        <f>HYPERLINK("https://www.walmart.com/ip/142622275", "142622275")</f>
        <v/>
      </c>
      <c r="B1402" t="inlineStr">
        <is>
          <t>Napa Women's Super Soft Warm Sherpa Bathrobe Micro Fleece Kimono Collar Plush Thick Spa Robe Sleepwear with Side Pockets Blue</t>
        </is>
      </c>
      <c r="C1402" t="inlineStr">
        <is>
          <t>R5010COBLUE-01</t>
        </is>
      </c>
      <c r="D1402" t="inlineStr">
        <is>
          <t>Sleepwear Robes &amp; Bathrobes</t>
        </is>
      </c>
      <c r="E1402" t="inlineStr">
        <is>
          <t>NAPA</t>
        </is>
      </c>
      <c r="F1402" t="inlineStr">
        <is>
          <t>Optimized,Bathrobe</t>
        </is>
      </c>
      <c r="G1402" s="48" t="n">
        <v>0</v>
      </c>
      <c r="H1402" s="49" t="n">
        <v>0</v>
      </c>
      <c r="I1402" s="49" t="n">
        <v>0</v>
      </c>
      <c r="J1402" s="50" t="n">
        <v>0</v>
      </c>
      <c r="K1402" s="51" t="n">
        <v>0</v>
      </c>
      <c r="L1402" s="52" t="n">
        <v>0</v>
      </c>
      <c r="M1402" s="52" t="n">
        <v>0</v>
      </c>
      <c r="N1402" s="52" t="n">
        <v>0</v>
      </c>
      <c r="O1402" s="53" t="n">
        <v>0</v>
      </c>
      <c r="P1402" s="52" t="n">
        <v>0</v>
      </c>
      <c r="Q1402" s="53" t="n">
        <v>0</v>
      </c>
      <c r="R1402" s="52" t="n">
        <v>0</v>
      </c>
      <c r="S1402" s="51" t="n">
        <v>0</v>
      </c>
      <c r="T1402" s="48" t="n">
        <v>0</v>
      </c>
      <c r="U1402" s="49" t="n">
        <v>0</v>
      </c>
      <c r="V1402" s="49" t="n">
        <v>0</v>
      </c>
      <c r="W1402" s="50" t="n">
        <v>0</v>
      </c>
      <c r="X1402" s="51" t="n">
        <v>0</v>
      </c>
      <c r="Y1402" s="52" t="n">
        <v>0</v>
      </c>
      <c r="Z1402" s="52" t="n">
        <v>0</v>
      </c>
      <c r="AA1402" s="52" t="n">
        <v>0</v>
      </c>
      <c r="AB1402" s="53" t="n">
        <v>0</v>
      </c>
      <c r="AC1402" s="52" t="n">
        <v>0</v>
      </c>
      <c r="AD1402" s="53" t="n">
        <v>0</v>
      </c>
      <c r="AE1402" s="52" t="n">
        <v>0</v>
      </c>
      <c r="AF1402" s="51" t="n">
        <v>0</v>
      </c>
      <c r="AG1402" s="48" t="n">
        <v>0</v>
      </c>
      <c r="AH1402" s="49" t="n">
        <v>0</v>
      </c>
      <c r="AI1402" s="49" t="n">
        <v>0</v>
      </c>
      <c r="AJ1402" s="50" t="n">
        <v>0</v>
      </c>
      <c r="AK1402" s="51" t="n">
        <v>0</v>
      </c>
      <c r="AL1402" s="52" t="n">
        <v>0</v>
      </c>
      <c r="AM1402" s="52" t="n">
        <v>0</v>
      </c>
      <c r="AN1402" s="52" t="n">
        <v>0</v>
      </c>
      <c r="AO1402" s="53" t="n">
        <v>0</v>
      </c>
      <c r="AP1402" s="52" t="n">
        <v>0</v>
      </c>
      <c r="AQ1402" s="53" t="n">
        <v>0</v>
      </c>
      <c r="AR1402" s="52" t="n">
        <v>0</v>
      </c>
      <c r="AS1402" s="51" t="n">
        <v>0</v>
      </c>
      <c r="AT1402" s="48" t="n">
        <v>0</v>
      </c>
      <c r="AU1402" s="49" t="n">
        <v>0</v>
      </c>
      <c r="AV1402" s="49" t="n">
        <v>0</v>
      </c>
      <c r="AW1402" s="50" t="n">
        <v>0</v>
      </c>
      <c r="AX1402" s="51" t="n">
        <v>0</v>
      </c>
      <c r="AY1402" s="52" t="n">
        <v>0</v>
      </c>
      <c r="AZ1402" s="52" t="n">
        <v>0</v>
      </c>
      <c r="BA1402" s="52" t="n">
        <v>0</v>
      </c>
      <c r="BB1402" s="53" t="n">
        <v>0</v>
      </c>
      <c r="BC1402" s="52" t="n">
        <v>0</v>
      </c>
      <c r="BD1402" s="53" t="n">
        <v>0</v>
      </c>
      <c r="BE1402" s="52" t="n">
        <v>0</v>
      </c>
      <c r="BF1402" s="51" t="n">
        <v>0</v>
      </c>
    </row>
    <row r="1403">
      <c r="A1403">
        <f>HYPERLINK("https://www.walmart.com/ip/1399629963", "1399629963")</f>
        <v/>
      </c>
      <c r="B1403" t="inlineStr">
        <is>
          <t>Catalonia Waterproof Dog Blanket for Couch, Reversible Sofa and Bed Coverlet Protector, Leak Proof, Comfortable Blanket for People and Pets, Camel/Taupe, 80" x 90"</t>
        </is>
      </c>
      <c r="C1403" t="inlineStr">
        <is>
          <t>1CTBW985TPTP</t>
        </is>
      </c>
      <c r="D1403" t="inlineStr">
        <is>
          <t>Bed Blankets</t>
        </is>
      </c>
      <c r="E1403" t="inlineStr">
        <is>
          <t>Catalonia</t>
        </is>
      </c>
      <c r="F1403" t="inlineStr">
        <is>
          <t>Wproof Blanket,Batch 1 - TR</t>
        </is>
      </c>
      <c r="G1403" s="48" t="n">
        <v>0</v>
      </c>
      <c r="H1403" s="49" t="n">
        <v>0</v>
      </c>
      <c r="I1403" s="49" t="n">
        <v>6</v>
      </c>
      <c r="J1403" s="50" t="n">
        <v>0</v>
      </c>
      <c r="K1403" s="51" t="n">
        <v>1</v>
      </c>
      <c r="L1403" s="52" t="n">
        <v>0.45</v>
      </c>
      <c r="M1403" s="52" t="n">
        <v>0</v>
      </c>
      <c r="N1403" s="52" t="n">
        <v>0</v>
      </c>
      <c r="O1403" s="53" t="n">
        <v>0.0009</v>
      </c>
      <c r="P1403" s="52" t="n">
        <v>0.45</v>
      </c>
      <c r="Q1403" s="53" t="n">
        <v>0</v>
      </c>
      <c r="R1403" s="52" t="n">
        <v>0</v>
      </c>
      <c r="S1403" s="51" t="n">
        <v>1108</v>
      </c>
      <c r="T1403" s="48" t="n">
        <v>0</v>
      </c>
      <c r="U1403" s="49" t="n">
        <v>0</v>
      </c>
      <c r="V1403" s="49" t="n">
        <v>7</v>
      </c>
      <c r="W1403" s="50" t="n">
        <v>0</v>
      </c>
      <c r="X1403" s="51" t="n">
        <v>4</v>
      </c>
      <c r="Y1403" s="52" t="n">
        <v>1.8</v>
      </c>
      <c r="Z1403" s="52" t="n">
        <v>0</v>
      </c>
      <c r="AA1403" s="52" t="n">
        <v>0</v>
      </c>
      <c r="AB1403" s="53" t="n">
        <v>0.0037</v>
      </c>
      <c r="AC1403" s="52" t="n">
        <v>0.45</v>
      </c>
      <c r="AD1403" s="53" t="n">
        <v>0</v>
      </c>
      <c r="AE1403" s="52" t="n">
        <v>0</v>
      </c>
      <c r="AF1403" s="51" t="n">
        <v>1095</v>
      </c>
      <c r="AG1403" s="48" t="n">
        <v>0</v>
      </c>
      <c r="AH1403" s="49" t="n">
        <v>0</v>
      </c>
      <c r="AI1403" s="49" t="n">
        <v>0</v>
      </c>
      <c r="AJ1403" s="50" t="n">
        <v>0</v>
      </c>
      <c r="AK1403" s="51" t="n">
        <v>1</v>
      </c>
      <c r="AL1403" s="52" t="n">
        <v>0.45</v>
      </c>
      <c r="AM1403" s="52" t="n">
        <v>0</v>
      </c>
      <c r="AN1403" s="52" t="n">
        <v>0</v>
      </c>
      <c r="AO1403" s="53" t="n">
        <v>0.0012</v>
      </c>
      <c r="AP1403" s="52" t="n">
        <v>0.45</v>
      </c>
      <c r="AQ1403" s="53" t="n">
        <v>0</v>
      </c>
      <c r="AR1403" s="52" t="n">
        <v>0</v>
      </c>
      <c r="AS1403" s="51" t="n">
        <v>857</v>
      </c>
      <c r="AT1403" s="48" t="n">
        <v>0</v>
      </c>
      <c r="AU1403" s="49" t="n">
        <v>0</v>
      </c>
      <c r="AV1403" s="49" t="n">
        <v>0</v>
      </c>
      <c r="AW1403" s="50" t="n">
        <v>0</v>
      </c>
      <c r="AX1403" s="51" t="n">
        <v>2</v>
      </c>
      <c r="AY1403" s="52" t="n">
        <v>0.88</v>
      </c>
      <c r="AZ1403" s="52" t="n">
        <v>0</v>
      </c>
      <c r="BA1403" s="52" t="n">
        <v>0</v>
      </c>
      <c r="BB1403" s="53" t="n">
        <v>0.0036</v>
      </c>
      <c r="BC1403" s="52" t="n">
        <v>0.44</v>
      </c>
      <c r="BD1403" s="53" t="n">
        <v>0</v>
      </c>
      <c r="BE1403" s="52" t="n">
        <v>0</v>
      </c>
      <c r="BF1403" s="51" t="n">
        <v>553</v>
      </c>
    </row>
    <row r="1404">
      <c r="A1404">
        <f>HYPERLINK("https://www.walmart.com/ip/14010066234", "14010066234")</f>
        <v/>
      </c>
      <c r="B1404" t="inlineStr">
        <is>
          <t>American Flag Throw Blanket Warm Eagle Flannel Fleece Blanket for Couch, Super Soft Fuzzy Throws Fashion Decorative Plush Fleece Blanket for Sofa Bed Office(50 x 70 in, American Flag &amp; Eagle)</t>
        </is>
      </c>
      <c r="C1404" t="inlineStr">
        <is>
          <t>1TRBF601USA1</t>
        </is>
      </c>
      <c r="D1404" t="inlineStr">
        <is>
          <t>Throws</t>
        </is>
      </c>
      <c r="E1404" t="inlineStr">
        <is>
          <t>Tirrinia</t>
        </is>
      </c>
      <c r="G1404" s="48" t="n">
        <v>0</v>
      </c>
      <c r="H1404" s="49" t="n">
        <v>0</v>
      </c>
      <c r="I1404" s="49" t="n">
        <v>0</v>
      </c>
      <c r="J1404" s="50" t="n">
        <v>0</v>
      </c>
      <c r="K1404" s="51" t="n">
        <v>0</v>
      </c>
      <c r="L1404" s="52" t="n">
        <v>0</v>
      </c>
      <c r="M1404" s="52" t="n">
        <v>0</v>
      </c>
      <c r="N1404" s="52" t="n">
        <v>0</v>
      </c>
      <c r="O1404" s="53" t="n">
        <v>0</v>
      </c>
      <c r="P1404" s="52" t="n">
        <v>0</v>
      </c>
      <c r="Q1404" s="53" t="n">
        <v>0</v>
      </c>
      <c r="R1404" s="52" t="n">
        <v>0</v>
      </c>
      <c r="S1404" s="51" t="n">
        <v>0</v>
      </c>
      <c r="T1404" s="48" t="n">
        <v>0</v>
      </c>
      <c r="U1404" s="49" t="n">
        <v>0</v>
      </c>
      <c r="V1404" s="49" t="n">
        <v>0</v>
      </c>
      <c r="W1404" s="50" t="n">
        <v>0</v>
      </c>
      <c r="X1404" s="51" t="n">
        <v>0</v>
      </c>
      <c r="Y1404" s="52" t="n">
        <v>0</v>
      </c>
      <c r="Z1404" s="52" t="n">
        <v>0</v>
      </c>
      <c r="AA1404" s="52" t="n">
        <v>0</v>
      </c>
      <c r="AB1404" s="53" t="n">
        <v>0</v>
      </c>
      <c r="AC1404" s="52" t="n">
        <v>0</v>
      </c>
      <c r="AD1404" s="53" t="n">
        <v>0</v>
      </c>
      <c r="AE1404" s="52" t="n">
        <v>0</v>
      </c>
      <c r="AF1404" s="51" t="n">
        <v>0</v>
      </c>
      <c r="AG1404" s="48" t="n">
        <v>0</v>
      </c>
      <c r="AH1404" s="49" t="n">
        <v>0</v>
      </c>
      <c r="AI1404" s="49" t="n">
        <v>0</v>
      </c>
      <c r="AJ1404" s="50" t="n">
        <v>0</v>
      </c>
      <c r="AK1404" s="51" t="n">
        <v>0</v>
      </c>
      <c r="AL1404" s="52" t="n">
        <v>0</v>
      </c>
      <c r="AM1404" s="52" t="n">
        <v>0</v>
      </c>
      <c r="AN1404" s="52" t="n">
        <v>0</v>
      </c>
      <c r="AO1404" s="53" t="n">
        <v>0</v>
      </c>
      <c r="AP1404" s="52" t="n">
        <v>0</v>
      </c>
      <c r="AQ1404" s="53" t="n">
        <v>0</v>
      </c>
      <c r="AR1404" s="52" t="n">
        <v>0</v>
      </c>
      <c r="AS1404" s="51" t="n">
        <v>0</v>
      </c>
      <c r="AT1404" s="48" t="n">
        <v>0</v>
      </c>
      <c r="AU1404" s="49" t="n">
        <v>0</v>
      </c>
      <c r="AV1404" s="49" t="n">
        <v>0</v>
      </c>
      <c r="AW1404" s="50" t="n">
        <v>0</v>
      </c>
      <c r="AX1404" s="51" t="n">
        <v>0</v>
      </c>
      <c r="AY1404" s="52" t="n">
        <v>0</v>
      </c>
      <c r="AZ1404" s="52" t="n">
        <v>0</v>
      </c>
      <c r="BA1404" s="52" t="n">
        <v>0</v>
      </c>
      <c r="BB1404" s="53" t="n">
        <v>0</v>
      </c>
      <c r="BC1404" s="52" t="n">
        <v>0</v>
      </c>
      <c r="BD1404" s="53" t="n">
        <v>0</v>
      </c>
      <c r="BE1404" s="52" t="n">
        <v>0</v>
      </c>
      <c r="BF1404" s="51" t="n">
        <v>0</v>
      </c>
    </row>
    <row r="1405">
      <c r="A1405">
        <f>HYPERLINK("https://www.walmart.com/ip/140259963", "140259963")</f>
        <v/>
      </c>
      <c r="B1405" t="inlineStr">
        <is>
          <t>Women's Plus Size Floral Lace Mesh Chemise Sleepwear and G-string</t>
        </is>
      </c>
      <c r="C1405" t="inlineStr">
        <is>
          <t>JWBD05PP-XL</t>
        </is>
      </c>
      <c r="D1405" t="inlineStr">
        <is>
          <t>Lingerie Sets</t>
        </is>
      </c>
      <c r="E1405" t="inlineStr">
        <is>
          <t>JenniWears</t>
        </is>
      </c>
      <c r="F1405" t="inlineStr">
        <is>
          <t>Valentine</t>
        </is>
      </c>
      <c r="G1405" s="48" t="n">
        <v>0</v>
      </c>
      <c r="H1405" s="49" t="n">
        <v>0</v>
      </c>
      <c r="I1405" s="49" t="n">
        <v>0</v>
      </c>
      <c r="J1405" s="50" t="n">
        <v>0</v>
      </c>
      <c r="K1405" s="51" t="n">
        <v>0</v>
      </c>
      <c r="L1405" s="52" t="n">
        <v>0</v>
      </c>
      <c r="M1405" s="52" t="n">
        <v>0</v>
      </c>
      <c r="N1405" s="52" t="n">
        <v>0</v>
      </c>
      <c r="O1405" s="53" t="n">
        <v>0</v>
      </c>
      <c r="P1405" s="52" t="n">
        <v>0</v>
      </c>
      <c r="Q1405" s="53" t="n">
        <v>0</v>
      </c>
      <c r="R1405" s="52" t="n">
        <v>0</v>
      </c>
      <c r="S1405" s="51" t="n">
        <v>0</v>
      </c>
      <c r="T1405" s="48" t="n">
        <v>0</v>
      </c>
      <c r="U1405" s="49" t="n">
        <v>0</v>
      </c>
      <c r="V1405" s="49" t="n">
        <v>0</v>
      </c>
      <c r="W1405" s="50" t="n">
        <v>0</v>
      </c>
      <c r="X1405" s="51" t="n">
        <v>0</v>
      </c>
      <c r="Y1405" s="52" t="n">
        <v>0</v>
      </c>
      <c r="Z1405" s="52" t="n">
        <v>0</v>
      </c>
      <c r="AA1405" s="52" t="n">
        <v>0</v>
      </c>
      <c r="AB1405" s="53" t="n">
        <v>0</v>
      </c>
      <c r="AC1405" s="52" t="n">
        <v>0</v>
      </c>
      <c r="AD1405" s="53" t="n">
        <v>0</v>
      </c>
      <c r="AE1405" s="52" t="n">
        <v>0</v>
      </c>
      <c r="AF1405" s="51" t="n">
        <v>0</v>
      </c>
      <c r="AG1405" s="48" t="n">
        <v>0</v>
      </c>
      <c r="AH1405" s="49" t="n">
        <v>0</v>
      </c>
      <c r="AI1405" s="49" t="n">
        <v>0</v>
      </c>
      <c r="AJ1405" s="50" t="n">
        <v>0</v>
      </c>
      <c r="AK1405" s="51" t="n">
        <v>0</v>
      </c>
      <c r="AL1405" s="52" t="n">
        <v>0</v>
      </c>
      <c r="AM1405" s="52" t="n">
        <v>0</v>
      </c>
      <c r="AN1405" s="52" t="n">
        <v>0</v>
      </c>
      <c r="AO1405" s="53" t="n">
        <v>0</v>
      </c>
      <c r="AP1405" s="52" t="n">
        <v>0</v>
      </c>
      <c r="AQ1405" s="53" t="n">
        <v>0</v>
      </c>
      <c r="AR1405" s="52" t="n">
        <v>0</v>
      </c>
      <c r="AS1405" s="51" t="n">
        <v>0</v>
      </c>
      <c r="AT1405" s="48" t="n">
        <v>0</v>
      </c>
      <c r="AU1405" s="49" t="n">
        <v>0</v>
      </c>
      <c r="AV1405" s="49" t="n">
        <v>0</v>
      </c>
      <c r="AW1405" s="50" t="n">
        <v>0</v>
      </c>
      <c r="AX1405" s="51" t="n">
        <v>0</v>
      </c>
      <c r="AY1405" s="52" t="n">
        <v>0</v>
      </c>
      <c r="AZ1405" s="52" t="n">
        <v>0</v>
      </c>
      <c r="BA1405" s="52" t="n">
        <v>0</v>
      </c>
      <c r="BB1405" s="53" t="n">
        <v>0</v>
      </c>
      <c r="BC1405" s="52" t="n">
        <v>0</v>
      </c>
      <c r="BD1405" s="53" t="n">
        <v>0</v>
      </c>
      <c r="BE1405" s="52" t="n">
        <v>0</v>
      </c>
      <c r="BF1405" s="51" t="n">
        <v>0</v>
      </c>
    </row>
    <row r="1406">
      <c r="A1406">
        <f>HYPERLINK("https://www.walmart.com/ip/14058965608", "14058965608")</f>
        <v/>
      </c>
      <c r="B1406" t="inlineStr">
        <is>
          <t>Tirrinia Beach Wine Tote Bag, Wine Cooler Bag Leakproof Insulated Purse Carrier with Spout Hidden Compartments, Holds 2 bottles of Wine for Travel, BYOB Restaurant, Party, Dinner</t>
        </is>
      </c>
      <c r="C1406" t="inlineStr">
        <is>
          <t>1TRWT100RAINBOW</t>
        </is>
      </c>
      <c r="D1406" t="inlineStr">
        <is>
          <t>Wine Totes, Bags &amp; Backpacks</t>
        </is>
      </c>
      <c r="E1406" t="inlineStr">
        <is>
          <t>Tirrinia</t>
        </is>
      </c>
      <c r="G1406" s="48" t="n">
        <v>0</v>
      </c>
      <c r="H1406" s="49" t="n">
        <v>0</v>
      </c>
      <c r="I1406" s="49" t="n">
        <v>0</v>
      </c>
      <c r="J1406" s="50" t="n">
        <v>0</v>
      </c>
      <c r="K1406" s="51" t="n">
        <v>0</v>
      </c>
      <c r="L1406" s="52" t="n">
        <v>0</v>
      </c>
      <c r="M1406" s="52" t="n">
        <v>0</v>
      </c>
      <c r="N1406" s="52" t="n">
        <v>0</v>
      </c>
      <c r="O1406" s="53" t="n">
        <v>0</v>
      </c>
      <c r="P1406" s="52" t="n">
        <v>0</v>
      </c>
      <c r="Q1406" s="53" t="n">
        <v>0</v>
      </c>
      <c r="R1406" s="52" t="n">
        <v>0</v>
      </c>
      <c r="S1406" s="51" t="n">
        <v>0</v>
      </c>
      <c r="T1406" s="48" t="n">
        <v>0</v>
      </c>
      <c r="U1406" s="49" t="n">
        <v>0</v>
      </c>
      <c r="V1406" s="49" t="n">
        <v>0</v>
      </c>
      <c r="W1406" s="50" t="n">
        <v>0</v>
      </c>
      <c r="X1406" s="51" t="n">
        <v>0</v>
      </c>
      <c r="Y1406" s="52" t="n">
        <v>0</v>
      </c>
      <c r="Z1406" s="52" t="n">
        <v>0</v>
      </c>
      <c r="AA1406" s="52" t="n">
        <v>0</v>
      </c>
      <c r="AB1406" s="53" t="n">
        <v>0</v>
      </c>
      <c r="AC1406" s="52" t="n">
        <v>0</v>
      </c>
      <c r="AD1406" s="53" t="n">
        <v>0</v>
      </c>
      <c r="AE1406" s="52" t="n">
        <v>0</v>
      </c>
      <c r="AF1406" s="51" t="n">
        <v>0</v>
      </c>
      <c r="AG1406" s="48" t="n">
        <v>0</v>
      </c>
      <c r="AH1406" s="49" t="n">
        <v>0</v>
      </c>
      <c r="AI1406" s="49" t="n">
        <v>0</v>
      </c>
      <c r="AJ1406" s="50" t="n">
        <v>0</v>
      </c>
      <c r="AK1406" s="51" t="n">
        <v>0</v>
      </c>
      <c r="AL1406" s="52" t="n">
        <v>0</v>
      </c>
      <c r="AM1406" s="52" t="n">
        <v>0</v>
      </c>
      <c r="AN1406" s="52" t="n">
        <v>0</v>
      </c>
      <c r="AO1406" s="53" t="n">
        <v>0</v>
      </c>
      <c r="AP1406" s="52" t="n">
        <v>0</v>
      </c>
      <c r="AQ1406" s="53" t="n">
        <v>0</v>
      </c>
      <c r="AR1406" s="52" t="n">
        <v>0</v>
      </c>
      <c r="AS1406" s="51" t="n">
        <v>0</v>
      </c>
      <c r="AT1406" s="48" t="n">
        <v>0</v>
      </c>
      <c r="AU1406" s="49" t="n">
        <v>0</v>
      </c>
      <c r="AV1406" s="49" t="n">
        <v>0</v>
      </c>
      <c r="AW1406" s="50" t="n">
        <v>0</v>
      </c>
      <c r="AX1406" s="51" t="n">
        <v>0</v>
      </c>
      <c r="AY1406" s="52" t="n">
        <v>0</v>
      </c>
      <c r="AZ1406" s="52" t="n">
        <v>0</v>
      </c>
      <c r="BA1406" s="52" t="n">
        <v>0</v>
      </c>
      <c r="BB1406" s="53" t="n">
        <v>0</v>
      </c>
      <c r="BC1406" s="52" t="n">
        <v>0</v>
      </c>
      <c r="BD1406" s="53" t="n">
        <v>0</v>
      </c>
      <c r="BE1406" s="52" t="n">
        <v>0</v>
      </c>
      <c r="BF1406" s="51" t="n">
        <v>0</v>
      </c>
    </row>
    <row r="1407">
      <c r="A1407">
        <f>HYPERLINK("https://www.walmart.com/ip/14099269232", "14099269232")</f>
        <v/>
      </c>
      <c r="B1407" t="inlineStr">
        <is>
          <t>Tirrinia 2 Bottle Wine Tote Carrier, Leakproof, Insulated and Padded Versatile Cooler Bag for Travel, BYOB Restaurant, Wine Tasting, Party, Wine Gifts Bag, Cork</t>
        </is>
      </c>
      <c r="C1407" t="inlineStr">
        <is>
          <t>1TRWB220BR</t>
        </is>
      </c>
      <c r="D1407" t="inlineStr">
        <is>
          <t>Wine Totes, Bags &amp; Backpacks</t>
        </is>
      </c>
      <c r="E1407" t="inlineStr">
        <is>
          <t>Tirrinia</t>
        </is>
      </c>
      <c r="G1407" s="48" t="n">
        <v>0</v>
      </c>
      <c r="H1407" s="49" t="n">
        <v>0</v>
      </c>
      <c r="I1407" s="49" t="n">
        <v>0</v>
      </c>
      <c r="J1407" s="50" t="n">
        <v>0</v>
      </c>
      <c r="K1407" s="51" t="n">
        <v>0</v>
      </c>
      <c r="L1407" s="52" t="n">
        <v>0</v>
      </c>
      <c r="M1407" s="52" t="n">
        <v>0</v>
      </c>
      <c r="N1407" s="52" t="n">
        <v>0</v>
      </c>
      <c r="O1407" s="53" t="n">
        <v>0</v>
      </c>
      <c r="P1407" s="52" t="n">
        <v>0</v>
      </c>
      <c r="Q1407" s="53" t="n">
        <v>0</v>
      </c>
      <c r="R1407" s="52" t="n">
        <v>0</v>
      </c>
      <c r="S1407" s="51" t="n">
        <v>0</v>
      </c>
      <c r="T1407" s="48" t="n">
        <v>0</v>
      </c>
      <c r="U1407" s="49" t="n">
        <v>0</v>
      </c>
      <c r="V1407" s="49" t="n">
        <v>0</v>
      </c>
      <c r="W1407" s="50" t="n">
        <v>0</v>
      </c>
      <c r="X1407" s="51" t="n">
        <v>0</v>
      </c>
      <c r="Y1407" s="52" t="n">
        <v>0</v>
      </c>
      <c r="Z1407" s="52" t="n">
        <v>0</v>
      </c>
      <c r="AA1407" s="52" t="n">
        <v>0</v>
      </c>
      <c r="AB1407" s="53" t="n">
        <v>0</v>
      </c>
      <c r="AC1407" s="52" t="n">
        <v>0</v>
      </c>
      <c r="AD1407" s="53" t="n">
        <v>0</v>
      </c>
      <c r="AE1407" s="52" t="n">
        <v>0</v>
      </c>
      <c r="AF1407" s="51" t="n">
        <v>0</v>
      </c>
      <c r="AG1407" s="48" t="n">
        <v>0</v>
      </c>
      <c r="AH1407" s="49" t="n">
        <v>0</v>
      </c>
      <c r="AI1407" s="49" t="n">
        <v>0</v>
      </c>
      <c r="AJ1407" s="50" t="n">
        <v>0</v>
      </c>
      <c r="AK1407" s="51" t="n">
        <v>0</v>
      </c>
      <c r="AL1407" s="52" t="n">
        <v>0</v>
      </c>
      <c r="AM1407" s="52" t="n">
        <v>0</v>
      </c>
      <c r="AN1407" s="52" t="n">
        <v>0</v>
      </c>
      <c r="AO1407" s="53" t="n">
        <v>0</v>
      </c>
      <c r="AP1407" s="52" t="n">
        <v>0</v>
      </c>
      <c r="AQ1407" s="53" t="n">
        <v>0</v>
      </c>
      <c r="AR1407" s="52" t="n">
        <v>0</v>
      </c>
      <c r="AS1407" s="51" t="n">
        <v>0</v>
      </c>
      <c r="AT1407" s="48" t="n">
        <v>0</v>
      </c>
      <c r="AU1407" s="49" t="n">
        <v>0</v>
      </c>
      <c r="AV1407" s="49" t="n">
        <v>0</v>
      </c>
      <c r="AW1407" s="50" t="n">
        <v>0</v>
      </c>
      <c r="AX1407" s="51" t="n">
        <v>0</v>
      </c>
      <c r="AY1407" s="52" t="n">
        <v>0</v>
      </c>
      <c r="AZ1407" s="52" t="n">
        <v>0</v>
      </c>
      <c r="BA1407" s="52" t="n">
        <v>0</v>
      </c>
      <c r="BB1407" s="53" t="n">
        <v>0</v>
      </c>
      <c r="BC1407" s="52" t="n">
        <v>0</v>
      </c>
      <c r="BD1407" s="53" t="n">
        <v>0</v>
      </c>
      <c r="BE1407" s="52" t="n">
        <v>0</v>
      </c>
      <c r="BF1407" s="51" t="n">
        <v>0</v>
      </c>
    </row>
    <row r="1408">
      <c r="A1408">
        <f>HYPERLINK("https://www.walmart.com/ip/141299301", "141299301")</f>
        <v/>
      </c>
      <c r="B1408" t="inlineStr">
        <is>
          <t>KC Caps Vintage Style Cotton Gatsby Ivy Newsboy Hat Cap</t>
        </is>
      </c>
      <c r="C1408" t="inlineStr">
        <is>
          <t>KC 8080GATSBY-BL-M</t>
        </is>
      </c>
      <c r="D1408" t="inlineStr">
        <is>
          <t>Hats</t>
        </is>
      </c>
      <c r="E1408" t="inlineStr">
        <is>
          <t>KC Caps</t>
        </is>
      </c>
      <c r="F1408" t="inlineStr">
        <is>
          <t>Hats,WFS Item</t>
        </is>
      </c>
      <c r="G1408" s="48" t="n">
        <v>0</v>
      </c>
      <c r="H1408" s="49" t="n">
        <v>0</v>
      </c>
      <c r="I1408" s="49" t="n">
        <v>0</v>
      </c>
      <c r="J1408" s="50" t="n">
        <v>0</v>
      </c>
      <c r="K1408" s="51" t="n">
        <v>0</v>
      </c>
      <c r="L1408" s="52" t="n">
        <v>0</v>
      </c>
      <c r="M1408" s="52" t="n">
        <v>0</v>
      </c>
      <c r="N1408" s="52" t="n">
        <v>0</v>
      </c>
      <c r="O1408" s="53" t="n">
        <v>0</v>
      </c>
      <c r="P1408" s="52" t="n">
        <v>0</v>
      </c>
      <c r="Q1408" s="53" t="n">
        <v>0</v>
      </c>
      <c r="R1408" s="52" t="n">
        <v>0</v>
      </c>
      <c r="S1408" s="51" t="n">
        <v>0</v>
      </c>
      <c r="T1408" s="48" t="n">
        <v>0</v>
      </c>
      <c r="U1408" s="49" t="n">
        <v>0</v>
      </c>
      <c r="V1408" s="49" t="n">
        <v>0</v>
      </c>
      <c r="W1408" s="50" t="n">
        <v>0</v>
      </c>
      <c r="X1408" s="51" t="n">
        <v>0</v>
      </c>
      <c r="Y1408" s="52" t="n">
        <v>0</v>
      </c>
      <c r="Z1408" s="52" t="n">
        <v>0</v>
      </c>
      <c r="AA1408" s="52" t="n">
        <v>0</v>
      </c>
      <c r="AB1408" s="53" t="n">
        <v>0</v>
      </c>
      <c r="AC1408" s="52" t="n">
        <v>0</v>
      </c>
      <c r="AD1408" s="53" t="n">
        <v>0</v>
      </c>
      <c r="AE1408" s="52" t="n">
        <v>0</v>
      </c>
      <c r="AF1408" s="51" t="n">
        <v>0</v>
      </c>
      <c r="AG1408" s="48" t="n">
        <v>0</v>
      </c>
      <c r="AH1408" s="49" t="n">
        <v>0</v>
      </c>
      <c r="AI1408" s="49" t="n">
        <v>0</v>
      </c>
      <c r="AJ1408" s="50" t="n">
        <v>0</v>
      </c>
      <c r="AK1408" s="51" t="n">
        <v>0</v>
      </c>
      <c r="AL1408" s="52" t="n">
        <v>0</v>
      </c>
      <c r="AM1408" s="52" t="n">
        <v>0</v>
      </c>
      <c r="AN1408" s="52" t="n">
        <v>0</v>
      </c>
      <c r="AO1408" s="53" t="n">
        <v>0</v>
      </c>
      <c r="AP1408" s="52" t="n">
        <v>0</v>
      </c>
      <c r="AQ1408" s="53" t="n">
        <v>0</v>
      </c>
      <c r="AR1408" s="52" t="n">
        <v>0</v>
      </c>
      <c r="AS1408" s="51" t="n">
        <v>0</v>
      </c>
      <c r="AT1408" s="48" t="n">
        <v>0</v>
      </c>
      <c r="AU1408" s="49" t="n">
        <v>0</v>
      </c>
      <c r="AV1408" s="49" t="n">
        <v>0</v>
      </c>
      <c r="AW1408" s="50" t="n">
        <v>0</v>
      </c>
      <c r="AX1408" s="51" t="n">
        <v>0</v>
      </c>
      <c r="AY1408" s="52" t="n">
        <v>0</v>
      </c>
      <c r="AZ1408" s="52" t="n">
        <v>0</v>
      </c>
      <c r="BA1408" s="52" t="n">
        <v>0</v>
      </c>
      <c r="BB1408" s="53" t="n">
        <v>0</v>
      </c>
      <c r="BC1408" s="52" t="n">
        <v>0</v>
      </c>
      <c r="BD1408" s="53" t="n">
        <v>0</v>
      </c>
      <c r="BE1408" s="52" t="n">
        <v>0</v>
      </c>
      <c r="BF1408" s="51" t="n">
        <v>0</v>
      </c>
    </row>
    <row r="1409">
      <c r="A1409">
        <f>HYPERLINK("https://www.walmart.com/ip/141341554", "141341554")</f>
        <v/>
      </c>
      <c r="B1409" t="inlineStr">
        <is>
          <t>KC Caps Warm Winter Hat Soft Solid Knit Beanie Acrylic Adult</t>
        </is>
      </c>
      <c r="C1409" t="inlineStr">
        <is>
          <t>KC-W1710-OR</t>
        </is>
      </c>
      <c r="D1409" t="inlineStr">
        <is>
          <t>Hats</t>
        </is>
      </c>
      <c r="E1409" t="inlineStr">
        <is>
          <t>KC Caps</t>
        </is>
      </c>
      <c r="F1409" t="inlineStr">
        <is>
          <t>Optimized</t>
        </is>
      </c>
      <c r="G1409" s="48" t="n">
        <v>0</v>
      </c>
      <c r="H1409" s="49" t="n">
        <v>0</v>
      </c>
      <c r="I1409" s="49" t="n">
        <v>0</v>
      </c>
      <c r="J1409" s="50" t="n">
        <v>0</v>
      </c>
      <c r="K1409" s="51" t="n">
        <v>0</v>
      </c>
      <c r="L1409" s="52" t="n">
        <v>0</v>
      </c>
      <c r="M1409" s="52" t="n">
        <v>0</v>
      </c>
      <c r="N1409" s="52" t="n">
        <v>0</v>
      </c>
      <c r="O1409" s="53" t="n">
        <v>0</v>
      </c>
      <c r="P1409" s="52" t="n">
        <v>0</v>
      </c>
      <c r="Q1409" s="53" t="n">
        <v>0</v>
      </c>
      <c r="R1409" s="52" t="n">
        <v>0</v>
      </c>
      <c r="S1409" s="51" t="n">
        <v>0</v>
      </c>
      <c r="T1409" s="48" t="n">
        <v>0</v>
      </c>
      <c r="U1409" s="49" t="n">
        <v>0</v>
      </c>
      <c r="V1409" s="49" t="n">
        <v>0</v>
      </c>
      <c r="W1409" s="50" t="n">
        <v>0</v>
      </c>
      <c r="X1409" s="51" t="n">
        <v>0</v>
      </c>
      <c r="Y1409" s="52" t="n">
        <v>0</v>
      </c>
      <c r="Z1409" s="52" t="n">
        <v>0</v>
      </c>
      <c r="AA1409" s="52" t="n">
        <v>0</v>
      </c>
      <c r="AB1409" s="53" t="n">
        <v>0</v>
      </c>
      <c r="AC1409" s="52" t="n">
        <v>0</v>
      </c>
      <c r="AD1409" s="53" t="n">
        <v>0</v>
      </c>
      <c r="AE1409" s="52" t="n">
        <v>0</v>
      </c>
      <c r="AF1409" s="51" t="n">
        <v>0</v>
      </c>
      <c r="AG1409" s="48" t="n">
        <v>0</v>
      </c>
      <c r="AH1409" s="49" t="n">
        <v>0</v>
      </c>
      <c r="AI1409" s="49" t="n">
        <v>0</v>
      </c>
      <c r="AJ1409" s="50" t="n">
        <v>0</v>
      </c>
      <c r="AK1409" s="51" t="n">
        <v>0</v>
      </c>
      <c r="AL1409" s="52" t="n">
        <v>0</v>
      </c>
      <c r="AM1409" s="52" t="n">
        <v>0</v>
      </c>
      <c r="AN1409" s="52" t="n">
        <v>0</v>
      </c>
      <c r="AO1409" s="53" t="n">
        <v>0</v>
      </c>
      <c r="AP1409" s="52" t="n">
        <v>0</v>
      </c>
      <c r="AQ1409" s="53" t="n">
        <v>0</v>
      </c>
      <c r="AR1409" s="52" t="n">
        <v>0</v>
      </c>
      <c r="AS1409" s="51" t="n">
        <v>0</v>
      </c>
      <c r="AT1409" s="48" t="n">
        <v>0</v>
      </c>
      <c r="AU1409" s="49" t="n">
        <v>0</v>
      </c>
      <c r="AV1409" s="49" t="n">
        <v>0</v>
      </c>
      <c r="AW1409" s="50" t="n">
        <v>0</v>
      </c>
      <c r="AX1409" s="51" t="n">
        <v>0</v>
      </c>
      <c r="AY1409" s="52" t="n">
        <v>0</v>
      </c>
      <c r="AZ1409" s="52" t="n">
        <v>0</v>
      </c>
      <c r="BA1409" s="52" t="n">
        <v>0</v>
      </c>
      <c r="BB1409" s="53" t="n">
        <v>0</v>
      </c>
      <c r="BC1409" s="52" t="n">
        <v>0</v>
      </c>
      <c r="BD1409" s="53" t="n">
        <v>0</v>
      </c>
      <c r="BE1409" s="52" t="n">
        <v>0</v>
      </c>
      <c r="BF1409" s="51" t="n">
        <v>0</v>
      </c>
    </row>
    <row r="1410">
      <c r="A1410">
        <f>HYPERLINK("https://www.walmart.com/ip/14143910129", "14143910129")</f>
        <v/>
      </c>
      <c r="B1410" t="inlineStr">
        <is>
          <t>Tirrinia 2 Bottle Wine Tote Carrier, Leakproof, Insulated and Padded Versatile Cooler Bag for Travel, BYOB Restaurant, Wine Tasting, Party, Wine Gifts Bag, Cork</t>
        </is>
      </c>
      <c r="C1410" t="inlineStr">
        <is>
          <t>1TRWB222BR</t>
        </is>
      </c>
      <c r="D1410" t="inlineStr">
        <is>
          <t>Wine Totes, Bags &amp; Backpacks</t>
        </is>
      </c>
      <c r="E1410" t="inlineStr">
        <is>
          <t>Tirrinia</t>
        </is>
      </c>
      <c r="G1410" s="48" t="n">
        <v>0</v>
      </c>
      <c r="H1410" s="49" t="n">
        <v>0</v>
      </c>
      <c r="I1410" s="49" t="n">
        <v>0</v>
      </c>
      <c r="J1410" s="50" t="n">
        <v>0</v>
      </c>
      <c r="K1410" s="51" t="n">
        <v>0</v>
      </c>
      <c r="L1410" s="52" t="n">
        <v>0</v>
      </c>
      <c r="M1410" s="52" t="n">
        <v>0</v>
      </c>
      <c r="N1410" s="52" t="n">
        <v>0</v>
      </c>
      <c r="O1410" s="53" t="n">
        <v>0</v>
      </c>
      <c r="P1410" s="52" t="n">
        <v>0</v>
      </c>
      <c r="Q1410" s="53" t="n">
        <v>0</v>
      </c>
      <c r="R1410" s="52" t="n">
        <v>0</v>
      </c>
      <c r="S1410" s="51" t="n">
        <v>0</v>
      </c>
      <c r="T1410" s="48" t="n">
        <v>0</v>
      </c>
      <c r="U1410" s="49" t="n">
        <v>0</v>
      </c>
      <c r="V1410" s="49" t="n">
        <v>0</v>
      </c>
      <c r="W1410" s="50" t="n">
        <v>0</v>
      </c>
      <c r="X1410" s="51" t="n">
        <v>0</v>
      </c>
      <c r="Y1410" s="52" t="n">
        <v>0</v>
      </c>
      <c r="Z1410" s="52" t="n">
        <v>0</v>
      </c>
      <c r="AA1410" s="52" t="n">
        <v>0</v>
      </c>
      <c r="AB1410" s="53" t="n">
        <v>0</v>
      </c>
      <c r="AC1410" s="52" t="n">
        <v>0</v>
      </c>
      <c r="AD1410" s="53" t="n">
        <v>0</v>
      </c>
      <c r="AE1410" s="52" t="n">
        <v>0</v>
      </c>
      <c r="AF1410" s="51" t="n">
        <v>0</v>
      </c>
      <c r="AG1410" s="48" t="n">
        <v>0</v>
      </c>
      <c r="AH1410" s="49" t="n">
        <v>0</v>
      </c>
      <c r="AI1410" s="49" t="n">
        <v>0</v>
      </c>
      <c r="AJ1410" s="50" t="n">
        <v>0</v>
      </c>
      <c r="AK1410" s="51" t="n">
        <v>0</v>
      </c>
      <c r="AL1410" s="52" t="n">
        <v>0</v>
      </c>
      <c r="AM1410" s="52" t="n">
        <v>0</v>
      </c>
      <c r="AN1410" s="52" t="n">
        <v>0</v>
      </c>
      <c r="AO1410" s="53" t="n">
        <v>0</v>
      </c>
      <c r="AP1410" s="52" t="n">
        <v>0</v>
      </c>
      <c r="AQ1410" s="53" t="n">
        <v>0</v>
      </c>
      <c r="AR1410" s="52" t="n">
        <v>0</v>
      </c>
      <c r="AS1410" s="51" t="n">
        <v>0</v>
      </c>
      <c r="AT1410" s="48" t="n">
        <v>0</v>
      </c>
      <c r="AU1410" s="49" t="n">
        <v>0</v>
      </c>
      <c r="AV1410" s="49" t="n">
        <v>0</v>
      </c>
      <c r="AW1410" s="50" t="n">
        <v>0</v>
      </c>
      <c r="AX1410" s="51" t="n">
        <v>0</v>
      </c>
      <c r="AY1410" s="52" t="n">
        <v>0</v>
      </c>
      <c r="AZ1410" s="52" t="n">
        <v>0</v>
      </c>
      <c r="BA1410" s="52" t="n">
        <v>0</v>
      </c>
      <c r="BB1410" s="53" t="n">
        <v>0</v>
      </c>
      <c r="BC1410" s="52" t="n">
        <v>0</v>
      </c>
      <c r="BD1410" s="53" t="n">
        <v>0</v>
      </c>
      <c r="BE1410" s="52" t="n">
        <v>0</v>
      </c>
      <c r="BF1410" s="51" t="n">
        <v>0</v>
      </c>
    </row>
    <row r="1411">
      <c r="A1411">
        <f>HYPERLINK("https://www.walmart.com/ip/141549630", "141549630")</f>
        <v/>
      </c>
      <c r="B1411" t="inlineStr">
        <is>
          <t>Tirrinia Leakproof Thermal Bento Lunch Bag For Women, Men And Kids, Heat-welded Technology, 20 Cans Capacity, Purple, 10L</t>
        </is>
      </c>
      <c r="C1411" t="inlineStr">
        <is>
          <t>1TRLB702PP-T</t>
        </is>
      </c>
      <c r="D1411" t="inlineStr">
        <is>
          <t>Reusable Lunch Bags &amp; Boxes</t>
        </is>
      </c>
      <c r="E1411" t="inlineStr">
        <is>
          <t>Tirrinia</t>
        </is>
      </c>
      <c r="F1411" t="inlineStr">
        <is>
          <t>Q2-Target,Brand Camp VD,Lunch Bag,Lunch Bags,SEM</t>
        </is>
      </c>
      <c r="G1411" s="48" t="n">
        <v>0</v>
      </c>
      <c r="H1411" s="49" t="n">
        <v>0</v>
      </c>
      <c r="I1411" s="49" t="n">
        <v>0</v>
      </c>
      <c r="J1411" s="50" t="n">
        <v>0</v>
      </c>
      <c r="K1411" s="51" t="n">
        <v>0</v>
      </c>
      <c r="L1411" s="52" t="n">
        <v>0</v>
      </c>
      <c r="M1411" s="52" t="n">
        <v>0</v>
      </c>
      <c r="N1411" s="52" t="n">
        <v>0</v>
      </c>
      <c r="O1411" s="53" t="n">
        <v>0</v>
      </c>
      <c r="P1411" s="52" t="n">
        <v>0</v>
      </c>
      <c r="Q1411" s="53" t="n">
        <v>0</v>
      </c>
      <c r="R1411" s="52" t="n">
        <v>0</v>
      </c>
      <c r="S1411" s="51" t="n">
        <v>0</v>
      </c>
      <c r="T1411" s="48" t="n">
        <v>0</v>
      </c>
      <c r="U1411" s="49" t="n">
        <v>0</v>
      </c>
      <c r="V1411" s="49" t="n">
        <v>0</v>
      </c>
      <c r="W1411" s="50" t="n">
        <v>0</v>
      </c>
      <c r="X1411" s="51" t="n">
        <v>0</v>
      </c>
      <c r="Y1411" s="52" t="n">
        <v>0</v>
      </c>
      <c r="Z1411" s="52" t="n">
        <v>0</v>
      </c>
      <c r="AA1411" s="52" t="n">
        <v>0</v>
      </c>
      <c r="AB1411" s="53" t="n">
        <v>0</v>
      </c>
      <c r="AC1411" s="52" t="n">
        <v>0</v>
      </c>
      <c r="AD1411" s="53" t="n">
        <v>0</v>
      </c>
      <c r="AE1411" s="52" t="n">
        <v>0</v>
      </c>
      <c r="AF1411" s="51" t="n">
        <v>0</v>
      </c>
      <c r="AG1411" s="48" t="n">
        <v>0</v>
      </c>
      <c r="AH1411" s="49" t="n">
        <v>0</v>
      </c>
      <c r="AI1411" s="49" t="n">
        <v>0</v>
      </c>
      <c r="AJ1411" s="50" t="n">
        <v>0</v>
      </c>
      <c r="AK1411" s="51" t="n">
        <v>0</v>
      </c>
      <c r="AL1411" s="52" t="n">
        <v>0</v>
      </c>
      <c r="AM1411" s="52" t="n">
        <v>0</v>
      </c>
      <c r="AN1411" s="52" t="n">
        <v>0</v>
      </c>
      <c r="AO1411" s="53" t="n">
        <v>0</v>
      </c>
      <c r="AP1411" s="52" t="n">
        <v>0</v>
      </c>
      <c r="AQ1411" s="53" t="n">
        <v>0</v>
      </c>
      <c r="AR1411" s="52" t="n">
        <v>0</v>
      </c>
      <c r="AS1411" s="51" t="n">
        <v>0</v>
      </c>
      <c r="AT1411" s="48" t="n">
        <v>0</v>
      </c>
      <c r="AU1411" s="49" t="n">
        <v>0</v>
      </c>
      <c r="AV1411" s="49" t="n">
        <v>0</v>
      </c>
      <c r="AW1411" s="50" t="n">
        <v>0</v>
      </c>
      <c r="AX1411" s="51" t="n">
        <v>0</v>
      </c>
      <c r="AY1411" s="52" t="n">
        <v>0</v>
      </c>
      <c r="AZ1411" s="52" t="n">
        <v>0</v>
      </c>
      <c r="BA1411" s="52" t="n">
        <v>0</v>
      </c>
      <c r="BB1411" s="53" t="n">
        <v>0</v>
      </c>
      <c r="BC1411" s="52" t="n">
        <v>0</v>
      </c>
      <c r="BD1411" s="53" t="n">
        <v>0</v>
      </c>
      <c r="BE1411" s="52" t="n">
        <v>0</v>
      </c>
      <c r="BF1411" s="51" t="n">
        <v>0</v>
      </c>
    </row>
    <row r="1412">
      <c r="A1412">
        <f>HYPERLINK("https://www.walmart.com/ip/141628269", "141628269")</f>
        <v/>
      </c>
      <c r="B1412" t="inlineStr">
        <is>
          <t>KC Caps® Camouflage Adjustable Hunting Cap Hiking Jungle Mossy Oak Realtree Hat</t>
        </is>
      </c>
      <c r="C1412" t="inlineStr">
        <is>
          <t>KC Caps HT03</t>
        </is>
      </c>
      <c r="D1412" t="inlineStr">
        <is>
          <t>Hats</t>
        </is>
      </c>
      <c r="E1412" t="inlineStr">
        <is>
          <t>KC Caps</t>
        </is>
      </c>
      <c r="F1412" t="inlineStr">
        <is>
          <t>Optimized</t>
        </is>
      </c>
      <c r="G1412" s="48" t="n">
        <v>0</v>
      </c>
      <c r="H1412" s="49" t="n">
        <v>0</v>
      </c>
      <c r="I1412" s="49" t="n">
        <v>0</v>
      </c>
      <c r="J1412" s="50" t="n">
        <v>0</v>
      </c>
      <c r="K1412" s="51" t="n">
        <v>0</v>
      </c>
      <c r="L1412" s="52" t="n">
        <v>0</v>
      </c>
      <c r="M1412" s="52" t="n">
        <v>0</v>
      </c>
      <c r="N1412" s="52" t="n">
        <v>0</v>
      </c>
      <c r="O1412" s="53" t="n">
        <v>0</v>
      </c>
      <c r="P1412" s="52" t="n">
        <v>0</v>
      </c>
      <c r="Q1412" s="53" t="n">
        <v>0</v>
      </c>
      <c r="R1412" s="52" t="n">
        <v>0</v>
      </c>
      <c r="S1412" s="51" t="n">
        <v>0</v>
      </c>
      <c r="T1412" s="48" t="n">
        <v>0</v>
      </c>
      <c r="U1412" s="49" t="n">
        <v>0</v>
      </c>
      <c r="V1412" s="49" t="n">
        <v>0</v>
      </c>
      <c r="W1412" s="50" t="n">
        <v>0</v>
      </c>
      <c r="X1412" s="51" t="n">
        <v>0</v>
      </c>
      <c r="Y1412" s="52" t="n">
        <v>0</v>
      </c>
      <c r="Z1412" s="52" t="n">
        <v>0</v>
      </c>
      <c r="AA1412" s="52" t="n">
        <v>0</v>
      </c>
      <c r="AB1412" s="53" t="n">
        <v>0</v>
      </c>
      <c r="AC1412" s="52" t="n">
        <v>0</v>
      </c>
      <c r="AD1412" s="53" t="n">
        <v>0</v>
      </c>
      <c r="AE1412" s="52" t="n">
        <v>0</v>
      </c>
      <c r="AF1412" s="51" t="n">
        <v>0</v>
      </c>
      <c r="AG1412" s="48" t="n">
        <v>0</v>
      </c>
      <c r="AH1412" s="49" t="n">
        <v>0</v>
      </c>
      <c r="AI1412" s="49" t="n">
        <v>0</v>
      </c>
      <c r="AJ1412" s="50" t="n">
        <v>0</v>
      </c>
      <c r="AK1412" s="51" t="n">
        <v>0</v>
      </c>
      <c r="AL1412" s="52" t="n">
        <v>0</v>
      </c>
      <c r="AM1412" s="52" t="n">
        <v>0</v>
      </c>
      <c r="AN1412" s="52" t="n">
        <v>0</v>
      </c>
      <c r="AO1412" s="53" t="n">
        <v>0</v>
      </c>
      <c r="AP1412" s="52" t="n">
        <v>0</v>
      </c>
      <c r="AQ1412" s="53" t="n">
        <v>0</v>
      </c>
      <c r="AR1412" s="52" t="n">
        <v>0</v>
      </c>
      <c r="AS1412" s="51" t="n">
        <v>0</v>
      </c>
      <c r="AT1412" s="48" t="n">
        <v>0</v>
      </c>
      <c r="AU1412" s="49" t="n">
        <v>0</v>
      </c>
      <c r="AV1412" s="49" t="n">
        <v>0</v>
      </c>
      <c r="AW1412" s="50" t="n">
        <v>0</v>
      </c>
      <c r="AX1412" s="51" t="n">
        <v>0</v>
      </c>
      <c r="AY1412" s="52" t="n">
        <v>0</v>
      </c>
      <c r="AZ1412" s="52" t="n">
        <v>0</v>
      </c>
      <c r="BA1412" s="52" t="n">
        <v>0</v>
      </c>
      <c r="BB1412" s="53" t="n">
        <v>0</v>
      </c>
      <c r="BC1412" s="52" t="n">
        <v>0</v>
      </c>
      <c r="BD1412" s="53" t="n">
        <v>0</v>
      </c>
      <c r="BE1412" s="52" t="n">
        <v>0</v>
      </c>
      <c r="BF1412" s="51" t="n">
        <v>0</v>
      </c>
    </row>
    <row r="1413">
      <c r="A1413">
        <f>HYPERLINK("https://www.walmart.com/ip/1419081868", "1419081868")</f>
        <v/>
      </c>
      <c r="B1413" t="inlineStr">
        <is>
          <t>Catalonia Reversible Soft Breathable Summer Comforter,Unisex Lightweight Cooling Blanket for Hot Sleepers, Summer Duvet for Bed Sofa Office, 50x60 inches, Aqua</t>
        </is>
      </c>
      <c r="C1413" t="inlineStr">
        <is>
          <t>1CTBQ100AQ</t>
        </is>
      </c>
      <c r="D1413" t="inlineStr">
        <is>
          <t>Bed Blankets</t>
        </is>
      </c>
      <c r="E1413" t="inlineStr">
        <is>
          <t>Catalonia</t>
        </is>
      </c>
      <c r="F1413" t="inlineStr">
        <is>
          <t>Batch 1 - TR</t>
        </is>
      </c>
      <c r="G1413" s="48" t="n">
        <v>0</v>
      </c>
      <c r="H1413" s="49" t="n">
        <v>0</v>
      </c>
      <c r="I1413" s="49" t="n">
        <v>0</v>
      </c>
      <c r="J1413" s="50" t="n">
        <v>0</v>
      </c>
      <c r="K1413" s="51" t="n">
        <v>0</v>
      </c>
      <c r="L1413" s="52" t="n">
        <v>0</v>
      </c>
      <c r="M1413" s="52" t="n">
        <v>0</v>
      </c>
      <c r="N1413" s="52" t="n">
        <v>0</v>
      </c>
      <c r="O1413" s="53" t="n">
        <v>0</v>
      </c>
      <c r="P1413" s="52" t="n">
        <v>0</v>
      </c>
      <c r="Q1413" s="53" t="n">
        <v>0</v>
      </c>
      <c r="R1413" s="52" t="n">
        <v>0</v>
      </c>
      <c r="S1413" s="51" t="n">
        <v>0</v>
      </c>
      <c r="T1413" s="48" t="n">
        <v>0</v>
      </c>
      <c r="U1413" s="49" t="n">
        <v>0</v>
      </c>
      <c r="V1413" s="49" t="n">
        <v>0</v>
      </c>
      <c r="W1413" s="50" t="n">
        <v>0</v>
      </c>
      <c r="X1413" s="51" t="n">
        <v>0</v>
      </c>
      <c r="Y1413" s="52" t="n">
        <v>0</v>
      </c>
      <c r="Z1413" s="52" t="n">
        <v>0</v>
      </c>
      <c r="AA1413" s="52" t="n">
        <v>0</v>
      </c>
      <c r="AB1413" s="53" t="n">
        <v>0</v>
      </c>
      <c r="AC1413" s="52" t="n">
        <v>0</v>
      </c>
      <c r="AD1413" s="53" t="n">
        <v>0</v>
      </c>
      <c r="AE1413" s="52" t="n">
        <v>0</v>
      </c>
      <c r="AF1413" s="51" t="n">
        <v>0</v>
      </c>
      <c r="AG1413" s="48" t="n">
        <v>0</v>
      </c>
      <c r="AH1413" s="49" t="n">
        <v>0</v>
      </c>
      <c r="AI1413" s="49" t="n">
        <v>0</v>
      </c>
      <c r="AJ1413" s="50" t="n">
        <v>0</v>
      </c>
      <c r="AK1413" s="51" t="n">
        <v>0</v>
      </c>
      <c r="AL1413" s="52" t="n">
        <v>0</v>
      </c>
      <c r="AM1413" s="52" t="n">
        <v>0</v>
      </c>
      <c r="AN1413" s="52" t="n">
        <v>0</v>
      </c>
      <c r="AO1413" s="53" t="n">
        <v>0</v>
      </c>
      <c r="AP1413" s="52" t="n">
        <v>0</v>
      </c>
      <c r="AQ1413" s="53" t="n">
        <v>0</v>
      </c>
      <c r="AR1413" s="52" t="n">
        <v>0</v>
      </c>
      <c r="AS1413" s="51" t="n">
        <v>0</v>
      </c>
      <c r="AT1413" s="48" t="n">
        <v>0</v>
      </c>
      <c r="AU1413" s="49" t="n">
        <v>0</v>
      </c>
      <c r="AV1413" s="49" t="n">
        <v>0</v>
      </c>
      <c r="AW1413" s="50" t="n">
        <v>0</v>
      </c>
      <c r="AX1413" s="51" t="n">
        <v>0</v>
      </c>
      <c r="AY1413" s="52" t="n">
        <v>0</v>
      </c>
      <c r="AZ1413" s="52" t="n">
        <v>0</v>
      </c>
      <c r="BA1413" s="52" t="n">
        <v>0</v>
      </c>
      <c r="BB1413" s="53" t="n">
        <v>0</v>
      </c>
      <c r="BC1413" s="52" t="n">
        <v>0</v>
      </c>
      <c r="BD1413" s="53" t="n">
        <v>0</v>
      </c>
      <c r="BE1413" s="52" t="n">
        <v>0</v>
      </c>
      <c r="BF1413" s="51" t="n">
        <v>0</v>
      </c>
    </row>
    <row r="1414">
      <c r="A1414">
        <f>HYPERLINK("https://www.walmart.com/ip/141921360", "141921360")</f>
        <v/>
      </c>
      <c r="B1414" t="inlineStr">
        <is>
          <t>Napa Super Soft Warm Micro Plush TV Blanket with Sleeves for Women and Men, Fleece Sherpa Cozy Wrap Warm Wearable Throw Robe 72" x 50" - Brown</t>
        </is>
      </c>
      <c r="C1414" t="inlineStr">
        <is>
          <t>K3080BROWN</t>
        </is>
      </c>
      <c r="D1414" t="inlineStr">
        <is>
          <t>Throws</t>
        </is>
      </c>
      <c r="E1414" t="inlineStr">
        <is>
          <t>NAPA</t>
        </is>
      </c>
      <c r="F1414" t="inlineStr">
        <is>
          <t>Batch 1 - TR</t>
        </is>
      </c>
      <c r="G1414" s="48" t="n">
        <v>0</v>
      </c>
      <c r="H1414" s="49" t="n">
        <v>0</v>
      </c>
      <c r="I1414" s="49" t="n">
        <v>0</v>
      </c>
      <c r="J1414" s="50" t="n">
        <v>0</v>
      </c>
      <c r="K1414" s="51" t="n">
        <v>0</v>
      </c>
      <c r="L1414" s="52" t="n">
        <v>0</v>
      </c>
      <c r="M1414" s="52" t="n">
        <v>0</v>
      </c>
      <c r="N1414" s="52" t="n">
        <v>0</v>
      </c>
      <c r="O1414" s="53" t="n">
        <v>0</v>
      </c>
      <c r="P1414" s="52" t="n">
        <v>0</v>
      </c>
      <c r="Q1414" s="53" t="n">
        <v>0</v>
      </c>
      <c r="R1414" s="52" t="n">
        <v>0</v>
      </c>
      <c r="S1414" s="51" t="n">
        <v>0</v>
      </c>
      <c r="T1414" s="48" t="n">
        <v>0</v>
      </c>
      <c r="U1414" s="49" t="n">
        <v>0</v>
      </c>
      <c r="V1414" s="49" t="n">
        <v>0</v>
      </c>
      <c r="W1414" s="50" t="n">
        <v>0</v>
      </c>
      <c r="X1414" s="51" t="n">
        <v>0</v>
      </c>
      <c r="Y1414" s="52" t="n">
        <v>0</v>
      </c>
      <c r="Z1414" s="52" t="n">
        <v>0</v>
      </c>
      <c r="AA1414" s="52" t="n">
        <v>0</v>
      </c>
      <c r="AB1414" s="53" t="n">
        <v>0</v>
      </c>
      <c r="AC1414" s="52" t="n">
        <v>0</v>
      </c>
      <c r="AD1414" s="53" t="n">
        <v>0</v>
      </c>
      <c r="AE1414" s="52" t="n">
        <v>0</v>
      </c>
      <c r="AF1414" s="51" t="n">
        <v>0</v>
      </c>
      <c r="AG1414" s="48" t="n">
        <v>0</v>
      </c>
      <c r="AH1414" s="49" t="n">
        <v>0</v>
      </c>
      <c r="AI1414" s="49" t="n">
        <v>0</v>
      </c>
      <c r="AJ1414" s="50" t="n">
        <v>0</v>
      </c>
      <c r="AK1414" s="51" t="n">
        <v>0</v>
      </c>
      <c r="AL1414" s="52" t="n">
        <v>0</v>
      </c>
      <c r="AM1414" s="52" t="n">
        <v>0</v>
      </c>
      <c r="AN1414" s="52" t="n">
        <v>0</v>
      </c>
      <c r="AO1414" s="53" t="n">
        <v>0</v>
      </c>
      <c r="AP1414" s="52" t="n">
        <v>0</v>
      </c>
      <c r="AQ1414" s="53" t="n">
        <v>0</v>
      </c>
      <c r="AR1414" s="52" t="n">
        <v>0</v>
      </c>
      <c r="AS1414" s="51" t="n">
        <v>0</v>
      </c>
      <c r="AT1414" s="48" t="n">
        <v>0</v>
      </c>
      <c r="AU1414" s="49" t="n">
        <v>0</v>
      </c>
      <c r="AV1414" s="49" t="n">
        <v>0</v>
      </c>
      <c r="AW1414" s="50" t="n">
        <v>0</v>
      </c>
      <c r="AX1414" s="51" t="n">
        <v>0</v>
      </c>
      <c r="AY1414" s="52" t="n">
        <v>0</v>
      </c>
      <c r="AZ1414" s="52" t="n">
        <v>0</v>
      </c>
      <c r="BA1414" s="52" t="n">
        <v>0</v>
      </c>
      <c r="BB1414" s="53" t="n">
        <v>0</v>
      </c>
      <c r="BC1414" s="52" t="n">
        <v>0</v>
      </c>
      <c r="BD1414" s="53" t="n">
        <v>0</v>
      </c>
      <c r="BE1414" s="52" t="n">
        <v>0</v>
      </c>
      <c r="BF1414" s="51" t="n">
        <v>0</v>
      </c>
    </row>
    <row r="1415">
      <c r="A1415">
        <f>HYPERLINK("https://www.walmart.com/ip/1419593821", "1419593821")</f>
        <v/>
      </c>
      <c r="B1415" t="inlineStr">
        <is>
          <t>Every Day is Christmas Glass Blown Ornaments 2022 Cute Hand Made Figurines Tree Decoration - 12.7cm glass wrench and vice and hammer and screwdriver ornament</t>
        </is>
      </c>
      <c r="C1415" t="inlineStr">
        <is>
          <t>EDC-FIGURINE-SCHOOLBUS</t>
        </is>
      </c>
      <c r="D1415" t="inlineStr">
        <is>
          <t>Ornaments</t>
        </is>
      </c>
      <c r="E1415" t="inlineStr">
        <is>
          <t>Every Day is Christmas</t>
        </is>
      </c>
      <c r="G1415" s="48" t="n">
        <v>0</v>
      </c>
      <c r="H1415" s="49" t="n">
        <v>0</v>
      </c>
      <c r="I1415" s="49" t="n">
        <v>0</v>
      </c>
      <c r="J1415" s="50" t="n">
        <v>0</v>
      </c>
      <c r="K1415" s="51" t="n">
        <v>0</v>
      </c>
      <c r="L1415" s="52" t="n">
        <v>0</v>
      </c>
      <c r="M1415" s="52" t="n">
        <v>0</v>
      </c>
      <c r="N1415" s="52" t="n">
        <v>0</v>
      </c>
      <c r="O1415" s="53" t="n">
        <v>0</v>
      </c>
      <c r="P1415" s="52" t="n">
        <v>0</v>
      </c>
      <c r="Q1415" s="53" t="n">
        <v>0</v>
      </c>
      <c r="R1415" s="52" t="n">
        <v>0</v>
      </c>
      <c r="S1415" s="51" t="n">
        <v>0</v>
      </c>
      <c r="T1415" s="48" t="n">
        <v>0</v>
      </c>
      <c r="U1415" s="49" t="n">
        <v>0</v>
      </c>
      <c r="V1415" s="49" t="n">
        <v>0</v>
      </c>
      <c r="W1415" s="50" t="n">
        <v>0</v>
      </c>
      <c r="X1415" s="51" t="n">
        <v>0</v>
      </c>
      <c r="Y1415" s="52" t="n">
        <v>0</v>
      </c>
      <c r="Z1415" s="52" t="n">
        <v>0</v>
      </c>
      <c r="AA1415" s="52" t="n">
        <v>0</v>
      </c>
      <c r="AB1415" s="53" t="n">
        <v>0</v>
      </c>
      <c r="AC1415" s="52" t="n">
        <v>0</v>
      </c>
      <c r="AD1415" s="53" t="n">
        <v>0</v>
      </c>
      <c r="AE1415" s="52" t="n">
        <v>0</v>
      </c>
      <c r="AF1415" s="51" t="n">
        <v>0</v>
      </c>
      <c r="AG1415" s="48" t="n">
        <v>0</v>
      </c>
      <c r="AH1415" s="49" t="n">
        <v>0</v>
      </c>
      <c r="AI1415" s="49" t="n">
        <v>0</v>
      </c>
      <c r="AJ1415" s="50" t="n">
        <v>0</v>
      </c>
      <c r="AK1415" s="51" t="n">
        <v>0</v>
      </c>
      <c r="AL1415" s="52" t="n">
        <v>0</v>
      </c>
      <c r="AM1415" s="52" t="n">
        <v>0</v>
      </c>
      <c r="AN1415" s="52" t="n">
        <v>0</v>
      </c>
      <c r="AO1415" s="53" t="n">
        <v>0</v>
      </c>
      <c r="AP1415" s="52" t="n">
        <v>0</v>
      </c>
      <c r="AQ1415" s="53" t="n">
        <v>0</v>
      </c>
      <c r="AR1415" s="52" t="n">
        <v>0</v>
      </c>
      <c r="AS1415" s="51" t="n">
        <v>0</v>
      </c>
      <c r="AT1415" s="48" t="n">
        <v>0</v>
      </c>
      <c r="AU1415" s="49" t="n">
        <v>0</v>
      </c>
      <c r="AV1415" s="49" t="n">
        <v>0</v>
      </c>
      <c r="AW1415" s="50" t="n">
        <v>0</v>
      </c>
      <c r="AX1415" s="51" t="n">
        <v>0</v>
      </c>
      <c r="AY1415" s="52" t="n">
        <v>0</v>
      </c>
      <c r="AZ1415" s="52" t="n">
        <v>0</v>
      </c>
      <c r="BA1415" s="52" t="n">
        <v>0</v>
      </c>
      <c r="BB1415" s="53" t="n">
        <v>0</v>
      </c>
      <c r="BC1415" s="52" t="n">
        <v>0</v>
      </c>
      <c r="BD1415" s="53" t="n">
        <v>0</v>
      </c>
      <c r="BE1415" s="52" t="n">
        <v>0</v>
      </c>
      <c r="BF1415" s="51" t="n">
        <v>0</v>
      </c>
    </row>
    <row r="1416">
      <c r="A1416">
        <f>HYPERLINK("https://www.walmart.com/ip/142062899", "142062899")</f>
        <v/>
      </c>
      <c r="B1416" t="inlineStr">
        <is>
          <t>KC Caps Thick Weave Waffle Knit Beanie</t>
        </is>
      </c>
      <c r="C1416" t="inlineStr">
        <is>
          <t>KCW1600ROY</t>
        </is>
      </c>
      <c r="D1416" t="inlineStr">
        <is>
          <t>Hats</t>
        </is>
      </c>
      <c r="E1416" t="inlineStr">
        <is>
          <t>KC Caps</t>
        </is>
      </c>
      <c r="F1416" t="inlineStr">
        <is>
          <t>Optimized</t>
        </is>
      </c>
      <c r="G1416" s="48" t="n">
        <v>0</v>
      </c>
      <c r="H1416" s="49" t="n">
        <v>0</v>
      </c>
      <c r="I1416" s="49" t="n">
        <v>0</v>
      </c>
      <c r="J1416" s="50" t="n">
        <v>0</v>
      </c>
      <c r="K1416" s="51" t="n">
        <v>0</v>
      </c>
      <c r="L1416" s="52" t="n">
        <v>0</v>
      </c>
      <c r="M1416" s="52" t="n">
        <v>0</v>
      </c>
      <c r="N1416" s="52" t="n">
        <v>0</v>
      </c>
      <c r="O1416" s="53" t="n">
        <v>0</v>
      </c>
      <c r="P1416" s="52" t="n">
        <v>0</v>
      </c>
      <c r="Q1416" s="53" t="n">
        <v>0</v>
      </c>
      <c r="R1416" s="52" t="n">
        <v>0</v>
      </c>
      <c r="S1416" s="51" t="n">
        <v>0</v>
      </c>
      <c r="T1416" s="48" t="n">
        <v>0</v>
      </c>
      <c r="U1416" s="49" t="n">
        <v>0</v>
      </c>
      <c r="V1416" s="49" t="n">
        <v>0</v>
      </c>
      <c r="W1416" s="50" t="n">
        <v>0</v>
      </c>
      <c r="X1416" s="51" t="n">
        <v>0</v>
      </c>
      <c r="Y1416" s="52" t="n">
        <v>0</v>
      </c>
      <c r="Z1416" s="52" t="n">
        <v>0</v>
      </c>
      <c r="AA1416" s="52" t="n">
        <v>0</v>
      </c>
      <c r="AB1416" s="53" t="n">
        <v>0</v>
      </c>
      <c r="AC1416" s="52" t="n">
        <v>0</v>
      </c>
      <c r="AD1416" s="53" t="n">
        <v>0</v>
      </c>
      <c r="AE1416" s="52" t="n">
        <v>0</v>
      </c>
      <c r="AF1416" s="51" t="n">
        <v>0</v>
      </c>
      <c r="AG1416" s="48" t="n">
        <v>0</v>
      </c>
      <c r="AH1416" s="49" t="n">
        <v>0</v>
      </c>
      <c r="AI1416" s="49" t="n">
        <v>0</v>
      </c>
      <c r="AJ1416" s="50" t="n">
        <v>0</v>
      </c>
      <c r="AK1416" s="51" t="n">
        <v>0</v>
      </c>
      <c r="AL1416" s="52" t="n">
        <v>0</v>
      </c>
      <c r="AM1416" s="52" t="n">
        <v>0</v>
      </c>
      <c r="AN1416" s="52" t="n">
        <v>0</v>
      </c>
      <c r="AO1416" s="53" t="n">
        <v>0</v>
      </c>
      <c r="AP1416" s="52" t="n">
        <v>0</v>
      </c>
      <c r="AQ1416" s="53" t="n">
        <v>0</v>
      </c>
      <c r="AR1416" s="52" t="n">
        <v>0</v>
      </c>
      <c r="AS1416" s="51" t="n">
        <v>0</v>
      </c>
      <c r="AT1416" s="48" t="n">
        <v>0</v>
      </c>
      <c r="AU1416" s="49" t="n">
        <v>0</v>
      </c>
      <c r="AV1416" s="49" t="n">
        <v>0</v>
      </c>
      <c r="AW1416" s="50" t="n">
        <v>0</v>
      </c>
      <c r="AX1416" s="51" t="n">
        <v>0</v>
      </c>
      <c r="AY1416" s="52" t="n">
        <v>0</v>
      </c>
      <c r="AZ1416" s="52" t="n">
        <v>0</v>
      </c>
      <c r="BA1416" s="52" t="n">
        <v>0</v>
      </c>
      <c r="BB1416" s="53" t="n">
        <v>0</v>
      </c>
      <c r="BC1416" s="52" t="n">
        <v>0</v>
      </c>
      <c r="BD1416" s="53" t="n">
        <v>0</v>
      </c>
      <c r="BE1416" s="52" t="n">
        <v>0</v>
      </c>
      <c r="BF1416" s="51" t="n">
        <v>0</v>
      </c>
    </row>
    <row r="1417">
      <c r="A1417">
        <f>HYPERLINK("https://www.walmart.com/ip/142323341", "142323341")</f>
        <v/>
      </c>
      <c r="B1417" t="inlineStr">
        <is>
          <t>Terra Faux Fur Pom Pom Beanie Hat Thick Slouchy Cable Knit Unisex Stretches to Fit Most</t>
        </is>
      </c>
      <c r="C1417" t="inlineStr">
        <is>
          <t>TERRAPPH02PK</t>
        </is>
      </c>
      <c r="D1417" t="inlineStr">
        <is>
          <t>Hats</t>
        </is>
      </c>
      <c r="E1417" t="inlineStr">
        <is>
          <t>Terra</t>
        </is>
      </c>
      <c r="F1417" t="inlineStr">
        <is>
          <t>Optimized</t>
        </is>
      </c>
      <c r="G1417" s="48" t="n">
        <v>0</v>
      </c>
      <c r="H1417" s="49" t="n">
        <v>0</v>
      </c>
      <c r="I1417" s="49" t="n">
        <v>0</v>
      </c>
      <c r="J1417" s="50" t="n">
        <v>0</v>
      </c>
      <c r="K1417" s="51" t="n">
        <v>0</v>
      </c>
      <c r="L1417" s="52" t="n">
        <v>0</v>
      </c>
      <c r="M1417" s="52" t="n">
        <v>0</v>
      </c>
      <c r="N1417" s="52" t="n">
        <v>0</v>
      </c>
      <c r="O1417" s="53" t="n">
        <v>0</v>
      </c>
      <c r="P1417" s="52" t="n">
        <v>0</v>
      </c>
      <c r="Q1417" s="53" t="n">
        <v>0</v>
      </c>
      <c r="R1417" s="52" t="n">
        <v>0</v>
      </c>
      <c r="S1417" s="51" t="n">
        <v>0</v>
      </c>
      <c r="T1417" s="48" t="n">
        <v>0</v>
      </c>
      <c r="U1417" s="49" t="n">
        <v>0</v>
      </c>
      <c r="V1417" s="49" t="n">
        <v>0</v>
      </c>
      <c r="W1417" s="50" t="n">
        <v>0</v>
      </c>
      <c r="X1417" s="51" t="n">
        <v>0</v>
      </c>
      <c r="Y1417" s="52" t="n">
        <v>0</v>
      </c>
      <c r="Z1417" s="52" t="n">
        <v>0</v>
      </c>
      <c r="AA1417" s="52" t="n">
        <v>0</v>
      </c>
      <c r="AB1417" s="53" t="n">
        <v>0</v>
      </c>
      <c r="AC1417" s="52" t="n">
        <v>0</v>
      </c>
      <c r="AD1417" s="53" t="n">
        <v>0</v>
      </c>
      <c r="AE1417" s="52" t="n">
        <v>0</v>
      </c>
      <c r="AF1417" s="51" t="n">
        <v>0</v>
      </c>
      <c r="AG1417" s="48" t="n">
        <v>0</v>
      </c>
      <c r="AH1417" s="49" t="n">
        <v>0</v>
      </c>
      <c r="AI1417" s="49" t="n">
        <v>0</v>
      </c>
      <c r="AJ1417" s="50" t="n">
        <v>0</v>
      </c>
      <c r="AK1417" s="51" t="n">
        <v>0</v>
      </c>
      <c r="AL1417" s="52" t="n">
        <v>0</v>
      </c>
      <c r="AM1417" s="52" t="n">
        <v>0</v>
      </c>
      <c r="AN1417" s="52" t="n">
        <v>0</v>
      </c>
      <c r="AO1417" s="53" t="n">
        <v>0</v>
      </c>
      <c r="AP1417" s="52" t="n">
        <v>0</v>
      </c>
      <c r="AQ1417" s="53" t="n">
        <v>0</v>
      </c>
      <c r="AR1417" s="52" t="n">
        <v>0</v>
      </c>
      <c r="AS1417" s="51" t="n">
        <v>0</v>
      </c>
      <c r="AT1417" s="48" t="n">
        <v>0</v>
      </c>
      <c r="AU1417" s="49" t="n">
        <v>0</v>
      </c>
      <c r="AV1417" s="49" t="n">
        <v>0</v>
      </c>
      <c r="AW1417" s="50" t="n">
        <v>0</v>
      </c>
      <c r="AX1417" s="51" t="n">
        <v>0</v>
      </c>
      <c r="AY1417" s="52" t="n">
        <v>0</v>
      </c>
      <c r="AZ1417" s="52" t="n">
        <v>0</v>
      </c>
      <c r="BA1417" s="52" t="n">
        <v>0</v>
      </c>
      <c r="BB1417" s="53" t="n">
        <v>0</v>
      </c>
      <c r="BC1417" s="52" t="n">
        <v>0</v>
      </c>
      <c r="BD1417" s="53" t="n">
        <v>0</v>
      </c>
      <c r="BE1417" s="52" t="n">
        <v>0</v>
      </c>
      <c r="BF1417" s="51" t="n">
        <v>0</v>
      </c>
    </row>
    <row r="1418">
      <c r="A1418">
        <f>HYPERLINK("https://www.walmart.com/ip/14464804270", "14464804270")</f>
        <v/>
      </c>
      <c r="B1418" t="inlineStr">
        <is>
          <t>PEANUTS Snoopy 100% Cotton Family Matching Pajamas Holiday 2-Piece Sets for Christmas with Woodstock Charlie Brown Linus for Baby (Black Plaid, 12M)</t>
        </is>
      </c>
      <c r="C1418" t="inlineStr">
        <is>
          <t>PEA-PJS-FAMILY-INFANT-BLACKPLAID-12M</t>
        </is>
      </c>
      <c r="D1418" t="inlineStr">
        <is>
          <t>Pajamas</t>
        </is>
      </c>
      <c r="E1418" t="inlineStr">
        <is>
          <t>Peanuts</t>
        </is>
      </c>
      <c r="G1418" s="48" t="n">
        <v>0</v>
      </c>
      <c r="H1418" s="49" t="n">
        <v>0</v>
      </c>
      <c r="I1418" s="49" t="n">
        <v>0</v>
      </c>
      <c r="J1418" s="50" t="n">
        <v>0</v>
      </c>
      <c r="K1418" s="51" t="n">
        <v>0</v>
      </c>
      <c r="L1418" s="52" t="n">
        <v>0</v>
      </c>
      <c r="M1418" s="52" t="n">
        <v>0</v>
      </c>
      <c r="N1418" s="52" t="n">
        <v>0</v>
      </c>
      <c r="O1418" s="53" t="n">
        <v>0</v>
      </c>
      <c r="P1418" s="52" t="n">
        <v>0</v>
      </c>
      <c r="Q1418" s="53" t="n">
        <v>0</v>
      </c>
      <c r="R1418" s="52" t="n">
        <v>0</v>
      </c>
      <c r="S1418" s="51" t="n">
        <v>0</v>
      </c>
      <c r="T1418" s="48" t="n">
        <v>0</v>
      </c>
      <c r="U1418" s="49" t="n">
        <v>0</v>
      </c>
      <c r="V1418" s="49" t="n">
        <v>0</v>
      </c>
      <c r="W1418" s="50" t="n">
        <v>0</v>
      </c>
      <c r="X1418" s="51" t="n">
        <v>0</v>
      </c>
      <c r="Y1418" s="52" t="n">
        <v>0</v>
      </c>
      <c r="Z1418" s="52" t="n">
        <v>0</v>
      </c>
      <c r="AA1418" s="52" t="n">
        <v>0</v>
      </c>
      <c r="AB1418" s="53" t="n">
        <v>0</v>
      </c>
      <c r="AC1418" s="52" t="n">
        <v>0</v>
      </c>
      <c r="AD1418" s="53" t="n">
        <v>0</v>
      </c>
      <c r="AE1418" s="52" t="n">
        <v>0</v>
      </c>
      <c r="AF1418" s="51" t="n">
        <v>0</v>
      </c>
      <c r="AG1418" s="48" t="n">
        <v>0</v>
      </c>
      <c r="AH1418" s="49" t="n">
        <v>0</v>
      </c>
      <c r="AI1418" s="49" t="n">
        <v>0</v>
      </c>
      <c r="AJ1418" s="50" t="n">
        <v>0</v>
      </c>
      <c r="AK1418" s="51" t="n">
        <v>0</v>
      </c>
      <c r="AL1418" s="52" t="n">
        <v>0</v>
      </c>
      <c r="AM1418" s="52" t="n">
        <v>0</v>
      </c>
      <c r="AN1418" s="52" t="n">
        <v>0</v>
      </c>
      <c r="AO1418" s="53" t="n">
        <v>0</v>
      </c>
      <c r="AP1418" s="52" t="n">
        <v>0</v>
      </c>
      <c r="AQ1418" s="53" t="n">
        <v>0</v>
      </c>
      <c r="AR1418" s="52" t="n">
        <v>0</v>
      </c>
      <c r="AS1418" s="51" t="n">
        <v>0</v>
      </c>
      <c r="AT1418" s="48" t="n">
        <v>0</v>
      </c>
      <c r="AU1418" s="49" t="n">
        <v>0</v>
      </c>
      <c r="AV1418" s="49" t="n">
        <v>0</v>
      </c>
      <c r="AW1418" s="50" t="n">
        <v>0</v>
      </c>
      <c r="AX1418" s="51" t="n">
        <v>0</v>
      </c>
      <c r="AY1418" s="52" t="n">
        <v>0</v>
      </c>
      <c r="AZ1418" s="52" t="n">
        <v>0</v>
      </c>
      <c r="BA1418" s="52" t="n">
        <v>0</v>
      </c>
      <c r="BB1418" s="53" t="n">
        <v>0</v>
      </c>
      <c r="BC1418" s="52" t="n">
        <v>0</v>
      </c>
      <c r="BD1418" s="53" t="n">
        <v>0</v>
      </c>
      <c r="BE1418" s="52" t="n">
        <v>0</v>
      </c>
      <c r="BF1418" s="51" t="n">
        <v>0</v>
      </c>
    </row>
    <row r="1419">
      <c r="A1419">
        <f>HYPERLINK("https://www.walmart.com/ip/14468700704", "14468700704")</f>
        <v/>
      </c>
      <c r="B1419" t="inlineStr">
        <is>
          <t>Tirrinia Oversized Wearable Blanket Hoodie, Fleece Home Blanket Sweatshirt, Warm Blanket with Sleeves, Gift for lover</t>
        </is>
      </c>
      <c r="C1419" t="inlineStr">
        <is>
          <t>1TROSH340PK-FS</t>
        </is>
      </c>
      <c r="D1419" t="inlineStr">
        <is>
          <t>Sweatshirts &amp; Hoodies</t>
        </is>
      </c>
      <c r="E1419" t="inlineStr">
        <is>
          <t>Tirrinia</t>
        </is>
      </c>
      <c r="G1419" s="48" t="n">
        <v>0</v>
      </c>
      <c r="H1419" s="49" t="n">
        <v>0</v>
      </c>
      <c r="I1419" s="49" t="n">
        <v>0</v>
      </c>
      <c r="J1419" s="50" t="n">
        <v>0</v>
      </c>
      <c r="K1419" s="51" t="n">
        <v>0</v>
      </c>
      <c r="L1419" s="52" t="n">
        <v>0</v>
      </c>
      <c r="M1419" s="52" t="n">
        <v>0</v>
      </c>
      <c r="N1419" s="52" t="n">
        <v>0</v>
      </c>
      <c r="O1419" s="53" t="n">
        <v>0</v>
      </c>
      <c r="P1419" s="52" t="n">
        <v>0</v>
      </c>
      <c r="Q1419" s="53" t="n">
        <v>0</v>
      </c>
      <c r="R1419" s="52" t="n">
        <v>0</v>
      </c>
      <c r="S1419" s="51" t="n">
        <v>0</v>
      </c>
      <c r="T1419" s="48" t="n">
        <v>0</v>
      </c>
      <c r="U1419" s="49" t="n">
        <v>0</v>
      </c>
      <c r="V1419" s="49" t="n">
        <v>0</v>
      </c>
      <c r="W1419" s="50" t="n">
        <v>0</v>
      </c>
      <c r="X1419" s="51" t="n">
        <v>0</v>
      </c>
      <c r="Y1419" s="52" t="n">
        <v>0</v>
      </c>
      <c r="Z1419" s="52" t="n">
        <v>0</v>
      </c>
      <c r="AA1419" s="52" t="n">
        <v>0</v>
      </c>
      <c r="AB1419" s="53" t="n">
        <v>0</v>
      </c>
      <c r="AC1419" s="52" t="n">
        <v>0</v>
      </c>
      <c r="AD1419" s="53" t="n">
        <v>0</v>
      </c>
      <c r="AE1419" s="52" t="n">
        <v>0</v>
      </c>
      <c r="AF1419" s="51" t="n">
        <v>0</v>
      </c>
      <c r="AG1419" s="48" t="n">
        <v>0</v>
      </c>
      <c r="AH1419" s="49" t="n">
        <v>0</v>
      </c>
      <c r="AI1419" s="49" t="n">
        <v>0</v>
      </c>
      <c r="AJ1419" s="50" t="n">
        <v>0</v>
      </c>
      <c r="AK1419" s="51" t="n">
        <v>0</v>
      </c>
      <c r="AL1419" s="52" t="n">
        <v>0</v>
      </c>
      <c r="AM1419" s="52" t="n">
        <v>0</v>
      </c>
      <c r="AN1419" s="52" t="n">
        <v>0</v>
      </c>
      <c r="AO1419" s="53" t="n">
        <v>0</v>
      </c>
      <c r="AP1419" s="52" t="n">
        <v>0</v>
      </c>
      <c r="AQ1419" s="53" t="n">
        <v>0</v>
      </c>
      <c r="AR1419" s="52" t="n">
        <v>0</v>
      </c>
      <c r="AS1419" s="51" t="n">
        <v>0</v>
      </c>
      <c r="AT1419" s="48" t="n">
        <v>0</v>
      </c>
      <c r="AU1419" s="49" t="n">
        <v>0</v>
      </c>
      <c r="AV1419" s="49" t="n">
        <v>0</v>
      </c>
      <c r="AW1419" s="50" t="n">
        <v>0</v>
      </c>
      <c r="AX1419" s="51" t="n">
        <v>0</v>
      </c>
      <c r="AY1419" s="52" t="n">
        <v>0</v>
      </c>
      <c r="AZ1419" s="52" t="n">
        <v>0</v>
      </c>
      <c r="BA1419" s="52" t="n">
        <v>0</v>
      </c>
      <c r="BB1419" s="53" t="n">
        <v>0</v>
      </c>
      <c r="BC1419" s="52" t="n">
        <v>0</v>
      </c>
      <c r="BD1419" s="53" t="n">
        <v>0</v>
      </c>
      <c r="BE1419" s="52" t="n">
        <v>0</v>
      </c>
      <c r="BF1419" s="51" t="n">
        <v>0</v>
      </c>
    </row>
    <row r="1420">
      <c r="A1420">
        <f>HYPERLINK("https://www.walmart.com/ip/14488914626", "14488914626")</f>
        <v/>
      </c>
      <c r="B1420" t="inlineStr">
        <is>
          <t>Tirrinia Womens' Hoodie Blanket Sweatshirt, Oversized Comfortable Fleece Giant Wearable Blankets, Hoodie Blanket for Men, Gift for Her Him, Horse</t>
        </is>
      </c>
      <c r="C1420" t="inlineStr">
        <is>
          <t>1TROSH400HP-FS</t>
        </is>
      </c>
      <c r="D1420" t="inlineStr">
        <is>
          <t>Sweatshirts &amp; Hoodies</t>
        </is>
      </c>
      <c r="E1420" t="inlineStr">
        <is>
          <t>Tirrinia</t>
        </is>
      </c>
      <c r="G1420" s="48" t="n">
        <v>0</v>
      </c>
      <c r="H1420" s="49" t="n">
        <v>0</v>
      </c>
      <c r="I1420" s="49" t="n">
        <v>0</v>
      </c>
      <c r="J1420" s="50" t="n">
        <v>0</v>
      </c>
      <c r="K1420" s="51" t="n">
        <v>0</v>
      </c>
      <c r="L1420" s="52" t="n">
        <v>0</v>
      </c>
      <c r="M1420" s="52" t="n">
        <v>0</v>
      </c>
      <c r="N1420" s="52" t="n">
        <v>0</v>
      </c>
      <c r="O1420" s="53" t="n">
        <v>0</v>
      </c>
      <c r="P1420" s="52" t="n">
        <v>0</v>
      </c>
      <c r="Q1420" s="53" t="n">
        <v>0</v>
      </c>
      <c r="R1420" s="52" t="n">
        <v>0</v>
      </c>
      <c r="S1420" s="51" t="n">
        <v>0</v>
      </c>
      <c r="T1420" s="48" t="n">
        <v>0</v>
      </c>
      <c r="U1420" s="49" t="n">
        <v>0</v>
      </c>
      <c r="V1420" s="49" t="n">
        <v>0</v>
      </c>
      <c r="W1420" s="50" t="n">
        <v>0</v>
      </c>
      <c r="X1420" s="51" t="n">
        <v>0</v>
      </c>
      <c r="Y1420" s="52" t="n">
        <v>0</v>
      </c>
      <c r="Z1420" s="52" t="n">
        <v>0</v>
      </c>
      <c r="AA1420" s="52" t="n">
        <v>0</v>
      </c>
      <c r="AB1420" s="53" t="n">
        <v>0</v>
      </c>
      <c r="AC1420" s="52" t="n">
        <v>0</v>
      </c>
      <c r="AD1420" s="53" t="n">
        <v>0</v>
      </c>
      <c r="AE1420" s="52" t="n">
        <v>0</v>
      </c>
      <c r="AF1420" s="51" t="n">
        <v>0</v>
      </c>
      <c r="AG1420" s="48" t="n">
        <v>0</v>
      </c>
      <c r="AH1420" s="49" t="n">
        <v>0</v>
      </c>
      <c r="AI1420" s="49" t="n">
        <v>0</v>
      </c>
      <c r="AJ1420" s="50" t="n">
        <v>0</v>
      </c>
      <c r="AK1420" s="51" t="n">
        <v>0</v>
      </c>
      <c r="AL1420" s="52" t="n">
        <v>0</v>
      </c>
      <c r="AM1420" s="52" t="n">
        <v>0</v>
      </c>
      <c r="AN1420" s="52" t="n">
        <v>0</v>
      </c>
      <c r="AO1420" s="53" t="n">
        <v>0</v>
      </c>
      <c r="AP1420" s="52" t="n">
        <v>0</v>
      </c>
      <c r="AQ1420" s="53" t="n">
        <v>0</v>
      </c>
      <c r="AR1420" s="52" t="n">
        <v>0</v>
      </c>
      <c r="AS1420" s="51" t="n">
        <v>0</v>
      </c>
      <c r="AT1420" s="48" t="n">
        <v>0</v>
      </c>
      <c r="AU1420" s="49" t="n">
        <v>0</v>
      </c>
      <c r="AV1420" s="49" t="n">
        <v>0</v>
      </c>
      <c r="AW1420" s="50" t="n">
        <v>0</v>
      </c>
      <c r="AX1420" s="51" t="n">
        <v>0</v>
      </c>
      <c r="AY1420" s="52" t="n">
        <v>0</v>
      </c>
      <c r="AZ1420" s="52" t="n">
        <v>0</v>
      </c>
      <c r="BA1420" s="52" t="n">
        <v>0</v>
      </c>
      <c r="BB1420" s="53" t="n">
        <v>0</v>
      </c>
      <c r="BC1420" s="52" t="n">
        <v>0</v>
      </c>
      <c r="BD1420" s="53" t="n">
        <v>0</v>
      </c>
      <c r="BE1420" s="52" t="n">
        <v>0</v>
      </c>
      <c r="BF1420" s="51" t="n">
        <v>0</v>
      </c>
    </row>
    <row r="1421">
      <c r="A1421">
        <f>HYPERLINK("https://www.walmart.com/ip/14485554639", "14485554639")</f>
        <v/>
      </c>
      <c r="B1421" t="inlineStr">
        <is>
          <t>Catalonia Women's Blanket Hoodie Sweatshirt, Cozy Comfortable Fluffy Soft Fleece Lounging Pullover, Warm Fleece Hooded with Pockets Gift,  Ombre Blue</t>
        </is>
      </c>
      <c r="C1421" t="inlineStr">
        <is>
          <t>1CTOSH330BL-FS</t>
        </is>
      </c>
      <c r="D1421" t="inlineStr">
        <is>
          <t>Sweatshirts &amp; Hoodies</t>
        </is>
      </c>
      <c r="E1421" t="inlineStr">
        <is>
          <t>Catalonia</t>
        </is>
      </c>
      <c r="G1421" s="48" t="n">
        <v>0</v>
      </c>
      <c r="H1421" s="49" t="n">
        <v>0</v>
      </c>
      <c r="I1421" s="49" t="n">
        <v>0</v>
      </c>
      <c r="J1421" s="50" t="n">
        <v>0</v>
      </c>
      <c r="K1421" s="51" t="n">
        <v>0</v>
      </c>
      <c r="L1421" s="52" t="n">
        <v>0</v>
      </c>
      <c r="M1421" s="52" t="n">
        <v>0</v>
      </c>
      <c r="N1421" s="52" t="n">
        <v>0</v>
      </c>
      <c r="O1421" s="53" t="n">
        <v>0</v>
      </c>
      <c r="P1421" s="52" t="n">
        <v>0</v>
      </c>
      <c r="Q1421" s="53" t="n">
        <v>0</v>
      </c>
      <c r="R1421" s="52" t="n">
        <v>0</v>
      </c>
      <c r="S1421" s="51" t="n">
        <v>0</v>
      </c>
      <c r="T1421" s="48" t="n">
        <v>0</v>
      </c>
      <c r="U1421" s="49" t="n">
        <v>0</v>
      </c>
      <c r="V1421" s="49" t="n">
        <v>0</v>
      </c>
      <c r="W1421" s="50" t="n">
        <v>0</v>
      </c>
      <c r="X1421" s="51" t="n">
        <v>0</v>
      </c>
      <c r="Y1421" s="52" t="n">
        <v>0</v>
      </c>
      <c r="Z1421" s="52" t="n">
        <v>0</v>
      </c>
      <c r="AA1421" s="52" t="n">
        <v>0</v>
      </c>
      <c r="AB1421" s="53" t="n">
        <v>0</v>
      </c>
      <c r="AC1421" s="52" t="n">
        <v>0</v>
      </c>
      <c r="AD1421" s="53" t="n">
        <v>0</v>
      </c>
      <c r="AE1421" s="52" t="n">
        <v>0</v>
      </c>
      <c r="AF1421" s="51" t="n">
        <v>0</v>
      </c>
      <c r="AG1421" s="48" t="n">
        <v>0</v>
      </c>
      <c r="AH1421" s="49" t="n">
        <v>0</v>
      </c>
      <c r="AI1421" s="49" t="n">
        <v>0</v>
      </c>
      <c r="AJ1421" s="50" t="n">
        <v>0</v>
      </c>
      <c r="AK1421" s="51" t="n">
        <v>0</v>
      </c>
      <c r="AL1421" s="52" t="n">
        <v>0</v>
      </c>
      <c r="AM1421" s="52" t="n">
        <v>0</v>
      </c>
      <c r="AN1421" s="52" t="n">
        <v>0</v>
      </c>
      <c r="AO1421" s="53" t="n">
        <v>0</v>
      </c>
      <c r="AP1421" s="52" t="n">
        <v>0</v>
      </c>
      <c r="AQ1421" s="53" t="n">
        <v>0</v>
      </c>
      <c r="AR1421" s="52" t="n">
        <v>0</v>
      </c>
      <c r="AS1421" s="51" t="n">
        <v>0</v>
      </c>
      <c r="AT1421" s="48" t="n">
        <v>0</v>
      </c>
      <c r="AU1421" s="49" t="n">
        <v>0</v>
      </c>
      <c r="AV1421" s="49" t="n">
        <v>0</v>
      </c>
      <c r="AW1421" s="50" t="n">
        <v>0</v>
      </c>
      <c r="AX1421" s="51" t="n">
        <v>0</v>
      </c>
      <c r="AY1421" s="52" t="n">
        <v>0</v>
      </c>
      <c r="AZ1421" s="52" t="n">
        <v>0</v>
      </c>
      <c r="BA1421" s="52" t="n">
        <v>0</v>
      </c>
      <c r="BB1421" s="53" t="n">
        <v>0</v>
      </c>
      <c r="BC1421" s="52" t="n">
        <v>0</v>
      </c>
      <c r="BD1421" s="53" t="n">
        <v>0</v>
      </c>
      <c r="BE1421" s="52" t="n">
        <v>0</v>
      </c>
      <c r="BF1421" s="51" t="n">
        <v>0</v>
      </c>
    </row>
    <row r="1422">
      <c r="A1422">
        <f>HYPERLINK("https://www.walmart.com/ip/14486463816", "14486463816")</f>
        <v/>
      </c>
      <c r="B1422" t="inlineStr">
        <is>
          <t>Catalonia Women's Hoodie Sweatshirt, Casual Long Sleeves Pullover Sweater with front Pocket, Blanket Hoodie Sweatshirt, Pinkash</t>
        </is>
      </c>
      <c r="C1422" t="inlineStr">
        <is>
          <t>1CTOSH300S1PKASH-FS</t>
        </is>
      </c>
      <c r="D1422" t="inlineStr">
        <is>
          <t>Sweatshirts &amp; Hoodies</t>
        </is>
      </c>
      <c r="E1422" t="inlineStr">
        <is>
          <t>Catalonia</t>
        </is>
      </c>
      <c r="G1422" s="48" t="n">
        <v>0</v>
      </c>
      <c r="H1422" s="49" t="n">
        <v>0</v>
      </c>
      <c r="I1422" s="49" t="n">
        <v>0</v>
      </c>
      <c r="J1422" s="50" t="n">
        <v>0</v>
      </c>
      <c r="K1422" s="51" t="n">
        <v>0</v>
      </c>
      <c r="L1422" s="52" t="n">
        <v>0</v>
      </c>
      <c r="M1422" s="52" t="n">
        <v>0</v>
      </c>
      <c r="N1422" s="52" t="n">
        <v>0</v>
      </c>
      <c r="O1422" s="53" t="n">
        <v>0</v>
      </c>
      <c r="P1422" s="52" t="n">
        <v>0</v>
      </c>
      <c r="Q1422" s="53" t="n">
        <v>0</v>
      </c>
      <c r="R1422" s="52" t="n">
        <v>0</v>
      </c>
      <c r="S1422" s="51" t="n">
        <v>0</v>
      </c>
      <c r="T1422" s="48" t="n">
        <v>0</v>
      </c>
      <c r="U1422" s="49" t="n">
        <v>0</v>
      </c>
      <c r="V1422" s="49" t="n">
        <v>0</v>
      </c>
      <c r="W1422" s="50" t="n">
        <v>0</v>
      </c>
      <c r="X1422" s="51" t="n">
        <v>0</v>
      </c>
      <c r="Y1422" s="52" t="n">
        <v>0</v>
      </c>
      <c r="Z1422" s="52" t="n">
        <v>0</v>
      </c>
      <c r="AA1422" s="52" t="n">
        <v>0</v>
      </c>
      <c r="AB1422" s="53" t="n">
        <v>0</v>
      </c>
      <c r="AC1422" s="52" t="n">
        <v>0</v>
      </c>
      <c r="AD1422" s="53" t="n">
        <v>0</v>
      </c>
      <c r="AE1422" s="52" t="n">
        <v>0</v>
      </c>
      <c r="AF1422" s="51" t="n">
        <v>0</v>
      </c>
      <c r="AG1422" s="48" t="n">
        <v>0</v>
      </c>
      <c r="AH1422" s="49" t="n">
        <v>0</v>
      </c>
      <c r="AI1422" s="49" t="n">
        <v>0</v>
      </c>
      <c r="AJ1422" s="50" t="n">
        <v>0</v>
      </c>
      <c r="AK1422" s="51" t="n">
        <v>0</v>
      </c>
      <c r="AL1422" s="52" t="n">
        <v>0</v>
      </c>
      <c r="AM1422" s="52" t="n">
        <v>0</v>
      </c>
      <c r="AN1422" s="52" t="n">
        <v>0</v>
      </c>
      <c r="AO1422" s="53" t="n">
        <v>0</v>
      </c>
      <c r="AP1422" s="52" t="n">
        <v>0</v>
      </c>
      <c r="AQ1422" s="53" t="n">
        <v>0</v>
      </c>
      <c r="AR1422" s="52" t="n">
        <v>0</v>
      </c>
      <c r="AS1422" s="51" t="n">
        <v>0</v>
      </c>
      <c r="AT1422" s="48" t="n">
        <v>0</v>
      </c>
      <c r="AU1422" s="49" t="n">
        <v>0</v>
      </c>
      <c r="AV1422" s="49" t="n">
        <v>0</v>
      </c>
      <c r="AW1422" s="50" t="n">
        <v>0</v>
      </c>
      <c r="AX1422" s="51" t="n">
        <v>0</v>
      </c>
      <c r="AY1422" s="52" t="n">
        <v>0</v>
      </c>
      <c r="AZ1422" s="52" t="n">
        <v>0</v>
      </c>
      <c r="BA1422" s="52" t="n">
        <v>0</v>
      </c>
      <c r="BB1422" s="53" t="n">
        <v>0</v>
      </c>
      <c r="BC1422" s="52" t="n">
        <v>0</v>
      </c>
      <c r="BD1422" s="53" t="n">
        <v>0</v>
      </c>
      <c r="BE1422" s="52" t="n">
        <v>0</v>
      </c>
      <c r="BF1422" s="51" t="n">
        <v>0</v>
      </c>
    </row>
    <row r="1423">
      <c r="A1423">
        <f>HYPERLINK("https://www.walmart.com/ip/14486513709", "14486513709")</f>
        <v/>
      </c>
      <c r="B1423" t="inlineStr">
        <is>
          <t>Catalonia Oversized Blanket Hoodie Sweatshirt, Fleece Hooded Lounging Pullover with Giant Pocket, Birthday Gifts Christmas Gifts, Buffalo Plaid Green</t>
        </is>
      </c>
      <c r="C1423" t="inlineStr">
        <is>
          <t>1CTOSH300GNCAMO-FS</t>
        </is>
      </c>
      <c r="D1423" t="inlineStr">
        <is>
          <t>Sweatshirts &amp; Hoodies</t>
        </is>
      </c>
      <c r="E1423" t="inlineStr">
        <is>
          <t>Catalonia</t>
        </is>
      </c>
      <c r="G1423" s="48" t="n">
        <v>0</v>
      </c>
      <c r="H1423" s="49" t="n">
        <v>0</v>
      </c>
      <c r="I1423" s="49" t="n">
        <v>0</v>
      </c>
      <c r="J1423" s="50" t="n">
        <v>0</v>
      </c>
      <c r="K1423" s="51" t="n">
        <v>0</v>
      </c>
      <c r="L1423" s="52" t="n">
        <v>0</v>
      </c>
      <c r="M1423" s="52" t="n">
        <v>0</v>
      </c>
      <c r="N1423" s="52" t="n">
        <v>0</v>
      </c>
      <c r="O1423" s="53" t="n">
        <v>0</v>
      </c>
      <c r="P1423" s="52" t="n">
        <v>0</v>
      </c>
      <c r="Q1423" s="53" t="n">
        <v>0</v>
      </c>
      <c r="R1423" s="52" t="n">
        <v>0</v>
      </c>
      <c r="S1423" s="51" t="n">
        <v>0</v>
      </c>
      <c r="T1423" s="48" t="n">
        <v>0</v>
      </c>
      <c r="U1423" s="49" t="n">
        <v>0</v>
      </c>
      <c r="V1423" s="49" t="n">
        <v>0</v>
      </c>
      <c r="W1423" s="50" t="n">
        <v>0</v>
      </c>
      <c r="X1423" s="51" t="n">
        <v>0</v>
      </c>
      <c r="Y1423" s="52" t="n">
        <v>0</v>
      </c>
      <c r="Z1423" s="52" t="n">
        <v>0</v>
      </c>
      <c r="AA1423" s="52" t="n">
        <v>0</v>
      </c>
      <c r="AB1423" s="53" t="n">
        <v>0</v>
      </c>
      <c r="AC1423" s="52" t="n">
        <v>0</v>
      </c>
      <c r="AD1423" s="53" t="n">
        <v>0</v>
      </c>
      <c r="AE1423" s="52" t="n">
        <v>0</v>
      </c>
      <c r="AF1423" s="51" t="n">
        <v>0</v>
      </c>
      <c r="AG1423" s="48" t="n">
        <v>0</v>
      </c>
      <c r="AH1423" s="49" t="n">
        <v>0</v>
      </c>
      <c r="AI1423" s="49" t="n">
        <v>0</v>
      </c>
      <c r="AJ1423" s="50" t="n">
        <v>0</v>
      </c>
      <c r="AK1423" s="51" t="n">
        <v>0</v>
      </c>
      <c r="AL1423" s="52" t="n">
        <v>0</v>
      </c>
      <c r="AM1423" s="52" t="n">
        <v>0</v>
      </c>
      <c r="AN1423" s="52" t="n">
        <v>0</v>
      </c>
      <c r="AO1423" s="53" t="n">
        <v>0</v>
      </c>
      <c r="AP1423" s="52" t="n">
        <v>0</v>
      </c>
      <c r="AQ1423" s="53" t="n">
        <v>0</v>
      </c>
      <c r="AR1423" s="52" t="n">
        <v>0</v>
      </c>
      <c r="AS1423" s="51" t="n">
        <v>0</v>
      </c>
      <c r="AT1423" s="48" t="n">
        <v>0</v>
      </c>
      <c r="AU1423" s="49" t="n">
        <v>0</v>
      </c>
      <c r="AV1423" s="49" t="n">
        <v>0</v>
      </c>
      <c r="AW1423" s="50" t="n">
        <v>0</v>
      </c>
      <c r="AX1423" s="51" t="n">
        <v>0</v>
      </c>
      <c r="AY1423" s="52" t="n">
        <v>0</v>
      </c>
      <c r="AZ1423" s="52" t="n">
        <v>0</v>
      </c>
      <c r="BA1423" s="52" t="n">
        <v>0</v>
      </c>
      <c r="BB1423" s="53" t="n">
        <v>0</v>
      </c>
      <c r="BC1423" s="52" t="n">
        <v>0</v>
      </c>
      <c r="BD1423" s="53" t="n">
        <v>0</v>
      </c>
      <c r="BE1423" s="52" t="n">
        <v>0</v>
      </c>
      <c r="BF1423" s="51" t="n">
        <v>0</v>
      </c>
    </row>
    <row r="1424">
      <c r="A1424">
        <f>HYPERLINK("https://www.walmart.com/ip/14486513711", "14486513711")</f>
        <v/>
      </c>
      <c r="B1424" t="inlineStr">
        <is>
          <t>Catalonia Women's Hoodie Sweatshirt, Casual Long Sleeves Pullover Sweater with front Pocket, Blanket Hoodie Sweatshirt, Black</t>
        </is>
      </c>
      <c r="C1424" t="inlineStr">
        <is>
          <t>1CTOSH300PWT-FS</t>
        </is>
      </c>
      <c r="D1424" t="inlineStr">
        <is>
          <t>Sweatshirts &amp; Hoodies</t>
        </is>
      </c>
      <c r="E1424" t="inlineStr">
        <is>
          <t>Catalonia</t>
        </is>
      </c>
      <c r="G1424" s="48" t="n">
        <v>0</v>
      </c>
      <c r="H1424" s="49" t="n">
        <v>0</v>
      </c>
      <c r="I1424" s="49" t="n">
        <v>0</v>
      </c>
      <c r="J1424" s="50" t="n">
        <v>0</v>
      </c>
      <c r="K1424" s="51" t="n">
        <v>0</v>
      </c>
      <c r="L1424" s="52" t="n">
        <v>0</v>
      </c>
      <c r="M1424" s="52" t="n">
        <v>0</v>
      </c>
      <c r="N1424" s="52" t="n">
        <v>0</v>
      </c>
      <c r="O1424" s="53" t="n">
        <v>0</v>
      </c>
      <c r="P1424" s="52" t="n">
        <v>0</v>
      </c>
      <c r="Q1424" s="53" t="n">
        <v>0</v>
      </c>
      <c r="R1424" s="52" t="n">
        <v>0</v>
      </c>
      <c r="S1424" s="51" t="n">
        <v>0</v>
      </c>
      <c r="T1424" s="48" t="n">
        <v>0</v>
      </c>
      <c r="U1424" s="49" t="n">
        <v>0</v>
      </c>
      <c r="V1424" s="49" t="n">
        <v>0</v>
      </c>
      <c r="W1424" s="50" t="n">
        <v>0</v>
      </c>
      <c r="X1424" s="51" t="n">
        <v>0</v>
      </c>
      <c r="Y1424" s="52" t="n">
        <v>0</v>
      </c>
      <c r="Z1424" s="52" t="n">
        <v>0</v>
      </c>
      <c r="AA1424" s="52" t="n">
        <v>0</v>
      </c>
      <c r="AB1424" s="53" t="n">
        <v>0</v>
      </c>
      <c r="AC1424" s="52" t="n">
        <v>0</v>
      </c>
      <c r="AD1424" s="53" t="n">
        <v>0</v>
      </c>
      <c r="AE1424" s="52" t="n">
        <v>0</v>
      </c>
      <c r="AF1424" s="51" t="n">
        <v>0</v>
      </c>
      <c r="AG1424" s="48" t="n">
        <v>0</v>
      </c>
      <c r="AH1424" s="49" t="n">
        <v>0</v>
      </c>
      <c r="AI1424" s="49" t="n">
        <v>0</v>
      </c>
      <c r="AJ1424" s="50" t="n">
        <v>0</v>
      </c>
      <c r="AK1424" s="51" t="n">
        <v>0</v>
      </c>
      <c r="AL1424" s="52" t="n">
        <v>0</v>
      </c>
      <c r="AM1424" s="52" t="n">
        <v>0</v>
      </c>
      <c r="AN1424" s="52" t="n">
        <v>0</v>
      </c>
      <c r="AO1424" s="53" t="n">
        <v>0</v>
      </c>
      <c r="AP1424" s="52" t="n">
        <v>0</v>
      </c>
      <c r="AQ1424" s="53" t="n">
        <v>0</v>
      </c>
      <c r="AR1424" s="52" t="n">
        <v>0</v>
      </c>
      <c r="AS1424" s="51" t="n">
        <v>0</v>
      </c>
      <c r="AT1424" s="48" t="n">
        <v>0</v>
      </c>
      <c r="AU1424" s="49" t="n">
        <v>0</v>
      </c>
      <c r="AV1424" s="49" t="n">
        <v>0</v>
      </c>
      <c r="AW1424" s="50" t="n">
        <v>0</v>
      </c>
      <c r="AX1424" s="51" t="n">
        <v>0</v>
      </c>
      <c r="AY1424" s="52" t="n">
        <v>0</v>
      </c>
      <c r="AZ1424" s="52" t="n">
        <v>0</v>
      </c>
      <c r="BA1424" s="52" t="n">
        <v>0</v>
      </c>
      <c r="BB1424" s="53" t="n">
        <v>0</v>
      </c>
      <c r="BC1424" s="52" t="n">
        <v>0</v>
      </c>
      <c r="BD1424" s="53" t="n">
        <v>0</v>
      </c>
      <c r="BE1424" s="52" t="n">
        <v>0</v>
      </c>
      <c r="BF1424" s="51" t="n">
        <v>0</v>
      </c>
    </row>
    <row r="1425">
      <c r="A1425">
        <f>HYPERLINK("https://www.walmart.com/ip/14486513723", "14486513723")</f>
        <v/>
      </c>
      <c r="B1425" t="inlineStr">
        <is>
          <t>Catalonia Womens' Full Body Blanket Hoodie Sweatshirt, Extra Long Wearable Fleece Pullover, Gift for Adult Men Women Wife Girlfriend, Purple</t>
        </is>
      </c>
      <c r="C1425" t="inlineStr">
        <is>
          <t>1CTOSH310S1PP-FS</t>
        </is>
      </c>
      <c r="D1425" t="inlineStr">
        <is>
          <t>Sweatshirts &amp; Hoodies</t>
        </is>
      </c>
      <c r="E1425" t="inlineStr">
        <is>
          <t>Catalonia</t>
        </is>
      </c>
      <c r="G1425" s="48" t="n">
        <v>0</v>
      </c>
      <c r="H1425" s="49" t="n">
        <v>0</v>
      </c>
      <c r="I1425" s="49" t="n">
        <v>0</v>
      </c>
      <c r="J1425" s="50" t="n">
        <v>0</v>
      </c>
      <c r="K1425" s="51" t="n">
        <v>0</v>
      </c>
      <c r="L1425" s="52" t="n">
        <v>0</v>
      </c>
      <c r="M1425" s="52" t="n">
        <v>0</v>
      </c>
      <c r="N1425" s="52" t="n">
        <v>0</v>
      </c>
      <c r="O1425" s="53" t="n">
        <v>0</v>
      </c>
      <c r="P1425" s="52" t="n">
        <v>0</v>
      </c>
      <c r="Q1425" s="53" t="n">
        <v>0</v>
      </c>
      <c r="R1425" s="52" t="n">
        <v>0</v>
      </c>
      <c r="S1425" s="51" t="n">
        <v>0</v>
      </c>
      <c r="T1425" s="48" t="n">
        <v>0</v>
      </c>
      <c r="U1425" s="49" t="n">
        <v>0</v>
      </c>
      <c r="V1425" s="49" t="n">
        <v>0</v>
      </c>
      <c r="W1425" s="50" t="n">
        <v>0</v>
      </c>
      <c r="X1425" s="51" t="n">
        <v>0</v>
      </c>
      <c r="Y1425" s="52" t="n">
        <v>0</v>
      </c>
      <c r="Z1425" s="52" t="n">
        <v>0</v>
      </c>
      <c r="AA1425" s="52" t="n">
        <v>0</v>
      </c>
      <c r="AB1425" s="53" t="n">
        <v>0</v>
      </c>
      <c r="AC1425" s="52" t="n">
        <v>0</v>
      </c>
      <c r="AD1425" s="53" t="n">
        <v>0</v>
      </c>
      <c r="AE1425" s="52" t="n">
        <v>0</v>
      </c>
      <c r="AF1425" s="51" t="n">
        <v>0</v>
      </c>
      <c r="AG1425" s="48" t="n">
        <v>0</v>
      </c>
      <c r="AH1425" s="49" t="n">
        <v>0</v>
      </c>
      <c r="AI1425" s="49" t="n">
        <v>0</v>
      </c>
      <c r="AJ1425" s="50" t="n">
        <v>0</v>
      </c>
      <c r="AK1425" s="51" t="n">
        <v>0</v>
      </c>
      <c r="AL1425" s="52" t="n">
        <v>0</v>
      </c>
      <c r="AM1425" s="52" t="n">
        <v>0</v>
      </c>
      <c r="AN1425" s="52" t="n">
        <v>0</v>
      </c>
      <c r="AO1425" s="53" t="n">
        <v>0</v>
      </c>
      <c r="AP1425" s="52" t="n">
        <v>0</v>
      </c>
      <c r="AQ1425" s="53" t="n">
        <v>0</v>
      </c>
      <c r="AR1425" s="52" t="n">
        <v>0</v>
      </c>
      <c r="AS1425" s="51" t="n">
        <v>0</v>
      </c>
      <c r="AT1425" s="48" t="n">
        <v>0</v>
      </c>
      <c r="AU1425" s="49" t="n">
        <v>0</v>
      </c>
      <c r="AV1425" s="49" t="n">
        <v>0</v>
      </c>
      <c r="AW1425" s="50" t="n">
        <v>0</v>
      </c>
      <c r="AX1425" s="51" t="n">
        <v>0</v>
      </c>
      <c r="AY1425" s="52" t="n">
        <v>0</v>
      </c>
      <c r="AZ1425" s="52" t="n">
        <v>0</v>
      </c>
      <c r="BA1425" s="52" t="n">
        <v>0</v>
      </c>
      <c r="BB1425" s="53" t="n">
        <v>0</v>
      </c>
      <c r="BC1425" s="52" t="n">
        <v>0</v>
      </c>
      <c r="BD1425" s="53" t="n">
        <v>0</v>
      </c>
      <c r="BE1425" s="52" t="n">
        <v>0</v>
      </c>
      <c r="BF1425" s="51" t="n">
        <v>0</v>
      </c>
    </row>
    <row r="1426">
      <c r="A1426">
        <f>HYPERLINK("https://www.walmart.com/ip/14486811190", "14486811190")</f>
        <v/>
      </c>
      <c r="B1426" t="inlineStr">
        <is>
          <t>Catalonia Cat Print Blanket Hoodie for Kids, Oversized Wearable Fleece Sweatshirt Pullover for 7-16 yr Teens Youth, Kids Gift Idea</t>
        </is>
      </c>
      <c r="C1426" t="inlineStr">
        <is>
          <t>1CTOSH401BLCAT-FS</t>
        </is>
      </c>
      <c r="D1426" t="inlineStr">
        <is>
          <t>Sweatshirts &amp; Hoodies</t>
        </is>
      </c>
      <c r="E1426" t="inlineStr">
        <is>
          <t>Catalonia</t>
        </is>
      </c>
      <c r="G1426" s="48" t="n">
        <v>0</v>
      </c>
      <c r="H1426" s="49" t="n">
        <v>0</v>
      </c>
      <c r="I1426" s="49" t="n">
        <v>0</v>
      </c>
      <c r="J1426" s="50" t="n">
        <v>0</v>
      </c>
      <c r="K1426" s="51" t="n">
        <v>0</v>
      </c>
      <c r="L1426" s="52" t="n">
        <v>0</v>
      </c>
      <c r="M1426" s="52" t="n">
        <v>0</v>
      </c>
      <c r="N1426" s="52" t="n">
        <v>0</v>
      </c>
      <c r="O1426" s="53" t="n">
        <v>0</v>
      </c>
      <c r="P1426" s="52" t="n">
        <v>0</v>
      </c>
      <c r="Q1426" s="53" t="n">
        <v>0</v>
      </c>
      <c r="R1426" s="52" t="n">
        <v>0</v>
      </c>
      <c r="S1426" s="51" t="n">
        <v>0</v>
      </c>
      <c r="T1426" s="48" t="n">
        <v>0</v>
      </c>
      <c r="U1426" s="49" t="n">
        <v>0</v>
      </c>
      <c r="V1426" s="49" t="n">
        <v>0</v>
      </c>
      <c r="W1426" s="50" t="n">
        <v>0</v>
      </c>
      <c r="X1426" s="51" t="n">
        <v>0</v>
      </c>
      <c r="Y1426" s="52" t="n">
        <v>0</v>
      </c>
      <c r="Z1426" s="52" t="n">
        <v>0</v>
      </c>
      <c r="AA1426" s="52" t="n">
        <v>0</v>
      </c>
      <c r="AB1426" s="53" t="n">
        <v>0</v>
      </c>
      <c r="AC1426" s="52" t="n">
        <v>0</v>
      </c>
      <c r="AD1426" s="53" t="n">
        <v>0</v>
      </c>
      <c r="AE1426" s="52" t="n">
        <v>0</v>
      </c>
      <c r="AF1426" s="51" t="n">
        <v>0</v>
      </c>
      <c r="AG1426" s="48" t="n">
        <v>0</v>
      </c>
      <c r="AH1426" s="49" t="n">
        <v>0</v>
      </c>
      <c r="AI1426" s="49" t="n">
        <v>0</v>
      </c>
      <c r="AJ1426" s="50" t="n">
        <v>0</v>
      </c>
      <c r="AK1426" s="51" t="n">
        <v>0</v>
      </c>
      <c r="AL1426" s="52" t="n">
        <v>0</v>
      </c>
      <c r="AM1426" s="52" t="n">
        <v>0</v>
      </c>
      <c r="AN1426" s="52" t="n">
        <v>0</v>
      </c>
      <c r="AO1426" s="53" t="n">
        <v>0</v>
      </c>
      <c r="AP1426" s="52" t="n">
        <v>0</v>
      </c>
      <c r="AQ1426" s="53" t="n">
        <v>0</v>
      </c>
      <c r="AR1426" s="52" t="n">
        <v>0</v>
      </c>
      <c r="AS1426" s="51" t="n">
        <v>0</v>
      </c>
      <c r="AT1426" s="48" t="n">
        <v>0</v>
      </c>
      <c r="AU1426" s="49" t="n">
        <v>0</v>
      </c>
      <c r="AV1426" s="49" t="n">
        <v>0</v>
      </c>
      <c r="AW1426" s="50" t="n">
        <v>0</v>
      </c>
      <c r="AX1426" s="51" t="n">
        <v>0</v>
      </c>
      <c r="AY1426" s="52" t="n">
        <v>0</v>
      </c>
      <c r="AZ1426" s="52" t="n">
        <v>0</v>
      </c>
      <c r="BA1426" s="52" t="n">
        <v>0</v>
      </c>
      <c r="BB1426" s="53" t="n">
        <v>0</v>
      </c>
      <c r="BC1426" s="52" t="n">
        <v>0</v>
      </c>
      <c r="BD1426" s="53" t="n">
        <v>0</v>
      </c>
      <c r="BE1426" s="52" t="n">
        <v>0</v>
      </c>
      <c r="BF1426" s="51" t="n">
        <v>0</v>
      </c>
    </row>
    <row r="1427">
      <c r="A1427">
        <f>HYPERLINK("https://www.walmart.com/ip/14487262810", "14487262810")</f>
        <v/>
      </c>
      <c r="B1427" t="inlineStr">
        <is>
          <t>Catalonia Cotton Candy Blanket Hoodie for Kids, Oversized Wearable Fleece Sweatshirt Pullover for 7-16 yr Teens Youth, Kids Gift Idea</t>
        </is>
      </c>
      <c r="C1427" t="inlineStr">
        <is>
          <t>1CTOSH401COTTONCANDY-FS</t>
        </is>
      </c>
      <c r="D1427" t="inlineStr">
        <is>
          <t>Sweatshirts &amp; Hoodies</t>
        </is>
      </c>
      <c r="E1427" t="inlineStr">
        <is>
          <t>Catalonia</t>
        </is>
      </c>
      <c r="G1427" s="48" t="n">
        <v>0</v>
      </c>
      <c r="H1427" s="49" t="n">
        <v>0</v>
      </c>
      <c r="I1427" s="49" t="n">
        <v>0</v>
      </c>
      <c r="J1427" s="50" t="n">
        <v>0</v>
      </c>
      <c r="K1427" s="51" t="n">
        <v>0</v>
      </c>
      <c r="L1427" s="52" t="n">
        <v>0</v>
      </c>
      <c r="M1427" s="52" t="n">
        <v>0</v>
      </c>
      <c r="N1427" s="52" t="n">
        <v>0</v>
      </c>
      <c r="O1427" s="53" t="n">
        <v>0</v>
      </c>
      <c r="P1427" s="52" t="n">
        <v>0</v>
      </c>
      <c r="Q1427" s="53" t="n">
        <v>0</v>
      </c>
      <c r="R1427" s="52" t="n">
        <v>0</v>
      </c>
      <c r="S1427" s="51" t="n">
        <v>0</v>
      </c>
      <c r="T1427" s="48" t="n">
        <v>0</v>
      </c>
      <c r="U1427" s="49" t="n">
        <v>0</v>
      </c>
      <c r="V1427" s="49" t="n">
        <v>0</v>
      </c>
      <c r="W1427" s="50" t="n">
        <v>0</v>
      </c>
      <c r="X1427" s="51" t="n">
        <v>0</v>
      </c>
      <c r="Y1427" s="52" t="n">
        <v>0</v>
      </c>
      <c r="Z1427" s="52" t="n">
        <v>0</v>
      </c>
      <c r="AA1427" s="52" t="n">
        <v>0</v>
      </c>
      <c r="AB1427" s="53" t="n">
        <v>0</v>
      </c>
      <c r="AC1427" s="52" t="n">
        <v>0</v>
      </c>
      <c r="AD1427" s="53" t="n">
        <v>0</v>
      </c>
      <c r="AE1427" s="52" t="n">
        <v>0</v>
      </c>
      <c r="AF1427" s="51" t="n">
        <v>0</v>
      </c>
      <c r="AG1427" s="48" t="n">
        <v>0</v>
      </c>
      <c r="AH1427" s="49" t="n">
        <v>0</v>
      </c>
      <c r="AI1427" s="49" t="n">
        <v>0</v>
      </c>
      <c r="AJ1427" s="50" t="n">
        <v>0</v>
      </c>
      <c r="AK1427" s="51" t="n">
        <v>0</v>
      </c>
      <c r="AL1427" s="52" t="n">
        <v>0</v>
      </c>
      <c r="AM1427" s="52" t="n">
        <v>0</v>
      </c>
      <c r="AN1427" s="52" t="n">
        <v>0</v>
      </c>
      <c r="AO1427" s="53" t="n">
        <v>0</v>
      </c>
      <c r="AP1427" s="52" t="n">
        <v>0</v>
      </c>
      <c r="AQ1427" s="53" t="n">
        <v>0</v>
      </c>
      <c r="AR1427" s="52" t="n">
        <v>0</v>
      </c>
      <c r="AS1427" s="51" t="n">
        <v>0</v>
      </c>
      <c r="AT1427" s="48" t="n">
        <v>0</v>
      </c>
      <c r="AU1427" s="49" t="n">
        <v>0</v>
      </c>
      <c r="AV1427" s="49" t="n">
        <v>0</v>
      </c>
      <c r="AW1427" s="50" t="n">
        <v>0</v>
      </c>
      <c r="AX1427" s="51" t="n">
        <v>0</v>
      </c>
      <c r="AY1427" s="52" t="n">
        <v>0</v>
      </c>
      <c r="AZ1427" s="52" t="n">
        <v>0</v>
      </c>
      <c r="BA1427" s="52" t="n">
        <v>0</v>
      </c>
      <c r="BB1427" s="53" t="n">
        <v>0</v>
      </c>
      <c r="BC1427" s="52" t="n">
        <v>0</v>
      </c>
      <c r="BD1427" s="53" t="n">
        <v>0</v>
      </c>
      <c r="BE1427" s="52" t="n">
        <v>0</v>
      </c>
      <c r="BF1427" s="51" t="n">
        <v>0</v>
      </c>
    </row>
    <row r="1428">
      <c r="A1428">
        <f>HYPERLINK("https://www.walmart.com/ip/14487312722", "14487312722")</f>
        <v/>
      </c>
      <c r="B1428" t="inlineStr">
        <is>
          <t>Womens Oversized Flannel Blanket Hoodie Sweatshirt, Plush Fleece Lined Lounging Pullover, Christmas Gift for Women (Cow Print) - Catalonia</t>
        </is>
      </c>
      <c r="C1428" t="inlineStr">
        <is>
          <t>1CTOSH400DMT-FS</t>
        </is>
      </c>
      <c r="D1428" t="inlineStr">
        <is>
          <t>Sweatshirts &amp; Hoodies</t>
        </is>
      </c>
      <c r="E1428" t="inlineStr">
        <is>
          <t>Catalonia</t>
        </is>
      </c>
      <c r="G1428" s="48" t="n">
        <v>0</v>
      </c>
      <c r="H1428" s="49" t="n">
        <v>0</v>
      </c>
      <c r="I1428" s="49" t="n">
        <v>0</v>
      </c>
      <c r="J1428" s="50" t="n">
        <v>0</v>
      </c>
      <c r="K1428" s="51" t="n">
        <v>0</v>
      </c>
      <c r="L1428" s="52" t="n">
        <v>0</v>
      </c>
      <c r="M1428" s="52" t="n">
        <v>0</v>
      </c>
      <c r="N1428" s="52" t="n">
        <v>0</v>
      </c>
      <c r="O1428" s="53" t="n">
        <v>0</v>
      </c>
      <c r="P1428" s="52" t="n">
        <v>0</v>
      </c>
      <c r="Q1428" s="53" t="n">
        <v>0</v>
      </c>
      <c r="R1428" s="52" t="n">
        <v>0</v>
      </c>
      <c r="S1428" s="51" t="n">
        <v>0</v>
      </c>
      <c r="T1428" s="48" t="n">
        <v>0</v>
      </c>
      <c r="U1428" s="49" t="n">
        <v>0</v>
      </c>
      <c r="V1428" s="49" t="n">
        <v>0</v>
      </c>
      <c r="W1428" s="50" t="n">
        <v>0</v>
      </c>
      <c r="X1428" s="51" t="n">
        <v>0</v>
      </c>
      <c r="Y1428" s="52" t="n">
        <v>0</v>
      </c>
      <c r="Z1428" s="52" t="n">
        <v>0</v>
      </c>
      <c r="AA1428" s="52" t="n">
        <v>0</v>
      </c>
      <c r="AB1428" s="53" t="n">
        <v>0</v>
      </c>
      <c r="AC1428" s="52" t="n">
        <v>0</v>
      </c>
      <c r="AD1428" s="53" t="n">
        <v>0</v>
      </c>
      <c r="AE1428" s="52" t="n">
        <v>0</v>
      </c>
      <c r="AF1428" s="51" t="n">
        <v>0</v>
      </c>
      <c r="AG1428" s="48" t="n">
        <v>0</v>
      </c>
      <c r="AH1428" s="49" t="n">
        <v>0</v>
      </c>
      <c r="AI1428" s="49" t="n">
        <v>0</v>
      </c>
      <c r="AJ1428" s="50" t="n">
        <v>0</v>
      </c>
      <c r="AK1428" s="51" t="n">
        <v>0</v>
      </c>
      <c r="AL1428" s="52" t="n">
        <v>0</v>
      </c>
      <c r="AM1428" s="52" t="n">
        <v>0</v>
      </c>
      <c r="AN1428" s="52" t="n">
        <v>0</v>
      </c>
      <c r="AO1428" s="53" t="n">
        <v>0</v>
      </c>
      <c r="AP1428" s="52" t="n">
        <v>0</v>
      </c>
      <c r="AQ1428" s="53" t="n">
        <v>0</v>
      </c>
      <c r="AR1428" s="52" t="n">
        <v>0</v>
      </c>
      <c r="AS1428" s="51" t="n">
        <v>0</v>
      </c>
      <c r="AT1428" s="48" t="n">
        <v>0</v>
      </c>
      <c r="AU1428" s="49" t="n">
        <v>0</v>
      </c>
      <c r="AV1428" s="49" t="n">
        <v>0</v>
      </c>
      <c r="AW1428" s="50" t="n">
        <v>0</v>
      </c>
      <c r="AX1428" s="51" t="n">
        <v>0</v>
      </c>
      <c r="AY1428" s="52" t="n">
        <v>0</v>
      </c>
      <c r="AZ1428" s="52" t="n">
        <v>0</v>
      </c>
      <c r="BA1428" s="52" t="n">
        <v>0</v>
      </c>
      <c r="BB1428" s="53" t="n">
        <v>0</v>
      </c>
      <c r="BC1428" s="52" t="n">
        <v>0</v>
      </c>
      <c r="BD1428" s="53" t="n">
        <v>0</v>
      </c>
      <c r="BE1428" s="52" t="n">
        <v>0</v>
      </c>
      <c r="BF1428" s="51" t="n">
        <v>0</v>
      </c>
    </row>
    <row r="1429">
      <c r="A1429">
        <f>HYPERLINK("https://www.walmart.com/ip/14488058718", "14488058718")</f>
        <v/>
      </c>
      <c r="B1429" t="inlineStr">
        <is>
          <t>Aeropostale  Backpack for School, College, and Travel， Water Resistant Bookbag</t>
        </is>
      </c>
      <c r="C1429" t="inlineStr">
        <is>
          <t>1AEBPK92079BK</t>
        </is>
      </c>
      <c r="D1429" t="inlineStr">
        <is>
          <t>Backpacks</t>
        </is>
      </c>
      <c r="E1429" t="inlineStr">
        <is>
          <t>Aeropostale</t>
        </is>
      </c>
      <c r="G1429" s="48" t="n">
        <v>0</v>
      </c>
      <c r="H1429" s="49" t="n">
        <v>0</v>
      </c>
      <c r="I1429" s="49" t="n">
        <v>0</v>
      </c>
      <c r="J1429" s="50" t="n">
        <v>0</v>
      </c>
      <c r="K1429" s="51" t="n">
        <v>0</v>
      </c>
      <c r="L1429" s="52" t="n">
        <v>0</v>
      </c>
      <c r="M1429" s="52" t="n">
        <v>0</v>
      </c>
      <c r="N1429" s="52" t="n">
        <v>0</v>
      </c>
      <c r="O1429" s="53" t="n">
        <v>0</v>
      </c>
      <c r="P1429" s="52" t="n">
        <v>0</v>
      </c>
      <c r="Q1429" s="53" t="n">
        <v>0</v>
      </c>
      <c r="R1429" s="52" t="n">
        <v>0</v>
      </c>
      <c r="S1429" s="51" t="n">
        <v>0</v>
      </c>
      <c r="T1429" s="48" t="n">
        <v>0</v>
      </c>
      <c r="U1429" s="49" t="n">
        <v>0</v>
      </c>
      <c r="V1429" s="49" t="n">
        <v>0</v>
      </c>
      <c r="W1429" s="50" t="n">
        <v>0</v>
      </c>
      <c r="X1429" s="51" t="n">
        <v>0</v>
      </c>
      <c r="Y1429" s="52" t="n">
        <v>0</v>
      </c>
      <c r="Z1429" s="52" t="n">
        <v>0</v>
      </c>
      <c r="AA1429" s="52" t="n">
        <v>0</v>
      </c>
      <c r="AB1429" s="53" t="n">
        <v>0</v>
      </c>
      <c r="AC1429" s="52" t="n">
        <v>0</v>
      </c>
      <c r="AD1429" s="53" t="n">
        <v>0</v>
      </c>
      <c r="AE1429" s="52" t="n">
        <v>0</v>
      </c>
      <c r="AF1429" s="51" t="n">
        <v>0</v>
      </c>
      <c r="AG1429" s="48" t="n">
        <v>0</v>
      </c>
      <c r="AH1429" s="49" t="n">
        <v>0</v>
      </c>
      <c r="AI1429" s="49" t="n">
        <v>0</v>
      </c>
      <c r="AJ1429" s="50" t="n">
        <v>0</v>
      </c>
      <c r="AK1429" s="51" t="n">
        <v>0</v>
      </c>
      <c r="AL1429" s="52" t="n">
        <v>0</v>
      </c>
      <c r="AM1429" s="52" t="n">
        <v>0</v>
      </c>
      <c r="AN1429" s="52" t="n">
        <v>0</v>
      </c>
      <c r="AO1429" s="53" t="n">
        <v>0</v>
      </c>
      <c r="AP1429" s="52" t="n">
        <v>0</v>
      </c>
      <c r="AQ1429" s="53" t="n">
        <v>0</v>
      </c>
      <c r="AR1429" s="52" t="n">
        <v>0</v>
      </c>
      <c r="AS1429" s="51" t="n">
        <v>0</v>
      </c>
      <c r="AT1429" s="48" t="n">
        <v>0</v>
      </c>
      <c r="AU1429" s="49" t="n">
        <v>0</v>
      </c>
      <c r="AV1429" s="49" t="n">
        <v>0</v>
      </c>
      <c r="AW1429" s="50" t="n">
        <v>0</v>
      </c>
      <c r="AX1429" s="51" t="n">
        <v>0</v>
      </c>
      <c r="AY1429" s="52" t="n">
        <v>0</v>
      </c>
      <c r="AZ1429" s="52" t="n">
        <v>0</v>
      </c>
      <c r="BA1429" s="52" t="n">
        <v>0</v>
      </c>
      <c r="BB1429" s="53" t="n">
        <v>0</v>
      </c>
      <c r="BC1429" s="52" t="n">
        <v>0</v>
      </c>
      <c r="BD1429" s="53" t="n">
        <v>0</v>
      </c>
      <c r="BE1429" s="52" t="n">
        <v>0</v>
      </c>
      <c r="BF1429" s="51" t="n">
        <v>0</v>
      </c>
    </row>
    <row r="1430">
      <c r="A1430">
        <f>HYPERLINK("https://www.walmart.com/ip/14488664374", "14488664374")</f>
        <v/>
      </c>
      <c r="B1430" t="inlineStr">
        <is>
          <t>Catalonia Oversized Blanket Hoodie Sweatshirt, Fleece Hooded Lounging Pullover with Giant Pocket, Birthday Gifts Christmas Gifts, Pink Plaid</t>
        </is>
      </c>
      <c r="C1430" t="inlineStr">
        <is>
          <t>1CTOSH300PGN-FS</t>
        </is>
      </c>
      <c r="D1430" t="inlineStr">
        <is>
          <t>Sweatshirts &amp; Hoodies</t>
        </is>
      </c>
      <c r="E1430" t="inlineStr">
        <is>
          <t>Catalonia</t>
        </is>
      </c>
      <c r="G1430" s="48" t="n">
        <v>0</v>
      </c>
      <c r="H1430" s="49" t="n">
        <v>0</v>
      </c>
      <c r="I1430" s="49" t="n">
        <v>0</v>
      </c>
      <c r="J1430" s="50" t="n">
        <v>0</v>
      </c>
      <c r="K1430" s="51" t="n">
        <v>0</v>
      </c>
      <c r="L1430" s="52" t="n">
        <v>0</v>
      </c>
      <c r="M1430" s="52" t="n">
        <v>0</v>
      </c>
      <c r="N1430" s="52" t="n">
        <v>0</v>
      </c>
      <c r="O1430" s="53" t="n">
        <v>0</v>
      </c>
      <c r="P1430" s="52" t="n">
        <v>0</v>
      </c>
      <c r="Q1430" s="53" t="n">
        <v>0</v>
      </c>
      <c r="R1430" s="52" t="n">
        <v>0</v>
      </c>
      <c r="S1430" s="51" t="n">
        <v>0</v>
      </c>
      <c r="T1430" s="48" t="n">
        <v>0</v>
      </c>
      <c r="U1430" s="49" t="n">
        <v>0</v>
      </c>
      <c r="V1430" s="49" t="n">
        <v>0</v>
      </c>
      <c r="W1430" s="50" t="n">
        <v>0</v>
      </c>
      <c r="X1430" s="51" t="n">
        <v>0</v>
      </c>
      <c r="Y1430" s="52" t="n">
        <v>0</v>
      </c>
      <c r="Z1430" s="52" t="n">
        <v>0</v>
      </c>
      <c r="AA1430" s="52" t="n">
        <v>0</v>
      </c>
      <c r="AB1430" s="53" t="n">
        <v>0</v>
      </c>
      <c r="AC1430" s="52" t="n">
        <v>0</v>
      </c>
      <c r="AD1430" s="53" t="n">
        <v>0</v>
      </c>
      <c r="AE1430" s="52" t="n">
        <v>0</v>
      </c>
      <c r="AF1430" s="51" t="n">
        <v>0</v>
      </c>
      <c r="AG1430" s="48" t="n">
        <v>0</v>
      </c>
      <c r="AH1430" s="49" t="n">
        <v>0</v>
      </c>
      <c r="AI1430" s="49" t="n">
        <v>0</v>
      </c>
      <c r="AJ1430" s="50" t="n">
        <v>0</v>
      </c>
      <c r="AK1430" s="51" t="n">
        <v>0</v>
      </c>
      <c r="AL1430" s="52" t="n">
        <v>0</v>
      </c>
      <c r="AM1430" s="52" t="n">
        <v>0</v>
      </c>
      <c r="AN1430" s="52" t="n">
        <v>0</v>
      </c>
      <c r="AO1430" s="53" t="n">
        <v>0</v>
      </c>
      <c r="AP1430" s="52" t="n">
        <v>0</v>
      </c>
      <c r="AQ1430" s="53" t="n">
        <v>0</v>
      </c>
      <c r="AR1430" s="52" t="n">
        <v>0</v>
      </c>
      <c r="AS1430" s="51" t="n">
        <v>0</v>
      </c>
      <c r="AT1430" s="48" t="n">
        <v>0</v>
      </c>
      <c r="AU1430" s="49" t="n">
        <v>0</v>
      </c>
      <c r="AV1430" s="49" t="n">
        <v>0</v>
      </c>
      <c r="AW1430" s="50" t="n">
        <v>0</v>
      </c>
      <c r="AX1430" s="51" t="n">
        <v>0</v>
      </c>
      <c r="AY1430" s="52" t="n">
        <v>0</v>
      </c>
      <c r="AZ1430" s="52" t="n">
        <v>0</v>
      </c>
      <c r="BA1430" s="52" t="n">
        <v>0</v>
      </c>
      <c r="BB1430" s="53" t="n">
        <v>0</v>
      </c>
      <c r="BC1430" s="52" t="n">
        <v>0</v>
      </c>
      <c r="BD1430" s="53" t="n">
        <v>0</v>
      </c>
      <c r="BE1430" s="52" t="n">
        <v>0</v>
      </c>
      <c r="BF1430" s="51" t="n">
        <v>0</v>
      </c>
    </row>
    <row r="1431">
      <c r="A1431">
        <f>HYPERLINK("https://www.walmart.com/ip/14488764892", "14488764892")</f>
        <v/>
      </c>
      <c r="B1431" t="inlineStr">
        <is>
          <t>Catalonia Cow Print Kid's Oversized Wearable Blanket Hoodie Sweatshirt,  Comfortable Fleece  Pullover for 7-16 yr Teens Youth, Cow Gift for Cow Lovers</t>
        </is>
      </c>
      <c r="C1431" t="inlineStr">
        <is>
          <t>1CTOSH401DMT-FS</t>
        </is>
      </c>
      <c r="D1431" t="inlineStr">
        <is>
          <t>Sweatshirts &amp; Hoodies</t>
        </is>
      </c>
      <c r="E1431" t="inlineStr">
        <is>
          <t>Catalonia</t>
        </is>
      </c>
      <c r="G1431" s="48" t="n">
        <v>0</v>
      </c>
      <c r="H1431" s="49" t="n">
        <v>0</v>
      </c>
      <c r="I1431" s="49" t="n">
        <v>0</v>
      </c>
      <c r="J1431" s="50" t="n">
        <v>0</v>
      </c>
      <c r="K1431" s="51" t="n">
        <v>0</v>
      </c>
      <c r="L1431" s="52" t="n">
        <v>0</v>
      </c>
      <c r="M1431" s="52" t="n">
        <v>0</v>
      </c>
      <c r="N1431" s="52" t="n">
        <v>0</v>
      </c>
      <c r="O1431" s="53" t="n">
        <v>0</v>
      </c>
      <c r="P1431" s="52" t="n">
        <v>0</v>
      </c>
      <c r="Q1431" s="53" t="n">
        <v>0</v>
      </c>
      <c r="R1431" s="52" t="n">
        <v>0</v>
      </c>
      <c r="S1431" s="51" t="n">
        <v>0</v>
      </c>
      <c r="T1431" s="48" t="n">
        <v>0</v>
      </c>
      <c r="U1431" s="49" t="n">
        <v>0</v>
      </c>
      <c r="V1431" s="49" t="n">
        <v>0</v>
      </c>
      <c r="W1431" s="50" t="n">
        <v>0</v>
      </c>
      <c r="X1431" s="51" t="n">
        <v>0</v>
      </c>
      <c r="Y1431" s="52" t="n">
        <v>0</v>
      </c>
      <c r="Z1431" s="52" t="n">
        <v>0</v>
      </c>
      <c r="AA1431" s="52" t="n">
        <v>0</v>
      </c>
      <c r="AB1431" s="53" t="n">
        <v>0</v>
      </c>
      <c r="AC1431" s="52" t="n">
        <v>0</v>
      </c>
      <c r="AD1431" s="53" t="n">
        <v>0</v>
      </c>
      <c r="AE1431" s="52" t="n">
        <v>0</v>
      </c>
      <c r="AF1431" s="51" t="n">
        <v>0</v>
      </c>
      <c r="AG1431" s="48" t="n">
        <v>0</v>
      </c>
      <c r="AH1431" s="49" t="n">
        <v>0</v>
      </c>
      <c r="AI1431" s="49" t="n">
        <v>0</v>
      </c>
      <c r="AJ1431" s="50" t="n">
        <v>0</v>
      </c>
      <c r="AK1431" s="51" t="n">
        <v>0</v>
      </c>
      <c r="AL1431" s="52" t="n">
        <v>0</v>
      </c>
      <c r="AM1431" s="52" t="n">
        <v>0</v>
      </c>
      <c r="AN1431" s="52" t="n">
        <v>0</v>
      </c>
      <c r="AO1431" s="53" t="n">
        <v>0</v>
      </c>
      <c r="AP1431" s="52" t="n">
        <v>0</v>
      </c>
      <c r="AQ1431" s="53" t="n">
        <v>0</v>
      </c>
      <c r="AR1431" s="52" t="n">
        <v>0</v>
      </c>
      <c r="AS1431" s="51" t="n">
        <v>0</v>
      </c>
      <c r="AT1431" s="48" t="n">
        <v>0</v>
      </c>
      <c r="AU1431" s="49" t="n">
        <v>0</v>
      </c>
      <c r="AV1431" s="49" t="n">
        <v>0</v>
      </c>
      <c r="AW1431" s="50" t="n">
        <v>0</v>
      </c>
      <c r="AX1431" s="51" t="n">
        <v>0</v>
      </c>
      <c r="AY1431" s="52" t="n">
        <v>0</v>
      </c>
      <c r="AZ1431" s="52" t="n">
        <v>0</v>
      </c>
      <c r="BA1431" s="52" t="n">
        <v>0</v>
      </c>
      <c r="BB1431" s="53" t="n">
        <v>0</v>
      </c>
      <c r="BC1431" s="52" t="n">
        <v>0</v>
      </c>
      <c r="BD1431" s="53" t="n">
        <v>0</v>
      </c>
      <c r="BE1431" s="52" t="n">
        <v>0</v>
      </c>
      <c r="BF1431" s="51" t="n">
        <v>0</v>
      </c>
    </row>
    <row r="1432">
      <c r="A1432">
        <f>HYPERLINK("https://www.walmart.com/ip/14488764906", "14488764906")</f>
        <v/>
      </c>
      <c r="B1432" t="inlineStr">
        <is>
          <t>Tirrinia Womens' Hoodie Blanket Sweatshirt, Oversized Comfortable Fleece Giant Wearable Blankets, Hoodie Blanket for Men, Gift for Her Him, Gray</t>
        </is>
      </c>
      <c r="C1432" t="inlineStr">
        <is>
          <t>1TROSH400GY-FS</t>
        </is>
      </c>
      <c r="D1432" t="inlineStr">
        <is>
          <t>Sweatshirts &amp; Hoodies</t>
        </is>
      </c>
      <c r="E1432" t="inlineStr">
        <is>
          <t>Tirrinia</t>
        </is>
      </c>
      <c r="G1432" s="48" t="n">
        <v>0</v>
      </c>
      <c r="H1432" s="49" t="n">
        <v>0</v>
      </c>
      <c r="I1432" s="49" t="n">
        <v>0</v>
      </c>
      <c r="J1432" s="50" t="n">
        <v>0</v>
      </c>
      <c r="K1432" s="51" t="n">
        <v>0</v>
      </c>
      <c r="L1432" s="52" t="n">
        <v>0</v>
      </c>
      <c r="M1432" s="52" t="n">
        <v>0</v>
      </c>
      <c r="N1432" s="52" t="n">
        <v>0</v>
      </c>
      <c r="O1432" s="53" t="n">
        <v>0</v>
      </c>
      <c r="P1432" s="52" t="n">
        <v>0</v>
      </c>
      <c r="Q1432" s="53" t="n">
        <v>0</v>
      </c>
      <c r="R1432" s="52" t="n">
        <v>0</v>
      </c>
      <c r="S1432" s="51" t="n">
        <v>0</v>
      </c>
      <c r="T1432" s="48" t="n">
        <v>0</v>
      </c>
      <c r="U1432" s="49" t="n">
        <v>0</v>
      </c>
      <c r="V1432" s="49" t="n">
        <v>0</v>
      </c>
      <c r="W1432" s="50" t="n">
        <v>0</v>
      </c>
      <c r="X1432" s="51" t="n">
        <v>0</v>
      </c>
      <c r="Y1432" s="52" t="n">
        <v>0</v>
      </c>
      <c r="Z1432" s="52" t="n">
        <v>0</v>
      </c>
      <c r="AA1432" s="52" t="n">
        <v>0</v>
      </c>
      <c r="AB1432" s="53" t="n">
        <v>0</v>
      </c>
      <c r="AC1432" s="52" t="n">
        <v>0</v>
      </c>
      <c r="AD1432" s="53" t="n">
        <v>0</v>
      </c>
      <c r="AE1432" s="52" t="n">
        <v>0</v>
      </c>
      <c r="AF1432" s="51" t="n">
        <v>0</v>
      </c>
      <c r="AG1432" s="48" t="n">
        <v>0</v>
      </c>
      <c r="AH1432" s="49" t="n">
        <v>0</v>
      </c>
      <c r="AI1432" s="49" t="n">
        <v>0</v>
      </c>
      <c r="AJ1432" s="50" t="n">
        <v>0</v>
      </c>
      <c r="AK1432" s="51" t="n">
        <v>0</v>
      </c>
      <c r="AL1432" s="52" t="n">
        <v>0</v>
      </c>
      <c r="AM1432" s="52" t="n">
        <v>0</v>
      </c>
      <c r="AN1432" s="52" t="n">
        <v>0</v>
      </c>
      <c r="AO1432" s="53" t="n">
        <v>0</v>
      </c>
      <c r="AP1432" s="52" t="n">
        <v>0</v>
      </c>
      <c r="AQ1432" s="53" t="n">
        <v>0</v>
      </c>
      <c r="AR1432" s="52" t="n">
        <v>0</v>
      </c>
      <c r="AS1432" s="51" t="n">
        <v>0</v>
      </c>
      <c r="AT1432" s="48" t="n">
        <v>0</v>
      </c>
      <c r="AU1432" s="49" t="n">
        <v>0</v>
      </c>
      <c r="AV1432" s="49" t="n">
        <v>0</v>
      </c>
      <c r="AW1432" s="50" t="n">
        <v>0</v>
      </c>
      <c r="AX1432" s="51" t="n">
        <v>0</v>
      </c>
      <c r="AY1432" s="52" t="n">
        <v>0</v>
      </c>
      <c r="AZ1432" s="52" t="n">
        <v>0</v>
      </c>
      <c r="BA1432" s="52" t="n">
        <v>0</v>
      </c>
      <c r="BB1432" s="53" t="n">
        <v>0</v>
      </c>
      <c r="BC1432" s="52" t="n">
        <v>0</v>
      </c>
      <c r="BD1432" s="53" t="n">
        <v>0</v>
      </c>
      <c r="BE1432" s="52" t="n">
        <v>0</v>
      </c>
      <c r="BF1432" s="51" t="n">
        <v>0</v>
      </c>
    </row>
    <row r="1433">
      <c r="A1433">
        <f>HYPERLINK("https://www.walmart.com/ip/14488814816", "14488814816")</f>
        <v/>
      </c>
      <c r="B1433" t="inlineStr">
        <is>
          <t>Catalonia Womens' Full Body Blanket Hoodie Sweatshirt, Extra Long Wearable Fleece Pullover, Gift for Adult Men Women Wife Girlfriend, Pink</t>
        </is>
      </c>
      <c r="C1433" t="inlineStr">
        <is>
          <t>1CTOSH310S1AQ-FS</t>
        </is>
      </c>
      <c r="D1433" t="inlineStr">
        <is>
          <t>Sweatshirts &amp; Hoodies</t>
        </is>
      </c>
      <c r="E1433" t="inlineStr">
        <is>
          <t>Catalonia</t>
        </is>
      </c>
      <c r="G1433" s="48" t="n">
        <v>0</v>
      </c>
      <c r="H1433" s="49" t="n">
        <v>0</v>
      </c>
      <c r="I1433" s="49" t="n">
        <v>0</v>
      </c>
      <c r="J1433" s="50" t="n">
        <v>0</v>
      </c>
      <c r="K1433" s="51" t="n">
        <v>0</v>
      </c>
      <c r="L1433" s="52" t="n">
        <v>0</v>
      </c>
      <c r="M1433" s="52" t="n">
        <v>0</v>
      </c>
      <c r="N1433" s="52" t="n">
        <v>0</v>
      </c>
      <c r="O1433" s="53" t="n">
        <v>0</v>
      </c>
      <c r="P1433" s="52" t="n">
        <v>0</v>
      </c>
      <c r="Q1433" s="53" t="n">
        <v>0</v>
      </c>
      <c r="R1433" s="52" t="n">
        <v>0</v>
      </c>
      <c r="S1433" s="51" t="n">
        <v>0</v>
      </c>
      <c r="T1433" s="48" t="n">
        <v>0</v>
      </c>
      <c r="U1433" s="49" t="n">
        <v>0</v>
      </c>
      <c r="V1433" s="49" t="n">
        <v>0</v>
      </c>
      <c r="W1433" s="50" t="n">
        <v>0</v>
      </c>
      <c r="X1433" s="51" t="n">
        <v>0</v>
      </c>
      <c r="Y1433" s="52" t="n">
        <v>0</v>
      </c>
      <c r="Z1433" s="52" t="n">
        <v>0</v>
      </c>
      <c r="AA1433" s="52" t="n">
        <v>0</v>
      </c>
      <c r="AB1433" s="53" t="n">
        <v>0</v>
      </c>
      <c r="AC1433" s="52" t="n">
        <v>0</v>
      </c>
      <c r="AD1433" s="53" t="n">
        <v>0</v>
      </c>
      <c r="AE1433" s="52" t="n">
        <v>0</v>
      </c>
      <c r="AF1433" s="51" t="n">
        <v>0</v>
      </c>
      <c r="AG1433" s="48" t="n">
        <v>0</v>
      </c>
      <c r="AH1433" s="49" t="n">
        <v>0</v>
      </c>
      <c r="AI1433" s="49" t="n">
        <v>0</v>
      </c>
      <c r="AJ1433" s="50" t="n">
        <v>0</v>
      </c>
      <c r="AK1433" s="51" t="n">
        <v>0</v>
      </c>
      <c r="AL1433" s="52" t="n">
        <v>0</v>
      </c>
      <c r="AM1433" s="52" t="n">
        <v>0</v>
      </c>
      <c r="AN1433" s="52" t="n">
        <v>0</v>
      </c>
      <c r="AO1433" s="53" t="n">
        <v>0</v>
      </c>
      <c r="AP1433" s="52" t="n">
        <v>0</v>
      </c>
      <c r="AQ1433" s="53" t="n">
        <v>0</v>
      </c>
      <c r="AR1433" s="52" t="n">
        <v>0</v>
      </c>
      <c r="AS1433" s="51" t="n">
        <v>0</v>
      </c>
      <c r="AT1433" s="48" t="n">
        <v>0</v>
      </c>
      <c r="AU1433" s="49" t="n">
        <v>0</v>
      </c>
      <c r="AV1433" s="49" t="n">
        <v>0</v>
      </c>
      <c r="AW1433" s="50" t="n">
        <v>0</v>
      </c>
      <c r="AX1433" s="51" t="n">
        <v>0</v>
      </c>
      <c r="AY1433" s="52" t="n">
        <v>0</v>
      </c>
      <c r="AZ1433" s="52" t="n">
        <v>0</v>
      </c>
      <c r="BA1433" s="52" t="n">
        <v>0</v>
      </c>
      <c r="BB1433" s="53" t="n">
        <v>0</v>
      </c>
      <c r="BC1433" s="52" t="n">
        <v>0</v>
      </c>
      <c r="BD1433" s="53" t="n">
        <v>0</v>
      </c>
      <c r="BE1433" s="52" t="n">
        <v>0</v>
      </c>
      <c r="BF1433" s="51" t="n">
        <v>0</v>
      </c>
    </row>
    <row r="1434">
      <c r="A1434">
        <f>HYPERLINK("https://www.walmart.com/ip/14488814829", "14488814829")</f>
        <v/>
      </c>
      <c r="B1434" t="inlineStr">
        <is>
          <t>Tirrinia Womens' Hoodie Blanket Sweatshirt, Oversized Comfortable Fleece Giant Wearable Blankets, Hoodie Blanket for Men, Gift for Her Him, Purple</t>
        </is>
      </c>
      <c r="C1434" t="inlineStr">
        <is>
          <t>1TROSH400PP-FS</t>
        </is>
      </c>
      <c r="D1434" t="inlineStr">
        <is>
          <t>Sweatshirts &amp; Hoodies</t>
        </is>
      </c>
      <c r="E1434" t="inlineStr">
        <is>
          <t>Tirrinia</t>
        </is>
      </c>
      <c r="G1434" s="48" t="n">
        <v>0</v>
      </c>
      <c r="H1434" s="49" t="n">
        <v>0</v>
      </c>
      <c r="I1434" s="49" t="n">
        <v>0</v>
      </c>
      <c r="J1434" s="50" t="n">
        <v>0</v>
      </c>
      <c r="K1434" s="51" t="n">
        <v>0</v>
      </c>
      <c r="L1434" s="52" t="n">
        <v>0</v>
      </c>
      <c r="M1434" s="52" t="n">
        <v>0</v>
      </c>
      <c r="N1434" s="52" t="n">
        <v>0</v>
      </c>
      <c r="O1434" s="53" t="n">
        <v>0</v>
      </c>
      <c r="P1434" s="52" t="n">
        <v>0</v>
      </c>
      <c r="Q1434" s="53" t="n">
        <v>0</v>
      </c>
      <c r="R1434" s="52" t="n">
        <v>0</v>
      </c>
      <c r="S1434" s="51" t="n">
        <v>0</v>
      </c>
      <c r="T1434" s="48" t="n">
        <v>0</v>
      </c>
      <c r="U1434" s="49" t="n">
        <v>0</v>
      </c>
      <c r="V1434" s="49" t="n">
        <v>0</v>
      </c>
      <c r="W1434" s="50" t="n">
        <v>0</v>
      </c>
      <c r="X1434" s="51" t="n">
        <v>0</v>
      </c>
      <c r="Y1434" s="52" t="n">
        <v>0</v>
      </c>
      <c r="Z1434" s="52" t="n">
        <v>0</v>
      </c>
      <c r="AA1434" s="52" t="n">
        <v>0</v>
      </c>
      <c r="AB1434" s="53" t="n">
        <v>0</v>
      </c>
      <c r="AC1434" s="52" t="n">
        <v>0</v>
      </c>
      <c r="AD1434" s="53" t="n">
        <v>0</v>
      </c>
      <c r="AE1434" s="52" t="n">
        <v>0</v>
      </c>
      <c r="AF1434" s="51" t="n">
        <v>0</v>
      </c>
      <c r="AG1434" s="48" t="n">
        <v>0</v>
      </c>
      <c r="AH1434" s="49" t="n">
        <v>0</v>
      </c>
      <c r="AI1434" s="49" t="n">
        <v>0</v>
      </c>
      <c r="AJ1434" s="50" t="n">
        <v>0</v>
      </c>
      <c r="AK1434" s="51" t="n">
        <v>0</v>
      </c>
      <c r="AL1434" s="52" t="n">
        <v>0</v>
      </c>
      <c r="AM1434" s="52" t="n">
        <v>0</v>
      </c>
      <c r="AN1434" s="52" t="n">
        <v>0</v>
      </c>
      <c r="AO1434" s="53" t="n">
        <v>0</v>
      </c>
      <c r="AP1434" s="52" t="n">
        <v>0</v>
      </c>
      <c r="AQ1434" s="53" t="n">
        <v>0</v>
      </c>
      <c r="AR1434" s="52" t="n">
        <v>0</v>
      </c>
      <c r="AS1434" s="51" t="n">
        <v>0</v>
      </c>
      <c r="AT1434" s="48" t="n">
        <v>0</v>
      </c>
      <c r="AU1434" s="49" t="n">
        <v>0</v>
      </c>
      <c r="AV1434" s="49" t="n">
        <v>0</v>
      </c>
      <c r="AW1434" s="50" t="n">
        <v>0</v>
      </c>
      <c r="AX1434" s="51" t="n">
        <v>0</v>
      </c>
      <c r="AY1434" s="52" t="n">
        <v>0</v>
      </c>
      <c r="AZ1434" s="52" t="n">
        <v>0</v>
      </c>
      <c r="BA1434" s="52" t="n">
        <v>0</v>
      </c>
      <c r="BB1434" s="53" t="n">
        <v>0</v>
      </c>
      <c r="BC1434" s="52" t="n">
        <v>0</v>
      </c>
      <c r="BD1434" s="53" t="n">
        <v>0</v>
      </c>
      <c r="BE1434" s="52" t="n">
        <v>0</v>
      </c>
      <c r="BF1434" s="51" t="n">
        <v>0</v>
      </c>
    </row>
    <row r="1435">
      <c r="A1435">
        <f>HYPERLINK("https://www.walmart.com/ip/14488864795", "14488864795")</f>
        <v/>
      </c>
      <c r="B1435" t="inlineStr">
        <is>
          <t>Womens Oversized Flannel Blanket Hoodie Sweatshirt, Plush Fleece Lined Lounging Pullover, Christmas Gift for Women (Red Checkered) - Catalonia</t>
        </is>
      </c>
      <c r="C1435" t="inlineStr">
        <is>
          <t>1CTOSH400LBL-FS</t>
        </is>
      </c>
      <c r="D1435" t="inlineStr">
        <is>
          <t>Sweatshirts &amp; Hoodies</t>
        </is>
      </c>
      <c r="E1435" t="inlineStr">
        <is>
          <t>Catalonia</t>
        </is>
      </c>
      <c r="G1435" s="48" t="n">
        <v>0</v>
      </c>
      <c r="H1435" s="49" t="n">
        <v>0</v>
      </c>
      <c r="I1435" s="49" t="n">
        <v>0</v>
      </c>
      <c r="J1435" s="50" t="n">
        <v>0</v>
      </c>
      <c r="K1435" s="51" t="n">
        <v>0</v>
      </c>
      <c r="L1435" s="52" t="n">
        <v>0</v>
      </c>
      <c r="M1435" s="52" t="n">
        <v>0</v>
      </c>
      <c r="N1435" s="52" t="n">
        <v>0</v>
      </c>
      <c r="O1435" s="53" t="n">
        <v>0</v>
      </c>
      <c r="P1435" s="52" t="n">
        <v>0</v>
      </c>
      <c r="Q1435" s="53" t="n">
        <v>0</v>
      </c>
      <c r="R1435" s="52" t="n">
        <v>0</v>
      </c>
      <c r="S1435" s="51" t="n">
        <v>0</v>
      </c>
      <c r="T1435" s="48" t="n">
        <v>0</v>
      </c>
      <c r="U1435" s="49" t="n">
        <v>0</v>
      </c>
      <c r="V1435" s="49" t="n">
        <v>0</v>
      </c>
      <c r="W1435" s="50" t="n">
        <v>0</v>
      </c>
      <c r="X1435" s="51" t="n">
        <v>0</v>
      </c>
      <c r="Y1435" s="52" t="n">
        <v>0</v>
      </c>
      <c r="Z1435" s="52" t="n">
        <v>0</v>
      </c>
      <c r="AA1435" s="52" t="n">
        <v>0</v>
      </c>
      <c r="AB1435" s="53" t="n">
        <v>0</v>
      </c>
      <c r="AC1435" s="52" t="n">
        <v>0</v>
      </c>
      <c r="AD1435" s="53" t="n">
        <v>0</v>
      </c>
      <c r="AE1435" s="52" t="n">
        <v>0</v>
      </c>
      <c r="AF1435" s="51" t="n">
        <v>0</v>
      </c>
      <c r="AG1435" s="48" t="n">
        <v>0</v>
      </c>
      <c r="AH1435" s="49" t="n">
        <v>0</v>
      </c>
      <c r="AI1435" s="49" t="n">
        <v>0</v>
      </c>
      <c r="AJ1435" s="50" t="n">
        <v>0</v>
      </c>
      <c r="AK1435" s="51" t="n">
        <v>0</v>
      </c>
      <c r="AL1435" s="52" t="n">
        <v>0</v>
      </c>
      <c r="AM1435" s="52" t="n">
        <v>0</v>
      </c>
      <c r="AN1435" s="52" t="n">
        <v>0</v>
      </c>
      <c r="AO1435" s="53" t="n">
        <v>0</v>
      </c>
      <c r="AP1435" s="52" t="n">
        <v>0</v>
      </c>
      <c r="AQ1435" s="53" t="n">
        <v>0</v>
      </c>
      <c r="AR1435" s="52" t="n">
        <v>0</v>
      </c>
      <c r="AS1435" s="51" t="n">
        <v>0</v>
      </c>
      <c r="AT1435" s="48" t="n">
        <v>0</v>
      </c>
      <c r="AU1435" s="49" t="n">
        <v>0</v>
      </c>
      <c r="AV1435" s="49" t="n">
        <v>0</v>
      </c>
      <c r="AW1435" s="50" t="n">
        <v>0</v>
      </c>
      <c r="AX1435" s="51" t="n">
        <v>0</v>
      </c>
      <c r="AY1435" s="52" t="n">
        <v>0</v>
      </c>
      <c r="AZ1435" s="52" t="n">
        <v>0</v>
      </c>
      <c r="BA1435" s="52" t="n">
        <v>0</v>
      </c>
      <c r="BB1435" s="53" t="n">
        <v>0</v>
      </c>
      <c r="BC1435" s="52" t="n">
        <v>0</v>
      </c>
      <c r="BD1435" s="53" t="n">
        <v>0</v>
      </c>
      <c r="BE1435" s="52" t="n">
        <v>0</v>
      </c>
      <c r="BF1435" s="51" t="n">
        <v>0</v>
      </c>
    </row>
    <row r="1436">
      <c r="A1436">
        <f>HYPERLINK("https://www.walmart.com/ip/14488914614", "14488914614")</f>
        <v/>
      </c>
      <c r="B1436" t="inlineStr">
        <is>
          <t>Womens Oversized Flannel Blanket Hoodie Sweatshirt, Plush Fleece Lined Lounging Pullover, Christmas Gift for Women (Dark Red) - Catalonia</t>
        </is>
      </c>
      <c r="C1436" t="inlineStr">
        <is>
          <t>1CTOSH400WN-FS</t>
        </is>
      </c>
      <c r="D1436" t="inlineStr">
        <is>
          <t>Sweatshirts &amp; Hoodies</t>
        </is>
      </c>
      <c r="E1436" t="inlineStr">
        <is>
          <t>Catalonia</t>
        </is>
      </c>
      <c r="G1436" s="48" t="n">
        <v>0</v>
      </c>
      <c r="H1436" s="49" t="n">
        <v>0</v>
      </c>
      <c r="I1436" s="49" t="n">
        <v>0</v>
      </c>
      <c r="J1436" s="50" t="n">
        <v>0</v>
      </c>
      <c r="K1436" s="51" t="n">
        <v>0</v>
      </c>
      <c r="L1436" s="52" t="n">
        <v>0</v>
      </c>
      <c r="M1436" s="52" t="n">
        <v>0</v>
      </c>
      <c r="N1436" s="52" t="n">
        <v>0</v>
      </c>
      <c r="O1436" s="53" t="n">
        <v>0</v>
      </c>
      <c r="P1436" s="52" t="n">
        <v>0</v>
      </c>
      <c r="Q1436" s="53" t="n">
        <v>0</v>
      </c>
      <c r="R1436" s="52" t="n">
        <v>0</v>
      </c>
      <c r="S1436" s="51" t="n">
        <v>0</v>
      </c>
      <c r="T1436" s="48" t="n">
        <v>0</v>
      </c>
      <c r="U1436" s="49" t="n">
        <v>0</v>
      </c>
      <c r="V1436" s="49" t="n">
        <v>0</v>
      </c>
      <c r="W1436" s="50" t="n">
        <v>0</v>
      </c>
      <c r="X1436" s="51" t="n">
        <v>0</v>
      </c>
      <c r="Y1436" s="52" t="n">
        <v>0</v>
      </c>
      <c r="Z1436" s="52" t="n">
        <v>0</v>
      </c>
      <c r="AA1436" s="52" t="n">
        <v>0</v>
      </c>
      <c r="AB1436" s="53" t="n">
        <v>0</v>
      </c>
      <c r="AC1436" s="52" t="n">
        <v>0</v>
      </c>
      <c r="AD1436" s="53" t="n">
        <v>0</v>
      </c>
      <c r="AE1436" s="52" t="n">
        <v>0</v>
      </c>
      <c r="AF1436" s="51" t="n">
        <v>0</v>
      </c>
      <c r="AG1436" s="48" t="n">
        <v>0</v>
      </c>
      <c r="AH1436" s="49" t="n">
        <v>0</v>
      </c>
      <c r="AI1436" s="49" t="n">
        <v>0</v>
      </c>
      <c r="AJ1436" s="50" t="n">
        <v>0</v>
      </c>
      <c r="AK1436" s="51" t="n">
        <v>0</v>
      </c>
      <c r="AL1436" s="52" t="n">
        <v>0</v>
      </c>
      <c r="AM1436" s="52" t="n">
        <v>0</v>
      </c>
      <c r="AN1436" s="52" t="n">
        <v>0</v>
      </c>
      <c r="AO1436" s="53" t="n">
        <v>0</v>
      </c>
      <c r="AP1436" s="52" t="n">
        <v>0</v>
      </c>
      <c r="AQ1436" s="53" t="n">
        <v>0</v>
      </c>
      <c r="AR1436" s="52" t="n">
        <v>0</v>
      </c>
      <c r="AS1436" s="51" t="n">
        <v>0</v>
      </c>
      <c r="AT1436" s="48" t="n">
        <v>0</v>
      </c>
      <c r="AU1436" s="49" t="n">
        <v>0</v>
      </c>
      <c r="AV1436" s="49" t="n">
        <v>0</v>
      </c>
      <c r="AW1436" s="50" t="n">
        <v>0</v>
      </c>
      <c r="AX1436" s="51" t="n">
        <v>0</v>
      </c>
      <c r="AY1436" s="52" t="n">
        <v>0</v>
      </c>
      <c r="AZ1436" s="52" t="n">
        <v>0</v>
      </c>
      <c r="BA1436" s="52" t="n">
        <v>0</v>
      </c>
      <c r="BB1436" s="53" t="n">
        <v>0</v>
      </c>
      <c r="BC1436" s="52" t="n">
        <v>0</v>
      </c>
      <c r="BD1436" s="53" t="n">
        <v>0</v>
      </c>
      <c r="BE1436" s="52" t="n">
        <v>0</v>
      </c>
      <c r="BF1436" s="51" t="n">
        <v>0</v>
      </c>
    </row>
    <row r="1437">
      <c r="A1437">
        <f>HYPERLINK("https://www.walmart.com/ip/14486463813", "14486463813")</f>
        <v/>
      </c>
      <c r="B1437" t="inlineStr">
        <is>
          <t>Catalonia Womens' Full Body Blanket Hoodie Sweatshirt, Extra Long Wearable Fleece Pullover, Gift for Adult Men Women Wife Girlfriend, Black</t>
        </is>
      </c>
      <c r="C1437" t="inlineStr">
        <is>
          <t>1CTOSH310S1BK-FS</t>
        </is>
      </c>
      <c r="D1437" t="inlineStr">
        <is>
          <t>Sweatshirts &amp; Hoodies</t>
        </is>
      </c>
      <c r="E1437" t="inlineStr">
        <is>
          <t>Catalonia</t>
        </is>
      </c>
      <c r="G1437" s="48" t="n">
        <v>0</v>
      </c>
      <c r="H1437" s="49" t="n">
        <v>0</v>
      </c>
      <c r="I1437" s="49" t="n">
        <v>0</v>
      </c>
      <c r="J1437" s="50" t="n">
        <v>0</v>
      </c>
      <c r="K1437" s="51" t="n">
        <v>0</v>
      </c>
      <c r="L1437" s="52" t="n">
        <v>0</v>
      </c>
      <c r="M1437" s="52" t="n">
        <v>0</v>
      </c>
      <c r="N1437" s="52" t="n">
        <v>0</v>
      </c>
      <c r="O1437" s="53" t="n">
        <v>0</v>
      </c>
      <c r="P1437" s="52" t="n">
        <v>0</v>
      </c>
      <c r="Q1437" s="53" t="n">
        <v>0</v>
      </c>
      <c r="R1437" s="52" t="n">
        <v>0</v>
      </c>
      <c r="S1437" s="51" t="n">
        <v>0</v>
      </c>
      <c r="T1437" s="48" t="n">
        <v>32.99</v>
      </c>
      <c r="U1437" s="49" t="n">
        <v>1</v>
      </c>
      <c r="V1437" s="49" t="n">
        <v>0</v>
      </c>
      <c r="W1437" s="50" t="n">
        <v>0</v>
      </c>
      <c r="X1437" s="51" t="n">
        <v>0</v>
      </c>
      <c r="Y1437" s="52" t="n">
        <v>0</v>
      </c>
      <c r="Z1437" s="52" t="n">
        <v>0</v>
      </c>
      <c r="AA1437" s="52" t="n">
        <v>0</v>
      </c>
      <c r="AB1437" s="53" t="n">
        <v>0</v>
      </c>
      <c r="AC1437" s="52" t="n">
        <v>0</v>
      </c>
      <c r="AD1437" s="53" t="n">
        <v>0</v>
      </c>
      <c r="AE1437" s="52" t="n">
        <v>32.99</v>
      </c>
      <c r="AF1437" s="51" t="n">
        <v>0</v>
      </c>
      <c r="AG1437" s="48" t="n">
        <v>0</v>
      </c>
      <c r="AH1437" s="49" t="n">
        <v>0</v>
      </c>
      <c r="AI1437" s="49" t="n">
        <v>0</v>
      </c>
      <c r="AJ1437" s="50" t="n">
        <v>0</v>
      </c>
      <c r="AK1437" s="51" t="n">
        <v>0</v>
      </c>
      <c r="AL1437" s="52" t="n">
        <v>0</v>
      </c>
      <c r="AM1437" s="52" t="n">
        <v>0</v>
      </c>
      <c r="AN1437" s="52" t="n">
        <v>0</v>
      </c>
      <c r="AO1437" s="53" t="n">
        <v>0</v>
      </c>
      <c r="AP1437" s="52" t="n">
        <v>0</v>
      </c>
      <c r="AQ1437" s="53" t="n">
        <v>0</v>
      </c>
      <c r="AR1437" s="52" t="n">
        <v>0</v>
      </c>
      <c r="AS1437" s="51" t="n">
        <v>0</v>
      </c>
      <c r="AT1437" s="48" t="n">
        <v>0</v>
      </c>
      <c r="AU1437" s="49" t="n">
        <v>0</v>
      </c>
      <c r="AV1437" s="49" t="n">
        <v>0</v>
      </c>
      <c r="AW1437" s="50" t="n">
        <v>0</v>
      </c>
      <c r="AX1437" s="51" t="n">
        <v>0</v>
      </c>
      <c r="AY1437" s="52" t="n">
        <v>0</v>
      </c>
      <c r="AZ1437" s="52" t="n">
        <v>0</v>
      </c>
      <c r="BA1437" s="52" t="n">
        <v>0</v>
      </c>
      <c r="BB1437" s="53" t="n">
        <v>0</v>
      </c>
      <c r="BC1437" s="52" t="n">
        <v>0</v>
      </c>
      <c r="BD1437" s="53" t="n">
        <v>0</v>
      </c>
      <c r="BE1437" s="52" t="n">
        <v>0</v>
      </c>
      <c r="BF1437" s="51" t="n">
        <v>0</v>
      </c>
    </row>
    <row r="1438">
      <c r="A1438">
        <f>HYPERLINK("https://www.walmart.com/ip/14483052398", "14483052398")</f>
        <v/>
      </c>
      <c r="B1438" t="inlineStr">
        <is>
          <t>Catalonia Women's Hoodie Sweatshirt, Casual Pullover Sweater with front Pocket, Womens Fall Winter Clothing, Blanket Hoodie Sweatshirt, Banana Cat</t>
        </is>
      </c>
      <c r="C1438" t="inlineStr">
        <is>
          <t>1CTOSH300S1BANANACATBL-FS</t>
        </is>
      </c>
      <c r="D1438" t="inlineStr">
        <is>
          <t>Sweatshirts &amp; Hoodies</t>
        </is>
      </c>
      <c r="E1438" t="inlineStr">
        <is>
          <t>Catalonia</t>
        </is>
      </c>
      <c r="G1438" s="48" t="n">
        <v>0</v>
      </c>
      <c r="H1438" s="49" t="n">
        <v>0</v>
      </c>
      <c r="I1438" s="49" t="n">
        <v>0</v>
      </c>
      <c r="J1438" s="50" t="n">
        <v>0</v>
      </c>
      <c r="K1438" s="51" t="n">
        <v>0</v>
      </c>
      <c r="L1438" s="52" t="n">
        <v>0</v>
      </c>
      <c r="M1438" s="52" t="n">
        <v>0</v>
      </c>
      <c r="N1438" s="52" t="n">
        <v>0</v>
      </c>
      <c r="O1438" s="53" t="n">
        <v>0</v>
      </c>
      <c r="P1438" s="52" t="n">
        <v>0</v>
      </c>
      <c r="Q1438" s="53" t="n">
        <v>0</v>
      </c>
      <c r="R1438" s="52" t="n">
        <v>0</v>
      </c>
      <c r="S1438" s="51" t="n">
        <v>0</v>
      </c>
      <c r="T1438" s="48" t="n">
        <v>0</v>
      </c>
      <c r="U1438" s="49" t="n">
        <v>0</v>
      </c>
      <c r="V1438" s="49" t="n">
        <v>0</v>
      </c>
      <c r="W1438" s="50" t="n">
        <v>0</v>
      </c>
      <c r="X1438" s="51" t="n">
        <v>0</v>
      </c>
      <c r="Y1438" s="52" t="n">
        <v>0</v>
      </c>
      <c r="Z1438" s="52" t="n">
        <v>0</v>
      </c>
      <c r="AA1438" s="52" t="n">
        <v>0</v>
      </c>
      <c r="AB1438" s="53" t="n">
        <v>0</v>
      </c>
      <c r="AC1438" s="52" t="n">
        <v>0</v>
      </c>
      <c r="AD1438" s="53" t="n">
        <v>0</v>
      </c>
      <c r="AE1438" s="52" t="n">
        <v>0</v>
      </c>
      <c r="AF1438" s="51" t="n">
        <v>0</v>
      </c>
      <c r="AG1438" s="48" t="n">
        <v>0</v>
      </c>
      <c r="AH1438" s="49" t="n">
        <v>0</v>
      </c>
      <c r="AI1438" s="49" t="n">
        <v>0</v>
      </c>
      <c r="AJ1438" s="50" t="n">
        <v>0</v>
      </c>
      <c r="AK1438" s="51" t="n">
        <v>0</v>
      </c>
      <c r="AL1438" s="52" t="n">
        <v>0</v>
      </c>
      <c r="AM1438" s="52" t="n">
        <v>0</v>
      </c>
      <c r="AN1438" s="52" t="n">
        <v>0</v>
      </c>
      <c r="AO1438" s="53" t="n">
        <v>0</v>
      </c>
      <c r="AP1438" s="52" t="n">
        <v>0</v>
      </c>
      <c r="AQ1438" s="53" t="n">
        <v>0</v>
      </c>
      <c r="AR1438" s="52" t="n">
        <v>0</v>
      </c>
      <c r="AS1438" s="51" t="n">
        <v>0</v>
      </c>
      <c r="AT1438" s="48" t="n">
        <v>0</v>
      </c>
      <c r="AU1438" s="49" t="n">
        <v>0</v>
      </c>
      <c r="AV1438" s="49" t="n">
        <v>0</v>
      </c>
      <c r="AW1438" s="50" t="n">
        <v>0</v>
      </c>
      <c r="AX1438" s="51" t="n">
        <v>0</v>
      </c>
      <c r="AY1438" s="52" t="n">
        <v>0</v>
      </c>
      <c r="AZ1438" s="52" t="n">
        <v>0</v>
      </c>
      <c r="BA1438" s="52" t="n">
        <v>0</v>
      </c>
      <c r="BB1438" s="53" t="n">
        <v>0</v>
      </c>
      <c r="BC1438" s="52" t="n">
        <v>0</v>
      </c>
      <c r="BD1438" s="53" t="n">
        <v>0</v>
      </c>
      <c r="BE1438" s="52" t="n">
        <v>0</v>
      </c>
      <c r="BF1438" s="51" t="n">
        <v>0</v>
      </c>
    </row>
    <row r="1439">
      <c r="A1439">
        <f>HYPERLINK("https://www.walmart.com/ip/14472471073", "14472471073")</f>
        <v/>
      </c>
      <c r="B1439" t="inlineStr">
        <is>
          <t>Womens Oversized Flannel Blanket Hoodie Sweatshirt, Plush Fleece Lined Lounging Pullover, Christmas Gift for Women (Rose Print, Pink) - Catalonia</t>
        </is>
      </c>
      <c r="C1439" t="inlineStr">
        <is>
          <t>1CTOSH400GYDOG-FS</t>
        </is>
      </c>
      <c r="D1439" t="inlineStr">
        <is>
          <t>Sweatshirts &amp; Hoodies</t>
        </is>
      </c>
      <c r="E1439" t="inlineStr">
        <is>
          <t>Catalonia</t>
        </is>
      </c>
      <c r="G1439" s="48" t="n">
        <v>0</v>
      </c>
      <c r="H1439" s="49" t="n">
        <v>0</v>
      </c>
      <c r="I1439" s="49" t="n">
        <v>0</v>
      </c>
      <c r="J1439" s="50" t="n">
        <v>0</v>
      </c>
      <c r="K1439" s="51" t="n">
        <v>0</v>
      </c>
      <c r="L1439" s="52" t="n">
        <v>0</v>
      </c>
      <c r="M1439" s="52" t="n">
        <v>0</v>
      </c>
      <c r="N1439" s="52" t="n">
        <v>0</v>
      </c>
      <c r="O1439" s="53" t="n">
        <v>0</v>
      </c>
      <c r="P1439" s="52" t="n">
        <v>0</v>
      </c>
      <c r="Q1439" s="53" t="n">
        <v>0</v>
      </c>
      <c r="R1439" s="52" t="n">
        <v>0</v>
      </c>
      <c r="S1439" s="51" t="n">
        <v>0</v>
      </c>
      <c r="T1439" s="48" t="n">
        <v>0</v>
      </c>
      <c r="U1439" s="49" t="n">
        <v>0</v>
      </c>
      <c r="V1439" s="49" t="n">
        <v>0</v>
      </c>
      <c r="W1439" s="50" t="n">
        <v>0</v>
      </c>
      <c r="X1439" s="51" t="n">
        <v>0</v>
      </c>
      <c r="Y1439" s="52" t="n">
        <v>0</v>
      </c>
      <c r="Z1439" s="52" t="n">
        <v>0</v>
      </c>
      <c r="AA1439" s="52" t="n">
        <v>0</v>
      </c>
      <c r="AB1439" s="53" t="n">
        <v>0</v>
      </c>
      <c r="AC1439" s="52" t="n">
        <v>0</v>
      </c>
      <c r="AD1439" s="53" t="n">
        <v>0</v>
      </c>
      <c r="AE1439" s="52" t="n">
        <v>0</v>
      </c>
      <c r="AF1439" s="51" t="n">
        <v>0</v>
      </c>
      <c r="AG1439" s="48" t="n">
        <v>0</v>
      </c>
      <c r="AH1439" s="49" t="n">
        <v>0</v>
      </c>
      <c r="AI1439" s="49" t="n">
        <v>0</v>
      </c>
      <c r="AJ1439" s="50" t="n">
        <v>0</v>
      </c>
      <c r="AK1439" s="51" t="n">
        <v>0</v>
      </c>
      <c r="AL1439" s="52" t="n">
        <v>0</v>
      </c>
      <c r="AM1439" s="52" t="n">
        <v>0</v>
      </c>
      <c r="AN1439" s="52" t="n">
        <v>0</v>
      </c>
      <c r="AO1439" s="53" t="n">
        <v>0</v>
      </c>
      <c r="AP1439" s="52" t="n">
        <v>0</v>
      </c>
      <c r="AQ1439" s="53" t="n">
        <v>0</v>
      </c>
      <c r="AR1439" s="52" t="n">
        <v>0</v>
      </c>
      <c r="AS1439" s="51" t="n">
        <v>0</v>
      </c>
      <c r="AT1439" s="48" t="n">
        <v>0</v>
      </c>
      <c r="AU1439" s="49" t="n">
        <v>0</v>
      </c>
      <c r="AV1439" s="49" t="n">
        <v>0</v>
      </c>
      <c r="AW1439" s="50" t="n">
        <v>0</v>
      </c>
      <c r="AX1439" s="51" t="n">
        <v>0</v>
      </c>
      <c r="AY1439" s="52" t="n">
        <v>0</v>
      </c>
      <c r="AZ1439" s="52" t="n">
        <v>0</v>
      </c>
      <c r="BA1439" s="52" t="n">
        <v>0</v>
      </c>
      <c r="BB1439" s="53" t="n">
        <v>0</v>
      </c>
      <c r="BC1439" s="52" t="n">
        <v>0</v>
      </c>
      <c r="BD1439" s="53" t="n">
        <v>0</v>
      </c>
      <c r="BE1439" s="52" t="n">
        <v>0</v>
      </c>
      <c r="BF1439" s="51" t="n">
        <v>0</v>
      </c>
    </row>
    <row r="1440">
      <c r="A1440">
        <f>HYPERLINK("https://www.walmart.com/ip/14483052392", "14483052392")</f>
        <v/>
      </c>
      <c r="B1440" t="inlineStr">
        <is>
          <t>Womens Oversized Flannel Blanket Hoodie Sweatshirt, Plush Fleece Lined Lounging Pullover, Christmas Gift for Women (Ash Gray) - Catalonia</t>
        </is>
      </c>
      <c r="C1440" t="inlineStr">
        <is>
          <t>1CTOSH400GYASH-FS</t>
        </is>
      </c>
      <c r="D1440" t="inlineStr">
        <is>
          <t>Sweatshirts &amp; Hoodies</t>
        </is>
      </c>
      <c r="E1440" t="inlineStr">
        <is>
          <t>Catalonia</t>
        </is>
      </c>
      <c r="G1440" s="48" t="n">
        <v>0</v>
      </c>
      <c r="H1440" s="49" t="n">
        <v>0</v>
      </c>
      <c r="I1440" s="49" t="n">
        <v>0</v>
      </c>
      <c r="J1440" s="50" t="n">
        <v>0</v>
      </c>
      <c r="K1440" s="51" t="n">
        <v>0</v>
      </c>
      <c r="L1440" s="52" t="n">
        <v>0</v>
      </c>
      <c r="M1440" s="52" t="n">
        <v>0</v>
      </c>
      <c r="N1440" s="52" t="n">
        <v>0</v>
      </c>
      <c r="O1440" s="53" t="n">
        <v>0</v>
      </c>
      <c r="P1440" s="52" t="n">
        <v>0</v>
      </c>
      <c r="Q1440" s="53" t="n">
        <v>0</v>
      </c>
      <c r="R1440" s="52" t="n">
        <v>0</v>
      </c>
      <c r="S1440" s="51" t="n">
        <v>0</v>
      </c>
      <c r="T1440" s="48" t="n">
        <v>0</v>
      </c>
      <c r="U1440" s="49" t="n">
        <v>0</v>
      </c>
      <c r="V1440" s="49" t="n">
        <v>0</v>
      </c>
      <c r="W1440" s="50" t="n">
        <v>0</v>
      </c>
      <c r="X1440" s="51" t="n">
        <v>0</v>
      </c>
      <c r="Y1440" s="52" t="n">
        <v>0</v>
      </c>
      <c r="Z1440" s="52" t="n">
        <v>0</v>
      </c>
      <c r="AA1440" s="52" t="n">
        <v>0</v>
      </c>
      <c r="AB1440" s="53" t="n">
        <v>0</v>
      </c>
      <c r="AC1440" s="52" t="n">
        <v>0</v>
      </c>
      <c r="AD1440" s="53" t="n">
        <v>0</v>
      </c>
      <c r="AE1440" s="52" t="n">
        <v>0</v>
      </c>
      <c r="AF1440" s="51" t="n">
        <v>0</v>
      </c>
      <c r="AG1440" s="48" t="n">
        <v>0</v>
      </c>
      <c r="AH1440" s="49" t="n">
        <v>0</v>
      </c>
      <c r="AI1440" s="49" t="n">
        <v>0</v>
      </c>
      <c r="AJ1440" s="50" t="n">
        <v>0</v>
      </c>
      <c r="AK1440" s="51" t="n">
        <v>0</v>
      </c>
      <c r="AL1440" s="52" t="n">
        <v>0</v>
      </c>
      <c r="AM1440" s="52" t="n">
        <v>0</v>
      </c>
      <c r="AN1440" s="52" t="n">
        <v>0</v>
      </c>
      <c r="AO1440" s="53" t="n">
        <v>0</v>
      </c>
      <c r="AP1440" s="52" t="n">
        <v>0</v>
      </c>
      <c r="AQ1440" s="53" t="n">
        <v>0</v>
      </c>
      <c r="AR1440" s="52" t="n">
        <v>0</v>
      </c>
      <c r="AS1440" s="51" t="n">
        <v>0</v>
      </c>
      <c r="AT1440" s="48" t="n">
        <v>0</v>
      </c>
      <c r="AU1440" s="49" t="n">
        <v>0</v>
      </c>
      <c r="AV1440" s="49" t="n">
        <v>0</v>
      </c>
      <c r="AW1440" s="50" t="n">
        <v>0</v>
      </c>
      <c r="AX1440" s="51" t="n">
        <v>0</v>
      </c>
      <c r="AY1440" s="52" t="n">
        <v>0</v>
      </c>
      <c r="AZ1440" s="52" t="n">
        <v>0</v>
      </c>
      <c r="BA1440" s="52" t="n">
        <v>0</v>
      </c>
      <c r="BB1440" s="53" t="n">
        <v>0</v>
      </c>
      <c r="BC1440" s="52" t="n">
        <v>0</v>
      </c>
      <c r="BD1440" s="53" t="n">
        <v>0</v>
      </c>
      <c r="BE1440" s="52" t="n">
        <v>0</v>
      </c>
      <c r="BF1440" s="51" t="n">
        <v>0</v>
      </c>
    </row>
    <row r="1441">
      <c r="A1441">
        <f>HYPERLINK("https://www.walmart.com/ip/14472471094", "14472471094")</f>
        <v/>
      </c>
      <c r="B1441" t="inlineStr">
        <is>
          <t>Catalonia Oversized Blanket Hoodie Sweatshirt, Fleece Hooded Lounging Pullover with Giant Pocket, Birthday Gifts Christmas Gifts, Red Plaid</t>
        </is>
      </c>
      <c r="C1441" t="inlineStr">
        <is>
          <t>1CTOSH300PRD-FS</t>
        </is>
      </c>
      <c r="D1441" t="inlineStr">
        <is>
          <t>Sweatshirts &amp; Hoodies</t>
        </is>
      </c>
      <c r="E1441" t="inlineStr">
        <is>
          <t>Catalonia</t>
        </is>
      </c>
      <c r="G1441" s="48" t="n">
        <v>0</v>
      </c>
      <c r="H1441" s="49" t="n">
        <v>0</v>
      </c>
      <c r="I1441" s="49" t="n">
        <v>0</v>
      </c>
      <c r="J1441" s="50" t="n">
        <v>0</v>
      </c>
      <c r="K1441" s="51" t="n">
        <v>0</v>
      </c>
      <c r="L1441" s="52" t="n">
        <v>0</v>
      </c>
      <c r="M1441" s="52" t="n">
        <v>0</v>
      </c>
      <c r="N1441" s="52" t="n">
        <v>0</v>
      </c>
      <c r="O1441" s="53" t="n">
        <v>0</v>
      </c>
      <c r="P1441" s="52" t="n">
        <v>0</v>
      </c>
      <c r="Q1441" s="53" t="n">
        <v>0</v>
      </c>
      <c r="R1441" s="52" t="n">
        <v>0</v>
      </c>
      <c r="S1441" s="51" t="n">
        <v>0</v>
      </c>
      <c r="T1441" s="48" t="n">
        <v>0</v>
      </c>
      <c r="U1441" s="49" t="n">
        <v>0</v>
      </c>
      <c r="V1441" s="49" t="n">
        <v>0</v>
      </c>
      <c r="W1441" s="50" t="n">
        <v>0</v>
      </c>
      <c r="X1441" s="51" t="n">
        <v>0</v>
      </c>
      <c r="Y1441" s="52" t="n">
        <v>0</v>
      </c>
      <c r="Z1441" s="52" t="n">
        <v>0</v>
      </c>
      <c r="AA1441" s="52" t="n">
        <v>0</v>
      </c>
      <c r="AB1441" s="53" t="n">
        <v>0</v>
      </c>
      <c r="AC1441" s="52" t="n">
        <v>0</v>
      </c>
      <c r="AD1441" s="53" t="n">
        <v>0</v>
      </c>
      <c r="AE1441" s="52" t="n">
        <v>0</v>
      </c>
      <c r="AF1441" s="51" t="n">
        <v>0</v>
      </c>
      <c r="AG1441" s="48" t="n">
        <v>0</v>
      </c>
      <c r="AH1441" s="49" t="n">
        <v>0</v>
      </c>
      <c r="AI1441" s="49" t="n">
        <v>0</v>
      </c>
      <c r="AJ1441" s="50" t="n">
        <v>0</v>
      </c>
      <c r="AK1441" s="51" t="n">
        <v>0</v>
      </c>
      <c r="AL1441" s="52" t="n">
        <v>0</v>
      </c>
      <c r="AM1441" s="52" t="n">
        <v>0</v>
      </c>
      <c r="AN1441" s="52" t="n">
        <v>0</v>
      </c>
      <c r="AO1441" s="53" t="n">
        <v>0</v>
      </c>
      <c r="AP1441" s="52" t="n">
        <v>0</v>
      </c>
      <c r="AQ1441" s="53" t="n">
        <v>0</v>
      </c>
      <c r="AR1441" s="52" t="n">
        <v>0</v>
      </c>
      <c r="AS1441" s="51" t="n">
        <v>0</v>
      </c>
      <c r="AT1441" s="48" t="n">
        <v>0</v>
      </c>
      <c r="AU1441" s="49" t="n">
        <v>0</v>
      </c>
      <c r="AV1441" s="49" t="n">
        <v>0</v>
      </c>
      <c r="AW1441" s="50" t="n">
        <v>0</v>
      </c>
      <c r="AX1441" s="51" t="n">
        <v>0</v>
      </c>
      <c r="AY1441" s="52" t="n">
        <v>0</v>
      </c>
      <c r="AZ1441" s="52" t="n">
        <v>0</v>
      </c>
      <c r="BA1441" s="52" t="n">
        <v>0</v>
      </c>
      <c r="BB1441" s="53" t="n">
        <v>0</v>
      </c>
      <c r="BC1441" s="52" t="n">
        <v>0</v>
      </c>
      <c r="BD1441" s="53" t="n">
        <v>0</v>
      </c>
      <c r="BE1441" s="52" t="n">
        <v>0</v>
      </c>
      <c r="BF1441" s="51" t="n">
        <v>0</v>
      </c>
    </row>
    <row r="1442">
      <c r="A1442">
        <f>HYPERLINK("https://www.walmart.com/ip/14473700583", "14473700583")</f>
        <v/>
      </c>
      <c r="B1442" t="inlineStr">
        <is>
          <t>Tirrinia Polar Fleece Balaclava Hood Face Mask,Ski Mask Windproof Cycling Mask,Full Face Mask</t>
        </is>
      </c>
      <c r="C1442" t="inlineStr">
        <is>
          <t>1TRWH002ORBK</t>
        </is>
      </c>
      <c r="D1442" t="inlineStr">
        <is>
          <t>Balaclavas</t>
        </is>
      </c>
      <c r="E1442" t="inlineStr">
        <is>
          <t>Tirrinia</t>
        </is>
      </c>
      <c r="G1442" s="48" t="n">
        <v>0</v>
      </c>
      <c r="H1442" s="49" t="n">
        <v>0</v>
      </c>
      <c r="I1442" s="49" t="n">
        <v>0</v>
      </c>
      <c r="J1442" s="50" t="n">
        <v>0</v>
      </c>
      <c r="K1442" s="51" t="n">
        <v>0</v>
      </c>
      <c r="L1442" s="52" t="n">
        <v>0</v>
      </c>
      <c r="M1442" s="52" t="n">
        <v>0</v>
      </c>
      <c r="N1442" s="52" t="n">
        <v>0</v>
      </c>
      <c r="O1442" s="53" t="n">
        <v>0</v>
      </c>
      <c r="P1442" s="52" t="n">
        <v>0</v>
      </c>
      <c r="Q1442" s="53" t="n">
        <v>0</v>
      </c>
      <c r="R1442" s="52" t="n">
        <v>0</v>
      </c>
      <c r="S1442" s="51" t="n">
        <v>0</v>
      </c>
      <c r="T1442" s="48" t="n">
        <v>0</v>
      </c>
      <c r="U1442" s="49" t="n">
        <v>0</v>
      </c>
      <c r="V1442" s="49" t="n">
        <v>0</v>
      </c>
      <c r="W1442" s="50" t="n">
        <v>0</v>
      </c>
      <c r="X1442" s="51" t="n">
        <v>0</v>
      </c>
      <c r="Y1442" s="52" t="n">
        <v>0</v>
      </c>
      <c r="Z1442" s="52" t="n">
        <v>0</v>
      </c>
      <c r="AA1442" s="52" t="n">
        <v>0</v>
      </c>
      <c r="AB1442" s="53" t="n">
        <v>0</v>
      </c>
      <c r="AC1442" s="52" t="n">
        <v>0</v>
      </c>
      <c r="AD1442" s="53" t="n">
        <v>0</v>
      </c>
      <c r="AE1442" s="52" t="n">
        <v>0</v>
      </c>
      <c r="AF1442" s="51" t="n">
        <v>0</v>
      </c>
      <c r="AG1442" s="48" t="n">
        <v>0</v>
      </c>
      <c r="AH1442" s="49" t="n">
        <v>0</v>
      </c>
      <c r="AI1442" s="49" t="n">
        <v>0</v>
      </c>
      <c r="AJ1442" s="50" t="n">
        <v>0</v>
      </c>
      <c r="AK1442" s="51" t="n">
        <v>0</v>
      </c>
      <c r="AL1442" s="52" t="n">
        <v>0</v>
      </c>
      <c r="AM1442" s="52" t="n">
        <v>0</v>
      </c>
      <c r="AN1442" s="52" t="n">
        <v>0</v>
      </c>
      <c r="AO1442" s="53" t="n">
        <v>0</v>
      </c>
      <c r="AP1442" s="52" t="n">
        <v>0</v>
      </c>
      <c r="AQ1442" s="53" t="n">
        <v>0</v>
      </c>
      <c r="AR1442" s="52" t="n">
        <v>0</v>
      </c>
      <c r="AS1442" s="51" t="n">
        <v>0</v>
      </c>
      <c r="AT1442" s="48" t="n">
        <v>0</v>
      </c>
      <c r="AU1442" s="49" t="n">
        <v>0</v>
      </c>
      <c r="AV1442" s="49" t="n">
        <v>0</v>
      </c>
      <c r="AW1442" s="50" t="n">
        <v>0</v>
      </c>
      <c r="AX1442" s="51" t="n">
        <v>0</v>
      </c>
      <c r="AY1442" s="52" t="n">
        <v>0</v>
      </c>
      <c r="AZ1442" s="52" t="n">
        <v>0</v>
      </c>
      <c r="BA1442" s="52" t="n">
        <v>0</v>
      </c>
      <c r="BB1442" s="53" t="n">
        <v>0</v>
      </c>
      <c r="BC1442" s="52" t="n">
        <v>0</v>
      </c>
      <c r="BD1442" s="53" t="n">
        <v>0</v>
      </c>
      <c r="BE1442" s="52" t="n">
        <v>0</v>
      </c>
      <c r="BF1442" s="51" t="n">
        <v>0</v>
      </c>
    </row>
    <row r="1443">
      <c r="A1443">
        <f>HYPERLINK("https://www.walmart.com/ip/14475608139", "14475608139")</f>
        <v/>
      </c>
      <c r="B1443" t="inlineStr">
        <is>
          <t>Tirrinia Oversized Wearable Blanket Hoodie, Fleece Home Blanket Sweatshirt, Warm Blanket with Sleeves, Gift for lover</t>
        </is>
      </c>
      <c r="C1443" t="inlineStr">
        <is>
          <t>1TROSH340GY-FS</t>
        </is>
      </c>
      <c r="D1443" t="inlineStr">
        <is>
          <t>Sweatshirts &amp; Hoodies</t>
        </is>
      </c>
      <c r="E1443" t="inlineStr">
        <is>
          <t>Tirrinia</t>
        </is>
      </c>
      <c r="G1443" s="48" t="n">
        <v>0</v>
      </c>
      <c r="H1443" s="49" t="n">
        <v>0</v>
      </c>
      <c r="I1443" s="49" t="n">
        <v>0</v>
      </c>
      <c r="J1443" s="50" t="n">
        <v>0</v>
      </c>
      <c r="K1443" s="51" t="n">
        <v>0</v>
      </c>
      <c r="L1443" s="52" t="n">
        <v>0</v>
      </c>
      <c r="M1443" s="52" t="n">
        <v>0</v>
      </c>
      <c r="N1443" s="52" t="n">
        <v>0</v>
      </c>
      <c r="O1443" s="53" t="n">
        <v>0</v>
      </c>
      <c r="P1443" s="52" t="n">
        <v>0</v>
      </c>
      <c r="Q1443" s="53" t="n">
        <v>0</v>
      </c>
      <c r="R1443" s="52" t="n">
        <v>0</v>
      </c>
      <c r="S1443" s="51" t="n">
        <v>0</v>
      </c>
      <c r="T1443" s="48" t="n">
        <v>0</v>
      </c>
      <c r="U1443" s="49" t="n">
        <v>0</v>
      </c>
      <c r="V1443" s="49" t="n">
        <v>0</v>
      </c>
      <c r="W1443" s="50" t="n">
        <v>0</v>
      </c>
      <c r="X1443" s="51" t="n">
        <v>0</v>
      </c>
      <c r="Y1443" s="52" t="n">
        <v>0</v>
      </c>
      <c r="Z1443" s="52" t="n">
        <v>0</v>
      </c>
      <c r="AA1443" s="52" t="n">
        <v>0</v>
      </c>
      <c r="AB1443" s="53" t="n">
        <v>0</v>
      </c>
      <c r="AC1443" s="52" t="n">
        <v>0</v>
      </c>
      <c r="AD1443" s="53" t="n">
        <v>0</v>
      </c>
      <c r="AE1443" s="52" t="n">
        <v>0</v>
      </c>
      <c r="AF1443" s="51" t="n">
        <v>0</v>
      </c>
      <c r="AG1443" s="48" t="n">
        <v>0</v>
      </c>
      <c r="AH1443" s="49" t="n">
        <v>0</v>
      </c>
      <c r="AI1443" s="49" t="n">
        <v>0</v>
      </c>
      <c r="AJ1443" s="50" t="n">
        <v>0</v>
      </c>
      <c r="AK1443" s="51" t="n">
        <v>0</v>
      </c>
      <c r="AL1443" s="52" t="n">
        <v>0</v>
      </c>
      <c r="AM1443" s="52" t="n">
        <v>0</v>
      </c>
      <c r="AN1443" s="52" t="n">
        <v>0</v>
      </c>
      <c r="AO1443" s="53" t="n">
        <v>0</v>
      </c>
      <c r="AP1443" s="52" t="n">
        <v>0</v>
      </c>
      <c r="AQ1443" s="53" t="n">
        <v>0</v>
      </c>
      <c r="AR1443" s="52" t="n">
        <v>0</v>
      </c>
      <c r="AS1443" s="51" t="n">
        <v>0</v>
      </c>
      <c r="AT1443" s="48" t="n">
        <v>0</v>
      </c>
      <c r="AU1443" s="49" t="n">
        <v>0</v>
      </c>
      <c r="AV1443" s="49" t="n">
        <v>0</v>
      </c>
      <c r="AW1443" s="50" t="n">
        <v>0</v>
      </c>
      <c r="AX1443" s="51" t="n">
        <v>0</v>
      </c>
      <c r="AY1443" s="52" t="n">
        <v>0</v>
      </c>
      <c r="AZ1443" s="52" t="n">
        <v>0</v>
      </c>
      <c r="BA1443" s="52" t="n">
        <v>0</v>
      </c>
      <c r="BB1443" s="53" t="n">
        <v>0</v>
      </c>
      <c r="BC1443" s="52" t="n">
        <v>0</v>
      </c>
      <c r="BD1443" s="53" t="n">
        <v>0</v>
      </c>
      <c r="BE1443" s="52" t="n">
        <v>0</v>
      </c>
      <c r="BF1443" s="51" t="n">
        <v>0</v>
      </c>
    </row>
    <row r="1444">
      <c r="A1444">
        <f>HYPERLINK("https://www.walmart.com/ip/14475608149", "14475608149")</f>
        <v/>
      </c>
      <c r="B1444" t="inlineStr">
        <is>
          <t>Catalonia Women's Blanket Hoodie Sweatshirt, Cozy Comfortable Fluffy Soft Fleece Lounging Pullover, Warm Fleece Hooded with Pockets Gift, Ombre Grey</t>
        </is>
      </c>
      <c r="C1444" t="inlineStr">
        <is>
          <t>1CTOSH330GY-FS</t>
        </is>
      </c>
      <c r="D1444" t="inlineStr">
        <is>
          <t>Sweatshirts &amp; Hoodies</t>
        </is>
      </c>
      <c r="E1444" t="inlineStr">
        <is>
          <t>Catalonia</t>
        </is>
      </c>
      <c r="G1444" s="48" t="n">
        <v>0</v>
      </c>
      <c r="H1444" s="49" t="n">
        <v>0</v>
      </c>
      <c r="I1444" s="49" t="n">
        <v>0</v>
      </c>
      <c r="J1444" s="50" t="n">
        <v>0</v>
      </c>
      <c r="K1444" s="51" t="n">
        <v>0</v>
      </c>
      <c r="L1444" s="52" t="n">
        <v>0</v>
      </c>
      <c r="M1444" s="52" t="n">
        <v>0</v>
      </c>
      <c r="N1444" s="52" t="n">
        <v>0</v>
      </c>
      <c r="O1444" s="53" t="n">
        <v>0</v>
      </c>
      <c r="P1444" s="52" t="n">
        <v>0</v>
      </c>
      <c r="Q1444" s="53" t="n">
        <v>0</v>
      </c>
      <c r="R1444" s="52" t="n">
        <v>0</v>
      </c>
      <c r="S1444" s="51" t="n">
        <v>0</v>
      </c>
      <c r="T1444" s="48" t="n">
        <v>0</v>
      </c>
      <c r="U1444" s="49" t="n">
        <v>0</v>
      </c>
      <c r="V1444" s="49" t="n">
        <v>0</v>
      </c>
      <c r="W1444" s="50" t="n">
        <v>0</v>
      </c>
      <c r="X1444" s="51" t="n">
        <v>0</v>
      </c>
      <c r="Y1444" s="52" t="n">
        <v>0</v>
      </c>
      <c r="Z1444" s="52" t="n">
        <v>0</v>
      </c>
      <c r="AA1444" s="52" t="n">
        <v>0</v>
      </c>
      <c r="AB1444" s="53" t="n">
        <v>0</v>
      </c>
      <c r="AC1444" s="52" t="n">
        <v>0</v>
      </c>
      <c r="AD1444" s="53" t="n">
        <v>0</v>
      </c>
      <c r="AE1444" s="52" t="n">
        <v>0</v>
      </c>
      <c r="AF1444" s="51" t="n">
        <v>0</v>
      </c>
      <c r="AG1444" s="48" t="n">
        <v>0</v>
      </c>
      <c r="AH1444" s="49" t="n">
        <v>0</v>
      </c>
      <c r="AI1444" s="49" t="n">
        <v>0</v>
      </c>
      <c r="AJ1444" s="50" t="n">
        <v>0</v>
      </c>
      <c r="AK1444" s="51" t="n">
        <v>0</v>
      </c>
      <c r="AL1444" s="52" t="n">
        <v>0</v>
      </c>
      <c r="AM1444" s="52" t="n">
        <v>0</v>
      </c>
      <c r="AN1444" s="52" t="n">
        <v>0</v>
      </c>
      <c r="AO1444" s="53" t="n">
        <v>0</v>
      </c>
      <c r="AP1444" s="52" t="n">
        <v>0</v>
      </c>
      <c r="AQ1444" s="53" t="n">
        <v>0</v>
      </c>
      <c r="AR1444" s="52" t="n">
        <v>0</v>
      </c>
      <c r="AS1444" s="51" t="n">
        <v>0</v>
      </c>
      <c r="AT1444" s="48" t="n">
        <v>0</v>
      </c>
      <c r="AU1444" s="49" t="n">
        <v>0</v>
      </c>
      <c r="AV1444" s="49" t="n">
        <v>0</v>
      </c>
      <c r="AW1444" s="50" t="n">
        <v>0</v>
      </c>
      <c r="AX1444" s="51" t="n">
        <v>0</v>
      </c>
      <c r="AY1444" s="52" t="n">
        <v>0</v>
      </c>
      <c r="AZ1444" s="52" t="n">
        <v>0</v>
      </c>
      <c r="BA1444" s="52" t="n">
        <v>0</v>
      </c>
      <c r="BB1444" s="53" t="n">
        <v>0</v>
      </c>
      <c r="BC1444" s="52" t="n">
        <v>0</v>
      </c>
      <c r="BD1444" s="53" t="n">
        <v>0</v>
      </c>
      <c r="BE1444" s="52" t="n">
        <v>0</v>
      </c>
      <c r="BF1444" s="51" t="n">
        <v>0</v>
      </c>
    </row>
    <row r="1445">
      <c r="A1445">
        <f>HYPERLINK("https://www.walmart.com/ip/14475608810", "14475608810")</f>
        <v/>
      </c>
      <c r="B1445" t="inlineStr">
        <is>
          <t>Catalonia Blanket Hoodie for Kids, Oversized Purple Wearable Fleece Sweatshirt Pullover for 7-16 yr Teens Youth, Kids Gift Idea</t>
        </is>
      </c>
      <c r="C1445" t="inlineStr">
        <is>
          <t>1CTOSH401PK-FS</t>
        </is>
      </c>
      <c r="D1445" t="inlineStr">
        <is>
          <t>Sweatshirts &amp; Hoodies</t>
        </is>
      </c>
      <c r="E1445" t="inlineStr">
        <is>
          <t>Catalonia</t>
        </is>
      </c>
      <c r="G1445" s="48" t="n">
        <v>0</v>
      </c>
      <c r="H1445" s="49" t="n">
        <v>0</v>
      </c>
      <c r="I1445" s="49" t="n">
        <v>0</v>
      </c>
      <c r="J1445" s="50" t="n">
        <v>0</v>
      </c>
      <c r="K1445" s="51" t="n">
        <v>0</v>
      </c>
      <c r="L1445" s="52" t="n">
        <v>0</v>
      </c>
      <c r="M1445" s="52" t="n">
        <v>0</v>
      </c>
      <c r="N1445" s="52" t="n">
        <v>0</v>
      </c>
      <c r="O1445" s="53" t="n">
        <v>0</v>
      </c>
      <c r="P1445" s="52" t="n">
        <v>0</v>
      </c>
      <c r="Q1445" s="53" t="n">
        <v>0</v>
      </c>
      <c r="R1445" s="52" t="n">
        <v>0</v>
      </c>
      <c r="S1445" s="51" t="n">
        <v>0</v>
      </c>
      <c r="T1445" s="48" t="n">
        <v>0</v>
      </c>
      <c r="U1445" s="49" t="n">
        <v>0</v>
      </c>
      <c r="V1445" s="49" t="n">
        <v>0</v>
      </c>
      <c r="W1445" s="50" t="n">
        <v>0</v>
      </c>
      <c r="X1445" s="51" t="n">
        <v>0</v>
      </c>
      <c r="Y1445" s="52" t="n">
        <v>0</v>
      </c>
      <c r="Z1445" s="52" t="n">
        <v>0</v>
      </c>
      <c r="AA1445" s="52" t="n">
        <v>0</v>
      </c>
      <c r="AB1445" s="53" t="n">
        <v>0</v>
      </c>
      <c r="AC1445" s="52" t="n">
        <v>0</v>
      </c>
      <c r="AD1445" s="53" t="n">
        <v>0</v>
      </c>
      <c r="AE1445" s="52" t="n">
        <v>0</v>
      </c>
      <c r="AF1445" s="51" t="n">
        <v>0</v>
      </c>
      <c r="AG1445" s="48" t="n">
        <v>0</v>
      </c>
      <c r="AH1445" s="49" t="n">
        <v>0</v>
      </c>
      <c r="AI1445" s="49" t="n">
        <v>0</v>
      </c>
      <c r="AJ1445" s="50" t="n">
        <v>0</v>
      </c>
      <c r="AK1445" s="51" t="n">
        <v>0</v>
      </c>
      <c r="AL1445" s="52" t="n">
        <v>0</v>
      </c>
      <c r="AM1445" s="52" t="n">
        <v>0</v>
      </c>
      <c r="AN1445" s="52" t="n">
        <v>0</v>
      </c>
      <c r="AO1445" s="53" t="n">
        <v>0</v>
      </c>
      <c r="AP1445" s="52" t="n">
        <v>0</v>
      </c>
      <c r="AQ1445" s="53" t="n">
        <v>0</v>
      </c>
      <c r="AR1445" s="52" t="n">
        <v>0</v>
      </c>
      <c r="AS1445" s="51" t="n">
        <v>0</v>
      </c>
      <c r="AT1445" s="48" t="n">
        <v>0</v>
      </c>
      <c r="AU1445" s="49" t="n">
        <v>0</v>
      </c>
      <c r="AV1445" s="49" t="n">
        <v>0</v>
      </c>
      <c r="AW1445" s="50" t="n">
        <v>0</v>
      </c>
      <c r="AX1445" s="51" t="n">
        <v>0</v>
      </c>
      <c r="AY1445" s="52" t="n">
        <v>0</v>
      </c>
      <c r="AZ1445" s="52" t="n">
        <v>0</v>
      </c>
      <c r="BA1445" s="52" t="n">
        <v>0</v>
      </c>
      <c r="BB1445" s="53" t="n">
        <v>0</v>
      </c>
      <c r="BC1445" s="52" t="n">
        <v>0</v>
      </c>
      <c r="BD1445" s="53" t="n">
        <v>0</v>
      </c>
      <c r="BE1445" s="52" t="n">
        <v>0</v>
      </c>
      <c r="BF1445" s="51" t="n">
        <v>0</v>
      </c>
    </row>
    <row r="1446">
      <c r="A1446">
        <f>HYPERLINK("https://www.walmart.com/ip/14475608815", "14475608815")</f>
        <v/>
      </c>
      <c r="B1446" t="inlineStr">
        <is>
          <t>Tirrinia Oversized Wearable Blanket Hoodie, Fleece Home Blanket Sweatshirt, Warm Blanket with Sleeves, Gift for lover</t>
        </is>
      </c>
      <c r="C1446" t="inlineStr">
        <is>
          <t>1TROSH340AQ-FS</t>
        </is>
      </c>
      <c r="D1446" t="inlineStr">
        <is>
          <t>Sweatshirts &amp; Hoodies</t>
        </is>
      </c>
      <c r="E1446" t="inlineStr">
        <is>
          <t>Tirrinia</t>
        </is>
      </c>
      <c r="G1446" s="48" t="n">
        <v>0</v>
      </c>
      <c r="H1446" s="49" t="n">
        <v>0</v>
      </c>
      <c r="I1446" s="49" t="n">
        <v>0</v>
      </c>
      <c r="J1446" s="50" t="n">
        <v>0</v>
      </c>
      <c r="K1446" s="51" t="n">
        <v>0</v>
      </c>
      <c r="L1446" s="52" t="n">
        <v>0</v>
      </c>
      <c r="M1446" s="52" t="n">
        <v>0</v>
      </c>
      <c r="N1446" s="52" t="n">
        <v>0</v>
      </c>
      <c r="O1446" s="53" t="n">
        <v>0</v>
      </c>
      <c r="P1446" s="52" t="n">
        <v>0</v>
      </c>
      <c r="Q1446" s="53" t="n">
        <v>0</v>
      </c>
      <c r="R1446" s="52" t="n">
        <v>0</v>
      </c>
      <c r="S1446" s="51" t="n">
        <v>0</v>
      </c>
      <c r="T1446" s="48" t="n">
        <v>0</v>
      </c>
      <c r="U1446" s="49" t="n">
        <v>0</v>
      </c>
      <c r="V1446" s="49" t="n">
        <v>0</v>
      </c>
      <c r="W1446" s="50" t="n">
        <v>0</v>
      </c>
      <c r="X1446" s="51" t="n">
        <v>0</v>
      </c>
      <c r="Y1446" s="52" t="n">
        <v>0</v>
      </c>
      <c r="Z1446" s="52" t="n">
        <v>0</v>
      </c>
      <c r="AA1446" s="52" t="n">
        <v>0</v>
      </c>
      <c r="AB1446" s="53" t="n">
        <v>0</v>
      </c>
      <c r="AC1446" s="52" t="n">
        <v>0</v>
      </c>
      <c r="AD1446" s="53" t="n">
        <v>0</v>
      </c>
      <c r="AE1446" s="52" t="n">
        <v>0</v>
      </c>
      <c r="AF1446" s="51" t="n">
        <v>0</v>
      </c>
      <c r="AG1446" s="48" t="n">
        <v>0</v>
      </c>
      <c r="AH1446" s="49" t="n">
        <v>0</v>
      </c>
      <c r="AI1446" s="49" t="n">
        <v>0</v>
      </c>
      <c r="AJ1446" s="50" t="n">
        <v>0</v>
      </c>
      <c r="AK1446" s="51" t="n">
        <v>0</v>
      </c>
      <c r="AL1446" s="52" t="n">
        <v>0</v>
      </c>
      <c r="AM1446" s="52" t="n">
        <v>0</v>
      </c>
      <c r="AN1446" s="52" t="n">
        <v>0</v>
      </c>
      <c r="AO1446" s="53" t="n">
        <v>0</v>
      </c>
      <c r="AP1446" s="52" t="n">
        <v>0</v>
      </c>
      <c r="AQ1446" s="53" t="n">
        <v>0</v>
      </c>
      <c r="AR1446" s="52" t="n">
        <v>0</v>
      </c>
      <c r="AS1446" s="51" t="n">
        <v>0</v>
      </c>
      <c r="AT1446" s="48" t="n">
        <v>0</v>
      </c>
      <c r="AU1446" s="49" t="n">
        <v>0</v>
      </c>
      <c r="AV1446" s="49" t="n">
        <v>0</v>
      </c>
      <c r="AW1446" s="50" t="n">
        <v>0</v>
      </c>
      <c r="AX1446" s="51" t="n">
        <v>0</v>
      </c>
      <c r="AY1446" s="52" t="n">
        <v>0</v>
      </c>
      <c r="AZ1446" s="52" t="n">
        <v>0</v>
      </c>
      <c r="BA1446" s="52" t="n">
        <v>0</v>
      </c>
      <c r="BB1446" s="53" t="n">
        <v>0</v>
      </c>
      <c r="BC1446" s="52" t="n">
        <v>0</v>
      </c>
      <c r="BD1446" s="53" t="n">
        <v>0</v>
      </c>
      <c r="BE1446" s="52" t="n">
        <v>0</v>
      </c>
      <c r="BF1446" s="51" t="n">
        <v>0</v>
      </c>
    </row>
    <row r="1447">
      <c r="A1447">
        <f>HYPERLINK("https://www.walmart.com/ip/14475759266", "14475759266")</f>
        <v/>
      </c>
      <c r="B1447" t="inlineStr">
        <is>
          <t>Womens Oversized Flannel Blanket Hoodie Sweatshirt, Plush Fleece Lined Lounging Pullover, Christmas Gift for Women (Sea Blue) - Catalonia</t>
        </is>
      </c>
      <c r="C1447" t="inlineStr">
        <is>
          <t>1CTOSH400HP-FS</t>
        </is>
      </c>
      <c r="G1447" s="48" t="n">
        <v>0</v>
      </c>
      <c r="H1447" s="49" t="n">
        <v>0</v>
      </c>
      <c r="I1447" s="49" t="n">
        <v>0</v>
      </c>
      <c r="J1447" s="50" t="n">
        <v>0</v>
      </c>
      <c r="K1447" s="51" t="n">
        <v>0</v>
      </c>
      <c r="L1447" s="52" t="n">
        <v>0</v>
      </c>
      <c r="M1447" s="52" t="n">
        <v>0</v>
      </c>
      <c r="N1447" s="52" t="n">
        <v>0</v>
      </c>
      <c r="O1447" s="53" t="n">
        <v>0</v>
      </c>
      <c r="P1447" s="52" t="n">
        <v>0</v>
      </c>
      <c r="Q1447" s="53" t="n">
        <v>0</v>
      </c>
      <c r="R1447" s="52" t="n">
        <v>0</v>
      </c>
      <c r="S1447" s="51" t="n">
        <v>0</v>
      </c>
      <c r="T1447" s="48" t="n">
        <v>0</v>
      </c>
      <c r="U1447" s="49" t="n">
        <v>0</v>
      </c>
      <c r="V1447" s="49" t="n">
        <v>0</v>
      </c>
      <c r="W1447" s="50" t="n">
        <v>0</v>
      </c>
      <c r="X1447" s="51" t="n">
        <v>0</v>
      </c>
      <c r="Y1447" s="52" t="n">
        <v>0</v>
      </c>
      <c r="Z1447" s="52" t="n">
        <v>0</v>
      </c>
      <c r="AA1447" s="52" t="n">
        <v>0</v>
      </c>
      <c r="AB1447" s="53" t="n">
        <v>0</v>
      </c>
      <c r="AC1447" s="52" t="n">
        <v>0</v>
      </c>
      <c r="AD1447" s="53" t="n">
        <v>0</v>
      </c>
      <c r="AE1447" s="52" t="n">
        <v>0</v>
      </c>
      <c r="AF1447" s="51" t="n">
        <v>0</v>
      </c>
      <c r="AG1447" s="48" t="n">
        <v>0</v>
      </c>
      <c r="AH1447" s="49" t="n">
        <v>0</v>
      </c>
      <c r="AI1447" s="49" t="n">
        <v>0</v>
      </c>
      <c r="AJ1447" s="50" t="n">
        <v>0</v>
      </c>
      <c r="AK1447" s="51" t="n">
        <v>0</v>
      </c>
      <c r="AL1447" s="52" t="n">
        <v>0</v>
      </c>
      <c r="AM1447" s="52" t="n">
        <v>0</v>
      </c>
      <c r="AN1447" s="52" t="n">
        <v>0</v>
      </c>
      <c r="AO1447" s="53" t="n">
        <v>0</v>
      </c>
      <c r="AP1447" s="52" t="n">
        <v>0</v>
      </c>
      <c r="AQ1447" s="53" t="n">
        <v>0</v>
      </c>
      <c r="AR1447" s="52" t="n">
        <v>0</v>
      </c>
      <c r="AS1447" s="51" t="n">
        <v>0</v>
      </c>
      <c r="AT1447" s="48" t="n">
        <v>0</v>
      </c>
      <c r="AU1447" s="49" t="n">
        <v>0</v>
      </c>
      <c r="AV1447" s="49" t="n">
        <v>0</v>
      </c>
      <c r="AW1447" s="50" t="n">
        <v>0</v>
      </c>
      <c r="AX1447" s="51" t="n">
        <v>0</v>
      </c>
      <c r="AY1447" s="52" t="n">
        <v>0</v>
      </c>
      <c r="AZ1447" s="52" t="n">
        <v>0</v>
      </c>
      <c r="BA1447" s="52" t="n">
        <v>0</v>
      </c>
      <c r="BB1447" s="53" t="n">
        <v>0</v>
      </c>
      <c r="BC1447" s="52" t="n">
        <v>0</v>
      </c>
      <c r="BD1447" s="53" t="n">
        <v>0</v>
      </c>
      <c r="BE1447" s="52" t="n">
        <v>0</v>
      </c>
      <c r="BF1447" s="51" t="n">
        <v>0</v>
      </c>
    </row>
    <row r="1448">
      <c r="A1448">
        <f>HYPERLINK("https://www.walmart.com/ip/14475759275", "14475759275")</f>
        <v/>
      </c>
      <c r="B1448" t="inlineStr">
        <is>
          <t>Catalonia Oversized Blanket Hoodie Sweatshirt, Comfortable Wearable Blanket Pullover Adults, Blue Silver</t>
        </is>
      </c>
      <c r="C1448" t="inlineStr">
        <is>
          <t>1CTOSH410BLSL-FS</t>
        </is>
      </c>
      <c r="D1448" t="inlineStr">
        <is>
          <t>Sweatshirts &amp; Hoodies</t>
        </is>
      </c>
      <c r="E1448" t="inlineStr">
        <is>
          <t>Catalonia</t>
        </is>
      </c>
      <c r="G1448" s="48" t="n">
        <v>0</v>
      </c>
      <c r="H1448" s="49" t="n">
        <v>0</v>
      </c>
      <c r="I1448" s="49" t="n">
        <v>0</v>
      </c>
      <c r="J1448" s="50" t="n">
        <v>0</v>
      </c>
      <c r="K1448" s="51" t="n">
        <v>0</v>
      </c>
      <c r="L1448" s="52" t="n">
        <v>0</v>
      </c>
      <c r="M1448" s="52" t="n">
        <v>0</v>
      </c>
      <c r="N1448" s="52" t="n">
        <v>0</v>
      </c>
      <c r="O1448" s="53" t="n">
        <v>0</v>
      </c>
      <c r="P1448" s="52" t="n">
        <v>0</v>
      </c>
      <c r="Q1448" s="53" t="n">
        <v>0</v>
      </c>
      <c r="R1448" s="52" t="n">
        <v>0</v>
      </c>
      <c r="S1448" s="51" t="n">
        <v>0</v>
      </c>
      <c r="T1448" s="48" t="n">
        <v>0</v>
      </c>
      <c r="U1448" s="49" t="n">
        <v>0</v>
      </c>
      <c r="V1448" s="49" t="n">
        <v>0</v>
      </c>
      <c r="W1448" s="50" t="n">
        <v>0</v>
      </c>
      <c r="X1448" s="51" t="n">
        <v>0</v>
      </c>
      <c r="Y1448" s="52" t="n">
        <v>0</v>
      </c>
      <c r="Z1448" s="52" t="n">
        <v>0</v>
      </c>
      <c r="AA1448" s="52" t="n">
        <v>0</v>
      </c>
      <c r="AB1448" s="53" t="n">
        <v>0</v>
      </c>
      <c r="AC1448" s="52" t="n">
        <v>0</v>
      </c>
      <c r="AD1448" s="53" t="n">
        <v>0</v>
      </c>
      <c r="AE1448" s="52" t="n">
        <v>0</v>
      </c>
      <c r="AF1448" s="51" t="n">
        <v>0</v>
      </c>
      <c r="AG1448" s="48" t="n">
        <v>0</v>
      </c>
      <c r="AH1448" s="49" t="n">
        <v>0</v>
      </c>
      <c r="AI1448" s="49" t="n">
        <v>0</v>
      </c>
      <c r="AJ1448" s="50" t="n">
        <v>0</v>
      </c>
      <c r="AK1448" s="51" t="n">
        <v>0</v>
      </c>
      <c r="AL1448" s="52" t="n">
        <v>0</v>
      </c>
      <c r="AM1448" s="52" t="n">
        <v>0</v>
      </c>
      <c r="AN1448" s="52" t="n">
        <v>0</v>
      </c>
      <c r="AO1448" s="53" t="n">
        <v>0</v>
      </c>
      <c r="AP1448" s="52" t="n">
        <v>0</v>
      </c>
      <c r="AQ1448" s="53" t="n">
        <v>0</v>
      </c>
      <c r="AR1448" s="52" t="n">
        <v>0</v>
      </c>
      <c r="AS1448" s="51" t="n">
        <v>0</v>
      </c>
      <c r="AT1448" s="48" t="n">
        <v>0</v>
      </c>
      <c r="AU1448" s="49" t="n">
        <v>0</v>
      </c>
      <c r="AV1448" s="49" t="n">
        <v>0</v>
      </c>
      <c r="AW1448" s="50" t="n">
        <v>0</v>
      </c>
      <c r="AX1448" s="51" t="n">
        <v>0</v>
      </c>
      <c r="AY1448" s="52" t="n">
        <v>0</v>
      </c>
      <c r="AZ1448" s="52" t="n">
        <v>0</v>
      </c>
      <c r="BA1448" s="52" t="n">
        <v>0</v>
      </c>
      <c r="BB1448" s="53" t="n">
        <v>0</v>
      </c>
      <c r="BC1448" s="52" t="n">
        <v>0</v>
      </c>
      <c r="BD1448" s="53" t="n">
        <v>0</v>
      </c>
      <c r="BE1448" s="52" t="n">
        <v>0</v>
      </c>
      <c r="BF1448" s="51" t="n">
        <v>0</v>
      </c>
    </row>
    <row r="1449">
      <c r="A1449">
        <f>HYPERLINK("https://www.walmart.com/ip/14476367286", "14476367286")</f>
        <v/>
      </c>
      <c r="B1449" t="inlineStr">
        <is>
          <t>Catalonia Women's Blanket Hoodie Sweatshirt, Cozy Comfortable Fluffy Soft Fleece Lounging Pullover, Warm Fleece Hooded with Pockets Gift,  Ombre Purple</t>
        </is>
      </c>
      <c r="C1449" t="inlineStr">
        <is>
          <t>1CTOSH330PP-FS</t>
        </is>
      </c>
      <c r="D1449" t="inlineStr">
        <is>
          <t>Sweatshirts &amp; Hoodies</t>
        </is>
      </c>
      <c r="E1449" t="inlineStr">
        <is>
          <t>Catalonia</t>
        </is>
      </c>
      <c r="G1449" s="48" t="n">
        <v>0</v>
      </c>
      <c r="H1449" s="49" t="n">
        <v>0</v>
      </c>
      <c r="I1449" s="49" t="n">
        <v>0</v>
      </c>
      <c r="J1449" s="50" t="n">
        <v>0</v>
      </c>
      <c r="K1449" s="51" t="n">
        <v>0</v>
      </c>
      <c r="L1449" s="52" t="n">
        <v>0</v>
      </c>
      <c r="M1449" s="52" t="n">
        <v>0</v>
      </c>
      <c r="N1449" s="52" t="n">
        <v>0</v>
      </c>
      <c r="O1449" s="53" t="n">
        <v>0</v>
      </c>
      <c r="P1449" s="52" t="n">
        <v>0</v>
      </c>
      <c r="Q1449" s="53" t="n">
        <v>0</v>
      </c>
      <c r="R1449" s="52" t="n">
        <v>0</v>
      </c>
      <c r="S1449" s="51" t="n">
        <v>0</v>
      </c>
      <c r="T1449" s="48" t="n">
        <v>0</v>
      </c>
      <c r="U1449" s="49" t="n">
        <v>0</v>
      </c>
      <c r="V1449" s="49" t="n">
        <v>0</v>
      </c>
      <c r="W1449" s="50" t="n">
        <v>0</v>
      </c>
      <c r="X1449" s="51" t="n">
        <v>0</v>
      </c>
      <c r="Y1449" s="52" t="n">
        <v>0</v>
      </c>
      <c r="Z1449" s="52" t="n">
        <v>0</v>
      </c>
      <c r="AA1449" s="52" t="n">
        <v>0</v>
      </c>
      <c r="AB1449" s="53" t="n">
        <v>0</v>
      </c>
      <c r="AC1449" s="52" t="n">
        <v>0</v>
      </c>
      <c r="AD1449" s="53" t="n">
        <v>0</v>
      </c>
      <c r="AE1449" s="52" t="n">
        <v>0</v>
      </c>
      <c r="AF1449" s="51" t="n">
        <v>0</v>
      </c>
      <c r="AG1449" s="48" t="n">
        <v>0</v>
      </c>
      <c r="AH1449" s="49" t="n">
        <v>0</v>
      </c>
      <c r="AI1449" s="49" t="n">
        <v>0</v>
      </c>
      <c r="AJ1449" s="50" t="n">
        <v>0</v>
      </c>
      <c r="AK1449" s="51" t="n">
        <v>0</v>
      </c>
      <c r="AL1449" s="52" t="n">
        <v>0</v>
      </c>
      <c r="AM1449" s="52" t="n">
        <v>0</v>
      </c>
      <c r="AN1449" s="52" t="n">
        <v>0</v>
      </c>
      <c r="AO1449" s="53" t="n">
        <v>0</v>
      </c>
      <c r="AP1449" s="52" t="n">
        <v>0</v>
      </c>
      <c r="AQ1449" s="53" t="n">
        <v>0</v>
      </c>
      <c r="AR1449" s="52" t="n">
        <v>0</v>
      </c>
      <c r="AS1449" s="51" t="n">
        <v>0</v>
      </c>
      <c r="AT1449" s="48" t="n">
        <v>0</v>
      </c>
      <c r="AU1449" s="49" t="n">
        <v>0</v>
      </c>
      <c r="AV1449" s="49" t="n">
        <v>0</v>
      </c>
      <c r="AW1449" s="50" t="n">
        <v>0</v>
      </c>
      <c r="AX1449" s="51" t="n">
        <v>0</v>
      </c>
      <c r="AY1449" s="52" t="n">
        <v>0</v>
      </c>
      <c r="AZ1449" s="52" t="n">
        <v>0</v>
      </c>
      <c r="BA1449" s="52" t="n">
        <v>0</v>
      </c>
      <c r="BB1449" s="53" t="n">
        <v>0</v>
      </c>
      <c r="BC1449" s="52" t="n">
        <v>0</v>
      </c>
      <c r="BD1449" s="53" t="n">
        <v>0</v>
      </c>
      <c r="BE1449" s="52" t="n">
        <v>0</v>
      </c>
      <c r="BF1449" s="51" t="n">
        <v>0</v>
      </c>
    </row>
    <row r="1450">
      <c r="A1450">
        <f>HYPERLINK("https://www.walmart.com/ip/14476467012", "14476467012")</f>
        <v/>
      </c>
      <c r="B1450" t="inlineStr">
        <is>
          <t>Womens Oversized Flannel Blanket Hoodie Sweatshirt, Plush Fleece Lined Lounging Pullover, Christmas Gift for Women (Latte) - Catalonia</t>
        </is>
      </c>
      <c r="C1450" t="inlineStr">
        <is>
          <t>1CTOSH400LT-FS</t>
        </is>
      </c>
      <c r="D1450" t="inlineStr">
        <is>
          <t>Sweatshirts &amp; Hoodies</t>
        </is>
      </c>
      <c r="E1450" t="inlineStr">
        <is>
          <t>Catalonia</t>
        </is>
      </c>
      <c r="G1450" s="48" t="n">
        <v>0</v>
      </c>
      <c r="H1450" s="49" t="n">
        <v>0</v>
      </c>
      <c r="I1450" s="49" t="n">
        <v>0</v>
      </c>
      <c r="J1450" s="50" t="n">
        <v>0</v>
      </c>
      <c r="K1450" s="51" t="n">
        <v>0</v>
      </c>
      <c r="L1450" s="52" t="n">
        <v>0</v>
      </c>
      <c r="M1450" s="52" t="n">
        <v>0</v>
      </c>
      <c r="N1450" s="52" t="n">
        <v>0</v>
      </c>
      <c r="O1450" s="53" t="n">
        <v>0</v>
      </c>
      <c r="P1450" s="52" t="n">
        <v>0</v>
      </c>
      <c r="Q1450" s="53" t="n">
        <v>0</v>
      </c>
      <c r="R1450" s="52" t="n">
        <v>0</v>
      </c>
      <c r="S1450" s="51" t="n">
        <v>0</v>
      </c>
      <c r="T1450" s="48" t="n">
        <v>0</v>
      </c>
      <c r="U1450" s="49" t="n">
        <v>0</v>
      </c>
      <c r="V1450" s="49" t="n">
        <v>0</v>
      </c>
      <c r="W1450" s="50" t="n">
        <v>0</v>
      </c>
      <c r="X1450" s="51" t="n">
        <v>0</v>
      </c>
      <c r="Y1450" s="52" t="n">
        <v>0</v>
      </c>
      <c r="Z1450" s="52" t="n">
        <v>0</v>
      </c>
      <c r="AA1450" s="52" t="n">
        <v>0</v>
      </c>
      <c r="AB1450" s="53" t="n">
        <v>0</v>
      </c>
      <c r="AC1450" s="52" t="n">
        <v>0</v>
      </c>
      <c r="AD1450" s="53" t="n">
        <v>0</v>
      </c>
      <c r="AE1450" s="52" t="n">
        <v>0</v>
      </c>
      <c r="AF1450" s="51" t="n">
        <v>0</v>
      </c>
      <c r="AG1450" s="48" t="n">
        <v>0</v>
      </c>
      <c r="AH1450" s="49" t="n">
        <v>0</v>
      </c>
      <c r="AI1450" s="49" t="n">
        <v>0</v>
      </c>
      <c r="AJ1450" s="50" t="n">
        <v>0</v>
      </c>
      <c r="AK1450" s="51" t="n">
        <v>0</v>
      </c>
      <c r="AL1450" s="52" t="n">
        <v>0</v>
      </c>
      <c r="AM1450" s="52" t="n">
        <v>0</v>
      </c>
      <c r="AN1450" s="52" t="n">
        <v>0</v>
      </c>
      <c r="AO1450" s="53" t="n">
        <v>0</v>
      </c>
      <c r="AP1450" s="52" t="n">
        <v>0</v>
      </c>
      <c r="AQ1450" s="53" t="n">
        <v>0</v>
      </c>
      <c r="AR1450" s="52" t="n">
        <v>0</v>
      </c>
      <c r="AS1450" s="51" t="n">
        <v>0</v>
      </c>
      <c r="AT1450" s="48" t="n">
        <v>0</v>
      </c>
      <c r="AU1450" s="49" t="n">
        <v>0</v>
      </c>
      <c r="AV1450" s="49" t="n">
        <v>0</v>
      </c>
      <c r="AW1450" s="50" t="n">
        <v>0</v>
      </c>
      <c r="AX1450" s="51" t="n">
        <v>0</v>
      </c>
      <c r="AY1450" s="52" t="n">
        <v>0</v>
      </c>
      <c r="AZ1450" s="52" t="n">
        <v>0</v>
      </c>
      <c r="BA1450" s="52" t="n">
        <v>0</v>
      </c>
      <c r="BB1450" s="53" t="n">
        <v>0</v>
      </c>
      <c r="BC1450" s="52" t="n">
        <v>0</v>
      </c>
      <c r="BD1450" s="53" t="n">
        <v>0</v>
      </c>
      <c r="BE1450" s="52" t="n">
        <v>0</v>
      </c>
      <c r="BF1450" s="51" t="n">
        <v>0</v>
      </c>
    </row>
    <row r="1451">
      <c r="A1451">
        <f>HYPERLINK("https://www.walmart.com/ip/14477116774", "14477116774")</f>
        <v/>
      </c>
      <c r="B1451" t="inlineStr">
        <is>
          <t>PEANUTS Mens' Cotton Snoopy Family Matching Pajamas 2-Piece Sets for Christmas with Woodstock Charlie Brown Linus, Gift for him (Green Polka Dot, XL)</t>
        </is>
      </c>
      <c r="C1451" t="inlineStr">
        <is>
          <t>PEA-PJS-FAMILY-MEN-GREEN-XL</t>
        </is>
      </c>
      <c r="D1451" t="inlineStr">
        <is>
          <t>Pajamas</t>
        </is>
      </c>
      <c r="E1451" t="inlineStr">
        <is>
          <t>Peanuts</t>
        </is>
      </c>
      <c r="G1451" s="48" t="n">
        <v>0</v>
      </c>
      <c r="H1451" s="49" t="n">
        <v>0</v>
      </c>
      <c r="I1451" s="49" t="n">
        <v>0</v>
      </c>
      <c r="J1451" s="50" t="n">
        <v>0</v>
      </c>
      <c r="K1451" s="51" t="n">
        <v>0</v>
      </c>
      <c r="L1451" s="52" t="n">
        <v>0</v>
      </c>
      <c r="M1451" s="52" t="n">
        <v>0</v>
      </c>
      <c r="N1451" s="52" t="n">
        <v>0</v>
      </c>
      <c r="O1451" s="53" t="n">
        <v>0</v>
      </c>
      <c r="P1451" s="52" t="n">
        <v>0</v>
      </c>
      <c r="Q1451" s="53" t="n">
        <v>0</v>
      </c>
      <c r="R1451" s="52" t="n">
        <v>0</v>
      </c>
      <c r="S1451" s="51" t="n">
        <v>0</v>
      </c>
      <c r="T1451" s="48" t="n">
        <v>0</v>
      </c>
      <c r="U1451" s="49" t="n">
        <v>0</v>
      </c>
      <c r="V1451" s="49" t="n">
        <v>0</v>
      </c>
      <c r="W1451" s="50" t="n">
        <v>0</v>
      </c>
      <c r="X1451" s="51" t="n">
        <v>0</v>
      </c>
      <c r="Y1451" s="52" t="n">
        <v>0</v>
      </c>
      <c r="Z1451" s="52" t="n">
        <v>0</v>
      </c>
      <c r="AA1451" s="52" t="n">
        <v>0</v>
      </c>
      <c r="AB1451" s="53" t="n">
        <v>0</v>
      </c>
      <c r="AC1451" s="52" t="n">
        <v>0</v>
      </c>
      <c r="AD1451" s="53" t="n">
        <v>0</v>
      </c>
      <c r="AE1451" s="52" t="n">
        <v>0</v>
      </c>
      <c r="AF1451" s="51" t="n">
        <v>0</v>
      </c>
      <c r="AG1451" s="48" t="n">
        <v>0</v>
      </c>
      <c r="AH1451" s="49" t="n">
        <v>0</v>
      </c>
      <c r="AI1451" s="49" t="n">
        <v>0</v>
      </c>
      <c r="AJ1451" s="50" t="n">
        <v>0</v>
      </c>
      <c r="AK1451" s="51" t="n">
        <v>0</v>
      </c>
      <c r="AL1451" s="52" t="n">
        <v>0</v>
      </c>
      <c r="AM1451" s="52" t="n">
        <v>0</v>
      </c>
      <c r="AN1451" s="52" t="n">
        <v>0</v>
      </c>
      <c r="AO1451" s="53" t="n">
        <v>0</v>
      </c>
      <c r="AP1451" s="52" t="n">
        <v>0</v>
      </c>
      <c r="AQ1451" s="53" t="n">
        <v>0</v>
      </c>
      <c r="AR1451" s="52" t="n">
        <v>0</v>
      </c>
      <c r="AS1451" s="51" t="n">
        <v>0</v>
      </c>
      <c r="AT1451" s="48" t="n">
        <v>0</v>
      </c>
      <c r="AU1451" s="49" t="n">
        <v>0</v>
      </c>
      <c r="AV1451" s="49" t="n">
        <v>0</v>
      </c>
      <c r="AW1451" s="50" t="n">
        <v>0</v>
      </c>
      <c r="AX1451" s="51" t="n">
        <v>0</v>
      </c>
      <c r="AY1451" s="52" t="n">
        <v>0</v>
      </c>
      <c r="AZ1451" s="52" t="n">
        <v>0</v>
      </c>
      <c r="BA1451" s="52" t="n">
        <v>0</v>
      </c>
      <c r="BB1451" s="53" t="n">
        <v>0</v>
      </c>
      <c r="BC1451" s="52" t="n">
        <v>0</v>
      </c>
      <c r="BD1451" s="53" t="n">
        <v>0</v>
      </c>
      <c r="BE1451" s="52" t="n">
        <v>0</v>
      </c>
      <c r="BF1451" s="51" t="n">
        <v>0</v>
      </c>
    </row>
    <row r="1452">
      <c r="A1452">
        <f>HYPERLINK("https://www.walmart.com/ip/14477166539", "14477166539")</f>
        <v/>
      </c>
      <c r="B1452" t="inlineStr">
        <is>
          <t>PEANUTS Toddler Boys Girls Snoopy Family Matching Pajamas Sleepwear 2-Piece Sets for Christmas with Woodstock Charlie Brown Linus (Black Plaid, 4T)</t>
        </is>
      </c>
      <c r="C1452" t="inlineStr">
        <is>
          <t>PEA-PJS-FAMILY-TODDLER-BLACKPLAID-4T</t>
        </is>
      </c>
      <c r="D1452" t="inlineStr">
        <is>
          <t>Pajamas</t>
        </is>
      </c>
      <c r="E1452" t="inlineStr">
        <is>
          <t>Peanuts</t>
        </is>
      </c>
      <c r="G1452" s="48" t="n">
        <v>0</v>
      </c>
      <c r="H1452" s="49" t="n">
        <v>0</v>
      </c>
      <c r="I1452" s="49" t="n">
        <v>0</v>
      </c>
      <c r="J1452" s="50" t="n">
        <v>0</v>
      </c>
      <c r="K1452" s="51" t="n">
        <v>0</v>
      </c>
      <c r="L1452" s="52" t="n">
        <v>0</v>
      </c>
      <c r="M1452" s="52" t="n">
        <v>0</v>
      </c>
      <c r="N1452" s="52" t="n">
        <v>0</v>
      </c>
      <c r="O1452" s="53" t="n">
        <v>0</v>
      </c>
      <c r="P1452" s="52" t="n">
        <v>0</v>
      </c>
      <c r="Q1452" s="53" t="n">
        <v>0</v>
      </c>
      <c r="R1452" s="52" t="n">
        <v>0</v>
      </c>
      <c r="S1452" s="51" t="n">
        <v>0</v>
      </c>
      <c r="T1452" s="48" t="n">
        <v>0</v>
      </c>
      <c r="U1452" s="49" t="n">
        <v>0</v>
      </c>
      <c r="V1452" s="49" t="n">
        <v>0</v>
      </c>
      <c r="W1452" s="50" t="n">
        <v>0</v>
      </c>
      <c r="X1452" s="51" t="n">
        <v>0</v>
      </c>
      <c r="Y1452" s="52" t="n">
        <v>0</v>
      </c>
      <c r="Z1452" s="52" t="n">
        <v>0</v>
      </c>
      <c r="AA1452" s="52" t="n">
        <v>0</v>
      </c>
      <c r="AB1452" s="53" t="n">
        <v>0</v>
      </c>
      <c r="AC1452" s="52" t="n">
        <v>0</v>
      </c>
      <c r="AD1452" s="53" t="n">
        <v>0</v>
      </c>
      <c r="AE1452" s="52" t="n">
        <v>0</v>
      </c>
      <c r="AF1452" s="51" t="n">
        <v>0</v>
      </c>
      <c r="AG1452" s="48" t="n">
        <v>0</v>
      </c>
      <c r="AH1452" s="49" t="n">
        <v>0</v>
      </c>
      <c r="AI1452" s="49" t="n">
        <v>0</v>
      </c>
      <c r="AJ1452" s="50" t="n">
        <v>0</v>
      </c>
      <c r="AK1452" s="51" t="n">
        <v>0</v>
      </c>
      <c r="AL1452" s="52" t="n">
        <v>0</v>
      </c>
      <c r="AM1452" s="52" t="n">
        <v>0</v>
      </c>
      <c r="AN1452" s="52" t="n">
        <v>0</v>
      </c>
      <c r="AO1452" s="53" t="n">
        <v>0</v>
      </c>
      <c r="AP1452" s="52" t="n">
        <v>0</v>
      </c>
      <c r="AQ1452" s="53" t="n">
        <v>0</v>
      </c>
      <c r="AR1452" s="52" t="n">
        <v>0</v>
      </c>
      <c r="AS1452" s="51" t="n">
        <v>0</v>
      </c>
      <c r="AT1452" s="48" t="n">
        <v>0</v>
      </c>
      <c r="AU1452" s="49" t="n">
        <v>0</v>
      </c>
      <c r="AV1452" s="49" t="n">
        <v>0</v>
      </c>
      <c r="AW1452" s="50" t="n">
        <v>0</v>
      </c>
      <c r="AX1452" s="51" t="n">
        <v>0</v>
      </c>
      <c r="AY1452" s="52" t="n">
        <v>0</v>
      </c>
      <c r="AZ1452" s="52" t="n">
        <v>0</v>
      </c>
      <c r="BA1452" s="52" t="n">
        <v>0</v>
      </c>
      <c r="BB1452" s="53" t="n">
        <v>0</v>
      </c>
      <c r="BC1452" s="52" t="n">
        <v>0</v>
      </c>
      <c r="BD1452" s="53" t="n">
        <v>0</v>
      </c>
      <c r="BE1452" s="52" t="n">
        <v>0</v>
      </c>
      <c r="BF1452" s="51" t="n">
        <v>0</v>
      </c>
    </row>
    <row r="1453">
      <c r="A1453">
        <f>HYPERLINK("https://www.walmart.com/ip/14477216504", "14477216504")</f>
        <v/>
      </c>
      <c r="B1453" t="inlineStr">
        <is>
          <t>PEANUTS Toddler Boys Girls Snoopy Family Matching Pajamas Sleepwear 2-Piece Sets for Christmas with Woodstock Charlie Brown Linus (Red Polka Dot, 4T)</t>
        </is>
      </c>
      <c r="C1453" t="inlineStr">
        <is>
          <t>PEA-PJS-FAMILY-TODDLER-RED-4T</t>
        </is>
      </c>
      <c r="D1453" t="inlineStr">
        <is>
          <t>Pajamas</t>
        </is>
      </c>
      <c r="E1453" t="inlineStr">
        <is>
          <t>Peanuts</t>
        </is>
      </c>
      <c r="G1453" s="48" t="n">
        <v>0</v>
      </c>
      <c r="H1453" s="49" t="n">
        <v>0</v>
      </c>
      <c r="I1453" s="49" t="n">
        <v>0</v>
      </c>
      <c r="J1453" s="50" t="n">
        <v>0</v>
      </c>
      <c r="K1453" s="51" t="n">
        <v>0</v>
      </c>
      <c r="L1453" s="52" t="n">
        <v>0</v>
      </c>
      <c r="M1453" s="52" t="n">
        <v>0</v>
      </c>
      <c r="N1453" s="52" t="n">
        <v>0</v>
      </c>
      <c r="O1453" s="53" t="n">
        <v>0</v>
      </c>
      <c r="P1453" s="52" t="n">
        <v>0</v>
      </c>
      <c r="Q1453" s="53" t="n">
        <v>0</v>
      </c>
      <c r="R1453" s="52" t="n">
        <v>0</v>
      </c>
      <c r="S1453" s="51" t="n">
        <v>0</v>
      </c>
      <c r="T1453" s="48" t="n">
        <v>0</v>
      </c>
      <c r="U1453" s="49" t="n">
        <v>0</v>
      </c>
      <c r="V1453" s="49" t="n">
        <v>0</v>
      </c>
      <c r="W1453" s="50" t="n">
        <v>0</v>
      </c>
      <c r="X1453" s="51" t="n">
        <v>0</v>
      </c>
      <c r="Y1453" s="52" t="n">
        <v>0</v>
      </c>
      <c r="Z1453" s="52" t="n">
        <v>0</v>
      </c>
      <c r="AA1453" s="52" t="n">
        <v>0</v>
      </c>
      <c r="AB1453" s="53" t="n">
        <v>0</v>
      </c>
      <c r="AC1453" s="52" t="n">
        <v>0</v>
      </c>
      <c r="AD1453" s="53" t="n">
        <v>0</v>
      </c>
      <c r="AE1453" s="52" t="n">
        <v>0</v>
      </c>
      <c r="AF1453" s="51" t="n">
        <v>0</v>
      </c>
      <c r="AG1453" s="48" t="n">
        <v>0</v>
      </c>
      <c r="AH1453" s="49" t="n">
        <v>0</v>
      </c>
      <c r="AI1453" s="49" t="n">
        <v>0</v>
      </c>
      <c r="AJ1453" s="50" t="n">
        <v>0</v>
      </c>
      <c r="AK1453" s="51" t="n">
        <v>0</v>
      </c>
      <c r="AL1453" s="52" t="n">
        <v>0</v>
      </c>
      <c r="AM1453" s="52" t="n">
        <v>0</v>
      </c>
      <c r="AN1453" s="52" t="n">
        <v>0</v>
      </c>
      <c r="AO1453" s="53" t="n">
        <v>0</v>
      </c>
      <c r="AP1453" s="52" t="n">
        <v>0</v>
      </c>
      <c r="AQ1453" s="53" t="n">
        <v>0</v>
      </c>
      <c r="AR1453" s="52" t="n">
        <v>0</v>
      </c>
      <c r="AS1453" s="51" t="n">
        <v>0</v>
      </c>
      <c r="AT1453" s="48" t="n">
        <v>0</v>
      </c>
      <c r="AU1453" s="49" t="n">
        <v>0</v>
      </c>
      <c r="AV1453" s="49" t="n">
        <v>0</v>
      </c>
      <c r="AW1453" s="50" t="n">
        <v>0</v>
      </c>
      <c r="AX1453" s="51" t="n">
        <v>0</v>
      </c>
      <c r="AY1453" s="52" t="n">
        <v>0</v>
      </c>
      <c r="AZ1453" s="52" t="n">
        <v>0</v>
      </c>
      <c r="BA1453" s="52" t="n">
        <v>0</v>
      </c>
      <c r="BB1453" s="53" t="n">
        <v>0</v>
      </c>
      <c r="BC1453" s="52" t="n">
        <v>0</v>
      </c>
      <c r="BD1453" s="53" t="n">
        <v>0</v>
      </c>
      <c r="BE1453" s="52" t="n">
        <v>0</v>
      </c>
      <c r="BF1453" s="51" t="n">
        <v>0</v>
      </c>
    </row>
    <row r="1454">
      <c r="A1454">
        <f>HYPERLINK("https://www.walmart.com/ip/14477216506", "14477216506")</f>
        <v/>
      </c>
      <c r="B1454" t="inlineStr">
        <is>
          <t>PEANUTS Snoopy 100% Cotton Family Matching Pajamas Holiday 2-Piece Sets for Christmas with Woodstock Charlie Brown Linus for Baby (Red Plaid, 12M)</t>
        </is>
      </c>
      <c r="C1454" t="inlineStr">
        <is>
          <t>PEA-PJS-FAMILY-INFANT-REDPLAID-12M</t>
        </is>
      </c>
      <c r="D1454" t="inlineStr">
        <is>
          <t>Pajamas</t>
        </is>
      </c>
      <c r="E1454" t="inlineStr">
        <is>
          <t>Peanuts</t>
        </is>
      </c>
      <c r="G1454" s="48" t="n">
        <v>0</v>
      </c>
      <c r="H1454" s="49" t="n">
        <v>0</v>
      </c>
      <c r="I1454" s="49" t="n">
        <v>0</v>
      </c>
      <c r="J1454" s="50" t="n">
        <v>0</v>
      </c>
      <c r="K1454" s="51" t="n">
        <v>0</v>
      </c>
      <c r="L1454" s="52" t="n">
        <v>0</v>
      </c>
      <c r="M1454" s="52" t="n">
        <v>0</v>
      </c>
      <c r="N1454" s="52" t="n">
        <v>0</v>
      </c>
      <c r="O1454" s="53" t="n">
        <v>0</v>
      </c>
      <c r="P1454" s="52" t="n">
        <v>0</v>
      </c>
      <c r="Q1454" s="53" t="n">
        <v>0</v>
      </c>
      <c r="R1454" s="52" t="n">
        <v>0</v>
      </c>
      <c r="S1454" s="51" t="n">
        <v>0</v>
      </c>
      <c r="T1454" s="48" t="n">
        <v>0</v>
      </c>
      <c r="U1454" s="49" t="n">
        <v>0</v>
      </c>
      <c r="V1454" s="49" t="n">
        <v>0</v>
      </c>
      <c r="W1454" s="50" t="n">
        <v>0</v>
      </c>
      <c r="X1454" s="51" t="n">
        <v>0</v>
      </c>
      <c r="Y1454" s="52" t="n">
        <v>0</v>
      </c>
      <c r="Z1454" s="52" t="n">
        <v>0</v>
      </c>
      <c r="AA1454" s="52" t="n">
        <v>0</v>
      </c>
      <c r="AB1454" s="53" t="n">
        <v>0</v>
      </c>
      <c r="AC1454" s="52" t="n">
        <v>0</v>
      </c>
      <c r="AD1454" s="53" t="n">
        <v>0</v>
      </c>
      <c r="AE1454" s="52" t="n">
        <v>0</v>
      </c>
      <c r="AF1454" s="51" t="n">
        <v>0</v>
      </c>
      <c r="AG1454" s="48" t="n">
        <v>0</v>
      </c>
      <c r="AH1454" s="49" t="n">
        <v>0</v>
      </c>
      <c r="AI1454" s="49" t="n">
        <v>0</v>
      </c>
      <c r="AJ1454" s="50" t="n">
        <v>0</v>
      </c>
      <c r="AK1454" s="51" t="n">
        <v>0</v>
      </c>
      <c r="AL1454" s="52" t="n">
        <v>0</v>
      </c>
      <c r="AM1454" s="52" t="n">
        <v>0</v>
      </c>
      <c r="AN1454" s="52" t="n">
        <v>0</v>
      </c>
      <c r="AO1454" s="53" t="n">
        <v>0</v>
      </c>
      <c r="AP1454" s="52" t="n">
        <v>0</v>
      </c>
      <c r="AQ1454" s="53" t="n">
        <v>0</v>
      </c>
      <c r="AR1454" s="52" t="n">
        <v>0</v>
      </c>
      <c r="AS1454" s="51" t="n">
        <v>0</v>
      </c>
      <c r="AT1454" s="48" t="n">
        <v>0</v>
      </c>
      <c r="AU1454" s="49" t="n">
        <v>0</v>
      </c>
      <c r="AV1454" s="49" t="n">
        <v>0</v>
      </c>
      <c r="AW1454" s="50" t="n">
        <v>0</v>
      </c>
      <c r="AX1454" s="51" t="n">
        <v>0</v>
      </c>
      <c r="AY1454" s="52" t="n">
        <v>0</v>
      </c>
      <c r="AZ1454" s="52" t="n">
        <v>0</v>
      </c>
      <c r="BA1454" s="52" t="n">
        <v>0</v>
      </c>
      <c r="BB1454" s="53" t="n">
        <v>0</v>
      </c>
      <c r="BC1454" s="52" t="n">
        <v>0</v>
      </c>
      <c r="BD1454" s="53" t="n">
        <v>0</v>
      </c>
      <c r="BE1454" s="52" t="n">
        <v>0</v>
      </c>
      <c r="BF1454" s="51" t="n">
        <v>0</v>
      </c>
    </row>
    <row r="1455">
      <c r="A1455">
        <f>HYPERLINK("https://www.walmart.com/ip/14483052382", "14483052382")</f>
        <v/>
      </c>
      <c r="B1455" t="inlineStr">
        <is>
          <t>Catalonia Women's Hoodie Sweatshirt, Casual Long Sleeves Pullover Sweater with front Pocket, Blanket Hoodie Sweatshirt, Dark Gray</t>
        </is>
      </c>
      <c r="C1455" t="inlineStr">
        <is>
          <t>1CTOSH300S1CHEETAH-FS</t>
        </is>
      </c>
      <c r="D1455" t="inlineStr">
        <is>
          <t>Sweatshirts &amp; Hoodies</t>
        </is>
      </c>
      <c r="E1455" t="inlineStr">
        <is>
          <t>Catalonia</t>
        </is>
      </c>
      <c r="G1455" s="48" t="n">
        <v>0</v>
      </c>
      <c r="H1455" s="49" t="n">
        <v>0</v>
      </c>
      <c r="I1455" s="49" t="n">
        <v>0</v>
      </c>
      <c r="J1455" s="50" t="n">
        <v>0</v>
      </c>
      <c r="K1455" s="51" t="n">
        <v>0</v>
      </c>
      <c r="L1455" s="52" t="n">
        <v>0</v>
      </c>
      <c r="M1455" s="52" t="n">
        <v>0</v>
      </c>
      <c r="N1455" s="52" t="n">
        <v>0</v>
      </c>
      <c r="O1455" s="53" t="n">
        <v>0</v>
      </c>
      <c r="P1455" s="52" t="n">
        <v>0</v>
      </c>
      <c r="Q1455" s="53" t="n">
        <v>0</v>
      </c>
      <c r="R1455" s="52" t="n">
        <v>0</v>
      </c>
      <c r="S1455" s="51" t="n">
        <v>0</v>
      </c>
      <c r="T1455" s="48" t="n">
        <v>0</v>
      </c>
      <c r="U1455" s="49" t="n">
        <v>0</v>
      </c>
      <c r="V1455" s="49" t="n">
        <v>0</v>
      </c>
      <c r="W1455" s="50" t="n">
        <v>0</v>
      </c>
      <c r="X1455" s="51" t="n">
        <v>0</v>
      </c>
      <c r="Y1455" s="52" t="n">
        <v>0</v>
      </c>
      <c r="Z1455" s="52" t="n">
        <v>0</v>
      </c>
      <c r="AA1455" s="52" t="n">
        <v>0</v>
      </c>
      <c r="AB1455" s="53" t="n">
        <v>0</v>
      </c>
      <c r="AC1455" s="52" t="n">
        <v>0</v>
      </c>
      <c r="AD1455" s="53" t="n">
        <v>0</v>
      </c>
      <c r="AE1455" s="52" t="n">
        <v>0</v>
      </c>
      <c r="AF1455" s="51" t="n">
        <v>0</v>
      </c>
      <c r="AG1455" s="48" t="n">
        <v>0</v>
      </c>
      <c r="AH1455" s="49" t="n">
        <v>0</v>
      </c>
      <c r="AI1455" s="49" t="n">
        <v>0</v>
      </c>
      <c r="AJ1455" s="50" t="n">
        <v>0</v>
      </c>
      <c r="AK1455" s="51" t="n">
        <v>0</v>
      </c>
      <c r="AL1455" s="52" t="n">
        <v>0</v>
      </c>
      <c r="AM1455" s="52" t="n">
        <v>0</v>
      </c>
      <c r="AN1455" s="52" t="n">
        <v>0</v>
      </c>
      <c r="AO1455" s="53" t="n">
        <v>0</v>
      </c>
      <c r="AP1455" s="52" t="n">
        <v>0</v>
      </c>
      <c r="AQ1455" s="53" t="n">
        <v>0</v>
      </c>
      <c r="AR1455" s="52" t="n">
        <v>0</v>
      </c>
      <c r="AS1455" s="51" t="n">
        <v>0</v>
      </c>
      <c r="AT1455" s="48" t="n">
        <v>0</v>
      </c>
      <c r="AU1455" s="49" t="n">
        <v>0</v>
      </c>
      <c r="AV1455" s="49" t="n">
        <v>0</v>
      </c>
      <c r="AW1455" s="50" t="n">
        <v>0</v>
      </c>
      <c r="AX1455" s="51" t="n">
        <v>0</v>
      </c>
      <c r="AY1455" s="52" t="n">
        <v>0</v>
      </c>
      <c r="AZ1455" s="52" t="n">
        <v>0</v>
      </c>
      <c r="BA1455" s="52" t="n">
        <v>0</v>
      </c>
      <c r="BB1455" s="53" t="n">
        <v>0</v>
      </c>
      <c r="BC1455" s="52" t="n">
        <v>0</v>
      </c>
      <c r="BD1455" s="53" t="n">
        <v>0</v>
      </c>
      <c r="BE1455" s="52" t="n">
        <v>0</v>
      </c>
      <c r="BF1455" s="51" t="n">
        <v>0</v>
      </c>
    </row>
    <row r="1456">
      <c r="A1456">
        <f>HYPERLINK("https://www.walmart.com/ip/14534159424", "14534159424")</f>
        <v/>
      </c>
      <c r="B1456" t="inlineStr">
        <is>
          <t>Aeropostale  Backpack for School, College, and Travel， Water Resistant Bookbag Plaid Blue</t>
        </is>
      </c>
      <c r="C1456" t="inlineStr">
        <is>
          <t>1AEBPK92029PBL</t>
        </is>
      </c>
      <c r="D1456" t="inlineStr">
        <is>
          <t>Backpacks</t>
        </is>
      </c>
      <c r="E1456" t="inlineStr">
        <is>
          <t>Aeropostale</t>
        </is>
      </c>
      <c r="G1456" s="48" t="n">
        <v>0</v>
      </c>
      <c r="H1456" s="49" t="n">
        <v>0</v>
      </c>
      <c r="I1456" s="49" t="n">
        <v>0</v>
      </c>
      <c r="J1456" s="50" t="n">
        <v>0</v>
      </c>
      <c r="K1456" s="51" t="n">
        <v>0</v>
      </c>
      <c r="L1456" s="52" t="n">
        <v>0</v>
      </c>
      <c r="M1456" s="52" t="n">
        <v>0</v>
      </c>
      <c r="N1456" s="52" t="n">
        <v>0</v>
      </c>
      <c r="O1456" s="53" t="n">
        <v>0</v>
      </c>
      <c r="P1456" s="52" t="n">
        <v>0</v>
      </c>
      <c r="Q1456" s="53" t="n">
        <v>0</v>
      </c>
      <c r="R1456" s="52" t="n">
        <v>0</v>
      </c>
      <c r="S1456" s="51" t="n">
        <v>0</v>
      </c>
      <c r="T1456" s="48" t="n">
        <v>0</v>
      </c>
      <c r="U1456" s="49" t="n">
        <v>0</v>
      </c>
      <c r="V1456" s="49" t="n">
        <v>0</v>
      </c>
      <c r="W1456" s="50" t="n">
        <v>0</v>
      </c>
      <c r="X1456" s="51" t="n">
        <v>0</v>
      </c>
      <c r="Y1456" s="52" t="n">
        <v>0</v>
      </c>
      <c r="Z1456" s="52" t="n">
        <v>0</v>
      </c>
      <c r="AA1456" s="52" t="n">
        <v>0</v>
      </c>
      <c r="AB1456" s="53" t="n">
        <v>0</v>
      </c>
      <c r="AC1456" s="52" t="n">
        <v>0</v>
      </c>
      <c r="AD1456" s="53" t="n">
        <v>0</v>
      </c>
      <c r="AE1456" s="52" t="n">
        <v>0</v>
      </c>
      <c r="AF1456" s="51" t="n">
        <v>0</v>
      </c>
      <c r="AG1456" s="48" t="n">
        <v>0</v>
      </c>
      <c r="AH1456" s="49" t="n">
        <v>0</v>
      </c>
      <c r="AI1456" s="49" t="n">
        <v>0</v>
      </c>
      <c r="AJ1456" s="50" t="n">
        <v>0</v>
      </c>
      <c r="AK1456" s="51" t="n">
        <v>0</v>
      </c>
      <c r="AL1456" s="52" t="n">
        <v>0</v>
      </c>
      <c r="AM1456" s="52" t="n">
        <v>0</v>
      </c>
      <c r="AN1456" s="52" t="n">
        <v>0</v>
      </c>
      <c r="AO1456" s="53" t="n">
        <v>0</v>
      </c>
      <c r="AP1456" s="52" t="n">
        <v>0</v>
      </c>
      <c r="AQ1456" s="53" t="n">
        <v>0</v>
      </c>
      <c r="AR1456" s="52" t="n">
        <v>0</v>
      </c>
      <c r="AS1456" s="51" t="n">
        <v>0</v>
      </c>
      <c r="AT1456" s="48" t="n">
        <v>0</v>
      </c>
      <c r="AU1456" s="49" t="n">
        <v>0</v>
      </c>
      <c r="AV1456" s="49" t="n">
        <v>0</v>
      </c>
      <c r="AW1456" s="50" t="n">
        <v>0</v>
      </c>
      <c r="AX1456" s="51" t="n">
        <v>0</v>
      </c>
      <c r="AY1456" s="52" t="n">
        <v>0</v>
      </c>
      <c r="AZ1456" s="52" t="n">
        <v>0</v>
      </c>
      <c r="BA1456" s="52" t="n">
        <v>0</v>
      </c>
      <c r="BB1456" s="53" t="n">
        <v>0</v>
      </c>
      <c r="BC1456" s="52" t="n">
        <v>0</v>
      </c>
      <c r="BD1456" s="53" t="n">
        <v>0</v>
      </c>
      <c r="BE1456" s="52" t="n">
        <v>0</v>
      </c>
      <c r="BF1456" s="51" t="n">
        <v>0</v>
      </c>
    </row>
    <row r="1457">
      <c r="A1457">
        <f>HYPERLINK("https://www.walmart.com/ip/14534159426", "14534159426")</f>
        <v/>
      </c>
      <c r="B1457" t="inlineStr">
        <is>
          <t>Aeropostale  Backpack for School, College, and Travel， Water Resistant Bookbag Black Astro</t>
        </is>
      </c>
      <c r="C1457" t="inlineStr">
        <is>
          <t>1AEBPK92029BKASTRO</t>
        </is>
      </c>
      <c r="D1457" t="inlineStr">
        <is>
          <t>Backpacks</t>
        </is>
      </c>
      <c r="E1457" t="inlineStr">
        <is>
          <t>Aeropostale</t>
        </is>
      </c>
      <c r="G1457" s="48" t="n">
        <v>0</v>
      </c>
      <c r="H1457" s="49" t="n">
        <v>0</v>
      </c>
      <c r="I1457" s="49" t="n">
        <v>0</v>
      </c>
      <c r="J1457" s="50" t="n">
        <v>0</v>
      </c>
      <c r="K1457" s="51" t="n">
        <v>0</v>
      </c>
      <c r="L1457" s="52" t="n">
        <v>0</v>
      </c>
      <c r="M1457" s="52" t="n">
        <v>0</v>
      </c>
      <c r="N1457" s="52" t="n">
        <v>0</v>
      </c>
      <c r="O1457" s="53" t="n">
        <v>0</v>
      </c>
      <c r="P1457" s="52" t="n">
        <v>0</v>
      </c>
      <c r="Q1457" s="53" t="n">
        <v>0</v>
      </c>
      <c r="R1457" s="52" t="n">
        <v>0</v>
      </c>
      <c r="S1457" s="51" t="n">
        <v>0</v>
      </c>
      <c r="T1457" s="48" t="n">
        <v>0</v>
      </c>
      <c r="U1457" s="49" t="n">
        <v>0</v>
      </c>
      <c r="V1457" s="49" t="n">
        <v>0</v>
      </c>
      <c r="W1457" s="50" t="n">
        <v>0</v>
      </c>
      <c r="X1457" s="51" t="n">
        <v>0</v>
      </c>
      <c r="Y1457" s="52" t="n">
        <v>0</v>
      </c>
      <c r="Z1457" s="52" t="n">
        <v>0</v>
      </c>
      <c r="AA1457" s="52" t="n">
        <v>0</v>
      </c>
      <c r="AB1457" s="53" t="n">
        <v>0</v>
      </c>
      <c r="AC1457" s="52" t="n">
        <v>0</v>
      </c>
      <c r="AD1457" s="53" t="n">
        <v>0</v>
      </c>
      <c r="AE1457" s="52" t="n">
        <v>0</v>
      </c>
      <c r="AF1457" s="51" t="n">
        <v>0</v>
      </c>
      <c r="AG1457" s="48" t="n">
        <v>0</v>
      </c>
      <c r="AH1457" s="49" t="n">
        <v>0</v>
      </c>
      <c r="AI1457" s="49" t="n">
        <v>0</v>
      </c>
      <c r="AJ1457" s="50" t="n">
        <v>0</v>
      </c>
      <c r="AK1457" s="51" t="n">
        <v>0</v>
      </c>
      <c r="AL1457" s="52" t="n">
        <v>0</v>
      </c>
      <c r="AM1457" s="52" t="n">
        <v>0</v>
      </c>
      <c r="AN1457" s="52" t="n">
        <v>0</v>
      </c>
      <c r="AO1457" s="53" t="n">
        <v>0</v>
      </c>
      <c r="AP1457" s="52" t="n">
        <v>0</v>
      </c>
      <c r="AQ1457" s="53" t="n">
        <v>0</v>
      </c>
      <c r="AR1457" s="52" t="n">
        <v>0</v>
      </c>
      <c r="AS1457" s="51" t="n">
        <v>0</v>
      </c>
      <c r="AT1457" s="48" t="n">
        <v>0</v>
      </c>
      <c r="AU1457" s="49" t="n">
        <v>0</v>
      </c>
      <c r="AV1457" s="49" t="n">
        <v>0</v>
      </c>
      <c r="AW1457" s="50" t="n">
        <v>0</v>
      </c>
      <c r="AX1457" s="51" t="n">
        <v>0</v>
      </c>
      <c r="AY1457" s="52" t="n">
        <v>0</v>
      </c>
      <c r="AZ1457" s="52" t="n">
        <v>0</v>
      </c>
      <c r="BA1457" s="52" t="n">
        <v>0</v>
      </c>
      <c r="BB1457" s="53" t="n">
        <v>0</v>
      </c>
      <c r="BC1457" s="52" t="n">
        <v>0</v>
      </c>
      <c r="BD1457" s="53" t="n">
        <v>0</v>
      </c>
      <c r="BE1457" s="52" t="n">
        <v>0</v>
      </c>
      <c r="BF1457" s="51" t="n">
        <v>0</v>
      </c>
    </row>
    <row r="1458">
      <c r="A1458">
        <f>HYPERLINK("https://www.walmart.com/ip/14534159428", "14534159428")</f>
        <v/>
      </c>
      <c r="B1458" t="inlineStr">
        <is>
          <t>Aeropostale  Backpack for School, College, and Travel， Water Resistant Bookbag Navy Bear</t>
        </is>
      </c>
      <c r="C1458" t="inlineStr">
        <is>
          <t>1AEBPK92029NYBEAR</t>
        </is>
      </c>
      <c r="D1458" t="inlineStr">
        <is>
          <t>Backpacks</t>
        </is>
      </c>
      <c r="E1458" t="inlineStr">
        <is>
          <t>Aeropostale</t>
        </is>
      </c>
      <c r="G1458" s="48" t="n">
        <v>0</v>
      </c>
      <c r="H1458" s="49" t="n">
        <v>0</v>
      </c>
      <c r="I1458" s="49" t="n">
        <v>0</v>
      </c>
      <c r="J1458" s="50" t="n">
        <v>0</v>
      </c>
      <c r="K1458" s="51" t="n">
        <v>0</v>
      </c>
      <c r="L1458" s="52" t="n">
        <v>0</v>
      </c>
      <c r="M1458" s="52" t="n">
        <v>0</v>
      </c>
      <c r="N1458" s="52" t="n">
        <v>0</v>
      </c>
      <c r="O1458" s="53" t="n">
        <v>0</v>
      </c>
      <c r="P1458" s="52" t="n">
        <v>0</v>
      </c>
      <c r="Q1458" s="53" t="n">
        <v>0</v>
      </c>
      <c r="R1458" s="52" t="n">
        <v>0</v>
      </c>
      <c r="S1458" s="51" t="n">
        <v>0</v>
      </c>
      <c r="T1458" s="48" t="n">
        <v>0</v>
      </c>
      <c r="U1458" s="49" t="n">
        <v>0</v>
      </c>
      <c r="V1458" s="49" t="n">
        <v>0</v>
      </c>
      <c r="W1458" s="50" t="n">
        <v>0</v>
      </c>
      <c r="X1458" s="51" t="n">
        <v>0</v>
      </c>
      <c r="Y1458" s="52" t="n">
        <v>0</v>
      </c>
      <c r="Z1458" s="52" t="n">
        <v>0</v>
      </c>
      <c r="AA1458" s="52" t="n">
        <v>0</v>
      </c>
      <c r="AB1458" s="53" t="n">
        <v>0</v>
      </c>
      <c r="AC1458" s="52" t="n">
        <v>0</v>
      </c>
      <c r="AD1458" s="53" t="n">
        <v>0</v>
      </c>
      <c r="AE1458" s="52" t="n">
        <v>0</v>
      </c>
      <c r="AF1458" s="51" t="n">
        <v>0</v>
      </c>
      <c r="AG1458" s="48" t="n">
        <v>0</v>
      </c>
      <c r="AH1458" s="49" t="n">
        <v>0</v>
      </c>
      <c r="AI1458" s="49" t="n">
        <v>0</v>
      </c>
      <c r="AJ1458" s="50" t="n">
        <v>0</v>
      </c>
      <c r="AK1458" s="51" t="n">
        <v>0</v>
      </c>
      <c r="AL1458" s="52" t="n">
        <v>0</v>
      </c>
      <c r="AM1458" s="52" t="n">
        <v>0</v>
      </c>
      <c r="AN1458" s="52" t="n">
        <v>0</v>
      </c>
      <c r="AO1458" s="53" t="n">
        <v>0</v>
      </c>
      <c r="AP1458" s="52" t="n">
        <v>0</v>
      </c>
      <c r="AQ1458" s="53" t="n">
        <v>0</v>
      </c>
      <c r="AR1458" s="52" t="n">
        <v>0</v>
      </c>
      <c r="AS1458" s="51" t="n">
        <v>0</v>
      </c>
      <c r="AT1458" s="48" t="n">
        <v>0</v>
      </c>
      <c r="AU1458" s="49" t="n">
        <v>0</v>
      </c>
      <c r="AV1458" s="49" t="n">
        <v>0</v>
      </c>
      <c r="AW1458" s="50" t="n">
        <v>0</v>
      </c>
      <c r="AX1458" s="51" t="n">
        <v>0</v>
      </c>
      <c r="AY1458" s="52" t="n">
        <v>0</v>
      </c>
      <c r="AZ1458" s="52" t="n">
        <v>0</v>
      </c>
      <c r="BA1458" s="52" t="n">
        <v>0</v>
      </c>
      <c r="BB1458" s="53" t="n">
        <v>0</v>
      </c>
      <c r="BC1458" s="52" t="n">
        <v>0</v>
      </c>
      <c r="BD1458" s="53" t="n">
        <v>0</v>
      </c>
      <c r="BE1458" s="52" t="n">
        <v>0</v>
      </c>
      <c r="BF1458" s="51" t="n">
        <v>0</v>
      </c>
    </row>
    <row r="1459">
      <c r="A1459">
        <f>HYPERLINK("https://www.walmart.com/ip/15419556673", "15419556673")</f>
        <v/>
      </c>
      <c r="B1459" t="inlineStr">
        <is>
          <t>Catalonia Kids Waterproof Swim Parka with Hood, Windproof Fleece Swim Jacket, Warm Winter Swim Coat for Boys Girls Youth, Perfect for Swim Lessons, Beach, Pool</t>
        </is>
      </c>
      <c r="C1459" t="inlineStr">
        <is>
          <t>1CTPKR200BL-1</t>
        </is>
      </c>
      <c r="D1459" t="inlineStr">
        <is>
          <t>Swim Parkas</t>
        </is>
      </c>
      <c r="E1459" t="inlineStr">
        <is>
          <t>Catalonia</t>
        </is>
      </c>
      <c r="G1459" s="48" t="n">
        <v>0</v>
      </c>
      <c r="H1459" s="49" t="n">
        <v>0</v>
      </c>
      <c r="I1459" s="49" t="n">
        <v>0</v>
      </c>
      <c r="J1459" s="50" t="n">
        <v>0</v>
      </c>
      <c r="K1459" s="51" t="n">
        <v>0</v>
      </c>
      <c r="L1459" s="52" t="n">
        <v>0</v>
      </c>
      <c r="M1459" s="52" t="n">
        <v>0</v>
      </c>
      <c r="N1459" s="52" t="n">
        <v>0</v>
      </c>
      <c r="O1459" s="53" t="n">
        <v>0</v>
      </c>
      <c r="P1459" s="52" t="n">
        <v>0</v>
      </c>
      <c r="Q1459" s="53" t="n">
        <v>0</v>
      </c>
      <c r="R1459" s="52" t="n">
        <v>0</v>
      </c>
      <c r="S1459" s="51" t="n">
        <v>0</v>
      </c>
      <c r="T1459" s="48" t="n">
        <v>59.99</v>
      </c>
      <c r="U1459" s="49" t="n">
        <v>1</v>
      </c>
      <c r="V1459" s="49" t="n">
        <v>0</v>
      </c>
      <c r="W1459" s="50" t="n">
        <v>0</v>
      </c>
      <c r="X1459" s="51" t="n">
        <v>0</v>
      </c>
      <c r="Y1459" s="52" t="n">
        <v>0</v>
      </c>
      <c r="Z1459" s="52" t="n">
        <v>0</v>
      </c>
      <c r="AA1459" s="52" t="n">
        <v>0</v>
      </c>
      <c r="AB1459" s="53" t="n">
        <v>0</v>
      </c>
      <c r="AC1459" s="52" t="n">
        <v>0</v>
      </c>
      <c r="AD1459" s="53" t="n">
        <v>0</v>
      </c>
      <c r="AE1459" s="52" t="n">
        <v>59.99</v>
      </c>
      <c r="AF1459" s="51" t="n">
        <v>0</v>
      </c>
      <c r="AG1459" s="48" t="n">
        <v>0</v>
      </c>
      <c r="AH1459" s="49" t="n">
        <v>0</v>
      </c>
      <c r="AI1459" s="49" t="n">
        <v>0</v>
      </c>
      <c r="AJ1459" s="50" t="n">
        <v>0</v>
      </c>
      <c r="AK1459" s="51" t="n">
        <v>0</v>
      </c>
      <c r="AL1459" s="52" t="n">
        <v>0</v>
      </c>
      <c r="AM1459" s="52" t="n">
        <v>0</v>
      </c>
      <c r="AN1459" s="52" t="n">
        <v>0</v>
      </c>
      <c r="AO1459" s="53" t="n">
        <v>0</v>
      </c>
      <c r="AP1459" s="52" t="n">
        <v>0</v>
      </c>
      <c r="AQ1459" s="53" t="n">
        <v>0</v>
      </c>
      <c r="AR1459" s="52" t="n">
        <v>0</v>
      </c>
      <c r="AS1459" s="51" t="n">
        <v>0</v>
      </c>
      <c r="AT1459" s="48" t="n">
        <v>0</v>
      </c>
      <c r="AU1459" s="49" t="n">
        <v>0</v>
      </c>
      <c r="AV1459" s="49" t="n">
        <v>0</v>
      </c>
      <c r="AW1459" s="50" t="n">
        <v>0</v>
      </c>
      <c r="AX1459" s="51" t="n">
        <v>0</v>
      </c>
      <c r="AY1459" s="52" t="n">
        <v>0</v>
      </c>
      <c r="AZ1459" s="52" t="n">
        <v>0</v>
      </c>
      <c r="BA1459" s="52" t="n">
        <v>0</v>
      </c>
      <c r="BB1459" s="53" t="n">
        <v>0</v>
      </c>
      <c r="BC1459" s="52" t="n">
        <v>0</v>
      </c>
      <c r="BD1459" s="53" t="n">
        <v>0</v>
      </c>
      <c r="BE1459" s="52" t="n">
        <v>0</v>
      </c>
      <c r="BF1459" s="51" t="n">
        <v>0</v>
      </c>
    </row>
    <row r="1460">
      <c r="A1460">
        <f>HYPERLINK("https://www.walmart.com/ip/15434400660", "15434400660")</f>
        <v/>
      </c>
      <c r="B1460" t="inlineStr">
        <is>
          <t>Tirrinia 2 In 1 Outdoors UPF 50+ UV Protection Sun Hat for Women, One Size Female Sports Baseball Cap Gardening Fishing Hat with Neck Flap</t>
        </is>
      </c>
      <c r="C1460" t="inlineStr">
        <is>
          <t>1TRSH9153WT</t>
        </is>
      </c>
      <c r="D1460" t="inlineStr">
        <is>
          <t>Hats</t>
        </is>
      </c>
      <c r="E1460" t="inlineStr">
        <is>
          <t>Tirrinia</t>
        </is>
      </c>
      <c r="G1460" s="48" t="n">
        <v>0</v>
      </c>
      <c r="H1460" s="49" t="n">
        <v>0</v>
      </c>
      <c r="I1460" s="49" t="n">
        <v>0</v>
      </c>
      <c r="J1460" s="50" t="n">
        <v>0</v>
      </c>
      <c r="K1460" s="51" t="n">
        <v>0</v>
      </c>
      <c r="L1460" s="52" t="n">
        <v>0</v>
      </c>
      <c r="M1460" s="52" t="n">
        <v>0</v>
      </c>
      <c r="N1460" s="52" t="n">
        <v>0</v>
      </c>
      <c r="O1460" s="53" t="n">
        <v>0</v>
      </c>
      <c r="P1460" s="52" t="n">
        <v>0</v>
      </c>
      <c r="Q1460" s="53" t="n">
        <v>0</v>
      </c>
      <c r="R1460" s="52" t="n">
        <v>0</v>
      </c>
      <c r="S1460" s="51" t="n">
        <v>0</v>
      </c>
      <c r="T1460" s="48" t="n">
        <v>0</v>
      </c>
      <c r="U1460" s="49" t="n">
        <v>0</v>
      </c>
      <c r="V1460" s="49" t="n">
        <v>0</v>
      </c>
      <c r="W1460" s="50" t="n">
        <v>0</v>
      </c>
      <c r="X1460" s="51" t="n">
        <v>0</v>
      </c>
      <c r="Y1460" s="52" t="n">
        <v>0</v>
      </c>
      <c r="Z1460" s="52" t="n">
        <v>0</v>
      </c>
      <c r="AA1460" s="52" t="n">
        <v>0</v>
      </c>
      <c r="AB1460" s="53" t="n">
        <v>0</v>
      </c>
      <c r="AC1460" s="52" t="n">
        <v>0</v>
      </c>
      <c r="AD1460" s="53" t="n">
        <v>0</v>
      </c>
      <c r="AE1460" s="52" t="n">
        <v>0</v>
      </c>
      <c r="AF1460" s="51" t="n">
        <v>0</v>
      </c>
      <c r="AG1460" s="48" t="n">
        <v>0</v>
      </c>
      <c r="AH1460" s="49" t="n">
        <v>0</v>
      </c>
      <c r="AI1460" s="49" t="n">
        <v>0</v>
      </c>
      <c r="AJ1460" s="50" t="n">
        <v>0</v>
      </c>
      <c r="AK1460" s="51" t="n">
        <v>0</v>
      </c>
      <c r="AL1460" s="52" t="n">
        <v>0</v>
      </c>
      <c r="AM1460" s="52" t="n">
        <v>0</v>
      </c>
      <c r="AN1460" s="52" t="n">
        <v>0</v>
      </c>
      <c r="AO1460" s="53" t="n">
        <v>0</v>
      </c>
      <c r="AP1460" s="52" t="n">
        <v>0</v>
      </c>
      <c r="AQ1460" s="53" t="n">
        <v>0</v>
      </c>
      <c r="AR1460" s="52" t="n">
        <v>0</v>
      </c>
      <c r="AS1460" s="51" t="n">
        <v>0</v>
      </c>
      <c r="AT1460" s="48" t="n">
        <v>0</v>
      </c>
      <c r="AU1460" s="49" t="n">
        <v>0</v>
      </c>
      <c r="AV1460" s="49" t="n">
        <v>0</v>
      </c>
      <c r="AW1460" s="50" t="n">
        <v>0</v>
      </c>
      <c r="AX1460" s="51" t="n">
        <v>0</v>
      </c>
      <c r="AY1460" s="52" t="n">
        <v>0</v>
      </c>
      <c r="AZ1460" s="52" t="n">
        <v>0</v>
      </c>
      <c r="BA1460" s="52" t="n">
        <v>0</v>
      </c>
      <c r="BB1460" s="53" t="n">
        <v>0</v>
      </c>
      <c r="BC1460" s="52" t="n">
        <v>0</v>
      </c>
      <c r="BD1460" s="53" t="n">
        <v>0</v>
      </c>
      <c r="BE1460" s="52" t="n">
        <v>0</v>
      </c>
      <c r="BF1460" s="51" t="n">
        <v>0</v>
      </c>
    </row>
    <row r="1461">
      <c r="A1461">
        <f>HYPERLINK("https://www.walmart.com/ip/154366253", "154366253")</f>
        <v/>
      </c>
      <c r="B1461" t="inlineStr">
        <is>
          <t>Jenniwears Women's Sexy Lingerie Lace Mesh 2-Piece Bowknot Halter Chemise with G-String</t>
        </is>
      </c>
      <c r="C1461" t="inlineStr">
        <is>
          <t>JWND03WT</t>
        </is>
      </c>
      <c r="D1461" t="inlineStr">
        <is>
          <t>Lingerie Sets</t>
        </is>
      </c>
      <c r="E1461" t="inlineStr">
        <is>
          <t>JenniWears</t>
        </is>
      </c>
      <c r="F1461" t="inlineStr">
        <is>
          <t>Optimized,Valentine</t>
        </is>
      </c>
      <c r="G1461" s="48" t="n">
        <v>0</v>
      </c>
      <c r="H1461" s="49" t="n">
        <v>0</v>
      </c>
      <c r="I1461" s="49" t="n">
        <v>0</v>
      </c>
      <c r="J1461" s="50" t="n">
        <v>0</v>
      </c>
      <c r="K1461" s="51" t="n">
        <v>0</v>
      </c>
      <c r="L1461" s="52" t="n">
        <v>0</v>
      </c>
      <c r="M1461" s="52" t="n">
        <v>0</v>
      </c>
      <c r="N1461" s="52" t="n">
        <v>0</v>
      </c>
      <c r="O1461" s="53" t="n">
        <v>0</v>
      </c>
      <c r="P1461" s="52" t="n">
        <v>0</v>
      </c>
      <c r="Q1461" s="53" t="n">
        <v>0</v>
      </c>
      <c r="R1461" s="52" t="n">
        <v>0</v>
      </c>
      <c r="S1461" s="51" t="n">
        <v>0</v>
      </c>
      <c r="T1461" s="48" t="n">
        <v>0</v>
      </c>
      <c r="U1461" s="49" t="n">
        <v>0</v>
      </c>
      <c r="V1461" s="49" t="n">
        <v>0</v>
      </c>
      <c r="W1461" s="50" t="n">
        <v>0</v>
      </c>
      <c r="X1461" s="51" t="n">
        <v>0</v>
      </c>
      <c r="Y1461" s="52" t="n">
        <v>0</v>
      </c>
      <c r="Z1461" s="52" t="n">
        <v>0</v>
      </c>
      <c r="AA1461" s="52" t="n">
        <v>0</v>
      </c>
      <c r="AB1461" s="53" t="n">
        <v>0</v>
      </c>
      <c r="AC1461" s="52" t="n">
        <v>0</v>
      </c>
      <c r="AD1461" s="53" t="n">
        <v>0</v>
      </c>
      <c r="AE1461" s="52" t="n">
        <v>0</v>
      </c>
      <c r="AF1461" s="51" t="n">
        <v>0</v>
      </c>
      <c r="AG1461" s="48" t="n">
        <v>0</v>
      </c>
      <c r="AH1461" s="49" t="n">
        <v>0</v>
      </c>
      <c r="AI1461" s="49" t="n">
        <v>0</v>
      </c>
      <c r="AJ1461" s="50" t="n">
        <v>0</v>
      </c>
      <c r="AK1461" s="51" t="n">
        <v>0</v>
      </c>
      <c r="AL1461" s="52" t="n">
        <v>0</v>
      </c>
      <c r="AM1461" s="52" t="n">
        <v>0</v>
      </c>
      <c r="AN1461" s="52" t="n">
        <v>0</v>
      </c>
      <c r="AO1461" s="53" t="n">
        <v>0</v>
      </c>
      <c r="AP1461" s="52" t="n">
        <v>0</v>
      </c>
      <c r="AQ1461" s="53" t="n">
        <v>0</v>
      </c>
      <c r="AR1461" s="52" t="n">
        <v>0</v>
      </c>
      <c r="AS1461" s="51" t="n">
        <v>0</v>
      </c>
      <c r="AT1461" s="48" t="n">
        <v>0</v>
      </c>
      <c r="AU1461" s="49" t="n">
        <v>0</v>
      </c>
      <c r="AV1461" s="49" t="n">
        <v>0</v>
      </c>
      <c r="AW1461" s="50" t="n">
        <v>0</v>
      </c>
      <c r="AX1461" s="51" t="n">
        <v>0</v>
      </c>
      <c r="AY1461" s="52" t="n">
        <v>0</v>
      </c>
      <c r="AZ1461" s="52" t="n">
        <v>0</v>
      </c>
      <c r="BA1461" s="52" t="n">
        <v>0</v>
      </c>
      <c r="BB1461" s="53" t="n">
        <v>0</v>
      </c>
      <c r="BC1461" s="52" t="n">
        <v>0</v>
      </c>
      <c r="BD1461" s="53" t="n">
        <v>0</v>
      </c>
      <c r="BE1461" s="52" t="n">
        <v>0</v>
      </c>
      <c r="BF1461" s="51" t="n">
        <v>0</v>
      </c>
    </row>
    <row r="1462">
      <c r="A1462">
        <f>HYPERLINK("https://www.walmart.com/ip/1544312564", "1544312564")</f>
        <v/>
      </c>
      <c r="B1462" t="inlineStr">
        <is>
          <t>Every Day is Christmas Glass Blown Ornaments Cute Hand Made Figurines Tree Decoration, Rocket</t>
        </is>
      </c>
      <c r="C1462" t="inlineStr">
        <is>
          <t>EDC-FIGURINE-ROCKET</t>
        </is>
      </c>
      <c r="D1462" t="inlineStr">
        <is>
          <t>Ornaments</t>
        </is>
      </c>
      <c r="E1462" t="inlineStr">
        <is>
          <t>Every Day is Christmas</t>
        </is>
      </c>
      <c r="G1462" s="48" t="n">
        <v>0</v>
      </c>
      <c r="H1462" s="49" t="n">
        <v>0</v>
      </c>
      <c r="I1462" s="49" t="n">
        <v>0</v>
      </c>
      <c r="J1462" s="50" t="n">
        <v>0</v>
      </c>
      <c r="K1462" s="51" t="n">
        <v>0</v>
      </c>
      <c r="L1462" s="52" t="n">
        <v>0</v>
      </c>
      <c r="M1462" s="52" t="n">
        <v>0</v>
      </c>
      <c r="N1462" s="52" t="n">
        <v>0</v>
      </c>
      <c r="O1462" s="53" t="n">
        <v>0</v>
      </c>
      <c r="P1462" s="52" t="n">
        <v>0</v>
      </c>
      <c r="Q1462" s="53" t="n">
        <v>0</v>
      </c>
      <c r="R1462" s="52" t="n">
        <v>0</v>
      </c>
      <c r="S1462" s="51" t="n">
        <v>0</v>
      </c>
      <c r="T1462" s="48" t="n">
        <v>0</v>
      </c>
      <c r="U1462" s="49" t="n">
        <v>0</v>
      </c>
      <c r="V1462" s="49" t="n">
        <v>0</v>
      </c>
      <c r="W1462" s="50" t="n">
        <v>0</v>
      </c>
      <c r="X1462" s="51" t="n">
        <v>0</v>
      </c>
      <c r="Y1462" s="52" t="n">
        <v>0</v>
      </c>
      <c r="Z1462" s="52" t="n">
        <v>0</v>
      </c>
      <c r="AA1462" s="52" t="n">
        <v>0</v>
      </c>
      <c r="AB1462" s="53" t="n">
        <v>0</v>
      </c>
      <c r="AC1462" s="52" t="n">
        <v>0</v>
      </c>
      <c r="AD1462" s="53" t="n">
        <v>0</v>
      </c>
      <c r="AE1462" s="52" t="n">
        <v>0</v>
      </c>
      <c r="AF1462" s="51" t="n">
        <v>0</v>
      </c>
      <c r="AG1462" s="48" t="n">
        <v>0</v>
      </c>
      <c r="AH1462" s="49" t="n">
        <v>0</v>
      </c>
      <c r="AI1462" s="49" t="n">
        <v>0</v>
      </c>
      <c r="AJ1462" s="50" t="n">
        <v>0</v>
      </c>
      <c r="AK1462" s="51" t="n">
        <v>0</v>
      </c>
      <c r="AL1462" s="52" t="n">
        <v>0</v>
      </c>
      <c r="AM1462" s="52" t="n">
        <v>0</v>
      </c>
      <c r="AN1462" s="52" t="n">
        <v>0</v>
      </c>
      <c r="AO1462" s="53" t="n">
        <v>0</v>
      </c>
      <c r="AP1462" s="52" t="n">
        <v>0</v>
      </c>
      <c r="AQ1462" s="53" t="n">
        <v>0</v>
      </c>
      <c r="AR1462" s="52" t="n">
        <v>0</v>
      </c>
      <c r="AS1462" s="51" t="n">
        <v>0</v>
      </c>
      <c r="AT1462" s="48" t="n">
        <v>0</v>
      </c>
      <c r="AU1462" s="49" t="n">
        <v>0</v>
      </c>
      <c r="AV1462" s="49" t="n">
        <v>0</v>
      </c>
      <c r="AW1462" s="50" t="n">
        <v>0</v>
      </c>
      <c r="AX1462" s="51" t="n">
        <v>0</v>
      </c>
      <c r="AY1462" s="52" t="n">
        <v>0</v>
      </c>
      <c r="AZ1462" s="52" t="n">
        <v>0</v>
      </c>
      <c r="BA1462" s="52" t="n">
        <v>0</v>
      </c>
      <c r="BB1462" s="53" t="n">
        <v>0</v>
      </c>
      <c r="BC1462" s="52" t="n">
        <v>0</v>
      </c>
      <c r="BD1462" s="53" t="n">
        <v>0</v>
      </c>
      <c r="BE1462" s="52" t="n">
        <v>0</v>
      </c>
      <c r="BF1462" s="51" t="n">
        <v>0</v>
      </c>
    </row>
    <row r="1463">
      <c r="A1463">
        <f>HYPERLINK("https://www.walmart.com/ip/15444408347", "15444408347")</f>
        <v/>
      </c>
      <c r="B1463" t="inlineStr">
        <is>
          <t>Wrangler Men’s Leather Embossed Logo Casual Every Day Belt for Jeans, Khakis Brown</t>
        </is>
      </c>
      <c r="C1463" t="inlineStr">
        <is>
          <t>WR-BELT-MENS-EMBOSSED-BROWN-44</t>
        </is>
      </c>
      <c r="D1463" t="inlineStr">
        <is>
          <t>Belts</t>
        </is>
      </c>
      <c r="E1463" t="inlineStr">
        <is>
          <t>Wrangler</t>
        </is>
      </c>
      <c r="G1463" s="48" t="n">
        <v>0</v>
      </c>
      <c r="H1463" s="49" t="n">
        <v>0</v>
      </c>
      <c r="I1463" s="49" t="n">
        <v>0</v>
      </c>
      <c r="J1463" s="50" t="n">
        <v>0</v>
      </c>
      <c r="K1463" s="51" t="n">
        <v>0</v>
      </c>
      <c r="L1463" s="52" t="n">
        <v>0</v>
      </c>
      <c r="M1463" s="52" t="n">
        <v>0</v>
      </c>
      <c r="N1463" s="52" t="n">
        <v>0</v>
      </c>
      <c r="O1463" s="53" t="n">
        <v>0</v>
      </c>
      <c r="P1463" s="52" t="n">
        <v>0</v>
      </c>
      <c r="Q1463" s="53" t="n">
        <v>0</v>
      </c>
      <c r="R1463" s="52" t="n">
        <v>0</v>
      </c>
      <c r="S1463" s="51" t="n">
        <v>0</v>
      </c>
      <c r="T1463" s="48" t="n">
        <v>0</v>
      </c>
      <c r="U1463" s="49" t="n">
        <v>0</v>
      </c>
      <c r="V1463" s="49" t="n">
        <v>0</v>
      </c>
      <c r="W1463" s="50" t="n">
        <v>0</v>
      </c>
      <c r="X1463" s="51" t="n">
        <v>0</v>
      </c>
      <c r="Y1463" s="52" t="n">
        <v>0</v>
      </c>
      <c r="Z1463" s="52" t="n">
        <v>0</v>
      </c>
      <c r="AA1463" s="52" t="n">
        <v>0</v>
      </c>
      <c r="AB1463" s="53" t="n">
        <v>0</v>
      </c>
      <c r="AC1463" s="52" t="n">
        <v>0</v>
      </c>
      <c r="AD1463" s="53" t="n">
        <v>0</v>
      </c>
      <c r="AE1463" s="52" t="n">
        <v>0</v>
      </c>
      <c r="AF1463" s="51" t="n">
        <v>0</v>
      </c>
      <c r="AG1463" s="48" t="n">
        <v>0</v>
      </c>
      <c r="AH1463" s="49" t="n">
        <v>0</v>
      </c>
      <c r="AI1463" s="49" t="n">
        <v>0</v>
      </c>
      <c r="AJ1463" s="50" t="n">
        <v>0</v>
      </c>
      <c r="AK1463" s="51" t="n">
        <v>0</v>
      </c>
      <c r="AL1463" s="52" t="n">
        <v>0</v>
      </c>
      <c r="AM1463" s="52" t="n">
        <v>0</v>
      </c>
      <c r="AN1463" s="52" t="n">
        <v>0</v>
      </c>
      <c r="AO1463" s="53" t="n">
        <v>0</v>
      </c>
      <c r="AP1463" s="52" t="n">
        <v>0</v>
      </c>
      <c r="AQ1463" s="53" t="n">
        <v>0</v>
      </c>
      <c r="AR1463" s="52" t="n">
        <v>0</v>
      </c>
      <c r="AS1463" s="51" t="n">
        <v>0</v>
      </c>
      <c r="AT1463" s="48" t="n">
        <v>0</v>
      </c>
      <c r="AU1463" s="49" t="n">
        <v>0</v>
      </c>
      <c r="AV1463" s="49" t="n">
        <v>0</v>
      </c>
      <c r="AW1463" s="50" t="n">
        <v>0</v>
      </c>
      <c r="AX1463" s="51" t="n">
        <v>0</v>
      </c>
      <c r="AY1463" s="52" t="n">
        <v>0</v>
      </c>
      <c r="AZ1463" s="52" t="n">
        <v>0</v>
      </c>
      <c r="BA1463" s="52" t="n">
        <v>0</v>
      </c>
      <c r="BB1463" s="53" t="n">
        <v>0</v>
      </c>
      <c r="BC1463" s="52" t="n">
        <v>0</v>
      </c>
      <c r="BD1463" s="53" t="n">
        <v>0</v>
      </c>
      <c r="BE1463" s="52" t="n">
        <v>0</v>
      </c>
      <c r="BF1463" s="51" t="n">
        <v>0</v>
      </c>
    </row>
    <row r="1464">
      <c r="A1464">
        <f>HYPERLINK("https://www.walmart.com/ip/15457112508", "15457112508")</f>
        <v/>
      </c>
      <c r="B1464" t="inlineStr">
        <is>
          <t>Sun Blocker Unisex Sun Hat with Neck Flap Large Brim Packable Summer Beach Fishing Cap</t>
        </is>
      </c>
      <c r="C1464" t="inlineStr">
        <is>
          <t>1SLSH9153WT</t>
        </is>
      </c>
      <c r="D1464" t="inlineStr">
        <is>
          <t>Hats</t>
        </is>
      </c>
      <c r="E1464" t="inlineStr">
        <is>
          <t>Sun Blocker</t>
        </is>
      </c>
      <c r="G1464" s="48" t="n">
        <v>0</v>
      </c>
      <c r="H1464" s="49" t="n">
        <v>0</v>
      </c>
      <c r="I1464" s="49" t="n">
        <v>0</v>
      </c>
      <c r="J1464" s="50" t="n">
        <v>0</v>
      </c>
      <c r="K1464" s="51" t="n">
        <v>0</v>
      </c>
      <c r="L1464" s="52" t="n">
        <v>0</v>
      </c>
      <c r="M1464" s="52" t="n">
        <v>0</v>
      </c>
      <c r="N1464" s="52" t="n">
        <v>0</v>
      </c>
      <c r="O1464" s="53" t="n">
        <v>0</v>
      </c>
      <c r="P1464" s="52" t="n">
        <v>0</v>
      </c>
      <c r="Q1464" s="53" t="n">
        <v>0</v>
      </c>
      <c r="R1464" s="52" t="n">
        <v>0</v>
      </c>
      <c r="S1464" s="51" t="n">
        <v>0</v>
      </c>
      <c r="T1464" s="48" t="n">
        <v>0</v>
      </c>
      <c r="U1464" s="49" t="n">
        <v>0</v>
      </c>
      <c r="V1464" s="49" t="n">
        <v>0</v>
      </c>
      <c r="W1464" s="50" t="n">
        <v>0</v>
      </c>
      <c r="X1464" s="51" t="n">
        <v>0</v>
      </c>
      <c r="Y1464" s="52" t="n">
        <v>0</v>
      </c>
      <c r="Z1464" s="52" t="n">
        <v>0</v>
      </c>
      <c r="AA1464" s="52" t="n">
        <v>0</v>
      </c>
      <c r="AB1464" s="53" t="n">
        <v>0</v>
      </c>
      <c r="AC1464" s="52" t="n">
        <v>0</v>
      </c>
      <c r="AD1464" s="53" t="n">
        <v>0</v>
      </c>
      <c r="AE1464" s="52" t="n">
        <v>0</v>
      </c>
      <c r="AF1464" s="51" t="n">
        <v>0</v>
      </c>
      <c r="AG1464" s="48" t="n">
        <v>0</v>
      </c>
      <c r="AH1464" s="49" t="n">
        <v>0</v>
      </c>
      <c r="AI1464" s="49" t="n">
        <v>0</v>
      </c>
      <c r="AJ1464" s="50" t="n">
        <v>0</v>
      </c>
      <c r="AK1464" s="51" t="n">
        <v>0</v>
      </c>
      <c r="AL1464" s="52" t="n">
        <v>0</v>
      </c>
      <c r="AM1464" s="52" t="n">
        <v>0</v>
      </c>
      <c r="AN1464" s="52" t="n">
        <v>0</v>
      </c>
      <c r="AO1464" s="53" t="n">
        <v>0</v>
      </c>
      <c r="AP1464" s="52" t="n">
        <v>0</v>
      </c>
      <c r="AQ1464" s="53" t="n">
        <v>0</v>
      </c>
      <c r="AR1464" s="52" t="n">
        <v>0</v>
      </c>
      <c r="AS1464" s="51" t="n">
        <v>0</v>
      </c>
      <c r="AT1464" s="48" t="n">
        <v>0</v>
      </c>
      <c r="AU1464" s="49" t="n">
        <v>0</v>
      </c>
      <c r="AV1464" s="49" t="n">
        <v>0</v>
      </c>
      <c r="AW1464" s="50" t="n">
        <v>0</v>
      </c>
      <c r="AX1464" s="51" t="n">
        <v>0</v>
      </c>
      <c r="AY1464" s="52" t="n">
        <v>0</v>
      </c>
      <c r="AZ1464" s="52" t="n">
        <v>0</v>
      </c>
      <c r="BA1464" s="52" t="n">
        <v>0</v>
      </c>
      <c r="BB1464" s="53" t="n">
        <v>0</v>
      </c>
      <c r="BC1464" s="52" t="n">
        <v>0</v>
      </c>
      <c r="BD1464" s="53" t="n">
        <v>0</v>
      </c>
      <c r="BE1464" s="52" t="n">
        <v>0</v>
      </c>
      <c r="BF1464" s="51" t="n">
        <v>0</v>
      </c>
    </row>
    <row r="1465">
      <c r="A1465">
        <f>HYPERLINK("https://www.walmart.com/ip/15460468762", "15460468762")</f>
        <v/>
      </c>
      <c r="B1465" t="inlineStr">
        <is>
          <t>Wrangler Men’s Bifold Wallet Genuine Leather, RFID Blocking, Casual Everyday 10-20 Cards Purse with AirTag Holder, Gift for Him</t>
        </is>
      </c>
      <c r="C1465" t="inlineStr">
        <is>
          <t>WR-WALLET-59007-BLACK</t>
        </is>
      </c>
      <c r="D1465" t="inlineStr">
        <is>
          <t>Wallets</t>
        </is>
      </c>
      <c r="E1465" t="inlineStr">
        <is>
          <t>Wrangler</t>
        </is>
      </c>
      <c r="G1465" s="48" t="n">
        <v>0</v>
      </c>
      <c r="H1465" s="49" t="n">
        <v>0</v>
      </c>
      <c r="I1465" s="49" t="n">
        <v>0</v>
      </c>
      <c r="J1465" s="50" t="n">
        <v>0</v>
      </c>
      <c r="K1465" s="51" t="n">
        <v>0</v>
      </c>
      <c r="L1465" s="52" t="n">
        <v>0</v>
      </c>
      <c r="M1465" s="52" t="n">
        <v>0</v>
      </c>
      <c r="N1465" s="52" t="n">
        <v>0</v>
      </c>
      <c r="O1465" s="53" t="n">
        <v>0</v>
      </c>
      <c r="P1465" s="52" t="n">
        <v>0</v>
      </c>
      <c r="Q1465" s="53" t="n">
        <v>0</v>
      </c>
      <c r="R1465" s="52" t="n">
        <v>0</v>
      </c>
      <c r="S1465" s="51" t="n">
        <v>0</v>
      </c>
      <c r="T1465" s="48" t="n">
        <v>29.99</v>
      </c>
      <c r="U1465" s="49" t="n">
        <v>1</v>
      </c>
      <c r="V1465" s="49" t="n">
        <v>1</v>
      </c>
      <c r="W1465" s="50" t="n">
        <v>1</v>
      </c>
      <c r="X1465" s="51" t="n">
        <v>0</v>
      </c>
      <c r="Y1465" s="52" t="n">
        <v>0</v>
      </c>
      <c r="Z1465" s="52" t="n">
        <v>0</v>
      </c>
      <c r="AA1465" s="52" t="n">
        <v>0</v>
      </c>
      <c r="AB1465" s="53" t="n">
        <v>0</v>
      </c>
      <c r="AC1465" s="52" t="n">
        <v>0</v>
      </c>
      <c r="AD1465" s="53" t="n">
        <v>0</v>
      </c>
      <c r="AE1465" s="52" t="n">
        <v>29.99</v>
      </c>
      <c r="AF1465" s="51" t="n">
        <v>0</v>
      </c>
      <c r="AG1465" s="48" t="n">
        <v>59.98</v>
      </c>
      <c r="AH1465" s="49" t="n">
        <v>2</v>
      </c>
      <c r="AI1465" s="49" t="n">
        <v>1</v>
      </c>
      <c r="AJ1465" s="50" t="n">
        <v>2</v>
      </c>
      <c r="AK1465" s="51" t="n">
        <v>0</v>
      </c>
      <c r="AL1465" s="52" t="n">
        <v>0</v>
      </c>
      <c r="AM1465" s="52" t="n">
        <v>0</v>
      </c>
      <c r="AN1465" s="52" t="n">
        <v>0</v>
      </c>
      <c r="AO1465" s="53" t="n">
        <v>0</v>
      </c>
      <c r="AP1465" s="52" t="n">
        <v>0</v>
      </c>
      <c r="AQ1465" s="53" t="n">
        <v>0</v>
      </c>
      <c r="AR1465" s="52" t="n">
        <v>29.99</v>
      </c>
      <c r="AS1465" s="51" t="n">
        <v>0</v>
      </c>
      <c r="AT1465" s="48" t="n">
        <v>0</v>
      </c>
      <c r="AU1465" s="49" t="n">
        <v>0</v>
      </c>
      <c r="AV1465" s="49" t="n">
        <v>0</v>
      </c>
      <c r="AW1465" s="50" t="n">
        <v>0</v>
      </c>
      <c r="AX1465" s="51" t="n">
        <v>0</v>
      </c>
      <c r="AY1465" s="52" t="n">
        <v>0</v>
      </c>
      <c r="AZ1465" s="52" t="n">
        <v>0</v>
      </c>
      <c r="BA1465" s="52" t="n">
        <v>0</v>
      </c>
      <c r="BB1465" s="53" t="n">
        <v>0</v>
      </c>
      <c r="BC1465" s="52" t="n">
        <v>0</v>
      </c>
      <c r="BD1465" s="53" t="n">
        <v>0</v>
      </c>
      <c r="BE1465" s="52" t="n">
        <v>0</v>
      </c>
      <c r="BF1465" s="51" t="n">
        <v>0</v>
      </c>
    </row>
    <row r="1466">
      <c r="A1466">
        <f>HYPERLINK("https://www.walmart.com/ip/15463062376", "15463062376")</f>
        <v/>
      </c>
      <c r="B1466" t="inlineStr">
        <is>
          <t>Wrangler Men’s Leather Embossed Logo Casual Every Day Belt for Jeans, Khakis Brown</t>
        </is>
      </c>
      <c r="C1466" t="inlineStr">
        <is>
          <t>WR-BELT-MENS-EMBOSSED-BROWN-42</t>
        </is>
      </c>
      <c r="D1466" t="inlineStr">
        <is>
          <t>Belts</t>
        </is>
      </c>
      <c r="E1466" t="inlineStr">
        <is>
          <t>Wrangler</t>
        </is>
      </c>
      <c r="G1466" s="48" t="n">
        <v>0</v>
      </c>
      <c r="H1466" s="49" t="n">
        <v>0</v>
      </c>
      <c r="I1466" s="49" t="n">
        <v>0</v>
      </c>
      <c r="J1466" s="50" t="n">
        <v>0</v>
      </c>
      <c r="K1466" s="51" t="n">
        <v>0</v>
      </c>
      <c r="L1466" s="52" t="n">
        <v>0</v>
      </c>
      <c r="M1466" s="52" t="n">
        <v>0</v>
      </c>
      <c r="N1466" s="52" t="n">
        <v>0</v>
      </c>
      <c r="O1466" s="53" t="n">
        <v>0</v>
      </c>
      <c r="P1466" s="52" t="n">
        <v>0</v>
      </c>
      <c r="Q1466" s="53" t="n">
        <v>0</v>
      </c>
      <c r="R1466" s="52" t="n">
        <v>0</v>
      </c>
      <c r="S1466" s="51" t="n">
        <v>0</v>
      </c>
      <c r="T1466" s="48" t="n">
        <v>0</v>
      </c>
      <c r="U1466" s="49" t="n">
        <v>0</v>
      </c>
      <c r="V1466" s="49" t="n">
        <v>0</v>
      </c>
      <c r="W1466" s="50" t="n">
        <v>0</v>
      </c>
      <c r="X1466" s="51" t="n">
        <v>0</v>
      </c>
      <c r="Y1466" s="52" t="n">
        <v>0</v>
      </c>
      <c r="Z1466" s="52" t="n">
        <v>0</v>
      </c>
      <c r="AA1466" s="52" t="n">
        <v>0</v>
      </c>
      <c r="AB1466" s="53" t="n">
        <v>0</v>
      </c>
      <c r="AC1466" s="52" t="n">
        <v>0</v>
      </c>
      <c r="AD1466" s="53" t="n">
        <v>0</v>
      </c>
      <c r="AE1466" s="52" t="n">
        <v>0</v>
      </c>
      <c r="AF1466" s="51" t="n">
        <v>0</v>
      </c>
      <c r="AG1466" s="48" t="n">
        <v>0</v>
      </c>
      <c r="AH1466" s="49" t="n">
        <v>0</v>
      </c>
      <c r="AI1466" s="49" t="n">
        <v>0</v>
      </c>
      <c r="AJ1466" s="50" t="n">
        <v>0</v>
      </c>
      <c r="AK1466" s="51" t="n">
        <v>0</v>
      </c>
      <c r="AL1466" s="52" t="n">
        <v>0</v>
      </c>
      <c r="AM1466" s="52" t="n">
        <v>0</v>
      </c>
      <c r="AN1466" s="52" t="n">
        <v>0</v>
      </c>
      <c r="AO1466" s="53" t="n">
        <v>0</v>
      </c>
      <c r="AP1466" s="52" t="n">
        <v>0</v>
      </c>
      <c r="AQ1466" s="53" t="n">
        <v>0</v>
      </c>
      <c r="AR1466" s="52" t="n">
        <v>0</v>
      </c>
      <c r="AS1466" s="51" t="n">
        <v>0</v>
      </c>
      <c r="AT1466" s="48" t="n">
        <v>0</v>
      </c>
      <c r="AU1466" s="49" t="n">
        <v>0</v>
      </c>
      <c r="AV1466" s="49" t="n">
        <v>0</v>
      </c>
      <c r="AW1466" s="50" t="n">
        <v>0</v>
      </c>
      <c r="AX1466" s="51" t="n">
        <v>0</v>
      </c>
      <c r="AY1466" s="52" t="n">
        <v>0</v>
      </c>
      <c r="AZ1466" s="52" t="n">
        <v>0</v>
      </c>
      <c r="BA1466" s="52" t="n">
        <v>0</v>
      </c>
      <c r="BB1466" s="53" t="n">
        <v>0</v>
      </c>
      <c r="BC1466" s="52" t="n">
        <v>0</v>
      </c>
      <c r="BD1466" s="53" t="n">
        <v>0</v>
      </c>
      <c r="BE1466" s="52" t="n">
        <v>0</v>
      </c>
      <c r="BF1466" s="51" t="n">
        <v>0</v>
      </c>
    </row>
    <row r="1467">
      <c r="A1467">
        <f>HYPERLINK("https://www.walmart.com/ip/15479600412", "15479600412")</f>
        <v/>
      </c>
      <c r="B1467" t="inlineStr">
        <is>
          <t>Tirrinia Large Insulated Lunch Tote Bag for Women,Waterproof Oxford Cloth Leakproof Cooler Bag</t>
        </is>
      </c>
      <c r="C1467" t="inlineStr">
        <is>
          <t>1TRCB800RAINBOWHEART</t>
        </is>
      </c>
      <c r="D1467" t="inlineStr">
        <is>
          <t>Reusable Lunch Bags &amp; Boxes</t>
        </is>
      </c>
      <c r="E1467" t="inlineStr">
        <is>
          <t>Tirrinia</t>
        </is>
      </c>
      <c r="G1467" s="48" t="n">
        <v>0</v>
      </c>
      <c r="H1467" s="49" t="n">
        <v>0</v>
      </c>
      <c r="I1467" s="49" t="n">
        <v>0</v>
      </c>
      <c r="J1467" s="50" t="n">
        <v>0</v>
      </c>
      <c r="K1467" s="51" t="n">
        <v>0</v>
      </c>
      <c r="L1467" s="52" t="n">
        <v>0</v>
      </c>
      <c r="M1467" s="52" t="n">
        <v>0</v>
      </c>
      <c r="N1467" s="52" t="n">
        <v>0</v>
      </c>
      <c r="O1467" s="53" t="n">
        <v>0</v>
      </c>
      <c r="P1467" s="52" t="n">
        <v>0</v>
      </c>
      <c r="Q1467" s="53" t="n">
        <v>0</v>
      </c>
      <c r="R1467" s="52" t="n">
        <v>0</v>
      </c>
      <c r="S1467" s="51" t="n">
        <v>0</v>
      </c>
      <c r="T1467" s="48" t="n">
        <v>0</v>
      </c>
      <c r="U1467" s="49" t="n">
        <v>0</v>
      </c>
      <c r="V1467" s="49" t="n">
        <v>0</v>
      </c>
      <c r="W1467" s="50" t="n">
        <v>0</v>
      </c>
      <c r="X1467" s="51" t="n">
        <v>0</v>
      </c>
      <c r="Y1467" s="52" t="n">
        <v>0</v>
      </c>
      <c r="Z1467" s="52" t="n">
        <v>0</v>
      </c>
      <c r="AA1467" s="52" t="n">
        <v>0</v>
      </c>
      <c r="AB1467" s="53" t="n">
        <v>0</v>
      </c>
      <c r="AC1467" s="52" t="n">
        <v>0</v>
      </c>
      <c r="AD1467" s="53" t="n">
        <v>0</v>
      </c>
      <c r="AE1467" s="52" t="n">
        <v>0</v>
      </c>
      <c r="AF1467" s="51" t="n">
        <v>0</v>
      </c>
      <c r="AG1467" s="48" t="n">
        <v>0</v>
      </c>
      <c r="AH1467" s="49" t="n">
        <v>0</v>
      </c>
      <c r="AI1467" s="49" t="n">
        <v>0</v>
      </c>
      <c r="AJ1467" s="50" t="n">
        <v>0</v>
      </c>
      <c r="AK1467" s="51" t="n">
        <v>0</v>
      </c>
      <c r="AL1467" s="52" t="n">
        <v>0</v>
      </c>
      <c r="AM1467" s="52" t="n">
        <v>0</v>
      </c>
      <c r="AN1467" s="52" t="n">
        <v>0</v>
      </c>
      <c r="AO1467" s="53" t="n">
        <v>0</v>
      </c>
      <c r="AP1467" s="52" t="n">
        <v>0</v>
      </c>
      <c r="AQ1467" s="53" t="n">
        <v>0</v>
      </c>
      <c r="AR1467" s="52" t="n">
        <v>0</v>
      </c>
      <c r="AS1467" s="51" t="n">
        <v>0</v>
      </c>
      <c r="AT1467" s="48" t="n">
        <v>0</v>
      </c>
      <c r="AU1467" s="49" t="n">
        <v>0</v>
      </c>
      <c r="AV1467" s="49" t="n">
        <v>0</v>
      </c>
      <c r="AW1467" s="50" t="n">
        <v>0</v>
      </c>
      <c r="AX1467" s="51" t="n">
        <v>0</v>
      </c>
      <c r="AY1467" s="52" t="n">
        <v>0</v>
      </c>
      <c r="AZ1467" s="52" t="n">
        <v>0</v>
      </c>
      <c r="BA1467" s="52" t="n">
        <v>0</v>
      </c>
      <c r="BB1467" s="53" t="n">
        <v>0</v>
      </c>
      <c r="BC1467" s="52" t="n">
        <v>0</v>
      </c>
      <c r="BD1467" s="53" t="n">
        <v>0</v>
      </c>
      <c r="BE1467" s="52" t="n">
        <v>0</v>
      </c>
      <c r="BF1467" s="51" t="n">
        <v>0</v>
      </c>
    </row>
    <row r="1468">
      <c r="A1468">
        <f>HYPERLINK("https://www.walmart.com/ip/15481655976", "15481655976")</f>
        <v/>
      </c>
      <c r="B1468" t="inlineStr">
        <is>
          <t>Wrangler Men’s Leather Embossed Logo Casual Every Day Belt for Jeans, Khakis Brown</t>
        </is>
      </c>
      <c r="C1468" t="inlineStr">
        <is>
          <t>WR-BELT-MENS-EMBOSSED-BROWN-40</t>
        </is>
      </c>
      <c r="D1468" t="inlineStr">
        <is>
          <t>Belts</t>
        </is>
      </c>
      <c r="E1468" t="inlineStr">
        <is>
          <t>Wrangler</t>
        </is>
      </c>
      <c r="G1468" s="48" t="n">
        <v>0</v>
      </c>
      <c r="H1468" s="49" t="n">
        <v>0</v>
      </c>
      <c r="I1468" s="49" t="n">
        <v>0</v>
      </c>
      <c r="J1468" s="50" t="n">
        <v>0</v>
      </c>
      <c r="K1468" s="51" t="n">
        <v>0</v>
      </c>
      <c r="L1468" s="52" t="n">
        <v>0</v>
      </c>
      <c r="M1468" s="52" t="n">
        <v>0</v>
      </c>
      <c r="N1468" s="52" t="n">
        <v>0</v>
      </c>
      <c r="O1468" s="53" t="n">
        <v>0</v>
      </c>
      <c r="P1468" s="52" t="n">
        <v>0</v>
      </c>
      <c r="Q1468" s="53" t="n">
        <v>0</v>
      </c>
      <c r="R1468" s="52" t="n">
        <v>0</v>
      </c>
      <c r="S1468" s="51" t="n">
        <v>0</v>
      </c>
      <c r="T1468" s="48" t="n">
        <v>19.99</v>
      </c>
      <c r="U1468" s="49" t="n">
        <v>1</v>
      </c>
      <c r="V1468" s="49" t="n">
        <v>0</v>
      </c>
      <c r="W1468" s="50" t="n">
        <v>0</v>
      </c>
      <c r="X1468" s="51" t="n">
        <v>0</v>
      </c>
      <c r="Y1468" s="52" t="n">
        <v>0</v>
      </c>
      <c r="Z1468" s="52" t="n">
        <v>0</v>
      </c>
      <c r="AA1468" s="52" t="n">
        <v>0</v>
      </c>
      <c r="AB1468" s="53" t="n">
        <v>0</v>
      </c>
      <c r="AC1468" s="52" t="n">
        <v>0</v>
      </c>
      <c r="AD1468" s="53" t="n">
        <v>0</v>
      </c>
      <c r="AE1468" s="52" t="n">
        <v>19.99</v>
      </c>
      <c r="AF1468" s="51" t="n">
        <v>0</v>
      </c>
      <c r="AG1468" s="48" t="n">
        <v>0</v>
      </c>
      <c r="AH1468" s="49" t="n">
        <v>0</v>
      </c>
      <c r="AI1468" s="49" t="n">
        <v>0</v>
      </c>
      <c r="AJ1468" s="50" t="n">
        <v>0</v>
      </c>
      <c r="AK1468" s="51" t="n">
        <v>0</v>
      </c>
      <c r="AL1468" s="52" t="n">
        <v>0</v>
      </c>
      <c r="AM1468" s="52" t="n">
        <v>0</v>
      </c>
      <c r="AN1468" s="52" t="n">
        <v>0</v>
      </c>
      <c r="AO1468" s="53" t="n">
        <v>0</v>
      </c>
      <c r="AP1468" s="52" t="n">
        <v>0</v>
      </c>
      <c r="AQ1468" s="53" t="n">
        <v>0</v>
      </c>
      <c r="AR1468" s="52" t="n">
        <v>0</v>
      </c>
      <c r="AS1468" s="51" t="n">
        <v>0</v>
      </c>
      <c r="AT1468" s="48" t="n">
        <v>0</v>
      </c>
      <c r="AU1468" s="49" t="n">
        <v>0</v>
      </c>
      <c r="AV1468" s="49" t="n">
        <v>0</v>
      </c>
      <c r="AW1468" s="50" t="n">
        <v>0</v>
      </c>
      <c r="AX1468" s="51" t="n">
        <v>0</v>
      </c>
      <c r="AY1468" s="52" t="n">
        <v>0</v>
      </c>
      <c r="AZ1468" s="52" t="n">
        <v>0</v>
      </c>
      <c r="BA1468" s="52" t="n">
        <v>0</v>
      </c>
      <c r="BB1468" s="53" t="n">
        <v>0</v>
      </c>
      <c r="BC1468" s="52" t="n">
        <v>0</v>
      </c>
      <c r="BD1468" s="53" t="n">
        <v>0</v>
      </c>
      <c r="BE1468" s="52" t="n">
        <v>0</v>
      </c>
      <c r="BF1468" s="51" t="n">
        <v>0</v>
      </c>
    </row>
    <row r="1469">
      <c r="A1469">
        <f>HYPERLINK("https://www.walmart.com/ip/15486570695", "15486570695")</f>
        <v/>
      </c>
      <c r="B1469" t="inlineStr">
        <is>
          <t>Dickies Journeyman Large Capacity Backpack Classic Logo Water Resistant Casual Daypack for Travel Fits 15.6 Inch Notebook</t>
        </is>
      </c>
      <c r="C1469" t="inlineStr">
        <is>
          <t>DK-BACKPACK-15169-BLACK</t>
        </is>
      </c>
      <c r="D1469" t="inlineStr">
        <is>
          <t>Backpacks</t>
        </is>
      </c>
      <c r="E1469" t="inlineStr">
        <is>
          <t>Dickies</t>
        </is>
      </c>
      <c r="G1469" s="48" t="n">
        <v>0</v>
      </c>
      <c r="H1469" s="49" t="n">
        <v>0</v>
      </c>
      <c r="I1469" s="49" t="n">
        <v>0</v>
      </c>
      <c r="J1469" s="50" t="n">
        <v>0</v>
      </c>
      <c r="K1469" s="51" t="n">
        <v>0</v>
      </c>
      <c r="L1469" s="52" t="n">
        <v>0</v>
      </c>
      <c r="M1469" s="52" t="n">
        <v>0</v>
      </c>
      <c r="N1469" s="52" t="n">
        <v>0</v>
      </c>
      <c r="O1469" s="53" t="n">
        <v>0</v>
      </c>
      <c r="P1469" s="52" t="n">
        <v>0</v>
      </c>
      <c r="Q1469" s="53" t="n">
        <v>0</v>
      </c>
      <c r="R1469" s="52" t="n">
        <v>0</v>
      </c>
      <c r="S1469" s="51" t="n">
        <v>0</v>
      </c>
      <c r="T1469" s="48" t="n">
        <v>0</v>
      </c>
      <c r="U1469" s="49" t="n">
        <v>0</v>
      </c>
      <c r="V1469" s="49" t="n">
        <v>0</v>
      </c>
      <c r="W1469" s="50" t="n">
        <v>0</v>
      </c>
      <c r="X1469" s="51" t="n">
        <v>0</v>
      </c>
      <c r="Y1469" s="52" t="n">
        <v>0</v>
      </c>
      <c r="Z1469" s="52" t="n">
        <v>0</v>
      </c>
      <c r="AA1469" s="52" t="n">
        <v>0</v>
      </c>
      <c r="AB1469" s="53" t="n">
        <v>0</v>
      </c>
      <c r="AC1469" s="52" t="n">
        <v>0</v>
      </c>
      <c r="AD1469" s="53" t="n">
        <v>0</v>
      </c>
      <c r="AE1469" s="52" t="n">
        <v>0</v>
      </c>
      <c r="AF1469" s="51" t="n">
        <v>0</v>
      </c>
      <c r="AG1469" s="48" t="n">
        <v>-34.99</v>
      </c>
      <c r="AH1469" s="49" t="n">
        <v>-1</v>
      </c>
      <c r="AI1469" s="49" t="n">
        <v>0</v>
      </c>
      <c r="AJ1469" s="50" t="n">
        <v>0</v>
      </c>
      <c r="AK1469" s="51" t="n">
        <v>0</v>
      </c>
      <c r="AL1469" s="52" t="n">
        <v>0</v>
      </c>
      <c r="AM1469" s="52" t="n">
        <v>0</v>
      </c>
      <c r="AN1469" s="52" t="n">
        <v>0</v>
      </c>
      <c r="AO1469" s="53" t="n">
        <v>0</v>
      </c>
      <c r="AP1469" s="52" t="n">
        <v>0</v>
      </c>
      <c r="AQ1469" s="53" t="n">
        <v>0</v>
      </c>
      <c r="AR1469" s="52" t="n">
        <v>0</v>
      </c>
      <c r="AS1469" s="51" t="n">
        <v>0</v>
      </c>
      <c r="AT1469" s="48" t="n">
        <v>0</v>
      </c>
      <c r="AU1469" s="49" t="n">
        <v>0</v>
      </c>
      <c r="AV1469" s="49" t="n">
        <v>0</v>
      </c>
      <c r="AW1469" s="50" t="n">
        <v>0</v>
      </c>
      <c r="AX1469" s="51" t="n">
        <v>0</v>
      </c>
      <c r="AY1469" s="52" t="n">
        <v>0</v>
      </c>
      <c r="AZ1469" s="52" t="n">
        <v>0</v>
      </c>
      <c r="BA1469" s="52" t="n">
        <v>0</v>
      </c>
      <c r="BB1469" s="53" t="n">
        <v>0</v>
      </c>
      <c r="BC1469" s="52" t="n">
        <v>0</v>
      </c>
      <c r="BD1469" s="53" t="n">
        <v>0</v>
      </c>
      <c r="BE1469" s="52" t="n">
        <v>0</v>
      </c>
      <c r="BF1469" s="51" t="n">
        <v>0</v>
      </c>
    </row>
    <row r="1470">
      <c r="A1470">
        <f>HYPERLINK("https://www.walmart.com/ip/15491064007", "15491064007")</f>
        <v/>
      </c>
      <c r="B1470" t="inlineStr">
        <is>
          <t>Dickies Journeyman Large Capacity Backpack Classic Logo Water Resistant Casual Daypack for Travel Fits 15.6 Inch Notebook</t>
        </is>
      </c>
      <c r="C1470" t="inlineStr">
        <is>
          <t>DK-BACKPACK-15169-BROWNDUCK</t>
        </is>
      </c>
      <c r="D1470" t="inlineStr">
        <is>
          <t>Backpacks</t>
        </is>
      </c>
      <c r="E1470" t="inlineStr">
        <is>
          <t>Dickies</t>
        </is>
      </c>
      <c r="G1470" s="48" t="n">
        <v>0</v>
      </c>
      <c r="H1470" s="49" t="n">
        <v>0</v>
      </c>
      <c r="I1470" s="49" t="n">
        <v>0</v>
      </c>
      <c r="J1470" s="50" t="n">
        <v>0</v>
      </c>
      <c r="K1470" s="51" t="n">
        <v>0</v>
      </c>
      <c r="L1470" s="52" t="n">
        <v>0</v>
      </c>
      <c r="M1470" s="52" t="n">
        <v>0</v>
      </c>
      <c r="N1470" s="52" t="n">
        <v>0</v>
      </c>
      <c r="O1470" s="53" t="n">
        <v>0</v>
      </c>
      <c r="P1470" s="52" t="n">
        <v>0</v>
      </c>
      <c r="Q1470" s="53" t="n">
        <v>0</v>
      </c>
      <c r="R1470" s="52" t="n">
        <v>0</v>
      </c>
      <c r="S1470" s="51" t="n">
        <v>0</v>
      </c>
      <c r="T1470" s="48" t="n">
        <v>0</v>
      </c>
      <c r="U1470" s="49" t="n">
        <v>0</v>
      </c>
      <c r="V1470" s="49" t="n">
        <v>0</v>
      </c>
      <c r="W1470" s="50" t="n">
        <v>0</v>
      </c>
      <c r="X1470" s="51" t="n">
        <v>0</v>
      </c>
      <c r="Y1470" s="52" t="n">
        <v>0</v>
      </c>
      <c r="Z1470" s="52" t="n">
        <v>0</v>
      </c>
      <c r="AA1470" s="52" t="n">
        <v>0</v>
      </c>
      <c r="AB1470" s="53" t="n">
        <v>0</v>
      </c>
      <c r="AC1470" s="52" t="n">
        <v>0</v>
      </c>
      <c r="AD1470" s="53" t="n">
        <v>0</v>
      </c>
      <c r="AE1470" s="52" t="n">
        <v>0</v>
      </c>
      <c r="AF1470" s="51" t="n">
        <v>0</v>
      </c>
      <c r="AG1470" s="48" t="n">
        <v>0</v>
      </c>
      <c r="AH1470" s="49" t="n">
        <v>0</v>
      </c>
      <c r="AI1470" s="49" t="n">
        <v>0</v>
      </c>
      <c r="AJ1470" s="50" t="n">
        <v>0</v>
      </c>
      <c r="AK1470" s="51" t="n">
        <v>0</v>
      </c>
      <c r="AL1470" s="52" t="n">
        <v>0</v>
      </c>
      <c r="AM1470" s="52" t="n">
        <v>0</v>
      </c>
      <c r="AN1470" s="52" t="n">
        <v>0</v>
      </c>
      <c r="AO1470" s="53" t="n">
        <v>0</v>
      </c>
      <c r="AP1470" s="52" t="n">
        <v>0</v>
      </c>
      <c r="AQ1470" s="53" t="n">
        <v>0</v>
      </c>
      <c r="AR1470" s="52" t="n">
        <v>0</v>
      </c>
      <c r="AS1470" s="51" t="n">
        <v>0</v>
      </c>
      <c r="AT1470" s="48" t="n">
        <v>0</v>
      </c>
      <c r="AU1470" s="49" t="n">
        <v>0</v>
      </c>
      <c r="AV1470" s="49" t="n">
        <v>0</v>
      </c>
      <c r="AW1470" s="50" t="n">
        <v>0</v>
      </c>
      <c r="AX1470" s="51" t="n">
        <v>0</v>
      </c>
      <c r="AY1470" s="52" t="n">
        <v>0</v>
      </c>
      <c r="AZ1470" s="52" t="n">
        <v>0</v>
      </c>
      <c r="BA1470" s="52" t="n">
        <v>0</v>
      </c>
      <c r="BB1470" s="53" t="n">
        <v>0</v>
      </c>
      <c r="BC1470" s="52" t="n">
        <v>0</v>
      </c>
      <c r="BD1470" s="53" t="n">
        <v>0</v>
      </c>
      <c r="BE1470" s="52" t="n">
        <v>0</v>
      </c>
      <c r="BF1470" s="51" t="n">
        <v>0</v>
      </c>
    </row>
    <row r="1471">
      <c r="A1471">
        <f>HYPERLINK("https://www.walmart.com/ip/15494818039", "15494818039")</f>
        <v/>
      </c>
      <c r="B1471" t="inlineStr">
        <is>
          <t>Dickies Tradesman Backpack, Water Resistant Casual Daypack for Travel Work School, Fits 15.6 Inch Notebook (Brown Duck)</t>
        </is>
      </c>
      <c r="C1471" t="inlineStr">
        <is>
          <t>DK-BACKPACK-15168-BROWNDUCK</t>
        </is>
      </c>
      <c r="D1471" t="inlineStr">
        <is>
          <t>Backpacks</t>
        </is>
      </c>
      <c r="E1471" t="inlineStr">
        <is>
          <t>Dickies</t>
        </is>
      </c>
      <c r="G1471" s="48" t="n">
        <v>0</v>
      </c>
      <c r="H1471" s="49" t="n">
        <v>0</v>
      </c>
      <c r="I1471" s="49" t="n">
        <v>0</v>
      </c>
      <c r="J1471" s="50" t="n">
        <v>0</v>
      </c>
      <c r="K1471" s="51" t="n">
        <v>0</v>
      </c>
      <c r="L1471" s="52" t="n">
        <v>0</v>
      </c>
      <c r="M1471" s="52" t="n">
        <v>0</v>
      </c>
      <c r="N1471" s="52" t="n">
        <v>0</v>
      </c>
      <c r="O1471" s="53" t="n">
        <v>0</v>
      </c>
      <c r="P1471" s="52" t="n">
        <v>0</v>
      </c>
      <c r="Q1471" s="53" t="n">
        <v>0</v>
      </c>
      <c r="R1471" s="52" t="n">
        <v>0</v>
      </c>
      <c r="S1471" s="51" t="n">
        <v>0</v>
      </c>
      <c r="T1471" s="48" t="n">
        <v>0</v>
      </c>
      <c r="U1471" s="49" t="n">
        <v>0</v>
      </c>
      <c r="V1471" s="49" t="n">
        <v>0</v>
      </c>
      <c r="W1471" s="50" t="n">
        <v>0</v>
      </c>
      <c r="X1471" s="51" t="n">
        <v>0</v>
      </c>
      <c r="Y1471" s="52" t="n">
        <v>0</v>
      </c>
      <c r="Z1471" s="52" t="n">
        <v>0</v>
      </c>
      <c r="AA1471" s="52" t="n">
        <v>0</v>
      </c>
      <c r="AB1471" s="53" t="n">
        <v>0</v>
      </c>
      <c r="AC1471" s="52" t="n">
        <v>0</v>
      </c>
      <c r="AD1471" s="53" t="n">
        <v>0</v>
      </c>
      <c r="AE1471" s="52" t="n">
        <v>0</v>
      </c>
      <c r="AF1471" s="51" t="n">
        <v>0</v>
      </c>
      <c r="AG1471" s="48" t="n">
        <v>0</v>
      </c>
      <c r="AH1471" s="49" t="n">
        <v>0</v>
      </c>
      <c r="AI1471" s="49" t="n">
        <v>0</v>
      </c>
      <c r="AJ1471" s="50" t="n">
        <v>0</v>
      </c>
      <c r="AK1471" s="51" t="n">
        <v>0</v>
      </c>
      <c r="AL1471" s="52" t="n">
        <v>0</v>
      </c>
      <c r="AM1471" s="52" t="n">
        <v>0</v>
      </c>
      <c r="AN1471" s="52" t="n">
        <v>0</v>
      </c>
      <c r="AO1471" s="53" t="n">
        <v>0</v>
      </c>
      <c r="AP1471" s="52" t="n">
        <v>0</v>
      </c>
      <c r="AQ1471" s="53" t="n">
        <v>0</v>
      </c>
      <c r="AR1471" s="52" t="n">
        <v>0</v>
      </c>
      <c r="AS1471" s="51" t="n">
        <v>0</v>
      </c>
      <c r="AT1471" s="48" t="n">
        <v>0</v>
      </c>
      <c r="AU1471" s="49" t="n">
        <v>0</v>
      </c>
      <c r="AV1471" s="49" t="n">
        <v>0</v>
      </c>
      <c r="AW1471" s="50" t="n">
        <v>0</v>
      </c>
      <c r="AX1471" s="51" t="n">
        <v>0</v>
      </c>
      <c r="AY1471" s="52" t="n">
        <v>0</v>
      </c>
      <c r="AZ1471" s="52" t="n">
        <v>0</v>
      </c>
      <c r="BA1471" s="52" t="n">
        <v>0</v>
      </c>
      <c r="BB1471" s="53" t="n">
        <v>0</v>
      </c>
      <c r="BC1471" s="52" t="n">
        <v>0</v>
      </c>
      <c r="BD1471" s="53" t="n">
        <v>0</v>
      </c>
      <c r="BE1471" s="52" t="n">
        <v>0</v>
      </c>
      <c r="BF1471" s="51" t="n">
        <v>0</v>
      </c>
    </row>
    <row r="1472">
      <c r="A1472">
        <f>HYPERLINK("https://www.walmart.com/ip/1550368797", "1550368797")</f>
        <v/>
      </c>
      <c r="B1472" t="inlineStr">
        <is>
          <t>12 Pack Sun Blocker Women's Hawaiian Floral Sun Hat Outdoor Travel Bucket Cap, Hawaii Flower Print Green Pattern</t>
        </is>
      </c>
      <c r="C1472" t="inlineStr">
        <is>
          <t>KC-S9200FLW-GR-12pcs</t>
        </is>
      </c>
      <c r="D1472" t="inlineStr">
        <is>
          <t>Hats</t>
        </is>
      </c>
      <c r="E1472" t="inlineStr">
        <is>
          <t>Sun Blocker</t>
        </is>
      </c>
      <c r="F1472" t="inlineStr">
        <is>
          <t>Batch 1 - TR</t>
        </is>
      </c>
      <c r="G1472" s="48" t="n">
        <v>0</v>
      </c>
      <c r="H1472" s="49" t="n">
        <v>0</v>
      </c>
      <c r="I1472" s="49" t="n">
        <v>0</v>
      </c>
      <c r="J1472" s="50" t="n">
        <v>0</v>
      </c>
      <c r="K1472" s="51" t="n">
        <v>0</v>
      </c>
      <c r="L1472" s="52" t="n">
        <v>0</v>
      </c>
      <c r="M1472" s="52" t="n">
        <v>0</v>
      </c>
      <c r="N1472" s="52" t="n">
        <v>0</v>
      </c>
      <c r="O1472" s="53" t="n">
        <v>0</v>
      </c>
      <c r="P1472" s="52" t="n">
        <v>0</v>
      </c>
      <c r="Q1472" s="53" t="n">
        <v>0</v>
      </c>
      <c r="R1472" s="52" t="n">
        <v>0</v>
      </c>
      <c r="S1472" s="51" t="n">
        <v>0</v>
      </c>
      <c r="T1472" s="48" t="n">
        <v>0</v>
      </c>
      <c r="U1472" s="49" t="n">
        <v>0</v>
      </c>
      <c r="V1472" s="49" t="n">
        <v>0</v>
      </c>
      <c r="W1472" s="50" t="n">
        <v>0</v>
      </c>
      <c r="X1472" s="51" t="n">
        <v>0</v>
      </c>
      <c r="Y1472" s="52" t="n">
        <v>0</v>
      </c>
      <c r="Z1472" s="52" t="n">
        <v>0</v>
      </c>
      <c r="AA1472" s="52" t="n">
        <v>0</v>
      </c>
      <c r="AB1472" s="53" t="n">
        <v>0</v>
      </c>
      <c r="AC1472" s="52" t="n">
        <v>0</v>
      </c>
      <c r="AD1472" s="53" t="n">
        <v>0</v>
      </c>
      <c r="AE1472" s="52" t="n">
        <v>0</v>
      </c>
      <c r="AF1472" s="51" t="n">
        <v>0</v>
      </c>
      <c r="AG1472" s="48" t="n">
        <v>0</v>
      </c>
      <c r="AH1472" s="49" t="n">
        <v>0</v>
      </c>
      <c r="AI1472" s="49" t="n">
        <v>0</v>
      </c>
      <c r="AJ1472" s="50" t="n">
        <v>0</v>
      </c>
      <c r="AK1472" s="51" t="n">
        <v>0</v>
      </c>
      <c r="AL1472" s="52" t="n">
        <v>0</v>
      </c>
      <c r="AM1472" s="52" t="n">
        <v>0</v>
      </c>
      <c r="AN1472" s="52" t="n">
        <v>0</v>
      </c>
      <c r="AO1472" s="53" t="n">
        <v>0</v>
      </c>
      <c r="AP1472" s="52" t="n">
        <v>0</v>
      </c>
      <c r="AQ1472" s="53" t="n">
        <v>0</v>
      </c>
      <c r="AR1472" s="52" t="n">
        <v>0</v>
      </c>
      <c r="AS1472" s="51" t="n">
        <v>0</v>
      </c>
      <c r="AT1472" s="48" t="n">
        <v>0</v>
      </c>
      <c r="AU1472" s="49" t="n">
        <v>0</v>
      </c>
      <c r="AV1472" s="49" t="n">
        <v>0</v>
      </c>
      <c r="AW1472" s="50" t="n">
        <v>0</v>
      </c>
      <c r="AX1472" s="51" t="n">
        <v>0</v>
      </c>
      <c r="AY1472" s="52" t="n">
        <v>0</v>
      </c>
      <c r="AZ1472" s="52" t="n">
        <v>0</v>
      </c>
      <c r="BA1472" s="52" t="n">
        <v>0</v>
      </c>
      <c r="BB1472" s="53" t="n">
        <v>0</v>
      </c>
      <c r="BC1472" s="52" t="n">
        <v>0</v>
      </c>
      <c r="BD1472" s="53" t="n">
        <v>0</v>
      </c>
      <c r="BE1472" s="52" t="n">
        <v>0</v>
      </c>
      <c r="BF1472" s="51" t="n">
        <v>0</v>
      </c>
    </row>
    <row r="1473">
      <c r="A1473">
        <f>HYPERLINK("https://www.walmart.com/ip/1551280501", "1551280501")</f>
        <v/>
      </c>
      <c r="B1473" t="inlineStr">
        <is>
          <t>Every Day is Christmas Glass Blown Ornaments Cute Hand Made Figurines Tree Decoration, Books</t>
        </is>
      </c>
      <c r="C1473" t="inlineStr">
        <is>
          <t>EDC-FIGURINE-BOOKS</t>
        </is>
      </c>
      <c r="D1473" t="inlineStr">
        <is>
          <t>Ornaments</t>
        </is>
      </c>
      <c r="E1473" t="inlineStr">
        <is>
          <t>Every Day is Christmas</t>
        </is>
      </c>
      <c r="G1473" s="48" t="n">
        <v>0</v>
      </c>
      <c r="H1473" s="49" t="n">
        <v>0</v>
      </c>
      <c r="I1473" s="49" t="n">
        <v>0</v>
      </c>
      <c r="J1473" s="50" t="n">
        <v>0</v>
      </c>
      <c r="K1473" s="51" t="n">
        <v>0</v>
      </c>
      <c r="L1473" s="52" t="n">
        <v>0</v>
      </c>
      <c r="M1473" s="52" t="n">
        <v>0</v>
      </c>
      <c r="N1473" s="52" t="n">
        <v>0</v>
      </c>
      <c r="O1473" s="53" t="n">
        <v>0</v>
      </c>
      <c r="P1473" s="52" t="n">
        <v>0</v>
      </c>
      <c r="Q1473" s="53" t="n">
        <v>0</v>
      </c>
      <c r="R1473" s="52" t="n">
        <v>0</v>
      </c>
      <c r="S1473" s="51" t="n">
        <v>0</v>
      </c>
      <c r="T1473" s="48" t="n">
        <v>0</v>
      </c>
      <c r="U1473" s="49" t="n">
        <v>0</v>
      </c>
      <c r="V1473" s="49" t="n">
        <v>0</v>
      </c>
      <c r="W1473" s="50" t="n">
        <v>0</v>
      </c>
      <c r="X1473" s="51" t="n">
        <v>0</v>
      </c>
      <c r="Y1473" s="52" t="n">
        <v>0</v>
      </c>
      <c r="Z1473" s="52" t="n">
        <v>0</v>
      </c>
      <c r="AA1473" s="52" t="n">
        <v>0</v>
      </c>
      <c r="AB1473" s="53" t="n">
        <v>0</v>
      </c>
      <c r="AC1473" s="52" t="n">
        <v>0</v>
      </c>
      <c r="AD1473" s="53" t="n">
        <v>0</v>
      </c>
      <c r="AE1473" s="52" t="n">
        <v>0</v>
      </c>
      <c r="AF1473" s="51" t="n">
        <v>0</v>
      </c>
      <c r="AG1473" s="48" t="n">
        <v>0</v>
      </c>
      <c r="AH1473" s="49" t="n">
        <v>0</v>
      </c>
      <c r="AI1473" s="49" t="n">
        <v>0</v>
      </c>
      <c r="AJ1473" s="50" t="n">
        <v>0</v>
      </c>
      <c r="AK1473" s="51" t="n">
        <v>0</v>
      </c>
      <c r="AL1473" s="52" t="n">
        <v>0</v>
      </c>
      <c r="AM1473" s="52" t="n">
        <v>0</v>
      </c>
      <c r="AN1473" s="52" t="n">
        <v>0</v>
      </c>
      <c r="AO1473" s="53" t="n">
        <v>0</v>
      </c>
      <c r="AP1473" s="52" t="n">
        <v>0</v>
      </c>
      <c r="AQ1473" s="53" t="n">
        <v>0</v>
      </c>
      <c r="AR1473" s="52" t="n">
        <v>0</v>
      </c>
      <c r="AS1473" s="51" t="n">
        <v>0</v>
      </c>
      <c r="AT1473" s="48" t="n">
        <v>0</v>
      </c>
      <c r="AU1473" s="49" t="n">
        <v>0</v>
      </c>
      <c r="AV1473" s="49" t="n">
        <v>0</v>
      </c>
      <c r="AW1473" s="50" t="n">
        <v>0</v>
      </c>
      <c r="AX1473" s="51" t="n">
        <v>0</v>
      </c>
      <c r="AY1473" s="52" t="n">
        <v>0</v>
      </c>
      <c r="AZ1473" s="52" t="n">
        <v>0</v>
      </c>
      <c r="BA1473" s="52" t="n">
        <v>0</v>
      </c>
      <c r="BB1473" s="53" t="n">
        <v>0</v>
      </c>
      <c r="BC1473" s="52" t="n">
        <v>0</v>
      </c>
      <c r="BD1473" s="53" t="n">
        <v>0</v>
      </c>
      <c r="BE1473" s="52" t="n">
        <v>0</v>
      </c>
      <c r="BF1473" s="51" t="n">
        <v>0</v>
      </c>
    </row>
    <row r="1474">
      <c r="A1474">
        <f>HYPERLINK("https://www.walmart.com/ip/155182167", "155182167")</f>
        <v/>
      </c>
      <c r="B1474" t="inlineStr">
        <is>
          <t>JenniWears® Women's Plus Size Sexy Lingerie Lace Babydolls 2 Pieces Mesh Chemises and G-string for Halloween</t>
        </is>
      </c>
      <c r="C1474" t="inlineStr">
        <is>
          <t>JWBD06BKPP-M</t>
        </is>
      </c>
      <c r="D1474" t="inlineStr">
        <is>
          <t>Lingerie Sets</t>
        </is>
      </c>
      <c r="E1474" t="inlineStr">
        <is>
          <t>JenniWears</t>
        </is>
      </c>
      <c r="F1474" t="inlineStr">
        <is>
          <t>Valentine</t>
        </is>
      </c>
      <c r="G1474" s="48" t="n">
        <v>0</v>
      </c>
      <c r="H1474" s="49" t="n">
        <v>0</v>
      </c>
      <c r="I1474" s="49" t="n">
        <v>0</v>
      </c>
      <c r="J1474" s="50" t="n">
        <v>0</v>
      </c>
      <c r="K1474" s="51" t="n">
        <v>0</v>
      </c>
      <c r="L1474" s="52" t="n">
        <v>0</v>
      </c>
      <c r="M1474" s="52" t="n">
        <v>0</v>
      </c>
      <c r="N1474" s="52" t="n">
        <v>0</v>
      </c>
      <c r="O1474" s="53" t="n">
        <v>0</v>
      </c>
      <c r="P1474" s="52" t="n">
        <v>0</v>
      </c>
      <c r="Q1474" s="53" t="n">
        <v>0</v>
      </c>
      <c r="R1474" s="52" t="n">
        <v>0</v>
      </c>
      <c r="S1474" s="51" t="n">
        <v>0</v>
      </c>
      <c r="T1474" s="48" t="n">
        <v>0</v>
      </c>
      <c r="U1474" s="49" t="n">
        <v>0</v>
      </c>
      <c r="V1474" s="49" t="n">
        <v>0</v>
      </c>
      <c r="W1474" s="50" t="n">
        <v>0</v>
      </c>
      <c r="X1474" s="51" t="n">
        <v>0</v>
      </c>
      <c r="Y1474" s="52" t="n">
        <v>0</v>
      </c>
      <c r="Z1474" s="52" t="n">
        <v>0</v>
      </c>
      <c r="AA1474" s="52" t="n">
        <v>0</v>
      </c>
      <c r="AB1474" s="53" t="n">
        <v>0</v>
      </c>
      <c r="AC1474" s="52" t="n">
        <v>0</v>
      </c>
      <c r="AD1474" s="53" t="n">
        <v>0</v>
      </c>
      <c r="AE1474" s="52" t="n">
        <v>0</v>
      </c>
      <c r="AF1474" s="51" t="n">
        <v>0</v>
      </c>
      <c r="AG1474" s="48" t="n">
        <v>0</v>
      </c>
      <c r="AH1474" s="49" t="n">
        <v>0</v>
      </c>
      <c r="AI1474" s="49" t="n">
        <v>0</v>
      </c>
      <c r="AJ1474" s="50" t="n">
        <v>0</v>
      </c>
      <c r="AK1474" s="51" t="n">
        <v>0</v>
      </c>
      <c r="AL1474" s="52" t="n">
        <v>0</v>
      </c>
      <c r="AM1474" s="52" t="n">
        <v>0</v>
      </c>
      <c r="AN1474" s="52" t="n">
        <v>0</v>
      </c>
      <c r="AO1474" s="53" t="n">
        <v>0</v>
      </c>
      <c r="AP1474" s="52" t="n">
        <v>0</v>
      </c>
      <c r="AQ1474" s="53" t="n">
        <v>0</v>
      </c>
      <c r="AR1474" s="52" t="n">
        <v>0</v>
      </c>
      <c r="AS1474" s="51" t="n">
        <v>0</v>
      </c>
      <c r="AT1474" s="48" t="n">
        <v>-7.99</v>
      </c>
      <c r="AU1474" s="49" t="n">
        <v>-1</v>
      </c>
      <c r="AV1474" s="49" t="n">
        <v>0</v>
      </c>
      <c r="AW1474" s="50" t="n">
        <v>0</v>
      </c>
      <c r="AX1474" s="51" t="n">
        <v>0</v>
      </c>
      <c r="AY1474" s="52" t="n">
        <v>0</v>
      </c>
      <c r="AZ1474" s="52" t="n">
        <v>0</v>
      </c>
      <c r="BA1474" s="52" t="n">
        <v>0</v>
      </c>
      <c r="BB1474" s="53" t="n">
        <v>0</v>
      </c>
      <c r="BC1474" s="52" t="n">
        <v>0</v>
      </c>
      <c r="BD1474" s="53" t="n">
        <v>0</v>
      </c>
      <c r="BE1474" s="52" t="n">
        <v>0</v>
      </c>
      <c r="BF1474" s="51" t="n">
        <v>0</v>
      </c>
    </row>
    <row r="1475">
      <c r="A1475">
        <f>HYPERLINK("https://www.walmart.com/ip/15419901412", "15419901412")</f>
        <v/>
      </c>
      <c r="B1475" t="inlineStr">
        <is>
          <t>Sun Blocker Unisex Sun Hat with Neck Flap Large Brim Packable Summer Beach Fishing Cap</t>
        </is>
      </c>
      <c r="C1475" t="inlineStr">
        <is>
          <t>1SLSH9153GN</t>
        </is>
      </c>
      <c r="D1475" t="inlineStr">
        <is>
          <t>Hats</t>
        </is>
      </c>
      <c r="E1475" t="inlineStr">
        <is>
          <t>Sun Blocker</t>
        </is>
      </c>
      <c r="G1475" s="48" t="n">
        <v>0</v>
      </c>
      <c r="H1475" s="49" t="n">
        <v>0</v>
      </c>
      <c r="I1475" s="49" t="n">
        <v>0</v>
      </c>
      <c r="J1475" s="50" t="n">
        <v>0</v>
      </c>
      <c r="K1475" s="51" t="n">
        <v>0</v>
      </c>
      <c r="L1475" s="52" t="n">
        <v>0</v>
      </c>
      <c r="M1475" s="52" t="n">
        <v>0</v>
      </c>
      <c r="N1475" s="52" t="n">
        <v>0</v>
      </c>
      <c r="O1475" s="53" t="n">
        <v>0</v>
      </c>
      <c r="P1475" s="52" t="n">
        <v>0</v>
      </c>
      <c r="Q1475" s="53" t="n">
        <v>0</v>
      </c>
      <c r="R1475" s="52" t="n">
        <v>0</v>
      </c>
      <c r="S1475" s="51" t="n">
        <v>0</v>
      </c>
      <c r="T1475" s="48" t="n">
        <v>0</v>
      </c>
      <c r="U1475" s="49" t="n">
        <v>0</v>
      </c>
      <c r="V1475" s="49" t="n">
        <v>0</v>
      </c>
      <c r="W1475" s="50" t="n">
        <v>0</v>
      </c>
      <c r="X1475" s="51" t="n">
        <v>0</v>
      </c>
      <c r="Y1475" s="52" t="n">
        <v>0</v>
      </c>
      <c r="Z1475" s="52" t="n">
        <v>0</v>
      </c>
      <c r="AA1475" s="52" t="n">
        <v>0</v>
      </c>
      <c r="AB1475" s="53" t="n">
        <v>0</v>
      </c>
      <c r="AC1475" s="52" t="n">
        <v>0</v>
      </c>
      <c r="AD1475" s="53" t="n">
        <v>0</v>
      </c>
      <c r="AE1475" s="52" t="n">
        <v>0</v>
      </c>
      <c r="AF1475" s="51" t="n">
        <v>0</v>
      </c>
      <c r="AG1475" s="48" t="n">
        <v>0</v>
      </c>
      <c r="AH1475" s="49" t="n">
        <v>0</v>
      </c>
      <c r="AI1475" s="49" t="n">
        <v>0</v>
      </c>
      <c r="AJ1475" s="50" t="n">
        <v>0</v>
      </c>
      <c r="AK1475" s="51" t="n">
        <v>0</v>
      </c>
      <c r="AL1475" s="52" t="n">
        <v>0</v>
      </c>
      <c r="AM1475" s="52" t="n">
        <v>0</v>
      </c>
      <c r="AN1475" s="52" t="n">
        <v>0</v>
      </c>
      <c r="AO1475" s="53" t="n">
        <v>0</v>
      </c>
      <c r="AP1475" s="52" t="n">
        <v>0</v>
      </c>
      <c r="AQ1475" s="53" t="n">
        <v>0</v>
      </c>
      <c r="AR1475" s="52" t="n">
        <v>0</v>
      </c>
      <c r="AS1475" s="51" t="n">
        <v>0</v>
      </c>
      <c r="AT1475" s="48" t="n">
        <v>0</v>
      </c>
      <c r="AU1475" s="49" t="n">
        <v>0</v>
      </c>
      <c r="AV1475" s="49" t="n">
        <v>0</v>
      </c>
      <c r="AW1475" s="50" t="n">
        <v>0</v>
      </c>
      <c r="AX1475" s="51" t="n">
        <v>0</v>
      </c>
      <c r="AY1475" s="52" t="n">
        <v>0</v>
      </c>
      <c r="AZ1475" s="52" t="n">
        <v>0</v>
      </c>
      <c r="BA1475" s="52" t="n">
        <v>0</v>
      </c>
      <c r="BB1475" s="53" t="n">
        <v>0</v>
      </c>
      <c r="BC1475" s="52" t="n">
        <v>0</v>
      </c>
      <c r="BD1475" s="53" t="n">
        <v>0</v>
      </c>
      <c r="BE1475" s="52" t="n">
        <v>0</v>
      </c>
      <c r="BF1475" s="51" t="n">
        <v>0</v>
      </c>
    </row>
    <row r="1476">
      <c r="A1476">
        <f>HYPERLINK("https://www.walmart.com/ip/15416260678", "15416260678")</f>
        <v/>
      </c>
      <c r="B1476" t="inlineStr">
        <is>
          <t>Catalonia Kids Waterproof Swim Parka with Hood, Windproof Fleece Swim Jacket, Warm Winter Swim Coat for Boys Girls Youth, Perfect for Swim Lessons, Beach, Pool</t>
        </is>
      </c>
      <c r="C1476" t="inlineStr">
        <is>
          <t>1CTPKR200BK-1</t>
        </is>
      </c>
      <c r="D1476" t="inlineStr">
        <is>
          <t>Swim Parkas</t>
        </is>
      </c>
      <c r="E1476" t="inlineStr">
        <is>
          <t>Catalonia</t>
        </is>
      </c>
      <c r="G1476" s="48" t="n">
        <v>0</v>
      </c>
      <c r="H1476" s="49" t="n">
        <v>0</v>
      </c>
      <c r="I1476" s="49" t="n">
        <v>0</v>
      </c>
      <c r="J1476" s="50" t="n">
        <v>0</v>
      </c>
      <c r="K1476" s="51" t="n">
        <v>0</v>
      </c>
      <c r="L1476" s="52" t="n">
        <v>0</v>
      </c>
      <c r="M1476" s="52" t="n">
        <v>0</v>
      </c>
      <c r="N1476" s="52" t="n">
        <v>0</v>
      </c>
      <c r="O1476" s="53" t="n">
        <v>0</v>
      </c>
      <c r="P1476" s="52" t="n">
        <v>0</v>
      </c>
      <c r="Q1476" s="53" t="n">
        <v>0</v>
      </c>
      <c r="R1476" s="52" t="n">
        <v>0</v>
      </c>
      <c r="S1476" s="51" t="n">
        <v>0</v>
      </c>
      <c r="T1476" s="48" t="n">
        <v>0</v>
      </c>
      <c r="U1476" s="49" t="n">
        <v>0</v>
      </c>
      <c r="V1476" s="49" t="n">
        <v>0</v>
      </c>
      <c r="W1476" s="50" t="n">
        <v>0</v>
      </c>
      <c r="X1476" s="51" t="n">
        <v>0</v>
      </c>
      <c r="Y1476" s="52" t="n">
        <v>0</v>
      </c>
      <c r="Z1476" s="52" t="n">
        <v>0</v>
      </c>
      <c r="AA1476" s="52" t="n">
        <v>0</v>
      </c>
      <c r="AB1476" s="53" t="n">
        <v>0</v>
      </c>
      <c r="AC1476" s="52" t="n">
        <v>0</v>
      </c>
      <c r="AD1476" s="53" t="n">
        <v>0</v>
      </c>
      <c r="AE1476" s="52" t="n">
        <v>0</v>
      </c>
      <c r="AF1476" s="51" t="n">
        <v>0</v>
      </c>
      <c r="AG1476" s="48" t="n">
        <v>0</v>
      </c>
      <c r="AH1476" s="49" t="n">
        <v>0</v>
      </c>
      <c r="AI1476" s="49" t="n">
        <v>0</v>
      </c>
      <c r="AJ1476" s="50" t="n">
        <v>0</v>
      </c>
      <c r="AK1476" s="51" t="n">
        <v>0</v>
      </c>
      <c r="AL1476" s="52" t="n">
        <v>0</v>
      </c>
      <c r="AM1476" s="52" t="n">
        <v>0</v>
      </c>
      <c r="AN1476" s="52" t="n">
        <v>0</v>
      </c>
      <c r="AO1476" s="53" t="n">
        <v>0</v>
      </c>
      <c r="AP1476" s="52" t="n">
        <v>0</v>
      </c>
      <c r="AQ1476" s="53" t="n">
        <v>0</v>
      </c>
      <c r="AR1476" s="52" t="n">
        <v>0</v>
      </c>
      <c r="AS1476" s="51" t="n">
        <v>0</v>
      </c>
      <c r="AT1476" s="48" t="n">
        <v>0</v>
      </c>
      <c r="AU1476" s="49" t="n">
        <v>0</v>
      </c>
      <c r="AV1476" s="49" t="n">
        <v>0</v>
      </c>
      <c r="AW1476" s="50" t="n">
        <v>0</v>
      </c>
      <c r="AX1476" s="51" t="n">
        <v>0</v>
      </c>
      <c r="AY1476" s="52" t="n">
        <v>0</v>
      </c>
      <c r="AZ1476" s="52" t="n">
        <v>0</v>
      </c>
      <c r="BA1476" s="52" t="n">
        <v>0</v>
      </c>
      <c r="BB1476" s="53" t="n">
        <v>0</v>
      </c>
      <c r="BC1476" s="52" t="n">
        <v>0</v>
      </c>
      <c r="BD1476" s="53" t="n">
        <v>0</v>
      </c>
      <c r="BE1476" s="52" t="n">
        <v>0</v>
      </c>
      <c r="BF1476" s="51" t="n">
        <v>0</v>
      </c>
    </row>
    <row r="1477">
      <c r="A1477">
        <f>HYPERLINK("https://www.walmart.com/ip/15523208717", "15523208717")</f>
        <v/>
      </c>
      <c r="B1477" t="inlineStr">
        <is>
          <t>Tirrinia Waterproof Outdoor Blanket with Sherpa Lining, Windproof Triple Layers Warm Comfy Foldable for Camping Stadium, Sports, Picnic, Grass, Concerts, Pet, 51''X 59'' Grey - Machine Washable</t>
        </is>
      </c>
      <c r="C1477" t="inlineStr">
        <is>
          <t>1TRBW608CAMOOR</t>
        </is>
      </c>
      <c r="D1477" t="inlineStr">
        <is>
          <t>Picnic Blankets &amp; Mats</t>
        </is>
      </c>
      <c r="E1477" t="inlineStr">
        <is>
          <t>Tirrinia</t>
        </is>
      </c>
      <c r="G1477" s="48" t="n">
        <v>0</v>
      </c>
      <c r="H1477" s="49" t="n">
        <v>0</v>
      </c>
      <c r="I1477" s="49" t="n">
        <v>0</v>
      </c>
      <c r="J1477" s="50" t="n">
        <v>0</v>
      </c>
      <c r="K1477" s="51" t="n">
        <v>0</v>
      </c>
      <c r="L1477" s="52" t="n">
        <v>0</v>
      </c>
      <c r="M1477" s="52" t="n">
        <v>0</v>
      </c>
      <c r="N1477" s="52" t="n">
        <v>0</v>
      </c>
      <c r="O1477" s="53" t="n">
        <v>0</v>
      </c>
      <c r="P1477" s="52" t="n">
        <v>0</v>
      </c>
      <c r="Q1477" s="53" t="n">
        <v>0</v>
      </c>
      <c r="R1477" s="52" t="n">
        <v>0</v>
      </c>
      <c r="S1477" s="51" t="n">
        <v>0</v>
      </c>
      <c r="T1477" s="48" t="n">
        <v>0</v>
      </c>
      <c r="U1477" s="49" t="n">
        <v>0</v>
      </c>
      <c r="V1477" s="49" t="n">
        <v>0</v>
      </c>
      <c r="W1477" s="50" t="n">
        <v>0</v>
      </c>
      <c r="X1477" s="51" t="n">
        <v>0</v>
      </c>
      <c r="Y1477" s="52" t="n">
        <v>0</v>
      </c>
      <c r="Z1477" s="52" t="n">
        <v>0</v>
      </c>
      <c r="AA1477" s="52" t="n">
        <v>0</v>
      </c>
      <c r="AB1477" s="53" t="n">
        <v>0</v>
      </c>
      <c r="AC1477" s="52" t="n">
        <v>0</v>
      </c>
      <c r="AD1477" s="53" t="n">
        <v>0</v>
      </c>
      <c r="AE1477" s="52" t="n">
        <v>0</v>
      </c>
      <c r="AF1477" s="51" t="n">
        <v>0</v>
      </c>
      <c r="AG1477" s="48" t="n">
        <v>0</v>
      </c>
      <c r="AH1477" s="49" t="n">
        <v>0</v>
      </c>
      <c r="AI1477" s="49" t="n">
        <v>0</v>
      </c>
      <c r="AJ1477" s="50" t="n">
        <v>0</v>
      </c>
      <c r="AK1477" s="51" t="n">
        <v>0</v>
      </c>
      <c r="AL1477" s="52" t="n">
        <v>0</v>
      </c>
      <c r="AM1477" s="52" t="n">
        <v>0</v>
      </c>
      <c r="AN1477" s="52" t="n">
        <v>0</v>
      </c>
      <c r="AO1477" s="53" t="n">
        <v>0</v>
      </c>
      <c r="AP1477" s="52" t="n">
        <v>0</v>
      </c>
      <c r="AQ1477" s="53" t="n">
        <v>0</v>
      </c>
      <c r="AR1477" s="52" t="n">
        <v>0</v>
      </c>
      <c r="AS1477" s="51" t="n">
        <v>0</v>
      </c>
      <c r="AT1477" s="48" t="n">
        <v>0</v>
      </c>
      <c r="AU1477" s="49" t="n">
        <v>0</v>
      </c>
      <c r="AV1477" s="49" t="n">
        <v>0</v>
      </c>
      <c r="AW1477" s="50" t="n">
        <v>0</v>
      </c>
      <c r="AX1477" s="51" t="n">
        <v>0</v>
      </c>
      <c r="AY1477" s="52" t="n">
        <v>0</v>
      </c>
      <c r="AZ1477" s="52" t="n">
        <v>0</v>
      </c>
      <c r="BA1477" s="52" t="n">
        <v>0</v>
      </c>
      <c r="BB1477" s="53" t="n">
        <v>0</v>
      </c>
      <c r="BC1477" s="52" t="n">
        <v>0</v>
      </c>
      <c r="BD1477" s="53" t="n">
        <v>0</v>
      </c>
      <c r="BE1477" s="52" t="n">
        <v>0</v>
      </c>
      <c r="BF1477" s="51" t="n">
        <v>0</v>
      </c>
    </row>
    <row r="1478">
      <c r="A1478">
        <f>HYPERLINK("https://www.walmart.com/ip/154084434", "154084434")</f>
        <v/>
      </c>
      <c r="B1478" t="inlineStr">
        <is>
          <t>Napa Plush Warm Bathrobe Micro Fleece Spa Robe 48" Sleepwear with Sherpa Trim and Pockets Grey</t>
        </is>
      </c>
      <c r="C1478" t="inlineStr">
        <is>
          <t>R5010GRAY-01</t>
        </is>
      </c>
      <c r="D1478" t="inlineStr">
        <is>
          <t>Sleepwear Robes &amp; Bathrobes</t>
        </is>
      </c>
      <c r="E1478" t="inlineStr">
        <is>
          <t>NAPA</t>
        </is>
      </c>
      <c r="F1478" t="inlineStr">
        <is>
          <t>Optimized,Bathrobe</t>
        </is>
      </c>
      <c r="G1478" s="48" t="n">
        <v>0</v>
      </c>
      <c r="H1478" s="49" t="n">
        <v>0</v>
      </c>
      <c r="I1478" s="49" t="n">
        <v>0</v>
      </c>
      <c r="J1478" s="50" t="n">
        <v>0</v>
      </c>
      <c r="K1478" s="51" t="n">
        <v>0</v>
      </c>
      <c r="L1478" s="52" t="n">
        <v>0</v>
      </c>
      <c r="M1478" s="52" t="n">
        <v>0</v>
      </c>
      <c r="N1478" s="52" t="n">
        <v>0</v>
      </c>
      <c r="O1478" s="53" t="n">
        <v>0</v>
      </c>
      <c r="P1478" s="52" t="n">
        <v>0</v>
      </c>
      <c r="Q1478" s="53" t="n">
        <v>0</v>
      </c>
      <c r="R1478" s="52" t="n">
        <v>0</v>
      </c>
      <c r="S1478" s="51" t="n">
        <v>0</v>
      </c>
      <c r="T1478" s="48" t="n">
        <v>0</v>
      </c>
      <c r="U1478" s="49" t="n">
        <v>0</v>
      </c>
      <c r="V1478" s="49" t="n">
        <v>0</v>
      </c>
      <c r="W1478" s="50" t="n">
        <v>0</v>
      </c>
      <c r="X1478" s="51" t="n">
        <v>0</v>
      </c>
      <c r="Y1478" s="52" t="n">
        <v>0</v>
      </c>
      <c r="Z1478" s="52" t="n">
        <v>0</v>
      </c>
      <c r="AA1478" s="52" t="n">
        <v>0</v>
      </c>
      <c r="AB1478" s="53" t="n">
        <v>0</v>
      </c>
      <c r="AC1478" s="52" t="n">
        <v>0</v>
      </c>
      <c r="AD1478" s="53" t="n">
        <v>0</v>
      </c>
      <c r="AE1478" s="52" t="n">
        <v>0</v>
      </c>
      <c r="AF1478" s="51" t="n">
        <v>0</v>
      </c>
      <c r="AG1478" s="48" t="n">
        <v>0</v>
      </c>
      <c r="AH1478" s="49" t="n">
        <v>0</v>
      </c>
      <c r="AI1478" s="49" t="n">
        <v>0</v>
      </c>
      <c r="AJ1478" s="50" t="n">
        <v>0</v>
      </c>
      <c r="AK1478" s="51" t="n">
        <v>0</v>
      </c>
      <c r="AL1478" s="52" t="n">
        <v>0</v>
      </c>
      <c r="AM1478" s="52" t="n">
        <v>0</v>
      </c>
      <c r="AN1478" s="52" t="n">
        <v>0</v>
      </c>
      <c r="AO1478" s="53" t="n">
        <v>0</v>
      </c>
      <c r="AP1478" s="52" t="n">
        <v>0</v>
      </c>
      <c r="AQ1478" s="53" t="n">
        <v>0</v>
      </c>
      <c r="AR1478" s="52" t="n">
        <v>0</v>
      </c>
      <c r="AS1478" s="51" t="n">
        <v>0</v>
      </c>
      <c r="AT1478" s="48" t="n">
        <v>0</v>
      </c>
      <c r="AU1478" s="49" t="n">
        <v>0</v>
      </c>
      <c r="AV1478" s="49" t="n">
        <v>0</v>
      </c>
      <c r="AW1478" s="50" t="n">
        <v>0</v>
      </c>
      <c r="AX1478" s="51" t="n">
        <v>0</v>
      </c>
      <c r="AY1478" s="52" t="n">
        <v>0</v>
      </c>
      <c r="AZ1478" s="52" t="n">
        <v>0</v>
      </c>
      <c r="BA1478" s="52" t="n">
        <v>0</v>
      </c>
      <c r="BB1478" s="53" t="n">
        <v>0</v>
      </c>
      <c r="BC1478" s="52" t="n">
        <v>0</v>
      </c>
      <c r="BD1478" s="53" t="n">
        <v>0</v>
      </c>
      <c r="BE1478" s="52" t="n">
        <v>0</v>
      </c>
      <c r="BF1478" s="51" t="n">
        <v>0</v>
      </c>
    </row>
    <row r="1479">
      <c r="A1479">
        <f>HYPERLINK("https://www.walmart.com/ip/152482497", "152482497")</f>
        <v/>
      </c>
      <c r="B1479" t="inlineStr">
        <is>
          <t>JenniWears Sexy Lingerie Fishnet Open Crotch Body Stocking Mini Chemise Dress</t>
        </is>
      </c>
      <c r="C1479" t="inlineStr">
        <is>
          <t>JWBS8836</t>
        </is>
      </c>
      <c r="D1479" t="inlineStr">
        <is>
          <t>Teddies &amp; Bodystockings</t>
        </is>
      </c>
      <c r="E1479" t="inlineStr">
        <is>
          <t>JenniWears</t>
        </is>
      </c>
      <c r="F1479" t="inlineStr">
        <is>
          <t>Valentine</t>
        </is>
      </c>
      <c r="G1479" s="48" t="n">
        <v>0</v>
      </c>
      <c r="H1479" s="49" t="n">
        <v>0</v>
      </c>
      <c r="I1479" s="49" t="n">
        <v>0</v>
      </c>
      <c r="J1479" s="50" t="n">
        <v>0</v>
      </c>
      <c r="K1479" s="51" t="n">
        <v>0</v>
      </c>
      <c r="L1479" s="52" t="n">
        <v>0</v>
      </c>
      <c r="M1479" s="52" t="n">
        <v>0</v>
      </c>
      <c r="N1479" s="52" t="n">
        <v>0</v>
      </c>
      <c r="O1479" s="53" t="n">
        <v>0</v>
      </c>
      <c r="P1479" s="52" t="n">
        <v>0</v>
      </c>
      <c r="Q1479" s="53" t="n">
        <v>0</v>
      </c>
      <c r="R1479" s="52" t="n">
        <v>0</v>
      </c>
      <c r="S1479" s="51" t="n">
        <v>0</v>
      </c>
      <c r="T1479" s="48" t="n">
        <v>0</v>
      </c>
      <c r="U1479" s="49" t="n">
        <v>0</v>
      </c>
      <c r="V1479" s="49" t="n">
        <v>0</v>
      </c>
      <c r="W1479" s="50" t="n">
        <v>0</v>
      </c>
      <c r="X1479" s="51" t="n">
        <v>0</v>
      </c>
      <c r="Y1479" s="52" t="n">
        <v>0</v>
      </c>
      <c r="Z1479" s="52" t="n">
        <v>0</v>
      </c>
      <c r="AA1479" s="52" t="n">
        <v>0</v>
      </c>
      <c r="AB1479" s="53" t="n">
        <v>0</v>
      </c>
      <c r="AC1479" s="52" t="n">
        <v>0</v>
      </c>
      <c r="AD1479" s="53" t="n">
        <v>0</v>
      </c>
      <c r="AE1479" s="52" t="n">
        <v>0</v>
      </c>
      <c r="AF1479" s="51" t="n">
        <v>0</v>
      </c>
      <c r="AG1479" s="48" t="n">
        <v>0</v>
      </c>
      <c r="AH1479" s="49" t="n">
        <v>0</v>
      </c>
      <c r="AI1479" s="49" t="n">
        <v>0</v>
      </c>
      <c r="AJ1479" s="50" t="n">
        <v>0</v>
      </c>
      <c r="AK1479" s="51" t="n">
        <v>0</v>
      </c>
      <c r="AL1479" s="52" t="n">
        <v>0</v>
      </c>
      <c r="AM1479" s="52" t="n">
        <v>0</v>
      </c>
      <c r="AN1479" s="52" t="n">
        <v>0</v>
      </c>
      <c r="AO1479" s="53" t="n">
        <v>0</v>
      </c>
      <c r="AP1479" s="52" t="n">
        <v>0</v>
      </c>
      <c r="AQ1479" s="53" t="n">
        <v>0</v>
      </c>
      <c r="AR1479" s="52" t="n">
        <v>0</v>
      </c>
      <c r="AS1479" s="51" t="n">
        <v>0</v>
      </c>
      <c r="AT1479" s="48" t="n">
        <v>0</v>
      </c>
      <c r="AU1479" s="49" t="n">
        <v>0</v>
      </c>
      <c r="AV1479" s="49" t="n">
        <v>0</v>
      </c>
      <c r="AW1479" s="50" t="n">
        <v>0</v>
      </c>
      <c r="AX1479" s="51" t="n">
        <v>0</v>
      </c>
      <c r="AY1479" s="52" t="n">
        <v>0</v>
      </c>
      <c r="AZ1479" s="52" t="n">
        <v>0</v>
      </c>
      <c r="BA1479" s="52" t="n">
        <v>0</v>
      </c>
      <c r="BB1479" s="53" t="n">
        <v>0</v>
      </c>
      <c r="BC1479" s="52" t="n">
        <v>0</v>
      </c>
      <c r="BD1479" s="53" t="n">
        <v>0</v>
      </c>
      <c r="BE1479" s="52" t="n">
        <v>0</v>
      </c>
      <c r="BF1479" s="51" t="n">
        <v>0</v>
      </c>
    </row>
    <row r="1480">
      <c r="A1480">
        <f>HYPERLINK("https://www.walmart.com/ip/152494455", "152494455")</f>
        <v/>
      </c>
      <c r="B1480" t="inlineStr">
        <is>
          <t>JenniWears® Women's Sexy See-through Lingerie Lace Fishnet Suspender</t>
        </is>
      </c>
      <c r="C1480" t="inlineStr">
        <is>
          <t>JWBD01BKPK-XL</t>
        </is>
      </c>
      <c r="D1480" t="inlineStr">
        <is>
          <t>Lingerie Camisoles</t>
        </is>
      </c>
      <c r="E1480" t="inlineStr">
        <is>
          <t>JenniWears</t>
        </is>
      </c>
      <c r="F1480" t="inlineStr">
        <is>
          <t>Valentine</t>
        </is>
      </c>
      <c r="G1480" s="48" t="n">
        <v>0</v>
      </c>
      <c r="H1480" s="49" t="n">
        <v>0</v>
      </c>
      <c r="I1480" s="49" t="n">
        <v>0</v>
      </c>
      <c r="J1480" s="50" t="n">
        <v>0</v>
      </c>
      <c r="K1480" s="51" t="n">
        <v>0</v>
      </c>
      <c r="L1480" s="52" t="n">
        <v>0</v>
      </c>
      <c r="M1480" s="52" t="n">
        <v>0</v>
      </c>
      <c r="N1480" s="52" t="n">
        <v>0</v>
      </c>
      <c r="O1480" s="53" t="n">
        <v>0</v>
      </c>
      <c r="P1480" s="52" t="n">
        <v>0</v>
      </c>
      <c r="Q1480" s="53" t="n">
        <v>0</v>
      </c>
      <c r="R1480" s="52" t="n">
        <v>0</v>
      </c>
      <c r="S1480" s="51" t="n">
        <v>0</v>
      </c>
      <c r="T1480" s="48" t="n">
        <v>0</v>
      </c>
      <c r="U1480" s="49" t="n">
        <v>0</v>
      </c>
      <c r="V1480" s="49" t="n">
        <v>0</v>
      </c>
      <c r="W1480" s="50" t="n">
        <v>0</v>
      </c>
      <c r="X1480" s="51" t="n">
        <v>0</v>
      </c>
      <c r="Y1480" s="52" t="n">
        <v>0</v>
      </c>
      <c r="Z1480" s="52" t="n">
        <v>0</v>
      </c>
      <c r="AA1480" s="52" t="n">
        <v>0</v>
      </c>
      <c r="AB1480" s="53" t="n">
        <v>0</v>
      </c>
      <c r="AC1480" s="52" t="n">
        <v>0</v>
      </c>
      <c r="AD1480" s="53" t="n">
        <v>0</v>
      </c>
      <c r="AE1480" s="52" t="n">
        <v>0</v>
      </c>
      <c r="AF1480" s="51" t="n">
        <v>0</v>
      </c>
      <c r="AG1480" s="48" t="n">
        <v>0</v>
      </c>
      <c r="AH1480" s="49" t="n">
        <v>0</v>
      </c>
      <c r="AI1480" s="49" t="n">
        <v>0</v>
      </c>
      <c r="AJ1480" s="50" t="n">
        <v>0</v>
      </c>
      <c r="AK1480" s="51" t="n">
        <v>0</v>
      </c>
      <c r="AL1480" s="52" t="n">
        <v>0</v>
      </c>
      <c r="AM1480" s="52" t="n">
        <v>0</v>
      </c>
      <c r="AN1480" s="52" t="n">
        <v>0</v>
      </c>
      <c r="AO1480" s="53" t="n">
        <v>0</v>
      </c>
      <c r="AP1480" s="52" t="n">
        <v>0</v>
      </c>
      <c r="AQ1480" s="53" t="n">
        <v>0</v>
      </c>
      <c r="AR1480" s="52" t="n">
        <v>0</v>
      </c>
      <c r="AS1480" s="51" t="n">
        <v>0</v>
      </c>
      <c r="AT1480" s="48" t="n">
        <v>0</v>
      </c>
      <c r="AU1480" s="49" t="n">
        <v>0</v>
      </c>
      <c r="AV1480" s="49" t="n">
        <v>0</v>
      </c>
      <c r="AW1480" s="50" t="n">
        <v>0</v>
      </c>
      <c r="AX1480" s="51" t="n">
        <v>0</v>
      </c>
      <c r="AY1480" s="52" t="n">
        <v>0</v>
      </c>
      <c r="AZ1480" s="52" t="n">
        <v>0</v>
      </c>
      <c r="BA1480" s="52" t="n">
        <v>0</v>
      </c>
      <c r="BB1480" s="53" t="n">
        <v>0</v>
      </c>
      <c r="BC1480" s="52" t="n">
        <v>0</v>
      </c>
      <c r="BD1480" s="53" t="n">
        <v>0</v>
      </c>
      <c r="BE1480" s="52" t="n">
        <v>0</v>
      </c>
      <c r="BF1480" s="51" t="n">
        <v>0</v>
      </c>
    </row>
    <row r="1481">
      <c r="A1481">
        <f>HYPERLINK("https://www.walmart.com/ip/152513714", "152513714")</f>
        <v/>
      </c>
      <c r="B1481" t="inlineStr">
        <is>
          <t>KC Caps Thick Weave Waffle Knit Beanie</t>
        </is>
      </c>
      <c r="C1481" t="inlineStr">
        <is>
          <t>KCW1600GY</t>
        </is>
      </c>
      <c r="D1481" t="inlineStr">
        <is>
          <t>Hats</t>
        </is>
      </c>
      <c r="E1481" t="inlineStr">
        <is>
          <t>KC Caps</t>
        </is>
      </c>
      <c r="F1481" t="inlineStr">
        <is>
          <t>Optimized</t>
        </is>
      </c>
      <c r="G1481" s="48" t="n">
        <v>0</v>
      </c>
      <c r="H1481" s="49" t="n">
        <v>0</v>
      </c>
      <c r="I1481" s="49" t="n">
        <v>0</v>
      </c>
      <c r="J1481" s="50" t="n">
        <v>0</v>
      </c>
      <c r="K1481" s="51" t="n">
        <v>0</v>
      </c>
      <c r="L1481" s="52" t="n">
        <v>0</v>
      </c>
      <c r="M1481" s="52" t="n">
        <v>0</v>
      </c>
      <c r="N1481" s="52" t="n">
        <v>0</v>
      </c>
      <c r="O1481" s="53" t="n">
        <v>0</v>
      </c>
      <c r="P1481" s="52" t="n">
        <v>0</v>
      </c>
      <c r="Q1481" s="53" t="n">
        <v>0</v>
      </c>
      <c r="R1481" s="52" t="n">
        <v>0</v>
      </c>
      <c r="S1481" s="51" t="n">
        <v>0</v>
      </c>
      <c r="T1481" s="48" t="n">
        <v>0</v>
      </c>
      <c r="U1481" s="49" t="n">
        <v>0</v>
      </c>
      <c r="V1481" s="49" t="n">
        <v>0</v>
      </c>
      <c r="W1481" s="50" t="n">
        <v>0</v>
      </c>
      <c r="X1481" s="51" t="n">
        <v>0</v>
      </c>
      <c r="Y1481" s="52" t="n">
        <v>0</v>
      </c>
      <c r="Z1481" s="52" t="n">
        <v>0</v>
      </c>
      <c r="AA1481" s="52" t="n">
        <v>0</v>
      </c>
      <c r="AB1481" s="53" t="n">
        <v>0</v>
      </c>
      <c r="AC1481" s="52" t="n">
        <v>0</v>
      </c>
      <c r="AD1481" s="53" t="n">
        <v>0</v>
      </c>
      <c r="AE1481" s="52" t="n">
        <v>0</v>
      </c>
      <c r="AF1481" s="51" t="n">
        <v>0</v>
      </c>
      <c r="AG1481" s="48" t="n">
        <v>0</v>
      </c>
      <c r="AH1481" s="49" t="n">
        <v>0</v>
      </c>
      <c r="AI1481" s="49" t="n">
        <v>0</v>
      </c>
      <c r="AJ1481" s="50" t="n">
        <v>0</v>
      </c>
      <c r="AK1481" s="51" t="n">
        <v>0</v>
      </c>
      <c r="AL1481" s="52" t="n">
        <v>0</v>
      </c>
      <c r="AM1481" s="52" t="n">
        <v>0</v>
      </c>
      <c r="AN1481" s="52" t="n">
        <v>0</v>
      </c>
      <c r="AO1481" s="53" t="n">
        <v>0</v>
      </c>
      <c r="AP1481" s="52" t="n">
        <v>0</v>
      </c>
      <c r="AQ1481" s="53" t="n">
        <v>0</v>
      </c>
      <c r="AR1481" s="52" t="n">
        <v>0</v>
      </c>
      <c r="AS1481" s="51" t="n">
        <v>0</v>
      </c>
      <c r="AT1481" s="48" t="n">
        <v>0</v>
      </c>
      <c r="AU1481" s="49" t="n">
        <v>0</v>
      </c>
      <c r="AV1481" s="49" t="n">
        <v>0</v>
      </c>
      <c r="AW1481" s="50" t="n">
        <v>0</v>
      </c>
      <c r="AX1481" s="51" t="n">
        <v>0</v>
      </c>
      <c r="AY1481" s="52" t="n">
        <v>0</v>
      </c>
      <c r="AZ1481" s="52" t="n">
        <v>0</v>
      </c>
      <c r="BA1481" s="52" t="n">
        <v>0</v>
      </c>
      <c r="BB1481" s="53" t="n">
        <v>0</v>
      </c>
      <c r="BC1481" s="52" t="n">
        <v>0</v>
      </c>
      <c r="BD1481" s="53" t="n">
        <v>0</v>
      </c>
      <c r="BE1481" s="52" t="n">
        <v>0</v>
      </c>
      <c r="BF1481" s="51" t="n">
        <v>0</v>
      </c>
    </row>
    <row r="1482">
      <c r="A1482">
        <f>HYPERLINK("https://www.walmart.com/ip/153044946", "153044946")</f>
        <v/>
      </c>
      <c r="B1482" t="inlineStr">
        <is>
          <t>Adjustable Buckle Closure USA Flag Embroidered Cap</t>
        </is>
      </c>
      <c r="C1482" t="inlineStr">
        <is>
          <t>kc-aeflag-rd</t>
        </is>
      </c>
      <c r="D1482" t="inlineStr">
        <is>
          <t>Hats</t>
        </is>
      </c>
      <c r="E1482" t="inlineStr">
        <is>
          <t>KC Caps</t>
        </is>
      </c>
      <c r="F1482" t="inlineStr">
        <is>
          <t>Optimized</t>
        </is>
      </c>
      <c r="G1482" s="48" t="n">
        <v>0</v>
      </c>
      <c r="H1482" s="49" t="n">
        <v>0</v>
      </c>
      <c r="I1482" s="49" t="n">
        <v>0</v>
      </c>
      <c r="J1482" s="50" t="n">
        <v>0</v>
      </c>
      <c r="K1482" s="51" t="n">
        <v>0</v>
      </c>
      <c r="L1482" s="52" t="n">
        <v>0</v>
      </c>
      <c r="M1482" s="52" t="n">
        <v>0</v>
      </c>
      <c r="N1482" s="52" t="n">
        <v>0</v>
      </c>
      <c r="O1482" s="53" t="n">
        <v>0</v>
      </c>
      <c r="P1482" s="52" t="n">
        <v>0</v>
      </c>
      <c r="Q1482" s="53" t="n">
        <v>0</v>
      </c>
      <c r="R1482" s="52" t="n">
        <v>0</v>
      </c>
      <c r="S1482" s="51" t="n">
        <v>0</v>
      </c>
      <c r="T1482" s="48" t="n">
        <v>0</v>
      </c>
      <c r="U1482" s="49" t="n">
        <v>0</v>
      </c>
      <c r="V1482" s="49" t="n">
        <v>0</v>
      </c>
      <c r="W1482" s="50" t="n">
        <v>0</v>
      </c>
      <c r="X1482" s="51" t="n">
        <v>0</v>
      </c>
      <c r="Y1482" s="52" t="n">
        <v>0</v>
      </c>
      <c r="Z1482" s="52" t="n">
        <v>0</v>
      </c>
      <c r="AA1482" s="52" t="n">
        <v>0</v>
      </c>
      <c r="AB1482" s="53" t="n">
        <v>0</v>
      </c>
      <c r="AC1482" s="52" t="n">
        <v>0</v>
      </c>
      <c r="AD1482" s="53" t="n">
        <v>0</v>
      </c>
      <c r="AE1482" s="52" t="n">
        <v>0</v>
      </c>
      <c r="AF1482" s="51" t="n">
        <v>0</v>
      </c>
      <c r="AG1482" s="48" t="n">
        <v>0</v>
      </c>
      <c r="AH1482" s="49" t="n">
        <v>0</v>
      </c>
      <c r="AI1482" s="49" t="n">
        <v>0</v>
      </c>
      <c r="AJ1482" s="50" t="n">
        <v>0</v>
      </c>
      <c r="AK1482" s="51" t="n">
        <v>0</v>
      </c>
      <c r="AL1482" s="52" t="n">
        <v>0</v>
      </c>
      <c r="AM1482" s="52" t="n">
        <v>0</v>
      </c>
      <c r="AN1482" s="52" t="n">
        <v>0</v>
      </c>
      <c r="AO1482" s="53" t="n">
        <v>0</v>
      </c>
      <c r="AP1482" s="52" t="n">
        <v>0</v>
      </c>
      <c r="AQ1482" s="53" t="n">
        <v>0</v>
      </c>
      <c r="AR1482" s="52" t="n">
        <v>0</v>
      </c>
      <c r="AS1482" s="51" t="n">
        <v>0</v>
      </c>
      <c r="AT1482" s="48" t="n">
        <v>0</v>
      </c>
      <c r="AU1482" s="49" t="n">
        <v>0</v>
      </c>
      <c r="AV1482" s="49" t="n">
        <v>0</v>
      </c>
      <c r="AW1482" s="50" t="n">
        <v>0</v>
      </c>
      <c r="AX1482" s="51" t="n">
        <v>0</v>
      </c>
      <c r="AY1482" s="52" t="n">
        <v>0</v>
      </c>
      <c r="AZ1482" s="52" t="n">
        <v>0</v>
      </c>
      <c r="BA1482" s="52" t="n">
        <v>0</v>
      </c>
      <c r="BB1482" s="53" t="n">
        <v>0</v>
      </c>
      <c r="BC1482" s="52" t="n">
        <v>0</v>
      </c>
      <c r="BD1482" s="53" t="n">
        <v>0</v>
      </c>
      <c r="BE1482" s="52" t="n">
        <v>0</v>
      </c>
      <c r="BF1482" s="51" t="n">
        <v>0</v>
      </c>
    </row>
    <row r="1483">
      <c r="A1483">
        <f>HYPERLINK("https://www.walmart.com/ip/1533101659", "1533101659")</f>
        <v/>
      </c>
      <c r="B1483" t="inlineStr">
        <is>
          <t>Catalonia Reversible Cooling Blanket, Lightweight Summer Comforter for Hot Sleepers, Silky Soft Summer Duvet Throw Size, 50x60 inches, Soft Breathable, Grey</t>
        </is>
      </c>
      <c r="C1483" t="inlineStr">
        <is>
          <t>1CTBQ100GY</t>
        </is>
      </c>
      <c r="D1483" t="inlineStr">
        <is>
          <t>Throws</t>
        </is>
      </c>
      <c r="E1483" t="inlineStr">
        <is>
          <t>Catalonia</t>
        </is>
      </c>
      <c r="F1483" t="inlineStr">
        <is>
          <t>Batch 1 - TR</t>
        </is>
      </c>
      <c r="G1483" s="48" t="n">
        <v>0</v>
      </c>
      <c r="H1483" s="49" t="n">
        <v>0</v>
      </c>
      <c r="I1483" s="49" t="n">
        <v>0</v>
      </c>
      <c r="J1483" s="50" t="n">
        <v>0</v>
      </c>
      <c r="K1483" s="51" t="n">
        <v>0</v>
      </c>
      <c r="L1483" s="52" t="n">
        <v>0</v>
      </c>
      <c r="M1483" s="52" t="n">
        <v>0</v>
      </c>
      <c r="N1483" s="52" t="n">
        <v>0</v>
      </c>
      <c r="O1483" s="53" t="n">
        <v>0</v>
      </c>
      <c r="P1483" s="52" t="n">
        <v>0</v>
      </c>
      <c r="Q1483" s="53" t="n">
        <v>0</v>
      </c>
      <c r="R1483" s="52" t="n">
        <v>0</v>
      </c>
      <c r="S1483" s="51" t="n">
        <v>0</v>
      </c>
      <c r="T1483" s="48" t="n">
        <v>0</v>
      </c>
      <c r="U1483" s="49" t="n">
        <v>0</v>
      </c>
      <c r="V1483" s="49" t="n">
        <v>0</v>
      </c>
      <c r="W1483" s="50" t="n">
        <v>0</v>
      </c>
      <c r="X1483" s="51" t="n">
        <v>0</v>
      </c>
      <c r="Y1483" s="52" t="n">
        <v>0</v>
      </c>
      <c r="Z1483" s="52" t="n">
        <v>0</v>
      </c>
      <c r="AA1483" s="52" t="n">
        <v>0</v>
      </c>
      <c r="AB1483" s="53" t="n">
        <v>0</v>
      </c>
      <c r="AC1483" s="52" t="n">
        <v>0</v>
      </c>
      <c r="AD1483" s="53" t="n">
        <v>0</v>
      </c>
      <c r="AE1483" s="52" t="n">
        <v>0</v>
      </c>
      <c r="AF1483" s="51" t="n">
        <v>0</v>
      </c>
      <c r="AG1483" s="48" t="n">
        <v>19.98</v>
      </c>
      <c r="AH1483" s="49" t="n">
        <v>1</v>
      </c>
      <c r="AI1483" s="49" t="n">
        <v>0</v>
      </c>
      <c r="AJ1483" s="50" t="n">
        <v>0</v>
      </c>
      <c r="AK1483" s="51" t="n">
        <v>0</v>
      </c>
      <c r="AL1483" s="52" t="n">
        <v>0</v>
      </c>
      <c r="AM1483" s="52" t="n">
        <v>0</v>
      </c>
      <c r="AN1483" s="52" t="n">
        <v>0</v>
      </c>
      <c r="AO1483" s="53" t="n">
        <v>0</v>
      </c>
      <c r="AP1483" s="52" t="n">
        <v>0</v>
      </c>
      <c r="AQ1483" s="53" t="n">
        <v>0</v>
      </c>
      <c r="AR1483" s="52" t="n">
        <v>19.98</v>
      </c>
      <c r="AS1483" s="51" t="n">
        <v>0</v>
      </c>
      <c r="AT1483" s="48" t="n">
        <v>0</v>
      </c>
      <c r="AU1483" s="49" t="n">
        <v>0</v>
      </c>
      <c r="AV1483" s="49" t="n">
        <v>0</v>
      </c>
      <c r="AW1483" s="50" t="n">
        <v>0</v>
      </c>
      <c r="AX1483" s="51" t="n">
        <v>0</v>
      </c>
      <c r="AY1483" s="52" t="n">
        <v>0</v>
      </c>
      <c r="AZ1483" s="52" t="n">
        <v>0</v>
      </c>
      <c r="BA1483" s="52" t="n">
        <v>0</v>
      </c>
      <c r="BB1483" s="53" t="n">
        <v>0</v>
      </c>
      <c r="BC1483" s="52" t="n">
        <v>0</v>
      </c>
      <c r="BD1483" s="53" t="n">
        <v>0</v>
      </c>
      <c r="BE1483" s="52" t="n">
        <v>0</v>
      </c>
      <c r="BF1483" s="51" t="n">
        <v>0</v>
      </c>
    </row>
    <row r="1484">
      <c r="A1484">
        <f>HYPERLINK("https://www.walmart.com/ip/15343066717", "15343066717")</f>
        <v/>
      </c>
      <c r="B1484" t="inlineStr">
        <is>
          <t>Catalonia Swim Parka Kids with Hood, Lightweight Youth Surf Swim Jacket, Waterproof &amp; Warm Sherpa Lined Swim Coat for Boys Girls, Changing Poncho Robe for Pool Beach Stadium, Blue, 5-9 Years</t>
        </is>
      </c>
      <c r="C1484" t="inlineStr">
        <is>
          <t>1CTPKR202BL-0</t>
        </is>
      </c>
      <c r="D1484" t="inlineStr">
        <is>
          <t>Swim Parkas</t>
        </is>
      </c>
      <c r="E1484" t="inlineStr">
        <is>
          <t>Catalonia</t>
        </is>
      </c>
      <c r="G1484" s="48" t="n">
        <v>0</v>
      </c>
      <c r="H1484" s="49" t="n">
        <v>0</v>
      </c>
      <c r="I1484" s="49" t="n">
        <v>0</v>
      </c>
      <c r="J1484" s="50" t="n">
        <v>0</v>
      </c>
      <c r="K1484" s="51" t="n">
        <v>0</v>
      </c>
      <c r="L1484" s="52" t="n">
        <v>0</v>
      </c>
      <c r="M1484" s="52" t="n">
        <v>0</v>
      </c>
      <c r="N1484" s="52" t="n">
        <v>0</v>
      </c>
      <c r="O1484" s="53" t="n">
        <v>0</v>
      </c>
      <c r="P1484" s="52" t="n">
        <v>0</v>
      </c>
      <c r="Q1484" s="53" t="n">
        <v>0</v>
      </c>
      <c r="R1484" s="52" t="n">
        <v>0</v>
      </c>
      <c r="S1484" s="51" t="n">
        <v>0</v>
      </c>
      <c r="T1484" s="48" t="n">
        <v>0</v>
      </c>
      <c r="U1484" s="49" t="n">
        <v>0</v>
      </c>
      <c r="V1484" s="49" t="n">
        <v>0</v>
      </c>
      <c r="W1484" s="50" t="n">
        <v>0</v>
      </c>
      <c r="X1484" s="51" t="n">
        <v>0</v>
      </c>
      <c r="Y1484" s="52" t="n">
        <v>0</v>
      </c>
      <c r="Z1484" s="52" t="n">
        <v>0</v>
      </c>
      <c r="AA1484" s="52" t="n">
        <v>0</v>
      </c>
      <c r="AB1484" s="53" t="n">
        <v>0</v>
      </c>
      <c r="AC1484" s="52" t="n">
        <v>0</v>
      </c>
      <c r="AD1484" s="53" t="n">
        <v>0</v>
      </c>
      <c r="AE1484" s="52" t="n">
        <v>0</v>
      </c>
      <c r="AF1484" s="51" t="n">
        <v>0</v>
      </c>
      <c r="AG1484" s="48" t="n">
        <v>0</v>
      </c>
      <c r="AH1484" s="49" t="n">
        <v>0</v>
      </c>
      <c r="AI1484" s="49" t="n">
        <v>0</v>
      </c>
      <c r="AJ1484" s="50" t="n">
        <v>0</v>
      </c>
      <c r="AK1484" s="51" t="n">
        <v>0</v>
      </c>
      <c r="AL1484" s="52" t="n">
        <v>0</v>
      </c>
      <c r="AM1484" s="52" t="n">
        <v>0</v>
      </c>
      <c r="AN1484" s="52" t="n">
        <v>0</v>
      </c>
      <c r="AO1484" s="53" t="n">
        <v>0</v>
      </c>
      <c r="AP1484" s="52" t="n">
        <v>0</v>
      </c>
      <c r="AQ1484" s="53" t="n">
        <v>0</v>
      </c>
      <c r="AR1484" s="52" t="n">
        <v>0</v>
      </c>
      <c r="AS1484" s="51" t="n">
        <v>0</v>
      </c>
      <c r="AT1484" s="48" t="n">
        <v>0</v>
      </c>
      <c r="AU1484" s="49" t="n">
        <v>0</v>
      </c>
      <c r="AV1484" s="49" t="n">
        <v>0</v>
      </c>
      <c r="AW1484" s="50" t="n">
        <v>0</v>
      </c>
      <c r="AX1484" s="51" t="n">
        <v>0</v>
      </c>
      <c r="AY1484" s="52" t="n">
        <v>0</v>
      </c>
      <c r="AZ1484" s="52" t="n">
        <v>0</v>
      </c>
      <c r="BA1484" s="52" t="n">
        <v>0</v>
      </c>
      <c r="BB1484" s="53" t="n">
        <v>0</v>
      </c>
      <c r="BC1484" s="52" t="n">
        <v>0</v>
      </c>
      <c r="BD1484" s="53" t="n">
        <v>0</v>
      </c>
      <c r="BE1484" s="52" t="n">
        <v>0</v>
      </c>
      <c r="BF1484" s="51" t="n">
        <v>0</v>
      </c>
    </row>
    <row r="1485">
      <c r="A1485">
        <f>HYPERLINK("https://www.walmart.com/ip/153531952", "153531952")</f>
        <v/>
      </c>
      <c r="B1485" t="inlineStr">
        <is>
          <t>Tirrinia Womens Floppy Beach Summer Hat Reversible Sunhat Packable Wide Brim Flower Pattern Blue</t>
        </is>
      </c>
      <c r="C1485" t="inlineStr">
        <is>
          <t>1TRSH069BL-TBCB</t>
        </is>
      </c>
      <c r="D1485" t="inlineStr">
        <is>
          <t>Hats</t>
        </is>
      </c>
      <c r="E1485" t="inlineStr">
        <is>
          <t>Tirrinia</t>
        </is>
      </c>
      <c r="G1485" s="48" t="n">
        <v>0</v>
      </c>
      <c r="H1485" s="49" t="n">
        <v>0</v>
      </c>
      <c r="I1485" s="49" t="n">
        <v>0</v>
      </c>
      <c r="J1485" s="50" t="n">
        <v>0</v>
      </c>
      <c r="K1485" s="51" t="n">
        <v>0</v>
      </c>
      <c r="L1485" s="52" t="n">
        <v>0</v>
      </c>
      <c r="M1485" s="52" t="n">
        <v>0</v>
      </c>
      <c r="N1485" s="52" t="n">
        <v>0</v>
      </c>
      <c r="O1485" s="53" t="n">
        <v>0</v>
      </c>
      <c r="P1485" s="52" t="n">
        <v>0</v>
      </c>
      <c r="Q1485" s="53" t="n">
        <v>0</v>
      </c>
      <c r="R1485" s="52" t="n">
        <v>0</v>
      </c>
      <c r="S1485" s="51" t="n">
        <v>0</v>
      </c>
      <c r="T1485" s="48" t="n">
        <v>0</v>
      </c>
      <c r="U1485" s="49" t="n">
        <v>0</v>
      </c>
      <c r="V1485" s="49" t="n">
        <v>0</v>
      </c>
      <c r="W1485" s="50" t="n">
        <v>0</v>
      </c>
      <c r="X1485" s="51" t="n">
        <v>0</v>
      </c>
      <c r="Y1485" s="52" t="n">
        <v>0</v>
      </c>
      <c r="Z1485" s="52" t="n">
        <v>0</v>
      </c>
      <c r="AA1485" s="52" t="n">
        <v>0</v>
      </c>
      <c r="AB1485" s="53" t="n">
        <v>0</v>
      </c>
      <c r="AC1485" s="52" t="n">
        <v>0</v>
      </c>
      <c r="AD1485" s="53" t="n">
        <v>0</v>
      </c>
      <c r="AE1485" s="52" t="n">
        <v>0</v>
      </c>
      <c r="AF1485" s="51" t="n">
        <v>0</v>
      </c>
      <c r="AG1485" s="48" t="n">
        <v>0</v>
      </c>
      <c r="AH1485" s="49" t="n">
        <v>0</v>
      </c>
      <c r="AI1485" s="49" t="n">
        <v>0</v>
      </c>
      <c r="AJ1485" s="50" t="n">
        <v>0</v>
      </c>
      <c r="AK1485" s="51" t="n">
        <v>0</v>
      </c>
      <c r="AL1485" s="52" t="n">
        <v>0</v>
      </c>
      <c r="AM1485" s="52" t="n">
        <v>0</v>
      </c>
      <c r="AN1485" s="52" t="n">
        <v>0</v>
      </c>
      <c r="AO1485" s="53" t="n">
        <v>0</v>
      </c>
      <c r="AP1485" s="52" t="n">
        <v>0</v>
      </c>
      <c r="AQ1485" s="53" t="n">
        <v>0</v>
      </c>
      <c r="AR1485" s="52" t="n">
        <v>0</v>
      </c>
      <c r="AS1485" s="51" t="n">
        <v>0</v>
      </c>
      <c r="AT1485" s="48" t="n">
        <v>0</v>
      </c>
      <c r="AU1485" s="49" t="n">
        <v>0</v>
      </c>
      <c r="AV1485" s="49" t="n">
        <v>0</v>
      </c>
      <c r="AW1485" s="50" t="n">
        <v>0</v>
      </c>
      <c r="AX1485" s="51" t="n">
        <v>0</v>
      </c>
      <c r="AY1485" s="52" t="n">
        <v>0</v>
      </c>
      <c r="AZ1485" s="52" t="n">
        <v>0</v>
      </c>
      <c r="BA1485" s="52" t="n">
        <v>0</v>
      </c>
      <c r="BB1485" s="53" t="n">
        <v>0</v>
      </c>
      <c r="BC1485" s="52" t="n">
        <v>0</v>
      </c>
      <c r="BD1485" s="53" t="n">
        <v>0</v>
      </c>
      <c r="BE1485" s="52" t="n">
        <v>0</v>
      </c>
      <c r="BF1485" s="51" t="n">
        <v>0</v>
      </c>
    </row>
    <row r="1486">
      <c r="A1486">
        <f>HYPERLINK("https://www.walmart.com/ip/15359673525", "15359673525")</f>
        <v/>
      </c>
      <c r="B1486" t="inlineStr">
        <is>
          <t>Tirrinia Large Pop-Up Cooler Bag- Insulated Collapsible Cooler with Flat Drink Table, Lightweight and Portable Ice Round Cooler for Travel, Fishing, Picnics, Hiking, Camping and Beach</t>
        </is>
      </c>
      <c r="C1486" t="inlineStr">
        <is>
          <t>1TRCB20139RD</t>
        </is>
      </c>
      <c r="D1486" t="inlineStr">
        <is>
          <t>Soft-Sided Coolers</t>
        </is>
      </c>
      <c r="E1486" t="inlineStr">
        <is>
          <t>Tirrinia</t>
        </is>
      </c>
      <c r="G1486" s="48" t="n">
        <v>0</v>
      </c>
      <c r="H1486" s="49" t="n">
        <v>0</v>
      </c>
      <c r="I1486" s="49" t="n">
        <v>0</v>
      </c>
      <c r="J1486" s="50" t="n">
        <v>0</v>
      </c>
      <c r="K1486" s="51" t="n">
        <v>0</v>
      </c>
      <c r="L1486" s="52" t="n">
        <v>0</v>
      </c>
      <c r="M1486" s="52" t="n">
        <v>0</v>
      </c>
      <c r="N1486" s="52" t="n">
        <v>0</v>
      </c>
      <c r="O1486" s="53" t="n">
        <v>0</v>
      </c>
      <c r="P1486" s="52" t="n">
        <v>0</v>
      </c>
      <c r="Q1486" s="53" t="n">
        <v>0</v>
      </c>
      <c r="R1486" s="52" t="n">
        <v>0</v>
      </c>
      <c r="S1486" s="51" t="n">
        <v>0</v>
      </c>
      <c r="T1486" s="48" t="n">
        <v>0</v>
      </c>
      <c r="U1486" s="49" t="n">
        <v>0</v>
      </c>
      <c r="V1486" s="49" t="n">
        <v>0</v>
      </c>
      <c r="W1486" s="50" t="n">
        <v>0</v>
      </c>
      <c r="X1486" s="51" t="n">
        <v>0</v>
      </c>
      <c r="Y1486" s="52" t="n">
        <v>0</v>
      </c>
      <c r="Z1486" s="52" t="n">
        <v>0</v>
      </c>
      <c r="AA1486" s="52" t="n">
        <v>0</v>
      </c>
      <c r="AB1486" s="53" t="n">
        <v>0</v>
      </c>
      <c r="AC1486" s="52" t="n">
        <v>0</v>
      </c>
      <c r="AD1486" s="53" t="n">
        <v>0</v>
      </c>
      <c r="AE1486" s="52" t="n">
        <v>0</v>
      </c>
      <c r="AF1486" s="51" t="n">
        <v>0</v>
      </c>
      <c r="AG1486" s="48" t="n">
        <v>0</v>
      </c>
      <c r="AH1486" s="49" t="n">
        <v>0</v>
      </c>
      <c r="AI1486" s="49" t="n">
        <v>0</v>
      </c>
      <c r="AJ1486" s="50" t="n">
        <v>0</v>
      </c>
      <c r="AK1486" s="51" t="n">
        <v>0</v>
      </c>
      <c r="AL1486" s="52" t="n">
        <v>0</v>
      </c>
      <c r="AM1486" s="52" t="n">
        <v>0</v>
      </c>
      <c r="AN1486" s="52" t="n">
        <v>0</v>
      </c>
      <c r="AO1486" s="53" t="n">
        <v>0</v>
      </c>
      <c r="AP1486" s="52" t="n">
        <v>0</v>
      </c>
      <c r="AQ1486" s="53" t="n">
        <v>0</v>
      </c>
      <c r="AR1486" s="52" t="n">
        <v>0</v>
      </c>
      <c r="AS1486" s="51" t="n">
        <v>0</v>
      </c>
      <c r="AT1486" s="48" t="n">
        <v>0</v>
      </c>
      <c r="AU1486" s="49" t="n">
        <v>0</v>
      </c>
      <c r="AV1486" s="49" t="n">
        <v>0</v>
      </c>
      <c r="AW1486" s="50" t="n">
        <v>0</v>
      </c>
      <c r="AX1486" s="51" t="n">
        <v>0</v>
      </c>
      <c r="AY1486" s="52" t="n">
        <v>0</v>
      </c>
      <c r="AZ1486" s="52" t="n">
        <v>0</v>
      </c>
      <c r="BA1486" s="52" t="n">
        <v>0</v>
      </c>
      <c r="BB1486" s="53" t="n">
        <v>0</v>
      </c>
      <c r="BC1486" s="52" t="n">
        <v>0</v>
      </c>
      <c r="BD1486" s="53" t="n">
        <v>0</v>
      </c>
      <c r="BE1486" s="52" t="n">
        <v>0</v>
      </c>
      <c r="BF1486" s="51" t="n">
        <v>0</v>
      </c>
    </row>
    <row r="1487">
      <c r="A1487">
        <f>HYPERLINK("https://www.walmart.com/ip/153765024", "153765024")</f>
        <v/>
      </c>
      <c r="B1487" t="inlineStr">
        <is>
          <t>JenniWears Women Beileise Sexy Garter Belt Suspender - 3 Packs</t>
        </is>
      </c>
      <c r="C1487" t="inlineStr">
        <is>
          <t>JWBLSPH5002-3pcs</t>
        </is>
      </c>
      <c r="D1487" t="inlineStr">
        <is>
          <t>Garter Belts</t>
        </is>
      </c>
      <c r="E1487" t="inlineStr">
        <is>
          <t>JenniWears</t>
        </is>
      </c>
      <c r="F1487" t="inlineStr">
        <is>
          <t>Optimized,Valentine</t>
        </is>
      </c>
      <c r="G1487" s="48" t="n">
        <v>0</v>
      </c>
      <c r="H1487" s="49" t="n">
        <v>0</v>
      </c>
      <c r="I1487" s="49" t="n">
        <v>0</v>
      </c>
      <c r="J1487" s="50" t="n">
        <v>0</v>
      </c>
      <c r="K1487" s="51" t="n">
        <v>0</v>
      </c>
      <c r="L1487" s="52" t="n">
        <v>0</v>
      </c>
      <c r="M1487" s="52" t="n">
        <v>0</v>
      </c>
      <c r="N1487" s="52" t="n">
        <v>0</v>
      </c>
      <c r="O1487" s="53" t="n">
        <v>0</v>
      </c>
      <c r="P1487" s="52" t="n">
        <v>0</v>
      </c>
      <c r="Q1487" s="53" t="n">
        <v>0</v>
      </c>
      <c r="R1487" s="52" t="n">
        <v>0</v>
      </c>
      <c r="S1487" s="51" t="n">
        <v>0</v>
      </c>
      <c r="T1487" s="48" t="n">
        <v>0</v>
      </c>
      <c r="U1487" s="49" t="n">
        <v>0</v>
      </c>
      <c r="V1487" s="49" t="n">
        <v>0</v>
      </c>
      <c r="W1487" s="50" t="n">
        <v>0</v>
      </c>
      <c r="X1487" s="51" t="n">
        <v>0</v>
      </c>
      <c r="Y1487" s="52" t="n">
        <v>0</v>
      </c>
      <c r="Z1487" s="52" t="n">
        <v>0</v>
      </c>
      <c r="AA1487" s="52" t="n">
        <v>0</v>
      </c>
      <c r="AB1487" s="53" t="n">
        <v>0</v>
      </c>
      <c r="AC1487" s="52" t="n">
        <v>0</v>
      </c>
      <c r="AD1487" s="53" t="n">
        <v>0</v>
      </c>
      <c r="AE1487" s="52" t="n">
        <v>0</v>
      </c>
      <c r="AF1487" s="51" t="n">
        <v>0</v>
      </c>
      <c r="AG1487" s="48" t="n">
        <v>0</v>
      </c>
      <c r="AH1487" s="49" t="n">
        <v>0</v>
      </c>
      <c r="AI1487" s="49" t="n">
        <v>0</v>
      </c>
      <c r="AJ1487" s="50" t="n">
        <v>0</v>
      </c>
      <c r="AK1487" s="51" t="n">
        <v>0</v>
      </c>
      <c r="AL1487" s="52" t="n">
        <v>0</v>
      </c>
      <c r="AM1487" s="52" t="n">
        <v>0</v>
      </c>
      <c r="AN1487" s="52" t="n">
        <v>0</v>
      </c>
      <c r="AO1487" s="53" t="n">
        <v>0</v>
      </c>
      <c r="AP1487" s="52" t="n">
        <v>0</v>
      </c>
      <c r="AQ1487" s="53" t="n">
        <v>0</v>
      </c>
      <c r="AR1487" s="52" t="n">
        <v>0</v>
      </c>
      <c r="AS1487" s="51" t="n">
        <v>0</v>
      </c>
      <c r="AT1487" s="48" t="n">
        <v>0</v>
      </c>
      <c r="AU1487" s="49" t="n">
        <v>0</v>
      </c>
      <c r="AV1487" s="49" t="n">
        <v>0</v>
      </c>
      <c r="AW1487" s="50" t="n">
        <v>0</v>
      </c>
      <c r="AX1487" s="51" t="n">
        <v>0</v>
      </c>
      <c r="AY1487" s="52" t="n">
        <v>0</v>
      </c>
      <c r="AZ1487" s="52" t="n">
        <v>0</v>
      </c>
      <c r="BA1487" s="52" t="n">
        <v>0</v>
      </c>
      <c r="BB1487" s="53" t="n">
        <v>0</v>
      </c>
      <c r="BC1487" s="52" t="n">
        <v>0</v>
      </c>
      <c r="BD1487" s="53" t="n">
        <v>0</v>
      </c>
      <c r="BE1487" s="52" t="n">
        <v>0</v>
      </c>
      <c r="BF1487" s="51" t="n">
        <v>0</v>
      </c>
    </row>
    <row r="1488">
      <c r="A1488">
        <f>HYPERLINK("https://www.walmart.com/ip/15386769738", "15386769738")</f>
        <v/>
      </c>
      <c r="B1488" t="inlineStr">
        <is>
          <t>Catalonia Kids Waterproof Swim Parka with Hood, Windproof Fleece Swim Jacket, Warm Winter Swim Coat for Boys Girls Youth, Perfect for Swim Lessons, Beach, Pool</t>
        </is>
      </c>
      <c r="C1488" t="inlineStr">
        <is>
          <t>1CTPKR200BK-0</t>
        </is>
      </c>
      <c r="D1488" t="inlineStr">
        <is>
          <t>Swim Parkas</t>
        </is>
      </c>
      <c r="E1488" t="inlineStr">
        <is>
          <t>Catalonia</t>
        </is>
      </c>
      <c r="G1488" s="48" t="n">
        <v>0</v>
      </c>
      <c r="H1488" s="49" t="n">
        <v>0</v>
      </c>
      <c r="I1488" s="49" t="n">
        <v>0</v>
      </c>
      <c r="J1488" s="50" t="n">
        <v>0</v>
      </c>
      <c r="K1488" s="51" t="n">
        <v>0</v>
      </c>
      <c r="L1488" s="52" t="n">
        <v>0</v>
      </c>
      <c r="M1488" s="52" t="n">
        <v>0</v>
      </c>
      <c r="N1488" s="52" t="n">
        <v>0</v>
      </c>
      <c r="O1488" s="53" t="n">
        <v>0</v>
      </c>
      <c r="P1488" s="52" t="n">
        <v>0</v>
      </c>
      <c r="Q1488" s="53" t="n">
        <v>0</v>
      </c>
      <c r="R1488" s="52" t="n">
        <v>0</v>
      </c>
      <c r="S1488" s="51" t="n">
        <v>0</v>
      </c>
      <c r="T1488" s="48" t="n">
        <v>0</v>
      </c>
      <c r="U1488" s="49" t="n">
        <v>0</v>
      </c>
      <c r="V1488" s="49" t="n">
        <v>0</v>
      </c>
      <c r="W1488" s="50" t="n">
        <v>0</v>
      </c>
      <c r="X1488" s="51" t="n">
        <v>0</v>
      </c>
      <c r="Y1488" s="52" t="n">
        <v>0</v>
      </c>
      <c r="Z1488" s="52" t="n">
        <v>0</v>
      </c>
      <c r="AA1488" s="52" t="n">
        <v>0</v>
      </c>
      <c r="AB1488" s="53" t="n">
        <v>0</v>
      </c>
      <c r="AC1488" s="52" t="n">
        <v>0</v>
      </c>
      <c r="AD1488" s="53" t="n">
        <v>0</v>
      </c>
      <c r="AE1488" s="52" t="n">
        <v>0</v>
      </c>
      <c r="AF1488" s="51" t="n">
        <v>0</v>
      </c>
      <c r="AG1488" s="48" t="n">
        <v>0</v>
      </c>
      <c r="AH1488" s="49" t="n">
        <v>0</v>
      </c>
      <c r="AI1488" s="49" t="n">
        <v>0</v>
      </c>
      <c r="AJ1488" s="50" t="n">
        <v>0</v>
      </c>
      <c r="AK1488" s="51" t="n">
        <v>0</v>
      </c>
      <c r="AL1488" s="52" t="n">
        <v>0</v>
      </c>
      <c r="AM1488" s="52" t="n">
        <v>0</v>
      </c>
      <c r="AN1488" s="52" t="n">
        <v>0</v>
      </c>
      <c r="AO1488" s="53" t="n">
        <v>0</v>
      </c>
      <c r="AP1488" s="52" t="n">
        <v>0</v>
      </c>
      <c r="AQ1488" s="53" t="n">
        <v>0</v>
      </c>
      <c r="AR1488" s="52" t="n">
        <v>0</v>
      </c>
      <c r="AS1488" s="51" t="n">
        <v>0</v>
      </c>
      <c r="AT1488" s="48" t="n">
        <v>0</v>
      </c>
      <c r="AU1488" s="49" t="n">
        <v>0</v>
      </c>
      <c r="AV1488" s="49" t="n">
        <v>0</v>
      </c>
      <c r="AW1488" s="50" t="n">
        <v>0</v>
      </c>
      <c r="AX1488" s="51" t="n">
        <v>0</v>
      </c>
      <c r="AY1488" s="52" t="n">
        <v>0</v>
      </c>
      <c r="AZ1488" s="52" t="n">
        <v>0</v>
      </c>
      <c r="BA1488" s="52" t="n">
        <v>0</v>
      </c>
      <c r="BB1488" s="53" t="n">
        <v>0</v>
      </c>
      <c r="BC1488" s="52" t="n">
        <v>0</v>
      </c>
      <c r="BD1488" s="53" t="n">
        <v>0</v>
      </c>
      <c r="BE1488" s="52" t="n">
        <v>0</v>
      </c>
      <c r="BF1488" s="51" t="n">
        <v>0</v>
      </c>
    </row>
    <row r="1489">
      <c r="A1489">
        <f>HYPERLINK("https://www.walmart.com/ip/15386869189", "15386869189")</f>
        <v/>
      </c>
      <c r="B1489" t="inlineStr">
        <is>
          <t>Tirrinia Large Pop-Up Cooler Bag- Insulated Collapsible Cooler with Flat Drink Table, Lightweight and Portable Ice Round Cooler for Travel, Fishing, Picnics, Hiking, Camping and Beach</t>
        </is>
      </c>
      <c r="C1489" t="inlineStr">
        <is>
          <t>1TRCB20139BK</t>
        </is>
      </c>
      <c r="D1489" t="inlineStr">
        <is>
          <t>Soft-Sided Coolers</t>
        </is>
      </c>
      <c r="E1489" t="inlineStr">
        <is>
          <t>Tirrinia</t>
        </is>
      </c>
      <c r="G1489" s="48" t="n">
        <v>0</v>
      </c>
      <c r="H1489" s="49" t="n">
        <v>0</v>
      </c>
      <c r="I1489" s="49" t="n">
        <v>0</v>
      </c>
      <c r="J1489" s="50" t="n">
        <v>0</v>
      </c>
      <c r="K1489" s="51" t="n">
        <v>0</v>
      </c>
      <c r="L1489" s="52" t="n">
        <v>0</v>
      </c>
      <c r="M1489" s="52" t="n">
        <v>0</v>
      </c>
      <c r="N1489" s="52" t="n">
        <v>0</v>
      </c>
      <c r="O1489" s="53" t="n">
        <v>0</v>
      </c>
      <c r="P1489" s="52" t="n">
        <v>0</v>
      </c>
      <c r="Q1489" s="53" t="n">
        <v>0</v>
      </c>
      <c r="R1489" s="52" t="n">
        <v>0</v>
      </c>
      <c r="S1489" s="51" t="n">
        <v>0</v>
      </c>
      <c r="T1489" s="48" t="n">
        <v>0</v>
      </c>
      <c r="U1489" s="49" t="n">
        <v>0</v>
      </c>
      <c r="V1489" s="49" t="n">
        <v>0</v>
      </c>
      <c r="W1489" s="50" t="n">
        <v>0</v>
      </c>
      <c r="X1489" s="51" t="n">
        <v>0</v>
      </c>
      <c r="Y1489" s="52" t="n">
        <v>0</v>
      </c>
      <c r="Z1489" s="52" t="n">
        <v>0</v>
      </c>
      <c r="AA1489" s="52" t="n">
        <v>0</v>
      </c>
      <c r="AB1489" s="53" t="n">
        <v>0</v>
      </c>
      <c r="AC1489" s="52" t="n">
        <v>0</v>
      </c>
      <c r="AD1489" s="53" t="n">
        <v>0</v>
      </c>
      <c r="AE1489" s="52" t="n">
        <v>0</v>
      </c>
      <c r="AF1489" s="51" t="n">
        <v>0</v>
      </c>
      <c r="AG1489" s="48" t="n">
        <v>0</v>
      </c>
      <c r="AH1489" s="49" t="n">
        <v>0</v>
      </c>
      <c r="AI1489" s="49" t="n">
        <v>0</v>
      </c>
      <c r="AJ1489" s="50" t="n">
        <v>0</v>
      </c>
      <c r="AK1489" s="51" t="n">
        <v>0</v>
      </c>
      <c r="AL1489" s="52" t="n">
        <v>0</v>
      </c>
      <c r="AM1489" s="52" t="n">
        <v>0</v>
      </c>
      <c r="AN1489" s="52" t="n">
        <v>0</v>
      </c>
      <c r="AO1489" s="53" t="n">
        <v>0</v>
      </c>
      <c r="AP1489" s="52" t="n">
        <v>0</v>
      </c>
      <c r="AQ1489" s="53" t="n">
        <v>0</v>
      </c>
      <c r="AR1489" s="52" t="n">
        <v>0</v>
      </c>
      <c r="AS1489" s="51" t="n">
        <v>0</v>
      </c>
      <c r="AT1489" s="48" t="n">
        <v>0</v>
      </c>
      <c r="AU1489" s="49" t="n">
        <v>0</v>
      </c>
      <c r="AV1489" s="49" t="n">
        <v>0</v>
      </c>
      <c r="AW1489" s="50" t="n">
        <v>0</v>
      </c>
      <c r="AX1489" s="51" t="n">
        <v>0</v>
      </c>
      <c r="AY1489" s="52" t="n">
        <v>0</v>
      </c>
      <c r="AZ1489" s="52" t="n">
        <v>0</v>
      </c>
      <c r="BA1489" s="52" t="n">
        <v>0</v>
      </c>
      <c r="BB1489" s="53" t="n">
        <v>0</v>
      </c>
      <c r="BC1489" s="52" t="n">
        <v>0</v>
      </c>
      <c r="BD1489" s="53" t="n">
        <v>0</v>
      </c>
      <c r="BE1489" s="52" t="n">
        <v>0</v>
      </c>
      <c r="BF1489" s="51" t="n">
        <v>0</v>
      </c>
    </row>
    <row r="1490">
      <c r="A1490">
        <f>HYPERLINK("https://www.walmart.com/ip/153934717", "153934717")</f>
        <v/>
      </c>
      <c r="B1490" t="inlineStr">
        <is>
          <t>JenniWears Women Beileise Sexy Garter Belt Suspender</t>
        </is>
      </c>
      <c r="C1490" t="inlineStr">
        <is>
          <t>JWBLSPH2073</t>
        </is>
      </c>
      <c r="D1490" t="inlineStr">
        <is>
          <t>Garters</t>
        </is>
      </c>
      <c r="E1490" t="inlineStr">
        <is>
          <t>JenniWears</t>
        </is>
      </c>
      <c r="F1490" t="inlineStr">
        <is>
          <t>WFS,Valentine,WFS Item</t>
        </is>
      </c>
      <c r="G1490" s="48" t="n">
        <v>0</v>
      </c>
      <c r="H1490" s="49" t="n">
        <v>0</v>
      </c>
      <c r="I1490" s="49" t="n">
        <v>0</v>
      </c>
      <c r="J1490" s="50" t="n">
        <v>0</v>
      </c>
      <c r="K1490" s="51" t="n">
        <v>0</v>
      </c>
      <c r="L1490" s="52" t="n">
        <v>0</v>
      </c>
      <c r="M1490" s="52" t="n">
        <v>0</v>
      </c>
      <c r="N1490" s="52" t="n">
        <v>0</v>
      </c>
      <c r="O1490" s="53" t="n">
        <v>0</v>
      </c>
      <c r="P1490" s="52" t="n">
        <v>0</v>
      </c>
      <c r="Q1490" s="53" t="n">
        <v>0</v>
      </c>
      <c r="R1490" s="52" t="n">
        <v>0</v>
      </c>
      <c r="S1490" s="51" t="n">
        <v>0</v>
      </c>
      <c r="T1490" s="48" t="n">
        <v>0</v>
      </c>
      <c r="U1490" s="49" t="n">
        <v>0</v>
      </c>
      <c r="V1490" s="49" t="n">
        <v>0</v>
      </c>
      <c r="W1490" s="50" t="n">
        <v>0</v>
      </c>
      <c r="X1490" s="51" t="n">
        <v>0</v>
      </c>
      <c r="Y1490" s="52" t="n">
        <v>0</v>
      </c>
      <c r="Z1490" s="52" t="n">
        <v>0</v>
      </c>
      <c r="AA1490" s="52" t="n">
        <v>0</v>
      </c>
      <c r="AB1490" s="53" t="n">
        <v>0</v>
      </c>
      <c r="AC1490" s="52" t="n">
        <v>0</v>
      </c>
      <c r="AD1490" s="53" t="n">
        <v>0</v>
      </c>
      <c r="AE1490" s="52" t="n">
        <v>0</v>
      </c>
      <c r="AF1490" s="51" t="n">
        <v>0</v>
      </c>
      <c r="AG1490" s="48" t="n">
        <v>0</v>
      </c>
      <c r="AH1490" s="49" t="n">
        <v>0</v>
      </c>
      <c r="AI1490" s="49" t="n">
        <v>0</v>
      </c>
      <c r="AJ1490" s="50" t="n">
        <v>0</v>
      </c>
      <c r="AK1490" s="51" t="n">
        <v>0</v>
      </c>
      <c r="AL1490" s="52" t="n">
        <v>0</v>
      </c>
      <c r="AM1490" s="52" t="n">
        <v>0</v>
      </c>
      <c r="AN1490" s="52" t="n">
        <v>0</v>
      </c>
      <c r="AO1490" s="53" t="n">
        <v>0</v>
      </c>
      <c r="AP1490" s="52" t="n">
        <v>0</v>
      </c>
      <c r="AQ1490" s="53" t="n">
        <v>0</v>
      </c>
      <c r="AR1490" s="52" t="n">
        <v>0</v>
      </c>
      <c r="AS1490" s="51" t="n">
        <v>0</v>
      </c>
      <c r="AT1490" s="48" t="n">
        <v>0</v>
      </c>
      <c r="AU1490" s="49" t="n">
        <v>0</v>
      </c>
      <c r="AV1490" s="49" t="n">
        <v>0</v>
      </c>
      <c r="AW1490" s="50" t="n">
        <v>0</v>
      </c>
      <c r="AX1490" s="51" t="n">
        <v>0</v>
      </c>
      <c r="AY1490" s="52" t="n">
        <v>0</v>
      </c>
      <c r="AZ1490" s="52" t="n">
        <v>0</v>
      </c>
      <c r="BA1490" s="52" t="n">
        <v>0</v>
      </c>
      <c r="BB1490" s="53" t="n">
        <v>0</v>
      </c>
      <c r="BC1490" s="52" t="n">
        <v>0</v>
      </c>
      <c r="BD1490" s="53" t="n">
        <v>0</v>
      </c>
      <c r="BE1490" s="52" t="n">
        <v>0</v>
      </c>
      <c r="BF1490" s="51" t="n">
        <v>0</v>
      </c>
    </row>
    <row r="1491">
      <c r="A1491">
        <f>HYPERLINK("https://www.walmart.com/ip/15401122451", "15401122451")</f>
        <v/>
      </c>
      <c r="B1491" t="inlineStr">
        <is>
          <t>Tirrinia 2 In 1 Outdoors UPF 50+ UV Protection Sun Hat for Women, One Size Female Sports Baseball Cap Gardening Fishing Hat with Neck Flap</t>
        </is>
      </c>
      <c r="C1491" t="inlineStr">
        <is>
          <t>1TRSH9153GN</t>
        </is>
      </c>
      <c r="D1491" t="inlineStr">
        <is>
          <t>Hats</t>
        </is>
      </c>
      <c r="E1491" t="inlineStr">
        <is>
          <t>Tirrinia</t>
        </is>
      </c>
      <c r="G1491" s="48" t="n">
        <v>0</v>
      </c>
      <c r="H1491" s="49" t="n">
        <v>0</v>
      </c>
      <c r="I1491" s="49" t="n">
        <v>0</v>
      </c>
      <c r="J1491" s="50" t="n">
        <v>0</v>
      </c>
      <c r="K1491" s="51" t="n">
        <v>0</v>
      </c>
      <c r="L1491" s="52" t="n">
        <v>0</v>
      </c>
      <c r="M1491" s="52" t="n">
        <v>0</v>
      </c>
      <c r="N1491" s="52" t="n">
        <v>0</v>
      </c>
      <c r="O1491" s="53" t="n">
        <v>0</v>
      </c>
      <c r="P1491" s="52" t="n">
        <v>0</v>
      </c>
      <c r="Q1491" s="53" t="n">
        <v>0</v>
      </c>
      <c r="R1491" s="52" t="n">
        <v>0</v>
      </c>
      <c r="S1491" s="51" t="n">
        <v>0</v>
      </c>
      <c r="T1491" s="48" t="n">
        <v>0</v>
      </c>
      <c r="U1491" s="49" t="n">
        <v>0</v>
      </c>
      <c r="V1491" s="49" t="n">
        <v>0</v>
      </c>
      <c r="W1491" s="50" t="n">
        <v>0</v>
      </c>
      <c r="X1491" s="51" t="n">
        <v>0</v>
      </c>
      <c r="Y1491" s="52" t="n">
        <v>0</v>
      </c>
      <c r="Z1491" s="52" t="n">
        <v>0</v>
      </c>
      <c r="AA1491" s="52" t="n">
        <v>0</v>
      </c>
      <c r="AB1491" s="53" t="n">
        <v>0</v>
      </c>
      <c r="AC1491" s="52" t="n">
        <v>0</v>
      </c>
      <c r="AD1491" s="53" t="n">
        <v>0</v>
      </c>
      <c r="AE1491" s="52" t="n">
        <v>0</v>
      </c>
      <c r="AF1491" s="51" t="n">
        <v>0</v>
      </c>
      <c r="AG1491" s="48" t="n">
        <v>0</v>
      </c>
      <c r="AH1491" s="49" t="n">
        <v>0</v>
      </c>
      <c r="AI1491" s="49" t="n">
        <v>0</v>
      </c>
      <c r="AJ1491" s="50" t="n">
        <v>0</v>
      </c>
      <c r="AK1491" s="51" t="n">
        <v>0</v>
      </c>
      <c r="AL1491" s="52" t="n">
        <v>0</v>
      </c>
      <c r="AM1491" s="52" t="n">
        <v>0</v>
      </c>
      <c r="AN1491" s="52" t="n">
        <v>0</v>
      </c>
      <c r="AO1491" s="53" t="n">
        <v>0</v>
      </c>
      <c r="AP1491" s="52" t="n">
        <v>0</v>
      </c>
      <c r="AQ1491" s="53" t="n">
        <v>0</v>
      </c>
      <c r="AR1491" s="52" t="n">
        <v>0</v>
      </c>
      <c r="AS1491" s="51" t="n">
        <v>0</v>
      </c>
      <c r="AT1491" s="48" t="n">
        <v>0</v>
      </c>
      <c r="AU1491" s="49" t="n">
        <v>0</v>
      </c>
      <c r="AV1491" s="49" t="n">
        <v>0</v>
      </c>
      <c r="AW1491" s="50" t="n">
        <v>0</v>
      </c>
      <c r="AX1491" s="51" t="n">
        <v>0</v>
      </c>
      <c r="AY1491" s="52" t="n">
        <v>0</v>
      </c>
      <c r="AZ1491" s="52" t="n">
        <v>0</v>
      </c>
      <c r="BA1491" s="52" t="n">
        <v>0</v>
      </c>
      <c r="BB1491" s="53" t="n">
        <v>0</v>
      </c>
      <c r="BC1491" s="52" t="n">
        <v>0</v>
      </c>
      <c r="BD1491" s="53" t="n">
        <v>0</v>
      </c>
      <c r="BE1491" s="52" t="n">
        <v>0</v>
      </c>
      <c r="BF1491" s="51" t="n">
        <v>0</v>
      </c>
    </row>
    <row r="1492">
      <c r="A1492">
        <f>HYPERLINK("https://www.walmart.com/ip/15402953619", "15402953619")</f>
        <v/>
      </c>
      <c r="B1492" t="inlineStr">
        <is>
          <t>Catalonia Kids Waterproof Swim Parka with Hood, Windproof Fleece Swim Jacket, Warm Winter Swim Coat for Boys Girls Youth, Perfect for Swim Lessons, Beach, Pool</t>
        </is>
      </c>
      <c r="C1492" t="inlineStr">
        <is>
          <t>1CTPKR200BL-0</t>
        </is>
      </c>
      <c r="D1492" t="inlineStr">
        <is>
          <t>Swim Parkas</t>
        </is>
      </c>
      <c r="E1492" t="inlineStr">
        <is>
          <t>Catalonia</t>
        </is>
      </c>
      <c r="G1492" s="48" t="n">
        <v>0</v>
      </c>
      <c r="H1492" s="49" t="n">
        <v>0</v>
      </c>
      <c r="I1492" s="49" t="n">
        <v>0</v>
      </c>
      <c r="J1492" s="50" t="n">
        <v>0</v>
      </c>
      <c r="K1492" s="51" t="n">
        <v>0</v>
      </c>
      <c r="L1492" s="52" t="n">
        <v>0</v>
      </c>
      <c r="M1492" s="52" t="n">
        <v>0</v>
      </c>
      <c r="N1492" s="52" t="n">
        <v>0</v>
      </c>
      <c r="O1492" s="53" t="n">
        <v>0</v>
      </c>
      <c r="P1492" s="52" t="n">
        <v>0</v>
      </c>
      <c r="Q1492" s="53" t="n">
        <v>0</v>
      </c>
      <c r="R1492" s="52" t="n">
        <v>0</v>
      </c>
      <c r="S1492" s="51" t="n">
        <v>0</v>
      </c>
      <c r="T1492" s="48" t="n">
        <v>0</v>
      </c>
      <c r="U1492" s="49" t="n">
        <v>0</v>
      </c>
      <c r="V1492" s="49" t="n">
        <v>0</v>
      </c>
      <c r="W1492" s="50" t="n">
        <v>0</v>
      </c>
      <c r="X1492" s="51" t="n">
        <v>0</v>
      </c>
      <c r="Y1492" s="52" t="n">
        <v>0</v>
      </c>
      <c r="Z1492" s="52" t="n">
        <v>0</v>
      </c>
      <c r="AA1492" s="52" t="n">
        <v>0</v>
      </c>
      <c r="AB1492" s="53" t="n">
        <v>0</v>
      </c>
      <c r="AC1492" s="52" t="n">
        <v>0</v>
      </c>
      <c r="AD1492" s="53" t="n">
        <v>0</v>
      </c>
      <c r="AE1492" s="52" t="n">
        <v>0</v>
      </c>
      <c r="AF1492" s="51" t="n">
        <v>0</v>
      </c>
      <c r="AG1492" s="48" t="n">
        <v>0</v>
      </c>
      <c r="AH1492" s="49" t="n">
        <v>0</v>
      </c>
      <c r="AI1492" s="49" t="n">
        <v>0</v>
      </c>
      <c r="AJ1492" s="50" t="n">
        <v>0</v>
      </c>
      <c r="AK1492" s="51" t="n">
        <v>0</v>
      </c>
      <c r="AL1492" s="52" t="n">
        <v>0</v>
      </c>
      <c r="AM1492" s="52" t="n">
        <v>0</v>
      </c>
      <c r="AN1492" s="52" t="n">
        <v>0</v>
      </c>
      <c r="AO1492" s="53" t="n">
        <v>0</v>
      </c>
      <c r="AP1492" s="52" t="n">
        <v>0</v>
      </c>
      <c r="AQ1492" s="53" t="n">
        <v>0</v>
      </c>
      <c r="AR1492" s="52" t="n">
        <v>0</v>
      </c>
      <c r="AS1492" s="51" t="n">
        <v>0</v>
      </c>
      <c r="AT1492" s="48" t="n">
        <v>0</v>
      </c>
      <c r="AU1492" s="49" t="n">
        <v>0</v>
      </c>
      <c r="AV1492" s="49" t="n">
        <v>0</v>
      </c>
      <c r="AW1492" s="50" t="n">
        <v>0</v>
      </c>
      <c r="AX1492" s="51" t="n">
        <v>0</v>
      </c>
      <c r="AY1492" s="52" t="n">
        <v>0</v>
      </c>
      <c r="AZ1492" s="52" t="n">
        <v>0</v>
      </c>
      <c r="BA1492" s="52" t="n">
        <v>0</v>
      </c>
      <c r="BB1492" s="53" t="n">
        <v>0</v>
      </c>
      <c r="BC1492" s="52" t="n">
        <v>0</v>
      </c>
      <c r="BD1492" s="53" t="n">
        <v>0</v>
      </c>
      <c r="BE1492" s="52" t="n">
        <v>0</v>
      </c>
      <c r="BF1492" s="51" t="n">
        <v>0</v>
      </c>
    </row>
    <row r="1493">
      <c r="A1493">
        <f>HYPERLINK("https://www.walmart.com/ip/15406902328", "15406902328")</f>
        <v/>
      </c>
      <c r="B1493" t="inlineStr">
        <is>
          <t>Tirrinia Large Pop-Up Cooler Bag- Insulated Collapsible Cooler with Flat Drink Table, Lightweight and Portable Ice Round Cooler for Travel, Fishing, Picnics, Hiking, Camping and Beach</t>
        </is>
      </c>
      <c r="C1493" t="inlineStr">
        <is>
          <t>1TRCB20139BL</t>
        </is>
      </c>
      <c r="D1493" t="inlineStr">
        <is>
          <t>Soft-Sided Coolers</t>
        </is>
      </c>
      <c r="E1493" t="inlineStr">
        <is>
          <t>Tirrinia</t>
        </is>
      </c>
      <c r="G1493" s="48" t="n">
        <v>0</v>
      </c>
      <c r="H1493" s="49" t="n">
        <v>0</v>
      </c>
      <c r="I1493" s="49" t="n">
        <v>0</v>
      </c>
      <c r="J1493" s="50" t="n">
        <v>0</v>
      </c>
      <c r="K1493" s="51" t="n">
        <v>0</v>
      </c>
      <c r="L1493" s="52" t="n">
        <v>0</v>
      </c>
      <c r="M1493" s="52" t="n">
        <v>0</v>
      </c>
      <c r="N1493" s="52" t="n">
        <v>0</v>
      </c>
      <c r="O1493" s="53" t="n">
        <v>0</v>
      </c>
      <c r="P1493" s="52" t="n">
        <v>0</v>
      </c>
      <c r="Q1493" s="53" t="n">
        <v>0</v>
      </c>
      <c r="R1493" s="52" t="n">
        <v>0</v>
      </c>
      <c r="S1493" s="51" t="n">
        <v>0</v>
      </c>
      <c r="T1493" s="48" t="n">
        <v>0</v>
      </c>
      <c r="U1493" s="49" t="n">
        <v>0</v>
      </c>
      <c r="V1493" s="49" t="n">
        <v>0</v>
      </c>
      <c r="W1493" s="50" t="n">
        <v>0</v>
      </c>
      <c r="X1493" s="51" t="n">
        <v>0</v>
      </c>
      <c r="Y1493" s="52" t="n">
        <v>0</v>
      </c>
      <c r="Z1493" s="52" t="n">
        <v>0</v>
      </c>
      <c r="AA1493" s="52" t="n">
        <v>0</v>
      </c>
      <c r="AB1493" s="53" t="n">
        <v>0</v>
      </c>
      <c r="AC1493" s="52" t="n">
        <v>0</v>
      </c>
      <c r="AD1493" s="53" t="n">
        <v>0</v>
      </c>
      <c r="AE1493" s="52" t="n">
        <v>0</v>
      </c>
      <c r="AF1493" s="51" t="n">
        <v>0</v>
      </c>
      <c r="AG1493" s="48" t="n">
        <v>0</v>
      </c>
      <c r="AH1493" s="49" t="n">
        <v>0</v>
      </c>
      <c r="AI1493" s="49" t="n">
        <v>0</v>
      </c>
      <c r="AJ1493" s="50" t="n">
        <v>0</v>
      </c>
      <c r="AK1493" s="51" t="n">
        <v>0</v>
      </c>
      <c r="AL1493" s="52" t="n">
        <v>0</v>
      </c>
      <c r="AM1493" s="52" t="n">
        <v>0</v>
      </c>
      <c r="AN1493" s="52" t="n">
        <v>0</v>
      </c>
      <c r="AO1493" s="53" t="n">
        <v>0</v>
      </c>
      <c r="AP1493" s="52" t="n">
        <v>0</v>
      </c>
      <c r="AQ1493" s="53" t="n">
        <v>0</v>
      </c>
      <c r="AR1493" s="52" t="n">
        <v>0</v>
      </c>
      <c r="AS1493" s="51" t="n">
        <v>0</v>
      </c>
      <c r="AT1493" s="48" t="n">
        <v>0</v>
      </c>
      <c r="AU1493" s="49" t="n">
        <v>0</v>
      </c>
      <c r="AV1493" s="49" t="n">
        <v>0</v>
      </c>
      <c r="AW1493" s="50" t="n">
        <v>0</v>
      </c>
      <c r="AX1493" s="51" t="n">
        <v>0</v>
      </c>
      <c r="AY1493" s="52" t="n">
        <v>0</v>
      </c>
      <c r="AZ1493" s="52" t="n">
        <v>0</v>
      </c>
      <c r="BA1493" s="52" t="n">
        <v>0</v>
      </c>
      <c r="BB1493" s="53" t="n">
        <v>0</v>
      </c>
      <c r="BC1493" s="52" t="n">
        <v>0</v>
      </c>
      <c r="BD1493" s="53" t="n">
        <v>0</v>
      </c>
      <c r="BE1493" s="52" t="n">
        <v>0</v>
      </c>
      <c r="BF1493" s="51" t="n">
        <v>0</v>
      </c>
    </row>
    <row r="1494">
      <c r="A1494">
        <f>HYPERLINK("https://www.walmart.com/ip/1552094819", "1552094819")</f>
        <v/>
      </c>
      <c r="B1494" t="inlineStr">
        <is>
          <t>Every Day is Christmas Glass Blown Ornaments Cute Hand Made Figurines Tree Decoration, Set of 2 Drill and Saw</t>
        </is>
      </c>
      <c r="C1494" t="inlineStr">
        <is>
          <t>EDC-FIGURINE-SAWDRILL</t>
        </is>
      </c>
      <c r="D1494" t="inlineStr">
        <is>
          <t>Ornaments</t>
        </is>
      </c>
      <c r="E1494" t="inlineStr">
        <is>
          <t>Every Day is Christmas</t>
        </is>
      </c>
      <c r="G1494" s="48" t="n">
        <v>0</v>
      </c>
      <c r="H1494" s="49" t="n">
        <v>0</v>
      </c>
      <c r="I1494" s="49" t="n">
        <v>0</v>
      </c>
      <c r="J1494" s="50" t="n">
        <v>0</v>
      </c>
      <c r="K1494" s="51" t="n">
        <v>0</v>
      </c>
      <c r="L1494" s="52" t="n">
        <v>0</v>
      </c>
      <c r="M1494" s="52" t="n">
        <v>0</v>
      </c>
      <c r="N1494" s="52" t="n">
        <v>0</v>
      </c>
      <c r="O1494" s="53" t="n">
        <v>0</v>
      </c>
      <c r="P1494" s="52" t="n">
        <v>0</v>
      </c>
      <c r="Q1494" s="53" t="n">
        <v>0</v>
      </c>
      <c r="R1494" s="52" t="n">
        <v>0</v>
      </c>
      <c r="S1494" s="51" t="n">
        <v>0</v>
      </c>
      <c r="T1494" s="48" t="n">
        <v>0</v>
      </c>
      <c r="U1494" s="49" t="n">
        <v>0</v>
      </c>
      <c r="V1494" s="49" t="n">
        <v>0</v>
      </c>
      <c r="W1494" s="50" t="n">
        <v>0</v>
      </c>
      <c r="X1494" s="51" t="n">
        <v>0</v>
      </c>
      <c r="Y1494" s="52" t="n">
        <v>0</v>
      </c>
      <c r="Z1494" s="52" t="n">
        <v>0</v>
      </c>
      <c r="AA1494" s="52" t="n">
        <v>0</v>
      </c>
      <c r="AB1494" s="53" t="n">
        <v>0</v>
      </c>
      <c r="AC1494" s="52" t="n">
        <v>0</v>
      </c>
      <c r="AD1494" s="53" t="n">
        <v>0</v>
      </c>
      <c r="AE1494" s="52" t="n">
        <v>0</v>
      </c>
      <c r="AF1494" s="51" t="n">
        <v>0</v>
      </c>
      <c r="AG1494" s="48" t="n">
        <v>0</v>
      </c>
      <c r="AH1494" s="49" t="n">
        <v>0</v>
      </c>
      <c r="AI1494" s="49" t="n">
        <v>0</v>
      </c>
      <c r="AJ1494" s="50" t="n">
        <v>0</v>
      </c>
      <c r="AK1494" s="51" t="n">
        <v>0</v>
      </c>
      <c r="AL1494" s="52" t="n">
        <v>0</v>
      </c>
      <c r="AM1494" s="52" t="n">
        <v>0</v>
      </c>
      <c r="AN1494" s="52" t="n">
        <v>0</v>
      </c>
      <c r="AO1494" s="53" t="n">
        <v>0</v>
      </c>
      <c r="AP1494" s="52" t="n">
        <v>0</v>
      </c>
      <c r="AQ1494" s="53" t="n">
        <v>0</v>
      </c>
      <c r="AR1494" s="52" t="n">
        <v>0</v>
      </c>
      <c r="AS1494" s="51" t="n">
        <v>0</v>
      </c>
      <c r="AT1494" s="48" t="n">
        <v>0</v>
      </c>
      <c r="AU1494" s="49" t="n">
        <v>0</v>
      </c>
      <c r="AV1494" s="49" t="n">
        <v>0</v>
      </c>
      <c r="AW1494" s="50" t="n">
        <v>0</v>
      </c>
      <c r="AX1494" s="51" t="n">
        <v>0</v>
      </c>
      <c r="AY1494" s="52" t="n">
        <v>0</v>
      </c>
      <c r="AZ1494" s="52" t="n">
        <v>0</v>
      </c>
      <c r="BA1494" s="52" t="n">
        <v>0</v>
      </c>
      <c r="BB1494" s="53" t="n">
        <v>0</v>
      </c>
      <c r="BC1494" s="52" t="n">
        <v>0</v>
      </c>
      <c r="BD1494" s="53" t="n">
        <v>0</v>
      </c>
      <c r="BE1494" s="52" t="n">
        <v>0</v>
      </c>
      <c r="BF1494" s="51" t="n">
        <v>0</v>
      </c>
    </row>
    <row r="1495">
      <c r="A1495">
        <f>HYPERLINK("https://www.walmart.com/ip/15534620848", "15534620848")</f>
        <v/>
      </c>
      <c r="B1495" t="inlineStr">
        <is>
          <t>Tirrinia Waterproof Outdoor Blanket with Sherpa Lining, Windproof Triple Layers Warm Comfy Foldable for Camping Stadium, Sports, Picnic, Grass, Concerts, Pet, 51''X 59''- Machine Washable</t>
        </is>
      </c>
      <c r="C1495" t="inlineStr">
        <is>
          <t>1TRBW506CAMOOR</t>
        </is>
      </c>
      <c r="D1495" t="inlineStr">
        <is>
          <t>Picnic Blankets &amp; Mats</t>
        </is>
      </c>
      <c r="E1495" t="inlineStr">
        <is>
          <t>Tirrinia</t>
        </is>
      </c>
      <c r="G1495" s="48" t="n">
        <v>0</v>
      </c>
      <c r="H1495" s="49" t="n">
        <v>0</v>
      </c>
      <c r="I1495" s="49" t="n">
        <v>0</v>
      </c>
      <c r="J1495" s="50" t="n">
        <v>0</v>
      </c>
      <c r="K1495" s="51" t="n">
        <v>0</v>
      </c>
      <c r="L1495" s="52" t="n">
        <v>0</v>
      </c>
      <c r="M1495" s="52" t="n">
        <v>0</v>
      </c>
      <c r="N1495" s="52" t="n">
        <v>0</v>
      </c>
      <c r="O1495" s="53" t="n">
        <v>0</v>
      </c>
      <c r="P1495" s="52" t="n">
        <v>0</v>
      </c>
      <c r="Q1495" s="53" t="n">
        <v>0</v>
      </c>
      <c r="R1495" s="52" t="n">
        <v>0</v>
      </c>
      <c r="S1495" s="51" t="n">
        <v>0</v>
      </c>
      <c r="T1495" s="48" t="n">
        <v>0</v>
      </c>
      <c r="U1495" s="49" t="n">
        <v>0</v>
      </c>
      <c r="V1495" s="49" t="n">
        <v>0</v>
      </c>
      <c r="W1495" s="50" t="n">
        <v>0</v>
      </c>
      <c r="X1495" s="51" t="n">
        <v>0</v>
      </c>
      <c r="Y1495" s="52" t="n">
        <v>0</v>
      </c>
      <c r="Z1495" s="52" t="n">
        <v>0</v>
      </c>
      <c r="AA1495" s="52" t="n">
        <v>0</v>
      </c>
      <c r="AB1495" s="53" t="n">
        <v>0</v>
      </c>
      <c r="AC1495" s="52" t="n">
        <v>0</v>
      </c>
      <c r="AD1495" s="53" t="n">
        <v>0</v>
      </c>
      <c r="AE1495" s="52" t="n">
        <v>0</v>
      </c>
      <c r="AF1495" s="51" t="n">
        <v>0</v>
      </c>
      <c r="AG1495" s="48" t="n">
        <v>0</v>
      </c>
      <c r="AH1495" s="49" t="n">
        <v>0</v>
      </c>
      <c r="AI1495" s="49" t="n">
        <v>0</v>
      </c>
      <c r="AJ1495" s="50" t="n">
        <v>0</v>
      </c>
      <c r="AK1495" s="51" t="n">
        <v>0</v>
      </c>
      <c r="AL1495" s="52" t="n">
        <v>0</v>
      </c>
      <c r="AM1495" s="52" t="n">
        <v>0</v>
      </c>
      <c r="AN1495" s="52" t="n">
        <v>0</v>
      </c>
      <c r="AO1495" s="53" t="n">
        <v>0</v>
      </c>
      <c r="AP1495" s="52" t="n">
        <v>0</v>
      </c>
      <c r="AQ1495" s="53" t="n">
        <v>0</v>
      </c>
      <c r="AR1495" s="52" t="n">
        <v>0</v>
      </c>
      <c r="AS1495" s="51" t="n">
        <v>0</v>
      </c>
      <c r="AT1495" s="48" t="n">
        <v>0</v>
      </c>
      <c r="AU1495" s="49" t="n">
        <v>0</v>
      </c>
      <c r="AV1495" s="49" t="n">
        <v>0</v>
      </c>
      <c r="AW1495" s="50" t="n">
        <v>0</v>
      </c>
      <c r="AX1495" s="51" t="n">
        <v>0</v>
      </c>
      <c r="AY1495" s="52" t="n">
        <v>0</v>
      </c>
      <c r="AZ1495" s="52" t="n">
        <v>0</v>
      </c>
      <c r="BA1495" s="52" t="n">
        <v>0</v>
      </c>
      <c r="BB1495" s="53" t="n">
        <v>0</v>
      </c>
      <c r="BC1495" s="52" t="n">
        <v>0</v>
      </c>
      <c r="BD1495" s="53" t="n">
        <v>0</v>
      </c>
      <c r="BE1495" s="52" t="n">
        <v>0</v>
      </c>
      <c r="BF1495" s="51" t="n">
        <v>0</v>
      </c>
    </row>
    <row r="1496">
      <c r="A1496">
        <f>HYPERLINK("https://www.walmart.com/ip/14535917854", "14535917854")</f>
        <v/>
      </c>
      <c r="B1496" t="inlineStr">
        <is>
          <t>Aeropostale  Backpack for School, College, and Travel， Water Resistant Bookbag Gray Aero</t>
        </is>
      </c>
      <c r="C1496" t="inlineStr">
        <is>
          <t>1AEBPK92029GYAERO</t>
        </is>
      </c>
      <c r="D1496" t="inlineStr">
        <is>
          <t>Backpacks</t>
        </is>
      </c>
      <c r="E1496" t="inlineStr">
        <is>
          <t>Aeropostale</t>
        </is>
      </c>
      <c r="G1496" s="48" t="n">
        <v>0</v>
      </c>
      <c r="H1496" s="49" t="n">
        <v>0</v>
      </c>
      <c r="I1496" s="49" t="n">
        <v>0</v>
      </c>
      <c r="J1496" s="50" t="n">
        <v>0</v>
      </c>
      <c r="K1496" s="51" t="n">
        <v>0</v>
      </c>
      <c r="L1496" s="52" t="n">
        <v>0</v>
      </c>
      <c r="M1496" s="52" t="n">
        <v>0</v>
      </c>
      <c r="N1496" s="52" t="n">
        <v>0</v>
      </c>
      <c r="O1496" s="53" t="n">
        <v>0</v>
      </c>
      <c r="P1496" s="52" t="n">
        <v>0</v>
      </c>
      <c r="Q1496" s="53" t="n">
        <v>0</v>
      </c>
      <c r="R1496" s="52" t="n">
        <v>0</v>
      </c>
      <c r="S1496" s="51" t="n">
        <v>0</v>
      </c>
      <c r="T1496" s="48" t="n">
        <v>0</v>
      </c>
      <c r="U1496" s="49" t="n">
        <v>0</v>
      </c>
      <c r="V1496" s="49" t="n">
        <v>0</v>
      </c>
      <c r="W1496" s="50" t="n">
        <v>0</v>
      </c>
      <c r="X1496" s="51" t="n">
        <v>0</v>
      </c>
      <c r="Y1496" s="52" t="n">
        <v>0</v>
      </c>
      <c r="Z1496" s="52" t="n">
        <v>0</v>
      </c>
      <c r="AA1496" s="52" t="n">
        <v>0</v>
      </c>
      <c r="AB1496" s="53" t="n">
        <v>0</v>
      </c>
      <c r="AC1496" s="52" t="n">
        <v>0</v>
      </c>
      <c r="AD1496" s="53" t="n">
        <v>0</v>
      </c>
      <c r="AE1496" s="52" t="n">
        <v>0</v>
      </c>
      <c r="AF1496" s="51" t="n">
        <v>0</v>
      </c>
      <c r="AG1496" s="48" t="n">
        <v>0</v>
      </c>
      <c r="AH1496" s="49" t="n">
        <v>0</v>
      </c>
      <c r="AI1496" s="49" t="n">
        <v>0</v>
      </c>
      <c r="AJ1496" s="50" t="n">
        <v>0</v>
      </c>
      <c r="AK1496" s="51" t="n">
        <v>0</v>
      </c>
      <c r="AL1496" s="52" t="n">
        <v>0</v>
      </c>
      <c r="AM1496" s="52" t="n">
        <v>0</v>
      </c>
      <c r="AN1496" s="52" t="n">
        <v>0</v>
      </c>
      <c r="AO1496" s="53" t="n">
        <v>0</v>
      </c>
      <c r="AP1496" s="52" t="n">
        <v>0</v>
      </c>
      <c r="AQ1496" s="53" t="n">
        <v>0</v>
      </c>
      <c r="AR1496" s="52" t="n">
        <v>0</v>
      </c>
      <c r="AS1496" s="51" t="n">
        <v>0</v>
      </c>
      <c r="AT1496" s="48" t="n">
        <v>0</v>
      </c>
      <c r="AU1496" s="49" t="n">
        <v>0</v>
      </c>
      <c r="AV1496" s="49" t="n">
        <v>0</v>
      </c>
      <c r="AW1496" s="50" t="n">
        <v>0</v>
      </c>
      <c r="AX1496" s="51" t="n">
        <v>0</v>
      </c>
      <c r="AY1496" s="52" t="n">
        <v>0</v>
      </c>
      <c r="AZ1496" s="52" t="n">
        <v>0</v>
      </c>
      <c r="BA1496" s="52" t="n">
        <v>0</v>
      </c>
      <c r="BB1496" s="53" t="n">
        <v>0</v>
      </c>
      <c r="BC1496" s="52" t="n">
        <v>0</v>
      </c>
      <c r="BD1496" s="53" t="n">
        <v>0</v>
      </c>
      <c r="BE1496" s="52" t="n">
        <v>0</v>
      </c>
      <c r="BF1496" s="51" t="n">
        <v>0</v>
      </c>
    </row>
    <row r="1497">
      <c r="A1497">
        <f>HYPERLINK("https://www.walmart.com/ip/158660462", "158660462")</f>
        <v/>
      </c>
      <c r="B1497" t="inlineStr">
        <is>
          <t>Solaris Men Winter Ski Snow Gloves with Breathable Face Mask The Warmest 3M Insulation Waterproof Outdoor Snowboard Mitt</t>
        </is>
      </c>
      <c r="C1497" t="inlineStr">
        <is>
          <t>1SLWG301GYBK-S</t>
        </is>
      </c>
      <c r="D1497" t="inlineStr">
        <is>
          <t>Gloves &amp; Mittens</t>
        </is>
      </c>
      <c r="E1497" t="inlineStr">
        <is>
          <t>Solaris</t>
        </is>
      </c>
      <c r="F1497" t="inlineStr">
        <is>
          <t>Gloves,WFS,WFS Item</t>
        </is>
      </c>
      <c r="G1497" s="48" t="n">
        <v>0</v>
      </c>
      <c r="H1497" s="49" t="n">
        <v>0</v>
      </c>
      <c r="I1497" s="49" t="n">
        <v>0</v>
      </c>
      <c r="J1497" s="50" t="n">
        <v>0</v>
      </c>
      <c r="K1497" s="51" t="n">
        <v>0</v>
      </c>
      <c r="L1497" s="52" t="n">
        <v>0</v>
      </c>
      <c r="M1497" s="52" t="n">
        <v>0</v>
      </c>
      <c r="N1497" s="52" t="n">
        <v>0</v>
      </c>
      <c r="O1497" s="53" t="n">
        <v>0</v>
      </c>
      <c r="P1497" s="52" t="n">
        <v>0</v>
      </c>
      <c r="Q1497" s="53" t="n">
        <v>0</v>
      </c>
      <c r="R1497" s="52" t="n">
        <v>0</v>
      </c>
      <c r="S1497" s="51" t="n">
        <v>0</v>
      </c>
      <c r="T1497" s="48" t="n">
        <v>0</v>
      </c>
      <c r="U1497" s="49" t="n">
        <v>0</v>
      </c>
      <c r="V1497" s="49" t="n">
        <v>0</v>
      </c>
      <c r="W1497" s="50" t="n">
        <v>0</v>
      </c>
      <c r="X1497" s="51" t="n">
        <v>0</v>
      </c>
      <c r="Y1497" s="52" t="n">
        <v>0</v>
      </c>
      <c r="Z1497" s="52" t="n">
        <v>0</v>
      </c>
      <c r="AA1497" s="52" t="n">
        <v>0</v>
      </c>
      <c r="AB1497" s="53" t="n">
        <v>0</v>
      </c>
      <c r="AC1497" s="52" t="n">
        <v>0</v>
      </c>
      <c r="AD1497" s="53" t="n">
        <v>0</v>
      </c>
      <c r="AE1497" s="52" t="n">
        <v>0</v>
      </c>
      <c r="AF1497" s="51" t="n">
        <v>0</v>
      </c>
      <c r="AG1497" s="48" t="n">
        <v>0</v>
      </c>
      <c r="AH1497" s="49" t="n">
        <v>0</v>
      </c>
      <c r="AI1497" s="49" t="n">
        <v>0</v>
      </c>
      <c r="AJ1497" s="50" t="n">
        <v>0</v>
      </c>
      <c r="AK1497" s="51" t="n">
        <v>0</v>
      </c>
      <c r="AL1497" s="52" t="n">
        <v>0</v>
      </c>
      <c r="AM1497" s="52" t="n">
        <v>0</v>
      </c>
      <c r="AN1497" s="52" t="n">
        <v>0</v>
      </c>
      <c r="AO1497" s="53" t="n">
        <v>0</v>
      </c>
      <c r="AP1497" s="52" t="n">
        <v>0</v>
      </c>
      <c r="AQ1497" s="53" t="n">
        <v>0</v>
      </c>
      <c r="AR1497" s="52" t="n">
        <v>0</v>
      </c>
      <c r="AS1497" s="51" t="n">
        <v>0</v>
      </c>
      <c r="AT1497" s="48" t="n">
        <v>0</v>
      </c>
      <c r="AU1497" s="49" t="n">
        <v>0</v>
      </c>
      <c r="AV1497" s="49" t="n">
        <v>0</v>
      </c>
      <c r="AW1497" s="50" t="n">
        <v>0</v>
      </c>
      <c r="AX1497" s="51" t="n">
        <v>0</v>
      </c>
      <c r="AY1497" s="52" t="n">
        <v>0</v>
      </c>
      <c r="AZ1497" s="52" t="n">
        <v>0</v>
      </c>
      <c r="BA1497" s="52" t="n">
        <v>0</v>
      </c>
      <c r="BB1497" s="53" t="n">
        <v>0</v>
      </c>
      <c r="BC1497" s="52" t="n">
        <v>0</v>
      </c>
      <c r="BD1497" s="53" t="n">
        <v>0</v>
      </c>
      <c r="BE1497" s="52" t="n">
        <v>0</v>
      </c>
      <c r="BF1497" s="51" t="n">
        <v>0</v>
      </c>
    </row>
    <row r="1498">
      <c r="A1498">
        <f>HYPERLINK("https://www.walmart.com/ip/158840453", "158840453")</f>
        <v/>
      </c>
      <c r="B1498" t="inlineStr">
        <is>
          <t>Vina® Wine Accessory Set,Stainless Steel Wine Bottle Opener Hippocampal Knife Corkscrew + Vacuum Wine Stopper</t>
        </is>
      </c>
      <c r="C1498" t="inlineStr">
        <is>
          <t>VinaWO004SL</t>
        </is>
      </c>
      <c r="D1498" t="inlineStr">
        <is>
          <t>Corkscrews &amp; Wine Bottle Openers</t>
        </is>
      </c>
      <c r="E1498" t="inlineStr">
        <is>
          <t>Vina</t>
        </is>
      </c>
      <c r="F1498" t="inlineStr">
        <is>
          <t>Wine,Christmas,Optimized</t>
        </is>
      </c>
      <c r="G1498" s="48" t="n">
        <v>0</v>
      </c>
      <c r="H1498" s="49" t="n">
        <v>0</v>
      </c>
      <c r="I1498" s="49" t="n">
        <v>0</v>
      </c>
      <c r="J1498" s="50" t="n">
        <v>0</v>
      </c>
      <c r="K1498" s="51" t="n">
        <v>0</v>
      </c>
      <c r="L1498" s="52" t="n">
        <v>0</v>
      </c>
      <c r="M1498" s="52" t="n">
        <v>0</v>
      </c>
      <c r="N1498" s="52" t="n">
        <v>0</v>
      </c>
      <c r="O1498" s="53" t="n">
        <v>0</v>
      </c>
      <c r="P1498" s="52" t="n">
        <v>0</v>
      </c>
      <c r="Q1498" s="53" t="n">
        <v>0</v>
      </c>
      <c r="R1498" s="52" t="n">
        <v>0</v>
      </c>
      <c r="S1498" s="51" t="n">
        <v>0</v>
      </c>
      <c r="T1498" s="48" t="n">
        <v>0</v>
      </c>
      <c r="U1498" s="49" t="n">
        <v>0</v>
      </c>
      <c r="V1498" s="49" t="n">
        <v>0</v>
      </c>
      <c r="W1498" s="50" t="n">
        <v>0</v>
      </c>
      <c r="X1498" s="51" t="n">
        <v>0</v>
      </c>
      <c r="Y1498" s="52" t="n">
        <v>0</v>
      </c>
      <c r="Z1498" s="52" t="n">
        <v>0</v>
      </c>
      <c r="AA1498" s="52" t="n">
        <v>0</v>
      </c>
      <c r="AB1498" s="53" t="n">
        <v>0</v>
      </c>
      <c r="AC1498" s="52" t="n">
        <v>0</v>
      </c>
      <c r="AD1498" s="53" t="n">
        <v>0</v>
      </c>
      <c r="AE1498" s="52" t="n">
        <v>0</v>
      </c>
      <c r="AF1498" s="51" t="n">
        <v>0</v>
      </c>
      <c r="AG1498" s="48" t="n">
        <v>0</v>
      </c>
      <c r="AH1498" s="49" t="n">
        <v>0</v>
      </c>
      <c r="AI1498" s="49" t="n">
        <v>0</v>
      </c>
      <c r="AJ1498" s="50" t="n">
        <v>0</v>
      </c>
      <c r="AK1498" s="51" t="n">
        <v>0</v>
      </c>
      <c r="AL1498" s="52" t="n">
        <v>0</v>
      </c>
      <c r="AM1498" s="52" t="n">
        <v>0</v>
      </c>
      <c r="AN1498" s="52" t="n">
        <v>0</v>
      </c>
      <c r="AO1498" s="53" t="n">
        <v>0</v>
      </c>
      <c r="AP1498" s="52" t="n">
        <v>0</v>
      </c>
      <c r="AQ1498" s="53" t="n">
        <v>0</v>
      </c>
      <c r="AR1498" s="52" t="n">
        <v>0</v>
      </c>
      <c r="AS1498" s="51" t="n">
        <v>0</v>
      </c>
      <c r="AT1498" s="48" t="n">
        <v>0</v>
      </c>
      <c r="AU1498" s="49" t="n">
        <v>0</v>
      </c>
      <c r="AV1498" s="49" t="n">
        <v>0</v>
      </c>
      <c r="AW1498" s="50" t="n">
        <v>0</v>
      </c>
      <c r="AX1498" s="51" t="n">
        <v>0</v>
      </c>
      <c r="AY1498" s="52" t="n">
        <v>0</v>
      </c>
      <c r="AZ1498" s="52" t="n">
        <v>0</v>
      </c>
      <c r="BA1498" s="52" t="n">
        <v>0</v>
      </c>
      <c r="BB1498" s="53" t="n">
        <v>0</v>
      </c>
      <c r="BC1498" s="52" t="n">
        <v>0</v>
      </c>
      <c r="BD1498" s="53" t="n">
        <v>0</v>
      </c>
      <c r="BE1498" s="52" t="n">
        <v>0</v>
      </c>
      <c r="BF1498" s="51" t="n">
        <v>0</v>
      </c>
    </row>
    <row r="1499">
      <c r="A1499">
        <f>HYPERLINK("https://www.walmart.com/ip/158876400", "158876400")</f>
        <v/>
      </c>
      <c r="B1499" t="inlineStr">
        <is>
          <t>JenniWears LED Light Up Sheer Lace Venetian Mask Floral Mardi Gras Masquerade Costume Ice Blue</t>
        </is>
      </c>
      <c r="C1499" t="inlineStr">
        <is>
          <t>JWLEDMK02-LBL</t>
        </is>
      </c>
      <c r="D1499" t="inlineStr">
        <is>
          <t>Costume Masks</t>
        </is>
      </c>
      <c r="E1499" t="inlineStr">
        <is>
          <t>JenniWears</t>
        </is>
      </c>
      <c r="F1499" t="inlineStr">
        <is>
          <t>Halloween</t>
        </is>
      </c>
      <c r="G1499" s="48" t="n">
        <v>0</v>
      </c>
      <c r="H1499" s="49" t="n">
        <v>0</v>
      </c>
      <c r="I1499" s="49" t="n">
        <v>0</v>
      </c>
      <c r="J1499" s="50" t="n">
        <v>0</v>
      </c>
      <c r="K1499" s="51" t="n">
        <v>0</v>
      </c>
      <c r="L1499" s="52" t="n">
        <v>0</v>
      </c>
      <c r="M1499" s="52" t="n">
        <v>0</v>
      </c>
      <c r="N1499" s="52" t="n">
        <v>0</v>
      </c>
      <c r="O1499" s="53" t="n">
        <v>0</v>
      </c>
      <c r="P1499" s="52" t="n">
        <v>0</v>
      </c>
      <c r="Q1499" s="53" t="n">
        <v>0</v>
      </c>
      <c r="R1499" s="52" t="n">
        <v>0</v>
      </c>
      <c r="S1499" s="51" t="n">
        <v>0</v>
      </c>
      <c r="T1499" s="48" t="n">
        <v>0</v>
      </c>
      <c r="U1499" s="49" t="n">
        <v>0</v>
      </c>
      <c r="V1499" s="49" t="n">
        <v>0</v>
      </c>
      <c r="W1499" s="50" t="n">
        <v>0</v>
      </c>
      <c r="X1499" s="51" t="n">
        <v>0</v>
      </c>
      <c r="Y1499" s="52" t="n">
        <v>0</v>
      </c>
      <c r="Z1499" s="52" t="n">
        <v>0</v>
      </c>
      <c r="AA1499" s="52" t="n">
        <v>0</v>
      </c>
      <c r="AB1499" s="53" t="n">
        <v>0</v>
      </c>
      <c r="AC1499" s="52" t="n">
        <v>0</v>
      </c>
      <c r="AD1499" s="53" t="n">
        <v>0</v>
      </c>
      <c r="AE1499" s="52" t="n">
        <v>0</v>
      </c>
      <c r="AF1499" s="51" t="n">
        <v>0</v>
      </c>
      <c r="AG1499" s="48" t="n">
        <v>0</v>
      </c>
      <c r="AH1499" s="49" t="n">
        <v>0</v>
      </c>
      <c r="AI1499" s="49" t="n">
        <v>0</v>
      </c>
      <c r="AJ1499" s="50" t="n">
        <v>0</v>
      </c>
      <c r="AK1499" s="51" t="n">
        <v>0</v>
      </c>
      <c r="AL1499" s="52" t="n">
        <v>0</v>
      </c>
      <c r="AM1499" s="52" t="n">
        <v>0</v>
      </c>
      <c r="AN1499" s="52" t="n">
        <v>0</v>
      </c>
      <c r="AO1499" s="53" t="n">
        <v>0</v>
      </c>
      <c r="AP1499" s="52" t="n">
        <v>0</v>
      </c>
      <c r="AQ1499" s="53" t="n">
        <v>0</v>
      </c>
      <c r="AR1499" s="52" t="n">
        <v>0</v>
      </c>
      <c r="AS1499" s="51" t="n">
        <v>0</v>
      </c>
      <c r="AT1499" s="48" t="n">
        <v>0</v>
      </c>
      <c r="AU1499" s="49" t="n">
        <v>0</v>
      </c>
      <c r="AV1499" s="49" t="n">
        <v>0</v>
      </c>
      <c r="AW1499" s="50" t="n">
        <v>0</v>
      </c>
      <c r="AX1499" s="51" t="n">
        <v>0</v>
      </c>
      <c r="AY1499" s="52" t="n">
        <v>0</v>
      </c>
      <c r="AZ1499" s="52" t="n">
        <v>0</v>
      </c>
      <c r="BA1499" s="52" t="n">
        <v>0</v>
      </c>
      <c r="BB1499" s="53" t="n">
        <v>0</v>
      </c>
      <c r="BC1499" s="52" t="n">
        <v>0</v>
      </c>
      <c r="BD1499" s="53" t="n">
        <v>0</v>
      </c>
      <c r="BE1499" s="52" t="n">
        <v>0</v>
      </c>
      <c r="BF1499" s="51" t="n">
        <v>0</v>
      </c>
    </row>
    <row r="1500">
      <c r="A1500">
        <f>HYPERLINK("https://www.walmart.com/ip/158898316", "158898316")</f>
        <v/>
      </c>
      <c r="B1500" t="inlineStr">
        <is>
          <t>KC Caps Pom Pom Toque Beanie</t>
        </is>
      </c>
      <c r="C1500" t="inlineStr">
        <is>
          <t>KCW1711NV</t>
        </is>
      </c>
      <c r="D1500" t="inlineStr">
        <is>
          <t>Hats</t>
        </is>
      </c>
      <c r="E1500" t="inlineStr">
        <is>
          <t>KC Caps</t>
        </is>
      </c>
      <c r="F1500" t="inlineStr">
        <is>
          <t>Optimized</t>
        </is>
      </c>
      <c r="G1500" s="48" t="n">
        <v>0</v>
      </c>
      <c r="H1500" s="49" t="n">
        <v>0</v>
      </c>
      <c r="I1500" s="49" t="n">
        <v>0</v>
      </c>
      <c r="J1500" s="50" t="n">
        <v>0</v>
      </c>
      <c r="K1500" s="51" t="n">
        <v>0</v>
      </c>
      <c r="L1500" s="52" t="n">
        <v>0</v>
      </c>
      <c r="M1500" s="52" t="n">
        <v>0</v>
      </c>
      <c r="N1500" s="52" t="n">
        <v>0</v>
      </c>
      <c r="O1500" s="53" t="n">
        <v>0</v>
      </c>
      <c r="P1500" s="52" t="n">
        <v>0</v>
      </c>
      <c r="Q1500" s="53" t="n">
        <v>0</v>
      </c>
      <c r="R1500" s="52" t="n">
        <v>0</v>
      </c>
      <c r="S1500" s="51" t="n">
        <v>0</v>
      </c>
      <c r="T1500" s="48" t="n">
        <v>0</v>
      </c>
      <c r="U1500" s="49" t="n">
        <v>0</v>
      </c>
      <c r="V1500" s="49" t="n">
        <v>0</v>
      </c>
      <c r="W1500" s="50" t="n">
        <v>0</v>
      </c>
      <c r="X1500" s="51" t="n">
        <v>0</v>
      </c>
      <c r="Y1500" s="52" t="n">
        <v>0</v>
      </c>
      <c r="Z1500" s="52" t="n">
        <v>0</v>
      </c>
      <c r="AA1500" s="52" t="n">
        <v>0</v>
      </c>
      <c r="AB1500" s="53" t="n">
        <v>0</v>
      </c>
      <c r="AC1500" s="52" t="n">
        <v>0</v>
      </c>
      <c r="AD1500" s="53" t="n">
        <v>0</v>
      </c>
      <c r="AE1500" s="52" t="n">
        <v>0</v>
      </c>
      <c r="AF1500" s="51" t="n">
        <v>0</v>
      </c>
      <c r="AG1500" s="48" t="n">
        <v>0</v>
      </c>
      <c r="AH1500" s="49" t="n">
        <v>0</v>
      </c>
      <c r="AI1500" s="49" t="n">
        <v>0</v>
      </c>
      <c r="AJ1500" s="50" t="n">
        <v>0</v>
      </c>
      <c r="AK1500" s="51" t="n">
        <v>0</v>
      </c>
      <c r="AL1500" s="52" t="n">
        <v>0</v>
      </c>
      <c r="AM1500" s="52" t="n">
        <v>0</v>
      </c>
      <c r="AN1500" s="52" t="n">
        <v>0</v>
      </c>
      <c r="AO1500" s="53" t="n">
        <v>0</v>
      </c>
      <c r="AP1500" s="52" t="n">
        <v>0</v>
      </c>
      <c r="AQ1500" s="53" t="n">
        <v>0</v>
      </c>
      <c r="AR1500" s="52" t="n">
        <v>0</v>
      </c>
      <c r="AS1500" s="51" t="n">
        <v>0</v>
      </c>
      <c r="AT1500" s="48" t="n">
        <v>0</v>
      </c>
      <c r="AU1500" s="49" t="n">
        <v>0</v>
      </c>
      <c r="AV1500" s="49" t="n">
        <v>0</v>
      </c>
      <c r="AW1500" s="50" t="n">
        <v>0</v>
      </c>
      <c r="AX1500" s="51" t="n">
        <v>0</v>
      </c>
      <c r="AY1500" s="52" t="n">
        <v>0</v>
      </c>
      <c r="AZ1500" s="52" t="n">
        <v>0</v>
      </c>
      <c r="BA1500" s="52" t="n">
        <v>0</v>
      </c>
      <c r="BB1500" s="53" t="n">
        <v>0</v>
      </c>
      <c r="BC1500" s="52" t="n">
        <v>0</v>
      </c>
      <c r="BD1500" s="53" t="n">
        <v>0</v>
      </c>
      <c r="BE1500" s="52" t="n">
        <v>0</v>
      </c>
      <c r="BF1500" s="51" t="n">
        <v>0</v>
      </c>
    </row>
    <row r="1501">
      <c r="A1501">
        <f>HYPERLINK("https://www.walmart.com/ip/158908102", "158908102")</f>
        <v/>
      </c>
      <c r="B1501" t="inlineStr">
        <is>
          <t>Flyingstar 2 Bottle Insulated Wine Tote Carrier, Wine Cooler Bag for Travel, Beige</t>
        </is>
      </c>
      <c r="C1501" t="inlineStr">
        <is>
          <t>1WMWB220BG</t>
        </is>
      </c>
      <c r="D1501" t="inlineStr">
        <is>
          <t>Wine Totes, Bags &amp; Backpacks</t>
        </is>
      </c>
      <c r="E1501" t="inlineStr">
        <is>
          <t>Flyingstar</t>
        </is>
      </c>
      <c r="F1501" t="inlineStr">
        <is>
          <t>Wine,Christmas,Optimized,Valentine,SEM</t>
        </is>
      </c>
      <c r="G1501" s="48" t="n">
        <v>0</v>
      </c>
      <c r="H1501" s="49" t="n">
        <v>0</v>
      </c>
      <c r="I1501" s="49" t="n">
        <v>0</v>
      </c>
      <c r="J1501" s="50" t="n">
        <v>0</v>
      </c>
      <c r="K1501" s="51" t="n">
        <v>0</v>
      </c>
      <c r="L1501" s="52" t="n">
        <v>0</v>
      </c>
      <c r="M1501" s="52" t="n">
        <v>0</v>
      </c>
      <c r="N1501" s="52" t="n">
        <v>0</v>
      </c>
      <c r="O1501" s="53" t="n">
        <v>0</v>
      </c>
      <c r="P1501" s="52" t="n">
        <v>0</v>
      </c>
      <c r="Q1501" s="53" t="n">
        <v>0</v>
      </c>
      <c r="R1501" s="52" t="n">
        <v>0</v>
      </c>
      <c r="S1501" s="51" t="n">
        <v>0</v>
      </c>
      <c r="T1501" s="48" t="n">
        <v>0</v>
      </c>
      <c r="U1501" s="49" t="n">
        <v>0</v>
      </c>
      <c r="V1501" s="49" t="n">
        <v>0</v>
      </c>
      <c r="W1501" s="50" t="n">
        <v>0</v>
      </c>
      <c r="X1501" s="51" t="n">
        <v>0</v>
      </c>
      <c r="Y1501" s="52" t="n">
        <v>0</v>
      </c>
      <c r="Z1501" s="52" t="n">
        <v>0</v>
      </c>
      <c r="AA1501" s="52" t="n">
        <v>0</v>
      </c>
      <c r="AB1501" s="53" t="n">
        <v>0</v>
      </c>
      <c r="AC1501" s="52" t="n">
        <v>0</v>
      </c>
      <c r="AD1501" s="53" t="n">
        <v>0</v>
      </c>
      <c r="AE1501" s="52" t="n">
        <v>0</v>
      </c>
      <c r="AF1501" s="51" t="n">
        <v>0</v>
      </c>
      <c r="AG1501" s="48" t="n">
        <v>0</v>
      </c>
      <c r="AH1501" s="49" t="n">
        <v>0</v>
      </c>
      <c r="AI1501" s="49" t="n">
        <v>0</v>
      </c>
      <c r="AJ1501" s="50" t="n">
        <v>0</v>
      </c>
      <c r="AK1501" s="51" t="n">
        <v>0</v>
      </c>
      <c r="AL1501" s="52" t="n">
        <v>0</v>
      </c>
      <c r="AM1501" s="52" t="n">
        <v>0</v>
      </c>
      <c r="AN1501" s="52" t="n">
        <v>0</v>
      </c>
      <c r="AO1501" s="53" t="n">
        <v>0</v>
      </c>
      <c r="AP1501" s="52" t="n">
        <v>0</v>
      </c>
      <c r="AQ1501" s="53" t="n">
        <v>0</v>
      </c>
      <c r="AR1501" s="52" t="n">
        <v>0</v>
      </c>
      <c r="AS1501" s="51" t="n">
        <v>0</v>
      </c>
      <c r="AT1501" s="48" t="n">
        <v>0</v>
      </c>
      <c r="AU1501" s="49" t="n">
        <v>0</v>
      </c>
      <c r="AV1501" s="49" t="n">
        <v>0</v>
      </c>
      <c r="AW1501" s="50" t="n">
        <v>0</v>
      </c>
      <c r="AX1501" s="51" t="n">
        <v>0</v>
      </c>
      <c r="AY1501" s="52" t="n">
        <v>0</v>
      </c>
      <c r="AZ1501" s="52" t="n">
        <v>0</v>
      </c>
      <c r="BA1501" s="52" t="n">
        <v>0</v>
      </c>
      <c r="BB1501" s="53" t="n">
        <v>0</v>
      </c>
      <c r="BC1501" s="52" t="n">
        <v>0</v>
      </c>
      <c r="BD1501" s="53" t="n">
        <v>0</v>
      </c>
      <c r="BE1501" s="52" t="n">
        <v>0</v>
      </c>
      <c r="BF1501" s="51" t="n">
        <v>0</v>
      </c>
    </row>
    <row r="1502">
      <c r="A1502">
        <f>HYPERLINK("https://www.walmart.com/ip/158936654", "158936654")</f>
        <v/>
      </c>
      <c r="B1502" t="inlineStr">
        <is>
          <t>Vina 2-bottle Red Wine Carrier Bag Champagne Carrying Tote Picnic Cooler Insulated Travel Wine Case Brown +Free Corkscrew</t>
        </is>
      </c>
      <c r="C1502" t="inlineStr">
        <is>
          <t>VINAWB001BK</t>
        </is>
      </c>
      <c r="E1502" t="inlineStr">
        <is>
          <t>Vina</t>
        </is>
      </c>
      <c r="G1502" s="48" t="n">
        <v>0</v>
      </c>
      <c r="H1502" s="49" t="n">
        <v>0</v>
      </c>
      <c r="I1502" s="49" t="n">
        <v>0</v>
      </c>
      <c r="J1502" s="50" t="n">
        <v>0</v>
      </c>
      <c r="K1502" s="51" t="n">
        <v>0</v>
      </c>
      <c r="L1502" s="52" t="n">
        <v>0</v>
      </c>
      <c r="M1502" s="52" t="n">
        <v>0</v>
      </c>
      <c r="N1502" s="52" t="n">
        <v>0</v>
      </c>
      <c r="O1502" s="53" t="n">
        <v>0</v>
      </c>
      <c r="P1502" s="52" t="n">
        <v>0</v>
      </c>
      <c r="Q1502" s="53" t="n">
        <v>0</v>
      </c>
      <c r="R1502" s="52" t="n">
        <v>0</v>
      </c>
      <c r="S1502" s="51" t="n">
        <v>0</v>
      </c>
      <c r="T1502" s="48" t="n">
        <v>0</v>
      </c>
      <c r="U1502" s="49" t="n">
        <v>0</v>
      </c>
      <c r="V1502" s="49" t="n">
        <v>0</v>
      </c>
      <c r="W1502" s="50" t="n">
        <v>0</v>
      </c>
      <c r="X1502" s="51" t="n">
        <v>0</v>
      </c>
      <c r="Y1502" s="52" t="n">
        <v>0</v>
      </c>
      <c r="Z1502" s="52" t="n">
        <v>0</v>
      </c>
      <c r="AA1502" s="52" t="n">
        <v>0</v>
      </c>
      <c r="AB1502" s="53" t="n">
        <v>0</v>
      </c>
      <c r="AC1502" s="52" t="n">
        <v>0</v>
      </c>
      <c r="AD1502" s="53" t="n">
        <v>0</v>
      </c>
      <c r="AE1502" s="52" t="n">
        <v>0</v>
      </c>
      <c r="AF1502" s="51" t="n">
        <v>0</v>
      </c>
      <c r="AG1502" s="48" t="n">
        <v>0</v>
      </c>
      <c r="AH1502" s="49" t="n">
        <v>0</v>
      </c>
      <c r="AI1502" s="49" t="n">
        <v>0</v>
      </c>
      <c r="AJ1502" s="50" t="n">
        <v>0</v>
      </c>
      <c r="AK1502" s="51" t="n">
        <v>0</v>
      </c>
      <c r="AL1502" s="52" t="n">
        <v>0</v>
      </c>
      <c r="AM1502" s="52" t="n">
        <v>0</v>
      </c>
      <c r="AN1502" s="52" t="n">
        <v>0</v>
      </c>
      <c r="AO1502" s="53" t="n">
        <v>0</v>
      </c>
      <c r="AP1502" s="52" t="n">
        <v>0</v>
      </c>
      <c r="AQ1502" s="53" t="n">
        <v>0</v>
      </c>
      <c r="AR1502" s="52" t="n">
        <v>0</v>
      </c>
      <c r="AS1502" s="51" t="n">
        <v>0</v>
      </c>
      <c r="AT1502" s="48" t="n">
        <v>0</v>
      </c>
      <c r="AU1502" s="49" t="n">
        <v>0</v>
      </c>
      <c r="AV1502" s="49" t="n">
        <v>0</v>
      </c>
      <c r="AW1502" s="50" t="n">
        <v>0</v>
      </c>
      <c r="AX1502" s="51" t="n">
        <v>0</v>
      </c>
      <c r="AY1502" s="52" t="n">
        <v>0</v>
      </c>
      <c r="AZ1502" s="52" t="n">
        <v>0</v>
      </c>
      <c r="BA1502" s="52" t="n">
        <v>0</v>
      </c>
      <c r="BB1502" s="53" t="n">
        <v>0</v>
      </c>
      <c r="BC1502" s="52" t="n">
        <v>0</v>
      </c>
      <c r="BD1502" s="53" t="n">
        <v>0</v>
      </c>
      <c r="BE1502" s="52" t="n">
        <v>0</v>
      </c>
      <c r="BF1502" s="51" t="n">
        <v>0</v>
      </c>
    </row>
    <row r="1503">
      <c r="A1503">
        <f>HYPERLINK("https://www.walmart.com/ip/159002752", "159002752")</f>
        <v/>
      </c>
      <c r="B1503" t="inlineStr">
        <is>
          <t>Terra Wide Brim Sun Hat with Neck Flap, Adjustable Strap Fishing Camping Cap for Unisex Adult, Khak</t>
        </is>
      </c>
      <c r="C1503" t="inlineStr">
        <is>
          <t>TR-S9152KK-JWCB</t>
        </is>
      </c>
      <c r="D1503" t="inlineStr">
        <is>
          <t>Hats</t>
        </is>
      </c>
      <c r="E1503" t="inlineStr">
        <is>
          <t>Terra</t>
        </is>
      </c>
      <c r="F1503" t="inlineStr">
        <is>
          <t>Optimized</t>
        </is>
      </c>
      <c r="G1503" s="48" t="n">
        <v>0</v>
      </c>
      <c r="H1503" s="49" t="n">
        <v>0</v>
      </c>
      <c r="I1503" s="49" t="n">
        <v>0</v>
      </c>
      <c r="J1503" s="50" t="n">
        <v>0</v>
      </c>
      <c r="K1503" s="51" t="n">
        <v>0</v>
      </c>
      <c r="L1503" s="52" t="n">
        <v>0</v>
      </c>
      <c r="M1503" s="52" t="n">
        <v>0</v>
      </c>
      <c r="N1503" s="52" t="n">
        <v>0</v>
      </c>
      <c r="O1503" s="53" t="n">
        <v>0</v>
      </c>
      <c r="P1503" s="52" t="n">
        <v>0</v>
      </c>
      <c r="Q1503" s="53" t="n">
        <v>0</v>
      </c>
      <c r="R1503" s="52" t="n">
        <v>0</v>
      </c>
      <c r="S1503" s="51" t="n">
        <v>0</v>
      </c>
      <c r="T1503" s="48" t="n">
        <v>0</v>
      </c>
      <c r="U1503" s="49" t="n">
        <v>0</v>
      </c>
      <c r="V1503" s="49" t="n">
        <v>0</v>
      </c>
      <c r="W1503" s="50" t="n">
        <v>0</v>
      </c>
      <c r="X1503" s="51" t="n">
        <v>0</v>
      </c>
      <c r="Y1503" s="52" t="n">
        <v>0</v>
      </c>
      <c r="Z1503" s="52" t="n">
        <v>0</v>
      </c>
      <c r="AA1503" s="52" t="n">
        <v>0</v>
      </c>
      <c r="AB1503" s="53" t="n">
        <v>0</v>
      </c>
      <c r="AC1503" s="52" t="n">
        <v>0</v>
      </c>
      <c r="AD1503" s="53" t="n">
        <v>0</v>
      </c>
      <c r="AE1503" s="52" t="n">
        <v>0</v>
      </c>
      <c r="AF1503" s="51" t="n">
        <v>0</v>
      </c>
      <c r="AG1503" s="48" t="n">
        <v>0</v>
      </c>
      <c r="AH1503" s="49" t="n">
        <v>0</v>
      </c>
      <c r="AI1503" s="49" t="n">
        <v>0</v>
      </c>
      <c r="AJ1503" s="50" t="n">
        <v>0</v>
      </c>
      <c r="AK1503" s="51" t="n">
        <v>0</v>
      </c>
      <c r="AL1503" s="52" t="n">
        <v>0</v>
      </c>
      <c r="AM1503" s="52" t="n">
        <v>0</v>
      </c>
      <c r="AN1503" s="52" t="n">
        <v>0</v>
      </c>
      <c r="AO1503" s="53" t="n">
        <v>0</v>
      </c>
      <c r="AP1503" s="52" t="n">
        <v>0</v>
      </c>
      <c r="AQ1503" s="53" t="n">
        <v>0</v>
      </c>
      <c r="AR1503" s="52" t="n">
        <v>0</v>
      </c>
      <c r="AS1503" s="51" t="n">
        <v>0</v>
      </c>
      <c r="AT1503" s="48" t="n">
        <v>0</v>
      </c>
      <c r="AU1503" s="49" t="n">
        <v>0</v>
      </c>
      <c r="AV1503" s="49" t="n">
        <v>0</v>
      </c>
      <c r="AW1503" s="50" t="n">
        <v>0</v>
      </c>
      <c r="AX1503" s="51" t="n">
        <v>0</v>
      </c>
      <c r="AY1503" s="52" t="n">
        <v>0</v>
      </c>
      <c r="AZ1503" s="52" t="n">
        <v>0</v>
      </c>
      <c r="BA1503" s="52" t="n">
        <v>0</v>
      </c>
      <c r="BB1503" s="53" t="n">
        <v>0</v>
      </c>
      <c r="BC1503" s="52" t="n">
        <v>0</v>
      </c>
      <c r="BD1503" s="53" t="n">
        <v>0</v>
      </c>
      <c r="BE1503" s="52" t="n">
        <v>0</v>
      </c>
      <c r="BF1503" s="51" t="n">
        <v>0</v>
      </c>
    </row>
    <row r="1504">
      <c r="A1504">
        <f>HYPERLINK("https://www.walmart.com/ip/159046288", "159046288")</f>
        <v/>
      </c>
      <c r="B1504" t="inlineStr">
        <is>
          <t>Sherpa Wearable Blanket with Sleeves Arms, Super Soft Warm Comfy Large Fleece Plush Sleeved TV Throws Wrap Robe Blanket for Adult Women and Men, Cow</t>
        </is>
      </c>
      <c r="C1504" t="inlineStr">
        <is>
          <t>1CTSN110DMT</t>
        </is>
      </c>
      <c r="D1504" t="inlineStr">
        <is>
          <t>Throws</t>
        </is>
      </c>
      <c r="E1504" t="inlineStr">
        <is>
          <t>Catalonia</t>
        </is>
      </c>
      <c r="F1504" t="inlineStr">
        <is>
          <t>Q2-Target,WFS,Coupon_Discount,WFS Item</t>
        </is>
      </c>
      <c r="G1504" s="48" t="n">
        <v>0</v>
      </c>
      <c r="H1504" s="49" t="n">
        <v>0</v>
      </c>
      <c r="I1504" s="49" t="n">
        <v>0</v>
      </c>
      <c r="J1504" s="50" t="n">
        <v>0</v>
      </c>
      <c r="K1504" s="51" t="n">
        <v>0</v>
      </c>
      <c r="L1504" s="52" t="n">
        <v>0</v>
      </c>
      <c r="M1504" s="52" t="n">
        <v>0</v>
      </c>
      <c r="N1504" s="52" t="n">
        <v>0</v>
      </c>
      <c r="O1504" s="53" t="n">
        <v>0</v>
      </c>
      <c r="P1504" s="52" t="n">
        <v>0</v>
      </c>
      <c r="Q1504" s="53" t="n">
        <v>0</v>
      </c>
      <c r="R1504" s="52" t="n">
        <v>0</v>
      </c>
      <c r="S1504" s="51" t="n">
        <v>0</v>
      </c>
      <c r="T1504" s="48" t="n">
        <v>0</v>
      </c>
      <c r="U1504" s="49" t="n">
        <v>0</v>
      </c>
      <c r="V1504" s="49" t="n">
        <v>0</v>
      </c>
      <c r="W1504" s="50" t="n">
        <v>0</v>
      </c>
      <c r="X1504" s="51" t="n">
        <v>0</v>
      </c>
      <c r="Y1504" s="52" t="n">
        <v>0</v>
      </c>
      <c r="Z1504" s="52" t="n">
        <v>0</v>
      </c>
      <c r="AA1504" s="52" t="n">
        <v>0</v>
      </c>
      <c r="AB1504" s="53" t="n">
        <v>0</v>
      </c>
      <c r="AC1504" s="52" t="n">
        <v>0</v>
      </c>
      <c r="AD1504" s="53" t="n">
        <v>0</v>
      </c>
      <c r="AE1504" s="52" t="n">
        <v>0</v>
      </c>
      <c r="AF1504" s="51" t="n">
        <v>0</v>
      </c>
      <c r="AG1504" s="48" t="n">
        <v>0</v>
      </c>
      <c r="AH1504" s="49" t="n">
        <v>0</v>
      </c>
      <c r="AI1504" s="49" t="n">
        <v>0</v>
      </c>
      <c r="AJ1504" s="50" t="n">
        <v>0</v>
      </c>
      <c r="AK1504" s="51" t="n">
        <v>0</v>
      </c>
      <c r="AL1504" s="52" t="n">
        <v>0</v>
      </c>
      <c r="AM1504" s="52" t="n">
        <v>0</v>
      </c>
      <c r="AN1504" s="52" t="n">
        <v>0</v>
      </c>
      <c r="AO1504" s="53" t="n">
        <v>0</v>
      </c>
      <c r="AP1504" s="52" t="n">
        <v>0</v>
      </c>
      <c r="AQ1504" s="53" t="n">
        <v>0</v>
      </c>
      <c r="AR1504" s="52" t="n">
        <v>0</v>
      </c>
      <c r="AS1504" s="51" t="n">
        <v>0</v>
      </c>
      <c r="AT1504" s="48" t="n">
        <v>0</v>
      </c>
      <c r="AU1504" s="49" t="n">
        <v>0</v>
      </c>
      <c r="AV1504" s="49" t="n">
        <v>0</v>
      </c>
      <c r="AW1504" s="50" t="n">
        <v>0</v>
      </c>
      <c r="AX1504" s="51" t="n">
        <v>0</v>
      </c>
      <c r="AY1504" s="52" t="n">
        <v>0</v>
      </c>
      <c r="AZ1504" s="52" t="n">
        <v>0</v>
      </c>
      <c r="BA1504" s="52" t="n">
        <v>0</v>
      </c>
      <c r="BB1504" s="53" t="n">
        <v>0</v>
      </c>
      <c r="BC1504" s="52" t="n">
        <v>0</v>
      </c>
      <c r="BD1504" s="53" t="n">
        <v>0</v>
      </c>
      <c r="BE1504" s="52" t="n">
        <v>0</v>
      </c>
      <c r="BF1504" s="51" t="n">
        <v>0</v>
      </c>
    </row>
    <row r="1505">
      <c r="A1505">
        <f>HYPERLINK("https://www.walmart.com/ip/159141420", "159141420")</f>
        <v/>
      </c>
      <c r="B1505" t="inlineStr">
        <is>
          <t>Tirrinia Single Wine Tote Bag, Insulated Padded Thermal Wine Bottle Carrying Cooler Carrier for Travel, Picnic, Perfect Gift for Wine Lover, Blue Stripe</t>
        </is>
      </c>
      <c r="C1505" t="inlineStr">
        <is>
          <t>1KTWB100STR</t>
        </is>
      </c>
      <c r="D1505" t="inlineStr">
        <is>
          <t>Wine Totes, Bags &amp; Backpacks</t>
        </is>
      </c>
      <c r="E1505" t="inlineStr">
        <is>
          <t>Tirrinia</t>
        </is>
      </c>
      <c r="F1505" t="inlineStr">
        <is>
          <t>Wine,Wine Bag Camp,Christmas,Optimized,Wine WFS,Valentine,SEM</t>
        </is>
      </c>
      <c r="G1505" s="48" t="n">
        <v>0</v>
      </c>
      <c r="H1505" s="49" t="n">
        <v>0</v>
      </c>
      <c r="I1505" s="49" t="n">
        <v>0</v>
      </c>
      <c r="J1505" s="50" t="n">
        <v>0</v>
      </c>
      <c r="K1505" s="51" t="n">
        <v>0</v>
      </c>
      <c r="L1505" s="52" t="n">
        <v>0</v>
      </c>
      <c r="M1505" s="52" t="n">
        <v>0</v>
      </c>
      <c r="N1505" s="52" t="n">
        <v>0</v>
      </c>
      <c r="O1505" s="53" t="n">
        <v>0</v>
      </c>
      <c r="P1505" s="52" t="n">
        <v>0</v>
      </c>
      <c r="Q1505" s="53" t="n">
        <v>0</v>
      </c>
      <c r="R1505" s="52" t="n">
        <v>0</v>
      </c>
      <c r="S1505" s="51" t="n">
        <v>0</v>
      </c>
      <c r="T1505" s="48" t="n">
        <v>0</v>
      </c>
      <c r="U1505" s="49" t="n">
        <v>0</v>
      </c>
      <c r="V1505" s="49" t="n">
        <v>0</v>
      </c>
      <c r="W1505" s="50" t="n">
        <v>0</v>
      </c>
      <c r="X1505" s="51" t="n">
        <v>0</v>
      </c>
      <c r="Y1505" s="52" t="n">
        <v>0</v>
      </c>
      <c r="Z1505" s="52" t="n">
        <v>0</v>
      </c>
      <c r="AA1505" s="52" t="n">
        <v>0</v>
      </c>
      <c r="AB1505" s="53" t="n">
        <v>0</v>
      </c>
      <c r="AC1505" s="52" t="n">
        <v>0</v>
      </c>
      <c r="AD1505" s="53" t="n">
        <v>0</v>
      </c>
      <c r="AE1505" s="52" t="n">
        <v>0</v>
      </c>
      <c r="AF1505" s="51" t="n">
        <v>0</v>
      </c>
      <c r="AG1505" s="48" t="n">
        <v>0</v>
      </c>
      <c r="AH1505" s="49" t="n">
        <v>0</v>
      </c>
      <c r="AI1505" s="49" t="n">
        <v>0</v>
      </c>
      <c r="AJ1505" s="50" t="n">
        <v>0</v>
      </c>
      <c r="AK1505" s="51" t="n">
        <v>0</v>
      </c>
      <c r="AL1505" s="52" t="n">
        <v>0</v>
      </c>
      <c r="AM1505" s="52" t="n">
        <v>0</v>
      </c>
      <c r="AN1505" s="52" t="n">
        <v>0</v>
      </c>
      <c r="AO1505" s="53" t="n">
        <v>0</v>
      </c>
      <c r="AP1505" s="52" t="n">
        <v>0</v>
      </c>
      <c r="AQ1505" s="53" t="n">
        <v>0</v>
      </c>
      <c r="AR1505" s="52" t="n">
        <v>0</v>
      </c>
      <c r="AS1505" s="51" t="n">
        <v>0</v>
      </c>
      <c r="AT1505" s="48" t="n">
        <v>0</v>
      </c>
      <c r="AU1505" s="49" t="n">
        <v>0</v>
      </c>
      <c r="AV1505" s="49" t="n">
        <v>0</v>
      </c>
      <c r="AW1505" s="50" t="n">
        <v>0</v>
      </c>
      <c r="AX1505" s="51" t="n">
        <v>0</v>
      </c>
      <c r="AY1505" s="52" t="n">
        <v>0</v>
      </c>
      <c r="AZ1505" s="52" t="n">
        <v>0</v>
      </c>
      <c r="BA1505" s="52" t="n">
        <v>0</v>
      </c>
      <c r="BB1505" s="53" t="n">
        <v>0</v>
      </c>
      <c r="BC1505" s="52" t="n">
        <v>0</v>
      </c>
      <c r="BD1505" s="53" t="n">
        <v>0</v>
      </c>
      <c r="BE1505" s="52" t="n">
        <v>0</v>
      </c>
      <c r="BF1505" s="51" t="n">
        <v>0</v>
      </c>
    </row>
    <row r="1506">
      <c r="A1506">
        <f>HYPERLINK("https://www.walmart.com/ip/159298222", "159298222")</f>
        <v/>
      </c>
      <c r="B1506" t="inlineStr">
        <is>
          <t>Tirrinia Insulated 2 Bottle Wine Carrier Tote Cooler Bag for Travel Picnic Padded Champagne Glass</t>
        </is>
      </c>
      <c r="C1506" t="inlineStr">
        <is>
          <t>1WMWB230GY</t>
        </is>
      </c>
      <c r="D1506" t="inlineStr">
        <is>
          <t>Wine Totes, Bags &amp; Backpacks</t>
        </is>
      </c>
      <c r="E1506" t="inlineStr">
        <is>
          <t>Flyingstar</t>
        </is>
      </c>
      <c r="F1506" t="inlineStr">
        <is>
          <t>Wine,Christmas,Valentine</t>
        </is>
      </c>
      <c r="G1506" s="48" t="n">
        <v>0</v>
      </c>
      <c r="H1506" s="49" t="n">
        <v>0</v>
      </c>
      <c r="I1506" s="49" t="n">
        <v>0</v>
      </c>
      <c r="J1506" s="50" t="n">
        <v>0</v>
      </c>
      <c r="K1506" s="51" t="n">
        <v>0</v>
      </c>
      <c r="L1506" s="52" t="n">
        <v>0</v>
      </c>
      <c r="M1506" s="52" t="n">
        <v>0</v>
      </c>
      <c r="N1506" s="52" t="n">
        <v>0</v>
      </c>
      <c r="O1506" s="53" t="n">
        <v>0</v>
      </c>
      <c r="P1506" s="52" t="n">
        <v>0</v>
      </c>
      <c r="Q1506" s="53" t="n">
        <v>0</v>
      </c>
      <c r="R1506" s="52" t="n">
        <v>0</v>
      </c>
      <c r="S1506" s="51" t="n">
        <v>0</v>
      </c>
      <c r="T1506" s="48" t="n">
        <v>0</v>
      </c>
      <c r="U1506" s="49" t="n">
        <v>0</v>
      </c>
      <c r="V1506" s="49" t="n">
        <v>0</v>
      </c>
      <c r="W1506" s="50" t="n">
        <v>0</v>
      </c>
      <c r="X1506" s="51" t="n">
        <v>0</v>
      </c>
      <c r="Y1506" s="52" t="n">
        <v>0</v>
      </c>
      <c r="Z1506" s="52" t="n">
        <v>0</v>
      </c>
      <c r="AA1506" s="52" t="n">
        <v>0</v>
      </c>
      <c r="AB1506" s="53" t="n">
        <v>0</v>
      </c>
      <c r="AC1506" s="52" t="n">
        <v>0</v>
      </c>
      <c r="AD1506" s="53" t="n">
        <v>0</v>
      </c>
      <c r="AE1506" s="52" t="n">
        <v>0</v>
      </c>
      <c r="AF1506" s="51" t="n">
        <v>0</v>
      </c>
      <c r="AG1506" s="48" t="n">
        <v>0</v>
      </c>
      <c r="AH1506" s="49" t="n">
        <v>0</v>
      </c>
      <c r="AI1506" s="49" t="n">
        <v>0</v>
      </c>
      <c r="AJ1506" s="50" t="n">
        <v>0</v>
      </c>
      <c r="AK1506" s="51" t="n">
        <v>0</v>
      </c>
      <c r="AL1506" s="52" t="n">
        <v>0</v>
      </c>
      <c r="AM1506" s="52" t="n">
        <v>0</v>
      </c>
      <c r="AN1506" s="52" t="n">
        <v>0</v>
      </c>
      <c r="AO1506" s="53" t="n">
        <v>0</v>
      </c>
      <c r="AP1506" s="52" t="n">
        <v>0</v>
      </c>
      <c r="AQ1506" s="53" t="n">
        <v>0</v>
      </c>
      <c r="AR1506" s="52" t="n">
        <v>0</v>
      </c>
      <c r="AS1506" s="51" t="n">
        <v>0</v>
      </c>
      <c r="AT1506" s="48" t="n">
        <v>0</v>
      </c>
      <c r="AU1506" s="49" t="n">
        <v>0</v>
      </c>
      <c r="AV1506" s="49" t="n">
        <v>0</v>
      </c>
      <c r="AW1506" s="50" t="n">
        <v>0</v>
      </c>
      <c r="AX1506" s="51" t="n">
        <v>0</v>
      </c>
      <c r="AY1506" s="52" t="n">
        <v>0</v>
      </c>
      <c r="AZ1506" s="52" t="n">
        <v>0</v>
      </c>
      <c r="BA1506" s="52" t="n">
        <v>0</v>
      </c>
      <c r="BB1506" s="53" t="n">
        <v>0</v>
      </c>
      <c r="BC1506" s="52" t="n">
        <v>0</v>
      </c>
      <c r="BD1506" s="53" t="n">
        <v>0</v>
      </c>
      <c r="BE1506" s="52" t="n">
        <v>0</v>
      </c>
      <c r="BF1506" s="51" t="n">
        <v>0</v>
      </c>
    </row>
    <row r="1507">
      <c r="A1507">
        <f>HYPERLINK("https://www.walmart.com/ip/159323359", "159323359")</f>
        <v/>
      </c>
      <c r="B1507" t="inlineStr">
        <is>
          <t>JenniWears® Women's Sexy Eyelash Underwire Sleepwear Bra and Skirt Set</t>
        </is>
      </c>
      <c r="C1507" t="inlineStr">
        <is>
          <t>JWBASS01BK-M</t>
        </is>
      </c>
      <c r="D1507" t="inlineStr">
        <is>
          <t>Lingerie Sets</t>
        </is>
      </c>
      <c r="E1507" t="inlineStr">
        <is>
          <t>JenniWears</t>
        </is>
      </c>
      <c r="F1507" t="inlineStr">
        <is>
          <t>Optimized,Valentine</t>
        </is>
      </c>
      <c r="G1507" s="48" t="n">
        <v>0</v>
      </c>
      <c r="H1507" s="49" t="n">
        <v>0</v>
      </c>
      <c r="I1507" s="49" t="n">
        <v>0</v>
      </c>
      <c r="J1507" s="50" t="n">
        <v>0</v>
      </c>
      <c r="K1507" s="51" t="n">
        <v>0</v>
      </c>
      <c r="L1507" s="52" t="n">
        <v>0</v>
      </c>
      <c r="M1507" s="52" t="n">
        <v>0</v>
      </c>
      <c r="N1507" s="52" t="n">
        <v>0</v>
      </c>
      <c r="O1507" s="53" t="n">
        <v>0</v>
      </c>
      <c r="P1507" s="52" t="n">
        <v>0</v>
      </c>
      <c r="Q1507" s="53" t="n">
        <v>0</v>
      </c>
      <c r="R1507" s="52" t="n">
        <v>0</v>
      </c>
      <c r="S1507" s="51" t="n">
        <v>0</v>
      </c>
      <c r="T1507" s="48" t="n">
        <v>0</v>
      </c>
      <c r="U1507" s="49" t="n">
        <v>0</v>
      </c>
      <c r="V1507" s="49" t="n">
        <v>0</v>
      </c>
      <c r="W1507" s="50" t="n">
        <v>0</v>
      </c>
      <c r="X1507" s="51" t="n">
        <v>0</v>
      </c>
      <c r="Y1507" s="52" t="n">
        <v>0</v>
      </c>
      <c r="Z1507" s="52" t="n">
        <v>0</v>
      </c>
      <c r="AA1507" s="52" t="n">
        <v>0</v>
      </c>
      <c r="AB1507" s="53" t="n">
        <v>0</v>
      </c>
      <c r="AC1507" s="52" t="n">
        <v>0</v>
      </c>
      <c r="AD1507" s="53" t="n">
        <v>0</v>
      </c>
      <c r="AE1507" s="52" t="n">
        <v>0</v>
      </c>
      <c r="AF1507" s="51" t="n">
        <v>0</v>
      </c>
      <c r="AG1507" s="48" t="n">
        <v>0</v>
      </c>
      <c r="AH1507" s="49" t="n">
        <v>0</v>
      </c>
      <c r="AI1507" s="49" t="n">
        <v>0</v>
      </c>
      <c r="AJ1507" s="50" t="n">
        <v>0</v>
      </c>
      <c r="AK1507" s="51" t="n">
        <v>0</v>
      </c>
      <c r="AL1507" s="52" t="n">
        <v>0</v>
      </c>
      <c r="AM1507" s="52" t="n">
        <v>0</v>
      </c>
      <c r="AN1507" s="52" t="n">
        <v>0</v>
      </c>
      <c r="AO1507" s="53" t="n">
        <v>0</v>
      </c>
      <c r="AP1507" s="52" t="n">
        <v>0</v>
      </c>
      <c r="AQ1507" s="53" t="n">
        <v>0</v>
      </c>
      <c r="AR1507" s="52" t="n">
        <v>0</v>
      </c>
      <c r="AS1507" s="51" t="n">
        <v>0</v>
      </c>
      <c r="AT1507" s="48" t="n">
        <v>0</v>
      </c>
      <c r="AU1507" s="49" t="n">
        <v>0</v>
      </c>
      <c r="AV1507" s="49" t="n">
        <v>0</v>
      </c>
      <c r="AW1507" s="50" t="n">
        <v>0</v>
      </c>
      <c r="AX1507" s="51" t="n">
        <v>0</v>
      </c>
      <c r="AY1507" s="52" t="n">
        <v>0</v>
      </c>
      <c r="AZ1507" s="52" t="n">
        <v>0</v>
      </c>
      <c r="BA1507" s="52" t="n">
        <v>0</v>
      </c>
      <c r="BB1507" s="53" t="n">
        <v>0</v>
      </c>
      <c r="BC1507" s="52" t="n">
        <v>0</v>
      </c>
      <c r="BD1507" s="53" t="n">
        <v>0</v>
      </c>
      <c r="BE1507" s="52" t="n">
        <v>0</v>
      </c>
      <c r="BF1507" s="51" t="n">
        <v>0</v>
      </c>
    </row>
    <row r="1508">
      <c r="A1508">
        <f>HYPERLINK("https://www.walmart.com/ip/159343795", "159343795")</f>
        <v/>
      </c>
      <c r="B1508" t="inlineStr">
        <is>
          <t>KC Caps Pom Pom Toque Beanie</t>
        </is>
      </c>
      <c r="C1508" t="inlineStr">
        <is>
          <t>KCW1711PK</t>
        </is>
      </c>
      <c r="D1508" t="inlineStr">
        <is>
          <t>Hats</t>
        </is>
      </c>
      <c r="E1508" t="inlineStr">
        <is>
          <t>KC Caps</t>
        </is>
      </c>
      <c r="F1508" t="inlineStr">
        <is>
          <t>Optimized</t>
        </is>
      </c>
      <c r="G1508" s="48" t="n">
        <v>0</v>
      </c>
      <c r="H1508" s="49" t="n">
        <v>0</v>
      </c>
      <c r="I1508" s="49" t="n">
        <v>0</v>
      </c>
      <c r="J1508" s="50" t="n">
        <v>0</v>
      </c>
      <c r="K1508" s="51" t="n">
        <v>0</v>
      </c>
      <c r="L1508" s="52" t="n">
        <v>0</v>
      </c>
      <c r="M1508" s="52" t="n">
        <v>0</v>
      </c>
      <c r="N1508" s="52" t="n">
        <v>0</v>
      </c>
      <c r="O1508" s="53" t="n">
        <v>0</v>
      </c>
      <c r="P1508" s="52" t="n">
        <v>0</v>
      </c>
      <c r="Q1508" s="53" t="n">
        <v>0</v>
      </c>
      <c r="R1508" s="52" t="n">
        <v>0</v>
      </c>
      <c r="S1508" s="51" t="n">
        <v>0</v>
      </c>
      <c r="T1508" s="48" t="n">
        <v>0</v>
      </c>
      <c r="U1508" s="49" t="n">
        <v>0</v>
      </c>
      <c r="V1508" s="49" t="n">
        <v>0</v>
      </c>
      <c r="W1508" s="50" t="n">
        <v>0</v>
      </c>
      <c r="X1508" s="51" t="n">
        <v>0</v>
      </c>
      <c r="Y1508" s="52" t="n">
        <v>0</v>
      </c>
      <c r="Z1508" s="52" t="n">
        <v>0</v>
      </c>
      <c r="AA1508" s="52" t="n">
        <v>0</v>
      </c>
      <c r="AB1508" s="53" t="n">
        <v>0</v>
      </c>
      <c r="AC1508" s="52" t="n">
        <v>0</v>
      </c>
      <c r="AD1508" s="53" t="n">
        <v>0</v>
      </c>
      <c r="AE1508" s="52" t="n">
        <v>0</v>
      </c>
      <c r="AF1508" s="51" t="n">
        <v>0</v>
      </c>
      <c r="AG1508" s="48" t="n">
        <v>0</v>
      </c>
      <c r="AH1508" s="49" t="n">
        <v>0</v>
      </c>
      <c r="AI1508" s="49" t="n">
        <v>0</v>
      </c>
      <c r="AJ1508" s="50" t="n">
        <v>0</v>
      </c>
      <c r="AK1508" s="51" t="n">
        <v>0</v>
      </c>
      <c r="AL1508" s="52" t="n">
        <v>0</v>
      </c>
      <c r="AM1508" s="52" t="n">
        <v>0</v>
      </c>
      <c r="AN1508" s="52" t="n">
        <v>0</v>
      </c>
      <c r="AO1508" s="53" t="n">
        <v>0</v>
      </c>
      <c r="AP1508" s="52" t="n">
        <v>0</v>
      </c>
      <c r="AQ1508" s="53" t="n">
        <v>0</v>
      </c>
      <c r="AR1508" s="52" t="n">
        <v>0</v>
      </c>
      <c r="AS1508" s="51" t="n">
        <v>0</v>
      </c>
      <c r="AT1508" s="48" t="n">
        <v>0</v>
      </c>
      <c r="AU1508" s="49" t="n">
        <v>0</v>
      </c>
      <c r="AV1508" s="49" t="n">
        <v>0</v>
      </c>
      <c r="AW1508" s="50" t="n">
        <v>0</v>
      </c>
      <c r="AX1508" s="51" t="n">
        <v>0</v>
      </c>
      <c r="AY1508" s="52" t="n">
        <v>0</v>
      </c>
      <c r="AZ1508" s="52" t="n">
        <v>0</v>
      </c>
      <c r="BA1508" s="52" t="n">
        <v>0</v>
      </c>
      <c r="BB1508" s="53" t="n">
        <v>0</v>
      </c>
      <c r="BC1508" s="52" t="n">
        <v>0</v>
      </c>
      <c r="BD1508" s="53" t="n">
        <v>0</v>
      </c>
      <c r="BE1508" s="52" t="n">
        <v>0</v>
      </c>
      <c r="BF1508" s="51" t="n">
        <v>0</v>
      </c>
    </row>
    <row r="1509">
      <c r="A1509">
        <f>HYPERLINK("https://www.walmart.com/ip/15943151925", "15943151925")</f>
        <v/>
      </c>
      <c r="B1509" t="inlineStr">
        <is>
          <t>Wrangler Backpack for Men and Women, Water Resistant Casual Daypack for Travel, Work School</t>
        </is>
      </c>
      <c r="C1509" t="inlineStr">
        <is>
          <t>1WRBPK93932BK</t>
        </is>
      </c>
      <c r="D1509" t="inlineStr">
        <is>
          <t>Backpacks</t>
        </is>
      </c>
      <c r="E1509" t="inlineStr">
        <is>
          <t>Wrangler</t>
        </is>
      </c>
      <c r="G1509" s="48" t="n">
        <v>0</v>
      </c>
      <c r="H1509" s="49" t="n">
        <v>0</v>
      </c>
      <c r="I1509" s="49" t="n">
        <v>0</v>
      </c>
      <c r="J1509" s="50" t="n">
        <v>0</v>
      </c>
      <c r="K1509" s="51" t="n">
        <v>0</v>
      </c>
      <c r="L1509" s="52" t="n">
        <v>0</v>
      </c>
      <c r="M1509" s="52" t="n">
        <v>0</v>
      </c>
      <c r="N1509" s="52" t="n">
        <v>0</v>
      </c>
      <c r="O1509" s="53" t="n">
        <v>0</v>
      </c>
      <c r="P1509" s="52" t="n">
        <v>0</v>
      </c>
      <c r="Q1509" s="53" t="n">
        <v>0</v>
      </c>
      <c r="R1509" s="52" t="n">
        <v>0</v>
      </c>
      <c r="S1509" s="51" t="n">
        <v>0</v>
      </c>
      <c r="T1509" s="48" t="n">
        <v>0</v>
      </c>
      <c r="U1509" s="49" t="n">
        <v>0</v>
      </c>
      <c r="V1509" s="49" t="n">
        <v>0</v>
      </c>
      <c r="W1509" s="50" t="n">
        <v>0</v>
      </c>
      <c r="X1509" s="51" t="n">
        <v>0</v>
      </c>
      <c r="Y1509" s="52" t="n">
        <v>0</v>
      </c>
      <c r="Z1509" s="52" t="n">
        <v>0</v>
      </c>
      <c r="AA1509" s="52" t="n">
        <v>0</v>
      </c>
      <c r="AB1509" s="53" t="n">
        <v>0</v>
      </c>
      <c r="AC1509" s="52" t="n">
        <v>0</v>
      </c>
      <c r="AD1509" s="53" t="n">
        <v>0</v>
      </c>
      <c r="AE1509" s="52" t="n">
        <v>0</v>
      </c>
      <c r="AF1509" s="51" t="n">
        <v>0</v>
      </c>
      <c r="AG1509" s="48" t="n">
        <v>0</v>
      </c>
      <c r="AH1509" s="49" t="n">
        <v>0</v>
      </c>
      <c r="AI1509" s="49" t="n">
        <v>0</v>
      </c>
      <c r="AJ1509" s="50" t="n">
        <v>0</v>
      </c>
      <c r="AK1509" s="51" t="n">
        <v>0</v>
      </c>
      <c r="AL1509" s="52" t="n">
        <v>0</v>
      </c>
      <c r="AM1509" s="52" t="n">
        <v>0</v>
      </c>
      <c r="AN1509" s="52" t="n">
        <v>0</v>
      </c>
      <c r="AO1509" s="53" t="n">
        <v>0</v>
      </c>
      <c r="AP1509" s="52" t="n">
        <v>0</v>
      </c>
      <c r="AQ1509" s="53" t="n">
        <v>0</v>
      </c>
      <c r="AR1509" s="52" t="n">
        <v>0</v>
      </c>
      <c r="AS1509" s="51" t="n">
        <v>0</v>
      </c>
      <c r="AT1509" s="48" t="n">
        <v>0</v>
      </c>
      <c r="AU1509" s="49" t="n">
        <v>0</v>
      </c>
      <c r="AV1509" s="49" t="n">
        <v>0</v>
      </c>
      <c r="AW1509" s="50" t="n">
        <v>0</v>
      </c>
      <c r="AX1509" s="51" t="n">
        <v>0</v>
      </c>
      <c r="AY1509" s="52" t="n">
        <v>0</v>
      </c>
      <c r="AZ1509" s="52" t="n">
        <v>0</v>
      </c>
      <c r="BA1509" s="52" t="n">
        <v>0</v>
      </c>
      <c r="BB1509" s="53" t="n">
        <v>0</v>
      </c>
      <c r="BC1509" s="52" t="n">
        <v>0</v>
      </c>
      <c r="BD1509" s="53" t="n">
        <v>0</v>
      </c>
      <c r="BE1509" s="52" t="n">
        <v>0</v>
      </c>
      <c r="BF1509" s="51" t="n">
        <v>0</v>
      </c>
    </row>
    <row r="1510">
      <c r="A1510">
        <f>HYPERLINK("https://www.walmart.com/ip/15947921277", "15947921277")</f>
        <v/>
      </c>
      <c r="B1510" t="inlineStr">
        <is>
          <t>Wrangler Toiletry Bag for Men, Travel Shaving Dopp Kit, Oxford Fabric Tech Kit Bathroom Organizer, Gifts for Men</t>
        </is>
      </c>
      <c r="C1510" t="inlineStr">
        <is>
          <t>1WRTTB93954BK</t>
        </is>
      </c>
      <c r="D1510" t="inlineStr">
        <is>
          <t>Toiletry Kits &amp; Bags</t>
        </is>
      </c>
      <c r="E1510" t="inlineStr">
        <is>
          <t>Wrangler</t>
        </is>
      </c>
      <c r="G1510" s="48" t="n">
        <v>0</v>
      </c>
      <c r="H1510" s="49" t="n">
        <v>0</v>
      </c>
      <c r="I1510" s="49" t="n">
        <v>0</v>
      </c>
      <c r="J1510" s="50" t="n">
        <v>0</v>
      </c>
      <c r="K1510" s="51" t="n">
        <v>0</v>
      </c>
      <c r="L1510" s="52" t="n">
        <v>0</v>
      </c>
      <c r="M1510" s="52" t="n">
        <v>0</v>
      </c>
      <c r="N1510" s="52" t="n">
        <v>0</v>
      </c>
      <c r="O1510" s="53" t="n">
        <v>0</v>
      </c>
      <c r="P1510" s="52" t="n">
        <v>0</v>
      </c>
      <c r="Q1510" s="53" t="n">
        <v>0</v>
      </c>
      <c r="R1510" s="52" t="n">
        <v>0</v>
      </c>
      <c r="S1510" s="51" t="n">
        <v>0</v>
      </c>
      <c r="T1510" s="48" t="n">
        <v>0</v>
      </c>
      <c r="U1510" s="49" t="n">
        <v>0</v>
      </c>
      <c r="V1510" s="49" t="n">
        <v>0</v>
      </c>
      <c r="W1510" s="50" t="n">
        <v>0</v>
      </c>
      <c r="X1510" s="51" t="n">
        <v>0</v>
      </c>
      <c r="Y1510" s="52" t="n">
        <v>0</v>
      </c>
      <c r="Z1510" s="52" t="n">
        <v>0</v>
      </c>
      <c r="AA1510" s="52" t="n">
        <v>0</v>
      </c>
      <c r="AB1510" s="53" t="n">
        <v>0</v>
      </c>
      <c r="AC1510" s="52" t="n">
        <v>0</v>
      </c>
      <c r="AD1510" s="53" t="n">
        <v>0</v>
      </c>
      <c r="AE1510" s="52" t="n">
        <v>0</v>
      </c>
      <c r="AF1510" s="51" t="n">
        <v>0</v>
      </c>
      <c r="AG1510" s="48" t="n">
        <v>0</v>
      </c>
      <c r="AH1510" s="49" t="n">
        <v>0</v>
      </c>
      <c r="AI1510" s="49" t="n">
        <v>0</v>
      </c>
      <c r="AJ1510" s="50" t="n">
        <v>0</v>
      </c>
      <c r="AK1510" s="51" t="n">
        <v>0</v>
      </c>
      <c r="AL1510" s="52" t="n">
        <v>0</v>
      </c>
      <c r="AM1510" s="52" t="n">
        <v>0</v>
      </c>
      <c r="AN1510" s="52" t="n">
        <v>0</v>
      </c>
      <c r="AO1510" s="53" t="n">
        <v>0</v>
      </c>
      <c r="AP1510" s="52" t="n">
        <v>0</v>
      </c>
      <c r="AQ1510" s="53" t="n">
        <v>0</v>
      </c>
      <c r="AR1510" s="52" t="n">
        <v>0</v>
      </c>
      <c r="AS1510" s="51" t="n">
        <v>0</v>
      </c>
      <c r="AT1510" s="48" t="n">
        <v>0</v>
      </c>
      <c r="AU1510" s="49" t="n">
        <v>0</v>
      </c>
      <c r="AV1510" s="49" t="n">
        <v>0</v>
      </c>
      <c r="AW1510" s="50" t="n">
        <v>0</v>
      </c>
      <c r="AX1510" s="51" t="n">
        <v>0</v>
      </c>
      <c r="AY1510" s="52" t="n">
        <v>0</v>
      </c>
      <c r="AZ1510" s="52" t="n">
        <v>0</v>
      </c>
      <c r="BA1510" s="52" t="n">
        <v>0</v>
      </c>
      <c r="BB1510" s="53" t="n">
        <v>0</v>
      </c>
      <c r="BC1510" s="52" t="n">
        <v>0</v>
      </c>
      <c r="BD1510" s="53" t="n">
        <v>0</v>
      </c>
      <c r="BE1510" s="52" t="n">
        <v>0</v>
      </c>
      <c r="BF1510" s="51" t="n">
        <v>0</v>
      </c>
    </row>
    <row r="1511">
      <c r="A1511">
        <f>HYPERLINK("https://www.walmart.com/ip/370524398", "370524398")</f>
        <v/>
      </c>
      <c r="B1511" t="inlineStr">
        <is>
          <t>Tirrinia Hooded Sherpa Bathrobe for Women, Long Plush Fuzzy Robe, Blue</t>
        </is>
      </c>
      <c r="C1511" t="inlineStr">
        <is>
          <t>1TRRB100BL</t>
        </is>
      </c>
      <c r="D1511" t="inlineStr">
        <is>
          <t>Sleepwear Robes &amp; Bathrobes</t>
        </is>
      </c>
      <c r="E1511" t="inlineStr">
        <is>
          <t>Tirrinia</t>
        </is>
      </c>
      <c r="F1511" t="inlineStr">
        <is>
          <t>Optimized,WFS,Bathrobe,Coupon_Discount,WFS Item</t>
        </is>
      </c>
      <c r="G1511" s="48" t="n">
        <v>0</v>
      </c>
      <c r="H1511" s="49" t="n">
        <v>0</v>
      </c>
      <c r="I1511" s="49" t="n">
        <v>0</v>
      </c>
      <c r="J1511" s="50" t="n">
        <v>0</v>
      </c>
      <c r="K1511" s="51" t="n">
        <v>0</v>
      </c>
      <c r="L1511" s="52" t="n">
        <v>0</v>
      </c>
      <c r="M1511" s="52" t="n">
        <v>0</v>
      </c>
      <c r="N1511" s="52" t="n">
        <v>0</v>
      </c>
      <c r="O1511" s="53" t="n">
        <v>0</v>
      </c>
      <c r="P1511" s="52" t="n">
        <v>0</v>
      </c>
      <c r="Q1511" s="53" t="n">
        <v>0</v>
      </c>
      <c r="R1511" s="52" t="n">
        <v>0</v>
      </c>
      <c r="S1511" s="51" t="n">
        <v>0</v>
      </c>
      <c r="T1511" s="48" t="n">
        <v>0</v>
      </c>
      <c r="U1511" s="49" t="n">
        <v>0</v>
      </c>
      <c r="V1511" s="49" t="n">
        <v>0</v>
      </c>
      <c r="W1511" s="50" t="n">
        <v>0</v>
      </c>
      <c r="X1511" s="51" t="n">
        <v>0</v>
      </c>
      <c r="Y1511" s="52" t="n">
        <v>0</v>
      </c>
      <c r="Z1511" s="52" t="n">
        <v>0</v>
      </c>
      <c r="AA1511" s="52" t="n">
        <v>0</v>
      </c>
      <c r="AB1511" s="53" t="n">
        <v>0</v>
      </c>
      <c r="AC1511" s="52" t="n">
        <v>0</v>
      </c>
      <c r="AD1511" s="53" t="n">
        <v>0</v>
      </c>
      <c r="AE1511" s="52" t="n">
        <v>0</v>
      </c>
      <c r="AF1511" s="51" t="n">
        <v>0</v>
      </c>
      <c r="AG1511" s="48" t="n">
        <v>0</v>
      </c>
      <c r="AH1511" s="49" t="n">
        <v>0</v>
      </c>
      <c r="AI1511" s="49" t="n">
        <v>0</v>
      </c>
      <c r="AJ1511" s="50" t="n">
        <v>0</v>
      </c>
      <c r="AK1511" s="51" t="n">
        <v>0</v>
      </c>
      <c r="AL1511" s="52" t="n">
        <v>0</v>
      </c>
      <c r="AM1511" s="52" t="n">
        <v>0</v>
      </c>
      <c r="AN1511" s="52" t="n">
        <v>0</v>
      </c>
      <c r="AO1511" s="53" t="n">
        <v>0</v>
      </c>
      <c r="AP1511" s="52" t="n">
        <v>0</v>
      </c>
      <c r="AQ1511" s="53" t="n">
        <v>0</v>
      </c>
      <c r="AR1511" s="52" t="n">
        <v>0</v>
      </c>
      <c r="AS1511" s="51" t="n">
        <v>0</v>
      </c>
      <c r="AT1511" s="48" t="n">
        <v>0</v>
      </c>
      <c r="AU1511" s="49" t="n">
        <v>0</v>
      </c>
      <c r="AV1511" s="49" t="n">
        <v>0</v>
      </c>
      <c r="AW1511" s="50" t="n">
        <v>0</v>
      </c>
      <c r="AX1511" s="51" t="n">
        <v>0</v>
      </c>
      <c r="AY1511" s="52" t="n">
        <v>0</v>
      </c>
      <c r="AZ1511" s="52" t="n">
        <v>0</v>
      </c>
      <c r="BA1511" s="52" t="n">
        <v>0</v>
      </c>
      <c r="BB1511" s="53" t="n">
        <v>0</v>
      </c>
      <c r="BC1511" s="52" t="n">
        <v>0</v>
      </c>
      <c r="BD1511" s="53" t="n">
        <v>0</v>
      </c>
      <c r="BE1511" s="52" t="n">
        <v>0</v>
      </c>
      <c r="BF1511" s="51" t="n">
        <v>0</v>
      </c>
    </row>
    <row r="1512">
      <c r="A1512">
        <f>HYPERLINK("https://www.walmart.com/ip/15978813433", "15978813433")</f>
        <v/>
      </c>
      <c r="B1512" t="inlineStr">
        <is>
          <t>Wrangler Backpack for Men and Women, Water Resistant Casual Daypack for Travel, Work School</t>
        </is>
      </c>
      <c r="C1512" t="inlineStr">
        <is>
          <t>1WRBPK93932KK</t>
        </is>
      </c>
      <c r="D1512" t="inlineStr">
        <is>
          <t>Backpacks</t>
        </is>
      </c>
      <c r="E1512" t="inlineStr">
        <is>
          <t>Wrangler</t>
        </is>
      </c>
      <c r="G1512" s="48" t="n">
        <v>0</v>
      </c>
      <c r="H1512" s="49" t="n">
        <v>0</v>
      </c>
      <c r="I1512" s="49" t="n">
        <v>0</v>
      </c>
      <c r="J1512" s="50" t="n">
        <v>0</v>
      </c>
      <c r="K1512" s="51" t="n">
        <v>0</v>
      </c>
      <c r="L1512" s="52" t="n">
        <v>0</v>
      </c>
      <c r="M1512" s="52" t="n">
        <v>0</v>
      </c>
      <c r="N1512" s="52" t="n">
        <v>0</v>
      </c>
      <c r="O1512" s="53" t="n">
        <v>0</v>
      </c>
      <c r="P1512" s="52" t="n">
        <v>0</v>
      </c>
      <c r="Q1512" s="53" t="n">
        <v>0</v>
      </c>
      <c r="R1512" s="52" t="n">
        <v>0</v>
      </c>
      <c r="S1512" s="51" t="n">
        <v>0</v>
      </c>
      <c r="T1512" s="48" t="n">
        <v>0</v>
      </c>
      <c r="U1512" s="49" t="n">
        <v>0</v>
      </c>
      <c r="V1512" s="49" t="n">
        <v>0</v>
      </c>
      <c r="W1512" s="50" t="n">
        <v>0</v>
      </c>
      <c r="X1512" s="51" t="n">
        <v>0</v>
      </c>
      <c r="Y1512" s="52" t="n">
        <v>0</v>
      </c>
      <c r="Z1512" s="52" t="n">
        <v>0</v>
      </c>
      <c r="AA1512" s="52" t="n">
        <v>0</v>
      </c>
      <c r="AB1512" s="53" t="n">
        <v>0</v>
      </c>
      <c r="AC1512" s="52" t="n">
        <v>0</v>
      </c>
      <c r="AD1512" s="53" t="n">
        <v>0</v>
      </c>
      <c r="AE1512" s="52" t="n">
        <v>0</v>
      </c>
      <c r="AF1512" s="51" t="n">
        <v>0</v>
      </c>
      <c r="AG1512" s="48" t="n">
        <v>0</v>
      </c>
      <c r="AH1512" s="49" t="n">
        <v>0</v>
      </c>
      <c r="AI1512" s="49" t="n">
        <v>0</v>
      </c>
      <c r="AJ1512" s="50" t="n">
        <v>0</v>
      </c>
      <c r="AK1512" s="51" t="n">
        <v>0</v>
      </c>
      <c r="AL1512" s="52" t="n">
        <v>0</v>
      </c>
      <c r="AM1512" s="52" t="n">
        <v>0</v>
      </c>
      <c r="AN1512" s="52" t="n">
        <v>0</v>
      </c>
      <c r="AO1512" s="53" t="n">
        <v>0</v>
      </c>
      <c r="AP1512" s="52" t="n">
        <v>0</v>
      </c>
      <c r="AQ1512" s="53" t="n">
        <v>0</v>
      </c>
      <c r="AR1512" s="52" t="n">
        <v>0</v>
      </c>
      <c r="AS1512" s="51" t="n">
        <v>0</v>
      </c>
      <c r="AT1512" s="48" t="n">
        <v>0</v>
      </c>
      <c r="AU1512" s="49" t="n">
        <v>0</v>
      </c>
      <c r="AV1512" s="49" t="n">
        <v>0</v>
      </c>
      <c r="AW1512" s="50" t="n">
        <v>0</v>
      </c>
      <c r="AX1512" s="51" t="n">
        <v>0</v>
      </c>
      <c r="AY1512" s="52" t="n">
        <v>0</v>
      </c>
      <c r="AZ1512" s="52" t="n">
        <v>0</v>
      </c>
      <c r="BA1512" s="52" t="n">
        <v>0</v>
      </c>
      <c r="BB1512" s="53" t="n">
        <v>0</v>
      </c>
      <c r="BC1512" s="52" t="n">
        <v>0</v>
      </c>
      <c r="BD1512" s="53" t="n">
        <v>0</v>
      </c>
      <c r="BE1512" s="52" t="n">
        <v>0</v>
      </c>
      <c r="BF1512" s="51" t="n">
        <v>0</v>
      </c>
    </row>
    <row r="1513">
      <c r="A1513">
        <f>HYPERLINK("https://www.walmart.com/ip/158738643", "158738643")</f>
        <v/>
      </c>
      <c r="B1513" t="inlineStr">
        <is>
          <t>JenniWears® Women's 6-Pack Leopard Lace Garter Belt Stretch Stocking Suspender</t>
        </is>
      </c>
      <c r="C1513" t="inlineStr">
        <is>
          <t>JWBLSPH2108-6pcs</t>
        </is>
      </c>
      <c r="D1513" t="inlineStr">
        <is>
          <t>Garter Belts</t>
        </is>
      </c>
      <c r="E1513" t="inlineStr">
        <is>
          <t>JenniWears</t>
        </is>
      </c>
      <c r="F1513" t="inlineStr">
        <is>
          <t>Optimized,Valentine</t>
        </is>
      </c>
      <c r="G1513" s="48" t="n">
        <v>0</v>
      </c>
      <c r="H1513" s="49" t="n">
        <v>0</v>
      </c>
      <c r="I1513" s="49" t="n">
        <v>0</v>
      </c>
      <c r="J1513" s="50" t="n">
        <v>0</v>
      </c>
      <c r="K1513" s="51" t="n">
        <v>0</v>
      </c>
      <c r="L1513" s="52" t="n">
        <v>0</v>
      </c>
      <c r="M1513" s="52" t="n">
        <v>0</v>
      </c>
      <c r="N1513" s="52" t="n">
        <v>0</v>
      </c>
      <c r="O1513" s="53" t="n">
        <v>0</v>
      </c>
      <c r="P1513" s="52" t="n">
        <v>0</v>
      </c>
      <c r="Q1513" s="53" t="n">
        <v>0</v>
      </c>
      <c r="R1513" s="52" t="n">
        <v>0</v>
      </c>
      <c r="S1513" s="51" t="n">
        <v>0</v>
      </c>
      <c r="T1513" s="48" t="n">
        <v>0</v>
      </c>
      <c r="U1513" s="49" t="n">
        <v>0</v>
      </c>
      <c r="V1513" s="49" t="n">
        <v>0</v>
      </c>
      <c r="W1513" s="50" t="n">
        <v>0</v>
      </c>
      <c r="X1513" s="51" t="n">
        <v>0</v>
      </c>
      <c r="Y1513" s="52" t="n">
        <v>0</v>
      </c>
      <c r="Z1513" s="52" t="n">
        <v>0</v>
      </c>
      <c r="AA1513" s="52" t="n">
        <v>0</v>
      </c>
      <c r="AB1513" s="53" t="n">
        <v>0</v>
      </c>
      <c r="AC1513" s="52" t="n">
        <v>0</v>
      </c>
      <c r="AD1513" s="53" t="n">
        <v>0</v>
      </c>
      <c r="AE1513" s="52" t="n">
        <v>0</v>
      </c>
      <c r="AF1513" s="51" t="n">
        <v>0</v>
      </c>
      <c r="AG1513" s="48" t="n">
        <v>0</v>
      </c>
      <c r="AH1513" s="49" t="n">
        <v>0</v>
      </c>
      <c r="AI1513" s="49" t="n">
        <v>0</v>
      </c>
      <c r="AJ1513" s="50" t="n">
        <v>0</v>
      </c>
      <c r="AK1513" s="51" t="n">
        <v>0</v>
      </c>
      <c r="AL1513" s="52" t="n">
        <v>0</v>
      </c>
      <c r="AM1513" s="52" t="n">
        <v>0</v>
      </c>
      <c r="AN1513" s="52" t="n">
        <v>0</v>
      </c>
      <c r="AO1513" s="53" t="n">
        <v>0</v>
      </c>
      <c r="AP1513" s="52" t="n">
        <v>0</v>
      </c>
      <c r="AQ1513" s="53" t="n">
        <v>0</v>
      </c>
      <c r="AR1513" s="52" t="n">
        <v>0</v>
      </c>
      <c r="AS1513" s="51" t="n">
        <v>0</v>
      </c>
      <c r="AT1513" s="48" t="n">
        <v>0</v>
      </c>
      <c r="AU1513" s="49" t="n">
        <v>0</v>
      </c>
      <c r="AV1513" s="49" t="n">
        <v>0</v>
      </c>
      <c r="AW1513" s="50" t="n">
        <v>0</v>
      </c>
      <c r="AX1513" s="51" t="n">
        <v>0</v>
      </c>
      <c r="AY1513" s="52" t="n">
        <v>0</v>
      </c>
      <c r="AZ1513" s="52" t="n">
        <v>0</v>
      </c>
      <c r="BA1513" s="52" t="n">
        <v>0</v>
      </c>
      <c r="BB1513" s="53" t="n">
        <v>0</v>
      </c>
      <c r="BC1513" s="52" t="n">
        <v>0</v>
      </c>
      <c r="BD1513" s="53" t="n">
        <v>0</v>
      </c>
      <c r="BE1513" s="52" t="n">
        <v>0</v>
      </c>
      <c r="BF1513" s="51" t="n">
        <v>0</v>
      </c>
    </row>
    <row r="1514">
      <c r="A1514">
        <f>HYPERLINK("https://www.walmart.com/ip/158512208", "158512208")</f>
        <v/>
      </c>
      <c r="B1514" t="inlineStr">
        <is>
          <t>Jenniwears Women's Sexy Lingerie Lace Mesh 2-Piece Bowknot Halter Chemise with G-String</t>
        </is>
      </c>
      <c r="C1514" t="inlineStr">
        <is>
          <t>JWND03LP</t>
        </is>
      </c>
      <c r="D1514" t="inlineStr">
        <is>
          <t>Lingerie Sets</t>
        </is>
      </c>
      <c r="E1514" t="inlineStr">
        <is>
          <t>JenniWears</t>
        </is>
      </c>
      <c r="F1514" t="inlineStr">
        <is>
          <t>Valentine</t>
        </is>
      </c>
      <c r="G1514" s="48" t="n">
        <v>0</v>
      </c>
      <c r="H1514" s="49" t="n">
        <v>0</v>
      </c>
      <c r="I1514" s="49" t="n">
        <v>0</v>
      </c>
      <c r="J1514" s="50" t="n">
        <v>0</v>
      </c>
      <c r="K1514" s="51" t="n">
        <v>0</v>
      </c>
      <c r="L1514" s="52" t="n">
        <v>0</v>
      </c>
      <c r="M1514" s="52" t="n">
        <v>0</v>
      </c>
      <c r="N1514" s="52" t="n">
        <v>0</v>
      </c>
      <c r="O1514" s="53" t="n">
        <v>0</v>
      </c>
      <c r="P1514" s="52" t="n">
        <v>0</v>
      </c>
      <c r="Q1514" s="53" t="n">
        <v>0</v>
      </c>
      <c r="R1514" s="52" t="n">
        <v>0</v>
      </c>
      <c r="S1514" s="51" t="n">
        <v>0</v>
      </c>
      <c r="T1514" s="48" t="n">
        <v>0</v>
      </c>
      <c r="U1514" s="49" t="n">
        <v>0</v>
      </c>
      <c r="V1514" s="49" t="n">
        <v>0</v>
      </c>
      <c r="W1514" s="50" t="n">
        <v>0</v>
      </c>
      <c r="X1514" s="51" t="n">
        <v>0</v>
      </c>
      <c r="Y1514" s="52" t="n">
        <v>0</v>
      </c>
      <c r="Z1514" s="52" t="n">
        <v>0</v>
      </c>
      <c r="AA1514" s="52" t="n">
        <v>0</v>
      </c>
      <c r="AB1514" s="53" t="n">
        <v>0</v>
      </c>
      <c r="AC1514" s="52" t="n">
        <v>0</v>
      </c>
      <c r="AD1514" s="53" t="n">
        <v>0</v>
      </c>
      <c r="AE1514" s="52" t="n">
        <v>0</v>
      </c>
      <c r="AF1514" s="51" t="n">
        <v>0</v>
      </c>
      <c r="AG1514" s="48" t="n">
        <v>0</v>
      </c>
      <c r="AH1514" s="49" t="n">
        <v>0</v>
      </c>
      <c r="AI1514" s="49" t="n">
        <v>0</v>
      </c>
      <c r="AJ1514" s="50" t="n">
        <v>0</v>
      </c>
      <c r="AK1514" s="51" t="n">
        <v>0</v>
      </c>
      <c r="AL1514" s="52" t="n">
        <v>0</v>
      </c>
      <c r="AM1514" s="52" t="n">
        <v>0</v>
      </c>
      <c r="AN1514" s="52" t="n">
        <v>0</v>
      </c>
      <c r="AO1514" s="53" t="n">
        <v>0</v>
      </c>
      <c r="AP1514" s="52" t="n">
        <v>0</v>
      </c>
      <c r="AQ1514" s="53" t="n">
        <v>0</v>
      </c>
      <c r="AR1514" s="52" t="n">
        <v>0</v>
      </c>
      <c r="AS1514" s="51" t="n">
        <v>0</v>
      </c>
      <c r="AT1514" s="48" t="n">
        <v>0</v>
      </c>
      <c r="AU1514" s="49" t="n">
        <v>0</v>
      </c>
      <c r="AV1514" s="49" t="n">
        <v>0</v>
      </c>
      <c r="AW1514" s="50" t="n">
        <v>0</v>
      </c>
      <c r="AX1514" s="51" t="n">
        <v>0</v>
      </c>
      <c r="AY1514" s="52" t="n">
        <v>0</v>
      </c>
      <c r="AZ1514" s="52" t="n">
        <v>0</v>
      </c>
      <c r="BA1514" s="52" t="n">
        <v>0</v>
      </c>
      <c r="BB1514" s="53" t="n">
        <v>0</v>
      </c>
      <c r="BC1514" s="52" t="n">
        <v>0</v>
      </c>
      <c r="BD1514" s="53" t="n">
        <v>0</v>
      </c>
      <c r="BE1514" s="52" t="n">
        <v>0</v>
      </c>
      <c r="BF1514" s="51" t="n">
        <v>0</v>
      </c>
    </row>
    <row r="1515">
      <c r="A1515">
        <f>HYPERLINK("https://www.walmart.com/ip/15538203735", "15538203735")</f>
        <v/>
      </c>
      <c r="B1515" t="inlineStr">
        <is>
          <t>Tirrinia Wine Gift Bags with Hidden Dispenser, Insulated Large Wine Bag Set with Wine Bladder, Perfect Wine Bags for Gifts for Byob, Movie Theater, Concert, Sports Events, Pool &amp; Beach, Black</t>
        </is>
      </c>
      <c r="C1515" t="inlineStr">
        <is>
          <t>1TRWT100BLSTR</t>
        </is>
      </c>
      <c r="D1515" t="inlineStr">
        <is>
          <t>Wine Totes, Bags &amp; Backpacks</t>
        </is>
      </c>
      <c r="E1515" t="inlineStr">
        <is>
          <t>Tirrinia</t>
        </is>
      </c>
      <c r="G1515" s="48" t="n">
        <v>0</v>
      </c>
      <c r="H1515" s="49" t="n">
        <v>0</v>
      </c>
      <c r="I1515" s="49" t="n">
        <v>0</v>
      </c>
      <c r="J1515" s="50" t="n">
        <v>0</v>
      </c>
      <c r="K1515" s="51" t="n">
        <v>0</v>
      </c>
      <c r="L1515" s="52" t="n">
        <v>0</v>
      </c>
      <c r="M1515" s="52" t="n">
        <v>0</v>
      </c>
      <c r="N1515" s="52" t="n">
        <v>0</v>
      </c>
      <c r="O1515" s="53" t="n">
        <v>0</v>
      </c>
      <c r="P1515" s="52" t="n">
        <v>0</v>
      </c>
      <c r="Q1515" s="53" t="n">
        <v>0</v>
      </c>
      <c r="R1515" s="52" t="n">
        <v>0</v>
      </c>
      <c r="S1515" s="51" t="n">
        <v>0</v>
      </c>
      <c r="T1515" s="48" t="n">
        <v>0</v>
      </c>
      <c r="U1515" s="49" t="n">
        <v>0</v>
      </c>
      <c r="V1515" s="49" t="n">
        <v>0</v>
      </c>
      <c r="W1515" s="50" t="n">
        <v>0</v>
      </c>
      <c r="X1515" s="51" t="n">
        <v>0</v>
      </c>
      <c r="Y1515" s="52" t="n">
        <v>0</v>
      </c>
      <c r="Z1515" s="52" t="n">
        <v>0</v>
      </c>
      <c r="AA1515" s="52" t="n">
        <v>0</v>
      </c>
      <c r="AB1515" s="53" t="n">
        <v>0</v>
      </c>
      <c r="AC1515" s="52" t="n">
        <v>0</v>
      </c>
      <c r="AD1515" s="53" t="n">
        <v>0</v>
      </c>
      <c r="AE1515" s="52" t="n">
        <v>0</v>
      </c>
      <c r="AF1515" s="51" t="n">
        <v>0</v>
      </c>
      <c r="AG1515" s="48" t="n">
        <v>0</v>
      </c>
      <c r="AH1515" s="49" t="n">
        <v>0</v>
      </c>
      <c r="AI1515" s="49" t="n">
        <v>0</v>
      </c>
      <c r="AJ1515" s="50" t="n">
        <v>0</v>
      </c>
      <c r="AK1515" s="51" t="n">
        <v>0</v>
      </c>
      <c r="AL1515" s="52" t="n">
        <v>0</v>
      </c>
      <c r="AM1515" s="52" t="n">
        <v>0</v>
      </c>
      <c r="AN1515" s="52" t="n">
        <v>0</v>
      </c>
      <c r="AO1515" s="53" t="n">
        <v>0</v>
      </c>
      <c r="AP1515" s="52" t="n">
        <v>0</v>
      </c>
      <c r="AQ1515" s="53" t="n">
        <v>0</v>
      </c>
      <c r="AR1515" s="52" t="n">
        <v>0</v>
      </c>
      <c r="AS1515" s="51" t="n">
        <v>0</v>
      </c>
      <c r="AT1515" s="48" t="n">
        <v>0</v>
      </c>
      <c r="AU1515" s="49" t="n">
        <v>0</v>
      </c>
      <c r="AV1515" s="49" t="n">
        <v>0</v>
      </c>
      <c r="AW1515" s="50" t="n">
        <v>0</v>
      </c>
      <c r="AX1515" s="51" t="n">
        <v>0</v>
      </c>
      <c r="AY1515" s="52" t="n">
        <v>0</v>
      </c>
      <c r="AZ1515" s="52" t="n">
        <v>0</v>
      </c>
      <c r="BA1515" s="52" t="n">
        <v>0</v>
      </c>
      <c r="BB1515" s="53" t="n">
        <v>0</v>
      </c>
      <c r="BC1515" s="52" t="n">
        <v>0</v>
      </c>
      <c r="BD1515" s="53" t="n">
        <v>0</v>
      </c>
      <c r="BE1515" s="52" t="n">
        <v>0</v>
      </c>
      <c r="BF1515" s="51" t="n">
        <v>0</v>
      </c>
    </row>
    <row r="1516">
      <c r="A1516">
        <f>HYPERLINK("https://www.walmart.com/ip/158344559", "158344559")</f>
        <v/>
      </c>
      <c r="B1516" t="inlineStr">
        <is>
          <t>Tirrinia Picnic Blanket, Lightweight Waterproof Blanket, Portable Camping Blanket for Travel, Park, Hiking, Outdoor, Stadium and Concerts, Machine Washable, Extra Large, Striped, 70'' x 80''</t>
        </is>
      </c>
      <c r="C1516" t="inlineStr">
        <is>
          <t>1TRBW781STR</t>
        </is>
      </c>
      <c r="D1516" t="inlineStr">
        <is>
          <t>Picnic Blankets &amp; Mats</t>
        </is>
      </c>
      <c r="E1516" t="inlineStr">
        <is>
          <t>Tirrinia</t>
        </is>
      </c>
      <c r="F1516" t="inlineStr">
        <is>
          <t>WFS,WFS Item</t>
        </is>
      </c>
      <c r="G1516" s="48" t="n">
        <v>0</v>
      </c>
      <c r="H1516" s="49" t="n">
        <v>0</v>
      </c>
      <c r="I1516" s="49" t="n">
        <v>0</v>
      </c>
      <c r="J1516" s="50" t="n">
        <v>0</v>
      </c>
      <c r="K1516" s="51" t="n">
        <v>0</v>
      </c>
      <c r="L1516" s="52" t="n">
        <v>0</v>
      </c>
      <c r="M1516" s="52" t="n">
        <v>0</v>
      </c>
      <c r="N1516" s="52" t="n">
        <v>0</v>
      </c>
      <c r="O1516" s="53" t="n">
        <v>0</v>
      </c>
      <c r="P1516" s="52" t="n">
        <v>0</v>
      </c>
      <c r="Q1516" s="53" t="n">
        <v>0</v>
      </c>
      <c r="R1516" s="52" t="n">
        <v>0</v>
      </c>
      <c r="S1516" s="51" t="n">
        <v>0</v>
      </c>
      <c r="T1516" s="48" t="n">
        <v>0</v>
      </c>
      <c r="U1516" s="49" t="n">
        <v>0</v>
      </c>
      <c r="V1516" s="49" t="n">
        <v>0</v>
      </c>
      <c r="W1516" s="50" t="n">
        <v>0</v>
      </c>
      <c r="X1516" s="51" t="n">
        <v>0</v>
      </c>
      <c r="Y1516" s="52" t="n">
        <v>0</v>
      </c>
      <c r="Z1516" s="52" t="n">
        <v>0</v>
      </c>
      <c r="AA1516" s="52" t="n">
        <v>0</v>
      </c>
      <c r="AB1516" s="53" t="n">
        <v>0</v>
      </c>
      <c r="AC1516" s="52" t="n">
        <v>0</v>
      </c>
      <c r="AD1516" s="53" t="n">
        <v>0</v>
      </c>
      <c r="AE1516" s="52" t="n">
        <v>0</v>
      </c>
      <c r="AF1516" s="51" t="n">
        <v>0</v>
      </c>
      <c r="AG1516" s="48" t="n">
        <v>0</v>
      </c>
      <c r="AH1516" s="49" t="n">
        <v>0</v>
      </c>
      <c r="AI1516" s="49" t="n">
        <v>0</v>
      </c>
      <c r="AJ1516" s="50" t="n">
        <v>0</v>
      </c>
      <c r="AK1516" s="51" t="n">
        <v>0</v>
      </c>
      <c r="AL1516" s="52" t="n">
        <v>0</v>
      </c>
      <c r="AM1516" s="52" t="n">
        <v>0</v>
      </c>
      <c r="AN1516" s="52" t="n">
        <v>0</v>
      </c>
      <c r="AO1516" s="53" t="n">
        <v>0</v>
      </c>
      <c r="AP1516" s="52" t="n">
        <v>0</v>
      </c>
      <c r="AQ1516" s="53" t="n">
        <v>0</v>
      </c>
      <c r="AR1516" s="52" t="n">
        <v>0</v>
      </c>
      <c r="AS1516" s="51" t="n">
        <v>0</v>
      </c>
      <c r="AT1516" s="48" t="n">
        <v>0</v>
      </c>
      <c r="AU1516" s="49" t="n">
        <v>0</v>
      </c>
      <c r="AV1516" s="49" t="n">
        <v>0</v>
      </c>
      <c r="AW1516" s="50" t="n">
        <v>0</v>
      </c>
      <c r="AX1516" s="51" t="n">
        <v>0</v>
      </c>
      <c r="AY1516" s="52" t="n">
        <v>0</v>
      </c>
      <c r="AZ1516" s="52" t="n">
        <v>0</v>
      </c>
      <c r="BA1516" s="52" t="n">
        <v>0</v>
      </c>
      <c r="BB1516" s="53" t="n">
        <v>0</v>
      </c>
      <c r="BC1516" s="52" t="n">
        <v>0</v>
      </c>
      <c r="BD1516" s="53" t="n">
        <v>0</v>
      </c>
      <c r="BE1516" s="52" t="n">
        <v>0</v>
      </c>
      <c r="BF1516" s="51" t="n">
        <v>0</v>
      </c>
    </row>
    <row r="1517">
      <c r="A1517">
        <f>HYPERLINK("https://www.walmart.com/ip/155436747", "155436747")</f>
        <v/>
      </c>
      <c r="B1517" t="inlineStr">
        <is>
          <t>JenniWears® Women's Seamless Mesh Hole Pothole Tube Dress</t>
        </is>
      </c>
      <c r="C1517" t="inlineStr">
        <is>
          <t>JWBD012YL-M</t>
        </is>
      </c>
      <c r="D1517" t="inlineStr">
        <is>
          <t>Dresses</t>
        </is>
      </c>
      <c r="E1517" t="inlineStr">
        <is>
          <t>JenniWears</t>
        </is>
      </c>
      <c r="F1517" t="inlineStr">
        <is>
          <t>Optimized,Valentine</t>
        </is>
      </c>
      <c r="G1517" s="48" t="n">
        <v>0</v>
      </c>
      <c r="H1517" s="49" t="n">
        <v>0</v>
      </c>
      <c r="I1517" s="49" t="n">
        <v>0</v>
      </c>
      <c r="J1517" s="50" t="n">
        <v>0</v>
      </c>
      <c r="K1517" s="51" t="n">
        <v>0</v>
      </c>
      <c r="L1517" s="52" t="n">
        <v>0</v>
      </c>
      <c r="M1517" s="52" t="n">
        <v>0</v>
      </c>
      <c r="N1517" s="52" t="n">
        <v>0</v>
      </c>
      <c r="O1517" s="53" t="n">
        <v>0</v>
      </c>
      <c r="P1517" s="52" t="n">
        <v>0</v>
      </c>
      <c r="Q1517" s="53" t="n">
        <v>0</v>
      </c>
      <c r="R1517" s="52" t="n">
        <v>0</v>
      </c>
      <c r="S1517" s="51" t="n">
        <v>0</v>
      </c>
      <c r="T1517" s="48" t="n">
        <v>0</v>
      </c>
      <c r="U1517" s="49" t="n">
        <v>0</v>
      </c>
      <c r="V1517" s="49" t="n">
        <v>0</v>
      </c>
      <c r="W1517" s="50" t="n">
        <v>0</v>
      </c>
      <c r="X1517" s="51" t="n">
        <v>0</v>
      </c>
      <c r="Y1517" s="52" t="n">
        <v>0</v>
      </c>
      <c r="Z1517" s="52" t="n">
        <v>0</v>
      </c>
      <c r="AA1517" s="52" t="n">
        <v>0</v>
      </c>
      <c r="AB1517" s="53" t="n">
        <v>0</v>
      </c>
      <c r="AC1517" s="52" t="n">
        <v>0</v>
      </c>
      <c r="AD1517" s="53" t="n">
        <v>0</v>
      </c>
      <c r="AE1517" s="52" t="n">
        <v>0</v>
      </c>
      <c r="AF1517" s="51" t="n">
        <v>0</v>
      </c>
      <c r="AG1517" s="48" t="n">
        <v>0</v>
      </c>
      <c r="AH1517" s="49" t="n">
        <v>0</v>
      </c>
      <c r="AI1517" s="49" t="n">
        <v>0</v>
      </c>
      <c r="AJ1517" s="50" t="n">
        <v>0</v>
      </c>
      <c r="AK1517" s="51" t="n">
        <v>0</v>
      </c>
      <c r="AL1517" s="52" t="n">
        <v>0</v>
      </c>
      <c r="AM1517" s="52" t="n">
        <v>0</v>
      </c>
      <c r="AN1517" s="52" t="n">
        <v>0</v>
      </c>
      <c r="AO1517" s="53" t="n">
        <v>0</v>
      </c>
      <c r="AP1517" s="52" t="n">
        <v>0</v>
      </c>
      <c r="AQ1517" s="53" t="n">
        <v>0</v>
      </c>
      <c r="AR1517" s="52" t="n">
        <v>0</v>
      </c>
      <c r="AS1517" s="51" t="n">
        <v>0</v>
      </c>
      <c r="AT1517" s="48" t="n">
        <v>0</v>
      </c>
      <c r="AU1517" s="49" t="n">
        <v>0</v>
      </c>
      <c r="AV1517" s="49" t="n">
        <v>0</v>
      </c>
      <c r="AW1517" s="50" t="n">
        <v>0</v>
      </c>
      <c r="AX1517" s="51" t="n">
        <v>0</v>
      </c>
      <c r="AY1517" s="52" t="n">
        <v>0</v>
      </c>
      <c r="AZ1517" s="52" t="n">
        <v>0</v>
      </c>
      <c r="BA1517" s="52" t="n">
        <v>0</v>
      </c>
      <c r="BB1517" s="53" t="n">
        <v>0</v>
      </c>
      <c r="BC1517" s="52" t="n">
        <v>0</v>
      </c>
      <c r="BD1517" s="53" t="n">
        <v>0</v>
      </c>
      <c r="BE1517" s="52" t="n">
        <v>0</v>
      </c>
      <c r="BF1517" s="51" t="n">
        <v>0</v>
      </c>
    </row>
    <row r="1518">
      <c r="A1518">
        <f>HYPERLINK("https://www.walmart.com/ip/155704180", "155704180")</f>
        <v/>
      </c>
      <c r="B1518" t="inlineStr">
        <is>
          <t>JenniWears® Women's Plus Size Sexy Lingerie Lace Babydolls 2 Pieces Mesh Chemises and G-string for Halloween</t>
        </is>
      </c>
      <c r="C1518" t="inlineStr">
        <is>
          <t>JWBD06BKGN-M</t>
        </is>
      </c>
      <c r="D1518" t="inlineStr">
        <is>
          <t>Lingerie Sets</t>
        </is>
      </c>
      <c r="E1518" t="inlineStr">
        <is>
          <t>JenniWears</t>
        </is>
      </c>
      <c r="F1518" t="inlineStr">
        <is>
          <t>Valentine</t>
        </is>
      </c>
      <c r="G1518" s="48" t="n">
        <v>0</v>
      </c>
      <c r="H1518" s="49" t="n">
        <v>0</v>
      </c>
      <c r="I1518" s="49" t="n">
        <v>0</v>
      </c>
      <c r="J1518" s="50" t="n">
        <v>0</v>
      </c>
      <c r="K1518" s="51" t="n">
        <v>0</v>
      </c>
      <c r="L1518" s="52" t="n">
        <v>0</v>
      </c>
      <c r="M1518" s="52" t="n">
        <v>0</v>
      </c>
      <c r="N1518" s="52" t="n">
        <v>0</v>
      </c>
      <c r="O1518" s="53" t="n">
        <v>0</v>
      </c>
      <c r="P1518" s="52" t="n">
        <v>0</v>
      </c>
      <c r="Q1518" s="53" t="n">
        <v>0</v>
      </c>
      <c r="R1518" s="52" t="n">
        <v>0</v>
      </c>
      <c r="S1518" s="51" t="n">
        <v>0</v>
      </c>
      <c r="T1518" s="48" t="n">
        <v>0</v>
      </c>
      <c r="U1518" s="49" t="n">
        <v>0</v>
      </c>
      <c r="V1518" s="49" t="n">
        <v>0</v>
      </c>
      <c r="W1518" s="50" t="n">
        <v>0</v>
      </c>
      <c r="X1518" s="51" t="n">
        <v>0</v>
      </c>
      <c r="Y1518" s="52" t="n">
        <v>0</v>
      </c>
      <c r="Z1518" s="52" t="n">
        <v>0</v>
      </c>
      <c r="AA1518" s="52" t="n">
        <v>0</v>
      </c>
      <c r="AB1518" s="53" t="n">
        <v>0</v>
      </c>
      <c r="AC1518" s="52" t="n">
        <v>0</v>
      </c>
      <c r="AD1518" s="53" t="n">
        <v>0</v>
      </c>
      <c r="AE1518" s="52" t="n">
        <v>0</v>
      </c>
      <c r="AF1518" s="51" t="n">
        <v>0</v>
      </c>
      <c r="AG1518" s="48" t="n">
        <v>0</v>
      </c>
      <c r="AH1518" s="49" t="n">
        <v>0</v>
      </c>
      <c r="AI1518" s="49" t="n">
        <v>0</v>
      </c>
      <c r="AJ1518" s="50" t="n">
        <v>0</v>
      </c>
      <c r="AK1518" s="51" t="n">
        <v>0</v>
      </c>
      <c r="AL1518" s="52" t="n">
        <v>0</v>
      </c>
      <c r="AM1518" s="52" t="n">
        <v>0</v>
      </c>
      <c r="AN1518" s="52" t="n">
        <v>0</v>
      </c>
      <c r="AO1518" s="53" t="n">
        <v>0</v>
      </c>
      <c r="AP1518" s="52" t="n">
        <v>0</v>
      </c>
      <c r="AQ1518" s="53" t="n">
        <v>0</v>
      </c>
      <c r="AR1518" s="52" t="n">
        <v>0</v>
      </c>
      <c r="AS1518" s="51" t="n">
        <v>0</v>
      </c>
      <c r="AT1518" s="48" t="n">
        <v>0</v>
      </c>
      <c r="AU1518" s="49" t="n">
        <v>0</v>
      </c>
      <c r="AV1518" s="49" t="n">
        <v>0</v>
      </c>
      <c r="AW1518" s="50" t="n">
        <v>0</v>
      </c>
      <c r="AX1518" s="51" t="n">
        <v>0</v>
      </c>
      <c r="AY1518" s="52" t="n">
        <v>0</v>
      </c>
      <c r="AZ1518" s="52" t="n">
        <v>0</v>
      </c>
      <c r="BA1518" s="52" t="n">
        <v>0</v>
      </c>
      <c r="BB1518" s="53" t="n">
        <v>0</v>
      </c>
      <c r="BC1518" s="52" t="n">
        <v>0</v>
      </c>
      <c r="BD1518" s="53" t="n">
        <v>0</v>
      </c>
      <c r="BE1518" s="52" t="n">
        <v>0</v>
      </c>
      <c r="BF1518" s="51" t="n">
        <v>0</v>
      </c>
    </row>
    <row r="1519">
      <c r="A1519">
        <f>HYPERLINK("https://www.walmart.com/ip/155786211", "155786211")</f>
        <v/>
      </c>
      <c r="B1519" t="inlineStr">
        <is>
          <t>JenniWears Sexy Sheer Black Fishnet Suspender Crotchless Pantyhose, Stockings for Women, One size, Waist 33", Hip 42" and Leg Length 32"-40"</t>
        </is>
      </c>
      <c r="C1519" t="inlineStr">
        <is>
          <t>JWBLSPH2029</t>
        </is>
      </c>
      <c r="D1519" t="inlineStr">
        <is>
          <t>Pantyhose &amp; Tights</t>
        </is>
      </c>
      <c r="E1519" t="inlineStr">
        <is>
          <t>JenniWears</t>
        </is>
      </c>
      <c r="F1519" t="inlineStr">
        <is>
          <t>Valentine</t>
        </is>
      </c>
      <c r="G1519" s="48" t="n">
        <v>0</v>
      </c>
      <c r="H1519" s="49" t="n">
        <v>0</v>
      </c>
      <c r="I1519" s="49" t="n">
        <v>0</v>
      </c>
      <c r="J1519" s="50" t="n">
        <v>0</v>
      </c>
      <c r="K1519" s="51" t="n">
        <v>0</v>
      </c>
      <c r="L1519" s="52" t="n">
        <v>0</v>
      </c>
      <c r="M1519" s="52" t="n">
        <v>0</v>
      </c>
      <c r="N1519" s="52" t="n">
        <v>0</v>
      </c>
      <c r="O1519" s="53" t="n">
        <v>0</v>
      </c>
      <c r="P1519" s="52" t="n">
        <v>0</v>
      </c>
      <c r="Q1519" s="53" t="n">
        <v>0</v>
      </c>
      <c r="R1519" s="52" t="n">
        <v>0</v>
      </c>
      <c r="S1519" s="51" t="n">
        <v>0</v>
      </c>
      <c r="T1519" s="48" t="n">
        <v>0</v>
      </c>
      <c r="U1519" s="49" t="n">
        <v>0</v>
      </c>
      <c r="V1519" s="49" t="n">
        <v>0</v>
      </c>
      <c r="W1519" s="50" t="n">
        <v>0</v>
      </c>
      <c r="X1519" s="51" t="n">
        <v>0</v>
      </c>
      <c r="Y1519" s="52" t="n">
        <v>0</v>
      </c>
      <c r="Z1519" s="52" t="n">
        <v>0</v>
      </c>
      <c r="AA1519" s="52" t="n">
        <v>0</v>
      </c>
      <c r="AB1519" s="53" t="n">
        <v>0</v>
      </c>
      <c r="AC1519" s="52" t="n">
        <v>0</v>
      </c>
      <c r="AD1519" s="53" t="n">
        <v>0</v>
      </c>
      <c r="AE1519" s="52" t="n">
        <v>0</v>
      </c>
      <c r="AF1519" s="51" t="n">
        <v>0</v>
      </c>
      <c r="AG1519" s="48" t="n">
        <v>0</v>
      </c>
      <c r="AH1519" s="49" t="n">
        <v>0</v>
      </c>
      <c r="AI1519" s="49" t="n">
        <v>0</v>
      </c>
      <c r="AJ1519" s="50" t="n">
        <v>0</v>
      </c>
      <c r="AK1519" s="51" t="n">
        <v>0</v>
      </c>
      <c r="AL1519" s="52" t="n">
        <v>0</v>
      </c>
      <c r="AM1519" s="52" t="n">
        <v>0</v>
      </c>
      <c r="AN1519" s="52" t="n">
        <v>0</v>
      </c>
      <c r="AO1519" s="53" t="n">
        <v>0</v>
      </c>
      <c r="AP1519" s="52" t="n">
        <v>0</v>
      </c>
      <c r="AQ1519" s="53" t="n">
        <v>0</v>
      </c>
      <c r="AR1519" s="52" t="n">
        <v>0</v>
      </c>
      <c r="AS1519" s="51" t="n">
        <v>0</v>
      </c>
      <c r="AT1519" s="48" t="n">
        <v>0</v>
      </c>
      <c r="AU1519" s="49" t="n">
        <v>0</v>
      </c>
      <c r="AV1519" s="49" t="n">
        <v>0</v>
      </c>
      <c r="AW1519" s="50" t="n">
        <v>0</v>
      </c>
      <c r="AX1519" s="51" t="n">
        <v>0</v>
      </c>
      <c r="AY1519" s="52" t="n">
        <v>0</v>
      </c>
      <c r="AZ1519" s="52" t="n">
        <v>0</v>
      </c>
      <c r="BA1519" s="52" t="n">
        <v>0</v>
      </c>
      <c r="BB1519" s="53" t="n">
        <v>0</v>
      </c>
      <c r="BC1519" s="52" t="n">
        <v>0</v>
      </c>
      <c r="BD1519" s="53" t="n">
        <v>0</v>
      </c>
      <c r="BE1519" s="52" t="n">
        <v>0</v>
      </c>
      <c r="BF1519" s="51" t="n">
        <v>0</v>
      </c>
    </row>
    <row r="1520">
      <c r="A1520">
        <f>HYPERLINK("https://www.walmart.com/ip/155885921", "155885921")</f>
        <v/>
      </c>
      <c r="B1520" t="inlineStr">
        <is>
          <t>Fashion Light Up LED Luminous Sequin Neck Ties Changeable Colors Necktie Led Fiber Tie Flashing Tie For Male/Female</t>
        </is>
      </c>
      <c r="C1520" t="inlineStr">
        <is>
          <t>LEDTIE01- GD</t>
        </is>
      </c>
      <c r="D1520" t="inlineStr">
        <is>
          <t>Party Favors</t>
        </is>
      </c>
      <c r="E1520" t="inlineStr">
        <is>
          <t>JenniWears</t>
        </is>
      </c>
      <c r="F1520" t="inlineStr">
        <is>
          <t>Optimized,Halloween</t>
        </is>
      </c>
      <c r="G1520" s="48" t="n">
        <v>0</v>
      </c>
      <c r="H1520" s="49" t="n">
        <v>0</v>
      </c>
      <c r="I1520" s="49" t="n">
        <v>0</v>
      </c>
      <c r="J1520" s="50" t="n">
        <v>0</v>
      </c>
      <c r="K1520" s="51" t="n">
        <v>0</v>
      </c>
      <c r="L1520" s="52" t="n">
        <v>0</v>
      </c>
      <c r="M1520" s="52" t="n">
        <v>0</v>
      </c>
      <c r="N1520" s="52" t="n">
        <v>0</v>
      </c>
      <c r="O1520" s="53" t="n">
        <v>0</v>
      </c>
      <c r="P1520" s="52" t="n">
        <v>0</v>
      </c>
      <c r="Q1520" s="53" t="n">
        <v>0</v>
      </c>
      <c r="R1520" s="52" t="n">
        <v>0</v>
      </c>
      <c r="S1520" s="51" t="n">
        <v>0</v>
      </c>
      <c r="T1520" s="48" t="n">
        <v>0</v>
      </c>
      <c r="U1520" s="49" t="n">
        <v>0</v>
      </c>
      <c r="V1520" s="49" t="n">
        <v>0</v>
      </c>
      <c r="W1520" s="50" t="n">
        <v>0</v>
      </c>
      <c r="X1520" s="51" t="n">
        <v>0</v>
      </c>
      <c r="Y1520" s="52" t="n">
        <v>0</v>
      </c>
      <c r="Z1520" s="52" t="n">
        <v>0</v>
      </c>
      <c r="AA1520" s="52" t="n">
        <v>0</v>
      </c>
      <c r="AB1520" s="53" t="n">
        <v>0</v>
      </c>
      <c r="AC1520" s="52" t="n">
        <v>0</v>
      </c>
      <c r="AD1520" s="53" t="n">
        <v>0</v>
      </c>
      <c r="AE1520" s="52" t="n">
        <v>0</v>
      </c>
      <c r="AF1520" s="51" t="n">
        <v>0</v>
      </c>
      <c r="AG1520" s="48" t="n">
        <v>0</v>
      </c>
      <c r="AH1520" s="49" t="n">
        <v>0</v>
      </c>
      <c r="AI1520" s="49" t="n">
        <v>0</v>
      </c>
      <c r="AJ1520" s="50" t="n">
        <v>0</v>
      </c>
      <c r="AK1520" s="51" t="n">
        <v>0</v>
      </c>
      <c r="AL1520" s="52" t="n">
        <v>0</v>
      </c>
      <c r="AM1520" s="52" t="n">
        <v>0</v>
      </c>
      <c r="AN1520" s="52" t="n">
        <v>0</v>
      </c>
      <c r="AO1520" s="53" t="n">
        <v>0</v>
      </c>
      <c r="AP1520" s="52" t="n">
        <v>0</v>
      </c>
      <c r="AQ1520" s="53" t="n">
        <v>0</v>
      </c>
      <c r="AR1520" s="52" t="n">
        <v>0</v>
      </c>
      <c r="AS1520" s="51" t="n">
        <v>0</v>
      </c>
      <c r="AT1520" s="48" t="n">
        <v>0</v>
      </c>
      <c r="AU1520" s="49" t="n">
        <v>0</v>
      </c>
      <c r="AV1520" s="49" t="n">
        <v>0</v>
      </c>
      <c r="AW1520" s="50" t="n">
        <v>0</v>
      </c>
      <c r="AX1520" s="51" t="n">
        <v>0</v>
      </c>
      <c r="AY1520" s="52" t="n">
        <v>0</v>
      </c>
      <c r="AZ1520" s="52" t="n">
        <v>0</v>
      </c>
      <c r="BA1520" s="52" t="n">
        <v>0</v>
      </c>
      <c r="BB1520" s="53" t="n">
        <v>0</v>
      </c>
      <c r="BC1520" s="52" t="n">
        <v>0</v>
      </c>
      <c r="BD1520" s="53" t="n">
        <v>0</v>
      </c>
      <c r="BE1520" s="52" t="n">
        <v>0</v>
      </c>
      <c r="BF1520" s="51" t="n">
        <v>0</v>
      </c>
    </row>
    <row r="1521">
      <c r="A1521">
        <f>HYPERLINK("https://www.walmart.com/ip/1559042104", "1559042104")</f>
        <v/>
      </c>
      <c r="B1521" t="inlineStr">
        <is>
          <t>Every Day is Christmas Glass Blown Ornaments 2021 Cute Hand Made Figurines Tree Decoration, Rocket Santa</t>
        </is>
      </c>
      <c r="C1521" t="inlineStr">
        <is>
          <t>EDC-FIGURINE-ROCKETSANTA</t>
        </is>
      </c>
      <c r="D1521" t="inlineStr">
        <is>
          <t>Ornaments</t>
        </is>
      </c>
      <c r="E1521" t="inlineStr">
        <is>
          <t>Every Day is Christmas</t>
        </is>
      </c>
      <c r="G1521" s="48" t="n">
        <v>0</v>
      </c>
      <c r="H1521" s="49" t="n">
        <v>0</v>
      </c>
      <c r="I1521" s="49" t="n">
        <v>0</v>
      </c>
      <c r="J1521" s="50" t="n">
        <v>0</v>
      </c>
      <c r="K1521" s="51" t="n">
        <v>0</v>
      </c>
      <c r="L1521" s="52" t="n">
        <v>0</v>
      </c>
      <c r="M1521" s="52" t="n">
        <v>0</v>
      </c>
      <c r="N1521" s="52" t="n">
        <v>0</v>
      </c>
      <c r="O1521" s="53" t="n">
        <v>0</v>
      </c>
      <c r="P1521" s="52" t="n">
        <v>0</v>
      </c>
      <c r="Q1521" s="53" t="n">
        <v>0</v>
      </c>
      <c r="R1521" s="52" t="n">
        <v>0</v>
      </c>
      <c r="S1521" s="51" t="n">
        <v>0</v>
      </c>
      <c r="T1521" s="48" t="n">
        <v>0</v>
      </c>
      <c r="U1521" s="49" t="n">
        <v>0</v>
      </c>
      <c r="V1521" s="49" t="n">
        <v>0</v>
      </c>
      <c r="W1521" s="50" t="n">
        <v>0</v>
      </c>
      <c r="X1521" s="51" t="n">
        <v>0</v>
      </c>
      <c r="Y1521" s="52" t="n">
        <v>0</v>
      </c>
      <c r="Z1521" s="52" t="n">
        <v>0</v>
      </c>
      <c r="AA1521" s="52" t="n">
        <v>0</v>
      </c>
      <c r="AB1521" s="53" t="n">
        <v>0</v>
      </c>
      <c r="AC1521" s="52" t="n">
        <v>0</v>
      </c>
      <c r="AD1521" s="53" t="n">
        <v>0</v>
      </c>
      <c r="AE1521" s="52" t="n">
        <v>0</v>
      </c>
      <c r="AF1521" s="51" t="n">
        <v>0</v>
      </c>
      <c r="AG1521" s="48" t="n">
        <v>0</v>
      </c>
      <c r="AH1521" s="49" t="n">
        <v>0</v>
      </c>
      <c r="AI1521" s="49" t="n">
        <v>0</v>
      </c>
      <c r="AJ1521" s="50" t="n">
        <v>0</v>
      </c>
      <c r="AK1521" s="51" t="n">
        <v>0</v>
      </c>
      <c r="AL1521" s="52" t="n">
        <v>0</v>
      </c>
      <c r="AM1521" s="52" t="n">
        <v>0</v>
      </c>
      <c r="AN1521" s="52" t="n">
        <v>0</v>
      </c>
      <c r="AO1521" s="53" t="n">
        <v>0</v>
      </c>
      <c r="AP1521" s="52" t="n">
        <v>0</v>
      </c>
      <c r="AQ1521" s="53" t="n">
        <v>0</v>
      </c>
      <c r="AR1521" s="52" t="n">
        <v>0</v>
      </c>
      <c r="AS1521" s="51" t="n">
        <v>0</v>
      </c>
      <c r="AT1521" s="48" t="n">
        <v>0</v>
      </c>
      <c r="AU1521" s="49" t="n">
        <v>0</v>
      </c>
      <c r="AV1521" s="49" t="n">
        <v>0</v>
      </c>
      <c r="AW1521" s="50" t="n">
        <v>0</v>
      </c>
      <c r="AX1521" s="51" t="n">
        <v>0</v>
      </c>
      <c r="AY1521" s="52" t="n">
        <v>0</v>
      </c>
      <c r="AZ1521" s="52" t="n">
        <v>0</v>
      </c>
      <c r="BA1521" s="52" t="n">
        <v>0</v>
      </c>
      <c r="BB1521" s="53" t="n">
        <v>0</v>
      </c>
      <c r="BC1521" s="52" t="n">
        <v>0</v>
      </c>
      <c r="BD1521" s="53" t="n">
        <v>0</v>
      </c>
      <c r="BE1521" s="52" t="n">
        <v>0</v>
      </c>
      <c r="BF1521" s="51" t="n">
        <v>0</v>
      </c>
    </row>
    <row r="1522">
      <c r="A1522">
        <f>HYPERLINK("https://www.walmart.com/ip/1560127534", "1560127534")</f>
        <v/>
      </c>
      <c r="B1522" t="inlineStr">
        <is>
          <t>Every Day is Christmas Glass Blown Ornaments Cute Hand Made Figurines Tree Decoration, Calculator</t>
        </is>
      </c>
      <c r="C1522" t="inlineStr">
        <is>
          <t>EDC-FIGURINE-CALCULATOR</t>
        </is>
      </c>
      <c r="D1522" t="inlineStr">
        <is>
          <t>Ornaments</t>
        </is>
      </c>
      <c r="E1522" t="inlineStr">
        <is>
          <t>Every Day is Christmas</t>
        </is>
      </c>
      <c r="G1522" s="48" t="n">
        <v>0</v>
      </c>
      <c r="H1522" s="49" t="n">
        <v>0</v>
      </c>
      <c r="I1522" s="49" t="n">
        <v>0</v>
      </c>
      <c r="J1522" s="50" t="n">
        <v>0</v>
      </c>
      <c r="K1522" s="51" t="n">
        <v>0</v>
      </c>
      <c r="L1522" s="52" t="n">
        <v>0</v>
      </c>
      <c r="M1522" s="52" t="n">
        <v>0</v>
      </c>
      <c r="N1522" s="52" t="n">
        <v>0</v>
      </c>
      <c r="O1522" s="53" t="n">
        <v>0</v>
      </c>
      <c r="P1522" s="52" t="n">
        <v>0</v>
      </c>
      <c r="Q1522" s="53" t="n">
        <v>0</v>
      </c>
      <c r="R1522" s="52" t="n">
        <v>0</v>
      </c>
      <c r="S1522" s="51" t="n">
        <v>0</v>
      </c>
      <c r="T1522" s="48" t="n">
        <v>0</v>
      </c>
      <c r="U1522" s="49" t="n">
        <v>0</v>
      </c>
      <c r="V1522" s="49" t="n">
        <v>0</v>
      </c>
      <c r="W1522" s="50" t="n">
        <v>0</v>
      </c>
      <c r="X1522" s="51" t="n">
        <v>0</v>
      </c>
      <c r="Y1522" s="52" t="n">
        <v>0</v>
      </c>
      <c r="Z1522" s="52" t="n">
        <v>0</v>
      </c>
      <c r="AA1522" s="52" t="n">
        <v>0</v>
      </c>
      <c r="AB1522" s="53" t="n">
        <v>0</v>
      </c>
      <c r="AC1522" s="52" t="n">
        <v>0</v>
      </c>
      <c r="AD1522" s="53" t="n">
        <v>0</v>
      </c>
      <c r="AE1522" s="52" t="n">
        <v>0</v>
      </c>
      <c r="AF1522" s="51" t="n">
        <v>0</v>
      </c>
      <c r="AG1522" s="48" t="n">
        <v>0</v>
      </c>
      <c r="AH1522" s="49" t="n">
        <v>0</v>
      </c>
      <c r="AI1522" s="49" t="n">
        <v>0</v>
      </c>
      <c r="AJ1522" s="50" t="n">
        <v>0</v>
      </c>
      <c r="AK1522" s="51" t="n">
        <v>0</v>
      </c>
      <c r="AL1522" s="52" t="n">
        <v>0</v>
      </c>
      <c r="AM1522" s="52" t="n">
        <v>0</v>
      </c>
      <c r="AN1522" s="52" t="n">
        <v>0</v>
      </c>
      <c r="AO1522" s="53" t="n">
        <v>0</v>
      </c>
      <c r="AP1522" s="52" t="n">
        <v>0</v>
      </c>
      <c r="AQ1522" s="53" t="n">
        <v>0</v>
      </c>
      <c r="AR1522" s="52" t="n">
        <v>0</v>
      </c>
      <c r="AS1522" s="51" t="n">
        <v>0</v>
      </c>
      <c r="AT1522" s="48" t="n">
        <v>0</v>
      </c>
      <c r="AU1522" s="49" t="n">
        <v>0</v>
      </c>
      <c r="AV1522" s="49" t="n">
        <v>0</v>
      </c>
      <c r="AW1522" s="50" t="n">
        <v>0</v>
      </c>
      <c r="AX1522" s="51" t="n">
        <v>0</v>
      </c>
      <c r="AY1522" s="52" t="n">
        <v>0</v>
      </c>
      <c r="AZ1522" s="52" t="n">
        <v>0</v>
      </c>
      <c r="BA1522" s="52" t="n">
        <v>0</v>
      </c>
      <c r="BB1522" s="53" t="n">
        <v>0</v>
      </c>
      <c r="BC1522" s="52" t="n">
        <v>0</v>
      </c>
      <c r="BD1522" s="53" t="n">
        <v>0</v>
      </c>
      <c r="BE1522" s="52" t="n">
        <v>0</v>
      </c>
      <c r="BF1522" s="51" t="n">
        <v>0</v>
      </c>
    </row>
    <row r="1523">
      <c r="A1523">
        <f>HYPERLINK("https://www.walmart.com/ip/1565698344", "1565698344")</f>
        <v/>
      </c>
      <c r="B1523" t="inlineStr">
        <is>
          <t>Women’s Plush Hoodie Sweatshirt Dress, Casual Pullover Sweater with Kangaroo Pocket, One Size</t>
        </is>
      </c>
      <c r="C1523" t="inlineStr">
        <is>
          <t>1CTHD531DGY</t>
        </is>
      </c>
      <c r="D1523" t="inlineStr">
        <is>
          <t>Sweatshirts &amp; Hoodies</t>
        </is>
      </c>
      <c r="E1523" t="inlineStr">
        <is>
          <t>Catalonia</t>
        </is>
      </c>
      <c r="F1523" t="inlineStr">
        <is>
          <t>Batch 1 - TR</t>
        </is>
      </c>
      <c r="G1523" s="48" t="n">
        <v>0</v>
      </c>
      <c r="H1523" s="49" t="n">
        <v>0</v>
      </c>
      <c r="I1523" s="49" t="n">
        <v>0</v>
      </c>
      <c r="J1523" s="50" t="n">
        <v>0</v>
      </c>
      <c r="K1523" s="51" t="n">
        <v>0</v>
      </c>
      <c r="L1523" s="52" t="n">
        <v>0</v>
      </c>
      <c r="M1523" s="52" t="n">
        <v>0</v>
      </c>
      <c r="N1523" s="52" t="n">
        <v>0</v>
      </c>
      <c r="O1523" s="53" t="n">
        <v>0</v>
      </c>
      <c r="P1523" s="52" t="n">
        <v>0</v>
      </c>
      <c r="Q1523" s="53" t="n">
        <v>0</v>
      </c>
      <c r="R1523" s="52" t="n">
        <v>0</v>
      </c>
      <c r="S1523" s="51" t="n">
        <v>0</v>
      </c>
      <c r="T1523" s="48" t="n">
        <v>0</v>
      </c>
      <c r="U1523" s="49" t="n">
        <v>0</v>
      </c>
      <c r="V1523" s="49" t="n">
        <v>0</v>
      </c>
      <c r="W1523" s="50" t="n">
        <v>0</v>
      </c>
      <c r="X1523" s="51" t="n">
        <v>0</v>
      </c>
      <c r="Y1523" s="52" t="n">
        <v>0</v>
      </c>
      <c r="Z1523" s="52" t="n">
        <v>0</v>
      </c>
      <c r="AA1523" s="52" t="n">
        <v>0</v>
      </c>
      <c r="AB1523" s="53" t="n">
        <v>0</v>
      </c>
      <c r="AC1523" s="52" t="n">
        <v>0</v>
      </c>
      <c r="AD1523" s="53" t="n">
        <v>0</v>
      </c>
      <c r="AE1523" s="52" t="n">
        <v>0</v>
      </c>
      <c r="AF1523" s="51" t="n">
        <v>0</v>
      </c>
      <c r="AG1523" s="48" t="n">
        <v>0</v>
      </c>
      <c r="AH1523" s="49" t="n">
        <v>0</v>
      </c>
      <c r="AI1523" s="49" t="n">
        <v>0</v>
      </c>
      <c r="AJ1523" s="50" t="n">
        <v>0</v>
      </c>
      <c r="AK1523" s="51" t="n">
        <v>0</v>
      </c>
      <c r="AL1523" s="52" t="n">
        <v>0</v>
      </c>
      <c r="AM1523" s="52" t="n">
        <v>0</v>
      </c>
      <c r="AN1523" s="52" t="n">
        <v>0</v>
      </c>
      <c r="AO1523" s="53" t="n">
        <v>0</v>
      </c>
      <c r="AP1523" s="52" t="n">
        <v>0</v>
      </c>
      <c r="AQ1523" s="53" t="n">
        <v>0</v>
      </c>
      <c r="AR1523" s="52" t="n">
        <v>0</v>
      </c>
      <c r="AS1523" s="51" t="n">
        <v>0</v>
      </c>
      <c r="AT1523" s="48" t="n">
        <v>0</v>
      </c>
      <c r="AU1523" s="49" t="n">
        <v>0</v>
      </c>
      <c r="AV1523" s="49" t="n">
        <v>0</v>
      </c>
      <c r="AW1523" s="50" t="n">
        <v>0</v>
      </c>
      <c r="AX1523" s="51" t="n">
        <v>0</v>
      </c>
      <c r="AY1523" s="52" t="n">
        <v>0</v>
      </c>
      <c r="AZ1523" s="52" t="n">
        <v>0</v>
      </c>
      <c r="BA1523" s="52" t="n">
        <v>0</v>
      </c>
      <c r="BB1523" s="53" t="n">
        <v>0</v>
      </c>
      <c r="BC1523" s="52" t="n">
        <v>0</v>
      </c>
      <c r="BD1523" s="53" t="n">
        <v>0</v>
      </c>
      <c r="BE1523" s="52" t="n">
        <v>0</v>
      </c>
      <c r="BF1523" s="51" t="n">
        <v>0</v>
      </c>
    </row>
    <row r="1524">
      <c r="A1524">
        <f>HYPERLINK("https://www.walmart.com/ip/1566465841", "1566465841")</f>
        <v/>
      </c>
      <c r="B1524" t="inlineStr">
        <is>
          <t>12 Pack Sun Blocker Women's Sun Hat UPF 50+ Bucket Cap Packable Outdoor Travel Hat , Blue Pattern</t>
        </is>
      </c>
      <c r="C1524" t="inlineStr">
        <is>
          <t>KC-S9200-BL-12pcs</t>
        </is>
      </c>
      <c r="D1524" t="inlineStr">
        <is>
          <t>Hats</t>
        </is>
      </c>
      <c r="E1524" t="inlineStr">
        <is>
          <t>Sun Blocker</t>
        </is>
      </c>
      <c r="F1524" t="inlineStr">
        <is>
          <t>Batch 1 - TR</t>
        </is>
      </c>
      <c r="G1524" s="48" t="n">
        <v>0</v>
      </c>
      <c r="H1524" s="49" t="n">
        <v>0</v>
      </c>
      <c r="I1524" s="49" t="n">
        <v>0</v>
      </c>
      <c r="J1524" s="50" t="n">
        <v>0</v>
      </c>
      <c r="K1524" s="51" t="n">
        <v>0</v>
      </c>
      <c r="L1524" s="52" t="n">
        <v>0</v>
      </c>
      <c r="M1524" s="52" t="n">
        <v>0</v>
      </c>
      <c r="N1524" s="52" t="n">
        <v>0</v>
      </c>
      <c r="O1524" s="53" t="n">
        <v>0</v>
      </c>
      <c r="P1524" s="52" t="n">
        <v>0</v>
      </c>
      <c r="Q1524" s="53" t="n">
        <v>0</v>
      </c>
      <c r="R1524" s="52" t="n">
        <v>0</v>
      </c>
      <c r="S1524" s="51" t="n">
        <v>0</v>
      </c>
      <c r="T1524" s="48" t="n">
        <v>0</v>
      </c>
      <c r="U1524" s="49" t="n">
        <v>0</v>
      </c>
      <c r="V1524" s="49" t="n">
        <v>0</v>
      </c>
      <c r="W1524" s="50" t="n">
        <v>0</v>
      </c>
      <c r="X1524" s="51" t="n">
        <v>0</v>
      </c>
      <c r="Y1524" s="52" t="n">
        <v>0</v>
      </c>
      <c r="Z1524" s="52" t="n">
        <v>0</v>
      </c>
      <c r="AA1524" s="52" t="n">
        <v>0</v>
      </c>
      <c r="AB1524" s="53" t="n">
        <v>0</v>
      </c>
      <c r="AC1524" s="52" t="n">
        <v>0</v>
      </c>
      <c r="AD1524" s="53" t="n">
        <v>0</v>
      </c>
      <c r="AE1524" s="52" t="n">
        <v>0</v>
      </c>
      <c r="AF1524" s="51" t="n">
        <v>0</v>
      </c>
      <c r="AG1524" s="48" t="n">
        <v>0</v>
      </c>
      <c r="AH1524" s="49" t="n">
        <v>0</v>
      </c>
      <c r="AI1524" s="49" t="n">
        <v>0</v>
      </c>
      <c r="AJ1524" s="50" t="n">
        <v>0</v>
      </c>
      <c r="AK1524" s="51" t="n">
        <v>0</v>
      </c>
      <c r="AL1524" s="52" t="n">
        <v>0</v>
      </c>
      <c r="AM1524" s="52" t="n">
        <v>0</v>
      </c>
      <c r="AN1524" s="52" t="n">
        <v>0</v>
      </c>
      <c r="AO1524" s="53" t="n">
        <v>0</v>
      </c>
      <c r="AP1524" s="52" t="n">
        <v>0</v>
      </c>
      <c r="AQ1524" s="53" t="n">
        <v>0</v>
      </c>
      <c r="AR1524" s="52" t="n">
        <v>0</v>
      </c>
      <c r="AS1524" s="51" t="n">
        <v>0</v>
      </c>
      <c r="AT1524" s="48" t="n">
        <v>0</v>
      </c>
      <c r="AU1524" s="49" t="n">
        <v>0</v>
      </c>
      <c r="AV1524" s="49" t="n">
        <v>0</v>
      </c>
      <c r="AW1524" s="50" t="n">
        <v>0</v>
      </c>
      <c r="AX1524" s="51" t="n">
        <v>0</v>
      </c>
      <c r="AY1524" s="52" t="n">
        <v>0</v>
      </c>
      <c r="AZ1524" s="52" t="n">
        <v>0</v>
      </c>
      <c r="BA1524" s="52" t="n">
        <v>0</v>
      </c>
      <c r="BB1524" s="53" t="n">
        <v>0</v>
      </c>
      <c r="BC1524" s="52" t="n">
        <v>0</v>
      </c>
      <c r="BD1524" s="53" t="n">
        <v>0</v>
      </c>
      <c r="BE1524" s="52" t="n">
        <v>0</v>
      </c>
      <c r="BF1524" s="51" t="n">
        <v>0</v>
      </c>
    </row>
    <row r="1525">
      <c r="A1525">
        <f>HYPERLINK("https://www.walmart.com/ip/1568272692", "1568272692")</f>
        <v/>
      </c>
      <c r="B1525" t="inlineStr">
        <is>
          <t>Tirrinia Outdoors Waterproof Throw Blanket, Stadium Windproof Sherpa Fleece Blanket for Traveling, Camping, Hiking, and Football, Machine Washable,Green/Black, 60'' x 80''</t>
        </is>
      </c>
      <c r="C1525" t="inlineStr">
        <is>
          <t>1TRBW608GNBK</t>
        </is>
      </c>
      <c r="D1525" t="inlineStr">
        <is>
          <t>Throws</t>
        </is>
      </c>
      <c r="E1525" t="inlineStr">
        <is>
          <t>Tirrinia</t>
        </is>
      </c>
      <c r="F1525" t="inlineStr">
        <is>
          <t>Q2-Target,Batch 1 - TR</t>
        </is>
      </c>
      <c r="G1525" s="48" t="n">
        <v>0</v>
      </c>
      <c r="H1525" s="49" t="n">
        <v>0</v>
      </c>
      <c r="I1525" s="49" t="n">
        <v>0</v>
      </c>
      <c r="J1525" s="50" t="n">
        <v>0</v>
      </c>
      <c r="K1525" s="51" t="n">
        <v>5</v>
      </c>
      <c r="L1525" s="52" t="n">
        <v>1.24</v>
      </c>
      <c r="M1525" s="52" t="n">
        <v>0</v>
      </c>
      <c r="N1525" s="52" t="n">
        <v>0</v>
      </c>
      <c r="O1525" s="53" t="n">
        <v>0.0022</v>
      </c>
      <c r="P1525" s="52" t="n">
        <v>0.248</v>
      </c>
      <c r="Q1525" s="53" t="n">
        <v>0</v>
      </c>
      <c r="R1525" s="52" t="n">
        <v>0</v>
      </c>
      <c r="S1525" s="51" t="n">
        <v>2298</v>
      </c>
      <c r="T1525" s="48" t="n">
        <v>0</v>
      </c>
      <c r="U1525" s="49" t="n">
        <v>0</v>
      </c>
      <c r="V1525" s="49" t="n">
        <v>0</v>
      </c>
      <c r="W1525" s="50" t="n">
        <v>0</v>
      </c>
      <c r="X1525" s="51" t="n">
        <v>3</v>
      </c>
      <c r="Y1525" s="52" t="n">
        <v>0.9299999999999999</v>
      </c>
      <c r="Z1525" s="52" t="n">
        <v>0</v>
      </c>
      <c r="AA1525" s="52" t="n">
        <v>0</v>
      </c>
      <c r="AB1525" s="53" t="n">
        <v>0.0013</v>
      </c>
      <c r="AC1525" s="52" t="n">
        <v>0.31</v>
      </c>
      <c r="AD1525" s="53" t="n">
        <v>0</v>
      </c>
      <c r="AE1525" s="52" t="n">
        <v>0</v>
      </c>
      <c r="AF1525" s="51" t="n">
        <v>2318</v>
      </c>
      <c r="AG1525" s="48" t="n">
        <v>0</v>
      </c>
      <c r="AH1525" s="49" t="n">
        <v>0</v>
      </c>
      <c r="AI1525" s="49" t="n">
        <v>0</v>
      </c>
      <c r="AJ1525" s="50" t="n">
        <v>0</v>
      </c>
      <c r="AK1525" s="51" t="n">
        <v>0</v>
      </c>
      <c r="AL1525" s="52" t="n">
        <v>0</v>
      </c>
      <c r="AM1525" s="52" t="n">
        <v>0</v>
      </c>
      <c r="AN1525" s="52" t="n">
        <v>0</v>
      </c>
      <c r="AO1525" s="53" t="n">
        <v>0</v>
      </c>
      <c r="AP1525" s="52" t="n">
        <v>0</v>
      </c>
      <c r="AQ1525" s="53" t="n">
        <v>0</v>
      </c>
      <c r="AR1525" s="52" t="n">
        <v>0</v>
      </c>
      <c r="AS1525" s="51" t="n">
        <v>0</v>
      </c>
      <c r="AT1525" s="48" t="n">
        <v>0</v>
      </c>
      <c r="AU1525" s="49" t="n">
        <v>0</v>
      </c>
      <c r="AV1525" s="49" t="n">
        <v>0</v>
      </c>
      <c r="AW1525" s="50" t="n">
        <v>0</v>
      </c>
      <c r="AX1525" s="51" t="n">
        <v>0</v>
      </c>
      <c r="AY1525" s="52" t="n">
        <v>0</v>
      </c>
      <c r="AZ1525" s="52" t="n">
        <v>0</v>
      </c>
      <c r="BA1525" s="52" t="n">
        <v>0</v>
      </c>
      <c r="BB1525" s="53" t="n">
        <v>0</v>
      </c>
      <c r="BC1525" s="52" t="n">
        <v>0</v>
      </c>
      <c r="BD1525" s="53" t="n">
        <v>0</v>
      </c>
      <c r="BE1525" s="52" t="n">
        <v>0</v>
      </c>
      <c r="BF1525" s="51" t="n">
        <v>528</v>
      </c>
    </row>
    <row r="1526">
      <c r="A1526">
        <f>HYPERLINK("https://www.walmart.com/ip/1573024516", "1573024516")</f>
        <v/>
      </c>
      <c r="B1526" t="inlineStr">
        <is>
          <t>Tirrinia Wearable Fleece Blanket for Women &amp; Men, Super-Soft Microplush TV Blanket Adult Wrap Full Body Robe for Lounge Couch, Red Christmas, 73" x 51".</t>
        </is>
      </c>
      <c r="C1526" t="inlineStr">
        <is>
          <t>1TRSN100RDDOT-TBCB</t>
        </is>
      </c>
      <c r="D1526" t="inlineStr">
        <is>
          <t>Throws</t>
        </is>
      </c>
      <c r="E1526" t="inlineStr">
        <is>
          <t>Tirrinia</t>
        </is>
      </c>
      <c r="F1526" t="inlineStr">
        <is>
          <t>Q2-Target,Coupon_Discount,Fleece Blankets</t>
        </is>
      </c>
      <c r="G1526" s="48" t="n">
        <v>0</v>
      </c>
      <c r="H1526" s="49" t="n">
        <v>0</v>
      </c>
      <c r="I1526" s="49" t="n">
        <v>1</v>
      </c>
      <c r="J1526" s="50" t="n">
        <v>0</v>
      </c>
      <c r="K1526" s="51" t="n">
        <v>0</v>
      </c>
      <c r="L1526" s="52" t="n">
        <v>0</v>
      </c>
      <c r="M1526" s="52" t="n">
        <v>0</v>
      </c>
      <c r="N1526" s="52" t="n">
        <v>0</v>
      </c>
      <c r="O1526" s="53" t="n">
        <v>0</v>
      </c>
      <c r="P1526" s="52" t="n">
        <v>0</v>
      </c>
      <c r="Q1526" s="53" t="n">
        <v>0</v>
      </c>
      <c r="R1526" s="52" t="n">
        <v>0</v>
      </c>
      <c r="S1526" s="51" t="n">
        <v>0</v>
      </c>
      <c r="T1526" s="48" t="n">
        <v>0</v>
      </c>
      <c r="U1526" s="49" t="n">
        <v>0</v>
      </c>
      <c r="V1526" s="49" t="n">
        <v>1</v>
      </c>
      <c r="W1526" s="50" t="n">
        <v>0</v>
      </c>
      <c r="X1526" s="51" t="n">
        <v>0</v>
      </c>
      <c r="Y1526" s="52" t="n">
        <v>0</v>
      </c>
      <c r="Z1526" s="52" t="n">
        <v>0</v>
      </c>
      <c r="AA1526" s="52" t="n">
        <v>0</v>
      </c>
      <c r="AB1526" s="53" t="n">
        <v>0</v>
      </c>
      <c r="AC1526" s="52" t="n">
        <v>0</v>
      </c>
      <c r="AD1526" s="53" t="n">
        <v>0</v>
      </c>
      <c r="AE1526" s="52" t="n">
        <v>0</v>
      </c>
      <c r="AF1526" s="51" t="n">
        <v>0</v>
      </c>
      <c r="AG1526" s="48" t="n">
        <v>0</v>
      </c>
      <c r="AH1526" s="49" t="n">
        <v>0</v>
      </c>
      <c r="AI1526" s="49" t="n">
        <v>1</v>
      </c>
      <c r="AJ1526" s="50" t="n">
        <v>0</v>
      </c>
      <c r="AK1526" s="51" t="n">
        <v>0</v>
      </c>
      <c r="AL1526" s="52" t="n">
        <v>0</v>
      </c>
      <c r="AM1526" s="52" t="n">
        <v>0</v>
      </c>
      <c r="AN1526" s="52" t="n">
        <v>0</v>
      </c>
      <c r="AO1526" s="53" t="n">
        <v>0</v>
      </c>
      <c r="AP1526" s="52" t="n">
        <v>0</v>
      </c>
      <c r="AQ1526" s="53" t="n">
        <v>0</v>
      </c>
      <c r="AR1526" s="52" t="n">
        <v>0</v>
      </c>
      <c r="AS1526" s="51" t="n">
        <v>0</v>
      </c>
      <c r="AT1526" s="48" t="n">
        <v>0</v>
      </c>
      <c r="AU1526" s="49" t="n">
        <v>0</v>
      </c>
      <c r="AV1526" s="49" t="n">
        <v>1</v>
      </c>
      <c r="AW1526" s="50" t="n">
        <v>0</v>
      </c>
      <c r="AX1526" s="51" t="n">
        <v>0</v>
      </c>
      <c r="AY1526" s="52" t="n">
        <v>0</v>
      </c>
      <c r="AZ1526" s="52" t="n">
        <v>0</v>
      </c>
      <c r="BA1526" s="52" t="n">
        <v>0</v>
      </c>
      <c r="BB1526" s="53" t="n">
        <v>0</v>
      </c>
      <c r="BC1526" s="52" t="n">
        <v>0</v>
      </c>
      <c r="BD1526" s="53" t="n">
        <v>0</v>
      </c>
      <c r="BE1526" s="52" t="n">
        <v>0</v>
      </c>
      <c r="BF1526" s="51" t="n">
        <v>0</v>
      </c>
    </row>
    <row r="1527">
      <c r="A1527">
        <f>HYPERLINK("https://www.walmart.com/ip/157648196", "157648196")</f>
        <v/>
      </c>
      <c r="B1527" t="inlineStr">
        <is>
          <t>Jenniwears Women's Sexy Lingerie Lace Mesh 2-Piece Bowknot Halter Chemise with G-String</t>
        </is>
      </c>
      <c r="C1527" t="inlineStr">
        <is>
          <t>JWND03GN</t>
        </is>
      </c>
      <c r="D1527" t="inlineStr">
        <is>
          <t>Lingerie Sets</t>
        </is>
      </c>
      <c r="E1527" t="inlineStr">
        <is>
          <t>JenniWears</t>
        </is>
      </c>
      <c r="F1527" t="inlineStr">
        <is>
          <t>Optimized,Valentine</t>
        </is>
      </c>
      <c r="G1527" s="48" t="n">
        <v>0</v>
      </c>
      <c r="H1527" s="49" t="n">
        <v>0</v>
      </c>
      <c r="I1527" s="49" t="n">
        <v>0</v>
      </c>
      <c r="J1527" s="50" t="n">
        <v>0</v>
      </c>
      <c r="K1527" s="51" t="n">
        <v>0</v>
      </c>
      <c r="L1527" s="52" t="n">
        <v>0</v>
      </c>
      <c r="M1527" s="52" t="n">
        <v>0</v>
      </c>
      <c r="N1527" s="52" t="n">
        <v>0</v>
      </c>
      <c r="O1527" s="53" t="n">
        <v>0</v>
      </c>
      <c r="P1527" s="52" t="n">
        <v>0</v>
      </c>
      <c r="Q1527" s="53" t="n">
        <v>0</v>
      </c>
      <c r="R1527" s="52" t="n">
        <v>0</v>
      </c>
      <c r="S1527" s="51" t="n">
        <v>0</v>
      </c>
      <c r="T1527" s="48" t="n">
        <v>0</v>
      </c>
      <c r="U1527" s="49" t="n">
        <v>0</v>
      </c>
      <c r="V1527" s="49" t="n">
        <v>0</v>
      </c>
      <c r="W1527" s="50" t="n">
        <v>0</v>
      </c>
      <c r="X1527" s="51" t="n">
        <v>0</v>
      </c>
      <c r="Y1527" s="52" t="n">
        <v>0</v>
      </c>
      <c r="Z1527" s="52" t="n">
        <v>0</v>
      </c>
      <c r="AA1527" s="52" t="n">
        <v>0</v>
      </c>
      <c r="AB1527" s="53" t="n">
        <v>0</v>
      </c>
      <c r="AC1527" s="52" t="n">
        <v>0</v>
      </c>
      <c r="AD1527" s="53" t="n">
        <v>0</v>
      </c>
      <c r="AE1527" s="52" t="n">
        <v>0</v>
      </c>
      <c r="AF1527" s="51" t="n">
        <v>0</v>
      </c>
      <c r="AG1527" s="48" t="n">
        <v>0</v>
      </c>
      <c r="AH1527" s="49" t="n">
        <v>0</v>
      </c>
      <c r="AI1527" s="49" t="n">
        <v>0</v>
      </c>
      <c r="AJ1527" s="50" t="n">
        <v>0</v>
      </c>
      <c r="AK1527" s="51" t="n">
        <v>0</v>
      </c>
      <c r="AL1527" s="52" t="n">
        <v>0</v>
      </c>
      <c r="AM1527" s="52" t="n">
        <v>0</v>
      </c>
      <c r="AN1527" s="52" t="n">
        <v>0</v>
      </c>
      <c r="AO1527" s="53" t="n">
        <v>0</v>
      </c>
      <c r="AP1527" s="52" t="n">
        <v>0</v>
      </c>
      <c r="AQ1527" s="53" t="n">
        <v>0</v>
      </c>
      <c r="AR1527" s="52" t="n">
        <v>0</v>
      </c>
      <c r="AS1527" s="51" t="n">
        <v>0</v>
      </c>
      <c r="AT1527" s="48" t="n">
        <v>0</v>
      </c>
      <c r="AU1527" s="49" t="n">
        <v>0</v>
      </c>
      <c r="AV1527" s="49" t="n">
        <v>0</v>
      </c>
      <c r="AW1527" s="50" t="n">
        <v>0</v>
      </c>
      <c r="AX1527" s="51" t="n">
        <v>0</v>
      </c>
      <c r="AY1527" s="52" t="n">
        <v>0</v>
      </c>
      <c r="AZ1527" s="52" t="n">
        <v>0</v>
      </c>
      <c r="BA1527" s="52" t="n">
        <v>0</v>
      </c>
      <c r="BB1527" s="53" t="n">
        <v>0</v>
      </c>
      <c r="BC1527" s="52" t="n">
        <v>0</v>
      </c>
      <c r="BD1527" s="53" t="n">
        <v>0</v>
      </c>
      <c r="BE1527" s="52" t="n">
        <v>0</v>
      </c>
      <c r="BF1527" s="51" t="n">
        <v>0</v>
      </c>
    </row>
    <row r="1528">
      <c r="A1528">
        <f>HYPERLINK("https://www.walmart.com/ip/157792900", "157792900")</f>
        <v/>
      </c>
      <c r="B1528" t="inlineStr">
        <is>
          <t>Headshots Fishing Hats with Anti-Mosquito Facemask, UV Protection Sun Hat for Men Women Unisex Adult Multicolor</t>
        </is>
      </c>
      <c r="C1528" t="inlineStr">
        <is>
          <t>kc-s9198-forgn</t>
        </is>
      </c>
      <c r="D1528" t="inlineStr">
        <is>
          <t>Hats</t>
        </is>
      </c>
      <c r="E1528" t="inlineStr">
        <is>
          <t>Headshots</t>
        </is>
      </c>
      <c r="F1528" t="inlineStr">
        <is>
          <t>Batch 1 - TR</t>
        </is>
      </c>
      <c r="G1528" s="48" t="n">
        <v>0</v>
      </c>
      <c r="H1528" s="49" t="n">
        <v>0</v>
      </c>
      <c r="I1528" s="49" t="n">
        <v>0</v>
      </c>
      <c r="J1528" s="50" t="n">
        <v>0</v>
      </c>
      <c r="K1528" s="51" t="n">
        <v>0</v>
      </c>
      <c r="L1528" s="52" t="n">
        <v>0</v>
      </c>
      <c r="M1528" s="52" t="n">
        <v>0</v>
      </c>
      <c r="N1528" s="52" t="n">
        <v>0</v>
      </c>
      <c r="O1528" s="53" t="n">
        <v>0</v>
      </c>
      <c r="P1528" s="52" t="n">
        <v>0</v>
      </c>
      <c r="Q1528" s="53" t="n">
        <v>0</v>
      </c>
      <c r="R1528" s="52" t="n">
        <v>0</v>
      </c>
      <c r="S1528" s="51" t="n">
        <v>0</v>
      </c>
      <c r="T1528" s="48" t="n">
        <v>0</v>
      </c>
      <c r="U1528" s="49" t="n">
        <v>0</v>
      </c>
      <c r="V1528" s="49" t="n">
        <v>0</v>
      </c>
      <c r="W1528" s="50" t="n">
        <v>0</v>
      </c>
      <c r="X1528" s="51" t="n">
        <v>0</v>
      </c>
      <c r="Y1528" s="52" t="n">
        <v>0</v>
      </c>
      <c r="Z1528" s="52" t="n">
        <v>0</v>
      </c>
      <c r="AA1528" s="52" t="n">
        <v>0</v>
      </c>
      <c r="AB1528" s="53" t="n">
        <v>0</v>
      </c>
      <c r="AC1528" s="52" t="n">
        <v>0</v>
      </c>
      <c r="AD1528" s="53" t="n">
        <v>0</v>
      </c>
      <c r="AE1528" s="52" t="n">
        <v>0</v>
      </c>
      <c r="AF1528" s="51" t="n">
        <v>0</v>
      </c>
      <c r="AG1528" s="48" t="n">
        <v>0</v>
      </c>
      <c r="AH1528" s="49" t="n">
        <v>0</v>
      </c>
      <c r="AI1528" s="49" t="n">
        <v>0</v>
      </c>
      <c r="AJ1528" s="50" t="n">
        <v>0</v>
      </c>
      <c r="AK1528" s="51" t="n">
        <v>0</v>
      </c>
      <c r="AL1528" s="52" t="n">
        <v>0</v>
      </c>
      <c r="AM1528" s="52" t="n">
        <v>0</v>
      </c>
      <c r="AN1528" s="52" t="n">
        <v>0</v>
      </c>
      <c r="AO1528" s="53" t="n">
        <v>0</v>
      </c>
      <c r="AP1528" s="52" t="n">
        <v>0</v>
      </c>
      <c r="AQ1528" s="53" t="n">
        <v>0</v>
      </c>
      <c r="AR1528" s="52" t="n">
        <v>0</v>
      </c>
      <c r="AS1528" s="51" t="n">
        <v>0</v>
      </c>
      <c r="AT1528" s="48" t="n">
        <v>0</v>
      </c>
      <c r="AU1528" s="49" t="n">
        <v>0</v>
      </c>
      <c r="AV1528" s="49" t="n">
        <v>0</v>
      </c>
      <c r="AW1528" s="50" t="n">
        <v>0</v>
      </c>
      <c r="AX1528" s="51" t="n">
        <v>0</v>
      </c>
      <c r="AY1528" s="52" t="n">
        <v>0</v>
      </c>
      <c r="AZ1528" s="52" t="n">
        <v>0</v>
      </c>
      <c r="BA1528" s="52" t="n">
        <v>0</v>
      </c>
      <c r="BB1528" s="53" t="n">
        <v>0</v>
      </c>
      <c r="BC1528" s="52" t="n">
        <v>0</v>
      </c>
      <c r="BD1528" s="53" t="n">
        <v>0</v>
      </c>
      <c r="BE1528" s="52" t="n">
        <v>0</v>
      </c>
      <c r="BF1528" s="51" t="n">
        <v>0</v>
      </c>
    </row>
    <row r="1529">
      <c r="A1529">
        <f>HYPERLINK("https://www.walmart.com/ip/157960013", "157960013")</f>
        <v/>
      </c>
      <c r="B1529" t="inlineStr">
        <is>
          <t>JenniWears Women Strappy Dress Babydoll Hollow Lace Nightwear Chemises Sleepwear</t>
        </is>
      </c>
      <c r="C1529" t="inlineStr">
        <is>
          <t>JWND03PK</t>
        </is>
      </c>
      <c r="D1529" t="inlineStr">
        <is>
          <t>Lingerie Sets</t>
        </is>
      </c>
      <c r="E1529" t="inlineStr">
        <is>
          <t>JenniWears</t>
        </is>
      </c>
      <c r="F1529" t="inlineStr">
        <is>
          <t>Optimized,Valentine</t>
        </is>
      </c>
      <c r="G1529" s="48" t="n">
        <v>0</v>
      </c>
      <c r="H1529" s="49" t="n">
        <v>0</v>
      </c>
      <c r="I1529" s="49" t="n">
        <v>0</v>
      </c>
      <c r="J1529" s="50" t="n">
        <v>0</v>
      </c>
      <c r="K1529" s="51" t="n">
        <v>0</v>
      </c>
      <c r="L1529" s="52" t="n">
        <v>0</v>
      </c>
      <c r="M1529" s="52" t="n">
        <v>0</v>
      </c>
      <c r="N1529" s="52" t="n">
        <v>0</v>
      </c>
      <c r="O1529" s="53" t="n">
        <v>0</v>
      </c>
      <c r="P1529" s="52" t="n">
        <v>0</v>
      </c>
      <c r="Q1529" s="53" t="n">
        <v>0</v>
      </c>
      <c r="R1529" s="52" t="n">
        <v>0</v>
      </c>
      <c r="S1529" s="51" t="n">
        <v>0</v>
      </c>
      <c r="T1529" s="48" t="n">
        <v>0</v>
      </c>
      <c r="U1529" s="49" t="n">
        <v>0</v>
      </c>
      <c r="V1529" s="49" t="n">
        <v>0</v>
      </c>
      <c r="W1529" s="50" t="n">
        <v>0</v>
      </c>
      <c r="X1529" s="51" t="n">
        <v>0</v>
      </c>
      <c r="Y1529" s="52" t="n">
        <v>0</v>
      </c>
      <c r="Z1529" s="52" t="n">
        <v>0</v>
      </c>
      <c r="AA1529" s="52" t="n">
        <v>0</v>
      </c>
      <c r="AB1529" s="53" t="n">
        <v>0</v>
      </c>
      <c r="AC1529" s="52" t="n">
        <v>0</v>
      </c>
      <c r="AD1529" s="53" t="n">
        <v>0</v>
      </c>
      <c r="AE1529" s="52" t="n">
        <v>0</v>
      </c>
      <c r="AF1529" s="51" t="n">
        <v>0</v>
      </c>
      <c r="AG1529" s="48" t="n">
        <v>0</v>
      </c>
      <c r="AH1529" s="49" t="n">
        <v>0</v>
      </c>
      <c r="AI1529" s="49" t="n">
        <v>0</v>
      </c>
      <c r="AJ1529" s="50" t="n">
        <v>0</v>
      </c>
      <c r="AK1529" s="51" t="n">
        <v>0</v>
      </c>
      <c r="AL1529" s="52" t="n">
        <v>0</v>
      </c>
      <c r="AM1529" s="52" t="n">
        <v>0</v>
      </c>
      <c r="AN1529" s="52" t="n">
        <v>0</v>
      </c>
      <c r="AO1529" s="53" t="n">
        <v>0</v>
      </c>
      <c r="AP1529" s="52" t="n">
        <v>0</v>
      </c>
      <c r="AQ1529" s="53" t="n">
        <v>0</v>
      </c>
      <c r="AR1529" s="52" t="n">
        <v>0</v>
      </c>
      <c r="AS1529" s="51" t="n">
        <v>0</v>
      </c>
      <c r="AT1529" s="48" t="n">
        <v>0</v>
      </c>
      <c r="AU1529" s="49" t="n">
        <v>0</v>
      </c>
      <c r="AV1529" s="49" t="n">
        <v>0</v>
      </c>
      <c r="AW1529" s="50" t="n">
        <v>0</v>
      </c>
      <c r="AX1529" s="51" t="n">
        <v>0</v>
      </c>
      <c r="AY1529" s="52" t="n">
        <v>0</v>
      </c>
      <c r="AZ1529" s="52" t="n">
        <v>0</v>
      </c>
      <c r="BA1529" s="52" t="n">
        <v>0</v>
      </c>
      <c r="BB1529" s="53" t="n">
        <v>0</v>
      </c>
      <c r="BC1529" s="52" t="n">
        <v>0</v>
      </c>
      <c r="BD1529" s="53" t="n">
        <v>0</v>
      </c>
      <c r="BE1529" s="52" t="n">
        <v>0</v>
      </c>
      <c r="BF1529" s="51" t="n">
        <v>0</v>
      </c>
    </row>
    <row r="1530">
      <c r="A1530">
        <f>HYPERLINK("https://www.walmart.com/ip/1583266534", "1583266534")</f>
        <v/>
      </c>
      <c r="B1530" t="inlineStr">
        <is>
          <t>Every Day is Christmas Glass Blown Ornaments Cute Hand Made Figurines Tree Decoration, Unicorn</t>
        </is>
      </c>
      <c r="C1530" t="inlineStr">
        <is>
          <t>EDC-FIGURINE-UNICORN</t>
        </is>
      </c>
      <c r="D1530" t="inlineStr">
        <is>
          <t>Ornaments</t>
        </is>
      </c>
      <c r="E1530" t="inlineStr">
        <is>
          <t>Every Day is Christmas</t>
        </is>
      </c>
      <c r="G1530" s="48" t="n">
        <v>0</v>
      </c>
      <c r="H1530" s="49" t="n">
        <v>0</v>
      </c>
      <c r="I1530" s="49" t="n">
        <v>0</v>
      </c>
      <c r="J1530" s="50" t="n">
        <v>0</v>
      </c>
      <c r="K1530" s="51" t="n">
        <v>0</v>
      </c>
      <c r="L1530" s="52" t="n">
        <v>0</v>
      </c>
      <c r="M1530" s="52" t="n">
        <v>0</v>
      </c>
      <c r="N1530" s="52" t="n">
        <v>0</v>
      </c>
      <c r="O1530" s="53" t="n">
        <v>0</v>
      </c>
      <c r="P1530" s="52" t="n">
        <v>0</v>
      </c>
      <c r="Q1530" s="53" t="n">
        <v>0</v>
      </c>
      <c r="R1530" s="52" t="n">
        <v>0</v>
      </c>
      <c r="S1530" s="51" t="n">
        <v>0</v>
      </c>
      <c r="T1530" s="48" t="n">
        <v>0</v>
      </c>
      <c r="U1530" s="49" t="n">
        <v>0</v>
      </c>
      <c r="V1530" s="49" t="n">
        <v>0</v>
      </c>
      <c r="W1530" s="50" t="n">
        <v>0</v>
      </c>
      <c r="X1530" s="51" t="n">
        <v>0</v>
      </c>
      <c r="Y1530" s="52" t="n">
        <v>0</v>
      </c>
      <c r="Z1530" s="52" t="n">
        <v>0</v>
      </c>
      <c r="AA1530" s="52" t="n">
        <v>0</v>
      </c>
      <c r="AB1530" s="53" t="n">
        <v>0</v>
      </c>
      <c r="AC1530" s="52" t="n">
        <v>0</v>
      </c>
      <c r="AD1530" s="53" t="n">
        <v>0</v>
      </c>
      <c r="AE1530" s="52" t="n">
        <v>0</v>
      </c>
      <c r="AF1530" s="51" t="n">
        <v>0</v>
      </c>
      <c r="AG1530" s="48" t="n">
        <v>0</v>
      </c>
      <c r="AH1530" s="49" t="n">
        <v>0</v>
      </c>
      <c r="AI1530" s="49" t="n">
        <v>0</v>
      </c>
      <c r="AJ1530" s="50" t="n">
        <v>0</v>
      </c>
      <c r="AK1530" s="51" t="n">
        <v>0</v>
      </c>
      <c r="AL1530" s="52" t="n">
        <v>0</v>
      </c>
      <c r="AM1530" s="52" t="n">
        <v>0</v>
      </c>
      <c r="AN1530" s="52" t="n">
        <v>0</v>
      </c>
      <c r="AO1530" s="53" t="n">
        <v>0</v>
      </c>
      <c r="AP1530" s="52" t="n">
        <v>0</v>
      </c>
      <c r="AQ1530" s="53" t="n">
        <v>0</v>
      </c>
      <c r="AR1530" s="52" t="n">
        <v>0</v>
      </c>
      <c r="AS1530" s="51" t="n">
        <v>0</v>
      </c>
      <c r="AT1530" s="48" t="n">
        <v>0</v>
      </c>
      <c r="AU1530" s="49" t="n">
        <v>0</v>
      </c>
      <c r="AV1530" s="49" t="n">
        <v>0</v>
      </c>
      <c r="AW1530" s="50" t="n">
        <v>0</v>
      </c>
      <c r="AX1530" s="51" t="n">
        <v>0</v>
      </c>
      <c r="AY1530" s="52" t="n">
        <v>0</v>
      </c>
      <c r="AZ1530" s="52" t="n">
        <v>0</v>
      </c>
      <c r="BA1530" s="52" t="n">
        <v>0</v>
      </c>
      <c r="BB1530" s="53" t="n">
        <v>0</v>
      </c>
      <c r="BC1530" s="52" t="n">
        <v>0</v>
      </c>
      <c r="BD1530" s="53" t="n">
        <v>0</v>
      </c>
      <c r="BE1530" s="52" t="n">
        <v>0</v>
      </c>
      <c r="BF1530" s="51" t="n">
        <v>0</v>
      </c>
    </row>
    <row r="1531">
      <c r="A1531">
        <f>HYPERLINK("https://www.walmart.com/ip/158329569", "158329569")</f>
        <v/>
      </c>
      <c r="B1531" t="inlineStr">
        <is>
          <t>Ultimate Sport Unisex Running belt, Water Resistant, Touch Screen, Reflective Zipper, Fanny Waist Pouch for Exercise and</t>
        </is>
      </c>
      <c r="C1531" t="inlineStr">
        <is>
          <t>TARGETWB01L-NG</t>
        </is>
      </c>
      <c r="D1531" t="inlineStr">
        <is>
          <t>Running Belts</t>
        </is>
      </c>
      <c r="E1531" t="inlineStr">
        <is>
          <t>Target</t>
        </is>
      </c>
      <c r="F1531" t="inlineStr">
        <is>
          <t>Optimized,ST Patrick Day</t>
        </is>
      </c>
      <c r="G1531" s="48" t="n">
        <v>0</v>
      </c>
      <c r="H1531" s="49" t="n">
        <v>0</v>
      </c>
      <c r="I1531" s="49" t="n">
        <v>0</v>
      </c>
      <c r="J1531" s="50" t="n">
        <v>0</v>
      </c>
      <c r="K1531" s="51" t="n">
        <v>0</v>
      </c>
      <c r="L1531" s="52" t="n">
        <v>0</v>
      </c>
      <c r="M1531" s="52" t="n">
        <v>0</v>
      </c>
      <c r="N1531" s="52" t="n">
        <v>0</v>
      </c>
      <c r="O1531" s="53" t="n">
        <v>0</v>
      </c>
      <c r="P1531" s="52" t="n">
        <v>0</v>
      </c>
      <c r="Q1531" s="53" t="n">
        <v>0</v>
      </c>
      <c r="R1531" s="52" t="n">
        <v>0</v>
      </c>
      <c r="S1531" s="51" t="n">
        <v>0</v>
      </c>
      <c r="T1531" s="48" t="n">
        <v>0</v>
      </c>
      <c r="U1531" s="49" t="n">
        <v>0</v>
      </c>
      <c r="V1531" s="49" t="n">
        <v>0</v>
      </c>
      <c r="W1531" s="50" t="n">
        <v>0</v>
      </c>
      <c r="X1531" s="51" t="n">
        <v>0</v>
      </c>
      <c r="Y1531" s="52" t="n">
        <v>0</v>
      </c>
      <c r="Z1531" s="52" t="n">
        <v>0</v>
      </c>
      <c r="AA1531" s="52" t="n">
        <v>0</v>
      </c>
      <c r="AB1531" s="53" t="n">
        <v>0</v>
      </c>
      <c r="AC1531" s="52" t="n">
        <v>0</v>
      </c>
      <c r="AD1531" s="53" t="n">
        <v>0</v>
      </c>
      <c r="AE1531" s="52" t="n">
        <v>0</v>
      </c>
      <c r="AF1531" s="51" t="n">
        <v>0</v>
      </c>
      <c r="AG1531" s="48" t="n">
        <v>0</v>
      </c>
      <c r="AH1531" s="49" t="n">
        <v>0</v>
      </c>
      <c r="AI1531" s="49" t="n">
        <v>0</v>
      </c>
      <c r="AJ1531" s="50" t="n">
        <v>0</v>
      </c>
      <c r="AK1531" s="51" t="n">
        <v>0</v>
      </c>
      <c r="AL1531" s="52" t="n">
        <v>0</v>
      </c>
      <c r="AM1531" s="52" t="n">
        <v>0</v>
      </c>
      <c r="AN1531" s="52" t="n">
        <v>0</v>
      </c>
      <c r="AO1531" s="53" t="n">
        <v>0</v>
      </c>
      <c r="AP1531" s="52" t="n">
        <v>0</v>
      </c>
      <c r="AQ1531" s="53" t="n">
        <v>0</v>
      </c>
      <c r="AR1531" s="52" t="n">
        <v>0</v>
      </c>
      <c r="AS1531" s="51" t="n">
        <v>0</v>
      </c>
      <c r="AT1531" s="48" t="n">
        <v>0</v>
      </c>
      <c r="AU1531" s="49" t="n">
        <v>0</v>
      </c>
      <c r="AV1531" s="49" t="n">
        <v>0</v>
      </c>
      <c r="AW1531" s="50" t="n">
        <v>0</v>
      </c>
      <c r="AX1531" s="51" t="n">
        <v>0</v>
      </c>
      <c r="AY1531" s="52" t="n">
        <v>0</v>
      </c>
      <c r="AZ1531" s="52" t="n">
        <v>0</v>
      </c>
      <c r="BA1531" s="52" t="n">
        <v>0</v>
      </c>
      <c r="BB1531" s="53" t="n">
        <v>0</v>
      </c>
      <c r="BC1531" s="52" t="n">
        <v>0</v>
      </c>
      <c r="BD1531" s="53" t="n">
        <v>0</v>
      </c>
      <c r="BE1531" s="52" t="n">
        <v>0</v>
      </c>
      <c r="BF1531" s="51" t="n">
        <v>0</v>
      </c>
    </row>
    <row r="1532">
      <c r="A1532">
        <f>HYPERLINK("https://www.walmart.com/ip/152283264", "152283264")</f>
        <v/>
      </c>
      <c r="B1532" t="inlineStr">
        <is>
          <t>Catalonia Wearable TV Blanket with Sleeves Arms Warm Micro Plush Sherpa Fleece for Adult Large Wrap Throw Robe 72 x 55”</t>
        </is>
      </c>
      <c r="C1532" t="inlineStr">
        <is>
          <t>1CTSN110CA</t>
        </is>
      </c>
      <c r="D1532" t="inlineStr">
        <is>
          <t>Throws</t>
        </is>
      </c>
      <c r="E1532" t="inlineStr">
        <is>
          <t>Catalonia</t>
        </is>
      </c>
      <c r="F1532" t="inlineStr">
        <is>
          <t>Optimized,WFS,WFS Item</t>
        </is>
      </c>
      <c r="G1532" s="48" t="n">
        <v>0</v>
      </c>
      <c r="H1532" s="49" t="n">
        <v>0</v>
      </c>
      <c r="I1532" s="49" t="n">
        <v>0</v>
      </c>
      <c r="J1532" s="50" t="n">
        <v>0</v>
      </c>
      <c r="K1532" s="51" t="n">
        <v>0</v>
      </c>
      <c r="L1532" s="52" t="n">
        <v>0</v>
      </c>
      <c r="M1532" s="52" t="n">
        <v>0</v>
      </c>
      <c r="N1532" s="52" t="n">
        <v>0</v>
      </c>
      <c r="O1532" s="53" t="n">
        <v>0</v>
      </c>
      <c r="P1532" s="52" t="n">
        <v>0</v>
      </c>
      <c r="Q1532" s="53" t="n">
        <v>0</v>
      </c>
      <c r="R1532" s="52" t="n">
        <v>0</v>
      </c>
      <c r="S1532" s="51" t="n">
        <v>0</v>
      </c>
      <c r="T1532" s="48" t="n">
        <v>0</v>
      </c>
      <c r="U1532" s="49" t="n">
        <v>0</v>
      </c>
      <c r="V1532" s="49" t="n">
        <v>0</v>
      </c>
      <c r="W1532" s="50" t="n">
        <v>0</v>
      </c>
      <c r="X1532" s="51" t="n">
        <v>0</v>
      </c>
      <c r="Y1532" s="52" t="n">
        <v>0</v>
      </c>
      <c r="Z1532" s="52" t="n">
        <v>0</v>
      </c>
      <c r="AA1532" s="52" t="n">
        <v>0</v>
      </c>
      <c r="AB1532" s="53" t="n">
        <v>0</v>
      </c>
      <c r="AC1532" s="52" t="n">
        <v>0</v>
      </c>
      <c r="AD1532" s="53" t="n">
        <v>0</v>
      </c>
      <c r="AE1532" s="52" t="n">
        <v>0</v>
      </c>
      <c r="AF1532" s="51" t="n">
        <v>0</v>
      </c>
      <c r="AG1532" s="48" t="n">
        <v>0</v>
      </c>
      <c r="AH1532" s="49" t="n">
        <v>0</v>
      </c>
      <c r="AI1532" s="49" t="n">
        <v>0</v>
      </c>
      <c r="AJ1532" s="50" t="n">
        <v>0</v>
      </c>
      <c r="AK1532" s="51" t="n">
        <v>0</v>
      </c>
      <c r="AL1532" s="52" t="n">
        <v>0</v>
      </c>
      <c r="AM1532" s="52" t="n">
        <v>0</v>
      </c>
      <c r="AN1532" s="52" t="n">
        <v>0</v>
      </c>
      <c r="AO1532" s="53" t="n">
        <v>0</v>
      </c>
      <c r="AP1532" s="52" t="n">
        <v>0</v>
      </c>
      <c r="AQ1532" s="53" t="n">
        <v>0</v>
      </c>
      <c r="AR1532" s="52" t="n">
        <v>0</v>
      </c>
      <c r="AS1532" s="51" t="n">
        <v>0</v>
      </c>
      <c r="AT1532" s="48" t="n">
        <v>0</v>
      </c>
      <c r="AU1532" s="49" t="n">
        <v>0</v>
      </c>
      <c r="AV1532" s="49" t="n">
        <v>0</v>
      </c>
      <c r="AW1532" s="50" t="n">
        <v>0</v>
      </c>
      <c r="AX1532" s="51" t="n">
        <v>0</v>
      </c>
      <c r="AY1532" s="52" t="n">
        <v>0</v>
      </c>
      <c r="AZ1532" s="52" t="n">
        <v>0</v>
      </c>
      <c r="BA1532" s="52" t="n">
        <v>0</v>
      </c>
      <c r="BB1532" s="53" t="n">
        <v>0</v>
      </c>
      <c r="BC1532" s="52" t="n">
        <v>0</v>
      </c>
      <c r="BD1532" s="53" t="n">
        <v>0</v>
      </c>
      <c r="BE1532" s="52" t="n">
        <v>0</v>
      </c>
      <c r="BF1532" s="51" t="n">
        <v>0</v>
      </c>
    </row>
    <row r="1533">
      <c r="A1533">
        <f>HYPERLINK("https://www.walmart.com/ip/152145176", "152145176")</f>
        <v/>
      </c>
      <c r="B1533" t="inlineStr">
        <is>
          <t>Jenniwears Women's Leopard Print Bodysuit Jumpsuit</t>
        </is>
      </c>
      <c r="C1533" t="inlineStr">
        <is>
          <t>JWND04LE</t>
        </is>
      </c>
      <c r="D1533" t="inlineStr">
        <is>
          <t>Lingerie Sets</t>
        </is>
      </c>
      <c r="E1533" t="inlineStr">
        <is>
          <t>JenniWears</t>
        </is>
      </c>
      <c r="F1533" t="inlineStr">
        <is>
          <t>Optimized,Valentine</t>
        </is>
      </c>
      <c r="G1533" s="48" t="n">
        <v>0</v>
      </c>
      <c r="H1533" s="49" t="n">
        <v>0</v>
      </c>
      <c r="I1533" s="49" t="n">
        <v>0</v>
      </c>
      <c r="J1533" s="50" t="n">
        <v>0</v>
      </c>
      <c r="K1533" s="51" t="n">
        <v>0</v>
      </c>
      <c r="L1533" s="52" t="n">
        <v>0</v>
      </c>
      <c r="M1533" s="52" t="n">
        <v>0</v>
      </c>
      <c r="N1533" s="52" t="n">
        <v>0</v>
      </c>
      <c r="O1533" s="53" t="n">
        <v>0</v>
      </c>
      <c r="P1533" s="52" t="n">
        <v>0</v>
      </c>
      <c r="Q1533" s="53" t="n">
        <v>0</v>
      </c>
      <c r="R1533" s="52" t="n">
        <v>0</v>
      </c>
      <c r="S1533" s="51" t="n">
        <v>0</v>
      </c>
      <c r="T1533" s="48" t="n">
        <v>0</v>
      </c>
      <c r="U1533" s="49" t="n">
        <v>0</v>
      </c>
      <c r="V1533" s="49" t="n">
        <v>0</v>
      </c>
      <c r="W1533" s="50" t="n">
        <v>0</v>
      </c>
      <c r="X1533" s="51" t="n">
        <v>0</v>
      </c>
      <c r="Y1533" s="52" t="n">
        <v>0</v>
      </c>
      <c r="Z1533" s="52" t="n">
        <v>0</v>
      </c>
      <c r="AA1533" s="52" t="n">
        <v>0</v>
      </c>
      <c r="AB1533" s="53" t="n">
        <v>0</v>
      </c>
      <c r="AC1533" s="52" t="n">
        <v>0</v>
      </c>
      <c r="AD1533" s="53" t="n">
        <v>0</v>
      </c>
      <c r="AE1533" s="52" t="n">
        <v>0</v>
      </c>
      <c r="AF1533" s="51" t="n">
        <v>0</v>
      </c>
      <c r="AG1533" s="48" t="n">
        <v>0</v>
      </c>
      <c r="AH1533" s="49" t="n">
        <v>0</v>
      </c>
      <c r="AI1533" s="49" t="n">
        <v>0</v>
      </c>
      <c r="AJ1533" s="50" t="n">
        <v>0</v>
      </c>
      <c r="AK1533" s="51" t="n">
        <v>0</v>
      </c>
      <c r="AL1533" s="52" t="n">
        <v>0</v>
      </c>
      <c r="AM1533" s="52" t="n">
        <v>0</v>
      </c>
      <c r="AN1533" s="52" t="n">
        <v>0</v>
      </c>
      <c r="AO1533" s="53" t="n">
        <v>0</v>
      </c>
      <c r="AP1533" s="52" t="n">
        <v>0</v>
      </c>
      <c r="AQ1533" s="53" t="n">
        <v>0</v>
      </c>
      <c r="AR1533" s="52" t="n">
        <v>0</v>
      </c>
      <c r="AS1533" s="51" t="n">
        <v>0</v>
      </c>
      <c r="AT1533" s="48" t="n">
        <v>0</v>
      </c>
      <c r="AU1533" s="49" t="n">
        <v>0</v>
      </c>
      <c r="AV1533" s="49" t="n">
        <v>0</v>
      </c>
      <c r="AW1533" s="50" t="n">
        <v>0</v>
      </c>
      <c r="AX1533" s="51" t="n">
        <v>0</v>
      </c>
      <c r="AY1533" s="52" t="n">
        <v>0</v>
      </c>
      <c r="AZ1533" s="52" t="n">
        <v>0</v>
      </c>
      <c r="BA1533" s="52" t="n">
        <v>0</v>
      </c>
      <c r="BB1533" s="53" t="n">
        <v>0</v>
      </c>
      <c r="BC1533" s="52" t="n">
        <v>0</v>
      </c>
      <c r="BD1533" s="53" t="n">
        <v>0</v>
      </c>
      <c r="BE1533" s="52" t="n">
        <v>0</v>
      </c>
      <c r="BF1533" s="51" t="n">
        <v>0</v>
      </c>
    </row>
    <row r="1534">
      <c r="A1534">
        <f>HYPERLINK("https://www.walmart.com/ip/15190256647", "15190256647")</f>
        <v/>
      </c>
      <c r="B1534" t="inlineStr">
        <is>
          <t>Catalonia Kids Mermaid Tail Blanket,Super Soft Plush Flannel Sleeping Snuggle Blanket for Girls,Rainbow Ombre,Fish Scale Pattern,Gift Idea</t>
        </is>
      </c>
      <c r="C1534" t="inlineStr">
        <is>
          <t>1CTMM210STARLIGHT</t>
        </is>
      </c>
      <c r="D1534" t="inlineStr">
        <is>
          <t>Throws</t>
        </is>
      </c>
      <c r="E1534" t="inlineStr">
        <is>
          <t>Catalonia</t>
        </is>
      </c>
      <c r="G1534" s="48" t="n">
        <v>0</v>
      </c>
      <c r="H1534" s="49" t="n">
        <v>0</v>
      </c>
      <c r="I1534" s="49" t="n">
        <v>0</v>
      </c>
      <c r="J1534" s="50" t="n">
        <v>0</v>
      </c>
      <c r="K1534" s="51" t="n">
        <v>0</v>
      </c>
      <c r="L1534" s="52" t="n">
        <v>0</v>
      </c>
      <c r="M1534" s="52" t="n">
        <v>0</v>
      </c>
      <c r="N1534" s="52" t="n">
        <v>0</v>
      </c>
      <c r="O1534" s="53" t="n">
        <v>0</v>
      </c>
      <c r="P1534" s="52" t="n">
        <v>0</v>
      </c>
      <c r="Q1534" s="53" t="n">
        <v>0</v>
      </c>
      <c r="R1534" s="52" t="n">
        <v>0</v>
      </c>
      <c r="S1534" s="51" t="n">
        <v>0</v>
      </c>
      <c r="T1534" s="48" t="n">
        <v>0</v>
      </c>
      <c r="U1534" s="49" t="n">
        <v>0</v>
      </c>
      <c r="V1534" s="49" t="n">
        <v>0</v>
      </c>
      <c r="W1534" s="50" t="n">
        <v>0</v>
      </c>
      <c r="X1534" s="51" t="n">
        <v>0</v>
      </c>
      <c r="Y1534" s="52" t="n">
        <v>0</v>
      </c>
      <c r="Z1534" s="52" t="n">
        <v>0</v>
      </c>
      <c r="AA1534" s="52" t="n">
        <v>0</v>
      </c>
      <c r="AB1534" s="53" t="n">
        <v>0</v>
      </c>
      <c r="AC1534" s="52" t="n">
        <v>0</v>
      </c>
      <c r="AD1534" s="53" t="n">
        <v>0</v>
      </c>
      <c r="AE1534" s="52" t="n">
        <v>0</v>
      </c>
      <c r="AF1534" s="51" t="n">
        <v>0</v>
      </c>
      <c r="AG1534" s="48" t="n">
        <v>0</v>
      </c>
      <c r="AH1534" s="49" t="n">
        <v>0</v>
      </c>
      <c r="AI1534" s="49" t="n">
        <v>0</v>
      </c>
      <c r="AJ1534" s="50" t="n">
        <v>0</v>
      </c>
      <c r="AK1534" s="51" t="n">
        <v>0</v>
      </c>
      <c r="AL1534" s="52" t="n">
        <v>0</v>
      </c>
      <c r="AM1534" s="52" t="n">
        <v>0</v>
      </c>
      <c r="AN1534" s="52" t="n">
        <v>0</v>
      </c>
      <c r="AO1534" s="53" t="n">
        <v>0</v>
      </c>
      <c r="AP1534" s="52" t="n">
        <v>0</v>
      </c>
      <c r="AQ1534" s="53" t="n">
        <v>0</v>
      </c>
      <c r="AR1534" s="52" t="n">
        <v>0</v>
      </c>
      <c r="AS1534" s="51" t="n">
        <v>0</v>
      </c>
      <c r="AT1534" s="48" t="n">
        <v>0</v>
      </c>
      <c r="AU1534" s="49" t="n">
        <v>0</v>
      </c>
      <c r="AV1534" s="49" t="n">
        <v>0</v>
      </c>
      <c r="AW1534" s="50" t="n">
        <v>0</v>
      </c>
      <c r="AX1534" s="51" t="n">
        <v>0</v>
      </c>
      <c r="AY1534" s="52" t="n">
        <v>0</v>
      </c>
      <c r="AZ1534" s="52" t="n">
        <v>0</v>
      </c>
      <c r="BA1534" s="52" t="n">
        <v>0</v>
      </c>
      <c r="BB1534" s="53" t="n">
        <v>0</v>
      </c>
      <c r="BC1534" s="52" t="n">
        <v>0</v>
      </c>
      <c r="BD1534" s="53" t="n">
        <v>0</v>
      </c>
      <c r="BE1534" s="52" t="n">
        <v>0</v>
      </c>
      <c r="BF1534" s="51" t="n">
        <v>0</v>
      </c>
    </row>
    <row r="1535">
      <c r="A1535">
        <f>HYPERLINK("https://www.walmart.com/ip/14544860347", "14544860347")</f>
        <v/>
      </c>
      <c r="B1535" t="inlineStr">
        <is>
          <t>PEANUTS Toddler Boys Girls Snoopy Family Matching Pajamas 2-Piece Sets for Christmas with Woodstock Charlie Brown Linus (Green Polka Dot, 3T)</t>
        </is>
      </c>
      <c r="C1535" t="inlineStr">
        <is>
          <t>PEA-PJS-FAMILY-TODDLER-GREEN-3T</t>
        </is>
      </c>
      <c r="D1535" t="inlineStr">
        <is>
          <t>Pajamas</t>
        </is>
      </c>
      <c r="E1535" t="inlineStr">
        <is>
          <t>Peanuts</t>
        </is>
      </c>
      <c r="G1535" s="48" t="n">
        <v>0</v>
      </c>
      <c r="H1535" s="49" t="n">
        <v>0</v>
      </c>
      <c r="I1535" s="49" t="n">
        <v>0</v>
      </c>
      <c r="J1535" s="50" t="n">
        <v>0</v>
      </c>
      <c r="K1535" s="51" t="n">
        <v>0</v>
      </c>
      <c r="L1535" s="52" t="n">
        <v>0</v>
      </c>
      <c r="M1535" s="52" t="n">
        <v>0</v>
      </c>
      <c r="N1535" s="52" t="n">
        <v>0</v>
      </c>
      <c r="O1535" s="53" t="n">
        <v>0</v>
      </c>
      <c r="P1535" s="52" t="n">
        <v>0</v>
      </c>
      <c r="Q1535" s="53" t="n">
        <v>0</v>
      </c>
      <c r="R1535" s="52" t="n">
        <v>0</v>
      </c>
      <c r="S1535" s="51" t="n">
        <v>0</v>
      </c>
      <c r="T1535" s="48" t="n">
        <v>0</v>
      </c>
      <c r="U1535" s="49" t="n">
        <v>0</v>
      </c>
      <c r="V1535" s="49" t="n">
        <v>0</v>
      </c>
      <c r="W1535" s="50" t="n">
        <v>0</v>
      </c>
      <c r="X1535" s="51" t="n">
        <v>0</v>
      </c>
      <c r="Y1535" s="52" t="n">
        <v>0</v>
      </c>
      <c r="Z1535" s="52" t="n">
        <v>0</v>
      </c>
      <c r="AA1535" s="52" t="n">
        <v>0</v>
      </c>
      <c r="AB1535" s="53" t="n">
        <v>0</v>
      </c>
      <c r="AC1535" s="52" t="n">
        <v>0</v>
      </c>
      <c r="AD1535" s="53" t="n">
        <v>0</v>
      </c>
      <c r="AE1535" s="52" t="n">
        <v>0</v>
      </c>
      <c r="AF1535" s="51" t="n">
        <v>0</v>
      </c>
      <c r="AG1535" s="48" t="n">
        <v>0</v>
      </c>
      <c r="AH1535" s="49" t="n">
        <v>0</v>
      </c>
      <c r="AI1535" s="49" t="n">
        <v>0</v>
      </c>
      <c r="AJ1535" s="50" t="n">
        <v>0</v>
      </c>
      <c r="AK1535" s="51" t="n">
        <v>0</v>
      </c>
      <c r="AL1535" s="52" t="n">
        <v>0</v>
      </c>
      <c r="AM1535" s="52" t="n">
        <v>0</v>
      </c>
      <c r="AN1535" s="52" t="n">
        <v>0</v>
      </c>
      <c r="AO1535" s="53" t="n">
        <v>0</v>
      </c>
      <c r="AP1535" s="52" t="n">
        <v>0</v>
      </c>
      <c r="AQ1535" s="53" t="n">
        <v>0</v>
      </c>
      <c r="AR1535" s="52" t="n">
        <v>0</v>
      </c>
      <c r="AS1535" s="51" t="n">
        <v>0</v>
      </c>
      <c r="AT1535" s="48" t="n">
        <v>0</v>
      </c>
      <c r="AU1535" s="49" t="n">
        <v>0</v>
      </c>
      <c r="AV1535" s="49" t="n">
        <v>0</v>
      </c>
      <c r="AW1535" s="50" t="n">
        <v>0</v>
      </c>
      <c r="AX1535" s="51" t="n">
        <v>0</v>
      </c>
      <c r="AY1535" s="52" t="n">
        <v>0</v>
      </c>
      <c r="AZ1535" s="52" t="n">
        <v>0</v>
      </c>
      <c r="BA1535" s="52" t="n">
        <v>0</v>
      </c>
      <c r="BB1535" s="53" t="n">
        <v>0</v>
      </c>
      <c r="BC1535" s="52" t="n">
        <v>0</v>
      </c>
      <c r="BD1535" s="53" t="n">
        <v>0</v>
      </c>
      <c r="BE1535" s="52" t="n">
        <v>0</v>
      </c>
      <c r="BF1535" s="51" t="n">
        <v>0</v>
      </c>
    </row>
    <row r="1536">
      <c r="A1536">
        <f>HYPERLINK("https://www.walmart.com/ip/14546152958", "14546152958")</f>
        <v/>
      </c>
      <c r="B1536" t="inlineStr">
        <is>
          <t>Aeropostale  Backpack for School, College, and Travel， Water Resistant Bookbag Black Aero</t>
        </is>
      </c>
      <c r="C1536" t="inlineStr">
        <is>
          <t>1AEBPK92029BKAERO</t>
        </is>
      </c>
      <c r="D1536" t="inlineStr">
        <is>
          <t>Backpacks</t>
        </is>
      </c>
      <c r="E1536" t="inlineStr">
        <is>
          <t>Aeropostale</t>
        </is>
      </c>
      <c r="G1536" s="48" t="n">
        <v>0</v>
      </c>
      <c r="H1536" s="49" t="n">
        <v>0</v>
      </c>
      <c r="I1536" s="49" t="n">
        <v>0</v>
      </c>
      <c r="J1536" s="50" t="n">
        <v>0</v>
      </c>
      <c r="K1536" s="51" t="n">
        <v>0</v>
      </c>
      <c r="L1536" s="52" t="n">
        <v>0</v>
      </c>
      <c r="M1536" s="52" t="n">
        <v>0</v>
      </c>
      <c r="N1536" s="52" t="n">
        <v>0</v>
      </c>
      <c r="O1536" s="53" t="n">
        <v>0</v>
      </c>
      <c r="P1536" s="52" t="n">
        <v>0</v>
      </c>
      <c r="Q1536" s="53" t="n">
        <v>0</v>
      </c>
      <c r="R1536" s="52" t="n">
        <v>0</v>
      </c>
      <c r="S1536" s="51" t="n">
        <v>0</v>
      </c>
      <c r="T1536" s="48" t="n">
        <v>0</v>
      </c>
      <c r="U1536" s="49" t="n">
        <v>0</v>
      </c>
      <c r="V1536" s="49" t="n">
        <v>0</v>
      </c>
      <c r="W1536" s="50" t="n">
        <v>0</v>
      </c>
      <c r="X1536" s="51" t="n">
        <v>0</v>
      </c>
      <c r="Y1536" s="52" t="n">
        <v>0</v>
      </c>
      <c r="Z1536" s="52" t="n">
        <v>0</v>
      </c>
      <c r="AA1536" s="52" t="n">
        <v>0</v>
      </c>
      <c r="AB1536" s="53" t="n">
        <v>0</v>
      </c>
      <c r="AC1536" s="52" t="n">
        <v>0</v>
      </c>
      <c r="AD1536" s="53" t="n">
        <v>0</v>
      </c>
      <c r="AE1536" s="52" t="n">
        <v>0</v>
      </c>
      <c r="AF1536" s="51" t="n">
        <v>0</v>
      </c>
      <c r="AG1536" s="48" t="n">
        <v>0</v>
      </c>
      <c r="AH1536" s="49" t="n">
        <v>0</v>
      </c>
      <c r="AI1536" s="49" t="n">
        <v>0</v>
      </c>
      <c r="AJ1536" s="50" t="n">
        <v>0</v>
      </c>
      <c r="AK1536" s="51" t="n">
        <v>0</v>
      </c>
      <c r="AL1536" s="52" t="n">
        <v>0</v>
      </c>
      <c r="AM1536" s="52" t="n">
        <v>0</v>
      </c>
      <c r="AN1536" s="52" t="n">
        <v>0</v>
      </c>
      <c r="AO1536" s="53" t="n">
        <v>0</v>
      </c>
      <c r="AP1536" s="52" t="n">
        <v>0</v>
      </c>
      <c r="AQ1536" s="53" t="n">
        <v>0</v>
      </c>
      <c r="AR1536" s="52" t="n">
        <v>0</v>
      </c>
      <c r="AS1536" s="51" t="n">
        <v>0</v>
      </c>
      <c r="AT1536" s="48" t="n">
        <v>0</v>
      </c>
      <c r="AU1536" s="49" t="n">
        <v>0</v>
      </c>
      <c r="AV1536" s="49" t="n">
        <v>0</v>
      </c>
      <c r="AW1536" s="50" t="n">
        <v>0</v>
      </c>
      <c r="AX1536" s="51" t="n">
        <v>0</v>
      </c>
      <c r="AY1536" s="52" t="n">
        <v>0</v>
      </c>
      <c r="AZ1536" s="52" t="n">
        <v>0</v>
      </c>
      <c r="BA1536" s="52" t="n">
        <v>0</v>
      </c>
      <c r="BB1536" s="53" t="n">
        <v>0</v>
      </c>
      <c r="BC1536" s="52" t="n">
        <v>0</v>
      </c>
      <c r="BD1536" s="53" t="n">
        <v>0</v>
      </c>
      <c r="BE1536" s="52" t="n">
        <v>0</v>
      </c>
      <c r="BF1536" s="51" t="n">
        <v>0</v>
      </c>
    </row>
    <row r="1537">
      <c r="A1537">
        <f>HYPERLINK("https://www.walmart.com/ip/14546152960", "14546152960")</f>
        <v/>
      </c>
      <c r="B1537" t="inlineStr">
        <is>
          <t>Aeropostale  Backpack for School, College, and Travel， Water Resistant Bookbag Blue</t>
        </is>
      </c>
      <c r="C1537" t="inlineStr">
        <is>
          <t>1AEBPK92029BL</t>
        </is>
      </c>
      <c r="D1537" t="inlineStr">
        <is>
          <t>Backpacks</t>
        </is>
      </c>
      <c r="E1537" t="inlineStr">
        <is>
          <t>Aeropostale</t>
        </is>
      </c>
      <c r="G1537" s="48" t="n">
        <v>0</v>
      </c>
      <c r="H1537" s="49" t="n">
        <v>0</v>
      </c>
      <c r="I1537" s="49" t="n">
        <v>0</v>
      </c>
      <c r="J1537" s="50" t="n">
        <v>0</v>
      </c>
      <c r="K1537" s="51" t="n">
        <v>0</v>
      </c>
      <c r="L1537" s="52" t="n">
        <v>0</v>
      </c>
      <c r="M1537" s="52" t="n">
        <v>0</v>
      </c>
      <c r="N1537" s="52" t="n">
        <v>0</v>
      </c>
      <c r="O1537" s="53" t="n">
        <v>0</v>
      </c>
      <c r="P1537" s="52" t="n">
        <v>0</v>
      </c>
      <c r="Q1537" s="53" t="n">
        <v>0</v>
      </c>
      <c r="R1537" s="52" t="n">
        <v>0</v>
      </c>
      <c r="S1537" s="51" t="n">
        <v>0</v>
      </c>
      <c r="T1537" s="48" t="n">
        <v>0</v>
      </c>
      <c r="U1537" s="49" t="n">
        <v>0</v>
      </c>
      <c r="V1537" s="49" t="n">
        <v>0</v>
      </c>
      <c r="W1537" s="50" t="n">
        <v>0</v>
      </c>
      <c r="X1537" s="51" t="n">
        <v>0</v>
      </c>
      <c r="Y1537" s="52" t="n">
        <v>0</v>
      </c>
      <c r="Z1537" s="52" t="n">
        <v>0</v>
      </c>
      <c r="AA1537" s="52" t="n">
        <v>0</v>
      </c>
      <c r="AB1537" s="53" t="n">
        <v>0</v>
      </c>
      <c r="AC1537" s="52" t="n">
        <v>0</v>
      </c>
      <c r="AD1537" s="53" t="n">
        <v>0</v>
      </c>
      <c r="AE1537" s="52" t="n">
        <v>0</v>
      </c>
      <c r="AF1537" s="51" t="n">
        <v>0</v>
      </c>
      <c r="AG1537" s="48" t="n">
        <v>0</v>
      </c>
      <c r="AH1537" s="49" t="n">
        <v>0</v>
      </c>
      <c r="AI1537" s="49" t="n">
        <v>0</v>
      </c>
      <c r="AJ1537" s="50" t="n">
        <v>0</v>
      </c>
      <c r="AK1537" s="51" t="n">
        <v>0</v>
      </c>
      <c r="AL1537" s="52" t="n">
        <v>0</v>
      </c>
      <c r="AM1537" s="52" t="n">
        <v>0</v>
      </c>
      <c r="AN1537" s="52" t="n">
        <v>0</v>
      </c>
      <c r="AO1537" s="53" t="n">
        <v>0</v>
      </c>
      <c r="AP1537" s="52" t="n">
        <v>0</v>
      </c>
      <c r="AQ1537" s="53" t="n">
        <v>0</v>
      </c>
      <c r="AR1537" s="52" t="n">
        <v>0</v>
      </c>
      <c r="AS1537" s="51" t="n">
        <v>0</v>
      </c>
      <c r="AT1537" s="48" t="n">
        <v>0</v>
      </c>
      <c r="AU1537" s="49" t="n">
        <v>0</v>
      </c>
      <c r="AV1537" s="49" t="n">
        <v>0</v>
      </c>
      <c r="AW1537" s="50" t="n">
        <v>0</v>
      </c>
      <c r="AX1537" s="51" t="n">
        <v>0</v>
      </c>
      <c r="AY1537" s="52" t="n">
        <v>0</v>
      </c>
      <c r="AZ1537" s="52" t="n">
        <v>0</v>
      </c>
      <c r="BA1537" s="52" t="n">
        <v>0</v>
      </c>
      <c r="BB1537" s="53" t="n">
        <v>0</v>
      </c>
      <c r="BC1537" s="52" t="n">
        <v>0</v>
      </c>
      <c r="BD1537" s="53" t="n">
        <v>0</v>
      </c>
      <c r="BE1537" s="52" t="n">
        <v>0</v>
      </c>
      <c r="BF1537" s="51" t="n">
        <v>0</v>
      </c>
    </row>
    <row r="1538">
      <c r="A1538">
        <f>HYPERLINK("https://www.walmart.com/ip/14546161227", "14546161227")</f>
        <v/>
      </c>
      <c r="B1538" t="inlineStr">
        <is>
          <t>Aeropostale  Backpack for School, College, and Travel， Water Resistant Bookbag Black White</t>
        </is>
      </c>
      <c r="C1538" t="inlineStr">
        <is>
          <t>1AEBPK92029BKWH</t>
        </is>
      </c>
      <c r="D1538" t="inlineStr">
        <is>
          <t>Backpacks</t>
        </is>
      </c>
      <c r="E1538" t="inlineStr">
        <is>
          <t>Aeropostale</t>
        </is>
      </c>
      <c r="G1538" s="48" t="n">
        <v>0</v>
      </c>
      <c r="H1538" s="49" t="n">
        <v>0</v>
      </c>
      <c r="I1538" s="49" t="n">
        <v>0</v>
      </c>
      <c r="J1538" s="50" t="n">
        <v>0</v>
      </c>
      <c r="K1538" s="51" t="n">
        <v>0</v>
      </c>
      <c r="L1538" s="52" t="n">
        <v>0</v>
      </c>
      <c r="M1538" s="52" t="n">
        <v>0</v>
      </c>
      <c r="N1538" s="52" t="n">
        <v>0</v>
      </c>
      <c r="O1538" s="53" t="n">
        <v>0</v>
      </c>
      <c r="P1538" s="52" t="n">
        <v>0</v>
      </c>
      <c r="Q1538" s="53" t="n">
        <v>0</v>
      </c>
      <c r="R1538" s="52" t="n">
        <v>0</v>
      </c>
      <c r="S1538" s="51" t="n">
        <v>0</v>
      </c>
      <c r="T1538" s="48" t="n">
        <v>0</v>
      </c>
      <c r="U1538" s="49" t="n">
        <v>0</v>
      </c>
      <c r="V1538" s="49" t="n">
        <v>0</v>
      </c>
      <c r="W1538" s="50" t="n">
        <v>0</v>
      </c>
      <c r="X1538" s="51" t="n">
        <v>0</v>
      </c>
      <c r="Y1538" s="52" t="n">
        <v>0</v>
      </c>
      <c r="Z1538" s="52" t="n">
        <v>0</v>
      </c>
      <c r="AA1538" s="52" t="n">
        <v>0</v>
      </c>
      <c r="AB1538" s="53" t="n">
        <v>0</v>
      </c>
      <c r="AC1538" s="52" t="n">
        <v>0</v>
      </c>
      <c r="AD1538" s="53" t="n">
        <v>0</v>
      </c>
      <c r="AE1538" s="52" t="n">
        <v>0</v>
      </c>
      <c r="AF1538" s="51" t="n">
        <v>0</v>
      </c>
      <c r="AG1538" s="48" t="n">
        <v>0</v>
      </c>
      <c r="AH1538" s="49" t="n">
        <v>0</v>
      </c>
      <c r="AI1538" s="49" t="n">
        <v>0</v>
      </c>
      <c r="AJ1538" s="50" t="n">
        <v>0</v>
      </c>
      <c r="AK1538" s="51" t="n">
        <v>0</v>
      </c>
      <c r="AL1538" s="52" t="n">
        <v>0</v>
      </c>
      <c r="AM1538" s="52" t="n">
        <v>0</v>
      </c>
      <c r="AN1538" s="52" t="n">
        <v>0</v>
      </c>
      <c r="AO1538" s="53" t="n">
        <v>0</v>
      </c>
      <c r="AP1538" s="52" t="n">
        <v>0</v>
      </c>
      <c r="AQ1538" s="53" t="n">
        <v>0</v>
      </c>
      <c r="AR1538" s="52" t="n">
        <v>0</v>
      </c>
      <c r="AS1538" s="51" t="n">
        <v>0</v>
      </c>
      <c r="AT1538" s="48" t="n">
        <v>0</v>
      </c>
      <c r="AU1538" s="49" t="n">
        <v>0</v>
      </c>
      <c r="AV1538" s="49" t="n">
        <v>0</v>
      </c>
      <c r="AW1538" s="50" t="n">
        <v>0</v>
      </c>
      <c r="AX1538" s="51" t="n">
        <v>0</v>
      </c>
      <c r="AY1538" s="52" t="n">
        <v>0</v>
      </c>
      <c r="AZ1538" s="52" t="n">
        <v>0</v>
      </c>
      <c r="BA1538" s="52" t="n">
        <v>0</v>
      </c>
      <c r="BB1538" s="53" t="n">
        <v>0</v>
      </c>
      <c r="BC1538" s="52" t="n">
        <v>0</v>
      </c>
      <c r="BD1538" s="53" t="n">
        <v>0</v>
      </c>
      <c r="BE1538" s="52" t="n">
        <v>0</v>
      </c>
      <c r="BF1538" s="51" t="n">
        <v>0</v>
      </c>
    </row>
    <row r="1539">
      <c r="A1539">
        <f>HYPERLINK("https://www.walmart.com/ip/14546252468", "14546252468")</f>
        <v/>
      </c>
      <c r="B1539" t="inlineStr">
        <is>
          <t>Aeropostale  Backpack for School, College, and Travel， Water Resistant Bookbag Black Game</t>
        </is>
      </c>
      <c r="C1539" t="inlineStr">
        <is>
          <t>1AEBPK92029BKGAME</t>
        </is>
      </c>
      <c r="D1539" t="inlineStr">
        <is>
          <t>Backpacks</t>
        </is>
      </c>
      <c r="E1539" t="inlineStr">
        <is>
          <t>Aeropostale</t>
        </is>
      </c>
      <c r="G1539" s="48" t="n">
        <v>0</v>
      </c>
      <c r="H1539" s="49" t="n">
        <v>0</v>
      </c>
      <c r="I1539" s="49" t="n">
        <v>0</v>
      </c>
      <c r="J1539" s="50" t="n">
        <v>0</v>
      </c>
      <c r="K1539" s="51" t="n">
        <v>0</v>
      </c>
      <c r="L1539" s="52" t="n">
        <v>0</v>
      </c>
      <c r="M1539" s="52" t="n">
        <v>0</v>
      </c>
      <c r="N1539" s="52" t="n">
        <v>0</v>
      </c>
      <c r="O1539" s="53" t="n">
        <v>0</v>
      </c>
      <c r="P1539" s="52" t="n">
        <v>0</v>
      </c>
      <c r="Q1539" s="53" t="n">
        <v>0</v>
      </c>
      <c r="R1539" s="52" t="n">
        <v>0</v>
      </c>
      <c r="S1539" s="51" t="n">
        <v>0</v>
      </c>
      <c r="T1539" s="48" t="n">
        <v>0</v>
      </c>
      <c r="U1539" s="49" t="n">
        <v>0</v>
      </c>
      <c r="V1539" s="49" t="n">
        <v>0</v>
      </c>
      <c r="W1539" s="50" t="n">
        <v>0</v>
      </c>
      <c r="X1539" s="51" t="n">
        <v>0</v>
      </c>
      <c r="Y1539" s="52" t="n">
        <v>0</v>
      </c>
      <c r="Z1539" s="52" t="n">
        <v>0</v>
      </c>
      <c r="AA1539" s="52" t="n">
        <v>0</v>
      </c>
      <c r="AB1539" s="53" t="n">
        <v>0</v>
      </c>
      <c r="AC1539" s="52" t="n">
        <v>0</v>
      </c>
      <c r="AD1539" s="53" t="n">
        <v>0</v>
      </c>
      <c r="AE1539" s="52" t="n">
        <v>0</v>
      </c>
      <c r="AF1539" s="51" t="n">
        <v>0</v>
      </c>
      <c r="AG1539" s="48" t="n">
        <v>0</v>
      </c>
      <c r="AH1539" s="49" t="n">
        <v>0</v>
      </c>
      <c r="AI1539" s="49" t="n">
        <v>0</v>
      </c>
      <c r="AJ1539" s="50" t="n">
        <v>0</v>
      </c>
      <c r="AK1539" s="51" t="n">
        <v>0</v>
      </c>
      <c r="AL1539" s="52" t="n">
        <v>0</v>
      </c>
      <c r="AM1539" s="52" t="n">
        <v>0</v>
      </c>
      <c r="AN1539" s="52" t="n">
        <v>0</v>
      </c>
      <c r="AO1539" s="53" t="n">
        <v>0</v>
      </c>
      <c r="AP1539" s="52" t="n">
        <v>0</v>
      </c>
      <c r="AQ1539" s="53" t="n">
        <v>0</v>
      </c>
      <c r="AR1539" s="52" t="n">
        <v>0</v>
      </c>
      <c r="AS1539" s="51" t="n">
        <v>0</v>
      </c>
      <c r="AT1539" s="48" t="n">
        <v>0</v>
      </c>
      <c r="AU1539" s="49" t="n">
        <v>0</v>
      </c>
      <c r="AV1539" s="49" t="n">
        <v>0</v>
      </c>
      <c r="AW1539" s="50" t="n">
        <v>0</v>
      </c>
      <c r="AX1539" s="51" t="n">
        <v>0</v>
      </c>
      <c r="AY1539" s="52" t="n">
        <v>0</v>
      </c>
      <c r="AZ1539" s="52" t="n">
        <v>0</v>
      </c>
      <c r="BA1539" s="52" t="n">
        <v>0</v>
      </c>
      <c r="BB1539" s="53" t="n">
        <v>0</v>
      </c>
      <c r="BC1539" s="52" t="n">
        <v>0</v>
      </c>
      <c r="BD1539" s="53" t="n">
        <v>0</v>
      </c>
      <c r="BE1539" s="52" t="n">
        <v>0</v>
      </c>
      <c r="BF1539" s="51" t="n">
        <v>0</v>
      </c>
    </row>
    <row r="1540">
      <c r="A1540">
        <f>HYPERLINK("https://www.walmart.com/ip/14546302305", "14546302305")</f>
        <v/>
      </c>
      <c r="B1540" t="inlineStr">
        <is>
          <t>Aeropostale  Backpack for School, College, and Travel， Water Resistant Bookbag Brown</t>
        </is>
      </c>
      <c r="C1540" t="inlineStr">
        <is>
          <t>1AEBPK92029BR</t>
        </is>
      </c>
      <c r="D1540" t="inlineStr">
        <is>
          <t>Backpacks</t>
        </is>
      </c>
      <c r="E1540" t="inlineStr">
        <is>
          <t>Aeropostale</t>
        </is>
      </c>
      <c r="G1540" s="48" t="n">
        <v>0</v>
      </c>
      <c r="H1540" s="49" t="n">
        <v>0</v>
      </c>
      <c r="I1540" s="49" t="n">
        <v>0</v>
      </c>
      <c r="J1540" s="50" t="n">
        <v>0</v>
      </c>
      <c r="K1540" s="51" t="n">
        <v>0</v>
      </c>
      <c r="L1540" s="52" t="n">
        <v>0</v>
      </c>
      <c r="M1540" s="52" t="n">
        <v>0</v>
      </c>
      <c r="N1540" s="52" t="n">
        <v>0</v>
      </c>
      <c r="O1540" s="53" t="n">
        <v>0</v>
      </c>
      <c r="P1540" s="52" t="n">
        <v>0</v>
      </c>
      <c r="Q1540" s="53" t="n">
        <v>0</v>
      </c>
      <c r="R1540" s="52" t="n">
        <v>0</v>
      </c>
      <c r="S1540" s="51" t="n">
        <v>0</v>
      </c>
      <c r="T1540" s="48" t="n">
        <v>0</v>
      </c>
      <c r="U1540" s="49" t="n">
        <v>0</v>
      </c>
      <c r="V1540" s="49" t="n">
        <v>0</v>
      </c>
      <c r="W1540" s="50" t="n">
        <v>0</v>
      </c>
      <c r="X1540" s="51" t="n">
        <v>0</v>
      </c>
      <c r="Y1540" s="52" t="n">
        <v>0</v>
      </c>
      <c r="Z1540" s="52" t="n">
        <v>0</v>
      </c>
      <c r="AA1540" s="52" t="n">
        <v>0</v>
      </c>
      <c r="AB1540" s="53" t="n">
        <v>0</v>
      </c>
      <c r="AC1540" s="52" t="n">
        <v>0</v>
      </c>
      <c r="AD1540" s="53" t="n">
        <v>0</v>
      </c>
      <c r="AE1540" s="52" t="n">
        <v>0</v>
      </c>
      <c r="AF1540" s="51" t="n">
        <v>0</v>
      </c>
      <c r="AG1540" s="48" t="n">
        <v>0</v>
      </c>
      <c r="AH1540" s="49" t="n">
        <v>0</v>
      </c>
      <c r="AI1540" s="49" t="n">
        <v>0</v>
      </c>
      <c r="AJ1540" s="50" t="n">
        <v>0</v>
      </c>
      <c r="AK1540" s="51" t="n">
        <v>0</v>
      </c>
      <c r="AL1540" s="52" t="n">
        <v>0</v>
      </c>
      <c r="AM1540" s="52" t="n">
        <v>0</v>
      </c>
      <c r="AN1540" s="52" t="n">
        <v>0</v>
      </c>
      <c r="AO1540" s="53" t="n">
        <v>0</v>
      </c>
      <c r="AP1540" s="52" t="n">
        <v>0</v>
      </c>
      <c r="AQ1540" s="53" t="n">
        <v>0</v>
      </c>
      <c r="AR1540" s="52" t="n">
        <v>0</v>
      </c>
      <c r="AS1540" s="51" t="n">
        <v>0</v>
      </c>
      <c r="AT1540" s="48" t="n">
        <v>0</v>
      </c>
      <c r="AU1540" s="49" t="n">
        <v>0</v>
      </c>
      <c r="AV1540" s="49" t="n">
        <v>0</v>
      </c>
      <c r="AW1540" s="50" t="n">
        <v>0</v>
      </c>
      <c r="AX1540" s="51" t="n">
        <v>0</v>
      </c>
      <c r="AY1540" s="52" t="n">
        <v>0</v>
      </c>
      <c r="AZ1540" s="52" t="n">
        <v>0</v>
      </c>
      <c r="BA1540" s="52" t="n">
        <v>0</v>
      </c>
      <c r="BB1540" s="53" t="n">
        <v>0</v>
      </c>
      <c r="BC1540" s="52" t="n">
        <v>0</v>
      </c>
      <c r="BD1540" s="53" t="n">
        <v>0</v>
      </c>
      <c r="BE1540" s="52" t="n">
        <v>0</v>
      </c>
      <c r="BF1540" s="51" t="n">
        <v>0</v>
      </c>
    </row>
    <row r="1541">
      <c r="A1541">
        <f>HYPERLINK("https://www.walmart.com/ip/14550170058", "14550170058")</f>
        <v/>
      </c>
      <c r="B1541" t="inlineStr">
        <is>
          <t>Aeropostale  Backpack for School, College, and Travel， Water Resistant Bookbag Lilac Heart</t>
        </is>
      </c>
      <c r="C1541" t="inlineStr">
        <is>
          <t>1AEBPK92029LLHEART</t>
        </is>
      </c>
      <c r="D1541" t="inlineStr">
        <is>
          <t>Backpacks</t>
        </is>
      </c>
      <c r="E1541" t="inlineStr">
        <is>
          <t>Aeropostale</t>
        </is>
      </c>
      <c r="G1541" s="48" t="n">
        <v>0</v>
      </c>
      <c r="H1541" s="49" t="n">
        <v>0</v>
      </c>
      <c r="I1541" s="49" t="n">
        <v>0</v>
      </c>
      <c r="J1541" s="50" t="n">
        <v>0</v>
      </c>
      <c r="K1541" s="51" t="n">
        <v>0</v>
      </c>
      <c r="L1541" s="52" t="n">
        <v>0</v>
      </c>
      <c r="M1541" s="52" t="n">
        <v>0</v>
      </c>
      <c r="N1541" s="52" t="n">
        <v>0</v>
      </c>
      <c r="O1541" s="53" t="n">
        <v>0</v>
      </c>
      <c r="P1541" s="52" t="n">
        <v>0</v>
      </c>
      <c r="Q1541" s="53" t="n">
        <v>0</v>
      </c>
      <c r="R1541" s="52" t="n">
        <v>0</v>
      </c>
      <c r="S1541" s="51" t="n">
        <v>0</v>
      </c>
      <c r="T1541" s="48" t="n">
        <v>0</v>
      </c>
      <c r="U1541" s="49" t="n">
        <v>0</v>
      </c>
      <c r="V1541" s="49" t="n">
        <v>0</v>
      </c>
      <c r="W1541" s="50" t="n">
        <v>0</v>
      </c>
      <c r="X1541" s="51" t="n">
        <v>0</v>
      </c>
      <c r="Y1541" s="52" t="n">
        <v>0</v>
      </c>
      <c r="Z1541" s="52" t="n">
        <v>0</v>
      </c>
      <c r="AA1541" s="52" t="n">
        <v>0</v>
      </c>
      <c r="AB1541" s="53" t="n">
        <v>0</v>
      </c>
      <c r="AC1541" s="52" t="n">
        <v>0</v>
      </c>
      <c r="AD1541" s="53" t="n">
        <v>0</v>
      </c>
      <c r="AE1541" s="52" t="n">
        <v>0</v>
      </c>
      <c r="AF1541" s="51" t="n">
        <v>0</v>
      </c>
      <c r="AG1541" s="48" t="n">
        <v>0</v>
      </c>
      <c r="AH1541" s="49" t="n">
        <v>0</v>
      </c>
      <c r="AI1541" s="49" t="n">
        <v>0</v>
      </c>
      <c r="AJ1541" s="50" t="n">
        <v>0</v>
      </c>
      <c r="AK1541" s="51" t="n">
        <v>0</v>
      </c>
      <c r="AL1541" s="52" t="n">
        <v>0</v>
      </c>
      <c r="AM1541" s="52" t="n">
        <v>0</v>
      </c>
      <c r="AN1541" s="52" t="n">
        <v>0</v>
      </c>
      <c r="AO1541" s="53" t="n">
        <v>0</v>
      </c>
      <c r="AP1541" s="52" t="n">
        <v>0</v>
      </c>
      <c r="AQ1541" s="53" t="n">
        <v>0</v>
      </c>
      <c r="AR1541" s="52" t="n">
        <v>0</v>
      </c>
      <c r="AS1541" s="51" t="n">
        <v>0</v>
      </c>
      <c r="AT1541" s="48" t="n">
        <v>23.99</v>
      </c>
      <c r="AU1541" s="49" t="n">
        <v>1</v>
      </c>
      <c r="AV1541" s="49" t="n">
        <v>0</v>
      </c>
      <c r="AW1541" s="50" t="n">
        <v>0</v>
      </c>
      <c r="AX1541" s="51" t="n">
        <v>0</v>
      </c>
      <c r="AY1541" s="52" t="n">
        <v>0</v>
      </c>
      <c r="AZ1541" s="52" t="n">
        <v>0</v>
      </c>
      <c r="BA1541" s="52" t="n">
        <v>0</v>
      </c>
      <c r="BB1541" s="53" t="n">
        <v>0</v>
      </c>
      <c r="BC1541" s="52" t="n">
        <v>0</v>
      </c>
      <c r="BD1541" s="53" t="n">
        <v>0</v>
      </c>
      <c r="BE1541" s="52" t="n">
        <v>23.99</v>
      </c>
      <c r="BF1541" s="51" t="n">
        <v>0</v>
      </c>
    </row>
    <row r="1542">
      <c r="A1542">
        <f>HYPERLINK("https://www.walmart.com/ip/14550674659", "14550674659")</f>
        <v/>
      </c>
      <c r="B1542" t="inlineStr">
        <is>
          <t>Solaris Womens Wigs Double Long Braid Plaits Costume Wigs Hairpiece Rainbow Shade</t>
        </is>
      </c>
      <c r="C1542" t="inlineStr">
        <is>
          <t>FZWIGHW1384-FS</t>
        </is>
      </c>
      <c r="D1542" t="inlineStr">
        <is>
          <t>Costume Wigs</t>
        </is>
      </c>
      <c r="E1542" t="inlineStr">
        <is>
          <t>Solaris</t>
        </is>
      </c>
      <c r="G1542" s="48" t="n">
        <v>0</v>
      </c>
      <c r="H1542" s="49" t="n">
        <v>0</v>
      </c>
      <c r="I1542" s="49" t="n">
        <v>0</v>
      </c>
      <c r="J1542" s="50" t="n">
        <v>0</v>
      </c>
      <c r="K1542" s="51" t="n">
        <v>0</v>
      </c>
      <c r="L1542" s="52" t="n">
        <v>0</v>
      </c>
      <c r="M1542" s="52" t="n">
        <v>0</v>
      </c>
      <c r="N1542" s="52" t="n">
        <v>0</v>
      </c>
      <c r="O1542" s="53" t="n">
        <v>0</v>
      </c>
      <c r="P1542" s="52" t="n">
        <v>0</v>
      </c>
      <c r="Q1542" s="53" t="n">
        <v>0</v>
      </c>
      <c r="R1542" s="52" t="n">
        <v>0</v>
      </c>
      <c r="S1542" s="51" t="n">
        <v>0</v>
      </c>
      <c r="T1542" s="48" t="n">
        <v>0</v>
      </c>
      <c r="U1542" s="49" t="n">
        <v>0</v>
      </c>
      <c r="V1542" s="49" t="n">
        <v>0</v>
      </c>
      <c r="W1542" s="50" t="n">
        <v>0</v>
      </c>
      <c r="X1542" s="51" t="n">
        <v>0</v>
      </c>
      <c r="Y1542" s="52" t="n">
        <v>0</v>
      </c>
      <c r="Z1542" s="52" t="n">
        <v>0</v>
      </c>
      <c r="AA1542" s="52" t="n">
        <v>0</v>
      </c>
      <c r="AB1542" s="53" t="n">
        <v>0</v>
      </c>
      <c r="AC1542" s="52" t="n">
        <v>0</v>
      </c>
      <c r="AD1542" s="53" t="n">
        <v>0</v>
      </c>
      <c r="AE1542" s="52" t="n">
        <v>0</v>
      </c>
      <c r="AF1542" s="51" t="n">
        <v>0</v>
      </c>
      <c r="AG1542" s="48" t="n">
        <v>0</v>
      </c>
      <c r="AH1542" s="49" t="n">
        <v>0</v>
      </c>
      <c r="AI1542" s="49" t="n">
        <v>0</v>
      </c>
      <c r="AJ1542" s="50" t="n">
        <v>0</v>
      </c>
      <c r="AK1542" s="51" t="n">
        <v>0</v>
      </c>
      <c r="AL1542" s="52" t="n">
        <v>0</v>
      </c>
      <c r="AM1542" s="52" t="n">
        <v>0</v>
      </c>
      <c r="AN1542" s="52" t="n">
        <v>0</v>
      </c>
      <c r="AO1542" s="53" t="n">
        <v>0</v>
      </c>
      <c r="AP1542" s="52" t="n">
        <v>0</v>
      </c>
      <c r="AQ1542" s="53" t="n">
        <v>0</v>
      </c>
      <c r="AR1542" s="52" t="n">
        <v>0</v>
      </c>
      <c r="AS1542" s="51" t="n">
        <v>0</v>
      </c>
      <c r="AT1542" s="48" t="n">
        <v>0</v>
      </c>
      <c r="AU1542" s="49" t="n">
        <v>0</v>
      </c>
      <c r="AV1542" s="49" t="n">
        <v>0</v>
      </c>
      <c r="AW1542" s="50" t="n">
        <v>0</v>
      </c>
      <c r="AX1542" s="51" t="n">
        <v>0</v>
      </c>
      <c r="AY1542" s="52" t="n">
        <v>0</v>
      </c>
      <c r="AZ1542" s="52" t="n">
        <v>0</v>
      </c>
      <c r="BA1542" s="52" t="n">
        <v>0</v>
      </c>
      <c r="BB1542" s="53" t="n">
        <v>0</v>
      </c>
      <c r="BC1542" s="52" t="n">
        <v>0</v>
      </c>
      <c r="BD1542" s="53" t="n">
        <v>0</v>
      </c>
      <c r="BE1542" s="52" t="n">
        <v>0</v>
      </c>
      <c r="BF1542" s="51" t="n">
        <v>0</v>
      </c>
    </row>
    <row r="1543">
      <c r="A1543">
        <f>HYPERLINK("https://www.walmart.com/ip/14554421927", "14554421927")</f>
        <v/>
      </c>
      <c r="B1543" t="inlineStr">
        <is>
          <t>Solaris Open Crotch Boyshort Panties Underwear Black Lace Lingerie Thong for Women with Ribbons Removable Garters M</t>
        </is>
      </c>
      <c r="C1543" t="inlineStr">
        <is>
          <t>CCPT100BK-M-FS</t>
        </is>
      </c>
      <c r="D1543" t="inlineStr">
        <is>
          <t>Panties</t>
        </is>
      </c>
      <c r="E1543" t="inlineStr">
        <is>
          <t>Solaris</t>
        </is>
      </c>
      <c r="G1543" s="48" t="n">
        <v>0</v>
      </c>
      <c r="H1543" s="49" t="n">
        <v>0</v>
      </c>
      <c r="I1543" s="49" t="n">
        <v>0</v>
      </c>
      <c r="J1543" s="50" t="n">
        <v>0</v>
      </c>
      <c r="K1543" s="51" t="n">
        <v>0</v>
      </c>
      <c r="L1543" s="52" t="n">
        <v>0</v>
      </c>
      <c r="M1543" s="52" t="n">
        <v>0</v>
      </c>
      <c r="N1543" s="52" t="n">
        <v>0</v>
      </c>
      <c r="O1543" s="53" t="n">
        <v>0</v>
      </c>
      <c r="P1543" s="52" t="n">
        <v>0</v>
      </c>
      <c r="Q1543" s="53" t="n">
        <v>0</v>
      </c>
      <c r="R1543" s="52" t="n">
        <v>0</v>
      </c>
      <c r="S1543" s="51" t="n">
        <v>0</v>
      </c>
      <c r="T1543" s="48" t="n">
        <v>0</v>
      </c>
      <c r="U1543" s="49" t="n">
        <v>0</v>
      </c>
      <c r="V1543" s="49" t="n">
        <v>0</v>
      </c>
      <c r="W1543" s="50" t="n">
        <v>0</v>
      </c>
      <c r="X1543" s="51" t="n">
        <v>0</v>
      </c>
      <c r="Y1543" s="52" t="n">
        <v>0</v>
      </c>
      <c r="Z1543" s="52" t="n">
        <v>0</v>
      </c>
      <c r="AA1543" s="52" t="n">
        <v>0</v>
      </c>
      <c r="AB1543" s="53" t="n">
        <v>0</v>
      </c>
      <c r="AC1543" s="52" t="n">
        <v>0</v>
      </c>
      <c r="AD1543" s="53" t="n">
        <v>0</v>
      </c>
      <c r="AE1543" s="52" t="n">
        <v>0</v>
      </c>
      <c r="AF1543" s="51" t="n">
        <v>0</v>
      </c>
      <c r="AG1543" s="48" t="n">
        <v>0</v>
      </c>
      <c r="AH1543" s="49" t="n">
        <v>0</v>
      </c>
      <c r="AI1543" s="49" t="n">
        <v>0</v>
      </c>
      <c r="AJ1543" s="50" t="n">
        <v>0</v>
      </c>
      <c r="AK1543" s="51" t="n">
        <v>0</v>
      </c>
      <c r="AL1543" s="52" t="n">
        <v>0</v>
      </c>
      <c r="AM1543" s="52" t="n">
        <v>0</v>
      </c>
      <c r="AN1543" s="52" t="n">
        <v>0</v>
      </c>
      <c r="AO1543" s="53" t="n">
        <v>0</v>
      </c>
      <c r="AP1543" s="52" t="n">
        <v>0</v>
      </c>
      <c r="AQ1543" s="53" t="n">
        <v>0</v>
      </c>
      <c r="AR1543" s="52" t="n">
        <v>0</v>
      </c>
      <c r="AS1543" s="51" t="n">
        <v>0</v>
      </c>
      <c r="AT1543" s="48" t="n">
        <v>0</v>
      </c>
      <c r="AU1543" s="49" t="n">
        <v>0</v>
      </c>
      <c r="AV1543" s="49" t="n">
        <v>0</v>
      </c>
      <c r="AW1543" s="50" t="n">
        <v>0</v>
      </c>
      <c r="AX1543" s="51" t="n">
        <v>0</v>
      </c>
      <c r="AY1543" s="52" t="n">
        <v>0</v>
      </c>
      <c r="AZ1543" s="52" t="n">
        <v>0</v>
      </c>
      <c r="BA1543" s="52" t="n">
        <v>0</v>
      </c>
      <c r="BB1543" s="53" t="n">
        <v>0</v>
      </c>
      <c r="BC1543" s="52" t="n">
        <v>0</v>
      </c>
      <c r="BD1543" s="53" t="n">
        <v>0</v>
      </c>
      <c r="BE1543" s="52" t="n">
        <v>0</v>
      </c>
      <c r="BF1543" s="51" t="n">
        <v>0</v>
      </c>
    </row>
    <row r="1544">
      <c r="A1544">
        <f>HYPERLINK("https://www.walmart.com/ip/14554465241", "14554465241")</f>
        <v/>
      </c>
      <c r="B1544" t="inlineStr">
        <is>
          <t>PEANUTS Mens' Cotton Snoopy Family Matching Pajamas 2-Piece Sets for Christmas with Woodstock Charlie Brown Linus, Gift for him (Red Polka Dot, L)</t>
        </is>
      </c>
      <c r="C1544" t="inlineStr">
        <is>
          <t>PEA-PJS-FAMILY-MEN-RED-L</t>
        </is>
      </c>
      <c r="D1544" t="inlineStr">
        <is>
          <t>Pajamas</t>
        </is>
      </c>
      <c r="E1544" t="inlineStr">
        <is>
          <t>Peanuts</t>
        </is>
      </c>
      <c r="G1544" s="48" t="n">
        <v>0</v>
      </c>
      <c r="H1544" s="49" t="n">
        <v>0</v>
      </c>
      <c r="I1544" s="49" t="n">
        <v>0</v>
      </c>
      <c r="J1544" s="50" t="n">
        <v>0</v>
      </c>
      <c r="K1544" s="51" t="n">
        <v>0</v>
      </c>
      <c r="L1544" s="52" t="n">
        <v>0</v>
      </c>
      <c r="M1544" s="52" t="n">
        <v>0</v>
      </c>
      <c r="N1544" s="52" t="n">
        <v>0</v>
      </c>
      <c r="O1544" s="53" t="n">
        <v>0</v>
      </c>
      <c r="P1544" s="52" t="n">
        <v>0</v>
      </c>
      <c r="Q1544" s="53" t="n">
        <v>0</v>
      </c>
      <c r="R1544" s="52" t="n">
        <v>0</v>
      </c>
      <c r="S1544" s="51" t="n">
        <v>0</v>
      </c>
      <c r="T1544" s="48" t="n">
        <v>0</v>
      </c>
      <c r="U1544" s="49" t="n">
        <v>0</v>
      </c>
      <c r="V1544" s="49" t="n">
        <v>0</v>
      </c>
      <c r="W1544" s="50" t="n">
        <v>0</v>
      </c>
      <c r="X1544" s="51" t="n">
        <v>0</v>
      </c>
      <c r="Y1544" s="52" t="n">
        <v>0</v>
      </c>
      <c r="Z1544" s="52" t="n">
        <v>0</v>
      </c>
      <c r="AA1544" s="52" t="n">
        <v>0</v>
      </c>
      <c r="AB1544" s="53" t="n">
        <v>0</v>
      </c>
      <c r="AC1544" s="52" t="n">
        <v>0</v>
      </c>
      <c r="AD1544" s="53" t="n">
        <v>0</v>
      </c>
      <c r="AE1544" s="52" t="n">
        <v>0</v>
      </c>
      <c r="AF1544" s="51" t="n">
        <v>0</v>
      </c>
      <c r="AG1544" s="48" t="n">
        <v>0</v>
      </c>
      <c r="AH1544" s="49" t="n">
        <v>0</v>
      </c>
      <c r="AI1544" s="49" t="n">
        <v>0</v>
      </c>
      <c r="AJ1544" s="50" t="n">
        <v>0</v>
      </c>
      <c r="AK1544" s="51" t="n">
        <v>0</v>
      </c>
      <c r="AL1544" s="52" t="n">
        <v>0</v>
      </c>
      <c r="AM1544" s="52" t="n">
        <v>0</v>
      </c>
      <c r="AN1544" s="52" t="n">
        <v>0</v>
      </c>
      <c r="AO1544" s="53" t="n">
        <v>0</v>
      </c>
      <c r="AP1544" s="52" t="n">
        <v>0</v>
      </c>
      <c r="AQ1544" s="53" t="n">
        <v>0</v>
      </c>
      <c r="AR1544" s="52" t="n">
        <v>0</v>
      </c>
      <c r="AS1544" s="51" t="n">
        <v>0</v>
      </c>
      <c r="AT1544" s="48" t="n">
        <v>0</v>
      </c>
      <c r="AU1544" s="49" t="n">
        <v>0</v>
      </c>
      <c r="AV1544" s="49" t="n">
        <v>0</v>
      </c>
      <c r="AW1544" s="50" t="n">
        <v>0</v>
      </c>
      <c r="AX1544" s="51" t="n">
        <v>0</v>
      </c>
      <c r="AY1544" s="52" t="n">
        <v>0</v>
      </c>
      <c r="AZ1544" s="52" t="n">
        <v>0</v>
      </c>
      <c r="BA1544" s="52" t="n">
        <v>0</v>
      </c>
      <c r="BB1544" s="53" t="n">
        <v>0</v>
      </c>
      <c r="BC1544" s="52" t="n">
        <v>0</v>
      </c>
      <c r="BD1544" s="53" t="n">
        <v>0</v>
      </c>
      <c r="BE1544" s="52" t="n">
        <v>0</v>
      </c>
      <c r="BF1544" s="51" t="n">
        <v>0</v>
      </c>
    </row>
    <row r="1545">
      <c r="A1545">
        <f>HYPERLINK("https://www.walmart.com/ip/14560258399", "14560258399")</f>
        <v/>
      </c>
      <c r="B1545" t="inlineStr">
        <is>
          <t>Solaris Womens Wigs Two Tone Long Curly Wigs with Straight Bangs Pink Themed Party Lavender and Black</t>
        </is>
      </c>
      <c r="C1545" t="inlineStr">
        <is>
          <t>FZWIGHW-558-FS</t>
        </is>
      </c>
      <c r="D1545" t="inlineStr">
        <is>
          <t>Costume Wigs</t>
        </is>
      </c>
      <c r="E1545" t="inlineStr">
        <is>
          <t>Solaris</t>
        </is>
      </c>
      <c r="G1545" s="48" t="n">
        <v>0</v>
      </c>
      <c r="H1545" s="49" t="n">
        <v>0</v>
      </c>
      <c r="I1545" s="49" t="n">
        <v>0</v>
      </c>
      <c r="J1545" s="50" t="n">
        <v>0</v>
      </c>
      <c r="K1545" s="51" t="n">
        <v>0</v>
      </c>
      <c r="L1545" s="52" t="n">
        <v>0</v>
      </c>
      <c r="M1545" s="52" t="n">
        <v>0</v>
      </c>
      <c r="N1545" s="52" t="n">
        <v>0</v>
      </c>
      <c r="O1545" s="53" t="n">
        <v>0</v>
      </c>
      <c r="P1545" s="52" t="n">
        <v>0</v>
      </c>
      <c r="Q1545" s="53" t="n">
        <v>0</v>
      </c>
      <c r="R1545" s="52" t="n">
        <v>0</v>
      </c>
      <c r="S1545" s="51" t="n">
        <v>0</v>
      </c>
      <c r="T1545" s="48" t="n">
        <v>0</v>
      </c>
      <c r="U1545" s="49" t="n">
        <v>0</v>
      </c>
      <c r="V1545" s="49" t="n">
        <v>0</v>
      </c>
      <c r="W1545" s="50" t="n">
        <v>0</v>
      </c>
      <c r="X1545" s="51" t="n">
        <v>0</v>
      </c>
      <c r="Y1545" s="52" t="n">
        <v>0</v>
      </c>
      <c r="Z1545" s="52" t="n">
        <v>0</v>
      </c>
      <c r="AA1545" s="52" t="n">
        <v>0</v>
      </c>
      <c r="AB1545" s="53" t="n">
        <v>0</v>
      </c>
      <c r="AC1545" s="52" t="n">
        <v>0</v>
      </c>
      <c r="AD1545" s="53" t="n">
        <v>0</v>
      </c>
      <c r="AE1545" s="52" t="n">
        <v>0</v>
      </c>
      <c r="AF1545" s="51" t="n">
        <v>0</v>
      </c>
      <c r="AG1545" s="48" t="n">
        <v>0</v>
      </c>
      <c r="AH1545" s="49" t="n">
        <v>0</v>
      </c>
      <c r="AI1545" s="49" t="n">
        <v>0</v>
      </c>
      <c r="AJ1545" s="50" t="n">
        <v>0</v>
      </c>
      <c r="AK1545" s="51" t="n">
        <v>0</v>
      </c>
      <c r="AL1545" s="52" t="n">
        <v>0</v>
      </c>
      <c r="AM1545" s="52" t="n">
        <v>0</v>
      </c>
      <c r="AN1545" s="52" t="n">
        <v>0</v>
      </c>
      <c r="AO1545" s="53" t="n">
        <v>0</v>
      </c>
      <c r="AP1545" s="52" t="n">
        <v>0</v>
      </c>
      <c r="AQ1545" s="53" t="n">
        <v>0</v>
      </c>
      <c r="AR1545" s="52" t="n">
        <v>0</v>
      </c>
      <c r="AS1545" s="51" t="n">
        <v>0</v>
      </c>
      <c r="AT1545" s="48" t="n">
        <v>0</v>
      </c>
      <c r="AU1545" s="49" t="n">
        <v>0</v>
      </c>
      <c r="AV1545" s="49" t="n">
        <v>0</v>
      </c>
      <c r="AW1545" s="50" t="n">
        <v>0</v>
      </c>
      <c r="AX1545" s="51" t="n">
        <v>0</v>
      </c>
      <c r="AY1545" s="52" t="n">
        <v>0</v>
      </c>
      <c r="AZ1545" s="52" t="n">
        <v>0</v>
      </c>
      <c r="BA1545" s="52" t="n">
        <v>0</v>
      </c>
      <c r="BB1545" s="53" t="n">
        <v>0</v>
      </c>
      <c r="BC1545" s="52" t="n">
        <v>0</v>
      </c>
      <c r="BD1545" s="53" t="n">
        <v>0</v>
      </c>
      <c r="BE1545" s="52" t="n">
        <v>0</v>
      </c>
      <c r="BF1545" s="51" t="n">
        <v>0</v>
      </c>
    </row>
    <row r="1546">
      <c r="A1546">
        <f>HYPERLINK("https://www.walmart.com/ip/14564610338", "14564610338")</f>
        <v/>
      </c>
      <c r="B1546" t="inlineStr">
        <is>
          <t>Aeropostale  Backpack for School, College, and Travel， Water Resistant Bookbag Light Blue Egg</t>
        </is>
      </c>
      <c r="C1546" t="inlineStr">
        <is>
          <t>1AEBPK92029LBLEGG</t>
        </is>
      </c>
      <c r="D1546" t="inlineStr">
        <is>
          <t>Backpacks</t>
        </is>
      </c>
      <c r="E1546" t="inlineStr">
        <is>
          <t>Aeropostale</t>
        </is>
      </c>
      <c r="G1546" s="48" t="n">
        <v>0</v>
      </c>
      <c r="H1546" s="49" t="n">
        <v>0</v>
      </c>
      <c r="I1546" s="49" t="n">
        <v>0</v>
      </c>
      <c r="J1546" s="50" t="n">
        <v>0</v>
      </c>
      <c r="K1546" s="51" t="n">
        <v>0</v>
      </c>
      <c r="L1546" s="52" t="n">
        <v>0</v>
      </c>
      <c r="M1546" s="52" t="n">
        <v>0</v>
      </c>
      <c r="N1546" s="52" t="n">
        <v>0</v>
      </c>
      <c r="O1546" s="53" t="n">
        <v>0</v>
      </c>
      <c r="P1546" s="52" t="n">
        <v>0</v>
      </c>
      <c r="Q1546" s="53" t="n">
        <v>0</v>
      </c>
      <c r="R1546" s="52" t="n">
        <v>0</v>
      </c>
      <c r="S1546" s="51" t="n">
        <v>0</v>
      </c>
      <c r="T1546" s="48" t="n">
        <v>0</v>
      </c>
      <c r="U1546" s="49" t="n">
        <v>0</v>
      </c>
      <c r="V1546" s="49" t="n">
        <v>0</v>
      </c>
      <c r="W1546" s="50" t="n">
        <v>0</v>
      </c>
      <c r="X1546" s="51" t="n">
        <v>0</v>
      </c>
      <c r="Y1546" s="52" t="n">
        <v>0</v>
      </c>
      <c r="Z1546" s="52" t="n">
        <v>0</v>
      </c>
      <c r="AA1546" s="52" t="n">
        <v>0</v>
      </c>
      <c r="AB1546" s="53" t="n">
        <v>0</v>
      </c>
      <c r="AC1546" s="52" t="n">
        <v>0</v>
      </c>
      <c r="AD1546" s="53" t="n">
        <v>0</v>
      </c>
      <c r="AE1546" s="52" t="n">
        <v>0</v>
      </c>
      <c r="AF1546" s="51" t="n">
        <v>0</v>
      </c>
      <c r="AG1546" s="48" t="n">
        <v>0</v>
      </c>
      <c r="AH1546" s="49" t="n">
        <v>0</v>
      </c>
      <c r="AI1546" s="49" t="n">
        <v>0</v>
      </c>
      <c r="AJ1546" s="50" t="n">
        <v>0</v>
      </c>
      <c r="AK1546" s="51" t="n">
        <v>0</v>
      </c>
      <c r="AL1546" s="52" t="n">
        <v>0</v>
      </c>
      <c r="AM1546" s="52" t="n">
        <v>0</v>
      </c>
      <c r="AN1546" s="52" t="n">
        <v>0</v>
      </c>
      <c r="AO1546" s="53" t="n">
        <v>0</v>
      </c>
      <c r="AP1546" s="52" t="n">
        <v>0</v>
      </c>
      <c r="AQ1546" s="53" t="n">
        <v>0</v>
      </c>
      <c r="AR1546" s="52" t="n">
        <v>0</v>
      </c>
      <c r="AS1546" s="51" t="n">
        <v>0</v>
      </c>
      <c r="AT1546" s="48" t="n">
        <v>0</v>
      </c>
      <c r="AU1546" s="49" t="n">
        <v>0</v>
      </c>
      <c r="AV1546" s="49" t="n">
        <v>0</v>
      </c>
      <c r="AW1546" s="50" t="n">
        <v>0</v>
      </c>
      <c r="AX1546" s="51" t="n">
        <v>0</v>
      </c>
      <c r="AY1546" s="52" t="n">
        <v>0</v>
      </c>
      <c r="AZ1546" s="52" t="n">
        <v>0</v>
      </c>
      <c r="BA1546" s="52" t="n">
        <v>0</v>
      </c>
      <c r="BB1546" s="53" t="n">
        <v>0</v>
      </c>
      <c r="BC1546" s="52" t="n">
        <v>0</v>
      </c>
      <c r="BD1546" s="53" t="n">
        <v>0</v>
      </c>
      <c r="BE1546" s="52" t="n">
        <v>0</v>
      </c>
      <c r="BF1546" s="51" t="n">
        <v>0</v>
      </c>
    </row>
    <row r="1547">
      <c r="A1547">
        <f>HYPERLINK("https://www.walmart.com/ip/1456609186", "1456609186")</f>
        <v/>
      </c>
      <c r="B1547" t="inlineStr">
        <is>
          <t>Tirrinia Portable Picnic Table with 4 Wine Glasses Holder, Functional Bamboo Snack Tray Table -Foldable for Party, Picnic, Camping, Beach (12.5" x 12.5" x 7.5")</t>
        </is>
      </c>
      <c r="C1547" t="inlineStr">
        <is>
          <t>1TRPT401</t>
        </is>
      </c>
      <c r="D1547" t="inlineStr">
        <is>
          <t>Picnic Tables</t>
        </is>
      </c>
      <c r="E1547" t="inlineStr">
        <is>
          <t>Tirrinia</t>
        </is>
      </c>
      <c r="F1547" t="inlineStr">
        <is>
          <t>Wine,Batch 1 - TR</t>
        </is>
      </c>
      <c r="G1547" s="48" t="n">
        <v>0</v>
      </c>
      <c r="H1547" s="49" t="n">
        <v>0</v>
      </c>
      <c r="I1547" s="49" t="n">
        <v>0</v>
      </c>
      <c r="J1547" s="50" t="n">
        <v>0</v>
      </c>
      <c r="K1547" s="51" t="n">
        <v>3</v>
      </c>
      <c r="L1547" s="52" t="n">
        <v>1.13</v>
      </c>
      <c r="M1547" s="52" t="n">
        <v>0</v>
      </c>
      <c r="N1547" s="52" t="n">
        <v>0</v>
      </c>
      <c r="O1547" s="53" t="n">
        <v>0.0049</v>
      </c>
      <c r="P1547" s="52" t="n">
        <v>0.3766666666666666</v>
      </c>
      <c r="Q1547" s="53" t="n">
        <v>0</v>
      </c>
      <c r="R1547" s="52" t="n">
        <v>0</v>
      </c>
      <c r="S1547" s="51" t="n">
        <v>609</v>
      </c>
      <c r="T1547" s="48" t="n">
        <v>0</v>
      </c>
      <c r="U1547" s="49" t="n">
        <v>0</v>
      </c>
      <c r="V1547" s="49" t="n">
        <v>0</v>
      </c>
      <c r="W1547" s="50" t="n">
        <v>0</v>
      </c>
      <c r="X1547" s="51" t="n">
        <v>0</v>
      </c>
      <c r="Y1547" s="52" t="n">
        <v>0</v>
      </c>
      <c r="Z1547" s="52" t="n">
        <v>0</v>
      </c>
      <c r="AA1547" s="52" t="n">
        <v>0</v>
      </c>
      <c r="AB1547" s="53" t="n">
        <v>0</v>
      </c>
      <c r="AC1547" s="52" t="n">
        <v>0</v>
      </c>
      <c r="AD1547" s="53" t="n">
        <v>0</v>
      </c>
      <c r="AE1547" s="52" t="n">
        <v>0</v>
      </c>
      <c r="AF1547" s="51" t="n">
        <v>0</v>
      </c>
      <c r="AG1547" s="48" t="n">
        <v>0</v>
      </c>
      <c r="AH1547" s="49" t="n">
        <v>0</v>
      </c>
      <c r="AI1547" s="49" t="n">
        <v>0</v>
      </c>
      <c r="AJ1547" s="50" t="n">
        <v>0</v>
      </c>
      <c r="AK1547" s="51" t="n">
        <v>0</v>
      </c>
      <c r="AL1547" s="52" t="n">
        <v>0</v>
      </c>
      <c r="AM1547" s="52" t="n">
        <v>0</v>
      </c>
      <c r="AN1547" s="52" t="n">
        <v>0</v>
      </c>
      <c r="AO1547" s="53" t="n">
        <v>0</v>
      </c>
      <c r="AP1547" s="52" t="n">
        <v>0</v>
      </c>
      <c r="AQ1547" s="53" t="n">
        <v>0</v>
      </c>
      <c r="AR1547" s="52" t="n">
        <v>0</v>
      </c>
      <c r="AS1547" s="51" t="n">
        <v>0</v>
      </c>
      <c r="AT1547" s="48" t="n">
        <v>0</v>
      </c>
      <c r="AU1547" s="49" t="n">
        <v>0</v>
      </c>
      <c r="AV1547" s="49" t="n">
        <v>0</v>
      </c>
      <c r="AW1547" s="50" t="n">
        <v>0</v>
      </c>
      <c r="AX1547" s="51" t="n">
        <v>0</v>
      </c>
      <c r="AY1547" s="52" t="n">
        <v>0</v>
      </c>
      <c r="AZ1547" s="52" t="n">
        <v>0</v>
      </c>
      <c r="BA1547" s="52" t="n">
        <v>0</v>
      </c>
      <c r="BB1547" s="53" t="n">
        <v>0</v>
      </c>
      <c r="BC1547" s="52" t="n">
        <v>0</v>
      </c>
      <c r="BD1547" s="53" t="n">
        <v>0</v>
      </c>
      <c r="BE1547" s="52" t="n">
        <v>0</v>
      </c>
      <c r="BF1547" s="51" t="n">
        <v>0</v>
      </c>
    </row>
    <row r="1548">
      <c r="A1548">
        <f>HYPERLINK("https://www.walmart.com/ip/1456630097", "1456630097")</f>
        <v/>
      </c>
      <c r="B1548" t="inlineStr">
        <is>
          <t>Pawsse Pet Carrier Backpack for Dogs and Cats up to 15 lbs, 16" H x13.2" L x12" W, Black</t>
        </is>
      </c>
      <c r="C1548" t="inlineStr">
        <is>
          <t>1PSPB200BK</t>
        </is>
      </c>
      <c r="D1548" t="inlineStr">
        <is>
          <t>Pet Carriers</t>
        </is>
      </c>
      <c r="E1548" t="inlineStr">
        <is>
          <t>Pawsse</t>
        </is>
      </c>
      <c r="G1548" s="48" t="n">
        <v>0</v>
      </c>
      <c r="H1548" s="49" t="n">
        <v>0</v>
      </c>
      <c r="I1548" s="49" t="n">
        <v>0</v>
      </c>
      <c r="J1548" s="50" t="n">
        <v>0</v>
      </c>
      <c r="K1548" s="51" t="n">
        <v>0</v>
      </c>
      <c r="L1548" s="52" t="n">
        <v>0</v>
      </c>
      <c r="M1548" s="52" t="n">
        <v>0</v>
      </c>
      <c r="N1548" s="52" t="n">
        <v>0</v>
      </c>
      <c r="O1548" s="53" t="n">
        <v>0</v>
      </c>
      <c r="P1548" s="52" t="n">
        <v>0</v>
      </c>
      <c r="Q1548" s="53" t="n">
        <v>0</v>
      </c>
      <c r="R1548" s="52" t="n">
        <v>0</v>
      </c>
      <c r="S1548" s="51" t="n">
        <v>0</v>
      </c>
      <c r="T1548" s="48" t="n">
        <v>29.99</v>
      </c>
      <c r="U1548" s="49" t="n">
        <v>1</v>
      </c>
      <c r="V1548" s="49" t="n">
        <v>0</v>
      </c>
      <c r="W1548" s="50" t="n">
        <v>0</v>
      </c>
      <c r="X1548" s="51" t="n">
        <v>0</v>
      </c>
      <c r="Y1548" s="52" t="n">
        <v>0</v>
      </c>
      <c r="Z1548" s="52" t="n">
        <v>0</v>
      </c>
      <c r="AA1548" s="52" t="n">
        <v>0</v>
      </c>
      <c r="AB1548" s="53" t="n">
        <v>0</v>
      </c>
      <c r="AC1548" s="52" t="n">
        <v>0</v>
      </c>
      <c r="AD1548" s="53" t="n">
        <v>0</v>
      </c>
      <c r="AE1548" s="52" t="n">
        <v>29.99</v>
      </c>
      <c r="AF1548" s="51" t="n">
        <v>0</v>
      </c>
      <c r="AG1548" s="48" t="n">
        <v>0</v>
      </c>
      <c r="AH1548" s="49" t="n">
        <v>0</v>
      </c>
      <c r="AI1548" s="49" t="n">
        <v>0</v>
      </c>
      <c r="AJ1548" s="50" t="n">
        <v>0</v>
      </c>
      <c r="AK1548" s="51" t="n">
        <v>0</v>
      </c>
      <c r="AL1548" s="52" t="n">
        <v>0</v>
      </c>
      <c r="AM1548" s="52" t="n">
        <v>0</v>
      </c>
      <c r="AN1548" s="52" t="n">
        <v>0</v>
      </c>
      <c r="AO1548" s="53" t="n">
        <v>0</v>
      </c>
      <c r="AP1548" s="52" t="n">
        <v>0</v>
      </c>
      <c r="AQ1548" s="53" t="n">
        <v>0</v>
      </c>
      <c r="AR1548" s="52" t="n">
        <v>0</v>
      </c>
      <c r="AS1548" s="51" t="n">
        <v>0</v>
      </c>
      <c r="AT1548" s="48" t="n">
        <v>0</v>
      </c>
      <c r="AU1548" s="49" t="n">
        <v>0</v>
      </c>
      <c r="AV1548" s="49" t="n">
        <v>0</v>
      </c>
      <c r="AW1548" s="50" t="n">
        <v>0</v>
      </c>
      <c r="AX1548" s="51" t="n">
        <v>0</v>
      </c>
      <c r="AY1548" s="52" t="n">
        <v>0</v>
      </c>
      <c r="AZ1548" s="52" t="n">
        <v>0</v>
      </c>
      <c r="BA1548" s="52" t="n">
        <v>0</v>
      </c>
      <c r="BB1548" s="53" t="n">
        <v>0</v>
      </c>
      <c r="BC1548" s="52" t="n">
        <v>0</v>
      </c>
      <c r="BD1548" s="53" t="n">
        <v>0</v>
      </c>
      <c r="BE1548" s="52" t="n">
        <v>0</v>
      </c>
      <c r="BF1548" s="51" t="n">
        <v>0</v>
      </c>
    </row>
    <row r="1549">
      <c r="A1549">
        <f>HYPERLINK("https://www.walmart.com/ip/145663992", "145663992")</f>
        <v/>
      </c>
      <c r="B1549" t="inlineStr">
        <is>
          <t>Terra Faux Fur Pom Pom Beanie Hat Thick Slouchy Cable Knit Soft Warm Micro Fleece Lined Unisex Stretches to Fit Most</t>
        </is>
      </c>
      <c r="C1549" t="inlineStr">
        <is>
          <t>TERRAPPH01PK</t>
        </is>
      </c>
      <c r="D1549" t="inlineStr">
        <is>
          <t>Hats</t>
        </is>
      </c>
      <c r="E1549" t="inlineStr">
        <is>
          <t>Terra</t>
        </is>
      </c>
      <c r="F1549" t="inlineStr">
        <is>
          <t>Optimized</t>
        </is>
      </c>
      <c r="G1549" s="48" t="n">
        <v>0</v>
      </c>
      <c r="H1549" s="49" t="n">
        <v>0</v>
      </c>
      <c r="I1549" s="49" t="n">
        <v>0</v>
      </c>
      <c r="J1549" s="50" t="n">
        <v>0</v>
      </c>
      <c r="K1549" s="51" t="n">
        <v>0</v>
      </c>
      <c r="L1549" s="52" t="n">
        <v>0</v>
      </c>
      <c r="M1549" s="52" t="n">
        <v>0</v>
      </c>
      <c r="N1549" s="52" t="n">
        <v>0</v>
      </c>
      <c r="O1549" s="53" t="n">
        <v>0</v>
      </c>
      <c r="P1549" s="52" t="n">
        <v>0</v>
      </c>
      <c r="Q1549" s="53" t="n">
        <v>0</v>
      </c>
      <c r="R1549" s="52" t="n">
        <v>0</v>
      </c>
      <c r="S1549" s="51" t="n">
        <v>0</v>
      </c>
      <c r="T1549" s="48" t="n">
        <v>0</v>
      </c>
      <c r="U1549" s="49" t="n">
        <v>0</v>
      </c>
      <c r="V1549" s="49" t="n">
        <v>0</v>
      </c>
      <c r="W1549" s="50" t="n">
        <v>0</v>
      </c>
      <c r="X1549" s="51" t="n">
        <v>0</v>
      </c>
      <c r="Y1549" s="52" t="n">
        <v>0</v>
      </c>
      <c r="Z1549" s="52" t="n">
        <v>0</v>
      </c>
      <c r="AA1549" s="52" t="n">
        <v>0</v>
      </c>
      <c r="AB1549" s="53" t="n">
        <v>0</v>
      </c>
      <c r="AC1549" s="52" t="n">
        <v>0</v>
      </c>
      <c r="AD1549" s="53" t="n">
        <v>0</v>
      </c>
      <c r="AE1549" s="52" t="n">
        <v>0</v>
      </c>
      <c r="AF1549" s="51" t="n">
        <v>0</v>
      </c>
      <c r="AG1549" s="48" t="n">
        <v>0</v>
      </c>
      <c r="AH1549" s="49" t="n">
        <v>0</v>
      </c>
      <c r="AI1549" s="49" t="n">
        <v>0</v>
      </c>
      <c r="AJ1549" s="50" t="n">
        <v>0</v>
      </c>
      <c r="AK1549" s="51" t="n">
        <v>0</v>
      </c>
      <c r="AL1549" s="52" t="n">
        <v>0</v>
      </c>
      <c r="AM1549" s="52" t="n">
        <v>0</v>
      </c>
      <c r="AN1549" s="52" t="n">
        <v>0</v>
      </c>
      <c r="AO1549" s="53" t="n">
        <v>0</v>
      </c>
      <c r="AP1549" s="52" t="n">
        <v>0</v>
      </c>
      <c r="AQ1549" s="53" t="n">
        <v>0</v>
      </c>
      <c r="AR1549" s="52" t="n">
        <v>0</v>
      </c>
      <c r="AS1549" s="51" t="n">
        <v>0</v>
      </c>
      <c r="AT1549" s="48" t="n">
        <v>0</v>
      </c>
      <c r="AU1549" s="49" t="n">
        <v>0</v>
      </c>
      <c r="AV1549" s="49" t="n">
        <v>0</v>
      </c>
      <c r="AW1549" s="50" t="n">
        <v>0</v>
      </c>
      <c r="AX1549" s="51" t="n">
        <v>0</v>
      </c>
      <c r="AY1549" s="52" t="n">
        <v>0</v>
      </c>
      <c r="AZ1549" s="52" t="n">
        <v>0</v>
      </c>
      <c r="BA1549" s="52" t="n">
        <v>0</v>
      </c>
      <c r="BB1549" s="53" t="n">
        <v>0</v>
      </c>
      <c r="BC1549" s="52" t="n">
        <v>0</v>
      </c>
      <c r="BD1549" s="53" t="n">
        <v>0</v>
      </c>
      <c r="BE1549" s="52" t="n">
        <v>0</v>
      </c>
      <c r="BF1549" s="51" t="n">
        <v>0</v>
      </c>
    </row>
    <row r="1550">
      <c r="A1550">
        <f>HYPERLINK("https://www.walmart.com/ip/145739849", "145739849")</f>
        <v/>
      </c>
      <c r="B1550" t="inlineStr">
        <is>
          <t>Deluxe Stylish Microplush Sleeved Fleece Blanket Soft Home Sofa Snuggie</t>
        </is>
      </c>
      <c r="C1550" t="inlineStr">
        <is>
          <t>k3000-Brown</t>
        </is>
      </c>
      <c r="D1550" t="inlineStr">
        <is>
          <t>Sleepwear Robes &amp; Bathrobes</t>
        </is>
      </c>
      <c r="E1550" t="inlineStr">
        <is>
          <t>NAPA</t>
        </is>
      </c>
      <c r="F1550" t="inlineStr">
        <is>
          <t>Optimized,Fleece Blankets</t>
        </is>
      </c>
      <c r="G1550" s="48" t="n">
        <v>0</v>
      </c>
      <c r="H1550" s="49" t="n">
        <v>0</v>
      </c>
      <c r="I1550" s="49" t="n">
        <v>0</v>
      </c>
      <c r="J1550" s="50" t="n">
        <v>0</v>
      </c>
      <c r="K1550" s="51" t="n">
        <v>0</v>
      </c>
      <c r="L1550" s="52" t="n">
        <v>0</v>
      </c>
      <c r="M1550" s="52" t="n">
        <v>0</v>
      </c>
      <c r="N1550" s="52" t="n">
        <v>0</v>
      </c>
      <c r="O1550" s="53" t="n">
        <v>0</v>
      </c>
      <c r="P1550" s="52" t="n">
        <v>0</v>
      </c>
      <c r="Q1550" s="53" t="n">
        <v>0</v>
      </c>
      <c r="R1550" s="52" t="n">
        <v>0</v>
      </c>
      <c r="S1550" s="51" t="n">
        <v>0</v>
      </c>
      <c r="T1550" s="48" t="n">
        <v>0</v>
      </c>
      <c r="U1550" s="49" t="n">
        <v>0</v>
      </c>
      <c r="V1550" s="49" t="n">
        <v>0</v>
      </c>
      <c r="W1550" s="50" t="n">
        <v>0</v>
      </c>
      <c r="X1550" s="51" t="n">
        <v>0</v>
      </c>
      <c r="Y1550" s="52" t="n">
        <v>0</v>
      </c>
      <c r="Z1550" s="52" t="n">
        <v>0</v>
      </c>
      <c r="AA1550" s="52" t="n">
        <v>0</v>
      </c>
      <c r="AB1550" s="53" t="n">
        <v>0</v>
      </c>
      <c r="AC1550" s="52" t="n">
        <v>0</v>
      </c>
      <c r="AD1550" s="53" t="n">
        <v>0</v>
      </c>
      <c r="AE1550" s="52" t="n">
        <v>0</v>
      </c>
      <c r="AF1550" s="51" t="n">
        <v>0</v>
      </c>
      <c r="AG1550" s="48" t="n">
        <v>0</v>
      </c>
      <c r="AH1550" s="49" t="n">
        <v>0</v>
      </c>
      <c r="AI1550" s="49" t="n">
        <v>0</v>
      </c>
      <c r="AJ1550" s="50" t="n">
        <v>0</v>
      </c>
      <c r="AK1550" s="51" t="n">
        <v>0</v>
      </c>
      <c r="AL1550" s="52" t="n">
        <v>0</v>
      </c>
      <c r="AM1550" s="52" t="n">
        <v>0</v>
      </c>
      <c r="AN1550" s="52" t="n">
        <v>0</v>
      </c>
      <c r="AO1550" s="53" t="n">
        <v>0</v>
      </c>
      <c r="AP1550" s="52" t="n">
        <v>0</v>
      </c>
      <c r="AQ1550" s="53" t="n">
        <v>0</v>
      </c>
      <c r="AR1550" s="52" t="n">
        <v>0</v>
      </c>
      <c r="AS1550" s="51" t="n">
        <v>0</v>
      </c>
      <c r="AT1550" s="48" t="n">
        <v>0</v>
      </c>
      <c r="AU1550" s="49" t="n">
        <v>0</v>
      </c>
      <c r="AV1550" s="49" t="n">
        <v>0</v>
      </c>
      <c r="AW1550" s="50" t="n">
        <v>0</v>
      </c>
      <c r="AX1550" s="51" t="n">
        <v>0</v>
      </c>
      <c r="AY1550" s="52" t="n">
        <v>0</v>
      </c>
      <c r="AZ1550" s="52" t="n">
        <v>0</v>
      </c>
      <c r="BA1550" s="52" t="n">
        <v>0</v>
      </c>
      <c r="BB1550" s="53" t="n">
        <v>0</v>
      </c>
      <c r="BC1550" s="52" t="n">
        <v>0</v>
      </c>
      <c r="BD1550" s="53" t="n">
        <v>0</v>
      </c>
      <c r="BE1550" s="52" t="n">
        <v>0</v>
      </c>
      <c r="BF1550" s="51" t="n">
        <v>0</v>
      </c>
    </row>
    <row r="1551">
      <c r="A1551">
        <f>HYPERLINK("https://www.walmart.com/ip/14544860349", "14544860349")</f>
        <v/>
      </c>
      <c r="B1551" t="inlineStr">
        <is>
          <t>PEANUTS Mens' Cotton Snoopy Family Matching Pajamas 2-Piece Sets for Christmas with Woodstock Charlie Brown Linus, Gift for him (Black Plaid, XXL)</t>
        </is>
      </c>
      <c r="C1551" t="inlineStr">
        <is>
          <t>PEA-PJS-FAMILY-MEN-BLACKPLAID-2XL</t>
        </is>
      </c>
      <c r="D1551" t="inlineStr">
        <is>
          <t>Pajamas</t>
        </is>
      </c>
      <c r="E1551" t="inlineStr">
        <is>
          <t>Peanuts</t>
        </is>
      </c>
      <c r="G1551" s="48" t="n">
        <v>0</v>
      </c>
      <c r="H1551" s="49" t="n">
        <v>0</v>
      </c>
      <c r="I1551" s="49" t="n">
        <v>0</v>
      </c>
      <c r="J1551" s="50" t="n">
        <v>0</v>
      </c>
      <c r="K1551" s="51" t="n">
        <v>0</v>
      </c>
      <c r="L1551" s="52" t="n">
        <v>0</v>
      </c>
      <c r="M1551" s="52" t="n">
        <v>0</v>
      </c>
      <c r="N1551" s="52" t="n">
        <v>0</v>
      </c>
      <c r="O1551" s="53" t="n">
        <v>0</v>
      </c>
      <c r="P1551" s="52" t="n">
        <v>0</v>
      </c>
      <c r="Q1551" s="53" t="n">
        <v>0</v>
      </c>
      <c r="R1551" s="52" t="n">
        <v>0</v>
      </c>
      <c r="S1551" s="51" t="n">
        <v>0</v>
      </c>
      <c r="T1551" s="48" t="n">
        <v>0</v>
      </c>
      <c r="U1551" s="49" t="n">
        <v>0</v>
      </c>
      <c r="V1551" s="49" t="n">
        <v>0</v>
      </c>
      <c r="W1551" s="50" t="n">
        <v>0</v>
      </c>
      <c r="X1551" s="51" t="n">
        <v>0</v>
      </c>
      <c r="Y1551" s="52" t="n">
        <v>0</v>
      </c>
      <c r="Z1551" s="52" t="n">
        <v>0</v>
      </c>
      <c r="AA1551" s="52" t="n">
        <v>0</v>
      </c>
      <c r="AB1551" s="53" t="n">
        <v>0</v>
      </c>
      <c r="AC1551" s="52" t="n">
        <v>0</v>
      </c>
      <c r="AD1551" s="53" t="n">
        <v>0</v>
      </c>
      <c r="AE1551" s="52" t="n">
        <v>0</v>
      </c>
      <c r="AF1551" s="51" t="n">
        <v>0</v>
      </c>
      <c r="AG1551" s="48" t="n">
        <v>0</v>
      </c>
      <c r="AH1551" s="49" t="n">
        <v>0</v>
      </c>
      <c r="AI1551" s="49" t="n">
        <v>0</v>
      </c>
      <c r="AJ1551" s="50" t="n">
        <v>0</v>
      </c>
      <c r="AK1551" s="51" t="n">
        <v>0</v>
      </c>
      <c r="AL1551" s="52" t="n">
        <v>0</v>
      </c>
      <c r="AM1551" s="52" t="n">
        <v>0</v>
      </c>
      <c r="AN1551" s="52" t="n">
        <v>0</v>
      </c>
      <c r="AO1551" s="53" t="n">
        <v>0</v>
      </c>
      <c r="AP1551" s="52" t="n">
        <v>0</v>
      </c>
      <c r="AQ1551" s="53" t="n">
        <v>0</v>
      </c>
      <c r="AR1551" s="52" t="n">
        <v>0</v>
      </c>
      <c r="AS1551" s="51" t="n">
        <v>0</v>
      </c>
      <c r="AT1551" s="48" t="n">
        <v>0</v>
      </c>
      <c r="AU1551" s="49" t="n">
        <v>0</v>
      </c>
      <c r="AV1551" s="49" t="n">
        <v>0</v>
      </c>
      <c r="AW1551" s="50" t="n">
        <v>0</v>
      </c>
      <c r="AX1551" s="51" t="n">
        <v>0</v>
      </c>
      <c r="AY1551" s="52" t="n">
        <v>0</v>
      </c>
      <c r="AZ1551" s="52" t="n">
        <v>0</v>
      </c>
      <c r="BA1551" s="52" t="n">
        <v>0</v>
      </c>
      <c r="BB1551" s="53" t="n">
        <v>0</v>
      </c>
      <c r="BC1551" s="52" t="n">
        <v>0</v>
      </c>
      <c r="BD1551" s="53" t="n">
        <v>0</v>
      </c>
      <c r="BE1551" s="52" t="n">
        <v>0</v>
      </c>
      <c r="BF1551" s="51" t="n">
        <v>0</v>
      </c>
    </row>
    <row r="1552">
      <c r="A1552">
        <f>HYPERLINK("https://www.walmart.com/ip/14544254613", "14544254613")</f>
        <v/>
      </c>
      <c r="B1552" t="inlineStr">
        <is>
          <t>Aeropostale  Backpack for School, College, and Travel， Water Resistant Bookbag Dark Green Smile</t>
        </is>
      </c>
      <c r="C1552" t="inlineStr">
        <is>
          <t>1AEBPK92029DGNSMILE</t>
        </is>
      </c>
      <c r="D1552" t="inlineStr">
        <is>
          <t>Backpacks</t>
        </is>
      </c>
      <c r="E1552" t="inlineStr">
        <is>
          <t>Aeropostale</t>
        </is>
      </c>
      <c r="G1552" s="48" t="n">
        <v>0</v>
      </c>
      <c r="H1552" s="49" t="n">
        <v>0</v>
      </c>
      <c r="I1552" s="49" t="n">
        <v>0</v>
      </c>
      <c r="J1552" s="50" t="n">
        <v>0</v>
      </c>
      <c r="K1552" s="51" t="n">
        <v>0</v>
      </c>
      <c r="L1552" s="52" t="n">
        <v>0</v>
      </c>
      <c r="M1552" s="52" t="n">
        <v>0</v>
      </c>
      <c r="N1552" s="52" t="n">
        <v>0</v>
      </c>
      <c r="O1552" s="53" t="n">
        <v>0</v>
      </c>
      <c r="P1552" s="52" t="n">
        <v>0</v>
      </c>
      <c r="Q1552" s="53" t="n">
        <v>0</v>
      </c>
      <c r="R1552" s="52" t="n">
        <v>0</v>
      </c>
      <c r="S1552" s="51" t="n">
        <v>0</v>
      </c>
      <c r="T1552" s="48" t="n">
        <v>0</v>
      </c>
      <c r="U1552" s="49" t="n">
        <v>0</v>
      </c>
      <c r="V1552" s="49" t="n">
        <v>0</v>
      </c>
      <c r="W1552" s="50" t="n">
        <v>0</v>
      </c>
      <c r="X1552" s="51" t="n">
        <v>0</v>
      </c>
      <c r="Y1552" s="52" t="n">
        <v>0</v>
      </c>
      <c r="Z1552" s="52" t="n">
        <v>0</v>
      </c>
      <c r="AA1552" s="52" t="n">
        <v>0</v>
      </c>
      <c r="AB1552" s="53" t="n">
        <v>0</v>
      </c>
      <c r="AC1552" s="52" t="n">
        <v>0</v>
      </c>
      <c r="AD1552" s="53" t="n">
        <v>0</v>
      </c>
      <c r="AE1552" s="52" t="n">
        <v>0</v>
      </c>
      <c r="AF1552" s="51" t="n">
        <v>0</v>
      </c>
      <c r="AG1552" s="48" t="n">
        <v>0</v>
      </c>
      <c r="AH1552" s="49" t="n">
        <v>0</v>
      </c>
      <c r="AI1552" s="49" t="n">
        <v>0</v>
      </c>
      <c r="AJ1552" s="50" t="n">
        <v>0</v>
      </c>
      <c r="AK1552" s="51" t="n">
        <v>0</v>
      </c>
      <c r="AL1552" s="52" t="n">
        <v>0</v>
      </c>
      <c r="AM1552" s="52" t="n">
        <v>0</v>
      </c>
      <c r="AN1552" s="52" t="n">
        <v>0</v>
      </c>
      <c r="AO1552" s="53" t="n">
        <v>0</v>
      </c>
      <c r="AP1552" s="52" t="n">
        <v>0</v>
      </c>
      <c r="AQ1552" s="53" t="n">
        <v>0</v>
      </c>
      <c r="AR1552" s="52" t="n">
        <v>0</v>
      </c>
      <c r="AS1552" s="51" t="n">
        <v>0</v>
      </c>
      <c r="AT1552" s="48" t="n">
        <v>0</v>
      </c>
      <c r="AU1552" s="49" t="n">
        <v>0</v>
      </c>
      <c r="AV1552" s="49" t="n">
        <v>0</v>
      </c>
      <c r="AW1552" s="50" t="n">
        <v>0</v>
      </c>
      <c r="AX1552" s="51" t="n">
        <v>0</v>
      </c>
      <c r="AY1552" s="52" t="n">
        <v>0</v>
      </c>
      <c r="AZ1552" s="52" t="n">
        <v>0</v>
      </c>
      <c r="BA1552" s="52" t="n">
        <v>0</v>
      </c>
      <c r="BB1552" s="53" t="n">
        <v>0</v>
      </c>
      <c r="BC1552" s="52" t="n">
        <v>0</v>
      </c>
      <c r="BD1552" s="53" t="n">
        <v>0</v>
      </c>
      <c r="BE1552" s="52" t="n">
        <v>0</v>
      </c>
      <c r="BF1552" s="51" t="n">
        <v>0</v>
      </c>
    </row>
    <row r="1553">
      <c r="A1553">
        <f>HYPERLINK("https://www.walmart.com/ip/15179452594", "15179452594")</f>
        <v/>
      </c>
      <c r="B1553" t="inlineStr">
        <is>
          <t>Tirrinia Small Insulated Lunch Bag for Men Women Youth, Portable Reusable Thermal Lunch Box Cooler Tote for Adults, Polyester, Purple</t>
        </is>
      </c>
      <c r="C1553" t="inlineStr">
        <is>
          <t>1TRLB100PPDOL</t>
        </is>
      </c>
      <c r="D1553" t="inlineStr">
        <is>
          <t>Reusable Lunch Bags &amp; Boxes</t>
        </is>
      </c>
      <c r="E1553" t="inlineStr">
        <is>
          <t>Tirrinia</t>
        </is>
      </c>
      <c r="G1553" s="48" t="n">
        <v>0</v>
      </c>
      <c r="H1553" s="49" t="n">
        <v>0</v>
      </c>
      <c r="I1553" s="49" t="n">
        <v>0</v>
      </c>
      <c r="J1553" s="50" t="n">
        <v>0</v>
      </c>
      <c r="K1553" s="51" t="n">
        <v>0</v>
      </c>
      <c r="L1553" s="52" t="n">
        <v>0</v>
      </c>
      <c r="M1553" s="52" t="n">
        <v>0</v>
      </c>
      <c r="N1553" s="52" t="n">
        <v>0</v>
      </c>
      <c r="O1553" s="53" t="n">
        <v>0</v>
      </c>
      <c r="P1553" s="52" t="n">
        <v>0</v>
      </c>
      <c r="Q1553" s="53" t="n">
        <v>0</v>
      </c>
      <c r="R1553" s="52" t="n">
        <v>0</v>
      </c>
      <c r="S1553" s="51" t="n">
        <v>0</v>
      </c>
      <c r="T1553" s="48" t="n">
        <v>38.97</v>
      </c>
      <c r="U1553" s="49" t="n">
        <v>3</v>
      </c>
      <c r="V1553" s="49" t="n">
        <v>3</v>
      </c>
      <c r="W1553" s="50" t="n">
        <v>1</v>
      </c>
      <c r="X1553" s="51" t="n">
        <v>0</v>
      </c>
      <c r="Y1553" s="52" t="n">
        <v>0</v>
      </c>
      <c r="Z1553" s="52" t="n">
        <v>0</v>
      </c>
      <c r="AA1553" s="52" t="n">
        <v>0</v>
      </c>
      <c r="AB1553" s="53" t="n">
        <v>0</v>
      </c>
      <c r="AC1553" s="52" t="n">
        <v>0</v>
      </c>
      <c r="AD1553" s="53" t="n">
        <v>0</v>
      </c>
      <c r="AE1553" s="52" t="n">
        <v>12.99</v>
      </c>
      <c r="AF1553" s="51" t="n">
        <v>0</v>
      </c>
      <c r="AG1553" s="48" t="n">
        <v>12.99</v>
      </c>
      <c r="AH1553" s="49" t="n">
        <v>1</v>
      </c>
      <c r="AI1553" s="49" t="n">
        <v>0</v>
      </c>
      <c r="AJ1553" s="50" t="n">
        <v>0</v>
      </c>
      <c r="AK1553" s="51" t="n">
        <v>0</v>
      </c>
      <c r="AL1553" s="52" t="n">
        <v>0</v>
      </c>
      <c r="AM1553" s="52" t="n">
        <v>0</v>
      </c>
      <c r="AN1553" s="52" t="n">
        <v>0</v>
      </c>
      <c r="AO1553" s="53" t="n">
        <v>0</v>
      </c>
      <c r="AP1553" s="52" t="n">
        <v>0</v>
      </c>
      <c r="AQ1553" s="53" t="n">
        <v>0</v>
      </c>
      <c r="AR1553" s="52" t="n">
        <v>12.99</v>
      </c>
      <c r="AS1553" s="51" t="n">
        <v>0</v>
      </c>
      <c r="AT1553" s="48" t="n">
        <v>0</v>
      </c>
      <c r="AU1553" s="49" t="n">
        <v>0</v>
      </c>
      <c r="AV1553" s="49" t="n">
        <v>0</v>
      </c>
      <c r="AW1553" s="50" t="n">
        <v>0</v>
      </c>
      <c r="AX1553" s="51" t="n">
        <v>0</v>
      </c>
      <c r="AY1553" s="52" t="n">
        <v>0</v>
      </c>
      <c r="AZ1553" s="52" t="n">
        <v>0</v>
      </c>
      <c r="BA1553" s="52" t="n">
        <v>0</v>
      </c>
      <c r="BB1553" s="53" t="n">
        <v>0</v>
      </c>
      <c r="BC1553" s="52" t="n">
        <v>0</v>
      </c>
      <c r="BD1553" s="53" t="n">
        <v>0</v>
      </c>
      <c r="BE1553" s="52" t="n">
        <v>0</v>
      </c>
      <c r="BF1553" s="51" t="n">
        <v>0</v>
      </c>
    </row>
    <row r="1554">
      <c r="A1554">
        <f>HYPERLINK("https://www.walmart.com/ip/14544254611", "14544254611")</f>
        <v/>
      </c>
      <c r="B1554" t="inlineStr">
        <is>
          <t>Aeropostale  Backpack for School, College, and Travel， Water Resistant Bookbag Blue Smile</t>
        </is>
      </c>
      <c r="C1554" t="inlineStr">
        <is>
          <t>1AEBPK92029BLSMILE</t>
        </is>
      </c>
      <c r="D1554" t="inlineStr">
        <is>
          <t>Backpacks</t>
        </is>
      </c>
      <c r="E1554" t="inlineStr">
        <is>
          <t>Aeropostale</t>
        </is>
      </c>
      <c r="G1554" s="48" t="n">
        <v>0</v>
      </c>
      <c r="H1554" s="49" t="n">
        <v>0</v>
      </c>
      <c r="I1554" s="49" t="n">
        <v>0</v>
      </c>
      <c r="J1554" s="50" t="n">
        <v>0</v>
      </c>
      <c r="K1554" s="51" t="n">
        <v>0</v>
      </c>
      <c r="L1554" s="52" t="n">
        <v>0</v>
      </c>
      <c r="M1554" s="52" t="n">
        <v>0</v>
      </c>
      <c r="N1554" s="52" t="n">
        <v>0</v>
      </c>
      <c r="O1554" s="53" t="n">
        <v>0</v>
      </c>
      <c r="P1554" s="52" t="n">
        <v>0</v>
      </c>
      <c r="Q1554" s="53" t="n">
        <v>0</v>
      </c>
      <c r="R1554" s="52" t="n">
        <v>0</v>
      </c>
      <c r="S1554" s="51" t="n">
        <v>0</v>
      </c>
      <c r="T1554" s="48" t="n">
        <v>0</v>
      </c>
      <c r="U1554" s="49" t="n">
        <v>0</v>
      </c>
      <c r="V1554" s="49" t="n">
        <v>0</v>
      </c>
      <c r="W1554" s="50" t="n">
        <v>0</v>
      </c>
      <c r="X1554" s="51" t="n">
        <v>0</v>
      </c>
      <c r="Y1554" s="52" t="n">
        <v>0</v>
      </c>
      <c r="Z1554" s="52" t="n">
        <v>0</v>
      </c>
      <c r="AA1554" s="52" t="n">
        <v>0</v>
      </c>
      <c r="AB1554" s="53" t="n">
        <v>0</v>
      </c>
      <c r="AC1554" s="52" t="n">
        <v>0</v>
      </c>
      <c r="AD1554" s="53" t="n">
        <v>0</v>
      </c>
      <c r="AE1554" s="52" t="n">
        <v>0</v>
      </c>
      <c r="AF1554" s="51" t="n">
        <v>0</v>
      </c>
      <c r="AG1554" s="48" t="n">
        <v>0</v>
      </c>
      <c r="AH1554" s="49" t="n">
        <v>0</v>
      </c>
      <c r="AI1554" s="49" t="n">
        <v>0</v>
      </c>
      <c r="AJ1554" s="50" t="n">
        <v>0</v>
      </c>
      <c r="AK1554" s="51" t="n">
        <v>0</v>
      </c>
      <c r="AL1554" s="52" t="n">
        <v>0</v>
      </c>
      <c r="AM1554" s="52" t="n">
        <v>0</v>
      </c>
      <c r="AN1554" s="52" t="n">
        <v>0</v>
      </c>
      <c r="AO1554" s="53" t="n">
        <v>0</v>
      </c>
      <c r="AP1554" s="52" t="n">
        <v>0</v>
      </c>
      <c r="AQ1554" s="53" t="n">
        <v>0</v>
      </c>
      <c r="AR1554" s="52" t="n">
        <v>0</v>
      </c>
      <c r="AS1554" s="51" t="n">
        <v>0</v>
      </c>
      <c r="AT1554" s="48" t="n">
        <v>0</v>
      </c>
      <c r="AU1554" s="49" t="n">
        <v>0</v>
      </c>
      <c r="AV1554" s="49" t="n">
        <v>0</v>
      </c>
      <c r="AW1554" s="50" t="n">
        <v>0</v>
      </c>
      <c r="AX1554" s="51" t="n">
        <v>0</v>
      </c>
      <c r="AY1554" s="52" t="n">
        <v>0</v>
      </c>
      <c r="AZ1554" s="52" t="n">
        <v>0</v>
      </c>
      <c r="BA1554" s="52" t="n">
        <v>0</v>
      </c>
      <c r="BB1554" s="53" t="n">
        <v>0</v>
      </c>
      <c r="BC1554" s="52" t="n">
        <v>0</v>
      </c>
      <c r="BD1554" s="53" t="n">
        <v>0</v>
      </c>
      <c r="BE1554" s="52" t="n">
        <v>0</v>
      </c>
      <c r="BF1554" s="51" t="n">
        <v>0</v>
      </c>
    </row>
    <row r="1555">
      <c r="A1555">
        <f>HYPERLINK("https://www.walmart.com/ip/14535967778", "14535967778")</f>
        <v/>
      </c>
      <c r="B1555" t="inlineStr">
        <is>
          <t>Aeropostale  Backpack for School, College, and Travel， Water Resistant Bookbag Pink Cloud</t>
        </is>
      </c>
      <c r="C1555" t="inlineStr">
        <is>
          <t>1AEBPK92029PKCLOUD</t>
        </is>
      </c>
      <c r="D1555" t="inlineStr">
        <is>
          <t>Backpacks</t>
        </is>
      </c>
      <c r="E1555" t="inlineStr">
        <is>
          <t>Aeropostale</t>
        </is>
      </c>
      <c r="G1555" s="48" t="n">
        <v>0</v>
      </c>
      <c r="H1555" s="49" t="n">
        <v>0</v>
      </c>
      <c r="I1555" s="49" t="n">
        <v>0</v>
      </c>
      <c r="J1555" s="50" t="n">
        <v>0</v>
      </c>
      <c r="K1555" s="51" t="n">
        <v>0</v>
      </c>
      <c r="L1555" s="52" t="n">
        <v>0</v>
      </c>
      <c r="M1555" s="52" t="n">
        <v>0</v>
      </c>
      <c r="N1555" s="52" t="n">
        <v>0</v>
      </c>
      <c r="O1555" s="53" t="n">
        <v>0</v>
      </c>
      <c r="P1555" s="52" t="n">
        <v>0</v>
      </c>
      <c r="Q1555" s="53" t="n">
        <v>0</v>
      </c>
      <c r="R1555" s="52" t="n">
        <v>0</v>
      </c>
      <c r="S1555" s="51" t="n">
        <v>0</v>
      </c>
      <c r="T1555" s="48" t="n">
        <v>0</v>
      </c>
      <c r="U1555" s="49" t="n">
        <v>0</v>
      </c>
      <c r="V1555" s="49" t="n">
        <v>0</v>
      </c>
      <c r="W1555" s="50" t="n">
        <v>0</v>
      </c>
      <c r="X1555" s="51" t="n">
        <v>0</v>
      </c>
      <c r="Y1555" s="52" t="n">
        <v>0</v>
      </c>
      <c r="Z1555" s="52" t="n">
        <v>0</v>
      </c>
      <c r="AA1555" s="52" t="n">
        <v>0</v>
      </c>
      <c r="AB1555" s="53" t="n">
        <v>0</v>
      </c>
      <c r="AC1555" s="52" t="n">
        <v>0</v>
      </c>
      <c r="AD1555" s="53" t="n">
        <v>0</v>
      </c>
      <c r="AE1555" s="52" t="n">
        <v>0</v>
      </c>
      <c r="AF1555" s="51" t="n">
        <v>0</v>
      </c>
      <c r="AG1555" s="48" t="n">
        <v>0</v>
      </c>
      <c r="AH1555" s="49" t="n">
        <v>0</v>
      </c>
      <c r="AI1555" s="49" t="n">
        <v>0</v>
      </c>
      <c r="AJ1555" s="50" t="n">
        <v>0</v>
      </c>
      <c r="AK1555" s="51" t="n">
        <v>0</v>
      </c>
      <c r="AL1555" s="52" t="n">
        <v>0</v>
      </c>
      <c r="AM1555" s="52" t="n">
        <v>0</v>
      </c>
      <c r="AN1555" s="52" t="n">
        <v>0</v>
      </c>
      <c r="AO1555" s="53" t="n">
        <v>0</v>
      </c>
      <c r="AP1555" s="52" t="n">
        <v>0</v>
      </c>
      <c r="AQ1555" s="53" t="n">
        <v>0</v>
      </c>
      <c r="AR1555" s="52" t="n">
        <v>0</v>
      </c>
      <c r="AS1555" s="51" t="n">
        <v>0</v>
      </c>
      <c r="AT1555" s="48" t="n">
        <v>0</v>
      </c>
      <c r="AU1555" s="49" t="n">
        <v>0</v>
      </c>
      <c r="AV1555" s="49" t="n">
        <v>0</v>
      </c>
      <c r="AW1555" s="50" t="n">
        <v>0</v>
      </c>
      <c r="AX1555" s="51" t="n">
        <v>0</v>
      </c>
      <c r="AY1555" s="52" t="n">
        <v>0</v>
      </c>
      <c r="AZ1555" s="52" t="n">
        <v>0</v>
      </c>
      <c r="BA1555" s="52" t="n">
        <v>0</v>
      </c>
      <c r="BB1555" s="53" t="n">
        <v>0</v>
      </c>
      <c r="BC1555" s="52" t="n">
        <v>0</v>
      </c>
      <c r="BD1555" s="53" t="n">
        <v>0</v>
      </c>
      <c r="BE1555" s="52" t="n">
        <v>0</v>
      </c>
      <c r="BF1555" s="51" t="n">
        <v>0</v>
      </c>
    </row>
    <row r="1556">
      <c r="A1556">
        <f>HYPERLINK("https://www.walmart.com/ip/14537357555", "14537357555")</f>
        <v/>
      </c>
      <c r="B1556" t="inlineStr">
        <is>
          <t>PEANUTS Womens 100% Cotton Family Matching Pajamas Holiday Festive Nightwear Sleepwear 2-Piece Sets for Christmas Gifts (Red Plaid, L)</t>
        </is>
      </c>
      <c r="C1556" t="inlineStr">
        <is>
          <t>PEA-PJS-FAMILY-WOMEN-REDPLAID-L</t>
        </is>
      </c>
      <c r="D1556" t="inlineStr">
        <is>
          <t>Pajamas</t>
        </is>
      </c>
      <c r="E1556" t="inlineStr">
        <is>
          <t>Peanuts</t>
        </is>
      </c>
      <c r="G1556" s="48" t="n">
        <v>0</v>
      </c>
      <c r="H1556" s="49" t="n">
        <v>0</v>
      </c>
      <c r="I1556" s="49" t="n">
        <v>0</v>
      </c>
      <c r="J1556" s="50" t="n">
        <v>0</v>
      </c>
      <c r="K1556" s="51" t="n">
        <v>0</v>
      </c>
      <c r="L1556" s="52" t="n">
        <v>0</v>
      </c>
      <c r="M1556" s="52" t="n">
        <v>0</v>
      </c>
      <c r="N1556" s="52" t="n">
        <v>0</v>
      </c>
      <c r="O1556" s="53" t="n">
        <v>0</v>
      </c>
      <c r="P1556" s="52" t="n">
        <v>0</v>
      </c>
      <c r="Q1556" s="53" t="n">
        <v>0</v>
      </c>
      <c r="R1556" s="52" t="n">
        <v>0</v>
      </c>
      <c r="S1556" s="51" t="n">
        <v>0</v>
      </c>
      <c r="T1556" s="48" t="n">
        <v>0</v>
      </c>
      <c r="U1556" s="49" t="n">
        <v>0</v>
      </c>
      <c r="V1556" s="49" t="n">
        <v>0</v>
      </c>
      <c r="W1556" s="50" t="n">
        <v>0</v>
      </c>
      <c r="X1556" s="51" t="n">
        <v>0</v>
      </c>
      <c r="Y1556" s="52" t="n">
        <v>0</v>
      </c>
      <c r="Z1556" s="52" t="n">
        <v>0</v>
      </c>
      <c r="AA1556" s="52" t="n">
        <v>0</v>
      </c>
      <c r="AB1556" s="53" t="n">
        <v>0</v>
      </c>
      <c r="AC1556" s="52" t="n">
        <v>0</v>
      </c>
      <c r="AD1556" s="53" t="n">
        <v>0</v>
      </c>
      <c r="AE1556" s="52" t="n">
        <v>0</v>
      </c>
      <c r="AF1556" s="51" t="n">
        <v>0</v>
      </c>
      <c r="AG1556" s="48" t="n">
        <v>0</v>
      </c>
      <c r="AH1556" s="49" t="n">
        <v>0</v>
      </c>
      <c r="AI1556" s="49" t="n">
        <v>0</v>
      </c>
      <c r="AJ1556" s="50" t="n">
        <v>0</v>
      </c>
      <c r="AK1556" s="51" t="n">
        <v>0</v>
      </c>
      <c r="AL1556" s="52" t="n">
        <v>0</v>
      </c>
      <c r="AM1556" s="52" t="n">
        <v>0</v>
      </c>
      <c r="AN1556" s="52" t="n">
        <v>0</v>
      </c>
      <c r="AO1556" s="53" t="n">
        <v>0</v>
      </c>
      <c r="AP1556" s="52" t="n">
        <v>0</v>
      </c>
      <c r="AQ1556" s="53" t="n">
        <v>0</v>
      </c>
      <c r="AR1556" s="52" t="n">
        <v>0</v>
      </c>
      <c r="AS1556" s="51" t="n">
        <v>0</v>
      </c>
      <c r="AT1556" s="48" t="n">
        <v>0</v>
      </c>
      <c r="AU1556" s="49" t="n">
        <v>0</v>
      </c>
      <c r="AV1556" s="49" t="n">
        <v>0</v>
      </c>
      <c r="AW1556" s="50" t="n">
        <v>0</v>
      </c>
      <c r="AX1556" s="51" t="n">
        <v>0</v>
      </c>
      <c r="AY1556" s="52" t="n">
        <v>0</v>
      </c>
      <c r="AZ1556" s="52" t="n">
        <v>0</v>
      </c>
      <c r="BA1556" s="52" t="n">
        <v>0</v>
      </c>
      <c r="BB1556" s="53" t="n">
        <v>0</v>
      </c>
      <c r="BC1556" s="52" t="n">
        <v>0</v>
      </c>
      <c r="BD1556" s="53" t="n">
        <v>0</v>
      </c>
      <c r="BE1556" s="52" t="n">
        <v>0</v>
      </c>
      <c r="BF1556" s="51" t="n">
        <v>0</v>
      </c>
    </row>
    <row r="1557">
      <c r="A1557">
        <f>HYPERLINK("https://www.walmart.com/ip/14537357557", "14537357557")</f>
        <v/>
      </c>
      <c r="B1557" t="inlineStr">
        <is>
          <t>PEANUTS Toddler Boys Girls Snoopy Family Matching Pajamas Sleepwear 2-Piece Sets for Christmas with Woodstock Charlie Brown Linus (Red Polka Dot, 3T)</t>
        </is>
      </c>
      <c r="C1557" t="inlineStr">
        <is>
          <t>PEA-PJS-FAMILY-TODDLER-RED-3T</t>
        </is>
      </c>
      <c r="D1557" t="inlineStr">
        <is>
          <t>Pajamas</t>
        </is>
      </c>
      <c r="E1557" t="inlineStr">
        <is>
          <t>Peanuts</t>
        </is>
      </c>
      <c r="G1557" s="48" t="n">
        <v>0</v>
      </c>
      <c r="H1557" s="49" t="n">
        <v>0</v>
      </c>
      <c r="I1557" s="49" t="n">
        <v>0</v>
      </c>
      <c r="J1557" s="50" t="n">
        <v>0</v>
      </c>
      <c r="K1557" s="51" t="n">
        <v>0</v>
      </c>
      <c r="L1557" s="52" t="n">
        <v>0</v>
      </c>
      <c r="M1557" s="52" t="n">
        <v>0</v>
      </c>
      <c r="N1557" s="52" t="n">
        <v>0</v>
      </c>
      <c r="O1557" s="53" t="n">
        <v>0</v>
      </c>
      <c r="P1557" s="52" t="n">
        <v>0</v>
      </c>
      <c r="Q1557" s="53" t="n">
        <v>0</v>
      </c>
      <c r="R1557" s="52" t="n">
        <v>0</v>
      </c>
      <c r="S1557" s="51" t="n">
        <v>0</v>
      </c>
      <c r="T1557" s="48" t="n">
        <v>0</v>
      </c>
      <c r="U1557" s="49" t="n">
        <v>0</v>
      </c>
      <c r="V1557" s="49" t="n">
        <v>0</v>
      </c>
      <c r="W1557" s="50" t="n">
        <v>0</v>
      </c>
      <c r="X1557" s="51" t="n">
        <v>0</v>
      </c>
      <c r="Y1557" s="52" t="n">
        <v>0</v>
      </c>
      <c r="Z1557" s="52" t="n">
        <v>0</v>
      </c>
      <c r="AA1557" s="52" t="n">
        <v>0</v>
      </c>
      <c r="AB1557" s="53" t="n">
        <v>0</v>
      </c>
      <c r="AC1557" s="52" t="n">
        <v>0</v>
      </c>
      <c r="AD1557" s="53" t="n">
        <v>0</v>
      </c>
      <c r="AE1557" s="52" t="n">
        <v>0</v>
      </c>
      <c r="AF1557" s="51" t="n">
        <v>0</v>
      </c>
      <c r="AG1557" s="48" t="n">
        <v>0</v>
      </c>
      <c r="AH1557" s="49" t="n">
        <v>0</v>
      </c>
      <c r="AI1557" s="49" t="n">
        <v>0</v>
      </c>
      <c r="AJ1557" s="50" t="n">
        <v>0</v>
      </c>
      <c r="AK1557" s="51" t="n">
        <v>0</v>
      </c>
      <c r="AL1557" s="52" t="n">
        <v>0</v>
      </c>
      <c r="AM1557" s="52" t="n">
        <v>0</v>
      </c>
      <c r="AN1557" s="52" t="n">
        <v>0</v>
      </c>
      <c r="AO1557" s="53" t="n">
        <v>0</v>
      </c>
      <c r="AP1557" s="52" t="n">
        <v>0</v>
      </c>
      <c r="AQ1557" s="53" t="n">
        <v>0</v>
      </c>
      <c r="AR1557" s="52" t="n">
        <v>0</v>
      </c>
      <c r="AS1557" s="51" t="n">
        <v>0</v>
      </c>
      <c r="AT1557" s="48" t="n">
        <v>0</v>
      </c>
      <c r="AU1557" s="49" t="n">
        <v>0</v>
      </c>
      <c r="AV1557" s="49" t="n">
        <v>0</v>
      </c>
      <c r="AW1557" s="50" t="n">
        <v>0</v>
      </c>
      <c r="AX1557" s="51" t="n">
        <v>0</v>
      </c>
      <c r="AY1557" s="52" t="n">
        <v>0</v>
      </c>
      <c r="AZ1557" s="52" t="n">
        <v>0</v>
      </c>
      <c r="BA1557" s="52" t="n">
        <v>0</v>
      </c>
      <c r="BB1557" s="53" t="n">
        <v>0</v>
      </c>
      <c r="BC1557" s="52" t="n">
        <v>0</v>
      </c>
      <c r="BD1557" s="53" t="n">
        <v>0</v>
      </c>
      <c r="BE1557" s="52" t="n">
        <v>0</v>
      </c>
      <c r="BF1557" s="51" t="n">
        <v>0</v>
      </c>
    </row>
    <row r="1558">
      <c r="A1558">
        <f>HYPERLINK("https://www.walmart.com/ip/14537357559", "14537357559")</f>
        <v/>
      </c>
      <c r="B1558" t="inlineStr">
        <is>
          <t>PEANUTS Womens 100% Cotton Family Matching Pajamas Holiday Festive Nightwear Sleepwear 2-Piece Sets for Christmas Gifts (Black Plaid, S)</t>
        </is>
      </c>
      <c r="C1558" t="inlineStr">
        <is>
          <t>PEA-PJS-FAMILY-WOMEN-BLACKPLAID-S</t>
        </is>
      </c>
      <c r="D1558" t="inlineStr">
        <is>
          <t>Pajamas</t>
        </is>
      </c>
      <c r="E1558" t="inlineStr">
        <is>
          <t>Peanuts</t>
        </is>
      </c>
      <c r="G1558" s="48" t="n">
        <v>0</v>
      </c>
      <c r="H1558" s="49" t="n">
        <v>0</v>
      </c>
      <c r="I1558" s="49" t="n">
        <v>0</v>
      </c>
      <c r="J1558" s="50" t="n">
        <v>0</v>
      </c>
      <c r="K1558" s="51" t="n">
        <v>0</v>
      </c>
      <c r="L1558" s="52" t="n">
        <v>0</v>
      </c>
      <c r="M1558" s="52" t="n">
        <v>0</v>
      </c>
      <c r="N1558" s="52" t="n">
        <v>0</v>
      </c>
      <c r="O1558" s="53" t="n">
        <v>0</v>
      </c>
      <c r="P1558" s="52" t="n">
        <v>0</v>
      </c>
      <c r="Q1558" s="53" t="n">
        <v>0</v>
      </c>
      <c r="R1558" s="52" t="n">
        <v>0</v>
      </c>
      <c r="S1558" s="51" t="n">
        <v>0</v>
      </c>
      <c r="T1558" s="48" t="n">
        <v>0</v>
      </c>
      <c r="U1558" s="49" t="n">
        <v>0</v>
      </c>
      <c r="V1558" s="49" t="n">
        <v>0</v>
      </c>
      <c r="W1558" s="50" t="n">
        <v>0</v>
      </c>
      <c r="X1558" s="51" t="n">
        <v>0</v>
      </c>
      <c r="Y1558" s="52" t="n">
        <v>0</v>
      </c>
      <c r="Z1558" s="52" t="n">
        <v>0</v>
      </c>
      <c r="AA1558" s="52" t="n">
        <v>0</v>
      </c>
      <c r="AB1558" s="53" t="n">
        <v>0</v>
      </c>
      <c r="AC1558" s="52" t="n">
        <v>0</v>
      </c>
      <c r="AD1558" s="53" t="n">
        <v>0</v>
      </c>
      <c r="AE1558" s="52" t="n">
        <v>0</v>
      </c>
      <c r="AF1558" s="51" t="n">
        <v>0</v>
      </c>
      <c r="AG1558" s="48" t="n">
        <v>0</v>
      </c>
      <c r="AH1558" s="49" t="n">
        <v>0</v>
      </c>
      <c r="AI1558" s="49" t="n">
        <v>0</v>
      </c>
      <c r="AJ1558" s="50" t="n">
        <v>0</v>
      </c>
      <c r="AK1558" s="51" t="n">
        <v>0</v>
      </c>
      <c r="AL1558" s="52" t="n">
        <v>0</v>
      </c>
      <c r="AM1558" s="52" t="n">
        <v>0</v>
      </c>
      <c r="AN1558" s="52" t="n">
        <v>0</v>
      </c>
      <c r="AO1558" s="53" t="n">
        <v>0</v>
      </c>
      <c r="AP1558" s="52" t="n">
        <v>0</v>
      </c>
      <c r="AQ1558" s="53" t="n">
        <v>0</v>
      </c>
      <c r="AR1558" s="52" t="n">
        <v>0</v>
      </c>
      <c r="AS1558" s="51" t="n">
        <v>0</v>
      </c>
      <c r="AT1558" s="48" t="n">
        <v>0</v>
      </c>
      <c r="AU1558" s="49" t="n">
        <v>0</v>
      </c>
      <c r="AV1558" s="49" t="n">
        <v>0</v>
      </c>
      <c r="AW1558" s="50" t="n">
        <v>0</v>
      </c>
      <c r="AX1558" s="51" t="n">
        <v>0</v>
      </c>
      <c r="AY1558" s="52" t="n">
        <v>0</v>
      </c>
      <c r="AZ1558" s="52" t="n">
        <v>0</v>
      </c>
      <c r="BA1558" s="52" t="n">
        <v>0</v>
      </c>
      <c r="BB1558" s="53" t="n">
        <v>0</v>
      </c>
      <c r="BC1558" s="52" t="n">
        <v>0</v>
      </c>
      <c r="BD1558" s="53" t="n">
        <v>0</v>
      </c>
      <c r="BE1558" s="52" t="n">
        <v>0</v>
      </c>
      <c r="BF1558" s="51" t="n">
        <v>0</v>
      </c>
    </row>
    <row r="1559">
      <c r="A1559">
        <f>HYPERLINK("https://www.walmart.com/ip/1453878306", "1453878306")</f>
        <v/>
      </c>
      <c r="B1559" t="inlineStr">
        <is>
          <t>Catalonia Oversized Hoodie Blanket with Zipper, Wearable Sherpa Sweatshirt Pullover, Soft Warm Comfortable Jacket for Adults Men Women, Dalmatian</t>
        </is>
      </c>
      <c r="C1559" t="inlineStr">
        <is>
          <t>1CTHD220DMT</t>
        </is>
      </c>
      <c r="D1559" t="inlineStr">
        <is>
          <t>Throws</t>
        </is>
      </c>
      <c r="E1559" t="inlineStr">
        <is>
          <t>Catalonia</t>
        </is>
      </c>
      <c r="F1559" t="inlineStr">
        <is>
          <t>Coupon_Discount,Batch 1 - TR</t>
        </is>
      </c>
      <c r="G1559" s="48" t="n">
        <v>0</v>
      </c>
      <c r="H1559" s="49" t="n">
        <v>0</v>
      </c>
      <c r="I1559" s="49" t="n">
        <v>0</v>
      </c>
      <c r="J1559" s="50" t="n">
        <v>0</v>
      </c>
      <c r="K1559" s="51" t="n">
        <v>0</v>
      </c>
      <c r="L1559" s="52" t="n">
        <v>0</v>
      </c>
      <c r="M1559" s="52" t="n">
        <v>0</v>
      </c>
      <c r="N1559" s="52" t="n">
        <v>0</v>
      </c>
      <c r="O1559" s="53" t="n">
        <v>0</v>
      </c>
      <c r="P1559" s="52" t="n">
        <v>0</v>
      </c>
      <c r="Q1559" s="53" t="n">
        <v>0</v>
      </c>
      <c r="R1559" s="52" t="n">
        <v>0</v>
      </c>
      <c r="S1559" s="51" t="n">
        <v>0</v>
      </c>
      <c r="T1559" s="48" t="n">
        <v>0</v>
      </c>
      <c r="U1559" s="49" t="n">
        <v>0</v>
      </c>
      <c r="V1559" s="49" t="n">
        <v>0</v>
      </c>
      <c r="W1559" s="50" t="n">
        <v>0</v>
      </c>
      <c r="X1559" s="51" t="n">
        <v>0</v>
      </c>
      <c r="Y1559" s="52" t="n">
        <v>0</v>
      </c>
      <c r="Z1559" s="52" t="n">
        <v>0</v>
      </c>
      <c r="AA1559" s="52" t="n">
        <v>0</v>
      </c>
      <c r="AB1559" s="53" t="n">
        <v>0</v>
      </c>
      <c r="AC1559" s="52" t="n">
        <v>0</v>
      </c>
      <c r="AD1559" s="53" t="n">
        <v>0</v>
      </c>
      <c r="AE1559" s="52" t="n">
        <v>0</v>
      </c>
      <c r="AF1559" s="51" t="n">
        <v>0</v>
      </c>
      <c r="AG1559" s="48" t="n">
        <v>0</v>
      </c>
      <c r="AH1559" s="49" t="n">
        <v>0</v>
      </c>
      <c r="AI1559" s="49" t="n">
        <v>0</v>
      </c>
      <c r="AJ1559" s="50" t="n">
        <v>0</v>
      </c>
      <c r="AK1559" s="51" t="n">
        <v>0</v>
      </c>
      <c r="AL1559" s="52" t="n">
        <v>0</v>
      </c>
      <c r="AM1559" s="52" t="n">
        <v>0</v>
      </c>
      <c r="AN1559" s="52" t="n">
        <v>0</v>
      </c>
      <c r="AO1559" s="53" t="n">
        <v>0</v>
      </c>
      <c r="AP1559" s="52" t="n">
        <v>0</v>
      </c>
      <c r="AQ1559" s="53" t="n">
        <v>0</v>
      </c>
      <c r="AR1559" s="52" t="n">
        <v>0</v>
      </c>
      <c r="AS1559" s="51" t="n">
        <v>0</v>
      </c>
      <c r="AT1559" s="48" t="n">
        <v>0</v>
      </c>
      <c r="AU1559" s="49" t="n">
        <v>0</v>
      </c>
      <c r="AV1559" s="49" t="n">
        <v>0</v>
      </c>
      <c r="AW1559" s="50" t="n">
        <v>0</v>
      </c>
      <c r="AX1559" s="51" t="n">
        <v>0</v>
      </c>
      <c r="AY1559" s="52" t="n">
        <v>0</v>
      </c>
      <c r="AZ1559" s="52" t="n">
        <v>0</v>
      </c>
      <c r="BA1559" s="52" t="n">
        <v>0</v>
      </c>
      <c r="BB1559" s="53" t="n">
        <v>0</v>
      </c>
      <c r="BC1559" s="52" t="n">
        <v>0</v>
      </c>
      <c r="BD1559" s="53" t="n">
        <v>0</v>
      </c>
      <c r="BE1559" s="52" t="n">
        <v>0</v>
      </c>
      <c r="BF1559" s="51" t="n">
        <v>0</v>
      </c>
    </row>
    <row r="1560">
      <c r="A1560">
        <f>HYPERLINK("https://www.walmart.com/ip/14539058447", "14539058447")</f>
        <v/>
      </c>
      <c r="B1560" t="inlineStr">
        <is>
          <t>Aeropostale  Backpack for School, College, and Travel， Water Resistant Bookbag Green</t>
        </is>
      </c>
      <c r="C1560" t="inlineStr">
        <is>
          <t>1AEBPK92029GN</t>
        </is>
      </c>
      <c r="D1560" t="inlineStr">
        <is>
          <t>Backpacks</t>
        </is>
      </c>
      <c r="E1560" t="inlineStr">
        <is>
          <t>Aeropostale</t>
        </is>
      </c>
      <c r="G1560" s="48" t="n">
        <v>0</v>
      </c>
      <c r="H1560" s="49" t="n">
        <v>0</v>
      </c>
      <c r="I1560" s="49" t="n">
        <v>0</v>
      </c>
      <c r="J1560" s="50" t="n">
        <v>0</v>
      </c>
      <c r="K1560" s="51" t="n">
        <v>0</v>
      </c>
      <c r="L1560" s="52" t="n">
        <v>0</v>
      </c>
      <c r="M1560" s="52" t="n">
        <v>0</v>
      </c>
      <c r="N1560" s="52" t="n">
        <v>0</v>
      </c>
      <c r="O1560" s="53" t="n">
        <v>0</v>
      </c>
      <c r="P1560" s="52" t="n">
        <v>0</v>
      </c>
      <c r="Q1560" s="53" t="n">
        <v>0</v>
      </c>
      <c r="R1560" s="52" t="n">
        <v>0</v>
      </c>
      <c r="S1560" s="51" t="n">
        <v>0</v>
      </c>
      <c r="T1560" s="48" t="n">
        <v>0</v>
      </c>
      <c r="U1560" s="49" t="n">
        <v>0</v>
      </c>
      <c r="V1560" s="49" t="n">
        <v>0</v>
      </c>
      <c r="W1560" s="50" t="n">
        <v>0</v>
      </c>
      <c r="X1560" s="51" t="n">
        <v>0</v>
      </c>
      <c r="Y1560" s="52" t="n">
        <v>0</v>
      </c>
      <c r="Z1560" s="52" t="n">
        <v>0</v>
      </c>
      <c r="AA1560" s="52" t="n">
        <v>0</v>
      </c>
      <c r="AB1560" s="53" t="n">
        <v>0</v>
      </c>
      <c r="AC1560" s="52" t="n">
        <v>0</v>
      </c>
      <c r="AD1560" s="53" t="n">
        <v>0</v>
      </c>
      <c r="AE1560" s="52" t="n">
        <v>0</v>
      </c>
      <c r="AF1560" s="51" t="n">
        <v>0</v>
      </c>
      <c r="AG1560" s="48" t="n">
        <v>0</v>
      </c>
      <c r="AH1560" s="49" t="n">
        <v>0</v>
      </c>
      <c r="AI1560" s="49" t="n">
        <v>0</v>
      </c>
      <c r="AJ1560" s="50" t="n">
        <v>0</v>
      </c>
      <c r="AK1560" s="51" t="n">
        <v>0</v>
      </c>
      <c r="AL1560" s="52" t="n">
        <v>0</v>
      </c>
      <c r="AM1560" s="52" t="n">
        <v>0</v>
      </c>
      <c r="AN1560" s="52" t="n">
        <v>0</v>
      </c>
      <c r="AO1560" s="53" t="n">
        <v>0</v>
      </c>
      <c r="AP1560" s="52" t="n">
        <v>0</v>
      </c>
      <c r="AQ1560" s="53" t="n">
        <v>0</v>
      </c>
      <c r="AR1560" s="52" t="n">
        <v>0</v>
      </c>
      <c r="AS1560" s="51" t="n">
        <v>0</v>
      </c>
      <c r="AT1560" s="48" t="n">
        <v>0</v>
      </c>
      <c r="AU1560" s="49" t="n">
        <v>0</v>
      </c>
      <c r="AV1560" s="49" t="n">
        <v>0</v>
      </c>
      <c r="AW1560" s="50" t="n">
        <v>0</v>
      </c>
      <c r="AX1560" s="51" t="n">
        <v>0</v>
      </c>
      <c r="AY1560" s="52" t="n">
        <v>0</v>
      </c>
      <c r="AZ1560" s="52" t="n">
        <v>0</v>
      </c>
      <c r="BA1560" s="52" t="n">
        <v>0</v>
      </c>
      <c r="BB1560" s="53" t="n">
        <v>0</v>
      </c>
      <c r="BC1560" s="52" t="n">
        <v>0</v>
      </c>
      <c r="BD1560" s="53" t="n">
        <v>0</v>
      </c>
      <c r="BE1560" s="52" t="n">
        <v>0</v>
      </c>
      <c r="BF1560" s="51" t="n">
        <v>0</v>
      </c>
    </row>
    <row r="1561">
      <c r="A1561">
        <f>HYPERLINK("https://www.walmart.com/ip/14539058939", "14539058939")</f>
        <v/>
      </c>
      <c r="B1561" t="inlineStr">
        <is>
          <t>Aeropostale  Backpack for School, College, and Travel， Water Resistant Bookbag Hot Pink Cherry</t>
        </is>
      </c>
      <c r="C1561" t="inlineStr">
        <is>
          <t>1AEBPK92029HPCHERRY</t>
        </is>
      </c>
      <c r="D1561" t="inlineStr">
        <is>
          <t>Backpacks</t>
        </is>
      </c>
      <c r="E1561" t="inlineStr">
        <is>
          <t>Aeropostale</t>
        </is>
      </c>
      <c r="G1561" s="48" t="n">
        <v>0</v>
      </c>
      <c r="H1561" s="49" t="n">
        <v>0</v>
      </c>
      <c r="I1561" s="49" t="n">
        <v>0</v>
      </c>
      <c r="J1561" s="50" t="n">
        <v>0</v>
      </c>
      <c r="K1561" s="51" t="n">
        <v>0</v>
      </c>
      <c r="L1561" s="52" t="n">
        <v>0</v>
      </c>
      <c r="M1561" s="52" t="n">
        <v>0</v>
      </c>
      <c r="N1561" s="52" t="n">
        <v>0</v>
      </c>
      <c r="O1561" s="53" t="n">
        <v>0</v>
      </c>
      <c r="P1561" s="52" t="n">
        <v>0</v>
      </c>
      <c r="Q1561" s="53" t="n">
        <v>0</v>
      </c>
      <c r="R1561" s="52" t="n">
        <v>0</v>
      </c>
      <c r="S1561" s="51" t="n">
        <v>0</v>
      </c>
      <c r="T1561" s="48" t="n">
        <v>0</v>
      </c>
      <c r="U1561" s="49" t="n">
        <v>0</v>
      </c>
      <c r="V1561" s="49" t="n">
        <v>0</v>
      </c>
      <c r="W1561" s="50" t="n">
        <v>0</v>
      </c>
      <c r="X1561" s="51" t="n">
        <v>0</v>
      </c>
      <c r="Y1561" s="52" t="n">
        <v>0</v>
      </c>
      <c r="Z1561" s="52" t="n">
        <v>0</v>
      </c>
      <c r="AA1561" s="52" t="n">
        <v>0</v>
      </c>
      <c r="AB1561" s="53" t="n">
        <v>0</v>
      </c>
      <c r="AC1561" s="52" t="n">
        <v>0</v>
      </c>
      <c r="AD1561" s="53" t="n">
        <v>0</v>
      </c>
      <c r="AE1561" s="52" t="n">
        <v>0</v>
      </c>
      <c r="AF1561" s="51" t="n">
        <v>0</v>
      </c>
      <c r="AG1561" s="48" t="n">
        <v>0</v>
      </c>
      <c r="AH1561" s="49" t="n">
        <v>0</v>
      </c>
      <c r="AI1561" s="49" t="n">
        <v>0</v>
      </c>
      <c r="AJ1561" s="50" t="n">
        <v>0</v>
      </c>
      <c r="AK1561" s="51" t="n">
        <v>0</v>
      </c>
      <c r="AL1561" s="52" t="n">
        <v>0</v>
      </c>
      <c r="AM1561" s="52" t="n">
        <v>0</v>
      </c>
      <c r="AN1561" s="52" t="n">
        <v>0</v>
      </c>
      <c r="AO1561" s="53" t="n">
        <v>0</v>
      </c>
      <c r="AP1561" s="52" t="n">
        <v>0</v>
      </c>
      <c r="AQ1561" s="53" t="n">
        <v>0</v>
      </c>
      <c r="AR1561" s="52" t="n">
        <v>0</v>
      </c>
      <c r="AS1561" s="51" t="n">
        <v>0</v>
      </c>
      <c r="AT1561" s="48" t="n">
        <v>0</v>
      </c>
      <c r="AU1561" s="49" t="n">
        <v>0</v>
      </c>
      <c r="AV1561" s="49" t="n">
        <v>0</v>
      </c>
      <c r="AW1561" s="50" t="n">
        <v>0</v>
      </c>
      <c r="AX1561" s="51" t="n">
        <v>0</v>
      </c>
      <c r="AY1561" s="52" t="n">
        <v>0</v>
      </c>
      <c r="AZ1561" s="52" t="n">
        <v>0</v>
      </c>
      <c r="BA1561" s="52" t="n">
        <v>0</v>
      </c>
      <c r="BB1561" s="53" t="n">
        <v>0</v>
      </c>
      <c r="BC1561" s="52" t="n">
        <v>0</v>
      </c>
      <c r="BD1561" s="53" t="n">
        <v>0</v>
      </c>
      <c r="BE1561" s="52" t="n">
        <v>0</v>
      </c>
      <c r="BF1561" s="51" t="n">
        <v>0</v>
      </c>
    </row>
    <row r="1562">
      <c r="A1562">
        <f>HYPERLINK("https://www.walmart.com/ip/14541560073", "14541560073")</f>
        <v/>
      </c>
      <c r="B1562" t="inlineStr">
        <is>
          <t>PEANUTS Snoopy Cotton Family Matching Pajamas Holiday 2-Piece Sets for Christmas with Woodstock Charlie Brown Linus for Baby (Green Polka Dot, 6M)</t>
        </is>
      </c>
      <c r="C1562" t="inlineStr">
        <is>
          <t>PEA-PJS-FAMILY-INFANT-GREEN-6M</t>
        </is>
      </c>
      <c r="D1562" t="inlineStr">
        <is>
          <t>Pajamas</t>
        </is>
      </c>
      <c r="E1562" t="inlineStr">
        <is>
          <t>Peanuts</t>
        </is>
      </c>
      <c r="G1562" s="48" t="n">
        <v>0</v>
      </c>
      <c r="H1562" s="49" t="n">
        <v>0</v>
      </c>
      <c r="I1562" s="49" t="n">
        <v>0</v>
      </c>
      <c r="J1562" s="50" t="n">
        <v>0</v>
      </c>
      <c r="K1562" s="51" t="n">
        <v>0</v>
      </c>
      <c r="L1562" s="52" t="n">
        <v>0</v>
      </c>
      <c r="M1562" s="52" t="n">
        <v>0</v>
      </c>
      <c r="N1562" s="52" t="n">
        <v>0</v>
      </c>
      <c r="O1562" s="53" t="n">
        <v>0</v>
      </c>
      <c r="P1562" s="52" t="n">
        <v>0</v>
      </c>
      <c r="Q1562" s="53" t="n">
        <v>0</v>
      </c>
      <c r="R1562" s="52" t="n">
        <v>0</v>
      </c>
      <c r="S1562" s="51" t="n">
        <v>0</v>
      </c>
      <c r="T1562" s="48" t="n">
        <v>0</v>
      </c>
      <c r="U1562" s="49" t="n">
        <v>0</v>
      </c>
      <c r="V1562" s="49" t="n">
        <v>0</v>
      </c>
      <c r="W1562" s="50" t="n">
        <v>0</v>
      </c>
      <c r="X1562" s="51" t="n">
        <v>0</v>
      </c>
      <c r="Y1562" s="52" t="n">
        <v>0</v>
      </c>
      <c r="Z1562" s="52" t="n">
        <v>0</v>
      </c>
      <c r="AA1562" s="52" t="n">
        <v>0</v>
      </c>
      <c r="AB1562" s="53" t="n">
        <v>0</v>
      </c>
      <c r="AC1562" s="52" t="n">
        <v>0</v>
      </c>
      <c r="AD1562" s="53" t="n">
        <v>0</v>
      </c>
      <c r="AE1562" s="52" t="n">
        <v>0</v>
      </c>
      <c r="AF1562" s="51" t="n">
        <v>0</v>
      </c>
      <c r="AG1562" s="48" t="n">
        <v>0</v>
      </c>
      <c r="AH1562" s="49" t="n">
        <v>0</v>
      </c>
      <c r="AI1562" s="49" t="n">
        <v>0</v>
      </c>
      <c r="AJ1562" s="50" t="n">
        <v>0</v>
      </c>
      <c r="AK1562" s="51" t="n">
        <v>0</v>
      </c>
      <c r="AL1562" s="52" t="n">
        <v>0</v>
      </c>
      <c r="AM1562" s="52" t="n">
        <v>0</v>
      </c>
      <c r="AN1562" s="52" t="n">
        <v>0</v>
      </c>
      <c r="AO1562" s="53" t="n">
        <v>0</v>
      </c>
      <c r="AP1562" s="52" t="n">
        <v>0</v>
      </c>
      <c r="AQ1562" s="53" t="n">
        <v>0</v>
      </c>
      <c r="AR1562" s="52" t="n">
        <v>0</v>
      </c>
      <c r="AS1562" s="51" t="n">
        <v>0</v>
      </c>
      <c r="AT1562" s="48" t="n">
        <v>0</v>
      </c>
      <c r="AU1562" s="49" t="n">
        <v>0</v>
      </c>
      <c r="AV1562" s="49" t="n">
        <v>0</v>
      </c>
      <c r="AW1562" s="50" t="n">
        <v>0</v>
      </c>
      <c r="AX1562" s="51" t="n">
        <v>0</v>
      </c>
      <c r="AY1562" s="52" t="n">
        <v>0</v>
      </c>
      <c r="AZ1562" s="52" t="n">
        <v>0</v>
      </c>
      <c r="BA1562" s="52" t="n">
        <v>0</v>
      </c>
      <c r="BB1562" s="53" t="n">
        <v>0</v>
      </c>
      <c r="BC1562" s="52" t="n">
        <v>0</v>
      </c>
      <c r="BD1562" s="53" t="n">
        <v>0</v>
      </c>
      <c r="BE1562" s="52" t="n">
        <v>0</v>
      </c>
      <c r="BF1562" s="51" t="n">
        <v>0</v>
      </c>
    </row>
    <row r="1563">
      <c r="A1563">
        <f>HYPERLINK("https://www.walmart.com/ip/14541560711", "14541560711")</f>
        <v/>
      </c>
      <c r="B1563" t="inlineStr">
        <is>
          <t>PEANUTS Snoopy 100% Cotton Family Matching Pajamas Holiday 2-Piece Sets for Christmas with Woodstock Charlie Brown Linus for Baby (Black Plaid, 18M)</t>
        </is>
      </c>
      <c r="C1563" t="inlineStr">
        <is>
          <t>PEA-PJS-FAMILY-INFANT-BLACKPLAID-18M</t>
        </is>
      </c>
      <c r="D1563" t="inlineStr">
        <is>
          <t>Pajamas</t>
        </is>
      </c>
      <c r="E1563" t="inlineStr">
        <is>
          <t>Peanuts</t>
        </is>
      </c>
      <c r="G1563" s="48" t="n">
        <v>0</v>
      </c>
      <c r="H1563" s="49" t="n">
        <v>0</v>
      </c>
      <c r="I1563" s="49" t="n">
        <v>0</v>
      </c>
      <c r="J1563" s="50" t="n">
        <v>0</v>
      </c>
      <c r="K1563" s="51" t="n">
        <v>0</v>
      </c>
      <c r="L1563" s="52" t="n">
        <v>0</v>
      </c>
      <c r="M1563" s="52" t="n">
        <v>0</v>
      </c>
      <c r="N1563" s="52" t="n">
        <v>0</v>
      </c>
      <c r="O1563" s="53" t="n">
        <v>0</v>
      </c>
      <c r="P1563" s="52" t="n">
        <v>0</v>
      </c>
      <c r="Q1563" s="53" t="n">
        <v>0</v>
      </c>
      <c r="R1563" s="52" t="n">
        <v>0</v>
      </c>
      <c r="S1563" s="51" t="n">
        <v>0</v>
      </c>
      <c r="T1563" s="48" t="n">
        <v>0</v>
      </c>
      <c r="U1563" s="49" t="n">
        <v>0</v>
      </c>
      <c r="V1563" s="49" t="n">
        <v>0</v>
      </c>
      <c r="W1563" s="50" t="n">
        <v>0</v>
      </c>
      <c r="X1563" s="51" t="n">
        <v>0</v>
      </c>
      <c r="Y1563" s="52" t="n">
        <v>0</v>
      </c>
      <c r="Z1563" s="52" t="n">
        <v>0</v>
      </c>
      <c r="AA1563" s="52" t="n">
        <v>0</v>
      </c>
      <c r="AB1563" s="53" t="n">
        <v>0</v>
      </c>
      <c r="AC1563" s="52" t="n">
        <v>0</v>
      </c>
      <c r="AD1563" s="53" t="n">
        <v>0</v>
      </c>
      <c r="AE1563" s="52" t="n">
        <v>0</v>
      </c>
      <c r="AF1563" s="51" t="n">
        <v>0</v>
      </c>
      <c r="AG1563" s="48" t="n">
        <v>0</v>
      </c>
      <c r="AH1563" s="49" t="n">
        <v>0</v>
      </c>
      <c r="AI1563" s="49" t="n">
        <v>0</v>
      </c>
      <c r="AJ1563" s="50" t="n">
        <v>0</v>
      </c>
      <c r="AK1563" s="51" t="n">
        <v>0</v>
      </c>
      <c r="AL1563" s="52" t="n">
        <v>0</v>
      </c>
      <c r="AM1563" s="52" t="n">
        <v>0</v>
      </c>
      <c r="AN1563" s="52" t="n">
        <v>0</v>
      </c>
      <c r="AO1563" s="53" t="n">
        <v>0</v>
      </c>
      <c r="AP1563" s="52" t="n">
        <v>0</v>
      </c>
      <c r="AQ1563" s="53" t="n">
        <v>0</v>
      </c>
      <c r="AR1563" s="52" t="n">
        <v>0</v>
      </c>
      <c r="AS1563" s="51" t="n">
        <v>0</v>
      </c>
      <c r="AT1563" s="48" t="n">
        <v>0</v>
      </c>
      <c r="AU1563" s="49" t="n">
        <v>0</v>
      </c>
      <c r="AV1563" s="49" t="n">
        <v>0</v>
      </c>
      <c r="AW1563" s="50" t="n">
        <v>0</v>
      </c>
      <c r="AX1563" s="51" t="n">
        <v>0</v>
      </c>
      <c r="AY1563" s="52" t="n">
        <v>0</v>
      </c>
      <c r="AZ1563" s="52" t="n">
        <v>0</v>
      </c>
      <c r="BA1563" s="52" t="n">
        <v>0</v>
      </c>
      <c r="BB1563" s="53" t="n">
        <v>0</v>
      </c>
      <c r="BC1563" s="52" t="n">
        <v>0</v>
      </c>
      <c r="BD1563" s="53" t="n">
        <v>0</v>
      </c>
      <c r="BE1563" s="52" t="n">
        <v>0</v>
      </c>
      <c r="BF1563" s="51" t="n">
        <v>0</v>
      </c>
    </row>
    <row r="1564">
      <c r="A1564">
        <f>HYPERLINK("https://www.walmart.com/ip/14542705719", "14542705719")</f>
        <v/>
      </c>
      <c r="B1564" t="inlineStr">
        <is>
          <t>PEANUTS Mens' Cotton Snoopy Family Matching Pajamas 2-Piece Sets for Christmas with Woodstock Charlie Brown Linus, Gift for him (Red Plaid, XL)</t>
        </is>
      </c>
      <c r="C1564" t="inlineStr">
        <is>
          <t>PEA-PJS-FAMILY-MEN-REDPLAID-XL</t>
        </is>
      </c>
      <c r="D1564" t="inlineStr">
        <is>
          <t>Pajamas</t>
        </is>
      </c>
      <c r="E1564" t="inlineStr">
        <is>
          <t>Peanuts</t>
        </is>
      </c>
      <c r="G1564" s="48" t="n">
        <v>0</v>
      </c>
      <c r="H1564" s="49" t="n">
        <v>0</v>
      </c>
      <c r="I1564" s="49" t="n">
        <v>0</v>
      </c>
      <c r="J1564" s="50" t="n">
        <v>0</v>
      </c>
      <c r="K1564" s="51" t="n">
        <v>0</v>
      </c>
      <c r="L1564" s="52" t="n">
        <v>0</v>
      </c>
      <c r="M1564" s="52" t="n">
        <v>0</v>
      </c>
      <c r="N1564" s="52" t="n">
        <v>0</v>
      </c>
      <c r="O1564" s="53" t="n">
        <v>0</v>
      </c>
      <c r="P1564" s="52" t="n">
        <v>0</v>
      </c>
      <c r="Q1564" s="53" t="n">
        <v>0</v>
      </c>
      <c r="R1564" s="52" t="n">
        <v>0</v>
      </c>
      <c r="S1564" s="51" t="n">
        <v>0</v>
      </c>
      <c r="T1564" s="48" t="n">
        <v>0</v>
      </c>
      <c r="U1564" s="49" t="n">
        <v>0</v>
      </c>
      <c r="V1564" s="49" t="n">
        <v>0</v>
      </c>
      <c r="W1564" s="50" t="n">
        <v>0</v>
      </c>
      <c r="X1564" s="51" t="n">
        <v>0</v>
      </c>
      <c r="Y1564" s="52" t="n">
        <v>0</v>
      </c>
      <c r="Z1564" s="52" t="n">
        <v>0</v>
      </c>
      <c r="AA1564" s="52" t="n">
        <v>0</v>
      </c>
      <c r="AB1564" s="53" t="n">
        <v>0</v>
      </c>
      <c r="AC1564" s="52" t="n">
        <v>0</v>
      </c>
      <c r="AD1564" s="53" t="n">
        <v>0</v>
      </c>
      <c r="AE1564" s="52" t="n">
        <v>0</v>
      </c>
      <c r="AF1564" s="51" t="n">
        <v>0</v>
      </c>
      <c r="AG1564" s="48" t="n">
        <v>0</v>
      </c>
      <c r="AH1564" s="49" t="n">
        <v>0</v>
      </c>
      <c r="AI1564" s="49" t="n">
        <v>0</v>
      </c>
      <c r="AJ1564" s="50" t="n">
        <v>0</v>
      </c>
      <c r="AK1564" s="51" t="n">
        <v>0</v>
      </c>
      <c r="AL1564" s="52" t="n">
        <v>0</v>
      </c>
      <c r="AM1564" s="52" t="n">
        <v>0</v>
      </c>
      <c r="AN1564" s="52" t="n">
        <v>0</v>
      </c>
      <c r="AO1564" s="53" t="n">
        <v>0</v>
      </c>
      <c r="AP1564" s="52" t="n">
        <v>0</v>
      </c>
      <c r="AQ1564" s="53" t="n">
        <v>0</v>
      </c>
      <c r="AR1564" s="52" t="n">
        <v>0</v>
      </c>
      <c r="AS1564" s="51" t="n">
        <v>0</v>
      </c>
      <c r="AT1564" s="48" t="n">
        <v>0</v>
      </c>
      <c r="AU1564" s="49" t="n">
        <v>0</v>
      </c>
      <c r="AV1564" s="49" t="n">
        <v>0</v>
      </c>
      <c r="AW1564" s="50" t="n">
        <v>0</v>
      </c>
      <c r="AX1564" s="51" t="n">
        <v>0</v>
      </c>
      <c r="AY1564" s="52" t="n">
        <v>0</v>
      </c>
      <c r="AZ1564" s="52" t="n">
        <v>0</v>
      </c>
      <c r="BA1564" s="52" t="n">
        <v>0</v>
      </c>
      <c r="BB1564" s="53" t="n">
        <v>0</v>
      </c>
      <c r="BC1564" s="52" t="n">
        <v>0</v>
      </c>
      <c r="BD1564" s="53" t="n">
        <v>0</v>
      </c>
      <c r="BE1564" s="52" t="n">
        <v>0</v>
      </c>
      <c r="BF1564" s="51" t="n">
        <v>0</v>
      </c>
    </row>
    <row r="1565">
      <c r="A1565">
        <f>HYPERLINK("https://www.walmart.com/ip/14542705721", "14542705721")</f>
        <v/>
      </c>
      <c r="B1565" t="inlineStr">
        <is>
          <t>PEANUTS Toddler Boys Girls Snoopy Family Matching Pajamas Sleepwear 2-Piece Sets for Christmas with Woodstock Charlie Brown Linus (Red Plaid, 4T)</t>
        </is>
      </c>
      <c r="C1565" t="inlineStr">
        <is>
          <t>PEA-PJS-FAMILY-TODDLER-REDPLAID-4T</t>
        </is>
      </c>
      <c r="D1565" t="inlineStr">
        <is>
          <t>Pajamas</t>
        </is>
      </c>
      <c r="E1565" t="inlineStr">
        <is>
          <t>Peanuts</t>
        </is>
      </c>
      <c r="G1565" s="48" t="n">
        <v>0</v>
      </c>
      <c r="H1565" s="49" t="n">
        <v>0</v>
      </c>
      <c r="I1565" s="49" t="n">
        <v>0</v>
      </c>
      <c r="J1565" s="50" t="n">
        <v>0</v>
      </c>
      <c r="K1565" s="51" t="n">
        <v>0</v>
      </c>
      <c r="L1565" s="52" t="n">
        <v>0</v>
      </c>
      <c r="M1565" s="52" t="n">
        <v>0</v>
      </c>
      <c r="N1565" s="52" t="n">
        <v>0</v>
      </c>
      <c r="O1565" s="53" t="n">
        <v>0</v>
      </c>
      <c r="P1565" s="52" t="n">
        <v>0</v>
      </c>
      <c r="Q1565" s="53" t="n">
        <v>0</v>
      </c>
      <c r="R1565" s="52" t="n">
        <v>0</v>
      </c>
      <c r="S1565" s="51" t="n">
        <v>0</v>
      </c>
      <c r="T1565" s="48" t="n">
        <v>0</v>
      </c>
      <c r="U1565" s="49" t="n">
        <v>0</v>
      </c>
      <c r="V1565" s="49" t="n">
        <v>0</v>
      </c>
      <c r="W1565" s="50" t="n">
        <v>0</v>
      </c>
      <c r="X1565" s="51" t="n">
        <v>0</v>
      </c>
      <c r="Y1565" s="52" t="n">
        <v>0</v>
      </c>
      <c r="Z1565" s="52" t="n">
        <v>0</v>
      </c>
      <c r="AA1565" s="52" t="n">
        <v>0</v>
      </c>
      <c r="AB1565" s="53" t="n">
        <v>0</v>
      </c>
      <c r="AC1565" s="52" t="n">
        <v>0</v>
      </c>
      <c r="AD1565" s="53" t="n">
        <v>0</v>
      </c>
      <c r="AE1565" s="52" t="n">
        <v>0</v>
      </c>
      <c r="AF1565" s="51" t="n">
        <v>0</v>
      </c>
      <c r="AG1565" s="48" t="n">
        <v>0</v>
      </c>
      <c r="AH1565" s="49" t="n">
        <v>0</v>
      </c>
      <c r="AI1565" s="49" t="n">
        <v>0</v>
      </c>
      <c r="AJ1565" s="50" t="n">
        <v>0</v>
      </c>
      <c r="AK1565" s="51" t="n">
        <v>0</v>
      </c>
      <c r="AL1565" s="52" t="n">
        <v>0</v>
      </c>
      <c r="AM1565" s="52" t="n">
        <v>0</v>
      </c>
      <c r="AN1565" s="52" t="n">
        <v>0</v>
      </c>
      <c r="AO1565" s="53" t="n">
        <v>0</v>
      </c>
      <c r="AP1565" s="52" t="n">
        <v>0</v>
      </c>
      <c r="AQ1565" s="53" t="n">
        <v>0</v>
      </c>
      <c r="AR1565" s="52" t="n">
        <v>0</v>
      </c>
      <c r="AS1565" s="51" t="n">
        <v>0</v>
      </c>
      <c r="AT1565" s="48" t="n">
        <v>0</v>
      </c>
      <c r="AU1565" s="49" t="n">
        <v>0</v>
      </c>
      <c r="AV1565" s="49" t="n">
        <v>0</v>
      </c>
      <c r="AW1565" s="50" t="n">
        <v>0</v>
      </c>
      <c r="AX1565" s="51" t="n">
        <v>0</v>
      </c>
      <c r="AY1565" s="52" t="n">
        <v>0</v>
      </c>
      <c r="AZ1565" s="52" t="n">
        <v>0</v>
      </c>
      <c r="BA1565" s="52" t="n">
        <v>0</v>
      </c>
      <c r="BB1565" s="53" t="n">
        <v>0</v>
      </c>
      <c r="BC1565" s="52" t="n">
        <v>0</v>
      </c>
      <c r="BD1565" s="53" t="n">
        <v>0</v>
      </c>
      <c r="BE1565" s="52" t="n">
        <v>0</v>
      </c>
      <c r="BF1565" s="51" t="n">
        <v>0</v>
      </c>
    </row>
    <row r="1566">
      <c r="A1566">
        <f>HYPERLINK("https://www.walmart.com/ip/14542755471", "14542755471")</f>
        <v/>
      </c>
      <c r="B1566" t="inlineStr">
        <is>
          <t>PEANUTS Womens 100% Cotton Family Matching Pajamas Holiday Festive Nightwear Sleepwear 2-Piece Sets for Christmas Gifts (Red Polka Dot, XS)</t>
        </is>
      </c>
      <c r="C1566" t="inlineStr">
        <is>
          <t>PEA-PJS-FAMILY-WOMEN-RED-XS</t>
        </is>
      </c>
      <c r="D1566" t="inlineStr">
        <is>
          <t>Pajamas</t>
        </is>
      </c>
      <c r="E1566" t="inlineStr">
        <is>
          <t>Peanuts</t>
        </is>
      </c>
      <c r="G1566" s="48" t="n">
        <v>0</v>
      </c>
      <c r="H1566" s="49" t="n">
        <v>0</v>
      </c>
      <c r="I1566" s="49" t="n">
        <v>0</v>
      </c>
      <c r="J1566" s="50" t="n">
        <v>0</v>
      </c>
      <c r="K1566" s="51" t="n">
        <v>0</v>
      </c>
      <c r="L1566" s="52" t="n">
        <v>0</v>
      </c>
      <c r="M1566" s="52" t="n">
        <v>0</v>
      </c>
      <c r="N1566" s="52" t="n">
        <v>0</v>
      </c>
      <c r="O1566" s="53" t="n">
        <v>0</v>
      </c>
      <c r="P1566" s="52" t="n">
        <v>0</v>
      </c>
      <c r="Q1566" s="53" t="n">
        <v>0</v>
      </c>
      <c r="R1566" s="52" t="n">
        <v>0</v>
      </c>
      <c r="S1566" s="51" t="n">
        <v>0</v>
      </c>
      <c r="T1566" s="48" t="n">
        <v>0</v>
      </c>
      <c r="U1566" s="49" t="n">
        <v>0</v>
      </c>
      <c r="V1566" s="49" t="n">
        <v>0</v>
      </c>
      <c r="W1566" s="50" t="n">
        <v>0</v>
      </c>
      <c r="X1566" s="51" t="n">
        <v>0</v>
      </c>
      <c r="Y1566" s="52" t="n">
        <v>0</v>
      </c>
      <c r="Z1566" s="52" t="n">
        <v>0</v>
      </c>
      <c r="AA1566" s="52" t="n">
        <v>0</v>
      </c>
      <c r="AB1566" s="53" t="n">
        <v>0</v>
      </c>
      <c r="AC1566" s="52" t="n">
        <v>0</v>
      </c>
      <c r="AD1566" s="53" t="n">
        <v>0</v>
      </c>
      <c r="AE1566" s="52" t="n">
        <v>0</v>
      </c>
      <c r="AF1566" s="51" t="n">
        <v>0</v>
      </c>
      <c r="AG1566" s="48" t="n">
        <v>0</v>
      </c>
      <c r="AH1566" s="49" t="n">
        <v>0</v>
      </c>
      <c r="AI1566" s="49" t="n">
        <v>0</v>
      </c>
      <c r="AJ1566" s="50" t="n">
        <v>0</v>
      </c>
      <c r="AK1566" s="51" t="n">
        <v>0</v>
      </c>
      <c r="AL1566" s="52" t="n">
        <v>0</v>
      </c>
      <c r="AM1566" s="52" t="n">
        <v>0</v>
      </c>
      <c r="AN1566" s="52" t="n">
        <v>0</v>
      </c>
      <c r="AO1566" s="53" t="n">
        <v>0</v>
      </c>
      <c r="AP1566" s="52" t="n">
        <v>0</v>
      </c>
      <c r="AQ1566" s="53" t="n">
        <v>0</v>
      </c>
      <c r="AR1566" s="52" t="n">
        <v>0</v>
      </c>
      <c r="AS1566" s="51" t="n">
        <v>0</v>
      </c>
      <c r="AT1566" s="48" t="n">
        <v>0</v>
      </c>
      <c r="AU1566" s="49" t="n">
        <v>0</v>
      </c>
      <c r="AV1566" s="49" t="n">
        <v>0</v>
      </c>
      <c r="AW1566" s="50" t="n">
        <v>0</v>
      </c>
      <c r="AX1566" s="51" t="n">
        <v>0</v>
      </c>
      <c r="AY1566" s="52" t="n">
        <v>0</v>
      </c>
      <c r="AZ1566" s="52" t="n">
        <v>0</v>
      </c>
      <c r="BA1566" s="52" t="n">
        <v>0</v>
      </c>
      <c r="BB1566" s="53" t="n">
        <v>0</v>
      </c>
      <c r="BC1566" s="52" t="n">
        <v>0</v>
      </c>
      <c r="BD1566" s="53" t="n">
        <v>0</v>
      </c>
      <c r="BE1566" s="52" t="n">
        <v>0</v>
      </c>
      <c r="BF1566" s="51" t="n">
        <v>0</v>
      </c>
    </row>
    <row r="1567">
      <c r="A1567">
        <f>HYPERLINK("https://www.walmart.com/ip/14542755473", "14542755473")</f>
        <v/>
      </c>
      <c r="B1567" t="inlineStr">
        <is>
          <t>PEANUTS Mens' Cotton Snoopy Family Matching Pajamas 2-Piece Sets for Christmas with Woodstock Charlie Brown Linus, Gift for him (Red Plaid, M)</t>
        </is>
      </c>
      <c r="C1567" t="inlineStr">
        <is>
          <t>PEA-PJS-FAMILY-MEN-REDPLAID-M</t>
        </is>
      </c>
      <c r="D1567" t="inlineStr">
        <is>
          <t>Pajamas</t>
        </is>
      </c>
      <c r="E1567" t="inlineStr">
        <is>
          <t>Peanuts</t>
        </is>
      </c>
      <c r="G1567" s="48" t="n">
        <v>0</v>
      </c>
      <c r="H1567" s="49" t="n">
        <v>0</v>
      </c>
      <c r="I1567" s="49" t="n">
        <v>0</v>
      </c>
      <c r="J1567" s="50" t="n">
        <v>0</v>
      </c>
      <c r="K1567" s="51" t="n">
        <v>0</v>
      </c>
      <c r="L1567" s="52" t="n">
        <v>0</v>
      </c>
      <c r="M1567" s="52" t="n">
        <v>0</v>
      </c>
      <c r="N1567" s="52" t="n">
        <v>0</v>
      </c>
      <c r="O1567" s="53" t="n">
        <v>0</v>
      </c>
      <c r="P1567" s="52" t="n">
        <v>0</v>
      </c>
      <c r="Q1567" s="53" t="n">
        <v>0</v>
      </c>
      <c r="R1567" s="52" t="n">
        <v>0</v>
      </c>
      <c r="S1567" s="51" t="n">
        <v>0</v>
      </c>
      <c r="T1567" s="48" t="n">
        <v>0</v>
      </c>
      <c r="U1567" s="49" t="n">
        <v>0</v>
      </c>
      <c r="V1567" s="49" t="n">
        <v>0</v>
      </c>
      <c r="W1567" s="50" t="n">
        <v>0</v>
      </c>
      <c r="X1567" s="51" t="n">
        <v>0</v>
      </c>
      <c r="Y1567" s="52" t="n">
        <v>0</v>
      </c>
      <c r="Z1567" s="52" t="n">
        <v>0</v>
      </c>
      <c r="AA1567" s="52" t="n">
        <v>0</v>
      </c>
      <c r="AB1567" s="53" t="n">
        <v>0</v>
      </c>
      <c r="AC1567" s="52" t="n">
        <v>0</v>
      </c>
      <c r="AD1567" s="53" t="n">
        <v>0</v>
      </c>
      <c r="AE1567" s="52" t="n">
        <v>0</v>
      </c>
      <c r="AF1567" s="51" t="n">
        <v>0</v>
      </c>
      <c r="AG1567" s="48" t="n">
        <v>0</v>
      </c>
      <c r="AH1567" s="49" t="n">
        <v>0</v>
      </c>
      <c r="AI1567" s="49" t="n">
        <v>0</v>
      </c>
      <c r="AJ1567" s="50" t="n">
        <v>0</v>
      </c>
      <c r="AK1567" s="51" t="n">
        <v>0</v>
      </c>
      <c r="AL1567" s="52" t="n">
        <v>0</v>
      </c>
      <c r="AM1567" s="52" t="n">
        <v>0</v>
      </c>
      <c r="AN1567" s="52" t="n">
        <v>0</v>
      </c>
      <c r="AO1567" s="53" t="n">
        <v>0</v>
      </c>
      <c r="AP1567" s="52" t="n">
        <v>0</v>
      </c>
      <c r="AQ1567" s="53" t="n">
        <v>0</v>
      </c>
      <c r="AR1567" s="52" t="n">
        <v>0</v>
      </c>
      <c r="AS1567" s="51" t="n">
        <v>0</v>
      </c>
      <c r="AT1567" s="48" t="n">
        <v>0</v>
      </c>
      <c r="AU1567" s="49" t="n">
        <v>0</v>
      </c>
      <c r="AV1567" s="49" t="n">
        <v>0</v>
      </c>
      <c r="AW1567" s="50" t="n">
        <v>0</v>
      </c>
      <c r="AX1567" s="51" t="n">
        <v>0</v>
      </c>
      <c r="AY1567" s="52" t="n">
        <v>0</v>
      </c>
      <c r="AZ1567" s="52" t="n">
        <v>0</v>
      </c>
      <c r="BA1567" s="52" t="n">
        <v>0</v>
      </c>
      <c r="BB1567" s="53" t="n">
        <v>0</v>
      </c>
      <c r="BC1567" s="52" t="n">
        <v>0</v>
      </c>
      <c r="BD1567" s="53" t="n">
        <v>0</v>
      </c>
      <c r="BE1567" s="52" t="n">
        <v>0</v>
      </c>
      <c r="BF1567" s="51" t="n">
        <v>0</v>
      </c>
    </row>
    <row r="1568">
      <c r="A1568">
        <f>HYPERLINK("https://www.walmart.com/ip/145434740", "145434740")</f>
        <v/>
      </c>
      <c r="B1568" t="inlineStr">
        <is>
          <t>Vina® Premium Bamboo Cutting Board – Medium 12”x 8” Kitchen Chopping board</t>
        </is>
      </c>
      <c r="C1568" t="inlineStr">
        <is>
          <t>VINABCB03</t>
        </is>
      </c>
      <c r="D1568" t="inlineStr">
        <is>
          <t>Cutting Boards &amp; Butcher Blocks</t>
        </is>
      </c>
      <c r="E1568" t="inlineStr">
        <is>
          <t>Vina</t>
        </is>
      </c>
      <c r="F1568" t="inlineStr">
        <is>
          <t>Batch 1 - TR</t>
        </is>
      </c>
      <c r="G1568" s="48" t="n">
        <v>0</v>
      </c>
      <c r="H1568" s="49" t="n">
        <v>0</v>
      </c>
      <c r="I1568" s="49" t="n">
        <v>0</v>
      </c>
      <c r="J1568" s="50" t="n">
        <v>0</v>
      </c>
      <c r="K1568" s="51" t="n">
        <v>0</v>
      </c>
      <c r="L1568" s="52" t="n">
        <v>0</v>
      </c>
      <c r="M1568" s="52" t="n">
        <v>0</v>
      </c>
      <c r="N1568" s="52" t="n">
        <v>0</v>
      </c>
      <c r="O1568" s="53" t="n">
        <v>0</v>
      </c>
      <c r="P1568" s="52" t="n">
        <v>0</v>
      </c>
      <c r="Q1568" s="53" t="n">
        <v>0</v>
      </c>
      <c r="R1568" s="52" t="n">
        <v>0</v>
      </c>
      <c r="S1568" s="51" t="n">
        <v>0</v>
      </c>
      <c r="T1568" s="48" t="n">
        <v>0</v>
      </c>
      <c r="U1568" s="49" t="n">
        <v>0</v>
      </c>
      <c r="V1568" s="49" t="n">
        <v>0</v>
      </c>
      <c r="W1568" s="50" t="n">
        <v>0</v>
      </c>
      <c r="X1568" s="51" t="n">
        <v>0</v>
      </c>
      <c r="Y1568" s="52" t="n">
        <v>0</v>
      </c>
      <c r="Z1568" s="52" t="n">
        <v>0</v>
      </c>
      <c r="AA1568" s="52" t="n">
        <v>0</v>
      </c>
      <c r="AB1568" s="53" t="n">
        <v>0</v>
      </c>
      <c r="AC1568" s="52" t="n">
        <v>0</v>
      </c>
      <c r="AD1568" s="53" t="n">
        <v>0</v>
      </c>
      <c r="AE1568" s="52" t="n">
        <v>0</v>
      </c>
      <c r="AF1568" s="51" t="n">
        <v>0</v>
      </c>
      <c r="AG1568" s="48" t="n">
        <v>0</v>
      </c>
      <c r="AH1568" s="49" t="n">
        <v>0</v>
      </c>
      <c r="AI1568" s="49" t="n">
        <v>0</v>
      </c>
      <c r="AJ1568" s="50" t="n">
        <v>0</v>
      </c>
      <c r="AK1568" s="51" t="n">
        <v>0</v>
      </c>
      <c r="AL1568" s="52" t="n">
        <v>0</v>
      </c>
      <c r="AM1568" s="52" t="n">
        <v>0</v>
      </c>
      <c r="AN1568" s="52" t="n">
        <v>0</v>
      </c>
      <c r="AO1568" s="53" t="n">
        <v>0</v>
      </c>
      <c r="AP1568" s="52" t="n">
        <v>0</v>
      </c>
      <c r="AQ1568" s="53" t="n">
        <v>0</v>
      </c>
      <c r="AR1568" s="52" t="n">
        <v>0</v>
      </c>
      <c r="AS1568" s="51" t="n">
        <v>0</v>
      </c>
      <c r="AT1568" s="48" t="n">
        <v>0</v>
      </c>
      <c r="AU1568" s="49" t="n">
        <v>0</v>
      </c>
      <c r="AV1568" s="49" t="n">
        <v>0</v>
      </c>
      <c r="AW1568" s="50" t="n">
        <v>0</v>
      </c>
      <c r="AX1568" s="51" t="n">
        <v>0</v>
      </c>
      <c r="AY1568" s="52" t="n">
        <v>0</v>
      </c>
      <c r="AZ1568" s="52" t="n">
        <v>0</v>
      </c>
      <c r="BA1568" s="52" t="n">
        <v>0</v>
      </c>
      <c r="BB1568" s="53" t="n">
        <v>0</v>
      </c>
      <c r="BC1568" s="52" t="n">
        <v>0</v>
      </c>
      <c r="BD1568" s="53" t="n">
        <v>0</v>
      </c>
      <c r="BE1568" s="52" t="n">
        <v>0</v>
      </c>
      <c r="BF1568" s="51" t="n">
        <v>0</v>
      </c>
    </row>
    <row r="1569">
      <c r="A1569">
        <f>HYPERLINK("https://www.walmart.com/ip/14543512940", "14543512940")</f>
        <v/>
      </c>
      <c r="B1569" t="inlineStr">
        <is>
          <t>Aeropostale  Backpack for School, College, and Travel， Water Resistant Bookbag Taupe Marble</t>
        </is>
      </c>
      <c r="C1569" t="inlineStr">
        <is>
          <t>1AEBPK92029TPMARBLE</t>
        </is>
      </c>
      <c r="D1569" t="inlineStr">
        <is>
          <t>Backpacks</t>
        </is>
      </c>
      <c r="E1569" t="inlineStr">
        <is>
          <t>Aeropostale</t>
        </is>
      </c>
      <c r="G1569" s="48" t="n">
        <v>0</v>
      </c>
      <c r="H1569" s="49" t="n">
        <v>0</v>
      </c>
      <c r="I1569" s="49" t="n">
        <v>0</v>
      </c>
      <c r="J1569" s="50" t="n">
        <v>0</v>
      </c>
      <c r="K1569" s="51" t="n">
        <v>0</v>
      </c>
      <c r="L1569" s="52" t="n">
        <v>0</v>
      </c>
      <c r="M1569" s="52" t="n">
        <v>0</v>
      </c>
      <c r="N1569" s="52" t="n">
        <v>0</v>
      </c>
      <c r="O1569" s="53" t="n">
        <v>0</v>
      </c>
      <c r="P1569" s="52" t="n">
        <v>0</v>
      </c>
      <c r="Q1569" s="53" t="n">
        <v>0</v>
      </c>
      <c r="R1569" s="52" t="n">
        <v>0</v>
      </c>
      <c r="S1569" s="51" t="n">
        <v>0</v>
      </c>
      <c r="T1569" s="48" t="n">
        <v>0</v>
      </c>
      <c r="U1569" s="49" t="n">
        <v>0</v>
      </c>
      <c r="V1569" s="49" t="n">
        <v>0</v>
      </c>
      <c r="W1569" s="50" t="n">
        <v>0</v>
      </c>
      <c r="X1569" s="51" t="n">
        <v>0</v>
      </c>
      <c r="Y1569" s="52" t="n">
        <v>0</v>
      </c>
      <c r="Z1569" s="52" t="n">
        <v>0</v>
      </c>
      <c r="AA1569" s="52" t="n">
        <v>0</v>
      </c>
      <c r="AB1569" s="53" t="n">
        <v>0</v>
      </c>
      <c r="AC1569" s="52" t="n">
        <v>0</v>
      </c>
      <c r="AD1569" s="53" t="n">
        <v>0</v>
      </c>
      <c r="AE1569" s="52" t="n">
        <v>0</v>
      </c>
      <c r="AF1569" s="51" t="n">
        <v>0</v>
      </c>
      <c r="AG1569" s="48" t="n">
        <v>0</v>
      </c>
      <c r="AH1569" s="49" t="n">
        <v>0</v>
      </c>
      <c r="AI1569" s="49" t="n">
        <v>0</v>
      </c>
      <c r="AJ1569" s="50" t="n">
        <v>0</v>
      </c>
      <c r="AK1569" s="51" t="n">
        <v>0</v>
      </c>
      <c r="AL1569" s="52" t="n">
        <v>0</v>
      </c>
      <c r="AM1569" s="52" t="n">
        <v>0</v>
      </c>
      <c r="AN1569" s="52" t="n">
        <v>0</v>
      </c>
      <c r="AO1569" s="53" t="n">
        <v>0</v>
      </c>
      <c r="AP1569" s="52" t="n">
        <v>0</v>
      </c>
      <c r="AQ1569" s="53" t="n">
        <v>0</v>
      </c>
      <c r="AR1569" s="52" t="n">
        <v>0</v>
      </c>
      <c r="AS1569" s="51" t="n">
        <v>0</v>
      </c>
      <c r="AT1569" s="48" t="n">
        <v>0</v>
      </c>
      <c r="AU1569" s="49" t="n">
        <v>0</v>
      </c>
      <c r="AV1569" s="49" t="n">
        <v>0</v>
      </c>
      <c r="AW1569" s="50" t="n">
        <v>0</v>
      </c>
      <c r="AX1569" s="51" t="n">
        <v>0</v>
      </c>
      <c r="AY1569" s="52" t="n">
        <v>0</v>
      </c>
      <c r="AZ1569" s="52" t="n">
        <v>0</v>
      </c>
      <c r="BA1569" s="52" t="n">
        <v>0</v>
      </c>
      <c r="BB1569" s="53" t="n">
        <v>0</v>
      </c>
      <c r="BC1569" s="52" t="n">
        <v>0</v>
      </c>
      <c r="BD1569" s="53" t="n">
        <v>0</v>
      </c>
      <c r="BE1569" s="52" t="n">
        <v>0</v>
      </c>
      <c r="BF1569" s="51" t="n">
        <v>0</v>
      </c>
    </row>
    <row r="1570">
      <c r="A1570">
        <f>HYPERLINK("https://www.walmart.com/ip/145817835", "145817835")</f>
        <v/>
      </c>
      <c r="B1570" t="inlineStr">
        <is>
          <t>JenniWears LED Light Up Sheer Lace Venetian Mask Floral Mardi Gras Masquerade Costume Purple</t>
        </is>
      </c>
      <c r="C1570" t="inlineStr">
        <is>
          <t>JWLEDMK02-PP</t>
        </is>
      </c>
      <c r="D1570" t="inlineStr">
        <is>
          <t>Costume Masks</t>
        </is>
      </c>
      <c r="E1570" t="inlineStr">
        <is>
          <t>JenniWears</t>
        </is>
      </c>
      <c r="F1570" t="inlineStr">
        <is>
          <t>Halloween</t>
        </is>
      </c>
      <c r="G1570" s="48" t="n">
        <v>0</v>
      </c>
      <c r="H1570" s="49" t="n">
        <v>0</v>
      </c>
      <c r="I1570" s="49" t="n">
        <v>0</v>
      </c>
      <c r="J1570" s="50" t="n">
        <v>0</v>
      </c>
      <c r="K1570" s="51" t="n">
        <v>0</v>
      </c>
      <c r="L1570" s="52" t="n">
        <v>0</v>
      </c>
      <c r="M1570" s="52" t="n">
        <v>0</v>
      </c>
      <c r="N1570" s="52" t="n">
        <v>0</v>
      </c>
      <c r="O1570" s="53" t="n">
        <v>0</v>
      </c>
      <c r="P1570" s="52" t="n">
        <v>0</v>
      </c>
      <c r="Q1570" s="53" t="n">
        <v>0</v>
      </c>
      <c r="R1570" s="52" t="n">
        <v>0</v>
      </c>
      <c r="S1570" s="51" t="n">
        <v>0</v>
      </c>
      <c r="T1570" s="48" t="n">
        <v>0</v>
      </c>
      <c r="U1570" s="49" t="n">
        <v>0</v>
      </c>
      <c r="V1570" s="49" t="n">
        <v>0</v>
      </c>
      <c r="W1570" s="50" t="n">
        <v>0</v>
      </c>
      <c r="X1570" s="51" t="n">
        <v>0</v>
      </c>
      <c r="Y1570" s="52" t="n">
        <v>0</v>
      </c>
      <c r="Z1570" s="52" t="n">
        <v>0</v>
      </c>
      <c r="AA1570" s="52" t="n">
        <v>0</v>
      </c>
      <c r="AB1570" s="53" t="n">
        <v>0</v>
      </c>
      <c r="AC1570" s="52" t="n">
        <v>0</v>
      </c>
      <c r="AD1570" s="53" t="n">
        <v>0</v>
      </c>
      <c r="AE1570" s="52" t="n">
        <v>0</v>
      </c>
      <c r="AF1570" s="51" t="n">
        <v>0</v>
      </c>
      <c r="AG1570" s="48" t="n">
        <v>0</v>
      </c>
      <c r="AH1570" s="49" t="n">
        <v>0</v>
      </c>
      <c r="AI1570" s="49" t="n">
        <v>0</v>
      </c>
      <c r="AJ1570" s="50" t="n">
        <v>0</v>
      </c>
      <c r="AK1570" s="51" t="n">
        <v>0</v>
      </c>
      <c r="AL1570" s="52" t="n">
        <v>0</v>
      </c>
      <c r="AM1570" s="52" t="n">
        <v>0</v>
      </c>
      <c r="AN1570" s="52" t="n">
        <v>0</v>
      </c>
      <c r="AO1570" s="53" t="n">
        <v>0</v>
      </c>
      <c r="AP1570" s="52" t="n">
        <v>0</v>
      </c>
      <c r="AQ1570" s="53" t="n">
        <v>0</v>
      </c>
      <c r="AR1570" s="52" t="n">
        <v>0</v>
      </c>
      <c r="AS1570" s="51" t="n">
        <v>0</v>
      </c>
      <c r="AT1570" s="48" t="n">
        <v>0</v>
      </c>
      <c r="AU1570" s="49" t="n">
        <v>0</v>
      </c>
      <c r="AV1570" s="49" t="n">
        <v>0</v>
      </c>
      <c r="AW1570" s="50" t="n">
        <v>0</v>
      </c>
      <c r="AX1570" s="51" t="n">
        <v>0</v>
      </c>
      <c r="AY1570" s="52" t="n">
        <v>0</v>
      </c>
      <c r="AZ1570" s="52" t="n">
        <v>0</v>
      </c>
      <c r="BA1570" s="52" t="n">
        <v>0</v>
      </c>
      <c r="BB1570" s="53" t="n">
        <v>0</v>
      </c>
      <c r="BC1570" s="52" t="n">
        <v>0</v>
      </c>
      <c r="BD1570" s="53" t="n">
        <v>0</v>
      </c>
      <c r="BE1570" s="52" t="n">
        <v>0</v>
      </c>
      <c r="BF1570" s="51" t="n">
        <v>0</v>
      </c>
    </row>
    <row r="1571">
      <c r="A1571">
        <f>HYPERLINK("https://www.walmart.com/ip/14597465043", "14597465043")</f>
        <v/>
      </c>
      <c r="B1571" t="inlineStr">
        <is>
          <t>Solaris Open Crotch Boyshort Panties Underwear Black Lace Lingerie Thong for Women with Ribbons Removable Garters XL</t>
        </is>
      </c>
      <c r="C1571" t="inlineStr">
        <is>
          <t>CCPT100BK-XL-FS</t>
        </is>
      </c>
      <c r="D1571" t="inlineStr">
        <is>
          <t>Panties</t>
        </is>
      </c>
      <c r="E1571" t="inlineStr">
        <is>
          <t>Solaris</t>
        </is>
      </c>
      <c r="G1571" s="48" t="n">
        <v>0</v>
      </c>
      <c r="H1571" s="49" t="n">
        <v>0</v>
      </c>
      <c r="I1571" s="49" t="n">
        <v>0</v>
      </c>
      <c r="J1571" s="50" t="n">
        <v>0</v>
      </c>
      <c r="K1571" s="51" t="n">
        <v>0</v>
      </c>
      <c r="L1571" s="52" t="n">
        <v>0</v>
      </c>
      <c r="M1571" s="52" t="n">
        <v>0</v>
      </c>
      <c r="N1571" s="52" t="n">
        <v>0</v>
      </c>
      <c r="O1571" s="53" t="n">
        <v>0</v>
      </c>
      <c r="P1571" s="52" t="n">
        <v>0</v>
      </c>
      <c r="Q1571" s="53" t="n">
        <v>0</v>
      </c>
      <c r="R1571" s="52" t="n">
        <v>0</v>
      </c>
      <c r="S1571" s="51" t="n">
        <v>0</v>
      </c>
      <c r="T1571" s="48" t="n">
        <v>0</v>
      </c>
      <c r="U1571" s="49" t="n">
        <v>0</v>
      </c>
      <c r="V1571" s="49" t="n">
        <v>0</v>
      </c>
      <c r="W1571" s="50" t="n">
        <v>0</v>
      </c>
      <c r="X1571" s="51" t="n">
        <v>0</v>
      </c>
      <c r="Y1571" s="52" t="n">
        <v>0</v>
      </c>
      <c r="Z1571" s="52" t="n">
        <v>0</v>
      </c>
      <c r="AA1571" s="52" t="n">
        <v>0</v>
      </c>
      <c r="AB1571" s="53" t="n">
        <v>0</v>
      </c>
      <c r="AC1571" s="52" t="n">
        <v>0</v>
      </c>
      <c r="AD1571" s="53" t="n">
        <v>0</v>
      </c>
      <c r="AE1571" s="52" t="n">
        <v>0</v>
      </c>
      <c r="AF1571" s="51" t="n">
        <v>0</v>
      </c>
      <c r="AG1571" s="48" t="n">
        <v>0</v>
      </c>
      <c r="AH1571" s="49" t="n">
        <v>0</v>
      </c>
      <c r="AI1571" s="49" t="n">
        <v>0</v>
      </c>
      <c r="AJ1571" s="50" t="n">
        <v>0</v>
      </c>
      <c r="AK1571" s="51" t="n">
        <v>0</v>
      </c>
      <c r="AL1571" s="52" t="n">
        <v>0</v>
      </c>
      <c r="AM1571" s="52" t="n">
        <v>0</v>
      </c>
      <c r="AN1571" s="52" t="n">
        <v>0</v>
      </c>
      <c r="AO1571" s="53" t="n">
        <v>0</v>
      </c>
      <c r="AP1571" s="52" t="n">
        <v>0</v>
      </c>
      <c r="AQ1571" s="53" t="n">
        <v>0</v>
      </c>
      <c r="AR1571" s="52" t="n">
        <v>0</v>
      </c>
      <c r="AS1571" s="51" t="n">
        <v>0</v>
      </c>
      <c r="AT1571" s="48" t="n">
        <v>0</v>
      </c>
      <c r="AU1571" s="49" t="n">
        <v>0</v>
      </c>
      <c r="AV1571" s="49" t="n">
        <v>0</v>
      </c>
      <c r="AW1571" s="50" t="n">
        <v>0</v>
      </c>
      <c r="AX1571" s="51" t="n">
        <v>0</v>
      </c>
      <c r="AY1571" s="52" t="n">
        <v>0</v>
      </c>
      <c r="AZ1571" s="52" t="n">
        <v>0</v>
      </c>
      <c r="BA1571" s="52" t="n">
        <v>0</v>
      </c>
      <c r="BB1571" s="53" t="n">
        <v>0</v>
      </c>
      <c r="BC1571" s="52" t="n">
        <v>0</v>
      </c>
      <c r="BD1571" s="53" t="n">
        <v>0</v>
      </c>
      <c r="BE1571" s="52" t="n">
        <v>0</v>
      </c>
      <c r="BF1571" s="51" t="n">
        <v>0</v>
      </c>
    </row>
    <row r="1572">
      <c r="A1572">
        <f>HYPERLINK("https://www.walmart.com/ip/145984059", "145984059")</f>
        <v/>
      </c>
      <c r="B1572" t="inlineStr">
        <is>
          <t>JenniWears® Women's Ultra Sheer Lace Top Thigh High Pantyhose - 3 Packs</t>
        </is>
      </c>
      <c r="C1572" t="inlineStr">
        <is>
          <t>JWBLSPH2015-3pcs</t>
        </is>
      </c>
      <c r="D1572" t="inlineStr">
        <is>
          <t>Pantyhose &amp; Tights</t>
        </is>
      </c>
      <c r="E1572" t="inlineStr">
        <is>
          <t>JenniWears</t>
        </is>
      </c>
      <c r="F1572" t="inlineStr">
        <is>
          <t>Optimized,Valentine</t>
        </is>
      </c>
      <c r="G1572" s="48" t="n">
        <v>0</v>
      </c>
      <c r="H1572" s="49" t="n">
        <v>0</v>
      </c>
      <c r="I1572" s="49" t="n">
        <v>0</v>
      </c>
      <c r="J1572" s="50" t="n">
        <v>0</v>
      </c>
      <c r="K1572" s="51" t="n">
        <v>0</v>
      </c>
      <c r="L1572" s="52" t="n">
        <v>0</v>
      </c>
      <c r="M1572" s="52" t="n">
        <v>0</v>
      </c>
      <c r="N1572" s="52" t="n">
        <v>0</v>
      </c>
      <c r="O1572" s="53" t="n">
        <v>0</v>
      </c>
      <c r="P1572" s="52" t="n">
        <v>0</v>
      </c>
      <c r="Q1572" s="53" t="n">
        <v>0</v>
      </c>
      <c r="R1572" s="52" t="n">
        <v>0</v>
      </c>
      <c r="S1572" s="51" t="n">
        <v>0</v>
      </c>
      <c r="T1572" s="48" t="n">
        <v>0</v>
      </c>
      <c r="U1572" s="49" t="n">
        <v>0</v>
      </c>
      <c r="V1572" s="49" t="n">
        <v>0</v>
      </c>
      <c r="W1572" s="50" t="n">
        <v>0</v>
      </c>
      <c r="X1572" s="51" t="n">
        <v>0</v>
      </c>
      <c r="Y1572" s="52" t="n">
        <v>0</v>
      </c>
      <c r="Z1572" s="52" t="n">
        <v>0</v>
      </c>
      <c r="AA1572" s="52" t="n">
        <v>0</v>
      </c>
      <c r="AB1572" s="53" t="n">
        <v>0</v>
      </c>
      <c r="AC1572" s="52" t="n">
        <v>0</v>
      </c>
      <c r="AD1572" s="53" t="n">
        <v>0</v>
      </c>
      <c r="AE1572" s="52" t="n">
        <v>0</v>
      </c>
      <c r="AF1572" s="51" t="n">
        <v>0</v>
      </c>
      <c r="AG1572" s="48" t="n">
        <v>0</v>
      </c>
      <c r="AH1572" s="49" t="n">
        <v>0</v>
      </c>
      <c r="AI1572" s="49" t="n">
        <v>0</v>
      </c>
      <c r="AJ1572" s="50" t="n">
        <v>0</v>
      </c>
      <c r="AK1572" s="51" t="n">
        <v>0</v>
      </c>
      <c r="AL1572" s="52" t="n">
        <v>0</v>
      </c>
      <c r="AM1572" s="52" t="n">
        <v>0</v>
      </c>
      <c r="AN1572" s="52" t="n">
        <v>0</v>
      </c>
      <c r="AO1572" s="53" t="n">
        <v>0</v>
      </c>
      <c r="AP1572" s="52" t="n">
        <v>0</v>
      </c>
      <c r="AQ1572" s="53" t="n">
        <v>0</v>
      </c>
      <c r="AR1572" s="52" t="n">
        <v>0</v>
      </c>
      <c r="AS1572" s="51" t="n">
        <v>0</v>
      </c>
      <c r="AT1572" s="48" t="n">
        <v>0</v>
      </c>
      <c r="AU1572" s="49" t="n">
        <v>0</v>
      </c>
      <c r="AV1572" s="49" t="n">
        <v>0</v>
      </c>
      <c r="AW1572" s="50" t="n">
        <v>0</v>
      </c>
      <c r="AX1572" s="51" t="n">
        <v>0</v>
      </c>
      <c r="AY1572" s="52" t="n">
        <v>0</v>
      </c>
      <c r="AZ1572" s="52" t="n">
        <v>0</v>
      </c>
      <c r="BA1572" s="52" t="n">
        <v>0</v>
      </c>
      <c r="BB1572" s="53" t="n">
        <v>0</v>
      </c>
      <c r="BC1572" s="52" t="n">
        <v>0</v>
      </c>
      <c r="BD1572" s="53" t="n">
        <v>0</v>
      </c>
      <c r="BE1572" s="52" t="n">
        <v>0</v>
      </c>
      <c r="BF1572" s="51" t="n">
        <v>0</v>
      </c>
    </row>
    <row r="1573">
      <c r="A1573">
        <f>HYPERLINK("https://www.walmart.com/ip/146068453", "146068453")</f>
        <v/>
      </c>
      <c r="B1573" t="inlineStr">
        <is>
          <t>Catalonia Hooded Wearable Blanket Poncho for Adult Women and Men, Fleece Wrap Blanket Cape with Hood, Warm, Soft, Cozy, and Snuggly, Comfort Gift, No Sleeves, Blue</t>
        </is>
      </c>
      <c r="C1573" t="inlineStr">
        <is>
          <t>1CTBP120AQ</t>
        </is>
      </c>
      <c r="D1573" t="inlineStr">
        <is>
          <t>Throws</t>
        </is>
      </c>
      <c r="E1573" t="inlineStr">
        <is>
          <t>Catalonia</t>
        </is>
      </c>
      <c r="F1573" t="inlineStr">
        <is>
          <t>Hero 5 Holidays,WFS,WFS Item</t>
        </is>
      </c>
      <c r="G1573" s="48" t="n">
        <v>0</v>
      </c>
      <c r="H1573" s="49" t="n">
        <v>0</v>
      </c>
      <c r="I1573" s="49" t="n">
        <v>2</v>
      </c>
      <c r="J1573" s="50" t="n">
        <v>0</v>
      </c>
      <c r="K1573" s="51" t="n">
        <v>4</v>
      </c>
      <c r="L1573" s="52" t="n">
        <v>1.13</v>
      </c>
      <c r="M1573" s="52" t="n">
        <v>0</v>
      </c>
      <c r="N1573" s="52" t="n">
        <v>0</v>
      </c>
      <c r="O1573" s="53" t="n">
        <v>0.001</v>
      </c>
      <c r="P1573" s="52" t="n">
        <v>0.2825</v>
      </c>
      <c r="Q1573" s="53" t="n">
        <v>0</v>
      </c>
      <c r="R1573" s="52" t="n">
        <v>0</v>
      </c>
      <c r="S1573" s="51" t="n">
        <v>4156</v>
      </c>
      <c r="T1573" s="48" t="n">
        <v>0</v>
      </c>
      <c r="U1573" s="49" t="n">
        <v>0</v>
      </c>
      <c r="V1573" s="49" t="n">
        <v>4</v>
      </c>
      <c r="W1573" s="50" t="n">
        <v>0</v>
      </c>
      <c r="X1573" s="51" t="n">
        <v>3</v>
      </c>
      <c r="Y1573" s="52" t="n">
        <v>0.73</v>
      </c>
      <c r="Z1573" s="52" t="n">
        <v>0</v>
      </c>
      <c r="AA1573" s="52" t="n">
        <v>0</v>
      </c>
      <c r="AB1573" s="53" t="n">
        <v>0.0005</v>
      </c>
      <c r="AC1573" s="52" t="n">
        <v>0.2433333333333333</v>
      </c>
      <c r="AD1573" s="53" t="n">
        <v>0</v>
      </c>
      <c r="AE1573" s="52" t="n">
        <v>0</v>
      </c>
      <c r="AF1573" s="51" t="n">
        <v>5899</v>
      </c>
      <c r="AG1573" s="48" t="n">
        <v>0</v>
      </c>
      <c r="AH1573" s="49" t="n">
        <v>0</v>
      </c>
      <c r="AI1573" s="49" t="n">
        <v>2</v>
      </c>
      <c r="AJ1573" s="50" t="n">
        <v>0</v>
      </c>
      <c r="AK1573" s="51" t="n">
        <v>0</v>
      </c>
      <c r="AL1573" s="52" t="n">
        <v>0</v>
      </c>
      <c r="AM1573" s="52" t="n">
        <v>0</v>
      </c>
      <c r="AN1573" s="52" t="n">
        <v>0</v>
      </c>
      <c r="AO1573" s="53" t="n">
        <v>0</v>
      </c>
      <c r="AP1573" s="52" t="n">
        <v>0</v>
      </c>
      <c r="AQ1573" s="53" t="n">
        <v>0</v>
      </c>
      <c r="AR1573" s="52" t="n">
        <v>0</v>
      </c>
      <c r="AS1573" s="51" t="n">
        <v>0</v>
      </c>
      <c r="AT1573" s="48" t="n">
        <v>0</v>
      </c>
      <c r="AU1573" s="49" t="n">
        <v>0</v>
      </c>
      <c r="AV1573" s="49" t="n">
        <v>3</v>
      </c>
      <c r="AW1573" s="50" t="n">
        <v>0</v>
      </c>
      <c r="AX1573" s="51" t="n">
        <v>4</v>
      </c>
      <c r="AY1573" s="52" t="n">
        <v>0.88</v>
      </c>
      <c r="AZ1573" s="52" t="n">
        <v>0</v>
      </c>
      <c r="BA1573" s="52" t="n">
        <v>0</v>
      </c>
      <c r="BB1573" s="53" t="n">
        <v>0.0013</v>
      </c>
      <c r="BC1573" s="52" t="n">
        <v>0.22</v>
      </c>
      <c r="BD1573" s="53" t="n">
        <v>0</v>
      </c>
      <c r="BE1573" s="52" t="n">
        <v>0</v>
      </c>
      <c r="BF1573" s="51" t="n">
        <v>3048</v>
      </c>
    </row>
    <row r="1574">
      <c r="A1574">
        <f>HYPERLINK("https://www.walmart.com/ip/149506671", "149506671")</f>
        <v/>
      </c>
      <c r="B1574" t="inlineStr">
        <is>
          <t>JenniWears Women's Beileise  Sexy Net Pantyhose  Stockings Black Sheer Socks - 6 Packs</t>
        </is>
      </c>
      <c r="C1574" t="inlineStr">
        <is>
          <t>JWBLSPH2085-6pcs</t>
        </is>
      </c>
      <c r="D1574" t="inlineStr">
        <is>
          <t>Pantyhose &amp; Tights</t>
        </is>
      </c>
      <c r="E1574" t="inlineStr">
        <is>
          <t>JenniWears</t>
        </is>
      </c>
      <c r="F1574" t="inlineStr">
        <is>
          <t>Optimized,Valentine</t>
        </is>
      </c>
      <c r="G1574" s="48" t="n">
        <v>0</v>
      </c>
      <c r="H1574" s="49" t="n">
        <v>0</v>
      </c>
      <c r="I1574" s="49" t="n">
        <v>0</v>
      </c>
      <c r="J1574" s="50" t="n">
        <v>0</v>
      </c>
      <c r="K1574" s="51" t="n">
        <v>0</v>
      </c>
      <c r="L1574" s="52" t="n">
        <v>0</v>
      </c>
      <c r="M1574" s="52" t="n">
        <v>0</v>
      </c>
      <c r="N1574" s="52" t="n">
        <v>0</v>
      </c>
      <c r="O1574" s="53" t="n">
        <v>0</v>
      </c>
      <c r="P1574" s="52" t="n">
        <v>0</v>
      </c>
      <c r="Q1574" s="53" t="n">
        <v>0</v>
      </c>
      <c r="R1574" s="52" t="n">
        <v>0</v>
      </c>
      <c r="S1574" s="51" t="n">
        <v>0</v>
      </c>
      <c r="T1574" s="48" t="n">
        <v>0</v>
      </c>
      <c r="U1574" s="49" t="n">
        <v>0</v>
      </c>
      <c r="V1574" s="49" t="n">
        <v>0</v>
      </c>
      <c r="W1574" s="50" t="n">
        <v>0</v>
      </c>
      <c r="X1574" s="51" t="n">
        <v>0</v>
      </c>
      <c r="Y1574" s="52" t="n">
        <v>0</v>
      </c>
      <c r="Z1574" s="52" t="n">
        <v>0</v>
      </c>
      <c r="AA1574" s="52" t="n">
        <v>0</v>
      </c>
      <c r="AB1574" s="53" t="n">
        <v>0</v>
      </c>
      <c r="AC1574" s="52" t="n">
        <v>0</v>
      </c>
      <c r="AD1574" s="53" t="n">
        <v>0</v>
      </c>
      <c r="AE1574" s="52" t="n">
        <v>0</v>
      </c>
      <c r="AF1574" s="51" t="n">
        <v>0</v>
      </c>
      <c r="AG1574" s="48" t="n">
        <v>0</v>
      </c>
      <c r="AH1574" s="49" t="n">
        <v>0</v>
      </c>
      <c r="AI1574" s="49" t="n">
        <v>0</v>
      </c>
      <c r="AJ1574" s="50" t="n">
        <v>0</v>
      </c>
      <c r="AK1574" s="51" t="n">
        <v>0</v>
      </c>
      <c r="AL1574" s="52" t="n">
        <v>0</v>
      </c>
      <c r="AM1574" s="52" t="n">
        <v>0</v>
      </c>
      <c r="AN1574" s="52" t="n">
        <v>0</v>
      </c>
      <c r="AO1574" s="53" t="n">
        <v>0</v>
      </c>
      <c r="AP1574" s="52" t="n">
        <v>0</v>
      </c>
      <c r="AQ1574" s="53" t="n">
        <v>0</v>
      </c>
      <c r="AR1574" s="52" t="n">
        <v>0</v>
      </c>
      <c r="AS1574" s="51" t="n">
        <v>0</v>
      </c>
      <c r="AT1574" s="48" t="n">
        <v>0</v>
      </c>
      <c r="AU1574" s="49" t="n">
        <v>0</v>
      </c>
      <c r="AV1574" s="49" t="n">
        <v>0</v>
      </c>
      <c r="AW1574" s="50" t="n">
        <v>0</v>
      </c>
      <c r="AX1574" s="51" t="n">
        <v>0</v>
      </c>
      <c r="AY1574" s="52" t="n">
        <v>0</v>
      </c>
      <c r="AZ1574" s="52" t="n">
        <v>0</v>
      </c>
      <c r="BA1574" s="52" t="n">
        <v>0</v>
      </c>
      <c r="BB1574" s="53" t="n">
        <v>0</v>
      </c>
      <c r="BC1574" s="52" t="n">
        <v>0</v>
      </c>
      <c r="BD1574" s="53" t="n">
        <v>0</v>
      </c>
      <c r="BE1574" s="52" t="n">
        <v>0</v>
      </c>
      <c r="BF1574" s="51" t="n">
        <v>0</v>
      </c>
    </row>
    <row r="1575">
      <c r="A1575">
        <f>HYPERLINK("https://www.walmart.com/ip/149596874", "149596874")</f>
        <v/>
      </c>
      <c r="B1575" t="inlineStr">
        <is>
          <t>KC Caps Casual Unisex Adjustable Snap Closure USA Flag Embroidered Unconstructed Cap Hat (US SHIP)</t>
        </is>
      </c>
      <c r="C1575" t="inlineStr">
        <is>
          <t>kc-ae-6110-kk</t>
        </is>
      </c>
      <c r="D1575" t="inlineStr">
        <is>
          <t>Hats</t>
        </is>
      </c>
      <c r="E1575" t="inlineStr">
        <is>
          <t>KC Caps</t>
        </is>
      </c>
      <c r="G1575" s="48" t="n">
        <v>0</v>
      </c>
      <c r="H1575" s="49" t="n">
        <v>0</v>
      </c>
      <c r="I1575" s="49" t="n">
        <v>0</v>
      </c>
      <c r="J1575" s="50" t="n">
        <v>0</v>
      </c>
      <c r="K1575" s="51" t="n">
        <v>0</v>
      </c>
      <c r="L1575" s="52" t="n">
        <v>0</v>
      </c>
      <c r="M1575" s="52" t="n">
        <v>0</v>
      </c>
      <c r="N1575" s="52" t="n">
        <v>0</v>
      </c>
      <c r="O1575" s="53" t="n">
        <v>0</v>
      </c>
      <c r="P1575" s="52" t="n">
        <v>0</v>
      </c>
      <c r="Q1575" s="53" t="n">
        <v>0</v>
      </c>
      <c r="R1575" s="52" t="n">
        <v>0</v>
      </c>
      <c r="S1575" s="51" t="n">
        <v>0</v>
      </c>
      <c r="T1575" s="48" t="n">
        <v>0</v>
      </c>
      <c r="U1575" s="49" t="n">
        <v>0</v>
      </c>
      <c r="V1575" s="49" t="n">
        <v>0</v>
      </c>
      <c r="W1575" s="50" t="n">
        <v>0</v>
      </c>
      <c r="X1575" s="51" t="n">
        <v>0</v>
      </c>
      <c r="Y1575" s="52" t="n">
        <v>0</v>
      </c>
      <c r="Z1575" s="52" t="n">
        <v>0</v>
      </c>
      <c r="AA1575" s="52" t="n">
        <v>0</v>
      </c>
      <c r="AB1575" s="53" t="n">
        <v>0</v>
      </c>
      <c r="AC1575" s="52" t="n">
        <v>0</v>
      </c>
      <c r="AD1575" s="53" t="n">
        <v>0</v>
      </c>
      <c r="AE1575" s="52" t="n">
        <v>0</v>
      </c>
      <c r="AF1575" s="51" t="n">
        <v>0</v>
      </c>
      <c r="AG1575" s="48" t="n">
        <v>0</v>
      </c>
      <c r="AH1575" s="49" t="n">
        <v>0</v>
      </c>
      <c r="AI1575" s="49" t="n">
        <v>0</v>
      </c>
      <c r="AJ1575" s="50" t="n">
        <v>0</v>
      </c>
      <c r="AK1575" s="51" t="n">
        <v>0</v>
      </c>
      <c r="AL1575" s="52" t="n">
        <v>0</v>
      </c>
      <c r="AM1575" s="52" t="n">
        <v>0</v>
      </c>
      <c r="AN1575" s="52" t="n">
        <v>0</v>
      </c>
      <c r="AO1575" s="53" t="n">
        <v>0</v>
      </c>
      <c r="AP1575" s="52" t="n">
        <v>0</v>
      </c>
      <c r="AQ1575" s="53" t="n">
        <v>0</v>
      </c>
      <c r="AR1575" s="52" t="n">
        <v>0</v>
      </c>
      <c r="AS1575" s="51" t="n">
        <v>0</v>
      </c>
      <c r="AT1575" s="48" t="n">
        <v>0</v>
      </c>
      <c r="AU1575" s="49" t="n">
        <v>0</v>
      </c>
      <c r="AV1575" s="49" t="n">
        <v>0</v>
      </c>
      <c r="AW1575" s="50" t="n">
        <v>0</v>
      </c>
      <c r="AX1575" s="51" t="n">
        <v>0</v>
      </c>
      <c r="AY1575" s="52" t="n">
        <v>0</v>
      </c>
      <c r="AZ1575" s="52" t="n">
        <v>0</v>
      </c>
      <c r="BA1575" s="52" t="n">
        <v>0</v>
      </c>
      <c r="BB1575" s="53" t="n">
        <v>0</v>
      </c>
      <c r="BC1575" s="52" t="n">
        <v>0</v>
      </c>
      <c r="BD1575" s="53" t="n">
        <v>0</v>
      </c>
      <c r="BE1575" s="52" t="n">
        <v>0</v>
      </c>
      <c r="BF1575" s="51" t="n">
        <v>0</v>
      </c>
    </row>
    <row r="1576">
      <c r="A1576">
        <f>HYPERLINK("https://www.walmart.com/ip/149892132", "149892132")</f>
        <v/>
      </c>
      <c r="B1576" t="inlineStr">
        <is>
          <t>Men's Boxer Briefs Assorted Mens Underwear with Cotton Classic Stretch , 3-Pack by Terra</t>
        </is>
      </c>
      <c r="C1576" t="inlineStr">
        <is>
          <t>TERRABOXERSET2-S</t>
        </is>
      </c>
      <c r="D1576" t="inlineStr">
        <is>
          <t>Underpants</t>
        </is>
      </c>
      <c r="E1576" t="inlineStr">
        <is>
          <t>Terra</t>
        </is>
      </c>
      <c r="F1576" t="inlineStr">
        <is>
          <t>WFS,WFS Item</t>
        </is>
      </c>
      <c r="G1576" s="48" t="n">
        <v>0</v>
      </c>
      <c r="H1576" s="49" t="n">
        <v>0</v>
      </c>
      <c r="I1576" s="49" t="n">
        <v>0</v>
      </c>
      <c r="J1576" s="50" t="n">
        <v>0</v>
      </c>
      <c r="K1576" s="51" t="n">
        <v>0</v>
      </c>
      <c r="L1576" s="52" t="n">
        <v>0</v>
      </c>
      <c r="M1576" s="52" t="n">
        <v>0</v>
      </c>
      <c r="N1576" s="52" t="n">
        <v>0</v>
      </c>
      <c r="O1576" s="53" t="n">
        <v>0</v>
      </c>
      <c r="P1576" s="52" t="n">
        <v>0</v>
      </c>
      <c r="Q1576" s="53" t="n">
        <v>0</v>
      </c>
      <c r="R1576" s="52" t="n">
        <v>0</v>
      </c>
      <c r="S1576" s="51" t="n">
        <v>0</v>
      </c>
      <c r="T1576" s="48" t="n">
        <v>0</v>
      </c>
      <c r="U1576" s="49" t="n">
        <v>0</v>
      </c>
      <c r="V1576" s="49" t="n">
        <v>0</v>
      </c>
      <c r="W1576" s="50" t="n">
        <v>0</v>
      </c>
      <c r="X1576" s="51" t="n">
        <v>0</v>
      </c>
      <c r="Y1576" s="52" t="n">
        <v>0</v>
      </c>
      <c r="Z1576" s="52" t="n">
        <v>0</v>
      </c>
      <c r="AA1576" s="52" t="n">
        <v>0</v>
      </c>
      <c r="AB1576" s="53" t="n">
        <v>0</v>
      </c>
      <c r="AC1576" s="52" t="n">
        <v>0</v>
      </c>
      <c r="AD1576" s="53" t="n">
        <v>0</v>
      </c>
      <c r="AE1576" s="52" t="n">
        <v>0</v>
      </c>
      <c r="AF1576" s="51" t="n">
        <v>0</v>
      </c>
      <c r="AG1576" s="48" t="n">
        <v>0</v>
      </c>
      <c r="AH1576" s="49" t="n">
        <v>0</v>
      </c>
      <c r="AI1576" s="49" t="n">
        <v>0</v>
      </c>
      <c r="AJ1576" s="50" t="n">
        <v>0</v>
      </c>
      <c r="AK1576" s="51" t="n">
        <v>0</v>
      </c>
      <c r="AL1576" s="52" t="n">
        <v>0</v>
      </c>
      <c r="AM1576" s="52" t="n">
        <v>0</v>
      </c>
      <c r="AN1576" s="52" t="n">
        <v>0</v>
      </c>
      <c r="AO1576" s="53" t="n">
        <v>0</v>
      </c>
      <c r="AP1576" s="52" t="n">
        <v>0</v>
      </c>
      <c r="AQ1576" s="53" t="n">
        <v>0</v>
      </c>
      <c r="AR1576" s="52" t="n">
        <v>0</v>
      </c>
      <c r="AS1576" s="51" t="n">
        <v>0</v>
      </c>
      <c r="AT1576" s="48" t="n">
        <v>0</v>
      </c>
      <c r="AU1576" s="49" t="n">
        <v>0</v>
      </c>
      <c r="AV1576" s="49" t="n">
        <v>0</v>
      </c>
      <c r="AW1576" s="50" t="n">
        <v>0</v>
      </c>
      <c r="AX1576" s="51" t="n">
        <v>0</v>
      </c>
      <c r="AY1576" s="52" t="n">
        <v>0</v>
      </c>
      <c r="AZ1576" s="52" t="n">
        <v>0</v>
      </c>
      <c r="BA1576" s="52" t="n">
        <v>0</v>
      </c>
      <c r="BB1576" s="53" t="n">
        <v>0</v>
      </c>
      <c r="BC1576" s="52" t="n">
        <v>0</v>
      </c>
      <c r="BD1576" s="53" t="n">
        <v>0</v>
      </c>
      <c r="BE1576" s="52" t="n">
        <v>0</v>
      </c>
      <c r="BF1576" s="51" t="n">
        <v>0</v>
      </c>
    </row>
    <row r="1577">
      <c r="A1577">
        <f>HYPERLINK("https://www.walmart.com/ip/1502359239", "1502359239")</f>
        <v/>
      </c>
      <c r="B1577" t="inlineStr">
        <is>
          <t>Every Day is Christmas Glass Blown Ornaments Cute Hand Made Figurines Tree Decoration, Pineapple</t>
        </is>
      </c>
      <c r="C1577" t="inlineStr">
        <is>
          <t>EDC-FIGURINE-PINEAPPLE</t>
        </is>
      </c>
      <c r="D1577" t="inlineStr">
        <is>
          <t>Ornaments</t>
        </is>
      </c>
      <c r="E1577" t="inlineStr">
        <is>
          <t>Every Day is Christmas</t>
        </is>
      </c>
      <c r="G1577" s="48" t="n">
        <v>0</v>
      </c>
      <c r="H1577" s="49" t="n">
        <v>0</v>
      </c>
      <c r="I1577" s="49" t="n">
        <v>0</v>
      </c>
      <c r="J1577" s="50" t="n">
        <v>0</v>
      </c>
      <c r="K1577" s="51" t="n">
        <v>0</v>
      </c>
      <c r="L1577" s="52" t="n">
        <v>0</v>
      </c>
      <c r="M1577" s="52" t="n">
        <v>0</v>
      </c>
      <c r="N1577" s="52" t="n">
        <v>0</v>
      </c>
      <c r="O1577" s="53" t="n">
        <v>0</v>
      </c>
      <c r="P1577" s="52" t="n">
        <v>0</v>
      </c>
      <c r="Q1577" s="53" t="n">
        <v>0</v>
      </c>
      <c r="R1577" s="52" t="n">
        <v>0</v>
      </c>
      <c r="S1577" s="51" t="n">
        <v>0</v>
      </c>
      <c r="T1577" s="48" t="n">
        <v>0</v>
      </c>
      <c r="U1577" s="49" t="n">
        <v>0</v>
      </c>
      <c r="V1577" s="49" t="n">
        <v>0</v>
      </c>
      <c r="W1577" s="50" t="n">
        <v>0</v>
      </c>
      <c r="X1577" s="51" t="n">
        <v>0</v>
      </c>
      <c r="Y1577" s="52" t="n">
        <v>0</v>
      </c>
      <c r="Z1577" s="52" t="n">
        <v>0</v>
      </c>
      <c r="AA1577" s="52" t="n">
        <v>0</v>
      </c>
      <c r="AB1577" s="53" t="n">
        <v>0</v>
      </c>
      <c r="AC1577" s="52" t="n">
        <v>0</v>
      </c>
      <c r="AD1577" s="53" t="n">
        <v>0</v>
      </c>
      <c r="AE1577" s="52" t="n">
        <v>0</v>
      </c>
      <c r="AF1577" s="51" t="n">
        <v>0</v>
      </c>
      <c r="AG1577" s="48" t="n">
        <v>0</v>
      </c>
      <c r="AH1577" s="49" t="n">
        <v>0</v>
      </c>
      <c r="AI1577" s="49" t="n">
        <v>0</v>
      </c>
      <c r="AJ1577" s="50" t="n">
        <v>0</v>
      </c>
      <c r="AK1577" s="51" t="n">
        <v>0</v>
      </c>
      <c r="AL1577" s="52" t="n">
        <v>0</v>
      </c>
      <c r="AM1577" s="52" t="n">
        <v>0</v>
      </c>
      <c r="AN1577" s="52" t="n">
        <v>0</v>
      </c>
      <c r="AO1577" s="53" t="n">
        <v>0</v>
      </c>
      <c r="AP1577" s="52" t="n">
        <v>0</v>
      </c>
      <c r="AQ1577" s="53" t="n">
        <v>0</v>
      </c>
      <c r="AR1577" s="52" t="n">
        <v>0</v>
      </c>
      <c r="AS1577" s="51" t="n">
        <v>0</v>
      </c>
      <c r="AT1577" s="48" t="n">
        <v>0</v>
      </c>
      <c r="AU1577" s="49" t="n">
        <v>0</v>
      </c>
      <c r="AV1577" s="49" t="n">
        <v>0</v>
      </c>
      <c r="AW1577" s="50" t="n">
        <v>0</v>
      </c>
      <c r="AX1577" s="51" t="n">
        <v>0</v>
      </c>
      <c r="AY1577" s="52" t="n">
        <v>0</v>
      </c>
      <c r="AZ1577" s="52" t="n">
        <v>0</v>
      </c>
      <c r="BA1577" s="52" t="n">
        <v>0</v>
      </c>
      <c r="BB1577" s="53" t="n">
        <v>0</v>
      </c>
      <c r="BC1577" s="52" t="n">
        <v>0</v>
      </c>
      <c r="BD1577" s="53" t="n">
        <v>0</v>
      </c>
      <c r="BE1577" s="52" t="n">
        <v>0</v>
      </c>
      <c r="BF1577" s="51" t="n">
        <v>0</v>
      </c>
    </row>
    <row r="1578">
      <c r="A1578">
        <f>HYPERLINK("https://www.walmart.com/ip/150263762", "150263762")</f>
        <v/>
      </c>
      <c r="B1578" t="inlineStr">
        <is>
          <t>JenniWears® Women's Seamless Mesh Hole Pothole Tube Dress</t>
        </is>
      </c>
      <c r="C1578" t="inlineStr">
        <is>
          <t>JWBD012PP-M</t>
        </is>
      </c>
      <c r="D1578" t="inlineStr">
        <is>
          <t>Dresses</t>
        </is>
      </c>
      <c r="E1578" t="inlineStr">
        <is>
          <t>JenniWears</t>
        </is>
      </c>
      <c r="F1578" t="inlineStr">
        <is>
          <t>Optimized,Valentine</t>
        </is>
      </c>
      <c r="G1578" s="48" t="n">
        <v>0</v>
      </c>
      <c r="H1578" s="49" t="n">
        <v>0</v>
      </c>
      <c r="I1578" s="49" t="n">
        <v>0</v>
      </c>
      <c r="J1578" s="50" t="n">
        <v>0</v>
      </c>
      <c r="K1578" s="51" t="n">
        <v>0</v>
      </c>
      <c r="L1578" s="52" t="n">
        <v>0</v>
      </c>
      <c r="M1578" s="52" t="n">
        <v>0</v>
      </c>
      <c r="N1578" s="52" t="n">
        <v>0</v>
      </c>
      <c r="O1578" s="53" t="n">
        <v>0</v>
      </c>
      <c r="P1578" s="52" t="n">
        <v>0</v>
      </c>
      <c r="Q1578" s="53" t="n">
        <v>0</v>
      </c>
      <c r="R1578" s="52" t="n">
        <v>0</v>
      </c>
      <c r="S1578" s="51" t="n">
        <v>0</v>
      </c>
      <c r="T1578" s="48" t="n">
        <v>0</v>
      </c>
      <c r="U1578" s="49" t="n">
        <v>0</v>
      </c>
      <c r="V1578" s="49" t="n">
        <v>0</v>
      </c>
      <c r="W1578" s="50" t="n">
        <v>0</v>
      </c>
      <c r="X1578" s="51" t="n">
        <v>0</v>
      </c>
      <c r="Y1578" s="52" t="n">
        <v>0</v>
      </c>
      <c r="Z1578" s="52" t="n">
        <v>0</v>
      </c>
      <c r="AA1578" s="52" t="n">
        <v>0</v>
      </c>
      <c r="AB1578" s="53" t="n">
        <v>0</v>
      </c>
      <c r="AC1578" s="52" t="n">
        <v>0</v>
      </c>
      <c r="AD1578" s="53" t="n">
        <v>0</v>
      </c>
      <c r="AE1578" s="52" t="n">
        <v>0</v>
      </c>
      <c r="AF1578" s="51" t="n">
        <v>0</v>
      </c>
      <c r="AG1578" s="48" t="n">
        <v>0</v>
      </c>
      <c r="AH1578" s="49" t="n">
        <v>0</v>
      </c>
      <c r="AI1578" s="49" t="n">
        <v>0</v>
      </c>
      <c r="AJ1578" s="50" t="n">
        <v>0</v>
      </c>
      <c r="AK1578" s="51" t="n">
        <v>0</v>
      </c>
      <c r="AL1578" s="52" t="n">
        <v>0</v>
      </c>
      <c r="AM1578" s="52" t="n">
        <v>0</v>
      </c>
      <c r="AN1578" s="52" t="n">
        <v>0</v>
      </c>
      <c r="AO1578" s="53" t="n">
        <v>0</v>
      </c>
      <c r="AP1578" s="52" t="n">
        <v>0</v>
      </c>
      <c r="AQ1578" s="53" t="n">
        <v>0</v>
      </c>
      <c r="AR1578" s="52" t="n">
        <v>0</v>
      </c>
      <c r="AS1578" s="51" t="n">
        <v>0</v>
      </c>
      <c r="AT1578" s="48" t="n">
        <v>0</v>
      </c>
      <c r="AU1578" s="49" t="n">
        <v>0</v>
      </c>
      <c r="AV1578" s="49" t="n">
        <v>0</v>
      </c>
      <c r="AW1578" s="50" t="n">
        <v>0</v>
      </c>
      <c r="AX1578" s="51" t="n">
        <v>0</v>
      </c>
      <c r="AY1578" s="52" t="n">
        <v>0</v>
      </c>
      <c r="AZ1578" s="52" t="n">
        <v>0</v>
      </c>
      <c r="BA1578" s="52" t="n">
        <v>0</v>
      </c>
      <c r="BB1578" s="53" t="n">
        <v>0</v>
      </c>
      <c r="BC1578" s="52" t="n">
        <v>0</v>
      </c>
      <c r="BD1578" s="53" t="n">
        <v>0</v>
      </c>
      <c r="BE1578" s="52" t="n">
        <v>0</v>
      </c>
      <c r="BF1578" s="51" t="n">
        <v>0</v>
      </c>
    </row>
    <row r="1579">
      <c r="A1579">
        <f>HYPERLINK("https://www.walmart.com/ip/150366933", "150366933")</f>
        <v/>
      </c>
      <c r="B1579" t="inlineStr">
        <is>
          <t>Solaris Winter Cable Knit Beanie Hats with Fur Pom Pom for Women Ski Cap</t>
        </is>
      </c>
      <c r="C1579" t="inlineStr">
        <is>
          <t>1SLWH101GY</t>
        </is>
      </c>
      <c r="D1579" t="inlineStr">
        <is>
          <t>Hats</t>
        </is>
      </c>
      <c r="E1579" t="inlineStr">
        <is>
          <t>Solaris</t>
        </is>
      </c>
      <c r="F1579" t="inlineStr">
        <is>
          <t>Batch 1 - TR</t>
        </is>
      </c>
      <c r="G1579" s="48" t="n">
        <v>0</v>
      </c>
      <c r="H1579" s="49" t="n">
        <v>0</v>
      </c>
      <c r="I1579" s="49" t="n">
        <v>0</v>
      </c>
      <c r="J1579" s="50" t="n">
        <v>0</v>
      </c>
      <c r="K1579" s="51" t="n">
        <v>0</v>
      </c>
      <c r="L1579" s="52" t="n">
        <v>0</v>
      </c>
      <c r="M1579" s="52" t="n">
        <v>0</v>
      </c>
      <c r="N1579" s="52" t="n">
        <v>0</v>
      </c>
      <c r="O1579" s="53" t="n">
        <v>0</v>
      </c>
      <c r="P1579" s="52" t="n">
        <v>0</v>
      </c>
      <c r="Q1579" s="53" t="n">
        <v>0</v>
      </c>
      <c r="R1579" s="52" t="n">
        <v>0</v>
      </c>
      <c r="S1579" s="51" t="n">
        <v>0</v>
      </c>
      <c r="T1579" s="48" t="n">
        <v>0</v>
      </c>
      <c r="U1579" s="49" t="n">
        <v>0</v>
      </c>
      <c r="V1579" s="49" t="n">
        <v>0</v>
      </c>
      <c r="W1579" s="50" t="n">
        <v>0</v>
      </c>
      <c r="X1579" s="51" t="n">
        <v>0</v>
      </c>
      <c r="Y1579" s="52" t="n">
        <v>0</v>
      </c>
      <c r="Z1579" s="52" t="n">
        <v>0</v>
      </c>
      <c r="AA1579" s="52" t="n">
        <v>0</v>
      </c>
      <c r="AB1579" s="53" t="n">
        <v>0</v>
      </c>
      <c r="AC1579" s="52" t="n">
        <v>0</v>
      </c>
      <c r="AD1579" s="53" t="n">
        <v>0</v>
      </c>
      <c r="AE1579" s="52" t="n">
        <v>0</v>
      </c>
      <c r="AF1579" s="51" t="n">
        <v>0</v>
      </c>
      <c r="AG1579" s="48" t="n">
        <v>0</v>
      </c>
      <c r="AH1579" s="49" t="n">
        <v>0</v>
      </c>
      <c r="AI1579" s="49" t="n">
        <v>0</v>
      </c>
      <c r="AJ1579" s="50" t="n">
        <v>0</v>
      </c>
      <c r="AK1579" s="51" t="n">
        <v>0</v>
      </c>
      <c r="AL1579" s="52" t="n">
        <v>0</v>
      </c>
      <c r="AM1579" s="52" t="n">
        <v>0</v>
      </c>
      <c r="AN1579" s="52" t="n">
        <v>0</v>
      </c>
      <c r="AO1579" s="53" t="n">
        <v>0</v>
      </c>
      <c r="AP1579" s="52" t="n">
        <v>0</v>
      </c>
      <c r="AQ1579" s="53" t="n">
        <v>0</v>
      </c>
      <c r="AR1579" s="52" t="n">
        <v>0</v>
      </c>
      <c r="AS1579" s="51" t="n">
        <v>0</v>
      </c>
      <c r="AT1579" s="48" t="n">
        <v>0</v>
      </c>
      <c r="AU1579" s="49" t="n">
        <v>0</v>
      </c>
      <c r="AV1579" s="49" t="n">
        <v>0</v>
      </c>
      <c r="AW1579" s="50" t="n">
        <v>0</v>
      </c>
      <c r="AX1579" s="51" t="n">
        <v>0</v>
      </c>
      <c r="AY1579" s="52" t="n">
        <v>0</v>
      </c>
      <c r="AZ1579" s="52" t="n">
        <v>0</v>
      </c>
      <c r="BA1579" s="52" t="n">
        <v>0</v>
      </c>
      <c r="BB1579" s="53" t="n">
        <v>0</v>
      </c>
      <c r="BC1579" s="52" t="n">
        <v>0</v>
      </c>
      <c r="BD1579" s="53" t="n">
        <v>0</v>
      </c>
      <c r="BE1579" s="52" t="n">
        <v>0</v>
      </c>
      <c r="BF1579" s="51" t="n">
        <v>0</v>
      </c>
    </row>
    <row r="1580">
      <c r="A1580">
        <f>HYPERLINK("https://www.walmart.com/ip/150486317", "150486317")</f>
        <v/>
      </c>
      <c r="B1580" t="inlineStr">
        <is>
          <t>Catalonia Wearable Blanket with Sleeves and Pocket, Cozy Soft Fleece Micro Plush Wrap Adult Blanket Robe for Women Men, Cow Pattern Makes a Great Gift for Holidays, 73" x 51".</t>
        </is>
      </c>
      <c r="C1580" t="inlineStr">
        <is>
          <t>1CTSN100DMT</t>
        </is>
      </c>
      <c r="D1580" t="inlineStr">
        <is>
          <t>Throws</t>
        </is>
      </c>
      <c r="E1580" t="inlineStr">
        <is>
          <t>Catalonia</t>
        </is>
      </c>
      <c r="F1580" t="inlineStr">
        <is>
          <t>Q2-Target,WFS,WFS Item</t>
        </is>
      </c>
      <c r="G1580" s="48" t="n">
        <v>0</v>
      </c>
      <c r="H1580" s="49" t="n">
        <v>0</v>
      </c>
      <c r="I1580" s="49" t="n">
        <v>0</v>
      </c>
      <c r="J1580" s="50" t="n">
        <v>0</v>
      </c>
      <c r="K1580" s="51" t="n">
        <v>1</v>
      </c>
      <c r="L1580" s="52" t="n">
        <v>0.21</v>
      </c>
      <c r="M1580" s="52" t="n">
        <v>0</v>
      </c>
      <c r="N1580" s="52" t="n">
        <v>0</v>
      </c>
      <c r="O1580" s="53" t="n">
        <v>0.0037</v>
      </c>
      <c r="P1580" s="52" t="n">
        <v>0.21</v>
      </c>
      <c r="Q1580" s="53" t="n">
        <v>0</v>
      </c>
      <c r="R1580" s="52" t="n">
        <v>0</v>
      </c>
      <c r="S1580" s="51" t="n">
        <v>271</v>
      </c>
      <c r="T1580" s="48" t="n">
        <v>0</v>
      </c>
      <c r="U1580" s="49" t="n">
        <v>0</v>
      </c>
      <c r="V1580" s="49" t="n">
        <v>0</v>
      </c>
      <c r="W1580" s="50" t="n">
        <v>0</v>
      </c>
      <c r="X1580" s="51" t="n">
        <v>0</v>
      </c>
      <c r="Y1580" s="52" t="n">
        <v>0</v>
      </c>
      <c r="Z1580" s="52" t="n">
        <v>0</v>
      </c>
      <c r="AA1580" s="52" t="n">
        <v>0</v>
      </c>
      <c r="AB1580" s="53" t="n">
        <v>0</v>
      </c>
      <c r="AC1580" s="52" t="n">
        <v>0</v>
      </c>
      <c r="AD1580" s="53" t="n">
        <v>0</v>
      </c>
      <c r="AE1580" s="52" t="n">
        <v>0</v>
      </c>
      <c r="AF1580" s="51" t="n">
        <v>982</v>
      </c>
      <c r="AG1580" s="48" t="n">
        <v>0</v>
      </c>
      <c r="AH1580" s="49" t="n">
        <v>0</v>
      </c>
      <c r="AI1580" s="49" t="n">
        <v>0</v>
      </c>
      <c r="AJ1580" s="50" t="n">
        <v>0</v>
      </c>
      <c r="AK1580" s="51" t="n">
        <v>0</v>
      </c>
      <c r="AL1580" s="52" t="n">
        <v>0</v>
      </c>
      <c r="AM1580" s="52" t="n">
        <v>0</v>
      </c>
      <c r="AN1580" s="52" t="n">
        <v>0</v>
      </c>
      <c r="AO1580" s="53" t="n">
        <v>0</v>
      </c>
      <c r="AP1580" s="52" t="n">
        <v>0</v>
      </c>
      <c r="AQ1580" s="53" t="n">
        <v>0</v>
      </c>
      <c r="AR1580" s="52" t="n">
        <v>0</v>
      </c>
      <c r="AS1580" s="51" t="n">
        <v>0</v>
      </c>
      <c r="AT1580" s="48" t="n">
        <v>0</v>
      </c>
      <c r="AU1580" s="49" t="n">
        <v>0</v>
      </c>
      <c r="AV1580" s="49" t="n">
        <v>0</v>
      </c>
      <c r="AW1580" s="50" t="n">
        <v>0</v>
      </c>
      <c r="AX1580" s="51" t="n">
        <v>0</v>
      </c>
      <c r="AY1580" s="52" t="n">
        <v>0</v>
      </c>
      <c r="AZ1580" s="52" t="n">
        <v>0</v>
      </c>
      <c r="BA1580" s="52" t="n">
        <v>0</v>
      </c>
      <c r="BB1580" s="53" t="n">
        <v>0</v>
      </c>
      <c r="BC1580" s="52" t="n">
        <v>0</v>
      </c>
      <c r="BD1580" s="53" t="n">
        <v>0</v>
      </c>
      <c r="BE1580" s="52" t="n">
        <v>0</v>
      </c>
      <c r="BF1580" s="51" t="n">
        <v>0</v>
      </c>
    </row>
    <row r="1581">
      <c r="A1581">
        <f>HYPERLINK("https://www.walmart.com/ip/150616094", "150616094")</f>
        <v/>
      </c>
      <c r="B1581" t="inlineStr">
        <is>
          <t>JenniWears® Women's Seamless Mesh Hole Pothole Tube Dress</t>
        </is>
      </c>
      <c r="C1581" t="inlineStr">
        <is>
          <t>JWBD012WT-M</t>
        </is>
      </c>
      <c r="D1581" t="inlineStr">
        <is>
          <t>Dresses</t>
        </is>
      </c>
      <c r="E1581" t="inlineStr">
        <is>
          <t>JenniWears</t>
        </is>
      </c>
      <c r="F1581" t="inlineStr">
        <is>
          <t>Optimized,Valentine</t>
        </is>
      </c>
      <c r="G1581" s="48" t="n">
        <v>0</v>
      </c>
      <c r="H1581" s="49" t="n">
        <v>0</v>
      </c>
      <c r="I1581" s="49" t="n">
        <v>0</v>
      </c>
      <c r="J1581" s="50" t="n">
        <v>0</v>
      </c>
      <c r="K1581" s="51" t="n">
        <v>0</v>
      </c>
      <c r="L1581" s="52" t="n">
        <v>0</v>
      </c>
      <c r="M1581" s="52" t="n">
        <v>0</v>
      </c>
      <c r="N1581" s="52" t="n">
        <v>0</v>
      </c>
      <c r="O1581" s="53" t="n">
        <v>0</v>
      </c>
      <c r="P1581" s="52" t="n">
        <v>0</v>
      </c>
      <c r="Q1581" s="53" t="n">
        <v>0</v>
      </c>
      <c r="R1581" s="52" t="n">
        <v>0</v>
      </c>
      <c r="S1581" s="51" t="n">
        <v>0</v>
      </c>
      <c r="T1581" s="48" t="n">
        <v>0</v>
      </c>
      <c r="U1581" s="49" t="n">
        <v>0</v>
      </c>
      <c r="V1581" s="49" t="n">
        <v>0</v>
      </c>
      <c r="W1581" s="50" t="n">
        <v>0</v>
      </c>
      <c r="X1581" s="51" t="n">
        <v>0</v>
      </c>
      <c r="Y1581" s="52" t="n">
        <v>0</v>
      </c>
      <c r="Z1581" s="52" t="n">
        <v>0</v>
      </c>
      <c r="AA1581" s="52" t="n">
        <v>0</v>
      </c>
      <c r="AB1581" s="53" t="n">
        <v>0</v>
      </c>
      <c r="AC1581" s="52" t="n">
        <v>0</v>
      </c>
      <c r="AD1581" s="53" t="n">
        <v>0</v>
      </c>
      <c r="AE1581" s="52" t="n">
        <v>0</v>
      </c>
      <c r="AF1581" s="51" t="n">
        <v>0</v>
      </c>
      <c r="AG1581" s="48" t="n">
        <v>0</v>
      </c>
      <c r="AH1581" s="49" t="n">
        <v>0</v>
      </c>
      <c r="AI1581" s="49" t="n">
        <v>0</v>
      </c>
      <c r="AJ1581" s="50" t="n">
        <v>0</v>
      </c>
      <c r="AK1581" s="51" t="n">
        <v>0</v>
      </c>
      <c r="AL1581" s="52" t="n">
        <v>0</v>
      </c>
      <c r="AM1581" s="52" t="n">
        <v>0</v>
      </c>
      <c r="AN1581" s="52" t="n">
        <v>0</v>
      </c>
      <c r="AO1581" s="53" t="n">
        <v>0</v>
      </c>
      <c r="AP1581" s="52" t="n">
        <v>0</v>
      </c>
      <c r="AQ1581" s="53" t="n">
        <v>0</v>
      </c>
      <c r="AR1581" s="52" t="n">
        <v>0</v>
      </c>
      <c r="AS1581" s="51" t="n">
        <v>0</v>
      </c>
      <c r="AT1581" s="48" t="n">
        <v>0</v>
      </c>
      <c r="AU1581" s="49" t="n">
        <v>0</v>
      </c>
      <c r="AV1581" s="49" t="n">
        <v>0</v>
      </c>
      <c r="AW1581" s="50" t="n">
        <v>0</v>
      </c>
      <c r="AX1581" s="51" t="n">
        <v>0</v>
      </c>
      <c r="AY1581" s="52" t="n">
        <v>0</v>
      </c>
      <c r="AZ1581" s="52" t="n">
        <v>0</v>
      </c>
      <c r="BA1581" s="52" t="n">
        <v>0</v>
      </c>
      <c r="BB1581" s="53" t="n">
        <v>0</v>
      </c>
      <c r="BC1581" s="52" t="n">
        <v>0</v>
      </c>
      <c r="BD1581" s="53" t="n">
        <v>0</v>
      </c>
      <c r="BE1581" s="52" t="n">
        <v>0</v>
      </c>
      <c r="BF1581" s="51" t="n">
        <v>0</v>
      </c>
    </row>
    <row r="1582">
      <c r="A1582">
        <f>HYPERLINK("https://www.walmart.com/ip/1506505566", "1506505566")</f>
        <v/>
      </c>
      <c r="B1582" t="inlineStr">
        <is>
          <t>Catalonia Sherpa Fleece Blanket for Bed, Super Soft  Plush Sofa Couch Throw Blanket, TV Bed Blanket, Comfy Cozy Fluffy Warm Comforter, Red Plaid, 60'' x 80''</t>
        </is>
      </c>
      <c r="C1582" t="inlineStr">
        <is>
          <t>1CTBF368PRD</t>
        </is>
      </c>
      <c r="D1582" t="inlineStr">
        <is>
          <t>Throws</t>
        </is>
      </c>
      <c r="E1582" t="inlineStr">
        <is>
          <t>Catalonia</t>
        </is>
      </c>
      <c r="F1582" t="inlineStr">
        <is>
          <t>Fleece Blankets,Batch 1 - TR</t>
        </is>
      </c>
      <c r="G1582" s="48" t="n">
        <v>0</v>
      </c>
      <c r="H1582" s="49" t="n">
        <v>0</v>
      </c>
      <c r="I1582" s="49" t="n">
        <v>0</v>
      </c>
      <c r="J1582" s="50" t="n">
        <v>0</v>
      </c>
      <c r="K1582" s="51" t="n">
        <v>0</v>
      </c>
      <c r="L1582" s="52" t="n">
        <v>0</v>
      </c>
      <c r="M1582" s="52" t="n">
        <v>0</v>
      </c>
      <c r="N1582" s="52" t="n">
        <v>0</v>
      </c>
      <c r="O1582" s="53" t="n">
        <v>0</v>
      </c>
      <c r="P1582" s="52" t="n">
        <v>0</v>
      </c>
      <c r="Q1582" s="53" t="n">
        <v>0</v>
      </c>
      <c r="R1582" s="52" t="n">
        <v>0</v>
      </c>
      <c r="S1582" s="51" t="n">
        <v>0</v>
      </c>
      <c r="T1582" s="48" t="n">
        <v>0</v>
      </c>
      <c r="U1582" s="49" t="n">
        <v>0</v>
      </c>
      <c r="V1582" s="49" t="n">
        <v>0</v>
      </c>
      <c r="W1582" s="50" t="n">
        <v>0</v>
      </c>
      <c r="X1582" s="51" t="n">
        <v>0</v>
      </c>
      <c r="Y1582" s="52" t="n">
        <v>0</v>
      </c>
      <c r="Z1582" s="52" t="n">
        <v>0</v>
      </c>
      <c r="AA1582" s="52" t="n">
        <v>0</v>
      </c>
      <c r="AB1582" s="53" t="n">
        <v>0</v>
      </c>
      <c r="AC1582" s="52" t="n">
        <v>0</v>
      </c>
      <c r="AD1582" s="53" t="n">
        <v>0</v>
      </c>
      <c r="AE1582" s="52" t="n">
        <v>0</v>
      </c>
      <c r="AF1582" s="51" t="n">
        <v>0</v>
      </c>
      <c r="AG1582" s="48" t="n">
        <v>0</v>
      </c>
      <c r="AH1582" s="49" t="n">
        <v>0</v>
      </c>
      <c r="AI1582" s="49" t="n">
        <v>0</v>
      </c>
      <c r="AJ1582" s="50" t="n">
        <v>0</v>
      </c>
      <c r="AK1582" s="51" t="n">
        <v>0</v>
      </c>
      <c r="AL1582" s="52" t="n">
        <v>0</v>
      </c>
      <c r="AM1582" s="52" t="n">
        <v>0</v>
      </c>
      <c r="AN1582" s="52" t="n">
        <v>0</v>
      </c>
      <c r="AO1582" s="53" t="n">
        <v>0</v>
      </c>
      <c r="AP1582" s="52" t="n">
        <v>0</v>
      </c>
      <c r="AQ1582" s="53" t="n">
        <v>0</v>
      </c>
      <c r="AR1582" s="52" t="n">
        <v>0</v>
      </c>
      <c r="AS1582" s="51" t="n">
        <v>0</v>
      </c>
      <c r="AT1582" s="48" t="n">
        <v>0</v>
      </c>
      <c r="AU1582" s="49" t="n">
        <v>0</v>
      </c>
      <c r="AV1582" s="49" t="n">
        <v>0</v>
      </c>
      <c r="AW1582" s="50" t="n">
        <v>0</v>
      </c>
      <c r="AX1582" s="51" t="n">
        <v>0</v>
      </c>
      <c r="AY1582" s="52" t="n">
        <v>0</v>
      </c>
      <c r="AZ1582" s="52" t="n">
        <v>0</v>
      </c>
      <c r="BA1582" s="52" t="n">
        <v>0</v>
      </c>
      <c r="BB1582" s="53" t="n">
        <v>0</v>
      </c>
      <c r="BC1582" s="52" t="n">
        <v>0</v>
      </c>
      <c r="BD1582" s="53" t="n">
        <v>0</v>
      </c>
      <c r="BE1582" s="52" t="n">
        <v>0</v>
      </c>
      <c r="BF1582" s="51" t="n">
        <v>0</v>
      </c>
    </row>
    <row r="1583">
      <c r="A1583">
        <f>HYPERLINK("https://www.walmart.com/ip/150658449", "150658449")</f>
        <v/>
      </c>
      <c r="B1583" t="inlineStr">
        <is>
          <t>KC Caps® Unisex Cotton Baseball Cap Adjustable Plain Hat (21 Styles/Colors)</t>
        </is>
      </c>
      <c r="C1583" t="inlineStr">
        <is>
          <t>KC8010PP</t>
        </is>
      </c>
      <c r="D1583" t="inlineStr">
        <is>
          <t>Hats</t>
        </is>
      </c>
      <c r="E1583" t="inlineStr">
        <is>
          <t>KC Caps</t>
        </is>
      </c>
      <c r="F1583" t="inlineStr">
        <is>
          <t>Optimized</t>
        </is>
      </c>
      <c r="G1583" s="48" t="n">
        <v>0</v>
      </c>
      <c r="H1583" s="49" t="n">
        <v>0</v>
      </c>
      <c r="I1583" s="49" t="n">
        <v>0</v>
      </c>
      <c r="J1583" s="50" t="n">
        <v>0</v>
      </c>
      <c r="K1583" s="51" t="n">
        <v>0</v>
      </c>
      <c r="L1583" s="52" t="n">
        <v>0</v>
      </c>
      <c r="M1583" s="52" t="n">
        <v>0</v>
      </c>
      <c r="N1583" s="52" t="n">
        <v>0</v>
      </c>
      <c r="O1583" s="53" t="n">
        <v>0</v>
      </c>
      <c r="P1583" s="52" t="n">
        <v>0</v>
      </c>
      <c r="Q1583" s="53" t="n">
        <v>0</v>
      </c>
      <c r="R1583" s="52" t="n">
        <v>0</v>
      </c>
      <c r="S1583" s="51" t="n">
        <v>0</v>
      </c>
      <c r="T1583" s="48" t="n">
        <v>0</v>
      </c>
      <c r="U1583" s="49" t="n">
        <v>0</v>
      </c>
      <c r="V1583" s="49" t="n">
        <v>0</v>
      </c>
      <c r="W1583" s="50" t="n">
        <v>0</v>
      </c>
      <c r="X1583" s="51" t="n">
        <v>0</v>
      </c>
      <c r="Y1583" s="52" t="n">
        <v>0</v>
      </c>
      <c r="Z1583" s="52" t="n">
        <v>0</v>
      </c>
      <c r="AA1583" s="52" t="n">
        <v>0</v>
      </c>
      <c r="AB1583" s="53" t="n">
        <v>0</v>
      </c>
      <c r="AC1583" s="52" t="n">
        <v>0</v>
      </c>
      <c r="AD1583" s="53" t="n">
        <v>0</v>
      </c>
      <c r="AE1583" s="52" t="n">
        <v>0</v>
      </c>
      <c r="AF1583" s="51" t="n">
        <v>0</v>
      </c>
      <c r="AG1583" s="48" t="n">
        <v>0</v>
      </c>
      <c r="AH1583" s="49" t="n">
        <v>0</v>
      </c>
      <c r="AI1583" s="49" t="n">
        <v>0</v>
      </c>
      <c r="AJ1583" s="50" t="n">
        <v>0</v>
      </c>
      <c r="AK1583" s="51" t="n">
        <v>0</v>
      </c>
      <c r="AL1583" s="52" t="n">
        <v>0</v>
      </c>
      <c r="AM1583" s="52" t="n">
        <v>0</v>
      </c>
      <c r="AN1583" s="52" t="n">
        <v>0</v>
      </c>
      <c r="AO1583" s="53" t="n">
        <v>0</v>
      </c>
      <c r="AP1583" s="52" t="n">
        <v>0</v>
      </c>
      <c r="AQ1583" s="53" t="n">
        <v>0</v>
      </c>
      <c r="AR1583" s="52" t="n">
        <v>0</v>
      </c>
      <c r="AS1583" s="51" t="n">
        <v>0</v>
      </c>
      <c r="AT1583" s="48" t="n">
        <v>0</v>
      </c>
      <c r="AU1583" s="49" t="n">
        <v>0</v>
      </c>
      <c r="AV1583" s="49" t="n">
        <v>0</v>
      </c>
      <c r="AW1583" s="50" t="n">
        <v>0</v>
      </c>
      <c r="AX1583" s="51" t="n">
        <v>0</v>
      </c>
      <c r="AY1583" s="52" t="n">
        <v>0</v>
      </c>
      <c r="AZ1583" s="52" t="n">
        <v>0</v>
      </c>
      <c r="BA1583" s="52" t="n">
        <v>0</v>
      </c>
      <c r="BB1583" s="53" t="n">
        <v>0</v>
      </c>
      <c r="BC1583" s="52" t="n">
        <v>0</v>
      </c>
      <c r="BD1583" s="53" t="n">
        <v>0</v>
      </c>
      <c r="BE1583" s="52" t="n">
        <v>0</v>
      </c>
      <c r="BF1583" s="51" t="n">
        <v>0</v>
      </c>
    </row>
    <row r="1584">
      <c r="A1584">
        <f>HYPERLINK("https://www.walmart.com/ip/1508580006", "1508580006")</f>
        <v/>
      </c>
      <c r="B1584" t="inlineStr">
        <is>
          <t>Sun Visor Sports Cotton Twill Plain Hat with Adjustable Strap for Men Women Outdoor Golf Tennis Running Jogging Hiking</t>
        </is>
      </c>
      <c r="C1584" t="inlineStr">
        <is>
          <t>1SLVS4130RD - 12pcs</t>
        </is>
      </c>
      <c r="D1584" t="inlineStr">
        <is>
          <t>Tennis Visors</t>
        </is>
      </c>
      <c r="E1584" t="inlineStr">
        <is>
          <t>Solaris</t>
        </is>
      </c>
      <c r="G1584" s="48" t="n">
        <v>0</v>
      </c>
      <c r="H1584" s="49" t="n">
        <v>0</v>
      </c>
      <c r="I1584" s="49" t="n">
        <v>0</v>
      </c>
      <c r="J1584" s="50" t="n">
        <v>0</v>
      </c>
      <c r="K1584" s="51" t="n">
        <v>0</v>
      </c>
      <c r="L1584" s="52" t="n">
        <v>0</v>
      </c>
      <c r="M1584" s="52" t="n">
        <v>0</v>
      </c>
      <c r="N1584" s="52" t="n">
        <v>0</v>
      </c>
      <c r="O1584" s="53" t="n">
        <v>0</v>
      </c>
      <c r="P1584" s="52" t="n">
        <v>0</v>
      </c>
      <c r="Q1584" s="53" t="n">
        <v>0</v>
      </c>
      <c r="R1584" s="52" t="n">
        <v>0</v>
      </c>
      <c r="S1584" s="51" t="n">
        <v>0</v>
      </c>
      <c r="T1584" s="48" t="n">
        <v>0</v>
      </c>
      <c r="U1584" s="49" t="n">
        <v>0</v>
      </c>
      <c r="V1584" s="49" t="n">
        <v>0</v>
      </c>
      <c r="W1584" s="50" t="n">
        <v>0</v>
      </c>
      <c r="X1584" s="51" t="n">
        <v>0</v>
      </c>
      <c r="Y1584" s="52" t="n">
        <v>0</v>
      </c>
      <c r="Z1584" s="52" t="n">
        <v>0</v>
      </c>
      <c r="AA1584" s="52" t="n">
        <v>0</v>
      </c>
      <c r="AB1584" s="53" t="n">
        <v>0</v>
      </c>
      <c r="AC1584" s="52" t="n">
        <v>0</v>
      </c>
      <c r="AD1584" s="53" t="n">
        <v>0</v>
      </c>
      <c r="AE1584" s="52" t="n">
        <v>0</v>
      </c>
      <c r="AF1584" s="51" t="n">
        <v>0</v>
      </c>
      <c r="AG1584" s="48" t="n">
        <v>0</v>
      </c>
      <c r="AH1584" s="49" t="n">
        <v>0</v>
      </c>
      <c r="AI1584" s="49" t="n">
        <v>0</v>
      </c>
      <c r="AJ1584" s="50" t="n">
        <v>0</v>
      </c>
      <c r="AK1584" s="51" t="n">
        <v>0</v>
      </c>
      <c r="AL1584" s="52" t="n">
        <v>0</v>
      </c>
      <c r="AM1584" s="52" t="n">
        <v>0</v>
      </c>
      <c r="AN1584" s="52" t="n">
        <v>0</v>
      </c>
      <c r="AO1584" s="53" t="n">
        <v>0</v>
      </c>
      <c r="AP1584" s="52" t="n">
        <v>0</v>
      </c>
      <c r="AQ1584" s="53" t="n">
        <v>0</v>
      </c>
      <c r="AR1584" s="52" t="n">
        <v>0</v>
      </c>
      <c r="AS1584" s="51" t="n">
        <v>0</v>
      </c>
      <c r="AT1584" s="48" t="n">
        <v>0</v>
      </c>
      <c r="AU1584" s="49" t="n">
        <v>0</v>
      </c>
      <c r="AV1584" s="49" t="n">
        <v>0</v>
      </c>
      <c r="AW1584" s="50" t="n">
        <v>0</v>
      </c>
      <c r="AX1584" s="51" t="n">
        <v>0</v>
      </c>
      <c r="AY1584" s="52" t="n">
        <v>0</v>
      </c>
      <c r="AZ1584" s="52" t="n">
        <v>0</v>
      </c>
      <c r="BA1584" s="52" t="n">
        <v>0</v>
      </c>
      <c r="BB1584" s="53" t="n">
        <v>0</v>
      </c>
      <c r="BC1584" s="52" t="n">
        <v>0</v>
      </c>
      <c r="BD1584" s="53" t="n">
        <v>0</v>
      </c>
      <c r="BE1584" s="52" t="n">
        <v>0</v>
      </c>
      <c r="BF1584" s="51" t="n">
        <v>0</v>
      </c>
    </row>
    <row r="1585">
      <c r="A1585">
        <f>HYPERLINK("https://www.walmart.com/ip/1512227422", "1512227422")</f>
        <v/>
      </c>
      <c r="B1585" t="inlineStr">
        <is>
          <t>Sun Visor Sports Cotton Twill Plain Hat with Adjustable Strap for Men Women Outdoor Golf Tennis Running Jogging Hiking</t>
        </is>
      </c>
      <c r="C1585" t="inlineStr">
        <is>
          <t>1SLVS4130DKGN</t>
        </is>
      </c>
      <c r="D1585" t="inlineStr">
        <is>
          <t>Tennis Visors</t>
        </is>
      </c>
      <c r="E1585" t="inlineStr">
        <is>
          <t>Solaris</t>
        </is>
      </c>
      <c r="G1585" s="48" t="n">
        <v>0</v>
      </c>
      <c r="H1585" s="49" t="n">
        <v>0</v>
      </c>
      <c r="I1585" s="49" t="n">
        <v>0</v>
      </c>
      <c r="J1585" s="50" t="n">
        <v>0</v>
      </c>
      <c r="K1585" s="51" t="n">
        <v>0</v>
      </c>
      <c r="L1585" s="52" t="n">
        <v>0</v>
      </c>
      <c r="M1585" s="52" t="n">
        <v>0</v>
      </c>
      <c r="N1585" s="52" t="n">
        <v>0</v>
      </c>
      <c r="O1585" s="53" t="n">
        <v>0</v>
      </c>
      <c r="P1585" s="52" t="n">
        <v>0</v>
      </c>
      <c r="Q1585" s="53" t="n">
        <v>0</v>
      </c>
      <c r="R1585" s="52" t="n">
        <v>0</v>
      </c>
      <c r="S1585" s="51" t="n">
        <v>0</v>
      </c>
      <c r="T1585" s="48" t="n">
        <v>0</v>
      </c>
      <c r="U1585" s="49" t="n">
        <v>0</v>
      </c>
      <c r="V1585" s="49" t="n">
        <v>0</v>
      </c>
      <c r="W1585" s="50" t="n">
        <v>0</v>
      </c>
      <c r="X1585" s="51" t="n">
        <v>0</v>
      </c>
      <c r="Y1585" s="52" t="n">
        <v>0</v>
      </c>
      <c r="Z1585" s="52" t="n">
        <v>0</v>
      </c>
      <c r="AA1585" s="52" t="n">
        <v>0</v>
      </c>
      <c r="AB1585" s="53" t="n">
        <v>0</v>
      </c>
      <c r="AC1585" s="52" t="n">
        <v>0</v>
      </c>
      <c r="AD1585" s="53" t="n">
        <v>0</v>
      </c>
      <c r="AE1585" s="52" t="n">
        <v>0</v>
      </c>
      <c r="AF1585" s="51" t="n">
        <v>0</v>
      </c>
      <c r="AG1585" s="48" t="n">
        <v>0</v>
      </c>
      <c r="AH1585" s="49" t="n">
        <v>0</v>
      </c>
      <c r="AI1585" s="49" t="n">
        <v>0</v>
      </c>
      <c r="AJ1585" s="50" t="n">
        <v>0</v>
      </c>
      <c r="AK1585" s="51" t="n">
        <v>0</v>
      </c>
      <c r="AL1585" s="52" t="n">
        <v>0</v>
      </c>
      <c r="AM1585" s="52" t="n">
        <v>0</v>
      </c>
      <c r="AN1585" s="52" t="n">
        <v>0</v>
      </c>
      <c r="AO1585" s="53" t="n">
        <v>0</v>
      </c>
      <c r="AP1585" s="52" t="n">
        <v>0</v>
      </c>
      <c r="AQ1585" s="53" t="n">
        <v>0</v>
      </c>
      <c r="AR1585" s="52" t="n">
        <v>0</v>
      </c>
      <c r="AS1585" s="51" t="n">
        <v>0</v>
      </c>
      <c r="AT1585" s="48" t="n">
        <v>0</v>
      </c>
      <c r="AU1585" s="49" t="n">
        <v>0</v>
      </c>
      <c r="AV1585" s="49" t="n">
        <v>0</v>
      </c>
      <c r="AW1585" s="50" t="n">
        <v>0</v>
      </c>
      <c r="AX1585" s="51" t="n">
        <v>0</v>
      </c>
      <c r="AY1585" s="52" t="n">
        <v>0</v>
      </c>
      <c r="AZ1585" s="52" t="n">
        <v>0</v>
      </c>
      <c r="BA1585" s="52" t="n">
        <v>0</v>
      </c>
      <c r="BB1585" s="53" t="n">
        <v>0</v>
      </c>
      <c r="BC1585" s="52" t="n">
        <v>0</v>
      </c>
      <c r="BD1585" s="53" t="n">
        <v>0</v>
      </c>
      <c r="BE1585" s="52" t="n">
        <v>0</v>
      </c>
      <c r="BF1585" s="51" t="n">
        <v>0</v>
      </c>
    </row>
    <row r="1586">
      <c r="A1586">
        <f>HYPERLINK("https://www.walmart.com/ip/151458400", "151458400")</f>
        <v/>
      </c>
      <c r="B1586" t="inlineStr">
        <is>
          <t>Tirrinia Reversible Sherpa Chevron Throw Blanket, 50" x 60", Blue</t>
        </is>
      </c>
      <c r="C1586" t="inlineStr">
        <is>
          <t>1TRBF320BL-TBCB</t>
        </is>
      </c>
      <c r="D1586" t="inlineStr">
        <is>
          <t>Throws</t>
        </is>
      </c>
      <c r="E1586" t="inlineStr">
        <is>
          <t>Tirrinia</t>
        </is>
      </c>
      <c r="F1586" t="inlineStr">
        <is>
          <t>Batch 1 - TR</t>
        </is>
      </c>
      <c r="G1586" s="48" t="n">
        <v>0</v>
      </c>
      <c r="H1586" s="49" t="n">
        <v>0</v>
      </c>
      <c r="I1586" s="49" t="n">
        <v>0</v>
      </c>
      <c r="J1586" s="50" t="n">
        <v>0</v>
      </c>
      <c r="K1586" s="51" t="n">
        <v>0</v>
      </c>
      <c r="L1586" s="52" t="n">
        <v>0</v>
      </c>
      <c r="M1586" s="52" t="n">
        <v>0</v>
      </c>
      <c r="N1586" s="52" t="n">
        <v>0</v>
      </c>
      <c r="O1586" s="53" t="n">
        <v>0</v>
      </c>
      <c r="P1586" s="52" t="n">
        <v>0</v>
      </c>
      <c r="Q1586" s="53" t="n">
        <v>0</v>
      </c>
      <c r="R1586" s="52" t="n">
        <v>0</v>
      </c>
      <c r="S1586" s="51" t="n">
        <v>0</v>
      </c>
      <c r="T1586" s="48" t="n">
        <v>0</v>
      </c>
      <c r="U1586" s="49" t="n">
        <v>0</v>
      </c>
      <c r="V1586" s="49" t="n">
        <v>0</v>
      </c>
      <c r="W1586" s="50" t="n">
        <v>0</v>
      </c>
      <c r="X1586" s="51" t="n">
        <v>0</v>
      </c>
      <c r="Y1586" s="52" t="n">
        <v>0</v>
      </c>
      <c r="Z1586" s="52" t="n">
        <v>0</v>
      </c>
      <c r="AA1586" s="52" t="n">
        <v>0</v>
      </c>
      <c r="AB1586" s="53" t="n">
        <v>0</v>
      </c>
      <c r="AC1586" s="52" t="n">
        <v>0</v>
      </c>
      <c r="AD1586" s="53" t="n">
        <v>0</v>
      </c>
      <c r="AE1586" s="52" t="n">
        <v>0</v>
      </c>
      <c r="AF1586" s="51" t="n">
        <v>0</v>
      </c>
      <c r="AG1586" s="48" t="n">
        <v>0</v>
      </c>
      <c r="AH1586" s="49" t="n">
        <v>0</v>
      </c>
      <c r="AI1586" s="49" t="n">
        <v>0</v>
      </c>
      <c r="AJ1586" s="50" t="n">
        <v>0</v>
      </c>
      <c r="AK1586" s="51" t="n">
        <v>0</v>
      </c>
      <c r="AL1586" s="52" t="n">
        <v>0</v>
      </c>
      <c r="AM1586" s="52" t="n">
        <v>0</v>
      </c>
      <c r="AN1586" s="52" t="n">
        <v>0</v>
      </c>
      <c r="AO1586" s="53" t="n">
        <v>0</v>
      </c>
      <c r="AP1586" s="52" t="n">
        <v>0</v>
      </c>
      <c r="AQ1586" s="53" t="n">
        <v>0</v>
      </c>
      <c r="AR1586" s="52" t="n">
        <v>0</v>
      </c>
      <c r="AS1586" s="51" t="n">
        <v>0</v>
      </c>
      <c r="AT1586" s="48" t="n">
        <v>0</v>
      </c>
      <c r="AU1586" s="49" t="n">
        <v>0</v>
      </c>
      <c r="AV1586" s="49" t="n">
        <v>0</v>
      </c>
      <c r="AW1586" s="50" t="n">
        <v>0</v>
      </c>
      <c r="AX1586" s="51" t="n">
        <v>0</v>
      </c>
      <c r="AY1586" s="52" t="n">
        <v>0</v>
      </c>
      <c r="AZ1586" s="52" t="n">
        <v>0</v>
      </c>
      <c r="BA1586" s="52" t="n">
        <v>0</v>
      </c>
      <c r="BB1586" s="53" t="n">
        <v>0</v>
      </c>
      <c r="BC1586" s="52" t="n">
        <v>0</v>
      </c>
      <c r="BD1586" s="53" t="n">
        <v>0</v>
      </c>
      <c r="BE1586" s="52" t="n">
        <v>0</v>
      </c>
      <c r="BF1586" s="51" t="n">
        <v>0</v>
      </c>
    </row>
    <row r="1587">
      <c r="A1587">
        <f>HYPERLINK("https://www.walmart.com/ip/15169814317", "15169814317")</f>
        <v/>
      </c>
      <c r="B1587" t="inlineStr">
        <is>
          <t>Catalonia Kids Mermaid Tail Blanket,Super Soft Plush Flannel Sleeping Snuggle Blanket for Girls,Rainbow Ombre,Fish Scale Pattern,Gift Idea</t>
        </is>
      </c>
      <c r="C1587" t="inlineStr">
        <is>
          <t>1CTMM510STARLIGHT</t>
        </is>
      </c>
      <c r="D1587" t="inlineStr">
        <is>
          <t>Throws</t>
        </is>
      </c>
      <c r="E1587" t="inlineStr">
        <is>
          <t>Catalonia</t>
        </is>
      </c>
      <c r="G1587" s="48" t="n">
        <v>0</v>
      </c>
      <c r="H1587" s="49" t="n">
        <v>0</v>
      </c>
      <c r="I1587" s="49" t="n">
        <v>0</v>
      </c>
      <c r="J1587" s="50" t="n">
        <v>0</v>
      </c>
      <c r="K1587" s="51" t="n">
        <v>0</v>
      </c>
      <c r="L1587" s="52" t="n">
        <v>0</v>
      </c>
      <c r="M1587" s="52" t="n">
        <v>0</v>
      </c>
      <c r="N1587" s="52" t="n">
        <v>0</v>
      </c>
      <c r="O1587" s="53" t="n">
        <v>0</v>
      </c>
      <c r="P1587" s="52" t="n">
        <v>0</v>
      </c>
      <c r="Q1587" s="53" t="n">
        <v>0</v>
      </c>
      <c r="R1587" s="52" t="n">
        <v>0</v>
      </c>
      <c r="S1587" s="51" t="n">
        <v>0</v>
      </c>
      <c r="T1587" s="48" t="n">
        <v>0</v>
      </c>
      <c r="U1587" s="49" t="n">
        <v>0</v>
      </c>
      <c r="V1587" s="49" t="n">
        <v>0</v>
      </c>
      <c r="W1587" s="50" t="n">
        <v>0</v>
      </c>
      <c r="X1587" s="51" t="n">
        <v>0</v>
      </c>
      <c r="Y1587" s="52" t="n">
        <v>0</v>
      </c>
      <c r="Z1587" s="52" t="n">
        <v>0</v>
      </c>
      <c r="AA1587" s="52" t="n">
        <v>0</v>
      </c>
      <c r="AB1587" s="53" t="n">
        <v>0</v>
      </c>
      <c r="AC1587" s="52" t="n">
        <v>0</v>
      </c>
      <c r="AD1587" s="53" t="n">
        <v>0</v>
      </c>
      <c r="AE1587" s="52" t="n">
        <v>0</v>
      </c>
      <c r="AF1587" s="51" t="n">
        <v>0</v>
      </c>
      <c r="AG1587" s="48" t="n">
        <v>0</v>
      </c>
      <c r="AH1587" s="49" t="n">
        <v>0</v>
      </c>
      <c r="AI1587" s="49" t="n">
        <v>0</v>
      </c>
      <c r="AJ1587" s="50" t="n">
        <v>0</v>
      </c>
      <c r="AK1587" s="51" t="n">
        <v>0</v>
      </c>
      <c r="AL1587" s="52" t="n">
        <v>0</v>
      </c>
      <c r="AM1587" s="52" t="n">
        <v>0</v>
      </c>
      <c r="AN1587" s="52" t="n">
        <v>0</v>
      </c>
      <c r="AO1587" s="53" t="n">
        <v>0</v>
      </c>
      <c r="AP1587" s="52" t="n">
        <v>0</v>
      </c>
      <c r="AQ1587" s="53" t="n">
        <v>0</v>
      </c>
      <c r="AR1587" s="52" t="n">
        <v>0</v>
      </c>
      <c r="AS1587" s="51" t="n">
        <v>0</v>
      </c>
      <c r="AT1587" s="48" t="n">
        <v>0</v>
      </c>
      <c r="AU1587" s="49" t="n">
        <v>0</v>
      </c>
      <c r="AV1587" s="49" t="n">
        <v>0</v>
      </c>
      <c r="AW1587" s="50" t="n">
        <v>0</v>
      </c>
      <c r="AX1587" s="51" t="n">
        <v>0</v>
      </c>
      <c r="AY1587" s="52" t="n">
        <v>0</v>
      </c>
      <c r="AZ1587" s="52" t="n">
        <v>0</v>
      </c>
      <c r="BA1587" s="52" t="n">
        <v>0</v>
      </c>
      <c r="BB1587" s="53" t="n">
        <v>0</v>
      </c>
      <c r="BC1587" s="52" t="n">
        <v>0</v>
      </c>
      <c r="BD1587" s="53" t="n">
        <v>0</v>
      </c>
      <c r="BE1587" s="52" t="n">
        <v>0</v>
      </c>
      <c r="BF1587" s="51" t="n">
        <v>0</v>
      </c>
    </row>
    <row r="1588">
      <c r="A1588">
        <f>HYPERLINK("https://www.walmart.com/ip/1517667797", "1517667797")</f>
        <v/>
      </c>
      <c r="B1588" t="inlineStr">
        <is>
          <t>Every Day is Christmas Glass Blown Ornaments 2021 Cute Hand Made Figurines Tree Decoration, Motorcyle Santa</t>
        </is>
      </c>
      <c r="C1588" t="inlineStr">
        <is>
          <t>EDC-FIGURINE-MOTORSANTA</t>
        </is>
      </c>
      <c r="D1588" t="inlineStr">
        <is>
          <t>Ornaments</t>
        </is>
      </c>
      <c r="E1588" t="inlineStr">
        <is>
          <t>Every Day is Christmas</t>
        </is>
      </c>
      <c r="G1588" s="48" t="n">
        <v>0</v>
      </c>
      <c r="H1588" s="49" t="n">
        <v>0</v>
      </c>
      <c r="I1588" s="49" t="n">
        <v>0</v>
      </c>
      <c r="J1588" s="50" t="n">
        <v>0</v>
      </c>
      <c r="K1588" s="51" t="n">
        <v>0</v>
      </c>
      <c r="L1588" s="52" t="n">
        <v>0</v>
      </c>
      <c r="M1588" s="52" t="n">
        <v>0</v>
      </c>
      <c r="N1588" s="52" t="n">
        <v>0</v>
      </c>
      <c r="O1588" s="53" t="n">
        <v>0</v>
      </c>
      <c r="P1588" s="52" t="n">
        <v>0</v>
      </c>
      <c r="Q1588" s="53" t="n">
        <v>0</v>
      </c>
      <c r="R1588" s="52" t="n">
        <v>0</v>
      </c>
      <c r="S1588" s="51" t="n">
        <v>0</v>
      </c>
      <c r="T1588" s="48" t="n">
        <v>0</v>
      </c>
      <c r="U1588" s="49" t="n">
        <v>0</v>
      </c>
      <c r="V1588" s="49" t="n">
        <v>0</v>
      </c>
      <c r="W1588" s="50" t="n">
        <v>0</v>
      </c>
      <c r="X1588" s="51" t="n">
        <v>0</v>
      </c>
      <c r="Y1588" s="52" t="n">
        <v>0</v>
      </c>
      <c r="Z1588" s="52" t="n">
        <v>0</v>
      </c>
      <c r="AA1588" s="52" t="n">
        <v>0</v>
      </c>
      <c r="AB1588" s="53" t="n">
        <v>0</v>
      </c>
      <c r="AC1588" s="52" t="n">
        <v>0</v>
      </c>
      <c r="AD1588" s="53" t="n">
        <v>0</v>
      </c>
      <c r="AE1588" s="52" t="n">
        <v>0</v>
      </c>
      <c r="AF1588" s="51" t="n">
        <v>0</v>
      </c>
      <c r="AG1588" s="48" t="n">
        <v>0</v>
      </c>
      <c r="AH1588" s="49" t="n">
        <v>0</v>
      </c>
      <c r="AI1588" s="49" t="n">
        <v>0</v>
      </c>
      <c r="AJ1588" s="50" t="n">
        <v>0</v>
      </c>
      <c r="AK1588" s="51" t="n">
        <v>0</v>
      </c>
      <c r="AL1588" s="52" t="n">
        <v>0</v>
      </c>
      <c r="AM1588" s="52" t="n">
        <v>0</v>
      </c>
      <c r="AN1588" s="52" t="n">
        <v>0</v>
      </c>
      <c r="AO1588" s="53" t="n">
        <v>0</v>
      </c>
      <c r="AP1588" s="52" t="n">
        <v>0</v>
      </c>
      <c r="AQ1588" s="53" t="n">
        <v>0</v>
      </c>
      <c r="AR1588" s="52" t="n">
        <v>0</v>
      </c>
      <c r="AS1588" s="51" t="n">
        <v>0</v>
      </c>
      <c r="AT1588" s="48" t="n">
        <v>0</v>
      </c>
      <c r="AU1588" s="49" t="n">
        <v>0</v>
      </c>
      <c r="AV1588" s="49" t="n">
        <v>0</v>
      </c>
      <c r="AW1588" s="50" t="n">
        <v>0</v>
      </c>
      <c r="AX1588" s="51" t="n">
        <v>0</v>
      </c>
      <c r="AY1588" s="52" t="n">
        <v>0</v>
      </c>
      <c r="AZ1588" s="52" t="n">
        <v>0</v>
      </c>
      <c r="BA1588" s="52" t="n">
        <v>0</v>
      </c>
      <c r="BB1588" s="53" t="n">
        <v>0</v>
      </c>
      <c r="BC1588" s="52" t="n">
        <v>0</v>
      </c>
      <c r="BD1588" s="53" t="n">
        <v>0</v>
      </c>
      <c r="BE1588" s="52" t="n">
        <v>0</v>
      </c>
      <c r="BF1588" s="51" t="n">
        <v>0</v>
      </c>
    </row>
    <row r="1589">
      <c r="A1589">
        <f>HYPERLINK("https://www.walmart.com/ip/1495047112", "1495047112")</f>
        <v/>
      </c>
      <c r="B1589" t="inlineStr">
        <is>
          <t>Tirrinia Insulated Lunch Bag for Women Men, Leakproof Thermal Reusable Lunch Box for Adult &amp; Kids by Tirrinia, Lunch Cooler Tote for Office Work, Space Pattern</t>
        </is>
      </c>
      <c r="C1589" t="inlineStr">
        <is>
          <t>1TRLB701SPACE-N</t>
        </is>
      </c>
      <c r="D1589" t="inlineStr">
        <is>
          <t>Reusable Lunch Bags &amp; Boxes</t>
        </is>
      </c>
      <c r="E1589" t="inlineStr">
        <is>
          <t>Tirrinia</t>
        </is>
      </c>
      <c r="F1589" t="inlineStr">
        <is>
          <t>Q2-Target,Brand Camp VD,Batch 1 - TR</t>
        </is>
      </c>
      <c r="G1589" s="48" t="n">
        <v>0</v>
      </c>
      <c r="H1589" s="49" t="n">
        <v>0</v>
      </c>
      <c r="I1589" s="49" t="n">
        <v>4</v>
      </c>
      <c r="J1589" s="50" t="n">
        <v>0</v>
      </c>
      <c r="K1589" s="51" t="n">
        <v>0</v>
      </c>
      <c r="L1589" s="52" t="n">
        <v>0</v>
      </c>
      <c r="M1589" s="52" t="n">
        <v>0</v>
      </c>
      <c r="N1589" s="52" t="n">
        <v>0</v>
      </c>
      <c r="O1589" s="53" t="n">
        <v>0</v>
      </c>
      <c r="P1589" s="52" t="n">
        <v>0</v>
      </c>
      <c r="Q1589" s="53" t="n">
        <v>0</v>
      </c>
      <c r="R1589" s="52" t="n">
        <v>0</v>
      </c>
      <c r="S1589" s="51" t="n">
        <v>0</v>
      </c>
      <c r="T1589" s="48" t="n">
        <v>41.97</v>
      </c>
      <c r="U1589" s="49" t="n">
        <v>3</v>
      </c>
      <c r="V1589" s="49" t="n">
        <v>18</v>
      </c>
      <c r="W1589" s="50" t="n">
        <v>0.1666666666666667</v>
      </c>
      <c r="X1589" s="51" t="n">
        <v>0</v>
      </c>
      <c r="Y1589" s="52" t="n">
        <v>0</v>
      </c>
      <c r="Z1589" s="52" t="n">
        <v>0</v>
      </c>
      <c r="AA1589" s="52" t="n">
        <v>0</v>
      </c>
      <c r="AB1589" s="53" t="n">
        <v>0</v>
      </c>
      <c r="AC1589" s="52" t="n">
        <v>0</v>
      </c>
      <c r="AD1589" s="53" t="n">
        <v>0</v>
      </c>
      <c r="AE1589" s="52" t="n">
        <v>13.99</v>
      </c>
      <c r="AF1589" s="51" t="n">
        <v>0</v>
      </c>
      <c r="AG1589" s="48" t="n">
        <v>0</v>
      </c>
      <c r="AH1589" s="49" t="n">
        <v>0</v>
      </c>
      <c r="AI1589" s="49" t="n">
        <v>14</v>
      </c>
      <c r="AJ1589" s="50" t="n">
        <v>0</v>
      </c>
      <c r="AK1589" s="51" t="n">
        <v>0</v>
      </c>
      <c r="AL1589" s="52" t="n">
        <v>0</v>
      </c>
      <c r="AM1589" s="52" t="n">
        <v>0</v>
      </c>
      <c r="AN1589" s="52" t="n">
        <v>0</v>
      </c>
      <c r="AO1589" s="53" t="n">
        <v>0</v>
      </c>
      <c r="AP1589" s="52" t="n">
        <v>0</v>
      </c>
      <c r="AQ1589" s="53" t="n">
        <v>0</v>
      </c>
      <c r="AR1589" s="52" t="n">
        <v>0</v>
      </c>
      <c r="AS1589" s="51" t="n">
        <v>0</v>
      </c>
      <c r="AT1589" s="48" t="n">
        <v>0</v>
      </c>
      <c r="AU1589" s="49" t="n">
        <v>0</v>
      </c>
      <c r="AV1589" s="49" t="n">
        <v>12</v>
      </c>
      <c r="AW1589" s="50" t="n">
        <v>0</v>
      </c>
      <c r="AX1589" s="51" t="n">
        <v>0</v>
      </c>
      <c r="AY1589" s="52" t="n">
        <v>0</v>
      </c>
      <c r="AZ1589" s="52" t="n">
        <v>0</v>
      </c>
      <c r="BA1589" s="52" t="n">
        <v>0</v>
      </c>
      <c r="BB1589" s="53" t="n">
        <v>0</v>
      </c>
      <c r="BC1589" s="52" t="n">
        <v>0</v>
      </c>
      <c r="BD1589" s="53" t="n">
        <v>0</v>
      </c>
      <c r="BE1589" s="52" t="n">
        <v>0</v>
      </c>
      <c r="BF1589" s="51" t="n">
        <v>0</v>
      </c>
    </row>
    <row r="1590">
      <c r="A1590">
        <f>HYPERLINK("https://www.walmart.com/ip/149457462", "149457462")</f>
        <v/>
      </c>
      <c r="B1590" t="inlineStr">
        <is>
          <t>Napa® Mens Super Soft Warm Microfiber Fleece Plush Bathrobe Spa Robe with Pockets Latte</t>
        </is>
      </c>
      <c r="C1590" t="inlineStr">
        <is>
          <t>R5000LATTE-02</t>
        </is>
      </c>
      <c r="D1590" t="inlineStr">
        <is>
          <t>Sleepwear Robes &amp; Bathrobes</t>
        </is>
      </c>
      <c r="E1590" t="inlineStr">
        <is>
          <t>NAPA</t>
        </is>
      </c>
      <c r="G1590" s="48" t="n">
        <v>0</v>
      </c>
      <c r="H1590" s="49" t="n">
        <v>0</v>
      </c>
      <c r="I1590" s="49" t="n">
        <v>0</v>
      </c>
      <c r="J1590" s="50" t="n">
        <v>0</v>
      </c>
      <c r="K1590" s="51" t="n">
        <v>0</v>
      </c>
      <c r="L1590" s="52" t="n">
        <v>0</v>
      </c>
      <c r="M1590" s="52" t="n">
        <v>0</v>
      </c>
      <c r="N1590" s="52" t="n">
        <v>0</v>
      </c>
      <c r="O1590" s="53" t="n">
        <v>0</v>
      </c>
      <c r="P1590" s="52" t="n">
        <v>0</v>
      </c>
      <c r="Q1590" s="53" t="n">
        <v>0</v>
      </c>
      <c r="R1590" s="52" t="n">
        <v>0</v>
      </c>
      <c r="S1590" s="51" t="n">
        <v>0</v>
      </c>
      <c r="T1590" s="48" t="n">
        <v>0</v>
      </c>
      <c r="U1590" s="49" t="n">
        <v>0</v>
      </c>
      <c r="V1590" s="49" t="n">
        <v>0</v>
      </c>
      <c r="W1590" s="50" t="n">
        <v>0</v>
      </c>
      <c r="X1590" s="51" t="n">
        <v>0</v>
      </c>
      <c r="Y1590" s="52" t="n">
        <v>0</v>
      </c>
      <c r="Z1590" s="52" t="n">
        <v>0</v>
      </c>
      <c r="AA1590" s="52" t="n">
        <v>0</v>
      </c>
      <c r="AB1590" s="53" t="n">
        <v>0</v>
      </c>
      <c r="AC1590" s="52" t="n">
        <v>0</v>
      </c>
      <c r="AD1590" s="53" t="n">
        <v>0</v>
      </c>
      <c r="AE1590" s="52" t="n">
        <v>0</v>
      </c>
      <c r="AF1590" s="51" t="n">
        <v>0</v>
      </c>
      <c r="AG1590" s="48" t="n">
        <v>0</v>
      </c>
      <c r="AH1590" s="49" t="n">
        <v>0</v>
      </c>
      <c r="AI1590" s="49" t="n">
        <v>0</v>
      </c>
      <c r="AJ1590" s="50" t="n">
        <v>0</v>
      </c>
      <c r="AK1590" s="51" t="n">
        <v>0</v>
      </c>
      <c r="AL1590" s="52" t="n">
        <v>0</v>
      </c>
      <c r="AM1590" s="52" t="n">
        <v>0</v>
      </c>
      <c r="AN1590" s="52" t="n">
        <v>0</v>
      </c>
      <c r="AO1590" s="53" t="n">
        <v>0</v>
      </c>
      <c r="AP1590" s="52" t="n">
        <v>0</v>
      </c>
      <c r="AQ1590" s="53" t="n">
        <v>0</v>
      </c>
      <c r="AR1590" s="52" t="n">
        <v>0</v>
      </c>
      <c r="AS1590" s="51" t="n">
        <v>0</v>
      </c>
      <c r="AT1590" s="48" t="n">
        <v>0</v>
      </c>
      <c r="AU1590" s="49" t="n">
        <v>0</v>
      </c>
      <c r="AV1590" s="49" t="n">
        <v>0</v>
      </c>
      <c r="AW1590" s="50" t="n">
        <v>0</v>
      </c>
      <c r="AX1590" s="51" t="n">
        <v>0</v>
      </c>
      <c r="AY1590" s="52" t="n">
        <v>0</v>
      </c>
      <c r="AZ1590" s="52" t="n">
        <v>0</v>
      </c>
      <c r="BA1590" s="52" t="n">
        <v>0</v>
      </c>
      <c r="BB1590" s="53" t="n">
        <v>0</v>
      </c>
      <c r="BC1590" s="52" t="n">
        <v>0</v>
      </c>
      <c r="BD1590" s="53" t="n">
        <v>0</v>
      </c>
      <c r="BE1590" s="52" t="n">
        <v>0</v>
      </c>
      <c r="BF1590" s="51" t="n">
        <v>0</v>
      </c>
    </row>
    <row r="1591">
      <c r="A1591">
        <f>HYPERLINK("https://www.walmart.com/ip/149440579", "149440579")</f>
        <v/>
      </c>
      <c r="B1591" t="inlineStr">
        <is>
          <t>JenniWears Halloween Mask for Women Light Up Venetian Lace Mask LED Party Eye Mask, Perfect for Valentine’s carnivals,night club,wedding reception,costume party, Orange</t>
        </is>
      </c>
      <c r="C1591" t="inlineStr">
        <is>
          <t>JWLEDMK02-OR</t>
        </is>
      </c>
      <c r="D1591" t="inlineStr">
        <is>
          <t>Costume Masks</t>
        </is>
      </c>
      <c r="E1591" t="inlineStr">
        <is>
          <t>JenniWears</t>
        </is>
      </c>
      <c r="F1591" t="inlineStr">
        <is>
          <t>Halloween</t>
        </is>
      </c>
      <c r="G1591" s="48" t="n">
        <v>0</v>
      </c>
      <c r="H1591" s="49" t="n">
        <v>0</v>
      </c>
      <c r="I1591" s="49" t="n">
        <v>0</v>
      </c>
      <c r="J1591" s="50" t="n">
        <v>0</v>
      </c>
      <c r="K1591" s="51" t="n">
        <v>0</v>
      </c>
      <c r="L1591" s="52" t="n">
        <v>0</v>
      </c>
      <c r="M1591" s="52" t="n">
        <v>0</v>
      </c>
      <c r="N1591" s="52" t="n">
        <v>0</v>
      </c>
      <c r="O1591" s="53" t="n">
        <v>0</v>
      </c>
      <c r="P1591" s="52" t="n">
        <v>0</v>
      </c>
      <c r="Q1591" s="53" t="n">
        <v>0</v>
      </c>
      <c r="R1591" s="52" t="n">
        <v>0</v>
      </c>
      <c r="S1591" s="51" t="n">
        <v>0</v>
      </c>
      <c r="T1591" s="48" t="n">
        <v>0</v>
      </c>
      <c r="U1591" s="49" t="n">
        <v>0</v>
      </c>
      <c r="V1591" s="49" t="n">
        <v>0</v>
      </c>
      <c r="W1591" s="50" t="n">
        <v>0</v>
      </c>
      <c r="X1591" s="51" t="n">
        <v>0</v>
      </c>
      <c r="Y1591" s="52" t="n">
        <v>0</v>
      </c>
      <c r="Z1591" s="52" t="n">
        <v>0</v>
      </c>
      <c r="AA1591" s="52" t="n">
        <v>0</v>
      </c>
      <c r="AB1591" s="53" t="n">
        <v>0</v>
      </c>
      <c r="AC1591" s="52" t="n">
        <v>0</v>
      </c>
      <c r="AD1591" s="53" t="n">
        <v>0</v>
      </c>
      <c r="AE1591" s="52" t="n">
        <v>0</v>
      </c>
      <c r="AF1591" s="51" t="n">
        <v>0</v>
      </c>
      <c r="AG1591" s="48" t="n">
        <v>0</v>
      </c>
      <c r="AH1591" s="49" t="n">
        <v>0</v>
      </c>
      <c r="AI1591" s="49" t="n">
        <v>0</v>
      </c>
      <c r="AJ1591" s="50" t="n">
        <v>0</v>
      </c>
      <c r="AK1591" s="51" t="n">
        <v>0</v>
      </c>
      <c r="AL1591" s="52" t="n">
        <v>0</v>
      </c>
      <c r="AM1591" s="52" t="n">
        <v>0</v>
      </c>
      <c r="AN1591" s="52" t="n">
        <v>0</v>
      </c>
      <c r="AO1591" s="53" t="n">
        <v>0</v>
      </c>
      <c r="AP1591" s="52" t="n">
        <v>0</v>
      </c>
      <c r="AQ1591" s="53" t="n">
        <v>0</v>
      </c>
      <c r="AR1591" s="52" t="n">
        <v>0</v>
      </c>
      <c r="AS1591" s="51" t="n">
        <v>0</v>
      </c>
      <c r="AT1591" s="48" t="n">
        <v>0</v>
      </c>
      <c r="AU1591" s="49" t="n">
        <v>0</v>
      </c>
      <c r="AV1591" s="49" t="n">
        <v>0</v>
      </c>
      <c r="AW1591" s="50" t="n">
        <v>0</v>
      </c>
      <c r="AX1591" s="51" t="n">
        <v>0</v>
      </c>
      <c r="AY1591" s="52" t="n">
        <v>0</v>
      </c>
      <c r="AZ1591" s="52" t="n">
        <v>0</v>
      </c>
      <c r="BA1591" s="52" t="n">
        <v>0</v>
      </c>
      <c r="BB1591" s="53" t="n">
        <v>0</v>
      </c>
      <c r="BC1591" s="52" t="n">
        <v>0</v>
      </c>
      <c r="BD1591" s="53" t="n">
        <v>0</v>
      </c>
      <c r="BE1591" s="52" t="n">
        <v>0</v>
      </c>
      <c r="BF1591" s="51" t="n">
        <v>0</v>
      </c>
    </row>
    <row r="1592">
      <c r="A1592">
        <f>HYPERLINK("https://www.walmart.com/ip/147481123", "147481123")</f>
        <v/>
      </c>
      <c r="B1592" t="inlineStr">
        <is>
          <t>JenniWears Women Elegant Robe Satin Sleepwear Lace Chemise Nightgown</t>
        </is>
      </c>
      <c r="C1592" t="inlineStr">
        <is>
          <t>JWRS02RD-XL</t>
        </is>
      </c>
      <c r="D1592" t="inlineStr">
        <is>
          <t>Nightgowns &amp; Sleepshirts</t>
        </is>
      </c>
      <c r="E1592" t="inlineStr">
        <is>
          <t>JenniWears</t>
        </is>
      </c>
      <c r="F1592" t="inlineStr">
        <is>
          <t>Optimized,Valentine</t>
        </is>
      </c>
      <c r="G1592" s="48" t="n">
        <v>0</v>
      </c>
      <c r="H1592" s="49" t="n">
        <v>0</v>
      </c>
      <c r="I1592" s="49" t="n">
        <v>0</v>
      </c>
      <c r="J1592" s="50" t="n">
        <v>0</v>
      </c>
      <c r="K1592" s="51" t="n">
        <v>0</v>
      </c>
      <c r="L1592" s="52" t="n">
        <v>0</v>
      </c>
      <c r="M1592" s="52" t="n">
        <v>0</v>
      </c>
      <c r="N1592" s="52" t="n">
        <v>0</v>
      </c>
      <c r="O1592" s="53" t="n">
        <v>0</v>
      </c>
      <c r="P1592" s="52" t="n">
        <v>0</v>
      </c>
      <c r="Q1592" s="53" t="n">
        <v>0</v>
      </c>
      <c r="R1592" s="52" t="n">
        <v>0</v>
      </c>
      <c r="S1592" s="51" t="n">
        <v>0</v>
      </c>
      <c r="T1592" s="48" t="n">
        <v>0</v>
      </c>
      <c r="U1592" s="49" t="n">
        <v>0</v>
      </c>
      <c r="V1592" s="49" t="n">
        <v>0</v>
      </c>
      <c r="W1592" s="50" t="n">
        <v>0</v>
      </c>
      <c r="X1592" s="51" t="n">
        <v>0</v>
      </c>
      <c r="Y1592" s="52" t="n">
        <v>0</v>
      </c>
      <c r="Z1592" s="52" t="n">
        <v>0</v>
      </c>
      <c r="AA1592" s="52" t="n">
        <v>0</v>
      </c>
      <c r="AB1592" s="53" t="n">
        <v>0</v>
      </c>
      <c r="AC1592" s="52" t="n">
        <v>0</v>
      </c>
      <c r="AD1592" s="53" t="n">
        <v>0</v>
      </c>
      <c r="AE1592" s="52" t="n">
        <v>0</v>
      </c>
      <c r="AF1592" s="51" t="n">
        <v>0</v>
      </c>
      <c r="AG1592" s="48" t="n">
        <v>0</v>
      </c>
      <c r="AH1592" s="49" t="n">
        <v>0</v>
      </c>
      <c r="AI1592" s="49" t="n">
        <v>0</v>
      </c>
      <c r="AJ1592" s="50" t="n">
        <v>0</v>
      </c>
      <c r="AK1592" s="51" t="n">
        <v>0</v>
      </c>
      <c r="AL1592" s="52" t="n">
        <v>0</v>
      </c>
      <c r="AM1592" s="52" t="n">
        <v>0</v>
      </c>
      <c r="AN1592" s="52" t="n">
        <v>0</v>
      </c>
      <c r="AO1592" s="53" t="n">
        <v>0</v>
      </c>
      <c r="AP1592" s="52" t="n">
        <v>0</v>
      </c>
      <c r="AQ1592" s="53" t="n">
        <v>0</v>
      </c>
      <c r="AR1592" s="52" t="n">
        <v>0</v>
      </c>
      <c r="AS1592" s="51" t="n">
        <v>0</v>
      </c>
      <c r="AT1592" s="48" t="n">
        <v>0</v>
      </c>
      <c r="AU1592" s="49" t="n">
        <v>0</v>
      </c>
      <c r="AV1592" s="49" t="n">
        <v>0</v>
      </c>
      <c r="AW1592" s="50" t="n">
        <v>0</v>
      </c>
      <c r="AX1592" s="51" t="n">
        <v>0</v>
      </c>
      <c r="AY1592" s="52" t="n">
        <v>0</v>
      </c>
      <c r="AZ1592" s="52" t="n">
        <v>0</v>
      </c>
      <c r="BA1592" s="52" t="n">
        <v>0</v>
      </c>
      <c r="BB1592" s="53" t="n">
        <v>0</v>
      </c>
      <c r="BC1592" s="52" t="n">
        <v>0</v>
      </c>
      <c r="BD1592" s="53" t="n">
        <v>0</v>
      </c>
      <c r="BE1592" s="52" t="n">
        <v>0</v>
      </c>
      <c r="BF1592" s="51" t="n">
        <v>0</v>
      </c>
    </row>
    <row r="1593">
      <c r="A1593">
        <f>HYPERLINK("https://www.walmart.com/ip/146084848", "146084848")</f>
        <v/>
      </c>
      <c r="B1593" t="inlineStr">
        <is>
          <t>KC Caps Race Collection Caps Navy with Flame Flare Graphics</t>
        </is>
      </c>
      <c r="C1593" t="inlineStr">
        <is>
          <t>KC-HR06</t>
        </is>
      </c>
      <c r="D1593" t="inlineStr">
        <is>
          <t>Hats</t>
        </is>
      </c>
      <c r="E1593" t="inlineStr">
        <is>
          <t>KC Caps</t>
        </is>
      </c>
      <c r="F1593" t="inlineStr">
        <is>
          <t>Optimized</t>
        </is>
      </c>
      <c r="G1593" s="48" t="n">
        <v>0</v>
      </c>
      <c r="H1593" s="49" t="n">
        <v>0</v>
      </c>
      <c r="I1593" s="49" t="n">
        <v>0</v>
      </c>
      <c r="J1593" s="50" t="n">
        <v>0</v>
      </c>
      <c r="K1593" s="51" t="n">
        <v>0</v>
      </c>
      <c r="L1593" s="52" t="n">
        <v>0</v>
      </c>
      <c r="M1593" s="52" t="n">
        <v>0</v>
      </c>
      <c r="N1593" s="52" t="n">
        <v>0</v>
      </c>
      <c r="O1593" s="53" t="n">
        <v>0</v>
      </c>
      <c r="P1593" s="52" t="n">
        <v>0</v>
      </c>
      <c r="Q1593" s="53" t="n">
        <v>0</v>
      </c>
      <c r="R1593" s="52" t="n">
        <v>0</v>
      </c>
      <c r="S1593" s="51" t="n">
        <v>0</v>
      </c>
      <c r="T1593" s="48" t="n">
        <v>0</v>
      </c>
      <c r="U1593" s="49" t="n">
        <v>0</v>
      </c>
      <c r="V1593" s="49" t="n">
        <v>0</v>
      </c>
      <c r="W1593" s="50" t="n">
        <v>0</v>
      </c>
      <c r="X1593" s="51" t="n">
        <v>0</v>
      </c>
      <c r="Y1593" s="52" t="n">
        <v>0</v>
      </c>
      <c r="Z1593" s="52" t="n">
        <v>0</v>
      </c>
      <c r="AA1593" s="52" t="n">
        <v>0</v>
      </c>
      <c r="AB1593" s="53" t="n">
        <v>0</v>
      </c>
      <c r="AC1593" s="52" t="n">
        <v>0</v>
      </c>
      <c r="AD1593" s="53" t="n">
        <v>0</v>
      </c>
      <c r="AE1593" s="52" t="n">
        <v>0</v>
      </c>
      <c r="AF1593" s="51" t="n">
        <v>0</v>
      </c>
      <c r="AG1593" s="48" t="n">
        <v>0</v>
      </c>
      <c r="AH1593" s="49" t="n">
        <v>0</v>
      </c>
      <c r="AI1593" s="49" t="n">
        <v>0</v>
      </c>
      <c r="AJ1593" s="50" t="n">
        <v>0</v>
      </c>
      <c r="AK1593" s="51" t="n">
        <v>0</v>
      </c>
      <c r="AL1593" s="52" t="n">
        <v>0</v>
      </c>
      <c r="AM1593" s="52" t="n">
        <v>0</v>
      </c>
      <c r="AN1593" s="52" t="n">
        <v>0</v>
      </c>
      <c r="AO1593" s="53" t="n">
        <v>0</v>
      </c>
      <c r="AP1593" s="52" t="n">
        <v>0</v>
      </c>
      <c r="AQ1593" s="53" t="n">
        <v>0</v>
      </c>
      <c r="AR1593" s="52" t="n">
        <v>0</v>
      </c>
      <c r="AS1593" s="51" t="n">
        <v>0</v>
      </c>
      <c r="AT1593" s="48" t="n">
        <v>0</v>
      </c>
      <c r="AU1593" s="49" t="n">
        <v>0</v>
      </c>
      <c r="AV1593" s="49" t="n">
        <v>0</v>
      </c>
      <c r="AW1593" s="50" t="n">
        <v>0</v>
      </c>
      <c r="AX1593" s="51" t="n">
        <v>0</v>
      </c>
      <c r="AY1593" s="52" t="n">
        <v>0</v>
      </c>
      <c r="AZ1593" s="52" t="n">
        <v>0</v>
      </c>
      <c r="BA1593" s="52" t="n">
        <v>0</v>
      </c>
      <c r="BB1593" s="53" t="n">
        <v>0</v>
      </c>
      <c r="BC1593" s="52" t="n">
        <v>0</v>
      </c>
      <c r="BD1593" s="53" t="n">
        <v>0</v>
      </c>
      <c r="BE1593" s="52" t="n">
        <v>0</v>
      </c>
      <c r="BF1593" s="51" t="n">
        <v>0</v>
      </c>
    </row>
    <row r="1594">
      <c r="A1594">
        <f>HYPERLINK("https://www.walmart.com/ip/146774668", "146774668")</f>
        <v/>
      </c>
      <c r="B1594" t="inlineStr">
        <is>
          <t>Sun Blocker Adventure hat UPF 50+ rated Outdoor hat Wide brim with Back flap</t>
        </is>
      </c>
      <c r="C1594" t="inlineStr">
        <is>
          <t>kc-s9150-gy</t>
        </is>
      </c>
      <c r="D1594" t="inlineStr">
        <is>
          <t>Hats</t>
        </is>
      </c>
      <c r="E1594" t="inlineStr">
        <is>
          <t>Sun Blocker</t>
        </is>
      </c>
      <c r="G1594" s="48" t="n">
        <v>0</v>
      </c>
      <c r="H1594" s="49" t="n">
        <v>0</v>
      </c>
      <c r="I1594" s="49" t="n">
        <v>0</v>
      </c>
      <c r="J1594" s="50" t="n">
        <v>0</v>
      </c>
      <c r="K1594" s="51" t="n">
        <v>0</v>
      </c>
      <c r="L1594" s="52" t="n">
        <v>0</v>
      </c>
      <c r="M1594" s="52" t="n">
        <v>0</v>
      </c>
      <c r="N1594" s="52" t="n">
        <v>0</v>
      </c>
      <c r="O1594" s="53" t="n">
        <v>0</v>
      </c>
      <c r="P1594" s="52" t="n">
        <v>0</v>
      </c>
      <c r="Q1594" s="53" t="n">
        <v>0</v>
      </c>
      <c r="R1594" s="52" t="n">
        <v>0</v>
      </c>
      <c r="S1594" s="51" t="n">
        <v>0</v>
      </c>
      <c r="T1594" s="48" t="n">
        <v>0</v>
      </c>
      <c r="U1594" s="49" t="n">
        <v>0</v>
      </c>
      <c r="V1594" s="49" t="n">
        <v>0</v>
      </c>
      <c r="W1594" s="50" t="n">
        <v>0</v>
      </c>
      <c r="X1594" s="51" t="n">
        <v>0</v>
      </c>
      <c r="Y1594" s="52" t="n">
        <v>0</v>
      </c>
      <c r="Z1594" s="52" t="n">
        <v>0</v>
      </c>
      <c r="AA1594" s="52" t="n">
        <v>0</v>
      </c>
      <c r="AB1594" s="53" t="n">
        <v>0</v>
      </c>
      <c r="AC1594" s="52" t="n">
        <v>0</v>
      </c>
      <c r="AD1594" s="53" t="n">
        <v>0</v>
      </c>
      <c r="AE1594" s="52" t="n">
        <v>0</v>
      </c>
      <c r="AF1594" s="51" t="n">
        <v>0</v>
      </c>
      <c r="AG1594" s="48" t="n">
        <v>0</v>
      </c>
      <c r="AH1594" s="49" t="n">
        <v>0</v>
      </c>
      <c r="AI1594" s="49" t="n">
        <v>0</v>
      </c>
      <c r="AJ1594" s="50" t="n">
        <v>0</v>
      </c>
      <c r="AK1594" s="51" t="n">
        <v>0</v>
      </c>
      <c r="AL1594" s="52" t="n">
        <v>0</v>
      </c>
      <c r="AM1594" s="52" t="n">
        <v>0</v>
      </c>
      <c r="AN1594" s="52" t="n">
        <v>0</v>
      </c>
      <c r="AO1594" s="53" t="n">
        <v>0</v>
      </c>
      <c r="AP1594" s="52" t="n">
        <v>0</v>
      </c>
      <c r="AQ1594" s="53" t="n">
        <v>0</v>
      </c>
      <c r="AR1594" s="52" t="n">
        <v>0</v>
      </c>
      <c r="AS1594" s="51" t="n">
        <v>0</v>
      </c>
      <c r="AT1594" s="48" t="n">
        <v>0</v>
      </c>
      <c r="AU1594" s="49" t="n">
        <v>0</v>
      </c>
      <c r="AV1594" s="49" t="n">
        <v>0</v>
      </c>
      <c r="AW1594" s="50" t="n">
        <v>0</v>
      </c>
      <c r="AX1594" s="51" t="n">
        <v>0</v>
      </c>
      <c r="AY1594" s="52" t="n">
        <v>0</v>
      </c>
      <c r="AZ1594" s="52" t="n">
        <v>0</v>
      </c>
      <c r="BA1594" s="52" t="n">
        <v>0</v>
      </c>
      <c r="BB1594" s="53" t="n">
        <v>0</v>
      </c>
      <c r="BC1594" s="52" t="n">
        <v>0</v>
      </c>
      <c r="BD1594" s="53" t="n">
        <v>0</v>
      </c>
      <c r="BE1594" s="52" t="n">
        <v>0</v>
      </c>
      <c r="BF1594" s="51" t="n">
        <v>0</v>
      </c>
    </row>
    <row r="1595">
      <c r="A1595">
        <f>HYPERLINK("https://www.walmart.com/ip/146784092", "146784092")</f>
        <v/>
      </c>
      <c r="B1595" t="inlineStr">
        <is>
          <t>JenniWears® Women's Kimono Lace Lingerie Sleepwear Matching Cheeky Seductive Panty</t>
        </is>
      </c>
      <c r="C1595" t="inlineStr">
        <is>
          <t>JWRS01BK-XL</t>
        </is>
      </c>
      <c r="D1595" t="inlineStr">
        <is>
          <t>Lingerie Sets</t>
        </is>
      </c>
      <c r="E1595" t="inlineStr">
        <is>
          <t>JenniWears</t>
        </is>
      </c>
      <c r="F1595" t="inlineStr">
        <is>
          <t>Optimized,Valentine</t>
        </is>
      </c>
      <c r="G1595" s="48" t="n">
        <v>0</v>
      </c>
      <c r="H1595" s="49" t="n">
        <v>0</v>
      </c>
      <c r="I1595" s="49" t="n">
        <v>0</v>
      </c>
      <c r="J1595" s="50" t="n">
        <v>0</v>
      </c>
      <c r="K1595" s="51" t="n">
        <v>0</v>
      </c>
      <c r="L1595" s="52" t="n">
        <v>0</v>
      </c>
      <c r="M1595" s="52" t="n">
        <v>0</v>
      </c>
      <c r="N1595" s="52" t="n">
        <v>0</v>
      </c>
      <c r="O1595" s="53" t="n">
        <v>0</v>
      </c>
      <c r="P1595" s="52" t="n">
        <v>0</v>
      </c>
      <c r="Q1595" s="53" t="n">
        <v>0</v>
      </c>
      <c r="R1595" s="52" t="n">
        <v>0</v>
      </c>
      <c r="S1595" s="51" t="n">
        <v>0</v>
      </c>
      <c r="T1595" s="48" t="n">
        <v>0</v>
      </c>
      <c r="U1595" s="49" t="n">
        <v>0</v>
      </c>
      <c r="V1595" s="49" t="n">
        <v>0</v>
      </c>
      <c r="W1595" s="50" t="n">
        <v>0</v>
      </c>
      <c r="X1595" s="51" t="n">
        <v>0</v>
      </c>
      <c r="Y1595" s="52" t="n">
        <v>0</v>
      </c>
      <c r="Z1595" s="52" t="n">
        <v>0</v>
      </c>
      <c r="AA1595" s="52" t="n">
        <v>0</v>
      </c>
      <c r="AB1595" s="53" t="n">
        <v>0</v>
      </c>
      <c r="AC1595" s="52" t="n">
        <v>0</v>
      </c>
      <c r="AD1595" s="53" t="n">
        <v>0</v>
      </c>
      <c r="AE1595" s="52" t="n">
        <v>0</v>
      </c>
      <c r="AF1595" s="51" t="n">
        <v>0</v>
      </c>
      <c r="AG1595" s="48" t="n">
        <v>0</v>
      </c>
      <c r="AH1595" s="49" t="n">
        <v>0</v>
      </c>
      <c r="AI1595" s="49" t="n">
        <v>0</v>
      </c>
      <c r="AJ1595" s="50" t="n">
        <v>0</v>
      </c>
      <c r="AK1595" s="51" t="n">
        <v>0</v>
      </c>
      <c r="AL1595" s="52" t="n">
        <v>0</v>
      </c>
      <c r="AM1595" s="52" t="n">
        <v>0</v>
      </c>
      <c r="AN1595" s="52" t="n">
        <v>0</v>
      </c>
      <c r="AO1595" s="53" t="n">
        <v>0</v>
      </c>
      <c r="AP1595" s="52" t="n">
        <v>0</v>
      </c>
      <c r="AQ1595" s="53" t="n">
        <v>0</v>
      </c>
      <c r="AR1595" s="52" t="n">
        <v>0</v>
      </c>
      <c r="AS1595" s="51" t="n">
        <v>0</v>
      </c>
      <c r="AT1595" s="48" t="n">
        <v>0</v>
      </c>
      <c r="AU1595" s="49" t="n">
        <v>0</v>
      </c>
      <c r="AV1595" s="49" t="n">
        <v>0</v>
      </c>
      <c r="AW1595" s="50" t="n">
        <v>0</v>
      </c>
      <c r="AX1595" s="51" t="n">
        <v>0</v>
      </c>
      <c r="AY1595" s="52" t="n">
        <v>0</v>
      </c>
      <c r="AZ1595" s="52" t="n">
        <v>0</v>
      </c>
      <c r="BA1595" s="52" t="n">
        <v>0</v>
      </c>
      <c r="BB1595" s="53" t="n">
        <v>0</v>
      </c>
      <c r="BC1595" s="52" t="n">
        <v>0</v>
      </c>
      <c r="BD1595" s="53" t="n">
        <v>0</v>
      </c>
      <c r="BE1595" s="52" t="n">
        <v>0</v>
      </c>
      <c r="BF1595" s="51" t="n">
        <v>0</v>
      </c>
    </row>
    <row r="1596">
      <c r="A1596">
        <f>HYPERLINK("https://www.walmart.com/ip/1470055620", "1470055620")</f>
        <v/>
      </c>
      <c r="B1596" t="inlineStr">
        <is>
          <t>Tirrinia Mossy Oak New Break Up Elk Hunting Cap Hat</t>
        </is>
      </c>
      <c r="C1596" t="inlineStr">
        <is>
          <t>1TRHT03ELK-TBCB</t>
        </is>
      </c>
      <c r="D1596" t="inlineStr">
        <is>
          <t>Hats</t>
        </is>
      </c>
      <c r="E1596" t="inlineStr">
        <is>
          <t>Tirrinia</t>
        </is>
      </c>
      <c r="F1596" t="inlineStr">
        <is>
          <t>Batch 1 - TR</t>
        </is>
      </c>
      <c r="G1596" s="48" t="n">
        <v>0</v>
      </c>
      <c r="H1596" s="49" t="n">
        <v>0</v>
      </c>
      <c r="I1596" s="49" t="n">
        <v>0</v>
      </c>
      <c r="J1596" s="50" t="n">
        <v>0</v>
      </c>
      <c r="K1596" s="51" t="n">
        <v>0</v>
      </c>
      <c r="L1596" s="52" t="n">
        <v>0</v>
      </c>
      <c r="M1596" s="52" t="n">
        <v>0</v>
      </c>
      <c r="N1596" s="52" t="n">
        <v>0</v>
      </c>
      <c r="O1596" s="53" t="n">
        <v>0</v>
      </c>
      <c r="P1596" s="52" t="n">
        <v>0</v>
      </c>
      <c r="Q1596" s="53" t="n">
        <v>0</v>
      </c>
      <c r="R1596" s="52" t="n">
        <v>0</v>
      </c>
      <c r="S1596" s="51" t="n">
        <v>0</v>
      </c>
      <c r="T1596" s="48" t="n">
        <v>0</v>
      </c>
      <c r="U1596" s="49" t="n">
        <v>0</v>
      </c>
      <c r="V1596" s="49" t="n">
        <v>0</v>
      </c>
      <c r="W1596" s="50" t="n">
        <v>0</v>
      </c>
      <c r="X1596" s="51" t="n">
        <v>0</v>
      </c>
      <c r="Y1596" s="52" t="n">
        <v>0</v>
      </c>
      <c r="Z1596" s="52" t="n">
        <v>0</v>
      </c>
      <c r="AA1596" s="52" t="n">
        <v>0</v>
      </c>
      <c r="AB1596" s="53" t="n">
        <v>0</v>
      </c>
      <c r="AC1596" s="52" t="n">
        <v>0</v>
      </c>
      <c r="AD1596" s="53" t="n">
        <v>0</v>
      </c>
      <c r="AE1596" s="52" t="n">
        <v>0</v>
      </c>
      <c r="AF1596" s="51" t="n">
        <v>0</v>
      </c>
      <c r="AG1596" s="48" t="n">
        <v>0</v>
      </c>
      <c r="AH1596" s="49" t="n">
        <v>0</v>
      </c>
      <c r="AI1596" s="49" t="n">
        <v>0</v>
      </c>
      <c r="AJ1596" s="50" t="n">
        <v>0</v>
      </c>
      <c r="AK1596" s="51" t="n">
        <v>0</v>
      </c>
      <c r="AL1596" s="52" t="n">
        <v>0</v>
      </c>
      <c r="AM1596" s="52" t="n">
        <v>0</v>
      </c>
      <c r="AN1596" s="52" t="n">
        <v>0</v>
      </c>
      <c r="AO1596" s="53" t="n">
        <v>0</v>
      </c>
      <c r="AP1596" s="52" t="n">
        <v>0</v>
      </c>
      <c r="AQ1596" s="53" t="n">
        <v>0</v>
      </c>
      <c r="AR1596" s="52" t="n">
        <v>0</v>
      </c>
      <c r="AS1596" s="51" t="n">
        <v>0</v>
      </c>
      <c r="AT1596" s="48" t="n">
        <v>0</v>
      </c>
      <c r="AU1596" s="49" t="n">
        <v>0</v>
      </c>
      <c r="AV1596" s="49" t="n">
        <v>0</v>
      </c>
      <c r="AW1596" s="50" t="n">
        <v>0</v>
      </c>
      <c r="AX1596" s="51" t="n">
        <v>0</v>
      </c>
      <c r="AY1596" s="52" t="n">
        <v>0</v>
      </c>
      <c r="AZ1596" s="52" t="n">
        <v>0</v>
      </c>
      <c r="BA1596" s="52" t="n">
        <v>0</v>
      </c>
      <c r="BB1596" s="53" t="n">
        <v>0</v>
      </c>
      <c r="BC1596" s="52" t="n">
        <v>0</v>
      </c>
      <c r="BD1596" s="53" t="n">
        <v>0</v>
      </c>
      <c r="BE1596" s="52" t="n">
        <v>0</v>
      </c>
      <c r="BF1596" s="51" t="n">
        <v>0</v>
      </c>
    </row>
    <row r="1597">
      <c r="A1597">
        <f>HYPERLINK("https://www.walmart.com/ip/147137806", "147137806")</f>
        <v/>
      </c>
      <c r="B1597" t="inlineStr">
        <is>
          <t>JenniWears Women's Floral Open Crotch Mesh Body Stockings Bodysuits Lingerie</t>
        </is>
      </c>
      <c r="C1597" t="inlineStr">
        <is>
          <t>JWBS8855</t>
        </is>
      </c>
      <c r="D1597" t="inlineStr">
        <is>
          <t>Teddies &amp; Bodystockings</t>
        </is>
      </c>
      <c r="E1597" t="inlineStr">
        <is>
          <t>JenniWears</t>
        </is>
      </c>
      <c r="F1597" t="inlineStr">
        <is>
          <t>Valentine</t>
        </is>
      </c>
      <c r="G1597" s="48" t="n">
        <v>0</v>
      </c>
      <c r="H1597" s="49" t="n">
        <v>0</v>
      </c>
      <c r="I1597" s="49" t="n">
        <v>0</v>
      </c>
      <c r="J1597" s="50" t="n">
        <v>0</v>
      </c>
      <c r="K1597" s="51" t="n">
        <v>0</v>
      </c>
      <c r="L1597" s="52" t="n">
        <v>0</v>
      </c>
      <c r="M1597" s="52" t="n">
        <v>0</v>
      </c>
      <c r="N1597" s="52" t="n">
        <v>0</v>
      </c>
      <c r="O1597" s="53" t="n">
        <v>0</v>
      </c>
      <c r="P1597" s="52" t="n">
        <v>0</v>
      </c>
      <c r="Q1597" s="53" t="n">
        <v>0</v>
      </c>
      <c r="R1597" s="52" t="n">
        <v>0</v>
      </c>
      <c r="S1597" s="51" t="n">
        <v>0</v>
      </c>
      <c r="T1597" s="48" t="n">
        <v>0</v>
      </c>
      <c r="U1597" s="49" t="n">
        <v>0</v>
      </c>
      <c r="V1597" s="49" t="n">
        <v>0</v>
      </c>
      <c r="W1597" s="50" t="n">
        <v>0</v>
      </c>
      <c r="X1597" s="51" t="n">
        <v>0</v>
      </c>
      <c r="Y1597" s="52" t="n">
        <v>0</v>
      </c>
      <c r="Z1597" s="52" t="n">
        <v>0</v>
      </c>
      <c r="AA1597" s="52" t="n">
        <v>0</v>
      </c>
      <c r="AB1597" s="53" t="n">
        <v>0</v>
      </c>
      <c r="AC1597" s="52" t="n">
        <v>0</v>
      </c>
      <c r="AD1597" s="53" t="n">
        <v>0</v>
      </c>
      <c r="AE1597" s="52" t="n">
        <v>0</v>
      </c>
      <c r="AF1597" s="51" t="n">
        <v>0</v>
      </c>
      <c r="AG1597" s="48" t="n">
        <v>0</v>
      </c>
      <c r="AH1597" s="49" t="n">
        <v>0</v>
      </c>
      <c r="AI1597" s="49" t="n">
        <v>0</v>
      </c>
      <c r="AJ1597" s="50" t="n">
        <v>0</v>
      </c>
      <c r="AK1597" s="51" t="n">
        <v>0</v>
      </c>
      <c r="AL1597" s="52" t="n">
        <v>0</v>
      </c>
      <c r="AM1597" s="52" t="n">
        <v>0</v>
      </c>
      <c r="AN1597" s="52" t="n">
        <v>0</v>
      </c>
      <c r="AO1597" s="53" t="n">
        <v>0</v>
      </c>
      <c r="AP1597" s="52" t="n">
        <v>0</v>
      </c>
      <c r="AQ1597" s="53" t="n">
        <v>0</v>
      </c>
      <c r="AR1597" s="52" t="n">
        <v>0</v>
      </c>
      <c r="AS1597" s="51" t="n">
        <v>0</v>
      </c>
      <c r="AT1597" s="48" t="n">
        <v>0</v>
      </c>
      <c r="AU1597" s="49" t="n">
        <v>0</v>
      </c>
      <c r="AV1597" s="49" t="n">
        <v>0</v>
      </c>
      <c r="AW1597" s="50" t="n">
        <v>0</v>
      </c>
      <c r="AX1597" s="51" t="n">
        <v>0</v>
      </c>
      <c r="AY1597" s="52" t="n">
        <v>0</v>
      </c>
      <c r="AZ1597" s="52" t="n">
        <v>0</v>
      </c>
      <c r="BA1597" s="52" t="n">
        <v>0</v>
      </c>
      <c r="BB1597" s="53" t="n">
        <v>0</v>
      </c>
      <c r="BC1597" s="52" t="n">
        <v>0</v>
      </c>
      <c r="BD1597" s="53" t="n">
        <v>0</v>
      </c>
      <c r="BE1597" s="52" t="n">
        <v>0</v>
      </c>
      <c r="BF1597" s="51" t="n">
        <v>0</v>
      </c>
    </row>
    <row r="1598">
      <c r="A1598">
        <f>HYPERLINK("https://www.walmart.com/ip/1473126477", "1473126477")</f>
        <v/>
      </c>
      <c r="B1598" t="inlineStr">
        <is>
          <t>Catalonia Kids Mermaid Tail Blanket, Cozy Mermaid Sleeping Bag, Fish Scale Pattern, Perfect Gift for Girls Teen, Rainbow, 61" x 20"</t>
        </is>
      </c>
      <c r="C1598" t="inlineStr">
        <is>
          <t>1CTMM506MUL</t>
        </is>
      </c>
      <c r="D1598" t="inlineStr">
        <is>
          <t>Throws</t>
        </is>
      </c>
      <c r="E1598" t="inlineStr">
        <is>
          <t>Catalonia</t>
        </is>
      </c>
      <c r="F1598" t="inlineStr">
        <is>
          <t>Q2-Target</t>
        </is>
      </c>
      <c r="G1598" s="48" t="n">
        <v>0</v>
      </c>
      <c r="H1598" s="49" t="n">
        <v>0</v>
      </c>
      <c r="I1598" s="49" t="n">
        <v>0</v>
      </c>
      <c r="J1598" s="50" t="n">
        <v>0</v>
      </c>
      <c r="K1598" s="51" t="n">
        <v>0</v>
      </c>
      <c r="L1598" s="52" t="n">
        <v>0</v>
      </c>
      <c r="M1598" s="52" t="n">
        <v>0</v>
      </c>
      <c r="N1598" s="52" t="n">
        <v>0</v>
      </c>
      <c r="O1598" s="53" t="n">
        <v>0</v>
      </c>
      <c r="P1598" s="52" t="n">
        <v>0</v>
      </c>
      <c r="Q1598" s="53" t="n">
        <v>0</v>
      </c>
      <c r="R1598" s="52" t="n">
        <v>0</v>
      </c>
      <c r="S1598" s="51" t="n">
        <v>0</v>
      </c>
      <c r="T1598" s="48" t="n">
        <v>19.99</v>
      </c>
      <c r="U1598" s="49" t="n">
        <v>1</v>
      </c>
      <c r="V1598" s="49" t="n">
        <v>2</v>
      </c>
      <c r="W1598" s="50" t="n">
        <v>0.5</v>
      </c>
      <c r="X1598" s="51" t="n">
        <v>0</v>
      </c>
      <c r="Y1598" s="52" t="n">
        <v>0</v>
      </c>
      <c r="Z1598" s="52" t="n">
        <v>0</v>
      </c>
      <c r="AA1598" s="52" t="n">
        <v>0</v>
      </c>
      <c r="AB1598" s="53" t="n">
        <v>0</v>
      </c>
      <c r="AC1598" s="52" t="n">
        <v>0</v>
      </c>
      <c r="AD1598" s="53" t="n">
        <v>0</v>
      </c>
      <c r="AE1598" s="52" t="n">
        <v>19.99</v>
      </c>
      <c r="AF1598" s="51" t="n">
        <v>0</v>
      </c>
      <c r="AG1598" s="48" t="n">
        <v>0</v>
      </c>
      <c r="AH1598" s="49" t="n">
        <v>0</v>
      </c>
      <c r="AI1598" s="49" t="n">
        <v>1</v>
      </c>
      <c r="AJ1598" s="50" t="n">
        <v>0</v>
      </c>
      <c r="AK1598" s="51" t="n">
        <v>0</v>
      </c>
      <c r="AL1598" s="52" t="n">
        <v>0</v>
      </c>
      <c r="AM1598" s="52" t="n">
        <v>0</v>
      </c>
      <c r="AN1598" s="52" t="n">
        <v>0</v>
      </c>
      <c r="AO1598" s="53" t="n">
        <v>0</v>
      </c>
      <c r="AP1598" s="52" t="n">
        <v>0</v>
      </c>
      <c r="AQ1598" s="53" t="n">
        <v>0</v>
      </c>
      <c r="AR1598" s="52" t="n">
        <v>0</v>
      </c>
      <c r="AS1598" s="51" t="n">
        <v>0</v>
      </c>
      <c r="AT1598" s="48" t="n">
        <v>19.99</v>
      </c>
      <c r="AU1598" s="49" t="n">
        <v>1</v>
      </c>
      <c r="AV1598" s="49" t="n">
        <v>5</v>
      </c>
      <c r="AW1598" s="50" t="n">
        <v>0.2</v>
      </c>
      <c r="AX1598" s="51" t="n">
        <v>0</v>
      </c>
      <c r="AY1598" s="52" t="n">
        <v>0</v>
      </c>
      <c r="AZ1598" s="52" t="n">
        <v>0</v>
      </c>
      <c r="BA1598" s="52" t="n">
        <v>0</v>
      </c>
      <c r="BB1598" s="53" t="n">
        <v>0</v>
      </c>
      <c r="BC1598" s="52" t="n">
        <v>0</v>
      </c>
      <c r="BD1598" s="53" t="n">
        <v>0</v>
      </c>
      <c r="BE1598" s="52" t="n">
        <v>19.99</v>
      </c>
      <c r="BF1598" s="51" t="n">
        <v>0</v>
      </c>
    </row>
    <row r="1599">
      <c r="A1599">
        <f>HYPERLINK("https://www.walmart.com/ip/147549406", "147549406")</f>
        <v/>
      </c>
      <c r="B1599" t="inlineStr">
        <is>
          <t>JenniWears® Women's Ultra Sheer Lace Top Thigh High Pantyhose - 6 Packs</t>
        </is>
      </c>
      <c r="C1599" t="inlineStr">
        <is>
          <t>JWBLSPH2015-6pcs</t>
        </is>
      </c>
      <c r="D1599" t="inlineStr">
        <is>
          <t>Pantyhose &amp; Tights</t>
        </is>
      </c>
      <c r="E1599" t="inlineStr">
        <is>
          <t>JenniWears</t>
        </is>
      </c>
      <c r="F1599" t="inlineStr">
        <is>
          <t>Optimized,Valentine</t>
        </is>
      </c>
      <c r="G1599" s="48" t="n">
        <v>0</v>
      </c>
      <c r="H1599" s="49" t="n">
        <v>0</v>
      </c>
      <c r="I1599" s="49" t="n">
        <v>0</v>
      </c>
      <c r="J1599" s="50" t="n">
        <v>0</v>
      </c>
      <c r="K1599" s="51" t="n">
        <v>0</v>
      </c>
      <c r="L1599" s="52" t="n">
        <v>0</v>
      </c>
      <c r="M1599" s="52" t="n">
        <v>0</v>
      </c>
      <c r="N1599" s="52" t="n">
        <v>0</v>
      </c>
      <c r="O1599" s="53" t="n">
        <v>0</v>
      </c>
      <c r="P1599" s="52" t="n">
        <v>0</v>
      </c>
      <c r="Q1599" s="53" t="n">
        <v>0</v>
      </c>
      <c r="R1599" s="52" t="n">
        <v>0</v>
      </c>
      <c r="S1599" s="51" t="n">
        <v>0</v>
      </c>
      <c r="T1599" s="48" t="n">
        <v>0</v>
      </c>
      <c r="U1599" s="49" t="n">
        <v>0</v>
      </c>
      <c r="V1599" s="49" t="n">
        <v>0</v>
      </c>
      <c r="W1599" s="50" t="n">
        <v>0</v>
      </c>
      <c r="X1599" s="51" t="n">
        <v>0</v>
      </c>
      <c r="Y1599" s="52" t="n">
        <v>0</v>
      </c>
      <c r="Z1599" s="52" t="n">
        <v>0</v>
      </c>
      <c r="AA1599" s="52" t="n">
        <v>0</v>
      </c>
      <c r="AB1599" s="53" t="n">
        <v>0</v>
      </c>
      <c r="AC1599" s="52" t="n">
        <v>0</v>
      </c>
      <c r="AD1599" s="53" t="n">
        <v>0</v>
      </c>
      <c r="AE1599" s="52" t="n">
        <v>0</v>
      </c>
      <c r="AF1599" s="51" t="n">
        <v>0</v>
      </c>
      <c r="AG1599" s="48" t="n">
        <v>0</v>
      </c>
      <c r="AH1599" s="49" t="n">
        <v>0</v>
      </c>
      <c r="AI1599" s="49" t="n">
        <v>0</v>
      </c>
      <c r="AJ1599" s="50" t="n">
        <v>0</v>
      </c>
      <c r="AK1599" s="51" t="n">
        <v>0</v>
      </c>
      <c r="AL1599" s="52" t="n">
        <v>0</v>
      </c>
      <c r="AM1599" s="52" t="n">
        <v>0</v>
      </c>
      <c r="AN1599" s="52" t="n">
        <v>0</v>
      </c>
      <c r="AO1599" s="53" t="n">
        <v>0</v>
      </c>
      <c r="AP1599" s="52" t="n">
        <v>0</v>
      </c>
      <c r="AQ1599" s="53" t="n">
        <v>0</v>
      </c>
      <c r="AR1599" s="52" t="n">
        <v>0</v>
      </c>
      <c r="AS1599" s="51" t="n">
        <v>0</v>
      </c>
      <c r="AT1599" s="48" t="n">
        <v>0</v>
      </c>
      <c r="AU1599" s="49" t="n">
        <v>0</v>
      </c>
      <c r="AV1599" s="49" t="n">
        <v>0</v>
      </c>
      <c r="AW1599" s="50" t="n">
        <v>0</v>
      </c>
      <c r="AX1599" s="51" t="n">
        <v>0</v>
      </c>
      <c r="AY1599" s="52" t="n">
        <v>0</v>
      </c>
      <c r="AZ1599" s="52" t="n">
        <v>0</v>
      </c>
      <c r="BA1599" s="52" t="n">
        <v>0</v>
      </c>
      <c r="BB1599" s="53" t="n">
        <v>0</v>
      </c>
      <c r="BC1599" s="52" t="n">
        <v>0</v>
      </c>
      <c r="BD1599" s="53" t="n">
        <v>0</v>
      </c>
      <c r="BE1599" s="52" t="n">
        <v>0</v>
      </c>
      <c r="BF1599" s="51" t="n">
        <v>0</v>
      </c>
    </row>
    <row r="1600">
      <c r="A1600">
        <f>HYPERLINK("https://www.walmart.com/ip/149357126", "149357126")</f>
        <v/>
      </c>
      <c r="B1600" t="inlineStr">
        <is>
          <t>Tirrinia Snow Micro Fleece Sherpa Plush Bed Throw TV Blanket 50” x 60”</t>
        </is>
      </c>
      <c r="C1600" t="inlineStr">
        <is>
          <t>1TRBF321BL-TBGM</t>
        </is>
      </c>
      <c r="D1600" t="inlineStr">
        <is>
          <t>Throws</t>
        </is>
      </c>
      <c r="E1600" t="inlineStr">
        <is>
          <t>Tirrinia</t>
        </is>
      </c>
      <c r="F1600" t="inlineStr">
        <is>
          <t>Batch 1 - TR</t>
        </is>
      </c>
      <c r="G1600" s="48" t="n">
        <v>0</v>
      </c>
      <c r="H1600" s="49" t="n">
        <v>0</v>
      </c>
      <c r="I1600" s="49" t="n">
        <v>0</v>
      </c>
      <c r="J1600" s="50" t="n">
        <v>0</v>
      </c>
      <c r="K1600" s="51" t="n">
        <v>0</v>
      </c>
      <c r="L1600" s="52" t="n">
        <v>0</v>
      </c>
      <c r="M1600" s="52" t="n">
        <v>0</v>
      </c>
      <c r="N1600" s="52" t="n">
        <v>0</v>
      </c>
      <c r="O1600" s="53" t="n">
        <v>0</v>
      </c>
      <c r="P1600" s="52" t="n">
        <v>0</v>
      </c>
      <c r="Q1600" s="53" t="n">
        <v>0</v>
      </c>
      <c r="R1600" s="52" t="n">
        <v>0</v>
      </c>
      <c r="S1600" s="51" t="n">
        <v>0</v>
      </c>
      <c r="T1600" s="48" t="n">
        <v>0</v>
      </c>
      <c r="U1600" s="49" t="n">
        <v>0</v>
      </c>
      <c r="V1600" s="49" t="n">
        <v>0</v>
      </c>
      <c r="W1600" s="50" t="n">
        <v>0</v>
      </c>
      <c r="X1600" s="51" t="n">
        <v>0</v>
      </c>
      <c r="Y1600" s="52" t="n">
        <v>0</v>
      </c>
      <c r="Z1600" s="52" t="n">
        <v>0</v>
      </c>
      <c r="AA1600" s="52" t="n">
        <v>0</v>
      </c>
      <c r="AB1600" s="53" t="n">
        <v>0</v>
      </c>
      <c r="AC1600" s="52" t="n">
        <v>0</v>
      </c>
      <c r="AD1600" s="53" t="n">
        <v>0</v>
      </c>
      <c r="AE1600" s="52" t="n">
        <v>0</v>
      </c>
      <c r="AF1600" s="51" t="n">
        <v>0</v>
      </c>
      <c r="AG1600" s="48" t="n">
        <v>0</v>
      </c>
      <c r="AH1600" s="49" t="n">
        <v>0</v>
      </c>
      <c r="AI1600" s="49" t="n">
        <v>0</v>
      </c>
      <c r="AJ1600" s="50" t="n">
        <v>0</v>
      </c>
      <c r="AK1600" s="51" t="n">
        <v>0</v>
      </c>
      <c r="AL1600" s="52" t="n">
        <v>0</v>
      </c>
      <c r="AM1600" s="52" t="n">
        <v>0</v>
      </c>
      <c r="AN1600" s="52" t="n">
        <v>0</v>
      </c>
      <c r="AO1600" s="53" t="n">
        <v>0</v>
      </c>
      <c r="AP1600" s="52" t="n">
        <v>0</v>
      </c>
      <c r="AQ1600" s="53" t="n">
        <v>0</v>
      </c>
      <c r="AR1600" s="52" t="n">
        <v>0</v>
      </c>
      <c r="AS1600" s="51" t="n">
        <v>0</v>
      </c>
      <c r="AT1600" s="48" t="n">
        <v>0</v>
      </c>
      <c r="AU1600" s="49" t="n">
        <v>0</v>
      </c>
      <c r="AV1600" s="49" t="n">
        <v>0</v>
      </c>
      <c r="AW1600" s="50" t="n">
        <v>0</v>
      </c>
      <c r="AX1600" s="51" t="n">
        <v>0</v>
      </c>
      <c r="AY1600" s="52" t="n">
        <v>0</v>
      </c>
      <c r="AZ1600" s="52" t="n">
        <v>0</v>
      </c>
      <c r="BA1600" s="52" t="n">
        <v>0</v>
      </c>
      <c r="BB1600" s="53" t="n">
        <v>0</v>
      </c>
      <c r="BC1600" s="52" t="n">
        <v>0</v>
      </c>
      <c r="BD1600" s="53" t="n">
        <v>0</v>
      </c>
      <c r="BE1600" s="52" t="n">
        <v>0</v>
      </c>
      <c r="BF1600" s="51" t="n">
        <v>0</v>
      </c>
    </row>
    <row r="1601">
      <c r="A1601">
        <f>HYPERLINK("https://www.walmart.com/ip/1477066822", "1477066822")</f>
        <v/>
      </c>
      <c r="B1601" t="inlineStr">
        <is>
          <t>Catalonia All Season Knitted Acrylic Throw Blanket, Cozy Leisure Lightweight Decorative Blanket with Fringe for Bed, Couch, Living Room, Machine Washable, Gey, 50'' × 60''</t>
        </is>
      </c>
      <c r="C1601" t="inlineStr">
        <is>
          <t>1CTBN510GY</t>
        </is>
      </c>
      <c r="D1601" t="inlineStr">
        <is>
          <t>Throws</t>
        </is>
      </c>
      <c r="E1601" t="inlineStr">
        <is>
          <t>Catalonia</t>
        </is>
      </c>
      <c r="F1601" t="inlineStr">
        <is>
          <t>Q2-Target,Coupon_Discount,Batch 1 - TR</t>
        </is>
      </c>
      <c r="G1601" s="48" t="n">
        <v>0</v>
      </c>
      <c r="H1601" s="49" t="n">
        <v>0</v>
      </c>
      <c r="I1601" s="49" t="n">
        <v>0</v>
      </c>
      <c r="J1601" s="50" t="n">
        <v>0</v>
      </c>
      <c r="K1601" s="51" t="n">
        <v>0</v>
      </c>
      <c r="L1601" s="52" t="n">
        <v>0</v>
      </c>
      <c r="M1601" s="52" t="n">
        <v>0</v>
      </c>
      <c r="N1601" s="52" t="n">
        <v>0</v>
      </c>
      <c r="O1601" s="53" t="n">
        <v>0</v>
      </c>
      <c r="P1601" s="52" t="n">
        <v>0</v>
      </c>
      <c r="Q1601" s="53" t="n">
        <v>0</v>
      </c>
      <c r="R1601" s="52" t="n">
        <v>0</v>
      </c>
      <c r="S1601" s="51" t="n">
        <v>0</v>
      </c>
      <c r="T1601" s="48" t="n">
        <v>0</v>
      </c>
      <c r="U1601" s="49" t="n">
        <v>0</v>
      </c>
      <c r="V1601" s="49" t="n">
        <v>0</v>
      </c>
      <c r="W1601" s="50" t="n">
        <v>0</v>
      </c>
      <c r="X1601" s="51" t="n">
        <v>0</v>
      </c>
      <c r="Y1601" s="52" t="n">
        <v>0</v>
      </c>
      <c r="Z1601" s="52" t="n">
        <v>0</v>
      </c>
      <c r="AA1601" s="52" t="n">
        <v>0</v>
      </c>
      <c r="AB1601" s="53" t="n">
        <v>0</v>
      </c>
      <c r="AC1601" s="52" t="n">
        <v>0</v>
      </c>
      <c r="AD1601" s="53" t="n">
        <v>0</v>
      </c>
      <c r="AE1601" s="52" t="n">
        <v>0</v>
      </c>
      <c r="AF1601" s="51" t="n">
        <v>0</v>
      </c>
      <c r="AG1601" s="48" t="n">
        <v>0</v>
      </c>
      <c r="AH1601" s="49" t="n">
        <v>0</v>
      </c>
      <c r="AI1601" s="49" t="n">
        <v>0</v>
      </c>
      <c r="AJ1601" s="50" t="n">
        <v>0</v>
      </c>
      <c r="AK1601" s="51" t="n">
        <v>0</v>
      </c>
      <c r="AL1601" s="52" t="n">
        <v>0</v>
      </c>
      <c r="AM1601" s="52" t="n">
        <v>0</v>
      </c>
      <c r="AN1601" s="52" t="n">
        <v>0</v>
      </c>
      <c r="AO1601" s="53" t="n">
        <v>0</v>
      </c>
      <c r="AP1601" s="52" t="n">
        <v>0</v>
      </c>
      <c r="AQ1601" s="53" t="n">
        <v>0</v>
      </c>
      <c r="AR1601" s="52" t="n">
        <v>0</v>
      </c>
      <c r="AS1601" s="51" t="n">
        <v>0</v>
      </c>
      <c r="AT1601" s="48" t="n">
        <v>0</v>
      </c>
      <c r="AU1601" s="49" t="n">
        <v>0</v>
      </c>
      <c r="AV1601" s="49" t="n">
        <v>0</v>
      </c>
      <c r="AW1601" s="50" t="n">
        <v>0</v>
      </c>
      <c r="AX1601" s="51" t="n">
        <v>0</v>
      </c>
      <c r="AY1601" s="52" t="n">
        <v>0</v>
      </c>
      <c r="AZ1601" s="52" t="n">
        <v>0</v>
      </c>
      <c r="BA1601" s="52" t="n">
        <v>0</v>
      </c>
      <c r="BB1601" s="53" t="n">
        <v>0</v>
      </c>
      <c r="BC1601" s="52" t="n">
        <v>0</v>
      </c>
      <c r="BD1601" s="53" t="n">
        <v>0</v>
      </c>
      <c r="BE1601" s="52" t="n">
        <v>0</v>
      </c>
      <c r="BF1601" s="51" t="n">
        <v>0</v>
      </c>
    </row>
    <row r="1602">
      <c r="A1602">
        <f>HYPERLINK("https://www.walmart.com/ip/147800222", "147800222")</f>
        <v/>
      </c>
      <c r="B1602" t="inlineStr">
        <is>
          <t>JenniWears® Women's Sexy See-through Lingerie Lace Fishnet Suspender</t>
        </is>
      </c>
      <c r="C1602" t="inlineStr">
        <is>
          <t>JWBD01BKRD-XL</t>
        </is>
      </c>
      <c r="D1602" t="inlineStr">
        <is>
          <t>Lingerie Sets</t>
        </is>
      </c>
      <c r="E1602" t="inlineStr">
        <is>
          <t>JenniWears</t>
        </is>
      </c>
      <c r="F1602" t="inlineStr">
        <is>
          <t>Batch 1 - TR</t>
        </is>
      </c>
      <c r="G1602" s="48" t="n">
        <v>0</v>
      </c>
      <c r="H1602" s="49" t="n">
        <v>0</v>
      </c>
      <c r="I1602" s="49" t="n">
        <v>0</v>
      </c>
      <c r="J1602" s="50" t="n">
        <v>0</v>
      </c>
      <c r="K1602" s="51" t="n">
        <v>0</v>
      </c>
      <c r="L1602" s="52" t="n">
        <v>0</v>
      </c>
      <c r="M1602" s="52" t="n">
        <v>0</v>
      </c>
      <c r="N1602" s="52" t="n">
        <v>0</v>
      </c>
      <c r="O1602" s="53" t="n">
        <v>0</v>
      </c>
      <c r="P1602" s="52" t="n">
        <v>0</v>
      </c>
      <c r="Q1602" s="53" t="n">
        <v>0</v>
      </c>
      <c r="R1602" s="52" t="n">
        <v>0</v>
      </c>
      <c r="S1602" s="51" t="n">
        <v>0</v>
      </c>
      <c r="T1602" s="48" t="n">
        <v>0</v>
      </c>
      <c r="U1602" s="49" t="n">
        <v>0</v>
      </c>
      <c r="V1602" s="49" t="n">
        <v>0</v>
      </c>
      <c r="W1602" s="50" t="n">
        <v>0</v>
      </c>
      <c r="X1602" s="51" t="n">
        <v>0</v>
      </c>
      <c r="Y1602" s="52" t="n">
        <v>0</v>
      </c>
      <c r="Z1602" s="52" t="n">
        <v>0</v>
      </c>
      <c r="AA1602" s="52" t="n">
        <v>0</v>
      </c>
      <c r="AB1602" s="53" t="n">
        <v>0</v>
      </c>
      <c r="AC1602" s="52" t="n">
        <v>0</v>
      </c>
      <c r="AD1602" s="53" t="n">
        <v>0</v>
      </c>
      <c r="AE1602" s="52" t="n">
        <v>0</v>
      </c>
      <c r="AF1602" s="51" t="n">
        <v>0</v>
      </c>
      <c r="AG1602" s="48" t="n">
        <v>0</v>
      </c>
      <c r="AH1602" s="49" t="n">
        <v>0</v>
      </c>
      <c r="AI1602" s="49" t="n">
        <v>0</v>
      </c>
      <c r="AJ1602" s="50" t="n">
        <v>0</v>
      </c>
      <c r="AK1602" s="51" t="n">
        <v>0</v>
      </c>
      <c r="AL1602" s="52" t="n">
        <v>0</v>
      </c>
      <c r="AM1602" s="52" t="n">
        <v>0</v>
      </c>
      <c r="AN1602" s="52" t="n">
        <v>0</v>
      </c>
      <c r="AO1602" s="53" t="n">
        <v>0</v>
      </c>
      <c r="AP1602" s="52" t="n">
        <v>0</v>
      </c>
      <c r="AQ1602" s="53" t="n">
        <v>0</v>
      </c>
      <c r="AR1602" s="52" t="n">
        <v>0</v>
      </c>
      <c r="AS1602" s="51" t="n">
        <v>0</v>
      </c>
      <c r="AT1602" s="48" t="n">
        <v>0</v>
      </c>
      <c r="AU1602" s="49" t="n">
        <v>0</v>
      </c>
      <c r="AV1602" s="49" t="n">
        <v>0</v>
      </c>
      <c r="AW1602" s="50" t="n">
        <v>0</v>
      </c>
      <c r="AX1602" s="51" t="n">
        <v>0</v>
      </c>
      <c r="AY1602" s="52" t="n">
        <v>0</v>
      </c>
      <c r="AZ1602" s="52" t="n">
        <v>0</v>
      </c>
      <c r="BA1602" s="52" t="n">
        <v>0</v>
      </c>
      <c r="BB1602" s="53" t="n">
        <v>0</v>
      </c>
      <c r="BC1602" s="52" t="n">
        <v>0</v>
      </c>
      <c r="BD1602" s="53" t="n">
        <v>0</v>
      </c>
      <c r="BE1602" s="52" t="n">
        <v>0</v>
      </c>
      <c r="BF1602" s="51" t="n">
        <v>0</v>
      </c>
    </row>
    <row r="1603">
      <c r="A1603">
        <f>HYPERLINK("https://www.walmart.com/ip/1478723664", "1478723664")</f>
        <v/>
      </c>
      <c r="B1603" t="inlineStr">
        <is>
          <t>Catalonia Hooded Blanket Poncho | Wearable Blanket Wrap with Hand Pockets | Comfy Sherpa Fleece Throw Cape for Children and Adults, Christmas Thanksgiving Mother Gift, Light Grey</t>
        </is>
      </c>
      <c r="C1603" t="inlineStr">
        <is>
          <t>1CTBC100LG</t>
        </is>
      </c>
      <c r="D1603" t="inlineStr">
        <is>
          <t>Throws</t>
        </is>
      </c>
      <c r="E1603" t="inlineStr">
        <is>
          <t>Catalonia</t>
        </is>
      </c>
      <c r="F1603" t="inlineStr">
        <is>
          <t>Batch 1 - TR</t>
        </is>
      </c>
      <c r="G1603" s="48" t="n">
        <v>0</v>
      </c>
      <c r="H1603" s="49" t="n">
        <v>0</v>
      </c>
      <c r="I1603" s="49" t="n">
        <v>0</v>
      </c>
      <c r="J1603" s="50" t="n">
        <v>0</v>
      </c>
      <c r="K1603" s="51" t="n">
        <v>0</v>
      </c>
      <c r="L1603" s="52" t="n">
        <v>0</v>
      </c>
      <c r="M1603" s="52" t="n">
        <v>0</v>
      </c>
      <c r="N1603" s="52" t="n">
        <v>0</v>
      </c>
      <c r="O1603" s="53" t="n">
        <v>0</v>
      </c>
      <c r="P1603" s="52" t="n">
        <v>0</v>
      </c>
      <c r="Q1603" s="53" t="n">
        <v>0</v>
      </c>
      <c r="R1603" s="52" t="n">
        <v>0</v>
      </c>
      <c r="S1603" s="51" t="n">
        <v>0</v>
      </c>
      <c r="T1603" s="48" t="n">
        <v>0</v>
      </c>
      <c r="U1603" s="49" t="n">
        <v>0</v>
      </c>
      <c r="V1603" s="49" t="n">
        <v>0</v>
      </c>
      <c r="W1603" s="50" t="n">
        <v>0</v>
      </c>
      <c r="X1603" s="51" t="n">
        <v>0</v>
      </c>
      <c r="Y1603" s="52" t="n">
        <v>0</v>
      </c>
      <c r="Z1603" s="52" t="n">
        <v>0</v>
      </c>
      <c r="AA1603" s="52" t="n">
        <v>0</v>
      </c>
      <c r="AB1603" s="53" t="n">
        <v>0</v>
      </c>
      <c r="AC1603" s="52" t="n">
        <v>0</v>
      </c>
      <c r="AD1603" s="53" t="n">
        <v>0</v>
      </c>
      <c r="AE1603" s="52" t="n">
        <v>0</v>
      </c>
      <c r="AF1603" s="51" t="n">
        <v>0</v>
      </c>
      <c r="AG1603" s="48" t="n">
        <v>0</v>
      </c>
      <c r="AH1603" s="49" t="n">
        <v>0</v>
      </c>
      <c r="AI1603" s="49" t="n">
        <v>0</v>
      </c>
      <c r="AJ1603" s="50" t="n">
        <v>0</v>
      </c>
      <c r="AK1603" s="51" t="n">
        <v>0</v>
      </c>
      <c r="AL1603" s="52" t="n">
        <v>0</v>
      </c>
      <c r="AM1603" s="52" t="n">
        <v>0</v>
      </c>
      <c r="AN1603" s="52" t="n">
        <v>0</v>
      </c>
      <c r="AO1603" s="53" t="n">
        <v>0</v>
      </c>
      <c r="AP1603" s="52" t="n">
        <v>0</v>
      </c>
      <c r="AQ1603" s="53" t="n">
        <v>0</v>
      </c>
      <c r="AR1603" s="52" t="n">
        <v>0</v>
      </c>
      <c r="AS1603" s="51" t="n">
        <v>0</v>
      </c>
      <c r="AT1603" s="48" t="n">
        <v>0</v>
      </c>
      <c r="AU1603" s="49" t="n">
        <v>0</v>
      </c>
      <c r="AV1603" s="49" t="n">
        <v>0</v>
      </c>
      <c r="AW1603" s="50" t="n">
        <v>0</v>
      </c>
      <c r="AX1603" s="51" t="n">
        <v>0</v>
      </c>
      <c r="AY1603" s="52" t="n">
        <v>0</v>
      </c>
      <c r="AZ1603" s="52" t="n">
        <v>0</v>
      </c>
      <c r="BA1603" s="52" t="n">
        <v>0</v>
      </c>
      <c r="BB1603" s="53" t="n">
        <v>0</v>
      </c>
      <c r="BC1603" s="52" t="n">
        <v>0</v>
      </c>
      <c r="BD1603" s="53" t="n">
        <v>0</v>
      </c>
      <c r="BE1603" s="52" t="n">
        <v>0</v>
      </c>
      <c r="BF1603" s="51" t="n">
        <v>0</v>
      </c>
    </row>
    <row r="1604">
      <c r="A1604">
        <f>HYPERLINK("https://www.walmart.com/ip/1478976346", "1478976346")</f>
        <v/>
      </c>
      <c r="B1604" t="inlineStr">
        <is>
          <t>Sun Visor Sports Cotton Twill Plain Hat with Adjustable Strap for Men Women Outdoor Golf Tennis Running Jogging Hiking</t>
        </is>
      </c>
      <c r="C1604" t="inlineStr">
        <is>
          <t>1SLVS4130DKGN - 12pcs</t>
        </is>
      </c>
      <c r="D1604" t="inlineStr">
        <is>
          <t>Tennis Visors</t>
        </is>
      </c>
      <c r="E1604" t="inlineStr">
        <is>
          <t>Solaris</t>
        </is>
      </c>
      <c r="F1604" t="inlineStr">
        <is>
          <t>Batch 1 - TR</t>
        </is>
      </c>
      <c r="G1604" s="48" t="n">
        <v>0</v>
      </c>
      <c r="H1604" s="49" t="n">
        <v>0</v>
      </c>
      <c r="I1604" s="49" t="n">
        <v>0</v>
      </c>
      <c r="J1604" s="50" t="n">
        <v>0</v>
      </c>
      <c r="K1604" s="51" t="n">
        <v>0</v>
      </c>
      <c r="L1604" s="52" t="n">
        <v>0</v>
      </c>
      <c r="M1604" s="52" t="n">
        <v>0</v>
      </c>
      <c r="N1604" s="52" t="n">
        <v>0</v>
      </c>
      <c r="O1604" s="53" t="n">
        <v>0</v>
      </c>
      <c r="P1604" s="52" t="n">
        <v>0</v>
      </c>
      <c r="Q1604" s="53" t="n">
        <v>0</v>
      </c>
      <c r="R1604" s="52" t="n">
        <v>0</v>
      </c>
      <c r="S1604" s="51" t="n">
        <v>0</v>
      </c>
      <c r="T1604" s="48" t="n">
        <v>0</v>
      </c>
      <c r="U1604" s="49" t="n">
        <v>0</v>
      </c>
      <c r="V1604" s="49" t="n">
        <v>0</v>
      </c>
      <c r="W1604" s="50" t="n">
        <v>0</v>
      </c>
      <c r="X1604" s="51" t="n">
        <v>0</v>
      </c>
      <c r="Y1604" s="52" t="n">
        <v>0</v>
      </c>
      <c r="Z1604" s="52" t="n">
        <v>0</v>
      </c>
      <c r="AA1604" s="52" t="n">
        <v>0</v>
      </c>
      <c r="AB1604" s="53" t="n">
        <v>0</v>
      </c>
      <c r="AC1604" s="52" t="n">
        <v>0</v>
      </c>
      <c r="AD1604" s="53" t="n">
        <v>0</v>
      </c>
      <c r="AE1604" s="52" t="n">
        <v>0</v>
      </c>
      <c r="AF1604" s="51" t="n">
        <v>0</v>
      </c>
      <c r="AG1604" s="48" t="n">
        <v>0</v>
      </c>
      <c r="AH1604" s="49" t="n">
        <v>0</v>
      </c>
      <c r="AI1604" s="49" t="n">
        <v>0</v>
      </c>
      <c r="AJ1604" s="50" t="n">
        <v>0</v>
      </c>
      <c r="AK1604" s="51" t="n">
        <v>0</v>
      </c>
      <c r="AL1604" s="52" t="n">
        <v>0</v>
      </c>
      <c r="AM1604" s="52" t="n">
        <v>0</v>
      </c>
      <c r="AN1604" s="52" t="n">
        <v>0</v>
      </c>
      <c r="AO1604" s="53" t="n">
        <v>0</v>
      </c>
      <c r="AP1604" s="52" t="n">
        <v>0</v>
      </c>
      <c r="AQ1604" s="53" t="n">
        <v>0</v>
      </c>
      <c r="AR1604" s="52" t="n">
        <v>0</v>
      </c>
      <c r="AS1604" s="51" t="n">
        <v>0</v>
      </c>
      <c r="AT1604" s="48" t="n">
        <v>0</v>
      </c>
      <c r="AU1604" s="49" t="n">
        <v>0</v>
      </c>
      <c r="AV1604" s="49" t="n">
        <v>0</v>
      </c>
      <c r="AW1604" s="50" t="n">
        <v>0</v>
      </c>
      <c r="AX1604" s="51" t="n">
        <v>0</v>
      </c>
      <c r="AY1604" s="52" t="n">
        <v>0</v>
      </c>
      <c r="AZ1604" s="52" t="n">
        <v>0</v>
      </c>
      <c r="BA1604" s="52" t="n">
        <v>0</v>
      </c>
      <c r="BB1604" s="53" t="n">
        <v>0</v>
      </c>
      <c r="BC1604" s="52" t="n">
        <v>0</v>
      </c>
      <c r="BD1604" s="53" t="n">
        <v>0</v>
      </c>
      <c r="BE1604" s="52" t="n">
        <v>0</v>
      </c>
      <c r="BF1604" s="51" t="n">
        <v>0</v>
      </c>
    </row>
    <row r="1605">
      <c r="A1605">
        <f>HYPERLINK("https://www.walmart.com/ip/1481775930", "1481775930")</f>
        <v/>
      </c>
      <c r="B1605" t="inlineStr">
        <is>
          <t>Every Day is Christmas Glass Blown Ornaments Cute Hand Made Figurines Tree Decoration, Bacon Eggs</t>
        </is>
      </c>
      <c r="C1605" t="inlineStr">
        <is>
          <t>EDC-FIGURINE-BACONEGGS</t>
        </is>
      </c>
      <c r="D1605" t="inlineStr">
        <is>
          <t>Ornaments</t>
        </is>
      </c>
      <c r="E1605" t="inlineStr">
        <is>
          <t>Every Day is Christmas</t>
        </is>
      </c>
      <c r="G1605" s="48" t="n">
        <v>0</v>
      </c>
      <c r="H1605" s="49" t="n">
        <v>0</v>
      </c>
      <c r="I1605" s="49" t="n">
        <v>0</v>
      </c>
      <c r="J1605" s="50" t="n">
        <v>0</v>
      </c>
      <c r="K1605" s="51" t="n">
        <v>0</v>
      </c>
      <c r="L1605" s="52" t="n">
        <v>0</v>
      </c>
      <c r="M1605" s="52" t="n">
        <v>0</v>
      </c>
      <c r="N1605" s="52" t="n">
        <v>0</v>
      </c>
      <c r="O1605" s="53" t="n">
        <v>0</v>
      </c>
      <c r="P1605" s="52" t="n">
        <v>0</v>
      </c>
      <c r="Q1605" s="53" t="n">
        <v>0</v>
      </c>
      <c r="R1605" s="52" t="n">
        <v>0</v>
      </c>
      <c r="S1605" s="51" t="n">
        <v>0</v>
      </c>
      <c r="T1605" s="48" t="n">
        <v>0</v>
      </c>
      <c r="U1605" s="49" t="n">
        <v>0</v>
      </c>
      <c r="V1605" s="49" t="n">
        <v>0</v>
      </c>
      <c r="W1605" s="50" t="n">
        <v>0</v>
      </c>
      <c r="X1605" s="51" t="n">
        <v>0</v>
      </c>
      <c r="Y1605" s="52" t="n">
        <v>0</v>
      </c>
      <c r="Z1605" s="52" t="n">
        <v>0</v>
      </c>
      <c r="AA1605" s="52" t="n">
        <v>0</v>
      </c>
      <c r="AB1605" s="53" t="n">
        <v>0</v>
      </c>
      <c r="AC1605" s="52" t="n">
        <v>0</v>
      </c>
      <c r="AD1605" s="53" t="n">
        <v>0</v>
      </c>
      <c r="AE1605" s="52" t="n">
        <v>0</v>
      </c>
      <c r="AF1605" s="51" t="n">
        <v>0</v>
      </c>
      <c r="AG1605" s="48" t="n">
        <v>0</v>
      </c>
      <c r="AH1605" s="49" t="n">
        <v>0</v>
      </c>
      <c r="AI1605" s="49" t="n">
        <v>0</v>
      </c>
      <c r="AJ1605" s="50" t="n">
        <v>0</v>
      </c>
      <c r="AK1605" s="51" t="n">
        <v>0</v>
      </c>
      <c r="AL1605" s="52" t="n">
        <v>0</v>
      </c>
      <c r="AM1605" s="52" t="n">
        <v>0</v>
      </c>
      <c r="AN1605" s="52" t="n">
        <v>0</v>
      </c>
      <c r="AO1605" s="53" t="n">
        <v>0</v>
      </c>
      <c r="AP1605" s="52" t="n">
        <v>0</v>
      </c>
      <c r="AQ1605" s="53" t="n">
        <v>0</v>
      </c>
      <c r="AR1605" s="52" t="n">
        <v>0</v>
      </c>
      <c r="AS1605" s="51" t="n">
        <v>0</v>
      </c>
      <c r="AT1605" s="48" t="n">
        <v>0</v>
      </c>
      <c r="AU1605" s="49" t="n">
        <v>0</v>
      </c>
      <c r="AV1605" s="49" t="n">
        <v>0</v>
      </c>
      <c r="AW1605" s="50" t="n">
        <v>0</v>
      </c>
      <c r="AX1605" s="51" t="n">
        <v>0</v>
      </c>
      <c r="AY1605" s="52" t="n">
        <v>0</v>
      </c>
      <c r="AZ1605" s="52" t="n">
        <v>0</v>
      </c>
      <c r="BA1605" s="52" t="n">
        <v>0</v>
      </c>
      <c r="BB1605" s="53" t="n">
        <v>0</v>
      </c>
      <c r="BC1605" s="52" t="n">
        <v>0</v>
      </c>
      <c r="BD1605" s="53" t="n">
        <v>0</v>
      </c>
      <c r="BE1605" s="52" t="n">
        <v>0</v>
      </c>
      <c r="BF1605" s="51" t="n">
        <v>0</v>
      </c>
    </row>
    <row r="1606">
      <c r="A1606">
        <f>HYPERLINK("https://www.walmart.com/ip/1491470197", "1491470197")</f>
        <v/>
      </c>
      <c r="B1606" t="inlineStr">
        <is>
          <t>Every Day is Christmas Glass Blown Ornaments Cute Hand Made Figurines Tree Decoration, Pagoda</t>
        </is>
      </c>
      <c r="C1606" t="inlineStr">
        <is>
          <t>EDC-FIGURINE-PAGODA</t>
        </is>
      </c>
      <c r="D1606" t="inlineStr">
        <is>
          <t>Ornaments</t>
        </is>
      </c>
      <c r="E1606" t="inlineStr">
        <is>
          <t>Every Day is Christmas</t>
        </is>
      </c>
      <c r="G1606" s="48" t="n">
        <v>0</v>
      </c>
      <c r="H1606" s="49" t="n">
        <v>0</v>
      </c>
      <c r="I1606" s="49" t="n">
        <v>0</v>
      </c>
      <c r="J1606" s="50" t="n">
        <v>0</v>
      </c>
      <c r="K1606" s="51" t="n">
        <v>0</v>
      </c>
      <c r="L1606" s="52" t="n">
        <v>0</v>
      </c>
      <c r="M1606" s="52" t="n">
        <v>0</v>
      </c>
      <c r="N1606" s="52" t="n">
        <v>0</v>
      </c>
      <c r="O1606" s="53" t="n">
        <v>0</v>
      </c>
      <c r="P1606" s="52" t="n">
        <v>0</v>
      </c>
      <c r="Q1606" s="53" t="n">
        <v>0</v>
      </c>
      <c r="R1606" s="52" t="n">
        <v>0</v>
      </c>
      <c r="S1606" s="51" t="n">
        <v>0</v>
      </c>
      <c r="T1606" s="48" t="n">
        <v>0</v>
      </c>
      <c r="U1606" s="49" t="n">
        <v>0</v>
      </c>
      <c r="V1606" s="49" t="n">
        <v>0</v>
      </c>
      <c r="W1606" s="50" t="n">
        <v>0</v>
      </c>
      <c r="X1606" s="51" t="n">
        <v>0</v>
      </c>
      <c r="Y1606" s="52" t="n">
        <v>0</v>
      </c>
      <c r="Z1606" s="52" t="n">
        <v>0</v>
      </c>
      <c r="AA1606" s="52" t="n">
        <v>0</v>
      </c>
      <c r="AB1606" s="53" t="n">
        <v>0</v>
      </c>
      <c r="AC1606" s="52" t="n">
        <v>0</v>
      </c>
      <c r="AD1606" s="53" t="n">
        <v>0</v>
      </c>
      <c r="AE1606" s="52" t="n">
        <v>0</v>
      </c>
      <c r="AF1606" s="51" t="n">
        <v>0</v>
      </c>
      <c r="AG1606" s="48" t="n">
        <v>0</v>
      </c>
      <c r="AH1606" s="49" t="n">
        <v>0</v>
      </c>
      <c r="AI1606" s="49" t="n">
        <v>0</v>
      </c>
      <c r="AJ1606" s="50" t="n">
        <v>0</v>
      </c>
      <c r="AK1606" s="51" t="n">
        <v>0</v>
      </c>
      <c r="AL1606" s="52" t="n">
        <v>0</v>
      </c>
      <c r="AM1606" s="52" t="n">
        <v>0</v>
      </c>
      <c r="AN1606" s="52" t="n">
        <v>0</v>
      </c>
      <c r="AO1606" s="53" t="n">
        <v>0</v>
      </c>
      <c r="AP1606" s="52" t="n">
        <v>0</v>
      </c>
      <c r="AQ1606" s="53" t="n">
        <v>0</v>
      </c>
      <c r="AR1606" s="52" t="n">
        <v>0</v>
      </c>
      <c r="AS1606" s="51" t="n">
        <v>0</v>
      </c>
      <c r="AT1606" s="48" t="n">
        <v>0</v>
      </c>
      <c r="AU1606" s="49" t="n">
        <v>0</v>
      </c>
      <c r="AV1606" s="49" t="n">
        <v>0</v>
      </c>
      <c r="AW1606" s="50" t="n">
        <v>0</v>
      </c>
      <c r="AX1606" s="51" t="n">
        <v>0</v>
      </c>
      <c r="AY1606" s="52" t="n">
        <v>0</v>
      </c>
      <c r="AZ1606" s="52" t="n">
        <v>0</v>
      </c>
      <c r="BA1606" s="52" t="n">
        <v>0</v>
      </c>
      <c r="BB1606" s="53" t="n">
        <v>0</v>
      </c>
      <c r="BC1606" s="52" t="n">
        <v>0</v>
      </c>
      <c r="BD1606" s="53" t="n">
        <v>0</v>
      </c>
      <c r="BE1606" s="52" t="n">
        <v>0</v>
      </c>
      <c r="BF1606" s="51" t="n">
        <v>0</v>
      </c>
    </row>
    <row r="1607">
      <c r="A1607">
        <f>HYPERLINK("https://www.walmart.com/ip/139877519", "139877519")</f>
        <v/>
      </c>
      <c r="B1607" t="inlineStr">
        <is>
          <t>JenniWears® Women's 3-Pack Leopard Lace Garter Belt Stretch Stocking Suspender</t>
        </is>
      </c>
      <c r="C1607" t="inlineStr">
        <is>
          <t>JWBLSPH2108-3pcs</t>
        </is>
      </c>
      <c r="D1607" t="inlineStr">
        <is>
          <t>Garter Belts</t>
        </is>
      </c>
      <c r="E1607" t="inlineStr">
        <is>
          <t>JenniWears</t>
        </is>
      </c>
      <c r="F1607" t="inlineStr">
        <is>
          <t>Optimized,Valentine</t>
        </is>
      </c>
      <c r="G1607" s="48" t="n">
        <v>0</v>
      </c>
      <c r="H1607" s="49" t="n">
        <v>0</v>
      </c>
      <c r="I1607" s="49" t="n">
        <v>0</v>
      </c>
      <c r="J1607" s="50" t="n">
        <v>0</v>
      </c>
      <c r="K1607" s="51" t="n">
        <v>0</v>
      </c>
      <c r="L1607" s="52" t="n">
        <v>0</v>
      </c>
      <c r="M1607" s="52" t="n">
        <v>0</v>
      </c>
      <c r="N1607" s="52" t="n">
        <v>0</v>
      </c>
      <c r="O1607" s="53" t="n">
        <v>0</v>
      </c>
      <c r="P1607" s="52" t="n">
        <v>0</v>
      </c>
      <c r="Q1607" s="53" t="n">
        <v>0</v>
      </c>
      <c r="R1607" s="52" t="n">
        <v>0</v>
      </c>
      <c r="S1607" s="51" t="n">
        <v>0</v>
      </c>
      <c r="T1607" s="48" t="n">
        <v>0</v>
      </c>
      <c r="U1607" s="49" t="n">
        <v>0</v>
      </c>
      <c r="V1607" s="49" t="n">
        <v>0</v>
      </c>
      <c r="W1607" s="50" t="n">
        <v>0</v>
      </c>
      <c r="X1607" s="51" t="n">
        <v>0</v>
      </c>
      <c r="Y1607" s="52" t="n">
        <v>0</v>
      </c>
      <c r="Z1607" s="52" t="n">
        <v>0</v>
      </c>
      <c r="AA1607" s="52" t="n">
        <v>0</v>
      </c>
      <c r="AB1607" s="53" t="n">
        <v>0</v>
      </c>
      <c r="AC1607" s="52" t="n">
        <v>0</v>
      </c>
      <c r="AD1607" s="53" t="n">
        <v>0</v>
      </c>
      <c r="AE1607" s="52" t="n">
        <v>0</v>
      </c>
      <c r="AF1607" s="51" t="n">
        <v>0</v>
      </c>
      <c r="AG1607" s="48" t="n">
        <v>0</v>
      </c>
      <c r="AH1607" s="49" t="n">
        <v>0</v>
      </c>
      <c r="AI1607" s="49" t="n">
        <v>0</v>
      </c>
      <c r="AJ1607" s="50" t="n">
        <v>0</v>
      </c>
      <c r="AK1607" s="51" t="n">
        <v>0</v>
      </c>
      <c r="AL1607" s="52" t="n">
        <v>0</v>
      </c>
      <c r="AM1607" s="52" t="n">
        <v>0</v>
      </c>
      <c r="AN1607" s="52" t="n">
        <v>0</v>
      </c>
      <c r="AO1607" s="53" t="n">
        <v>0</v>
      </c>
      <c r="AP1607" s="52" t="n">
        <v>0</v>
      </c>
      <c r="AQ1607" s="53" t="n">
        <v>0</v>
      </c>
      <c r="AR1607" s="52" t="n">
        <v>0</v>
      </c>
      <c r="AS1607" s="51" t="n">
        <v>0</v>
      </c>
      <c r="AT1607" s="48" t="n">
        <v>0</v>
      </c>
      <c r="AU1607" s="49" t="n">
        <v>0</v>
      </c>
      <c r="AV1607" s="49" t="n">
        <v>0</v>
      </c>
      <c r="AW1607" s="50" t="n">
        <v>0</v>
      </c>
      <c r="AX1607" s="51" t="n">
        <v>0</v>
      </c>
      <c r="AY1607" s="52" t="n">
        <v>0</v>
      </c>
      <c r="AZ1607" s="52" t="n">
        <v>0</v>
      </c>
      <c r="BA1607" s="52" t="n">
        <v>0</v>
      </c>
      <c r="BB1607" s="53" t="n">
        <v>0</v>
      </c>
      <c r="BC1607" s="52" t="n">
        <v>0</v>
      </c>
      <c r="BD1607" s="53" t="n">
        <v>0</v>
      </c>
      <c r="BE1607" s="52" t="n">
        <v>0</v>
      </c>
      <c r="BF1607" s="51" t="n">
        <v>0</v>
      </c>
    </row>
    <row r="1608">
      <c r="A1608">
        <f>HYPERLINK("https://www.walmart.com/ip/139794494", "139794494")</f>
        <v/>
      </c>
      <c r="B1608" t="inlineStr">
        <is>
          <t>Catalonia Super Soft Sherpa Throw Blanket 50" x 60" Reversible Match Color Fuzzy Micro Plush All Season Fleece TV Blanke</t>
        </is>
      </c>
      <c r="C1608" t="inlineStr">
        <is>
          <t>1CTBF301LT</t>
        </is>
      </c>
      <c r="D1608" t="inlineStr">
        <is>
          <t>Throws</t>
        </is>
      </c>
      <c r="E1608" t="inlineStr">
        <is>
          <t>Catalonia</t>
        </is>
      </c>
      <c r="F1608" t="inlineStr">
        <is>
          <t>WFS,WFS Item</t>
        </is>
      </c>
      <c r="G1608" s="48" t="n">
        <v>0</v>
      </c>
      <c r="H1608" s="49" t="n">
        <v>0</v>
      </c>
      <c r="I1608" s="49" t="n">
        <v>0</v>
      </c>
      <c r="J1608" s="50" t="n">
        <v>0</v>
      </c>
      <c r="K1608" s="51" t="n">
        <v>0</v>
      </c>
      <c r="L1608" s="52" t="n">
        <v>0</v>
      </c>
      <c r="M1608" s="52" t="n">
        <v>0</v>
      </c>
      <c r="N1608" s="52" t="n">
        <v>0</v>
      </c>
      <c r="O1608" s="53" t="n">
        <v>0</v>
      </c>
      <c r="P1608" s="52" t="n">
        <v>0</v>
      </c>
      <c r="Q1608" s="53" t="n">
        <v>0</v>
      </c>
      <c r="R1608" s="52" t="n">
        <v>0</v>
      </c>
      <c r="S1608" s="51" t="n">
        <v>0</v>
      </c>
      <c r="T1608" s="48" t="n">
        <v>0</v>
      </c>
      <c r="U1608" s="49" t="n">
        <v>0</v>
      </c>
      <c r="V1608" s="49" t="n">
        <v>0</v>
      </c>
      <c r="W1608" s="50" t="n">
        <v>0</v>
      </c>
      <c r="X1608" s="51" t="n">
        <v>0</v>
      </c>
      <c r="Y1608" s="52" t="n">
        <v>0</v>
      </c>
      <c r="Z1608" s="52" t="n">
        <v>0</v>
      </c>
      <c r="AA1608" s="52" t="n">
        <v>0</v>
      </c>
      <c r="AB1608" s="53" t="n">
        <v>0</v>
      </c>
      <c r="AC1608" s="52" t="n">
        <v>0</v>
      </c>
      <c r="AD1608" s="53" t="n">
        <v>0</v>
      </c>
      <c r="AE1608" s="52" t="n">
        <v>0</v>
      </c>
      <c r="AF1608" s="51" t="n">
        <v>0</v>
      </c>
      <c r="AG1608" s="48" t="n">
        <v>0</v>
      </c>
      <c r="AH1608" s="49" t="n">
        <v>0</v>
      </c>
      <c r="AI1608" s="49" t="n">
        <v>0</v>
      </c>
      <c r="AJ1608" s="50" t="n">
        <v>0</v>
      </c>
      <c r="AK1608" s="51" t="n">
        <v>0</v>
      </c>
      <c r="AL1608" s="52" t="n">
        <v>0</v>
      </c>
      <c r="AM1608" s="52" t="n">
        <v>0</v>
      </c>
      <c r="AN1608" s="52" t="n">
        <v>0</v>
      </c>
      <c r="AO1608" s="53" t="n">
        <v>0</v>
      </c>
      <c r="AP1608" s="52" t="n">
        <v>0</v>
      </c>
      <c r="AQ1608" s="53" t="n">
        <v>0</v>
      </c>
      <c r="AR1608" s="52" t="n">
        <v>0</v>
      </c>
      <c r="AS1608" s="51" t="n">
        <v>0</v>
      </c>
      <c r="AT1608" s="48" t="n">
        <v>0</v>
      </c>
      <c r="AU1608" s="49" t="n">
        <v>0</v>
      </c>
      <c r="AV1608" s="49" t="n">
        <v>0</v>
      </c>
      <c r="AW1608" s="50" t="n">
        <v>0</v>
      </c>
      <c r="AX1608" s="51" t="n">
        <v>0</v>
      </c>
      <c r="AY1608" s="52" t="n">
        <v>0</v>
      </c>
      <c r="AZ1608" s="52" t="n">
        <v>0</v>
      </c>
      <c r="BA1608" s="52" t="n">
        <v>0</v>
      </c>
      <c r="BB1608" s="53" t="n">
        <v>0</v>
      </c>
      <c r="BC1608" s="52" t="n">
        <v>0</v>
      </c>
      <c r="BD1608" s="53" t="n">
        <v>0</v>
      </c>
      <c r="BE1608" s="52" t="n">
        <v>0</v>
      </c>
      <c r="BF1608" s="51" t="n">
        <v>0</v>
      </c>
    </row>
    <row r="1609">
      <c r="A1609">
        <f>HYPERLINK("https://www.walmart.com/ip/159895923", "159895923")</f>
        <v/>
      </c>
      <c r="B1609" t="inlineStr">
        <is>
          <t>JenniWears Women Beileise Sexy Garter Belt Suspender - 6 Packs</t>
        </is>
      </c>
      <c r="C1609" t="inlineStr">
        <is>
          <t>JWBLSPH2073-6pcs</t>
        </is>
      </c>
      <c r="D1609" t="inlineStr">
        <is>
          <t>Garter Belts</t>
        </is>
      </c>
      <c r="E1609" t="inlineStr">
        <is>
          <t>JenniWears</t>
        </is>
      </c>
      <c r="G1609" s="48" t="n">
        <v>0</v>
      </c>
      <c r="H1609" s="49" t="n">
        <v>0</v>
      </c>
      <c r="I1609" s="49" t="n">
        <v>0</v>
      </c>
      <c r="J1609" s="50" t="n">
        <v>0</v>
      </c>
      <c r="K1609" s="51" t="n">
        <v>0</v>
      </c>
      <c r="L1609" s="52" t="n">
        <v>0</v>
      </c>
      <c r="M1609" s="52" t="n">
        <v>0</v>
      </c>
      <c r="N1609" s="52" t="n">
        <v>0</v>
      </c>
      <c r="O1609" s="53" t="n">
        <v>0</v>
      </c>
      <c r="P1609" s="52" t="n">
        <v>0</v>
      </c>
      <c r="Q1609" s="53" t="n">
        <v>0</v>
      </c>
      <c r="R1609" s="52" t="n">
        <v>0</v>
      </c>
      <c r="S1609" s="51" t="n">
        <v>0</v>
      </c>
      <c r="T1609" s="48" t="n">
        <v>0</v>
      </c>
      <c r="U1609" s="49" t="n">
        <v>0</v>
      </c>
      <c r="V1609" s="49" t="n">
        <v>0</v>
      </c>
      <c r="W1609" s="50" t="n">
        <v>0</v>
      </c>
      <c r="X1609" s="51" t="n">
        <v>0</v>
      </c>
      <c r="Y1609" s="52" t="n">
        <v>0</v>
      </c>
      <c r="Z1609" s="52" t="n">
        <v>0</v>
      </c>
      <c r="AA1609" s="52" t="n">
        <v>0</v>
      </c>
      <c r="AB1609" s="53" t="n">
        <v>0</v>
      </c>
      <c r="AC1609" s="52" t="n">
        <v>0</v>
      </c>
      <c r="AD1609" s="53" t="n">
        <v>0</v>
      </c>
      <c r="AE1609" s="52" t="n">
        <v>0</v>
      </c>
      <c r="AF1609" s="51" t="n">
        <v>0</v>
      </c>
      <c r="AG1609" s="48" t="n">
        <v>0</v>
      </c>
      <c r="AH1609" s="49" t="n">
        <v>0</v>
      </c>
      <c r="AI1609" s="49" t="n">
        <v>0</v>
      </c>
      <c r="AJ1609" s="50" t="n">
        <v>0</v>
      </c>
      <c r="AK1609" s="51" t="n">
        <v>0</v>
      </c>
      <c r="AL1609" s="52" t="n">
        <v>0</v>
      </c>
      <c r="AM1609" s="52" t="n">
        <v>0</v>
      </c>
      <c r="AN1609" s="52" t="n">
        <v>0</v>
      </c>
      <c r="AO1609" s="53" t="n">
        <v>0</v>
      </c>
      <c r="AP1609" s="52" t="n">
        <v>0</v>
      </c>
      <c r="AQ1609" s="53" t="n">
        <v>0</v>
      </c>
      <c r="AR1609" s="52" t="n">
        <v>0</v>
      </c>
      <c r="AS1609" s="51" t="n">
        <v>0</v>
      </c>
      <c r="AT1609" s="48" t="n">
        <v>0</v>
      </c>
      <c r="AU1609" s="49" t="n">
        <v>0</v>
      </c>
      <c r="AV1609" s="49" t="n">
        <v>0</v>
      </c>
      <c r="AW1609" s="50" t="n">
        <v>0</v>
      </c>
      <c r="AX1609" s="51" t="n">
        <v>0</v>
      </c>
      <c r="AY1609" s="52" t="n">
        <v>0</v>
      </c>
      <c r="AZ1609" s="52" t="n">
        <v>0</v>
      </c>
      <c r="BA1609" s="52" t="n">
        <v>0</v>
      </c>
      <c r="BB1609" s="53" t="n">
        <v>0</v>
      </c>
      <c r="BC1609" s="52" t="n">
        <v>0</v>
      </c>
      <c r="BD1609" s="53" t="n">
        <v>0</v>
      </c>
      <c r="BE1609" s="52" t="n">
        <v>0</v>
      </c>
      <c r="BF1609" s="51" t="n">
        <v>0</v>
      </c>
    </row>
    <row r="1610">
      <c r="A1610">
        <f>HYPERLINK("https://www.walmart.com/ip/111482853", "111482853")</f>
        <v/>
      </c>
      <c r="B1610" t="inlineStr">
        <is>
          <t>Womens Sun Hats Neck Flap Large Brim UV Protection Foldable and Breathable Fishing Hiking Beach Cap</t>
        </is>
      </c>
      <c r="C1610" t="inlineStr">
        <is>
          <t>1SLSH922OR</t>
        </is>
      </c>
      <c r="D1610" t="inlineStr">
        <is>
          <t>Hats</t>
        </is>
      </c>
      <c r="E1610" t="inlineStr">
        <is>
          <t>Solaris</t>
        </is>
      </c>
      <c r="F1610" t="inlineStr">
        <is>
          <t>Hats,Batch 1 - TR</t>
        </is>
      </c>
      <c r="G1610" s="48" t="n">
        <v>0</v>
      </c>
      <c r="H1610" s="49" t="n">
        <v>0</v>
      </c>
      <c r="I1610" s="49" t="n">
        <v>4</v>
      </c>
      <c r="J1610" s="50" t="n">
        <v>0</v>
      </c>
      <c r="K1610" s="51" t="n">
        <v>0</v>
      </c>
      <c r="L1610" s="52" t="n">
        <v>0</v>
      </c>
      <c r="M1610" s="52" t="n">
        <v>0</v>
      </c>
      <c r="N1610" s="52" t="n">
        <v>0</v>
      </c>
      <c r="O1610" s="53" t="n">
        <v>0</v>
      </c>
      <c r="P1610" s="52" t="n">
        <v>0</v>
      </c>
      <c r="Q1610" s="53" t="n">
        <v>0</v>
      </c>
      <c r="R1610" s="52" t="n">
        <v>0</v>
      </c>
      <c r="S1610" s="51" t="n">
        <v>0</v>
      </c>
      <c r="T1610" s="48" t="n">
        <v>17.99</v>
      </c>
      <c r="U1610" s="49" t="n">
        <v>1</v>
      </c>
      <c r="V1610" s="49" t="n">
        <v>5</v>
      </c>
      <c r="W1610" s="50" t="n">
        <v>0.2</v>
      </c>
      <c r="X1610" s="51" t="n">
        <v>0</v>
      </c>
      <c r="Y1610" s="52" t="n">
        <v>0</v>
      </c>
      <c r="Z1610" s="52" t="n">
        <v>0</v>
      </c>
      <c r="AA1610" s="52" t="n">
        <v>0</v>
      </c>
      <c r="AB1610" s="53" t="n">
        <v>0</v>
      </c>
      <c r="AC1610" s="52" t="n">
        <v>0</v>
      </c>
      <c r="AD1610" s="53" t="n">
        <v>0</v>
      </c>
      <c r="AE1610" s="52" t="n">
        <v>17.99</v>
      </c>
      <c r="AF1610" s="51" t="n">
        <v>0</v>
      </c>
      <c r="AG1610" s="48" t="n">
        <v>24.98</v>
      </c>
      <c r="AH1610" s="49" t="n">
        <v>1</v>
      </c>
      <c r="AI1610" s="49" t="n">
        <v>4</v>
      </c>
      <c r="AJ1610" s="50" t="n">
        <v>0.25</v>
      </c>
      <c r="AK1610" s="51" t="n">
        <v>0</v>
      </c>
      <c r="AL1610" s="52" t="n">
        <v>0</v>
      </c>
      <c r="AM1610" s="52" t="n">
        <v>0</v>
      </c>
      <c r="AN1610" s="52" t="n">
        <v>0</v>
      </c>
      <c r="AO1610" s="53" t="n">
        <v>0</v>
      </c>
      <c r="AP1610" s="52" t="n">
        <v>0</v>
      </c>
      <c r="AQ1610" s="53" t="n">
        <v>0</v>
      </c>
      <c r="AR1610" s="52" t="n">
        <v>24.98</v>
      </c>
      <c r="AS1610" s="51" t="n">
        <v>0</v>
      </c>
      <c r="AT1610" s="48" t="n">
        <v>17.99</v>
      </c>
      <c r="AU1610" s="49" t="n">
        <v>1</v>
      </c>
      <c r="AV1610" s="49" t="n">
        <v>0</v>
      </c>
      <c r="AW1610" s="50" t="n">
        <v>0</v>
      </c>
      <c r="AX1610" s="51" t="n">
        <v>0</v>
      </c>
      <c r="AY1610" s="52" t="n">
        <v>0</v>
      </c>
      <c r="AZ1610" s="52" t="n">
        <v>0</v>
      </c>
      <c r="BA1610" s="52" t="n">
        <v>0</v>
      </c>
      <c r="BB1610" s="53" t="n">
        <v>0</v>
      </c>
      <c r="BC1610" s="52" t="n">
        <v>0</v>
      </c>
      <c r="BD1610" s="53" t="n">
        <v>0</v>
      </c>
      <c r="BE1610" s="52" t="n">
        <v>17.99</v>
      </c>
      <c r="BF1610" s="51" t="n">
        <v>0</v>
      </c>
    </row>
    <row r="1611">
      <c r="A1611">
        <f>HYPERLINK("https://www.walmart.com/ip/1117710069", "1117710069")</f>
        <v/>
      </c>
      <c r="B1611" t="inlineStr">
        <is>
          <t>Tirrinia Men's Olive Color Quail Cap</t>
        </is>
      </c>
      <c r="C1611" t="inlineStr">
        <is>
          <t>1TRHT32QUAIL-TBCB</t>
        </is>
      </c>
      <c r="D1611" t="inlineStr">
        <is>
          <t>Hats</t>
        </is>
      </c>
      <c r="E1611" t="inlineStr">
        <is>
          <t>Tirrinia</t>
        </is>
      </c>
      <c r="F1611" t="inlineStr">
        <is>
          <t>Batch 1 - TR</t>
        </is>
      </c>
      <c r="G1611" s="48" t="n">
        <v>0</v>
      </c>
      <c r="H1611" s="49" t="n">
        <v>0</v>
      </c>
      <c r="I1611" s="49" t="n">
        <v>0</v>
      </c>
      <c r="J1611" s="50" t="n">
        <v>0</v>
      </c>
      <c r="K1611" s="51" t="n">
        <v>0</v>
      </c>
      <c r="L1611" s="52" t="n">
        <v>0</v>
      </c>
      <c r="M1611" s="52" t="n">
        <v>0</v>
      </c>
      <c r="N1611" s="52" t="n">
        <v>0</v>
      </c>
      <c r="O1611" s="53" t="n">
        <v>0</v>
      </c>
      <c r="P1611" s="52" t="n">
        <v>0</v>
      </c>
      <c r="Q1611" s="53" t="n">
        <v>0</v>
      </c>
      <c r="R1611" s="52" t="n">
        <v>0</v>
      </c>
      <c r="S1611" s="51" t="n">
        <v>0</v>
      </c>
      <c r="T1611" s="48" t="n">
        <v>0</v>
      </c>
      <c r="U1611" s="49" t="n">
        <v>0</v>
      </c>
      <c r="V1611" s="49" t="n">
        <v>0</v>
      </c>
      <c r="W1611" s="50" t="n">
        <v>0</v>
      </c>
      <c r="X1611" s="51" t="n">
        <v>0</v>
      </c>
      <c r="Y1611" s="52" t="n">
        <v>0</v>
      </c>
      <c r="Z1611" s="52" t="n">
        <v>0</v>
      </c>
      <c r="AA1611" s="52" t="n">
        <v>0</v>
      </c>
      <c r="AB1611" s="53" t="n">
        <v>0</v>
      </c>
      <c r="AC1611" s="52" t="n">
        <v>0</v>
      </c>
      <c r="AD1611" s="53" t="n">
        <v>0</v>
      </c>
      <c r="AE1611" s="52" t="n">
        <v>0</v>
      </c>
      <c r="AF1611" s="51" t="n">
        <v>0</v>
      </c>
      <c r="AG1611" s="48" t="n">
        <v>0</v>
      </c>
      <c r="AH1611" s="49" t="n">
        <v>0</v>
      </c>
      <c r="AI1611" s="49" t="n">
        <v>0</v>
      </c>
      <c r="AJ1611" s="50" t="n">
        <v>0</v>
      </c>
      <c r="AK1611" s="51" t="n">
        <v>0</v>
      </c>
      <c r="AL1611" s="52" t="n">
        <v>0</v>
      </c>
      <c r="AM1611" s="52" t="n">
        <v>0</v>
      </c>
      <c r="AN1611" s="52" t="n">
        <v>0</v>
      </c>
      <c r="AO1611" s="53" t="n">
        <v>0</v>
      </c>
      <c r="AP1611" s="52" t="n">
        <v>0</v>
      </c>
      <c r="AQ1611" s="53" t="n">
        <v>0</v>
      </c>
      <c r="AR1611" s="52" t="n">
        <v>0</v>
      </c>
      <c r="AS1611" s="51" t="n">
        <v>0</v>
      </c>
      <c r="AT1611" s="48" t="n">
        <v>0</v>
      </c>
      <c r="AU1611" s="49" t="n">
        <v>0</v>
      </c>
      <c r="AV1611" s="49" t="n">
        <v>0</v>
      </c>
      <c r="AW1611" s="50" t="n">
        <v>0</v>
      </c>
      <c r="AX1611" s="51" t="n">
        <v>0</v>
      </c>
      <c r="AY1611" s="52" t="n">
        <v>0</v>
      </c>
      <c r="AZ1611" s="52" t="n">
        <v>0</v>
      </c>
      <c r="BA1611" s="52" t="n">
        <v>0</v>
      </c>
      <c r="BB1611" s="53" t="n">
        <v>0</v>
      </c>
      <c r="BC1611" s="52" t="n">
        <v>0</v>
      </c>
      <c r="BD1611" s="53" t="n">
        <v>0</v>
      </c>
      <c r="BE1611" s="52" t="n">
        <v>0</v>
      </c>
      <c r="BF1611" s="51" t="n">
        <v>0</v>
      </c>
    </row>
    <row r="1612">
      <c r="A1612">
        <f>HYPERLINK("https://www.walmart.com/ip/111893217", "111893217")</f>
        <v/>
      </c>
      <c r="B1612" t="inlineStr">
        <is>
          <t>Pawsse Water Resistant Dog Blanket, Premium Pet Puppy Furniture Protector Cover, Large 80" x 60", Gray</t>
        </is>
      </c>
      <c r="C1612" t="inlineStr">
        <is>
          <t>1PSBW681GYTP</t>
        </is>
      </c>
      <c r="D1612" t="inlineStr">
        <is>
          <t>Pet Blankets</t>
        </is>
      </c>
      <c r="E1612" t="inlineStr">
        <is>
          <t>Pawsse</t>
        </is>
      </c>
      <c r="F1612" t="inlineStr">
        <is>
          <t>Optimized,WFS,WFS Item</t>
        </is>
      </c>
      <c r="G1612" s="48" t="n">
        <v>0</v>
      </c>
      <c r="H1612" s="49" t="n">
        <v>0</v>
      </c>
      <c r="I1612" s="49" t="n">
        <v>0</v>
      </c>
      <c r="J1612" s="50" t="n">
        <v>0</v>
      </c>
      <c r="K1612" s="51" t="n">
        <v>0</v>
      </c>
      <c r="L1612" s="52" t="n">
        <v>0</v>
      </c>
      <c r="M1612" s="52" t="n">
        <v>0</v>
      </c>
      <c r="N1612" s="52" t="n">
        <v>0</v>
      </c>
      <c r="O1612" s="53" t="n">
        <v>0</v>
      </c>
      <c r="P1612" s="52" t="n">
        <v>0</v>
      </c>
      <c r="Q1612" s="53" t="n">
        <v>0</v>
      </c>
      <c r="R1612" s="52" t="n">
        <v>0</v>
      </c>
      <c r="S1612" s="51" t="n">
        <v>0</v>
      </c>
      <c r="T1612" s="48" t="n">
        <v>0</v>
      </c>
      <c r="U1612" s="49" t="n">
        <v>0</v>
      </c>
      <c r="V1612" s="49" t="n">
        <v>0</v>
      </c>
      <c r="W1612" s="50" t="n">
        <v>0</v>
      </c>
      <c r="X1612" s="51" t="n">
        <v>0</v>
      </c>
      <c r="Y1612" s="52" t="n">
        <v>0</v>
      </c>
      <c r="Z1612" s="52" t="n">
        <v>0</v>
      </c>
      <c r="AA1612" s="52" t="n">
        <v>0</v>
      </c>
      <c r="AB1612" s="53" t="n">
        <v>0</v>
      </c>
      <c r="AC1612" s="52" t="n">
        <v>0</v>
      </c>
      <c r="AD1612" s="53" t="n">
        <v>0</v>
      </c>
      <c r="AE1612" s="52" t="n">
        <v>0</v>
      </c>
      <c r="AF1612" s="51" t="n">
        <v>0</v>
      </c>
      <c r="AG1612" s="48" t="n">
        <v>0</v>
      </c>
      <c r="AH1612" s="49" t="n">
        <v>0</v>
      </c>
      <c r="AI1612" s="49" t="n">
        <v>0</v>
      </c>
      <c r="AJ1612" s="50" t="n">
        <v>0</v>
      </c>
      <c r="AK1612" s="51" t="n">
        <v>0</v>
      </c>
      <c r="AL1612" s="52" t="n">
        <v>0</v>
      </c>
      <c r="AM1612" s="52" t="n">
        <v>0</v>
      </c>
      <c r="AN1612" s="52" t="n">
        <v>0</v>
      </c>
      <c r="AO1612" s="53" t="n">
        <v>0</v>
      </c>
      <c r="AP1612" s="52" t="n">
        <v>0</v>
      </c>
      <c r="AQ1612" s="53" t="n">
        <v>0</v>
      </c>
      <c r="AR1612" s="52" t="n">
        <v>0</v>
      </c>
      <c r="AS1612" s="51" t="n">
        <v>0</v>
      </c>
      <c r="AT1612" s="48" t="n">
        <v>0</v>
      </c>
      <c r="AU1612" s="49" t="n">
        <v>0</v>
      </c>
      <c r="AV1612" s="49" t="n">
        <v>0</v>
      </c>
      <c r="AW1612" s="50" t="n">
        <v>0</v>
      </c>
      <c r="AX1612" s="51" t="n">
        <v>0</v>
      </c>
      <c r="AY1612" s="52" t="n">
        <v>0</v>
      </c>
      <c r="AZ1612" s="52" t="n">
        <v>0</v>
      </c>
      <c r="BA1612" s="52" t="n">
        <v>0</v>
      </c>
      <c r="BB1612" s="53" t="n">
        <v>0</v>
      </c>
      <c r="BC1612" s="52" t="n">
        <v>0</v>
      </c>
      <c r="BD1612" s="53" t="n">
        <v>0</v>
      </c>
      <c r="BE1612" s="52" t="n">
        <v>0</v>
      </c>
      <c r="BF1612" s="51" t="n">
        <v>0</v>
      </c>
    </row>
    <row r="1613">
      <c r="A1613">
        <f>HYPERLINK("https://www.walmart.com/ip/112404502", "112404502")</f>
        <v/>
      </c>
      <c r="B1613" t="inlineStr">
        <is>
          <t>KC Caps® Unisex Cotton Baseball Cap Adjustable Plain Hat (21 Styles/Colors)</t>
        </is>
      </c>
      <c r="C1613" t="inlineStr">
        <is>
          <t>KC8010KKBK</t>
        </is>
      </c>
      <c r="D1613" t="inlineStr">
        <is>
          <t>Hats</t>
        </is>
      </c>
      <c r="E1613" t="inlineStr">
        <is>
          <t>KC Caps</t>
        </is>
      </c>
      <c r="F1613" t="inlineStr">
        <is>
          <t>Optimized</t>
        </is>
      </c>
      <c r="G1613" s="48" t="n">
        <v>0</v>
      </c>
      <c r="H1613" s="49" t="n">
        <v>0</v>
      </c>
      <c r="I1613" s="49" t="n">
        <v>0</v>
      </c>
      <c r="J1613" s="50" t="n">
        <v>0</v>
      </c>
      <c r="K1613" s="51" t="n">
        <v>0</v>
      </c>
      <c r="L1613" s="52" t="n">
        <v>0</v>
      </c>
      <c r="M1613" s="52" t="n">
        <v>0</v>
      </c>
      <c r="N1613" s="52" t="n">
        <v>0</v>
      </c>
      <c r="O1613" s="53" t="n">
        <v>0</v>
      </c>
      <c r="P1613" s="52" t="n">
        <v>0</v>
      </c>
      <c r="Q1613" s="53" t="n">
        <v>0</v>
      </c>
      <c r="R1613" s="52" t="n">
        <v>0</v>
      </c>
      <c r="S1613" s="51" t="n">
        <v>0</v>
      </c>
      <c r="T1613" s="48" t="n">
        <v>0</v>
      </c>
      <c r="U1613" s="49" t="n">
        <v>0</v>
      </c>
      <c r="V1613" s="49" t="n">
        <v>0</v>
      </c>
      <c r="W1613" s="50" t="n">
        <v>0</v>
      </c>
      <c r="X1613" s="51" t="n">
        <v>0</v>
      </c>
      <c r="Y1613" s="52" t="n">
        <v>0</v>
      </c>
      <c r="Z1613" s="52" t="n">
        <v>0</v>
      </c>
      <c r="AA1613" s="52" t="n">
        <v>0</v>
      </c>
      <c r="AB1613" s="53" t="n">
        <v>0</v>
      </c>
      <c r="AC1613" s="52" t="n">
        <v>0</v>
      </c>
      <c r="AD1613" s="53" t="n">
        <v>0</v>
      </c>
      <c r="AE1613" s="52" t="n">
        <v>0</v>
      </c>
      <c r="AF1613" s="51" t="n">
        <v>0</v>
      </c>
      <c r="AG1613" s="48" t="n">
        <v>0</v>
      </c>
      <c r="AH1613" s="49" t="n">
        <v>0</v>
      </c>
      <c r="AI1613" s="49" t="n">
        <v>0</v>
      </c>
      <c r="AJ1613" s="50" t="n">
        <v>0</v>
      </c>
      <c r="AK1613" s="51" t="n">
        <v>0</v>
      </c>
      <c r="AL1613" s="52" t="n">
        <v>0</v>
      </c>
      <c r="AM1613" s="52" t="n">
        <v>0</v>
      </c>
      <c r="AN1613" s="52" t="n">
        <v>0</v>
      </c>
      <c r="AO1613" s="53" t="n">
        <v>0</v>
      </c>
      <c r="AP1613" s="52" t="n">
        <v>0</v>
      </c>
      <c r="AQ1613" s="53" t="n">
        <v>0</v>
      </c>
      <c r="AR1613" s="52" t="n">
        <v>0</v>
      </c>
      <c r="AS1613" s="51" t="n">
        <v>0</v>
      </c>
      <c r="AT1613" s="48" t="n">
        <v>0</v>
      </c>
      <c r="AU1613" s="49" t="n">
        <v>0</v>
      </c>
      <c r="AV1613" s="49" t="n">
        <v>0</v>
      </c>
      <c r="AW1613" s="50" t="n">
        <v>0</v>
      </c>
      <c r="AX1613" s="51" t="n">
        <v>0</v>
      </c>
      <c r="AY1613" s="52" t="n">
        <v>0</v>
      </c>
      <c r="AZ1613" s="52" t="n">
        <v>0</v>
      </c>
      <c r="BA1613" s="52" t="n">
        <v>0</v>
      </c>
      <c r="BB1613" s="53" t="n">
        <v>0</v>
      </c>
      <c r="BC1613" s="52" t="n">
        <v>0</v>
      </c>
      <c r="BD1613" s="53" t="n">
        <v>0</v>
      </c>
      <c r="BE1613" s="52" t="n">
        <v>0</v>
      </c>
      <c r="BF1613" s="51" t="n">
        <v>0</v>
      </c>
    </row>
    <row r="1614">
      <c r="A1614">
        <f>HYPERLINK("https://www.walmart.com/ip/1124120160", "1124120160")</f>
        <v/>
      </c>
      <c r="B1614" t="inlineStr">
        <is>
          <t>Bucket Summer Mens Sun Hat Water Repel Mesh Net Light Weight UV Protection Outdoor Cap by Solaris</t>
        </is>
      </c>
      <c r="C1614" t="inlineStr">
        <is>
          <t>1SLSH191GN-12pcs</t>
        </is>
      </c>
      <c r="D1614" t="inlineStr">
        <is>
          <t>Hats</t>
        </is>
      </c>
      <c r="E1614" t="inlineStr">
        <is>
          <t>Solaris</t>
        </is>
      </c>
      <c r="F1614" t="inlineStr">
        <is>
          <t>Batch 1 - TR</t>
        </is>
      </c>
      <c r="G1614" s="48" t="n">
        <v>0</v>
      </c>
      <c r="H1614" s="49" t="n">
        <v>0</v>
      </c>
      <c r="I1614" s="49" t="n">
        <v>0</v>
      </c>
      <c r="J1614" s="50" t="n">
        <v>0</v>
      </c>
      <c r="K1614" s="51" t="n">
        <v>0</v>
      </c>
      <c r="L1614" s="52" t="n">
        <v>0</v>
      </c>
      <c r="M1614" s="52" t="n">
        <v>0</v>
      </c>
      <c r="N1614" s="52" t="n">
        <v>0</v>
      </c>
      <c r="O1614" s="53" t="n">
        <v>0</v>
      </c>
      <c r="P1614" s="52" t="n">
        <v>0</v>
      </c>
      <c r="Q1614" s="53" t="n">
        <v>0</v>
      </c>
      <c r="R1614" s="52" t="n">
        <v>0</v>
      </c>
      <c r="S1614" s="51" t="n">
        <v>0</v>
      </c>
      <c r="T1614" s="48" t="n">
        <v>0</v>
      </c>
      <c r="U1614" s="49" t="n">
        <v>0</v>
      </c>
      <c r="V1614" s="49" t="n">
        <v>0</v>
      </c>
      <c r="W1614" s="50" t="n">
        <v>0</v>
      </c>
      <c r="X1614" s="51" t="n">
        <v>0</v>
      </c>
      <c r="Y1614" s="52" t="n">
        <v>0</v>
      </c>
      <c r="Z1614" s="52" t="n">
        <v>0</v>
      </c>
      <c r="AA1614" s="52" t="n">
        <v>0</v>
      </c>
      <c r="AB1614" s="53" t="n">
        <v>0</v>
      </c>
      <c r="AC1614" s="52" t="n">
        <v>0</v>
      </c>
      <c r="AD1614" s="53" t="n">
        <v>0</v>
      </c>
      <c r="AE1614" s="52" t="n">
        <v>0</v>
      </c>
      <c r="AF1614" s="51" t="n">
        <v>0</v>
      </c>
      <c r="AG1614" s="48" t="n">
        <v>0</v>
      </c>
      <c r="AH1614" s="49" t="n">
        <v>0</v>
      </c>
      <c r="AI1614" s="49" t="n">
        <v>0</v>
      </c>
      <c r="AJ1614" s="50" t="n">
        <v>0</v>
      </c>
      <c r="AK1614" s="51" t="n">
        <v>0</v>
      </c>
      <c r="AL1614" s="52" t="n">
        <v>0</v>
      </c>
      <c r="AM1614" s="52" t="n">
        <v>0</v>
      </c>
      <c r="AN1614" s="52" t="n">
        <v>0</v>
      </c>
      <c r="AO1614" s="53" t="n">
        <v>0</v>
      </c>
      <c r="AP1614" s="52" t="n">
        <v>0</v>
      </c>
      <c r="AQ1614" s="53" t="n">
        <v>0</v>
      </c>
      <c r="AR1614" s="52" t="n">
        <v>0</v>
      </c>
      <c r="AS1614" s="51" t="n">
        <v>0</v>
      </c>
      <c r="AT1614" s="48" t="n">
        <v>0</v>
      </c>
      <c r="AU1614" s="49" t="n">
        <v>0</v>
      </c>
      <c r="AV1614" s="49" t="n">
        <v>0</v>
      </c>
      <c r="AW1614" s="50" t="n">
        <v>0</v>
      </c>
      <c r="AX1614" s="51" t="n">
        <v>0</v>
      </c>
      <c r="AY1614" s="52" t="n">
        <v>0</v>
      </c>
      <c r="AZ1614" s="52" t="n">
        <v>0</v>
      </c>
      <c r="BA1614" s="52" t="n">
        <v>0</v>
      </c>
      <c r="BB1614" s="53" t="n">
        <v>0</v>
      </c>
      <c r="BC1614" s="52" t="n">
        <v>0</v>
      </c>
      <c r="BD1614" s="53" t="n">
        <v>0</v>
      </c>
      <c r="BE1614" s="52" t="n">
        <v>0</v>
      </c>
      <c r="BF1614" s="51" t="n">
        <v>0</v>
      </c>
    </row>
    <row r="1615">
      <c r="A1615">
        <f>HYPERLINK("https://www.walmart.com/ip/112436825", "112436825")</f>
        <v/>
      </c>
      <c r="B1615" t="inlineStr">
        <is>
          <t>Terra Faux Fur Pom Pom Beanie Hat Slouchy Solid Plain Knit Unisex Stretches to Fit Most</t>
        </is>
      </c>
      <c r="C1615" t="inlineStr">
        <is>
          <t>TERRAPPH03BK</t>
        </is>
      </c>
      <c r="D1615" t="inlineStr">
        <is>
          <t>Hats</t>
        </is>
      </c>
      <c r="E1615" t="inlineStr">
        <is>
          <t>Terra</t>
        </is>
      </c>
      <c r="F1615" t="inlineStr">
        <is>
          <t>Batch 1 - TR</t>
        </is>
      </c>
      <c r="G1615" s="48" t="n">
        <v>0</v>
      </c>
      <c r="H1615" s="49" t="n">
        <v>0</v>
      </c>
      <c r="I1615" s="49" t="n">
        <v>0</v>
      </c>
      <c r="J1615" s="50" t="n">
        <v>0</v>
      </c>
      <c r="K1615" s="51" t="n">
        <v>0</v>
      </c>
      <c r="L1615" s="52" t="n">
        <v>0</v>
      </c>
      <c r="M1615" s="52" t="n">
        <v>0</v>
      </c>
      <c r="N1615" s="52" t="n">
        <v>0</v>
      </c>
      <c r="O1615" s="53" t="n">
        <v>0</v>
      </c>
      <c r="P1615" s="52" t="n">
        <v>0</v>
      </c>
      <c r="Q1615" s="53" t="n">
        <v>0</v>
      </c>
      <c r="R1615" s="52" t="n">
        <v>0</v>
      </c>
      <c r="S1615" s="51" t="n">
        <v>0</v>
      </c>
      <c r="T1615" s="48" t="n">
        <v>0</v>
      </c>
      <c r="U1615" s="49" t="n">
        <v>0</v>
      </c>
      <c r="V1615" s="49" t="n">
        <v>0</v>
      </c>
      <c r="W1615" s="50" t="n">
        <v>0</v>
      </c>
      <c r="X1615" s="51" t="n">
        <v>0</v>
      </c>
      <c r="Y1615" s="52" t="n">
        <v>0</v>
      </c>
      <c r="Z1615" s="52" t="n">
        <v>0</v>
      </c>
      <c r="AA1615" s="52" t="n">
        <v>0</v>
      </c>
      <c r="AB1615" s="53" t="n">
        <v>0</v>
      </c>
      <c r="AC1615" s="52" t="n">
        <v>0</v>
      </c>
      <c r="AD1615" s="53" t="n">
        <v>0</v>
      </c>
      <c r="AE1615" s="52" t="n">
        <v>0</v>
      </c>
      <c r="AF1615" s="51" t="n">
        <v>0</v>
      </c>
      <c r="AG1615" s="48" t="n">
        <v>0</v>
      </c>
      <c r="AH1615" s="49" t="n">
        <v>0</v>
      </c>
      <c r="AI1615" s="49" t="n">
        <v>0</v>
      </c>
      <c r="AJ1615" s="50" t="n">
        <v>0</v>
      </c>
      <c r="AK1615" s="51" t="n">
        <v>0</v>
      </c>
      <c r="AL1615" s="52" t="n">
        <v>0</v>
      </c>
      <c r="AM1615" s="52" t="n">
        <v>0</v>
      </c>
      <c r="AN1615" s="52" t="n">
        <v>0</v>
      </c>
      <c r="AO1615" s="53" t="n">
        <v>0</v>
      </c>
      <c r="AP1615" s="52" t="n">
        <v>0</v>
      </c>
      <c r="AQ1615" s="53" t="n">
        <v>0</v>
      </c>
      <c r="AR1615" s="52" t="n">
        <v>0</v>
      </c>
      <c r="AS1615" s="51" t="n">
        <v>0</v>
      </c>
      <c r="AT1615" s="48" t="n">
        <v>0</v>
      </c>
      <c r="AU1615" s="49" t="n">
        <v>0</v>
      </c>
      <c r="AV1615" s="49" t="n">
        <v>0</v>
      </c>
      <c r="AW1615" s="50" t="n">
        <v>0</v>
      </c>
      <c r="AX1615" s="51" t="n">
        <v>0</v>
      </c>
      <c r="AY1615" s="52" t="n">
        <v>0</v>
      </c>
      <c r="AZ1615" s="52" t="n">
        <v>0</v>
      </c>
      <c r="BA1615" s="52" t="n">
        <v>0</v>
      </c>
      <c r="BB1615" s="53" t="n">
        <v>0</v>
      </c>
      <c r="BC1615" s="52" t="n">
        <v>0</v>
      </c>
      <c r="BD1615" s="53" t="n">
        <v>0</v>
      </c>
      <c r="BE1615" s="52" t="n">
        <v>0</v>
      </c>
      <c r="BF1615" s="51" t="n">
        <v>0</v>
      </c>
    </row>
    <row r="1616">
      <c r="A1616">
        <f>HYPERLINK("https://www.walmart.com/ip/112681610", "112681610")</f>
        <v/>
      </c>
      <c r="B1616" t="inlineStr">
        <is>
          <t>Male Female Adjustable Buckle Closure USA Flag Embroidered Cap</t>
        </is>
      </c>
      <c r="C1616" t="inlineStr">
        <is>
          <t>kc-ae8010-rd</t>
        </is>
      </c>
      <c r="D1616" t="inlineStr">
        <is>
          <t>Hats</t>
        </is>
      </c>
      <c r="E1616" t="inlineStr">
        <is>
          <t>KC Caps</t>
        </is>
      </c>
      <c r="F1616" t="inlineStr">
        <is>
          <t>Optimized</t>
        </is>
      </c>
      <c r="G1616" s="48" t="n">
        <v>0</v>
      </c>
      <c r="H1616" s="49" t="n">
        <v>0</v>
      </c>
      <c r="I1616" s="49" t="n">
        <v>0</v>
      </c>
      <c r="J1616" s="50" t="n">
        <v>0</v>
      </c>
      <c r="K1616" s="51" t="n">
        <v>0</v>
      </c>
      <c r="L1616" s="52" t="n">
        <v>0</v>
      </c>
      <c r="M1616" s="52" t="n">
        <v>0</v>
      </c>
      <c r="N1616" s="52" t="n">
        <v>0</v>
      </c>
      <c r="O1616" s="53" t="n">
        <v>0</v>
      </c>
      <c r="P1616" s="52" t="n">
        <v>0</v>
      </c>
      <c r="Q1616" s="53" t="n">
        <v>0</v>
      </c>
      <c r="R1616" s="52" t="n">
        <v>0</v>
      </c>
      <c r="S1616" s="51" t="n">
        <v>0</v>
      </c>
      <c r="T1616" s="48" t="n">
        <v>0</v>
      </c>
      <c r="U1616" s="49" t="n">
        <v>0</v>
      </c>
      <c r="V1616" s="49" t="n">
        <v>0</v>
      </c>
      <c r="W1616" s="50" t="n">
        <v>0</v>
      </c>
      <c r="X1616" s="51" t="n">
        <v>0</v>
      </c>
      <c r="Y1616" s="52" t="n">
        <v>0</v>
      </c>
      <c r="Z1616" s="52" t="n">
        <v>0</v>
      </c>
      <c r="AA1616" s="52" t="n">
        <v>0</v>
      </c>
      <c r="AB1616" s="53" t="n">
        <v>0</v>
      </c>
      <c r="AC1616" s="52" t="n">
        <v>0</v>
      </c>
      <c r="AD1616" s="53" t="n">
        <v>0</v>
      </c>
      <c r="AE1616" s="52" t="n">
        <v>0</v>
      </c>
      <c r="AF1616" s="51" t="n">
        <v>0</v>
      </c>
      <c r="AG1616" s="48" t="n">
        <v>0</v>
      </c>
      <c r="AH1616" s="49" t="n">
        <v>0</v>
      </c>
      <c r="AI1616" s="49" t="n">
        <v>0</v>
      </c>
      <c r="AJ1616" s="50" t="n">
        <v>0</v>
      </c>
      <c r="AK1616" s="51" t="n">
        <v>0</v>
      </c>
      <c r="AL1616" s="52" t="n">
        <v>0</v>
      </c>
      <c r="AM1616" s="52" t="n">
        <v>0</v>
      </c>
      <c r="AN1616" s="52" t="n">
        <v>0</v>
      </c>
      <c r="AO1616" s="53" t="n">
        <v>0</v>
      </c>
      <c r="AP1616" s="52" t="n">
        <v>0</v>
      </c>
      <c r="AQ1616" s="53" t="n">
        <v>0</v>
      </c>
      <c r="AR1616" s="52" t="n">
        <v>0</v>
      </c>
      <c r="AS1616" s="51" t="n">
        <v>0</v>
      </c>
      <c r="AT1616" s="48" t="n">
        <v>0</v>
      </c>
      <c r="AU1616" s="49" t="n">
        <v>0</v>
      </c>
      <c r="AV1616" s="49" t="n">
        <v>0</v>
      </c>
      <c r="AW1616" s="50" t="n">
        <v>0</v>
      </c>
      <c r="AX1616" s="51" t="n">
        <v>0</v>
      </c>
      <c r="AY1616" s="52" t="n">
        <v>0</v>
      </c>
      <c r="AZ1616" s="52" t="n">
        <v>0</v>
      </c>
      <c r="BA1616" s="52" t="n">
        <v>0</v>
      </c>
      <c r="BB1616" s="53" t="n">
        <v>0</v>
      </c>
      <c r="BC1616" s="52" t="n">
        <v>0</v>
      </c>
      <c r="BD1616" s="53" t="n">
        <v>0</v>
      </c>
      <c r="BE1616" s="52" t="n">
        <v>0</v>
      </c>
      <c r="BF1616" s="51" t="n">
        <v>0</v>
      </c>
    </row>
    <row r="1617">
      <c r="A1617">
        <f>HYPERLINK("https://www.walmart.com/ip/112690273", "112690273")</f>
        <v/>
      </c>
      <c r="B1617" t="inlineStr">
        <is>
          <t>KC Caps Blank Cuff Hat Knit Beanie</t>
        </is>
      </c>
      <c r="C1617" t="inlineStr">
        <is>
          <t>KCW1720RD</t>
        </is>
      </c>
      <c r="D1617" t="inlineStr">
        <is>
          <t>Hats</t>
        </is>
      </c>
      <c r="E1617" t="inlineStr">
        <is>
          <t>KC Caps</t>
        </is>
      </c>
      <c r="F1617" t="inlineStr">
        <is>
          <t>Optimized</t>
        </is>
      </c>
      <c r="G1617" s="48" t="n">
        <v>0</v>
      </c>
      <c r="H1617" s="49" t="n">
        <v>0</v>
      </c>
      <c r="I1617" s="49" t="n">
        <v>0</v>
      </c>
      <c r="J1617" s="50" t="n">
        <v>0</v>
      </c>
      <c r="K1617" s="51" t="n">
        <v>0</v>
      </c>
      <c r="L1617" s="52" t="n">
        <v>0</v>
      </c>
      <c r="M1617" s="52" t="n">
        <v>0</v>
      </c>
      <c r="N1617" s="52" t="n">
        <v>0</v>
      </c>
      <c r="O1617" s="53" t="n">
        <v>0</v>
      </c>
      <c r="P1617" s="52" t="n">
        <v>0</v>
      </c>
      <c r="Q1617" s="53" t="n">
        <v>0</v>
      </c>
      <c r="R1617" s="52" t="n">
        <v>0</v>
      </c>
      <c r="S1617" s="51" t="n">
        <v>0</v>
      </c>
      <c r="T1617" s="48" t="n">
        <v>0</v>
      </c>
      <c r="U1617" s="49" t="n">
        <v>0</v>
      </c>
      <c r="V1617" s="49" t="n">
        <v>0</v>
      </c>
      <c r="W1617" s="50" t="n">
        <v>0</v>
      </c>
      <c r="X1617" s="51" t="n">
        <v>0</v>
      </c>
      <c r="Y1617" s="52" t="n">
        <v>0</v>
      </c>
      <c r="Z1617" s="52" t="n">
        <v>0</v>
      </c>
      <c r="AA1617" s="52" t="n">
        <v>0</v>
      </c>
      <c r="AB1617" s="53" t="n">
        <v>0</v>
      </c>
      <c r="AC1617" s="52" t="n">
        <v>0</v>
      </c>
      <c r="AD1617" s="53" t="n">
        <v>0</v>
      </c>
      <c r="AE1617" s="52" t="n">
        <v>0</v>
      </c>
      <c r="AF1617" s="51" t="n">
        <v>0</v>
      </c>
      <c r="AG1617" s="48" t="n">
        <v>0</v>
      </c>
      <c r="AH1617" s="49" t="n">
        <v>0</v>
      </c>
      <c r="AI1617" s="49" t="n">
        <v>0</v>
      </c>
      <c r="AJ1617" s="50" t="n">
        <v>0</v>
      </c>
      <c r="AK1617" s="51" t="n">
        <v>0</v>
      </c>
      <c r="AL1617" s="52" t="n">
        <v>0</v>
      </c>
      <c r="AM1617" s="52" t="n">
        <v>0</v>
      </c>
      <c r="AN1617" s="52" t="n">
        <v>0</v>
      </c>
      <c r="AO1617" s="53" t="n">
        <v>0</v>
      </c>
      <c r="AP1617" s="52" t="n">
        <v>0</v>
      </c>
      <c r="AQ1617" s="53" t="n">
        <v>0</v>
      </c>
      <c r="AR1617" s="52" t="n">
        <v>0</v>
      </c>
      <c r="AS1617" s="51" t="n">
        <v>0</v>
      </c>
      <c r="AT1617" s="48" t="n">
        <v>0</v>
      </c>
      <c r="AU1617" s="49" t="n">
        <v>0</v>
      </c>
      <c r="AV1617" s="49" t="n">
        <v>0</v>
      </c>
      <c r="AW1617" s="50" t="n">
        <v>0</v>
      </c>
      <c r="AX1617" s="51" t="n">
        <v>0</v>
      </c>
      <c r="AY1617" s="52" t="n">
        <v>0</v>
      </c>
      <c r="AZ1617" s="52" t="n">
        <v>0</v>
      </c>
      <c r="BA1617" s="52" t="n">
        <v>0</v>
      </c>
      <c r="BB1617" s="53" t="n">
        <v>0</v>
      </c>
      <c r="BC1617" s="52" t="n">
        <v>0</v>
      </c>
      <c r="BD1617" s="53" t="n">
        <v>0</v>
      </c>
      <c r="BE1617" s="52" t="n">
        <v>0</v>
      </c>
      <c r="BF1617" s="51" t="n">
        <v>0</v>
      </c>
    </row>
    <row r="1618">
      <c r="A1618">
        <f>HYPERLINK("https://www.walmart.com/ip/112835741", "112835741")</f>
        <v/>
      </c>
      <c r="B1618" t="inlineStr">
        <is>
          <t>JenniWears® Women's Stretch Mesh Bikini Panty with Open Back Heart Detail</t>
        </is>
      </c>
      <c r="C1618" t="inlineStr">
        <is>
          <t>JWPT02LE-2XL</t>
        </is>
      </c>
      <c r="D1618" t="inlineStr">
        <is>
          <t>Panties</t>
        </is>
      </c>
      <c r="E1618" t="inlineStr">
        <is>
          <t>JenniWears</t>
        </is>
      </c>
      <c r="F1618" t="inlineStr">
        <is>
          <t>Optimized,Valentine</t>
        </is>
      </c>
      <c r="G1618" s="48" t="n">
        <v>0</v>
      </c>
      <c r="H1618" s="49" t="n">
        <v>0</v>
      </c>
      <c r="I1618" s="49" t="n">
        <v>0</v>
      </c>
      <c r="J1618" s="50" t="n">
        <v>0</v>
      </c>
      <c r="K1618" s="51" t="n">
        <v>0</v>
      </c>
      <c r="L1618" s="52" t="n">
        <v>0</v>
      </c>
      <c r="M1618" s="52" t="n">
        <v>0</v>
      </c>
      <c r="N1618" s="52" t="n">
        <v>0</v>
      </c>
      <c r="O1618" s="53" t="n">
        <v>0</v>
      </c>
      <c r="P1618" s="52" t="n">
        <v>0</v>
      </c>
      <c r="Q1618" s="53" t="n">
        <v>0</v>
      </c>
      <c r="R1618" s="52" t="n">
        <v>0</v>
      </c>
      <c r="S1618" s="51" t="n">
        <v>0</v>
      </c>
      <c r="T1618" s="48" t="n">
        <v>0</v>
      </c>
      <c r="U1618" s="49" t="n">
        <v>0</v>
      </c>
      <c r="V1618" s="49" t="n">
        <v>0</v>
      </c>
      <c r="W1618" s="50" t="n">
        <v>0</v>
      </c>
      <c r="X1618" s="51" t="n">
        <v>0</v>
      </c>
      <c r="Y1618" s="52" t="n">
        <v>0</v>
      </c>
      <c r="Z1618" s="52" t="n">
        <v>0</v>
      </c>
      <c r="AA1618" s="52" t="n">
        <v>0</v>
      </c>
      <c r="AB1618" s="53" t="n">
        <v>0</v>
      </c>
      <c r="AC1618" s="52" t="n">
        <v>0</v>
      </c>
      <c r="AD1618" s="53" t="n">
        <v>0</v>
      </c>
      <c r="AE1618" s="52" t="n">
        <v>0</v>
      </c>
      <c r="AF1618" s="51" t="n">
        <v>0</v>
      </c>
      <c r="AG1618" s="48" t="n">
        <v>0</v>
      </c>
      <c r="AH1618" s="49" t="n">
        <v>0</v>
      </c>
      <c r="AI1618" s="49" t="n">
        <v>0</v>
      </c>
      <c r="AJ1618" s="50" t="n">
        <v>0</v>
      </c>
      <c r="AK1618" s="51" t="n">
        <v>0</v>
      </c>
      <c r="AL1618" s="52" t="n">
        <v>0</v>
      </c>
      <c r="AM1618" s="52" t="n">
        <v>0</v>
      </c>
      <c r="AN1618" s="52" t="n">
        <v>0</v>
      </c>
      <c r="AO1618" s="53" t="n">
        <v>0</v>
      </c>
      <c r="AP1618" s="52" t="n">
        <v>0</v>
      </c>
      <c r="AQ1618" s="53" t="n">
        <v>0</v>
      </c>
      <c r="AR1618" s="52" t="n">
        <v>0</v>
      </c>
      <c r="AS1618" s="51" t="n">
        <v>0</v>
      </c>
      <c r="AT1618" s="48" t="n">
        <v>0</v>
      </c>
      <c r="AU1618" s="49" t="n">
        <v>0</v>
      </c>
      <c r="AV1618" s="49" t="n">
        <v>0</v>
      </c>
      <c r="AW1618" s="50" t="n">
        <v>0</v>
      </c>
      <c r="AX1618" s="51" t="n">
        <v>0</v>
      </c>
      <c r="AY1618" s="52" t="n">
        <v>0</v>
      </c>
      <c r="AZ1618" s="52" t="n">
        <v>0</v>
      </c>
      <c r="BA1618" s="52" t="n">
        <v>0</v>
      </c>
      <c r="BB1618" s="53" t="n">
        <v>0</v>
      </c>
      <c r="BC1618" s="52" t="n">
        <v>0</v>
      </c>
      <c r="BD1618" s="53" t="n">
        <v>0</v>
      </c>
      <c r="BE1618" s="52" t="n">
        <v>0</v>
      </c>
      <c r="BF1618" s="51" t="n">
        <v>0</v>
      </c>
    </row>
    <row r="1619">
      <c r="A1619">
        <f>HYPERLINK("https://www.walmart.com/ip/112872395", "112872395")</f>
        <v/>
      </c>
      <c r="B1619" t="inlineStr">
        <is>
          <t>Sherpa Wearable Blanket with Sleeves &amp; Foot Pockets for Adult Women Men, Comfy Snuggle Wrap Sleeved Throw Blanket Robe, Gift Idea, Plaid, 75" x 53"</t>
        </is>
      </c>
      <c r="C1619" t="inlineStr">
        <is>
          <t>1CTSN310PRD</t>
        </is>
      </c>
      <c r="D1619" t="inlineStr">
        <is>
          <t>Throws</t>
        </is>
      </c>
      <c r="E1619" t="inlineStr">
        <is>
          <t>Catalonia</t>
        </is>
      </c>
      <c r="F1619" t="inlineStr">
        <is>
          <t>Q2-Target,Optimized,WFS,Coupon_Discount,WFS Item</t>
        </is>
      </c>
      <c r="G1619" s="48" t="n">
        <v>0</v>
      </c>
      <c r="H1619" s="49" t="n">
        <v>0</v>
      </c>
      <c r="I1619" s="49" t="n">
        <v>0</v>
      </c>
      <c r="J1619" s="50" t="n">
        <v>0</v>
      </c>
      <c r="K1619" s="51" t="n">
        <v>0</v>
      </c>
      <c r="L1619" s="52" t="n">
        <v>0</v>
      </c>
      <c r="M1619" s="52" t="n">
        <v>0</v>
      </c>
      <c r="N1619" s="52" t="n">
        <v>0</v>
      </c>
      <c r="O1619" s="53" t="n">
        <v>0</v>
      </c>
      <c r="P1619" s="52" t="n">
        <v>0</v>
      </c>
      <c r="Q1619" s="53" t="n">
        <v>0</v>
      </c>
      <c r="R1619" s="52" t="n">
        <v>0</v>
      </c>
      <c r="S1619" s="51" t="n">
        <v>0</v>
      </c>
      <c r="T1619" s="48" t="n">
        <v>0</v>
      </c>
      <c r="U1619" s="49" t="n">
        <v>0</v>
      </c>
      <c r="V1619" s="49" t="n">
        <v>0</v>
      </c>
      <c r="W1619" s="50" t="n">
        <v>0</v>
      </c>
      <c r="X1619" s="51" t="n">
        <v>0</v>
      </c>
      <c r="Y1619" s="52" t="n">
        <v>0</v>
      </c>
      <c r="Z1619" s="52" t="n">
        <v>0</v>
      </c>
      <c r="AA1619" s="52" t="n">
        <v>0</v>
      </c>
      <c r="AB1619" s="53" t="n">
        <v>0</v>
      </c>
      <c r="AC1619" s="52" t="n">
        <v>0</v>
      </c>
      <c r="AD1619" s="53" t="n">
        <v>0</v>
      </c>
      <c r="AE1619" s="52" t="n">
        <v>0</v>
      </c>
      <c r="AF1619" s="51" t="n">
        <v>0</v>
      </c>
      <c r="AG1619" s="48" t="n">
        <v>0</v>
      </c>
      <c r="AH1619" s="49" t="n">
        <v>0</v>
      </c>
      <c r="AI1619" s="49" t="n">
        <v>0</v>
      </c>
      <c r="AJ1619" s="50" t="n">
        <v>0</v>
      </c>
      <c r="AK1619" s="51" t="n">
        <v>0</v>
      </c>
      <c r="AL1619" s="52" t="n">
        <v>0</v>
      </c>
      <c r="AM1619" s="52" t="n">
        <v>0</v>
      </c>
      <c r="AN1619" s="52" t="n">
        <v>0</v>
      </c>
      <c r="AO1619" s="53" t="n">
        <v>0</v>
      </c>
      <c r="AP1619" s="52" t="n">
        <v>0</v>
      </c>
      <c r="AQ1619" s="53" t="n">
        <v>0</v>
      </c>
      <c r="AR1619" s="52" t="n">
        <v>0</v>
      </c>
      <c r="AS1619" s="51" t="n">
        <v>0</v>
      </c>
      <c r="AT1619" s="48" t="n">
        <v>0</v>
      </c>
      <c r="AU1619" s="49" t="n">
        <v>0</v>
      </c>
      <c r="AV1619" s="49" t="n">
        <v>0</v>
      </c>
      <c r="AW1619" s="50" t="n">
        <v>0</v>
      </c>
      <c r="AX1619" s="51" t="n">
        <v>0</v>
      </c>
      <c r="AY1619" s="52" t="n">
        <v>0</v>
      </c>
      <c r="AZ1619" s="52" t="n">
        <v>0</v>
      </c>
      <c r="BA1619" s="52" t="n">
        <v>0</v>
      </c>
      <c r="BB1619" s="53" t="n">
        <v>0</v>
      </c>
      <c r="BC1619" s="52" t="n">
        <v>0</v>
      </c>
      <c r="BD1619" s="53" t="n">
        <v>0</v>
      </c>
      <c r="BE1619" s="52" t="n">
        <v>0</v>
      </c>
      <c r="BF1619" s="51" t="n">
        <v>0</v>
      </c>
    </row>
    <row r="1620">
      <c r="A1620">
        <f>HYPERLINK("https://www.walmart.com/ip/113173878", "113173878")</f>
        <v/>
      </c>
      <c r="B1620" t="inlineStr">
        <is>
          <t>Target Golf Laser Rangefinder 600M Flag Seeker Ultimate Portability Binocular</t>
        </is>
      </c>
      <c r="C1620" t="inlineStr">
        <is>
          <t>TARGETGRF003WT</t>
        </is>
      </c>
      <c r="D1620" t="inlineStr">
        <is>
          <t>Golf Rangefinders</t>
        </is>
      </c>
      <c r="E1620" t="inlineStr">
        <is>
          <t>Target</t>
        </is>
      </c>
      <c r="F1620" t="inlineStr">
        <is>
          <t>Optimized</t>
        </is>
      </c>
      <c r="G1620" s="48" t="n">
        <v>0</v>
      </c>
      <c r="H1620" s="49" t="n">
        <v>0</v>
      </c>
      <c r="I1620" s="49" t="n">
        <v>0</v>
      </c>
      <c r="J1620" s="50" t="n">
        <v>0</v>
      </c>
      <c r="K1620" s="51" t="n">
        <v>0</v>
      </c>
      <c r="L1620" s="52" t="n">
        <v>0</v>
      </c>
      <c r="M1620" s="52" t="n">
        <v>0</v>
      </c>
      <c r="N1620" s="52" t="n">
        <v>0</v>
      </c>
      <c r="O1620" s="53" t="n">
        <v>0</v>
      </c>
      <c r="P1620" s="52" t="n">
        <v>0</v>
      </c>
      <c r="Q1620" s="53" t="n">
        <v>0</v>
      </c>
      <c r="R1620" s="52" t="n">
        <v>0</v>
      </c>
      <c r="S1620" s="51" t="n">
        <v>0</v>
      </c>
      <c r="T1620" s="48" t="n">
        <v>0</v>
      </c>
      <c r="U1620" s="49" t="n">
        <v>0</v>
      </c>
      <c r="V1620" s="49" t="n">
        <v>0</v>
      </c>
      <c r="W1620" s="50" t="n">
        <v>0</v>
      </c>
      <c r="X1620" s="51" t="n">
        <v>0</v>
      </c>
      <c r="Y1620" s="52" t="n">
        <v>0</v>
      </c>
      <c r="Z1620" s="52" t="n">
        <v>0</v>
      </c>
      <c r="AA1620" s="52" t="n">
        <v>0</v>
      </c>
      <c r="AB1620" s="53" t="n">
        <v>0</v>
      </c>
      <c r="AC1620" s="52" t="n">
        <v>0</v>
      </c>
      <c r="AD1620" s="53" t="n">
        <v>0</v>
      </c>
      <c r="AE1620" s="52" t="n">
        <v>0</v>
      </c>
      <c r="AF1620" s="51" t="n">
        <v>0</v>
      </c>
      <c r="AG1620" s="48" t="n">
        <v>0</v>
      </c>
      <c r="AH1620" s="49" t="n">
        <v>0</v>
      </c>
      <c r="AI1620" s="49" t="n">
        <v>0</v>
      </c>
      <c r="AJ1620" s="50" t="n">
        <v>0</v>
      </c>
      <c r="AK1620" s="51" t="n">
        <v>0</v>
      </c>
      <c r="AL1620" s="52" t="n">
        <v>0</v>
      </c>
      <c r="AM1620" s="52" t="n">
        <v>0</v>
      </c>
      <c r="AN1620" s="52" t="n">
        <v>0</v>
      </c>
      <c r="AO1620" s="53" t="n">
        <v>0</v>
      </c>
      <c r="AP1620" s="52" t="n">
        <v>0</v>
      </c>
      <c r="AQ1620" s="53" t="n">
        <v>0</v>
      </c>
      <c r="AR1620" s="52" t="n">
        <v>0</v>
      </c>
      <c r="AS1620" s="51" t="n">
        <v>0</v>
      </c>
      <c r="AT1620" s="48" t="n">
        <v>0</v>
      </c>
      <c r="AU1620" s="49" t="n">
        <v>0</v>
      </c>
      <c r="AV1620" s="49" t="n">
        <v>0</v>
      </c>
      <c r="AW1620" s="50" t="n">
        <v>0</v>
      </c>
      <c r="AX1620" s="51" t="n">
        <v>0</v>
      </c>
      <c r="AY1620" s="52" t="n">
        <v>0</v>
      </c>
      <c r="AZ1620" s="52" t="n">
        <v>0</v>
      </c>
      <c r="BA1620" s="52" t="n">
        <v>0</v>
      </c>
      <c r="BB1620" s="53" t="n">
        <v>0</v>
      </c>
      <c r="BC1620" s="52" t="n">
        <v>0</v>
      </c>
      <c r="BD1620" s="53" t="n">
        <v>0</v>
      </c>
      <c r="BE1620" s="52" t="n">
        <v>0</v>
      </c>
      <c r="BF1620" s="51" t="n">
        <v>0</v>
      </c>
    </row>
    <row r="1621">
      <c r="A1621">
        <f>HYPERLINK("https://www.walmart.com/ip/113394835", "113394835")</f>
        <v/>
      </c>
      <c r="B1621" t="inlineStr">
        <is>
          <t>KC Caps® Cotton Twill Deluxe Super Soft Mesh Adjustable Snapback Low Profile Trucker Baseball Cap</t>
        </is>
      </c>
      <c r="C1621" t="inlineStr">
        <is>
          <t>KCCAPSSZK641CB/ST</t>
        </is>
      </c>
      <c r="D1621" t="inlineStr">
        <is>
          <t>Hats</t>
        </is>
      </c>
      <c r="E1621" t="inlineStr">
        <is>
          <t>KC Caps</t>
        </is>
      </c>
      <c r="F1621" t="inlineStr">
        <is>
          <t>Optimized</t>
        </is>
      </c>
      <c r="G1621" s="48" t="n">
        <v>0</v>
      </c>
      <c r="H1621" s="49" t="n">
        <v>0</v>
      </c>
      <c r="I1621" s="49" t="n">
        <v>0</v>
      </c>
      <c r="J1621" s="50" t="n">
        <v>0</v>
      </c>
      <c r="K1621" s="51" t="n">
        <v>0</v>
      </c>
      <c r="L1621" s="52" t="n">
        <v>0</v>
      </c>
      <c r="M1621" s="52" t="n">
        <v>0</v>
      </c>
      <c r="N1621" s="52" t="n">
        <v>0</v>
      </c>
      <c r="O1621" s="53" t="n">
        <v>0</v>
      </c>
      <c r="P1621" s="52" t="n">
        <v>0</v>
      </c>
      <c r="Q1621" s="53" t="n">
        <v>0</v>
      </c>
      <c r="R1621" s="52" t="n">
        <v>0</v>
      </c>
      <c r="S1621" s="51" t="n">
        <v>0</v>
      </c>
      <c r="T1621" s="48" t="n">
        <v>0</v>
      </c>
      <c r="U1621" s="49" t="n">
        <v>0</v>
      </c>
      <c r="V1621" s="49" t="n">
        <v>0</v>
      </c>
      <c r="W1621" s="50" t="n">
        <v>0</v>
      </c>
      <c r="X1621" s="51" t="n">
        <v>0</v>
      </c>
      <c r="Y1621" s="52" t="n">
        <v>0</v>
      </c>
      <c r="Z1621" s="52" t="n">
        <v>0</v>
      </c>
      <c r="AA1621" s="52" t="n">
        <v>0</v>
      </c>
      <c r="AB1621" s="53" t="n">
        <v>0</v>
      </c>
      <c r="AC1621" s="52" t="n">
        <v>0</v>
      </c>
      <c r="AD1621" s="53" t="n">
        <v>0</v>
      </c>
      <c r="AE1621" s="52" t="n">
        <v>0</v>
      </c>
      <c r="AF1621" s="51" t="n">
        <v>0</v>
      </c>
      <c r="AG1621" s="48" t="n">
        <v>0</v>
      </c>
      <c r="AH1621" s="49" t="n">
        <v>0</v>
      </c>
      <c r="AI1621" s="49" t="n">
        <v>0</v>
      </c>
      <c r="AJ1621" s="50" t="n">
        <v>0</v>
      </c>
      <c r="AK1621" s="51" t="n">
        <v>0</v>
      </c>
      <c r="AL1621" s="52" t="n">
        <v>0</v>
      </c>
      <c r="AM1621" s="52" t="n">
        <v>0</v>
      </c>
      <c r="AN1621" s="52" t="n">
        <v>0</v>
      </c>
      <c r="AO1621" s="53" t="n">
        <v>0</v>
      </c>
      <c r="AP1621" s="52" t="n">
        <v>0</v>
      </c>
      <c r="AQ1621" s="53" t="n">
        <v>0</v>
      </c>
      <c r="AR1621" s="52" t="n">
        <v>0</v>
      </c>
      <c r="AS1621" s="51" t="n">
        <v>0</v>
      </c>
      <c r="AT1621" s="48" t="n">
        <v>0</v>
      </c>
      <c r="AU1621" s="49" t="n">
        <v>0</v>
      </c>
      <c r="AV1621" s="49" t="n">
        <v>0</v>
      </c>
      <c r="AW1621" s="50" t="n">
        <v>0</v>
      </c>
      <c r="AX1621" s="51" t="n">
        <v>0</v>
      </c>
      <c r="AY1621" s="52" t="n">
        <v>0</v>
      </c>
      <c r="AZ1621" s="52" t="n">
        <v>0</v>
      </c>
      <c r="BA1621" s="52" t="n">
        <v>0</v>
      </c>
      <c r="BB1621" s="53" t="n">
        <v>0</v>
      </c>
      <c r="BC1621" s="52" t="n">
        <v>0</v>
      </c>
      <c r="BD1621" s="53" t="n">
        <v>0</v>
      </c>
      <c r="BE1621" s="52" t="n">
        <v>0</v>
      </c>
      <c r="BF1621" s="51" t="n">
        <v>0</v>
      </c>
    </row>
    <row r="1622">
      <c r="A1622">
        <f>HYPERLINK("https://www.walmart.com/ip/113647065", "113647065")</f>
        <v/>
      </c>
      <c r="B1622" t="inlineStr">
        <is>
          <t>KC Caps Washed Cotton Twill Hat</t>
        </is>
      </c>
      <c r="C1622" t="inlineStr">
        <is>
          <t>KCS4130RD</t>
        </is>
      </c>
      <c r="D1622" t="inlineStr">
        <is>
          <t>Hats</t>
        </is>
      </c>
      <c r="E1622" t="inlineStr">
        <is>
          <t>KC Caps</t>
        </is>
      </c>
      <c r="F1622" t="inlineStr">
        <is>
          <t>Optimized</t>
        </is>
      </c>
      <c r="G1622" s="48" t="n">
        <v>0</v>
      </c>
      <c r="H1622" s="49" t="n">
        <v>0</v>
      </c>
      <c r="I1622" s="49" t="n">
        <v>0</v>
      </c>
      <c r="J1622" s="50" t="n">
        <v>0</v>
      </c>
      <c r="K1622" s="51" t="n">
        <v>0</v>
      </c>
      <c r="L1622" s="52" t="n">
        <v>0</v>
      </c>
      <c r="M1622" s="52" t="n">
        <v>0</v>
      </c>
      <c r="N1622" s="52" t="n">
        <v>0</v>
      </c>
      <c r="O1622" s="53" t="n">
        <v>0</v>
      </c>
      <c r="P1622" s="52" t="n">
        <v>0</v>
      </c>
      <c r="Q1622" s="53" t="n">
        <v>0</v>
      </c>
      <c r="R1622" s="52" t="n">
        <v>0</v>
      </c>
      <c r="S1622" s="51" t="n">
        <v>0</v>
      </c>
      <c r="T1622" s="48" t="n">
        <v>0</v>
      </c>
      <c r="U1622" s="49" t="n">
        <v>0</v>
      </c>
      <c r="V1622" s="49" t="n">
        <v>0</v>
      </c>
      <c r="W1622" s="50" t="n">
        <v>0</v>
      </c>
      <c r="X1622" s="51" t="n">
        <v>0</v>
      </c>
      <c r="Y1622" s="52" t="n">
        <v>0</v>
      </c>
      <c r="Z1622" s="52" t="n">
        <v>0</v>
      </c>
      <c r="AA1622" s="52" t="n">
        <v>0</v>
      </c>
      <c r="AB1622" s="53" t="n">
        <v>0</v>
      </c>
      <c r="AC1622" s="52" t="n">
        <v>0</v>
      </c>
      <c r="AD1622" s="53" t="n">
        <v>0</v>
      </c>
      <c r="AE1622" s="52" t="n">
        <v>0</v>
      </c>
      <c r="AF1622" s="51" t="n">
        <v>0</v>
      </c>
      <c r="AG1622" s="48" t="n">
        <v>0</v>
      </c>
      <c r="AH1622" s="49" t="n">
        <v>0</v>
      </c>
      <c r="AI1622" s="49" t="n">
        <v>0</v>
      </c>
      <c r="AJ1622" s="50" t="n">
        <v>0</v>
      </c>
      <c r="AK1622" s="51" t="n">
        <v>0</v>
      </c>
      <c r="AL1622" s="52" t="n">
        <v>0</v>
      </c>
      <c r="AM1622" s="52" t="n">
        <v>0</v>
      </c>
      <c r="AN1622" s="52" t="n">
        <v>0</v>
      </c>
      <c r="AO1622" s="53" t="n">
        <v>0</v>
      </c>
      <c r="AP1622" s="52" t="n">
        <v>0</v>
      </c>
      <c r="AQ1622" s="53" t="n">
        <v>0</v>
      </c>
      <c r="AR1622" s="52" t="n">
        <v>0</v>
      </c>
      <c r="AS1622" s="51" t="n">
        <v>0</v>
      </c>
      <c r="AT1622" s="48" t="n">
        <v>0</v>
      </c>
      <c r="AU1622" s="49" t="n">
        <v>0</v>
      </c>
      <c r="AV1622" s="49" t="n">
        <v>0</v>
      </c>
      <c r="AW1622" s="50" t="n">
        <v>0</v>
      </c>
      <c r="AX1622" s="51" t="n">
        <v>0</v>
      </c>
      <c r="AY1622" s="52" t="n">
        <v>0</v>
      </c>
      <c r="AZ1622" s="52" t="n">
        <v>0</v>
      </c>
      <c r="BA1622" s="52" t="n">
        <v>0</v>
      </c>
      <c r="BB1622" s="53" t="n">
        <v>0</v>
      </c>
      <c r="BC1622" s="52" t="n">
        <v>0</v>
      </c>
      <c r="BD1622" s="53" t="n">
        <v>0</v>
      </c>
      <c r="BE1622" s="52" t="n">
        <v>0</v>
      </c>
      <c r="BF1622" s="51" t="n">
        <v>0</v>
      </c>
    </row>
    <row r="1623">
      <c r="A1623">
        <f>HYPERLINK("https://www.walmart.com/ip/1136628377", "1136628377")</f>
        <v/>
      </c>
      <c r="B1623" t="inlineStr">
        <is>
          <t>Tirrinia Waterproof Outdoor Blanket with Sherpa Lining, Windproof Triple Layers Warm Comfy Foldable for Camping Stadium, Sports, Picnic, Grass, Concerts, Camo/Black, Pet, 51''X 59''.</t>
        </is>
      </c>
      <c r="C1623" t="inlineStr">
        <is>
          <t>1TRBW506CAMOBK</t>
        </is>
      </c>
      <c r="D1623" t="inlineStr">
        <is>
          <t>Picnic Blankets &amp; Mats</t>
        </is>
      </c>
      <c r="E1623" t="inlineStr">
        <is>
          <t>Tirrinia</t>
        </is>
      </c>
      <c r="F1623" t="inlineStr">
        <is>
          <t>Q2-Target</t>
        </is>
      </c>
      <c r="G1623" s="48" t="n">
        <v>0</v>
      </c>
      <c r="H1623" s="49" t="n">
        <v>0</v>
      </c>
      <c r="I1623" s="49" t="n">
        <v>0</v>
      </c>
      <c r="J1623" s="50" t="n">
        <v>0</v>
      </c>
      <c r="K1623" s="51" t="n">
        <v>7</v>
      </c>
      <c r="L1623" s="52" t="n">
        <v>2.87</v>
      </c>
      <c r="M1623" s="52" t="n">
        <v>0</v>
      </c>
      <c r="N1623" s="52" t="n">
        <v>0</v>
      </c>
      <c r="O1623" s="53" t="n">
        <v>0.001</v>
      </c>
      <c r="P1623" s="52" t="n">
        <v>0.41</v>
      </c>
      <c r="Q1623" s="53" t="n">
        <v>0</v>
      </c>
      <c r="R1623" s="52" t="n">
        <v>0</v>
      </c>
      <c r="S1623" s="51" t="n">
        <v>7085</v>
      </c>
      <c r="T1623" s="48" t="n">
        <v>0</v>
      </c>
      <c r="U1623" s="49" t="n">
        <v>0</v>
      </c>
      <c r="V1623" s="49" t="n">
        <v>0</v>
      </c>
      <c r="W1623" s="50" t="n">
        <v>0</v>
      </c>
      <c r="X1623" s="51" t="n">
        <v>8</v>
      </c>
      <c r="Y1623" s="52" t="n">
        <v>3.18</v>
      </c>
      <c r="Z1623" s="52" t="n">
        <v>0</v>
      </c>
      <c r="AA1623" s="52" t="n">
        <v>0</v>
      </c>
      <c r="AB1623" s="53" t="n">
        <v>0.0013</v>
      </c>
      <c r="AC1623" s="52" t="n">
        <v>0.3975</v>
      </c>
      <c r="AD1623" s="53" t="n">
        <v>0</v>
      </c>
      <c r="AE1623" s="52" t="n">
        <v>0</v>
      </c>
      <c r="AF1623" s="51" t="n">
        <v>5979</v>
      </c>
      <c r="AG1623" s="48" t="n">
        <v>0</v>
      </c>
      <c r="AH1623" s="49" t="n">
        <v>0</v>
      </c>
      <c r="AI1623" s="49" t="n">
        <v>0</v>
      </c>
      <c r="AJ1623" s="50" t="n">
        <v>0</v>
      </c>
      <c r="AK1623" s="51" t="n">
        <v>11</v>
      </c>
      <c r="AL1623" s="52" t="n">
        <v>4.44</v>
      </c>
      <c r="AM1623" s="52" t="n">
        <v>0</v>
      </c>
      <c r="AN1623" s="52" t="n">
        <v>0</v>
      </c>
      <c r="AO1623" s="53" t="n">
        <v>0.0015</v>
      </c>
      <c r="AP1623" s="52" t="n">
        <v>0.4036363636363636</v>
      </c>
      <c r="AQ1623" s="53" t="n">
        <v>0</v>
      </c>
      <c r="AR1623" s="52" t="n">
        <v>0</v>
      </c>
      <c r="AS1623" s="51" t="n">
        <v>7152</v>
      </c>
      <c r="AT1623" s="48" t="n">
        <v>0</v>
      </c>
      <c r="AU1623" s="49" t="n">
        <v>0</v>
      </c>
      <c r="AV1623" s="49" t="n">
        <v>0</v>
      </c>
      <c r="AW1623" s="50" t="n">
        <v>0</v>
      </c>
      <c r="AX1623" s="51" t="n">
        <v>10</v>
      </c>
      <c r="AY1623" s="52" t="n">
        <v>4.1</v>
      </c>
      <c r="AZ1623" s="52" t="n">
        <v>0</v>
      </c>
      <c r="BA1623" s="52" t="n">
        <v>0</v>
      </c>
      <c r="BB1623" s="53" t="n">
        <v>0.0018</v>
      </c>
      <c r="BC1623" s="52" t="n">
        <v>0.41</v>
      </c>
      <c r="BD1623" s="53" t="n">
        <v>0</v>
      </c>
      <c r="BE1623" s="52" t="n">
        <v>0</v>
      </c>
      <c r="BF1623" s="51" t="n">
        <v>5492</v>
      </c>
    </row>
    <row r="1624">
      <c r="A1624">
        <f>HYPERLINK("https://www.walmart.com/ip/113714018", "113714018")</f>
        <v/>
      </c>
      <c r="B1624" t="inlineStr">
        <is>
          <t>KC Caps® Unstructured Low-profile Two-Tone Denim Garment Washed Baseball Cap</t>
        </is>
      </c>
      <c r="C1624" t="inlineStr">
        <is>
          <t>KC8080JEANKK</t>
        </is>
      </c>
      <c r="D1624" t="inlineStr">
        <is>
          <t>Hats</t>
        </is>
      </c>
      <c r="E1624" t="inlineStr">
        <is>
          <t>KC Caps</t>
        </is>
      </c>
      <c r="F1624" t="inlineStr">
        <is>
          <t>Optimized</t>
        </is>
      </c>
      <c r="G1624" s="48" t="n">
        <v>0</v>
      </c>
      <c r="H1624" s="49" t="n">
        <v>0</v>
      </c>
      <c r="I1624" s="49" t="n">
        <v>0</v>
      </c>
      <c r="J1624" s="50" t="n">
        <v>0</v>
      </c>
      <c r="K1624" s="51" t="n">
        <v>0</v>
      </c>
      <c r="L1624" s="52" t="n">
        <v>0</v>
      </c>
      <c r="M1624" s="52" t="n">
        <v>0</v>
      </c>
      <c r="N1624" s="52" t="n">
        <v>0</v>
      </c>
      <c r="O1624" s="53" t="n">
        <v>0</v>
      </c>
      <c r="P1624" s="52" t="n">
        <v>0</v>
      </c>
      <c r="Q1624" s="53" t="n">
        <v>0</v>
      </c>
      <c r="R1624" s="52" t="n">
        <v>0</v>
      </c>
      <c r="S1624" s="51" t="n">
        <v>0</v>
      </c>
      <c r="T1624" s="48" t="n">
        <v>0</v>
      </c>
      <c r="U1624" s="49" t="n">
        <v>0</v>
      </c>
      <c r="V1624" s="49" t="n">
        <v>0</v>
      </c>
      <c r="W1624" s="50" t="n">
        <v>0</v>
      </c>
      <c r="X1624" s="51" t="n">
        <v>0</v>
      </c>
      <c r="Y1624" s="52" t="n">
        <v>0</v>
      </c>
      <c r="Z1624" s="52" t="n">
        <v>0</v>
      </c>
      <c r="AA1624" s="52" t="n">
        <v>0</v>
      </c>
      <c r="AB1624" s="53" t="n">
        <v>0</v>
      </c>
      <c r="AC1624" s="52" t="n">
        <v>0</v>
      </c>
      <c r="AD1624" s="53" t="n">
        <v>0</v>
      </c>
      <c r="AE1624" s="52" t="n">
        <v>0</v>
      </c>
      <c r="AF1624" s="51" t="n">
        <v>0</v>
      </c>
      <c r="AG1624" s="48" t="n">
        <v>0</v>
      </c>
      <c r="AH1624" s="49" t="n">
        <v>0</v>
      </c>
      <c r="AI1624" s="49" t="n">
        <v>0</v>
      </c>
      <c r="AJ1624" s="50" t="n">
        <v>0</v>
      </c>
      <c r="AK1624" s="51" t="n">
        <v>0</v>
      </c>
      <c r="AL1624" s="52" t="n">
        <v>0</v>
      </c>
      <c r="AM1624" s="52" t="n">
        <v>0</v>
      </c>
      <c r="AN1624" s="52" t="n">
        <v>0</v>
      </c>
      <c r="AO1624" s="53" t="n">
        <v>0</v>
      </c>
      <c r="AP1624" s="52" t="n">
        <v>0</v>
      </c>
      <c r="AQ1624" s="53" t="n">
        <v>0</v>
      </c>
      <c r="AR1624" s="52" t="n">
        <v>0</v>
      </c>
      <c r="AS1624" s="51" t="n">
        <v>0</v>
      </c>
      <c r="AT1624" s="48" t="n">
        <v>0</v>
      </c>
      <c r="AU1624" s="49" t="n">
        <v>0</v>
      </c>
      <c r="AV1624" s="49" t="n">
        <v>0</v>
      </c>
      <c r="AW1624" s="50" t="n">
        <v>0</v>
      </c>
      <c r="AX1624" s="51" t="n">
        <v>0</v>
      </c>
      <c r="AY1624" s="52" t="n">
        <v>0</v>
      </c>
      <c r="AZ1624" s="52" t="n">
        <v>0</v>
      </c>
      <c r="BA1624" s="52" t="n">
        <v>0</v>
      </c>
      <c r="BB1624" s="53" t="n">
        <v>0</v>
      </c>
      <c r="BC1624" s="52" t="n">
        <v>0</v>
      </c>
      <c r="BD1624" s="53" t="n">
        <v>0</v>
      </c>
      <c r="BE1624" s="52" t="n">
        <v>0</v>
      </c>
      <c r="BF1624" s="51" t="n">
        <v>0</v>
      </c>
    </row>
    <row r="1625">
      <c r="A1625">
        <f>HYPERLINK("https://www.walmart.com/ip/113717558", "113717558")</f>
        <v/>
      </c>
      <c r="B1625" t="inlineStr">
        <is>
          <t>Deluxe Stylish Microplush Sleeved Fleece Blanket Soft Home Sofa Snuggie</t>
        </is>
      </c>
      <c r="C1625" t="inlineStr">
        <is>
          <t>k3000-Latte</t>
        </is>
      </c>
      <c r="D1625" t="inlineStr">
        <is>
          <t>Bed Blankets</t>
        </is>
      </c>
      <c r="E1625" t="inlineStr">
        <is>
          <t>NAPA</t>
        </is>
      </c>
      <c r="F1625" t="inlineStr">
        <is>
          <t>Fleece Blankets,Batch 1 - TR</t>
        </is>
      </c>
      <c r="G1625" s="48" t="n">
        <v>0</v>
      </c>
      <c r="H1625" s="49" t="n">
        <v>0</v>
      </c>
      <c r="I1625" s="49" t="n">
        <v>0</v>
      </c>
      <c r="J1625" s="50" t="n">
        <v>0</v>
      </c>
      <c r="K1625" s="51" t="n">
        <v>0</v>
      </c>
      <c r="L1625" s="52" t="n">
        <v>0</v>
      </c>
      <c r="M1625" s="52" t="n">
        <v>0</v>
      </c>
      <c r="N1625" s="52" t="n">
        <v>0</v>
      </c>
      <c r="O1625" s="53" t="n">
        <v>0</v>
      </c>
      <c r="P1625" s="52" t="n">
        <v>0</v>
      </c>
      <c r="Q1625" s="53" t="n">
        <v>0</v>
      </c>
      <c r="R1625" s="52" t="n">
        <v>0</v>
      </c>
      <c r="S1625" s="51" t="n">
        <v>0</v>
      </c>
      <c r="T1625" s="48" t="n">
        <v>0</v>
      </c>
      <c r="U1625" s="49" t="n">
        <v>0</v>
      </c>
      <c r="V1625" s="49" t="n">
        <v>0</v>
      </c>
      <c r="W1625" s="50" t="n">
        <v>0</v>
      </c>
      <c r="X1625" s="51" t="n">
        <v>0</v>
      </c>
      <c r="Y1625" s="52" t="n">
        <v>0</v>
      </c>
      <c r="Z1625" s="52" t="n">
        <v>0</v>
      </c>
      <c r="AA1625" s="52" t="n">
        <v>0</v>
      </c>
      <c r="AB1625" s="53" t="n">
        <v>0</v>
      </c>
      <c r="AC1625" s="52" t="n">
        <v>0</v>
      </c>
      <c r="AD1625" s="53" t="n">
        <v>0</v>
      </c>
      <c r="AE1625" s="52" t="n">
        <v>0</v>
      </c>
      <c r="AF1625" s="51" t="n">
        <v>0</v>
      </c>
      <c r="AG1625" s="48" t="n">
        <v>0</v>
      </c>
      <c r="AH1625" s="49" t="n">
        <v>0</v>
      </c>
      <c r="AI1625" s="49" t="n">
        <v>0</v>
      </c>
      <c r="AJ1625" s="50" t="n">
        <v>0</v>
      </c>
      <c r="AK1625" s="51" t="n">
        <v>0</v>
      </c>
      <c r="AL1625" s="52" t="n">
        <v>0</v>
      </c>
      <c r="AM1625" s="52" t="n">
        <v>0</v>
      </c>
      <c r="AN1625" s="52" t="n">
        <v>0</v>
      </c>
      <c r="AO1625" s="53" t="n">
        <v>0</v>
      </c>
      <c r="AP1625" s="52" t="n">
        <v>0</v>
      </c>
      <c r="AQ1625" s="53" t="n">
        <v>0</v>
      </c>
      <c r="AR1625" s="52" t="n">
        <v>0</v>
      </c>
      <c r="AS1625" s="51" t="n">
        <v>0</v>
      </c>
      <c r="AT1625" s="48" t="n">
        <v>0</v>
      </c>
      <c r="AU1625" s="49" t="n">
        <v>0</v>
      </c>
      <c r="AV1625" s="49" t="n">
        <v>0</v>
      </c>
      <c r="AW1625" s="50" t="n">
        <v>0</v>
      </c>
      <c r="AX1625" s="51" t="n">
        <v>0</v>
      </c>
      <c r="AY1625" s="52" t="n">
        <v>0</v>
      </c>
      <c r="AZ1625" s="52" t="n">
        <v>0</v>
      </c>
      <c r="BA1625" s="52" t="n">
        <v>0</v>
      </c>
      <c r="BB1625" s="53" t="n">
        <v>0</v>
      </c>
      <c r="BC1625" s="52" t="n">
        <v>0</v>
      </c>
      <c r="BD1625" s="53" t="n">
        <v>0</v>
      </c>
      <c r="BE1625" s="52" t="n">
        <v>0</v>
      </c>
      <c r="BF1625" s="51" t="n">
        <v>0</v>
      </c>
    </row>
    <row r="1626">
      <c r="A1626">
        <f>HYPERLINK("https://www.walmart.com/ip/111627641", "111627641")</f>
        <v/>
      </c>
      <c r="B1626" t="inlineStr">
        <is>
          <t>JenniWears Women Beileise Sexy Garter Belt Suspender - 3 Packs</t>
        </is>
      </c>
      <c r="C1626" t="inlineStr">
        <is>
          <t>JWBLSPH2073-3pcs</t>
        </is>
      </c>
      <c r="D1626" t="inlineStr">
        <is>
          <t>Garter Belts</t>
        </is>
      </c>
      <c r="E1626" t="inlineStr">
        <is>
          <t>JenniWears</t>
        </is>
      </c>
      <c r="F1626" t="inlineStr">
        <is>
          <t>Optimized,Valentine</t>
        </is>
      </c>
      <c r="G1626" s="48" t="n">
        <v>0</v>
      </c>
      <c r="H1626" s="49" t="n">
        <v>0</v>
      </c>
      <c r="I1626" s="49" t="n">
        <v>0</v>
      </c>
      <c r="J1626" s="50" t="n">
        <v>0</v>
      </c>
      <c r="K1626" s="51" t="n">
        <v>0</v>
      </c>
      <c r="L1626" s="52" t="n">
        <v>0</v>
      </c>
      <c r="M1626" s="52" t="n">
        <v>0</v>
      </c>
      <c r="N1626" s="52" t="n">
        <v>0</v>
      </c>
      <c r="O1626" s="53" t="n">
        <v>0</v>
      </c>
      <c r="P1626" s="52" t="n">
        <v>0</v>
      </c>
      <c r="Q1626" s="53" t="n">
        <v>0</v>
      </c>
      <c r="R1626" s="52" t="n">
        <v>0</v>
      </c>
      <c r="S1626" s="51" t="n">
        <v>0</v>
      </c>
      <c r="T1626" s="48" t="n">
        <v>0</v>
      </c>
      <c r="U1626" s="49" t="n">
        <v>0</v>
      </c>
      <c r="V1626" s="49" t="n">
        <v>0</v>
      </c>
      <c r="W1626" s="50" t="n">
        <v>0</v>
      </c>
      <c r="X1626" s="51" t="n">
        <v>0</v>
      </c>
      <c r="Y1626" s="52" t="n">
        <v>0</v>
      </c>
      <c r="Z1626" s="52" t="n">
        <v>0</v>
      </c>
      <c r="AA1626" s="52" t="n">
        <v>0</v>
      </c>
      <c r="AB1626" s="53" t="n">
        <v>0</v>
      </c>
      <c r="AC1626" s="52" t="n">
        <v>0</v>
      </c>
      <c r="AD1626" s="53" t="n">
        <v>0</v>
      </c>
      <c r="AE1626" s="52" t="n">
        <v>0</v>
      </c>
      <c r="AF1626" s="51" t="n">
        <v>0</v>
      </c>
      <c r="AG1626" s="48" t="n">
        <v>0</v>
      </c>
      <c r="AH1626" s="49" t="n">
        <v>0</v>
      </c>
      <c r="AI1626" s="49" t="n">
        <v>0</v>
      </c>
      <c r="AJ1626" s="50" t="n">
        <v>0</v>
      </c>
      <c r="AK1626" s="51" t="n">
        <v>0</v>
      </c>
      <c r="AL1626" s="52" t="n">
        <v>0</v>
      </c>
      <c r="AM1626" s="52" t="n">
        <v>0</v>
      </c>
      <c r="AN1626" s="52" t="n">
        <v>0</v>
      </c>
      <c r="AO1626" s="53" t="n">
        <v>0</v>
      </c>
      <c r="AP1626" s="52" t="n">
        <v>0</v>
      </c>
      <c r="AQ1626" s="53" t="n">
        <v>0</v>
      </c>
      <c r="AR1626" s="52" t="n">
        <v>0</v>
      </c>
      <c r="AS1626" s="51" t="n">
        <v>0</v>
      </c>
      <c r="AT1626" s="48" t="n">
        <v>0</v>
      </c>
      <c r="AU1626" s="49" t="n">
        <v>0</v>
      </c>
      <c r="AV1626" s="49" t="n">
        <v>0</v>
      </c>
      <c r="AW1626" s="50" t="n">
        <v>0</v>
      </c>
      <c r="AX1626" s="51" t="n">
        <v>0</v>
      </c>
      <c r="AY1626" s="52" t="n">
        <v>0</v>
      </c>
      <c r="AZ1626" s="52" t="n">
        <v>0</v>
      </c>
      <c r="BA1626" s="52" t="n">
        <v>0</v>
      </c>
      <c r="BB1626" s="53" t="n">
        <v>0</v>
      </c>
      <c r="BC1626" s="52" t="n">
        <v>0</v>
      </c>
      <c r="BD1626" s="53" t="n">
        <v>0</v>
      </c>
      <c r="BE1626" s="52" t="n">
        <v>0</v>
      </c>
      <c r="BF1626" s="51" t="n">
        <v>0</v>
      </c>
    </row>
    <row r="1627">
      <c r="A1627">
        <f>HYPERLINK("https://www.walmart.com/ip/111420113", "111420113")</f>
        <v/>
      </c>
      <c r="B1627" t="inlineStr">
        <is>
          <t>Dog Blankets for Large Dogs,Super Soft Warm Sherpa Fleece Plush Doggie Blankets and Throws for Small Medium Puppy Doggy Pet Cats</t>
        </is>
      </c>
      <c r="C1627" t="inlineStr">
        <is>
          <t>1PSBF301MK</t>
        </is>
      </c>
      <c r="D1627" t="inlineStr">
        <is>
          <t>Pet Blankets</t>
        </is>
      </c>
      <c r="E1627" t="inlineStr">
        <is>
          <t>Pawsse</t>
        </is>
      </c>
      <c r="F1627" t="inlineStr">
        <is>
          <t>Batch 1 - TR</t>
        </is>
      </c>
      <c r="G1627" s="48" t="n">
        <v>0</v>
      </c>
      <c r="H1627" s="49" t="n">
        <v>0</v>
      </c>
      <c r="I1627" s="49" t="n">
        <v>0</v>
      </c>
      <c r="J1627" s="50" t="n">
        <v>0</v>
      </c>
      <c r="K1627" s="51" t="n">
        <v>0</v>
      </c>
      <c r="L1627" s="52" t="n">
        <v>0</v>
      </c>
      <c r="M1627" s="52" t="n">
        <v>0</v>
      </c>
      <c r="N1627" s="52" t="n">
        <v>0</v>
      </c>
      <c r="O1627" s="53" t="n">
        <v>0</v>
      </c>
      <c r="P1627" s="52" t="n">
        <v>0</v>
      </c>
      <c r="Q1627" s="53" t="n">
        <v>0</v>
      </c>
      <c r="R1627" s="52" t="n">
        <v>0</v>
      </c>
      <c r="S1627" s="51" t="n">
        <v>0</v>
      </c>
      <c r="T1627" s="48" t="n">
        <v>0</v>
      </c>
      <c r="U1627" s="49" t="n">
        <v>0</v>
      </c>
      <c r="V1627" s="49" t="n">
        <v>0</v>
      </c>
      <c r="W1627" s="50" t="n">
        <v>0</v>
      </c>
      <c r="X1627" s="51" t="n">
        <v>0</v>
      </c>
      <c r="Y1627" s="52" t="n">
        <v>0</v>
      </c>
      <c r="Z1627" s="52" t="n">
        <v>0</v>
      </c>
      <c r="AA1627" s="52" t="n">
        <v>0</v>
      </c>
      <c r="AB1627" s="53" t="n">
        <v>0</v>
      </c>
      <c r="AC1627" s="52" t="n">
        <v>0</v>
      </c>
      <c r="AD1627" s="53" t="n">
        <v>0</v>
      </c>
      <c r="AE1627" s="52" t="n">
        <v>0</v>
      </c>
      <c r="AF1627" s="51" t="n">
        <v>0</v>
      </c>
      <c r="AG1627" s="48" t="n">
        <v>0</v>
      </c>
      <c r="AH1627" s="49" t="n">
        <v>0</v>
      </c>
      <c r="AI1627" s="49" t="n">
        <v>0</v>
      </c>
      <c r="AJ1627" s="50" t="n">
        <v>0</v>
      </c>
      <c r="AK1627" s="51" t="n">
        <v>0</v>
      </c>
      <c r="AL1627" s="52" t="n">
        <v>0</v>
      </c>
      <c r="AM1627" s="52" t="n">
        <v>0</v>
      </c>
      <c r="AN1627" s="52" t="n">
        <v>0</v>
      </c>
      <c r="AO1627" s="53" t="n">
        <v>0</v>
      </c>
      <c r="AP1627" s="52" t="n">
        <v>0</v>
      </c>
      <c r="AQ1627" s="53" t="n">
        <v>0</v>
      </c>
      <c r="AR1627" s="52" t="n">
        <v>0</v>
      </c>
      <c r="AS1627" s="51" t="n">
        <v>0</v>
      </c>
      <c r="AT1627" s="48" t="n">
        <v>0</v>
      </c>
      <c r="AU1627" s="49" t="n">
        <v>0</v>
      </c>
      <c r="AV1627" s="49" t="n">
        <v>0</v>
      </c>
      <c r="AW1627" s="50" t="n">
        <v>0</v>
      </c>
      <c r="AX1627" s="51" t="n">
        <v>0</v>
      </c>
      <c r="AY1627" s="52" t="n">
        <v>0</v>
      </c>
      <c r="AZ1627" s="52" t="n">
        <v>0</v>
      </c>
      <c r="BA1627" s="52" t="n">
        <v>0</v>
      </c>
      <c r="BB1627" s="53" t="n">
        <v>0</v>
      </c>
      <c r="BC1627" s="52" t="n">
        <v>0</v>
      </c>
      <c r="BD1627" s="53" t="n">
        <v>0</v>
      </c>
      <c r="BE1627" s="52" t="n">
        <v>0</v>
      </c>
      <c r="BF1627" s="51" t="n">
        <v>0</v>
      </c>
    </row>
    <row r="1628">
      <c r="A1628">
        <f>HYPERLINK("https://www.walmart.com/ip/113898325", "113898325")</f>
        <v/>
      </c>
      <c r="B1628" t="inlineStr">
        <is>
          <t>KC Caps Unisex Two-Tone Cotton Twill Baseball Hat with Suede Bill Adult, Black/Red</t>
        </is>
      </c>
      <c r="C1628" t="inlineStr">
        <is>
          <t>KC-S6300-BK/RD</t>
        </is>
      </c>
      <c r="D1628" t="inlineStr">
        <is>
          <t>Hats</t>
        </is>
      </c>
      <c r="E1628" t="inlineStr">
        <is>
          <t>KC Caps</t>
        </is>
      </c>
      <c r="F1628" t="inlineStr">
        <is>
          <t>Optimized</t>
        </is>
      </c>
      <c r="G1628" s="48" t="n">
        <v>0</v>
      </c>
      <c r="H1628" s="49" t="n">
        <v>0</v>
      </c>
      <c r="I1628" s="49" t="n">
        <v>0</v>
      </c>
      <c r="J1628" s="50" t="n">
        <v>0</v>
      </c>
      <c r="K1628" s="51" t="n">
        <v>0</v>
      </c>
      <c r="L1628" s="52" t="n">
        <v>0</v>
      </c>
      <c r="M1628" s="52" t="n">
        <v>0</v>
      </c>
      <c r="N1628" s="52" t="n">
        <v>0</v>
      </c>
      <c r="O1628" s="53" t="n">
        <v>0</v>
      </c>
      <c r="P1628" s="52" t="n">
        <v>0</v>
      </c>
      <c r="Q1628" s="53" t="n">
        <v>0</v>
      </c>
      <c r="R1628" s="52" t="n">
        <v>0</v>
      </c>
      <c r="S1628" s="51" t="n">
        <v>0</v>
      </c>
      <c r="T1628" s="48" t="n">
        <v>0</v>
      </c>
      <c r="U1628" s="49" t="n">
        <v>0</v>
      </c>
      <c r="V1628" s="49" t="n">
        <v>0</v>
      </c>
      <c r="W1628" s="50" t="n">
        <v>0</v>
      </c>
      <c r="X1628" s="51" t="n">
        <v>0</v>
      </c>
      <c r="Y1628" s="52" t="n">
        <v>0</v>
      </c>
      <c r="Z1628" s="52" t="n">
        <v>0</v>
      </c>
      <c r="AA1628" s="52" t="n">
        <v>0</v>
      </c>
      <c r="AB1628" s="53" t="n">
        <v>0</v>
      </c>
      <c r="AC1628" s="52" t="n">
        <v>0</v>
      </c>
      <c r="AD1628" s="53" t="n">
        <v>0</v>
      </c>
      <c r="AE1628" s="52" t="n">
        <v>0</v>
      </c>
      <c r="AF1628" s="51" t="n">
        <v>0</v>
      </c>
      <c r="AG1628" s="48" t="n">
        <v>0</v>
      </c>
      <c r="AH1628" s="49" t="n">
        <v>0</v>
      </c>
      <c r="AI1628" s="49" t="n">
        <v>0</v>
      </c>
      <c r="AJ1628" s="50" t="n">
        <v>0</v>
      </c>
      <c r="AK1628" s="51" t="n">
        <v>0</v>
      </c>
      <c r="AL1628" s="52" t="n">
        <v>0</v>
      </c>
      <c r="AM1628" s="52" t="n">
        <v>0</v>
      </c>
      <c r="AN1628" s="52" t="n">
        <v>0</v>
      </c>
      <c r="AO1628" s="53" t="n">
        <v>0</v>
      </c>
      <c r="AP1628" s="52" t="n">
        <v>0</v>
      </c>
      <c r="AQ1628" s="53" t="n">
        <v>0</v>
      </c>
      <c r="AR1628" s="52" t="n">
        <v>0</v>
      </c>
      <c r="AS1628" s="51" t="n">
        <v>0</v>
      </c>
      <c r="AT1628" s="48" t="n">
        <v>0</v>
      </c>
      <c r="AU1628" s="49" t="n">
        <v>0</v>
      </c>
      <c r="AV1628" s="49" t="n">
        <v>0</v>
      </c>
      <c r="AW1628" s="50" t="n">
        <v>0</v>
      </c>
      <c r="AX1628" s="51" t="n">
        <v>0</v>
      </c>
      <c r="AY1628" s="52" t="n">
        <v>0</v>
      </c>
      <c r="AZ1628" s="52" t="n">
        <v>0</v>
      </c>
      <c r="BA1628" s="52" t="n">
        <v>0</v>
      </c>
      <c r="BB1628" s="53" t="n">
        <v>0</v>
      </c>
      <c r="BC1628" s="52" t="n">
        <v>0</v>
      </c>
      <c r="BD1628" s="53" t="n">
        <v>0</v>
      </c>
      <c r="BE1628" s="52" t="n">
        <v>0</v>
      </c>
      <c r="BF1628" s="51" t="n">
        <v>0</v>
      </c>
    </row>
    <row r="1629">
      <c r="A1629">
        <f>HYPERLINK("https://www.walmart.com/ip/111372747", "111372747")</f>
        <v/>
      </c>
      <c r="B1629" t="inlineStr">
        <is>
          <t>KritterWorld® Pet Dog Cat Puppy Kitten Microplush Sherpa Snuggle Blanket for Couch, Car, Trunk, Cage, Kennel, Dog House, 45" x30" Chocolate</t>
        </is>
      </c>
      <c r="C1629" t="inlineStr">
        <is>
          <t>dog3045-chocolate</t>
        </is>
      </c>
      <c r="D1629" t="inlineStr">
        <is>
          <t>Pet Blankets</t>
        </is>
      </c>
      <c r="E1629" t="inlineStr">
        <is>
          <t>KritterWorld</t>
        </is>
      </c>
      <c r="F1629" t="inlineStr">
        <is>
          <t>Batch 1 - TR</t>
        </is>
      </c>
      <c r="G1629" s="48" t="n">
        <v>0</v>
      </c>
      <c r="H1629" s="49" t="n">
        <v>0</v>
      </c>
      <c r="I1629" s="49" t="n">
        <v>0</v>
      </c>
      <c r="J1629" s="50" t="n">
        <v>0</v>
      </c>
      <c r="K1629" s="51" t="n">
        <v>0</v>
      </c>
      <c r="L1629" s="52" t="n">
        <v>0</v>
      </c>
      <c r="M1629" s="52" t="n">
        <v>0</v>
      </c>
      <c r="N1629" s="52" t="n">
        <v>0</v>
      </c>
      <c r="O1629" s="53" t="n">
        <v>0</v>
      </c>
      <c r="P1629" s="52" t="n">
        <v>0</v>
      </c>
      <c r="Q1629" s="53" t="n">
        <v>0</v>
      </c>
      <c r="R1629" s="52" t="n">
        <v>0</v>
      </c>
      <c r="S1629" s="51" t="n">
        <v>0</v>
      </c>
      <c r="T1629" s="48" t="n">
        <v>0</v>
      </c>
      <c r="U1629" s="49" t="n">
        <v>0</v>
      </c>
      <c r="V1629" s="49" t="n">
        <v>0</v>
      </c>
      <c r="W1629" s="50" t="n">
        <v>0</v>
      </c>
      <c r="X1629" s="51" t="n">
        <v>0</v>
      </c>
      <c r="Y1629" s="52" t="n">
        <v>0</v>
      </c>
      <c r="Z1629" s="52" t="n">
        <v>0</v>
      </c>
      <c r="AA1629" s="52" t="n">
        <v>0</v>
      </c>
      <c r="AB1629" s="53" t="n">
        <v>0</v>
      </c>
      <c r="AC1629" s="52" t="n">
        <v>0</v>
      </c>
      <c r="AD1629" s="53" t="n">
        <v>0</v>
      </c>
      <c r="AE1629" s="52" t="n">
        <v>0</v>
      </c>
      <c r="AF1629" s="51" t="n">
        <v>0</v>
      </c>
      <c r="AG1629" s="48" t="n">
        <v>0</v>
      </c>
      <c r="AH1629" s="49" t="n">
        <v>0</v>
      </c>
      <c r="AI1629" s="49" t="n">
        <v>0</v>
      </c>
      <c r="AJ1629" s="50" t="n">
        <v>0</v>
      </c>
      <c r="AK1629" s="51" t="n">
        <v>0</v>
      </c>
      <c r="AL1629" s="52" t="n">
        <v>0</v>
      </c>
      <c r="AM1629" s="52" t="n">
        <v>0</v>
      </c>
      <c r="AN1629" s="52" t="n">
        <v>0</v>
      </c>
      <c r="AO1629" s="53" t="n">
        <v>0</v>
      </c>
      <c r="AP1629" s="52" t="n">
        <v>0</v>
      </c>
      <c r="AQ1629" s="53" t="n">
        <v>0</v>
      </c>
      <c r="AR1629" s="52" t="n">
        <v>0</v>
      </c>
      <c r="AS1629" s="51" t="n">
        <v>0</v>
      </c>
      <c r="AT1629" s="48" t="n">
        <v>0</v>
      </c>
      <c r="AU1629" s="49" t="n">
        <v>0</v>
      </c>
      <c r="AV1629" s="49" t="n">
        <v>0</v>
      </c>
      <c r="AW1629" s="50" t="n">
        <v>0</v>
      </c>
      <c r="AX1629" s="51" t="n">
        <v>0</v>
      </c>
      <c r="AY1629" s="52" t="n">
        <v>0</v>
      </c>
      <c r="AZ1629" s="52" t="n">
        <v>0</v>
      </c>
      <c r="BA1629" s="52" t="n">
        <v>0</v>
      </c>
      <c r="BB1629" s="53" t="n">
        <v>0</v>
      </c>
      <c r="BC1629" s="52" t="n">
        <v>0</v>
      </c>
      <c r="BD1629" s="53" t="n">
        <v>0</v>
      </c>
      <c r="BE1629" s="52" t="n">
        <v>0</v>
      </c>
      <c r="BF1629" s="51" t="n">
        <v>0</v>
      </c>
    </row>
    <row r="1630">
      <c r="A1630">
        <f>HYPERLINK("https://www.walmart.com/ip/108428499", "108428499")</f>
        <v/>
      </c>
      <c r="B1630" t="inlineStr">
        <is>
          <t>JenniWears Girls Tulle Tutu Skirt, Ballet Dance Fluffy Skirt, Assorted Colors for Night Clubs, Party, Cosplay, and Halloween, Pink</t>
        </is>
      </c>
      <c r="C1630" t="inlineStr">
        <is>
          <t>tutus-pink</t>
        </is>
      </c>
      <c r="D1630" t="inlineStr">
        <is>
          <t>Skirts</t>
        </is>
      </c>
      <c r="E1630" t="inlineStr">
        <is>
          <t>JenniWears</t>
        </is>
      </c>
      <c r="G1630" s="48" t="n">
        <v>0</v>
      </c>
      <c r="H1630" s="49" t="n">
        <v>0</v>
      </c>
      <c r="I1630" s="49" t="n">
        <v>0</v>
      </c>
      <c r="J1630" s="50" t="n">
        <v>0</v>
      </c>
      <c r="K1630" s="51" t="n">
        <v>0</v>
      </c>
      <c r="L1630" s="52" t="n">
        <v>0</v>
      </c>
      <c r="M1630" s="52" t="n">
        <v>0</v>
      </c>
      <c r="N1630" s="52" t="n">
        <v>0</v>
      </c>
      <c r="O1630" s="53" t="n">
        <v>0</v>
      </c>
      <c r="P1630" s="52" t="n">
        <v>0</v>
      </c>
      <c r="Q1630" s="53" t="n">
        <v>0</v>
      </c>
      <c r="R1630" s="52" t="n">
        <v>0</v>
      </c>
      <c r="S1630" s="51" t="n">
        <v>0</v>
      </c>
      <c r="T1630" s="48" t="n">
        <v>0</v>
      </c>
      <c r="U1630" s="49" t="n">
        <v>0</v>
      </c>
      <c r="V1630" s="49" t="n">
        <v>0</v>
      </c>
      <c r="W1630" s="50" t="n">
        <v>0</v>
      </c>
      <c r="X1630" s="51" t="n">
        <v>0</v>
      </c>
      <c r="Y1630" s="52" t="n">
        <v>0</v>
      </c>
      <c r="Z1630" s="52" t="n">
        <v>0</v>
      </c>
      <c r="AA1630" s="52" t="n">
        <v>0</v>
      </c>
      <c r="AB1630" s="53" t="n">
        <v>0</v>
      </c>
      <c r="AC1630" s="52" t="n">
        <v>0</v>
      </c>
      <c r="AD1630" s="53" t="n">
        <v>0</v>
      </c>
      <c r="AE1630" s="52" t="n">
        <v>0</v>
      </c>
      <c r="AF1630" s="51" t="n">
        <v>0</v>
      </c>
      <c r="AG1630" s="48" t="n">
        <v>0</v>
      </c>
      <c r="AH1630" s="49" t="n">
        <v>0</v>
      </c>
      <c r="AI1630" s="49" t="n">
        <v>0</v>
      </c>
      <c r="AJ1630" s="50" t="n">
        <v>0</v>
      </c>
      <c r="AK1630" s="51" t="n">
        <v>0</v>
      </c>
      <c r="AL1630" s="52" t="n">
        <v>0</v>
      </c>
      <c r="AM1630" s="52" t="n">
        <v>0</v>
      </c>
      <c r="AN1630" s="52" t="n">
        <v>0</v>
      </c>
      <c r="AO1630" s="53" t="n">
        <v>0</v>
      </c>
      <c r="AP1630" s="52" t="n">
        <v>0</v>
      </c>
      <c r="AQ1630" s="53" t="n">
        <v>0</v>
      </c>
      <c r="AR1630" s="52" t="n">
        <v>0</v>
      </c>
      <c r="AS1630" s="51" t="n">
        <v>0</v>
      </c>
      <c r="AT1630" s="48" t="n">
        <v>0</v>
      </c>
      <c r="AU1630" s="49" t="n">
        <v>0</v>
      </c>
      <c r="AV1630" s="49" t="n">
        <v>0</v>
      </c>
      <c r="AW1630" s="50" t="n">
        <v>0</v>
      </c>
      <c r="AX1630" s="51" t="n">
        <v>0</v>
      </c>
      <c r="AY1630" s="52" t="n">
        <v>0</v>
      </c>
      <c r="AZ1630" s="52" t="n">
        <v>0</v>
      </c>
      <c r="BA1630" s="52" t="n">
        <v>0</v>
      </c>
      <c r="BB1630" s="53" t="n">
        <v>0</v>
      </c>
      <c r="BC1630" s="52" t="n">
        <v>0</v>
      </c>
      <c r="BD1630" s="53" t="n">
        <v>0</v>
      </c>
      <c r="BE1630" s="52" t="n">
        <v>0</v>
      </c>
      <c r="BF1630" s="51" t="n">
        <v>0</v>
      </c>
    </row>
    <row r="1631">
      <c r="A1631">
        <f>HYPERLINK("https://www.walmart.com/ip/1085403991", "1085403991")</f>
        <v/>
      </c>
      <c r="B1631" t="inlineStr">
        <is>
          <t>KC Caps Unisex Two-Tone Cotton Twill Baseball Cap with Suede Bill Adult</t>
        </is>
      </c>
      <c r="C1631" t="inlineStr">
        <is>
          <t>KC-S6300-BK/RD-12pcs</t>
        </is>
      </c>
      <c r="D1631" t="inlineStr">
        <is>
          <t>Hats</t>
        </is>
      </c>
      <c r="E1631" t="inlineStr">
        <is>
          <t>KC Caps</t>
        </is>
      </c>
      <c r="G1631" s="48" t="n">
        <v>0</v>
      </c>
      <c r="H1631" s="49" t="n">
        <v>0</v>
      </c>
      <c r="I1631" s="49" t="n">
        <v>0</v>
      </c>
      <c r="J1631" s="50" t="n">
        <v>0</v>
      </c>
      <c r="K1631" s="51" t="n">
        <v>0</v>
      </c>
      <c r="L1631" s="52" t="n">
        <v>0</v>
      </c>
      <c r="M1631" s="52" t="n">
        <v>0</v>
      </c>
      <c r="N1631" s="52" t="n">
        <v>0</v>
      </c>
      <c r="O1631" s="53" t="n">
        <v>0</v>
      </c>
      <c r="P1631" s="52" t="n">
        <v>0</v>
      </c>
      <c r="Q1631" s="53" t="n">
        <v>0</v>
      </c>
      <c r="R1631" s="52" t="n">
        <v>0</v>
      </c>
      <c r="S1631" s="51" t="n">
        <v>0</v>
      </c>
      <c r="T1631" s="48" t="n">
        <v>0</v>
      </c>
      <c r="U1631" s="49" t="n">
        <v>0</v>
      </c>
      <c r="V1631" s="49" t="n">
        <v>0</v>
      </c>
      <c r="W1631" s="50" t="n">
        <v>0</v>
      </c>
      <c r="X1631" s="51" t="n">
        <v>0</v>
      </c>
      <c r="Y1631" s="52" t="n">
        <v>0</v>
      </c>
      <c r="Z1631" s="52" t="n">
        <v>0</v>
      </c>
      <c r="AA1631" s="52" t="n">
        <v>0</v>
      </c>
      <c r="AB1631" s="53" t="n">
        <v>0</v>
      </c>
      <c r="AC1631" s="52" t="n">
        <v>0</v>
      </c>
      <c r="AD1631" s="53" t="n">
        <v>0</v>
      </c>
      <c r="AE1631" s="52" t="n">
        <v>0</v>
      </c>
      <c r="AF1631" s="51" t="n">
        <v>0</v>
      </c>
      <c r="AG1631" s="48" t="n">
        <v>0</v>
      </c>
      <c r="AH1631" s="49" t="n">
        <v>0</v>
      </c>
      <c r="AI1631" s="49" t="n">
        <v>0</v>
      </c>
      <c r="AJ1631" s="50" t="n">
        <v>0</v>
      </c>
      <c r="AK1631" s="51" t="n">
        <v>0</v>
      </c>
      <c r="AL1631" s="52" t="n">
        <v>0</v>
      </c>
      <c r="AM1631" s="52" t="n">
        <v>0</v>
      </c>
      <c r="AN1631" s="52" t="n">
        <v>0</v>
      </c>
      <c r="AO1631" s="53" t="n">
        <v>0</v>
      </c>
      <c r="AP1631" s="52" t="n">
        <v>0</v>
      </c>
      <c r="AQ1631" s="53" t="n">
        <v>0</v>
      </c>
      <c r="AR1631" s="52" t="n">
        <v>0</v>
      </c>
      <c r="AS1631" s="51" t="n">
        <v>0</v>
      </c>
      <c r="AT1631" s="48" t="n">
        <v>0</v>
      </c>
      <c r="AU1631" s="49" t="n">
        <v>0</v>
      </c>
      <c r="AV1631" s="49" t="n">
        <v>0</v>
      </c>
      <c r="AW1631" s="50" t="n">
        <v>0</v>
      </c>
      <c r="AX1631" s="51" t="n">
        <v>0</v>
      </c>
      <c r="AY1631" s="52" t="n">
        <v>0</v>
      </c>
      <c r="AZ1631" s="52" t="n">
        <v>0</v>
      </c>
      <c r="BA1631" s="52" t="n">
        <v>0</v>
      </c>
      <c r="BB1631" s="53" t="n">
        <v>0</v>
      </c>
      <c r="BC1631" s="52" t="n">
        <v>0</v>
      </c>
      <c r="BD1631" s="53" t="n">
        <v>0</v>
      </c>
      <c r="BE1631" s="52" t="n">
        <v>0</v>
      </c>
      <c r="BF1631" s="51" t="n">
        <v>0</v>
      </c>
    </row>
    <row r="1632">
      <c r="A1632">
        <f>HYPERLINK("https://www.walmart.com/ip/1089944334", "1089944334")</f>
        <v/>
      </c>
      <c r="B1632" t="inlineStr">
        <is>
          <t>Women’s Plush Hoodie Sweatshirt Dress, Casual Pullover Sweater with Kangaroo Pocket, One Size</t>
        </is>
      </c>
      <c r="C1632" t="inlineStr">
        <is>
          <t>1CTHD531AQ</t>
        </is>
      </c>
      <c r="D1632" t="inlineStr">
        <is>
          <t>Sweatshirts &amp; Hoodies</t>
        </is>
      </c>
      <c r="E1632" t="inlineStr">
        <is>
          <t>Catalonia</t>
        </is>
      </c>
      <c r="F1632" t="inlineStr">
        <is>
          <t>Batch 1 - TR</t>
        </is>
      </c>
      <c r="G1632" s="48" t="n">
        <v>0</v>
      </c>
      <c r="H1632" s="49" t="n">
        <v>0</v>
      </c>
      <c r="I1632" s="49" t="n">
        <v>0</v>
      </c>
      <c r="J1632" s="50" t="n">
        <v>0</v>
      </c>
      <c r="K1632" s="51" t="n">
        <v>0</v>
      </c>
      <c r="L1632" s="52" t="n">
        <v>0</v>
      </c>
      <c r="M1632" s="52" t="n">
        <v>0</v>
      </c>
      <c r="N1632" s="52" t="n">
        <v>0</v>
      </c>
      <c r="O1632" s="53" t="n">
        <v>0</v>
      </c>
      <c r="P1632" s="52" t="n">
        <v>0</v>
      </c>
      <c r="Q1632" s="53" t="n">
        <v>0</v>
      </c>
      <c r="R1632" s="52" t="n">
        <v>0</v>
      </c>
      <c r="S1632" s="51" t="n">
        <v>0</v>
      </c>
      <c r="T1632" s="48" t="n">
        <v>0</v>
      </c>
      <c r="U1632" s="49" t="n">
        <v>0</v>
      </c>
      <c r="V1632" s="49" t="n">
        <v>0</v>
      </c>
      <c r="W1632" s="50" t="n">
        <v>0</v>
      </c>
      <c r="X1632" s="51" t="n">
        <v>0</v>
      </c>
      <c r="Y1632" s="52" t="n">
        <v>0</v>
      </c>
      <c r="Z1632" s="52" t="n">
        <v>0</v>
      </c>
      <c r="AA1632" s="52" t="n">
        <v>0</v>
      </c>
      <c r="AB1632" s="53" t="n">
        <v>0</v>
      </c>
      <c r="AC1632" s="52" t="n">
        <v>0</v>
      </c>
      <c r="AD1632" s="53" t="n">
        <v>0</v>
      </c>
      <c r="AE1632" s="52" t="n">
        <v>0</v>
      </c>
      <c r="AF1632" s="51" t="n">
        <v>0</v>
      </c>
      <c r="AG1632" s="48" t="n">
        <v>0</v>
      </c>
      <c r="AH1632" s="49" t="n">
        <v>0</v>
      </c>
      <c r="AI1632" s="49" t="n">
        <v>0</v>
      </c>
      <c r="AJ1632" s="50" t="n">
        <v>0</v>
      </c>
      <c r="AK1632" s="51" t="n">
        <v>0</v>
      </c>
      <c r="AL1632" s="52" t="n">
        <v>0</v>
      </c>
      <c r="AM1632" s="52" t="n">
        <v>0</v>
      </c>
      <c r="AN1632" s="52" t="n">
        <v>0</v>
      </c>
      <c r="AO1632" s="53" t="n">
        <v>0</v>
      </c>
      <c r="AP1632" s="52" t="n">
        <v>0</v>
      </c>
      <c r="AQ1632" s="53" t="n">
        <v>0</v>
      </c>
      <c r="AR1632" s="52" t="n">
        <v>0</v>
      </c>
      <c r="AS1632" s="51" t="n">
        <v>0</v>
      </c>
      <c r="AT1632" s="48" t="n">
        <v>0</v>
      </c>
      <c r="AU1632" s="49" t="n">
        <v>0</v>
      </c>
      <c r="AV1632" s="49" t="n">
        <v>0</v>
      </c>
      <c r="AW1632" s="50" t="n">
        <v>0</v>
      </c>
      <c r="AX1632" s="51" t="n">
        <v>0</v>
      </c>
      <c r="AY1632" s="52" t="n">
        <v>0</v>
      </c>
      <c r="AZ1632" s="52" t="n">
        <v>0</v>
      </c>
      <c r="BA1632" s="52" t="n">
        <v>0</v>
      </c>
      <c r="BB1632" s="53" t="n">
        <v>0</v>
      </c>
      <c r="BC1632" s="52" t="n">
        <v>0</v>
      </c>
      <c r="BD1632" s="53" t="n">
        <v>0</v>
      </c>
      <c r="BE1632" s="52" t="n">
        <v>0</v>
      </c>
      <c r="BF1632" s="51" t="n">
        <v>0</v>
      </c>
    </row>
    <row r="1633">
      <c r="A1633">
        <f>HYPERLINK("https://www.walmart.com/ip/109086491", "109086491")</f>
        <v/>
      </c>
      <c r="B1633" t="inlineStr">
        <is>
          <t>Light up Sequin Fedora LED Hat Neon Rave Costumes Glow in Dark Party</t>
        </is>
      </c>
      <c r="C1633" t="inlineStr">
        <is>
          <t>SLLEDHATWT</t>
        </is>
      </c>
      <c r="D1633" t="inlineStr">
        <is>
          <t>Hats</t>
        </is>
      </c>
      <c r="E1633" t="inlineStr">
        <is>
          <t>Solaris</t>
        </is>
      </c>
      <c r="F1633" t="inlineStr">
        <is>
          <t>Optimized,Halloween</t>
        </is>
      </c>
      <c r="G1633" s="48" t="n">
        <v>0</v>
      </c>
      <c r="H1633" s="49" t="n">
        <v>0</v>
      </c>
      <c r="I1633" s="49" t="n">
        <v>0</v>
      </c>
      <c r="J1633" s="50" t="n">
        <v>0</v>
      </c>
      <c r="K1633" s="51" t="n">
        <v>0</v>
      </c>
      <c r="L1633" s="52" t="n">
        <v>0</v>
      </c>
      <c r="M1633" s="52" t="n">
        <v>0</v>
      </c>
      <c r="N1633" s="52" t="n">
        <v>0</v>
      </c>
      <c r="O1633" s="53" t="n">
        <v>0</v>
      </c>
      <c r="P1633" s="52" t="n">
        <v>0</v>
      </c>
      <c r="Q1633" s="53" t="n">
        <v>0</v>
      </c>
      <c r="R1633" s="52" t="n">
        <v>0</v>
      </c>
      <c r="S1633" s="51" t="n">
        <v>0</v>
      </c>
      <c r="T1633" s="48" t="n">
        <v>0</v>
      </c>
      <c r="U1633" s="49" t="n">
        <v>0</v>
      </c>
      <c r="V1633" s="49" t="n">
        <v>0</v>
      </c>
      <c r="W1633" s="50" t="n">
        <v>0</v>
      </c>
      <c r="X1633" s="51" t="n">
        <v>0</v>
      </c>
      <c r="Y1633" s="52" t="n">
        <v>0</v>
      </c>
      <c r="Z1633" s="52" t="n">
        <v>0</v>
      </c>
      <c r="AA1633" s="52" t="n">
        <v>0</v>
      </c>
      <c r="AB1633" s="53" t="n">
        <v>0</v>
      </c>
      <c r="AC1633" s="52" t="n">
        <v>0</v>
      </c>
      <c r="AD1633" s="53" t="n">
        <v>0</v>
      </c>
      <c r="AE1633" s="52" t="n">
        <v>0</v>
      </c>
      <c r="AF1633" s="51" t="n">
        <v>0</v>
      </c>
      <c r="AG1633" s="48" t="n">
        <v>0</v>
      </c>
      <c r="AH1633" s="49" t="n">
        <v>0</v>
      </c>
      <c r="AI1633" s="49" t="n">
        <v>0</v>
      </c>
      <c r="AJ1633" s="50" t="n">
        <v>0</v>
      </c>
      <c r="AK1633" s="51" t="n">
        <v>0</v>
      </c>
      <c r="AL1633" s="52" t="n">
        <v>0</v>
      </c>
      <c r="AM1633" s="52" t="n">
        <v>0</v>
      </c>
      <c r="AN1633" s="52" t="n">
        <v>0</v>
      </c>
      <c r="AO1633" s="53" t="n">
        <v>0</v>
      </c>
      <c r="AP1633" s="52" t="n">
        <v>0</v>
      </c>
      <c r="AQ1633" s="53" t="n">
        <v>0</v>
      </c>
      <c r="AR1633" s="52" t="n">
        <v>0</v>
      </c>
      <c r="AS1633" s="51" t="n">
        <v>0</v>
      </c>
      <c r="AT1633" s="48" t="n">
        <v>0</v>
      </c>
      <c r="AU1633" s="49" t="n">
        <v>0</v>
      </c>
      <c r="AV1633" s="49" t="n">
        <v>0</v>
      </c>
      <c r="AW1633" s="50" t="n">
        <v>0</v>
      </c>
      <c r="AX1633" s="51" t="n">
        <v>0</v>
      </c>
      <c r="AY1633" s="52" t="n">
        <v>0</v>
      </c>
      <c r="AZ1633" s="52" t="n">
        <v>0</v>
      </c>
      <c r="BA1633" s="52" t="n">
        <v>0</v>
      </c>
      <c r="BB1633" s="53" t="n">
        <v>0</v>
      </c>
      <c r="BC1633" s="52" t="n">
        <v>0</v>
      </c>
      <c r="BD1633" s="53" t="n">
        <v>0</v>
      </c>
      <c r="BE1633" s="52" t="n">
        <v>0</v>
      </c>
      <c r="BF1633" s="51" t="n">
        <v>0</v>
      </c>
    </row>
    <row r="1634">
      <c r="A1634">
        <f>HYPERLINK("https://www.walmart.com/ip/109273590", "109273590")</f>
        <v/>
      </c>
      <c r="B1634" t="inlineStr">
        <is>
          <t>Vina® Premium Bamboo Cutting Board – Medium 12" x 9" Kitchen Chopping board with</t>
        </is>
      </c>
      <c r="C1634" t="inlineStr">
        <is>
          <t>VINABCB05</t>
        </is>
      </c>
      <c r="D1634" t="inlineStr">
        <is>
          <t>Cutting Boards &amp; Butcher Blocks</t>
        </is>
      </c>
      <c r="E1634" t="inlineStr">
        <is>
          <t>Vina</t>
        </is>
      </c>
      <c r="G1634" s="48" t="n">
        <v>0</v>
      </c>
      <c r="H1634" s="49" t="n">
        <v>0</v>
      </c>
      <c r="I1634" s="49" t="n">
        <v>0</v>
      </c>
      <c r="J1634" s="50" t="n">
        <v>0</v>
      </c>
      <c r="K1634" s="51" t="n">
        <v>0</v>
      </c>
      <c r="L1634" s="52" t="n">
        <v>0</v>
      </c>
      <c r="M1634" s="52" t="n">
        <v>0</v>
      </c>
      <c r="N1634" s="52" t="n">
        <v>0</v>
      </c>
      <c r="O1634" s="53" t="n">
        <v>0</v>
      </c>
      <c r="P1634" s="52" t="n">
        <v>0</v>
      </c>
      <c r="Q1634" s="53" t="n">
        <v>0</v>
      </c>
      <c r="R1634" s="52" t="n">
        <v>0</v>
      </c>
      <c r="S1634" s="51" t="n">
        <v>0</v>
      </c>
      <c r="T1634" s="48" t="n">
        <v>0</v>
      </c>
      <c r="U1634" s="49" t="n">
        <v>0</v>
      </c>
      <c r="V1634" s="49" t="n">
        <v>0</v>
      </c>
      <c r="W1634" s="50" t="n">
        <v>0</v>
      </c>
      <c r="X1634" s="51" t="n">
        <v>0</v>
      </c>
      <c r="Y1634" s="52" t="n">
        <v>0</v>
      </c>
      <c r="Z1634" s="52" t="n">
        <v>0</v>
      </c>
      <c r="AA1634" s="52" t="n">
        <v>0</v>
      </c>
      <c r="AB1634" s="53" t="n">
        <v>0</v>
      </c>
      <c r="AC1634" s="52" t="n">
        <v>0</v>
      </c>
      <c r="AD1634" s="53" t="n">
        <v>0</v>
      </c>
      <c r="AE1634" s="52" t="n">
        <v>0</v>
      </c>
      <c r="AF1634" s="51" t="n">
        <v>0</v>
      </c>
      <c r="AG1634" s="48" t="n">
        <v>0</v>
      </c>
      <c r="AH1634" s="49" t="n">
        <v>0</v>
      </c>
      <c r="AI1634" s="49" t="n">
        <v>0</v>
      </c>
      <c r="AJ1634" s="50" t="n">
        <v>0</v>
      </c>
      <c r="AK1634" s="51" t="n">
        <v>0</v>
      </c>
      <c r="AL1634" s="52" t="n">
        <v>0</v>
      </c>
      <c r="AM1634" s="52" t="n">
        <v>0</v>
      </c>
      <c r="AN1634" s="52" t="n">
        <v>0</v>
      </c>
      <c r="AO1634" s="53" t="n">
        <v>0</v>
      </c>
      <c r="AP1634" s="52" t="n">
        <v>0</v>
      </c>
      <c r="AQ1634" s="53" t="n">
        <v>0</v>
      </c>
      <c r="AR1634" s="52" t="n">
        <v>0</v>
      </c>
      <c r="AS1634" s="51" t="n">
        <v>0</v>
      </c>
      <c r="AT1634" s="48" t="n">
        <v>0</v>
      </c>
      <c r="AU1634" s="49" t="n">
        <v>0</v>
      </c>
      <c r="AV1634" s="49" t="n">
        <v>0</v>
      </c>
      <c r="AW1634" s="50" t="n">
        <v>0</v>
      </c>
      <c r="AX1634" s="51" t="n">
        <v>0</v>
      </c>
      <c r="AY1634" s="52" t="n">
        <v>0</v>
      </c>
      <c r="AZ1634" s="52" t="n">
        <v>0</v>
      </c>
      <c r="BA1634" s="52" t="n">
        <v>0</v>
      </c>
      <c r="BB1634" s="53" t="n">
        <v>0</v>
      </c>
      <c r="BC1634" s="52" t="n">
        <v>0</v>
      </c>
      <c r="BD1634" s="53" t="n">
        <v>0</v>
      </c>
      <c r="BE1634" s="52" t="n">
        <v>0</v>
      </c>
      <c r="BF1634" s="51" t="n">
        <v>0</v>
      </c>
    </row>
    <row r="1635">
      <c r="A1635">
        <f>HYPERLINK("https://www.walmart.com/ip/109360952", "109360952")</f>
        <v/>
      </c>
      <c r="B1635" t="inlineStr">
        <is>
          <t>Napa Super Soft Micro Mink Fleece Sherpa Bed Throw TV Blanket, Reversible, Grey, 50" x 60"</t>
        </is>
      </c>
      <c r="C1635" t="inlineStr">
        <is>
          <t>K8010GRAY</t>
        </is>
      </c>
      <c r="D1635" t="inlineStr">
        <is>
          <t>Throws</t>
        </is>
      </c>
      <c r="E1635" t="inlineStr">
        <is>
          <t>NAPA</t>
        </is>
      </c>
      <c r="F1635" t="inlineStr">
        <is>
          <t>Q2-Target,Coupon_Discount,Batch 1 - TR</t>
        </is>
      </c>
      <c r="G1635" s="48" t="n">
        <v>0</v>
      </c>
      <c r="H1635" s="49" t="n">
        <v>0</v>
      </c>
      <c r="I1635" s="49" t="n">
        <v>0</v>
      </c>
      <c r="J1635" s="50" t="n">
        <v>0</v>
      </c>
      <c r="K1635" s="51" t="n">
        <v>0</v>
      </c>
      <c r="L1635" s="52" t="n">
        <v>0</v>
      </c>
      <c r="M1635" s="52" t="n">
        <v>0</v>
      </c>
      <c r="N1635" s="52" t="n">
        <v>0</v>
      </c>
      <c r="O1635" s="53" t="n">
        <v>0</v>
      </c>
      <c r="P1635" s="52" t="n">
        <v>0</v>
      </c>
      <c r="Q1635" s="53" t="n">
        <v>0</v>
      </c>
      <c r="R1635" s="52" t="n">
        <v>0</v>
      </c>
      <c r="S1635" s="51" t="n">
        <v>0</v>
      </c>
      <c r="T1635" s="48" t="n">
        <v>0</v>
      </c>
      <c r="U1635" s="49" t="n">
        <v>0</v>
      </c>
      <c r="V1635" s="49" t="n">
        <v>0</v>
      </c>
      <c r="W1635" s="50" t="n">
        <v>0</v>
      </c>
      <c r="X1635" s="51" t="n">
        <v>0</v>
      </c>
      <c r="Y1635" s="52" t="n">
        <v>0</v>
      </c>
      <c r="Z1635" s="52" t="n">
        <v>0</v>
      </c>
      <c r="AA1635" s="52" t="n">
        <v>0</v>
      </c>
      <c r="AB1635" s="53" t="n">
        <v>0</v>
      </c>
      <c r="AC1635" s="52" t="n">
        <v>0</v>
      </c>
      <c r="AD1635" s="53" t="n">
        <v>0</v>
      </c>
      <c r="AE1635" s="52" t="n">
        <v>0</v>
      </c>
      <c r="AF1635" s="51" t="n">
        <v>0</v>
      </c>
      <c r="AG1635" s="48" t="n">
        <v>0</v>
      </c>
      <c r="AH1635" s="49" t="n">
        <v>0</v>
      </c>
      <c r="AI1635" s="49" t="n">
        <v>0</v>
      </c>
      <c r="AJ1635" s="50" t="n">
        <v>0</v>
      </c>
      <c r="AK1635" s="51" t="n">
        <v>0</v>
      </c>
      <c r="AL1635" s="52" t="n">
        <v>0</v>
      </c>
      <c r="AM1635" s="52" t="n">
        <v>0</v>
      </c>
      <c r="AN1635" s="52" t="n">
        <v>0</v>
      </c>
      <c r="AO1635" s="53" t="n">
        <v>0</v>
      </c>
      <c r="AP1635" s="52" t="n">
        <v>0</v>
      </c>
      <c r="AQ1635" s="53" t="n">
        <v>0</v>
      </c>
      <c r="AR1635" s="52" t="n">
        <v>0</v>
      </c>
      <c r="AS1635" s="51" t="n">
        <v>0</v>
      </c>
      <c r="AT1635" s="48" t="n">
        <v>0</v>
      </c>
      <c r="AU1635" s="49" t="n">
        <v>0</v>
      </c>
      <c r="AV1635" s="49" t="n">
        <v>0</v>
      </c>
      <c r="AW1635" s="50" t="n">
        <v>0</v>
      </c>
      <c r="AX1635" s="51" t="n">
        <v>0</v>
      </c>
      <c r="AY1635" s="52" t="n">
        <v>0</v>
      </c>
      <c r="AZ1635" s="52" t="n">
        <v>0</v>
      </c>
      <c r="BA1635" s="52" t="n">
        <v>0</v>
      </c>
      <c r="BB1635" s="53" t="n">
        <v>0</v>
      </c>
      <c r="BC1635" s="52" t="n">
        <v>0</v>
      </c>
      <c r="BD1635" s="53" t="n">
        <v>0</v>
      </c>
      <c r="BE1635" s="52" t="n">
        <v>0</v>
      </c>
      <c r="BF1635" s="51" t="n">
        <v>0</v>
      </c>
    </row>
    <row r="1636">
      <c r="A1636">
        <f>HYPERLINK("https://www.walmart.com/ip/109524282", "109524282")</f>
        <v/>
      </c>
      <c r="B1636" t="inlineStr">
        <is>
          <t>Terra Active Wrap- Stylish Running workout travel waist belt w/ hidden pocket</t>
        </is>
      </c>
      <c r="C1636" t="inlineStr">
        <is>
          <t>TERRA-3CB-L</t>
        </is>
      </c>
      <c r="D1636" t="inlineStr">
        <is>
          <t>Running Belts</t>
        </is>
      </c>
      <c r="E1636" t="inlineStr">
        <is>
          <t>Terra</t>
        </is>
      </c>
      <c r="F1636" t="inlineStr">
        <is>
          <t>Batch 1 - TR</t>
        </is>
      </c>
      <c r="G1636" s="48" t="n">
        <v>0</v>
      </c>
      <c r="H1636" s="49" t="n">
        <v>0</v>
      </c>
      <c r="I1636" s="49" t="n">
        <v>0</v>
      </c>
      <c r="J1636" s="50" t="n">
        <v>0</v>
      </c>
      <c r="K1636" s="51" t="n">
        <v>0</v>
      </c>
      <c r="L1636" s="52" t="n">
        <v>0</v>
      </c>
      <c r="M1636" s="52" t="n">
        <v>0</v>
      </c>
      <c r="N1636" s="52" t="n">
        <v>0</v>
      </c>
      <c r="O1636" s="53" t="n">
        <v>0</v>
      </c>
      <c r="P1636" s="52" t="n">
        <v>0</v>
      </c>
      <c r="Q1636" s="53" t="n">
        <v>0</v>
      </c>
      <c r="R1636" s="52" t="n">
        <v>0</v>
      </c>
      <c r="S1636" s="51" t="n">
        <v>0</v>
      </c>
      <c r="T1636" s="48" t="n">
        <v>0</v>
      </c>
      <c r="U1636" s="49" t="n">
        <v>0</v>
      </c>
      <c r="V1636" s="49" t="n">
        <v>0</v>
      </c>
      <c r="W1636" s="50" t="n">
        <v>0</v>
      </c>
      <c r="X1636" s="51" t="n">
        <v>0</v>
      </c>
      <c r="Y1636" s="52" t="n">
        <v>0</v>
      </c>
      <c r="Z1636" s="52" t="n">
        <v>0</v>
      </c>
      <c r="AA1636" s="52" t="n">
        <v>0</v>
      </c>
      <c r="AB1636" s="53" t="n">
        <v>0</v>
      </c>
      <c r="AC1636" s="52" t="n">
        <v>0</v>
      </c>
      <c r="AD1636" s="53" t="n">
        <v>0</v>
      </c>
      <c r="AE1636" s="52" t="n">
        <v>0</v>
      </c>
      <c r="AF1636" s="51" t="n">
        <v>0</v>
      </c>
      <c r="AG1636" s="48" t="n">
        <v>0</v>
      </c>
      <c r="AH1636" s="49" t="n">
        <v>0</v>
      </c>
      <c r="AI1636" s="49" t="n">
        <v>0</v>
      </c>
      <c r="AJ1636" s="50" t="n">
        <v>0</v>
      </c>
      <c r="AK1636" s="51" t="n">
        <v>0</v>
      </c>
      <c r="AL1636" s="52" t="n">
        <v>0</v>
      </c>
      <c r="AM1636" s="52" t="n">
        <v>0</v>
      </c>
      <c r="AN1636" s="52" t="n">
        <v>0</v>
      </c>
      <c r="AO1636" s="53" t="n">
        <v>0</v>
      </c>
      <c r="AP1636" s="52" t="n">
        <v>0</v>
      </c>
      <c r="AQ1636" s="53" t="n">
        <v>0</v>
      </c>
      <c r="AR1636" s="52" t="n">
        <v>0</v>
      </c>
      <c r="AS1636" s="51" t="n">
        <v>0</v>
      </c>
      <c r="AT1636" s="48" t="n">
        <v>0</v>
      </c>
      <c r="AU1636" s="49" t="n">
        <v>0</v>
      </c>
      <c r="AV1636" s="49" t="n">
        <v>0</v>
      </c>
      <c r="AW1636" s="50" t="n">
        <v>0</v>
      </c>
      <c r="AX1636" s="51" t="n">
        <v>0</v>
      </c>
      <c r="AY1636" s="52" t="n">
        <v>0</v>
      </c>
      <c r="AZ1636" s="52" t="n">
        <v>0</v>
      </c>
      <c r="BA1636" s="52" t="n">
        <v>0</v>
      </c>
      <c r="BB1636" s="53" t="n">
        <v>0</v>
      </c>
      <c r="BC1636" s="52" t="n">
        <v>0</v>
      </c>
      <c r="BD1636" s="53" t="n">
        <v>0</v>
      </c>
      <c r="BE1636" s="52" t="n">
        <v>0</v>
      </c>
      <c r="BF1636" s="51" t="n">
        <v>0</v>
      </c>
    </row>
    <row r="1637">
      <c r="A1637">
        <f>HYPERLINK("https://www.walmart.com/ip/109986935", "109986935")</f>
        <v/>
      </c>
      <c r="B1637" t="inlineStr">
        <is>
          <t>JenniWears® Women V Neck Babydoll Strap Lingerie Lace Chemise Teddy Outfits</t>
        </is>
      </c>
      <c r="C1637" t="inlineStr">
        <is>
          <t>JWBD011PP-M</t>
        </is>
      </c>
      <c r="D1637" t="inlineStr">
        <is>
          <t>Nightgowns &amp; Sleepshirts</t>
        </is>
      </c>
      <c r="E1637" t="inlineStr">
        <is>
          <t>JenniWears</t>
        </is>
      </c>
      <c r="F1637" t="inlineStr">
        <is>
          <t>Optimized,Valentine</t>
        </is>
      </c>
      <c r="G1637" s="48" t="n">
        <v>0</v>
      </c>
      <c r="H1637" s="49" t="n">
        <v>0</v>
      </c>
      <c r="I1637" s="49" t="n">
        <v>0</v>
      </c>
      <c r="J1637" s="50" t="n">
        <v>0</v>
      </c>
      <c r="K1637" s="51" t="n">
        <v>0</v>
      </c>
      <c r="L1637" s="52" t="n">
        <v>0</v>
      </c>
      <c r="M1637" s="52" t="n">
        <v>0</v>
      </c>
      <c r="N1637" s="52" t="n">
        <v>0</v>
      </c>
      <c r="O1637" s="53" t="n">
        <v>0</v>
      </c>
      <c r="P1637" s="52" t="n">
        <v>0</v>
      </c>
      <c r="Q1637" s="53" t="n">
        <v>0</v>
      </c>
      <c r="R1637" s="52" t="n">
        <v>0</v>
      </c>
      <c r="S1637" s="51" t="n">
        <v>0</v>
      </c>
      <c r="T1637" s="48" t="n">
        <v>0</v>
      </c>
      <c r="U1637" s="49" t="n">
        <v>0</v>
      </c>
      <c r="V1637" s="49" t="n">
        <v>0</v>
      </c>
      <c r="W1637" s="50" t="n">
        <v>0</v>
      </c>
      <c r="X1637" s="51" t="n">
        <v>0</v>
      </c>
      <c r="Y1637" s="52" t="n">
        <v>0</v>
      </c>
      <c r="Z1637" s="52" t="n">
        <v>0</v>
      </c>
      <c r="AA1637" s="52" t="n">
        <v>0</v>
      </c>
      <c r="AB1637" s="53" t="n">
        <v>0</v>
      </c>
      <c r="AC1637" s="52" t="n">
        <v>0</v>
      </c>
      <c r="AD1637" s="53" t="n">
        <v>0</v>
      </c>
      <c r="AE1637" s="52" t="n">
        <v>0</v>
      </c>
      <c r="AF1637" s="51" t="n">
        <v>0</v>
      </c>
      <c r="AG1637" s="48" t="n">
        <v>0</v>
      </c>
      <c r="AH1637" s="49" t="n">
        <v>0</v>
      </c>
      <c r="AI1637" s="49" t="n">
        <v>0</v>
      </c>
      <c r="AJ1637" s="50" t="n">
        <v>0</v>
      </c>
      <c r="AK1637" s="51" t="n">
        <v>0</v>
      </c>
      <c r="AL1637" s="52" t="n">
        <v>0</v>
      </c>
      <c r="AM1637" s="52" t="n">
        <v>0</v>
      </c>
      <c r="AN1637" s="52" t="n">
        <v>0</v>
      </c>
      <c r="AO1637" s="53" t="n">
        <v>0</v>
      </c>
      <c r="AP1637" s="52" t="n">
        <v>0</v>
      </c>
      <c r="AQ1637" s="53" t="n">
        <v>0</v>
      </c>
      <c r="AR1637" s="52" t="n">
        <v>0</v>
      </c>
      <c r="AS1637" s="51" t="n">
        <v>0</v>
      </c>
      <c r="AT1637" s="48" t="n">
        <v>0</v>
      </c>
      <c r="AU1637" s="49" t="n">
        <v>0</v>
      </c>
      <c r="AV1637" s="49" t="n">
        <v>0</v>
      </c>
      <c r="AW1637" s="50" t="n">
        <v>0</v>
      </c>
      <c r="AX1637" s="51" t="n">
        <v>0</v>
      </c>
      <c r="AY1637" s="52" t="n">
        <v>0</v>
      </c>
      <c r="AZ1637" s="52" t="n">
        <v>0</v>
      </c>
      <c r="BA1637" s="52" t="n">
        <v>0</v>
      </c>
      <c r="BB1637" s="53" t="n">
        <v>0</v>
      </c>
      <c r="BC1637" s="52" t="n">
        <v>0</v>
      </c>
      <c r="BD1637" s="53" t="n">
        <v>0</v>
      </c>
      <c r="BE1637" s="52" t="n">
        <v>0</v>
      </c>
      <c r="BF1637" s="51" t="n">
        <v>0</v>
      </c>
    </row>
    <row r="1638">
      <c r="A1638">
        <f>HYPERLINK("https://www.walmart.com/ip/110024410", "110024410")</f>
        <v/>
      </c>
      <c r="B1638" t="inlineStr">
        <is>
          <t>undefined</t>
        </is>
      </c>
      <c r="C1638" t="inlineStr">
        <is>
          <t>JWBLSPH2012-3pcs</t>
        </is>
      </c>
      <c r="G1638" s="48" t="n">
        <v>0</v>
      </c>
      <c r="H1638" s="49" t="n">
        <v>0</v>
      </c>
      <c r="I1638" s="49" t="n">
        <v>0</v>
      </c>
      <c r="J1638" s="50" t="n">
        <v>0</v>
      </c>
      <c r="K1638" s="51" t="n">
        <v>0</v>
      </c>
      <c r="L1638" s="52" t="n">
        <v>0</v>
      </c>
      <c r="M1638" s="52" t="n">
        <v>0</v>
      </c>
      <c r="N1638" s="52" t="n">
        <v>0</v>
      </c>
      <c r="O1638" s="53" t="n">
        <v>0</v>
      </c>
      <c r="P1638" s="52" t="n">
        <v>0</v>
      </c>
      <c r="Q1638" s="53" t="n">
        <v>0</v>
      </c>
      <c r="R1638" s="52" t="n">
        <v>0</v>
      </c>
      <c r="S1638" s="51" t="n">
        <v>0</v>
      </c>
      <c r="T1638" s="48" t="n">
        <v>0</v>
      </c>
      <c r="U1638" s="49" t="n">
        <v>0</v>
      </c>
      <c r="V1638" s="49" t="n">
        <v>0</v>
      </c>
      <c r="W1638" s="50" t="n">
        <v>0</v>
      </c>
      <c r="X1638" s="51" t="n">
        <v>0</v>
      </c>
      <c r="Y1638" s="52" t="n">
        <v>0</v>
      </c>
      <c r="Z1638" s="52" t="n">
        <v>0</v>
      </c>
      <c r="AA1638" s="52" t="n">
        <v>0</v>
      </c>
      <c r="AB1638" s="53" t="n">
        <v>0</v>
      </c>
      <c r="AC1638" s="52" t="n">
        <v>0</v>
      </c>
      <c r="AD1638" s="53" t="n">
        <v>0</v>
      </c>
      <c r="AE1638" s="52" t="n">
        <v>0</v>
      </c>
      <c r="AF1638" s="51" t="n">
        <v>0</v>
      </c>
      <c r="AG1638" s="48" t="n">
        <v>0</v>
      </c>
      <c r="AH1638" s="49" t="n">
        <v>0</v>
      </c>
      <c r="AI1638" s="49" t="n">
        <v>0</v>
      </c>
      <c r="AJ1638" s="50" t="n">
        <v>0</v>
      </c>
      <c r="AK1638" s="51" t="n">
        <v>0</v>
      </c>
      <c r="AL1638" s="52" t="n">
        <v>0</v>
      </c>
      <c r="AM1638" s="52" t="n">
        <v>0</v>
      </c>
      <c r="AN1638" s="52" t="n">
        <v>0</v>
      </c>
      <c r="AO1638" s="53" t="n">
        <v>0</v>
      </c>
      <c r="AP1638" s="52" t="n">
        <v>0</v>
      </c>
      <c r="AQ1638" s="53" t="n">
        <v>0</v>
      </c>
      <c r="AR1638" s="52" t="n">
        <v>0</v>
      </c>
      <c r="AS1638" s="51" t="n">
        <v>0</v>
      </c>
      <c r="AT1638" s="48" t="n">
        <v>0</v>
      </c>
      <c r="AU1638" s="49" t="n">
        <v>0</v>
      </c>
      <c r="AV1638" s="49" t="n">
        <v>0</v>
      </c>
      <c r="AW1638" s="50" t="n">
        <v>0</v>
      </c>
      <c r="AX1638" s="51" t="n">
        <v>0</v>
      </c>
      <c r="AY1638" s="52" t="n">
        <v>0</v>
      </c>
      <c r="AZ1638" s="52" t="n">
        <v>0</v>
      </c>
      <c r="BA1638" s="52" t="n">
        <v>0</v>
      </c>
      <c r="BB1638" s="53" t="n">
        <v>0</v>
      </c>
      <c r="BC1638" s="52" t="n">
        <v>0</v>
      </c>
      <c r="BD1638" s="53" t="n">
        <v>0</v>
      </c>
      <c r="BE1638" s="52" t="n">
        <v>0</v>
      </c>
      <c r="BF1638" s="51" t="n">
        <v>0</v>
      </c>
    </row>
    <row r="1639">
      <c r="A1639">
        <f>HYPERLINK("https://www.walmart.com/ip/1103097538", "1103097538")</f>
        <v/>
      </c>
      <c r="B1639" t="inlineStr">
        <is>
          <t>Tirrinia Small Portable Reusable Thermal Insulated Lunch Bag To Keep Your Snacks,Drinks And Meals At A Consistent Temperature For Adult Kids, Space Pattern</t>
        </is>
      </c>
      <c r="C1639" t="inlineStr">
        <is>
          <t>1TRLB100SPACE</t>
        </is>
      </c>
      <c r="D1639" t="inlineStr">
        <is>
          <t>Reusable Lunch Bags &amp; Boxes</t>
        </is>
      </c>
      <c r="E1639" t="inlineStr">
        <is>
          <t>Tirrinia</t>
        </is>
      </c>
      <c r="F1639" t="inlineStr">
        <is>
          <t>Q2-Target,Brand Camp VD,Batch 1 - TR</t>
        </is>
      </c>
      <c r="G1639" s="48" t="n">
        <v>0</v>
      </c>
      <c r="H1639" s="49" t="n">
        <v>0</v>
      </c>
      <c r="I1639" s="49" t="n">
        <v>0</v>
      </c>
      <c r="J1639" s="50" t="n">
        <v>0</v>
      </c>
      <c r="K1639" s="51" t="n">
        <v>0</v>
      </c>
      <c r="L1639" s="52" t="n">
        <v>0</v>
      </c>
      <c r="M1639" s="52" t="n">
        <v>0</v>
      </c>
      <c r="N1639" s="52" t="n">
        <v>0</v>
      </c>
      <c r="O1639" s="53" t="n">
        <v>0</v>
      </c>
      <c r="P1639" s="52" t="n">
        <v>0</v>
      </c>
      <c r="Q1639" s="53" t="n">
        <v>0</v>
      </c>
      <c r="R1639" s="52" t="n">
        <v>0</v>
      </c>
      <c r="S1639" s="51" t="n">
        <v>0</v>
      </c>
      <c r="T1639" s="48" t="n">
        <v>0</v>
      </c>
      <c r="U1639" s="49" t="n">
        <v>0</v>
      </c>
      <c r="V1639" s="49" t="n">
        <v>0</v>
      </c>
      <c r="W1639" s="50" t="n">
        <v>0</v>
      </c>
      <c r="X1639" s="51" t="n">
        <v>0</v>
      </c>
      <c r="Y1639" s="52" t="n">
        <v>0</v>
      </c>
      <c r="Z1639" s="52" t="n">
        <v>0</v>
      </c>
      <c r="AA1639" s="52" t="n">
        <v>0</v>
      </c>
      <c r="AB1639" s="53" t="n">
        <v>0</v>
      </c>
      <c r="AC1639" s="52" t="n">
        <v>0</v>
      </c>
      <c r="AD1639" s="53" t="n">
        <v>0</v>
      </c>
      <c r="AE1639" s="52" t="n">
        <v>0</v>
      </c>
      <c r="AF1639" s="51" t="n">
        <v>0</v>
      </c>
      <c r="AG1639" s="48" t="n">
        <v>9.99</v>
      </c>
      <c r="AH1639" s="49" t="n">
        <v>1</v>
      </c>
      <c r="AI1639" s="49" t="n">
        <v>0</v>
      </c>
      <c r="AJ1639" s="50" t="n">
        <v>0</v>
      </c>
      <c r="AK1639" s="51" t="n">
        <v>0</v>
      </c>
      <c r="AL1639" s="52" t="n">
        <v>0</v>
      </c>
      <c r="AM1639" s="52" t="n">
        <v>0</v>
      </c>
      <c r="AN1639" s="52" t="n">
        <v>0</v>
      </c>
      <c r="AO1639" s="53" t="n">
        <v>0</v>
      </c>
      <c r="AP1639" s="52" t="n">
        <v>0</v>
      </c>
      <c r="AQ1639" s="53" t="n">
        <v>0</v>
      </c>
      <c r="AR1639" s="52" t="n">
        <v>9.99</v>
      </c>
      <c r="AS1639" s="51" t="n">
        <v>0</v>
      </c>
      <c r="AT1639" s="48" t="n">
        <v>0</v>
      </c>
      <c r="AU1639" s="49" t="n">
        <v>0</v>
      </c>
      <c r="AV1639" s="49" t="n">
        <v>0</v>
      </c>
      <c r="AW1639" s="50" t="n">
        <v>0</v>
      </c>
      <c r="AX1639" s="51" t="n">
        <v>0</v>
      </c>
      <c r="AY1639" s="52" t="n">
        <v>0</v>
      </c>
      <c r="AZ1639" s="52" t="n">
        <v>0</v>
      </c>
      <c r="BA1639" s="52" t="n">
        <v>0</v>
      </c>
      <c r="BB1639" s="53" t="n">
        <v>0</v>
      </c>
      <c r="BC1639" s="52" t="n">
        <v>0</v>
      </c>
      <c r="BD1639" s="53" t="n">
        <v>0</v>
      </c>
      <c r="BE1639" s="52" t="n">
        <v>0</v>
      </c>
      <c r="BF1639" s="51" t="n">
        <v>0</v>
      </c>
    </row>
    <row r="1640">
      <c r="A1640">
        <f>HYPERLINK("https://www.walmart.com/ip/110405877", "110405877")</f>
        <v/>
      </c>
      <c r="B1640" t="inlineStr">
        <is>
          <t>Sherpa Wearable Blanket with Sleeves &amp; Foot Pockets for Adult Women Men, Comfy Snuggle Wrap Sleeved Throw Blanket Robe, Gift Idea, Wine</t>
        </is>
      </c>
      <c r="C1640" t="inlineStr">
        <is>
          <t>1CTSN310WN</t>
        </is>
      </c>
      <c r="D1640" t="inlineStr">
        <is>
          <t>Throws</t>
        </is>
      </c>
      <c r="E1640" t="inlineStr">
        <is>
          <t>Catalonia</t>
        </is>
      </c>
      <c r="F1640" t="inlineStr">
        <is>
          <t>Optimized,WFS,WFS Item</t>
        </is>
      </c>
      <c r="G1640" s="48" t="n">
        <v>0</v>
      </c>
      <c r="H1640" s="49" t="n">
        <v>0</v>
      </c>
      <c r="I1640" s="49" t="n">
        <v>0</v>
      </c>
      <c r="J1640" s="50" t="n">
        <v>0</v>
      </c>
      <c r="K1640" s="51" t="n">
        <v>0</v>
      </c>
      <c r="L1640" s="52" t="n">
        <v>0</v>
      </c>
      <c r="M1640" s="52" t="n">
        <v>0</v>
      </c>
      <c r="N1640" s="52" t="n">
        <v>0</v>
      </c>
      <c r="O1640" s="53" t="n">
        <v>0</v>
      </c>
      <c r="P1640" s="52" t="n">
        <v>0</v>
      </c>
      <c r="Q1640" s="53" t="n">
        <v>0</v>
      </c>
      <c r="R1640" s="52" t="n">
        <v>0</v>
      </c>
      <c r="S1640" s="51" t="n">
        <v>0</v>
      </c>
      <c r="T1640" s="48" t="n">
        <v>0</v>
      </c>
      <c r="U1640" s="49" t="n">
        <v>0</v>
      </c>
      <c r="V1640" s="49" t="n">
        <v>0</v>
      </c>
      <c r="W1640" s="50" t="n">
        <v>0</v>
      </c>
      <c r="X1640" s="51" t="n">
        <v>0</v>
      </c>
      <c r="Y1640" s="52" t="n">
        <v>0</v>
      </c>
      <c r="Z1640" s="52" t="n">
        <v>0</v>
      </c>
      <c r="AA1640" s="52" t="n">
        <v>0</v>
      </c>
      <c r="AB1640" s="53" t="n">
        <v>0</v>
      </c>
      <c r="AC1640" s="52" t="n">
        <v>0</v>
      </c>
      <c r="AD1640" s="53" t="n">
        <v>0</v>
      </c>
      <c r="AE1640" s="52" t="n">
        <v>0</v>
      </c>
      <c r="AF1640" s="51" t="n">
        <v>0</v>
      </c>
      <c r="AG1640" s="48" t="n">
        <v>0</v>
      </c>
      <c r="AH1640" s="49" t="n">
        <v>0</v>
      </c>
      <c r="AI1640" s="49" t="n">
        <v>0</v>
      </c>
      <c r="AJ1640" s="50" t="n">
        <v>0</v>
      </c>
      <c r="AK1640" s="51" t="n">
        <v>0</v>
      </c>
      <c r="AL1640" s="52" t="n">
        <v>0</v>
      </c>
      <c r="AM1640" s="52" t="n">
        <v>0</v>
      </c>
      <c r="AN1640" s="52" t="n">
        <v>0</v>
      </c>
      <c r="AO1640" s="53" t="n">
        <v>0</v>
      </c>
      <c r="AP1640" s="52" t="n">
        <v>0</v>
      </c>
      <c r="AQ1640" s="53" t="n">
        <v>0</v>
      </c>
      <c r="AR1640" s="52" t="n">
        <v>0</v>
      </c>
      <c r="AS1640" s="51" t="n">
        <v>0</v>
      </c>
      <c r="AT1640" s="48" t="n">
        <v>0</v>
      </c>
      <c r="AU1640" s="49" t="n">
        <v>0</v>
      </c>
      <c r="AV1640" s="49" t="n">
        <v>0</v>
      </c>
      <c r="AW1640" s="50" t="n">
        <v>0</v>
      </c>
      <c r="AX1640" s="51" t="n">
        <v>0</v>
      </c>
      <c r="AY1640" s="52" t="n">
        <v>0</v>
      </c>
      <c r="AZ1640" s="52" t="n">
        <v>0</v>
      </c>
      <c r="BA1640" s="52" t="n">
        <v>0</v>
      </c>
      <c r="BB1640" s="53" t="n">
        <v>0</v>
      </c>
      <c r="BC1640" s="52" t="n">
        <v>0</v>
      </c>
      <c r="BD1640" s="53" t="n">
        <v>0</v>
      </c>
      <c r="BE1640" s="52" t="n">
        <v>0</v>
      </c>
      <c r="BF1640" s="51" t="n">
        <v>0</v>
      </c>
    </row>
    <row r="1641">
      <c r="A1641">
        <f>HYPERLINK("https://www.walmart.com/ip/110966533", "110966533")</f>
        <v/>
      </c>
      <c r="B1641" t="inlineStr">
        <is>
          <t>KC Caps® Unstructured Low-profile Two-Tone Denim Garment Washed Baseball Cap</t>
        </is>
      </c>
      <c r="C1641" t="inlineStr">
        <is>
          <t>KC8080JEANGY</t>
        </is>
      </c>
      <c r="D1641" t="inlineStr">
        <is>
          <t>Hats</t>
        </is>
      </c>
      <c r="E1641" t="inlineStr">
        <is>
          <t>KC Caps</t>
        </is>
      </c>
      <c r="F1641" t="inlineStr">
        <is>
          <t>Optimized</t>
        </is>
      </c>
      <c r="G1641" s="48" t="n">
        <v>0</v>
      </c>
      <c r="H1641" s="49" t="n">
        <v>0</v>
      </c>
      <c r="I1641" s="49" t="n">
        <v>0</v>
      </c>
      <c r="J1641" s="50" t="n">
        <v>0</v>
      </c>
      <c r="K1641" s="51" t="n">
        <v>0</v>
      </c>
      <c r="L1641" s="52" t="n">
        <v>0</v>
      </c>
      <c r="M1641" s="52" t="n">
        <v>0</v>
      </c>
      <c r="N1641" s="52" t="n">
        <v>0</v>
      </c>
      <c r="O1641" s="53" t="n">
        <v>0</v>
      </c>
      <c r="P1641" s="52" t="n">
        <v>0</v>
      </c>
      <c r="Q1641" s="53" t="n">
        <v>0</v>
      </c>
      <c r="R1641" s="52" t="n">
        <v>0</v>
      </c>
      <c r="S1641" s="51" t="n">
        <v>0</v>
      </c>
      <c r="T1641" s="48" t="n">
        <v>0</v>
      </c>
      <c r="U1641" s="49" t="n">
        <v>0</v>
      </c>
      <c r="V1641" s="49" t="n">
        <v>0</v>
      </c>
      <c r="W1641" s="50" t="n">
        <v>0</v>
      </c>
      <c r="X1641" s="51" t="n">
        <v>0</v>
      </c>
      <c r="Y1641" s="52" t="n">
        <v>0</v>
      </c>
      <c r="Z1641" s="52" t="n">
        <v>0</v>
      </c>
      <c r="AA1641" s="52" t="n">
        <v>0</v>
      </c>
      <c r="AB1641" s="53" t="n">
        <v>0</v>
      </c>
      <c r="AC1641" s="52" t="n">
        <v>0</v>
      </c>
      <c r="AD1641" s="53" t="n">
        <v>0</v>
      </c>
      <c r="AE1641" s="52" t="n">
        <v>0</v>
      </c>
      <c r="AF1641" s="51" t="n">
        <v>0</v>
      </c>
      <c r="AG1641" s="48" t="n">
        <v>0</v>
      </c>
      <c r="AH1641" s="49" t="n">
        <v>0</v>
      </c>
      <c r="AI1641" s="49" t="n">
        <v>0</v>
      </c>
      <c r="AJ1641" s="50" t="n">
        <v>0</v>
      </c>
      <c r="AK1641" s="51" t="n">
        <v>0</v>
      </c>
      <c r="AL1641" s="52" t="n">
        <v>0</v>
      </c>
      <c r="AM1641" s="52" t="n">
        <v>0</v>
      </c>
      <c r="AN1641" s="52" t="n">
        <v>0</v>
      </c>
      <c r="AO1641" s="53" t="n">
        <v>0</v>
      </c>
      <c r="AP1641" s="52" t="n">
        <v>0</v>
      </c>
      <c r="AQ1641" s="53" t="n">
        <v>0</v>
      </c>
      <c r="AR1641" s="52" t="n">
        <v>0</v>
      </c>
      <c r="AS1641" s="51" t="n">
        <v>0</v>
      </c>
      <c r="AT1641" s="48" t="n">
        <v>0</v>
      </c>
      <c r="AU1641" s="49" t="n">
        <v>0</v>
      </c>
      <c r="AV1641" s="49" t="n">
        <v>0</v>
      </c>
      <c r="AW1641" s="50" t="n">
        <v>0</v>
      </c>
      <c r="AX1641" s="51" t="n">
        <v>0</v>
      </c>
      <c r="AY1641" s="52" t="n">
        <v>0</v>
      </c>
      <c r="AZ1641" s="52" t="n">
        <v>0</v>
      </c>
      <c r="BA1641" s="52" t="n">
        <v>0</v>
      </c>
      <c r="BB1641" s="53" t="n">
        <v>0</v>
      </c>
      <c r="BC1641" s="52" t="n">
        <v>0</v>
      </c>
      <c r="BD1641" s="53" t="n">
        <v>0</v>
      </c>
      <c r="BE1641" s="52" t="n">
        <v>0</v>
      </c>
      <c r="BF1641" s="51" t="n">
        <v>0</v>
      </c>
    </row>
    <row r="1642">
      <c r="A1642">
        <f>HYPERLINK("https://www.walmart.com/ip/111065430", "111065430")</f>
        <v/>
      </c>
      <c r="B1642" t="inlineStr">
        <is>
          <t>KC Caps Race Collection Caps with High Quality USA Fag Racing Graphic</t>
        </is>
      </c>
      <c r="C1642" t="inlineStr">
        <is>
          <t>KC-AS09</t>
        </is>
      </c>
      <c r="D1642" t="inlineStr">
        <is>
          <t>Hats</t>
        </is>
      </c>
      <c r="E1642" t="inlineStr">
        <is>
          <t>KC Caps</t>
        </is>
      </c>
      <c r="F1642" t="inlineStr">
        <is>
          <t>Optimized</t>
        </is>
      </c>
      <c r="G1642" s="48" t="n">
        <v>0</v>
      </c>
      <c r="H1642" s="49" t="n">
        <v>0</v>
      </c>
      <c r="I1642" s="49" t="n">
        <v>0</v>
      </c>
      <c r="J1642" s="50" t="n">
        <v>0</v>
      </c>
      <c r="K1642" s="51" t="n">
        <v>0</v>
      </c>
      <c r="L1642" s="52" t="n">
        <v>0</v>
      </c>
      <c r="M1642" s="52" t="n">
        <v>0</v>
      </c>
      <c r="N1642" s="52" t="n">
        <v>0</v>
      </c>
      <c r="O1642" s="53" t="n">
        <v>0</v>
      </c>
      <c r="P1642" s="52" t="n">
        <v>0</v>
      </c>
      <c r="Q1642" s="53" t="n">
        <v>0</v>
      </c>
      <c r="R1642" s="52" t="n">
        <v>0</v>
      </c>
      <c r="S1642" s="51" t="n">
        <v>0</v>
      </c>
      <c r="T1642" s="48" t="n">
        <v>0</v>
      </c>
      <c r="U1642" s="49" t="n">
        <v>0</v>
      </c>
      <c r="V1642" s="49" t="n">
        <v>0</v>
      </c>
      <c r="W1642" s="50" t="n">
        <v>0</v>
      </c>
      <c r="X1642" s="51" t="n">
        <v>0</v>
      </c>
      <c r="Y1642" s="52" t="n">
        <v>0</v>
      </c>
      <c r="Z1642" s="52" t="n">
        <v>0</v>
      </c>
      <c r="AA1642" s="52" t="n">
        <v>0</v>
      </c>
      <c r="AB1642" s="53" t="n">
        <v>0</v>
      </c>
      <c r="AC1642" s="52" t="n">
        <v>0</v>
      </c>
      <c r="AD1642" s="53" t="n">
        <v>0</v>
      </c>
      <c r="AE1642" s="52" t="n">
        <v>0</v>
      </c>
      <c r="AF1642" s="51" t="n">
        <v>0</v>
      </c>
      <c r="AG1642" s="48" t="n">
        <v>0</v>
      </c>
      <c r="AH1642" s="49" t="n">
        <v>0</v>
      </c>
      <c r="AI1642" s="49" t="n">
        <v>0</v>
      </c>
      <c r="AJ1642" s="50" t="n">
        <v>0</v>
      </c>
      <c r="AK1642" s="51" t="n">
        <v>0</v>
      </c>
      <c r="AL1642" s="52" t="n">
        <v>0</v>
      </c>
      <c r="AM1642" s="52" t="n">
        <v>0</v>
      </c>
      <c r="AN1642" s="52" t="n">
        <v>0</v>
      </c>
      <c r="AO1642" s="53" t="n">
        <v>0</v>
      </c>
      <c r="AP1642" s="52" t="n">
        <v>0</v>
      </c>
      <c r="AQ1642" s="53" t="n">
        <v>0</v>
      </c>
      <c r="AR1642" s="52" t="n">
        <v>0</v>
      </c>
      <c r="AS1642" s="51" t="n">
        <v>0</v>
      </c>
      <c r="AT1642" s="48" t="n">
        <v>0</v>
      </c>
      <c r="AU1642" s="49" t="n">
        <v>0</v>
      </c>
      <c r="AV1642" s="49" t="n">
        <v>0</v>
      </c>
      <c r="AW1642" s="50" t="n">
        <v>0</v>
      </c>
      <c r="AX1642" s="51" t="n">
        <v>0</v>
      </c>
      <c r="AY1642" s="52" t="n">
        <v>0</v>
      </c>
      <c r="AZ1642" s="52" t="n">
        <v>0</v>
      </c>
      <c r="BA1642" s="52" t="n">
        <v>0</v>
      </c>
      <c r="BB1642" s="53" t="n">
        <v>0</v>
      </c>
      <c r="BC1642" s="52" t="n">
        <v>0</v>
      </c>
      <c r="BD1642" s="53" t="n">
        <v>0</v>
      </c>
      <c r="BE1642" s="52" t="n">
        <v>0</v>
      </c>
      <c r="BF1642" s="51" t="n">
        <v>0</v>
      </c>
    </row>
    <row r="1643">
      <c r="A1643">
        <f>HYPERLINK("https://www.walmart.com/ip/111109317", "111109317")</f>
        <v/>
      </c>
      <c r="B1643" t="inlineStr">
        <is>
          <t>Jenniwears Women's Sexy Lingerie Lace Mesh 2-Piece Bowknot Halter Chemise with G-String</t>
        </is>
      </c>
      <c r="C1643" t="inlineStr">
        <is>
          <t>JWND03RD</t>
        </is>
      </c>
      <c r="D1643" t="inlineStr">
        <is>
          <t>Lingerie Sets</t>
        </is>
      </c>
      <c r="E1643" t="inlineStr">
        <is>
          <t>JenniWears</t>
        </is>
      </c>
      <c r="F1643" t="inlineStr">
        <is>
          <t>Optimized,Valentine</t>
        </is>
      </c>
      <c r="G1643" s="48" t="n">
        <v>0</v>
      </c>
      <c r="H1643" s="49" t="n">
        <v>0</v>
      </c>
      <c r="I1643" s="49" t="n">
        <v>0</v>
      </c>
      <c r="J1643" s="50" t="n">
        <v>0</v>
      </c>
      <c r="K1643" s="51" t="n">
        <v>0</v>
      </c>
      <c r="L1643" s="52" t="n">
        <v>0</v>
      </c>
      <c r="M1643" s="52" t="n">
        <v>0</v>
      </c>
      <c r="N1643" s="52" t="n">
        <v>0</v>
      </c>
      <c r="O1643" s="53" t="n">
        <v>0</v>
      </c>
      <c r="P1643" s="52" t="n">
        <v>0</v>
      </c>
      <c r="Q1643" s="53" t="n">
        <v>0</v>
      </c>
      <c r="R1643" s="52" t="n">
        <v>0</v>
      </c>
      <c r="S1643" s="51" t="n">
        <v>0</v>
      </c>
      <c r="T1643" s="48" t="n">
        <v>0</v>
      </c>
      <c r="U1643" s="49" t="n">
        <v>0</v>
      </c>
      <c r="V1643" s="49" t="n">
        <v>0</v>
      </c>
      <c r="W1643" s="50" t="n">
        <v>0</v>
      </c>
      <c r="X1643" s="51" t="n">
        <v>0</v>
      </c>
      <c r="Y1643" s="52" t="n">
        <v>0</v>
      </c>
      <c r="Z1643" s="52" t="n">
        <v>0</v>
      </c>
      <c r="AA1643" s="52" t="n">
        <v>0</v>
      </c>
      <c r="AB1643" s="53" t="n">
        <v>0</v>
      </c>
      <c r="AC1643" s="52" t="n">
        <v>0</v>
      </c>
      <c r="AD1643" s="53" t="n">
        <v>0</v>
      </c>
      <c r="AE1643" s="52" t="n">
        <v>0</v>
      </c>
      <c r="AF1643" s="51" t="n">
        <v>0</v>
      </c>
      <c r="AG1643" s="48" t="n">
        <v>0</v>
      </c>
      <c r="AH1643" s="49" t="n">
        <v>0</v>
      </c>
      <c r="AI1643" s="49" t="n">
        <v>0</v>
      </c>
      <c r="AJ1643" s="50" t="n">
        <v>0</v>
      </c>
      <c r="AK1643" s="51" t="n">
        <v>0</v>
      </c>
      <c r="AL1643" s="52" t="n">
        <v>0</v>
      </c>
      <c r="AM1643" s="52" t="n">
        <v>0</v>
      </c>
      <c r="AN1643" s="52" t="n">
        <v>0</v>
      </c>
      <c r="AO1643" s="53" t="n">
        <v>0</v>
      </c>
      <c r="AP1643" s="52" t="n">
        <v>0</v>
      </c>
      <c r="AQ1643" s="53" t="n">
        <v>0</v>
      </c>
      <c r="AR1643" s="52" t="n">
        <v>0</v>
      </c>
      <c r="AS1643" s="51" t="n">
        <v>0</v>
      </c>
      <c r="AT1643" s="48" t="n">
        <v>0</v>
      </c>
      <c r="AU1643" s="49" t="n">
        <v>0</v>
      </c>
      <c r="AV1643" s="49" t="n">
        <v>0</v>
      </c>
      <c r="AW1643" s="50" t="n">
        <v>0</v>
      </c>
      <c r="AX1643" s="51" t="n">
        <v>0</v>
      </c>
      <c r="AY1643" s="52" t="n">
        <v>0</v>
      </c>
      <c r="AZ1643" s="52" t="n">
        <v>0</v>
      </c>
      <c r="BA1643" s="52" t="n">
        <v>0</v>
      </c>
      <c r="BB1643" s="53" t="n">
        <v>0</v>
      </c>
      <c r="BC1643" s="52" t="n">
        <v>0</v>
      </c>
      <c r="BD1643" s="53" t="n">
        <v>0</v>
      </c>
      <c r="BE1643" s="52" t="n">
        <v>0</v>
      </c>
      <c r="BF1643" s="51" t="n">
        <v>0</v>
      </c>
    </row>
    <row r="1644">
      <c r="A1644">
        <f>HYPERLINK("https://www.walmart.com/ip/111128114", "111128114")</f>
        <v/>
      </c>
      <c r="B1644" t="inlineStr">
        <is>
          <t>JenniWears® Women's Sexy Lace Nightgown Sleepwear Bathrobe 2 Piece Set</t>
        </is>
      </c>
      <c r="C1644" t="inlineStr">
        <is>
          <t>JWRS02RD-M</t>
        </is>
      </c>
      <c r="D1644" t="inlineStr">
        <is>
          <t>Nightgowns &amp; Sleepshirts</t>
        </is>
      </c>
      <c r="E1644" t="inlineStr">
        <is>
          <t>JenniWears</t>
        </is>
      </c>
      <c r="F1644" t="inlineStr">
        <is>
          <t>Optimized,Valentine,Bathrobe</t>
        </is>
      </c>
      <c r="G1644" s="48" t="n">
        <v>0</v>
      </c>
      <c r="H1644" s="49" t="n">
        <v>0</v>
      </c>
      <c r="I1644" s="49" t="n">
        <v>0</v>
      </c>
      <c r="J1644" s="50" t="n">
        <v>0</v>
      </c>
      <c r="K1644" s="51" t="n">
        <v>0</v>
      </c>
      <c r="L1644" s="52" t="n">
        <v>0</v>
      </c>
      <c r="M1644" s="52" t="n">
        <v>0</v>
      </c>
      <c r="N1644" s="52" t="n">
        <v>0</v>
      </c>
      <c r="O1644" s="53" t="n">
        <v>0</v>
      </c>
      <c r="P1644" s="52" t="n">
        <v>0</v>
      </c>
      <c r="Q1644" s="53" t="n">
        <v>0</v>
      </c>
      <c r="R1644" s="52" t="n">
        <v>0</v>
      </c>
      <c r="S1644" s="51" t="n">
        <v>0</v>
      </c>
      <c r="T1644" s="48" t="n">
        <v>0</v>
      </c>
      <c r="U1644" s="49" t="n">
        <v>0</v>
      </c>
      <c r="V1644" s="49" t="n">
        <v>0</v>
      </c>
      <c r="W1644" s="50" t="n">
        <v>0</v>
      </c>
      <c r="X1644" s="51" t="n">
        <v>0</v>
      </c>
      <c r="Y1644" s="52" t="n">
        <v>0</v>
      </c>
      <c r="Z1644" s="52" t="n">
        <v>0</v>
      </c>
      <c r="AA1644" s="52" t="n">
        <v>0</v>
      </c>
      <c r="AB1644" s="53" t="n">
        <v>0</v>
      </c>
      <c r="AC1644" s="52" t="n">
        <v>0</v>
      </c>
      <c r="AD1644" s="53" t="n">
        <v>0</v>
      </c>
      <c r="AE1644" s="52" t="n">
        <v>0</v>
      </c>
      <c r="AF1644" s="51" t="n">
        <v>0</v>
      </c>
      <c r="AG1644" s="48" t="n">
        <v>0</v>
      </c>
      <c r="AH1644" s="49" t="n">
        <v>0</v>
      </c>
      <c r="AI1644" s="49" t="n">
        <v>0</v>
      </c>
      <c r="AJ1644" s="50" t="n">
        <v>0</v>
      </c>
      <c r="AK1644" s="51" t="n">
        <v>0</v>
      </c>
      <c r="AL1644" s="52" t="n">
        <v>0</v>
      </c>
      <c r="AM1644" s="52" t="n">
        <v>0</v>
      </c>
      <c r="AN1644" s="52" t="n">
        <v>0</v>
      </c>
      <c r="AO1644" s="53" t="n">
        <v>0</v>
      </c>
      <c r="AP1644" s="52" t="n">
        <v>0</v>
      </c>
      <c r="AQ1644" s="53" t="n">
        <v>0</v>
      </c>
      <c r="AR1644" s="52" t="n">
        <v>0</v>
      </c>
      <c r="AS1644" s="51" t="n">
        <v>0</v>
      </c>
      <c r="AT1644" s="48" t="n">
        <v>0</v>
      </c>
      <c r="AU1644" s="49" t="n">
        <v>0</v>
      </c>
      <c r="AV1644" s="49" t="n">
        <v>0</v>
      </c>
      <c r="AW1644" s="50" t="n">
        <v>0</v>
      </c>
      <c r="AX1644" s="51" t="n">
        <v>0</v>
      </c>
      <c r="AY1644" s="52" t="n">
        <v>0</v>
      </c>
      <c r="AZ1644" s="52" t="n">
        <v>0</v>
      </c>
      <c r="BA1644" s="52" t="n">
        <v>0</v>
      </c>
      <c r="BB1644" s="53" t="n">
        <v>0</v>
      </c>
      <c r="BC1644" s="52" t="n">
        <v>0</v>
      </c>
      <c r="BD1644" s="53" t="n">
        <v>0</v>
      </c>
      <c r="BE1644" s="52" t="n">
        <v>0</v>
      </c>
      <c r="BF1644" s="51" t="n">
        <v>0</v>
      </c>
    </row>
    <row r="1645">
      <c r="A1645">
        <f>HYPERLINK("https://www.walmart.com/ip/113817246", "113817246")</f>
        <v/>
      </c>
      <c r="B1645" t="inlineStr">
        <is>
          <t>KC Caps Unisex Adjustable Snap Closure USA Flag Embroidered Cap Hat</t>
        </is>
      </c>
      <c r="C1645" t="inlineStr">
        <is>
          <t>kc-ae-6100-ry</t>
        </is>
      </c>
      <c r="D1645" t="inlineStr">
        <is>
          <t>Hats</t>
        </is>
      </c>
      <c r="E1645" t="inlineStr">
        <is>
          <t>KC Caps</t>
        </is>
      </c>
      <c r="F1645" t="inlineStr">
        <is>
          <t>Optimized</t>
        </is>
      </c>
      <c r="G1645" s="48" t="n">
        <v>0</v>
      </c>
      <c r="H1645" s="49" t="n">
        <v>0</v>
      </c>
      <c r="I1645" s="49" t="n">
        <v>0</v>
      </c>
      <c r="J1645" s="50" t="n">
        <v>0</v>
      </c>
      <c r="K1645" s="51" t="n">
        <v>0</v>
      </c>
      <c r="L1645" s="52" t="n">
        <v>0</v>
      </c>
      <c r="M1645" s="52" t="n">
        <v>0</v>
      </c>
      <c r="N1645" s="52" t="n">
        <v>0</v>
      </c>
      <c r="O1645" s="53" t="n">
        <v>0</v>
      </c>
      <c r="P1645" s="52" t="n">
        <v>0</v>
      </c>
      <c r="Q1645" s="53" t="n">
        <v>0</v>
      </c>
      <c r="R1645" s="52" t="n">
        <v>0</v>
      </c>
      <c r="S1645" s="51" t="n">
        <v>0</v>
      </c>
      <c r="T1645" s="48" t="n">
        <v>0</v>
      </c>
      <c r="U1645" s="49" t="n">
        <v>0</v>
      </c>
      <c r="V1645" s="49" t="n">
        <v>0</v>
      </c>
      <c r="W1645" s="50" t="n">
        <v>0</v>
      </c>
      <c r="X1645" s="51" t="n">
        <v>0</v>
      </c>
      <c r="Y1645" s="52" t="n">
        <v>0</v>
      </c>
      <c r="Z1645" s="52" t="n">
        <v>0</v>
      </c>
      <c r="AA1645" s="52" t="n">
        <v>0</v>
      </c>
      <c r="AB1645" s="53" t="n">
        <v>0</v>
      </c>
      <c r="AC1645" s="52" t="n">
        <v>0</v>
      </c>
      <c r="AD1645" s="53" t="n">
        <v>0</v>
      </c>
      <c r="AE1645" s="52" t="n">
        <v>0</v>
      </c>
      <c r="AF1645" s="51" t="n">
        <v>0</v>
      </c>
      <c r="AG1645" s="48" t="n">
        <v>0</v>
      </c>
      <c r="AH1645" s="49" t="n">
        <v>0</v>
      </c>
      <c r="AI1645" s="49" t="n">
        <v>0</v>
      </c>
      <c r="AJ1645" s="50" t="n">
        <v>0</v>
      </c>
      <c r="AK1645" s="51" t="n">
        <v>0</v>
      </c>
      <c r="AL1645" s="52" t="n">
        <v>0</v>
      </c>
      <c r="AM1645" s="52" t="n">
        <v>0</v>
      </c>
      <c r="AN1645" s="52" t="n">
        <v>0</v>
      </c>
      <c r="AO1645" s="53" t="n">
        <v>0</v>
      </c>
      <c r="AP1645" s="52" t="n">
        <v>0</v>
      </c>
      <c r="AQ1645" s="53" t="n">
        <v>0</v>
      </c>
      <c r="AR1645" s="52" t="n">
        <v>0</v>
      </c>
      <c r="AS1645" s="51" t="n">
        <v>0</v>
      </c>
      <c r="AT1645" s="48" t="n">
        <v>0</v>
      </c>
      <c r="AU1645" s="49" t="n">
        <v>0</v>
      </c>
      <c r="AV1645" s="49" t="n">
        <v>0</v>
      </c>
      <c r="AW1645" s="50" t="n">
        <v>0</v>
      </c>
      <c r="AX1645" s="51" t="n">
        <v>0</v>
      </c>
      <c r="AY1645" s="52" t="n">
        <v>0</v>
      </c>
      <c r="AZ1645" s="52" t="n">
        <v>0</v>
      </c>
      <c r="BA1645" s="52" t="n">
        <v>0</v>
      </c>
      <c r="BB1645" s="53" t="n">
        <v>0</v>
      </c>
      <c r="BC1645" s="52" t="n">
        <v>0</v>
      </c>
      <c r="BD1645" s="53" t="n">
        <v>0</v>
      </c>
      <c r="BE1645" s="52" t="n">
        <v>0</v>
      </c>
      <c r="BF1645" s="51" t="n">
        <v>0</v>
      </c>
    </row>
    <row r="1646">
      <c r="A1646">
        <f>HYPERLINK("https://www.walmart.com/ip/1140481665", "1140481665")</f>
        <v/>
      </c>
      <c r="B1646" t="inlineStr">
        <is>
          <t>Sun Visor Sports Cotton Twill Plain Hat with Adjustable Strap for Men Women Outdoor Golf Tennis Running Jogging Hiking</t>
        </is>
      </c>
      <c r="C1646" t="inlineStr">
        <is>
          <t>1SLVS4130RD</t>
        </is>
      </c>
      <c r="D1646" t="inlineStr">
        <is>
          <t>Tennis Visors</t>
        </is>
      </c>
      <c r="E1646" t="inlineStr">
        <is>
          <t>Solaris</t>
        </is>
      </c>
      <c r="G1646" s="48" t="n">
        <v>0</v>
      </c>
      <c r="H1646" s="49" t="n">
        <v>0</v>
      </c>
      <c r="I1646" s="49" t="n">
        <v>0</v>
      </c>
      <c r="J1646" s="50" t="n">
        <v>0</v>
      </c>
      <c r="K1646" s="51" t="n">
        <v>0</v>
      </c>
      <c r="L1646" s="52" t="n">
        <v>0</v>
      </c>
      <c r="M1646" s="52" t="n">
        <v>0</v>
      </c>
      <c r="N1646" s="52" t="n">
        <v>0</v>
      </c>
      <c r="O1646" s="53" t="n">
        <v>0</v>
      </c>
      <c r="P1646" s="52" t="n">
        <v>0</v>
      </c>
      <c r="Q1646" s="53" t="n">
        <v>0</v>
      </c>
      <c r="R1646" s="52" t="n">
        <v>0</v>
      </c>
      <c r="S1646" s="51" t="n">
        <v>0</v>
      </c>
      <c r="T1646" s="48" t="n">
        <v>0</v>
      </c>
      <c r="U1646" s="49" t="n">
        <v>0</v>
      </c>
      <c r="V1646" s="49" t="n">
        <v>0</v>
      </c>
      <c r="W1646" s="50" t="n">
        <v>0</v>
      </c>
      <c r="X1646" s="51" t="n">
        <v>0</v>
      </c>
      <c r="Y1646" s="52" t="n">
        <v>0</v>
      </c>
      <c r="Z1646" s="52" t="n">
        <v>0</v>
      </c>
      <c r="AA1646" s="52" t="n">
        <v>0</v>
      </c>
      <c r="AB1646" s="53" t="n">
        <v>0</v>
      </c>
      <c r="AC1646" s="52" t="n">
        <v>0</v>
      </c>
      <c r="AD1646" s="53" t="n">
        <v>0</v>
      </c>
      <c r="AE1646" s="52" t="n">
        <v>0</v>
      </c>
      <c r="AF1646" s="51" t="n">
        <v>0</v>
      </c>
      <c r="AG1646" s="48" t="n">
        <v>0</v>
      </c>
      <c r="AH1646" s="49" t="n">
        <v>0</v>
      </c>
      <c r="AI1646" s="49" t="n">
        <v>0</v>
      </c>
      <c r="AJ1646" s="50" t="n">
        <v>0</v>
      </c>
      <c r="AK1646" s="51" t="n">
        <v>0</v>
      </c>
      <c r="AL1646" s="52" t="n">
        <v>0</v>
      </c>
      <c r="AM1646" s="52" t="n">
        <v>0</v>
      </c>
      <c r="AN1646" s="52" t="n">
        <v>0</v>
      </c>
      <c r="AO1646" s="53" t="n">
        <v>0</v>
      </c>
      <c r="AP1646" s="52" t="n">
        <v>0</v>
      </c>
      <c r="AQ1646" s="53" t="n">
        <v>0</v>
      </c>
      <c r="AR1646" s="52" t="n">
        <v>0</v>
      </c>
      <c r="AS1646" s="51" t="n">
        <v>0</v>
      </c>
      <c r="AT1646" s="48" t="n">
        <v>0</v>
      </c>
      <c r="AU1646" s="49" t="n">
        <v>0</v>
      </c>
      <c r="AV1646" s="49" t="n">
        <v>0</v>
      </c>
      <c r="AW1646" s="50" t="n">
        <v>0</v>
      </c>
      <c r="AX1646" s="51" t="n">
        <v>0</v>
      </c>
      <c r="AY1646" s="52" t="n">
        <v>0</v>
      </c>
      <c r="AZ1646" s="52" t="n">
        <v>0</v>
      </c>
      <c r="BA1646" s="52" t="n">
        <v>0</v>
      </c>
      <c r="BB1646" s="53" t="n">
        <v>0</v>
      </c>
      <c r="BC1646" s="52" t="n">
        <v>0</v>
      </c>
      <c r="BD1646" s="53" t="n">
        <v>0</v>
      </c>
      <c r="BE1646" s="52" t="n">
        <v>0</v>
      </c>
      <c r="BF1646" s="51" t="n">
        <v>0</v>
      </c>
    </row>
    <row r="1647">
      <c r="A1647">
        <f>HYPERLINK("https://www.walmart.com/ip/1081547339", "1081547339")</f>
        <v/>
      </c>
      <c r="B1647" t="inlineStr">
        <is>
          <t>Tirrinia Wearable Blanket with Foot Pockets for Women Men | Zippered Front Pocket | Super Soft &amp; Cozy Fleece Throw Snuggie for Adults, One Size Fits All, No Sleeve Travel Blanket, Light Grey</t>
        </is>
      </c>
      <c r="C1647" t="inlineStr">
        <is>
          <t>1TRTB102LG</t>
        </is>
      </c>
      <c r="D1647" t="inlineStr">
        <is>
          <t>Throws</t>
        </is>
      </c>
      <c r="E1647" t="inlineStr">
        <is>
          <t>Tirrinia</t>
        </is>
      </c>
      <c r="F1647" t="inlineStr">
        <is>
          <t>Q2-Target</t>
        </is>
      </c>
      <c r="G1647" s="48" t="n">
        <v>0</v>
      </c>
      <c r="H1647" s="49" t="n">
        <v>0</v>
      </c>
      <c r="I1647" s="49" t="n">
        <v>0</v>
      </c>
      <c r="J1647" s="50" t="n">
        <v>0</v>
      </c>
      <c r="K1647" s="51" t="n">
        <v>0</v>
      </c>
      <c r="L1647" s="52" t="n">
        <v>0</v>
      </c>
      <c r="M1647" s="52" t="n">
        <v>0</v>
      </c>
      <c r="N1647" s="52" t="n">
        <v>0</v>
      </c>
      <c r="O1647" s="53" t="n">
        <v>0</v>
      </c>
      <c r="P1647" s="52" t="n">
        <v>0</v>
      </c>
      <c r="Q1647" s="53" t="n">
        <v>0</v>
      </c>
      <c r="R1647" s="52" t="n">
        <v>0</v>
      </c>
      <c r="S1647" s="51" t="n">
        <v>0</v>
      </c>
      <c r="T1647" s="48" t="n">
        <v>0</v>
      </c>
      <c r="U1647" s="49" t="n">
        <v>0</v>
      </c>
      <c r="V1647" s="49" t="n">
        <v>0</v>
      </c>
      <c r="W1647" s="50" t="n">
        <v>0</v>
      </c>
      <c r="X1647" s="51" t="n">
        <v>0</v>
      </c>
      <c r="Y1647" s="52" t="n">
        <v>0</v>
      </c>
      <c r="Z1647" s="52" t="n">
        <v>0</v>
      </c>
      <c r="AA1647" s="52" t="n">
        <v>0</v>
      </c>
      <c r="AB1647" s="53" t="n">
        <v>0</v>
      </c>
      <c r="AC1647" s="52" t="n">
        <v>0</v>
      </c>
      <c r="AD1647" s="53" t="n">
        <v>0</v>
      </c>
      <c r="AE1647" s="52" t="n">
        <v>0</v>
      </c>
      <c r="AF1647" s="51" t="n">
        <v>0</v>
      </c>
      <c r="AG1647" s="48" t="n">
        <v>0</v>
      </c>
      <c r="AH1647" s="49" t="n">
        <v>0</v>
      </c>
      <c r="AI1647" s="49" t="n">
        <v>0</v>
      </c>
      <c r="AJ1647" s="50" t="n">
        <v>0</v>
      </c>
      <c r="AK1647" s="51" t="n">
        <v>0</v>
      </c>
      <c r="AL1647" s="52" t="n">
        <v>0</v>
      </c>
      <c r="AM1647" s="52" t="n">
        <v>0</v>
      </c>
      <c r="AN1647" s="52" t="n">
        <v>0</v>
      </c>
      <c r="AO1647" s="53" t="n">
        <v>0</v>
      </c>
      <c r="AP1647" s="52" t="n">
        <v>0</v>
      </c>
      <c r="AQ1647" s="53" t="n">
        <v>0</v>
      </c>
      <c r="AR1647" s="52" t="n">
        <v>0</v>
      </c>
      <c r="AS1647" s="51" t="n">
        <v>0</v>
      </c>
      <c r="AT1647" s="48" t="n">
        <v>0</v>
      </c>
      <c r="AU1647" s="49" t="n">
        <v>0</v>
      </c>
      <c r="AV1647" s="49" t="n">
        <v>0</v>
      </c>
      <c r="AW1647" s="50" t="n">
        <v>0</v>
      </c>
      <c r="AX1647" s="51" t="n">
        <v>0</v>
      </c>
      <c r="AY1647" s="52" t="n">
        <v>0</v>
      </c>
      <c r="AZ1647" s="52" t="n">
        <v>0</v>
      </c>
      <c r="BA1647" s="52" t="n">
        <v>0</v>
      </c>
      <c r="BB1647" s="53" t="n">
        <v>0</v>
      </c>
      <c r="BC1647" s="52" t="n">
        <v>0</v>
      </c>
      <c r="BD1647" s="53" t="n">
        <v>0</v>
      </c>
      <c r="BE1647" s="52" t="n">
        <v>0</v>
      </c>
      <c r="BF1647" s="51" t="n">
        <v>0</v>
      </c>
    </row>
    <row r="1648">
      <c r="A1648">
        <f>HYPERLINK("https://www.walmart.com/ip/116992042", "116992042")</f>
        <v/>
      </c>
      <c r="B1648" t="inlineStr">
        <is>
          <t>100% Polar Fleece Skull Cap Warm and Cozy Beanie</t>
        </is>
      </c>
      <c r="C1648" t="inlineStr">
        <is>
          <t>1SLW1810GN-FSCB</t>
        </is>
      </c>
      <c r="D1648" t="inlineStr">
        <is>
          <t>Hats</t>
        </is>
      </c>
      <c r="E1648" t="inlineStr">
        <is>
          <t>Solaris</t>
        </is>
      </c>
      <c r="F1648" t="inlineStr">
        <is>
          <t>ST Patrick Day</t>
        </is>
      </c>
      <c r="G1648" s="48" t="n">
        <v>0</v>
      </c>
      <c r="H1648" s="49" t="n">
        <v>0</v>
      </c>
      <c r="I1648" s="49" t="n">
        <v>0</v>
      </c>
      <c r="J1648" s="50" t="n">
        <v>0</v>
      </c>
      <c r="K1648" s="51" t="n">
        <v>0</v>
      </c>
      <c r="L1648" s="52" t="n">
        <v>0</v>
      </c>
      <c r="M1648" s="52" t="n">
        <v>0</v>
      </c>
      <c r="N1648" s="52" t="n">
        <v>0</v>
      </c>
      <c r="O1648" s="53" t="n">
        <v>0</v>
      </c>
      <c r="P1648" s="52" t="n">
        <v>0</v>
      </c>
      <c r="Q1648" s="53" t="n">
        <v>0</v>
      </c>
      <c r="R1648" s="52" t="n">
        <v>0</v>
      </c>
      <c r="S1648" s="51" t="n">
        <v>0</v>
      </c>
      <c r="T1648" s="48" t="n">
        <v>0</v>
      </c>
      <c r="U1648" s="49" t="n">
        <v>0</v>
      </c>
      <c r="V1648" s="49" t="n">
        <v>0</v>
      </c>
      <c r="W1648" s="50" t="n">
        <v>0</v>
      </c>
      <c r="X1648" s="51" t="n">
        <v>0</v>
      </c>
      <c r="Y1648" s="52" t="n">
        <v>0</v>
      </c>
      <c r="Z1648" s="52" t="n">
        <v>0</v>
      </c>
      <c r="AA1648" s="52" t="n">
        <v>0</v>
      </c>
      <c r="AB1648" s="53" t="n">
        <v>0</v>
      </c>
      <c r="AC1648" s="52" t="n">
        <v>0</v>
      </c>
      <c r="AD1648" s="53" t="n">
        <v>0</v>
      </c>
      <c r="AE1648" s="52" t="n">
        <v>0</v>
      </c>
      <c r="AF1648" s="51" t="n">
        <v>0</v>
      </c>
      <c r="AG1648" s="48" t="n">
        <v>0</v>
      </c>
      <c r="AH1648" s="49" t="n">
        <v>0</v>
      </c>
      <c r="AI1648" s="49" t="n">
        <v>0</v>
      </c>
      <c r="AJ1648" s="50" t="n">
        <v>0</v>
      </c>
      <c r="AK1648" s="51" t="n">
        <v>0</v>
      </c>
      <c r="AL1648" s="52" t="n">
        <v>0</v>
      </c>
      <c r="AM1648" s="52" t="n">
        <v>0</v>
      </c>
      <c r="AN1648" s="52" t="n">
        <v>0</v>
      </c>
      <c r="AO1648" s="53" t="n">
        <v>0</v>
      </c>
      <c r="AP1648" s="52" t="n">
        <v>0</v>
      </c>
      <c r="AQ1648" s="53" t="n">
        <v>0</v>
      </c>
      <c r="AR1648" s="52" t="n">
        <v>0</v>
      </c>
      <c r="AS1648" s="51" t="n">
        <v>0</v>
      </c>
      <c r="AT1648" s="48" t="n">
        <v>0</v>
      </c>
      <c r="AU1648" s="49" t="n">
        <v>0</v>
      </c>
      <c r="AV1648" s="49" t="n">
        <v>0</v>
      </c>
      <c r="AW1648" s="50" t="n">
        <v>0</v>
      </c>
      <c r="AX1648" s="51" t="n">
        <v>0</v>
      </c>
      <c r="AY1648" s="52" t="n">
        <v>0</v>
      </c>
      <c r="AZ1648" s="52" t="n">
        <v>0</v>
      </c>
      <c r="BA1648" s="52" t="n">
        <v>0</v>
      </c>
      <c r="BB1648" s="53" t="n">
        <v>0</v>
      </c>
      <c r="BC1648" s="52" t="n">
        <v>0</v>
      </c>
      <c r="BD1648" s="53" t="n">
        <v>0</v>
      </c>
      <c r="BE1648" s="52" t="n">
        <v>0</v>
      </c>
      <c r="BF1648" s="51" t="n">
        <v>0</v>
      </c>
    </row>
    <row r="1649">
      <c r="A1649">
        <f>HYPERLINK("https://www.walmart.com/ip/117134027", "117134027")</f>
        <v/>
      </c>
      <c r="B1649" t="inlineStr">
        <is>
          <t>Terra Faux Fur Pom Pom Beanie Hat Slouchy Solid Plain Knit Unisex Stretches to Fit Most</t>
        </is>
      </c>
      <c r="C1649" t="inlineStr">
        <is>
          <t>TERRAPPH03PK</t>
        </is>
      </c>
      <c r="D1649" t="inlineStr">
        <is>
          <t>Hats</t>
        </is>
      </c>
      <c r="E1649" t="inlineStr">
        <is>
          <t>Terra</t>
        </is>
      </c>
      <c r="F1649" t="inlineStr">
        <is>
          <t>Batch 1 - TR</t>
        </is>
      </c>
      <c r="G1649" s="48" t="n">
        <v>0</v>
      </c>
      <c r="H1649" s="49" t="n">
        <v>0</v>
      </c>
      <c r="I1649" s="49" t="n">
        <v>0</v>
      </c>
      <c r="J1649" s="50" t="n">
        <v>0</v>
      </c>
      <c r="K1649" s="51" t="n">
        <v>0</v>
      </c>
      <c r="L1649" s="52" t="n">
        <v>0</v>
      </c>
      <c r="M1649" s="52" t="n">
        <v>0</v>
      </c>
      <c r="N1649" s="52" t="n">
        <v>0</v>
      </c>
      <c r="O1649" s="53" t="n">
        <v>0</v>
      </c>
      <c r="P1649" s="52" t="n">
        <v>0</v>
      </c>
      <c r="Q1649" s="53" t="n">
        <v>0</v>
      </c>
      <c r="R1649" s="52" t="n">
        <v>0</v>
      </c>
      <c r="S1649" s="51" t="n">
        <v>0</v>
      </c>
      <c r="T1649" s="48" t="n">
        <v>0</v>
      </c>
      <c r="U1649" s="49" t="n">
        <v>0</v>
      </c>
      <c r="V1649" s="49" t="n">
        <v>0</v>
      </c>
      <c r="W1649" s="50" t="n">
        <v>0</v>
      </c>
      <c r="X1649" s="51" t="n">
        <v>0</v>
      </c>
      <c r="Y1649" s="52" t="n">
        <v>0</v>
      </c>
      <c r="Z1649" s="52" t="n">
        <v>0</v>
      </c>
      <c r="AA1649" s="52" t="n">
        <v>0</v>
      </c>
      <c r="AB1649" s="53" t="n">
        <v>0</v>
      </c>
      <c r="AC1649" s="52" t="n">
        <v>0</v>
      </c>
      <c r="AD1649" s="53" t="n">
        <v>0</v>
      </c>
      <c r="AE1649" s="52" t="n">
        <v>0</v>
      </c>
      <c r="AF1649" s="51" t="n">
        <v>0</v>
      </c>
      <c r="AG1649" s="48" t="n">
        <v>0</v>
      </c>
      <c r="AH1649" s="49" t="n">
        <v>0</v>
      </c>
      <c r="AI1649" s="49" t="n">
        <v>0</v>
      </c>
      <c r="AJ1649" s="50" t="n">
        <v>0</v>
      </c>
      <c r="AK1649" s="51" t="n">
        <v>0</v>
      </c>
      <c r="AL1649" s="52" t="n">
        <v>0</v>
      </c>
      <c r="AM1649" s="52" t="n">
        <v>0</v>
      </c>
      <c r="AN1649" s="52" t="n">
        <v>0</v>
      </c>
      <c r="AO1649" s="53" t="n">
        <v>0</v>
      </c>
      <c r="AP1649" s="52" t="n">
        <v>0</v>
      </c>
      <c r="AQ1649" s="53" t="n">
        <v>0</v>
      </c>
      <c r="AR1649" s="52" t="n">
        <v>0</v>
      </c>
      <c r="AS1649" s="51" t="n">
        <v>0</v>
      </c>
      <c r="AT1649" s="48" t="n">
        <v>0</v>
      </c>
      <c r="AU1649" s="49" t="n">
        <v>0</v>
      </c>
      <c r="AV1649" s="49" t="n">
        <v>0</v>
      </c>
      <c r="AW1649" s="50" t="n">
        <v>0</v>
      </c>
      <c r="AX1649" s="51" t="n">
        <v>0</v>
      </c>
      <c r="AY1649" s="52" t="n">
        <v>0</v>
      </c>
      <c r="AZ1649" s="52" t="n">
        <v>0</v>
      </c>
      <c r="BA1649" s="52" t="n">
        <v>0</v>
      </c>
      <c r="BB1649" s="53" t="n">
        <v>0</v>
      </c>
      <c r="BC1649" s="52" t="n">
        <v>0</v>
      </c>
      <c r="BD1649" s="53" t="n">
        <v>0</v>
      </c>
      <c r="BE1649" s="52" t="n">
        <v>0</v>
      </c>
      <c r="BF1649" s="51" t="n">
        <v>0</v>
      </c>
    </row>
    <row r="1650">
      <c r="A1650">
        <f>HYPERLINK("https://www.walmart.com/ip/1171855060", "1171855060")</f>
        <v/>
      </c>
      <c r="B1650" t="inlineStr">
        <is>
          <t>Wrangler Men’s Leather Country Casual Every Day Dress Belt for Jeans, Khakis Black 38</t>
        </is>
      </c>
      <c r="C1650" t="inlineStr">
        <is>
          <t>WR-BELT-MENS-COUNTRY-BLACK-38</t>
        </is>
      </c>
      <c r="D1650" t="inlineStr">
        <is>
          <t>Belts</t>
        </is>
      </c>
      <c r="E1650" t="inlineStr">
        <is>
          <t>Wrangler</t>
        </is>
      </c>
      <c r="F1650" t="inlineStr">
        <is>
          <t>Belts</t>
        </is>
      </c>
      <c r="G1650" s="48" t="n">
        <v>0</v>
      </c>
      <c r="H1650" s="49" t="n">
        <v>0</v>
      </c>
      <c r="I1650" s="49" t="n">
        <v>10</v>
      </c>
      <c r="J1650" s="50" t="n">
        <v>0</v>
      </c>
      <c r="K1650" s="51" t="n">
        <v>0</v>
      </c>
      <c r="L1650" s="52" t="n">
        <v>0</v>
      </c>
      <c r="M1650" s="52" t="n">
        <v>0</v>
      </c>
      <c r="N1650" s="52" t="n">
        <v>0</v>
      </c>
      <c r="O1650" s="53" t="n">
        <v>0</v>
      </c>
      <c r="P1650" s="52" t="n">
        <v>0</v>
      </c>
      <c r="Q1650" s="53" t="n">
        <v>0</v>
      </c>
      <c r="R1650" s="52" t="n">
        <v>0</v>
      </c>
      <c r="S1650" s="51" t="n">
        <v>0</v>
      </c>
      <c r="T1650" s="48" t="n">
        <v>19.99</v>
      </c>
      <c r="U1650" s="49" t="n">
        <v>1</v>
      </c>
      <c r="V1650" s="49" t="n">
        <v>10</v>
      </c>
      <c r="W1650" s="50" t="n">
        <v>0.1</v>
      </c>
      <c r="X1650" s="51" t="n">
        <v>0</v>
      </c>
      <c r="Y1650" s="52" t="n">
        <v>0</v>
      </c>
      <c r="Z1650" s="52" t="n">
        <v>0</v>
      </c>
      <c r="AA1650" s="52" t="n">
        <v>0</v>
      </c>
      <c r="AB1650" s="53" t="n">
        <v>0</v>
      </c>
      <c r="AC1650" s="52" t="n">
        <v>0</v>
      </c>
      <c r="AD1650" s="53" t="n">
        <v>0</v>
      </c>
      <c r="AE1650" s="52" t="n">
        <v>19.99</v>
      </c>
      <c r="AF1650" s="51" t="n">
        <v>0</v>
      </c>
      <c r="AG1650" s="48" t="n">
        <v>59.97</v>
      </c>
      <c r="AH1650" s="49" t="n">
        <v>3</v>
      </c>
      <c r="AI1650" s="49" t="n">
        <v>14</v>
      </c>
      <c r="AJ1650" s="50" t="n">
        <v>0.2142857142857143</v>
      </c>
      <c r="AK1650" s="51" t="n">
        <v>0</v>
      </c>
      <c r="AL1650" s="52" t="n">
        <v>0</v>
      </c>
      <c r="AM1650" s="52" t="n">
        <v>0</v>
      </c>
      <c r="AN1650" s="52" t="n">
        <v>0</v>
      </c>
      <c r="AO1650" s="53" t="n">
        <v>0</v>
      </c>
      <c r="AP1650" s="52" t="n">
        <v>0</v>
      </c>
      <c r="AQ1650" s="53" t="n">
        <v>0</v>
      </c>
      <c r="AR1650" s="52" t="n">
        <v>19.99</v>
      </c>
      <c r="AS1650" s="51" t="n">
        <v>0</v>
      </c>
      <c r="AT1650" s="48" t="n">
        <v>19.99</v>
      </c>
      <c r="AU1650" s="49" t="n">
        <v>1</v>
      </c>
      <c r="AV1650" s="49" t="n">
        <v>11</v>
      </c>
      <c r="AW1650" s="50" t="n">
        <v>0.09090909090909091</v>
      </c>
      <c r="AX1650" s="51" t="n">
        <v>0</v>
      </c>
      <c r="AY1650" s="52" t="n">
        <v>0</v>
      </c>
      <c r="AZ1650" s="52" t="n">
        <v>0</v>
      </c>
      <c r="BA1650" s="52" t="n">
        <v>0</v>
      </c>
      <c r="BB1650" s="53" t="n">
        <v>0</v>
      </c>
      <c r="BC1650" s="52" t="n">
        <v>0</v>
      </c>
      <c r="BD1650" s="53" t="n">
        <v>0</v>
      </c>
      <c r="BE1650" s="52" t="n">
        <v>19.99</v>
      </c>
      <c r="BF1650" s="51" t="n">
        <v>0</v>
      </c>
    </row>
    <row r="1651">
      <c r="A1651">
        <f>HYPERLINK("https://www.walmart.com/ip/117539586", "117539586")</f>
        <v/>
      </c>
      <c r="B1651" t="inlineStr">
        <is>
          <t>Unisex Outdoor Sun Hat Protection Fishing Cap Boonie Hat with Neck Flap Wide Brim for Safari Camping Hiking Hunting Boating and Outdoor Adventures by Sun Blocker, Olive</t>
        </is>
      </c>
      <c r="C1651" t="inlineStr">
        <is>
          <t>KC-S9150-OLIVE-ZFH</t>
        </is>
      </c>
      <c r="D1651" t="inlineStr">
        <is>
          <t>Hats</t>
        </is>
      </c>
      <c r="E1651" t="inlineStr">
        <is>
          <t>Sun Blocker</t>
        </is>
      </c>
      <c r="F1651" t="inlineStr">
        <is>
          <t>Optimized</t>
        </is>
      </c>
      <c r="G1651" s="48" t="n">
        <v>0</v>
      </c>
      <c r="H1651" s="49" t="n">
        <v>0</v>
      </c>
      <c r="I1651" s="49" t="n">
        <v>0</v>
      </c>
      <c r="J1651" s="50" t="n">
        <v>0</v>
      </c>
      <c r="K1651" s="51" t="n">
        <v>0</v>
      </c>
      <c r="L1651" s="52" t="n">
        <v>0</v>
      </c>
      <c r="M1651" s="52" t="n">
        <v>0</v>
      </c>
      <c r="N1651" s="52" t="n">
        <v>0</v>
      </c>
      <c r="O1651" s="53" t="n">
        <v>0</v>
      </c>
      <c r="P1651" s="52" t="n">
        <v>0</v>
      </c>
      <c r="Q1651" s="53" t="n">
        <v>0</v>
      </c>
      <c r="R1651" s="52" t="n">
        <v>0</v>
      </c>
      <c r="S1651" s="51" t="n">
        <v>0</v>
      </c>
      <c r="T1651" s="48" t="n">
        <v>0</v>
      </c>
      <c r="U1651" s="49" t="n">
        <v>0</v>
      </c>
      <c r="V1651" s="49" t="n">
        <v>0</v>
      </c>
      <c r="W1651" s="50" t="n">
        <v>0</v>
      </c>
      <c r="X1651" s="51" t="n">
        <v>0</v>
      </c>
      <c r="Y1651" s="52" t="n">
        <v>0</v>
      </c>
      <c r="Z1651" s="52" t="n">
        <v>0</v>
      </c>
      <c r="AA1651" s="52" t="n">
        <v>0</v>
      </c>
      <c r="AB1651" s="53" t="n">
        <v>0</v>
      </c>
      <c r="AC1651" s="52" t="n">
        <v>0</v>
      </c>
      <c r="AD1651" s="53" t="n">
        <v>0</v>
      </c>
      <c r="AE1651" s="52" t="n">
        <v>0</v>
      </c>
      <c r="AF1651" s="51" t="n">
        <v>0</v>
      </c>
      <c r="AG1651" s="48" t="n">
        <v>0</v>
      </c>
      <c r="AH1651" s="49" t="n">
        <v>0</v>
      </c>
      <c r="AI1651" s="49" t="n">
        <v>0</v>
      </c>
      <c r="AJ1651" s="50" t="n">
        <v>0</v>
      </c>
      <c r="AK1651" s="51" t="n">
        <v>0</v>
      </c>
      <c r="AL1651" s="52" t="n">
        <v>0</v>
      </c>
      <c r="AM1651" s="52" t="n">
        <v>0</v>
      </c>
      <c r="AN1651" s="52" t="n">
        <v>0</v>
      </c>
      <c r="AO1651" s="53" t="n">
        <v>0</v>
      </c>
      <c r="AP1651" s="52" t="n">
        <v>0</v>
      </c>
      <c r="AQ1651" s="53" t="n">
        <v>0</v>
      </c>
      <c r="AR1651" s="52" t="n">
        <v>0</v>
      </c>
      <c r="AS1651" s="51" t="n">
        <v>0</v>
      </c>
      <c r="AT1651" s="48" t="n">
        <v>0</v>
      </c>
      <c r="AU1651" s="49" t="n">
        <v>0</v>
      </c>
      <c r="AV1651" s="49" t="n">
        <v>0</v>
      </c>
      <c r="AW1651" s="50" t="n">
        <v>0</v>
      </c>
      <c r="AX1651" s="51" t="n">
        <v>0</v>
      </c>
      <c r="AY1651" s="52" t="n">
        <v>0</v>
      </c>
      <c r="AZ1651" s="52" t="n">
        <v>0</v>
      </c>
      <c r="BA1651" s="52" t="n">
        <v>0</v>
      </c>
      <c r="BB1651" s="53" t="n">
        <v>0</v>
      </c>
      <c r="BC1651" s="52" t="n">
        <v>0</v>
      </c>
      <c r="BD1651" s="53" t="n">
        <v>0</v>
      </c>
      <c r="BE1651" s="52" t="n">
        <v>0</v>
      </c>
      <c r="BF1651" s="51" t="n">
        <v>0</v>
      </c>
    </row>
    <row r="1652">
      <c r="A1652">
        <f>HYPERLINK("https://www.walmart.com/ip/1179537793", "1179537793")</f>
        <v/>
      </c>
      <c r="B1652" t="inlineStr">
        <is>
          <t>Every Day is Christmas Glass Blown Ornaments Cute Hand Made Figurines Tree Decoration, Garbage Truck</t>
        </is>
      </c>
      <c r="C1652" t="inlineStr">
        <is>
          <t>EDC-FIGURINE-GARBAGETRUCK</t>
        </is>
      </c>
      <c r="D1652" t="inlineStr">
        <is>
          <t>Ornaments</t>
        </is>
      </c>
      <c r="E1652" t="inlineStr">
        <is>
          <t>Every Day is Christmas</t>
        </is>
      </c>
      <c r="G1652" s="48" t="n">
        <v>0</v>
      </c>
      <c r="H1652" s="49" t="n">
        <v>0</v>
      </c>
      <c r="I1652" s="49" t="n">
        <v>0</v>
      </c>
      <c r="J1652" s="50" t="n">
        <v>0</v>
      </c>
      <c r="K1652" s="51" t="n">
        <v>0</v>
      </c>
      <c r="L1652" s="52" t="n">
        <v>0</v>
      </c>
      <c r="M1652" s="52" t="n">
        <v>0</v>
      </c>
      <c r="N1652" s="52" t="n">
        <v>0</v>
      </c>
      <c r="O1652" s="53" t="n">
        <v>0</v>
      </c>
      <c r="P1652" s="52" t="n">
        <v>0</v>
      </c>
      <c r="Q1652" s="53" t="n">
        <v>0</v>
      </c>
      <c r="R1652" s="52" t="n">
        <v>0</v>
      </c>
      <c r="S1652" s="51" t="n">
        <v>0</v>
      </c>
      <c r="T1652" s="48" t="n">
        <v>0</v>
      </c>
      <c r="U1652" s="49" t="n">
        <v>0</v>
      </c>
      <c r="V1652" s="49" t="n">
        <v>0</v>
      </c>
      <c r="W1652" s="50" t="n">
        <v>0</v>
      </c>
      <c r="X1652" s="51" t="n">
        <v>0</v>
      </c>
      <c r="Y1652" s="52" t="n">
        <v>0</v>
      </c>
      <c r="Z1652" s="52" t="n">
        <v>0</v>
      </c>
      <c r="AA1652" s="52" t="n">
        <v>0</v>
      </c>
      <c r="AB1652" s="53" t="n">
        <v>0</v>
      </c>
      <c r="AC1652" s="52" t="n">
        <v>0</v>
      </c>
      <c r="AD1652" s="53" t="n">
        <v>0</v>
      </c>
      <c r="AE1652" s="52" t="n">
        <v>0</v>
      </c>
      <c r="AF1652" s="51" t="n">
        <v>0</v>
      </c>
      <c r="AG1652" s="48" t="n">
        <v>0</v>
      </c>
      <c r="AH1652" s="49" t="n">
        <v>0</v>
      </c>
      <c r="AI1652" s="49" t="n">
        <v>0</v>
      </c>
      <c r="AJ1652" s="50" t="n">
        <v>0</v>
      </c>
      <c r="AK1652" s="51" t="n">
        <v>0</v>
      </c>
      <c r="AL1652" s="52" t="n">
        <v>0</v>
      </c>
      <c r="AM1652" s="52" t="n">
        <v>0</v>
      </c>
      <c r="AN1652" s="52" t="n">
        <v>0</v>
      </c>
      <c r="AO1652" s="53" t="n">
        <v>0</v>
      </c>
      <c r="AP1652" s="52" t="n">
        <v>0</v>
      </c>
      <c r="AQ1652" s="53" t="n">
        <v>0</v>
      </c>
      <c r="AR1652" s="52" t="n">
        <v>0</v>
      </c>
      <c r="AS1652" s="51" t="n">
        <v>0</v>
      </c>
      <c r="AT1652" s="48" t="n">
        <v>0</v>
      </c>
      <c r="AU1652" s="49" t="n">
        <v>0</v>
      </c>
      <c r="AV1652" s="49" t="n">
        <v>0</v>
      </c>
      <c r="AW1652" s="50" t="n">
        <v>0</v>
      </c>
      <c r="AX1652" s="51" t="n">
        <v>0</v>
      </c>
      <c r="AY1652" s="52" t="n">
        <v>0</v>
      </c>
      <c r="AZ1652" s="52" t="n">
        <v>0</v>
      </c>
      <c r="BA1652" s="52" t="n">
        <v>0</v>
      </c>
      <c r="BB1652" s="53" t="n">
        <v>0</v>
      </c>
      <c r="BC1652" s="52" t="n">
        <v>0</v>
      </c>
      <c r="BD1652" s="53" t="n">
        <v>0</v>
      </c>
      <c r="BE1652" s="52" t="n">
        <v>0</v>
      </c>
      <c r="BF1652" s="51" t="n">
        <v>0</v>
      </c>
    </row>
    <row r="1653">
      <c r="A1653">
        <f>HYPERLINK("https://www.walmart.com/ip/118001985", "118001985")</f>
        <v/>
      </c>
      <c r="B1653" t="inlineStr">
        <is>
          <t>Tirrinia Women Tankini Swimsuit Flyaway Swimdress Top Two Pieces Bathing Suits Set, Black, X Large</t>
        </is>
      </c>
      <c r="C1653" t="inlineStr">
        <is>
          <t>1TRSS006BKBK-XL</t>
        </is>
      </c>
      <c r="D1653" t="inlineStr">
        <is>
          <t>Swimsuit Sets</t>
        </is>
      </c>
      <c r="E1653" t="inlineStr">
        <is>
          <t>Tirrinia</t>
        </is>
      </c>
      <c r="F1653" t="inlineStr">
        <is>
          <t>Batch 1 - TR</t>
        </is>
      </c>
      <c r="G1653" s="48" t="n">
        <v>0</v>
      </c>
      <c r="H1653" s="49" t="n">
        <v>0</v>
      </c>
      <c r="I1653" s="49" t="n">
        <v>0</v>
      </c>
      <c r="J1653" s="50" t="n">
        <v>0</v>
      </c>
      <c r="K1653" s="51" t="n">
        <v>0</v>
      </c>
      <c r="L1653" s="52" t="n">
        <v>0</v>
      </c>
      <c r="M1653" s="52" t="n">
        <v>0</v>
      </c>
      <c r="N1653" s="52" t="n">
        <v>0</v>
      </c>
      <c r="O1653" s="53" t="n">
        <v>0</v>
      </c>
      <c r="P1653" s="52" t="n">
        <v>0</v>
      </c>
      <c r="Q1653" s="53" t="n">
        <v>0</v>
      </c>
      <c r="R1653" s="52" t="n">
        <v>0</v>
      </c>
      <c r="S1653" s="51" t="n">
        <v>0</v>
      </c>
      <c r="T1653" s="48" t="n">
        <v>0</v>
      </c>
      <c r="U1653" s="49" t="n">
        <v>0</v>
      </c>
      <c r="V1653" s="49" t="n">
        <v>0</v>
      </c>
      <c r="W1653" s="50" t="n">
        <v>0</v>
      </c>
      <c r="X1653" s="51" t="n">
        <v>0</v>
      </c>
      <c r="Y1653" s="52" t="n">
        <v>0</v>
      </c>
      <c r="Z1653" s="52" t="n">
        <v>0</v>
      </c>
      <c r="AA1653" s="52" t="n">
        <v>0</v>
      </c>
      <c r="AB1653" s="53" t="n">
        <v>0</v>
      </c>
      <c r="AC1653" s="52" t="n">
        <v>0</v>
      </c>
      <c r="AD1653" s="53" t="n">
        <v>0</v>
      </c>
      <c r="AE1653" s="52" t="n">
        <v>0</v>
      </c>
      <c r="AF1653" s="51" t="n">
        <v>0</v>
      </c>
      <c r="AG1653" s="48" t="n">
        <v>0</v>
      </c>
      <c r="AH1653" s="49" t="n">
        <v>0</v>
      </c>
      <c r="AI1653" s="49" t="n">
        <v>0</v>
      </c>
      <c r="AJ1653" s="50" t="n">
        <v>0</v>
      </c>
      <c r="AK1653" s="51" t="n">
        <v>0</v>
      </c>
      <c r="AL1653" s="52" t="n">
        <v>0</v>
      </c>
      <c r="AM1653" s="52" t="n">
        <v>0</v>
      </c>
      <c r="AN1653" s="52" t="n">
        <v>0</v>
      </c>
      <c r="AO1653" s="53" t="n">
        <v>0</v>
      </c>
      <c r="AP1653" s="52" t="n">
        <v>0</v>
      </c>
      <c r="AQ1653" s="53" t="n">
        <v>0</v>
      </c>
      <c r="AR1653" s="52" t="n">
        <v>0</v>
      </c>
      <c r="AS1653" s="51" t="n">
        <v>0</v>
      </c>
      <c r="AT1653" s="48" t="n">
        <v>0</v>
      </c>
      <c r="AU1653" s="49" t="n">
        <v>0</v>
      </c>
      <c r="AV1653" s="49" t="n">
        <v>0</v>
      </c>
      <c r="AW1653" s="50" t="n">
        <v>0</v>
      </c>
      <c r="AX1653" s="51" t="n">
        <v>0</v>
      </c>
      <c r="AY1653" s="52" t="n">
        <v>0</v>
      </c>
      <c r="AZ1653" s="52" t="n">
        <v>0</v>
      </c>
      <c r="BA1653" s="52" t="n">
        <v>0</v>
      </c>
      <c r="BB1653" s="53" t="n">
        <v>0</v>
      </c>
      <c r="BC1653" s="52" t="n">
        <v>0</v>
      </c>
      <c r="BD1653" s="53" t="n">
        <v>0</v>
      </c>
      <c r="BE1653" s="52" t="n">
        <v>0</v>
      </c>
      <c r="BF1653" s="51" t="n">
        <v>0</v>
      </c>
    </row>
    <row r="1654">
      <c r="A1654">
        <f>HYPERLINK("https://www.walmart.com/ip/1183180689", "1183180689")</f>
        <v/>
      </c>
      <c r="B1654" t="inlineStr">
        <is>
          <t>Every Day is Christmas Glass Blown Ornaments Cute Hand Made Figurines Tree Decoration, Set of 2 Forklift</t>
        </is>
      </c>
      <c r="C1654" t="inlineStr">
        <is>
          <t>EDC-FIGURINE-FORKLIFT</t>
        </is>
      </c>
      <c r="D1654" t="inlineStr">
        <is>
          <t>Ornaments</t>
        </is>
      </c>
      <c r="E1654" t="inlineStr">
        <is>
          <t>Every Day is Christmas</t>
        </is>
      </c>
      <c r="G1654" s="48" t="n">
        <v>0</v>
      </c>
      <c r="H1654" s="49" t="n">
        <v>0</v>
      </c>
      <c r="I1654" s="49" t="n">
        <v>0</v>
      </c>
      <c r="J1654" s="50" t="n">
        <v>0</v>
      </c>
      <c r="K1654" s="51" t="n">
        <v>0</v>
      </c>
      <c r="L1654" s="52" t="n">
        <v>0</v>
      </c>
      <c r="M1654" s="52" t="n">
        <v>0</v>
      </c>
      <c r="N1654" s="52" t="n">
        <v>0</v>
      </c>
      <c r="O1654" s="53" t="n">
        <v>0</v>
      </c>
      <c r="P1654" s="52" t="n">
        <v>0</v>
      </c>
      <c r="Q1654" s="53" t="n">
        <v>0</v>
      </c>
      <c r="R1654" s="52" t="n">
        <v>0</v>
      </c>
      <c r="S1654" s="51" t="n">
        <v>0</v>
      </c>
      <c r="T1654" s="48" t="n">
        <v>0</v>
      </c>
      <c r="U1654" s="49" t="n">
        <v>0</v>
      </c>
      <c r="V1654" s="49" t="n">
        <v>0</v>
      </c>
      <c r="W1654" s="50" t="n">
        <v>0</v>
      </c>
      <c r="X1654" s="51" t="n">
        <v>0</v>
      </c>
      <c r="Y1654" s="52" t="n">
        <v>0</v>
      </c>
      <c r="Z1654" s="52" t="n">
        <v>0</v>
      </c>
      <c r="AA1654" s="52" t="n">
        <v>0</v>
      </c>
      <c r="AB1654" s="53" t="n">
        <v>0</v>
      </c>
      <c r="AC1654" s="52" t="n">
        <v>0</v>
      </c>
      <c r="AD1654" s="53" t="n">
        <v>0</v>
      </c>
      <c r="AE1654" s="52" t="n">
        <v>0</v>
      </c>
      <c r="AF1654" s="51" t="n">
        <v>0</v>
      </c>
      <c r="AG1654" s="48" t="n">
        <v>0</v>
      </c>
      <c r="AH1654" s="49" t="n">
        <v>0</v>
      </c>
      <c r="AI1654" s="49" t="n">
        <v>0</v>
      </c>
      <c r="AJ1654" s="50" t="n">
        <v>0</v>
      </c>
      <c r="AK1654" s="51" t="n">
        <v>0</v>
      </c>
      <c r="AL1654" s="52" t="n">
        <v>0</v>
      </c>
      <c r="AM1654" s="52" t="n">
        <v>0</v>
      </c>
      <c r="AN1654" s="52" t="n">
        <v>0</v>
      </c>
      <c r="AO1654" s="53" t="n">
        <v>0</v>
      </c>
      <c r="AP1654" s="52" t="n">
        <v>0</v>
      </c>
      <c r="AQ1654" s="53" t="n">
        <v>0</v>
      </c>
      <c r="AR1654" s="52" t="n">
        <v>0</v>
      </c>
      <c r="AS1654" s="51" t="n">
        <v>0</v>
      </c>
      <c r="AT1654" s="48" t="n">
        <v>0</v>
      </c>
      <c r="AU1654" s="49" t="n">
        <v>0</v>
      </c>
      <c r="AV1654" s="49" t="n">
        <v>0</v>
      </c>
      <c r="AW1654" s="50" t="n">
        <v>0</v>
      </c>
      <c r="AX1654" s="51" t="n">
        <v>0</v>
      </c>
      <c r="AY1654" s="52" t="n">
        <v>0</v>
      </c>
      <c r="AZ1654" s="52" t="n">
        <v>0</v>
      </c>
      <c r="BA1654" s="52" t="n">
        <v>0</v>
      </c>
      <c r="BB1654" s="53" t="n">
        <v>0</v>
      </c>
      <c r="BC1654" s="52" t="n">
        <v>0</v>
      </c>
      <c r="BD1654" s="53" t="n">
        <v>0</v>
      </c>
      <c r="BE1654" s="52" t="n">
        <v>0</v>
      </c>
      <c r="BF1654" s="51" t="n">
        <v>0</v>
      </c>
    </row>
    <row r="1655">
      <c r="A1655">
        <f>HYPERLINK("https://www.walmart.com/ip/118436957", "118436957")</f>
        <v/>
      </c>
      <c r="B1655" t="inlineStr">
        <is>
          <t>KC Caps Unisex Khaki Sports Baseball Flat Top Cap, Outdoor Travel Washed Canvas Hat, Casual Military Style</t>
        </is>
      </c>
      <c r="C1655" t="inlineStr">
        <is>
          <t>KC Caps 8320 Khaki</t>
        </is>
      </c>
      <c r="D1655" t="inlineStr">
        <is>
          <t>Hats</t>
        </is>
      </c>
      <c r="E1655" t="inlineStr">
        <is>
          <t>KC Caps</t>
        </is>
      </c>
      <c r="F1655" t="inlineStr">
        <is>
          <t>Batch 1 - TR</t>
        </is>
      </c>
      <c r="G1655" s="48" t="n">
        <v>0</v>
      </c>
      <c r="H1655" s="49" t="n">
        <v>0</v>
      </c>
      <c r="I1655" s="49" t="n">
        <v>0</v>
      </c>
      <c r="J1655" s="50" t="n">
        <v>0</v>
      </c>
      <c r="K1655" s="51" t="n">
        <v>0</v>
      </c>
      <c r="L1655" s="52" t="n">
        <v>0</v>
      </c>
      <c r="M1655" s="52" t="n">
        <v>0</v>
      </c>
      <c r="N1655" s="52" t="n">
        <v>0</v>
      </c>
      <c r="O1655" s="53" t="n">
        <v>0</v>
      </c>
      <c r="P1655" s="52" t="n">
        <v>0</v>
      </c>
      <c r="Q1655" s="53" t="n">
        <v>0</v>
      </c>
      <c r="R1655" s="52" t="n">
        <v>0</v>
      </c>
      <c r="S1655" s="51" t="n">
        <v>0</v>
      </c>
      <c r="T1655" s="48" t="n">
        <v>0</v>
      </c>
      <c r="U1655" s="49" t="n">
        <v>0</v>
      </c>
      <c r="V1655" s="49" t="n">
        <v>0</v>
      </c>
      <c r="W1655" s="50" t="n">
        <v>0</v>
      </c>
      <c r="X1655" s="51" t="n">
        <v>0</v>
      </c>
      <c r="Y1655" s="52" t="n">
        <v>0</v>
      </c>
      <c r="Z1655" s="52" t="n">
        <v>0</v>
      </c>
      <c r="AA1655" s="52" t="n">
        <v>0</v>
      </c>
      <c r="AB1655" s="53" t="n">
        <v>0</v>
      </c>
      <c r="AC1655" s="52" t="n">
        <v>0</v>
      </c>
      <c r="AD1655" s="53" t="n">
        <v>0</v>
      </c>
      <c r="AE1655" s="52" t="n">
        <v>0</v>
      </c>
      <c r="AF1655" s="51" t="n">
        <v>0</v>
      </c>
      <c r="AG1655" s="48" t="n">
        <v>0</v>
      </c>
      <c r="AH1655" s="49" t="n">
        <v>0</v>
      </c>
      <c r="AI1655" s="49" t="n">
        <v>0</v>
      </c>
      <c r="AJ1655" s="50" t="n">
        <v>0</v>
      </c>
      <c r="AK1655" s="51" t="n">
        <v>0</v>
      </c>
      <c r="AL1655" s="52" t="n">
        <v>0</v>
      </c>
      <c r="AM1655" s="52" t="n">
        <v>0</v>
      </c>
      <c r="AN1655" s="52" t="n">
        <v>0</v>
      </c>
      <c r="AO1655" s="53" t="n">
        <v>0</v>
      </c>
      <c r="AP1655" s="52" t="n">
        <v>0</v>
      </c>
      <c r="AQ1655" s="53" t="n">
        <v>0</v>
      </c>
      <c r="AR1655" s="52" t="n">
        <v>0</v>
      </c>
      <c r="AS1655" s="51" t="n">
        <v>0</v>
      </c>
      <c r="AT1655" s="48" t="n">
        <v>0</v>
      </c>
      <c r="AU1655" s="49" t="n">
        <v>0</v>
      </c>
      <c r="AV1655" s="49" t="n">
        <v>0</v>
      </c>
      <c r="AW1655" s="50" t="n">
        <v>0</v>
      </c>
      <c r="AX1655" s="51" t="n">
        <v>0</v>
      </c>
      <c r="AY1655" s="52" t="n">
        <v>0</v>
      </c>
      <c r="AZ1655" s="52" t="n">
        <v>0</v>
      </c>
      <c r="BA1655" s="52" t="n">
        <v>0</v>
      </c>
      <c r="BB1655" s="53" t="n">
        <v>0</v>
      </c>
      <c r="BC1655" s="52" t="n">
        <v>0</v>
      </c>
      <c r="BD1655" s="53" t="n">
        <v>0</v>
      </c>
      <c r="BE1655" s="52" t="n">
        <v>0</v>
      </c>
      <c r="BF1655" s="51" t="n">
        <v>0</v>
      </c>
    </row>
    <row r="1656">
      <c r="A1656">
        <f>HYPERLINK("https://www.walmart.com/ip/118475298", "118475298")</f>
        <v/>
      </c>
      <c r="B1656" t="inlineStr">
        <is>
          <t>JenniWears® Women's Plus Size Sexy Lingeri Darque Babydoll And G-string</t>
        </is>
      </c>
      <c r="C1656" t="inlineStr">
        <is>
          <t>JWBD07BK-XL</t>
        </is>
      </c>
      <c r="D1656" t="inlineStr">
        <is>
          <t>Lingerie Sets</t>
        </is>
      </c>
      <c r="E1656" t="inlineStr">
        <is>
          <t>JenniWears</t>
        </is>
      </c>
      <c r="F1656" t="inlineStr">
        <is>
          <t>Optimized,WFS,Valentine,WFS Item</t>
        </is>
      </c>
      <c r="G1656" s="48" t="n">
        <v>0</v>
      </c>
      <c r="H1656" s="49" t="n">
        <v>0</v>
      </c>
      <c r="I1656" s="49" t="n">
        <v>0</v>
      </c>
      <c r="J1656" s="50" t="n">
        <v>0</v>
      </c>
      <c r="K1656" s="51" t="n">
        <v>0</v>
      </c>
      <c r="L1656" s="52" t="n">
        <v>0</v>
      </c>
      <c r="M1656" s="52" t="n">
        <v>0</v>
      </c>
      <c r="N1656" s="52" t="n">
        <v>0</v>
      </c>
      <c r="O1656" s="53" t="n">
        <v>0</v>
      </c>
      <c r="P1656" s="52" t="n">
        <v>0</v>
      </c>
      <c r="Q1656" s="53" t="n">
        <v>0</v>
      </c>
      <c r="R1656" s="52" t="n">
        <v>0</v>
      </c>
      <c r="S1656" s="51" t="n">
        <v>0</v>
      </c>
      <c r="T1656" s="48" t="n">
        <v>0</v>
      </c>
      <c r="U1656" s="49" t="n">
        <v>0</v>
      </c>
      <c r="V1656" s="49" t="n">
        <v>0</v>
      </c>
      <c r="W1656" s="50" t="n">
        <v>0</v>
      </c>
      <c r="X1656" s="51" t="n">
        <v>0</v>
      </c>
      <c r="Y1656" s="52" t="n">
        <v>0</v>
      </c>
      <c r="Z1656" s="52" t="n">
        <v>0</v>
      </c>
      <c r="AA1656" s="52" t="n">
        <v>0</v>
      </c>
      <c r="AB1656" s="53" t="n">
        <v>0</v>
      </c>
      <c r="AC1656" s="52" t="n">
        <v>0</v>
      </c>
      <c r="AD1656" s="53" t="n">
        <v>0</v>
      </c>
      <c r="AE1656" s="52" t="n">
        <v>0</v>
      </c>
      <c r="AF1656" s="51" t="n">
        <v>0</v>
      </c>
      <c r="AG1656" s="48" t="n">
        <v>0</v>
      </c>
      <c r="AH1656" s="49" t="n">
        <v>0</v>
      </c>
      <c r="AI1656" s="49" t="n">
        <v>0</v>
      </c>
      <c r="AJ1656" s="50" t="n">
        <v>0</v>
      </c>
      <c r="AK1656" s="51" t="n">
        <v>0</v>
      </c>
      <c r="AL1656" s="52" t="n">
        <v>0</v>
      </c>
      <c r="AM1656" s="52" t="n">
        <v>0</v>
      </c>
      <c r="AN1656" s="52" t="n">
        <v>0</v>
      </c>
      <c r="AO1656" s="53" t="n">
        <v>0</v>
      </c>
      <c r="AP1656" s="52" t="n">
        <v>0</v>
      </c>
      <c r="AQ1656" s="53" t="n">
        <v>0</v>
      </c>
      <c r="AR1656" s="52" t="n">
        <v>0</v>
      </c>
      <c r="AS1656" s="51" t="n">
        <v>0</v>
      </c>
      <c r="AT1656" s="48" t="n">
        <v>0</v>
      </c>
      <c r="AU1656" s="49" t="n">
        <v>0</v>
      </c>
      <c r="AV1656" s="49" t="n">
        <v>0</v>
      </c>
      <c r="AW1656" s="50" t="n">
        <v>0</v>
      </c>
      <c r="AX1656" s="51" t="n">
        <v>0</v>
      </c>
      <c r="AY1656" s="52" t="n">
        <v>0</v>
      </c>
      <c r="AZ1656" s="52" t="n">
        <v>0</v>
      </c>
      <c r="BA1656" s="52" t="n">
        <v>0</v>
      </c>
      <c r="BB1656" s="53" t="n">
        <v>0</v>
      </c>
      <c r="BC1656" s="52" t="n">
        <v>0</v>
      </c>
      <c r="BD1656" s="53" t="n">
        <v>0</v>
      </c>
      <c r="BE1656" s="52" t="n">
        <v>0</v>
      </c>
      <c r="BF1656" s="51" t="n">
        <v>0</v>
      </c>
    </row>
    <row r="1657">
      <c r="A1657">
        <f>HYPERLINK("https://www.walmart.com/ip/118796796", "118796796")</f>
        <v/>
      </c>
      <c r="B1657" t="inlineStr">
        <is>
          <t>Catalonia Queen Size Sherpa Comforter Set,  Ultra-soft Reversible Fluffy Micromink Bedding Set-3 Pieces, 1 Comforter and 2 Pillow Shams, 88x90 inches</t>
        </is>
      </c>
      <c r="C1657" t="inlineStr">
        <is>
          <t>1CTBQ300QF-BL</t>
        </is>
      </c>
      <c r="D1657" t="inlineStr">
        <is>
          <t>Bedding Sets</t>
        </is>
      </c>
      <c r="E1657" t="inlineStr">
        <is>
          <t>Catalonia</t>
        </is>
      </c>
      <c r="F1657" t="inlineStr">
        <is>
          <t>WFS,WFS Item</t>
        </is>
      </c>
      <c r="G1657" s="48" t="n">
        <v>0</v>
      </c>
      <c r="H1657" s="49" t="n">
        <v>0</v>
      </c>
      <c r="I1657" s="49" t="n">
        <v>0</v>
      </c>
      <c r="J1657" s="50" t="n">
        <v>0</v>
      </c>
      <c r="K1657" s="51" t="n">
        <v>0</v>
      </c>
      <c r="L1657" s="52" t="n">
        <v>0</v>
      </c>
      <c r="M1657" s="52" t="n">
        <v>0</v>
      </c>
      <c r="N1657" s="52" t="n">
        <v>0</v>
      </c>
      <c r="O1657" s="53" t="n">
        <v>0</v>
      </c>
      <c r="P1657" s="52" t="n">
        <v>0</v>
      </c>
      <c r="Q1657" s="53" t="n">
        <v>0</v>
      </c>
      <c r="R1657" s="52" t="n">
        <v>0</v>
      </c>
      <c r="S1657" s="51" t="n">
        <v>0</v>
      </c>
      <c r="T1657" s="48" t="n">
        <v>0</v>
      </c>
      <c r="U1657" s="49" t="n">
        <v>0</v>
      </c>
      <c r="V1657" s="49" t="n">
        <v>0</v>
      </c>
      <c r="W1657" s="50" t="n">
        <v>0</v>
      </c>
      <c r="X1657" s="51" t="n">
        <v>0</v>
      </c>
      <c r="Y1657" s="52" t="n">
        <v>0</v>
      </c>
      <c r="Z1657" s="52" t="n">
        <v>0</v>
      </c>
      <c r="AA1657" s="52" t="n">
        <v>0</v>
      </c>
      <c r="AB1657" s="53" t="n">
        <v>0</v>
      </c>
      <c r="AC1657" s="52" t="n">
        <v>0</v>
      </c>
      <c r="AD1657" s="53" t="n">
        <v>0</v>
      </c>
      <c r="AE1657" s="52" t="n">
        <v>0</v>
      </c>
      <c r="AF1657" s="51" t="n">
        <v>0</v>
      </c>
      <c r="AG1657" s="48" t="n">
        <v>0</v>
      </c>
      <c r="AH1657" s="49" t="n">
        <v>0</v>
      </c>
      <c r="AI1657" s="49" t="n">
        <v>0</v>
      </c>
      <c r="AJ1657" s="50" t="n">
        <v>0</v>
      </c>
      <c r="AK1657" s="51" t="n">
        <v>0</v>
      </c>
      <c r="AL1657" s="52" t="n">
        <v>0</v>
      </c>
      <c r="AM1657" s="52" t="n">
        <v>0</v>
      </c>
      <c r="AN1657" s="52" t="n">
        <v>0</v>
      </c>
      <c r="AO1657" s="53" t="n">
        <v>0</v>
      </c>
      <c r="AP1657" s="52" t="n">
        <v>0</v>
      </c>
      <c r="AQ1657" s="53" t="n">
        <v>0</v>
      </c>
      <c r="AR1657" s="52" t="n">
        <v>0</v>
      </c>
      <c r="AS1657" s="51" t="n">
        <v>0</v>
      </c>
      <c r="AT1657" s="48" t="n">
        <v>0</v>
      </c>
      <c r="AU1657" s="49" t="n">
        <v>0</v>
      </c>
      <c r="AV1657" s="49" t="n">
        <v>0</v>
      </c>
      <c r="AW1657" s="50" t="n">
        <v>0</v>
      </c>
      <c r="AX1657" s="51" t="n">
        <v>0</v>
      </c>
      <c r="AY1657" s="52" t="n">
        <v>0</v>
      </c>
      <c r="AZ1657" s="52" t="n">
        <v>0</v>
      </c>
      <c r="BA1657" s="52" t="n">
        <v>0</v>
      </c>
      <c r="BB1657" s="53" t="n">
        <v>0</v>
      </c>
      <c r="BC1657" s="52" t="n">
        <v>0</v>
      </c>
      <c r="BD1657" s="53" t="n">
        <v>0</v>
      </c>
      <c r="BE1657" s="52" t="n">
        <v>0</v>
      </c>
      <c r="BF1657" s="51" t="n">
        <v>0</v>
      </c>
    </row>
    <row r="1658">
      <c r="A1658">
        <f>HYPERLINK("https://www.walmart.com/ip/1188666950", "1188666950")</f>
        <v/>
      </c>
      <c r="B1658" t="inlineStr">
        <is>
          <t>Every Day is Christmas Glass Blown Ornaments Cute Hand Made Figurines Tree Decoration, Banana Split</t>
        </is>
      </c>
      <c r="C1658" t="inlineStr">
        <is>
          <t>EDC-FIGURINE-BANANASPLIT</t>
        </is>
      </c>
      <c r="D1658" t="inlineStr">
        <is>
          <t>Ornaments</t>
        </is>
      </c>
      <c r="E1658" t="inlineStr">
        <is>
          <t>Every Day is Christmas</t>
        </is>
      </c>
      <c r="G1658" s="48" t="n">
        <v>0</v>
      </c>
      <c r="H1658" s="49" t="n">
        <v>0</v>
      </c>
      <c r="I1658" s="49" t="n">
        <v>0</v>
      </c>
      <c r="J1658" s="50" t="n">
        <v>0</v>
      </c>
      <c r="K1658" s="51" t="n">
        <v>0</v>
      </c>
      <c r="L1658" s="52" t="n">
        <v>0</v>
      </c>
      <c r="M1658" s="52" t="n">
        <v>0</v>
      </c>
      <c r="N1658" s="52" t="n">
        <v>0</v>
      </c>
      <c r="O1658" s="53" t="n">
        <v>0</v>
      </c>
      <c r="P1658" s="52" t="n">
        <v>0</v>
      </c>
      <c r="Q1658" s="53" t="n">
        <v>0</v>
      </c>
      <c r="R1658" s="52" t="n">
        <v>0</v>
      </c>
      <c r="S1658" s="51" t="n">
        <v>0</v>
      </c>
      <c r="T1658" s="48" t="n">
        <v>0</v>
      </c>
      <c r="U1658" s="49" t="n">
        <v>0</v>
      </c>
      <c r="V1658" s="49" t="n">
        <v>0</v>
      </c>
      <c r="W1658" s="50" t="n">
        <v>0</v>
      </c>
      <c r="X1658" s="51" t="n">
        <v>0</v>
      </c>
      <c r="Y1658" s="52" t="n">
        <v>0</v>
      </c>
      <c r="Z1658" s="52" t="n">
        <v>0</v>
      </c>
      <c r="AA1658" s="52" t="n">
        <v>0</v>
      </c>
      <c r="AB1658" s="53" t="n">
        <v>0</v>
      </c>
      <c r="AC1658" s="52" t="n">
        <v>0</v>
      </c>
      <c r="AD1658" s="53" t="n">
        <v>0</v>
      </c>
      <c r="AE1658" s="52" t="n">
        <v>0</v>
      </c>
      <c r="AF1658" s="51" t="n">
        <v>0</v>
      </c>
      <c r="AG1658" s="48" t="n">
        <v>0</v>
      </c>
      <c r="AH1658" s="49" t="n">
        <v>0</v>
      </c>
      <c r="AI1658" s="49" t="n">
        <v>0</v>
      </c>
      <c r="AJ1658" s="50" t="n">
        <v>0</v>
      </c>
      <c r="AK1658" s="51" t="n">
        <v>0</v>
      </c>
      <c r="AL1658" s="52" t="n">
        <v>0</v>
      </c>
      <c r="AM1658" s="52" t="n">
        <v>0</v>
      </c>
      <c r="AN1658" s="52" t="n">
        <v>0</v>
      </c>
      <c r="AO1658" s="53" t="n">
        <v>0</v>
      </c>
      <c r="AP1658" s="52" t="n">
        <v>0</v>
      </c>
      <c r="AQ1658" s="53" t="n">
        <v>0</v>
      </c>
      <c r="AR1658" s="52" t="n">
        <v>0</v>
      </c>
      <c r="AS1658" s="51" t="n">
        <v>0</v>
      </c>
      <c r="AT1658" s="48" t="n">
        <v>0</v>
      </c>
      <c r="AU1658" s="49" t="n">
        <v>0</v>
      </c>
      <c r="AV1658" s="49" t="n">
        <v>0</v>
      </c>
      <c r="AW1658" s="50" t="n">
        <v>0</v>
      </c>
      <c r="AX1658" s="51" t="n">
        <v>0</v>
      </c>
      <c r="AY1658" s="52" t="n">
        <v>0</v>
      </c>
      <c r="AZ1658" s="52" t="n">
        <v>0</v>
      </c>
      <c r="BA1658" s="52" t="n">
        <v>0</v>
      </c>
      <c r="BB1658" s="53" t="n">
        <v>0</v>
      </c>
      <c r="BC1658" s="52" t="n">
        <v>0</v>
      </c>
      <c r="BD1658" s="53" t="n">
        <v>0</v>
      </c>
      <c r="BE1658" s="52" t="n">
        <v>0</v>
      </c>
      <c r="BF1658" s="51" t="n">
        <v>0</v>
      </c>
    </row>
    <row r="1659">
      <c r="A1659">
        <f>HYPERLINK("https://www.walmart.com/ip/119396476", "119396476")</f>
        <v/>
      </c>
      <c r="B1659" t="inlineStr">
        <is>
          <t>KC Caps Army Style Surplus Beanie Cap</t>
        </is>
      </c>
      <c r="C1659" t="inlineStr">
        <is>
          <t>KCW1721OLI</t>
        </is>
      </c>
      <c r="D1659" t="inlineStr">
        <is>
          <t>Hats</t>
        </is>
      </c>
      <c r="E1659" t="inlineStr">
        <is>
          <t>KC Caps</t>
        </is>
      </c>
      <c r="F1659" t="inlineStr">
        <is>
          <t>Batch 1 - TR</t>
        </is>
      </c>
      <c r="G1659" s="48" t="n">
        <v>0</v>
      </c>
      <c r="H1659" s="49" t="n">
        <v>0</v>
      </c>
      <c r="I1659" s="49" t="n">
        <v>0</v>
      </c>
      <c r="J1659" s="50" t="n">
        <v>0</v>
      </c>
      <c r="K1659" s="51" t="n">
        <v>0</v>
      </c>
      <c r="L1659" s="52" t="n">
        <v>0</v>
      </c>
      <c r="M1659" s="52" t="n">
        <v>0</v>
      </c>
      <c r="N1659" s="52" t="n">
        <v>0</v>
      </c>
      <c r="O1659" s="53" t="n">
        <v>0</v>
      </c>
      <c r="P1659" s="52" t="n">
        <v>0</v>
      </c>
      <c r="Q1659" s="53" t="n">
        <v>0</v>
      </c>
      <c r="R1659" s="52" t="n">
        <v>0</v>
      </c>
      <c r="S1659" s="51" t="n">
        <v>0</v>
      </c>
      <c r="T1659" s="48" t="n">
        <v>0</v>
      </c>
      <c r="U1659" s="49" t="n">
        <v>0</v>
      </c>
      <c r="V1659" s="49" t="n">
        <v>0</v>
      </c>
      <c r="W1659" s="50" t="n">
        <v>0</v>
      </c>
      <c r="X1659" s="51" t="n">
        <v>0</v>
      </c>
      <c r="Y1659" s="52" t="n">
        <v>0</v>
      </c>
      <c r="Z1659" s="52" t="n">
        <v>0</v>
      </c>
      <c r="AA1659" s="52" t="n">
        <v>0</v>
      </c>
      <c r="AB1659" s="53" t="n">
        <v>0</v>
      </c>
      <c r="AC1659" s="52" t="n">
        <v>0</v>
      </c>
      <c r="AD1659" s="53" t="n">
        <v>0</v>
      </c>
      <c r="AE1659" s="52" t="n">
        <v>0</v>
      </c>
      <c r="AF1659" s="51" t="n">
        <v>0</v>
      </c>
      <c r="AG1659" s="48" t="n">
        <v>0</v>
      </c>
      <c r="AH1659" s="49" t="n">
        <v>0</v>
      </c>
      <c r="AI1659" s="49" t="n">
        <v>0</v>
      </c>
      <c r="AJ1659" s="50" t="n">
        <v>0</v>
      </c>
      <c r="AK1659" s="51" t="n">
        <v>0</v>
      </c>
      <c r="AL1659" s="52" t="n">
        <v>0</v>
      </c>
      <c r="AM1659" s="52" t="n">
        <v>0</v>
      </c>
      <c r="AN1659" s="52" t="n">
        <v>0</v>
      </c>
      <c r="AO1659" s="53" t="n">
        <v>0</v>
      </c>
      <c r="AP1659" s="52" t="n">
        <v>0</v>
      </c>
      <c r="AQ1659" s="53" t="n">
        <v>0</v>
      </c>
      <c r="AR1659" s="52" t="n">
        <v>0</v>
      </c>
      <c r="AS1659" s="51" t="n">
        <v>0</v>
      </c>
      <c r="AT1659" s="48" t="n">
        <v>0</v>
      </c>
      <c r="AU1659" s="49" t="n">
        <v>0</v>
      </c>
      <c r="AV1659" s="49" t="n">
        <v>0</v>
      </c>
      <c r="AW1659" s="50" t="n">
        <v>0</v>
      </c>
      <c r="AX1659" s="51" t="n">
        <v>0</v>
      </c>
      <c r="AY1659" s="52" t="n">
        <v>0</v>
      </c>
      <c r="AZ1659" s="52" t="n">
        <v>0</v>
      </c>
      <c r="BA1659" s="52" t="n">
        <v>0</v>
      </c>
      <c r="BB1659" s="53" t="n">
        <v>0</v>
      </c>
      <c r="BC1659" s="52" t="n">
        <v>0</v>
      </c>
      <c r="BD1659" s="53" t="n">
        <v>0</v>
      </c>
      <c r="BE1659" s="52" t="n">
        <v>0</v>
      </c>
      <c r="BF1659" s="51" t="n">
        <v>0</v>
      </c>
    </row>
    <row r="1660">
      <c r="A1660">
        <f>HYPERLINK("https://www.walmart.com/ip/119730579", "119730579")</f>
        <v/>
      </c>
      <c r="B1660" t="inlineStr">
        <is>
          <t>JenniWears® Women's Sexy Lace Nightgown Sleepwear Bathrobe 2 Piece Set</t>
        </is>
      </c>
      <c r="C1660" t="inlineStr">
        <is>
          <t>JWRS02BK-XL</t>
        </is>
      </c>
      <c r="D1660" t="inlineStr">
        <is>
          <t>Nightgowns &amp; Sleepshirts</t>
        </is>
      </c>
      <c r="E1660" t="inlineStr">
        <is>
          <t>JenniWears</t>
        </is>
      </c>
      <c r="F1660" t="inlineStr">
        <is>
          <t>Valentine,Bathrobe</t>
        </is>
      </c>
      <c r="G1660" s="48" t="n">
        <v>0</v>
      </c>
      <c r="H1660" s="49" t="n">
        <v>0</v>
      </c>
      <c r="I1660" s="49" t="n">
        <v>0</v>
      </c>
      <c r="J1660" s="50" t="n">
        <v>0</v>
      </c>
      <c r="K1660" s="51" t="n">
        <v>0</v>
      </c>
      <c r="L1660" s="52" t="n">
        <v>0</v>
      </c>
      <c r="M1660" s="52" t="n">
        <v>0</v>
      </c>
      <c r="N1660" s="52" t="n">
        <v>0</v>
      </c>
      <c r="O1660" s="53" t="n">
        <v>0</v>
      </c>
      <c r="P1660" s="52" t="n">
        <v>0</v>
      </c>
      <c r="Q1660" s="53" t="n">
        <v>0</v>
      </c>
      <c r="R1660" s="52" t="n">
        <v>0</v>
      </c>
      <c r="S1660" s="51" t="n">
        <v>0</v>
      </c>
      <c r="T1660" s="48" t="n">
        <v>0</v>
      </c>
      <c r="U1660" s="49" t="n">
        <v>0</v>
      </c>
      <c r="V1660" s="49" t="n">
        <v>0</v>
      </c>
      <c r="W1660" s="50" t="n">
        <v>0</v>
      </c>
      <c r="X1660" s="51" t="n">
        <v>0</v>
      </c>
      <c r="Y1660" s="52" t="n">
        <v>0</v>
      </c>
      <c r="Z1660" s="52" t="n">
        <v>0</v>
      </c>
      <c r="AA1660" s="52" t="n">
        <v>0</v>
      </c>
      <c r="AB1660" s="53" t="n">
        <v>0</v>
      </c>
      <c r="AC1660" s="52" t="n">
        <v>0</v>
      </c>
      <c r="AD1660" s="53" t="n">
        <v>0</v>
      </c>
      <c r="AE1660" s="52" t="n">
        <v>0</v>
      </c>
      <c r="AF1660" s="51" t="n">
        <v>0</v>
      </c>
      <c r="AG1660" s="48" t="n">
        <v>0</v>
      </c>
      <c r="AH1660" s="49" t="n">
        <v>0</v>
      </c>
      <c r="AI1660" s="49" t="n">
        <v>0</v>
      </c>
      <c r="AJ1660" s="50" t="n">
        <v>0</v>
      </c>
      <c r="AK1660" s="51" t="n">
        <v>0</v>
      </c>
      <c r="AL1660" s="52" t="n">
        <v>0</v>
      </c>
      <c r="AM1660" s="52" t="n">
        <v>0</v>
      </c>
      <c r="AN1660" s="52" t="n">
        <v>0</v>
      </c>
      <c r="AO1660" s="53" t="n">
        <v>0</v>
      </c>
      <c r="AP1660" s="52" t="n">
        <v>0</v>
      </c>
      <c r="AQ1660" s="53" t="n">
        <v>0</v>
      </c>
      <c r="AR1660" s="52" t="n">
        <v>0</v>
      </c>
      <c r="AS1660" s="51" t="n">
        <v>0</v>
      </c>
      <c r="AT1660" s="48" t="n">
        <v>0</v>
      </c>
      <c r="AU1660" s="49" t="n">
        <v>0</v>
      </c>
      <c r="AV1660" s="49" t="n">
        <v>0</v>
      </c>
      <c r="AW1660" s="50" t="n">
        <v>0</v>
      </c>
      <c r="AX1660" s="51" t="n">
        <v>0</v>
      </c>
      <c r="AY1660" s="52" t="n">
        <v>0</v>
      </c>
      <c r="AZ1660" s="52" t="n">
        <v>0</v>
      </c>
      <c r="BA1660" s="52" t="n">
        <v>0</v>
      </c>
      <c r="BB1660" s="53" t="n">
        <v>0</v>
      </c>
      <c r="BC1660" s="52" t="n">
        <v>0</v>
      </c>
      <c r="BD1660" s="53" t="n">
        <v>0</v>
      </c>
      <c r="BE1660" s="52" t="n">
        <v>0</v>
      </c>
      <c r="BF1660" s="51" t="n">
        <v>0</v>
      </c>
    </row>
    <row r="1661">
      <c r="A1661">
        <f>HYPERLINK("https://www.walmart.com/ip/120083298", "120083298")</f>
        <v/>
      </c>
      <c r="B1661" t="inlineStr">
        <is>
          <t>Puppy Blanket,Super Soft Sherpa Dog Blankets and Throws Cat Fleece Sleeping Mat for Pet Small Animals 45x30 Blue</t>
        </is>
      </c>
      <c r="C1661" t="inlineStr">
        <is>
          <t>1PSBF345BLLT</t>
        </is>
      </c>
      <c r="D1661" t="inlineStr">
        <is>
          <t>Pet Blankets</t>
        </is>
      </c>
      <c r="E1661" t="inlineStr">
        <is>
          <t>Pawsse</t>
        </is>
      </c>
      <c r="F1661" t="inlineStr">
        <is>
          <t>WFS,WFS Item</t>
        </is>
      </c>
      <c r="G1661" s="48" t="n">
        <v>0</v>
      </c>
      <c r="H1661" s="49" t="n">
        <v>0</v>
      </c>
      <c r="I1661" s="49" t="n">
        <v>0</v>
      </c>
      <c r="J1661" s="50" t="n">
        <v>0</v>
      </c>
      <c r="K1661" s="51" t="n">
        <v>1</v>
      </c>
      <c r="L1661" s="52" t="n">
        <v>0.45</v>
      </c>
      <c r="M1661" s="52" t="n">
        <v>17.99</v>
      </c>
      <c r="N1661" s="52" t="n">
        <v>39.98</v>
      </c>
      <c r="O1661" s="53" t="n">
        <v>0.5</v>
      </c>
      <c r="P1661" s="52" t="n">
        <v>0.45</v>
      </c>
      <c r="Q1661" s="53" t="n">
        <v>0</v>
      </c>
      <c r="R1661" s="52" t="n">
        <v>0</v>
      </c>
      <c r="S1661" s="51" t="n">
        <v>2</v>
      </c>
      <c r="T1661" s="48" t="n">
        <v>0</v>
      </c>
      <c r="U1661" s="49" t="n">
        <v>0</v>
      </c>
      <c r="V1661" s="49" t="n">
        <v>0</v>
      </c>
      <c r="W1661" s="50" t="n">
        <v>0</v>
      </c>
      <c r="X1661" s="51" t="n">
        <v>0</v>
      </c>
      <c r="Y1661" s="52" t="n">
        <v>0</v>
      </c>
      <c r="Z1661" s="52" t="n">
        <v>0</v>
      </c>
      <c r="AA1661" s="52" t="n">
        <v>0</v>
      </c>
      <c r="AB1661" s="53" t="n">
        <v>0</v>
      </c>
      <c r="AC1661" s="52" t="n">
        <v>0</v>
      </c>
      <c r="AD1661" s="53" t="n">
        <v>0</v>
      </c>
      <c r="AE1661" s="52" t="n">
        <v>0</v>
      </c>
      <c r="AF1661" s="51" t="n">
        <v>0</v>
      </c>
      <c r="AG1661" s="48" t="n">
        <v>0</v>
      </c>
      <c r="AH1661" s="49" t="n">
        <v>0</v>
      </c>
      <c r="AI1661" s="49" t="n">
        <v>0</v>
      </c>
      <c r="AJ1661" s="50" t="n">
        <v>0</v>
      </c>
      <c r="AK1661" s="51" t="n">
        <v>0</v>
      </c>
      <c r="AL1661" s="52" t="n">
        <v>0</v>
      </c>
      <c r="AM1661" s="52" t="n">
        <v>0</v>
      </c>
      <c r="AN1661" s="52" t="n">
        <v>0</v>
      </c>
      <c r="AO1661" s="53" t="n">
        <v>0</v>
      </c>
      <c r="AP1661" s="52" t="n">
        <v>0</v>
      </c>
      <c r="AQ1661" s="53" t="n">
        <v>0</v>
      </c>
      <c r="AR1661" s="52" t="n">
        <v>0</v>
      </c>
      <c r="AS1661" s="51" t="n">
        <v>0</v>
      </c>
      <c r="AT1661" s="48" t="n">
        <v>0</v>
      </c>
      <c r="AU1661" s="49" t="n">
        <v>0</v>
      </c>
      <c r="AV1661" s="49" t="n">
        <v>0</v>
      </c>
      <c r="AW1661" s="50" t="n">
        <v>0</v>
      </c>
      <c r="AX1661" s="51" t="n">
        <v>0</v>
      </c>
      <c r="AY1661" s="52" t="n">
        <v>0</v>
      </c>
      <c r="AZ1661" s="52" t="n">
        <v>0</v>
      </c>
      <c r="BA1661" s="52" t="n">
        <v>0</v>
      </c>
      <c r="BB1661" s="53" t="n">
        <v>0</v>
      </c>
      <c r="BC1661" s="52" t="n">
        <v>0</v>
      </c>
      <c r="BD1661" s="53" t="n">
        <v>0</v>
      </c>
      <c r="BE1661" s="52" t="n">
        <v>0</v>
      </c>
      <c r="BF1661" s="51" t="n">
        <v>0</v>
      </c>
    </row>
    <row r="1662">
      <c r="A1662">
        <f>HYPERLINK("https://www.walmart.com/ip/1203728050", "1203728050")</f>
        <v/>
      </c>
      <c r="B1662" t="inlineStr">
        <is>
          <t>Catalonia Waterproof Dog Blanket, Peeproof Couch Sofa Bed Protector Cover for Baby, Super Cozy Plush Fleece Warm Sherpa Lining Throws and Blankets for Boating and Camping, Navy, 60'' x 80''</t>
        </is>
      </c>
      <c r="C1662" t="inlineStr">
        <is>
          <t>1CTBW682NYTP</t>
        </is>
      </c>
      <c r="D1662" t="inlineStr">
        <is>
          <t>Pet Bed Covers</t>
        </is>
      </c>
      <c r="E1662" t="inlineStr">
        <is>
          <t>Catalonia</t>
        </is>
      </c>
      <c r="F1662" t="inlineStr">
        <is>
          <t>Wproof Blanket,Batch 1 - TR</t>
        </is>
      </c>
      <c r="G1662" s="48" t="n">
        <v>0</v>
      </c>
      <c r="H1662" s="49" t="n">
        <v>0</v>
      </c>
      <c r="I1662" s="49" t="n">
        <v>0</v>
      </c>
      <c r="J1662" s="50" t="n">
        <v>0</v>
      </c>
      <c r="K1662" s="51" t="n">
        <v>0</v>
      </c>
      <c r="L1662" s="52" t="n">
        <v>0</v>
      </c>
      <c r="M1662" s="52" t="n">
        <v>0</v>
      </c>
      <c r="N1662" s="52" t="n">
        <v>0</v>
      </c>
      <c r="O1662" s="53" t="n">
        <v>0</v>
      </c>
      <c r="P1662" s="52" t="n">
        <v>0</v>
      </c>
      <c r="Q1662" s="53" t="n">
        <v>0</v>
      </c>
      <c r="R1662" s="52" t="n">
        <v>0</v>
      </c>
      <c r="S1662" s="51" t="n">
        <v>0</v>
      </c>
      <c r="T1662" s="48" t="n">
        <v>0</v>
      </c>
      <c r="U1662" s="49" t="n">
        <v>0</v>
      </c>
      <c r="V1662" s="49" t="n">
        <v>0</v>
      </c>
      <c r="W1662" s="50" t="n">
        <v>0</v>
      </c>
      <c r="X1662" s="51" t="n">
        <v>0</v>
      </c>
      <c r="Y1662" s="52" t="n">
        <v>0</v>
      </c>
      <c r="Z1662" s="52" t="n">
        <v>0</v>
      </c>
      <c r="AA1662" s="52" t="n">
        <v>0</v>
      </c>
      <c r="AB1662" s="53" t="n">
        <v>0</v>
      </c>
      <c r="AC1662" s="52" t="n">
        <v>0</v>
      </c>
      <c r="AD1662" s="53" t="n">
        <v>0</v>
      </c>
      <c r="AE1662" s="52" t="n">
        <v>0</v>
      </c>
      <c r="AF1662" s="51" t="n">
        <v>0</v>
      </c>
      <c r="AG1662" s="48" t="n">
        <v>0</v>
      </c>
      <c r="AH1662" s="49" t="n">
        <v>0</v>
      </c>
      <c r="AI1662" s="49" t="n">
        <v>0</v>
      </c>
      <c r="AJ1662" s="50" t="n">
        <v>0</v>
      </c>
      <c r="AK1662" s="51" t="n">
        <v>0</v>
      </c>
      <c r="AL1662" s="52" t="n">
        <v>0</v>
      </c>
      <c r="AM1662" s="52" t="n">
        <v>0</v>
      </c>
      <c r="AN1662" s="52" t="n">
        <v>0</v>
      </c>
      <c r="AO1662" s="53" t="n">
        <v>0</v>
      </c>
      <c r="AP1662" s="52" t="n">
        <v>0</v>
      </c>
      <c r="AQ1662" s="53" t="n">
        <v>0</v>
      </c>
      <c r="AR1662" s="52" t="n">
        <v>0</v>
      </c>
      <c r="AS1662" s="51" t="n">
        <v>0</v>
      </c>
      <c r="AT1662" s="48" t="n">
        <v>0</v>
      </c>
      <c r="AU1662" s="49" t="n">
        <v>0</v>
      </c>
      <c r="AV1662" s="49" t="n">
        <v>0</v>
      </c>
      <c r="AW1662" s="50" t="n">
        <v>0</v>
      </c>
      <c r="AX1662" s="51" t="n">
        <v>0</v>
      </c>
      <c r="AY1662" s="52" t="n">
        <v>0</v>
      </c>
      <c r="AZ1662" s="52" t="n">
        <v>0</v>
      </c>
      <c r="BA1662" s="52" t="n">
        <v>0</v>
      </c>
      <c r="BB1662" s="53" t="n">
        <v>0</v>
      </c>
      <c r="BC1662" s="52" t="n">
        <v>0</v>
      </c>
      <c r="BD1662" s="53" t="n">
        <v>0</v>
      </c>
      <c r="BE1662" s="52" t="n">
        <v>0</v>
      </c>
      <c r="BF1662" s="51" t="n">
        <v>0</v>
      </c>
    </row>
    <row r="1663">
      <c r="A1663">
        <f>HYPERLINK("https://www.walmart.com/ip/120589079", "120589079")</f>
        <v/>
      </c>
      <c r="B1663" t="inlineStr">
        <is>
          <t>KC Caps Race Collection Caps with High Quality USA Fag Racing Graphic</t>
        </is>
      </c>
      <c r="C1663" t="inlineStr">
        <is>
          <t>KC-AS04</t>
        </is>
      </c>
      <c r="D1663" t="inlineStr">
        <is>
          <t>Hats</t>
        </is>
      </c>
      <c r="E1663" t="inlineStr">
        <is>
          <t>KC Caps</t>
        </is>
      </c>
      <c r="F1663" t="inlineStr">
        <is>
          <t>Batch 1 - TR</t>
        </is>
      </c>
      <c r="G1663" s="48" t="n">
        <v>0</v>
      </c>
      <c r="H1663" s="49" t="n">
        <v>0</v>
      </c>
      <c r="I1663" s="49" t="n">
        <v>0</v>
      </c>
      <c r="J1663" s="50" t="n">
        <v>0</v>
      </c>
      <c r="K1663" s="51" t="n">
        <v>0</v>
      </c>
      <c r="L1663" s="52" t="n">
        <v>0</v>
      </c>
      <c r="M1663" s="52" t="n">
        <v>0</v>
      </c>
      <c r="N1663" s="52" t="n">
        <v>0</v>
      </c>
      <c r="O1663" s="53" t="n">
        <v>0</v>
      </c>
      <c r="P1663" s="52" t="n">
        <v>0</v>
      </c>
      <c r="Q1663" s="53" t="n">
        <v>0</v>
      </c>
      <c r="R1663" s="52" t="n">
        <v>0</v>
      </c>
      <c r="S1663" s="51" t="n">
        <v>0</v>
      </c>
      <c r="T1663" s="48" t="n">
        <v>0</v>
      </c>
      <c r="U1663" s="49" t="n">
        <v>0</v>
      </c>
      <c r="V1663" s="49" t="n">
        <v>0</v>
      </c>
      <c r="W1663" s="50" t="n">
        <v>0</v>
      </c>
      <c r="X1663" s="51" t="n">
        <v>0</v>
      </c>
      <c r="Y1663" s="52" t="n">
        <v>0</v>
      </c>
      <c r="Z1663" s="52" t="n">
        <v>0</v>
      </c>
      <c r="AA1663" s="52" t="n">
        <v>0</v>
      </c>
      <c r="AB1663" s="53" t="n">
        <v>0</v>
      </c>
      <c r="AC1663" s="52" t="n">
        <v>0</v>
      </c>
      <c r="AD1663" s="53" t="n">
        <v>0</v>
      </c>
      <c r="AE1663" s="52" t="n">
        <v>0</v>
      </c>
      <c r="AF1663" s="51" t="n">
        <v>0</v>
      </c>
      <c r="AG1663" s="48" t="n">
        <v>0</v>
      </c>
      <c r="AH1663" s="49" t="n">
        <v>0</v>
      </c>
      <c r="AI1663" s="49" t="n">
        <v>0</v>
      </c>
      <c r="AJ1663" s="50" t="n">
        <v>0</v>
      </c>
      <c r="AK1663" s="51" t="n">
        <v>0</v>
      </c>
      <c r="AL1663" s="52" t="n">
        <v>0</v>
      </c>
      <c r="AM1663" s="52" t="n">
        <v>0</v>
      </c>
      <c r="AN1663" s="52" t="n">
        <v>0</v>
      </c>
      <c r="AO1663" s="53" t="n">
        <v>0</v>
      </c>
      <c r="AP1663" s="52" t="n">
        <v>0</v>
      </c>
      <c r="AQ1663" s="53" t="n">
        <v>0</v>
      </c>
      <c r="AR1663" s="52" t="n">
        <v>0</v>
      </c>
      <c r="AS1663" s="51" t="n">
        <v>0</v>
      </c>
      <c r="AT1663" s="48" t="n">
        <v>0</v>
      </c>
      <c r="AU1663" s="49" t="n">
        <v>0</v>
      </c>
      <c r="AV1663" s="49" t="n">
        <v>0</v>
      </c>
      <c r="AW1663" s="50" t="n">
        <v>0</v>
      </c>
      <c r="AX1663" s="51" t="n">
        <v>0</v>
      </c>
      <c r="AY1663" s="52" t="n">
        <v>0</v>
      </c>
      <c r="AZ1663" s="52" t="n">
        <v>0</v>
      </c>
      <c r="BA1663" s="52" t="n">
        <v>0</v>
      </c>
      <c r="BB1663" s="53" t="n">
        <v>0</v>
      </c>
      <c r="BC1663" s="52" t="n">
        <v>0</v>
      </c>
      <c r="BD1663" s="53" t="n">
        <v>0</v>
      </c>
      <c r="BE1663" s="52" t="n">
        <v>0</v>
      </c>
      <c r="BF1663" s="51" t="n">
        <v>0</v>
      </c>
    </row>
    <row r="1664">
      <c r="A1664">
        <f>HYPERLINK("https://www.walmart.com/ip/117100856", "117100856")</f>
        <v/>
      </c>
      <c r="B1664" t="inlineStr">
        <is>
          <t>Catalonia Adult Knitted Mermaid Tail Blanket with Anti-Slip Neck Strap Soft Snuggie Throw All Seasons Sleep Bag 66.5” x</t>
        </is>
      </c>
      <c r="C1664" t="inlineStr">
        <is>
          <t>1CTMM100PK</t>
        </is>
      </c>
      <c r="D1664" t="inlineStr">
        <is>
          <t>Throws</t>
        </is>
      </c>
      <c r="E1664" t="inlineStr">
        <is>
          <t>Catalonia</t>
        </is>
      </c>
      <c r="F1664" t="inlineStr">
        <is>
          <t>Optimized</t>
        </is>
      </c>
      <c r="G1664" s="48" t="n">
        <v>0</v>
      </c>
      <c r="H1664" s="49" t="n">
        <v>0</v>
      </c>
      <c r="I1664" s="49" t="n">
        <v>0</v>
      </c>
      <c r="J1664" s="50" t="n">
        <v>0</v>
      </c>
      <c r="K1664" s="51" t="n">
        <v>0</v>
      </c>
      <c r="L1664" s="52" t="n">
        <v>0</v>
      </c>
      <c r="M1664" s="52" t="n">
        <v>0</v>
      </c>
      <c r="N1664" s="52" t="n">
        <v>0</v>
      </c>
      <c r="O1664" s="53" t="n">
        <v>0</v>
      </c>
      <c r="P1664" s="52" t="n">
        <v>0</v>
      </c>
      <c r="Q1664" s="53" t="n">
        <v>0</v>
      </c>
      <c r="R1664" s="52" t="n">
        <v>0</v>
      </c>
      <c r="S1664" s="51" t="n">
        <v>0</v>
      </c>
      <c r="T1664" s="48" t="n">
        <v>0</v>
      </c>
      <c r="U1664" s="49" t="n">
        <v>0</v>
      </c>
      <c r="V1664" s="49" t="n">
        <v>0</v>
      </c>
      <c r="W1664" s="50" t="n">
        <v>0</v>
      </c>
      <c r="X1664" s="51" t="n">
        <v>0</v>
      </c>
      <c r="Y1664" s="52" t="n">
        <v>0</v>
      </c>
      <c r="Z1664" s="52" t="n">
        <v>0</v>
      </c>
      <c r="AA1664" s="52" t="n">
        <v>0</v>
      </c>
      <c r="AB1664" s="53" t="n">
        <v>0</v>
      </c>
      <c r="AC1664" s="52" t="n">
        <v>0</v>
      </c>
      <c r="AD1664" s="53" t="n">
        <v>0</v>
      </c>
      <c r="AE1664" s="52" t="n">
        <v>0</v>
      </c>
      <c r="AF1664" s="51" t="n">
        <v>0</v>
      </c>
      <c r="AG1664" s="48" t="n">
        <v>0</v>
      </c>
      <c r="AH1664" s="49" t="n">
        <v>0</v>
      </c>
      <c r="AI1664" s="49" t="n">
        <v>0</v>
      </c>
      <c r="AJ1664" s="50" t="n">
        <v>0</v>
      </c>
      <c r="AK1664" s="51" t="n">
        <v>0</v>
      </c>
      <c r="AL1664" s="52" t="n">
        <v>0</v>
      </c>
      <c r="AM1664" s="52" t="n">
        <v>0</v>
      </c>
      <c r="AN1664" s="52" t="n">
        <v>0</v>
      </c>
      <c r="AO1664" s="53" t="n">
        <v>0</v>
      </c>
      <c r="AP1664" s="52" t="n">
        <v>0</v>
      </c>
      <c r="AQ1664" s="53" t="n">
        <v>0</v>
      </c>
      <c r="AR1664" s="52" t="n">
        <v>0</v>
      </c>
      <c r="AS1664" s="51" t="n">
        <v>0</v>
      </c>
      <c r="AT1664" s="48" t="n">
        <v>0</v>
      </c>
      <c r="AU1664" s="49" t="n">
        <v>0</v>
      </c>
      <c r="AV1664" s="49" t="n">
        <v>0</v>
      </c>
      <c r="AW1664" s="50" t="n">
        <v>0</v>
      </c>
      <c r="AX1664" s="51" t="n">
        <v>0</v>
      </c>
      <c r="AY1664" s="52" t="n">
        <v>0</v>
      </c>
      <c r="AZ1664" s="52" t="n">
        <v>0</v>
      </c>
      <c r="BA1664" s="52" t="n">
        <v>0</v>
      </c>
      <c r="BB1664" s="53" t="n">
        <v>0</v>
      </c>
      <c r="BC1664" s="52" t="n">
        <v>0</v>
      </c>
      <c r="BD1664" s="53" t="n">
        <v>0</v>
      </c>
      <c r="BE1664" s="52" t="n">
        <v>0</v>
      </c>
      <c r="BF1664" s="51" t="n">
        <v>0</v>
      </c>
    </row>
    <row r="1665">
      <c r="A1665">
        <f>HYPERLINK("https://www.walmart.com/ip/116809211", "116809211")</f>
        <v/>
      </c>
      <c r="B1665" t="inlineStr">
        <is>
          <t>Catalonia Queen Size Sherpa Comforter Set,  Ultra-soft Reversible Fluffy Micromink Bedding Set-3 Pieces, 1 Comforter and 2 Pillow Shams, 88x90 inches</t>
        </is>
      </c>
      <c r="C1665" t="inlineStr">
        <is>
          <t>1CTBQ300QF-GY</t>
        </is>
      </c>
      <c r="D1665" t="inlineStr">
        <is>
          <t>Bedding Sets</t>
        </is>
      </c>
      <c r="E1665" t="inlineStr">
        <is>
          <t>Catalonia</t>
        </is>
      </c>
      <c r="F1665" t="inlineStr">
        <is>
          <t>WFS,WFS Item</t>
        </is>
      </c>
      <c r="G1665" s="48" t="n">
        <v>0</v>
      </c>
      <c r="H1665" s="49" t="n">
        <v>0</v>
      </c>
      <c r="I1665" s="49" t="n">
        <v>0</v>
      </c>
      <c r="J1665" s="50" t="n">
        <v>0</v>
      </c>
      <c r="K1665" s="51" t="n">
        <v>0</v>
      </c>
      <c r="L1665" s="52" t="n">
        <v>0</v>
      </c>
      <c r="M1665" s="52" t="n">
        <v>0</v>
      </c>
      <c r="N1665" s="52" t="n">
        <v>0</v>
      </c>
      <c r="O1665" s="53" t="n">
        <v>0</v>
      </c>
      <c r="P1665" s="52" t="n">
        <v>0</v>
      </c>
      <c r="Q1665" s="53" t="n">
        <v>0</v>
      </c>
      <c r="R1665" s="52" t="n">
        <v>0</v>
      </c>
      <c r="S1665" s="51" t="n">
        <v>0</v>
      </c>
      <c r="T1665" s="48" t="n">
        <v>0</v>
      </c>
      <c r="U1665" s="49" t="n">
        <v>0</v>
      </c>
      <c r="V1665" s="49" t="n">
        <v>0</v>
      </c>
      <c r="W1665" s="50" t="n">
        <v>0</v>
      </c>
      <c r="X1665" s="51" t="n">
        <v>0</v>
      </c>
      <c r="Y1665" s="52" t="n">
        <v>0</v>
      </c>
      <c r="Z1665" s="52" t="n">
        <v>0</v>
      </c>
      <c r="AA1665" s="52" t="n">
        <v>0</v>
      </c>
      <c r="AB1665" s="53" t="n">
        <v>0</v>
      </c>
      <c r="AC1665" s="52" t="n">
        <v>0</v>
      </c>
      <c r="AD1665" s="53" t="n">
        <v>0</v>
      </c>
      <c r="AE1665" s="52" t="n">
        <v>0</v>
      </c>
      <c r="AF1665" s="51" t="n">
        <v>0</v>
      </c>
      <c r="AG1665" s="48" t="n">
        <v>0</v>
      </c>
      <c r="AH1665" s="49" t="n">
        <v>0</v>
      </c>
      <c r="AI1665" s="49" t="n">
        <v>0</v>
      </c>
      <c r="AJ1665" s="50" t="n">
        <v>0</v>
      </c>
      <c r="AK1665" s="51" t="n">
        <v>0</v>
      </c>
      <c r="AL1665" s="52" t="n">
        <v>0</v>
      </c>
      <c r="AM1665" s="52" t="n">
        <v>0</v>
      </c>
      <c r="AN1665" s="52" t="n">
        <v>0</v>
      </c>
      <c r="AO1665" s="53" t="n">
        <v>0</v>
      </c>
      <c r="AP1665" s="52" t="n">
        <v>0</v>
      </c>
      <c r="AQ1665" s="53" t="n">
        <v>0</v>
      </c>
      <c r="AR1665" s="52" t="n">
        <v>0</v>
      </c>
      <c r="AS1665" s="51" t="n">
        <v>0</v>
      </c>
      <c r="AT1665" s="48" t="n">
        <v>0</v>
      </c>
      <c r="AU1665" s="49" t="n">
        <v>0</v>
      </c>
      <c r="AV1665" s="49" t="n">
        <v>0</v>
      </c>
      <c r="AW1665" s="50" t="n">
        <v>0</v>
      </c>
      <c r="AX1665" s="51" t="n">
        <v>0</v>
      </c>
      <c r="AY1665" s="52" t="n">
        <v>0</v>
      </c>
      <c r="AZ1665" s="52" t="n">
        <v>0</v>
      </c>
      <c r="BA1665" s="52" t="n">
        <v>0</v>
      </c>
      <c r="BB1665" s="53" t="n">
        <v>0</v>
      </c>
      <c r="BC1665" s="52" t="n">
        <v>0</v>
      </c>
      <c r="BD1665" s="53" t="n">
        <v>0</v>
      </c>
      <c r="BE1665" s="52" t="n">
        <v>0</v>
      </c>
      <c r="BF1665" s="51" t="n">
        <v>0</v>
      </c>
    </row>
    <row r="1666">
      <c r="A1666">
        <f>HYPERLINK("https://www.walmart.com/ip/114176686", "114176686")</f>
        <v/>
      </c>
      <c r="B1666" t="inlineStr">
        <is>
          <t>Terra Faux Fur Pom Pom Beanie Hat Thick Slouchy Cable Knit Soft Warm Micro Fleece Lined Unisex Stretches to Fit Most</t>
        </is>
      </c>
      <c r="C1666" t="inlineStr">
        <is>
          <t>TERRAPPH01RD</t>
        </is>
      </c>
      <c r="D1666" t="inlineStr">
        <is>
          <t>Hats</t>
        </is>
      </c>
      <c r="E1666" t="inlineStr">
        <is>
          <t>Terra</t>
        </is>
      </c>
      <c r="F1666" t="inlineStr">
        <is>
          <t>Optimized</t>
        </is>
      </c>
      <c r="G1666" s="48" t="n">
        <v>0</v>
      </c>
      <c r="H1666" s="49" t="n">
        <v>0</v>
      </c>
      <c r="I1666" s="49" t="n">
        <v>0</v>
      </c>
      <c r="J1666" s="50" t="n">
        <v>0</v>
      </c>
      <c r="K1666" s="51" t="n">
        <v>0</v>
      </c>
      <c r="L1666" s="52" t="n">
        <v>0</v>
      </c>
      <c r="M1666" s="52" t="n">
        <v>0</v>
      </c>
      <c r="N1666" s="52" t="n">
        <v>0</v>
      </c>
      <c r="O1666" s="53" t="n">
        <v>0</v>
      </c>
      <c r="P1666" s="52" t="n">
        <v>0</v>
      </c>
      <c r="Q1666" s="53" t="n">
        <v>0</v>
      </c>
      <c r="R1666" s="52" t="n">
        <v>0</v>
      </c>
      <c r="S1666" s="51" t="n">
        <v>0</v>
      </c>
      <c r="T1666" s="48" t="n">
        <v>0</v>
      </c>
      <c r="U1666" s="49" t="n">
        <v>0</v>
      </c>
      <c r="V1666" s="49" t="n">
        <v>0</v>
      </c>
      <c r="W1666" s="50" t="n">
        <v>0</v>
      </c>
      <c r="X1666" s="51" t="n">
        <v>0</v>
      </c>
      <c r="Y1666" s="52" t="n">
        <v>0</v>
      </c>
      <c r="Z1666" s="52" t="n">
        <v>0</v>
      </c>
      <c r="AA1666" s="52" t="n">
        <v>0</v>
      </c>
      <c r="AB1666" s="53" t="n">
        <v>0</v>
      </c>
      <c r="AC1666" s="52" t="n">
        <v>0</v>
      </c>
      <c r="AD1666" s="53" t="n">
        <v>0</v>
      </c>
      <c r="AE1666" s="52" t="n">
        <v>0</v>
      </c>
      <c r="AF1666" s="51" t="n">
        <v>0</v>
      </c>
      <c r="AG1666" s="48" t="n">
        <v>0</v>
      </c>
      <c r="AH1666" s="49" t="n">
        <v>0</v>
      </c>
      <c r="AI1666" s="49" t="n">
        <v>0</v>
      </c>
      <c r="AJ1666" s="50" t="n">
        <v>0</v>
      </c>
      <c r="AK1666" s="51" t="n">
        <v>0</v>
      </c>
      <c r="AL1666" s="52" t="n">
        <v>0</v>
      </c>
      <c r="AM1666" s="52" t="n">
        <v>0</v>
      </c>
      <c r="AN1666" s="52" t="n">
        <v>0</v>
      </c>
      <c r="AO1666" s="53" t="n">
        <v>0</v>
      </c>
      <c r="AP1666" s="52" t="n">
        <v>0</v>
      </c>
      <c r="AQ1666" s="53" t="n">
        <v>0</v>
      </c>
      <c r="AR1666" s="52" t="n">
        <v>0</v>
      </c>
      <c r="AS1666" s="51" t="n">
        <v>0</v>
      </c>
      <c r="AT1666" s="48" t="n">
        <v>0</v>
      </c>
      <c r="AU1666" s="49" t="n">
        <v>0</v>
      </c>
      <c r="AV1666" s="49" t="n">
        <v>0</v>
      </c>
      <c r="AW1666" s="50" t="n">
        <v>0</v>
      </c>
      <c r="AX1666" s="51" t="n">
        <v>0</v>
      </c>
      <c r="AY1666" s="52" t="n">
        <v>0</v>
      </c>
      <c r="AZ1666" s="52" t="n">
        <v>0</v>
      </c>
      <c r="BA1666" s="52" t="n">
        <v>0</v>
      </c>
      <c r="BB1666" s="53" t="n">
        <v>0</v>
      </c>
      <c r="BC1666" s="52" t="n">
        <v>0</v>
      </c>
      <c r="BD1666" s="53" t="n">
        <v>0</v>
      </c>
      <c r="BE1666" s="52" t="n">
        <v>0</v>
      </c>
      <c r="BF1666" s="51" t="n">
        <v>0</v>
      </c>
    </row>
    <row r="1667">
      <c r="A1667">
        <f>HYPERLINK("https://www.walmart.com/ip/116474060", "116474060")</f>
        <v/>
      </c>
      <c r="B1667" t="inlineStr">
        <is>
          <t>Deluxe Stylish Microplush Sleeved Fleece Blanket Soft Home Sofa Snuggie</t>
        </is>
      </c>
      <c r="C1667" t="inlineStr">
        <is>
          <t>k3000-blue</t>
        </is>
      </c>
      <c r="D1667" t="inlineStr">
        <is>
          <t>Throws</t>
        </is>
      </c>
      <c r="E1667" t="inlineStr">
        <is>
          <t>NAPA</t>
        </is>
      </c>
      <c r="F1667" t="inlineStr">
        <is>
          <t>Batch 1 - TR</t>
        </is>
      </c>
      <c r="G1667" s="48" t="n">
        <v>0</v>
      </c>
      <c r="H1667" s="49" t="n">
        <v>0</v>
      </c>
      <c r="I1667" s="49" t="n">
        <v>0</v>
      </c>
      <c r="J1667" s="50" t="n">
        <v>0</v>
      </c>
      <c r="K1667" s="51" t="n">
        <v>0</v>
      </c>
      <c r="L1667" s="52" t="n">
        <v>0</v>
      </c>
      <c r="M1667" s="52" t="n">
        <v>0</v>
      </c>
      <c r="N1667" s="52" t="n">
        <v>0</v>
      </c>
      <c r="O1667" s="53" t="n">
        <v>0</v>
      </c>
      <c r="P1667" s="52" t="n">
        <v>0</v>
      </c>
      <c r="Q1667" s="53" t="n">
        <v>0</v>
      </c>
      <c r="R1667" s="52" t="n">
        <v>0</v>
      </c>
      <c r="S1667" s="51" t="n">
        <v>0</v>
      </c>
      <c r="T1667" s="48" t="n">
        <v>0</v>
      </c>
      <c r="U1667" s="49" t="n">
        <v>0</v>
      </c>
      <c r="V1667" s="49" t="n">
        <v>0</v>
      </c>
      <c r="W1667" s="50" t="n">
        <v>0</v>
      </c>
      <c r="X1667" s="51" t="n">
        <v>0</v>
      </c>
      <c r="Y1667" s="52" t="n">
        <v>0</v>
      </c>
      <c r="Z1667" s="52" t="n">
        <v>0</v>
      </c>
      <c r="AA1667" s="52" t="n">
        <v>0</v>
      </c>
      <c r="AB1667" s="53" t="n">
        <v>0</v>
      </c>
      <c r="AC1667" s="52" t="n">
        <v>0</v>
      </c>
      <c r="AD1667" s="53" t="n">
        <v>0</v>
      </c>
      <c r="AE1667" s="52" t="n">
        <v>0</v>
      </c>
      <c r="AF1667" s="51" t="n">
        <v>0</v>
      </c>
      <c r="AG1667" s="48" t="n">
        <v>0</v>
      </c>
      <c r="AH1667" s="49" t="n">
        <v>0</v>
      </c>
      <c r="AI1667" s="49" t="n">
        <v>0</v>
      </c>
      <c r="AJ1667" s="50" t="n">
        <v>0</v>
      </c>
      <c r="AK1667" s="51" t="n">
        <v>0</v>
      </c>
      <c r="AL1667" s="52" t="n">
        <v>0</v>
      </c>
      <c r="AM1667" s="52" t="n">
        <v>0</v>
      </c>
      <c r="AN1667" s="52" t="n">
        <v>0</v>
      </c>
      <c r="AO1667" s="53" t="n">
        <v>0</v>
      </c>
      <c r="AP1667" s="52" t="n">
        <v>0</v>
      </c>
      <c r="AQ1667" s="53" t="n">
        <v>0</v>
      </c>
      <c r="AR1667" s="52" t="n">
        <v>0</v>
      </c>
      <c r="AS1667" s="51" t="n">
        <v>0</v>
      </c>
      <c r="AT1667" s="48" t="n">
        <v>0</v>
      </c>
      <c r="AU1667" s="49" t="n">
        <v>0</v>
      </c>
      <c r="AV1667" s="49" t="n">
        <v>0</v>
      </c>
      <c r="AW1667" s="50" t="n">
        <v>0</v>
      </c>
      <c r="AX1667" s="51" t="n">
        <v>0</v>
      </c>
      <c r="AY1667" s="52" t="n">
        <v>0</v>
      </c>
      <c r="AZ1667" s="52" t="n">
        <v>0</v>
      </c>
      <c r="BA1667" s="52" t="n">
        <v>0</v>
      </c>
      <c r="BB1667" s="53" t="n">
        <v>0</v>
      </c>
      <c r="BC1667" s="52" t="n">
        <v>0</v>
      </c>
      <c r="BD1667" s="53" t="n">
        <v>0</v>
      </c>
      <c r="BE1667" s="52" t="n">
        <v>0</v>
      </c>
      <c r="BF1667" s="51" t="n">
        <v>0</v>
      </c>
    </row>
    <row r="1668">
      <c r="A1668">
        <f>HYPERLINK("https://www.walmart.com/ip/114178501", "114178501")</f>
        <v/>
      </c>
      <c r="B1668" t="inlineStr">
        <is>
          <t>Catalonia Wearable Blanket with Sleeves and Pocket, Cozy Soft Fleece Micro Plush Wrap Adult Blanket Robe for Women Men, Zebra Pattern Makes a Great Gift for Holidays.</t>
        </is>
      </c>
      <c r="C1668" t="inlineStr">
        <is>
          <t>1CTSN100ZEBRA</t>
        </is>
      </c>
      <c r="D1668" t="inlineStr">
        <is>
          <t>Throws</t>
        </is>
      </c>
      <c r="E1668" t="inlineStr">
        <is>
          <t>Catalonia</t>
        </is>
      </c>
      <c r="F1668" t="inlineStr">
        <is>
          <t>Q2-Target,WFS,Coupon_Discount,WFS Item</t>
        </is>
      </c>
      <c r="G1668" s="48" t="n">
        <v>0</v>
      </c>
      <c r="H1668" s="49" t="n">
        <v>0</v>
      </c>
      <c r="I1668" s="49" t="n">
        <v>0</v>
      </c>
      <c r="J1668" s="50" t="n">
        <v>0</v>
      </c>
      <c r="K1668" s="51" t="n">
        <v>0</v>
      </c>
      <c r="L1668" s="52" t="n">
        <v>0</v>
      </c>
      <c r="M1668" s="52" t="n">
        <v>0</v>
      </c>
      <c r="N1668" s="52" t="n">
        <v>0</v>
      </c>
      <c r="O1668" s="53" t="n">
        <v>0</v>
      </c>
      <c r="P1668" s="52" t="n">
        <v>0</v>
      </c>
      <c r="Q1668" s="53" t="n">
        <v>0</v>
      </c>
      <c r="R1668" s="52" t="n">
        <v>0</v>
      </c>
      <c r="S1668" s="51" t="n">
        <v>0</v>
      </c>
      <c r="T1668" s="48" t="n">
        <v>0</v>
      </c>
      <c r="U1668" s="49" t="n">
        <v>0</v>
      </c>
      <c r="V1668" s="49" t="n">
        <v>0</v>
      </c>
      <c r="W1668" s="50" t="n">
        <v>0</v>
      </c>
      <c r="X1668" s="51" t="n">
        <v>0</v>
      </c>
      <c r="Y1668" s="52" t="n">
        <v>0</v>
      </c>
      <c r="Z1668" s="52" t="n">
        <v>0</v>
      </c>
      <c r="AA1668" s="52" t="n">
        <v>0</v>
      </c>
      <c r="AB1668" s="53" t="n">
        <v>0</v>
      </c>
      <c r="AC1668" s="52" t="n">
        <v>0</v>
      </c>
      <c r="AD1668" s="53" t="n">
        <v>0</v>
      </c>
      <c r="AE1668" s="52" t="n">
        <v>0</v>
      </c>
      <c r="AF1668" s="51" t="n">
        <v>0</v>
      </c>
      <c r="AG1668" s="48" t="n">
        <v>0</v>
      </c>
      <c r="AH1668" s="49" t="n">
        <v>0</v>
      </c>
      <c r="AI1668" s="49" t="n">
        <v>0</v>
      </c>
      <c r="AJ1668" s="50" t="n">
        <v>0</v>
      </c>
      <c r="AK1668" s="51" t="n">
        <v>0</v>
      </c>
      <c r="AL1668" s="52" t="n">
        <v>0</v>
      </c>
      <c r="AM1668" s="52" t="n">
        <v>0</v>
      </c>
      <c r="AN1668" s="52" t="n">
        <v>0</v>
      </c>
      <c r="AO1668" s="53" t="n">
        <v>0</v>
      </c>
      <c r="AP1668" s="52" t="n">
        <v>0</v>
      </c>
      <c r="AQ1668" s="53" t="n">
        <v>0</v>
      </c>
      <c r="AR1668" s="52" t="n">
        <v>0</v>
      </c>
      <c r="AS1668" s="51" t="n">
        <v>0</v>
      </c>
      <c r="AT1668" s="48" t="n">
        <v>0</v>
      </c>
      <c r="AU1668" s="49" t="n">
        <v>0</v>
      </c>
      <c r="AV1668" s="49" t="n">
        <v>0</v>
      </c>
      <c r="AW1668" s="50" t="n">
        <v>0</v>
      </c>
      <c r="AX1668" s="51" t="n">
        <v>0</v>
      </c>
      <c r="AY1668" s="52" t="n">
        <v>0</v>
      </c>
      <c r="AZ1668" s="52" t="n">
        <v>0</v>
      </c>
      <c r="BA1668" s="52" t="n">
        <v>0</v>
      </c>
      <c r="BB1668" s="53" t="n">
        <v>0</v>
      </c>
      <c r="BC1668" s="52" t="n">
        <v>0</v>
      </c>
      <c r="BD1668" s="53" t="n">
        <v>0</v>
      </c>
      <c r="BE1668" s="52" t="n">
        <v>0</v>
      </c>
      <c r="BF1668" s="51" t="n">
        <v>0</v>
      </c>
    </row>
    <row r="1669">
      <c r="A1669">
        <f>HYPERLINK("https://www.walmart.com/ip/114442162", "114442162")</f>
        <v/>
      </c>
      <c r="B1669" t="inlineStr">
        <is>
          <t>Tirrinia Outdoor Wide Brim Sun Hat for Men Women Bucket Hat Safari Hiking Hunting Boonie Cap Grey</t>
        </is>
      </c>
      <c r="C1669" t="inlineStr">
        <is>
          <t>1TRSH191GY-TBCB</t>
        </is>
      </c>
      <c r="D1669" t="inlineStr">
        <is>
          <t>Hats</t>
        </is>
      </c>
      <c r="E1669" t="inlineStr">
        <is>
          <t>Sun Blocker</t>
        </is>
      </c>
      <c r="G1669" s="48" t="n">
        <v>0</v>
      </c>
      <c r="H1669" s="49" t="n">
        <v>0</v>
      </c>
      <c r="I1669" s="49" t="n">
        <v>0</v>
      </c>
      <c r="J1669" s="50" t="n">
        <v>0</v>
      </c>
      <c r="K1669" s="51" t="n">
        <v>0</v>
      </c>
      <c r="L1669" s="52" t="n">
        <v>0</v>
      </c>
      <c r="M1669" s="52" t="n">
        <v>0</v>
      </c>
      <c r="N1669" s="52" t="n">
        <v>0</v>
      </c>
      <c r="O1669" s="53" t="n">
        <v>0</v>
      </c>
      <c r="P1669" s="52" t="n">
        <v>0</v>
      </c>
      <c r="Q1669" s="53" t="n">
        <v>0</v>
      </c>
      <c r="R1669" s="52" t="n">
        <v>0</v>
      </c>
      <c r="S1669" s="51" t="n">
        <v>0</v>
      </c>
      <c r="T1669" s="48" t="n">
        <v>0</v>
      </c>
      <c r="U1669" s="49" t="n">
        <v>0</v>
      </c>
      <c r="V1669" s="49" t="n">
        <v>0</v>
      </c>
      <c r="W1669" s="50" t="n">
        <v>0</v>
      </c>
      <c r="X1669" s="51" t="n">
        <v>0</v>
      </c>
      <c r="Y1669" s="52" t="n">
        <v>0</v>
      </c>
      <c r="Z1669" s="52" t="n">
        <v>0</v>
      </c>
      <c r="AA1669" s="52" t="n">
        <v>0</v>
      </c>
      <c r="AB1669" s="53" t="n">
        <v>0</v>
      </c>
      <c r="AC1669" s="52" t="n">
        <v>0</v>
      </c>
      <c r="AD1669" s="53" t="n">
        <v>0</v>
      </c>
      <c r="AE1669" s="52" t="n">
        <v>0</v>
      </c>
      <c r="AF1669" s="51" t="n">
        <v>0</v>
      </c>
      <c r="AG1669" s="48" t="n">
        <v>0</v>
      </c>
      <c r="AH1669" s="49" t="n">
        <v>0</v>
      </c>
      <c r="AI1669" s="49" t="n">
        <v>0</v>
      </c>
      <c r="AJ1669" s="50" t="n">
        <v>0</v>
      </c>
      <c r="AK1669" s="51" t="n">
        <v>0</v>
      </c>
      <c r="AL1669" s="52" t="n">
        <v>0</v>
      </c>
      <c r="AM1669" s="52" t="n">
        <v>0</v>
      </c>
      <c r="AN1669" s="52" t="n">
        <v>0</v>
      </c>
      <c r="AO1669" s="53" t="n">
        <v>0</v>
      </c>
      <c r="AP1669" s="52" t="n">
        <v>0</v>
      </c>
      <c r="AQ1669" s="53" t="n">
        <v>0</v>
      </c>
      <c r="AR1669" s="52" t="n">
        <v>0</v>
      </c>
      <c r="AS1669" s="51" t="n">
        <v>0</v>
      </c>
      <c r="AT1669" s="48" t="n">
        <v>0</v>
      </c>
      <c r="AU1669" s="49" t="n">
        <v>0</v>
      </c>
      <c r="AV1669" s="49" t="n">
        <v>0</v>
      </c>
      <c r="AW1669" s="50" t="n">
        <v>0</v>
      </c>
      <c r="AX1669" s="51" t="n">
        <v>0</v>
      </c>
      <c r="AY1669" s="52" t="n">
        <v>0</v>
      </c>
      <c r="AZ1669" s="52" t="n">
        <v>0</v>
      </c>
      <c r="BA1669" s="52" t="n">
        <v>0</v>
      </c>
      <c r="BB1669" s="53" t="n">
        <v>0</v>
      </c>
      <c r="BC1669" s="52" t="n">
        <v>0</v>
      </c>
      <c r="BD1669" s="53" t="n">
        <v>0</v>
      </c>
      <c r="BE1669" s="52" t="n">
        <v>0</v>
      </c>
      <c r="BF1669" s="51" t="n">
        <v>0</v>
      </c>
    </row>
    <row r="1670">
      <c r="A1670">
        <f>HYPERLINK("https://www.walmart.com/ip/1145889350", "1145889350")</f>
        <v/>
      </c>
      <c r="B1670" t="inlineStr">
        <is>
          <t>Tirrinia Neon Hunting Orange Safety Cap Closure</t>
        </is>
      </c>
      <c r="C1670" t="inlineStr">
        <is>
          <t>1TRHT7121NEON-12pcs</t>
        </is>
      </c>
      <c r="D1670" t="inlineStr">
        <is>
          <t>Hats</t>
        </is>
      </c>
      <c r="E1670" t="inlineStr">
        <is>
          <t>Tirrinia</t>
        </is>
      </c>
      <c r="F1670" t="inlineStr">
        <is>
          <t>Batch 1 - TR</t>
        </is>
      </c>
      <c r="G1670" s="48" t="n">
        <v>0</v>
      </c>
      <c r="H1670" s="49" t="n">
        <v>0</v>
      </c>
      <c r="I1670" s="49" t="n">
        <v>0</v>
      </c>
      <c r="J1670" s="50" t="n">
        <v>0</v>
      </c>
      <c r="K1670" s="51" t="n">
        <v>0</v>
      </c>
      <c r="L1670" s="52" t="n">
        <v>0</v>
      </c>
      <c r="M1670" s="52" t="n">
        <v>0</v>
      </c>
      <c r="N1670" s="52" t="n">
        <v>0</v>
      </c>
      <c r="O1670" s="53" t="n">
        <v>0</v>
      </c>
      <c r="P1670" s="52" t="n">
        <v>0</v>
      </c>
      <c r="Q1670" s="53" t="n">
        <v>0</v>
      </c>
      <c r="R1670" s="52" t="n">
        <v>0</v>
      </c>
      <c r="S1670" s="51" t="n">
        <v>0</v>
      </c>
      <c r="T1670" s="48" t="n">
        <v>0</v>
      </c>
      <c r="U1670" s="49" t="n">
        <v>0</v>
      </c>
      <c r="V1670" s="49" t="n">
        <v>0</v>
      </c>
      <c r="W1670" s="50" t="n">
        <v>0</v>
      </c>
      <c r="X1670" s="51" t="n">
        <v>0</v>
      </c>
      <c r="Y1670" s="52" t="n">
        <v>0</v>
      </c>
      <c r="Z1670" s="52" t="n">
        <v>0</v>
      </c>
      <c r="AA1670" s="52" t="n">
        <v>0</v>
      </c>
      <c r="AB1670" s="53" t="n">
        <v>0</v>
      </c>
      <c r="AC1670" s="52" t="n">
        <v>0</v>
      </c>
      <c r="AD1670" s="53" t="n">
        <v>0</v>
      </c>
      <c r="AE1670" s="52" t="n">
        <v>0</v>
      </c>
      <c r="AF1670" s="51" t="n">
        <v>0</v>
      </c>
      <c r="AG1670" s="48" t="n">
        <v>0</v>
      </c>
      <c r="AH1670" s="49" t="n">
        <v>0</v>
      </c>
      <c r="AI1670" s="49" t="n">
        <v>0</v>
      </c>
      <c r="AJ1670" s="50" t="n">
        <v>0</v>
      </c>
      <c r="AK1670" s="51" t="n">
        <v>0</v>
      </c>
      <c r="AL1670" s="52" t="n">
        <v>0</v>
      </c>
      <c r="AM1670" s="52" t="n">
        <v>0</v>
      </c>
      <c r="AN1670" s="52" t="n">
        <v>0</v>
      </c>
      <c r="AO1670" s="53" t="n">
        <v>0</v>
      </c>
      <c r="AP1670" s="52" t="n">
        <v>0</v>
      </c>
      <c r="AQ1670" s="53" t="n">
        <v>0</v>
      </c>
      <c r="AR1670" s="52" t="n">
        <v>0</v>
      </c>
      <c r="AS1670" s="51" t="n">
        <v>0</v>
      </c>
      <c r="AT1670" s="48" t="n">
        <v>0</v>
      </c>
      <c r="AU1670" s="49" t="n">
        <v>0</v>
      </c>
      <c r="AV1670" s="49" t="n">
        <v>0</v>
      </c>
      <c r="AW1670" s="50" t="n">
        <v>0</v>
      </c>
      <c r="AX1670" s="51" t="n">
        <v>0</v>
      </c>
      <c r="AY1670" s="52" t="n">
        <v>0</v>
      </c>
      <c r="AZ1670" s="52" t="n">
        <v>0</v>
      </c>
      <c r="BA1670" s="52" t="n">
        <v>0</v>
      </c>
      <c r="BB1670" s="53" t="n">
        <v>0</v>
      </c>
      <c r="BC1670" s="52" t="n">
        <v>0</v>
      </c>
      <c r="BD1670" s="53" t="n">
        <v>0</v>
      </c>
      <c r="BE1670" s="52" t="n">
        <v>0</v>
      </c>
      <c r="BF1670" s="51" t="n">
        <v>0</v>
      </c>
    </row>
    <row r="1671">
      <c r="A1671">
        <f>HYPERLINK("https://www.walmart.com/ip/114654734", "114654734")</f>
        <v/>
      </c>
      <c r="B1671" t="inlineStr">
        <is>
          <t>undefined</t>
        </is>
      </c>
      <c r="C1671" t="inlineStr">
        <is>
          <t>JWBLSPH2041-6pcs</t>
        </is>
      </c>
      <c r="G1671" s="48" t="n">
        <v>0</v>
      </c>
      <c r="H1671" s="49" t="n">
        <v>0</v>
      </c>
      <c r="I1671" s="49" t="n">
        <v>0</v>
      </c>
      <c r="J1671" s="50" t="n">
        <v>0</v>
      </c>
      <c r="K1671" s="51" t="n">
        <v>0</v>
      </c>
      <c r="L1671" s="52" t="n">
        <v>0</v>
      </c>
      <c r="M1671" s="52" t="n">
        <v>0</v>
      </c>
      <c r="N1671" s="52" t="n">
        <v>0</v>
      </c>
      <c r="O1671" s="53" t="n">
        <v>0</v>
      </c>
      <c r="P1671" s="52" t="n">
        <v>0</v>
      </c>
      <c r="Q1671" s="53" t="n">
        <v>0</v>
      </c>
      <c r="R1671" s="52" t="n">
        <v>0</v>
      </c>
      <c r="S1671" s="51" t="n">
        <v>0</v>
      </c>
      <c r="T1671" s="48" t="n">
        <v>0</v>
      </c>
      <c r="U1671" s="49" t="n">
        <v>0</v>
      </c>
      <c r="V1671" s="49" t="n">
        <v>0</v>
      </c>
      <c r="W1671" s="50" t="n">
        <v>0</v>
      </c>
      <c r="X1671" s="51" t="n">
        <v>0</v>
      </c>
      <c r="Y1671" s="52" t="n">
        <v>0</v>
      </c>
      <c r="Z1671" s="52" t="n">
        <v>0</v>
      </c>
      <c r="AA1671" s="52" t="n">
        <v>0</v>
      </c>
      <c r="AB1671" s="53" t="n">
        <v>0</v>
      </c>
      <c r="AC1671" s="52" t="n">
        <v>0</v>
      </c>
      <c r="AD1671" s="53" t="n">
        <v>0</v>
      </c>
      <c r="AE1671" s="52" t="n">
        <v>0</v>
      </c>
      <c r="AF1671" s="51" t="n">
        <v>0</v>
      </c>
      <c r="AG1671" s="48" t="n">
        <v>0</v>
      </c>
      <c r="AH1671" s="49" t="n">
        <v>0</v>
      </c>
      <c r="AI1671" s="49" t="n">
        <v>0</v>
      </c>
      <c r="AJ1671" s="50" t="n">
        <v>0</v>
      </c>
      <c r="AK1671" s="51" t="n">
        <v>0</v>
      </c>
      <c r="AL1671" s="52" t="n">
        <v>0</v>
      </c>
      <c r="AM1671" s="52" t="n">
        <v>0</v>
      </c>
      <c r="AN1671" s="52" t="n">
        <v>0</v>
      </c>
      <c r="AO1671" s="53" t="n">
        <v>0</v>
      </c>
      <c r="AP1671" s="52" t="n">
        <v>0</v>
      </c>
      <c r="AQ1671" s="53" t="n">
        <v>0</v>
      </c>
      <c r="AR1671" s="52" t="n">
        <v>0</v>
      </c>
      <c r="AS1671" s="51" t="n">
        <v>0</v>
      </c>
      <c r="AT1671" s="48" t="n">
        <v>0</v>
      </c>
      <c r="AU1671" s="49" t="n">
        <v>0</v>
      </c>
      <c r="AV1671" s="49" t="n">
        <v>0</v>
      </c>
      <c r="AW1671" s="50" t="n">
        <v>0</v>
      </c>
      <c r="AX1671" s="51" t="n">
        <v>0</v>
      </c>
      <c r="AY1671" s="52" t="n">
        <v>0</v>
      </c>
      <c r="AZ1671" s="52" t="n">
        <v>0</v>
      </c>
      <c r="BA1671" s="52" t="n">
        <v>0</v>
      </c>
      <c r="BB1671" s="53" t="n">
        <v>0</v>
      </c>
      <c r="BC1671" s="52" t="n">
        <v>0</v>
      </c>
      <c r="BD1671" s="53" t="n">
        <v>0</v>
      </c>
      <c r="BE1671" s="52" t="n">
        <v>0</v>
      </c>
      <c r="BF1671" s="51" t="n">
        <v>0</v>
      </c>
    </row>
    <row r="1672">
      <c r="A1672">
        <f>HYPERLINK("https://www.walmart.com/ip/114742690", "114742690")</f>
        <v/>
      </c>
      <c r="B1672" t="inlineStr">
        <is>
          <t>JenniWears Women's Beileise Sexy Pantyhose Lace Stockings Black Sheer Socks</t>
        </is>
      </c>
      <c r="C1672" t="inlineStr">
        <is>
          <t>JWBLSPH2091</t>
        </is>
      </c>
      <c r="D1672" t="inlineStr">
        <is>
          <t>Pantyhose &amp; Tights</t>
        </is>
      </c>
      <c r="E1672" t="inlineStr">
        <is>
          <t>JenniWears</t>
        </is>
      </c>
      <c r="F1672" t="inlineStr">
        <is>
          <t>Valentine,WFS Item</t>
        </is>
      </c>
      <c r="G1672" s="48" t="n">
        <v>0</v>
      </c>
      <c r="H1672" s="49" t="n">
        <v>0</v>
      </c>
      <c r="I1672" s="49" t="n">
        <v>0</v>
      </c>
      <c r="J1672" s="50" t="n">
        <v>0</v>
      </c>
      <c r="K1672" s="51" t="n">
        <v>0</v>
      </c>
      <c r="L1672" s="52" t="n">
        <v>0</v>
      </c>
      <c r="M1672" s="52" t="n">
        <v>0</v>
      </c>
      <c r="N1672" s="52" t="n">
        <v>0</v>
      </c>
      <c r="O1672" s="53" t="n">
        <v>0</v>
      </c>
      <c r="P1672" s="52" t="n">
        <v>0</v>
      </c>
      <c r="Q1672" s="53" t="n">
        <v>0</v>
      </c>
      <c r="R1672" s="52" t="n">
        <v>0</v>
      </c>
      <c r="S1672" s="51" t="n">
        <v>0</v>
      </c>
      <c r="T1672" s="48" t="n">
        <v>0</v>
      </c>
      <c r="U1672" s="49" t="n">
        <v>0</v>
      </c>
      <c r="V1672" s="49" t="n">
        <v>0</v>
      </c>
      <c r="W1672" s="50" t="n">
        <v>0</v>
      </c>
      <c r="X1672" s="51" t="n">
        <v>0</v>
      </c>
      <c r="Y1672" s="52" t="n">
        <v>0</v>
      </c>
      <c r="Z1672" s="52" t="n">
        <v>0</v>
      </c>
      <c r="AA1672" s="52" t="n">
        <v>0</v>
      </c>
      <c r="AB1672" s="53" t="n">
        <v>0</v>
      </c>
      <c r="AC1672" s="52" t="n">
        <v>0</v>
      </c>
      <c r="AD1672" s="53" t="n">
        <v>0</v>
      </c>
      <c r="AE1672" s="52" t="n">
        <v>0</v>
      </c>
      <c r="AF1672" s="51" t="n">
        <v>0</v>
      </c>
      <c r="AG1672" s="48" t="n">
        <v>0</v>
      </c>
      <c r="AH1672" s="49" t="n">
        <v>0</v>
      </c>
      <c r="AI1672" s="49" t="n">
        <v>0</v>
      </c>
      <c r="AJ1672" s="50" t="n">
        <v>0</v>
      </c>
      <c r="AK1672" s="51" t="n">
        <v>0</v>
      </c>
      <c r="AL1672" s="52" t="n">
        <v>0</v>
      </c>
      <c r="AM1672" s="52" t="n">
        <v>0</v>
      </c>
      <c r="AN1672" s="52" t="n">
        <v>0</v>
      </c>
      <c r="AO1672" s="53" t="n">
        <v>0</v>
      </c>
      <c r="AP1672" s="52" t="n">
        <v>0</v>
      </c>
      <c r="AQ1672" s="53" t="n">
        <v>0</v>
      </c>
      <c r="AR1672" s="52" t="n">
        <v>0</v>
      </c>
      <c r="AS1672" s="51" t="n">
        <v>0</v>
      </c>
      <c r="AT1672" s="48" t="n">
        <v>0</v>
      </c>
      <c r="AU1672" s="49" t="n">
        <v>0</v>
      </c>
      <c r="AV1672" s="49" t="n">
        <v>0</v>
      </c>
      <c r="AW1672" s="50" t="n">
        <v>0</v>
      </c>
      <c r="AX1672" s="51" t="n">
        <v>0</v>
      </c>
      <c r="AY1672" s="52" t="n">
        <v>0</v>
      </c>
      <c r="AZ1672" s="52" t="n">
        <v>0</v>
      </c>
      <c r="BA1672" s="52" t="n">
        <v>0</v>
      </c>
      <c r="BB1672" s="53" t="n">
        <v>0</v>
      </c>
      <c r="BC1672" s="52" t="n">
        <v>0</v>
      </c>
      <c r="BD1672" s="53" t="n">
        <v>0</v>
      </c>
      <c r="BE1672" s="52" t="n">
        <v>0</v>
      </c>
      <c r="BF1672" s="51" t="n">
        <v>0</v>
      </c>
    </row>
    <row r="1673">
      <c r="A1673">
        <f>HYPERLINK("https://www.walmart.com/ip/115422991", "115422991")</f>
        <v/>
      </c>
      <c r="B1673" t="inlineStr">
        <is>
          <t>JenniWears® Women's Kimono Lace Lingerie Sleepwear Matching Cheeky Panty</t>
        </is>
      </c>
      <c r="C1673" t="inlineStr">
        <is>
          <t>JWRS01PK-XL</t>
        </is>
      </c>
      <c r="D1673" t="inlineStr">
        <is>
          <t>Lingerie Sets</t>
        </is>
      </c>
      <c r="E1673" t="inlineStr">
        <is>
          <t>JenniWears</t>
        </is>
      </c>
      <c r="F1673" t="inlineStr">
        <is>
          <t>Optimized,Valentine</t>
        </is>
      </c>
      <c r="G1673" s="48" t="n">
        <v>0</v>
      </c>
      <c r="H1673" s="49" t="n">
        <v>0</v>
      </c>
      <c r="I1673" s="49" t="n">
        <v>0</v>
      </c>
      <c r="J1673" s="50" t="n">
        <v>0</v>
      </c>
      <c r="K1673" s="51" t="n">
        <v>0</v>
      </c>
      <c r="L1673" s="52" t="n">
        <v>0</v>
      </c>
      <c r="M1673" s="52" t="n">
        <v>0</v>
      </c>
      <c r="N1673" s="52" t="n">
        <v>0</v>
      </c>
      <c r="O1673" s="53" t="n">
        <v>0</v>
      </c>
      <c r="P1673" s="52" t="n">
        <v>0</v>
      </c>
      <c r="Q1673" s="53" t="n">
        <v>0</v>
      </c>
      <c r="R1673" s="52" t="n">
        <v>0</v>
      </c>
      <c r="S1673" s="51" t="n">
        <v>0</v>
      </c>
      <c r="T1673" s="48" t="n">
        <v>0</v>
      </c>
      <c r="U1673" s="49" t="n">
        <v>0</v>
      </c>
      <c r="V1673" s="49" t="n">
        <v>0</v>
      </c>
      <c r="W1673" s="50" t="n">
        <v>0</v>
      </c>
      <c r="X1673" s="51" t="n">
        <v>0</v>
      </c>
      <c r="Y1673" s="52" t="n">
        <v>0</v>
      </c>
      <c r="Z1673" s="52" t="n">
        <v>0</v>
      </c>
      <c r="AA1673" s="52" t="n">
        <v>0</v>
      </c>
      <c r="AB1673" s="53" t="n">
        <v>0</v>
      </c>
      <c r="AC1673" s="52" t="n">
        <v>0</v>
      </c>
      <c r="AD1673" s="53" t="n">
        <v>0</v>
      </c>
      <c r="AE1673" s="52" t="n">
        <v>0</v>
      </c>
      <c r="AF1673" s="51" t="n">
        <v>0</v>
      </c>
      <c r="AG1673" s="48" t="n">
        <v>0</v>
      </c>
      <c r="AH1673" s="49" t="n">
        <v>0</v>
      </c>
      <c r="AI1673" s="49" t="n">
        <v>0</v>
      </c>
      <c r="AJ1673" s="50" t="n">
        <v>0</v>
      </c>
      <c r="AK1673" s="51" t="n">
        <v>0</v>
      </c>
      <c r="AL1673" s="52" t="n">
        <v>0</v>
      </c>
      <c r="AM1673" s="52" t="n">
        <v>0</v>
      </c>
      <c r="AN1673" s="52" t="n">
        <v>0</v>
      </c>
      <c r="AO1673" s="53" t="n">
        <v>0</v>
      </c>
      <c r="AP1673" s="52" t="n">
        <v>0</v>
      </c>
      <c r="AQ1673" s="53" t="n">
        <v>0</v>
      </c>
      <c r="AR1673" s="52" t="n">
        <v>0</v>
      </c>
      <c r="AS1673" s="51" t="n">
        <v>0</v>
      </c>
      <c r="AT1673" s="48" t="n">
        <v>0</v>
      </c>
      <c r="AU1673" s="49" t="n">
        <v>0</v>
      </c>
      <c r="AV1673" s="49" t="n">
        <v>0</v>
      </c>
      <c r="AW1673" s="50" t="n">
        <v>0</v>
      </c>
      <c r="AX1673" s="51" t="n">
        <v>0</v>
      </c>
      <c r="AY1673" s="52" t="n">
        <v>0</v>
      </c>
      <c r="AZ1673" s="52" t="n">
        <v>0</v>
      </c>
      <c r="BA1673" s="52" t="n">
        <v>0</v>
      </c>
      <c r="BB1673" s="53" t="n">
        <v>0</v>
      </c>
      <c r="BC1673" s="52" t="n">
        <v>0</v>
      </c>
      <c r="BD1673" s="53" t="n">
        <v>0</v>
      </c>
      <c r="BE1673" s="52" t="n">
        <v>0</v>
      </c>
      <c r="BF1673" s="51" t="n">
        <v>0</v>
      </c>
    </row>
    <row r="1674">
      <c r="A1674">
        <f>HYPERLINK("https://www.walmart.com/ip/115573533", "115573533")</f>
        <v/>
      </c>
      <c r="B1674" t="inlineStr">
        <is>
          <t>JenniWears Women's Intimate Fishnet Bodystocking Chemise Lingerie Dress</t>
        </is>
      </c>
      <c r="C1674" t="inlineStr">
        <is>
          <t>JWBS8817</t>
        </is>
      </c>
      <c r="D1674" t="inlineStr">
        <is>
          <t>Teddies &amp; Bodystockings</t>
        </is>
      </c>
      <c r="E1674" t="inlineStr">
        <is>
          <t>JenniWears</t>
        </is>
      </c>
      <c r="F1674" t="inlineStr">
        <is>
          <t>Valentine</t>
        </is>
      </c>
      <c r="G1674" s="48" t="n">
        <v>0</v>
      </c>
      <c r="H1674" s="49" t="n">
        <v>0</v>
      </c>
      <c r="I1674" s="49" t="n">
        <v>0</v>
      </c>
      <c r="J1674" s="50" t="n">
        <v>0</v>
      </c>
      <c r="K1674" s="51" t="n">
        <v>0</v>
      </c>
      <c r="L1674" s="52" t="n">
        <v>0</v>
      </c>
      <c r="M1674" s="52" t="n">
        <v>0</v>
      </c>
      <c r="N1674" s="52" t="n">
        <v>0</v>
      </c>
      <c r="O1674" s="53" t="n">
        <v>0</v>
      </c>
      <c r="P1674" s="52" t="n">
        <v>0</v>
      </c>
      <c r="Q1674" s="53" t="n">
        <v>0</v>
      </c>
      <c r="R1674" s="52" t="n">
        <v>0</v>
      </c>
      <c r="S1674" s="51" t="n">
        <v>0</v>
      </c>
      <c r="T1674" s="48" t="n">
        <v>0</v>
      </c>
      <c r="U1674" s="49" t="n">
        <v>0</v>
      </c>
      <c r="V1674" s="49" t="n">
        <v>0</v>
      </c>
      <c r="W1674" s="50" t="n">
        <v>0</v>
      </c>
      <c r="X1674" s="51" t="n">
        <v>0</v>
      </c>
      <c r="Y1674" s="52" t="n">
        <v>0</v>
      </c>
      <c r="Z1674" s="52" t="n">
        <v>0</v>
      </c>
      <c r="AA1674" s="52" t="n">
        <v>0</v>
      </c>
      <c r="AB1674" s="53" t="n">
        <v>0</v>
      </c>
      <c r="AC1674" s="52" t="n">
        <v>0</v>
      </c>
      <c r="AD1674" s="53" t="n">
        <v>0</v>
      </c>
      <c r="AE1674" s="52" t="n">
        <v>0</v>
      </c>
      <c r="AF1674" s="51" t="n">
        <v>0</v>
      </c>
      <c r="AG1674" s="48" t="n">
        <v>0</v>
      </c>
      <c r="AH1674" s="49" t="n">
        <v>0</v>
      </c>
      <c r="AI1674" s="49" t="n">
        <v>0</v>
      </c>
      <c r="AJ1674" s="50" t="n">
        <v>0</v>
      </c>
      <c r="AK1674" s="51" t="n">
        <v>0</v>
      </c>
      <c r="AL1674" s="52" t="n">
        <v>0</v>
      </c>
      <c r="AM1674" s="52" t="n">
        <v>0</v>
      </c>
      <c r="AN1674" s="52" t="n">
        <v>0</v>
      </c>
      <c r="AO1674" s="53" t="n">
        <v>0</v>
      </c>
      <c r="AP1674" s="52" t="n">
        <v>0</v>
      </c>
      <c r="AQ1674" s="53" t="n">
        <v>0</v>
      </c>
      <c r="AR1674" s="52" t="n">
        <v>0</v>
      </c>
      <c r="AS1674" s="51" t="n">
        <v>0</v>
      </c>
      <c r="AT1674" s="48" t="n">
        <v>0</v>
      </c>
      <c r="AU1674" s="49" t="n">
        <v>0</v>
      </c>
      <c r="AV1674" s="49" t="n">
        <v>0</v>
      </c>
      <c r="AW1674" s="50" t="n">
        <v>0</v>
      </c>
      <c r="AX1674" s="51" t="n">
        <v>0</v>
      </c>
      <c r="AY1674" s="52" t="n">
        <v>0</v>
      </c>
      <c r="AZ1674" s="52" t="n">
        <v>0</v>
      </c>
      <c r="BA1674" s="52" t="n">
        <v>0</v>
      </c>
      <c r="BB1674" s="53" t="n">
        <v>0</v>
      </c>
      <c r="BC1674" s="52" t="n">
        <v>0</v>
      </c>
      <c r="BD1674" s="53" t="n">
        <v>0</v>
      </c>
      <c r="BE1674" s="52" t="n">
        <v>0</v>
      </c>
      <c r="BF1674" s="51" t="n">
        <v>0</v>
      </c>
    </row>
    <row r="1675">
      <c r="A1675">
        <f>HYPERLINK("https://www.walmart.com/ip/115623032", "115623032")</f>
        <v/>
      </c>
      <c r="B1675" t="inlineStr">
        <is>
          <t>JenniWears® Women's Sexy Strappy Lace Mesh Chemise Lingerie with G-string</t>
        </is>
      </c>
      <c r="C1675" t="inlineStr">
        <is>
          <t>JWBD03BKPP-M</t>
        </is>
      </c>
      <c r="D1675" t="inlineStr">
        <is>
          <t>Lingerie Sets</t>
        </is>
      </c>
      <c r="E1675" t="inlineStr">
        <is>
          <t>JenniWears</t>
        </is>
      </c>
      <c r="F1675" t="inlineStr">
        <is>
          <t>Optimized,Valentine</t>
        </is>
      </c>
      <c r="G1675" s="48" t="n">
        <v>0</v>
      </c>
      <c r="H1675" s="49" t="n">
        <v>0</v>
      </c>
      <c r="I1675" s="49" t="n">
        <v>1</v>
      </c>
      <c r="J1675" s="50" t="n">
        <v>0</v>
      </c>
      <c r="K1675" s="51" t="n">
        <v>0</v>
      </c>
      <c r="L1675" s="52" t="n">
        <v>0</v>
      </c>
      <c r="M1675" s="52" t="n">
        <v>0</v>
      </c>
      <c r="N1675" s="52" t="n">
        <v>0</v>
      </c>
      <c r="O1675" s="53" t="n">
        <v>0</v>
      </c>
      <c r="P1675" s="52" t="n">
        <v>0</v>
      </c>
      <c r="Q1675" s="53" t="n">
        <v>0</v>
      </c>
      <c r="R1675" s="52" t="n">
        <v>0</v>
      </c>
      <c r="S1675" s="51" t="n">
        <v>0</v>
      </c>
      <c r="T1675" s="48" t="n">
        <v>0</v>
      </c>
      <c r="U1675" s="49" t="n">
        <v>0</v>
      </c>
      <c r="V1675" s="49" t="n">
        <v>0</v>
      </c>
      <c r="W1675" s="50" t="n">
        <v>0</v>
      </c>
      <c r="X1675" s="51" t="n">
        <v>0</v>
      </c>
      <c r="Y1675" s="52" t="n">
        <v>0</v>
      </c>
      <c r="Z1675" s="52" t="n">
        <v>0</v>
      </c>
      <c r="AA1675" s="52" t="n">
        <v>0</v>
      </c>
      <c r="AB1675" s="53" t="n">
        <v>0</v>
      </c>
      <c r="AC1675" s="52" t="n">
        <v>0</v>
      </c>
      <c r="AD1675" s="53" t="n">
        <v>0</v>
      </c>
      <c r="AE1675" s="52" t="n">
        <v>0</v>
      </c>
      <c r="AF1675" s="51" t="n">
        <v>0</v>
      </c>
      <c r="AG1675" s="48" t="n">
        <v>0</v>
      </c>
      <c r="AH1675" s="49" t="n">
        <v>0</v>
      </c>
      <c r="AI1675" s="49" t="n">
        <v>0</v>
      </c>
      <c r="AJ1675" s="50" t="n">
        <v>0</v>
      </c>
      <c r="AK1675" s="51" t="n">
        <v>0</v>
      </c>
      <c r="AL1675" s="52" t="n">
        <v>0</v>
      </c>
      <c r="AM1675" s="52" t="n">
        <v>0</v>
      </c>
      <c r="AN1675" s="52" t="n">
        <v>0</v>
      </c>
      <c r="AO1675" s="53" t="n">
        <v>0</v>
      </c>
      <c r="AP1675" s="52" t="n">
        <v>0</v>
      </c>
      <c r="AQ1675" s="53" t="n">
        <v>0</v>
      </c>
      <c r="AR1675" s="52" t="n">
        <v>0</v>
      </c>
      <c r="AS1675" s="51" t="n">
        <v>0</v>
      </c>
      <c r="AT1675" s="48" t="n">
        <v>0</v>
      </c>
      <c r="AU1675" s="49" t="n">
        <v>0</v>
      </c>
      <c r="AV1675" s="49" t="n">
        <v>0</v>
      </c>
      <c r="AW1675" s="50" t="n">
        <v>0</v>
      </c>
      <c r="AX1675" s="51" t="n">
        <v>0</v>
      </c>
      <c r="AY1675" s="52" t="n">
        <v>0</v>
      </c>
      <c r="AZ1675" s="52" t="n">
        <v>0</v>
      </c>
      <c r="BA1675" s="52" t="n">
        <v>0</v>
      </c>
      <c r="BB1675" s="53" t="n">
        <v>0</v>
      </c>
      <c r="BC1675" s="52" t="n">
        <v>0</v>
      </c>
      <c r="BD1675" s="53" t="n">
        <v>0</v>
      </c>
      <c r="BE1675" s="52" t="n">
        <v>0</v>
      </c>
      <c r="BF1675" s="51" t="n">
        <v>0</v>
      </c>
    </row>
    <row r="1676">
      <c r="A1676">
        <f>HYPERLINK("https://www.walmart.com/ip/1158723968", "1158723968")</f>
        <v/>
      </c>
      <c r="B1676" t="inlineStr">
        <is>
          <t>12 Pack Sun Blocker Women's Sun Hat Reversible Bucket Cap UPF 50+ Outdoor Travel Beach Hat, Pink</t>
        </is>
      </c>
      <c r="C1676" t="inlineStr">
        <is>
          <t>KC-S9200-PK-12pcs</t>
        </is>
      </c>
      <c r="D1676" t="inlineStr">
        <is>
          <t>Hats</t>
        </is>
      </c>
      <c r="E1676" t="inlineStr">
        <is>
          <t>Sun Blocker</t>
        </is>
      </c>
      <c r="F1676" t="inlineStr">
        <is>
          <t>Batch 1 - TR</t>
        </is>
      </c>
      <c r="G1676" s="48" t="n">
        <v>0</v>
      </c>
      <c r="H1676" s="49" t="n">
        <v>0</v>
      </c>
      <c r="I1676" s="49" t="n">
        <v>0</v>
      </c>
      <c r="J1676" s="50" t="n">
        <v>0</v>
      </c>
      <c r="K1676" s="51" t="n">
        <v>0</v>
      </c>
      <c r="L1676" s="52" t="n">
        <v>0</v>
      </c>
      <c r="M1676" s="52" t="n">
        <v>0</v>
      </c>
      <c r="N1676" s="52" t="n">
        <v>0</v>
      </c>
      <c r="O1676" s="53" t="n">
        <v>0</v>
      </c>
      <c r="P1676" s="52" t="n">
        <v>0</v>
      </c>
      <c r="Q1676" s="53" t="n">
        <v>0</v>
      </c>
      <c r="R1676" s="52" t="n">
        <v>0</v>
      </c>
      <c r="S1676" s="51" t="n">
        <v>0</v>
      </c>
      <c r="T1676" s="48" t="n">
        <v>0</v>
      </c>
      <c r="U1676" s="49" t="n">
        <v>0</v>
      </c>
      <c r="V1676" s="49" t="n">
        <v>0</v>
      </c>
      <c r="W1676" s="50" t="n">
        <v>0</v>
      </c>
      <c r="X1676" s="51" t="n">
        <v>0</v>
      </c>
      <c r="Y1676" s="52" t="n">
        <v>0</v>
      </c>
      <c r="Z1676" s="52" t="n">
        <v>0</v>
      </c>
      <c r="AA1676" s="52" t="n">
        <v>0</v>
      </c>
      <c r="AB1676" s="53" t="n">
        <v>0</v>
      </c>
      <c r="AC1676" s="52" t="n">
        <v>0</v>
      </c>
      <c r="AD1676" s="53" t="n">
        <v>0</v>
      </c>
      <c r="AE1676" s="52" t="n">
        <v>0</v>
      </c>
      <c r="AF1676" s="51" t="n">
        <v>0</v>
      </c>
      <c r="AG1676" s="48" t="n">
        <v>0</v>
      </c>
      <c r="AH1676" s="49" t="n">
        <v>0</v>
      </c>
      <c r="AI1676" s="49" t="n">
        <v>0</v>
      </c>
      <c r="AJ1676" s="50" t="n">
        <v>0</v>
      </c>
      <c r="AK1676" s="51" t="n">
        <v>0</v>
      </c>
      <c r="AL1676" s="52" t="n">
        <v>0</v>
      </c>
      <c r="AM1676" s="52" t="n">
        <v>0</v>
      </c>
      <c r="AN1676" s="52" t="n">
        <v>0</v>
      </c>
      <c r="AO1676" s="53" t="n">
        <v>0</v>
      </c>
      <c r="AP1676" s="52" t="n">
        <v>0</v>
      </c>
      <c r="AQ1676" s="53" t="n">
        <v>0</v>
      </c>
      <c r="AR1676" s="52" t="n">
        <v>0</v>
      </c>
      <c r="AS1676" s="51" t="n">
        <v>0</v>
      </c>
      <c r="AT1676" s="48" t="n">
        <v>0</v>
      </c>
      <c r="AU1676" s="49" t="n">
        <v>0</v>
      </c>
      <c r="AV1676" s="49" t="n">
        <v>0</v>
      </c>
      <c r="AW1676" s="50" t="n">
        <v>0</v>
      </c>
      <c r="AX1676" s="51" t="n">
        <v>0</v>
      </c>
      <c r="AY1676" s="52" t="n">
        <v>0</v>
      </c>
      <c r="AZ1676" s="52" t="n">
        <v>0</v>
      </c>
      <c r="BA1676" s="52" t="n">
        <v>0</v>
      </c>
      <c r="BB1676" s="53" t="n">
        <v>0</v>
      </c>
      <c r="BC1676" s="52" t="n">
        <v>0</v>
      </c>
      <c r="BD1676" s="53" t="n">
        <v>0</v>
      </c>
      <c r="BE1676" s="52" t="n">
        <v>0</v>
      </c>
      <c r="BF1676" s="51" t="n">
        <v>0</v>
      </c>
    </row>
    <row r="1677">
      <c r="A1677">
        <f>HYPERLINK("https://www.walmart.com/ip/116106539", "116106539")</f>
        <v/>
      </c>
      <c r="B1677" t="inlineStr">
        <is>
          <t>Sherpa Slipper Socks for Women,Winter Indoor Home Non Skid Booties</t>
        </is>
      </c>
      <c r="C1677" t="inlineStr">
        <is>
          <t>1CTST200PP-1</t>
        </is>
      </c>
      <c r="D1677" t="inlineStr">
        <is>
          <t>Socks</t>
        </is>
      </c>
      <c r="E1677" t="inlineStr">
        <is>
          <t>Catalonia</t>
        </is>
      </c>
      <c r="F1677" t="inlineStr">
        <is>
          <t>WFS,WFS Item</t>
        </is>
      </c>
      <c r="G1677" s="48" t="n">
        <v>0</v>
      </c>
      <c r="H1677" s="49" t="n">
        <v>0</v>
      </c>
      <c r="I1677" s="49" t="n">
        <v>0</v>
      </c>
      <c r="J1677" s="50" t="n">
        <v>0</v>
      </c>
      <c r="K1677" s="51" t="n">
        <v>0</v>
      </c>
      <c r="L1677" s="52" t="n">
        <v>0</v>
      </c>
      <c r="M1677" s="52" t="n">
        <v>0</v>
      </c>
      <c r="N1677" s="52" t="n">
        <v>0</v>
      </c>
      <c r="O1677" s="53" t="n">
        <v>0</v>
      </c>
      <c r="P1677" s="52" t="n">
        <v>0</v>
      </c>
      <c r="Q1677" s="53" t="n">
        <v>0</v>
      </c>
      <c r="R1677" s="52" t="n">
        <v>0</v>
      </c>
      <c r="S1677" s="51" t="n">
        <v>0</v>
      </c>
      <c r="T1677" s="48" t="n">
        <v>0</v>
      </c>
      <c r="U1677" s="49" t="n">
        <v>0</v>
      </c>
      <c r="V1677" s="49" t="n">
        <v>0</v>
      </c>
      <c r="W1677" s="50" t="n">
        <v>0</v>
      </c>
      <c r="X1677" s="51" t="n">
        <v>0</v>
      </c>
      <c r="Y1677" s="52" t="n">
        <v>0</v>
      </c>
      <c r="Z1677" s="52" t="n">
        <v>0</v>
      </c>
      <c r="AA1677" s="52" t="n">
        <v>0</v>
      </c>
      <c r="AB1677" s="53" t="n">
        <v>0</v>
      </c>
      <c r="AC1677" s="52" t="n">
        <v>0</v>
      </c>
      <c r="AD1677" s="53" t="n">
        <v>0</v>
      </c>
      <c r="AE1677" s="52" t="n">
        <v>0</v>
      </c>
      <c r="AF1677" s="51" t="n">
        <v>0</v>
      </c>
      <c r="AG1677" s="48" t="n">
        <v>0</v>
      </c>
      <c r="AH1677" s="49" t="n">
        <v>0</v>
      </c>
      <c r="AI1677" s="49" t="n">
        <v>0</v>
      </c>
      <c r="AJ1677" s="50" t="n">
        <v>0</v>
      </c>
      <c r="AK1677" s="51" t="n">
        <v>0</v>
      </c>
      <c r="AL1677" s="52" t="n">
        <v>0</v>
      </c>
      <c r="AM1677" s="52" t="n">
        <v>0</v>
      </c>
      <c r="AN1677" s="52" t="n">
        <v>0</v>
      </c>
      <c r="AO1677" s="53" t="n">
        <v>0</v>
      </c>
      <c r="AP1677" s="52" t="n">
        <v>0</v>
      </c>
      <c r="AQ1677" s="53" t="n">
        <v>0</v>
      </c>
      <c r="AR1677" s="52" t="n">
        <v>0</v>
      </c>
      <c r="AS1677" s="51" t="n">
        <v>0</v>
      </c>
      <c r="AT1677" s="48" t="n">
        <v>0</v>
      </c>
      <c r="AU1677" s="49" t="n">
        <v>0</v>
      </c>
      <c r="AV1677" s="49" t="n">
        <v>0</v>
      </c>
      <c r="AW1677" s="50" t="n">
        <v>0</v>
      </c>
      <c r="AX1677" s="51" t="n">
        <v>0</v>
      </c>
      <c r="AY1677" s="52" t="n">
        <v>0</v>
      </c>
      <c r="AZ1677" s="52" t="n">
        <v>0</v>
      </c>
      <c r="BA1677" s="52" t="n">
        <v>0</v>
      </c>
      <c r="BB1677" s="53" t="n">
        <v>0</v>
      </c>
      <c r="BC1677" s="52" t="n">
        <v>0</v>
      </c>
      <c r="BD1677" s="53" t="n">
        <v>0</v>
      </c>
      <c r="BE1677" s="52" t="n">
        <v>0</v>
      </c>
      <c r="BF1677" s="51" t="n">
        <v>0</v>
      </c>
    </row>
    <row r="1678">
      <c r="A1678">
        <f>HYPERLINK("https://www.walmart.com/ip/1161344645", "1161344645")</f>
        <v/>
      </c>
      <c r="B1678" t="inlineStr">
        <is>
          <t>Tirrinia Lunch Bags for Women Men, Cute Insulated Lunch Tote Bag for Girls, Fashionable Lunch Box for Adult Kids, Reusable Large Cooler Lunch Bag for School, Work, Office, Picnic | Yellow Lemon</t>
        </is>
      </c>
      <c r="C1678" t="inlineStr">
        <is>
          <t>1WMLB707YLLEM</t>
        </is>
      </c>
      <c r="D1678" t="inlineStr">
        <is>
          <t>Reusable Lunch Bags &amp; Boxes</t>
        </is>
      </c>
      <c r="E1678" t="inlineStr">
        <is>
          <t>Tirrinia</t>
        </is>
      </c>
      <c r="F1678" t="inlineStr">
        <is>
          <t>Q2-Target,Brand Camp VD</t>
        </is>
      </c>
      <c r="G1678" s="48" t="n">
        <v>0</v>
      </c>
      <c r="H1678" s="49" t="n">
        <v>0</v>
      </c>
      <c r="I1678" s="49" t="n">
        <v>0</v>
      </c>
      <c r="J1678" s="50" t="n">
        <v>0</v>
      </c>
      <c r="K1678" s="51" t="n">
        <v>0</v>
      </c>
      <c r="L1678" s="52" t="n">
        <v>0</v>
      </c>
      <c r="M1678" s="52" t="n">
        <v>0</v>
      </c>
      <c r="N1678" s="52" t="n">
        <v>0</v>
      </c>
      <c r="O1678" s="53" t="n">
        <v>0</v>
      </c>
      <c r="P1678" s="52" t="n">
        <v>0</v>
      </c>
      <c r="Q1678" s="53" t="n">
        <v>0</v>
      </c>
      <c r="R1678" s="52" t="n">
        <v>0</v>
      </c>
      <c r="S1678" s="51" t="n">
        <v>0</v>
      </c>
      <c r="T1678" s="48" t="n">
        <v>0</v>
      </c>
      <c r="U1678" s="49" t="n">
        <v>0</v>
      </c>
      <c r="V1678" s="49" t="n">
        <v>0</v>
      </c>
      <c r="W1678" s="50" t="n">
        <v>0</v>
      </c>
      <c r="X1678" s="51" t="n">
        <v>0</v>
      </c>
      <c r="Y1678" s="52" t="n">
        <v>0</v>
      </c>
      <c r="Z1678" s="52" t="n">
        <v>0</v>
      </c>
      <c r="AA1678" s="52" t="n">
        <v>0</v>
      </c>
      <c r="AB1678" s="53" t="n">
        <v>0</v>
      </c>
      <c r="AC1678" s="52" t="n">
        <v>0</v>
      </c>
      <c r="AD1678" s="53" t="n">
        <v>0</v>
      </c>
      <c r="AE1678" s="52" t="n">
        <v>0</v>
      </c>
      <c r="AF1678" s="51" t="n">
        <v>0</v>
      </c>
      <c r="AG1678" s="48" t="n">
        <v>0</v>
      </c>
      <c r="AH1678" s="49" t="n">
        <v>0</v>
      </c>
      <c r="AI1678" s="49" t="n">
        <v>0</v>
      </c>
      <c r="AJ1678" s="50" t="n">
        <v>0</v>
      </c>
      <c r="AK1678" s="51" t="n">
        <v>0</v>
      </c>
      <c r="AL1678" s="52" t="n">
        <v>0</v>
      </c>
      <c r="AM1678" s="52" t="n">
        <v>0</v>
      </c>
      <c r="AN1678" s="52" t="n">
        <v>0</v>
      </c>
      <c r="AO1678" s="53" t="n">
        <v>0</v>
      </c>
      <c r="AP1678" s="52" t="n">
        <v>0</v>
      </c>
      <c r="AQ1678" s="53" t="n">
        <v>0</v>
      </c>
      <c r="AR1678" s="52" t="n">
        <v>0</v>
      </c>
      <c r="AS1678" s="51" t="n">
        <v>0</v>
      </c>
      <c r="AT1678" s="48" t="n">
        <v>0</v>
      </c>
      <c r="AU1678" s="49" t="n">
        <v>0</v>
      </c>
      <c r="AV1678" s="49" t="n">
        <v>0</v>
      </c>
      <c r="AW1678" s="50" t="n">
        <v>0</v>
      </c>
      <c r="AX1678" s="51" t="n">
        <v>0</v>
      </c>
      <c r="AY1678" s="52" t="n">
        <v>0</v>
      </c>
      <c r="AZ1678" s="52" t="n">
        <v>0</v>
      </c>
      <c r="BA1678" s="52" t="n">
        <v>0</v>
      </c>
      <c r="BB1678" s="53" t="n">
        <v>0</v>
      </c>
      <c r="BC1678" s="52" t="n">
        <v>0</v>
      </c>
      <c r="BD1678" s="53" t="n">
        <v>0</v>
      </c>
      <c r="BE1678" s="52" t="n">
        <v>0</v>
      </c>
      <c r="BF1678" s="51" t="n">
        <v>0</v>
      </c>
    </row>
    <row r="1679">
      <c r="A1679">
        <f>HYPERLINK("https://www.walmart.com/ip/116168425", "116168425")</f>
        <v/>
      </c>
      <c r="B1679" t="inlineStr">
        <is>
          <t>Male Female Adjustable Buckle Closure USA Flag Embroidered Cap</t>
        </is>
      </c>
      <c r="C1679" t="inlineStr">
        <is>
          <t>kc-ae8010-kk</t>
        </is>
      </c>
      <c r="D1679" t="inlineStr">
        <is>
          <t>Hats</t>
        </is>
      </c>
      <c r="E1679" t="inlineStr">
        <is>
          <t>KC Caps</t>
        </is>
      </c>
      <c r="F1679" t="inlineStr">
        <is>
          <t>Optimized</t>
        </is>
      </c>
      <c r="G1679" s="48" t="n">
        <v>0</v>
      </c>
      <c r="H1679" s="49" t="n">
        <v>0</v>
      </c>
      <c r="I1679" s="49" t="n">
        <v>0</v>
      </c>
      <c r="J1679" s="50" t="n">
        <v>0</v>
      </c>
      <c r="K1679" s="51" t="n">
        <v>0</v>
      </c>
      <c r="L1679" s="52" t="n">
        <v>0</v>
      </c>
      <c r="M1679" s="52" t="n">
        <v>0</v>
      </c>
      <c r="N1679" s="52" t="n">
        <v>0</v>
      </c>
      <c r="O1679" s="53" t="n">
        <v>0</v>
      </c>
      <c r="P1679" s="52" t="n">
        <v>0</v>
      </c>
      <c r="Q1679" s="53" t="n">
        <v>0</v>
      </c>
      <c r="R1679" s="52" t="n">
        <v>0</v>
      </c>
      <c r="S1679" s="51" t="n">
        <v>0</v>
      </c>
      <c r="T1679" s="48" t="n">
        <v>0</v>
      </c>
      <c r="U1679" s="49" t="n">
        <v>0</v>
      </c>
      <c r="V1679" s="49" t="n">
        <v>0</v>
      </c>
      <c r="W1679" s="50" t="n">
        <v>0</v>
      </c>
      <c r="X1679" s="51" t="n">
        <v>0</v>
      </c>
      <c r="Y1679" s="52" t="n">
        <v>0</v>
      </c>
      <c r="Z1679" s="52" t="n">
        <v>0</v>
      </c>
      <c r="AA1679" s="52" t="n">
        <v>0</v>
      </c>
      <c r="AB1679" s="53" t="n">
        <v>0</v>
      </c>
      <c r="AC1679" s="52" t="n">
        <v>0</v>
      </c>
      <c r="AD1679" s="53" t="n">
        <v>0</v>
      </c>
      <c r="AE1679" s="52" t="n">
        <v>0</v>
      </c>
      <c r="AF1679" s="51" t="n">
        <v>0</v>
      </c>
      <c r="AG1679" s="48" t="n">
        <v>0</v>
      </c>
      <c r="AH1679" s="49" t="n">
        <v>0</v>
      </c>
      <c r="AI1679" s="49" t="n">
        <v>0</v>
      </c>
      <c r="AJ1679" s="50" t="n">
        <v>0</v>
      </c>
      <c r="AK1679" s="51" t="n">
        <v>0</v>
      </c>
      <c r="AL1679" s="52" t="n">
        <v>0</v>
      </c>
      <c r="AM1679" s="52" t="n">
        <v>0</v>
      </c>
      <c r="AN1679" s="52" t="n">
        <v>0</v>
      </c>
      <c r="AO1679" s="53" t="n">
        <v>0</v>
      </c>
      <c r="AP1679" s="52" t="n">
        <v>0</v>
      </c>
      <c r="AQ1679" s="53" t="n">
        <v>0</v>
      </c>
      <c r="AR1679" s="52" t="n">
        <v>0</v>
      </c>
      <c r="AS1679" s="51" t="n">
        <v>0</v>
      </c>
      <c r="AT1679" s="48" t="n">
        <v>0</v>
      </c>
      <c r="AU1679" s="49" t="n">
        <v>0</v>
      </c>
      <c r="AV1679" s="49" t="n">
        <v>0</v>
      </c>
      <c r="AW1679" s="50" t="n">
        <v>0</v>
      </c>
      <c r="AX1679" s="51" t="n">
        <v>0</v>
      </c>
      <c r="AY1679" s="52" t="n">
        <v>0</v>
      </c>
      <c r="AZ1679" s="52" t="n">
        <v>0</v>
      </c>
      <c r="BA1679" s="52" t="n">
        <v>0</v>
      </c>
      <c r="BB1679" s="53" t="n">
        <v>0</v>
      </c>
      <c r="BC1679" s="52" t="n">
        <v>0</v>
      </c>
      <c r="BD1679" s="53" t="n">
        <v>0</v>
      </c>
      <c r="BE1679" s="52" t="n">
        <v>0</v>
      </c>
      <c r="BF1679" s="51" t="n">
        <v>0</v>
      </c>
    </row>
    <row r="1680">
      <c r="A1680">
        <f>HYPERLINK("https://www.walmart.com/ip/116188703", "116188703")</f>
        <v/>
      </c>
      <c r="B1680" t="inlineStr">
        <is>
          <t>Vina® 5 Pcs/set Deluxe Wine Bottle Opener Accessories Gift Set - Wine Bottle Opener, Wine Stopper, Wine Drip Ring, Wine Foil Cutter and Wine Pourer</t>
        </is>
      </c>
      <c r="C1680" t="inlineStr">
        <is>
          <t>VinaWO002RD</t>
        </is>
      </c>
      <c r="D1680" t="inlineStr">
        <is>
          <t>Corkscrews &amp; Wine Bottle Openers</t>
        </is>
      </c>
      <c r="E1680" t="inlineStr">
        <is>
          <t>Vina</t>
        </is>
      </c>
      <c r="F1680" t="inlineStr">
        <is>
          <t>Wine,Christmas,Optimized</t>
        </is>
      </c>
      <c r="G1680" s="48" t="n">
        <v>0</v>
      </c>
      <c r="H1680" s="49" t="n">
        <v>0</v>
      </c>
      <c r="I1680" s="49" t="n">
        <v>0</v>
      </c>
      <c r="J1680" s="50" t="n">
        <v>0</v>
      </c>
      <c r="K1680" s="51" t="n">
        <v>0</v>
      </c>
      <c r="L1680" s="52" t="n">
        <v>0</v>
      </c>
      <c r="M1680" s="52" t="n">
        <v>0</v>
      </c>
      <c r="N1680" s="52" t="n">
        <v>0</v>
      </c>
      <c r="O1680" s="53" t="n">
        <v>0</v>
      </c>
      <c r="P1680" s="52" t="n">
        <v>0</v>
      </c>
      <c r="Q1680" s="53" t="n">
        <v>0</v>
      </c>
      <c r="R1680" s="52" t="n">
        <v>0</v>
      </c>
      <c r="S1680" s="51" t="n">
        <v>0</v>
      </c>
      <c r="T1680" s="48" t="n">
        <v>0</v>
      </c>
      <c r="U1680" s="49" t="n">
        <v>0</v>
      </c>
      <c r="V1680" s="49" t="n">
        <v>0</v>
      </c>
      <c r="W1680" s="50" t="n">
        <v>0</v>
      </c>
      <c r="X1680" s="51" t="n">
        <v>0</v>
      </c>
      <c r="Y1680" s="52" t="n">
        <v>0</v>
      </c>
      <c r="Z1680" s="52" t="n">
        <v>0</v>
      </c>
      <c r="AA1680" s="52" t="n">
        <v>0</v>
      </c>
      <c r="AB1680" s="53" t="n">
        <v>0</v>
      </c>
      <c r="AC1680" s="52" t="n">
        <v>0</v>
      </c>
      <c r="AD1680" s="53" t="n">
        <v>0</v>
      </c>
      <c r="AE1680" s="52" t="n">
        <v>0</v>
      </c>
      <c r="AF1680" s="51" t="n">
        <v>0</v>
      </c>
      <c r="AG1680" s="48" t="n">
        <v>0</v>
      </c>
      <c r="AH1680" s="49" t="n">
        <v>0</v>
      </c>
      <c r="AI1680" s="49" t="n">
        <v>0</v>
      </c>
      <c r="AJ1680" s="50" t="n">
        <v>0</v>
      </c>
      <c r="AK1680" s="51" t="n">
        <v>0</v>
      </c>
      <c r="AL1680" s="52" t="n">
        <v>0</v>
      </c>
      <c r="AM1680" s="52" t="n">
        <v>0</v>
      </c>
      <c r="AN1680" s="52" t="n">
        <v>0</v>
      </c>
      <c r="AO1680" s="53" t="n">
        <v>0</v>
      </c>
      <c r="AP1680" s="52" t="n">
        <v>0</v>
      </c>
      <c r="AQ1680" s="53" t="n">
        <v>0</v>
      </c>
      <c r="AR1680" s="52" t="n">
        <v>0</v>
      </c>
      <c r="AS1680" s="51" t="n">
        <v>0</v>
      </c>
      <c r="AT1680" s="48" t="n">
        <v>0</v>
      </c>
      <c r="AU1680" s="49" t="n">
        <v>0</v>
      </c>
      <c r="AV1680" s="49" t="n">
        <v>0</v>
      </c>
      <c r="AW1680" s="50" t="n">
        <v>0</v>
      </c>
      <c r="AX1680" s="51" t="n">
        <v>0</v>
      </c>
      <c r="AY1680" s="52" t="n">
        <v>0</v>
      </c>
      <c r="AZ1680" s="52" t="n">
        <v>0</v>
      </c>
      <c r="BA1680" s="52" t="n">
        <v>0</v>
      </c>
      <c r="BB1680" s="53" t="n">
        <v>0</v>
      </c>
      <c r="BC1680" s="52" t="n">
        <v>0</v>
      </c>
      <c r="BD1680" s="53" t="n">
        <v>0</v>
      </c>
      <c r="BE1680" s="52" t="n">
        <v>0</v>
      </c>
      <c r="BF1680" s="51" t="n">
        <v>0</v>
      </c>
    </row>
    <row r="1681">
      <c r="A1681">
        <f>HYPERLINK("https://www.walmart.com/ip/116302560", "116302560")</f>
        <v/>
      </c>
      <c r="B1681" t="inlineStr">
        <is>
          <t>JenniWears Beileise Women's Sheer Silicone Lace Jumbo Net Pantyhose Top Thigh High Black</t>
        </is>
      </c>
      <c r="C1681" t="inlineStr">
        <is>
          <t>JWBLSPH2122</t>
        </is>
      </c>
      <c r="D1681" t="inlineStr">
        <is>
          <t>Pantyhose &amp; Tights</t>
        </is>
      </c>
      <c r="E1681" t="inlineStr">
        <is>
          <t>JenniWears</t>
        </is>
      </c>
      <c r="F1681" t="inlineStr">
        <is>
          <t>Valentine</t>
        </is>
      </c>
      <c r="G1681" s="48" t="n">
        <v>0</v>
      </c>
      <c r="H1681" s="49" t="n">
        <v>0</v>
      </c>
      <c r="I1681" s="49" t="n">
        <v>0</v>
      </c>
      <c r="J1681" s="50" t="n">
        <v>0</v>
      </c>
      <c r="K1681" s="51" t="n">
        <v>0</v>
      </c>
      <c r="L1681" s="52" t="n">
        <v>0</v>
      </c>
      <c r="M1681" s="52" t="n">
        <v>0</v>
      </c>
      <c r="N1681" s="52" t="n">
        <v>0</v>
      </c>
      <c r="O1681" s="53" t="n">
        <v>0</v>
      </c>
      <c r="P1681" s="52" t="n">
        <v>0</v>
      </c>
      <c r="Q1681" s="53" t="n">
        <v>0</v>
      </c>
      <c r="R1681" s="52" t="n">
        <v>0</v>
      </c>
      <c r="S1681" s="51" t="n">
        <v>0</v>
      </c>
      <c r="T1681" s="48" t="n">
        <v>0</v>
      </c>
      <c r="U1681" s="49" t="n">
        <v>0</v>
      </c>
      <c r="V1681" s="49" t="n">
        <v>0</v>
      </c>
      <c r="W1681" s="50" t="n">
        <v>0</v>
      </c>
      <c r="X1681" s="51" t="n">
        <v>0</v>
      </c>
      <c r="Y1681" s="52" t="n">
        <v>0</v>
      </c>
      <c r="Z1681" s="52" t="n">
        <v>0</v>
      </c>
      <c r="AA1681" s="52" t="n">
        <v>0</v>
      </c>
      <c r="AB1681" s="53" t="n">
        <v>0</v>
      </c>
      <c r="AC1681" s="52" t="n">
        <v>0</v>
      </c>
      <c r="AD1681" s="53" t="n">
        <v>0</v>
      </c>
      <c r="AE1681" s="52" t="n">
        <v>0</v>
      </c>
      <c r="AF1681" s="51" t="n">
        <v>0</v>
      </c>
      <c r="AG1681" s="48" t="n">
        <v>0</v>
      </c>
      <c r="AH1681" s="49" t="n">
        <v>0</v>
      </c>
      <c r="AI1681" s="49" t="n">
        <v>0</v>
      </c>
      <c r="AJ1681" s="50" t="n">
        <v>0</v>
      </c>
      <c r="AK1681" s="51" t="n">
        <v>0</v>
      </c>
      <c r="AL1681" s="52" t="n">
        <v>0</v>
      </c>
      <c r="AM1681" s="52" t="n">
        <v>0</v>
      </c>
      <c r="AN1681" s="52" t="n">
        <v>0</v>
      </c>
      <c r="AO1681" s="53" t="n">
        <v>0</v>
      </c>
      <c r="AP1681" s="52" t="n">
        <v>0</v>
      </c>
      <c r="AQ1681" s="53" t="n">
        <v>0</v>
      </c>
      <c r="AR1681" s="52" t="n">
        <v>0</v>
      </c>
      <c r="AS1681" s="51" t="n">
        <v>0</v>
      </c>
      <c r="AT1681" s="48" t="n">
        <v>0</v>
      </c>
      <c r="AU1681" s="49" t="n">
        <v>0</v>
      </c>
      <c r="AV1681" s="49" t="n">
        <v>0</v>
      </c>
      <c r="AW1681" s="50" t="n">
        <v>0</v>
      </c>
      <c r="AX1681" s="51" t="n">
        <v>0</v>
      </c>
      <c r="AY1681" s="52" t="n">
        <v>0</v>
      </c>
      <c r="AZ1681" s="52" t="n">
        <v>0</v>
      </c>
      <c r="BA1681" s="52" t="n">
        <v>0</v>
      </c>
      <c r="BB1681" s="53" t="n">
        <v>0</v>
      </c>
      <c r="BC1681" s="52" t="n">
        <v>0</v>
      </c>
      <c r="BD1681" s="53" t="n">
        <v>0</v>
      </c>
      <c r="BE1681" s="52" t="n">
        <v>0</v>
      </c>
      <c r="BF1681" s="51" t="n">
        <v>0</v>
      </c>
    </row>
    <row r="1682">
      <c r="A1682">
        <f>HYPERLINK("https://www.walmart.com/ip/116455117", "116455117")</f>
        <v/>
      </c>
      <c r="B1682" t="inlineStr">
        <is>
          <t>JenniWears® Women's Kimono Lace Lingerie Sleepwear Matching Cheeky Panty</t>
        </is>
      </c>
      <c r="C1682" t="inlineStr">
        <is>
          <t>JWRS01PK-M</t>
        </is>
      </c>
      <c r="D1682" t="inlineStr">
        <is>
          <t>Lingerie Sets</t>
        </is>
      </c>
      <c r="E1682" t="inlineStr">
        <is>
          <t>JenniWears</t>
        </is>
      </c>
      <c r="F1682" t="inlineStr">
        <is>
          <t>Optimized,Valentine</t>
        </is>
      </c>
      <c r="G1682" s="48" t="n">
        <v>0</v>
      </c>
      <c r="H1682" s="49" t="n">
        <v>0</v>
      </c>
      <c r="I1682" s="49" t="n">
        <v>0</v>
      </c>
      <c r="J1682" s="50" t="n">
        <v>0</v>
      </c>
      <c r="K1682" s="51" t="n">
        <v>0</v>
      </c>
      <c r="L1682" s="52" t="n">
        <v>0</v>
      </c>
      <c r="M1682" s="52" t="n">
        <v>0</v>
      </c>
      <c r="N1682" s="52" t="n">
        <v>0</v>
      </c>
      <c r="O1682" s="53" t="n">
        <v>0</v>
      </c>
      <c r="P1682" s="52" t="n">
        <v>0</v>
      </c>
      <c r="Q1682" s="53" t="n">
        <v>0</v>
      </c>
      <c r="R1682" s="52" t="n">
        <v>0</v>
      </c>
      <c r="S1682" s="51" t="n">
        <v>0</v>
      </c>
      <c r="T1682" s="48" t="n">
        <v>0</v>
      </c>
      <c r="U1682" s="49" t="n">
        <v>0</v>
      </c>
      <c r="V1682" s="49" t="n">
        <v>0</v>
      </c>
      <c r="W1682" s="50" t="n">
        <v>0</v>
      </c>
      <c r="X1682" s="51" t="n">
        <v>0</v>
      </c>
      <c r="Y1682" s="52" t="n">
        <v>0</v>
      </c>
      <c r="Z1682" s="52" t="n">
        <v>0</v>
      </c>
      <c r="AA1682" s="52" t="n">
        <v>0</v>
      </c>
      <c r="AB1682" s="53" t="n">
        <v>0</v>
      </c>
      <c r="AC1682" s="52" t="n">
        <v>0</v>
      </c>
      <c r="AD1682" s="53" t="n">
        <v>0</v>
      </c>
      <c r="AE1682" s="52" t="n">
        <v>0</v>
      </c>
      <c r="AF1682" s="51" t="n">
        <v>0</v>
      </c>
      <c r="AG1682" s="48" t="n">
        <v>7.99</v>
      </c>
      <c r="AH1682" s="49" t="n">
        <v>1</v>
      </c>
      <c r="AI1682" s="49" t="n">
        <v>0</v>
      </c>
      <c r="AJ1682" s="50" t="n">
        <v>0</v>
      </c>
      <c r="AK1682" s="51" t="n">
        <v>0</v>
      </c>
      <c r="AL1682" s="52" t="n">
        <v>0</v>
      </c>
      <c r="AM1682" s="52" t="n">
        <v>0</v>
      </c>
      <c r="AN1682" s="52" t="n">
        <v>0</v>
      </c>
      <c r="AO1682" s="53" t="n">
        <v>0</v>
      </c>
      <c r="AP1682" s="52" t="n">
        <v>0</v>
      </c>
      <c r="AQ1682" s="53" t="n">
        <v>0</v>
      </c>
      <c r="AR1682" s="52" t="n">
        <v>7.99</v>
      </c>
      <c r="AS1682" s="51" t="n">
        <v>0</v>
      </c>
      <c r="AT1682" s="48" t="n">
        <v>0</v>
      </c>
      <c r="AU1682" s="49" t="n">
        <v>0</v>
      </c>
      <c r="AV1682" s="49" t="n">
        <v>0</v>
      </c>
      <c r="AW1682" s="50" t="n">
        <v>0</v>
      </c>
      <c r="AX1682" s="51" t="n">
        <v>0</v>
      </c>
      <c r="AY1682" s="52" t="n">
        <v>0</v>
      </c>
      <c r="AZ1682" s="52" t="n">
        <v>0</v>
      </c>
      <c r="BA1682" s="52" t="n">
        <v>0</v>
      </c>
      <c r="BB1682" s="53" t="n">
        <v>0</v>
      </c>
      <c r="BC1682" s="52" t="n">
        <v>0</v>
      </c>
      <c r="BD1682" s="53" t="n">
        <v>0</v>
      </c>
      <c r="BE1682" s="52" t="n">
        <v>0</v>
      </c>
      <c r="BF1682" s="51" t="n">
        <v>0</v>
      </c>
    </row>
    <row r="1683">
      <c r="A1683">
        <f>HYPERLINK("https://www.walmart.com/ip/108181843", "108181843")</f>
        <v/>
      </c>
      <c r="B1683" t="inlineStr">
        <is>
          <t>Tirrinia Insulated Lunch Bag for Women Men, Leakproof Thermal Reusable Lunch Box for Adult, Kids, Student, Lunch Cooler Tote for Office Work, Back to School, Medium, Purple</t>
        </is>
      </c>
      <c r="C1683" t="inlineStr">
        <is>
          <t>1TRLB701PP-N</t>
        </is>
      </c>
      <c r="D1683" t="inlineStr">
        <is>
          <t>Reusable Lunch Bags &amp; Boxes</t>
        </is>
      </c>
      <c r="E1683" t="inlineStr">
        <is>
          <t>Tirrinia</t>
        </is>
      </c>
      <c r="F1683" t="inlineStr">
        <is>
          <t>Q2-Target,Brand Camp VD,Lunch Bag,WFS,Lunch Bags,SEM,WFS Item</t>
        </is>
      </c>
      <c r="G1683" s="48" t="n">
        <v>0</v>
      </c>
      <c r="H1683" s="49" t="n">
        <v>0</v>
      </c>
      <c r="I1683" s="49" t="n">
        <v>0</v>
      </c>
      <c r="J1683" s="50" t="n">
        <v>0</v>
      </c>
      <c r="K1683" s="51" t="n">
        <v>0</v>
      </c>
      <c r="L1683" s="52" t="n">
        <v>0</v>
      </c>
      <c r="M1683" s="52" t="n">
        <v>0</v>
      </c>
      <c r="N1683" s="52" t="n">
        <v>0</v>
      </c>
      <c r="O1683" s="53" t="n">
        <v>0</v>
      </c>
      <c r="P1683" s="52" t="n">
        <v>0</v>
      </c>
      <c r="Q1683" s="53" t="n">
        <v>0</v>
      </c>
      <c r="R1683" s="52" t="n">
        <v>0</v>
      </c>
      <c r="S1683" s="51" t="n">
        <v>0</v>
      </c>
      <c r="T1683" s="48" t="n">
        <v>0</v>
      </c>
      <c r="U1683" s="49" t="n">
        <v>0</v>
      </c>
      <c r="V1683" s="49" t="n">
        <v>0</v>
      </c>
      <c r="W1683" s="50" t="n">
        <v>0</v>
      </c>
      <c r="X1683" s="51" t="n">
        <v>0</v>
      </c>
      <c r="Y1683" s="52" t="n">
        <v>0</v>
      </c>
      <c r="Z1683" s="52" t="n">
        <v>0</v>
      </c>
      <c r="AA1683" s="52" t="n">
        <v>0</v>
      </c>
      <c r="AB1683" s="53" t="n">
        <v>0</v>
      </c>
      <c r="AC1683" s="52" t="n">
        <v>0</v>
      </c>
      <c r="AD1683" s="53" t="n">
        <v>0</v>
      </c>
      <c r="AE1683" s="52" t="n">
        <v>0</v>
      </c>
      <c r="AF1683" s="51" t="n">
        <v>0</v>
      </c>
      <c r="AG1683" s="48" t="n">
        <v>13.99</v>
      </c>
      <c r="AH1683" s="49" t="n">
        <v>1</v>
      </c>
      <c r="AI1683" s="49" t="n">
        <v>1</v>
      </c>
      <c r="AJ1683" s="50" t="n">
        <v>1</v>
      </c>
      <c r="AK1683" s="51" t="n">
        <v>0</v>
      </c>
      <c r="AL1683" s="52" t="n">
        <v>0</v>
      </c>
      <c r="AM1683" s="52" t="n">
        <v>0</v>
      </c>
      <c r="AN1683" s="52" t="n">
        <v>0</v>
      </c>
      <c r="AO1683" s="53" t="n">
        <v>0</v>
      </c>
      <c r="AP1683" s="52" t="n">
        <v>0</v>
      </c>
      <c r="AQ1683" s="53" t="n">
        <v>0</v>
      </c>
      <c r="AR1683" s="52" t="n">
        <v>13.99</v>
      </c>
      <c r="AS1683" s="51" t="n">
        <v>0</v>
      </c>
      <c r="AT1683" s="48" t="n">
        <v>0</v>
      </c>
      <c r="AU1683" s="49" t="n">
        <v>0</v>
      </c>
      <c r="AV1683" s="49" t="n">
        <v>4</v>
      </c>
      <c r="AW1683" s="50" t="n">
        <v>0</v>
      </c>
      <c r="AX1683" s="51" t="n">
        <v>0</v>
      </c>
      <c r="AY1683" s="52" t="n">
        <v>0</v>
      </c>
      <c r="AZ1683" s="52" t="n">
        <v>0</v>
      </c>
      <c r="BA1683" s="52" t="n">
        <v>0</v>
      </c>
      <c r="BB1683" s="53" t="n">
        <v>0</v>
      </c>
      <c r="BC1683" s="52" t="n">
        <v>0</v>
      </c>
      <c r="BD1683" s="53" t="n">
        <v>0</v>
      </c>
      <c r="BE1683" s="52" t="n">
        <v>0</v>
      </c>
      <c r="BF1683" s="51" t="n">
        <v>0</v>
      </c>
    </row>
    <row r="1684">
      <c r="A1684">
        <f>HYPERLINK("https://www.walmart.com/ip/1080329917", "1080329917")</f>
        <v/>
      </c>
      <c r="B1684" t="inlineStr">
        <is>
          <t>Kritter Planet Waterproof Pet Blanket, Pee-Proof Dog Blanket Cover for Couch and Bed, Liquid-Proof Furniture Protector for Small and Large Dogs and Cats, Black/Green, 80'' x 60''</t>
        </is>
      </c>
      <c r="C1684" t="inlineStr">
        <is>
          <t>1KPBW681GNBK</t>
        </is>
      </c>
      <c r="D1684" t="inlineStr">
        <is>
          <t>Pet Blankets</t>
        </is>
      </c>
      <c r="E1684" t="inlineStr">
        <is>
          <t>Kritter Planet</t>
        </is>
      </c>
      <c r="F1684" t="inlineStr">
        <is>
          <t>Batch 1 - TR</t>
        </is>
      </c>
      <c r="G1684" s="48" t="n">
        <v>0</v>
      </c>
      <c r="H1684" s="49" t="n">
        <v>0</v>
      </c>
      <c r="I1684" s="49" t="n">
        <v>0</v>
      </c>
      <c r="J1684" s="50" t="n">
        <v>0</v>
      </c>
      <c r="K1684" s="51" t="n">
        <v>0</v>
      </c>
      <c r="L1684" s="52" t="n">
        <v>0</v>
      </c>
      <c r="M1684" s="52" t="n">
        <v>0</v>
      </c>
      <c r="N1684" s="52" t="n">
        <v>0</v>
      </c>
      <c r="O1684" s="53" t="n">
        <v>0</v>
      </c>
      <c r="P1684" s="52" t="n">
        <v>0</v>
      </c>
      <c r="Q1684" s="53" t="n">
        <v>0</v>
      </c>
      <c r="R1684" s="52" t="n">
        <v>0</v>
      </c>
      <c r="S1684" s="51" t="n">
        <v>1123</v>
      </c>
      <c r="T1684" s="48" t="n">
        <v>0</v>
      </c>
      <c r="U1684" s="49" t="n">
        <v>0</v>
      </c>
      <c r="V1684" s="49" t="n">
        <v>0</v>
      </c>
      <c r="W1684" s="50" t="n">
        <v>0</v>
      </c>
      <c r="X1684" s="51" t="n">
        <v>2</v>
      </c>
      <c r="Y1684" s="52" t="n">
        <v>0.86</v>
      </c>
      <c r="Z1684" s="52" t="n">
        <v>0</v>
      </c>
      <c r="AA1684" s="52" t="n">
        <v>0</v>
      </c>
      <c r="AB1684" s="53" t="n">
        <v>0.0021</v>
      </c>
      <c r="AC1684" s="52" t="n">
        <v>0.43</v>
      </c>
      <c r="AD1684" s="53" t="n">
        <v>0</v>
      </c>
      <c r="AE1684" s="52" t="n">
        <v>0</v>
      </c>
      <c r="AF1684" s="51" t="n">
        <v>975</v>
      </c>
      <c r="AG1684" s="48" t="n">
        <v>0</v>
      </c>
      <c r="AH1684" s="49" t="n">
        <v>0</v>
      </c>
      <c r="AI1684" s="49" t="n">
        <v>0</v>
      </c>
      <c r="AJ1684" s="50" t="n">
        <v>0</v>
      </c>
      <c r="AK1684" s="51" t="n">
        <v>1</v>
      </c>
      <c r="AL1684" s="52" t="n">
        <v>0.43</v>
      </c>
      <c r="AM1684" s="52" t="n">
        <v>0</v>
      </c>
      <c r="AN1684" s="52" t="n">
        <v>0</v>
      </c>
      <c r="AO1684" s="53" t="n">
        <v>0.0013</v>
      </c>
      <c r="AP1684" s="52" t="n">
        <v>0.43</v>
      </c>
      <c r="AQ1684" s="53" t="n">
        <v>0</v>
      </c>
      <c r="AR1684" s="52" t="n">
        <v>0</v>
      </c>
      <c r="AS1684" s="51" t="n">
        <v>752</v>
      </c>
      <c r="AT1684" s="48" t="n">
        <v>0</v>
      </c>
      <c r="AU1684" s="49" t="n">
        <v>0</v>
      </c>
      <c r="AV1684" s="49" t="n">
        <v>0</v>
      </c>
      <c r="AW1684" s="50" t="n">
        <v>0</v>
      </c>
      <c r="AX1684" s="51" t="n">
        <v>0</v>
      </c>
      <c r="AY1684" s="52" t="n">
        <v>0</v>
      </c>
      <c r="AZ1684" s="52" t="n">
        <v>0</v>
      </c>
      <c r="BA1684" s="52" t="n">
        <v>0</v>
      </c>
      <c r="BB1684" s="53" t="n">
        <v>0</v>
      </c>
      <c r="BC1684" s="52" t="n">
        <v>0</v>
      </c>
      <c r="BD1684" s="53" t="n">
        <v>0</v>
      </c>
      <c r="BE1684" s="52" t="n">
        <v>0</v>
      </c>
      <c r="BF1684" s="51" t="n">
        <v>540</v>
      </c>
    </row>
    <row r="1685">
      <c r="A1685">
        <f>HYPERLINK("https://www.walmart.com/ip/1397492556", "1397492556")</f>
        <v/>
      </c>
      <c r="B1685" t="inlineStr">
        <is>
          <t>Tirrinia Neon Hunting Orange Safety Cap Closure</t>
        </is>
      </c>
      <c r="C1685" t="inlineStr">
        <is>
          <t>1TRHT7120NEON-TBCB</t>
        </is>
      </c>
      <c r="D1685" t="inlineStr">
        <is>
          <t>Hats</t>
        </is>
      </c>
      <c r="E1685" t="inlineStr">
        <is>
          <t>Tirrinia</t>
        </is>
      </c>
      <c r="F1685" t="inlineStr">
        <is>
          <t>Batch 1 - TR</t>
        </is>
      </c>
      <c r="G1685" s="48" t="n">
        <v>0</v>
      </c>
      <c r="H1685" s="49" t="n">
        <v>0</v>
      </c>
      <c r="I1685" s="49" t="n">
        <v>0</v>
      </c>
      <c r="J1685" s="50" t="n">
        <v>0</v>
      </c>
      <c r="K1685" s="51" t="n">
        <v>0</v>
      </c>
      <c r="L1685" s="52" t="n">
        <v>0</v>
      </c>
      <c r="M1685" s="52" t="n">
        <v>0</v>
      </c>
      <c r="N1685" s="52" t="n">
        <v>0</v>
      </c>
      <c r="O1685" s="53" t="n">
        <v>0</v>
      </c>
      <c r="P1685" s="52" t="n">
        <v>0</v>
      </c>
      <c r="Q1685" s="53" t="n">
        <v>0</v>
      </c>
      <c r="R1685" s="52" t="n">
        <v>0</v>
      </c>
      <c r="S1685" s="51" t="n">
        <v>0</v>
      </c>
      <c r="T1685" s="48" t="n">
        <v>0</v>
      </c>
      <c r="U1685" s="49" t="n">
        <v>0</v>
      </c>
      <c r="V1685" s="49" t="n">
        <v>0</v>
      </c>
      <c r="W1685" s="50" t="n">
        <v>0</v>
      </c>
      <c r="X1685" s="51" t="n">
        <v>0</v>
      </c>
      <c r="Y1685" s="52" t="n">
        <v>0</v>
      </c>
      <c r="Z1685" s="52" t="n">
        <v>0</v>
      </c>
      <c r="AA1685" s="52" t="n">
        <v>0</v>
      </c>
      <c r="AB1685" s="53" t="n">
        <v>0</v>
      </c>
      <c r="AC1685" s="52" t="n">
        <v>0</v>
      </c>
      <c r="AD1685" s="53" t="n">
        <v>0</v>
      </c>
      <c r="AE1685" s="52" t="n">
        <v>0</v>
      </c>
      <c r="AF1685" s="51" t="n">
        <v>0</v>
      </c>
      <c r="AG1685" s="48" t="n">
        <v>0</v>
      </c>
      <c r="AH1685" s="49" t="n">
        <v>0</v>
      </c>
      <c r="AI1685" s="49" t="n">
        <v>0</v>
      </c>
      <c r="AJ1685" s="50" t="n">
        <v>0</v>
      </c>
      <c r="AK1685" s="51" t="n">
        <v>0</v>
      </c>
      <c r="AL1685" s="52" t="n">
        <v>0</v>
      </c>
      <c r="AM1685" s="52" t="n">
        <v>0</v>
      </c>
      <c r="AN1685" s="52" t="n">
        <v>0</v>
      </c>
      <c r="AO1685" s="53" t="n">
        <v>0</v>
      </c>
      <c r="AP1685" s="52" t="n">
        <v>0</v>
      </c>
      <c r="AQ1685" s="53" t="n">
        <v>0</v>
      </c>
      <c r="AR1685" s="52" t="n">
        <v>0</v>
      </c>
      <c r="AS1685" s="51" t="n">
        <v>0</v>
      </c>
      <c r="AT1685" s="48" t="n">
        <v>0</v>
      </c>
      <c r="AU1685" s="49" t="n">
        <v>0</v>
      </c>
      <c r="AV1685" s="49" t="n">
        <v>0</v>
      </c>
      <c r="AW1685" s="50" t="n">
        <v>0</v>
      </c>
      <c r="AX1685" s="51" t="n">
        <v>0</v>
      </c>
      <c r="AY1685" s="52" t="n">
        <v>0</v>
      </c>
      <c r="AZ1685" s="52" t="n">
        <v>0</v>
      </c>
      <c r="BA1685" s="52" t="n">
        <v>0</v>
      </c>
      <c r="BB1685" s="53" t="n">
        <v>0</v>
      </c>
      <c r="BC1685" s="52" t="n">
        <v>0</v>
      </c>
      <c r="BD1685" s="53" t="n">
        <v>0</v>
      </c>
      <c r="BE1685" s="52" t="n">
        <v>0</v>
      </c>
      <c r="BF1685" s="51" t="n">
        <v>0</v>
      </c>
    </row>
    <row r="1686">
      <c r="A1686">
        <f>HYPERLINK("https://www.walmart.com/ip/10282211018", "10282211018")</f>
        <v/>
      </c>
      <c r="B1686" t="inlineStr">
        <is>
          <t>Every Day is Christmas Glass Blown Ornaments Cute Hand Made Figurines Tree Decoration, Set of 2 Beer</t>
        </is>
      </c>
      <c r="C1686" t="inlineStr">
        <is>
          <t>EDC-FIGURINE-BEER-2PACK</t>
        </is>
      </c>
      <c r="D1686" t="inlineStr">
        <is>
          <t>Ornaments</t>
        </is>
      </c>
      <c r="E1686" t="inlineStr">
        <is>
          <t>Every Day is Christmas</t>
        </is>
      </c>
      <c r="G1686" s="48" t="n">
        <v>0</v>
      </c>
      <c r="H1686" s="49" t="n">
        <v>0</v>
      </c>
      <c r="I1686" s="49" t="n">
        <v>0</v>
      </c>
      <c r="J1686" s="50" t="n">
        <v>0</v>
      </c>
      <c r="K1686" s="51" t="n">
        <v>0</v>
      </c>
      <c r="L1686" s="52" t="n">
        <v>0</v>
      </c>
      <c r="M1686" s="52" t="n">
        <v>0</v>
      </c>
      <c r="N1686" s="52" t="n">
        <v>0</v>
      </c>
      <c r="O1686" s="53" t="n">
        <v>0</v>
      </c>
      <c r="P1686" s="52" t="n">
        <v>0</v>
      </c>
      <c r="Q1686" s="53" t="n">
        <v>0</v>
      </c>
      <c r="R1686" s="52" t="n">
        <v>0</v>
      </c>
      <c r="S1686" s="51" t="n">
        <v>0</v>
      </c>
      <c r="T1686" s="48" t="n">
        <v>0</v>
      </c>
      <c r="U1686" s="49" t="n">
        <v>0</v>
      </c>
      <c r="V1686" s="49" t="n">
        <v>0</v>
      </c>
      <c r="W1686" s="50" t="n">
        <v>0</v>
      </c>
      <c r="X1686" s="51" t="n">
        <v>0</v>
      </c>
      <c r="Y1686" s="52" t="n">
        <v>0</v>
      </c>
      <c r="Z1686" s="52" t="n">
        <v>0</v>
      </c>
      <c r="AA1686" s="52" t="n">
        <v>0</v>
      </c>
      <c r="AB1686" s="53" t="n">
        <v>0</v>
      </c>
      <c r="AC1686" s="52" t="n">
        <v>0</v>
      </c>
      <c r="AD1686" s="53" t="n">
        <v>0</v>
      </c>
      <c r="AE1686" s="52" t="n">
        <v>0</v>
      </c>
      <c r="AF1686" s="51" t="n">
        <v>0</v>
      </c>
      <c r="AG1686" s="48" t="n">
        <v>0</v>
      </c>
      <c r="AH1686" s="49" t="n">
        <v>0</v>
      </c>
      <c r="AI1686" s="49" t="n">
        <v>0</v>
      </c>
      <c r="AJ1686" s="50" t="n">
        <v>0</v>
      </c>
      <c r="AK1686" s="51" t="n">
        <v>0</v>
      </c>
      <c r="AL1686" s="52" t="n">
        <v>0</v>
      </c>
      <c r="AM1686" s="52" t="n">
        <v>0</v>
      </c>
      <c r="AN1686" s="52" t="n">
        <v>0</v>
      </c>
      <c r="AO1686" s="53" t="n">
        <v>0</v>
      </c>
      <c r="AP1686" s="52" t="n">
        <v>0</v>
      </c>
      <c r="AQ1686" s="53" t="n">
        <v>0</v>
      </c>
      <c r="AR1686" s="52" t="n">
        <v>0</v>
      </c>
      <c r="AS1686" s="51" t="n">
        <v>0</v>
      </c>
      <c r="AT1686" s="48" t="n">
        <v>0</v>
      </c>
      <c r="AU1686" s="49" t="n">
        <v>0</v>
      </c>
      <c r="AV1686" s="49" t="n">
        <v>0</v>
      </c>
      <c r="AW1686" s="50" t="n">
        <v>0</v>
      </c>
      <c r="AX1686" s="51" t="n">
        <v>0</v>
      </c>
      <c r="AY1686" s="52" t="n">
        <v>0</v>
      </c>
      <c r="AZ1686" s="52" t="n">
        <v>0</v>
      </c>
      <c r="BA1686" s="52" t="n">
        <v>0</v>
      </c>
      <c r="BB1686" s="53" t="n">
        <v>0</v>
      </c>
      <c r="BC1686" s="52" t="n">
        <v>0</v>
      </c>
      <c r="BD1686" s="53" t="n">
        <v>0</v>
      </c>
      <c r="BE1686" s="52" t="n">
        <v>0</v>
      </c>
      <c r="BF1686" s="51" t="n">
        <v>0</v>
      </c>
    </row>
    <row r="1687">
      <c r="A1687">
        <f>HYPERLINK("https://www.walmart.com/ip/10282357784", "10282357784")</f>
        <v/>
      </c>
      <c r="B1687" t="inlineStr">
        <is>
          <t>Wrangler Men’s Full Grain Genuine Leather 35mm Thick Casual Belt for Jeans, Pants - Light Brown, 36</t>
        </is>
      </c>
      <c r="C1687" t="inlineStr">
        <is>
          <t>WR-BELT-MENS-35MM-LTBROWN-36</t>
        </is>
      </c>
      <c r="D1687" t="inlineStr">
        <is>
          <t>Belts</t>
        </is>
      </c>
      <c r="E1687" t="inlineStr">
        <is>
          <t>Wrangler</t>
        </is>
      </c>
      <c r="F1687" t="inlineStr">
        <is>
          <t>Belts</t>
        </is>
      </c>
      <c r="G1687" s="48" t="n">
        <v>0</v>
      </c>
      <c r="H1687" s="49" t="n">
        <v>0</v>
      </c>
      <c r="I1687" s="49" t="n">
        <v>0</v>
      </c>
      <c r="J1687" s="50" t="n">
        <v>0</v>
      </c>
      <c r="K1687" s="51" t="n">
        <v>0</v>
      </c>
      <c r="L1687" s="52" t="n">
        <v>0</v>
      </c>
      <c r="M1687" s="52" t="n">
        <v>0</v>
      </c>
      <c r="N1687" s="52" t="n">
        <v>0</v>
      </c>
      <c r="O1687" s="53" t="n">
        <v>0</v>
      </c>
      <c r="P1687" s="52" t="n">
        <v>0</v>
      </c>
      <c r="Q1687" s="53" t="n">
        <v>0</v>
      </c>
      <c r="R1687" s="52" t="n">
        <v>0</v>
      </c>
      <c r="S1687" s="51" t="n">
        <v>0</v>
      </c>
      <c r="T1687" s="48" t="n">
        <v>0</v>
      </c>
      <c r="U1687" s="49" t="n">
        <v>0</v>
      </c>
      <c r="V1687" s="49" t="n">
        <v>1</v>
      </c>
      <c r="W1687" s="50" t="n">
        <v>0</v>
      </c>
      <c r="X1687" s="51" t="n">
        <v>0</v>
      </c>
      <c r="Y1687" s="52" t="n">
        <v>0</v>
      </c>
      <c r="Z1687" s="52" t="n">
        <v>0</v>
      </c>
      <c r="AA1687" s="52" t="n">
        <v>0</v>
      </c>
      <c r="AB1687" s="53" t="n">
        <v>0</v>
      </c>
      <c r="AC1687" s="52" t="n">
        <v>0</v>
      </c>
      <c r="AD1687" s="53" t="n">
        <v>0</v>
      </c>
      <c r="AE1687" s="52" t="n">
        <v>0</v>
      </c>
      <c r="AF1687" s="51" t="n">
        <v>0</v>
      </c>
      <c r="AG1687" s="48" t="n">
        <v>0</v>
      </c>
      <c r="AH1687" s="49" t="n">
        <v>0</v>
      </c>
      <c r="AI1687" s="49" t="n">
        <v>2</v>
      </c>
      <c r="AJ1687" s="50" t="n">
        <v>0</v>
      </c>
      <c r="AK1687" s="51" t="n">
        <v>0</v>
      </c>
      <c r="AL1687" s="52" t="n">
        <v>0</v>
      </c>
      <c r="AM1687" s="52" t="n">
        <v>0</v>
      </c>
      <c r="AN1687" s="52" t="n">
        <v>0</v>
      </c>
      <c r="AO1687" s="53" t="n">
        <v>0</v>
      </c>
      <c r="AP1687" s="52" t="n">
        <v>0</v>
      </c>
      <c r="AQ1687" s="53" t="n">
        <v>0</v>
      </c>
      <c r="AR1687" s="52" t="n">
        <v>0</v>
      </c>
      <c r="AS1687" s="51" t="n">
        <v>0</v>
      </c>
      <c r="AT1687" s="48" t="n">
        <v>0</v>
      </c>
      <c r="AU1687" s="49" t="n">
        <v>0</v>
      </c>
      <c r="AV1687" s="49" t="n">
        <v>1</v>
      </c>
      <c r="AW1687" s="50" t="n">
        <v>0</v>
      </c>
      <c r="AX1687" s="51" t="n">
        <v>0</v>
      </c>
      <c r="AY1687" s="52" t="n">
        <v>0</v>
      </c>
      <c r="AZ1687" s="52" t="n">
        <v>0</v>
      </c>
      <c r="BA1687" s="52" t="n">
        <v>0</v>
      </c>
      <c r="BB1687" s="53" t="n">
        <v>0</v>
      </c>
      <c r="BC1687" s="52" t="n">
        <v>0</v>
      </c>
      <c r="BD1687" s="53" t="n">
        <v>0</v>
      </c>
      <c r="BE1687" s="52" t="n">
        <v>0</v>
      </c>
      <c r="BF1687" s="51" t="n">
        <v>0</v>
      </c>
    </row>
    <row r="1688">
      <c r="A1688">
        <f>HYPERLINK("https://www.walmart.com/ip/10283609251", "10283609251")</f>
        <v/>
      </c>
      <c r="B1688" t="inlineStr">
        <is>
          <t>Wrangler Men’s Full Grain Genuine Leather 35mm Thick Casual Belt for Jeans, Pants - Brown, 34</t>
        </is>
      </c>
      <c r="C1688" t="inlineStr">
        <is>
          <t>WR-BELT-MENS-35MM-BROWN-34</t>
        </is>
      </c>
      <c r="D1688" t="inlineStr">
        <is>
          <t>Belts</t>
        </is>
      </c>
      <c r="E1688" t="inlineStr">
        <is>
          <t>Wrangler</t>
        </is>
      </c>
      <c r="F1688" t="inlineStr">
        <is>
          <t>Belts</t>
        </is>
      </c>
      <c r="G1688" s="48" t="n">
        <v>0</v>
      </c>
      <c r="H1688" s="49" t="n">
        <v>0</v>
      </c>
      <c r="I1688" s="49" t="n">
        <v>0</v>
      </c>
      <c r="J1688" s="50" t="n">
        <v>0</v>
      </c>
      <c r="K1688" s="51" t="n">
        <v>0</v>
      </c>
      <c r="L1688" s="52" t="n">
        <v>0</v>
      </c>
      <c r="M1688" s="52" t="n">
        <v>0</v>
      </c>
      <c r="N1688" s="52" t="n">
        <v>0</v>
      </c>
      <c r="O1688" s="53" t="n">
        <v>0</v>
      </c>
      <c r="P1688" s="52" t="n">
        <v>0</v>
      </c>
      <c r="Q1688" s="53" t="n">
        <v>0</v>
      </c>
      <c r="R1688" s="52" t="n">
        <v>0</v>
      </c>
      <c r="S1688" s="51" t="n">
        <v>0</v>
      </c>
      <c r="T1688" s="48" t="n">
        <v>19.99</v>
      </c>
      <c r="U1688" s="49" t="n">
        <v>1</v>
      </c>
      <c r="V1688" s="49" t="n">
        <v>0</v>
      </c>
      <c r="W1688" s="50" t="n">
        <v>0</v>
      </c>
      <c r="X1688" s="51" t="n">
        <v>0</v>
      </c>
      <c r="Y1688" s="52" t="n">
        <v>0</v>
      </c>
      <c r="Z1688" s="52" t="n">
        <v>0</v>
      </c>
      <c r="AA1688" s="52" t="n">
        <v>0</v>
      </c>
      <c r="AB1688" s="53" t="n">
        <v>0</v>
      </c>
      <c r="AC1688" s="52" t="n">
        <v>0</v>
      </c>
      <c r="AD1688" s="53" t="n">
        <v>0</v>
      </c>
      <c r="AE1688" s="52" t="n">
        <v>19.99</v>
      </c>
      <c r="AF1688" s="51" t="n">
        <v>0</v>
      </c>
      <c r="AG1688" s="48" t="n">
        <v>19.99</v>
      </c>
      <c r="AH1688" s="49" t="n">
        <v>1</v>
      </c>
      <c r="AI1688" s="49" t="n">
        <v>0</v>
      </c>
      <c r="AJ1688" s="50" t="n">
        <v>0</v>
      </c>
      <c r="AK1688" s="51" t="n">
        <v>0</v>
      </c>
      <c r="AL1688" s="52" t="n">
        <v>0</v>
      </c>
      <c r="AM1688" s="52" t="n">
        <v>0</v>
      </c>
      <c r="AN1688" s="52" t="n">
        <v>0</v>
      </c>
      <c r="AO1688" s="53" t="n">
        <v>0</v>
      </c>
      <c r="AP1688" s="52" t="n">
        <v>0</v>
      </c>
      <c r="AQ1688" s="53" t="n">
        <v>0</v>
      </c>
      <c r="AR1688" s="52" t="n">
        <v>19.99</v>
      </c>
      <c r="AS1688" s="51" t="n">
        <v>0</v>
      </c>
      <c r="AT1688" s="48" t="n">
        <v>19.99</v>
      </c>
      <c r="AU1688" s="49" t="n">
        <v>1</v>
      </c>
      <c r="AV1688" s="49" t="n">
        <v>0</v>
      </c>
      <c r="AW1688" s="50" t="n">
        <v>0</v>
      </c>
      <c r="AX1688" s="51" t="n">
        <v>0</v>
      </c>
      <c r="AY1688" s="52" t="n">
        <v>0</v>
      </c>
      <c r="AZ1688" s="52" t="n">
        <v>0</v>
      </c>
      <c r="BA1688" s="52" t="n">
        <v>0</v>
      </c>
      <c r="BB1688" s="53" t="n">
        <v>0</v>
      </c>
      <c r="BC1688" s="52" t="n">
        <v>0</v>
      </c>
      <c r="BD1688" s="53" t="n">
        <v>0</v>
      </c>
      <c r="BE1688" s="52" t="n">
        <v>19.99</v>
      </c>
      <c r="BF1688" s="51" t="n">
        <v>0</v>
      </c>
    </row>
    <row r="1689">
      <c r="A1689">
        <f>HYPERLINK("https://www.walmart.com/ip/10286419607", "10286419607")</f>
        <v/>
      </c>
      <c r="B1689" t="inlineStr">
        <is>
          <t>Wrangler Men’s Full Grain Genuine Leather 35mm Thick Casual Belt for Jeans, Pants - Black, 42</t>
        </is>
      </c>
      <c r="C1689" t="inlineStr">
        <is>
          <t>WR-BELT-MENS-35MM-BLACK-42</t>
        </is>
      </c>
      <c r="D1689" t="inlineStr">
        <is>
          <t>Belts</t>
        </is>
      </c>
      <c r="E1689" t="inlineStr">
        <is>
          <t>Wrangler</t>
        </is>
      </c>
      <c r="F1689" t="inlineStr">
        <is>
          <t>Belts</t>
        </is>
      </c>
      <c r="G1689" s="48" t="n">
        <v>0</v>
      </c>
      <c r="H1689" s="49" t="n">
        <v>0</v>
      </c>
      <c r="I1689" s="49" t="n">
        <v>0</v>
      </c>
      <c r="J1689" s="50" t="n">
        <v>0</v>
      </c>
      <c r="K1689" s="51" t="n">
        <v>0</v>
      </c>
      <c r="L1689" s="52" t="n">
        <v>0</v>
      </c>
      <c r="M1689" s="52" t="n">
        <v>0</v>
      </c>
      <c r="N1689" s="52" t="n">
        <v>0</v>
      </c>
      <c r="O1689" s="53" t="n">
        <v>0</v>
      </c>
      <c r="P1689" s="52" t="n">
        <v>0</v>
      </c>
      <c r="Q1689" s="53" t="n">
        <v>0</v>
      </c>
      <c r="R1689" s="52" t="n">
        <v>0</v>
      </c>
      <c r="S1689" s="51" t="n">
        <v>0</v>
      </c>
      <c r="T1689" s="48" t="n">
        <v>0</v>
      </c>
      <c r="U1689" s="49" t="n">
        <v>0</v>
      </c>
      <c r="V1689" s="49" t="n">
        <v>0</v>
      </c>
      <c r="W1689" s="50" t="n">
        <v>0</v>
      </c>
      <c r="X1689" s="51" t="n">
        <v>0</v>
      </c>
      <c r="Y1689" s="52" t="n">
        <v>0</v>
      </c>
      <c r="Z1689" s="52" t="n">
        <v>0</v>
      </c>
      <c r="AA1689" s="52" t="n">
        <v>0</v>
      </c>
      <c r="AB1689" s="53" t="n">
        <v>0</v>
      </c>
      <c r="AC1689" s="52" t="n">
        <v>0</v>
      </c>
      <c r="AD1689" s="53" t="n">
        <v>0</v>
      </c>
      <c r="AE1689" s="52" t="n">
        <v>0</v>
      </c>
      <c r="AF1689" s="51" t="n">
        <v>0</v>
      </c>
      <c r="AG1689" s="48" t="n">
        <v>19.99</v>
      </c>
      <c r="AH1689" s="49" t="n">
        <v>1</v>
      </c>
      <c r="AI1689" s="49" t="n">
        <v>0</v>
      </c>
      <c r="AJ1689" s="50" t="n">
        <v>0</v>
      </c>
      <c r="AK1689" s="51" t="n">
        <v>0</v>
      </c>
      <c r="AL1689" s="52" t="n">
        <v>0</v>
      </c>
      <c r="AM1689" s="52" t="n">
        <v>0</v>
      </c>
      <c r="AN1689" s="52" t="n">
        <v>0</v>
      </c>
      <c r="AO1689" s="53" t="n">
        <v>0</v>
      </c>
      <c r="AP1689" s="52" t="n">
        <v>0</v>
      </c>
      <c r="AQ1689" s="53" t="n">
        <v>0</v>
      </c>
      <c r="AR1689" s="52" t="n">
        <v>19.99</v>
      </c>
      <c r="AS1689" s="51" t="n">
        <v>0</v>
      </c>
      <c r="AT1689" s="48" t="n">
        <v>0</v>
      </c>
      <c r="AU1689" s="49" t="n">
        <v>0</v>
      </c>
      <c r="AV1689" s="49" t="n">
        <v>0</v>
      </c>
      <c r="AW1689" s="50" t="n">
        <v>0</v>
      </c>
      <c r="AX1689" s="51" t="n">
        <v>0</v>
      </c>
      <c r="AY1689" s="52" t="n">
        <v>0</v>
      </c>
      <c r="AZ1689" s="52" t="n">
        <v>0</v>
      </c>
      <c r="BA1689" s="52" t="n">
        <v>0</v>
      </c>
      <c r="BB1689" s="53" t="n">
        <v>0</v>
      </c>
      <c r="BC1689" s="52" t="n">
        <v>0</v>
      </c>
      <c r="BD1689" s="53" t="n">
        <v>0</v>
      </c>
      <c r="BE1689" s="52" t="n">
        <v>0</v>
      </c>
      <c r="BF1689" s="51" t="n">
        <v>0</v>
      </c>
    </row>
    <row r="1690">
      <c r="A1690">
        <f>HYPERLINK("https://www.walmart.com/ip/10286419609", "10286419609")</f>
        <v/>
      </c>
      <c r="B1690" t="inlineStr">
        <is>
          <t>Wrangler Men’s Full Grain Genuine Leather 35mm Thick Casual Belt for Jeans, Pants - Black, 34</t>
        </is>
      </c>
      <c r="C1690" t="inlineStr">
        <is>
          <t>WR-BELT-MENS-35MM-BLACK-34</t>
        </is>
      </c>
      <c r="D1690" t="inlineStr">
        <is>
          <t>Belts</t>
        </is>
      </c>
      <c r="E1690" t="inlineStr">
        <is>
          <t>Wrangler</t>
        </is>
      </c>
      <c r="F1690" t="inlineStr">
        <is>
          <t>Belts</t>
        </is>
      </c>
      <c r="G1690" s="48" t="n">
        <v>0</v>
      </c>
      <c r="H1690" s="49" t="n">
        <v>0</v>
      </c>
      <c r="I1690" s="49" t="n">
        <v>0</v>
      </c>
      <c r="J1690" s="50" t="n">
        <v>0</v>
      </c>
      <c r="K1690" s="51" t="n">
        <v>0</v>
      </c>
      <c r="L1690" s="52" t="n">
        <v>0</v>
      </c>
      <c r="M1690" s="52" t="n">
        <v>0</v>
      </c>
      <c r="N1690" s="52" t="n">
        <v>0</v>
      </c>
      <c r="O1690" s="53" t="n">
        <v>0</v>
      </c>
      <c r="P1690" s="52" t="n">
        <v>0</v>
      </c>
      <c r="Q1690" s="53" t="n">
        <v>0</v>
      </c>
      <c r="R1690" s="52" t="n">
        <v>0</v>
      </c>
      <c r="S1690" s="51" t="n">
        <v>0</v>
      </c>
      <c r="T1690" s="48" t="n">
        <v>0</v>
      </c>
      <c r="U1690" s="49" t="n">
        <v>0</v>
      </c>
      <c r="V1690" s="49" t="n">
        <v>0</v>
      </c>
      <c r="W1690" s="50" t="n">
        <v>0</v>
      </c>
      <c r="X1690" s="51" t="n">
        <v>0</v>
      </c>
      <c r="Y1690" s="52" t="n">
        <v>0</v>
      </c>
      <c r="Z1690" s="52" t="n">
        <v>0</v>
      </c>
      <c r="AA1690" s="52" t="n">
        <v>0</v>
      </c>
      <c r="AB1690" s="53" t="n">
        <v>0</v>
      </c>
      <c r="AC1690" s="52" t="n">
        <v>0</v>
      </c>
      <c r="AD1690" s="53" t="n">
        <v>0</v>
      </c>
      <c r="AE1690" s="52" t="n">
        <v>0</v>
      </c>
      <c r="AF1690" s="51" t="n">
        <v>0</v>
      </c>
      <c r="AG1690" s="48" t="n">
        <v>0</v>
      </c>
      <c r="AH1690" s="49" t="n">
        <v>0</v>
      </c>
      <c r="AI1690" s="49" t="n">
        <v>0</v>
      </c>
      <c r="AJ1690" s="50" t="n">
        <v>0</v>
      </c>
      <c r="AK1690" s="51" t="n">
        <v>0</v>
      </c>
      <c r="AL1690" s="52" t="n">
        <v>0</v>
      </c>
      <c r="AM1690" s="52" t="n">
        <v>0</v>
      </c>
      <c r="AN1690" s="52" t="n">
        <v>0</v>
      </c>
      <c r="AO1690" s="53" t="n">
        <v>0</v>
      </c>
      <c r="AP1690" s="52" t="n">
        <v>0</v>
      </c>
      <c r="AQ1690" s="53" t="n">
        <v>0</v>
      </c>
      <c r="AR1690" s="52" t="n">
        <v>0</v>
      </c>
      <c r="AS1690" s="51" t="n">
        <v>0</v>
      </c>
      <c r="AT1690" s="48" t="n">
        <v>0</v>
      </c>
      <c r="AU1690" s="49" t="n">
        <v>0</v>
      </c>
      <c r="AV1690" s="49" t="n">
        <v>0</v>
      </c>
      <c r="AW1690" s="50" t="n">
        <v>0</v>
      </c>
      <c r="AX1690" s="51" t="n">
        <v>0</v>
      </c>
      <c r="AY1690" s="52" t="n">
        <v>0</v>
      </c>
      <c r="AZ1690" s="52" t="n">
        <v>0</v>
      </c>
      <c r="BA1690" s="52" t="n">
        <v>0</v>
      </c>
      <c r="BB1690" s="53" t="n">
        <v>0</v>
      </c>
      <c r="BC1690" s="52" t="n">
        <v>0</v>
      </c>
      <c r="BD1690" s="53" t="n">
        <v>0</v>
      </c>
      <c r="BE1690" s="52" t="n">
        <v>0</v>
      </c>
      <c r="BF1690" s="51" t="n">
        <v>0</v>
      </c>
    </row>
    <row r="1691">
      <c r="A1691">
        <f>HYPERLINK("https://www.walmart.com/ip/10288719989", "10288719989")</f>
        <v/>
      </c>
      <c r="B1691" t="inlineStr">
        <is>
          <t>Every Day is Christmas Glass Blown Ornaments Cute Hand Made Figurines Tree Decoration, Cupcake Set of 2</t>
        </is>
      </c>
      <c r="C1691" t="inlineStr">
        <is>
          <t>EDC-FIGURINE-WP286</t>
        </is>
      </c>
      <c r="D1691" t="inlineStr">
        <is>
          <t>Ornaments</t>
        </is>
      </c>
      <c r="E1691" t="inlineStr">
        <is>
          <t>Every Day is Christmas</t>
        </is>
      </c>
      <c r="G1691" s="48" t="n">
        <v>0</v>
      </c>
      <c r="H1691" s="49" t="n">
        <v>0</v>
      </c>
      <c r="I1691" s="49" t="n">
        <v>0</v>
      </c>
      <c r="J1691" s="50" t="n">
        <v>0</v>
      </c>
      <c r="K1691" s="51" t="n">
        <v>0</v>
      </c>
      <c r="L1691" s="52" t="n">
        <v>0</v>
      </c>
      <c r="M1691" s="52" t="n">
        <v>0</v>
      </c>
      <c r="N1691" s="52" t="n">
        <v>0</v>
      </c>
      <c r="O1691" s="53" t="n">
        <v>0</v>
      </c>
      <c r="P1691" s="52" t="n">
        <v>0</v>
      </c>
      <c r="Q1691" s="53" t="n">
        <v>0</v>
      </c>
      <c r="R1691" s="52" t="n">
        <v>0</v>
      </c>
      <c r="S1691" s="51" t="n">
        <v>0</v>
      </c>
      <c r="T1691" s="48" t="n">
        <v>0</v>
      </c>
      <c r="U1691" s="49" t="n">
        <v>0</v>
      </c>
      <c r="V1691" s="49" t="n">
        <v>0</v>
      </c>
      <c r="W1691" s="50" t="n">
        <v>0</v>
      </c>
      <c r="X1691" s="51" t="n">
        <v>0</v>
      </c>
      <c r="Y1691" s="52" t="n">
        <v>0</v>
      </c>
      <c r="Z1691" s="52" t="n">
        <v>0</v>
      </c>
      <c r="AA1691" s="52" t="n">
        <v>0</v>
      </c>
      <c r="AB1691" s="53" t="n">
        <v>0</v>
      </c>
      <c r="AC1691" s="52" t="n">
        <v>0</v>
      </c>
      <c r="AD1691" s="53" t="n">
        <v>0</v>
      </c>
      <c r="AE1691" s="52" t="n">
        <v>0</v>
      </c>
      <c r="AF1691" s="51" t="n">
        <v>0</v>
      </c>
      <c r="AG1691" s="48" t="n">
        <v>0</v>
      </c>
      <c r="AH1691" s="49" t="n">
        <v>0</v>
      </c>
      <c r="AI1691" s="49" t="n">
        <v>0</v>
      </c>
      <c r="AJ1691" s="50" t="n">
        <v>0</v>
      </c>
      <c r="AK1691" s="51" t="n">
        <v>0</v>
      </c>
      <c r="AL1691" s="52" t="n">
        <v>0</v>
      </c>
      <c r="AM1691" s="52" t="n">
        <v>0</v>
      </c>
      <c r="AN1691" s="52" t="n">
        <v>0</v>
      </c>
      <c r="AO1691" s="53" t="n">
        <v>0</v>
      </c>
      <c r="AP1691" s="52" t="n">
        <v>0</v>
      </c>
      <c r="AQ1691" s="53" t="n">
        <v>0</v>
      </c>
      <c r="AR1691" s="52" t="n">
        <v>0</v>
      </c>
      <c r="AS1691" s="51" t="n">
        <v>0</v>
      </c>
      <c r="AT1691" s="48" t="n">
        <v>0</v>
      </c>
      <c r="AU1691" s="49" t="n">
        <v>0</v>
      </c>
      <c r="AV1691" s="49" t="n">
        <v>0</v>
      </c>
      <c r="AW1691" s="50" t="n">
        <v>0</v>
      </c>
      <c r="AX1691" s="51" t="n">
        <v>0</v>
      </c>
      <c r="AY1691" s="52" t="n">
        <v>0</v>
      </c>
      <c r="AZ1691" s="52" t="n">
        <v>0</v>
      </c>
      <c r="BA1691" s="52" t="n">
        <v>0</v>
      </c>
      <c r="BB1691" s="53" t="n">
        <v>0</v>
      </c>
      <c r="BC1691" s="52" t="n">
        <v>0</v>
      </c>
      <c r="BD1691" s="53" t="n">
        <v>0</v>
      </c>
      <c r="BE1691" s="52" t="n">
        <v>0</v>
      </c>
      <c r="BF1691" s="51" t="n">
        <v>0</v>
      </c>
    </row>
    <row r="1692">
      <c r="A1692">
        <f>HYPERLINK("https://www.walmart.com/ip/10290901200", "10290901200")</f>
        <v/>
      </c>
      <c r="B1692" t="inlineStr">
        <is>
          <t>Wrangler Men’s Leather Country Casual Every Day Dress Belt for Jeans, Khakis Light Brown 32</t>
        </is>
      </c>
      <c r="C1692" t="inlineStr">
        <is>
          <t>WR-BELT-MENS-COUNTRY-LTBROWN-32</t>
        </is>
      </c>
      <c r="D1692" t="inlineStr">
        <is>
          <t>Belts</t>
        </is>
      </c>
      <c r="E1692" t="inlineStr">
        <is>
          <t>Wrangler</t>
        </is>
      </c>
      <c r="F1692" t="inlineStr">
        <is>
          <t>Belts</t>
        </is>
      </c>
      <c r="G1692" s="48" t="n">
        <v>0</v>
      </c>
      <c r="H1692" s="49" t="n">
        <v>0</v>
      </c>
      <c r="I1692" s="49" t="n">
        <v>0</v>
      </c>
      <c r="J1692" s="50" t="n">
        <v>0</v>
      </c>
      <c r="K1692" s="51" t="n">
        <v>0</v>
      </c>
      <c r="L1692" s="52" t="n">
        <v>0</v>
      </c>
      <c r="M1692" s="52" t="n">
        <v>0</v>
      </c>
      <c r="N1692" s="52" t="n">
        <v>0</v>
      </c>
      <c r="O1692" s="53" t="n">
        <v>0</v>
      </c>
      <c r="P1692" s="52" t="n">
        <v>0</v>
      </c>
      <c r="Q1692" s="53" t="n">
        <v>0</v>
      </c>
      <c r="R1692" s="52" t="n">
        <v>0</v>
      </c>
      <c r="S1692" s="51" t="n">
        <v>0</v>
      </c>
      <c r="T1692" s="48" t="n">
        <v>0</v>
      </c>
      <c r="U1692" s="49" t="n">
        <v>0</v>
      </c>
      <c r="V1692" s="49" t="n">
        <v>0</v>
      </c>
      <c r="W1692" s="50" t="n">
        <v>0</v>
      </c>
      <c r="X1692" s="51" t="n">
        <v>0</v>
      </c>
      <c r="Y1692" s="52" t="n">
        <v>0</v>
      </c>
      <c r="Z1692" s="52" t="n">
        <v>0</v>
      </c>
      <c r="AA1692" s="52" t="n">
        <v>0</v>
      </c>
      <c r="AB1692" s="53" t="n">
        <v>0</v>
      </c>
      <c r="AC1692" s="52" t="n">
        <v>0</v>
      </c>
      <c r="AD1692" s="53" t="n">
        <v>0</v>
      </c>
      <c r="AE1692" s="52" t="n">
        <v>0</v>
      </c>
      <c r="AF1692" s="51" t="n">
        <v>0</v>
      </c>
      <c r="AG1692" s="48" t="n">
        <v>0</v>
      </c>
      <c r="AH1692" s="49" t="n">
        <v>0</v>
      </c>
      <c r="AI1692" s="49" t="n">
        <v>0</v>
      </c>
      <c r="AJ1692" s="50" t="n">
        <v>0</v>
      </c>
      <c r="AK1692" s="51" t="n">
        <v>0</v>
      </c>
      <c r="AL1692" s="52" t="n">
        <v>0</v>
      </c>
      <c r="AM1692" s="52" t="n">
        <v>0</v>
      </c>
      <c r="AN1692" s="52" t="n">
        <v>0</v>
      </c>
      <c r="AO1692" s="53" t="n">
        <v>0</v>
      </c>
      <c r="AP1692" s="52" t="n">
        <v>0</v>
      </c>
      <c r="AQ1692" s="53" t="n">
        <v>0</v>
      </c>
      <c r="AR1692" s="52" t="n">
        <v>0</v>
      </c>
      <c r="AS1692" s="51" t="n">
        <v>0</v>
      </c>
      <c r="AT1692" s="48" t="n">
        <v>0</v>
      </c>
      <c r="AU1692" s="49" t="n">
        <v>0</v>
      </c>
      <c r="AV1692" s="49" t="n">
        <v>0</v>
      </c>
      <c r="AW1692" s="50" t="n">
        <v>0</v>
      </c>
      <c r="AX1692" s="51" t="n">
        <v>0</v>
      </c>
      <c r="AY1692" s="52" t="n">
        <v>0</v>
      </c>
      <c r="AZ1692" s="52" t="n">
        <v>0</v>
      </c>
      <c r="BA1692" s="52" t="n">
        <v>0</v>
      </c>
      <c r="BB1692" s="53" t="n">
        <v>0</v>
      </c>
      <c r="BC1692" s="52" t="n">
        <v>0</v>
      </c>
      <c r="BD1692" s="53" t="n">
        <v>0</v>
      </c>
      <c r="BE1692" s="52" t="n">
        <v>0</v>
      </c>
      <c r="BF1692" s="51" t="n">
        <v>0</v>
      </c>
    </row>
    <row r="1693">
      <c r="A1693">
        <f>HYPERLINK("https://www.walmart.com/ip/10291650549", "10291650549")</f>
        <v/>
      </c>
      <c r="B1693" t="inlineStr">
        <is>
          <t>Wrangler Men’s Leather Country Casual Every Day Dress Belt for Jeans, Khakis Light Brown 38</t>
        </is>
      </c>
      <c r="C1693" t="inlineStr">
        <is>
          <t>WR-BELT-MENS-COUNTRY-LTBROWN-38</t>
        </is>
      </c>
      <c r="D1693" t="inlineStr">
        <is>
          <t>Belts</t>
        </is>
      </c>
      <c r="E1693" t="inlineStr">
        <is>
          <t>Wrangler</t>
        </is>
      </c>
      <c r="F1693" t="inlineStr">
        <is>
          <t>Belts</t>
        </is>
      </c>
      <c r="G1693" s="48" t="n">
        <v>0</v>
      </c>
      <c r="H1693" s="49" t="n">
        <v>0</v>
      </c>
      <c r="I1693" s="49" t="n">
        <v>0</v>
      </c>
      <c r="J1693" s="50" t="n">
        <v>0</v>
      </c>
      <c r="K1693" s="51" t="n">
        <v>0</v>
      </c>
      <c r="L1693" s="52" t="n">
        <v>0</v>
      </c>
      <c r="M1693" s="52" t="n">
        <v>0</v>
      </c>
      <c r="N1693" s="52" t="n">
        <v>0</v>
      </c>
      <c r="O1693" s="53" t="n">
        <v>0</v>
      </c>
      <c r="P1693" s="52" t="n">
        <v>0</v>
      </c>
      <c r="Q1693" s="53" t="n">
        <v>0</v>
      </c>
      <c r="R1693" s="52" t="n">
        <v>0</v>
      </c>
      <c r="S1693" s="51" t="n">
        <v>336</v>
      </c>
      <c r="T1693" s="48" t="n">
        <v>0</v>
      </c>
      <c r="U1693" s="49" t="n">
        <v>0</v>
      </c>
      <c r="V1693" s="49" t="n">
        <v>0</v>
      </c>
      <c r="W1693" s="50" t="n">
        <v>0</v>
      </c>
      <c r="X1693" s="51" t="n">
        <v>5</v>
      </c>
      <c r="Y1693" s="52" t="n">
        <v>2.91</v>
      </c>
      <c r="Z1693" s="52" t="n">
        <v>0</v>
      </c>
      <c r="AA1693" s="52" t="n">
        <v>0</v>
      </c>
      <c r="AB1693" s="53" t="n">
        <v>0.0025</v>
      </c>
      <c r="AC1693" s="52" t="n">
        <v>0.582</v>
      </c>
      <c r="AD1693" s="53" t="n">
        <v>0</v>
      </c>
      <c r="AE1693" s="52" t="n">
        <v>0</v>
      </c>
      <c r="AF1693" s="51" t="n">
        <v>2017</v>
      </c>
      <c r="AG1693" s="48" t="n">
        <v>0</v>
      </c>
      <c r="AH1693" s="49" t="n">
        <v>0</v>
      </c>
      <c r="AI1693" s="49" t="n">
        <v>0</v>
      </c>
      <c r="AJ1693" s="50" t="n">
        <v>0</v>
      </c>
      <c r="AK1693" s="51" t="n">
        <v>3</v>
      </c>
      <c r="AL1693" s="52" t="n">
        <v>1.77</v>
      </c>
      <c r="AM1693" s="52" t="n">
        <v>0</v>
      </c>
      <c r="AN1693" s="52" t="n">
        <v>0</v>
      </c>
      <c r="AO1693" s="53" t="n">
        <v>0.0029</v>
      </c>
      <c r="AP1693" s="52" t="n">
        <v>0.59</v>
      </c>
      <c r="AQ1693" s="53" t="n">
        <v>0</v>
      </c>
      <c r="AR1693" s="52" t="n">
        <v>0</v>
      </c>
      <c r="AS1693" s="51" t="n">
        <v>1031</v>
      </c>
      <c r="AT1693" s="48" t="n">
        <v>19.99</v>
      </c>
      <c r="AU1693" s="49" t="n">
        <v>1</v>
      </c>
      <c r="AV1693" s="49" t="n">
        <v>0</v>
      </c>
      <c r="AW1693" s="50" t="n">
        <v>0</v>
      </c>
      <c r="AX1693" s="51" t="n">
        <v>5</v>
      </c>
      <c r="AY1693" s="52" t="n">
        <v>2.89</v>
      </c>
      <c r="AZ1693" s="52" t="n">
        <v>0</v>
      </c>
      <c r="BA1693" s="52" t="n">
        <v>0</v>
      </c>
      <c r="BB1693" s="53" t="n">
        <v>0.0038</v>
      </c>
      <c r="BC1693" s="52" t="n">
        <v>0.578</v>
      </c>
      <c r="BD1693" s="53" t="n">
        <v>0.1445722861430715</v>
      </c>
      <c r="BE1693" s="52" t="n">
        <v>19.99</v>
      </c>
      <c r="BF1693" s="51" t="n">
        <v>1316</v>
      </c>
    </row>
    <row r="1694">
      <c r="A1694">
        <f>HYPERLINK("https://www.walmart.com/ip/10291650556", "10291650556")</f>
        <v/>
      </c>
      <c r="B1694" t="inlineStr">
        <is>
          <t>Wrangler Men’s Full Grain Genuine Leather 35mm Thick Casual Belt for Jeans, Pants - Black, 44</t>
        </is>
      </c>
      <c r="C1694" t="inlineStr">
        <is>
          <t>WR-BELT-MENS-35MM-BLACK-44</t>
        </is>
      </c>
      <c r="D1694" t="inlineStr">
        <is>
          <t>Belts</t>
        </is>
      </c>
      <c r="E1694" t="inlineStr">
        <is>
          <t>Wrangler</t>
        </is>
      </c>
      <c r="F1694" t="inlineStr">
        <is>
          <t>Belts</t>
        </is>
      </c>
      <c r="G1694" s="48" t="n">
        <v>0</v>
      </c>
      <c r="H1694" s="49" t="n">
        <v>0</v>
      </c>
      <c r="I1694" s="49" t="n">
        <v>0</v>
      </c>
      <c r="J1694" s="50" t="n">
        <v>0</v>
      </c>
      <c r="K1694" s="51" t="n">
        <v>0</v>
      </c>
      <c r="L1694" s="52" t="n">
        <v>0</v>
      </c>
      <c r="M1694" s="52" t="n">
        <v>0</v>
      </c>
      <c r="N1694" s="52" t="n">
        <v>0</v>
      </c>
      <c r="O1694" s="53" t="n">
        <v>0</v>
      </c>
      <c r="P1694" s="52" t="n">
        <v>0</v>
      </c>
      <c r="Q1694" s="53" t="n">
        <v>0</v>
      </c>
      <c r="R1694" s="52" t="n">
        <v>0</v>
      </c>
      <c r="S1694" s="51" t="n">
        <v>0</v>
      </c>
      <c r="T1694" s="48" t="n">
        <v>0</v>
      </c>
      <c r="U1694" s="49" t="n">
        <v>0</v>
      </c>
      <c r="V1694" s="49" t="n">
        <v>0</v>
      </c>
      <c r="W1694" s="50" t="n">
        <v>0</v>
      </c>
      <c r="X1694" s="51" t="n">
        <v>0</v>
      </c>
      <c r="Y1694" s="52" t="n">
        <v>0</v>
      </c>
      <c r="Z1694" s="52" t="n">
        <v>0</v>
      </c>
      <c r="AA1694" s="52" t="n">
        <v>0</v>
      </c>
      <c r="AB1694" s="53" t="n">
        <v>0</v>
      </c>
      <c r="AC1694" s="52" t="n">
        <v>0</v>
      </c>
      <c r="AD1694" s="53" t="n">
        <v>0</v>
      </c>
      <c r="AE1694" s="52" t="n">
        <v>0</v>
      </c>
      <c r="AF1694" s="51" t="n">
        <v>0</v>
      </c>
      <c r="AG1694" s="48" t="n">
        <v>0</v>
      </c>
      <c r="AH1694" s="49" t="n">
        <v>0</v>
      </c>
      <c r="AI1694" s="49" t="n">
        <v>0</v>
      </c>
      <c r="AJ1694" s="50" t="n">
        <v>0</v>
      </c>
      <c r="AK1694" s="51" t="n">
        <v>0</v>
      </c>
      <c r="AL1694" s="52" t="n">
        <v>0</v>
      </c>
      <c r="AM1694" s="52" t="n">
        <v>0</v>
      </c>
      <c r="AN1694" s="52" t="n">
        <v>0</v>
      </c>
      <c r="AO1694" s="53" t="n">
        <v>0</v>
      </c>
      <c r="AP1694" s="52" t="n">
        <v>0</v>
      </c>
      <c r="AQ1694" s="53" t="n">
        <v>0</v>
      </c>
      <c r="AR1694" s="52" t="n">
        <v>0</v>
      </c>
      <c r="AS1694" s="51" t="n">
        <v>0</v>
      </c>
      <c r="AT1694" s="48" t="n">
        <v>0</v>
      </c>
      <c r="AU1694" s="49" t="n">
        <v>0</v>
      </c>
      <c r="AV1694" s="49" t="n">
        <v>0</v>
      </c>
      <c r="AW1694" s="50" t="n">
        <v>0</v>
      </c>
      <c r="AX1694" s="51" t="n">
        <v>0</v>
      </c>
      <c r="AY1694" s="52" t="n">
        <v>0</v>
      </c>
      <c r="AZ1694" s="52" t="n">
        <v>0</v>
      </c>
      <c r="BA1694" s="52" t="n">
        <v>0</v>
      </c>
      <c r="BB1694" s="53" t="n">
        <v>0</v>
      </c>
      <c r="BC1694" s="52" t="n">
        <v>0</v>
      </c>
      <c r="BD1694" s="53" t="n">
        <v>0</v>
      </c>
      <c r="BE1694" s="52" t="n">
        <v>0</v>
      </c>
      <c r="BF1694" s="51" t="n">
        <v>0</v>
      </c>
    </row>
    <row r="1695">
      <c r="A1695">
        <f>HYPERLINK("https://www.walmart.com/ip/10291700387", "10291700387")</f>
        <v/>
      </c>
      <c r="B1695" t="inlineStr">
        <is>
          <t>Wrangler Men’s Full Grain Genuine Leather 35mm Thick Casual Belt for Jeans, Pants - Black, 40</t>
        </is>
      </c>
      <c r="C1695" t="inlineStr">
        <is>
          <t>WR-BELT-MENS-35MM-BLACK-40</t>
        </is>
      </c>
      <c r="D1695" t="inlineStr">
        <is>
          <t>Belts</t>
        </is>
      </c>
      <c r="E1695" t="inlineStr">
        <is>
          <t>Wrangler</t>
        </is>
      </c>
      <c r="F1695" t="inlineStr">
        <is>
          <t>Belts</t>
        </is>
      </c>
      <c r="G1695" s="48" t="n">
        <v>0</v>
      </c>
      <c r="H1695" s="49" t="n">
        <v>0</v>
      </c>
      <c r="I1695" s="49" t="n">
        <v>0</v>
      </c>
      <c r="J1695" s="50" t="n">
        <v>0</v>
      </c>
      <c r="K1695" s="51" t="n">
        <v>0</v>
      </c>
      <c r="L1695" s="52" t="n">
        <v>0</v>
      </c>
      <c r="M1695" s="52" t="n">
        <v>0</v>
      </c>
      <c r="N1695" s="52" t="n">
        <v>0</v>
      </c>
      <c r="O1695" s="53" t="n">
        <v>0</v>
      </c>
      <c r="P1695" s="52" t="n">
        <v>0</v>
      </c>
      <c r="Q1695" s="53" t="n">
        <v>0</v>
      </c>
      <c r="R1695" s="52" t="n">
        <v>0</v>
      </c>
      <c r="S1695" s="51" t="n">
        <v>0</v>
      </c>
      <c r="T1695" s="48" t="n">
        <v>19.99</v>
      </c>
      <c r="U1695" s="49" t="n">
        <v>1</v>
      </c>
      <c r="V1695" s="49" t="n">
        <v>0</v>
      </c>
      <c r="W1695" s="50" t="n">
        <v>0</v>
      </c>
      <c r="X1695" s="51" t="n">
        <v>0</v>
      </c>
      <c r="Y1695" s="52" t="n">
        <v>0</v>
      </c>
      <c r="Z1695" s="52" t="n">
        <v>0</v>
      </c>
      <c r="AA1695" s="52" t="n">
        <v>0</v>
      </c>
      <c r="AB1695" s="53" t="n">
        <v>0</v>
      </c>
      <c r="AC1695" s="52" t="n">
        <v>0</v>
      </c>
      <c r="AD1695" s="53" t="n">
        <v>0</v>
      </c>
      <c r="AE1695" s="52" t="n">
        <v>19.99</v>
      </c>
      <c r="AF1695" s="51" t="n">
        <v>0</v>
      </c>
      <c r="AG1695" s="48" t="n">
        <v>0</v>
      </c>
      <c r="AH1695" s="49" t="n">
        <v>0</v>
      </c>
      <c r="AI1695" s="49" t="n">
        <v>0</v>
      </c>
      <c r="AJ1695" s="50" t="n">
        <v>0</v>
      </c>
      <c r="AK1695" s="51" t="n">
        <v>0</v>
      </c>
      <c r="AL1695" s="52" t="n">
        <v>0</v>
      </c>
      <c r="AM1695" s="52" t="n">
        <v>0</v>
      </c>
      <c r="AN1695" s="52" t="n">
        <v>0</v>
      </c>
      <c r="AO1695" s="53" t="n">
        <v>0</v>
      </c>
      <c r="AP1695" s="52" t="n">
        <v>0</v>
      </c>
      <c r="AQ1695" s="53" t="n">
        <v>0</v>
      </c>
      <c r="AR1695" s="52" t="n">
        <v>0</v>
      </c>
      <c r="AS1695" s="51" t="n">
        <v>0</v>
      </c>
      <c r="AT1695" s="48" t="n">
        <v>0</v>
      </c>
      <c r="AU1695" s="49" t="n">
        <v>0</v>
      </c>
      <c r="AV1695" s="49" t="n">
        <v>0</v>
      </c>
      <c r="AW1695" s="50" t="n">
        <v>0</v>
      </c>
      <c r="AX1695" s="51" t="n">
        <v>0</v>
      </c>
      <c r="AY1695" s="52" t="n">
        <v>0</v>
      </c>
      <c r="AZ1695" s="52" t="n">
        <v>0</v>
      </c>
      <c r="BA1695" s="52" t="n">
        <v>0</v>
      </c>
      <c r="BB1695" s="53" t="n">
        <v>0</v>
      </c>
      <c r="BC1695" s="52" t="n">
        <v>0</v>
      </c>
      <c r="BD1695" s="53" t="n">
        <v>0</v>
      </c>
      <c r="BE1695" s="52" t="n">
        <v>0</v>
      </c>
      <c r="BF1695" s="51" t="n">
        <v>0</v>
      </c>
    </row>
    <row r="1696">
      <c r="A1696">
        <f>HYPERLINK("https://www.walmart.com/ip/10291750201", "10291750201")</f>
        <v/>
      </c>
      <c r="B1696" t="inlineStr">
        <is>
          <t>Wrangler Men’s Full Grain Genuine Leather 35mm Thick Casual Belt for Jeans, Pants - Light Brown, 38</t>
        </is>
      </c>
      <c r="C1696" t="inlineStr">
        <is>
          <t>WR-BELT-MENS-35MM-LTBROWN-38</t>
        </is>
      </c>
      <c r="D1696" t="inlineStr">
        <is>
          <t>Belts</t>
        </is>
      </c>
      <c r="E1696" t="inlineStr">
        <is>
          <t>Wrangler</t>
        </is>
      </c>
      <c r="F1696" t="inlineStr">
        <is>
          <t>Belts</t>
        </is>
      </c>
      <c r="G1696" s="48" t="n">
        <v>0</v>
      </c>
      <c r="H1696" s="49" t="n">
        <v>0</v>
      </c>
      <c r="I1696" s="49" t="n">
        <v>0</v>
      </c>
      <c r="J1696" s="50" t="n">
        <v>0</v>
      </c>
      <c r="K1696" s="51" t="n">
        <v>0</v>
      </c>
      <c r="L1696" s="52" t="n">
        <v>0</v>
      </c>
      <c r="M1696" s="52" t="n">
        <v>0</v>
      </c>
      <c r="N1696" s="52" t="n">
        <v>0</v>
      </c>
      <c r="O1696" s="53" t="n">
        <v>0</v>
      </c>
      <c r="P1696" s="52" t="n">
        <v>0</v>
      </c>
      <c r="Q1696" s="53" t="n">
        <v>0</v>
      </c>
      <c r="R1696" s="52" t="n">
        <v>0</v>
      </c>
      <c r="S1696" s="51" t="n">
        <v>0</v>
      </c>
      <c r="T1696" s="48" t="n">
        <v>19.99</v>
      </c>
      <c r="U1696" s="49" t="n">
        <v>1</v>
      </c>
      <c r="V1696" s="49" t="n">
        <v>0</v>
      </c>
      <c r="W1696" s="50" t="n">
        <v>0</v>
      </c>
      <c r="X1696" s="51" t="n">
        <v>0</v>
      </c>
      <c r="Y1696" s="52" t="n">
        <v>0</v>
      </c>
      <c r="Z1696" s="52" t="n">
        <v>0</v>
      </c>
      <c r="AA1696" s="52" t="n">
        <v>0</v>
      </c>
      <c r="AB1696" s="53" t="n">
        <v>0</v>
      </c>
      <c r="AC1696" s="52" t="n">
        <v>0</v>
      </c>
      <c r="AD1696" s="53" t="n">
        <v>0</v>
      </c>
      <c r="AE1696" s="52" t="n">
        <v>19.99</v>
      </c>
      <c r="AF1696" s="51" t="n">
        <v>0</v>
      </c>
      <c r="AG1696" s="48" t="n">
        <v>19.99</v>
      </c>
      <c r="AH1696" s="49" t="n">
        <v>1</v>
      </c>
      <c r="AI1696" s="49" t="n">
        <v>0</v>
      </c>
      <c r="AJ1696" s="50" t="n">
        <v>0</v>
      </c>
      <c r="AK1696" s="51" t="n">
        <v>0</v>
      </c>
      <c r="AL1696" s="52" t="n">
        <v>0</v>
      </c>
      <c r="AM1696" s="52" t="n">
        <v>0</v>
      </c>
      <c r="AN1696" s="52" t="n">
        <v>0</v>
      </c>
      <c r="AO1696" s="53" t="n">
        <v>0</v>
      </c>
      <c r="AP1696" s="52" t="n">
        <v>0</v>
      </c>
      <c r="AQ1696" s="53" t="n">
        <v>0</v>
      </c>
      <c r="AR1696" s="52" t="n">
        <v>19.99</v>
      </c>
      <c r="AS1696" s="51" t="n">
        <v>0</v>
      </c>
      <c r="AT1696" s="48" t="n">
        <v>0</v>
      </c>
      <c r="AU1696" s="49" t="n">
        <v>0</v>
      </c>
      <c r="AV1696" s="49" t="n">
        <v>0</v>
      </c>
      <c r="AW1696" s="50" t="n">
        <v>0</v>
      </c>
      <c r="AX1696" s="51" t="n">
        <v>0</v>
      </c>
      <c r="AY1696" s="52" t="n">
        <v>0</v>
      </c>
      <c r="AZ1696" s="52" t="n">
        <v>0</v>
      </c>
      <c r="BA1696" s="52" t="n">
        <v>0</v>
      </c>
      <c r="BB1696" s="53" t="n">
        <v>0</v>
      </c>
      <c r="BC1696" s="52" t="n">
        <v>0</v>
      </c>
      <c r="BD1696" s="53" t="n">
        <v>0</v>
      </c>
      <c r="BE1696" s="52" t="n">
        <v>0</v>
      </c>
      <c r="BF1696" s="51" t="n">
        <v>0</v>
      </c>
    </row>
    <row r="1697">
      <c r="A1697">
        <f>HYPERLINK("https://www.walmart.com/ip/10292551967", "10292551967")</f>
        <v/>
      </c>
      <c r="B1697" t="inlineStr">
        <is>
          <t>PEANUTS Toddler Boys Girls Snoopy Family Matching Pajamas 2-Piece Sets for Christmas with Woodstock Charlie Brown Linus (Green Polka Dot, 5T)</t>
        </is>
      </c>
      <c r="C1697" t="inlineStr">
        <is>
          <t>PEA-PJS-FAMILY-TODDLER-GREEN-5T</t>
        </is>
      </c>
      <c r="D1697" t="inlineStr">
        <is>
          <t>Pajamas</t>
        </is>
      </c>
      <c r="E1697" t="inlineStr">
        <is>
          <t>Peanuts</t>
        </is>
      </c>
      <c r="G1697" s="48" t="n">
        <v>0</v>
      </c>
      <c r="H1697" s="49" t="n">
        <v>0</v>
      </c>
      <c r="I1697" s="49" t="n">
        <v>0</v>
      </c>
      <c r="J1697" s="50" t="n">
        <v>0</v>
      </c>
      <c r="K1697" s="51" t="n">
        <v>0</v>
      </c>
      <c r="L1697" s="52" t="n">
        <v>0</v>
      </c>
      <c r="M1697" s="52" t="n">
        <v>0</v>
      </c>
      <c r="N1697" s="52" t="n">
        <v>0</v>
      </c>
      <c r="O1697" s="53" t="n">
        <v>0</v>
      </c>
      <c r="P1697" s="52" t="n">
        <v>0</v>
      </c>
      <c r="Q1697" s="53" t="n">
        <v>0</v>
      </c>
      <c r="R1697" s="52" t="n">
        <v>0</v>
      </c>
      <c r="S1697" s="51" t="n">
        <v>0</v>
      </c>
      <c r="T1697" s="48" t="n">
        <v>0</v>
      </c>
      <c r="U1697" s="49" t="n">
        <v>0</v>
      </c>
      <c r="V1697" s="49" t="n">
        <v>0</v>
      </c>
      <c r="W1697" s="50" t="n">
        <v>0</v>
      </c>
      <c r="X1697" s="51" t="n">
        <v>0</v>
      </c>
      <c r="Y1697" s="52" t="n">
        <v>0</v>
      </c>
      <c r="Z1697" s="52" t="n">
        <v>0</v>
      </c>
      <c r="AA1697" s="52" t="n">
        <v>0</v>
      </c>
      <c r="AB1697" s="53" t="n">
        <v>0</v>
      </c>
      <c r="AC1697" s="52" t="n">
        <v>0</v>
      </c>
      <c r="AD1697" s="53" t="n">
        <v>0</v>
      </c>
      <c r="AE1697" s="52" t="n">
        <v>0</v>
      </c>
      <c r="AF1697" s="51" t="n">
        <v>0</v>
      </c>
      <c r="AG1697" s="48" t="n">
        <v>0</v>
      </c>
      <c r="AH1697" s="49" t="n">
        <v>0</v>
      </c>
      <c r="AI1697" s="49" t="n">
        <v>0</v>
      </c>
      <c r="AJ1697" s="50" t="n">
        <v>0</v>
      </c>
      <c r="AK1697" s="51" t="n">
        <v>0</v>
      </c>
      <c r="AL1697" s="52" t="n">
        <v>0</v>
      </c>
      <c r="AM1697" s="52" t="n">
        <v>0</v>
      </c>
      <c r="AN1697" s="52" t="n">
        <v>0</v>
      </c>
      <c r="AO1697" s="53" t="n">
        <v>0</v>
      </c>
      <c r="AP1697" s="52" t="n">
        <v>0</v>
      </c>
      <c r="AQ1697" s="53" t="n">
        <v>0</v>
      </c>
      <c r="AR1697" s="52" t="n">
        <v>0</v>
      </c>
      <c r="AS1697" s="51" t="n">
        <v>0</v>
      </c>
      <c r="AT1697" s="48" t="n">
        <v>0</v>
      </c>
      <c r="AU1697" s="49" t="n">
        <v>0</v>
      </c>
      <c r="AV1697" s="49" t="n">
        <v>0</v>
      </c>
      <c r="AW1697" s="50" t="n">
        <v>0</v>
      </c>
      <c r="AX1697" s="51" t="n">
        <v>0</v>
      </c>
      <c r="AY1697" s="52" t="n">
        <v>0</v>
      </c>
      <c r="AZ1697" s="52" t="n">
        <v>0</v>
      </c>
      <c r="BA1697" s="52" t="n">
        <v>0</v>
      </c>
      <c r="BB1697" s="53" t="n">
        <v>0</v>
      </c>
      <c r="BC1697" s="52" t="n">
        <v>0</v>
      </c>
      <c r="BD1697" s="53" t="n">
        <v>0</v>
      </c>
      <c r="BE1697" s="52" t="n">
        <v>0</v>
      </c>
      <c r="BF1697" s="51" t="n">
        <v>0</v>
      </c>
    </row>
    <row r="1698">
      <c r="A1698">
        <f>HYPERLINK("https://www.walmart.com/ip/10292804837", "10292804837")</f>
        <v/>
      </c>
      <c r="B1698" t="inlineStr">
        <is>
          <t>Every Day is Christmas Glass Blown Ornaments Cute Hand Made Figurines Tree Decoration, Set of 2 Strawberry</t>
        </is>
      </c>
      <c r="C1698" t="inlineStr">
        <is>
          <t>EDC-FIGURINE-STRAWBERRY-2PACK</t>
        </is>
      </c>
      <c r="D1698" t="inlineStr">
        <is>
          <t>Ornaments</t>
        </is>
      </c>
      <c r="E1698" t="inlineStr">
        <is>
          <t>Every Day is Christmas</t>
        </is>
      </c>
      <c r="G1698" s="48" t="n">
        <v>0</v>
      </c>
      <c r="H1698" s="49" t="n">
        <v>0</v>
      </c>
      <c r="I1698" s="49" t="n">
        <v>0</v>
      </c>
      <c r="J1698" s="50" t="n">
        <v>0</v>
      </c>
      <c r="K1698" s="51" t="n">
        <v>0</v>
      </c>
      <c r="L1698" s="52" t="n">
        <v>0</v>
      </c>
      <c r="M1698" s="52" t="n">
        <v>0</v>
      </c>
      <c r="N1698" s="52" t="n">
        <v>0</v>
      </c>
      <c r="O1698" s="53" t="n">
        <v>0</v>
      </c>
      <c r="P1698" s="52" t="n">
        <v>0</v>
      </c>
      <c r="Q1698" s="53" t="n">
        <v>0</v>
      </c>
      <c r="R1698" s="52" t="n">
        <v>0</v>
      </c>
      <c r="S1698" s="51" t="n">
        <v>0</v>
      </c>
      <c r="T1698" s="48" t="n">
        <v>0</v>
      </c>
      <c r="U1698" s="49" t="n">
        <v>0</v>
      </c>
      <c r="V1698" s="49" t="n">
        <v>0</v>
      </c>
      <c r="W1698" s="50" t="n">
        <v>0</v>
      </c>
      <c r="X1698" s="51" t="n">
        <v>0</v>
      </c>
      <c r="Y1698" s="52" t="n">
        <v>0</v>
      </c>
      <c r="Z1698" s="52" t="n">
        <v>0</v>
      </c>
      <c r="AA1698" s="52" t="n">
        <v>0</v>
      </c>
      <c r="AB1698" s="53" t="n">
        <v>0</v>
      </c>
      <c r="AC1698" s="52" t="n">
        <v>0</v>
      </c>
      <c r="AD1698" s="53" t="n">
        <v>0</v>
      </c>
      <c r="AE1698" s="52" t="n">
        <v>0</v>
      </c>
      <c r="AF1698" s="51" t="n">
        <v>0</v>
      </c>
      <c r="AG1698" s="48" t="n">
        <v>0</v>
      </c>
      <c r="AH1698" s="49" t="n">
        <v>0</v>
      </c>
      <c r="AI1698" s="49" t="n">
        <v>0</v>
      </c>
      <c r="AJ1698" s="50" t="n">
        <v>0</v>
      </c>
      <c r="AK1698" s="51" t="n">
        <v>0</v>
      </c>
      <c r="AL1698" s="52" t="n">
        <v>0</v>
      </c>
      <c r="AM1698" s="52" t="n">
        <v>0</v>
      </c>
      <c r="AN1698" s="52" t="n">
        <v>0</v>
      </c>
      <c r="AO1698" s="53" t="n">
        <v>0</v>
      </c>
      <c r="AP1698" s="52" t="n">
        <v>0</v>
      </c>
      <c r="AQ1698" s="53" t="n">
        <v>0</v>
      </c>
      <c r="AR1698" s="52" t="n">
        <v>0</v>
      </c>
      <c r="AS1698" s="51" t="n">
        <v>0</v>
      </c>
      <c r="AT1698" s="48" t="n">
        <v>0</v>
      </c>
      <c r="AU1698" s="49" t="n">
        <v>0</v>
      </c>
      <c r="AV1698" s="49" t="n">
        <v>0</v>
      </c>
      <c r="AW1698" s="50" t="n">
        <v>0</v>
      </c>
      <c r="AX1698" s="51" t="n">
        <v>0</v>
      </c>
      <c r="AY1698" s="52" t="n">
        <v>0</v>
      </c>
      <c r="AZ1698" s="52" t="n">
        <v>0</v>
      </c>
      <c r="BA1698" s="52" t="n">
        <v>0</v>
      </c>
      <c r="BB1698" s="53" t="n">
        <v>0</v>
      </c>
      <c r="BC1698" s="52" t="n">
        <v>0</v>
      </c>
      <c r="BD1698" s="53" t="n">
        <v>0</v>
      </c>
      <c r="BE1698" s="52" t="n">
        <v>0</v>
      </c>
      <c r="BF1698" s="51" t="n">
        <v>0</v>
      </c>
    </row>
    <row r="1699">
      <c r="A1699">
        <f>HYPERLINK("https://www.walmart.com/ip/10294113697", "10294113697")</f>
        <v/>
      </c>
      <c r="B1699" t="inlineStr">
        <is>
          <t>Wrangler Men’s Full Grain Genuine Leather 35mm Thick Casual Belt for Jeans, Pants - Light Brown, 42</t>
        </is>
      </c>
      <c r="C1699" t="inlineStr">
        <is>
          <t>WR-BELT-MENS-35MM-LTBROWN-42</t>
        </is>
      </c>
      <c r="D1699" t="inlineStr">
        <is>
          <t>Belts</t>
        </is>
      </c>
      <c r="E1699" t="inlineStr">
        <is>
          <t>Wrangler</t>
        </is>
      </c>
      <c r="F1699" t="inlineStr">
        <is>
          <t>Belts</t>
        </is>
      </c>
      <c r="G1699" s="48" t="n">
        <v>0</v>
      </c>
      <c r="H1699" s="49" t="n">
        <v>0</v>
      </c>
      <c r="I1699" s="49" t="n">
        <v>0</v>
      </c>
      <c r="J1699" s="50" t="n">
        <v>0</v>
      </c>
      <c r="K1699" s="51" t="n">
        <v>0</v>
      </c>
      <c r="L1699" s="52" t="n">
        <v>0</v>
      </c>
      <c r="M1699" s="52" t="n">
        <v>0</v>
      </c>
      <c r="N1699" s="52" t="n">
        <v>0</v>
      </c>
      <c r="O1699" s="53" t="n">
        <v>0</v>
      </c>
      <c r="P1699" s="52" t="n">
        <v>0</v>
      </c>
      <c r="Q1699" s="53" t="n">
        <v>0</v>
      </c>
      <c r="R1699" s="52" t="n">
        <v>0</v>
      </c>
      <c r="S1699" s="51" t="n">
        <v>0</v>
      </c>
      <c r="T1699" s="48" t="n">
        <v>0</v>
      </c>
      <c r="U1699" s="49" t="n">
        <v>0</v>
      </c>
      <c r="V1699" s="49" t="n">
        <v>0</v>
      </c>
      <c r="W1699" s="50" t="n">
        <v>0</v>
      </c>
      <c r="X1699" s="51" t="n">
        <v>0</v>
      </c>
      <c r="Y1699" s="52" t="n">
        <v>0</v>
      </c>
      <c r="Z1699" s="52" t="n">
        <v>0</v>
      </c>
      <c r="AA1699" s="52" t="n">
        <v>0</v>
      </c>
      <c r="AB1699" s="53" t="n">
        <v>0</v>
      </c>
      <c r="AC1699" s="52" t="n">
        <v>0</v>
      </c>
      <c r="AD1699" s="53" t="n">
        <v>0</v>
      </c>
      <c r="AE1699" s="52" t="n">
        <v>0</v>
      </c>
      <c r="AF1699" s="51" t="n">
        <v>0</v>
      </c>
      <c r="AG1699" s="48" t="n">
        <v>0</v>
      </c>
      <c r="AH1699" s="49" t="n">
        <v>0</v>
      </c>
      <c r="AI1699" s="49" t="n">
        <v>0</v>
      </c>
      <c r="AJ1699" s="50" t="n">
        <v>0</v>
      </c>
      <c r="AK1699" s="51" t="n">
        <v>0</v>
      </c>
      <c r="AL1699" s="52" t="n">
        <v>0</v>
      </c>
      <c r="AM1699" s="52" t="n">
        <v>0</v>
      </c>
      <c r="AN1699" s="52" t="n">
        <v>0</v>
      </c>
      <c r="AO1699" s="53" t="n">
        <v>0</v>
      </c>
      <c r="AP1699" s="52" t="n">
        <v>0</v>
      </c>
      <c r="AQ1699" s="53" t="n">
        <v>0</v>
      </c>
      <c r="AR1699" s="52" t="n">
        <v>0</v>
      </c>
      <c r="AS1699" s="51" t="n">
        <v>0</v>
      </c>
      <c r="AT1699" s="48" t="n">
        <v>0</v>
      </c>
      <c r="AU1699" s="49" t="n">
        <v>0</v>
      </c>
      <c r="AV1699" s="49" t="n">
        <v>0</v>
      </c>
      <c r="AW1699" s="50" t="n">
        <v>0</v>
      </c>
      <c r="AX1699" s="51" t="n">
        <v>0</v>
      </c>
      <c r="AY1699" s="52" t="n">
        <v>0</v>
      </c>
      <c r="AZ1699" s="52" t="n">
        <v>0</v>
      </c>
      <c r="BA1699" s="52" t="n">
        <v>0</v>
      </c>
      <c r="BB1699" s="53" t="n">
        <v>0</v>
      </c>
      <c r="BC1699" s="52" t="n">
        <v>0</v>
      </c>
      <c r="BD1699" s="53" t="n">
        <v>0</v>
      </c>
      <c r="BE1699" s="52" t="n">
        <v>0</v>
      </c>
      <c r="BF1699" s="51" t="n">
        <v>0</v>
      </c>
    </row>
    <row r="1700">
      <c r="A1700">
        <f>HYPERLINK("https://www.walmart.com/ip/10294163529", "10294163529")</f>
        <v/>
      </c>
      <c r="B1700" t="inlineStr">
        <is>
          <t>Wrangler Men’s Full Grain Genuine Leather 35mm Thick Casual Belt for Jeans, Pants - Brown, 38</t>
        </is>
      </c>
      <c r="C1700" t="inlineStr">
        <is>
          <t>WR-BELT-MENS-35MM-BROWN-38</t>
        </is>
      </c>
      <c r="D1700" t="inlineStr">
        <is>
          <t>Belts</t>
        </is>
      </c>
      <c r="E1700" t="inlineStr">
        <is>
          <t>Wrangler</t>
        </is>
      </c>
      <c r="F1700" t="inlineStr">
        <is>
          <t>Belts</t>
        </is>
      </c>
      <c r="G1700" s="48" t="n">
        <v>0</v>
      </c>
      <c r="H1700" s="49" t="n">
        <v>0</v>
      </c>
      <c r="I1700" s="49" t="n">
        <v>0</v>
      </c>
      <c r="J1700" s="50" t="n">
        <v>0</v>
      </c>
      <c r="K1700" s="51" t="n">
        <v>0</v>
      </c>
      <c r="L1700" s="52" t="n">
        <v>0</v>
      </c>
      <c r="M1700" s="52" t="n">
        <v>0</v>
      </c>
      <c r="N1700" s="52" t="n">
        <v>0</v>
      </c>
      <c r="O1700" s="53" t="n">
        <v>0</v>
      </c>
      <c r="P1700" s="52" t="n">
        <v>0</v>
      </c>
      <c r="Q1700" s="53" t="n">
        <v>0</v>
      </c>
      <c r="R1700" s="52" t="n">
        <v>0</v>
      </c>
      <c r="S1700" s="51" t="n">
        <v>0</v>
      </c>
      <c r="T1700" s="48" t="n">
        <v>0</v>
      </c>
      <c r="U1700" s="49" t="n">
        <v>0</v>
      </c>
      <c r="V1700" s="49" t="n">
        <v>0</v>
      </c>
      <c r="W1700" s="50" t="n">
        <v>0</v>
      </c>
      <c r="X1700" s="51" t="n">
        <v>0</v>
      </c>
      <c r="Y1700" s="52" t="n">
        <v>0</v>
      </c>
      <c r="Z1700" s="52" t="n">
        <v>0</v>
      </c>
      <c r="AA1700" s="52" t="n">
        <v>0</v>
      </c>
      <c r="AB1700" s="53" t="n">
        <v>0</v>
      </c>
      <c r="AC1700" s="52" t="n">
        <v>0</v>
      </c>
      <c r="AD1700" s="53" t="n">
        <v>0</v>
      </c>
      <c r="AE1700" s="52" t="n">
        <v>0</v>
      </c>
      <c r="AF1700" s="51" t="n">
        <v>0</v>
      </c>
      <c r="AG1700" s="48" t="n">
        <v>0</v>
      </c>
      <c r="AH1700" s="49" t="n">
        <v>0</v>
      </c>
      <c r="AI1700" s="49" t="n">
        <v>0</v>
      </c>
      <c r="AJ1700" s="50" t="n">
        <v>0</v>
      </c>
      <c r="AK1700" s="51" t="n">
        <v>0</v>
      </c>
      <c r="AL1700" s="52" t="n">
        <v>0</v>
      </c>
      <c r="AM1700" s="52" t="n">
        <v>0</v>
      </c>
      <c r="AN1700" s="52" t="n">
        <v>0</v>
      </c>
      <c r="AO1700" s="53" t="n">
        <v>0</v>
      </c>
      <c r="AP1700" s="52" t="n">
        <v>0</v>
      </c>
      <c r="AQ1700" s="53" t="n">
        <v>0</v>
      </c>
      <c r="AR1700" s="52" t="n">
        <v>0</v>
      </c>
      <c r="AS1700" s="51" t="n">
        <v>0</v>
      </c>
      <c r="AT1700" s="48" t="n">
        <v>19.99</v>
      </c>
      <c r="AU1700" s="49" t="n">
        <v>1</v>
      </c>
      <c r="AV1700" s="49" t="n">
        <v>0</v>
      </c>
      <c r="AW1700" s="50" t="n">
        <v>0</v>
      </c>
      <c r="AX1700" s="51" t="n">
        <v>0</v>
      </c>
      <c r="AY1700" s="52" t="n">
        <v>0</v>
      </c>
      <c r="AZ1700" s="52" t="n">
        <v>0</v>
      </c>
      <c r="BA1700" s="52" t="n">
        <v>0</v>
      </c>
      <c r="BB1700" s="53" t="n">
        <v>0</v>
      </c>
      <c r="BC1700" s="52" t="n">
        <v>0</v>
      </c>
      <c r="BD1700" s="53" t="n">
        <v>0</v>
      </c>
      <c r="BE1700" s="52" t="n">
        <v>19.99</v>
      </c>
      <c r="BF1700" s="51" t="n">
        <v>0</v>
      </c>
    </row>
    <row r="1701">
      <c r="A1701">
        <f>HYPERLINK("https://www.walmart.com/ip/10297918357", "10297918357")</f>
        <v/>
      </c>
      <c r="B1701" t="inlineStr">
        <is>
          <t>PEANUTS Womens 100% Cotton Family Matching Pajamas Holiday Festive Nightwear Sleepwear 2-Piece Sets for Christmas Gifts (Red Polka Dot, M)</t>
        </is>
      </c>
      <c r="C1701" t="inlineStr">
        <is>
          <t>PEA-PJS-FAMILY-WOMEN-RED-M</t>
        </is>
      </c>
      <c r="D1701" t="inlineStr">
        <is>
          <t>Pajamas</t>
        </is>
      </c>
      <c r="E1701" t="inlineStr">
        <is>
          <t>Peanuts</t>
        </is>
      </c>
      <c r="G1701" s="48" t="n">
        <v>0</v>
      </c>
      <c r="H1701" s="49" t="n">
        <v>0</v>
      </c>
      <c r="I1701" s="49" t="n">
        <v>0</v>
      </c>
      <c r="J1701" s="50" t="n">
        <v>0</v>
      </c>
      <c r="K1701" s="51" t="n">
        <v>0</v>
      </c>
      <c r="L1701" s="52" t="n">
        <v>0</v>
      </c>
      <c r="M1701" s="52" t="n">
        <v>0</v>
      </c>
      <c r="N1701" s="52" t="n">
        <v>0</v>
      </c>
      <c r="O1701" s="53" t="n">
        <v>0</v>
      </c>
      <c r="P1701" s="52" t="n">
        <v>0</v>
      </c>
      <c r="Q1701" s="53" t="n">
        <v>0</v>
      </c>
      <c r="R1701" s="52" t="n">
        <v>0</v>
      </c>
      <c r="S1701" s="51" t="n">
        <v>0</v>
      </c>
      <c r="T1701" s="48" t="n">
        <v>0</v>
      </c>
      <c r="U1701" s="49" t="n">
        <v>0</v>
      </c>
      <c r="V1701" s="49" t="n">
        <v>0</v>
      </c>
      <c r="W1701" s="50" t="n">
        <v>0</v>
      </c>
      <c r="X1701" s="51" t="n">
        <v>0</v>
      </c>
      <c r="Y1701" s="52" t="n">
        <v>0</v>
      </c>
      <c r="Z1701" s="52" t="n">
        <v>0</v>
      </c>
      <c r="AA1701" s="52" t="n">
        <v>0</v>
      </c>
      <c r="AB1701" s="53" t="n">
        <v>0</v>
      </c>
      <c r="AC1701" s="52" t="n">
        <v>0</v>
      </c>
      <c r="AD1701" s="53" t="n">
        <v>0</v>
      </c>
      <c r="AE1701" s="52" t="n">
        <v>0</v>
      </c>
      <c r="AF1701" s="51" t="n">
        <v>0</v>
      </c>
      <c r="AG1701" s="48" t="n">
        <v>0</v>
      </c>
      <c r="AH1701" s="49" t="n">
        <v>0</v>
      </c>
      <c r="AI1701" s="49" t="n">
        <v>0</v>
      </c>
      <c r="AJ1701" s="50" t="n">
        <v>0</v>
      </c>
      <c r="AK1701" s="51" t="n">
        <v>0</v>
      </c>
      <c r="AL1701" s="52" t="n">
        <v>0</v>
      </c>
      <c r="AM1701" s="52" t="n">
        <v>0</v>
      </c>
      <c r="AN1701" s="52" t="n">
        <v>0</v>
      </c>
      <c r="AO1701" s="53" t="n">
        <v>0</v>
      </c>
      <c r="AP1701" s="52" t="n">
        <v>0</v>
      </c>
      <c r="AQ1701" s="53" t="n">
        <v>0</v>
      </c>
      <c r="AR1701" s="52" t="n">
        <v>0</v>
      </c>
      <c r="AS1701" s="51" t="n">
        <v>0</v>
      </c>
      <c r="AT1701" s="48" t="n">
        <v>0</v>
      </c>
      <c r="AU1701" s="49" t="n">
        <v>0</v>
      </c>
      <c r="AV1701" s="49" t="n">
        <v>0</v>
      </c>
      <c r="AW1701" s="50" t="n">
        <v>0</v>
      </c>
      <c r="AX1701" s="51" t="n">
        <v>0</v>
      </c>
      <c r="AY1701" s="52" t="n">
        <v>0</v>
      </c>
      <c r="AZ1701" s="52" t="n">
        <v>0</v>
      </c>
      <c r="BA1701" s="52" t="n">
        <v>0</v>
      </c>
      <c r="BB1701" s="53" t="n">
        <v>0</v>
      </c>
      <c r="BC1701" s="52" t="n">
        <v>0</v>
      </c>
      <c r="BD1701" s="53" t="n">
        <v>0</v>
      </c>
      <c r="BE1701" s="52" t="n">
        <v>0</v>
      </c>
      <c r="BF1701" s="51" t="n">
        <v>0</v>
      </c>
    </row>
    <row r="1702">
      <c r="A1702">
        <f>HYPERLINK("https://www.walmart.com/ip/10282257020", "10282257020")</f>
        <v/>
      </c>
      <c r="B1702" t="inlineStr">
        <is>
          <t>Wrangler Men’s Leather Country Casual Every Day Dress Belt for Jeans, Khakis Light Brown 42</t>
        </is>
      </c>
      <c r="C1702" t="inlineStr">
        <is>
          <t>WR-BELT-MENS-COUNTRY-LTBROWN-42</t>
        </is>
      </c>
      <c r="D1702" t="inlineStr">
        <is>
          <t>Belts</t>
        </is>
      </c>
      <c r="E1702" t="inlineStr">
        <is>
          <t>Wrangler</t>
        </is>
      </c>
      <c r="F1702" t="inlineStr">
        <is>
          <t>Belts</t>
        </is>
      </c>
      <c r="G1702" s="48" t="n">
        <v>0</v>
      </c>
      <c r="H1702" s="49" t="n">
        <v>0</v>
      </c>
      <c r="I1702" s="49" t="n">
        <v>0</v>
      </c>
      <c r="J1702" s="50" t="n">
        <v>0</v>
      </c>
      <c r="K1702" s="51" t="n">
        <v>0</v>
      </c>
      <c r="L1702" s="52" t="n">
        <v>0</v>
      </c>
      <c r="M1702" s="52" t="n">
        <v>0</v>
      </c>
      <c r="N1702" s="52" t="n">
        <v>0</v>
      </c>
      <c r="O1702" s="53" t="n">
        <v>0</v>
      </c>
      <c r="P1702" s="52" t="n">
        <v>0</v>
      </c>
      <c r="Q1702" s="53" t="n">
        <v>0</v>
      </c>
      <c r="R1702" s="52" t="n">
        <v>0</v>
      </c>
      <c r="S1702" s="51" t="n">
        <v>0</v>
      </c>
      <c r="T1702" s="48" t="n">
        <v>19.99</v>
      </c>
      <c r="U1702" s="49" t="n">
        <v>1</v>
      </c>
      <c r="V1702" s="49" t="n">
        <v>0</v>
      </c>
      <c r="W1702" s="50" t="n">
        <v>0</v>
      </c>
      <c r="X1702" s="51" t="n">
        <v>0</v>
      </c>
      <c r="Y1702" s="52" t="n">
        <v>0</v>
      </c>
      <c r="Z1702" s="52" t="n">
        <v>0</v>
      </c>
      <c r="AA1702" s="52" t="n">
        <v>0</v>
      </c>
      <c r="AB1702" s="53" t="n">
        <v>0</v>
      </c>
      <c r="AC1702" s="52" t="n">
        <v>0</v>
      </c>
      <c r="AD1702" s="53" t="n">
        <v>0</v>
      </c>
      <c r="AE1702" s="52" t="n">
        <v>19.99</v>
      </c>
      <c r="AF1702" s="51" t="n">
        <v>0</v>
      </c>
      <c r="AG1702" s="48" t="n">
        <v>19.99</v>
      </c>
      <c r="AH1702" s="49" t="n">
        <v>1</v>
      </c>
      <c r="AI1702" s="49" t="n">
        <v>0</v>
      </c>
      <c r="AJ1702" s="50" t="n">
        <v>0</v>
      </c>
      <c r="AK1702" s="51" t="n">
        <v>0</v>
      </c>
      <c r="AL1702" s="52" t="n">
        <v>0</v>
      </c>
      <c r="AM1702" s="52" t="n">
        <v>0</v>
      </c>
      <c r="AN1702" s="52" t="n">
        <v>0</v>
      </c>
      <c r="AO1702" s="53" t="n">
        <v>0</v>
      </c>
      <c r="AP1702" s="52" t="n">
        <v>0</v>
      </c>
      <c r="AQ1702" s="53" t="n">
        <v>0</v>
      </c>
      <c r="AR1702" s="52" t="n">
        <v>19.99</v>
      </c>
      <c r="AS1702" s="51" t="n">
        <v>0</v>
      </c>
      <c r="AT1702" s="48" t="n">
        <v>0</v>
      </c>
      <c r="AU1702" s="49" t="n">
        <v>0</v>
      </c>
      <c r="AV1702" s="49" t="n">
        <v>0</v>
      </c>
      <c r="AW1702" s="50" t="n">
        <v>0</v>
      </c>
      <c r="AX1702" s="51" t="n">
        <v>0</v>
      </c>
      <c r="AY1702" s="52" t="n">
        <v>0</v>
      </c>
      <c r="AZ1702" s="52" t="n">
        <v>0</v>
      </c>
      <c r="BA1702" s="52" t="n">
        <v>0</v>
      </c>
      <c r="BB1702" s="53" t="n">
        <v>0</v>
      </c>
      <c r="BC1702" s="52" t="n">
        <v>0</v>
      </c>
      <c r="BD1702" s="53" t="n">
        <v>0</v>
      </c>
      <c r="BE1702" s="52" t="n">
        <v>0</v>
      </c>
      <c r="BF1702" s="51" t="n">
        <v>0</v>
      </c>
    </row>
    <row r="1703">
      <c r="A1703">
        <f>HYPERLINK("https://www.walmart.com/ip/10282157255", "10282157255")</f>
        <v/>
      </c>
      <c r="B1703" t="inlineStr">
        <is>
          <t>Wrangler Men’s Leather Country Casual Every Day Dress Belt for Jeans, Khakis Light Brown 36</t>
        </is>
      </c>
      <c r="C1703" t="inlineStr">
        <is>
          <t>WR-BELT-MENS-COUNTRY-LTBROWN-36</t>
        </is>
      </c>
      <c r="D1703" t="inlineStr">
        <is>
          <t>Belts</t>
        </is>
      </c>
      <c r="E1703" t="inlineStr">
        <is>
          <t>Wrangler</t>
        </is>
      </c>
      <c r="F1703" t="inlineStr">
        <is>
          <t>Belts</t>
        </is>
      </c>
      <c r="G1703" s="48" t="n">
        <v>0</v>
      </c>
      <c r="H1703" s="49" t="n">
        <v>0</v>
      </c>
      <c r="I1703" s="49" t="n">
        <v>0</v>
      </c>
      <c r="J1703" s="50" t="n">
        <v>0</v>
      </c>
      <c r="K1703" s="51" t="n">
        <v>0</v>
      </c>
      <c r="L1703" s="52" t="n">
        <v>0</v>
      </c>
      <c r="M1703" s="52" t="n">
        <v>0</v>
      </c>
      <c r="N1703" s="52" t="n">
        <v>0</v>
      </c>
      <c r="O1703" s="53" t="n">
        <v>0</v>
      </c>
      <c r="P1703" s="52" t="n">
        <v>0</v>
      </c>
      <c r="Q1703" s="53" t="n">
        <v>0</v>
      </c>
      <c r="R1703" s="52" t="n">
        <v>0</v>
      </c>
      <c r="S1703" s="51" t="n">
        <v>0</v>
      </c>
      <c r="T1703" s="48" t="n">
        <v>0</v>
      </c>
      <c r="U1703" s="49" t="n">
        <v>0</v>
      </c>
      <c r="V1703" s="49" t="n">
        <v>0</v>
      </c>
      <c r="W1703" s="50" t="n">
        <v>0</v>
      </c>
      <c r="X1703" s="51" t="n">
        <v>0</v>
      </c>
      <c r="Y1703" s="52" t="n">
        <v>0</v>
      </c>
      <c r="Z1703" s="52" t="n">
        <v>0</v>
      </c>
      <c r="AA1703" s="52" t="n">
        <v>0</v>
      </c>
      <c r="AB1703" s="53" t="n">
        <v>0</v>
      </c>
      <c r="AC1703" s="52" t="n">
        <v>0</v>
      </c>
      <c r="AD1703" s="53" t="n">
        <v>0</v>
      </c>
      <c r="AE1703" s="52" t="n">
        <v>0</v>
      </c>
      <c r="AF1703" s="51" t="n">
        <v>0</v>
      </c>
      <c r="AG1703" s="48" t="n">
        <v>0</v>
      </c>
      <c r="AH1703" s="49" t="n">
        <v>0</v>
      </c>
      <c r="AI1703" s="49" t="n">
        <v>0</v>
      </c>
      <c r="AJ1703" s="50" t="n">
        <v>0</v>
      </c>
      <c r="AK1703" s="51" t="n">
        <v>0</v>
      </c>
      <c r="AL1703" s="52" t="n">
        <v>0</v>
      </c>
      <c r="AM1703" s="52" t="n">
        <v>0</v>
      </c>
      <c r="AN1703" s="52" t="n">
        <v>0</v>
      </c>
      <c r="AO1703" s="53" t="n">
        <v>0</v>
      </c>
      <c r="AP1703" s="52" t="n">
        <v>0</v>
      </c>
      <c r="AQ1703" s="53" t="n">
        <v>0</v>
      </c>
      <c r="AR1703" s="52" t="n">
        <v>0</v>
      </c>
      <c r="AS1703" s="51" t="n">
        <v>0</v>
      </c>
      <c r="AT1703" s="48" t="n">
        <v>0</v>
      </c>
      <c r="AU1703" s="49" t="n">
        <v>0</v>
      </c>
      <c r="AV1703" s="49" t="n">
        <v>0</v>
      </c>
      <c r="AW1703" s="50" t="n">
        <v>0</v>
      </c>
      <c r="AX1703" s="51" t="n">
        <v>0</v>
      </c>
      <c r="AY1703" s="52" t="n">
        <v>0</v>
      </c>
      <c r="AZ1703" s="52" t="n">
        <v>0</v>
      </c>
      <c r="BA1703" s="52" t="n">
        <v>0</v>
      </c>
      <c r="BB1703" s="53" t="n">
        <v>0</v>
      </c>
      <c r="BC1703" s="52" t="n">
        <v>0</v>
      </c>
      <c r="BD1703" s="53" t="n">
        <v>0</v>
      </c>
      <c r="BE1703" s="52" t="n">
        <v>0</v>
      </c>
      <c r="BF1703" s="51" t="n">
        <v>0</v>
      </c>
    </row>
    <row r="1704">
      <c r="A1704">
        <f>HYPERLINK("https://www.walmart.com/ip/10298068836", "10298068836")</f>
        <v/>
      </c>
      <c r="B1704" t="inlineStr">
        <is>
          <t>Wrangler Men’s Full Grain Genuine Leather 35mm Thick Casual Belt for Jeans, Pants - Brown, 44</t>
        </is>
      </c>
      <c r="C1704" t="inlineStr">
        <is>
          <t>WR-BELT-MENS-35MM-BROWN-44</t>
        </is>
      </c>
      <c r="D1704" t="inlineStr">
        <is>
          <t>Belts</t>
        </is>
      </c>
      <c r="E1704" t="inlineStr">
        <is>
          <t>Wrangler</t>
        </is>
      </c>
      <c r="F1704" t="inlineStr">
        <is>
          <t>Belts</t>
        </is>
      </c>
      <c r="G1704" s="48" t="n">
        <v>0</v>
      </c>
      <c r="H1704" s="49" t="n">
        <v>0</v>
      </c>
      <c r="I1704" s="49" t="n">
        <v>0</v>
      </c>
      <c r="J1704" s="50" t="n">
        <v>0</v>
      </c>
      <c r="K1704" s="51" t="n">
        <v>0</v>
      </c>
      <c r="L1704" s="52" t="n">
        <v>0</v>
      </c>
      <c r="M1704" s="52" t="n">
        <v>0</v>
      </c>
      <c r="N1704" s="52" t="n">
        <v>0</v>
      </c>
      <c r="O1704" s="53" t="n">
        <v>0</v>
      </c>
      <c r="P1704" s="52" t="n">
        <v>0</v>
      </c>
      <c r="Q1704" s="53" t="n">
        <v>0</v>
      </c>
      <c r="R1704" s="52" t="n">
        <v>0</v>
      </c>
      <c r="S1704" s="51" t="n">
        <v>0</v>
      </c>
      <c r="T1704" s="48" t="n">
        <v>0</v>
      </c>
      <c r="U1704" s="49" t="n">
        <v>0</v>
      </c>
      <c r="V1704" s="49" t="n">
        <v>0</v>
      </c>
      <c r="W1704" s="50" t="n">
        <v>0</v>
      </c>
      <c r="X1704" s="51" t="n">
        <v>0</v>
      </c>
      <c r="Y1704" s="52" t="n">
        <v>0</v>
      </c>
      <c r="Z1704" s="52" t="n">
        <v>0</v>
      </c>
      <c r="AA1704" s="52" t="n">
        <v>0</v>
      </c>
      <c r="AB1704" s="53" t="n">
        <v>0</v>
      </c>
      <c r="AC1704" s="52" t="n">
        <v>0</v>
      </c>
      <c r="AD1704" s="53" t="n">
        <v>0</v>
      </c>
      <c r="AE1704" s="52" t="n">
        <v>0</v>
      </c>
      <c r="AF1704" s="51" t="n">
        <v>0</v>
      </c>
      <c r="AG1704" s="48" t="n">
        <v>0</v>
      </c>
      <c r="AH1704" s="49" t="n">
        <v>0</v>
      </c>
      <c r="AI1704" s="49" t="n">
        <v>0</v>
      </c>
      <c r="AJ1704" s="50" t="n">
        <v>0</v>
      </c>
      <c r="AK1704" s="51" t="n">
        <v>0</v>
      </c>
      <c r="AL1704" s="52" t="n">
        <v>0</v>
      </c>
      <c r="AM1704" s="52" t="n">
        <v>0</v>
      </c>
      <c r="AN1704" s="52" t="n">
        <v>0</v>
      </c>
      <c r="AO1704" s="53" t="n">
        <v>0</v>
      </c>
      <c r="AP1704" s="52" t="n">
        <v>0</v>
      </c>
      <c r="AQ1704" s="53" t="n">
        <v>0</v>
      </c>
      <c r="AR1704" s="52" t="n">
        <v>0</v>
      </c>
      <c r="AS1704" s="51" t="n">
        <v>0</v>
      </c>
      <c r="AT1704" s="48" t="n">
        <v>19.99</v>
      </c>
      <c r="AU1704" s="49" t="n">
        <v>1</v>
      </c>
      <c r="AV1704" s="49" t="n">
        <v>0</v>
      </c>
      <c r="AW1704" s="50" t="n">
        <v>0</v>
      </c>
      <c r="AX1704" s="51" t="n">
        <v>0</v>
      </c>
      <c r="AY1704" s="52" t="n">
        <v>0</v>
      </c>
      <c r="AZ1704" s="52" t="n">
        <v>0</v>
      </c>
      <c r="BA1704" s="52" t="n">
        <v>0</v>
      </c>
      <c r="BB1704" s="53" t="n">
        <v>0</v>
      </c>
      <c r="BC1704" s="52" t="n">
        <v>0</v>
      </c>
      <c r="BD1704" s="53" t="n">
        <v>0</v>
      </c>
      <c r="BE1704" s="52" t="n">
        <v>19.99</v>
      </c>
      <c r="BF1704" s="51" t="n">
        <v>0</v>
      </c>
    </row>
    <row r="1705">
      <c r="A1705">
        <f>HYPERLINK("https://www.walmart.com/ip/10282157253", "10282157253")</f>
        <v/>
      </c>
      <c r="B1705" t="inlineStr">
        <is>
          <t>Wrangler Men’s Full Grain Genuine Leather 35mm Thick Casual Belt for Jeans, Pants - Light Brown, 44</t>
        </is>
      </c>
      <c r="C1705" t="inlineStr">
        <is>
          <t>WR-BELT-MENS-35MM-LTBROWN-44</t>
        </is>
      </c>
      <c r="D1705" t="inlineStr">
        <is>
          <t>Belts</t>
        </is>
      </c>
      <c r="E1705" t="inlineStr">
        <is>
          <t>Wrangler</t>
        </is>
      </c>
      <c r="F1705" t="inlineStr">
        <is>
          <t>Belts</t>
        </is>
      </c>
      <c r="G1705" s="48" t="n">
        <v>0</v>
      </c>
      <c r="H1705" s="49" t="n">
        <v>0</v>
      </c>
      <c r="I1705" s="49" t="n">
        <v>0</v>
      </c>
      <c r="J1705" s="50" t="n">
        <v>0</v>
      </c>
      <c r="K1705" s="51" t="n">
        <v>0</v>
      </c>
      <c r="L1705" s="52" t="n">
        <v>0</v>
      </c>
      <c r="M1705" s="52" t="n">
        <v>0</v>
      </c>
      <c r="N1705" s="52" t="n">
        <v>0</v>
      </c>
      <c r="O1705" s="53" t="n">
        <v>0</v>
      </c>
      <c r="P1705" s="52" t="n">
        <v>0</v>
      </c>
      <c r="Q1705" s="53" t="n">
        <v>0</v>
      </c>
      <c r="R1705" s="52" t="n">
        <v>0</v>
      </c>
      <c r="S1705" s="51" t="n">
        <v>0</v>
      </c>
      <c r="T1705" s="48" t="n">
        <v>0</v>
      </c>
      <c r="U1705" s="49" t="n">
        <v>0</v>
      </c>
      <c r="V1705" s="49" t="n">
        <v>0</v>
      </c>
      <c r="W1705" s="50" t="n">
        <v>0</v>
      </c>
      <c r="X1705" s="51" t="n">
        <v>0</v>
      </c>
      <c r="Y1705" s="52" t="n">
        <v>0</v>
      </c>
      <c r="Z1705" s="52" t="n">
        <v>0</v>
      </c>
      <c r="AA1705" s="52" t="n">
        <v>0</v>
      </c>
      <c r="AB1705" s="53" t="n">
        <v>0</v>
      </c>
      <c r="AC1705" s="52" t="n">
        <v>0</v>
      </c>
      <c r="AD1705" s="53" t="n">
        <v>0</v>
      </c>
      <c r="AE1705" s="52" t="n">
        <v>0</v>
      </c>
      <c r="AF1705" s="51" t="n">
        <v>0</v>
      </c>
      <c r="AG1705" s="48" t="n">
        <v>0</v>
      </c>
      <c r="AH1705" s="49" t="n">
        <v>0</v>
      </c>
      <c r="AI1705" s="49" t="n">
        <v>0</v>
      </c>
      <c r="AJ1705" s="50" t="n">
        <v>0</v>
      </c>
      <c r="AK1705" s="51" t="n">
        <v>0</v>
      </c>
      <c r="AL1705" s="52" t="n">
        <v>0</v>
      </c>
      <c r="AM1705" s="52" t="n">
        <v>0</v>
      </c>
      <c r="AN1705" s="52" t="n">
        <v>0</v>
      </c>
      <c r="AO1705" s="53" t="n">
        <v>0</v>
      </c>
      <c r="AP1705" s="52" t="n">
        <v>0</v>
      </c>
      <c r="AQ1705" s="53" t="n">
        <v>0</v>
      </c>
      <c r="AR1705" s="52" t="n">
        <v>0</v>
      </c>
      <c r="AS1705" s="51" t="n">
        <v>0</v>
      </c>
      <c r="AT1705" s="48" t="n">
        <v>0</v>
      </c>
      <c r="AU1705" s="49" t="n">
        <v>0</v>
      </c>
      <c r="AV1705" s="49" t="n">
        <v>0</v>
      </c>
      <c r="AW1705" s="50" t="n">
        <v>0</v>
      </c>
      <c r="AX1705" s="51" t="n">
        <v>0</v>
      </c>
      <c r="AY1705" s="52" t="n">
        <v>0</v>
      </c>
      <c r="AZ1705" s="52" t="n">
        <v>0</v>
      </c>
      <c r="BA1705" s="52" t="n">
        <v>0</v>
      </c>
      <c r="BB1705" s="53" t="n">
        <v>0</v>
      </c>
      <c r="BC1705" s="52" t="n">
        <v>0</v>
      </c>
      <c r="BD1705" s="53" t="n">
        <v>0</v>
      </c>
      <c r="BE1705" s="52" t="n">
        <v>0</v>
      </c>
      <c r="BF1705" s="51" t="n">
        <v>0</v>
      </c>
    </row>
    <row r="1706">
      <c r="A1706">
        <f>HYPERLINK("https://www.walmart.com/ip/1002222629", "1002222629")</f>
        <v/>
      </c>
      <c r="B1706" t="inlineStr">
        <is>
          <t>Every Day is Christmas Glass Blown Ornaments Cute Hand Made Figurines Tree Decoration, $10,000 Stack</t>
        </is>
      </c>
      <c r="C1706" t="inlineStr">
        <is>
          <t>EDC-FIGURINE-10KSTACK</t>
        </is>
      </c>
      <c r="D1706" t="inlineStr">
        <is>
          <t>Ornaments</t>
        </is>
      </c>
      <c r="E1706" t="inlineStr">
        <is>
          <t>Every Day is Christmas</t>
        </is>
      </c>
      <c r="G1706" s="48" t="n">
        <v>0</v>
      </c>
      <c r="H1706" s="49" t="n">
        <v>0</v>
      </c>
      <c r="I1706" s="49" t="n">
        <v>0</v>
      </c>
      <c r="J1706" s="50" t="n">
        <v>0</v>
      </c>
      <c r="K1706" s="51" t="n">
        <v>0</v>
      </c>
      <c r="L1706" s="52" t="n">
        <v>0</v>
      </c>
      <c r="M1706" s="52" t="n">
        <v>0</v>
      </c>
      <c r="N1706" s="52" t="n">
        <v>0</v>
      </c>
      <c r="O1706" s="53" t="n">
        <v>0</v>
      </c>
      <c r="P1706" s="52" t="n">
        <v>0</v>
      </c>
      <c r="Q1706" s="53" t="n">
        <v>0</v>
      </c>
      <c r="R1706" s="52" t="n">
        <v>0</v>
      </c>
      <c r="S1706" s="51" t="n">
        <v>0</v>
      </c>
      <c r="T1706" s="48" t="n">
        <v>0</v>
      </c>
      <c r="U1706" s="49" t="n">
        <v>0</v>
      </c>
      <c r="V1706" s="49" t="n">
        <v>0</v>
      </c>
      <c r="W1706" s="50" t="n">
        <v>0</v>
      </c>
      <c r="X1706" s="51" t="n">
        <v>0</v>
      </c>
      <c r="Y1706" s="52" t="n">
        <v>0</v>
      </c>
      <c r="Z1706" s="52" t="n">
        <v>0</v>
      </c>
      <c r="AA1706" s="52" t="n">
        <v>0</v>
      </c>
      <c r="AB1706" s="53" t="n">
        <v>0</v>
      </c>
      <c r="AC1706" s="52" t="n">
        <v>0</v>
      </c>
      <c r="AD1706" s="53" t="n">
        <v>0</v>
      </c>
      <c r="AE1706" s="52" t="n">
        <v>0</v>
      </c>
      <c r="AF1706" s="51" t="n">
        <v>0</v>
      </c>
      <c r="AG1706" s="48" t="n">
        <v>0</v>
      </c>
      <c r="AH1706" s="49" t="n">
        <v>0</v>
      </c>
      <c r="AI1706" s="49" t="n">
        <v>0</v>
      </c>
      <c r="AJ1706" s="50" t="n">
        <v>0</v>
      </c>
      <c r="AK1706" s="51" t="n">
        <v>0</v>
      </c>
      <c r="AL1706" s="52" t="n">
        <v>0</v>
      </c>
      <c r="AM1706" s="52" t="n">
        <v>0</v>
      </c>
      <c r="AN1706" s="52" t="n">
        <v>0</v>
      </c>
      <c r="AO1706" s="53" t="n">
        <v>0</v>
      </c>
      <c r="AP1706" s="52" t="n">
        <v>0</v>
      </c>
      <c r="AQ1706" s="53" t="n">
        <v>0</v>
      </c>
      <c r="AR1706" s="52" t="n">
        <v>0</v>
      </c>
      <c r="AS1706" s="51" t="n">
        <v>0</v>
      </c>
      <c r="AT1706" s="48" t="n">
        <v>0</v>
      </c>
      <c r="AU1706" s="49" t="n">
        <v>0</v>
      </c>
      <c r="AV1706" s="49" t="n">
        <v>0</v>
      </c>
      <c r="AW1706" s="50" t="n">
        <v>0</v>
      </c>
      <c r="AX1706" s="51" t="n">
        <v>0</v>
      </c>
      <c r="AY1706" s="52" t="n">
        <v>0</v>
      </c>
      <c r="AZ1706" s="52" t="n">
        <v>0</v>
      </c>
      <c r="BA1706" s="52" t="n">
        <v>0</v>
      </c>
      <c r="BB1706" s="53" t="n">
        <v>0</v>
      </c>
      <c r="BC1706" s="52" t="n">
        <v>0</v>
      </c>
      <c r="BD1706" s="53" t="n">
        <v>0</v>
      </c>
      <c r="BE1706" s="52" t="n">
        <v>0</v>
      </c>
      <c r="BF1706" s="51" t="n">
        <v>0</v>
      </c>
    </row>
    <row r="1707">
      <c r="A1707">
        <f>HYPERLINK("https://www.walmart.com/ip/100883042", "100883042")</f>
        <v/>
      </c>
      <c r="B1707" t="inlineStr">
        <is>
          <t>Vina® Premium Bamboo Cheese Board Set with Storage Drawer &amp; 4 Piece Cheese Knife</t>
        </is>
      </c>
      <c r="C1707" t="inlineStr">
        <is>
          <t>VINABCB07-4T</t>
        </is>
      </c>
      <c r="D1707" t="inlineStr">
        <is>
          <t>Cheese Board Sets</t>
        </is>
      </c>
      <c r="E1707" t="inlineStr">
        <is>
          <t>Tirrinia</t>
        </is>
      </c>
      <c r="F1707" t="inlineStr">
        <is>
          <t>WFS Item</t>
        </is>
      </c>
      <c r="G1707" s="48" t="n">
        <v>0</v>
      </c>
      <c r="H1707" s="49" t="n">
        <v>0</v>
      </c>
      <c r="I1707" s="49" t="n">
        <v>0</v>
      </c>
      <c r="J1707" s="50" t="n">
        <v>0</v>
      </c>
      <c r="K1707" s="51" t="n">
        <v>0</v>
      </c>
      <c r="L1707" s="52" t="n">
        <v>0</v>
      </c>
      <c r="M1707" s="52" t="n">
        <v>0</v>
      </c>
      <c r="N1707" s="52" t="n">
        <v>0</v>
      </c>
      <c r="O1707" s="53" t="n">
        <v>0</v>
      </c>
      <c r="P1707" s="52" t="n">
        <v>0</v>
      </c>
      <c r="Q1707" s="53" t="n">
        <v>0</v>
      </c>
      <c r="R1707" s="52" t="n">
        <v>0</v>
      </c>
      <c r="S1707" s="51" t="n">
        <v>0</v>
      </c>
      <c r="T1707" s="48" t="n">
        <v>0</v>
      </c>
      <c r="U1707" s="49" t="n">
        <v>0</v>
      </c>
      <c r="V1707" s="49" t="n">
        <v>0</v>
      </c>
      <c r="W1707" s="50" t="n">
        <v>0</v>
      </c>
      <c r="X1707" s="51" t="n">
        <v>0</v>
      </c>
      <c r="Y1707" s="52" t="n">
        <v>0</v>
      </c>
      <c r="Z1707" s="52" t="n">
        <v>0</v>
      </c>
      <c r="AA1707" s="52" t="n">
        <v>0</v>
      </c>
      <c r="AB1707" s="53" t="n">
        <v>0</v>
      </c>
      <c r="AC1707" s="52" t="n">
        <v>0</v>
      </c>
      <c r="AD1707" s="53" t="n">
        <v>0</v>
      </c>
      <c r="AE1707" s="52" t="n">
        <v>0</v>
      </c>
      <c r="AF1707" s="51" t="n">
        <v>0</v>
      </c>
      <c r="AG1707" s="48" t="n">
        <v>0</v>
      </c>
      <c r="AH1707" s="49" t="n">
        <v>0</v>
      </c>
      <c r="AI1707" s="49" t="n">
        <v>0</v>
      </c>
      <c r="AJ1707" s="50" t="n">
        <v>0</v>
      </c>
      <c r="AK1707" s="51" t="n">
        <v>0</v>
      </c>
      <c r="AL1707" s="52" t="n">
        <v>0</v>
      </c>
      <c r="AM1707" s="52" t="n">
        <v>0</v>
      </c>
      <c r="AN1707" s="52" t="n">
        <v>0</v>
      </c>
      <c r="AO1707" s="53" t="n">
        <v>0</v>
      </c>
      <c r="AP1707" s="52" t="n">
        <v>0</v>
      </c>
      <c r="AQ1707" s="53" t="n">
        <v>0</v>
      </c>
      <c r="AR1707" s="52" t="n">
        <v>0</v>
      </c>
      <c r="AS1707" s="51" t="n">
        <v>0</v>
      </c>
      <c r="AT1707" s="48" t="n">
        <v>0</v>
      </c>
      <c r="AU1707" s="49" t="n">
        <v>0</v>
      </c>
      <c r="AV1707" s="49" t="n">
        <v>0</v>
      </c>
      <c r="AW1707" s="50" t="n">
        <v>0</v>
      </c>
      <c r="AX1707" s="51" t="n">
        <v>0</v>
      </c>
      <c r="AY1707" s="52" t="n">
        <v>0</v>
      </c>
      <c r="AZ1707" s="52" t="n">
        <v>0</v>
      </c>
      <c r="BA1707" s="52" t="n">
        <v>0</v>
      </c>
      <c r="BB1707" s="53" t="n">
        <v>0</v>
      </c>
      <c r="BC1707" s="52" t="n">
        <v>0</v>
      </c>
      <c r="BD1707" s="53" t="n">
        <v>0</v>
      </c>
      <c r="BE1707" s="52" t="n">
        <v>0</v>
      </c>
      <c r="BF1707" s="51" t="n">
        <v>0</v>
      </c>
    </row>
    <row r="1708">
      <c r="A1708">
        <f>HYPERLINK("https://www.walmart.com/ip/100963902", "100963902")</f>
        <v/>
      </c>
      <c r="B1708" t="inlineStr">
        <is>
          <t>JenniWears Women's Beileise Sexy Suspender Pantyhose Stockings Black Socks - 3 Packs</t>
        </is>
      </c>
      <c r="C1708" t="inlineStr">
        <is>
          <t>JWBLSPH2010-3pcs</t>
        </is>
      </c>
      <c r="D1708" t="inlineStr">
        <is>
          <t>Pantyhose &amp; Tights</t>
        </is>
      </c>
      <c r="E1708" t="inlineStr">
        <is>
          <t>JenniWears</t>
        </is>
      </c>
      <c r="F1708" t="inlineStr">
        <is>
          <t>Optimized,Valentine</t>
        </is>
      </c>
      <c r="G1708" s="48" t="n">
        <v>0</v>
      </c>
      <c r="H1708" s="49" t="n">
        <v>0</v>
      </c>
      <c r="I1708" s="49" t="n">
        <v>0</v>
      </c>
      <c r="J1708" s="50" t="n">
        <v>0</v>
      </c>
      <c r="K1708" s="51" t="n">
        <v>0</v>
      </c>
      <c r="L1708" s="52" t="n">
        <v>0</v>
      </c>
      <c r="M1708" s="52" t="n">
        <v>0</v>
      </c>
      <c r="N1708" s="52" t="n">
        <v>0</v>
      </c>
      <c r="O1708" s="53" t="n">
        <v>0</v>
      </c>
      <c r="P1708" s="52" t="n">
        <v>0</v>
      </c>
      <c r="Q1708" s="53" t="n">
        <v>0</v>
      </c>
      <c r="R1708" s="52" t="n">
        <v>0</v>
      </c>
      <c r="S1708" s="51" t="n">
        <v>0</v>
      </c>
      <c r="T1708" s="48" t="n">
        <v>0</v>
      </c>
      <c r="U1708" s="49" t="n">
        <v>0</v>
      </c>
      <c r="V1708" s="49" t="n">
        <v>0</v>
      </c>
      <c r="W1708" s="50" t="n">
        <v>0</v>
      </c>
      <c r="X1708" s="51" t="n">
        <v>0</v>
      </c>
      <c r="Y1708" s="52" t="n">
        <v>0</v>
      </c>
      <c r="Z1708" s="52" t="n">
        <v>0</v>
      </c>
      <c r="AA1708" s="52" t="n">
        <v>0</v>
      </c>
      <c r="AB1708" s="53" t="n">
        <v>0</v>
      </c>
      <c r="AC1708" s="52" t="n">
        <v>0</v>
      </c>
      <c r="AD1708" s="53" t="n">
        <v>0</v>
      </c>
      <c r="AE1708" s="52" t="n">
        <v>0</v>
      </c>
      <c r="AF1708" s="51" t="n">
        <v>0</v>
      </c>
      <c r="AG1708" s="48" t="n">
        <v>0</v>
      </c>
      <c r="AH1708" s="49" t="n">
        <v>0</v>
      </c>
      <c r="AI1708" s="49" t="n">
        <v>0</v>
      </c>
      <c r="AJ1708" s="50" t="n">
        <v>0</v>
      </c>
      <c r="AK1708" s="51" t="n">
        <v>0</v>
      </c>
      <c r="AL1708" s="52" t="n">
        <v>0</v>
      </c>
      <c r="AM1708" s="52" t="n">
        <v>0</v>
      </c>
      <c r="AN1708" s="52" t="n">
        <v>0</v>
      </c>
      <c r="AO1708" s="53" t="n">
        <v>0</v>
      </c>
      <c r="AP1708" s="52" t="n">
        <v>0</v>
      </c>
      <c r="AQ1708" s="53" t="n">
        <v>0</v>
      </c>
      <c r="AR1708" s="52" t="n">
        <v>0</v>
      </c>
      <c r="AS1708" s="51" t="n">
        <v>0</v>
      </c>
      <c r="AT1708" s="48" t="n">
        <v>0</v>
      </c>
      <c r="AU1708" s="49" t="n">
        <v>0</v>
      </c>
      <c r="AV1708" s="49" t="n">
        <v>0</v>
      </c>
      <c r="AW1708" s="50" t="n">
        <v>0</v>
      </c>
      <c r="AX1708" s="51" t="n">
        <v>0</v>
      </c>
      <c r="AY1708" s="52" t="n">
        <v>0</v>
      </c>
      <c r="AZ1708" s="52" t="n">
        <v>0</v>
      </c>
      <c r="BA1708" s="52" t="n">
        <v>0</v>
      </c>
      <c r="BB1708" s="53" t="n">
        <v>0</v>
      </c>
      <c r="BC1708" s="52" t="n">
        <v>0</v>
      </c>
      <c r="BD1708" s="53" t="n">
        <v>0</v>
      </c>
      <c r="BE1708" s="52" t="n">
        <v>0</v>
      </c>
      <c r="BF1708" s="51" t="n">
        <v>0</v>
      </c>
    </row>
    <row r="1709">
      <c r="A1709">
        <f>HYPERLINK("https://www.walmart.com/ip/1012779361", "1012779361")</f>
        <v/>
      </c>
      <c r="B1709" t="inlineStr">
        <is>
          <t>Sun Visor Sports Cotton Twill Plain Hat with Adjustable Strap for Men Women Outdoor Golf Tennis Running Jogging Hiking</t>
        </is>
      </c>
      <c r="C1709" t="inlineStr">
        <is>
          <t>1SLVS4130ROY - 12pcs</t>
        </is>
      </c>
      <c r="D1709" t="inlineStr">
        <is>
          <t>Tennis Visors</t>
        </is>
      </c>
      <c r="E1709" t="inlineStr">
        <is>
          <t>Solaris</t>
        </is>
      </c>
      <c r="G1709" s="48" t="n">
        <v>0</v>
      </c>
      <c r="H1709" s="49" t="n">
        <v>0</v>
      </c>
      <c r="I1709" s="49" t="n">
        <v>0</v>
      </c>
      <c r="J1709" s="50" t="n">
        <v>0</v>
      </c>
      <c r="K1709" s="51" t="n">
        <v>0</v>
      </c>
      <c r="L1709" s="52" t="n">
        <v>0</v>
      </c>
      <c r="M1709" s="52" t="n">
        <v>0</v>
      </c>
      <c r="N1709" s="52" t="n">
        <v>0</v>
      </c>
      <c r="O1709" s="53" t="n">
        <v>0</v>
      </c>
      <c r="P1709" s="52" t="n">
        <v>0</v>
      </c>
      <c r="Q1709" s="53" t="n">
        <v>0</v>
      </c>
      <c r="R1709" s="52" t="n">
        <v>0</v>
      </c>
      <c r="S1709" s="51" t="n">
        <v>0</v>
      </c>
      <c r="T1709" s="48" t="n">
        <v>0</v>
      </c>
      <c r="U1709" s="49" t="n">
        <v>0</v>
      </c>
      <c r="V1709" s="49" t="n">
        <v>0</v>
      </c>
      <c r="W1709" s="50" t="n">
        <v>0</v>
      </c>
      <c r="X1709" s="51" t="n">
        <v>0</v>
      </c>
      <c r="Y1709" s="52" t="n">
        <v>0</v>
      </c>
      <c r="Z1709" s="52" t="n">
        <v>0</v>
      </c>
      <c r="AA1709" s="52" t="n">
        <v>0</v>
      </c>
      <c r="AB1709" s="53" t="n">
        <v>0</v>
      </c>
      <c r="AC1709" s="52" t="n">
        <v>0</v>
      </c>
      <c r="AD1709" s="53" t="n">
        <v>0</v>
      </c>
      <c r="AE1709" s="52" t="n">
        <v>0</v>
      </c>
      <c r="AF1709" s="51" t="n">
        <v>0</v>
      </c>
      <c r="AG1709" s="48" t="n">
        <v>0</v>
      </c>
      <c r="AH1709" s="49" t="n">
        <v>0</v>
      </c>
      <c r="AI1709" s="49" t="n">
        <v>0</v>
      </c>
      <c r="AJ1709" s="50" t="n">
        <v>0</v>
      </c>
      <c r="AK1709" s="51" t="n">
        <v>0</v>
      </c>
      <c r="AL1709" s="52" t="n">
        <v>0</v>
      </c>
      <c r="AM1709" s="52" t="n">
        <v>0</v>
      </c>
      <c r="AN1709" s="52" t="n">
        <v>0</v>
      </c>
      <c r="AO1709" s="53" t="n">
        <v>0</v>
      </c>
      <c r="AP1709" s="52" t="n">
        <v>0</v>
      </c>
      <c r="AQ1709" s="53" t="n">
        <v>0</v>
      </c>
      <c r="AR1709" s="52" t="n">
        <v>0</v>
      </c>
      <c r="AS1709" s="51" t="n">
        <v>0</v>
      </c>
      <c r="AT1709" s="48" t="n">
        <v>0</v>
      </c>
      <c r="AU1709" s="49" t="n">
        <v>0</v>
      </c>
      <c r="AV1709" s="49" t="n">
        <v>0</v>
      </c>
      <c r="AW1709" s="50" t="n">
        <v>0</v>
      </c>
      <c r="AX1709" s="51" t="n">
        <v>0</v>
      </c>
      <c r="AY1709" s="52" t="n">
        <v>0</v>
      </c>
      <c r="AZ1709" s="52" t="n">
        <v>0</v>
      </c>
      <c r="BA1709" s="52" t="n">
        <v>0</v>
      </c>
      <c r="BB1709" s="53" t="n">
        <v>0</v>
      </c>
      <c r="BC1709" s="52" t="n">
        <v>0</v>
      </c>
      <c r="BD1709" s="53" t="n">
        <v>0</v>
      </c>
      <c r="BE1709" s="52" t="n">
        <v>0</v>
      </c>
      <c r="BF1709" s="51" t="n">
        <v>0</v>
      </c>
    </row>
    <row r="1710">
      <c r="A1710">
        <f>HYPERLINK("https://www.walmart.com/ip/101337304", "101337304")</f>
        <v/>
      </c>
      <c r="B1710" t="inlineStr">
        <is>
          <t>Jennis 8in1 Stylish Ladies Magic Scarf Shawl Woolly Charcoal Fiber Head Wrap</t>
        </is>
      </c>
      <c r="C1710" t="inlineStr">
        <is>
          <t>MagicScarfDPBK</t>
        </is>
      </c>
      <c r="D1710" t="inlineStr">
        <is>
          <t>Scarves</t>
        </is>
      </c>
      <c r="E1710" t="inlineStr">
        <is>
          <t>JenniWears</t>
        </is>
      </c>
      <c r="F1710" t="inlineStr">
        <is>
          <t>Optimized</t>
        </is>
      </c>
      <c r="G1710" s="48" t="n">
        <v>0</v>
      </c>
      <c r="H1710" s="49" t="n">
        <v>0</v>
      </c>
      <c r="I1710" s="49" t="n">
        <v>0</v>
      </c>
      <c r="J1710" s="50" t="n">
        <v>0</v>
      </c>
      <c r="K1710" s="51" t="n">
        <v>0</v>
      </c>
      <c r="L1710" s="52" t="n">
        <v>0</v>
      </c>
      <c r="M1710" s="52" t="n">
        <v>0</v>
      </c>
      <c r="N1710" s="52" t="n">
        <v>0</v>
      </c>
      <c r="O1710" s="53" t="n">
        <v>0</v>
      </c>
      <c r="P1710" s="52" t="n">
        <v>0</v>
      </c>
      <c r="Q1710" s="53" t="n">
        <v>0</v>
      </c>
      <c r="R1710" s="52" t="n">
        <v>0</v>
      </c>
      <c r="S1710" s="51" t="n">
        <v>0</v>
      </c>
      <c r="T1710" s="48" t="n">
        <v>0</v>
      </c>
      <c r="U1710" s="49" t="n">
        <v>0</v>
      </c>
      <c r="V1710" s="49" t="n">
        <v>0</v>
      </c>
      <c r="W1710" s="50" t="n">
        <v>0</v>
      </c>
      <c r="X1710" s="51" t="n">
        <v>0</v>
      </c>
      <c r="Y1710" s="52" t="n">
        <v>0</v>
      </c>
      <c r="Z1710" s="52" t="n">
        <v>0</v>
      </c>
      <c r="AA1710" s="52" t="n">
        <v>0</v>
      </c>
      <c r="AB1710" s="53" t="n">
        <v>0</v>
      </c>
      <c r="AC1710" s="52" t="n">
        <v>0</v>
      </c>
      <c r="AD1710" s="53" t="n">
        <v>0</v>
      </c>
      <c r="AE1710" s="52" t="n">
        <v>0</v>
      </c>
      <c r="AF1710" s="51" t="n">
        <v>0</v>
      </c>
      <c r="AG1710" s="48" t="n">
        <v>0</v>
      </c>
      <c r="AH1710" s="49" t="n">
        <v>0</v>
      </c>
      <c r="AI1710" s="49" t="n">
        <v>0</v>
      </c>
      <c r="AJ1710" s="50" t="n">
        <v>0</v>
      </c>
      <c r="AK1710" s="51" t="n">
        <v>0</v>
      </c>
      <c r="AL1710" s="52" t="n">
        <v>0</v>
      </c>
      <c r="AM1710" s="52" t="n">
        <v>0</v>
      </c>
      <c r="AN1710" s="52" t="n">
        <v>0</v>
      </c>
      <c r="AO1710" s="53" t="n">
        <v>0</v>
      </c>
      <c r="AP1710" s="52" t="n">
        <v>0</v>
      </c>
      <c r="AQ1710" s="53" t="n">
        <v>0</v>
      </c>
      <c r="AR1710" s="52" t="n">
        <v>0</v>
      </c>
      <c r="AS1710" s="51" t="n">
        <v>0</v>
      </c>
      <c r="AT1710" s="48" t="n">
        <v>0</v>
      </c>
      <c r="AU1710" s="49" t="n">
        <v>0</v>
      </c>
      <c r="AV1710" s="49" t="n">
        <v>0</v>
      </c>
      <c r="AW1710" s="50" t="n">
        <v>0</v>
      </c>
      <c r="AX1710" s="51" t="n">
        <v>0</v>
      </c>
      <c r="AY1710" s="52" t="n">
        <v>0</v>
      </c>
      <c r="AZ1710" s="52" t="n">
        <v>0</v>
      </c>
      <c r="BA1710" s="52" t="n">
        <v>0</v>
      </c>
      <c r="BB1710" s="53" t="n">
        <v>0</v>
      </c>
      <c r="BC1710" s="52" t="n">
        <v>0</v>
      </c>
      <c r="BD1710" s="53" t="n">
        <v>0</v>
      </c>
      <c r="BE1710" s="52" t="n">
        <v>0</v>
      </c>
      <c r="BF1710" s="51" t="n">
        <v>0</v>
      </c>
    </row>
    <row r="1711">
      <c r="A1711">
        <f>HYPERLINK("https://www.walmart.com/ip/1014471610", "1014471610")</f>
        <v/>
      </c>
      <c r="B1711" t="inlineStr">
        <is>
          <t>Catalonia Wearable TV Blanket with Sleeves Arms Micro Plush Fleece Wrap Throw Robe 73 x 51”</t>
        </is>
      </c>
      <c r="C1711" t="inlineStr">
        <is>
          <t>1CTSN150PK</t>
        </is>
      </c>
      <c r="D1711" t="inlineStr">
        <is>
          <t>Throws</t>
        </is>
      </c>
      <c r="E1711" t="inlineStr">
        <is>
          <t>Catalonia</t>
        </is>
      </c>
      <c r="F1711" t="inlineStr">
        <is>
          <t>Batch 1 - TR</t>
        </is>
      </c>
      <c r="G1711" s="48" t="n">
        <v>0</v>
      </c>
      <c r="H1711" s="49" t="n">
        <v>0</v>
      </c>
      <c r="I1711" s="49" t="n">
        <v>0</v>
      </c>
      <c r="J1711" s="50" t="n">
        <v>0</v>
      </c>
      <c r="K1711" s="51" t="n">
        <v>0</v>
      </c>
      <c r="L1711" s="52" t="n">
        <v>0</v>
      </c>
      <c r="M1711" s="52" t="n">
        <v>0</v>
      </c>
      <c r="N1711" s="52" t="n">
        <v>0</v>
      </c>
      <c r="O1711" s="53" t="n">
        <v>0</v>
      </c>
      <c r="P1711" s="52" t="n">
        <v>0</v>
      </c>
      <c r="Q1711" s="53" t="n">
        <v>0</v>
      </c>
      <c r="R1711" s="52" t="n">
        <v>0</v>
      </c>
      <c r="S1711" s="51" t="n">
        <v>0</v>
      </c>
      <c r="T1711" s="48" t="n">
        <v>0</v>
      </c>
      <c r="U1711" s="49" t="n">
        <v>0</v>
      </c>
      <c r="V1711" s="49" t="n">
        <v>0</v>
      </c>
      <c r="W1711" s="50" t="n">
        <v>0</v>
      </c>
      <c r="X1711" s="51" t="n">
        <v>0</v>
      </c>
      <c r="Y1711" s="52" t="n">
        <v>0</v>
      </c>
      <c r="Z1711" s="52" t="n">
        <v>0</v>
      </c>
      <c r="AA1711" s="52" t="n">
        <v>0</v>
      </c>
      <c r="AB1711" s="53" t="n">
        <v>0</v>
      </c>
      <c r="AC1711" s="52" t="n">
        <v>0</v>
      </c>
      <c r="AD1711" s="53" t="n">
        <v>0</v>
      </c>
      <c r="AE1711" s="52" t="n">
        <v>0</v>
      </c>
      <c r="AF1711" s="51" t="n">
        <v>0</v>
      </c>
      <c r="AG1711" s="48" t="n">
        <v>0</v>
      </c>
      <c r="AH1711" s="49" t="n">
        <v>0</v>
      </c>
      <c r="AI1711" s="49" t="n">
        <v>0</v>
      </c>
      <c r="AJ1711" s="50" t="n">
        <v>0</v>
      </c>
      <c r="AK1711" s="51" t="n">
        <v>0</v>
      </c>
      <c r="AL1711" s="52" t="n">
        <v>0</v>
      </c>
      <c r="AM1711" s="52" t="n">
        <v>0</v>
      </c>
      <c r="AN1711" s="52" t="n">
        <v>0</v>
      </c>
      <c r="AO1711" s="53" t="n">
        <v>0</v>
      </c>
      <c r="AP1711" s="52" t="n">
        <v>0</v>
      </c>
      <c r="AQ1711" s="53" t="n">
        <v>0</v>
      </c>
      <c r="AR1711" s="52" t="n">
        <v>0</v>
      </c>
      <c r="AS1711" s="51" t="n">
        <v>0</v>
      </c>
      <c r="AT1711" s="48" t="n">
        <v>0</v>
      </c>
      <c r="AU1711" s="49" t="n">
        <v>0</v>
      </c>
      <c r="AV1711" s="49" t="n">
        <v>0</v>
      </c>
      <c r="AW1711" s="50" t="n">
        <v>0</v>
      </c>
      <c r="AX1711" s="51" t="n">
        <v>0</v>
      </c>
      <c r="AY1711" s="52" t="n">
        <v>0</v>
      </c>
      <c r="AZ1711" s="52" t="n">
        <v>0</v>
      </c>
      <c r="BA1711" s="52" t="n">
        <v>0</v>
      </c>
      <c r="BB1711" s="53" t="n">
        <v>0</v>
      </c>
      <c r="BC1711" s="52" t="n">
        <v>0</v>
      </c>
      <c r="BD1711" s="53" t="n">
        <v>0</v>
      </c>
      <c r="BE1711" s="52" t="n">
        <v>0</v>
      </c>
      <c r="BF1711" s="51" t="n">
        <v>0</v>
      </c>
    </row>
    <row r="1712">
      <c r="A1712">
        <f>HYPERLINK("https://www.walmart.com/ip/101677245", "101677245")</f>
        <v/>
      </c>
      <c r="B1712" t="inlineStr">
        <is>
          <t>JenniWears Women's Beileise Sexy Net Pantyhose Stockings Sheer Ultrathin Socks - 6 Packs</t>
        </is>
      </c>
      <c r="C1712" t="inlineStr">
        <is>
          <t>JWBLSPH2086-6pcs</t>
        </is>
      </c>
      <c r="D1712" t="inlineStr">
        <is>
          <t>Pantyhose &amp; Tights</t>
        </is>
      </c>
      <c r="E1712" t="inlineStr">
        <is>
          <t>JenniWears</t>
        </is>
      </c>
      <c r="F1712" t="inlineStr">
        <is>
          <t>Optimized,Valentine</t>
        </is>
      </c>
      <c r="G1712" s="48" t="n">
        <v>0</v>
      </c>
      <c r="H1712" s="49" t="n">
        <v>0</v>
      </c>
      <c r="I1712" s="49" t="n">
        <v>0</v>
      </c>
      <c r="J1712" s="50" t="n">
        <v>0</v>
      </c>
      <c r="K1712" s="51" t="n">
        <v>0</v>
      </c>
      <c r="L1712" s="52" t="n">
        <v>0</v>
      </c>
      <c r="M1712" s="52" t="n">
        <v>0</v>
      </c>
      <c r="N1712" s="52" t="n">
        <v>0</v>
      </c>
      <c r="O1712" s="53" t="n">
        <v>0</v>
      </c>
      <c r="P1712" s="52" t="n">
        <v>0</v>
      </c>
      <c r="Q1712" s="53" t="n">
        <v>0</v>
      </c>
      <c r="R1712" s="52" t="n">
        <v>0</v>
      </c>
      <c r="S1712" s="51" t="n">
        <v>0</v>
      </c>
      <c r="T1712" s="48" t="n">
        <v>0</v>
      </c>
      <c r="U1712" s="49" t="n">
        <v>0</v>
      </c>
      <c r="V1712" s="49" t="n">
        <v>0</v>
      </c>
      <c r="W1712" s="50" t="n">
        <v>0</v>
      </c>
      <c r="X1712" s="51" t="n">
        <v>0</v>
      </c>
      <c r="Y1712" s="52" t="n">
        <v>0</v>
      </c>
      <c r="Z1712" s="52" t="n">
        <v>0</v>
      </c>
      <c r="AA1712" s="52" t="n">
        <v>0</v>
      </c>
      <c r="AB1712" s="53" t="n">
        <v>0</v>
      </c>
      <c r="AC1712" s="52" t="n">
        <v>0</v>
      </c>
      <c r="AD1712" s="53" t="n">
        <v>0</v>
      </c>
      <c r="AE1712" s="52" t="n">
        <v>0</v>
      </c>
      <c r="AF1712" s="51" t="n">
        <v>0</v>
      </c>
      <c r="AG1712" s="48" t="n">
        <v>0</v>
      </c>
      <c r="AH1712" s="49" t="n">
        <v>0</v>
      </c>
      <c r="AI1712" s="49" t="n">
        <v>0</v>
      </c>
      <c r="AJ1712" s="50" t="n">
        <v>0</v>
      </c>
      <c r="AK1712" s="51" t="n">
        <v>0</v>
      </c>
      <c r="AL1712" s="52" t="n">
        <v>0</v>
      </c>
      <c r="AM1712" s="52" t="n">
        <v>0</v>
      </c>
      <c r="AN1712" s="52" t="n">
        <v>0</v>
      </c>
      <c r="AO1712" s="53" t="n">
        <v>0</v>
      </c>
      <c r="AP1712" s="52" t="n">
        <v>0</v>
      </c>
      <c r="AQ1712" s="53" t="n">
        <v>0</v>
      </c>
      <c r="AR1712" s="52" t="n">
        <v>0</v>
      </c>
      <c r="AS1712" s="51" t="n">
        <v>0</v>
      </c>
      <c r="AT1712" s="48" t="n">
        <v>0</v>
      </c>
      <c r="AU1712" s="49" t="n">
        <v>0</v>
      </c>
      <c r="AV1712" s="49" t="n">
        <v>0</v>
      </c>
      <c r="AW1712" s="50" t="n">
        <v>0</v>
      </c>
      <c r="AX1712" s="51" t="n">
        <v>0</v>
      </c>
      <c r="AY1712" s="52" t="n">
        <v>0</v>
      </c>
      <c r="AZ1712" s="52" t="n">
        <v>0</v>
      </c>
      <c r="BA1712" s="52" t="n">
        <v>0</v>
      </c>
      <c r="BB1712" s="53" t="n">
        <v>0</v>
      </c>
      <c r="BC1712" s="52" t="n">
        <v>0</v>
      </c>
      <c r="BD1712" s="53" t="n">
        <v>0</v>
      </c>
      <c r="BE1712" s="52" t="n">
        <v>0</v>
      </c>
      <c r="BF1712" s="51" t="n">
        <v>0</v>
      </c>
    </row>
    <row r="1713">
      <c r="A1713">
        <f>HYPERLINK("https://www.walmart.com/ip/1016893576", "1016893576")</f>
        <v/>
      </c>
      <c r="B1713" t="inlineStr">
        <is>
          <t>Child Cotton Hooded Poncho Towels Surfer Cartoon Changing Robe Swimmer Outdoor Beach 23” x 52” By Tirrinia</t>
        </is>
      </c>
      <c r="C1713" t="inlineStr">
        <is>
          <t>1TRBR200-Princess</t>
        </is>
      </c>
      <c r="D1713" t="inlineStr">
        <is>
          <t>Towels &amp; Washcloths</t>
        </is>
      </c>
      <c r="E1713" t="inlineStr">
        <is>
          <t>Tirrinia</t>
        </is>
      </c>
      <c r="F1713" t="inlineStr">
        <is>
          <t>Beach Robe Camp,Batch 1 - TR</t>
        </is>
      </c>
      <c r="G1713" s="48" t="n">
        <v>0</v>
      </c>
      <c r="H1713" s="49" t="n">
        <v>0</v>
      </c>
      <c r="I1713" s="49" t="n">
        <v>0</v>
      </c>
      <c r="J1713" s="50" t="n">
        <v>0</v>
      </c>
      <c r="K1713" s="51" t="n">
        <v>0</v>
      </c>
      <c r="L1713" s="52" t="n">
        <v>0</v>
      </c>
      <c r="M1713" s="52" t="n">
        <v>0</v>
      </c>
      <c r="N1713" s="52" t="n">
        <v>0</v>
      </c>
      <c r="O1713" s="53" t="n">
        <v>0</v>
      </c>
      <c r="P1713" s="52" t="n">
        <v>0</v>
      </c>
      <c r="Q1713" s="53" t="n">
        <v>0</v>
      </c>
      <c r="R1713" s="52" t="n">
        <v>0</v>
      </c>
      <c r="S1713" s="51" t="n">
        <v>0</v>
      </c>
      <c r="T1713" s="48" t="n">
        <v>0</v>
      </c>
      <c r="U1713" s="49" t="n">
        <v>0</v>
      </c>
      <c r="V1713" s="49" t="n">
        <v>0</v>
      </c>
      <c r="W1713" s="50" t="n">
        <v>0</v>
      </c>
      <c r="X1713" s="51" t="n">
        <v>0</v>
      </c>
      <c r="Y1713" s="52" t="n">
        <v>0</v>
      </c>
      <c r="Z1713" s="52" t="n">
        <v>0</v>
      </c>
      <c r="AA1713" s="52" t="n">
        <v>0</v>
      </c>
      <c r="AB1713" s="53" t="n">
        <v>0</v>
      </c>
      <c r="AC1713" s="52" t="n">
        <v>0</v>
      </c>
      <c r="AD1713" s="53" t="n">
        <v>0</v>
      </c>
      <c r="AE1713" s="52" t="n">
        <v>0</v>
      </c>
      <c r="AF1713" s="51" t="n">
        <v>0</v>
      </c>
      <c r="AG1713" s="48" t="n">
        <v>0</v>
      </c>
      <c r="AH1713" s="49" t="n">
        <v>0</v>
      </c>
      <c r="AI1713" s="49" t="n">
        <v>0</v>
      </c>
      <c r="AJ1713" s="50" t="n">
        <v>0</v>
      </c>
      <c r="AK1713" s="51" t="n">
        <v>0</v>
      </c>
      <c r="AL1713" s="52" t="n">
        <v>0</v>
      </c>
      <c r="AM1713" s="52" t="n">
        <v>0</v>
      </c>
      <c r="AN1713" s="52" t="n">
        <v>0</v>
      </c>
      <c r="AO1713" s="53" t="n">
        <v>0</v>
      </c>
      <c r="AP1713" s="52" t="n">
        <v>0</v>
      </c>
      <c r="AQ1713" s="53" t="n">
        <v>0</v>
      </c>
      <c r="AR1713" s="52" t="n">
        <v>0</v>
      </c>
      <c r="AS1713" s="51" t="n">
        <v>0</v>
      </c>
      <c r="AT1713" s="48" t="n">
        <v>0</v>
      </c>
      <c r="AU1713" s="49" t="n">
        <v>0</v>
      </c>
      <c r="AV1713" s="49" t="n">
        <v>0</v>
      </c>
      <c r="AW1713" s="50" t="n">
        <v>0</v>
      </c>
      <c r="AX1713" s="51" t="n">
        <v>0</v>
      </c>
      <c r="AY1713" s="52" t="n">
        <v>0</v>
      </c>
      <c r="AZ1713" s="52" t="n">
        <v>0</v>
      </c>
      <c r="BA1713" s="52" t="n">
        <v>0</v>
      </c>
      <c r="BB1713" s="53" t="n">
        <v>0</v>
      </c>
      <c r="BC1713" s="52" t="n">
        <v>0</v>
      </c>
      <c r="BD1713" s="53" t="n">
        <v>0</v>
      </c>
      <c r="BE1713" s="52" t="n">
        <v>0</v>
      </c>
      <c r="BF1713" s="51" t="n">
        <v>0</v>
      </c>
    </row>
    <row r="1714">
      <c r="A1714">
        <f>HYPERLINK("https://www.walmart.com/ip/101797775", "101797775")</f>
        <v/>
      </c>
      <c r="B1714" t="inlineStr">
        <is>
          <t>JenniWears Light-Up Sequin Fedora LED Hat, Sparkly Sequin Black Fedora Hat for Women and Men, Neon Green</t>
        </is>
      </c>
      <c r="C1714" t="inlineStr">
        <is>
          <t>JWLEDHAT01-GN</t>
        </is>
      </c>
      <c r="D1714" t="inlineStr">
        <is>
          <t>Party Hats</t>
        </is>
      </c>
      <c r="E1714" t="inlineStr">
        <is>
          <t>JenniWears</t>
        </is>
      </c>
      <c r="F1714" t="inlineStr">
        <is>
          <t>Halloween</t>
        </is>
      </c>
      <c r="G1714" s="48" t="n">
        <v>0</v>
      </c>
      <c r="H1714" s="49" t="n">
        <v>0</v>
      </c>
      <c r="I1714" s="49" t="n">
        <v>0</v>
      </c>
      <c r="J1714" s="50" t="n">
        <v>0</v>
      </c>
      <c r="K1714" s="51" t="n">
        <v>0</v>
      </c>
      <c r="L1714" s="52" t="n">
        <v>0</v>
      </c>
      <c r="M1714" s="52" t="n">
        <v>0</v>
      </c>
      <c r="N1714" s="52" t="n">
        <v>0</v>
      </c>
      <c r="O1714" s="53" t="n">
        <v>0</v>
      </c>
      <c r="P1714" s="52" t="n">
        <v>0</v>
      </c>
      <c r="Q1714" s="53" t="n">
        <v>0</v>
      </c>
      <c r="R1714" s="52" t="n">
        <v>0</v>
      </c>
      <c r="S1714" s="51" t="n">
        <v>0</v>
      </c>
      <c r="T1714" s="48" t="n">
        <v>0</v>
      </c>
      <c r="U1714" s="49" t="n">
        <v>0</v>
      </c>
      <c r="V1714" s="49" t="n">
        <v>0</v>
      </c>
      <c r="W1714" s="50" t="n">
        <v>0</v>
      </c>
      <c r="X1714" s="51" t="n">
        <v>0</v>
      </c>
      <c r="Y1714" s="52" t="n">
        <v>0</v>
      </c>
      <c r="Z1714" s="52" t="n">
        <v>0</v>
      </c>
      <c r="AA1714" s="52" t="n">
        <v>0</v>
      </c>
      <c r="AB1714" s="53" t="n">
        <v>0</v>
      </c>
      <c r="AC1714" s="52" t="n">
        <v>0</v>
      </c>
      <c r="AD1714" s="53" t="n">
        <v>0</v>
      </c>
      <c r="AE1714" s="52" t="n">
        <v>0</v>
      </c>
      <c r="AF1714" s="51" t="n">
        <v>0</v>
      </c>
      <c r="AG1714" s="48" t="n">
        <v>0</v>
      </c>
      <c r="AH1714" s="49" t="n">
        <v>0</v>
      </c>
      <c r="AI1714" s="49" t="n">
        <v>0</v>
      </c>
      <c r="AJ1714" s="50" t="n">
        <v>0</v>
      </c>
      <c r="AK1714" s="51" t="n">
        <v>0</v>
      </c>
      <c r="AL1714" s="52" t="n">
        <v>0</v>
      </c>
      <c r="AM1714" s="52" t="n">
        <v>0</v>
      </c>
      <c r="AN1714" s="52" t="n">
        <v>0</v>
      </c>
      <c r="AO1714" s="53" t="n">
        <v>0</v>
      </c>
      <c r="AP1714" s="52" t="n">
        <v>0</v>
      </c>
      <c r="AQ1714" s="53" t="n">
        <v>0</v>
      </c>
      <c r="AR1714" s="52" t="n">
        <v>0</v>
      </c>
      <c r="AS1714" s="51" t="n">
        <v>0</v>
      </c>
      <c r="AT1714" s="48" t="n">
        <v>0</v>
      </c>
      <c r="AU1714" s="49" t="n">
        <v>0</v>
      </c>
      <c r="AV1714" s="49" t="n">
        <v>0</v>
      </c>
      <c r="AW1714" s="50" t="n">
        <v>0</v>
      </c>
      <c r="AX1714" s="51" t="n">
        <v>0</v>
      </c>
      <c r="AY1714" s="52" t="n">
        <v>0</v>
      </c>
      <c r="AZ1714" s="52" t="n">
        <v>0</v>
      </c>
      <c r="BA1714" s="52" t="n">
        <v>0</v>
      </c>
      <c r="BB1714" s="53" t="n">
        <v>0</v>
      </c>
      <c r="BC1714" s="52" t="n">
        <v>0</v>
      </c>
      <c r="BD1714" s="53" t="n">
        <v>0</v>
      </c>
      <c r="BE1714" s="52" t="n">
        <v>0</v>
      </c>
      <c r="BF1714" s="51" t="n">
        <v>0</v>
      </c>
    </row>
    <row r="1715">
      <c r="A1715">
        <f>HYPERLINK("https://www.walmart.com/ip/102014052", "102014052")</f>
        <v/>
      </c>
      <c r="B1715" t="inlineStr">
        <is>
          <t>JenniWears Women Beileise Sexy Garter Belt Suspender</t>
        </is>
      </c>
      <c r="C1715" t="inlineStr">
        <is>
          <t>JWBLSPH5002</t>
        </is>
      </c>
      <c r="D1715" t="inlineStr">
        <is>
          <t>Garters</t>
        </is>
      </c>
      <c r="E1715" t="inlineStr">
        <is>
          <t>JenniWears</t>
        </is>
      </c>
      <c r="F1715" t="inlineStr">
        <is>
          <t>Valentine</t>
        </is>
      </c>
      <c r="G1715" s="48" t="n">
        <v>0</v>
      </c>
      <c r="H1715" s="49" t="n">
        <v>0</v>
      </c>
      <c r="I1715" s="49" t="n">
        <v>0</v>
      </c>
      <c r="J1715" s="50" t="n">
        <v>0</v>
      </c>
      <c r="K1715" s="51" t="n">
        <v>0</v>
      </c>
      <c r="L1715" s="52" t="n">
        <v>0</v>
      </c>
      <c r="M1715" s="52" t="n">
        <v>0</v>
      </c>
      <c r="N1715" s="52" t="n">
        <v>0</v>
      </c>
      <c r="O1715" s="53" t="n">
        <v>0</v>
      </c>
      <c r="P1715" s="52" t="n">
        <v>0</v>
      </c>
      <c r="Q1715" s="53" t="n">
        <v>0</v>
      </c>
      <c r="R1715" s="52" t="n">
        <v>0</v>
      </c>
      <c r="S1715" s="51" t="n">
        <v>0</v>
      </c>
      <c r="T1715" s="48" t="n">
        <v>0</v>
      </c>
      <c r="U1715" s="49" t="n">
        <v>0</v>
      </c>
      <c r="V1715" s="49" t="n">
        <v>0</v>
      </c>
      <c r="W1715" s="50" t="n">
        <v>0</v>
      </c>
      <c r="X1715" s="51" t="n">
        <v>0</v>
      </c>
      <c r="Y1715" s="52" t="n">
        <v>0</v>
      </c>
      <c r="Z1715" s="52" t="n">
        <v>0</v>
      </c>
      <c r="AA1715" s="52" t="n">
        <v>0</v>
      </c>
      <c r="AB1715" s="53" t="n">
        <v>0</v>
      </c>
      <c r="AC1715" s="52" t="n">
        <v>0</v>
      </c>
      <c r="AD1715" s="53" t="n">
        <v>0</v>
      </c>
      <c r="AE1715" s="52" t="n">
        <v>0</v>
      </c>
      <c r="AF1715" s="51" t="n">
        <v>0</v>
      </c>
      <c r="AG1715" s="48" t="n">
        <v>0</v>
      </c>
      <c r="AH1715" s="49" t="n">
        <v>0</v>
      </c>
      <c r="AI1715" s="49" t="n">
        <v>0</v>
      </c>
      <c r="AJ1715" s="50" t="n">
        <v>0</v>
      </c>
      <c r="AK1715" s="51" t="n">
        <v>0</v>
      </c>
      <c r="AL1715" s="52" t="n">
        <v>0</v>
      </c>
      <c r="AM1715" s="52" t="n">
        <v>0</v>
      </c>
      <c r="AN1715" s="52" t="n">
        <v>0</v>
      </c>
      <c r="AO1715" s="53" t="n">
        <v>0</v>
      </c>
      <c r="AP1715" s="52" t="n">
        <v>0</v>
      </c>
      <c r="AQ1715" s="53" t="n">
        <v>0</v>
      </c>
      <c r="AR1715" s="52" t="n">
        <v>0</v>
      </c>
      <c r="AS1715" s="51" t="n">
        <v>0</v>
      </c>
      <c r="AT1715" s="48" t="n">
        <v>0</v>
      </c>
      <c r="AU1715" s="49" t="n">
        <v>0</v>
      </c>
      <c r="AV1715" s="49" t="n">
        <v>0</v>
      </c>
      <c r="AW1715" s="50" t="n">
        <v>0</v>
      </c>
      <c r="AX1715" s="51" t="n">
        <v>0</v>
      </c>
      <c r="AY1715" s="52" t="n">
        <v>0</v>
      </c>
      <c r="AZ1715" s="52" t="n">
        <v>0</v>
      </c>
      <c r="BA1715" s="52" t="n">
        <v>0</v>
      </c>
      <c r="BB1715" s="53" t="n">
        <v>0</v>
      </c>
      <c r="BC1715" s="52" t="n">
        <v>0</v>
      </c>
      <c r="BD1715" s="53" t="n">
        <v>0</v>
      </c>
      <c r="BE1715" s="52" t="n">
        <v>0</v>
      </c>
      <c r="BF1715" s="51" t="n">
        <v>0</v>
      </c>
    </row>
    <row r="1716">
      <c r="A1716">
        <f>HYPERLINK("https://www.walmart.com/ip/10217567126", "10217567126")</f>
        <v/>
      </c>
      <c r="B1716" t="inlineStr">
        <is>
          <t>Wrangler Men’s Leather Country Casual Every Day Dress Belt for Jeans, Khakis Light Brown 44</t>
        </is>
      </c>
      <c r="C1716" t="inlineStr">
        <is>
          <t>WR-BELT-MENS-COUNTRY-LTBROWN-44</t>
        </is>
      </c>
      <c r="D1716" t="inlineStr">
        <is>
          <t>Belts</t>
        </is>
      </c>
      <c r="E1716" t="inlineStr">
        <is>
          <t>Wrangler</t>
        </is>
      </c>
      <c r="F1716" t="inlineStr">
        <is>
          <t>Belts</t>
        </is>
      </c>
      <c r="G1716" s="48" t="n">
        <v>0</v>
      </c>
      <c r="H1716" s="49" t="n">
        <v>0</v>
      </c>
      <c r="I1716" s="49" t="n">
        <v>0</v>
      </c>
      <c r="J1716" s="50" t="n">
        <v>0</v>
      </c>
      <c r="K1716" s="51" t="n">
        <v>0</v>
      </c>
      <c r="L1716" s="52" t="n">
        <v>0</v>
      </c>
      <c r="M1716" s="52" t="n">
        <v>0</v>
      </c>
      <c r="N1716" s="52" t="n">
        <v>0</v>
      </c>
      <c r="O1716" s="53" t="n">
        <v>0</v>
      </c>
      <c r="P1716" s="52" t="n">
        <v>0</v>
      </c>
      <c r="Q1716" s="53" t="n">
        <v>0</v>
      </c>
      <c r="R1716" s="52" t="n">
        <v>0</v>
      </c>
      <c r="S1716" s="51" t="n">
        <v>0</v>
      </c>
      <c r="T1716" s="48" t="n">
        <v>0</v>
      </c>
      <c r="U1716" s="49" t="n">
        <v>0</v>
      </c>
      <c r="V1716" s="49" t="n">
        <v>0</v>
      </c>
      <c r="W1716" s="50" t="n">
        <v>0</v>
      </c>
      <c r="X1716" s="51" t="n">
        <v>0</v>
      </c>
      <c r="Y1716" s="52" t="n">
        <v>0</v>
      </c>
      <c r="Z1716" s="52" t="n">
        <v>0</v>
      </c>
      <c r="AA1716" s="52" t="n">
        <v>0</v>
      </c>
      <c r="AB1716" s="53" t="n">
        <v>0</v>
      </c>
      <c r="AC1716" s="52" t="n">
        <v>0</v>
      </c>
      <c r="AD1716" s="53" t="n">
        <v>0</v>
      </c>
      <c r="AE1716" s="52" t="n">
        <v>0</v>
      </c>
      <c r="AF1716" s="51" t="n">
        <v>0</v>
      </c>
      <c r="AG1716" s="48" t="n">
        <v>0</v>
      </c>
      <c r="AH1716" s="49" t="n">
        <v>0</v>
      </c>
      <c r="AI1716" s="49" t="n">
        <v>0</v>
      </c>
      <c r="AJ1716" s="50" t="n">
        <v>0</v>
      </c>
      <c r="AK1716" s="51" t="n">
        <v>0</v>
      </c>
      <c r="AL1716" s="52" t="n">
        <v>0</v>
      </c>
      <c r="AM1716" s="52" t="n">
        <v>0</v>
      </c>
      <c r="AN1716" s="52" t="n">
        <v>0</v>
      </c>
      <c r="AO1716" s="53" t="n">
        <v>0</v>
      </c>
      <c r="AP1716" s="52" t="n">
        <v>0</v>
      </c>
      <c r="AQ1716" s="53" t="n">
        <v>0</v>
      </c>
      <c r="AR1716" s="52" t="n">
        <v>0</v>
      </c>
      <c r="AS1716" s="51" t="n">
        <v>0</v>
      </c>
      <c r="AT1716" s="48" t="n">
        <v>0</v>
      </c>
      <c r="AU1716" s="49" t="n">
        <v>0</v>
      </c>
      <c r="AV1716" s="49" t="n">
        <v>0</v>
      </c>
      <c r="AW1716" s="50" t="n">
        <v>0</v>
      </c>
      <c r="AX1716" s="51" t="n">
        <v>0</v>
      </c>
      <c r="AY1716" s="52" t="n">
        <v>0</v>
      </c>
      <c r="AZ1716" s="52" t="n">
        <v>0</v>
      </c>
      <c r="BA1716" s="52" t="n">
        <v>0</v>
      </c>
      <c r="BB1716" s="53" t="n">
        <v>0</v>
      </c>
      <c r="BC1716" s="52" t="n">
        <v>0</v>
      </c>
      <c r="BD1716" s="53" t="n">
        <v>0</v>
      </c>
      <c r="BE1716" s="52" t="n">
        <v>0</v>
      </c>
      <c r="BF1716" s="51" t="n">
        <v>0</v>
      </c>
    </row>
    <row r="1717">
      <c r="A1717">
        <f>HYPERLINK("https://www.walmart.com/ip/102208083", "102208083")</f>
        <v/>
      </c>
      <c r="B1717" t="inlineStr">
        <is>
          <t>Terra Youth Reflective Knit Beanie Hat For Sports Warm One Size</t>
        </is>
      </c>
      <c r="C1717" t="inlineStr">
        <is>
          <t>TERRABN01-BK</t>
        </is>
      </c>
      <c r="D1717" t="inlineStr">
        <is>
          <t>Hats</t>
        </is>
      </c>
      <c r="E1717" t="inlineStr">
        <is>
          <t>Terra</t>
        </is>
      </c>
      <c r="G1717" s="48" t="n">
        <v>0</v>
      </c>
      <c r="H1717" s="49" t="n">
        <v>0</v>
      </c>
      <c r="I1717" s="49" t="n">
        <v>0</v>
      </c>
      <c r="J1717" s="50" t="n">
        <v>0</v>
      </c>
      <c r="K1717" s="51" t="n">
        <v>0</v>
      </c>
      <c r="L1717" s="52" t="n">
        <v>0</v>
      </c>
      <c r="M1717" s="52" t="n">
        <v>0</v>
      </c>
      <c r="N1717" s="52" t="n">
        <v>0</v>
      </c>
      <c r="O1717" s="53" t="n">
        <v>0</v>
      </c>
      <c r="P1717" s="52" t="n">
        <v>0</v>
      </c>
      <c r="Q1717" s="53" t="n">
        <v>0</v>
      </c>
      <c r="R1717" s="52" t="n">
        <v>0</v>
      </c>
      <c r="S1717" s="51" t="n">
        <v>0</v>
      </c>
      <c r="T1717" s="48" t="n">
        <v>0</v>
      </c>
      <c r="U1717" s="49" t="n">
        <v>0</v>
      </c>
      <c r="V1717" s="49" t="n">
        <v>0</v>
      </c>
      <c r="W1717" s="50" t="n">
        <v>0</v>
      </c>
      <c r="X1717" s="51" t="n">
        <v>0</v>
      </c>
      <c r="Y1717" s="52" t="n">
        <v>0</v>
      </c>
      <c r="Z1717" s="52" t="n">
        <v>0</v>
      </c>
      <c r="AA1717" s="52" t="n">
        <v>0</v>
      </c>
      <c r="AB1717" s="53" t="n">
        <v>0</v>
      </c>
      <c r="AC1717" s="52" t="n">
        <v>0</v>
      </c>
      <c r="AD1717" s="53" t="n">
        <v>0</v>
      </c>
      <c r="AE1717" s="52" t="n">
        <v>0</v>
      </c>
      <c r="AF1717" s="51" t="n">
        <v>0</v>
      </c>
      <c r="AG1717" s="48" t="n">
        <v>0</v>
      </c>
      <c r="AH1717" s="49" t="n">
        <v>0</v>
      </c>
      <c r="AI1717" s="49" t="n">
        <v>0</v>
      </c>
      <c r="AJ1717" s="50" t="n">
        <v>0</v>
      </c>
      <c r="AK1717" s="51" t="n">
        <v>0</v>
      </c>
      <c r="AL1717" s="52" t="n">
        <v>0</v>
      </c>
      <c r="AM1717" s="52" t="n">
        <v>0</v>
      </c>
      <c r="AN1717" s="52" t="n">
        <v>0</v>
      </c>
      <c r="AO1717" s="53" t="n">
        <v>0</v>
      </c>
      <c r="AP1717" s="52" t="n">
        <v>0</v>
      </c>
      <c r="AQ1717" s="53" t="n">
        <v>0</v>
      </c>
      <c r="AR1717" s="52" t="n">
        <v>0</v>
      </c>
      <c r="AS1717" s="51" t="n">
        <v>0</v>
      </c>
      <c r="AT1717" s="48" t="n">
        <v>0</v>
      </c>
      <c r="AU1717" s="49" t="n">
        <v>0</v>
      </c>
      <c r="AV1717" s="49" t="n">
        <v>0</v>
      </c>
      <c r="AW1717" s="50" t="n">
        <v>0</v>
      </c>
      <c r="AX1717" s="51" t="n">
        <v>0</v>
      </c>
      <c r="AY1717" s="52" t="n">
        <v>0</v>
      </c>
      <c r="AZ1717" s="52" t="n">
        <v>0</v>
      </c>
      <c r="BA1717" s="52" t="n">
        <v>0</v>
      </c>
      <c r="BB1717" s="53" t="n">
        <v>0</v>
      </c>
      <c r="BC1717" s="52" t="n">
        <v>0</v>
      </c>
      <c r="BD1717" s="53" t="n">
        <v>0</v>
      </c>
      <c r="BE1717" s="52" t="n">
        <v>0</v>
      </c>
      <c r="BF1717" s="51" t="n">
        <v>0</v>
      </c>
    </row>
    <row r="1718">
      <c r="A1718">
        <f>HYPERLINK("https://www.walmart.com/ip/102441654", "102441654")</f>
        <v/>
      </c>
      <c r="B1718" t="inlineStr">
        <is>
          <t>KC Caps Unisex Two-Tone Cotton Twill Adjustable Baseball Cap with Suede Bill, Black/Brown</t>
        </is>
      </c>
      <c r="C1718" t="inlineStr">
        <is>
          <t>KC-S6300-BK/BR</t>
        </is>
      </c>
      <c r="D1718" t="inlineStr">
        <is>
          <t>Hats</t>
        </is>
      </c>
      <c r="E1718" t="inlineStr">
        <is>
          <t>KC Caps</t>
        </is>
      </c>
      <c r="F1718" t="inlineStr">
        <is>
          <t>Optimized</t>
        </is>
      </c>
      <c r="G1718" s="48" t="n">
        <v>0</v>
      </c>
      <c r="H1718" s="49" t="n">
        <v>0</v>
      </c>
      <c r="I1718" s="49" t="n">
        <v>0</v>
      </c>
      <c r="J1718" s="50" t="n">
        <v>0</v>
      </c>
      <c r="K1718" s="51" t="n">
        <v>0</v>
      </c>
      <c r="L1718" s="52" t="n">
        <v>0</v>
      </c>
      <c r="M1718" s="52" t="n">
        <v>0</v>
      </c>
      <c r="N1718" s="52" t="n">
        <v>0</v>
      </c>
      <c r="O1718" s="53" t="n">
        <v>0</v>
      </c>
      <c r="P1718" s="52" t="n">
        <v>0</v>
      </c>
      <c r="Q1718" s="53" t="n">
        <v>0</v>
      </c>
      <c r="R1718" s="52" t="n">
        <v>0</v>
      </c>
      <c r="S1718" s="51" t="n">
        <v>0</v>
      </c>
      <c r="T1718" s="48" t="n">
        <v>0</v>
      </c>
      <c r="U1718" s="49" t="n">
        <v>0</v>
      </c>
      <c r="V1718" s="49" t="n">
        <v>0</v>
      </c>
      <c r="W1718" s="50" t="n">
        <v>0</v>
      </c>
      <c r="X1718" s="51" t="n">
        <v>0</v>
      </c>
      <c r="Y1718" s="52" t="n">
        <v>0</v>
      </c>
      <c r="Z1718" s="52" t="n">
        <v>0</v>
      </c>
      <c r="AA1718" s="52" t="n">
        <v>0</v>
      </c>
      <c r="AB1718" s="53" t="n">
        <v>0</v>
      </c>
      <c r="AC1718" s="52" t="n">
        <v>0</v>
      </c>
      <c r="AD1718" s="53" t="n">
        <v>0</v>
      </c>
      <c r="AE1718" s="52" t="n">
        <v>0</v>
      </c>
      <c r="AF1718" s="51" t="n">
        <v>0</v>
      </c>
      <c r="AG1718" s="48" t="n">
        <v>0</v>
      </c>
      <c r="AH1718" s="49" t="n">
        <v>0</v>
      </c>
      <c r="AI1718" s="49" t="n">
        <v>0</v>
      </c>
      <c r="AJ1718" s="50" t="n">
        <v>0</v>
      </c>
      <c r="AK1718" s="51" t="n">
        <v>0</v>
      </c>
      <c r="AL1718" s="52" t="n">
        <v>0</v>
      </c>
      <c r="AM1718" s="52" t="n">
        <v>0</v>
      </c>
      <c r="AN1718" s="52" t="n">
        <v>0</v>
      </c>
      <c r="AO1718" s="53" t="n">
        <v>0</v>
      </c>
      <c r="AP1718" s="52" t="n">
        <v>0</v>
      </c>
      <c r="AQ1718" s="53" t="n">
        <v>0</v>
      </c>
      <c r="AR1718" s="52" t="n">
        <v>0</v>
      </c>
      <c r="AS1718" s="51" t="n">
        <v>0</v>
      </c>
      <c r="AT1718" s="48" t="n">
        <v>0</v>
      </c>
      <c r="AU1718" s="49" t="n">
        <v>0</v>
      </c>
      <c r="AV1718" s="49" t="n">
        <v>0</v>
      </c>
      <c r="AW1718" s="50" t="n">
        <v>0</v>
      </c>
      <c r="AX1718" s="51" t="n">
        <v>0</v>
      </c>
      <c r="AY1718" s="52" t="n">
        <v>0</v>
      </c>
      <c r="AZ1718" s="52" t="n">
        <v>0</v>
      </c>
      <c r="BA1718" s="52" t="n">
        <v>0</v>
      </c>
      <c r="BB1718" s="53" t="n">
        <v>0</v>
      </c>
      <c r="BC1718" s="52" t="n">
        <v>0</v>
      </c>
      <c r="BD1718" s="53" t="n">
        <v>0</v>
      </c>
      <c r="BE1718" s="52" t="n">
        <v>0</v>
      </c>
      <c r="BF1718" s="51" t="n">
        <v>0</v>
      </c>
    </row>
    <row r="1719">
      <c r="A1719">
        <f>HYPERLINK("https://www.walmart.com/ip/1025403822", "1025403822")</f>
        <v/>
      </c>
      <c r="B1719" t="inlineStr">
        <is>
          <t>Catalonia Knitted Throw Blanket for Bed,Sofa,Living Room,All Seasons Cozy Leisure Acrylic Lightweight Decorative Blanket with Fringe,Machine Washable,60×80 inches, Pink</t>
        </is>
      </c>
      <c r="C1719" t="inlineStr">
        <is>
          <t>1CTBN610PK</t>
        </is>
      </c>
      <c r="D1719" t="inlineStr">
        <is>
          <t>Throws</t>
        </is>
      </c>
      <c r="E1719" t="inlineStr">
        <is>
          <t>Catalonia</t>
        </is>
      </c>
      <c r="F1719" t="inlineStr">
        <is>
          <t>Batch 1 - TR</t>
        </is>
      </c>
      <c r="G1719" s="48" t="n">
        <v>0</v>
      </c>
      <c r="H1719" s="49" t="n">
        <v>0</v>
      </c>
      <c r="I1719" s="49" t="n">
        <v>0</v>
      </c>
      <c r="J1719" s="50" t="n">
        <v>0</v>
      </c>
      <c r="K1719" s="51" t="n">
        <v>0</v>
      </c>
      <c r="L1719" s="52" t="n">
        <v>0</v>
      </c>
      <c r="M1719" s="52" t="n">
        <v>0</v>
      </c>
      <c r="N1719" s="52" t="n">
        <v>0</v>
      </c>
      <c r="O1719" s="53" t="n">
        <v>0</v>
      </c>
      <c r="P1719" s="52" t="n">
        <v>0</v>
      </c>
      <c r="Q1719" s="53" t="n">
        <v>0</v>
      </c>
      <c r="R1719" s="52" t="n">
        <v>0</v>
      </c>
      <c r="S1719" s="51" t="n">
        <v>0</v>
      </c>
      <c r="T1719" s="48" t="n">
        <v>0</v>
      </c>
      <c r="U1719" s="49" t="n">
        <v>0</v>
      </c>
      <c r="V1719" s="49" t="n">
        <v>0</v>
      </c>
      <c r="W1719" s="50" t="n">
        <v>0</v>
      </c>
      <c r="X1719" s="51" t="n">
        <v>0</v>
      </c>
      <c r="Y1719" s="52" t="n">
        <v>0</v>
      </c>
      <c r="Z1719" s="52" t="n">
        <v>0</v>
      </c>
      <c r="AA1719" s="52" t="n">
        <v>0</v>
      </c>
      <c r="AB1719" s="53" t="n">
        <v>0</v>
      </c>
      <c r="AC1719" s="52" t="n">
        <v>0</v>
      </c>
      <c r="AD1719" s="53" t="n">
        <v>0</v>
      </c>
      <c r="AE1719" s="52" t="n">
        <v>0</v>
      </c>
      <c r="AF1719" s="51" t="n">
        <v>0</v>
      </c>
      <c r="AG1719" s="48" t="n">
        <v>0</v>
      </c>
      <c r="AH1719" s="49" t="n">
        <v>0</v>
      </c>
      <c r="AI1719" s="49" t="n">
        <v>0</v>
      </c>
      <c r="AJ1719" s="50" t="n">
        <v>0</v>
      </c>
      <c r="AK1719" s="51" t="n">
        <v>0</v>
      </c>
      <c r="AL1719" s="52" t="n">
        <v>0</v>
      </c>
      <c r="AM1719" s="52" t="n">
        <v>0</v>
      </c>
      <c r="AN1719" s="52" t="n">
        <v>0</v>
      </c>
      <c r="AO1719" s="53" t="n">
        <v>0</v>
      </c>
      <c r="AP1719" s="52" t="n">
        <v>0</v>
      </c>
      <c r="AQ1719" s="53" t="n">
        <v>0</v>
      </c>
      <c r="AR1719" s="52" t="n">
        <v>0</v>
      </c>
      <c r="AS1719" s="51" t="n">
        <v>0</v>
      </c>
      <c r="AT1719" s="48" t="n">
        <v>0</v>
      </c>
      <c r="AU1719" s="49" t="n">
        <v>0</v>
      </c>
      <c r="AV1719" s="49" t="n">
        <v>0</v>
      </c>
      <c r="AW1719" s="50" t="n">
        <v>0</v>
      </c>
      <c r="AX1719" s="51" t="n">
        <v>0</v>
      </c>
      <c r="AY1719" s="52" t="n">
        <v>0</v>
      </c>
      <c r="AZ1719" s="52" t="n">
        <v>0</v>
      </c>
      <c r="BA1719" s="52" t="n">
        <v>0</v>
      </c>
      <c r="BB1719" s="53" t="n">
        <v>0</v>
      </c>
      <c r="BC1719" s="52" t="n">
        <v>0</v>
      </c>
      <c r="BD1719" s="53" t="n">
        <v>0</v>
      </c>
      <c r="BE1719" s="52" t="n">
        <v>0</v>
      </c>
      <c r="BF1719" s="51" t="n">
        <v>0</v>
      </c>
    </row>
    <row r="1720">
      <c r="A1720">
        <f>HYPERLINK("https://www.walmart.com/ip/10282157245", "10282157245")</f>
        <v/>
      </c>
      <c r="B1720" t="inlineStr">
        <is>
          <t>Wrangler Men’s Full Grain Genuine Leather 35mm Thick Casual Belt for Jeans, Pants - Black, 32</t>
        </is>
      </c>
      <c r="C1720" t="inlineStr">
        <is>
          <t>WR-BELT-MENS-35MM-BLACK-32</t>
        </is>
      </c>
      <c r="D1720" t="inlineStr">
        <is>
          <t>Belts</t>
        </is>
      </c>
      <c r="E1720" t="inlineStr">
        <is>
          <t>Wrangler</t>
        </is>
      </c>
      <c r="F1720" t="inlineStr">
        <is>
          <t>Belts</t>
        </is>
      </c>
      <c r="G1720" s="48" t="n">
        <v>0</v>
      </c>
      <c r="H1720" s="49" t="n">
        <v>0</v>
      </c>
      <c r="I1720" s="49" t="n">
        <v>0</v>
      </c>
      <c r="J1720" s="50" t="n">
        <v>0</v>
      </c>
      <c r="K1720" s="51" t="n">
        <v>0</v>
      </c>
      <c r="L1720" s="52" t="n">
        <v>0</v>
      </c>
      <c r="M1720" s="52" t="n">
        <v>0</v>
      </c>
      <c r="N1720" s="52" t="n">
        <v>0</v>
      </c>
      <c r="O1720" s="53" t="n">
        <v>0</v>
      </c>
      <c r="P1720" s="52" t="n">
        <v>0</v>
      </c>
      <c r="Q1720" s="53" t="n">
        <v>0</v>
      </c>
      <c r="R1720" s="52" t="n">
        <v>0</v>
      </c>
      <c r="S1720" s="51" t="n">
        <v>0</v>
      </c>
      <c r="T1720" s="48" t="n">
        <v>0</v>
      </c>
      <c r="U1720" s="49" t="n">
        <v>0</v>
      </c>
      <c r="V1720" s="49" t="n">
        <v>0</v>
      </c>
      <c r="W1720" s="50" t="n">
        <v>0</v>
      </c>
      <c r="X1720" s="51" t="n">
        <v>0</v>
      </c>
      <c r="Y1720" s="52" t="n">
        <v>0</v>
      </c>
      <c r="Z1720" s="52" t="n">
        <v>0</v>
      </c>
      <c r="AA1720" s="52" t="n">
        <v>0</v>
      </c>
      <c r="AB1720" s="53" t="n">
        <v>0</v>
      </c>
      <c r="AC1720" s="52" t="n">
        <v>0</v>
      </c>
      <c r="AD1720" s="53" t="n">
        <v>0</v>
      </c>
      <c r="AE1720" s="52" t="n">
        <v>0</v>
      </c>
      <c r="AF1720" s="51" t="n">
        <v>0</v>
      </c>
      <c r="AG1720" s="48" t="n">
        <v>0</v>
      </c>
      <c r="AH1720" s="49" t="n">
        <v>0</v>
      </c>
      <c r="AI1720" s="49" t="n">
        <v>0</v>
      </c>
      <c r="AJ1720" s="50" t="n">
        <v>0</v>
      </c>
      <c r="AK1720" s="51" t="n">
        <v>0</v>
      </c>
      <c r="AL1720" s="52" t="n">
        <v>0</v>
      </c>
      <c r="AM1720" s="52" t="n">
        <v>0</v>
      </c>
      <c r="AN1720" s="52" t="n">
        <v>0</v>
      </c>
      <c r="AO1720" s="53" t="n">
        <v>0</v>
      </c>
      <c r="AP1720" s="52" t="n">
        <v>0</v>
      </c>
      <c r="AQ1720" s="53" t="n">
        <v>0</v>
      </c>
      <c r="AR1720" s="52" t="n">
        <v>0</v>
      </c>
      <c r="AS1720" s="51" t="n">
        <v>0</v>
      </c>
      <c r="AT1720" s="48" t="n">
        <v>0</v>
      </c>
      <c r="AU1720" s="49" t="n">
        <v>0</v>
      </c>
      <c r="AV1720" s="49" t="n">
        <v>0</v>
      </c>
      <c r="AW1720" s="50" t="n">
        <v>0</v>
      </c>
      <c r="AX1720" s="51" t="n">
        <v>0</v>
      </c>
      <c r="AY1720" s="52" t="n">
        <v>0</v>
      </c>
      <c r="AZ1720" s="52" t="n">
        <v>0</v>
      </c>
      <c r="BA1720" s="52" t="n">
        <v>0</v>
      </c>
      <c r="BB1720" s="53" t="n">
        <v>0</v>
      </c>
      <c r="BC1720" s="52" t="n">
        <v>0</v>
      </c>
      <c r="BD1720" s="53" t="n">
        <v>0</v>
      </c>
      <c r="BE1720" s="52" t="n">
        <v>0</v>
      </c>
      <c r="BF1720" s="51" t="n">
        <v>0</v>
      </c>
    </row>
    <row r="1721">
      <c r="A1721">
        <f>HYPERLINK("https://www.walmart.com/ip/10298018191", "10298018191")</f>
        <v/>
      </c>
      <c r="B1721" t="inlineStr">
        <is>
          <t>Wrangler Men’s Leather Country Casual Every Day Dress Belt for Jeans, Khakis Black 36</t>
        </is>
      </c>
      <c r="C1721" t="inlineStr">
        <is>
          <t>WR-BELT-MENS-COUNTRY-BLACK-36</t>
        </is>
      </c>
      <c r="D1721" t="inlineStr">
        <is>
          <t>Belts</t>
        </is>
      </c>
      <c r="E1721" t="inlineStr">
        <is>
          <t>Wrangler</t>
        </is>
      </c>
      <c r="F1721" t="inlineStr">
        <is>
          <t>Belts</t>
        </is>
      </c>
      <c r="G1721" s="48" t="n">
        <v>0</v>
      </c>
      <c r="H1721" s="49" t="n">
        <v>0</v>
      </c>
      <c r="I1721" s="49" t="n">
        <v>0</v>
      </c>
      <c r="J1721" s="50" t="n">
        <v>0</v>
      </c>
      <c r="K1721" s="51" t="n">
        <v>0</v>
      </c>
      <c r="L1721" s="52" t="n">
        <v>0</v>
      </c>
      <c r="M1721" s="52" t="n">
        <v>0</v>
      </c>
      <c r="N1721" s="52" t="n">
        <v>0</v>
      </c>
      <c r="O1721" s="53" t="n">
        <v>0</v>
      </c>
      <c r="P1721" s="52" t="n">
        <v>0</v>
      </c>
      <c r="Q1721" s="53" t="n">
        <v>0</v>
      </c>
      <c r="R1721" s="52" t="n">
        <v>0</v>
      </c>
      <c r="S1721" s="51" t="n">
        <v>0</v>
      </c>
      <c r="T1721" s="48" t="n">
        <v>19.99</v>
      </c>
      <c r="U1721" s="49" t="n">
        <v>1</v>
      </c>
      <c r="V1721" s="49" t="n">
        <v>0</v>
      </c>
      <c r="W1721" s="50" t="n">
        <v>0</v>
      </c>
      <c r="X1721" s="51" t="n">
        <v>0</v>
      </c>
      <c r="Y1721" s="52" t="n">
        <v>0</v>
      </c>
      <c r="Z1721" s="52" t="n">
        <v>0</v>
      </c>
      <c r="AA1721" s="52" t="n">
        <v>0</v>
      </c>
      <c r="AB1721" s="53" t="n">
        <v>0</v>
      </c>
      <c r="AC1721" s="52" t="n">
        <v>0</v>
      </c>
      <c r="AD1721" s="53" t="n">
        <v>0</v>
      </c>
      <c r="AE1721" s="52" t="n">
        <v>19.99</v>
      </c>
      <c r="AF1721" s="51" t="n">
        <v>0</v>
      </c>
      <c r="AG1721" s="48" t="n">
        <v>19.99</v>
      </c>
      <c r="AH1721" s="49" t="n">
        <v>1</v>
      </c>
      <c r="AI1721" s="49" t="n">
        <v>3</v>
      </c>
      <c r="AJ1721" s="50" t="n">
        <v>0.3333333333333333</v>
      </c>
      <c r="AK1721" s="51" t="n">
        <v>0</v>
      </c>
      <c r="AL1721" s="52" t="n">
        <v>0</v>
      </c>
      <c r="AM1721" s="52" t="n">
        <v>0</v>
      </c>
      <c r="AN1721" s="52" t="n">
        <v>0</v>
      </c>
      <c r="AO1721" s="53" t="n">
        <v>0</v>
      </c>
      <c r="AP1721" s="52" t="n">
        <v>0</v>
      </c>
      <c r="AQ1721" s="53" t="n">
        <v>0</v>
      </c>
      <c r="AR1721" s="52" t="n">
        <v>19.99</v>
      </c>
      <c r="AS1721" s="51" t="n">
        <v>0</v>
      </c>
      <c r="AT1721" s="48" t="n">
        <v>39.98</v>
      </c>
      <c r="AU1721" s="49" t="n">
        <v>2</v>
      </c>
      <c r="AV1721" s="49" t="n">
        <v>0</v>
      </c>
      <c r="AW1721" s="50" t="n">
        <v>0</v>
      </c>
      <c r="AX1721" s="51" t="n">
        <v>0</v>
      </c>
      <c r="AY1721" s="52" t="n">
        <v>0</v>
      </c>
      <c r="AZ1721" s="52" t="n">
        <v>0</v>
      </c>
      <c r="BA1721" s="52" t="n">
        <v>0</v>
      </c>
      <c r="BB1721" s="53" t="n">
        <v>0</v>
      </c>
      <c r="BC1721" s="52" t="n">
        <v>0</v>
      </c>
      <c r="BD1721" s="53" t="n">
        <v>0</v>
      </c>
      <c r="BE1721" s="52" t="n">
        <v>19.99</v>
      </c>
      <c r="BF1721" s="51" t="n">
        <v>0</v>
      </c>
    </row>
    <row r="1722">
      <c r="A1722">
        <f>HYPERLINK("https://www.walmart.com/ip/10298970251", "10298970251")</f>
        <v/>
      </c>
      <c r="B1722" t="inlineStr">
        <is>
          <t>Wrangler Men’s Full Grain Genuine Leather 35mm Thick Casual Belt for Jeans, Pants - Light Brown, 32</t>
        </is>
      </c>
      <c r="C1722" t="inlineStr">
        <is>
          <t>WR-BELT-MENS-35MM-LTBROWN-32</t>
        </is>
      </c>
      <c r="D1722" t="inlineStr">
        <is>
          <t>Belts</t>
        </is>
      </c>
      <c r="E1722" t="inlineStr">
        <is>
          <t>Wrangler</t>
        </is>
      </c>
      <c r="F1722" t="inlineStr">
        <is>
          <t>Belts</t>
        </is>
      </c>
      <c r="G1722" s="48" t="n">
        <v>0</v>
      </c>
      <c r="H1722" s="49" t="n">
        <v>0</v>
      </c>
      <c r="I1722" s="49" t="n">
        <v>0</v>
      </c>
      <c r="J1722" s="50" t="n">
        <v>0</v>
      </c>
      <c r="K1722" s="51" t="n">
        <v>0</v>
      </c>
      <c r="L1722" s="52" t="n">
        <v>0</v>
      </c>
      <c r="M1722" s="52" t="n">
        <v>0</v>
      </c>
      <c r="N1722" s="52" t="n">
        <v>0</v>
      </c>
      <c r="O1722" s="53" t="n">
        <v>0</v>
      </c>
      <c r="P1722" s="52" t="n">
        <v>0</v>
      </c>
      <c r="Q1722" s="53" t="n">
        <v>0</v>
      </c>
      <c r="R1722" s="52" t="n">
        <v>0</v>
      </c>
      <c r="S1722" s="51" t="n">
        <v>0</v>
      </c>
      <c r="T1722" s="48" t="n">
        <v>0</v>
      </c>
      <c r="U1722" s="49" t="n">
        <v>0</v>
      </c>
      <c r="V1722" s="49" t="n">
        <v>0</v>
      </c>
      <c r="W1722" s="50" t="n">
        <v>0</v>
      </c>
      <c r="X1722" s="51" t="n">
        <v>0</v>
      </c>
      <c r="Y1722" s="52" t="n">
        <v>0</v>
      </c>
      <c r="Z1722" s="52" t="n">
        <v>0</v>
      </c>
      <c r="AA1722" s="52" t="n">
        <v>0</v>
      </c>
      <c r="AB1722" s="53" t="n">
        <v>0</v>
      </c>
      <c r="AC1722" s="52" t="n">
        <v>0</v>
      </c>
      <c r="AD1722" s="53" t="n">
        <v>0</v>
      </c>
      <c r="AE1722" s="52" t="n">
        <v>0</v>
      </c>
      <c r="AF1722" s="51" t="n">
        <v>0</v>
      </c>
      <c r="AG1722" s="48" t="n">
        <v>0</v>
      </c>
      <c r="AH1722" s="49" t="n">
        <v>0</v>
      </c>
      <c r="AI1722" s="49" t="n">
        <v>0</v>
      </c>
      <c r="AJ1722" s="50" t="n">
        <v>0</v>
      </c>
      <c r="AK1722" s="51" t="n">
        <v>0</v>
      </c>
      <c r="AL1722" s="52" t="n">
        <v>0</v>
      </c>
      <c r="AM1722" s="52" t="n">
        <v>0</v>
      </c>
      <c r="AN1722" s="52" t="n">
        <v>0</v>
      </c>
      <c r="AO1722" s="53" t="n">
        <v>0</v>
      </c>
      <c r="AP1722" s="52" t="n">
        <v>0</v>
      </c>
      <c r="AQ1722" s="53" t="n">
        <v>0</v>
      </c>
      <c r="AR1722" s="52" t="n">
        <v>0</v>
      </c>
      <c r="AS1722" s="51" t="n">
        <v>0</v>
      </c>
      <c r="AT1722" s="48" t="n">
        <v>0</v>
      </c>
      <c r="AU1722" s="49" t="n">
        <v>0</v>
      </c>
      <c r="AV1722" s="49" t="n">
        <v>0</v>
      </c>
      <c r="AW1722" s="50" t="n">
        <v>0</v>
      </c>
      <c r="AX1722" s="51" t="n">
        <v>0</v>
      </c>
      <c r="AY1722" s="52" t="n">
        <v>0</v>
      </c>
      <c r="AZ1722" s="52" t="n">
        <v>0</v>
      </c>
      <c r="BA1722" s="52" t="n">
        <v>0</v>
      </c>
      <c r="BB1722" s="53" t="n">
        <v>0</v>
      </c>
      <c r="BC1722" s="52" t="n">
        <v>0</v>
      </c>
      <c r="BD1722" s="53" t="n">
        <v>0</v>
      </c>
      <c r="BE1722" s="52" t="n">
        <v>0</v>
      </c>
      <c r="BF1722" s="51" t="n">
        <v>0</v>
      </c>
    </row>
    <row r="1723">
      <c r="A1723">
        <f>HYPERLINK("https://www.walmart.com/ip/107895894", "107895894")</f>
        <v/>
      </c>
      <c r="B1723" t="inlineStr">
        <is>
          <t>JenniWears White Sheer Sexy Ladies Panty-hose Stockings Lingeries Socks Wife Girlfriend Female Freidn Gift</t>
        </is>
      </c>
      <c r="C1723" t="inlineStr">
        <is>
          <t>JWBLSPH2015</t>
        </is>
      </c>
      <c r="D1723" t="inlineStr">
        <is>
          <t>Teddies &amp; Bodystockings</t>
        </is>
      </c>
      <c r="E1723" t="inlineStr">
        <is>
          <t>JenniWears</t>
        </is>
      </c>
      <c r="F1723" t="inlineStr">
        <is>
          <t>Valentine</t>
        </is>
      </c>
      <c r="G1723" s="48" t="n">
        <v>0</v>
      </c>
      <c r="H1723" s="49" t="n">
        <v>0</v>
      </c>
      <c r="I1723" s="49" t="n">
        <v>0</v>
      </c>
      <c r="J1723" s="50" t="n">
        <v>0</v>
      </c>
      <c r="K1723" s="51" t="n">
        <v>0</v>
      </c>
      <c r="L1723" s="52" t="n">
        <v>0</v>
      </c>
      <c r="M1723" s="52" t="n">
        <v>0</v>
      </c>
      <c r="N1723" s="52" t="n">
        <v>0</v>
      </c>
      <c r="O1723" s="53" t="n">
        <v>0</v>
      </c>
      <c r="P1723" s="52" t="n">
        <v>0</v>
      </c>
      <c r="Q1723" s="53" t="n">
        <v>0</v>
      </c>
      <c r="R1723" s="52" t="n">
        <v>0</v>
      </c>
      <c r="S1723" s="51" t="n">
        <v>0</v>
      </c>
      <c r="T1723" s="48" t="n">
        <v>0</v>
      </c>
      <c r="U1723" s="49" t="n">
        <v>0</v>
      </c>
      <c r="V1723" s="49" t="n">
        <v>0</v>
      </c>
      <c r="W1723" s="50" t="n">
        <v>0</v>
      </c>
      <c r="X1723" s="51" t="n">
        <v>0</v>
      </c>
      <c r="Y1723" s="52" t="n">
        <v>0</v>
      </c>
      <c r="Z1723" s="52" t="n">
        <v>0</v>
      </c>
      <c r="AA1723" s="52" t="n">
        <v>0</v>
      </c>
      <c r="AB1723" s="53" t="n">
        <v>0</v>
      </c>
      <c r="AC1723" s="52" t="n">
        <v>0</v>
      </c>
      <c r="AD1723" s="53" t="n">
        <v>0</v>
      </c>
      <c r="AE1723" s="52" t="n">
        <v>0</v>
      </c>
      <c r="AF1723" s="51" t="n">
        <v>0</v>
      </c>
      <c r="AG1723" s="48" t="n">
        <v>0</v>
      </c>
      <c r="AH1723" s="49" t="n">
        <v>0</v>
      </c>
      <c r="AI1723" s="49" t="n">
        <v>0</v>
      </c>
      <c r="AJ1723" s="50" t="n">
        <v>0</v>
      </c>
      <c r="AK1723" s="51" t="n">
        <v>0</v>
      </c>
      <c r="AL1723" s="52" t="n">
        <v>0</v>
      </c>
      <c r="AM1723" s="52" t="n">
        <v>0</v>
      </c>
      <c r="AN1723" s="52" t="n">
        <v>0</v>
      </c>
      <c r="AO1723" s="53" t="n">
        <v>0</v>
      </c>
      <c r="AP1723" s="52" t="n">
        <v>0</v>
      </c>
      <c r="AQ1723" s="53" t="n">
        <v>0</v>
      </c>
      <c r="AR1723" s="52" t="n">
        <v>0</v>
      </c>
      <c r="AS1723" s="51" t="n">
        <v>0</v>
      </c>
      <c r="AT1723" s="48" t="n">
        <v>0</v>
      </c>
      <c r="AU1723" s="49" t="n">
        <v>0</v>
      </c>
      <c r="AV1723" s="49" t="n">
        <v>0</v>
      </c>
      <c r="AW1723" s="50" t="n">
        <v>0</v>
      </c>
      <c r="AX1723" s="51" t="n">
        <v>0</v>
      </c>
      <c r="AY1723" s="52" t="n">
        <v>0</v>
      </c>
      <c r="AZ1723" s="52" t="n">
        <v>0</v>
      </c>
      <c r="BA1723" s="52" t="n">
        <v>0</v>
      </c>
      <c r="BB1723" s="53" t="n">
        <v>0</v>
      </c>
      <c r="BC1723" s="52" t="n">
        <v>0</v>
      </c>
      <c r="BD1723" s="53" t="n">
        <v>0</v>
      </c>
      <c r="BE1723" s="52" t="n">
        <v>0</v>
      </c>
      <c r="BF1723" s="51" t="n">
        <v>0</v>
      </c>
    </row>
    <row r="1724">
      <c r="A1724">
        <f>HYPERLINK("https://www.walmart.com/ip/104042040", "104042040")</f>
        <v/>
      </c>
      <c r="B1724" t="inlineStr">
        <is>
          <t>KritterWorld® Soft-sided Pet Carrier-pet Carriers Airline Approved with Foldable and Washable</t>
        </is>
      </c>
      <c r="C1724" t="inlineStr">
        <is>
          <t>KWpetbag04GNFL</t>
        </is>
      </c>
      <c r="D1724" t="inlineStr">
        <is>
          <t>Pet Carriers</t>
        </is>
      </c>
      <c r="E1724" t="inlineStr">
        <is>
          <t>KritterWorld</t>
        </is>
      </c>
      <c r="G1724" s="48" t="n">
        <v>0</v>
      </c>
      <c r="H1724" s="49" t="n">
        <v>0</v>
      </c>
      <c r="I1724" s="49" t="n">
        <v>0</v>
      </c>
      <c r="J1724" s="50" t="n">
        <v>0</v>
      </c>
      <c r="K1724" s="51" t="n">
        <v>0</v>
      </c>
      <c r="L1724" s="52" t="n">
        <v>0</v>
      </c>
      <c r="M1724" s="52" t="n">
        <v>0</v>
      </c>
      <c r="N1724" s="52" t="n">
        <v>0</v>
      </c>
      <c r="O1724" s="53" t="n">
        <v>0</v>
      </c>
      <c r="P1724" s="52" t="n">
        <v>0</v>
      </c>
      <c r="Q1724" s="53" t="n">
        <v>0</v>
      </c>
      <c r="R1724" s="52" t="n">
        <v>0</v>
      </c>
      <c r="S1724" s="51" t="n">
        <v>0</v>
      </c>
      <c r="T1724" s="48" t="n">
        <v>0</v>
      </c>
      <c r="U1724" s="49" t="n">
        <v>0</v>
      </c>
      <c r="V1724" s="49" t="n">
        <v>0</v>
      </c>
      <c r="W1724" s="50" t="n">
        <v>0</v>
      </c>
      <c r="X1724" s="51" t="n">
        <v>0</v>
      </c>
      <c r="Y1724" s="52" t="n">
        <v>0</v>
      </c>
      <c r="Z1724" s="52" t="n">
        <v>0</v>
      </c>
      <c r="AA1724" s="52" t="n">
        <v>0</v>
      </c>
      <c r="AB1724" s="53" t="n">
        <v>0</v>
      </c>
      <c r="AC1724" s="52" t="n">
        <v>0</v>
      </c>
      <c r="AD1724" s="53" t="n">
        <v>0</v>
      </c>
      <c r="AE1724" s="52" t="n">
        <v>0</v>
      </c>
      <c r="AF1724" s="51" t="n">
        <v>0</v>
      </c>
      <c r="AG1724" s="48" t="n">
        <v>0</v>
      </c>
      <c r="AH1724" s="49" t="n">
        <v>0</v>
      </c>
      <c r="AI1724" s="49" t="n">
        <v>0</v>
      </c>
      <c r="AJ1724" s="50" t="n">
        <v>0</v>
      </c>
      <c r="AK1724" s="51" t="n">
        <v>0</v>
      </c>
      <c r="AL1724" s="52" t="n">
        <v>0</v>
      </c>
      <c r="AM1724" s="52" t="n">
        <v>0</v>
      </c>
      <c r="AN1724" s="52" t="n">
        <v>0</v>
      </c>
      <c r="AO1724" s="53" t="n">
        <v>0</v>
      </c>
      <c r="AP1724" s="52" t="n">
        <v>0</v>
      </c>
      <c r="AQ1724" s="53" t="n">
        <v>0</v>
      </c>
      <c r="AR1724" s="52" t="n">
        <v>0</v>
      </c>
      <c r="AS1724" s="51" t="n">
        <v>0</v>
      </c>
      <c r="AT1724" s="48" t="n">
        <v>0</v>
      </c>
      <c r="AU1724" s="49" t="n">
        <v>0</v>
      </c>
      <c r="AV1724" s="49" t="n">
        <v>0</v>
      </c>
      <c r="AW1724" s="50" t="n">
        <v>0</v>
      </c>
      <c r="AX1724" s="51" t="n">
        <v>0</v>
      </c>
      <c r="AY1724" s="52" t="n">
        <v>0</v>
      </c>
      <c r="AZ1724" s="52" t="n">
        <v>0</v>
      </c>
      <c r="BA1724" s="52" t="n">
        <v>0</v>
      </c>
      <c r="BB1724" s="53" t="n">
        <v>0</v>
      </c>
      <c r="BC1724" s="52" t="n">
        <v>0</v>
      </c>
      <c r="BD1724" s="53" t="n">
        <v>0</v>
      </c>
      <c r="BE1724" s="52" t="n">
        <v>0</v>
      </c>
      <c r="BF1724" s="51" t="n">
        <v>0</v>
      </c>
    </row>
    <row r="1725">
      <c r="A1725">
        <f>HYPERLINK("https://www.walmart.com/ip/1041777296", "1041777296")</f>
        <v/>
      </c>
      <c r="B1725" t="inlineStr">
        <is>
          <t>Catalonia Wearable TV Blanket with Sleeves Arms Micro Plush Fleece Wrap Throw Robe 73 x 51”</t>
        </is>
      </c>
      <c r="C1725" t="inlineStr">
        <is>
          <t>1CTSN150BK</t>
        </is>
      </c>
      <c r="D1725" t="inlineStr">
        <is>
          <t>Throws</t>
        </is>
      </c>
      <c r="E1725" t="inlineStr">
        <is>
          <t>Catalonia</t>
        </is>
      </c>
      <c r="F1725" t="inlineStr">
        <is>
          <t>Batch 1 - TR</t>
        </is>
      </c>
      <c r="G1725" s="48" t="n">
        <v>0</v>
      </c>
      <c r="H1725" s="49" t="n">
        <v>0</v>
      </c>
      <c r="I1725" s="49" t="n">
        <v>0</v>
      </c>
      <c r="J1725" s="50" t="n">
        <v>0</v>
      </c>
      <c r="K1725" s="51" t="n">
        <v>0</v>
      </c>
      <c r="L1725" s="52" t="n">
        <v>0</v>
      </c>
      <c r="M1725" s="52" t="n">
        <v>0</v>
      </c>
      <c r="N1725" s="52" t="n">
        <v>0</v>
      </c>
      <c r="O1725" s="53" t="n">
        <v>0</v>
      </c>
      <c r="P1725" s="52" t="n">
        <v>0</v>
      </c>
      <c r="Q1725" s="53" t="n">
        <v>0</v>
      </c>
      <c r="R1725" s="52" t="n">
        <v>0</v>
      </c>
      <c r="S1725" s="51" t="n">
        <v>0</v>
      </c>
      <c r="T1725" s="48" t="n">
        <v>0</v>
      </c>
      <c r="U1725" s="49" t="n">
        <v>0</v>
      </c>
      <c r="V1725" s="49" t="n">
        <v>0</v>
      </c>
      <c r="W1725" s="50" t="n">
        <v>0</v>
      </c>
      <c r="X1725" s="51" t="n">
        <v>0</v>
      </c>
      <c r="Y1725" s="52" t="n">
        <v>0</v>
      </c>
      <c r="Z1725" s="52" t="n">
        <v>0</v>
      </c>
      <c r="AA1725" s="52" t="n">
        <v>0</v>
      </c>
      <c r="AB1725" s="53" t="n">
        <v>0</v>
      </c>
      <c r="AC1725" s="52" t="n">
        <v>0</v>
      </c>
      <c r="AD1725" s="53" t="n">
        <v>0</v>
      </c>
      <c r="AE1725" s="52" t="n">
        <v>0</v>
      </c>
      <c r="AF1725" s="51" t="n">
        <v>0</v>
      </c>
      <c r="AG1725" s="48" t="n">
        <v>0</v>
      </c>
      <c r="AH1725" s="49" t="n">
        <v>0</v>
      </c>
      <c r="AI1725" s="49" t="n">
        <v>0</v>
      </c>
      <c r="AJ1725" s="50" t="n">
        <v>0</v>
      </c>
      <c r="AK1725" s="51" t="n">
        <v>0</v>
      </c>
      <c r="AL1725" s="52" t="n">
        <v>0</v>
      </c>
      <c r="AM1725" s="52" t="n">
        <v>0</v>
      </c>
      <c r="AN1725" s="52" t="n">
        <v>0</v>
      </c>
      <c r="AO1725" s="53" t="n">
        <v>0</v>
      </c>
      <c r="AP1725" s="52" t="n">
        <v>0</v>
      </c>
      <c r="AQ1725" s="53" t="n">
        <v>0</v>
      </c>
      <c r="AR1725" s="52" t="n">
        <v>0</v>
      </c>
      <c r="AS1725" s="51" t="n">
        <v>0</v>
      </c>
      <c r="AT1725" s="48" t="n">
        <v>0</v>
      </c>
      <c r="AU1725" s="49" t="n">
        <v>0</v>
      </c>
      <c r="AV1725" s="49" t="n">
        <v>0</v>
      </c>
      <c r="AW1725" s="50" t="n">
        <v>0</v>
      </c>
      <c r="AX1725" s="51" t="n">
        <v>0</v>
      </c>
      <c r="AY1725" s="52" t="n">
        <v>0</v>
      </c>
      <c r="AZ1725" s="52" t="n">
        <v>0</v>
      </c>
      <c r="BA1725" s="52" t="n">
        <v>0</v>
      </c>
      <c r="BB1725" s="53" t="n">
        <v>0</v>
      </c>
      <c r="BC1725" s="52" t="n">
        <v>0</v>
      </c>
      <c r="BD1725" s="53" t="n">
        <v>0</v>
      </c>
      <c r="BE1725" s="52" t="n">
        <v>0</v>
      </c>
      <c r="BF1725" s="51" t="n">
        <v>0</v>
      </c>
    </row>
    <row r="1726">
      <c r="A1726">
        <f>HYPERLINK("https://www.walmart.com/ip/1042512843", "1042512843")</f>
        <v/>
      </c>
      <c r="B1726" t="inlineStr">
        <is>
          <t>Every Day is Christmas Glass Blown Ornaments 2022 Cute Hand Made Figurines Tree Decoration - 13.7cm glass trumpet and 11.9cm glass saxophone ornament</t>
        </is>
      </c>
      <c r="C1726" t="inlineStr">
        <is>
          <t>EDC-FIGURINE-BULLDOZER</t>
        </is>
      </c>
      <c r="D1726" t="inlineStr">
        <is>
          <t>Ornaments</t>
        </is>
      </c>
      <c r="E1726" t="inlineStr">
        <is>
          <t>Every Day is Christmas</t>
        </is>
      </c>
      <c r="G1726" s="48" t="n">
        <v>0</v>
      </c>
      <c r="H1726" s="49" t="n">
        <v>0</v>
      </c>
      <c r="I1726" s="49" t="n">
        <v>0</v>
      </c>
      <c r="J1726" s="50" t="n">
        <v>0</v>
      </c>
      <c r="K1726" s="51" t="n">
        <v>0</v>
      </c>
      <c r="L1726" s="52" t="n">
        <v>0</v>
      </c>
      <c r="M1726" s="52" t="n">
        <v>0</v>
      </c>
      <c r="N1726" s="52" t="n">
        <v>0</v>
      </c>
      <c r="O1726" s="53" t="n">
        <v>0</v>
      </c>
      <c r="P1726" s="52" t="n">
        <v>0</v>
      </c>
      <c r="Q1726" s="53" t="n">
        <v>0</v>
      </c>
      <c r="R1726" s="52" t="n">
        <v>0</v>
      </c>
      <c r="S1726" s="51" t="n">
        <v>0</v>
      </c>
      <c r="T1726" s="48" t="n">
        <v>0</v>
      </c>
      <c r="U1726" s="49" t="n">
        <v>0</v>
      </c>
      <c r="V1726" s="49" t="n">
        <v>0</v>
      </c>
      <c r="W1726" s="50" t="n">
        <v>0</v>
      </c>
      <c r="X1726" s="51" t="n">
        <v>0</v>
      </c>
      <c r="Y1726" s="52" t="n">
        <v>0</v>
      </c>
      <c r="Z1726" s="52" t="n">
        <v>0</v>
      </c>
      <c r="AA1726" s="52" t="n">
        <v>0</v>
      </c>
      <c r="AB1726" s="53" t="n">
        <v>0</v>
      </c>
      <c r="AC1726" s="52" t="n">
        <v>0</v>
      </c>
      <c r="AD1726" s="53" t="n">
        <v>0</v>
      </c>
      <c r="AE1726" s="52" t="n">
        <v>0</v>
      </c>
      <c r="AF1726" s="51" t="n">
        <v>0</v>
      </c>
      <c r="AG1726" s="48" t="n">
        <v>0</v>
      </c>
      <c r="AH1726" s="49" t="n">
        <v>0</v>
      </c>
      <c r="AI1726" s="49" t="n">
        <v>0</v>
      </c>
      <c r="AJ1726" s="50" t="n">
        <v>0</v>
      </c>
      <c r="AK1726" s="51" t="n">
        <v>0</v>
      </c>
      <c r="AL1726" s="52" t="n">
        <v>0</v>
      </c>
      <c r="AM1726" s="52" t="n">
        <v>0</v>
      </c>
      <c r="AN1726" s="52" t="n">
        <v>0</v>
      </c>
      <c r="AO1726" s="53" t="n">
        <v>0</v>
      </c>
      <c r="AP1726" s="52" t="n">
        <v>0</v>
      </c>
      <c r="AQ1726" s="53" t="n">
        <v>0</v>
      </c>
      <c r="AR1726" s="52" t="n">
        <v>0</v>
      </c>
      <c r="AS1726" s="51" t="n">
        <v>0</v>
      </c>
      <c r="AT1726" s="48" t="n">
        <v>0</v>
      </c>
      <c r="AU1726" s="49" t="n">
        <v>0</v>
      </c>
      <c r="AV1726" s="49" t="n">
        <v>0</v>
      </c>
      <c r="AW1726" s="50" t="n">
        <v>0</v>
      </c>
      <c r="AX1726" s="51" t="n">
        <v>0</v>
      </c>
      <c r="AY1726" s="52" t="n">
        <v>0</v>
      </c>
      <c r="AZ1726" s="52" t="n">
        <v>0</v>
      </c>
      <c r="BA1726" s="52" t="n">
        <v>0</v>
      </c>
      <c r="BB1726" s="53" t="n">
        <v>0</v>
      </c>
      <c r="BC1726" s="52" t="n">
        <v>0</v>
      </c>
      <c r="BD1726" s="53" t="n">
        <v>0</v>
      </c>
      <c r="BE1726" s="52" t="n">
        <v>0</v>
      </c>
      <c r="BF1726" s="51" t="n">
        <v>0</v>
      </c>
    </row>
    <row r="1727">
      <c r="A1727">
        <f>HYPERLINK("https://www.walmart.com/ip/104256747", "104256747")</f>
        <v/>
      </c>
      <c r="B1727" t="inlineStr">
        <is>
          <t>Solaris Wide Brim Boonie Sun Protection Hat for Adult, Navy</t>
        </is>
      </c>
      <c r="C1727" t="inlineStr">
        <is>
          <t>1SLSH895NV</t>
        </is>
      </c>
      <c r="D1727" t="inlineStr">
        <is>
          <t>Hats</t>
        </is>
      </c>
      <c r="E1727" t="inlineStr">
        <is>
          <t>Solaris</t>
        </is>
      </c>
      <c r="F1727" t="inlineStr">
        <is>
          <t>Optimized</t>
        </is>
      </c>
      <c r="G1727" s="48" t="n">
        <v>0</v>
      </c>
      <c r="H1727" s="49" t="n">
        <v>0</v>
      </c>
      <c r="I1727" s="49" t="n">
        <v>0</v>
      </c>
      <c r="J1727" s="50" t="n">
        <v>0</v>
      </c>
      <c r="K1727" s="51" t="n">
        <v>0</v>
      </c>
      <c r="L1727" s="52" t="n">
        <v>0</v>
      </c>
      <c r="M1727" s="52" t="n">
        <v>0</v>
      </c>
      <c r="N1727" s="52" t="n">
        <v>0</v>
      </c>
      <c r="O1727" s="53" t="n">
        <v>0</v>
      </c>
      <c r="P1727" s="52" t="n">
        <v>0</v>
      </c>
      <c r="Q1727" s="53" t="n">
        <v>0</v>
      </c>
      <c r="R1727" s="52" t="n">
        <v>0</v>
      </c>
      <c r="S1727" s="51" t="n">
        <v>0</v>
      </c>
      <c r="T1727" s="48" t="n">
        <v>9.99</v>
      </c>
      <c r="U1727" s="49" t="n">
        <v>1</v>
      </c>
      <c r="V1727" s="49" t="n">
        <v>0</v>
      </c>
      <c r="W1727" s="50" t="n">
        <v>0</v>
      </c>
      <c r="X1727" s="51" t="n">
        <v>0</v>
      </c>
      <c r="Y1727" s="52" t="n">
        <v>0</v>
      </c>
      <c r="Z1727" s="52" t="n">
        <v>0</v>
      </c>
      <c r="AA1727" s="52" t="n">
        <v>0</v>
      </c>
      <c r="AB1727" s="53" t="n">
        <v>0</v>
      </c>
      <c r="AC1727" s="52" t="n">
        <v>0</v>
      </c>
      <c r="AD1727" s="53" t="n">
        <v>0</v>
      </c>
      <c r="AE1727" s="52" t="n">
        <v>9.99</v>
      </c>
      <c r="AF1727" s="51" t="n">
        <v>0</v>
      </c>
      <c r="AG1727" s="48" t="n">
        <v>0</v>
      </c>
      <c r="AH1727" s="49" t="n">
        <v>0</v>
      </c>
      <c r="AI1727" s="49" t="n">
        <v>0</v>
      </c>
      <c r="AJ1727" s="50" t="n">
        <v>0</v>
      </c>
      <c r="AK1727" s="51" t="n">
        <v>0</v>
      </c>
      <c r="AL1727" s="52" t="n">
        <v>0</v>
      </c>
      <c r="AM1727" s="52" t="n">
        <v>0</v>
      </c>
      <c r="AN1727" s="52" t="n">
        <v>0</v>
      </c>
      <c r="AO1727" s="53" t="n">
        <v>0</v>
      </c>
      <c r="AP1727" s="52" t="n">
        <v>0</v>
      </c>
      <c r="AQ1727" s="53" t="n">
        <v>0</v>
      </c>
      <c r="AR1727" s="52" t="n">
        <v>0</v>
      </c>
      <c r="AS1727" s="51" t="n">
        <v>0</v>
      </c>
      <c r="AT1727" s="48" t="n">
        <v>0</v>
      </c>
      <c r="AU1727" s="49" t="n">
        <v>0</v>
      </c>
      <c r="AV1727" s="49" t="n">
        <v>0</v>
      </c>
      <c r="AW1727" s="50" t="n">
        <v>0</v>
      </c>
      <c r="AX1727" s="51" t="n">
        <v>0</v>
      </c>
      <c r="AY1727" s="52" t="n">
        <v>0</v>
      </c>
      <c r="AZ1727" s="52" t="n">
        <v>0</v>
      </c>
      <c r="BA1727" s="52" t="n">
        <v>0</v>
      </c>
      <c r="BB1727" s="53" t="n">
        <v>0</v>
      </c>
      <c r="BC1727" s="52" t="n">
        <v>0</v>
      </c>
      <c r="BD1727" s="53" t="n">
        <v>0</v>
      </c>
      <c r="BE1727" s="52" t="n">
        <v>0</v>
      </c>
      <c r="BF1727" s="51" t="n">
        <v>0</v>
      </c>
    </row>
    <row r="1728">
      <c r="A1728">
        <f>HYPERLINK("https://www.walmart.com/ip/105096970", "105096970")</f>
        <v/>
      </c>
      <c r="B1728" t="inlineStr">
        <is>
          <t>Fashion Ladies Beileise Sexy Fishnet Crotchless Suspender Pantyhose Stockings Black - 3 Packs</t>
        </is>
      </c>
      <c r="C1728" t="inlineStr">
        <is>
          <t>JWBLSPH2029-3pcs</t>
        </is>
      </c>
      <c r="D1728" t="inlineStr">
        <is>
          <t>Pantyhose &amp; Tights</t>
        </is>
      </c>
      <c r="E1728" t="inlineStr">
        <is>
          <t>JenniWears</t>
        </is>
      </c>
      <c r="F1728" t="inlineStr">
        <is>
          <t>Optimized,WFS,Valentine,WFS Item</t>
        </is>
      </c>
      <c r="G1728" s="48" t="n">
        <v>0</v>
      </c>
      <c r="H1728" s="49" t="n">
        <v>0</v>
      </c>
      <c r="I1728" s="49" t="n">
        <v>0</v>
      </c>
      <c r="J1728" s="50" t="n">
        <v>0</v>
      </c>
      <c r="K1728" s="51" t="n">
        <v>0</v>
      </c>
      <c r="L1728" s="52" t="n">
        <v>0</v>
      </c>
      <c r="M1728" s="52" t="n">
        <v>0</v>
      </c>
      <c r="N1728" s="52" t="n">
        <v>0</v>
      </c>
      <c r="O1728" s="53" t="n">
        <v>0</v>
      </c>
      <c r="P1728" s="52" t="n">
        <v>0</v>
      </c>
      <c r="Q1728" s="53" t="n">
        <v>0</v>
      </c>
      <c r="R1728" s="52" t="n">
        <v>0</v>
      </c>
      <c r="S1728" s="51" t="n">
        <v>0</v>
      </c>
      <c r="T1728" s="48" t="n">
        <v>0</v>
      </c>
      <c r="U1728" s="49" t="n">
        <v>0</v>
      </c>
      <c r="V1728" s="49" t="n">
        <v>0</v>
      </c>
      <c r="W1728" s="50" t="n">
        <v>0</v>
      </c>
      <c r="X1728" s="51" t="n">
        <v>0</v>
      </c>
      <c r="Y1728" s="52" t="n">
        <v>0</v>
      </c>
      <c r="Z1728" s="52" t="n">
        <v>0</v>
      </c>
      <c r="AA1728" s="52" t="n">
        <v>0</v>
      </c>
      <c r="AB1728" s="53" t="n">
        <v>0</v>
      </c>
      <c r="AC1728" s="52" t="n">
        <v>0</v>
      </c>
      <c r="AD1728" s="53" t="n">
        <v>0</v>
      </c>
      <c r="AE1728" s="52" t="n">
        <v>0</v>
      </c>
      <c r="AF1728" s="51" t="n">
        <v>0</v>
      </c>
      <c r="AG1728" s="48" t="n">
        <v>0</v>
      </c>
      <c r="AH1728" s="49" t="n">
        <v>0</v>
      </c>
      <c r="AI1728" s="49" t="n">
        <v>0</v>
      </c>
      <c r="AJ1728" s="50" t="n">
        <v>0</v>
      </c>
      <c r="AK1728" s="51" t="n">
        <v>0</v>
      </c>
      <c r="AL1728" s="52" t="n">
        <v>0</v>
      </c>
      <c r="AM1728" s="52" t="n">
        <v>0</v>
      </c>
      <c r="AN1728" s="52" t="n">
        <v>0</v>
      </c>
      <c r="AO1728" s="53" t="n">
        <v>0</v>
      </c>
      <c r="AP1728" s="52" t="n">
        <v>0</v>
      </c>
      <c r="AQ1728" s="53" t="n">
        <v>0</v>
      </c>
      <c r="AR1728" s="52" t="n">
        <v>0</v>
      </c>
      <c r="AS1728" s="51" t="n">
        <v>0</v>
      </c>
      <c r="AT1728" s="48" t="n">
        <v>0</v>
      </c>
      <c r="AU1728" s="49" t="n">
        <v>0</v>
      </c>
      <c r="AV1728" s="49" t="n">
        <v>0</v>
      </c>
      <c r="AW1728" s="50" t="n">
        <v>0</v>
      </c>
      <c r="AX1728" s="51" t="n">
        <v>0</v>
      </c>
      <c r="AY1728" s="52" t="n">
        <v>0</v>
      </c>
      <c r="AZ1728" s="52" t="n">
        <v>0</v>
      </c>
      <c r="BA1728" s="52" t="n">
        <v>0</v>
      </c>
      <c r="BB1728" s="53" t="n">
        <v>0</v>
      </c>
      <c r="BC1728" s="52" t="n">
        <v>0</v>
      </c>
      <c r="BD1728" s="53" t="n">
        <v>0</v>
      </c>
      <c r="BE1728" s="52" t="n">
        <v>0</v>
      </c>
      <c r="BF1728" s="51" t="n">
        <v>0</v>
      </c>
    </row>
    <row r="1729">
      <c r="A1729">
        <f>HYPERLINK("https://www.walmart.com/ip/105112574", "105112574")</f>
        <v/>
      </c>
      <c r="B1729" t="inlineStr">
        <is>
          <t>Napa Plush Cashmere Throw Blanket Dark Grey, Twin 66"x90", Striped Reversible Velvet Luxury Fleece Warm Bed Couch Blanket, Super Soft and Cozy</t>
        </is>
      </c>
      <c r="C1729" t="inlineStr">
        <is>
          <t>K8030TW-DGY</t>
        </is>
      </c>
      <c r="D1729" t="inlineStr">
        <is>
          <t>Throws</t>
        </is>
      </c>
      <c r="E1729" t="inlineStr">
        <is>
          <t>NAPA</t>
        </is>
      </c>
      <c r="F1729" t="inlineStr">
        <is>
          <t>Optimized,cost-added</t>
        </is>
      </c>
      <c r="G1729" s="48" t="n">
        <v>0</v>
      </c>
      <c r="H1729" s="49" t="n">
        <v>0</v>
      </c>
      <c r="I1729" s="49" t="n">
        <v>0</v>
      </c>
      <c r="J1729" s="50" t="n">
        <v>0</v>
      </c>
      <c r="K1729" s="51" t="n">
        <v>0</v>
      </c>
      <c r="L1729" s="52" t="n">
        <v>0</v>
      </c>
      <c r="M1729" s="52" t="n">
        <v>0</v>
      </c>
      <c r="N1729" s="52" t="n">
        <v>0</v>
      </c>
      <c r="O1729" s="53" t="n">
        <v>0</v>
      </c>
      <c r="P1729" s="52" t="n">
        <v>0</v>
      </c>
      <c r="Q1729" s="53" t="n">
        <v>0</v>
      </c>
      <c r="R1729" s="52" t="n">
        <v>0</v>
      </c>
      <c r="S1729" s="51" t="n">
        <v>0</v>
      </c>
      <c r="T1729" s="48" t="n">
        <v>0</v>
      </c>
      <c r="U1729" s="49" t="n">
        <v>0</v>
      </c>
      <c r="V1729" s="49" t="n">
        <v>0</v>
      </c>
      <c r="W1729" s="50" t="n">
        <v>0</v>
      </c>
      <c r="X1729" s="51" t="n">
        <v>0</v>
      </c>
      <c r="Y1729" s="52" t="n">
        <v>0</v>
      </c>
      <c r="Z1729" s="52" t="n">
        <v>0</v>
      </c>
      <c r="AA1729" s="52" t="n">
        <v>0</v>
      </c>
      <c r="AB1729" s="53" t="n">
        <v>0</v>
      </c>
      <c r="AC1729" s="52" t="n">
        <v>0</v>
      </c>
      <c r="AD1729" s="53" t="n">
        <v>0</v>
      </c>
      <c r="AE1729" s="52" t="n">
        <v>0</v>
      </c>
      <c r="AF1729" s="51" t="n">
        <v>0</v>
      </c>
      <c r="AG1729" s="48" t="n">
        <v>0</v>
      </c>
      <c r="AH1729" s="49" t="n">
        <v>0</v>
      </c>
      <c r="AI1729" s="49" t="n">
        <v>0</v>
      </c>
      <c r="AJ1729" s="50" t="n">
        <v>0</v>
      </c>
      <c r="AK1729" s="51" t="n">
        <v>0</v>
      </c>
      <c r="AL1729" s="52" t="n">
        <v>0</v>
      </c>
      <c r="AM1729" s="52" t="n">
        <v>0</v>
      </c>
      <c r="AN1729" s="52" t="n">
        <v>0</v>
      </c>
      <c r="AO1729" s="53" t="n">
        <v>0</v>
      </c>
      <c r="AP1729" s="52" t="n">
        <v>0</v>
      </c>
      <c r="AQ1729" s="53" t="n">
        <v>0</v>
      </c>
      <c r="AR1729" s="52" t="n">
        <v>0</v>
      </c>
      <c r="AS1729" s="51" t="n">
        <v>0</v>
      </c>
      <c r="AT1729" s="48" t="n">
        <v>0</v>
      </c>
      <c r="AU1729" s="49" t="n">
        <v>0</v>
      </c>
      <c r="AV1729" s="49" t="n">
        <v>0</v>
      </c>
      <c r="AW1729" s="50" t="n">
        <v>0</v>
      </c>
      <c r="AX1729" s="51" t="n">
        <v>0</v>
      </c>
      <c r="AY1729" s="52" t="n">
        <v>0</v>
      </c>
      <c r="AZ1729" s="52" t="n">
        <v>0</v>
      </c>
      <c r="BA1729" s="52" t="n">
        <v>0</v>
      </c>
      <c r="BB1729" s="53" t="n">
        <v>0</v>
      </c>
      <c r="BC1729" s="52" t="n">
        <v>0</v>
      </c>
      <c r="BD1729" s="53" t="n">
        <v>0</v>
      </c>
      <c r="BE1729" s="52" t="n">
        <v>0</v>
      </c>
      <c r="BF1729" s="51" t="n">
        <v>0</v>
      </c>
    </row>
    <row r="1730">
      <c r="A1730">
        <f>HYPERLINK("https://www.walmart.com/ip/105129705", "105129705")</f>
        <v/>
      </c>
      <c r="B1730" t="inlineStr">
        <is>
          <t>Buffalo Plaid Sherpa Throw TV Blanket 50" x 60" Super Soft Reversible Fleece Blanket for Cabin Bed or Couch | Catalonia series by Tirrinia | Cabin Plaid Grey and Black Check</t>
        </is>
      </c>
      <c r="C1730" t="inlineStr">
        <is>
          <t>1TRBF300PBK-TBCB</t>
        </is>
      </c>
      <c r="D1730" t="inlineStr">
        <is>
          <t>Throws</t>
        </is>
      </c>
      <c r="E1730" t="inlineStr">
        <is>
          <t>Tirrinia</t>
        </is>
      </c>
      <c r="F1730" t="inlineStr">
        <is>
          <t>Q2-Target,WFS,Coupon_Discount,WFS Item,Fleece Blankets</t>
        </is>
      </c>
      <c r="G1730" s="48" t="n">
        <v>0</v>
      </c>
      <c r="H1730" s="49" t="n">
        <v>0</v>
      </c>
      <c r="I1730" s="49" t="n">
        <v>0</v>
      </c>
      <c r="J1730" s="50" t="n">
        <v>0</v>
      </c>
      <c r="K1730" s="51" t="n">
        <v>0</v>
      </c>
      <c r="L1730" s="52" t="n">
        <v>0</v>
      </c>
      <c r="M1730" s="52" t="n">
        <v>0</v>
      </c>
      <c r="N1730" s="52" t="n">
        <v>0</v>
      </c>
      <c r="O1730" s="53" t="n">
        <v>0</v>
      </c>
      <c r="P1730" s="52" t="n">
        <v>0</v>
      </c>
      <c r="Q1730" s="53" t="n">
        <v>0</v>
      </c>
      <c r="R1730" s="52" t="n">
        <v>0</v>
      </c>
      <c r="S1730" s="51" t="n">
        <v>0</v>
      </c>
      <c r="T1730" s="48" t="n">
        <v>0</v>
      </c>
      <c r="U1730" s="49" t="n">
        <v>0</v>
      </c>
      <c r="V1730" s="49" t="n">
        <v>0</v>
      </c>
      <c r="W1730" s="50" t="n">
        <v>0</v>
      </c>
      <c r="X1730" s="51" t="n">
        <v>0</v>
      </c>
      <c r="Y1730" s="52" t="n">
        <v>0</v>
      </c>
      <c r="Z1730" s="52" t="n">
        <v>0</v>
      </c>
      <c r="AA1730" s="52" t="n">
        <v>0</v>
      </c>
      <c r="AB1730" s="53" t="n">
        <v>0</v>
      </c>
      <c r="AC1730" s="52" t="n">
        <v>0</v>
      </c>
      <c r="AD1730" s="53" t="n">
        <v>0</v>
      </c>
      <c r="AE1730" s="52" t="n">
        <v>0</v>
      </c>
      <c r="AF1730" s="51" t="n">
        <v>0</v>
      </c>
      <c r="AG1730" s="48" t="n">
        <v>0</v>
      </c>
      <c r="AH1730" s="49" t="n">
        <v>0</v>
      </c>
      <c r="AI1730" s="49" t="n">
        <v>0</v>
      </c>
      <c r="AJ1730" s="50" t="n">
        <v>0</v>
      </c>
      <c r="AK1730" s="51" t="n">
        <v>0</v>
      </c>
      <c r="AL1730" s="52" t="n">
        <v>0</v>
      </c>
      <c r="AM1730" s="52" t="n">
        <v>0</v>
      </c>
      <c r="AN1730" s="52" t="n">
        <v>0</v>
      </c>
      <c r="AO1730" s="53" t="n">
        <v>0</v>
      </c>
      <c r="AP1730" s="52" t="n">
        <v>0</v>
      </c>
      <c r="AQ1730" s="53" t="n">
        <v>0</v>
      </c>
      <c r="AR1730" s="52" t="n">
        <v>0</v>
      </c>
      <c r="AS1730" s="51" t="n">
        <v>0</v>
      </c>
      <c r="AT1730" s="48" t="n">
        <v>0</v>
      </c>
      <c r="AU1730" s="49" t="n">
        <v>0</v>
      </c>
      <c r="AV1730" s="49" t="n">
        <v>0</v>
      </c>
      <c r="AW1730" s="50" t="n">
        <v>0</v>
      </c>
      <c r="AX1730" s="51" t="n">
        <v>0</v>
      </c>
      <c r="AY1730" s="52" t="n">
        <v>0</v>
      </c>
      <c r="AZ1730" s="52" t="n">
        <v>0</v>
      </c>
      <c r="BA1730" s="52" t="n">
        <v>0</v>
      </c>
      <c r="BB1730" s="53" t="n">
        <v>0</v>
      </c>
      <c r="BC1730" s="52" t="n">
        <v>0</v>
      </c>
      <c r="BD1730" s="53" t="n">
        <v>0</v>
      </c>
      <c r="BE1730" s="52" t="n">
        <v>0</v>
      </c>
      <c r="BF1730" s="51" t="n">
        <v>0</v>
      </c>
    </row>
    <row r="1731">
      <c r="A1731">
        <f>HYPERLINK("https://www.walmart.com/ip/105386738", "105386738")</f>
        <v/>
      </c>
      <c r="B1731" t="inlineStr">
        <is>
          <t>KritterWorld® Pet Dog Cat Puppy Kitten Micro plush Sherpa Snuggle Blanket for Couch, Car, Trunk, Cage, Kennel, Dog House, 45" x 30" Grey/Latte</t>
        </is>
      </c>
      <c r="C1731" t="inlineStr">
        <is>
          <t>DOG3045-GYLT</t>
        </is>
      </c>
      <c r="D1731" t="inlineStr">
        <is>
          <t>Pet Blankets</t>
        </is>
      </c>
      <c r="E1731" t="inlineStr">
        <is>
          <t>KritterWorld</t>
        </is>
      </c>
      <c r="F1731" t="inlineStr">
        <is>
          <t>Batch 1 - TR</t>
        </is>
      </c>
      <c r="G1731" s="48" t="n">
        <v>0</v>
      </c>
      <c r="H1731" s="49" t="n">
        <v>0</v>
      </c>
      <c r="I1731" s="49" t="n">
        <v>0</v>
      </c>
      <c r="J1731" s="50" t="n">
        <v>0</v>
      </c>
      <c r="K1731" s="51" t="n">
        <v>0</v>
      </c>
      <c r="L1731" s="52" t="n">
        <v>0</v>
      </c>
      <c r="M1731" s="52" t="n">
        <v>0</v>
      </c>
      <c r="N1731" s="52" t="n">
        <v>0</v>
      </c>
      <c r="O1731" s="53" t="n">
        <v>0</v>
      </c>
      <c r="P1731" s="52" t="n">
        <v>0</v>
      </c>
      <c r="Q1731" s="53" t="n">
        <v>0</v>
      </c>
      <c r="R1731" s="52" t="n">
        <v>0</v>
      </c>
      <c r="S1731" s="51" t="n">
        <v>0</v>
      </c>
      <c r="T1731" s="48" t="n">
        <v>0</v>
      </c>
      <c r="U1731" s="49" t="n">
        <v>0</v>
      </c>
      <c r="V1731" s="49" t="n">
        <v>0</v>
      </c>
      <c r="W1731" s="50" t="n">
        <v>0</v>
      </c>
      <c r="X1731" s="51" t="n">
        <v>0</v>
      </c>
      <c r="Y1731" s="52" t="n">
        <v>0</v>
      </c>
      <c r="Z1731" s="52" t="n">
        <v>0</v>
      </c>
      <c r="AA1731" s="52" t="n">
        <v>0</v>
      </c>
      <c r="AB1731" s="53" t="n">
        <v>0</v>
      </c>
      <c r="AC1731" s="52" t="n">
        <v>0</v>
      </c>
      <c r="AD1731" s="53" t="n">
        <v>0</v>
      </c>
      <c r="AE1731" s="52" t="n">
        <v>0</v>
      </c>
      <c r="AF1731" s="51" t="n">
        <v>0</v>
      </c>
      <c r="AG1731" s="48" t="n">
        <v>0</v>
      </c>
      <c r="AH1731" s="49" t="n">
        <v>0</v>
      </c>
      <c r="AI1731" s="49" t="n">
        <v>0</v>
      </c>
      <c r="AJ1731" s="50" t="n">
        <v>0</v>
      </c>
      <c r="AK1731" s="51" t="n">
        <v>0</v>
      </c>
      <c r="AL1731" s="52" t="n">
        <v>0</v>
      </c>
      <c r="AM1731" s="52" t="n">
        <v>0</v>
      </c>
      <c r="AN1731" s="52" t="n">
        <v>0</v>
      </c>
      <c r="AO1731" s="53" t="n">
        <v>0</v>
      </c>
      <c r="AP1731" s="52" t="n">
        <v>0</v>
      </c>
      <c r="AQ1731" s="53" t="n">
        <v>0</v>
      </c>
      <c r="AR1731" s="52" t="n">
        <v>0</v>
      </c>
      <c r="AS1731" s="51" t="n">
        <v>0</v>
      </c>
      <c r="AT1731" s="48" t="n">
        <v>0</v>
      </c>
      <c r="AU1731" s="49" t="n">
        <v>0</v>
      </c>
      <c r="AV1731" s="49" t="n">
        <v>0</v>
      </c>
      <c r="AW1731" s="50" t="n">
        <v>0</v>
      </c>
      <c r="AX1731" s="51" t="n">
        <v>0</v>
      </c>
      <c r="AY1731" s="52" t="n">
        <v>0</v>
      </c>
      <c r="AZ1731" s="52" t="n">
        <v>0</v>
      </c>
      <c r="BA1731" s="52" t="n">
        <v>0</v>
      </c>
      <c r="BB1731" s="53" t="n">
        <v>0</v>
      </c>
      <c r="BC1731" s="52" t="n">
        <v>0</v>
      </c>
      <c r="BD1731" s="53" t="n">
        <v>0</v>
      </c>
      <c r="BE1731" s="52" t="n">
        <v>0</v>
      </c>
      <c r="BF1731" s="51" t="n">
        <v>0</v>
      </c>
    </row>
    <row r="1732">
      <c r="A1732">
        <f>HYPERLINK("https://www.walmart.com/ip/105623773", "105623773")</f>
        <v/>
      </c>
      <c r="B1732" t="inlineStr">
        <is>
          <t>Men's Boxer Briefs Assorted Mens Underwear with Cotton Classic Stretch , 3-Pack by Terra</t>
        </is>
      </c>
      <c r="C1732" t="inlineStr">
        <is>
          <t>TERRABOXERSET1-M</t>
        </is>
      </c>
      <c r="D1732" t="inlineStr">
        <is>
          <t>Underpants</t>
        </is>
      </c>
      <c r="E1732" t="inlineStr">
        <is>
          <t>Terra</t>
        </is>
      </c>
      <c r="F1732" t="inlineStr">
        <is>
          <t>WFS,WFS Item</t>
        </is>
      </c>
      <c r="G1732" s="48" t="n">
        <v>0</v>
      </c>
      <c r="H1732" s="49" t="n">
        <v>0</v>
      </c>
      <c r="I1732" s="49" t="n">
        <v>0</v>
      </c>
      <c r="J1732" s="50" t="n">
        <v>0</v>
      </c>
      <c r="K1732" s="51" t="n">
        <v>0</v>
      </c>
      <c r="L1732" s="52" t="n">
        <v>0</v>
      </c>
      <c r="M1732" s="52" t="n">
        <v>0</v>
      </c>
      <c r="N1732" s="52" t="n">
        <v>0</v>
      </c>
      <c r="O1732" s="53" t="n">
        <v>0</v>
      </c>
      <c r="P1732" s="52" t="n">
        <v>0</v>
      </c>
      <c r="Q1732" s="53" t="n">
        <v>0</v>
      </c>
      <c r="R1732" s="52" t="n">
        <v>0</v>
      </c>
      <c r="S1732" s="51" t="n">
        <v>0</v>
      </c>
      <c r="T1732" s="48" t="n">
        <v>0</v>
      </c>
      <c r="U1732" s="49" t="n">
        <v>0</v>
      </c>
      <c r="V1732" s="49" t="n">
        <v>0</v>
      </c>
      <c r="W1732" s="50" t="n">
        <v>0</v>
      </c>
      <c r="X1732" s="51" t="n">
        <v>0</v>
      </c>
      <c r="Y1732" s="52" t="n">
        <v>0</v>
      </c>
      <c r="Z1732" s="52" t="n">
        <v>0</v>
      </c>
      <c r="AA1732" s="52" t="n">
        <v>0</v>
      </c>
      <c r="AB1732" s="53" t="n">
        <v>0</v>
      </c>
      <c r="AC1732" s="52" t="n">
        <v>0</v>
      </c>
      <c r="AD1732" s="53" t="n">
        <v>0</v>
      </c>
      <c r="AE1732" s="52" t="n">
        <v>0</v>
      </c>
      <c r="AF1732" s="51" t="n">
        <v>0</v>
      </c>
      <c r="AG1732" s="48" t="n">
        <v>0</v>
      </c>
      <c r="AH1732" s="49" t="n">
        <v>0</v>
      </c>
      <c r="AI1732" s="49" t="n">
        <v>0</v>
      </c>
      <c r="AJ1732" s="50" t="n">
        <v>0</v>
      </c>
      <c r="AK1732" s="51" t="n">
        <v>0</v>
      </c>
      <c r="AL1732" s="52" t="n">
        <v>0</v>
      </c>
      <c r="AM1732" s="52" t="n">
        <v>0</v>
      </c>
      <c r="AN1732" s="52" t="n">
        <v>0</v>
      </c>
      <c r="AO1732" s="53" t="n">
        <v>0</v>
      </c>
      <c r="AP1732" s="52" t="n">
        <v>0</v>
      </c>
      <c r="AQ1732" s="53" t="n">
        <v>0</v>
      </c>
      <c r="AR1732" s="52" t="n">
        <v>0</v>
      </c>
      <c r="AS1732" s="51" t="n">
        <v>0</v>
      </c>
      <c r="AT1732" s="48" t="n">
        <v>0</v>
      </c>
      <c r="AU1732" s="49" t="n">
        <v>0</v>
      </c>
      <c r="AV1732" s="49" t="n">
        <v>0</v>
      </c>
      <c r="AW1732" s="50" t="n">
        <v>0</v>
      </c>
      <c r="AX1732" s="51" t="n">
        <v>0</v>
      </c>
      <c r="AY1732" s="52" t="n">
        <v>0</v>
      </c>
      <c r="AZ1732" s="52" t="n">
        <v>0</v>
      </c>
      <c r="BA1732" s="52" t="n">
        <v>0</v>
      </c>
      <c r="BB1732" s="53" t="n">
        <v>0</v>
      </c>
      <c r="BC1732" s="52" t="n">
        <v>0</v>
      </c>
      <c r="BD1732" s="53" t="n">
        <v>0</v>
      </c>
      <c r="BE1732" s="52" t="n">
        <v>0</v>
      </c>
      <c r="BF1732" s="51" t="n">
        <v>0</v>
      </c>
    </row>
    <row r="1733">
      <c r="A1733">
        <f>HYPERLINK("https://www.walmart.com/ip/1061206456", "1061206456")</f>
        <v/>
      </c>
      <c r="B1733" t="inlineStr">
        <is>
          <t>Catalonia Microfiber Plush Blanket for Bed and Couch, Holiday Theme Sherpa Fleece Throw Blanket, Christmas Gift Blanket, Super Soft, Comfy, Cozy, Fluffy, Warm, Red Plaid, 90" x 90"</t>
        </is>
      </c>
      <c r="C1733" t="inlineStr">
        <is>
          <t>1CTBF399PRD</t>
        </is>
      </c>
      <c r="D1733" t="inlineStr">
        <is>
          <t>Throws</t>
        </is>
      </c>
      <c r="E1733" t="inlineStr">
        <is>
          <t>Catalonia</t>
        </is>
      </c>
      <c r="F1733" t="inlineStr">
        <is>
          <t>Q2-Target,Batch 1 - TR</t>
        </is>
      </c>
      <c r="G1733" s="48" t="n">
        <v>0</v>
      </c>
      <c r="H1733" s="49" t="n">
        <v>0</v>
      </c>
      <c r="I1733" s="49" t="n">
        <v>0</v>
      </c>
      <c r="J1733" s="50" t="n">
        <v>0</v>
      </c>
      <c r="K1733" s="51" t="n">
        <v>0</v>
      </c>
      <c r="L1733" s="52" t="n">
        <v>0</v>
      </c>
      <c r="M1733" s="52" t="n">
        <v>0</v>
      </c>
      <c r="N1733" s="52" t="n">
        <v>0</v>
      </c>
      <c r="O1733" s="53" t="n">
        <v>0</v>
      </c>
      <c r="P1733" s="52" t="n">
        <v>0</v>
      </c>
      <c r="Q1733" s="53" t="n">
        <v>0</v>
      </c>
      <c r="R1733" s="52" t="n">
        <v>0</v>
      </c>
      <c r="S1733" s="51" t="n">
        <v>0</v>
      </c>
      <c r="T1733" s="48" t="n">
        <v>0</v>
      </c>
      <c r="U1733" s="49" t="n">
        <v>0</v>
      </c>
      <c r="V1733" s="49" t="n">
        <v>0</v>
      </c>
      <c r="W1733" s="50" t="n">
        <v>0</v>
      </c>
      <c r="X1733" s="51" t="n">
        <v>0</v>
      </c>
      <c r="Y1733" s="52" t="n">
        <v>0</v>
      </c>
      <c r="Z1733" s="52" t="n">
        <v>0</v>
      </c>
      <c r="AA1733" s="52" t="n">
        <v>0</v>
      </c>
      <c r="AB1733" s="53" t="n">
        <v>0</v>
      </c>
      <c r="AC1733" s="52" t="n">
        <v>0</v>
      </c>
      <c r="AD1733" s="53" t="n">
        <v>0</v>
      </c>
      <c r="AE1733" s="52" t="n">
        <v>0</v>
      </c>
      <c r="AF1733" s="51" t="n">
        <v>0</v>
      </c>
      <c r="AG1733" s="48" t="n">
        <v>0</v>
      </c>
      <c r="AH1733" s="49" t="n">
        <v>0</v>
      </c>
      <c r="AI1733" s="49" t="n">
        <v>0</v>
      </c>
      <c r="AJ1733" s="50" t="n">
        <v>0</v>
      </c>
      <c r="AK1733" s="51" t="n">
        <v>0</v>
      </c>
      <c r="AL1733" s="52" t="n">
        <v>0</v>
      </c>
      <c r="AM1733" s="52" t="n">
        <v>0</v>
      </c>
      <c r="AN1733" s="52" t="n">
        <v>0</v>
      </c>
      <c r="AO1733" s="53" t="n">
        <v>0</v>
      </c>
      <c r="AP1733" s="52" t="n">
        <v>0</v>
      </c>
      <c r="AQ1733" s="53" t="n">
        <v>0</v>
      </c>
      <c r="AR1733" s="52" t="n">
        <v>0</v>
      </c>
      <c r="AS1733" s="51" t="n">
        <v>0</v>
      </c>
      <c r="AT1733" s="48" t="n">
        <v>0</v>
      </c>
      <c r="AU1733" s="49" t="n">
        <v>0</v>
      </c>
      <c r="AV1733" s="49" t="n">
        <v>0</v>
      </c>
      <c r="AW1733" s="50" t="n">
        <v>0</v>
      </c>
      <c r="AX1733" s="51" t="n">
        <v>0</v>
      </c>
      <c r="AY1733" s="52" t="n">
        <v>0</v>
      </c>
      <c r="AZ1733" s="52" t="n">
        <v>0</v>
      </c>
      <c r="BA1733" s="52" t="n">
        <v>0</v>
      </c>
      <c r="BB1733" s="53" t="n">
        <v>0</v>
      </c>
      <c r="BC1733" s="52" t="n">
        <v>0</v>
      </c>
      <c r="BD1733" s="53" t="n">
        <v>0</v>
      </c>
      <c r="BE1733" s="52" t="n">
        <v>0</v>
      </c>
      <c r="BF1733" s="51" t="n">
        <v>0</v>
      </c>
    </row>
    <row r="1734">
      <c r="A1734">
        <f>HYPERLINK("https://www.walmart.com/ip/106336287", "106336287")</f>
        <v/>
      </c>
      <c r="B1734" t="inlineStr">
        <is>
          <t>Terra Faux Fur Pom Pom Beanie Hat Thick Slouchy Cable Knit Unisex Stretches to Fit Most</t>
        </is>
      </c>
      <c r="C1734" t="inlineStr">
        <is>
          <t>TERRAPPH02BL</t>
        </is>
      </c>
      <c r="D1734" t="inlineStr">
        <is>
          <t>Hats</t>
        </is>
      </c>
      <c r="E1734" t="inlineStr">
        <is>
          <t>Terra</t>
        </is>
      </c>
      <c r="F1734" t="inlineStr">
        <is>
          <t>Optimized</t>
        </is>
      </c>
      <c r="G1734" s="48" t="n">
        <v>0</v>
      </c>
      <c r="H1734" s="49" t="n">
        <v>0</v>
      </c>
      <c r="I1734" s="49" t="n">
        <v>0</v>
      </c>
      <c r="J1734" s="50" t="n">
        <v>0</v>
      </c>
      <c r="K1734" s="51" t="n">
        <v>0</v>
      </c>
      <c r="L1734" s="52" t="n">
        <v>0</v>
      </c>
      <c r="M1734" s="52" t="n">
        <v>0</v>
      </c>
      <c r="N1734" s="52" t="n">
        <v>0</v>
      </c>
      <c r="O1734" s="53" t="n">
        <v>0</v>
      </c>
      <c r="P1734" s="52" t="n">
        <v>0</v>
      </c>
      <c r="Q1734" s="53" t="n">
        <v>0</v>
      </c>
      <c r="R1734" s="52" t="n">
        <v>0</v>
      </c>
      <c r="S1734" s="51" t="n">
        <v>0</v>
      </c>
      <c r="T1734" s="48" t="n">
        <v>0</v>
      </c>
      <c r="U1734" s="49" t="n">
        <v>0</v>
      </c>
      <c r="V1734" s="49" t="n">
        <v>0</v>
      </c>
      <c r="W1734" s="50" t="n">
        <v>0</v>
      </c>
      <c r="X1734" s="51" t="n">
        <v>0</v>
      </c>
      <c r="Y1734" s="52" t="n">
        <v>0</v>
      </c>
      <c r="Z1734" s="52" t="n">
        <v>0</v>
      </c>
      <c r="AA1734" s="52" t="n">
        <v>0</v>
      </c>
      <c r="AB1734" s="53" t="n">
        <v>0</v>
      </c>
      <c r="AC1734" s="52" t="n">
        <v>0</v>
      </c>
      <c r="AD1734" s="53" t="n">
        <v>0</v>
      </c>
      <c r="AE1734" s="52" t="n">
        <v>0</v>
      </c>
      <c r="AF1734" s="51" t="n">
        <v>0</v>
      </c>
      <c r="AG1734" s="48" t="n">
        <v>0</v>
      </c>
      <c r="AH1734" s="49" t="n">
        <v>0</v>
      </c>
      <c r="AI1734" s="49" t="n">
        <v>0</v>
      </c>
      <c r="AJ1734" s="50" t="n">
        <v>0</v>
      </c>
      <c r="AK1734" s="51" t="n">
        <v>0</v>
      </c>
      <c r="AL1734" s="52" t="n">
        <v>0</v>
      </c>
      <c r="AM1734" s="52" t="n">
        <v>0</v>
      </c>
      <c r="AN1734" s="52" t="n">
        <v>0</v>
      </c>
      <c r="AO1734" s="53" t="n">
        <v>0</v>
      </c>
      <c r="AP1734" s="52" t="n">
        <v>0</v>
      </c>
      <c r="AQ1734" s="53" t="n">
        <v>0</v>
      </c>
      <c r="AR1734" s="52" t="n">
        <v>0</v>
      </c>
      <c r="AS1734" s="51" t="n">
        <v>0</v>
      </c>
      <c r="AT1734" s="48" t="n">
        <v>0</v>
      </c>
      <c r="AU1734" s="49" t="n">
        <v>0</v>
      </c>
      <c r="AV1734" s="49" t="n">
        <v>0</v>
      </c>
      <c r="AW1734" s="50" t="n">
        <v>0</v>
      </c>
      <c r="AX1734" s="51" t="n">
        <v>0</v>
      </c>
      <c r="AY1734" s="52" t="n">
        <v>0</v>
      </c>
      <c r="AZ1734" s="52" t="n">
        <v>0</v>
      </c>
      <c r="BA1734" s="52" t="n">
        <v>0</v>
      </c>
      <c r="BB1734" s="53" t="n">
        <v>0</v>
      </c>
      <c r="BC1734" s="52" t="n">
        <v>0</v>
      </c>
      <c r="BD1734" s="53" t="n">
        <v>0</v>
      </c>
      <c r="BE1734" s="52" t="n">
        <v>0</v>
      </c>
      <c r="BF1734" s="51" t="n">
        <v>0</v>
      </c>
    </row>
    <row r="1735">
      <c r="A1735">
        <f>HYPERLINK("https://www.walmart.com/ip/107194664", "107194664")</f>
        <v/>
      </c>
      <c r="B1735" t="inlineStr">
        <is>
          <t>Jenniwears Sexy See Through Lace Lingerie Jacket Babydoll Camisole G String 3 Pieces Sleepwear Set</t>
        </is>
      </c>
      <c r="C1735" t="inlineStr">
        <is>
          <t>JWND05PP</t>
        </is>
      </c>
      <c r="D1735" t="inlineStr">
        <is>
          <t>Lingerie Sets</t>
        </is>
      </c>
      <c r="E1735" t="inlineStr">
        <is>
          <t>JenniWears</t>
        </is>
      </c>
      <c r="F1735" t="inlineStr">
        <is>
          <t>Optimized,Valentine</t>
        </is>
      </c>
      <c r="G1735" s="48" t="n">
        <v>0</v>
      </c>
      <c r="H1735" s="49" t="n">
        <v>0</v>
      </c>
      <c r="I1735" s="49" t="n">
        <v>0</v>
      </c>
      <c r="J1735" s="50" t="n">
        <v>0</v>
      </c>
      <c r="K1735" s="51" t="n">
        <v>0</v>
      </c>
      <c r="L1735" s="52" t="n">
        <v>0</v>
      </c>
      <c r="M1735" s="52" t="n">
        <v>0</v>
      </c>
      <c r="N1735" s="52" t="n">
        <v>0</v>
      </c>
      <c r="O1735" s="53" t="n">
        <v>0</v>
      </c>
      <c r="P1735" s="52" t="n">
        <v>0</v>
      </c>
      <c r="Q1735" s="53" t="n">
        <v>0</v>
      </c>
      <c r="R1735" s="52" t="n">
        <v>0</v>
      </c>
      <c r="S1735" s="51" t="n">
        <v>0</v>
      </c>
      <c r="T1735" s="48" t="n">
        <v>0</v>
      </c>
      <c r="U1735" s="49" t="n">
        <v>0</v>
      </c>
      <c r="V1735" s="49" t="n">
        <v>0</v>
      </c>
      <c r="W1735" s="50" t="n">
        <v>0</v>
      </c>
      <c r="X1735" s="51" t="n">
        <v>0</v>
      </c>
      <c r="Y1735" s="52" t="n">
        <v>0</v>
      </c>
      <c r="Z1735" s="52" t="n">
        <v>0</v>
      </c>
      <c r="AA1735" s="52" t="n">
        <v>0</v>
      </c>
      <c r="AB1735" s="53" t="n">
        <v>0</v>
      </c>
      <c r="AC1735" s="52" t="n">
        <v>0</v>
      </c>
      <c r="AD1735" s="53" t="n">
        <v>0</v>
      </c>
      <c r="AE1735" s="52" t="n">
        <v>0</v>
      </c>
      <c r="AF1735" s="51" t="n">
        <v>0</v>
      </c>
      <c r="AG1735" s="48" t="n">
        <v>0</v>
      </c>
      <c r="AH1735" s="49" t="n">
        <v>0</v>
      </c>
      <c r="AI1735" s="49" t="n">
        <v>0</v>
      </c>
      <c r="AJ1735" s="50" t="n">
        <v>0</v>
      </c>
      <c r="AK1735" s="51" t="n">
        <v>0</v>
      </c>
      <c r="AL1735" s="52" t="n">
        <v>0</v>
      </c>
      <c r="AM1735" s="52" t="n">
        <v>0</v>
      </c>
      <c r="AN1735" s="52" t="n">
        <v>0</v>
      </c>
      <c r="AO1735" s="53" t="n">
        <v>0</v>
      </c>
      <c r="AP1735" s="52" t="n">
        <v>0</v>
      </c>
      <c r="AQ1735" s="53" t="n">
        <v>0</v>
      </c>
      <c r="AR1735" s="52" t="n">
        <v>0</v>
      </c>
      <c r="AS1735" s="51" t="n">
        <v>0</v>
      </c>
      <c r="AT1735" s="48" t="n">
        <v>0</v>
      </c>
      <c r="AU1735" s="49" t="n">
        <v>0</v>
      </c>
      <c r="AV1735" s="49" t="n">
        <v>0</v>
      </c>
      <c r="AW1735" s="50" t="n">
        <v>0</v>
      </c>
      <c r="AX1735" s="51" t="n">
        <v>0</v>
      </c>
      <c r="AY1735" s="52" t="n">
        <v>0</v>
      </c>
      <c r="AZ1735" s="52" t="n">
        <v>0</v>
      </c>
      <c r="BA1735" s="52" t="n">
        <v>0</v>
      </c>
      <c r="BB1735" s="53" t="n">
        <v>0</v>
      </c>
      <c r="BC1735" s="52" t="n">
        <v>0</v>
      </c>
      <c r="BD1735" s="53" t="n">
        <v>0</v>
      </c>
      <c r="BE1735" s="52" t="n">
        <v>0</v>
      </c>
      <c r="BF1735" s="51" t="n">
        <v>0</v>
      </c>
    </row>
    <row r="1736">
      <c r="A1736">
        <f>HYPERLINK("https://www.walmart.com/ip/107283248", "107283248")</f>
        <v/>
      </c>
      <c r="B1736" t="inlineStr">
        <is>
          <t>JenniWears Beileise Women's Sheer Silicone Lace Jumbo Net Pantyhose Top Thigh High Black - 6 Packs</t>
        </is>
      </c>
      <c r="C1736" t="inlineStr">
        <is>
          <t>JWBLSPH2122-6pcs</t>
        </is>
      </c>
      <c r="D1736" t="inlineStr">
        <is>
          <t>Stockings</t>
        </is>
      </c>
      <c r="E1736" t="inlineStr">
        <is>
          <t>JenniWears</t>
        </is>
      </c>
      <c r="F1736" t="inlineStr">
        <is>
          <t>Optimized,Valentine</t>
        </is>
      </c>
      <c r="G1736" s="48" t="n">
        <v>0</v>
      </c>
      <c r="H1736" s="49" t="n">
        <v>0</v>
      </c>
      <c r="I1736" s="49" t="n">
        <v>0</v>
      </c>
      <c r="J1736" s="50" t="n">
        <v>0</v>
      </c>
      <c r="K1736" s="51" t="n">
        <v>0</v>
      </c>
      <c r="L1736" s="52" t="n">
        <v>0</v>
      </c>
      <c r="M1736" s="52" t="n">
        <v>0</v>
      </c>
      <c r="N1736" s="52" t="n">
        <v>0</v>
      </c>
      <c r="O1736" s="53" t="n">
        <v>0</v>
      </c>
      <c r="P1736" s="52" t="n">
        <v>0</v>
      </c>
      <c r="Q1736" s="53" t="n">
        <v>0</v>
      </c>
      <c r="R1736" s="52" t="n">
        <v>0</v>
      </c>
      <c r="S1736" s="51" t="n">
        <v>0</v>
      </c>
      <c r="T1736" s="48" t="n">
        <v>0</v>
      </c>
      <c r="U1736" s="49" t="n">
        <v>0</v>
      </c>
      <c r="V1736" s="49" t="n">
        <v>0</v>
      </c>
      <c r="W1736" s="50" t="n">
        <v>0</v>
      </c>
      <c r="X1736" s="51" t="n">
        <v>0</v>
      </c>
      <c r="Y1736" s="52" t="n">
        <v>0</v>
      </c>
      <c r="Z1736" s="52" t="n">
        <v>0</v>
      </c>
      <c r="AA1736" s="52" t="n">
        <v>0</v>
      </c>
      <c r="AB1736" s="53" t="n">
        <v>0</v>
      </c>
      <c r="AC1736" s="52" t="n">
        <v>0</v>
      </c>
      <c r="AD1736" s="53" t="n">
        <v>0</v>
      </c>
      <c r="AE1736" s="52" t="n">
        <v>0</v>
      </c>
      <c r="AF1736" s="51" t="n">
        <v>0</v>
      </c>
      <c r="AG1736" s="48" t="n">
        <v>0</v>
      </c>
      <c r="AH1736" s="49" t="n">
        <v>0</v>
      </c>
      <c r="AI1736" s="49" t="n">
        <v>0</v>
      </c>
      <c r="AJ1736" s="50" t="n">
        <v>0</v>
      </c>
      <c r="AK1736" s="51" t="n">
        <v>0</v>
      </c>
      <c r="AL1736" s="52" t="n">
        <v>0</v>
      </c>
      <c r="AM1736" s="52" t="n">
        <v>0</v>
      </c>
      <c r="AN1736" s="52" t="n">
        <v>0</v>
      </c>
      <c r="AO1736" s="53" t="n">
        <v>0</v>
      </c>
      <c r="AP1736" s="52" t="n">
        <v>0</v>
      </c>
      <c r="AQ1736" s="53" t="n">
        <v>0</v>
      </c>
      <c r="AR1736" s="52" t="n">
        <v>0</v>
      </c>
      <c r="AS1736" s="51" t="n">
        <v>0</v>
      </c>
      <c r="AT1736" s="48" t="n">
        <v>0</v>
      </c>
      <c r="AU1736" s="49" t="n">
        <v>0</v>
      </c>
      <c r="AV1736" s="49" t="n">
        <v>0</v>
      </c>
      <c r="AW1736" s="50" t="n">
        <v>0</v>
      </c>
      <c r="AX1736" s="51" t="n">
        <v>0</v>
      </c>
      <c r="AY1736" s="52" t="n">
        <v>0</v>
      </c>
      <c r="AZ1736" s="52" t="n">
        <v>0</v>
      </c>
      <c r="BA1736" s="52" t="n">
        <v>0</v>
      </c>
      <c r="BB1736" s="53" t="n">
        <v>0</v>
      </c>
      <c r="BC1736" s="52" t="n">
        <v>0</v>
      </c>
      <c r="BD1736" s="53" t="n">
        <v>0</v>
      </c>
      <c r="BE1736" s="52" t="n">
        <v>0</v>
      </c>
      <c r="BF1736" s="51" t="n">
        <v>0</v>
      </c>
    </row>
    <row r="1737">
      <c r="A1737">
        <f>HYPERLINK("https://www.walmart.com/ip/107291062", "107291062")</f>
        <v/>
      </c>
      <c r="B1737" t="inlineStr">
        <is>
          <t>KC Caps Unisex Adjustable Snap Closure USA Flag Embroidered Cap Hat</t>
        </is>
      </c>
      <c r="C1737" t="inlineStr">
        <is>
          <t>kc-ae-6100-wt</t>
        </is>
      </c>
      <c r="D1737" t="inlineStr">
        <is>
          <t>Hats</t>
        </is>
      </c>
      <c r="E1737" t="inlineStr">
        <is>
          <t>KC Caps</t>
        </is>
      </c>
      <c r="F1737" t="inlineStr">
        <is>
          <t>Optimized</t>
        </is>
      </c>
      <c r="G1737" s="48" t="n">
        <v>0</v>
      </c>
      <c r="H1737" s="49" t="n">
        <v>0</v>
      </c>
      <c r="I1737" s="49" t="n">
        <v>0</v>
      </c>
      <c r="J1737" s="50" t="n">
        <v>0</v>
      </c>
      <c r="K1737" s="51" t="n">
        <v>0</v>
      </c>
      <c r="L1737" s="52" t="n">
        <v>0</v>
      </c>
      <c r="M1737" s="52" t="n">
        <v>0</v>
      </c>
      <c r="N1737" s="52" t="n">
        <v>0</v>
      </c>
      <c r="O1737" s="53" t="n">
        <v>0</v>
      </c>
      <c r="P1737" s="52" t="n">
        <v>0</v>
      </c>
      <c r="Q1737" s="53" t="n">
        <v>0</v>
      </c>
      <c r="R1737" s="52" t="n">
        <v>0</v>
      </c>
      <c r="S1737" s="51" t="n">
        <v>0</v>
      </c>
      <c r="T1737" s="48" t="n">
        <v>0</v>
      </c>
      <c r="U1737" s="49" t="n">
        <v>0</v>
      </c>
      <c r="V1737" s="49" t="n">
        <v>0</v>
      </c>
      <c r="W1737" s="50" t="n">
        <v>0</v>
      </c>
      <c r="X1737" s="51" t="n">
        <v>0</v>
      </c>
      <c r="Y1737" s="52" t="n">
        <v>0</v>
      </c>
      <c r="Z1737" s="52" t="n">
        <v>0</v>
      </c>
      <c r="AA1737" s="52" t="n">
        <v>0</v>
      </c>
      <c r="AB1737" s="53" t="n">
        <v>0</v>
      </c>
      <c r="AC1737" s="52" t="n">
        <v>0</v>
      </c>
      <c r="AD1737" s="53" t="n">
        <v>0</v>
      </c>
      <c r="AE1737" s="52" t="n">
        <v>0</v>
      </c>
      <c r="AF1737" s="51" t="n">
        <v>0</v>
      </c>
      <c r="AG1737" s="48" t="n">
        <v>0</v>
      </c>
      <c r="AH1737" s="49" t="n">
        <v>0</v>
      </c>
      <c r="AI1737" s="49" t="n">
        <v>0</v>
      </c>
      <c r="AJ1737" s="50" t="n">
        <v>0</v>
      </c>
      <c r="AK1737" s="51" t="n">
        <v>0</v>
      </c>
      <c r="AL1737" s="52" t="n">
        <v>0</v>
      </c>
      <c r="AM1737" s="52" t="n">
        <v>0</v>
      </c>
      <c r="AN1737" s="52" t="n">
        <v>0</v>
      </c>
      <c r="AO1737" s="53" t="n">
        <v>0</v>
      </c>
      <c r="AP1737" s="52" t="n">
        <v>0</v>
      </c>
      <c r="AQ1737" s="53" t="n">
        <v>0</v>
      </c>
      <c r="AR1737" s="52" t="n">
        <v>0</v>
      </c>
      <c r="AS1737" s="51" t="n">
        <v>0</v>
      </c>
      <c r="AT1737" s="48" t="n">
        <v>0</v>
      </c>
      <c r="AU1737" s="49" t="n">
        <v>0</v>
      </c>
      <c r="AV1737" s="49" t="n">
        <v>0</v>
      </c>
      <c r="AW1737" s="50" t="n">
        <v>0</v>
      </c>
      <c r="AX1737" s="51" t="n">
        <v>0</v>
      </c>
      <c r="AY1737" s="52" t="n">
        <v>0</v>
      </c>
      <c r="AZ1737" s="52" t="n">
        <v>0</v>
      </c>
      <c r="BA1737" s="52" t="n">
        <v>0</v>
      </c>
      <c r="BB1737" s="53" t="n">
        <v>0</v>
      </c>
      <c r="BC1737" s="52" t="n">
        <v>0</v>
      </c>
      <c r="BD1737" s="53" t="n">
        <v>0</v>
      </c>
      <c r="BE1737" s="52" t="n">
        <v>0</v>
      </c>
      <c r="BF1737" s="51" t="n">
        <v>0</v>
      </c>
    </row>
    <row r="1738">
      <c r="A1738">
        <f>HYPERLINK("https://www.walmart.com/ip/1074384682", "1074384682")</f>
        <v/>
      </c>
      <c r="B1738" t="inlineStr">
        <is>
          <t>Catalonia Fleece Wearable Blanket with Sleeves and Pocket, Micro Plush Warm Sleeved TV Throw Blanket Robe for Women and Men, Blue Plaid, 72'' x 55''</t>
        </is>
      </c>
      <c r="C1738" t="inlineStr">
        <is>
          <t>1CTSN110PBL</t>
        </is>
      </c>
      <c r="D1738" t="inlineStr">
        <is>
          <t>Throws</t>
        </is>
      </c>
      <c r="E1738" t="inlineStr">
        <is>
          <t>Catalonia</t>
        </is>
      </c>
      <c r="F1738" t="inlineStr">
        <is>
          <t>Q2-Target,Coupon_Discount</t>
        </is>
      </c>
      <c r="G1738" s="48" t="n">
        <v>0</v>
      </c>
      <c r="H1738" s="49" t="n">
        <v>0</v>
      </c>
      <c r="I1738" s="49" t="n">
        <v>0</v>
      </c>
      <c r="J1738" s="50" t="n">
        <v>0</v>
      </c>
      <c r="K1738" s="51" t="n">
        <v>0</v>
      </c>
      <c r="L1738" s="52" t="n">
        <v>0</v>
      </c>
      <c r="M1738" s="52" t="n">
        <v>0</v>
      </c>
      <c r="N1738" s="52" t="n">
        <v>0</v>
      </c>
      <c r="O1738" s="53" t="n">
        <v>0</v>
      </c>
      <c r="P1738" s="52" t="n">
        <v>0</v>
      </c>
      <c r="Q1738" s="53" t="n">
        <v>0</v>
      </c>
      <c r="R1738" s="52" t="n">
        <v>0</v>
      </c>
      <c r="S1738" s="51" t="n">
        <v>0</v>
      </c>
      <c r="T1738" s="48" t="n">
        <v>0</v>
      </c>
      <c r="U1738" s="49" t="n">
        <v>0</v>
      </c>
      <c r="V1738" s="49" t="n">
        <v>0</v>
      </c>
      <c r="W1738" s="50" t="n">
        <v>0</v>
      </c>
      <c r="X1738" s="51" t="n">
        <v>0</v>
      </c>
      <c r="Y1738" s="52" t="n">
        <v>0</v>
      </c>
      <c r="Z1738" s="52" t="n">
        <v>0</v>
      </c>
      <c r="AA1738" s="52" t="n">
        <v>0</v>
      </c>
      <c r="AB1738" s="53" t="n">
        <v>0</v>
      </c>
      <c r="AC1738" s="52" t="n">
        <v>0</v>
      </c>
      <c r="AD1738" s="53" t="n">
        <v>0</v>
      </c>
      <c r="AE1738" s="52" t="n">
        <v>0</v>
      </c>
      <c r="AF1738" s="51" t="n">
        <v>0</v>
      </c>
      <c r="AG1738" s="48" t="n">
        <v>0</v>
      </c>
      <c r="AH1738" s="49" t="n">
        <v>0</v>
      </c>
      <c r="AI1738" s="49" t="n">
        <v>0</v>
      </c>
      <c r="AJ1738" s="50" t="n">
        <v>0</v>
      </c>
      <c r="AK1738" s="51" t="n">
        <v>0</v>
      </c>
      <c r="AL1738" s="52" t="n">
        <v>0</v>
      </c>
      <c r="AM1738" s="52" t="n">
        <v>0</v>
      </c>
      <c r="AN1738" s="52" t="n">
        <v>0</v>
      </c>
      <c r="AO1738" s="53" t="n">
        <v>0</v>
      </c>
      <c r="AP1738" s="52" t="n">
        <v>0</v>
      </c>
      <c r="AQ1738" s="53" t="n">
        <v>0</v>
      </c>
      <c r="AR1738" s="52" t="n">
        <v>0</v>
      </c>
      <c r="AS1738" s="51" t="n">
        <v>0</v>
      </c>
      <c r="AT1738" s="48" t="n">
        <v>0</v>
      </c>
      <c r="AU1738" s="49" t="n">
        <v>0</v>
      </c>
      <c r="AV1738" s="49" t="n">
        <v>0</v>
      </c>
      <c r="AW1738" s="50" t="n">
        <v>0</v>
      </c>
      <c r="AX1738" s="51" t="n">
        <v>0</v>
      </c>
      <c r="AY1738" s="52" t="n">
        <v>0</v>
      </c>
      <c r="AZ1738" s="52" t="n">
        <v>0</v>
      </c>
      <c r="BA1738" s="52" t="n">
        <v>0</v>
      </c>
      <c r="BB1738" s="53" t="n">
        <v>0</v>
      </c>
      <c r="BC1738" s="52" t="n">
        <v>0</v>
      </c>
      <c r="BD1738" s="53" t="n">
        <v>0</v>
      </c>
      <c r="BE1738" s="52" t="n">
        <v>0</v>
      </c>
      <c r="BF1738" s="51" t="n">
        <v>0</v>
      </c>
    </row>
    <row r="1739">
      <c r="A1739">
        <f>HYPERLINK("https://www.walmart.com/ip/107627638", "107627638")</f>
        <v/>
      </c>
      <c r="B1739" t="inlineStr">
        <is>
          <t>Sun Blocker Outdoor Sun Protection Fishing Cap with Neck Flap, Wide Brim Sun Hat for Travel Camping Hiking Hunting Boating Safari Cap with Adjustable Drawstring, Tan</t>
        </is>
      </c>
      <c r="C1739" t="inlineStr">
        <is>
          <t>KC-S9150-TAN</t>
        </is>
      </c>
      <c r="D1739" t="inlineStr">
        <is>
          <t>Hats</t>
        </is>
      </c>
      <c r="E1739" t="inlineStr">
        <is>
          <t>Sun Blocker</t>
        </is>
      </c>
      <c r="F1739" t="inlineStr">
        <is>
          <t>Batch 1 - TR</t>
        </is>
      </c>
      <c r="G1739" s="48" t="n">
        <v>0</v>
      </c>
      <c r="H1739" s="49" t="n">
        <v>0</v>
      </c>
      <c r="I1739" s="49" t="n">
        <v>0</v>
      </c>
      <c r="J1739" s="50" t="n">
        <v>0</v>
      </c>
      <c r="K1739" s="51" t="n">
        <v>0</v>
      </c>
      <c r="L1739" s="52" t="n">
        <v>0</v>
      </c>
      <c r="M1739" s="52" t="n">
        <v>0</v>
      </c>
      <c r="N1739" s="52" t="n">
        <v>0</v>
      </c>
      <c r="O1739" s="53" t="n">
        <v>0</v>
      </c>
      <c r="P1739" s="52" t="n">
        <v>0</v>
      </c>
      <c r="Q1739" s="53" t="n">
        <v>0</v>
      </c>
      <c r="R1739" s="52" t="n">
        <v>0</v>
      </c>
      <c r="S1739" s="51" t="n">
        <v>0</v>
      </c>
      <c r="T1739" s="48" t="n">
        <v>0</v>
      </c>
      <c r="U1739" s="49" t="n">
        <v>0</v>
      </c>
      <c r="V1739" s="49" t="n">
        <v>0</v>
      </c>
      <c r="W1739" s="50" t="n">
        <v>0</v>
      </c>
      <c r="X1739" s="51" t="n">
        <v>0</v>
      </c>
      <c r="Y1739" s="52" t="n">
        <v>0</v>
      </c>
      <c r="Z1739" s="52" t="n">
        <v>0</v>
      </c>
      <c r="AA1739" s="52" t="n">
        <v>0</v>
      </c>
      <c r="AB1739" s="53" t="n">
        <v>0</v>
      </c>
      <c r="AC1739" s="52" t="n">
        <v>0</v>
      </c>
      <c r="AD1739" s="53" t="n">
        <v>0</v>
      </c>
      <c r="AE1739" s="52" t="n">
        <v>0</v>
      </c>
      <c r="AF1739" s="51" t="n">
        <v>0</v>
      </c>
      <c r="AG1739" s="48" t="n">
        <v>0</v>
      </c>
      <c r="AH1739" s="49" t="n">
        <v>0</v>
      </c>
      <c r="AI1739" s="49" t="n">
        <v>0</v>
      </c>
      <c r="AJ1739" s="50" t="n">
        <v>0</v>
      </c>
      <c r="AK1739" s="51" t="n">
        <v>0</v>
      </c>
      <c r="AL1739" s="52" t="n">
        <v>0</v>
      </c>
      <c r="AM1739" s="52" t="n">
        <v>0</v>
      </c>
      <c r="AN1739" s="52" t="n">
        <v>0</v>
      </c>
      <c r="AO1739" s="53" t="n">
        <v>0</v>
      </c>
      <c r="AP1739" s="52" t="n">
        <v>0</v>
      </c>
      <c r="AQ1739" s="53" t="n">
        <v>0</v>
      </c>
      <c r="AR1739" s="52" t="n">
        <v>0</v>
      </c>
      <c r="AS1739" s="51" t="n">
        <v>0</v>
      </c>
      <c r="AT1739" s="48" t="n">
        <v>0</v>
      </c>
      <c r="AU1739" s="49" t="n">
        <v>0</v>
      </c>
      <c r="AV1739" s="49" t="n">
        <v>0</v>
      </c>
      <c r="AW1739" s="50" t="n">
        <v>0</v>
      </c>
      <c r="AX1739" s="51" t="n">
        <v>0</v>
      </c>
      <c r="AY1739" s="52" t="n">
        <v>0</v>
      </c>
      <c r="AZ1739" s="52" t="n">
        <v>0</v>
      </c>
      <c r="BA1739" s="52" t="n">
        <v>0</v>
      </c>
      <c r="BB1739" s="53" t="n">
        <v>0</v>
      </c>
      <c r="BC1739" s="52" t="n">
        <v>0</v>
      </c>
      <c r="BD1739" s="53" t="n">
        <v>0</v>
      </c>
      <c r="BE1739" s="52" t="n">
        <v>0</v>
      </c>
      <c r="BF1739" s="51" t="n">
        <v>0</v>
      </c>
    </row>
    <row r="1740">
      <c r="A1740">
        <f>HYPERLINK("https://www.walmart.com/ip/104159179", "104159179")</f>
        <v/>
      </c>
      <c r="B1740" t="inlineStr">
        <is>
          <t>Catalonia Waterproof Blanket Super Cozy Plush Fleece Warm Sherpa Lining, Camel/Taupe, 80" x 90"</t>
        </is>
      </c>
      <c r="C1740" t="inlineStr">
        <is>
          <t>1CTBW981TPTP</t>
        </is>
      </c>
      <c r="D1740" t="inlineStr">
        <is>
          <t>Mattress Toppers</t>
        </is>
      </c>
      <c r="E1740" t="inlineStr">
        <is>
          <t>Catalonia</t>
        </is>
      </c>
      <c r="F1740" t="inlineStr">
        <is>
          <t>Optimized,WFS,Wproof Blanket,WFS Item</t>
        </is>
      </c>
      <c r="G1740" s="48" t="n">
        <v>0</v>
      </c>
      <c r="H1740" s="49" t="n">
        <v>0</v>
      </c>
      <c r="I1740" s="49" t="n">
        <v>0</v>
      </c>
      <c r="J1740" s="50" t="n">
        <v>0</v>
      </c>
      <c r="K1740" s="51" t="n">
        <v>0</v>
      </c>
      <c r="L1740" s="52" t="n">
        <v>0</v>
      </c>
      <c r="M1740" s="52" t="n">
        <v>0</v>
      </c>
      <c r="N1740" s="52" t="n">
        <v>0</v>
      </c>
      <c r="O1740" s="53" t="n">
        <v>0</v>
      </c>
      <c r="P1740" s="52" t="n">
        <v>0</v>
      </c>
      <c r="Q1740" s="53" t="n">
        <v>0</v>
      </c>
      <c r="R1740" s="52" t="n">
        <v>0</v>
      </c>
      <c r="S1740" s="51" t="n">
        <v>0</v>
      </c>
      <c r="T1740" s="48" t="n">
        <v>0</v>
      </c>
      <c r="U1740" s="49" t="n">
        <v>0</v>
      </c>
      <c r="V1740" s="49" t="n">
        <v>0</v>
      </c>
      <c r="W1740" s="50" t="n">
        <v>0</v>
      </c>
      <c r="X1740" s="51" t="n">
        <v>0</v>
      </c>
      <c r="Y1740" s="52" t="n">
        <v>0</v>
      </c>
      <c r="Z1740" s="52" t="n">
        <v>0</v>
      </c>
      <c r="AA1740" s="52" t="n">
        <v>0</v>
      </c>
      <c r="AB1740" s="53" t="n">
        <v>0</v>
      </c>
      <c r="AC1740" s="52" t="n">
        <v>0</v>
      </c>
      <c r="AD1740" s="53" t="n">
        <v>0</v>
      </c>
      <c r="AE1740" s="52" t="n">
        <v>0</v>
      </c>
      <c r="AF1740" s="51" t="n">
        <v>0</v>
      </c>
      <c r="AG1740" s="48" t="n">
        <v>0</v>
      </c>
      <c r="AH1740" s="49" t="n">
        <v>0</v>
      </c>
      <c r="AI1740" s="49" t="n">
        <v>0</v>
      </c>
      <c r="AJ1740" s="50" t="n">
        <v>0</v>
      </c>
      <c r="AK1740" s="51" t="n">
        <v>0</v>
      </c>
      <c r="AL1740" s="52" t="n">
        <v>0</v>
      </c>
      <c r="AM1740" s="52" t="n">
        <v>0</v>
      </c>
      <c r="AN1740" s="52" t="n">
        <v>0</v>
      </c>
      <c r="AO1740" s="53" t="n">
        <v>0</v>
      </c>
      <c r="AP1740" s="52" t="n">
        <v>0</v>
      </c>
      <c r="AQ1740" s="53" t="n">
        <v>0</v>
      </c>
      <c r="AR1740" s="52" t="n">
        <v>0</v>
      </c>
      <c r="AS1740" s="51" t="n">
        <v>0</v>
      </c>
      <c r="AT1740" s="48" t="n">
        <v>0</v>
      </c>
      <c r="AU1740" s="49" t="n">
        <v>0</v>
      </c>
      <c r="AV1740" s="49" t="n">
        <v>0</v>
      </c>
      <c r="AW1740" s="50" t="n">
        <v>0</v>
      </c>
      <c r="AX1740" s="51" t="n">
        <v>0</v>
      </c>
      <c r="AY1740" s="52" t="n">
        <v>0</v>
      </c>
      <c r="AZ1740" s="52" t="n">
        <v>0</v>
      </c>
      <c r="BA1740" s="52" t="n">
        <v>0</v>
      </c>
      <c r="BB1740" s="53" t="n">
        <v>0</v>
      </c>
      <c r="BC1740" s="52" t="n">
        <v>0</v>
      </c>
      <c r="BD1740" s="53" t="n">
        <v>0</v>
      </c>
      <c r="BE1740" s="52" t="n">
        <v>0</v>
      </c>
      <c r="BF1740" s="51" t="n">
        <v>0</v>
      </c>
    </row>
    <row r="1741">
      <c r="A1741">
        <f>HYPERLINK("https://www.walmart.com/ip/104033046", "104033046")</f>
        <v/>
      </c>
      <c r="B1741" t="inlineStr">
        <is>
          <t>Tirrinia Super Soft Comfy Plush Wearable Fleece Blanket with Sleeves for Adult, Purple, 73" x 51"</t>
        </is>
      </c>
      <c r="C1741" t="inlineStr">
        <is>
          <t>1TRSN100PP-TBCB</t>
        </is>
      </c>
      <c r="D1741" t="inlineStr">
        <is>
          <t>Throws</t>
        </is>
      </c>
      <c r="E1741" t="inlineStr">
        <is>
          <t>Tirrinia</t>
        </is>
      </c>
      <c r="F1741" t="inlineStr">
        <is>
          <t>Optimized,Fleece Blankets</t>
        </is>
      </c>
      <c r="G1741" s="48" t="n">
        <v>0</v>
      </c>
      <c r="H1741" s="49" t="n">
        <v>0</v>
      </c>
      <c r="I1741" s="49" t="n">
        <v>0</v>
      </c>
      <c r="J1741" s="50" t="n">
        <v>0</v>
      </c>
      <c r="K1741" s="51" t="n">
        <v>0</v>
      </c>
      <c r="L1741" s="52" t="n">
        <v>0</v>
      </c>
      <c r="M1741" s="52" t="n">
        <v>0</v>
      </c>
      <c r="N1741" s="52" t="n">
        <v>0</v>
      </c>
      <c r="O1741" s="53" t="n">
        <v>0</v>
      </c>
      <c r="P1741" s="52" t="n">
        <v>0</v>
      </c>
      <c r="Q1741" s="53" t="n">
        <v>0</v>
      </c>
      <c r="R1741" s="52" t="n">
        <v>0</v>
      </c>
      <c r="S1741" s="51" t="n">
        <v>0</v>
      </c>
      <c r="T1741" s="48" t="n">
        <v>0</v>
      </c>
      <c r="U1741" s="49" t="n">
        <v>0</v>
      </c>
      <c r="V1741" s="49" t="n">
        <v>0</v>
      </c>
      <c r="W1741" s="50" t="n">
        <v>0</v>
      </c>
      <c r="X1741" s="51" t="n">
        <v>0</v>
      </c>
      <c r="Y1741" s="52" t="n">
        <v>0</v>
      </c>
      <c r="Z1741" s="52" t="n">
        <v>0</v>
      </c>
      <c r="AA1741" s="52" t="n">
        <v>0</v>
      </c>
      <c r="AB1741" s="53" t="n">
        <v>0</v>
      </c>
      <c r="AC1741" s="52" t="n">
        <v>0</v>
      </c>
      <c r="AD1741" s="53" t="n">
        <v>0</v>
      </c>
      <c r="AE1741" s="52" t="n">
        <v>0</v>
      </c>
      <c r="AF1741" s="51" t="n">
        <v>0</v>
      </c>
      <c r="AG1741" s="48" t="n">
        <v>0</v>
      </c>
      <c r="AH1741" s="49" t="n">
        <v>0</v>
      </c>
      <c r="AI1741" s="49" t="n">
        <v>0</v>
      </c>
      <c r="AJ1741" s="50" t="n">
        <v>0</v>
      </c>
      <c r="AK1741" s="51" t="n">
        <v>0</v>
      </c>
      <c r="AL1741" s="52" t="n">
        <v>0</v>
      </c>
      <c r="AM1741" s="52" t="n">
        <v>0</v>
      </c>
      <c r="AN1741" s="52" t="n">
        <v>0</v>
      </c>
      <c r="AO1741" s="53" t="n">
        <v>0</v>
      </c>
      <c r="AP1741" s="52" t="n">
        <v>0</v>
      </c>
      <c r="AQ1741" s="53" t="n">
        <v>0</v>
      </c>
      <c r="AR1741" s="52" t="n">
        <v>0</v>
      </c>
      <c r="AS1741" s="51" t="n">
        <v>0</v>
      </c>
      <c r="AT1741" s="48" t="n">
        <v>0</v>
      </c>
      <c r="AU1741" s="49" t="n">
        <v>0</v>
      </c>
      <c r="AV1741" s="49" t="n">
        <v>0</v>
      </c>
      <c r="AW1741" s="50" t="n">
        <v>0</v>
      </c>
      <c r="AX1741" s="51" t="n">
        <v>0</v>
      </c>
      <c r="AY1741" s="52" t="n">
        <v>0</v>
      </c>
      <c r="AZ1741" s="52" t="n">
        <v>0</v>
      </c>
      <c r="BA1741" s="52" t="n">
        <v>0</v>
      </c>
      <c r="BB1741" s="53" t="n">
        <v>0</v>
      </c>
      <c r="BC1741" s="52" t="n">
        <v>0</v>
      </c>
      <c r="BD1741" s="53" t="n">
        <v>0</v>
      </c>
      <c r="BE1741" s="52" t="n">
        <v>0</v>
      </c>
      <c r="BF1741" s="51" t="n">
        <v>0</v>
      </c>
    </row>
    <row r="1742">
      <c r="A1742">
        <f>HYPERLINK("https://www.walmart.com/ip/10302868286", "10302868286")</f>
        <v/>
      </c>
      <c r="B1742" t="inlineStr">
        <is>
          <t>Every Day is Christmas Glass Blown Ornaments Cute Hand Made Figurines Tree Decoration, Love Sign Set of 2</t>
        </is>
      </c>
      <c r="C1742" t="inlineStr">
        <is>
          <t>EDC-FIGURINE-WP280</t>
        </is>
      </c>
      <c r="D1742" t="inlineStr">
        <is>
          <t>Ornaments</t>
        </is>
      </c>
      <c r="E1742" t="inlineStr">
        <is>
          <t>Every Day is Christmas</t>
        </is>
      </c>
      <c r="G1742" s="48" t="n">
        <v>0</v>
      </c>
      <c r="H1742" s="49" t="n">
        <v>0</v>
      </c>
      <c r="I1742" s="49" t="n">
        <v>0</v>
      </c>
      <c r="J1742" s="50" t="n">
        <v>0</v>
      </c>
      <c r="K1742" s="51" t="n">
        <v>0</v>
      </c>
      <c r="L1742" s="52" t="n">
        <v>0</v>
      </c>
      <c r="M1742" s="52" t="n">
        <v>0</v>
      </c>
      <c r="N1742" s="52" t="n">
        <v>0</v>
      </c>
      <c r="O1742" s="53" t="n">
        <v>0</v>
      </c>
      <c r="P1742" s="52" t="n">
        <v>0</v>
      </c>
      <c r="Q1742" s="53" t="n">
        <v>0</v>
      </c>
      <c r="R1742" s="52" t="n">
        <v>0</v>
      </c>
      <c r="S1742" s="51" t="n">
        <v>0</v>
      </c>
      <c r="T1742" s="48" t="n">
        <v>0</v>
      </c>
      <c r="U1742" s="49" t="n">
        <v>0</v>
      </c>
      <c r="V1742" s="49" t="n">
        <v>0</v>
      </c>
      <c r="W1742" s="50" t="n">
        <v>0</v>
      </c>
      <c r="X1742" s="51" t="n">
        <v>0</v>
      </c>
      <c r="Y1742" s="52" t="n">
        <v>0</v>
      </c>
      <c r="Z1742" s="52" t="n">
        <v>0</v>
      </c>
      <c r="AA1742" s="52" t="n">
        <v>0</v>
      </c>
      <c r="AB1742" s="53" t="n">
        <v>0</v>
      </c>
      <c r="AC1742" s="52" t="n">
        <v>0</v>
      </c>
      <c r="AD1742" s="53" t="n">
        <v>0</v>
      </c>
      <c r="AE1742" s="52" t="n">
        <v>0</v>
      </c>
      <c r="AF1742" s="51" t="n">
        <v>0</v>
      </c>
      <c r="AG1742" s="48" t="n">
        <v>0</v>
      </c>
      <c r="AH1742" s="49" t="n">
        <v>0</v>
      </c>
      <c r="AI1742" s="49" t="n">
        <v>0</v>
      </c>
      <c r="AJ1742" s="50" t="n">
        <v>0</v>
      </c>
      <c r="AK1742" s="51" t="n">
        <v>0</v>
      </c>
      <c r="AL1742" s="52" t="n">
        <v>0</v>
      </c>
      <c r="AM1742" s="52" t="n">
        <v>0</v>
      </c>
      <c r="AN1742" s="52" t="n">
        <v>0</v>
      </c>
      <c r="AO1742" s="53" t="n">
        <v>0</v>
      </c>
      <c r="AP1742" s="52" t="n">
        <v>0</v>
      </c>
      <c r="AQ1742" s="53" t="n">
        <v>0</v>
      </c>
      <c r="AR1742" s="52" t="n">
        <v>0</v>
      </c>
      <c r="AS1742" s="51" t="n">
        <v>0</v>
      </c>
      <c r="AT1742" s="48" t="n">
        <v>0</v>
      </c>
      <c r="AU1742" s="49" t="n">
        <v>0</v>
      </c>
      <c r="AV1742" s="49" t="n">
        <v>0</v>
      </c>
      <c r="AW1742" s="50" t="n">
        <v>0</v>
      </c>
      <c r="AX1742" s="51" t="n">
        <v>0</v>
      </c>
      <c r="AY1742" s="52" t="n">
        <v>0</v>
      </c>
      <c r="AZ1742" s="52" t="n">
        <v>0</v>
      </c>
      <c r="BA1742" s="52" t="n">
        <v>0</v>
      </c>
      <c r="BB1742" s="53" t="n">
        <v>0</v>
      </c>
      <c r="BC1742" s="52" t="n">
        <v>0</v>
      </c>
      <c r="BD1742" s="53" t="n">
        <v>0</v>
      </c>
      <c r="BE1742" s="52" t="n">
        <v>0</v>
      </c>
      <c r="BF1742" s="51" t="n">
        <v>0</v>
      </c>
    </row>
    <row r="1743">
      <c r="A1743">
        <f>HYPERLINK("https://www.walmart.com/ip/103912264", "103912264")</f>
        <v/>
      </c>
      <c r="B1743" t="inlineStr">
        <is>
          <t>Sherpa Slipper Socks for Women,Winter Indoor Home Non Skid Booties</t>
        </is>
      </c>
      <c r="C1743" t="inlineStr">
        <is>
          <t>1CTST200LT-1</t>
        </is>
      </c>
      <c r="D1743" t="inlineStr">
        <is>
          <t>Socks</t>
        </is>
      </c>
      <c r="E1743" t="inlineStr">
        <is>
          <t>Catalonia</t>
        </is>
      </c>
      <c r="F1743" t="inlineStr">
        <is>
          <t>WFS,WFS Item</t>
        </is>
      </c>
      <c r="G1743" s="48" t="n">
        <v>0</v>
      </c>
      <c r="H1743" s="49" t="n">
        <v>0</v>
      </c>
      <c r="I1743" s="49" t="n">
        <v>0</v>
      </c>
      <c r="J1743" s="50" t="n">
        <v>0</v>
      </c>
      <c r="K1743" s="51" t="n">
        <v>0</v>
      </c>
      <c r="L1743" s="52" t="n">
        <v>0</v>
      </c>
      <c r="M1743" s="52" t="n">
        <v>0</v>
      </c>
      <c r="N1743" s="52" t="n">
        <v>0</v>
      </c>
      <c r="O1743" s="53" t="n">
        <v>0</v>
      </c>
      <c r="P1743" s="52" t="n">
        <v>0</v>
      </c>
      <c r="Q1743" s="53" t="n">
        <v>0</v>
      </c>
      <c r="R1743" s="52" t="n">
        <v>0</v>
      </c>
      <c r="S1743" s="51" t="n">
        <v>0</v>
      </c>
      <c r="T1743" s="48" t="n">
        <v>0</v>
      </c>
      <c r="U1743" s="49" t="n">
        <v>0</v>
      </c>
      <c r="V1743" s="49" t="n">
        <v>0</v>
      </c>
      <c r="W1743" s="50" t="n">
        <v>0</v>
      </c>
      <c r="X1743" s="51" t="n">
        <v>0</v>
      </c>
      <c r="Y1743" s="52" t="n">
        <v>0</v>
      </c>
      <c r="Z1743" s="52" t="n">
        <v>0</v>
      </c>
      <c r="AA1743" s="52" t="n">
        <v>0</v>
      </c>
      <c r="AB1743" s="53" t="n">
        <v>0</v>
      </c>
      <c r="AC1743" s="52" t="n">
        <v>0</v>
      </c>
      <c r="AD1743" s="53" t="n">
        <v>0</v>
      </c>
      <c r="AE1743" s="52" t="n">
        <v>0</v>
      </c>
      <c r="AF1743" s="51" t="n">
        <v>0</v>
      </c>
      <c r="AG1743" s="48" t="n">
        <v>0</v>
      </c>
      <c r="AH1743" s="49" t="n">
        <v>0</v>
      </c>
      <c r="AI1743" s="49" t="n">
        <v>0</v>
      </c>
      <c r="AJ1743" s="50" t="n">
        <v>0</v>
      </c>
      <c r="AK1743" s="51" t="n">
        <v>0</v>
      </c>
      <c r="AL1743" s="52" t="n">
        <v>0</v>
      </c>
      <c r="AM1743" s="52" t="n">
        <v>0</v>
      </c>
      <c r="AN1743" s="52" t="n">
        <v>0</v>
      </c>
      <c r="AO1743" s="53" t="n">
        <v>0</v>
      </c>
      <c r="AP1743" s="52" t="n">
        <v>0</v>
      </c>
      <c r="AQ1743" s="53" t="n">
        <v>0</v>
      </c>
      <c r="AR1743" s="52" t="n">
        <v>0</v>
      </c>
      <c r="AS1743" s="51" t="n">
        <v>0</v>
      </c>
      <c r="AT1743" s="48" t="n">
        <v>0</v>
      </c>
      <c r="AU1743" s="49" t="n">
        <v>0</v>
      </c>
      <c r="AV1743" s="49" t="n">
        <v>0</v>
      </c>
      <c r="AW1743" s="50" t="n">
        <v>0</v>
      </c>
      <c r="AX1743" s="51" t="n">
        <v>0</v>
      </c>
      <c r="AY1743" s="52" t="n">
        <v>0</v>
      </c>
      <c r="AZ1743" s="52" t="n">
        <v>0</v>
      </c>
      <c r="BA1743" s="52" t="n">
        <v>0</v>
      </c>
      <c r="BB1743" s="53" t="n">
        <v>0</v>
      </c>
      <c r="BC1743" s="52" t="n">
        <v>0</v>
      </c>
      <c r="BD1743" s="53" t="n">
        <v>0</v>
      </c>
      <c r="BE1743" s="52" t="n">
        <v>0</v>
      </c>
      <c r="BF1743" s="51" t="n">
        <v>0</v>
      </c>
    </row>
    <row r="1744">
      <c r="A1744">
        <f>HYPERLINK("https://www.walmart.com/ip/10303765088", "10303765088")</f>
        <v/>
      </c>
      <c r="B1744" t="inlineStr">
        <is>
          <t>Wrangler Men’s Full Grain Genuine Leather 35mm Thick Casual Belt for Jeans, Pants - Light Brown, 40</t>
        </is>
      </c>
      <c r="C1744" t="inlineStr">
        <is>
          <t>WR-BELT-MENS-35MM-LTBROWN-40</t>
        </is>
      </c>
      <c r="D1744" t="inlineStr">
        <is>
          <t>Belts</t>
        </is>
      </c>
      <c r="E1744" t="inlineStr">
        <is>
          <t>Wrangler</t>
        </is>
      </c>
      <c r="F1744" t="inlineStr">
        <is>
          <t>Belts</t>
        </is>
      </c>
      <c r="G1744" s="48" t="n">
        <v>0</v>
      </c>
      <c r="H1744" s="49" t="n">
        <v>0</v>
      </c>
      <c r="I1744" s="49" t="n">
        <v>0</v>
      </c>
      <c r="J1744" s="50" t="n">
        <v>0</v>
      </c>
      <c r="K1744" s="51" t="n">
        <v>0</v>
      </c>
      <c r="L1744" s="52" t="n">
        <v>0</v>
      </c>
      <c r="M1744" s="52" t="n">
        <v>0</v>
      </c>
      <c r="N1744" s="52" t="n">
        <v>0</v>
      </c>
      <c r="O1744" s="53" t="n">
        <v>0</v>
      </c>
      <c r="P1744" s="52" t="n">
        <v>0</v>
      </c>
      <c r="Q1744" s="53" t="n">
        <v>0</v>
      </c>
      <c r="R1744" s="52" t="n">
        <v>0</v>
      </c>
      <c r="S1744" s="51" t="n">
        <v>0</v>
      </c>
      <c r="T1744" s="48" t="n">
        <v>0</v>
      </c>
      <c r="U1744" s="49" t="n">
        <v>0</v>
      </c>
      <c r="V1744" s="49" t="n">
        <v>0</v>
      </c>
      <c r="W1744" s="50" t="n">
        <v>0</v>
      </c>
      <c r="X1744" s="51" t="n">
        <v>0</v>
      </c>
      <c r="Y1744" s="52" t="n">
        <v>0</v>
      </c>
      <c r="Z1744" s="52" t="n">
        <v>0</v>
      </c>
      <c r="AA1744" s="52" t="n">
        <v>0</v>
      </c>
      <c r="AB1744" s="53" t="n">
        <v>0</v>
      </c>
      <c r="AC1744" s="52" t="n">
        <v>0</v>
      </c>
      <c r="AD1744" s="53" t="n">
        <v>0</v>
      </c>
      <c r="AE1744" s="52" t="n">
        <v>0</v>
      </c>
      <c r="AF1744" s="51" t="n">
        <v>0</v>
      </c>
      <c r="AG1744" s="48" t="n">
        <v>0</v>
      </c>
      <c r="AH1744" s="49" t="n">
        <v>0</v>
      </c>
      <c r="AI1744" s="49" t="n">
        <v>0</v>
      </c>
      <c r="AJ1744" s="50" t="n">
        <v>0</v>
      </c>
      <c r="AK1744" s="51" t="n">
        <v>0</v>
      </c>
      <c r="AL1744" s="52" t="n">
        <v>0</v>
      </c>
      <c r="AM1744" s="52" t="n">
        <v>0</v>
      </c>
      <c r="AN1744" s="52" t="n">
        <v>0</v>
      </c>
      <c r="AO1744" s="53" t="n">
        <v>0</v>
      </c>
      <c r="AP1744" s="52" t="n">
        <v>0</v>
      </c>
      <c r="AQ1744" s="53" t="n">
        <v>0</v>
      </c>
      <c r="AR1744" s="52" t="n">
        <v>0</v>
      </c>
      <c r="AS1744" s="51" t="n">
        <v>0</v>
      </c>
      <c r="AT1744" s="48" t="n">
        <v>0</v>
      </c>
      <c r="AU1744" s="49" t="n">
        <v>0</v>
      </c>
      <c r="AV1744" s="49" t="n">
        <v>0</v>
      </c>
      <c r="AW1744" s="50" t="n">
        <v>0</v>
      </c>
      <c r="AX1744" s="51" t="n">
        <v>0</v>
      </c>
      <c r="AY1744" s="52" t="n">
        <v>0</v>
      </c>
      <c r="AZ1744" s="52" t="n">
        <v>0</v>
      </c>
      <c r="BA1744" s="52" t="n">
        <v>0</v>
      </c>
      <c r="BB1744" s="53" t="n">
        <v>0</v>
      </c>
      <c r="BC1744" s="52" t="n">
        <v>0</v>
      </c>
      <c r="BD1744" s="53" t="n">
        <v>0</v>
      </c>
      <c r="BE1744" s="52" t="n">
        <v>0</v>
      </c>
      <c r="BF1744" s="51" t="n">
        <v>0</v>
      </c>
    </row>
    <row r="1745">
      <c r="A1745">
        <f>HYPERLINK("https://www.walmart.com/ip/10306055739", "10306055739")</f>
        <v/>
      </c>
      <c r="B1745" t="inlineStr">
        <is>
          <t>PEANUTS Toddler Boys Girls Snoopy Family Matching Pajamas 2-Piece Sets for Christmas with Woodstock Charlie Brown Linus (Green Polka Dot, 4T)</t>
        </is>
      </c>
      <c r="C1745" t="inlineStr">
        <is>
          <t>PEA-PJS-FAMILY-TODDLER-GREEN-4T</t>
        </is>
      </c>
      <c r="D1745" t="inlineStr">
        <is>
          <t>Pajamas</t>
        </is>
      </c>
      <c r="E1745" t="inlineStr">
        <is>
          <t>Peanuts</t>
        </is>
      </c>
      <c r="G1745" s="48" t="n">
        <v>0</v>
      </c>
      <c r="H1745" s="49" t="n">
        <v>0</v>
      </c>
      <c r="I1745" s="49" t="n">
        <v>0</v>
      </c>
      <c r="J1745" s="50" t="n">
        <v>0</v>
      </c>
      <c r="K1745" s="51" t="n">
        <v>0</v>
      </c>
      <c r="L1745" s="52" t="n">
        <v>0</v>
      </c>
      <c r="M1745" s="52" t="n">
        <v>0</v>
      </c>
      <c r="N1745" s="52" t="n">
        <v>0</v>
      </c>
      <c r="O1745" s="53" t="n">
        <v>0</v>
      </c>
      <c r="P1745" s="52" t="n">
        <v>0</v>
      </c>
      <c r="Q1745" s="53" t="n">
        <v>0</v>
      </c>
      <c r="R1745" s="52" t="n">
        <v>0</v>
      </c>
      <c r="S1745" s="51" t="n">
        <v>0</v>
      </c>
      <c r="T1745" s="48" t="n">
        <v>0</v>
      </c>
      <c r="U1745" s="49" t="n">
        <v>0</v>
      </c>
      <c r="V1745" s="49" t="n">
        <v>0</v>
      </c>
      <c r="W1745" s="50" t="n">
        <v>0</v>
      </c>
      <c r="X1745" s="51" t="n">
        <v>0</v>
      </c>
      <c r="Y1745" s="52" t="n">
        <v>0</v>
      </c>
      <c r="Z1745" s="52" t="n">
        <v>0</v>
      </c>
      <c r="AA1745" s="52" t="n">
        <v>0</v>
      </c>
      <c r="AB1745" s="53" t="n">
        <v>0</v>
      </c>
      <c r="AC1745" s="52" t="n">
        <v>0</v>
      </c>
      <c r="AD1745" s="53" t="n">
        <v>0</v>
      </c>
      <c r="AE1745" s="52" t="n">
        <v>0</v>
      </c>
      <c r="AF1745" s="51" t="n">
        <v>0</v>
      </c>
      <c r="AG1745" s="48" t="n">
        <v>0</v>
      </c>
      <c r="AH1745" s="49" t="n">
        <v>0</v>
      </c>
      <c r="AI1745" s="49" t="n">
        <v>0</v>
      </c>
      <c r="AJ1745" s="50" t="n">
        <v>0</v>
      </c>
      <c r="AK1745" s="51" t="n">
        <v>0</v>
      </c>
      <c r="AL1745" s="52" t="n">
        <v>0</v>
      </c>
      <c r="AM1745" s="52" t="n">
        <v>0</v>
      </c>
      <c r="AN1745" s="52" t="n">
        <v>0</v>
      </c>
      <c r="AO1745" s="53" t="n">
        <v>0</v>
      </c>
      <c r="AP1745" s="52" t="n">
        <v>0</v>
      </c>
      <c r="AQ1745" s="53" t="n">
        <v>0</v>
      </c>
      <c r="AR1745" s="52" t="n">
        <v>0</v>
      </c>
      <c r="AS1745" s="51" t="n">
        <v>0</v>
      </c>
      <c r="AT1745" s="48" t="n">
        <v>0</v>
      </c>
      <c r="AU1745" s="49" t="n">
        <v>0</v>
      </c>
      <c r="AV1745" s="49" t="n">
        <v>0</v>
      </c>
      <c r="AW1745" s="50" t="n">
        <v>0</v>
      </c>
      <c r="AX1745" s="51" t="n">
        <v>0</v>
      </c>
      <c r="AY1745" s="52" t="n">
        <v>0</v>
      </c>
      <c r="AZ1745" s="52" t="n">
        <v>0</v>
      </c>
      <c r="BA1745" s="52" t="n">
        <v>0</v>
      </c>
      <c r="BB1745" s="53" t="n">
        <v>0</v>
      </c>
      <c r="BC1745" s="52" t="n">
        <v>0</v>
      </c>
      <c r="BD1745" s="53" t="n">
        <v>0</v>
      </c>
      <c r="BE1745" s="52" t="n">
        <v>0</v>
      </c>
      <c r="BF1745" s="51" t="n">
        <v>0</v>
      </c>
    </row>
    <row r="1746">
      <c r="A1746">
        <f>HYPERLINK("https://www.walmart.com/ip/10306805832", "10306805832")</f>
        <v/>
      </c>
      <c r="B1746" t="inlineStr">
        <is>
          <t>Every Day is Christmas Glass Blown Ornaments Cute Hand Made Figurines Tree Decoration, Tacos Set of 2</t>
        </is>
      </c>
      <c r="C1746" t="inlineStr">
        <is>
          <t>EDC-FIGURINE-WP292</t>
        </is>
      </c>
      <c r="D1746" t="inlineStr">
        <is>
          <t>Ornaments</t>
        </is>
      </c>
      <c r="E1746" t="inlineStr">
        <is>
          <t>Every Day is Christmas</t>
        </is>
      </c>
      <c r="G1746" s="48" t="n">
        <v>0</v>
      </c>
      <c r="H1746" s="49" t="n">
        <v>0</v>
      </c>
      <c r="I1746" s="49" t="n">
        <v>0</v>
      </c>
      <c r="J1746" s="50" t="n">
        <v>0</v>
      </c>
      <c r="K1746" s="51" t="n">
        <v>0</v>
      </c>
      <c r="L1746" s="52" t="n">
        <v>0</v>
      </c>
      <c r="M1746" s="52" t="n">
        <v>0</v>
      </c>
      <c r="N1746" s="52" t="n">
        <v>0</v>
      </c>
      <c r="O1746" s="53" t="n">
        <v>0</v>
      </c>
      <c r="P1746" s="52" t="n">
        <v>0</v>
      </c>
      <c r="Q1746" s="53" t="n">
        <v>0</v>
      </c>
      <c r="R1746" s="52" t="n">
        <v>0</v>
      </c>
      <c r="S1746" s="51" t="n">
        <v>0</v>
      </c>
      <c r="T1746" s="48" t="n">
        <v>0</v>
      </c>
      <c r="U1746" s="49" t="n">
        <v>0</v>
      </c>
      <c r="V1746" s="49" t="n">
        <v>0</v>
      </c>
      <c r="W1746" s="50" t="n">
        <v>0</v>
      </c>
      <c r="X1746" s="51" t="n">
        <v>0</v>
      </c>
      <c r="Y1746" s="52" t="n">
        <v>0</v>
      </c>
      <c r="Z1746" s="52" t="n">
        <v>0</v>
      </c>
      <c r="AA1746" s="52" t="n">
        <v>0</v>
      </c>
      <c r="AB1746" s="53" t="n">
        <v>0</v>
      </c>
      <c r="AC1746" s="52" t="n">
        <v>0</v>
      </c>
      <c r="AD1746" s="53" t="n">
        <v>0</v>
      </c>
      <c r="AE1746" s="52" t="n">
        <v>0</v>
      </c>
      <c r="AF1746" s="51" t="n">
        <v>0</v>
      </c>
      <c r="AG1746" s="48" t="n">
        <v>0</v>
      </c>
      <c r="AH1746" s="49" t="n">
        <v>0</v>
      </c>
      <c r="AI1746" s="49" t="n">
        <v>0</v>
      </c>
      <c r="AJ1746" s="50" t="n">
        <v>0</v>
      </c>
      <c r="AK1746" s="51" t="n">
        <v>0</v>
      </c>
      <c r="AL1746" s="52" t="n">
        <v>0</v>
      </c>
      <c r="AM1746" s="52" t="n">
        <v>0</v>
      </c>
      <c r="AN1746" s="52" t="n">
        <v>0</v>
      </c>
      <c r="AO1746" s="53" t="n">
        <v>0</v>
      </c>
      <c r="AP1746" s="52" t="n">
        <v>0</v>
      </c>
      <c r="AQ1746" s="53" t="n">
        <v>0</v>
      </c>
      <c r="AR1746" s="52" t="n">
        <v>0</v>
      </c>
      <c r="AS1746" s="51" t="n">
        <v>0</v>
      </c>
      <c r="AT1746" s="48" t="n">
        <v>0</v>
      </c>
      <c r="AU1746" s="49" t="n">
        <v>0</v>
      </c>
      <c r="AV1746" s="49" t="n">
        <v>0</v>
      </c>
      <c r="AW1746" s="50" t="n">
        <v>0</v>
      </c>
      <c r="AX1746" s="51" t="n">
        <v>0</v>
      </c>
      <c r="AY1746" s="52" t="n">
        <v>0</v>
      </c>
      <c r="AZ1746" s="52" t="n">
        <v>0</v>
      </c>
      <c r="BA1746" s="52" t="n">
        <v>0</v>
      </c>
      <c r="BB1746" s="53" t="n">
        <v>0</v>
      </c>
      <c r="BC1746" s="52" t="n">
        <v>0</v>
      </c>
      <c r="BD1746" s="53" t="n">
        <v>0</v>
      </c>
      <c r="BE1746" s="52" t="n">
        <v>0</v>
      </c>
      <c r="BF1746" s="51" t="n">
        <v>0</v>
      </c>
    </row>
    <row r="1747">
      <c r="A1747">
        <f>HYPERLINK("https://www.walmart.com/ip/10308212702", "10308212702")</f>
        <v/>
      </c>
      <c r="B1747" t="inlineStr">
        <is>
          <t>Dickies Tradesman Backpack, Water Resistant Casual Daypack for Travel Work School, Fits 15.6 Inch Notebook (Brown Duck)</t>
        </is>
      </c>
      <c r="C1747" t="inlineStr">
        <is>
          <t>DK-BACKPACK-15168-BLACK</t>
        </is>
      </c>
      <c r="D1747" t="inlineStr">
        <is>
          <t>Backpacks</t>
        </is>
      </c>
      <c r="E1747" t="inlineStr">
        <is>
          <t>Dickies</t>
        </is>
      </c>
      <c r="G1747" s="48" t="n">
        <v>0</v>
      </c>
      <c r="H1747" s="49" t="n">
        <v>0</v>
      </c>
      <c r="I1747" s="49" t="n">
        <v>0</v>
      </c>
      <c r="J1747" s="50" t="n">
        <v>0</v>
      </c>
      <c r="K1747" s="51" t="n">
        <v>0</v>
      </c>
      <c r="L1747" s="52" t="n">
        <v>0</v>
      </c>
      <c r="M1747" s="52" t="n">
        <v>0</v>
      </c>
      <c r="N1747" s="52" t="n">
        <v>0</v>
      </c>
      <c r="O1747" s="53" t="n">
        <v>0</v>
      </c>
      <c r="P1747" s="52" t="n">
        <v>0</v>
      </c>
      <c r="Q1747" s="53" t="n">
        <v>0</v>
      </c>
      <c r="R1747" s="52" t="n">
        <v>0</v>
      </c>
      <c r="S1747" s="51" t="n">
        <v>0</v>
      </c>
      <c r="T1747" s="48" t="n">
        <v>0</v>
      </c>
      <c r="U1747" s="49" t="n">
        <v>0</v>
      </c>
      <c r="V1747" s="49" t="n">
        <v>0</v>
      </c>
      <c r="W1747" s="50" t="n">
        <v>0</v>
      </c>
      <c r="X1747" s="51" t="n">
        <v>0</v>
      </c>
      <c r="Y1747" s="52" t="n">
        <v>0</v>
      </c>
      <c r="Z1747" s="52" t="n">
        <v>0</v>
      </c>
      <c r="AA1747" s="52" t="n">
        <v>0</v>
      </c>
      <c r="AB1747" s="53" t="n">
        <v>0</v>
      </c>
      <c r="AC1747" s="52" t="n">
        <v>0</v>
      </c>
      <c r="AD1747" s="53" t="n">
        <v>0</v>
      </c>
      <c r="AE1747" s="52" t="n">
        <v>0</v>
      </c>
      <c r="AF1747" s="51" t="n">
        <v>0</v>
      </c>
      <c r="AG1747" s="48" t="n">
        <v>0</v>
      </c>
      <c r="AH1747" s="49" t="n">
        <v>0</v>
      </c>
      <c r="AI1747" s="49" t="n">
        <v>0</v>
      </c>
      <c r="AJ1747" s="50" t="n">
        <v>0</v>
      </c>
      <c r="AK1747" s="51" t="n">
        <v>0</v>
      </c>
      <c r="AL1747" s="52" t="n">
        <v>0</v>
      </c>
      <c r="AM1747" s="52" t="n">
        <v>0</v>
      </c>
      <c r="AN1747" s="52" t="n">
        <v>0</v>
      </c>
      <c r="AO1747" s="53" t="n">
        <v>0</v>
      </c>
      <c r="AP1747" s="52" t="n">
        <v>0</v>
      </c>
      <c r="AQ1747" s="53" t="n">
        <v>0</v>
      </c>
      <c r="AR1747" s="52" t="n">
        <v>0</v>
      </c>
      <c r="AS1747" s="51" t="n">
        <v>0</v>
      </c>
      <c r="AT1747" s="48" t="n">
        <v>34.99</v>
      </c>
      <c r="AU1747" s="49" t="n">
        <v>1</v>
      </c>
      <c r="AV1747" s="49" t="n">
        <v>0</v>
      </c>
      <c r="AW1747" s="50" t="n">
        <v>0</v>
      </c>
      <c r="AX1747" s="51" t="n">
        <v>0</v>
      </c>
      <c r="AY1747" s="52" t="n">
        <v>0</v>
      </c>
      <c r="AZ1747" s="52" t="n">
        <v>0</v>
      </c>
      <c r="BA1747" s="52" t="n">
        <v>0</v>
      </c>
      <c r="BB1747" s="53" t="n">
        <v>0</v>
      </c>
      <c r="BC1747" s="52" t="n">
        <v>0</v>
      </c>
      <c r="BD1747" s="53" t="n">
        <v>0</v>
      </c>
      <c r="BE1747" s="52" t="n">
        <v>34.99</v>
      </c>
      <c r="BF1747" s="51" t="n">
        <v>0</v>
      </c>
    </row>
    <row r="1748">
      <c r="A1748">
        <f>HYPERLINK("https://www.walmart.com/ip/103095662", "103095662")</f>
        <v/>
      </c>
      <c r="B1748" t="inlineStr">
        <is>
          <t>JenniWears Women's Stretch Mesh Bikini Panty with Open Back Heart Detail, Sexy Underwear for Women, Leopard</t>
        </is>
      </c>
      <c r="C1748" t="inlineStr">
        <is>
          <t>JWPT02LE-XL</t>
        </is>
      </c>
      <c r="D1748" t="inlineStr">
        <is>
          <t>Panties</t>
        </is>
      </c>
      <c r="E1748" t="inlineStr">
        <is>
          <t>JenniWears</t>
        </is>
      </c>
      <c r="F1748" t="inlineStr">
        <is>
          <t>WFS,Valentine,WFS Item</t>
        </is>
      </c>
      <c r="G1748" s="48" t="n">
        <v>0</v>
      </c>
      <c r="H1748" s="49" t="n">
        <v>0</v>
      </c>
      <c r="I1748" s="49" t="n">
        <v>0</v>
      </c>
      <c r="J1748" s="50" t="n">
        <v>0</v>
      </c>
      <c r="K1748" s="51" t="n">
        <v>0</v>
      </c>
      <c r="L1748" s="52" t="n">
        <v>0</v>
      </c>
      <c r="M1748" s="52" t="n">
        <v>0</v>
      </c>
      <c r="N1748" s="52" t="n">
        <v>0</v>
      </c>
      <c r="O1748" s="53" t="n">
        <v>0</v>
      </c>
      <c r="P1748" s="52" t="n">
        <v>0</v>
      </c>
      <c r="Q1748" s="53" t="n">
        <v>0</v>
      </c>
      <c r="R1748" s="52" t="n">
        <v>0</v>
      </c>
      <c r="S1748" s="51" t="n">
        <v>0</v>
      </c>
      <c r="T1748" s="48" t="n">
        <v>0</v>
      </c>
      <c r="U1748" s="49" t="n">
        <v>0</v>
      </c>
      <c r="V1748" s="49" t="n">
        <v>0</v>
      </c>
      <c r="W1748" s="50" t="n">
        <v>0</v>
      </c>
      <c r="X1748" s="51" t="n">
        <v>0</v>
      </c>
      <c r="Y1748" s="52" t="n">
        <v>0</v>
      </c>
      <c r="Z1748" s="52" t="n">
        <v>0</v>
      </c>
      <c r="AA1748" s="52" t="n">
        <v>0</v>
      </c>
      <c r="AB1748" s="53" t="n">
        <v>0</v>
      </c>
      <c r="AC1748" s="52" t="n">
        <v>0</v>
      </c>
      <c r="AD1748" s="53" t="n">
        <v>0</v>
      </c>
      <c r="AE1748" s="52" t="n">
        <v>0</v>
      </c>
      <c r="AF1748" s="51" t="n">
        <v>0</v>
      </c>
      <c r="AG1748" s="48" t="n">
        <v>0</v>
      </c>
      <c r="AH1748" s="49" t="n">
        <v>0</v>
      </c>
      <c r="AI1748" s="49" t="n">
        <v>0</v>
      </c>
      <c r="AJ1748" s="50" t="n">
        <v>0</v>
      </c>
      <c r="AK1748" s="51" t="n">
        <v>0</v>
      </c>
      <c r="AL1748" s="52" t="n">
        <v>0</v>
      </c>
      <c r="AM1748" s="52" t="n">
        <v>0</v>
      </c>
      <c r="AN1748" s="52" t="n">
        <v>0</v>
      </c>
      <c r="AO1748" s="53" t="n">
        <v>0</v>
      </c>
      <c r="AP1748" s="52" t="n">
        <v>0</v>
      </c>
      <c r="AQ1748" s="53" t="n">
        <v>0</v>
      </c>
      <c r="AR1748" s="52" t="n">
        <v>0</v>
      </c>
      <c r="AS1748" s="51" t="n">
        <v>0</v>
      </c>
      <c r="AT1748" s="48" t="n">
        <v>0</v>
      </c>
      <c r="AU1748" s="49" t="n">
        <v>0</v>
      </c>
      <c r="AV1748" s="49" t="n">
        <v>0</v>
      </c>
      <c r="AW1748" s="50" t="n">
        <v>0</v>
      </c>
      <c r="AX1748" s="51" t="n">
        <v>0</v>
      </c>
      <c r="AY1748" s="52" t="n">
        <v>0</v>
      </c>
      <c r="AZ1748" s="52" t="n">
        <v>0</v>
      </c>
      <c r="BA1748" s="52" t="n">
        <v>0</v>
      </c>
      <c r="BB1748" s="53" t="n">
        <v>0</v>
      </c>
      <c r="BC1748" s="52" t="n">
        <v>0</v>
      </c>
      <c r="BD1748" s="53" t="n">
        <v>0</v>
      </c>
      <c r="BE1748" s="52" t="n">
        <v>0</v>
      </c>
      <c r="BF1748" s="51" t="n">
        <v>0</v>
      </c>
    </row>
    <row r="1749">
      <c r="A1749">
        <f>HYPERLINK("https://www.walmart.com/ip/103163689", "103163689")</f>
        <v/>
      </c>
      <c r="B1749" t="inlineStr">
        <is>
          <t>KC Caps Race Collection Caps with High Quality USA Fag Racing Graphic</t>
        </is>
      </c>
      <c r="C1749" t="inlineStr">
        <is>
          <t>KC-AS05</t>
        </is>
      </c>
      <c r="D1749" t="inlineStr">
        <is>
          <t>Hats</t>
        </is>
      </c>
      <c r="E1749" t="inlineStr">
        <is>
          <t>KC Caps</t>
        </is>
      </c>
      <c r="F1749" t="inlineStr">
        <is>
          <t>Optimized</t>
        </is>
      </c>
      <c r="G1749" s="48" t="n">
        <v>0</v>
      </c>
      <c r="H1749" s="49" t="n">
        <v>0</v>
      </c>
      <c r="I1749" s="49" t="n">
        <v>0</v>
      </c>
      <c r="J1749" s="50" t="n">
        <v>0</v>
      </c>
      <c r="K1749" s="51" t="n">
        <v>0</v>
      </c>
      <c r="L1749" s="52" t="n">
        <v>0</v>
      </c>
      <c r="M1749" s="52" t="n">
        <v>0</v>
      </c>
      <c r="N1749" s="52" t="n">
        <v>0</v>
      </c>
      <c r="O1749" s="53" t="n">
        <v>0</v>
      </c>
      <c r="P1749" s="52" t="n">
        <v>0</v>
      </c>
      <c r="Q1749" s="53" t="n">
        <v>0</v>
      </c>
      <c r="R1749" s="52" t="n">
        <v>0</v>
      </c>
      <c r="S1749" s="51" t="n">
        <v>0</v>
      </c>
      <c r="T1749" s="48" t="n">
        <v>0</v>
      </c>
      <c r="U1749" s="49" t="n">
        <v>0</v>
      </c>
      <c r="V1749" s="49" t="n">
        <v>0</v>
      </c>
      <c r="W1749" s="50" t="n">
        <v>0</v>
      </c>
      <c r="X1749" s="51" t="n">
        <v>0</v>
      </c>
      <c r="Y1749" s="52" t="n">
        <v>0</v>
      </c>
      <c r="Z1749" s="52" t="n">
        <v>0</v>
      </c>
      <c r="AA1749" s="52" t="n">
        <v>0</v>
      </c>
      <c r="AB1749" s="53" t="n">
        <v>0</v>
      </c>
      <c r="AC1749" s="52" t="n">
        <v>0</v>
      </c>
      <c r="AD1749" s="53" t="n">
        <v>0</v>
      </c>
      <c r="AE1749" s="52" t="n">
        <v>0</v>
      </c>
      <c r="AF1749" s="51" t="n">
        <v>0</v>
      </c>
      <c r="AG1749" s="48" t="n">
        <v>0</v>
      </c>
      <c r="AH1749" s="49" t="n">
        <v>0</v>
      </c>
      <c r="AI1749" s="49" t="n">
        <v>0</v>
      </c>
      <c r="AJ1749" s="50" t="n">
        <v>0</v>
      </c>
      <c r="AK1749" s="51" t="n">
        <v>0</v>
      </c>
      <c r="AL1749" s="52" t="n">
        <v>0</v>
      </c>
      <c r="AM1749" s="52" t="n">
        <v>0</v>
      </c>
      <c r="AN1749" s="52" t="n">
        <v>0</v>
      </c>
      <c r="AO1749" s="53" t="n">
        <v>0</v>
      </c>
      <c r="AP1749" s="52" t="n">
        <v>0</v>
      </c>
      <c r="AQ1749" s="53" t="n">
        <v>0</v>
      </c>
      <c r="AR1749" s="52" t="n">
        <v>0</v>
      </c>
      <c r="AS1749" s="51" t="n">
        <v>0</v>
      </c>
      <c r="AT1749" s="48" t="n">
        <v>0</v>
      </c>
      <c r="AU1749" s="49" t="n">
        <v>0</v>
      </c>
      <c r="AV1749" s="49" t="n">
        <v>0</v>
      </c>
      <c r="AW1749" s="50" t="n">
        <v>0</v>
      </c>
      <c r="AX1749" s="51" t="n">
        <v>0</v>
      </c>
      <c r="AY1749" s="52" t="n">
        <v>0</v>
      </c>
      <c r="AZ1749" s="52" t="n">
        <v>0</v>
      </c>
      <c r="BA1749" s="52" t="n">
        <v>0</v>
      </c>
      <c r="BB1749" s="53" t="n">
        <v>0</v>
      </c>
      <c r="BC1749" s="52" t="n">
        <v>0</v>
      </c>
      <c r="BD1749" s="53" t="n">
        <v>0</v>
      </c>
      <c r="BE1749" s="52" t="n">
        <v>0</v>
      </c>
      <c r="BF1749" s="51" t="n">
        <v>0</v>
      </c>
    </row>
    <row r="1750">
      <c r="A1750">
        <f>HYPERLINK("https://www.walmart.com/ip/10320160728", "10320160728")</f>
        <v/>
      </c>
      <c r="B1750" t="inlineStr">
        <is>
          <t>Every Day is Christmas Glass Blown Ornaments Cute Hand Made Figurines Tree Decoration, Limes Set of 3</t>
        </is>
      </c>
      <c r="C1750" t="inlineStr">
        <is>
          <t>EDC-FIGURINE-BC334</t>
        </is>
      </c>
      <c r="D1750" t="inlineStr">
        <is>
          <t>Ornaments</t>
        </is>
      </c>
      <c r="E1750" t="inlineStr">
        <is>
          <t>Every Day is Christmas</t>
        </is>
      </c>
      <c r="G1750" s="48" t="n">
        <v>0</v>
      </c>
      <c r="H1750" s="49" t="n">
        <v>0</v>
      </c>
      <c r="I1750" s="49" t="n">
        <v>0</v>
      </c>
      <c r="J1750" s="50" t="n">
        <v>0</v>
      </c>
      <c r="K1750" s="51" t="n">
        <v>0</v>
      </c>
      <c r="L1750" s="52" t="n">
        <v>0</v>
      </c>
      <c r="M1750" s="52" t="n">
        <v>0</v>
      </c>
      <c r="N1750" s="52" t="n">
        <v>0</v>
      </c>
      <c r="O1750" s="53" t="n">
        <v>0</v>
      </c>
      <c r="P1750" s="52" t="n">
        <v>0</v>
      </c>
      <c r="Q1750" s="53" t="n">
        <v>0</v>
      </c>
      <c r="R1750" s="52" t="n">
        <v>0</v>
      </c>
      <c r="S1750" s="51" t="n">
        <v>0</v>
      </c>
      <c r="T1750" s="48" t="n">
        <v>0</v>
      </c>
      <c r="U1750" s="49" t="n">
        <v>0</v>
      </c>
      <c r="V1750" s="49" t="n">
        <v>0</v>
      </c>
      <c r="W1750" s="50" t="n">
        <v>0</v>
      </c>
      <c r="X1750" s="51" t="n">
        <v>0</v>
      </c>
      <c r="Y1750" s="52" t="n">
        <v>0</v>
      </c>
      <c r="Z1750" s="52" t="n">
        <v>0</v>
      </c>
      <c r="AA1750" s="52" t="n">
        <v>0</v>
      </c>
      <c r="AB1750" s="53" t="n">
        <v>0</v>
      </c>
      <c r="AC1750" s="52" t="n">
        <v>0</v>
      </c>
      <c r="AD1750" s="53" t="n">
        <v>0</v>
      </c>
      <c r="AE1750" s="52" t="n">
        <v>0</v>
      </c>
      <c r="AF1750" s="51" t="n">
        <v>0</v>
      </c>
      <c r="AG1750" s="48" t="n">
        <v>0</v>
      </c>
      <c r="AH1750" s="49" t="n">
        <v>0</v>
      </c>
      <c r="AI1750" s="49" t="n">
        <v>0</v>
      </c>
      <c r="AJ1750" s="50" t="n">
        <v>0</v>
      </c>
      <c r="AK1750" s="51" t="n">
        <v>0</v>
      </c>
      <c r="AL1750" s="52" t="n">
        <v>0</v>
      </c>
      <c r="AM1750" s="52" t="n">
        <v>0</v>
      </c>
      <c r="AN1750" s="52" t="n">
        <v>0</v>
      </c>
      <c r="AO1750" s="53" t="n">
        <v>0</v>
      </c>
      <c r="AP1750" s="52" t="n">
        <v>0</v>
      </c>
      <c r="AQ1750" s="53" t="n">
        <v>0</v>
      </c>
      <c r="AR1750" s="52" t="n">
        <v>0</v>
      </c>
      <c r="AS1750" s="51" t="n">
        <v>0</v>
      </c>
      <c r="AT1750" s="48" t="n">
        <v>0</v>
      </c>
      <c r="AU1750" s="49" t="n">
        <v>0</v>
      </c>
      <c r="AV1750" s="49" t="n">
        <v>0</v>
      </c>
      <c r="AW1750" s="50" t="n">
        <v>0</v>
      </c>
      <c r="AX1750" s="51" t="n">
        <v>0</v>
      </c>
      <c r="AY1750" s="52" t="n">
        <v>0</v>
      </c>
      <c r="AZ1750" s="52" t="n">
        <v>0</v>
      </c>
      <c r="BA1750" s="52" t="n">
        <v>0</v>
      </c>
      <c r="BB1750" s="53" t="n">
        <v>0</v>
      </c>
      <c r="BC1750" s="52" t="n">
        <v>0</v>
      </c>
      <c r="BD1750" s="53" t="n">
        <v>0</v>
      </c>
      <c r="BE1750" s="52" t="n">
        <v>0</v>
      </c>
      <c r="BF1750" s="51" t="n">
        <v>0</v>
      </c>
    </row>
    <row r="1751">
      <c r="A1751">
        <f>HYPERLINK("https://www.walmart.com/ip/103201745", "103201745")</f>
        <v/>
      </c>
      <c r="B1751" t="inlineStr">
        <is>
          <t>JenniWears Women's Beileise  Sexy Crotchless Suspender Pantyhose Stockings Black - 6 Packs</t>
        </is>
      </c>
      <c r="C1751" t="inlineStr">
        <is>
          <t>JWBLSPH2028-6pcs</t>
        </is>
      </c>
      <c r="D1751" t="inlineStr">
        <is>
          <t>Pantyhose &amp; Tights</t>
        </is>
      </c>
      <c r="E1751" t="inlineStr">
        <is>
          <t>JenniWears</t>
        </is>
      </c>
      <c r="F1751" t="inlineStr">
        <is>
          <t>Optimized,WFS,Valentine,WFS Item</t>
        </is>
      </c>
      <c r="G1751" s="48" t="n">
        <v>0</v>
      </c>
      <c r="H1751" s="49" t="n">
        <v>0</v>
      </c>
      <c r="I1751" s="49" t="n">
        <v>0</v>
      </c>
      <c r="J1751" s="50" t="n">
        <v>0</v>
      </c>
      <c r="K1751" s="51" t="n">
        <v>0</v>
      </c>
      <c r="L1751" s="52" t="n">
        <v>0</v>
      </c>
      <c r="M1751" s="52" t="n">
        <v>0</v>
      </c>
      <c r="N1751" s="52" t="n">
        <v>0</v>
      </c>
      <c r="O1751" s="53" t="n">
        <v>0</v>
      </c>
      <c r="P1751" s="52" t="n">
        <v>0</v>
      </c>
      <c r="Q1751" s="53" t="n">
        <v>0</v>
      </c>
      <c r="R1751" s="52" t="n">
        <v>0</v>
      </c>
      <c r="S1751" s="51" t="n">
        <v>0</v>
      </c>
      <c r="T1751" s="48" t="n">
        <v>0</v>
      </c>
      <c r="U1751" s="49" t="n">
        <v>0</v>
      </c>
      <c r="V1751" s="49" t="n">
        <v>0</v>
      </c>
      <c r="W1751" s="50" t="n">
        <v>0</v>
      </c>
      <c r="X1751" s="51" t="n">
        <v>0</v>
      </c>
      <c r="Y1751" s="52" t="n">
        <v>0</v>
      </c>
      <c r="Z1751" s="52" t="n">
        <v>0</v>
      </c>
      <c r="AA1751" s="52" t="n">
        <v>0</v>
      </c>
      <c r="AB1751" s="53" t="n">
        <v>0</v>
      </c>
      <c r="AC1751" s="52" t="n">
        <v>0</v>
      </c>
      <c r="AD1751" s="53" t="n">
        <v>0</v>
      </c>
      <c r="AE1751" s="52" t="n">
        <v>0</v>
      </c>
      <c r="AF1751" s="51" t="n">
        <v>0</v>
      </c>
      <c r="AG1751" s="48" t="n">
        <v>0</v>
      </c>
      <c r="AH1751" s="49" t="n">
        <v>0</v>
      </c>
      <c r="AI1751" s="49" t="n">
        <v>0</v>
      </c>
      <c r="AJ1751" s="50" t="n">
        <v>0</v>
      </c>
      <c r="AK1751" s="51" t="n">
        <v>0</v>
      </c>
      <c r="AL1751" s="52" t="n">
        <v>0</v>
      </c>
      <c r="AM1751" s="52" t="n">
        <v>0</v>
      </c>
      <c r="AN1751" s="52" t="n">
        <v>0</v>
      </c>
      <c r="AO1751" s="53" t="n">
        <v>0</v>
      </c>
      <c r="AP1751" s="52" t="n">
        <v>0</v>
      </c>
      <c r="AQ1751" s="53" t="n">
        <v>0</v>
      </c>
      <c r="AR1751" s="52" t="n">
        <v>0</v>
      </c>
      <c r="AS1751" s="51" t="n">
        <v>0</v>
      </c>
      <c r="AT1751" s="48" t="n">
        <v>0</v>
      </c>
      <c r="AU1751" s="49" t="n">
        <v>0</v>
      </c>
      <c r="AV1751" s="49" t="n">
        <v>0</v>
      </c>
      <c r="AW1751" s="50" t="n">
        <v>0</v>
      </c>
      <c r="AX1751" s="51" t="n">
        <v>0</v>
      </c>
      <c r="AY1751" s="52" t="n">
        <v>0</v>
      </c>
      <c r="AZ1751" s="52" t="n">
        <v>0</v>
      </c>
      <c r="BA1751" s="52" t="n">
        <v>0</v>
      </c>
      <c r="BB1751" s="53" t="n">
        <v>0</v>
      </c>
      <c r="BC1751" s="52" t="n">
        <v>0</v>
      </c>
      <c r="BD1751" s="53" t="n">
        <v>0</v>
      </c>
      <c r="BE1751" s="52" t="n">
        <v>0</v>
      </c>
      <c r="BF1751" s="51" t="n">
        <v>0</v>
      </c>
    </row>
    <row r="1752">
      <c r="A1752">
        <f>HYPERLINK("https://www.walmart.com/ip/103455495", "103455495")</f>
        <v/>
      </c>
      <c r="B1752" t="inlineStr">
        <is>
          <t>JenniWears Women Lingerie Plus Size Stretch Lace Nightwear Gartered Chemise w/G-String Set</t>
        </is>
      </c>
      <c r="C1752" t="inlineStr">
        <is>
          <t>JWBD01BKPP-XL</t>
        </is>
      </c>
      <c r="D1752" t="inlineStr">
        <is>
          <t>Lingerie Sets</t>
        </is>
      </c>
      <c r="E1752" t="inlineStr">
        <is>
          <t>JenniWears</t>
        </is>
      </c>
      <c r="F1752" t="inlineStr">
        <is>
          <t>Valentine</t>
        </is>
      </c>
      <c r="G1752" s="48" t="n">
        <v>0</v>
      </c>
      <c r="H1752" s="49" t="n">
        <v>0</v>
      </c>
      <c r="I1752" s="49" t="n">
        <v>0</v>
      </c>
      <c r="J1752" s="50" t="n">
        <v>0</v>
      </c>
      <c r="K1752" s="51" t="n">
        <v>0</v>
      </c>
      <c r="L1752" s="52" t="n">
        <v>0</v>
      </c>
      <c r="M1752" s="52" t="n">
        <v>0</v>
      </c>
      <c r="N1752" s="52" t="n">
        <v>0</v>
      </c>
      <c r="O1752" s="53" t="n">
        <v>0</v>
      </c>
      <c r="P1752" s="52" t="n">
        <v>0</v>
      </c>
      <c r="Q1752" s="53" t="n">
        <v>0</v>
      </c>
      <c r="R1752" s="52" t="n">
        <v>0</v>
      </c>
      <c r="S1752" s="51" t="n">
        <v>0</v>
      </c>
      <c r="T1752" s="48" t="n">
        <v>0</v>
      </c>
      <c r="U1752" s="49" t="n">
        <v>0</v>
      </c>
      <c r="V1752" s="49" t="n">
        <v>0</v>
      </c>
      <c r="W1752" s="50" t="n">
        <v>0</v>
      </c>
      <c r="X1752" s="51" t="n">
        <v>0</v>
      </c>
      <c r="Y1752" s="52" t="n">
        <v>0</v>
      </c>
      <c r="Z1752" s="52" t="n">
        <v>0</v>
      </c>
      <c r="AA1752" s="52" t="n">
        <v>0</v>
      </c>
      <c r="AB1752" s="53" t="n">
        <v>0</v>
      </c>
      <c r="AC1752" s="52" t="n">
        <v>0</v>
      </c>
      <c r="AD1752" s="53" t="n">
        <v>0</v>
      </c>
      <c r="AE1752" s="52" t="n">
        <v>0</v>
      </c>
      <c r="AF1752" s="51" t="n">
        <v>0</v>
      </c>
      <c r="AG1752" s="48" t="n">
        <v>0</v>
      </c>
      <c r="AH1752" s="49" t="n">
        <v>0</v>
      </c>
      <c r="AI1752" s="49" t="n">
        <v>0</v>
      </c>
      <c r="AJ1752" s="50" t="n">
        <v>0</v>
      </c>
      <c r="AK1752" s="51" t="n">
        <v>0</v>
      </c>
      <c r="AL1752" s="52" t="n">
        <v>0</v>
      </c>
      <c r="AM1752" s="52" t="n">
        <v>0</v>
      </c>
      <c r="AN1752" s="52" t="n">
        <v>0</v>
      </c>
      <c r="AO1752" s="53" t="n">
        <v>0</v>
      </c>
      <c r="AP1752" s="52" t="n">
        <v>0</v>
      </c>
      <c r="AQ1752" s="53" t="n">
        <v>0</v>
      </c>
      <c r="AR1752" s="52" t="n">
        <v>0</v>
      </c>
      <c r="AS1752" s="51" t="n">
        <v>0</v>
      </c>
      <c r="AT1752" s="48" t="n">
        <v>0</v>
      </c>
      <c r="AU1752" s="49" t="n">
        <v>0</v>
      </c>
      <c r="AV1752" s="49" t="n">
        <v>0</v>
      </c>
      <c r="AW1752" s="50" t="n">
        <v>0</v>
      </c>
      <c r="AX1752" s="51" t="n">
        <v>0</v>
      </c>
      <c r="AY1752" s="52" t="n">
        <v>0</v>
      </c>
      <c r="AZ1752" s="52" t="n">
        <v>0</v>
      </c>
      <c r="BA1752" s="52" t="n">
        <v>0</v>
      </c>
      <c r="BB1752" s="53" t="n">
        <v>0</v>
      </c>
      <c r="BC1752" s="52" t="n">
        <v>0</v>
      </c>
      <c r="BD1752" s="53" t="n">
        <v>0</v>
      </c>
      <c r="BE1752" s="52" t="n">
        <v>0</v>
      </c>
      <c r="BF1752" s="51" t="n">
        <v>0</v>
      </c>
    </row>
    <row r="1753">
      <c r="A1753">
        <f>HYPERLINK("https://www.walmart.com/ip/103504333", "103504333")</f>
        <v/>
      </c>
      <c r="B1753" t="inlineStr">
        <is>
          <t>Jenniwears Women's Sexy Lingerie Lace Mesh 2-Piece Bowknot Halter Chemise with G-String</t>
        </is>
      </c>
      <c r="C1753" t="inlineStr">
        <is>
          <t>JWND03TB</t>
        </is>
      </c>
      <c r="D1753" t="inlineStr">
        <is>
          <t>Lingerie Sets</t>
        </is>
      </c>
      <c r="E1753" t="inlineStr">
        <is>
          <t>JenniWears</t>
        </is>
      </c>
      <c r="F1753" t="inlineStr">
        <is>
          <t>Optimized,Valentine</t>
        </is>
      </c>
      <c r="G1753" s="48" t="n">
        <v>0</v>
      </c>
      <c r="H1753" s="49" t="n">
        <v>0</v>
      </c>
      <c r="I1753" s="49" t="n">
        <v>0</v>
      </c>
      <c r="J1753" s="50" t="n">
        <v>0</v>
      </c>
      <c r="K1753" s="51" t="n">
        <v>0</v>
      </c>
      <c r="L1753" s="52" t="n">
        <v>0</v>
      </c>
      <c r="M1753" s="52" t="n">
        <v>0</v>
      </c>
      <c r="N1753" s="52" t="n">
        <v>0</v>
      </c>
      <c r="O1753" s="53" t="n">
        <v>0</v>
      </c>
      <c r="P1753" s="52" t="n">
        <v>0</v>
      </c>
      <c r="Q1753" s="53" t="n">
        <v>0</v>
      </c>
      <c r="R1753" s="52" t="n">
        <v>0</v>
      </c>
      <c r="S1753" s="51" t="n">
        <v>0</v>
      </c>
      <c r="T1753" s="48" t="n">
        <v>0</v>
      </c>
      <c r="U1753" s="49" t="n">
        <v>0</v>
      </c>
      <c r="V1753" s="49" t="n">
        <v>0</v>
      </c>
      <c r="W1753" s="50" t="n">
        <v>0</v>
      </c>
      <c r="X1753" s="51" t="n">
        <v>0</v>
      </c>
      <c r="Y1753" s="52" t="n">
        <v>0</v>
      </c>
      <c r="Z1753" s="52" t="n">
        <v>0</v>
      </c>
      <c r="AA1753" s="52" t="n">
        <v>0</v>
      </c>
      <c r="AB1753" s="53" t="n">
        <v>0</v>
      </c>
      <c r="AC1753" s="52" t="n">
        <v>0</v>
      </c>
      <c r="AD1753" s="53" t="n">
        <v>0</v>
      </c>
      <c r="AE1753" s="52" t="n">
        <v>0</v>
      </c>
      <c r="AF1753" s="51" t="n">
        <v>0</v>
      </c>
      <c r="AG1753" s="48" t="n">
        <v>0</v>
      </c>
      <c r="AH1753" s="49" t="n">
        <v>0</v>
      </c>
      <c r="AI1753" s="49" t="n">
        <v>0</v>
      </c>
      <c r="AJ1753" s="50" t="n">
        <v>0</v>
      </c>
      <c r="AK1753" s="51" t="n">
        <v>0</v>
      </c>
      <c r="AL1753" s="52" t="n">
        <v>0</v>
      </c>
      <c r="AM1753" s="52" t="n">
        <v>0</v>
      </c>
      <c r="AN1753" s="52" t="n">
        <v>0</v>
      </c>
      <c r="AO1753" s="53" t="n">
        <v>0</v>
      </c>
      <c r="AP1753" s="52" t="n">
        <v>0</v>
      </c>
      <c r="AQ1753" s="53" t="n">
        <v>0</v>
      </c>
      <c r="AR1753" s="52" t="n">
        <v>0</v>
      </c>
      <c r="AS1753" s="51" t="n">
        <v>0</v>
      </c>
      <c r="AT1753" s="48" t="n">
        <v>0</v>
      </c>
      <c r="AU1753" s="49" t="n">
        <v>0</v>
      </c>
      <c r="AV1753" s="49" t="n">
        <v>0</v>
      </c>
      <c r="AW1753" s="50" t="n">
        <v>0</v>
      </c>
      <c r="AX1753" s="51" t="n">
        <v>0</v>
      </c>
      <c r="AY1753" s="52" t="n">
        <v>0</v>
      </c>
      <c r="AZ1753" s="52" t="n">
        <v>0</v>
      </c>
      <c r="BA1753" s="52" t="n">
        <v>0</v>
      </c>
      <c r="BB1753" s="53" t="n">
        <v>0</v>
      </c>
      <c r="BC1753" s="52" t="n">
        <v>0</v>
      </c>
      <c r="BD1753" s="53" t="n">
        <v>0</v>
      </c>
      <c r="BE1753" s="52" t="n">
        <v>0</v>
      </c>
      <c r="BF1753" s="51" t="n">
        <v>0</v>
      </c>
    </row>
    <row r="1754">
      <c r="A1754">
        <f>HYPERLINK("https://www.walmart.com/ip/103646709", "103646709")</f>
        <v/>
      </c>
      <c r="B1754" t="inlineStr">
        <is>
          <t>JenniWears® Women's Stretch Mesh Bikini Panty with Open Back Heart Detail</t>
        </is>
      </c>
      <c r="C1754" t="inlineStr">
        <is>
          <t>JWPT02PK-XL</t>
        </is>
      </c>
      <c r="D1754" t="inlineStr">
        <is>
          <t>Panties</t>
        </is>
      </c>
      <c r="E1754" t="inlineStr">
        <is>
          <t>JenniWears</t>
        </is>
      </c>
      <c r="F1754" t="inlineStr">
        <is>
          <t>Valentine</t>
        </is>
      </c>
      <c r="G1754" s="48" t="n">
        <v>0</v>
      </c>
      <c r="H1754" s="49" t="n">
        <v>0</v>
      </c>
      <c r="I1754" s="49" t="n">
        <v>0</v>
      </c>
      <c r="J1754" s="50" t="n">
        <v>0</v>
      </c>
      <c r="K1754" s="51" t="n">
        <v>0</v>
      </c>
      <c r="L1754" s="52" t="n">
        <v>0</v>
      </c>
      <c r="M1754" s="52" t="n">
        <v>0</v>
      </c>
      <c r="N1754" s="52" t="n">
        <v>0</v>
      </c>
      <c r="O1754" s="53" t="n">
        <v>0</v>
      </c>
      <c r="P1754" s="52" t="n">
        <v>0</v>
      </c>
      <c r="Q1754" s="53" t="n">
        <v>0</v>
      </c>
      <c r="R1754" s="52" t="n">
        <v>0</v>
      </c>
      <c r="S1754" s="51" t="n">
        <v>0</v>
      </c>
      <c r="T1754" s="48" t="n">
        <v>0</v>
      </c>
      <c r="U1754" s="49" t="n">
        <v>0</v>
      </c>
      <c r="V1754" s="49" t="n">
        <v>0</v>
      </c>
      <c r="W1754" s="50" t="n">
        <v>0</v>
      </c>
      <c r="X1754" s="51" t="n">
        <v>0</v>
      </c>
      <c r="Y1754" s="52" t="n">
        <v>0</v>
      </c>
      <c r="Z1754" s="52" t="n">
        <v>0</v>
      </c>
      <c r="AA1754" s="52" t="n">
        <v>0</v>
      </c>
      <c r="AB1754" s="53" t="n">
        <v>0</v>
      </c>
      <c r="AC1754" s="52" t="n">
        <v>0</v>
      </c>
      <c r="AD1754" s="53" t="n">
        <v>0</v>
      </c>
      <c r="AE1754" s="52" t="n">
        <v>0</v>
      </c>
      <c r="AF1754" s="51" t="n">
        <v>0</v>
      </c>
      <c r="AG1754" s="48" t="n">
        <v>0</v>
      </c>
      <c r="AH1754" s="49" t="n">
        <v>0</v>
      </c>
      <c r="AI1754" s="49" t="n">
        <v>0</v>
      </c>
      <c r="AJ1754" s="50" t="n">
        <v>0</v>
      </c>
      <c r="AK1754" s="51" t="n">
        <v>0</v>
      </c>
      <c r="AL1754" s="52" t="n">
        <v>0</v>
      </c>
      <c r="AM1754" s="52" t="n">
        <v>0</v>
      </c>
      <c r="AN1754" s="52" t="n">
        <v>0</v>
      </c>
      <c r="AO1754" s="53" t="n">
        <v>0</v>
      </c>
      <c r="AP1754" s="52" t="n">
        <v>0</v>
      </c>
      <c r="AQ1754" s="53" t="n">
        <v>0</v>
      </c>
      <c r="AR1754" s="52" t="n">
        <v>0</v>
      </c>
      <c r="AS1754" s="51" t="n">
        <v>0</v>
      </c>
      <c r="AT1754" s="48" t="n">
        <v>0</v>
      </c>
      <c r="AU1754" s="49" t="n">
        <v>0</v>
      </c>
      <c r="AV1754" s="49" t="n">
        <v>0</v>
      </c>
      <c r="AW1754" s="50" t="n">
        <v>0</v>
      </c>
      <c r="AX1754" s="51" t="n">
        <v>0</v>
      </c>
      <c r="AY1754" s="52" t="n">
        <v>0</v>
      </c>
      <c r="AZ1754" s="52" t="n">
        <v>0</v>
      </c>
      <c r="BA1754" s="52" t="n">
        <v>0</v>
      </c>
      <c r="BB1754" s="53" t="n">
        <v>0</v>
      </c>
      <c r="BC1754" s="52" t="n">
        <v>0</v>
      </c>
      <c r="BD1754" s="53" t="n">
        <v>0</v>
      </c>
      <c r="BE1754" s="52" t="n">
        <v>0</v>
      </c>
      <c r="BF1754" s="51" t="n">
        <v>0</v>
      </c>
    </row>
    <row r="1755">
      <c r="A1755">
        <f>HYPERLINK("https://www.walmart.com/ip/1037729777", "1037729777")</f>
        <v/>
      </c>
      <c r="B1755" t="inlineStr">
        <is>
          <t>Kritter Planet Pet Plush Sherpa Blanket Throw Micro Fleece for Animal Dog Cat Puppy Indoor, Outdoor 60" X 50"</t>
        </is>
      </c>
      <c r="C1755" t="inlineStr">
        <is>
          <t>1KPBF560CHEETAH</t>
        </is>
      </c>
      <c r="D1755" t="inlineStr">
        <is>
          <t>Pet Blankets</t>
        </is>
      </c>
      <c r="E1755" t="inlineStr">
        <is>
          <t>Kritter Planet</t>
        </is>
      </c>
      <c r="F1755" t="inlineStr">
        <is>
          <t>Batch 1 - TR</t>
        </is>
      </c>
      <c r="G1755" s="48" t="n">
        <v>0</v>
      </c>
      <c r="H1755" s="49" t="n">
        <v>0</v>
      </c>
      <c r="I1755" s="49" t="n">
        <v>0</v>
      </c>
      <c r="J1755" s="50" t="n">
        <v>0</v>
      </c>
      <c r="K1755" s="51" t="n">
        <v>0</v>
      </c>
      <c r="L1755" s="52" t="n">
        <v>0</v>
      </c>
      <c r="M1755" s="52" t="n">
        <v>0</v>
      </c>
      <c r="N1755" s="52" t="n">
        <v>0</v>
      </c>
      <c r="O1755" s="53" t="n">
        <v>0</v>
      </c>
      <c r="P1755" s="52" t="n">
        <v>0</v>
      </c>
      <c r="Q1755" s="53" t="n">
        <v>0</v>
      </c>
      <c r="R1755" s="52" t="n">
        <v>0</v>
      </c>
      <c r="S1755" s="51" t="n">
        <v>0</v>
      </c>
      <c r="T1755" s="48" t="n">
        <v>0</v>
      </c>
      <c r="U1755" s="49" t="n">
        <v>0</v>
      </c>
      <c r="V1755" s="49" t="n">
        <v>0</v>
      </c>
      <c r="W1755" s="50" t="n">
        <v>0</v>
      </c>
      <c r="X1755" s="51" t="n">
        <v>0</v>
      </c>
      <c r="Y1755" s="52" t="n">
        <v>0</v>
      </c>
      <c r="Z1755" s="52" t="n">
        <v>0</v>
      </c>
      <c r="AA1755" s="52" t="n">
        <v>0</v>
      </c>
      <c r="AB1755" s="53" t="n">
        <v>0</v>
      </c>
      <c r="AC1755" s="52" t="n">
        <v>0</v>
      </c>
      <c r="AD1755" s="53" t="n">
        <v>0</v>
      </c>
      <c r="AE1755" s="52" t="n">
        <v>0</v>
      </c>
      <c r="AF1755" s="51" t="n">
        <v>0</v>
      </c>
      <c r="AG1755" s="48" t="n">
        <v>0</v>
      </c>
      <c r="AH1755" s="49" t="n">
        <v>0</v>
      </c>
      <c r="AI1755" s="49" t="n">
        <v>0</v>
      </c>
      <c r="AJ1755" s="50" t="n">
        <v>0</v>
      </c>
      <c r="AK1755" s="51" t="n">
        <v>0</v>
      </c>
      <c r="AL1755" s="52" t="n">
        <v>0</v>
      </c>
      <c r="AM1755" s="52" t="n">
        <v>0</v>
      </c>
      <c r="AN1755" s="52" t="n">
        <v>0</v>
      </c>
      <c r="AO1755" s="53" t="n">
        <v>0</v>
      </c>
      <c r="AP1755" s="52" t="n">
        <v>0</v>
      </c>
      <c r="AQ1755" s="53" t="n">
        <v>0</v>
      </c>
      <c r="AR1755" s="52" t="n">
        <v>0</v>
      </c>
      <c r="AS1755" s="51" t="n">
        <v>0</v>
      </c>
      <c r="AT1755" s="48" t="n">
        <v>0</v>
      </c>
      <c r="AU1755" s="49" t="n">
        <v>0</v>
      </c>
      <c r="AV1755" s="49" t="n">
        <v>0</v>
      </c>
      <c r="AW1755" s="50" t="n">
        <v>0</v>
      </c>
      <c r="AX1755" s="51" t="n">
        <v>0</v>
      </c>
      <c r="AY1755" s="52" t="n">
        <v>0</v>
      </c>
      <c r="AZ1755" s="52" t="n">
        <v>0</v>
      </c>
      <c r="BA1755" s="52" t="n">
        <v>0</v>
      </c>
      <c r="BB1755" s="53" t="n">
        <v>0</v>
      </c>
      <c r="BC1755" s="52" t="n">
        <v>0</v>
      </c>
      <c r="BD1755" s="53" t="n">
        <v>0</v>
      </c>
      <c r="BE1755" s="52" t="n">
        <v>0</v>
      </c>
      <c r="BF1755" s="51" t="n">
        <v>0</v>
      </c>
    </row>
    <row r="1756">
      <c r="A1756">
        <f>HYPERLINK("https://www.walmart.com/ip/103794423", "103794423")</f>
        <v/>
      </c>
      <c r="B1756" t="inlineStr">
        <is>
          <t>Explorer Target Double 3 Case 52" Length Padded Sniper Scoped Tactical Hunting Carrying Shooting Mat, Adjustable Backpack Strap, Pouch</t>
        </is>
      </c>
      <c r="C1756" t="inlineStr">
        <is>
          <t>TARGETGBD52+CAP</t>
        </is>
      </c>
      <c r="D1756" t="inlineStr">
        <is>
          <t>Gun Cases</t>
        </is>
      </c>
      <c r="E1756" t="inlineStr">
        <is>
          <t>Target</t>
        </is>
      </c>
      <c r="G1756" s="48" t="n">
        <v>0</v>
      </c>
      <c r="H1756" s="49" t="n">
        <v>0</v>
      </c>
      <c r="I1756" s="49" t="n">
        <v>0</v>
      </c>
      <c r="J1756" s="50" t="n">
        <v>0</v>
      </c>
      <c r="K1756" s="51" t="n">
        <v>0</v>
      </c>
      <c r="L1756" s="52" t="n">
        <v>0</v>
      </c>
      <c r="M1756" s="52" t="n">
        <v>0</v>
      </c>
      <c r="N1756" s="52" t="n">
        <v>0</v>
      </c>
      <c r="O1756" s="53" t="n">
        <v>0</v>
      </c>
      <c r="P1756" s="52" t="n">
        <v>0</v>
      </c>
      <c r="Q1756" s="53" t="n">
        <v>0</v>
      </c>
      <c r="R1756" s="52" t="n">
        <v>0</v>
      </c>
      <c r="S1756" s="51" t="n">
        <v>0</v>
      </c>
      <c r="T1756" s="48" t="n">
        <v>0</v>
      </c>
      <c r="U1756" s="49" t="n">
        <v>0</v>
      </c>
      <c r="V1756" s="49" t="n">
        <v>0</v>
      </c>
      <c r="W1756" s="50" t="n">
        <v>0</v>
      </c>
      <c r="X1756" s="51" t="n">
        <v>0</v>
      </c>
      <c r="Y1756" s="52" t="n">
        <v>0</v>
      </c>
      <c r="Z1756" s="52" t="n">
        <v>0</v>
      </c>
      <c r="AA1756" s="52" t="n">
        <v>0</v>
      </c>
      <c r="AB1756" s="53" t="n">
        <v>0</v>
      </c>
      <c r="AC1756" s="52" t="n">
        <v>0</v>
      </c>
      <c r="AD1756" s="53" t="n">
        <v>0</v>
      </c>
      <c r="AE1756" s="52" t="n">
        <v>0</v>
      </c>
      <c r="AF1756" s="51" t="n">
        <v>0</v>
      </c>
      <c r="AG1756" s="48" t="n">
        <v>0</v>
      </c>
      <c r="AH1756" s="49" t="n">
        <v>0</v>
      </c>
      <c r="AI1756" s="49" t="n">
        <v>0</v>
      </c>
      <c r="AJ1756" s="50" t="n">
        <v>0</v>
      </c>
      <c r="AK1756" s="51" t="n">
        <v>0</v>
      </c>
      <c r="AL1756" s="52" t="n">
        <v>0</v>
      </c>
      <c r="AM1756" s="52" t="n">
        <v>0</v>
      </c>
      <c r="AN1756" s="52" t="n">
        <v>0</v>
      </c>
      <c r="AO1756" s="53" t="n">
        <v>0</v>
      </c>
      <c r="AP1756" s="52" t="n">
        <v>0</v>
      </c>
      <c r="AQ1756" s="53" t="n">
        <v>0</v>
      </c>
      <c r="AR1756" s="52" t="n">
        <v>0</v>
      </c>
      <c r="AS1756" s="51" t="n">
        <v>0</v>
      </c>
      <c r="AT1756" s="48" t="n">
        <v>0</v>
      </c>
      <c r="AU1756" s="49" t="n">
        <v>0</v>
      </c>
      <c r="AV1756" s="49" t="n">
        <v>0</v>
      </c>
      <c r="AW1756" s="50" t="n">
        <v>0</v>
      </c>
      <c r="AX1756" s="51" t="n">
        <v>0</v>
      </c>
      <c r="AY1756" s="52" t="n">
        <v>0</v>
      </c>
      <c r="AZ1756" s="52" t="n">
        <v>0</v>
      </c>
      <c r="BA1756" s="52" t="n">
        <v>0</v>
      </c>
      <c r="BB1756" s="53" t="n">
        <v>0</v>
      </c>
      <c r="BC1756" s="52" t="n">
        <v>0</v>
      </c>
      <c r="BD1756" s="53" t="n">
        <v>0</v>
      </c>
      <c r="BE1756" s="52" t="n">
        <v>0</v>
      </c>
      <c r="BF1756" s="51" t="n">
        <v>0</v>
      </c>
    </row>
    <row r="1757">
      <c r="A1757">
        <f>HYPERLINK("https://www.walmart.com/ip/103851347", "103851347")</f>
        <v/>
      </c>
      <c r="B1757" t="inlineStr">
        <is>
          <t>Catalonia Super Soft Micro Fleece Reversible Sherpa Plush Bed Throw TV Blanket 50" x 60"</t>
        </is>
      </c>
      <c r="C1757" t="inlineStr">
        <is>
          <t>K8021GRAY</t>
        </is>
      </c>
      <c r="D1757" t="inlineStr">
        <is>
          <t>Throws</t>
        </is>
      </c>
      <c r="E1757" t="inlineStr">
        <is>
          <t>Catalonia</t>
        </is>
      </c>
      <c r="F1757" t="inlineStr">
        <is>
          <t>Batch 1 - TR</t>
        </is>
      </c>
      <c r="G1757" s="48" t="n">
        <v>0</v>
      </c>
      <c r="H1757" s="49" t="n">
        <v>0</v>
      </c>
      <c r="I1757" s="49" t="n">
        <v>0</v>
      </c>
      <c r="J1757" s="50" t="n">
        <v>0</v>
      </c>
      <c r="K1757" s="51" t="n">
        <v>0</v>
      </c>
      <c r="L1757" s="52" t="n">
        <v>0</v>
      </c>
      <c r="M1757" s="52" t="n">
        <v>0</v>
      </c>
      <c r="N1757" s="52" t="n">
        <v>0</v>
      </c>
      <c r="O1757" s="53" t="n">
        <v>0</v>
      </c>
      <c r="P1757" s="52" t="n">
        <v>0</v>
      </c>
      <c r="Q1757" s="53" t="n">
        <v>0</v>
      </c>
      <c r="R1757" s="52" t="n">
        <v>0</v>
      </c>
      <c r="S1757" s="51" t="n">
        <v>0</v>
      </c>
      <c r="T1757" s="48" t="n">
        <v>0</v>
      </c>
      <c r="U1757" s="49" t="n">
        <v>0</v>
      </c>
      <c r="V1757" s="49" t="n">
        <v>0</v>
      </c>
      <c r="W1757" s="50" t="n">
        <v>0</v>
      </c>
      <c r="X1757" s="51" t="n">
        <v>0</v>
      </c>
      <c r="Y1757" s="52" t="n">
        <v>0</v>
      </c>
      <c r="Z1757" s="52" t="n">
        <v>0</v>
      </c>
      <c r="AA1757" s="52" t="n">
        <v>0</v>
      </c>
      <c r="AB1757" s="53" t="n">
        <v>0</v>
      </c>
      <c r="AC1757" s="52" t="n">
        <v>0</v>
      </c>
      <c r="AD1757" s="53" t="n">
        <v>0</v>
      </c>
      <c r="AE1757" s="52" t="n">
        <v>0</v>
      </c>
      <c r="AF1757" s="51" t="n">
        <v>0</v>
      </c>
      <c r="AG1757" s="48" t="n">
        <v>0</v>
      </c>
      <c r="AH1757" s="49" t="n">
        <v>0</v>
      </c>
      <c r="AI1757" s="49" t="n">
        <v>0</v>
      </c>
      <c r="AJ1757" s="50" t="n">
        <v>0</v>
      </c>
      <c r="AK1757" s="51" t="n">
        <v>0</v>
      </c>
      <c r="AL1757" s="52" t="n">
        <v>0</v>
      </c>
      <c r="AM1757" s="52" t="n">
        <v>0</v>
      </c>
      <c r="AN1757" s="52" t="n">
        <v>0</v>
      </c>
      <c r="AO1757" s="53" t="n">
        <v>0</v>
      </c>
      <c r="AP1757" s="52" t="n">
        <v>0</v>
      </c>
      <c r="AQ1757" s="53" t="n">
        <v>0</v>
      </c>
      <c r="AR1757" s="52" t="n">
        <v>0</v>
      </c>
      <c r="AS1757" s="51" t="n">
        <v>0</v>
      </c>
      <c r="AT1757" s="48" t="n">
        <v>0</v>
      </c>
      <c r="AU1757" s="49" t="n">
        <v>0</v>
      </c>
      <c r="AV1757" s="49" t="n">
        <v>0</v>
      </c>
      <c r="AW1757" s="50" t="n">
        <v>0</v>
      </c>
      <c r="AX1757" s="51" t="n">
        <v>0</v>
      </c>
      <c r="AY1757" s="52" t="n">
        <v>0</v>
      </c>
      <c r="AZ1757" s="52" t="n">
        <v>0</v>
      </c>
      <c r="BA1757" s="52" t="n">
        <v>0</v>
      </c>
      <c r="BB1757" s="53" t="n">
        <v>0</v>
      </c>
      <c r="BC1757" s="52" t="n">
        <v>0</v>
      </c>
      <c r="BD1757" s="53" t="n">
        <v>0</v>
      </c>
      <c r="BE1757" s="52" t="n">
        <v>0</v>
      </c>
      <c r="BF1757" s="51" t="n">
        <v>0</v>
      </c>
    </row>
    <row r="1758">
      <c r="A1758">
        <f>HYPERLINK("https://www.walmart.com/ip/103895689", "103895689")</f>
        <v/>
      </c>
      <c r="B1758" t="inlineStr">
        <is>
          <t>JenniWears® Women's Plus Size Sexy Lingeri Darque Babydoll And G-string</t>
        </is>
      </c>
      <c r="C1758" t="inlineStr">
        <is>
          <t>JWBD07BK-3XL</t>
        </is>
      </c>
      <c r="D1758" t="inlineStr">
        <is>
          <t>Lingerie Sets</t>
        </is>
      </c>
      <c r="E1758" t="inlineStr">
        <is>
          <t>JenniWears</t>
        </is>
      </c>
      <c r="F1758" t="inlineStr">
        <is>
          <t>Optimized,Valentine</t>
        </is>
      </c>
      <c r="G1758" s="48" t="n">
        <v>0</v>
      </c>
      <c r="H1758" s="49" t="n">
        <v>0</v>
      </c>
      <c r="I1758" s="49" t="n">
        <v>0</v>
      </c>
      <c r="J1758" s="50" t="n">
        <v>0</v>
      </c>
      <c r="K1758" s="51" t="n">
        <v>0</v>
      </c>
      <c r="L1758" s="52" t="n">
        <v>0</v>
      </c>
      <c r="M1758" s="52" t="n">
        <v>0</v>
      </c>
      <c r="N1758" s="52" t="n">
        <v>0</v>
      </c>
      <c r="O1758" s="53" t="n">
        <v>0</v>
      </c>
      <c r="P1758" s="52" t="n">
        <v>0</v>
      </c>
      <c r="Q1758" s="53" t="n">
        <v>0</v>
      </c>
      <c r="R1758" s="52" t="n">
        <v>0</v>
      </c>
      <c r="S1758" s="51" t="n">
        <v>0</v>
      </c>
      <c r="T1758" s="48" t="n">
        <v>0</v>
      </c>
      <c r="U1758" s="49" t="n">
        <v>0</v>
      </c>
      <c r="V1758" s="49" t="n">
        <v>0</v>
      </c>
      <c r="W1758" s="50" t="n">
        <v>0</v>
      </c>
      <c r="X1758" s="51" t="n">
        <v>0</v>
      </c>
      <c r="Y1758" s="52" t="n">
        <v>0</v>
      </c>
      <c r="Z1758" s="52" t="n">
        <v>0</v>
      </c>
      <c r="AA1758" s="52" t="n">
        <v>0</v>
      </c>
      <c r="AB1758" s="53" t="n">
        <v>0</v>
      </c>
      <c r="AC1758" s="52" t="n">
        <v>0</v>
      </c>
      <c r="AD1758" s="53" t="n">
        <v>0</v>
      </c>
      <c r="AE1758" s="52" t="n">
        <v>0</v>
      </c>
      <c r="AF1758" s="51" t="n">
        <v>0</v>
      </c>
      <c r="AG1758" s="48" t="n">
        <v>0</v>
      </c>
      <c r="AH1758" s="49" t="n">
        <v>0</v>
      </c>
      <c r="AI1758" s="49" t="n">
        <v>0</v>
      </c>
      <c r="AJ1758" s="50" t="n">
        <v>0</v>
      </c>
      <c r="AK1758" s="51" t="n">
        <v>0</v>
      </c>
      <c r="AL1758" s="52" t="n">
        <v>0</v>
      </c>
      <c r="AM1758" s="52" t="n">
        <v>0</v>
      </c>
      <c r="AN1758" s="52" t="n">
        <v>0</v>
      </c>
      <c r="AO1758" s="53" t="n">
        <v>0</v>
      </c>
      <c r="AP1758" s="52" t="n">
        <v>0</v>
      </c>
      <c r="AQ1758" s="53" t="n">
        <v>0</v>
      </c>
      <c r="AR1758" s="52" t="n">
        <v>0</v>
      </c>
      <c r="AS1758" s="51" t="n">
        <v>0</v>
      </c>
      <c r="AT1758" s="48" t="n">
        <v>0</v>
      </c>
      <c r="AU1758" s="49" t="n">
        <v>0</v>
      </c>
      <c r="AV1758" s="49" t="n">
        <v>0</v>
      </c>
      <c r="AW1758" s="50" t="n">
        <v>0</v>
      </c>
      <c r="AX1758" s="51" t="n">
        <v>0</v>
      </c>
      <c r="AY1758" s="52" t="n">
        <v>0</v>
      </c>
      <c r="AZ1758" s="52" t="n">
        <v>0</v>
      </c>
      <c r="BA1758" s="52" t="n">
        <v>0</v>
      </c>
      <c r="BB1758" s="53" t="n">
        <v>0</v>
      </c>
      <c r="BC1758" s="52" t="n">
        <v>0</v>
      </c>
      <c r="BD1758" s="53" t="n">
        <v>0</v>
      </c>
      <c r="BE1758" s="52" t="n">
        <v>0</v>
      </c>
      <c r="BF1758" s="51" t="n">
        <v>0</v>
      </c>
    </row>
    <row r="1759">
      <c r="A1759">
        <f>HYPERLINK("https://www.walmart.com/ip/120850786", "120850786")</f>
        <v/>
      </c>
      <c r="B1759" t="inlineStr">
        <is>
          <t>KC Caps Washed Cotton Twill Hat</t>
        </is>
      </c>
      <c r="C1759" t="inlineStr">
        <is>
          <t>KCS4130DKGN</t>
        </is>
      </c>
      <c r="D1759" t="inlineStr">
        <is>
          <t>Hats</t>
        </is>
      </c>
      <c r="E1759" t="inlineStr">
        <is>
          <t>KC Caps</t>
        </is>
      </c>
      <c r="F1759" t="inlineStr">
        <is>
          <t>Optimized,ST Patrick Day</t>
        </is>
      </c>
      <c r="G1759" s="48" t="n">
        <v>0</v>
      </c>
      <c r="H1759" s="49" t="n">
        <v>0</v>
      </c>
      <c r="I1759" s="49" t="n">
        <v>0</v>
      </c>
      <c r="J1759" s="50" t="n">
        <v>0</v>
      </c>
      <c r="K1759" s="51" t="n">
        <v>0</v>
      </c>
      <c r="L1759" s="52" t="n">
        <v>0</v>
      </c>
      <c r="M1759" s="52" t="n">
        <v>0</v>
      </c>
      <c r="N1759" s="52" t="n">
        <v>0</v>
      </c>
      <c r="O1759" s="53" t="n">
        <v>0</v>
      </c>
      <c r="P1759" s="52" t="n">
        <v>0</v>
      </c>
      <c r="Q1759" s="53" t="n">
        <v>0</v>
      </c>
      <c r="R1759" s="52" t="n">
        <v>0</v>
      </c>
      <c r="S1759" s="51" t="n">
        <v>0</v>
      </c>
      <c r="T1759" s="48" t="n">
        <v>0</v>
      </c>
      <c r="U1759" s="49" t="n">
        <v>0</v>
      </c>
      <c r="V1759" s="49" t="n">
        <v>0</v>
      </c>
      <c r="W1759" s="50" t="n">
        <v>0</v>
      </c>
      <c r="X1759" s="51" t="n">
        <v>0</v>
      </c>
      <c r="Y1759" s="52" t="n">
        <v>0</v>
      </c>
      <c r="Z1759" s="52" t="n">
        <v>0</v>
      </c>
      <c r="AA1759" s="52" t="n">
        <v>0</v>
      </c>
      <c r="AB1759" s="53" t="n">
        <v>0</v>
      </c>
      <c r="AC1759" s="52" t="n">
        <v>0</v>
      </c>
      <c r="AD1759" s="53" t="n">
        <v>0</v>
      </c>
      <c r="AE1759" s="52" t="n">
        <v>0</v>
      </c>
      <c r="AF1759" s="51" t="n">
        <v>0</v>
      </c>
      <c r="AG1759" s="48" t="n">
        <v>0</v>
      </c>
      <c r="AH1759" s="49" t="n">
        <v>0</v>
      </c>
      <c r="AI1759" s="49" t="n">
        <v>0</v>
      </c>
      <c r="AJ1759" s="50" t="n">
        <v>0</v>
      </c>
      <c r="AK1759" s="51" t="n">
        <v>0</v>
      </c>
      <c r="AL1759" s="52" t="n">
        <v>0</v>
      </c>
      <c r="AM1759" s="52" t="n">
        <v>0</v>
      </c>
      <c r="AN1759" s="52" t="n">
        <v>0</v>
      </c>
      <c r="AO1759" s="53" t="n">
        <v>0</v>
      </c>
      <c r="AP1759" s="52" t="n">
        <v>0</v>
      </c>
      <c r="AQ1759" s="53" t="n">
        <v>0</v>
      </c>
      <c r="AR1759" s="52" t="n">
        <v>0</v>
      </c>
      <c r="AS1759" s="51" t="n">
        <v>0</v>
      </c>
      <c r="AT1759" s="48" t="n">
        <v>0</v>
      </c>
      <c r="AU1759" s="49" t="n">
        <v>0</v>
      </c>
      <c r="AV1759" s="49" t="n">
        <v>0</v>
      </c>
      <c r="AW1759" s="50" t="n">
        <v>0</v>
      </c>
      <c r="AX1759" s="51" t="n">
        <v>0</v>
      </c>
      <c r="AY1759" s="52" t="n">
        <v>0</v>
      </c>
      <c r="AZ1759" s="52" t="n">
        <v>0</v>
      </c>
      <c r="BA1759" s="52" t="n">
        <v>0</v>
      </c>
      <c r="BB1759" s="53" t="n">
        <v>0</v>
      </c>
      <c r="BC1759" s="52" t="n">
        <v>0</v>
      </c>
      <c r="BD1759" s="53" t="n">
        <v>0</v>
      </c>
      <c r="BE1759" s="52" t="n">
        <v>0</v>
      </c>
      <c r="BF1759" s="51" t="n">
        <v>0</v>
      </c>
    </row>
    <row r="1760">
      <c r="A1760">
        <f>HYPERLINK("https://www.walmart.com/ip/1208862801", "1208862801")</f>
        <v/>
      </c>
      <c r="B1760" t="inlineStr">
        <is>
          <t>Tirrinia Fleece Sherpa Throw Blanket 90" x 90" Reversible Fuzzy Micro Plush All Season TV Blanket for Bed or Couch</t>
        </is>
      </c>
      <c r="C1760" t="inlineStr">
        <is>
          <t>1TRBF399XMAS</t>
        </is>
      </c>
      <c r="D1760" t="inlineStr">
        <is>
          <t>Throws</t>
        </is>
      </c>
      <c r="E1760" t="inlineStr">
        <is>
          <t>Tirrinia</t>
        </is>
      </c>
      <c r="F1760" t="inlineStr">
        <is>
          <t>Batch 1 - TR</t>
        </is>
      </c>
      <c r="G1760" s="48" t="n">
        <v>0</v>
      </c>
      <c r="H1760" s="49" t="n">
        <v>0</v>
      </c>
      <c r="I1760" s="49" t="n">
        <v>0</v>
      </c>
      <c r="J1760" s="50" t="n">
        <v>0</v>
      </c>
      <c r="K1760" s="51" t="n">
        <v>0</v>
      </c>
      <c r="L1760" s="52" t="n">
        <v>0</v>
      </c>
      <c r="M1760" s="52" t="n">
        <v>0</v>
      </c>
      <c r="N1760" s="52" t="n">
        <v>0</v>
      </c>
      <c r="O1760" s="53" t="n">
        <v>0</v>
      </c>
      <c r="P1760" s="52" t="n">
        <v>0</v>
      </c>
      <c r="Q1760" s="53" t="n">
        <v>0</v>
      </c>
      <c r="R1760" s="52" t="n">
        <v>0</v>
      </c>
      <c r="S1760" s="51" t="n">
        <v>0</v>
      </c>
      <c r="T1760" s="48" t="n">
        <v>0</v>
      </c>
      <c r="U1760" s="49" t="n">
        <v>0</v>
      </c>
      <c r="V1760" s="49" t="n">
        <v>0</v>
      </c>
      <c r="W1760" s="50" t="n">
        <v>0</v>
      </c>
      <c r="X1760" s="51" t="n">
        <v>0</v>
      </c>
      <c r="Y1760" s="52" t="n">
        <v>0</v>
      </c>
      <c r="Z1760" s="52" t="n">
        <v>0</v>
      </c>
      <c r="AA1760" s="52" t="n">
        <v>0</v>
      </c>
      <c r="AB1760" s="53" t="n">
        <v>0</v>
      </c>
      <c r="AC1760" s="52" t="n">
        <v>0</v>
      </c>
      <c r="AD1760" s="53" t="n">
        <v>0</v>
      </c>
      <c r="AE1760" s="52" t="n">
        <v>0</v>
      </c>
      <c r="AF1760" s="51" t="n">
        <v>0</v>
      </c>
      <c r="AG1760" s="48" t="n">
        <v>0</v>
      </c>
      <c r="AH1760" s="49" t="n">
        <v>0</v>
      </c>
      <c r="AI1760" s="49" t="n">
        <v>0</v>
      </c>
      <c r="AJ1760" s="50" t="n">
        <v>0</v>
      </c>
      <c r="AK1760" s="51" t="n">
        <v>0</v>
      </c>
      <c r="AL1760" s="52" t="n">
        <v>0</v>
      </c>
      <c r="AM1760" s="52" t="n">
        <v>0</v>
      </c>
      <c r="AN1760" s="52" t="n">
        <v>0</v>
      </c>
      <c r="AO1760" s="53" t="n">
        <v>0</v>
      </c>
      <c r="AP1760" s="52" t="n">
        <v>0</v>
      </c>
      <c r="AQ1760" s="53" t="n">
        <v>0</v>
      </c>
      <c r="AR1760" s="52" t="n">
        <v>0</v>
      </c>
      <c r="AS1760" s="51" t="n">
        <v>0</v>
      </c>
      <c r="AT1760" s="48" t="n">
        <v>0</v>
      </c>
      <c r="AU1760" s="49" t="n">
        <v>0</v>
      </c>
      <c r="AV1760" s="49" t="n">
        <v>0</v>
      </c>
      <c r="AW1760" s="50" t="n">
        <v>0</v>
      </c>
      <c r="AX1760" s="51" t="n">
        <v>0</v>
      </c>
      <c r="AY1760" s="52" t="n">
        <v>0</v>
      </c>
      <c r="AZ1760" s="52" t="n">
        <v>0</v>
      </c>
      <c r="BA1760" s="52" t="n">
        <v>0</v>
      </c>
      <c r="BB1760" s="53" t="n">
        <v>0</v>
      </c>
      <c r="BC1760" s="52" t="n">
        <v>0</v>
      </c>
      <c r="BD1760" s="53" t="n">
        <v>0</v>
      </c>
      <c r="BE1760" s="52" t="n">
        <v>0</v>
      </c>
      <c r="BF1760" s="51" t="n">
        <v>0</v>
      </c>
    </row>
    <row r="1761">
      <c r="A1761">
        <f>HYPERLINK("https://www.walmart.com/ip/121146422", "121146422")</f>
        <v/>
      </c>
      <c r="B1761" t="inlineStr">
        <is>
          <t>Catalonia Fleece Wearable Blanket Poncho for Adult Women Men, Wrap Blanket Cape with Pocket | Warm, Soft, Cozy, Snuggly, Comfort Gift, No Sleeves | All-Season, Camel</t>
        </is>
      </c>
      <c r="C1761" t="inlineStr">
        <is>
          <t>1CTBP100CA</t>
        </is>
      </c>
      <c r="D1761" t="inlineStr">
        <is>
          <t>Throws</t>
        </is>
      </c>
      <c r="E1761" t="inlineStr">
        <is>
          <t>Catalonia</t>
        </is>
      </c>
      <c r="F1761" t="inlineStr">
        <is>
          <t>Hero 5 Holidays,WFS,Coupon_Discount,WFS Item</t>
        </is>
      </c>
      <c r="G1761" s="48" t="n">
        <v>0</v>
      </c>
      <c r="H1761" s="49" t="n">
        <v>0</v>
      </c>
      <c r="I1761" s="49" t="n">
        <v>0</v>
      </c>
      <c r="J1761" s="50" t="n">
        <v>0</v>
      </c>
      <c r="K1761" s="51" t="n">
        <v>0</v>
      </c>
      <c r="L1761" s="52" t="n">
        <v>0</v>
      </c>
      <c r="M1761" s="52" t="n">
        <v>0</v>
      </c>
      <c r="N1761" s="52" t="n">
        <v>0</v>
      </c>
      <c r="O1761" s="53" t="n">
        <v>0</v>
      </c>
      <c r="P1761" s="52" t="n">
        <v>0</v>
      </c>
      <c r="Q1761" s="53" t="n">
        <v>0</v>
      </c>
      <c r="R1761" s="52" t="n">
        <v>0</v>
      </c>
      <c r="S1761" s="51" t="n">
        <v>0</v>
      </c>
      <c r="T1761" s="48" t="n">
        <v>0</v>
      </c>
      <c r="U1761" s="49" t="n">
        <v>0</v>
      </c>
      <c r="V1761" s="49" t="n">
        <v>0</v>
      </c>
      <c r="W1761" s="50" t="n">
        <v>0</v>
      </c>
      <c r="X1761" s="51" t="n">
        <v>0</v>
      </c>
      <c r="Y1761" s="52" t="n">
        <v>0</v>
      </c>
      <c r="Z1761" s="52" t="n">
        <v>0</v>
      </c>
      <c r="AA1761" s="52" t="n">
        <v>0</v>
      </c>
      <c r="AB1761" s="53" t="n">
        <v>0</v>
      </c>
      <c r="AC1761" s="52" t="n">
        <v>0</v>
      </c>
      <c r="AD1761" s="53" t="n">
        <v>0</v>
      </c>
      <c r="AE1761" s="52" t="n">
        <v>0</v>
      </c>
      <c r="AF1761" s="51" t="n">
        <v>0</v>
      </c>
      <c r="AG1761" s="48" t="n">
        <v>0</v>
      </c>
      <c r="AH1761" s="49" t="n">
        <v>0</v>
      </c>
      <c r="AI1761" s="49" t="n">
        <v>0</v>
      </c>
      <c r="AJ1761" s="50" t="n">
        <v>0</v>
      </c>
      <c r="AK1761" s="51" t="n">
        <v>0</v>
      </c>
      <c r="AL1761" s="52" t="n">
        <v>0</v>
      </c>
      <c r="AM1761" s="52" t="n">
        <v>0</v>
      </c>
      <c r="AN1761" s="52" t="n">
        <v>0</v>
      </c>
      <c r="AO1761" s="53" t="n">
        <v>0</v>
      </c>
      <c r="AP1761" s="52" t="n">
        <v>0</v>
      </c>
      <c r="AQ1761" s="53" t="n">
        <v>0</v>
      </c>
      <c r="AR1761" s="52" t="n">
        <v>0</v>
      </c>
      <c r="AS1761" s="51" t="n">
        <v>0</v>
      </c>
      <c r="AT1761" s="48" t="n">
        <v>0</v>
      </c>
      <c r="AU1761" s="49" t="n">
        <v>0</v>
      </c>
      <c r="AV1761" s="49" t="n">
        <v>0</v>
      </c>
      <c r="AW1761" s="50" t="n">
        <v>0</v>
      </c>
      <c r="AX1761" s="51" t="n">
        <v>0</v>
      </c>
      <c r="AY1761" s="52" t="n">
        <v>0</v>
      </c>
      <c r="AZ1761" s="52" t="n">
        <v>0</v>
      </c>
      <c r="BA1761" s="52" t="n">
        <v>0</v>
      </c>
      <c r="BB1761" s="53" t="n">
        <v>0</v>
      </c>
      <c r="BC1761" s="52" t="n">
        <v>0</v>
      </c>
      <c r="BD1761" s="53" t="n">
        <v>0</v>
      </c>
      <c r="BE1761" s="52" t="n">
        <v>0</v>
      </c>
      <c r="BF1761" s="51" t="n">
        <v>0</v>
      </c>
    </row>
    <row r="1762">
      <c r="A1762">
        <f>HYPERLINK("https://www.walmart.com/ip/1361841364", "1361841364")</f>
        <v/>
      </c>
      <c r="B1762" t="inlineStr">
        <is>
          <t>Kato Outdoors Waterproof Blanket, Sherpa Fleece Stadium Windproof Throw Mat for Boat, Traveling, Camping, Hiking, Football - Machine Washable, Camo/Black, 59”x 79”.</t>
        </is>
      </c>
      <c r="C1762" t="inlineStr">
        <is>
          <t>1KTBW608CAMOBK</t>
        </is>
      </c>
      <c r="D1762" t="inlineStr">
        <is>
          <t>Throws</t>
        </is>
      </c>
      <c r="E1762" t="inlineStr">
        <is>
          <t>Kato</t>
        </is>
      </c>
      <c r="F1762" t="inlineStr">
        <is>
          <t>Q2-Target</t>
        </is>
      </c>
      <c r="G1762" s="48" t="n">
        <v>0</v>
      </c>
      <c r="H1762" s="49" t="n">
        <v>0</v>
      </c>
      <c r="I1762" s="49" t="n">
        <v>0</v>
      </c>
      <c r="J1762" s="50" t="n">
        <v>0</v>
      </c>
      <c r="K1762" s="51" t="n">
        <v>0</v>
      </c>
      <c r="L1762" s="52" t="n">
        <v>0</v>
      </c>
      <c r="M1762" s="52" t="n">
        <v>0</v>
      </c>
      <c r="N1762" s="52" t="n">
        <v>0</v>
      </c>
      <c r="O1762" s="53" t="n">
        <v>0</v>
      </c>
      <c r="P1762" s="52" t="n">
        <v>0</v>
      </c>
      <c r="Q1762" s="53" t="n">
        <v>0</v>
      </c>
      <c r="R1762" s="52" t="n">
        <v>0</v>
      </c>
      <c r="S1762" s="51" t="n">
        <v>0</v>
      </c>
      <c r="T1762" s="48" t="n">
        <v>0</v>
      </c>
      <c r="U1762" s="49" t="n">
        <v>0</v>
      </c>
      <c r="V1762" s="49" t="n">
        <v>0</v>
      </c>
      <c r="W1762" s="50" t="n">
        <v>0</v>
      </c>
      <c r="X1762" s="51" t="n">
        <v>0</v>
      </c>
      <c r="Y1762" s="52" t="n">
        <v>0</v>
      </c>
      <c r="Z1762" s="52" t="n">
        <v>0</v>
      </c>
      <c r="AA1762" s="52" t="n">
        <v>0</v>
      </c>
      <c r="AB1762" s="53" t="n">
        <v>0</v>
      </c>
      <c r="AC1762" s="52" t="n">
        <v>0</v>
      </c>
      <c r="AD1762" s="53" t="n">
        <v>0</v>
      </c>
      <c r="AE1762" s="52" t="n">
        <v>0</v>
      </c>
      <c r="AF1762" s="51" t="n">
        <v>0</v>
      </c>
      <c r="AG1762" s="48" t="n">
        <v>0</v>
      </c>
      <c r="AH1762" s="49" t="n">
        <v>0</v>
      </c>
      <c r="AI1762" s="49" t="n">
        <v>0</v>
      </c>
      <c r="AJ1762" s="50" t="n">
        <v>0</v>
      </c>
      <c r="AK1762" s="51" t="n">
        <v>0</v>
      </c>
      <c r="AL1762" s="52" t="n">
        <v>0</v>
      </c>
      <c r="AM1762" s="52" t="n">
        <v>0</v>
      </c>
      <c r="AN1762" s="52" t="n">
        <v>0</v>
      </c>
      <c r="AO1762" s="53" t="n">
        <v>0</v>
      </c>
      <c r="AP1762" s="52" t="n">
        <v>0</v>
      </c>
      <c r="AQ1762" s="53" t="n">
        <v>0</v>
      </c>
      <c r="AR1762" s="52" t="n">
        <v>0</v>
      </c>
      <c r="AS1762" s="51" t="n">
        <v>0</v>
      </c>
      <c r="AT1762" s="48" t="n">
        <v>34.98</v>
      </c>
      <c r="AU1762" s="49" t="n">
        <v>1</v>
      </c>
      <c r="AV1762" s="49" t="n">
        <v>0</v>
      </c>
      <c r="AW1762" s="50" t="n">
        <v>0</v>
      </c>
      <c r="AX1762" s="51" t="n">
        <v>0</v>
      </c>
      <c r="AY1762" s="52" t="n">
        <v>0</v>
      </c>
      <c r="AZ1762" s="52" t="n">
        <v>0</v>
      </c>
      <c r="BA1762" s="52" t="n">
        <v>0</v>
      </c>
      <c r="BB1762" s="53" t="n">
        <v>0</v>
      </c>
      <c r="BC1762" s="52" t="n">
        <v>0</v>
      </c>
      <c r="BD1762" s="53" t="n">
        <v>0</v>
      </c>
      <c r="BE1762" s="52" t="n">
        <v>34.98</v>
      </c>
      <c r="BF1762" s="51" t="n">
        <v>0</v>
      </c>
    </row>
    <row r="1763">
      <c r="A1763">
        <f>HYPERLINK("https://www.walmart.com/ip/1367232974", "1367232974")</f>
        <v/>
      </c>
      <c r="B1763" t="inlineStr">
        <is>
          <t>Sherpa Throw Blanket Fleece, Super Cozy Warm TV Blankets for Bed or Couch Reversible 60" x 80"</t>
        </is>
      </c>
      <c r="C1763" t="inlineStr">
        <is>
          <t>1TRBF368SNOWMAN</t>
        </is>
      </c>
      <c r="D1763" t="inlineStr">
        <is>
          <t>Throws</t>
        </is>
      </c>
      <c r="E1763" t="inlineStr">
        <is>
          <t>Tirrinia</t>
        </is>
      </c>
      <c r="G1763" s="48" t="n">
        <v>0</v>
      </c>
      <c r="H1763" s="49" t="n">
        <v>0</v>
      </c>
      <c r="I1763" s="49" t="n">
        <v>0</v>
      </c>
      <c r="J1763" s="50" t="n">
        <v>0</v>
      </c>
      <c r="K1763" s="51" t="n">
        <v>0</v>
      </c>
      <c r="L1763" s="52" t="n">
        <v>0</v>
      </c>
      <c r="M1763" s="52" t="n">
        <v>0</v>
      </c>
      <c r="N1763" s="52" t="n">
        <v>0</v>
      </c>
      <c r="O1763" s="53" t="n">
        <v>0</v>
      </c>
      <c r="P1763" s="52" t="n">
        <v>0</v>
      </c>
      <c r="Q1763" s="53" t="n">
        <v>0</v>
      </c>
      <c r="R1763" s="52" t="n">
        <v>0</v>
      </c>
      <c r="S1763" s="51" t="n">
        <v>0</v>
      </c>
      <c r="T1763" s="48" t="n">
        <v>0</v>
      </c>
      <c r="U1763" s="49" t="n">
        <v>0</v>
      </c>
      <c r="V1763" s="49" t="n">
        <v>0</v>
      </c>
      <c r="W1763" s="50" t="n">
        <v>0</v>
      </c>
      <c r="X1763" s="51" t="n">
        <v>0</v>
      </c>
      <c r="Y1763" s="52" t="n">
        <v>0</v>
      </c>
      <c r="Z1763" s="52" t="n">
        <v>0</v>
      </c>
      <c r="AA1763" s="52" t="n">
        <v>0</v>
      </c>
      <c r="AB1763" s="53" t="n">
        <v>0</v>
      </c>
      <c r="AC1763" s="52" t="n">
        <v>0</v>
      </c>
      <c r="AD1763" s="53" t="n">
        <v>0</v>
      </c>
      <c r="AE1763" s="52" t="n">
        <v>0</v>
      </c>
      <c r="AF1763" s="51" t="n">
        <v>0</v>
      </c>
      <c r="AG1763" s="48" t="n">
        <v>0</v>
      </c>
      <c r="AH1763" s="49" t="n">
        <v>0</v>
      </c>
      <c r="AI1763" s="49" t="n">
        <v>0</v>
      </c>
      <c r="AJ1763" s="50" t="n">
        <v>0</v>
      </c>
      <c r="AK1763" s="51" t="n">
        <v>0</v>
      </c>
      <c r="AL1763" s="52" t="n">
        <v>0</v>
      </c>
      <c r="AM1763" s="52" t="n">
        <v>0</v>
      </c>
      <c r="AN1763" s="52" t="n">
        <v>0</v>
      </c>
      <c r="AO1763" s="53" t="n">
        <v>0</v>
      </c>
      <c r="AP1763" s="52" t="n">
        <v>0</v>
      </c>
      <c r="AQ1763" s="53" t="n">
        <v>0</v>
      </c>
      <c r="AR1763" s="52" t="n">
        <v>0</v>
      </c>
      <c r="AS1763" s="51" t="n">
        <v>0</v>
      </c>
      <c r="AT1763" s="48" t="n">
        <v>0</v>
      </c>
      <c r="AU1763" s="49" t="n">
        <v>0</v>
      </c>
      <c r="AV1763" s="49" t="n">
        <v>0</v>
      </c>
      <c r="AW1763" s="50" t="n">
        <v>0</v>
      </c>
      <c r="AX1763" s="51" t="n">
        <v>0</v>
      </c>
      <c r="AY1763" s="52" t="n">
        <v>0</v>
      </c>
      <c r="AZ1763" s="52" t="n">
        <v>0</v>
      </c>
      <c r="BA1763" s="52" t="n">
        <v>0</v>
      </c>
      <c r="BB1763" s="53" t="n">
        <v>0</v>
      </c>
      <c r="BC1763" s="52" t="n">
        <v>0</v>
      </c>
      <c r="BD1763" s="53" t="n">
        <v>0</v>
      </c>
      <c r="BE1763" s="52" t="n">
        <v>0</v>
      </c>
      <c r="BF1763" s="51" t="n">
        <v>0</v>
      </c>
    </row>
    <row r="1764">
      <c r="A1764">
        <f>HYPERLINK("https://www.walmart.com/ip/136742793", "136742793")</f>
        <v/>
      </c>
      <c r="B1764" t="inlineStr">
        <is>
          <t>Napa Premium Chevron Micro Plush Fleece Sherpa Bed Throw TV Blanket 50” x 60” Sea Blue</t>
        </is>
      </c>
      <c r="C1764" t="inlineStr">
        <is>
          <t>K8020SEABLUE</t>
        </is>
      </c>
      <c r="D1764" t="inlineStr">
        <is>
          <t>Throws</t>
        </is>
      </c>
      <c r="E1764" t="inlineStr">
        <is>
          <t>NAPA</t>
        </is>
      </c>
      <c r="F1764" t="inlineStr">
        <is>
          <t>Optimized</t>
        </is>
      </c>
      <c r="G1764" s="48" t="n">
        <v>0</v>
      </c>
      <c r="H1764" s="49" t="n">
        <v>0</v>
      </c>
      <c r="I1764" s="49" t="n">
        <v>0</v>
      </c>
      <c r="J1764" s="50" t="n">
        <v>0</v>
      </c>
      <c r="K1764" s="51" t="n">
        <v>0</v>
      </c>
      <c r="L1764" s="52" t="n">
        <v>0</v>
      </c>
      <c r="M1764" s="52" t="n">
        <v>0</v>
      </c>
      <c r="N1764" s="52" t="n">
        <v>0</v>
      </c>
      <c r="O1764" s="53" t="n">
        <v>0</v>
      </c>
      <c r="P1764" s="52" t="n">
        <v>0</v>
      </c>
      <c r="Q1764" s="53" t="n">
        <v>0</v>
      </c>
      <c r="R1764" s="52" t="n">
        <v>0</v>
      </c>
      <c r="S1764" s="51" t="n">
        <v>0</v>
      </c>
      <c r="T1764" s="48" t="n">
        <v>0</v>
      </c>
      <c r="U1764" s="49" t="n">
        <v>0</v>
      </c>
      <c r="V1764" s="49" t="n">
        <v>0</v>
      </c>
      <c r="W1764" s="50" t="n">
        <v>0</v>
      </c>
      <c r="X1764" s="51" t="n">
        <v>0</v>
      </c>
      <c r="Y1764" s="52" t="n">
        <v>0</v>
      </c>
      <c r="Z1764" s="52" t="n">
        <v>0</v>
      </c>
      <c r="AA1764" s="52" t="n">
        <v>0</v>
      </c>
      <c r="AB1764" s="53" t="n">
        <v>0</v>
      </c>
      <c r="AC1764" s="52" t="n">
        <v>0</v>
      </c>
      <c r="AD1764" s="53" t="n">
        <v>0</v>
      </c>
      <c r="AE1764" s="52" t="n">
        <v>0</v>
      </c>
      <c r="AF1764" s="51" t="n">
        <v>0</v>
      </c>
      <c r="AG1764" s="48" t="n">
        <v>0</v>
      </c>
      <c r="AH1764" s="49" t="n">
        <v>0</v>
      </c>
      <c r="AI1764" s="49" t="n">
        <v>0</v>
      </c>
      <c r="AJ1764" s="50" t="n">
        <v>0</v>
      </c>
      <c r="AK1764" s="51" t="n">
        <v>0</v>
      </c>
      <c r="AL1764" s="52" t="n">
        <v>0</v>
      </c>
      <c r="AM1764" s="52" t="n">
        <v>0</v>
      </c>
      <c r="AN1764" s="52" t="n">
        <v>0</v>
      </c>
      <c r="AO1764" s="53" t="n">
        <v>0</v>
      </c>
      <c r="AP1764" s="52" t="n">
        <v>0</v>
      </c>
      <c r="AQ1764" s="53" t="n">
        <v>0</v>
      </c>
      <c r="AR1764" s="52" t="n">
        <v>0</v>
      </c>
      <c r="AS1764" s="51" t="n">
        <v>0</v>
      </c>
      <c r="AT1764" s="48" t="n">
        <v>0</v>
      </c>
      <c r="AU1764" s="49" t="n">
        <v>0</v>
      </c>
      <c r="AV1764" s="49" t="n">
        <v>0</v>
      </c>
      <c r="AW1764" s="50" t="n">
        <v>0</v>
      </c>
      <c r="AX1764" s="51" t="n">
        <v>0</v>
      </c>
      <c r="AY1764" s="52" t="n">
        <v>0</v>
      </c>
      <c r="AZ1764" s="52" t="n">
        <v>0</v>
      </c>
      <c r="BA1764" s="52" t="n">
        <v>0</v>
      </c>
      <c r="BB1764" s="53" t="n">
        <v>0</v>
      </c>
      <c r="BC1764" s="52" t="n">
        <v>0</v>
      </c>
      <c r="BD1764" s="53" t="n">
        <v>0</v>
      </c>
      <c r="BE1764" s="52" t="n">
        <v>0</v>
      </c>
      <c r="BF1764" s="51" t="n">
        <v>0</v>
      </c>
    </row>
    <row r="1765">
      <c r="A1765">
        <f>HYPERLINK("https://www.walmart.com/ip/136749129", "136749129")</f>
        <v/>
      </c>
      <c r="B1765" t="inlineStr">
        <is>
          <t>KC Caps Unisex Low Profile Baseball Cap, Hat for Women and Men, Blaze Orange</t>
        </is>
      </c>
      <c r="C1765" t="inlineStr">
        <is>
          <t>KC-8120-NOR</t>
        </is>
      </c>
      <c r="D1765" t="inlineStr">
        <is>
          <t>Hats</t>
        </is>
      </c>
      <c r="E1765" t="inlineStr">
        <is>
          <t>KC Caps</t>
        </is>
      </c>
      <c r="F1765" t="inlineStr">
        <is>
          <t>Optimized,WFS,WFS Item</t>
        </is>
      </c>
      <c r="G1765" s="48" t="n">
        <v>0</v>
      </c>
      <c r="H1765" s="49" t="n">
        <v>0</v>
      </c>
      <c r="I1765" s="49" t="n">
        <v>0</v>
      </c>
      <c r="J1765" s="50" t="n">
        <v>0</v>
      </c>
      <c r="K1765" s="51" t="n">
        <v>0</v>
      </c>
      <c r="L1765" s="52" t="n">
        <v>0</v>
      </c>
      <c r="M1765" s="52" t="n">
        <v>0</v>
      </c>
      <c r="N1765" s="52" t="n">
        <v>0</v>
      </c>
      <c r="O1765" s="53" t="n">
        <v>0</v>
      </c>
      <c r="P1765" s="52" t="n">
        <v>0</v>
      </c>
      <c r="Q1765" s="53" t="n">
        <v>0</v>
      </c>
      <c r="R1765" s="52" t="n">
        <v>0</v>
      </c>
      <c r="S1765" s="51" t="n">
        <v>0</v>
      </c>
      <c r="T1765" s="48" t="n">
        <v>0</v>
      </c>
      <c r="U1765" s="49" t="n">
        <v>0</v>
      </c>
      <c r="V1765" s="49" t="n">
        <v>0</v>
      </c>
      <c r="W1765" s="50" t="n">
        <v>0</v>
      </c>
      <c r="X1765" s="51" t="n">
        <v>0</v>
      </c>
      <c r="Y1765" s="52" t="n">
        <v>0</v>
      </c>
      <c r="Z1765" s="52" t="n">
        <v>0</v>
      </c>
      <c r="AA1765" s="52" t="n">
        <v>0</v>
      </c>
      <c r="AB1765" s="53" t="n">
        <v>0</v>
      </c>
      <c r="AC1765" s="52" t="n">
        <v>0</v>
      </c>
      <c r="AD1765" s="53" t="n">
        <v>0</v>
      </c>
      <c r="AE1765" s="52" t="n">
        <v>0</v>
      </c>
      <c r="AF1765" s="51" t="n">
        <v>0</v>
      </c>
      <c r="AG1765" s="48" t="n">
        <v>0</v>
      </c>
      <c r="AH1765" s="49" t="n">
        <v>0</v>
      </c>
      <c r="AI1765" s="49" t="n">
        <v>0</v>
      </c>
      <c r="AJ1765" s="50" t="n">
        <v>0</v>
      </c>
      <c r="AK1765" s="51" t="n">
        <v>0</v>
      </c>
      <c r="AL1765" s="52" t="n">
        <v>0</v>
      </c>
      <c r="AM1765" s="52" t="n">
        <v>0</v>
      </c>
      <c r="AN1765" s="52" t="n">
        <v>0</v>
      </c>
      <c r="AO1765" s="53" t="n">
        <v>0</v>
      </c>
      <c r="AP1765" s="52" t="n">
        <v>0</v>
      </c>
      <c r="AQ1765" s="53" t="n">
        <v>0</v>
      </c>
      <c r="AR1765" s="52" t="n">
        <v>0</v>
      </c>
      <c r="AS1765" s="51" t="n">
        <v>0</v>
      </c>
      <c r="AT1765" s="48" t="n">
        <v>0</v>
      </c>
      <c r="AU1765" s="49" t="n">
        <v>0</v>
      </c>
      <c r="AV1765" s="49" t="n">
        <v>0</v>
      </c>
      <c r="AW1765" s="50" t="n">
        <v>0</v>
      </c>
      <c r="AX1765" s="51" t="n">
        <v>0</v>
      </c>
      <c r="AY1765" s="52" t="n">
        <v>0</v>
      </c>
      <c r="AZ1765" s="52" t="n">
        <v>0</v>
      </c>
      <c r="BA1765" s="52" t="n">
        <v>0</v>
      </c>
      <c r="BB1765" s="53" t="n">
        <v>0</v>
      </c>
      <c r="BC1765" s="52" t="n">
        <v>0</v>
      </c>
      <c r="BD1765" s="53" t="n">
        <v>0</v>
      </c>
      <c r="BE1765" s="52" t="n">
        <v>0</v>
      </c>
      <c r="BF1765" s="51" t="n">
        <v>0</v>
      </c>
    </row>
    <row r="1766">
      <c r="A1766">
        <f>HYPERLINK("https://www.walmart.com/ip/1369865038", "1369865038")</f>
        <v/>
      </c>
      <c r="B1766" t="inlineStr">
        <is>
          <t>12 Pack Women's Sun Hat Reversible Bucket Cap UPF 50+ Travel Beach Hat, Hawaii Flower Print Blue Pattern</t>
        </is>
      </c>
      <c r="C1766" t="inlineStr">
        <is>
          <t>KC-S9200FLW-BL-12pcs</t>
        </is>
      </c>
      <c r="D1766" t="inlineStr">
        <is>
          <t>Hats</t>
        </is>
      </c>
      <c r="E1766" t="inlineStr">
        <is>
          <t>Sun Blocker</t>
        </is>
      </c>
      <c r="F1766" t="inlineStr">
        <is>
          <t>Batch 1 - TR</t>
        </is>
      </c>
      <c r="G1766" s="48" t="n">
        <v>0</v>
      </c>
      <c r="H1766" s="49" t="n">
        <v>0</v>
      </c>
      <c r="I1766" s="49" t="n">
        <v>0</v>
      </c>
      <c r="J1766" s="50" t="n">
        <v>0</v>
      </c>
      <c r="K1766" s="51" t="n">
        <v>0</v>
      </c>
      <c r="L1766" s="52" t="n">
        <v>0</v>
      </c>
      <c r="M1766" s="52" t="n">
        <v>0</v>
      </c>
      <c r="N1766" s="52" t="n">
        <v>0</v>
      </c>
      <c r="O1766" s="53" t="n">
        <v>0</v>
      </c>
      <c r="P1766" s="52" t="n">
        <v>0</v>
      </c>
      <c r="Q1766" s="53" t="n">
        <v>0</v>
      </c>
      <c r="R1766" s="52" t="n">
        <v>0</v>
      </c>
      <c r="S1766" s="51" t="n">
        <v>0</v>
      </c>
      <c r="T1766" s="48" t="n">
        <v>0</v>
      </c>
      <c r="U1766" s="49" t="n">
        <v>0</v>
      </c>
      <c r="V1766" s="49" t="n">
        <v>0</v>
      </c>
      <c r="W1766" s="50" t="n">
        <v>0</v>
      </c>
      <c r="X1766" s="51" t="n">
        <v>0</v>
      </c>
      <c r="Y1766" s="52" t="n">
        <v>0</v>
      </c>
      <c r="Z1766" s="52" t="n">
        <v>0</v>
      </c>
      <c r="AA1766" s="52" t="n">
        <v>0</v>
      </c>
      <c r="AB1766" s="53" t="n">
        <v>0</v>
      </c>
      <c r="AC1766" s="52" t="n">
        <v>0</v>
      </c>
      <c r="AD1766" s="53" t="n">
        <v>0</v>
      </c>
      <c r="AE1766" s="52" t="n">
        <v>0</v>
      </c>
      <c r="AF1766" s="51" t="n">
        <v>0</v>
      </c>
      <c r="AG1766" s="48" t="n">
        <v>0</v>
      </c>
      <c r="AH1766" s="49" t="n">
        <v>0</v>
      </c>
      <c r="AI1766" s="49" t="n">
        <v>0</v>
      </c>
      <c r="AJ1766" s="50" t="n">
        <v>0</v>
      </c>
      <c r="AK1766" s="51" t="n">
        <v>0</v>
      </c>
      <c r="AL1766" s="52" t="n">
        <v>0</v>
      </c>
      <c r="AM1766" s="52" t="n">
        <v>0</v>
      </c>
      <c r="AN1766" s="52" t="n">
        <v>0</v>
      </c>
      <c r="AO1766" s="53" t="n">
        <v>0</v>
      </c>
      <c r="AP1766" s="52" t="n">
        <v>0</v>
      </c>
      <c r="AQ1766" s="53" t="n">
        <v>0</v>
      </c>
      <c r="AR1766" s="52" t="n">
        <v>0</v>
      </c>
      <c r="AS1766" s="51" t="n">
        <v>0</v>
      </c>
      <c r="AT1766" s="48" t="n">
        <v>0</v>
      </c>
      <c r="AU1766" s="49" t="n">
        <v>0</v>
      </c>
      <c r="AV1766" s="49" t="n">
        <v>0</v>
      </c>
      <c r="AW1766" s="50" t="n">
        <v>0</v>
      </c>
      <c r="AX1766" s="51" t="n">
        <v>0</v>
      </c>
      <c r="AY1766" s="52" t="n">
        <v>0</v>
      </c>
      <c r="AZ1766" s="52" t="n">
        <v>0</v>
      </c>
      <c r="BA1766" s="52" t="n">
        <v>0</v>
      </c>
      <c r="BB1766" s="53" t="n">
        <v>0</v>
      </c>
      <c r="BC1766" s="52" t="n">
        <v>0</v>
      </c>
      <c r="BD1766" s="53" t="n">
        <v>0</v>
      </c>
      <c r="BE1766" s="52" t="n">
        <v>0</v>
      </c>
      <c r="BF1766" s="51" t="n">
        <v>0</v>
      </c>
    </row>
    <row r="1767">
      <c r="A1767">
        <f>HYPERLINK("https://www.walmart.com/ip/13718917327", "13718917327")</f>
        <v/>
      </c>
      <c r="B1767" t="inlineStr">
        <is>
          <t>Catalonia Wearable Hoodie Blanket Quilted Outdoor Waterproof Hoodie for Women Men for Hiking Camping Picnic Oversized Soft Cozy Warm Hoodie Blanket Gifts with Giant Pocket and Long Sleeves Blue</t>
        </is>
      </c>
      <c r="C1767" t="inlineStr">
        <is>
          <t>1CTHD301BL</t>
        </is>
      </c>
      <c r="D1767" t="inlineStr">
        <is>
          <t>Sweatshirts &amp; Hoodies</t>
        </is>
      </c>
      <c r="E1767" t="inlineStr">
        <is>
          <t>Catalonia</t>
        </is>
      </c>
      <c r="G1767" s="48" t="n">
        <v>0</v>
      </c>
      <c r="H1767" s="49" t="n">
        <v>0</v>
      </c>
      <c r="I1767" s="49" t="n">
        <v>0</v>
      </c>
      <c r="J1767" s="50" t="n">
        <v>0</v>
      </c>
      <c r="K1767" s="51" t="n">
        <v>0</v>
      </c>
      <c r="L1767" s="52" t="n">
        <v>0</v>
      </c>
      <c r="M1767" s="52" t="n">
        <v>0</v>
      </c>
      <c r="N1767" s="52" t="n">
        <v>0</v>
      </c>
      <c r="O1767" s="53" t="n">
        <v>0</v>
      </c>
      <c r="P1767" s="52" t="n">
        <v>0</v>
      </c>
      <c r="Q1767" s="53" t="n">
        <v>0</v>
      </c>
      <c r="R1767" s="52" t="n">
        <v>0</v>
      </c>
      <c r="S1767" s="51" t="n">
        <v>0</v>
      </c>
      <c r="T1767" s="48" t="n">
        <v>0</v>
      </c>
      <c r="U1767" s="49" t="n">
        <v>0</v>
      </c>
      <c r="V1767" s="49" t="n">
        <v>0</v>
      </c>
      <c r="W1767" s="50" t="n">
        <v>0</v>
      </c>
      <c r="X1767" s="51" t="n">
        <v>0</v>
      </c>
      <c r="Y1767" s="52" t="n">
        <v>0</v>
      </c>
      <c r="Z1767" s="52" t="n">
        <v>0</v>
      </c>
      <c r="AA1767" s="52" t="n">
        <v>0</v>
      </c>
      <c r="AB1767" s="53" t="n">
        <v>0</v>
      </c>
      <c r="AC1767" s="52" t="n">
        <v>0</v>
      </c>
      <c r="AD1767" s="53" t="n">
        <v>0</v>
      </c>
      <c r="AE1767" s="52" t="n">
        <v>0</v>
      </c>
      <c r="AF1767" s="51" t="n">
        <v>0</v>
      </c>
      <c r="AG1767" s="48" t="n">
        <v>0</v>
      </c>
      <c r="AH1767" s="49" t="n">
        <v>0</v>
      </c>
      <c r="AI1767" s="49" t="n">
        <v>0</v>
      </c>
      <c r="AJ1767" s="50" t="n">
        <v>0</v>
      </c>
      <c r="AK1767" s="51" t="n">
        <v>0</v>
      </c>
      <c r="AL1767" s="52" t="n">
        <v>0</v>
      </c>
      <c r="AM1767" s="52" t="n">
        <v>0</v>
      </c>
      <c r="AN1767" s="52" t="n">
        <v>0</v>
      </c>
      <c r="AO1767" s="53" t="n">
        <v>0</v>
      </c>
      <c r="AP1767" s="52" t="n">
        <v>0</v>
      </c>
      <c r="AQ1767" s="53" t="n">
        <v>0</v>
      </c>
      <c r="AR1767" s="52" t="n">
        <v>0</v>
      </c>
      <c r="AS1767" s="51" t="n">
        <v>0</v>
      </c>
      <c r="AT1767" s="48" t="n">
        <v>0</v>
      </c>
      <c r="AU1767" s="49" t="n">
        <v>0</v>
      </c>
      <c r="AV1767" s="49" t="n">
        <v>0</v>
      </c>
      <c r="AW1767" s="50" t="n">
        <v>0</v>
      </c>
      <c r="AX1767" s="51" t="n">
        <v>0</v>
      </c>
      <c r="AY1767" s="52" t="n">
        <v>0</v>
      </c>
      <c r="AZ1767" s="52" t="n">
        <v>0</v>
      </c>
      <c r="BA1767" s="52" t="n">
        <v>0</v>
      </c>
      <c r="BB1767" s="53" t="n">
        <v>0</v>
      </c>
      <c r="BC1767" s="52" t="n">
        <v>0</v>
      </c>
      <c r="BD1767" s="53" t="n">
        <v>0</v>
      </c>
      <c r="BE1767" s="52" t="n">
        <v>0</v>
      </c>
      <c r="BF1767" s="51" t="n">
        <v>0</v>
      </c>
    </row>
    <row r="1768">
      <c r="A1768">
        <f>HYPERLINK("https://www.walmart.com/ip/137250133", "137250133")</f>
        <v/>
      </c>
      <c r="B1768" t="inlineStr">
        <is>
          <t>Catalonia Sherpa Throw Blanket, Fuzzy Snuggle Blanket for Camping Traveling Couch Bed, Super Soft, Light Weight, Reversible, All Season Use, 50x60 inches, Pink Camo</t>
        </is>
      </c>
      <c r="C1768" t="inlineStr">
        <is>
          <t>1CTBF579PKCAMO</t>
        </is>
      </c>
      <c r="D1768" t="inlineStr">
        <is>
          <t>Throws</t>
        </is>
      </c>
      <c r="E1768" t="inlineStr">
        <is>
          <t>Catalonia</t>
        </is>
      </c>
      <c r="F1768" t="inlineStr">
        <is>
          <t>WFS,WFS Item</t>
        </is>
      </c>
      <c r="G1768" s="48" t="n">
        <v>0</v>
      </c>
      <c r="H1768" s="49" t="n">
        <v>0</v>
      </c>
      <c r="I1768" s="49" t="n">
        <v>0</v>
      </c>
      <c r="J1768" s="50" t="n">
        <v>0</v>
      </c>
      <c r="K1768" s="51" t="n">
        <v>0</v>
      </c>
      <c r="L1768" s="52" t="n">
        <v>0</v>
      </c>
      <c r="M1768" s="52" t="n">
        <v>0</v>
      </c>
      <c r="N1768" s="52" t="n">
        <v>0</v>
      </c>
      <c r="O1768" s="53" t="n">
        <v>0</v>
      </c>
      <c r="P1768" s="52" t="n">
        <v>0</v>
      </c>
      <c r="Q1768" s="53" t="n">
        <v>0</v>
      </c>
      <c r="R1768" s="52" t="n">
        <v>0</v>
      </c>
      <c r="S1768" s="51" t="n">
        <v>0</v>
      </c>
      <c r="T1768" s="48" t="n">
        <v>0</v>
      </c>
      <c r="U1768" s="49" t="n">
        <v>0</v>
      </c>
      <c r="V1768" s="49" t="n">
        <v>0</v>
      </c>
      <c r="W1768" s="50" t="n">
        <v>0</v>
      </c>
      <c r="X1768" s="51" t="n">
        <v>0</v>
      </c>
      <c r="Y1768" s="52" t="n">
        <v>0</v>
      </c>
      <c r="Z1768" s="52" t="n">
        <v>0</v>
      </c>
      <c r="AA1768" s="52" t="n">
        <v>0</v>
      </c>
      <c r="AB1768" s="53" t="n">
        <v>0</v>
      </c>
      <c r="AC1768" s="52" t="n">
        <v>0</v>
      </c>
      <c r="AD1768" s="53" t="n">
        <v>0</v>
      </c>
      <c r="AE1768" s="52" t="n">
        <v>0</v>
      </c>
      <c r="AF1768" s="51" t="n">
        <v>0</v>
      </c>
      <c r="AG1768" s="48" t="n">
        <v>0</v>
      </c>
      <c r="AH1768" s="49" t="n">
        <v>0</v>
      </c>
      <c r="AI1768" s="49" t="n">
        <v>0</v>
      </c>
      <c r="AJ1768" s="50" t="n">
        <v>0</v>
      </c>
      <c r="AK1768" s="51" t="n">
        <v>0</v>
      </c>
      <c r="AL1768" s="52" t="n">
        <v>0</v>
      </c>
      <c r="AM1768" s="52" t="n">
        <v>0</v>
      </c>
      <c r="AN1768" s="52" t="n">
        <v>0</v>
      </c>
      <c r="AO1768" s="53" t="n">
        <v>0</v>
      </c>
      <c r="AP1768" s="52" t="n">
        <v>0</v>
      </c>
      <c r="AQ1768" s="53" t="n">
        <v>0</v>
      </c>
      <c r="AR1768" s="52" t="n">
        <v>0</v>
      </c>
      <c r="AS1768" s="51" t="n">
        <v>0</v>
      </c>
      <c r="AT1768" s="48" t="n">
        <v>0</v>
      </c>
      <c r="AU1768" s="49" t="n">
        <v>0</v>
      </c>
      <c r="AV1768" s="49" t="n">
        <v>0</v>
      </c>
      <c r="AW1768" s="50" t="n">
        <v>0</v>
      </c>
      <c r="AX1768" s="51" t="n">
        <v>0</v>
      </c>
      <c r="AY1768" s="52" t="n">
        <v>0</v>
      </c>
      <c r="AZ1768" s="52" t="n">
        <v>0</v>
      </c>
      <c r="BA1768" s="52" t="n">
        <v>0</v>
      </c>
      <c r="BB1768" s="53" t="n">
        <v>0</v>
      </c>
      <c r="BC1768" s="52" t="n">
        <v>0</v>
      </c>
      <c r="BD1768" s="53" t="n">
        <v>0</v>
      </c>
      <c r="BE1768" s="52" t="n">
        <v>0</v>
      </c>
      <c r="BF1768" s="51" t="n">
        <v>0</v>
      </c>
    </row>
    <row r="1769">
      <c r="A1769">
        <f>HYPERLINK("https://www.walmart.com/ip/137619751", "137619751")</f>
        <v/>
      </c>
      <c r="B1769" t="inlineStr">
        <is>
          <t>Deluxe Classic Suede Bill Baseball Cap with Leather Strap Closure</t>
        </is>
      </c>
      <c r="C1769" t="inlineStr">
        <is>
          <t>KC-S6300-RD/BK</t>
        </is>
      </c>
      <c r="D1769" t="inlineStr">
        <is>
          <t>Hats</t>
        </is>
      </c>
      <c r="E1769" t="inlineStr">
        <is>
          <t>KC Caps</t>
        </is>
      </c>
      <c r="F1769" t="inlineStr">
        <is>
          <t>Optimized</t>
        </is>
      </c>
      <c r="G1769" s="48" t="n">
        <v>0</v>
      </c>
      <c r="H1769" s="49" t="n">
        <v>0</v>
      </c>
      <c r="I1769" s="49" t="n">
        <v>0</v>
      </c>
      <c r="J1769" s="50" t="n">
        <v>0</v>
      </c>
      <c r="K1769" s="51" t="n">
        <v>0</v>
      </c>
      <c r="L1769" s="52" t="n">
        <v>0</v>
      </c>
      <c r="M1769" s="52" t="n">
        <v>0</v>
      </c>
      <c r="N1769" s="52" t="n">
        <v>0</v>
      </c>
      <c r="O1769" s="53" t="n">
        <v>0</v>
      </c>
      <c r="P1769" s="52" t="n">
        <v>0</v>
      </c>
      <c r="Q1769" s="53" t="n">
        <v>0</v>
      </c>
      <c r="R1769" s="52" t="n">
        <v>0</v>
      </c>
      <c r="S1769" s="51" t="n">
        <v>0</v>
      </c>
      <c r="T1769" s="48" t="n">
        <v>0</v>
      </c>
      <c r="U1769" s="49" t="n">
        <v>0</v>
      </c>
      <c r="V1769" s="49" t="n">
        <v>0</v>
      </c>
      <c r="W1769" s="50" t="n">
        <v>0</v>
      </c>
      <c r="X1769" s="51" t="n">
        <v>0</v>
      </c>
      <c r="Y1769" s="52" t="n">
        <v>0</v>
      </c>
      <c r="Z1769" s="52" t="n">
        <v>0</v>
      </c>
      <c r="AA1769" s="52" t="n">
        <v>0</v>
      </c>
      <c r="AB1769" s="53" t="n">
        <v>0</v>
      </c>
      <c r="AC1769" s="52" t="n">
        <v>0</v>
      </c>
      <c r="AD1769" s="53" t="n">
        <v>0</v>
      </c>
      <c r="AE1769" s="52" t="n">
        <v>0</v>
      </c>
      <c r="AF1769" s="51" t="n">
        <v>0</v>
      </c>
      <c r="AG1769" s="48" t="n">
        <v>0</v>
      </c>
      <c r="AH1769" s="49" t="n">
        <v>0</v>
      </c>
      <c r="AI1769" s="49" t="n">
        <v>0</v>
      </c>
      <c r="AJ1769" s="50" t="n">
        <v>0</v>
      </c>
      <c r="AK1769" s="51" t="n">
        <v>0</v>
      </c>
      <c r="AL1769" s="52" t="n">
        <v>0</v>
      </c>
      <c r="AM1769" s="52" t="n">
        <v>0</v>
      </c>
      <c r="AN1769" s="52" t="n">
        <v>0</v>
      </c>
      <c r="AO1769" s="53" t="n">
        <v>0</v>
      </c>
      <c r="AP1769" s="52" t="n">
        <v>0</v>
      </c>
      <c r="AQ1769" s="53" t="n">
        <v>0</v>
      </c>
      <c r="AR1769" s="52" t="n">
        <v>0</v>
      </c>
      <c r="AS1769" s="51" t="n">
        <v>0</v>
      </c>
      <c r="AT1769" s="48" t="n">
        <v>0</v>
      </c>
      <c r="AU1769" s="49" t="n">
        <v>0</v>
      </c>
      <c r="AV1769" s="49" t="n">
        <v>0</v>
      </c>
      <c r="AW1769" s="50" t="n">
        <v>0</v>
      </c>
      <c r="AX1769" s="51" t="n">
        <v>0</v>
      </c>
      <c r="AY1769" s="52" t="n">
        <v>0</v>
      </c>
      <c r="AZ1769" s="52" t="n">
        <v>0</v>
      </c>
      <c r="BA1769" s="52" t="n">
        <v>0</v>
      </c>
      <c r="BB1769" s="53" t="n">
        <v>0</v>
      </c>
      <c r="BC1769" s="52" t="n">
        <v>0</v>
      </c>
      <c r="BD1769" s="53" t="n">
        <v>0</v>
      </c>
      <c r="BE1769" s="52" t="n">
        <v>0</v>
      </c>
      <c r="BF1769" s="51" t="n">
        <v>0</v>
      </c>
    </row>
    <row r="1770">
      <c r="A1770">
        <f>HYPERLINK("https://www.walmart.com/ip/1376687825", "1376687825")</f>
        <v/>
      </c>
      <c r="B1770" t="inlineStr">
        <is>
          <t>KC Caps Unisex Two-Tone Cotton Twill Baseball Cap with Suede Bill Adult</t>
        </is>
      </c>
      <c r="C1770" t="inlineStr">
        <is>
          <t>KC-S6300-RD/BK-12pcs</t>
        </is>
      </c>
      <c r="D1770" t="inlineStr">
        <is>
          <t>Blouses &amp; Tops</t>
        </is>
      </c>
      <c r="E1770" t="inlineStr">
        <is>
          <t>KC Caps</t>
        </is>
      </c>
      <c r="G1770" s="48" t="n">
        <v>0</v>
      </c>
      <c r="H1770" s="49" t="n">
        <v>0</v>
      </c>
      <c r="I1770" s="49" t="n">
        <v>0</v>
      </c>
      <c r="J1770" s="50" t="n">
        <v>0</v>
      </c>
      <c r="K1770" s="51" t="n">
        <v>0</v>
      </c>
      <c r="L1770" s="52" t="n">
        <v>0</v>
      </c>
      <c r="M1770" s="52" t="n">
        <v>0</v>
      </c>
      <c r="N1770" s="52" t="n">
        <v>0</v>
      </c>
      <c r="O1770" s="53" t="n">
        <v>0</v>
      </c>
      <c r="P1770" s="52" t="n">
        <v>0</v>
      </c>
      <c r="Q1770" s="53" t="n">
        <v>0</v>
      </c>
      <c r="R1770" s="52" t="n">
        <v>0</v>
      </c>
      <c r="S1770" s="51" t="n">
        <v>0</v>
      </c>
      <c r="T1770" s="48" t="n">
        <v>0</v>
      </c>
      <c r="U1770" s="49" t="n">
        <v>0</v>
      </c>
      <c r="V1770" s="49" t="n">
        <v>0</v>
      </c>
      <c r="W1770" s="50" t="n">
        <v>0</v>
      </c>
      <c r="X1770" s="51" t="n">
        <v>0</v>
      </c>
      <c r="Y1770" s="52" t="n">
        <v>0</v>
      </c>
      <c r="Z1770" s="52" t="n">
        <v>0</v>
      </c>
      <c r="AA1770" s="52" t="n">
        <v>0</v>
      </c>
      <c r="AB1770" s="53" t="n">
        <v>0</v>
      </c>
      <c r="AC1770" s="52" t="n">
        <v>0</v>
      </c>
      <c r="AD1770" s="53" t="n">
        <v>0</v>
      </c>
      <c r="AE1770" s="52" t="n">
        <v>0</v>
      </c>
      <c r="AF1770" s="51" t="n">
        <v>0</v>
      </c>
      <c r="AG1770" s="48" t="n">
        <v>0</v>
      </c>
      <c r="AH1770" s="49" t="n">
        <v>0</v>
      </c>
      <c r="AI1770" s="49" t="n">
        <v>0</v>
      </c>
      <c r="AJ1770" s="50" t="n">
        <v>0</v>
      </c>
      <c r="AK1770" s="51" t="n">
        <v>0</v>
      </c>
      <c r="AL1770" s="52" t="n">
        <v>0</v>
      </c>
      <c r="AM1770" s="52" t="n">
        <v>0</v>
      </c>
      <c r="AN1770" s="52" t="n">
        <v>0</v>
      </c>
      <c r="AO1770" s="53" t="n">
        <v>0</v>
      </c>
      <c r="AP1770" s="52" t="n">
        <v>0</v>
      </c>
      <c r="AQ1770" s="53" t="n">
        <v>0</v>
      </c>
      <c r="AR1770" s="52" t="n">
        <v>0</v>
      </c>
      <c r="AS1770" s="51" t="n">
        <v>0</v>
      </c>
      <c r="AT1770" s="48" t="n">
        <v>0</v>
      </c>
      <c r="AU1770" s="49" t="n">
        <v>0</v>
      </c>
      <c r="AV1770" s="49" t="n">
        <v>0</v>
      </c>
      <c r="AW1770" s="50" t="n">
        <v>0</v>
      </c>
      <c r="AX1770" s="51" t="n">
        <v>0</v>
      </c>
      <c r="AY1770" s="52" t="n">
        <v>0</v>
      </c>
      <c r="AZ1770" s="52" t="n">
        <v>0</v>
      </c>
      <c r="BA1770" s="52" t="n">
        <v>0</v>
      </c>
      <c r="BB1770" s="53" t="n">
        <v>0</v>
      </c>
      <c r="BC1770" s="52" t="n">
        <v>0</v>
      </c>
      <c r="BD1770" s="53" t="n">
        <v>0</v>
      </c>
      <c r="BE1770" s="52" t="n">
        <v>0</v>
      </c>
      <c r="BF1770" s="51" t="n">
        <v>0</v>
      </c>
    </row>
    <row r="1771">
      <c r="A1771">
        <f>HYPERLINK("https://www.walmart.com/ip/13768219747", "13768219747")</f>
        <v/>
      </c>
      <c r="B1771" t="inlineStr">
        <is>
          <t>Tirrinia Hunting Camo Hat for Men Orange Safety Cap Adjustable Closure Fit Most People</t>
        </is>
      </c>
      <c r="C1771" t="inlineStr">
        <is>
          <t>1TRHT7121ORCAMO</t>
        </is>
      </c>
      <c r="D1771" t="inlineStr">
        <is>
          <t>Hats</t>
        </is>
      </c>
      <c r="E1771" t="inlineStr">
        <is>
          <t>Tirrinia</t>
        </is>
      </c>
      <c r="G1771" s="48" t="n">
        <v>0</v>
      </c>
      <c r="H1771" s="49" t="n">
        <v>0</v>
      </c>
      <c r="I1771" s="49" t="n">
        <v>0</v>
      </c>
      <c r="J1771" s="50" t="n">
        <v>0</v>
      </c>
      <c r="K1771" s="51" t="n">
        <v>0</v>
      </c>
      <c r="L1771" s="52" t="n">
        <v>0</v>
      </c>
      <c r="M1771" s="52" t="n">
        <v>0</v>
      </c>
      <c r="N1771" s="52" t="n">
        <v>0</v>
      </c>
      <c r="O1771" s="53" t="n">
        <v>0</v>
      </c>
      <c r="P1771" s="52" t="n">
        <v>0</v>
      </c>
      <c r="Q1771" s="53" t="n">
        <v>0</v>
      </c>
      <c r="R1771" s="52" t="n">
        <v>0</v>
      </c>
      <c r="S1771" s="51" t="n">
        <v>0</v>
      </c>
      <c r="T1771" s="48" t="n">
        <v>0</v>
      </c>
      <c r="U1771" s="49" t="n">
        <v>0</v>
      </c>
      <c r="V1771" s="49" t="n">
        <v>0</v>
      </c>
      <c r="W1771" s="50" t="n">
        <v>0</v>
      </c>
      <c r="X1771" s="51" t="n">
        <v>0</v>
      </c>
      <c r="Y1771" s="52" t="n">
        <v>0</v>
      </c>
      <c r="Z1771" s="52" t="n">
        <v>0</v>
      </c>
      <c r="AA1771" s="52" t="n">
        <v>0</v>
      </c>
      <c r="AB1771" s="53" t="n">
        <v>0</v>
      </c>
      <c r="AC1771" s="52" t="n">
        <v>0</v>
      </c>
      <c r="AD1771" s="53" t="n">
        <v>0</v>
      </c>
      <c r="AE1771" s="52" t="n">
        <v>0</v>
      </c>
      <c r="AF1771" s="51" t="n">
        <v>0</v>
      </c>
      <c r="AG1771" s="48" t="n">
        <v>0</v>
      </c>
      <c r="AH1771" s="49" t="n">
        <v>0</v>
      </c>
      <c r="AI1771" s="49" t="n">
        <v>0</v>
      </c>
      <c r="AJ1771" s="50" t="n">
        <v>0</v>
      </c>
      <c r="AK1771" s="51" t="n">
        <v>0</v>
      </c>
      <c r="AL1771" s="52" t="n">
        <v>0</v>
      </c>
      <c r="AM1771" s="52" t="n">
        <v>0</v>
      </c>
      <c r="AN1771" s="52" t="n">
        <v>0</v>
      </c>
      <c r="AO1771" s="53" t="n">
        <v>0</v>
      </c>
      <c r="AP1771" s="52" t="n">
        <v>0</v>
      </c>
      <c r="AQ1771" s="53" t="n">
        <v>0</v>
      </c>
      <c r="AR1771" s="52" t="n">
        <v>0</v>
      </c>
      <c r="AS1771" s="51" t="n">
        <v>0</v>
      </c>
      <c r="AT1771" s="48" t="n">
        <v>0</v>
      </c>
      <c r="AU1771" s="49" t="n">
        <v>0</v>
      </c>
      <c r="AV1771" s="49" t="n">
        <v>0</v>
      </c>
      <c r="AW1771" s="50" t="n">
        <v>0</v>
      </c>
      <c r="AX1771" s="51" t="n">
        <v>0</v>
      </c>
      <c r="AY1771" s="52" t="n">
        <v>0</v>
      </c>
      <c r="AZ1771" s="52" t="n">
        <v>0</v>
      </c>
      <c r="BA1771" s="52" t="n">
        <v>0</v>
      </c>
      <c r="BB1771" s="53" t="n">
        <v>0</v>
      </c>
      <c r="BC1771" s="52" t="n">
        <v>0</v>
      </c>
      <c r="BD1771" s="53" t="n">
        <v>0</v>
      </c>
      <c r="BE1771" s="52" t="n">
        <v>0</v>
      </c>
      <c r="BF1771" s="51" t="n">
        <v>0</v>
      </c>
    </row>
    <row r="1772">
      <c r="A1772">
        <f>HYPERLINK("https://www.walmart.com/ip/137773035", "137773035")</f>
        <v/>
      </c>
      <c r="B1772" t="inlineStr">
        <is>
          <t>KC Caps® Unisex Cotton Baseball Cap Adjustable Plain Hat (21 Styles/Colors)</t>
        </is>
      </c>
      <c r="C1772" t="inlineStr">
        <is>
          <t>KC8010BN</t>
        </is>
      </c>
      <c r="D1772" t="inlineStr">
        <is>
          <t>Hats</t>
        </is>
      </c>
      <c r="E1772" t="inlineStr">
        <is>
          <t>KC Caps</t>
        </is>
      </c>
      <c r="F1772" t="inlineStr">
        <is>
          <t>Optimized</t>
        </is>
      </c>
      <c r="G1772" s="48" t="n">
        <v>0</v>
      </c>
      <c r="H1772" s="49" t="n">
        <v>0</v>
      </c>
      <c r="I1772" s="49" t="n">
        <v>0</v>
      </c>
      <c r="J1772" s="50" t="n">
        <v>0</v>
      </c>
      <c r="K1772" s="51" t="n">
        <v>0</v>
      </c>
      <c r="L1772" s="52" t="n">
        <v>0</v>
      </c>
      <c r="M1772" s="52" t="n">
        <v>0</v>
      </c>
      <c r="N1772" s="52" t="n">
        <v>0</v>
      </c>
      <c r="O1772" s="53" t="n">
        <v>0</v>
      </c>
      <c r="P1772" s="52" t="n">
        <v>0</v>
      </c>
      <c r="Q1772" s="53" t="n">
        <v>0</v>
      </c>
      <c r="R1772" s="52" t="n">
        <v>0</v>
      </c>
      <c r="S1772" s="51" t="n">
        <v>0</v>
      </c>
      <c r="T1772" s="48" t="n">
        <v>0</v>
      </c>
      <c r="U1772" s="49" t="n">
        <v>0</v>
      </c>
      <c r="V1772" s="49" t="n">
        <v>0</v>
      </c>
      <c r="W1772" s="50" t="n">
        <v>0</v>
      </c>
      <c r="X1772" s="51" t="n">
        <v>0</v>
      </c>
      <c r="Y1772" s="52" t="n">
        <v>0</v>
      </c>
      <c r="Z1772" s="52" t="n">
        <v>0</v>
      </c>
      <c r="AA1772" s="52" t="n">
        <v>0</v>
      </c>
      <c r="AB1772" s="53" t="n">
        <v>0</v>
      </c>
      <c r="AC1772" s="52" t="n">
        <v>0</v>
      </c>
      <c r="AD1772" s="53" t="n">
        <v>0</v>
      </c>
      <c r="AE1772" s="52" t="n">
        <v>0</v>
      </c>
      <c r="AF1772" s="51" t="n">
        <v>0</v>
      </c>
      <c r="AG1772" s="48" t="n">
        <v>0</v>
      </c>
      <c r="AH1772" s="49" t="n">
        <v>0</v>
      </c>
      <c r="AI1772" s="49" t="n">
        <v>0</v>
      </c>
      <c r="AJ1772" s="50" t="n">
        <v>0</v>
      </c>
      <c r="AK1772" s="51" t="n">
        <v>0</v>
      </c>
      <c r="AL1772" s="52" t="n">
        <v>0</v>
      </c>
      <c r="AM1772" s="52" t="n">
        <v>0</v>
      </c>
      <c r="AN1772" s="52" t="n">
        <v>0</v>
      </c>
      <c r="AO1772" s="53" t="n">
        <v>0</v>
      </c>
      <c r="AP1772" s="52" t="n">
        <v>0</v>
      </c>
      <c r="AQ1772" s="53" t="n">
        <v>0</v>
      </c>
      <c r="AR1772" s="52" t="n">
        <v>0</v>
      </c>
      <c r="AS1772" s="51" t="n">
        <v>0</v>
      </c>
      <c r="AT1772" s="48" t="n">
        <v>0</v>
      </c>
      <c r="AU1772" s="49" t="n">
        <v>0</v>
      </c>
      <c r="AV1772" s="49" t="n">
        <v>0</v>
      </c>
      <c r="AW1772" s="50" t="n">
        <v>0</v>
      </c>
      <c r="AX1772" s="51" t="n">
        <v>0</v>
      </c>
      <c r="AY1772" s="52" t="n">
        <v>0</v>
      </c>
      <c r="AZ1772" s="52" t="n">
        <v>0</v>
      </c>
      <c r="BA1772" s="52" t="n">
        <v>0</v>
      </c>
      <c r="BB1772" s="53" t="n">
        <v>0</v>
      </c>
      <c r="BC1772" s="52" t="n">
        <v>0</v>
      </c>
      <c r="BD1772" s="53" t="n">
        <v>0</v>
      </c>
      <c r="BE1772" s="52" t="n">
        <v>0</v>
      </c>
      <c r="BF1772" s="51" t="n">
        <v>0</v>
      </c>
    </row>
    <row r="1773">
      <c r="A1773">
        <f>HYPERLINK("https://www.walmart.com/ip/137793803", "137793803")</f>
        <v/>
      </c>
      <c r="B1773" t="inlineStr">
        <is>
          <t>JenniWears Women's Sexy Crotchless Suspender Pantyhose Stockings Black Sheer Socks - 6 Packs</t>
        </is>
      </c>
      <c r="C1773" t="inlineStr">
        <is>
          <t>JWBLSPH6001-6pcs</t>
        </is>
      </c>
      <c r="D1773" t="inlineStr">
        <is>
          <t>Pantyhose &amp; Tights</t>
        </is>
      </c>
      <c r="E1773" t="inlineStr">
        <is>
          <t>JenniWears</t>
        </is>
      </c>
      <c r="F1773" t="inlineStr">
        <is>
          <t>Optimized,WFS,Valentine,WFS Item</t>
        </is>
      </c>
      <c r="G1773" s="48" t="n">
        <v>0</v>
      </c>
      <c r="H1773" s="49" t="n">
        <v>0</v>
      </c>
      <c r="I1773" s="49" t="n">
        <v>0</v>
      </c>
      <c r="J1773" s="50" t="n">
        <v>0</v>
      </c>
      <c r="K1773" s="51" t="n">
        <v>0</v>
      </c>
      <c r="L1773" s="52" t="n">
        <v>0</v>
      </c>
      <c r="M1773" s="52" t="n">
        <v>0</v>
      </c>
      <c r="N1773" s="52" t="n">
        <v>0</v>
      </c>
      <c r="O1773" s="53" t="n">
        <v>0</v>
      </c>
      <c r="P1773" s="52" t="n">
        <v>0</v>
      </c>
      <c r="Q1773" s="53" t="n">
        <v>0</v>
      </c>
      <c r="R1773" s="52" t="n">
        <v>0</v>
      </c>
      <c r="S1773" s="51" t="n">
        <v>0</v>
      </c>
      <c r="T1773" s="48" t="n">
        <v>0</v>
      </c>
      <c r="U1773" s="49" t="n">
        <v>0</v>
      </c>
      <c r="V1773" s="49" t="n">
        <v>0</v>
      </c>
      <c r="W1773" s="50" t="n">
        <v>0</v>
      </c>
      <c r="X1773" s="51" t="n">
        <v>0</v>
      </c>
      <c r="Y1773" s="52" t="n">
        <v>0</v>
      </c>
      <c r="Z1773" s="52" t="n">
        <v>0</v>
      </c>
      <c r="AA1773" s="52" t="n">
        <v>0</v>
      </c>
      <c r="AB1773" s="53" t="n">
        <v>0</v>
      </c>
      <c r="AC1773" s="52" t="n">
        <v>0</v>
      </c>
      <c r="AD1773" s="53" t="n">
        <v>0</v>
      </c>
      <c r="AE1773" s="52" t="n">
        <v>0</v>
      </c>
      <c r="AF1773" s="51" t="n">
        <v>0</v>
      </c>
      <c r="AG1773" s="48" t="n">
        <v>0</v>
      </c>
      <c r="AH1773" s="49" t="n">
        <v>0</v>
      </c>
      <c r="AI1773" s="49" t="n">
        <v>0</v>
      </c>
      <c r="AJ1773" s="50" t="n">
        <v>0</v>
      </c>
      <c r="AK1773" s="51" t="n">
        <v>0</v>
      </c>
      <c r="AL1773" s="52" t="n">
        <v>0</v>
      </c>
      <c r="AM1773" s="52" t="n">
        <v>0</v>
      </c>
      <c r="AN1773" s="52" t="n">
        <v>0</v>
      </c>
      <c r="AO1773" s="53" t="n">
        <v>0</v>
      </c>
      <c r="AP1773" s="52" t="n">
        <v>0</v>
      </c>
      <c r="AQ1773" s="53" t="n">
        <v>0</v>
      </c>
      <c r="AR1773" s="52" t="n">
        <v>0</v>
      </c>
      <c r="AS1773" s="51" t="n">
        <v>0</v>
      </c>
      <c r="AT1773" s="48" t="n">
        <v>0</v>
      </c>
      <c r="AU1773" s="49" t="n">
        <v>0</v>
      </c>
      <c r="AV1773" s="49" t="n">
        <v>0</v>
      </c>
      <c r="AW1773" s="50" t="n">
        <v>0</v>
      </c>
      <c r="AX1773" s="51" t="n">
        <v>0</v>
      </c>
      <c r="AY1773" s="52" t="n">
        <v>0</v>
      </c>
      <c r="AZ1773" s="52" t="n">
        <v>0</v>
      </c>
      <c r="BA1773" s="52" t="n">
        <v>0</v>
      </c>
      <c r="BB1773" s="53" t="n">
        <v>0</v>
      </c>
      <c r="BC1773" s="52" t="n">
        <v>0</v>
      </c>
      <c r="BD1773" s="53" t="n">
        <v>0</v>
      </c>
      <c r="BE1773" s="52" t="n">
        <v>0</v>
      </c>
      <c r="BF1773" s="51" t="n">
        <v>0</v>
      </c>
    </row>
    <row r="1774">
      <c r="A1774">
        <f>HYPERLINK("https://www.walmart.com/ip/137861738", "137861738")</f>
        <v/>
      </c>
      <c r="B1774" t="inlineStr">
        <is>
          <t>KC Caps Super Soft and Comfy Knit Pom Pom Beanie Winter Cap Pink</t>
        </is>
      </c>
      <c r="C1774" t="inlineStr">
        <is>
          <t>kc-w1711pk</t>
        </is>
      </c>
      <c r="D1774" t="inlineStr">
        <is>
          <t>Hats</t>
        </is>
      </c>
      <c r="E1774" t="inlineStr">
        <is>
          <t>KC Caps</t>
        </is>
      </c>
      <c r="F1774" t="inlineStr">
        <is>
          <t>Optimized</t>
        </is>
      </c>
      <c r="G1774" s="48" t="n">
        <v>0</v>
      </c>
      <c r="H1774" s="49" t="n">
        <v>0</v>
      </c>
      <c r="I1774" s="49" t="n">
        <v>0</v>
      </c>
      <c r="J1774" s="50" t="n">
        <v>0</v>
      </c>
      <c r="K1774" s="51" t="n">
        <v>0</v>
      </c>
      <c r="L1774" s="52" t="n">
        <v>0</v>
      </c>
      <c r="M1774" s="52" t="n">
        <v>0</v>
      </c>
      <c r="N1774" s="52" t="n">
        <v>0</v>
      </c>
      <c r="O1774" s="53" t="n">
        <v>0</v>
      </c>
      <c r="P1774" s="52" t="n">
        <v>0</v>
      </c>
      <c r="Q1774" s="53" t="n">
        <v>0</v>
      </c>
      <c r="R1774" s="52" t="n">
        <v>0</v>
      </c>
      <c r="S1774" s="51" t="n">
        <v>0</v>
      </c>
      <c r="T1774" s="48" t="n">
        <v>0</v>
      </c>
      <c r="U1774" s="49" t="n">
        <v>0</v>
      </c>
      <c r="V1774" s="49" t="n">
        <v>0</v>
      </c>
      <c r="W1774" s="50" t="n">
        <v>0</v>
      </c>
      <c r="X1774" s="51" t="n">
        <v>0</v>
      </c>
      <c r="Y1774" s="52" t="n">
        <v>0</v>
      </c>
      <c r="Z1774" s="52" t="n">
        <v>0</v>
      </c>
      <c r="AA1774" s="52" t="n">
        <v>0</v>
      </c>
      <c r="AB1774" s="53" t="n">
        <v>0</v>
      </c>
      <c r="AC1774" s="52" t="n">
        <v>0</v>
      </c>
      <c r="AD1774" s="53" t="n">
        <v>0</v>
      </c>
      <c r="AE1774" s="52" t="n">
        <v>0</v>
      </c>
      <c r="AF1774" s="51" t="n">
        <v>0</v>
      </c>
      <c r="AG1774" s="48" t="n">
        <v>0</v>
      </c>
      <c r="AH1774" s="49" t="n">
        <v>0</v>
      </c>
      <c r="AI1774" s="49" t="n">
        <v>0</v>
      </c>
      <c r="AJ1774" s="50" t="n">
        <v>0</v>
      </c>
      <c r="AK1774" s="51" t="n">
        <v>0</v>
      </c>
      <c r="AL1774" s="52" t="n">
        <v>0</v>
      </c>
      <c r="AM1774" s="52" t="n">
        <v>0</v>
      </c>
      <c r="AN1774" s="52" t="n">
        <v>0</v>
      </c>
      <c r="AO1774" s="53" t="n">
        <v>0</v>
      </c>
      <c r="AP1774" s="52" t="n">
        <v>0</v>
      </c>
      <c r="AQ1774" s="53" t="n">
        <v>0</v>
      </c>
      <c r="AR1774" s="52" t="n">
        <v>0</v>
      </c>
      <c r="AS1774" s="51" t="n">
        <v>0</v>
      </c>
      <c r="AT1774" s="48" t="n">
        <v>0</v>
      </c>
      <c r="AU1774" s="49" t="n">
        <v>0</v>
      </c>
      <c r="AV1774" s="49" t="n">
        <v>0</v>
      </c>
      <c r="AW1774" s="50" t="n">
        <v>0</v>
      </c>
      <c r="AX1774" s="51" t="n">
        <v>0</v>
      </c>
      <c r="AY1774" s="52" t="n">
        <v>0</v>
      </c>
      <c r="AZ1774" s="52" t="n">
        <v>0</v>
      </c>
      <c r="BA1774" s="52" t="n">
        <v>0</v>
      </c>
      <c r="BB1774" s="53" t="n">
        <v>0</v>
      </c>
      <c r="BC1774" s="52" t="n">
        <v>0</v>
      </c>
      <c r="BD1774" s="53" t="n">
        <v>0</v>
      </c>
      <c r="BE1774" s="52" t="n">
        <v>0</v>
      </c>
      <c r="BF1774" s="51" t="n">
        <v>0</v>
      </c>
    </row>
    <row r="1775">
      <c r="A1775">
        <f>HYPERLINK("https://www.walmart.com/ip/138080004", "138080004")</f>
        <v/>
      </c>
      <c r="B1775" t="inlineStr">
        <is>
          <t>KC Caps Super Soft and Comfy Knit Beanie Winter Cap Pink</t>
        </is>
      </c>
      <c r="C1775" t="inlineStr">
        <is>
          <t>kc-w1700pk</t>
        </is>
      </c>
      <c r="D1775" t="inlineStr">
        <is>
          <t>Hats</t>
        </is>
      </c>
      <c r="E1775" t="inlineStr">
        <is>
          <t>KC Caps</t>
        </is>
      </c>
      <c r="F1775" t="inlineStr">
        <is>
          <t>Optimized</t>
        </is>
      </c>
      <c r="G1775" s="48" t="n">
        <v>0</v>
      </c>
      <c r="H1775" s="49" t="n">
        <v>0</v>
      </c>
      <c r="I1775" s="49" t="n">
        <v>0</v>
      </c>
      <c r="J1775" s="50" t="n">
        <v>0</v>
      </c>
      <c r="K1775" s="51" t="n">
        <v>0</v>
      </c>
      <c r="L1775" s="52" t="n">
        <v>0</v>
      </c>
      <c r="M1775" s="52" t="n">
        <v>0</v>
      </c>
      <c r="N1775" s="52" t="n">
        <v>0</v>
      </c>
      <c r="O1775" s="53" t="n">
        <v>0</v>
      </c>
      <c r="P1775" s="52" t="n">
        <v>0</v>
      </c>
      <c r="Q1775" s="53" t="n">
        <v>0</v>
      </c>
      <c r="R1775" s="52" t="n">
        <v>0</v>
      </c>
      <c r="S1775" s="51" t="n">
        <v>0</v>
      </c>
      <c r="T1775" s="48" t="n">
        <v>0</v>
      </c>
      <c r="U1775" s="49" t="n">
        <v>0</v>
      </c>
      <c r="V1775" s="49" t="n">
        <v>0</v>
      </c>
      <c r="W1775" s="50" t="n">
        <v>0</v>
      </c>
      <c r="X1775" s="51" t="n">
        <v>0</v>
      </c>
      <c r="Y1775" s="52" t="n">
        <v>0</v>
      </c>
      <c r="Z1775" s="52" t="n">
        <v>0</v>
      </c>
      <c r="AA1775" s="52" t="n">
        <v>0</v>
      </c>
      <c r="AB1775" s="53" t="n">
        <v>0</v>
      </c>
      <c r="AC1775" s="52" t="n">
        <v>0</v>
      </c>
      <c r="AD1775" s="53" t="n">
        <v>0</v>
      </c>
      <c r="AE1775" s="52" t="n">
        <v>0</v>
      </c>
      <c r="AF1775" s="51" t="n">
        <v>0</v>
      </c>
      <c r="AG1775" s="48" t="n">
        <v>0</v>
      </c>
      <c r="AH1775" s="49" t="n">
        <v>0</v>
      </c>
      <c r="AI1775" s="49" t="n">
        <v>0</v>
      </c>
      <c r="AJ1775" s="50" t="n">
        <v>0</v>
      </c>
      <c r="AK1775" s="51" t="n">
        <v>0</v>
      </c>
      <c r="AL1775" s="52" t="n">
        <v>0</v>
      </c>
      <c r="AM1775" s="52" t="n">
        <v>0</v>
      </c>
      <c r="AN1775" s="52" t="n">
        <v>0</v>
      </c>
      <c r="AO1775" s="53" t="n">
        <v>0</v>
      </c>
      <c r="AP1775" s="52" t="n">
        <v>0</v>
      </c>
      <c r="AQ1775" s="53" t="n">
        <v>0</v>
      </c>
      <c r="AR1775" s="52" t="n">
        <v>0</v>
      </c>
      <c r="AS1775" s="51" t="n">
        <v>0</v>
      </c>
      <c r="AT1775" s="48" t="n">
        <v>0</v>
      </c>
      <c r="AU1775" s="49" t="n">
        <v>0</v>
      </c>
      <c r="AV1775" s="49" t="n">
        <v>0</v>
      </c>
      <c r="AW1775" s="50" t="n">
        <v>0</v>
      </c>
      <c r="AX1775" s="51" t="n">
        <v>0</v>
      </c>
      <c r="AY1775" s="52" t="n">
        <v>0</v>
      </c>
      <c r="AZ1775" s="52" t="n">
        <v>0</v>
      </c>
      <c r="BA1775" s="52" t="n">
        <v>0</v>
      </c>
      <c r="BB1775" s="53" t="n">
        <v>0</v>
      </c>
      <c r="BC1775" s="52" t="n">
        <v>0</v>
      </c>
      <c r="BD1775" s="53" t="n">
        <v>0</v>
      </c>
      <c r="BE1775" s="52" t="n">
        <v>0</v>
      </c>
      <c r="BF1775" s="51" t="n">
        <v>0</v>
      </c>
    </row>
    <row r="1776">
      <c r="A1776">
        <f>HYPERLINK("https://www.walmart.com/ip/1381186810", "1381186810")</f>
        <v/>
      </c>
      <c r="B1776" t="inlineStr">
        <is>
          <t>Catalonia Waterproof Dog Blanket for Couch, Reversible Sofa and Bed Coverlet Protector, Leak Proof, Comfortable Blanket for People and Pets, Light Grey/Dark Grey, 80" x 90"</t>
        </is>
      </c>
      <c r="C1776" t="inlineStr">
        <is>
          <t>1CTBW985LGDG</t>
        </is>
      </c>
      <c r="D1776" t="inlineStr">
        <is>
          <t>Bed Blankets</t>
        </is>
      </c>
      <c r="E1776" t="inlineStr">
        <is>
          <t>Catalonia</t>
        </is>
      </c>
      <c r="F1776" t="inlineStr">
        <is>
          <t>High AUR Items,Wproof Blanket,Batch 1 - TR</t>
        </is>
      </c>
      <c r="G1776" s="48" t="n">
        <v>0</v>
      </c>
      <c r="H1776" s="49" t="n">
        <v>0</v>
      </c>
      <c r="I1776" s="49" t="n">
        <v>0</v>
      </c>
      <c r="J1776" s="50" t="n">
        <v>0</v>
      </c>
      <c r="K1776" s="51" t="n">
        <v>0</v>
      </c>
      <c r="L1776" s="52" t="n">
        <v>0</v>
      </c>
      <c r="M1776" s="52" t="n">
        <v>0</v>
      </c>
      <c r="N1776" s="52" t="n">
        <v>0</v>
      </c>
      <c r="O1776" s="53" t="n">
        <v>0</v>
      </c>
      <c r="P1776" s="52" t="n">
        <v>0</v>
      </c>
      <c r="Q1776" s="53" t="n">
        <v>0</v>
      </c>
      <c r="R1776" s="52" t="n">
        <v>0</v>
      </c>
      <c r="S1776" s="51" t="n">
        <v>194</v>
      </c>
      <c r="T1776" s="48" t="n">
        <v>0</v>
      </c>
      <c r="U1776" s="49" t="n">
        <v>0</v>
      </c>
      <c r="V1776" s="49" t="n">
        <v>0</v>
      </c>
      <c r="W1776" s="50" t="n">
        <v>0</v>
      </c>
      <c r="X1776" s="51" t="n">
        <v>0</v>
      </c>
      <c r="Y1776" s="52" t="n">
        <v>0</v>
      </c>
      <c r="Z1776" s="52" t="n">
        <v>0</v>
      </c>
      <c r="AA1776" s="52" t="n">
        <v>0</v>
      </c>
      <c r="AB1776" s="53" t="n">
        <v>0</v>
      </c>
      <c r="AC1776" s="52" t="n">
        <v>0</v>
      </c>
      <c r="AD1776" s="53" t="n">
        <v>0</v>
      </c>
      <c r="AE1776" s="52" t="n">
        <v>0</v>
      </c>
      <c r="AF1776" s="51" t="n">
        <v>362</v>
      </c>
      <c r="AG1776" s="48" t="n">
        <v>0</v>
      </c>
      <c r="AH1776" s="49" t="n">
        <v>0</v>
      </c>
      <c r="AI1776" s="49" t="n">
        <v>0</v>
      </c>
      <c r="AJ1776" s="50" t="n">
        <v>0</v>
      </c>
      <c r="AK1776" s="51" t="n">
        <v>0</v>
      </c>
      <c r="AL1776" s="52" t="n">
        <v>0</v>
      </c>
      <c r="AM1776" s="52" t="n">
        <v>0</v>
      </c>
      <c r="AN1776" s="52" t="n">
        <v>0</v>
      </c>
      <c r="AO1776" s="53" t="n">
        <v>0</v>
      </c>
      <c r="AP1776" s="52" t="n">
        <v>0</v>
      </c>
      <c r="AQ1776" s="53" t="n">
        <v>0</v>
      </c>
      <c r="AR1776" s="52" t="n">
        <v>0</v>
      </c>
      <c r="AS1776" s="51" t="n">
        <v>518</v>
      </c>
      <c r="AT1776" s="48" t="n">
        <v>0</v>
      </c>
      <c r="AU1776" s="49" t="n">
        <v>0</v>
      </c>
      <c r="AV1776" s="49" t="n">
        <v>0</v>
      </c>
      <c r="AW1776" s="50" t="n">
        <v>0</v>
      </c>
      <c r="AX1776" s="51" t="n">
        <v>0</v>
      </c>
      <c r="AY1776" s="52" t="n">
        <v>0</v>
      </c>
      <c r="AZ1776" s="52" t="n">
        <v>0</v>
      </c>
      <c r="BA1776" s="52" t="n">
        <v>0</v>
      </c>
      <c r="BB1776" s="53" t="n">
        <v>0</v>
      </c>
      <c r="BC1776" s="52" t="n">
        <v>0</v>
      </c>
      <c r="BD1776" s="53" t="n">
        <v>0</v>
      </c>
      <c r="BE1776" s="52" t="n">
        <v>0</v>
      </c>
      <c r="BF1776" s="51" t="n">
        <v>450</v>
      </c>
    </row>
    <row r="1777">
      <c r="A1777">
        <f>HYPERLINK("https://www.walmart.com/ip/13821472703", "13821472703")</f>
        <v/>
      </c>
      <c r="B1777" t="inlineStr">
        <is>
          <t>Every Day is Christmas Glass Blown Ornaments Cute Hand Made Figurines Tree Decoration, Set of 2 Corn</t>
        </is>
      </c>
      <c r="C1777" t="inlineStr">
        <is>
          <t>EDC-FIGURINE-CORN-2PACK</t>
        </is>
      </c>
      <c r="D1777" t="inlineStr">
        <is>
          <t>Ornaments</t>
        </is>
      </c>
      <c r="E1777" t="inlineStr">
        <is>
          <t>Every Day is Christmas</t>
        </is>
      </c>
      <c r="G1777" s="48" t="n">
        <v>0</v>
      </c>
      <c r="H1777" s="49" t="n">
        <v>0</v>
      </c>
      <c r="I1777" s="49" t="n">
        <v>0</v>
      </c>
      <c r="J1777" s="50" t="n">
        <v>0</v>
      </c>
      <c r="K1777" s="51" t="n">
        <v>0</v>
      </c>
      <c r="L1777" s="52" t="n">
        <v>0</v>
      </c>
      <c r="M1777" s="52" t="n">
        <v>0</v>
      </c>
      <c r="N1777" s="52" t="n">
        <v>0</v>
      </c>
      <c r="O1777" s="53" t="n">
        <v>0</v>
      </c>
      <c r="P1777" s="52" t="n">
        <v>0</v>
      </c>
      <c r="Q1777" s="53" t="n">
        <v>0</v>
      </c>
      <c r="R1777" s="52" t="n">
        <v>0</v>
      </c>
      <c r="S1777" s="51" t="n">
        <v>0</v>
      </c>
      <c r="T1777" s="48" t="n">
        <v>0</v>
      </c>
      <c r="U1777" s="49" t="n">
        <v>0</v>
      </c>
      <c r="V1777" s="49" t="n">
        <v>0</v>
      </c>
      <c r="W1777" s="50" t="n">
        <v>0</v>
      </c>
      <c r="X1777" s="51" t="n">
        <v>0</v>
      </c>
      <c r="Y1777" s="52" t="n">
        <v>0</v>
      </c>
      <c r="Z1777" s="52" t="n">
        <v>0</v>
      </c>
      <c r="AA1777" s="52" t="n">
        <v>0</v>
      </c>
      <c r="AB1777" s="53" t="n">
        <v>0</v>
      </c>
      <c r="AC1777" s="52" t="n">
        <v>0</v>
      </c>
      <c r="AD1777" s="53" t="n">
        <v>0</v>
      </c>
      <c r="AE1777" s="52" t="n">
        <v>0</v>
      </c>
      <c r="AF1777" s="51" t="n">
        <v>0</v>
      </c>
      <c r="AG1777" s="48" t="n">
        <v>0</v>
      </c>
      <c r="AH1777" s="49" t="n">
        <v>0</v>
      </c>
      <c r="AI1777" s="49" t="n">
        <v>0</v>
      </c>
      <c r="AJ1777" s="50" t="n">
        <v>0</v>
      </c>
      <c r="AK1777" s="51" t="n">
        <v>0</v>
      </c>
      <c r="AL1777" s="52" t="n">
        <v>0</v>
      </c>
      <c r="AM1777" s="52" t="n">
        <v>0</v>
      </c>
      <c r="AN1777" s="52" t="n">
        <v>0</v>
      </c>
      <c r="AO1777" s="53" t="n">
        <v>0</v>
      </c>
      <c r="AP1777" s="52" t="n">
        <v>0</v>
      </c>
      <c r="AQ1777" s="53" t="n">
        <v>0</v>
      </c>
      <c r="AR1777" s="52" t="n">
        <v>0</v>
      </c>
      <c r="AS1777" s="51" t="n">
        <v>0</v>
      </c>
      <c r="AT1777" s="48" t="n">
        <v>0</v>
      </c>
      <c r="AU1777" s="49" t="n">
        <v>0</v>
      </c>
      <c r="AV1777" s="49" t="n">
        <v>0</v>
      </c>
      <c r="AW1777" s="50" t="n">
        <v>0</v>
      </c>
      <c r="AX1777" s="51" t="n">
        <v>0</v>
      </c>
      <c r="AY1777" s="52" t="n">
        <v>0</v>
      </c>
      <c r="AZ1777" s="52" t="n">
        <v>0</v>
      </c>
      <c r="BA1777" s="52" t="n">
        <v>0</v>
      </c>
      <c r="BB1777" s="53" t="n">
        <v>0</v>
      </c>
      <c r="BC1777" s="52" t="n">
        <v>0</v>
      </c>
      <c r="BD1777" s="53" t="n">
        <v>0</v>
      </c>
      <c r="BE1777" s="52" t="n">
        <v>0</v>
      </c>
      <c r="BF1777" s="51" t="n">
        <v>0</v>
      </c>
    </row>
    <row r="1778">
      <c r="A1778">
        <f>HYPERLINK("https://www.walmart.com/ip/13656320276", "13656320276")</f>
        <v/>
      </c>
      <c r="B1778" t="inlineStr">
        <is>
          <t>Catalonia Wearable Hoodie Blanket Quilted Outdoor Waterproof Hoodie for Women Men for Hiking Camping Picnic Oversized Soft Cozy Warm Hoodie Blanket Gifts with Giant Pocket and Long Sleeves Black</t>
        </is>
      </c>
      <c r="C1778" t="inlineStr">
        <is>
          <t>1CTHD301BK</t>
        </is>
      </c>
      <c r="D1778" t="inlineStr">
        <is>
          <t>Sweatshirts &amp; Hoodies</t>
        </is>
      </c>
      <c r="E1778" t="inlineStr">
        <is>
          <t>Catalonia</t>
        </is>
      </c>
      <c r="G1778" s="48" t="n">
        <v>0</v>
      </c>
      <c r="H1778" s="49" t="n">
        <v>0</v>
      </c>
      <c r="I1778" s="49" t="n">
        <v>0</v>
      </c>
      <c r="J1778" s="50" t="n">
        <v>0</v>
      </c>
      <c r="K1778" s="51" t="n">
        <v>0</v>
      </c>
      <c r="L1778" s="52" t="n">
        <v>0</v>
      </c>
      <c r="M1778" s="52" t="n">
        <v>0</v>
      </c>
      <c r="N1778" s="52" t="n">
        <v>0</v>
      </c>
      <c r="O1778" s="53" t="n">
        <v>0</v>
      </c>
      <c r="P1778" s="52" t="n">
        <v>0</v>
      </c>
      <c r="Q1778" s="53" t="n">
        <v>0</v>
      </c>
      <c r="R1778" s="52" t="n">
        <v>0</v>
      </c>
      <c r="S1778" s="51" t="n">
        <v>0</v>
      </c>
      <c r="T1778" s="48" t="n">
        <v>0</v>
      </c>
      <c r="U1778" s="49" t="n">
        <v>0</v>
      </c>
      <c r="V1778" s="49" t="n">
        <v>0</v>
      </c>
      <c r="W1778" s="50" t="n">
        <v>0</v>
      </c>
      <c r="X1778" s="51" t="n">
        <v>0</v>
      </c>
      <c r="Y1778" s="52" t="n">
        <v>0</v>
      </c>
      <c r="Z1778" s="52" t="n">
        <v>0</v>
      </c>
      <c r="AA1778" s="52" t="n">
        <v>0</v>
      </c>
      <c r="AB1778" s="53" t="n">
        <v>0</v>
      </c>
      <c r="AC1778" s="52" t="n">
        <v>0</v>
      </c>
      <c r="AD1778" s="53" t="n">
        <v>0</v>
      </c>
      <c r="AE1778" s="52" t="n">
        <v>0</v>
      </c>
      <c r="AF1778" s="51" t="n">
        <v>0</v>
      </c>
      <c r="AG1778" s="48" t="n">
        <v>0</v>
      </c>
      <c r="AH1778" s="49" t="n">
        <v>0</v>
      </c>
      <c r="AI1778" s="49" t="n">
        <v>0</v>
      </c>
      <c r="AJ1778" s="50" t="n">
        <v>0</v>
      </c>
      <c r="AK1778" s="51" t="n">
        <v>0</v>
      </c>
      <c r="AL1778" s="52" t="n">
        <v>0</v>
      </c>
      <c r="AM1778" s="52" t="n">
        <v>0</v>
      </c>
      <c r="AN1778" s="52" t="n">
        <v>0</v>
      </c>
      <c r="AO1778" s="53" t="n">
        <v>0</v>
      </c>
      <c r="AP1778" s="52" t="n">
        <v>0</v>
      </c>
      <c r="AQ1778" s="53" t="n">
        <v>0</v>
      </c>
      <c r="AR1778" s="52" t="n">
        <v>0</v>
      </c>
      <c r="AS1778" s="51" t="n">
        <v>0</v>
      </c>
      <c r="AT1778" s="48" t="n">
        <v>0</v>
      </c>
      <c r="AU1778" s="49" t="n">
        <v>0</v>
      </c>
      <c r="AV1778" s="49" t="n">
        <v>0</v>
      </c>
      <c r="AW1778" s="50" t="n">
        <v>0</v>
      </c>
      <c r="AX1778" s="51" t="n">
        <v>0</v>
      </c>
      <c r="AY1778" s="52" t="n">
        <v>0</v>
      </c>
      <c r="AZ1778" s="52" t="n">
        <v>0</v>
      </c>
      <c r="BA1778" s="52" t="n">
        <v>0</v>
      </c>
      <c r="BB1778" s="53" t="n">
        <v>0</v>
      </c>
      <c r="BC1778" s="52" t="n">
        <v>0</v>
      </c>
      <c r="BD1778" s="53" t="n">
        <v>0</v>
      </c>
      <c r="BE1778" s="52" t="n">
        <v>0</v>
      </c>
      <c r="BF1778" s="51" t="n">
        <v>0</v>
      </c>
    </row>
    <row r="1779">
      <c r="A1779">
        <f>HYPERLINK("https://www.walmart.com/ip/135897995", "135897995")</f>
        <v/>
      </c>
      <c r="B1779" t="inlineStr">
        <is>
          <t>JenniWears Women Beileise Sexy Garter Belt Suspender - 6 Packs</t>
        </is>
      </c>
      <c r="C1779" t="inlineStr">
        <is>
          <t>JWBLSPH5003-6pcs</t>
        </is>
      </c>
      <c r="D1779" t="inlineStr">
        <is>
          <t>Garter Belts</t>
        </is>
      </c>
      <c r="E1779" t="inlineStr">
        <is>
          <t>JenniWears</t>
        </is>
      </c>
      <c r="F1779" t="inlineStr">
        <is>
          <t>Optimized,Valentine</t>
        </is>
      </c>
      <c r="G1779" s="48" t="n">
        <v>0</v>
      </c>
      <c r="H1779" s="49" t="n">
        <v>0</v>
      </c>
      <c r="I1779" s="49" t="n">
        <v>0</v>
      </c>
      <c r="J1779" s="50" t="n">
        <v>0</v>
      </c>
      <c r="K1779" s="51" t="n">
        <v>0</v>
      </c>
      <c r="L1779" s="52" t="n">
        <v>0</v>
      </c>
      <c r="M1779" s="52" t="n">
        <v>0</v>
      </c>
      <c r="N1779" s="52" t="n">
        <v>0</v>
      </c>
      <c r="O1779" s="53" t="n">
        <v>0</v>
      </c>
      <c r="P1779" s="52" t="n">
        <v>0</v>
      </c>
      <c r="Q1779" s="53" t="n">
        <v>0</v>
      </c>
      <c r="R1779" s="52" t="n">
        <v>0</v>
      </c>
      <c r="S1779" s="51" t="n">
        <v>0</v>
      </c>
      <c r="T1779" s="48" t="n">
        <v>0</v>
      </c>
      <c r="U1779" s="49" t="n">
        <v>0</v>
      </c>
      <c r="V1779" s="49" t="n">
        <v>0</v>
      </c>
      <c r="W1779" s="50" t="n">
        <v>0</v>
      </c>
      <c r="X1779" s="51" t="n">
        <v>0</v>
      </c>
      <c r="Y1779" s="52" t="n">
        <v>0</v>
      </c>
      <c r="Z1779" s="52" t="n">
        <v>0</v>
      </c>
      <c r="AA1779" s="52" t="n">
        <v>0</v>
      </c>
      <c r="AB1779" s="53" t="n">
        <v>0</v>
      </c>
      <c r="AC1779" s="52" t="n">
        <v>0</v>
      </c>
      <c r="AD1779" s="53" t="n">
        <v>0</v>
      </c>
      <c r="AE1779" s="52" t="n">
        <v>0</v>
      </c>
      <c r="AF1779" s="51" t="n">
        <v>0</v>
      </c>
      <c r="AG1779" s="48" t="n">
        <v>0</v>
      </c>
      <c r="AH1779" s="49" t="n">
        <v>0</v>
      </c>
      <c r="AI1779" s="49" t="n">
        <v>0</v>
      </c>
      <c r="AJ1779" s="50" t="n">
        <v>0</v>
      </c>
      <c r="AK1779" s="51" t="n">
        <v>0</v>
      </c>
      <c r="AL1779" s="52" t="n">
        <v>0</v>
      </c>
      <c r="AM1779" s="52" t="n">
        <v>0</v>
      </c>
      <c r="AN1779" s="52" t="n">
        <v>0</v>
      </c>
      <c r="AO1779" s="53" t="n">
        <v>0</v>
      </c>
      <c r="AP1779" s="52" t="n">
        <v>0</v>
      </c>
      <c r="AQ1779" s="53" t="n">
        <v>0</v>
      </c>
      <c r="AR1779" s="52" t="n">
        <v>0</v>
      </c>
      <c r="AS1779" s="51" t="n">
        <v>0</v>
      </c>
      <c r="AT1779" s="48" t="n">
        <v>0</v>
      </c>
      <c r="AU1779" s="49" t="n">
        <v>0</v>
      </c>
      <c r="AV1779" s="49" t="n">
        <v>0</v>
      </c>
      <c r="AW1779" s="50" t="n">
        <v>0</v>
      </c>
      <c r="AX1779" s="51" t="n">
        <v>0</v>
      </c>
      <c r="AY1779" s="52" t="n">
        <v>0</v>
      </c>
      <c r="AZ1779" s="52" t="n">
        <v>0</v>
      </c>
      <c r="BA1779" s="52" t="n">
        <v>0</v>
      </c>
      <c r="BB1779" s="53" t="n">
        <v>0</v>
      </c>
      <c r="BC1779" s="52" t="n">
        <v>0</v>
      </c>
      <c r="BD1779" s="53" t="n">
        <v>0</v>
      </c>
      <c r="BE1779" s="52" t="n">
        <v>0</v>
      </c>
      <c r="BF1779" s="51" t="n">
        <v>0</v>
      </c>
    </row>
    <row r="1780">
      <c r="A1780">
        <f>HYPERLINK("https://www.walmart.com/ip/138250701", "138250701")</f>
        <v/>
      </c>
      <c r="B1780" t="inlineStr">
        <is>
          <t>KC Caps® Cotton Twill Deluxe Super Soft Mesh Adjustable Snapback Low Profile Trucker Baseball Cap</t>
        </is>
      </c>
      <c r="C1780" t="inlineStr">
        <is>
          <t>KCCAPSSZK641ROY/ST</t>
        </is>
      </c>
      <c r="D1780" t="inlineStr">
        <is>
          <t>Hats</t>
        </is>
      </c>
      <c r="E1780" t="inlineStr">
        <is>
          <t>KC Caps</t>
        </is>
      </c>
      <c r="F1780" t="inlineStr">
        <is>
          <t>Optimized</t>
        </is>
      </c>
      <c r="G1780" s="48" t="n">
        <v>0</v>
      </c>
      <c r="H1780" s="49" t="n">
        <v>0</v>
      </c>
      <c r="I1780" s="49" t="n">
        <v>0</v>
      </c>
      <c r="J1780" s="50" t="n">
        <v>0</v>
      </c>
      <c r="K1780" s="51" t="n">
        <v>0</v>
      </c>
      <c r="L1780" s="52" t="n">
        <v>0</v>
      </c>
      <c r="M1780" s="52" t="n">
        <v>0</v>
      </c>
      <c r="N1780" s="52" t="n">
        <v>0</v>
      </c>
      <c r="O1780" s="53" t="n">
        <v>0</v>
      </c>
      <c r="P1780" s="52" t="n">
        <v>0</v>
      </c>
      <c r="Q1780" s="53" t="n">
        <v>0</v>
      </c>
      <c r="R1780" s="52" t="n">
        <v>0</v>
      </c>
      <c r="S1780" s="51" t="n">
        <v>0</v>
      </c>
      <c r="T1780" s="48" t="n">
        <v>0</v>
      </c>
      <c r="U1780" s="49" t="n">
        <v>0</v>
      </c>
      <c r="V1780" s="49" t="n">
        <v>0</v>
      </c>
      <c r="W1780" s="50" t="n">
        <v>0</v>
      </c>
      <c r="X1780" s="51" t="n">
        <v>0</v>
      </c>
      <c r="Y1780" s="52" t="n">
        <v>0</v>
      </c>
      <c r="Z1780" s="52" t="n">
        <v>0</v>
      </c>
      <c r="AA1780" s="52" t="n">
        <v>0</v>
      </c>
      <c r="AB1780" s="53" t="n">
        <v>0</v>
      </c>
      <c r="AC1780" s="52" t="n">
        <v>0</v>
      </c>
      <c r="AD1780" s="53" t="n">
        <v>0</v>
      </c>
      <c r="AE1780" s="52" t="n">
        <v>0</v>
      </c>
      <c r="AF1780" s="51" t="n">
        <v>0</v>
      </c>
      <c r="AG1780" s="48" t="n">
        <v>0</v>
      </c>
      <c r="AH1780" s="49" t="n">
        <v>0</v>
      </c>
      <c r="AI1780" s="49" t="n">
        <v>0</v>
      </c>
      <c r="AJ1780" s="50" t="n">
        <v>0</v>
      </c>
      <c r="AK1780" s="51" t="n">
        <v>0</v>
      </c>
      <c r="AL1780" s="52" t="n">
        <v>0</v>
      </c>
      <c r="AM1780" s="52" t="n">
        <v>0</v>
      </c>
      <c r="AN1780" s="52" t="n">
        <v>0</v>
      </c>
      <c r="AO1780" s="53" t="n">
        <v>0</v>
      </c>
      <c r="AP1780" s="52" t="n">
        <v>0</v>
      </c>
      <c r="AQ1780" s="53" t="n">
        <v>0</v>
      </c>
      <c r="AR1780" s="52" t="n">
        <v>0</v>
      </c>
      <c r="AS1780" s="51" t="n">
        <v>0</v>
      </c>
      <c r="AT1780" s="48" t="n">
        <v>0</v>
      </c>
      <c r="AU1780" s="49" t="n">
        <v>0</v>
      </c>
      <c r="AV1780" s="49" t="n">
        <v>0</v>
      </c>
      <c r="AW1780" s="50" t="n">
        <v>0</v>
      </c>
      <c r="AX1780" s="51" t="n">
        <v>0</v>
      </c>
      <c r="AY1780" s="52" t="n">
        <v>0</v>
      </c>
      <c r="AZ1780" s="52" t="n">
        <v>0</v>
      </c>
      <c r="BA1780" s="52" t="n">
        <v>0</v>
      </c>
      <c r="BB1780" s="53" t="n">
        <v>0</v>
      </c>
      <c r="BC1780" s="52" t="n">
        <v>0</v>
      </c>
      <c r="BD1780" s="53" t="n">
        <v>0</v>
      </c>
      <c r="BE1780" s="52" t="n">
        <v>0</v>
      </c>
      <c r="BF1780" s="51" t="n">
        <v>0</v>
      </c>
    </row>
    <row r="1781">
      <c r="A1781">
        <f>HYPERLINK("https://www.walmart.com/ip/135460967", "135460967")</f>
        <v/>
      </c>
      <c r="B1781" t="inlineStr">
        <is>
          <t>Light up Sequin Fedora LED Hat Neon Rave Costumes Glow in Dark Party music concerts,night clubs,holiday,parties,festival</t>
        </is>
      </c>
      <c r="C1781" t="inlineStr">
        <is>
          <t>JWLEDHAT01-BL</t>
        </is>
      </c>
      <c r="D1781" t="inlineStr">
        <is>
          <t>Party Hats</t>
        </is>
      </c>
      <c r="E1781" t="inlineStr">
        <is>
          <t>JenniWears</t>
        </is>
      </c>
      <c r="F1781" t="inlineStr">
        <is>
          <t>Halloween</t>
        </is>
      </c>
      <c r="G1781" s="48" t="n">
        <v>0</v>
      </c>
      <c r="H1781" s="49" t="n">
        <v>0</v>
      </c>
      <c r="I1781" s="49" t="n">
        <v>0</v>
      </c>
      <c r="J1781" s="50" t="n">
        <v>0</v>
      </c>
      <c r="K1781" s="51" t="n">
        <v>0</v>
      </c>
      <c r="L1781" s="52" t="n">
        <v>0</v>
      </c>
      <c r="M1781" s="52" t="n">
        <v>0</v>
      </c>
      <c r="N1781" s="52" t="n">
        <v>0</v>
      </c>
      <c r="O1781" s="53" t="n">
        <v>0</v>
      </c>
      <c r="P1781" s="52" t="n">
        <v>0</v>
      </c>
      <c r="Q1781" s="53" t="n">
        <v>0</v>
      </c>
      <c r="R1781" s="52" t="n">
        <v>0</v>
      </c>
      <c r="S1781" s="51" t="n">
        <v>0</v>
      </c>
      <c r="T1781" s="48" t="n">
        <v>0</v>
      </c>
      <c r="U1781" s="49" t="n">
        <v>0</v>
      </c>
      <c r="V1781" s="49" t="n">
        <v>0</v>
      </c>
      <c r="W1781" s="50" t="n">
        <v>0</v>
      </c>
      <c r="X1781" s="51" t="n">
        <v>0</v>
      </c>
      <c r="Y1781" s="52" t="n">
        <v>0</v>
      </c>
      <c r="Z1781" s="52" t="n">
        <v>0</v>
      </c>
      <c r="AA1781" s="52" t="n">
        <v>0</v>
      </c>
      <c r="AB1781" s="53" t="n">
        <v>0</v>
      </c>
      <c r="AC1781" s="52" t="n">
        <v>0</v>
      </c>
      <c r="AD1781" s="53" t="n">
        <v>0</v>
      </c>
      <c r="AE1781" s="52" t="n">
        <v>0</v>
      </c>
      <c r="AF1781" s="51" t="n">
        <v>0</v>
      </c>
      <c r="AG1781" s="48" t="n">
        <v>0</v>
      </c>
      <c r="AH1781" s="49" t="n">
        <v>0</v>
      </c>
      <c r="AI1781" s="49" t="n">
        <v>0</v>
      </c>
      <c r="AJ1781" s="50" t="n">
        <v>0</v>
      </c>
      <c r="AK1781" s="51" t="n">
        <v>0</v>
      </c>
      <c r="AL1781" s="52" t="n">
        <v>0</v>
      </c>
      <c r="AM1781" s="52" t="n">
        <v>0</v>
      </c>
      <c r="AN1781" s="52" t="n">
        <v>0</v>
      </c>
      <c r="AO1781" s="53" t="n">
        <v>0</v>
      </c>
      <c r="AP1781" s="52" t="n">
        <v>0</v>
      </c>
      <c r="AQ1781" s="53" t="n">
        <v>0</v>
      </c>
      <c r="AR1781" s="52" t="n">
        <v>0</v>
      </c>
      <c r="AS1781" s="51" t="n">
        <v>0</v>
      </c>
      <c r="AT1781" s="48" t="n">
        <v>0</v>
      </c>
      <c r="AU1781" s="49" t="n">
        <v>0</v>
      </c>
      <c r="AV1781" s="49" t="n">
        <v>0</v>
      </c>
      <c r="AW1781" s="50" t="n">
        <v>0</v>
      </c>
      <c r="AX1781" s="51" t="n">
        <v>0</v>
      </c>
      <c r="AY1781" s="52" t="n">
        <v>0</v>
      </c>
      <c r="AZ1781" s="52" t="n">
        <v>0</v>
      </c>
      <c r="BA1781" s="52" t="n">
        <v>0</v>
      </c>
      <c r="BB1781" s="53" t="n">
        <v>0</v>
      </c>
      <c r="BC1781" s="52" t="n">
        <v>0</v>
      </c>
      <c r="BD1781" s="53" t="n">
        <v>0</v>
      </c>
      <c r="BE1781" s="52" t="n">
        <v>0</v>
      </c>
      <c r="BF1781" s="51" t="n">
        <v>0</v>
      </c>
    </row>
    <row r="1782">
      <c r="A1782">
        <f>HYPERLINK("https://www.walmart.com/ip/132318095", "132318095")</f>
        <v/>
      </c>
      <c r="B1782" t="inlineStr">
        <is>
          <t>KC Caps Blank Cuff Hat Knit Beanie</t>
        </is>
      </c>
      <c r="C1782" t="inlineStr">
        <is>
          <t>KCW1720FORGN</t>
        </is>
      </c>
      <c r="D1782" t="inlineStr">
        <is>
          <t>Hats</t>
        </is>
      </c>
      <c r="E1782" t="inlineStr">
        <is>
          <t>KC Caps</t>
        </is>
      </c>
      <c r="F1782" t="inlineStr">
        <is>
          <t>Optimized,ST Patrick Day</t>
        </is>
      </c>
      <c r="G1782" s="48" t="n">
        <v>0</v>
      </c>
      <c r="H1782" s="49" t="n">
        <v>0</v>
      </c>
      <c r="I1782" s="49" t="n">
        <v>0</v>
      </c>
      <c r="J1782" s="50" t="n">
        <v>0</v>
      </c>
      <c r="K1782" s="51" t="n">
        <v>0</v>
      </c>
      <c r="L1782" s="52" t="n">
        <v>0</v>
      </c>
      <c r="M1782" s="52" t="n">
        <v>0</v>
      </c>
      <c r="N1782" s="52" t="n">
        <v>0</v>
      </c>
      <c r="O1782" s="53" t="n">
        <v>0</v>
      </c>
      <c r="P1782" s="52" t="n">
        <v>0</v>
      </c>
      <c r="Q1782" s="53" t="n">
        <v>0</v>
      </c>
      <c r="R1782" s="52" t="n">
        <v>0</v>
      </c>
      <c r="S1782" s="51" t="n">
        <v>0</v>
      </c>
      <c r="T1782" s="48" t="n">
        <v>0</v>
      </c>
      <c r="U1782" s="49" t="n">
        <v>0</v>
      </c>
      <c r="V1782" s="49" t="n">
        <v>0</v>
      </c>
      <c r="W1782" s="50" t="n">
        <v>0</v>
      </c>
      <c r="X1782" s="51" t="n">
        <v>0</v>
      </c>
      <c r="Y1782" s="52" t="n">
        <v>0</v>
      </c>
      <c r="Z1782" s="52" t="n">
        <v>0</v>
      </c>
      <c r="AA1782" s="52" t="n">
        <v>0</v>
      </c>
      <c r="AB1782" s="53" t="n">
        <v>0</v>
      </c>
      <c r="AC1782" s="52" t="n">
        <v>0</v>
      </c>
      <c r="AD1782" s="53" t="n">
        <v>0</v>
      </c>
      <c r="AE1782" s="52" t="n">
        <v>0</v>
      </c>
      <c r="AF1782" s="51" t="n">
        <v>0</v>
      </c>
      <c r="AG1782" s="48" t="n">
        <v>0</v>
      </c>
      <c r="AH1782" s="49" t="n">
        <v>0</v>
      </c>
      <c r="AI1782" s="49" t="n">
        <v>0</v>
      </c>
      <c r="AJ1782" s="50" t="n">
        <v>0</v>
      </c>
      <c r="AK1782" s="51" t="n">
        <v>0</v>
      </c>
      <c r="AL1782" s="52" t="n">
        <v>0</v>
      </c>
      <c r="AM1782" s="52" t="n">
        <v>0</v>
      </c>
      <c r="AN1782" s="52" t="n">
        <v>0</v>
      </c>
      <c r="AO1782" s="53" t="n">
        <v>0</v>
      </c>
      <c r="AP1782" s="52" t="n">
        <v>0</v>
      </c>
      <c r="AQ1782" s="53" t="n">
        <v>0</v>
      </c>
      <c r="AR1782" s="52" t="n">
        <v>0</v>
      </c>
      <c r="AS1782" s="51" t="n">
        <v>0</v>
      </c>
      <c r="AT1782" s="48" t="n">
        <v>0</v>
      </c>
      <c r="AU1782" s="49" t="n">
        <v>0</v>
      </c>
      <c r="AV1782" s="49" t="n">
        <v>0</v>
      </c>
      <c r="AW1782" s="50" t="n">
        <v>0</v>
      </c>
      <c r="AX1782" s="51" t="n">
        <v>0</v>
      </c>
      <c r="AY1782" s="52" t="n">
        <v>0</v>
      </c>
      <c r="AZ1782" s="52" t="n">
        <v>0</v>
      </c>
      <c r="BA1782" s="52" t="n">
        <v>0</v>
      </c>
      <c r="BB1782" s="53" t="n">
        <v>0</v>
      </c>
      <c r="BC1782" s="52" t="n">
        <v>0</v>
      </c>
      <c r="BD1782" s="53" t="n">
        <v>0</v>
      </c>
      <c r="BE1782" s="52" t="n">
        <v>0</v>
      </c>
      <c r="BF1782" s="51" t="n">
        <v>0</v>
      </c>
    </row>
    <row r="1783">
      <c r="A1783">
        <f>HYPERLINK("https://www.walmart.com/ip/13234570365", "13234570365")</f>
        <v/>
      </c>
      <c r="B1783" t="inlineStr">
        <is>
          <t>Wrangler Slim Genuine Leather AirTag Wallet for Men - Bifold RFID Blocking Design with Hidden AirTag Holder</t>
        </is>
      </c>
      <c r="C1783" t="inlineStr">
        <is>
          <t>WR-WA49101BLKOS</t>
        </is>
      </c>
      <c r="D1783" t="inlineStr">
        <is>
          <t>Wallets</t>
        </is>
      </c>
      <c r="E1783" t="inlineStr">
        <is>
          <t>Wrangler</t>
        </is>
      </c>
      <c r="G1783" s="48" t="n">
        <v>0</v>
      </c>
      <c r="H1783" s="49" t="n">
        <v>0</v>
      </c>
      <c r="I1783" s="49" t="n">
        <v>0</v>
      </c>
      <c r="J1783" s="50" t="n">
        <v>0</v>
      </c>
      <c r="K1783" s="51" t="n">
        <v>0</v>
      </c>
      <c r="L1783" s="52" t="n">
        <v>0</v>
      </c>
      <c r="M1783" s="52" t="n">
        <v>0</v>
      </c>
      <c r="N1783" s="52" t="n">
        <v>0</v>
      </c>
      <c r="O1783" s="53" t="n">
        <v>0</v>
      </c>
      <c r="P1783" s="52" t="n">
        <v>0</v>
      </c>
      <c r="Q1783" s="53" t="n">
        <v>0</v>
      </c>
      <c r="R1783" s="52" t="n">
        <v>0</v>
      </c>
      <c r="S1783" s="51" t="n">
        <v>0</v>
      </c>
      <c r="T1783" s="48" t="n">
        <v>0</v>
      </c>
      <c r="U1783" s="49" t="n">
        <v>0</v>
      </c>
      <c r="V1783" s="49" t="n">
        <v>0</v>
      </c>
      <c r="W1783" s="50" t="n">
        <v>0</v>
      </c>
      <c r="X1783" s="51" t="n">
        <v>0</v>
      </c>
      <c r="Y1783" s="52" t="n">
        <v>0</v>
      </c>
      <c r="Z1783" s="52" t="n">
        <v>0</v>
      </c>
      <c r="AA1783" s="52" t="n">
        <v>0</v>
      </c>
      <c r="AB1783" s="53" t="n">
        <v>0</v>
      </c>
      <c r="AC1783" s="52" t="n">
        <v>0</v>
      </c>
      <c r="AD1783" s="53" t="n">
        <v>0</v>
      </c>
      <c r="AE1783" s="52" t="n">
        <v>0</v>
      </c>
      <c r="AF1783" s="51" t="n">
        <v>0</v>
      </c>
      <c r="AG1783" s="48" t="n">
        <v>0</v>
      </c>
      <c r="AH1783" s="49" t="n">
        <v>0</v>
      </c>
      <c r="AI1783" s="49" t="n">
        <v>0</v>
      </c>
      <c r="AJ1783" s="50" t="n">
        <v>0</v>
      </c>
      <c r="AK1783" s="51" t="n">
        <v>0</v>
      </c>
      <c r="AL1783" s="52" t="n">
        <v>0</v>
      </c>
      <c r="AM1783" s="52" t="n">
        <v>0</v>
      </c>
      <c r="AN1783" s="52" t="n">
        <v>0</v>
      </c>
      <c r="AO1783" s="53" t="n">
        <v>0</v>
      </c>
      <c r="AP1783" s="52" t="n">
        <v>0</v>
      </c>
      <c r="AQ1783" s="53" t="n">
        <v>0</v>
      </c>
      <c r="AR1783" s="52" t="n">
        <v>0</v>
      </c>
      <c r="AS1783" s="51" t="n">
        <v>0</v>
      </c>
      <c r="AT1783" s="48" t="n">
        <v>0</v>
      </c>
      <c r="AU1783" s="49" t="n">
        <v>0</v>
      </c>
      <c r="AV1783" s="49" t="n">
        <v>0</v>
      </c>
      <c r="AW1783" s="50" t="n">
        <v>0</v>
      </c>
      <c r="AX1783" s="51" t="n">
        <v>0</v>
      </c>
      <c r="AY1783" s="52" t="n">
        <v>0</v>
      </c>
      <c r="AZ1783" s="52" t="n">
        <v>0</v>
      </c>
      <c r="BA1783" s="52" t="n">
        <v>0</v>
      </c>
      <c r="BB1783" s="53" t="n">
        <v>0</v>
      </c>
      <c r="BC1783" s="52" t="n">
        <v>0</v>
      </c>
      <c r="BD1783" s="53" t="n">
        <v>0</v>
      </c>
      <c r="BE1783" s="52" t="n">
        <v>0</v>
      </c>
      <c r="BF1783" s="51" t="n">
        <v>0</v>
      </c>
    </row>
    <row r="1784">
      <c r="A1784">
        <f>HYPERLINK("https://www.walmart.com/ip/13236915878", "13236915878")</f>
        <v/>
      </c>
      <c r="B1784" t="inlineStr">
        <is>
          <t>Wrangler Slim Genuine Leather AirTag Wallet for Men - Bifold RFID Blocking Design with Hidden AirTag Holder</t>
        </is>
      </c>
      <c r="C1784" t="inlineStr">
        <is>
          <t>WR-WA13705BRNNS</t>
        </is>
      </c>
      <c r="D1784" t="inlineStr">
        <is>
          <t>Wallets</t>
        </is>
      </c>
      <c r="E1784" t="inlineStr">
        <is>
          <t>Wrangler</t>
        </is>
      </c>
      <c r="G1784" s="48" t="n">
        <v>0</v>
      </c>
      <c r="H1784" s="49" t="n">
        <v>0</v>
      </c>
      <c r="I1784" s="49" t="n">
        <v>0</v>
      </c>
      <c r="J1784" s="50" t="n">
        <v>0</v>
      </c>
      <c r="K1784" s="51" t="n">
        <v>0</v>
      </c>
      <c r="L1784" s="52" t="n">
        <v>0</v>
      </c>
      <c r="M1784" s="52" t="n">
        <v>0</v>
      </c>
      <c r="N1784" s="52" t="n">
        <v>0</v>
      </c>
      <c r="O1784" s="53" t="n">
        <v>0</v>
      </c>
      <c r="P1784" s="52" t="n">
        <v>0</v>
      </c>
      <c r="Q1784" s="53" t="n">
        <v>0</v>
      </c>
      <c r="R1784" s="52" t="n">
        <v>0</v>
      </c>
      <c r="S1784" s="51" t="n">
        <v>0</v>
      </c>
      <c r="T1784" s="48" t="n">
        <v>0</v>
      </c>
      <c r="U1784" s="49" t="n">
        <v>0</v>
      </c>
      <c r="V1784" s="49" t="n">
        <v>0</v>
      </c>
      <c r="W1784" s="50" t="n">
        <v>0</v>
      </c>
      <c r="X1784" s="51" t="n">
        <v>0</v>
      </c>
      <c r="Y1784" s="52" t="n">
        <v>0</v>
      </c>
      <c r="Z1784" s="52" t="n">
        <v>0</v>
      </c>
      <c r="AA1784" s="52" t="n">
        <v>0</v>
      </c>
      <c r="AB1784" s="53" t="n">
        <v>0</v>
      </c>
      <c r="AC1784" s="52" t="n">
        <v>0</v>
      </c>
      <c r="AD1784" s="53" t="n">
        <v>0</v>
      </c>
      <c r="AE1784" s="52" t="n">
        <v>0</v>
      </c>
      <c r="AF1784" s="51" t="n">
        <v>0</v>
      </c>
      <c r="AG1784" s="48" t="n">
        <v>24.98</v>
      </c>
      <c r="AH1784" s="49" t="n">
        <v>1</v>
      </c>
      <c r="AI1784" s="49" t="n">
        <v>0</v>
      </c>
      <c r="AJ1784" s="50" t="n">
        <v>0</v>
      </c>
      <c r="AK1784" s="51" t="n">
        <v>0</v>
      </c>
      <c r="AL1784" s="52" t="n">
        <v>0</v>
      </c>
      <c r="AM1784" s="52" t="n">
        <v>0</v>
      </c>
      <c r="AN1784" s="52" t="n">
        <v>0</v>
      </c>
      <c r="AO1784" s="53" t="n">
        <v>0</v>
      </c>
      <c r="AP1784" s="52" t="n">
        <v>0</v>
      </c>
      <c r="AQ1784" s="53" t="n">
        <v>0</v>
      </c>
      <c r="AR1784" s="52" t="n">
        <v>24.98</v>
      </c>
      <c r="AS1784" s="51" t="n">
        <v>0</v>
      </c>
      <c r="AT1784" s="48" t="n">
        <v>0</v>
      </c>
      <c r="AU1784" s="49" t="n">
        <v>0</v>
      </c>
      <c r="AV1784" s="49" t="n">
        <v>0</v>
      </c>
      <c r="AW1784" s="50" t="n">
        <v>0</v>
      </c>
      <c r="AX1784" s="51" t="n">
        <v>0</v>
      </c>
      <c r="AY1784" s="52" t="n">
        <v>0</v>
      </c>
      <c r="AZ1784" s="52" t="n">
        <v>0</v>
      </c>
      <c r="BA1784" s="52" t="n">
        <v>0</v>
      </c>
      <c r="BB1784" s="53" t="n">
        <v>0</v>
      </c>
      <c r="BC1784" s="52" t="n">
        <v>0</v>
      </c>
      <c r="BD1784" s="53" t="n">
        <v>0</v>
      </c>
      <c r="BE1784" s="52" t="n">
        <v>0</v>
      </c>
      <c r="BF1784" s="51" t="n">
        <v>0</v>
      </c>
    </row>
    <row r="1785">
      <c r="A1785">
        <f>HYPERLINK("https://www.walmart.com/ip/132479670", "132479670")</f>
        <v/>
      </c>
      <c r="B1785" t="inlineStr">
        <is>
          <t>KC Caps Blank Cuff Hat Knit Beanie</t>
        </is>
      </c>
      <c r="C1785" t="inlineStr">
        <is>
          <t>KCW1720LTGY</t>
        </is>
      </c>
      <c r="D1785" t="inlineStr">
        <is>
          <t>Hats</t>
        </is>
      </c>
      <c r="E1785" t="inlineStr">
        <is>
          <t>KC Caps</t>
        </is>
      </c>
      <c r="F1785" t="inlineStr">
        <is>
          <t>Optimized</t>
        </is>
      </c>
      <c r="G1785" s="48" t="n">
        <v>0</v>
      </c>
      <c r="H1785" s="49" t="n">
        <v>0</v>
      </c>
      <c r="I1785" s="49" t="n">
        <v>0</v>
      </c>
      <c r="J1785" s="50" t="n">
        <v>0</v>
      </c>
      <c r="K1785" s="51" t="n">
        <v>0</v>
      </c>
      <c r="L1785" s="52" t="n">
        <v>0</v>
      </c>
      <c r="M1785" s="52" t="n">
        <v>0</v>
      </c>
      <c r="N1785" s="52" t="n">
        <v>0</v>
      </c>
      <c r="O1785" s="53" t="n">
        <v>0</v>
      </c>
      <c r="P1785" s="52" t="n">
        <v>0</v>
      </c>
      <c r="Q1785" s="53" t="n">
        <v>0</v>
      </c>
      <c r="R1785" s="52" t="n">
        <v>0</v>
      </c>
      <c r="S1785" s="51" t="n">
        <v>0</v>
      </c>
      <c r="T1785" s="48" t="n">
        <v>0</v>
      </c>
      <c r="U1785" s="49" t="n">
        <v>0</v>
      </c>
      <c r="V1785" s="49" t="n">
        <v>0</v>
      </c>
      <c r="W1785" s="50" t="n">
        <v>0</v>
      </c>
      <c r="X1785" s="51" t="n">
        <v>0</v>
      </c>
      <c r="Y1785" s="52" t="n">
        <v>0</v>
      </c>
      <c r="Z1785" s="52" t="n">
        <v>0</v>
      </c>
      <c r="AA1785" s="52" t="n">
        <v>0</v>
      </c>
      <c r="AB1785" s="53" t="n">
        <v>0</v>
      </c>
      <c r="AC1785" s="52" t="n">
        <v>0</v>
      </c>
      <c r="AD1785" s="53" t="n">
        <v>0</v>
      </c>
      <c r="AE1785" s="52" t="n">
        <v>0</v>
      </c>
      <c r="AF1785" s="51" t="n">
        <v>0</v>
      </c>
      <c r="AG1785" s="48" t="n">
        <v>0</v>
      </c>
      <c r="AH1785" s="49" t="n">
        <v>0</v>
      </c>
      <c r="AI1785" s="49" t="n">
        <v>0</v>
      </c>
      <c r="AJ1785" s="50" t="n">
        <v>0</v>
      </c>
      <c r="AK1785" s="51" t="n">
        <v>0</v>
      </c>
      <c r="AL1785" s="52" t="n">
        <v>0</v>
      </c>
      <c r="AM1785" s="52" t="n">
        <v>0</v>
      </c>
      <c r="AN1785" s="52" t="n">
        <v>0</v>
      </c>
      <c r="AO1785" s="53" t="n">
        <v>0</v>
      </c>
      <c r="AP1785" s="52" t="n">
        <v>0</v>
      </c>
      <c r="AQ1785" s="53" t="n">
        <v>0</v>
      </c>
      <c r="AR1785" s="52" t="n">
        <v>0</v>
      </c>
      <c r="AS1785" s="51" t="n">
        <v>0</v>
      </c>
      <c r="AT1785" s="48" t="n">
        <v>0</v>
      </c>
      <c r="AU1785" s="49" t="n">
        <v>0</v>
      </c>
      <c r="AV1785" s="49" t="n">
        <v>0</v>
      </c>
      <c r="AW1785" s="50" t="n">
        <v>0</v>
      </c>
      <c r="AX1785" s="51" t="n">
        <v>0</v>
      </c>
      <c r="AY1785" s="52" t="n">
        <v>0</v>
      </c>
      <c r="AZ1785" s="52" t="n">
        <v>0</v>
      </c>
      <c r="BA1785" s="52" t="n">
        <v>0</v>
      </c>
      <c r="BB1785" s="53" t="n">
        <v>0</v>
      </c>
      <c r="BC1785" s="52" t="n">
        <v>0</v>
      </c>
      <c r="BD1785" s="53" t="n">
        <v>0</v>
      </c>
      <c r="BE1785" s="52" t="n">
        <v>0</v>
      </c>
      <c r="BF1785" s="51" t="n">
        <v>0</v>
      </c>
    </row>
    <row r="1786">
      <c r="A1786">
        <f>HYPERLINK("https://www.walmart.com/ip/132763304", "132763304")</f>
        <v/>
      </c>
      <c r="B1786" t="inlineStr">
        <is>
          <t>JenniWears Women's Sexy Crotchless Suspender Pantyhose Stockings</t>
        </is>
      </c>
      <c r="C1786" t="inlineStr">
        <is>
          <t>JWBLSPH2028</t>
        </is>
      </c>
      <c r="D1786" t="inlineStr">
        <is>
          <t>Pantyhose &amp; Tights</t>
        </is>
      </c>
      <c r="E1786" t="inlineStr">
        <is>
          <t>JenniWears</t>
        </is>
      </c>
      <c r="F1786" t="inlineStr">
        <is>
          <t>WFS,Valentine,WFS Item</t>
        </is>
      </c>
      <c r="G1786" s="48" t="n">
        <v>0</v>
      </c>
      <c r="H1786" s="49" t="n">
        <v>0</v>
      </c>
      <c r="I1786" s="49" t="n">
        <v>0</v>
      </c>
      <c r="J1786" s="50" t="n">
        <v>0</v>
      </c>
      <c r="K1786" s="51" t="n">
        <v>0</v>
      </c>
      <c r="L1786" s="52" t="n">
        <v>0</v>
      </c>
      <c r="M1786" s="52" t="n">
        <v>0</v>
      </c>
      <c r="N1786" s="52" t="n">
        <v>0</v>
      </c>
      <c r="O1786" s="53" t="n">
        <v>0</v>
      </c>
      <c r="P1786" s="52" t="n">
        <v>0</v>
      </c>
      <c r="Q1786" s="53" t="n">
        <v>0</v>
      </c>
      <c r="R1786" s="52" t="n">
        <v>0</v>
      </c>
      <c r="S1786" s="51" t="n">
        <v>0</v>
      </c>
      <c r="T1786" s="48" t="n">
        <v>0</v>
      </c>
      <c r="U1786" s="49" t="n">
        <v>0</v>
      </c>
      <c r="V1786" s="49" t="n">
        <v>0</v>
      </c>
      <c r="W1786" s="50" t="n">
        <v>0</v>
      </c>
      <c r="X1786" s="51" t="n">
        <v>0</v>
      </c>
      <c r="Y1786" s="52" t="n">
        <v>0</v>
      </c>
      <c r="Z1786" s="52" t="n">
        <v>0</v>
      </c>
      <c r="AA1786" s="52" t="n">
        <v>0</v>
      </c>
      <c r="AB1786" s="53" t="n">
        <v>0</v>
      </c>
      <c r="AC1786" s="52" t="n">
        <v>0</v>
      </c>
      <c r="AD1786" s="53" t="n">
        <v>0</v>
      </c>
      <c r="AE1786" s="52" t="n">
        <v>0</v>
      </c>
      <c r="AF1786" s="51" t="n">
        <v>0</v>
      </c>
      <c r="AG1786" s="48" t="n">
        <v>0</v>
      </c>
      <c r="AH1786" s="49" t="n">
        <v>0</v>
      </c>
      <c r="AI1786" s="49" t="n">
        <v>0</v>
      </c>
      <c r="AJ1786" s="50" t="n">
        <v>0</v>
      </c>
      <c r="AK1786" s="51" t="n">
        <v>0</v>
      </c>
      <c r="AL1786" s="52" t="n">
        <v>0</v>
      </c>
      <c r="AM1786" s="52" t="n">
        <v>0</v>
      </c>
      <c r="AN1786" s="52" t="n">
        <v>0</v>
      </c>
      <c r="AO1786" s="53" t="n">
        <v>0</v>
      </c>
      <c r="AP1786" s="52" t="n">
        <v>0</v>
      </c>
      <c r="AQ1786" s="53" t="n">
        <v>0</v>
      </c>
      <c r="AR1786" s="52" t="n">
        <v>0</v>
      </c>
      <c r="AS1786" s="51" t="n">
        <v>0</v>
      </c>
      <c r="AT1786" s="48" t="n">
        <v>0</v>
      </c>
      <c r="AU1786" s="49" t="n">
        <v>0</v>
      </c>
      <c r="AV1786" s="49" t="n">
        <v>0</v>
      </c>
      <c r="AW1786" s="50" t="n">
        <v>0</v>
      </c>
      <c r="AX1786" s="51" t="n">
        <v>0</v>
      </c>
      <c r="AY1786" s="52" t="n">
        <v>0</v>
      </c>
      <c r="AZ1786" s="52" t="n">
        <v>0</v>
      </c>
      <c r="BA1786" s="52" t="n">
        <v>0</v>
      </c>
      <c r="BB1786" s="53" t="n">
        <v>0</v>
      </c>
      <c r="BC1786" s="52" t="n">
        <v>0</v>
      </c>
      <c r="BD1786" s="53" t="n">
        <v>0</v>
      </c>
      <c r="BE1786" s="52" t="n">
        <v>0</v>
      </c>
      <c r="BF1786" s="51" t="n">
        <v>0</v>
      </c>
    </row>
    <row r="1787">
      <c r="A1787">
        <f>HYPERLINK("https://www.walmart.com/ip/13283657135", "13283657135")</f>
        <v/>
      </c>
      <c r="B1787" t="inlineStr">
        <is>
          <t>Tirrina Wine Opener Set  Corkscrew Opener Kit Seahorse Knife, Wine Stopper, Drip Stopper Ring, Decanter, Tin Knife in Novelty Champagne Bottle-Shaped  for Party Wedding Gift, Black</t>
        </is>
      </c>
      <c r="C1787" t="inlineStr">
        <is>
          <t>1TRWO503GDBK</t>
        </is>
      </c>
      <c r="D1787" t="inlineStr">
        <is>
          <t>Barware Sets</t>
        </is>
      </c>
      <c r="E1787" t="inlineStr">
        <is>
          <t>Tirrinia</t>
        </is>
      </c>
      <c r="G1787" s="48" t="n">
        <v>0</v>
      </c>
      <c r="H1787" s="49" t="n">
        <v>0</v>
      </c>
      <c r="I1787" s="49" t="n">
        <v>0</v>
      </c>
      <c r="J1787" s="50" t="n">
        <v>0</v>
      </c>
      <c r="K1787" s="51" t="n">
        <v>0</v>
      </c>
      <c r="L1787" s="52" t="n">
        <v>0</v>
      </c>
      <c r="M1787" s="52" t="n">
        <v>0</v>
      </c>
      <c r="N1787" s="52" t="n">
        <v>0</v>
      </c>
      <c r="O1787" s="53" t="n">
        <v>0</v>
      </c>
      <c r="P1787" s="52" t="n">
        <v>0</v>
      </c>
      <c r="Q1787" s="53" t="n">
        <v>0</v>
      </c>
      <c r="R1787" s="52" t="n">
        <v>0</v>
      </c>
      <c r="S1787" s="51" t="n">
        <v>0</v>
      </c>
      <c r="T1787" s="48" t="n">
        <v>0</v>
      </c>
      <c r="U1787" s="49" t="n">
        <v>0</v>
      </c>
      <c r="V1787" s="49" t="n">
        <v>0</v>
      </c>
      <c r="W1787" s="50" t="n">
        <v>0</v>
      </c>
      <c r="X1787" s="51" t="n">
        <v>0</v>
      </c>
      <c r="Y1787" s="52" t="n">
        <v>0</v>
      </c>
      <c r="Z1787" s="52" t="n">
        <v>0</v>
      </c>
      <c r="AA1787" s="52" t="n">
        <v>0</v>
      </c>
      <c r="AB1787" s="53" t="n">
        <v>0</v>
      </c>
      <c r="AC1787" s="52" t="n">
        <v>0</v>
      </c>
      <c r="AD1787" s="53" t="n">
        <v>0</v>
      </c>
      <c r="AE1787" s="52" t="n">
        <v>0</v>
      </c>
      <c r="AF1787" s="51" t="n">
        <v>0</v>
      </c>
      <c r="AG1787" s="48" t="n">
        <v>0</v>
      </c>
      <c r="AH1787" s="49" t="n">
        <v>0</v>
      </c>
      <c r="AI1787" s="49" t="n">
        <v>0</v>
      </c>
      <c r="AJ1787" s="50" t="n">
        <v>0</v>
      </c>
      <c r="AK1787" s="51" t="n">
        <v>0</v>
      </c>
      <c r="AL1787" s="52" t="n">
        <v>0</v>
      </c>
      <c r="AM1787" s="52" t="n">
        <v>0</v>
      </c>
      <c r="AN1787" s="52" t="n">
        <v>0</v>
      </c>
      <c r="AO1787" s="53" t="n">
        <v>0</v>
      </c>
      <c r="AP1787" s="52" t="n">
        <v>0</v>
      </c>
      <c r="AQ1787" s="53" t="n">
        <v>0</v>
      </c>
      <c r="AR1787" s="52" t="n">
        <v>0</v>
      </c>
      <c r="AS1787" s="51" t="n">
        <v>0</v>
      </c>
      <c r="AT1787" s="48" t="n">
        <v>0</v>
      </c>
      <c r="AU1787" s="49" t="n">
        <v>0</v>
      </c>
      <c r="AV1787" s="49" t="n">
        <v>0</v>
      </c>
      <c r="AW1787" s="50" t="n">
        <v>0</v>
      </c>
      <c r="AX1787" s="51" t="n">
        <v>0</v>
      </c>
      <c r="AY1787" s="52" t="n">
        <v>0</v>
      </c>
      <c r="AZ1787" s="52" t="n">
        <v>0</v>
      </c>
      <c r="BA1787" s="52" t="n">
        <v>0</v>
      </c>
      <c r="BB1787" s="53" t="n">
        <v>0</v>
      </c>
      <c r="BC1787" s="52" t="n">
        <v>0</v>
      </c>
      <c r="BD1787" s="53" t="n">
        <v>0</v>
      </c>
      <c r="BE1787" s="52" t="n">
        <v>0</v>
      </c>
      <c r="BF1787" s="51" t="n">
        <v>0</v>
      </c>
    </row>
    <row r="1788">
      <c r="A1788">
        <f>HYPERLINK("https://www.walmart.com/ip/1331723972", "1331723972")</f>
        <v/>
      </c>
      <c r="B1788" t="inlineStr">
        <is>
          <t>Every Day is Christmas Glass Blown Ornaments 2021 Cute Hand Made Figurines Tree Decoration, Santa American Face Mask</t>
        </is>
      </c>
      <c r="C1788" t="inlineStr">
        <is>
          <t>EDC-FIGURINE-DINOSAUR</t>
        </is>
      </c>
      <c r="D1788" t="inlineStr">
        <is>
          <t>Ornaments</t>
        </is>
      </c>
      <c r="E1788" t="inlineStr">
        <is>
          <t>Every Day is Christmas</t>
        </is>
      </c>
      <c r="G1788" s="48" t="n">
        <v>0</v>
      </c>
      <c r="H1788" s="49" t="n">
        <v>0</v>
      </c>
      <c r="I1788" s="49" t="n">
        <v>0</v>
      </c>
      <c r="J1788" s="50" t="n">
        <v>0</v>
      </c>
      <c r="K1788" s="51" t="n">
        <v>0</v>
      </c>
      <c r="L1788" s="52" t="n">
        <v>0</v>
      </c>
      <c r="M1788" s="52" t="n">
        <v>0</v>
      </c>
      <c r="N1788" s="52" t="n">
        <v>0</v>
      </c>
      <c r="O1788" s="53" t="n">
        <v>0</v>
      </c>
      <c r="P1788" s="52" t="n">
        <v>0</v>
      </c>
      <c r="Q1788" s="53" t="n">
        <v>0</v>
      </c>
      <c r="R1788" s="52" t="n">
        <v>0</v>
      </c>
      <c r="S1788" s="51" t="n">
        <v>0</v>
      </c>
      <c r="T1788" s="48" t="n">
        <v>0</v>
      </c>
      <c r="U1788" s="49" t="n">
        <v>0</v>
      </c>
      <c r="V1788" s="49" t="n">
        <v>0</v>
      </c>
      <c r="W1788" s="50" t="n">
        <v>0</v>
      </c>
      <c r="X1788" s="51" t="n">
        <v>0</v>
      </c>
      <c r="Y1788" s="52" t="n">
        <v>0</v>
      </c>
      <c r="Z1788" s="52" t="n">
        <v>0</v>
      </c>
      <c r="AA1788" s="52" t="n">
        <v>0</v>
      </c>
      <c r="AB1788" s="53" t="n">
        <v>0</v>
      </c>
      <c r="AC1788" s="52" t="n">
        <v>0</v>
      </c>
      <c r="AD1788" s="53" t="n">
        <v>0</v>
      </c>
      <c r="AE1788" s="52" t="n">
        <v>0</v>
      </c>
      <c r="AF1788" s="51" t="n">
        <v>0</v>
      </c>
      <c r="AG1788" s="48" t="n">
        <v>0</v>
      </c>
      <c r="AH1788" s="49" t="n">
        <v>0</v>
      </c>
      <c r="AI1788" s="49" t="n">
        <v>0</v>
      </c>
      <c r="AJ1788" s="50" t="n">
        <v>0</v>
      </c>
      <c r="AK1788" s="51" t="n">
        <v>0</v>
      </c>
      <c r="AL1788" s="52" t="n">
        <v>0</v>
      </c>
      <c r="AM1788" s="52" t="n">
        <v>0</v>
      </c>
      <c r="AN1788" s="52" t="n">
        <v>0</v>
      </c>
      <c r="AO1788" s="53" t="n">
        <v>0</v>
      </c>
      <c r="AP1788" s="52" t="n">
        <v>0</v>
      </c>
      <c r="AQ1788" s="53" t="n">
        <v>0</v>
      </c>
      <c r="AR1788" s="52" t="n">
        <v>0</v>
      </c>
      <c r="AS1788" s="51" t="n">
        <v>0</v>
      </c>
      <c r="AT1788" s="48" t="n">
        <v>0</v>
      </c>
      <c r="AU1788" s="49" t="n">
        <v>0</v>
      </c>
      <c r="AV1788" s="49" t="n">
        <v>0</v>
      </c>
      <c r="AW1788" s="50" t="n">
        <v>0</v>
      </c>
      <c r="AX1788" s="51" t="n">
        <v>0</v>
      </c>
      <c r="AY1788" s="52" t="n">
        <v>0</v>
      </c>
      <c r="AZ1788" s="52" t="n">
        <v>0</v>
      </c>
      <c r="BA1788" s="52" t="n">
        <v>0</v>
      </c>
      <c r="BB1788" s="53" t="n">
        <v>0</v>
      </c>
      <c r="BC1788" s="52" t="n">
        <v>0</v>
      </c>
      <c r="BD1788" s="53" t="n">
        <v>0</v>
      </c>
      <c r="BE1788" s="52" t="n">
        <v>0</v>
      </c>
      <c r="BF1788" s="51" t="n">
        <v>0</v>
      </c>
    </row>
    <row r="1789">
      <c r="A1789">
        <f>HYPERLINK("https://www.walmart.com/ip/133729804", "133729804")</f>
        <v/>
      </c>
      <c r="B1789" t="inlineStr">
        <is>
          <t>Tirrinia UV Protection Hat Unisex Wide Brim Large Bill Neck Flap Mesh Nets with Adjustable Drawstring Grey</t>
        </is>
      </c>
      <c r="C1789" t="inlineStr">
        <is>
          <t>1TRSH9152GY-TBGM</t>
        </is>
      </c>
      <c r="D1789" t="inlineStr">
        <is>
          <t>Hats</t>
        </is>
      </c>
      <c r="E1789" t="inlineStr">
        <is>
          <t>Tirrinia</t>
        </is>
      </c>
      <c r="F1789" t="inlineStr">
        <is>
          <t>Optimized</t>
        </is>
      </c>
      <c r="G1789" s="48" t="n">
        <v>0</v>
      </c>
      <c r="H1789" s="49" t="n">
        <v>0</v>
      </c>
      <c r="I1789" s="49" t="n">
        <v>0</v>
      </c>
      <c r="J1789" s="50" t="n">
        <v>0</v>
      </c>
      <c r="K1789" s="51" t="n">
        <v>0</v>
      </c>
      <c r="L1789" s="52" t="n">
        <v>0</v>
      </c>
      <c r="M1789" s="52" t="n">
        <v>0</v>
      </c>
      <c r="N1789" s="52" t="n">
        <v>0</v>
      </c>
      <c r="O1789" s="53" t="n">
        <v>0</v>
      </c>
      <c r="P1789" s="52" t="n">
        <v>0</v>
      </c>
      <c r="Q1789" s="53" t="n">
        <v>0</v>
      </c>
      <c r="R1789" s="52" t="n">
        <v>0</v>
      </c>
      <c r="S1789" s="51" t="n">
        <v>0</v>
      </c>
      <c r="T1789" s="48" t="n">
        <v>0</v>
      </c>
      <c r="U1789" s="49" t="n">
        <v>0</v>
      </c>
      <c r="V1789" s="49" t="n">
        <v>0</v>
      </c>
      <c r="W1789" s="50" t="n">
        <v>0</v>
      </c>
      <c r="X1789" s="51" t="n">
        <v>0</v>
      </c>
      <c r="Y1789" s="52" t="n">
        <v>0</v>
      </c>
      <c r="Z1789" s="52" t="n">
        <v>0</v>
      </c>
      <c r="AA1789" s="52" t="n">
        <v>0</v>
      </c>
      <c r="AB1789" s="53" t="n">
        <v>0</v>
      </c>
      <c r="AC1789" s="52" t="n">
        <v>0</v>
      </c>
      <c r="AD1789" s="53" t="n">
        <v>0</v>
      </c>
      <c r="AE1789" s="52" t="n">
        <v>0</v>
      </c>
      <c r="AF1789" s="51" t="n">
        <v>0</v>
      </c>
      <c r="AG1789" s="48" t="n">
        <v>0</v>
      </c>
      <c r="AH1789" s="49" t="n">
        <v>0</v>
      </c>
      <c r="AI1789" s="49" t="n">
        <v>0</v>
      </c>
      <c r="AJ1789" s="50" t="n">
        <v>0</v>
      </c>
      <c r="AK1789" s="51" t="n">
        <v>0</v>
      </c>
      <c r="AL1789" s="52" t="n">
        <v>0</v>
      </c>
      <c r="AM1789" s="52" t="n">
        <v>0</v>
      </c>
      <c r="AN1789" s="52" t="n">
        <v>0</v>
      </c>
      <c r="AO1789" s="53" t="n">
        <v>0</v>
      </c>
      <c r="AP1789" s="52" t="n">
        <v>0</v>
      </c>
      <c r="AQ1789" s="53" t="n">
        <v>0</v>
      </c>
      <c r="AR1789" s="52" t="n">
        <v>0</v>
      </c>
      <c r="AS1789" s="51" t="n">
        <v>0</v>
      </c>
      <c r="AT1789" s="48" t="n">
        <v>0</v>
      </c>
      <c r="AU1789" s="49" t="n">
        <v>0</v>
      </c>
      <c r="AV1789" s="49" t="n">
        <v>0</v>
      </c>
      <c r="AW1789" s="50" t="n">
        <v>0</v>
      </c>
      <c r="AX1789" s="51" t="n">
        <v>0</v>
      </c>
      <c r="AY1789" s="52" t="n">
        <v>0</v>
      </c>
      <c r="AZ1789" s="52" t="n">
        <v>0</v>
      </c>
      <c r="BA1789" s="52" t="n">
        <v>0</v>
      </c>
      <c r="BB1789" s="53" t="n">
        <v>0</v>
      </c>
      <c r="BC1789" s="52" t="n">
        <v>0</v>
      </c>
      <c r="BD1789" s="53" t="n">
        <v>0</v>
      </c>
      <c r="BE1789" s="52" t="n">
        <v>0</v>
      </c>
      <c r="BF1789" s="51" t="n">
        <v>0</v>
      </c>
    </row>
    <row r="1790">
      <c r="A1790">
        <f>HYPERLINK("https://www.walmart.com/ip/133823525", "133823525")</f>
        <v/>
      </c>
      <c r="B1790" t="inlineStr">
        <is>
          <t>KC Caps® Unisex Cotton Baseball Cap Adjustable Plain Hat (21 Styles/Colors)</t>
        </is>
      </c>
      <c r="C1790" t="inlineStr">
        <is>
          <t>KC8010KKNV</t>
        </is>
      </c>
      <c r="D1790" t="inlineStr">
        <is>
          <t>Hats</t>
        </is>
      </c>
      <c r="E1790" t="inlineStr">
        <is>
          <t>KC Caps</t>
        </is>
      </c>
      <c r="F1790" t="inlineStr">
        <is>
          <t>Optimized</t>
        </is>
      </c>
      <c r="G1790" s="48" t="n">
        <v>0</v>
      </c>
      <c r="H1790" s="49" t="n">
        <v>0</v>
      </c>
      <c r="I1790" s="49" t="n">
        <v>0</v>
      </c>
      <c r="J1790" s="50" t="n">
        <v>0</v>
      </c>
      <c r="K1790" s="51" t="n">
        <v>0</v>
      </c>
      <c r="L1790" s="52" t="n">
        <v>0</v>
      </c>
      <c r="M1790" s="52" t="n">
        <v>0</v>
      </c>
      <c r="N1790" s="52" t="n">
        <v>0</v>
      </c>
      <c r="O1790" s="53" t="n">
        <v>0</v>
      </c>
      <c r="P1790" s="52" t="n">
        <v>0</v>
      </c>
      <c r="Q1790" s="53" t="n">
        <v>0</v>
      </c>
      <c r="R1790" s="52" t="n">
        <v>0</v>
      </c>
      <c r="S1790" s="51" t="n">
        <v>0</v>
      </c>
      <c r="T1790" s="48" t="n">
        <v>0</v>
      </c>
      <c r="U1790" s="49" t="n">
        <v>0</v>
      </c>
      <c r="V1790" s="49" t="n">
        <v>0</v>
      </c>
      <c r="W1790" s="50" t="n">
        <v>0</v>
      </c>
      <c r="X1790" s="51" t="n">
        <v>0</v>
      </c>
      <c r="Y1790" s="52" t="n">
        <v>0</v>
      </c>
      <c r="Z1790" s="52" t="n">
        <v>0</v>
      </c>
      <c r="AA1790" s="52" t="n">
        <v>0</v>
      </c>
      <c r="AB1790" s="53" t="n">
        <v>0</v>
      </c>
      <c r="AC1790" s="52" t="n">
        <v>0</v>
      </c>
      <c r="AD1790" s="53" t="n">
        <v>0</v>
      </c>
      <c r="AE1790" s="52" t="n">
        <v>0</v>
      </c>
      <c r="AF1790" s="51" t="n">
        <v>0</v>
      </c>
      <c r="AG1790" s="48" t="n">
        <v>7.99</v>
      </c>
      <c r="AH1790" s="49" t="n">
        <v>1</v>
      </c>
      <c r="AI1790" s="49" t="n">
        <v>0</v>
      </c>
      <c r="AJ1790" s="50" t="n">
        <v>0</v>
      </c>
      <c r="AK1790" s="51" t="n">
        <v>0</v>
      </c>
      <c r="AL1790" s="52" t="n">
        <v>0</v>
      </c>
      <c r="AM1790" s="52" t="n">
        <v>0</v>
      </c>
      <c r="AN1790" s="52" t="n">
        <v>0</v>
      </c>
      <c r="AO1790" s="53" t="n">
        <v>0</v>
      </c>
      <c r="AP1790" s="52" t="n">
        <v>0</v>
      </c>
      <c r="AQ1790" s="53" t="n">
        <v>0</v>
      </c>
      <c r="AR1790" s="52" t="n">
        <v>7.99</v>
      </c>
      <c r="AS1790" s="51" t="n">
        <v>0</v>
      </c>
      <c r="AT1790" s="48" t="n">
        <v>0</v>
      </c>
      <c r="AU1790" s="49" t="n">
        <v>0</v>
      </c>
      <c r="AV1790" s="49" t="n">
        <v>0</v>
      </c>
      <c r="AW1790" s="50" t="n">
        <v>0</v>
      </c>
      <c r="AX1790" s="51" t="n">
        <v>0</v>
      </c>
      <c r="AY1790" s="52" t="n">
        <v>0</v>
      </c>
      <c r="AZ1790" s="52" t="n">
        <v>0</v>
      </c>
      <c r="BA1790" s="52" t="n">
        <v>0</v>
      </c>
      <c r="BB1790" s="53" t="n">
        <v>0</v>
      </c>
      <c r="BC1790" s="52" t="n">
        <v>0</v>
      </c>
      <c r="BD1790" s="53" t="n">
        <v>0</v>
      </c>
      <c r="BE1790" s="52" t="n">
        <v>0</v>
      </c>
      <c r="BF1790" s="51" t="n">
        <v>0</v>
      </c>
    </row>
    <row r="1791">
      <c r="A1791">
        <f>HYPERLINK("https://www.walmart.com/ip/133994242", "133994242")</f>
        <v/>
      </c>
      <c r="B1791" t="inlineStr">
        <is>
          <t>KC Caps Sun Flare Racing Cap Black</t>
        </is>
      </c>
      <c r="C1791" t="inlineStr">
        <is>
          <t>KC-FL01</t>
        </is>
      </c>
      <c r="D1791" t="inlineStr">
        <is>
          <t>Hats</t>
        </is>
      </c>
      <c r="E1791" t="inlineStr">
        <is>
          <t>KC Caps</t>
        </is>
      </c>
      <c r="F1791" t="inlineStr">
        <is>
          <t>Optimized</t>
        </is>
      </c>
      <c r="G1791" s="48" t="n">
        <v>0</v>
      </c>
      <c r="H1791" s="49" t="n">
        <v>0</v>
      </c>
      <c r="I1791" s="49" t="n">
        <v>0</v>
      </c>
      <c r="J1791" s="50" t="n">
        <v>0</v>
      </c>
      <c r="K1791" s="51" t="n">
        <v>0</v>
      </c>
      <c r="L1791" s="52" t="n">
        <v>0</v>
      </c>
      <c r="M1791" s="52" t="n">
        <v>0</v>
      </c>
      <c r="N1791" s="52" t="n">
        <v>0</v>
      </c>
      <c r="O1791" s="53" t="n">
        <v>0</v>
      </c>
      <c r="P1791" s="52" t="n">
        <v>0</v>
      </c>
      <c r="Q1791" s="53" t="n">
        <v>0</v>
      </c>
      <c r="R1791" s="52" t="n">
        <v>0</v>
      </c>
      <c r="S1791" s="51" t="n">
        <v>0</v>
      </c>
      <c r="T1791" s="48" t="n">
        <v>0</v>
      </c>
      <c r="U1791" s="49" t="n">
        <v>0</v>
      </c>
      <c r="V1791" s="49" t="n">
        <v>0</v>
      </c>
      <c r="W1791" s="50" t="n">
        <v>0</v>
      </c>
      <c r="X1791" s="51" t="n">
        <v>0</v>
      </c>
      <c r="Y1791" s="52" t="n">
        <v>0</v>
      </c>
      <c r="Z1791" s="52" t="n">
        <v>0</v>
      </c>
      <c r="AA1791" s="52" t="n">
        <v>0</v>
      </c>
      <c r="AB1791" s="53" t="n">
        <v>0</v>
      </c>
      <c r="AC1791" s="52" t="n">
        <v>0</v>
      </c>
      <c r="AD1791" s="53" t="n">
        <v>0</v>
      </c>
      <c r="AE1791" s="52" t="n">
        <v>0</v>
      </c>
      <c r="AF1791" s="51" t="n">
        <v>0</v>
      </c>
      <c r="AG1791" s="48" t="n">
        <v>0</v>
      </c>
      <c r="AH1791" s="49" t="n">
        <v>0</v>
      </c>
      <c r="AI1791" s="49" t="n">
        <v>0</v>
      </c>
      <c r="AJ1791" s="50" t="n">
        <v>0</v>
      </c>
      <c r="AK1791" s="51" t="n">
        <v>0</v>
      </c>
      <c r="AL1791" s="52" t="n">
        <v>0</v>
      </c>
      <c r="AM1791" s="52" t="n">
        <v>0</v>
      </c>
      <c r="AN1791" s="52" t="n">
        <v>0</v>
      </c>
      <c r="AO1791" s="53" t="n">
        <v>0</v>
      </c>
      <c r="AP1791" s="52" t="n">
        <v>0</v>
      </c>
      <c r="AQ1791" s="53" t="n">
        <v>0</v>
      </c>
      <c r="AR1791" s="52" t="n">
        <v>0</v>
      </c>
      <c r="AS1791" s="51" t="n">
        <v>0</v>
      </c>
      <c r="AT1791" s="48" t="n">
        <v>0</v>
      </c>
      <c r="AU1791" s="49" t="n">
        <v>0</v>
      </c>
      <c r="AV1791" s="49" t="n">
        <v>0</v>
      </c>
      <c r="AW1791" s="50" t="n">
        <v>0</v>
      </c>
      <c r="AX1791" s="51" t="n">
        <v>0</v>
      </c>
      <c r="AY1791" s="52" t="n">
        <v>0</v>
      </c>
      <c r="AZ1791" s="52" t="n">
        <v>0</v>
      </c>
      <c r="BA1791" s="52" t="n">
        <v>0</v>
      </c>
      <c r="BB1791" s="53" t="n">
        <v>0</v>
      </c>
      <c r="BC1791" s="52" t="n">
        <v>0</v>
      </c>
      <c r="BD1791" s="53" t="n">
        <v>0</v>
      </c>
      <c r="BE1791" s="52" t="n">
        <v>0</v>
      </c>
      <c r="BF1791" s="51" t="n">
        <v>0</v>
      </c>
    </row>
    <row r="1792">
      <c r="A1792">
        <f>HYPERLINK("https://www.walmart.com/ip/1343187643", "1343187643")</f>
        <v/>
      </c>
      <c r="B1792" t="inlineStr">
        <is>
          <t>Deluxe Classic Suede Bill Baseball Cap with Leather Strap Closure</t>
        </is>
      </c>
      <c r="C1792" t="inlineStr">
        <is>
          <t>KC-S6300-BK/SI-12pcs</t>
        </is>
      </c>
      <c r="D1792" t="inlineStr">
        <is>
          <t>Hats</t>
        </is>
      </c>
      <c r="E1792" t="inlineStr">
        <is>
          <t>KC Caps</t>
        </is>
      </c>
      <c r="F1792" t="inlineStr">
        <is>
          <t>Batch 1 - TR</t>
        </is>
      </c>
      <c r="G1792" s="48" t="n">
        <v>0</v>
      </c>
      <c r="H1792" s="49" t="n">
        <v>0</v>
      </c>
      <c r="I1792" s="49" t="n">
        <v>0</v>
      </c>
      <c r="J1792" s="50" t="n">
        <v>0</v>
      </c>
      <c r="K1792" s="51" t="n">
        <v>0</v>
      </c>
      <c r="L1792" s="52" t="n">
        <v>0</v>
      </c>
      <c r="M1792" s="52" t="n">
        <v>0</v>
      </c>
      <c r="N1792" s="52" t="n">
        <v>0</v>
      </c>
      <c r="O1792" s="53" t="n">
        <v>0</v>
      </c>
      <c r="P1792" s="52" t="n">
        <v>0</v>
      </c>
      <c r="Q1792" s="53" t="n">
        <v>0</v>
      </c>
      <c r="R1792" s="52" t="n">
        <v>0</v>
      </c>
      <c r="S1792" s="51" t="n">
        <v>0</v>
      </c>
      <c r="T1792" s="48" t="n">
        <v>0</v>
      </c>
      <c r="U1792" s="49" t="n">
        <v>0</v>
      </c>
      <c r="V1792" s="49" t="n">
        <v>0</v>
      </c>
      <c r="W1792" s="50" t="n">
        <v>0</v>
      </c>
      <c r="X1792" s="51" t="n">
        <v>0</v>
      </c>
      <c r="Y1792" s="52" t="n">
        <v>0</v>
      </c>
      <c r="Z1792" s="52" t="n">
        <v>0</v>
      </c>
      <c r="AA1792" s="52" t="n">
        <v>0</v>
      </c>
      <c r="AB1792" s="53" t="n">
        <v>0</v>
      </c>
      <c r="AC1792" s="52" t="n">
        <v>0</v>
      </c>
      <c r="AD1792" s="53" t="n">
        <v>0</v>
      </c>
      <c r="AE1792" s="52" t="n">
        <v>0</v>
      </c>
      <c r="AF1792" s="51" t="n">
        <v>0</v>
      </c>
      <c r="AG1792" s="48" t="n">
        <v>0</v>
      </c>
      <c r="AH1792" s="49" t="n">
        <v>0</v>
      </c>
      <c r="AI1792" s="49" t="n">
        <v>0</v>
      </c>
      <c r="AJ1792" s="50" t="n">
        <v>0</v>
      </c>
      <c r="AK1792" s="51" t="n">
        <v>0</v>
      </c>
      <c r="AL1792" s="52" t="n">
        <v>0</v>
      </c>
      <c r="AM1792" s="52" t="n">
        <v>0</v>
      </c>
      <c r="AN1792" s="52" t="n">
        <v>0</v>
      </c>
      <c r="AO1792" s="53" t="n">
        <v>0</v>
      </c>
      <c r="AP1792" s="52" t="n">
        <v>0</v>
      </c>
      <c r="AQ1792" s="53" t="n">
        <v>0</v>
      </c>
      <c r="AR1792" s="52" t="n">
        <v>0</v>
      </c>
      <c r="AS1792" s="51" t="n">
        <v>0</v>
      </c>
      <c r="AT1792" s="48" t="n">
        <v>0</v>
      </c>
      <c r="AU1792" s="49" t="n">
        <v>0</v>
      </c>
      <c r="AV1792" s="49" t="n">
        <v>0</v>
      </c>
      <c r="AW1792" s="50" t="n">
        <v>0</v>
      </c>
      <c r="AX1792" s="51" t="n">
        <v>0</v>
      </c>
      <c r="AY1792" s="52" t="n">
        <v>0</v>
      </c>
      <c r="AZ1792" s="52" t="n">
        <v>0</v>
      </c>
      <c r="BA1792" s="52" t="n">
        <v>0</v>
      </c>
      <c r="BB1792" s="53" t="n">
        <v>0</v>
      </c>
      <c r="BC1792" s="52" t="n">
        <v>0</v>
      </c>
      <c r="BD1792" s="53" t="n">
        <v>0</v>
      </c>
      <c r="BE1792" s="52" t="n">
        <v>0</v>
      </c>
      <c r="BF1792" s="51" t="n">
        <v>0</v>
      </c>
    </row>
    <row r="1793">
      <c r="A1793">
        <f>HYPERLINK("https://www.walmart.com/ip/1346334658", "1346334658")</f>
        <v/>
      </c>
      <c r="B1793" t="inlineStr">
        <is>
          <t>Catalonia All Season Knitted Acrylic Throw Blanket, Cozy Leisure Lightweight Decorative Blanket with Fringe for Bed, Couch, Living Room, Machine Washable, Yellow, 50'' × 60''</t>
        </is>
      </c>
      <c r="C1793" t="inlineStr">
        <is>
          <t>1CTBN510YL</t>
        </is>
      </c>
      <c r="D1793" t="inlineStr">
        <is>
          <t>Throws</t>
        </is>
      </c>
      <c r="E1793" t="inlineStr">
        <is>
          <t>Catalonia</t>
        </is>
      </c>
      <c r="F1793" t="inlineStr">
        <is>
          <t>Q2-Target,Coupon_Discount,Batch 1 - TR</t>
        </is>
      </c>
      <c r="G1793" s="48" t="n">
        <v>0</v>
      </c>
      <c r="H1793" s="49" t="n">
        <v>0</v>
      </c>
      <c r="I1793" s="49" t="n">
        <v>0</v>
      </c>
      <c r="J1793" s="50" t="n">
        <v>0</v>
      </c>
      <c r="K1793" s="51" t="n">
        <v>0</v>
      </c>
      <c r="L1793" s="52" t="n">
        <v>0</v>
      </c>
      <c r="M1793" s="52" t="n">
        <v>0</v>
      </c>
      <c r="N1793" s="52" t="n">
        <v>0</v>
      </c>
      <c r="O1793" s="53" t="n">
        <v>0</v>
      </c>
      <c r="P1793" s="52" t="n">
        <v>0</v>
      </c>
      <c r="Q1793" s="53" t="n">
        <v>0</v>
      </c>
      <c r="R1793" s="52" t="n">
        <v>0</v>
      </c>
      <c r="S1793" s="51" t="n">
        <v>0</v>
      </c>
      <c r="T1793" s="48" t="n">
        <v>0</v>
      </c>
      <c r="U1793" s="49" t="n">
        <v>0</v>
      </c>
      <c r="V1793" s="49" t="n">
        <v>0</v>
      </c>
      <c r="W1793" s="50" t="n">
        <v>0</v>
      </c>
      <c r="X1793" s="51" t="n">
        <v>0</v>
      </c>
      <c r="Y1793" s="52" t="n">
        <v>0</v>
      </c>
      <c r="Z1793" s="52" t="n">
        <v>0</v>
      </c>
      <c r="AA1793" s="52" t="n">
        <v>0</v>
      </c>
      <c r="AB1793" s="53" t="n">
        <v>0</v>
      </c>
      <c r="AC1793" s="52" t="n">
        <v>0</v>
      </c>
      <c r="AD1793" s="53" t="n">
        <v>0</v>
      </c>
      <c r="AE1793" s="52" t="n">
        <v>0</v>
      </c>
      <c r="AF1793" s="51" t="n">
        <v>0</v>
      </c>
      <c r="AG1793" s="48" t="n">
        <v>0</v>
      </c>
      <c r="AH1793" s="49" t="n">
        <v>0</v>
      </c>
      <c r="AI1793" s="49" t="n">
        <v>0</v>
      </c>
      <c r="AJ1793" s="50" t="n">
        <v>0</v>
      </c>
      <c r="AK1793" s="51" t="n">
        <v>0</v>
      </c>
      <c r="AL1793" s="52" t="n">
        <v>0</v>
      </c>
      <c r="AM1793" s="52" t="n">
        <v>0</v>
      </c>
      <c r="AN1793" s="52" t="n">
        <v>0</v>
      </c>
      <c r="AO1793" s="53" t="n">
        <v>0</v>
      </c>
      <c r="AP1793" s="52" t="n">
        <v>0</v>
      </c>
      <c r="AQ1793" s="53" t="n">
        <v>0</v>
      </c>
      <c r="AR1793" s="52" t="n">
        <v>0</v>
      </c>
      <c r="AS1793" s="51" t="n">
        <v>0</v>
      </c>
      <c r="AT1793" s="48" t="n">
        <v>0</v>
      </c>
      <c r="AU1793" s="49" t="n">
        <v>0</v>
      </c>
      <c r="AV1793" s="49" t="n">
        <v>0</v>
      </c>
      <c r="AW1793" s="50" t="n">
        <v>0</v>
      </c>
      <c r="AX1793" s="51" t="n">
        <v>0</v>
      </c>
      <c r="AY1793" s="52" t="n">
        <v>0</v>
      </c>
      <c r="AZ1793" s="52" t="n">
        <v>0</v>
      </c>
      <c r="BA1793" s="52" t="n">
        <v>0</v>
      </c>
      <c r="BB1793" s="53" t="n">
        <v>0</v>
      </c>
      <c r="BC1793" s="52" t="n">
        <v>0</v>
      </c>
      <c r="BD1793" s="53" t="n">
        <v>0</v>
      </c>
      <c r="BE1793" s="52" t="n">
        <v>0</v>
      </c>
      <c r="BF1793" s="51" t="n">
        <v>0</v>
      </c>
    </row>
    <row r="1794">
      <c r="A1794">
        <f>HYPERLINK("https://www.walmart.com/ip/134725282", "134725282")</f>
        <v/>
      </c>
      <c r="B1794" t="inlineStr">
        <is>
          <t>Catalonia Sherpa Fleece Blanket for Bed, Super Soft  Plush Sofa Couch Throw Blanket, TV Bed Blanket, Comfy Cozy Fluffy Warm Comforter, Caring Gift(Cow, 60x80 inches)</t>
        </is>
      </c>
      <c r="C1794" t="inlineStr">
        <is>
          <t>1CTBF368DMT</t>
        </is>
      </c>
      <c r="D1794" t="inlineStr">
        <is>
          <t>Throws</t>
        </is>
      </c>
      <c r="E1794" t="inlineStr">
        <is>
          <t>Catalonia</t>
        </is>
      </c>
      <c r="F1794" t="inlineStr">
        <is>
          <t>WFS,WFS Item,Fleece Blankets</t>
        </is>
      </c>
      <c r="G1794" s="48" t="n">
        <v>0</v>
      </c>
      <c r="H1794" s="49" t="n">
        <v>0</v>
      </c>
      <c r="I1794" s="49" t="n">
        <v>0</v>
      </c>
      <c r="J1794" s="50" t="n">
        <v>0</v>
      </c>
      <c r="K1794" s="51" t="n">
        <v>0</v>
      </c>
      <c r="L1794" s="52" t="n">
        <v>0</v>
      </c>
      <c r="M1794" s="52" t="n">
        <v>0</v>
      </c>
      <c r="N1794" s="52" t="n">
        <v>0</v>
      </c>
      <c r="O1794" s="53" t="n">
        <v>0</v>
      </c>
      <c r="P1794" s="52" t="n">
        <v>0</v>
      </c>
      <c r="Q1794" s="53" t="n">
        <v>0</v>
      </c>
      <c r="R1794" s="52" t="n">
        <v>0</v>
      </c>
      <c r="S1794" s="51" t="n">
        <v>0</v>
      </c>
      <c r="T1794" s="48" t="n">
        <v>0</v>
      </c>
      <c r="U1794" s="49" t="n">
        <v>0</v>
      </c>
      <c r="V1794" s="49" t="n">
        <v>0</v>
      </c>
      <c r="W1794" s="50" t="n">
        <v>0</v>
      </c>
      <c r="X1794" s="51" t="n">
        <v>0</v>
      </c>
      <c r="Y1794" s="52" t="n">
        <v>0</v>
      </c>
      <c r="Z1794" s="52" t="n">
        <v>0</v>
      </c>
      <c r="AA1794" s="52" t="n">
        <v>0</v>
      </c>
      <c r="AB1794" s="53" t="n">
        <v>0</v>
      </c>
      <c r="AC1794" s="52" t="n">
        <v>0</v>
      </c>
      <c r="AD1794" s="53" t="n">
        <v>0</v>
      </c>
      <c r="AE1794" s="52" t="n">
        <v>0</v>
      </c>
      <c r="AF1794" s="51" t="n">
        <v>0</v>
      </c>
      <c r="AG1794" s="48" t="n">
        <v>0</v>
      </c>
      <c r="AH1794" s="49" t="n">
        <v>0</v>
      </c>
      <c r="AI1794" s="49" t="n">
        <v>0</v>
      </c>
      <c r="AJ1794" s="50" t="n">
        <v>0</v>
      </c>
      <c r="AK1794" s="51" t="n">
        <v>0</v>
      </c>
      <c r="AL1794" s="52" t="n">
        <v>0</v>
      </c>
      <c r="AM1794" s="52" t="n">
        <v>0</v>
      </c>
      <c r="AN1794" s="52" t="n">
        <v>0</v>
      </c>
      <c r="AO1794" s="53" t="n">
        <v>0</v>
      </c>
      <c r="AP1794" s="52" t="n">
        <v>0</v>
      </c>
      <c r="AQ1794" s="53" t="n">
        <v>0</v>
      </c>
      <c r="AR1794" s="52" t="n">
        <v>0</v>
      </c>
      <c r="AS1794" s="51" t="n">
        <v>0</v>
      </c>
      <c r="AT1794" s="48" t="n">
        <v>0</v>
      </c>
      <c r="AU1794" s="49" t="n">
        <v>0</v>
      </c>
      <c r="AV1794" s="49" t="n">
        <v>0</v>
      </c>
      <c r="AW1794" s="50" t="n">
        <v>0</v>
      </c>
      <c r="AX1794" s="51" t="n">
        <v>0</v>
      </c>
      <c r="AY1794" s="52" t="n">
        <v>0</v>
      </c>
      <c r="AZ1794" s="52" t="n">
        <v>0</v>
      </c>
      <c r="BA1794" s="52" t="n">
        <v>0</v>
      </c>
      <c r="BB1794" s="53" t="n">
        <v>0</v>
      </c>
      <c r="BC1794" s="52" t="n">
        <v>0</v>
      </c>
      <c r="BD1794" s="53" t="n">
        <v>0</v>
      </c>
      <c r="BE1794" s="52" t="n">
        <v>0</v>
      </c>
      <c r="BF1794" s="51" t="n">
        <v>0</v>
      </c>
    </row>
    <row r="1795">
      <c r="A1795">
        <f>HYPERLINK("https://www.walmart.com/ip/134725741", "134725741")</f>
        <v/>
      </c>
      <c r="B1795" t="inlineStr">
        <is>
          <t>Extra Large Lunch Bag - 13L/ 22 Can, Insulated &amp; Leakproof Adult Reusable Meal Prep Bento Box Cooler Tote for Men &amp; Women with Dual Compartment, Purple</t>
        </is>
      </c>
      <c r="C1795" t="inlineStr">
        <is>
          <t>1KTLB410PP</t>
        </is>
      </c>
      <c r="D1795" t="inlineStr">
        <is>
          <t>Reusable Lunch Bags &amp; Boxes</t>
        </is>
      </c>
      <c r="E1795" t="inlineStr">
        <is>
          <t>Tirrinia</t>
        </is>
      </c>
      <c r="F1795" t="inlineStr">
        <is>
          <t>Q2-Target,Brand Camp VD,Lunch Bag,WFS,Lunch Bags,SEM,WFS Item</t>
        </is>
      </c>
      <c r="G1795" s="48" t="n">
        <v>0</v>
      </c>
      <c r="H1795" s="49" t="n">
        <v>0</v>
      </c>
      <c r="I1795" s="49" t="n">
        <v>8</v>
      </c>
      <c r="J1795" s="50" t="n">
        <v>0</v>
      </c>
      <c r="K1795" s="51" t="n">
        <v>0</v>
      </c>
      <c r="L1795" s="52" t="n">
        <v>0</v>
      </c>
      <c r="M1795" s="52" t="n">
        <v>0</v>
      </c>
      <c r="N1795" s="52" t="n">
        <v>0</v>
      </c>
      <c r="O1795" s="53" t="n">
        <v>0</v>
      </c>
      <c r="P1795" s="52" t="n">
        <v>0</v>
      </c>
      <c r="Q1795" s="53" t="n">
        <v>0</v>
      </c>
      <c r="R1795" s="52" t="n">
        <v>0</v>
      </c>
      <c r="S1795" s="51" t="n">
        <v>0</v>
      </c>
      <c r="T1795" s="48" t="n">
        <v>39.98</v>
      </c>
      <c r="U1795" s="49" t="n">
        <v>2</v>
      </c>
      <c r="V1795" s="49" t="n">
        <v>10</v>
      </c>
      <c r="W1795" s="50" t="n">
        <v>0.2</v>
      </c>
      <c r="X1795" s="51" t="n">
        <v>0</v>
      </c>
      <c r="Y1795" s="52" t="n">
        <v>0</v>
      </c>
      <c r="Z1795" s="52" t="n">
        <v>0</v>
      </c>
      <c r="AA1795" s="52" t="n">
        <v>0</v>
      </c>
      <c r="AB1795" s="53" t="n">
        <v>0</v>
      </c>
      <c r="AC1795" s="52" t="n">
        <v>0</v>
      </c>
      <c r="AD1795" s="53" t="n">
        <v>0</v>
      </c>
      <c r="AE1795" s="52" t="n">
        <v>19.99</v>
      </c>
      <c r="AF1795" s="51" t="n">
        <v>0</v>
      </c>
      <c r="AG1795" s="48" t="n">
        <v>0</v>
      </c>
      <c r="AH1795" s="49" t="n">
        <v>0</v>
      </c>
      <c r="AI1795" s="49" t="n">
        <v>13</v>
      </c>
      <c r="AJ1795" s="50" t="n">
        <v>0</v>
      </c>
      <c r="AK1795" s="51" t="n">
        <v>0</v>
      </c>
      <c r="AL1795" s="52" t="n">
        <v>0</v>
      </c>
      <c r="AM1795" s="52" t="n">
        <v>0</v>
      </c>
      <c r="AN1795" s="52" t="n">
        <v>0</v>
      </c>
      <c r="AO1795" s="53" t="n">
        <v>0</v>
      </c>
      <c r="AP1795" s="52" t="n">
        <v>0</v>
      </c>
      <c r="AQ1795" s="53" t="n">
        <v>0</v>
      </c>
      <c r="AR1795" s="52" t="n">
        <v>0</v>
      </c>
      <c r="AS1795" s="51" t="n">
        <v>0</v>
      </c>
      <c r="AT1795" s="48" t="n">
        <v>0</v>
      </c>
      <c r="AU1795" s="49" t="n">
        <v>0</v>
      </c>
      <c r="AV1795" s="49" t="n">
        <v>1</v>
      </c>
      <c r="AW1795" s="50" t="n">
        <v>0</v>
      </c>
      <c r="AX1795" s="51" t="n">
        <v>0</v>
      </c>
      <c r="AY1795" s="52" t="n">
        <v>0</v>
      </c>
      <c r="AZ1795" s="52" t="n">
        <v>0</v>
      </c>
      <c r="BA1795" s="52" t="n">
        <v>0</v>
      </c>
      <c r="BB1795" s="53" t="n">
        <v>0</v>
      </c>
      <c r="BC1795" s="52" t="n">
        <v>0</v>
      </c>
      <c r="BD1795" s="53" t="n">
        <v>0</v>
      </c>
      <c r="BE1795" s="52" t="n">
        <v>0</v>
      </c>
      <c r="BF1795" s="51" t="n">
        <v>0</v>
      </c>
    </row>
    <row r="1796">
      <c r="A1796">
        <f>HYPERLINK("https://www.walmart.com/ip/1350473123", "1350473123")</f>
        <v/>
      </c>
      <c r="B1796" t="inlineStr">
        <is>
          <t>Tirrinia Oversized Blanket Hoodie Sweatshirts, Wearable Fluffy Fleece Plush Blanket, Lightweight Cozy Sweatshirt Blanket Gift for Women Men, Purple</t>
        </is>
      </c>
      <c r="C1796" t="inlineStr">
        <is>
          <t>1TROSH360PP-FS</t>
        </is>
      </c>
      <c r="D1796" t="inlineStr">
        <is>
          <t>Sweatshirts &amp; Hoodies</t>
        </is>
      </c>
      <c r="E1796" t="inlineStr">
        <is>
          <t>Tirrinia</t>
        </is>
      </c>
      <c r="G1796" s="48" t="n">
        <v>0</v>
      </c>
      <c r="H1796" s="49" t="n">
        <v>0</v>
      </c>
      <c r="I1796" s="49" t="n">
        <v>0</v>
      </c>
      <c r="J1796" s="50" t="n">
        <v>0</v>
      </c>
      <c r="K1796" s="51" t="n">
        <v>0</v>
      </c>
      <c r="L1796" s="52" t="n">
        <v>0</v>
      </c>
      <c r="M1796" s="52" t="n">
        <v>0</v>
      </c>
      <c r="N1796" s="52" t="n">
        <v>0</v>
      </c>
      <c r="O1796" s="53" t="n">
        <v>0</v>
      </c>
      <c r="P1796" s="52" t="n">
        <v>0</v>
      </c>
      <c r="Q1796" s="53" t="n">
        <v>0</v>
      </c>
      <c r="R1796" s="52" t="n">
        <v>0</v>
      </c>
      <c r="S1796" s="51" t="n">
        <v>0</v>
      </c>
      <c r="T1796" s="48" t="n">
        <v>0</v>
      </c>
      <c r="U1796" s="49" t="n">
        <v>0</v>
      </c>
      <c r="V1796" s="49" t="n">
        <v>0</v>
      </c>
      <c r="W1796" s="50" t="n">
        <v>0</v>
      </c>
      <c r="X1796" s="51" t="n">
        <v>0</v>
      </c>
      <c r="Y1796" s="52" t="n">
        <v>0</v>
      </c>
      <c r="Z1796" s="52" t="n">
        <v>0</v>
      </c>
      <c r="AA1796" s="52" t="n">
        <v>0</v>
      </c>
      <c r="AB1796" s="53" t="n">
        <v>0</v>
      </c>
      <c r="AC1796" s="52" t="n">
        <v>0</v>
      </c>
      <c r="AD1796" s="53" t="n">
        <v>0</v>
      </c>
      <c r="AE1796" s="52" t="n">
        <v>0</v>
      </c>
      <c r="AF1796" s="51" t="n">
        <v>0</v>
      </c>
      <c r="AG1796" s="48" t="n">
        <v>0</v>
      </c>
      <c r="AH1796" s="49" t="n">
        <v>0</v>
      </c>
      <c r="AI1796" s="49" t="n">
        <v>0</v>
      </c>
      <c r="AJ1796" s="50" t="n">
        <v>0</v>
      </c>
      <c r="AK1796" s="51" t="n">
        <v>0</v>
      </c>
      <c r="AL1796" s="52" t="n">
        <v>0</v>
      </c>
      <c r="AM1796" s="52" t="n">
        <v>0</v>
      </c>
      <c r="AN1796" s="52" t="n">
        <v>0</v>
      </c>
      <c r="AO1796" s="53" t="n">
        <v>0</v>
      </c>
      <c r="AP1796" s="52" t="n">
        <v>0</v>
      </c>
      <c r="AQ1796" s="53" t="n">
        <v>0</v>
      </c>
      <c r="AR1796" s="52" t="n">
        <v>0</v>
      </c>
      <c r="AS1796" s="51" t="n">
        <v>0</v>
      </c>
      <c r="AT1796" s="48" t="n">
        <v>0</v>
      </c>
      <c r="AU1796" s="49" t="n">
        <v>0</v>
      </c>
      <c r="AV1796" s="49" t="n">
        <v>0</v>
      </c>
      <c r="AW1796" s="50" t="n">
        <v>0</v>
      </c>
      <c r="AX1796" s="51" t="n">
        <v>0</v>
      </c>
      <c r="AY1796" s="52" t="n">
        <v>0</v>
      </c>
      <c r="AZ1796" s="52" t="n">
        <v>0</v>
      </c>
      <c r="BA1796" s="52" t="n">
        <v>0</v>
      </c>
      <c r="BB1796" s="53" t="n">
        <v>0</v>
      </c>
      <c r="BC1796" s="52" t="n">
        <v>0</v>
      </c>
      <c r="BD1796" s="53" t="n">
        <v>0</v>
      </c>
      <c r="BE1796" s="52" t="n">
        <v>0</v>
      </c>
      <c r="BF1796" s="51" t="n">
        <v>0</v>
      </c>
    </row>
    <row r="1797">
      <c r="A1797">
        <f>HYPERLINK("https://www.walmart.com/ip/1382387831", "1382387831")</f>
        <v/>
      </c>
      <c r="B1797" t="inlineStr">
        <is>
          <t>Every Day is Christmas Glass Blown Ornaments Cute Hand Made Figurines Tree Decoration, Excavator</t>
        </is>
      </c>
      <c r="C1797" t="inlineStr">
        <is>
          <t>EDC-FIGURINE-EXCAVATOR</t>
        </is>
      </c>
      <c r="D1797" t="inlineStr">
        <is>
          <t>Ornaments</t>
        </is>
      </c>
      <c r="E1797" t="inlineStr">
        <is>
          <t>Every Day is Christmas</t>
        </is>
      </c>
      <c r="G1797" s="48" t="n">
        <v>0</v>
      </c>
      <c r="H1797" s="49" t="n">
        <v>0</v>
      </c>
      <c r="I1797" s="49" t="n">
        <v>0</v>
      </c>
      <c r="J1797" s="50" t="n">
        <v>0</v>
      </c>
      <c r="K1797" s="51" t="n">
        <v>0</v>
      </c>
      <c r="L1797" s="52" t="n">
        <v>0</v>
      </c>
      <c r="M1797" s="52" t="n">
        <v>0</v>
      </c>
      <c r="N1797" s="52" t="n">
        <v>0</v>
      </c>
      <c r="O1797" s="53" t="n">
        <v>0</v>
      </c>
      <c r="P1797" s="52" t="n">
        <v>0</v>
      </c>
      <c r="Q1797" s="53" t="n">
        <v>0</v>
      </c>
      <c r="R1797" s="52" t="n">
        <v>0</v>
      </c>
      <c r="S1797" s="51" t="n">
        <v>0</v>
      </c>
      <c r="T1797" s="48" t="n">
        <v>0</v>
      </c>
      <c r="U1797" s="49" t="n">
        <v>0</v>
      </c>
      <c r="V1797" s="49" t="n">
        <v>0</v>
      </c>
      <c r="W1797" s="50" t="n">
        <v>0</v>
      </c>
      <c r="X1797" s="51" t="n">
        <v>0</v>
      </c>
      <c r="Y1797" s="52" t="n">
        <v>0</v>
      </c>
      <c r="Z1797" s="52" t="n">
        <v>0</v>
      </c>
      <c r="AA1797" s="52" t="n">
        <v>0</v>
      </c>
      <c r="AB1797" s="53" t="n">
        <v>0</v>
      </c>
      <c r="AC1797" s="52" t="n">
        <v>0</v>
      </c>
      <c r="AD1797" s="53" t="n">
        <v>0</v>
      </c>
      <c r="AE1797" s="52" t="n">
        <v>0</v>
      </c>
      <c r="AF1797" s="51" t="n">
        <v>0</v>
      </c>
      <c r="AG1797" s="48" t="n">
        <v>0</v>
      </c>
      <c r="AH1797" s="49" t="n">
        <v>0</v>
      </c>
      <c r="AI1797" s="49" t="n">
        <v>0</v>
      </c>
      <c r="AJ1797" s="50" t="n">
        <v>0</v>
      </c>
      <c r="AK1797" s="51" t="n">
        <v>0</v>
      </c>
      <c r="AL1797" s="52" t="n">
        <v>0</v>
      </c>
      <c r="AM1797" s="52" t="n">
        <v>0</v>
      </c>
      <c r="AN1797" s="52" t="n">
        <v>0</v>
      </c>
      <c r="AO1797" s="53" t="n">
        <v>0</v>
      </c>
      <c r="AP1797" s="52" t="n">
        <v>0</v>
      </c>
      <c r="AQ1797" s="53" t="n">
        <v>0</v>
      </c>
      <c r="AR1797" s="52" t="n">
        <v>0</v>
      </c>
      <c r="AS1797" s="51" t="n">
        <v>0</v>
      </c>
      <c r="AT1797" s="48" t="n">
        <v>0</v>
      </c>
      <c r="AU1797" s="49" t="n">
        <v>0</v>
      </c>
      <c r="AV1797" s="49" t="n">
        <v>0</v>
      </c>
      <c r="AW1797" s="50" t="n">
        <v>0</v>
      </c>
      <c r="AX1797" s="51" t="n">
        <v>0</v>
      </c>
      <c r="AY1797" s="52" t="n">
        <v>0</v>
      </c>
      <c r="AZ1797" s="52" t="n">
        <v>0</v>
      </c>
      <c r="BA1797" s="52" t="n">
        <v>0</v>
      </c>
      <c r="BB1797" s="53" t="n">
        <v>0</v>
      </c>
      <c r="BC1797" s="52" t="n">
        <v>0</v>
      </c>
      <c r="BD1797" s="53" t="n">
        <v>0</v>
      </c>
      <c r="BE1797" s="52" t="n">
        <v>0</v>
      </c>
      <c r="BF1797" s="51" t="n">
        <v>0</v>
      </c>
    </row>
    <row r="1798">
      <c r="A1798">
        <f>HYPERLINK("https://www.walmart.com/ip/138313307", "138313307")</f>
        <v/>
      </c>
      <c r="B1798" t="inlineStr">
        <is>
          <t>Tirrinia Snow Micro Fleece Sherpa Plush Bed Throw TV Blanket 50” x 60”</t>
        </is>
      </c>
      <c r="C1798" t="inlineStr">
        <is>
          <t>1TRBF321WN-TBGM</t>
        </is>
      </c>
      <c r="D1798" t="inlineStr">
        <is>
          <t>Throws</t>
        </is>
      </c>
      <c r="E1798" t="inlineStr">
        <is>
          <t>Tirrinia</t>
        </is>
      </c>
      <c r="F1798" t="inlineStr">
        <is>
          <t>Batch 1 - TR</t>
        </is>
      </c>
      <c r="G1798" s="48" t="n">
        <v>0</v>
      </c>
      <c r="H1798" s="49" t="n">
        <v>0</v>
      </c>
      <c r="I1798" s="49" t="n">
        <v>0</v>
      </c>
      <c r="J1798" s="50" t="n">
        <v>0</v>
      </c>
      <c r="K1798" s="51" t="n">
        <v>0</v>
      </c>
      <c r="L1798" s="52" t="n">
        <v>0</v>
      </c>
      <c r="M1798" s="52" t="n">
        <v>0</v>
      </c>
      <c r="N1798" s="52" t="n">
        <v>0</v>
      </c>
      <c r="O1798" s="53" t="n">
        <v>0</v>
      </c>
      <c r="P1798" s="52" t="n">
        <v>0</v>
      </c>
      <c r="Q1798" s="53" t="n">
        <v>0</v>
      </c>
      <c r="R1798" s="52" t="n">
        <v>0</v>
      </c>
      <c r="S1798" s="51" t="n">
        <v>0</v>
      </c>
      <c r="T1798" s="48" t="n">
        <v>0</v>
      </c>
      <c r="U1798" s="49" t="n">
        <v>0</v>
      </c>
      <c r="V1798" s="49" t="n">
        <v>0</v>
      </c>
      <c r="W1798" s="50" t="n">
        <v>0</v>
      </c>
      <c r="X1798" s="51" t="n">
        <v>0</v>
      </c>
      <c r="Y1798" s="52" t="n">
        <v>0</v>
      </c>
      <c r="Z1798" s="52" t="n">
        <v>0</v>
      </c>
      <c r="AA1798" s="52" t="n">
        <v>0</v>
      </c>
      <c r="AB1798" s="53" t="n">
        <v>0</v>
      </c>
      <c r="AC1798" s="52" t="n">
        <v>0</v>
      </c>
      <c r="AD1798" s="53" t="n">
        <v>0</v>
      </c>
      <c r="AE1798" s="52" t="n">
        <v>0</v>
      </c>
      <c r="AF1798" s="51" t="n">
        <v>0</v>
      </c>
      <c r="AG1798" s="48" t="n">
        <v>0</v>
      </c>
      <c r="AH1798" s="49" t="n">
        <v>0</v>
      </c>
      <c r="AI1798" s="49" t="n">
        <v>0</v>
      </c>
      <c r="AJ1798" s="50" t="n">
        <v>0</v>
      </c>
      <c r="AK1798" s="51" t="n">
        <v>0</v>
      </c>
      <c r="AL1798" s="52" t="n">
        <v>0</v>
      </c>
      <c r="AM1798" s="52" t="n">
        <v>0</v>
      </c>
      <c r="AN1798" s="52" t="n">
        <v>0</v>
      </c>
      <c r="AO1798" s="53" t="n">
        <v>0</v>
      </c>
      <c r="AP1798" s="52" t="n">
        <v>0</v>
      </c>
      <c r="AQ1798" s="53" t="n">
        <v>0</v>
      </c>
      <c r="AR1798" s="52" t="n">
        <v>0</v>
      </c>
      <c r="AS1798" s="51" t="n">
        <v>0</v>
      </c>
      <c r="AT1798" s="48" t="n">
        <v>0</v>
      </c>
      <c r="AU1798" s="49" t="n">
        <v>0</v>
      </c>
      <c r="AV1798" s="49" t="n">
        <v>0</v>
      </c>
      <c r="AW1798" s="50" t="n">
        <v>0</v>
      </c>
      <c r="AX1798" s="51" t="n">
        <v>0</v>
      </c>
      <c r="AY1798" s="52" t="n">
        <v>0</v>
      </c>
      <c r="AZ1798" s="52" t="n">
        <v>0</v>
      </c>
      <c r="BA1798" s="52" t="n">
        <v>0</v>
      </c>
      <c r="BB1798" s="53" t="n">
        <v>0</v>
      </c>
      <c r="BC1798" s="52" t="n">
        <v>0</v>
      </c>
      <c r="BD1798" s="53" t="n">
        <v>0</v>
      </c>
      <c r="BE1798" s="52" t="n">
        <v>0</v>
      </c>
      <c r="BF1798" s="51" t="n">
        <v>0</v>
      </c>
    </row>
    <row r="1799">
      <c r="A1799">
        <f>HYPERLINK("https://www.walmart.com/ip/1212700000", "1212700000")</f>
        <v/>
      </c>
      <c r="B1799" t="inlineStr">
        <is>
          <t>Catalonia Fleece Wearable Blanket with Sleeves and Pocket, Micro Plush Warm Sleeved TV Throw Sherpa Blanket Robe for Women and Men, Cat Blue, 72” X 55”.</t>
        </is>
      </c>
      <c r="C1799" t="inlineStr">
        <is>
          <t>1CTSN110BLCAT</t>
        </is>
      </c>
      <c r="D1799" t="inlineStr">
        <is>
          <t>Throws</t>
        </is>
      </c>
      <c r="E1799" t="inlineStr">
        <is>
          <t>Catalonia</t>
        </is>
      </c>
      <c r="F1799" t="inlineStr">
        <is>
          <t>Coupon_Discount,Batch 1 - TR</t>
        </is>
      </c>
      <c r="G1799" s="48" t="n">
        <v>0</v>
      </c>
      <c r="H1799" s="49" t="n">
        <v>0</v>
      </c>
      <c r="I1799" s="49" t="n">
        <v>0</v>
      </c>
      <c r="J1799" s="50" t="n">
        <v>0</v>
      </c>
      <c r="K1799" s="51" t="n">
        <v>0</v>
      </c>
      <c r="L1799" s="52" t="n">
        <v>0</v>
      </c>
      <c r="M1799" s="52" t="n">
        <v>0</v>
      </c>
      <c r="N1799" s="52" t="n">
        <v>0</v>
      </c>
      <c r="O1799" s="53" t="n">
        <v>0</v>
      </c>
      <c r="P1799" s="52" t="n">
        <v>0</v>
      </c>
      <c r="Q1799" s="53" t="n">
        <v>0</v>
      </c>
      <c r="R1799" s="52" t="n">
        <v>0</v>
      </c>
      <c r="S1799" s="51" t="n">
        <v>0</v>
      </c>
      <c r="T1799" s="48" t="n">
        <v>0</v>
      </c>
      <c r="U1799" s="49" t="n">
        <v>0</v>
      </c>
      <c r="V1799" s="49" t="n">
        <v>0</v>
      </c>
      <c r="W1799" s="50" t="n">
        <v>0</v>
      </c>
      <c r="X1799" s="51" t="n">
        <v>0</v>
      </c>
      <c r="Y1799" s="52" t="n">
        <v>0</v>
      </c>
      <c r="Z1799" s="52" t="n">
        <v>0</v>
      </c>
      <c r="AA1799" s="52" t="n">
        <v>0</v>
      </c>
      <c r="AB1799" s="53" t="n">
        <v>0</v>
      </c>
      <c r="AC1799" s="52" t="n">
        <v>0</v>
      </c>
      <c r="AD1799" s="53" t="n">
        <v>0</v>
      </c>
      <c r="AE1799" s="52" t="n">
        <v>0</v>
      </c>
      <c r="AF1799" s="51" t="n">
        <v>0</v>
      </c>
      <c r="AG1799" s="48" t="n">
        <v>0</v>
      </c>
      <c r="AH1799" s="49" t="n">
        <v>0</v>
      </c>
      <c r="AI1799" s="49" t="n">
        <v>0</v>
      </c>
      <c r="AJ1799" s="50" t="n">
        <v>0</v>
      </c>
      <c r="AK1799" s="51" t="n">
        <v>0</v>
      </c>
      <c r="AL1799" s="52" t="n">
        <v>0</v>
      </c>
      <c r="AM1799" s="52" t="n">
        <v>0</v>
      </c>
      <c r="AN1799" s="52" t="n">
        <v>0</v>
      </c>
      <c r="AO1799" s="53" t="n">
        <v>0</v>
      </c>
      <c r="AP1799" s="52" t="n">
        <v>0</v>
      </c>
      <c r="AQ1799" s="53" t="n">
        <v>0</v>
      </c>
      <c r="AR1799" s="52" t="n">
        <v>0</v>
      </c>
      <c r="AS1799" s="51" t="n">
        <v>0</v>
      </c>
      <c r="AT1799" s="48" t="n">
        <v>0</v>
      </c>
      <c r="AU1799" s="49" t="n">
        <v>0</v>
      </c>
      <c r="AV1799" s="49" t="n">
        <v>0</v>
      </c>
      <c r="AW1799" s="50" t="n">
        <v>0</v>
      </c>
      <c r="AX1799" s="51" t="n">
        <v>0</v>
      </c>
      <c r="AY1799" s="52" t="n">
        <v>0</v>
      </c>
      <c r="AZ1799" s="52" t="n">
        <v>0</v>
      </c>
      <c r="BA1799" s="52" t="n">
        <v>0</v>
      </c>
      <c r="BB1799" s="53" t="n">
        <v>0</v>
      </c>
      <c r="BC1799" s="52" t="n">
        <v>0</v>
      </c>
      <c r="BD1799" s="53" t="n">
        <v>0</v>
      </c>
      <c r="BE1799" s="52" t="n">
        <v>0</v>
      </c>
      <c r="BF1799" s="51" t="n">
        <v>0</v>
      </c>
    </row>
    <row r="1800">
      <c r="A1800">
        <f>HYPERLINK("https://www.walmart.com/ip/13869809583", "13869809583")</f>
        <v/>
      </c>
      <c r="B1800" t="inlineStr">
        <is>
          <t>Every Day is Christmas Glass Blown Ornaments Cute Hand Made Figurines Tree Decoration, Ski Boots Set of 2</t>
        </is>
      </c>
      <c r="C1800" t="inlineStr">
        <is>
          <t>EDC-FIGURINE-WP290</t>
        </is>
      </c>
      <c r="D1800" t="inlineStr">
        <is>
          <t>Ornaments</t>
        </is>
      </c>
      <c r="E1800" t="inlineStr">
        <is>
          <t>Every Day is Christmas</t>
        </is>
      </c>
      <c r="G1800" s="48" t="n">
        <v>0</v>
      </c>
      <c r="H1800" s="49" t="n">
        <v>0</v>
      </c>
      <c r="I1800" s="49" t="n">
        <v>0</v>
      </c>
      <c r="J1800" s="50" t="n">
        <v>0</v>
      </c>
      <c r="K1800" s="51" t="n">
        <v>0</v>
      </c>
      <c r="L1800" s="52" t="n">
        <v>0</v>
      </c>
      <c r="M1800" s="52" t="n">
        <v>0</v>
      </c>
      <c r="N1800" s="52" t="n">
        <v>0</v>
      </c>
      <c r="O1800" s="53" t="n">
        <v>0</v>
      </c>
      <c r="P1800" s="52" t="n">
        <v>0</v>
      </c>
      <c r="Q1800" s="53" t="n">
        <v>0</v>
      </c>
      <c r="R1800" s="52" t="n">
        <v>0</v>
      </c>
      <c r="S1800" s="51" t="n">
        <v>0</v>
      </c>
      <c r="T1800" s="48" t="n">
        <v>0</v>
      </c>
      <c r="U1800" s="49" t="n">
        <v>0</v>
      </c>
      <c r="V1800" s="49" t="n">
        <v>0</v>
      </c>
      <c r="W1800" s="50" t="n">
        <v>0</v>
      </c>
      <c r="X1800" s="51" t="n">
        <v>0</v>
      </c>
      <c r="Y1800" s="52" t="n">
        <v>0</v>
      </c>
      <c r="Z1800" s="52" t="n">
        <v>0</v>
      </c>
      <c r="AA1800" s="52" t="n">
        <v>0</v>
      </c>
      <c r="AB1800" s="53" t="n">
        <v>0</v>
      </c>
      <c r="AC1800" s="52" t="n">
        <v>0</v>
      </c>
      <c r="AD1800" s="53" t="n">
        <v>0</v>
      </c>
      <c r="AE1800" s="52" t="n">
        <v>0</v>
      </c>
      <c r="AF1800" s="51" t="n">
        <v>0</v>
      </c>
      <c r="AG1800" s="48" t="n">
        <v>0</v>
      </c>
      <c r="AH1800" s="49" t="n">
        <v>0</v>
      </c>
      <c r="AI1800" s="49" t="n">
        <v>0</v>
      </c>
      <c r="AJ1800" s="50" t="n">
        <v>0</v>
      </c>
      <c r="AK1800" s="51" t="n">
        <v>0</v>
      </c>
      <c r="AL1800" s="52" t="n">
        <v>0</v>
      </c>
      <c r="AM1800" s="52" t="n">
        <v>0</v>
      </c>
      <c r="AN1800" s="52" t="n">
        <v>0</v>
      </c>
      <c r="AO1800" s="53" t="n">
        <v>0</v>
      </c>
      <c r="AP1800" s="52" t="n">
        <v>0</v>
      </c>
      <c r="AQ1800" s="53" t="n">
        <v>0</v>
      </c>
      <c r="AR1800" s="52" t="n">
        <v>0</v>
      </c>
      <c r="AS1800" s="51" t="n">
        <v>0</v>
      </c>
      <c r="AT1800" s="48" t="n">
        <v>0</v>
      </c>
      <c r="AU1800" s="49" t="n">
        <v>0</v>
      </c>
      <c r="AV1800" s="49" t="n">
        <v>0</v>
      </c>
      <c r="AW1800" s="50" t="n">
        <v>0</v>
      </c>
      <c r="AX1800" s="51" t="n">
        <v>0</v>
      </c>
      <c r="AY1800" s="52" t="n">
        <v>0</v>
      </c>
      <c r="AZ1800" s="52" t="n">
        <v>0</v>
      </c>
      <c r="BA1800" s="52" t="n">
        <v>0</v>
      </c>
      <c r="BB1800" s="53" t="n">
        <v>0</v>
      </c>
      <c r="BC1800" s="52" t="n">
        <v>0</v>
      </c>
      <c r="BD1800" s="53" t="n">
        <v>0</v>
      </c>
      <c r="BE1800" s="52" t="n">
        <v>0</v>
      </c>
      <c r="BF1800" s="51" t="n">
        <v>0</v>
      </c>
    </row>
    <row r="1801">
      <c r="A1801">
        <f>HYPERLINK("https://www.walmart.com/ip/13871800493", "13871800493")</f>
        <v/>
      </c>
      <c r="B1801" t="inlineStr">
        <is>
          <t>Every Day is Christmas Glass Blown Ornaments Cute Hand Made Figurines Tree Decoration, Ranch, Mustard, Ketchup Set of 3</t>
        </is>
      </c>
      <c r="C1801" t="inlineStr">
        <is>
          <t>EDC-FIGURINE-WP277</t>
        </is>
      </c>
      <c r="D1801" t="inlineStr">
        <is>
          <t>Ornaments</t>
        </is>
      </c>
      <c r="E1801" t="inlineStr">
        <is>
          <t>Every Day is Christmas</t>
        </is>
      </c>
      <c r="G1801" s="48" t="n">
        <v>0</v>
      </c>
      <c r="H1801" s="49" t="n">
        <v>0</v>
      </c>
      <c r="I1801" s="49" t="n">
        <v>0</v>
      </c>
      <c r="J1801" s="50" t="n">
        <v>0</v>
      </c>
      <c r="K1801" s="51" t="n">
        <v>0</v>
      </c>
      <c r="L1801" s="52" t="n">
        <v>0</v>
      </c>
      <c r="M1801" s="52" t="n">
        <v>0</v>
      </c>
      <c r="N1801" s="52" t="n">
        <v>0</v>
      </c>
      <c r="O1801" s="53" t="n">
        <v>0</v>
      </c>
      <c r="P1801" s="52" t="n">
        <v>0</v>
      </c>
      <c r="Q1801" s="53" t="n">
        <v>0</v>
      </c>
      <c r="R1801" s="52" t="n">
        <v>0</v>
      </c>
      <c r="S1801" s="51" t="n">
        <v>0</v>
      </c>
      <c r="T1801" s="48" t="n">
        <v>0</v>
      </c>
      <c r="U1801" s="49" t="n">
        <v>0</v>
      </c>
      <c r="V1801" s="49" t="n">
        <v>0</v>
      </c>
      <c r="W1801" s="50" t="n">
        <v>0</v>
      </c>
      <c r="X1801" s="51" t="n">
        <v>0</v>
      </c>
      <c r="Y1801" s="52" t="n">
        <v>0</v>
      </c>
      <c r="Z1801" s="52" t="n">
        <v>0</v>
      </c>
      <c r="AA1801" s="52" t="n">
        <v>0</v>
      </c>
      <c r="AB1801" s="53" t="n">
        <v>0</v>
      </c>
      <c r="AC1801" s="52" t="n">
        <v>0</v>
      </c>
      <c r="AD1801" s="53" t="n">
        <v>0</v>
      </c>
      <c r="AE1801" s="52" t="n">
        <v>0</v>
      </c>
      <c r="AF1801" s="51" t="n">
        <v>0</v>
      </c>
      <c r="AG1801" s="48" t="n">
        <v>0</v>
      </c>
      <c r="AH1801" s="49" t="n">
        <v>0</v>
      </c>
      <c r="AI1801" s="49" t="n">
        <v>0</v>
      </c>
      <c r="AJ1801" s="50" t="n">
        <v>0</v>
      </c>
      <c r="AK1801" s="51" t="n">
        <v>0</v>
      </c>
      <c r="AL1801" s="52" t="n">
        <v>0</v>
      </c>
      <c r="AM1801" s="52" t="n">
        <v>0</v>
      </c>
      <c r="AN1801" s="52" t="n">
        <v>0</v>
      </c>
      <c r="AO1801" s="53" t="n">
        <v>0</v>
      </c>
      <c r="AP1801" s="52" t="n">
        <v>0</v>
      </c>
      <c r="AQ1801" s="53" t="n">
        <v>0</v>
      </c>
      <c r="AR1801" s="52" t="n">
        <v>0</v>
      </c>
      <c r="AS1801" s="51" t="n">
        <v>0</v>
      </c>
      <c r="AT1801" s="48" t="n">
        <v>0</v>
      </c>
      <c r="AU1801" s="49" t="n">
        <v>0</v>
      </c>
      <c r="AV1801" s="49" t="n">
        <v>0</v>
      </c>
      <c r="AW1801" s="50" t="n">
        <v>0</v>
      </c>
      <c r="AX1801" s="51" t="n">
        <v>0</v>
      </c>
      <c r="AY1801" s="52" t="n">
        <v>0</v>
      </c>
      <c r="AZ1801" s="52" t="n">
        <v>0</v>
      </c>
      <c r="BA1801" s="52" t="n">
        <v>0</v>
      </c>
      <c r="BB1801" s="53" t="n">
        <v>0</v>
      </c>
      <c r="BC1801" s="52" t="n">
        <v>0</v>
      </c>
      <c r="BD1801" s="53" t="n">
        <v>0</v>
      </c>
      <c r="BE1801" s="52" t="n">
        <v>0</v>
      </c>
      <c r="BF1801" s="51" t="n">
        <v>0</v>
      </c>
    </row>
    <row r="1802">
      <c r="A1802">
        <f>HYPERLINK("https://www.walmart.com/ip/13876207015", "13876207015")</f>
        <v/>
      </c>
      <c r="B1802" t="inlineStr">
        <is>
          <t>Every Day is Christmas Glass Blown Ornaments Cute Hand Made Figurines Tree Decoration, Coffee Set of 3</t>
        </is>
      </c>
      <c r="C1802" t="inlineStr">
        <is>
          <t>EDC-FIGURINE-BC339</t>
        </is>
      </c>
      <c r="D1802" t="inlineStr">
        <is>
          <t>Ornaments</t>
        </is>
      </c>
      <c r="E1802" t="inlineStr">
        <is>
          <t>Every Day is Christmas</t>
        </is>
      </c>
      <c r="G1802" s="48" t="n">
        <v>0</v>
      </c>
      <c r="H1802" s="49" t="n">
        <v>0</v>
      </c>
      <c r="I1802" s="49" t="n">
        <v>0</v>
      </c>
      <c r="J1802" s="50" t="n">
        <v>0</v>
      </c>
      <c r="K1802" s="51" t="n">
        <v>0</v>
      </c>
      <c r="L1802" s="52" t="n">
        <v>0</v>
      </c>
      <c r="M1802" s="52" t="n">
        <v>0</v>
      </c>
      <c r="N1802" s="52" t="n">
        <v>0</v>
      </c>
      <c r="O1802" s="53" t="n">
        <v>0</v>
      </c>
      <c r="P1802" s="52" t="n">
        <v>0</v>
      </c>
      <c r="Q1802" s="53" t="n">
        <v>0</v>
      </c>
      <c r="R1802" s="52" t="n">
        <v>0</v>
      </c>
      <c r="S1802" s="51" t="n">
        <v>0</v>
      </c>
      <c r="T1802" s="48" t="n">
        <v>0</v>
      </c>
      <c r="U1802" s="49" t="n">
        <v>0</v>
      </c>
      <c r="V1802" s="49" t="n">
        <v>0</v>
      </c>
      <c r="W1802" s="50" t="n">
        <v>0</v>
      </c>
      <c r="X1802" s="51" t="n">
        <v>0</v>
      </c>
      <c r="Y1802" s="52" t="n">
        <v>0</v>
      </c>
      <c r="Z1802" s="52" t="n">
        <v>0</v>
      </c>
      <c r="AA1802" s="52" t="n">
        <v>0</v>
      </c>
      <c r="AB1802" s="53" t="n">
        <v>0</v>
      </c>
      <c r="AC1802" s="52" t="n">
        <v>0</v>
      </c>
      <c r="AD1802" s="53" t="n">
        <v>0</v>
      </c>
      <c r="AE1802" s="52" t="n">
        <v>0</v>
      </c>
      <c r="AF1802" s="51" t="n">
        <v>0</v>
      </c>
      <c r="AG1802" s="48" t="n">
        <v>0</v>
      </c>
      <c r="AH1802" s="49" t="n">
        <v>0</v>
      </c>
      <c r="AI1802" s="49" t="n">
        <v>0</v>
      </c>
      <c r="AJ1802" s="50" t="n">
        <v>0</v>
      </c>
      <c r="AK1802" s="51" t="n">
        <v>0</v>
      </c>
      <c r="AL1802" s="52" t="n">
        <v>0</v>
      </c>
      <c r="AM1802" s="52" t="n">
        <v>0</v>
      </c>
      <c r="AN1802" s="52" t="n">
        <v>0</v>
      </c>
      <c r="AO1802" s="53" t="n">
        <v>0</v>
      </c>
      <c r="AP1802" s="52" t="n">
        <v>0</v>
      </c>
      <c r="AQ1802" s="53" t="n">
        <v>0</v>
      </c>
      <c r="AR1802" s="52" t="n">
        <v>0</v>
      </c>
      <c r="AS1802" s="51" t="n">
        <v>0</v>
      </c>
      <c r="AT1802" s="48" t="n">
        <v>0</v>
      </c>
      <c r="AU1802" s="49" t="n">
        <v>0</v>
      </c>
      <c r="AV1802" s="49" t="n">
        <v>0</v>
      </c>
      <c r="AW1802" s="50" t="n">
        <v>0</v>
      </c>
      <c r="AX1802" s="51" t="n">
        <v>0</v>
      </c>
      <c r="AY1802" s="52" t="n">
        <v>0</v>
      </c>
      <c r="AZ1802" s="52" t="n">
        <v>0</v>
      </c>
      <c r="BA1802" s="52" t="n">
        <v>0</v>
      </c>
      <c r="BB1802" s="53" t="n">
        <v>0</v>
      </c>
      <c r="BC1802" s="52" t="n">
        <v>0</v>
      </c>
      <c r="BD1802" s="53" t="n">
        <v>0</v>
      </c>
      <c r="BE1802" s="52" t="n">
        <v>0</v>
      </c>
      <c r="BF1802" s="51" t="n">
        <v>0</v>
      </c>
    </row>
    <row r="1803">
      <c r="A1803">
        <f>HYPERLINK("https://www.walmart.com/ip/13880208470", "13880208470")</f>
        <v/>
      </c>
      <c r="B1803" t="inlineStr">
        <is>
          <t>Every Day is Christmas Glass Blown Ornaments Cute Hand Made Figurines Tree Decoration, Sugar Skulls Set of 2</t>
        </is>
      </c>
      <c r="C1803" t="inlineStr">
        <is>
          <t>EDC-FIGURINE-WP262</t>
        </is>
      </c>
      <c r="D1803" t="inlineStr">
        <is>
          <t>Ornaments</t>
        </is>
      </c>
      <c r="E1803" t="inlineStr">
        <is>
          <t>Every Day is Christmas</t>
        </is>
      </c>
      <c r="G1803" s="48" t="n">
        <v>0</v>
      </c>
      <c r="H1803" s="49" t="n">
        <v>0</v>
      </c>
      <c r="I1803" s="49" t="n">
        <v>0</v>
      </c>
      <c r="J1803" s="50" t="n">
        <v>0</v>
      </c>
      <c r="K1803" s="51" t="n">
        <v>0</v>
      </c>
      <c r="L1803" s="52" t="n">
        <v>0</v>
      </c>
      <c r="M1803" s="52" t="n">
        <v>0</v>
      </c>
      <c r="N1803" s="52" t="n">
        <v>0</v>
      </c>
      <c r="O1803" s="53" t="n">
        <v>0</v>
      </c>
      <c r="P1803" s="52" t="n">
        <v>0</v>
      </c>
      <c r="Q1803" s="53" t="n">
        <v>0</v>
      </c>
      <c r="R1803" s="52" t="n">
        <v>0</v>
      </c>
      <c r="S1803" s="51" t="n">
        <v>0</v>
      </c>
      <c r="T1803" s="48" t="n">
        <v>0</v>
      </c>
      <c r="U1803" s="49" t="n">
        <v>0</v>
      </c>
      <c r="V1803" s="49" t="n">
        <v>0</v>
      </c>
      <c r="W1803" s="50" t="n">
        <v>0</v>
      </c>
      <c r="X1803" s="51" t="n">
        <v>0</v>
      </c>
      <c r="Y1803" s="52" t="n">
        <v>0</v>
      </c>
      <c r="Z1803" s="52" t="n">
        <v>0</v>
      </c>
      <c r="AA1803" s="52" t="n">
        <v>0</v>
      </c>
      <c r="AB1803" s="53" t="n">
        <v>0</v>
      </c>
      <c r="AC1803" s="52" t="n">
        <v>0</v>
      </c>
      <c r="AD1803" s="53" t="n">
        <v>0</v>
      </c>
      <c r="AE1803" s="52" t="n">
        <v>0</v>
      </c>
      <c r="AF1803" s="51" t="n">
        <v>0</v>
      </c>
      <c r="AG1803" s="48" t="n">
        <v>0</v>
      </c>
      <c r="AH1803" s="49" t="n">
        <v>0</v>
      </c>
      <c r="AI1803" s="49" t="n">
        <v>0</v>
      </c>
      <c r="AJ1803" s="50" t="n">
        <v>0</v>
      </c>
      <c r="AK1803" s="51" t="n">
        <v>0</v>
      </c>
      <c r="AL1803" s="52" t="n">
        <v>0</v>
      </c>
      <c r="AM1803" s="52" t="n">
        <v>0</v>
      </c>
      <c r="AN1803" s="52" t="n">
        <v>0</v>
      </c>
      <c r="AO1803" s="53" t="n">
        <v>0</v>
      </c>
      <c r="AP1803" s="52" t="n">
        <v>0</v>
      </c>
      <c r="AQ1803" s="53" t="n">
        <v>0</v>
      </c>
      <c r="AR1803" s="52" t="n">
        <v>0</v>
      </c>
      <c r="AS1803" s="51" t="n">
        <v>0</v>
      </c>
      <c r="AT1803" s="48" t="n">
        <v>0</v>
      </c>
      <c r="AU1803" s="49" t="n">
        <v>0</v>
      </c>
      <c r="AV1803" s="49" t="n">
        <v>0</v>
      </c>
      <c r="AW1803" s="50" t="n">
        <v>0</v>
      </c>
      <c r="AX1803" s="51" t="n">
        <v>0</v>
      </c>
      <c r="AY1803" s="52" t="n">
        <v>0</v>
      </c>
      <c r="AZ1803" s="52" t="n">
        <v>0</v>
      </c>
      <c r="BA1803" s="52" t="n">
        <v>0</v>
      </c>
      <c r="BB1803" s="53" t="n">
        <v>0</v>
      </c>
      <c r="BC1803" s="52" t="n">
        <v>0</v>
      </c>
      <c r="BD1803" s="53" t="n">
        <v>0</v>
      </c>
      <c r="BE1803" s="52" t="n">
        <v>0</v>
      </c>
      <c r="BF1803" s="51" t="n">
        <v>0</v>
      </c>
    </row>
    <row r="1804">
      <c r="A1804">
        <f>HYPERLINK("https://www.walmart.com/ip/13885267327", "13885267327")</f>
        <v/>
      </c>
      <c r="B1804" t="inlineStr">
        <is>
          <t>Tirrinia Wearable Heated Blanket for Adults Women Sherpa Christmas Thanksgiving Gift,Ultra Soft Comfy Warm Plush Full Body Throw with Sleeves for Reading Wrap, TV Blanket, Robe Cover</t>
        </is>
      </c>
      <c r="C1804" t="inlineStr">
        <is>
          <t>1TRSNH110CA</t>
        </is>
      </c>
      <c r="D1804" t="inlineStr">
        <is>
          <t>Throws</t>
        </is>
      </c>
      <c r="E1804" t="inlineStr">
        <is>
          <t>Tirrina</t>
        </is>
      </c>
      <c r="G1804" s="48" t="n">
        <v>0</v>
      </c>
      <c r="H1804" s="49" t="n">
        <v>0</v>
      </c>
      <c r="I1804" s="49" t="n">
        <v>0</v>
      </c>
      <c r="J1804" s="50" t="n">
        <v>0</v>
      </c>
      <c r="K1804" s="51" t="n">
        <v>0</v>
      </c>
      <c r="L1804" s="52" t="n">
        <v>0</v>
      </c>
      <c r="M1804" s="52" t="n">
        <v>0</v>
      </c>
      <c r="N1804" s="52" t="n">
        <v>0</v>
      </c>
      <c r="O1804" s="53" t="n">
        <v>0</v>
      </c>
      <c r="P1804" s="52" t="n">
        <v>0</v>
      </c>
      <c r="Q1804" s="53" t="n">
        <v>0</v>
      </c>
      <c r="R1804" s="52" t="n">
        <v>0</v>
      </c>
      <c r="S1804" s="51" t="n">
        <v>0</v>
      </c>
      <c r="T1804" s="48" t="n">
        <v>0</v>
      </c>
      <c r="U1804" s="49" t="n">
        <v>0</v>
      </c>
      <c r="V1804" s="49" t="n">
        <v>0</v>
      </c>
      <c r="W1804" s="50" t="n">
        <v>0</v>
      </c>
      <c r="X1804" s="51" t="n">
        <v>0</v>
      </c>
      <c r="Y1804" s="52" t="n">
        <v>0</v>
      </c>
      <c r="Z1804" s="52" t="n">
        <v>0</v>
      </c>
      <c r="AA1804" s="52" t="n">
        <v>0</v>
      </c>
      <c r="AB1804" s="53" t="n">
        <v>0</v>
      </c>
      <c r="AC1804" s="52" t="n">
        <v>0</v>
      </c>
      <c r="AD1804" s="53" t="n">
        <v>0</v>
      </c>
      <c r="AE1804" s="52" t="n">
        <v>0</v>
      </c>
      <c r="AF1804" s="51" t="n">
        <v>0</v>
      </c>
      <c r="AG1804" s="48" t="n">
        <v>0</v>
      </c>
      <c r="AH1804" s="49" t="n">
        <v>0</v>
      </c>
      <c r="AI1804" s="49" t="n">
        <v>0</v>
      </c>
      <c r="AJ1804" s="50" t="n">
        <v>0</v>
      </c>
      <c r="AK1804" s="51" t="n">
        <v>0</v>
      </c>
      <c r="AL1804" s="52" t="n">
        <v>0</v>
      </c>
      <c r="AM1804" s="52" t="n">
        <v>0</v>
      </c>
      <c r="AN1804" s="52" t="n">
        <v>0</v>
      </c>
      <c r="AO1804" s="53" t="n">
        <v>0</v>
      </c>
      <c r="AP1804" s="52" t="n">
        <v>0</v>
      </c>
      <c r="AQ1804" s="53" t="n">
        <v>0</v>
      </c>
      <c r="AR1804" s="52" t="n">
        <v>0</v>
      </c>
      <c r="AS1804" s="51" t="n">
        <v>0</v>
      </c>
      <c r="AT1804" s="48" t="n">
        <v>0</v>
      </c>
      <c r="AU1804" s="49" t="n">
        <v>0</v>
      </c>
      <c r="AV1804" s="49" t="n">
        <v>0</v>
      </c>
      <c r="AW1804" s="50" t="n">
        <v>0</v>
      </c>
      <c r="AX1804" s="51" t="n">
        <v>0</v>
      </c>
      <c r="AY1804" s="52" t="n">
        <v>0</v>
      </c>
      <c r="AZ1804" s="52" t="n">
        <v>0</v>
      </c>
      <c r="BA1804" s="52" t="n">
        <v>0</v>
      </c>
      <c r="BB1804" s="53" t="n">
        <v>0</v>
      </c>
      <c r="BC1804" s="52" t="n">
        <v>0</v>
      </c>
      <c r="BD1804" s="53" t="n">
        <v>0</v>
      </c>
      <c r="BE1804" s="52" t="n">
        <v>0</v>
      </c>
      <c r="BF1804" s="51" t="n">
        <v>0</v>
      </c>
    </row>
    <row r="1805">
      <c r="A1805">
        <f>HYPERLINK("https://www.walmart.com/ip/13886707079", "13886707079")</f>
        <v/>
      </c>
      <c r="B1805" t="inlineStr">
        <is>
          <t>Tirrinia Wearable Heated Blanket for Adults Women Sherpa Christmas Thanksgiving Gift,Ultra Soft Comfy Warm Plush Full Body Throw with Sleeves for Reading Wrap, TV Blanket, Robe Cover</t>
        </is>
      </c>
      <c r="C1805" t="inlineStr">
        <is>
          <t>1TRSNH110GY</t>
        </is>
      </c>
      <c r="D1805" t="inlineStr">
        <is>
          <t>Throws</t>
        </is>
      </c>
      <c r="E1805" t="inlineStr">
        <is>
          <t>Tirrina</t>
        </is>
      </c>
      <c r="G1805" s="48" t="n">
        <v>0</v>
      </c>
      <c r="H1805" s="49" t="n">
        <v>0</v>
      </c>
      <c r="I1805" s="49" t="n">
        <v>0</v>
      </c>
      <c r="J1805" s="50" t="n">
        <v>0</v>
      </c>
      <c r="K1805" s="51" t="n">
        <v>0</v>
      </c>
      <c r="L1805" s="52" t="n">
        <v>0</v>
      </c>
      <c r="M1805" s="52" t="n">
        <v>0</v>
      </c>
      <c r="N1805" s="52" t="n">
        <v>0</v>
      </c>
      <c r="O1805" s="53" t="n">
        <v>0</v>
      </c>
      <c r="P1805" s="52" t="n">
        <v>0</v>
      </c>
      <c r="Q1805" s="53" t="n">
        <v>0</v>
      </c>
      <c r="R1805" s="52" t="n">
        <v>0</v>
      </c>
      <c r="S1805" s="51" t="n">
        <v>0</v>
      </c>
      <c r="T1805" s="48" t="n">
        <v>0</v>
      </c>
      <c r="U1805" s="49" t="n">
        <v>0</v>
      </c>
      <c r="V1805" s="49" t="n">
        <v>0</v>
      </c>
      <c r="W1805" s="50" t="n">
        <v>0</v>
      </c>
      <c r="X1805" s="51" t="n">
        <v>0</v>
      </c>
      <c r="Y1805" s="52" t="n">
        <v>0</v>
      </c>
      <c r="Z1805" s="52" t="n">
        <v>0</v>
      </c>
      <c r="AA1805" s="52" t="n">
        <v>0</v>
      </c>
      <c r="AB1805" s="53" t="n">
        <v>0</v>
      </c>
      <c r="AC1805" s="52" t="n">
        <v>0</v>
      </c>
      <c r="AD1805" s="53" t="n">
        <v>0</v>
      </c>
      <c r="AE1805" s="52" t="n">
        <v>0</v>
      </c>
      <c r="AF1805" s="51" t="n">
        <v>0</v>
      </c>
      <c r="AG1805" s="48" t="n">
        <v>0</v>
      </c>
      <c r="AH1805" s="49" t="n">
        <v>0</v>
      </c>
      <c r="AI1805" s="49" t="n">
        <v>0</v>
      </c>
      <c r="AJ1805" s="50" t="n">
        <v>0</v>
      </c>
      <c r="AK1805" s="51" t="n">
        <v>0</v>
      </c>
      <c r="AL1805" s="52" t="n">
        <v>0</v>
      </c>
      <c r="AM1805" s="52" t="n">
        <v>0</v>
      </c>
      <c r="AN1805" s="52" t="n">
        <v>0</v>
      </c>
      <c r="AO1805" s="53" t="n">
        <v>0</v>
      </c>
      <c r="AP1805" s="52" t="n">
        <v>0</v>
      </c>
      <c r="AQ1805" s="53" t="n">
        <v>0</v>
      </c>
      <c r="AR1805" s="52" t="n">
        <v>0</v>
      </c>
      <c r="AS1805" s="51" t="n">
        <v>0</v>
      </c>
      <c r="AT1805" s="48" t="n">
        <v>0</v>
      </c>
      <c r="AU1805" s="49" t="n">
        <v>0</v>
      </c>
      <c r="AV1805" s="49" t="n">
        <v>0</v>
      </c>
      <c r="AW1805" s="50" t="n">
        <v>0</v>
      </c>
      <c r="AX1805" s="51" t="n">
        <v>0</v>
      </c>
      <c r="AY1805" s="52" t="n">
        <v>0</v>
      </c>
      <c r="AZ1805" s="52" t="n">
        <v>0</v>
      </c>
      <c r="BA1805" s="52" t="n">
        <v>0</v>
      </c>
      <c r="BB1805" s="53" t="n">
        <v>0</v>
      </c>
      <c r="BC1805" s="52" t="n">
        <v>0</v>
      </c>
      <c r="BD1805" s="53" t="n">
        <v>0</v>
      </c>
      <c r="BE1805" s="52" t="n">
        <v>0</v>
      </c>
      <c r="BF1805" s="51" t="n">
        <v>0</v>
      </c>
    </row>
    <row r="1806">
      <c r="A1806">
        <f>HYPERLINK("https://www.walmart.com/ip/13886865858", "13886865858")</f>
        <v/>
      </c>
      <c r="B1806" t="inlineStr">
        <is>
          <t>Every Day is Christmas Glass Blown Ornaments Cute Hand Made Figurines Tree Decoration, Cocktail Set of 3</t>
        </is>
      </c>
      <c r="C1806" t="inlineStr">
        <is>
          <t>EDC-FIGURINE-BC335</t>
        </is>
      </c>
      <c r="D1806" t="inlineStr">
        <is>
          <t>Ornaments</t>
        </is>
      </c>
      <c r="E1806" t="inlineStr">
        <is>
          <t>Every Day is Christmas</t>
        </is>
      </c>
      <c r="G1806" s="48" t="n">
        <v>0</v>
      </c>
      <c r="H1806" s="49" t="n">
        <v>0</v>
      </c>
      <c r="I1806" s="49" t="n">
        <v>0</v>
      </c>
      <c r="J1806" s="50" t="n">
        <v>0</v>
      </c>
      <c r="K1806" s="51" t="n">
        <v>0</v>
      </c>
      <c r="L1806" s="52" t="n">
        <v>0</v>
      </c>
      <c r="M1806" s="52" t="n">
        <v>0</v>
      </c>
      <c r="N1806" s="52" t="n">
        <v>0</v>
      </c>
      <c r="O1806" s="53" t="n">
        <v>0</v>
      </c>
      <c r="P1806" s="52" t="n">
        <v>0</v>
      </c>
      <c r="Q1806" s="53" t="n">
        <v>0</v>
      </c>
      <c r="R1806" s="52" t="n">
        <v>0</v>
      </c>
      <c r="S1806" s="51" t="n">
        <v>0</v>
      </c>
      <c r="T1806" s="48" t="n">
        <v>0</v>
      </c>
      <c r="U1806" s="49" t="n">
        <v>0</v>
      </c>
      <c r="V1806" s="49" t="n">
        <v>0</v>
      </c>
      <c r="W1806" s="50" t="n">
        <v>0</v>
      </c>
      <c r="X1806" s="51" t="n">
        <v>0</v>
      </c>
      <c r="Y1806" s="52" t="n">
        <v>0</v>
      </c>
      <c r="Z1806" s="52" t="n">
        <v>0</v>
      </c>
      <c r="AA1806" s="52" t="n">
        <v>0</v>
      </c>
      <c r="AB1806" s="53" t="n">
        <v>0</v>
      </c>
      <c r="AC1806" s="52" t="n">
        <v>0</v>
      </c>
      <c r="AD1806" s="53" t="n">
        <v>0</v>
      </c>
      <c r="AE1806" s="52" t="n">
        <v>0</v>
      </c>
      <c r="AF1806" s="51" t="n">
        <v>0</v>
      </c>
      <c r="AG1806" s="48" t="n">
        <v>0</v>
      </c>
      <c r="AH1806" s="49" t="n">
        <v>0</v>
      </c>
      <c r="AI1806" s="49" t="n">
        <v>0</v>
      </c>
      <c r="AJ1806" s="50" t="n">
        <v>0</v>
      </c>
      <c r="AK1806" s="51" t="n">
        <v>0</v>
      </c>
      <c r="AL1806" s="52" t="n">
        <v>0</v>
      </c>
      <c r="AM1806" s="52" t="n">
        <v>0</v>
      </c>
      <c r="AN1806" s="52" t="n">
        <v>0</v>
      </c>
      <c r="AO1806" s="53" t="n">
        <v>0</v>
      </c>
      <c r="AP1806" s="52" t="n">
        <v>0</v>
      </c>
      <c r="AQ1806" s="53" t="n">
        <v>0</v>
      </c>
      <c r="AR1806" s="52" t="n">
        <v>0</v>
      </c>
      <c r="AS1806" s="51" t="n">
        <v>0</v>
      </c>
      <c r="AT1806" s="48" t="n">
        <v>0</v>
      </c>
      <c r="AU1806" s="49" t="n">
        <v>0</v>
      </c>
      <c r="AV1806" s="49" t="n">
        <v>0</v>
      </c>
      <c r="AW1806" s="50" t="n">
        <v>0</v>
      </c>
      <c r="AX1806" s="51" t="n">
        <v>0</v>
      </c>
      <c r="AY1806" s="52" t="n">
        <v>0</v>
      </c>
      <c r="AZ1806" s="52" t="n">
        <v>0</v>
      </c>
      <c r="BA1806" s="52" t="n">
        <v>0</v>
      </c>
      <c r="BB1806" s="53" t="n">
        <v>0</v>
      </c>
      <c r="BC1806" s="52" t="n">
        <v>0</v>
      </c>
      <c r="BD1806" s="53" t="n">
        <v>0</v>
      </c>
      <c r="BE1806" s="52" t="n">
        <v>0</v>
      </c>
      <c r="BF1806" s="51" t="n">
        <v>0</v>
      </c>
    </row>
    <row r="1807">
      <c r="A1807">
        <f>HYPERLINK("https://www.walmart.com/ip/13888814949", "13888814949")</f>
        <v/>
      </c>
      <c r="B1807" t="inlineStr">
        <is>
          <t>Every Day is Christmas Glass Blown Ornaments Cute Hand Made Figurines Tree Decoration, Roller Skates Set of 2</t>
        </is>
      </c>
      <c r="C1807" t="inlineStr">
        <is>
          <t>EDC-FIGURINE-WP266</t>
        </is>
      </c>
      <c r="D1807" t="inlineStr">
        <is>
          <t>Ornaments</t>
        </is>
      </c>
      <c r="E1807" t="inlineStr">
        <is>
          <t>Every Day is Christmas</t>
        </is>
      </c>
      <c r="G1807" s="48" t="n">
        <v>0</v>
      </c>
      <c r="H1807" s="49" t="n">
        <v>0</v>
      </c>
      <c r="I1807" s="49" t="n">
        <v>0</v>
      </c>
      <c r="J1807" s="50" t="n">
        <v>0</v>
      </c>
      <c r="K1807" s="51" t="n">
        <v>0</v>
      </c>
      <c r="L1807" s="52" t="n">
        <v>0</v>
      </c>
      <c r="M1807" s="52" t="n">
        <v>0</v>
      </c>
      <c r="N1807" s="52" t="n">
        <v>0</v>
      </c>
      <c r="O1807" s="53" t="n">
        <v>0</v>
      </c>
      <c r="P1807" s="52" t="n">
        <v>0</v>
      </c>
      <c r="Q1807" s="53" t="n">
        <v>0</v>
      </c>
      <c r="R1807" s="52" t="n">
        <v>0</v>
      </c>
      <c r="S1807" s="51" t="n">
        <v>0</v>
      </c>
      <c r="T1807" s="48" t="n">
        <v>0</v>
      </c>
      <c r="U1807" s="49" t="n">
        <v>0</v>
      </c>
      <c r="V1807" s="49" t="n">
        <v>0</v>
      </c>
      <c r="W1807" s="50" t="n">
        <v>0</v>
      </c>
      <c r="X1807" s="51" t="n">
        <v>0</v>
      </c>
      <c r="Y1807" s="52" t="n">
        <v>0</v>
      </c>
      <c r="Z1807" s="52" t="n">
        <v>0</v>
      </c>
      <c r="AA1807" s="52" t="n">
        <v>0</v>
      </c>
      <c r="AB1807" s="53" t="n">
        <v>0</v>
      </c>
      <c r="AC1807" s="52" t="n">
        <v>0</v>
      </c>
      <c r="AD1807" s="53" t="n">
        <v>0</v>
      </c>
      <c r="AE1807" s="52" t="n">
        <v>0</v>
      </c>
      <c r="AF1807" s="51" t="n">
        <v>0</v>
      </c>
      <c r="AG1807" s="48" t="n">
        <v>0</v>
      </c>
      <c r="AH1807" s="49" t="n">
        <v>0</v>
      </c>
      <c r="AI1807" s="49" t="n">
        <v>0</v>
      </c>
      <c r="AJ1807" s="50" t="n">
        <v>0</v>
      </c>
      <c r="AK1807" s="51" t="n">
        <v>0</v>
      </c>
      <c r="AL1807" s="52" t="n">
        <v>0</v>
      </c>
      <c r="AM1807" s="52" t="n">
        <v>0</v>
      </c>
      <c r="AN1807" s="52" t="n">
        <v>0</v>
      </c>
      <c r="AO1807" s="53" t="n">
        <v>0</v>
      </c>
      <c r="AP1807" s="52" t="n">
        <v>0</v>
      </c>
      <c r="AQ1807" s="53" t="n">
        <v>0</v>
      </c>
      <c r="AR1807" s="52" t="n">
        <v>0</v>
      </c>
      <c r="AS1807" s="51" t="n">
        <v>0</v>
      </c>
      <c r="AT1807" s="48" t="n">
        <v>0</v>
      </c>
      <c r="AU1807" s="49" t="n">
        <v>0</v>
      </c>
      <c r="AV1807" s="49" t="n">
        <v>0</v>
      </c>
      <c r="AW1807" s="50" t="n">
        <v>0</v>
      </c>
      <c r="AX1807" s="51" t="n">
        <v>0</v>
      </c>
      <c r="AY1807" s="52" t="n">
        <v>0</v>
      </c>
      <c r="AZ1807" s="52" t="n">
        <v>0</v>
      </c>
      <c r="BA1807" s="52" t="n">
        <v>0</v>
      </c>
      <c r="BB1807" s="53" t="n">
        <v>0</v>
      </c>
      <c r="BC1807" s="52" t="n">
        <v>0</v>
      </c>
      <c r="BD1807" s="53" t="n">
        <v>0</v>
      </c>
      <c r="BE1807" s="52" t="n">
        <v>0</v>
      </c>
      <c r="BF1807" s="51" t="n">
        <v>0</v>
      </c>
    </row>
    <row r="1808">
      <c r="A1808">
        <f>HYPERLINK("https://www.walmart.com/ip/13890368369", "13890368369")</f>
        <v/>
      </c>
      <c r="B1808" t="inlineStr">
        <is>
          <t>Tirrinia Wearable Heated Blanket for Adults Women Sherpa Christmas Thanksgiving Gift,Ultra Soft Comfy Warm Plush Full Body Throw with Sleeves for Reading Wrap, TV Blanket, Robe Cover</t>
        </is>
      </c>
      <c r="C1808" t="inlineStr">
        <is>
          <t>1TRSNH110BL</t>
        </is>
      </c>
      <c r="D1808" t="inlineStr">
        <is>
          <t>Throws</t>
        </is>
      </c>
      <c r="E1808" t="inlineStr">
        <is>
          <t>Tirrina</t>
        </is>
      </c>
      <c r="G1808" s="48" t="n">
        <v>0</v>
      </c>
      <c r="H1808" s="49" t="n">
        <v>0</v>
      </c>
      <c r="I1808" s="49" t="n">
        <v>0</v>
      </c>
      <c r="J1808" s="50" t="n">
        <v>0</v>
      </c>
      <c r="K1808" s="51" t="n">
        <v>0</v>
      </c>
      <c r="L1808" s="52" t="n">
        <v>0</v>
      </c>
      <c r="M1808" s="52" t="n">
        <v>0</v>
      </c>
      <c r="N1808" s="52" t="n">
        <v>0</v>
      </c>
      <c r="O1808" s="53" t="n">
        <v>0</v>
      </c>
      <c r="P1808" s="52" t="n">
        <v>0</v>
      </c>
      <c r="Q1808" s="53" t="n">
        <v>0</v>
      </c>
      <c r="R1808" s="52" t="n">
        <v>0</v>
      </c>
      <c r="S1808" s="51" t="n">
        <v>0</v>
      </c>
      <c r="T1808" s="48" t="n">
        <v>0</v>
      </c>
      <c r="U1808" s="49" t="n">
        <v>0</v>
      </c>
      <c r="V1808" s="49" t="n">
        <v>0</v>
      </c>
      <c r="W1808" s="50" t="n">
        <v>0</v>
      </c>
      <c r="X1808" s="51" t="n">
        <v>0</v>
      </c>
      <c r="Y1808" s="52" t="n">
        <v>0</v>
      </c>
      <c r="Z1808" s="52" t="n">
        <v>0</v>
      </c>
      <c r="AA1808" s="52" t="n">
        <v>0</v>
      </c>
      <c r="AB1808" s="53" t="n">
        <v>0</v>
      </c>
      <c r="AC1808" s="52" t="n">
        <v>0</v>
      </c>
      <c r="AD1808" s="53" t="n">
        <v>0</v>
      </c>
      <c r="AE1808" s="52" t="n">
        <v>0</v>
      </c>
      <c r="AF1808" s="51" t="n">
        <v>0</v>
      </c>
      <c r="AG1808" s="48" t="n">
        <v>0</v>
      </c>
      <c r="AH1808" s="49" t="n">
        <v>0</v>
      </c>
      <c r="AI1808" s="49" t="n">
        <v>0</v>
      </c>
      <c r="AJ1808" s="50" t="n">
        <v>0</v>
      </c>
      <c r="AK1808" s="51" t="n">
        <v>0</v>
      </c>
      <c r="AL1808" s="52" t="n">
        <v>0</v>
      </c>
      <c r="AM1808" s="52" t="n">
        <v>0</v>
      </c>
      <c r="AN1808" s="52" t="n">
        <v>0</v>
      </c>
      <c r="AO1808" s="53" t="n">
        <v>0</v>
      </c>
      <c r="AP1808" s="52" t="n">
        <v>0</v>
      </c>
      <c r="AQ1808" s="53" t="n">
        <v>0</v>
      </c>
      <c r="AR1808" s="52" t="n">
        <v>0</v>
      </c>
      <c r="AS1808" s="51" t="n">
        <v>0</v>
      </c>
      <c r="AT1808" s="48" t="n">
        <v>0</v>
      </c>
      <c r="AU1808" s="49" t="n">
        <v>0</v>
      </c>
      <c r="AV1808" s="49" t="n">
        <v>0</v>
      </c>
      <c r="AW1808" s="50" t="n">
        <v>0</v>
      </c>
      <c r="AX1808" s="51" t="n">
        <v>0</v>
      </c>
      <c r="AY1808" s="52" t="n">
        <v>0</v>
      </c>
      <c r="AZ1808" s="52" t="n">
        <v>0</v>
      </c>
      <c r="BA1808" s="52" t="n">
        <v>0</v>
      </c>
      <c r="BB1808" s="53" t="n">
        <v>0</v>
      </c>
      <c r="BC1808" s="52" t="n">
        <v>0</v>
      </c>
      <c r="BD1808" s="53" t="n">
        <v>0</v>
      </c>
      <c r="BE1808" s="52" t="n">
        <v>0</v>
      </c>
      <c r="BF1808" s="51" t="n">
        <v>0</v>
      </c>
    </row>
    <row r="1809">
      <c r="A1809">
        <f>HYPERLINK("https://www.walmart.com/ip/13891403646", "13891403646")</f>
        <v/>
      </c>
      <c r="B1809" t="inlineStr">
        <is>
          <t>Every Day is Christmas Glass Blown Ornaments Cute Hand Made Figurines Tree Decoration, Peanut Butter, Jelly Figurine Set of 2</t>
        </is>
      </c>
      <c r="C1809" t="inlineStr">
        <is>
          <t>EDC-FIGURINE-WP300</t>
        </is>
      </c>
      <c r="D1809" t="inlineStr">
        <is>
          <t>Ornaments</t>
        </is>
      </c>
      <c r="E1809" t="inlineStr">
        <is>
          <t>Every Day is Christmas</t>
        </is>
      </c>
      <c r="G1809" s="48" t="n">
        <v>0</v>
      </c>
      <c r="H1809" s="49" t="n">
        <v>0</v>
      </c>
      <c r="I1809" s="49" t="n">
        <v>0</v>
      </c>
      <c r="J1809" s="50" t="n">
        <v>0</v>
      </c>
      <c r="K1809" s="51" t="n">
        <v>0</v>
      </c>
      <c r="L1809" s="52" t="n">
        <v>0</v>
      </c>
      <c r="M1809" s="52" t="n">
        <v>0</v>
      </c>
      <c r="N1809" s="52" t="n">
        <v>0</v>
      </c>
      <c r="O1809" s="53" t="n">
        <v>0</v>
      </c>
      <c r="P1809" s="52" t="n">
        <v>0</v>
      </c>
      <c r="Q1809" s="53" t="n">
        <v>0</v>
      </c>
      <c r="R1809" s="52" t="n">
        <v>0</v>
      </c>
      <c r="S1809" s="51" t="n">
        <v>0</v>
      </c>
      <c r="T1809" s="48" t="n">
        <v>0</v>
      </c>
      <c r="U1809" s="49" t="n">
        <v>0</v>
      </c>
      <c r="V1809" s="49" t="n">
        <v>0</v>
      </c>
      <c r="W1809" s="50" t="n">
        <v>0</v>
      </c>
      <c r="X1809" s="51" t="n">
        <v>0</v>
      </c>
      <c r="Y1809" s="52" t="n">
        <v>0</v>
      </c>
      <c r="Z1809" s="52" t="n">
        <v>0</v>
      </c>
      <c r="AA1809" s="52" t="n">
        <v>0</v>
      </c>
      <c r="AB1809" s="53" t="n">
        <v>0</v>
      </c>
      <c r="AC1809" s="52" t="n">
        <v>0</v>
      </c>
      <c r="AD1809" s="53" t="n">
        <v>0</v>
      </c>
      <c r="AE1809" s="52" t="n">
        <v>0</v>
      </c>
      <c r="AF1809" s="51" t="n">
        <v>0</v>
      </c>
      <c r="AG1809" s="48" t="n">
        <v>0</v>
      </c>
      <c r="AH1809" s="49" t="n">
        <v>0</v>
      </c>
      <c r="AI1809" s="49" t="n">
        <v>0</v>
      </c>
      <c r="AJ1809" s="50" t="n">
        <v>0</v>
      </c>
      <c r="AK1809" s="51" t="n">
        <v>0</v>
      </c>
      <c r="AL1809" s="52" t="n">
        <v>0</v>
      </c>
      <c r="AM1809" s="52" t="n">
        <v>0</v>
      </c>
      <c r="AN1809" s="52" t="n">
        <v>0</v>
      </c>
      <c r="AO1809" s="53" t="n">
        <v>0</v>
      </c>
      <c r="AP1809" s="52" t="n">
        <v>0</v>
      </c>
      <c r="AQ1809" s="53" t="n">
        <v>0</v>
      </c>
      <c r="AR1809" s="52" t="n">
        <v>0</v>
      </c>
      <c r="AS1809" s="51" t="n">
        <v>0</v>
      </c>
      <c r="AT1809" s="48" t="n">
        <v>0</v>
      </c>
      <c r="AU1809" s="49" t="n">
        <v>0</v>
      </c>
      <c r="AV1809" s="49" t="n">
        <v>0</v>
      </c>
      <c r="AW1809" s="50" t="n">
        <v>0</v>
      </c>
      <c r="AX1809" s="51" t="n">
        <v>0</v>
      </c>
      <c r="AY1809" s="52" t="n">
        <v>0</v>
      </c>
      <c r="AZ1809" s="52" t="n">
        <v>0</v>
      </c>
      <c r="BA1809" s="52" t="n">
        <v>0</v>
      </c>
      <c r="BB1809" s="53" t="n">
        <v>0</v>
      </c>
      <c r="BC1809" s="52" t="n">
        <v>0</v>
      </c>
      <c r="BD1809" s="53" t="n">
        <v>0</v>
      </c>
      <c r="BE1809" s="52" t="n">
        <v>0</v>
      </c>
      <c r="BF1809" s="51" t="n">
        <v>0</v>
      </c>
    </row>
    <row r="1810">
      <c r="A1810">
        <f>HYPERLINK("https://www.walmart.com/ip/13893806356", "13893806356")</f>
        <v/>
      </c>
      <c r="B1810" t="inlineStr">
        <is>
          <t>Every Day is Christmas Glass Blown Ornaments Cute Hand Made Figurines Tree Decoration, Parrots Set of 2</t>
        </is>
      </c>
      <c r="C1810" t="inlineStr">
        <is>
          <t>EDC-FIGURINE-WP274</t>
        </is>
      </c>
      <c r="D1810" t="inlineStr">
        <is>
          <t>Ornaments</t>
        </is>
      </c>
      <c r="E1810" t="inlineStr">
        <is>
          <t>Every Day is Christmas</t>
        </is>
      </c>
      <c r="G1810" s="48" t="n">
        <v>0</v>
      </c>
      <c r="H1810" s="49" t="n">
        <v>0</v>
      </c>
      <c r="I1810" s="49" t="n">
        <v>0</v>
      </c>
      <c r="J1810" s="50" t="n">
        <v>0</v>
      </c>
      <c r="K1810" s="51" t="n">
        <v>0</v>
      </c>
      <c r="L1810" s="52" t="n">
        <v>0</v>
      </c>
      <c r="M1810" s="52" t="n">
        <v>0</v>
      </c>
      <c r="N1810" s="52" t="n">
        <v>0</v>
      </c>
      <c r="O1810" s="53" t="n">
        <v>0</v>
      </c>
      <c r="P1810" s="52" t="n">
        <v>0</v>
      </c>
      <c r="Q1810" s="53" t="n">
        <v>0</v>
      </c>
      <c r="R1810" s="52" t="n">
        <v>0</v>
      </c>
      <c r="S1810" s="51" t="n">
        <v>0</v>
      </c>
      <c r="T1810" s="48" t="n">
        <v>0</v>
      </c>
      <c r="U1810" s="49" t="n">
        <v>0</v>
      </c>
      <c r="V1810" s="49" t="n">
        <v>0</v>
      </c>
      <c r="W1810" s="50" t="n">
        <v>0</v>
      </c>
      <c r="X1810" s="51" t="n">
        <v>0</v>
      </c>
      <c r="Y1810" s="52" t="n">
        <v>0</v>
      </c>
      <c r="Z1810" s="52" t="n">
        <v>0</v>
      </c>
      <c r="AA1810" s="52" t="n">
        <v>0</v>
      </c>
      <c r="AB1810" s="53" t="n">
        <v>0</v>
      </c>
      <c r="AC1810" s="52" t="n">
        <v>0</v>
      </c>
      <c r="AD1810" s="53" t="n">
        <v>0</v>
      </c>
      <c r="AE1810" s="52" t="n">
        <v>0</v>
      </c>
      <c r="AF1810" s="51" t="n">
        <v>0</v>
      </c>
      <c r="AG1810" s="48" t="n">
        <v>0</v>
      </c>
      <c r="AH1810" s="49" t="n">
        <v>0</v>
      </c>
      <c r="AI1810" s="49" t="n">
        <v>0</v>
      </c>
      <c r="AJ1810" s="50" t="n">
        <v>0</v>
      </c>
      <c r="AK1810" s="51" t="n">
        <v>0</v>
      </c>
      <c r="AL1810" s="52" t="n">
        <v>0</v>
      </c>
      <c r="AM1810" s="52" t="n">
        <v>0</v>
      </c>
      <c r="AN1810" s="52" t="n">
        <v>0</v>
      </c>
      <c r="AO1810" s="53" t="n">
        <v>0</v>
      </c>
      <c r="AP1810" s="52" t="n">
        <v>0</v>
      </c>
      <c r="AQ1810" s="53" t="n">
        <v>0</v>
      </c>
      <c r="AR1810" s="52" t="n">
        <v>0</v>
      </c>
      <c r="AS1810" s="51" t="n">
        <v>0</v>
      </c>
      <c r="AT1810" s="48" t="n">
        <v>0</v>
      </c>
      <c r="AU1810" s="49" t="n">
        <v>0</v>
      </c>
      <c r="AV1810" s="49" t="n">
        <v>0</v>
      </c>
      <c r="AW1810" s="50" t="n">
        <v>0</v>
      </c>
      <c r="AX1810" s="51" t="n">
        <v>0</v>
      </c>
      <c r="AY1810" s="52" t="n">
        <v>0</v>
      </c>
      <c r="AZ1810" s="52" t="n">
        <v>0</v>
      </c>
      <c r="BA1810" s="52" t="n">
        <v>0</v>
      </c>
      <c r="BB1810" s="53" t="n">
        <v>0</v>
      </c>
      <c r="BC1810" s="52" t="n">
        <v>0</v>
      </c>
      <c r="BD1810" s="53" t="n">
        <v>0</v>
      </c>
      <c r="BE1810" s="52" t="n">
        <v>0</v>
      </c>
      <c r="BF1810" s="51" t="n">
        <v>0</v>
      </c>
    </row>
    <row r="1811">
      <c r="A1811">
        <f>HYPERLINK("https://www.walmart.com/ip/13893906281", "13893906281")</f>
        <v/>
      </c>
      <c r="B1811" t="inlineStr">
        <is>
          <t>Every Day is Christmas Glass Blown Ornaments Cute Hand Made Figurines Tree Decoration, Cheese Set of 2</t>
        </is>
      </c>
      <c r="C1811" t="inlineStr">
        <is>
          <t>EDC-FIGURINE-WP296</t>
        </is>
      </c>
      <c r="D1811" t="inlineStr">
        <is>
          <t>Ornaments</t>
        </is>
      </c>
      <c r="E1811" t="inlineStr">
        <is>
          <t>Every Day is Christmas</t>
        </is>
      </c>
      <c r="G1811" s="48" t="n">
        <v>0</v>
      </c>
      <c r="H1811" s="49" t="n">
        <v>0</v>
      </c>
      <c r="I1811" s="49" t="n">
        <v>0</v>
      </c>
      <c r="J1811" s="50" t="n">
        <v>0</v>
      </c>
      <c r="K1811" s="51" t="n">
        <v>0</v>
      </c>
      <c r="L1811" s="52" t="n">
        <v>0</v>
      </c>
      <c r="M1811" s="52" t="n">
        <v>0</v>
      </c>
      <c r="N1811" s="52" t="n">
        <v>0</v>
      </c>
      <c r="O1811" s="53" t="n">
        <v>0</v>
      </c>
      <c r="P1811" s="52" t="n">
        <v>0</v>
      </c>
      <c r="Q1811" s="53" t="n">
        <v>0</v>
      </c>
      <c r="R1811" s="52" t="n">
        <v>0</v>
      </c>
      <c r="S1811" s="51" t="n">
        <v>0</v>
      </c>
      <c r="T1811" s="48" t="n">
        <v>0</v>
      </c>
      <c r="U1811" s="49" t="n">
        <v>0</v>
      </c>
      <c r="V1811" s="49" t="n">
        <v>0</v>
      </c>
      <c r="W1811" s="50" t="n">
        <v>0</v>
      </c>
      <c r="X1811" s="51" t="n">
        <v>0</v>
      </c>
      <c r="Y1811" s="52" t="n">
        <v>0</v>
      </c>
      <c r="Z1811" s="52" t="n">
        <v>0</v>
      </c>
      <c r="AA1811" s="52" t="n">
        <v>0</v>
      </c>
      <c r="AB1811" s="53" t="n">
        <v>0</v>
      </c>
      <c r="AC1811" s="52" t="n">
        <v>0</v>
      </c>
      <c r="AD1811" s="53" t="n">
        <v>0</v>
      </c>
      <c r="AE1811" s="52" t="n">
        <v>0</v>
      </c>
      <c r="AF1811" s="51" t="n">
        <v>0</v>
      </c>
      <c r="AG1811" s="48" t="n">
        <v>0</v>
      </c>
      <c r="AH1811" s="49" t="n">
        <v>0</v>
      </c>
      <c r="AI1811" s="49" t="n">
        <v>0</v>
      </c>
      <c r="AJ1811" s="50" t="n">
        <v>0</v>
      </c>
      <c r="AK1811" s="51" t="n">
        <v>0</v>
      </c>
      <c r="AL1811" s="52" t="n">
        <v>0</v>
      </c>
      <c r="AM1811" s="52" t="n">
        <v>0</v>
      </c>
      <c r="AN1811" s="52" t="n">
        <v>0</v>
      </c>
      <c r="AO1811" s="53" t="n">
        <v>0</v>
      </c>
      <c r="AP1811" s="52" t="n">
        <v>0</v>
      </c>
      <c r="AQ1811" s="53" t="n">
        <v>0</v>
      </c>
      <c r="AR1811" s="52" t="n">
        <v>0</v>
      </c>
      <c r="AS1811" s="51" t="n">
        <v>0</v>
      </c>
      <c r="AT1811" s="48" t="n">
        <v>0</v>
      </c>
      <c r="AU1811" s="49" t="n">
        <v>0</v>
      </c>
      <c r="AV1811" s="49" t="n">
        <v>0</v>
      </c>
      <c r="AW1811" s="50" t="n">
        <v>0</v>
      </c>
      <c r="AX1811" s="51" t="n">
        <v>0</v>
      </c>
      <c r="AY1811" s="52" t="n">
        <v>0</v>
      </c>
      <c r="AZ1811" s="52" t="n">
        <v>0</v>
      </c>
      <c r="BA1811" s="52" t="n">
        <v>0</v>
      </c>
      <c r="BB1811" s="53" t="n">
        <v>0</v>
      </c>
      <c r="BC1811" s="52" t="n">
        <v>0</v>
      </c>
      <c r="BD1811" s="53" t="n">
        <v>0</v>
      </c>
      <c r="BE1811" s="52" t="n">
        <v>0</v>
      </c>
      <c r="BF1811" s="51" t="n">
        <v>0</v>
      </c>
    </row>
    <row r="1812">
      <c r="A1812">
        <f>HYPERLINK("https://www.walmart.com/ip/138956814", "138956814")</f>
        <v/>
      </c>
      <c r="B1812" t="inlineStr">
        <is>
          <t>Expandable Insulated Lunch Bag, Leakproof Lunch Cooler Tote for Men and Women, Suitable for Work &amp; Office</t>
        </is>
      </c>
      <c r="C1812" t="inlineStr">
        <is>
          <t>1KTLB110DGY</t>
        </is>
      </c>
      <c r="D1812" t="inlineStr">
        <is>
          <t>Reusable Lunch Bags &amp; Boxes</t>
        </is>
      </c>
      <c r="E1812" t="inlineStr">
        <is>
          <t>Kato</t>
        </is>
      </c>
      <c r="F1812" t="inlineStr">
        <is>
          <t>Lunch Bag,Optimized,Lunch Bags,SEM</t>
        </is>
      </c>
      <c r="G1812" s="48" t="n">
        <v>0</v>
      </c>
      <c r="H1812" s="49" t="n">
        <v>0</v>
      </c>
      <c r="I1812" s="49" t="n">
        <v>0</v>
      </c>
      <c r="J1812" s="50" t="n">
        <v>0</v>
      </c>
      <c r="K1812" s="51" t="n">
        <v>0</v>
      </c>
      <c r="L1812" s="52" t="n">
        <v>0</v>
      </c>
      <c r="M1812" s="52" t="n">
        <v>0</v>
      </c>
      <c r="N1812" s="52" t="n">
        <v>0</v>
      </c>
      <c r="O1812" s="53" t="n">
        <v>0</v>
      </c>
      <c r="P1812" s="52" t="n">
        <v>0</v>
      </c>
      <c r="Q1812" s="53" t="n">
        <v>0</v>
      </c>
      <c r="R1812" s="52" t="n">
        <v>0</v>
      </c>
      <c r="S1812" s="51" t="n">
        <v>0</v>
      </c>
      <c r="T1812" s="48" t="n">
        <v>0</v>
      </c>
      <c r="U1812" s="49" t="n">
        <v>0</v>
      </c>
      <c r="V1812" s="49" t="n">
        <v>0</v>
      </c>
      <c r="W1812" s="50" t="n">
        <v>0</v>
      </c>
      <c r="X1812" s="51" t="n">
        <v>0</v>
      </c>
      <c r="Y1812" s="52" t="n">
        <v>0</v>
      </c>
      <c r="Z1812" s="52" t="n">
        <v>0</v>
      </c>
      <c r="AA1812" s="52" t="n">
        <v>0</v>
      </c>
      <c r="AB1812" s="53" t="n">
        <v>0</v>
      </c>
      <c r="AC1812" s="52" t="n">
        <v>0</v>
      </c>
      <c r="AD1812" s="53" t="n">
        <v>0</v>
      </c>
      <c r="AE1812" s="52" t="n">
        <v>0</v>
      </c>
      <c r="AF1812" s="51" t="n">
        <v>0</v>
      </c>
      <c r="AG1812" s="48" t="n">
        <v>0</v>
      </c>
      <c r="AH1812" s="49" t="n">
        <v>0</v>
      </c>
      <c r="AI1812" s="49" t="n">
        <v>0</v>
      </c>
      <c r="AJ1812" s="50" t="n">
        <v>0</v>
      </c>
      <c r="AK1812" s="51" t="n">
        <v>0</v>
      </c>
      <c r="AL1812" s="52" t="n">
        <v>0</v>
      </c>
      <c r="AM1812" s="52" t="n">
        <v>0</v>
      </c>
      <c r="AN1812" s="52" t="n">
        <v>0</v>
      </c>
      <c r="AO1812" s="53" t="n">
        <v>0</v>
      </c>
      <c r="AP1812" s="52" t="n">
        <v>0</v>
      </c>
      <c r="AQ1812" s="53" t="n">
        <v>0</v>
      </c>
      <c r="AR1812" s="52" t="n">
        <v>0</v>
      </c>
      <c r="AS1812" s="51" t="n">
        <v>0</v>
      </c>
      <c r="AT1812" s="48" t="n">
        <v>0</v>
      </c>
      <c r="AU1812" s="49" t="n">
        <v>0</v>
      </c>
      <c r="AV1812" s="49" t="n">
        <v>0</v>
      </c>
      <c r="AW1812" s="50" t="n">
        <v>0</v>
      </c>
      <c r="AX1812" s="51" t="n">
        <v>0</v>
      </c>
      <c r="AY1812" s="52" t="n">
        <v>0</v>
      </c>
      <c r="AZ1812" s="52" t="n">
        <v>0</v>
      </c>
      <c r="BA1812" s="52" t="n">
        <v>0</v>
      </c>
      <c r="BB1812" s="53" t="n">
        <v>0</v>
      </c>
      <c r="BC1812" s="52" t="n">
        <v>0</v>
      </c>
      <c r="BD1812" s="53" t="n">
        <v>0</v>
      </c>
      <c r="BE1812" s="52" t="n">
        <v>0</v>
      </c>
      <c r="BF1812" s="51" t="n">
        <v>0</v>
      </c>
    </row>
    <row r="1813">
      <c r="A1813">
        <f>HYPERLINK("https://www.walmart.com/ip/1390053219", "1390053219")</f>
        <v/>
      </c>
      <c r="B1813" t="inlineStr">
        <is>
          <t>Tirrinia Insulated Lunch Bag for Women Men, Leakproof Thermal Reusable Lunch Box for Adult &amp; Kids, Lunch Cooler Tote for Office Work Back to School, Large size, Green</t>
        </is>
      </c>
      <c r="C1813" t="inlineStr">
        <is>
          <t>1TRLB701GN-T</t>
        </is>
      </c>
      <c r="D1813" t="inlineStr">
        <is>
          <t>Reusable Lunch Bags &amp; Boxes</t>
        </is>
      </c>
      <c r="E1813" t="inlineStr">
        <is>
          <t>Tirrinia</t>
        </is>
      </c>
      <c r="F1813" t="inlineStr">
        <is>
          <t>Q2-Target,Brand Camp VD,Lunch Bags,SEM,Batch 1 - TR</t>
        </is>
      </c>
      <c r="G1813" s="48" t="n">
        <v>0</v>
      </c>
      <c r="H1813" s="49" t="n">
        <v>0</v>
      </c>
      <c r="I1813" s="49" t="n">
        <v>2</v>
      </c>
      <c r="J1813" s="50" t="n">
        <v>0</v>
      </c>
      <c r="K1813" s="51" t="n">
        <v>0</v>
      </c>
      <c r="L1813" s="52" t="n">
        <v>0</v>
      </c>
      <c r="M1813" s="52" t="n">
        <v>0</v>
      </c>
      <c r="N1813" s="52" t="n">
        <v>0</v>
      </c>
      <c r="O1813" s="53" t="n">
        <v>0</v>
      </c>
      <c r="P1813" s="52" t="n">
        <v>0</v>
      </c>
      <c r="Q1813" s="53" t="n">
        <v>0</v>
      </c>
      <c r="R1813" s="52" t="n">
        <v>0</v>
      </c>
      <c r="S1813" s="51" t="n">
        <v>0</v>
      </c>
      <c r="T1813" s="48" t="n">
        <v>0</v>
      </c>
      <c r="U1813" s="49" t="n">
        <v>0</v>
      </c>
      <c r="V1813" s="49" t="n">
        <v>0</v>
      </c>
      <c r="W1813" s="50" t="n">
        <v>0</v>
      </c>
      <c r="X1813" s="51" t="n">
        <v>0</v>
      </c>
      <c r="Y1813" s="52" t="n">
        <v>0</v>
      </c>
      <c r="Z1813" s="52" t="n">
        <v>0</v>
      </c>
      <c r="AA1813" s="52" t="n">
        <v>0</v>
      </c>
      <c r="AB1813" s="53" t="n">
        <v>0</v>
      </c>
      <c r="AC1813" s="52" t="n">
        <v>0</v>
      </c>
      <c r="AD1813" s="53" t="n">
        <v>0</v>
      </c>
      <c r="AE1813" s="52" t="n">
        <v>0</v>
      </c>
      <c r="AF1813" s="51" t="n">
        <v>0</v>
      </c>
      <c r="AG1813" s="48" t="n">
        <v>0</v>
      </c>
      <c r="AH1813" s="49" t="n">
        <v>0</v>
      </c>
      <c r="AI1813" s="49" t="n">
        <v>0</v>
      </c>
      <c r="AJ1813" s="50" t="n">
        <v>0</v>
      </c>
      <c r="AK1813" s="51" t="n">
        <v>0</v>
      </c>
      <c r="AL1813" s="52" t="n">
        <v>0</v>
      </c>
      <c r="AM1813" s="52" t="n">
        <v>0</v>
      </c>
      <c r="AN1813" s="52" t="n">
        <v>0</v>
      </c>
      <c r="AO1813" s="53" t="n">
        <v>0</v>
      </c>
      <c r="AP1813" s="52" t="n">
        <v>0</v>
      </c>
      <c r="AQ1813" s="53" t="n">
        <v>0</v>
      </c>
      <c r="AR1813" s="52" t="n">
        <v>0</v>
      </c>
      <c r="AS1813" s="51" t="n">
        <v>0</v>
      </c>
      <c r="AT1813" s="48" t="n">
        <v>0</v>
      </c>
      <c r="AU1813" s="49" t="n">
        <v>0</v>
      </c>
      <c r="AV1813" s="49" t="n">
        <v>0</v>
      </c>
      <c r="AW1813" s="50" t="n">
        <v>0</v>
      </c>
      <c r="AX1813" s="51" t="n">
        <v>0</v>
      </c>
      <c r="AY1813" s="52" t="n">
        <v>0</v>
      </c>
      <c r="AZ1813" s="52" t="n">
        <v>0</v>
      </c>
      <c r="BA1813" s="52" t="n">
        <v>0</v>
      </c>
      <c r="BB1813" s="53" t="n">
        <v>0</v>
      </c>
      <c r="BC1813" s="52" t="n">
        <v>0</v>
      </c>
      <c r="BD1813" s="53" t="n">
        <v>0</v>
      </c>
      <c r="BE1813" s="52" t="n">
        <v>0</v>
      </c>
      <c r="BF1813" s="51" t="n">
        <v>0</v>
      </c>
    </row>
    <row r="1814">
      <c r="A1814">
        <f>HYPERLINK("https://www.walmart.com/ip/1390928292", "1390928292")</f>
        <v/>
      </c>
      <c r="B1814" t="inlineStr">
        <is>
          <t>Tirrinia Men's Mossyoak Duck Blind-Mallard</t>
        </is>
      </c>
      <c r="C1814" t="inlineStr">
        <is>
          <t>1TRHT02MALL-TBCB</t>
        </is>
      </c>
      <c r="D1814" t="inlineStr">
        <is>
          <t>Hats</t>
        </is>
      </c>
      <c r="E1814" t="inlineStr">
        <is>
          <t>Tirrinia</t>
        </is>
      </c>
      <c r="F1814" t="inlineStr">
        <is>
          <t>Batch 1 - TR</t>
        </is>
      </c>
      <c r="G1814" s="48" t="n">
        <v>0</v>
      </c>
      <c r="H1814" s="49" t="n">
        <v>0</v>
      </c>
      <c r="I1814" s="49" t="n">
        <v>0</v>
      </c>
      <c r="J1814" s="50" t="n">
        <v>0</v>
      </c>
      <c r="K1814" s="51" t="n">
        <v>0</v>
      </c>
      <c r="L1814" s="52" t="n">
        <v>0</v>
      </c>
      <c r="M1814" s="52" t="n">
        <v>0</v>
      </c>
      <c r="N1814" s="52" t="n">
        <v>0</v>
      </c>
      <c r="O1814" s="53" t="n">
        <v>0</v>
      </c>
      <c r="P1814" s="52" t="n">
        <v>0</v>
      </c>
      <c r="Q1814" s="53" t="n">
        <v>0</v>
      </c>
      <c r="R1814" s="52" t="n">
        <v>0</v>
      </c>
      <c r="S1814" s="51" t="n">
        <v>0</v>
      </c>
      <c r="T1814" s="48" t="n">
        <v>0</v>
      </c>
      <c r="U1814" s="49" t="n">
        <v>0</v>
      </c>
      <c r="V1814" s="49" t="n">
        <v>0</v>
      </c>
      <c r="W1814" s="50" t="n">
        <v>0</v>
      </c>
      <c r="X1814" s="51" t="n">
        <v>0</v>
      </c>
      <c r="Y1814" s="52" t="n">
        <v>0</v>
      </c>
      <c r="Z1814" s="52" t="n">
        <v>0</v>
      </c>
      <c r="AA1814" s="52" t="n">
        <v>0</v>
      </c>
      <c r="AB1814" s="53" t="n">
        <v>0</v>
      </c>
      <c r="AC1814" s="52" t="n">
        <v>0</v>
      </c>
      <c r="AD1814" s="53" t="n">
        <v>0</v>
      </c>
      <c r="AE1814" s="52" t="n">
        <v>0</v>
      </c>
      <c r="AF1814" s="51" t="n">
        <v>0</v>
      </c>
      <c r="AG1814" s="48" t="n">
        <v>0</v>
      </c>
      <c r="AH1814" s="49" t="n">
        <v>0</v>
      </c>
      <c r="AI1814" s="49" t="n">
        <v>0</v>
      </c>
      <c r="AJ1814" s="50" t="n">
        <v>0</v>
      </c>
      <c r="AK1814" s="51" t="n">
        <v>0</v>
      </c>
      <c r="AL1814" s="52" t="n">
        <v>0</v>
      </c>
      <c r="AM1814" s="52" t="n">
        <v>0</v>
      </c>
      <c r="AN1814" s="52" t="n">
        <v>0</v>
      </c>
      <c r="AO1814" s="53" t="n">
        <v>0</v>
      </c>
      <c r="AP1814" s="52" t="n">
        <v>0</v>
      </c>
      <c r="AQ1814" s="53" t="n">
        <v>0</v>
      </c>
      <c r="AR1814" s="52" t="n">
        <v>0</v>
      </c>
      <c r="AS1814" s="51" t="n">
        <v>0</v>
      </c>
      <c r="AT1814" s="48" t="n">
        <v>0</v>
      </c>
      <c r="AU1814" s="49" t="n">
        <v>0</v>
      </c>
      <c r="AV1814" s="49" t="n">
        <v>0</v>
      </c>
      <c r="AW1814" s="50" t="n">
        <v>0</v>
      </c>
      <c r="AX1814" s="51" t="n">
        <v>0</v>
      </c>
      <c r="AY1814" s="52" t="n">
        <v>0</v>
      </c>
      <c r="AZ1814" s="52" t="n">
        <v>0</v>
      </c>
      <c r="BA1814" s="52" t="n">
        <v>0</v>
      </c>
      <c r="BB1814" s="53" t="n">
        <v>0</v>
      </c>
      <c r="BC1814" s="52" t="n">
        <v>0</v>
      </c>
      <c r="BD1814" s="53" t="n">
        <v>0</v>
      </c>
      <c r="BE1814" s="52" t="n">
        <v>0</v>
      </c>
      <c r="BF1814" s="51" t="n">
        <v>0</v>
      </c>
    </row>
    <row r="1815">
      <c r="A1815">
        <f>HYPERLINK("https://www.walmart.com/ip/139176708", "139176708")</f>
        <v/>
      </c>
      <c r="B1815" t="inlineStr">
        <is>
          <t>Napa® Luxury Shu Velveteen Throw Blanket, Soft Blankets for Adults, All Seasons Plush Blanket, Cozy Reversible Fuzzy Blanket, Best Gift for Women, Blue, 50" x 60"</t>
        </is>
      </c>
      <c r="C1815" t="inlineStr">
        <is>
          <t>K9000BLUE</t>
        </is>
      </c>
      <c r="D1815" t="inlineStr">
        <is>
          <t>Throws</t>
        </is>
      </c>
      <c r="E1815" t="inlineStr">
        <is>
          <t>NAPA</t>
        </is>
      </c>
      <c r="F1815" t="inlineStr">
        <is>
          <t>Optimized</t>
        </is>
      </c>
      <c r="G1815" s="48" t="n">
        <v>0</v>
      </c>
      <c r="H1815" s="49" t="n">
        <v>0</v>
      </c>
      <c r="I1815" s="49" t="n">
        <v>0</v>
      </c>
      <c r="J1815" s="50" t="n">
        <v>0</v>
      </c>
      <c r="K1815" s="51" t="n">
        <v>0</v>
      </c>
      <c r="L1815" s="52" t="n">
        <v>0</v>
      </c>
      <c r="M1815" s="52" t="n">
        <v>0</v>
      </c>
      <c r="N1815" s="52" t="n">
        <v>0</v>
      </c>
      <c r="O1815" s="53" t="n">
        <v>0</v>
      </c>
      <c r="P1815" s="52" t="n">
        <v>0</v>
      </c>
      <c r="Q1815" s="53" t="n">
        <v>0</v>
      </c>
      <c r="R1815" s="52" t="n">
        <v>0</v>
      </c>
      <c r="S1815" s="51" t="n">
        <v>0</v>
      </c>
      <c r="T1815" s="48" t="n">
        <v>0</v>
      </c>
      <c r="U1815" s="49" t="n">
        <v>0</v>
      </c>
      <c r="V1815" s="49" t="n">
        <v>0</v>
      </c>
      <c r="W1815" s="50" t="n">
        <v>0</v>
      </c>
      <c r="X1815" s="51" t="n">
        <v>0</v>
      </c>
      <c r="Y1815" s="52" t="n">
        <v>0</v>
      </c>
      <c r="Z1815" s="52" t="n">
        <v>0</v>
      </c>
      <c r="AA1815" s="52" t="n">
        <v>0</v>
      </c>
      <c r="AB1815" s="53" t="n">
        <v>0</v>
      </c>
      <c r="AC1815" s="52" t="n">
        <v>0</v>
      </c>
      <c r="AD1815" s="53" t="n">
        <v>0</v>
      </c>
      <c r="AE1815" s="52" t="n">
        <v>0</v>
      </c>
      <c r="AF1815" s="51" t="n">
        <v>0</v>
      </c>
      <c r="AG1815" s="48" t="n">
        <v>0</v>
      </c>
      <c r="AH1815" s="49" t="n">
        <v>0</v>
      </c>
      <c r="AI1815" s="49" t="n">
        <v>0</v>
      </c>
      <c r="AJ1815" s="50" t="n">
        <v>0</v>
      </c>
      <c r="AK1815" s="51" t="n">
        <v>0</v>
      </c>
      <c r="AL1815" s="52" t="n">
        <v>0</v>
      </c>
      <c r="AM1815" s="52" t="n">
        <v>0</v>
      </c>
      <c r="AN1815" s="52" t="n">
        <v>0</v>
      </c>
      <c r="AO1815" s="53" t="n">
        <v>0</v>
      </c>
      <c r="AP1815" s="52" t="n">
        <v>0</v>
      </c>
      <c r="AQ1815" s="53" t="n">
        <v>0</v>
      </c>
      <c r="AR1815" s="52" t="n">
        <v>0</v>
      </c>
      <c r="AS1815" s="51" t="n">
        <v>0</v>
      </c>
      <c r="AT1815" s="48" t="n">
        <v>0</v>
      </c>
      <c r="AU1815" s="49" t="n">
        <v>0</v>
      </c>
      <c r="AV1815" s="49" t="n">
        <v>0</v>
      </c>
      <c r="AW1815" s="50" t="n">
        <v>0</v>
      </c>
      <c r="AX1815" s="51" t="n">
        <v>0</v>
      </c>
      <c r="AY1815" s="52" t="n">
        <v>0</v>
      </c>
      <c r="AZ1815" s="52" t="n">
        <v>0</v>
      </c>
      <c r="BA1815" s="52" t="n">
        <v>0</v>
      </c>
      <c r="BB1815" s="53" t="n">
        <v>0</v>
      </c>
      <c r="BC1815" s="52" t="n">
        <v>0</v>
      </c>
      <c r="BD1815" s="53" t="n">
        <v>0</v>
      </c>
      <c r="BE1815" s="52" t="n">
        <v>0</v>
      </c>
      <c r="BF1815" s="51" t="n">
        <v>0</v>
      </c>
    </row>
    <row r="1816">
      <c r="A1816">
        <f>HYPERLINK("https://www.walmart.com/ip/13869921427", "13869921427")</f>
        <v/>
      </c>
      <c r="B1816" t="inlineStr">
        <is>
          <t>Every Day is Christmas Glass Blown Ornaments Cute Hand Made Figurines Tree Decoration, Donuts Set of 2</t>
        </is>
      </c>
      <c r="C1816" t="inlineStr">
        <is>
          <t>EDC-FIGURINE-WP261</t>
        </is>
      </c>
      <c r="D1816" t="inlineStr">
        <is>
          <t>Ornaments</t>
        </is>
      </c>
      <c r="E1816" t="inlineStr">
        <is>
          <t>Every Day is Christmas</t>
        </is>
      </c>
      <c r="G1816" s="48" t="n">
        <v>0</v>
      </c>
      <c r="H1816" s="49" t="n">
        <v>0</v>
      </c>
      <c r="I1816" s="49" t="n">
        <v>0</v>
      </c>
      <c r="J1816" s="50" t="n">
        <v>0</v>
      </c>
      <c r="K1816" s="51" t="n">
        <v>0</v>
      </c>
      <c r="L1816" s="52" t="n">
        <v>0</v>
      </c>
      <c r="M1816" s="52" t="n">
        <v>0</v>
      </c>
      <c r="N1816" s="52" t="n">
        <v>0</v>
      </c>
      <c r="O1816" s="53" t="n">
        <v>0</v>
      </c>
      <c r="P1816" s="52" t="n">
        <v>0</v>
      </c>
      <c r="Q1816" s="53" t="n">
        <v>0</v>
      </c>
      <c r="R1816" s="52" t="n">
        <v>0</v>
      </c>
      <c r="S1816" s="51" t="n">
        <v>0</v>
      </c>
      <c r="T1816" s="48" t="n">
        <v>0</v>
      </c>
      <c r="U1816" s="49" t="n">
        <v>0</v>
      </c>
      <c r="V1816" s="49" t="n">
        <v>0</v>
      </c>
      <c r="W1816" s="50" t="n">
        <v>0</v>
      </c>
      <c r="X1816" s="51" t="n">
        <v>0</v>
      </c>
      <c r="Y1816" s="52" t="n">
        <v>0</v>
      </c>
      <c r="Z1816" s="52" t="n">
        <v>0</v>
      </c>
      <c r="AA1816" s="52" t="n">
        <v>0</v>
      </c>
      <c r="AB1816" s="53" t="n">
        <v>0</v>
      </c>
      <c r="AC1816" s="52" t="n">
        <v>0</v>
      </c>
      <c r="AD1816" s="53" t="n">
        <v>0</v>
      </c>
      <c r="AE1816" s="52" t="n">
        <v>0</v>
      </c>
      <c r="AF1816" s="51" t="n">
        <v>0</v>
      </c>
      <c r="AG1816" s="48" t="n">
        <v>0</v>
      </c>
      <c r="AH1816" s="49" t="n">
        <v>0</v>
      </c>
      <c r="AI1816" s="49" t="n">
        <v>0</v>
      </c>
      <c r="AJ1816" s="50" t="n">
        <v>0</v>
      </c>
      <c r="AK1816" s="51" t="n">
        <v>0</v>
      </c>
      <c r="AL1816" s="52" t="n">
        <v>0</v>
      </c>
      <c r="AM1816" s="52" t="n">
        <v>0</v>
      </c>
      <c r="AN1816" s="52" t="n">
        <v>0</v>
      </c>
      <c r="AO1816" s="53" t="n">
        <v>0</v>
      </c>
      <c r="AP1816" s="52" t="n">
        <v>0</v>
      </c>
      <c r="AQ1816" s="53" t="n">
        <v>0</v>
      </c>
      <c r="AR1816" s="52" t="n">
        <v>0</v>
      </c>
      <c r="AS1816" s="51" t="n">
        <v>0</v>
      </c>
      <c r="AT1816" s="48" t="n">
        <v>0</v>
      </c>
      <c r="AU1816" s="49" t="n">
        <v>0</v>
      </c>
      <c r="AV1816" s="49" t="n">
        <v>0</v>
      </c>
      <c r="AW1816" s="50" t="n">
        <v>0</v>
      </c>
      <c r="AX1816" s="51" t="n">
        <v>0</v>
      </c>
      <c r="AY1816" s="52" t="n">
        <v>0</v>
      </c>
      <c r="AZ1816" s="52" t="n">
        <v>0</v>
      </c>
      <c r="BA1816" s="52" t="n">
        <v>0</v>
      </c>
      <c r="BB1816" s="53" t="n">
        <v>0</v>
      </c>
      <c r="BC1816" s="52" t="n">
        <v>0</v>
      </c>
      <c r="BD1816" s="53" t="n">
        <v>0</v>
      </c>
      <c r="BE1816" s="52" t="n">
        <v>0</v>
      </c>
      <c r="BF1816" s="51" t="n">
        <v>0</v>
      </c>
    </row>
    <row r="1817">
      <c r="A1817">
        <f>HYPERLINK("https://www.walmart.com/ip/13869759786", "13869759786")</f>
        <v/>
      </c>
      <c r="B1817" t="inlineStr">
        <is>
          <t>Every Day is Christmas Glass Blown Ornaments Cute Hand Made Figurines Tree Decoration (Nativity Set)</t>
        </is>
      </c>
      <c r="C1817" t="inlineStr">
        <is>
          <t>EDC-FIGURINE-WP272</t>
        </is>
      </c>
      <c r="D1817" t="inlineStr">
        <is>
          <t>Ornaments</t>
        </is>
      </c>
      <c r="E1817" t="inlineStr">
        <is>
          <t>Every Day is Christmas</t>
        </is>
      </c>
      <c r="G1817" s="48" t="n">
        <v>0</v>
      </c>
      <c r="H1817" s="49" t="n">
        <v>0</v>
      </c>
      <c r="I1817" s="49" t="n">
        <v>0</v>
      </c>
      <c r="J1817" s="50" t="n">
        <v>0</v>
      </c>
      <c r="K1817" s="51" t="n">
        <v>0</v>
      </c>
      <c r="L1817" s="52" t="n">
        <v>0</v>
      </c>
      <c r="M1817" s="52" t="n">
        <v>0</v>
      </c>
      <c r="N1817" s="52" t="n">
        <v>0</v>
      </c>
      <c r="O1817" s="53" t="n">
        <v>0</v>
      </c>
      <c r="P1817" s="52" t="n">
        <v>0</v>
      </c>
      <c r="Q1817" s="53" t="n">
        <v>0</v>
      </c>
      <c r="R1817" s="52" t="n">
        <v>0</v>
      </c>
      <c r="S1817" s="51" t="n">
        <v>0</v>
      </c>
      <c r="T1817" s="48" t="n">
        <v>0</v>
      </c>
      <c r="U1817" s="49" t="n">
        <v>0</v>
      </c>
      <c r="V1817" s="49" t="n">
        <v>0</v>
      </c>
      <c r="W1817" s="50" t="n">
        <v>0</v>
      </c>
      <c r="X1817" s="51" t="n">
        <v>0</v>
      </c>
      <c r="Y1817" s="52" t="n">
        <v>0</v>
      </c>
      <c r="Z1817" s="52" t="n">
        <v>0</v>
      </c>
      <c r="AA1817" s="52" t="n">
        <v>0</v>
      </c>
      <c r="AB1817" s="53" t="n">
        <v>0</v>
      </c>
      <c r="AC1817" s="52" t="n">
        <v>0</v>
      </c>
      <c r="AD1817" s="53" t="n">
        <v>0</v>
      </c>
      <c r="AE1817" s="52" t="n">
        <v>0</v>
      </c>
      <c r="AF1817" s="51" t="n">
        <v>0</v>
      </c>
      <c r="AG1817" s="48" t="n">
        <v>0</v>
      </c>
      <c r="AH1817" s="49" t="n">
        <v>0</v>
      </c>
      <c r="AI1817" s="49" t="n">
        <v>0</v>
      </c>
      <c r="AJ1817" s="50" t="n">
        <v>0</v>
      </c>
      <c r="AK1817" s="51" t="n">
        <v>0</v>
      </c>
      <c r="AL1817" s="52" t="n">
        <v>0</v>
      </c>
      <c r="AM1817" s="52" t="n">
        <v>0</v>
      </c>
      <c r="AN1817" s="52" t="n">
        <v>0</v>
      </c>
      <c r="AO1817" s="53" t="n">
        <v>0</v>
      </c>
      <c r="AP1817" s="52" t="n">
        <v>0</v>
      </c>
      <c r="AQ1817" s="53" t="n">
        <v>0</v>
      </c>
      <c r="AR1817" s="52" t="n">
        <v>0</v>
      </c>
      <c r="AS1817" s="51" t="n">
        <v>0</v>
      </c>
      <c r="AT1817" s="48" t="n">
        <v>0</v>
      </c>
      <c r="AU1817" s="49" t="n">
        <v>0</v>
      </c>
      <c r="AV1817" s="49" t="n">
        <v>0</v>
      </c>
      <c r="AW1817" s="50" t="n">
        <v>0</v>
      </c>
      <c r="AX1817" s="51" t="n">
        <v>0</v>
      </c>
      <c r="AY1817" s="52" t="n">
        <v>0</v>
      </c>
      <c r="AZ1817" s="52" t="n">
        <v>0</v>
      </c>
      <c r="BA1817" s="52" t="n">
        <v>0</v>
      </c>
      <c r="BB1817" s="53" t="n">
        <v>0</v>
      </c>
      <c r="BC1817" s="52" t="n">
        <v>0</v>
      </c>
      <c r="BD1817" s="53" t="n">
        <v>0</v>
      </c>
      <c r="BE1817" s="52" t="n">
        <v>0</v>
      </c>
      <c r="BF1817" s="51" t="n">
        <v>0</v>
      </c>
    </row>
    <row r="1818">
      <c r="A1818">
        <f>HYPERLINK("https://www.walmart.com/ip/138327628", "138327628")</f>
        <v/>
      </c>
      <c r="B1818" t="inlineStr">
        <is>
          <t>JenniWears LED Light Up Sheer Lace Venetian Mask Floral Mardi Gras Masquerade Costume Pink</t>
        </is>
      </c>
      <c r="C1818" t="inlineStr">
        <is>
          <t>JWLEDMK02-PK</t>
        </is>
      </c>
      <c r="D1818" t="inlineStr">
        <is>
          <t>Costume Masks</t>
        </is>
      </c>
      <c r="E1818" t="inlineStr">
        <is>
          <t>JenniWears</t>
        </is>
      </c>
      <c r="F1818" t="inlineStr">
        <is>
          <t>Halloween</t>
        </is>
      </c>
      <c r="G1818" s="48" t="n">
        <v>0</v>
      </c>
      <c r="H1818" s="49" t="n">
        <v>0</v>
      </c>
      <c r="I1818" s="49" t="n">
        <v>0</v>
      </c>
      <c r="J1818" s="50" t="n">
        <v>0</v>
      </c>
      <c r="K1818" s="51" t="n">
        <v>0</v>
      </c>
      <c r="L1818" s="52" t="n">
        <v>0</v>
      </c>
      <c r="M1818" s="52" t="n">
        <v>0</v>
      </c>
      <c r="N1818" s="52" t="n">
        <v>0</v>
      </c>
      <c r="O1818" s="53" t="n">
        <v>0</v>
      </c>
      <c r="P1818" s="52" t="n">
        <v>0</v>
      </c>
      <c r="Q1818" s="53" t="n">
        <v>0</v>
      </c>
      <c r="R1818" s="52" t="n">
        <v>0</v>
      </c>
      <c r="S1818" s="51" t="n">
        <v>0</v>
      </c>
      <c r="T1818" s="48" t="n">
        <v>0</v>
      </c>
      <c r="U1818" s="49" t="n">
        <v>0</v>
      </c>
      <c r="V1818" s="49" t="n">
        <v>0</v>
      </c>
      <c r="W1818" s="50" t="n">
        <v>0</v>
      </c>
      <c r="X1818" s="51" t="n">
        <v>0</v>
      </c>
      <c r="Y1818" s="52" t="n">
        <v>0</v>
      </c>
      <c r="Z1818" s="52" t="n">
        <v>0</v>
      </c>
      <c r="AA1818" s="52" t="n">
        <v>0</v>
      </c>
      <c r="AB1818" s="53" t="n">
        <v>0</v>
      </c>
      <c r="AC1818" s="52" t="n">
        <v>0</v>
      </c>
      <c r="AD1818" s="53" t="n">
        <v>0</v>
      </c>
      <c r="AE1818" s="52" t="n">
        <v>0</v>
      </c>
      <c r="AF1818" s="51" t="n">
        <v>0</v>
      </c>
      <c r="AG1818" s="48" t="n">
        <v>0</v>
      </c>
      <c r="AH1818" s="49" t="n">
        <v>0</v>
      </c>
      <c r="AI1818" s="49" t="n">
        <v>0</v>
      </c>
      <c r="AJ1818" s="50" t="n">
        <v>0</v>
      </c>
      <c r="AK1818" s="51" t="n">
        <v>0</v>
      </c>
      <c r="AL1818" s="52" t="n">
        <v>0</v>
      </c>
      <c r="AM1818" s="52" t="n">
        <v>0</v>
      </c>
      <c r="AN1818" s="52" t="n">
        <v>0</v>
      </c>
      <c r="AO1818" s="53" t="n">
        <v>0</v>
      </c>
      <c r="AP1818" s="52" t="n">
        <v>0</v>
      </c>
      <c r="AQ1818" s="53" t="n">
        <v>0</v>
      </c>
      <c r="AR1818" s="52" t="n">
        <v>0</v>
      </c>
      <c r="AS1818" s="51" t="n">
        <v>0</v>
      </c>
      <c r="AT1818" s="48" t="n">
        <v>0</v>
      </c>
      <c r="AU1818" s="49" t="n">
        <v>0</v>
      </c>
      <c r="AV1818" s="49" t="n">
        <v>0</v>
      </c>
      <c r="AW1818" s="50" t="n">
        <v>0</v>
      </c>
      <c r="AX1818" s="51" t="n">
        <v>0</v>
      </c>
      <c r="AY1818" s="52" t="n">
        <v>0</v>
      </c>
      <c r="AZ1818" s="52" t="n">
        <v>0</v>
      </c>
      <c r="BA1818" s="52" t="n">
        <v>0</v>
      </c>
      <c r="BB1818" s="53" t="n">
        <v>0</v>
      </c>
      <c r="BC1818" s="52" t="n">
        <v>0</v>
      </c>
      <c r="BD1818" s="53" t="n">
        <v>0</v>
      </c>
      <c r="BE1818" s="52" t="n">
        <v>0</v>
      </c>
      <c r="BF1818" s="51" t="n">
        <v>0</v>
      </c>
    </row>
    <row r="1819">
      <c r="A1819">
        <f>HYPERLINK("https://www.walmart.com/ip/13866169944", "13866169944")</f>
        <v/>
      </c>
      <c r="B1819" t="inlineStr">
        <is>
          <t>Every Day is Christmas Glass Blown Ornaments Cute Hand Made Figurines Tree Decoration, Poker Set of 2</t>
        </is>
      </c>
      <c r="C1819" t="inlineStr">
        <is>
          <t>EDC-FIGURINE-WP294</t>
        </is>
      </c>
      <c r="D1819" t="inlineStr">
        <is>
          <t>Ornaments</t>
        </is>
      </c>
      <c r="E1819" t="inlineStr">
        <is>
          <t>Every Day is Christmas</t>
        </is>
      </c>
      <c r="G1819" s="48" t="n">
        <v>0</v>
      </c>
      <c r="H1819" s="49" t="n">
        <v>0</v>
      </c>
      <c r="I1819" s="49" t="n">
        <v>0</v>
      </c>
      <c r="J1819" s="50" t="n">
        <v>0</v>
      </c>
      <c r="K1819" s="51" t="n">
        <v>0</v>
      </c>
      <c r="L1819" s="52" t="n">
        <v>0</v>
      </c>
      <c r="M1819" s="52" t="n">
        <v>0</v>
      </c>
      <c r="N1819" s="52" t="n">
        <v>0</v>
      </c>
      <c r="O1819" s="53" t="n">
        <v>0</v>
      </c>
      <c r="P1819" s="52" t="n">
        <v>0</v>
      </c>
      <c r="Q1819" s="53" t="n">
        <v>0</v>
      </c>
      <c r="R1819" s="52" t="n">
        <v>0</v>
      </c>
      <c r="S1819" s="51" t="n">
        <v>0</v>
      </c>
      <c r="T1819" s="48" t="n">
        <v>0</v>
      </c>
      <c r="U1819" s="49" t="n">
        <v>0</v>
      </c>
      <c r="V1819" s="49" t="n">
        <v>0</v>
      </c>
      <c r="W1819" s="50" t="n">
        <v>0</v>
      </c>
      <c r="X1819" s="51" t="n">
        <v>0</v>
      </c>
      <c r="Y1819" s="52" t="n">
        <v>0</v>
      </c>
      <c r="Z1819" s="52" t="n">
        <v>0</v>
      </c>
      <c r="AA1819" s="52" t="n">
        <v>0</v>
      </c>
      <c r="AB1819" s="53" t="n">
        <v>0</v>
      </c>
      <c r="AC1819" s="52" t="n">
        <v>0</v>
      </c>
      <c r="AD1819" s="53" t="n">
        <v>0</v>
      </c>
      <c r="AE1819" s="52" t="n">
        <v>0</v>
      </c>
      <c r="AF1819" s="51" t="n">
        <v>0</v>
      </c>
      <c r="AG1819" s="48" t="n">
        <v>0</v>
      </c>
      <c r="AH1819" s="49" t="n">
        <v>0</v>
      </c>
      <c r="AI1819" s="49" t="n">
        <v>0</v>
      </c>
      <c r="AJ1819" s="50" t="n">
        <v>0</v>
      </c>
      <c r="AK1819" s="51" t="n">
        <v>0</v>
      </c>
      <c r="AL1819" s="52" t="n">
        <v>0</v>
      </c>
      <c r="AM1819" s="52" t="n">
        <v>0</v>
      </c>
      <c r="AN1819" s="52" t="n">
        <v>0</v>
      </c>
      <c r="AO1819" s="53" t="n">
        <v>0</v>
      </c>
      <c r="AP1819" s="52" t="n">
        <v>0</v>
      </c>
      <c r="AQ1819" s="53" t="n">
        <v>0</v>
      </c>
      <c r="AR1819" s="52" t="n">
        <v>0</v>
      </c>
      <c r="AS1819" s="51" t="n">
        <v>0</v>
      </c>
      <c r="AT1819" s="48" t="n">
        <v>0</v>
      </c>
      <c r="AU1819" s="49" t="n">
        <v>0</v>
      </c>
      <c r="AV1819" s="49" t="n">
        <v>0</v>
      </c>
      <c r="AW1819" s="50" t="n">
        <v>0</v>
      </c>
      <c r="AX1819" s="51" t="n">
        <v>0</v>
      </c>
      <c r="AY1819" s="52" t="n">
        <v>0</v>
      </c>
      <c r="AZ1819" s="52" t="n">
        <v>0</v>
      </c>
      <c r="BA1819" s="52" t="n">
        <v>0</v>
      </c>
      <c r="BB1819" s="53" t="n">
        <v>0</v>
      </c>
      <c r="BC1819" s="52" t="n">
        <v>0</v>
      </c>
      <c r="BD1819" s="53" t="n">
        <v>0</v>
      </c>
      <c r="BE1819" s="52" t="n">
        <v>0</v>
      </c>
      <c r="BF1819" s="51" t="n">
        <v>0</v>
      </c>
    </row>
    <row r="1820">
      <c r="A1820">
        <f>HYPERLINK("https://www.walmart.com/ip/1383988446", "1383988446")</f>
        <v/>
      </c>
      <c r="B1820" t="inlineStr">
        <is>
          <t>Sun Visor Sports Cotton Twill Plain Hat with Adjustable Strap for Men Women Outdoor Golf Tennis Running Jogging Hiking</t>
        </is>
      </c>
      <c r="C1820" t="inlineStr">
        <is>
          <t>1SLVS4130ROY</t>
        </is>
      </c>
      <c r="D1820" t="inlineStr">
        <is>
          <t>Tennis Visors</t>
        </is>
      </c>
      <c r="E1820" t="inlineStr">
        <is>
          <t>Solaris</t>
        </is>
      </c>
      <c r="G1820" s="48" t="n">
        <v>0</v>
      </c>
      <c r="H1820" s="49" t="n">
        <v>0</v>
      </c>
      <c r="I1820" s="49" t="n">
        <v>0</v>
      </c>
      <c r="J1820" s="50" t="n">
        <v>0</v>
      </c>
      <c r="K1820" s="51" t="n">
        <v>0</v>
      </c>
      <c r="L1820" s="52" t="n">
        <v>0</v>
      </c>
      <c r="M1820" s="52" t="n">
        <v>0</v>
      </c>
      <c r="N1820" s="52" t="n">
        <v>0</v>
      </c>
      <c r="O1820" s="53" t="n">
        <v>0</v>
      </c>
      <c r="P1820" s="52" t="n">
        <v>0</v>
      </c>
      <c r="Q1820" s="53" t="n">
        <v>0</v>
      </c>
      <c r="R1820" s="52" t="n">
        <v>0</v>
      </c>
      <c r="S1820" s="51" t="n">
        <v>0</v>
      </c>
      <c r="T1820" s="48" t="n">
        <v>0</v>
      </c>
      <c r="U1820" s="49" t="n">
        <v>0</v>
      </c>
      <c r="V1820" s="49" t="n">
        <v>0</v>
      </c>
      <c r="W1820" s="50" t="n">
        <v>0</v>
      </c>
      <c r="X1820" s="51" t="n">
        <v>0</v>
      </c>
      <c r="Y1820" s="52" t="n">
        <v>0</v>
      </c>
      <c r="Z1820" s="52" t="n">
        <v>0</v>
      </c>
      <c r="AA1820" s="52" t="n">
        <v>0</v>
      </c>
      <c r="AB1820" s="53" t="n">
        <v>0</v>
      </c>
      <c r="AC1820" s="52" t="n">
        <v>0</v>
      </c>
      <c r="AD1820" s="53" t="n">
        <v>0</v>
      </c>
      <c r="AE1820" s="52" t="n">
        <v>0</v>
      </c>
      <c r="AF1820" s="51" t="n">
        <v>0</v>
      </c>
      <c r="AG1820" s="48" t="n">
        <v>0</v>
      </c>
      <c r="AH1820" s="49" t="n">
        <v>0</v>
      </c>
      <c r="AI1820" s="49" t="n">
        <v>0</v>
      </c>
      <c r="AJ1820" s="50" t="n">
        <v>0</v>
      </c>
      <c r="AK1820" s="51" t="n">
        <v>0</v>
      </c>
      <c r="AL1820" s="52" t="n">
        <v>0</v>
      </c>
      <c r="AM1820" s="52" t="n">
        <v>0</v>
      </c>
      <c r="AN1820" s="52" t="n">
        <v>0</v>
      </c>
      <c r="AO1820" s="53" t="n">
        <v>0</v>
      </c>
      <c r="AP1820" s="52" t="n">
        <v>0</v>
      </c>
      <c r="AQ1820" s="53" t="n">
        <v>0</v>
      </c>
      <c r="AR1820" s="52" t="n">
        <v>0</v>
      </c>
      <c r="AS1820" s="51" t="n">
        <v>0</v>
      </c>
      <c r="AT1820" s="48" t="n">
        <v>0</v>
      </c>
      <c r="AU1820" s="49" t="n">
        <v>0</v>
      </c>
      <c r="AV1820" s="49" t="n">
        <v>0</v>
      </c>
      <c r="AW1820" s="50" t="n">
        <v>0</v>
      </c>
      <c r="AX1820" s="51" t="n">
        <v>0</v>
      </c>
      <c r="AY1820" s="52" t="n">
        <v>0</v>
      </c>
      <c r="AZ1820" s="52" t="n">
        <v>0</v>
      </c>
      <c r="BA1820" s="52" t="n">
        <v>0</v>
      </c>
      <c r="BB1820" s="53" t="n">
        <v>0</v>
      </c>
      <c r="BC1820" s="52" t="n">
        <v>0</v>
      </c>
      <c r="BD1820" s="53" t="n">
        <v>0</v>
      </c>
      <c r="BE1820" s="52" t="n">
        <v>0</v>
      </c>
      <c r="BF1820" s="51" t="n">
        <v>0</v>
      </c>
    </row>
    <row r="1821">
      <c r="A1821">
        <f>HYPERLINK("https://www.walmart.com/ip/13841424620", "13841424620")</f>
        <v/>
      </c>
      <c r="B1821" t="inlineStr">
        <is>
          <t>Every Day is Christmas Glass Blown Ornaments Cute Hand Made Figurines Tree Decoration, Honey Beehive Set of 2</t>
        </is>
      </c>
      <c r="C1821" t="inlineStr">
        <is>
          <t>EDC-FIGURINE-WP284</t>
        </is>
      </c>
      <c r="D1821" t="inlineStr">
        <is>
          <t>Ornaments</t>
        </is>
      </c>
      <c r="E1821" t="inlineStr">
        <is>
          <t>Every Day is Christmas</t>
        </is>
      </c>
      <c r="G1821" s="48" t="n">
        <v>0</v>
      </c>
      <c r="H1821" s="49" t="n">
        <v>0</v>
      </c>
      <c r="I1821" s="49" t="n">
        <v>0</v>
      </c>
      <c r="J1821" s="50" t="n">
        <v>0</v>
      </c>
      <c r="K1821" s="51" t="n">
        <v>0</v>
      </c>
      <c r="L1821" s="52" t="n">
        <v>0</v>
      </c>
      <c r="M1821" s="52" t="n">
        <v>0</v>
      </c>
      <c r="N1821" s="52" t="n">
        <v>0</v>
      </c>
      <c r="O1821" s="53" t="n">
        <v>0</v>
      </c>
      <c r="P1821" s="52" t="n">
        <v>0</v>
      </c>
      <c r="Q1821" s="53" t="n">
        <v>0</v>
      </c>
      <c r="R1821" s="52" t="n">
        <v>0</v>
      </c>
      <c r="S1821" s="51" t="n">
        <v>0</v>
      </c>
      <c r="T1821" s="48" t="n">
        <v>0</v>
      </c>
      <c r="U1821" s="49" t="n">
        <v>0</v>
      </c>
      <c r="V1821" s="49" t="n">
        <v>0</v>
      </c>
      <c r="W1821" s="50" t="n">
        <v>0</v>
      </c>
      <c r="X1821" s="51" t="n">
        <v>0</v>
      </c>
      <c r="Y1821" s="52" t="n">
        <v>0</v>
      </c>
      <c r="Z1821" s="52" t="n">
        <v>0</v>
      </c>
      <c r="AA1821" s="52" t="n">
        <v>0</v>
      </c>
      <c r="AB1821" s="53" t="n">
        <v>0</v>
      </c>
      <c r="AC1821" s="52" t="n">
        <v>0</v>
      </c>
      <c r="AD1821" s="53" t="n">
        <v>0</v>
      </c>
      <c r="AE1821" s="52" t="n">
        <v>0</v>
      </c>
      <c r="AF1821" s="51" t="n">
        <v>0</v>
      </c>
      <c r="AG1821" s="48" t="n">
        <v>0</v>
      </c>
      <c r="AH1821" s="49" t="n">
        <v>0</v>
      </c>
      <c r="AI1821" s="49" t="n">
        <v>0</v>
      </c>
      <c r="AJ1821" s="50" t="n">
        <v>0</v>
      </c>
      <c r="AK1821" s="51" t="n">
        <v>0</v>
      </c>
      <c r="AL1821" s="52" t="n">
        <v>0</v>
      </c>
      <c r="AM1821" s="52" t="n">
        <v>0</v>
      </c>
      <c r="AN1821" s="52" t="n">
        <v>0</v>
      </c>
      <c r="AO1821" s="53" t="n">
        <v>0</v>
      </c>
      <c r="AP1821" s="52" t="n">
        <v>0</v>
      </c>
      <c r="AQ1821" s="53" t="n">
        <v>0</v>
      </c>
      <c r="AR1821" s="52" t="n">
        <v>0</v>
      </c>
      <c r="AS1821" s="51" t="n">
        <v>0</v>
      </c>
      <c r="AT1821" s="48" t="n">
        <v>0</v>
      </c>
      <c r="AU1821" s="49" t="n">
        <v>0</v>
      </c>
      <c r="AV1821" s="49" t="n">
        <v>0</v>
      </c>
      <c r="AW1821" s="50" t="n">
        <v>0</v>
      </c>
      <c r="AX1821" s="51" t="n">
        <v>0</v>
      </c>
      <c r="AY1821" s="52" t="n">
        <v>0</v>
      </c>
      <c r="AZ1821" s="52" t="n">
        <v>0</v>
      </c>
      <c r="BA1821" s="52" t="n">
        <v>0</v>
      </c>
      <c r="BB1821" s="53" t="n">
        <v>0</v>
      </c>
      <c r="BC1821" s="52" t="n">
        <v>0</v>
      </c>
      <c r="BD1821" s="53" t="n">
        <v>0</v>
      </c>
      <c r="BE1821" s="52" t="n">
        <v>0</v>
      </c>
      <c r="BF1821" s="51" t="n">
        <v>0</v>
      </c>
    </row>
    <row r="1822">
      <c r="A1822">
        <f>HYPERLINK("https://www.walmart.com/ip/13843309130", "13843309130")</f>
        <v/>
      </c>
      <c r="B1822" t="inlineStr">
        <is>
          <t>Every Day is Christmas Glass Blown Ornaments Cute Hand Made Figurines Tree Decoration, Blue Whale Set of 2</t>
        </is>
      </c>
      <c r="C1822" t="inlineStr">
        <is>
          <t>EDC-FIGURINE-WP283</t>
        </is>
      </c>
      <c r="D1822" t="inlineStr">
        <is>
          <t>Ornaments</t>
        </is>
      </c>
      <c r="E1822" t="inlineStr">
        <is>
          <t>Every Day is Christmas</t>
        </is>
      </c>
      <c r="G1822" s="48" t="n">
        <v>0</v>
      </c>
      <c r="H1822" s="49" t="n">
        <v>0</v>
      </c>
      <c r="I1822" s="49" t="n">
        <v>0</v>
      </c>
      <c r="J1822" s="50" t="n">
        <v>0</v>
      </c>
      <c r="K1822" s="51" t="n">
        <v>0</v>
      </c>
      <c r="L1822" s="52" t="n">
        <v>0</v>
      </c>
      <c r="M1822" s="52" t="n">
        <v>0</v>
      </c>
      <c r="N1822" s="52" t="n">
        <v>0</v>
      </c>
      <c r="O1822" s="53" t="n">
        <v>0</v>
      </c>
      <c r="P1822" s="52" t="n">
        <v>0</v>
      </c>
      <c r="Q1822" s="53" t="n">
        <v>0</v>
      </c>
      <c r="R1822" s="52" t="n">
        <v>0</v>
      </c>
      <c r="S1822" s="51" t="n">
        <v>0</v>
      </c>
      <c r="T1822" s="48" t="n">
        <v>0</v>
      </c>
      <c r="U1822" s="49" t="n">
        <v>0</v>
      </c>
      <c r="V1822" s="49" t="n">
        <v>0</v>
      </c>
      <c r="W1822" s="50" t="n">
        <v>0</v>
      </c>
      <c r="X1822" s="51" t="n">
        <v>0</v>
      </c>
      <c r="Y1822" s="52" t="n">
        <v>0</v>
      </c>
      <c r="Z1822" s="52" t="n">
        <v>0</v>
      </c>
      <c r="AA1822" s="52" t="n">
        <v>0</v>
      </c>
      <c r="AB1822" s="53" t="n">
        <v>0</v>
      </c>
      <c r="AC1822" s="52" t="n">
        <v>0</v>
      </c>
      <c r="AD1822" s="53" t="n">
        <v>0</v>
      </c>
      <c r="AE1822" s="52" t="n">
        <v>0</v>
      </c>
      <c r="AF1822" s="51" t="n">
        <v>0</v>
      </c>
      <c r="AG1822" s="48" t="n">
        <v>0</v>
      </c>
      <c r="AH1822" s="49" t="n">
        <v>0</v>
      </c>
      <c r="AI1822" s="49" t="n">
        <v>0</v>
      </c>
      <c r="AJ1822" s="50" t="n">
        <v>0</v>
      </c>
      <c r="AK1822" s="51" t="n">
        <v>0</v>
      </c>
      <c r="AL1822" s="52" t="n">
        <v>0</v>
      </c>
      <c r="AM1822" s="52" t="n">
        <v>0</v>
      </c>
      <c r="AN1822" s="52" t="n">
        <v>0</v>
      </c>
      <c r="AO1822" s="53" t="n">
        <v>0</v>
      </c>
      <c r="AP1822" s="52" t="n">
        <v>0</v>
      </c>
      <c r="AQ1822" s="53" t="n">
        <v>0</v>
      </c>
      <c r="AR1822" s="52" t="n">
        <v>0</v>
      </c>
      <c r="AS1822" s="51" t="n">
        <v>0</v>
      </c>
      <c r="AT1822" s="48" t="n">
        <v>0</v>
      </c>
      <c r="AU1822" s="49" t="n">
        <v>0</v>
      </c>
      <c r="AV1822" s="49" t="n">
        <v>0</v>
      </c>
      <c r="AW1822" s="50" t="n">
        <v>0</v>
      </c>
      <c r="AX1822" s="51" t="n">
        <v>0</v>
      </c>
      <c r="AY1822" s="52" t="n">
        <v>0</v>
      </c>
      <c r="AZ1822" s="52" t="n">
        <v>0</v>
      </c>
      <c r="BA1822" s="52" t="n">
        <v>0</v>
      </c>
      <c r="BB1822" s="53" t="n">
        <v>0</v>
      </c>
      <c r="BC1822" s="52" t="n">
        <v>0</v>
      </c>
      <c r="BD1822" s="53" t="n">
        <v>0</v>
      </c>
      <c r="BE1822" s="52" t="n">
        <v>0</v>
      </c>
      <c r="BF1822" s="51" t="n">
        <v>0</v>
      </c>
    </row>
    <row r="1823">
      <c r="A1823">
        <f>HYPERLINK("https://www.walmart.com/ip/13844700682", "13844700682")</f>
        <v/>
      </c>
      <c r="B1823" t="inlineStr">
        <is>
          <t>Every Day is Christmas Glass Blown Ornaments Cute Hand Made Figurines Tree Decoration, Bananas Set of 2</t>
        </is>
      </c>
      <c r="C1823" t="inlineStr">
        <is>
          <t>EDC-FIGURINE-WP260</t>
        </is>
      </c>
      <c r="D1823" t="inlineStr">
        <is>
          <t>Ornaments</t>
        </is>
      </c>
      <c r="E1823" t="inlineStr">
        <is>
          <t>Every Day is Christmas</t>
        </is>
      </c>
      <c r="G1823" s="48" t="n">
        <v>0</v>
      </c>
      <c r="H1823" s="49" t="n">
        <v>0</v>
      </c>
      <c r="I1823" s="49" t="n">
        <v>0</v>
      </c>
      <c r="J1823" s="50" t="n">
        <v>0</v>
      </c>
      <c r="K1823" s="51" t="n">
        <v>0</v>
      </c>
      <c r="L1823" s="52" t="n">
        <v>0</v>
      </c>
      <c r="M1823" s="52" t="n">
        <v>0</v>
      </c>
      <c r="N1823" s="52" t="n">
        <v>0</v>
      </c>
      <c r="O1823" s="53" t="n">
        <v>0</v>
      </c>
      <c r="P1823" s="52" t="n">
        <v>0</v>
      </c>
      <c r="Q1823" s="53" t="n">
        <v>0</v>
      </c>
      <c r="R1823" s="52" t="n">
        <v>0</v>
      </c>
      <c r="S1823" s="51" t="n">
        <v>0</v>
      </c>
      <c r="T1823" s="48" t="n">
        <v>0</v>
      </c>
      <c r="U1823" s="49" t="n">
        <v>0</v>
      </c>
      <c r="V1823" s="49" t="n">
        <v>0</v>
      </c>
      <c r="W1823" s="50" t="n">
        <v>0</v>
      </c>
      <c r="X1823" s="51" t="n">
        <v>0</v>
      </c>
      <c r="Y1823" s="52" t="n">
        <v>0</v>
      </c>
      <c r="Z1823" s="52" t="n">
        <v>0</v>
      </c>
      <c r="AA1823" s="52" t="n">
        <v>0</v>
      </c>
      <c r="AB1823" s="53" t="n">
        <v>0</v>
      </c>
      <c r="AC1823" s="52" t="n">
        <v>0</v>
      </c>
      <c r="AD1823" s="53" t="n">
        <v>0</v>
      </c>
      <c r="AE1823" s="52" t="n">
        <v>0</v>
      </c>
      <c r="AF1823" s="51" t="n">
        <v>0</v>
      </c>
      <c r="AG1823" s="48" t="n">
        <v>0</v>
      </c>
      <c r="AH1823" s="49" t="n">
        <v>0</v>
      </c>
      <c r="AI1823" s="49" t="n">
        <v>0</v>
      </c>
      <c r="AJ1823" s="50" t="n">
        <v>0</v>
      </c>
      <c r="AK1823" s="51" t="n">
        <v>0</v>
      </c>
      <c r="AL1823" s="52" t="n">
        <v>0</v>
      </c>
      <c r="AM1823" s="52" t="n">
        <v>0</v>
      </c>
      <c r="AN1823" s="52" t="n">
        <v>0</v>
      </c>
      <c r="AO1823" s="53" t="n">
        <v>0</v>
      </c>
      <c r="AP1823" s="52" t="n">
        <v>0</v>
      </c>
      <c r="AQ1823" s="53" t="n">
        <v>0</v>
      </c>
      <c r="AR1823" s="52" t="n">
        <v>0</v>
      </c>
      <c r="AS1823" s="51" t="n">
        <v>0</v>
      </c>
      <c r="AT1823" s="48" t="n">
        <v>0</v>
      </c>
      <c r="AU1823" s="49" t="n">
        <v>0</v>
      </c>
      <c r="AV1823" s="49" t="n">
        <v>0</v>
      </c>
      <c r="AW1823" s="50" t="n">
        <v>0</v>
      </c>
      <c r="AX1823" s="51" t="n">
        <v>0</v>
      </c>
      <c r="AY1823" s="52" t="n">
        <v>0</v>
      </c>
      <c r="AZ1823" s="52" t="n">
        <v>0</v>
      </c>
      <c r="BA1823" s="52" t="n">
        <v>0</v>
      </c>
      <c r="BB1823" s="53" t="n">
        <v>0</v>
      </c>
      <c r="BC1823" s="52" t="n">
        <v>0</v>
      </c>
      <c r="BD1823" s="53" t="n">
        <v>0</v>
      </c>
      <c r="BE1823" s="52" t="n">
        <v>0</v>
      </c>
      <c r="BF1823" s="51" t="n">
        <v>0</v>
      </c>
    </row>
    <row r="1824">
      <c r="A1824">
        <f>HYPERLINK("https://www.walmart.com/ip/13844750309", "13844750309")</f>
        <v/>
      </c>
      <c r="B1824" t="inlineStr">
        <is>
          <t>Every Day is Christmas Glass Blown Ornaments Cute Hand Made Figurines Tree Decoration, Bacon and Eggs Set of 2</t>
        </is>
      </c>
      <c r="C1824" t="inlineStr">
        <is>
          <t>EDC-FIGURINE-WP265</t>
        </is>
      </c>
      <c r="D1824" t="inlineStr">
        <is>
          <t>Ornaments</t>
        </is>
      </c>
      <c r="E1824" t="inlineStr">
        <is>
          <t>Every Day is Christmas</t>
        </is>
      </c>
      <c r="G1824" s="48" t="n">
        <v>0</v>
      </c>
      <c r="H1824" s="49" t="n">
        <v>0</v>
      </c>
      <c r="I1824" s="49" t="n">
        <v>0</v>
      </c>
      <c r="J1824" s="50" t="n">
        <v>0</v>
      </c>
      <c r="K1824" s="51" t="n">
        <v>0</v>
      </c>
      <c r="L1824" s="52" t="n">
        <v>0</v>
      </c>
      <c r="M1824" s="52" t="n">
        <v>0</v>
      </c>
      <c r="N1824" s="52" t="n">
        <v>0</v>
      </c>
      <c r="O1824" s="53" t="n">
        <v>0</v>
      </c>
      <c r="P1824" s="52" t="n">
        <v>0</v>
      </c>
      <c r="Q1824" s="53" t="n">
        <v>0</v>
      </c>
      <c r="R1824" s="52" t="n">
        <v>0</v>
      </c>
      <c r="S1824" s="51" t="n">
        <v>0</v>
      </c>
      <c r="T1824" s="48" t="n">
        <v>0</v>
      </c>
      <c r="U1824" s="49" t="n">
        <v>0</v>
      </c>
      <c r="V1824" s="49" t="n">
        <v>0</v>
      </c>
      <c r="W1824" s="50" t="n">
        <v>0</v>
      </c>
      <c r="X1824" s="51" t="n">
        <v>0</v>
      </c>
      <c r="Y1824" s="52" t="n">
        <v>0</v>
      </c>
      <c r="Z1824" s="52" t="n">
        <v>0</v>
      </c>
      <c r="AA1824" s="52" t="n">
        <v>0</v>
      </c>
      <c r="AB1824" s="53" t="n">
        <v>0</v>
      </c>
      <c r="AC1824" s="52" t="n">
        <v>0</v>
      </c>
      <c r="AD1824" s="53" t="n">
        <v>0</v>
      </c>
      <c r="AE1824" s="52" t="n">
        <v>0</v>
      </c>
      <c r="AF1824" s="51" t="n">
        <v>0</v>
      </c>
      <c r="AG1824" s="48" t="n">
        <v>0</v>
      </c>
      <c r="AH1824" s="49" t="n">
        <v>0</v>
      </c>
      <c r="AI1824" s="49" t="n">
        <v>0</v>
      </c>
      <c r="AJ1824" s="50" t="n">
        <v>0</v>
      </c>
      <c r="AK1824" s="51" t="n">
        <v>0</v>
      </c>
      <c r="AL1824" s="52" t="n">
        <v>0</v>
      </c>
      <c r="AM1824" s="52" t="n">
        <v>0</v>
      </c>
      <c r="AN1824" s="52" t="n">
        <v>0</v>
      </c>
      <c r="AO1824" s="53" t="n">
        <v>0</v>
      </c>
      <c r="AP1824" s="52" t="n">
        <v>0</v>
      </c>
      <c r="AQ1824" s="53" t="n">
        <v>0</v>
      </c>
      <c r="AR1824" s="52" t="n">
        <v>0</v>
      </c>
      <c r="AS1824" s="51" t="n">
        <v>0</v>
      </c>
      <c r="AT1824" s="48" t="n">
        <v>0</v>
      </c>
      <c r="AU1824" s="49" t="n">
        <v>0</v>
      </c>
      <c r="AV1824" s="49" t="n">
        <v>0</v>
      </c>
      <c r="AW1824" s="50" t="n">
        <v>0</v>
      </c>
      <c r="AX1824" s="51" t="n">
        <v>0</v>
      </c>
      <c r="AY1824" s="52" t="n">
        <v>0</v>
      </c>
      <c r="AZ1824" s="52" t="n">
        <v>0</v>
      </c>
      <c r="BA1824" s="52" t="n">
        <v>0</v>
      </c>
      <c r="BB1824" s="53" t="n">
        <v>0</v>
      </c>
      <c r="BC1824" s="52" t="n">
        <v>0</v>
      </c>
      <c r="BD1824" s="53" t="n">
        <v>0</v>
      </c>
      <c r="BE1824" s="52" t="n">
        <v>0</v>
      </c>
      <c r="BF1824" s="51" t="n">
        <v>0</v>
      </c>
    </row>
    <row r="1825">
      <c r="A1825">
        <f>HYPERLINK("https://www.walmart.com/ip/138463051", "138463051")</f>
        <v/>
      </c>
      <c r="B1825" t="inlineStr">
        <is>
          <t>Men's Boxer Briefs Assorted Mens Underwear with Cotton Classic Stretch , 3-Pack by Terra</t>
        </is>
      </c>
      <c r="C1825" t="inlineStr">
        <is>
          <t>TERRABOXERSET2-L</t>
        </is>
      </c>
      <c r="D1825" t="inlineStr">
        <is>
          <t>Underpants</t>
        </is>
      </c>
      <c r="E1825" t="inlineStr">
        <is>
          <t>Terra</t>
        </is>
      </c>
      <c r="F1825" t="inlineStr">
        <is>
          <t>WFS,WFS Item</t>
        </is>
      </c>
      <c r="G1825" s="48" t="n">
        <v>0</v>
      </c>
      <c r="H1825" s="49" t="n">
        <v>0</v>
      </c>
      <c r="I1825" s="49" t="n">
        <v>0</v>
      </c>
      <c r="J1825" s="50" t="n">
        <v>0</v>
      </c>
      <c r="K1825" s="51" t="n">
        <v>0</v>
      </c>
      <c r="L1825" s="52" t="n">
        <v>0</v>
      </c>
      <c r="M1825" s="52" t="n">
        <v>0</v>
      </c>
      <c r="N1825" s="52" t="n">
        <v>0</v>
      </c>
      <c r="O1825" s="53" t="n">
        <v>0</v>
      </c>
      <c r="P1825" s="52" t="n">
        <v>0</v>
      </c>
      <c r="Q1825" s="53" t="n">
        <v>0</v>
      </c>
      <c r="R1825" s="52" t="n">
        <v>0</v>
      </c>
      <c r="S1825" s="51" t="n">
        <v>0</v>
      </c>
      <c r="T1825" s="48" t="n">
        <v>0</v>
      </c>
      <c r="U1825" s="49" t="n">
        <v>0</v>
      </c>
      <c r="V1825" s="49" t="n">
        <v>0</v>
      </c>
      <c r="W1825" s="50" t="n">
        <v>0</v>
      </c>
      <c r="X1825" s="51" t="n">
        <v>0</v>
      </c>
      <c r="Y1825" s="52" t="n">
        <v>0</v>
      </c>
      <c r="Z1825" s="52" t="n">
        <v>0</v>
      </c>
      <c r="AA1825" s="52" t="n">
        <v>0</v>
      </c>
      <c r="AB1825" s="53" t="n">
        <v>0</v>
      </c>
      <c r="AC1825" s="52" t="n">
        <v>0</v>
      </c>
      <c r="AD1825" s="53" t="n">
        <v>0</v>
      </c>
      <c r="AE1825" s="52" t="n">
        <v>0</v>
      </c>
      <c r="AF1825" s="51" t="n">
        <v>0</v>
      </c>
      <c r="AG1825" s="48" t="n">
        <v>0</v>
      </c>
      <c r="AH1825" s="49" t="n">
        <v>0</v>
      </c>
      <c r="AI1825" s="49" t="n">
        <v>0</v>
      </c>
      <c r="AJ1825" s="50" t="n">
        <v>0</v>
      </c>
      <c r="AK1825" s="51" t="n">
        <v>0</v>
      </c>
      <c r="AL1825" s="52" t="n">
        <v>0</v>
      </c>
      <c r="AM1825" s="52" t="n">
        <v>0</v>
      </c>
      <c r="AN1825" s="52" t="n">
        <v>0</v>
      </c>
      <c r="AO1825" s="53" t="n">
        <v>0</v>
      </c>
      <c r="AP1825" s="52" t="n">
        <v>0</v>
      </c>
      <c r="AQ1825" s="53" t="n">
        <v>0</v>
      </c>
      <c r="AR1825" s="52" t="n">
        <v>0</v>
      </c>
      <c r="AS1825" s="51" t="n">
        <v>0</v>
      </c>
      <c r="AT1825" s="48" t="n">
        <v>0</v>
      </c>
      <c r="AU1825" s="49" t="n">
        <v>0</v>
      </c>
      <c r="AV1825" s="49" t="n">
        <v>0</v>
      </c>
      <c r="AW1825" s="50" t="n">
        <v>0</v>
      </c>
      <c r="AX1825" s="51" t="n">
        <v>0</v>
      </c>
      <c r="AY1825" s="52" t="n">
        <v>0</v>
      </c>
      <c r="AZ1825" s="52" t="n">
        <v>0</v>
      </c>
      <c r="BA1825" s="52" t="n">
        <v>0</v>
      </c>
      <c r="BB1825" s="53" t="n">
        <v>0</v>
      </c>
      <c r="BC1825" s="52" t="n">
        <v>0</v>
      </c>
      <c r="BD1825" s="53" t="n">
        <v>0</v>
      </c>
      <c r="BE1825" s="52" t="n">
        <v>0</v>
      </c>
      <c r="BF1825" s="51" t="n">
        <v>0</v>
      </c>
    </row>
    <row r="1826">
      <c r="A1826">
        <f>HYPERLINK("https://www.walmart.com/ip/13851317807", "13851317807")</f>
        <v/>
      </c>
      <c r="B1826" t="inlineStr">
        <is>
          <t>Every Day is Christmas Glass Blown Ornaments Cute Hand Made Figurines Tree Decoration, Ice Cream Set of 3</t>
        </is>
      </c>
      <c r="C1826" t="inlineStr">
        <is>
          <t>EDC-FIGURINE-BC336</t>
        </is>
      </c>
      <c r="D1826" t="inlineStr">
        <is>
          <t>Ornaments</t>
        </is>
      </c>
      <c r="E1826" t="inlineStr">
        <is>
          <t>Every Day is Christmas</t>
        </is>
      </c>
      <c r="G1826" s="48" t="n">
        <v>0</v>
      </c>
      <c r="H1826" s="49" t="n">
        <v>0</v>
      </c>
      <c r="I1826" s="49" t="n">
        <v>0</v>
      </c>
      <c r="J1826" s="50" t="n">
        <v>0</v>
      </c>
      <c r="K1826" s="51" t="n">
        <v>0</v>
      </c>
      <c r="L1826" s="52" t="n">
        <v>0</v>
      </c>
      <c r="M1826" s="52" t="n">
        <v>0</v>
      </c>
      <c r="N1826" s="52" t="n">
        <v>0</v>
      </c>
      <c r="O1826" s="53" t="n">
        <v>0</v>
      </c>
      <c r="P1826" s="52" t="n">
        <v>0</v>
      </c>
      <c r="Q1826" s="53" t="n">
        <v>0</v>
      </c>
      <c r="R1826" s="52" t="n">
        <v>0</v>
      </c>
      <c r="S1826" s="51" t="n">
        <v>0</v>
      </c>
      <c r="T1826" s="48" t="n">
        <v>0</v>
      </c>
      <c r="U1826" s="49" t="n">
        <v>0</v>
      </c>
      <c r="V1826" s="49" t="n">
        <v>0</v>
      </c>
      <c r="W1826" s="50" t="n">
        <v>0</v>
      </c>
      <c r="X1826" s="51" t="n">
        <v>0</v>
      </c>
      <c r="Y1826" s="52" t="n">
        <v>0</v>
      </c>
      <c r="Z1826" s="52" t="n">
        <v>0</v>
      </c>
      <c r="AA1826" s="52" t="n">
        <v>0</v>
      </c>
      <c r="AB1826" s="53" t="n">
        <v>0</v>
      </c>
      <c r="AC1826" s="52" t="n">
        <v>0</v>
      </c>
      <c r="AD1826" s="53" t="n">
        <v>0</v>
      </c>
      <c r="AE1826" s="52" t="n">
        <v>0</v>
      </c>
      <c r="AF1826" s="51" t="n">
        <v>0</v>
      </c>
      <c r="AG1826" s="48" t="n">
        <v>0</v>
      </c>
      <c r="AH1826" s="49" t="n">
        <v>0</v>
      </c>
      <c r="AI1826" s="49" t="n">
        <v>0</v>
      </c>
      <c r="AJ1826" s="50" t="n">
        <v>0</v>
      </c>
      <c r="AK1826" s="51" t="n">
        <v>0</v>
      </c>
      <c r="AL1826" s="52" t="n">
        <v>0</v>
      </c>
      <c r="AM1826" s="52" t="n">
        <v>0</v>
      </c>
      <c r="AN1826" s="52" t="n">
        <v>0</v>
      </c>
      <c r="AO1826" s="53" t="n">
        <v>0</v>
      </c>
      <c r="AP1826" s="52" t="n">
        <v>0</v>
      </c>
      <c r="AQ1826" s="53" t="n">
        <v>0</v>
      </c>
      <c r="AR1826" s="52" t="n">
        <v>0</v>
      </c>
      <c r="AS1826" s="51" t="n">
        <v>0</v>
      </c>
      <c r="AT1826" s="48" t="n">
        <v>0</v>
      </c>
      <c r="AU1826" s="49" t="n">
        <v>0</v>
      </c>
      <c r="AV1826" s="49" t="n">
        <v>0</v>
      </c>
      <c r="AW1826" s="50" t="n">
        <v>0</v>
      </c>
      <c r="AX1826" s="51" t="n">
        <v>0</v>
      </c>
      <c r="AY1826" s="52" t="n">
        <v>0</v>
      </c>
      <c r="AZ1826" s="52" t="n">
        <v>0</v>
      </c>
      <c r="BA1826" s="52" t="n">
        <v>0</v>
      </c>
      <c r="BB1826" s="53" t="n">
        <v>0</v>
      </c>
      <c r="BC1826" s="52" t="n">
        <v>0</v>
      </c>
      <c r="BD1826" s="53" t="n">
        <v>0</v>
      </c>
      <c r="BE1826" s="52" t="n">
        <v>0</v>
      </c>
      <c r="BF1826" s="51" t="n">
        <v>0</v>
      </c>
    </row>
    <row r="1827">
      <c r="A1827">
        <f>HYPERLINK("https://www.walmart.com/ip/13856751471", "13856751471")</f>
        <v/>
      </c>
      <c r="B1827" t="inlineStr">
        <is>
          <t>Every Day is Christmas Glass Blown Ornaments Cute Hand Made Figurines Tree Decoration, Suitcases Set of 2</t>
        </is>
      </c>
      <c r="C1827" t="inlineStr">
        <is>
          <t>EDC-FIGURINE-WP273</t>
        </is>
      </c>
      <c r="D1827" t="inlineStr">
        <is>
          <t>Ornaments</t>
        </is>
      </c>
      <c r="E1827" t="inlineStr">
        <is>
          <t>Every Day is Christmas</t>
        </is>
      </c>
      <c r="G1827" s="48" t="n">
        <v>0</v>
      </c>
      <c r="H1827" s="49" t="n">
        <v>0</v>
      </c>
      <c r="I1827" s="49" t="n">
        <v>0</v>
      </c>
      <c r="J1827" s="50" t="n">
        <v>0</v>
      </c>
      <c r="K1827" s="51" t="n">
        <v>0</v>
      </c>
      <c r="L1827" s="52" t="n">
        <v>0</v>
      </c>
      <c r="M1827" s="52" t="n">
        <v>0</v>
      </c>
      <c r="N1827" s="52" t="n">
        <v>0</v>
      </c>
      <c r="O1827" s="53" t="n">
        <v>0</v>
      </c>
      <c r="P1827" s="52" t="n">
        <v>0</v>
      </c>
      <c r="Q1827" s="53" t="n">
        <v>0</v>
      </c>
      <c r="R1827" s="52" t="n">
        <v>0</v>
      </c>
      <c r="S1827" s="51" t="n">
        <v>0</v>
      </c>
      <c r="T1827" s="48" t="n">
        <v>0</v>
      </c>
      <c r="U1827" s="49" t="n">
        <v>0</v>
      </c>
      <c r="V1827" s="49" t="n">
        <v>0</v>
      </c>
      <c r="W1827" s="50" t="n">
        <v>0</v>
      </c>
      <c r="X1827" s="51" t="n">
        <v>0</v>
      </c>
      <c r="Y1827" s="52" t="n">
        <v>0</v>
      </c>
      <c r="Z1827" s="52" t="n">
        <v>0</v>
      </c>
      <c r="AA1827" s="52" t="n">
        <v>0</v>
      </c>
      <c r="AB1827" s="53" t="n">
        <v>0</v>
      </c>
      <c r="AC1827" s="52" t="n">
        <v>0</v>
      </c>
      <c r="AD1827" s="53" t="n">
        <v>0</v>
      </c>
      <c r="AE1827" s="52" t="n">
        <v>0</v>
      </c>
      <c r="AF1827" s="51" t="n">
        <v>0</v>
      </c>
      <c r="AG1827" s="48" t="n">
        <v>0</v>
      </c>
      <c r="AH1827" s="49" t="n">
        <v>0</v>
      </c>
      <c r="AI1827" s="49" t="n">
        <v>0</v>
      </c>
      <c r="AJ1827" s="50" t="n">
        <v>0</v>
      </c>
      <c r="AK1827" s="51" t="n">
        <v>0</v>
      </c>
      <c r="AL1827" s="52" t="n">
        <v>0</v>
      </c>
      <c r="AM1827" s="52" t="n">
        <v>0</v>
      </c>
      <c r="AN1827" s="52" t="n">
        <v>0</v>
      </c>
      <c r="AO1827" s="53" t="n">
        <v>0</v>
      </c>
      <c r="AP1827" s="52" t="n">
        <v>0</v>
      </c>
      <c r="AQ1827" s="53" t="n">
        <v>0</v>
      </c>
      <c r="AR1827" s="52" t="n">
        <v>0</v>
      </c>
      <c r="AS1827" s="51" t="n">
        <v>0</v>
      </c>
      <c r="AT1827" s="48" t="n">
        <v>0</v>
      </c>
      <c r="AU1827" s="49" t="n">
        <v>0</v>
      </c>
      <c r="AV1827" s="49" t="n">
        <v>0</v>
      </c>
      <c r="AW1827" s="50" t="n">
        <v>0</v>
      </c>
      <c r="AX1827" s="51" t="n">
        <v>0</v>
      </c>
      <c r="AY1827" s="52" t="n">
        <v>0</v>
      </c>
      <c r="AZ1827" s="52" t="n">
        <v>0</v>
      </c>
      <c r="BA1827" s="52" t="n">
        <v>0</v>
      </c>
      <c r="BB1827" s="53" t="n">
        <v>0</v>
      </c>
      <c r="BC1827" s="52" t="n">
        <v>0</v>
      </c>
      <c r="BD1827" s="53" t="n">
        <v>0</v>
      </c>
      <c r="BE1827" s="52" t="n">
        <v>0</v>
      </c>
      <c r="BF1827" s="51" t="n">
        <v>0</v>
      </c>
    </row>
    <row r="1828">
      <c r="A1828">
        <f>HYPERLINK("https://www.walmart.com/ip/1385814978", "1385814978")</f>
        <v/>
      </c>
      <c r="B1828" t="inlineStr">
        <is>
          <t>Every Day is Christmas Glass Blown Ornaments Cute Hand Made Figurines Tree Decoration, Burger Fries</t>
        </is>
      </c>
      <c r="C1828" t="inlineStr">
        <is>
          <t>EDC-FIGURINE-BURGERFRIES</t>
        </is>
      </c>
      <c r="D1828" t="inlineStr">
        <is>
          <t>Ornaments</t>
        </is>
      </c>
      <c r="E1828" t="inlineStr">
        <is>
          <t>Every Day is Christmas</t>
        </is>
      </c>
      <c r="G1828" s="48" t="n">
        <v>0</v>
      </c>
      <c r="H1828" s="49" t="n">
        <v>0</v>
      </c>
      <c r="I1828" s="49" t="n">
        <v>0</v>
      </c>
      <c r="J1828" s="50" t="n">
        <v>0</v>
      </c>
      <c r="K1828" s="51" t="n">
        <v>0</v>
      </c>
      <c r="L1828" s="52" t="n">
        <v>0</v>
      </c>
      <c r="M1828" s="52" t="n">
        <v>0</v>
      </c>
      <c r="N1828" s="52" t="n">
        <v>0</v>
      </c>
      <c r="O1828" s="53" t="n">
        <v>0</v>
      </c>
      <c r="P1828" s="52" t="n">
        <v>0</v>
      </c>
      <c r="Q1828" s="53" t="n">
        <v>0</v>
      </c>
      <c r="R1828" s="52" t="n">
        <v>0</v>
      </c>
      <c r="S1828" s="51" t="n">
        <v>0</v>
      </c>
      <c r="T1828" s="48" t="n">
        <v>0</v>
      </c>
      <c r="U1828" s="49" t="n">
        <v>0</v>
      </c>
      <c r="V1828" s="49" t="n">
        <v>0</v>
      </c>
      <c r="W1828" s="50" t="n">
        <v>0</v>
      </c>
      <c r="X1828" s="51" t="n">
        <v>0</v>
      </c>
      <c r="Y1828" s="52" t="n">
        <v>0</v>
      </c>
      <c r="Z1828" s="52" t="n">
        <v>0</v>
      </c>
      <c r="AA1828" s="52" t="n">
        <v>0</v>
      </c>
      <c r="AB1828" s="53" t="n">
        <v>0</v>
      </c>
      <c r="AC1828" s="52" t="n">
        <v>0</v>
      </c>
      <c r="AD1828" s="53" t="n">
        <v>0</v>
      </c>
      <c r="AE1828" s="52" t="n">
        <v>0</v>
      </c>
      <c r="AF1828" s="51" t="n">
        <v>0</v>
      </c>
      <c r="AG1828" s="48" t="n">
        <v>0</v>
      </c>
      <c r="AH1828" s="49" t="n">
        <v>0</v>
      </c>
      <c r="AI1828" s="49" t="n">
        <v>0</v>
      </c>
      <c r="AJ1828" s="50" t="n">
        <v>0</v>
      </c>
      <c r="AK1828" s="51" t="n">
        <v>0</v>
      </c>
      <c r="AL1828" s="52" t="n">
        <v>0</v>
      </c>
      <c r="AM1828" s="52" t="n">
        <v>0</v>
      </c>
      <c r="AN1828" s="52" t="n">
        <v>0</v>
      </c>
      <c r="AO1828" s="53" t="n">
        <v>0</v>
      </c>
      <c r="AP1828" s="52" t="n">
        <v>0</v>
      </c>
      <c r="AQ1828" s="53" t="n">
        <v>0</v>
      </c>
      <c r="AR1828" s="52" t="n">
        <v>0</v>
      </c>
      <c r="AS1828" s="51" t="n">
        <v>0</v>
      </c>
      <c r="AT1828" s="48" t="n">
        <v>0</v>
      </c>
      <c r="AU1828" s="49" t="n">
        <v>0</v>
      </c>
      <c r="AV1828" s="49" t="n">
        <v>0</v>
      </c>
      <c r="AW1828" s="50" t="n">
        <v>0</v>
      </c>
      <c r="AX1828" s="51" t="n">
        <v>0</v>
      </c>
      <c r="AY1828" s="52" t="n">
        <v>0</v>
      </c>
      <c r="AZ1828" s="52" t="n">
        <v>0</v>
      </c>
      <c r="BA1828" s="52" t="n">
        <v>0</v>
      </c>
      <c r="BB1828" s="53" t="n">
        <v>0</v>
      </c>
      <c r="BC1828" s="52" t="n">
        <v>0</v>
      </c>
      <c r="BD1828" s="53" t="n">
        <v>0</v>
      </c>
      <c r="BE1828" s="52" t="n">
        <v>0</v>
      </c>
      <c r="BF1828" s="51" t="n">
        <v>0</v>
      </c>
    </row>
    <row r="1829">
      <c r="A1829">
        <f>HYPERLINK("https://www.walmart.com/ip/13861054097", "13861054097")</f>
        <v/>
      </c>
      <c r="B1829" t="inlineStr">
        <is>
          <t>Every Day is Christmas Glass Blown Ornaments Cute Hand Made Figurines Tree Decoration, Toilets Set of 2</t>
        </is>
      </c>
      <c r="C1829" t="inlineStr">
        <is>
          <t>EDC-FIGURINE-WP271</t>
        </is>
      </c>
      <c r="D1829" t="inlineStr">
        <is>
          <t>Ornaments</t>
        </is>
      </c>
      <c r="E1829" t="inlineStr">
        <is>
          <t>Every Day is Christmas</t>
        </is>
      </c>
      <c r="G1829" s="48" t="n">
        <v>0</v>
      </c>
      <c r="H1829" s="49" t="n">
        <v>0</v>
      </c>
      <c r="I1829" s="49" t="n">
        <v>0</v>
      </c>
      <c r="J1829" s="50" t="n">
        <v>0</v>
      </c>
      <c r="K1829" s="51" t="n">
        <v>0</v>
      </c>
      <c r="L1829" s="52" t="n">
        <v>0</v>
      </c>
      <c r="M1829" s="52" t="n">
        <v>0</v>
      </c>
      <c r="N1829" s="52" t="n">
        <v>0</v>
      </c>
      <c r="O1829" s="53" t="n">
        <v>0</v>
      </c>
      <c r="P1829" s="52" t="n">
        <v>0</v>
      </c>
      <c r="Q1829" s="53" t="n">
        <v>0</v>
      </c>
      <c r="R1829" s="52" t="n">
        <v>0</v>
      </c>
      <c r="S1829" s="51" t="n">
        <v>0</v>
      </c>
      <c r="T1829" s="48" t="n">
        <v>0</v>
      </c>
      <c r="U1829" s="49" t="n">
        <v>0</v>
      </c>
      <c r="V1829" s="49" t="n">
        <v>0</v>
      </c>
      <c r="W1829" s="50" t="n">
        <v>0</v>
      </c>
      <c r="X1829" s="51" t="n">
        <v>0</v>
      </c>
      <c r="Y1829" s="52" t="n">
        <v>0</v>
      </c>
      <c r="Z1829" s="52" t="n">
        <v>0</v>
      </c>
      <c r="AA1829" s="52" t="n">
        <v>0</v>
      </c>
      <c r="AB1829" s="53" t="n">
        <v>0</v>
      </c>
      <c r="AC1829" s="52" t="n">
        <v>0</v>
      </c>
      <c r="AD1829" s="53" t="n">
        <v>0</v>
      </c>
      <c r="AE1829" s="52" t="n">
        <v>0</v>
      </c>
      <c r="AF1829" s="51" t="n">
        <v>0</v>
      </c>
      <c r="AG1829" s="48" t="n">
        <v>0</v>
      </c>
      <c r="AH1829" s="49" t="n">
        <v>0</v>
      </c>
      <c r="AI1829" s="49" t="n">
        <v>0</v>
      </c>
      <c r="AJ1829" s="50" t="n">
        <v>0</v>
      </c>
      <c r="AK1829" s="51" t="n">
        <v>0</v>
      </c>
      <c r="AL1829" s="52" t="n">
        <v>0</v>
      </c>
      <c r="AM1829" s="52" t="n">
        <v>0</v>
      </c>
      <c r="AN1829" s="52" t="n">
        <v>0</v>
      </c>
      <c r="AO1829" s="53" t="n">
        <v>0</v>
      </c>
      <c r="AP1829" s="52" t="n">
        <v>0</v>
      </c>
      <c r="AQ1829" s="53" t="n">
        <v>0</v>
      </c>
      <c r="AR1829" s="52" t="n">
        <v>0</v>
      </c>
      <c r="AS1829" s="51" t="n">
        <v>0</v>
      </c>
      <c r="AT1829" s="48" t="n">
        <v>0</v>
      </c>
      <c r="AU1829" s="49" t="n">
        <v>0</v>
      </c>
      <c r="AV1829" s="49" t="n">
        <v>0</v>
      </c>
      <c r="AW1829" s="50" t="n">
        <v>0</v>
      </c>
      <c r="AX1829" s="51" t="n">
        <v>0</v>
      </c>
      <c r="AY1829" s="52" t="n">
        <v>0</v>
      </c>
      <c r="AZ1829" s="52" t="n">
        <v>0</v>
      </c>
      <c r="BA1829" s="52" t="n">
        <v>0</v>
      </c>
      <c r="BB1829" s="53" t="n">
        <v>0</v>
      </c>
      <c r="BC1829" s="52" t="n">
        <v>0</v>
      </c>
      <c r="BD1829" s="53" t="n">
        <v>0</v>
      </c>
      <c r="BE1829" s="52" t="n">
        <v>0</v>
      </c>
      <c r="BF1829" s="51" t="n">
        <v>0</v>
      </c>
    </row>
    <row r="1830">
      <c r="A1830">
        <f>HYPERLINK("https://www.walmart.com/ip/13862613852", "13862613852")</f>
        <v/>
      </c>
      <c r="B1830" t="inlineStr">
        <is>
          <t>Every Day is Christmas Glass Blown Ornaments Cute Hand Made Figurines Tree Decoration, Set of 2 Whale</t>
        </is>
      </c>
      <c r="C1830" t="inlineStr">
        <is>
          <t>EDC-FIGURINE-WHALE-2PACK</t>
        </is>
      </c>
      <c r="D1830" t="inlineStr">
        <is>
          <t>Ornaments</t>
        </is>
      </c>
      <c r="E1830" t="inlineStr">
        <is>
          <t>Every Day is Christmas</t>
        </is>
      </c>
      <c r="G1830" s="48" t="n">
        <v>0</v>
      </c>
      <c r="H1830" s="49" t="n">
        <v>0</v>
      </c>
      <c r="I1830" s="49" t="n">
        <v>0</v>
      </c>
      <c r="J1830" s="50" t="n">
        <v>0</v>
      </c>
      <c r="K1830" s="51" t="n">
        <v>0</v>
      </c>
      <c r="L1830" s="52" t="n">
        <v>0</v>
      </c>
      <c r="M1830" s="52" t="n">
        <v>0</v>
      </c>
      <c r="N1830" s="52" t="n">
        <v>0</v>
      </c>
      <c r="O1830" s="53" t="n">
        <v>0</v>
      </c>
      <c r="P1830" s="52" t="n">
        <v>0</v>
      </c>
      <c r="Q1830" s="53" t="n">
        <v>0</v>
      </c>
      <c r="R1830" s="52" t="n">
        <v>0</v>
      </c>
      <c r="S1830" s="51" t="n">
        <v>0</v>
      </c>
      <c r="T1830" s="48" t="n">
        <v>0</v>
      </c>
      <c r="U1830" s="49" t="n">
        <v>0</v>
      </c>
      <c r="V1830" s="49" t="n">
        <v>0</v>
      </c>
      <c r="W1830" s="50" t="n">
        <v>0</v>
      </c>
      <c r="X1830" s="51" t="n">
        <v>0</v>
      </c>
      <c r="Y1830" s="52" t="n">
        <v>0</v>
      </c>
      <c r="Z1830" s="52" t="n">
        <v>0</v>
      </c>
      <c r="AA1830" s="52" t="n">
        <v>0</v>
      </c>
      <c r="AB1830" s="53" t="n">
        <v>0</v>
      </c>
      <c r="AC1830" s="52" t="n">
        <v>0</v>
      </c>
      <c r="AD1830" s="53" t="n">
        <v>0</v>
      </c>
      <c r="AE1830" s="52" t="n">
        <v>0</v>
      </c>
      <c r="AF1830" s="51" t="n">
        <v>0</v>
      </c>
      <c r="AG1830" s="48" t="n">
        <v>0</v>
      </c>
      <c r="AH1830" s="49" t="n">
        <v>0</v>
      </c>
      <c r="AI1830" s="49" t="n">
        <v>0</v>
      </c>
      <c r="AJ1830" s="50" t="n">
        <v>0</v>
      </c>
      <c r="AK1830" s="51" t="n">
        <v>0</v>
      </c>
      <c r="AL1830" s="52" t="n">
        <v>0</v>
      </c>
      <c r="AM1830" s="52" t="n">
        <v>0</v>
      </c>
      <c r="AN1830" s="52" t="n">
        <v>0</v>
      </c>
      <c r="AO1830" s="53" t="n">
        <v>0</v>
      </c>
      <c r="AP1830" s="52" t="n">
        <v>0</v>
      </c>
      <c r="AQ1830" s="53" t="n">
        <v>0</v>
      </c>
      <c r="AR1830" s="52" t="n">
        <v>0</v>
      </c>
      <c r="AS1830" s="51" t="n">
        <v>0</v>
      </c>
      <c r="AT1830" s="48" t="n">
        <v>0</v>
      </c>
      <c r="AU1830" s="49" t="n">
        <v>0</v>
      </c>
      <c r="AV1830" s="49" t="n">
        <v>0</v>
      </c>
      <c r="AW1830" s="50" t="n">
        <v>0</v>
      </c>
      <c r="AX1830" s="51" t="n">
        <v>0</v>
      </c>
      <c r="AY1830" s="52" t="n">
        <v>0</v>
      </c>
      <c r="AZ1830" s="52" t="n">
        <v>0</v>
      </c>
      <c r="BA1830" s="52" t="n">
        <v>0</v>
      </c>
      <c r="BB1830" s="53" t="n">
        <v>0</v>
      </c>
      <c r="BC1830" s="52" t="n">
        <v>0</v>
      </c>
      <c r="BD1830" s="53" t="n">
        <v>0</v>
      </c>
      <c r="BE1830" s="52" t="n">
        <v>0</v>
      </c>
      <c r="BF1830" s="51" t="n">
        <v>0</v>
      </c>
    </row>
    <row r="1831">
      <c r="A1831">
        <f>HYPERLINK("https://www.walmart.com/ip/13862613855", "13862613855")</f>
        <v/>
      </c>
      <c r="B1831" t="inlineStr">
        <is>
          <t>Every Day is Christmas Glass Blown Ornaments Cute Hand Made Figurines Tree Decoration (Cross Set)</t>
        </is>
      </c>
      <c r="C1831" t="inlineStr">
        <is>
          <t>EDC-FIGURINE-WP267</t>
        </is>
      </c>
      <c r="D1831" t="inlineStr">
        <is>
          <t>Ornaments</t>
        </is>
      </c>
      <c r="E1831" t="inlineStr">
        <is>
          <t>Every Day is Christmas</t>
        </is>
      </c>
      <c r="G1831" s="48" t="n">
        <v>0</v>
      </c>
      <c r="H1831" s="49" t="n">
        <v>0</v>
      </c>
      <c r="I1831" s="49" t="n">
        <v>0</v>
      </c>
      <c r="J1831" s="50" t="n">
        <v>0</v>
      </c>
      <c r="K1831" s="51" t="n">
        <v>0</v>
      </c>
      <c r="L1831" s="52" t="n">
        <v>0</v>
      </c>
      <c r="M1831" s="52" t="n">
        <v>0</v>
      </c>
      <c r="N1831" s="52" t="n">
        <v>0</v>
      </c>
      <c r="O1831" s="53" t="n">
        <v>0</v>
      </c>
      <c r="P1831" s="52" t="n">
        <v>0</v>
      </c>
      <c r="Q1831" s="53" t="n">
        <v>0</v>
      </c>
      <c r="R1831" s="52" t="n">
        <v>0</v>
      </c>
      <c r="S1831" s="51" t="n">
        <v>0</v>
      </c>
      <c r="T1831" s="48" t="n">
        <v>0</v>
      </c>
      <c r="U1831" s="49" t="n">
        <v>0</v>
      </c>
      <c r="V1831" s="49" t="n">
        <v>0</v>
      </c>
      <c r="W1831" s="50" t="n">
        <v>0</v>
      </c>
      <c r="X1831" s="51" t="n">
        <v>0</v>
      </c>
      <c r="Y1831" s="52" t="n">
        <v>0</v>
      </c>
      <c r="Z1831" s="52" t="n">
        <v>0</v>
      </c>
      <c r="AA1831" s="52" t="n">
        <v>0</v>
      </c>
      <c r="AB1831" s="53" t="n">
        <v>0</v>
      </c>
      <c r="AC1831" s="52" t="n">
        <v>0</v>
      </c>
      <c r="AD1831" s="53" t="n">
        <v>0</v>
      </c>
      <c r="AE1831" s="52" t="n">
        <v>0</v>
      </c>
      <c r="AF1831" s="51" t="n">
        <v>0</v>
      </c>
      <c r="AG1831" s="48" t="n">
        <v>0</v>
      </c>
      <c r="AH1831" s="49" t="n">
        <v>0</v>
      </c>
      <c r="AI1831" s="49" t="n">
        <v>0</v>
      </c>
      <c r="AJ1831" s="50" t="n">
        <v>0</v>
      </c>
      <c r="AK1831" s="51" t="n">
        <v>0</v>
      </c>
      <c r="AL1831" s="52" t="n">
        <v>0</v>
      </c>
      <c r="AM1831" s="52" t="n">
        <v>0</v>
      </c>
      <c r="AN1831" s="52" t="n">
        <v>0</v>
      </c>
      <c r="AO1831" s="53" t="n">
        <v>0</v>
      </c>
      <c r="AP1831" s="52" t="n">
        <v>0</v>
      </c>
      <c r="AQ1831" s="53" t="n">
        <v>0</v>
      </c>
      <c r="AR1831" s="52" t="n">
        <v>0</v>
      </c>
      <c r="AS1831" s="51" t="n">
        <v>0</v>
      </c>
      <c r="AT1831" s="48" t="n">
        <v>0</v>
      </c>
      <c r="AU1831" s="49" t="n">
        <v>0</v>
      </c>
      <c r="AV1831" s="49" t="n">
        <v>0</v>
      </c>
      <c r="AW1831" s="50" t="n">
        <v>0</v>
      </c>
      <c r="AX1831" s="51" t="n">
        <v>0</v>
      </c>
      <c r="AY1831" s="52" t="n">
        <v>0</v>
      </c>
      <c r="AZ1831" s="52" t="n">
        <v>0</v>
      </c>
      <c r="BA1831" s="52" t="n">
        <v>0</v>
      </c>
      <c r="BB1831" s="53" t="n">
        <v>0</v>
      </c>
      <c r="BC1831" s="52" t="n">
        <v>0</v>
      </c>
      <c r="BD1831" s="53" t="n">
        <v>0</v>
      </c>
      <c r="BE1831" s="52" t="n">
        <v>0</v>
      </c>
      <c r="BF1831" s="51" t="n">
        <v>0</v>
      </c>
    </row>
    <row r="1832">
      <c r="A1832">
        <f>HYPERLINK("https://www.walmart.com/ip/13865823113", "13865823113")</f>
        <v/>
      </c>
      <c r="B1832" t="inlineStr">
        <is>
          <t>Every Day is Christmas Glass Blown Ornaments Cute Hand Made Figurines Tree Decoration, Peanut Butter, Jam Set of 2</t>
        </is>
      </c>
      <c r="C1832" t="inlineStr">
        <is>
          <t>EDC-FIGURINE-WP299</t>
        </is>
      </c>
      <c r="D1832" t="inlineStr">
        <is>
          <t>Ornaments</t>
        </is>
      </c>
      <c r="E1832" t="inlineStr">
        <is>
          <t>Every Day is Christmas</t>
        </is>
      </c>
      <c r="G1832" s="48" t="n">
        <v>0</v>
      </c>
      <c r="H1832" s="49" t="n">
        <v>0</v>
      </c>
      <c r="I1832" s="49" t="n">
        <v>0</v>
      </c>
      <c r="J1832" s="50" t="n">
        <v>0</v>
      </c>
      <c r="K1832" s="51" t="n">
        <v>0</v>
      </c>
      <c r="L1832" s="52" t="n">
        <v>0</v>
      </c>
      <c r="M1832" s="52" t="n">
        <v>0</v>
      </c>
      <c r="N1832" s="52" t="n">
        <v>0</v>
      </c>
      <c r="O1832" s="53" t="n">
        <v>0</v>
      </c>
      <c r="P1832" s="52" t="n">
        <v>0</v>
      </c>
      <c r="Q1832" s="53" t="n">
        <v>0</v>
      </c>
      <c r="R1832" s="52" t="n">
        <v>0</v>
      </c>
      <c r="S1832" s="51" t="n">
        <v>0</v>
      </c>
      <c r="T1832" s="48" t="n">
        <v>0</v>
      </c>
      <c r="U1832" s="49" t="n">
        <v>0</v>
      </c>
      <c r="V1832" s="49" t="n">
        <v>0</v>
      </c>
      <c r="W1832" s="50" t="n">
        <v>0</v>
      </c>
      <c r="X1832" s="51" t="n">
        <v>0</v>
      </c>
      <c r="Y1832" s="52" t="n">
        <v>0</v>
      </c>
      <c r="Z1832" s="52" t="n">
        <v>0</v>
      </c>
      <c r="AA1832" s="52" t="n">
        <v>0</v>
      </c>
      <c r="AB1832" s="53" t="n">
        <v>0</v>
      </c>
      <c r="AC1832" s="52" t="n">
        <v>0</v>
      </c>
      <c r="AD1832" s="53" t="n">
        <v>0</v>
      </c>
      <c r="AE1832" s="52" t="n">
        <v>0</v>
      </c>
      <c r="AF1832" s="51" t="n">
        <v>0</v>
      </c>
      <c r="AG1832" s="48" t="n">
        <v>0</v>
      </c>
      <c r="AH1832" s="49" t="n">
        <v>0</v>
      </c>
      <c r="AI1832" s="49" t="n">
        <v>0</v>
      </c>
      <c r="AJ1832" s="50" t="n">
        <v>0</v>
      </c>
      <c r="AK1832" s="51" t="n">
        <v>0</v>
      </c>
      <c r="AL1832" s="52" t="n">
        <v>0</v>
      </c>
      <c r="AM1832" s="52" t="n">
        <v>0</v>
      </c>
      <c r="AN1832" s="52" t="n">
        <v>0</v>
      </c>
      <c r="AO1832" s="53" t="n">
        <v>0</v>
      </c>
      <c r="AP1832" s="52" t="n">
        <v>0</v>
      </c>
      <c r="AQ1832" s="53" t="n">
        <v>0</v>
      </c>
      <c r="AR1832" s="52" t="n">
        <v>0</v>
      </c>
      <c r="AS1832" s="51" t="n">
        <v>0</v>
      </c>
      <c r="AT1832" s="48" t="n">
        <v>0</v>
      </c>
      <c r="AU1832" s="49" t="n">
        <v>0</v>
      </c>
      <c r="AV1832" s="49" t="n">
        <v>0</v>
      </c>
      <c r="AW1832" s="50" t="n">
        <v>0</v>
      </c>
      <c r="AX1832" s="51" t="n">
        <v>0</v>
      </c>
      <c r="AY1832" s="52" t="n">
        <v>0</v>
      </c>
      <c r="AZ1832" s="52" t="n">
        <v>0</v>
      </c>
      <c r="BA1832" s="52" t="n">
        <v>0</v>
      </c>
      <c r="BB1832" s="53" t="n">
        <v>0</v>
      </c>
      <c r="BC1832" s="52" t="n">
        <v>0</v>
      </c>
      <c r="BD1832" s="53" t="n">
        <v>0</v>
      </c>
      <c r="BE1832" s="52" t="n">
        <v>0</v>
      </c>
      <c r="BF1832" s="51" t="n">
        <v>0</v>
      </c>
    </row>
    <row r="1833">
      <c r="A1833">
        <f>HYPERLINK("https://www.walmart.com/ip/13865873039", "13865873039")</f>
        <v/>
      </c>
      <c r="B1833" t="inlineStr">
        <is>
          <t>Every Day is Christmas Glass Blown Ornaments Cute Hand Made Figurines Tree Decoration, Game Controllers Set of 2</t>
        </is>
      </c>
      <c r="C1833" t="inlineStr">
        <is>
          <t>EDC-FIGURINE-WP278</t>
        </is>
      </c>
      <c r="D1833" t="inlineStr">
        <is>
          <t>Ornaments</t>
        </is>
      </c>
      <c r="E1833" t="inlineStr">
        <is>
          <t>Every Day is Christmas</t>
        </is>
      </c>
      <c r="G1833" s="48" t="n">
        <v>0</v>
      </c>
      <c r="H1833" s="49" t="n">
        <v>0</v>
      </c>
      <c r="I1833" s="49" t="n">
        <v>0</v>
      </c>
      <c r="J1833" s="50" t="n">
        <v>0</v>
      </c>
      <c r="K1833" s="51" t="n">
        <v>0</v>
      </c>
      <c r="L1833" s="52" t="n">
        <v>0</v>
      </c>
      <c r="M1833" s="52" t="n">
        <v>0</v>
      </c>
      <c r="N1833" s="52" t="n">
        <v>0</v>
      </c>
      <c r="O1833" s="53" t="n">
        <v>0</v>
      </c>
      <c r="P1833" s="52" t="n">
        <v>0</v>
      </c>
      <c r="Q1833" s="53" t="n">
        <v>0</v>
      </c>
      <c r="R1833" s="52" t="n">
        <v>0</v>
      </c>
      <c r="S1833" s="51" t="n">
        <v>0</v>
      </c>
      <c r="T1833" s="48" t="n">
        <v>0</v>
      </c>
      <c r="U1833" s="49" t="n">
        <v>0</v>
      </c>
      <c r="V1833" s="49" t="n">
        <v>0</v>
      </c>
      <c r="W1833" s="50" t="n">
        <v>0</v>
      </c>
      <c r="X1833" s="51" t="n">
        <v>0</v>
      </c>
      <c r="Y1833" s="52" t="n">
        <v>0</v>
      </c>
      <c r="Z1833" s="52" t="n">
        <v>0</v>
      </c>
      <c r="AA1833" s="52" t="n">
        <v>0</v>
      </c>
      <c r="AB1833" s="53" t="n">
        <v>0</v>
      </c>
      <c r="AC1833" s="52" t="n">
        <v>0</v>
      </c>
      <c r="AD1833" s="53" t="n">
        <v>0</v>
      </c>
      <c r="AE1833" s="52" t="n">
        <v>0</v>
      </c>
      <c r="AF1833" s="51" t="n">
        <v>0</v>
      </c>
      <c r="AG1833" s="48" t="n">
        <v>0</v>
      </c>
      <c r="AH1833" s="49" t="n">
        <v>0</v>
      </c>
      <c r="AI1833" s="49" t="n">
        <v>0</v>
      </c>
      <c r="AJ1833" s="50" t="n">
        <v>0</v>
      </c>
      <c r="AK1833" s="51" t="n">
        <v>0</v>
      </c>
      <c r="AL1833" s="52" t="n">
        <v>0</v>
      </c>
      <c r="AM1833" s="52" t="n">
        <v>0</v>
      </c>
      <c r="AN1833" s="52" t="n">
        <v>0</v>
      </c>
      <c r="AO1833" s="53" t="n">
        <v>0</v>
      </c>
      <c r="AP1833" s="52" t="n">
        <v>0</v>
      </c>
      <c r="AQ1833" s="53" t="n">
        <v>0</v>
      </c>
      <c r="AR1833" s="52" t="n">
        <v>0</v>
      </c>
      <c r="AS1833" s="51" t="n">
        <v>0</v>
      </c>
      <c r="AT1833" s="48" t="n">
        <v>0</v>
      </c>
      <c r="AU1833" s="49" t="n">
        <v>0</v>
      </c>
      <c r="AV1833" s="49" t="n">
        <v>0</v>
      </c>
      <c r="AW1833" s="50" t="n">
        <v>0</v>
      </c>
      <c r="AX1833" s="51" t="n">
        <v>0</v>
      </c>
      <c r="AY1833" s="52" t="n">
        <v>0</v>
      </c>
      <c r="AZ1833" s="52" t="n">
        <v>0</v>
      </c>
      <c r="BA1833" s="52" t="n">
        <v>0</v>
      </c>
      <c r="BB1833" s="53" t="n">
        <v>0</v>
      </c>
      <c r="BC1833" s="52" t="n">
        <v>0</v>
      </c>
      <c r="BD1833" s="53" t="n">
        <v>0</v>
      </c>
      <c r="BE1833" s="52" t="n">
        <v>0</v>
      </c>
      <c r="BF1833" s="51" t="n">
        <v>0</v>
      </c>
    </row>
    <row r="1834">
      <c r="A1834">
        <f>HYPERLINK("https://www.walmart.com/ip/13865923405", "13865923405")</f>
        <v/>
      </c>
      <c r="B1834" t="inlineStr">
        <is>
          <t>Every Day is Christmas Glass Blown Ornaments Cute Hand Made Figurines Tree Decoration, Eggplant, Peach Set of 2</t>
        </is>
      </c>
      <c r="C1834" t="inlineStr">
        <is>
          <t>EDC-FIGURINE-WP297</t>
        </is>
      </c>
      <c r="D1834" t="inlineStr">
        <is>
          <t>Ornaments</t>
        </is>
      </c>
      <c r="E1834" t="inlineStr">
        <is>
          <t>Every Day is Christmas</t>
        </is>
      </c>
      <c r="G1834" s="48" t="n">
        <v>0</v>
      </c>
      <c r="H1834" s="49" t="n">
        <v>0</v>
      </c>
      <c r="I1834" s="49" t="n">
        <v>0</v>
      </c>
      <c r="J1834" s="50" t="n">
        <v>0</v>
      </c>
      <c r="K1834" s="51" t="n">
        <v>0</v>
      </c>
      <c r="L1834" s="52" t="n">
        <v>0</v>
      </c>
      <c r="M1834" s="52" t="n">
        <v>0</v>
      </c>
      <c r="N1834" s="52" t="n">
        <v>0</v>
      </c>
      <c r="O1834" s="53" t="n">
        <v>0</v>
      </c>
      <c r="P1834" s="52" t="n">
        <v>0</v>
      </c>
      <c r="Q1834" s="53" t="n">
        <v>0</v>
      </c>
      <c r="R1834" s="52" t="n">
        <v>0</v>
      </c>
      <c r="S1834" s="51" t="n">
        <v>0</v>
      </c>
      <c r="T1834" s="48" t="n">
        <v>0</v>
      </c>
      <c r="U1834" s="49" t="n">
        <v>0</v>
      </c>
      <c r="V1834" s="49" t="n">
        <v>0</v>
      </c>
      <c r="W1834" s="50" t="n">
        <v>0</v>
      </c>
      <c r="X1834" s="51" t="n">
        <v>0</v>
      </c>
      <c r="Y1834" s="52" t="n">
        <v>0</v>
      </c>
      <c r="Z1834" s="52" t="n">
        <v>0</v>
      </c>
      <c r="AA1834" s="52" t="n">
        <v>0</v>
      </c>
      <c r="AB1834" s="53" t="n">
        <v>0</v>
      </c>
      <c r="AC1834" s="52" t="n">
        <v>0</v>
      </c>
      <c r="AD1834" s="53" t="n">
        <v>0</v>
      </c>
      <c r="AE1834" s="52" t="n">
        <v>0</v>
      </c>
      <c r="AF1834" s="51" t="n">
        <v>0</v>
      </c>
      <c r="AG1834" s="48" t="n">
        <v>0</v>
      </c>
      <c r="AH1834" s="49" t="n">
        <v>0</v>
      </c>
      <c r="AI1834" s="49" t="n">
        <v>0</v>
      </c>
      <c r="AJ1834" s="50" t="n">
        <v>0</v>
      </c>
      <c r="AK1834" s="51" t="n">
        <v>0</v>
      </c>
      <c r="AL1834" s="52" t="n">
        <v>0</v>
      </c>
      <c r="AM1834" s="52" t="n">
        <v>0</v>
      </c>
      <c r="AN1834" s="52" t="n">
        <v>0</v>
      </c>
      <c r="AO1834" s="53" t="n">
        <v>0</v>
      </c>
      <c r="AP1834" s="52" t="n">
        <v>0</v>
      </c>
      <c r="AQ1834" s="53" t="n">
        <v>0</v>
      </c>
      <c r="AR1834" s="52" t="n">
        <v>0</v>
      </c>
      <c r="AS1834" s="51" t="n">
        <v>0</v>
      </c>
      <c r="AT1834" s="48" t="n">
        <v>0</v>
      </c>
      <c r="AU1834" s="49" t="n">
        <v>0</v>
      </c>
      <c r="AV1834" s="49" t="n">
        <v>0</v>
      </c>
      <c r="AW1834" s="50" t="n">
        <v>0</v>
      </c>
      <c r="AX1834" s="51" t="n">
        <v>0</v>
      </c>
      <c r="AY1834" s="52" t="n">
        <v>0</v>
      </c>
      <c r="AZ1834" s="52" t="n">
        <v>0</v>
      </c>
      <c r="BA1834" s="52" t="n">
        <v>0</v>
      </c>
      <c r="BB1834" s="53" t="n">
        <v>0</v>
      </c>
      <c r="BC1834" s="52" t="n">
        <v>0</v>
      </c>
      <c r="BD1834" s="53" t="n">
        <v>0</v>
      </c>
      <c r="BE1834" s="52" t="n">
        <v>0</v>
      </c>
      <c r="BF1834" s="51" t="n">
        <v>0</v>
      </c>
    </row>
    <row r="1835">
      <c r="A1835">
        <f>HYPERLINK("https://www.walmart.com/ip/13221202706", "13221202706")</f>
        <v/>
      </c>
      <c r="B1835" t="inlineStr">
        <is>
          <t>Wrangler Slim Genuine Leather AirTag Wallet for Men - Bifold RFID Blocking Design with Hidden AirTag Holder</t>
        </is>
      </c>
      <c r="C1835" t="inlineStr">
        <is>
          <t>WR-WA49012AQCOGOS</t>
        </is>
      </c>
      <c r="D1835" t="inlineStr">
        <is>
          <t>Wallets</t>
        </is>
      </c>
      <c r="E1835" t="inlineStr">
        <is>
          <t>Wrangler</t>
        </is>
      </c>
      <c r="G1835" s="48" t="n">
        <v>0</v>
      </c>
      <c r="H1835" s="49" t="n">
        <v>0</v>
      </c>
      <c r="I1835" s="49" t="n">
        <v>0</v>
      </c>
      <c r="J1835" s="50" t="n">
        <v>0</v>
      </c>
      <c r="K1835" s="51" t="n">
        <v>0</v>
      </c>
      <c r="L1835" s="52" t="n">
        <v>0</v>
      </c>
      <c r="M1835" s="52" t="n">
        <v>0</v>
      </c>
      <c r="N1835" s="52" t="n">
        <v>0</v>
      </c>
      <c r="O1835" s="53" t="n">
        <v>0</v>
      </c>
      <c r="P1835" s="52" t="n">
        <v>0</v>
      </c>
      <c r="Q1835" s="53" t="n">
        <v>0</v>
      </c>
      <c r="R1835" s="52" t="n">
        <v>0</v>
      </c>
      <c r="S1835" s="51" t="n">
        <v>0</v>
      </c>
      <c r="T1835" s="48" t="n">
        <v>0</v>
      </c>
      <c r="U1835" s="49" t="n">
        <v>0</v>
      </c>
      <c r="V1835" s="49" t="n">
        <v>0</v>
      </c>
      <c r="W1835" s="50" t="n">
        <v>0</v>
      </c>
      <c r="X1835" s="51" t="n">
        <v>0</v>
      </c>
      <c r="Y1835" s="52" t="n">
        <v>0</v>
      </c>
      <c r="Z1835" s="52" t="n">
        <v>0</v>
      </c>
      <c r="AA1835" s="52" t="n">
        <v>0</v>
      </c>
      <c r="AB1835" s="53" t="n">
        <v>0</v>
      </c>
      <c r="AC1835" s="52" t="n">
        <v>0</v>
      </c>
      <c r="AD1835" s="53" t="n">
        <v>0</v>
      </c>
      <c r="AE1835" s="52" t="n">
        <v>0</v>
      </c>
      <c r="AF1835" s="51" t="n">
        <v>0</v>
      </c>
      <c r="AG1835" s="48" t="n">
        <v>0</v>
      </c>
      <c r="AH1835" s="49" t="n">
        <v>0</v>
      </c>
      <c r="AI1835" s="49" t="n">
        <v>0</v>
      </c>
      <c r="AJ1835" s="50" t="n">
        <v>0</v>
      </c>
      <c r="AK1835" s="51" t="n">
        <v>0</v>
      </c>
      <c r="AL1835" s="52" t="n">
        <v>0</v>
      </c>
      <c r="AM1835" s="52" t="n">
        <v>0</v>
      </c>
      <c r="AN1835" s="52" t="n">
        <v>0</v>
      </c>
      <c r="AO1835" s="53" t="n">
        <v>0</v>
      </c>
      <c r="AP1835" s="52" t="n">
        <v>0</v>
      </c>
      <c r="AQ1835" s="53" t="n">
        <v>0</v>
      </c>
      <c r="AR1835" s="52" t="n">
        <v>0</v>
      </c>
      <c r="AS1835" s="51" t="n">
        <v>0</v>
      </c>
      <c r="AT1835" s="48" t="n">
        <v>0</v>
      </c>
      <c r="AU1835" s="49" t="n">
        <v>0</v>
      </c>
      <c r="AV1835" s="49" t="n">
        <v>0</v>
      </c>
      <c r="AW1835" s="50" t="n">
        <v>0</v>
      </c>
      <c r="AX1835" s="51" t="n">
        <v>0</v>
      </c>
      <c r="AY1835" s="52" t="n">
        <v>0</v>
      </c>
      <c r="AZ1835" s="52" t="n">
        <v>0</v>
      </c>
      <c r="BA1835" s="52" t="n">
        <v>0</v>
      </c>
      <c r="BB1835" s="53" t="n">
        <v>0</v>
      </c>
      <c r="BC1835" s="52" t="n">
        <v>0</v>
      </c>
      <c r="BD1835" s="53" t="n">
        <v>0</v>
      </c>
      <c r="BE1835" s="52" t="n">
        <v>0</v>
      </c>
      <c r="BF1835" s="51" t="n">
        <v>0</v>
      </c>
    </row>
    <row r="1836">
      <c r="A1836">
        <f>HYPERLINK("https://www.walmart.com/ip/13218868784", "13218868784")</f>
        <v/>
      </c>
      <c r="B1836" t="inlineStr">
        <is>
          <t>Wrangler Slim Genuine Leather AirTag Wallet for Men - Bifold RFID Blocking Design with Hidden AirTag Holder</t>
        </is>
      </c>
      <c r="C1836" t="inlineStr">
        <is>
          <t>WR-WA13705BLKNS</t>
        </is>
      </c>
      <c r="D1836" t="inlineStr">
        <is>
          <t>Wallets</t>
        </is>
      </c>
      <c r="E1836" t="inlineStr">
        <is>
          <t>Wrangler</t>
        </is>
      </c>
      <c r="G1836" s="48" t="n">
        <v>0</v>
      </c>
      <c r="H1836" s="49" t="n">
        <v>0</v>
      </c>
      <c r="I1836" s="49" t="n">
        <v>0</v>
      </c>
      <c r="J1836" s="50" t="n">
        <v>0</v>
      </c>
      <c r="K1836" s="51" t="n">
        <v>0</v>
      </c>
      <c r="L1836" s="52" t="n">
        <v>0</v>
      </c>
      <c r="M1836" s="52" t="n">
        <v>0</v>
      </c>
      <c r="N1836" s="52" t="n">
        <v>0</v>
      </c>
      <c r="O1836" s="53" t="n">
        <v>0</v>
      </c>
      <c r="P1836" s="52" t="n">
        <v>0</v>
      </c>
      <c r="Q1836" s="53" t="n">
        <v>0</v>
      </c>
      <c r="R1836" s="52" t="n">
        <v>0</v>
      </c>
      <c r="S1836" s="51" t="n">
        <v>0</v>
      </c>
      <c r="T1836" s="48" t="n">
        <v>0</v>
      </c>
      <c r="U1836" s="49" t="n">
        <v>0</v>
      </c>
      <c r="V1836" s="49" t="n">
        <v>0</v>
      </c>
      <c r="W1836" s="50" t="n">
        <v>0</v>
      </c>
      <c r="X1836" s="51" t="n">
        <v>0</v>
      </c>
      <c r="Y1836" s="52" t="n">
        <v>0</v>
      </c>
      <c r="Z1836" s="52" t="n">
        <v>0</v>
      </c>
      <c r="AA1836" s="52" t="n">
        <v>0</v>
      </c>
      <c r="AB1836" s="53" t="n">
        <v>0</v>
      </c>
      <c r="AC1836" s="52" t="n">
        <v>0</v>
      </c>
      <c r="AD1836" s="53" t="n">
        <v>0</v>
      </c>
      <c r="AE1836" s="52" t="n">
        <v>0</v>
      </c>
      <c r="AF1836" s="51" t="n">
        <v>0</v>
      </c>
      <c r="AG1836" s="48" t="n">
        <v>0</v>
      </c>
      <c r="AH1836" s="49" t="n">
        <v>0</v>
      </c>
      <c r="AI1836" s="49" t="n">
        <v>0</v>
      </c>
      <c r="AJ1836" s="50" t="n">
        <v>0</v>
      </c>
      <c r="AK1836" s="51" t="n">
        <v>0</v>
      </c>
      <c r="AL1836" s="52" t="n">
        <v>0</v>
      </c>
      <c r="AM1836" s="52" t="n">
        <v>0</v>
      </c>
      <c r="AN1836" s="52" t="n">
        <v>0</v>
      </c>
      <c r="AO1836" s="53" t="n">
        <v>0</v>
      </c>
      <c r="AP1836" s="52" t="n">
        <v>0</v>
      </c>
      <c r="AQ1836" s="53" t="n">
        <v>0</v>
      </c>
      <c r="AR1836" s="52" t="n">
        <v>0</v>
      </c>
      <c r="AS1836" s="51" t="n">
        <v>0</v>
      </c>
      <c r="AT1836" s="48" t="n">
        <v>0</v>
      </c>
      <c r="AU1836" s="49" t="n">
        <v>0</v>
      </c>
      <c r="AV1836" s="49" t="n">
        <v>0</v>
      </c>
      <c r="AW1836" s="50" t="n">
        <v>0</v>
      </c>
      <c r="AX1836" s="51" t="n">
        <v>0</v>
      </c>
      <c r="AY1836" s="52" t="n">
        <v>0</v>
      </c>
      <c r="AZ1836" s="52" t="n">
        <v>0</v>
      </c>
      <c r="BA1836" s="52" t="n">
        <v>0</v>
      </c>
      <c r="BB1836" s="53" t="n">
        <v>0</v>
      </c>
      <c r="BC1836" s="52" t="n">
        <v>0</v>
      </c>
      <c r="BD1836" s="53" t="n">
        <v>0</v>
      </c>
      <c r="BE1836" s="52" t="n">
        <v>0</v>
      </c>
      <c r="BF1836" s="51" t="n">
        <v>0</v>
      </c>
    </row>
    <row r="1837">
      <c r="A1837">
        <f>HYPERLINK("https://www.walmart.com/ip/13218314453", "13218314453")</f>
        <v/>
      </c>
      <c r="B1837" t="inlineStr">
        <is>
          <t>Wrangler Slim Genuine Leather AirTag Wallet for Men - Bifold RFID Blocking Design with Hidden AirTag Holder</t>
        </is>
      </c>
      <c r="C1837" t="inlineStr">
        <is>
          <t>WR-WA13704BRNNS</t>
        </is>
      </c>
      <c r="D1837" t="inlineStr">
        <is>
          <t>Wallets</t>
        </is>
      </c>
      <c r="E1837" t="inlineStr">
        <is>
          <t>Wrangler</t>
        </is>
      </c>
      <c r="G1837" s="48" t="n">
        <v>0</v>
      </c>
      <c r="H1837" s="49" t="n">
        <v>0</v>
      </c>
      <c r="I1837" s="49" t="n">
        <v>0</v>
      </c>
      <c r="J1837" s="50" t="n">
        <v>0</v>
      </c>
      <c r="K1837" s="51" t="n">
        <v>0</v>
      </c>
      <c r="L1837" s="52" t="n">
        <v>0</v>
      </c>
      <c r="M1837" s="52" t="n">
        <v>0</v>
      </c>
      <c r="N1837" s="52" t="n">
        <v>0</v>
      </c>
      <c r="O1837" s="53" t="n">
        <v>0</v>
      </c>
      <c r="P1837" s="52" t="n">
        <v>0</v>
      </c>
      <c r="Q1837" s="53" t="n">
        <v>0</v>
      </c>
      <c r="R1837" s="52" t="n">
        <v>0</v>
      </c>
      <c r="S1837" s="51" t="n">
        <v>0</v>
      </c>
      <c r="T1837" s="48" t="n">
        <v>0</v>
      </c>
      <c r="U1837" s="49" t="n">
        <v>0</v>
      </c>
      <c r="V1837" s="49" t="n">
        <v>0</v>
      </c>
      <c r="W1837" s="50" t="n">
        <v>0</v>
      </c>
      <c r="X1837" s="51" t="n">
        <v>0</v>
      </c>
      <c r="Y1837" s="52" t="n">
        <v>0</v>
      </c>
      <c r="Z1837" s="52" t="n">
        <v>0</v>
      </c>
      <c r="AA1837" s="52" t="n">
        <v>0</v>
      </c>
      <c r="AB1837" s="53" t="n">
        <v>0</v>
      </c>
      <c r="AC1837" s="52" t="n">
        <v>0</v>
      </c>
      <c r="AD1837" s="53" t="n">
        <v>0</v>
      </c>
      <c r="AE1837" s="52" t="n">
        <v>0</v>
      </c>
      <c r="AF1837" s="51" t="n">
        <v>0</v>
      </c>
      <c r="AG1837" s="48" t="n">
        <v>0</v>
      </c>
      <c r="AH1837" s="49" t="n">
        <v>0</v>
      </c>
      <c r="AI1837" s="49" t="n">
        <v>0</v>
      </c>
      <c r="AJ1837" s="50" t="n">
        <v>0</v>
      </c>
      <c r="AK1837" s="51" t="n">
        <v>0</v>
      </c>
      <c r="AL1837" s="52" t="n">
        <v>0</v>
      </c>
      <c r="AM1837" s="52" t="n">
        <v>0</v>
      </c>
      <c r="AN1837" s="52" t="n">
        <v>0</v>
      </c>
      <c r="AO1837" s="53" t="n">
        <v>0</v>
      </c>
      <c r="AP1837" s="52" t="n">
        <v>0</v>
      </c>
      <c r="AQ1837" s="53" t="n">
        <v>0</v>
      </c>
      <c r="AR1837" s="52" t="n">
        <v>0</v>
      </c>
      <c r="AS1837" s="51" t="n">
        <v>0</v>
      </c>
      <c r="AT1837" s="48" t="n">
        <v>0</v>
      </c>
      <c r="AU1837" s="49" t="n">
        <v>0</v>
      </c>
      <c r="AV1837" s="49" t="n">
        <v>0</v>
      </c>
      <c r="AW1837" s="50" t="n">
        <v>0</v>
      </c>
      <c r="AX1837" s="51" t="n">
        <v>0</v>
      </c>
      <c r="AY1837" s="52" t="n">
        <v>0</v>
      </c>
      <c r="AZ1837" s="52" t="n">
        <v>0</v>
      </c>
      <c r="BA1837" s="52" t="n">
        <v>0</v>
      </c>
      <c r="BB1837" s="53" t="n">
        <v>0</v>
      </c>
      <c r="BC1837" s="52" t="n">
        <v>0</v>
      </c>
      <c r="BD1837" s="53" t="n">
        <v>0</v>
      </c>
      <c r="BE1837" s="52" t="n">
        <v>0</v>
      </c>
      <c r="BF1837" s="51" t="n">
        <v>0</v>
      </c>
    </row>
    <row r="1838">
      <c r="A1838">
        <f>HYPERLINK("https://www.walmart.com/ip/123858430", "123858430")</f>
        <v/>
      </c>
      <c r="B1838" t="inlineStr">
        <is>
          <t>KC Caps® Unisex Two-Tone Washed Cotton Bucket Hat Cap Headwear, Medium/Large</t>
        </is>
      </c>
      <c r="C1838" t="inlineStr">
        <is>
          <t>KC9120GN-L</t>
        </is>
      </c>
      <c r="D1838" t="inlineStr">
        <is>
          <t>Hats</t>
        </is>
      </c>
      <c r="E1838" t="inlineStr">
        <is>
          <t>KC Caps</t>
        </is>
      </c>
      <c r="F1838" t="inlineStr">
        <is>
          <t>Optimized</t>
        </is>
      </c>
      <c r="G1838" s="48" t="n">
        <v>0</v>
      </c>
      <c r="H1838" s="49" t="n">
        <v>0</v>
      </c>
      <c r="I1838" s="49" t="n">
        <v>0</v>
      </c>
      <c r="J1838" s="50" t="n">
        <v>0</v>
      </c>
      <c r="K1838" s="51" t="n">
        <v>0</v>
      </c>
      <c r="L1838" s="52" t="n">
        <v>0</v>
      </c>
      <c r="M1838" s="52" t="n">
        <v>0</v>
      </c>
      <c r="N1838" s="52" t="n">
        <v>0</v>
      </c>
      <c r="O1838" s="53" t="n">
        <v>0</v>
      </c>
      <c r="P1838" s="52" t="n">
        <v>0</v>
      </c>
      <c r="Q1838" s="53" t="n">
        <v>0</v>
      </c>
      <c r="R1838" s="52" t="n">
        <v>0</v>
      </c>
      <c r="S1838" s="51" t="n">
        <v>0</v>
      </c>
      <c r="T1838" s="48" t="n">
        <v>0</v>
      </c>
      <c r="U1838" s="49" t="n">
        <v>0</v>
      </c>
      <c r="V1838" s="49" t="n">
        <v>0</v>
      </c>
      <c r="W1838" s="50" t="n">
        <v>0</v>
      </c>
      <c r="X1838" s="51" t="n">
        <v>0</v>
      </c>
      <c r="Y1838" s="52" t="n">
        <v>0</v>
      </c>
      <c r="Z1838" s="52" t="n">
        <v>0</v>
      </c>
      <c r="AA1838" s="52" t="n">
        <v>0</v>
      </c>
      <c r="AB1838" s="53" t="n">
        <v>0</v>
      </c>
      <c r="AC1838" s="52" t="n">
        <v>0</v>
      </c>
      <c r="AD1838" s="53" t="n">
        <v>0</v>
      </c>
      <c r="AE1838" s="52" t="n">
        <v>0</v>
      </c>
      <c r="AF1838" s="51" t="n">
        <v>0</v>
      </c>
      <c r="AG1838" s="48" t="n">
        <v>0</v>
      </c>
      <c r="AH1838" s="49" t="n">
        <v>0</v>
      </c>
      <c r="AI1838" s="49" t="n">
        <v>0</v>
      </c>
      <c r="AJ1838" s="50" t="n">
        <v>0</v>
      </c>
      <c r="AK1838" s="51" t="n">
        <v>0</v>
      </c>
      <c r="AL1838" s="52" t="n">
        <v>0</v>
      </c>
      <c r="AM1838" s="52" t="n">
        <v>0</v>
      </c>
      <c r="AN1838" s="52" t="n">
        <v>0</v>
      </c>
      <c r="AO1838" s="53" t="n">
        <v>0</v>
      </c>
      <c r="AP1838" s="52" t="n">
        <v>0</v>
      </c>
      <c r="AQ1838" s="53" t="n">
        <v>0</v>
      </c>
      <c r="AR1838" s="52" t="n">
        <v>0</v>
      </c>
      <c r="AS1838" s="51" t="n">
        <v>0</v>
      </c>
      <c r="AT1838" s="48" t="n">
        <v>0</v>
      </c>
      <c r="AU1838" s="49" t="n">
        <v>0</v>
      </c>
      <c r="AV1838" s="49" t="n">
        <v>0</v>
      </c>
      <c r="AW1838" s="50" t="n">
        <v>0</v>
      </c>
      <c r="AX1838" s="51" t="n">
        <v>0</v>
      </c>
      <c r="AY1838" s="52" t="n">
        <v>0</v>
      </c>
      <c r="AZ1838" s="52" t="n">
        <v>0</v>
      </c>
      <c r="BA1838" s="52" t="n">
        <v>0</v>
      </c>
      <c r="BB1838" s="53" t="n">
        <v>0</v>
      </c>
      <c r="BC1838" s="52" t="n">
        <v>0</v>
      </c>
      <c r="BD1838" s="53" t="n">
        <v>0</v>
      </c>
      <c r="BE1838" s="52" t="n">
        <v>0</v>
      </c>
      <c r="BF1838" s="51" t="n">
        <v>0</v>
      </c>
    </row>
    <row r="1839">
      <c r="A1839">
        <f>HYPERLINK("https://www.walmart.com/ip/123911100", "123911100")</f>
        <v/>
      </c>
      <c r="B1839" t="inlineStr">
        <is>
          <t>Male Female Adjustable Buckle Closure USA Flag Embroidered Cap</t>
        </is>
      </c>
      <c r="C1839" t="inlineStr">
        <is>
          <t>kc-ae8010-wt</t>
        </is>
      </c>
      <c r="D1839" t="inlineStr">
        <is>
          <t>Hats</t>
        </is>
      </c>
      <c r="E1839" t="inlineStr">
        <is>
          <t>KC Caps</t>
        </is>
      </c>
      <c r="F1839" t="inlineStr">
        <is>
          <t>Optimized</t>
        </is>
      </c>
      <c r="G1839" s="48" t="n">
        <v>0</v>
      </c>
      <c r="H1839" s="49" t="n">
        <v>0</v>
      </c>
      <c r="I1839" s="49" t="n">
        <v>0</v>
      </c>
      <c r="J1839" s="50" t="n">
        <v>0</v>
      </c>
      <c r="K1839" s="51" t="n">
        <v>0</v>
      </c>
      <c r="L1839" s="52" t="n">
        <v>0</v>
      </c>
      <c r="M1839" s="52" t="n">
        <v>0</v>
      </c>
      <c r="N1839" s="52" t="n">
        <v>0</v>
      </c>
      <c r="O1839" s="53" t="n">
        <v>0</v>
      </c>
      <c r="P1839" s="52" t="n">
        <v>0</v>
      </c>
      <c r="Q1839" s="53" t="n">
        <v>0</v>
      </c>
      <c r="R1839" s="52" t="n">
        <v>0</v>
      </c>
      <c r="S1839" s="51" t="n">
        <v>0</v>
      </c>
      <c r="T1839" s="48" t="n">
        <v>0</v>
      </c>
      <c r="U1839" s="49" t="n">
        <v>0</v>
      </c>
      <c r="V1839" s="49" t="n">
        <v>0</v>
      </c>
      <c r="W1839" s="50" t="n">
        <v>0</v>
      </c>
      <c r="X1839" s="51" t="n">
        <v>0</v>
      </c>
      <c r="Y1839" s="52" t="n">
        <v>0</v>
      </c>
      <c r="Z1839" s="52" t="n">
        <v>0</v>
      </c>
      <c r="AA1839" s="52" t="n">
        <v>0</v>
      </c>
      <c r="AB1839" s="53" t="n">
        <v>0</v>
      </c>
      <c r="AC1839" s="52" t="n">
        <v>0</v>
      </c>
      <c r="AD1839" s="53" t="n">
        <v>0</v>
      </c>
      <c r="AE1839" s="52" t="n">
        <v>0</v>
      </c>
      <c r="AF1839" s="51" t="n">
        <v>0</v>
      </c>
      <c r="AG1839" s="48" t="n">
        <v>0</v>
      </c>
      <c r="AH1839" s="49" t="n">
        <v>0</v>
      </c>
      <c r="AI1839" s="49" t="n">
        <v>0</v>
      </c>
      <c r="AJ1839" s="50" t="n">
        <v>0</v>
      </c>
      <c r="AK1839" s="51" t="n">
        <v>0</v>
      </c>
      <c r="AL1839" s="52" t="n">
        <v>0</v>
      </c>
      <c r="AM1839" s="52" t="n">
        <v>0</v>
      </c>
      <c r="AN1839" s="52" t="n">
        <v>0</v>
      </c>
      <c r="AO1839" s="53" t="n">
        <v>0</v>
      </c>
      <c r="AP1839" s="52" t="n">
        <v>0</v>
      </c>
      <c r="AQ1839" s="53" t="n">
        <v>0</v>
      </c>
      <c r="AR1839" s="52" t="n">
        <v>0</v>
      </c>
      <c r="AS1839" s="51" t="n">
        <v>0</v>
      </c>
      <c r="AT1839" s="48" t="n">
        <v>0</v>
      </c>
      <c r="AU1839" s="49" t="n">
        <v>0</v>
      </c>
      <c r="AV1839" s="49" t="n">
        <v>0</v>
      </c>
      <c r="AW1839" s="50" t="n">
        <v>0</v>
      </c>
      <c r="AX1839" s="51" t="n">
        <v>0</v>
      </c>
      <c r="AY1839" s="52" t="n">
        <v>0</v>
      </c>
      <c r="AZ1839" s="52" t="n">
        <v>0</v>
      </c>
      <c r="BA1839" s="52" t="n">
        <v>0</v>
      </c>
      <c r="BB1839" s="53" t="n">
        <v>0</v>
      </c>
      <c r="BC1839" s="52" t="n">
        <v>0</v>
      </c>
      <c r="BD1839" s="53" t="n">
        <v>0</v>
      </c>
      <c r="BE1839" s="52" t="n">
        <v>0</v>
      </c>
      <c r="BF1839" s="51" t="n">
        <v>0</v>
      </c>
    </row>
    <row r="1840">
      <c r="A1840">
        <f>HYPERLINK("https://www.walmart.com/ip/124131438", "124131438")</f>
        <v/>
      </c>
      <c r="B1840" t="inlineStr">
        <is>
          <t>Light up Sequin Fedora LED Hat Neon Rave Costumes Glow in Dark Party</t>
        </is>
      </c>
      <c r="C1840" t="inlineStr">
        <is>
          <t>SLLEDHATGN</t>
        </is>
      </c>
      <c r="D1840" t="inlineStr">
        <is>
          <t>Party Hats</t>
        </is>
      </c>
      <c r="E1840" t="inlineStr">
        <is>
          <t>Solaris</t>
        </is>
      </c>
      <c r="F1840" t="inlineStr">
        <is>
          <t>Optimized,Halloween</t>
        </is>
      </c>
      <c r="G1840" s="48" t="n">
        <v>0</v>
      </c>
      <c r="H1840" s="49" t="n">
        <v>0</v>
      </c>
      <c r="I1840" s="49" t="n">
        <v>0</v>
      </c>
      <c r="J1840" s="50" t="n">
        <v>0</v>
      </c>
      <c r="K1840" s="51" t="n">
        <v>0</v>
      </c>
      <c r="L1840" s="52" t="n">
        <v>0</v>
      </c>
      <c r="M1840" s="52" t="n">
        <v>0</v>
      </c>
      <c r="N1840" s="52" t="n">
        <v>0</v>
      </c>
      <c r="O1840" s="53" t="n">
        <v>0</v>
      </c>
      <c r="P1840" s="52" t="n">
        <v>0</v>
      </c>
      <c r="Q1840" s="53" t="n">
        <v>0</v>
      </c>
      <c r="R1840" s="52" t="n">
        <v>0</v>
      </c>
      <c r="S1840" s="51" t="n">
        <v>0</v>
      </c>
      <c r="T1840" s="48" t="n">
        <v>0</v>
      </c>
      <c r="U1840" s="49" t="n">
        <v>0</v>
      </c>
      <c r="V1840" s="49" t="n">
        <v>0</v>
      </c>
      <c r="W1840" s="50" t="n">
        <v>0</v>
      </c>
      <c r="X1840" s="51" t="n">
        <v>0</v>
      </c>
      <c r="Y1840" s="52" t="n">
        <v>0</v>
      </c>
      <c r="Z1840" s="52" t="n">
        <v>0</v>
      </c>
      <c r="AA1840" s="52" t="n">
        <v>0</v>
      </c>
      <c r="AB1840" s="53" t="n">
        <v>0</v>
      </c>
      <c r="AC1840" s="52" t="n">
        <v>0</v>
      </c>
      <c r="AD1840" s="53" t="n">
        <v>0</v>
      </c>
      <c r="AE1840" s="52" t="n">
        <v>0</v>
      </c>
      <c r="AF1840" s="51" t="n">
        <v>0</v>
      </c>
      <c r="AG1840" s="48" t="n">
        <v>0</v>
      </c>
      <c r="AH1840" s="49" t="n">
        <v>0</v>
      </c>
      <c r="AI1840" s="49" t="n">
        <v>0</v>
      </c>
      <c r="AJ1840" s="50" t="n">
        <v>0</v>
      </c>
      <c r="AK1840" s="51" t="n">
        <v>0</v>
      </c>
      <c r="AL1840" s="52" t="n">
        <v>0</v>
      </c>
      <c r="AM1840" s="52" t="n">
        <v>0</v>
      </c>
      <c r="AN1840" s="52" t="n">
        <v>0</v>
      </c>
      <c r="AO1840" s="53" t="n">
        <v>0</v>
      </c>
      <c r="AP1840" s="52" t="n">
        <v>0</v>
      </c>
      <c r="AQ1840" s="53" t="n">
        <v>0</v>
      </c>
      <c r="AR1840" s="52" t="n">
        <v>0</v>
      </c>
      <c r="AS1840" s="51" t="n">
        <v>0</v>
      </c>
      <c r="AT1840" s="48" t="n">
        <v>0</v>
      </c>
      <c r="AU1840" s="49" t="n">
        <v>0</v>
      </c>
      <c r="AV1840" s="49" t="n">
        <v>0</v>
      </c>
      <c r="AW1840" s="50" t="n">
        <v>0</v>
      </c>
      <c r="AX1840" s="51" t="n">
        <v>0</v>
      </c>
      <c r="AY1840" s="52" t="n">
        <v>0</v>
      </c>
      <c r="AZ1840" s="52" t="n">
        <v>0</v>
      </c>
      <c r="BA1840" s="52" t="n">
        <v>0</v>
      </c>
      <c r="BB1840" s="53" t="n">
        <v>0</v>
      </c>
      <c r="BC1840" s="52" t="n">
        <v>0</v>
      </c>
      <c r="BD1840" s="53" t="n">
        <v>0</v>
      </c>
      <c r="BE1840" s="52" t="n">
        <v>0</v>
      </c>
      <c r="BF1840" s="51" t="n">
        <v>0</v>
      </c>
    </row>
    <row r="1841">
      <c r="A1841">
        <f>HYPERLINK("https://www.walmart.com/ip/124212611", "124212611")</f>
        <v/>
      </c>
      <c r="B1841" t="inlineStr">
        <is>
          <t>Deluxe Stylish Microplush Sleeved Fleece Blanket Soft Home Sofa Snuggie</t>
        </is>
      </c>
      <c r="C1841" t="inlineStr">
        <is>
          <t>k3000-emgreen</t>
        </is>
      </c>
      <c r="D1841" t="inlineStr">
        <is>
          <t>Throws</t>
        </is>
      </c>
      <c r="E1841" t="inlineStr">
        <is>
          <t>NAPA</t>
        </is>
      </c>
      <c r="F1841" t="inlineStr">
        <is>
          <t>ST Patrick Day</t>
        </is>
      </c>
      <c r="G1841" s="48" t="n">
        <v>0</v>
      </c>
      <c r="H1841" s="49" t="n">
        <v>0</v>
      </c>
      <c r="I1841" s="49" t="n">
        <v>0</v>
      </c>
      <c r="J1841" s="50" t="n">
        <v>0</v>
      </c>
      <c r="K1841" s="51" t="n">
        <v>0</v>
      </c>
      <c r="L1841" s="52" t="n">
        <v>0</v>
      </c>
      <c r="M1841" s="52" t="n">
        <v>0</v>
      </c>
      <c r="N1841" s="52" t="n">
        <v>0</v>
      </c>
      <c r="O1841" s="53" t="n">
        <v>0</v>
      </c>
      <c r="P1841" s="52" t="n">
        <v>0</v>
      </c>
      <c r="Q1841" s="53" t="n">
        <v>0</v>
      </c>
      <c r="R1841" s="52" t="n">
        <v>0</v>
      </c>
      <c r="S1841" s="51" t="n">
        <v>0</v>
      </c>
      <c r="T1841" s="48" t="n">
        <v>0</v>
      </c>
      <c r="U1841" s="49" t="n">
        <v>0</v>
      </c>
      <c r="V1841" s="49" t="n">
        <v>0</v>
      </c>
      <c r="W1841" s="50" t="n">
        <v>0</v>
      </c>
      <c r="X1841" s="51" t="n">
        <v>0</v>
      </c>
      <c r="Y1841" s="52" t="n">
        <v>0</v>
      </c>
      <c r="Z1841" s="52" t="n">
        <v>0</v>
      </c>
      <c r="AA1841" s="52" t="n">
        <v>0</v>
      </c>
      <c r="AB1841" s="53" t="n">
        <v>0</v>
      </c>
      <c r="AC1841" s="52" t="n">
        <v>0</v>
      </c>
      <c r="AD1841" s="53" t="n">
        <v>0</v>
      </c>
      <c r="AE1841" s="52" t="n">
        <v>0</v>
      </c>
      <c r="AF1841" s="51" t="n">
        <v>0</v>
      </c>
      <c r="AG1841" s="48" t="n">
        <v>0</v>
      </c>
      <c r="AH1841" s="49" t="n">
        <v>0</v>
      </c>
      <c r="AI1841" s="49" t="n">
        <v>0</v>
      </c>
      <c r="AJ1841" s="50" t="n">
        <v>0</v>
      </c>
      <c r="AK1841" s="51" t="n">
        <v>0</v>
      </c>
      <c r="AL1841" s="52" t="n">
        <v>0</v>
      </c>
      <c r="AM1841" s="52" t="n">
        <v>0</v>
      </c>
      <c r="AN1841" s="52" t="n">
        <v>0</v>
      </c>
      <c r="AO1841" s="53" t="n">
        <v>0</v>
      </c>
      <c r="AP1841" s="52" t="n">
        <v>0</v>
      </c>
      <c r="AQ1841" s="53" t="n">
        <v>0</v>
      </c>
      <c r="AR1841" s="52" t="n">
        <v>0</v>
      </c>
      <c r="AS1841" s="51" t="n">
        <v>0</v>
      </c>
      <c r="AT1841" s="48" t="n">
        <v>0</v>
      </c>
      <c r="AU1841" s="49" t="n">
        <v>0</v>
      </c>
      <c r="AV1841" s="49" t="n">
        <v>0</v>
      </c>
      <c r="AW1841" s="50" t="n">
        <v>0</v>
      </c>
      <c r="AX1841" s="51" t="n">
        <v>0</v>
      </c>
      <c r="AY1841" s="52" t="n">
        <v>0</v>
      </c>
      <c r="AZ1841" s="52" t="n">
        <v>0</v>
      </c>
      <c r="BA1841" s="52" t="n">
        <v>0</v>
      </c>
      <c r="BB1841" s="53" t="n">
        <v>0</v>
      </c>
      <c r="BC1841" s="52" t="n">
        <v>0</v>
      </c>
      <c r="BD1841" s="53" t="n">
        <v>0</v>
      </c>
      <c r="BE1841" s="52" t="n">
        <v>0</v>
      </c>
      <c r="BF1841" s="51" t="n">
        <v>0</v>
      </c>
    </row>
    <row r="1842">
      <c r="A1842">
        <f>HYPERLINK("https://www.walmart.com/ip/124319683", "124319683")</f>
        <v/>
      </c>
      <c r="B1842" t="inlineStr">
        <is>
          <t>JenniWears Women Beileise Sexy Garter Belt Suspender - 6 Packs</t>
        </is>
      </c>
      <c r="C1842" t="inlineStr">
        <is>
          <t>JWBLSPH5002-6pcs</t>
        </is>
      </c>
      <c r="D1842" t="inlineStr">
        <is>
          <t>Garter Belts</t>
        </is>
      </c>
      <c r="E1842" t="inlineStr">
        <is>
          <t>JenniWears</t>
        </is>
      </c>
      <c r="F1842" t="inlineStr">
        <is>
          <t>Optimized,Valentine</t>
        </is>
      </c>
      <c r="G1842" s="48" t="n">
        <v>0</v>
      </c>
      <c r="H1842" s="49" t="n">
        <v>0</v>
      </c>
      <c r="I1842" s="49" t="n">
        <v>0</v>
      </c>
      <c r="J1842" s="50" t="n">
        <v>0</v>
      </c>
      <c r="K1842" s="51" t="n">
        <v>0</v>
      </c>
      <c r="L1842" s="52" t="n">
        <v>0</v>
      </c>
      <c r="M1842" s="52" t="n">
        <v>0</v>
      </c>
      <c r="N1842" s="52" t="n">
        <v>0</v>
      </c>
      <c r="O1842" s="53" t="n">
        <v>0</v>
      </c>
      <c r="P1842" s="52" t="n">
        <v>0</v>
      </c>
      <c r="Q1842" s="53" t="n">
        <v>0</v>
      </c>
      <c r="R1842" s="52" t="n">
        <v>0</v>
      </c>
      <c r="S1842" s="51" t="n">
        <v>0</v>
      </c>
      <c r="T1842" s="48" t="n">
        <v>0</v>
      </c>
      <c r="U1842" s="49" t="n">
        <v>0</v>
      </c>
      <c r="V1842" s="49" t="n">
        <v>0</v>
      </c>
      <c r="W1842" s="50" t="n">
        <v>0</v>
      </c>
      <c r="X1842" s="51" t="n">
        <v>0</v>
      </c>
      <c r="Y1842" s="52" t="n">
        <v>0</v>
      </c>
      <c r="Z1842" s="52" t="n">
        <v>0</v>
      </c>
      <c r="AA1842" s="52" t="n">
        <v>0</v>
      </c>
      <c r="AB1842" s="53" t="n">
        <v>0</v>
      </c>
      <c r="AC1842" s="52" t="n">
        <v>0</v>
      </c>
      <c r="AD1842" s="53" t="n">
        <v>0</v>
      </c>
      <c r="AE1842" s="52" t="n">
        <v>0</v>
      </c>
      <c r="AF1842" s="51" t="n">
        <v>0</v>
      </c>
      <c r="AG1842" s="48" t="n">
        <v>0</v>
      </c>
      <c r="AH1842" s="49" t="n">
        <v>0</v>
      </c>
      <c r="AI1842" s="49" t="n">
        <v>0</v>
      </c>
      <c r="AJ1842" s="50" t="n">
        <v>0</v>
      </c>
      <c r="AK1842" s="51" t="n">
        <v>0</v>
      </c>
      <c r="AL1842" s="52" t="n">
        <v>0</v>
      </c>
      <c r="AM1842" s="52" t="n">
        <v>0</v>
      </c>
      <c r="AN1842" s="52" t="n">
        <v>0</v>
      </c>
      <c r="AO1842" s="53" t="n">
        <v>0</v>
      </c>
      <c r="AP1842" s="52" t="n">
        <v>0</v>
      </c>
      <c r="AQ1842" s="53" t="n">
        <v>0</v>
      </c>
      <c r="AR1842" s="52" t="n">
        <v>0</v>
      </c>
      <c r="AS1842" s="51" t="n">
        <v>0</v>
      </c>
      <c r="AT1842" s="48" t="n">
        <v>0</v>
      </c>
      <c r="AU1842" s="49" t="n">
        <v>0</v>
      </c>
      <c r="AV1842" s="49" t="n">
        <v>0</v>
      </c>
      <c r="AW1842" s="50" t="n">
        <v>0</v>
      </c>
      <c r="AX1842" s="51" t="n">
        <v>0</v>
      </c>
      <c r="AY1842" s="52" t="n">
        <v>0</v>
      </c>
      <c r="AZ1842" s="52" t="n">
        <v>0</v>
      </c>
      <c r="BA1842" s="52" t="n">
        <v>0</v>
      </c>
      <c r="BB1842" s="53" t="n">
        <v>0</v>
      </c>
      <c r="BC1842" s="52" t="n">
        <v>0</v>
      </c>
      <c r="BD1842" s="53" t="n">
        <v>0</v>
      </c>
      <c r="BE1842" s="52" t="n">
        <v>0</v>
      </c>
      <c r="BF1842" s="51" t="n">
        <v>0</v>
      </c>
    </row>
    <row r="1843">
      <c r="A1843">
        <f>HYPERLINK("https://www.walmart.com/ip/1243315022", "1243315022")</f>
        <v/>
      </c>
      <c r="B1843" t="inlineStr">
        <is>
          <t>Every Day is Christmas Glass Blown Ornaments 2022 Cute Hand Made Figurines Tree Decoration - 13.7cm glass trumpet and 11.9cm glass saxophone ornament</t>
        </is>
      </c>
      <c r="C1843" t="inlineStr">
        <is>
          <t>EDC-FIGURINE-TRUMPETSAX</t>
        </is>
      </c>
      <c r="D1843" t="inlineStr">
        <is>
          <t>Ornaments</t>
        </is>
      </c>
      <c r="E1843" t="inlineStr">
        <is>
          <t>Every Day is Christmas</t>
        </is>
      </c>
      <c r="G1843" s="48" t="n">
        <v>0</v>
      </c>
      <c r="H1843" s="49" t="n">
        <v>0</v>
      </c>
      <c r="I1843" s="49" t="n">
        <v>0</v>
      </c>
      <c r="J1843" s="50" t="n">
        <v>0</v>
      </c>
      <c r="K1843" s="51" t="n">
        <v>0</v>
      </c>
      <c r="L1843" s="52" t="n">
        <v>0</v>
      </c>
      <c r="M1843" s="52" t="n">
        <v>0</v>
      </c>
      <c r="N1843" s="52" t="n">
        <v>0</v>
      </c>
      <c r="O1843" s="53" t="n">
        <v>0</v>
      </c>
      <c r="P1843" s="52" t="n">
        <v>0</v>
      </c>
      <c r="Q1843" s="53" t="n">
        <v>0</v>
      </c>
      <c r="R1843" s="52" t="n">
        <v>0</v>
      </c>
      <c r="S1843" s="51" t="n">
        <v>0</v>
      </c>
      <c r="T1843" s="48" t="n">
        <v>0</v>
      </c>
      <c r="U1843" s="49" t="n">
        <v>0</v>
      </c>
      <c r="V1843" s="49" t="n">
        <v>0</v>
      </c>
      <c r="W1843" s="50" t="n">
        <v>0</v>
      </c>
      <c r="X1843" s="51" t="n">
        <v>0</v>
      </c>
      <c r="Y1843" s="52" t="n">
        <v>0</v>
      </c>
      <c r="Z1843" s="52" t="n">
        <v>0</v>
      </c>
      <c r="AA1843" s="52" t="n">
        <v>0</v>
      </c>
      <c r="AB1843" s="53" t="n">
        <v>0</v>
      </c>
      <c r="AC1843" s="52" t="n">
        <v>0</v>
      </c>
      <c r="AD1843" s="53" t="n">
        <v>0</v>
      </c>
      <c r="AE1843" s="52" t="n">
        <v>0</v>
      </c>
      <c r="AF1843" s="51" t="n">
        <v>0</v>
      </c>
      <c r="AG1843" s="48" t="n">
        <v>0</v>
      </c>
      <c r="AH1843" s="49" t="n">
        <v>0</v>
      </c>
      <c r="AI1843" s="49" t="n">
        <v>0</v>
      </c>
      <c r="AJ1843" s="50" t="n">
        <v>0</v>
      </c>
      <c r="AK1843" s="51" t="n">
        <v>0</v>
      </c>
      <c r="AL1843" s="52" t="n">
        <v>0</v>
      </c>
      <c r="AM1843" s="52" t="n">
        <v>0</v>
      </c>
      <c r="AN1843" s="52" t="n">
        <v>0</v>
      </c>
      <c r="AO1843" s="53" t="n">
        <v>0</v>
      </c>
      <c r="AP1843" s="52" t="n">
        <v>0</v>
      </c>
      <c r="AQ1843" s="53" t="n">
        <v>0</v>
      </c>
      <c r="AR1843" s="52" t="n">
        <v>0</v>
      </c>
      <c r="AS1843" s="51" t="n">
        <v>0</v>
      </c>
      <c r="AT1843" s="48" t="n">
        <v>0</v>
      </c>
      <c r="AU1843" s="49" t="n">
        <v>0</v>
      </c>
      <c r="AV1843" s="49" t="n">
        <v>0</v>
      </c>
      <c r="AW1843" s="50" t="n">
        <v>0</v>
      </c>
      <c r="AX1843" s="51" t="n">
        <v>0</v>
      </c>
      <c r="AY1843" s="52" t="n">
        <v>0</v>
      </c>
      <c r="AZ1843" s="52" t="n">
        <v>0</v>
      </c>
      <c r="BA1843" s="52" t="n">
        <v>0</v>
      </c>
      <c r="BB1843" s="53" t="n">
        <v>0</v>
      </c>
      <c r="BC1843" s="52" t="n">
        <v>0</v>
      </c>
      <c r="BD1843" s="53" t="n">
        <v>0</v>
      </c>
      <c r="BE1843" s="52" t="n">
        <v>0</v>
      </c>
      <c r="BF1843" s="51" t="n">
        <v>0</v>
      </c>
    </row>
    <row r="1844">
      <c r="A1844">
        <f>HYPERLINK("https://www.walmart.com/ip/1247409190", "1247409190")</f>
        <v/>
      </c>
      <c r="B1844" t="inlineStr">
        <is>
          <t>Tirrinia Insulated Lunch Bag for Women Men, Leakproof Thermal Reusable Lunch Box for Adult &amp; Kids, Lunch Cooler Tote for Office Work Back to School, Medium, Green</t>
        </is>
      </c>
      <c r="C1844" t="inlineStr">
        <is>
          <t>1TRLB701GN-N</t>
        </is>
      </c>
      <c r="D1844" t="inlineStr">
        <is>
          <t>Reusable Lunch Bags &amp; Boxes</t>
        </is>
      </c>
      <c r="E1844" t="inlineStr">
        <is>
          <t>Tirrinia</t>
        </is>
      </c>
      <c r="F1844" t="inlineStr">
        <is>
          <t>Q2-Target,Brand Camp VD,Lunch Bags,SEM,Batch 1 - TR</t>
        </is>
      </c>
      <c r="G1844" s="48" t="n">
        <v>0</v>
      </c>
      <c r="H1844" s="49" t="n">
        <v>0</v>
      </c>
      <c r="I1844" s="49" t="n">
        <v>1</v>
      </c>
      <c r="J1844" s="50" t="n">
        <v>0</v>
      </c>
      <c r="K1844" s="51" t="n">
        <v>0</v>
      </c>
      <c r="L1844" s="52" t="n">
        <v>0</v>
      </c>
      <c r="M1844" s="52" t="n">
        <v>0</v>
      </c>
      <c r="N1844" s="52" t="n">
        <v>0</v>
      </c>
      <c r="O1844" s="53" t="n">
        <v>0</v>
      </c>
      <c r="P1844" s="52" t="n">
        <v>0</v>
      </c>
      <c r="Q1844" s="53" t="n">
        <v>0</v>
      </c>
      <c r="R1844" s="52" t="n">
        <v>0</v>
      </c>
      <c r="S1844" s="51" t="n">
        <v>0</v>
      </c>
      <c r="T1844" s="48" t="n">
        <v>0</v>
      </c>
      <c r="U1844" s="49" t="n">
        <v>0</v>
      </c>
      <c r="V1844" s="49" t="n">
        <v>0</v>
      </c>
      <c r="W1844" s="50" t="n">
        <v>0</v>
      </c>
      <c r="X1844" s="51" t="n">
        <v>0</v>
      </c>
      <c r="Y1844" s="52" t="n">
        <v>0</v>
      </c>
      <c r="Z1844" s="52" t="n">
        <v>0</v>
      </c>
      <c r="AA1844" s="52" t="n">
        <v>0</v>
      </c>
      <c r="AB1844" s="53" t="n">
        <v>0</v>
      </c>
      <c r="AC1844" s="52" t="n">
        <v>0</v>
      </c>
      <c r="AD1844" s="53" t="n">
        <v>0</v>
      </c>
      <c r="AE1844" s="52" t="n">
        <v>0</v>
      </c>
      <c r="AF1844" s="51" t="n">
        <v>0</v>
      </c>
      <c r="AG1844" s="48" t="n">
        <v>0</v>
      </c>
      <c r="AH1844" s="49" t="n">
        <v>0</v>
      </c>
      <c r="AI1844" s="49" t="n">
        <v>0</v>
      </c>
      <c r="AJ1844" s="50" t="n">
        <v>0</v>
      </c>
      <c r="AK1844" s="51" t="n">
        <v>0</v>
      </c>
      <c r="AL1844" s="52" t="n">
        <v>0</v>
      </c>
      <c r="AM1844" s="52" t="n">
        <v>0</v>
      </c>
      <c r="AN1844" s="52" t="n">
        <v>0</v>
      </c>
      <c r="AO1844" s="53" t="n">
        <v>0</v>
      </c>
      <c r="AP1844" s="52" t="n">
        <v>0</v>
      </c>
      <c r="AQ1844" s="53" t="n">
        <v>0</v>
      </c>
      <c r="AR1844" s="52" t="n">
        <v>0</v>
      </c>
      <c r="AS1844" s="51" t="n">
        <v>0</v>
      </c>
      <c r="AT1844" s="48" t="n">
        <v>0</v>
      </c>
      <c r="AU1844" s="49" t="n">
        <v>0</v>
      </c>
      <c r="AV1844" s="49" t="n">
        <v>0</v>
      </c>
      <c r="AW1844" s="50" t="n">
        <v>0</v>
      </c>
      <c r="AX1844" s="51" t="n">
        <v>0</v>
      </c>
      <c r="AY1844" s="52" t="n">
        <v>0</v>
      </c>
      <c r="AZ1844" s="52" t="n">
        <v>0</v>
      </c>
      <c r="BA1844" s="52" t="n">
        <v>0</v>
      </c>
      <c r="BB1844" s="53" t="n">
        <v>0</v>
      </c>
      <c r="BC1844" s="52" t="n">
        <v>0</v>
      </c>
      <c r="BD1844" s="53" t="n">
        <v>0</v>
      </c>
      <c r="BE1844" s="52" t="n">
        <v>0</v>
      </c>
      <c r="BF1844" s="51" t="n">
        <v>0</v>
      </c>
    </row>
    <row r="1845">
      <c r="A1845">
        <f>HYPERLINK("https://www.walmart.com/ip/124762062", "124762062")</f>
        <v/>
      </c>
      <c r="B1845" t="inlineStr">
        <is>
          <t>Women's Chemise Nightgown Full Slip Lace Lounge Dress Teddy Outfits</t>
        </is>
      </c>
      <c r="C1845" t="inlineStr">
        <is>
          <t>JWBD011PP-XL</t>
        </is>
      </c>
      <c r="D1845" t="inlineStr">
        <is>
          <t>Nightgowns &amp; Sleepshirts</t>
        </is>
      </c>
      <c r="E1845" t="inlineStr">
        <is>
          <t>JenniWears</t>
        </is>
      </c>
      <c r="F1845" t="inlineStr">
        <is>
          <t>Optimized,Valentine</t>
        </is>
      </c>
      <c r="G1845" s="48" t="n">
        <v>0</v>
      </c>
      <c r="H1845" s="49" t="n">
        <v>0</v>
      </c>
      <c r="I1845" s="49" t="n">
        <v>0</v>
      </c>
      <c r="J1845" s="50" t="n">
        <v>0</v>
      </c>
      <c r="K1845" s="51" t="n">
        <v>0</v>
      </c>
      <c r="L1845" s="52" t="n">
        <v>0</v>
      </c>
      <c r="M1845" s="52" t="n">
        <v>0</v>
      </c>
      <c r="N1845" s="52" t="n">
        <v>0</v>
      </c>
      <c r="O1845" s="53" t="n">
        <v>0</v>
      </c>
      <c r="P1845" s="52" t="n">
        <v>0</v>
      </c>
      <c r="Q1845" s="53" t="n">
        <v>0</v>
      </c>
      <c r="R1845" s="52" t="n">
        <v>0</v>
      </c>
      <c r="S1845" s="51" t="n">
        <v>0</v>
      </c>
      <c r="T1845" s="48" t="n">
        <v>0</v>
      </c>
      <c r="U1845" s="49" t="n">
        <v>0</v>
      </c>
      <c r="V1845" s="49" t="n">
        <v>0</v>
      </c>
      <c r="W1845" s="50" t="n">
        <v>0</v>
      </c>
      <c r="X1845" s="51" t="n">
        <v>0</v>
      </c>
      <c r="Y1845" s="52" t="n">
        <v>0</v>
      </c>
      <c r="Z1845" s="52" t="n">
        <v>0</v>
      </c>
      <c r="AA1845" s="52" t="n">
        <v>0</v>
      </c>
      <c r="AB1845" s="53" t="n">
        <v>0</v>
      </c>
      <c r="AC1845" s="52" t="n">
        <v>0</v>
      </c>
      <c r="AD1845" s="53" t="n">
        <v>0</v>
      </c>
      <c r="AE1845" s="52" t="n">
        <v>0</v>
      </c>
      <c r="AF1845" s="51" t="n">
        <v>0</v>
      </c>
      <c r="AG1845" s="48" t="n">
        <v>0</v>
      </c>
      <c r="AH1845" s="49" t="n">
        <v>0</v>
      </c>
      <c r="AI1845" s="49" t="n">
        <v>0</v>
      </c>
      <c r="AJ1845" s="50" t="n">
        <v>0</v>
      </c>
      <c r="AK1845" s="51" t="n">
        <v>0</v>
      </c>
      <c r="AL1845" s="52" t="n">
        <v>0</v>
      </c>
      <c r="AM1845" s="52" t="n">
        <v>0</v>
      </c>
      <c r="AN1845" s="52" t="n">
        <v>0</v>
      </c>
      <c r="AO1845" s="53" t="n">
        <v>0</v>
      </c>
      <c r="AP1845" s="52" t="n">
        <v>0</v>
      </c>
      <c r="AQ1845" s="53" t="n">
        <v>0</v>
      </c>
      <c r="AR1845" s="52" t="n">
        <v>0</v>
      </c>
      <c r="AS1845" s="51" t="n">
        <v>0</v>
      </c>
      <c r="AT1845" s="48" t="n">
        <v>0</v>
      </c>
      <c r="AU1845" s="49" t="n">
        <v>0</v>
      </c>
      <c r="AV1845" s="49" t="n">
        <v>0</v>
      </c>
      <c r="AW1845" s="50" t="n">
        <v>0</v>
      </c>
      <c r="AX1845" s="51" t="n">
        <v>0</v>
      </c>
      <c r="AY1845" s="52" t="n">
        <v>0</v>
      </c>
      <c r="AZ1845" s="52" t="n">
        <v>0</v>
      </c>
      <c r="BA1845" s="52" t="n">
        <v>0</v>
      </c>
      <c r="BB1845" s="53" t="n">
        <v>0</v>
      </c>
      <c r="BC1845" s="52" t="n">
        <v>0</v>
      </c>
      <c r="BD1845" s="53" t="n">
        <v>0</v>
      </c>
      <c r="BE1845" s="52" t="n">
        <v>0</v>
      </c>
      <c r="BF1845" s="51" t="n">
        <v>0</v>
      </c>
    </row>
    <row r="1846">
      <c r="A1846">
        <f>HYPERLINK("https://www.walmart.com/ip/125079678", "125079678")</f>
        <v/>
      </c>
      <c r="B1846" t="inlineStr">
        <is>
          <t>Scarfs for Men, Winter Scarf, Fall Scarf with Warm Cozy Fleece Pocket and Hat Set by KC Caps</t>
        </is>
      </c>
      <c r="C1846" t="inlineStr">
        <is>
          <t>KC-W1810-W1850-ZBR</t>
        </is>
      </c>
      <c r="D1846" t="inlineStr">
        <is>
          <t>Hat, Scarf &amp; Glove Sets</t>
        </is>
      </c>
      <c r="E1846" t="inlineStr">
        <is>
          <t>KC Caps</t>
        </is>
      </c>
      <c r="F1846" t="inlineStr">
        <is>
          <t>Optimized</t>
        </is>
      </c>
      <c r="G1846" s="48" t="n">
        <v>0</v>
      </c>
      <c r="H1846" s="49" t="n">
        <v>0</v>
      </c>
      <c r="I1846" s="49" t="n">
        <v>0</v>
      </c>
      <c r="J1846" s="50" t="n">
        <v>0</v>
      </c>
      <c r="K1846" s="51" t="n">
        <v>0</v>
      </c>
      <c r="L1846" s="52" t="n">
        <v>0</v>
      </c>
      <c r="M1846" s="52" t="n">
        <v>0</v>
      </c>
      <c r="N1846" s="52" t="n">
        <v>0</v>
      </c>
      <c r="O1846" s="53" t="n">
        <v>0</v>
      </c>
      <c r="P1846" s="52" t="n">
        <v>0</v>
      </c>
      <c r="Q1846" s="53" t="n">
        <v>0</v>
      </c>
      <c r="R1846" s="52" t="n">
        <v>0</v>
      </c>
      <c r="S1846" s="51" t="n">
        <v>0</v>
      </c>
      <c r="T1846" s="48" t="n">
        <v>0</v>
      </c>
      <c r="U1846" s="49" t="n">
        <v>0</v>
      </c>
      <c r="V1846" s="49" t="n">
        <v>0</v>
      </c>
      <c r="W1846" s="50" t="n">
        <v>0</v>
      </c>
      <c r="X1846" s="51" t="n">
        <v>0</v>
      </c>
      <c r="Y1846" s="52" t="n">
        <v>0</v>
      </c>
      <c r="Z1846" s="52" t="n">
        <v>0</v>
      </c>
      <c r="AA1846" s="52" t="n">
        <v>0</v>
      </c>
      <c r="AB1846" s="53" t="n">
        <v>0</v>
      </c>
      <c r="AC1846" s="52" t="n">
        <v>0</v>
      </c>
      <c r="AD1846" s="53" t="n">
        <v>0</v>
      </c>
      <c r="AE1846" s="52" t="n">
        <v>0</v>
      </c>
      <c r="AF1846" s="51" t="n">
        <v>0</v>
      </c>
      <c r="AG1846" s="48" t="n">
        <v>0</v>
      </c>
      <c r="AH1846" s="49" t="n">
        <v>0</v>
      </c>
      <c r="AI1846" s="49" t="n">
        <v>0</v>
      </c>
      <c r="AJ1846" s="50" t="n">
        <v>0</v>
      </c>
      <c r="AK1846" s="51" t="n">
        <v>0</v>
      </c>
      <c r="AL1846" s="52" t="n">
        <v>0</v>
      </c>
      <c r="AM1846" s="52" t="n">
        <v>0</v>
      </c>
      <c r="AN1846" s="52" t="n">
        <v>0</v>
      </c>
      <c r="AO1846" s="53" t="n">
        <v>0</v>
      </c>
      <c r="AP1846" s="52" t="n">
        <v>0</v>
      </c>
      <c r="AQ1846" s="53" t="n">
        <v>0</v>
      </c>
      <c r="AR1846" s="52" t="n">
        <v>0</v>
      </c>
      <c r="AS1846" s="51" t="n">
        <v>0</v>
      </c>
      <c r="AT1846" s="48" t="n">
        <v>0</v>
      </c>
      <c r="AU1846" s="49" t="n">
        <v>0</v>
      </c>
      <c r="AV1846" s="49" t="n">
        <v>0</v>
      </c>
      <c r="AW1846" s="50" t="n">
        <v>0</v>
      </c>
      <c r="AX1846" s="51" t="n">
        <v>0</v>
      </c>
      <c r="AY1846" s="52" t="n">
        <v>0</v>
      </c>
      <c r="AZ1846" s="52" t="n">
        <v>0</v>
      </c>
      <c r="BA1846" s="52" t="n">
        <v>0</v>
      </c>
      <c r="BB1846" s="53" t="n">
        <v>0</v>
      </c>
      <c r="BC1846" s="52" t="n">
        <v>0</v>
      </c>
      <c r="BD1846" s="53" t="n">
        <v>0</v>
      </c>
      <c r="BE1846" s="52" t="n">
        <v>0</v>
      </c>
      <c r="BF1846" s="51" t="n">
        <v>0</v>
      </c>
    </row>
    <row r="1847">
      <c r="A1847">
        <f>HYPERLINK("https://www.walmart.com/ip/1251379645", "1251379645")</f>
        <v/>
      </c>
      <c r="B1847" t="inlineStr">
        <is>
          <t>Bucket Summer Mens Sun Hat Water Repel Mesh Net Light Weight UV Protection Outdoor Cap by Solaris</t>
        </is>
      </c>
      <c r="C1847" t="inlineStr">
        <is>
          <t>1SLSH191NV-12pcs</t>
        </is>
      </c>
      <c r="D1847" t="inlineStr">
        <is>
          <t>Hats</t>
        </is>
      </c>
      <c r="E1847" t="inlineStr">
        <is>
          <t>Solaris</t>
        </is>
      </c>
      <c r="F1847" t="inlineStr">
        <is>
          <t>Batch 1 - TR</t>
        </is>
      </c>
      <c r="G1847" s="48" t="n">
        <v>0</v>
      </c>
      <c r="H1847" s="49" t="n">
        <v>0</v>
      </c>
      <c r="I1847" s="49" t="n">
        <v>0</v>
      </c>
      <c r="J1847" s="50" t="n">
        <v>0</v>
      </c>
      <c r="K1847" s="51" t="n">
        <v>0</v>
      </c>
      <c r="L1847" s="52" t="n">
        <v>0</v>
      </c>
      <c r="M1847" s="52" t="n">
        <v>0</v>
      </c>
      <c r="N1847" s="52" t="n">
        <v>0</v>
      </c>
      <c r="O1847" s="53" t="n">
        <v>0</v>
      </c>
      <c r="P1847" s="52" t="n">
        <v>0</v>
      </c>
      <c r="Q1847" s="53" t="n">
        <v>0</v>
      </c>
      <c r="R1847" s="52" t="n">
        <v>0</v>
      </c>
      <c r="S1847" s="51" t="n">
        <v>0</v>
      </c>
      <c r="T1847" s="48" t="n">
        <v>0</v>
      </c>
      <c r="U1847" s="49" t="n">
        <v>0</v>
      </c>
      <c r="V1847" s="49" t="n">
        <v>0</v>
      </c>
      <c r="W1847" s="50" t="n">
        <v>0</v>
      </c>
      <c r="X1847" s="51" t="n">
        <v>0</v>
      </c>
      <c r="Y1847" s="52" t="n">
        <v>0</v>
      </c>
      <c r="Z1847" s="52" t="n">
        <v>0</v>
      </c>
      <c r="AA1847" s="52" t="n">
        <v>0</v>
      </c>
      <c r="AB1847" s="53" t="n">
        <v>0</v>
      </c>
      <c r="AC1847" s="52" t="n">
        <v>0</v>
      </c>
      <c r="AD1847" s="53" t="n">
        <v>0</v>
      </c>
      <c r="AE1847" s="52" t="n">
        <v>0</v>
      </c>
      <c r="AF1847" s="51" t="n">
        <v>0</v>
      </c>
      <c r="AG1847" s="48" t="n">
        <v>0</v>
      </c>
      <c r="AH1847" s="49" t="n">
        <v>0</v>
      </c>
      <c r="AI1847" s="49" t="n">
        <v>0</v>
      </c>
      <c r="AJ1847" s="50" t="n">
        <v>0</v>
      </c>
      <c r="AK1847" s="51" t="n">
        <v>0</v>
      </c>
      <c r="AL1847" s="52" t="n">
        <v>0</v>
      </c>
      <c r="AM1847" s="52" t="n">
        <v>0</v>
      </c>
      <c r="AN1847" s="52" t="n">
        <v>0</v>
      </c>
      <c r="AO1847" s="53" t="n">
        <v>0</v>
      </c>
      <c r="AP1847" s="52" t="n">
        <v>0</v>
      </c>
      <c r="AQ1847" s="53" t="n">
        <v>0</v>
      </c>
      <c r="AR1847" s="52" t="n">
        <v>0</v>
      </c>
      <c r="AS1847" s="51" t="n">
        <v>0</v>
      </c>
      <c r="AT1847" s="48" t="n">
        <v>0</v>
      </c>
      <c r="AU1847" s="49" t="n">
        <v>0</v>
      </c>
      <c r="AV1847" s="49" t="n">
        <v>0</v>
      </c>
      <c r="AW1847" s="50" t="n">
        <v>0</v>
      </c>
      <c r="AX1847" s="51" t="n">
        <v>0</v>
      </c>
      <c r="AY1847" s="52" t="n">
        <v>0</v>
      </c>
      <c r="AZ1847" s="52" t="n">
        <v>0</v>
      </c>
      <c r="BA1847" s="52" t="n">
        <v>0</v>
      </c>
      <c r="BB1847" s="53" t="n">
        <v>0</v>
      </c>
      <c r="BC1847" s="52" t="n">
        <v>0</v>
      </c>
      <c r="BD1847" s="53" t="n">
        <v>0</v>
      </c>
      <c r="BE1847" s="52" t="n">
        <v>0</v>
      </c>
      <c r="BF1847" s="51" t="n">
        <v>0</v>
      </c>
    </row>
    <row r="1848">
      <c r="A1848">
        <f>HYPERLINK("https://www.walmart.com/ip/1254386462", "1254386462")</f>
        <v/>
      </c>
      <c r="B1848" t="inlineStr">
        <is>
          <t>Tirrinia Men's Military Mesh Cap</t>
        </is>
      </c>
      <c r="C1848" t="inlineStr">
        <is>
          <t>1TRSH7140SH-TBCB</t>
        </is>
      </c>
      <c r="D1848" t="inlineStr">
        <is>
          <t>Hats</t>
        </is>
      </c>
      <c r="E1848" t="inlineStr">
        <is>
          <t>Tirrinia</t>
        </is>
      </c>
      <c r="F1848" t="inlineStr">
        <is>
          <t>Batch 1 - TR</t>
        </is>
      </c>
      <c r="G1848" s="48" t="n">
        <v>0</v>
      </c>
      <c r="H1848" s="49" t="n">
        <v>0</v>
      </c>
      <c r="I1848" s="49" t="n">
        <v>0</v>
      </c>
      <c r="J1848" s="50" t="n">
        <v>0</v>
      </c>
      <c r="K1848" s="51" t="n">
        <v>0</v>
      </c>
      <c r="L1848" s="52" t="n">
        <v>0</v>
      </c>
      <c r="M1848" s="52" t="n">
        <v>0</v>
      </c>
      <c r="N1848" s="52" t="n">
        <v>0</v>
      </c>
      <c r="O1848" s="53" t="n">
        <v>0</v>
      </c>
      <c r="P1848" s="52" t="n">
        <v>0</v>
      </c>
      <c r="Q1848" s="53" t="n">
        <v>0</v>
      </c>
      <c r="R1848" s="52" t="n">
        <v>0</v>
      </c>
      <c r="S1848" s="51" t="n">
        <v>0</v>
      </c>
      <c r="T1848" s="48" t="n">
        <v>0</v>
      </c>
      <c r="U1848" s="49" t="n">
        <v>0</v>
      </c>
      <c r="V1848" s="49" t="n">
        <v>0</v>
      </c>
      <c r="W1848" s="50" t="n">
        <v>0</v>
      </c>
      <c r="X1848" s="51" t="n">
        <v>0</v>
      </c>
      <c r="Y1848" s="52" t="n">
        <v>0</v>
      </c>
      <c r="Z1848" s="52" t="n">
        <v>0</v>
      </c>
      <c r="AA1848" s="52" t="n">
        <v>0</v>
      </c>
      <c r="AB1848" s="53" t="n">
        <v>0</v>
      </c>
      <c r="AC1848" s="52" t="n">
        <v>0</v>
      </c>
      <c r="AD1848" s="53" t="n">
        <v>0</v>
      </c>
      <c r="AE1848" s="52" t="n">
        <v>0</v>
      </c>
      <c r="AF1848" s="51" t="n">
        <v>0</v>
      </c>
      <c r="AG1848" s="48" t="n">
        <v>0</v>
      </c>
      <c r="AH1848" s="49" t="n">
        <v>0</v>
      </c>
      <c r="AI1848" s="49" t="n">
        <v>0</v>
      </c>
      <c r="AJ1848" s="50" t="n">
        <v>0</v>
      </c>
      <c r="AK1848" s="51" t="n">
        <v>0</v>
      </c>
      <c r="AL1848" s="52" t="n">
        <v>0</v>
      </c>
      <c r="AM1848" s="52" t="n">
        <v>0</v>
      </c>
      <c r="AN1848" s="52" t="n">
        <v>0</v>
      </c>
      <c r="AO1848" s="53" t="n">
        <v>0</v>
      </c>
      <c r="AP1848" s="52" t="n">
        <v>0</v>
      </c>
      <c r="AQ1848" s="53" t="n">
        <v>0</v>
      </c>
      <c r="AR1848" s="52" t="n">
        <v>0</v>
      </c>
      <c r="AS1848" s="51" t="n">
        <v>0</v>
      </c>
      <c r="AT1848" s="48" t="n">
        <v>0</v>
      </c>
      <c r="AU1848" s="49" t="n">
        <v>0</v>
      </c>
      <c r="AV1848" s="49" t="n">
        <v>0</v>
      </c>
      <c r="AW1848" s="50" t="n">
        <v>0</v>
      </c>
      <c r="AX1848" s="51" t="n">
        <v>0</v>
      </c>
      <c r="AY1848" s="52" t="n">
        <v>0</v>
      </c>
      <c r="AZ1848" s="52" t="n">
        <v>0</v>
      </c>
      <c r="BA1848" s="52" t="n">
        <v>0</v>
      </c>
      <c r="BB1848" s="53" t="n">
        <v>0</v>
      </c>
      <c r="BC1848" s="52" t="n">
        <v>0</v>
      </c>
      <c r="BD1848" s="53" t="n">
        <v>0</v>
      </c>
      <c r="BE1848" s="52" t="n">
        <v>0</v>
      </c>
      <c r="BF1848" s="51" t="n">
        <v>0</v>
      </c>
    </row>
    <row r="1849">
      <c r="A1849">
        <f>HYPERLINK("https://www.walmart.com/ip/125439385", "125439385")</f>
        <v/>
      </c>
      <c r="B1849" t="inlineStr">
        <is>
          <t>Tirrinia Red Buffalo Plaid Sherpa Wearable Blanket for Adult Women and Men, Super Soft Comfy Warm Plush Throw with Sleeves TV Blanket Wrap Robe Cover for Sofa, Couch 72" x 55"</t>
        </is>
      </c>
      <c r="C1849" t="inlineStr">
        <is>
          <t>1TNSN110P2RD-TPB</t>
        </is>
      </c>
      <c r="D1849" t="inlineStr">
        <is>
          <t>Throws</t>
        </is>
      </c>
      <c r="E1849" t="inlineStr">
        <is>
          <t>Tirrinia</t>
        </is>
      </c>
      <c r="F1849" t="inlineStr">
        <is>
          <t>Optimized</t>
        </is>
      </c>
      <c r="G1849" s="48" t="n">
        <v>0</v>
      </c>
      <c r="H1849" s="49" t="n">
        <v>0</v>
      </c>
      <c r="I1849" s="49" t="n">
        <v>0</v>
      </c>
      <c r="J1849" s="50" t="n">
        <v>0</v>
      </c>
      <c r="K1849" s="51" t="n">
        <v>0</v>
      </c>
      <c r="L1849" s="52" t="n">
        <v>0</v>
      </c>
      <c r="M1849" s="52" t="n">
        <v>0</v>
      </c>
      <c r="N1849" s="52" t="n">
        <v>0</v>
      </c>
      <c r="O1849" s="53" t="n">
        <v>0</v>
      </c>
      <c r="P1849" s="52" t="n">
        <v>0</v>
      </c>
      <c r="Q1849" s="53" t="n">
        <v>0</v>
      </c>
      <c r="R1849" s="52" t="n">
        <v>0</v>
      </c>
      <c r="S1849" s="51" t="n">
        <v>0</v>
      </c>
      <c r="T1849" s="48" t="n">
        <v>0</v>
      </c>
      <c r="U1849" s="49" t="n">
        <v>0</v>
      </c>
      <c r="V1849" s="49" t="n">
        <v>0</v>
      </c>
      <c r="W1849" s="50" t="n">
        <v>0</v>
      </c>
      <c r="X1849" s="51" t="n">
        <v>0</v>
      </c>
      <c r="Y1849" s="52" t="n">
        <v>0</v>
      </c>
      <c r="Z1849" s="52" t="n">
        <v>0</v>
      </c>
      <c r="AA1849" s="52" t="n">
        <v>0</v>
      </c>
      <c r="AB1849" s="53" t="n">
        <v>0</v>
      </c>
      <c r="AC1849" s="52" t="n">
        <v>0</v>
      </c>
      <c r="AD1849" s="53" t="n">
        <v>0</v>
      </c>
      <c r="AE1849" s="52" t="n">
        <v>0</v>
      </c>
      <c r="AF1849" s="51" t="n">
        <v>0</v>
      </c>
      <c r="AG1849" s="48" t="n">
        <v>0</v>
      </c>
      <c r="AH1849" s="49" t="n">
        <v>0</v>
      </c>
      <c r="AI1849" s="49" t="n">
        <v>0</v>
      </c>
      <c r="AJ1849" s="50" t="n">
        <v>0</v>
      </c>
      <c r="AK1849" s="51" t="n">
        <v>0</v>
      </c>
      <c r="AL1849" s="52" t="n">
        <v>0</v>
      </c>
      <c r="AM1849" s="52" t="n">
        <v>0</v>
      </c>
      <c r="AN1849" s="52" t="n">
        <v>0</v>
      </c>
      <c r="AO1849" s="53" t="n">
        <v>0</v>
      </c>
      <c r="AP1849" s="52" t="n">
        <v>0</v>
      </c>
      <c r="AQ1849" s="53" t="n">
        <v>0</v>
      </c>
      <c r="AR1849" s="52" t="n">
        <v>0</v>
      </c>
      <c r="AS1849" s="51" t="n">
        <v>0</v>
      </c>
      <c r="AT1849" s="48" t="n">
        <v>0</v>
      </c>
      <c r="AU1849" s="49" t="n">
        <v>0</v>
      </c>
      <c r="AV1849" s="49" t="n">
        <v>0</v>
      </c>
      <c r="AW1849" s="50" t="n">
        <v>0</v>
      </c>
      <c r="AX1849" s="51" t="n">
        <v>0</v>
      </c>
      <c r="AY1849" s="52" t="n">
        <v>0</v>
      </c>
      <c r="AZ1849" s="52" t="n">
        <v>0</v>
      </c>
      <c r="BA1849" s="52" t="n">
        <v>0</v>
      </c>
      <c r="BB1849" s="53" t="n">
        <v>0</v>
      </c>
      <c r="BC1849" s="52" t="n">
        <v>0</v>
      </c>
      <c r="BD1849" s="53" t="n">
        <v>0</v>
      </c>
      <c r="BE1849" s="52" t="n">
        <v>0</v>
      </c>
      <c r="BF1849" s="51" t="n">
        <v>0</v>
      </c>
    </row>
    <row r="1850">
      <c r="A1850">
        <f>HYPERLINK("https://www.walmart.com/ip/125616970", "125616970")</f>
        <v/>
      </c>
      <c r="B1850" t="inlineStr">
        <is>
          <t>Tirrinia Insulated 4 Bottle Wine Carrier Tote Cooler Bag for Travel Picnic Padded Champagne Glass Carrying Case Leather</t>
        </is>
      </c>
      <c r="C1850" t="inlineStr">
        <is>
          <t>1WMWB421KK</t>
        </is>
      </c>
      <c r="D1850" t="inlineStr">
        <is>
          <t>Wine Totes, Bags &amp; Backpacks</t>
        </is>
      </c>
      <c r="E1850" t="inlineStr">
        <is>
          <t>Flyingstar</t>
        </is>
      </c>
      <c r="F1850" t="inlineStr">
        <is>
          <t>Wine,Christmas,Optimized,Valentine</t>
        </is>
      </c>
      <c r="G1850" s="48" t="n">
        <v>0</v>
      </c>
      <c r="H1850" s="49" t="n">
        <v>0</v>
      </c>
      <c r="I1850" s="49" t="n">
        <v>0</v>
      </c>
      <c r="J1850" s="50" t="n">
        <v>0</v>
      </c>
      <c r="K1850" s="51" t="n">
        <v>0</v>
      </c>
      <c r="L1850" s="52" t="n">
        <v>0</v>
      </c>
      <c r="M1850" s="52" t="n">
        <v>0</v>
      </c>
      <c r="N1850" s="52" t="n">
        <v>0</v>
      </c>
      <c r="O1850" s="53" t="n">
        <v>0</v>
      </c>
      <c r="P1850" s="52" t="n">
        <v>0</v>
      </c>
      <c r="Q1850" s="53" t="n">
        <v>0</v>
      </c>
      <c r="R1850" s="52" t="n">
        <v>0</v>
      </c>
      <c r="S1850" s="51" t="n">
        <v>0</v>
      </c>
      <c r="T1850" s="48" t="n">
        <v>0</v>
      </c>
      <c r="U1850" s="49" t="n">
        <v>0</v>
      </c>
      <c r="V1850" s="49" t="n">
        <v>0</v>
      </c>
      <c r="W1850" s="50" t="n">
        <v>0</v>
      </c>
      <c r="X1850" s="51" t="n">
        <v>0</v>
      </c>
      <c r="Y1850" s="52" t="n">
        <v>0</v>
      </c>
      <c r="Z1850" s="52" t="n">
        <v>0</v>
      </c>
      <c r="AA1850" s="52" t="n">
        <v>0</v>
      </c>
      <c r="AB1850" s="53" t="n">
        <v>0</v>
      </c>
      <c r="AC1850" s="52" t="n">
        <v>0</v>
      </c>
      <c r="AD1850" s="53" t="n">
        <v>0</v>
      </c>
      <c r="AE1850" s="52" t="n">
        <v>0</v>
      </c>
      <c r="AF1850" s="51" t="n">
        <v>0</v>
      </c>
      <c r="AG1850" s="48" t="n">
        <v>0</v>
      </c>
      <c r="AH1850" s="49" t="n">
        <v>0</v>
      </c>
      <c r="AI1850" s="49" t="n">
        <v>0</v>
      </c>
      <c r="AJ1850" s="50" t="n">
        <v>0</v>
      </c>
      <c r="AK1850" s="51" t="n">
        <v>0</v>
      </c>
      <c r="AL1850" s="52" t="n">
        <v>0</v>
      </c>
      <c r="AM1850" s="52" t="n">
        <v>0</v>
      </c>
      <c r="AN1850" s="52" t="n">
        <v>0</v>
      </c>
      <c r="AO1850" s="53" t="n">
        <v>0</v>
      </c>
      <c r="AP1850" s="52" t="n">
        <v>0</v>
      </c>
      <c r="AQ1850" s="53" t="n">
        <v>0</v>
      </c>
      <c r="AR1850" s="52" t="n">
        <v>0</v>
      </c>
      <c r="AS1850" s="51" t="n">
        <v>0</v>
      </c>
      <c r="AT1850" s="48" t="n">
        <v>0</v>
      </c>
      <c r="AU1850" s="49" t="n">
        <v>0</v>
      </c>
      <c r="AV1850" s="49" t="n">
        <v>0</v>
      </c>
      <c r="AW1850" s="50" t="n">
        <v>0</v>
      </c>
      <c r="AX1850" s="51" t="n">
        <v>0</v>
      </c>
      <c r="AY1850" s="52" t="n">
        <v>0</v>
      </c>
      <c r="AZ1850" s="52" t="n">
        <v>0</v>
      </c>
      <c r="BA1850" s="52" t="n">
        <v>0</v>
      </c>
      <c r="BB1850" s="53" t="n">
        <v>0</v>
      </c>
      <c r="BC1850" s="52" t="n">
        <v>0</v>
      </c>
      <c r="BD1850" s="53" t="n">
        <v>0</v>
      </c>
      <c r="BE1850" s="52" t="n">
        <v>0</v>
      </c>
      <c r="BF1850" s="51" t="n">
        <v>0</v>
      </c>
    </row>
    <row r="1851">
      <c r="A1851">
        <f>HYPERLINK("https://www.walmart.com/ip/1256810690", "1256810690")</f>
        <v/>
      </c>
      <c r="B1851" t="inlineStr">
        <is>
          <t>Women’s Plush Hoodie Sweatshirt Dress, Casual Pullover Sweater with Kangaroo Pocket, One Size</t>
        </is>
      </c>
      <c r="C1851" t="inlineStr">
        <is>
          <t>1CTHD531PK</t>
        </is>
      </c>
      <c r="D1851" t="inlineStr">
        <is>
          <t>Sweatshirts &amp; Hoodies</t>
        </is>
      </c>
      <c r="E1851" t="inlineStr">
        <is>
          <t>Catalonia</t>
        </is>
      </c>
      <c r="F1851" t="inlineStr">
        <is>
          <t>Batch 1 - TR</t>
        </is>
      </c>
      <c r="G1851" s="48" t="n">
        <v>0</v>
      </c>
      <c r="H1851" s="49" t="n">
        <v>0</v>
      </c>
      <c r="I1851" s="49" t="n">
        <v>0</v>
      </c>
      <c r="J1851" s="50" t="n">
        <v>0</v>
      </c>
      <c r="K1851" s="51" t="n">
        <v>0</v>
      </c>
      <c r="L1851" s="52" t="n">
        <v>0</v>
      </c>
      <c r="M1851" s="52" t="n">
        <v>0</v>
      </c>
      <c r="N1851" s="52" t="n">
        <v>0</v>
      </c>
      <c r="O1851" s="53" t="n">
        <v>0</v>
      </c>
      <c r="P1851" s="52" t="n">
        <v>0</v>
      </c>
      <c r="Q1851" s="53" t="n">
        <v>0</v>
      </c>
      <c r="R1851" s="52" t="n">
        <v>0</v>
      </c>
      <c r="S1851" s="51" t="n">
        <v>0</v>
      </c>
      <c r="T1851" s="48" t="n">
        <v>0</v>
      </c>
      <c r="U1851" s="49" t="n">
        <v>0</v>
      </c>
      <c r="V1851" s="49" t="n">
        <v>0</v>
      </c>
      <c r="W1851" s="50" t="n">
        <v>0</v>
      </c>
      <c r="X1851" s="51" t="n">
        <v>0</v>
      </c>
      <c r="Y1851" s="52" t="n">
        <v>0</v>
      </c>
      <c r="Z1851" s="52" t="n">
        <v>0</v>
      </c>
      <c r="AA1851" s="52" t="n">
        <v>0</v>
      </c>
      <c r="AB1851" s="53" t="n">
        <v>0</v>
      </c>
      <c r="AC1851" s="52" t="n">
        <v>0</v>
      </c>
      <c r="AD1851" s="53" t="n">
        <v>0</v>
      </c>
      <c r="AE1851" s="52" t="n">
        <v>0</v>
      </c>
      <c r="AF1851" s="51" t="n">
        <v>0</v>
      </c>
      <c r="AG1851" s="48" t="n">
        <v>0</v>
      </c>
      <c r="AH1851" s="49" t="n">
        <v>0</v>
      </c>
      <c r="AI1851" s="49" t="n">
        <v>0</v>
      </c>
      <c r="AJ1851" s="50" t="n">
        <v>0</v>
      </c>
      <c r="AK1851" s="51" t="n">
        <v>0</v>
      </c>
      <c r="AL1851" s="52" t="n">
        <v>0</v>
      </c>
      <c r="AM1851" s="52" t="n">
        <v>0</v>
      </c>
      <c r="AN1851" s="52" t="n">
        <v>0</v>
      </c>
      <c r="AO1851" s="53" t="n">
        <v>0</v>
      </c>
      <c r="AP1851" s="52" t="n">
        <v>0</v>
      </c>
      <c r="AQ1851" s="53" t="n">
        <v>0</v>
      </c>
      <c r="AR1851" s="52" t="n">
        <v>0</v>
      </c>
      <c r="AS1851" s="51" t="n">
        <v>0</v>
      </c>
      <c r="AT1851" s="48" t="n">
        <v>0</v>
      </c>
      <c r="AU1851" s="49" t="n">
        <v>0</v>
      </c>
      <c r="AV1851" s="49" t="n">
        <v>0</v>
      </c>
      <c r="AW1851" s="50" t="n">
        <v>0</v>
      </c>
      <c r="AX1851" s="51" t="n">
        <v>0</v>
      </c>
      <c r="AY1851" s="52" t="n">
        <v>0</v>
      </c>
      <c r="AZ1851" s="52" t="n">
        <v>0</v>
      </c>
      <c r="BA1851" s="52" t="n">
        <v>0</v>
      </c>
      <c r="BB1851" s="53" t="n">
        <v>0</v>
      </c>
      <c r="BC1851" s="52" t="n">
        <v>0</v>
      </c>
      <c r="BD1851" s="53" t="n">
        <v>0</v>
      </c>
      <c r="BE1851" s="52" t="n">
        <v>0</v>
      </c>
      <c r="BF1851" s="51" t="n">
        <v>0</v>
      </c>
    </row>
    <row r="1852">
      <c r="A1852">
        <f>HYPERLINK("https://www.walmart.com/ip/125979782", "125979782")</f>
        <v/>
      </c>
      <c r="B1852" t="inlineStr">
        <is>
          <t>Napa Luxury Shu Velveteen Throw Blanket, Soft Blankets for Adults, All Seasons Plush Blanket, Cozy Reversible Fuzzy Blanket, Best Gift for Women, Pink, 50" x 60"</t>
        </is>
      </c>
      <c r="C1852" t="inlineStr">
        <is>
          <t>K9000PINK</t>
        </is>
      </c>
      <c r="D1852" t="inlineStr">
        <is>
          <t>Throws</t>
        </is>
      </c>
      <c r="E1852" t="inlineStr">
        <is>
          <t>NAPA</t>
        </is>
      </c>
      <c r="F1852" t="inlineStr">
        <is>
          <t>Optimized</t>
        </is>
      </c>
      <c r="G1852" s="48" t="n">
        <v>0</v>
      </c>
      <c r="H1852" s="49" t="n">
        <v>0</v>
      </c>
      <c r="I1852" s="49" t="n">
        <v>0</v>
      </c>
      <c r="J1852" s="50" t="n">
        <v>0</v>
      </c>
      <c r="K1852" s="51" t="n">
        <v>0</v>
      </c>
      <c r="L1852" s="52" t="n">
        <v>0</v>
      </c>
      <c r="M1852" s="52" t="n">
        <v>0</v>
      </c>
      <c r="N1852" s="52" t="n">
        <v>0</v>
      </c>
      <c r="O1852" s="53" t="n">
        <v>0</v>
      </c>
      <c r="P1852" s="52" t="n">
        <v>0</v>
      </c>
      <c r="Q1852" s="53" t="n">
        <v>0</v>
      </c>
      <c r="R1852" s="52" t="n">
        <v>0</v>
      </c>
      <c r="S1852" s="51" t="n">
        <v>0</v>
      </c>
      <c r="T1852" s="48" t="n">
        <v>0</v>
      </c>
      <c r="U1852" s="49" t="n">
        <v>0</v>
      </c>
      <c r="V1852" s="49" t="n">
        <v>0</v>
      </c>
      <c r="W1852" s="50" t="n">
        <v>0</v>
      </c>
      <c r="X1852" s="51" t="n">
        <v>0</v>
      </c>
      <c r="Y1852" s="52" t="n">
        <v>0</v>
      </c>
      <c r="Z1852" s="52" t="n">
        <v>0</v>
      </c>
      <c r="AA1852" s="52" t="n">
        <v>0</v>
      </c>
      <c r="AB1852" s="53" t="n">
        <v>0</v>
      </c>
      <c r="AC1852" s="52" t="n">
        <v>0</v>
      </c>
      <c r="AD1852" s="53" t="n">
        <v>0</v>
      </c>
      <c r="AE1852" s="52" t="n">
        <v>0</v>
      </c>
      <c r="AF1852" s="51" t="n">
        <v>0</v>
      </c>
      <c r="AG1852" s="48" t="n">
        <v>0</v>
      </c>
      <c r="AH1852" s="49" t="n">
        <v>0</v>
      </c>
      <c r="AI1852" s="49" t="n">
        <v>0</v>
      </c>
      <c r="AJ1852" s="50" t="n">
        <v>0</v>
      </c>
      <c r="AK1852" s="51" t="n">
        <v>0</v>
      </c>
      <c r="AL1852" s="52" t="n">
        <v>0</v>
      </c>
      <c r="AM1852" s="52" t="n">
        <v>0</v>
      </c>
      <c r="AN1852" s="52" t="n">
        <v>0</v>
      </c>
      <c r="AO1852" s="53" t="n">
        <v>0</v>
      </c>
      <c r="AP1852" s="52" t="n">
        <v>0</v>
      </c>
      <c r="AQ1852" s="53" t="n">
        <v>0</v>
      </c>
      <c r="AR1852" s="52" t="n">
        <v>0</v>
      </c>
      <c r="AS1852" s="51" t="n">
        <v>0</v>
      </c>
      <c r="AT1852" s="48" t="n">
        <v>0</v>
      </c>
      <c r="AU1852" s="49" t="n">
        <v>0</v>
      </c>
      <c r="AV1852" s="49" t="n">
        <v>0</v>
      </c>
      <c r="AW1852" s="50" t="n">
        <v>0</v>
      </c>
      <c r="AX1852" s="51" t="n">
        <v>0</v>
      </c>
      <c r="AY1852" s="52" t="n">
        <v>0</v>
      </c>
      <c r="AZ1852" s="52" t="n">
        <v>0</v>
      </c>
      <c r="BA1852" s="52" t="n">
        <v>0</v>
      </c>
      <c r="BB1852" s="53" t="n">
        <v>0</v>
      </c>
      <c r="BC1852" s="52" t="n">
        <v>0</v>
      </c>
      <c r="BD1852" s="53" t="n">
        <v>0</v>
      </c>
      <c r="BE1852" s="52" t="n">
        <v>0</v>
      </c>
      <c r="BF1852" s="51" t="n">
        <v>0</v>
      </c>
    </row>
    <row r="1853">
      <c r="A1853">
        <f>HYPERLINK("https://www.walmart.com/ip/126043267", "126043267")</f>
        <v/>
      </c>
      <c r="B1853" t="inlineStr">
        <is>
          <t>Napa Super Soft Micro Fleece Sherpa Bed Throw TV Blanket with Sleeves 72" x 50" Grey</t>
        </is>
      </c>
      <c r="C1853" t="inlineStr">
        <is>
          <t>K3080GRAY</t>
        </is>
      </c>
      <c r="D1853" t="inlineStr">
        <is>
          <t>Throws</t>
        </is>
      </c>
      <c r="E1853" t="inlineStr">
        <is>
          <t>NAPA</t>
        </is>
      </c>
      <c r="F1853" t="inlineStr">
        <is>
          <t>Optimized</t>
        </is>
      </c>
      <c r="G1853" s="48" t="n">
        <v>0</v>
      </c>
      <c r="H1853" s="49" t="n">
        <v>0</v>
      </c>
      <c r="I1853" s="49" t="n">
        <v>0</v>
      </c>
      <c r="J1853" s="50" t="n">
        <v>0</v>
      </c>
      <c r="K1853" s="51" t="n">
        <v>0</v>
      </c>
      <c r="L1853" s="52" t="n">
        <v>0</v>
      </c>
      <c r="M1853" s="52" t="n">
        <v>0</v>
      </c>
      <c r="N1853" s="52" t="n">
        <v>0</v>
      </c>
      <c r="O1853" s="53" t="n">
        <v>0</v>
      </c>
      <c r="P1853" s="52" t="n">
        <v>0</v>
      </c>
      <c r="Q1853" s="53" t="n">
        <v>0</v>
      </c>
      <c r="R1853" s="52" t="n">
        <v>0</v>
      </c>
      <c r="S1853" s="51" t="n">
        <v>0</v>
      </c>
      <c r="T1853" s="48" t="n">
        <v>0</v>
      </c>
      <c r="U1853" s="49" t="n">
        <v>0</v>
      </c>
      <c r="V1853" s="49" t="n">
        <v>0</v>
      </c>
      <c r="W1853" s="50" t="n">
        <v>0</v>
      </c>
      <c r="X1853" s="51" t="n">
        <v>0</v>
      </c>
      <c r="Y1853" s="52" t="n">
        <v>0</v>
      </c>
      <c r="Z1853" s="52" t="n">
        <v>0</v>
      </c>
      <c r="AA1853" s="52" t="n">
        <v>0</v>
      </c>
      <c r="AB1853" s="53" t="n">
        <v>0</v>
      </c>
      <c r="AC1853" s="52" t="n">
        <v>0</v>
      </c>
      <c r="AD1853" s="53" t="n">
        <v>0</v>
      </c>
      <c r="AE1853" s="52" t="n">
        <v>0</v>
      </c>
      <c r="AF1853" s="51" t="n">
        <v>0</v>
      </c>
      <c r="AG1853" s="48" t="n">
        <v>0</v>
      </c>
      <c r="AH1853" s="49" t="n">
        <v>0</v>
      </c>
      <c r="AI1853" s="49" t="n">
        <v>0</v>
      </c>
      <c r="AJ1853" s="50" t="n">
        <v>0</v>
      </c>
      <c r="AK1853" s="51" t="n">
        <v>0</v>
      </c>
      <c r="AL1853" s="52" t="n">
        <v>0</v>
      </c>
      <c r="AM1853" s="52" t="n">
        <v>0</v>
      </c>
      <c r="AN1853" s="52" t="n">
        <v>0</v>
      </c>
      <c r="AO1853" s="53" t="n">
        <v>0</v>
      </c>
      <c r="AP1853" s="52" t="n">
        <v>0</v>
      </c>
      <c r="AQ1853" s="53" t="n">
        <v>0</v>
      </c>
      <c r="AR1853" s="52" t="n">
        <v>0</v>
      </c>
      <c r="AS1853" s="51" t="n">
        <v>0</v>
      </c>
      <c r="AT1853" s="48" t="n">
        <v>0</v>
      </c>
      <c r="AU1853" s="49" t="n">
        <v>0</v>
      </c>
      <c r="AV1853" s="49" t="n">
        <v>0</v>
      </c>
      <c r="AW1853" s="50" t="n">
        <v>0</v>
      </c>
      <c r="AX1853" s="51" t="n">
        <v>0</v>
      </c>
      <c r="AY1853" s="52" t="n">
        <v>0</v>
      </c>
      <c r="AZ1853" s="52" t="n">
        <v>0</v>
      </c>
      <c r="BA1853" s="52" t="n">
        <v>0</v>
      </c>
      <c r="BB1853" s="53" t="n">
        <v>0</v>
      </c>
      <c r="BC1853" s="52" t="n">
        <v>0</v>
      </c>
      <c r="BD1853" s="53" t="n">
        <v>0</v>
      </c>
      <c r="BE1853" s="52" t="n">
        <v>0</v>
      </c>
      <c r="BF1853" s="51" t="n">
        <v>0</v>
      </c>
    </row>
    <row r="1854">
      <c r="A1854">
        <f>HYPERLINK("https://www.walmart.com/ip/1238851251", "1238851251")</f>
        <v/>
      </c>
      <c r="B1854" t="inlineStr">
        <is>
          <t>Hang Ten Basic Insulated Lunch Bag for Work, Thermal Reusable Office Lunch Box for Men, Women (Palm Trees)</t>
        </is>
      </c>
      <c r="C1854" t="inlineStr">
        <is>
          <t>HT-LUNCH-BASICBOX-OCEANSTRIPE</t>
        </is>
      </c>
      <c r="D1854" t="inlineStr">
        <is>
          <t>Reusable Lunch Bags &amp; Boxes</t>
        </is>
      </c>
      <c r="E1854" t="inlineStr">
        <is>
          <t>HANG TEN</t>
        </is>
      </c>
      <c r="G1854" s="48" t="n">
        <v>0</v>
      </c>
      <c r="H1854" s="49" t="n">
        <v>0</v>
      </c>
      <c r="I1854" s="49" t="n">
        <v>0</v>
      </c>
      <c r="J1854" s="50" t="n">
        <v>0</v>
      </c>
      <c r="K1854" s="51" t="n">
        <v>0</v>
      </c>
      <c r="L1854" s="52" t="n">
        <v>0</v>
      </c>
      <c r="M1854" s="52" t="n">
        <v>0</v>
      </c>
      <c r="N1854" s="52" t="n">
        <v>0</v>
      </c>
      <c r="O1854" s="53" t="n">
        <v>0</v>
      </c>
      <c r="P1854" s="52" t="n">
        <v>0</v>
      </c>
      <c r="Q1854" s="53" t="n">
        <v>0</v>
      </c>
      <c r="R1854" s="52" t="n">
        <v>0</v>
      </c>
      <c r="S1854" s="51" t="n">
        <v>0</v>
      </c>
      <c r="T1854" s="48" t="n">
        <v>0</v>
      </c>
      <c r="U1854" s="49" t="n">
        <v>0</v>
      </c>
      <c r="V1854" s="49" t="n">
        <v>0</v>
      </c>
      <c r="W1854" s="50" t="n">
        <v>0</v>
      </c>
      <c r="X1854" s="51" t="n">
        <v>0</v>
      </c>
      <c r="Y1854" s="52" t="n">
        <v>0</v>
      </c>
      <c r="Z1854" s="52" t="n">
        <v>0</v>
      </c>
      <c r="AA1854" s="52" t="n">
        <v>0</v>
      </c>
      <c r="AB1854" s="53" t="n">
        <v>0</v>
      </c>
      <c r="AC1854" s="52" t="n">
        <v>0</v>
      </c>
      <c r="AD1854" s="53" t="n">
        <v>0</v>
      </c>
      <c r="AE1854" s="52" t="n">
        <v>0</v>
      </c>
      <c r="AF1854" s="51" t="n">
        <v>0</v>
      </c>
      <c r="AG1854" s="48" t="n">
        <v>0</v>
      </c>
      <c r="AH1854" s="49" t="n">
        <v>0</v>
      </c>
      <c r="AI1854" s="49" t="n">
        <v>0</v>
      </c>
      <c r="AJ1854" s="50" t="n">
        <v>0</v>
      </c>
      <c r="AK1854" s="51" t="n">
        <v>0</v>
      </c>
      <c r="AL1854" s="52" t="n">
        <v>0</v>
      </c>
      <c r="AM1854" s="52" t="n">
        <v>0</v>
      </c>
      <c r="AN1854" s="52" t="n">
        <v>0</v>
      </c>
      <c r="AO1854" s="53" t="n">
        <v>0</v>
      </c>
      <c r="AP1854" s="52" t="n">
        <v>0</v>
      </c>
      <c r="AQ1854" s="53" t="n">
        <v>0</v>
      </c>
      <c r="AR1854" s="52" t="n">
        <v>0</v>
      </c>
      <c r="AS1854" s="51" t="n">
        <v>0</v>
      </c>
      <c r="AT1854" s="48" t="n">
        <v>0</v>
      </c>
      <c r="AU1854" s="49" t="n">
        <v>0</v>
      </c>
      <c r="AV1854" s="49" t="n">
        <v>0</v>
      </c>
      <c r="AW1854" s="50" t="n">
        <v>0</v>
      </c>
      <c r="AX1854" s="51" t="n">
        <v>0</v>
      </c>
      <c r="AY1854" s="52" t="n">
        <v>0</v>
      </c>
      <c r="AZ1854" s="52" t="n">
        <v>0</v>
      </c>
      <c r="BA1854" s="52" t="n">
        <v>0</v>
      </c>
      <c r="BB1854" s="53" t="n">
        <v>0</v>
      </c>
      <c r="BC1854" s="52" t="n">
        <v>0</v>
      </c>
      <c r="BD1854" s="53" t="n">
        <v>0</v>
      </c>
      <c r="BE1854" s="52" t="n">
        <v>0</v>
      </c>
      <c r="BF1854" s="51" t="n">
        <v>0</v>
      </c>
    </row>
    <row r="1855">
      <c r="A1855">
        <f>HYPERLINK("https://www.walmart.com/ip/1237918974", "1237918974")</f>
        <v/>
      </c>
      <c r="B1855" t="inlineStr">
        <is>
          <t>Tirrinia Large Insulated Lunch Tote Bag for Women,Waterproof Oxford Cloth Leakproof Cooler Bag,Shopping Food Grocery Bags for Work Beach, White Lemon</t>
        </is>
      </c>
      <c r="C1855" t="inlineStr">
        <is>
          <t>1TRCB800YLLEM</t>
        </is>
      </c>
      <c r="D1855" t="inlineStr">
        <is>
          <t>Reusable Lunch Bags &amp; Boxes</t>
        </is>
      </c>
      <c r="E1855" t="inlineStr">
        <is>
          <t>Tirrinia</t>
        </is>
      </c>
      <c r="F1855" t="inlineStr">
        <is>
          <t>SEM,Batch 1 - TR</t>
        </is>
      </c>
      <c r="G1855" s="48" t="n">
        <v>0</v>
      </c>
      <c r="H1855" s="49" t="n">
        <v>0</v>
      </c>
      <c r="I1855" s="49" t="n">
        <v>0</v>
      </c>
      <c r="J1855" s="50" t="n">
        <v>0</v>
      </c>
      <c r="K1855" s="51" t="n">
        <v>0</v>
      </c>
      <c r="L1855" s="52" t="n">
        <v>0</v>
      </c>
      <c r="M1855" s="52" t="n">
        <v>0</v>
      </c>
      <c r="N1855" s="52" t="n">
        <v>0</v>
      </c>
      <c r="O1855" s="53" t="n">
        <v>0</v>
      </c>
      <c r="P1855" s="52" t="n">
        <v>0</v>
      </c>
      <c r="Q1855" s="53" t="n">
        <v>0</v>
      </c>
      <c r="R1855" s="52" t="n">
        <v>0</v>
      </c>
      <c r="S1855" s="51" t="n">
        <v>0</v>
      </c>
      <c r="T1855" s="48" t="n">
        <v>0</v>
      </c>
      <c r="U1855" s="49" t="n">
        <v>0</v>
      </c>
      <c r="V1855" s="49" t="n">
        <v>0</v>
      </c>
      <c r="W1855" s="50" t="n">
        <v>0</v>
      </c>
      <c r="X1855" s="51" t="n">
        <v>0</v>
      </c>
      <c r="Y1855" s="52" t="n">
        <v>0</v>
      </c>
      <c r="Z1855" s="52" t="n">
        <v>0</v>
      </c>
      <c r="AA1855" s="52" t="n">
        <v>0</v>
      </c>
      <c r="AB1855" s="53" t="n">
        <v>0</v>
      </c>
      <c r="AC1855" s="52" t="n">
        <v>0</v>
      </c>
      <c r="AD1855" s="53" t="n">
        <v>0</v>
      </c>
      <c r="AE1855" s="52" t="n">
        <v>0</v>
      </c>
      <c r="AF1855" s="51" t="n">
        <v>0</v>
      </c>
      <c r="AG1855" s="48" t="n">
        <v>0</v>
      </c>
      <c r="AH1855" s="49" t="n">
        <v>0</v>
      </c>
      <c r="AI1855" s="49" t="n">
        <v>0</v>
      </c>
      <c r="AJ1855" s="50" t="n">
        <v>0</v>
      </c>
      <c r="AK1855" s="51" t="n">
        <v>0</v>
      </c>
      <c r="AL1855" s="52" t="n">
        <v>0</v>
      </c>
      <c r="AM1855" s="52" t="n">
        <v>0</v>
      </c>
      <c r="AN1855" s="52" t="n">
        <v>0</v>
      </c>
      <c r="AO1855" s="53" t="n">
        <v>0</v>
      </c>
      <c r="AP1855" s="52" t="n">
        <v>0</v>
      </c>
      <c r="AQ1855" s="53" t="n">
        <v>0</v>
      </c>
      <c r="AR1855" s="52" t="n">
        <v>0</v>
      </c>
      <c r="AS1855" s="51" t="n">
        <v>0</v>
      </c>
      <c r="AT1855" s="48" t="n">
        <v>0</v>
      </c>
      <c r="AU1855" s="49" t="n">
        <v>0</v>
      </c>
      <c r="AV1855" s="49" t="n">
        <v>0</v>
      </c>
      <c r="AW1855" s="50" t="n">
        <v>0</v>
      </c>
      <c r="AX1855" s="51" t="n">
        <v>0</v>
      </c>
      <c r="AY1855" s="52" t="n">
        <v>0</v>
      </c>
      <c r="AZ1855" s="52" t="n">
        <v>0</v>
      </c>
      <c r="BA1855" s="52" t="n">
        <v>0</v>
      </c>
      <c r="BB1855" s="53" t="n">
        <v>0</v>
      </c>
      <c r="BC1855" s="52" t="n">
        <v>0</v>
      </c>
      <c r="BD1855" s="53" t="n">
        <v>0</v>
      </c>
      <c r="BE1855" s="52" t="n">
        <v>0</v>
      </c>
      <c r="BF1855" s="51" t="n">
        <v>0</v>
      </c>
    </row>
    <row r="1856">
      <c r="A1856">
        <f>HYPERLINK("https://www.walmart.com/ip/131607386", "131607386")</f>
        <v/>
      </c>
      <c r="B1856" t="inlineStr">
        <is>
          <t>Oversized Hoodie Blanket Sweatshirt,Super Soft Warm Comfortable Fleece Giant Pullover with Large Front Pocket,for Adults Men Women Teenagers Kids Wife Girlfriend</t>
        </is>
      </c>
      <c r="C1856" t="inlineStr">
        <is>
          <t>1WMHD300LGY</t>
        </is>
      </c>
      <c r="D1856" t="inlineStr">
        <is>
          <t>Sweatshirts &amp; Hoodies</t>
        </is>
      </c>
      <c r="E1856" t="inlineStr">
        <is>
          <t>Flyingstar</t>
        </is>
      </c>
      <c r="F1856" t="inlineStr">
        <is>
          <t>Hoodie ForAdult,Optimized</t>
        </is>
      </c>
      <c r="G1856" s="48" t="n">
        <v>0</v>
      </c>
      <c r="H1856" s="49" t="n">
        <v>0</v>
      </c>
      <c r="I1856" s="49" t="n">
        <v>0</v>
      </c>
      <c r="J1856" s="50" t="n">
        <v>0</v>
      </c>
      <c r="K1856" s="51" t="n">
        <v>0</v>
      </c>
      <c r="L1856" s="52" t="n">
        <v>0</v>
      </c>
      <c r="M1856" s="52" t="n">
        <v>0</v>
      </c>
      <c r="N1856" s="52" t="n">
        <v>0</v>
      </c>
      <c r="O1856" s="53" t="n">
        <v>0</v>
      </c>
      <c r="P1856" s="52" t="n">
        <v>0</v>
      </c>
      <c r="Q1856" s="53" t="n">
        <v>0</v>
      </c>
      <c r="R1856" s="52" t="n">
        <v>0</v>
      </c>
      <c r="S1856" s="51" t="n">
        <v>0</v>
      </c>
      <c r="T1856" s="48" t="n">
        <v>0</v>
      </c>
      <c r="U1856" s="49" t="n">
        <v>0</v>
      </c>
      <c r="V1856" s="49" t="n">
        <v>0</v>
      </c>
      <c r="W1856" s="50" t="n">
        <v>0</v>
      </c>
      <c r="X1856" s="51" t="n">
        <v>0</v>
      </c>
      <c r="Y1856" s="52" t="n">
        <v>0</v>
      </c>
      <c r="Z1856" s="52" t="n">
        <v>0</v>
      </c>
      <c r="AA1856" s="52" t="n">
        <v>0</v>
      </c>
      <c r="AB1856" s="53" t="n">
        <v>0</v>
      </c>
      <c r="AC1856" s="52" t="n">
        <v>0</v>
      </c>
      <c r="AD1856" s="53" t="n">
        <v>0</v>
      </c>
      <c r="AE1856" s="52" t="n">
        <v>0</v>
      </c>
      <c r="AF1856" s="51" t="n">
        <v>0</v>
      </c>
      <c r="AG1856" s="48" t="n">
        <v>0</v>
      </c>
      <c r="AH1856" s="49" t="n">
        <v>0</v>
      </c>
      <c r="AI1856" s="49" t="n">
        <v>0</v>
      </c>
      <c r="AJ1856" s="50" t="n">
        <v>0</v>
      </c>
      <c r="AK1856" s="51" t="n">
        <v>0</v>
      </c>
      <c r="AL1856" s="52" t="n">
        <v>0</v>
      </c>
      <c r="AM1856" s="52" t="n">
        <v>0</v>
      </c>
      <c r="AN1856" s="52" t="n">
        <v>0</v>
      </c>
      <c r="AO1856" s="53" t="n">
        <v>0</v>
      </c>
      <c r="AP1856" s="52" t="n">
        <v>0</v>
      </c>
      <c r="AQ1856" s="53" t="n">
        <v>0</v>
      </c>
      <c r="AR1856" s="52" t="n">
        <v>0</v>
      </c>
      <c r="AS1856" s="51" t="n">
        <v>0</v>
      </c>
      <c r="AT1856" s="48" t="n">
        <v>0</v>
      </c>
      <c r="AU1856" s="49" t="n">
        <v>0</v>
      </c>
      <c r="AV1856" s="49" t="n">
        <v>0</v>
      </c>
      <c r="AW1856" s="50" t="n">
        <v>0</v>
      </c>
      <c r="AX1856" s="51" t="n">
        <v>0</v>
      </c>
      <c r="AY1856" s="52" t="n">
        <v>0</v>
      </c>
      <c r="AZ1856" s="52" t="n">
        <v>0</v>
      </c>
      <c r="BA1856" s="52" t="n">
        <v>0</v>
      </c>
      <c r="BB1856" s="53" t="n">
        <v>0</v>
      </c>
      <c r="BC1856" s="52" t="n">
        <v>0</v>
      </c>
      <c r="BD1856" s="53" t="n">
        <v>0</v>
      </c>
      <c r="BE1856" s="52" t="n">
        <v>0</v>
      </c>
      <c r="BF1856" s="51" t="n">
        <v>0</v>
      </c>
    </row>
    <row r="1857">
      <c r="A1857">
        <f>HYPERLINK("https://www.walmart.com/ip/123734194", "123734194")</f>
        <v/>
      </c>
      <c r="B1857" t="inlineStr">
        <is>
          <t>KC Caps Sun Flare Racing Cap Red</t>
        </is>
      </c>
      <c r="C1857" t="inlineStr">
        <is>
          <t>KC-FL11</t>
        </is>
      </c>
      <c r="D1857" t="inlineStr">
        <is>
          <t>Hats</t>
        </is>
      </c>
      <c r="E1857" t="inlineStr">
        <is>
          <t>KC Caps</t>
        </is>
      </c>
      <c r="F1857" t="inlineStr">
        <is>
          <t>Optimized</t>
        </is>
      </c>
      <c r="G1857" s="48" t="n">
        <v>0</v>
      </c>
      <c r="H1857" s="49" t="n">
        <v>0</v>
      </c>
      <c r="I1857" s="49" t="n">
        <v>0</v>
      </c>
      <c r="J1857" s="50" t="n">
        <v>0</v>
      </c>
      <c r="K1857" s="51" t="n">
        <v>0</v>
      </c>
      <c r="L1857" s="52" t="n">
        <v>0</v>
      </c>
      <c r="M1857" s="52" t="n">
        <v>0</v>
      </c>
      <c r="N1857" s="52" t="n">
        <v>0</v>
      </c>
      <c r="O1857" s="53" t="n">
        <v>0</v>
      </c>
      <c r="P1857" s="52" t="n">
        <v>0</v>
      </c>
      <c r="Q1857" s="53" t="n">
        <v>0</v>
      </c>
      <c r="R1857" s="52" t="n">
        <v>0</v>
      </c>
      <c r="S1857" s="51" t="n">
        <v>0</v>
      </c>
      <c r="T1857" s="48" t="n">
        <v>0</v>
      </c>
      <c r="U1857" s="49" t="n">
        <v>0</v>
      </c>
      <c r="V1857" s="49" t="n">
        <v>0</v>
      </c>
      <c r="W1857" s="50" t="n">
        <v>0</v>
      </c>
      <c r="X1857" s="51" t="n">
        <v>0</v>
      </c>
      <c r="Y1857" s="52" t="n">
        <v>0</v>
      </c>
      <c r="Z1857" s="52" t="n">
        <v>0</v>
      </c>
      <c r="AA1857" s="52" t="n">
        <v>0</v>
      </c>
      <c r="AB1857" s="53" t="n">
        <v>0</v>
      </c>
      <c r="AC1857" s="52" t="n">
        <v>0</v>
      </c>
      <c r="AD1857" s="53" t="n">
        <v>0</v>
      </c>
      <c r="AE1857" s="52" t="n">
        <v>0</v>
      </c>
      <c r="AF1857" s="51" t="n">
        <v>0</v>
      </c>
      <c r="AG1857" s="48" t="n">
        <v>0</v>
      </c>
      <c r="AH1857" s="49" t="n">
        <v>0</v>
      </c>
      <c r="AI1857" s="49" t="n">
        <v>0</v>
      </c>
      <c r="AJ1857" s="50" t="n">
        <v>0</v>
      </c>
      <c r="AK1857" s="51" t="n">
        <v>0</v>
      </c>
      <c r="AL1857" s="52" t="n">
        <v>0</v>
      </c>
      <c r="AM1857" s="52" t="n">
        <v>0</v>
      </c>
      <c r="AN1857" s="52" t="n">
        <v>0</v>
      </c>
      <c r="AO1857" s="53" t="n">
        <v>0</v>
      </c>
      <c r="AP1857" s="52" t="n">
        <v>0</v>
      </c>
      <c r="AQ1857" s="53" t="n">
        <v>0</v>
      </c>
      <c r="AR1857" s="52" t="n">
        <v>0</v>
      </c>
      <c r="AS1857" s="51" t="n">
        <v>0</v>
      </c>
      <c r="AT1857" s="48" t="n">
        <v>0</v>
      </c>
      <c r="AU1857" s="49" t="n">
        <v>0</v>
      </c>
      <c r="AV1857" s="49" t="n">
        <v>0</v>
      </c>
      <c r="AW1857" s="50" t="n">
        <v>0</v>
      </c>
      <c r="AX1857" s="51" t="n">
        <v>0</v>
      </c>
      <c r="AY1857" s="52" t="n">
        <v>0</v>
      </c>
      <c r="AZ1857" s="52" t="n">
        <v>0</v>
      </c>
      <c r="BA1857" s="52" t="n">
        <v>0</v>
      </c>
      <c r="BB1857" s="53" t="n">
        <v>0</v>
      </c>
      <c r="BC1857" s="52" t="n">
        <v>0</v>
      </c>
      <c r="BD1857" s="53" t="n">
        <v>0</v>
      </c>
      <c r="BE1857" s="52" t="n">
        <v>0</v>
      </c>
      <c r="BF1857" s="51" t="n">
        <v>0</v>
      </c>
    </row>
    <row r="1858">
      <c r="A1858">
        <f>HYPERLINK("https://www.walmart.com/ip/121318314", "121318314")</f>
        <v/>
      </c>
      <c r="B1858" t="inlineStr">
        <is>
          <t>Terra Baby Mommy Designer Shoulder Diaper Bag Set, Classic Black/White Dot, 19.5" L x 6" W x 13.5" H</t>
        </is>
      </c>
      <c r="C1858" t="inlineStr">
        <is>
          <t>TERRABB-CB02-CC</t>
        </is>
      </c>
      <c r="D1858" t="inlineStr">
        <is>
          <t>Diaper Bags</t>
        </is>
      </c>
      <c r="E1858" t="inlineStr">
        <is>
          <t>Terra Baby</t>
        </is>
      </c>
      <c r="F1858" t="inlineStr">
        <is>
          <t>Baby days,Optimized</t>
        </is>
      </c>
      <c r="G1858" s="48" t="n">
        <v>0</v>
      </c>
      <c r="H1858" s="49" t="n">
        <v>0</v>
      </c>
      <c r="I1858" s="49" t="n">
        <v>0</v>
      </c>
      <c r="J1858" s="50" t="n">
        <v>0</v>
      </c>
      <c r="K1858" s="51" t="n">
        <v>0</v>
      </c>
      <c r="L1858" s="52" t="n">
        <v>0</v>
      </c>
      <c r="M1858" s="52" t="n">
        <v>0</v>
      </c>
      <c r="N1858" s="52" t="n">
        <v>0</v>
      </c>
      <c r="O1858" s="53" t="n">
        <v>0</v>
      </c>
      <c r="P1858" s="52" t="n">
        <v>0</v>
      </c>
      <c r="Q1858" s="53" t="n">
        <v>0</v>
      </c>
      <c r="R1858" s="52" t="n">
        <v>0</v>
      </c>
      <c r="S1858" s="51" t="n">
        <v>0</v>
      </c>
      <c r="T1858" s="48" t="n">
        <v>0</v>
      </c>
      <c r="U1858" s="49" t="n">
        <v>0</v>
      </c>
      <c r="V1858" s="49" t="n">
        <v>0</v>
      </c>
      <c r="W1858" s="50" t="n">
        <v>0</v>
      </c>
      <c r="X1858" s="51" t="n">
        <v>0</v>
      </c>
      <c r="Y1858" s="52" t="n">
        <v>0</v>
      </c>
      <c r="Z1858" s="52" t="n">
        <v>0</v>
      </c>
      <c r="AA1858" s="52" t="n">
        <v>0</v>
      </c>
      <c r="AB1858" s="53" t="n">
        <v>0</v>
      </c>
      <c r="AC1858" s="52" t="n">
        <v>0</v>
      </c>
      <c r="AD1858" s="53" t="n">
        <v>0</v>
      </c>
      <c r="AE1858" s="52" t="n">
        <v>0</v>
      </c>
      <c r="AF1858" s="51" t="n">
        <v>0</v>
      </c>
      <c r="AG1858" s="48" t="n">
        <v>0</v>
      </c>
      <c r="AH1858" s="49" t="n">
        <v>0</v>
      </c>
      <c r="AI1858" s="49" t="n">
        <v>0</v>
      </c>
      <c r="AJ1858" s="50" t="n">
        <v>0</v>
      </c>
      <c r="AK1858" s="51" t="n">
        <v>0</v>
      </c>
      <c r="AL1858" s="52" t="n">
        <v>0</v>
      </c>
      <c r="AM1858" s="52" t="n">
        <v>0</v>
      </c>
      <c r="AN1858" s="52" t="n">
        <v>0</v>
      </c>
      <c r="AO1858" s="53" t="n">
        <v>0</v>
      </c>
      <c r="AP1858" s="52" t="n">
        <v>0</v>
      </c>
      <c r="AQ1858" s="53" t="n">
        <v>0</v>
      </c>
      <c r="AR1858" s="52" t="n">
        <v>0</v>
      </c>
      <c r="AS1858" s="51" t="n">
        <v>0</v>
      </c>
      <c r="AT1858" s="48" t="n">
        <v>0</v>
      </c>
      <c r="AU1858" s="49" t="n">
        <v>0</v>
      </c>
      <c r="AV1858" s="49" t="n">
        <v>0</v>
      </c>
      <c r="AW1858" s="50" t="n">
        <v>0</v>
      </c>
      <c r="AX1858" s="51" t="n">
        <v>0</v>
      </c>
      <c r="AY1858" s="52" t="n">
        <v>0</v>
      </c>
      <c r="AZ1858" s="52" t="n">
        <v>0</v>
      </c>
      <c r="BA1858" s="52" t="n">
        <v>0</v>
      </c>
      <c r="BB1858" s="53" t="n">
        <v>0</v>
      </c>
      <c r="BC1858" s="52" t="n">
        <v>0</v>
      </c>
      <c r="BD1858" s="53" t="n">
        <v>0</v>
      </c>
      <c r="BE1858" s="52" t="n">
        <v>0</v>
      </c>
      <c r="BF1858" s="51" t="n">
        <v>0</v>
      </c>
    </row>
    <row r="1859">
      <c r="A1859">
        <f>HYPERLINK("https://www.walmart.com/ip/121774049", "121774049")</f>
        <v/>
      </c>
      <c r="B1859" t="inlineStr">
        <is>
          <t>KC Caps Youth Washed Bucket Hat One Size Fit Most</t>
        </is>
      </c>
      <c r="C1859" t="inlineStr">
        <is>
          <t>KC9180GN-Y</t>
        </is>
      </c>
      <c r="D1859" t="inlineStr">
        <is>
          <t>Hats</t>
        </is>
      </c>
      <c r="E1859" t="inlineStr">
        <is>
          <t>KC Caps</t>
        </is>
      </c>
      <c r="F1859" t="inlineStr">
        <is>
          <t>Batch 1 - TR</t>
        </is>
      </c>
      <c r="G1859" s="48" t="n">
        <v>0</v>
      </c>
      <c r="H1859" s="49" t="n">
        <v>0</v>
      </c>
      <c r="I1859" s="49" t="n">
        <v>0</v>
      </c>
      <c r="J1859" s="50" t="n">
        <v>0</v>
      </c>
      <c r="K1859" s="51" t="n">
        <v>0</v>
      </c>
      <c r="L1859" s="52" t="n">
        <v>0</v>
      </c>
      <c r="M1859" s="52" t="n">
        <v>0</v>
      </c>
      <c r="N1859" s="52" t="n">
        <v>0</v>
      </c>
      <c r="O1859" s="53" t="n">
        <v>0</v>
      </c>
      <c r="P1859" s="52" t="n">
        <v>0</v>
      </c>
      <c r="Q1859" s="53" t="n">
        <v>0</v>
      </c>
      <c r="R1859" s="52" t="n">
        <v>0</v>
      </c>
      <c r="S1859" s="51" t="n">
        <v>0</v>
      </c>
      <c r="T1859" s="48" t="n">
        <v>0</v>
      </c>
      <c r="U1859" s="49" t="n">
        <v>0</v>
      </c>
      <c r="V1859" s="49" t="n">
        <v>0</v>
      </c>
      <c r="W1859" s="50" t="n">
        <v>0</v>
      </c>
      <c r="X1859" s="51" t="n">
        <v>0</v>
      </c>
      <c r="Y1859" s="52" t="n">
        <v>0</v>
      </c>
      <c r="Z1859" s="52" t="n">
        <v>0</v>
      </c>
      <c r="AA1859" s="52" t="n">
        <v>0</v>
      </c>
      <c r="AB1859" s="53" t="n">
        <v>0</v>
      </c>
      <c r="AC1859" s="52" t="n">
        <v>0</v>
      </c>
      <c r="AD1859" s="53" t="n">
        <v>0</v>
      </c>
      <c r="AE1859" s="52" t="n">
        <v>0</v>
      </c>
      <c r="AF1859" s="51" t="n">
        <v>0</v>
      </c>
      <c r="AG1859" s="48" t="n">
        <v>0</v>
      </c>
      <c r="AH1859" s="49" t="n">
        <v>0</v>
      </c>
      <c r="AI1859" s="49" t="n">
        <v>0</v>
      </c>
      <c r="AJ1859" s="50" t="n">
        <v>0</v>
      </c>
      <c r="AK1859" s="51" t="n">
        <v>0</v>
      </c>
      <c r="AL1859" s="52" t="n">
        <v>0</v>
      </c>
      <c r="AM1859" s="52" t="n">
        <v>0</v>
      </c>
      <c r="AN1859" s="52" t="n">
        <v>0</v>
      </c>
      <c r="AO1859" s="53" t="n">
        <v>0</v>
      </c>
      <c r="AP1859" s="52" t="n">
        <v>0</v>
      </c>
      <c r="AQ1859" s="53" t="n">
        <v>0</v>
      </c>
      <c r="AR1859" s="52" t="n">
        <v>0</v>
      </c>
      <c r="AS1859" s="51" t="n">
        <v>0</v>
      </c>
      <c r="AT1859" s="48" t="n">
        <v>0</v>
      </c>
      <c r="AU1859" s="49" t="n">
        <v>0</v>
      </c>
      <c r="AV1859" s="49" t="n">
        <v>0</v>
      </c>
      <c r="AW1859" s="50" t="n">
        <v>0</v>
      </c>
      <c r="AX1859" s="51" t="n">
        <v>0</v>
      </c>
      <c r="AY1859" s="52" t="n">
        <v>0</v>
      </c>
      <c r="AZ1859" s="52" t="n">
        <v>0</v>
      </c>
      <c r="BA1859" s="52" t="n">
        <v>0</v>
      </c>
      <c r="BB1859" s="53" t="n">
        <v>0</v>
      </c>
      <c r="BC1859" s="52" t="n">
        <v>0</v>
      </c>
      <c r="BD1859" s="53" t="n">
        <v>0</v>
      </c>
      <c r="BE1859" s="52" t="n">
        <v>0</v>
      </c>
      <c r="BF1859" s="51" t="n">
        <v>0</v>
      </c>
    </row>
    <row r="1860">
      <c r="A1860">
        <f>HYPERLINK("https://www.walmart.com/ip/1218977585", "1218977585")</f>
        <v/>
      </c>
      <c r="B1860" t="inlineStr">
        <is>
          <t>Every Day is Christmas Glass Blown Ornaments Cute Hand Made Figurines Tree Decoration, Popcorn Soda</t>
        </is>
      </c>
      <c r="C1860" t="inlineStr">
        <is>
          <t>EDC-FIGURINE-POPCORNSODA</t>
        </is>
      </c>
      <c r="D1860" t="inlineStr">
        <is>
          <t>Ornaments</t>
        </is>
      </c>
      <c r="E1860" t="inlineStr">
        <is>
          <t>Every Day is Christmas</t>
        </is>
      </c>
      <c r="G1860" s="48" t="n">
        <v>0</v>
      </c>
      <c r="H1860" s="49" t="n">
        <v>0</v>
      </c>
      <c r="I1860" s="49" t="n">
        <v>0</v>
      </c>
      <c r="J1860" s="50" t="n">
        <v>0</v>
      </c>
      <c r="K1860" s="51" t="n">
        <v>0</v>
      </c>
      <c r="L1860" s="52" t="n">
        <v>0</v>
      </c>
      <c r="M1860" s="52" t="n">
        <v>0</v>
      </c>
      <c r="N1860" s="52" t="n">
        <v>0</v>
      </c>
      <c r="O1860" s="53" t="n">
        <v>0</v>
      </c>
      <c r="P1860" s="52" t="n">
        <v>0</v>
      </c>
      <c r="Q1860" s="53" t="n">
        <v>0</v>
      </c>
      <c r="R1860" s="52" t="n">
        <v>0</v>
      </c>
      <c r="S1860" s="51" t="n">
        <v>0</v>
      </c>
      <c r="T1860" s="48" t="n">
        <v>0</v>
      </c>
      <c r="U1860" s="49" t="n">
        <v>0</v>
      </c>
      <c r="V1860" s="49" t="n">
        <v>0</v>
      </c>
      <c r="W1860" s="50" t="n">
        <v>0</v>
      </c>
      <c r="X1860" s="51" t="n">
        <v>0</v>
      </c>
      <c r="Y1860" s="52" t="n">
        <v>0</v>
      </c>
      <c r="Z1860" s="52" t="n">
        <v>0</v>
      </c>
      <c r="AA1860" s="52" t="n">
        <v>0</v>
      </c>
      <c r="AB1860" s="53" t="n">
        <v>0</v>
      </c>
      <c r="AC1860" s="52" t="n">
        <v>0</v>
      </c>
      <c r="AD1860" s="53" t="n">
        <v>0</v>
      </c>
      <c r="AE1860" s="52" t="n">
        <v>0</v>
      </c>
      <c r="AF1860" s="51" t="n">
        <v>0</v>
      </c>
      <c r="AG1860" s="48" t="n">
        <v>0</v>
      </c>
      <c r="AH1860" s="49" t="n">
        <v>0</v>
      </c>
      <c r="AI1860" s="49" t="n">
        <v>0</v>
      </c>
      <c r="AJ1860" s="50" t="n">
        <v>0</v>
      </c>
      <c r="AK1860" s="51" t="n">
        <v>0</v>
      </c>
      <c r="AL1860" s="52" t="n">
        <v>0</v>
      </c>
      <c r="AM1860" s="52" t="n">
        <v>0</v>
      </c>
      <c r="AN1860" s="52" t="n">
        <v>0</v>
      </c>
      <c r="AO1860" s="53" t="n">
        <v>0</v>
      </c>
      <c r="AP1860" s="52" t="n">
        <v>0</v>
      </c>
      <c r="AQ1860" s="53" t="n">
        <v>0</v>
      </c>
      <c r="AR1860" s="52" t="n">
        <v>0</v>
      </c>
      <c r="AS1860" s="51" t="n">
        <v>0</v>
      </c>
      <c r="AT1860" s="48" t="n">
        <v>0</v>
      </c>
      <c r="AU1860" s="49" t="n">
        <v>0</v>
      </c>
      <c r="AV1860" s="49" t="n">
        <v>0</v>
      </c>
      <c r="AW1860" s="50" t="n">
        <v>0</v>
      </c>
      <c r="AX1860" s="51" t="n">
        <v>0</v>
      </c>
      <c r="AY1860" s="52" t="n">
        <v>0</v>
      </c>
      <c r="AZ1860" s="52" t="n">
        <v>0</v>
      </c>
      <c r="BA1860" s="52" t="n">
        <v>0</v>
      </c>
      <c r="BB1860" s="53" t="n">
        <v>0</v>
      </c>
      <c r="BC1860" s="52" t="n">
        <v>0</v>
      </c>
      <c r="BD1860" s="53" t="n">
        <v>0</v>
      </c>
      <c r="BE1860" s="52" t="n">
        <v>0</v>
      </c>
      <c r="BF1860" s="51" t="n">
        <v>0</v>
      </c>
    </row>
    <row r="1861">
      <c r="A1861">
        <f>HYPERLINK("https://www.walmart.com/ip/122065024", "122065024")</f>
        <v/>
      </c>
      <c r="B1861" t="inlineStr">
        <is>
          <t>Jennis Women Leopard Lace Garter Belt Stretch G-string Stocking Suspender</t>
        </is>
      </c>
      <c r="C1861" t="inlineStr">
        <is>
          <t>JWBLSPH2108</t>
        </is>
      </c>
      <c r="D1861" t="inlineStr">
        <is>
          <t>Pantyhose &amp; Tights</t>
        </is>
      </c>
      <c r="E1861" t="inlineStr">
        <is>
          <t>JenniWears</t>
        </is>
      </c>
      <c r="F1861" t="inlineStr">
        <is>
          <t>Valentine</t>
        </is>
      </c>
      <c r="G1861" s="48" t="n">
        <v>0</v>
      </c>
      <c r="H1861" s="49" t="n">
        <v>0</v>
      </c>
      <c r="I1861" s="49" t="n">
        <v>0</v>
      </c>
      <c r="J1861" s="50" t="n">
        <v>0</v>
      </c>
      <c r="K1861" s="51" t="n">
        <v>0</v>
      </c>
      <c r="L1861" s="52" t="n">
        <v>0</v>
      </c>
      <c r="M1861" s="52" t="n">
        <v>0</v>
      </c>
      <c r="N1861" s="52" t="n">
        <v>0</v>
      </c>
      <c r="O1861" s="53" t="n">
        <v>0</v>
      </c>
      <c r="P1861" s="52" t="n">
        <v>0</v>
      </c>
      <c r="Q1861" s="53" t="n">
        <v>0</v>
      </c>
      <c r="R1861" s="52" t="n">
        <v>0</v>
      </c>
      <c r="S1861" s="51" t="n">
        <v>0</v>
      </c>
      <c r="T1861" s="48" t="n">
        <v>0</v>
      </c>
      <c r="U1861" s="49" t="n">
        <v>0</v>
      </c>
      <c r="V1861" s="49" t="n">
        <v>0</v>
      </c>
      <c r="W1861" s="50" t="n">
        <v>0</v>
      </c>
      <c r="X1861" s="51" t="n">
        <v>0</v>
      </c>
      <c r="Y1861" s="52" t="n">
        <v>0</v>
      </c>
      <c r="Z1861" s="52" t="n">
        <v>0</v>
      </c>
      <c r="AA1861" s="52" t="n">
        <v>0</v>
      </c>
      <c r="AB1861" s="53" t="n">
        <v>0</v>
      </c>
      <c r="AC1861" s="52" t="n">
        <v>0</v>
      </c>
      <c r="AD1861" s="53" t="n">
        <v>0</v>
      </c>
      <c r="AE1861" s="52" t="n">
        <v>0</v>
      </c>
      <c r="AF1861" s="51" t="n">
        <v>0</v>
      </c>
      <c r="AG1861" s="48" t="n">
        <v>0</v>
      </c>
      <c r="AH1861" s="49" t="n">
        <v>0</v>
      </c>
      <c r="AI1861" s="49" t="n">
        <v>0</v>
      </c>
      <c r="AJ1861" s="50" t="n">
        <v>0</v>
      </c>
      <c r="AK1861" s="51" t="n">
        <v>0</v>
      </c>
      <c r="AL1861" s="52" t="n">
        <v>0</v>
      </c>
      <c r="AM1861" s="52" t="n">
        <v>0</v>
      </c>
      <c r="AN1861" s="52" t="n">
        <v>0</v>
      </c>
      <c r="AO1861" s="53" t="n">
        <v>0</v>
      </c>
      <c r="AP1861" s="52" t="n">
        <v>0</v>
      </c>
      <c r="AQ1861" s="53" t="n">
        <v>0</v>
      </c>
      <c r="AR1861" s="52" t="n">
        <v>0</v>
      </c>
      <c r="AS1861" s="51" t="n">
        <v>0</v>
      </c>
      <c r="AT1861" s="48" t="n">
        <v>0</v>
      </c>
      <c r="AU1861" s="49" t="n">
        <v>0</v>
      </c>
      <c r="AV1861" s="49" t="n">
        <v>0</v>
      </c>
      <c r="AW1861" s="50" t="n">
        <v>0</v>
      </c>
      <c r="AX1861" s="51" t="n">
        <v>0</v>
      </c>
      <c r="AY1861" s="52" t="n">
        <v>0</v>
      </c>
      <c r="AZ1861" s="52" t="n">
        <v>0</v>
      </c>
      <c r="BA1861" s="52" t="n">
        <v>0</v>
      </c>
      <c r="BB1861" s="53" t="n">
        <v>0</v>
      </c>
      <c r="BC1861" s="52" t="n">
        <v>0</v>
      </c>
      <c r="BD1861" s="53" t="n">
        <v>0</v>
      </c>
      <c r="BE1861" s="52" t="n">
        <v>0</v>
      </c>
      <c r="BF1861" s="51" t="n">
        <v>0</v>
      </c>
    </row>
    <row r="1862">
      <c r="A1862">
        <f>HYPERLINK("https://www.walmart.com/ip/1227019998", "1227019998")</f>
        <v/>
      </c>
      <c r="B1862" t="inlineStr">
        <is>
          <t>Every Day is Christmas Glass Blown Ornaments 2021 Cute Hand Made Figurines Tree Decoration, UFO Santa</t>
        </is>
      </c>
      <c r="C1862" t="inlineStr">
        <is>
          <t>EDC-FIGURINE-UFOSANTA</t>
        </is>
      </c>
      <c r="D1862" t="inlineStr">
        <is>
          <t>Ornaments</t>
        </is>
      </c>
      <c r="E1862" t="inlineStr">
        <is>
          <t>Every Day is Christmas</t>
        </is>
      </c>
      <c r="G1862" s="48" t="n">
        <v>0</v>
      </c>
      <c r="H1862" s="49" t="n">
        <v>0</v>
      </c>
      <c r="I1862" s="49" t="n">
        <v>0</v>
      </c>
      <c r="J1862" s="50" t="n">
        <v>0</v>
      </c>
      <c r="K1862" s="51" t="n">
        <v>0</v>
      </c>
      <c r="L1862" s="52" t="n">
        <v>0</v>
      </c>
      <c r="M1862" s="52" t="n">
        <v>0</v>
      </c>
      <c r="N1862" s="52" t="n">
        <v>0</v>
      </c>
      <c r="O1862" s="53" t="n">
        <v>0</v>
      </c>
      <c r="P1862" s="52" t="n">
        <v>0</v>
      </c>
      <c r="Q1862" s="53" t="n">
        <v>0</v>
      </c>
      <c r="R1862" s="52" t="n">
        <v>0</v>
      </c>
      <c r="S1862" s="51" t="n">
        <v>0</v>
      </c>
      <c r="T1862" s="48" t="n">
        <v>0</v>
      </c>
      <c r="U1862" s="49" t="n">
        <v>0</v>
      </c>
      <c r="V1862" s="49" t="n">
        <v>0</v>
      </c>
      <c r="W1862" s="50" t="n">
        <v>0</v>
      </c>
      <c r="X1862" s="51" t="n">
        <v>0</v>
      </c>
      <c r="Y1862" s="52" t="n">
        <v>0</v>
      </c>
      <c r="Z1862" s="52" t="n">
        <v>0</v>
      </c>
      <c r="AA1862" s="52" t="n">
        <v>0</v>
      </c>
      <c r="AB1862" s="53" t="n">
        <v>0</v>
      </c>
      <c r="AC1862" s="52" t="n">
        <v>0</v>
      </c>
      <c r="AD1862" s="53" t="n">
        <v>0</v>
      </c>
      <c r="AE1862" s="52" t="n">
        <v>0</v>
      </c>
      <c r="AF1862" s="51" t="n">
        <v>0</v>
      </c>
      <c r="AG1862" s="48" t="n">
        <v>0</v>
      </c>
      <c r="AH1862" s="49" t="n">
        <v>0</v>
      </c>
      <c r="AI1862" s="49" t="n">
        <v>0</v>
      </c>
      <c r="AJ1862" s="50" t="n">
        <v>0</v>
      </c>
      <c r="AK1862" s="51" t="n">
        <v>0</v>
      </c>
      <c r="AL1862" s="52" t="n">
        <v>0</v>
      </c>
      <c r="AM1862" s="52" t="n">
        <v>0</v>
      </c>
      <c r="AN1862" s="52" t="n">
        <v>0</v>
      </c>
      <c r="AO1862" s="53" t="n">
        <v>0</v>
      </c>
      <c r="AP1862" s="52" t="n">
        <v>0</v>
      </c>
      <c r="AQ1862" s="53" t="n">
        <v>0</v>
      </c>
      <c r="AR1862" s="52" t="n">
        <v>0</v>
      </c>
      <c r="AS1862" s="51" t="n">
        <v>0</v>
      </c>
      <c r="AT1862" s="48" t="n">
        <v>0</v>
      </c>
      <c r="AU1862" s="49" t="n">
        <v>0</v>
      </c>
      <c r="AV1862" s="49" t="n">
        <v>0</v>
      </c>
      <c r="AW1862" s="50" t="n">
        <v>0</v>
      </c>
      <c r="AX1862" s="51" t="n">
        <v>0</v>
      </c>
      <c r="AY1862" s="52" t="n">
        <v>0</v>
      </c>
      <c r="AZ1862" s="52" t="n">
        <v>0</v>
      </c>
      <c r="BA1862" s="52" t="n">
        <v>0</v>
      </c>
      <c r="BB1862" s="53" t="n">
        <v>0</v>
      </c>
      <c r="BC1862" s="52" t="n">
        <v>0</v>
      </c>
      <c r="BD1862" s="53" t="n">
        <v>0</v>
      </c>
      <c r="BE1862" s="52" t="n">
        <v>0</v>
      </c>
      <c r="BF1862" s="51" t="n">
        <v>0</v>
      </c>
    </row>
    <row r="1863">
      <c r="A1863">
        <f>HYPERLINK("https://www.walmart.com/ip/1227165846", "1227165846")</f>
        <v/>
      </c>
      <c r="B1863" t="inlineStr">
        <is>
          <t>Every Day is Christmas Glass Blown Ornaments Cute Hand Made Figurines Tree Decoration, Maneki</t>
        </is>
      </c>
      <c r="C1863" t="inlineStr">
        <is>
          <t>EDC-FIGURINE-MANEKI</t>
        </is>
      </c>
      <c r="D1863" t="inlineStr">
        <is>
          <t>Ornaments</t>
        </is>
      </c>
      <c r="E1863" t="inlineStr">
        <is>
          <t>Every Day is Christmas</t>
        </is>
      </c>
      <c r="G1863" s="48" t="n">
        <v>0</v>
      </c>
      <c r="H1863" s="49" t="n">
        <v>0</v>
      </c>
      <c r="I1863" s="49" t="n">
        <v>0</v>
      </c>
      <c r="J1863" s="50" t="n">
        <v>0</v>
      </c>
      <c r="K1863" s="51" t="n">
        <v>0</v>
      </c>
      <c r="L1863" s="52" t="n">
        <v>0</v>
      </c>
      <c r="M1863" s="52" t="n">
        <v>0</v>
      </c>
      <c r="N1863" s="52" t="n">
        <v>0</v>
      </c>
      <c r="O1863" s="53" t="n">
        <v>0</v>
      </c>
      <c r="P1863" s="52" t="n">
        <v>0</v>
      </c>
      <c r="Q1863" s="53" t="n">
        <v>0</v>
      </c>
      <c r="R1863" s="52" t="n">
        <v>0</v>
      </c>
      <c r="S1863" s="51" t="n">
        <v>0</v>
      </c>
      <c r="T1863" s="48" t="n">
        <v>0</v>
      </c>
      <c r="U1863" s="49" t="n">
        <v>0</v>
      </c>
      <c r="V1863" s="49" t="n">
        <v>0</v>
      </c>
      <c r="W1863" s="50" t="n">
        <v>0</v>
      </c>
      <c r="X1863" s="51" t="n">
        <v>0</v>
      </c>
      <c r="Y1863" s="52" t="n">
        <v>0</v>
      </c>
      <c r="Z1863" s="52" t="n">
        <v>0</v>
      </c>
      <c r="AA1863" s="52" t="n">
        <v>0</v>
      </c>
      <c r="AB1863" s="53" t="n">
        <v>0</v>
      </c>
      <c r="AC1863" s="52" t="n">
        <v>0</v>
      </c>
      <c r="AD1863" s="53" t="n">
        <v>0</v>
      </c>
      <c r="AE1863" s="52" t="n">
        <v>0</v>
      </c>
      <c r="AF1863" s="51" t="n">
        <v>0</v>
      </c>
      <c r="AG1863" s="48" t="n">
        <v>0</v>
      </c>
      <c r="AH1863" s="49" t="n">
        <v>0</v>
      </c>
      <c r="AI1863" s="49" t="n">
        <v>0</v>
      </c>
      <c r="AJ1863" s="50" t="n">
        <v>0</v>
      </c>
      <c r="AK1863" s="51" t="n">
        <v>0</v>
      </c>
      <c r="AL1863" s="52" t="n">
        <v>0</v>
      </c>
      <c r="AM1863" s="52" t="n">
        <v>0</v>
      </c>
      <c r="AN1863" s="52" t="n">
        <v>0</v>
      </c>
      <c r="AO1863" s="53" t="n">
        <v>0</v>
      </c>
      <c r="AP1863" s="52" t="n">
        <v>0</v>
      </c>
      <c r="AQ1863" s="53" t="n">
        <v>0</v>
      </c>
      <c r="AR1863" s="52" t="n">
        <v>0</v>
      </c>
      <c r="AS1863" s="51" t="n">
        <v>0</v>
      </c>
      <c r="AT1863" s="48" t="n">
        <v>0</v>
      </c>
      <c r="AU1863" s="49" t="n">
        <v>0</v>
      </c>
      <c r="AV1863" s="49" t="n">
        <v>0</v>
      </c>
      <c r="AW1863" s="50" t="n">
        <v>0</v>
      </c>
      <c r="AX1863" s="51" t="n">
        <v>0</v>
      </c>
      <c r="AY1863" s="52" t="n">
        <v>0</v>
      </c>
      <c r="AZ1863" s="52" t="n">
        <v>0</v>
      </c>
      <c r="BA1863" s="52" t="n">
        <v>0</v>
      </c>
      <c r="BB1863" s="53" t="n">
        <v>0</v>
      </c>
      <c r="BC1863" s="52" t="n">
        <v>0</v>
      </c>
      <c r="BD1863" s="53" t="n">
        <v>0</v>
      </c>
      <c r="BE1863" s="52" t="n">
        <v>0</v>
      </c>
      <c r="BF1863" s="51" t="n">
        <v>0</v>
      </c>
    </row>
    <row r="1864">
      <c r="A1864">
        <f>HYPERLINK("https://www.walmart.com/ip/1228349737", "1228349737")</f>
        <v/>
      </c>
      <c r="B1864" t="inlineStr">
        <is>
          <t>Catalonia Waterproof Blanket for Couch, Reversible Washable Sofa Bed Coverlet Protecto,| Leak Proof, Comfortable, for People and Pets, Camel/Taupe, 60" x 80"</t>
        </is>
      </c>
      <c r="C1864" t="inlineStr">
        <is>
          <t>1CTBW685TPTP</t>
        </is>
      </c>
      <c r="D1864" t="inlineStr">
        <is>
          <t>Throws</t>
        </is>
      </c>
      <c r="E1864" t="inlineStr">
        <is>
          <t>Catalonia</t>
        </is>
      </c>
      <c r="F1864" t="inlineStr">
        <is>
          <t>Wproof Blanket,Batch 1 - TR</t>
        </is>
      </c>
      <c r="G1864" s="48" t="n">
        <v>0</v>
      </c>
      <c r="H1864" s="49" t="n">
        <v>0</v>
      </c>
      <c r="I1864" s="49" t="n">
        <v>6</v>
      </c>
      <c r="J1864" s="50" t="n">
        <v>0</v>
      </c>
      <c r="K1864" s="51" t="n">
        <v>3</v>
      </c>
      <c r="L1864" s="52" t="n">
        <v>1.27</v>
      </c>
      <c r="M1864" s="52" t="n">
        <v>0</v>
      </c>
      <c r="N1864" s="52" t="n">
        <v>0</v>
      </c>
      <c r="O1864" s="53" t="n">
        <v>0.0004</v>
      </c>
      <c r="P1864" s="52" t="n">
        <v>0.4233333333333333</v>
      </c>
      <c r="Q1864" s="53" t="n">
        <v>0</v>
      </c>
      <c r="R1864" s="52" t="n">
        <v>0</v>
      </c>
      <c r="S1864" s="51" t="n">
        <v>8513</v>
      </c>
      <c r="T1864" s="48" t="n">
        <v>39.99</v>
      </c>
      <c r="U1864" s="49" t="n">
        <v>1</v>
      </c>
      <c r="V1864" s="49" t="n">
        <v>5</v>
      </c>
      <c r="W1864" s="50" t="n">
        <v>0.2</v>
      </c>
      <c r="X1864" s="51" t="n">
        <v>8</v>
      </c>
      <c r="Y1864" s="52" t="n">
        <v>3.23</v>
      </c>
      <c r="Z1864" s="52" t="n">
        <v>0</v>
      </c>
      <c r="AA1864" s="52" t="n">
        <v>0</v>
      </c>
      <c r="AB1864" s="53" t="n">
        <v>0.0008</v>
      </c>
      <c r="AC1864" s="52" t="n">
        <v>0.40375</v>
      </c>
      <c r="AD1864" s="53" t="n">
        <v>0.08077019254813703</v>
      </c>
      <c r="AE1864" s="52" t="n">
        <v>39.99</v>
      </c>
      <c r="AF1864" s="51" t="n">
        <v>9511</v>
      </c>
      <c r="AG1864" s="48" t="n">
        <v>39.99</v>
      </c>
      <c r="AH1864" s="49" t="n">
        <v>1</v>
      </c>
      <c r="AI1864" s="49" t="n">
        <v>3</v>
      </c>
      <c r="AJ1864" s="50" t="n">
        <v>0.3333333333333333</v>
      </c>
      <c r="AK1864" s="51" t="n">
        <v>14</v>
      </c>
      <c r="AL1864" s="52" t="n">
        <v>5.39</v>
      </c>
      <c r="AM1864" s="52" t="n">
        <v>39.99</v>
      </c>
      <c r="AN1864" s="52" t="n">
        <v>7.42</v>
      </c>
      <c r="AO1864" s="53" t="n">
        <v>0.0016</v>
      </c>
      <c r="AP1864" s="52" t="n">
        <v>0.385</v>
      </c>
      <c r="AQ1864" s="53" t="n">
        <v>0.134783695923981</v>
      </c>
      <c r="AR1864" s="52" t="n">
        <v>39.99</v>
      </c>
      <c r="AS1864" s="51" t="n">
        <v>8856</v>
      </c>
      <c r="AT1864" s="48" t="n">
        <v>0</v>
      </c>
      <c r="AU1864" s="49" t="n">
        <v>0</v>
      </c>
      <c r="AV1864" s="49" t="n">
        <v>0</v>
      </c>
      <c r="AW1864" s="50" t="n">
        <v>0</v>
      </c>
      <c r="AX1864" s="51" t="n">
        <v>2</v>
      </c>
      <c r="AY1864" s="52" t="n">
        <v>0.55</v>
      </c>
      <c r="AZ1864" s="52" t="n">
        <v>0</v>
      </c>
      <c r="BA1864" s="52" t="n">
        <v>0</v>
      </c>
      <c r="BB1864" s="53" t="n">
        <v>0.0002</v>
      </c>
      <c r="BC1864" s="52" t="n">
        <v>0.275</v>
      </c>
      <c r="BD1864" s="53" t="n">
        <v>0</v>
      </c>
      <c r="BE1864" s="52" t="n">
        <v>0</v>
      </c>
      <c r="BF1864" s="51" t="n">
        <v>8213</v>
      </c>
    </row>
    <row r="1865">
      <c r="A1865">
        <f>HYPERLINK("https://www.walmart.com/ip/122890179", "122890179")</f>
        <v/>
      </c>
      <c r="B1865" t="inlineStr">
        <is>
          <t>JenniWears® Women Strap Backless Sleepwear Lace Nightwear Mesh Babydoll Wire Lingerie</t>
        </is>
      </c>
      <c r="C1865" t="inlineStr">
        <is>
          <t>JWBD010BL-XL</t>
        </is>
      </c>
      <c r="D1865" t="inlineStr">
        <is>
          <t>Lingerie Sets</t>
        </is>
      </c>
      <c r="E1865" t="inlineStr">
        <is>
          <t>JenniWears</t>
        </is>
      </c>
      <c r="F1865" t="inlineStr">
        <is>
          <t>Optimized,Valentine</t>
        </is>
      </c>
      <c r="G1865" s="48" t="n">
        <v>0</v>
      </c>
      <c r="H1865" s="49" t="n">
        <v>0</v>
      </c>
      <c r="I1865" s="49" t="n">
        <v>0</v>
      </c>
      <c r="J1865" s="50" t="n">
        <v>0</v>
      </c>
      <c r="K1865" s="51" t="n">
        <v>0</v>
      </c>
      <c r="L1865" s="52" t="n">
        <v>0</v>
      </c>
      <c r="M1865" s="52" t="n">
        <v>0</v>
      </c>
      <c r="N1865" s="52" t="n">
        <v>0</v>
      </c>
      <c r="O1865" s="53" t="n">
        <v>0</v>
      </c>
      <c r="P1865" s="52" t="n">
        <v>0</v>
      </c>
      <c r="Q1865" s="53" t="n">
        <v>0</v>
      </c>
      <c r="R1865" s="52" t="n">
        <v>0</v>
      </c>
      <c r="S1865" s="51" t="n">
        <v>0</v>
      </c>
      <c r="T1865" s="48" t="n">
        <v>0</v>
      </c>
      <c r="U1865" s="49" t="n">
        <v>0</v>
      </c>
      <c r="V1865" s="49" t="n">
        <v>0</v>
      </c>
      <c r="W1865" s="50" t="n">
        <v>0</v>
      </c>
      <c r="X1865" s="51" t="n">
        <v>0</v>
      </c>
      <c r="Y1865" s="52" t="n">
        <v>0</v>
      </c>
      <c r="Z1865" s="52" t="n">
        <v>0</v>
      </c>
      <c r="AA1865" s="52" t="n">
        <v>0</v>
      </c>
      <c r="AB1865" s="53" t="n">
        <v>0</v>
      </c>
      <c r="AC1865" s="52" t="n">
        <v>0</v>
      </c>
      <c r="AD1865" s="53" t="n">
        <v>0</v>
      </c>
      <c r="AE1865" s="52" t="n">
        <v>0</v>
      </c>
      <c r="AF1865" s="51" t="n">
        <v>0</v>
      </c>
      <c r="AG1865" s="48" t="n">
        <v>0</v>
      </c>
      <c r="AH1865" s="49" t="n">
        <v>0</v>
      </c>
      <c r="AI1865" s="49" t="n">
        <v>0</v>
      </c>
      <c r="AJ1865" s="50" t="n">
        <v>0</v>
      </c>
      <c r="AK1865" s="51" t="n">
        <v>0</v>
      </c>
      <c r="AL1865" s="52" t="n">
        <v>0</v>
      </c>
      <c r="AM1865" s="52" t="n">
        <v>0</v>
      </c>
      <c r="AN1865" s="52" t="n">
        <v>0</v>
      </c>
      <c r="AO1865" s="53" t="n">
        <v>0</v>
      </c>
      <c r="AP1865" s="52" t="n">
        <v>0</v>
      </c>
      <c r="AQ1865" s="53" t="n">
        <v>0</v>
      </c>
      <c r="AR1865" s="52" t="n">
        <v>0</v>
      </c>
      <c r="AS1865" s="51" t="n">
        <v>0</v>
      </c>
      <c r="AT1865" s="48" t="n">
        <v>0</v>
      </c>
      <c r="AU1865" s="49" t="n">
        <v>0</v>
      </c>
      <c r="AV1865" s="49" t="n">
        <v>0</v>
      </c>
      <c r="AW1865" s="50" t="n">
        <v>0</v>
      </c>
      <c r="AX1865" s="51" t="n">
        <v>0</v>
      </c>
      <c r="AY1865" s="52" t="n">
        <v>0</v>
      </c>
      <c r="AZ1865" s="52" t="n">
        <v>0</v>
      </c>
      <c r="BA1865" s="52" t="n">
        <v>0</v>
      </c>
      <c r="BB1865" s="53" t="n">
        <v>0</v>
      </c>
      <c r="BC1865" s="52" t="n">
        <v>0</v>
      </c>
      <c r="BD1865" s="53" t="n">
        <v>0</v>
      </c>
      <c r="BE1865" s="52" t="n">
        <v>0</v>
      </c>
      <c r="BF1865" s="51" t="n">
        <v>0</v>
      </c>
    </row>
    <row r="1866">
      <c r="A1866">
        <f>HYPERLINK("https://www.walmart.com/ip/122909337", "122909337")</f>
        <v/>
      </c>
      <c r="B1866" t="inlineStr">
        <is>
          <t>KC Caps® Unisex Cotton Baseball Cap Adjustable Plain Hat (21 Styles/Colors)</t>
        </is>
      </c>
      <c r="C1866" t="inlineStr">
        <is>
          <t>KC8010GN</t>
        </is>
      </c>
      <c r="D1866" t="inlineStr">
        <is>
          <t>Hats</t>
        </is>
      </c>
      <c r="E1866" t="inlineStr">
        <is>
          <t>KC Caps</t>
        </is>
      </c>
      <c r="F1866" t="inlineStr">
        <is>
          <t>Optimized</t>
        </is>
      </c>
      <c r="G1866" s="48" t="n">
        <v>0</v>
      </c>
      <c r="H1866" s="49" t="n">
        <v>0</v>
      </c>
      <c r="I1866" s="49" t="n">
        <v>0</v>
      </c>
      <c r="J1866" s="50" t="n">
        <v>0</v>
      </c>
      <c r="K1866" s="51" t="n">
        <v>0</v>
      </c>
      <c r="L1866" s="52" t="n">
        <v>0</v>
      </c>
      <c r="M1866" s="52" t="n">
        <v>0</v>
      </c>
      <c r="N1866" s="52" t="n">
        <v>0</v>
      </c>
      <c r="O1866" s="53" t="n">
        <v>0</v>
      </c>
      <c r="P1866" s="52" t="n">
        <v>0</v>
      </c>
      <c r="Q1866" s="53" t="n">
        <v>0</v>
      </c>
      <c r="R1866" s="52" t="n">
        <v>0</v>
      </c>
      <c r="S1866" s="51" t="n">
        <v>0</v>
      </c>
      <c r="T1866" s="48" t="n">
        <v>0</v>
      </c>
      <c r="U1866" s="49" t="n">
        <v>0</v>
      </c>
      <c r="V1866" s="49" t="n">
        <v>0</v>
      </c>
      <c r="W1866" s="50" t="n">
        <v>0</v>
      </c>
      <c r="X1866" s="51" t="n">
        <v>0</v>
      </c>
      <c r="Y1866" s="52" t="n">
        <v>0</v>
      </c>
      <c r="Z1866" s="52" t="n">
        <v>0</v>
      </c>
      <c r="AA1866" s="52" t="n">
        <v>0</v>
      </c>
      <c r="AB1866" s="53" t="n">
        <v>0</v>
      </c>
      <c r="AC1866" s="52" t="n">
        <v>0</v>
      </c>
      <c r="AD1866" s="53" t="n">
        <v>0</v>
      </c>
      <c r="AE1866" s="52" t="n">
        <v>0</v>
      </c>
      <c r="AF1866" s="51" t="n">
        <v>0</v>
      </c>
      <c r="AG1866" s="48" t="n">
        <v>0</v>
      </c>
      <c r="AH1866" s="49" t="n">
        <v>0</v>
      </c>
      <c r="AI1866" s="49" t="n">
        <v>0</v>
      </c>
      <c r="AJ1866" s="50" t="n">
        <v>0</v>
      </c>
      <c r="AK1866" s="51" t="n">
        <v>0</v>
      </c>
      <c r="AL1866" s="52" t="n">
        <v>0</v>
      </c>
      <c r="AM1866" s="52" t="n">
        <v>0</v>
      </c>
      <c r="AN1866" s="52" t="n">
        <v>0</v>
      </c>
      <c r="AO1866" s="53" t="n">
        <v>0</v>
      </c>
      <c r="AP1866" s="52" t="n">
        <v>0</v>
      </c>
      <c r="AQ1866" s="53" t="n">
        <v>0</v>
      </c>
      <c r="AR1866" s="52" t="n">
        <v>0</v>
      </c>
      <c r="AS1866" s="51" t="n">
        <v>0</v>
      </c>
      <c r="AT1866" s="48" t="n">
        <v>0</v>
      </c>
      <c r="AU1866" s="49" t="n">
        <v>0</v>
      </c>
      <c r="AV1866" s="49" t="n">
        <v>0</v>
      </c>
      <c r="AW1866" s="50" t="n">
        <v>0</v>
      </c>
      <c r="AX1866" s="51" t="n">
        <v>0</v>
      </c>
      <c r="AY1866" s="52" t="n">
        <v>0</v>
      </c>
      <c r="AZ1866" s="52" t="n">
        <v>0</v>
      </c>
      <c r="BA1866" s="52" t="n">
        <v>0</v>
      </c>
      <c r="BB1866" s="53" t="n">
        <v>0</v>
      </c>
      <c r="BC1866" s="52" t="n">
        <v>0</v>
      </c>
      <c r="BD1866" s="53" t="n">
        <v>0</v>
      </c>
      <c r="BE1866" s="52" t="n">
        <v>0</v>
      </c>
      <c r="BF1866" s="51" t="n">
        <v>0</v>
      </c>
    </row>
    <row r="1867">
      <c r="A1867">
        <f>HYPERLINK("https://www.walmart.com/ip/122909870", "122909870")</f>
        <v/>
      </c>
      <c r="B1867" t="inlineStr">
        <is>
          <t>KC Caps Unisex Adjustable Snap Closure USA Flag Embroidered Cap Hat</t>
        </is>
      </c>
      <c r="C1867" t="inlineStr">
        <is>
          <t>kc-ae-6100-rd</t>
        </is>
      </c>
      <c r="D1867" t="inlineStr">
        <is>
          <t>Hats</t>
        </is>
      </c>
      <c r="E1867" t="inlineStr">
        <is>
          <t>KC Caps</t>
        </is>
      </c>
      <c r="F1867" t="inlineStr">
        <is>
          <t>Optimized</t>
        </is>
      </c>
      <c r="G1867" s="48" t="n">
        <v>0</v>
      </c>
      <c r="H1867" s="49" t="n">
        <v>0</v>
      </c>
      <c r="I1867" s="49" t="n">
        <v>0</v>
      </c>
      <c r="J1867" s="50" t="n">
        <v>0</v>
      </c>
      <c r="K1867" s="51" t="n">
        <v>0</v>
      </c>
      <c r="L1867" s="52" t="n">
        <v>0</v>
      </c>
      <c r="M1867" s="52" t="n">
        <v>0</v>
      </c>
      <c r="N1867" s="52" t="n">
        <v>0</v>
      </c>
      <c r="O1867" s="53" t="n">
        <v>0</v>
      </c>
      <c r="P1867" s="52" t="n">
        <v>0</v>
      </c>
      <c r="Q1867" s="53" t="n">
        <v>0</v>
      </c>
      <c r="R1867" s="52" t="n">
        <v>0</v>
      </c>
      <c r="S1867" s="51" t="n">
        <v>0</v>
      </c>
      <c r="T1867" s="48" t="n">
        <v>0</v>
      </c>
      <c r="U1867" s="49" t="n">
        <v>0</v>
      </c>
      <c r="V1867" s="49" t="n">
        <v>0</v>
      </c>
      <c r="W1867" s="50" t="n">
        <v>0</v>
      </c>
      <c r="X1867" s="51" t="n">
        <v>0</v>
      </c>
      <c r="Y1867" s="52" t="n">
        <v>0</v>
      </c>
      <c r="Z1867" s="52" t="n">
        <v>0</v>
      </c>
      <c r="AA1867" s="52" t="n">
        <v>0</v>
      </c>
      <c r="AB1867" s="53" t="n">
        <v>0</v>
      </c>
      <c r="AC1867" s="52" t="n">
        <v>0</v>
      </c>
      <c r="AD1867" s="53" t="n">
        <v>0</v>
      </c>
      <c r="AE1867" s="52" t="n">
        <v>0</v>
      </c>
      <c r="AF1867" s="51" t="n">
        <v>0</v>
      </c>
      <c r="AG1867" s="48" t="n">
        <v>0</v>
      </c>
      <c r="AH1867" s="49" t="n">
        <v>0</v>
      </c>
      <c r="AI1867" s="49" t="n">
        <v>0</v>
      </c>
      <c r="AJ1867" s="50" t="n">
        <v>0</v>
      </c>
      <c r="AK1867" s="51" t="n">
        <v>0</v>
      </c>
      <c r="AL1867" s="52" t="n">
        <v>0</v>
      </c>
      <c r="AM1867" s="52" t="n">
        <v>0</v>
      </c>
      <c r="AN1867" s="52" t="n">
        <v>0</v>
      </c>
      <c r="AO1867" s="53" t="n">
        <v>0</v>
      </c>
      <c r="AP1867" s="52" t="n">
        <v>0</v>
      </c>
      <c r="AQ1867" s="53" t="n">
        <v>0</v>
      </c>
      <c r="AR1867" s="52" t="n">
        <v>0</v>
      </c>
      <c r="AS1867" s="51" t="n">
        <v>0</v>
      </c>
      <c r="AT1867" s="48" t="n">
        <v>0</v>
      </c>
      <c r="AU1867" s="49" t="n">
        <v>0</v>
      </c>
      <c r="AV1867" s="49" t="n">
        <v>0</v>
      </c>
      <c r="AW1867" s="50" t="n">
        <v>0</v>
      </c>
      <c r="AX1867" s="51" t="n">
        <v>0</v>
      </c>
      <c r="AY1867" s="52" t="n">
        <v>0</v>
      </c>
      <c r="AZ1867" s="52" t="n">
        <v>0</v>
      </c>
      <c r="BA1867" s="52" t="n">
        <v>0</v>
      </c>
      <c r="BB1867" s="53" t="n">
        <v>0</v>
      </c>
      <c r="BC1867" s="52" t="n">
        <v>0</v>
      </c>
      <c r="BD1867" s="53" t="n">
        <v>0</v>
      </c>
      <c r="BE1867" s="52" t="n">
        <v>0</v>
      </c>
      <c r="BF1867" s="51" t="n">
        <v>0</v>
      </c>
    </row>
    <row r="1868">
      <c r="A1868">
        <f>HYPERLINK("https://www.walmart.com/ip/1230759371", "1230759371")</f>
        <v/>
      </c>
      <c r="B1868" t="inlineStr">
        <is>
          <t>Sherpa Throw Blanket Fleece, Super Cozy Warm TV Blankets for Bed or Couch Reversible 60" x 80"</t>
        </is>
      </c>
      <c r="C1868" t="inlineStr">
        <is>
          <t>1TRBF368XMAS</t>
        </is>
      </c>
      <c r="D1868" t="inlineStr">
        <is>
          <t>Throws</t>
        </is>
      </c>
      <c r="E1868" t="inlineStr">
        <is>
          <t>Tirrinia</t>
        </is>
      </c>
      <c r="G1868" s="48" t="n">
        <v>0</v>
      </c>
      <c r="H1868" s="49" t="n">
        <v>0</v>
      </c>
      <c r="I1868" s="49" t="n">
        <v>0</v>
      </c>
      <c r="J1868" s="50" t="n">
        <v>0</v>
      </c>
      <c r="K1868" s="51" t="n">
        <v>0</v>
      </c>
      <c r="L1868" s="52" t="n">
        <v>0</v>
      </c>
      <c r="M1868" s="52" t="n">
        <v>0</v>
      </c>
      <c r="N1868" s="52" t="n">
        <v>0</v>
      </c>
      <c r="O1868" s="53" t="n">
        <v>0</v>
      </c>
      <c r="P1868" s="52" t="n">
        <v>0</v>
      </c>
      <c r="Q1868" s="53" t="n">
        <v>0</v>
      </c>
      <c r="R1868" s="52" t="n">
        <v>0</v>
      </c>
      <c r="S1868" s="51" t="n">
        <v>0</v>
      </c>
      <c r="T1868" s="48" t="n">
        <v>0</v>
      </c>
      <c r="U1868" s="49" t="n">
        <v>0</v>
      </c>
      <c r="V1868" s="49" t="n">
        <v>0</v>
      </c>
      <c r="W1868" s="50" t="n">
        <v>0</v>
      </c>
      <c r="X1868" s="51" t="n">
        <v>0</v>
      </c>
      <c r="Y1868" s="52" t="n">
        <v>0</v>
      </c>
      <c r="Z1868" s="52" t="n">
        <v>0</v>
      </c>
      <c r="AA1868" s="52" t="n">
        <v>0</v>
      </c>
      <c r="AB1868" s="53" t="n">
        <v>0</v>
      </c>
      <c r="AC1868" s="52" t="n">
        <v>0</v>
      </c>
      <c r="AD1868" s="53" t="n">
        <v>0</v>
      </c>
      <c r="AE1868" s="52" t="n">
        <v>0</v>
      </c>
      <c r="AF1868" s="51" t="n">
        <v>0</v>
      </c>
      <c r="AG1868" s="48" t="n">
        <v>0</v>
      </c>
      <c r="AH1868" s="49" t="n">
        <v>0</v>
      </c>
      <c r="AI1868" s="49" t="n">
        <v>0</v>
      </c>
      <c r="AJ1868" s="50" t="n">
        <v>0</v>
      </c>
      <c r="AK1868" s="51" t="n">
        <v>0</v>
      </c>
      <c r="AL1868" s="52" t="n">
        <v>0</v>
      </c>
      <c r="AM1868" s="52" t="n">
        <v>0</v>
      </c>
      <c r="AN1868" s="52" t="n">
        <v>0</v>
      </c>
      <c r="AO1868" s="53" t="n">
        <v>0</v>
      </c>
      <c r="AP1868" s="52" t="n">
        <v>0</v>
      </c>
      <c r="AQ1868" s="53" t="n">
        <v>0</v>
      </c>
      <c r="AR1868" s="52" t="n">
        <v>0</v>
      </c>
      <c r="AS1868" s="51" t="n">
        <v>0</v>
      </c>
      <c r="AT1868" s="48" t="n">
        <v>0</v>
      </c>
      <c r="AU1868" s="49" t="n">
        <v>0</v>
      </c>
      <c r="AV1868" s="49" t="n">
        <v>0</v>
      </c>
      <c r="AW1868" s="50" t="n">
        <v>0</v>
      </c>
      <c r="AX1868" s="51" t="n">
        <v>0</v>
      </c>
      <c r="AY1868" s="52" t="n">
        <v>0</v>
      </c>
      <c r="AZ1868" s="52" t="n">
        <v>0</v>
      </c>
      <c r="BA1868" s="52" t="n">
        <v>0</v>
      </c>
      <c r="BB1868" s="53" t="n">
        <v>0</v>
      </c>
      <c r="BC1868" s="52" t="n">
        <v>0</v>
      </c>
      <c r="BD1868" s="53" t="n">
        <v>0</v>
      </c>
      <c r="BE1868" s="52" t="n">
        <v>0</v>
      </c>
      <c r="BF1868" s="51" t="n">
        <v>0</v>
      </c>
    </row>
    <row r="1869">
      <c r="A1869">
        <f>HYPERLINK("https://www.walmart.com/ip/123177199", "123177199")</f>
        <v/>
      </c>
      <c r="B1869" t="inlineStr">
        <is>
          <t>Catalonia Snuggie Tails Toddlers Blanket Kids Sleep Bag Warm Plush Super Soft for Baby Children Teen Boy Girl</t>
        </is>
      </c>
      <c r="C1869" t="inlineStr">
        <is>
          <t>1WMMM200PG</t>
        </is>
      </c>
      <c r="D1869" t="inlineStr">
        <is>
          <t>Baby Sleepsacks</t>
        </is>
      </c>
      <c r="E1869" t="inlineStr">
        <is>
          <t>Flyingstar</t>
        </is>
      </c>
      <c r="F1869" t="inlineStr">
        <is>
          <t>Baby days,Optimized</t>
        </is>
      </c>
      <c r="G1869" s="48" t="n">
        <v>0</v>
      </c>
      <c r="H1869" s="49" t="n">
        <v>0</v>
      </c>
      <c r="I1869" s="49" t="n">
        <v>0</v>
      </c>
      <c r="J1869" s="50" t="n">
        <v>0</v>
      </c>
      <c r="K1869" s="51" t="n">
        <v>0</v>
      </c>
      <c r="L1869" s="52" t="n">
        <v>0</v>
      </c>
      <c r="M1869" s="52" t="n">
        <v>0</v>
      </c>
      <c r="N1869" s="52" t="n">
        <v>0</v>
      </c>
      <c r="O1869" s="53" t="n">
        <v>0</v>
      </c>
      <c r="P1869" s="52" t="n">
        <v>0</v>
      </c>
      <c r="Q1869" s="53" t="n">
        <v>0</v>
      </c>
      <c r="R1869" s="52" t="n">
        <v>0</v>
      </c>
      <c r="S1869" s="51" t="n">
        <v>0</v>
      </c>
      <c r="T1869" s="48" t="n">
        <v>0</v>
      </c>
      <c r="U1869" s="49" t="n">
        <v>0</v>
      </c>
      <c r="V1869" s="49" t="n">
        <v>0</v>
      </c>
      <c r="W1869" s="50" t="n">
        <v>0</v>
      </c>
      <c r="X1869" s="51" t="n">
        <v>0</v>
      </c>
      <c r="Y1869" s="52" t="n">
        <v>0</v>
      </c>
      <c r="Z1869" s="52" t="n">
        <v>0</v>
      </c>
      <c r="AA1869" s="52" t="n">
        <v>0</v>
      </c>
      <c r="AB1869" s="53" t="n">
        <v>0</v>
      </c>
      <c r="AC1869" s="52" t="n">
        <v>0</v>
      </c>
      <c r="AD1869" s="53" t="n">
        <v>0</v>
      </c>
      <c r="AE1869" s="52" t="n">
        <v>0</v>
      </c>
      <c r="AF1869" s="51" t="n">
        <v>0</v>
      </c>
      <c r="AG1869" s="48" t="n">
        <v>0</v>
      </c>
      <c r="AH1869" s="49" t="n">
        <v>0</v>
      </c>
      <c r="AI1869" s="49" t="n">
        <v>0</v>
      </c>
      <c r="AJ1869" s="50" t="n">
        <v>0</v>
      </c>
      <c r="AK1869" s="51" t="n">
        <v>0</v>
      </c>
      <c r="AL1869" s="52" t="n">
        <v>0</v>
      </c>
      <c r="AM1869" s="52" t="n">
        <v>0</v>
      </c>
      <c r="AN1869" s="52" t="n">
        <v>0</v>
      </c>
      <c r="AO1869" s="53" t="n">
        <v>0</v>
      </c>
      <c r="AP1869" s="52" t="n">
        <v>0</v>
      </c>
      <c r="AQ1869" s="53" t="n">
        <v>0</v>
      </c>
      <c r="AR1869" s="52" t="n">
        <v>0</v>
      </c>
      <c r="AS1869" s="51" t="n">
        <v>0</v>
      </c>
      <c r="AT1869" s="48" t="n">
        <v>0</v>
      </c>
      <c r="AU1869" s="49" t="n">
        <v>0</v>
      </c>
      <c r="AV1869" s="49" t="n">
        <v>0</v>
      </c>
      <c r="AW1869" s="50" t="n">
        <v>0</v>
      </c>
      <c r="AX1869" s="51" t="n">
        <v>0</v>
      </c>
      <c r="AY1869" s="52" t="n">
        <v>0</v>
      </c>
      <c r="AZ1869" s="52" t="n">
        <v>0</v>
      </c>
      <c r="BA1869" s="52" t="n">
        <v>0</v>
      </c>
      <c r="BB1869" s="53" t="n">
        <v>0</v>
      </c>
      <c r="BC1869" s="52" t="n">
        <v>0</v>
      </c>
      <c r="BD1869" s="53" t="n">
        <v>0</v>
      </c>
      <c r="BE1869" s="52" t="n">
        <v>0</v>
      </c>
      <c r="BF1869" s="51" t="n">
        <v>0</v>
      </c>
    </row>
    <row r="1870">
      <c r="A1870">
        <f>HYPERLINK("https://www.walmart.com/ip/1231800917", "1231800917")</f>
        <v/>
      </c>
      <c r="B1870" t="inlineStr">
        <is>
          <t>Every Day is Christmas Glass Blown Ornaments Cute Hand Made Figurines Tree Decoration, Watermelon</t>
        </is>
      </c>
      <c r="C1870" t="inlineStr">
        <is>
          <t>EDC-FIGURINE-WATERMELON</t>
        </is>
      </c>
      <c r="D1870" t="inlineStr">
        <is>
          <t>Ornaments</t>
        </is>
      </c>
      <c r="E1870" t="inlineStr">
        <is>
          <t>Every Day is Christmas</t>
        </is>
      </c>
      <c r="G1870" s="48" t="n">
        <v>0</v>
      </c>
      <c r="H1870" s="49" t="n">
        <v>0</v>
      </c>
      <c r="I1870" s="49" t="n">
        <v>0</v>
      </c>
      <c r="J1870" s="50" t="n">
        <v>0</v>
      </c>
      <c r="K1870" s="51" t="n">
        <v>0</v>
      </c>
      <c r="L1870" s="52" t="n">
        <v>0</v>
      </c>
      <c r="M1870" s="52" t="n">
        <v>0</v>
      </c>
      <c r="N1870" s="52" t="n">
        <v>0</v>
      </c>
      <c r="O1870" s="53" t="n">
        <v>0</v>
      </c>
      <c r="P1870" s="52" t="n">
        <v>0</v>
      </c>
      <c r="Q1870" s="53" t="n">
        <v>0</v>
      </c>
      <c r="R1870" s="52" t="n">
        <v>0</v>
      </c>
      <c r="S1870" s="51" t="n">
        <v>0</v>
      </c>
      <c r="T1870" s="48" t="n">
        <v>0</v>
      </c>
      <c r="U1870" s="49" t="n">
        <v>0</v>
      </c>
      <c r="V1870" s="49" t="n">
        <v>0</v>
      </c>
      <c r="W1870" s="50" t="n">
        <v>0</v>
      </c>
      <c r="X1870" s="51" t="n">
        <v>0</v>
      </c>
      <c r="Y1870" s="52" t="n">
        <v>0</v>
      </c>
      <c r="Z1870" s="52" t="n">
        <v>0</v>
      </c>
      <c r="AA1870" s="52" t="n">
        <v>0</v>
      </c>
      <c r="AB1870" s="53" t="n">
        <v>0</v>
      </c>
      <c r="AC1870" s="52" t="n">
        <v>0</v>
      </c>
      <c r="AD1870" s="53" t="n">
        <v>0</v>
      </c>
      <c r="AE1870" s="52" t="n">
        <v>0</v>
      </c>
      <c r="AF1870" s="51" t="n">
        <v>0</v>
      </c>
      <c r="AG1870" s="48" t="n">
        <v>0</v>
      </c>
      <c r="AH1870" s="49" t="n">
        <v>0</v>
      </c>
      <c r="AI1870" s="49" t="n">
        <v>0</v>
      </c>
      <c r="AJ1870" s="50" t="n">
        <v>0</v>
      </c>
      <c r="AK1870" s="51" t="n">
        <v>0</v>
      </c>
      <c r="AL1870" s="52" t="n">
        <v>0</v>
      </c>
      <c r="AM1870" s="52" t="n">
        <v>0</v>
      </c>
      <c r="AN1870" s="52" t="n">
        <v>0</v>
      </c>
      <c r="AO1870" s="53" t="n">
        <v>0</v>
      </c>
      <c r="AP1870" s="52" t="n">
        <v>0</v>
      </c>
      <c r="AQ1870" s="53" t="n">
        <v>0</v>
      </c>
      <c r="AR1870" s="52" t="n">
        <v>0</v>
      </c>
      <c r="AS1870" s="51" t="n">
        <v>0</v>
      </c>
      <c r="AT1870" s="48" t="n">
        <v>0</v>
      </c>
      <c r="AU1870" s="49" t="n">
        <v>0</v>
      </c>
      <c r="AV1870" s="49" t="n">
        <v>0</v>
      </c>
      <c r="AW1870" s="50" t="n">
        <v>0</v>
      </c>
      <c r="AX1870" s="51" t="n">
        <v>0</v>
      </c>
      <c r="AY1870" s="52" t="n">
        <v>0</v>
      </c>
      <c r="AZ1870" s="52" t="n">
        <v>0</v>
      </c>
      <c r="BA1870" s="52" t="n">
        <v>0</v>
      </c>
      <c r="BB1870" s="53" t="n">
        <v>0</v>
      </c>
      <c r="BC1870" s="52" t="n">
        <v>0</v>
      </c>
      <c r="BD1870" s="53" t="n">
        <v>0</v>
      </c>
      <c r="BE1870" s="52" t="n">
        <v>0</v>
      </c>
      <c r="BF1870" s="51" t="n">
        <v>0</v>
      </c>
    </row>
    <row r="1871">
      <c r="A1871">
        <f>HYPERLINK("https://www.walmart.com/ip/1233029912", "1233029912")</f>
        <v/>
      </c>
      <c r="B1871" t="inlineStr">
        <is>
          <t>Tirrinia Men's Trout Ventilate Mesh Fish Embroidery Cap Fishing Hat Navy Blue</t>
        </is>
      </c>
      <c r="C1871" t="inlineStr">
        <is>
          <t>1TRHT7180BRKUP-TBCB</t>
        </is>
      </c>
      <c r="D1871" t="inlineStr">
        <is>
          <t>Hats</t>
        </is>
      </c>
      <c r="E1871" t="inlineStr">
        <is>
          <t>Tirrinia</t>
        </is>
      </c>
      <c r="F1871" t="inlineStr">
        <is>
          <t>Batch 1 - TR</t>
        </is>
      </c>
      <c r="G1871" s="48" t="n">
        <v>0</v>
      </c>
      <c r="H1871" s="49" t="n">
        <v>0</v>
      </c>
      <c r="I1871" s="49" t="n">
        <v>0</v>
      </c>
      <c r="J1871" s="50" t="n">
        <v>0</v>
      </c>
      <c r="K1871" s="51" t="n">
        <v>0</v>
      </c>
      <c r="L1871" s="52" t="n">
        <v>0</v>
      </c>
      <c r="M1871" s="52" t="n">
        <v>0</v>
      </c>
      <c r="N1871" s="52" t="n">
        <v>0</v>
      </c>
      <c r="O1871" s="53" t="n">
        <v>0</v>
      </c>
      <c r="P1871" s="52" t="n">
        <v>0</v>
      </c>
      <c r="Q1871" s="53" t="n">
        <v>0</v>
      </c>
      <c r="R1871" s="52" t="n">
        <v>0</v>
      </c>
      <c r="S1871" s="51" t="n">
        <v>0</v>
      </c>
      <c r="T1871" s="48" t="n">
        <v>0</v>
      </c>
      <c r="U1871" s="49" t="n">
        <v>0</v>
      </c>
      <c r="V1871" s="49" t="n">
        <v>0</v>
      </c>
      <c r="W1871" s="50" t="n">
        <v>0</v>
      </c>
      <c r="X1871" s="51" t="n">
        <v>0</v>
      </c>
      <c r="Y1871" s="52" t="n">
        <v>0</v>
      </c>
      <c r="Z1871" s="52" t="n">
        <v>0</v>
      </c>
      <c r="AA1871" s="52" t="n">
        <v>0</v>
      </c>
      <c r="AB1871" s="53" t="n">
        <v>0</v>
      </c>
      <c r="AC1871" s="52" t="n">
        <v>0</v>
      </c>
      <c r="AD1871" s="53" t="n">
        <v>0</v>
      </c>
      <c r="AE1871" s="52" t="n">
        <v>0</v>
      </c>
      <c r="AF1871" s="51" t="n">
        <v>0</v>
      </c>
      <c r="AG1871" s="48" t="n">
        <v>0</v>
      </c>
      <c r="AH1871" s="49" t="n">
        <v>0</v>
      </c>
      <c r="AI1871" s="49" t="n">
        <v>0</v>
      </c>
      <c r="AJ1871" s="50" t="n">
        <v>0</v>
      </c>
      <c r="AK1871" s="51" t="n">
        <v>0</v>
      </c>
      <c r="AL1871" s="52" t="n">
        <v>0</v>
      </c>
      <c r="AM1871" s="52" t="n">
        <v>0</v>
      </c>
      <c r="AN1871" s="52" t="n">
        <v>0</v>
      </c>
      <c r="AO1871" s="53" t="n">
        <v>0</v>
      </c>
      <c r="AP1871" s="52" t="n">
        <v>0</v>
      </c>
      <c r="AQ1871" s="53" t="n">
        <v>0</v>
      </c>
      <c r="AR1871" s="52" t="n">
        <v>0</v>
      </c>
      <c r="AS1871" s="51" t="n">
        <v>0</v>
      </c>
      <c r="AT1871" s="48" t="n">
        <v>0</v>
      </c>
      <c r="AU1871" s="49" t="n">
        <v>0</v>
      </c>
      <c r="AV1871" s="49" t="n">
        <v>0</v>
      </c>
      <c r="AW1871" s="50" t="n">
        <v>0</v>
      </c>
      <c r="AX1871" s="51" t="n">
        <v>0</v>
      </c>
      <c r="AY1871" s="52" t="n">
        <v>0</v>
      </c>
      <c r="AZ1871" s="52" t="n">
        <v>0</v>
      </c>
      <c r="BA1871" s="52" t="n">
        <v>0</v>
      </c>
      <c r="BB1871" s="53" t="n">
        <v>0</v>
      </c>
      <c r="BC1871" s="52" t="n">
        <v>0</v>
      </c>
      <c r="BD1871" s="53" t="n">
        <v>0</v>
      </c>
      <c r="BE1871" s="52" t="n">
        <v>0</v>
      </c>
      <c r="BF1871" s="51" t="n">
        <v>0</v>
      </c>
    </row>
    <row r="1872">
      <c r="A1872">
        <f>HYPERLINK("https://www.walmart.com/ip/1236285875", "1236285875")</f>
        <v/>
      </c>
      <c r="B1872" t="inlineStr">
        <is>
          <t>Waterproof Blanket, Liquid Pee Proof Blanket for Bed Couch Sofa, Protector Cover for Baby, Cozy Sherpa Lining Throws and Blankets for Camping Boating, 80X90 inches</t>
        </is>
      </c>
      <c r="C1872" t="inlineStr">
        <is>
          <t>1CTBW981NYTP</t>
        </is>
      </c>
      <c r="D1872" t="inlineStr">
        <is>
          <t>Throws</t>
        </is>
      </c>
      <c r="E1872" t="inlineStr">
        <is>
          <t>Catalonia</t>
        </is>
      </c>
      <c r="F1872" t="inlineStr">
        <is>
          <t>High AUR Items,Wproof Blanket,Batch 1 - TR</t>
        </is>
      </c>
      <c r="G1872" s="48" t="n">
        <v>0</v>
      </c>
      <c r="H1872" s="49" t="n">
        <v>0</v>
      </c>
      <c r="I1872" s="49" t="n">
        <v>0</v>
      </c>
      <c r="J1872" s="50" t="n">
        <v>0</v>
      </c>
      <c r="K1872" s="51" t="n">
        <v>0</v>
      </c>
      <c r="L1872" s="52" t="n">
        <v>0</v>
      </c>
      <c r="M1872" s="52" t="n">
        <v>0</v>
      </c>
      <c r="N1872" s="52" t="n">
        <v>0</v>
      </c>
      <c r="O1872" s="53" t="n">
        <v>0</v>
      </c>
      <c r="P1872" s="52" t="n">
        <v>0</v>
      </c>
      <c r="Q1872" s="53" t="n">
        <v>0</v>
      </c>
      <c r="R1872" s="52" t="n">
        <v>0</v>
      </c>
      <c r="S1872" s="51" t="n">
        <v>0</v>
      </c>
      <c r="T1872" s="48" t="n">
        <v>0</v>
      </c>
      <c r="U1872" s="49" t="n">
        <v>0</v>
      </c>
      <c r="V1872" s="49" t="n">
        <v>0</v>
      </c>
      <c r="W1872" s="50" t="n">
        <v>0</v>
      </c>
      <c r="X1872" s="51" t="n">
        <v>0</v>
      </c>
      <c r="Y1872" s="52" t="n">
        <v>0</v>
      </c>
      <c r="Z1872" s="52" t="n">
        <v>0</v>
      </c>
      <c r="AA1872" s="52" t="n">
        <v>0</v>
      </c>
      <c r="AB1872" s="53" t="n">
        <v>0</v>
      </c>
      <c r="AC1872" s="52" t="n">
        <v>0</v>
      </c>
      <c r="AD1872" s="53" t="n">
        <v>0</v>
      </c>
      <c r="AE1872" s="52" t="n">
        <v>0</v>
      </c>
      <c r="AF1872" s="51" t="n">
        <v>0</v>
      </c>
      <c r="AG1872" s="48" t="n">
        <v>0</v>
      </c>
      <c r="AH1872" s="49" t="n">
        <v>0</v>
      </c>
      <c r="AI1872" s="49" t="n">
        <v>0</v>
      </c>
      <c r="AJ1872" s="50" t="n">
        <v>0</v>
      </c>
      <c r="AK1872" s="51" t="n">
        <v>0</v>
      </c>
      <c r="AL1872" s="52" t="n">
        <v>0</v>
      </c>
      <c r="AM1872" s="52" t="n">
        <v>0</v>
      </c>
      <c r="AN1872" s="52" t="n">
        <v>0</v>
      </c>
      <c r="AO1872" s="53" t="n">
        <v>0</v>
      </c>
      <c r="AP1872" s="52" t="n">
        <v>0</v>
      </c>
      <c r="AQ1872" s="53" t="n">
        <v>0</v>
      </c>
      <c r="AR1872" s="52" t="n">
        <v>0</v>
      </c>
      <c r="AS1872" s="51" t="n">
        <v>0</v>
      </c>
      <c r="AT1872" s="48" t="n">
        <v>0</v>
      </c>
      <c r="AU1872" s="49" t="n">
        <v>0</v>
      </c>
      <c r="AV1872" s="49" t="n">
        <v>0</v>
      </c>
      <c r="AW1872" s="50" t="n">
        <v>0</v>
      </c>
      <c r="AX1872" s="51" t="n">
        <v>0</v>
      </c>
      <c r="AY1872" s="52" t="n">
        <v>0</v>
      </c>
      <c r="AZ1872" s="52" t="n">
        <v>0</v>
      </c>
      <c r="BA1872" s="52" t="n">
        <v>0</v>
      </c>
      <c r="BB1872" s="53" t="n">
        <v>0</v>
      </c>
      <c r="BC1872" s="52" t="n">
        <v>0</v>
      </c>
      <c r="BD1872" s="53" t="n">
        <v>0</v>
      </c>
      <c r="BE1872" s="52" t="n">
        <v>0</v>
      </c>
      <c r="BF1872" s="51" t="n">
        <v>0</v>
      </c>
    </row>
    <row r="1873">
      <c r="A1873">
        <f>HYPERLINK("https://www.walmart.com/ip/126076004", "126076004")</f>
        <v/>
      </c>
      <c r="B1873" t="inlineStr">
        <is>
          <t>JenniWears Women's Plus Size Lace Babydoll Lingerie Set with G-String, Mesh Chemise for Halloween</t>
        </is>
      </c>
      <c r="C1873" t="inlineStr">
        <is>
          <t>JWBD06BKGN-XL</t>
        </is>
      </c>
      <c r="D1873" t="inlineStr">
        <is>
          <t>Lingerie Sets</t>
        </is>
      </c>
      <c r="E1873" t="inlineStr">
        <is>
          <t>JenniWears</t>
        </is>
      </c>
      <c r="F1873" t="inlineStr">
        <is>
          <t>WFS,Valentine,WFS Item</t>
        </is>
      </c>
      <c r="G1873" s="48" t="n">
        <v>0</v>
      </c>
      <c r="H1873" s="49" t="n">
        <v>0</v>
      </c>
      <c r="I1873" s="49" t="n">
        <v>0</v>
      </c>
      <c r="J1873" s="50" t="n">
        <v>0</v>
      </c>
      <c r="K1873" s="51" t="n">
        <v>0</v>
      </c>
      <c r="L1873" s="52" t="n">
        <v>0</v>
      </c>
      <c r="M1873" s="52" t="n">
        <v>0</v>
      </c>
      <c r="N1873" s="52" t="n">
        <v>0</v>
      </c>
      <c r="O1873" s="53" t="n">
        <v>0</v>
      </c>
      <c r="P1873" s="52" t="n">
        <v>0</v>
      </c>
      <c r="Q1873" s="53" t="n">
        <v>0</v>
      </c>
      <c r="R1873" s="52" t="n">
        <v>0</v>
      </c>
      <c r="S1873" s="51" t="n">
        <v>0</v>
      </c>
      <c r="T1873" s="48" t="n">
        <v>0</v>
      </c>
      <c r="U1873" s="49" t="n">
        <v>0</v>
      </c>
      <c r="V1873" s="49" t="n">
        <v>0</v>
      </c>
      <c r="W1873" s="50" t="n">
        <v>0</v>
      </c>
      <c r="X1873" s="51" t="n">
        <v>0</v>
      </c>
      <c r="Y1873" s="52" t="n">
        <v>0</v>
      </c>
      <c r="Z1873" s="52" t="n">
        <v>0</v>
      </c>
      <c r="AA1873" s="52" t="n">
        <v>0</v>
      </c>
      <c r="AB1873" s="53" t="n">
        <v>0</v>
      </c>
      <c r="AC1873" s="52" t="n">
        <v>0</v>
      </c>
      <c r="AD1873" s="53" t="n">
        <v>0</v>
      </c>
      <c r="AE1873" s="52" t="n">
        <v>0</v>
      </c>
      <c r="AF1873" s="51" t="n">
        <v>0</v>
      </c>
      <c r="AG1873" s="48" t="n">
        <v>0</v>
      </c>
      <c r="AH1873" s="49" t="n">
        <v>0</v>
      </c>
      <c r="AI1873" s="49" t="n">
        <v>0</v>
      </c>
      <c r="AJ1873" s="50" t="n">
        <v>0</v>
      </c>
      <c r="AK1873" s="51" t="n">
        <v>0</v>
      </c>
      <c r="AL1873" s="52" t="n">
        <v>0</v>
      </c>
      <c r="AM1873" s="52" t="n">
        <v>0</v>
      </c>
      <c r="AN1873" s="52" t="n">
        <v>0</v>
      </c>
      <c r="AO1873" s="53" t="n">
        <v>0</v>
      </c>
      <c r="AP1873" s="52" t="n">
        <v>0</v>
      </c>
      <c r="AQ1873" s="53" t="n">
        <v>0</v>
      </c>
      <c r="AR1873" s="52" t="n">
        <v>0</v>
      </c>
      <c r="AS1873" s="51" t="n">
        <v>0</v>
      </c>
      <c r="AT1873" s="48" t="n">
        <v>0</v>
      </c>
      <c r="AU1873" s="49" t="n">
        <v>0</v>
      </c>
      <c r="AV1873" s="49" t="n">
        <v>0</v>
      </c>
      <c r="AW1873" s="50" t="n">
        <v>0</v>
      </c>
      <c r="AX1873" s="51" t="n">
        <v>0</v>
      </c>
      <c r="AY1873" s="52" t="n">
        <v>0</v>
      </c>
      <c r="AZ1873" s="52" t="n">
        <v>0</v>
      </c>
      <c r="BA1873" s="52" t="n">
        <v>0</v>
      </c>
      <c r="BB1873" s="53" t="n">
        <v>0</v>
      </c>
      <c r="BC1873" s="52" t="n">
        <v>0</v>
      </c>
      <c r="BD1873" s="53" t="n">
        <v>0</v>
      </c>
      <c r="BE1873" s="52" t="n">
        <v>0</v>
      </c>
      <c r="BF1873" s="51" t="n">
        <v>0</v>
      </c>
    </row>
    <row r="1874">
      <c r="A1874">
        <f>HYPERLINK("https://www.walmart.com/ip/126145624", "126145624")</f>
        <v/>
      </c>
      <c r="B1874" t="inlineStr">
        <is>
          <t>KC Caps Blank Cuff Hat Knit Beanie</t>
        </is>
      </c>
      <c r="C1874" t="inlineStr">
        <is>
          <t>KCW1720ROY</t>
        </is>
      </c>
      <c r="D1874" t="inlineStr">
        <is>
          <t>Hats</t>
        </is>
      </c>
      <c r="E1874" t="inlineStr">
        <is>
          <t>KC Caps</t>
        </is>
      </c>
      <c r="F1874" t="inlineStr">
        <is>
          <t>Optimized</t>
        </is>
      </c>
      <c r="G1874" s="48" t="n">
        <v>0</v>
      </c>
      <c r="H1874" s="49" t="n">
        <v>0</v>
      </c>
      <c r="I1874" s="49" t="n">
        <v>0</v>
      </c>
      <c r="J1874" s="50" t="n">
        <v>0</v>
      </c>
      <c r="K1874" s="51" t="n">
        <v>0</v>
      </c>
      <c r="L1874" s="52" t="n">
        <v>0</v>
      </c>
      <c r="M1874" s="52" t="n">
        <v>0</v>
      </c>
      <c r="N1874" s="52" t="n">
        <v>0</v>
      </c>
      <c r="O1874" s="53" t="n">
        <v>0</v>
      </c>
      <c r="P1874" s="52" t="n">
        <v>0</v>
      </c>
      <c r="Q1874" s="53" t="n">
        <v>0</v>
      </c>
      <c r="R1874" s="52" t="n">
        <v>0</v>
      </c>
      <c r="S1874" s="51" t="n">
        <v>0</v>
      </c>
      <c r="T1874" s="48" t="n">
        <v>0</v>
      </c>
      <c r="U1874" s="49" t="n">
        <v>0</v>
      </c>
      <c r="V1874" s="49" t="n">
        <v>0</v>
      </c>
      <c r="W1874" s="50" t="n">
        <v>0</v>
      </c>
      <c r="X1874" s="51" t="n">
        <v>0</v>
      </c>
      <c r="Y1874" s="52" t="n">
        <v>0</v>
      </c>
      <c r="Z1874" s="52" t="n">
        <v>0</v>
      </c>
      <c r="AA1874" s="52" t="n">
        <v>0</v>
      </c>
      <c r="AB1874" s="53" t="n">
        <v>0</v>
      </c>
      <c r="AC1874" s="52" t="n">
        <v>0</v>
      </c>
      <c r="AD1874" s="53" t="n">
        <v>0</v>
      </c>
      <c r="AE1874" s="52" t="n">
        <v>0</v>
      </c>
      <c r="AF1874" s="51" t="n">
        <v>0</v>
      </c>
      <c r="AG1874" s="48" t="n">
        <v>0</v>
      </c>
      <c r="AH1874" s="49" t="n">
        <v>0</v>
      </c>
      <c r="AI1874" s="49" t="n">
        <v>0</v>
      </c>
      <c r="AJ1874" s="50" t="n">
        <v>0</v>
      </c>
      <c r="AK1874" s="51" t="n">
        <v>0</v>
      </c>
      <c r="AL1874" s="52" t="n">
        <v>0</v>
      </c>
      <c r="AM1874" s="52" t="n">
        <v>0</v>
      </c>
      <c r="AN1874" s="52" t="n">
        <v>0</v>
      </c>
      <c r="AO1874" s="53" t="n">
        <v>0</v>
      </c>
      <c r="AP1874" s="52" t="n">
        <v>0</v>
      </c>
      <c r="AQ1874" s="53" t="n">
        <v>0</v>
      </c>
      <c r="AR1874" s="52" t="n">
        <v>0</v>
      </c>
      <c r="AS1874" s="51" t="n">
        <v>0</v>
      </c>
      <c r="AT1874" s="48" t="n">
        <v>0</v>
      </c>
      <c r="AU1874" s="49" t="n">
        <v>0</v>
      </c>
      <c r="AV1874" s="49" t="n">
        <v>0</v>
      </c>
      <c r="AW1874" s="50" t="n">
        <v>0</v>
      </c>
      <c r="AX1874" s="51" t="n">
        <v>0</v>
      </c>
      <c r="AY1874" s="52" t="n">
        <v>0</v>
      </c>
      <c r="AZ1874" s="52" t="n">
        <v>0</v>
      </c>
      <c r="BA1874" s="52" t="n">
        <v>0</v>
      </c>
      <c r="BB1874" s="53" t="n">
        <v>0</v>
      </c>
      <c r="BC1874" s="52" t="n">
        <v>0</v>
      </c>
      <c r="BD1874" s="53" t="n">
        <v>0</v>
      </c>
      <c r="BE1874" s="52" t="n">
        <v>0</v>
      </c>
      <c r="BF1874" s="51" t="n">
        <v>0</v>
      </c>
    </row>
    <row r="1875">
      <c r="A1875">
        <f>HYPERLINK("https://www.walmart.com/ip/126202442", "126202442")</f>
        <v/>
      </c>
      <c r="B1875" t="inlineStr">
        <is>
          <t>JenniWears Women's Adjustable Sexy Lace Garter Belt, High Waisted Suspender for Party Cosplay Activity, Black</t>
        </is>
      </c>
      <c r="C1875" t="inlineStr">
        <is>
          <t>JWBLSPH5003</t>
        </is>
      </c>
      <c r="D1875" t="inlineStr">
        <is>
          <t>Garters</t>
        </is>
      </c>
      <c r="E1875" t="inlineStr">
        <is>
          <t>JenniWears</t>
        </is>
      </c>
      <c r="F1875" t="inlineStr">
        <is>
          <t>WFS,Valentine,WFS Item</t>
        </is>
      </c>
      <c r="G1875" s="48" t="n">
        <v>0</v>
      </c>
      <c r="H1875" s="49" t="n">
        <v>0</v>
      </c>
      <c r="I1875" s="49" t="n">
        <v>0</v>
      </c>
      <c r="J1875" s="50" t="n">
        <v>0</v>
      </c>
      <c r="K1875" s="51" t="n">
        <v>0</v>
      </c>
      <c r="L1875" s="52" t="n">
        <v>0</v>
      </c>
      <c r="M1875" s="52" t="n">
        <v>0</v>
      </c>
      <c r="N1875" s="52" t="n">
        <v>0</v>
      </c>
      <c r="O1875" s="53" t="n">
        <v>0</v>
      </c>
      <c r="P1875" s="52" t="n">
        <v>0</v>
      </c>
      <c r="Q1875" s="53" t="n">
        <v>0</v>
      </c>
      <c r="R1875" s="52" t="n">
        <v>0</v>
      </c>
      <c r="S1875" s="51" t="n">
        <v>0</v>
      </c>
      <c r="T1875" s="48" t="n">
        <v>0</v>
      </c>
      <c r="U1875" s="49" t="n">
        <v>0</v>
      </c>
      <c r="V1875" s="49" t="n">
        <v>0</v>
      </c>
      <c r="W1875" s="50" t="n">
        <v>0</v>
      </c>
      <c r="X1875" s="51" t="n">
        <v>0</v>
      </c>
      <c r="Y1875" s="52" t="n">
        <v>0</v>
      </c>
      <c r="Z1875" s="52" t="n">
        <v>0</v>
      </c>
      <c r="AA1875" s="52" t="n">
        <v>0</v>
      </c>
      <c r="AB1875" s="53" t="n">
        <v>0</v>
      </c>
      <c r="AC1875" s="52" t="n">
        <v>0</v>
      </c>
      <c r="AD1875" s="53" t="n">
        <v>0</v>
      </c>
      <c r="AE1875" s="52" t="n">
        <v>0</v>
      </c>
      <c r="AF1875" s="51" t="n">
        <v>0</v>
      </c>
      <c r="AG1875" s="48" t="n">
        <v>0</v>
      </c>
      <c r="AH1875" s="49" t="n">
        <v>0</v>
      </c>
      <c r="AI1875" s="49" t="n">
        <v>0</v>
      </c>
      <c r="AJ1875" s="50" t="n">
        <v>0</v>
      </c>
      <c r="AK1875" s="51" t="n">
        <v>0</v>
      </c>
      <c r="AL1875" s="52" t="n">
        <v>0</v>
      </c>
      <c r="AM1875" s="52" t="n">
        <v>0</v>
      </c>
      <c r="AN1875" s="52" t="n">
        <v>0</v>
      </c>
      <c r="AO1875" s="53" t="n">
        <v>0</v>
      </c>
      <c r="AP1875" s="52" t="n">
        <v>0</v>
      </c>
      <c r="AQ1875" s="53" t="n">
        <v>0</v>
      </c>
      <c r="AR1875" s="52" t="n">
        <v>0</v>
      </c>
      <c r="AS1875" s="51" t="n">
        <v>0</v>
      </c>
      <c r="AT1875" s="48" t="n">
        <v>0</v>
      </c>
      <c r="AU1875" s="49" t="n">
        <v>0</v>
      </c>
      <c r="AV1875" s="49" t="n">
        <v>0</v>
      </c>
      <c r="AW1875" s="50" t="n">
        <v>0</v>
      </c>
      <c r="AX1875" s="51" t="n">
        <v>0</v>
      </c>
      <c r="AY1875" s="52" t="n">
        <v>0</v>
      </c>
      <c r="AZ1875" s="52" t="n">
        <v>0</v>
      </c>
      <c r="BA1875" s="52" t="n">
        <v>0</v>
      </c>
      <c r="BB1875" s="53" t="n">
        <v>0</v>
      </c>
      <c r="BC1875" s="52" t="n">
        <v>0</v>
      </c>
      <c r="BD1875" s="53" t="n">
        <v>0</v>
      </c>
      <c r="BE1875" s="52" t="n">
        <v>0</v>
      </c>
      <c r="BF1875" s="51" t="n">
        <v>0</v>
      </c>
    </row>
    <row r="1876">
      <c r="A1876">
        <f>HYPERLINK("https://www.walmart.com/ip/126315308", "126315308")</f>
        <v/>
      </c>
      <c r="B1876" t="inlineStr">
        <is>
          <t>Terra Faux Fur Pom Pom Beanie Hat Slouchy Solid Plain Knit Unisex Stretches to Fit Most</t>
        </is>
      </c>
      <c r="C1876" t="inlineStr">
        <is>
          <t>TERRAPPH03WT</t>
        </is>
      </c>
      <c r="D1876" t="inlineStr">
        <is>
          <t>Hats</t>
        </is>
      </c>
      <c r="E1876" t="inlineStr">
        <is>
          <t>Terra</t>
        </is>
      </c>
      <c r="F1876" t="inlineStr">
        <is>
          <t>Batch 1 - TR</t>
        </is>
      </c>
      <c r="G1876" s="48" t="n">
        <v>0</v>
      </c>
      <c r="H1876" s="49" t="n">
        <v>0</v>
      </c>
      <c r="I1876" s="49" t="n">
        <v>0</v>
      </c>
      <c r="J1876" s="50" t="n">
        <v>0</v>
      </c>
      <c r="K1876" s="51" t="n">
        <v>0</v>
      </c>
      <c r="L1876" s="52" t="n">
        <v>0</v>
      </c>
      <c r="M1876" s="52" t="n">
        <v>0</v>
      </c>
      <c r="N1876" s="52" t="n">
        <v>0</v>
      </c>
      <c r="O1876" s="53" t="n">
        <v>0</v>
      </c>
      <c r="P1876" s="52" t="n">
        <v>0</v>
      </c>
      <c r="Q1876" s="53" t="n">
        <v>0</v>
      </c>
      <c r="R1876" s="52" t="n">
        <v>0</v>
      </c>
      <c r="S1876" s="51" t="n">
        <v>0</v>
      </c>
      <c r="T1876" s="48" t="n">
        <v>0</v>
      </c>
      <c r="U1876" s="49" t="n">
        <v>0</v>
      </c>
      <c r="V1876" s="49" t="n">
        <v>0</v>
      </c>
      <c r="W1876" s="50" t="n">
        <v>0</v>
      </c>
      <c r="X1876" s="51" t="n">
        <v>0</v>
      </c>
      <c r="Y1876" s="52" t="n">
        <v>0</v>
      </c>
      <c r="Z1876" s="52" t="n">
        <v>0</v>
      </c>
      <c r="AA1876" s="52" t="n">
        <v>0</v>
      </c>
      <c r="AB1876" s="53" t="n">
        <v>0</v>
      </c>
      <c r="AC1876" s="52" t="n">
        <v>0</v>
      </c>
      <c r="AD1876" s="53" t="n">
        <v>0</v>
      </c>
      <c r="AE1876" s="52" t="n">
        <v>0</v>
      </c>
      <c r="AF1876" s="51" t="n">
        <v>0</v>
      </c>
      <c r="AG1876" s="48" t="n">
        <v>0</v>
      </c>
      <c r="AH1876" s="49" t="n">
        <v>0</v>
      </c>
      <c r="AI1876" s="49" t="n">
        <v>0</v>
      </c>
      <c r="AJ1876" s="50" t="n">
        <v>0</v>
      </c>
      <c r="AK1876" s="51" t="n">
        <v>0</v>
      </c>
      <c r="AL1876" s="52" t="n">
        <v>0</v>
      </c>
      <c r="AM1876" s="52" t="n">
        <v>0</v>
      </c>
      <c r="AN1876" s="52" t="n">
        <v>0</v>
      </c>
      <c r="AO1876" s="53" t="n">
        <v>0</v>
      </c>
      <c r="AP1876" s="52" t="n">
        <v>0</v>
      </c>
      <c r="AQ1876" s="53" t="n">
        <v>0</v>
      </c>
      <c r="AR1876" s="52" t="n">
        <v>0</v>
      </c>
      <c r="AS1876" s="51" t="n">
        <v>0</v>
      </c>
      <c r="AT1876" s="48" t="n">
        <v>0</v>
      </c>
      <c r="AU1876" s="49" t="n">
        <v>0</v>
      </c>
      <c r="AV1876" s="49" t="n">
        <v>0</v>
      </c>
      <c r="AW1876" s="50" t="n">
        <v>0</v>
      </c>
      <c r="AX1876" s="51" t="n">
        <v>0</v>
      </c>
      <c r="AY1876" s="52" t="n">
        <v>0</v>
      </c>
      <c r="AZ1876" s="52" t="n">
        <v>0</v>
      </c>
      <c r="BA1876" s="52" t="n">
        <v>0</v>
      </c>
      <c r="BB1876" s="53" t="n">
        <v>0</v>
      </c>
      <c r="BC1876" s="52" t="n">
        <v>0</v>
      </c>
      <c r="BD1876" s="53" t="n">
        <v>0</v>
      </c>
      <c r="BE1876" s="52" t="n">
        <v>0</v>
      </c>
      <c r="BF1876" s="51" t="n">
        <v>0</v>
      </c>
    </row>
    <row r="1877">
      <c r="A1877">
        <f>HYPERLINK("https://www.walmart.com/ip/129521857", "129521857")</f>
        <v/>
      </c>
      <c r="B1877" t="inlineStr">
        <is>
          <t>Flyingstar Surf Beach Changing Towel With Hood, Absorbent Microfiber Robe Poncho, Men &amp; Women, Pink</t>
        </is>
      </c>
      <c r="C1877" t="inlineStr">
        <is>
          <t>1WMBR102-PB</t>
        </is>
      </c>
      <c r="D1877" t="inlineStr">
        <is>
          <t>Towels &amp; Washcloths</t>
        </is>
      </c>
      <c r="E1877" t="inlineStr">
        <is>
          <t>Flyingstar</t>
        </is>
      </c>
      <c r="F1877" t="inlineStr">
        <is>
          <t>Batch 1 - TR</t>
        </is>
      </c>
      <c r="G1877" s="48" t="n">
        <v>0</v>
      </c>
      <c r="H1877" s="49" t="n">
        <v>0</v>
      </c>
      <c r="I1877" s="49" t="n">
        <v>0</v>
      </c>
      <c r="J1877" s="50" t="n">
        <v>0</v>
      </c>
      <c r="K1877" s="51" t="n">
        <v>0</v>
      </c>
      <c r="L1877" s="52" t="n">
        <v>0</v>
      </c>
      <c r="M1877" s="52" t="n">
        <v>0</v>
      </c>
      <c r="N1877" s="52" t="n">
        <v>0</v>
      </c>
      <c r="O1877" s="53" t="n">
        <v>0</v>
      </c>
      <c r="P1877" s="52" t="n">
        <v>0</v>
      </c>
      <c r="Q1877" s="53" t="n">
        <v>0</v>
      </c>
      <c r="R1877" s="52" t="n">
        <v>0</v>
      </c>
      <c r="S1877" s="51" t="n">
        <v>0</v>
      </c>
      <c r="T1877" s="48" t="n">
        <v>0</v>
      </c>
      <c r="U1877" s="49" t="n">
        <v>0</v>
      </c>
      <c r="V1877" s="49" t="n">
        <v>0</v>
      </c>
      <c r="W1877" s="50" t="n">
        <v>0</v>
      </c>
      <c r="X1877" s="51" t="n">
        <v>0</v>
      </c>
      <c r="Y1877" s="52" t="n">
        <v>0</v>
      </c>
      <c r="Z1877" s="52" t="n">
        <v>0</v>
      </c>
      <c r="AA1877" s="52" t="n">
        <v>0</v>
      </c>
      <c r="AB1877" s="53" t="n">
        <v>0</v>
      </c>
      <c r="AC1877" s="52" t="n">
        <v>0</v>
      </c>
      <c r="AD1877" s="53" t="n">
        <v>0</v>
      </c>
      <c r="AE1877" s="52" t="n">
        <v>0</v>
      </c>
      <c r="AF1877" s="51" t="n">
        <v>0</v>
      </c>
      <c r="AG1877" s="48" t="n">
        <v>19.99</v>
      </c>
      <c r="AH1877" s="49" t="n">
        <v>1</v>
      </c>
      <c r="AI1877" s="49" t="n">
        <v>0</v>
      </c>
      <c r="AJ1877" s="50" t="n">
        <v>0</v>
      </c>
      <c r="AK1877" s="51" t="n">
        <v>0</v>
      </c>
      <c r="AL1877" s="52" t="n">
        <v>0</v>
      </c>
      <c r="AM1877" s="52" t="n">
        <v>0</v>
      </c>
      <c r="AN1877" s="52" t="n">
        <v>0</v>
      </c>
      <c r="AO1877" s="53" t="n">
        <v>0</v>
      </c>
      <c r="AP1877" s="52" t="n">
        <v>0</v>
      </c>
      <c r="AQ1877" s="53" t="n">
        <v>0</v>
      </c>
      <c r="AR1877" s="52" t="n">
        <v>19.99</v>
      </c>
      <c r="AS1877" s="51" t="n">
        <v>0</v>
      </c>
      <c r="AT1877" s="48" t="n">
        <v>0</v>
      </c>
      <c r="AU1877" s="49" t="n">
        <v>0</v>
      </c>
      <c r="AV1877" s="49" t="n">
        <v>0</v>
      </c>
      <c r="AW1877" s="50" t="n">
        <v>0</v>
      </c>
      <c r="AX1877" s="51" t="n">
        <v>0</v>
      </c>
      <c r="AY1877" s="52" t="n">
        <v>0</v>
      </c>
      <c r="AZ1877" s="52" t="n">
        <v>0</v>
      </c>
      <c r="BA1877" s="52" t="n">
        <v>0</v>
      </c>
      <c r="BB1877" s="53" t="n">
        <v>0</v>
      </c>
      <c r="BC1877" s="52" t="n">
        <v>0</v>
      </c>
      <c r="BD1877" s="53" t="n">
        <v>0</v>
      </c>
      <c r="BE1877" s="52" t="n">
        <v>0</v>
      </c>
      <c r="BF1877" s="51" t="n">
        <v>0</v>
      </c>
    </row>
    <row r="1878">
      <c r="A1878">
        <f>HYPERLINK("https://www.walmart.com/ip/129741644", "129741644")</f>
        <v/>
      </c>
      <c r="B1878" t="inlineStr">
        <is>
          <t>Adjustable Buckle Closure USA Flag Embroidered Cap</t>
        </is>
      </c>
      <c r="C1878" t="inlineStr">
        <is>
          <t>kc-aeflag-wt</t>
        </is>
      </c>
      <c r="D1878" t="inlineStr">
        <is>
          <t>Hats</t>
        </is>
      </c>
      <c r="E1878" t="inlineStr">
        <is>
          <t>KC Caps</t>
        </is>
      </c>
      <c r="F1878" t="inlineStr">
        <is>
          <t>Optimized</t>
        </is>
      </c>
      <c r="G1878" s="48" t="n">
        <v>0</v>
      </c>
      <c r="H1878" s="49" t="n">
        <v>0</v>
      </c>
      <c r="I1878" s="49" t="n">
        <v>0</v>
      </c>
      <c r="J1878" s="50" t="n">
        <v>0</v>
      </c>
      <c r="K1878" s="51" t="n">
        <v>0</v>
      </c>
      <c r="L1878" s="52" t="n">
        <v>0</v>
      </c>
      <c r="M1878" s="52" t="n">
        <v>0</v>
      </c>
      <c r="N1878" s="52" t="n">
        <v>0</v>
      </c>
      <c r="O1878" s="53" t="n">
        <v>0</v>
      </c>
      <c r="P1878" s="52" t="n">
        <v>0</v>
      </c>
      <c r="Q1878" s="53" t="n">
        <v>0</v>
      </c>
      <c r="R1878" s="52" t="n">
        <v>0</v>
      </c>
      <c r="S1878" s="51" t="n">
        <v>0</v>
      </c>
      <c r="T1878" s="48" t="n">
        <v>0</v>
      </c>
      <c r="U1878" s="49" t="n">
        <v>0</v>
      </c>
      <c r="V1878" s="49" t="n">
        <v>0</v>
      </c>
      <c r="W1878" s="50" t="n">
        <v>0</v>
      </c>
      <c r="X1878" s="51" t="n">
        <v>0</v>
      </c>
      <c r="Y1878" s="52" t="n">
        <v>0</v>
      </c>
      <c r="Z1878" s="52" t="n">
        <v>0</v>
      </c>
      <c r="AA1878" s="52" t="n">
        <v>0</v>
      </c>
      <c r="AB1878" s="53" t="n">
        <v>0</v>
      </c>
      <c r="AC1878" s="52" t="n">
        <v>0</v>
      </c>
      <c r="AD1878" s="53" t="n">
        <v>0</v>
      </c>
      <c r="AE1878" s="52" t="n">
        <v>0</v>
      </c>
      <c r="AF1878" s="51" t="n">
        <v>0</v>
      </c>
      <c r="AG1878" s="48" t="n">
        <v>0</v>
      </c>
      <c r="AH1878" s="49" t="n">
        <v>0</v>
      </c>
      <c r="AI1878" s="49" t="n">
        <v>0</v>
      </c>
      <c r="AJ1878" s="50" t="n">
        <v>0</v>
      </c>
      <c r="AK1878" s="51" t="n">
        <v>0</v>
      </c>
      <c r="AL1878" s="52" t="n">
        <v>0</v>
      </c>
      <c r="AM1878" s="52" t="n">
        <v>0</v>
      </c>
      <c r="AN1878" s="52" t="n">
        <v>0</v>
      </c>
      <c r="AO1878" s="53" t="n">
        <v>0</v>
      </c>
      <c r="AP1878" s="52" t="n">
        <v>0</v>
      </c>
      <c r="AQ1878" s="53" t="n">
        <v>0</v>
      </c>
      <c r="AR1878" s="52" t="n">
        <v>0</v>
      </c>
      <c r="AS1878" s="51" t="n">
        <v>0</v>
      </c>
      <c r="AT1878" s="48" t="n">
        <v>0</v>
      </c>
      <c r="AU1878" s="49" t="n">
        <v>0</v>
      </c>
      <c r="AV1878" s="49" t="n">
        <v>0</v>
      </c>
      <c r="AW1878" s="50" t="n">
        <v>0</v>
      </c>
      <c r="AX1878" s="51" t="n">
        <v>0</v>
      </c>
      <c r="AY1878" s="52" t="n">
        <v>0</v>
      </c>
      <c r="AZ1878" s="52" t="n">
        <v>0</v>
      </c>
      <c r="BA1878" s="52" t="n">
        <v>0</v>
      </c>
      <c r="BB1878" s="53" t="n">
        <v>0</v>
      </c>
      <c r="BC1878" s="52" t="n">
        <v>0</v>
      </c>
      <c r="BD1878" s="53" t="n">
        <v>0</v>
      </c>
      <c r="BE1878" s="52" t="n">
        <v>0</v>
      </c>
      <c r="BF1878" s="51" t="n">
        <v>0</v>
      </c>
    </row>
    <row r="1879">
      <c r="A1879">
        <f>HYPERLINK("https://www.walmart.com/ip/129746422", "129746422")</f>
        <v/>
      </c>
      <c r="B1879" t="inlineStr">
        <is>
          <t>Napa Women's Soft Warm Bathrobe, Microfiber Fleece Plush Hotel Spa Robe with Pockets, Robes for Women, Brown</t>
        </is>
      </c>
      <c r="C1879" t="inlineStr">
        <is>
          <t>R5000BROWN-01</t>
        </is>
      </c>
      <c r="D1879" t="inlineStr">
        <is>
          <t>Sleepwear Robes &amp; Bathrobes</t>
        </is>
      </c>
      <c r="E1879" t="inlineStr">
        <is>
          <t>NAPA</t>
        </is>
      </c>
      <c r="F1879" t="inlineStr">
        <is>
          <t>WFS,Bathrobe,Coupon_Discount,WFS Item</t>
        </is>
      </c>
      <c r="G1879" s="48" t="n">
        <v>0</v>
      </c>
      <c r="H1879" s="49" t="n">
        <v>0</v>
      </c>
      <c r="I1879" s="49" t="n">
        <v>0</v>
      </c>
      <c r="J1879" s="50" t="n">
        <v>0</v>
      </c>
      <c r="K1879" s="51" t="n">
        <v>0</v>
      </c>
      <c r="L1879" s="52" t="n">
        <v>0</v>
      </c>
      <c r="M1879" s="52" t="n">
        <v>0</v>
      </c>
      <c r="N1879" s="52" t="n">
        <v>0</v>
      </c>
      <c r="O1879" s="53" t="n">
        <v>0</v>
      </c>
      <c r="P1879" s="52" t="n">
        <v>0</v>
      </c>
      <c r="Q1879" s="53" t="n">
        <v>0</v>
      </c>
      <c r="R1879" s="52" t="n">
        <v>0</v>
      </c>
      <c r="S1879" s="51" t="n">
        <v>0</v>
      </c>
      <c r="T1879" s="48" t="n">
        <v>0</v>
      </c>
      <c r="U1879" s="49" t="n">
        <v>0</v>
      </c>
      <c r="V1879" s="49" t="n">
        <v>0</v>
      </c>
      <c r="W1879" s="50" t="n">
        <v>0</v>
      </c>
      <c r="X1879" s="51" t="n">
        <v>0</v>
      </c>
      <c r="Y1879" s="52" t="n">
        <v>0</v>
      </c>
      <c r="Z1879" s="52" t="n">
        <v>0</v>
      </c>
      <c r="AA1879" s="52" t="n">
        <v>0</v>
      </c>
      <c r="AB1879" s="53" t="n">
        <v>0</v>
      </c>
      <c r="AC1879" s="52" t="n">
        <v>0</v>
      </c>
      <c r="AD1879" s="53" t="n">
        <v>0</v>
      </c>
      <c r="AE1879" s="52" t="n">
        <v>0</v>
      </c>
      <c r="AF1879" s="51" t="n">
        <v>0</v>
      </c>
      <c r="AG1879" s="48" t="n">
        <v>0</v>
      </c>
      <c r="AH1879" s="49" t="n">
        <v>0</v>
      </c>
      <c r="AI1879" s="49" t="n">
        <v>0</v>
      </c>
      <c r="AJ1879" s="50" t="n">
        <v>0</v>
      </c>
      <c r="AK1879" s="51" t="n">
        <v>0</v>
      </c>
      <c r="AL1879" s="52" t="n">
        <v>0</v>
      </c>
      <c r="AM1879" s="52" t="n">
        <v>0</v>
      </c>
      <c r="AN1879" s="52" t="n">
        <v>0</v>
      </c>
      <c r="AO1879" s="53" t="n">
        <v>0</v>
      </c>
      <c r="AP1879" s="52" t="n">
        <v>0</v>
      </c>
      <c r="AQ1879" s="53" t="n">
        <v>0</v>
      </c>
      <c r="AR1879" s="52" t="n">
        <v>0</v>
      </c>
      <c r="AS1879" s="51" t="n">
        <v>0</v>
      </c>
      <c r="AT1879" s="48" t="n">
        <v>0</v>
      </c>
      <c r="AU1879" s="49" t="n">
        <v>0</v>
      </c>
      <c r="AV1879" s="49" t="n">
        <v>0</v>
      </c>
      <c r="AW1879" s="50" t="n">
        <v>0</v>
      </c>
      <c r="AX1879" s="51" t="n">
        <v>0</v>
      </c>
      <c r="AY1879" s="52" t="n">
        <v>0</v>
      </c>
      <c r="AZ1879" s="52" t="n">
        <v>0</v>
      </c>
      <c r="BA1879" s="52" t="n">
        <v>0</v>
      </c>
      <c r="BB1879" s="53" t="n">
        <v>0</v>
      </c>
      <c r="BC1879" s="52" t="n">
        <v>0</v>
      </c>
      <c r="BD1879" s="53" t="n">
        <v>0</v>
      </c>
      <c r="BE1879" s="52" t="n">
        <v>0</v>
      </c>
      <c r="BF1879" s="51" t="n">
        <v>0</v>
      </c>
    </row>
    <row r="1880">
      <c r="A1880">
        <f>HYPERLINK("https://www.walmart.com/ip/129942685", "129942685")</f>
        <v/>
      </c>
      <c r="B1880" t="inlineStr">
        <is>
          <t>JenniWears Women's Beileise Sexy Pantyhose Lace Stockings Black Sheer Socks - 6 Packs</t>
        </is>
      </c>
      <c r="C1880" t="inlineStr">
        <is>
          <t>JWBLSPH2091-6pcs</t>
        </is>
      </c>
      <c r="D1880" t="inlineStr">
        <is>
          <t>Pantyhose &amp; Tights</t>
        </is>
      </c>
      <c r="E1880" t="inlineStr">
        <is>
          <t>JenniWears</t>
        </is>
      </c>
      <c r="F1880" t="inlineStr">
        <is>
          <t>Optimized,Valentine</t>
        </is>
      </c>
      <c r="G1880" s="48" t="n">
        <v>0</v>
      </c>
      <c r="H1880" s="49" t="n">
        <v>0</v>
      </c>
      <c r="I1880" s="49" t="n">
        <v>0</v>
      </c>
      <c r="J1880" s="50" t="n">
        <v>0</v>
      </c>
      <c r="K1880" s="51" t="n">
        <v>0</v>
      </c>
      <c r="L1880" s="52" t="n">
        <v>0</v>
      </c>
      <c r="M1880" s="52" t="n">
        <v>0</v>
      </c>
      <c r="N1880" s="52" t="n">
        <v>0</v>
      </c>
      <c r="O1880" s="53" t="n">
        <v>0</v>
      </c>
      <c r="P1880" s="52" t="n">
        <v>0</v>
      </c>
      <c r="Q1880" s="53" t="n">
        <v>0</v>
      </c>
      <c r="R1880" s="52" t="n">
        <v>0</v>
      </c>
      <c r="S1880" s="51" t="n">
        <v>0</v>
      </c>
      <c r="T1880" s="48" t="n">
        <v>0</v>
      </c>
      <c r="U1880" s="49" t="n">
        <v>0</v>
      </c>
      <c r="V1880" s="49" t="n">
        <v>0</v>
      </c>
      <c r="W1880" s="50" t="n">
        <v>0</v>
      </c>
      <c r="X1880" s="51" t="n">
        <v>0</v>
      </c>
      <c r="Y1880" s="52" t="n">
        <v>0</v>
      </c>
      <c r="Z1880" s="52" t="n">
        <v>0</v>
      </c>
      <c r="AA1880" s="52" t="n">
        <v>0</v>
      </c>
      <c r="AB1880" s="53" t="n">
        <v>0</v>
      </c>
      <c r="AC1880" s="52" t="n">
        <v>0</v>
      </c>
      <c r="AD1880" s="53" t="n">
        <v>0</v>
      </c>
      <c r="AE1880" s="52" t="n">
        <v>0</v>
      </c>
      <c r="AF1880" s="51" t="n">
        <v>0</v>
      </c>
      <c r="AG1880" s="48" t="n">
        <v>0</v>
      </c>
      <c r="AH1880" s="49" t="n">
        <v>0</v>
      </c>
      <c r="AI1880" s="49" t="n">
        <v>0</v>
      </c>
      <c r="AJ1880" s="50" t="n">
        <v>0</v>
      </c>
      <c r="AK1880" s="51" t="n">
        <v>0</v>
      </c>
      <c r="AL1880" s="52" t="n">
        <v>0</v>
      </c>
      <c r="AM1880" s="52" t="n">
        <v>0</v>
      </c>
      <c r="AN1880" s="52" t="n">
        <v>0</v>
      </c>
      <c r="AO1880" s="53" t="n">
        <v>0</v>
      </c>
      <c r="AP1880" s="52" t="n">
        <v>0</v>
      </c>
      <c r="AQ1880" s="53" t="n">
        <v>0</v>
      </c>
      <c r="AR1880" s="52" t="n">
        <v>0</v>
      </c>
      <c r="AS1880" s="51" t="n">
        <v>0</v>
      </c>
      <c r="AT1880" s="48" t="n">
        <v>0</v>
      </c>
      <c r="AU1880" s="49" t="n">
        <v>0</v>
      </c>
      <c r="AV1880" s="49" t="n">
        <v>0</v>
      </c>
      <c r="AW1880" s="50" t="n">
        <v>0</v>
      </c>
      <c r="AX1880" s="51" t="n">
        <v>0</v>
      </c>
      <c r="AY1880" s="52" t="n">
        <v>0</v>
      </c>
      <c r="AZ1880" s="52" t="n">
        <v>0</v>
      </c>
      <c r="BA1880" s="52" t="n">
        <v>0</v>
      </c>
      <c r="BB1880" s="53" t="n">
        <v>0</v>
      </c>
      <c r="BC1880" s="52" t="n">
        <v>0</v>
      </c>
      <c r="BD1880" s="53" t="n">
        <v>0</v>
      </c>
      <c r="BE1880" s="52" t="n">
        <v>0</v>
      </c>
      <c r="BF1880" s="51" t="n">
        <v>0</v>
      </c>
    </row>
    <row r="1881">
      <c r="A1881">
        <f>HYPERLINK("https://www.walmart.com/ip/130297678", "130297678")</f>
        <v/>
      </c>
      <c r="B1881" t="inlineStr">
        <is>
          <t>Napa Super Soft Micro Fleece Sherpa Bed Throw TV Blanket 50" x 60" Reversible Brown</t>
        </is>
      </c>
      <c r="C1881" t="inlineStr">
        <is>
          <t>K8010BROWN</t>
        </is>
      </c>
      <c r="D1881" t="inlineStr">
        <is>
          <t>Throws</t>
        </is>
      </c>
      <c r="E1881" t="inlineStr">
        <is>
          <t>NAPA</t>
        </is>
      </c>
      <c r="F1881" t="inlineStr">
        <is>
          <t>Batch 1 - TR</t>
        </is>
      </c>
      <c r="G1881" s="48" t="n">
        <v>0</v>
      </c>
      <c r="H1881" s="49" t="n">
        <v>0</v>
      </c>
      <c r="I1881" s="49" t="n">
        <v>0</v>
      </c>
      <c r="J1881" s="50" t="n">
        <v>0</v>
      </c>
      <c r="K1881" s="51" t="n">
        <v>0</v>
      </c>
      <c r="L1881" s="52" t="n">
        <v>0</v>
      </c>
      <c r="M1881" s="52" t="n">
        <v>0</v>
      </c>
      <c r="N1881" s="52" t="n">
        <v>0</v>
      </c>
      <c r="O1881" s="53" t="n">
        <v>0</v>
      </c>
      <c r="P1881" s="52" t="n">
        <v>0</v>
      </c>
      <c r="Q1881" s="53" t="n">
        <v>0</v>
      </c>
      <c r="R1881" s="52" t="n">
        <v>0</v>
      </c>
      <c r="S1881" s="51" t="n">
        <v>0</v>
      </c>
      <c r="T1881" s="48" t="n">
        <v>0</v>
      </c>
      <c r="U1881" s="49" t="n">
        <v>0</v>
      </c>
      <c r="V1881" s="49" t="n">
        <v>0</v>
      </c>
      <c r="W1881" s="50" t="n">
        <v>0</v>
      </c>
      <c r="X1881" s="51" t="n">
        <v>0</v>
      </c>
      <c r="Y1881" s="52" t="n">
        <v>0</v>
      </c>
      <c r="Z1881" s="52" t="n">
        <v>0</v>
      </c>
      <c r="AA1881" s="52" t="n">
        <v>0</v>
      </c>
      <c r="AB1881" s="53" t="n">
        <v>0</v>
      </c>
      <c r="AC1881" s="52" t="n">
        <v>0</v>
      </c>
      <c r="AD1881" s="53" t="n">
        <v>0</v>
      </c>
      <c r="AE1881" s="52" t="n">
        <v>0</v>
      </c>
      <c r="AF1881" s="51" t="n">
        <v>0</v>
      </c>
      <c r="AG1881" s="48" t="n">
        <v>0</v>
      </c>
      <c r="AH1881" s="49" t="n">
        <v>0</v>
      </c>
      <c r="AI1881" s="49" t="n">
        <v>0</v>
      </c>
      <c r="AJ1881" s="50" t="n">
        <v>0</v>
      </c>
      <c r="AK1881" s="51" t="n">
        <v>0</v>
      </c>
      <c r="AL1881" s="52" t="n">
        <v>0</v>
      </c>
      <c r="AM1881" s="52" t="n">
        <v>0</v>
      </c>
      <c r="AN1881" s="52" t="n">
        <v>0</v>
      </c>
      <c r="AO1881" s="53" t="n">
        <v>0</v>
      </c>
      <c r="AP1881" s="52" t="n">
        <v>0</v>
      </c>
      <c r="AQ1881" s="53" t="n">
        <v>0</v>
      </c>
      <c r="AR1881" s="52" t="n">
        <v>0</v>
      </c>
      <c r="AS1881" s="51" t="n">
        <v>0</v>
      </c>
      <c r="AT1881" s="48" t="n">
        <v>0</v>
      </c>
      <c r="AU1881" s="49" t="n">
        <v>0</v>
      </c>
      <c r="AV1881" s="49" t="n">
        <v>0</v>
      </c>
      <c r="AW1881" s="50" t="n">
        <v>0</v>
      </c>
      <c r="AX1881" s="51" t="n">
        <v>0</v>
      </c>
      <c r="AY1881" s="52" t="n">
        <v>0</v>
      </c>
      <c r="AZ1881" s="52" t="n">
        <v>0</v>
      </c>
      <c r="BA1881" s="52" t="n">
        <v>0</v>
      </c>
      <c r="BB1881" s="53" t="n">
        <v>0</v>
      </c>
      <c r="BC1881" s="52" t="n">
        <v>0</v>
      </c>
      <c r="BD1881" s="53" t="n">
        <v>0</v>
      </c>
      <c r="BE1881" s="52" t="n">
        <v>0</v>
      </c>
      <c r="BF1881" s="51" t="n">
        <v>0</v>
      </c>
    </row>
    <row r="1882">
      <c r="A1882">
        <f>HYPERLINK("https://www.walmart.com/ip/13047168469", "13047168469")</f>
        <v/>
      </c>
      <c r="B1882" t="inlineStr">
        <is>
          <t>Tirrinia Neon Hunting Orange Safety Cap Closure</t>
        </is>
      </c>
      <c r="C1882" t="inlineStr">
        <is>
          <t>1TRHT8120GYOR</t>
        </is>
      </c>
      <c r="D1882" t="inlineStr">
        <is>
          <t>Hats</t>
        </is>
      </c>
      <c r="E1882" t="inlineStr">
        <is>
          <t>Tirrinia</t>
        </is>
      </c>
      <c r="G1882" s="48" t="n">
        <v>0</v>
      </c>
      <c r="H1882" s="49" t="n">
        <v>0</v>
      </c>
      <c r="I1882" s="49" t="n">
        <v>0</v>
      </c>
      <c r="J1882" s="50" t="n">
        <v>0</v>
      </c>
      <c r="K1882" s="51" t="n">
        <v>0</v>
      </c>
      <c r="L1882" s="52" t="n">
        <v>0</v>
      </c>
      <c r="M1882" s="52" t="n">
        <v>0</v>
      </c>
      <c r="N1882" s="52" t="n">
        <v>0</v>
      </c>
      <c r="O1882" s="53" t="n">
        <v>0</v>
      </c>
      <c r="P1882" s="52" t="n">
        <v>0</v>
      </c>
      <c r="Q1882" s="53" t="n">
        <v>0</v>
      </c>
      <c r="R1882" s="52" t="n">
        <v>0</v>
      </c>
      <c r="S1882" s="51" t="n">
        <v>0</v>
      </c>
      <c r="T1882" s="48" t="n">
        <v>0</v>
      </c>
      <c r="U1882" s="49" t="n">
        <v>0</v>
      </c>
      <c r="V1882" s="49" t="n">
        <v>0</v>
      </c>
      <c r="W1882" s="50" t="n">
        <v>0</v>
      </c>
      <c r="X1882" s="51" t="n">
        <v>0</v>
      </c>
      <c r="Y1882" s="52" t="n">
        <v>0</v>
      </c>
      <c r="Z1882" s="52" t="n">
        <v>0</v>
      </c>
      <c r="AA1882" s="52" t="n">
        <v>0</v>
      </c>
      <c r="AB1882" s="53" t="n">
        <v>0</v>
      </c>
      <c r="AC1882" s="52" t="n">
        <v>0</v>
      </c>
      <c r="AD1882" s="53" t="n">
        <v>0</v>
      </c>
      <c r="AE1882" s="52" t="n">
        <v>0</v>
      </c>
      <c r="AF1882" s="51" t="n">
        <v>0</v>
      </c>
      <c r="AG1882" s="48" t="n">
        <v>0</v>
      </c>
      <c r="AH1882" s="49" t="n">
        <v>0</v>
      </c>
      <c r="AI1882" s="49" t="n">
        <v>0</v>
      </c>
      <c r="AJ1882" s="50" t="n">
        <v>0</v>
      </c>
      <c r="AK1882" s="51" t="n">
        <v>0</v>
      </c>
      <c r="AL1882" s="52" t="n">
        <v>0</v>
      </c>
      <c r="AM1882" s="52" t="n">
        <v>0</v>
      </c>
      <c r="AN1882" s="52" t="n">
        <v>0</v>
      </c>
      <c r="AO1882" s="53" t="n">
        <v>0</v>
      </c>
      <c r="AP1882" s="52" t="n">
        <v>0</v>
      </c>
      <c r="AQ1882" s="53" t="n">
        <v>0</v>
      </c>
      <c r="AR1882" s="52" t="n">
        <v>0</v>
      </c>
      <c r="AS1882" s="51" t="n">
        <v>0</v>
      </c>
      <c r="AT1882" s="48" t="n">
        <v>0</v>
      </c>
      <c r="AU1882" s="49" t="n">
        <v>0</v>
      </c>
      <c r="AV1882" s="49" t="n">
        <v>0</v>
      </c>
      <c r="AW1882" s="50" t="n">
        <v>0</v>
      </c>
      <c r="AX1882" s="51" t="n">
        <v>0</v>
      </c>
      <c r="AY1882" s="52" t="n">
        <v>0</v>
      </c>
      <c r="AZ1882" s="52" t="n">
        <v>0</v>
      </c>
      <c r="BA1882" s="52" t="n">
        <v>0</v>
      </c>
      <c r="BB1882" s="53" t="n">
        <v>0</v>
      </c>
      <c r="BC1882" s="52" t="n">
        <v>0</v>
      </c>
      <c r="BD1882" s="53" t="n">
        <v>0</v>
      </c>
      <c r="BE1882" s="52" t="n">
        <v>0</v>
      </c>
      <c r="BF1882" s="51" t="n">
        <v>0</v>
      </c>
    </row>
    <row r="1883">
      <c r="A1883">
        <f>HYPERLINK("https://www.walmart.com/ip/130543605", "130543605")</f>
        <v/>
      </c>
      <c r="B1883" t="inlineStr">
        <is>
          <t>Catalonia Waterproof Blanket, Reversible Furniture Protector Cover Blanket, Super Cozy Fleece Sherpa Throw for Outdoor, Multi-Colors, 80”x60”</t>
        </is>
      </c>
      <c r="C1883" t="inlineStr">
        <is>
          <t>1CTBW681GYTP</t>
        </is>
      </c>
      <c r="D1883" t="inlineStr">
        <is>
          <t>Throws</t>
        </is>
      </c>
      <c r="E1883" t="inlineStr">
        <is>
          <t>Catalonia</t>
        </is>
      </c>
      <c r="F1883" t="inlineStr">
        <is>
          <t>Q2-Target,Wproof Blanket,Batch 1 - TR</t>
        </is>
      </c>
      <c r="G1883" s="48" t="n">
        <v>0</v>
      </c>
      <c r="H1883" s="49" t="n">
        <v>0</v>
      </c>
      <c r="I1883" s="49" t="n">
        <v>0</v>
      </c>
      <c r="J1883" s="50" t="n">
        <v>0</v>
      </c>
      <c r="K1883" s="51" t="n">
        <v>0</v>
      </c>
      <c r="L1883" s="52" t="n">
        <v>0</v>
      </c>
      <c r="M1883" s="52" t="n">
        <v>0</v>
      </c>
      <c r="N1883" s="52" t="n">
        <v>0</v>
      </c>
      <c r="O1883" s="53" t="n">
        <v>0</v>
      </c>
      <c r="P1883" s="52" t="n">
        <v>0</v>
      </c>
      <c r="Q1883" s="53" t="n">
        <v>0</v>
      </c>
      <c r="R1883" s="52" t="n">
        <v>0</v>
      </c>
      <c r="S1883" s="51" t="n">
        <v>2320</v>
      </c>
      <c r="T1883" s="48" t="n">
        <v>0</v>
      </c>
      <c r="U1883" s="49" t="n">
        <v>0</v>
      </c>
      <c r="V1883" s="49" t="n">
        <v>0</v>
      </c>
      <c r="W1883" s="50" t="n">
        <v>0</v>
      </c>
      <c r="X1883" s="51" t="n">
        <v>2</v>
      </c>
      <c r="Y1883" s="52" t="n">
        <v>0.63</v>
      </c>
      <c r="Z1883" s="52" t="n">
        <v>0</v>
      </c>
      <c r="AA1883" s="52" t="n">
        <v>0</v>
      </c>
      <c r="AB1883" s="53" t="n">
        <v>0.0007</v>
      </c>
      <c r="AC1883" s="52" t="n">
        <v>0.315</v>
      </c>
      <c r="AD1883" s="53" t="n">
        <v>0</v>
      </c>
      <c r="AE1883" s="52" t="n">
        <v>0</v>
      </c>
      <c r="AF1883" s="51" t="n">
        <v>2813</v>
      </c>
      <c r="AG1883" s="48" t="n">
        <v>0</v>
      </c>
      <c r="AH1883" s="49" t="n">
        <v>0</v>
      </c>
      <c r="AI1883" s="49" t="n">
        <v>0</v>
      </c>
      <c r="AJ1883" s="50" t="n">
        <v>0</v>
      </c>
      <c r="AK1883" s="51" t="n">
        <v>1</v>
      </c>
      <c r="AL1883" s="52" t="n">
        <v>0.45</v>
      </c>
      <c r="AM1883" s="52" t="n">
        <v>0</v>
      </c>
      <c r="AN1883" s="52" t="n">
        <v>0</v>
      </c>
      <c r="AO1883" s="53" t="n">
        <v>0.0004</v>
      </c>
      <c r="AP1883" s="52" t="n">
        <v>0.45</v>
      </c>
      <c r="AQ1883" s="53" t="n">
        <v>0</v>
      </c>
      <c r="AR1883" s="52" t="n">
        <v>0</v>
      </c>
      <c r="AS1883" s="51" t="n">
        <v>2580</v>
      </c>
      <c r="AT1883" s="48" t="n">
        <v>0</v>
      </c>
      <c r="AU1883" s="49" t="n">
        <v>0</v>
      </c>
      <c r="AV1883" s="49" t="n">
        <v>0</v>
      </c>
      <c r="AW1883" s="50" t="n">
        <v>0</v>
      </c>
      <c r="AX1883" s="51" t="n">
        <v>2</v>
      </c>
      <c r="AY1883" s="52" t="n">
        <v>0.86</v>
      </c>
      <c r="AZ1883" s="52" t="n">
        <v>0</v>
      </c>
      <c r="BA1883" s="52" t="n">
        <v>0</v>
      </c>
      <c r="BB1883" s="53" t="n">
        <v>0.0005999999999999999</v>
      </c>
      <c r="BC1883" s="52" t="n">
        <v>0.43</v>
      </c>
      <c r="BD1883" s="53" t="n">
        <v>0</v>
      </c>
      <c r="BE1883" s="52" t="n">
        <v>0</v>
      </c>
      <c r="BF1883" s="51" t="n">
        <v>3135</v>
      </c>
    </row>
    <row r="1884">
      <c r="A1884">
        <f>HYPERLINK("https://www.walmart.com/ip/13062905285", "13062905285")</f>
        <v/>
      </c>
      <c r="B1884" t="inlineStr">
        <is>
          <t>Tirrinia Neon Hunting Orange Safety Cap Closure</t>
        </is>
      </c>
      <c r="C1884" t="inlineStr">
        <is>
          <t>1TRHT8120ORBK</t>
        </is>
      </c>
      <c r="D1884" t="inlineStr">
        <is>
          <t>Hats</t>
        </is>
      </c>
      <c r="E1884" t="inlineStr">
        <is>
          <t>Tirrinia</t>
        </is>
      </c>
      <c r="G1884" s="48" t="n">
        <v>0</v>
      </c>
      <c r="H1884" s="49" t="n">
        <v>0</v>
      </c>
      <c r="I1884" s="49" t="n">
        <v>0</v>
      </c>
      <c r="J1884" s="50" t="n">
        <v>0</v>
      </c>
      <c r="K1884" s="51" t="n">
        <v>0</v>
      </c>
      <c r="L1884" s="52" t="n">
        <v>0</v>
      </c>
      <c r="M1884" s="52" t="n">
        <v>0</v>
      </c>
      <c r="N1884" s="52" t="n">
        <v>0</v>
      </c>
      <c r="O1884" s="53" t="n">
        <v>0</v>
      </c>
      <c r="P1884" s="52" t="n">
        <v>0</v>
      </c>
      <c r="Q1884" s="53" t="n">
        <v>0</v>
      </c>
      <c r="R1884" s="52" t="n">
        <v>0</v>
      </c>
      <c r="S1884" s="51" t="n">
        <v>0</v>
      </c>
      <c r="T1884" s="48" t="n">
        <v>0</v>
      </c>
      <c r="U1884" s="49" t="n">
        <v>0</v>
      </c>
      <c r="V1884" s="49" t="n">
        <v>0</v>
      </c>
      <c r="W1884" s="50" t="n">
        <v>0</v>
      </c>
      <c r="X1884" s="51" t="n">
        <v>0</v>
      </c>
      <c r="Y1884" s="52" t="n">
        <v>0</v>
      </c>
      <c r="Z1884" s="52" t="n">
        <v>0</v>
      </c>
      <c r="AA1884" s="52" t="n">
        <v>0</v>
      </c>
      <c r="AB1884" s="53" t="n">
        <v>0</v>
      </c>
      <c r="AC1884" s="52" t="n">
        <v>0</v>
      </c>
      <c r="AD1884" s="53" t="n">
        <v>0</v>
      </c>
      <c r="AE1884" s="52" t="n">
        <v>0</v>
      </c>
      <c r="AF1884" s="51" t="n">
        <v>0</v>
      </c>
      <c r="AG1884" s="48" t="n">
        <v>0</v>
      </c>
      <c r="AH1884" s="49" t="n">
        <v>0</v>
      </c>
      <c r="AI1884" s="49" t="n">
        <v>0</v>
      </c>
      <c r="AJ1884" s="50" t="n">
        <v>0</v>
      </c>
      <c r="AK1884" s="51" t="n">
        <v>0</v>
      </c>
      <c r="AL1884" s="52" t="n">
        <v>0</v>
      </c>
      <c r="AM1884" s="52" t="n">
        <v>0</v>
      </c>
      <c r="AN1884" s="52" t="n">
        <v>0</v>
      </c>
      <c r="AO1884" s="53" t="n">
        <v>0</v>
      </c>
      <c r="AP1884" s="52" t="n">
        <v>0</v>
      </c>
      <c r="AQ1884" s="53" t="n">
        <v>0</v>
      </c>
      <c r="AR1884" s="52" t="n">
        <v>0</v>
      </c>
      <c r="AS1884" s="51" t="n">
        <v>0</v>
      </c>
      <c r="AT1884" s="48" t="n">
        <v>0</v>
      </c>
      <c r="AU1884" s="49" t="n">
        <v>0</v>
      </c>
      <c r="AV1884" s="49" t="n">
        <v>0</v>
      </c>
      <c r="AW1884" s="50" t="n">
        <v>0</v>
      </c>
      <c r="AX1884" s="51" t="n">
        <v>0</v>
      </c>
      <c r="AY1884" s="52" t="n">
        <v>0</v>
      </c>
      <c r="AZ1884" s="52" t="n">
        <v>0</v>
      </c>
      <c r="BA1884" s="52" t="n">
        <v>0</v>
      </c>
      <c r="BB1884" s="53" t="n">
        <v>0</v>
      </c>
      <c r="BC1884" s="52" t="n">
        <v>0</v>
      </c>
      <c r="BD1884" s="53" t="n">
        <v>0</v>
      </c>
      <c r="BE1884" s="52" t="n">
        <v>0</v>
      </c>
      <c r="BF1884" s="51" t="n">
        <v>0</v>
      </c>
    </row>
    <row r="1885">
      <c r="A1885">
        <f>HYPERLINK("https://www.walmart.com/ip/1310986711", "1310986711")</f>
        <v/>
      </c>
      <c r="B1885" t="inlineStr">
        <is>
          <t>Tirrinia Embroidery Hunting Fishing Cap Adjustable Unisex Baseball Hat with Breathable Mesh Back</t>
        </is>
      </c>
      <c r="C1885" t="inlineStr">
        <is>
          <t>1TRHTS7160-TBCB</t>
        </is>
      </c>
      <c r="D1885" t="inlineStr">
        <is>
          <t>Hats</t>
        </is>
      </c>
      <c r="E1885" t="inlineStr">
        <is>
          <t>Tirrinia</t>
        </is>
      </c>
      <c r="F1885" t="inlineStr">
        <is>
          <t>Batch 1 - TR</t>
        </is>
      </c>
      <c r="G1885" s="48" t="n">
        <v>0</v>
      </c>
      <c r="H1885" s="49" t="n">
        <v>0</v>
      </c>
      <c r="I1885" s="49" t="n">
        <v>0</v>
      </c>
      <c r="J1885" s="50" t="n">
        <v>0</v>
      </c>
      <c r="K1885" s="51" t="n">
        <v>0</v>
      </c>
      <c r="L1885" s="52" t="n">
        <v>0</v>
      </c>
      <c r="M1885" s="52" t="n">
        <v>0</v>
      </c>
      <c r="N1885" s="52" t="n">
        <v>0</v>
      </c>
      <c r="O1885" s="53" t="n">
        <v>0</v>
      </c>
      <c r="P1885" s="52" t="n">
        <v>0</v>
      </c>
      <c r="Q1885" s="53" t="n">
        <v>0</v>
      </c>
      <c r="R1885" s="52" t="n">
        <v>0</v>
      </c>
      <c r="S1885" s="51" t="n">
        <v>0</v>
      </c>
      <c r="T1885" s="48" t="n">
        <v>0</v>
      </c>
      <c r="U1885" s="49" t="n">
        <v>0</v>
      </c>
      <c r="V1885" s="49" t="n">
        <v>0</v>
      </c>
      <c r="W1885" s="50" t="n">
        <v>0</v>
      </c>
      <c r="X1885" s="51" t="n">
        <v>0</v>
      </c>
      <c r="Y1885" s="52" t="n">
        <v>0</v>
      </c>
      <c r="Z1885" s="52" t="n">
        <v>0</v>
      </c>
      <c r="AA1885" s="52" t="n">
        <v>0</v>
      </c>
      <c r="AB1885" s="53" t="n">
        <v>0</v>
      </c>
      <c r="AC1885" s="52" t="n">
        <v>0</v>
      </c>
      <c r="AD1885" s="53" t="n">
        <v>0</v>
      </c>
      <c r="AE1885" s="52" t="n">
        <v>0</v>
      </c>
      <c r="AF1885" s="51" t="n">
        <v>0</v>
      </c>
      <c r="AG1885" s="48" t="n">
        <v>0</v>
      </c>
      <c r="AH1885" s="49" t="n">
        <v>0</v>
      </c>
      <c r="AI1885" s="49" t="n">
        <v>0</v>
      </c>
      <c r="AJ1885" s="50" t="n">
        <v>0</v>
      </c>
      <c r="AK1885" s="51" t="n">
        <v>0</v>
      </c>
      <c r="AL1885" s="52" t="n">
        <v>0</v>
      </c>
      <c r="AM1885" s="52" t="n">
        <v>0</v>
      </c>
      <c r="AN1885" s="52" t="n">
        <v>0</v>
      </c>
      <c r="AO1885" s="53" t="n">
        <v>0</v>
      </c>
      <c r="AP1885" s="52" t="n">
        <v>0</v>
      </c>
      <c r="AQ1885" s="53" t="n">
        <v>0</v>
      </c>
      <c r="AR1885" s="52" t="n">
        <v>0</v>
      </c>
      <c r="AS1885" s="51" t="n">
        <v>0</v>
      </c>
      <c r="AT1885" s="48" t="n">
        <v>0</v>
      </c>
      <c r="AU1885" s="49" t="n">
        <v>0</v>
      </c>
      <c r="AV1885" s="49" t="n">
        <v>0</v>
      </c>
      <c r="AW1885" s="50" t="n">
        <v>0</v>
      </c>
      <c r="AX1885" s="51" t="n">
        <v>0</v>
      </c>
      <c r="AY1885" s="52" t="n">
        <v>0</v>
      </c>
      <c r="AZ1885" s="52" t="n">
        <v>0</v>
      </c>
      <c r="BA1885" s="52" t="n">
        <v>0</v>
      </c>
      <c r="BB1885" s="53" t="n">
        <v>0</v>
      </c>
      <c r="BC1885" s="52" t="n">
        <v>0</v>
      </c>
      <c r="BD1885" s="53" t="n">
        <v>0</v>
      </c>
      <c r="BE1885" s="52" t="n">
        <v>0</v>
      </c>
      <c r="BF1885" s="51" t="n">
        <v>0</v>
      </c>
    </row>
    <row r="1886">
      <c r="A1886">
        <f>HYPERLINK("https://www.walmart.com/ip/13114116358", "13114116358")</f>
        <v/>
      </c>
      <c r="B1886" t="inlineStr">
        <is>
          <t>Wrangler Slim Genuine Leather AirTag Wallet for Men Adult - Bifold RFID Blocking Design with Hidden AirTag Holder</t>
        </is>
      </c>
      <c r="C1886" t="inlineStr">
        <is>
          <t>WR-WA13704BLKNS</t>
        </is>
      </c>
      <c r="D1886" t="inlineStr">
        <is>
          <t>Wallets</t>
        </is>
      </c>
      <c r="E1886" t="inlineStr">
        <is>
          <t>Wrangler</t>
        </is>
      </c>
      <c r="G1886" s="48" t="n">
        <v>0</v>
      </c>
      <c r="H1886" s="49" t="n">
        <v>0</v>
      </c>
      <c r="I1886" s="49" t="n">
        <v>0</v>
      </c>
      <c r="J1886" s="50" t="n">
        <v>0</v>
      </c>
      <c r="K1886" s="51" t="n">
        <v>0</v>
      </c>
      <c r="L1886" s="52" t="n">
        <v>0</v>
      </c>
      <c r="M1886" s="52" t="n">
        <v>0</v>
      </c>
      <c r="N1886" s="52" t="n">
        <v>0</v>
      </c>
      <c r="O1886" s="53" t="n">
        <v>0</v>
      </c>
      <c r="P1886" s="52" t="n">
        <v>0</v>
      </c>
      <c r="Q1886" s="53" t="n">
        <v>0</v>
      </c>
      <c r="R1886" s="52" t="n">
        <v>0</v>
      </c>
      <c r="S1886" s="51" t="n">
        <v>0</v>
      </c>
      <c r="T1886" s="48" t="n">
        <v>0</v>
      </c>
      <c r="U1886" s="49" t="n">
        <v>0</v>
      </c>
      <c r="V1886" s="49" t="n">
        <v>0</v>
      </c>
      <c r="W1886" s="50" t="n">
        <v>0</v>
      </c>
      <c r="X1886" s="51" t="n">
        <v>0</v>
      </c>
      <c r="Y1886" s="52" t="n">
        <v>0</v>
      </c>
      <c r="Z1886" s="52" t="n">
        <v>0</v>
      </c>
      <c r="AA1886" s="52" t="n">
        <v>0</v>
      </c>
      <c r="AB1886" s="53" t="n">
        <v>0</v>
      </c>
      <c r="AC1886" s="52" t="n">
        <v>0</v>
      </c>
      <c r="AD1886" s="53" t="n">
        <v>0</v>
      </c>
      <c r="AE1886" s="52" t="n">
        <v>0</v>
      </c>
      <c r="AF1886" s="51" t="n">
        <v>0</v>
      </c>
      <c r="AG1886" s="48" t="n">
        <v>0</v>
      </c>
      <c r="AH1886" s="49" t="n">
        <v>0</v>
      </c>
      <c r="AI1886" s="49" t="n">
        <v>0</v>
      </c>
      <c r="AJ1886" s="50" t="n">
        <v>0</v>
      </c>
      <c r="AK1886" s="51" t="n">
        <v>0</v>
      </c>
      <c r="AL1886" s="52" t="n">
        <v>0</v>
      </c>
      <c r="AM1886" s="52" t="n">
        <v>0</v>
      </c>
      <c r="AN1886" s="52" t="n">
        <v>0</v>
      </c>
      <c r="AO1886" s="53" t="n">
        <v>0</v>
      </c>
      <c r="AP1886" s="52" t="n">
        <v>0</v>
      </c>
      <c r="AQ1886" s="53" t="n">
        <v>0</v>
      </c>
      <c r="AR1886" s="52" t="n">
        <v>0</v>
      </c>
      <c r="AS1886" s="51" t="n">
        <v>0</v>
      </c>
      <c r="AT1886" s="48" t="n">
        <v>0</v>
      </c>
      <c r="AU1886" s="49" t="n">
        <v>0</v>
      </c>
      <c r="AV1886" s="49" t="n">
        <v>0</v>
      </c>
      <c r="AW1886" s="50" t="n">
        <v>0</v>
      </c>
      <c r="AX1886" s="51" t="n">
        <v>0</v>
      </c>
      <c r="AY1886" s="52" t="n">
        <v>0</v>
      </c>
      <c r="AZ1886" s="52" t="n">
        <v>0</v>
      </c>
      <c r="BA1886" s="52" t="n">
        <v>0</v>
      </c>
      <c r="BB1886" s="53" t="n">
        <v>0</v>
      </c>
      <c r="BC1886" s="52" t="n">
        <v>0</v>
      </c>
      <c r="BD1886" s="53" t="n">
        <v>0</v>
      </c>
      <c r="BE1886" s="52" t="n">
        <v>0</v>
      </c>
      <c r="BF1886" s="51" t="n">
        <v>0</v>
      </c>
    </row>
    <row r="1887">
      <c r="A1887">
        <f>HYPERLINK("https://www.walmart.com/ip/131154871", "131154871")</f>
        <v/>
      </c>
      <c r="B1887" t="inlineStr">
        <is>
          <t>JenniWears Women Beileise Sexy Top Thigh High Stockings+ Garter Belt Suspender - 6 Packs</t>
        </is>
      </c>
      <c r="C1887" t="inlineStr">
        <is>
          <t>JWBLSPH2011-6pcs</t>
        </is>
      </c>
      <c r="D1887" t="inlineStr">
        <is>
          <t>Garter Belts</t>
        </is>
      </c>
      <c r="E1887" t="inlineStr">
        <is>
          <t>JenniWears</t>
        </is>
      </c>
      <c r="F1887" t="inlineStr">
        <is>
          <t>Optimized,Valentine</t>
        </is>
      </c>
      <c r="G1887" s="48" t="n">
        <v>0</v>
      </c>
      <c r="H1887" s="49" t="n">
        <v>0</v>
      </c>
      <c r="I1887" s="49" t="n">
        <v>0</v>
      </c>
      <c r="J1887" s="50" t="n">
        <v>0</v>
      </c>
      <c r="K1887" s="51" t="n">
        <v>0</v>
      </c>
      <c r="L1887" s="52" t="n">
        <v>0</v>
      </c>
      <c r="M1887" s="52" t="n">
        <v>0</v>
      </c>
      <c r="N1887" s="52" t="n">
        <v>0</v>
      </c>
      <c r="O1887" s="53" t="n">
        <v>0</v>
      </c>
      <c r="P1887" s="52" t="n">
        <v>0</v>
      </c>
      <c r="Q1887" s="53" t="n">
        <v>0</v>
      </c>
      <c r="R1887" s="52" t="n">
        <v>0</v>
      </c>
      <c r="S1887" s="51" t="n">
        <v>0</v>
      </c>
      <c r="T1887" s="48" t="n">
        <v>0</v>
      </c>
      <c r="U1887" s="49" t="n">
        <v>0</v>
      </c>
      <c r="V1887" s="49" t="n">
        <v>0</v>
      </c>
      <c r="W1887" s="50" t="n">
        <v>0</v>
      </c>
      <c r="X1887" s="51" t="n">
        <v>0</v>
      </c>
      <c r="Y1887" s="52" t="n">
        <v>0</v>
      </c>
      <c r="Z1887" s="52" t="n">
        <v>0</v>
      </c>
      <c r="AA1887" s="52" t="n">
        <v>0</v>
      </c>
      <c r="AB1887" s="53" t="n">
        <v>0</v>
      </c>
      <c r="AC1887" s="52" t="n">
        <v>0</v>
      </c>
      <c r="AD1887" s="53" t="n">
        <v>0</v>
      </c>
      <c r="AE1887" s="52" t="n">
        <v>0</v>
      </c>
      <c r="AF1887" s="51" t="n">
        <v>0</v>
      </c>
      <c r="AG1887" s="48" t="n">
        <v>0</v>
      </c>
      <c r="AH1887" s="49" t="n">
        <v>0</v>
      </c>
      <c r="AI1887" s="49" t="n">
        <v>0</v>
      </c>
      <c r="AJ1887" s="50" t="n">
        <v>0</v>
      </c>
      <c r="AK1887" s="51" t="n">
        <v>0</v>
      </c>
      <c r="AL1887" s="52" t="n">
        <v>0</v>
      </c>
      <c r="AM1887" s="52" t="n">
        <v>0</v>
      </c>
      <c r="AN1887" s="52" t="n">
        <v>0</v>
      </c>
      <c r="AO1887" s="53" t="n">
        <v>0</v>
      </c>
      <c r="AP1887" s="52" t="n">
        <v>0</v>
      </c>
      <c r="AQ1887" s="53" t="n">
        <v>0</v>
      </c>
      <c r="AR1887" s="52" t="n">
        <v>0</v>
      </c>
      <c r="AS1887" s="51" t="n">
        <v>0</v>
      </c>
      <c r="AT1887" s="48" t="n">
        <v>0</v>
      </c>
      <c r="AU1887" s="49" t="n">
        <v>0</v>
      </c>
      <c r="AV1887" s="49" t="n">
        <v>0</v>
      </c>
      <c r="AW1887" s="50" t="n">
        <v>0</v>
      </c>
      <c r="AX1887" s="51" t="n">
        <v>0</v>
      </c>
      <c r="AY1887" s="52" t="n">
        <v>0</v>
      </c>
      <c r="AZ1887" s="52" t="n">
        <v>0</v>
      </c>
      <c r="BA1887" s="52" t="n">
        <v>0</v>
      </c>
      <c r="BB1887" s="53" t="n">
        <v>0</v>
      </c>
      <c r="BC1887" s="52" t="n">
        <v>0</v>
      </c>
      <c r="BD1887" s="53" t="n">
        <v>0</v>
      </c>
      <c r="BE1887" s="52" t="n">
        <v>0</v>
      </c>
      <c r="BF1887" s="51" t="n">
        <v>0</v>
      </c>
    </row>
    <row r="1888">
      <c r="A1888">
        <f>HYPERLINK("https://www.walmart.com/ip/13120069162", "13120069162")</f>
        <v/>
      </c>
      <c r="B1888" t="inlineStr">
        <is>
          <t>Wrangler Slim Genuine Leather AirTag Wallet for Men - Bifold RFID Blocking Design with Hidden AirTag Holder</t>
        </is>
      </c>
      <c r="C1888" t="inlineStr">
        <is>
          <t>WR-WA49101DKBOS</t>
        </is>
      </c>
      <c r="D1888" t="inlineStr">
        <is>
          <t>Wallets</t>
        </is>
      </c>
      <c r="E1888" t="inlineStr">
        <is>
          <t>Wrangler</t>
        </is>
      </c>
      <c r="G1888" s="48" t="n">
        <v>0</v>
      </c>
      <c r="H1888" s="49" t="n">
        <v>0</v>
      </c>
      <c r="I1888" s="49" t="n">
        <v>0</v>
      </c>
      <c r="J1888" s="50" t="n">
        <v>0</v>
      </c>
      <c r="K1888" s="51" t="n">
        <v>0</v>
      </c>
      <c r="L1888" s="52" t="n">
        <v>0</v>
      </c>
      <c r="M1888" s="52" t="n">
        <v>0</v>
      </c>
      <c r="N1888" s="52" t="n">
        <v>0</v>
      </c>
      <c r="O1888" s="53" t="n">
        <v>0</v>
      </c>
      <c r="P1888" s="52" t="n">
        <v>0</v>
      </c>
      <c r="Q1888" s="53" t="n">
        <v>0</v>
      </c>
      <c r="R1888" s="52" t="n">
        <v>0</v>
      </c>
      <c r="S1888" s="51" t="n">
        <v>0</v>
      </c>
      <c r="T1888" s="48" t="n">
        <v>0</v>
      </c>
      <c r="U1888" s="49" t="n">
        <v>0</v>
      </c>
      <c r="V1888" s="49" t="n">
        <v>0</v>
      </c>
      <c r="W1888" s="50" t="n">
        <v>0</v>
      </c>
      <c r="X1888" s="51" t="n">
        <v>0</v>
      </c>
      <c r="Y1888" s="52" t="n">
        <v>0</v>
      </c>
      <c r="Z1888" s="52" t="n">
        <v>0</v>
      </c>
      <c r="AA1888" s="52" t="n">
        <v>0</v>
      </c>
      <c r="AB1888" s="53" t="n">
        <v>0</v>
      </c>
      <c r="AC1888" s="52" t="n">
        <v>0</v>
      </c>
      <c r="AD1888" s="53" t="n">
        <v>0</v>
      </c>
      <c r="AE1888" s="52" t="n">
        <v>0</v>
      </c>
      <c r="AF1888" s="51" t="n">
        <v>0</v>
      </c>
      <c r="AG1888" s="48" t="n">
        <v>0</v>
      </c>
      <c r="AH1888" s="49" t="n">
        <v>0</v>
      </c>
      <c r="AI1888" s="49" t="n">
        <v>0</v>
      </c>
      <c r="AJ1888" s="50" t="n">
        <v>0</v>
      </c>
      <c r="AK1888" s="51" t="n">
        <v>0</v>
      </c>
      <c r="AL1888" s="52" t="n">
        <v>0</v>
      </c>
      <c r="AM1888" s="52" t="n">
        <v>0</v>
      </c>
      <c r="AN1888" s="52" t="n">
        <v>0</v>
      </c>
      <c r="AO1888" s="53" t="n">
        <v>0</v>
      </c>
      <c r="AP1888" s="52" t="n">
        <v>0</v>
      </c>
      <c r="AQ1888" s="53" t="n">
        <v>0</v>
      </c>
      <c r="AR1888" s="52" t="n">
        <v>0</v>
      </c>
      <c r="AS1888" s="51" t="n">
        <v>0</v>
      </c>
      <c r="AT1888" s="48" t="n">
        <v>0</v>
      </c>
      <c r="AU1888" s="49" t="n">
        <v>0</v>
      </c>
      <c r="AV1888" s="49" t="n">
        <v>0</v>
      </c>
      <c r="AW1888" s="50" t="n">
        <v>0</v>
      </c>
      <c r="AX1888" s="51" t="n">
        <v>0</v>
      </c>
      <c r="AY1888" s="52" t="n">
        <v>0</v>
      </c>
      <c r="AZ1888" s="52" t="n">
        <v>0</v>
      </c>
      <c r="BA1888" s="52" t="n">
        <v>0</v>
      </c>
      <c r="BB1888" s="53" t="n">
        <v>0</v>
      </c>
      <c r="BC1888" s="52" t="n">
        <v>0</v>
      </c>
      <c r="BD1888" s="53" t="n">
        <v>0</v>
      </c>
      <c r="BE1888" s="52" t="n">
        <v>0</v>
      </c>
      <c r="BF1888" s="51" t="n">
        <v>0</v>
      </c>
    </row>
    <row r="1889">
      <c r="A1889">
        <f>HYPERLINK("https://www.walmart.com/ip/1312165215", "1312165215")</f>
        <v/>
      </c>
      <c r="B1889" t="inlineStr">
        <is>
          <t>Tirrinia Christmas Sherpa Throw Blanket Queen Bedding Reversible, All Ages, 90x90 inches, Snow Man</t>
        </is>
      </c>
      <c r="C1889" t="inlineStr">
        <is>
          <t>1TRBF399SNOWMAN</t>
        </is>
      </c>
      <c r="D1889" t="inlineStr">
        <is>
          <t>Throws</t>
        </is>
      </c>
      <c r="E1889" t="inlineStr">
        <is>
          <t>Tirrinia</t>
        </is>
      </c>
      <c r="F1889" t="inlineStr">
        <is>
          <t>Batch 1 - TR</t>
        </is>
      </c>
      <c r="G1889" s="48" t="n">
        <v>0</v>
      </c>
      <c r="H1889" s="49" t="n">
        <v>0</v>
      </c>
      <c r="I1889" s="49" t="n">
        <v>0</v>
      </c>
      <c r="J1889" s="50" t="n">
        <v>0</v>
      </c>
      <c r="K1889" s="51" t="n">
        <v>0</v>
      </c>
      <c r="L1889" s="52" t="n">
        <v>0</v>
      </c>
      <c r="M1889" s="52" t="n">
        <v>0</v>
      </c>
      <c r="N1889" s="52" t="n">
        <v>0</v>
      </c>
      <c r="O1889" s="53" t="n">
        <v>0</v>
      </c>
      <c r="P1889" s="52" t="n">
        <v>0</v>
      </c>
      <c r="Q1889" s="53" t="n">
        <v>0</v>
      </c>
      <c r="R1889" s="52" t="n">
        <v>0</v>
      </c>
      <c r="S1889" s="51" t="n">
        <v>0</v>
      </c>
      <c r="T1889" s="48" t="n">
        <v>0</v>
      </c>
      <c r="U1889" s="49" t="n">
        <v>0</v>
      </c>
      <c r="V1889" s="49" t="n">
        <v>0</v>
      </c>
      <c r="W1889" s="50" t="n">
        <v>0</v>
      </c>
      <c r="X1889" s="51" t="n">
        <v>0</v>
      </c>
      <c r="Y1889" s="52" t="n">
        <v>0</v>
      </c>
      <c r="Z1889" s="52" t="n">
        <v>0</v>
      </c>
      <c r="AA1889" s="52" t="n">
        <v>0</v>
      </c>
      <c r="AB1889" s="53" t="n">
        <v>0</v>
      </c>
      <c r="AC1889" s="52" t="n">
        <v>0</v>
      </c>
      <c r="AD1889" s="53" t="n">
        <v>0</v>
      </c>
      <c r="AE1889" s="52" t="n">
        <v>0</v>
      </c>
      <c r="AF1889" s="51" t="n">
        <v>0</v>
      </c>
      <c r="AG1889" s="48" t="n">
        <v>0</v>
      </c>
      <c r="AH1889" s="49" t="n">
        <v>0</v>
      </c>
      <c r="AI1889" s="49" t="n">
        <v>0</v>
      </c>
      <c r="AJ1889" s="50" t="n">
        <v>0</v>
      </c>
      <c r="AK1889" s="51" t="n">
        <v>0</v>
      </c>
      <c r="AL1889" s="52" t="n">
        <v>0</v>
      </c>
      <c r="AM1889" s="52" t="n">
        <v>0</v>
      </c>
      <c r="AN1889" s="52" t="n">
        <v>0</v>
      </c>
      <c r="AO1889" s="53" t="n">
        <v>0</v>
      </c>
      <c r="AP1889" s="52" t="n">
        <v>0</v>
      </c>
      <c r="AQ1889" s="53" t="n">
        <v>0</v>
      </c>
      <c r="AR1889" s="52" t="n">
        <v>0</v>
      </c>
      <c r="AS1889" s="51" t="n">
        <v>0</v>
      </c>
      <c r="AT1889" s="48" t="n">
        <v>0</v>
      </c>
      <c r="AU1889" s="49" t="n">
        <v>0</v>
      </c>
      <c r="AV1889" s="49" t="n">
        <v>0</v>
      </c>
      <c r="AW1889" s="50" t="n">
        <v>0</v>
      </c>
      <c r="AX1889" s="51" t="n">
        <v>0</v>
      </c>
      <c r="AY1889" s="52" t="n">
        <v>0</v>
      </c>
      <c r="AZ1889" s="52" t="n">
        <v>0</v>
      </c>
      <c r="BA1889" s="52" t="n">
        <v>0</v>
      </c>
      <c r="BB1889" s="53" t="n">
        <v>0</v>
      </c>
      <c r="BC1889" s="52" t="n">
        <v>0</v>
      </c>
      <c r="BD1889" s="53" t="n">
        <v>0</v>
      </c>
      <c r="BE1889" s="52" t="n">
        <v>0</v>
      </c>
      <c r="BF1889" s="51" t="n">
        <v>0</v>
      </c>
    </row>
    <row r="1890">
      <c r="A1890">
        <f>HYPERLINK("https://www.walmart.com/ip/131244489", "131244489")</f>
        <v/>
      </c>
      <c r="B1890" t="inlineStr">
        <is>
          <t>Tirrinia Single Wine Cooler Bags - Insulated &amp; Padded Portable Wine Tote Carrier for Travel, BYOB Restaurant, Wine Tasting, Party, Great Christmas Gift for Wine Lover, Black</t>
        </is>
      </c>
      <c r="C1890" t="inlineStr">
        <is>
          <t>1TRWB101BK</t>
        </is>
      </c>
      <c r="D1890" t="inlineStr">
        <is>
          <t>Wine Totes, Bags &amp; Backpacks</t>
        </is>
      </c>
      <c r="E1890" t="inlineStr">
        <is>
          <t>Tirrinia</t>
        </is>
      </c>
      <c r="F1890" t="inlineStr">
        <is>
          <t>Wine,Christmas,Optimized,Valentine,SEM</t>
        </is>
      </c>
      <c r="G1890" s="48" t="n">
        <v>0</v>
      </c>
      <c r="H1890" s="49" t="n">
        <v>0</v>
      </c>
      <c r="I1890" s="49" t="n">
        <v>0</v>
      </c>
      <c r="J1890" s="50" t="n">
        <v>0</v>
      </c>
      <c r="K1890" s="51" t="n">
        <v>0</v>
      </c>
      <c r="L1890" s="52" t="n">
        <v>0</v>
      </c>
      <c r="M1890" s="52" t="n">
        <v>0</v>
      </c>
      <c r="N1890" s="52" t="n">
        <v>0</v>
      </c>
      <c r="O1890" s="53" t="n">
        <v>0</v>
      </c>
      <c r="P1890" s="52" t="n">
        <v>0</v>
      </c>
      <c r="Q1890" s="53" t="n">
        <v>0</v>
      </c>
      <c r="R1890" s="52" t="n">
        <v>0</v>
      </c>
      <c r="S1890" s="51" t="n">
        <v>0</v>
      </c>
      <c r="T1890" s="48" t="n">
        <v>31.98</v>
      </c>
      <c r="U1890" s="49" t="n">
        <v>2</v>
      </c>
      <c r="V1890" s="49" t="n">
        <v>0</v>
      </c>
      <c r="W1890" s="50" t="n">
        <v>0</v>
      </c>
      <c r="X1890" s="51" t="n">
        <v>0</v>
      </c>
      <c r="Y1890" s="52" t="n">
        <v>0</v>
      </c>
      <c r="Z1890" s="52" t="n">
        <v>0</v>
      </c>
      <c r="AA1890" s="52" t="n">
        <v>0</v>
      </c>
      <c r="AB1890" s="53" t="n">
        <v>0</v>
      </c>
      <c r="AC1890" s="52" t="n">
        <v>0</v>
      </c>
      <c r="AD1890" s="53" t="n">
        <v>0</v>
      </c>
      <c r="AE1890" s="52" t="n">
        <v>15.99</v>
      </c>
      <c r="AF1890" s="51" t="n">
        <v>0</v>
      </c>
      <c r="AG1890" s="48" t="n">
        <v>0</v>
      </c>
      <c r="AH1890" s="49" t="n">
        <v>0</v>
      </c>
      <c r="AI1890" s="49" t="n">
        <v>0</v>
      </c>
      <c r="AJ1890" s="50" t="n">
        <v>0</v>
      </c>
      <c r="AK1890" s="51" t="n">
        <v>0</v>
      </c>
      <c r="AL1890" s="52" t="n">
        <v>0</v>
      </c>
      <c r="AM1890" s="52" t="n">
        <v>0</v>
      </c>
      <c r="AN1890" s="52" t="n">
        <v>0</v>
      </c>
      <c r="AO1890" s="53" t="n">
        <v>0</v>
      </c>
      <c r="AP1890" s="52" t="n">
        <v>0</v>
      </c>
      <c r="AQ1890" s="53" t="n">
        <v>0</v>
      </c>
      <c r="AR1890" s="52" t="n">
        <v>0</v>
      </c>
      <c r="AS1890" s="51" t="n">
        <v>0</v>
      </c>
      <c r="AT1890" s="48" t="n">
        <v>0</v>
      </c>
      <c r="AU1890" s="49" t="n">
        <v>0</v>
      </c>
      <c r="AV1890" s="49" t="n">
        <v>0</v>
      </c>
      <c r="AW1890" s="50" t="n">
        <v>0</v>
      </c>
      <c r="AX1890" s="51" t="n">
        <v>0</v>
      </c>
      <c r="AY1890" s="52" t="n">
        <v>0</v>
      </c>
      <c r="AZ1890" s="52" t="n">
        <v>0</v>
      </c>
      <c r="BA1890" s="52" t="n">
        <v>0</v>
      </c>
      <c r="BB1890" s="53" t="n">
        <v>0</v>
      </c>
      <c r="BC1890" s="52" t="n">
        <v>0</v>
      </c>
      <c r="BD1890" s="53" t="n">
        <v>0</v>
      </c>
      <c r="BE1890" s="52" t="n">
        <v>0</v>
      </c>
      <c r="BF1890" s="51" t="n">
        <v>0</v>
      </c>
    </row>
    <row r="1891">
      <c r="A1891">
        <f>HYPERLINK("https://www.walmart.com/ip/1314177271", "1314177271")</f>
        <v/>
      </c>
      <c r="B1891" t="inlineStr">
        <is>
          <t>Tirrinia Neon Hunting Orange Safety Cap Closure</t>
        </is>
      </c>
      <c r="C1891" t="inlineStr">
        <is>
          <t>1TRHT7121OL-TBCB</t>
        </is>
      </c>
      <c r="D1891" t="inlineStr">
        <is>
          <t>Hats</t>
        </is>
      </c>
      <c r="E1891" t="inlineStr">
        <is>
          <t>Tirrinia</t>
        </is>
      </c>
      <c r="F1891" t="inlineStr">
        <is>
          <t>Batch 1 - TR</t>
        </is>
      </c>
      <c r="G1891" s="48" t="n">
        <v>0</v>
      </c>
      <c r="H1891" s="49" t="n">
        <v>0</v>
      </c>
      <c r="I1891" s="49" t="n">
        <v>0</v>
      </c>
      <c r="J1891" s="50" t="n">
        <v>0</v>
      </c>
      <c r="K1891" s="51" t="n">
        <v>0</v>
      </c>
      <c r="L1891" s="52" t="n">
        <v>0</v>
      </c>
      <c r="M1891" s="52" t="n">
        <v>0</v>
      </c>
      <c r="N1891" s="52" t="n">
        <v>0</v>
      </c>
      <c r="O1891" s="53" t="n">
        <v>0</v>
      </c>
      <c r="P1891" s="52" t="n">
        <v>0</v>
      </c>
      <c r="Q1891" s="53" t="n">
        <v>0</v>
      </c>
      <c r="R1891" s="52" t="n">
        <v>0</v>
      </c>
      <c r="S1891" s="51" t="n">
        <v>0</v>
      </c>
      <c r="T1891" s="48" t="n">
        <v>0</v>
      </c>
      <c r="U1891" s="49" t="n">
        <v>0</v>
      </c>
      <c r="V1891" s="49" t="n">
        <v>0</v>
      </c>
      <c r="W1891" s="50" t="n">
        <v>0</v>
      </c>
      <c r="X1891" s="51" t="n">
        <v>0</v>
      </c>
      <c r="Y1891" s="52" t="n">
        <v>0</v>
      </c>
      <c r="Z1891" s="52" t="n">
        <v>0</v>
      </c>
      <c r="AA1891" s="52" t="n">
        <v>0</v>
      </c>
      <c r="AB1891" s="53" t="n">
        <v>0</v>
      </c>
      <c r="AC1891" s="52" t="n">
        <v>0</v>
      </c>
      <c r="AD1891" s="53" t="n">
        <v>0</v>
      </c>
      <c r="AE1891" s="52" t="n">
        <v>0</v>
      </c>
      <c r="AF1891" s="51" t="n">
        <v>0</v>
      </c>
      <c r="AG1891" s="48" t="n">
        <v>0</v>
      </c>
      <c r="AH1891" s="49" t="n">
        <v>0</v>
      </c>
      <c r="AI1891" s="49" t="n">
        <v>0</v>
      </c>
      <c r="AJ1891" s="50" t="n">
        <v>0</v>
      </c>
      <c r="AK1891" s="51" t="n">
        <v>0</v>
      </c>
      <c r="AL1891" s="52" t="n">
        <v>0</v>
      </c>
      <c r="AM1891" s="52" t="n">
        <v>0</v>
      </c>
      <c r="AN1891" s="52" t="n">
        <v>0</v>
      </c>
      <c r="AO1891" s="53" t="n">
        <v>0</v>
      </c>
      <c r="AP1891" s="52" t="n">
        <v>0</v>
      </c>
      <c r="AQ1891" s="53" t="n">
        <v>0</v>
      </c>
      <c r="AR1891" s="52" t="n">
        <v>0</v>
      </c>
      <c r="AS1891" s="51" t="n">
        <v>0</v>
      </c>
      <c r="AT1891" s="48" t="n">
        <v>0</v>
      </c>
      <c r="AU1891" s="49" t="n">
        <v>0</v>
      </c>
      <c r="AV1891" s="49" t="n">
        <v>0</v>
      </c>
      <c r="AW1891" s="50" t="n">
        <v>0</v>
      </c>
      <c r="AX1891" s="51" t="n">
        <v>0</v>
      </c>
      <c r="AY1891" s="52" t="n">
        <v>0</v>
      </c>
      <c r="AZ1891" s="52" t="n">
        <v>0</v>
      </c>
      <c r="BA1891" s="52" t="n">
        <v>0</v>
      </c>
      <c r="BB1891" s="53" t="n">
        <v>0</v>
      </c>
      <c r="BC1891" s="52" t="n">
        <v>0</v>
      </c>
      <c r="BD1891" s="53" t="n">
        <v>0</v>
      </c>
      <c r="BE1891" s="52" t="n">
        <v>0</v>
      </c>
      <c r="BF1891" s="51" t="n">
        <v>0</v>
      </c>
    </row>
    <row r="1892">
      <c r="A1892">
        <f>HYPERLINK("https://www.walmart.com/ip/129416493", "129416493")</f>
        <v/>
      </c>
      <c r="B1892" t="inlineStr">
        <is>
          <t>Napa Premium Chevron Micro Plush Fleece Sherpa Bed Throw TV Blanket 50” x 60” Latte,  All Ages</t>
        </is>
      </c>
      <c r="C1892" t="inlineStr">
        <is>
          <t>K8020LATTE</t>
        </is>
      </c>
      <c r="D1892" t="inlineStr">
        <is>
          <t>Throws</t>
        </is>
      </c>
      <c r="E1892" t="inlineStr">
        <is>
          <t>NAPA</t>
        </is>
      </c>
      <c r="F1892" t="inlineStr">
        <is>
          <t>Batch 1 - TR</t>
        </is>
      </c>
      <c r="G1892" s="48" t="n">
        <v>0</v>
      </c>
      <c r="H1892" s="49" t="n">
        <v>0</v>
      </c>
      <c r="I1892" s="49" t="n">
        <v>0</v>
      </c>
      <c r="J1892" s="50" t="n">
        <v>0</v>
      </c>
      <c r="K1892" s="51" t="n">
        <v>0</v>
      </c>
      <c r="L1892" s="52" t="n">
        <v>0</v>
      </c>
      <c r="M1892" s="52" t="n">
        <v>0</v>
      </c>
      <c r="N1892" s="52" t="n">
        <v>0</v>
      </c>
      <c r="O1892" s="53" t="n">
        <v>0</v>
      </c>
      <c r="P1892" s="52" t="n">
        <v>0</v>
      </c>
      <c r="Q1892" s="53" t="n">
        <v>0</v>
      </c>
      <c r="R1892" s="52" t="n">
        <v>0</v>
      </c>
      <c r="S1892" s="51" t="n">
        <v>0</v>
      </c>
      <c r="T1892" s="48" t="n">
        <v>0</v>
      </c>
      <c r="U1892" s="49" t="n">
        <v>0</v>
      </c>
      <c r="V1892" s="49" t="n">
        <v>0</v>
      </c>
      <c r="W1892" s="50" t="n">
        <v>0</v>
      </c>
      <c r="X1892" s="51" t="n">
        <v>0</v>
      </c>
      <c r="Y1892" s="52" t="n">
        <v>0</v>
      </c>
      <c r="Z1892" s="52" t="n">
        <v>0</v>
      </c>
      <c r="AA1892" s="52" t="n">
        <v>0</v>
      </c>
      <c r="AB1892" s="53" t="n">
        <v>0</v>
      </c>
      <c r="AC1892" s="52" t="n">
        <v>0</v>
      </c>
      <c r="AD1892" s="53" t="n">
        <v>0</v>
      </c>
      <c r="AE1892" s="52" t="n">
        <v>0</v>
      </c>
      <c r="AF1892" s="51" t="n">
        <v>0</v>
      </c>
      <c r="AG1892" s="48" t="n">
        <v>0</v>
      </c>
      <c r="AH1892" s="49" t="n">
        <v>0</v>
      </c>
      <c r="AI1892" s="49" t="n">
        <v>0</v>
      </c>
      <c r="AJ1892" s="50" t="n">
        <v>0</v>
      </c>
      <c r="AK1892" s="51" t="n">
        <v>0</v>
      </c>
      <c r="AL1892" s="52" t="n">
        <v>0</v>
      </c>
      <c r="AM1892" s="52" t="n">
        <v>0</v>
      </c>
      <c r="AN1892" s="52" t="n">
        <v>0</v>
      </c>
      <c r="AO1892" s="53" t="n">
        <v>0</v>
      </c>
      <c r="AP1892" s="52" t="n">
        <v>0</v>
      </c>
      <c r="AQ1892" s="53" t="n">
        <v>0</v>
      </c>
      <c r="AR1892" s="52" t="n">
        <v>0</v>
      </c>
      <c r="AS1892" s="51" t="n">
        <v>0</v>
      </c>
      <c r="AT1892" s="48" t="n">
        <v>0</v>
      </c>
      <c r="AU1892" s="49" t="n">
        <v>0</v>
      </c>
      <c r="AV1892" s="49" t="n">
        <v>0</v>
      </c>
      <c r="AW1892" s="50" t="n">
        <v>0</v>
      </c>
      <c r="AX1892" s="51" t="n">
        <v>0</v>
      </c>
      <c r="AY1892" s="52" t="n">
        <v>0</v>
      </c>
      <c r="AZ1892" s="52" t="n">
        <v>0</v>
      </c>
      <c r="BA1892" s="52" t="n">
        <v>0</v>
      </c>
      <c r="BB1892" s="53" t="n">
        <v>0</v>
      </c>
      <c r="BC1892" s="52" t="n">
        <v>0</v>
      </c>
      <c r="BD1892" s="53" t="n">
        <v>0</v>
      </c>
      <c r="BE1892" s="52" t="n">
        <v>0</v>
      </c>
      <c r="BF1892" s="51" t="n">
        <v>0</v>
      </c>
    </row>
    <row r="1893">
      <c r="A1893">
        <f>HYPERLINK("https://www.walmart.com/ip/1291165947", "1291165947")</f>
        <v/>
      </c>
      <c r="B1893" t="inlineStr">
        <is>
          <t>Unisex Hunting Fishing Cap Adjustable 3D Embroidery Baseball Hat with Air Mesh Back</t>
        </is>
      </c>
      <c r="C1893" t="inlineStr">
        <is>
          <t>1TRHT7180CONTRY-12pcs</t>
        </is>
      </c>
      <c r="D1893" t="inlineStr">
        <is>
          <t>Hats</t>
        </is>
      </c>
      <c r="E1893" t="inlineStr">
        <is>
          <t>Tirrinia</t>
        </is>
      </c>
      <c r="F1893" t="inlineStr">
        <is>
          <t>Batch 1 - TR</t>
        </is>
      </c>
      <c r="G1893" s="48" t="n">
        <v>0</v>
      </c>
      <c r="H1893" s="49" t="n">
        <v>0</v>
      </c>
      <c r="I1893" s="49" t="n">
        <v>0</v>
      </c>
      <c r="J1893" s="50" t="n">
        <v>0</v>
      </c>
      <c r="K1893" s="51" t="n">
        <v>0</v>
      </c>
      <c r="L1893" s="52" t="n">
        <v>0</v>
      </c>
      <c r="M1893" s="52" t="n">
        <v>0</v>
      </c>
      <c r="N1893" s="52" t="n">
        <v>0</v>
      </c>
      <c r="O1893" s="53" t="n">
        <v>0</v>
      </c>
      <c r="P1893" s="52" t="n">
        <v>0</v>
      </c>
      <c r="Q1893" s="53" t="n">
        <v>0</v>
      </c>
      <c r="R1893" s="52" t="n">
        <v>0</v>
      </c>
      <c r="S1893" s="51" t="n">
        <v>0</v>
      </c>
      <c r="T1893" s="48" t="n">
        <v>0</v>
      </c>
      <c r="U1893" s="49" t="n">
        <v>0</v>
      </c>
      <c r="V1893" s="49" t="n">
        <v>0</v>
      </c>
      <c r="W1893" s="50" t="n">
        <v>0</v>
      </c>
      <c r="X1893" s="51" t="n">
        <v>0</v>
      </c>
      <c r="Y1893" s="52" t="n">
        <v>0</v>
      </c>
      <c r="Z1893" s="52" t="n">
        <v>0</v>
      </c>
      <c r="AA1893" s="52" t="n">
        <v>0</v>
      </c>
      <c r="AB1893" s="53" t="n">
        <v>0</v>
      </c>
      <c r="AC1893" s="52" t="n">
        <v>0</v>
      </c>
      <c r="AD1893" s="53" t="n">
        <v>0</v>
      </c>
      <c r="AE1893" s="52" t="n">
        <v>0</v>
      </c>
      <c r="AF1893" s="51" t="n">
        <v>0</v>
      </c>
      <c r="AG1893" s="48" t="n">
        <v>0</v>
      </c>
      <c r="AH1893" s="49" t="n">
        <v>0</v>
      </c>
      <c r="AI1893" s="49" t="n">
        <v>0</v>
      </c>
      <c r="AJ1893" s="50" t="n">
        <v>0</v>
      </c>
      <c r="AK1893" s="51" t="n">
        <v>0</v>
      </c>
      <c r="AL1893" s="52" t="n">
        <v>0</v>
      </c>
      <c r="AM1893" s="52" t="n">
        <v>0</v>
      </c>
      <c r="AN1893" s="52" t="n">
        <v>0</v>
      </c>
      <c r="AO1893" s="53" t="n">
        <v>0</v>
      </c>
      <c r="AP1893" s="52" t="n">
        <v>0</v>
      </c>
      <c r="AQ1893" s="53" t="n">
        <v>0</v>
      </c>
      <c r="AR1893" s="52" t="n">
        <v>0</v>
      </c>
      <c r="AS1893" s="51" t="n">
        <v>0</v>
      </c>
      <c r="AT1893" s="48" t="n">
        <v>0</v>
      </c>
      <c r="AU1893" s="49" t="n">
        <v>0</v>
      </c>
      <c r="AV1893" s="49" t="n">
        <v>0</v>
      </c>
      <c r="AW1893" s="50" t="n">
        <v>0</v>
      </c>
      <c r="AX1893" s="51" t="n">
        <v>0</v>
      </c>
      <c r="AY1893" s="52" t="n">
        <v>0</v>
      </c>
      <c r="AZ1893" s="52" t="n">
        <v>0</v>
      </c>
      <c r="BA1893" s="52" t="n">
        <v>0</v>
      </c>
      <c r="BB1893" s="53" t="n">
        <v>0</v>
      </c>
      <c r="BC1893" s="52" t="n">
        <v>0</v>
      </c>
      <c r="BD1893" s="53" t="n">
        <v>0</v>
      </c>
      <c r="BE1893" s="52" t="n">
        <v>0</v>
      </c>
      <c r="BF1893" s="51" t="n">
        <v>0</v>
      </c>
    </row>
    <row r="1894">
      <c r="A1894">
        <f>HYPERLINK("https://www.walmart.com/ip/128852666", "128852666")</f>
        <v/>
      </c>
      <c r="B1894" t="inlineStr">
        <is>
          <t>Terra Faux Fur Pom Pom Beanie Hat Thick Slouchy Cable Knit Soft Warm Micro Fleece Lined Unisex Stretches to Fit Most</t>
        </is>
      </c>
      <c r="C1894" t="inlineStr">
        <is>
          <t>TERRAPPH01GN</t>
        </is>
      </c>
      <c r="D1894" t="inlineStr">
        <is>
          <t>Hats</t>
        </is>
      </c>
      <c r="E1894" t="inlineStr">
        <is>
          <t>Terra</t>
        </is>
      </c>
      <c r="F1894" t="inlineStr">
        <is>
          <t>Optimized,ST Patrick Day</t>
        </is>
      </c>
      <c r="G1894" s="48" t="n">
        <v>0</v>
      </c>
      <c r="H1894" s="49" t="n">
        <v>0</v>
      </c>
      <c r="I1894" s="49" t="n">
        <v>0</v>
      </c>
      <c r="J1894" s="50" t="n">
        <v>0</v>
      </c>
      <c r="K1894" s="51" t="n">
        <v>0</v>
      </c>
      <c r="L1894" s="52" t="n">
        <v>0</v>
      </c>
      <c r="M1894" s="52" t="n">
        <v>0</v>
      </c>
      <c r="N1894" s="52" t="n">
        <v>0</v>
      </c>
      <c r="O1894" s="53" t="n">
        <v>0</v>
      </c>
      <c r="P1894" s="52" t="n">
        <v>0</v>
      </c>
      <c r="Q1894" s="53" t="n">
        <v>0</v>
      </c>
      <c r="R1894" s="52" t="n">
        <v>0</v>
      </c>
      <c r="S1894" s="51" t="n">
        <v>0</v>
      </c>
      <c r="T1894" s="48" t="n">
        <v>0</v>
      </c>
      <c r="U1894" s="49" t="n">
        <v>0</v>
      </c>
      <c r="V1894" s="49" t="n">
        <v>0</v>
      </c>
      <c r="W1894" s="50" t="n">
        <v>0</v>
      </c>
      <c r="X1894" s="51" t="n">
        <v>0</v>
      </c>
      <c r="Y1894" s="52" t="n">
        <v>0</v>
      </c>
      <c r="Z1894" s="52" t="n">
        <v>0</v>
      </c>
      <c r="AA1894" s="52" t="n">
        <v>0</v>
      </c>
      <c r="AB1894" s="53" t="n">
        <v>0</v>
      </c>
      <c r="AC1894" s="52" t="n">
        <v>0</v>
      </c>
      <c r="AD1894" s="53" t="n">
        <v>0</v>
      </c>
      <c r="AE1894" s="52" t="n">
        <v>0</v>
      </c>
      <c r="AF1894" s="51" t="n">
        <v>0</v>
      </c>
      <c r="AG1894" s="48" t="n">
        <v>0</v>
      </c>
      <c r="AH1894" s="49" t="n">
        <v>0</v>
      </c>
      <c r="AI1894" s="49" t="n">
        <v>0</v>
      </c>
      <c r="AJ1894" s="50" t="n">
        <v>0</v>
      </c>
      <c r="AK1894" s="51" t="n">
        <v>0</v>
      </c>
      <c r="AL1894" s="52" t="n">
        <v>0</v>
      </c>
      <c r="AM1894" s="52" t="n">
        <v>0</v>
      </c>
      <c r="AN1894" s="52" t="n">
        <v>0</v>
      </c>
      <c r="AO1894" s="53" t="n">
        <v>0</v>
      </c>
      <c r="AP1894" s="52" t="n">
        <v>0</v>
      </c>
      <c r="AQ1894" s="53" t="n">
        <v>0</v>
      </c>
      <c r="AR1894" s="52" t="n">
        <v>0</v>
      </c>
      <c r="AS1894" s="51" t="n">
        <v>0</v>
      </c>
      <c r="AT1894" s="48" t="n">
        <v>0</v>
      </c>
      <c r="AU1894" s="49" t="n">
        <v>0</v>
      </c>
      <c r="AV1894" s="49" t="n">
        <v>0</v>
      </c>
      <c r="AW1894" s="50" t="n">
        <v>0</v>
      </c>
      <c r="AX1894" s="51" t="n">
        <v>0</v>
      </c>
      <c r="AY1894" s="52" t="n">
        <v>0</v>
      </c>
      <c r="AZ1894" s="52" t="n">
        <v>0</v>
      </c>
      <c r="BA1894" s="52" t="n">
        <v>0</v>
      </c>
      <c r="BB1894" s="53" t="n">
        <v>0</v>
      </c>
      <c r="BC1894" s="52" t="n">
        <v>0</v>
      </c>
      <c r="BD1894" s="53" t="n">
        <v>0</v>
      </c>
      <c r="BE1894" s="52" t="n">
        <v>0</v>
      </c>
      <c r="BF1894" s="51" t="n">
        <v>0</v>
      </c>
    </row>
    <row r="1895">
      <c r="A1895">
        <f>HYPERLINK("https://www.walmart.com/ip/127919926", "127919926")</f>
        <v/>
      </c>
      <c r="B1895" t="inlineStr">
        <is>
          <t>Flyingstar Women's Ponytail Sun Hat for Hiking, Gardening and Safari, Wide Brim Hat For Women with Breathable Mesh and Ponytail Hole Opening, Olive</t>
        </is>
      </c>
      <c r="C1895" t="inlineStr">
        <is>
          <t>1WMSH912OL</t>
        </is>
      </c>
      <c r="D1895" t="inlineStr">
        <is>
          <t>Hats</t>
        </is>
      </c>
      <c r="E1895" t="inlineStr">
        <is>
          <t>Flyingstar</t>
        </is>
      </c>
      <c r="F1895" t="inlineStr">
        <is>
          <t>Optimized</t>
        </is>
      </c>
      <c r="G1895" s="48" t="n">
        <v>0</v>
      </c>
      <c r="H1895" s="49" t="n">
        <v>0</v>
      </c>
      <c r="I1895" s="49" t="n">
        <v>0</v>
      </c>
      <c r="J1895" s="50" t="n">
        <v>0</v>
      </c>
      <c r="K1895" s="51" t="n">
        <v>0</v>
      </c>
      <c r="L1895" s="52" t="n">
        <v>0</v>
      </c>
      <c r="M1895" s="52" t="n">
        <v>0</v>
      </c>
      <c r="N1895" s="52" t="n">
        <v>0</v>
      </c>
      <c r="O1895" s="53" t="n">
        <v>0</v>
      </c>
      <c r="P1895" s="52" t="n">
        <v>0</v>
      </c>
      <c r="Q1895" s="53" t="n">
        <v>0</v>
      </c>
      <c r="R1895" s="52" t="n">
        <v>0</v>
      </c>
      <c r="S1895" s="51" t="n">
        <v>0</v>
      </c>
      <c r="T1895" s="48" t="n">
        <v>0</v>
      </c>
      <c r="U1895" s="49" t="n">
        <v>0</v>
      </c>
      <c r="V1895" s="49" t="n">
        <v>0</v>
      </c>
      <c r="W1895" s="50" t="n">
        <v>0</v>
      </c>
      <c r="X1895" s="51" t="n">
        <v>0</v>
      </c>
      <c r="Y1895" s="52" t="n">
        <v>0</v>
      </c>
      <c r="Z1895" s="52" t="n">
        <v>0</v>
      </c>
      <c r="AA1895" s="52" t="n">
        <v>0</v>
      </c>
      <c r="AB1895" s="53" t="n">
        <v>0</v>
      </c>
      <c r="AC1895" s="52" t="n">
        <v>0</v>
      </c>
      <c r="AD1895" s="53" t="n">
        <v>0</v>
      </c>
      <c r="AE1895" s="52" t="n">
        <v>0</v>
      </c>
      <c r="AF1895" s="51" t="n">
        <v>0</v>
      </c>
      <c r="AG1895" s="48" t="n">
        <v>0</v>
      </c>
      <c r="AH1895" s="49" t="n">
        <v>0</v>
      </c>
      <c r="AI1895" s="49" t="n">
        <v>0</v>
      </c>
      <c r="AJ1895" s="50" t="n">
        <v>0</v>
      </c>
      <c r="AK1895" s="51" t="n">
        <v>0</v>
      </c>
      <c r="AL1895" s="52" t="n">
        <v>0</v>
      </c>
      <c r="AM1895" s="52" t="n">
        <v>0</v>
      </c>
      <c r="AN1895" s="52" t="n">
        <v>0</v>
      </c>
      <c r="AO1895" s="53" t="n">
        <v>0</v>
      </c>
      <c r="AP1895" s="52" t="n">
        <v>0</v>
      </c>
      <c r="AQ1895" s="53" t="n">
        <v>0</v>
      </c>
      <c r="AR1895" s="52" t="n">
        <v>0</v>
      </c>
      <c r="AS1895" s="51" t="n">
        <v>0</v>
      </c>
      <c r="AT1895" s="48" t="n">
        <v>0</v>
      </c>
      <c r="AU1895" s="49" t="n">
        <v>0</v>
      </c>
      <c r="AV1895" s="49" t="n">
        <v>0</v>
      </c>
      <c r="AW1895" s="50" t="n">
        <v>0</v>
      </c>
      <c r="AX1895" s="51" t="n">
        <v>0</v>
      </c>
      <c r="AY1895" s="52" t="n">
        <v>0</v>
      </c>
      <c r="AZ1895" s="52" t="n">
        <v>0</v>
      </c>
      <c r="BA1895" s="52" t="n">
        <v>0</v>
      </c>
      <c r="BB1895" s="53" t="n">
        <v>0</v>
      </c>
      <c r="BC1895" s="52" t="n">
        <v>0</v>
      </c>
      <c r="BD1895" s="53" t="n">
        <v>0</v>
      </c>
      <c r="BE1895" s="52" t="n">
        <v>0</v>
      </c>
      <c r="BF1895" s="51" t="n">
        <v>0</v>
      </c>
    </row>
    <row r="1896">
      <c r="A1896">
        <f>HYPERLINK("https://www.walmart.com/ip/1264144525", "1264144525")</f>
        <v/>
      </c>
      <c r="B1896" t="inlineStr">
        <is>
          <t>Every Day is Christmas Glass Blown Ornaments 2021 Cute Hand Made Figurines Tree Decoration, Ski Santa</t>
        </is>
      </c>
      <c r="C1896" t="inlineStr">
        <is>
          <t>EDC-FIGURINE-SPACE</t>
        </is>
      </c>
      <c r="D1896" t="inlineStr">
        <is>
          <t>Ornaments</t>
        </is>
      </c>
      <c r="E1896" t="inlineStr">
        <is>
          <t>Every Day is Christmas</t>
        </is>
      </c>
      <c r="G1896" s="48" t="n">
        <v>0</v>
      </c>
      <c r="H1896" s="49" t="n">
        <v>0</v>
      </c>
      <c r="I1896" s="49" t="n">
        <v>0</v>
      </c>
      <c r="J1896" s="50" t="n">
        <v>0</v>
      </c>
      <c r="K1896" s="51" t="n">
        <v>0</v>
      </c>
      <c r="L1896" s="52" t="n">
        <v>0</v>
      </c>
      <c r="M1896" s="52" t="n">
        <v>0</v>
      </c>
      <c r="N1896" s="52" t="n">
        <v>0</v>
      </c>
      <c r="O1896" s="53" t="n">
        <v>0</v>
      </c>
      <c r="P1896" s="52" t="n">
        <v>0</v>
      </c>
      <c r="Q1896" s="53" t="n">
        <v>0</v>
      </c>
      <c r="R1896" s="52" t="n">
        <v>0</v>
      </c>
      <c r="S1896" s="51" t="n">
        <v>0</v>
      </c>
      <c r="T1896" s="48" t="n">
        <v>0</v>
      </c>
      <c r="U1896" s="49" t="n">
        <v>0</v>
      </c>
      <c r="V1896" s="49" t="n">
        <v>0</v>
      </c>
      <c r="W1896" s="50" t="n">
        <v>0</v>
      </c>
      <c r="X1896" s="51" t="n">
        <v>0</v>
      </c>
      <c r="Y1896" s="52" t="n">
        <v>0</v>
      </c>
      <c r="Z1896" s="52" t="n">
        <v>0</v>
      </c>
      <c r="AA1896" s="52" t="n">
        <v>0</v>
      </c>
      <c r="AB1896" s="53" t="n">
        <v>0</v>
      </c>
      <c r="AC1896" s="52" t="n">
        <v>0</v>
      </c>
      <c r="AD1896" s="53" t="n">
        <v>0</v>
      </c>
      <c r="AE1896" s="52" t="n">
        <v>0</v>
      </c>
      <c r="AF1896" s="51" t="n">
        <v>0</v>
      </c>
      <c r="AG1896" s="48" t="n">
        <v>0</v>
      </c>
      <c r="AH1896" s="49" t="n">
        <v>0</v>
      </c>
      <c r="AI1896" s="49" t="n">
        <v>0</v>
      </c>
      <c r="AJ1896" s="50" t="n">
        <v>0</v>
      </c>
      <c r="AK1896" s="51" t="n">
        <v>0</v>
      </c>
      <c r="AL1896" s="52" t="n">
        <v>0</v>
      </c>
      <c r="AM1896" s="52" t="n">
        <v>0</v>
      </c>
      <c r="AN1896" s="52" t="n">
        <v>0</v>
      </c>
      <c r="AO1896" s="53" t="n">
        <v>0</v>
      </c>
      <c r="AP1896" s="52" t="n">
        <v>0</v>
      </c>
      <c r="AQ1896" s="53" t="n">
        <v>0</v>
      </c>
      <c r="AR1896" s="52" t="n">
        <v>0</v>
      </c>
      <c r="AS1896" s="51" t="n">
        <v>0</v>
      </c>
      <c r="AT1896" s="48" t="n">
        <v>0</v>
      </c>
      <c r="AU1896" s="49" t="n">
        <v>0</v>
      </c>
      <c r="AV1896" s="49" t="n">
        <v>0</v>
      </c>
      <c r="AW1896" s="50" t="n">
        <v>0</v>
      </c>
      <c r="AX1896" s="51" t="n">
        <v>0</v>
      </c>
      <c r="AY1896" s="52" t="n">
        <v>0</v>
      </c>
      <c r="AZ1896" s="52" t="n">
        <v>0</v>
      </c>
      <c r="BA1896" s="52" t="n">
        <v>0</v>
      </c>
      <c r="BB1896" s="53" t="n">
        <v>0</v>
      </c>
      <c r="BC1896" s="52" t="n">
        <v>0</v>
      </c>
      <c r="BD1896" s="53" t="n">
        <v>0</v>
      </c>
      <c r="BE1896" s="52" t="n">
        <v>0</v>
      </c>
      <c r="BF1896" s="51" t="n">
        <v>0</v>
      </c>
    </row>
    <row r="1897">
      <c r="A1897">
        <f>HYPERLINK("https://www.walmart.com/ip/126835303", "126835303")</f>
        <v/>
      </c>
      <c r="B1897" t="inlineStr">
        <is>
          <t>KritterWorld Fleece Blanket with Sherpa Lining, Waterproof Kitten, Puppy, Cat and Dog Snuggle Blanket, Velvet Plush Blanket for Couch, Car, Trunk, Cage, and Kennel, Latte, 45" x 30"</t>
        </is>
      </c>
      <c r="C1897" t="inlineStr">
        <is>
          <t>dog3045-latte</t>
        </is>
      </c>
      <c r="D1897" t="inlineStr">
        <is>
          <t>Pet Blankets</t>
        </is>
      </c>
      <c r="E1897" t="inlineStr">
        <is>
          <t>KritterWorld</t>
        </is>
      </c>
      <c r="F1897" t="inlineStr">
        <is>
          <t>Batch 1 - TR</t>
        </is>
      </c>
      <c r="G1897" s="48" t="n">
        <v>0</v>
      </c>
      <c r="H1897" s="49" t="n">
        <v>0</v>
      </c>
      <c r="I1897" s="49" t="n">
        <v>0</v>
      </c>
      <c r="J1897" s="50" t="n">
        <v>0</v>
      </c>
      <c r="K1897" s="51" t="n">
        <v>0</v>
      </c>
      <c r="L1897" s="52" t="n">
        <v>0</v>
      </c>
      <c r="M1897" s="52" t="n">
        <v>0</v>
      </c>
      <c r="N1897" s="52" t="n">
        <v>0</v>
      </c>
      <c r="O1897" s="53" t="n">
        <v>0</v>
      </c>
      <c r="P1897" s="52" t="n">
        <v>0</v>
      </c>
      <c r="Q1897" s="53" t="n">
        <v>0</v>
      </c>
      <c r="R1897" s="52" t="n">
        <v>0</v>
      </c>
      <c r="S1897" s="51" t="n">
        <v>0</v>
      </c>
      <c r="T1897" s="48" t="n">
        <v>0</v>
      </c>
      <c r="U1897" s="49" t="n">
        <v>0</v>
      </c>
      <c r="V1897" s="49" t="n">
        <v>0</v>
      </c>
      <c r="W1897" s="50" t="n">
        <v>0</v>
      </c>
      <c r="X1897" s="51" t="n">
        <v>0</v>
      </c>
      <c r="Y1897" s="52" t="n">
        <v>0</v>
      </c>
      <c r="Z1897" s="52" t="n">
        <v>0</v>
      </c>
      <c r="AA1897" s="52" t="n">
        <v>0</v>
      </c>
      <c r="AB1897" s="53" t="n">
        <v>0</v>
      </c>
      <c r="AC1897" s="52" t="n">
        <v>0</v>
      </c>
      <c r="AD1897" s="53" t="n">
        <v>0</v>
      </c>
      <c r="AE1897" s="52" t="n">
        <v>0</v>
      </c>
      <c r="AF1897" s="51" t="n">
        <v>0</v>
      </c>
      <c r="AG1897" s="48" t="n">
        <v>0</v>
      </c>
      <c r="AH1897" s="49" t="n">
        <v>0</v>
      </c>
      <c r="AI1897" s="49" t="n">
        <v>0</v>
      </c>
      <c r="AJ1897" s="50" t="n">
        <v>0</v>
      </c>
      <c r="AK1897" s="51" t="n">
        <v>0</v>
      </c>
      <c r="AL1897" s="52" t="n">
        <v>0</v>
      </c>
      <c r="AM1897" s="52" t="n">
        <v>0</v>
      </c>
      <c r="AN1897" s="52" t="n">
        <v>0</v>
      </c>
      <c r="AO1897" s="53" t="n">
        <v>0</v>
      </c>
      <c r="AP1897" s="52" t="n">
        <v>0</v>
      </c>
      <c r="AQ1897" s="53" t="n">
        <v>0</v>
      </c>
      <c r="AR1897" s="52" t="n">
        <v>0</v>
      </c>
      <c r="AS1897" s="51" t="n">
        <v>0</v>
      </c>
      <c r="AT1897" s="48" t="n">
        <v>0</v>
      </c>
      <c r="AU1897" s="49" t="n">
        <v>0</v>
      </c>
      <c r="AV1897" s="49" t="n">
        <v>0</v>
      </c>
      <c r="AW1897" s="50" t="n">
        <v>0</v>
      </c>
      <c r="AX1897" s="51" t="n">
        <v>0</v>
      </c>
      <c r="AY1897" s="52" t="n">
        <v>0</v>
      </c>
      <c r="AZ1897" s="52" t="n">
        <v>0</v>
      </c>
      <c r="BA1897" s="52" t="n">
        <v>0</v>
      </c>
      <c r="BB1897" s="53" t="n">
        <v>0</v>
      </c>
      <c r="BC1897" s="52" t="n">
        <v>0</v>
      </c>
      <c r="BD1897" s="53" t="n">
        <v>0</v>
      </c>
      <c r="BE1897" s="52" t="n">
        <v>0</v>
      </c>
      <c r="BF1897" s="51" t="n">
        <v>0</v>
      </c>
    </row>
    <row r="1898">
      <c r="A1898">
        <f>HYPERLINK("https://www.walmart.com/ip/126944997", "126944997")</f>
        <v/>
      </c>
      <c r="B1898" t="inlineStr">
        <is>
          <t>Napa Plush Cashmere Throw Blanket Green, 90" x 90" Queen/Full, Striped Reversible Velvet Luxury Fleece Warm Bed Couch Blanket, Super Soft and Cozy</t>
        </is>
      </c>
      <c r="C1898" t="inlineStr">
        <is>
          <t>K8030QF-GRN</t>
        </is>
      </c>
      <c r="D1898" t="inlineStr">
        <is>
          <t>Throws</t>
        </is>
      </c>
      <c r="E1898" t="inlineStr">
        <is>
          <t>NAPA</t>
        </is>
      </c>
      <c r="F1898" t="inlineStr">
        <is>
          <t>Q2-Target,Optimized,ST Patrick Day</t>
        </is>
      </c>
      <c r="G1898" s="48" t="n">
        <v>0</v>
      </c>
      <c r="H1898" s="49" t="n">
        <v>0</v>
      </c>
      <c r="I1898" s="49" t="n">
        <v>0</v>
      </c>
      <c r="J1898" s="50" t="n">
        <v>0</v>
      </c>
      <c r="K1898" s="51" t="n">
        <v>0</v>
      </c>
      <c r="L1898" s="52" t="n">
        <v>0</v>
      </c>
      <c r="M1898" s="52" t="n">
        <v>0</v>
      </c>
      <c r="N1898" s="52" t="n">
        <v>0</v>
      </c>
      <c r="O1898" s="53" t="n">
        <v>0</v>
      </c>
      <c r="P1898" s="52" t="n">
        <v>0</v>
      </c>
      <c r="Q1898" s="53" t="n">
        <v>0</v>
      </c>
      <c r="R1898" s="52" t="n">
        <v>0</v>
      </c>
      <c r="S1898" s="51" t="n">
        <v>0</v>
      </c>
      <c r="T1898" s="48" t="n">
        <v>14.98</v>
      </c>
      <c r="U1898" s="49" t="n">
        <v>1</v>
      </c>
      <c r="V1898" s="49" t="n">
        <v>0</v>
      </c>
      <c r="W1898" s="50" t="n">
        <v>0</v>
      </c>
      <c r="X1898" s="51" t="n">
        <v>0</v>
      </c>
      <c r="Y1898" s="52" t="n">
        <v>0</v>
      </c>
      <c r="Z1898" s="52" t="n">
        <v>0</v>
      </c>
      <c r="AA1898" s="52" t="n">
        <v>0</v>
      </c>
      <c r="AB1898" s="53" t="n">
        <v>0</v>
      </c>
      <c r="AC1898" s="52" t="n">
        <v>0</v>
      </c>
      <c r="AD1898" s="53" t="n">
        <v>0</v>
      </c>
      <c r="AE1898" s="52" t="n">
        <v>14.98</v>
      </c>
      <c r="AF1898" s="51" t="n">
        <v>0</v>
      </c>
      <c r="AG1898" s="48" t="n">
        <v>0</v>
      </c>
      <c r="AH1898" s="49" t="n">
        <v>0</v>
      </c>
      <c r="AI1898" s="49" t="n">
        <v>0</v>
      </c>
      <c r="AJ1898" s="50" t="n">
        <v>0</v>
      </c>
      <c r="AK1898" s="51" t="n">
        <v>0</v>
      </c>
      <c r="AL1898" s="52" t="n">
        <v>0</v>
      </c>
      <c r="AM1898" s="52" t="n">
        <v>0</v>
      </c>
      <c r="AN1898" s="52" t="n">
        <v>0</v>
      </c>
      <c r="AO1898" s="53" t="n">
        <v>0</v>
      </c>
      <c r="AP1898" s="52" t="n">
        <v>0</v>
      </c>
      <c r="AQ1898" s="53" t="n">
        <v>0</v>
      </c>
      <c r="AR1898" s="52" t="n">
        <v>0</v>
      </c>
      <c r="AS1898" s="51" t="n">
        <v>0</v>
      </c>
      <c r="AT1898" s="48" t="n">
        <v>14.98</v>
      </c>
      <c r="AU1898" s="49" t="n">
        <v>1</v>
      </c>
      <c r="AV1898" s="49" t="n">
        <v>0</v>
      </c>
      <c r="AW1898" s="50" t="n">
        <v>0</v>
      </c>
      <c r="AX1898" s="51" t="n">
        <v>0</v>
      </c>
      <c r="AY1898" s="52" t="n">
        <v>0</v>
      </c>
      <c r="AZ1898" s="52" t="n">
        <v>0</v>
      </c>
      <c r="BA1898" s="52" t="n">
        <v>0</v>
      </c>
      <c r="BB1898" s="53" t="n">
        <v>0</v>
      </c>
      <c r="BC1898" s="52" t="n">
        <v>0</v>
      </c>
      <c r="BD1898" s="53" t="n">
        <v>0</v>
      </c>
      <c r="BE1898" s="52" t="n">
        <v>14.98</v>
      </c>
      <c r="BF1898" s="51" t="n">
        <v>0</v>
      </c>
    </row>
    <row r="1899">
      <c r="A1899">
        <f>HYPERLINK("https://www.walmart.com/ip/1272875640", "1272875640")</f>
        <v/>
      </c>
      <c r="B1899" t="inlineStr">
        <is>
          <t>Tirrinia Neon Hunting Orange Safety Cap Closure</t>
        </is>
      </c>
      <c r="C1899" t="inlineStr">
        <is>
          <t>1TRHT7121BK-12pcs</t>
        </is>
      </c>
      <c r="D1899" t="inlineStr">
        <is>
          <t>Hats</t>
        </is>
      </c>
      <c r="E1899" t="inlineStr">
        <is>
          <t>Tirrinia</t>
        </is>
      </c>
      <c r="F1899" t="inlineStr">
        <is>
          <t>Batch 1 - TR</t>
        </is>
      </c>
      <c r="G1899" s="48" t="n">
        <v>0</v>
      </c>
      <c r="H1899" s="49" t="n">
        <v>0</v>
      </c>
      <c r="I1899" s="49" t="n">
        <v>0</v>
      </c>
      <c r="J1899" s="50" t="n">
        <v>0</v>
      </c>
      <c r="K1899" s="51" t="n">
        <v>0</v>
      </c>
      <c r="L1899" s="52" t="n">
        <v>0</v>
      </c>
      <c r="M1899" s="52" t="n">
        <v>0</v>
      </c>
      <c r="N1899" s="52" t="n">
        <v>0</v>
      </c>
      <c r="O1899" s="53" t="n">
        <v>0</v>
      </c>
      <c r="P1899" s="52" t="n">
        <v>0</v>
      </c>
      <c r="Q1899" s="53" t="n">
        <v>0</v>
      </c>
      <c r="R1899" s="52" t="n">
        <v>0</v>
      </c>
      <c r="S1899" s="51" t="n">
        <v>0</v>
      </c>
      <c r="T1899" s="48" t="n">
        <v>0</v>
      </c>
      <c r="U1899" s="49" t="n">
        <v>0</v>
      </c>
      <c r="V1899" s="49" t="n">
        <v>0</v>
      </c>
      <c r="W1899" s="50" t="n">
        <v>0</v>
      </c>
      <c r="X1899" s="51" t="n">
        <v>0</v>
      </c>
      <c r="Y1899" s="52" t="n">
        <v>0</v>
      </c>
      <c r="Z1899" s="52" t="n">
        <v>0</v>
      </c>
      <c r="AA1899" s="52" t="n">
        <v>0</v>
      </c>
      <c r="AB1899" s="53" t="n">
        <v>0</v>
      </c>
      <c r="AC1899" s="52" t="n">
        <v>0</v>
      </c>
      <c r="AD1899" s="53" t="n">
        <v>0</v>
      </c>
      <c r="AE1899" s="52" t="n">
        <v>0</v>
      </c>
      <c r="AF1899" s="51" t="n">
        <v>0</v>
      </c>
      <c r="AG1899" s="48" t="n">
        <v>0</v>
      </c>
      <c r="AH1899" s="49" t="n">
        <v>0</v>
      </c>
      <c r="AI1899" s="49" t="n">
        <v>0</v>
      </c>
      <c r="AJ1899" s="50" t="n">
        <v>0</v>
      </c>
      <c r="AK1899" s="51" t="n">
        <v>0</v>
      </c>
      <c r="AL1899" s="52" t="n">
        <v>0</v>
      </c>
      <c r="AM1899" s="52" t="n">
        <v>0</v>
      </c>
      <c r="AN1899" s="52" t="n">
        <v>0</v>
      </c>
      <c r="AO1899" s="53" t="n">
        <v>0</v>
      </c>
      <c r="AP1899" s="52" t="n">
        <v>0</v>
      </c>
      <c r="AQ1899" s="53" t="n">
        <v>0</v>
      </c>
      <c r="AR1899" s="52" t="n">
        <v>0</v>
      </c>
      <c r="AS1899" s="51" t="n">
        <v>0</v>
      </c>
      <c r="AT1899" s="48" t="n">
        <v>0</v>
      </c>
      <c r="AU1899" s="49" t="n">
        <v>0</v>
      </c>
      <c r="AV1899" s="49" t="n">
        <v>0</v>
      </c>
      <c r="AW1899" s="50" t="n">
        <v>0</v>
      </c>
      <c r="AX1899" s="51" t="n">
        <v>0</v>
      </c>
      <c r="AY1899" s="52" t="n">
        <v>0</v>
      </c>
      <c r="AZ1899" s="52" t="n">
        <v>0</v>
      </c>
      <c r="BA1899" s="52" t="n">
        <v>0</v>
      </c>
      <c r="BB1899" s="53" t="n">
        <v>0</v>
      </c>
      <c r="BC1899" s="52" t="n">
        <v>0</v>
      </c>
      <c r="BD1899" s="53" t="n">
        <v>0</v>
      </c>
      <c r="BE1899" s="52" t="n">
        <v>0</v>
      </c>
      <c r="BF1899" s="51" t="n">
        <v>0</v>
      </c>
    </row>
    <row r="1900">
      <c r="A1900">
        <f>HYPERLINK("https://www.walmart.com/ip/127478451", "127478451")</f>
        <v/>
      </c>
      <c r="B1900" t="inlineStr">
        <is>
          <t>Tirrinia Insulated 4 Bottle Wine Carrier Tote Cooler Bag for Travel Picnic Padded Champagne Glass Carrying Case Leather</t>
        </is>
      </c>
      <c r="C1900" t="inlineStr">
        <is>
          <t>1WMWB421GY</t>
        </is>
      </c>
      <c r="D1900" t="inlineStr">
        <is>
          <t>Wine Totes, Bags &amp; Backpacks</t>
        </is>
      </c>
      <c r="E1900" t="inlineStr">
        <is>
          <t>Flyingstar</t>
        </is>
      </c>
      <c r="F1900" t="inlineStr">
        <is>
          <t>Wine,Christmas,Optimized,Valentine,SEM</t>
        </is>
      </c>
      <c r="G1900" s="48" t="n">
        <v>0</v>
      </c>
      <c r="H1900" s="49" t="n">
        <v>0</v>
      </c>
      <c r="I1900" s="49" t="n">
        <v>0</v>
      </c>
      <c r="J1900" s="50" t="n">
        <v>0</v>
      </c>
      <c r="K1900" s="51" t="n">
        <v>0</v>
      </c>
      <c r="L1900" s="52" t="n">
        <v>0</v>
      </c>
      <c r="M1900" s="52" t="n">
        <v>0</v>
      </c>
      <c r="N1900" s="52" t="n">
        <v>0</v>
      </c>
      <c r="O1900" s="53" t="n">
        <v>0</v>
      </c>
      <c r="P1900" s="52" t="n">
        <v>0</v>
      </c>
      <c r="Q1900" s="53" t="n">
        <v>0</v>
      </c>
      <c r="R1900" s="52" t="n">
        <v>0</v>
      </c>
      <c r="S1900" s="51" t="n">
        <v>0</v>
      </c>
      <c r="T1900" s="48" t="n">
        <v>0</v>
      </c>
      <c r="U1900" s="49" t="n">
        <v>0</v>
      </c>
      <c r="V1900" s="49" t="n">
        <v>0</v>
      </c>
      <c r="W1900" s="50" t="n">
        <v>0</v>
      </c>
      <c r="X1900" s="51" t="n">
        <v>0</v>
      </c>
      <c r="Y1900" s="52" t="n">
        <v>0</v>
      </c>
      <c r="Z1900" s="52" t="n">
        <v>0</v>
      </c>
      <c r="AA1900" s="52" t="n">
        <v>0</v>
      </c>
      <c r="AB1900" s="53" t="n">
        <v>0</v>
      </c>
      <c r="AC1900" s="52" t="n">
        <v>0</v>
      </c>
      <c r="AD1900" s="53" t="n">
        <v>0</v>
      </c>
      <c r="AE1900" s="52" t="n">
        <v>0</v>
      </c>
      <c r="AF1900" s="51" t="n">
        <v>0</v>
      </c>
      <c r="AG1900" s="48" t="n">
        <v>0</v>
      </c>
      <c r="AH1900" s="49" t="n">
        <v>0</v>
      </c>
      <c r="AI1900" s="49" t="n">
        <v>0</v>
      </c>
      <c r="AJ1900" s="50" t="n">
        <v>0</v>
      </c>
      <c r="AK1900" s="51" t="n">
        <v>0</v>
      </c>
      <c r="AL1900" s="52" t="n">
        <v>0</v>
      </c>
      <c r="AM1900" s="52" t="n">
        <v>0</v>
      </c>
      <c r="AN1900" s="52" t="n">
        <v>0</v>
      </c>
      <c r="AO1900" s="53" t="n">
        <v>0</v>
      </c>
      <c r="AP1900" s="52" t="n">
        <v>0</v>
      </c>
      <c r="AQ1900" s="53" t="n">
        <v>0</v>
      </c>
      <c r="AR1900" s="52" t="n">
        <v>0</v>
      </c>
      <c r="AS1900" s="51" t="n">
        <v>0</v>
      </c>
      <c r="AT1900" s="48" t="n">
        <v>0</v>
      </c>
      <c r="AU1900" s="49" t="n">
        <v>0</v>
      </c>
      <c r="AV1900" s="49" t="n">
        <v>0</v>
      </c>
      <c r="AW1900" s="50" t="n">
        <v>0</v>
      </c>
      <c r="AX1900" s="51" t="n">
        <v>0</v>
      </c>
      <c r="AY1900" s="52" t="n">
        <v>0</v>
      </c>
      <c r="AZ1900" s="52" t="n">
        <v>0</v>
      </c>
      <c r="BA1900" s="52" t="n">
        <v>0</v>
      </c>
      <c r="BB1900" s="53" t="n">
        <v>0</v>
      </c>
      <c r="BC1900" s="52" t="n">
        <v>0</v>
      </c>
      <c r="BD1900" s="53" t="n">
        <v>0</v>
      </c>
      <c r="BE1900" s="52" t="n">
        <v>0</v>
      </c>
      <c r="BF1900" s="51" t="n">
        <v>0</v>
      </c>
    </row>
    <row r="1901">
      <c r="A1901">
        <f>HYPERLINK("https://www.walmart.com/ip/1276189469", "1276189469")</f>
        <v/>
      </c>
      <c r="B1901" t="inlineStr">
        <is>
          <t>Catalonia Waterproof Blanket for Couch, Reversible Washable Sofa Bed Coverlet Protector, Leak Proof, Comfortable Blanket for People and Pets, Grey/Grey, 60" x 80"</t>
        </is>
      </c>
      <c r="C1901" t="inlineStr">
        <is>
          <t>1CTBW685LGDG</t>
        </is>
      </c>
      <c r="D1901" t="inlineStr">
        <is>
          <t>Throws</t>
        </is>
      </c>
      <c r="E1901" t="inlineStr">
        <is>
          <t>Catalonia</t>
        </is>
      </c>
      <c r="F1901" t="inlineStr">
        <is>
          <t>Q2-Target,Wproof Blanket,Batch 1 - TR</t>
        </is>
      </c>
      <c r="G1901" s="48" t="n">
        <v>0</v>
      </c>
      <c r="H1901" s="49" t="n">
        <v>0</v>
      </c>
      <c r="I1901" s="49" t="n">
        <v>0</v>
      </c>
      <c r="J1901" s="50" t="n">
        <v>0</v>
      </c>
      <c r="K1901" s="51" t="n">
        <v>0</v>
      </c>
      <c r="L1901" s="52" t="n">
        <v>0</v>
      </c>
      <c r="M1901" s="52" t="n">
        <v>0</v>
      </c>
      <c r="N1901" s="52" t="n">
        <v>0</v>
      </c>
      <c r="O1901" s="53" t="n">
        <v>0</v>
      </c>
      <c r="P1901" s="52" t="n">
        <v>0</v>
      </c>
      <c r="Q1901" s="53" t="n">
        <v>0</v>
      </c>
      <c r="R1901" s="52" t="n">
        <v>0</v>
      </c>
      <c r="S1901" s="51" t="n">
        <v>0</v>
      </c>
      <c r="T1901" s="48" t="n">
        <v>0</v>
      </c>
      <c r="U1901" s="49" t="n">
        <v>0</v>
      </c>
      <c r="V1901" s="49" t="n">
        <v>0</v>
      </c>
      <c r="W1901" s="50" t="n">
        <v>0</v>
      </c>
      <c r="X1901" s="51" t="n">
        <v>0</v>
      </c>
      <c r="Y1901" s="52" t="n">
        <v>0</v>
      </c>
      <c r="Z1901" s="52" t="n">
        <v>0</v>
      </c>
      <c r="AA1901" s="52" t="n">
        <v>0</v>
      </c>
      <c r="AB1901" s="53" t="n">
        <v>0</v>
      </c>
      <c r="AC1901" s="52" t="n">
        <v>0</v>
      </c>
      <c r="AD1901" s="53" t="n">
        <v>0</v>
      </c>
      <c r="AE1901" s="52" t="n">
        <v>0</v>
      </c>
      <c r="AF1901" s="51" t="n">
        <v>0</v>
      </c>
      <c r="AG1901" s="48" t="n">
        <v>0</v>
      </c>
      <c r="AH1901" s="49" t="n">
        <v>0</v>
      </c>
      <c r="AI1901" s="49" t="n">
        <v>0</v>
      </c>
      <c r="AJ1901" s="50" t="n">
        <v>0</v>
      </c>
      <c r="AK1901" s="51" t="n">
        <v>0</v>
      </c>
      <c r="AL1901" s="52" t="n">
        <v>0</v>
      </c>
      <c r="AM1901" s="52" t="n">
        <v>0</v>
      </c>
      <c r="AN1901" s="52" t="n">
        <v>0</v>
      </c>
      <c r="AO1901" s="53" t="n">
        <v>0</v>
      </c>
      <c r="AP1901" s="52" t="n">
        <v>0</v>
      </c>
      <c r="AQ1901" s="53" t="n">
        <v>0</v>
      </c>
      <c r="AR1901" s="52" t="n">
        <v>0</v>
      </c>
      <c r="AS1901" s="51" t="n">
        <v>0</v>
      </c>
      <c r="AT1901" s="48" t="n">
        <v>0</v>
      </c>
      <c r="AU1901" s="49" t="n">
        <v>0</v>
      </c>
      <c r="AV1901" s="49" t="n">
        <v>0</v>
      </c>
      <c r="AW1901" s="50" t="n">
        <v>0</v>
      </c>
      <c r="AX1901" s="51" t="n">
        <v>0</v>
      </c>
      <c r="AY1901" s="52" t="n">
        <v>0</v>
      </c>
      <c r="AZ1901" s="52" t="n">
        <v>0</v>
      </c>
      <c r="BA1901" s="52" t="n">
        <v>0</v>
      </c>
      <c r="BB1901" s="53" t="n">
        <v>0</v>
      </c>
      <c r="BC1901" s="52" t="n">
        <v>0</v>
      </c>
      <c r="BD1901" s="53" t="n">
        <v>0</v>
      </c>
      <c r="BE1901" s="52" t="n">
        <v>0</v>
      </c>
      <c r="BF1901" s="51" t="n">
        <v>0</v>
      </c>
    </row>
    <row r="1902">
      <c r="A1902">
        <f>HYPERLINK("https://www.walmart.com/ip/127975599", "127975599")</f>
        <v/>
      </c>
      <c r="B1902" t="inlineStr">
        <is>
          <t>Flyingstar Unisex Sun Hat with Neck Flap, UV Protection Wide Brim Fishing Hat, Hunting Hat for Women and Men, Tan</t>
        </is>
      </c>
      <c r="C1902" t="inlineStr">
        <is>
          <t>1WMSH910TN</t>
        </is>
      </c>
      <c r="D1902" t="inlineStr">
        <is>
          <t>Hats</t>
        </is>
      </c>
      <c r="E1902" t="inlineStr">
        <is>
          <t>Tirrinia</t>
        </is>
      </c>
      <c r="F1902" t="inlineStr">
        <is>
          <t>Optimized</t>
        </is>
      </c>
      <c r="G1902" s="48" t="n">
        <v>0</v>
      </c>
      <c r="H1902" s="49" t="n">
        <v>0</v>
      </c>
      <c r="I1902" s="49" t="n">
        <v>0</v>
      </c>
      <c r="J1902" s="50" t="n">
        <v>0</v>
      </c>
      <c r="K1902" s="51" t="n">
        <v>0</v>
      </c>
      <c r="L1902" s="52" t="n">
        <v>0</v>
      </c>
      <c r="M1902" s="52" t="n">
        <v>0</v>
      </c>
      <c r="N1902" s="52" t="n">
        <v>0</v>
      </c>
      <c r="O1902" s="53" t="n">
        <v>0</v>
      </c>
      <c r="P1902" s="52" t="n">
        <v>0</v>
      </c>
      <c r="Q1902" s="53" t="n">
        <v>0</v>
      </c>
      <c r="R1902" s="52" t="n">
        <v>0</v>
      </c>
      <c r="S1902" s="51" t="n">
        <v>0</v>
      </c>
      <c r="T1902" s="48" t="n">
        <v>0</v>
      </c>
      <c r="U1902" s="49" t="n">
        <v>0</v>
      </c>
      <c r="V1902" s="49" t="n">
        <v>0</v>
      </c>
      <c r="W1902" s="50" t="n">
        <v>0</v>
      </c>
      <c r="X1902" s="51" t="n">
        <v>0</v>
      </c>
      <c r="Y1902" s="52" t="n">
        <v>0</v>
      </c>
      <c r="Z1902" s="52" t="n">
        <v>0</v>
      </c>
      <c r="AA1902" s="52" t="n">
        <v>0</v>
      </c>
      <c r="AB1902" s="53" t="n">
        <v>0</v>
      </c>
      <c r="AC1902" s="52" t="n">
        <v>0</v>
      </c>
      <c r="AD1902" s="53" t="n">
        <v>0</v>
      </c>
      <c r="AE1902" s="52" t="n">
        <v>0</v>
      </c>
      <c r="AF1902" s="51" t="n">
        <v>0</v>
      </c>
      <c r="AG1902" s="48" t="n">
        <v>0</v>
      </c>
      <c r="AH1902" s="49" t="n">
        <v>0</v>
      </c>
      <c r="AI1902" s="49" t="n">
        <v>0</v>
      </c>
      <c r="AJ1902" s="50" t="n">
        <v>0</v>
      </c>
      <c r="AK1902" s="51" t="n">
        <v>0</v>
      </c>
      <c r="AL1902" s="52" t="n">
        <v>0</v>
      </c>
      <c r="AM1902" s="52" t="n">
        <v>0</v>
      </c>
      <c r="AN1902" s="52" t="n">
        <v>0</v>
      </c>
      <c r="AO1902" s="53" t="n">
        <v>0</v>
      </c>
      <c r="AP1902" s="52" t="n">
        <v>0</v>
      </c>
      <c r="AQ1902" s="53" t="n">
        <v>0</v>
      </c>
      <c r="AR1902" s="52" t="n">
        <v>0</v>
      </c>
      <c r="AS1902" s="51" t="n">
        <v>0</v>
      </c>
      <c r="AT1902" s="48" t="n">
        <v>0</v>
      </c>
      <c r="AU1902" s="49" t="n">
        <v>0</v>
      </c>
      <c r="AV1902" s="49" t="n">
        <v>0</v>
      </c>
      <c r="AW1902" s="50" t="n">
        <v>0</v>
      </c>
      <c r="AX1902" s="51" t="n">
        <v>0</v>
      </c>
      <c r="AY1902" s="52" t="n">
        <v>0</v>
      </c>
      <c r="AZ1902" s="52" t="n">
        <v>0</v>
      </c>
      <c r="BA1902" s="52" t="n">
        <v>0</v>
      </c>
      <c r="BB1902" s="53" t="n">
        <v>0</v>
      </c>
      <c r="BC1902" s="52" t="n">
        <v>0</v>
      </c>
      <c r="BD1902" s="53" t="n">
        <v>0</v>
      </c>
      <c r="BE1902" s="52" t="n">
        <v>0</v>
      </c>
      <c r="BF1902" s="51" t="n">
        <v>0</v>
      </c>
    </row>
    <row r="1903">
      <c r="A1903">
        <f>HYPERLINK("https://www.walmart.com/ip/128775917", "128775917")</f>
        <v/>
      </c>
      <c r="B1903" t="inlineStr">
        <is>
          <t>Deluxe Classic Suede Bill Baseball Cap with Leather Strap Closure</t>
        </is>
      </c>
      <c r="C1903" t="inlineStr">
        <is>
          <t>KC-S6300-NT/DG</t>
        </is>
      </c>
      <c r="D1903" t="inlineStr">
        <is>
          <t>Hats</t>
        </is>
      </c>
      <c r="E1903" t="inlineStr">
        <is>
          <t>KC Caps</t>
        </is>
      </c>
      <c r="F1903" t="inlineStr">
        <is>
          <t>Optimized</t>
        </is>
      </c>
      <c r="G1903" s="48" t="n">
        <v>0</v>
      </c>
      <c r="H1903" s="49" t="n">
        <v>0</v>
      </c>
      <c r="I1903" s="49" t="n">
        <v>0</v>
      </c>
      <c r="J1903" s="50" t="n">
        <v>0</v>
      </c>
      <c r="K1903" s="51" t="n">
        <v>0</v>
      </c>
      <c r="L1903" s="52" t="n">
        <v>0</v>
      </c>
      <c r="M1903" s="52" t="n">
        <v>0</v>
      </c>
      <c r="N1903" s="52" t="n">
        <v>0</v>
      </c>
      <c r="O1903" s="53" t="n">
        <v>0</v>
      </c>
      <c r="P1903" s="52" t="n">
        <v>0</v>
      </c>
      <c r="Q1903" s="53" t="n">
        <v>0</v>
      </c>
      <c r="R1903" s="52" t="n">
        <v>0</v>
      </c>
      <c r="S1903" s="51" t="n">
        <v>0</v>
      </c>
      <c r="T1903" s="48" t="n">
        <v>0</v>
      </c>
      <c r="U1903" s="49" t="n">
        <v>0</v>
      </c>
      <c r="V1903" s="49" t="n">
        <v>0</v>
      </c>
      <c r="W1903" s="50" t="n">
        <v>0</v>
      </c>
      <c r="X1903" s="51" t="n">
        <v>0</v>
      </c>
      <c r="Y1903" s="52" t="n">
        <v>0</v>
      </c>
      <c r="Z1903" s="52" t="n">
        <v>0</v>
      </c>
      <c r="AA1903" s="52" t="n">
        <v>0</v>
      </c>
      <c r="AB1903" s="53" t="n">
        <v>0</v>
      </c>
      <c r="AC1903" s="52" t="n">
        <v>0</v>
      </c>
      <c r="AD1903" s="53" t="n">
        <v>0</v>
      </c>
      <c r="AE1903" s="52" t="n">
        <v>0</v>
      </c>
      <c r="AF1903" s="51" t="n">
        <v>0</v>
      </c>
      <c r="AG1903" s="48" t="n">
        <v>0</v>
      </c>
      <c r="AH1903" s="49" t="n">
        <v>0</v>
      </c>
      <c r="AI1903" s="49" t="n">
        <v>0</v>
      </c>
      <c r="AJ1903" s="50" t="n">
        <v>0</v>
      </c>
      <c r="AK1903" s="51" t="n">
        <v>0</v>
      </c>
      <c r="AL1903" s="52" t="n">
        <v>0</v>
      </c>
      <c r="AM1903" s="52" t="n">
        <v>0</v>
      </c>
      <c r="AN1903" s="52" t="n">
        <v>0</v>
      </c>
      <c r="AO1903" s="53" t="n">
        <v>0</v>
      </c>
      <c r="AP1903" s="52" t="n">
        <v>0</v>
      </c>
      <c r="AQ1903" s="53" t="n">
        <v>0</v>
      </c>
      <c r="AR1903" s="52" t="n">
        <v>0</v>
      </c>
      <c r="AS1903" s="51" t="n">
        <v>0</v>
      </c>
      <c r="AT1903" s="48" t="n">
        <v>0</v>
      </c>
      <c r="AU1903" s="49" t="n">
        <v>0</v>
      </c>
      <c r="AV1903" s="49" t="n">
        <v>0</v>
      </c>
      <c r="AW1903" s="50" t="n">
        <v>0</v>
      </c>
      <c r="AX1903" s="51" t="n">
        <v>0</v>
      </c>
      <c r="AY1903" s="52" t="n">
        <v>0</v>
      </c>
      <c r="AZ1903" s="52" t="n">
        <v>0</v>
      </c>
      <c r="BA1903" s="52" t="n">
        <v>0</v>
      </c>
      <c r="BB1903" s="53" t="n">
        <v>0</v>
      </c>
      <c r="BC1903" s="52" t="n">
        <v>0</v>
      </c>
      <c r="BD1903" s="53" t="n">
        <v>0</v>
      </c>
      <c r="BE1903" s="52" t="n">
        <v>0</v>
      </c>
      <c r="BF1903" s="51" t="n">
        <v>0</v>
      </c>
    </row>
    <row r="1904">
      <c r="A1904">
        <f>HYPERLINK("https://www.walmart.com/ip/1281105499", "1281105499")</f>
        <v/>
      </c>
      <c r="B1904" t="inlineStr">
        <is>
          <t>Tirrinia Neon Hunting Orange Safety Cap Closure</t>
        </is>
      </c>
      <c r="C1904" t="inlineStr">
        <is>
          <t>1TRHT7121OL-12pcs</t>
        </is>
      </c>
      <c r="D1904" t="inlineStr">
        <is>
          <t>Hats</t>
        </is>
      </c>
      <c r="E1904" t="inlineStr">
        <is>
          <t>Tirrinia</t>
        </is>
      </c>
      <c r="F1904" t="inlineStr">
        <is>
          <t>Batch 1 - TR</t>
        </is>
      </c>
      <c r="G1904" s="48" t="n">
        <v>0</v>
      </c>
      <c r="H1904" s="49" t="n">
        <v>0</v>
      </c>
      <c r="I1904" s="49" t="n">
        <v>0</v>
      </c>
      <c r="J1904" s="50" t="n">
        <v>0</v>
      </c>
      <c r="K1904" s="51" t="n">
        <v>0</v>
      </c>
      <c r="L1904" s="52" t="n">
        <v>0</v>
      </c>
      <c r="M1904" s="52" t="n">
        <v>0</v>
      </c>
      <c r="N1904" s="52" t="n">
        <v>0</v>
      </c>
      <c r="O1904" s="53" t="n">
        <v>0</v>
      </c>
      <c r="P1904" s="52" t="n">
        <v>0</v>
      </c>
      <c r="Q1904" s="53" t="n">
        <v>0</v>
      </c>
      <c r="R1904" s="52" t="n">
        <v>0</v>
      </c>
      <c r="S1904" s="51" t="n">
        <v>0</v>
      </c>
      <c r="T1904" s="48" t="n">
        <v>0</v>
      </c>
      <c r="U1904" s="49" t="n">
        <v>0</v>
      </c>
      <c r="V1904" s="49" t="n">
        <v>0</v>
      </c>
      <c r="W1904" s="50" t="n">
        <v>0</v>
      </c>
      <c r="X1904" s="51" t="n">
        <v>0</v>
      </c>
      <c r="Y1904" s="52" t="n">
        <v>0</v>
      </c>
      <c r="Z1904" s="52" t="n">
        <v>0</v>
      </c>
      <c r="AA1904" s="52" t="n">
        <v>0</v>
      </c>
      <c r="AB1904" s="53" t="n">
        <v>0</v>
      </c>
      <c r="AC1904" s="52" t="n">
        <v>0</v>
      </c>
      <c r="AD1904" s="53" t="n">
        <v>0</v>
      </c>
      <c r="AE1904" s="52" t="n">
        <v>0</v>
      </c>
      <c r="AF1904" s="51" t="n">
        <v>0</v>
      </c>
      <c r="AG1904" s="48" t="n">
        <v>0</v>
      </c>
      <c r="AH1904" s="49" t="n">
        <v>0</v>
      </c>
      <c r="AI1904" s="49" t="n">
        <v>0</v>
      </c>
      <c r="AJ1904" s="50" t="n">
        <v>0</v>
      </c>
      <c r="AK1904" s="51" t="n">
        <v>0</v>
      </c>
      <c r="AL1904" s="52" t="n">
        <v>0</v>
      </c>
      <c r="AM1904" s="52" t="n">
        <v>0</v>
      </c>
      <c r="AN1904" s="52" t="n">
        <v>0</v>
      </c>
      <c r="AO1904" s="53" t="n">
        <v>0</v>
      </c>
      <c r="AP1904" s="52" t="n">
        <v>0</v>
      </c>
      <c r="AQ1904" s="53" t="n">
        <v>0</v>
      </c>
      <c r="AR1904" s="52" t="n">
        <v>0</v>
      </c>
      <c r="AS1904" s="51" t="n">
        <v>0</v>
      </c>
      <c r="AT1904" s="48" t="n">
        <v>0</v>
      </c>
      <c r="AU1904" s="49" t="n">
        <v>0</v>
      </c>
      <c r="AV1904" s="49" t="n">
        <v>0</v>
      </c>
      <c r="AW1904" s="50" t="n">
        <v>0</v>
      </c>
      <c r="AX1904" s="51" t="n">
        <v>0</v>
      </c>
      <c r="AY1904" s="52" t="n">
        <v>0</v>
      </c>
      <c r="AZ1904" s="52" t="n">
        <v>0</v>
      </c>
      <c r="BA1904" s="52" t="n">
        <v>0</v>
      </c>
      <c r="BB1904" s="53" t="n">
        <v>0</v>
      </c>
      <c r="BC1904" s="52" t="n">
        <v>0</v>
      </c>
      <c r="BD1904" s="53" t="n">
        <v>0</v>
      </c>
      <c r="BE1904" s="52" t="n">
        <v>0</v>
      </c>
      <c r="BF1904" s="51" t="n">
        <v>0</v>
      </c>
    </row>
    <row r="1905">
      <c r="A1905">
        <f>HYPERLINK("https://www.walmart.com/ip/128287456", "128287456")</f>
        <v/>
      </c>
      <c r="B1905" t="inlineStr">
        <is>
          <t>Jenniwears Lingerie For Women Lace Chemise Translucent Babydoll Sleepwear Strappy Dress With G-String</t>
        </is>
      </c>
      <c r="C1905" t="inlineStr">
        <is>
          <t>JWND03PP</t>
        </is>
      </c>
      <c r="D1905" t="inlineStr">
        <is>
          <t>Lingerie Sets</t>
        </is>
      </c>
      <c r="E1905" t="inlineStr">
        <is>
          <t>JenniWears</t>
        </is>
      </c>
      <c r="F1905" t="inlineStr">
        <is>
          <t>Optimized,Valentine</t>
        </is>
      </c>
      <c r="G1905" s="48" t="n">
        <v>0</v>
      </c>
      <c r="H1905" s="49" t="n">
        <v>0</v>
      </c>
      <c r="I1905" s="49" t="n">
        <v>0</v>
      </c>
      <c r="J1905" s="50" t="n">
        <v>0</v>
      </c>
      <c r="K1905" s="51" t="n">
        <v>0</v>
      </c>
      <c r="L1905" s="52" t="n">
        <v>0</v>
      </c>
      <c r="M1905" s="52" t="n">
        <v>0</v>
      </c>
      <c r="N1905" s="52" t="n">
        <v>0</v>
      </c>
      <c r="O1905" s="53" t="n">
        <v>0</v>
      </c>
      <c r="P1905" s="52" t="n">
        <v>0</v>
      </c>
      <c r="Q1905" s="53" t="n">
        <v>0</v>
      </c>
      <c r="R1905" s="52" t="n">
        <v>0</v>
      </c>
      <c r="S1905" s="51" t="n">
        <v>0</v>
      </c>
      <c r="T1905" s="48" t="n">
        <v>0</v>
      </c>
      <c r="U1905" s="49" t="n">
        <v>0</v>
      </c>
      <c r="V1905" s="49" t="n">
        <v>0</v>
      </c>
      <c r="W1905" s="50" t="n">
        <v>0</v>
      </c>
      <c r="X1905" s="51" t="n">
        <v>0</v>
      </c>
      <c r="Y1905" s="52" t="n">
        <v>0</v>
      </c>
      <c r="Z1905" s="52" t="n">
        <v>0</v>
      </c>
      <c r="AA1905" s="52" t="n">
        <v>0</v>
      </c>
      <c r="AB1905" s="53" t="n">
        <v>0</v>
      </c>
      <c r="AC1905" s="52" t="n">
        <v>0</v>
      </c>
      <c r="AD1905" s="53" t="n">
        <v>0</v>
      </c>
      <c r="AE1905" s="52" t="n">
        <v>0</v>
      </c>
      <c r="AF1905" s="51" t="n">
        <v>0</v>
      </c>
      <c r="AG1905" s="48" t="n">
        <v>0</v>
      </c>
      <c r="AH1905" s="49" t="n">
        <v>0</v>
      </c>
      <c r="AI1905" s="49" t="n">
        <v>0</v>
      </c>
      <c r="AJ1905" s="50" t="n">
        <v>0</v>
      </c>
      <c r="AK1905" s="51" t="n">
        <v>0</v>
      </c>
      <c r="AL1905" s="52" t="n">
        <v>0</v>
      </c>
      <c r="AM1905" s="52" t="n">
        <v>0</v>
      </c>
      <c r="AN1905" s="52" t="n">
        <v>0</v>
      </c>
      <c r="AO1905" s="53" t="n">
        <v>0</v>
      </c>
      <c r="AP1905" s="52" t="n">
        <v>0</v>
      </c>
      <c r="AQ1905" s="53" t="n">
        <v>0</v>
      </c>
      <c r="AR1905" s="52" t="n">
        <v>0</v>
      </c>
      <c r="AS1905" s="51" t="n">
        <v>0</v>
      </c>
      <c r="AT1905" s="48" t="n">
        <v>0</v>
      </c>
      <c r="AU1905" s="49" t="n">
        <v>0</v>
      </c>
      <c r="AV1905" s="49" t="n">
        <v>0</v>
      </c>
      <c r="AW1905" s="50" t="n">
        <v>0</v>
      </c>
      <c r="AX1905" s="51" t="n">
        <v>0</v>
      </c>
      <c r="AY1905" s="52" t="n">
        <v>0</v>
      </c>
      <c r="AZ1905" s="52" t="n">
        <v>0</v>
      </c>
      <c r="BA1905" s="52" t="n">
        <v>0</v>
      </c>
      <c r="BB1905" s="53" t="n">
        <v>0</v>
      </c>
      <c r="BC1905" s="52" t="n">
        <v>0</v>
      </c>
      <c r="BD1905" s="53" t="n">
        <v>0</v>
      </c>
      <c r="BE1905" s="52" t="n">
        <v>0</v>
      </c>
      <c r="BF1905" s="51" t="n">
        <v>0</v>
      </c>
    </row>
    <row r="1906">
      <c r="A1906">
        <f>HYPERLINK("https://www.walmart.com/ip/128458122", "128458122")</f>
        <v/>
      </c>
      <c r="B1906" t="inlineStr">
        <is>
          <t>Deluxe Stylish Microplush Sleeved Fleece Blanket Soft Home Sofa Snuggie</t>
        </is>
      </c>
      <c r="C1906" t="inlineStr">
        <is>
          <t>k3000-pink</t>
        </is>
      </c>
      <c r="D1906" t="inlineStr">
        <is>
          <t>Sleepwear Robes &amp; Bathrobes</t>
        </is>
      </c>
      <c r="E1906" t="inlineStr">
        <is>
          <t>NAPA</t>
        </is>
      </c>
      <c r="F1906" t="inlineStr">
        <is>
          <t>Fleece Blankets,Batch 1 - TR</t>
        </is>
      </c>
      <c r="G1906" s="48" t="n">
        <v>0</v>
      </c>
      <c r="H1906" s="49" t="n">
        <v>0</v>
      </c>
      <c r="I1906" s="49" t="n">
        <v>0</v>
      </c>
      <c r="J1906" s="50" t="n">
        <v>0</v>
      </c>
      <c r="K1906" s="51" t="n">
        <v>0</v>
      </c>
      <c r="L1906" s="52" t="n">
        <v>0</v>
      </c>
      <c r="M1906" s="52" t="n">
        <v>0</v>
      </c>
      <c r="N1906" s="52" t="n">
        <v>0</v>
      </c>
      <c r="O1906" s="53" t="n">
        <v>0</v>
      </c>
      <c r="P1906" s="52" t="n">
        <v>0</v>
      </c>
      <c r="Q1906" s="53" t="n">
        <v>0</v>
      </c>
      <c r="R1906" s="52" t="n">
        <v>0</v>
      </c>
      <c r="S1906" s="51" t="n">
        <v>0</v>
      </c>
      <c r="T1906" s="48" t="n">
        <v>0</v>
      </c>
      <c r="U1906" s="49" t="n">
        <v>0</v>
      </c>
      <c r="V1906" s="49" t="n">
        <v>0</v>
      </c>
      <c r="W1906" s="50" t="n">
        <v>0</v>
      </c>
      <c r="X1906" s="51" t="n">
        <v>0</v>
      </c>
      <c r="Y1906" s="52" t="n">
        <v>0</v>
      </c>
      <c r="Z1906" s="52" t="n">
        <v>0</v>
      </c>
      <c r="AA1906" s="52" t="n">
        <v>0</v>
      </c>
      <c r="AB1906" s="53" t="n">
        <v>0</v>
      </c>
      <c r="AC1906" s="52" t="n">
        <v>0</v>
      </c>
      <c r="AD1906" s="53" t="n">
        <v>0</v>
      </c>
      <c r="AE1906" s="52" t="n">
        <v>0</v>
      </c>
      <c r="AF1906" s="51" t="n">
        <v>0</v>
      </c>
      <c r="AG1906" s="48" t="n">
        <v>0</v>
      </c>
      <c r="AH1906" s="49" t="n">
        <v>0</v>
      </c>
      <c r="AI1906" s="49" t="n">
        <v>0</v>
      </c>
      <c r="AJ1906" s="50" t="n">
        <v>0</v>
      </c>
      <c r="AK1906" s="51" t="n">
        <v>0</v>
      </c>
      <c r="AL1906" s="52" t="n">
        <v>0</v>
      </c>
      <c r="AM1906" s="52" t="n">
        <v>0</v>
      </c>
      <c r="AN1906" s="52" t="n">
        <v>0</v>
      </c>
      <c r="AO1906" s="53" t="n">
        <v>0</v>
      </c>
      <c r="AP1906" s="52" t="n">
        <v>0</v>
      </c>
      <c r="AQ1906" s="53" t="n">
        <v>0</v>
      </c>
      <c r="AR1906" s="52" t="n">
        <v>0</v>
      </c>
      <c r="AS1906" s="51" t="n">
        <v>0</v>
      </c>
      <c r="AT1906" s="48" t="n">
        <v>0</v>
      </c>
      <c r="AU1906" s="49" t="n">
        <v>0</v>
      </c>
      <c r="AV1906" s="49" t="n">
        <v>0</v>
      </c>
      <c r="AW1906" s="50" t="n">
        <v>0</v>
      </c>
      <c r="AX1906" s="51" t="n">
        <v>0</v>
      </c>
      <c r="AY1906" s="52" t="n">
        <v>0</v>
      </c>
      <c r="AZ1906" s="52" t="n">
        <v>0</v>
      </c>
      <c r="BA1906" s="52" t="n">
        <v>0</v>
      </c>
      <c r="BB1906" s="53" t="n">
        <v>0</v>
      </c>
      <c r="BC1906" s="52" t="n">
        <v>0</v>
      </c>
      <c r="BD1906" s="53" t="n">
        <v>0</v>
      </c>
      <c r="BE1906" s="52" t="n">
        <v>0</v>
      </c>
      <c r="BF1906" s="51" t="n">
        <v>0</v>
      </c>
    </row>
    <row r="1907">
      <c r="A1907">
        <f>HYPERLINK("https://www.walmart.com/ip/1284646201", "1284646201")</f>
        <v/>
      </c>
      <c r="B1907" t="inlineStr">
        <is>
          <t>Catalonia Oversized Hoodie Blanket with Zipper, Wearable Sherpa Sweatshirt Pullover, Soft Warm Comfortable Jacket for Adults Men Women, Ash Grey</t>
        </is>
      </c>
      <c r="C1907" t="inlineStr">
        <is>
          <t>1CTHD220GYASH</t>
        </is>
      </c>
      <c r="D1907" t="inlineStr">
        <is>
          <t>Throws</t>
        </is>
      </c>
      <c r="E1907" t="inlineStr">
        <is>
          <t>Catalonia</t>
        </is>
      </c>
      <c r="F1907" t="inlineStr">
        <is>
          <t>Coupon_Discount,Batch 1 - TR</t>
        </is>
      </c>
      <c r="G1907" s="48" t="n">
        <v>0</v>
      </c>
      <c r="H1907" s="49" t="n">
        <v>0</v>
      </c>
      <c r="I1907" s="49" t="n">
        <v>0</v>
      </c>
      <c r="J1907" s="50" t="n">
        <v>0</v>
      </c>
      <c r="K1907" s="51" t="n">
        <v>4</v>
      </c>
      <c r="L1907" s="52" t="n">
        <v>1.16</v>
      </c>
      <c r="M1907" s="52" t="n">
        <v>0</v>
      </c>
      <c r="N1907" s="52" t="n">
        <v>0</v>
      </c>
      <c r="O1907" s="53" t="n">
        <v>0.0021</v>
      </c>
      <c r="P1907" s="52" t="n">
        <v>0.29</v>
      </c>
      <c r="Q1907" s="53" t="n">
        <v>0</v>
      </c>
      <c r="R1907" s="52" t="n">
        <v>0</v>
      </c>
      <c r="S1907" s="51" t="n">
        <v>1934</v>
      </c>
      <c r="T1907" s="48" t="n">
        <v>0</v>
      </c>
      <c r="U1907" s="49" t="n">
        <v>0</v>
      </c>
      <c r="V1907" s="49" t="n">
        <v>0</v>
      </c>
      <c r="W1907" s="50" t="n">
        <v>0</v>
      </c>
      <c r="X1907" s="51" t="n">
        <v>5</v>
      </c>
      <c r="Y1907" s="52" t="n">
        <v>1.21</v>
      </c>
      <c r="Z1907" s="52" t="n">
        <v>0</v>
      </c>
      <c r="AA1907" s="52" t="n">
        <v>0</v>
      </c>
      <c r="AB1907" s="53" t="n">
        <v>0.0023</v>
      </c>
      <c r="AC1907" s="52" t="n">
        <v>0.242</v>
      </c>
      <c r="AD1907" s="53" t="n">
        <v>0</v>
      </c>
      <c r="AE1907" s="52" t="n">
        <v>0</v>
      </c>
      <c r="AF1907" s="51" t="n">
        <v>2200</v>
      </c>
      <c r="AG1907" s="48" t="n">
        <v>0</v>
      </c>
      <c r="AH1907" s="49" t="n">
        <v>0</v>
      </c>
      <c r="AI1907" s="49" t="n">
        <v>0</v>
      </c>
      <c r="AJ1907" s="50" t="n">
        <v>0</v>
      </c>
      <c r="AK1907" s="51" t="n">
        <v>3</v>
      </c>
      <c r="AL1907" s="52" t="n">
        <v>0.9299999999999999</v>
      </c>
      <c r="AM1907" s="52" t="n">
        <v>0</v>
      </c>
      <c r="AN1907" s="52" t="n">
        <v>0</v>
      </c>
      <c r="AO1907" s="53" t="n">
        <v>0.0013</v>
      </c>
      <c r="AP1907" s="52" t="n">
        <v>0.31</v>
      </c>
      <c r="AQ1907" s="53" t="n">
        <v>0</v>
      </c>
      <c r="AR1907" s="52" t="n">
        <v>0</v>
      </c>
      <c r="AS1907" s="51" t="n">
        <v>2382</v>
      </c>
      <c r="AT1907" s="48" t="n">
        <v>0</v>
      </c>
      <c r="AU1907" s="49" t="n">
        <v>0</v>
      </c>
      <c r="AV1907" s="49" t="n">
        <v>0</v>
      </c>
      <c r="AW1907" s="50" t="n">
        <v>0</v>
      </c>
      <c r="AX1907" s="51" t="n">
        <v>2</v>
      </c>
      <c r="AY1907" s="52" t="n">
        <v>0.62</v>
      </c>
      <c r="AZ1907" s="52" t="n">
        <v>0</v>
      </c>
      <c r="BA1907" s="52" t="n">
        <v>0</v>
      </c>
      <c r="BB1907" s="53" t="n">
        <v>0.0016</v>
      </c>
      <c r="BC1907" s="52" t="n">
        <v>0.31</v>
      </c>
      <c r="BD1907" s="53" t="n">
        <v>0</v>
      </c>
      <c r="BE1907" s="52" t="n">
        <v>0</v>
      </c>
      <c r="BF1907" s="51" t="n">
        <v>1260</v>
      </c>
    </row>
    <row r="1908">
      <c r="A1908">
        <f>HYPERLINK("https://www.walmart.com/ip/128704352", "128704352")</f>
        <v/>
      </c>
      <c r="B1908" t="inlineStr">
        <is>
          <t>KC Caps Fleece Shawl Wrap Scarf with Pockets, Cozy and Beanie Hats Set, Adult Women Men, 1.87 lbs</t>
        </is>
      </c>
      <c r="C1908" t="inlineStr">
        <is>
          <t>KC-W1810-W1850-CHT</t>
        </is>
      </c>
      <c r="D1908" t="inlineStr">
        <is>
          <t>Scarves</t>
        </is>
      </c>
      <c r="E1908" t="inlineStr">
        <is>
          <t>KC Caps</t>
        </is>
      </c>
      <c r="F1908" t="inlineStr">
        <is>
          <t>Batch 1 - TR</t>
        </is>
      </c>
      <c r="G1908" s="48" t="n">
        <v>0</v>
      </c>
      <c r="H1908" s="49" t="n">
        <v>0</v>
      </c>
      <c r="I1908" s="49" t="n">
        <v>0</v>
      </c>
      <c r="J1908" s="50" t="n">
        <v>0</v>
      </c>
      <c r="K1908" s="51" t="n">
        <v>0</v>
      </c>
      <c r="L1908" s="52" t="n">
        <v>0</v>
      </c>
      <c r="M1908" s="52" t="n">
        <v>0</v>
      </c>
      <c r="N1908" s="52" t="n">
        <v>0</v>
      </c>
      <c r="O1908" s="53" t="n">
        <v>0</v>
      </c>
      <c r="P1908" s="52" t="n">
        <v>0</v>
      </c>
      <c r="Q1908" s="53" t="n">
        <v>0</v>
      </c>
      <c r="R1908" s="52" t="n">
        <v>0</v>
      </c>
      <c r="S1908" s="51" t="n">
        <v>0</v>
      </c>
      <c r="T1908" s="48" t="n">
        <v>0</v>
      </c>
      <c r="U1908" s="49" t="n">
        <v>0</v>
      </c>
      <c r="V1908" s="49" t="n">
        <v>0</v>
      </c>
      <c r="W1908" s="50" t="n">
        <v>0</v>
      </c>
      <c r="X1908" s="51" t="n">
        <v>0</v>
      </c>
      <c r="Y1908" s="52" t="n">
        <v>0</v>
      </c>
      <c r="Z1908" s="52" t="n">
        <v>0</v>
      </c>
      <c r="AA1908" s="52" t="n">
        <v>0</v>
      </c>
      <c r="AB1908" s="53" t="n">
        <v>0</v>
      </c>
      <c r="AC1908" s="52" t="n">
        <v>0</v>
      </c>
      <c r="AD1908" s="53" t="n">
        <v>0</v>
      </c>
      <c r="AE1908" s="52" t="n">
        <v>0</v>
      </c>
      <c r="AF1908" s="51" t="n">
        <v>0</v>
      </c>
      <c r="AG1908" s="48" t="n">
        <v>6.98</v>
      </c>
      <c r="AH1908" s="49" t="n">
        <v>1</v>
      </c>
      <c r="AI1908" s="49" t="n">
        <v>0</v>
      </c>
      <c r="AJ1908" s="50" t="n">
        <v>0</v>
      </c>
      <c r="AK1908" s="51" t="n">
        <v>0</v>
      </c>
      <c r="AL1908" s="52" t="n">
        <v>0</v>
      </c>
      <c r="AM1908" s="52" t="n">
        <v>0</v>
      </c>
      <c r="AN1908" s="52" t="n">
        <v>0</v>
      </c>
      <c r="AO1908" s="53" t="n">
        <v>0</v>
      </c>
      <c r="AP1908" s="52" t="n">
        <v>0</v>
      </c>
      <c r="AQ1908" s="53" t="n">
        <v>0</v>
      </c>
      <c r="AR1908" s="52" t="n">
        <v>6.98</v>
      </c>
      <c r="AS1908" s="51" t="n">
        <v>0</v>
      </c>
      <c r="AT1908" s="48" t="n">
        <v>0</v>
      </c>
      <c r="AU1908" s="49" t="n">
        <v>0</v>
      </c>
      <c r="AV1908" s="49" t="n">
        <v>0</v>
      </c>
      <c r="AW1908" s="50" t="n">
        <v>0</v>
      </c>
      <c r="AX1908" s="51" t="n">
        <v>0</v>
      </c>
      <c r="AY1908" s="52" t="n">
        <v>0</v>
      </c>
      <c r="AZ1908" s="52" t="n">
        <v>0</v>
      </c>
      <c r="BA1908" s="52" t="n">
        <v>0</v>
      </c>
      <c r="BB1908" s="53" t="n">
        <v>0</v>
      </c>
      <c r="BC1908" s="52" t="n">
        <v>0</v>
      </c>
      <c r="BD1908" s="53" t="n">
        <v>0</v>
      </c>
      <c r="BE1908" s="52" t="n">
        <v>0</v>
      </c>
      <c r="BF1908" s="51" t="n">
        <v>0</v>
      </c>
    </row>
    <row r="1909">
      <c r="A1909">
        <f>HYPERLINK("https://www.walmart.com/ip/128738586", "128738586")</f>
        <v/>
      </c>
      <c r="B1909" t="inlineStr">
        <is>
          <t>KC Caps® Cotton Twill Deluxe Super Soft Mesh Adjustable Snapback Low Profile Trucker Baseball Cap</t>
        </is>
      </c>
      <c r="C1909" t="inlineStr">
        <is>
          <t>KCCAPSSZK641ST/ST</t>
        </is>
      </c>
      <c r="D1909" t="inlineStr">
        <is>
          <t>Hats</t>
        </is>
      </c>
      <c r="E1909" t="inlineStr">
        <is>
          <t>KC Caps</t>
        </is>
      </c>
      <c r="F1909" t="inlineStr">
        <is>
          <t>Optimized</t>
        </is>
      </c>
      <c r="G1909" s="48" t="n">
        <v>0</v>
      </c>
      <c r="H1909" s="49" t="n">
        <v>0</v>
      </c>
      <c r="I1909" s="49" t="n">
        <v>0</v>
      </c>
      <c r="J1909" s="50" t="n">
        <v>0</v>
      </c>
      <c r="K1909" s="51" t="n">
        <v>0</v>
      </c>
      <c r="L1909" s="52" t="n">
        <v>0</v>
      </c>
      <c r="M1909" s="52" t="n">
        <v>0</v>
      </c>
      <c r="N1909" s="52" t="n">
        <v>0</v>
      </c>
      <c r="O1909" s="53" t="n">
        <v>0</v>
      </c>
      <c r="P1909" s="52" t="n">
        <v>0</v>
      </c>
      <c r="Q1909" s="53" t="n">
        <v>0</v>
      </c>
      <c r="R1909" s="52" t="n">
        <v>0</v>
      </c>
      <c r="S1909" s="51" t="n">
        <v>0</v>
      </c>
      <c r="T1909" s="48" t="n">
        <v>0</v>
      </c>
      <c r="U1909" s="49" t="n">
        <v>0</v>
      </c>
      <c r="V1909" s="49" t="n">
        <v>0</v>
      </c>
      <c r="W1909" s="50" t="n">
        <v>0</v>
      </c>
      <c r="X1909" s="51" t="n">
        <v>0</v>
      </c>
      <c r="Y1909" s="52" t="n">
        <v>0</v>
      </c>
      <c r="Z1909" s="52" t="n">
        <v>0</v>
      </c>
      <c r="AA1909" s="52" t="n">
        <v>0</v>
      </c>
      <c r="AB1909" s="53" t="n">
        <v>0</v>
      </c>
      <c r="AC1909" s="52" t="n">
        <v>0</v>
      </c>
      <c r="AD1909" s="53" t="n">
        <v>0</v>
      </c>
      <c r="AE1909" s="52" t="n">
        <v>0</v>
      </c>
      <c r="AF1909" s="51" t="n">
        <v>0</v>
      </c>
      <c r="AG1909" s="48" t="n">
        <v>0</v>
      </c>
      <c r="AH1909" s="49" t="n">
        <v>0</v>
      </c>
      <c r="AI1909" s="49" t="n">
        <v>0</v>
      </c>
      <c r="AJ1909" s="50" t="n">
        <v>0</v>
      </c>
      <c r="AK1909" s="51" t="n">
        <v>0</v>
      </c>
      <c r="AL1909" s="52" t="n">
        <v>0</v>
      </c>
      <c r="AM1909" s="52" t="n">
        <v>0</v>
      </c>
      <c r="AN1909" s="52" t="n">
        <v>0</v>
      </c>
      <c r="AO1909" s="53" t="n">
        <v>0</v>
      </c>
      <c r="AP1909" s="52" t="n">
        <v>0</v>
      </c>
      <c r="AQ1909" s="53" t="n">
        <v>0</v>
      </c>
      <c r="AR1909" s="52" t="n">
        <v>0</v>
      </c>
      <c r="AS1909" s="51" t="n">
        <v>0</v>
      </c>
      <c r="AT1909" s="48" t="n">
        <v>0</v>
      </c>
      <c r="AU1909" s="49" t="n">
        <v>0</v>
      </c>
      <c r="AV1909" s="49" t="n">
        <v>0</v>
      </c>
      <c r="AW1909" s="50" t="n">
        <v>0</v>
      </c>
      <c r="AX1909" s="51" t="n">
        <v>0</v>
      </c>
      <c r="AY1909" s="52" t="n">
        <v>0</v>
      </c>
      <c r="AZ1909" s="52" t="n">
        <v>0</v>
      </c>
      <c r="BA1909" s="52" t="n">
        <v>0</v>
      </c>
      <c r="BB1909" s="53" t="n">
        <v>0</v>
      </c>
      <c r="BC1909" s="52" t="n">
        <v>0</v>
      </c>
      <c r="BD1909" s="53" t="n">
        <v>0</v>
      </c>
      <c r="BE1909" s="52" t="n">
        <v>0</v>
      </c>
      <c r="BF1909" s="51" t="n">
        <v>0</v>
      </c>
    </row>
    <row r="1910">
      <c r="A1910">
        <f>HYPERLINK("https://www.walmart.com/ip/15978952620", "15978952620")</f>
        <v/>
      </c>
      <c r="B1910" t="inlineStr">
        <is>
          <t>Wrangler Tradesman Backpack, Water Resistant Casual Daypack for Travel Work School</t>
        </is>
      </c>
      <c r="C1910" t="inlineStr">
        <is>
          <t>1WRBPK15919GN</t>
        </is>
      </c>
      <c r="D1910" t="inlineStr">
        <is>
          <t>Backpacks</t>
        </is>
      </c>
      <c r="E1910" t="inlineStr">
        <is>
          <t>Wrangler</t>
        </is>
      </c>
      <c r="G1910" s="48" t="n">
        <v>0</v>
      </c>
      <c r="H1910" s="49" t="n">
        <v>0</v>
      </c>
      <c r="I1910" s="49" t="n">
        <v>0</v>
      </c>
      <c r="J1910" s="50" t="n">
        <v>0</v>
      </c>
      <c r="K1910" s="51" t="n">
        <v>0</v>
      </c>
      <c r="L1910" s="52" t="n">
        <v>0</v>
      </c>
      <c r="M1910" s="52" t="n">
        <v>0</v>
      </c>
      <c r="N1910" s="52" t="n">
        <v>0</v>
      </c>
      <c r="O1910" s="53" t="n">
        <v>0</v>
      </c>
      <c r="P1910" s="52" t="n">
        <v>0</v>
      </c>
      <c r="Q1910" s="53" t="n">
        <v>0</v>
      </c>
      <c r="R1910" s="52" t="n">
        <v>0</v>
      </c>
      <c r="S1910" s="51" t="n">
        <v>0</v>
      </c>
      <c r="T1910" s="48" t="n">
        <v>0</v>
      </c>
      <c r="U1910" s="49" t="n">
        <v>0</v>
      </c>
      <c r="V1910" s="49" t="n">
        <v>0</v>
      </c>
      <c r="W1910" s="50" t="n">
        <v>0</v>
      </c>
      <c r="X1910" s="51" t="n">
        <v>0</v>
      </c>
      <c r="Y1910" s="52" t="n">
        <v>0</v>
      </c>
      <c r="Z1910" s="52" t="n">
        <v>0</v>
      </c>
      <c r="AA1910" s="52" t="n">
        <v>0</v>
      </c>
      <c r="AB1910" s="53" t="n">
        <v>0</v>
      </c>
      <c r="AC1910" s="52" t="n">
        <v>0</v>
      </c>
      <c r="AD1910" s="53" t="n">
        <v>0</v>
      </c>
      <c r="AE1910" s="52" t="n">
        <v>0</v>
      </c>
      <c r="AF1910" s="51" t="n">
        <v>0</v>
      </c>
      <c r="AG1910" s="48" t="n">
        <v>0</v>
      </c>
      <c r="AH1910" s="49" t="n">
        <v>0</v>
      </c>
      <c r="AI1910" s="49" t="n">
        <v>0</v>
      </c>
      <c r="AJ1910" s="50" t="n">
        <v>0</v>
      </c>
      <c r="AK1910" s="51" t="n">
        <v>0</v>
      </c>
      <c r="AL1910" s="52" t="n">
        <v>0</v>
      </c>
      <c r="AM1910" s="52" t="n">
        <v>0</v>
      </c>
      <c r="AN1910" s="52" t="n">
        <v>0</v>
      </c>
      <c r="AO1910" s="53" t="n">
        <v>0</v>
      </c>
      <c r="AP1910" s="52" t="n">
        <v>0</v>
      </c>
      <c r="AQ1910" s="53" t="n">
        <v>0</v>
      </c>
      <c r="AR1910" s="52" t="n">
        <v>0</v>
      </c>
      <c r="AS1910" s="51" t="n">
        <v>0</v>
      </c>
      <c r="AT1910" s="48" t="n">
        <v>0</v>
      </c>
      <c r="AU1910" s="49" t="n">
        <v>0</v>
      </c>
      <c r="AV1910" s="49" t="n">
        <v>0</v>
      </c>
      <c r="AW1910" s="50" t="n">
        <v>0</v>
      </c>
      <c r="AX1910" s="51" t="n">
        <v>0</v>
      </c>
      <c r="AY1910" s="52" t="n">
        <v>0</v>
      </c>
      <c r="AZ1910" s="52" t="n">
        <v>0</v>
      </c>
      <c r="BA1910" s="52" t="n">
        <v>0</v>
      </c>
      <c r="BB1910" s="53" t="n">
        <v>0</v>
      </c>
      <c r="BC1910" s="52" t="n">
        <v>0</v>
      </c>
      <c r="BD1910" s="53" t="n">
        <v>0</v>
      </c>
      <c r="BE1910" s="52" t="n">
        <v>0</v>
      </c>
      <c r="BF1910" s="51" t="n">
        <v>0</v>
      </c>
    </row>
    <row r="1911">
      <c r="A1911">
        <f>HYPERLINK("https://www.walmart.com/ip/159536218", "159536218")</f>
        <v/>
      </c>
      <c r="B1911" t="inlineStr">
        <is>
          <t>Tirrinia Single Wine Gift Tote Bag, Insulated Padded Thermal Wine Bottle Carrying Cooler Carrier for Travel, Picnic, Great Gift for Wine Lover, Black</t>
        </is>
      </c>
      <c r="C1911" t="inlineStr">
        <is>
          <t>1TRWB102BK</t>
        </is>
      </c>
      <c r="D1911" t="inlineStr">
        <is>
          <t>Wine Totes, Bags &amp; Backpacks</t>
        </is>
      </c>
      <c r="E1911" t="inlineStr">
        <is>
          <t>Tirrinia</t>
        </is>
      </c>
      <c r="F1911" t="inlineStr">
        <is>
          <t>Christmas,Optimized,Valentine</t>
        </is>
      </c>
      <c r="G1911" s="48" t="n">
        <v>0</v>
      </c>
      <c r="H1911" s="49" t="n">
        <v>0</v>
      </c>
      <c r="I1911" s="49" t="n">
        <v>0</v>
      </c>
      <c r="J1911" s="50" t="n">
        <v>0</v>
      </c>
      <c r="K1911" s="51" t="n">
        <v>0</v>
      </c>
      <c r="L1911" s="52" t="n">
        <v>0</v>
      </c>
      <c r="M1911" s="52" t="n">
        <v>0</v>
      </c>
      <c r="N1911" s="52" t="n">
        <v>0</v>
      </c>
      <c r="O1911" s="53" t="n">
        <v>0</v>
      </c>
      <c r="P1911" s="52" t="n">
        <v>0</v>
      </c>
      <c r="Q1911" s="53" t="n">
        <v>0</v>
      </c>
      <c r="R1911" s="52" t="n">
        <v>0</v>
      </c>
      <c r="S1911" s="51" t="n">
        <v>0</v>
      </c>
      <c r="T1911" s="48" t="n">
        <v>0</v>
      </c>
      <c r="U1911" s="49" t="n">
        <v>0</v>
      </c>
      <c r="V1911" s="49" t="n">
        <v>0</v>
      </c>
      <c r="W1911" s="50" t="n">
        <v>0</v>
      </c>
      <c r="X1911" s="51" t="n">
        <v>0</v>
      </c>
      <c r="Y1911" s="52" t="n">
        <v>0</v>
      </c>
      <c r="Z1911" s="52" t="n">
        <v>0</v>
      </c>
      <c r="AA1911" s="52" t="n">
        <v>0</v>
      </c>
      <c r="AB1911" s="53" t="n">
        <v>0</v>
      </c>
      <c r="AC1911" s="52" t="n">
        <v>0</v>
      </c>
      <c r="AD1911" s="53" t="n">
        <v>0</v>
      </c>
      <c r="AE1911" s="52" t="n">
        <v>0</v>
      </c>
      <c r="AF1911" s="51" t="n">
        <v>0</v>
      </c>
      <c r="AG1911" s="48" t="n">
        <v>0</v>
      </c>
      <c r="AH1911" s="49" t="n">
        <v>0</v>
      </c>
      <c r="AI1911" s="49" t="n">
        <v>0</v>
      </c>
      <c r="AJ1911" s="50" t="n">
        <v>0</v>
      </c>
      <c r="AK1911" s="51" t="n">
        <v>0</v>
      </c>
      <c r="AL1911" s="52" t="n">
        <v>0</v>
      </c>
      <c r="AM1911" s="52" t="n">
        <v>0</v>
      </c>
      <c r="AN1911" s="52" t="n">
        <v>0</v>
      </c>
      <c r="AO1911" s="53" t="n">
        <v>0</v>
      </c>
      <c r="AP1911" s="52" t="n">
        <v>0</v>
      </c>
      <c r="AQ1911" s="53" t="n">
        <v>0</v>
      </c>
      <c r="AR1911" s="52" t="n">
        <v>0</v>
      </c>
      <c r="AS1911" s="51" t="n">
        <v>0</v>
      </c>
      <c r="AT1911" s="48" t="n">
        <v>0</v>
      </c>
      <c r="AU1911" s="49" t="n">
        <v>0</v>
      </c>
      <c r="AV1911" s="49" t="n">
        <v>0</v>
      </c>
      <c r="AW1911" s="50" t="n">
        <v>0</v>
      </c>
      <c r="AX1911" s="51" t="n">
        <v>0</v>
      </c>
      <c r="AY1911" s="52" t="n">
        <v>0</v>
      </c>
      <c r="AZ1911" s="52" t="n">
        <v>0</v>
      </c>
      <c r="BA1911" s="52" t="n">
        <v>0</v>
      </c>
      <c r="BB1911" s="53" t="n">
        <v>0</v>
      </c>
      <c r="BC1911" s="52" t="n">
        <v>0</v>
      </c>
      <c r="BD1911" s="53" t="n">
        <v>0</v>
      </c>
      <c r="BE1911" s="52" t="n">
        <v>0</v>
      </c>
      <c r="BF1911" s="51" t="n">
        <v>0</v>
      </c>
    </row>
    <row r="1912">
      <c r="A1912">
        <f>HYPERLINK("https://www.walmart.com/ip/15992106796", "15992106796")</f>
        <v/>
      </c>
      <c r="B1912" t="inlineStr">
        <is>
          <t>Wrangler Tradesman Backpack, Water Resistant Casual Daypack for Travel Work School</t>
        </is>
      </c>
      <c r="C1912" t="inlineStr">
        <is>
          <t>1WRBPK15919BK</t>
        </is>
      </c>
      <c r="D1912" t="inlineStr">
        <is>
          <t>Backpacks</t>
        </is>
      </c>
      <c r="E1912" t="inlineStr">
        <is>
          <t>Wrangler</t>
        </is>
      </c>
      <c r="G1912" s="48" t="n">
        <v>0</v>
      </c>
      <c r="H1912" s="49" t="n">
        <v>0</v>
      </c>
      <c r="I1912" s="49" t="n">
        <v>0</v>
      </c>
      <c r="J1912" s="50" t="n">
        <v>0</v>
      </c>
      <c r="K1912" s="51" t="n">
        <v>0</v>
      </c>
      <c r="L1912" s="52" t="n">
        <v>0</v>
      </c>
      <c r="M1912" s="52" t="n">
        <v>0</v>
      </c>
      <c r="N1912" s="52" t="n">
        <v>0</v>
      </c>
      <c r="O1912" s="53" t="n">
        <v>0</v>
      </c>
      <c r="P1912" s="52" t="n">
        <v>0</v>
      </c>
      <c r="Q1912" s="53" t="n">
        <v>0</v>
      </c>
      <c r="R1912" s="52" t="n">
        <v>0</v>
      </c>
      <c r="S1912" s="51" t="n">
        <v>0</v>
      </c>
      <c r="T1912" s="48" t="n">
        <v>0</v>
      </c>
      <c r="U1912" s="49" t="n">
        <v>0</v>
      </c>
      <c r="V1912" s="49" t="n">
        <v>0</v>
      </c>
      <c r="W1912" s="50" t="n">
        <v>0</v>
      </c>
      <c r="X1912" s="51" t="n">
        <v>0</v>
      </c>
      <c r="Y1912" s="52" t="n">
        <v>0</v>
      </c>
      <c r="Z1912" s="52" t="n">
        <v>0</v>
      </c>
      <c r="AA1912" s="52" t="n">
        <v>0</v>
      </c>
      <c r="AB1912" s="53" t="n">
        <v>0</v>
      </c>
      <c r="AC1912" s="52" t="n">
        <v>0</v>
      </c>
      <c r="AD1912" s="53" t="n">
        <v>0</v>
      </c>
      <c r="AE1912" s="52" t="n">
        <v>0</v>
      </c>
      <c r="AF1912" s="51" t="n">
        <v>0</v>
      </c>
      <c r="AG1912" s="48" t="n">
        <v>0</v>
      </c>
      <c r="AH1912" s="49" t="n">
        <v>0</v>
      </c>
      <c r="AI1912" s="49" t="n">
        <v>0</v>
      </c>
      <c r="AJ1912" s="50" t="n">
        <v>0</v>
      </c>
      <c r="AK1912" s="51" t="n">
        <v>0</v>
      </c>
      <c r="AL1912" s="52" t="n">
        <v>0</v>
      </c>
      <c r="AM1912" s="52" t="n">
        <v>0</v>
      </c>
      <c r="AN1912" s="52" t="n">
        <v>0</v>
      </c>
      <c r="AO1912" s="53" t="n">
        <v>0</v>
      </c>
      <c r="AP1912" s="52" t="n">
        <v>0</v>
      </c>
      <c r="AQ1912" s="53" t="n">
        <v>0</v>
      </c>
      <c r="AR1912" s="52" t="n">
        <v>0</v>
      </c>
      <c r="AS1912" s="51" t="n">
        <v>0</v>
      </c>
      <c r="AT1912" s="48" t="n">
        <v>0</v>
      </c>
      <c r="AU1912" s="49" t="n">
        <v>0</v>
      </c>
      <c r="AV1912" s="49" t="n">
        <v>0</v>
      </c>
      <c r="AW1912" s="50" t="n">
        <v>0</v>
      </c>
      <c r="AX1912" s="51" t="n">
        <v>0</v>
      </c>
      <c r="AY1912" s="52" t="n">
        <v>0</v>
      </c>
      <c r="AZ1912" s="52" t="n">
        <v>0</v>
      </c>
      <c r="BA1912" s="52" t="n">
        <v>0</v>
      </c>
      <c r="BB1912" s="53" t="n">
        <v>0</v>
      </c>
      <c r="BC1912" s="52" t="n">
        <v>0</v>
      </c>
      <c r="BD1912" s="53" t="n">
        <v>0</v>
      </c>
      <c r="BE1912" s="52" t="n">
        <v>0</v>
      </c>
      <c r="BF1912" s="51" t="n">
        <v>0</v>
      </c>
    </row>
    <row r="1913">
      <c r="A1913">
        <f>HYPERLINK("https://www.walmart.com/ip/260570738", "260570738")</f>
        <v/>
      </c>
      <c r="B1913" t="inlineStr">
        <is>
          <t>Oversized Hooded Poncho Cape, Casual Hoodie Sweatshirt, Batwing Coat Pullover | Light Weight, Cozy, Comfortable, Roomy | for Adults Women Men Teens</t>
        </is>
      </c>
      <c r="C1913" t="inlineStr">
        <is>
          <t>1CTHD542BK</t>
        </is>
      </c>
      <c r="D1913" t="inlineStr">
        <is>
          <t>Sweatshirts &amp; Hoodies</t>
        </is>
      </c>
      <c r="E1913" t="inlineStr">
        <is>
          <t>Catalonia</t>
        </is>
      </c>
      <c r="F1913" t="inlineStr">
        <is>
          <t>Hoodie ForAdult,Coupon_Discount</t>
        </is>
      </c>
      <c r="G1913" s="48" t="n">
        <v>0</v>
      </c>
      <c r="H1913" s="49" t="n">
        <v>0</v>
      </c>
      <c r="I1913" s="49" t="n">
        <v>0</v>
      </c>
      <c r="J1913" s="50" t="n">
        <v>0</v>
      </c>
      <c r="K1913" s="51" t="n">
        <v>0</v>
      </c>
      <c r="L1913" s="52" t="n">
        <v>0</v>
      </c>
      <c r="M1913" s="52" t="n">
        <v>0</v>
      </c>
      <c r="N1913" s="52" t="n">
        <v>0</v>
      </c>
      <c r="O1913" s="53" t="n">
        <v>0</v>
      </c>
      <c r="P1913" s="52" t="n">
        <v>0</v>
      </c>
      <c r="Q1913" s="53" t="n">
        <v>0</v>
      </c>
      <c r="R1913" s="52" t="n">
        <v>0</v>
      </c>
      <c r="S1913" s="51" t="n">
        <v>246</v>
      </c>
      <c r="T1913" s="48" t="n">
        <v>0</v>
      </c>
      <c r="U1913" s="49" t="n">
        <v>0</v>
      </c>
      <c r="V1913" s="49" t="n">
        <v>0</v>
      </c>
      <c r="W1913" s="50" t="n">
        <v>0</v>
      </c>
      <c r="X1913" s="51" t="n">
        <v>0</v>
      </c>
      <c r="Y1913" s="52" t="n">
        <v>0</v>
      </c>
      <c r="Z1913" s="52" t="n">
        <v>0</v>
      </c>
      <c r="AA1913" s="52" t="n">
        <v>0</v>
      </c>
      <c r="AB1913" s="53" t="n">
        <v>0</v>
      </c>
      <c r="AC1913" s="52" t="n">
        <v>0</v>
      </c>
      <c r="AD1913" s="53" t="n">
        <v>0</v>
      </c>
      <c r="AE1913" s="52" t="n">
        <v>0</v>
      </c>
      <c r="AF1913" s="51" t="n">
        <v>0</v>
      </c>
      <c r="AG1913" s="48" t="n">
        <v>0</v>
      </c>
      <c r="AH1913" s="49" t="n">
        <v>0</v>
      </c>
      <c r="AI1913" s="49" t="n">
        <v>0</v>
      </c>
      <c r="AJ1913" s="50" t="n">
        <v>0</v>
      </c>
      <c r="AK1913" s="51" t="n">
        <v>0</v>
      </c>
      <c r="AL1913" s="52" t="n">
        <v>0</v>
      </c>
      <c r="AM1913" s="52" t="n">
        <v>0</v>
      </c>
      <c r="AN1913" s="52" t="n">
        <v>0</v>
      </c>
      <c r="AO1913" s="53" t="n">
        <v>0</v>
      </c>
      <c r="AP1913" s="52" t="n">
        <v>0</v>
      </c>
      <c r="AQ1913" s="53" t="n">
        <v>0</v>
      </c>
      <c r="AR1913" s="52" t="n">
        <v>0</v>
      </c>
      <c r="AS1913" s="51" t="n">
        <v>0</v>
      </c>
      <c r="AT1913" s="48" t="n">
        <v>0</v>
      </c>
      <c r="AU1913" s="49" t="n">
        <v>0</v>
      </c>
      <c r="AV1913" s="49" t="n">
        <v>0</v>
      </c>
      <c r="AW1913" s="50" t="n">
        <v>0</v>
      </c>
      <c r="AX1913" s="51" t="n">
        <v>0</v>
      </c>
      <c r="AY1913" s="52" t="n">
        <v>0</v>
      </c>
      <c r="AZ1913" s="52" t="n">
        <v>0</v>
      </c>
      <c r="BA1913" s="52" t="n">
        <v>0</v>
      </c>
      <c r="BB1913" s="53" t="n">
        <v>0</v>
      </c>
      <c r="BC1913" s="52" t="n">
        <v>0</v>
      </c>
      <c r="BD1913" s="53" t="n">
        <v>0</v>
      </c>
      <c r="BE1913" s="52" t="n">
        <v>0</v>
      </c>
      <c r="BF1913" s="51" t="n">
        <v>0</v>
      </c>
    </row>
    <row r="1914">
      <c r="A1914">
        <f>HYPERLINK("https://www.walmart.com/ip/262410560", "262410560")</f>
        <v/>
      </c>
      <c r="B1914" t="inlineStr">
        <is>
          <t>Microplush Sherpa Blanket with Sleeves for Women and Men Wine</t>
        </is>
      </c>
      <c r="C1914" t="inlineStr">
        <is>
          <t>1TRSN410WN</t>
        </is>
      </c>
      <c r="D1914" t="inlineStr">
        <is>
          <t>Throws</t>
        </is>
      </c>
      <c r="E1914" t="inlineStr">
        <is>
          <t>Tirrinia</t>
        </is>
      </c>
      <c r="F1914" t="inlineStr">
        <is>
          <t>WFS,WFS Item</t>
        </is>
      </c>
      <c r="G1914" s="48" t="n">
        <v>0</v>
      </c>
      <c r="H1914" s="49" t="n">
        <v>0</v>
      </c>
      <c r="I1914" s="49" t="n">
        <v>0</v>
      </c>
      <c r="J1914" s="50" t="n">
        <v>0</v>
      </c>
      <c r="K1914" s="51" t="n">
        <v>2</v>
      </c>
      <c r="L1914" s="52" t="n">
        <v>1</v>
      </c>
      <c r="M1914" s="52" t="n">
        <v>0</v>
      </c>
      <c r="N1914" s="52" t="n">
        <v>0</v>
      </c>
      <c r="O1914" s="53" t="n">
        <v>0.0043</v>
      </c>
      <c r="P1914" s="52" t="n">
        <v>0.5</v>
      </c>
      <c r="Q1914" s="53" t="n">
        <v>0</v>
      </c>
      <c r="R1914" s="52" t="n">
        <v>0</v>
      </c>
      <c r="S1914" s="51" t="n">
        <v>464</v>
      </c>
      <c r="T1914" s="48" t="n">
        <v>0</v>
      </c>
      <c r="U1914" s="49" t="n">
        <v>0</v>
      </c>
      <c r="V1914" s="49" t="n">
        <v>0</v>
      </c>
      <c r="W1914" s="50" t="n">
        <v>0</v>
      </c>
      <c r="X1914" s="51" t="n">
        <v>0</v>
      </c>
      <c r="Y1914" s="52" t="n">
        <v>0</v>
      </c>
      <c r="Z1914" s="52" t="n">
        <v>0</v>
      </c>
      <c r="AA1914" s="52" t="n">
        <v>0</v>
      </c>
      <c r="AB1914" s="53" t="n">
        <v>0</v>
      </c>
      <c r="AC1914" s="52" t="n">
        <v>0</v>
      </c>
      <c r="AD1914" s="53" t="n">
        <v>0</v>
      </c>
      <c r="AE1914" s="52" t="n">
        <v>0</v>
      </c>
      <c r="AF1914" s="51" t="n">
        <v>0</v>
      </c>
      <c r="AG1914" s="48" t="n">
        <v>0</v>
      </c>
      <c r="AH1914" s="49" t="n">
        <v>0</v>
      </c>
      <c r="AI1914" s="49" t="n">
        <v>0</v>
      </c>
      <c r="AJ1914" s="50" t="n">
        <v>0</v>
      </c>
      <c r="AK1914" s="51" t="n">
        <v>0</v>
      </c>
      <c r="AL1914" s="52" t="n">
        <v>0</v>
      </c>
      <c r="AM1914" s="52" t="n">
        <v>0</v>
      </c>
      <c r="AN1914" s="52" t="n">
        <v>0</v>
      </c>
      <c r="AO1914" s="53" t="n">
        <v>0</v>
      </c>
      <c r="AP1914" s="52" t="n">
        <v>0</v>
      </c>
      <c r="AQ1914" s="53" t="n">
        <v>0</v>
      </c>
      <c r="AR1914" s="52" t="n">
        <v>0</v>
      </c>
      <c r="AS1914" s="51" t="n">
        <v>0</v>
      </c>
      <c r="AT1914" s="48" t="n">
        <v>0</v>
      </c>
      <c r="AU1914" s="49" t="n">
        <v>0</v>
      </c>
      <c r="AV1914" s="49" t="n">
        <v>0</v>
      </c>
      <c r="AW1914" s="50" t="n">
        <v>0</v>
      </c>
      <c r="AX1914" s="51" t="n">
        <v>0</v>
      </c>
      <c r="AY1914" s="52" t="n">
        <v>0</v>
      </c>
      <c r="AZ1914" s="52" t="n">
        <v>0</v>
      </c>
      <c r="BA1914" s="52" t="n">
        <v>0</v>
      </c>
      <c r="BB1914" s="53" t="n">
        <v>0</v>
      </c>
      <c r="BC1914" s="52" t="n">
        <v>0</v>
      </c>
      <c r="BD1914" s="53" t="n">
        <v>0</v>
      </c>
      <c r="BE1914" s="52" t="n">
        <v>0</v>
      </c>
      <c r="BF1914" s="51" t="n">
        <v>0</v>
      </c>
    </row>
    <row r="1915">
      <c r="A1915">
        <f>HYPERLINK("https://www.walmart.com/ip/2627879869", "2627879869")</f>
        <v/>
      </c>
      <c r="B1915" t="inlineStr">
        <is>
          <t>Waterproof Blanket for Outdoors, Hooded Blanket Poncho | Windproof, Warm, Wearable, Portable | for Stadium, Picnics, Sports Events, Camping, Yoga, Beach, Outdoor Adventure</t>
        </is>
      </c>
      <c r="C1915" t="inlineStr">
        <is>
          <t>1CTBC200GNBK</t>
        </is>
      </c>
      <c r="D1915" t="inlineStr">
        <is>
          <t>Throws</t>
        </is>
      </c>
      <c r="E1915" t="inlineStr">
        <is>
          <t>Catalonia</t>
        </is>
      </c>
      <c r="F1915" t="inlineStr">
        <is>
          <t>Wproof Blanket</t>
        </is>
      </c>
      <c r="G1915" s="48" t="n">
        <v>0</v>
      </c>
      <c r="H1915" s="49" t="n">
        <v>0</v>
      </c>
      <c r="I1915" s="49" t="n">
        <v>0</v>
      </c>
      <c r="J1915" s="50" t="n">
        <v>0</v>
      </c>
      <c r="K1915" s="51" t="n">
        <v>0</v>
      </c>
      <c r="L1915" s="52" t="n">
        <v>0</v>
      </c>
      <c r="M1915" s="52" t="n">
        <v>0</v>
      </c>
      <c r="N1915" s="52" t="n">
        <v>0</v>
      </c>
      <c r="O1915" s="53" t="n">
        <v>0</v>
      </c>
      <c r="P1915" s="52" t="n">
        <v>0</v>
      </c>
      <c r="Q1915" s="53" t="n">
        <v>0</v>
      </c>
      <c r="R1915" s="52" t="n">
        <v>0</v>
      </c>
      <c r="S1915" s="51" t="n">
        <v>0</v>
      </c>
      <c r="T1915" s="48" t="n">
        <v>0</v>
      </c>
      <c r="U1915" s="49" t="n">
        <v>0</v>
      </c>
      <c r="V1915" s="49" t="n">
        <v>0</v>
      </c>
      <c r="W1915" s="50" t="n">
        <v>0</v>
      </c>
      <c r="X1915" s="51" t="n">
        <v>0</v>
      </c>
      <c r="Y1915" s="52" t="n">
        <v>0</v>
      </c>
      <c r="Z1915" s="52" t="n">
        <v>0</v>
      </c>
      <c r="AA1915" s="52" t="n">
        <v>0</v>
      </c>
      <c r="AB1915" s="53" t="n">
        <v>0</v>
      </c>
      <c r="AC1915" s="52" t="n">
        <v>0</v>
      </c>
      <c r="AD1915" s="53" t="n">
        <v>0</v>
      </c>
      <c r="AE1915" s="52" t="n">
        <v>0</v>
      </c>
      <c r="AF1915" s="51" t="n">
        <v>0</v>
      </c>
      <c r="AG1915" s="48" t="n">
        <v>0</v>
      </c>
      <c r="AH1915" s="49" t="n">
        <v>0</v>
      </c>
      <c r="AI1915" s="49" t="n">
        <v>0</v>
      </c>
      <c r="AJ1915" s="50" t="n">
        <v>0</v>
      </c>
      <c r="AK1915" s="51" t="n">
        <v>0</v>
      </c>
      <c r="AL1915" s="52" t="n">
        <v>0</v>
      </c>
      <c r="AM1915" s="52" t="n">
        <v>0</v>
      </c>
      <c r="AN1915" s="52" t="n">
        <v>0</v>
      </c>
      <c r="AO1915" s="53" t="n">
        <v>0</v>
      </c>
      <c r="AP1915" s="52" t="n">
        <v>0</v>
      </c>
      <c r="AQ1915" s="53" t="n">
        <v>0</v>
      </c>
      <c r="AR1915" s="52" t="n">
        <v>0</v>
      </c>
      <c r="AS1915" s="51" t="n">
        <v>0</v>
      </c>
      <c r="AT1915" s="48" t="n">
        <v>26.99</v>
      </c>
      <c r="AU1915" s="49" t="n">
        <v>1</v>
      </c>
      <c r="AV1915" s="49" t="n">
        <v>0</v>
      </c>
      <c r="AW1915" s="50" t="n">
        <v>0</v>
      </c>
      <c r="AX1915" s="51" t="n">
        <v>0</v>
      </c>
      <c r="AY1915" s="52" t="n">
        <v>0</v>
      </c>
      <c r="AZ1915" s="52" t="n">
        <v>0</v>
      </c>
      <c r="BA1915" s="52" t="n">
        <v>0</v>
      </c>
      <c r="BB1915" s="53" t="n">
        <v>0</v>
      </c>
      <c r="BC1915" s="52" t="n">
        <v>0</v>
      </c>
      <c r="BD1915" s="53" t="n">
        <v>0</v>
      </c>
      <c r="BE1915" s="52" t="n">
        <v>26.99</v>
      </c>
      <c r="BF1915" s="51" t="n">
        <v>0</v>
      </c>
    </row>
    <row r="1916">
      <c r="A1916">
        <f>HYPERLINK("https://www.walmart.com/ip/263185815", "263185815")</f>
        <v/>
      </c>
      <c r="B1916" t="inlineStr">
        <is>
          <t>Bucket Summer Mens Sun Hat Water Repel Mesh Net Light Weight UV Protection Outdoor Cap by Solaris</t>
        </is>
      </c>
      <c r="C1916" t="inlineStr">
        <is>
          <t>1SLSH191TN</t>
        </is>
      </c>
      <c r="D1916" t="inlineStr">
        <is>
          <t>Hats</t>
        </is>
      </c>
      <c r="E1916" t="inlineStr">
        <is>
          <t>Solaris</t>
        </is>
      </c>
      <c r="F1916" t="inlineStr">
        <is>
          <t>Optimized</t>
        </is>
      </c>
      <c r="G1916" s="48" t="n">
        <v>0</v>
      </c>
      <c r="H1916" s="49" t="n">
        <v>0</v>
      </c>
      <c r="I1916" s="49" t="n">
        <v>0</v>
      </c>
      <c r="J1916" s="50" t="n">
        <v>0</v>
      </c>
      <c r="K1916" s="51" t="n">
        <v>0</v>
      </c>
      <c r="L1916" s="52" t="n">
        <v>0</v>
      </c>
      <c r="M1916" s="52" t="n">
        <v>0</v>
      </c>
      <c r="N1916" s="52" t="n">
        <v>0</v>
      </c>
      <c r="O1916" s="53" t="n">
        <v>0</v>
      </c>
      <c r="P1916" s="52" t="n">
        <v>0</v>
      </c>
      <c r="Q1916" s="53" t="n">
        <v>0</v>
      </c>
      <c r="R1916" s="52" t="n">
        <v>0</v>
      </c>
      <c r="S1916" s="51" t="n">
        <v>0</v>
      </c>
      <c r="T1916" s="48" t="n">
        <v>0</v>
      </c>
      <c r="U1916" s="49" t="n">
        <v>0</v>
      </c>
      <c r="V1916" s="49" t="n">
        <v>0</v>
      </c>
      <c r="W1916" s="50" t="n">
        <v>0</v>
      </c>
      <c r="X1916" s="51" t="n">
        <v>0</v>
      </c>
      <c r="Y1916" s="52" t="n">
        <v>0</v>
      </c>
      <c r="Z1916" s="52" t="n">
        <v>0</v>
      </c>
      <c r="AA1916" s="52" t="n">
        <v>0</v>
      </c>
      <c r="AB1916" s="53" t="n">
        <v>0</v>
      </c>
      <c r="AC1916" s="52" t="n">
        <v>0</v>
      </c>
      <c r="AD1916" s="53" t="n">
        <v>0</v>
      </c>
      <c r="AE1916" s="52" t="n">
        <v>0</v>
      </c>
      <c r="AF1916" s="51" t="n">
        <v>0</v>
      </c>
      <c r="AG1916" s="48" t="n">
        <v>0</v>
      </c>
      <c r="AH1916" s="49" t="n">
        <v>0</v>
      </c>
      <c r="AI1916" s="49" t="n">
        <v>0</v>
      </c>
      <c r="AJ1916" s="50" t="n">
        <v>0</v>
      </c>
      <c r="AK1916" s="51" t="n">
        <v>0</v>
      </c>
      <c r="AL1916" s="52" t="n">
        <v>0</v>
      </c>
      <c r="AM1916" s="52" t="n">
        <v>0</v>
      </c>
      <c r="AN1916" s="52" t="n">
        <v>0</v>
      </c>
      <c r="AO1916" s="53" t="n">
        <v>0</v>
      </c>
      <c r="AP1916" s="52" t="n">
        <v>0</v>
      </c>
      <c r="AQ1916" s="53" t="n">
        <v>0</v>
      </c>
      <c r="AR1916" s="52" t="n">
        <v>0</v>
      </c>
      <c r="AS1916" s="51" t="n">
        <v>0</v>
      </c>
      <c r="AT1916" s="48" t="n">
        <v>0</v>
      </c>
      <c r="AU1916" s="49" t="n">
        <v>0</v>
      </c>
      <c r="AV1916" s="49" t="n">
        <v>0</v>
      </c>
      <c r="AW1916" s="50" t="n">
        <v>0</v>
      </c>
      <c r="AX1916" s="51" t="n">
        <v>0</v>
      </c>
      <c r="AY1916" s="52" t="n">
        <v>0</v>
      </c>
      <c r="AZ1916" s="52" t="n">
        <v>0</v>
      </c>
      <c r="BA1916" s="52" t="n">
        <v>0</v>
      </c>
      <c r="BB1916" s="53" t="n">
        <v>0</v>
      </c>
      <c r="BC1916" s="52" t="n">
        <v>0</v>
      </c>
      <c r="BD1916" s="53" t="n">
        <v>0</v>
      </c>
      <c r="BE1916" s="52" t="n">
        <v>0</v>
      </c>
      <c r="BF1916" s="51" t="n">
        <v>0</v>
      </c>
    </row>
    <row r="1917">
      <c r="A1917">
        <f>HYPERLINK("https://www.walmart.com/ip/264457997", "264457997")</f>
        <v/>
      </c>
      <c r="B1917" t="inlineStr">
        <is>
          <t>Catalonia Waterproof Dog Blanket, Pee-Proof Couch, Sofa, and Bed Protector Cover for Baby and Pets, Super Cozy Plush Fleece Warm Sherpa Lining Throws and Blankets for Boating and Camping, Red, 80'' x 60''</t>
        </is>
      </c>
      <c r="C1917" t="inlineStr">
        <is>
          <t>1CTBW681BRWH</t>
        </is>
      </c>
      <c r="D1917" t="inlineStr">
        <is>
          <t>Pet Sofa &amp; Chair Protectors</t>
        </is>
      </c>
      <c r="E1917" t="inlineStr">
        <is>
          <t>Catalonia</t>
        </is>
      </c>
      <c r="F1917" t="inlineStr">
        <is>
          <t>Wproof Blanket,Batch 1 - TR</t>
        </is>
      </c>
      <c r="G1917" s="48" t="n">
        <v>0</v>
      </c>
      <c r="H1917" s="49" t="n">
        <v>0</v>
      </c>
      <c r="I1917" s="49" t="n">
        <v>0</v>
      </c>
      <c r="J1917" s="50" t="n">
        <v>0</v>
      </c>
      <c r="K1917" s="51" t="n">
        <v>0</v>
      </c>
      <c r="L1917" s="52" t="n">
        <v>0</v>
      </c>
      <c r="M1917" s="52" t="n">
        <v>0</v>
      </c>
      <c r="N1917" s="52" t="n">
        <v>0</v>
      </c>
      <c r="O1917" s="53" t="n">
        <v>0</v>
      </c>
      <c r="P1917" s="52" t="n">
        <v>0</v>
      </c>
      <c r="Q1917" s="53" t="n">
        <v>0</v>
      </c>
      <c r="R1917" s="52" t="n">
        <v>0</v>
      </c>
      <c r="S1917" s="51" t="n">
        <v>288</v>
      </c>
      <c r="T1917" s="48" t="n">
        <v>0</v>
      </c>
      <c r="U1917" s="49" t="n">
        <v>0</v>
      </c>
      <c r="V1917" s="49" t="n">
        <v>0</v>
      </c>
      <c r="W1917" s="50" t="n">
        <v>0</v>
      </c>
      <c r="X1917" s="51" t="n">
        <v>0</v>
      </c>
      <c r="Y1917" s="52" t="n">
        <v>0</v>
      </c>
      <c r="Z1917" s="52" t="n">
        <v>0</v>
      </c>
      <c r="AA1917" s="52" t="n">
        <v>0</v>
      </c>
      <c r="AB1917" s="53" t="n">
        <v>0</v>
      </c>
      <c r="AC1917" s="52" t="n">
        <v>0</v>
      </c>
      <c r="AD1917" s="53" t="n">
        <v>0</v>
      </c>
      <c r="AE1917" s="52" t="n">
        <v>0</v>
      </c>
      <c r="AF1917" s="51" t="n">
        <v>187</v>
      </c>
      <c r="AG1917" s="48" t="n">
        <v>0</v>
      </c>
      <c r="AH1917" s="49" t="n">
        <v>0</v>
      </c>
      <c r="AI1917" s="49" t="n">
        <v>0</v>
      </c>
      <c r="AJ1917" s="50" t="n">
        <v>0</v>
      </c>
      <c r="AK1917" s="51" t="n">
        <v>0</v>
      </c>
      <c r="AL1917" s="52" t="n">
        <v>0</v>
      </c>
      <c r="AM1917" s="52" t="n">
        <v>0</v>
      </c>
      <c r="AN1917" s="52" t="n">
        <v>0</v>
      </c>
      <c r="AO1917" s="53" t="n">
        <v>0</v>
      </c>
      <c r="AP1917" s="52" t="n">
        <v>0</v>
      </c>
      <c r="AQ1917" s="53" t="n">
        <v>0</v>
      </c>
      <c r="AR1917" s="52" t="n">
        <v>0</v>
      </c>
      <c r="AS1917" s="51" t="n">
        <v>208</v>
      </c>
      <c r="AT1917" s="48" t="n">
        <v>0</v>
      </c>
      <c r="AU1917" s="49" t="n">
        <v>0</v>
      </c>
      <c r="AV1917" s="49" t="n">
        <v>0</v>
      </c>
      <c r="AW1917" s="50" t="n">
        <v>0</v>
      </c>
      <c r="AX1917" s="51" t="n">
        <v>0</v>
      </c>
      <c r="AY1917" s="52" t="n">
        <v>0</v>
      </c>
      <c r="AZ1917" s="52" t="n">
        <v>0</v>
      </c>
      <c r="BA1917" s="52" t="n">
        <v>0</v>
      </c>
      <c r="BB1917" s="53" t="n">
        <v>0</v>
      </c>
      <c r="BC1917" s="52" t="n">
        <v>0</v>
      </c>
      <c r="BD1917" s="53" t="n">
        <v>0</v>
      </c>
      <c r="BE1917" s="52" t="n">
        <v>0</v>
      </c>
      <c r="BF1917" s="51" t="n">
        <v>53</v>
      </c>
    </row>
    <row r="1918">
      <c r="A1918">
        <f>HYPERLINK("https://www.walmart.com/ip/264676214", "264676214")</f>
        <v/>
      </c>
      <c r="B1918" t="inlineStr">
        <is>
          <t>Catalonia Women’s Sherpa Hoodie Sweatshirt Dress, Casual Snuggle Wearable Blanket Pullover Sweater with Kangaroo Pocket, Warm and Soft, Gift for Her, Purple</t>
        </is>
      </c>
      <c r="C1918" t="inlineStr">
        <is>
          <t>1CTHD532PP</t>
        </is>
      </c>
      <c r="D1918" t="inlineStr">
        <is>
          <t>Sweatshirts &amp; Hoodies</t>
        </is>
      </c>
      <c r="E1918" t="inlineStr">
        <is>
          <t>Catalonia</t>
        </is>
      </c>
      <c r="F1918" t="inlineStr">
        <is>
          <t>Hoodie ForAdult,Optimized,Coupon_Discount</t>
        </is>
      </c>
      <c r="G1918" s="48" t="n">
        <v>0</v>
      </c>
      <c r="H1918" s="49" t="n">
        <v>0</v>
      </c>
      <c r="I1918" s="49" t="n">
        <v>0</v>
      </c>
      <c r="J1918" s="50" t="n">
        <v>0</v>
      </c>
      <c r="K1918" s="51" t="n">
        <v>0</v>
      </c>
      <c r="L1918" s="52" t="n">
        <v>0</v>
      </c>
      <c r="M1918" s="52" t="n">
        <v>0</v>
      </c>
      <c r="N1918" s="52" t="n">
        <v>0</v>
      </c>
      <c r="O1918" s="53" t="n">
        <v>0</v>
      </c>
      <c r="P1918" s="52" t="n">
        <v>0</v>
      </c>
      <c r="Q1918" s="53" t="n">
        <v>0</v>
      </c>
      <c r="R1918" s="52" t="n">
        <v>0</v>
      </c>
      <c r="S1918" s="51" t="n">
        <v>0</v>
      </c>
      <c r="T1918" s="48" t="n">
        <v>0</v>
      </c>
      <c r="U1918" s="49" t="n">
        <v>0</v>
      </c>
      <c r="V1918" s="49" t="n">
        <v>0</v>
      </c>
      <c r="W1918" s="50" t="n">
        <v>0</v>
      </c>
      <c r="X1918" s="51" t="n">
        <v>0</v>
      </c>
      <c r="Y1918" s="52" t="n">
        <v>0</v>
      </c>
      <c r="Z1918" s="52" t="n">
        <v>0</v>
      </c>
      <c r="AA1918" s="52" t="n">
        <v>0</v>
      </c>
      <c r="AB1918" s="53" t="n">
        <v>0</v>
      </c>
      <c r="AC1918" s="52" t="n">
        <v>0</v>
      </c>
      <c r="AD1918" s="53" t="n">
        <v>0</v>
      </c>
      <c r="AE1918" s="52" t="n">
        <v>0</v>
      </c>
      <c r="AF1918" s="51" t="n">
        <v>0</v>
      </c>
      <c r="AG1918" s="48" t="n">
        <v>0</v>
      </c>
      <c r="AH1918" s="49" t="n">
        <v>0</v>
      </c>
      <c r="AI1918" s="49" t="n">
        <v>0</v>
      </c>
      <c r="AJ1918" s="50" t="n">
        <v>0</v>
      </c>
      <c r="AK1918" s="51" t="n">
        <v>0</v>
      </c>
      <c r="AL1918" s="52" t="n">
        <v>0</v>
      </c>
      <c r="AM1918" s="52" t="n">
        <v>0</v>
      </c>
      <c r="AN1918" s="52" t="n">
        <v>0</v>
      </c>
      <c r="AO1918" s="53" t="n">
        <v>0</v>
      </c>
      <c r="AP1918" s="52" t="n">
        <v>0</v>
      </c>
      <c r="AQ1918" s="53" t="n">
        <v>0</v>
      </c>
      <c r="AR1918" s="52" t="n">
        <v>0</v>
      </c>
      <c r="AS1918" s="51" t="n">
        <v>0</v>
      </c>
      <c r="AT1918" s="48" t="n">
        <v>0</v>
      </c>
      <c r="AU1918" s="49" t="n">
        <v>0</v>
      </c>
      <c r="AV1918" s="49" t="n">
        <v>0</v>
      </c>
      <c r="AW1918" s="50" t="n">
        <v>0</v>
      </c>
      <c r="AX1918" s="51" t="n">
        <v>0</v>
      </c>
      <c r="AY1918" s="52" t="n">
        <v>0</v>
      </c>
      <c r="AZ1918" s="52" t="n">
        <v>0</v>
      </c>
      <c r="BA1918" s="52" t="n">
        <v>0</v>
      </c>
      <c r="BB1918" s="53" t="n">
        <v>0</v>
      </c>
      <c r="BC1918" s="52" t="n">
        <v>0</v>
      </c>
      <c r="BD1918" s="53" t="n">
        <v>0</v>
      </c>
      <c r="BE1918" s="52" t="n">
        <v>0</v>
      </c>
      <c r="BF1918" s="51" t="n">
        <v>0</v>
      </c>
    </row>
    <row r="1919">
      <c r="A1919">
        <f>HYPERLINK("https://www.walmart.com/ip/264860479", "264860479")</f>
        <v/>
      </c>
      <c r="B1919" t="inlineStr">
        <is>
          <t>Tirrinia Unisex Surf Poncho Changing Towel Robe for Adult Surfer Swimmer Outdoor Beach</t>
        </is>
      </c>
      <c r="C1919" t="inlineStr">
        <is>
          <t>1WMBR100NY</t>
        </is>
      </c>
      <c r="D1919" t="inlineStr">
        <is>
          <t>Towels &amp; Washcloths</t>
        </is>
      </c>
      <c r="E1919" t="inlineStr">
        <is>
          <t>Flyingstar</t>
        </is>
      </c>
      <c r="F1919" t="inlineStr">
        <is>
          <t>Beach Robe Camp,Batch 1 - TR</t>
        </is>
      </c>
      <c r="G1919" s="48" t="n">
        <v>0</v>
      </c>
      <c r="H1919" s="49" t="n">
        <v>0</v>
      </c>
      <c r="I1919" s="49" t="n">
        <v>0</v>
      </c>
      <c r="J1919" s="50" t="n">
        <v>0</v>
      </c>
      <c r="K1919" s="51" t="n">
        <v>0</v>
      </c>
      <c r="L1919" s="52" t="n">
        <v>0</v>
      </c>
      <c r="M1919" s="52" t="n">
        <v>0</v>
      </c>
      <c r="N1919" s="52" t="n">
        <v>0</v>
      </c>
      <c r="O1919" s="53" t="n">
        <v>0</v>
      </c>
      <c r="P1919" s="52" t="n">
        <v>0</v>
      </c>
      <c r="Q1919" s="53" t="n">
        <v>0</v>
      </c>
      <c r="R1919" s="52" t="n">
        <v>0</v>
      </c>
      <c r="S1919" s="51" t="n">
        <v>0</v>
      </c>
      <c r="T1919" s="48" t="n">
        <v>0</v>
      </c>
      <c r="U1919" s="49" t="n">
        <v>0</v>
      </c>
      <c r="V1919" s="49" t="n">
        <v>0</v>
      </c>
      <c r="W1919" s="50" t="n">
        <v>0</v>
      </c>
      <c r="X1919" s="51" t="n">
        <v>0</v>
      </c>
      <c r="Y1919" s="52" t="n">
        <v>0</v>
      </c>
      <c r="Z1919" s="52" t="n">
        <v>0</v>
      </c>
      <c r="AA1919" s="52" t="n">
        <v>0</v>
      </c>
      <c r="AB1919" s="53" t="n">
        <v>0</v>
      </c>
      <c r="AC1919" s="52" t="n">
        <v>0</v>
      </c>
      <c r="AD1919" s="53" t="n">
        <v>0</v>
      </c>
      <c r="AE1919" s="52" t="n">
        <v>0</v>
      </c>
      <c r="AF1919" s="51" t="n">
        <v>0</v>
      </c>
      <c r="AG1919" s="48" t="n">
        <v>0</v>
      </c>
      <c r="AH1919" s="49" t="n">
        <v>0</v>
      </c>
      <c r="AI1919" s="49" t="n">
        <v>0</v>
      </c>
      <c r="AJ1919" s="50" t="n">
        <v>0</v>
      </c>
      <c r="AK1919" s="51" t="n">
        <v>0</v>
      </c>
      <c r="AL1919" s="52" t="n">
        <v>0</v>
      </c>
      <c r="AM1919" s="52" t="n">
        <v>0</v>
      </c>
      <c r="AN1919" s="52" t="n">
        <v>0</v>
      </c>
      <c r="AO1919" s="53" t="n">
        <v>0</v>
      </c>
      <c r="AP1919" s="52" t="n">
        <v>0</v>
      </c>
      <c r="AQ1919" s="53" t="n">
        <v>0</v>
      </c>
      <c r="AR1919" s="52" t="n">
        <v>0</v>
      </c>
      <c r="AS1919" s="51" t="n">
        <v>0</v>
      </c>
      <c r="AT1919" s="48" t="n">
        <v>0</v>
      </c>
      <c r="AU1919" s="49" t="n">
        <v>0</v>
      </c>
      <c r="AV1919" s="49" t="n">
        <v>0</v>
      </c>
      <c r="AW1919" s="50" t="n">
        <v>0</v>
      </c>
      <c r="AX1919" s="51" t="n">
        <v>0</v>
      </c>
      <c r="AY1919" s="52" t="n">
        <v>0</v>
      </c>
      <c r="AZ1919" s="52" t="n">
        <v>0</v>
      </c>
      <c r="BA1919" s="52" t="n">
        <v>0</v>
      </c>
      <c r="BB1919" s="53" t="n">
        <v>0</v>
      </c>
      <c r="BC1919" s="52" t="n">
        <v>0</v>
      </c>
      <c r="BD1919" s="53" t="n">
        <v>0</v>
      </c>
      <c r="BE1919" s="52" t="n">
        <v>0</v>
      </c>
      <c r="BF1919" s="51" t="n">
        <v>0</v>
      </c>
    </row>
    <row r="1920">
      <c r="A1920">
        <f>HYPERLINK("https://www.walmart.com/ip/2654335470", "2654335470")</f>
        <v/>
      </c>
      <c r="B1920" t="inlineStr">
        <is>
          <t>Dickies Insulated Lunch Bag Satchel for Girls School and Work, Thermal Reusable Office Lunch Box for Women (Charcoal)</t>
        </is>
      </c>
      <c r="C1920" t="inlineStr">
        <is>
          <t>DK-LUNCH-SATCHEL-HOTPINKLOVE</t>
        </is>
      </c>
      <c r="D1920" t="inlineStr">
        <is>
          <t>Reusable Lunch Bags &amp; Boxes</t>
        </is>
      </c>
      <c r="E1920" t="inlineStr">
        <is>
          <t>Dickies</t>
        </is>
      </c>
      <c r="G1920" s="48" t="n">
        <v>0</v>
      </c>
      <c r="H1920" s="49" t="n">
        <v>0</v>
      </c>
      <c r="I1920" s="49" t="n">
        <v>0</v>
      </c>
      <c r="J1920" s="50" t="n">
        <v>0</v>
      </c>
      <c r="K1920" s="51" t="n">
        <v>0</v>
      </c>
      <c r="L1920" s="52" t="n">
        <v>0</v>
      </c>
      <c r="M1920" s="52" t="n">
        <v>0</v>
      </c>
      <c r="N1920" s="52" t="n">
        <v>0</v>
      </c>
      <c r="O1920" s="53" t="n">
        <v>0</v>
      </c>
      <c r="P1920" s="52" t="n">
        <v>0</v>
      </c>
      <c r="Q1920" s="53" t="n">
        <v>0</v>
      </c>
      <c r="R1920" s="52" t="n">
        <v>0</v>
      </c>
      <c r="S1920" s="51" t="n">
        <v>0</v>
      </c>
      <c r="T1920" s="48" t="n">
        <v>0</v>
      </c>
      <c r="U1920" s="49" t="n">
        <v>0</v>
      </c>
      <c r="V1920" s="49" t="n">
        <v>0</v>
      </c>
      <c r="W1920" s="50" t="n">
        <v>0</v>
      </c>
      <c r="X1920" s="51" t="n">
        <v>0</v>
      </c>
      <c r="Y1920" s="52" t="n">
        <v>0</v>
      </c>
      <c r="Z1920" s="52" t="n">
        <v>0</v>
      </c>
      <c r="AA1920" s="52" t="n">
        <v>0</v>
      </c>
      <c r="AB1920" s="53" t="n">
        <v>0</v>
      </c>
      <c r="AC1920" s="52" t="n">
        <v>0</v>
      </c>
      <c r="AD1920" s="53" t="n">
        <v>0</v>
      </c>
      <c r="AE1920" s="52" t="n">
        <v>0</v>
      </c>
      <c r="AF1920" s="51" t="n">
        <v>0</v>
      </c>
      <c r="AG1920" s="48" t="n">
        <v>0</v>
      </c>
      <c r="AH1920" s="49" t="n">
        <v>0</v>
      </c>
      <c r="AI1920" s="49" t="n">
        <v>0</v>
      </c>
      <c r="AJ1920" s="50" t="n">
        <v>0</v>
      </c>
      <c r="AK1920" s="51" t="n">
        <v>0</v>
      </c>
      <c r="AL1920" s="52" t="n">
        <v>0</v>
      </c>
      <c r="AM1920" s="52" t="n">
        <v>0</v>
      </c>
      <c r="AN1920" s="52" t="n">
        <v>0</v>
      </c>
      <c r="AO1920" s="53" t="n">
        <v>0</v>
      </c>
      <c r="AP1920" s="52" t="n">
        <v>0</v>
      </c>
      <c r="AQ1920" s="53" t="n">
        <v>0</v>
      </c>
      <c r="AR1920" s="52" t="n">
        <v>0</v>
      </c>
      <c r="AS1920" s="51" t="n">
        <v>0</v>
      </c>
      <c r="AT1920" s="48" t="n">
        <v>0</v>
      </c>
      <c r="AU1920" s="49" t="n">
        <v>0</v>
      </c>
      <c r="AV1920" s="49" t="n">
        <v>0</v>
      </c>
      <c r="AW1920" s="50" t="n">
        <v>0</v>
      </c>
      <c r="AX1920" s="51" t="n">
        <v>0</v>
      </c>
      <c r="AY1920" s="52" t="n">
        <v>0</v>
      </c>
      <c r="AZ1920" s="52" t="n">
        <v>0</v>
      </c>
      <c r="BA1920" s="52" t="n">
        <v>0</v>
      </c>
      <c r="BB1920" s="53" t="n">
        <v>0</v>
      </c>
      <c r="BC1920" s="52" t="n">
        <v>0</v>
      </c>
      <c r="BD1920" s="53" t="n">
        <v>0</v>
      </c>
      <c r="BE1920" s="52" t="n">
        <v>0</v>
      </c>
      <c r="BF1920" s="51" t="n">
        <v>0</v>
      </c>
    </row>
    <row r="1921">
      <c r="A1921">
        <f>HYPERLINK("https://www.walmart.com/ip/2657795366", "2657795366")</f>
        <v/>
      </c>
      <c r="B1921" t="inlineStr">
        <is>
          <t>Catalonia Christmas Sherpa Fleece Throw Blanket, Cozy Fuzzy Jacquard Blanket for the Couch Bed | Fluffy Comfy Warm Heavy Throws | Red Xmas Gift, 50x60 inches</t>
        </is>
      </c>
      <c r="C1921" t="inlineStr">
        <is>
          <t>1CTBF573RDXMAS</t>
        </is>
      </c>
      <c r="D1921" t="inlineStr">
        <is>
          <t>Throws</t>
        </is>
      </c>
      <c r="E1921" t="inlineStr">
        <is>
          <t>Catalonia</t>
        </is>
      </c>
      <c r="F1921" t="inlineStr">
        <is>
          <t>Q2-Target,Coupon_Discount,Batch 1 - TR</t>
        </is>
      </c>
      <c r="G1921" s="48" t="n">
        <v>0</v>
      </c>
      <c r="H1921" s="49" t="n">
        <v>0</v>
      </c>
      <c r="I1921" s="49" t="n">
        <v>0</v>
      </c>
      <c r="J1921" s="50" t="n">
        <v>0</v>
      </c>
      <c r="K1921" s="51" t="n">
        <v>0</v>
      </c>
      <c r="L1921" s="52" t="n">
        <v>0</v>
      </c>
      <c r="M1921" s="52" t="n">
        <v>0</v>
      </c>
      <c r="N1921" s="52" t="n">
        <v>0</v>
      </c>
      <c r="O1921" s="53" t="n">
        <v>0</v>
      </c>
      <c r="P1921" s="52" t="n">
        <v>0</v>
      </c>
      <c r="Q1921" s="53" t="n">
        <v>0</v>
      </c>
      <c r="R1921" s="52" t="n">
        <v>0</v>
      </c>
      <c r="S1921" s="51" t="n">
        <v>0</v>
      </c>
      <c r="T1921" s="48" t="n">
        <v>0</v>
      </c>
      <c r="U1921" s="49" t="n">
        <v>0</v>
      </c>
      <c r="V1921" s="49" t="n">
        <v>0</v>
      </c>
      <c r="W1921" s="50" t="n">
        <v>0</v>
      </c>
      <c r="X1921" s="51" t="n">
        <v>0</v>
      </c>
      <c r="Y1921" s="52" t="n">
        <v>0</v>
      </c>
      <c r="Z1921" s="52" t="n">
        <v>0</v>
      </c>
      <c r="AA1921" s="52" t="n">
        <v>0</v>
      </c>
      <c r="AB1921" s="53" t="n">
        <v>0</v>
      </c>
      <c r="AC1921" s="52" t="n">
        <v>0</v>
      </c>
      <c r="AD1921" s="53" t="n">
        <v>0</v>
      </c>
      <c r="AE1921" s="52" t="n">
        <v>0</v>
      </c>
      <c r="AF1921" s="51" t="n">
        <v>0</v>
      </c>
      <c r="AG1921" s="48" t="n">
        <v>0</v>
      </c>
      <c r="AH1921" s="49" t="n">
        <v>0</v>
      </c>
      <c r="AI1921" s="49" t="n">
        <v>0</v>
      </c>
      <c r="AJ1921" s="50" t="n">
        <v>0</v>
      </c>
      <c r="AK1921" s="51" t="n">
        <v>0</v>
      </c>
      <c r="AL1921" s="52" t="n">
        <v>0</v>
      </c>
      <c r="AM1921" s="52" t="n">
        <v>0</v>
      </c>
      <c r="AN1921" s="52" t="n">
        <v>0</v>
      </c>
      <c r="AO1921" s="53" t="n">
        <v>0</v>
      </c>
      <c r="AP1921" s="52" t="n">
        <v>0</v>
      </c>
      <c r="AQ1921" s="53" t="n">
        <v>0</v>
      </c>
      <c r="AR1921" s="52" t="n">
        <v>0</v>
      </c>
      <c r="AS1921" s="51" t="n">
        <v>0</v>
      </c>
      <c r="AT1921" s="48" t="n">
        <v>0</v>
      </c>
      <c r="AU1921" s="49" t="n">
        <v>0</v>
      </c>
      <c r="AV1921" s="49" t="n">
        <v>0</v>
      </c>
      <c r="AW1921" s="50" t="n">
        <v>0</v>
      </c>
      <c r="AX1921" s="51" t="n">
        <v>0</v>
      </c>
      <c r="AY1921" s="52" t="n">
        <v>0</v>
      </c>
      <c r="AZ1921" s="52" t="n">
        <v>0</v>
      </c>
      <c r="BA1921" s="52" t="n">
        <v>0</v>
      </c>
      <c r="BB1921" s="53" t="n">
        <v>0</v>
      </c>
      <c r="BC1921" s="52" t="n">
        <v>0</v>
      </c>
      <c r="BD1921" s="53" t="n">
        <v>0</v>
      </c>
      <c r="BE1921" s="52" t="n">
        <v>0</v>
      </c>
      <c r="BF1921" s="51" t="n">
        <v>0</v>
      </c>
    </row>
    <row r="1922">
      <c r="A1922">
        <f>HYPERLINK("https://www.walmart.com/ip/2671026419", "2671026419")</f>
        <v/>
      </c>
      <c r="B1922" t="inlineStr">
        <is>
          <t>Tirrinia 2 In 1 Outdoors UPF 50+ UV Protection Sun Hat for Womens, One Size Female Sports Baseball Cap Gardening Fishing Hat with Neck Flap, Khaki</t>
        </is>
      </c>
      <c r="C1922" t="inlineStr">
        <is>
          <t>1TRSH9153KK</t>
        </is>
      </c>
      <c r="D1922" t="inlineStr">
        <is>
          <t>Hats</t>
        </is>
      </c>
      <c r="E1922" t="inlineStr">
        <is>
          <t>Tirrinia</t>
        </is>
      </c>
      <c r="G1922" s="48" t="n">
        <v>0</v>
      </c>
      <c r="H1922" s="49" t="n">
        <v>0</v>
      </c>
      <c r="I1922" s="49" t="n">
        <v>0</v>
      </c>
      <c r="J1922" s="50" t="n">
        <v>0</v>
      </c>
      <c r="K1922" s="51" t="n">
        <v>0</v>
      </c>
      <c r="L1922" s="52" t="n">
        <v>0</v>
      </c>
      <c r="M1922" s="52" t="n">
        <v>0</v>
      </c>
      <c r="N1922" s="52" t="n">
        <v>0</v>
      </c>
      <c r="O1922" s="53" t="n">
        <v>0</v>
      </c>
      <c r="P1922" s="52" t="n">
        <v>0</v>
      </c>
      <c r="Q1922" s="53" t="n">
        <v>0</v>
      </c>
      <c r="R1922" s="52" t="n">
        <v>0</v>
      </c>
      <c r="S1922" s="51" t="n">
        <v>0</v>
      </c>
      <c r="T1922" s="48" t="n">
        <v>0</v>
      </c>
      <c r="U1922" s="49" t="n">
        <v>0</v>
      </c>
      <c r="V1922" s="49" t="n">
        <v>0</v>
      </c>
      <c r="W1922" s="50" t="n">
        <v>0</v>
      </c>
      <c r="X1922" s="51" t="n">
        <v>0</v>
      </c>
      <c r="Y1922" s="52" t="n">
        <v>0</v>
      </c>
      <c r="Z1922" s="52" t="n">
        <v>0</v>
      </c>
      <c r="AA1922" s="52" t="n">
        <v>0</v>
      </c>
      <c r="AB1922" s="53" t="n">
        <v>0</v>
      </c>
      <c r="AC1922" s="52" t="n">
        <v>0</v>
      </c>
      <c r="AD1922" s="53" t="n">
        <v>0</v>
      </c>
      <c r="AE1922" s="52" t="n">
        <v>0</v>
      </c>
      <c r="AF1922" s="51" t="n">
        <v>0</v>
      </c>
      <c r="AG1922" s="48" t="n">
        <v>0</v>
      </c>
      <c r="AH1922" s="49" t="n">
        <v>0</v>
      </c>
      <c r="AI1922" s="49" t="n">
        <v>0</v>
      </c>
      <c r="AJ1922" s="50" t="n">
        <v>0</v>
      </c>
      <c r="AK1922" s="51" t="n">
        <v>0</v>
      </c>
      <c r="AL1922" s="52" t="n">
        <v>0</v>
      </c>
      <c r="AM1922" s="52" t="n">
        <v>0</v>
      </c>
      <c r="AN1922" s="52" t="n">
        <v>0</v>
      </c>
      <c r="AO1922" s="53" t="n">
        <v>0</v>
      </c>
      <c r="AP1922" s="52" t="n">
        <v>0</v>
      </c>
      <c r="AQ1922" s="53" t="n">
        <v>0</v>
      </c>
      <c r="AR1922" s="52" t="n">
        <v>0</v>
      </c>
      <c r="AS1922" s="51" t="n">
        <v>0</v>
      </c>
      <c r="AT1922" s="48" t="n">
        <v>0</v>
      </c>
      <c r="AU1922" s="49" t="n">
        <v>0</v>
      </c>
      <c r="AV1922" s="49" t="n">
        <v>0</v>
      </c>
      <c r="AW1922" s="50" t="n">
        <v>0</v>
      </c>
      <c r="AX1922" s="51" t="n">
        <v>0</v>
      </c>
      <c r="AY1922" s="52" t="n">
        <v>0</v>
      </c>
      <c r="AZ1922" s="52" t="n">
        <v>0</v>
      </c>
      <c r="BA1922" s="52" t="n">
        <v>0</v>
      </c>
      <c r="BB1922" s="53" t="n">
        <v>0</v>
      </c>
      <c r="BC1922" s="52" t="n">
        <v>0</v>
      </c>
      <c r="BD1922" s="53" t="n">
        <v>0</v>
      </c>
      <c r="BE1922" s="52" t="n">
        <v>0</v>
      </c>
      <c r="BF1922" s="51" t="n">
        <v>0</v>
      </c>
    </row>
    <row r="1923">
      <c r="A1923">
        <f>HYPERLINK("https://www.walmart.com/ip/267224144", "267224144")</f>
        <v/>
      </c>
      <c r="B1923" t="inlineStr">
        <is>
          <t>Catalonia Oversized Hoodie Sweatshirt Poncho, Casual Hoodie Cape, Batwing Coat Pullover Blanket | Fluffy Sherpa, Comfortable, Roomy | Gift for Adults Women Men, Pink</t>
        </is>
      </c>
      <c r="C1923" t="inlineStr">
        <is>
          <t>1CTHD542PK</t>
        </is>
      </c>
      <c r="D1923" t="inlineStr">
        <is>
          <t>Sweatshirts &amp; Hoodies</t>
        </is>
      </c>
      <c r="E1923" t="inlineStr">
        <is>
          <t>Catalonia</t>
        </is>
      </c>
      <c r="F1923" t="inlineStr">
        <is>
          <t>Hoodie ForAdult,Optimized</t>
        </is>
      </c>
      <c r="G1923" s="48" t="n">
        <v>0</v>
      </c>
      <c r="H1923" s="49" t="n">
        <v>0</v>
      </c>
      <c r="I1923" s="49" t="n">
        <v>0</v>
      </c>
      <c r="J1923" s="50" t="n">
        <v>0</v>
      </c>
      <c r="K1923" s="51" t="n">
        <v>0</v>
      </c>
      <c r="L1923" s="52" t="n">
        <v>0</v>
      </c>
      <c r="M1923" s="52" t="n">
        <v>0</v>
      </c>
      <c r="N1923" s="52" t="n">
        <v>0</v>
      </c>
      <c r="O1923" s="53" t="n">
        <v>0</v>
      </c>
      <c r="P1923" s="52" t="n">
        <v>0</v>
      </c>
      <c r="Q1923" s="53" t="n">
        <v>0</v>
      </c>
      <c r="R1923" s="52" t="n">
        <v>0</v>
      </c>
      <c r="S1923" s="51" t="n">
        <v>0</v>
      </c>
      <c r="T1923" s="48" t="n">
        <v>0</v>
      </c>
      <c r="U1923" s="49" t="n">
        <v>0</v>
      </c>
      <c r="V1923" s="49" t="n">
        <v>0</v>
      </c>
      <c r="W1923" s="50" t="n">
        <v>0</v>
      </c>
      <c r="X1923" s="51" t="n">
        <v>0</v>
      </c>
      <c r="Y1923" s="52" t="n">
        <v>0</v>
      </c>
      <c r="Z1923" s="52" t="n">
        <v>0</v>
      </c>
      <c r="AA1923" s="52" t="n">
        <v>0</v>
      </c>
      <c r="AB1923" s="53" t="n">
        <v>0</v>
      </c>
      <c r="AC1923" s="52" t="n">
        <v>0</v>
      </c>
      <c r="AD1923" s="53" t="n">
        <v>0</v>
      </c>
      <c r="AE1923" s="52" t="n">
        <v>0</v>
      </c>
      <c r="AF1923" s="51" t="n">
        <v>0</v>
      </c>
      <c r="AG1923" s="48" t="n">
        <v>0</v>
      </c>
      <c r="AH1923" s="49" t="n">
        <v>0</v>
      </c>
      <c r="AI1923" s="49" t="n">
        <v>0</v>
      </c>
      <c r="AJ1923" s="50" t="n">
        <v>0</v>
      </c>
      <c r="AK1923" s="51" t="n">
        <v>0</v>
      </c>
      <c r="AL1923" s="52" t="n">
        <v>0</v>
      </c>
      <c r="AM1923" s="52" t="n">
        <v>0</v>
      </c>
      <c r="AN1923" s="52" t="n">
        <v>0</v>
      </c>
      <c r="AO1923" s="53" t="n">
        <v>0</v>
      </c>
      <c r="AP1923" s="52" t="n">
        <v>0</v>
      </c>
      <c r="AQ1923" s="53" t="n">
        <v>0</v>
      </c>
      <c r="AR1923" s="52" t="n">
        <v>0</v>
      </c>
      <c r="AS1923" s="51" t="n">
        <v>0</v>
      </c>
      <c r="AT1923" s="48" t="n">
        <v>0</v>
      </c>
      <c r="AU1923" s="49" t="n">
        <v>0</v>
      </c>
      <c r="AV1923" s="49" t="n">
        <v>0</v>
      </c>
      <c r="AW1923" s="50" t="n">
        <v>0</v>
      </c>
      <c r="AX1923" s="51" t="n">
        <v>0</v>
      </c>
      <c r="AY1923" s="52" t="n">
        <v>0</v>
      </c>
      <c r="AZ1923" s="52" t="n">
        <v>0</v>
      </c>
      <c r="BA1923" s="52" t="n">
        <v>0</v>
      </c>
      <c r="BB1923" s="53" t="n">
        <v>0</v>
      </c>
      <c r="BC1923" s="52" t="n">
        <v>0</v>
      </c>
      <c r="BD1923" s="53" t="n">
        <v>0</v>
      </c>
      <c r="BE1923" s="52" t="n">
        <v>0</v>
      </c>
      <c r="BF1923" s="51" t="n">
        <v>0</v>
      </c>
    </row>
    <row r="1924">
      <c r="A1924">
        <f>HYPERLINK("https://www.walmart.com/ip/268420160", "268420160")</f>
        <v/>
      </c>
      <c r="B1924" t="inlineStr">
        <is>
          <t>Kids Beach Towel,100% Cotton Water Absorption Hooded Bath Changing Robe Poncho for 2 to 6 Years Boy Bathing Swimming Sand Proof</t>
        </is>
      </c>
      <c r="C1924" t="inlineStr">
        <is>
          <t>1CTBR200SF-ESCB</t>
        </is>
      </c>
      <c r="D1924" t="inlineStr">
        <is>
          <t>Towels &amp; Washcloths</t>
        </is>
      </c>
      <c r="E1924" t="inlineStr">
        <is>
          <t>Catalonia</t>
        </is>
      </c>
      <c r="G1924" s="48" t="n">
        <v>0</v>
      </c>
      <c r="H1924" s="49" t="n">
        <v>0</v>
      </c>
      <c r="I1924" s="49" t="n">
        <v>0</v>
      </c>
      <c r="J1924" s="50" t="n">
        <v>0</v>
      </c>
      <c r="K1924" s="51" t="n">
        <v>0</v>
      </c>
      <c r="L1924" s="52" t="n">
        <v>0</v>
      </c>
      <c r="M1924" s="52" t="n">
        <v>0</v>
      </c>
      <c r="N1924" s="52" t="n">
        <v>0</v>
      </c>
      <c r="O1924" s="53" t="n">
        <v>0</v>
      </c>
      <c r="P1924" s="52" t="n">
        <v>0</v>
      </c>
      <c r="Q1924" s="53" t="n">
        <v>0</v>
      </c>
      <c r="R1924" s="52" t="n">
        <v>0</v>
      </c>
      <c r="S1924" s="51" t="n">
        <v>0</v>
      </c>
      <c r="T1924" s="48" t="n">
        <v>0</v>
      </c>
      <c r="U1924" s="49" t="n">
        <v>0</v>
      </c>
      <c r="V1924" s="49" t="n">
        <v>0</v>
      </c>
      <c r="W1924" s="50" t="n">
        <v>0</v>
      </c>
      <c r="X1924" s="51" t="n">
        <v>0</v>
      </c>
      <c r="Y1924" s="52" t="n">
        <v>0</v>
      </c>
      <c r="Z1924" s="52" t="n">
        <v>0</v>
      </c>
      <c r="AA1924" s="52" t="n">
        <v>0</v>
      </c>
      <c r="AB1924" s="53" t="n">
        <v>0</v>
      </c>
      <c r="AC1924" s="52" t="n">
        <v>0</v>
      </c>
      <c r="AD1924" s="53" t="n">
        <v>0</v>
      </c>
      <c r="AE1924" s="52" t="n">
        <v>0</v>
      </c>
      <c r="AF1924" s="51" t="n">
        <v>0</v>
      </c>
      <c r="AG1924" s="48" t="n">
        <v>0</v>
      </c>
      <c r="AH1924" s="49" t="n">
        <v>0</v>
      </c>
      <c r="AI1924" s="49" t="n">
        <v>0</v>
      </c>
      <c r="AJ1924" s="50" t="n">
        <v>0</v>
      </c>
      <c r="AK1924" s="51" t="n">
        <v>0</v>
      </c>
      <c r="AL1924" s="52" t="n">
        <v>0</v>
      </c>
      <c r="AM1924" s="52" t="n">
        <v>0</v>
      </c>
      <c r="AN1924" s="52" t="n">
        <v>0</v>
      </c>
      <c r="AO1924" s="53" t="n">
        <v>0</v>
      </c>
      <c r="AP1924" s="52" t="n">
        <v>0</v>
      </c>
      <c r="AQ1924" s="53" t="n">
        <v>0</v>
      </c>
      <c r="AR1924" s="52" t="n">
        <v>0</v>
      </c>
      <c r="AS1924" s="51" t="n">
        <v>0</v>
      </c>
      <c r="AT1924" s="48" t="n">
        <v>0</v>
      </c>
      <c r="AU1924" s="49" t="n">
        <v>0</v>
      </c>
      <c r="AV1924" s="49" t="n">
        <v>0</v>
      </c>
      <c r="AW1924" s="50" t="n">
        <v>0</v>
      </c>
      <c r="AX1924" s="51" t="n">
        <v>0</v>
      </c>
      <c r="AY1924" s="52" t="n">
        <v>0</v>
      </c>
      <c r="AZ1924" s="52" t="n">
        <v>0</v>
      </c>
      <c r="BA1924" s="52" t="n">
        <v>0</v>
      </c>
      <c r="BB1924" s="53" t="n">
        <v>0</v>
      </c>
      <c r="BC1924" s="52" t="n">
        <v>0</v>
      </c>
      <c r="BD1924" s="53" t="n">
        <v>0</v>
      </c>
      <c r="BE1924" s="52" t="n">
        <v>0</v>
      </c>
      <c r="BF1924" s="51" t="n">
        <v>0</v>
      </c>
    </row>
    <row r="1925">
      <c r="A1925">
        <f>HYPERLINK("https://www.walmart.com/ip/269524016", "269524016")</f>
        <v/>
      </c>
      <c r="B1925" t="inlineStr">
        <is>
          <t>Kritter Planet Waterproof Dog Blanket for Couch, Washable Pet Couch Cover, Non-slip Bed Sofa Furniture Protector Mat, Latte, 60''x50''.</t>
        </is>
      </c>
      <c r="C1925" t="inlineStr">
        <is>
          <t>1KPBW566LT</t>
        </is>
      </c>
      <c r="D1925" t="inlineStr">
        <is>
          <t>Pet Blankets</t>
        </is>
      </c>
      <c r="E1925" t="inlineStr">
        <is>
          <t>Kritter Planet</t>
        </is>
      </c>
      <c r="F1925" t="inlineStr">
        <is>
          <t>Q2-Target,Optimized</t>
        </is>
      </c>
      <c r="G1925" s="48" t="n">
        <v>0</v>
      </c>
      <c r="H1925" s="49" t="n">
        <v>0</v>
      </c>
      <c r="I1925" s="49" t="n">
        <v>0</v>
      </c>
      <c r="J1925" s="50" t="n">
        <v>0</v>
      </c>
      <c r="K1925" s="51" t="n">
        <v>1</v>
      </c>
      <c r="L1925" s="52" t="n">
        <v>0.43</v>
      </c>
      <c r="M1925" s="52" t="n">
        <v>0</v>
      </c>
      <c r="N1925" s="52" t="n">
        <v>0</v>
      </c>
      <c r="O1925" s="53" t="n">
        <v>0.0013</v>
      </c>
      <c r="P1925" s="52" t="n">
        <v>0.43</v>
      </c>
      <c r="Q1925" s="53" t="n">
        <v>0</v>
      </c>
      <c r="R1925" s="52" t="n">
        <v>0</v>
      </c>
      <c r="S1925" s="51" t="n">
        <v>792</v>
      </c>
      <c r="T1925" s="48" t="n">
        <v>0</v>
      </c>
      <c r="U1925" s="49" t="n">
        <v>0</v>
      </c>
      <c r="V1925" s="49" t="n">
        <v>0</v>
      </c>
      <c r="W1925" s="50" t="n">
        <v>0</v>
      </c>
      <c r="X1925" s="51" t="n">
        <v>1</v>
      </c>
      <c r="Y1925" s="52" t="n">
        <v>0.43</v>
      </c>
      <c r="Z1925" s="52" t="n">
        <v>0</v>
      </c>
      <c r="AA1925" s="52" t="n">
        <v>0</v>
      </c>
      <c r="AB1925" s="53" t="n">
        <v>0.0009</v>
      </c>
      <c r="AC1925" s="52" t="n">
        <v>0.43</v>
      </c>
      <c r="AD1925" s="53" t="n">
        <v>0</v>
      </c>
      <c r="AE1925" s="52" t="n">
        <v>0</v>
      </c>
      <c r="AF1925" s="51" t="n">
        <v>1084</v>
      </c>
      <c r="AG1925" s="48" t="n">
        <v>19.99</v>
      </c>
      <c r="AH1925" s="49" t="n">
        <v>1</v>
      </c>
      <c r="AI1925" s="49" t="n">
        <v>0</v>
      </c>
      <c r="AJ1925" s="50" t="n">
        <v>0</v>
      </c>
      <c r="AK1925" s="51" t="n">
        <v>3</v>
      </c>
      <c r="AL1925" s="52" t="n">
        <v>1.33</v>
      </c>
      <c r="AM1925" s="52" t="n">
        <v>19.99</v>
      </c>
      <c r="AN1925" s="52" t="n">
        <v>15.03</v>
      </c>
      <c r="AO1925" s="53" t="n">
        <v>0.002</v>
      </c>
      <c r="AP1925" s="52" t="n">
        <v>0.4433333333333334</v>
      </c>
      <c r="AQ1925" s="53" t="n">
        <v>0.06653326663331667</v>
      </c>
      <c r="AR1925" s="52" t="n">
        <v>19.99</v>
      </c>
      <c r="AS1925" s="51" t="n">
        <v>1470</v>
      </c>
      <c r="AT1925" s="48" t="n">
        <v>19.99</v>
      </c>
      <c r="AU1925" s="49" t="n">
        <v>1</v>
      </c>
      <c r="AV1925" s="49" t="n">
        <v>0</v>
      </c>
      <c r="AW1925" s="50" t="n">
        <v>0</v>
      </c>
      <c r="AX1925" s="51" t="n">
        <v>8</v>
      </c>
      <c r="AY1925" s="52" t="n">
        <v>3.5</v>
      </c>
      <c r="AZ1925" s="52" t="n">
        <v>0</v>
      </c>
      <c r="BA1925" s="52" t="n">
        <v>0</v>
      </c>
      <c r="BB1925" s="53" t="n">
        <v>0.003</v>
      </c>
      <c r="BC1925" s="52" t="n">
        <v>0.4375</v>
      </c>
      <c r="BD1925" s="53" t="n">
        <v>0.175087543771886</v>
      </c>
      <c r="BE1925" s="52" t="n">
        <v>19.99</v>
      </c>
      <c r="BF1925" s="51" t="n">
        <v>2689</v>
      </c>
    </row>
    <row r="1926">
      <c r="A1926">
        <f>HYPERLINK("https://www.walmart.com/ip/269600083", "269600083")</f>
        <v/>
      </c>
      <c r="B1926" t="inlineStr">
        <is>
          <t>Tirrinia Running Belt for iPhone 8, X, 7 Plus and 6S, Waist Fanny Pack Phone Pouch for Fitness, Walking and Workout, Travel Waistband for Women and Men Black/Medium</t>
        </is>
      </c>
      <c r="C1926" t="inlineStr">
        <is>
          <t>TRWB100BK-M</t>
        </is>
      </c>
      <c r="D1926" t="inlineStr">
        <is>
          <t>Running Belts</t>
        </is>
      </c>
      <c r="E1926" t="inlineStr">
        <is>
          <t>Terrania</t>
        </is>
      </c>
      <c r="F1926" t="inlineStr">
        <is>
          <t>Batch 1 - TR</t>
        </is>
      </c>
      <c r="G1926" s="48" t="n">
        <v>0</v>
      </c>
      <c r="H1926" s="49" t="n">
        <v>0</v>
      </c>
      <c r="I1926" s="49" t="n">
        <v>0</v>
      </c>
      <c r="J1926" s="50" t="n">
        <v>0</v>
      </c>
      <c r="K1926" s="51" t="n">
        <v>0</v>
      </c>
      <c r="L1926" s="52" t="n">
        <v>0</v>
      </c>
      <c r="M1926" s="52" t="n">
        <v>0</v>
      </c>
      <c r="N1926" s="52" t="n">
        <v>0</v>
      </c>
      <c r="O1926" s="53" t="n">
        <v>0</v>
      </c>
      <c r="P1926" s="52" t="n">
        <v>0</v>
      </c>
      <c r="Q1926" s="53" t="n">
        <v>0</v>
      </c>
      <c r="R1926" s="52" t="n">
        <v>0</v>
      </c>
      <c r="S1926" s="51" t="n">
        <v>0</v>
      </c>
      <c r="T1926" s="48" t="n">
        <v>0</v>
      </c>
      <c r="U1926" s="49" t="n">
        <v>0</v>
      </c>
      <c r="V1926" s="49" t="n">
        <v>0</v>
      </c>
      <c r="W1926" s="50" t="n">
        <v>0</v>
      </c>
      <c r="X1926" s="51" t="n">
        <v>0</v>
      </c>
      <c r="Y1926" s="52" t="n">
        <v>0</v>
      </c>
      <c r="Z1926" s="52" t="n">
        <v>0</v>
      </c>
      <c r="AA1926" s="52" t="n">
        <v>0</v>
      </c>
      <c r="AB1926" s="53" t="n">
        <v>0</v>
      </c>
      <c r="AC1926" s="52" t="n">
        <v>0</v>
      </c>
      <c r="AD1926" s="53" t="n">
        <v>0</v>
      </c>
      <c r="AE1926" s="52" t="n">
        <v>0</v>
      </c>
      <c r="AF1926" s="51" t="n">
        <v>0</v>
      </c>
      <c r="AG1926" s="48" t="n">
        <v>0</v>
      </c>
      <c r="AH1926" s="49" t="n">
        <v>0</v>
      </c>
      <c r="AI1926" s="49" t="n">
        <v>0</v>
      </c>
      <c r="AJ1926" s="50" t="n">
        <v>0</v>
      </c>
      <c r="AK1926" s="51" t="n">
        <v>0</v>
      </c>
      <c r="AL1926" s="52" t="n">
        <v>0</v>
      </c>
      <c r="AM1926" s="52" t="n">
        <v>0</v>
      </c>
      <c r="AN1926" s="52" t="n">
        <v>0</v>
      </c>
      <c r="AO1926" s="53" t="n">
        <v>0</v>
      </c>
      <c r="AP1926" s="52" t="n">
        <v>0</v>
      </c>
      <c r="AQ1926" s="53" t="n">
        <v>0</v>
      </c>
      <c r="AR1926" s="52" t="n">
        <v>0</v>
      </c>
      <c r="AS1926" s="51" t="n">
        <v>0</v>
      </c>
      <c r="AT1926" s="48" t="n">
        <v>0</v>
      </c>
      <c r="AU1926" s="49" t="n">
        <v>0</v>
      </c>
      <c r="AV1926" s="49" t="n">
        <v>0</v>
      </c>
      <c r="AW1926" s="50" t="n">
        <v>0</v>
      </c>
      <c r="AX1926" s="51" t="n">
        <v>0</v>
      </c>
      <c r="AY1926" s="52" t="n">
        <v>0</v>
      </c>
      <c r="AZ1926" s="52" t="n">
        <v>0</v>
      </c>
      <c r="BA1926" s="52" t="n">
        <v>0</v>
      </c>
      <c r="BB1926" s="53" t="n">
        <v>0</v>
      </c>
      <c r="BC1926" s="52" t="n">
        <v>0</v>
      </c>
      <c r="BD1926" s="53" t="n">
        <v>0</v>
      </c>
      <c r="BE1926" s="52" t="n">
        <v>0</v>
      </c>
      <c r="BF1926" s="51" t="n">
        <v>0</v>
      </c>
    </row>
    <row r="1927">
      <c r="A1927">
        <f>HYPERLINK("https://www.walmart.com/ip/271253788", "271253788")</f>
        <v/>
      </c>
      <c r="B1927" t="inlineStr">
        <is>
          <t>Tirrinia 4 Bottle Wine Gift Carrier - Insulated &amp; Padded Portable Versatile Wine Carrying Cooler Tote Bag for Travel, BYOB Restaurant, Wine Tasting, Party, Great Gift for Wine Lover, Black Stripe</t>
        </is>
      </c>
      <c r="C1927" t="inlineStr">
        <is>
          <t>1TRWB421STR</t>
        </is>
      </c>
      <c r="D1927" t="inlineStr">
        <is>
          <t>Wine Totes, Bags &amp; Backpacks</t>
        </is>
      </c>
      <c r="E1927" t="inlineStr">
        <is>
          <t>Tirrinia</t>
        </is>
      </c>
      <c r="F1927" t="inlineStr">
        <is>
          <t>Wine,Christmas,Optimized,Valentine</t>
        </is>
      </c>
      <c r="G1927" s="48" t="n">
        <v>0</v>
      </c>
      <c r="H1927" s="49" t="n">
        <v>0</v>
      </c>
      <c r="I1927" s="49" t="n">
        <v>0</v>
      </c>
      <c r="J1927" s="50" t="n">
        <v>0</v>
      </c>
      <c r="K1927" s="51" t="n">
        <v>0</v>
      </c>
      <c r="L1927" s="52" t="n">
        <v>0</v>
      </c>
      <c r="M1927" s="52" t="n">
        <v>0</v>
      </c>
      <c r="N1927" s="52" t="n">
        <v>0</v>
      </c>
      <c r="O1927" s="53" t="n">
        <v>0</v>
      </c>
      <c r="P1927" s="52" t="n">
        <v>0</v>
      </c>
      <c r="Q1927" s="53" t="n">
        <v>0</v>
      </c>
      <c r="R1927" s="52" t="n">
        <v>0</v>
      </c>
      <c r="S1927" s="51" t="n">
        <v>0</v>
      </c>
      <c r="T1927" s="48" t="n">
        <v>0</v>
      </c>
      <c r="U1927" s="49" t="n">
        <v>0</v>
      </c>
      <c r="V1927" s="49" t="n">
        <v>0</v>
      </c>
      <c r="W1927" s="50" t="n">
        <v>0</v>
      </c>
      <c r="X1927" s="51" t="n">
        <v>0</v>
      </c>
      <c r="Y1927" s="52" t="n">
        <v>0</v>
      </c>
      <c r="Z1927" s="52" t="n">
        <v>0</v>
      </c>
      <c r="AA1927" s="52" t="n">
        <v>0</v>
      </c>
      <c r="AB1927" s="53" t="n">
        <v>0</v>
      </c>
      <c r="AC1927" s="52" t="n">
        <v>0</v>
      </c>
      <c r="AD1927" s="53" t="n">
        <v>0</v>
      </c>
      <c r="AE1927" s="52" t="n">
        <v>0</v>
      </c>
      <c r="AF1927" s="51" t="n">
        <v>0</v>
      </c>
      <c r="AG1927" s="48" t="n">
        <v>0</v>
      </c>
      <c r="AH1927" s="49" t="n">
        <v>0</v>
      </c>
      <c r="AI1927" s="49" t="n">
        <v>0</v>
      </c>
      <c r="AJ1927" s="50" t="n">
        <v>0</v>
      </c>
      <c r="AK1927" s="51" t="n">
        <v>0</v>
      </c>
      <c r="AL1927" s="52" t="n">
        <v>0</v>
      </c>
      <c r="AM1927" s="52" t="n">
        <v>0</v>
      </c>
      <c r="AN1927" s="52" t="n">
        <v>0</v>
      </c>
      <c r="AO1927" s="53" t="n">
        <v>0</v>
      </c>
      <c r="AP1927" s="52" t="n">
        <v>0</v>
      </c>
      <c r="AQ1927" s="53" t="n">
        <v>0</v>
      </c>
      <c r="AR1927" s="52" t="n">
        <v>0</v>
      </c>
      <c r="AS1927" s="51" t="n">
        <v>0</v>
      </c>
      <c r="AT1927" s="48" t="n">
        <v>0</v>
      </c>
      <c r="AU1927" s="49" t="n">
        <v>0</v>
      </c>
      <c r="AV1927" s="49" t="n">
        <v>0</v>
      </c>
      <c r="AW1927" s="50" t="n">
        <v>0</v>
      </c>
      <c r="AX1927" s="51" t="n">
        <v>0</v>
      </c>
      <c r="AY1927" s="52" t="n">
        <v>0</v>
      </c>
      <c r="AZ1927" s="52" t="n">
        <v>0</v>
      </c>
      <c r="BA1927" s="52" t="n">
        <v>0</v>
      </c>
      <c r="BB1927" s="53" t="n">
        <v>0</v>
      </c>
      <c r="BC1927" s="52" t="n">
        <v>0</v>
      </c>
      <c r="BD1927" s="53" t="n">
        <v>0</v>
      </c>
      <c r="BE1927" s="52" t="n">
        <v>0</v>
      </c>
      <c r="BF1927" s="51" t="n">
        <v>0</v>
      </c>
    </row>
    <row r="1928">
      <c r="A1928">
        <f>HYPERLINK("https://www.walmart.com/ip/2716246624", "2716246624")</f>
        <v/>
      </c>
      <c r="B1928" t="inlineStr">
        <is>
          <t>Catalonia Wearable Fleece Blanket with Sleeves and Foot Pockets for Adult Women and Men, Micro Plush Comfy Wrap Sleeved Throw Blanket Robe, Large, Southwest Blue</t>
        </is>
      </c>
      <c r="C1928" t="inlineStr">
        <is>
          <t>1CTSN101SWBL</t>
        </is>
      </c>
      <c r="D1928" t="inlineStr">
        <is>
          <t>Throws</t>
        </is>
      </c>
      <c r="E1928" t="inlineStr">
        <is>
          <t>Catalonia</t>
        </is>
      </c>
      <c r="F1928" t="inlineStr">
        <is>
          <t>Coupon_Discount,Fleece Blankets</t>
        </is>
      </c>
      <c r="G1928" s="48" t="n">
        <v>0</v>
      </c>
      <c r="H1928" s="49" t="n">
        <v>0</v>
      </c>
      <c r="I1928" s="49" t="n">
        <v>0</v>
      </c>
      <c r="J1928" s="50" t="n">
        <v>0</v>
      </c>
      <c r="K1928" s="51" t="n">
        <v>0</v>
      </c>
      <c r="L1928" s="52" t="n">
        <v>0</v>
      </c>
      <c r="M1928" s="52" t="n">
        <v>0</v>
      </c>
      <c r="N1928" s="52" t="n">
        <v>0</v>
      </c>
      <c r="O1928" s="53" t="n">
        <v>0</v>
      </c>
      <c r="P1928" s="52" t="n">
        <v>0</v>
      </c>
      <c r="Q1928" s="53" t="n">
        <v>0</v>
      </c>
      <c r="R1928" s="52" t="n">
        <v>0</v>
      </c>
      <c r="S1928" s="51" t="n">
        <v>0</v>
      </c>
      <c r="T1928" s="48" t="n">
        <v>0</v>
      </c>
      <c r="U1928" s="49" t="n">
        <v>0</v>
      </c>
      <c r="V1928" s="49" t="n">
        <v>0</v>
      </c>
      <c r="W1928" s="50" t="n">
        <v>0</v>
      </c>
      <c r="X1928" s="51" t="n">
        <v>0</v>
      </c>
      <c r="Y1928" s="52" t="n">
        <v>0</v>
      </c>
      <c r="Z1928" s="52" t="n">
        <v>0</v>
      </c>
      <c r="AA1928" s="52" t="n">
        <v>0</v>
      </c>
      <c r="AB1928" s="53" t="n">
        <v>0</v>
      </c>
      <c r="AC1928" s="52" t="n">
        <v>0</v>
      </c>
      <c r="AD1928" s="53" t="n">
        <v>0</v>
      </c>
      <c r="AE1928" s="52" t="n">
        <v>0</v>
      </c>
      <c r="AF1928" s="51" t="n">
        <v>0</v>
      </c>
      <c r="AG1928" s="48" t="n">
        <v>0</v>
      </c>
      <c r="AH1928" s="49" t="n">
        <v>0</v>
      </c>
      <c r="AI1928" s="49" t="n">
        <v>0</v>
      </c>
      <c r="AJ1928" s="50" t="n">
        <v>0</v>
      </c>
      <c r="AK1928" s="51" t="n">
        <v>0</v>
      </c>
      <c r="AL1928" s="52" t="n">
        <v>0</v>
      </c>
      <c r="AM1928" s="52" t="n">
        <v>0</v>
      </c>
      <c r="AN1928" s="52" t="n">
        <v>0</v>
      </c>
      <c r="AO1928" s="53" t="n">
        <v>0</v>
      </c>
      <c r="AP1928" s="52" t="n">
        <v>0</v>
      </c>
      <c r="AQ1928" s="53" t="n">
        <v>0</v>
      </c>
      <c r="AR1928" s="52" t="n">
        <v>0</v>
      </c>
      <c r="AS1928" s="51" t="n">
        <v>0</v>
      </c>
      <c r="AT1928" s="48" t="n">
        <v>0</v>
      </c>
      <c r="AU1928" s="49" t="n">
        <v>0</v>
      </c>
      <c r="AV1928" s="49" t="n">
        <v>0</v>
      </c>
      <c r="AW1928" s="50" t="n">
        <v>0</v>
      </c>
      <c r="AX1928" s="51" t="n">
        <v>0</v>
      </c>
      <c r="AY1928" s="52" t="n">
        <v>0</v>
      </c>
      <c r="AZ1928" s="52" t="n">
        <v>0</v>
      </c>
      <c r="BA1928" s="52" t="n">
        <v>0</v>
      </c>
      <c r="BB1928" s="53" t="n">
        <v>0</v>
      </c>
      <c r="BC1928" s="52" t="n">
        <v>0</v>
      </c>
      <c r="BD1928" s="53" t="n">
        <v>0</v>
      </c>
      <c r="BE1928" s="52" t="n">
        <v>0</v>
      </c>
      <c r="BF1928" s="51" t="n">
        <v>0</v>
      </c>
    </row>
    <row r="1929">
      <c r="A1929">
        <f>HYPERLINK("https://www.walmart.com/ip/261383078", "261383078")</f>
        <v/>
      </c>
      <c r="B1929" t="inlineStr">
        <is>
          <t>Oversized Hoodie Blanket Sweatshirt,Super Soft Warm Comfortable Fleece Giant Pullover with Large Front Pocket,for Adults Men Women Teenagers Kids Wife Girlfriend</t>
        </is>
      </c>
      <c r="C1929" t="inlineStr">
        <is>
          <t>1CTHD300LGY-UPC</t>
        </is>
      </c>
      <c r="D1929" t="inlineStr">
        <is>
          <t>Sweatshirts &amp; Hoodies</t>
        </is>
      </c>
      <c r="E1929" t="inlineStr">
        <is>
          <t>Catalonia</t>
        </is>
      </c>
      <c r="F1929" t="inlineStr">
        <is>
          <t>Hoodie ForAdult,Optimized</t>
        </is>
      </c>
      <c r="G1929" s="48" t="n">
        <v>0</v>
      </c>
      <c r="H1929" s="49" t="n">
        <v>0</v>
      </c>
      <c r="I1929" s="49" t="n">
        <v>0</v>
      </c>
      <c r="J1929" s="50" t="n">
        <v>0</v>
      </c>
      <c r="K1929" s="51" t="n">
        <v>0</v>
      </c>
      <c r="L1929" s="52" t="n">
        <v>0</v>
      </c>
      <c r="M1929" s="52" t="n">
        <v>0</v>
      </c>
      <c r="N1929" s="52" t="n">
        <v>0</v>
      </c>
      <c r="O1929" s="53" t="n">
        <v>0</v>
      </c>
      <c r="P1929" s="52" t="n">
        <v>0</v>
      </c>
      <c r="Q1929" s="53" t="n">
        <v>0</v>
      </c>
      <c r="R1929" s="52" t="n">
        <v>0</v>
      </c>
      <c r="S1929" s="51" t="n">
        <v>0</v>
      </c>
      <c r="T1929" s="48" t="n">
        <v>0</v>
      </c>
      <c r="U1929" s="49" t="n">
        <v>0</v>
      </c>
      <c r="V1929" s="49" t="n">
        <v>0</v>
      </c>
      <c r="W1929" s="50" t="n">
        <v>0</v>
      </c>
      <c r="X1929" s="51" t="n">
        <v>0</v>
      </c>
      <c r="Y1929" s="52" t="n">
        <v>0</v>
      </c>
      <c r="Z1929" s="52" t="n">
        <v>0</v>
      </c>
      <c r="AA1929" s="52" t="n">
        <v>0</v>
      </c>
      <c r="AB1929" s="53" t="n">
        <v>0</v>
      </c>
      <c r="AC1929" s="52" t="n">
        <v>0</v>
      </c>
      <c r="AD1929" s="53" t="n">
        <v>0</v>
      </c>
      <c r="AE1929" s="52" t="n">
        <v>0</v>
      </c>
      <c r="AF1929" s="51" t="n">
        <v>0</v>
      </c>
      <c r="AG1929" s="48" t="n">
        <v>0</v>
      </c>
      <c r="AH1929" s="49" t="n">
        <v>0</v>
      </c>
      <c r="AI1929" s="49" t="n">
        <v>0</v>
      </c>
      <c r="AJ1929" s="50" t="n">
        <v>0</v>
      </c>
      <c r="AK1929" s="51" t="n">
        <v>0</v>
      </c>
      <c r="AL1929" s="52" t="n">
        <v>0</v>
      </c>
      <c r="AM1929" s="52" t="n">
        <v>0</v>
      </c>
      <c r="AN1929" s="52" t="n">
        <v>0</v>
      </c>
      <c r="AO1929" s="53" t="n">
        <v>0</v>
      </c>
      <c r="AP1929" s="52" t="n">
        <v>0</v>
      </c>
      <c r="AQ1929" s="53" t="n">
        <v>0</v>
      </c>
      <c r="AR1929" s="52" t="n">
        <v>0</v>
      </c>
      <c r="AS1929" s="51" t="n">
        <v>0</v>
      </c>
      <c r="AT1929" s="48" t="n">
        <v>0</v>
      </c>
      <c r="AU1929" s="49" t="n">
        <v>0</v>
      </c>
      <c r="AV1929" s="49" t="n">
        <v>0</v>
      </c>
      <c r="AW1929" s="50" t="n">
        <v>0</v>
      </c>
      <c r="AX1929" s="51" t="n">
        <v>0</v>
      </c>
      <c r="AY1929" s="52" t="n">
        <v>0</v>
      </c>
      <c r="AZ1929" s="52" t="n">
        <v>0</v>
      </c>
      <c r="BA1929" s="52" t="n">
        <v>0</v>
      </c>
      <c r="BB1929" s="53" t="n">
        <v>0</v>
      </c>
      <c r="BC1929" s="52" t="n">
        <v>0</v>
      </c>
      <c r="BD1929" s="53" t="n">
        <v>0</v>
      </c>
      <c r="BE1929" s="52" t="n">
        <v>0</v>
      </c>
      <c r="BF1929" s="51" t="n">
        <v>0</v>
      </c>
    </row>
    <row r="1930">
      <c r="A1930">
        <f>HYPERLINK("https://www.walmart.com/ip/260411987", "260411987")</f>
        <v/>
      </c>
      <c r="B1930" t="inlineStr">
        <is>
          <t>Dickies Basic Insulated Lunch Bag for Work, Thermal Reusable Office Lunch Box for Men, Women (Purple)</t>
        </is>
      </c>
      <c r="C1930" t="inlineStr">
        <is>
          <t>DK-LUNCH-BASICBOX-BLOODSTONE</t>
        </is>
      </c>
      <c r="D1930" t="inlineStr">
        <is>
          <t>Reusable Lunch Bags &amp; Boxes</t>
        </is>
      </c>
      <c r="E1930" t="inlineStr">
        <is>
          <t>Dickies</t>
        </is>
      </c>
      <c r="G1930" s="48" t="n">
        <v>0</v>
      </c>
      <c r="H1930" s="49" t="n">
        <v>0</v>
      </c>
      <c r="I1930" s="49" t="n">
        <v>0</v>
      </c>
      <c r="J1930" s="50" t="n">
        <v>0</v>
      </c>
      <c r="K1930" s="51" t="n">
        <v>0</v>
      </c>
      <c r="L1930" s="52" t="n">
        <v>0</v>
      </c>
      <c r="M1930" s="52" t="n">
        <v>0</v>
      </c>
      <c r="N1930" s="52" t="n">
        <v>0</v>
      </c>
      <c r="O1930" s="53" t="n">
        <v>0</v>
      </c>
      <c r="P1930" s="52" t="n">
        <v>0</v>
      </c>
      <c r="Q1930" s="53" t="n">
        <v>0</v>
      </c>
      <c r="R1930" s="52" t="n">
        <v>0</v>
      </c>
      <c r="S1930" s="51" t="n">
        <v>0</v>
      </c>
      <c r="T1930" s="48" t="n">
        <v>0</v>
      </c>
      <c r="U1930" s="49" t="n">
        <v>0</v>
      </c>
      <c r="V1930" s="49" t="n">
        <v>0</v>
      </c>
      <c r="W1930" s="50" t="n">
        <v>0</v>
      </c>
      <c r="X1930" s="51" t="n">
        <v>0</v>
      </c>
      <c r="Y1930" s="52" t="n">
        <v>0</v>
      </c>
      <c r="Z1930" s="52" t="n">
        <v>0</v>
      </c>
      <c r="AA1930" s="52" t="n">
        <v>0</v>
      </c>
      <c r="AB1930" s="53" t="n">
        <v>0</v>
      </c>
      <c r="AC1930" s="52" t="n">
        <v>0</v>
      </c>
      <c r="AD1930" s="53" t="n">
        <v>0</v>
      </c>
      <c r="AE1930" s="52" t="n">
        <v>0</v>
      </c>
      <c r="AF1930" s="51" t="n">
        <v>0</v>
      </c>
      <c r="AG1930" s="48" t="n">
        <v>0</v>
      </c>
      <c r="AH1930" s="49" t="n">
        <v>0</v>
      </c>
      <c r="AI1930" s="49" t="n">
        <v>0</v>
      </c>
      <c r="AJ1930" s="50" t="n">
        <v>0</v>
      </c>
      <c r="AK1930" s="51" t="n">
        <v>0</v>
      </c>
      <c r="AL1930" s="52" t="n">
        <v>0</v>
      </c>
      <c r="AM1930" s="52" t="n">
        <v>0</v>
      </c>
      <c r="AN1930" s="52" t="n">
        <v>0</v>
      </c>
      <c r="AO1930" s="53" t="n">
        <v>0</v>
      </c>
      <c r="AP1930" s="52" t="n">
        <v>0</v>
      </c>
      <c r="AQ1930" s="53" t="n">
        <v>0</v>
      </c>
      <c r="AR1930" s="52" t="n">
        <v>0</v>
      </c>
      <c r="AS1930" s="51" t="n">
        <v>0</v>
      </c>
      <c r="AT1930" s="48" t="n">
        <v>0</v>
      </c>
      <c r="AU1930" s="49" t="n">
        <v>0</v>
      </c>
      <c r="AV1930" s="49" t="n">
        <v>0</v>
      </c>
      <c r="AW1930" s="50" t="n">
        <v>0</v>
      </c>
      <c r="AX1930" s="51" t="n">
        <v>0</v>
      </c>
      <c r="AY1930" s="52" t="n">
        <v>0</v>
      </c>
      <c r="AZ1930" s="52" t="n">
        <v>0</v>
      </c>
      <c r="BA1930" s="52" t="n">
        <v>0</v>
      </c>
      <c r="BB1930" s="53" t="n">
        <v>0</v>
      </c>
      <c r="BC1930" s="52" t="n">
        <v>0</v>
      </c>
      <c r="BD1930" s="53" t="n">
        <v>0</v>
      </c>
      <c r="BE1930" s="52" t="n">
        <v>0</v>
      </c>
      <c r="BF1930" s="51" t="n">
        <v>0</v>
      </c>
    </row>
    <row r="1931">
      <c r="A1931">
        <f>HYPERLINK("https://www.walmart.com/ip/273678207", "273678207")</f>
        <v/>
      </c>
      <c r="B1931" t="inlineStr">
        <is>
          <t>Flyingstar Baseball Cap, American Flag Embroidered Adjustable Sports, Golf and Tennis Cap, Sun Hat for Women and Men, Navy</t>
        </is>
      </c>
      <c r="C1931" t="inlineStr">
        <is>
          <t>1WMBC100NV</t>
        </is>
      </c>
      <c r="D1931" t="inlineStr">
        <is>
          <t>Golf Hats</t>
        </is>
      </c>
      <c r="E1931" t="inlineStr">
        <is>
          <t>Flyingstar</t>
        </is>
      </c>
      <c r="F1931" t="inlineStr">
        <is>
          <t>Batch 1 - TR</t>
        </is>
      </c>
      <c r="G1931" s="48" t="n">
        <v>0</v>
      </c>
      <c r="H1931" s="49" t="n">
        <v>0</v>
      </c>
      <c r="I1931" s="49" t="n">
        <v>0</v>
      </c>
      <c r="J1931" s="50" t="n">
        <v>0</v>
      </c>
      <c r="K1931" s="51" t="n">
        <v>0</v>
      </c>
      <c r="L1931" s="52" t="n">
        <v>0</v>
      </c>
      <c r="M1931" s="52" t="n">
        <v>0</v>
      </c>
      <c r="N1931" s="52" t="n">
        <v>0</v>
      </c>
      <c r="O1931" s="53" t="n">
        <v>0</v>
      </c>
      <c r="P1931" s="52" t="n">
        <v>0</v>
      </c>
      <c r="Q1931" s="53" t="n">
        <v>0</v>
      </c>
      <c r="R1931" s="52" t="n">
        <v>0</v>
      </c>
      <c r="S1931" s="51" t="n">
        <v>0</v>
      </c>
      <c r="T1931" s="48" t="n">
        <v>0</v>
      </c>
      <c r="U1931" s="49" t="n">
        <v>0</v>
      </c>
      <c r="V1931" s="49" t="n">
        <v>0</v>
      </c>
      <c r="W1931" s="50" t="n">
        <v>0</v>
      </c>
      <c r="X1931" s="51" t="n">
        <v>0</v>
      </c>
      <c r="Y1931" s="52" t="n">
        <v>0</v>
      </c>
      <c r="Z1931" s="52" t="n">
        <v>0</v>
      </c>
      <c r="AA1931" s="52" t="n">
        <v>0</v>
      </c>
      <c r="AB1931" s="53" t="n">
        <v>0</v>
      </c>
      <c r="AC1931" s="52" t="n">
        <v>0</v>
      </c>
      <c r="AD1931" s="53" t="n">
        <v>0</v>
      </c>
      <c r="AE1931" s="52" t="n">
        <v>0</v>
      </c>
      <c r="AF1931" s="51" t="n">
        <v>0</v>
      </c>
      <c r="AG1931" s="48" t="n">
        <v>0</v>
      </c>
      <c r="AH1931" s="49" t="n">
        <v>0</v>
      </c>
      <c r="AI1931" s="49" t="n">
        <v>0</v>
      </c>
      <c r="AJ1931" s="50" t="n">
        <v>0</v>
      </c>
      <c r="AK1931" s="51" t="n">
        <v>0</v>
      </c>
      <c r="AL1931" s="52" t="n">
        <v>0</v>
      </c>
      <c r="AM1931" s="52" t="n">
        <v>0</v>
      </c>
      <c r="AN1931" s="52" t="n">
        <v>0</v>
      </c>
      <c r="AO1931" s="53" t="n">
        <v>0</v>
      </c>
      <c r="AP1931" s="52" t="n">
        <v>0</v>
      </c>
      <c r="AQ1931" s="53" t="n">
        <v>0</v>
      </c>
      <c r="AR1931" s="52" t="n">
        <v>0</v>
      </c>
      <c r="AS1931" s="51" t="n">
        <v>0</v>
      </c>
      <c r="AT1931" s="48" t="n">
        <v>0</v>
      </c>
      <c r="AU1931" s="49" t="n">
        <v>0</v>
      </c>
      <c r="AV1931" s="49" t="n">
        <v>0</v>
      </c>
      <c r="AW1931" s="50" t="n">
        <v>0</v>
      </c>
      <c r="AX1931" s="51" t="n">
        <v>0</v>
      </c>
      <c r="AY1931" s="52" t="n">
        <v>0</v>
      </c>
      <c r="AZ1931" s="52" t="n">
        <v>0</v>
      </c>
      <c r="BA1931" s="52" t="n">
        <v>0</v>
      </c>
      <c r="BB1931" s="53" t="n">
        <v>0</v>
      </c>
      <c r="BC1931" s="52" t="n">
        <v>0</v>
      </c>
      <c r="BD1931" s="53" t="n">
        <v>0</v>
      </c>
      <c r="BE1931" s="52" t="n">
        <v>0</v>
      </c>
      <c r="BF1931" s="51" t="n">
        <v>0</v>
      </c>
    </row>
    <row r="1932">
      <c r="A1932">
        <f>HYPERLINK("https://www.walmart.com/ip/260295579", "260295579")</f>
        <v/>
      </c>
      <c r="B1932" t="inlineStr">
        <is>
          <t>Houndstooth Sherpa Fleece Throw Blanket, Cozy Fuzzy Jacquard Blanket for the Couch Bed | Fluffy Comfy Warm Heavy Throws | Comfort Caring Gift, 50x60 inches</t>
        </is>
      </c>
      <c r="C1932" t="inlineStr">
        <is>
          <t>1CTBF573RDDENTE</t>
        </is>
      </c>
      <c r="D1932" t="inlineStr">
        <is>
          <t>Throws</t>
        </is>
      </c>
      <c r="E1932" t="inlineStr">
        <is>
          <t>Catalonia</t>
        </is>
      </c>
      <c r="F1932" t="inlineStr">
        <is>
          <t>Q2-Target,Coupon_Discount,Batch 1 - TR</t>
        </is>
      </c>
      <c r="G1932" s="48" t="n">
        <v>0</v>
      </c>
      <c r="H1932" s="49" t="n">
        <v>0</v>
      </c>
      <c r="I1932" s="49" t="n">
        <v>0</v>
      </c>
      <c r="J1932" s="50" t="n">
        <v>0</v>
      </c>
      <c r="K1932" s="51" t="n">
        <v>0</v>
      </c>
      <c r="L1932" s="52" t="n">
        <v>0</v>
      </c>
      <c r="M1932" s="52" t="n">
        <v>0</v>
      </c>
      <c r="N1932" s="52" t="n">
        <v>0</v>
      </c>
      <c r="O1932" s="53" t="n">
        <v>0</v>
      </c>
      <c r="P1932" s="52" t="n">
        <v>0</v>
      </c>
      <c r="Q1932" s="53" t="n">
        <v>0</v>
      </c>
      <c r="R1932" s="52" t="n">
        <v>0</v>
      </c>
      <c r="S1932" s="51" t="n">
        <v>0</v>
      </c>
      <c r="T1932" s="48" t="n">
        <v>0</v>
      </c>
      <c r="U1932" s="49" t="n">
        <v>0</v>
      </c>
      <c r="V1932" s="49" t="n">
        <v>0</v>
      </c>
      <c r="W1932" s="50" t="n">
        <v>0</v>
      </c>
      <c r="X1932" s="51" t="n">
        <v>0</v>
      </c>
      <c r="Y1932" s="52" t="n">
        <v>0</v>
      </c>
      <c r="Z1932" s="52" t="n">
        <v>0</v>
      </c>
      <c r="AA1932" s="52" t="n">
        <v>0</v>
      </c>
      <c r="AB1932" s="53" t="n">
        <v>0</v>
      </c>
      <c r="AC1932" s="52" t="n">
        <v>0</v>
      </c>
      <c r="AD1932" s="53" t="n">
        <v>0</v>
      </c>
      <c r="AE1932" s="52" t="n">
        <v>0</v>
      </c>
      <c r="AF1932" s="51" t="n">
        <v>0</v>
      </c>
      <c r="AG1932" s="48" t="n">
        <v>0</v>
      </c>
      <c r="AH1932" s="49" t="n">
        <v>0</v>
      </c>
      <c r="AI1932" s="49" t="n">
        <v>0</v>
      </c>
      <c r="AJ1932" s="50" t="n">
        <v>0</v>
      </c>
      <c r="AK1932" s="51" t="n">
        <v>0</v>
      </c>
      <c r="AL1932" s="52" t="n">
        <v>0</v>
      </c>
      <c r="AM1932" s="52" t="n">
        <v>0</v>
      </c>
      <c r="AN1932" s="52" t="n">
        <v>0</v>
      </c>
      <c r="AO1932" s="53" t="n">
        <v>0</v>
      </c>
      <c r="AP1932" s="52" t="n">
        <v>0</v>
      </c>
      <c r="AQ1932" s="53" t="n">
        <v>0</v>
      </c>
      <c r="AR1932" s="52" t="n">
        <v>0</v>
      </c>
      <c r="AS1932" s="51" t="n">
        <v>0</v>
      </c>
      <c r="AT1932" s="48" t="n">
        <v>0</v>
      </c>
      <c r="AU1932" s="49" t="n">
        <v>0</v>
      </c>
      <c r="AV1932" s="49" t="n">
        <v>0</v>
      </c>
      <c r="AW1932" s="50" t="n">
        <v>0</v>
      </c>
      <c r="AX1932" s="51" t="n">
        <v>0</v>
      </c>
      <c r="AY1932" s="52" t="n">
        <v>0</v>
      </c>
      <c r="AZ1932" s="52" t="n">
        <v>0</v>
      </c>
      <c r="BA1932" s="52" t="n">
        <v>0</v>
      </c>
      <c r="BB1932" s="53" t="n">
        <v>0</v>
      </c>
      <c r="BC1932" s="52" t="n">
        <v>0</v>
      </c>
      <c r="BD1932" s="53" t="n">
        <v>0</v>
      </c>
      <c r="BE1932" s="52" t="n">
        <v>0</v>
      </c>
      <c r="BF1932" s="51" t="n">
        <v>0</v>
      </c>
    </row>
    <row r="1933">
      <c r="A1933">
        <f>HYPERLINK("https://www.walmart.com/ip/251834877", "251834877")</f>
        <v/>
      </c>
      <c r="B1933" t="inlineStr">
        <is>
          <t>Sherpa Furry Throw Blanket, Reversible Super Soft Plush Fuzzy Fleece Blanket for Sofa Couch Bed 50"x60"</t>
        </is>
      </c>
      <c r="C1933" t="inlineStr">
        <is>
          <t>1CTBN110DG</t>
        </is>
      </c>
      <c r="D1933" t="inlineStr">
        <is>
          <t>Throws</t>
        </is>
      </c>
      <c r="E1933" t="inlineStr">
        <is>
          <t>Catalonia</t>
        </is>
      </c>
      <c r="F1933" t="inlineStr">
        <is>
          <t>WFS,WFS Item,Fleece Blankets</t>
        </is>
      </c>
      <c r="G1933" s="48" t="n">
        <v>0</v>
      </c>
      <c r="H1933" s="49" t="n">
        <v>0</v>
      </c>
      <c r="I1933" s="49" t="n">
        <v>0</v>
      </c>
      <c r="J1933" s="50" t="n">
        <v>0</v>
      </c>
      <c r="K1933" s="51" t="n">
        <v>0</v>
      </c>
      <c r="L1933" s="52" t="n">
        <v>0</v>
      </c>
      <c r="M1933" s="52" t="n">
        <v>0</v>
      </c>
      <c r="N1933" s="52" t="n">
        <v>0</v>
      </c>
      <c r="O1933" s="53" t="n">
        <v>0</v>
      </c>
      <c r="P1933" s="52" t="n">
        <v>0</v>
      </c>
      <c r="Q1933" s="53" t="n">
        <v>0</v>
      </c>
      <c r="R1933" s="52" t="n">
        <v>0</v>
      </c>
      <c r="S1933" s="51" t="n">
        <v>0</v>
      </c>
      <c r="T1933" s="48" t="n">
        <v>0</v>
      </c>
      <c r="U1933" s="49" t="n">
        <v>0</v>
      </c>
      <c r="V1933" s="49" t="n">
        <v>0</v>
      </c>
      <c r="W1933" s="50" t="n">
        <v>0</v>
      </c>
      <c r="X1933" s="51" t="n">
        <v>0</v>
      </c>
      <c r="Y1933" s="52" t="n">
        <v>0</v>
      </c>
      <c r="Z1933" s="52" t="n">
        <v>0</v>
      </c>
      <c r="AA1933" s="52" t="n">
        <v>0</v>
      </c>
      <c r="AB1933" s="53" t="n">
        <v>0</v>
      </c>
      <c r="AC1933" s="52" t="n">
        <v>0</v>
      </c>
      <c r="AD1933" s="53" t="n">
        <v>0</v>
      </c>
      <c r="AE1933" s="52" t="n">
        <v>0</v>
      </c>
      <c r="AF1933" s="51" t="n">
        <v>0</v>
      </c>
      <c r="AG1933" s="48" t="n">
        <v>0</v>
      </c>
      <c r="AH1933" s="49" t="n">
        <v>0</v>
      </c>
      <c r="AI1933" s="49" t="n">
        <v>0</v>
      </c>
      <c r="AJ1933" s="50" t="n">
        <v>0</v>
      </c>
      <c r="AK1933" s="51" t="n">
        <v>0</v>
      </c>
      <c r="AL1933" s="52" t="n">
        <v>0</v>
      </c>
      <c r="AM1933" s="52" t="n">
        <v>0</v>
      </c>
      <c r="AN1933" s="52" t="n">
        <v>0</v>
      </c>
      <c r="AO1933" s="53" t="n">
        <v>0</v>
      </c>
      <c r="AP1933" s="52" t="n">
        <v>0</v>
      </c>
      <c r="AQ1933" s="53" t="n">
        <v>0</v>
      </c>
      <c r="AR1933" s="52" t="n">
        <v>0</v>
      </c>
      <c r="AS1933" s="51" t="n">
        <v>0</v>
      </c>
      <c r="AT1933" s="48" t="n">
        <v>0</v>
      </c>
      <c r="AU1933" s="49" t="n">
        <v>0</v>
      </c>
      <c r="AV1933" s="49" t="n">
        <v>0</v>
      </c>
      <c r="AW1933" s="50" t="n">
        <v>0</v>
      </c>
      <c r="AX1933" s="51" t="n">
        <v>0</v>
      </c>
      <c r="AY1933" s="52" t="n">
        <v>0</v>
      </c>
      <c r="AZ1933" s="52" t="n">
        <v>0</v>
      </c>
      <c r="BA1933" s="52" t="n">
        <v>0</v>
      </c>
      <c r="BB1933" s="53" t="n">
        <v>0</v>
      </c>
      <c r="BC1933" s="52" t="n">
        <v>0</v>
      </c>
      <c r="BD1933" s="53" t="n">
        <v>0</v>
      </c>
      <c r="BE1933" s="52" t="n">
        <v>0</v>
      </c>
      <c r="BF1933" s="51" t="n">
        <v>0</v>
      </c>
    </row>
    <row r="1934">
      <c r="A1934">
        <f>HYPERLINK("https://www.walmart.com/ip/252128142", "252128142")</f>
        <v/>
      </c>
      <c r="B1934" t="inlineStr">
        <is>
          <t>Sherpa Slipper Socks for Women,Winter Indoor Home Non Skid Booties</t>
        </is>
      </c>
      <c r="C1934" t="inlineStr">
        <is>
          <t>1CTST200BK-1</t>
        </is>
      </c>
      <c r="D1934" t="inlineStr">
        <is>
          <t>Socks</t>
        </is>
      </c>
      <c r="E1934" t="inlineStr">
        <is>
          <t>Catalonia</t>
        </is>
      </c>
      <c r="F1934" t="inlineStr">
        <is>
          <t>WFS,WFS Item</t>
        </is>
      </c>
      <c r="G1934" s="48" t="n">
        <v>0</v>
      </c>
      <c r="H1934" s="49" t="n">
        <v>0</v>
      </c>
      <c r="I1934" s="49" t="n">
        <v>0</v>
      </c>
      <c r="J1934" s="50" t="n">
        <v>0</v>
      </c>
      <c r="K1934" s="51" t="n">
        <v>0</v>
      </c>
      <c r="L1934" s="52" t="n">
        <v>0</v>
      </c>
      <c r="M1934" s="52" t="n">
        <v>0</v>
      </c>
      <c r="N1934" s="52" t="n">
        <v>0</v>
      </c>
      <c r="O1934" s="53" t="n">
        <v>0</v>
      </c>
      <c r="P1934" s="52" t="n">
        <v>0</v>
      </c>
      <c r="Q1934" s="53" t="n">
        <v>0</v>
      </c>
      <c r="R1934" s="52" t="n">
        <v>0</v>
      </c>
      <c r="S1934" s="51" t="n">
        <v>0</v>
      </c>
      <c r="T1934" s="48" t="n">
        <v>0</v>
      </c>
      <c r="U1934" s="49" t="n">
        <v>0</v>
      </c>
      <c r="V1934" s="49" t="n">
        <v>0</v>
      </c>
      <c r="W1934" s="50" t="n">
        <v>0</v>
      </c>
      <c r="X1934" s="51" t="n">
        <v>0</v>
      </c>
      <c r="Y1934" s="52" t="n">
        <v>0</v>
      </c>
      <c r="Z1934" s="52" t="n">
        <v>0</v>
      </c>
      <c r="AA1934" s="52" t="n">
        <v>0</v>
      </c>
      <c r="AB1934" s="53" t="n">
        <v>0</v>
      </c>
      <c r="AC1934" s="52" t="n">
        <v>0</v>
      </c>
      <c r="AD1934" s="53" t="n">
        <v>0</v>
      </c>
      <c r="AE1934" s="52" t="n">
        <v>0</v>
      </c>
      <c r="AF1934" s="51" t="n">
        <v>0</v>
      </c>
      <c r="AG1934" s="48" t="n">
        <v>0</v>
      </c>
      <c r="AH1934" s="49" t="n">
        <v>0</v>
      </c>
      <c r="AI1934" s="49" t="n">
        <v>0</v>
      </c>
      <c r="AJ1934" s="50" t="n">
        <v>0</v>
      </c>
      <c r="AK1934" s="51" t="n">
        <v>0</v>
      </c>
      <c r="AL1934" s="52" t="n">
        <v>0</v>
      </c>
      <c r="AM1934" s="52" t="n">
        <v>0</v>
      </c>
      <c r="AN1934" s="52" t="n">
        <v>0</v>
      </c>
      <c r="AO1934" s="53" t="n">
        <v>0</v>
      </c>
      <c r="AP1934" s="52" t="n">
        <v>0</v>
      </c>
      <c r="AQ1934" s="53" t="n">
        <v>0</v>
      </c>
      <c r="AR1934" s="52" t="n">
        <v>0</v>
      </c>
      <c r="AS1934" s="51" t="n">
        <v>0</v>
      </c>
      <c r="AT1934" s="48" t="n">
        <v>0</v>
      </c>
      <c r="AU1934" s="49" t="n">
        <v>0</v>
      </c>
      <c r="AV1934" s="49" t="n">
        <v>0</v>
      </c>
      <c r="AW1934" s="50" t="n">
        <v>0</v>
      </c>
      <c r="AX1934" s="51" t="n">
        <v>0</v>
      </c>
      <c r="AY1934" s="52" t="n">
        <v>0</v>
      </c>
      <c r="AZ1934" s="52" t="n">
        <v>0</v>
      </c>
      <c r="BA1934" s="52" t="n">
        <v>0</v>
      </c>
      <c r="BB1934" s="53" t="n">
        <v>0</v>
      </c>
      <c r="BC1934" s="52" t="n">
        <v>0</v>
      </c>
      <c r="BD1934" s="53" t="n">
        <v>0</v>
      </c>
      <c r="BE1934" s="52" t="n">
        <v>0</v>
      </c>
      <c r="BF1934" s="51" t="n">
        <v>0</v>
      </c>
    </row>
    <row r="1935">
      <c r="A1935">
        <f>HYPERLINK("https://www.walmart.com/ip/2523481543", "2523481543")</f>
        <v/>
      </c>
      <c r="B1935" t="inlineStr">
        <is>
          <t>Tirrinia Outdoor/Indoor Waterproof Fleece Blanket, Convenient and Easy-to-Fold Picnic Blanket, Beach Mat for Sand and Grass Picnics, Gray Wavy Streak, 50" x 60''</t>
        </is>
      </c>
      <c r="C1935" t="inlineStr">
        <is>
          <t>1TRBW00156GYWV</t>
        </is>
      </c>
      <c r="D1935" t="inlineStr">
        <is>
          <t>Picnic Blankets &amp; Mats</t>
        </is>
      </c>
      <c r="E1935" t="inlineStr">
        <is>
          <t>Tirrinia</t>
        </is>
      </c>
      <c r="F1935" t="inlineStr">
        <is>
          <t>Wproof Blanket</t>
        </is>
      </c>
      <c r="G1935" s="48" t="n">
        <v>0</v>
      </c>
      <c r="H1935" s="49" t="n">
        <v>0</v>
      </c>
      <c r="I1935" s="49" t="n">
        <v>0</v>
      </c>
      <c r="J1935" s="50" t="n">
        <v>0</v>
      </c>
      <c r="K1935" s="51" t="n">
        <v>0</v>
      </c>
      <c r="L1935" s="52" t="n">
        <v>0</v>
      </c>
      <c r="M1935" s="52" t="n">
        <v>0</v>
      </c>
      <c r="N1935" s="52" t="n">
        <v>0</v>
      </c>
      <c r="O1935" s="53" t="n">
        <v>0</v>
      </c>
      <c r="P1935" s="52" t="n">
        <v>0</v>
      </c>
      <c r="Q1935" s="53" t="n">
        <v>0</v>
      </c>
      <c r="R1935" s="52" t="n">
        <v>0</v>
      </c>
      <c r="S1935" s="51" t="n">
        <v>0</v>
      </c>
      <c r="T1935" s="48" t="n">
        <v>24.99</v>
      </c>
      <c r="U1935" s="49" t="n">
        <v>1</v>
      </c>
      <c r="V1935" s="49" t="n">
        <v>0</v>
      </c>
      <c r="W1935" s="50" t="n">
        <v>0</v>
      </c>
      <c r="X1935" s="51" t="n">
        <v>0</v>
      </c>
      <c r="Y1935" s="52" t="n">
        <v>0</v>
      </c>
      <c r="Z1935" s="52" t="n">
        <v>0</v>
      </c>
      <c r="AA1935" s="52" t="n">
        <v>0</v>
      </c>
      <c r="AB1935" s="53" t="n">
        <v>0</v>
      </c>
      <c r="AC1935" s="52" t="n">
        <v>0</v>
      </c>
      <c r="AD1935" s="53" t="n">
        <v>0</v>
      </c>
      <c r="AE1935" s="52" t="n">
        <v>24.99</v>
      </c>
      <c r="AF1935" s="51" t="n">
        <v>0</v>
      </c>
      <c r="AG1935" s="48" t="n">
        <v>0</v>
      </c>
      <c r="AH1935" s="49" t="n">
        <v>0</v>
      </c>
      <c r="AI1935" s="49" t="n">
        <v>3</v>
      </c>
      <c r="AJ1935" s="50" t="n">
        <v>0</v>
      </c>
      <c r="AK1935" s="51" t="n">
        <v>0</v>
      </c>
      <c r="AL1935" s="52" t="n">
        <v>0</v>
      </c>
      <c r="AM1935" s="52" t="n">
        <v>0</v>
      </c>
      <c r="AN1935" s="52" t="n">
        <v>0</v>
      </c>
      <c r="AO1935" s="53" t="n">
        <v>0</v>
      </c>
      <c r="AP1935" s="52" t="n">
        <v>0</v>
      </c>
      <c r="AQ1935" s="53" t="n">
        <v>0</v>
      </c>
      <c r="AR1935" s="52" t="n">
        <v>0</v>
      </c>
      <c r="AS1935" s="51" t="n">
        <v>0</v>
      </c>
      <c r="AT1935" s="48" t="n">
        <v>24.99</v>
      </c>
      <c r="AU1935" s="49" t="n">
        <v>1</v>
      </c>
      <c r="AV1935" s="49" t="n">
        <v>4</v>
      </c>
      <c r="AW1935" s="50" t="n">
        <v>0.25</v>
      </c>
      <c r="AX1935" s="51" t="n">
        <v>0</v>
      </c>
      <c r="AY1935" s="52" t="n">
        <v>0</v>
      </c>
      <c r="AZ1935" s="52" t="n">
        <v>0</v>
      </c>
      <c r="BA1935" s="52" t="n">
        <v>0</v>
      </c>
      <c r="BB1935" s="53" t="n">
        <v>0</v>
      </c>
      <c r="BC1935" s="52" t="n">
        <v>0</v>
      </c>
      <c r="BD1935" s="53" t="n">
        <v>0</v>
      </c>
      <c r="BE1935" s="52" t="n">
        <v>24.99</v>
      </c>
      <c r="BF1935" s="51" t="n">
        <v>0</v>
      </c>
    </row>
    <row r="1936">
      <c r="A1936">
        <f>HYPERLINK("https://www.walmart.com/ip/253341724", "253341724")</f>
        <v/>
      </c>
      <c r="B1936" t="inlineStr">
        <is>
          <t>Solaris Men Winter Ski Snow Gloves with Breathable Face Mask The Warmest 3M Insulation Waterproof Outdoor Snowboard Mitt</t>
        </is>
      </c>
      <c r="C1936" t="inlineStr">
        <is>
          <t>1SLWG301BKBK-S</t>
        </is>
      </c>
      <c r="D1936" t="inlineStr">
        <is>
          <t>Gloves &amp; Mittens</t>
        </is>
      </c>
      <c r="E1936" t="inlineStr">
        <is>
          <t>Solaris</t>
        </is>
      </c>
      <c r="F1936" t="inlineStr">
        <is>
          <t>Optimized,Gloves</t>
        </is>
      </c>
      <c r="G1936" s="48" t="n">
        <v>0</v>
      </c>
      <c r="H1936" s="49" t="n">
        <v>0</v>
      </c>
      <c r="I1936" s="49" t="n">
        <v>0</v>
      </c>
      <c r="J1936" s="50" t="n">
        <v>0</v>
      </c>
      <c r="K1936" s="51" t="n">
        <v>0</v>
      </c>
      <c r="L1936" s="52" t="n">
        <v>0</v>
      </c>
      <c r="M1936" s="52" t="n">
        <v>0</v>
      </c>
      <c r="N1936" s="52" t="n">
        <v>0</v>
      </c>
      <c r="O1936" s="53" t="n">
        <v>0</v>
      </c>
      <c r="P1936" s="52" t="n">
        <v>0</v>
      </c>
      <c r="Q1936" s="53" t="n">
        <v>0</v>
      </c>
      <c r="R1936" s="52" t="n">
        <v>0</v>
      </c>
      <c r="S1936" s="51" t="n">
        <v>0</v>
      </c>
      <c r="T1936" s="48" t="n">
        <v>0</v>
      </c>
      <c r="U1936" s="49" t="n">
        <v>0</v>
      </c>
      <c r="V1936" s="49" t="n">
        <v>0</v>
      </c>
      <c r="W1936" s="50" t="n">
        <v>0</v>
      </c>
      <c r="X1936" s="51" t="n">
        <v>0</v>
      </c>
      <c r="Y1936" s="52" t="n">
        <v>0</v>
      </c>
      <c r="Z1936" s="52" t="n">
        <v>0</v>
      </c>
      <c r="AA1936" s="52" t="n">
        <v>0</v>
      </c>
      <c r="AB1936" s="53" t="n">
        <v>0</v>
      </c>
      <c r="AC1936" s="52" t="n">
        <v>0</v>
      </c>
      <c r="AD1936" s="53" t="n">
        <v>0</v>
      </c>
      <c r="AE1936" s="52" t="n">
        <v>0</v>
      </c>
      <c r="AF1936" s="51" t="n">
        <v>0</v>
      </c>
      <c r="AG1936" s="48" t="n">
        <v>0</v>
      </c>
      <c r="AH1936" s="49" t="n">
        <v>0</v>
      </c>
      <c r="AI1936" s="49" t="n">
        <v>0</v>
      </c>
      <c r="AJ1936" s="50" t="n">
        <v>0</v>
      </c>
      <c r="AK1936" s="51" t="n">
        <v>0</v>
      </c>
      <c r="AL1936" s="52" t="n">
        <v>0</v>
      </c>
      <c r="AM1936" s="52" t="n">
        <v>0</v>
      </c>
      <c r="AN1936" s="52" t="n">
        <v>0</v>
      </c>
      <c r="AO1936" s="53" t="n">
        <v>0</v>
      </c>
      <c r="AP1936" s="52" t="n">
        <v>0</v>
      </c>
      <c r="AQ1936" s="53" t="n">
        <v>0</v>
      </c>
      <c r="AR1936" s="52" t="n">
        <v>0</v>
      </c>
      <c r="AS1936" s="51" t="n">
        <v>0</v>
      </c>
      <c r="AT1936" s="48" t="n">
        <v>0</v>
      </c>
      <c r="AU1936" s="49" t="n">
        <v>0</v>
      </c>
      <c r="AV1936" s="49" t="n">
        <v>0</v>
      </c>
      <c r="AW1936" s="50" t="n">
        <v>0</v>
      </c>
      <c r="AX1936" s="51" t="n">
        <v>0</v>
      </c>
      <c r="AY1936" s="52" t="n">
        <v>0</v>
      </c>
      <c r="AZ1936" s="52" t="n">
        <v>0</v>
      </c>
      <c r="BA1936" s="52" t="n">
        <v>0</v>
      </c>
      <c r="BB1936" s="53" t="n">
        <v>0</v>
      </c>
      <c r="BC1936" s="52" t="n">
        <v>0</v>
      </c>
      <c r="BD1936" s="53" t="n">
        <v>0</v>
      </c>
      <c r="BE1936" s="52" t="n">
        <v>0</v>
      </c>
      <c r="BF1936" s="51" t="n">
        <v>0</v>
      </c>
    </row>
    <row r="1937">
      <c r="A1937">
        <f>HYPERLINK("https://www.walmart.com/ip/254076592", "254076592")</f>
        <v/>
      </c>
      <c r="B1937" t="inlineStr">
        <is>
          <t>Catalonia Sherpa Throw Blanket Micro Mink Fleece Reversible Grey Blanket 50" x 60", Super Soft Comfy Plush Couch Bed TV, Comfort Caring Gift</t>
        </is>
      </c>
      <c r="C1937" t="inlineStr">
        <is>
          <t>1CTBF300GY</t>
        </is>
      </c>
      <c r="D1937" t="inlineStr">
        <is>
          <t>Throws</t>
        </is>
      </c>
      <c r="E1937" t="inlineStr">
        <is>
          <t>Catalonia</t>
        </is>
      </c>
      <c r="F1937" t="inlineStr">
        <is>
          <t>Q2-Target,Optimized,WFS,Coupon_Discount,WFS Item</t>
        </is>
      </c>
      <c r="G1937" s="48" t="n">
        <v>0</v>
      </c>
      <c r="H1937" s="49" t="n">
        <v>0</v>
      </c>
      <c r="I1937" s="49" t="n">
        <v>0</v>
      </c>
      <c r="J1937" s="50" t="n">
        <v>0</v>
      </c>
      <c r="K1937" s="51" t="n">
        <v>0</v>
      </c>
      <c r="L1937" s="52" t="n">
        <v>0</v>
      </c>
      <c r="M1937" s="52" t="n">
        <v>0</v>
      </c>
      <c r="N1937" s="52" t="n">
        <v>0</v>
      </c>
      <c r="O1937" s="53" t="n">
        <v>0</v>
      </c>
      <c r="P1937" s="52" t="n">
        <v>0</v>
      </c>
      <c r="Q1937" s="53" t="n">
        <v>0</v>
      </c>
      <c r="R1937" s="52" t="n">
        <v>0</v>
      </c>
      <c r="S1937" s="51" t="n">
        <v>0</v>
      </c>
      <c r="T1937" s="48" t="n">
        <v>0</v>
      </c>
      <c r="U1937" s="49" t="n">
        <v>0</v>
      </c>
      <c r="V1937" s="49" t="n">
        <v>0</v>
      </c>
      <c r="W1937" s="50" t="n">
        <v>0</v>
      </c>
      <c r="X1937" s="51" t="n">
        <v>0</v>
      </c>
      <c r="Y1937" s="52" t="n">
        <v>0</v>
      </c>
      <c r="Z1937" s="52" t="n">
        <v>0</v>
      </c>
      <c r="AA1937" s="52" t="n">
        <v>0</v>
      </c>
      <c r="AB1937" s="53" t="n">
        <v>0</v>
      </c>
      <c r="AC1937" s="52" t="n">
        <v>0</v>
      </c>
      <c r="AD1937" s="53" t="n">
        <v>0</v>
      </c>
      <c r="AE1937" s="52" t="n">
        <v>0</v>
      </c>
      <c r="AF1937" s="51" t="n">
        <v>0</v>
      </c>
      <c r="AG1937" s="48" t="n">
        <v>0</v>
      </c>
      <c r="AH1937" s="49" t="n">
        <v>0</v>
      </c>
      <c r="AI1937" s="49" t="n">
        <v>0</v>
      </c>
      <c r="AJ1937" s="50" t="n">
        <v>0</v>
      </c>
      <c r="AK1937" s="51" t="n">
        <v>0</v>
      </c>
      <c r="AL1937" s="52" t="n">
        <v>0</v>
      </c>
      <c r="AM1937" s="52" t="n">
        <v>0</v>
      </c>
      <c r="AN1937" s="52" t="n">
        <v>0</v>
      </c>
      <c r="AO1937" s="53" t="n">
        <v>0</v>
      </c>
      <c r="AP1937" s="52" t="n">
        <v>0</v>
      </c>
      <c r="AQ1937" s="53" t="n">
        <v>0</v>
      </c>
      <c r="AR1937" s="52" t="n">
        <v>0</v>
      </c>
      <c r="AS1937" s="51" t="n">
        <v>0</v>
      </c>
      <c r="AT1937" s="48" t="n">
        <v>0</v>
      </c>
      <c r="AU1937" s="49" t="n">
        <v>0</v>
      </c>
      <c r="AV1937" s="49" t="n">
        <v>0</v>
      </c>
      <c r="AW1937" s="50" t="n">
        <v>0</v>
      </c>
      <c r="AX1937" s="51" t="n">
        <v>0</v>
      </c>
      <c r="AY1937" s="52" t="n">
        <v>0</v>
      </c>
      <c r="AZ1937" s="52" t="n">
        <v>0</v>
      </c>
      <c r="BA1937" s="52" t="n">
        <v>0</v>
      </c>
      <c r="BB1937" s="53" t="n">
        <v>0</v>
      </c>
      <c r="BC1937" s="52" t="n">
        <v>0</v>
      </c>
      <c r="BD1937" s="53" t="n">
        <v>0</v>
      </c>
      <c r="BE1937" s="52" t="n">
        <v>0</v>
      </c>
      <c r="BF1937" s="51" t="n">
        <v>0</v>
      </c>
    </row>
    <row r="1938">
      <c r="A1938">
        <f>HYPERLINK("https://www.walmart.com/ip/254291308", "254291308")</f>
        <v/>
      </c>
      <c r="B1938" t="inlineStr">
        <is>
          <t>Tirrinia Insulated 2 Bottle Wine Carrier Tote Cooler Bag for Travel Picnic Padded Champagne Glass</t>
        </is>
      </c>
      <c r="C1938" t="inlineStr">
        <is>
          <t>1TRWB231DBL</t>
        </is>
      </c>
      <c r="D1938" t="inlineStr">
        <is>
          <t>Wine Totes, Bags &amp; Backpacks</t>
        </is>
      </c>
      <c r="E1938" t="inlineStr">
        <is>
          <t>Tirrinia</t>
        </is>
      </c>
      <c r="F1938" t="inlineStr">
        <is>
          <t>Wine,Christmas,WFS,Wine WFS,Valentine,WFS Item</t>
        </is>
      </c>
      <c r="G1938" s="48" t="n">
        <v>0</v>
      </c>
      <c r="H1938" s="49" t="n">
        <v>0</v>
      </c>
      <c r="I1938" s="49" t="n">
        <v>0</v>
      </c>
      <c r="J1938" s="50" t="n">
        <v>0</v>
      </c>
      <c r="K1938" s="51" t="n">
        <v>0</v>
      </c>
      <c r="L1938" s="52" t="n">
        <v>0</v>
      </c>
      <c r="M1938" s="52" t="n">
        <v>0</v>
      </c>
      <c r="N1938" s="52" t="n">
        <v>0</v>
      </c>
      <c r="O1938" s="53" t="n">
        <v>0</v>
      </c>
      <c r="P1938" s="52" t="n">
        <v>0</v>
      </c>
      <c r="Q1938" s="53" t="n">
        <v>0</v>
      </c>
      <c r="R1938" s="52" t="n">
        <v>0</v>
      </c>
      <c r="S1938" s="51" t="n">
        <v>0</v>
      </c>
      <c r="T1938" s="48" t="n">
        <v>0</v>
      </c>
      <c r="U1938" s="49" t="n">
        <v>0</v>
      </c>
      <c r="V1938" s="49" t="n">
        <v>0</v>
      </c>
      <c r="W1938" s="50" t="n">
        <v>0</v>
      </c>
      <c r="X1938" s="51" t="n">
        <v>0</v>
      </c>
      <c r="Y1938" s="52" t="n">
        <v>0</v>
      </c>
      <c r="Z1938" s="52" t="n">
        <v>0</v>
      </c>
      <c r="AA1938" s="52" t="n">
        <v>0</v>
      </c>
      <c r="AB1938" s="53" t="n">
        <v>0</v>
      </c>
      <c r="AC1938" s="52" t="n">
        <v>0</v>
      </c>
      <c r="AD1938" s="53" t="n">
        <v>0</v>
      </c>
      <c r="AE1938" s="52" t="n">
        <v>0</v>
      </c>
      <c r="AF1938" s="51" t="n">
        <v>0</v>
      </c>
      <c r="AG1938" s="48" t="n">
        <v>0</v>
      </c>
      <c r="AH1938" s="49" t="n">
        <v>0</v>
      </c>
      <c r="AI1938" s="49" t="n">
        <v>0</v>
      </c>
      <c r="AJ1938" s="50" t="n">
        <v>0</v>
      </c>
      <c r="AK1938" s="51" t="n">
        <v>0</v>
      </c>
      <c r="AL1938" s="52" t="n">
        <v>0</v>
      </c>
      <c r="AM1938" s="52" t="n">
        <v>0</v>
      </c>
      <c r="AN1938" s="52" t="n">
        <v>0</v>
      </c>
      <c r="AO1938" s="53" t="n">
        <v>0</v>
      </c>
      <c r="AP1938" s="52" t="n">
        <v>0</v>
      </c>
      <c r="AQ1938" s="53" t="n">
        <v>0</v>
      </c>
      <c r="AR1938" s="52" t="n">
        <v>0</v>
      </c>
      <c r="AS1938" s="51" t="n">
        <v>0</v>
      </c>
      <c r="AT1938" s="48" t="n">
        <v>0</v>
      </c>
      <c r="AU1938" s="49" t="n">
        <v>0</v>
      </c>
      <c r="AV1938" s="49" t="n">
        <v>0</v>
      </c>
      <c r="AW1938" s="50" t="n">
        <v>0</v>
      </c>
      <c r="AX1938" s="51" t="n">
        <v>0</v>
      </c>
      <c r="AY1938" s="52" t="n">
        <v>0</v>
      </c>
      <c r="AZ1938" s="52" t="n">
        <v>0</v>
      </c>
      <c r="BA1938" s="52" t="n">
        <v>0</v>
      </c>
      <c r="BB1938" s="53" t="n">
        <v>0</v>
      </c>
      <c r="BC1938" s="52" t="n">
        <v>0</v>
      </c>
      <c r="BD1938" s="53" t="n">
        <v>0</v>
      </c>
      <c r="BE1938" s="52" t="n">
        <v>0</v>
      </c>
      <c r="BF1938" s="51" t="n">
        <v>0</v>
      </c>
    </row>
    <row r="1939">
      <c r="A1939">
        <f>HYPERLINK("https://www.walmart.com/ip/255344088", "255344088")</f>
        <v/>
      </c>
      <c r="B1939" t="inlineStr">
        <is>
          <t>Tirrinia Insulated 4 Bottle Wine Carrier Tote Cooler Bag for Travel Picnic Padded Champagne Glass Carrying Case Leather</t>
        </is>
      </c>
      <c r="C1939" t="inlineStr">
        <is>
          <t>1WMWB421DBL</t>
        </is>
      </c>
      <c r="D1939" t="inlineStr">
        <is>
          <t>Wine Totes, Bags &amp; Backpacks</t>
        </is>
      </c>
      <c r="E1939" t="inlineStr">
        <is>
          <t>Flyingstar</t>
        </is>
      </c>
      <c r="F1939" t="inlineStr">
        <is>
          <t>Wine,Christmas,Optimized,Valentine</t>
        </is>
      </c>
      <c r="G1939" s="48" t="n">
        <v>0</v>
      </c>
      <c r="H1939" s="49" t="n">
        <v>0</v>
      </c>
      <c r="I1939" s="49" t="n">
        <v>0</v>
      </c>
      <c r="J1939" s="50" t="n">
        <v>0</v>
      </c>
      <c r="K1939" s="51" t="n">
        <v>0</v>
      </c>
      <c r="L1939" s="52" t="n">
        <v>0</v>
      </c>
      <c r="M1939" s="52" t="n">
        <v>0</v>
      </c>
      <c r="N1939" s="52" t="n">
        <v>0</v>
      </c>
      <c r="O1939" s="53" t="n">
        <v>0</v>
      </c>
      <c r="P1939" s="52" t="n">
        <v>0</v>
      </c>
      <c r="Q1939" s="53" t="n">
        <v>0</v>
      </c>
      <c r="R1939" s="52" t="n">
        <v>0</v>
      </c>
      <c r="S1939" s="51" t="n">
        <v>0</v>
      </c>
      <c r="T1939" s="48" t="n">
        <v>0</v>
      </c>
      <c r="U1939" s="49" t="n">
        <v>0</v>
      </c>
      <c r="V1939" s="49" t="n">
        <v>0</v>
      </c>
      <c r="W1939" s="50" t="n">
        <v>0</v>
      </c>
      <c r="X1939" s="51" t="n">
        <v>0</v>
      </c>
      <c r="Y1939" s="52" t="n">
        <v>0</v>
      </c>
      <c r="Z1939" s="52" t="n">
        <v>0</v>
      </c>
      <c r="AA1939" s="52" t="n">
        <v>0</v>
      </c>
      <c r="AB1939" s="53" t="n">
        <v>0</v>
      </c>
      <c r="AC1939" s="52" t="n">
        <v>0</v>
      </c>
      <c r="AD1939" s="53" t="n">
        <v>0</v>
      </c>
      <c r="AE1939" s="52" t="n">
        <v>0</v>
      </c>
      <c r="AF1939" s="51" t="n">
        <v>0</v>
      </c>
      <c r="AG1939" s="48" t="n">
        <v>0</v>
      </c>
      <c r="AH1939" s="49" t="n">
        <v>0</v>
      </c>
      <c r="AI1939" s="49" t="n">
        <v>0</v>
      </c>
      <c r="AJ1939" s="50" t="n">
        <v>0</v>
      </c>
      <c r="AK1939" s="51" t="n">
        <v>0</v>
      </c>
      <c r="AL1939" s="52" t="n">
        <v>0</v>
      </c>
      <c r="AM1939" s="52" t="n">
        <v>0</v>
      </c>
      <c r="AN1939" s="52" t="n">
        <v>0</v>
      </c>
      <c r="AO1939" s="53" t="n">
        <v>0</v>
      </c>
      <c r="AP1939" s="52" t="n">
        <v>0</v>
      </c>
      <c r="AQ1939" s="53" t="n">
        <v>0</v>
      </c>
      <c r="AR1939" s="52" t="n">
        <v>0</v>
      </c>
      <c r="AS1939" s="51" t="n">
        <v>0</v>
      </c>
      <c r="AT1939" s="48" t="n">
        <v>19.99</v>
      </c>
      <c r="AU1939" s="49" t="n">
        <v>1</v>
      </c>
      <c r="AV1939" s="49" t="n">
        <v>0</v>
      </c>
      <c r="AW1939" s="50" t="n">
        <v>0</v>
      </c>
      <c r="AX1939" s="51" t="n">
        <v>0</v>
      </c>
      <c r="AY1939" s="52" t="n">
        <v>0</v>
      </c>
      <c r="AZ1939" s="52" t="n">
        <v>0</v>
      </c>
      <c r="BA1939" s="52" t="n">
        <v>0</v>
      </c>
      <c r="BB1939" s="53" t="n">
        <v>0</v>
      </c>
      <c r="BC1939" s="52" t="n">
        <v>0</v>
      </c>
      <c r="BD1939" s="53" t="n">
        <v>0</v>
      </c>
      <c r="BE1939" s="52" t="n">
        <v>19.99</v>
      </c>
      <c r="BF1939" s="51" t="n">
        <v>0</v>
      </c>
    </row>
    <row r="1940">
      <c r="A1940">
        <f>HYPERLINK("https://www.walmart.com/ip/256633069", "256633069")</f>
        <v/>
      </c>
      <c r="B1940" t="inlineStr">
        <is>
          <t>Two Pieces Double up Tankini Swimsuit for Women Bathing Suits Set by Tirrinia</t>
        </is>
      </c>
      <c r="C1940" t="inlineStr">
        <is>
          <t>1TRSS002BK-M</t>
        </is>
      </c>
      <c r="D1940" t="inlineStr">
        <is>
          <t>Swimsuit Sets</t>
        </is>
      </c>
      <c r="E1940" t="inlineStr">
        <is>
          <t>Tirrinia</t>
        </is>
      </c>
      <c r="G1940" s="48" t="n">
        <v>0</v>
      </c>
      <c r="H1940" s="49" t="n">
        <v>0</v>
      </c>
      <c r="I1940" s="49" t="n">
        <v>0</v>
      </c>
      <c r="J1940" s="50" t="n">
        <v>0</v>
      </c>
      <c r="K1940" s="51" t="n">
        <v>0</v>
      </c>
      <c r="L1940" s="52" t="n">
        <v>0</v>
      </c>
      <c r="M1940" s="52" t="n">
        <v>0</v>
      </c>
      <c r="N1940" s="52" t="n">
        <v>0</v>
      </c>
      <c r="O1940" s="53" t="n">
        <v>0</v>
      </c>
      <c r="P1940" s="52" t="n">
        <v>0</v>
      </c>
      <c r="Q1940" s="53" t="n">
        <v>0</v>
      </c>
      <c r="R1940" s="52" t="n">
        <v>0</v>
      </c>
      <c r="S1940" s="51" t="n">
        <v>0</v>
      </c>
      <c r="T1940" s="48" t="n">
        <v>0</v>
      </c>
      <c r="U1940" s="49" t="n">
        <v>0</v>
      </c>
      <c r="V1940" s="49" t="n">
        <v>0</v>
      </c>
      <c r="W1940" s="50" t="n">
        <v>0</v>
      </c>
      <c r="X1940" s="51" t="n">
        <v>0</v>
      </c>
      <c r="Y1940" s="52" t="n">
        <v>0</v>
      </c>
      <c r="Z1940" s="52" t="n">
        <v>0</v>
      </c>
      <c r="AA1940" s="52" t="n">
        <v>0</v>
      </c>
      <c r="AB1940" s="53" t="n">
        <v>0</v>
      </c>
      <c r="AC1940" s="52" t="n">
        <v>0</v>
      </c>
      <c r="AD1940" s="53" t="n">
        <v>0</v>
      </c>
      <c r="AE1940" s="52" t="n">
        <v>0</v>
      </c>
      <c r="AF1940" s="51" t="n">
        <v>0</v>
      </c>
      <c r="AG1940" s="48" t="n">
        <v>0</v>
      </c>
      <c r="AH1940" s="49" t="n">
        <v>0</v>
      </c>
      <c r="AI1940" s="49" t="n">
        <v>0</v>
      </c>
      <c r="AJ1940" s="50" t="n">
        <v>0</v>
      </c>
      <c r="AK1940" s="51" t="n">
        <v>0</v>
      </c>
      <c r="AL1940" s="52" t="n">
        <v>0</v>
      </c>
      <c r="AM1940" s="52" t="n">
        <v>0</v>
      </c>
      <c r="AN1940" s="52" t="n">
        <v>0</v>
      </c>
      <c r="AO1940" s="53" t="n">
        <v>0</v>
      </c>
      <c r="AP1940" s="52" t="n">
        <v>0</v>
      </c>
      <c r="AQ1940" s="53" t="n">
        <v>0</v>
      </c>
      <c r="AR1940" s="52" t="n">
        <v>0</v>
      </c>
      <c r="AS1940" s="51" t="n">
        <v>0</v>
      </c>
      <c r="AT1940" s="48" t="n">
        <v>0</v>
      </c>
      <c r="AU1940" s="49" t="n">
        <v>0</v>
      </c>
      <c r="AV1940" s="49" t="n">
        <v>0</v>
      </c>
      <c r="AW1940" s="50" t="n">
        <v>0</v>
      </c>
      <c r="AX1940" s="51" t="n">
        <v>0</v>
      </c>
      <c r="AY1940" s="52" t="n">
        <v>0</v>
      </c>
      <c r="AZ1940" s="52" t="n">
        <v>0</v>
      </c>
      <c r="BA1940" s="52" t="n">
        <v>0</v>
      </c>
      <c r="BB1940" s="53" t="n">
        <v>0</v>
      </c>
      <c r="BC1940" s="52" t="n">
        <v>0</v>
      </c>
      <c r="BD1940" s="53" t="n">
        <v>0</v>
      </c>
      <c r="BE1940" s="52" t="n">
        <v>0</v>
      </c>
      <c r="BF1940" s="51" t="n">
        <v>0</v>
      </c>
    </row>
    <row r="1941">
      <c r="A1941">
        <f>HYPERLINK("https://www.walmart.com/ip/258019827", "258019827")</f>
        <v/>
      </c>
      <c r="B1941" t="inlineStr">
        <is>
          <t>Summer Outdoor UV Protection Sun Hats Unisex Caps Wide Brim Removable Crown Mesh Net Adjustable Drawstring</t>
        </is>
      </c>
      <c r="C1941" t="inlineStr">
        <is>
          <t>1SLSH895OL</t>
        </is>
      </c>
      <c r="D1941" t="inlineStr">
        <is>
          <t>Hats</t>
        </is>
      </c>
      <c r="E1941" t="inlineStr">
        <is>
          <t>Solaris</t>
        </is>
      </c>
      <c r="F1941" t="inlineStr">
        <is>
          <t>Optimized</t>
        </is>
      </c>
      <c r="G1941" s="48" t="n">
        <v>0</v>
      </c>
      <c r="H1941" s="49" t="n">
        <v>0</v>
      </c>
      <c r="I1941" s="49" t="n">
        <v>0</v>
      </c>
      <c r="J1941" s="50" t="n">
        <v>0</v>
      </c>
      <c r="K1941" s="51" t="n">
        <v>0</v>
      </c>
      <c r="L1941" s="52" t="n">
        <v>0</v>
      </c>
      <c r="M1941" s="52" t="n">
        <v>0</v>
      </c>
      <c r="N1941" s="52" t="n">
        <v>0</v>
      </c>
      <c r="O1941" s="53" t="n">
        <v>0</v>
      </c>
      <c r="P1941" s="52" t="n">
        <v>0</v>
      </c>
      <c r="Q1941" s="53" t="n">
        <v>0</v>
      </c>
      <c r="R1941" s="52" t="n">
        <v>0</v>
      </c>
      <c r="S1941" s="51" t="n">
        <v>0</v>
      </c>
      <c r="T1941" s="48" t="n">
        <v>0</v>
      </c>
      <c r="U1941" s="49" t="n">
        <v>0</v>
      </c>
      <c r="V1941" s="49" t="n">
        <v>0</v>
      </c>
      <c r="W1941" s="50" t="n">
        <v>0</v>
      </c>
      <c r="X1941" s="51" t="n">
        <v>0</v>
      </c>
      <c r="Y1941" s="52" t="n">
        <v>0</v>
      </c>
      <c r="Z1941" s="52" t="n">
        <v>0</v>
      </c>
      <c r="AA1941" s="52" t="n">
        <v>0</v>
      </c>
      <c r="AB1941" s="53" t="n">
        <v>0</v>
      </c>
      <c r="AC1941" s="52" t="n">
        <v>0</v>
      </c>
      <c r="AD1941" s="53" t="n">
        <v>0</v>
      </c>
      <c r="AE1941" s="52" t="n">
        <v>0</v>
      </c>
      <c r="AF1941" s="51" t="n">
        <v>0</v>
      </c>
      <c r="AG1941" s="48" t="n">
        <v>0</v>
      </c>
      <c r="AH1941" s="49" t="n">
        <v>0</v>
      </c>
      <c r="AI1941" s="49" t="n">
        <v>0</v>
      </c>
      <c r="AJ1941" s="50" t="n">
        <v>0</v>
      </c>
      <c r="AK1941" s="51" t="n">
        <v>0</v>
      </c>
      <c r="AL1941" s="52" t="n">
        <v>0</v>
      </c>
      <c r="AM1941" s="52" t="n">
        <v>0</v>
      </c>
      <c r="AN1941" s="52" t="n">
        <v>0</v>
      </c>
      <c r="AO1941" s="53" t="n">
        <v>0</v>
      </c>
      <c r="AP1941" s="52" t="n">
        <v>0</v>
      </c>
      <c r="AQ1941" s="53" t="n">
        <v>0</v>
      </c>
      <c r="AR1941" s="52" t="n">
        <v>0</v>
      </c>
      <c r="AS1941" s="51" t="n">
        <v>0</v>
      </c>
      <c r="AT1941" s="48" t="n">
        <v>0</v>
      </c>
      <c r="AU1941" s="49" t="n">
        <v>0</v>
      </c>
      <c r="AV1941" s="49" t="n">
        <v>0</v>
      </c>
      <c r="AW1941" s="50" t="n">
        <v>0</v>
      </c>
      <c r="AX1941" s="51" t="n">
        <v>0</v>
      </c>
      <c r="AY1941" s="52" t="n">
        <v>0</v>
      </c>
      <c r="AZ1941" s="52" t="n">
        <v>0</v>
      </c>
      <c r="BA1941" s="52" t="n">
        <v>0</v>
      </c>
      <c r="BB1941" s="53" t="n">
        <v>0</v>
      </c>
      <c r="BC1941" s="52" t="n">
        <v>0</v>
      </c>
      <c r="BD1941" s="53" t="n">
        <v>0</v>
      </c>
      <c r="BE1941" s="52" t="n">
        <v>0</v>
      </c>
      <c r="BF1941" s="51" t="n">
        <v>0</v>
      </c>
    </row>
    <row r="1942">
      <c r="A1942">
        <f>HYPERLINK("https://www.walmart.com/ip/258874782", "258874782")</f>
        <v/>
      </c>
      <c r="B1942" t="inlineStr">
        <is>
          <t>Waterproof Picnic Blanket Outdoor</t>
        </is>
      </c>
      <c r="C1942" t="inlineStr">
        <is>
          <t>1WMBW781USA</t>
        </is>
      </c>
      <c r="D1942" t="inlineStr">
        <is>
          <t>Picnic Blankets &amp; Mats</t>
        </is>
      </c>
      <c r="E1942" t="inlineStr">
        <is>
          <t>Flyingstar</t>
        </is>
      </c>
      <c r="F1942" t="inlineStr">
        <is>
          <t>Batch 1 - TR</t>
        </is>
      </c>
      <c r="G1942" s="48" t="n">
        <v>0</v>
      </c>
      <c r="H1942" s="49" t="n">
        <v>0</v>
      </c>
      <c r="I1942" s="49" t="n">
        <v>0</v>
      </c>
      <c r="J1942" s="50" t="n">
        <v>0</v>
      </c>
      <c r="K1942" s="51" t="n">
        <v>0</v>
      </c>
      <c r="L1942" s="52" t="n">
        <v>0</v>
      </c>
      <c r="M1942" s="52" t="n">
        <v>0</v>
      </c>
      <c r="N1942" s="52" t="n">
        <v>0</v>
      </c>
      <c r="O1942" s="53" t="n">
        <v>0</v>
      </c>
      <c r="P1942" s="52" t="n">
        <v>0</v>
      </c>
      <c r="Q1942" s="53" t="n">
        <v>0</v>
      </c>
      <c r="R1942" s="52" t="n">
        <v>0</v>
      </c>
      <c r="S1942" s="51" t="n">
        <v>0</v>
      </c>
      <c r="T1942" s="48" t="n">
        <v>0</v>
      </c>
      <c r="U1942" s="49" t="n">
        <v>0</v>
      </c>
      <c r="V1942" s="49" t="n">
        <v>0</v>
      </c>
      <c r="W1942" s="50" t="n">
        <v>0</v>
      </c>
      <c r="X1942" s="51" t="n">
        <v>0</v>
      </c>
      <c r="Y1942" s="52" t="n">
        <v>0</v>
      </c>
      <c r="Z1942" s="52" t="n">
        <v>0</v>
      </c>
      <c r="AA1942" s="52" t="n">
        <v>0</v>
      </c>
      <c r="AB1942" s="53" t="n">
        <v>0</v>
      </c>
      <c r="AC1942" s="52" t="n">
        <v>0</v>
      </c>
      <c r="AD1942" s="53" t="n">
        <v>0</v>
      </c>
      <c r="AE1942" s="52" t="n">
        <v>0</v>
      </c>
      <c r="AF1942" s="51" t="n">
        <v>0</v>
      </c>
      <c r="AG1942" s="48" t="n">
        <v>0</v>
      </c>
      <c r="AH1942" s="49" t="n">
        <v>0</v>
      </c>
      <c r="AI1942" s="49" t="n">
        <v>0</v>
      </c>
      <c r="AJ1942" s="50" t="n">
        <v>0</v>
      </c>
      <c r="AK1942" s="51" t="n">
        <v>0</v>
      </c>
      <c r="AL1942" s="52" t="n">
        <v>0</v>
      </c>
      <c r="AM1942" s="52" t="n">
        <v>0</v>
      </c>
      <c r="AN1942" s="52" t="n">
        <v>0</v>
      </c>
      <c r="AO1942" s="53" t="n">
        <v>0</v>
      </c>
      <c r="AP1942" s="52" t="n">
        <v>0</v>
      </c>
      <c r="AQ1942" s="53" t="n">
        <v>0</v>
      </c>
      <c r="AR1942" s="52" t="n">
        <v>0</v>
      </c>
      <c r="AS1942" s="51" t="n">
        <v>0</v>
      </c>
      <c r="AT1942" s="48" t="n">
        <v>0</v>
      </c>
      <c r="AU1942" s="49" t="n">
        <v>0</v>
      </c>
      <c r="AV1942" s="49" t="n">
        <v>0</v>
      </c>
      <c r="AW1942" s="50" t="n">
        <v>0</v>
      </c>
      <c r="AX1942" s="51" t="n">
        <v>0</v>
      </c>
      <c r="AY1942" s="52" t="n">
        <v>0</v>
      </c>
      <c r="AZ1942" s="52" t="n">
        <v>0</v>
      </c>
      <c r="BA1942" s="52" t="n">
        <v>0</v>
      </c>
      <c r="BB1942" s="53" t="n">
        <v>0</v>
      </c>
      <c r="BC1942" s="52" t="n">
        <v>0</v>
      </c>
      <c r="BD1942" s="53" t="n">
        <v>0</v>
      </c>
      <c r="BE1942" s="52" t="n">
        <v>0</v>
      </c>
      <c r="BF1942" s="51" t="n">
        <v>0</v>
      </c>
    </row>
    <row r="1943">
      <c r="A1943">
        <f>HYPERLINK("https://www.walmart.com/ip/2590334744", "2590334744")</f>
        <v/>
      </c>
      <c r="B1943" t="inlineStr">
        <is>
          <t>Outdoor Wide Brim Sun Hats Blocking UV Protection Cap UPF 50+ Foldable Mesh Net for Finishing, Hiking, Camping by Solari</t>
        </is>
      </c>
      <c r="C1943" t="inlineStr">
        <is>
          <t>1SLSH912GY</t>
        </is>
      </c>
      <c r="D1943" t="inlineStr">
        <is>
          <t>Hats</t>
        </is>
      </c>
      <c r="E1943" t="inlineStr">
        <is>
          <t>Solaris</t>
        </is>
      </c>
      <c r="F1943" t="inlineStr">
        <is>
          <t>Hats</t>
        </is>
      </c>
      <c r="G1943" s="48" t="n">
        <v>0</v>
      </c>
      <c r="H1943" s="49" t="n">
        <v>0</v>
      </c>
      <c r="I1943" s="49" t="n">
        <v>0</v>
      </c>
      <c r="J1943" s="50" t="n">
        <v>0</v>
      </c>
      <c r="K1943" s="51" t="n">
        <v>0</v>
      </c>
      <c r="L1943" s="52" t="n">
        <v>0</v>
      </c>
      <c r="M1943" s="52" t="n">
        <v>0</v>
      </c>
      <c r="N1943" s="52" t="n">
        <v>0</v>
      </c>
      <c r="O1943" s="53" t="n">
        <v>0</v>
      </c>
      <c r="P1943" s="52" t="n">
        <v>0</v>
      </c>
      <c r="Q1943" s="53" t="n">
        <v>0</v>
      </c>
      <c r="R1943" s="52" t="n">
        <v>0</v>
      </c>
      <c r="S1943" s="51" t="n">
        <v>0</v>
      </c>
      <c r="T1943" s="48" t="n">
        <v>16.99</v>
      </c>
      <c r="U1943" s="49" t="n">
        <v>1</v>
      </c>
      <c r="V1943" s="49" t="n">
        <v>0</v>
      </c>
      <c r="W1943" s="50" t="n">
        <v>0</v>
      </c>
      <c r="X1943" s="51" t="n">
        <v>0</v>
      </c>
      <c r="Y1943" s="52" t="n">
        <v>0</v>
      </c>
      <c r="Z1943" s="52" t="n">
        <v>0</v>
      </c>
      <c r="AA1943" s="52" t="n">
        <v>0</v>
      </c>
      <c r="AB1943" s="53" t="n">
        <v>0</v>
      </c>
      <c r="AC1943" s="52" t="n">
        <v>0</v>
      </c>
      <c r="AD1943" s="53" t="n">
        <v>0</v>
      </c>
      <c r="AE1943" s="52" t="n">
        <v>16.99</v>
      </c>
      <c r="AF1943" s="51" t="n">
        <v>0</v>
      </c>
      <c r="AG1943" s="48" t="n">
        <v>16.99</v>
      </c>
      <c r="AH1943" s="49" t="n">
        <v>1</v>
      </c>
      <c r="AI1943" s="49" t="n">
        <v>0</v>
      </c>
      <c r="AJ1943" s="50" t="n">
        <v>0</v>
      </c>
      <c r="AK1943" s="51" t="n">
        <v>0</v>
      </c>
      <c r="AL1943" s="52" t="n">
        <v>0</v>
      </c>
      <c r="AM1943" s="52" t="n">
        <v>0</v>
      </c>
      <c r="AN1943" s="52" t="n">
        <v>0</v>
      </c>
      <c r="AO1943" s="53" t="n">
        <v>0</v>
      </c>
      <c r="AP1943" s="52" t="n">
        <v>0</v>
      </c>
      <c r="AQ1943" s="53" t="n">
        <v>0</v>
      </c>
      <c r="AR1943" s="52" t="n">
        <v>16.99</v>
      </c>
      <c r="AS1943" s="51" t="n">
        <v>0</v>
      </c>
      <c r="AT1943" s="48" t="n">
        <v>0</v>
      </c>
      <c r="AU1943" s="49" t="n">
        <v>0</v>
      </c>
      <c r="AV1943" s="49" t="n">
        <v>0</v>
      </c>
      <c r="AW1943" s="50" t="n">
        <v>0</v>
      </c>
      <c r="AX1943" s="51" t="n">
        <v>0</v>
      </c>
      <c r="AY1943" s="52" t="n">
        <v>0</v>
      </c>
      <c r="AZ1943" s="52" t="n">
        <v>0</v>
      </c>
      <c r="BA1943" s="52" t="n">
        <v>0</v>
      </c>
      <c r="BB1943" s="53" t="n">
        <v>0</v>
      </c>
      <c r="BC1943" s="52" t="n">
        <v>0</v>
      </c>
      <c r="BD1943" s="53" t="n">
        <v>0</v>
      </c>
      <c r="BE1943" s="52" t="n">
        <v>0</v>
      </c>
      <c r="BF1943" s="51" t="n">
        <v>0</v>
      </c>
    </row>
    <row r="1944">
      <c r="A1944">
        <f>HYPERLINK("https://www.walmart.com/ip/2590935500", "2590935500")</f>
        <v/>
      </c>
      <c r="B1944" t="inlineStr">
        <is>
          <t>Tirrinia Lunch Bags for Women Men, Cute Insulated Lunch Tote Bag for Girls, Fashionable Lunch Box for Adult Kids, Reusable Large Cooler Lunch Bag for School, Work, Office, Picnic | Blue Leaf</t>
        </is>
      </c>
      <c r="C1944" t="inlineStr">
        <is>
          <t>1WMLB707AQLEA</t>
        </is>
      </c>
      <c r="D1944" t="inlineStr">
        <is>
          <t>Reusable Lunch Bags &amp; Boxes</t>
        </is>
      </c>
      <c r="E1944" t="inlineStr">
        <is>
          <t>Tirrinia</t>
        </is>
      </c>
      <c r="F1944" t="inlineStr">
        <is>
          <t>Q2-Target</t>
        </is>
      </c>
      <c r="G1944" s="48" t="n">
        <v>0</v>
      </c>
      <c r="H1944" s="49" t="n">
        <v>0</v>
      </c>
      <c r="I1944" s="49" t="n">
        <v>13</v>
      </c>
      <c r="J1944" s="50" t="n">
        <v>0</v>
      </c>
      <c r="K1944" s="51" t="n">
        <v>0</v>
      </c>
      <c r="L1944" s="52" t="n">
        <v>0</v>
      </c>
      <c r="M1944" s="52" t="n">
        <v>0</v>
      </c>
      <c r="N1944" s="52" t="n">
        <v>0</v>
      </c>
      <c r="O1944" s="53" t="n">
        <v>0</v>
      </c>
      <c r="P1944" s="52" t="n">
        <v>0</v>
      </c>
      <c r="Q1944" s="53" t="n">
        <v>0</v>
      </c>
      <c r="R1944" s="52" t="n">
        <v>0</v>
      </c>
      <c r="S1944" s="51" t="n">
        <v>0</v>
      </c>
      <c r="T1944" s="48" t="n">
        <v>0</v>
      </c>
      <c r="U1944" s="49" t="n">
        <v>0</v>
      </c>
      <c r="V1944" s="49" t="n">
        <v>1</v>
      </c>
      <c r="W1944" s="50" t="n">
        <v>0</v>
      </c>
      <c r="X1944" s="51" t="n">
        <v>0</v>
      </c>
      <c r="Y1944" s="52" t="n">
        <v>0</v>
      </c>
      <c r="Z1944" s="52" t="n">
        <v>0</v>
      </c>
      <c r="AA1944" s="52" t="n">
        <v>0</v>
      </c>
      <c r="AB1944" s="53" t="n">
        <v>0</v>
      </c>
      <c r="AC1944" s="52" t="n">
        <v>0</v>
      </c>
      <c r="AD1944" s="53" t="n">
        <v>0</v>
      </c>
      <c r="AE1944" s="52" t="n">
        <v>0</v>
      </c>
      <c r="AF1944" s="51" t="n">
        <v>0</v>
      </c>
      <c r="AG1944" s="48" t="n">
        <v>0</v>
      </c>
      <c r="AH1944" s="49" t="n">
        <v>0</v>
      </c>
      <c r="AI1944" s="49" t="n">
        <v>3</v>
      </c>
      <c r="AJ1944" s="50" t="n">
        <v>0</v>
      </c>
      <c r="AK1944" s="51" t="n">
        <v>0</v>
      </c>
      <c r="AL1944" s="52" t="n">
        <v>0</v>
      </c>
      <c r="AM1944" s="52" t="n">
        <v>0</v>
      </c>
      <c r="AN1944" s="52" t="n">
        <v>0</v>
      </c>
      <c r="AO1944" s="53" t="n">
        <v>0</v>
      </c>
      <c r="AP1944" s="52" t="n">
        <v>0</v>
      </c>
      <c r="AQ1944" s="53" t="n">
        <v>0</v>
      </c>
      <c r="AR1944" s="52" t="n">
        <v>0</v>
      </c>
      <c r="AS1944" s="51" t="n">
        <v>0</v>
      </c>
      <c r="AT1944" s="48" t="n">
        <v>9.99</v>
      </c>
      <c r="AU1944" s="49" t="n">
        <v>1</v>
      </c>
      <c r="AV1944" s="49" t="n">
        <v>5</v>
      </c>
      <c r="AW1944" s="50" t="n">
        <v>0.2</v>
      </c>
      <c r="AX1944" s="51" t="n">
        <v>0</v>
      </c>
      <c r="AY1944" s="52" t="n">
        <v>0</v>
      </c>
      <c r="AZ1944" s="52" t="n">
        <v>0</v>
      </c>
      <c r="BA1944" s="52" t="n">
        <v>0</v>
      </c>
      <c r="BB1944" s="53" t="n">
        <v>0</v>
      </c>
      <c r="BC1944" s="52" t="n">
        <v>0</v>
      </c>
      <c r="BD1944" s="53" t="n">
        <v>0</v>
      </c>
      <c r="BE1944" s="52" t="n">
        <v>9.99</v>
      </c>
      <c r="BF1944" s="51" t="n">
        <v>0</v>
      </c>
    </row>
    <row r="1945">
      <c r="A1945">
        <f>HYPERLINK("https://www.walmart.com/ip/259369134", "259369134")</f>
        <v/>
      </c>
      <c r="B1945" t="inlineStr">
        <is>
          <t>Tirrinia Insulated 2 Bottle Wine Carrier Tote Cooler Bag for Travel Picnic Padded Champagne Glass Carrying Case</t>
        </is>
      </c>
      <c r="C1945" t="inlineStr">
        <is>
          <t>1WMWB220STR</t>
        </is>
      </c>
      <c r="D1945" t="inlineStr">
        <is>
          <t>Wine Totes, Bags &amp; Backpacks</t>
        </is>
      </c>
      <c r="E1945" t="inlineStr">
        <is>
          <t>Flyingstar</t>
        </is>
      </c>
      <c r="F1945" t="inlineStr">
        <is>
          <t>Wine,Christmas,Valentine</t>
        </is>
      </c>
      <c r="G1945" s="48" t="n">
        <v>0</v>
      </c>
      <c r="H1945" s="49" t="n">
        <v>0</v>
      </c>
      <c r="I1945" s="49" t="n">
        <v>0</v>
      </c>
      <c r="J1945" s="50" t="n">
        <v>0</v>
      </c>
      <c r="K1945" s="51" t="n">
        <v>0</v>
      </c>
      <c r="L1945" s="52" t="n">
        <v>0</v>
      </c>
      <c r="M1945" s="52" t="n">
        <v>0</v>
      </c>
      <c r="N1945" s="52" t="n">
        <v>0</v>
      </c>
      <c r="O1945" s="53" t="n">
        <v>0</v>
      </c>
      <c r="P1945" s="52" t="n">
        <v>0</v>
      </c>
      <c r="Q1945" s="53" t="n">
        <v>0</v>
      </c>
      <c r="R1945" s="52" t="n">
        <v>0</v>
      </c>
      <c r="S1945" s="51" t="n">
        <v>0</v>
      </c>
      <c r="T1945" s="48" t="n">
        <v>0</v>
      </c>
      <c r="U1945" s="49" t="n">
        <v>0</v>
      </c>
      <c r="V1945" s="49" t="n">
        <v>0</v>
      </c>
      <c r="W1945" s="50" t="n">
        <v>0</v>
      </c>
      <c r="X1945" s="51" t="n">
        <v>0</v>
      </c>
      <c r="Y1945" s="52" t="n">
        <v>0</v>
      </c>
      <c r="Z1945" s="52" t="n">
        <v>0</v>
      </c>
      <c r="AA1945" s="52" t="n">
        <v>0</v>
      </c>
      <c r="AB1945" s="53" t="n">
        <v>0</v>
      </c>
      <c r="AC1945" s="52" t="n">
        <v>0</v>
      </c>
      <c r="AD1945" s="53" t="n">
        <v>0</v>
      </c>
      <c r="AE1945" s="52" t="n">
        <v>0</v>
      </c>
      <c r="AF1945" s="51" t="n">
        <v>0</v>
      </c>
      <c r="AG1945" s="48" t="n">
        <v>0</v>
      </c>
      <c r="AH1945" s="49" t="n">
        <v>0</v>
      </c>
      <c r="AI1945" s="49" t="n">
        <v>0</v>
      </c>
      <c r="AJ1945" s="50" t="n">
        <v>0</v>
      </c>
      <c r="AK1945" s="51" t="n">
        <v>0</v>
      </c>
      <c r="AL1945" s="52" t="n">
        <v>0</v>
      </c>
      <c r="AM1945" s="52" t="n">
        <v>0</v>
      </c>
      <c r="AN1945" s="52" t="n">
        <v>0</v>
      </c>
      <c r="AO1945" s="53" t="n">
        <v>0</v>
      </c>
      <c r="AP1945" s="52" t="n">
        <v>0</v>
      </c>
      <c r="AQ1945" s="53" t="n">
        <v>0</v>
      </c>
      <c r="AR1945" s="52" t="n">
        <v>0</v>
      </c>
      <c r="AS1945" s="51" t="n">
        <v>0</v>
      </c>
      <c r="AT1945" s="48" t="n">
        <v>0</v>
      </c>
      <c r="AU1945" s="49" t="n">
        <v>0</v>
      </c>
      <c r="AV1945" s="49" t="n">
        <v>0</v>
      </c>
      <c r="AW1945" s="50" t="n">
        <v>0</v>
      </c>
      <c r="AX1945" s="51" t="n">
        <v>0</v>
      </c>
      <c r="AY1945" s="52" t="n">
        <v>0</v>
      </c>
      <c r="AZ1945" s="52" t="n">
        <v>0</v>
      </c>
      <c r="BA1945" s="52" t="n">
        <v>0</v>
      </c>
      <c r="BB1945" s="53" t="n">
        <v>0</v>
      </c>
      <c r="BC1945" s="52" t="n">
        <v>0</v>
      </c>
      <c r="BD1945" s="53" t="n">
        <v>0</v>
      </c>
      <c r="BE1945" s="52" t="n">
        <v>0</v>
      </c>
      <c r="BF1945" s="51" t="n">
        <v>0</v>
      </c>
    </row>
    <row r="1946">
      <c r="A1946">
        <f>HYPERLINK("https://www.walmart.com/ip/259966807", "259966807")</f>
        <v/>
      </c>
      <c r="B1946" s="5" t="inlineStr">
        <is>
          <t>https://www.walmart.com/ip/Long-Kinky-Curly-Wig-Lace-Front-Synthetic-Fiber-Deep-Wave-Afro-Hair-Replacement-Wig-19-Inch/259966807</t>
        </is>
      </c>
      <c r="C1946" t="inlineStr">
        <is>
          <t>1CTWIG001-1-ESCB</t>
        </is>
      </c>
      <c r="G1946" s="48" t="n">
        <v>0</v>
      </c>
      <c r="H1946" s="49" t="n">
        <v>0</v>
      </c>
      <c r="I1946" s="49" t="n">
        <v>0</v>
      </c>
      <c r="J1946" s="50" t="n">
        <v>0</v>
      </c>
      <c r="K1946" s="51" t="n">
        <v>0</v>
      </c>
      <c r="L1946" s="52" t="n">
        <v>0</v>
      </c>
      <c r="M1946" s="52" t="n">
        <v>0</v>
      </c>
      <c r="N1946" s="52" t="n">
        <v>0</v>
      </c>
      <c r="O1946" s="53" t="n">
        <v>0</v>
      </c>
      <c r="P1946" s="52" t="n">
        <v>0</v>
      </c>
      <c r="Q1946" s="53" t="n">
        <v>0</v>
      </c>
      <c r="R1946" s="52" t="n">
        <v>0</v>
      </c>
      <c r="S1946" s="51" t="n">
        <v>0</v>
      </c>
      <c r="T1946" s="48" t="n">
        <v>0</v>
      </c>
      <c r="U1946" s="49" t="n">
        <v>0</v>
      </c>
      <c r="V1946" s="49" t="n">
        <v>0</v>
      </c>
      <c r="W1946" s="50" t="n">
        <v>0</v>
      </c>
      <c r="X1946" s="51" t="n">
        <v>0</v>
      </c>
      <c r="Y1946" s="52" t="n">
        <v>0</v>
      </c>
      <c r="Z1946" s="52" t="n">
        <v>0</v>
      </c>
      <c r="AA1946" s="52" t="n">
        <v>0</v>
      </c>
      <c r="AB1946" s="53" t="n">
        <v>0</v>
      </c>
      <c r="AC1946" s="52" t="n">
        <v>0</v>
      </c>
      <c r="AD1946" s="53" t="n">
        <v>0</v>
      </c>
      <c r="AE1946" s="52" t="n">
        <v>0</v>
      </c>
      <c r="AF1946" s="51" t="n">
        <v>0</v>
      </c>
      <c r="AG1946" s="48" t="n">
        <v>0</v>
      </c>
      <c r="AH1946" s="49" t="n">
        <v>0</v>
      </c>
      <c r="AI1946" s="49" t="n">
        <v>0</v>
      </c>
      <c r="AJ1946" s="50" t="n">
        <v>0</v>
      </c>
      <c r="AK1946" s="51" t="n">
        <v>0</v>
      </c>
      <c r="AL1946" s="52" t="n">
        <v>0</v>
      </c>
      <c r="AM1946" s="52" t="n">
        <v>0</v>
      </c>
      <c r="AN1946" s="52" t="n">
        <v>0</v>
      </c>
      <c r="AO1946" s="53" t="n">
        <v>0</v>
      </c>
      <c r="AP1946" s="52" t="n">
        <v>0</v>
      </c>
      <c r="AQ1946" s="53" t="n">
        <v>0</v>
      </c>
      <c r="AR1946" s="52" t="n">
        <v>0</v>
      </c>
      <c r="AS1946" s="51" t="n">
        <v>0</v>
      </c>
      <c r="AT1946" s="48" t="n">
        <v>0</v>
      </c>
      <c r="AU1946" s="49" t="n">
        <v>0</v>
      </c>
      <c r="AV1946" s="49" t="n">
        <v>0</v>
      </c>
      <c r="AW1946" s="50" t="n">
        <v>0</v>
      </c>
      <c r="AX1946" s="51" t="n">
        <v>0</v>
      </c>
      <c r="AY1946" s="52" t="n">
        <v>0</v>
      </c>
      <c r="AZ1946" s="52" t="n">
        <v>0</v>
      </c>
      <c r="BA1946" s="52" t="n">
        <v>0</v>
      </c>
      <c r="BB1946" s="53" t="n">
        <v>0</v>
      </c>
      <c r="BC1946" s="52" t="n">
        <v>0</v>
      </c>
      <c r="BD1946" s="53" t="n">
        <v>0</v>
      </c>
      <c r="BE1946" s="52" t="n">
        <v>0</v>
      </c>
      <c r="BF1946" s="51" t="n">
        <v>0</v>
      </c>
    </row>
    <row r="1947">
      <c r="A1947">
        <f>HYPERLINK("https://www.walmart.com/ip/2600562481", "2600562481")</f>
        <v/>
      </c>
      <c r="B1947" t="inlineStr">
        <is>
          <t>Tirrinia Lunch Bag for Women, Cute Insulated Lunch Tote Bag for Girls, Fashionable Lunch Box for Adults and Kids, Reusable Large Cooler Lunch Bag for School, Work, Office, Picnic, Blue Stripe</t>
        </is>
      </c>
      <c r="C1947" t="inlineStr">
        <is>
          <t>1WMLB707BLSTR</t>
        </is>
      </c>
      <c r="D1947" t="inlineStr">
        <is>
          <t>Reusable Lunch Bags &amp; Boxes</t>
        </is>
      </c>
      <c r="E1947" t="inlineStr">
        <is>
          <t>Tirrinia</t>
        </is>
      </c>
      <c r="F1947" t="inlineStr">
        <is>
          <t>Q2-Target,Brand Camp VD</t>
        </is>
      </c>
      <c r="G1947" s="48" t="n">
        <v>0</v>
      </c>
      <c r="H1947" s="49" t="n">
        <v>0</v>
      </c>
      <c r="I1947" s="49" t="n">
        <v>0</v>
      </c>
      <c r="J1947" s="50" t="n">
        <v>0</v>
      </c>
      <c r="K1947" s="51" t="n">
        <v>0</v>
      </c>
      <c r="L1947" s="52" t="n">
        <v>0</v>
      </c>
      <c r="M1947" s="52" t="n">
        <v>0</v>
      </c>
      <c r="N1947" s="52" t="n">
        <v>0</v>
      </c>
      <c r="O1947" s="53" t="n">
        <v>0</v>
      </c>
      <c r="P1947" s="52" t="n">
        <v>0</v>
      </c>
      <c r="Q1947" s="53" t="n">
        <v>0</v>
      </c>
      <c r="R1947" s="52" t="n">
        <v>0</v>
      </c>
      <c r="S1947" s="51" t="n">
        <v>0</v>
      </c>
      <c r="T1947" s="48" t="n">
        <v>0</v>
      </c>
      <c r="U1947" s="49" t="n">
        <v>0</v>
      </c>
      <c r="V1947" s="49" t="n">
        <v>0</v>
      </c>
      <c r="W1947" s="50" t="n">
        <v>0</v>
      </c>
      <c r="X1947" s="51" t="n">
        <v>0</v>
      </c>
      <c r="Y1947" s="52" t="n">
        <v>0</v>
      </c>
      <c r="Z1947" s="52" t="n">
        <v>0</v>
      </c>
      <c r="AA1947" s="52" t="n">
        <v>0</v>
      </c>
      <c r="AB1947" s="53" t="n">
        <v>0</v>
      </c>
      <c r="AC1947" s="52" t="n">
        <v>0</v>
      </c>
      <c r="AD1947" s="53" t="n">
        <v>0</v>
      </c>
      <c r="AE1947" s="52" t="n">
        <v>0</v>
      </c>
      <c r="AF1947" s="51" t="n">
        <v>0</v>
      </c>
      <c r="AG1947" s="48" t="n">
        <v>0</v>
      </c>
      <c r="AH1947" s="49" t="n">
        <v>0</v>
      </c>
      <c r="AI1947" s="49" t="n">
        <v>0</v>
      </c>
      <c r="AJ1947" s="50" t="n">
        <v>0</v>
      </c>
      <c r="AK1947" s="51" t="n">
        <v>0</v>
      </c>
      <c r="AL1947" s="52" t="n">
        <v>0</v>
      </c>
      <c r="AM1947" s="52" t="n">
        <v>0</v>
      </c>
      <c r="AN1947" s="52" t="n">
        <v>0</v>
      </c>
      <c r="AO1947" s="53" t="n">
        <v>0</v>
      </c>
      <c r="AP1947" s="52" t="n">
        <v>0</v>
      </c>
      <c r="AQ1947" s="53" t="n">
        <v>0</v>
      </c>
      <c r="AR1947" s="52" t="n">
        <v>0</v>
      </c>
      <c r="AS1947" s="51" t="n">
        <v>0</v>
      </c>
      <c r="AT1947" s="48" t="n">
        <v>0</v>
      </c>
      <c r="AU1947" s="49" t="n">
        <v>0</v>
      </c>
      <c r="AV1947" s="49" t="n">
        <v>0</v>
      </c>
      <c r="AW1947" s="50" t="n">
        <v>0</v>
      </c>
      <c r="AX1947" s="51" t="n">
        <v>0</v>
      </c>
      <c r="AY1947" s="52" t="n">
        <v>0</v>
      </c>
      <c r="AZ1947" s="52" t="n">
        <v>0</v>
      </c>
      <c r="BA1947" s="52" t="n">
        <v>0</v>
      </c>
      <c r="BB1947" s="53" t="n">
        <v>0</v>
      </c>
      <c r="BC1947" s="52" t="n">
        <v>0</v>
      </c>
      <c r="BD1947" s="53" t="n">
        <v>0</v>
      </c>
      <c r="BE1947" s="52" t="n">
        <v>0</v>
      </c>
      <c r="BF1947" s="51" t="n">
        <v>0</v>
      </c>
    </row>
    <row r="1948">
      <c r="A1948">
        <f>HYPERLINK("https://www.walmart.com/ip/273667626", "273667626")</f>
        <v/>
      </c>
      <c r="B1948" t="inlineStr">
        <is>
          <t>Sherpa Slipper Socks for Women,Winter Indoor Home Non Skid Booties</t>
        </is>
      </c>
      <c r="C1948" t="inlineStr">
        <is>
          <t>1CTST200WN-1</t>
        </is>
      </c>
      <c r="D1948" t="inlineStr">
        <is>
          <t>Socks</t>
        </is>
      </c>
      <c r="E1948" t="inlineStr">
        <is>
          <t>Catalonia</t>
        </is>
      </c>
      <c r="F1948" t="inlineStr">
        <is>
          <t>WFS,WFS Item</t>
        </is>
      </c>
      <c r="G1948" s="48" t="n">
        <v>0</v>
      </c>
      <c r="H1948" s="49" t="n">
        <v>0</v>
      </c>
      <c r="I1948" s="49" t="n">
        <v>0</v>
      </c>
      <c r="J1948" s="50" t="n">
        <v>0</v>
      </c>
      <c r="K1948" s="51" t="n">
        <v>0</v>
      </c>
      <c r="L1948" s="52" t="n">
        <v>0</v>
      </c>
      <c r="M1948" s="52" t="n">
        <v>0</v>
      </c>
      <c r="N1948" s="52" t="n">
        <v>0</v>
      </c>
      <c r="O1948" s="53" t="n">
        <v>0</v>
      </c>
      <c r="P1948" s="52" t="n">
        <v>0</v>
      </c>
      <c r="Q1948" s="53" t="n">
        <v>0</v>
      </c>
      <c r="R1948" s="52" t="n">
        <v>0</v>
      </c>
      <c r="S1948" s="51" t="n">
        <v>0</v>
      </c>
      <c r="T1948" s="48" t="n">
        <v>0</v>
      </c>
      <c r="U1948" s="49" t="n">
        <v>0</v>
      </c>
      <c r="V1948" s="49" t="n">
        <v>0</v>
      </c>
      <c r="W1948" s="50" t="n">
        <v>0</v>
      </c>
      <c r="X1948" s="51" t="n">
        <v>0</v>
      </c>
      <c r="Y1948" s="52" t="n">
        <v>0</v>
      </c>
      <c r="Z1948" s="52" t="n">
        <v>0</v>
      </c>
      <c r="AA1948" s="52" t="n">
        <v>0</v>
      </c>
      <c r="AB1948" s="53" t="n">
        <v>0</v>
      </c>
      <c r="AC1948" s="52" t="n">
        <v>0</v>
      </c>
      <c r="AD1948" s="53" t="n">
        <v>0</v>
      </c>
      <c r="AE1948" s="52" t="n">
        <v>0</v>
      </c>
      <c r="AF1948" s="51" t="n">
        <v>0</v>
      </c>
      <c r="AG1948" s="48" t="n">
        <v>0</v>
      </c>
      <c r="AH1948" s="49" t="n">
        <v>0</v>
      </c>
      <c r="AI1948" s="49" t="n">
        <v>0</v>
      </c>
      <c r="AJ1948" s="50" t="n">
        <v>0</v>
      </c>
      <c r="AK1948" s="51" t="n">
        <v>0</v>
      </c>
      <c r="AL1948" s="52" t="n">
        <v>0</v>
      </c>
      <c r="AM1948" s="52" t="n">
        <v>0</v>
      </c>
      <c r="AN1948" s="52" t="n">
        <v>0</v>
      </c>
      <c r="AO1948" s="53" t="n">
        <v>0</v>
      </c>
      <c r="AP1948" s="52" t="n">
        <v>0</v>
      </c>
      <c r="AQ1948" s="53" t="n">
        <v>0</v>
      </c>
      <c r="AR1948" s="52" t="n">
        <v>0</v>
      </c>
      <c r="AS1948" s="51" t="n">
        <v>0</v>
      </c>
      <c r="AT1948" s="48" t="n">
        <v>0</v>
      </c>
      <c r="AU1948" s="49" t="n">
        <v>0</v>
      </c>
      <c r="AV1948" s="49" t="n">
        <v>0</v>
      </c>
      <c r="AW1948" s="50" t="n">
        <v>0</v>
      </c>
      <c r="AX1948" s="51" t="n">
        <v>0</v>
      </c>
      <c r="AY1948" s="52" t="n">
        <v>0</v>
      </c>
      <c r="AZ1948" s="52" t="n">
        <v>0</v>
      </c>
      <c r="BA1948" s="52" t="n">
        <v>0</v>
      </c>
      <c r="BB1948" s="53" t="n">
        <v>0</v>
      </c>
      <c r="BC1948" s="52" t="n">
        <v>0</v>
      </c>
      <c r="BD1948" s="53" t="n">
        <v>0</v>
      </c>
      <c r="BE1948" s="52" t="n">
        <v>0</v>
      </c>
      <c r="BF1948" s="51" t="n">
        <v>0</v>
      </c>
    </row>
    <row r="1949">
      <c r="A1949">
        <f>HYPERLINK("https://www.walmart.com/ip/273815087", "273815087")</f>
        <v/>
      </c>
      <c r="B1949" t="inlineStr">
        <is>
          <t>Sherpa Throw Blanket Snowflake Pattern, Reversible Micro Fleece TV Blanket All Season for Bed or Couch 50" x 60"</t>
        </is>
      </c>
      <c r="C1949" t="inlineStr">
        <is>
          <t>1TRBF390RD-TBCB</t>
        </is>
      </c>
      <c r="D1949" t="inlineStr">
        <is>
          <t>Throws</t>
        </is>
      </c>
      <c r="E1949" t="inlineStr">
        <is>
          <t>Tirrinia</t>
        </is>
      </c>
      <c r="F1949" t="inlineStr">
        <is>
          <t>Coupon_Discount,Batch 1 - TR</t>
        </is>
      </c>
      <c r="G1949" s="48" t="n">
        <v>0</v>
      </c>
      <c r="H1949" s="49" t="n">
        <v>0</v>
      </c>
      <c r="I1949" s="49" t="n">
        <v>0</v>
      </c>
      <c r="J1949" s="50" t="n">
        <v>0</v>
      </c>
      <c r="K1949" s="51" t="n">
        <v>0</v>
      </c>
      <c r="L1949" s="52" t="n">
        <v>0</v>
      </c>
      <c r="M1949" s="52" t="n">
        <v>0</v>
      </c>
      <c r="N1949" s="52" t="n">
        <v>0</v>
      </c>
      <c r="O1949" s="53" t="n">
        <v>0</v>
      </c>
      <c r="P1949" s="52" t="n">
        <v>0</v>
      </c>
      <c r="Q1949" s="53" t="n">
        <v>0</v>
      </c>
      <c r="R1949" s="52" t="n">
        <v>0</v>
      </c>
      <c r="S1949" s="51" t="n">
        <v>0</v>
      </c>
      <c r="T1949" s="48" t="n">
        <v>0</v>
      </c>
      <c r="U1949" s="49" t="n">
        <v>0</v>
      </c>
      <c r="V1949" s="49" t="n">
        <v>0</v>
      </c>
      <c r="W1949" s="50" t="n">
        <v>0</v>
      </c>
      <c r="X1949" s="51" t="n">
        <v>0</v>
      </c>
      <c r="Y1949" s="52" t="n">
        <v>0</v>
      </c>
      <c r="Z1949" s="52" t="n">
        <v>0</v>
      </c>
      <c r="AA1949" s="52" t="n">
        <v>0</v>
      </c>
      <c r="AB1949" s="53" t="n">
        <v>0</v>
      </c>
      <c r="AC1949" s="52" t="n">
        <v>0</v>
      </c>
      <c r="AD1949" s="53" t="n">
        <v>0</v>
      </c>
      <c r="AE1949" s="52" t="n">
        <v>0</v>
      </c>
      <c r="AF1949" s="51" t="n">
        <v>0</v>
      </c>
      <c r="AG1949" s="48" t="n">
        <v>0</v>
      </c>
      <c r="AH1949" s="49" t="n">
        <v>0</v>
      </c>
      <c r="AI1949" s="49" t="n">
        <v>0</v>
      </c>
      <c r="AJ1949" s="50" t="n">
        <v>0</v>
      </c>
      <c r="AK1949" s="51" t="n">
        <v>0</v>
      </c>
      <c r="AL1949" s="52" t="n">
        <v>0</v>
      </c>
      <c r="AM1949" s="52" t="n">
        <v>0</v>
      </c>
      <c r="AN1949" s="52" t="n">
        <v>0</v>
      </c>
      <c r="AO1949" s="53" t="n">
        <v>0</v>
      </c>
      <c r="AP1949" s="52" t="n">
        <v>0</v>
      </c>
      <c r="AQ1949" s="53" t="n">
        <v>0</v>
      </c>
      <c r="AR1949" s="52" t="n">
        <v>0</v>
      </c>
      <c r="AS1949" s="51" t="n">
        <v>0</v>
      </c>
      <c r="AT1949" s="48" t="n">
        <v>0</v>
      </c>
      <c r="AU1949" s="49" t="n">
        <v>0</v>
      </c>
      <c r="AV1949" s="49" t="n">
        <v>0</v>
      </c>
      <c r="AW1949" s="50" t="n">
        <v>0</v>
      </c>
      <c r="AX1949" s="51" t="n">
        <v>0</v>
      </c>
      <c r="AY1949" s="52" t="n">
        <v>0</v>
      </c>
      <c r="AZ1949" s="52" t="n">
        <v>0</v>
      </c>
      <c r="BA1949" s="52" t="n">
        <v>0</v>
      </c>
      <c r="BB1949" s="53" t="n">
        <v>0</v>
      </c>
      <c r="BC1949" s="52" t="n">
        <v>0</v>
      </c>
      <c r="BD1949" s="53" t="n">
        <v>0</v>
      </c>
      <c r="BE1949" s="52" t="n">
        <v>0</v>
      </c>
      <c r="BF1949" s="51" t="n">
        <v>0</v>
      </c>
    </row>
    <row r="1950">
      <c r="A1950">
        <f>HYPERLINK("https://www.walmart.com/ip/250260404", "250260404")</f>
        <v/>
      </c>
      <c r="B1950" t="inlineStr">
        <is>
          <t>Women Floppy Sun Hats w/ Wide Brim Summer Beach UV Protection Foldable Gardening Hiking Cap</t>
        </is>
      </c>
      <c r="C1950" t="inlineStr">
        <is>
          <t>1SLSH101BE</t>
        </is>
      </c>
      <c r="D1950" t="inlineStr">
        <is>
          <t>Hats</t>
        </is>
      </c>
      <c r="E1950" t="inlineStr">
        <is>
          <t>Solaris</t>
        </is>
      </c>
      <c r="F1950" t="inlineStr">
        <is>
          <t>Q2-Target,Hats,Batch 1 - TR</t>
        </is>
      </c>
      <c r="G1950" s="48" t="n">
        <v>0</v>
      </c>
      <c r="H1950" s="49" t="n">
        <v>0</v>
      </c>
      <c r="I1950" s="49" t="n">
        <v>0</v>
      </c>
      <c r="J1950" s="50" t="n">
        <v>0</v>
      </c>
      <c r="K1950" s="51" t="n">
        <v>0</v>
      </c>
      <c r="L1950" s="52" t="n">
        <v>0</v>
      </c>
      <c r="M1950" s="52" t="n">
        <v>0</v>
      </c>
      <c r="N1950" s="52" t="n">
        <v>0</v>
      </c>
      <c r="O1950" s="53" t="n">
        <v>0</v>
      </c>
      <c r="P1950" s="52" t="n">
        <v>0</v>
      </c>
      <c r="Q1950" s="53" t="n">
        <v>0</v>
      </c>
      <c r="R1950" s="52" t="n">
        <v>0</v>
      </c>
      <c r="S1950" s="51" t="n">
        <v>0</v>
      </c>
      <c r="T1950" s="48" t="n">
        <v>0</v>
      </c>
      <c r="U1950" s="49" t="n">
        <v>0</v>
      </c>
      <c r="V1950" s="49" t="n">
        <v>0</v>
      </c>
      <c r="W1950" s="50" t="n">
        <v>0</v>
      </c>
      <c r="X1950" s="51" t="n">
        <v>0</v>
      </c>
      <c r="Y1950" s="52" t="n">
        <v>0</v>
      </c>
      <c r="Z1950" s="52" t="n">
        <v>0</v>
      </c>
      <c r="AA1950" s="52" t="n">
        <v>0</v>
      </c>
      <c r="AB1950" s="53" t="n">
        <v>0</v>
      </c>
      <c r="AC1950" s="52" t="n">
        <v>0</v>
      </c>
      <c r="AD1950" s="53" t="n">
        <v>0</v>
      </c>
      <c r="AE1950" s="52" t="n">
        <v>0</v>
      </c>
      <c r="AF1950" s="51" t="n">
        <v>0</v>
      </c>
      <c r="AG1950" s="48" t="n">
        <v>0</v>
      </c>
      <c r="AH1950" s="49" t="n">
        <v>0</v>
      </c>
      <c r="AI1950" s="49" t="n">
        <v>0</v>
      </c>
      <c r="AJ1950" s="50" t="n">
        <v>0</v>
      </c>
      <c r="AK1950" s="51" t="n">
        <v>0</v>
      </c>
      <c r="AL1950" s="52" t="n">
        <v>0</v>
      </c>
      <c r="AM1950" s="52" t="n">
        <v>0</v>
      </c>
      <c r="AN1950" s="52" t="n">
        <v>0</v>
      </c>
      <c r="AO1950" s="53" t="n">
        <v>0</v>
      </c>
      <c r="AP1950" s="52" t="n">
        <v>0</v>
      </c>
      <c r="AQ1950" s="53" t="n">
        <v>0</v>
      </c>
      <c r="AR1950" s="52" t="n">
        <v>0</v>
      </c>
      <c r="AS1950" s="51" t="n">
        <v>0</v>
      </c>
      <c r="AT1950" s="48" t="n">
        <v>0</v>
      </c>
      <c r="AU1950" s="49" t="n">
        <v>0</v>
      </c>
      <c r="AV1950" s="49" t="n">
        <v>0</v>
      </c>
      <c r="AW1950" s="50" t="n">
        <v>0</v>
      </c>
      <c r="AX1950" s="51" t="n">
        <v>0</v>
      </c>
      <c r="AY1950" s="52" t="n">
        <v>0</v>
      </c>
      <c r="AZ1950" s="52" t="n">
        <v>0</v>
      </c>
      <c r="BA1950" s="52" t="n">
        <v>0</v>
      </c>
      <c r="BB1950" s="53" t="n">
        <v>0</v>
      </c>
      <c r="BC1950" s="52" t="n">
        <v>0</v>
      </c>
      <c r="BD1950" s="53" t="n">
        <v>0</v>
      </c>
      <c r="BE1950" s="52" t="n">
        <v>0</v>
      </c>
      <c r="BF1950" s="51" t="n">
        <v>0</v>
      </c>
    </row>
    <row r="1951">
      <c r="A1951">
        <f>HYPERLINK("https://www.walmart.com/ip/281965638", "281965638")</f>
        <v/>
      </c>
      <c r="B1951" t="inlineStr">
        <is>
          <t>Sun Blocker Sun Hat for women, Canvas Reversible Bucket Hat, UV Sun Protection UPF 50+, Double Sided Outdoor Safari Travel Beach Golf Cap, Floral Green</t>
        </is>
      </c>
      <c r="C1951" t="inlineStr">
        <is>
          <t>KC-S9200FLW-GR</t>
        </is>
      </c>
      <c r="D1951" t="inlineStr">
        <is>
          <t>Hats</t>
        </is>
      </c>
      <c r="E1951" t="inlineStr">
        <is>
          <t>Sun Blocker</t>
        </is>
      </c>
      <c r="F1951" t="inlineStr">
        <is>
          <t>Q2-Target,ST Patrick Day</t>
        </is>
      </c>
      <c r="G1951" s="48" t="n">
        <v>0</v>
      </c>
      <c r="H1951" s="49" t="n">
        <v>0</v>
      </c>
      <c r="I1951" s="49" t="n">
        <v>0</v>
      </c>
      <c r="J1951" s="50" t="n">
        <v>0</v>
      </c>
      <c r="K1951" s="51" t="n">
        <v>0</v>
      </c>
      <c r="L1951" s="52" t="n">
        <v>0</v>
      </c>
      <c r="M1951" s="52" t="n">
        <v>0</v>
      </c>
      <c r="N1951" s="52" t="n">
        <v>0</v>
      </c>
      <c r="O1951" s="53" t="n">
        <v>0</v>
      </c>
      <c r="P1951" s="52" t="n">
        <v>0</v>
      </c>
      <c r="Q1951" s="53" t="n">
        <v>0</v>
      </c>
      <c r="R1951" s="52" t="n">
        <v>0</v>
      </c>
      <c r="S1951" s="51" t="n">
        <v>0</v>
      </c>
      <c r="T1951" s="48" t="n">
        <v>0</v>
      </c>
      <c r="U1951" s="49" t="n">
        <v>0</v>
      </c>
      <c r="V1951" s="49" t="n">
        <v>0</v>
      </c>
      <c r="W1951" s="50" t="n">
        <v>0</v>
      </c>
      <c r="X1951" s="51" t="n">
        <v>0</v>
      </c>
      <c r="Y1951" s="52" t="n">
        <v>0</v>
      </c>
      <c r="Z1951" s="52" t="n">
        <v>0</v>
      </c>
      <c r="AA1951" s="52" t="n">
        <v>0</v>
      </c>
      <c r="AB1951" s="53" t="n">
        <v>0</v>
      </c>
      <c r="AC1951" s="52" t="n">
        <v>0</v>
      </c>
      <c r="AD1951" s="53" t="n">
        <v>0</v>
      </c>
      <c r="AE1951" s="52" t="n">
        <v>0</v>
      </c>
      <c r="AF1951" s="51" t="n">
        <v>0</v>
      </c>
      <c r="AG1951" s="48" t="n">
        <v>-8.99</v>
      </c>
      <c r="AH1951" s="49" t="n">
        <v>-1</v>
      </c>
      <c r="AI1951" s="49" t="n">
        <v>0</v>
      </c>
      <c r="AJ1951" s="50" t="n">
        <v>0</v>
      </c>
      <c r="AK1951" s="51" t="n">
        <v>0</v>
      </c>
      <c r="AL1951" s="52" t="n">
        <v>0</v>
      </c>
      <c r="AM1951" s="52" t="n">
        <v>0</v>
      </c>
      <c r="AN1951" s="52" t="n">
        <v>0</v>
      </c>
      <c r="AO1951" s="53" t="n">
        <v>0</v>
      </c>
      <c r="AP1951" s="52" t="n">
        <v>0</v>
      </c>
      <c r="AQ1951" s="53" t="n">
        <v>0</v>
      </c>
      <c r="AR1951" s="52" t="n">
        <v>0</v>
      </c>
      <c r="AS1951" s="51" t="n">
        <v>0</v>
      </c>
      <c r="AT1951" s="48" t="n">
        <v>8.99</v>
      </c>
      <c r="AU1951" s="49" t="n">
        <v>1</v>
      </c>
      <c r="AV1951" s="49" t="n">
        <v>0</v>
      </c>
      <c r="AW1951" s="50" t="n">
        <v>0</v>
      </c>
      <c r="AX1951" s="51" t="n">
        <v>0</v>
      </c>
      <c r="AY1951" s="52" t="n">
        <v>0</v>
      </c>
      <c r="AZ1951" s="52" t="n">
        <v>0</v>
      </c>
      <c r="BA1951" s="52" t="n">
        <v>0</v>
      </c>
      <c r="BB1951" s="53" t="n">
        <v>0</v>
      </c>
      <c r="BC1951" s="52" t="n">
        <v>0</v>
      </c>
      <c r="BD1951" s="53" t="n">
        <v>0</v>
      </c>
      <c r="BE1951" s="52" t="n">
        <v>8.99</v>
      </c>
      <c r="BF1951" s="51" t="n">
        <v>0</v>
      </c>
    </row>
    <row r="1952">
      <c r="A1952">
        <f>HYPERLINK("https://www.walmart.com/ip/283644087", "283644087")</f>
        <v/>
      </c>
      <c r="B1952" t="inlineStr">
        <is>
          <t>Flyingstar Surf Towel Robe, Quick Dry Beach Wetsuit, Bath Poncho, Surfing Swimming Bathing Unisex</t>
        </is>
      </c>
      <c r="C1952" t="inlineStr">
        <is>
          <t>1WMBR100-GL</t>
        </is>
      </c>
      <c r="D1952" t="inlineStr">
        <is>
          <t>Towels &amp; Washcloths</t>
        </is>
      </c>
      <c r="E1952" t="inlineStr">
        <is>
          <t>Flyingstar</t>
        </is>
      </c>
      <c r="F1952" t="inlineStr">
        <is>
          <t>Optimized,Beach Robe Camp</t>
        </is>
      </c>
      <c r="G1952" s="48" t="n">
        <v>0</v>
      </c>
      <c r="H1952" s="49" t="n">
        <v>0</v>
      </c>
      <c r="I1952" s="49" t="n">
        <v>0</v>
      </c>
      <c r="J1952" s="50" t="n">
        <v>0</v>
      </c>
      <c r="K1952" s="51" t="n">
        <v>0</v>
      </c>
      <c r="L1952" s="52" t="n">
        <v>0</v>
      </c>
      <c r="M1952" s="52" t="n">
        <v>0</v>
      </c>
      <c r="N1952" s="52" t="n">
        <v>0</v>
      </c>
      <c r="O1952" s="53" t="n">
        <v>0</v>
      </c>
      <c r="P1952" s="52" t="n">
        <v>0</v>
      </c>
      <c r="Q1952" s="53" t="n">
        <v>0</v>
      </c>
      <c r="R1952" s="52" t="n">
        <v>0</v>
      </c>
      <c r="S1952" s="51" t="n">
        <v>0</v>
      </c>
      <c r="T1952" s="48" t="n">
        <v>0</v>
      </c>
      <c r="U1952" s="49" t="n">
        <v>0</v>
      </c>
      <c r="V1952" s="49" t="n">
        <v>0</v>
      </c>
      <c r="W1952" s="50" t="n">
        <v>0</v>
      </c>
      <c r="X1952" s="51" t="n">
        <v>0</v>
      </c>
      <c r="Y1952" s="52" t="n">
        <v>0</v>
      </c>
      <c r="Z1952" s="52" t="n">
        <v>0</v>
      </c>
      <c r="AA1952" s="52" t="n">
        <v>0</v>
      </c>
      <c r="AB1952" s="53" t="n">
        <v>0</v>
      </c>
      <c r="AC1952" s="52" t="n">
        <v>0</v>
      </c>
      <c r="AD1952" s="53" t="n">
        <v>0</v>
      </c>
      <c r="AE1952" s="52" t="n">
        <v>0</v>
      </c>
      <c r="AF1952" s="51" t="n">
        <v>0</v>
      </c>
      <c r="AG1952" s="48" t="n">
        <v>0</v>
      </c>
      <c r="AH1952" s="49" t="n">
        <v>0</v>
      </c>
      <c r="AI1952" s="49" t="n">
        <v>0</v>
      </c>
      <c r="AJ1952" s="50" t="n">
        <v>0</v>
      </c>
      <c r="AK1952" s="51" t="n">
        <v>0</v>
      </c>
      <c r="AL1952" s="52" t="n">
        <v>0</v>
      </c>
      <c r="AM1952" s="52" t="n">
        <v>0</v>
      </c>
      <c r="AN1952" s="52" t="n">
        <v>0</v>
      </c>
      <c r="AO1952" s="53" t="n">
        <v>0</v>
      </c>
      <c r="AP1952" s="52" t="n">
        <v>0</v>
      </c>
      <c r="AQ1952" s="53" t="n">
        <v>0</v>
      </c>
      <c r="AR1952" s="52" t="n">
        <v>0</v>
      </c>
      <c r="AS1952" s="51" t="n">
        <v>0</v>
      </c>
      <c r="AT1952" s="48" t="n">
        <v>0</v>
      </c>
      <c r="AU1952" s="49" t="n">
        <v>0</v>
      </c>
      <c r="AV1952" s="49" t="n">
        <v>0</v>
      </c>
      <c r="AW1952" s="50" t="n">
        <v>0</v>
      </c>
      <c r="AX1952" s="51" t="n">
        <v>0</v>
      </c>
      <c r="AY1952" s="52" t="n">
        <v>0</v>
      </c>
      <c r="AZ1952" s="52" t="n">
        <v>0</v>
      </c>
      <c r="BA1952" s="52" t="n">
        <v>0</v>
      </c>
      <c r="BB1952" s="53" t="n">
        <v>0</v>
      </c>
      <c r="BC1952" s="52" t="n">
        <v>0</v>
      </c>
      <c r="BD1952" s="53" t="n">
        <v>0</v>
      </c>
      <c r="BE1952" s="52" t="n">
        <v>0</v>
      </c>
      <c r="BF1952" s="51" t="n">
        <v>0</v>
      </c>
    </row>
    <row r="1953">
      <c r="A1953">
        <f>HYPERLINK("https://www.walmart.com/ip/283845243", "283845243")</f>
        <v/>
      </c>
      <c r="B1953" t="inlineStr">
        <is>
          <t>Catalonia Sherpa Throws Blanket, Super Soft Comfy Fluffy Fuzzy Fleece Plush Blanket for Sofa Couch Bed Reversible All Season for Adults Children 50”x60”, Chevron Latte</t>
        </is>
      </c>
      <c r="C1953" t="inlineStr">
        <is>
          <t>1CTBF320LT</t>
        </is>
      </c>
      <c r="D1953" t="inlineStr">
        <is>
          <t>Throws</t>
        </is>
      </c>
      <c r="E1953" t="inlineStr">
        <is>
          <t>Catalonia</t>
        </is>
      </c>
      <c r="F1953" t="inlineStr">
        <is>
          <t>WFS,WFS Item</t>
        </is>
      </c>
      <c r="G1953" s="48" t="n">
        <v>0</v>
      </c>
      <c r="H1953" s="49" t="n">
        <v>0</v>
      </c>
      <c r="I1953" s="49" t="n">
        <v>0</v>
      </c>
      <c r="J1953" s="50" t="n">
        <v>0</v>
      </c>
      <c r="K1953" s="51" t="n">
        <v>0</v>
      </c>
      <c r="L1953" s="52" t="n">
        <v>0</v>
      </c>
      <c r="M1953" s="52" t="n">
        <v>0</v>
      </c>
      <c r="N1953" s="52" t="n">
        <v>0</v>
      </c>
      <c r="O1953" s="53" t="n">
        <v>0</v>
      </c>
      <c r="P1953" s="52" t="n">
        <v>0</v>
      </c>
      <c r="Q1953" s="53" t="n">
        <v>0</v>
      </c>
      <c r="R1953" s="52" t="n">
        <v>0</v>
      </c>
      <c r="S1953" s="51" t="n">
        <v>0</v>
      </c>
      <c r="T1953" s="48" t="n">
        <v>0</v>
      </c>
      <c r="U1953" s="49" t="n">
        <v>0</v>
      </c>
      <c r="V1953" s="49" t="n">
        <v>0</v>
      </c>
      <c r="W1953" s="50" t="n">
        <v>0</v>
      </c>
      <c r="X1953" s="51" t="n">
        <v>0</v>
      </c>
      <c r="Y1953" s="52" t="n">
        <v>0</v>
      </c>
      <c r="Z1953" s="52" t="n">
        <v>0</v>
      </c>
      <c r="AA1953" s="52" t="n">
        <v>0</v>
      </c>
      <c r="AB1953" s="53" t="n">
        <v>0</v>
      </c>
      <c r="AC1953" s="52" t="n">
        <v>0</v>
      </c>
      <c r="AD1953" s="53" t="n">
        <v>0</v>
      </c>
      <c r="AE1953" s="52" t="n">
        <v>0</v>
      </c>
      <c r="AF1953" s="51" t="n">
        <v>0</v>
      </c>
      <c r="AG1953" s="48" t="n">
        <v>0</v>
      </c>
      <c r="AH1953" s="49" t="n">
        <v>0</v>
      </c>
      <c r="AI1953" s="49" t="n">
        <v>0</v>
      </c>
      <c r="AJ1953" s="50" t="n">
        <v>0</v>
      </c>
      <c r="AK1953" s="51" t="n">
        <v>0</v>
      </c>
      <c r="AL1953" s="52" t="n">
        <v>0</v>
      </c>
      <c r="AM1953" s="52" t="n">
        <v>0</v>
      </c>
      <c r="AN1953" s="52" t="n">
        <v>0</v>
      </c>
      <c r="AO1953" s="53" t="n">
        <v>0</v>
      </c>
      <c r="AP1953" s="52" t="n">
        <v>0</v>
      </c>
      <c r="AQ1953" s="53" t="n">
        <v>0</v>
      </c>
      <c r="AR1953" s="52" t="n">
        <v>0</v>
      </c>
      <c r="AS1953" s="51" t="n">
        <v>0</v>
      </c>
      <c r="AT1953" s="48" t="n">
        <v>0</v>
      </c>
      <c r="AU1953" s="49" t="n">
        <v>0</v>
      </c>
      <c r="AV1953" s="49" t="n">
        <v>0</v>
      </c>
      <c r="AW1953" s="50" t="n">
        <v>0</v>
      </c>
      <c r="AX1953" s="51" t="n">
        <v>0</v>
      </c>
      <c r="AY1953" s="52" t="n">
        <v>0</v>
      </c>
      <c r="AZ1953" s="52" t="n">
        <v>0</v>
      </c>
      <c r="BA1953" s="52" t="n">
        <v>0</v>
      </c>
      <c r="BB1953" s="53" t="n">
        <v>0</v>
      </c>
      <c r="BC1953" s="52" t="n">
        <v>0</v>
      </c>
      <c r="BD1953" s="53" t="n">
        <v>0</v>
      </c>
      <c r="BE1953" s="52" t="n">
        <v>0</v>
      </c>
      <c r="BF1953" s="51" t="n">
        <v>0</v>
      </c>
    </row>
    <row r="1954">
      <c r="A1954">
        <f>HYPERLINK("https://www.walmart.com/ip/284000882", "284000882")</f>
        <v/>
      </c>
      <c r="B1954" t="inlineStr">
        <is>
          <t>Catalonia Sherpa Throw Blanket 50 x 60, Micro Mink Flush Couch Reversible Bed Throw Comfort Caring Gift</t>
        </is>
      </c>
      <c r="C1954" t="inlineStr">
        <is>
          <t>1CTBF300BK</t>
        </is>
      </c>
      <c r="D1954" t="inlineStr">
        <is>
          <t>Throws</t>
        </is>
      </c>
      <c r="E1954" t="inlineStr">
        <is>
          <t>Catalonia</t>
        </is>
      </c>
      <c r="F1954" t="inlineStr">
        <is>
          <t>Q2-Target,Optimized,WFS,Coupon_Discount,WFS Item</t>
        </is>
      </c>
      <c r="G1954" s="48" t="n">
        <v>0</v>
      </c>
      <c r="H1954" s="49" t="n">
        <v>0</v>
      </c>
      <c r="I1954" s="49" t="n">
        <v>0</v>
      </c>
      <c r="J1954" s="50" t="n">
        <v>0</v>
      </c>
      <c r="K1954" s="51" t="n">
        <v>0</v>
      </c>
      <c r="L1954" s="52" t="n">
        <v>0</v>
      </c>
      <c r="M1954" s="52" t="n">
        <v>0</v>
      </c>
      <c r="N1954" s="52" t="n">
        <v>0</v>
      </c>
      <c r="O1954" s="53" t="n">
        <v>0</v>
      </c>
      <c r="P1954" s="52" t="n">
        <v>0</v>
      </c>
      <c r="Q1954" s="53" t="n">
        <v>0</v>
      </c>
      <c r="R1954" s="52" t="n">
        <v>0</v>
      </c>
      <c r="S1954" s="51" t="n">
        <v>0</v>
      </c>
      <c r="T1954" s="48" t="n">
        <v>0</v>
      </c>
      <c r="U1954" s="49" t="n">
        <v>0</v>
      </c>
      <c r="V1954" s="49" t="n">
        <v>0</v>
      </c>
      <c r="W1954" s="50" t="n">
        <v>0</v>
      </c>
      <c r="X1954" s="51" t="n">
        <v>0</v>
      </c>
      <c r="Y1954" s="52" t="n">
        <v>0</v>
      </c>
      <c r="Z1954" s="52" t="n">
        <v>0</v>
      </c>
      <c r="AA1954" s="52" t="n">
        <v>0</v>
      </c>
      <c r="AB1954" s="53" t="n">
        <v>0</v>
      </c>
      <c r="AC1954" s="52" t="n">
        <v>0</v>
      </c>
      <c r="AD1954" s="53" t="n">
        <v>0</v>
      </c>
      <c r="AE1954" s="52" t="n">
        <v>0</v>
      </c>
      <c r="AF1954" s="51" t="n">
        <v>0</v>
      </c>
      <c r="AG1954" s="48" t="n">
        <v>0</v>
      </c>
      <c r="AH1954" s="49" t="n">
        <v>0</v>
      </c>
      <c r="AI1954" s="49" t="n">
        <v>0</v>
      </c>
      <c r="AJ1954" s="50" t="n">
        <v>0</v>
      </c>
      <c r="AK1954" s="51" t="n">
        <v>0</v>
      </c>
      <c r="AL1954" s="52" t="n">
        <v>0</v>
      </c>
      <c r="AM1954" s="52" t="n">
        <v>0</v>
      </c>
      <c r="AN1954" s="52" t="n">
        <v>0</v>
      </c>
      <c r="AO1954" s="53" t="n">
        <v>0</v>
      </c>
      <c r="AP1954" s="52" t="n">
        <v>0</v>
      </c>
      <c r="AQ1954" s="53" t="n">
        <v>0</v>
      </c>
      <c r="AR1954" s="52" t="n">
        <v>0</v>
      </c>
      <c r="AS1954" s="51" t="n">
        <v>0</v>
      </c>
      <c r="AT1954" s="48" t="n">
        <v>0</v>
      </c>
      <c r="AU1954" s="49" t="n">
        <v>0</v>
      </c>
      <c r="AV1954" s="49" t="n">
        <v>0</v>
      </c>
      <c r="AW1954" s="50" t="n">
        <v>0</v>
      </c>
      <c r="AX1954" s="51" t="n">
        <v>0</v>
      </c>
      <c r="AY1954" s="52" t="n">
        <v>0</v>
      </c>
      <c r="AZ1954" s="52" t="n">
        <v>0</v>
      </c>
      <c r="BA1954" s="52" t="n">
        <v>0</v>
      </c>
      <c r="BB1954" s="53" t="n">
        <v>0</v>
      </c>
      <c r="BC1954" s="52" t="n">
        <v>0</v>
      </c>
      <c r="BD1954" s="53" t="n">
        <v>0</v>
      </c>
      <c r="BE1954" s="52" t="n">
        <v>0</v>
      </c>
      <c r="BF1954" s="51" t="n">
        <v>0</v>
      </c>
    </row>
    <row r="1955">
      <c r="A1955">
        <f>HYPERLINK("https://www.walmart.com/ip/284382176", "284382176")</f>
        <v/>
      </c>
      <c r="B1955" t="inlineStr">
        <is>
          <t>Tirrinia Insulated Wine Carrier Tote - Travel Padded 2 Bottle Wine/ Champagne Cooler Bag with Handle and Adjustable Shoulder Strap, Great Wine Lover Gift, Purple, 8.2" x 4.6" x 13".</t>
        </is>
      </c>
      <c r="C1955" t="inlineStr">
        <is>
          <t>1TRWB211PP</t>
        </is>
      </c>
      <c r="D1955" t="inlineStr">
        <is>
          <t>Wine Totes, Bags &amp; Backpacks</t>
        </is>
      </c>
      <c r="E1955" t="inlineStr">
        <is>
          <t>Tirrinia</t>
        </is>
      </c>
      <c r="F1955" t="inlineStr">
        <is>
          <t>Wine,Christmas,Valentine,Lily Brand Camp</t>
        </is>
      </c>
      <c r="G1955" s="48" t="n">
        <v>0</v>
      </c>
      <c r="H1955" s="49" t="n">
        <v>0</v>
      </c>
      <c r="I1955" s="49" t="n">
        <v>0</v>
      </c>
      <c r="J1955" s="50" t="n">
        <v>0</v>
      </c>
      <c r="K1955" s="51" t="n">
        <v>0</v>
      </c>
      <c r="L1955" s="52" t="n">
        <v>0</v>
      </c>
      <c r="M1955" s="52" t="n">
        <v>0</v>
      </c>
      <c r="N1955" s="52" t="n">
        <v>0</v>
      </c>
      <c r="O1955" s="53" t="n">
        <v>0</v>
      </c>
      <c r="P1955" s="52" t="n">
        <v>0</v>
      </c>
      <c r="Q1955" s="53" t="n">
        <v>0</v>
      </c>
      <c r="R1955" s="52" t="n">
        <v>0</v>
      </c>
      <c r="S1955" s="51" t="n">
        <v>0</v>
      </c>
      <c r="T1955" s="48" t="n">
        <v>0</v>
      </c>
      <c r="U1955" s="49" t="n">
        <v>0</v>
      </c>
      <c r="V1955" s="49" t="n">
        <v>0</v>
      </c>
      <c r="W1955" s="50" t="n">
        <v>0</v>
      </c>
      <c r="X1955" s="51" t="n">
        <v>0</v>
      </c>
      <c r="Y1955" s="52" t="n">
        <v>0</v>
      </c>
      <c r="Z1955" s="52" t="n">
        <v>0</v>
      </c>
      <c r="AA1955" s="52" t="n">
        <v>0</v>
      </c>
      <c r="AB1955" s="53" t="n">
        <v>0</v>
      </c>
      <c r="AC1955" s="52" t="n">
        <v>0</v>
      </c>
      <c r="AD1955" s="53" t="n">
        <v>0</v>
      </c>
      <c r="AE1955" s="52" t="n">
        <v>0</v>
      </c>
      <c r="AF1955" s="51" t="n">
        <v>0</v>
      </c>
      <c r="AG1955" s="48" t="n">
        <v>0</v>
      </c>
      <c r="AH1955" s="49" t="n">
        <v>0</v>
      </c>
      <c r="AI1955" s="49" t="n">
        <v>0</v>
      </c>
      <c r="AJ1955" s="50" t="n">
        <v>0</v>
      </c>
      <c r="AK1955" s="51" t="n">
        <v>0</v>
      </c>
      <c r="AL1955" s="52" t="n">
        <v>0</v>
      </c>
      <c r="AM1955" s="52" t="n">
        <v>0</v>
      </c>
      <c r="AN1955" s="52" t="n">
        <v>0</v>
      </c>
      <c r="AO1955" s="53" t="n">
        <v>0</v>
      </c>
      <c r="AP1955" s="52" t="n">
        <v>0</v>
      </c>
      <c r="AQ1955" s="53" t="n">
        <v>0</v>
      </c>
      <c r="AR1955" s="52" t="n">
        <v>0</v>
      </c>
      <c r="AS1955" s="51" t="n">
        <v>0</v>
      </c>
      <c r="AT1955" s="48" t="n">
        <v>0</v>
      </c>
      <c r="AU1955" s="49" t="n">
        <v>0</v>
      </c>
      <c r="AV1955" s="49" t="n">
        <v>0</v>
      </c>
      <c r="AW1955" s="50" t="n">
        <v>0</v>
      </c>
      <c r="AX1955" s="51" t="n">
        <v>0</v>
      </c>
      <c r="AY1955" s="52" t="n">
        <v>0</v>
      </c>
      <c r="AZ1955" s="52" t="n">
        <v>0</v>
      </c>
      <c r="BA1955" s="52" t="n">
        <v>0</v>
      </c>
      <c r="BB1955" s="53" t="n">
        <v>0</v>
      </c>
      <c r="BC1955" s="52" t="n">
        <v>0</v>
      </c>
      <c r="BD1955" s="53" t="n">
        <v>0</v>
      </c>
      <c r="BE1955" s="52" t="n">
        <v>0</v>
      </c>
      <c r="BF1955" s="51" t="n">
        <v>0</v>
      </c>
    </row>
    <row r="1956">
      <c r="A1956">
        <f>HYPERLINK("https://www.walmart.com/ip/284634319", "284634319")</f>
        <v/>
      </c>
      <c r="B1956" t="inlineStr">
        <is>
          <t>Mermaid Tail Blanket Super Soft Fleece Sleeping Bag Mermaid Blanket Tail with Pillow/Cusion Gift for Kids Girls 3-12</t>
        </is>
      </c>
      <c r="C1956" t="inlineStr">
        <is>
          <t>1TRMP100GN-TBCB</t>
        </is>
      </c>
      <c r="D1956" t="inlineStr">
        <is>
          <t>Throws</t>
        </is>
      </c>
      <c r="E1956" t="inlineStr">
        <is>
          <t>Tirrinia</t>
        </is>
      </c>
      <c r="G1956" s="48" t="n">
        <v>0</v>
      </c>
      <c r="H1956" s="49" t="n">
        <v>0</v>
      </c>
      <c r="I1956" s="49" t="n">
        <v>0</v>
      </c>
      <c r="J1956" s="50" t="n">
        <v>0</v>
      </c>
      <c r="K1956" s="51" t="n">
        <v>0</v>
      </c>
      <c r="L1956" s="52" t="n">
        <v>0</v>
      </c>
      <c r="M1956" s="52" t="n">
        <v>0</v>
      </c>
      <c r="N1956" s="52" t="n">
        <v>0</v>
      </c>
      <c r="O1956" s="53" t="n">
        <v>0</v>
      </c>
      <c r="P1956" s="52" t="n">
        <v>0</v>
      </c>
      <c r="Q1956" s="53" t="n">
        <v>0</v>
      </c>
      <c r="R1956" s="52" t="n">
        <v>0</v>
      </c>
      <c r="S1956" s="51" t="n">
        <v>0</v>
      </c>
      <c r="T1956" s="48" t="n">
        <v>0</v>
      </c>
      <c r="U1956" s="49" t="n">
        <v>0</v>
      </c>
      <c r="V1956" s="49" t="n">
        <v>0</v>
      </c>
      <c r="W1956" s="50" t="n">
        <v>0</v>
      </c>
      <c r="X1956" s="51" t="n">
        <v>0</v>
      </c>
      <c r="Y1956" s="52" t="n">
        <v>0</v>
      </c>
      <c r="Z1956" s="52" t="n">
        <v>0</v>
      </c>
      <c r="AA1956" s="52" t="n">
        <v>0</v>
      </c>
      <c r="AB1956" s="53" t="n">
        <v>0</v>
      </c>
      <c r="AC1956" s="52" t="n">
        <v>0</v>
      </c>
      <c r="AD1956" s="53" t="n">
        <v>0</v>
      </c>
      <c r="AE1956" s="52" t="n">
        <v>0</v>
      </c>
      <c r="AF1956" s="51" t="n">
        <v>0</v>
      </c>
      <c r="AG1956" s="48" t="n">
        <v>0</v>
      </c>
      <c r="AH1956" s="49" t="n">
        <v>0</v>
      </c>
      <c r="AI1956" s="49" t="n">
        <v>0</v>
      </c>
      <c r="AJ1956" s="50" t="n">
        <v>0</v>
      </c>
      <c r="AK1956" s="51" t="n">
        <v>0</v>
      </c>
      <c r="AL1956" s="52" t="n">
        <v>0</v>
      </c>
      <c r="AM1956" s="52" t="n">
        <v>0</v>
      </c>
      <c r="AN1956" s="52" t="n">
        <v>0</v>
      </c>
      <c r="AO1956" s="53" t="n">
        <v>0</v>
      </c>
      <c r="AP1956" s="52" t="n">
        <v>0</v>
      </c>
      <c r="AQ1956" s="53" t="n">
        <v>0</v>
      </c>
      <c r="AR1956" s="52" t="n">
        <v>0</v>
      </c>
      <c r="AS1956" s="51" t="n">
        <v>0</v>
      </c>
      <c r="AT1956" s="48" t="n">
        <v>0</v>
      </c>
      <c r="AU1956" s="49" t="n">
        <v>0</v>
      </c>
      <c r="AV1956" s="49" t="n">
        <v>0</v>
      </c>
      <c r="AW1956" s="50" t="n">
        <v>0</v>
      </c>
      <c r="AX1956" s="51" t="n">
        <v>0</v>
      </c>
      <c r="AY1956" s="52" t="n">
        <v>0</v>
      </c>
      <c r="AZ1956" s="52" t="n">
        <v>0</v>
      </c>
      <c r="BA1956" s="52" t="n">
        <v>0</v>
      </c>
      <c r="BB1956" s="53" t="n">
        <v>0</v>
      </c>
      <c r="BC1956" s="52" t="n">
        <v>0</v>
      </c>
      <c r="BD1956" s="53" t="n">
        <v>0</v>
      </c>
      <c r="BE1956" s="52" t="n">
        <v>0</v>
      </c>
      <c r="BF1956" s="51" t="n">
        <v>0</v>
      </c>
    </row>
    <row r="1957">
      <c r="A1957">
        <f>HYPERLINK("https://www.walmart.com/ip/286137678", "286137678")</f>
        <v/>
      </c>
      <c r="B1957" t="inlineStr">
        <is>
          <t>Catalonia King Size Sherpa Comforter Set, Ultra-soft Reversible Fluffy Micromink Bedding Set-3 Pieces, 1 Comforter and 2 Pillow Shams, 90x103 inches</t>
        </is>
      </c>
      <c r="C1957" t="inlineStr">
        <is>
          <t>1CTBQ300KI-PGY</t>
        </is>
      </c>
      <c r="D1957" t="inlineStr">
        <is>
          <t>Bedding Sets</t>
        </is>
      </c>
      <c r="E1957" t="inlineStr">
        <is>
          <t>Catalonia</t>
        </is>
      </c>
      <c r="F1957" t="inlineStr">
        <is>
          <t>WFS,Coupon_Discount,WFS Item</t>
        </is>
      </c>
      <c r="G1957" s="48" t="n">
        <v>0</v>
      </c>
      <c r="H1957" s="49" t="n">
        <v>0</v>
      </c>
      <c r="I1957" s="49" t="n">
        <v>0</v>
      </c>
      <c r="J1957" s="50" t="n">
        <v>0</v>
      </c>
      <c r="K1957" s="51" t="n">
        <v>0</v>
      </c>
      <c r="L1957" s="52" t="n">
        <v>0</v>
      </c>
      <c r="M1957" s="52" t="n">
        <v>0</v>
      </c>
      <c r="N1957" s="52" t="n">
        <v>0</v>
      </c>
      <c r="O1957" s="53" t="n">
        <v>0</v>
      </c>
      <c r="P1957" s="52" t="n">
        <v>0</v>
      </c>
      <c r="Q1957" s="53" t="n">
        <v>0</v>
      </c>
      <c r="R1957" s="52" t="n">
        <v>0</v>
      </c>
      <c r="S1957" s="51" t="n">
        <v>0</v>
      </c>
      <c r="T1957" s="48" t="n">
        <v>0</v>
      </c>
      <c r="U1957" s="49" t="n">
        <v>0</v>
      </c>
      <c r="V1957" s="49" t="n">
        <v>0</v>
      </c>
      <c r="W1957" s="50" t="n">
        <v>0</v>
      </c>
      <c r="X1957" s="51" t="n">
        <v>0</v>
      </c>
      <c r="Y1957" s="52" t="n">
        <v>0</v>
      </c>
      <c r="Z1957" s="52" t="n">
        <v>0</v>
      </c>
      <c r="AA1957" s="52" t="n">
        <v>0</v>
      </c>
      <c r="AB1957" s="53" t="n">
        <v>0</v>
      </c>
      <c r="AC1957" s="52" t="n">
        <v>0</v>
      </c>
      <c r="AD1957" s="53" t="n">
        <v>0</v>
      </c>
      <c r="AE1957" s="52" t="n">
        <v>0</v>
      </c>
      <c r="AF1957" s="51" t="n">
        <v>0</v>
      </c>
      <c r="AG1957" s="48" t="n">
        <v>0</v>
      </c>
      <c r="AH1957" s="49" t="n">
        <v>0</v>
      </c>
      <c r="AI1957" s="49" t="n">
        <v>0</v>
      </c>
      <c r="AJ1957" s="50" t="n">
        <v>0</v>
      </c>
      <c r="AK1957" s="51" t="n">
        <v>0</v>
      </c>
      <c r="AL1957" s="52" t="n">
        <v>0</v>
      </c>
      <c r="AM1957" s="52" t="n">
        <v>0</v>
      </c>
      <c r="AN1957" s="52" t="n">
        <v>0</v>
      </c>
      <c r="AO1957" s="53" t="n">
        <v>0</v>
      </c>
      <c r="AP1957" s="52" t="n">
        <v>0</v>
      </c>
      <c r="AQ1957" s="53" t="n">
        <v>0</v>
      </c>
      <c r="AR1957" s="52" t="n">
        <v>0</v>
      </c>
      <c r="AS1957" s="51" t="n">
        <v>0</v>
      </c>
      <c r="AT1957" s="48" t="n">
        <v>0</v>
      </c>
      <c r="AU1957" s="49" t="n">
        <v>0</v>
      </c>
      <c r="AV1957" s="49" t="n">
        <v>0</v>
      </c>
      <c r="AW1957" s="50" t="n">
        <v>0</v>
      </c>
      <c r="AX1957" s="51" t="n">
        <v>0</v>
      </c>
      <c r="AY1957" s="52" t="n">
        <v>0</v>
      </c>
      <c r="AZ1957" s="52" t="n">
        <v>0</v>
      </c>
      <c r="BA1957" s="52" t="n">
        <v>0</v>
      </c>
      <c r="BB1957" s="53" t="n">
        <v>0</v>
      </c>
      <c r="BC1957" s="52" t="n">
        <v>0</v>
      </c>
      <c r="BD1957" s="53" t="n">
        <v>0</v>
      </c>
      <c r="BE1957" s="52" t="n">
        <v>0</v>
      </c>
      <c r="BF1957" s="51" t="n">
        <v>0</v>
      </c>
    </row>
    <row r="1958">
      <c r="A1958">
        <f>HYPERLINK("https://www.walmart.com/ip/286141891", "286141891")</f>
        <v/>
      </c>
      <c r="B1958" t="inlineStr">
        <is>
          <t>Catalonia Bedding Quilt Set,Lightweight Bedspread for Summer and Spring, Bedding Coverlet - Quilt and Pillow Shams, Queen, Grey/White</t>
        </is>
      </c>
      <c r="C1958" t="inlineStr">
        <is>
          <t>1CTBQ202QF-GYWT</t>
        </is>
      </c>
      <c r="D1958" t="inlineStr">
        <is>
          <t>Bedding Sets</t>
        </is>
      </c>
      <c r="E1958" t="inlineStr">
        <is>
          <t>Catalonia</t>
        </is>
      </c>
      <c r="F1958" t="inlineStr">
        <is>
          <t>Optimized,SEM,Quilt_Vinay</t>
        </is>
      </c>
      <c r="G1958" s="48" t="n">
        <v>0</v>
      </c>
      <c r="H1958" s="49" t="n">
        <v>0</v>
      </c>
      <c r="I1958" s="49" t="n">
        <v>0</v>
      </c>
      <c r="J1958" s="50" t="n">
        <v>0</v>
      </c>
      <c r="K1958" s="51" t="n">
        <v>0</v>
      </c>
      <c r="L1958" s="52" t="n">
        <v>0</v>
      </c>
      <c r="M1958" s="52" t="n">
        <v>0</v>
      </c>
      <c r="N1958" s="52" t="n">
        <v>0</v>
      </c>
      <c r="O1958" s="53" t="n">
        <v>0</v>
      </c>
      <c r="P1958" s="52" t="n">
        <v>0</v>
      </c>
      <c r="Q1958" s="53" t="n">
        <v>0</v>
      </c>
      <c r="R1958" s="52" t="n">
        <v>0</v>
      </c>
      <c r="S1958" s="51" t="n">
        <v>0</v>
      </c>
      <c r="T1958" s="48" t="n">
        <v>0</v>
      </c>
      <c r="U1958" s="49" t="n">
        <v>0</v>
      </c>
      <c r="V1958" s="49" t="n">
        <v>0</v>
      </c>
      <c r="W1958" s="50" t="n">
        <v>0</v>
      </c>
      <c r="X1958" s="51" t="n">
        <v>0</v>
      </c>
      <c r="Y1958" s="52" t="n">
        <v>0</v>
      </c>
      <c r="Z1958" s="52" t="n">
        <v>0</v>
      </c>
      <c r="AA1958" s="52" t="n">
        <v>0</v>
      </c>
      <c r="AB1958" s="53" t="n">
        <v>0</v>
      </c>
      <c r="AC1958" s="52" t="n">
        <v>0</v>
      </c>
      <c r="AD1958" s="53" t="n">
        <v>0</v>
      </c>
      <c r="AE1958" s="52" t="n">
        <v>0</v>
      </c>
      <c r="AF1958" s="51" t="n">
        <v>0</v>
      </c>
      <c r="AG1958" s="48" t="n">
        <v>0</v>
      </c>
      <c r="AH1958" s="49" t="n">
        <v>0</v>
      </c>
      <c r="AI1958" s="49" t="n">
        <v>0</v>
      </c>
      <c r="AJ1958" s="50" t="n">
        <v>0</v>
      </c>
      <c r="AK1958" s="51" t="n">
        <v>0</v>
      </c>
      <c r="AL1958" s="52" t="n">
        <v>0</v>
      </c>
      <c r="AM1958" s="52" t="n">
        <v>0</v>
      </c>
      <c r="AN1958" s="52" t="n">
        <v>0</v>
      </c>
      <c r="AO1958" s="53" t="n">
        <v>0</v>
      </c>
      <c r="AP1958" s="52" t="n">
        <v>0</v>
      </c>
      <c r="AQ1958" s="53" t="n">
        <v>0</v>
      </c>
      <c r="AR1958" s="52" t="n">
        <v>0</v>
      </c>
      <c r="AS1958" s="51" t="n">
        <v>0</v>
      </c>
      <c r="AT1958" s="48" t="n">
        <v>0</v>
      </c>
      <c r="AU1958" s="49" t="n">
        <v>0</v>
      </c>
      <c r="AV1958" s="49" t="n">
        <v>0</v>
      </c>
      <c r="AW1958" s="50" t="n">
        <v>0</v>
      </c>
      <c r="AX1958" s="51" t="n">
        <v>0</v>
      </c>
      <c r="AY1958" s="52" t="n">
        <v>0</v>
      </c>
      <c r="AZ1958" s="52" t="n">
        <v>0</v>
      </c>
      <c r="BA1958" s="52" t="n">
        <v>0</v>
      </c>
      <c r="BB1958" s="53" t="n">
        <v>0</v>
      </c>
      <c r="BC1958" s="52" t="n">
        <v>0</v>
      </c>
      <c r="BD1958" s="53" t="n">
        <v>0</v>
      </c>
      <c r="BE1958" s="52" t="n">
        <v>0</v>
      </c>
      <c r="BF1958" s="51" t="n">
        <v>0</v>
      </c>
    </row>
    <row r="1959">
      <c r="A1959">
        <f>HYPERLINK("https://www.walmart.com/ip/2862247435", "2862247435")</f>
        <v/>
      </c>
      <c r="B1959" t="inlineStr">
        <is>
          <t>Dickies Insulated Lunch Bag Satchel for Girls School and Work, Thermal Reusable Office Lunch Box for Women (Charcoal)</t>
        </is>
      </c>
      <c r="C1959" t="inlineStr">
        <is>
          <t>DK-LUNCH-SATCHEL-RETROYELLOW</t>
        </is>
      </c>
      <c r="D1959" t="inlineStr">
        <is>
          <t>Reusable Lunch Bags &amp; Boxes</t>
        </is>
      </c>
      <c r="E1959" t="inlineStr">
        <is>
          <t>Dickies</t>
        </is>
      </c>
      <c r="G1959" s="48" t="n">
        <v>0</v>
      </c>
      <c r="H1959" s="49" t="n">
        <v>0</v>
      </c>
      <c r="I1959" s="49" t="n">
        <v>0</v>
      </c>
      <c r="J1959" s="50" t="n">
        <v>0</v>
      </c>
      <c r="K1959" s="51" t="n">
        <v>0</v>
      </c>
      <c r="L1959" s="52" t="n">
        <v>0</v>
      </c>
      <c r="M1959" s="52" t="n">
        <v>0</v>
      </c>
      <c r="N1959" s="52" t="n">
        <v>0</v>
      </c>
      <c r="O1959" s="53" t="n">
        <v>0</v>
      </c>
      <c r="P1959" s="52" t="n">
        <v>0</v>
      </c>
      <c r="Q1959" s="53" t="n">
        <v>0</v>
      </c>
      <c r="R1959" s="52" t="n">
        <v>0</v>
      </c>
      <c r="S1959" s="51" t="n">
        <v>0</v>
      </c>
      <c r="T1959" s="48" t="n">
        <v>0</v>
      </c>
      <c r="U1959" s="49" t="n">
        <v>0</v>
      </c>
      <c r="V1959" s="49" t="n">
        <v>0</v>
      </c>
      <c r="W1959" s="50" t="n">
        <v>0</v>
      </c>
      <c r="X1959" s="51" t="n">
        <v>0</v>
      </c>
      <c r="Y1959" s="52" t="n">
        <v>0</v>
      </c>
      <c r="Z1959" s="52" t="n">
        <v>0</v>
      </c>
      <c r="AA1959" s="52" t="n">
        <v>0</v>
      </c>
      <c r="AB1959" s="53" t="n">
        <v>0</v>
      </c>
      <c r="AC1959" s="52" t="n">
        <v>0</v>
      </c>
      <c r="AD1959" s="53" t="n">
        <v>0</v>
      </c>
      <c r="AE1959" s="52" t="n">
        <v>0</v>
      </c>
      <c r="AF1959" s="51" t="n">
        <v>0</v>
      </c>
      <c r="AG1959" s="48" t="n">
        <v>0</v>
      </c>
      <c r="AH1959" s="49" t="n">
        <v>0</v>
      </c>
      <c r="AI1959" s="49" t="n">
        <v>0</v>
      </c>
      <c r="AJ1959" s="50" t="n">
        <v>0</v>
      </c>
      <c r="AK1959" s="51" t="n">
        <v>0</v>
      </c>
      <c r="AL1959" s="52" t="n">
        <v>0</v>
      </c>
      <c r="AM1959" s="52" t="n">
        <v>0</v>
      </c>
      <c r="AN1959" s="52" t="n">
        <v>0</v>
      </c>
      <c r="AO1959" s="53" t="n">
        <v>0</v>
      </c>
      <c r="AP1959" s="52" t="n">
        <v>0</v>
      </c>
      <c r="AQ1959" s="53" t="n">
        <v>0</v>
      </c>
      <c r="AR1959" s="52" t="n">
        <v>0</v>
      </c>
      <c r="AS1959" s="51" t="n">
        <v>0</v>
      </c>
      <c r="AT1959" s="48" t="n">
        <v>0</v>
      </c>
      <c r="AU1959" s="49" t="n">
        <v>0</v>
      </c>
      <c r="AV1959" s="49" t="n">
        <v>0</v>
      </c>
      <c r="AW1959" s="50" t="n">
        <v>0</v>
      </c>
      <c r="AX1959" s="51" t="n">
        <v>0</v>
      </c>
      <c r="AY1959" s="52" t="n">
        <v>0</v>
      </c>
      <c r="AZ1959" s="52" t="n">
        <v>0</v>
      </c>
      <c r="BA1959" s="52" t="n">
        <v>0</v>
      </c>
      <c r="BB1959" s="53" t="n">
        <v>0</v>
      </c>
      <c r="BC1959" s="52" t="n">
        <v>0</v>
      </c>
      <c r="BD1959" s="53" t="n">
        <v>0</v>
      </c>
      <c r="BE1959" s="52" t="n">
        <v>0</v>
      </c>
      <c r="BF1959" s="51" t="n">
        <v>0</v>
      </c>
    </row>
    <row r="1960">
      <c r="A1960">
        <f>HYPERLINK("https://www.walmart.com/ip/287921200", "287921200")</f>
        <v/>
      </c>
      <c r="B1960" t="inlineStr">
        <is>
          <t>Tirrinia Sherpa Fleece Throw Blanket, Ultra-Soft, Dual-Sided Sherpa and Mink, Grey, 50'' x 60''</t>
        </is>
      </c>
      <c r="C1960" t="inlineStr">
        <is>
          <t>1TNBF300GY-TPB</t>
        </is>
      </c>
      <c r="D1960" t="inlineStr">
        <is>
          <t>Throws</t>
        </is>
      </c>
      <c r="E1960" t="inlineStr">
        <is>
          <t>Tirrinia</t>
        </is>
      </c>
      <c r="F1960" t="inlineStr">
        <is>
          <t>Optimized,WFS,WFS Item</t>
        </is>
      </c>
      <c r="G1960" s="48" t="n">
        <v>0</v>
      </c>
      <c r="H1960" s="49" t="n">
        <v>0</v>
      </c>
      <c r="I1960" s="49" t="n">
        <v>0</v>
      </c>
      <c r="J1960" s="50" t="n">
        <v>0</v>
      </c>
      <c r="K1960" s="51" t="n">
        <v>0</v>
      </c>
      <c r="L1960" s="52" t="n">
        <v>0</v>
      </c>
      <c r="M1960" s="52" t="n">
        <v>0</v>
      </c>
      <c r="N1960" s="52" t="n">
        <v>0</v>
      </c>
      <c r="O1960" s="53" t="n">
        <v>0</v>
      </c>
      <c r="P1960" s="52" t="n">
        <v>0</v>
      </c>
      <c r="Q1960" s="53" t="n">
        <v>0</v>
      </c>
      <c r="R1960" s="52" t="n">
        <v>0</v>
      </c>
      <c r="S1960" s="51" t="n">
        <v>0</v>
      </c>
      <c r="T1960" s="48" t="n">
        <v>0</v>
      </c>
      <c r="U1960" s="49" t="n">
        <v>0</v>
      </c>
      <c r="V1960" s="49" t="n">
        <v>0</v>
      </c>
      <c r="W1960" s="50" t="n">
        <v>0</v>
      </c>
      <c r="X1960" s="51" t="n">
        <v>0</v>
      </c>
      <c r="Y1960" s="52" t="n">
        <v>0</v>
      </c>
      <c r="Z1960" s="52" t="n">
        <v>0</v>
      </c>
      <c r="AA1960" s="52" t="n">
        <v>0</v>
      </c>
      <c r="AB1960" s="53" t="n">
        <v>0</v>
      </c>
      <c r="AC1960" s="52" t="n">
        <v>0</v>
      </c>
      <c r="AD1960" s="53" t="n">
        <v>0</v>
      </c>
      <c r="AE1960" s="52" t="n">
        <v>0</v>
      </c>
      <c r="AF1960" s="51" t="n">
        <v>0</v>
      </c>
      <c r="AG1960" s="48" t="n">
        <v>0</v>
      </c>
      <c r="AH1960" s="49" t="n">
        <v>0</v>
      </c>
      <c r="AI1960" s="49" t="n">
        <v>0</v>
      </c>
      <c r="AJ1960" s="50" t="n">
        <v>0</v>
      </c>
      <c r="AK1960" s="51" t="n">
        <v>0</v>
      </c>
      <c r="AL1960" s="52" t="n">
        <v>0</v>
      </c>
      <c r="AM1960" s="52" t="n">
        <v>0</v>
      </c>
      <c r="AN1960" s="52" t="n">
        <v>0</v>
      </c>
      <c r="AO1960" s="53" t="n">
        <v>0</v>
      </c>
      <c r="AP1960" s="52" t="n">
        <v>0</v>
      </c>
      <c r="AQ1960" s="53" t="n">
        <v>0</v>
      </c>
      <c r="AR1960" s="52" t="n">
        <v>0</v>
      </c>
      <c r="AS1960" s="51" t="n">
        <v>0</v>
      </c>
      <c r="AT1960" s="48" t="n">
        <v>0</v>
      </c>
      <c r="AU1960" s="49" t="n">
        <v>0</v>
      </c>
      <c r="AV1960" s="49" t="n">
        <v>0</v>
      </c>
      <c r="AW1960" s="50" t="n">
        <v>0</v>
      </c>
      <c r="AX1960" s="51" t="n">
        <v>0</v>
      </c>
      <c r="AY1960" s="52" t="n">
        <v>0</v>
      </c>
      <c r="AZ1960" s="52" t="n">
        <v>0</v>
      </c>
      <c r="BA1960" s="52" t="n">
        <v>0</v>
      </c>
      <c r="BB1960" s="53" t="n">
        <v>0</v>
      </c>
      <c r="BC1960" s="52" t="n">
        <v>0</v>
      </c>
      <c r="BD1960" s="53" t="n">
        <v>0</v>
      </c>
      <c r="BE1960" s="52" t="n">
        <v>0</v>
      </c>
      <c r="BF1960" s="51" t="n">
        <v>0</v>
      </c>
    </row>
    <row r="1961">
      <c r="A1961">
        <f>HYPERLINK("https://www.walmart.com/ip/289042027", "289042027")</f>
        <v/>
      </c>
      <c r="B1961" t="inlineStr">
        <is>
          <t>Flyingstar Waterproof Blanket, Picnic Blanket with Sherpa Lining, Windproof Triple Layers Warm Comfy Foldable Blanket for Camping, Stadium, Sports, Grass, Concerts, and Pets, Red Plaid, 51'' x 59''</t>
        </is>
      </c>
      <c r="C1961" t="inlineStr">
        <is>
          <t>1WMBW506PRD</t>
        </is>
      </c>
      <c r="D1961" t="inlineStr">
        <is>
          <t>Picnic Blankets &amp; Mats</t>
        </is>
      </c>
      <c r="E1961" t="inlineStr">
        <is>
          <t>Flyingstar</t>
        </is>
      </c>
      <c r="F1961" t="inlineStr">
        <is>
          <t>Q2-Target,Batch 1 - TR</t>
        </is>
      </c>
      <c r="G1961" s="48" t="n">
        <v>0</v>
      </c>
      <c r="H1961" s="49" t="n">
        <v>0</v>
      </c>
      <c r="I1961" s="49" t="n">
        <v>0</v>
      </c>
      <c r="J1961" s="50" t="n">
        <v>0</v>
      </c>
      <c r="K1961" s="51" t="n">
        <v>0</v>
      </c>
      <c r="L1961" s="52" t="n">
        <v>0</v>
      </c>
      <c r="M1961" s="52" t="n">
        <v>0</v>
      </c>
      <c r="N1961" s="52" t="n">
        <v>0</v>
      </c>
      <c r="O1961" s="53" t="n">
        <v>0</v>
      </c>
      <c r="P1961" s="52" t="n">
        <v>0</v>
      </c>
      <c r="Q1961" s="53" t="n">
        <v>0</v>
      </c>
      <c r="R1961" s="52" t="n">
        <v>0</v>
      </c>
      <c r="S1961" s="51" t="n">
        <v>0</v>
      </c>
      <c r="T1961" s="48" t="n">
        <v>0</v>
      </c>
      <c r="U1961" s="49" t="n">
        <v>0</v>
      </c>
      <c r="V1961" s="49" t="n">
        <v>0</v>
      </c>
      <c r="W1961" s="50" t="n">
        <v>0</v>
      </c>
      <c r="X1961" s="51" t="n">
        <v>0</v>
      </c>
      <c r="Y1961" s="52" t="n">
        <v>0</v>
      </c>
      <c r="Z1961" s="52" t="n">
        <v>0</v>
      </c>
      <c r="AA1961" s="52" t="n">
        <v>0</v>
      </c>
      <c r="AB1961" s="53" t="n">
        <v>0</v>
      </c>
      <c r="AC1961" s="52" t="n">
        <v>0</v>
      </c>
      <c r="AD1961" s="53" t="n">
        <v>0</v>
      </c>
      <c r="AE1961" s="52" t="n">
        <v>0</v>
      </c>
      <c r="AF1961" s="51" t="n">
        <v>0</v>
      </c>
      <c r="AG1961" s="48" t="n">
        <v>0</v>
      </c>
      <c r="AH1961" s="49" t="n">
        <v>0</v>
      </c>
      <c r="AI1961" s="49" t="n">
        <v>0</v>
      </c>
      <c r="AJ1961" s="50" t="n">
        <v>0</v>
      </c>
      <c r="AK1961" s="51" t="n">
        <v>0</v>
      </c>
      <c r="AL1961" s="52" t="n">
        <v>0</v>
      </c>
      <c r="AM1961" s="52" t="n">
        <v>0</v>
      </c>
      <c r="AN1961" s="52" t="n">
        <v>0</v>
      </c>
      <c r="AO1961" s="53" t="n">
        <v>0</v>
      </c>
      <c r="AP1961" s="52" t="n">
        <v>0</v>
      </c>
      <c r="AQ1961" s="53" t="n">
        <v>0</v>
      </c>
      <c r="AR1961" s="52" t="n">
        <v>0</v>
      </c>
      <c r="AS1961" s="51" t="n">
        <v>0</v>
      </c>
      <c r="AT1961" s="48" t="n">
        <v>0</v>
      </c>
      <c r="AU1961" s="49" t="n">
        <v>0</v>
      </c>
      <c r="AV1961" s="49" t="n">
        <v>0</v>
      </c>
      <c r="AW1961" s="50" t="n">
        <v>0</v>
      </c>
      <c r="AX1961" s="51" t="n">
        <v>0</v>
      </c>
      <c r="AY1961" s="52" t="n">
        <v>0</v>
      </c>
      <c r="AZ1961" s="52" t="n">
        <v>0</v>
      </c>
      <c r="BA1961" s="52" t="n">
        <v>0</v>
      </c>
      <c r="BB1961" s="53" t="n">
        <v>0</v>
      </c>
      <c r="BC1961" s="52" t="n">
        <v>0</v>
      </c>
      <c r="BD1961" s="53" t="n">
        <v>0</v>
      </c>
      <c r="BE1961" s="52" t="n">
        <v>0</v>
      </c>
      <c r="BF1961" s="51" t="n">
        <v>0</v>
      </c>
    </row>
    <row r="1962">
      <c r="A1962">
        <f>HYPERLINK("https://www.walmart.com/ip/289431388", "289431388")</f>
        <v/>
      </c>
      <c r="B1962" t="inlineStr">
        <is>
          <t>Flyingstar Sherpa Throws Blanket, Fleece Soft Cozy Blanket Throws for Sofa Bed 50"x60"</t>
        </is>
      </c>
      <c r="C1962" t="inlineStr">
        <is>
          <t>1WMBF573HPSOLE</t>
        </is>
      </c>
      <c r="D1962" t="inlineStr">
        <is>
          <t>Throws</t>
        </is>
      </c>
      <c r="E1962" t="inlineStr">
        <is>
          <t>Flyingstar</t>
        </is>
      </c>
      <c r="F1962" t="inlineStr">
        <is>
          <t>Optimized</t>
        </is>
      </c>
      <c r="G1962" s="48" t="n">
        <v>0</v>
      </c>
      <c r="H1962" s="49" t="n">
        <v>0</v>
      </c>
      <c r="I1962" s="49" t="n">
        <v>0</v>
      </c>
      <c r="J1962" s="50" t="n">
        <v>0</v>
      </c>
      <c r="K1962" s="51" t="n">
        <v>0</v>
      </c>
      <c r="L1962" s="52" t="n">
        <v>0</v>
      </c>
      <c r="M1962" s="52" t="n">
        <v>0</v>
      </c>
      <c r="N1962" s="52" t="n">
        <v>0</v>
      </c>
      <c r="O1962" s="53" t="n">
        <v>0</v>
      </c>
      <c r="P1962" s="52" t="n">
        <v>0</v>
      </c>
      <c r="Q1962" s="53" t="n">
        <v>0</v>
      </c>
      <c r="R1962" s="52" t="n">
        <v>0</v>
      </c>
      <c r="S1962" s="51" t="n">
        <v>0</v>
      </c>
      <c r="T1962" s="48" t="n">
        <v>0</v>
      </c>
      <c r="U1962" s="49" t="n">
        <v>0</v>
      </c>
      <c r="V1962" s="49" t="n">
        <v>0</v>
      </c>
      <c r="W1962" s="50" t="n">
        <v>0</v>
      </c>
      <c r="X1962" s="51" t="n">
        <v>0</v>
      </c>
      <c r="Y1962" s="52" t="n">
        <v>0</v>
      </c>
      <c r="Z1962" s="52" t="n">
        <v>0</v>
      </c>
      <c r="AA1962" s="52" t="n">
        <v>0</v>
      </c>
      <c r="AB1962" s="53" t="n">
        <v>0</v>
      </c>
      <c r="AC1962" s="52" t="n">
        <v>0</v>
      </c>
      <c r="AD1962" s="53" t="n">
        <v>0</v>
      </c>
      <c r="AE1962" s="52" t="n">
        <v>0</v>
      </c>
      <c r="AF1962" s="51" t="n">
        <v>0</v>
      </c>
      <c r="AG1962" s="48" t="n">
        <v>0</v>
      </c>
      <c r="AH1962" s="49" t="n">
        <v>0</v>
      </c>
      <c r="AI1962" s="49" t="n">
        <v>0</v>
      </c>
      <c r="AJ1962" s="50" t="n">
        <v>0</v>
      </c>
      <c r="AK1962" s="51" t="n">
        <v>0</v>
      </c>
      <c r="AL1962" s="52" t="n">
        <v>0</v>
      </c>
      <c r="AM1962" s="52" t="n">
        <v>0</v>
      </c>
      <c r="AN1962" s="52" t="n">
        <v>0</v>
      </c>
      <c r="AO1962" s="53" t="n">
        <v>0</v>
      </c>
      <c r="AP1962" s="52" t="n">
        <v>0</v>
      </c>
      <c r="AQ1962" s="53" t="n">
        <v>0</v>
      </c>
      <c r="AR1962" s="52" t="n">
        <v>0</v>
      </c>
      <c r="AS1962" s="51" t="n">
        <v>0</v>
      </c>
      <c r="AT1962" s="48" t="n">
        <v>0</v>
      </c>
      <c r="AU1962" s="49" t="n">
        <v>0</v>
      </c>
      <c r="AV1962" s="49" t="n">
        <v>0</v>
      </c>
      <c r="AW1962" s="50" t="n">
        <v>0</v>
      </c>
      <c r="AX1962" s="51" t="n">
        <v>0</v>
      </c>
      <c r="AY1962" s="52" t="n">
        <v>0</v>
      </c>
      <c r="AZ1962" s="52" t="n">
        <v>0</v>
      </c>
      <c r="BA1962" s="52" t="n">
        <v>0</v>
      </c>
      <c r="BB1962" s="53" t="n">
        <v>0</v>
      </c>
      <c r="BC1962" s="52" t="n">
        <v>0</v>
      </c>
      <c r="BD1962" s="53" t="n">
        <v>0</v>
      </c>
      <c r="BE1962" s="52" t="n">
        <v>0</v>
      </c>
      <c r="BF1962" s="51" t="n">
        <v>0</v>
      </c>
    </row>
    <row r="1963">
      <c r="A1963">
        <f>HYPERLINK("https://www.walmart.com/ip/2895742888", "2895742888")</f>
        <v/>
      </c>
      <c r="B1963" t="inlineStr">
        <is>
          <t>Catalonia Fleece Wearable Blanket with Sleeves and Pocket, Micro Plush Warm Sleeved TV Throw Sherpa Blanket Robe for Women and Men 72”X55”, Moose Red</t>
        </is>
      </c>
      <c r="C1963" t="inlineStr">
        <is>
          <t>1CTSN110RDMOOSE</t>
        </is>
      </c>
      <c r="D1963" t="inlineStr">
        <is>
          <t>Throws</t>
        </is>
      </c>
      <c r="E1963" t="inlineStr">
        <is>
          <t>Catalonia</t>
        </is>
      </c>
      <c r="F1963" t="inlineStr">
        <is>
          <t>Q2-Target,Coupon_Discount,Batch 1 - TR</t>
        </is>
      </c>
      <c r="G1963" s="48" t="n">
        <v>0</v>
      </c>
      <c r="H1963" s="49" t="n">
        <v>0</v>
      </c>
      <c r="I1963" s="49" t="n">
        <v>0</v>
      </c>
      <c r="J1963" s="50" t="n">
        <v>0</v>
      </c>
      <c r="K1963" s="51" t="n">
        <v>0</v>
      </c>
      <c r="L1963" s="52" t="n">
        <v>0</v>
      </c>
      <c r="M1963" s="52" t="n">
        <v>0</v>
      </c>
      <c r="N1963" s="52" t="n">
        <v>0</v>
      </c>
      <c r="O1963" s="53" t="n">
        <v>0</v>
      </c>
      <c r="P1963" s="52" t="n">
        <v>0</v>
      </c>
      <c r="Q1963" s="53" t="n">
        <v>0</v>
      </c>
      <c r="R1963" s="52" t="n">
        <v>0</v>
      </c>
      <c r="S1963" s="51" t="n">
        <v>0</v>
      </c>
      <c r="T1963" s="48" t="n">
        <v>0</v>
      </c>
      <c r="U1963" s="49" t="n">
        <v>0</v>
      </c>
      <c r="V1963" s="49" t="n">
        <v>0</v>
      </c>
      <c r="W1963" s="50" t="n">
        <v>0</v>
      </c>
      <c r="X1963" s="51" t="n">
        <v>0</v>
      </c>
      <c r="Y1963" s="52" t="n">
        <v>0</v>
      </c>
      <c r="Z1963" s="52" t="n">
        <v>0</v>
      </c>
      <c r="AA1963" s="52" t="n">
        <v>0</v>
      </c>
      <c r="AB1963" s="53" t="n">
        <v>0</v>
      </c>
      <c r="AC1963" s="52" t="n">
        <v>0</v>
      </c>
      <c r="AD1963" s="53" t="n">
        <v>0</v>
      </c>
      <c r="AE1963" s="52" t="n">
        <v>0</v>
      </c>
      <c r="AF1963" s="51" t="n">
        <v>0</v>
      </c>
      <c r="AG1963" s="48" t="n">
        <v>0</v>
      </c>
      <c r="AH1963" s="49" t="n">
        <v>0</v>
      </c>
      <c r="AI1963" s="49" t="n">
        <v>0</v>
      </c>
      <c r="AJ1963" s="50" t="n">
        <v>0</v>
      </c>
      <c r="AK1963" s="51" t="n">
        <v>0</v>
      </c>
      <c r="AL1963" s="52" t="n">
        <v>0</v>
      </c>
      <c r="AM1963" s="52" t="n">
        <v>0</v>
      </c>
      <c r="AN1963" s="52" t="n">
        <v>0</v>
      </c>
      <c r="AO1963" s="53" t="n">
        <v>0</v>
      </c>
      <c r="AP1963" s="52" t="n">
        <v>0</v>
      </c>
      <c r="AQ1963" s="53" t="n">
        <v>0</v>
      </c>
      <c r="AR1963" s="52" t="n">
        <v>0</v>
      </c>
      <c r="AS1963" s="51" t="n">
        <v>0</v>
      </c>
      <c r="AT1963" s="48" t="n">
        <v>0</v>
      </c>
      <c r="AU1963" s="49" t="n">
        <v>0</v>
      </c>
      <c r="AV1963" s="49" t="n">
        <v>0</v>
      </c>
      <c r="AW1963" s="50" t="n">
        <v>0</v>
      </c>
      <c r="AX1963" s="51" t="n">
        <v>0</v>
      </c>
      <c r="AY1963" s="52" t="n">
        <v>0</v>
      </c>
      <c r="AZ1963" s="52" t="n">
        <v>0</v>
      </c>
      <c r="BA1963" s="52" t="n">
        <v>0</v>
      </c>
      <c r="BB1963" s="53" t="n">
        <v>0</v>
      </c>
      <c r="BC1963" s="52" t="n">
        <v>0</v>
      </c>
      <c r="BD1963" s="53" t="n">
        <v>0</v>
      </c>
      <c r="BE1963" s="52" t="n">
        <v>0</v>
      </c>
      <c r="BF1963" s="51" t="n">
        <v>0</v>
      </c>
    </row>
    <row r="1964">
      <c r="A1964">
        <f>HYPERLINK("https://www.walmart.com/ip/289597962", "289597962")</f>
        <v/>
      </c>
      <c r="B1964" t="inlineStr">
        <is>
          <t>Tirrinia Insulated Lunch Bag, Leakproof Thermal Bento Cooler Tote for Women and Men, Dual Compartment with Shoulder Strap, 10.2" x 7.5" x 9", Dark Gray</t>
        </is>
      </c>
      <c r="C1964" t="inlineStr">
        <is>
          <t>1TRLB601DG</t>
        </is>
      </c>
      <c r="D1964" t="inlineStr">
        <is>
          <t>Reusable Lunch Bags &amp; Boxes</t>
        </is>
      </c>
      <c r="E1964" t="inlineStr">
        <is>
          <t>Tirrinia</t>
        </is>
      </c>
      <c r="F1964" t="inlineStr">
        <is>
          <t>Q2-Target,Lunch Bag,WFS,Lunch Bags,SEM,WFS Item</t>
        </is>
      </c>
      <c r="G1964" s="48" t="n">
        <v>0</v>
      </c>
      <c r="H1964" s="49" t="n">
        <v>0</v>
      </c>
      <c r="I1964" s="49" t="n">
        <v>0</v>
      </c>
      <c r="J1964" s="50" t="n">
        <v>0</v>
      </c>
      <c r="K1964" s="51" t="n">
        <v>0</v>
      </c>
      <c r="L1964" s="52" t="n">
        <v>0</v>
      </c>
      <c r="M1964" s="52" t="n">
        <v>0</v>
      </c>
      <c r="N1964" s="52" t="n">
        <v>0</v>
      </c>
      <c r="O1964" s="53" t="n">
        <v>0</v>
      </c>
      <c r="P1964" s="52" t="n">
        <v>0</v>
      </c>
      <c r="Q1964" s="53" t="n">
        <v>0</v>
      </c>
      <c r="R1964" s="52" t="n">
        <v>0</v>
      </c>
      <c r="S1964" s="51" t="n">
        <v>0</v>
      </c>
      <c r="T1964" s="48" t="n">
        <v>0</v>
      </c>
      <c r="U1964" s="49" t="n">
        <v>0</v>
      </c>
      <c r="V1964" s="49" t="n">
        <v>0</v>
      </c>
      <c r="W1964" s="50" t="n">
        <v>0</v>
      </c>
      <c r="X1964" s="51" t="n">
        <v>0</v>
      </c>
      <c r="Y1964" s="52" t="n">
        <v>0</v>
      </c>
      <c r="Z1964" s="52" t="n">
        <v>0</v>
      </c>
      <c r="AA1964" s="52" t="n">
        <v>0</v>
      </c>
      <c r="AB1964" s="53" t="n">
        <v>0</v>
      </c>
      <c r="AC1964" s="52" t="n">
        <v>0</v>
      </c>
      <c r="AD1964" s="53" t="n">
        <v>0</v>
      </c>
      <c r="AE1964" s="52" t="n">
        <v>0</v>
      </c>
      <c r="AF1964" s="51" t="n">
        <v>0</v>
      </c>
      <c r="AG1964" s="48" t="n">
        <v>0</v>
      </c>
      <c r="AH1964" s="49" t="n">
        <v>0</v>
      </c>
      <c r="AI1964" s="49" t="n">
        <v>0</v>
      </c>
      <c r="AJ1964" s="50" t="n">
        <v>0</v>
      </c>
      <c r="AK1964" s="51" t="n">
        <v>0</v>
      </c>
      <c r="AL1964" s="52" t="n">
        <v>0</v>
      </c>
      <c r="AM1964" s="52" t="n">
        <v>0</v>
      </c>
      <c r="AN1964" s="52" t="n">
        <v>0</v>
      </c>
      <c r="AO1964" s="53" t="n">
        <v>0</v>
      </c>
      <c r="AP1964" s="52" t="n">
        <v>0</v>
      </c>
      <c r="AQ1964" s="53" t="n">
        <v>0</v>
      </c>
      <c r="AR1964" s="52" t="n">
        <v>0</v>
      </c>
      <c r="AS1964" s="51" t="n">
        <v>0</v>
      </c>
      <c r="AT1964" s="48" t="n">
        <v>0</v>
      </c>
      <c r="AU1964" s="49" t="n">
        <v>0</v>
      </c>
      <c r="AV1964" s="49" t="n">
        <v>0</v>
      </c>
      <c r="AW1964" s="50" t="n">
        <v>0</v>
      </c>
      <c r="AX1964" s="51" t="n">
        <v>0</v>
      </c>
      <c r="AY1964" s="52" t="n">
        <v>0</v>
      </c>
      <c r="AZ1964" s="52" t="n">
        <v>0</v>
      </c>
      <c r="BA1964" s="52" t="n">
        <v>0</v>
      </c>
      <c r="BB1964" s="53" t="n">
        <v>0</v>
      </c>
      <c r="BC1964" s="52" t="n">
        <v>0</v>
      </c>
      <c r="BD1964" s="53" t="n">
        <v>0</v>
      </c>
      <c r="BE1964" s="52" t="n">
        <v>0</v>
      </c>
      <c r="BF1964" s="51" t="n">
        <v>0</v>
      </c>
    </row>
    <row r="1965">
      <c r="A1965">
        <f>HYPERLINK("https://www.walmart.com/ip/2901486666", "2901486666")</f>
        <v/>
      </c>
      <c r="B1965" t="inlineStr">
        <is>
          <t>Catalonia Cow Print Sherpa Fleece Blanket, Super Soft Warm Cozy Flannel Reversible Throw Blanket for Couch Sofa Bed, Brown Horse Pattern, 50" x 60".</t>
        </is>
      </c>
      <c r="C1965" t="inlineStr">
        <is>
          <t>1CTBF300TPHORSE</t>
        </is>
      </c>
      <c r="D1965" t="inlineStr">
        <is>
          <t>Throws</t>
        </is>
      </c>
      <c r="E1965" t="inlineStr">
        <is>
          <t>Catalonia</t>
        </is>
      </c>
      <c r="F1965" t="inlineStr">
        <is>
          <t>Q2-Target,Coupon_Discount,Fleece Blankets</t>
        </is>
      </c>
      <c r="G1965" s="48" t="n">
        <v>0</v>
      </c>
      <c r="H1965" s="49" t="n">
        <v>0</v>
      </c>
      <c r="I1965" s="49" t="n">
        <v>0</v>
      </c>
      <c r="J1965" s="50" t="n">
        <v>0</v>
      </c>
      <c r="K1965" s="51" t="n">
        <v>0</v>
      </c>
      <c r="L1965" s="52" t="n">
        <v>0</v>
      </c>
      <c r="M1965" s="52" t="n">
        <v>0</v>
      </c>
      <c r="N1965" s="52" t="n">
        <v>0</v>
      </c>
      <c r="O1965" s="53" t="n">
        <v>0</v>
      </c>
      <c r="P1965" s="52" t="n">
        <v>0</v>
      </c>
      <c r="Q1965" s="53" t="n">
        <v>0</v>
      </c>
      <c r="R1965" s="52" t="n">
        <v>0</v>
      </c>
      <c r="S1965" s="51" t="n">
        <v>0</v>
      </c>
      <c r="T1965" s="48" t="n">
        <v>0</v>
      </c>
      <c r="U1965" s="49" t="n">
        <v>0</v>
      </c>
      <c r="V1965" s="49" t="n">
        <v>0</v>
      </c>
      <c r="W1965" s="50" t="n">
        <v>0</v>
      </c>
      <c r="X1965" s="51" t="n">
        <v>0</v>
      </c>
      <c r="Y1965" s="52" t="n">
        <v>0</v>
      </c>
      <c r="Z1965" s="52" t="n">
        <v>0</v>
      </c>
      <c r="AA1965" s="52" t="n">
        <v>0</v>
      </c>
      <c r="AB1965" s="53" t="n">
        <v>0</v>
      </c>
      <c r="AC1965" s="52" t="n">
        <v>0</v>
      </c>
      <c r="AD1965" s="53" t="n">
        <v>0</v>
      </c>
      <c r="AE1965" s="52" t="n">
        <v>0</v>
      </c>
      <c r="AF1965" s="51" t="n">
        <v>0</v>
      </c>
      <c r="AG1965" s="48" t="n">
        <v>0</v>
      </c>
      <c r="AH1965" s="49" t="n">
        <v>0</v>
      </c>
      <c r="AI1965" s="49" t="n">
        <v>0</v>
      </c>
      <c r="AJ1965" s="50" t="n">
        <v>0</v>
      </c>
      <c r="AK1965" s="51" t="n">
        <v>0</v>
      </c>
      <c r="AL1965" s="52" t="n">
        <v>0</v>
      </c>
      <c r="AM1965" s="52" t="n">
        <v>0</v>
      </c>
      <c r="AN1965" s="52" t="n">
        <v>0</v>
      </c>
      <c r="AO1965" s="53" t="n">
        <v>0</v>
      </c>
      <c r="AP1965" s="52" t="n">
        <v>0</v>
      </c>
      <c r="AQ1965" s="53" t="n">
        <v>0</v>
      </c>
      <c r="AR1965" s="52" t="n">
        <v>0</v>
      </c>
      <c r="AS1965" s="51" t="n">
        <v>0</v>
      </c>
      <c r="AT1965" s="48" t="n">
        <v>0</v>
      </c>
      <c r="AU1965" s="49" t="n">
        <v>0</v>
      </c>
      <c r="AV1965" s="49" t="n">
        <v>0</v>
      </c>
      <c r="AW1965" s="50" t="n">
        <v>0</v>
      </c>
      <c r="AX1965" s="51" t="n">
        <v>0</v>
      </c>
      <c r="AY1965" s="52" t="n">
        <v>0</v>
      </c>
      <c r="AZ1965" s="52" t="n">
        <v>0</v>
      </c>
      <c r="BA1965" s="52" t="n">
        <v>0</v>
      </c>
      <c r="BB1965" s="53" t="n">
        <v>0</v>
      </c>
      <c r="BC1965" s="52" t="n">
        <v>0</v>
      </c>
      <c r="BD1965" s="53" t="n">
        <v>0</v>
      </c>
      <c r="BE1965" s="52" t="n">
        <v>0</v>
      </c>
      <c r="BF1965" s="51" t="n">
        <v>0</v>
      </c>
    </row>
    <row r="1966">
      <c r="A1966">
        <f>HYPERLINK("https://www.walmart.com/ip/290439708", "290439708")</f>
        <v/>
      </c>
      <c r="B1966" t="inlineStr">
        <is>
          <t>Catalonia Oversized Hoodie Blanket with Zipper, Wearable Sherpa Sweatshirt Pullover, Soft Warm Comfortable Jacket for Adults Men Women, Navy</t>
        </is>
      </c>
      <c r="C1966" t="inlineStr">
        <is>
          <t>1CTHD220DBL</t>
        </is>
      </c>
      <c r="D1966" t="inlineStr">
        <is>
          <t>Throws</t>
        </is>
      </c>
      <c r="E1966" t="inlineStr">
        <is>
          <t>Catalonia</t>
        </is>
      </c>
      <c r="F1966" t="inlineStr">
        <is>
          <t>Hoodie ForAdult,WFS,Coupon_Discount,WFS Item</t>
        </is>
      </c>
      <c r="G1966" s="48" t="n">
        <v>0</v>
      </c>
      <c r="H1966" s="49" t="n">
        <v>0</v>
      </c>
      <c r="I1966" s="49" t="n">
        <v>0</v>
      </c>
      <c r="J1966" s="50" t="n">
        <v>0</v>
      </c>
      <c r="K1966" s="51" t="n">
        <v>0</v>
      </c>
      <c r="L1966" s="52" t="n">
        <v>0</v>
      </c>
      <c r="M1966" s="52" t="n">
        <v>0</v>
      </c>
      <c r="N1966" s="52" t="n">
        <v>0</v>
      </c>
      <c r="O1966" s="53" t="n">
        <v>0</v>
      </c>
      <c r="P1966" s="52" t="n">
        <v>0</v>
      </c>
      <c r="Q1966" s="53" t="n">
        <v>0</v>
      </c>
      <c r="R1966" s="52" t="n">
        <v>0</v>
      </c>
      <c r="S1966" s="51" t="n">
        <v>0</v>
      </c>
      <c r="T1966" s="48" t="n">
        <v>0</v>
      </c>
      <c r="U1966" s="49" t="n">
        <v>0</v>
      </c>
      <c r="V1966" s="49" t="n">
        <v>0</v>
      </c>
      <c r="W1966" s="50" t="n">
        <v>0</v>
      </c>
      <c r="X1966" s="51" t="n">
        <v>0</v>
      </c>
      <c r="Y1966" s="52" t="n">
        <v>0</v>
      </c>
      <c r="Z1966" s="52" t="n">
        <v>0</v>
      </c>
      <c r="AA1966" s="52" t="n">
        <v>0</v>
      </c>
      <c r="AB1966" s="53" t="n">
        <v>0</v>
      </c>
      <c r="AC1966" s="52" t="n">
        <v>0</v>
      </c>
      <c r="AD1966" s="53" t="n">
        <v>0</v>
      </c>
      <c r="AE1966" s="52" t="n">
        <v>0</v>
      </c>
      <c r="AF1966" s="51" t="n">
        <v>0</v>
      </c>
      <c r="AG1966" s="48" t="n">
        <v>0</v>
      </c>
      <c r="AH1966" s="49" t="n">
        <v>0</v>
      </c>
      <c r="AI1966" s="49" t="n">
        <v>0</v>
      </c>
      <c r="AJ1966" s="50" t="n">
        <v>0</v>
      </c>
      <c r="AK1966" s="51" t="n">
        <v>0</v>
      </c>
      <c r="AL1966" s="52" t="n">
        <v>0</v>
      </c>
      <c r="AM1966" s="52" t="n">
        <v>0</v>
      </c>
      <c r="AN1966" s="52" t="n">
        <v>0</v>
      </c>
      <c r="AO1966" s="53" t="n">
        <v>0</v>
      </c>
      <c r="AP1966" s="52" t="n">
        <v>0</v>
      </c>
      <c r="AQ1966" s="53" t="n">
        <v>0</v>
      </c>
      <c r="AR1966" s="52" t="n">
        <v>0</v>
      </c>
      <c r="AS1966" s="51" t="n">
        <v>0</v>
      </c>
      <c r="AT1966" s="48" t="n">
        <v>0</v>
      </c>
      <c r="AU1966" s="49" t="n">
        <v>0</v>
      </c>
      <c r="AV1966" s="49" t="n">
        <v>0</v>
      </c>
      <c r="AW1966" s="50" t="n">
        <v>0</v>
      </c>
      <c r="AX1966" s="51" t="n">
        <v>0</v>
      </c>
      <c r="AY1966" s="52" t="n">
        <v>0</v>
      </c>
      <c r="AZ1966" s="52" t="n">
        <v>0</v>
      </c>
      <c r="BA1966" s="52" t="n">
        <v>0</v>
      </c>
      <c r="BB1966" s="53" t="n">
        <v>0</v>
      </c>
      <c r="BC1966" s="52" t="n">
        <v>0</v>
      </c>
      <c r="BD1966" s="53" t="n">
        <v>0</v>
      </c>
      <c r="BE1966" s="52" t="n">
        <v>0</v>
      </c>
      <c r="BF1966" s="51" t="n">
        <v>0</v>
      </c>
    </row>
    <row r="1967">
      <c r="A1967">
        <f>HYPERLINK("https://www.walmart.com/ip/282036777", "282036777")</f>
        <v/>
      </c>
      <c r="B1967" t="inlineStr">
        <is>
          <t>Solaris Womens Bucket Hat UV Sun Protection Lightweight Packable Summer Travel Beach Cap,Dark Gray</t>
        </is>
      </c>
      <c r="C1967" t="inlineStr">
        <is>
          <t>1SLSH189DG</t>
        </is>
      </c>
      <c r="D1967" t="inlineStr">
        <is>
          <t>Hats</t>
        </is>
      </c>
      <c r="E1967" t="inlineStr">
        <is>
          <t>Solaris</t>
        </is>
      </c>
      <c r="F1967" t="inlineStr">
        <is>
          <t>Q2-Target,Hats,Batch 1 - TR</t>
        </is>
      </c>
      <c r="G1967" s="48" t="n">
        <v>0</v>
      </c>
      <c r="H1967" s="49" t="n">
        <v>0</v>
      </c>
      <c r="I1967" s="49" t="n">
        <v>0</v>
      </c>
      <c r="J1967" s="50" t="n">
        <v>0</v>
      </c>
      <c r="K1967" s="51" t="n">
        <v>0</v>
      </c>
      <c r="L1967" s="52" t="n">
        <v>0</v>
      </c>
      <c r="M1967" s="52" t="n">
        <v>0</v>
      </c>
      <c r="N1967" s="52" t="n">
        <v>0</v>
      </c>
      <c r="O1967" s="53" t="n">
        <v>0</v>
      </c>
      <c r="P1967" s="52" t="n">
        <v>0</v>
      </c>
      <c r="Q1967" s="53" t="n">
        <v>0</v>
      </c>
      <c r="R1967" s="52" t="n">
        <v>0</v>
      </c>
      <c r="S1967" s="51" t="n">
        <v>0</v>
      </c>
      <c r="T1967" s="48" t="n">
        <v>0</v>
      </c>
      <c r="U1967" s="49" t="n">
        <v>0</v>
      </c>
      <c r="V1967" s="49" t="n">
        <v>0</v>
      </c>
      <c r="W1967" s="50" t="n">
        <v>0</v>
      </c>
      <c r="X1967" s="51" t="n">
        <v>0</v>
      </c>
      <c r="Y1967" s="52" t="n">
        <v>0</v>
      </c>
      <c r="Z1967" s="52" t="n">
        <v>0</v>
      </c>
      <c r="AA1967" s="52" t="n">
        <v>0</v>
      </c>
      <c r="AB1967" s="53" t="n">
        <v>0</v>
      </c>
      <c r="AC1967" s="52" t="n">
        <v>0</v>
      </c>
      <c r="AD1967" s="53" t="n">
        <v>0</v>
      </c>
      <c r="AE1967" s="52" t="n">
        <v>0</v>
      </c>
      <c r="AF1967" s="51" t="n">
        <v>0</v>
      </c>
      <c r="AG1967" s="48" t="n">
        <v>0</v>
      </c>
      <c r="AH1967" s="49" t="n">
        <v>0</v>
      </c>
      <c r="AI1967" s="49" t="n">
        <v>0</v>
      </c>
      <c r="AJ1967" s="50" t="n">
        <v>0</v>
      </c>
      <c r="AK1967" s="51" t="n">
        <v>0</v>
      </c>
      <c r="AL1967" s="52" t="n">
        <v>0</v>
      </c>
      <c r="AM1967" s="52" t="n">
        <v>0</v>
      </c>
      <c r="AN1967" s="52" t="n">
        <v>0</v>
      </c>
      <c r="AO1967" s="53" t="n">
        <v>0</v>
      </c>
      <c r="AP1967" s="52" t="n">
        <v>0</v>
      </c>
      <c r="AQ1967" s="53" t="n">
        <v>0</v>
      </c>
      <c r="AR1967" s="52" t="n">
        <v>0</v>
      </c>
      <c r="AS1967" s="51" t="n">
        <v>0</v>
      </c>
      <c r="AT1967" s="48" t="n">
        <v>0</v>
      </c>
      <c r="AU1967" s="49" t="n">
        <v>0</v>
      </c>
      <c r="AV1967" s="49" t="n">
        <v>0</v>
      </c>
      <c r="AW1967" s="50" t="n">
        <v>0</v>
      </c>
      <c r="AX1967" s="51" t="n">
        <v>0</v>
      </c>
      <c r="AY1967" s="52" t="n">
        <v>0</v>
      </c>
      <c r="AZ1967" s="52" t="n">
        <v>0</v>
      </c>
      <c r="BA1967" s="52" t="n">
        <v>0</v>
      </c>
      <c r="BB1967" s="53" t="n">
        <v>0</v>
      </c>
      <c r="BC1967" s="52" t="n">
        <v>0</v>
      </c>
      <c r="BD1967" s="53" t="n">
        <v>0</v>
      </c>
      <c r="BE1967" s="52" t="n">
        <v>0</v>
      </c>
      <c r="BF1967" s="51" t="n">
        <v>0</v>
      </c>
    </row>
    <row r="1968">
      <c r="A1968">
        <f>HYPERLINK("https://www.walmart.com/ip/281280916", "281280916")</f>
        <v/>
      </c>
      <c r="B1968" t="inlineStr">
        <is>
          <t>Sherpa Throw Blanket Fleece, Super Cozy Warm TV Blankets for Bed or Couch Reversible 50" x 60"</t>
        </is>
      </c>
      <c r="C1968" t="inlineStr">
        <is>
          <t>1TNBF300BR-TPB</t>
        </is>
      </c>
      <c r="D1968" t="inlineStr">
        <is>
          <t>Throws</t>
        </is>
      </c>
      <c r="E1968" t="inlineStr">
        <is>
          <t>Tirrinia</t>
        </is>
      </c>
      <c r="G1968" s="48" t="n">
        <v>0</v>
      </c>
      <c r="H1968" s="49" t="n">
        <v>0</v>
      </c>
      <c r="I1968" s="49" t="n">
        <v>0</v>
      </c>
      <c r="J1968" s="50" t="n">
        <v>0</v>
      </c>
      <c r="K1968" s="51" t="n">
        <v>0</v>
      </c>
      <c r="L1968" s="52" t="n">
        <v>0</v>
      </c>
      <c r="M1968" s="52" t="n">
        <v>0</v>
      </c>
      <c r="N1968" s="52" t="n">
        <v>0</v>
      </c>
      <c r="O1968" s="53" t="n">
        <v>0</v>
      </c>
      <c r="P1968" s="52" t="n">
        <v>0</v>
      </c>
      <c r="Q1968" s="53" t="n">
        <v>0</v>
      </c>
      <c r="R1968" s="52" t="n">
        <v>0</v>
      </c>
      <c r="S1968" s="51" t="n">
        <v>0</v>
      </c>
      <c r="T1968" s="48" t="n">
        <v>0</v>
      </c>
      <c r="U1968" s="49" t="n">
        <v>0</v>
      </c>
      <c r="V1968" s="49" t="n">
        <v>0</v>
      </c>
      <c r="W1968" s="50" t="n">
        <v>0</v>
      </c>
      <c r="X1968" s="51" t="n">
        <v>0</v>
      </c>
      <c r="Y1968" s="52" t="n">
        <v>0</v>
      </c>
      <c r="Z1968" s="52" t="n">
        <v>0</v>
      </c>
      <c r="AA1968" s="52" t="n">
        <v>0</v>
      </c>
      <c r="AB1968" s="53" t="n">
        <v>0</v>
      </c>
      <c r="AC1968" s="52" t="n">
        <v>0</v>
      </c>
      <c r="AD1968" s="53" t="n">
        <v>0</v>
      </c>
      <c r="AE1968" s="52" t="n">
        <v>0</v>
      </c>
      <c r="AF1968" s="51" t="n">
        <v>0</v>
      </c>
      <c r="AG1968" s="48" t="n">
        <v>0</v>
      </c>
      <c r="AH1968" s="49" t="n">
        <v>0</v>
      </c>
      <c r="AI1968" s="49" t="n">
        <v>0</v>
      </c>
      <c r="AJ1968" s="50" t="n">
        <v>0</v>
      </c>
      <c r="AK1968" s="51" t="n">
        <v>0</v>
      </c>
      <c r="AL1968" s="52" t="n">
        <v>0</v>
      </c>
      <c r="AM1968" s="52" t="n">
        <v>0</v>
      </c>
      <c r="AN1968" s="52" t="n">
        <v>0</v>
      </c>
      <c r="AO1968" s="53" t="n">
        <v>0</v>
      </c>
      <c r="AP1968" s="52" t="n">
        <v>0</v>
      </c>
      <c r="AQ1968" s="53" t="n">
        <v>0</v>
      </c>
      <c r="AR1968" s="52" t="n">
        <v>0</v>
      </c>
      <c r="AS1968" s="51" t="n">
        <v>0</v>
      </c>
      <c r="AT1968" s="48" t="n">
        <v>0</v>
      </c>
      <c r="AU1968" s="49" t="n">
        <v>0</v>
      </c>
      <c r="AV1968" s="49" t="n">
        <v>0</v>
      </c>
      <c r="AW1968" s="50" t="n">
        <v>0</v>
      </c>
      <c r="AX1968" s="51" t="n">
        <v>0</v>
      </c>
      <c r="AY1968" s="52" t="n">
        <v>0</v>
      </c>
      <c r="AZ1968" s="52" t="n">
        <v>0</v>
      </c>
      <c r="BA1968" s="52" t="n">
        <v>0</v>
      </c>
      <c r="BB1968" s="53" t="n">
        <v>0</v>
      </c>
      <c r="BC1968" s="52" t="n">
        <v>0</v>
      </c>
      <c r="BD1968" s="53" t="n">
        <v>0</v>
      </c>
      <c r="BE1968" s="52" t="n">
        <v>0</v>
      </c>
      <c r="BF1968" s="51" t="n">
        <v>0</v>
      </c>
    </row>
    <row r="1969">
      <c r="A1969">
        <f>HYPERLINK("https://www.walmart.com/ip/274522734", "274522734")</f>
        <v/>
      </c>
      <c r="B1969" t="inlineStr">
        <is>
          <t>Bucket Sun Hat Cute Cap for Women Fashion Fold-up Brim Packable Summer Beach by Solaris</t>
        </is>
      </c>
      <c r="C1969" t="inlineStr">
        <is>
          <t>1SLSH9200BL-FSCB</t>
        </is>
      </c>
      <c r="D1969" t="inlineStr">
        <is>
          <t>Hats</t>
        </is>
      </c>
      <c r="E1969" t="inlineStr">
        <is>
          <t>Solaris</t>
        </is>
      </c>
      <c r="G1969" s="48" t="n">
        <v>0</v>
      </c>
      <c r="H1969" s="49" t="n">
        <v>0</v>
      </c>
      <c r="I1969" s="49" t="n">
        <v>0</v>
      </c>
      <c r="J1969" s="50" t="n">
        <v>0</v>
      </c>
      <c r="K1969" s="51" t="n">
        <v>0</v>
      </c>
      <c r="L1969" s="52" t="n">
        <v>0</v>
      </c>
      <c r="M1969" s="52" t="n">
        <v>0</v>
      </c>
      <c r="N1969" s="52" t="n">
        <v>0</v>
      </c>
      <c r="O1969" s="53" t="n">
        <v>0</v>
      </c>
      <c r="P1969" s="52" t="n">
        <v>0</v>
      </c>
      <c r="Q1969" s="53" t="n">
        <v>0</v>
      </c>
      <c r="R1969" s="52" t="n">
        <v>0</v>
      </c>
      <c r="S1969" s="51" t="n">
        <v>0</v>
      </c>
      <c r="T1969" s="48" t="n">
        <v>0</v>
      </c>
      <c r="U1969" s="49" t="n">
        <v>0</v>
      </c>
      <c r="V1969" s="49" t="n">
        <v>0</v>
      </c>
      <c r="W1969" s="50" t="n">
        <v>0</v>
      </c>
      <c r="X1969" s="51" t="n">
        <v>0</v>
      </c>
      <c r="Y1969" s="52" t="n">
        <v>0</v>
      </c>
      <c r="Z1969" s="52" t="n">
        <v>0</v>
      </c>
      <c r="AA1969" s="52" t="n">
        <v>0</v>
      </c>
      <c r="AB1969" s="53" t="n">
        <v>0</v>
      </c>
      <c r="AC1969" s="52" t="n">
        <v>0</v>
      </c>
      <c r="AD1969" s="53" t="n">
        <v>0</v>
      </c>
      <c r="AE1969" s="52" t="n">
        <v>0</v>
      </c>
      <c r="AF1969" s="51" t="n">
        <v>0</v>
      </c>
      <c r="AG1969" s="48" t="n">
        <v>0</v>
      </c>
      <c r="AH1969" s="49" t="n">
        <v>0</v>
      </c>
      <c r="AI1969" s="49" t="n">
        <v>0</v>
      </c>
      <c r="AJ1969" s="50" t="n">
        <v>0</v>
      </c>
      <c r="AK1969" s="51" t="n">
        <v>0</v>
      </c>
      <c r="AL1969" s="52" t="n">
        <v>0</v>
      </c>
      <c r="AM1969" s="52" t="n">
        <v>0</v>
      </c>
      <c r="AN1969" s="52" t="n">
        <v>0</v>
      </c>
      <c r="AO1969" s="53" t="n">
        <v>0</v>
      </c>
      <c r="AP1969" s="52" t="n">
        <v>0</v>
      </c>
      <c r="AQ1969" s="53" t="n">
        <v>0</v>
      </c>
      <c r="AR1969" s="52" t="n">
        <v>0</v>
      </c>
      <c r="AS1969" s="51" t="n">
        <v>0</v>
      </c>
      <c r="AT1969" s="48" t="n">
        <v>0</v>
      </c>
      <c r="AU1969" s="49" t="n">
        <v>0</v>
      </c>
      <c r="AV1969" s="49" t="n">
        <v>0</v>
      </c>
      <c r="AW1969" s="50" t="n">
        <v>0</v>
      </c>
      <c r="AX1969" s="51" t="n">
        <v>0</v>
      </c>
      <c r="AY1969" s="52" t="n">
        <v>0</v>
      </c>
      <c r="AZ1969" s="52" t="n">
        <v>0</v>
      </c>
      <c r="BA1969" s="52" t="n">
        <v>0</v>
      </c>
      <c r="BB1969" s="53" t="n">
        <v>0</v>
      </c>
      <c r="BC1969" s="52" t="n">
        <v>0</v>
      </c>
      <c r="BD1969" s="53" t="n">
        <v>0</v>
      </c>
      <c r="BE1969" s="52" t="n">
        <v>0</v>
      </c>
      <c r="BF1969" s="51" t="n">
        <v>0</v>
      </c>
    </row>
    <row r="1970">
      <c r="A1970">
        <f>HYPERLINK("https://www.walmart.com/ip/2798867763", "2798867763")</f>
        <v/>
      </c>
      <c r="B1970" t="inlineStr">
        <is>
          <t>Tirrinia Waterproof Outdoor Blanket with Sherpa Lining, Windproof Triple Layers Warm Comfy Foldable for Camping  Stadium, Sports, Picnic, Grass, Concerts, Pet, Extra Large Size 66''X 90''</t>
        </is>
      </c>
      <c r="C1970" t="inlineStr">
        <is>
          <t>1TRBW669NYGY</t>
        </is>
      </c>
      <c r="D1970" t="inlineStr">
        <is>
          <t>Picnic Blankets &amp; Mats</t>
        </is>
      </c>
      <c r="E1970" t="inlineStr">
        <is>
          <t>Tirrinia</t>
        </is>
      </c>
      <c r="F1970" t="inlineStr">
        <is>
          <t>Q2-Target</t>
        </is>
      </c>
      <c r="G1970" s="48" t="n">
        <v>0</v>
      </c>
      <c r="H1970" s="49" t="n">
        <v>0</v>
      </c>
      <c r="I1970" s="49" t="n">
        <v>0</v>
      </c>
      <c r="J1970" s="50" t="n">
        <v>0</v>
      </c>
      <c r="K1970" s="51" t="n">
        <v>0</v>
      </c>
      <c r="L1970" s="52" t="n">
        <v>0</v>
      </c>
      <c r="M1970" s="52" t="n">
        <v>0</v>
      </c>
      <c r="N1970" s="52" t="n">
        <v>0</v>
      </c>
      <c r="O1970" s="53" t="n">
        <v>0</v>
      </c>
      <c r="P1970" s="52" t="n">
        <v>0</v>
      </c>
      <c r="Q1970" s="53" t="n">
        <v>0</v>
      </c>
      <c r="R1970" s="52" t="n">
        <v>0</v>
      </c>
      <c r="S1970" s="51" t="n">
        <v>751</v>
      </c>
      <c r="T1970" s="48" t="n">
        <v>0</v>
      </c>
      <c r="U1970" s="49" t="n">
        <v>0</v>
      </c>
      <c r="V1970" s="49" t="n">
        <v>0</v>
      </c>
      <c r="W1970" s="50" t="n">
        <v>0</v>
      </c>
      <c r="X1970" s="51" t="n">
        <v>2</v>
      </c>
      <c r="Y1970" s="52" t="n">
        <v>0.82</v>
      </c>
      <c r="Z1970" s="52" t="n">
        <v>0</v>
      </c>
      <c r="AA1970" s="52" t="n">
        <v>0</v>
      </c>
      <c r="AB1970" s="53" t="n">
        <v>0.0012</v>
      </c>
      <c r="AC1970" s="52" t="n">
        <v>0.41</v>
      </c>
      <c r="AD1970" s="53" t="n">
        <v>0</v>
      </c>
      <c r="AE1970" s="52" t="n">
        <v>0</v>
      </c>
      <c r="AF1970" s="51" t="n">
        <v>1708</v>
      </c>
      <c r="AG1970" s="48" t="n">
        <v>0</v>
      </c>
      <c r="AH1970" s="49" t="n">
        <v>0</v>
      </c>
      <c r="AI1970" s="49" t="n">
        <v>0</v>
      </c>
      <c r="AJ1970" s="50" t="n">
        <v>0</v>
      </c>
      <c r="AK1970" s="51" t="n">
        <v>2</v>
      </c>
      <c r="AL1970" s="52" t="n">
        <v>0.82</v>
      </c>
      <c r="AM1970" s="52" t="n">
        <v>89.98</v>
      </c>
      <c r="AN1970" s="52" t="n">
        <v>109.73</v>
      </c>
      <c r="AO1970" s="53" t="n">
        <v>0.0012</v>
      </c>
      <c r="AP1970" s="52" t="n">
        <v>0.41</v>
      </c>
      <c r="AQ1970" s="53" t="n">
        <v>0</v>
      </c>
      <c r="AR1970" s="52" t="n">
        <v>0</v>
      </c>
      <c r="AS1970" s="51" t="n">
        <v>1631</v>
      </c>
      <c r="AT1970" s="48" t="n">
        <v>45.99</v>
      </c>
      <c r="AU1970" s="49" t="n">
        <v>1</v>
      </c>
      <c r="AV1970" s="49" t="n">
        <v>0</v>
      </c>
      <c r="AW1970" s="50" t="n">
        <v>0</v>
      </c>
      <c r="AX1970" s="51" t="n">
        <v>1</v>
      </c>
      <c r="AY1970" s="52" t="n">
        <v>0.41</v>
      </c>
      <c r="AZ1970" s="52" t="n">
        <v>0</v>
      </c>
      <c r="BA1970" s="52" t="n">
        <v>0</v>
      </c>
      <c r="BB1970" s="53" t="n">
        <v>0.0005999999999999999</v>
      </c>
      <c r="BC1970" s="52" t="n">
        <v>0.41</v>
      </c>
      <c r="BD1970" s="53" t="n">
        <v>0.008914981517721243</v>
      </c>
      <c r="BE1970" s="52" t="n">
        <v>45.99</v>
      </c>
      <c r="BF1970" s="51" t="n">
        <v>1650</v>
      </c>
    </row>
    <row r="1971">
      <c r="A1971">
        <f>HYPERLINK("https://www.walmart.com/ip/274616053", "274616053")</f>
        <v/>
      </c>
      <c r="B1971" t="inlineStr">
        <is>
          <t>Unisex Sun Fire Flame Racing Cap, Flare Race Day Running Outdoor Sports Hat, Summer Sun Blocker Hat</t>
        </is>
      </c>
      <c r="C1971" t="inlineStr">
        <is>
          <t>KC-FL08-ZFH</t>
        </is>
      </c>
      <c r="D1971" t="inlineStr">
        <is>
          <t>Hats</t>
        </is>
      </c>
      <c r="E1971" t="inlineStr">
        <is>
          <t>KC Caps</t>
        </is>
      </c>
      <c r="F1971" t="inlineStr">
        <is>
          <t>Batch 1 - TR</t>
        </is>
      </c>
      <c r="G1971" s="48" t="n">
        <v>0</v>
      </c>
      <c r="H1971" s="49" t="n">
        <v>0</v>
      </c>
      <c r="I1971" s="49" t="n">
        <v>0</v>
      </c>
      <c r="J1971" s="50" t="n">
        <v>0</v>
      </c>
      <c r="K1971" s="51" t="n">
        <v>0</v>
      </c>
      <c r="L1971" s="52" t="n">
        <v>0</v>
      </c>
      <c r="M1971" s="52" t="n">
        <v>0</v>
      </c>
      <c r="N1971" s="52" t="n">
        <v>0</v>
      </c>
      <c r="O1971" s="53" t="n">
        <v>0</v>
      </c>
      <c r="P1971" s="52" t="n">
        <v>0</v>
      </c>
      <c r="Q1971" s="53" t="n">
        <v>0</v>
      </c>
      <c r="R1971" s="52" t="n">
        <v>0</v>
      </c>
      <c r="S1971" s="51" t="n">
        <v>0</v>
      </c>
      <c r="T1971" s="48" t="n">
        <v>0</v>
      </c>
      <c r="U1971" s="49" t="n">
        <v>0</v>
      </c>
      <c r="V1971" s="49" t="n">
        <v>0</v>
      </c>
      <c r="W1971" s="50" t="n">
        <v>0</v>
      </c>
      <c r="X1971" s="51" t="n">
        <v>0</v>
      </c>
      <c r="Y1971" s="52" t="n">
        <v>0</v>
      </c>
      <c r="Z1971" s="52" t="n">
        <v>0</v>
      </c>
      <c r="AA1971" s="52" t="n">
        <v>0</v>
      </c>
      <c r="AB1971" s="53" t="n">
        <v>0</v>
      </c>
      <c r="AC1971" s="52" t="n">
        <v>0</v>
      </c>
      <c r="AD1971" s="53" t="n">
        <v>0</v>
      </c>
      <c r="AE1971" s="52" t="n">
        <v>0</v>
      </c>
      <c r="AF1971" s="51" t="n">
        <v>0</v>
      </c>
      <c r="AG1971" s="48" t="n">
        <v>0</v>
      </c>
      <c r="AH1971" s="49" t="n">
        <v>0</v>
      </c>
      <c r="AI1971" s="49" t="n">
        <v>0</v>
      </c>
      <c r="AJ1971" s="50" t="n">
        <v>0</v>
      </c>
      <c r="AK1971" s="51" t="n">
        <v>0</v>
      </c>
      <c r="AL1971" s="52" t="n">
        <v>0</v>
      </c>
      <c r="AM1971" s="52" t="n">
        <v>0</v>
      </c>
      <c r="AN1971" s="52" t="n">
        <v>0</v>
      </c>
      <c r="AO1971" s="53" t="n">
        <v>0</v>
      </c>
      <c r="AP1971" s="52" t="n">
        <v>0</v>
      </c>
      <c r="AQ1971" s="53" t="n">
        <v>0</v>
      </c>
      <c r="AR1971" s="52" t="n">
        <v>0</v>
      </c>
      <c r="AS1971" s="51" t="n">
        <v>0</v>
      </c>
      <c r="AT1971" s="48" t="n">
        <v>0</v>
      </c>
      <c r="AU1971" s="49" t="n">
        <v>0</v>
      </c>
      <c r="AV1971" s="49" t="n">
        <v>0</v>
      </c>
      <c r="AW1971" s="50" t="n">
        <v>0</v>
      </c>
      <c r="AX1971" s="51" t="n">
        <v>0</v>
      </c>
      <c r="AY1971" s="52" t="n">
        <v>0</v>
      </c>
      <c r="AZ1971" s="52" t="n">
        <v>0</v>
      </c>
      <c r="BA1971" s="52" t="n">
        <v>0</v>
      </c>
      <c r="BB1971" s="53" t="n">
        <v>0</v>
      </c>
      <c r="BC1971" s="52" t="n">
        <v>0</v>
      </c>
      <c r="BD1971" s="53" t="n">
        <v>0</v>
      </c>
      <c r="BE1971" s="52" t="n">
        <v>0</v>
      </c>
      <c r="BF1971" s="51" t="n">
        <v>0</v>
      </c>
    </row>
    <row r="1972">
      <c r="A1972">
        <f>HYPERLINK("https://www.walmart.com/ip/2749543627", "2749543627")</f>
        <v/>
      </c>
      <c r="B1972" t="inlineStr">
        <is>
          <t>Kato Outdoors Waterproof Blanket, Sherpa Fleece Stadium Windproof Throw Mat for Boat, Traveling, Camping, Hiking, Football - Machine Washable, Green, 59”x 79”.</t>
        </is>
      </c>
      <c r="C1972" t="inlineStr">
        <is>
          <t>1KTBW608GNBK</t>
        </is>
      </c>
      <c r="D1972" t="inlineStr">
        <is>
          <t>Throws</t>
        </is>
      </c>
      <c r="E1972" t="inlineStr">
        <is>
          <t>Kato</t>
        </is>
      </c>
      <c r="F1972" t="inlineStr">
        <is>
          <t>Q2-Target</t>
        </is>
      </c>
      <c r="G1972" s="48" t="n">
        <v>0</v>
      </c>
      <c r="H1972" s="49" t="n">
        <v>0</v>
      </c>
      <c r="I1972" s="49" t="n">
        <v>0</v>
      </c>
      <c r="J1972" s="50" t="n">
        <v>0</v>
      </c>
      <c r="K1972" s="51" t="n">
        <v>0</v>
      </c>
      <c r="L1972" s="52" t="n">
        <v>0</v>
      </c>
      <c r="M1972" s="52" t="n">
        <v>0</v>
      </c>
      <c r="N1972" s="52" t="n">
        <v>0</v>
      </c>
      <c r="O1972" s="53" t="n">
        <v>0</v>
      </c>
      <c r="P1972" s="52" t="n">
        <v>0</v>
      </c>
      <c r="Q1972" s="53" t="n">
        <v>0</v>
      </c>
      <c r="R1972" s="52" t="n">
        <v>0</v>
      </c>
      <c r="S1972" s="51" t="n">
        <v>0</v>
      </c>
      <c r="T1972" s="48" t="n">
        <v>0</v>
      </c>
      <c r="U1972" s="49" t="n">
        <v>0</v>
      </c>
      <c r="V1972" s="49" t="n">
        <v>0</v>
      </c>
      <c r="W1972" s="50" t="n">
        <v>0</v>
      </c>
      <c r="X1972" s="51" t="n">
        <v>0</v>
      </c>
      <c r="Y1972" s="52" t="n">
        <v>0</v>
      </c>
      <c r="Z1972" s="52" t="n">
        <v>0</v>
      </c>
      <c r="AA1972" s="52" t="n">
        <v>0</v>
      </c>
      <c r="AB1972" s="53" t="n">
        <v>0</v>
      </c>
      <c r="AC1972" s="52" t="n">
        <v>0</v>
      </c>
      <c r="AD1972" s="53" t="n">
        <v>0</v>
      </c>
      <c r="AE1972" s="52" t="n">
        <v>0</v>
      </c>
      <c r="AF1972" s="51" t="n">
        <v>0</v>
      </c>
      <c r="AG1972" s="48" t="n">
        <v>0</v>
      </c>
      <c r="AH1972" s="49" t="n">
        <v>0</v>
      </c>
      <c r="AI1972" s="49" t="n">
        <v>0</v>
      </c>
      <c r="AJ1972" s="50" t="n">
        <v>0</v>
      </c>
      <c r="AK1972" s="51" t="n">
        <v>0</v>
      </c>
      <c r="AL1972" s="52" t="n">
        <v>0</v>
      </c>
      <c r="AM1972" s="52" t="n">
        <v>0</v>
      </c>
      <c r="AN1972" s="52" t="n">
        <v>0</v>
      </c>
      <c r="AO1972" s="53" t="n">
        <v>0</v>
      </c>
      <c r="AP1972" s="52" t="n">
        <v>0</v>
      </c>
      <c r="AQ1972" s="53" t="n">
        <v>0</v>
      </c>
      <c r="AR1972" s="52" t="n">
        <v>0</v>
      </c>
      <c r="AS1972" s="51" t="n">
        <v>0</v>
      </c>
      <c r="AT1972" s="48" t="n">
        <v>0</v>
      </c>
      <c r="AU1972" s="49" t="n">
        <v>0</v>
      </c>
      <c r="AV1972" s="49" t="n">
        <v>0</v>
      </c>
      <c r="AW1972" s="50" t="n">
        <v>0</v>
      </c>
      <c r="AX1972" s="51" t="n">
        <v>0</v>
      </c>
      <c r="AY1972" s="52" t="n">
        <v>0</v>
      </c>
      <c r="AZ1972" s="52" t="n">
        <v>0</v>
      </c>
      <c r="BA1972" s="52" t="n">
        <v>0</v>
      </c>
      <c r="BB1972" s="53" t="n">
        <v>0</v>
      </c>
      <c r="BC1972" s="52" t="n">
        <v>0</v>
      </c>
      <c r="BD1972" s="53" t="n">
        <v>0</v>
      </c>
      <c r="BE1972" s="52" t="n">
        <v>0</v>
      </c>
      <c r="BF1972" s="51" t="n">
        <v>0</v>
      </c>
    </row>
    <row r="1973">
      <c r="A1973">
        <f>HYPERLINK("https://www.walmart.com/ip/274990337", "274990337")</f>
        <v/>
      </c>
      <c r="B1973" t="inlineStr">
        <is>
          <t>Tirrinia Adult Insulated Lunch Bag Totes Cooler Container Front Pocket</t>
        </is>
      </c>
      <c r="C1973" t="inlineStr">
        <is>
          <t>1WMLB705RDWT</t>
        </is>
      </c>
      <c r="D1973" t="inlineStr">
        <is>
          <t>Reusable Lunch Bags &amp; Boxes</t>
        </is>
      </c>
      <c r="E1973" t="inlineStr">
        <is>
          <t>Flyingstar</t>
        </is>
      </c>
      <c r="F1973" t="inlineStr">
        <is>
          <t>Q2-Target,Lunch Bag</t>
        </is>
      </c>
      <c r="G1973" s="48" t="n">
        <v>0</v>
      </c>
      <c r="H1973" s="49" t="n">
        <v>0</v>
      </c>
      <c r="I1973" s="49" t="n">
        <v>0</v>
      </c>
      <c r="J1973" s="50" t="n">
        <v>0</v>
      </c>
      <c r="K1973" s="51" t="n">
        <v>0</v>
      </c>
      <c r="L1973" s="52" t="n">
        <v>0</v>
      </c>
      <c r="M1973" s="52" t="n">
        <v>0</v>
      </c>
      <c r="N1973" s="52" t="n">
        <v>0</v>
      </c>
      <c r="O1973" s="53" t="n">
        <v>0</v>
      </c>
      <c r="P1973" s="52" t="n">
        <v>0</v>
      </c>
      <c r="Q1973" s="53" t="n">
        <v>0</v>
      </c>
      <c r="R1973" s="52" t="n">
        <v>0</v>
      </c>
      <c r="S1973" s="51" t="n">
        <v>0</v>
      </c>
      <c r="T1973" s="48" t="n">
        <v>0</v>
      </c>
      <c r="U1973" s="49" t="n">
        <v>0</v>
      </c>
      <c r="V1973" s="49" t="n">
        <v>0</v>
      </c>
      <c r="W1973" s="50" t="n">
        <v>0</v>
      </c>
      <c r="X1973" s="51" t="n">
        <v>0</v>
      </c>
      <c r="Y1973" s="52" t="n">
        <v>0</v>
      </c>
      <c r="Z1973" s="52" t="n">
        <v>0</v>
      </c>
      <c r="AA1973" s="52" t="n">
        <v>0</v>
      </c>
      <c r="AB1973" s="53" t="n">
        <v>0</v>
      </c>
      <c r="AC1973" s="52" t="n">
        <v>0</v>
      </c>
      <c r="AD1973" s="53" t="n">
        <v>0</v>
      </c>
      <c r="AE1973" s="52" t="n">
        <v>0</v>
      </c>
      <c r="AF1973" s="51" t="n">
        <v>0</v>
      </c>
      <c r="AG1973" s="48" t="n">
        <v>0</v>
      </c>
      <c r="AH1973" s="49" t="n">
        <v>0</v>
      </c>
      <c r="AI1973" s="49" t="n">
        <v>0</v>
      </c>
      <c r="AJ1973" s="50" t="n">
        <v>0</v>
      </c>
      <c r="AK1973" s="51" t="n">
        <v>0</v>
      </c>
      <c r="AL1973" s="52" t="n">
        <v>0</v>
      </c>
      <c r="AM1973" s="52" t="n">
        <v>0</v>
      </c>
      <c r="AN1973" s="52" t="n">
        <v>0</v>
      </c>
      <c r="AO1973" s="53" t="n">
        <v>0</v>
      </c>
      <c r="AP1973" s="52" t="n">
        <v>0</v>
      </c>
      <c r="AQ1973" s="53" t="n">
        <v>0</v>
      </c>
      <c r="AR1973" s="52" t="n">
        <v>0</v>
      </c>
      <c r="AS1973" s="51" t="n">
        <v>0</v>
      </c>
      <c r="AT1973" s="48" t="n">
        <v>0</v>
      </c>
      <c r="AU1973" s="49" t="n">
        <v>0</v>
      </c>
      <c r="AV1973" s="49" t="n">
        <v>0</v>
      </c>
      <c r="AW1973" s="50" t="n">
        <v>0</v>
      </c>
      <c r="AX1973" s="51" t="n">
        <v>0</v>
      </c>
      <c r="AY1973" s="52" t="n">
        <v>0</v>
      </c>
      <c r="AZ1973" s="52" t="n">
        <v>0</v>
      </c>
      <c r="BA1973" s="52" t="n">
        <v>0</v>
      </c>
      <c r="BB1973" s="53" t="n">
        <v>0</v>
      </c>
      <c r="BC1973" s="52" t="n">
        <v>0</v>
      </c>
      <c r="BD1973" s="53" t="n">
        <v>0</v>
      </c>
      <c r="BE1973" s="52" t="n">
        <v>0</v>
      </c>
      <c r="BF1973" s="51" t="n">
        <v>0</v>
      </c>
    </row>
    <row r="1974">
      <c r="A1974">
        <f>HYPERLINK("https://www.walmart.com/ip/2752031157", "2752031157")</f>
        <v/>
      </c>
      <c r="B1974" t="inlineStr">
        <is>
          <t>Tirrinia Outdoors Waterproof Throw Blanket, Sherpa Fleece Stadium Windproof Mat for Traveling, Camping, Hiking, Football, Machine Washable, Camo, 60” x 80”.</t>
        </is>
      </c>
      <c r="C1974" t="inlineStr">
        <is>
          <t>1TRBW608CAMOBK</t>
        </is>
      </c>
      <c r="D1974" t="inlineStr">
        <is>
          <t>Throws</t>
        </is>
      </c>
      <c r="E1974" t="inlineStr">
        <is>
          <t>Tirrinia</t>
        </is>
      </c>
      <c r="F1974" t="inlineStr">
        <is>
          <t>Q2-Target</t>
        </is>
      </c>
      <c r="G1974" s="48" t="n">
        <v>0</v>
      </c>
      <c r="H1974" s="49" t="n">
        <v>0</v>
      </c>
      <c r="I1974" s="49" t="n">
        <v>0</v>
      </c>
      <c r="J1974" s="50" t="n">
        <v>0</v>
      </c>
      <c r="K1974" s="51" t="n">
        <v>9</v>
      </c>
      <c r="L1974" s="52" t="n">
        <v>4.59</v>
      </c>
      <c r="M1974" s="52" t="n">
        <v>0</v>
      </c>
      <c r="N1974" s="52" t="n">
        <v>0</v>
      </c>
      <c r="O1974" s="53" t="n">
        <v>0.0007</v>
      </c>
      <c r="P1974" s="52" t="n">
        <v>0.51</v>
      </c>
      <c r="Q1974" s="53" t="n">
        <v>0</v>
      </c>
      <c r="R1974" s="52" t="n">
        <v>0</v>
      </c>
      <c r="S1974" s="51" t="n">
        <v>12078</v>
      </c>
      <c r="T1974" s="48" t="n">
        <v>0</v>
      </c>
      <c r="U1974" s="49" t="n">
        <v>0</v>
      </c>
      <c r="V1974" s="49" t="n">
        <v>0</v>
      </c>
      <c r="W1974" s="50" t="n">
        <v>0</v>
      </c>
      <c r="X1974" s="51" t="n">
        <v>10</v>
      </c>
      <c r="Y1974" s="52" t="n">
        <v>4.94</v>
      </c>
      <c r="Z1974" s="52" t="n">
        <v>29.99</v>
      </c>
      <c r="AA1974" s="52" t="n">
        <v>6.07</v>
      </c>
      <c r="AB1974" s="53" t="n">
        <v>0.0009</v>
      </c>
      <c r="AC1974" s="52" t="n">
        <v>0.4940000000000001</v>
      </c>
      <c r="AD1974" s="53" t="n">
        <v>0</v>
      </c>
      <c r="AE1974" s="52" t="n">
        <v>0</v>
      </c>
      <c r="AF1974" s="51" t="n">
        <v>11458</v>
      </c>
      <c r="AG1974" s="48" t="n">
        <v>39.99</v>
      </c>
      <c r="AH1974" s="49" t="n">
        <v>1</v>
      </c>
      <c r="AI1974" s="49" t="n">
        <v>0</v>
      </c>
      <c r="AJ1974" s="50" t="n">
        <v>0</v>
      </c>
      <c r="AK1974" s="51" t="n">
        <v>0</v>
      </c>
      <c r="AL1974" s="52" t="n">
        <v>0</v>
      </c>
      <c r="AM1974" s="52" t="n">
        <v>0</v>
      </c>
      <c r="AN1974" s="52" t="n">
        <v>0</v>
      </c>
      <c r="AO1974" s="53" t="n">
        <v>0</v>
      </c>
      <c r="AP1974" s="52" t="n">
        <v>0</v>
      </c>
      <c r="AQ1974" s="53" t="n">
        <v>0</v>
      </c>
      <c r="AR1974" s="52" t="n">
        <v>39.99</v>
      </c>
      <c r="AS1974" s="51" t="n">
        <v>0</v>
      </c>
      <c r="AT1974" s="48" t="n">
        <v>0</v>
      </c>
      <c r="AU1974" s="49" t="n">
        <v>0</v>
      </c>
      <c r="AV1974" s="49" t="n">
        <v>0</v>
      </c>
      <c r="AW1974" s="50" t="n">
        <v>0</v>
      </c>
      <c r="AX1974" s="51" t="n">
        <v>3</v>
      </c>
      <c r="AY1974" s="52" t="n">
        <v>1.46</v>
      </c>
      <c r="AZ1974" s="52" t="n">
        <v>0</v>
      </c>
      <c r="BA1974" s="52" t="n">
        <v>0</v>
      </c>
      <c r="BB1974" s="53" t="n">
        <v>0.0013</v>
      </c>
      <c r="BC1974" s="52" t="n">
        <v>0.4866666666666666</v>
      </c>
      <c r="BD1974" s="53" t="n">
        <v>0</v>
      </c>
      <c r="BE1974" s="52" t="n">
        <v>0</v>
      </c>
      <c r="BF1974" s="51" t="n">
        <v>2397</v>
      </c>
    </row>
    <row r="1975">
      <c r="A1975">
        <f>HYPERLINK("https://www.walmart.com/ip/275393000", "275393000")</f>
        <v/>
      </c>
      <c r="B1975" t="inlineStr">
        <is>
          <t>Tirrinia Wide Brim Sun Hat UPF 50 Foldable Bucket Summer Hat for Women Girls</t>
        </is>
      </c>
      <c r="C1975" t="inlineStr">
        <is>
          <t>1TRSHF065BLK-TBCB</t>
        </is>
      </c>
      <c r="D1975" t="inlineStr">
        <is>
          <t>Hats</t>
        </is>
      </c>
      <c r="E1975" t="inlineStr">
        <is>
          <t>Tirrinia</t>
        </is>
      </c>
      <c r="F1975" t="inlineStr">
        <is>
          <t>Batch 1 - TR</t>
        </is>
      </c>
      <c r="G1975" s="48" t="n">
        <v>0</v>
      </c>
      <c r="H1975" s="49" t="n">
        <v>0</v>
      </c>
      <c r="I1975" s="49" t="n">
        <v>0</v>
      </c>
      <c r="J1975" s="50" t="n">
        <v>0</v>
      </c>
      <c r="K1975" s="51" t="n">
        <v>0</v>
      </c>
      <c r="L1975" s="52" t="n">
        <v>0</v>
      </c>
      <c r="M1975" s="52" t="n">
        <v>0</v>
      </c>
      <c r="N1975" s="52" t="n">
        <v>0</v>
      </c>
      <c r="O1975" s="53" t="n">
        <v>0</v>
      </c>
      <c r="P1975" s="52" t="n">
        <v>0</v>
      </c>
      <c r="Q1975" s="53" t="n">
        <v>0</v>
      </c>
      <c r="R1975" s="52" t="n">
        <v>0</v>
      </c>
      <c r="S1975" s="51" t="n">
        <v>0</v>
      </c>
      <c r="T1975" s="48" t="n">
        <v>0</v>
      </c>
      <c r="U1975" s="49" t="n">
        <v>0</v>
      </c>
      <c r="V1975" s="49" t="n">
        <v>0</v>
      </c>
      <c r="W1975" s="50" t="n">
        <v>0</v>
      </c>
      <c r="X1975" s="51" t="n">
        <v>0</v>
      </c>
      <c r="Y1975" s="52" t="n">
        <v>0</v>
      </c>
      <c r="Z1975" s="52" t="n">
        <v>0</v>
      </c>
      <c r="AA1975" s="52" t="n">
        <v>0</v>
      </c>
      <c r="AB1975" s="53" t="n">
        <v>0</v>
      </c>
      <c r="AC1975" s="52" t="n">
        <v>0</v>
      </c>
      <c r="AD1975" s="53" t="n">
        <v>0</v>
      </c>
      <c r="AE1975" s="52" t="n">
        <v>0</v>
      </c>
      <c r="AF1975" s="51" t="n">
        <v>0</v>
      </c>
      <c r="AG1975" s="48" t="n">
        <v>0</v>
      </c>
      <c r="AH1975" s="49" t="n">
        <v>0</v>
      </c>
      <c r="AI1975" s="49" t="n">
        <v>0</v>
      </c>
      <c r="AJ1975" s="50" t="n">
        <v>0</v>
      </c>
      <c r="AK1975" s="51" t="n">
        <v>0</v>
      </c>
      <c r="AL1975" s="52" t="n">
        <v>0</v>
      </c>
      <c r="AM1975" s="52" t="n">
        <v>0</v>
      </c>
      <c r="AN1975" s="52" t="n">
        <v>0</v>
      </c>
      <c r="AO1975" s="53" t="n">
        <v>0</v>
      </c>
      <c r="AP1975" s="52" t="n">
        <v>0</v>
      </c>
      <c r="AQ1975" s="53" t="n">
        <v>0</v>
      </c>
      <c r="AR1975" s="52" t="n">
        <v>0</v>
      </c>
      <c r="AS1975" s="51" t="n">
        <v>0</v>
      </c>
      <c r="AT1975" s="48" t="n">
        <v>0</v>
      </c>
      <c r="AU1975" s="49" t="n">
        <v>0</v>
      </c>
      <c r="AV1975" s="49" t="n">
        <v>0</v>
      </c>
      <c r="AW1975" s="50" t="n">
        <v>0</v>
      </c>
      <c r="AX1975" s="51" t="n">
        <v>0</v>
      </c>
      <c r="AY1975" s="52" t="n">
        <v>0</v>
      </c>
      <c r="AZ1975" s="52" t="n">
        <v>0</v>
      </c>
      <c r="BA1975" s="52" t="n">
        <v>0</v>
      </c>
      <c r="BB1975" s="53" t="n">
        <v>0</v>
      </c>
      <c r="BC1975" s="52" t="n">
        <v>0</v>
      </c>
      <c r="BD1975" s="53" t="n">
        <v>0</v>
      </c>
      <c r="BE1975" s="52" t="n">
        <v>0</v>
      </c>
      <c r="BF1975" s="51" t="n">
        <v>0</v>
      </c>
    </row>
    <row r="1976">
      <c r="A1976">
        <f>HYPERLINK("https://www.walmart.com/ip/275667727", "275667727")</f>
        <v/>
      </c>
      <c r="B1976" t="inlineStr">
        <is>
          <t>Sherpa Slipper Socks for Women,Winter Indoor Home Non Skid Booties</t>
        </is>
      </c>
      <c r="C1976" t="inlineStr">
        <is>
          <t>1CTST200HP-2</t>
        </is>
      </c>
      <c r="D1976" t="inlineStr">
        <is>
          <t>Socks</t>
        </is>
      </c>
      <c r="E1976" t="inlineStr">
        <is>
          <t>Catalonia</t>
        </is>
      </c>
      <c r="F1976" t="inlineStr">
        <is>
          <t>WFS,WFS Item</t>
        </is>
      </c>
      <c r="G1976" s="48" t="n">
        <v>0</v>
      </c>
      <c r="H1976" s="49" t="n">
        <v>0</v>
      </c>
      <c r="I1976" s="49" t="n">
        <v>0</v>
      </c>
      <c r="J1976" s="50" t="n">
        <v>0</v>
      </c>
      <c r="K1976" s="51" t="n">
        <v>0</v>
      </c>
      <c r="L1976" s="52" t="n">
        <v>0</v>
      </c>
      <c r="M1976" s="52" t="n">
        <v>0</v>
      </c>
      <c r="N1976" s="52" t="n">
        <v>0</v>
      </c>
      <c r="O1976" s="53" t="n">
        <v>0</v>
      </c>
      <c r="P1976" s="52" t="n">
        <v>0</v>
      </c>
      <c r="Q1976" s="53" t="n">
        <v>0</v>
      </c>
      <c r="R1976" s="52" t="n">
        <v>0</v>
      </c>
      <c r="S1976" s="51" t="n">
        <v>0</v>
      </c>
      <c r="T1976" s="48" t="n">
        <v>0</v>
      </c>
      <c r="U1976" s="49" t="n">
        <v>0</v>
      </c>
      <c r="V1976" s="49" t="n">
        <v>0</v>
      </c>
      <c r="W1976" s="50" t="n">
        <v>0</v>
      </c>
      <c r="X1976" s="51" t="n">
        <v>0</v>
      </c>
      <c r="Y1976" s="52" t="n">
        <v>0</v>
      </c>
      <c r="Z1976" s="52" t="n">
        <v>0</v>
      </c>
      <c r="AA1976" s="52" t="n">
        <v>0</v>
      </c>
      <c r="AB1976" s="53" t="n">
        <v>0</v>
      </c>
      <c r="AC1976" s="52" t="n">
        <v>0</v>
      </c>
      <c r="AD1976" s="53" t="n">
        <v>0</v>
      </c>
      <c r="AE1976" s="52" t="n">
        <v>0</v>
      </c>
      <c r="AF1976" s="51" t="n">
        <v>0</v>
      </c>
      <c r="AG1976" s="48" t="n">
        <v>0</v>
      </c>
      <c r="AH1976" s="49" t="n">
        <v>0</v>
      </c>
      <c r="AI1976" s="49" t="n">
        <v>0</v>
      </c>
      <c r="AJ1976" s="50" t="n">
        <v>0</v>
      </c>
      <c r="AK1976" s="51" t="n">
        <v>0</v>
      </c>
      <c r="AL1976" s="52" t="n">
        <v>0</v>
      </c>
      <c r="AM1976" s="52" t="n">
        <v>0</v>
      </c>
      <c r="AN1976" s="52" t="n">
        <v>0</v>
      </c>
      <c r="AO1976" s="53" t="n">
        <v>0</v>
      </c>
      <c r="AP1976" s="52" t="n">
        <v>0</v>
      </c>
      <c r="AQ1976" s="53" t="n">
        <v>0</v>
      </c>
      <c r="AR1976" s="52" t="n">
        <v>0</v>
      </c>
      <c r="AS1976" s="51" t="n">
        <v>0</v>
      </c>
      <c r="AT1976" s="48" t="n">
        <v>0</v>
      </c>
      <c r="AU1976" s="49" t="n">
        <v>0</v>
      </c>
      <c r="AV1976" s="49" t="n">
        <v>0</v>
      </c>
      <c r="AW1976" s="50" t="n">
        <v>0</v>
      </c>
      <c r="AX1976" s="51" t="n">
        <v>0</v>
      </c>
      <c r="AY1976" s="52" t="n">
        <v>0</v>
      </c>
      <c r="AZ1976" s="52" t="n">
        <v>0</v>
      </c>
      <c r="BA1976" s="52" t="n">
        <v>0</v>
      </c>
      <c r="BB1976" s="53" t="n">
        <v>0</v>
      </c>
      <c r="BC1976" s="52" t="n">
        <v>0</v>
      </c>
      <c r="BD1976" s="53" t="n">
        <v>0</v>
      </c>
      <c r="BE1976" s="52" t="n">
        <v>0</v>
      </c>
      <c r="BF1976" s="51" t="n">
        <v>0</v>
      </c>
    </row>
    <row r="1977">
      <c r="A1977">
        <f>HYPERLINK("https://www.walmart.com/ip/275735754", "275735754")</f>
        <v/>
      </c>
      <c r="B1977" t="inlineStr">
        <is>
          <t>Sports Travel Money Belt - Unisex Fitness Fanny &amp; Waist Pack -Reflective Running Belt Flip Belt - Runners waist pack &amp; M</t>
        </is>
      </c>
      <c r="C1977" t="inlineStr">
        <is>
          <t>TERRA-5NG-M-JW</t>
        </is>
      </c>
      <c r="D1977" t="inlineStr">
        <is>
          <t>Fanny Packs</t>
        </is>
      </c>
      <c r="E1977" t="inlineStr">
        <is>
          <t>Terra</t>
        </is>
      </c>
      <c r="F1977" t="inlineStr">
        <is>
          <t>Optimized</t>
        </is>
      </c>
      <c r="G1977" s="48" t="n">
        <v>0</v>
      </c>
      <c r="H1977" s="49" t="n">
        <v>0</v>
      </c>
      <c r="I1977" s="49" t="n">
        <v>0</v>
      </c>
      <c r="J1977" s="50" t="n">
        <v>0</v>
      </c>
      <c r="K1977" s="51" t="n">
        <v>0</v>
      </c>
      <c r="L1977" s="52" t="n">
        <v>0</v>
      </c>
      <c r="M1977" s="52" t="n">
        <v>0</v>
      </c>
      <c r="N1977" s="52" t="n">
        <v>0</v>
      </c>
      <c r="O1977" s="53" t="n">
        <v>0</v>
      </c>
      <c r="P1977" s="52" t="n">
        <v>0</v>
      </c>
      <c r="Q1977" s="53" t="n">
        <v>0</v>
      </c>
      <c r="R1977" s="52" t="n">
        <v>0</v>
      </c>
      <c r="S1977" s="51" t="n">
        <v>0</v>
      </c>
      <c r="T1977" s="48" t="n">
        <v>0</v>
      </c>
      <c r="U1977" s="49" t="n">
        <v>0</v>
      </c>
      <c r="V1977" s="49" t="n">
        <v>0</v>
      </c>
      <c r="W1977" s="50" t="n">
        <v>0</v>
      </c>
      <c r="X1977" s="51" t="n">
        <v>0</v>
      </c>
      <c r="Y1977" s="52" t="n">
        <v>0</v>
      </c>
      <c r="Z1977" s="52" t="n">
        <v>0</v>
      </c>
      <c r="AA1977" s="52" t="n">
        <v>0</v>
      </c>
      <c r="AB1977" s="53" t="n">
        <v>0</v>
      </c>
      <c r="AC1977" s="52" t="n">
        <v>0</v>
      </c>
      <c r="AD1977" s="53" t="n">
        <v>0</v>
      </c>
      <c r="AE1977" s="52" t="n">
        <v>0</v>
      </c>
      <c r="AF1977" s="51" t="n">
        <v>0</v>
      </c>
      <c r="AG1977" s="48" t="n">
        <v>0</v>
      </c>
      <c r="AH1977" s="49" t="n">
        <v>0</v>
      </c>
      <c r="AI1977" s="49" t="n">
        <v>0</v>
      </c>
      <c r="AJ1977" s="50" t="n">
        <v>0</v>
      </c>
      <c r="AK1977" s="51" t="n">
        <v>0</v>
      </c>
      <c r="AL1977" s="52" t="n">
        <v>0</v>
      </c>
      <c r="AM1977" s="52" t="n">
        <v>0</v>
      </c>
      <c r="AN1977" s="52" t="n">
        <v>0</v>
      </c>
      <c r="AO1977" s="53" t="n">
        <v>0</v>
      </c>
      <c r="AP1977" s="52" t="n">
        <v>0</v>
      </c>
      <c r="AQ1977" s="53" t="n">
        <v>0</v>
      </c>
      <c r="AR1977" s="52" t="n">
        <v>0</v>
      </c>
      <c r="AS1977" s="51" t="n">
        <v>0</v>
      </c>
      <c r="AT1977" s="48" t="n">
        <v>0</v>
      </c>
      <c r="AU1977" s="49" t="n">
        <v>0</v>
      </c>
      <c r="AV1977" s="49" t="n">
        <v>0</v>
      </c>
      <c r="AW1977" s="50" t="n">
        <v>0</v>
      </c>
      <c r="AX1977" s="51" t="n">
        <v>0</v>
      </c>
      <c r="AY1977" s="52" t="n">
        <v>0</v>
      </c>
      <c r="AZ1977" s="52" t="n">
        <v>0</v>
      </c>
      <c r="BA1977" s="52" t="n">
        <v>0</v>
      </c>
      <c r="BB1977" s="53" t="n">
        <v>0</v>
      </c>
      <c r="BC1977" s="52" t="n">
        <v>0</v>
      </c>
      <c r="BD1977" s="53" t="n">
        <v>0</v>
      </c>
      <c r="BE1977" s="52" t="n">
        <v>0</v>
      </c>
      <c r="BF1977" s="51" t="n">
        <v>0</v>
      </c>
    </row>
    <row r="1978">
      <c r="A1978">
        <f>HYPERLINK("https://www.walmart.com/ip/276127615", "276127615")</f>
        <v/>
      </c>
      <c r="B1978" t="inlineStr">
        <is>
          <t>Kato Outdoor Wine Picnic Folding Portable Bamboo Table 17" x 12.6", Camping with Glasses &amp;amp; Bottle Holder for Concerts at Park beach</t>
        </is>
      </c>
      <c r="C1978" t="inlineStr">
        <is>
          <t>1TRPT200</t>
        </is>
      </c>
      <c r="D1978" t="inlineStr">
        <is>
          <t>Camping Tables</t>
        </is>
      </c>
      <c r="E1978" t="inlineStr">
        <is>
          <t>Tirrinia</t>
        </is>
      </c>
      <c r="F1978" t="inlineStr">
        <is>
          <t>Optimized,WFS,Valentine,WFS Item,AMZ Bestsellers</t>
        </is>
      </c>
      <c r="G1978" s="48" t="n">
        <v>0</v>
      </c>
      <c r="H1978" s="49" t="n">
        <v>0</v>
      </c>
      <c r="I1978" s="49" t="n">
        <v>0</v>
      </c>
      <c r="J1978" s="50" t="n">
        <v>0</v>
      </c>
      <c r="K1978" s="51" t="n">
        <v>0</v>
      </c>
      <c r="L1978" s="52" t="n">
        <v>0</v>
      </c>
      <c r="M1978" s="52" t="n">
        <v>0</v>
      </c>
      <c r="N1978" s="52" t="n">
        <v>0</v>
      </c>
      <c r="O1978" s="53" t="n">
        <v>0</v>
      </c>
      <c r="P1978" s="52" t="n">
        <v>0</v>
      </c>
      <c r="Q1978" s="53" t="n">
        <v>0</v>
      </c>
      <c r="R1978" s="52" t="n">
        <v>0</v>
      </c>
      <c r="S1978" s="51" t="n">
        <v>0</v>
      </c>
      <c r="T1978" s="48" t="n">
        <v>0</v>
      </c>
      <c r="U1978" s="49" t="n">
        <v>0</v>
      </c>
      <c r="V1978" s="49" t="n">
        <v>0</v>
      </c>
      <c r="W1978" s="50" t="n">
        <v>0</v>
      </c>
      <c r="X1978" s="51" t="n">
        <v>0</v>
      </c>
      <c r="Y1978" s="52" t="n">
        <v>0</v>
      </c>
      <c r="Z1978" s="52" t="n">
        <v>0</v>
      </c>
      <c r="AA1978" s="52" t="n">
        <v>0</v>
      </c>
      <c r="AB1978" s="53" t="n">
        <v>0</v>
      </c>
      <c r="AC1978" s="52" t="n">
        <v>0</v>
      </c>
      <c r="AD1978" s="53" t="n">
        <v>0</v>
      </c>
      <c r="AE1978" s="52" t="n">
        <v>0</v>
      </c>
      <c r="AF1978" s="51" t="n">
        <v>0</v>
      </c>
      <c r="AG1978" s="48" t="n">
        <v>0</v>
      </c>
      <c r="AH1978" s="49" t="n">
        <v>0</v>
      </c>
      <c r="AI1978" s="49" t="n">
        <v>0</v>
      </c>
      <c r="AJ1978" s="50" t="n">
        <v>0</v>
      </c>
      <c r="AK1978" s="51" t="n">
        <v>0</v>
      </c>
      <c r="AL1978" s="52" t="n">
        <v>0</v>
      </c>
      <c r="AM1978" s="52" t="n">
        <v>0</v>
      </c>
      <c r="AN1978" s="52" t="n">
        <v>0</v>
      </c>
      <c r="AO1978" s="53" t="n">
        <v>0</v>
      </c>
      <c r="AP1978" s="52" t="n">
        <v>0</v>
      </c>
      <c r="AQ1978" s="53" t="n">
        <v>0</v>
      </c>
      <c r="AR1978" s="52" t="n">
        <v>0</v>
      </c>
      <c r="AS1978" s="51" t="n">
        <v>0</v>
      </c>
      <c r="AT1978" s="48" t="n">
        <v>0</v>
      </c>
      <c r="AU1978" s="49" t="n">
        <v>0</v>
      </c>
      <c r="AV1978" s="49" t="n">
        <v>0</v>
      </c>
      <c r="AW1978" s="50" t="n">
        <v>0</v>
      </c>
      <c r="AX1978" s="51" t="n">
        <v>0</v>
      </c>
      <c r="AY1978" s="52" t="n">
        <v>0</v>
      </c>
      <c r="AZ1978" s="52" t="n">
        <v>0</v>
      </c>
      <c r="BA1978" s="52" t="n">
        <v>0</v>
      </c>
      <c r="BB1978" s="53" t="n">
        <v>0</v>
      </c>
      <c r="BC1978" s="52" t="n">
        <v>0</v>
      </c>
      <c r="BD1978" s="53" t="n">
        <v>0</v>
      </c>
      <c r="BE1978" s="52" t="n">
        <v>0</v>
      </c>
      <c r="BF1978" s="51" t="n">
        <v>0</v>
      </c>
    </row>
    <row r="1979">
      <c r="A1979">
        <f>HYPERLINK("https://www.walmart.com/ip/276329221", "276329221")</f>
        <v/>
      </c>
      <c r="B1979" t="inlineStr">
        <is>
          <t>Catalonia Knit Throw Blanket with Decorative PomPom Fringe 60" x 50" for sofa or bed</t>
        </is>
      </c>
      <c r="C1979" t="inlineStr">
        <is>
          <t>1CTBN200BK</t>
        </is>
      </c>
      <c r="D1979" t="inlineStr">
        <is>
          <t>Throws</t>
        </is>
      </c>
      <c r="E1979" t="inlineStr">
        <is>
          <t>Catalonia</t>
        </is>
      </c>
      <c r="F1979" t="inlineStr">
        <is>
          <t>Q2-Target,Optimized,WFS,WFS Item</t>
        </is>
      </c>
      <c r="G1979" s="48" t="n">
        <v>0</v>
      </c>
      <c r="H1979" s="49" t="n">
        <v>0</v>
      </c>
      <c r="I1979" s="49" t="n">
        <v>0</v>
      </c>
      <c r="J1979" s="50" t="n">
        <v>0</v>
      </c>
      <c r="K1979" s="51" t="n">
        <v>0</v>
      </c>
      <c r="L1979" s="52" t="n">
        <v>0</v>
      </c>
      <c r="M1979" s="52" t="n">
        <v>0</v>
      </c>
      <c r="N1979" s="52" t="n">
        <v>0</v>
      </c>
      <c r="O1979" s="53" t="n">
        <v>0</v>
      </c>
      <c r="P1979" s="52" t="n">
        <v>0</v>
      </c>
      <c r="Q1979" s="53" t="n">
        <v>0</v>
      </c>
      <c r="R1979" s="52" t="n">
        <v>0</v>
      </c>
      <c r="S1979" s="51" t="n">
        <v>0</v>
      </c>
      <c r="T1979" s="48" t="n">
        <v>0</v>
      </c>
      <c r="U1979" s="49" t="n">
        <v>0</v>
      </c>
      <c r="V1979" s="49" t="n">
        <v>0</v>
      </c>
      <c r="W1979" s="50" t="n">
        <v>0</v>
      </c>
      <c r="X1979" s="51" t="n">
        <v>0</v>
      </c>
      <c r="Y1979" s="52" t="n">
        <v>0</v>
      </c>
      <c r="Z1979" s="52" t="n">
        <v>0</v>
      </c>
      <c r="AA1979" s="52" t="n">
        <v>0</v>
      </c>
      <c r="AB1979" s="53" t="n">
        <v>0</v>
      </c>
      <c r="AC1979" s="52" t="n">
        <v>0</v>
      </c>
      <c r="AD1979" s="53" t="n">
        <v>0</v>
      </c>
      <c r="AE1979" s="52" t="n">
        <v>0</v>
      </c>
      <c r="AF1979" s="51" t="n">
        <v>0</v>
      </c>
      <c r="AG1979" s="48" t="n">
        <v>0</v>
      </c>
      <c r="AH1979" s="49" t="n">
        <v>0</v>
      </c>
      <c r="AI1979" s="49" t="n">
        <v>0</v>
      </c>
      <c r="AJ1979" s="50" t="n">
        <v>0</v>
      </c>
      <c r="AK1979" s="51" t="n">
        <v>0</v>
      </c>
      <c r="AL1979" s="52" t="n">
        <v>0</v>
      </c>
      <c r="AM1979" s="52" t="n">
        <v>0</v>
      </c>
      <c r="AN1979" s="52" t="n">
        <v>0</v>
      </c>
      <c r="AO1979" s="53" t="n">
        <v>0</v>
      </c>
      <c r="AP1979" s="52" t="n">
        <v>0</v>
      </c>
      <c r="AQ1979" s="53" t="n">
        <v>0</v>
      </c>
      <c r="AR1979" s="52" t="n">
        <v>0</v>
      </c>
      <c r="AS1979" s="51" t="n">
        <v>0</v>
      </c>
      <c r="AT1979" s="48" t="n">
        <v>0</v>
      </c>
      <c r="AU1979" s="49" t="n">
        <v>0</v>
      </c>
      <c r="AV1979" s="49" t="n">
        <v>0</v>
      </c>
      <c r="AW1979" s="50" t="n">
        <v>0</v>
      </c>
      <c r="AX1979" s="51" t="n">
        <v>0</v>
      </c>
      <c r="AY1979" s="52" t="n">
        <v>0</v>
      </c>
      <c r="AZ1979" s="52" t="n">
        <v>0</v>
      </c>
      <c r="BA1979" s="52" t="n">
        <v>0</v>
      </c>
      <c r="BB1979" s="53" t="n">
        <v>0</v>
      </c>
      <c r="BC1979" s="52" t="n">
        <v>0</v>
      </c>
      <c r="BD1979" s="53" t="n">
        <v>0</v>
      </c>
      <c r="BE1979" s="52" t="n">
        <v>0</v>
      </c>
      <c r="BF1979" s="51" t="n">
        <v>0</v>
      </c>
    </row>
    <row r="1980">
      <c r="A1980">
        <f>HYPERLINK("https://www.walmart.com/ip/276968221", "276968221")</f>
        <v/>
      </c>
      <c r="B1980" t="inlineStr">
        <is>
          <t>Catalonia Sherpa Throws Blanket,Super Soft Comfy Fuzzy Micro Fleece Plush Snuggle Blanket All Season for Couch Bed, 50" x 60" Wine Red</t>
        </is>
      </c>
      <c r="C1980" t="inlineStr">
        <is>
          <t>1CTBF300WN</t>
        </is>
      </c>
      <c r="D1980" t="inlineStr">
        <is>
          <t>Throws</t>
        </is>
      </c>
      <c r="E1980" t="inlineStr">
        <is>
          <t>Catalonia</t>
        </is>
      </c>
      <c r="F1980" t="inlineStr">
        <is>
          <t>Q2-Target,WFS,Coupon_Discount,WFS Item</t>
        </is>
      </c>
      <c r="G1980" s="48" t="n">
        <v>0</v>
      </c>
      <c r="H1980" s="49" t="n">
        <v>0</v>
      </c>
      <c r="I1980" s="49" t="n">
        <v>0</v>
      </c>
      <c r="J1980" s="50" t="n">
        <v>0</v>
      </c>
      <c r="K1980" s="51" t="n">
        <v>0</v>
      </c>
      <c r="L1980" s="52" t="n">
        <v>0</v>
      </c>
      <c r="M1980" s="52" t="n">
        <v>0</v>
      </c>
      <c r="N1980" s="52" t="n">
        <v>0</v>
      </c>
      <c r="O1980" s="53" t="n">
        <v>0</v>
      </c>
      <c r="P1980" s="52" t="n">
        <v>0</v>
      </c>
      <c r="Q1980" s="53" t="n">
        <v>0</v>
      </c>
      <c r="R1980" s="52" t="n">
        <v>0</v>
      </c>
      <c r="S1980" s="51" t="n">
        <v>0</v>
      </c>
      <c r="T1980" s="48" t="n">
        <v>0</v>
      </c>
      <c r="U1980" s="49" t="n">
        <v>0</v>
      </c>
      <c r="V1980" s="49" t="n">
        <v>0</v>
      </c>
      <c r="W1980" s="50" t="n">
        <v>0</v>
      </c>
      <c r="X1980" s="51" t="n">
        <v>0</v>
      </c>
      <c r="Y1980" s="52" t="n">
        <v>0</v>
      </c>
      <c r="Z1980" s="52" t="n">
        <v>0</v>
      </c>
      <c r="AA1980" s="52" t="n">
        <v>0</v>
      </c>
      <c r="AB1980" s="53" t="n">
        <v>0</v>
      </c>
      <c r="AC1980" s="52" t="n">
        <v>0</v>
      </c>
      <c r="AD1980" s="53" t="n">
        <v>0</v>
      </c>
      <c r="AE1980" s="52" t="n">
        <v>0</v>
      </c>
      <c r="AF1980" s="51" t="n">
        <v>0</v>
      </c>
      <c r="AG1980" s="48" t="n">
        <v>0</v>
      </c>
      <c r="AH1980" s="49" t="n">
        <v>0</v>
      </c>
      <c r="AI1980" s="49" t="n">
        <v>0</v>
      </c>
      <c r="AJ1980" s="50" t="n">
        <v>0</v>
      </c>
      <c r="AK1980" s="51" t="n">
        <v>0</v>
      </c>
      <c r="AL1980" s="52" t="n">
        <v>0</v>
      </c>
      <c r="AM1980" s="52" t="n">
        <v>0</v>
      </c>
      <c r="AN1980" s="52" t="n">
        <v>0</v>
      </c>
      <c r="AO1980" s="53" t="n">
        <v>0</v>
      </c>
      <c r="AP1980" s="52" t="n">
        <v>0</v>
      </c>
      <c r="AQ1980" s="53" t="n">
        <v>0</v>
      </c>
      <c r="AR1980" s="52" t="n">
        <v>0</v>
      </c>
      <c r="AS1980" s="51" t="n">
        <v>0</v>
      </c>
      <c r="AT1980" s="48" t="n">
        <v>0</v>
      </c>
      <c r="AU1980" s="49" t="n">
        <v>0</v>
      </c>
      <c r="AV1980" s="49" t="n">
        <v>0</v>
      </c>
      <c r="AW1980" s="50" t="n">
        <v>0</v>
      </c>
      <c r="AX1980" s="51" t="n">
        <v>0</v>
      </c>
      <c r="AY1980" s="52" t="n">
        <v>0</v>
      </c>
      <c r="AZ1980" s="52" t="n">
        <v>0</v>
      </c>
      <c r="BA1980" s="52" t="n">
        <v>0</v>
      </c>
      <c r="BB1980" s="53" t="n">
        <v>0</v>
      </c>
      <c r="BC1980" s="52" t="n">
        <v>0</v>
      </c>
      <c r="BD1980" s="53" t="n">
        <v>0</v>
      </c>
      <c r="BE1980" s="52" t="n">
        <v>0</v>
      </c>
      <c r="BF1980" s="51" t="n">
        <v>0</v>
      </c>
    </row>
    <row r="1981">
      <c r="A1981">
        <f>HYPERLINK("https://www.walmart.com/ip/277278833", "277278833")</f>
        <v/>
      </c>
      <c r="B1981" t="inlineStr">
        <is>
          <t>Catalonia Sherpa Fleece Blanket, 60”x50”, Reversible, Soft Warm Micro Plush Throws for Couch Multi-Color</t>
        </is>
      </c>
      <c r="C1981" t="inlineStr">
        <is>
          <t>1CTBF300PGN</t>
        </is>
      </c>
      <c r="D1981" t="inlineStr">
        <is>
          <t>Throws</t>
        </is>
      </c>
      <c r="E1981" t="inlineStr">
        <is>
          <t>Catalonia</t>
        </is>
      </c>
      <c r="F1981" t="inlineStr">
        <is>
          <t>Q2-Target,Optimized,WFS,WFS Item,Fleece Blankets</t>
        </is>
      </c>
      <c r="G1981" s="48" t="n">
        <v>0</v>
      </c>
      <c r="H1981" s="49" t="n">
        <v>0</v>
      </c>
      <c r="I1981" s="49" t="n">
        <v>0</v>
      </c>
      <c r="J1981" s="50" t="n">
        <v>0</v>
      </c>
      <c r="K1981" s="51" t="n">
        <v>0</v>
      </c>
      <c r="L1981" s="52" t="n">
        <v>0</v>
      </c>
      <c r="M1981" s="52" t="n">
        <v>0</v>
      </c>
      <c r="N1981" s="52" t="n">
        <v>0</v>
      </c>
      <c r="O1981" s="53" t="n">
        <v>0</v>
      </c>
      <c r="P1981" s="52" t="n">
        <v>0</v>
      </c>
      <c r="Q1981" s="53" t="n">
        <v>0</v>
      </c>
      <c r="R1981" s="52" t="n">
        <v>0</v>
      </c>
      <c r="S1981" s="51" t="n">
        <v>0</v>
      </c>
      <c r="T1981" s="48" t="n">
        <v>0</v>
      </c>
      <c r="U1981" s="49" t="n">
        <v>0</v>
      </c>
      <c r="V1981" s="49" t="n">
        <v>0</v>
      </c>
      <c r="W1981" s="50" t="n">
        <v>0</v>
      </c>
      <c r="X1981" s="51" t="n">
        <v>0</v>
      </c>
      <c r="Y1981" s="52" t="n">
        <v>0</v>
      </c>
      <c r="Z1981" s="52" t="n">
        <v>0</v>
      </c>
      <c r="AA1981" s="52" t="n">
        <v>0</v>
      </c>
      <c r="AB1981" s="53" t="n">
        <v>0</v>
      </c>
      <c r="AC1981" s="52" t="n">
        <v>0</v>
      </c>
      <c r="AD1981" s="53" t="n">
        <v>0</v>
      </c>
      <c r="AE1981" s="52" t="n">
        <v>0</v>
      </c>
      <c r="AF1981" s="51" t="n">
        <v>0</v>
      </c>
      <c r="AG1981" s="48" t="n">
        <v>0</v>
      </c>
      <c r="AH1981" s="49" t="n">
        <v>0</v>
      </c>
      <c r="AI1981" s="49" t="n">
        <v>0</v>
      </c>
      <c r="AJ1981" s="50" t="n">
        <v>0</v>
      </c>
      <c r="AK1981" s="51" t="n">
        <v>0</v>
      </c>
      <c r="AL1981" s="52" t="n">
        <v>0</v>
      </c>
      <c r="AM1981" s="52" t="n">
        <v>0</v>
      </c>
      <c r="AN1981" s="52" t="n">
        <v>0</v>
      </c>
      <c r="AO1981" s="53" t="n">
        <v>0</v>
      </c>
      <c r="AP1981" s="52" t="n">
        <v>0</v>
      </c>
      <c r="AQ1981" s="53" t="n">
        <v>0</v>
      </c>
      <c r="AR1981" s="52" t="n">
        <v>0</v>
      </c>
      <c r="AS1981" s="51" t="n">
        <v>0</v>
      </c>
      <c r="AT1981" s="48" t="n">
        <v>0</v>
      </c>
      <c r="AU1981" s="49" t="n">
        <v>0</v>
      </c>
      <c r="AV1981" s="49" t="n">
        <v>0</v>
      </c>
      <c r="AW1981" s="50" t="n">
        <v>0</v>
      </c>
      <c r="AX1981" s="51" t="n">
        <v>0</v>
      </c>
      <c r="AY1981" s="52" t="n">
        <v>0</v>
      </c>
      <c r="AZ1981" s="52" t="n">
        <v>0</v>
      </c>
      <c r="BA1981" s="52" t="n">
        <v>0</v>
      </c>
      <c r="BB1981" s="53" t="n">
        <v>0</v>
      </c>
      <c r="BC1981" s="52" t="n">
        <v>0</v>
      </c>
      <c r="BD1981" s="53" t="n">
        <v>0</v>
      </c>
      <c r="BE1981" s="52" t="n">
        <v>0</v>
      </c>
      <c r="BF1981" s="51" t="n">
        <v>0</v>
      </c>
    </row>
    <row r="1982">
      <c r="A1982">
        <f>HYPERLINK("https://www.walmart.com/ip/277298217", "277298217")</f>
        <v/>
      </c>
      <c r="B1982" t="inlineStr">
        <is>
          <t>Catalonia Sherpa Blanket, National Flag Print Patriotic Plush Super Soft Warm Reversible Polar Fleece Throws for Living Room Derocation, 50x60 inches</t>
        </is>
      </c>
      <c r="C1982" t="inlineStr">
        <is>
          <t>1CTBF300CAD</t>
        </is>
      </c>
      <c r="D1982" t="inlineStr">
        <is>
          <t>Throws</t>
        </is>
      </c>
      <c r="E1982" t="inlineStr">
        <is>
          <t>Catalonia</t>
        </is>
      </c>
      <c r="F1982" t="inlineStr">
        <is>
          <t>WFS,WFS Item</t>
        </is>
      </c>
      <c r="G1982" s="48" t="n">
        <v>0</v>
      </c>
      <c r="H1982" s="49" t="n">
        <v>0</v>
      </c>
      <c r="I1982" s="49" t="n">
        <v>0</v>
      </c>
      <c r="J1982" s="50" t="n">
        <v>0</v>
      </c>
      <c r="K1982" s="51" t="n">
        <v>0</v>
      </c>
      <c r="L1982" s="52" t="n">
        <v>0</v>
      </c>
      <c r="M1982" s="52" t="n">
        <v>0</v>
      </c>
      <c r="N1982" s="52" t="n">
        <v>0</v>
      </c>
      <c r="O1982" s="53" t="n">
        <v>0</v>
      </c>
      <c r="P1982" s="52" t="n">
        <v>0</v>
      </c>
      <c r="Q1982" s="53" t="n">
        <v>0</v>
      </c>
      <c r="R1982" s="52" t="n">
        <v>0</v>
      </c>
      <c r="S1982" s="51" t="n">
        <v>0</v>
      </c>
      <c r="T1982" s="48" t="n">
        <v>0</v>
      </c>
      <c r="U1982" s="49" t="n">
        <v>0</v>
      </c>
      <c r="V1982" s="49" t="n">
        <v>0</v>
      </c>
      <c r="W1982" s="50" t="n">
        <v>0</v>
      </c>
      <c r="X1982" s="51" t="n">
        <v>0</v>
      </c>
      <c r="Y1982" s="52" t="n">
        <v>0</v>
      </c>
      <c r="Z1982" s="52" t="n">
        <v>0</v>
      </c>
      <c r="AA1982" s="52" t="n">
        <v>0</v>
      </c>
      <c r="AB1982" s="53" t="n">
        <v>0</v>
      </c>
      <c r="AC1982" s="52" t="n">
        <v>0</v>
      </c>
      <c r="AD1982" s="53" t="n">
        <v>0</v>
      </c>
      <c r="AE1982" s="52" t="n">
        <v>0</v>
      </c>
      <c r="AF1982" s="51" t="n">
        <v>0</v>
      </c>
      <c r="AG1982" s="48" t="n">
        <v>0</v>
      </c>
      <c r="AH1982" s="49" t="n">
        <v>0</v>
      </c>
      <c r="AI1982" s="49" t="n">
        <v>0</v>
      </c>
      <c r="AJ1982" s="50" t="n">
        <v>0</v>
      </c>
      <c r="AK1982" s="51" t="n">
        <v>0</v>
      </c>
      <c r="AL1982" s="52" t="n">
        <v>0</v>
      </c>
      <c r="AM1982" s="52" t="n">
        <v>0</v>
      </c>
      <c r="AN1982" s="52" t="n">
        <v>0</v>
      </c>
      <c r="AO1982" s="53" t="n">
        <v>0</v>
      </c>
      <c r="AP1982" s="52" t="n">
        <v>0</v>
      </c>
      <c r="AQ1982" s="53" t="n">
        <v>0</v>
      </c>
      <c r="AR1982" s="52" t="n">
        <v>0</v>
      </c>
      <c r="AS1982" s="51" t="n">
        <v>0</v>
      </c>
      <c r="AT1982" s="48" t="n">
        <v>0</v>
      </c>
      <c r="AU1982" s="49" t="n">
        <v>0</v>
      </c>
      <c r="AV1982" s="49" t="n">
        <v>0</v>
      </c>
      <c r="AW1982" s="50" t="n">
        <v>0</v>
      </c>
      <c r="AX1982" s="51" t="n">
        <v>0</v>
      </c>
      <c r="AY1982" s="52" t="n">
        <v>0</v>
      </c>
      <c r="AZ1982" s="52" t="n">
        <v>0</v>
      </c>
      <c r="BA1982" s="52" t="n">
        <v>0</v>
      </c>
      <c r="BB1982" s="53" t="n">
        <v>0</v>
      </c>
      <c r="BC1982" s="52" t="n">
        <v>0</v>
      </c>
      <c r="BD1982" s="53" t="n">
        <v>0</v>
      </c>
      <c r="BE1982" s="52" t="n">
        <v>0</v>
      </c>
      <c r="BF1982" s="51" t="n">
        <v>0</v>
      </c>
    </row>
    <row r="1983">
      <c r="A1983">
        <f>HYPERLINK("https://www.walmart.com/ip/279013696", "279013696")</f>
        <v/>
      </c>
      <c r="B1983" t="inlineStr">
        <is>
          <t>Catalonia Fleece Wearable Blanket Poncho for Adult Women Men, Wrap Blanket Cape with Pocket | Warm, Soft, Cozy, Snuggly, Comfort Gift, No Sleeves | All-Season, Purple</t>
        </is>
      </c>
      <c r="C1983" t="inlineStr">
        <is>
          <t>1CTBP100PP</t>
        </is>
      </c>
      <c r="D1983" t="inlineStr">
        <is>
          <t>Throws</t>
        </is>
      </c>
      <c r="E1983" t="inlineStr">
        <is>
          <t>Catalonia</t>
        </is>
      </c>
      <c r="F1983" t="inlineStr">
        <is>
          <t>Hero 5 Holidays,Coupon_Discount,Batch 1 - TR</t>
        </is>
      </c>
      <c r="G1983" s="48" t="n">
        <v>0</v>
      </c>
      <c r="H1983" s="49" t="n">
        <v>0</v>
      </c>
      <c r="I1983" s="49" t="n">
        <v>4</v>
      </c>
      <c r="J1983" s="50" t="n">
        <v>0</v>
      </c>
      <c r="K1983" s="51" t="n">
        <v>0</v>
      </c>
      <c r="L1983" s="52" t="n">
        <v>0</v>
      </c>
      <c r="M1983" s="52" t="n">
        <v>0</v>
      </c>
      <c r="N1983" s="52" t="n">
        <v>0</v>
      </c>
      <c r="O1983" s="53" t="n">
        <v>0</v>
      </c>
      <c r="P1983" s="52" t="n">
        <v>0</v>
      </c>
      <c r="Q1983" s="53" t="n">
        <v>0</v>
      </c>
      <c r="R1983" s="52" t="n">
        <v>0</v>
      </c>
      <c r="S1983" s="51" t="n">
        <v>0</v>
      </c>
      <c r="T1983" s="48" t="n">
        <v>23.99</v>
      </c>
      <c r="U1983" s="49" t="n">
        <v>1</v>
      </c>
      <c r="V1983" s="49" t="n">
        <v>4</v>
      </c>
      <c r="W1983" s="50" t="n">
        <v>0.25</v>
      </c>
      <c r="X1983" s="51" t="n">
        <v>0</v>
      </c>
      <c r="Y1983" s="52" t="n">
        <v>0</v>
      </c>
      <c r="Z1983" s="52" t="n">
        <v>0</v>
      </c>
      <c r="AA1983" s="52" t="n">
        <v>0</v>
      </c>
      <c r="AB1983" s="53" t="n">
        <v>0</v>
      </c>
      <c r="AC1983" s="52" t="n">
        <v>0</v>
      </c>
      <c r="AD1983" s="53" t="n">
        <v>0</v>
      </c>
      <c r="AE1983" s="52" t="n">
        <v>23.99</v>
      </c>
      <c r="AF1983" s="51" t="n">
        <v>0</v>
      </c>
      <c r="AG1983" s="48" t="n">
        <v>0</v>
      </c>
      <c r="AH1983" s="49" t="n">
        <v>0</v>
      </c>
      <c r="AI1983" s="49" t="n">
        <v>1</v>
      </c>
      <c r="AJ1983" s="50" t="n">
        <v>0</v>
      </c>
      <c r="AK1983" s="51" t="n">
        <v>0</v>
      </c>
      <c r="AL1983" s="52" t="n">
        <v>0</v>
      </c>
      <c r="AM1983" s="52" t="n">
        <v>0</v>
      </c>
      <c r="AN1983" s="52" t="n">
        <v>0</v>
      </c>
      <c r="AO1983" s="53" t="n">
        <v>0</v>
      </c>
      <c r="AP1983" s="52" t="n">
        <v>0</v>
      </c>
      <c r="AQ1983" s="53" t="n">
        <v>0</v>
      </c>
      <c r="AR1983" s="52" t="n">
        <v>0</v>
      </c>
      <c r="AS1983" s="51" t="n">
        <v>0</v>
      </c>
      <c r="AT1983" s="48" t="n">
        <v>0</v>
      </c>
      <c r="AU1983" s="49" t="n">
        <v>0</v>
      </c>
      <c r="AV1983" s="49" t="n">
        <v>0</v>
      </c>
      <c r="AW1983" s="50" t="n">
        <v>0</v>
      </c>
      <c r="AX1983" s="51" t="n">
        <v>0</v>
      </c>
      <c r="AY1983" s="52" t="n">
        <v>0</v>
      </c>
      <c r="AZ1983" s="52" t="n">
        <v>0</v>
      </c>
      <c r="BA1983" s="52" t="n">
        <v>0</v>
      </c>
      <c r="BB1983" s="53" t="n">
        <v>0</v>
      </c>
      <c r="BC1983" s="52" t="n">
        <v>0</v>
      </c>
      <c r="BD1983" s="53" t="n">
        <v>0</v>
      </c>
      <c r="BE1983" s="52" t="n">
        <v>0</v>
      </c>
      <c r="BF1983" s="51" t="n">
        <v>0</v>
      </c>
    </row>
    <row r="1984">
      <c r="A1984">
        <f>HYPERLINK("https://www.walmart.com/ip/279182817", "279182817")</f>
        <v/>
      </c>
      <c r="B1984" t="inlineStr">
        <is>
          <t>Catalonia Kids Mermaid Tail Blanket,Super Soft Plush Flannel Sleeping Snuggle Blanket for Teen Girls,Rainbow Ombre,Fish Scale Pattern,Gift Idea</t>
        </is>
      </c>
      <c r="C1984" t="inlineStr">
        <is>
          <t>1CTMM502PK</t>
        </is>
      </c>
      <c r="D1984" t="inlineStr">
        <is>
          <t>Throws</t>
        </is>
      </c>
      <c r="E1984" t="inlineStr">
        <is>
          <t>Catalonia</t>
        </is>
      </c>
      <c r="F1984" t="inlineStr">
        <is>
          <t>Q2-Target,Baby days,Optimized,WFS,WFS Item</t>
        </is>
      </c>
      <c r="G1984" s="48" t="n">
        <v>0</v>
      </c>
      <c r="H1984" s="49" t="n">
        <v>0</v>
      </c>
      <c r="I1984" s="49" t="n">
        <v>0</v>
      </c>
      <c r="J1984" s="50" t="n">
        <v>0</v>
      </c>
      <c r="K1984" s="51" t="n">
        <v>0</v>
      </c>
      <c r="L1984" s="52" t="n">
        <v>0</v>
      </c>
      <c r="M1984" s="52" t="n">
        <v>0</v>
      </c>
      <c r="N1984" s="52" t="n">
        <v>0</v>
      </c>
      <c r="O1984" s="53" t="n">
        <v>0</v>
      </c>
      <c r="P1984" s="52" t="n">
        <v>0</v>
      </c>
      <c r="Q1984" s="53" t="n">
        <v>0</v>
      </c>
      <c r="R1984" s="52" t="n">
        <v>0</v>
      </c>
      <c r="S1984" s="51" t="n">
        <v>0</v>
      </c>
      <c r="T1984" s="48" t="n">
        <v>0</v>
      </c>
      <c r="U1984" s="49" t="n">
        <v>0</v>
      </c>
      <c r="V1984" s="49" t="n">
        <v>0</v>
      </c>
      <c r="W1984" s="50" t="n">
        <v>0</v>
      </c>
      <c r="X1984" s="51" t="n">
        <v>0</v>
      </c>
      <c r="Y1984" s="52" t="n">
        <v>0</v>
      </c>
      <c r="Z1984" s="52" t="n">
        <v>0</v>
      </c>
      <c r="AA1984" s="52" t="n">
        <v>0</v>
      </c>
      <c r="AB1984" s="53" t="n">
        <v>0</v>
      </c>
      <c r="AC1984" s="52" t="n">
        <v>0</v>
      </c>
      <c r="AD1984" s="53" t="n">
        <v>0</v>
      </c>
      <c r="AE1984" s="52" t="n">
        <v>0</v>
      </c>
      <c r="AF1984" s="51" t="n">
        <v>0</v>
      </c>
      <c r="AG1984" s="48" t="n">
        <v>0</v>
      </c>
      <c r="AH1984" s="49" t="n">
        <v>0</v>
      </c>
      <c r="AI1984" s="49" t="n">
        <v>0</v>
      </c>
      <c r="AJ1984" s="50" t="n">
        <v>0</v>
      </c>
      <c r="AK1984" s="51" t="n">
        <v>0</v>
      </c>
      <c r="AL1984" s="52" t="n">
        <v>0</v>
      </c>
      <c r="AM1984" s="52" t="n">
        <v>0</v>
      </c>
      <c r="AN1984" s="52" t="n">
        <v>0</v>
      </c>
      <c r="AO1984" s="53" t="n">
        <v>0</v>
      </c>
      <c r="AP1984" s="52" t="n">
        <v>0</v>
      </c>
      <c r="AQ1984" s="53" t="n">
        <v>0</v>
      </c>
      <c r="AR1984" s="52" t="n">
        <v>0</v>
      </c>
      <c r="AS1984" s="51" t="n">
        <v>0</v>
      </c>
      <c r="AT1984" s="48" t="n">
        <v>0</v>
      </c>
      <c r="AU1984" s="49" t="n">
        <v>0</v>
      </c>
      <c r="AV1984" s="49" t="n">
        <v>1</v>
      </c>
      <c r="AW1984" s="50" t="n">
        <v>0</v>
      </c>
      <c r="AX1984" s="51" t="n">
        <v>0</v>
      </c>
      <c r="AY1984" s="52" t="n">
        <v>0</v>
      </c>
      <c r="AZ1984" s="52" t="n">
        <v>0</v>
      </c>
      <c r="BA1984" s="52" t="n">
        <v>0</v>
      </c>
      <c r="BB1984" s="53" t="n">
        <v>0</v>
      </c>
      <c r="BC1984" s="52" t="n">
        <v>0</v>
      </c>
      <c r="BD1984" s="53" t="n">
        <v>0</v>
      </c>
      <c r="BE1984" s="52" t="n">
        <v>0</v>
      </c>
      <c r="BF1984" s="51" t="n">
        <v>0</v>
      </c>
    </row>
    <row r="1985">
      <c r="A1985">
        <f>HYPERLINK("https://www.walmart.com/ip/279409714", "279409714")</f>
        <v/>
      </c>
      <c r="B1985" t="inlineStr">
        <is>
          <t>Terra Mens Boxer Briefs with Elastic Waistband, Solid New Classic Fit Men's Underwear, Gray/Stripe, 3-Pack</t>
        </is>
      </c>
      <c r="C1985" t="inlineStr">
        <is>
          <t>TERRA-BOXER4-L</t>
        </is>
      </c>
      <c r="D1985" t="inlineStr">
        <is>
          <t>Underpants</t>
        </is>
      </c>
      <c r="E1985" t="inlineStr">
        <is>
          <t>Terra</t>
        </is>
      </c>
      <c r="F1985" t="inlineStr">
        <is>
          <t>Batch 1 - TR</t>
        </is>
      </c>
      <c r="G1985" s="48" t="n">
        <v>0</v>
      </c>
      <c r="H1985" s="49" t="n">
        <v>0</v>
      </c>
      <c r="I1985" s="49" t="n">
        <v>0</v>
      </c>
      <c r="J1985" s="50" t="n">
        <v>0</v>
      </c>
      <c r="K1985" s="51" t="n">
        <v>0</v>
      </c>
      <c r="L1985" s="52" t="n">
        <v>0</v>
      </c>
      <c r="M1985" s="52" t="n">
        <v>0</v>
      </c>
      <c r="N1985" s="52" t="n">
        <v>0</v>
      </c>
      <c r="O1985" s="53" t="n">
        <v>0</v>
      </c>
      <c r="P1985" s="52" t="n">
        <v>0</v>
      </c>
      <c r="Q1985" s="53" t="n">
        <v>0</v>
      </c>
      <c r="R1985" s="52" t="n">
        <v>0</v>
      </c>
      <c r="S1985" s="51" t="n">
        <v>0</v>
      </c>
      <c r="T1985" s="48" t="n">
        <v>0</v>
      </c>
      <c r="U1985" s="49" t="n">
        <v>0</v>
      </c>
      <c r="V1985" s="49" t="n">
        <v>0</v>
      </c>
      <c r="W1985" s="50" t="n">
        <v>0</v>
      </c>
      <c r="X1985" s="51" t="n">
        <v>0</v>
      </c>
      <c r="Y1985" s="52" t="n">
        <v>0</v>
      </c>
      <c r="Z1985" s="52" t="n">
        <v>0</v>
      </c>
      <c r="AA1985" s="52" t="n">
        <v>0</v>
      </c>
      <c r="AB1985" s="53" t="n">
        <v>0</v>
      </c>
      <c r="AC1985" s="52" t="n">
        <v>0</v>
      </c>
      <c r="AD1985" s="53" t="n">
        <v>0</v>
      </c>
      <c r="AE1985" s="52" t="n">
        <v>0</v>
      </c>
      <c r="AF1985" s="51" t="n">
        <v>0</v>
      </c>
      <c r="AG1985" s="48" t="n">
        <v>0</v>
      </c>
      <c r="AH1985" s="49" t="n">
        <v>0</v>
      </c>
      <c r="AI1985" s="49" t="n">
        <v>0</v>
      </c>
      <c r="AJ1985" s="50" t="n">
        <v>0</v>
      </c>
      <c r="AK1985" s="51" t="n">
        <v>0</v>
      </c>
      <c r="AL1985" s="52" t="n">
        <v>0</v>
      </c>
      <c r="AM1985" s="52" t="n">
        <v>0</v>
      </c>
      <c r="AN1985" s="52" t="n">
        <v>0</v>
      </c>
      <c r="AO1985" s="53" t="n">
        <v>0</v>
      </c>
      <c r="AP1985" s="52" t="n">
        <v>0</v>
      </c>
      <c r="AQ1985" s="53" t="n">
        <v>0</v>
      </c>
      <c r="AR1985" s="52" t="n">
        <v>0</v>
      </c>
      <c r="AS1985" s="51" t="n">
        <v>0</v>
      </c>
      <c r="AT1985" s="48" t="n">
        <v>0</v>
      </c>
      <c r="AU1985" s="49" t="n">
        <v>0</v>
      </c>
      <c r="AV1985" s="49" t="n">
        <v>0</v>
      </c>
      <c r="AW1985" s="50" t="n">
        <v>0</v>
      </c>
      <c r="AX1985" s="51" t="n">
        <v>0</v>
      </c>
      <c r="AY1985" s="52" t="n">
        <v>0</v>
      </c>
      <c r="AZ1985" s="52" t="n">
        <v>0</v>
      </c>
      <c r="BA1985" s="52" t="n">
        <v>0</v>
      </c>
      <c r="BB1985" s="53" t="n">
        <v>0</v>
      </c>
      <c r="BC1985" s="52" t="n">
        <v>0</v>
      </c>
      <c r="BD1985" s="53" t="n">
        <v>0</v>
      </c>
      <c r="BE1985" s="52" t="n">
        <v>0</v>
      </c>
      <c r="BF1985" s="51" t="n">
        <v>0</v>
      </c>
    </row>
    <row r="1986">
      <c r="A1986">
        <f>HYPERLINK("https://www.walmart.com/ip/250956807", "250956807")</f>
        <v/>
      </c>
      <c r="B1986" t="inlineStr">
        <is>
          <t>Tirrinia Snowflake Sherpa Throw Blanket 50" x 60", Super Soft Fluffy Sherpa Throw TV Blanket Decorative Blanket for Bed Couch Holidays | Catalonia series | Blue</t>
        </is>
      </c>
      <c r="C1986" t="inlineStr">
        <is>
          <t>1TRBF390BL-TBCB</t>
        </is>
      </c>
      <c r="D1986" t="inlineStr">
        <is>
          <t>Throws</t>
        </is>
      </c>
      <c r="E1986" t="inlineStr">
        <is>
          <t>Tirrinia</t>
        </is>
      </c>
      <c r="F1986" t="inlineStr">
        <is>
          <t>Batch 1 - TR</t>
        </is>
      </c>
      <c r="G1986" s="48" t="n">
        <v>0</v>
      </c>
      <c r="H1986" s="49" t="n">
        <v>0</v>
      </c>
      <c r="I1986" s="49" t="n">
        <v>0</v>
      </c>
      <c r="J1986" s="50" t="n">
        <v>0</v>
      </c>
      <c r="K1986" s="51" t="n">
        <v>0</v>
      </c>
      <c r="L1986" s="52" t="n">
        <v>0</v>
      </c>
      <c r="M1986" s="52" t="n">
        <v>0</v>
      </c>
      <c r="N1986" s="52" t="n">
        <v>0</v>
      </c>
      <c r="O1986" s="53" t="n">
        <v>0</v>
      </c>
      <c r="P1986" s="52" t="n">
        <v>0</v>
      </c>
      <c r="Q1986" s="53" t="n">
        <v>0</v>
      </c>
      <c r="R1986" s="52" t="n">
        <v>0</v>
      </c>
      <c r="S1986" s="51" t="n">
        <v>0</v>
      </c>
      <c r="T1986" s="48" t="n">
        <v>0</v>
      </c>
      <c r="U1986" s="49" t="n">
        <v>0</v>
      </c>
      <c r="V1986" s="49" t="n">
        <v>0</v>
      </c>
      <c r="W1986" s="50" t="n">
        <v>0</v>
      </c>
      <c r="X1986" s="51" t="n">
        <v>0</v>
      </c>
      <c r="Y1986" s="52" t="n">
        <v>0</v>
      </c>
      <c r="Z1986" s="52" t="n">
        <v>0</v>
      </c>
      <c r="AA1986" s="52" t="n">
        <v>0</v>
      </c>
      <c r="AB1986" s="53" t="n">
        <v>0</v>
      </c>
      <c r="AC1986" s="52" t="n">
        <v>0</v>
      </c>
      <c r="AD1986" s="53" t="n">
        <v>0</v>
      </c>
      <c r="AE1986" s="52" t="n">
        <v>0</v>
      </c>
      <c r="AF1986" s="51" t="n">
        <v>0</v>
      </c>
      <c r="AG1986" s="48" t="n">
        <v>0</v>
      </c>
      <c r="AH1986" s="49" t="n">
        <v>0</v>
      </c>
      <c r="AI1986" s="49" t="n">
        <v>0</v>
      </c>
      <c r="AJ1986" s="50" t="n">
        <v>0</v>
      </c>
      <c r="AK1986" s="51" t="n">
        <v>0</v>
      </c>
      <c r="AL1986" s="52" t="n">
        <v>0</v>
      </c>
      <c r="AM1986" s="52" t="n">
        <v>0</v>
      </c>
      <c r="AN1986" s="52" t="n">
        <v>0</v>
      </c>
      <c r="AO1986" s="53" t="n">
        <v>0</v>
      </c>
      <c r="AP1986" s="52" t="n">
        <v>0</v>
      </c>
      <c r="AQ1986" s="53" t="n">
        <v>0</v>
      </c>
      <c r="AR1986" s="52" t="n">
        <v>0</v>
      </c>
      <c r="AS1986" s="51" t="n">
        <v>0</v>
      </c>
      <c r="AT1986" s="48" t="n">
        <v>0</v>
      </c>
      <c r="AU1986" s="49" t="n">
        <v>0</v>
      </c>
      <c r="AV1986" s="49" t="n">
        <v>0</v>
      </c>
      <c r="AW1986" s="50" t="n">
        <v>0</v>
      </c>
      <c r="AX1986" s="51" t="n">
        <v>0</v>
      </c>
      <c r="AY1986" s="52" t="n">
        <v>0</v>
      </c>
      <c r="AZ1986" s="52" t="n">
        <v>0</v>
      </c>
      <c r="BA1986" s="52" t="n">
        <v>0</v>
      </c>
      <c r="BB1986" s="53" t="n">
        <v>0</v>
      </c>
      <c r="BC1986" s="52" t="n">
        <v>0</v>
      </c>
      <c r="BD1986" s="53" t="n">
        <v>0</v>
      </c>
      <c r="BE1986" s="52" t="n">
        <v>0</v>
      </c>
      <c r="BF1986" s="51" t="n">
        <v>0</v>
      </c>
    </row>
    <row r="1987">
      <c r="A1987">
        <f>HYPERLINK("https://www.walmart.com/ip/248985421", "248985421")</f>
        <v/>
      </c>
      <c r="B1987" t="inlineStr">
        <is>
          <t>Catalonia Waterproof Blanket for Baby, Pee Proof Pet Cover for Couch Bed, Reversible Sherpa Fleece Throws for Relaxing Traveling Camping, 60"x50", Wine/Taupe</t>
        </is>
      </c>
      <c r="C1987" t="inlineStr">
        <is>
          <t>1CTBW561WNTP</t>
        </is>
      </c>
      <c r="D1987" t="inlineStr">
        <is>
          <t>Throws</t>
        </is>
      </c>
      <c r="E1987" t="inlineStr">
        <is>
          <t>Catalonia</t>
        </is>
      </c>
      <c r="F1987" t="inlineStr">
        <is>
          <t>Q2-Target,Wproof Blanket,Batch 1 - TR</t>
        </is>
      </c>
      <c r="G1987" s="48" t="n">
        <v>0</v>
      </c>
      <c r="H1987" s="49" t="n">
        <v>0</v>
      </c>
      <c r="I1987" s="49" t="n">
        <v>0</v>
      </c>
      <c r="J1987" s="50" t="n">
        <v>0</v>
      </c>
      <c r="K1987" s="51" t="n">
        <v>0</v>
      </c>
      <c r="L1987" s="52" t="n">
        <v>0</v>
      </c>
      <c r="M1987" s="52" t="n">
        <v>0</v>
      </c>
      <c r="N1987" s="52" t="n">
        <v>0</v>
      </c>
      <c r="O1987" s="53" t="n">
        <v>0</v>
      </c>
      <c r="P1987" s="52" t="n">
        <v>0</v>
      </c>
      <c r="Q1987" s="53" t="n">
        <v>0</v>
      </c>
      <c r="R1987" s="52" t="n">
        <v>0</v>
      </c>
      <c r="S1987" s="51" t="n">
        <v>22</v>
      </c>
      <c r="T1987" s="48" t="n">
        <v>0</v>
      </c>
      <c r="U1987" s="49" t="n">
        <v>0</v>
      </c>
      <c r="V1987" s="49" t="n">
        <v>0</v>
      </c>
      <c r="W1987" s="50" t="n">
        <v>0</v>
      </c>
      <c r="X1987" s="51" t="n">
        <v>0</v>
      </c>
      <c r="Y1987" s="52" t="n">
        <v>0</v>
      </c>
      <c r="Z1987" s="52" t="n">
        <v>0</v>
      </c>
      <c r="AA1987" s="52" t="n">
        <v>0</v>
      </c>
      <c r="AB1987" s="53" t="n">
        <v>0</v>
      </c>
      <c r="AC1987" s="52" t="n">
        <v>0</v>
      </c>
      <c r="AD1987" s="53" t="n">
        <v>0</v>
      </c>
      <c r="AE1987" s="52" t="n">
        <v>0</v>
      </c>
      <c r="AF1987" s="51" t="n">
        <v>38</v>
      </c>
      <c r="AG1987" s="48" t="n">
        <v>29.99</v>
      </c>
      <c r="AH1987" s="49" t="n">
        <v>1</v>
      </c>
      <c r="AI1987" s="49" t="n">
        <v>0</v>
      </c>
      <c r="AJ1987" s="50" t="n">
        <v>0</v>
      </c>
      <c r="AK1987" s="51" t="n">
        <v>0</v>
      </c>
      <c r="AL1987" s="52" t="n">
        <v>0</v>
      </c>
      <c r="AM1987" s="52" t="n">
        <v>0</v>
      </c>
      <c r="AN1987" s="52" t="n">
        <v>0</v>
      </c>
      <c r="AO1987" s="53" t="n">
        <v>0</v>
      </c>
      <c r="AP1987" s="52" t="n">
        <v>0</v>
      </c>
      <c r="AQ1987" s="53" t="n">
        <v>0</v>
      </c>
      <c r="AR1987" s="52" t="n">
        <v>29.99</v>
      </c>
      <c r="AS1987" s="51" t="n">
        <v>0</v>
      </c>
      <c r="AT1987" s="48" t="n">
        <v>0</v>
      </c>
      <c r="AU1987" s="49" t="n">
        <v>0</v>
      </c>
      <c r="AV1987" s="49" t="n">
        <v>0</v>
      </c>
      <c r="AW1987" s="50" t="n">
        <v>0</v>
      </c>
      <c r="AX1987" s="51" t="n">
        <v>0</v>
      </c>
      <c r="AY1987" s="52" t="n">
        <v>0</v>
      </c>
      <c r="AZ1987" s="52" t="n">
        <v>0</v>
      </c>
      <c r="BA1987" s="52" t="n">
        <v>0</v>
      </c>
      <c r="BB1987" s="53" t="n">
        <v>0</v>
      </c>
      <c r="BC1987" s="52" t="n">
        <v>0</v>
      </c>
      <c r="BD1987" s="53" t="n">
        <v>0</v>
      </c>
      <c r="BE1987" s="52" t="n">
        <v>0</v>
      </c>
      <c r="BF1987" s="51" t="n">
        <v>15</v>
      </c>
    </row>
    <row r="1988">
      <c r="A1988">
        <f>HYPERLINK("https://www.walmart.com/ip/206151418", "206151418")</f>
        <v/>
      </c>
      <c r="B1988" t="inlineStr">
        <is>
          <t>Catalonia Sherpa Throw Blanket Super Soft Comfy Fluffy Fleece 50”x60”, Fuzzy Plush for Sofa Couch Bed Reversible All Season for Adults Children</t>
        </is>
      </c>
      <c r="C1988" t="inlineStr">
        <is>
          <t>1CTBF320BL</t>
        </is>
      </c>
      <c r="D1988" t="inlineStr">
        <is>
          <t>Throws</t>
        </is>
      </c>
      <c r="E1988" t="inlineStr">
        <is>
          <t>Catalonia</t>
        </is>
      </c>
      <c r="F1988" t="inlineStr">
        <is>
          <t>Q2-Target,Optimized,WFS,Coupon_Discount,WFS Item</t>
        </is>
      </c>
      <c r="G1988" s="48" t="n">
        <v>0</v>
      </c>
      <c r="H1988" s="49" t="n">
        <v>0</v>
      </c>
      <c r="I1988" s="49" t="n">
        <v>0</v>
      </c>
      <c r="J1988" s="50" t="n">
        <v>0</v>
      </c>
      <c r="K1988" s="51" t="n">
        <v>0</v>
      </c>
      <c r="L1988" s="52" t="n">
        <v>0</v>
      </c>
      <c r="M1988" s="52" t="n">
        <v>0</v>
      </c>
      <c r="N1988" s="52" t="n">
        <v>0</v>
      </c>
      <c r="O1988" s="53" t="n">
        <v>0</v>
      </c>
      <c r="P1988" s="52" t="n">
        <v>0</v>
      </c>
      <c r="Q1988" s="53" t="n">
        <v>0</v>
      </c>
      <c r="R1988" s="52" t="n">
        <v>0</v>
      </c>
      <c r="S1988" s="51" t="n">
        <v>0</v>
      </c>
      <c r="T1988" s="48" t="n">
        <v>0</v>
      </c>
      <c r="U1988" s="49" t="n">
        <v>0</v>
      </c>
      <c r="V1988" s="49" t="n">
        <v>0</v>
      </c>
      <c r="W1988" s="50" t="n">
        <v>0</v>
      </c>
      <c r="X1988" s="51" t="n">
        <v>0</v>
      </c>
      <c r="Y1988" s="52" t="n">
        <v>0</v>
      </c>
      <c r="Z1988" s="52" t="n">
        <v>0</v>
      </c>
      <c r="AA1988" s="52" t="n">
        <v>0</v>
      </c>
      <c r="AB1988" s="53" t="n">
        <v>0</v>
      </c>
      <c r="AC1988" s="52" t="n">
        <v>0</v>
      </c>
      <c r="AD1988" s="53" t="n">
        <v>0</v>
      </c>
      <c r="AE1988" s="52" t="n">
        <v>0</v>
      </c>
      <c r="AF1988" s="51" t="n">
        <v>0</v>
      </c>
      <c r="AG1988" s="48" t="n">
        <v>0</v>
      </c>
      <c r="AH1988" s="49" t="n">
        <v>0</v>
      </c>
      <c r="AI1988" s="49" t="n">
        <v>0</v>
      </c>
      <c r="AJ1988" s="50" t="n">
        <v>0</v>
      </c>
      <c r="AK1988" s="51" t="n">
        <v>0</v>
      </c>
      <c r="AL1988" s="52" t="n">
        <v>0</v>
      </c>
      <c r="AM1988" s="52" t="n">
        <v>0</v>
      </c>
      <c r="AN1988" s="52" t="n">
        <v>0</v>
      </c>
      <c r="AO1988" s="53" t="n">
        <v>0</v>
      </c>
      <c r="AP1988" s="52" t="n">
        <v>0</v>
      </c>
      <c r="AQ1988" s="53" t="n">
        <v>0</v>
      </c>
      <c r="AR1988" s="52" t="n">
        <v>0</v>
      </c>
      <c r="AS1988" s="51" t="n">
        <v>0</v>
      </c>
      <c r="AT1988" s="48" t="n">
        <v>0</v>
      </c>
      <c r="AU1988" s="49" t="n">
        <v>0</v>
      </c>
      <c r="AV1988" s="49" t="n">
        <v>0</v>
      </c>
      <c r="AW1988" s="50" t="n">
        <v>0</v>
      </c>
      <c r="AX1988" s="51" t="n">
        <v>0</v>
      </c>
      <c r="AY1988" s="52" t="n">
        <v>0</v>
      </c>
      <c r="AZ1988" s="52" t="n">
        <v>0</v>
      </c>
      <c r="BA1988" s="52" t="n">
        <v>0</v>
      </c>
      <c r="BB1988" s="53" t="n">
        <v>0</v>
      </c>
      <c r="BC1988" s="52" t="n">
        <v>0</v>
      </c>
      <c r="BD1988" s="53" t="n">
        <v>0</v>
      </c>
      <c r="BE1988" s="52" t="n">
        <v>0</v>
      </c>
      <c r="BF1988" s="51" t="n">
        <v>0</v>
      </c>
    </row>
    <row r="1989">
      <c r="A1989">
        <f>HYPERLINK("https://www.walmart.com/ip/2179194995", "2179194995")</f>
        <v/>
      </c>
      <c r="B1989" t="inlineStr">
        <is>
          <t>Catalonia Waterproof Blanket for Outdoors, Hooded Blanket Poncho, Windproof, Warm, Wearable, Portable Fleece Blanket for Stadium, Picnics, Sports Events, Camping, Yoga, and Beach, Grey/Blue</t>
        </is>
      </c>
      <c r="C1989" t="inlineStr">
        <is>
          <t>1CTBC200BLGY</t>
        </is>
      </c>
      <c r="D1989" t="inlineStr">
        <is>
          <t>Throws</t>
        </is>
      </c>
      <c r="E1989" t="inlineStr">
        <is>
          <t>Catalonia</t>
        </is>
      </c>
      <c r="F1989" t="inlineStr">
        <is>
          <t>Wproof Blanket</t>
        </is>
      </c>
      <c r="G1989" s="48" t="n">
        <v>0</v>
      </c>
      <c r="H1989" s="49" t="n">
        <v>0</v>
      </c>
      <c r="I1989" s="49" t="n">
        <v>0</v>
      </c>
      <c r="J1989" s="50" t="n">
        <v>0</v>
      </c>
      <c r="K1989" s="51" t="n">
        <v>0</v>
      </c>
      <c r="L1989" s="52" t="n">
        <v>0</v>
      </c>
      <c r="M1989" s="52" t="n">
        <v>0</v>
      </c>
      <c r="N1989" s="52" t="n">
        <v>0</v>
      </c>
      <c r="O1989" s="53" t="n">
        <v>0</v>
      </c>
      <c r="P1989" s="52" t="n">
        <v>0</v>
      </c>
      <c r="Q1989" s="53" t="n">
        <v>0</v>
      </c>
      <c r="R1989" s="52" t="n">
        <v>0</v>
      </c>
      <c r="S1989" s="51" t="n">
        <v>286</v>
      </c>
      <c r="T1989" s="48" t="n">
        <v>0</v>
      </c>
      <c r="U1989" s="49" t="n">
        <v>0</v>
      </c>
      <c r="V1989" s="49" t="n">
        <v>0</v>
      </c>
      <c r="W1989" s="50" t="n">
        <v>0</v>
      </c>
      <c r="X1989" s="51" t="n">
        <v>0</v>
      </c>
      <c r="Y1989" s="52" t="n">
        <v>0</v>
      </c>
      <c r="Z1989" s="52" t="n">
        <v>0</v>
      </c>
      <c r="AA1989" s="52" t="n">
        <v>0</v>
      </c>
      <c r="AB1989" s="53" t="n">
        <v>0</v>
      </c>
      <c r="AC1989" s="52" t="n">
        <v>0</v>
      </c>
      <c r="AD1989" s="53" t="n">
        <v>0</v>
      </c>
      <c r="AE1989" s="52" t="n">
        <v>0</v>
      </c>
      <c r="AF1989" s="51" t="n">
        <v>118</v>
      </c>
      <c r="AG1989" s="48" t="n">
        <v>0</v>
      </c>
      <c r="AH1989" s="49" t="n">
        <v>0</v>
      </c>
      <c r="AI1989" s="49" t="n">
        <v>0</v>
      </c>
      <c r="AJ1989" s="50" t="n">
        <v>0</v>
      </c>
      <c r="AK1989" s="51" t="n">
        <v>0</v>
      </c>
      <c r="AL1989" s="52" t="n">
        <v>0</v>
      </c>
      <c r="AM1989" s="52" t="n">
        <v>0</v>
      </c>
      <c r="AN1989" s="52" t="n">
        <v>0</v>
      </c>
      <c r="AO1989" s="53" t="n">
        <v>0</v>
      </c>
      <c r="AP1989" s="52" t="n">
        <v>0</v>
      </c>
      <c r="AQ1989" s="53" t="n">
        <v>0</v>
      </c>
      <c r="AR1989" s="52" t="n">
        <v>0</v>
      </c>
      <c r="AS1989" s="51" t="n">
        <v>153</v>
      </c>
      <c r="AT1989" s="48" t="n">
        <v>0</v>
      </c>
      <c r="AU1989" s="49" t="n">
        <v>0</v>
      </c>
      <c r="AV1989" s="49" t="n">
        <v>0</v>
      </c>
      <c r="AW1989" s="50" t="n">
        <v>0</v>
      </c>
      <c r="AX1989" s="51" t="n">
        <v>0</v>
      </c>
      <c r="AY1989" s="52" t="n">
        <v>0</v>
      </c>
      <c r="AZ1989" s="52" t="n">
        <v>0</v>
      </c>
      <c r="BA1989" s="52" t="n">
        <v>0</v>
      </c>
      <c r="BB1989" s="53" t="n">
        <v>0</v>
      </c>
      <c r="BC1989" s="52" t="n">
        <v>0</v>
      </c>
      <c r="BD1989" s="53" t="n">
        <v>0</v>
      </c>
      <c r="BE1989" s="52" t="n">
        <v>0</v>
      </c>
      <c r="BF1989" s="51" t="n">
        <v>180</v>
      </c>
    </row>
    <row r="1990">
      <c r="A1990">
        <f>HYPERLINK("https://www.walmart.com/ip/219032474", "219032474")</f>
        <v/>
      </c>
      <c r="B1990" s="5" t="inlineStr">
        <is>
          <t>https://www.walmart.com/ip/JenniWears-Sexy-Sheer-Black-Fishnet-Crotchless-Pantyhose-with-Control-Top-2-Packs/219032474</t>
        </is>
      </c>
      <c r="C1990" t="inlineStr">
        <is>
          <t>JWBLSPH2041-2 Packs</t>
        </is>
      </c>
      <c r="G1990" s="48" t="n">
        <v>0</v>
      </c>
      <c r="H1990" s="49" t="n">
        <v>0</v>
      </c>
      <c r="I1990" s="49" t="n">
        <v>0</v>
      </c>
      <c r="J1990" s="50" t="n">
        <v>0</v>
      </c>
      <c r="K1990" s="51" t="n">
        <v>0</v>
      </c>
      <c r="L1990" s="52" t="n">
        <v>0</v>
      </c>
      <c r="M1990" s="52" t="n">
        <v>0</v>
      </c>
      <c r="N1990" s="52" t="n">
        <v>0</v>
      </c>
      <c r="O1990" s="53" t="n">
        <v>0</v>
      </c>
      <c r="P1990" s="52" t="n">
        <v>0</v>
      </c>
      <c r="Q1990" s="53" t="n">
        <v>0</v>
      </c>
      <c r="R1990" s="52" t="n">
        <v>0</v>
      </c>
      <c r="S1990" s="51" t="n">
        <v>0</v>
      </c>
      <c r="T1990" s="48" t="n">
        <v>0</v>
      </c>
      <c r="U1990" s="49" t="n">
        <v>0</v>
      </c>
      <c r="V1990" s="49" t="n">
        <v>0</v>
      </c>
      <c r="W1990" s="50" t="n">
        <v>0</v>
      </c>
      <c r="X1990" s="51" t="n">
        <v>0</v>
      </c>
      <c r="Y1990" s="52" t="n">
        <v>0</v>
      </c>
      <c r="Z1990" s="52" t="n">
        <v>0</v>
      </c>
      <c r="AA1990" s="52" t="n">
        <v>0</v>
      </c>
      <c r="AB1990" s="53" t="n">
        <v>0</v>
      </c>
      <c r="AC1990" s="52" t="n">
        <v>0</v>
      </c>
      <c r="AD1990" s="53" t="n">
        <v>0</v>
      </c>
      <c r="AE1990" s="52" t="n">
        <v>0</v>
      </c>
      <c r="AF1990" s="51" t="n">
        <v>0</v>
      </c>
      <c r="AG1990" s="48" t="n">
        <v>0</v>
      </c>
      <c r="AH1990" s="49" t="n">
        <v>0</v>
      </c>
      <c r="AI1990" s="49" t="n">
        <v>0</v>
      </c>
      <c r="AJ1990" s="50" t="n">
        <v>0</v>
      </c>
      <c r="AK1990" s="51" t="n">
        <v>0</v>
      </c>
      <c r="AL1990" s="52" t="n">
        <v>0</v>
      </c>
      <c r="AM1990" s="52" t="n">
        <v>0</v>
      </c>
      <c r="AN1990" s="52" t="n">
        <v>0</v>
      </c>
      <c r="AO1990" s="53" t="n">
        <v>0</v>
      </c>
      <c r="AP1990" s="52" t="n">
        <v>0</v>
      </c>
      <c r="AQ1990" s="53" t="n">
        <v>0</v>
      </c>
      <c r="AR1990" s="52" t="n">
        <v>0</v>
      </c>
      <c r="AS1990" s="51" t="n">
        <v>0</v>
      </c>
      <c r="AT1990" s="48" t="n">
        <v>0</v>
      </c>
      <c r="AU1990" s="49" t="n">
        <v>0</v>
      </c>
      <c r="AV1990" s="49" t="n">
        <v>0</v>
      </c>
      <c r="AW1990" s="50" t="n">
        <v>0</v>
      </c>
      <c r="AX1990" s="51" t="n">
        <v>0</v>
      </c>
      <c r="AY1990" s="52" t="n">
        <v>0</v>
      </c>
      <c r="AZ1990" s="52" t="n">
        <v>0</v>
      </c>
      <c r="BA1990" s="52" t="n">
        <v>0</v>
      </c>
      <c r="BB1990" s="53" t="n">
        <v>0</v>
      </c>
      <c r="BC1990" s="52" t="n">
        <v>0</v>
      </c>
      <c r="BD1990" s="53" t="n">
        <v>0</v>
      </c>
      <c r="BE1990" s="52" t="n">
        <v>0</v>
      </c>
      <c r="BF1990" s="51" t="n">
        <v>0</v>
      </c>
    </row>
    <row r="1991">
      <c r="A1991">
        <f>HYPERLINK("https://www.walmart.com/ip/219091802", "219091802")</f>
        <v/>
      </c>
      <c r="B1991" t="inlineStr">
        <is>
          <t>Flyingstar Lunch Bag for Women Men, Insulated Lunch Tote for Working/School/Picnic Fashionable Cooler Bag</t>
        </is>
      </c>
      <c r="C1991" t="inlineStr">
        <is>
          <t>1WMLB704PKDOT</t>
        </is>
      </c>
      <c r="D1991" t="inlineStr">
        <is>
          <t>Reusable Lunch Bags &amp; Boxes</t>
        </is>
      </c>
      <c r="E1991" t="inlineStr">
        <is>
          <t>Flyingstar</t>
        </is>
      </c>
      <c r="F1991" t="inlineStr">
        <is>
          <t>Q2-Target,Lunch Bag,Lunch Bags</t>
        </is>
      </c>
      <c r="G1991" s="48" t="n">
        <v>0</v>
      </c>
      <c r="H1991" s="49" t="n">
        <v>0</v>
      </c>
      <c r="I1991" s="49" t="n">
        <v>0</v>
      </c>
      <c r="J1991" s="50" t="n">
        <v>0</v>
      </c>
      <c r="K1991" s="51" t="n">
        <v>0</v>
      </c>
      <c r="L1991" s="52" t="n">
        <v>0</v>
      </c>
      <c r="M1991" s="52" t="n">
        <v>0</v>
      </c>
      <c r="N1991" s="52" t="n">
        <v>0</v>
      </c>
      <c r="O1991" s="53" t="n">
        <v>0</v>
      </c>
      <c r="P1991" s="52" t="n">
        <v>0</v>
      </c>
      <c r="Q1991" s="53" t="n">
        <v>0</v>
      </c>
      <c r="R1991" s="52" t="n">
        <v>0</v>
      </c>
      <c r="S1991" s="51" t="n">
        <v>0</v>
      </c>
      <c r="T1991" s="48" t="n">
        <v>0</v>
      </c>
      <c r="U1991" s="49" t="n">
        <v>0</v>
      </c>
      <c r="V1991" s="49" t="n">
        <v>0</v>
      </c>
      <c r="W1991" s="50" t="n">
        <v>0</v>
      </c>
      <c r="X1991" s="51" t="n">
        <v>0</v>
      </c>
      <c r="Y1991" s="52" t="n">
        <v>0</v>
      </c>
      <c r="Z1991" s="52" t="n">
        <v>0</v>
      </c>
      <c r="AA1991" s="52" t="n">
        <v>0</v>
      </c>
      <c r="AB1991" s="53" t="n">
        <v>0</v>
      </c>
      <c r="AC1991" s="52" t="n">
        <v>0</v>
      </c>
      <c r="AD1991" s="53" t="n">
        <v>0</v>
      </c>
      <c r="AE1991" s="52" t="n">
        <v>0</v>
      </c>
      <c r="AF1991" s="51" t="n">
        <v>0</v>
      </c>
      <c r="AG1991" s="48" t="n">
        <v>0</v>
      </c>
      <c r="AH1991" s="49" t="n">
        <v>0</v>
      </c>
      <c r="AI1991" s="49" t="n">
        <v>0</v>
      </c>
      <c r="AJ1991" s="50" t="n">
        <v>0</v>
      </c>
      <c r="AK1991" s="51" t="n">
        <v>0</v>
      </c>
      <c r="AL1991" s="52" t="n">
        <v>0</v>
      </c>
      <c r="AM1991" s="52" t="n">
        <v>0</v>
      </c>
      <c r="AN1991" s="52" t="n">
        <v>0</v>
      </c>
      <c r="AO1991" s="53" t="n">
        <v>0</v>
      </c>
      <c r="AP1991" s="52" t="n">
        <v>0</v>
      </c>
      <c r="AQ1991" s="53" t="n">
        <v>0</v>
      </c>
      <c r="AR1991" s="52" t="n">
        <v>0</v>
      </c>
      <c r="AS1991" s="51" t="n">
        <v>0</v>
      </c>
      <c r="AT1991" s="48" t="n">
        <v>0</v>
      </c>
      <c r="AU1991" s="49" t="n">
        <v>0</v>
      </c>
      <c r="AV1991" s="49" t="n">
        <v>0</v>
      </c>
      <c r="AW1991" s="50" t="n">
        <v>0</v>
      </c>
      <c r="AX1991" s="51" t="n">
        <v>0</v>
      </c>
      <c r="AY1991" s="52" t="n">
        <v>0</v>
      </c>
      <c r="AZ1991" s="52" t="n">
        <v>0</v>
      </c>
      <c r="BA1991" s="52" t="n">
        <v>0</v>
      </c>
      <c r="BB1991" s="53" t="n">
        <v>0</v>
      </c>
      <c r="BC1991" s="52" t="n">
        <v>0</v>
      </c>
      <c r="BD1991" s="53" t="n">
        <v>0</v>
      </c>
      <c r="BE1991" s="52" t="n">
        <v>0</v>
      </c>
      <c r="BF1991" s="51" t="n">
        <v>0</v>
      </c>
    </row>
    <row r="1992">
      <c r="A1992">
        <f>HYPERLINK("https://www.walmart.com/ip/220031830", "220031830")</f>
        <v/>
      </c>
      <c r="B1992" t="inlineStr">
        <is>
          <t>Oversized Hoodie Blanket Sweatshirt,Super Soft Warm Comfortable Fleece Giant Pullover with Large Front Pocket,for Adults Men Women Teenagers Kids Wife Girlfriend</t>
        </is>
      </c>
      <c r="C1992" t="inlineStr">
        <is>
          <t>1WMHD300MN</t>
        </is>
      </c>
      <c r="D1992" t="inlineStr">
        <is>
          <t>Sweatshirts &amp; Hoodies</t>
        </is>
      </c>
      <c r="E1992" t="inlineStr">
        <is>
          <t>Flyingstar</t>
        </is>
      </c>
      <c r="F1992" t="inlineStr">
        <is>
          <t>Hoodie ForAdult,Optimized</t>
        </is>
      </c>
      <c r="G1992" s="48" t="n">
        <v>0</v>
      </c>
      <c r="H1992" s="49" t="n">
        <v>0</v>
      </c>
      <c r="I1992" s="49" t="n">
        <v>0</v>
      </c>
      <c r="J1992" s="50" t="n">
        <v>0</v>
      </c>
      <c r="K1992" s="51" t="n">
        <v>0</v>
      </c>
      <c r="L1992" s="52" t="n">
        <v>0</v>
      </c>
      <c r="M1992" s="52" t="n">
        <v>0</v>
      </c>
      <c r="N1992" s="52" t="n">
        <v>0</v>
      </c>
      <c r="O1992" s="53" t="n">
        <v>0</v>
      </c>
      <c r="P1992" s="52" t="n">
        <v>0</v>
      </c>
      <c r="Q1992" s="53" t="n">
        <v>0</v>
      </c>
      <c r="R1992" s="52" t="n">
        <v>0</v>
      </c>
      <c r="S1992" s="51" t="n">
        <v>0</v>
      </c>
      <c r="T1992" s="48" t="n">
        <v>0</v>
      </c>
      <c r="U1992" s="49" t="n">
        <v>0</v>
      </c>
      <c r="V1992" s="49" t="n">
        <v>0</v>
      </c>
      <c r="W1992" s="50" t="n">
        <v>0</v>
      </c>
      <c r="X1992" s="51" t="n">
        <v>0</v>
      </c>
      <c r="Y1992" s="52" t="n">
        <v>0</v>
      </c>
      <c r="Z1992" s="52" t="n">
        <v>0</v>
      </c>
      <c r="AA1992" s="52" t="n">
        <v>0</v>
      </c>
      <c r="AB1992" s="53" t="n">
        <v>0</v>
      </c>
      <c r="AC1992" s="52" t="n">
        <v>0</v>
      </c>
      <c r="AD1992" s="53" t="n">
        <v>0</v>
      </c>
      <c r="AE1992" s="52" t="n">
        <v>0</v>
      </c>
      <c r="AF1992" s="51" t="n">
        <v>0</v>
      </c>
      <c r="AG1992" s="48" t="n">
        <v>0</v>
      </c>
      <c r="AH1992" s="49" t="n">
        <v>0</v>
      </c>
      <c r="AI1992" s="49" t="n">
        <v>0</v>
      </c>
      <c r="AJ1992" s="50" t="n">
        <v>0</v>
      </c>
      <c r="AK1992" s="51" t="n">
        <v>0</v>
      </c>
      <c r="AL1992" s="52" t="n">
        <v>0</v>
      </c>
      <c r="AM1992" s="52" t="n">
        <v>0</v>
      </c>
      <c r="AN1992" s="52" t="n">
        <v>0</v>
      </c>
      <c r="AO1992" s="53" t="n">
        <v>0</v>
      </c>
      <c r="AP1992" s="52" t="n">
        <v>0</v>
      </c>
      <c r="AQ1992" s="53" t="n">
        <v>0</v>
      </c>
      <c r="AR1992" s="52" t="n">
        <v>0</v>
      </c>
      <c r="AS1992" s="51" t="n">
        <v>0</v>
      </c>
      <c r="AT1992" s="48" t="n">
        <v>0</v>
      </c>
      <c r="AU1992" s="49" t="n">
        <v>0</v>
      </c>
      <c r="AV1992" s="49" t="n">
        <v>0</v>
      </c>
      <c r="AW1992" s="50" t="n">
        <v>0</v>
      </c>
      <c r="AX1992" s="51" t="n">
        <v>0</v>
      </c>
      <c r="AY1992" s="52" t="n">
        <v>0</v>
      </c>
      <c r="AZ1992" s="52" t="n">
        <v>0</v>
      </c>
      <c r="BA1992" s="52" t="n">
        <v>0</v>
      </c>
      <c r="BB1992" s="53" t="n">
        <v>0</v>
      </c>
      <c r="BC1992" s="52" t="n">
        <v>0</v>
      </c>
      <c r="BD1992" s="53" t="n">
        <v>0</v>
      </c>
      <c r="BE1992" s="52" t="n">
        <v>0</v>
      </c>
      <c r="BF1992" s="51" t="n">
        <v>0</v>
      </c>
    </row>
    <row r="1993">
      <c r="A1993">
        <f>HYPERLINK("https://www.walmart.com/ip/2205069111", "2205069111")</f>
        <v/>
      </c>
      <c r="B1993" t="inlineStr">
        <is>
          <t>Catalonia Cow Print Sherpa Fleece Blanket, Super Soft Warm Cozy Flannel Reversible Throw Blanket for Couch Sofa Bed, 50" x 60", Blue Cat Pattern</t>
        </is>
      </c>
      <c r="C1993" t="inlineStr">
        <is>
          <t>1CTBF300BLCAT</t>
        </is>
      </c>
      <c r="D1993" t="inlineStr">
        <is>
          <t>Throws</t>
        </is>
      </c>
      <c r="E1993" t="inlineStr">
        <is>
          <t>Catalonia</t>
        </is>
      </c>
      <c r="F1993" t="inlineStr">
        <is>
          <t>Coupon_Discount,Fleece Blankets</t>
        </is>
      </c>
      <c r="G1993" s="48" t="n">
        <v>0</v>
      </c>
      <c r="H1993" s="49" t="n">
        <v>0</v>
      </c>
      <c r="I1993" s="49" t="n">
        <v>0</v>
      </c>
      <c r="J1993" s="50" t="n">
        <v>0</v>
      </c>
      <c r="K1993" s="51" t="n">
        <v>0</v>
      </c>
      <c r="L1993" s="52" t="n">
        <v>0</v>
      </c>
      <c r="M1993" s="52" t="n">
        <v>0</v>
      </c>
      <c r="N1993" s="52" t="n">
        <v>0</v>
      </c>
      <c r="O1993" s="53" t="n">
        <v>0</v>
      </c>
      <c r="P1993" s="52" t="n">
        <v>0</v>
      </c>
      <c r="Q1993" s="53" t="n">
        <v>0</v>
      </c>
      <c r="R1993" s="52" t="n">
        <v>0</v>
      </c>
      <c r="S1993" s="51" t="n">
        <v>0</v>
      </c>
      <c r="T1993" s="48" t="n">
        <v>0</v>
      </c>
      <c r="U1993" s="49" t="n">
        <v>0</v>
      </c>
      <c r="V1993" s="49" t="n">
        <v>0</v>
      </c>
      <c r="W1993" s="50" t="n">
        <v>0</v>
      </c>
      <c r="X1993" s="51" t="n">
        <v>0</v>
      </c>
      <c r="Y1993" s="52" t="n">
        <v>0</v>
      </c>
      <c r="Z1993" s="52" t="n">
        <v>0</v>
      </c>
      <c r="AA1993" s="52" t="n">
        <v>0</v>
      </c>
      <c r="AB1993" s="53" t="n">
        <v>0</v>
      </c>
      <c r="AC1993" s="52" t="n">
        <v>0</v>
      </c>
      <c r="AD1993" s="53" t="n">
        <v>0</v>
      </c>
      <c r="AE1993" s="52" t="n">
        <v>0</v>
      </c>
      <c r="AF1993" s="51" t="n">
        <v>0</v>
      </c>
      <c r="AG1993" s="48" t="n">
        <v>21.99</v>
      </c>
      <c r="AH1993" s="49" t="n">
        <v>1</v>
      </c>
      <c r="AI1993" s="49" t="n">
        <v>0</v>
      </c>
      <c r="AJ1993" s="50" t="n">
        <v>0</v>
      </c>
      <c r="AK1993" s="51" t="n">
        <v>0</v>
      </c>
      <c r="AL1993" s="52" t="n">
        <v>0</v>
      </c>
      <c r="AM1993" s="52" t="n">
        <v>0</v>
      </c>
      <c r="AN1993" s="52" t="n">
        <v>0</v>
      </c>
      <c r="AO1993" s="53" t="n">
        <v>0</v>
      </c>
      <c r="AP1993" s="52" t="n">
        <v>0</v>
      </c>
      <c r="AQ1993" s="53" t="n">
        <v>0</v>
      </c>
      <c r="AR1993" s="52" t="n">
        <v>21.99</v>
      </c>
      <c r="AS1993" s="51" t="n">
        <v>0</v>
      </c>
      <c r="AT1993" s="48" t="n">
        <v>0</v>
      </c>
      <c r="AU1993" s="49" t="n">
        <v>0</v>
      </c>
      <c r="AV1993" s="49" t="n">
        <v>0</v>
      </c>
      <c r="AW1993" s="50" t="n">
        <v>0</v>
      </c>
      <c r="AX1993" s="51" t="n">
        <v>0</v>
      </c>
      <c r="AY1993" s="52" t="n">
        <v>0</v>
      </c>
      <c r="AZ1993" s="52" t="n">
        <v>0</v>
      </c>
      <c r="BA1993" s="52" t="n">
        <v>0</v>
      </c>
      <c r="BB1993" s="53" t="n">
        <v>0</v>
      </c>
      <c r="BC1993" s="52" t="n">
        <v>0</v>
      </c>
      <c r="BD1993" s="53" t="n">
        <v>0</v>
      </c>
      <c r="BE1993" s="52" t="n">
        <v>0</v>
      </c>
      <c r="BF1993" s="51" t="n">
        <v>0</v>
      </c>
    </row>
    <row r="1994">
      <c r="A1994">
        <f>HYPERLINK("https://www.walmart.com/ip/2207142332", "2207142332")</f>
        <v/>
      </c>
      <c r="B1994" t="inlineStr">
        <is>
          <t>Dickies Insulated Lunch Bag Satchel for School and Work, Thermal Reusable Office Lunch Box for Women (Charcoal)</t>
        </is>
      </c>
      <c r="C1994" t="inlineStr">
        <is>
          <t>DK-LUNCH-SATCHEL-TROPICFLOWER-FN</t>
        </is>
      </c>
      <c r="D1994" t="inlineStr">
        <is>
          <t>Reusable Lunch Bags &amp; Boxes</t>
        </is>
      </c>
      <c r="E1994" t="inlineStr">
        <is>
          <t>Dickies</t>
        </is>
      </c>
      <c r="G1994" s="48" t="n">
        <v>0</v>
      </c>
      <c r="H1994" s="49" t="n">
        <v>0</v>
      </c>
      <c r="I1994" s="49" t="n">
        <v>0</v>
      </c>
      <c r="J1994" s="50" t="n">
        <v>0</v>
      </c>
      <c r="K1994" s="51" t="n">
        <v>0</v>
      </c>
      <c r="L1994" s="52" t="n">
        <v>0</v>
      </c>
      <c r="M1994" s="52" t="n">
        <v>0</v>
      </c>
      <c r="N1994" s="52" t="n">
        <v>0</v>
      </c>
      <c r="O1994" s="53" t="n">
        <v>0</v>
      </c>
      <c r="P1994" s="52" t="n">
        <v>0</v>
      </c>
      <c r="Q1994" s="53" t="n">
        <v>0</v>
      </c>
      <c r="R1994" s="52" t="n">
        <v>0</v>
      </c>
      <c r="S1994" s="51" t="n">
        <v>0</v>
      </c>
      <c r="T1994" s="48" t="n">
        <v>0</v>
      </c>
      <c r="U1994" s="49" t="n">
        <v>0</v>
      </c>
      <c r="V1994" s="49" t="n">
        <v>0</v>
      </c>
      <c r="W1994" s="50" t="n">
        <v>0</v>
      </c>
      <c r="X1994" s="51" t="n">
        <v>0</v>
      </c>
      <c r="Y1994" s="52" t="n">
        <v>0</v>
      </c>
      <c r="Z1994" s="52" t="n">
        <v>0</v>
      </c>
      <c r="AA1994" s="52" t="n">
        <v>0</v>
      </c>
      <c r="AB1994" s="53" t="n">
        <v>0</v>
      </c>
      <c r="AC1994" s="52" t="n">
        <v>0</v>
      </c>
      <c r="AD1994" s="53" t="n">
        <v>0</v>
      </c>
      <c r="AE1994" s="52" t="n">
        <v>0</v>
      </c>
      <c r="AF1994" s="51" t="n">
        <v>0</v>
      </c>
      <c r="AG1994" s="48" t="n">
        <v>0</v>
      </c>
      <c r="AH1994" s="49" t="n">
        <v>0</v>
      </c>
      <c r="AI1994" s="49" t="n">
        <v>0</v>
      </c>
      <c r="AJ1994" s="50" t="n">
        <v>0</v>
      </c>
      <c r="AK1994" s="51" t="n">
        <v>0</v>
      </c>
      <c r="AL1994" s="52" t="n">
        <v>0</v>
      </c>
      <c r="AM1994" s="52" t="n">
        <v>0</v>
      </c>
      <c r="AN1994" s="52" t="n">
        <v>0</v>
      </c>
      <c r="AO1994" s="53" t="n">
        <v>0</v>
      </c>
      <c r="AP1994" s="52" t="n">
        <v>0</v>
      </c>
      <c r="AQ1994" s="53" t="n">
        <v>0</v>
      </c>
      <c r="AR1994" s="52" t="n">
        <v>0</v>
      </c>
      <c r="AS1994" s="51" t="n">
        <v>0</v>
      </c>
      <c r="AT1994" s="48" t="n">
        <v>0</v>
      </c>
      <c r="AU1994" s="49" t="n">
        <v>0</v>
      </c>
      <c r="AV1994" s="49" t="n">
        <v>0</v>
      </c>
      <c r="AW1994" s="50" t="n">
        <v>0</v>
      </c>
      <c r="AX1994" s="51" t="n">
        <v>0</v>
      </c>
      <c r="AY1994" s="52" t="n">
        <v>0</v>
      </c>
      <c r="AZ1994" s="52" t="n">
        <v>0</v>
      </c>
      <c r="BA1994" s="52" t="n">
        <v>0</v>
      </c>
      <c r="BB1994" s="53" t="n">
        <v>0</v>
      </c>
      <c r="BC1994" s="52" t="n">
        <v>0</v>
      </c>
      <c r="BD1994" s="53" t="n">
        <v>0</v>
      </c>
      <c r="BE1994" s="52" t="n">
        <v>0</v>
      </c>
      <c r="BF1994" s="51" t="n">
        <v>0</v>
      </c>
    </row>
    <row r="1995">
      <c r="A1995">
        <f>HYPERLINK("https://www.walmart.com/ip/221045406", "221045406")</f>
        <v/>
      </c>
      <c r="B1995" t="inlineStr">
        <is>
          <t>Terra Mens Boxer Briefs, Elastic Waistband, Solid New Classic Fit, Black/Gray, 3 Pack</t>
        </is>
      </c>
      <c r="C1995" t="inlineStr">
        <is>
          <t>TERRA-BOXER11-L</t>
        </is>
      </c>
      <c r="D1995" t="inlineStr">
        <is>
          <t>Underpants</t>
        </is>
      </c>
      <c r="E1995" t="inlineStr">
        <is>
          <t>Terra</t>
        </is>
      </c>
      <c r="F1995" t="inlineStr">
        <is>
          <t>Batch 1 - TR</t>
        </is>
      </c>
      <c r="G1995" s="48" t="n">
        <v>0</v>
      </c>
      <c r="H1995" s="49" t="n">
        <v>0</v>
      </c>
      <c r="I1995" s="49" t="n">
        <v>0</v>
      </c>
      <c r="J1995" s="50" t="n">
        <v>0</v>
      </c>
      <c r="K1995" s="51" t="n">
        <v>0</v>
      </c>
      <c r="L1995" s="52" t="n">
        <v>0</v>
      </c>
      <c r="M1995" s="52" t="n">
        <v>0</v>
      </c>
      <c r="N1995" s="52" t="n">
        <v>0</v>
      </c>
      <c r="O1995" s="53" t="n">
        <v>0</v>
      </c>
      <c r="P1995" s="52" t="n">
        <v>0</v>
      </c>
      <c r="Q1995" s="53" t="n">
        <v>0</v>
      </c>
      <c r="R1995" s="52" t="n">
        <v>0</v>
      </c>
      <c r="S1995" s="51" t="n">
        <v>0</v>
      </c>
      <c r="T1995" s="48" t="n">
        <v>0</v>
      </c>
      <c r="U1995" s="49" t="n">
        <v>0</v>
      </c>
      <c r="V1995" s="49" t="n">
        <v>0</v>
      </c>
      <c r="W1995" s="50" t="n">
        <v>0</v>
      </c>
      <c r="X1995" s="51" t="n">
        <v>0</v>
      </c>
      <c r="Y1995" s="52" t="n">
        <v>0</v>
      </c>
      <c r="Z1995" s="52" t="n">
        <v>0</v>
      </c>
      <c r="AA1995" s="52" t="n">
        <v>0</v>
      </c>
      <c r="AB1995" s="53" t="n">
        <v>0</v>
      </c>
      <c r="AC1995" s="52" t="n">
        <v>0</v>
      </c>
      <c r="AD1995" s="53" t="n">
        <v>0</v>
      </c>
      <c r="AE1995" s="52" t="n">
        <v>0</v>
      </c>
      <c r="AF1995" s="51" t="n">
        <v>0</v>
      </c>
      <c r="AG1995" s="48" t="n">
        <v>0</v>
      </c>
      <c r="AH1995" s="49" t="n">
        <v>0</v>
      </c>
      <c r="AI1995" s="49" t="n">
        <v>0</v>
      </c>
      <c r="AJ1995" s="50" t="n">
        <v>0</v>
      </c>
      <c r="AK1995" s="51" t="n">
        <v>0</v>
      </c>
      <c r="AL1995" s="52" t="n">
        <v>0</v>
      </c>
      <c r="AM1995" s="52" t="n">
        <v>0</v>
      </c>
      <c r="AN1995" s="52" t="n">
        <v>0</v>
      </c>
      <c r="AO1995" s="53" t="n">
        <v>0</v>
      </c>
      <c r="AP1995" s="52" t="n">
        <v>0</v>
      </c>
      <c r="AQ1995" s="53" t="n">
        <v>0</v>
      </c>
      <c r="AR1995" s="52" t="n">
        <v>0</v>
      </c>
      <c r="AS1995" s="51" t="n">
        <v>0</v>
      </c>
      <c r="AT1995" s="48" t="n">
        <v>0</v>
      </c>
      <c r="AU1995" s="49" t="n">
        <v>0</v>
      </c>
      <c r="AV1995" s="49" t="n">
        <v>0</v>
      </c>
      <c r="AW1995" s="50" t="n">
        <v>0</v>
      </c>
      <c r="AX1995" s="51" t="n">
        <v>0</v>
      </c>
      <c r="AY1995" s="52" t="n">
        <v>0</v>
      </c>
      <c r="AZ1995" s="52" t="n">
        <v>0</v>
      </c>
      <c r="BA1995" s="52" t="n">
        <v>0</v>
      </c>
      <c r="BB1995" s="53" t="n">
        <v>0</v>
      </c>
      <c r="BC1995" s="52" t="n">
        <v>0</v>
      </c>
      <c r="BD1995" s="53" t="n">
        <v>0</v>
      </c>
      <c r="BE1995" s="52" t="n">
        <v>0</v>
      </c>
      <c r="BF1995" s="51" t="n">
        <v>0</v>
      </c>
    </row>
    <row r="1996">
      <c r="A1996">
        <f>HYPERLINK("https://www.walmart.com/ip/222037701", "222037701")</f>
        <v/>
      </c>
      <c r="B1996" t="inlineStr">
        <is>
          <t>Catalonia Twin Size Quilt Set, Lightweight Bedspread for Summer and Spring, 2 Pieces Bedding Coverlet-1 Quilt and 1 Pillow Sham, Latte Froest Pattern,68x90 inches</t>
        </is>
      </c>
      <c r="C1996" t="inlineStr">
        <is>
          <t>1CTBQ202TW-LTWT</t>
        </is>
      </c>
      <c r="D1996" t="inlineStr">
        <is>
          <t>Bedding Sets</t>
        </is>
      </c>
      <c r="E1996" t="inlineStr">
        <is>
          <t>Catalonia</t>
        </is>
      </c>
      <c r="F1996" t="inlineStr">
        <is>
          <t>Optimized</t>
        </is>
      </c>
      <c r="G1996" s="48" t="n">
        <v>0</v>
      </c>
      <c r="H1996" s="49" t="n">
        <v>0</v>
      </c>
      <c r="I1996" s="49" t="n">
        <v>0</v>
      </c>
      <c r="J1996" s="50" t="n">
        <v>0</v>
      </c>
      <c r="K1996" s="51" t="n">
        <v>0</v>
      </c>
      <c r="L1996" s="52" t="n">
        <v>0</v>
      </c>
      <c r="M1996" s="52" t="n">
        <v>0</v>
      </c>
      <c r="N1996" s="52" t="n">
        <v>0</v>
      </c>
      <c r="O1996" s="53" t="n">
        <v>0</v>
      </c>
      <c r="P1996" s="52" t="n">
        <v>0</v>
      </c>
      <c r="Q1996" s="53" t="n">
        <v>0</v>
      </c>
      <c r="R1996" s="52" t="n">
        <v>0</v>
      </c>
      <c r="S1996" s="51" t="n">
        <v>0</v>
      </c>
      <c r="T1996" s="48" t="n">
        <v>0</v>
      </c>
      <c r="U1996" s="49" t="n">
        <v>0</v>
      </c>
      <c r="V1996" s="49" t="n">
        <v>0</v>
      </c>
      <c r="W1996" s="50" t="n">
        <v>0</v>
      </c>
      <c r="X1996" s="51" t="n">
        <v>0</v>
      </c>
      <c r="Y1996" s="52" t="n">
        <v>0</v>
      </c>
      <c r="Z1996" s="52" t="n">
        <v>0</v>
      </c>
      <c r="AA1996" s="52" t="n">
        <v>0</v>
      </c>
      <c r="AB1996" s="53" t="n">
        <v>0</v>
      </c>
      <c r="AC1996" s="52" t="n">
        <v>0</v>
      </c>
      <c r="AD1996" s="53" t="n">
        <v>0</v>
      </c>
      <c r="AE1996" s="52" t="n">
        <v>0</v>
      </c>
      <c r="AF1996" s="51" t="n">
        <v>0</v>
      </c>
      <c r="AG1996" s="48" t="n">
        <v>39.98</v>
      </c>
      <c r="AH1996" s="49" t="n">
        <v>2</v>
      </c>
      <c r="AI1996" s="49" t="n">
        <v>0</v>
      </c>
      <c r="AJ1996" s="50" t="n">
        <v>0</v>
      </c>
      <c r="AK1996" s="51" t="n">
        <v>0</v>
      </c>
      <c r="AL1996" s="52" t="n">
        <v>0</v>
      </c>
      <c r="AM1996" s="52" t="n">
        <v>0</v>
      </c>
      <c r="AN1996" s="52" t="n">
        <v>0</v>
      </c>
      <c r="AO1996" s="53" t="n">
        <v>0</v>
      </c>
      <c r="AP1996" s="52" t="n">
        <v>0</v>
      </c>
      <c r="AQ1996" s="53" t="n">
        <v>0</v>
      </c>
      <c r="AR1996" s="52" t="n">
        <v>19.99</v>
      </c>
      <c r="AS1996" s="51" t="n">
        <v>0</v>
      </c>
      <c r="AT1996" s="48" t="n">
        <v>0</v>
      </c>
      <c r="AU1996" s="49" t="n">
        <v>0</v>
      </c>
      <c r="AV1996" s="49" t="n">
        <v>5</v>
      </c>
      <c r="AW1996" s="50" t="n">
        <v>0</v>
      </c>
      <c r="AX1996" s="51" t="n">
        <v>0</v>
      </c>
      <c r="AY1996" s="52" t="n">
        <v>0</v>
      </c>
      <c r="AZ1996" s="52" t="n">
        <v>0</v>
      </c>
      <c r="BA1996" s="52" t="n">
        <v>0</v>
      </c>
      <c r="BB1996" s="53" t="n">
        <v>0</v>
      </c>
      <c r="BC1996" s="52" t="n">
        <v>0</v>
      </c>
      <c r="BD1996" s="53" t="n">
        <v>0</v>
      </c>
      <c r="BE1996" s="52" t="n">
        <v>0</v>
      </c>
      <c r="BF1996" s="51" t="n">
        <v>0</v>
      </c>
    </row>
    <row r="1997">
      <c r="A1997">
        <f>HYPERLINK("https://www.walmart.com/ip/222077443", "222077443")</f>
        <v/>
      </c>
      <c r="B1997" t="inlineStr">
        <is>
          <t>Buffalo Plaid Sherpa Throw TV Blanket 50" x 60" Super Soft Reversible Fleece Blanket for Cabin Bed or Couch | Catalonia series by Terrania | Cabin Plaid Red and Black Check</t>
        </is>
      </c>
      <c r="C1997" t="inlineStr">
        <is>
          <t>1TRBF300PRD-TBCB</t>
        </is>
      </c>
      <c r="D1997" t="inlineStr">
        <is>
          <t>Throws</t>
        </is>
      </c>
      <c r="E1997" t="inlineStr">
        <is>
          <t>Tirrinia</t>
        </is>
      </c>
      <c r="F1997" t="inlineStr">
        <is>
          <t>WFS,WFS Item,Fleece Blankets</t>
        </is>
      </c>
      <c r="G1997" s="48" t="n">
        <v>0</v>
      </c>
      <c r="H1997" s="49" t="n">
        <v>0</v>
      </c>
      <c r="I1997" s="49" t="n">
        <v>0</v>
      </c>
      <c r="J1997" s="50" t="n">
        <v>0</v>
      </c>
      <c r="K1997" s="51" t="n">
        <v>0</v>
      </c>
      <c r="L1997" s="52" t="n">
        <v>0</v>
      </c>
      <c r="M1997" s="52" t="n">
        <v>0</v>
      </c>
      <c r="N1997" s="52" t="n">
        <v>0</v>
      </c>
      <c r="O1997" s="53" t="n">
        <v>0</v>
      </c>
      <c r="P1997" s="52" t="n">
        <v>0</v>
      </c>
      <c r="Q1997" s="53" t="n">
        <v>0</v>
      </c>
      <c r="R1997" s="52" t="n">
        <v>0</v>
      </c>
      <c r="S1997" s="51" t="n">
        <v>0</v>
      </c>
      <c r="T1997" s="48" t="n">
        <v>0</v>
      </c>
      <c r="U1997" s="49" t="n">
        <v>0</v>
      </c>
      <c r="V1997" s="49" t="n">
        <v>0</v>
      </c>
      <c r="W1997" s="50" t="n">
        <v>0</v>
      </c>
      <c r="X1997" s="51" t="n">
        <v>0</v>
      </c>
      <c r="Y1997" s="52" t="n">
        <v>0</v>
      </c>
      <c r="Z1997" s="52" t="n">
        <v>0</v>
      </c>
      <c r="AA1997" s="52" t="n">
        <v>0</v>
      </c>
      <c r="AB1997" s="53" t="n">
        <v>0</v>
      </c>
      <c r="AC1997" s="52" t="n">
        <v>0</v>
      </c>
      <c r="AD1997" s="53" t="n">
        <v>0</v>
      </c>
      <c r="AE1997" s="52" t="n">
        <v>0</v>
      </c>
      <c r="AF1997" s="51" t="n">
        <v>0</v>
      </c>
      <c r="AG1997" s="48" t="n">
        <v>0</v>
      </c>
      <c r="AH1997" s="49" t="n">
        <v>0</v>
      </c>
      <c r="AI1997" s="49" t="n">
        <v>0</v>
      </c>
      <c r="AJ1997" s="50" t="n">
        <v>0</v>
      </c>
      <c r="AK1997" s="51" t="n">
        <v>0</v>
      </c>
      <c r="AL1997" s="52" t="n">
        <v>0</v>
      </c>
      <c r="AM1997" s="52" t="n">
        <v>0</v>
      </c>
      <c r="AN1997" s="52" t="n">
        <v>0</v>
      </c>
      <c r="AO1997" s="53" t="n">
        <v>0</v>
      </c>
      <c r="AP1997" s="52" t="n">
        <v>0</v>
      </c>
      <c r="AQ1997" s="53" t="n">
        <v>0</v>
      </c>
      <c r="AR1997" s="52" t="n">
        <v>0</v>
      </c>
      <c r="AS1997" s="51" t="n">
        <v>0</v>
      </c>
      <c r="AT1997" s="48" t="n">
        <v>0</v>
      </c>
      <c r="AU1997" s="49" t="n">
        <v>0</v>
      </c>
      <c r="AV1997" s="49" t="n">
        <v>0</v>
      </c>
      <c r="AW1997" s="50" t="n">
        <v>0</v>
      </c>
      <c r="AX1997" s="51" t="n">
        <v>0</v>
      </c>
      <c r="AY1997" s="52" t="n">
        <v>0</v>
      </c>
      <c r="AZ1997" s="52" t="n">
        <v>0</v>
      </c>
      <c r="BA1997" s="52" t="n">
        <v>0</v>
      </c>
      <c r="BB1997" s="53" t="n">
        <v>0</v>
      </c>
      <c r="BC1997" s="52" t="n">
        <v>0</v>
      </c>
      <c r="BD1997" s="53" t="n">
        <v>0</v>
      </c>
      <c r="BE1997" s="52" t="n">
        <v>0</v>
      </c>
      <c r="BF1997" s="51" t="n">
        <v>0</v>
      </c>
    </row>
    <row r="1998">
      <c r="A1998">
        <f>HYPERLINK("https://www.walmart.com/ip/223541821", "223541821")</f>
        <v/>
      </c>
      <c r="B1998" t="inlineStr">
        <is>
          <t>Tirrinia Microplush Sherpa Blanket with Sleeves for Women and Men, 3.19 lb, Breathable, Purple</t>
        </is>
      </c>
      <c r="C1998" t="inlineStr">
        <is>
          <t>1TRSN110PP-TBCB</t>
        </is>
      </c>
      <c r="D1998" t="inlineStr">
        <is>
          <t>Throws</t>
        </is>
      </c>
      <c r="E1998" t="inlineStr">
        <is>
          <t>Tirrinia</t>
        </is>
      </c>
      <c r="F1998" t="inlineStr">
        <is>
          <t>Optimized</t>
        </is>
      </c>
      <c r="G1998" s="48" t="n">
        <v>0</v>
      </c>
      <c r="H1998" s="49" t="n">
        <v>0</v>
      </c>
      <c r="I1998" s="49" t="n">
        <v>0</v>
      </c>
      <c r="J1998" s="50" t="n">
        <v>0</v>
      </c>
      <c r="K1998" s="51" t="n">
        <v>0</v>
      </c>
      <c r="L1998" s="52" t="n">
        <v>0</v>
      </c>
      <c r="M1998" s="52" t="n">
        <v>0</v>
      </c>
      <c r="N1998" s="52" t="n">
        <v>0</v>
      </c>
      <c r="O1998" s="53" t="n">
        <v>0</v>
      </c>
      <c r="P1998" s="52" t="n">
        <v>0</v>
      </c>
      <c r="Q1998" s="53" t="n">
        <v>0</v>
      </c>
      <c r="R1998" s="52" t="n">
        <v>0</v>
      </c>
      <c r="S1998" s="51" t="n">
        <v>0</v>
      </c>
      <c r="T1998" s="48" t="n">
        <v>0</v>
      </c>
      <c r="U1998" s="49" t="n">
        <v>0</v>
      </c>
      <c r="V1998" s="49" t="n">
        <v>0</v>
      </c>
      <c r="W1998" s="50" t="n">
        <v>0</v>
      </c>
      <c r="X1998" s="51" t="n">
        <v>0</v>
      </c>
      <c r="Y1998" s="52" t="n">
        <v>0</v>
      </c>
      <c r="Z1998" s="52" t="n">
        <v>0</v>
      </c>
      <c r="AA1998" s="52" t="n">
        <v>0</v>
      </c>
      <c r="AB1998" s="53" t="n">
        <v>0</v>
      </c>
      <c r="AC1998" s="52" t="n">
        <v>0</v>
      </c>
      <c r="AD1998" s="53" t="n">
        <v>0</v>
      </c>
      <c r="AE1998" s="52" t="n">
        <v>0</v>
      </c>
      <c r="AF1998" s="51" t="n">
        <v>0</v>
      </c>
      <c r="AG1998" s="48" t="n">
        <v>0</v>
      </c>
      <c r="AH1998" s="49" t="n">
        <v>0</v>
      </c>
      <c r="AI1998" s="49" t="n">
        <v>0</v>
      </c>
      <c r="AJ1998" s="50" t="n">
        <v>0</v>
      </c>
      <c r="AK1998" s="51" t="n">
        <v>0</v>
      </c>
      <c r="AL1998" s="52" t="n">
        <v>0</v>
      </c>
      <c r="AM1998" s="52" t="n">
        <v>0</v>
      </c>
      <c r="AN1998" s="52" t="n">
        <v>0</v>
      </c>
      <c r="AO1998" s="53" t="n">
        <v>0</v>
      </c>
      <c r="AP1998" s="52" t="n">
        <v>0</v>
      </c>
      <c r="AQ1998" s="53" t="n">
        <v>0</v>
      </c>
      <c r="AR1998" s="52" t="n">
        <v>0</v>
      </c>
      <c r="AS1998" s="51" t="n">
        <v>0</v>
      </c>
      <c r="AT1998" s="48" t="n">
        <v>0</v>
      </c>
      <c r="AU1998" s="49" t="n">
        <v>0</v>
      </c>
      <c r="AV1998" s="49" t="n">
        <v>0</v>
      </c>
      <c r="AW1998" s="50" t="n">
        <v>0</v>
      </c>
      <c r="AX1998" s="51" t="n">
        <v>0</v>
      </c>
      <c r="AY1998" s="52" t="n">
        <v>0</v>
      </c>
      <c r="AZ1998" s="52" t="n">
        <v>0</v>
      </c>
      <c r="BA1998" s="52" t="n">
        <v>0</v>
      </c>
      <c r="BB1998" s="53" t="n">
        <v>0</v>
      </c>
      <c r="BC1998" s="52" t="n">
        <v>0</v>
      </c>
      <c r="BD1998" s="53" t="n">
        <v>0</v>
      </c>
      <c r="BE1998" s="52" t="n">
        <v>0</v>
      </c>
      <c r="BF1998" s="51" t="n">
        <v>0</v>
      </c>
    </row>
    <row r="1999">
      <c r="A1999">
        <f>HYPERLINK("https://www.walmart.com/ip/223551191", "223551191")</f>
        <v/>
      </c>
      <c r="B1999" t="inlineStr">
        <is>
          <t>Two-Piece Ladies Tankini Swimsuit for Women Swimsuits by Tirrinia</t>
        </is>
      </c>
      <c r="C1999" t="inlineStr">
        <is>
          <t>1TRSS003WH-M</t>
        </is>
      </c>
      <c r="D1999" t="inlineStr">
        <is>
          <t>Swimsuit Sets</t>
        </is>
      </c>
      <c r="E1999" t="inlineStr">
        <is>
          <t>Tirrinia</t>
        </is>
      </c>
      <c r="G1999" s="48" t="n">
        <v>0</v>
      </c>
      <c r="H1999" s="49" t="n">
        <v>0</v>
      </c>
      <c r="I1999" s="49" t="n">
        <v>0</v>
      </c>
      <c r="J1999" s="50" t="n">
        <v>0</v>
      </c>
      <c r="K1999" s="51" t="n">
        <v>0</v>
      </c>
      <c r="L1999" s="52" t="n">
        <v>0</v>
      </c>
      <c r="M1999" s="52" t="n">
        <v>0</v>
      </c>
      <c r="N1999" s="52" t="n">
        <v>0</v>
      </c>
      <c r="O1999" s="53" t="n">
        <v>0</v>
      </c>
      <c r="P1999" s="52" t="n">
        <v>0</v>
      </c>
      <c r="Q1999" s="53" t="n">
        <v>0</v>
      </c>
      <c r="R1999" s="52" t="n">
        <v>0</v>
      </c>
      <c r="S1999" s="51" t="n">
        <v>0</v>
      </c>
      <c r="T1999" s="48" t="n">
        <v>0</v>
      </c>
      <c r="U1999" s="49" t="n">
        <v>0</v>
      </c>
      <c r="V1999" s="49" t="n">
        <v>0</v>
      </c>
      <c r="W1999" s="50" t="n">
        <v>0</v>
      </c>
      <c r="X1999" s="51" t="n">
        <v>0</v>
      </c>
      <c r="Y1999" s="52" t="n">
        <v>0</v>
      </c>
      <c r="Z1999" s="52" t="n">
        <v>0</v>
      </c>
      <c r="AA1999" s="52" t="n">
        <v>0</v>
      </c>
      <c r="AB1999" s="53" t="n">
        <v>0</v>
      </c>
      <c r="AC1999" s="52" t="n">
        <v>0</v>
      </c>
      <c r="AD1999" s="53" t="n">
        <v>0</v>
      </c>
      <c r="AE1999" s="52" t="n">
        <v>0</v>
      </c>
      <c r="AF1999" s="51" t="n">
        <v>0</v>
      </c>
      <c r="AG1999" s="48" t="n">
        <v>0</v>
      </c>
      <c r="AH1999" s="49" t="n">
        <v>0</v>
      </c>
      <c r="AI1999" s="49" t="n">
        <v>0</v>
      </c>
      <c r="AJ1999" s="50" t="n">
        <v>0</v>
      </c>
      <c r="AK1999" s="51" t="n">
        <v>0</v>
      </c>
      <c r="AL1999" s="52" t="n">
        <v>0</v>
      </c>
      <c r="AM1999" s="52" t="n">
        <v>0</v>
      </c>
      <c r="AN1999" s="52" t="n">
        <v>0</v>
      </c>
      <c r="AO1999" s="53" t="n">
        <v>0</v>
      </c>
      <c r="AP1999" s="52" t="n">
        <v>0</v>
      </c>
      <c r="AQ1999" s="53" t="n">
        <v>0</v>
      </c>
      <c r="AR1999" s="52" t="n">
        <v>0</v>
      </c>
      <c r="AS1999" s="51" t="n">
        <v>0</v>
      </c>
      <c r="AT1999" s="48" t="n">
        <v>0</v>
      </c>
      <c r="AU1999" s="49" t="n">
        <v>0</v>
      </c>
      <c r="AV1999" s="49" t="n">
        <v>0</v>
      </c>
      <c r="AW1999" s="50" t="n">
        <v>0</v>
      </c>
      <c r="AX1999" s="51" t="n">
        <v>0</v>
      </c>
      <c r="AY1999" s="52" t="n">
        <v>0</v>
      </c>
      <c r="AZ1999" s="52" t="n">
        <v>0</v>
      </c>
      <c r="BA1999" s="52" t="n">
        <v>0</v>
      </c>
      <c r="BB1999" s="53" t="n">
        <v>0</v>
      </c>
      <c r="BC1999" s="52" t="n">
        <v>0</v>
      </c>
      <c r="BD1999" s="53" t="n">
        <v>0</v>
      </c>
      <c r="BE1999" s="52" t="n">
        <v>0</v>
      </c>
      <c r="BF1999" s="51" t="n">
        <v>0</v>
      </c>
    </row>
    <row r="2000">
      <c r="A2000">
        <f>HYPERLINK("https://www.walmart.com/ip/2237238375", "2237238375")</f>
        <v/>
      </c>
      <c r="B2000" t="inlineStr">
        <is>
          <t>Kato Sherpa Fleece Blanket, Waterproof and Windproof Mat for Boat, Traveling, Camping, Hiking, and Football, Black/Grey, 66'' x 90''</t>
        </is>
      </c>
      <c r="C2000" t="inlineStr">
        <is>
          <t>1KTBW669BKGY</t>
        </is>
      </c>
      <c r="D2000" t="inlineStr">
        <is>
          <t>Throws</t>
        </is>
      </c>
      <c r="E2000" t="inlineStr">
        <is>
          <t>Kato</t>
        </is>
      </c>
      <c r="G2000" s="48" t="n">
        <v>0</v>
      </c>
      <c r="H2000" s="49" t="n">
        <v>0</v>
      </c>
      <c r="I2000" s="49" t="n">
        <v>0</v>
      </c>
      <c r="J2000" s="50" t="n">
        <v>0</v>
      </c>
      <c r="K2000" s="51" t="n">
        <v>0</v>
      </c>
      <c r="L2000" s="52" t="n">
        <v>0</v>
      </c>
      <c r="M2000" s="52" t="n">
        <v>0</v>
      </c>
      <c r="N2000" s="52" t="n">
        <v>0</v>
      </c>
      <c r="O2000" s="53" t="n">
        <v>0</v>
      </c>
      <c r="P2000" s="52" t="n">
        <v>0</v>
      </c>
      <c r="Q2000" s="53" t="n">
        <v>0</v>
      </c>
      <c r="R2000" s="52" t="n">
        <v>0</v>
      </c>
      <c r="S2000" s="51" t="n">
        <v>0</v>
      </c>
      <c r="T2000" s="48" t="n">
        <v>0</v>
      </c>
      <c r="U2000" s="49" t="n">
        <v>0</v>
      </c>
      <c r="V2000" s="49" t="n">
        <v>0</v>
      </c>
      <c r="W2000" s="50" t="n">
        <v>0</v>
      </c>
      <c r="X2000" s="51" t="n">
        <v>0</v>
      </c>
      <c r="Y2000" s="52" t="n">
        <v>0</v>
      </c>
      <c r="Z2000" s="52" t="n">
        <v>0</v>
      </c>
      <c r="AA2000" s="52" t="n">
        <v>0</v>
      </c>
      <c r="AB2000" s="53" t="n">
        <v>0</v>
      </c>
      <c r="AC2000" s="52" t="n">
        <v>0</v>
      </c>
      <c r="AD2000" s="53" t="n">
        <v>0</v>
      </c>
      <c r="AE2000" s="52" t="n">
        <v>0</v>
      </c>
      <c r="AF2000" s="51" t="n">
        <v>0</v>
      </c>
      <c r="AG2000" s="48" t="n">
        <v>0</v>
      </c>
      <c r="AH2000" s="49" t="n">
        <v>0</v>
      </c>
      <c r="AI2000" s="49" t="n">
        <v>0</v>
      </c>
      <c r="AJ2000" s="50" t="n">
        <v>0</v>
      </c>
      <c r="AK2000" s="51" t="n">
        <v>0</v>
      </c>
      <c r="AL2000" s="52" t="n">
        <v>0</v>
      </c>
      <c r="AM2000" s="52" t="n">
        <v>0</v>
      </c>
      <c r="AN2000" s="52" t="n">
        <v>0</v>
      </c>
      <c r="AO2000" s="53" t="n">
        <v>0</v>
      </c>
      <c r="AP2000" s="52" t="n">
        <v>0</v>
      </c>
      <c r="AQ2000" s="53" t="n">
        <v>0</v>
      </c>
      <c r="AR2000" s="52" t="n">
        <v>0</v>
      </c>
      <c r="AS2000" s="51" t="n">
        <v>0</v>
      </c>
      <c r="AT2000" s="48" t="n">
        <v>0</v>
      </c>
      <c r="AU2000" s="49" t="n">
        <v>0</v>
      </c>
      <c r="AV2000" s="49" t="n">
        <v>0</v>
      </c>
      <c r="AW2000" s="50" t="n">
        <v>0</v>
      </c>
      <c r="AX2000" s="51" t="n">
        <v>0</v>
      </c>
      <c r="AY2000" s="52" t="n">
        <v>0</v>
      </c>
      <c r="AZ2000" s="52" t="n">
        <v>0</v>
      </c>
      <c r="BA2000" s="52" t="n">
        <v>0</v>
      </c>
      <c r="BB2000" s="53" t="n">
        <v>0</v>
      </c>
      <c r="BC2000" s="52" t="n">
        <v>0</v>
      </c>
      <c r="BD2000" s="53" t="n">
        <v>0</v>
      </c>
      <c r="BE2000" s="52" t="n">
        <v>0</v>
      </c>
      <c r="BF2000" s="51" t="n">
        <v>0</v>
      </c>
    </row>
    <row r="2001">
      <c r="A2001">
        <f>HYPERLINK("https://www.walmart.com/ip/224394275", "224394275")</f>
        <v/>
      </c>
      <c r="B2001" t="inlineStr">
        <is>
          <t>Tirrinia Extra Large Insulated Lunch Bag - 13L/ 12 Can, &amp; Leakproof Adult Reusable Meal Prep Bento Box Cooler Tote for Men &amp; Women with Dual Compartment,Light Gray</t>
        </is>
      </c>
      <c r="C2001" t="inlineStr">
        <is>
          <t>1KTLB410LG-6D</t>
        </is>
      </c>
      <c r="D2001" t="inlineStr">
        <is>
          <t>Reusable Lunch Bags &amp; Boxes</t>
        </is>
      </c>
      <c r="E2001" t="inlineStr">
        <is>
          <t>Tirrinia</t>
        </is>
      </c>
      <c r="F2001" t="inlineStr">
        <is>
          <t>Q2-Target,Brand Camp VD,Lunch Bag,WFS,Lunch Bags,SEM,WFS Item</t>
        </is>
      </c>
      <c r="G2001" s="48" t="n">
        <v>0</v>
      </c>
      <c r="H2001" s="49" t="n">
        <v>0</v>
      </c>
      <c r="I2001" s="49" t="n">
        <v>3</v>
      </c>
      <c r="J2001" s="50" t="n">
        <v>0</v>
      </c>
      <c r="K2001" s="51" t="n">
        <v>0</v>
      </c>
      <c r="L2001" s="52" t="n">
        <v>0</v>
      </c>
      <c r="M2001" s="52" t="n">
        <v>0</v>
      </c>
      <c r="N2001" s="52" t="n">
        <v>0</v>
      </c>
      <c r="O2001" s="53" t="n">
        <v>0</v>
      </c>
      <c r="P2001" s="52" t="n">
        <v>0</v>
      </c>
      <c r="Q2001" s="53" t="n">
        <v>0</v>
      </c>
      <c r="R2001" s="52" t="n">
        <v>0</v>
      </c>
      <c r="S2001" s="51" t="n">
        <v>0</v>
      </c>
      <c r="T2001" s="48" t="n">
        <v>0</v>
      </c>
      <c r="U2001" s="49" t="n">
        <v>0</v>
      </c>
      <c r="V2001" s="49" t="n">
        <v>6</v>
      </c>
      <c r="W2001" s="50" t="n">
        <v>0</v>
      </c>
      <c r="X2001" s="51" t="n">
        <v>0</v>
      </c>
      <c r="Y2001" s="52" t="n">
        <v>0</v>
      </c>
      <c r="Z2001" s="52" t="n">
        <v>0</v>
      </c>
      <c r="AA2001" s="52" t="n">
        <v>0</v>
      </c>
      <c r="AB2001" s="53" t="n">
        <v>0</v>
      </c>
      <c r="AC2001" s="52" t="n">
        <v>0</v>
      </c>
      <c r="AD2001" s="53" t="n">
        <v>0</v>
      </c>
      <c r="AE2001" s="52" t="n">
        <v>0</v>
      </c>
      <c r="AF2001" s="51" t="n">
        <v>0</v>
      </c>
      <c r="AG2001" s="48" t="n">
        <v>18.99</v>
      </c>
      <c r="AH2001" s="49" t="n">
        <v>1</v>
      </c>
      <c r="AI2001" s="49" t="n">
        <v>7</v>
      </c>
      <c r="AJ2001" s="50" t="n">
        <v>0.1428571428571428</v>
      </c>
      <c r="AK2001" s="51" t="n">
        <v>0</v>
      </c>
      <c r="AL2001" s="52" t="n">
        <v>0</v>
      </c>
      <c r="AM2001" s="52" t="n">
        <v>0</v>
      </c>
      <c r="AN2001" s="52" t="n">
        <v>0</v>
      </c>
      <c r="AO2001" s="53" t="n">
        <v>0</v>
      </c>
      <c r="AP2001" s="52" t="n">
        <v>0</v>
      </c>
      <c r="AQ2001" s="53" t="n">
        <v>0</v>
      </c>
      <c r="AR2001" s="52" t="n">
        <v>18.99</v>
      </c>
      <c r="AS2001" s="51" t="n">
        <v>0</v>
      </c>
      <c r="AT2001" s="48" t="n">
        <v>18.99</v>
      </c>
      <c r="AU2001" s="49" t="n">
        <v>1</v>
      </c>
      <c r="AV2001" s="49" t="n">
        <v>7</v>
      </c>
      <c r="AW2001" s="50" t="n">
        <v>0.1428571428571428</v>
      </c>
      <c r="AX2001" s="51" t="n">
        <v>0</v>
      </c>
      <c r="AY2001" s="52" t="n">
        <v>0</v>
      </c>
      <c r="AZ2001" s="52" t="n">
        <v>0</v>
      </c>
      <c r="BA2001" s="52" t="n">
        <v>0</v>
      </c>
      <c r="BB2001" s="53" t="n">
        <v>0</v>
      </c>
      <c r="BC2001" s="52" t="n">
        <v>0</v>
      </c>
      <c r="BD2001" s="53" t="n">
        <v>0</v>
      </c>
      <c r="BE2001" s="52" t="n">
        <v>18.99</v>
      </c>
      <c r="BF2001" s="51" t="n">
        <v>0</v>
      </c>
    </row>
    <row r="2002">
      <c r="A2002">
        <f>HYPERLINK("https://www.walmart.com/ip/225225218", "225225218")</f>
        <v/>
      </c>
      <c r="B2002" t="inlineStr">
        <is>
          <t>Flyingstar Oversized Hoodie Throws Blanket Sweatshirt, Super Soft,  Adults Men Women Teenagers</t>
        </is>
      </c>
      <c r="C2002" t="inlineStr">
        <is>
          <t>1WMHD300PP</t>
        </is>
      </c>
      <c r="D2002" t="inlineStr">
        <is>
          <t>Sweatshirts &amp; Hoodies</t>
        </is>
      </c>
      <c r="E2002" t="inlineStr">
        <is>
          <t>Flyingstar</t>
        </is>
      </c>
      <c r="F2002" t="inlineStr">
        <is>
          <t>Hoodie ForAdult,Optimized</t>
        </is>
      </c>
      <c r="G2002" s="48" t="n">
        <v>0</v>
      </c>
      <c r="H2002" s="49" t="n">
        <v>0</v>
      </c>
      <c r="I2002" s="49" t="n">
        <v>0</v>
      </c>
      <c r="J2002" s="50" t="n">
        <v>0</v>
      </c>
      <c r="K2002" s="51" t="n">
        <v>0</v>
      </c>
      <c r="L2002" s="52" t="n">
        <v>0</v>
      </c>
      <c r="M2002" s="52" t="n">
        <v>0</v>
      </c>
      <c r="N2002" s="52" t="n">
        <v>0</v>
      </c>
      <c r="O2002" s="53" t="n">
        <v>0</v>
      </c>
      <c r="P2002" s="52" t="n">
        <v>0</v>
      </c>
      <c r="Q2002" s="53" t="n">
        <v>0</v>
      </c>
      <c r="R2002" s="52" t="n">
        <v>0</v>
      </c>
      <c r="S2002" s="51" t="n">
        <v>0</v>
      </c>
      <c r="T2002" s="48" t="n">
        <v>0</v>
      </c>
      <c r="U2002" s="49" t="n">
        <v>0</v>
      </c>
      <c r="V2002" s="49" t="n">
        <v>0</v>
      </c>
      <c r="W2002" s="50" t="n">
        <v>0</v>
      </c>
      <c r="X2002" s="51" t="n">
        <v>0</v>
      </c>
      <c r="Y2002" s="52" t="n">
        <v>0</v>
      </c>
      <c r="Z2002" s="52" t="n">
        <v>0</v>
      </c>
      <c r="AA2002" s="52" t="n">
        <v>0</v>
      </c>
      <c r="AB2002" s="53" t="n">
        <v>0</v>
      </c>
      <c r="AC2002" s="52" t="n">
        <v>0</v>
      </c>
      <c r="AD2002" s="53" t="n">
        <v>0</v>
      </c>
      <c r="AE2002" s="52" t="n">
        <v>0</v>
      </c>
      <c r="AF2002" s="51" t="n">
        <v>0</v>
      </c>
      <c r="AG2002" s="48" t="n">
        <v>0</v>
      </c>
      <c r="AH2002" s="49" t="n">
        <v>0</v>
      </c>
      <c r="AI2002" s="49" t="n">
        <v>0</v>
      </c>
      <c r="AJ2002" s="50" t="n">
        <v>0</v>
      </c>
      <c r="AK2002" s="51" t="n">
        <v>0</v>
      </c>
      <c r="AL2002" s="52" t="n">
        <v>0</v>
      </c>
      <c r="AM2002" s="52" t="n">
        <v>0</v>
      </c>
      <c r="AN2002" s="52" t="n">
        <v>0</v>
      </c>
      <c r="AO2002" s="53" t="n">
        <v>0</v>
      </c>
      <c r="AP2002" s="52" t="n">
        <v>0</v>
      </c>
      <c r="AQ2002" s="53" t="n">
        <v>0</v>
      </c>
      <c r="AR2002" s="52" t="n">
        <v>0</v>
      </c>
      <c r="AS2002" s="51" t="n">
        <v>0</v>
      </c>
      <c r="AT2002" s="48" t="n">
        <v>0</v>
      </c>
      <c r="AU2002" s="49" t="n">
        <v>0</v>
      </c>
      <c r="AV2002" s="49" t="n">
        <v>0</v>
      </c>
      <c r="AW2002" s="50" t="n">
        <v>0</v>
      </c>
      <c r="AX2002" s="51" t="n">
        <v>0</v>
      </c>
      <c r="AY2002" s="52" t="n">
        <v>0</v>
      </c>
      <c r="AZ2002" s="52" t="n">
        <v>0</v>
      </c>
      <c r="BA2002" s="52" t="n">
        <v>0</v>
      </c>
      <c r="BB2002" s="53" t="n">
        <v>0</v>
      </c>
      <c r="BC2002" s="52" t="n">
        <v>0</v>
      </c>
      <c r="BD2002" s="53" t="n">
        <v>0</v>
      </c>
      <c r="BE2002" s="52" t="n">
        <v>0</v>
      </c>
      <c r="BF2002" s="51" t="n">
        <v>0</v>
      </c>
    </row>
    <row r="2003">
      <c r="A2003">
        <f>HYPERLINK("https://www.walmart.com/ip/225498817", "225498817")</f>
        <v/>
      </c>
      <c r="B2003" t="inlineStr">
        <is>
          <t>Bucket Summer Mens Sun Hat Water Repel Mesh Net Light Weight UV Protection Outdoor Cap by Solaris</t>
        </is>
      </c>
      <c r="C2003" t="inlineStr">
        <is>
          <t>1SLSH191GN</t>
        </is>
      </c>
      <c r="D2003" t="inlineStr">
        <is>
          <t>Hats</t>
        </is>
      </c>
      <c r="E2003" t="inlineStr">
        <is>
          <t>Solaris</t>
        </is>
      </c>
      <c r="F2003" t="inlineStr">
        <is>
          <t>Hats,Batch 1 - TR</t>
        </is>
      </c>
      <c r="G2003" s="48" t="n">
        <v>0</v>
      </c>
      <c r="H2003" s="49" t="n">
        <v>0</v>
      </c>
      <c r="I2003" s="49" t="n">
        <v>0</v>
      </c>
      <c r="J2003" s="50" t="n">
        <v>0</v>
      </c>
      <c r="K2003" s="51" t="n">
        <v>0</v>
      </c>
      <c r="L2003" s="52" t="n">
        <v>0</v>
      </c>
      <c r="M2003" s="52" t="n">
        <v>0</v>
      </c>
      <c r="N2003" s="52" t="n">
        <v>0</v>
      </c>
      <c r="O2003" s="53" t="n">
        <v>0</v>
      </c>
      <c r="P2003" s="52" t="n">
        <v>0</v>
      </c>
      <c r="Q2003" s="53" t="n">
        <v>0</v>
      </c>
      <c r="R2003" s="52" t="n">
        <v>0</v>
      </c>
      <c r="S2003" s="51" t="n">
        <v>0</v>
      </c>
      <c r="T2003" s="48" t="n">
        <v>0</v>
      </c>
      <c r="U2003" s="49" t="n">
        <v>0</v>
      </c>
      <c r="V2003" s="49" t="n">
        <v>0</v>
      </c>
      <c r="W2003" s="50" t="n">
        <v>0</v>
      </c>
      <c r="X2003" s="51" t="n">
        <v>0</v>
      </c>
      <c r="Y2003" s="52" t="n">
        <v>0</v>
      </c>
      <c r="Z2003" s="52" t="n">
        <v>0</v>
      </c>
      <c r="AA2003" s="52" t="n">
        <v>0</v>
      </c>
      <c r="AB2003" s="53" t="n">
        <v>0</v>
      </c>
      <c r="AC2003" s="52" t="n">
        <v>0</v>
      </c>
      <c r="AD2003" s="53" t="n">
        <v>0</v>
      </c>
      <c r="AE2003" s="52" t="n">
        <v>0</v>
      </c>
      <c r="AF2003" s="51" t="n">
        <v>0</v>
      </c>
      <c r="AG2003" s="48" t="n">
        <v>0</v>
      </c>
      <c r="AH2003" s="49" t="n">
        <v>0</v>
      </c>
      <c r="AI2003" s="49" t="n">
        <v>0</v>
      </c>
      <c r="AJ2003" s="50" t="n">
        <v>0</v>
      </c>
      <c r="AK2003" s="51" t="n">
        <v>0</v>
      </c>
      <c r="AL2003" s="52" t="n">
        <v>0</v>
      </c>
      <c r="AM2003" s="52" t="n">
        <v>0</v>
      </c>
      <c r="AN2003" s="52" t="n">
        <v>0</v>
      </c>
      <c r="AO2003" s="53" t="n">
        <v>0</v>
      </c>
      <c r="AP2003" s="52" t="n">
        <v>0</v>
      </c>
      <c r="AQ2003" s="53" t="n">
        <v>0</v>
      </c>
      <c r="AR2003" s="52" t="n">
        <v>0</v>
      </c>
      <c r="AS2003" s="51" t="n">
        <v>0</v>
      </c>
      <c r="AT2003" s="48" t="n">
        <v>0</v>
      </c>
      <c r="AU2003" s="49" t="n">
        <v>0</v>
      </c>
      <c r="AV2003" s="49" t="n">
        <v>0</v>
      </c>
      <c r="AW2003" s="50" t="n">
        <v>0</v>
      </c>
      <c r="AX2003" s="51" t="n">
        <v>0</v>
      </c>
      <c r="AY2003" s="52" t="n">
        <v>0</v>
      </c>
      <c r="AZ2003" s="52" t="n">
        <v>0</v>
      </c>
      <c r="BA2003" s="52" t="n">
        <v>0</v>
      </c>
      <c r="BB2003" s="53" t="n">
        <v>0</v>
      </c>
      <c r="BC2003" s="52" t="n">
        <v>0</v>
      </c>
      <c r="BD2003" s="53" t="n">
        <v>0</v>
      </c>
      <c r="BE2003" s="52" t="n">
        <v>0</v>
      </c>
      <c r="BF2003" s="51" t="n">
        <v>0</v>
      </c>
    </row>
    <row r="2004">
      <c r="A2004">
        <f>HYPERLINK("https://www.walmart.com/ip/226335077", "226335077")</f>
        <v/>
      </c>
      <c r="B2004" t="inlineStr">
        <is>
          <t>Flyingstar 3 Bottle Insulated Wine Carrier, Travel Wine Cooler Tote Bag, Black</t>
        </is>
      </c>
      <c r="C2004" t="inlineStr">
        <is>
          <t>1WMWB300BK</t>
        </is>
      </c>
      <c r="D2004" t="inlineStr">
        <is>
          <t>Wine Totes, Bags &amp; Backpacks</t>
        </is>
      </c>
      <c r="E2004" t="inlineStr">
        <is>
          <t>Flyingstar</t>
        </is>
      </c>
      <c r="F2004" t="inlineStr">
        <is>
          <t>Christmas,Optimized,Valentine</t>
        </is>
      </c>
      <c r="G2004" s="48" t="n">
        <v>0</v>
      </c>
      <c r="H2004" s="49" t="n">
        <v>0</v>
      </c>
      <c r="I2004" s="49" t="n">
        <v>0</v>
      </c>
      <c r="J2004" s="50" t="n">
        <v>0</v>
      </c>
      <c r="K2004" s="51" t="n">
        <v>0</v>
      </c>
      <c r="L2004" s="52" t="n">
        <v>0</v>
      </c>
      <c r="M2004" s="52" t="n">
        <v>0</v>
      </c>
      <c r="N2004" s="52" t="n">
        <v>0</v>
      </c>
      <c r="O2004" s="53" t="n">
        <v>0</v>
      </c>
      <c r="P2004" s="52" t="n">
        <v>0</v>
      </c>
      <c r="Q2004" s="53" t="n">
        <v>0</v>
      </c>
      <c r="R2004" s="52" t="n">
        <v>0</v>
      </c>
      <c r="S2004" s="51" t="n">
        <v>0</v>
      </c>
      <c r="T2004" s="48" t="n">
        <v>0</v>
      </c>
      <c r="U2004" s="49" t="n">
        <v>0</v>
      </c>
      <c r="V2004" s="49" t="n">
        <v>0</v>
      </c>
      <c r="W2004" s="50" t="n">
        <v>0</v>
      </c>
      <c r="X2004" s="51" t="n">
        <v>0</v>
      </c>
      <c r="Y2004" s="52" t="n">
        <v>0</v>
      </c>
      <c r="Z2004" s="52" t="n">
        <v>0</v>
      </c>
      <c r="AA2004" s="52" t="n">
        <v>0</v>
      </c>
      <c r="AB2004" s="53" t="n">
        <v>0</v>
      </c>
      <c r="AC2004" s="52" t="n">
        <v>0</v>
      </c>
      <c r="AD2004" s="53" t="n">
        <v>0</v>
      </c>
      <c r="AE2004" s="52" t="n">
        <v>0</v>
      </c>
      <c r="AF2004" s="51" t="n">
        <v>0</v>
      </c>
      <c r="AG2004" s="48" t="n">
        <v>0</v>
      </c>
      <c r="AH2004" s="49" t="n">
        <v>0</v>
      </c>
      <c r="AI2004" s="49" t="n">
        <v>0</v>
      </c>
      <c r="AJ2004" s="50" t="n">
        <v>0</v>
      </c>
      <c r="AK2004" s="51" t="n">
        <v>0</v>
      </c>
      <c r="AL2004" s="52" t="n">
        <v>0</v>
      </c>
      <c r="AM2004" s="52" t="n">
        <v>0</v>
      </c>
      <c r="AN2004" s="52" t="n">
        <v>0</v>
      </c>
      <c r="AO2004" s="53" t="n">
        <v>0</v>
      </c>
      <c r="AP2004" s="52" t="n">
        <v>0</v>
      </c>
      <c r="AQ2004" s="53" t="n">
        <v>0</v>
      </c>
      <c r="AR2004" s="52" t="n">
        <v>0</v>
      </c>
      <c r="AS2004" s="51" t="n">
        <v>0</v>
      </c>
      <c r="AT2004" s="48" t="n">
        <v>0</v>
      </c>
      <c r="AU2004" s="49" t="n">
        <v>0</v>
      </c>
      <c r="AV2004" s="49" t="n">
        <v>0</v>
      </c>
      <c r="AW2004" s="50" t="n">
        <v>0</v>
      </c>
      <c r="AX2004" s="51" t="n">
        <v>0</v>
      </c>
      <c r="AY2004" s="52" t="n">
        <v>0</v>
      </c>
      <c r="AZ2004" s="52" t="n">
        <v>0</v>
      </c>
      <c r="BA2004" s="52" t="n">
        <v>0</v>
      </c>
      <c r="BB2004" s="53" t="n">
        <v>0</v>
      </c>
      <c r="BC2004" s="52" t="n">
        <v>0</v>
      </c>
      <c r="BD2004" s="53" t="n">
        <v>0</v>
      </c>
      <c r="BE2004" s="52" t="n">
        <v>0</v>
      </c>
      <c r="BF2004" s="51" t="n">
        <v>0</v>
      </c>
    </row>
    <row r="2005">
      <c r="A2005">
        <f>HYPERLINK("https://www.walmart.com/ip/218956183", "218956183")</f>
        <v/>
      </c>
      <c r="B2005" t="inlineStr">
        <is>
          <t>Women's Poncho Cape, Sherpa Fleece Cloak Coat, Snuggly Hooded Wearable Blanket, Gift Idea for Adults and Teen Girls</t>
        </is>
      </c>
      <c r="C2005" t="inlineStr">
        <is>
          <t>1CTBC300WN</t>
        </is>
      </c>
      <c r="D2005" t="inlineStr">
        <is>
          <t>Capes &amp; Cloaks</t>
        </is>
      </c>
      <c r="E2005" t="inlineStr">
        <is>
          <t>Catalonia</t>
        </is>
      </c>
      <c r="F2005" t="inlineStr">
        <is>
          <t>WFS,WFS Item</t>
        </is>
      </c>
      <c r="G2005" s="48" t="n">
        <v>0</v>
      </c>
      <c r="H2005" s="49" t="n">
        <v>0</v>
      </c>
      <c r="I2005" s="49" t="n">
        <v>0</v>
      </c>
      <c r="J2005" s="50" t="n">
        <v>0</v>
      </c>
      <c r="K2005" s="51" t="n">
        <v>0</v>
      </c>
      <c r="L2005" s="52" t="n">
        <v>0</v>
      </c>
      <c r="M2005" s="52" t="n">
        <v>0</v>
      </c>
      <c r="N2005" s="52" t="n">
        <v>0</v>
      </c>
      <c r="O2005" s="53" t="n">
        <v>0</v>
      </c>
      <c r="P2005" s="52" t="n">
        <v>0</v>
      </c>
      <c r="Q2005" s="53" t="n">
        <v>0</v>
      </c>
      <c r="R2005" s="52" t="n">
        <v>0</v>
      </c>
      <c r="S2005" s="51" t="n">
        <v>0</v>
      </c>
      <c r="T2005" s="48" t="n">
        <v>0</v>
      </c>
      <c r="U2005" s="49" t="n">
        <v>0</v>
      </c>
      <c r="V2005" s="49" t="n">
        <v>0</v>
      </c>
      <c r="W2005" s="50" t="n">
        <v>0</v>
      </c>
      <c r="X2005" s="51" t="n">
        <v>0</v>
      </c>
      <c r="Y2005" s="52" t="n">
        <v>0</v>
      </c>
      <c r="Z2005" s="52" t="n">
        <v>0</v>
      </c>
      <c r="AA2005" s="52" t="n">
        <v>0</v>
      </c>
      <c r="AB2005" s="53" t="n">
        <v>0</v>
      </c>
      <c r="AC2005" s="52" t="n">
        <v>0</v>
      </c>
      <c r="AD2005" s="53" t="n">
        <v>0</v>
      </c>
      <c r="AE2005" s="52" t="n">
        <v>0</v>
      </c>
      <c r="AF2005" s="51" t="n">
        <v>0</v>
      </c>
      <c r="AG2005" s="48" t="n">
        <v>0</v>
      </c>
      <c r="AH2005" s="49" t="n">
        <v>0</v>
      </c>
      <c r="AI2005" s="49" t="n">
        <v>0</v>
      </c>
      <c r="AJ2005" s="50" t="n">
        <v>0</v>
      </c>
      <c r="AK2005" s="51" t="n">
        <v>0</v>
      </c>
      <c r="AL2005" s="52" t="n">
        <v>0</v>
      </c>
      <c r="AM2005" s="52" t="n">
        <v>0</v>
      </c>
      <c r="AN2005" s="52" t="n">
        <v>0</v>
      </c>
      <c r="AO2005" s="53" t="n">
        <v>0</v>
      </c>
      <c r="AP2005" s="52" t="n">
        <v>0</v>
      </c>
      <c r="AQ2005" s="53" t="n">
        <v>0</v>
      </c>
      <c r="AR2005" s="52" t="n">
        <v>0</v>
      </c>
      <c r="AS2005" s="51" t="n">
        <v>0</v>
      </c>
      <c r="AT2005" s="48" t="n">
        <v>0</v>
      </c>
      <c r="AU2005" s="49" t="n">
        <v>0</v>
      </c>
      <c r="AV2005" s="49" t="n">
        <v>0</v>
      </c>
      <c r="AW2005" s="50" t="n">
        <v>0</v>
      </c>
      <c r="AX2005" s="51" t="n">
        <v>0</v>
      </c>
      <c r="AY2005" s="52" t="n">
        <v>0</v>
      </c>
      <c r="AZ2005" s="52" t="n">
        <v>0</v>
      </c>
      <c r="BA2005" s="52" t="n">
        <v>0</v>
      </c>
      <c r="BB2005" s="53" t="n">
        <v>0</v>
      </c>
      <c r="BC2005" s="52" t="n">
        <v>0</v>
      </c>
      <c r="BD2005" s="53" t="n">
        <v>0</v>
      </c>
      <c r="BE2005" s="52" t="n">
        <v>0</v>
      </c>
      <c r="BF2005" s="51" t="n">
        <v>0</v>
      </c>
    </row>
    <row r="2006">
      <c r="A2006">
        <f>HYPERLINK("https://www.walmart.com/ip/216400521", "216400521")</f>
        <v/>
      </c>
      <c r="B2006" t="inlineStr">
        <is>
          <t>Tirrinia Insulated 2 Bottle Wine Carrier Tote Cooler Bag for Travel Picnic Padded Champagne Glass</t>
        </is>
      </c>
      <c r="C2006" t="inlineStr">
        <is>
          <t>1TRWB231RD</t>
        </is>
      </c>
      <c r="D2006" t="inlineStr">
        <is>
          <t>Wine Totes, Bags &amp; Backpacks</t>
        </is>
      </c>
      <c r="E2006" t="inlineStr">
        <is>
          <t>Tirrinia</t>
        </is>
      </c>
      <c r="F2006" t="inlineStr">
        <is>
          <t>Wine,Christmas,WFS,Wine WFS,Valentine,WFS Item</t>
        </is>
      </c>
      <c r="G2006" s="48" t="n">
        <v>0</v>
      </c>
      <c r="H2006" s="49" t="n">
        <v>0</v>
      </c>
      <c r="I2006" s="49" t="n">
        <v>0</v>
      </c>
      <c r="J2006" s="50" t="n">
        <v>0</v>
      </c>
      <c r="K2006" s="51" t="n">
        <v>0</v>
      </c>
      <c r="L2006" s="52" t="n">
        <v>0</v>
      </c>
      <c r="M2006" s="52" t="n">
        <v>0</v>
      </c>
      <c r="N2006" s="52" t="n">
        <v>0</v>
      </c>
      <c r="O2006" s="53" t="n">
        <v>0</v>
      </c>
      <c r="P2006" s="52" t="n">
        <v>0</v>
      </c>
      <c r="Q2006" s="53" t="n">
        <v>0</v>
      </c>
      <c r="R2006" s="52" t="n">
        <v>0</v>
      </c>
      <c r="S2006" s="51" t="n">
        <v>0</v>
      </c>
      <c r="T2006" s="48" t="n">
        <v>0</v>
      </c>
      <c r="U2006" s="49" t="n">
        <v>0</v>
      </c>
      <c r="V2006" s="49" t="n">
        <v>0</v>
      </c>
      <c r="W2006" s="50" t="n">
        <v>0</v>
      </c>
      <c r="X2006" s="51" t="n">
        <v>0</v>
      </c>
      <c r="Y2006" s="52" t="n">
        <v>0</v>
      </c>
      <c r="Z2006" s="52" t="n">
        <v>0</v>
      </c>
      <c r="AA2006" s="52" t="n">
        <v>0</v>
      </c>
      <c r="AB2006" s="53" t="n">
        <v>0</v>
      </c>
      <c r="AC2006" s="52" t="n">
        <v>0</v>
      </c>
      <c r="AD2006" s="53" t="n">
        <v>0</v>
      </c>
      <c r="AE2006" s="52" t="n">
        <v>0</v>
      </c>
      <c r="AF2006" s="51" t="n">
        <v>0</v>
      </c>
      <c r="AG2006" s="48" t="n">
        <v>0</v>
      </c>
      <c r="AH2006" s="49" t="n">
        <v>0</v>
      </c>
      <c r="AI2006" s="49" t="n">
        <v>0</v>
      </c>
      <c r="AJ2006" s="50" t="n">
        <v>0</v>
      </c>
      <c r="AK2006" s="51" t="n">
        <v>0</v>
      </c>
      <c r="AL2006" s="52" t="n">
        <v>0</v>
      </c>
      <c r="AM2006" s="52" t="n">
        <v>0</v>
      </c>
      <c r="AN2006" s="52" t="n">
        <v>0</v>
      </c>
      <c r="AO2006" s="53" t="n">
        <v>0</v>
      </c>
      <c r="AP2006" s="52" t="n">
        <v>0</v>
      </c>
      <c r="AQ2006" s="53" t="n">
        <v>0</v>
      </c>
      <c r="AR2006" s="52" t="n">
        <v>0</v>
      </c>
      <c r="AS2006" s="51" t="n">
        <v>0</v>
      </c>
      <c r="AT2006" s="48" t="n">
        <v>0</v>
      </c>
      <c r="AU2006" s="49" t="n">
        <v>0</v>
      </c>
      <c r="AV2006" s="49" t="n">
        <v>0</v>
      </c>
      <c r="AW2006" s="50" t="n">
        <v>0</v>
      </c>
      <c r="AX2006" s="51" t="n">
        <v>0</v>
      </c>
      <c r="AY2006" s="52" t="n">
        <v>0</v>
      </c>
      <c r="AZ2006" s="52" t="n">
        <v>0</v>
      </c>
      <c r="BA2006" s="52" t="n">
        <v>0</v>
      </c>
      <c r="BB2006" s="53" t="n">
        <v>0</v>
      </c>
      <c r="BC2006" s="52" t="n">
        <v>0</v>
      </c>
      <c r="BD2006" s="53" t="n">
        <v>0</v>
      </c>
      <c r="BE2006" s="52" t="n">
        <v>0</v>
      </c>
      <c r="BF2006" s="51" t="n">
        <v>0</v>
      </c>
    </row>
    <row r="2007">
      <c r="A2007">
        <f>HYPERLINK("https://www.walmart.com/ip/228305261", "228305261")</f>
        <v/>
      </c>
      <c r="B2007" t="inlineStr">
        <is>
          <t>Runner Waist Pack - Hip Hug Running Fuel Belt with 2 Pockets - NO BOUNCE Runner's Fanny Pack - Storage Pouch Bag Runners</t>
        </is>
      </c>
      <c r="C2007" t="inlineStr">
        <is>
          <t>TERRA-3NG-L-ZJ</t>
        </is>
      </c>
      <c r="D2007" t="inlineStr">
        <is>
          <t>Fanny Packs</t>
        </is>
      </c>
      <c r="E2007" t="inlineStr">
        <is>
          <t>Terra</t>
        </is>
      </c>
      <c r="F2007" t="inlineStr">
        <is>
          <t>Optimized</t>
        </is>
      </c>
      <c r="G2007" s="48" t="n">
        <v>0</v>
      </c>
      <c r="H2007" s="49" t="n">
        <v>0</v>
      </c>
      <c r="I2007" s="49" t="n">
        <v>0</v>
      </c>
      <c r="J2007" s="50" t="n">
        <v>0</v>
      </c>
      <c r="K2007" s="51" t="n">
        <v>0</v>
      </c>
      <c r="L2007" s="52" t="n">
        <v>0</v>
      </c>
      <c r="M2007" s="52" t="n">
        <v>0</v>
      </c>
      <c r="N2007" s="52" t="n">
        <v>0</v>
      </c>
      <c r="O2007" s="53" t="n">
        <v>0</v>
      </c>
      <c r="P2007" s="52" t="n">
        <v>0</v>
      </c>
      <c r="Q2007" s="53" t="n">
        <v>0</v>
      </c>
      <c r="R2007" s="52" t="n">
        <v>0</v>
      </c>
      <c r="S2007" s="51" t="n">
        <v>0</v>
      </c>
      <c r="T2007" s="48" t="n">
        <v>0</v>
      </c>
      <c r="U2007" s="49" t="n">
        <v>0</v>
      </c>
      <c r="V2007" s="49" t="n">
        <v>0</v>
      </c>
      <c r="W2007" s="50" t="n">
        <v>0</v>
      </c>
      <c r="X2007" s="51" t="n">
        <v>0</v>
      </c>
      <c r="Y2007" s="52" t="n">
        <v>0</v>
      </c>
      <c r="Z2007" s="52" t="n">
        <v>0</v>
      </c>
      <c r="AA2007" s="52" t="n">
        <v>0</v>
      </c>
      <c r="AB2007" s="53" t="n">
        <v>0</v>
      </c>
      <c r="AC2007" s="52" t="n">
        <v>0</v>
      </c>
      <c r="AD2007" s="53" t="n">
        <v>0</v>
      </c>
      <c r="AE2007" s="52" t="n">
        <v>0</v>
      </c>
      <c r="AF2007" s="51" t="n">
        <v>0</v>
      </c>
      <c r="AG2007" s="48" t="n">
        <v>0</v>
      </c>
      <c r="AH2007" s="49" t="n">
        <v>0</v>
      </c>
      <c r="AI2007" s="49" t="n">
        <v>0</v>
      </c>
      <c r="AJ2007" s="50" t="n">
        <v>0</v>
      </c>
      <c r="AK2007" s="51" t="n">
        <v>0</v>
      </c>
      <c r="AL2007" s="52" t="n">
        <v>0</v>
      </c>
      <c r="AM2007" s="52" t="n">
        <v>0</v>
      </c>
      <c r="AN2007" s="52" t="n">
        <v>0</v>
      </c>
      <c r="AO2007" s="53" t="n">
        <v>0</v>
      </c>
      <c r="AP2007" s="52" t="n">
        <v>0</v>
      </c>
      <c r="AQ2007" s="53" t="n">
        <v>0</v>
      </c>
      <c r="AR2007" s="52" t="n">
        <v>0</v>
      </c>
      <c r="AS2007" s="51" t="n">
        <v>0</v>
      </c>
      <c r="AT2007" s="48" t="n">
        <v>0</v>
      </c>
      <c r="AU2007" s="49" t="n">
        <v>0</v>
      </c>
      <c r="AV2007" s="49" t="n">
        <v>0</v>
      </c>
      <c r="AW2007" s="50" t="n">
        <v>0</v>
      </c>
      <c r="AX2007" s="51" t="n">
        <v>0</v>
      </c>
      <c r="AY2007" s="52" t="n">
        <v>0</v>
      </c>
      <c r="AZ2007" s="52" t="n">
        <v>0</v>
      </c>
      <c r="BA2007" s="52" t="n">
        <v>0</v>
      </c>
      <c r="BB2007" s="53" t="n">
        <v>0</v>
      </c>
      <c r="BC2007" s="52" t="n">
        <v>0</v>
      </c>
      <c r="BD2007" s="53" t="n">
        <v>0</v>
      </c>
      <c r="BE2007" s="52" t="n">
        <v>0</v>
      </c>
      <c r="BF2007" s="51" t="n">
        <v>0</v>
      </c>
    </row>
    <row r="2008">
      <c r="A2008">
        <f>HYPERLINK("https://www.walmart.com/ip/215534410", "215534410")</f>
        <v/>
      </c>
      <c r="B2008" t="inlineStr">
        <is>
          <t>Wearable Blanket with Sleeves and Kangaroo Pocket for Adult Soft Warm Comfy Throws Wrap Robe Blanket in Latte.</t>
        </is>
      </c>
      <c r="C2008" t="inlineStr">
        <is>
          <t>1CTSN200LT</t>
        </is>
      </c>
      <c r="D2008" t="inlineStr">
        <is>
          <t>Throws</t>
        </is>
      </c>
      <c r="E2008" t="inlineStr">
        <is>
          <t>Catalonia</t>
        </is>
      </c>
      <c r="F2008" t="inlineStr">
        <is>
          <t>Coupon_Discount</t>
        </is>
      </c>
      <c r="G2008" s="48" t="n">
        <v>0</v>
      </c>
      <c r="H2008" s="49" t="n">
        <v>0</v>
      </c>
      <c r="I2008" s="49" t="n">
        <v>0</v>
      </c>
      <c r="J2008" s="50" t="n">
        <v>0</v>
      </c>
      <c r="K2008" s="51" t="n">
        <v>0</v>
      </c>
      <c r="L2008" s="52" t="n">
        <v>0</v>
      </c>
      <c r="M2008" s="52" t="n">
        <v>0</v>
      </c>
      <c r="N2008" s="52" t="n">
        <v>0</v>
      </c>
      <c r="O2008" s="53" t="n">
        <v>0</v>
      </c>
      <c r="P2008" s="52" t="n">
        <v>0</v>
      </c>
      <c r="Q2008" s="53" t="n">
        <v>0</v>
      </c>
      <c r="R2008" s="52" t="n">
        <v>0</v>
      </c>
      <c r="S2008" s="51" t="n">
        <v>0</v>
      </c>
      <c r="T2008" s="48" t="n">
        <v>0</v>
      </c>
      <c r="U2008" s="49" t="n">
        <v>0</v>
      </c>
      <c r="V2008" s="49" t="n">
        <v>0</v>
      </c>
      <c r="W2008" s="50" t="n">
        <v>0</v>
      </c>
      <c r="X2008" s="51" t="n">
        <v>0</v>
      </c>
      <c r="Y2008" s="52" t="n">
        <v>0</v>
      </c>
      <c r="Z2008" s="52" t="n">
        <v>0</v>
      </c>
      <c r="AA2008" s="52" t="n">
        <v>0</v>
      </c>
      <c r="AB2008" s="53" t="n">
        <v>0</v>
      </c>
      <c r="AC2008" s="52" t="n">
        <v>0</v>
      </c>
      <c r="AD2008" s="53" t="n">
        <v>0</v>
      </c>
      <c r="AE2008" s="52" t="n">
        <v>0</v>
      </c>
      <c r="AF2008" s="51" t="n">
        <v>0</v>
      </c>
      <c r="AG2008" s="48" t="n">
        <v>0</v>
      </c>
      <c r="AH2008" s="49" t="n">
        <v>0</v>
      </c>
      <c r="AI2008" s="49" t="n">
        <v>0</v>
      </c>
      <c r="AJ2008" s="50" t="n">
        <v>0</v>
      </c>
      <c r="AK2008" s="51" t="n">
        <v>0</v>
      </c>
      <c r="AL2008" s="52" t="n">
        <v>0</v>
      </c>
      <c r="AM2008" s="52" t="n">
        <v>0</v>
      </c>
      <c r="AN2008" s="52" t="n">
        <v>0</v>
      </c>
      <c r="AO2008" s="53" t="n">
        <v>0</v>
      </c>
      <c r="AP2008" s="52" t="n">
        <v>0</v>
      </c>
      <c r="AQ2008" s="53" t="n">
        <v>0</v>
      </c>
      <c r="AR2008" s="52" t="n">
        <v>0</v>
      </c>
      <c r="AS2008" s="51" t="n">
        <v>0</v>
      </c>
      <c r="AT2008" s="48" t="n">
        <v>0</v>
      </c>
      <c r="AU2008" s="49" t="n">
        <v>0</v>
      </c>
      <c r="AV2008" s="49" t="n">
        <v>0</v>
      </c>
      <c r="AW2008" s="50" t="n">
        <v>0</v>
      </c>
      <c r="AX2008" s="51" t="n">
        <v>0</v>
      </c>
      <c r="AY2008" s="52" t="n">
        <v>0</v>
      </c>
      <c r="AZ2008" s="52" t="n">
        <v>0</v>
      </c>
      <c r="BA2008" s="52" t="n">
        <v>0</v>
      </c>
      <c r="BB2008" s="53" t="n">
        <v>0</v>
      </c>
      <c r="BC2008" s="52" t="n">
        <v>0</v>
      </c>
      <c r="BD2008" s="53" t="n">
        <v>0</v>
      </c>
      <c r="BE2008" s="52" t="n">
        <v>0</v>
      </c>
      <c r="BF2008" s="51" t="n">
        <v>0</v>
      </c>
    </row>
    <row r="2009">
      <c r="A2009">
        <f>HYPERLINK("https://www.walmart.com/ip/159933399", "159933399")</f>
        <v/>
      </c>
      <c r="B2009" t="inlineStr">
        <is>
          <t>undefined</t>
        </is>
      </c>
      <c r="C2009" t="inlineStr">
        <is>
          <t>JWBLSPH2012-6pcs</t>
        </is>
      </c>
      <c r="G2009" s="48" t="n">
        <v>0</v>
      </c>
      <c r="H2009" s="49" t="n">
        <v>0</v>
      </c>
      <c r="I2009" s="49" t="n">
        <v>0</v>
      </c>
      <c r="J2009" s="50" t="n">
        <v>0</v>
      </c>
      <c r="K2009" s="51" t="n">
        <v>0</v>
      </c>
      <c r="L2009" s="52" t="n">
        <v>0</v>
      </c>
      <c r="M2009" s="52" t="n">
        <v>0</v>
      </c>
      <c r="N2009" s="52" t="n">
        <v>0</v>
      </c>
      <c r="O2009" s="53" t="n">
        <v>0</v>
      </c>
      <c r="P2009" s="52" t="n">
        <v>0</v>
      </c>
      <c r="Q2009" s="53" t="n">
        <v>0</v>
      </c>
      <c r="R2009" s="52" t="n">
        <v>0</v>
      </c>
      <c r="S2009" s="51" t="n">
        <v>0</v>
      </c>
      <c r="T2009" s="48" t="n">
        <v>0</v>
      </c>
      <c r="U2009" s="49" t="n">
        <v>0</v>
      </c>
      <c r="V2009" s="49" t="n">
        <v>0</v>
      </c>
      <c r="W2009" s="50" t="n">
        <v>0</v>
      </c>
      <c r="X2009" s="51" t="n">
        <v>0</v>
      </c>
      <c r="Y2009" s="52" t="n">
        <v>0</v>
      </c>
      <c r="Z2009" s="52" t="n">
        <v>0</v>
      </c>
      <c r="AA2009" s="52" t="n">
        <v>0</v>
      </c>
      <c r="AB2009" s="53" t="n">
        <v>0</v>
      </c>
      <c r="AC2009" s="52" t="n">
        <v>0</v>
      </c>
      <c r="AD2009" s="53" t="n">
        <v>0</v>
      </c>
      <c r="AE2009" s="52" t="n">
        <v>0</v>
      </c>
      <c r="AF2009" s="51" t="n">
        <v>0</v>
      </c>
      <c r="AG2009" s="48" t="n">
        <v>0</v>
      </c>
      <c r="AH2009" s="49" t="n">
        <v>0</v>
      </c>
      <c r="AI2009" s="49" t="n">
        <v>0</v>
      </c>
      <c r="AJ2009" s="50" t="n">
        <v>0</v>
      </c>
      <c r="AK2009" s="51" t="n">
        <v>0</v>
      </c>
      <c r="AL2009" s="52" t="n">
        <v>0</v>
      </c>
      <c r="AM2009" s="52" t="n">
        <v>0</v>
      </c>
      <c r="AN2009" s="52" t="n">
        <v>0</v>
      </c>
      <c r="AO2009" s="53" t="n">
        <v>0</v>
      </c>
      <c r="AP2009" s="52" t="n">
        <v>0</v>
      </c>
      <c r="AQ2009" s="53" t="n">
        <v>0</v>
      </c>
      <c r="AR2009" s="52" t="n">
        <v>0</v>
      </c>
      <c r="AS2009" s="51" t="n">
        <v>0</v>
      </c>
      <c r="AT2009" s="48" t="n">
        <v>0</v>
      </c>
      <c r="AU2009" s="49" t="n">
        <v>0</v>
      </c>
      <c r="AV2009" s="49" t="n">
        <v>0</v>
      </c>
      <c r="AW2009" s="50" t="n">
        <v>0</v>
      </c>
      <c r="AX2009" s="51" t="n">
        <v>0</v>
      </c>
      <c r="AY2009" s="52" t="n">
        <v>0</v>
      </c>
      <c r="AZ2009" s="52" t="n">
        <v>0</v>
      </c>
      <c r="BA2009" s="52" t="n">
        <v>0</v>
      </c>
      <c r="BB2009" s="53" t="n">
        <v>0</v>
      </c>
      <c r="BC2009" s="52" t="n">
        <v>0</v>
      </c>
      <c r="BD2009" s="53" t="n">
        <v>0</v>
      </c>
      <c r="BE2009" s="52" t="n">
        <v>0</v>
      </c>
      <c r="BF2009" s="51" t="n">
        <v>0</v>
      </c>
    </row>
    <row r="2010">
      <c r="A2010">
        <f>HYPERLINK("https://www.walmart.com/ip/207008026", "207008026")</f>
        <v/>
      </c>
      <c r="B2010" t="inlineStr">
        <is>
          <t>JenniWears Women's Short One-Size Semi-Sheer Purple Tutu Skirt, Great for Dance and Ballet, 6-Pack</t>
        </is>
      </c>
      <c r="C2010" t="inlineStr">
        <is>
          <t>tutus-light purple-6pcs</t>
        </is>
      </c>
      <c r="D2010" t="inlineStr">
        <is>
          <t>Skirts</t>
        </is>
      </c>
      <c r="E2010" t="inlineStr">
        <is>
          <t>JenniWears</t>
        </is>
      </c>
      <c r="F2010" t="inlineStr">
        <is>
          <t>Optimized</t>
        </is>
      </c>
      <c r="G2010" s="48" t="n">
        <v>0</v>
      </c>
      <c r="H2010" s="49" t="n">
        <v>0</v>
      </c>
      <c r="I2010" s="49" t="n">
        <v>0</v>
      </c>
      <c r="J2010" s="50" t="n">
        <v>0</v>
      </c>
      <c r="K2010" s="51" t="n">
        <v>0</v>
      </c>
      <c r="L2010" s="52" t="n">
        <v>0</v>
      </c>
      <c r="M2010" s="52" t="n">
        <v>0</v>
      </c>
      <c r="N2010" s="52" t="n">
        <v>0</v>
      </c>
      <c r="O2010" s="53" t="n">
        <v>0</v>
      </c>
      <c r="P2010" s="52" t="n">
        <v>0</v>
      </c>
      <c r="Q2010" s="53" t="n">
        <v>0</v>
      </c>
      <c r="R2010" s="52" t="n">
        <v>0</v>
      </c>
      <c r="S2010" s="51" t="n">
        <v>0</v>
      </c>
      <c r="T2010" s="48" t="n">
        <v>0</v>
      </c>
      <c r="U2010" s="49" t="n">
        <v>0</v>
      </c>
      <c r="V2010" s="49" t="n">
        <v>0</v>
      </c>
      <c r="W2010" s="50" t="n">
        <v>0</v>
      </c>
      <c r="X2010" s="51" t="n">
        <v>0</v>
      </c>
      <c r="Y2010" s="52" t="n">
        <v>0</v>
      </c>
      <c r="Z2010" s="52" t="n">
        <v>0</v>
      </c>
      <c r="AA2010" s="52" t="n">
        <v>0</v>
      </c>
      <c r="AB2010" s="53" t="n">
        <v>0</v>
      </c>
      <c r="AC2010" s="52" t="n">
        <v>0</v>
      </c>
      <c r="AD2010" s="53" t="n">
        <v>0</v>
      </c>
      <c r="AE2010" s="52" t="n">
        <v>0</v>
      </c>
      <c r="AF2010" s="51" t="n">
        <v>0</v>
      </c>
      <c r="AG2010" s="48" t="n">
        <v>0</v>
      </c>
      <c r="AH2010" s="49" t="n">
        <v>0</v>
      </c>
      <c r="AI2010" s="49" t="n">
        <v>0</v>
      </c>
      <c r="AJ2010" s="50" t="n">
        <v>0</v>
      </c>
      <c r="AK2010" s="51" t="n">
        <v>0</v>
      </c>
      <c r="AL2010" s="52" t="n">
        <v>0</v>
      </c>
      <c r="AM2010" s="52" t="n">
        <v>0</v>
      </c>
      <c r="AN2010" s="52" t="n">
        <v>0</v>
      </c>
      <c r="AO2010" s="53" t="n">
        <v>0</v>
      </c>
      <c r="AP2010" s="52" t="n">
        <v>0</v>
      </c>
      <c r="AQ2010" s="53" t="n">
        <v>0</v>
      </c>
      <c r="AR2010" s="52" t="n">
        <v>0</v>
      </c>
      <c r="AS2010" s="51" t="n">
        <v>0</v>
      </c>
      <c r="AT2010" s="48" t="n">
        <v>0</v>
      </c>
      <c r="AU2010" s="49" t="n">
        <v>0</v>
      </c>
      <c r="AV2010" s="49" t="n">
        <v>0</v>
      </c>
      <c r="AW2010" s="50" t="n">
        <v>0</v>
      </c>
      <c r="AX2010" s="51" t="n">
        <v>0</v>
      </c>
      <c r="AY2010" s="52" t="n">
        <v>0</v>
      </c>
      <c r="AZ2010" s="52" t="n">
        <v>0</v>
      </c>
      <c r="BA2010" s="52" t="n">
        <v>0</v>
      </c>
      <c r="BB2010" s="53" t="n">
        <v>0</v>
      </c>
      <c r="BC2010" s="52" t="n">
        <v>0</v>
      </c>
      <c r="BD2010" s="53" t="n">
        <v>0</v>
      </c>
      <c r="BE2010" s="52" t="n">
        <v>0</v>
      </c>
      <c r="BF2010" s="51" t="n">
        <v>0</v>
      </c>
    </row>
    <row r="2011">
      <c r="A2011">
        <f>HYPERLINK("https://www.walmart.com/ip/208159352", "208159352")</f>
        <v/>
      </c>
      <c r="B2011" t="inlineStr">
        <is>
          <t>Tirrinia Adult Insulated Lunch Bag Totes Cooler Container Front Pocket</t>
        </is>
      </c>
      <c r="C2011" t="inlineStr">
        <is>
          <t>1WMLB702P1BRCK</t>
        </is>
      </c>
      <c r="D2011" t="inlineStr">
        <is>
          <t>Reusable Lunch Bags &amp; Boxes</t>
        </is>
      </c>
      <c r="E2011" t="inlineStr">
        <is>
          <t>Flyingstar</t>
        </is>
      </c>
      <c r="F2011" t="inlineStr">
        <is>
          <t>Q2-Target,Lunch Bag,Lunch Bags</t>
        </is>
      </c>
      <c r="G2011" s="48" t="n">
        <v>0</v>
      </c>
      <c r="H2011" s="49" t="n">
        <v>0</v>
      </c>
      <c r="I2011" s="49" t="n">
        <v>0</v>
      </c>
      <c r="J2011" s="50" t="n">
        <v>0</v>
      </c>
      <c r="K2011" s="51" t="n">
        <v>0</v>
      </c>
      <c r="L2011" s="52" t="n">
        <v>0</v>
      </c>
      <c r="M2011" s="52" t="n">
        <v>0</v>
      </c>
      <c r="N2011" s="52" t="n">
        <v>0</v>
      </c>
      <c r="O2011" s="53" t="n">
        <v>0</v>
      </c>
      <c r="P2011" s="52" t="n">
        <v>0</v>
      </c>
      <c r="Q2011" s="53" t="n">
        <v>0</v>
      </c>
      <c r="R2011" s="52" t="n">
        <v>0</v>
      </c>
      <c r="S2011" s="51" t="n">
        <v>0</v>
      </c>
      <c r="T2011" s="48" t="n">
        <v>0</v>
      </c>
      <c r="U2011" s="49" t="n">
        <v>0</v>
      </c>
      <c r="V2011" s="49" t="n">
        <v>0</v>
      </c>
      <c r="W2011" s="50" t="n">
        <v>0</v>
      </c>
      <c r="X2011" s="51" t="n">
        <v>0</v>
      </c>
      <c r="Y2011" s="52" t="n">
        <v>0</v>
      </c>
      <c r="Z2011" s="52" t="n">
        <v>0</v>
      </c>
      <c r="AA2011" s="52" t="n">
        <v>0</v>
      </c>
      <c r="AB2011" s="53" t="n">
        <v>0</v>
      </c>
      <c r="AC2011" s="52" t="n">
        <v>0</v>
      </c>
      <c r="AD2011" s="53" t="n">
        <v>0</v>
      </c>
      <c r="AE2011" s="52" t="n">
        <v>0</v>
      </c>
      <c r="AF2011" s="51" t="n">
        <v>0</v>
      </c>
      <c r="AG2011" s="48" t="n">
        <v>0</v>
      </c>
      <c r="AH2011" s="49" t="n">
        <v>0</v>
      </c>
      <c r="AI2011" s="49" t="n">
        <v>0</v>
      </c>
      <c r="AJ2011" s="50" t="n">
        <v>0</v>
      </c>
      <c r="AK2011" s="51" t="n">
        <v>0</v>
      </c>
      <c r="AL2011" s="52" t="n">
        <v>0</v>
      </c>
      <c r="AM2011" s="52" t="n">
        <v>0</v>
      </c>
      <c r="AN2011" s="52" t="n">
        <v>0</v>
      </c>
      <c r="AO2011" s="53" t="n">
        <v>0</v>
      </c>
      <c r="AP2011" s="52" t="n">
        <v>0</v>
      </c>
      <c r="AQ2011" s="53" t="n">
        <v>0</v>
      </c>
      <c r="AR2011" s="52" t="n">
        <v>0</v>
      </c>
      <c r="AS2011" s="51" t="n">
        <v>0</v>
      </c>
      <c r="AT2011" s="48" t="n">
        <v>0</v>
      </c>
      <c r="AU2011" s="49" t="n">
        <v>0</v>
      </c>
      <c r="AV2011" s="49" t="n">
        <v>0</v>
      </c>
      <c r="AW2011" s="50" t="n">
        <v>0</v>
      </c>
      <c r="AX2011" s="51" t="n">
        <v>0</v>
      </c>
      <c r="AY2011" s="52" t="n">
        <v>0</v>
      </c>
      <c r="AZ2011" s="52" t="n">
        <v>0</v>
      </c>
      <c r="BA2011" s="52" t="n">
        <v>0</v>
      </c>
      <c r="BB2011" s="53" t="n">
        <v>0</v>
      </c>
      <c r="BC2011" s="52" t="n">
        <v>0</v>
      </c>
      <c r="BD2011" s="53" t="n">
        <v>0</v>
      </c>
      <c r="BE2011" s="52" t="n">
        <v>0</v>
      </c>
      <c r="BF2011" s="51" t="n">
        <v>0</v>
      </c>
    </row>
    <row r="2012">
      <c r="A2012">
        <f>HYPERLINK("https://www.walmart.com/ip/208932020", "208932020")</f>
        <v/>
      </c>
      <c r="B2012" t="inlineStr">
        <is>
          <t>Bucket Sun Hat Cute Cap for Women Fashion Fold-up Brim Packable Summer Beach by Solaris</t>
        </is>
      </c>
      <c r="C2012" t="inlineStr">
        <is>
          <t>1SLSH9200GR-FSCB</t>
        </is>
      </c>
      <c r="D2012" t="inlineStr">
        <is>
          <t>Hats</t>
        </is>
      </c>
      <c r="E2012" t="inlineStr">
        <is>
          <t>Solaris</t>
        </is>
      </c>
      <c r="G2012" s="48" t="n">
        <v>0</v>
      </c>
      <c r="H2012" s="49" t="n">
        <v>0</v>
      </c>
      <c r="I2012" s="49" t="n">
        <v>0</v>
      </c>
      <c r="J2012" s="50" t="n">
        <v>0</v>
      </c>
      <c r="K2012" s="51" t="n">
        <v>0</v>
      </c>
      <c r="L2012" s="52" t="n">
        <v>0</v>
      </c>
      <c r="M2012" s="52" t="n">
        <v>0</v>
      </c>
      <c r="N2012" s="52" t="n">
        <v>0</v>
      </c>
      <c r="O2012" s="53" t="n">
        <v>0</v>
      </c>
      <c r="P2012" s="52" t="n">
        <v>0</v>
      </c>
      <c r="Q2012" s="53" t="n">
        <v>0</v>
      </c>
      <c r="R2012" s="52" t="n">
        <v>0</v>
      </c>
      <c r="S2012" s="51" t="n">
        <v>0</v>
      </c>
      <c r="T2012" s="48" t="n">
        <v>0</v>
      </c>
      <c r="U2012" s="49" t="n">
        <v>0</v>
      </c>
      <c r="V2012" s="49" t="n">
        <v>0</v>
      </c>
      <c r="W2012" s="50" t="n">
        <v>0</v>
      </c>
      <c r="X2012" s="51" t="n">
        <v>0</v>
      </c>
      <c r="Y2012" s="52" t="n">
        <v>0</v>
      </c>
      <c r="Z2012" s="52" t="n">
        <v>0</v>
      </c>
      <c r="AA2012" s="52" t="n">
        <v>0</v>
      </c>
      <c r="AB2012" s="53" t="n">
        <v>0</v>
      </c>
      <c r="AC2012" s="52" t="n">
        <v>0</v>
      </c>
      <c r="AD2012" s="53" t="n">
        <v>0</v>
      </c>
      <c r="AE2012" s="52" t="n">
        <v>0</v>
      </c>
      <c r="AF2012" s="51" t="n">
        <v>0</v>
      </c>
      <c r="AG2012" s="48" t="n">
        <v>0</v>
      </c>
      <c r="AH2012" s="49" t="n">
        <v>0</v>
      </c>
      <c r="AI2012" s="49" t="n">
        <v>0</v>
      </c>
      <c r="AJ2012" s="50" t="n">
        <v>0</v>
      </c>
      <c r="AK2012" s="51" t="n">
        <v>0</v>
      </c>
      <c r="AL2012" s="52" t="n">
        <v>0</v>
      </c>
      <c r="AM2012" s="52" t="n">
        <v>0</v>
      </c>
      <c r="AN2012" s="52" t="n">
        <v>0</v>
      </c>
      <c r="AO2012" s="53" t="n">
        <v>0</v>
      </c>
      <c r="AP2012" s="52" t="n">
        <v>0</v>
      </c>
      <c r="AQ2012" s="53" t="n">
        <v>0</v>
      </c>
      <c r="AR2012" s="52" t="n">
        <v>0</v>
      </c>
      <c r="AS2012" s="51" t="n">
        <v>0</v>
      </c>
      <c r="AT2012" s="48" t="n">
        <v>0</v>
      </c>
      <c r="AU2012" s="49" t="n">
        <v>0</v>
      </c>
      <c r="AV2012" s="49" t="n">
        <v>0</v>
      </c>
      <c r="AW2012" s="50" t="n">
        <v>0</v>
      </c>
      <c r="AX2012" s="51" t="n">
        <v>0</v>
      </c>
      <c r="AY2012" s="52" t="n">
        <v>0</v>
      </c>
      <c r="AZ2012" s="52" t="n">
        <v>0</v>
      </c>
      <c r="BA2012" s="52" t="n">
        <v>0</v>
      </c>
      <c r="BB2012" s="53" t="n">
        <v>0</v>
      </c>
      <c r="BC2012" s="52" t="n">
        <v>0</v>
      </c>
      <c r="BD2012" s="53" t="n">
        <v>0</v>
      </c>
      <c r="BE2012" s="52" t="n">
        <v>0</v>
      </c>
      <c r="BF2012" s="51" t="n">
        <v>0</v>
      </c>
    </row>
    <row r="2013">
      <c r="A2013">
        <f>HYPERLINK("https://www.walmart.com/ip/209516453", "209516453")</f>
        <v/>
      </c>
      <c r="B2013" t="inlineStr">
        <is>
          <t>Tirrinia Single Wine Gift Tote Bag, Insulated Padded Thermal Wine Bottle Carrying Cooler Carrier for Travel, Picnic, Great Gift for Wine Lover, Grey</t>
        </is>
      </c>
      <c r="C2013" t="inlineStr">
        <is>
          <t>1TRWB102GY</t>
        </is>
      </c>
      <c r="D2013" t="inlineStr">
        <is>
          <t>Wine Totes, Bags &amp; Backpacks</t>
        </is>
      </c>
      <c r="E2013" t="inlineStr">
        <is>
          <t>Tirrinia</t>
        </is>
      </c>
      <c r="G2013" s="48" t="n">
        <v>0</v>
      </c>
      <c r="H2013" s="49" t="n">
        <v>0</v>
      </c>
      <c r="I2013" s="49" t="n">
        <v>0</v>
      </c>
      <c r="J2013" s="50" t="n">
        <v>0</v>
      </c>
      <c r="K2013" s="51" t="n">
        <v>0</v>
      </c>
      <c r="L2013" s="52" t="n">
        <v>0</v>
      </c>
      <c r="M2013" s="52" t="n">
        <v>0</v>
      </c>
      <c r="N2013" s="52" t="n">
        <v>0</v>
      </c>
      <c r="O2013" s="53" t="n">
        <v>0</v>
      </c>
      <c r="P2013" s="52" t="n">
        <v>0</v>
      </c>
      <c r="Q2013" s="53" t="n">
        <v>0</v>
      </c>
      <c r="R2013" s="52" t="n">
        <v>0</v>
      </c>
      <c r="S2013" s="51" t="n">
        <v>0</v>
      </c>
      <c r="T2013" s="48" t="n">
        <v>0</v>
      </c>
      <c r="U2013" s="49" t="n">
        <v>0</v>
      </c>
      <c r="V2013" s="49" t="n">
        <v>0</v>
      </c>
      <c r="W2013" s="50" t="n">
        <v>0</v>
      </c>
      <c r="X2013" s="51" t="n">
        <v>0</v>
      </c>
      <c r="Y2013" s="52" t="n">
        <v>0</v>
      </c>
      <c r="Z2013" s="52" t="n">
        <v>0</v>
      </c>
      <c r="AA2013" s="52" t="n">
        <v>0</v>
      </c>
      <c r="AB2013" s="53" t="n">
        <v>0</v>
      </c>
      <c r="AC2013" s="52" t="n">
        <v>0</v>
      </c>
      <c r="AD2013" s="53" t="n">
        <v>0</v>
      </c>
      <c r="AE2013" s="52" t="n">
        <v>0</v>
      </c>
      <c r="AF2013" s="51" t="n">
        <v>0</v>
      </c>
      <c r="AG2013" s="48" t="n">
        <v>0</v>
      </c>
      <c r="AH2013" s="49" t="n">
        <v>0</v>
      </c>
      <c r="AI2013" s="49" t="n">
        <v>0</v>
      </c>
      <c r="AJ2013" s="50" t="n">
        <v>0</v>
      </c>
      <c r="AK2013" s="51" t="n">
        <v>0</v>
      </c>
      <c r="AL2013" s="52" t="n">
        <v>0</v>
      </c>
      <c r="AM2013" s="52" t="n">
        <v>0</v>
      </c>
      <c r="AN2013" s="52" t="n">
        <v>0</v>
      </c>
      <c r="AO2013" s="53" t="n">
        <v>0</v>
      </c>
      <c r="AP2013" s="52" t="n">
        <v>0</v>
      </c>
      <c r="AQ2013" s="53" t="n">
        <v>0</v>
      </c>
      <c r="AR2013" s="52" t="n">
        <v>0</v>
      </c>
      <c r="AS2013" s="51" t="n">
        <v>0</v>
      </c>
      <c r="AT2013" s="48" t="n">
        <v>0</v>
      </c>
      <c r="AU2013" s="49" t="n">
        <v>0</v>
      </c>
      <c r="AV2013" s="49" t="n">
        <v>0</v>
      </c>
      <c r="AW2013" s="50" t="n">
        <v>0</v>
      </c>
      <c r="AX2013" s="51" t="n">
        <v>0</v>
      </c>
      <c r="AY2013" s="52" t="n">
        <v>0</v>
      </c>
      <c r="AZ2013" s="52" t="n">
        <v>0</v>
      </c>
      <c r="BA2013" s="52" t="n">
        <v>0</v>
      </c>
      <c r="BB2013" s="53" t="n">
        <v>0</v>
      </c>
      <c r="BC2013" s="52" t="n">
        <v>0</v>
      </c>
      <c r="BD2013" s="53" t="n">
        <v>0</v>
      </c>
      <c r="BE2013" s="52" t="n">
        <v>0</v>
      </c>
      <c r="BF2013" s="51" t="n">
        <v>0</v>
      </c>
    </row>
    <row r="2014">
      <c r="A2014">
        <f>HYPERLINK("https://www.walmart.com/ip/209649243", "209649243")</f>
        <v/>
      </c>
      <c r="B2014" t="inlineStr">
        <is>
          <t>Solaris Sun Hat for Women, Wide Brim Summer Beach Hat with Neck Flap, UPF 50+ Fishing Hat for Hiking, White</t>
        </is>
      </c>
      <c r="C2014" t="inlineStr">
        <is>
          <t>1SLSH921WH</t>
        </is>
      </c>
      <c r="D2014" t="inlineStr">
        <is>
          <t>Hats</t>
        </is>
      </c>
      <c r="E2014" t="inlineStr">
        <is>
          <t>Solaris</t>
        </is>
      </c>
      <c r="F2014" t="inlineStr">
        <is>
          <t>Q2-Target,Hats,SEM,Batch 1 - TR</t>
        </is>
      </c>
      <c r="G2014" s="48" t="n">
        <v>0</v>
      </c>
      <c r="H2014" s="49" t="n">
        <v>0</v>
      </c>
      <c r="I2014" s="49" t="n">
        <v>5</v>
      </c>
      <c r="J2014" s="50" t="n">
        <v>0</v>
      </c>
      <c r="K2014" s="51" t="n">
        <v>0</v>
      </c>
      <c r="L2014" s="52" t="n">
        <v>0</v>
      </c>
      <c r="M2014" s="52" t="n">
        <v>0</v>
      </c>
      <c r="N2014" s="52" t="n">
        <v>0</v>
      </c>
      <c r="O2014" s="53" t="n">
        <v>0</v>
      </c>
      <c r="P2014" s="52" t="n">
        <v>0</v>
      </c>
      <c r="Q2014" s="53" t="n">
        <v>0</v>
      </c>
      <c r="R2014" s="52" t="n">
        <v>0</v>
      </c>
      <c r="S2014" s="51" t="n">
        <v>0</v>
      </c>
      <c r="T2014" s="48" t="n">
        <v>18.99</v>
      </c>
      <c r="U2014" s="49" t="n">
        <v>1</v>
      </c>
      <c r="V2014" s="49" t="n">
        <v>1</v>
      </c>
      <c r="W2014" s="50" t="n">
        <v>1</v>
      </c>
      <c r="X2014" s="51" t="n">
        <v>0</v>
      </c>
      <c r="Y2014" s="52" t="n">
        <v>0</v>
      </c>
      <c r="Z2014" s="52" t="n">
        <v>0</v>
      </c>
      <c r="AA2014" s="52" t="n">
        <v>0</v>
      </c>
      <c r="AB2014" s="53" t="n">
        <v>0</v>
      </c>
      <c r="AC2014" s="52" t="n">
        <v>0</v>
      </c>
      <c r="AD2014" s="53" t="n">
        <v>0</v>
      </c>
      <c r="AE2014" s="52" t="n">
        <v>18.99</v>
      </c>
      <c r="AF2014" s="51" t="n">
        <v>0</v>
      </c>
      <c r="AG2014" s="48" t="n">
        <v>0</v>
      </c>
      <c r="AH2014" s="49" t="n">
        <v>0</v>
      </c>
      <c r="AI2014" s="49" t="n">
        <v>0</v>
      </c>
      <c r="AJ2014" s="50" t="n">
        <v>0</v>
      </c>
      <c r="AK2014" s="51" t="n">
        <v>0</v>
      </c>
      <c r="AL2014" s="52" t="n">
        <v>0</v>
      </c>
      <c r="AM2014" s="52" t="n">
        <v>0</v>
      </c>
      <c r="AN2014" s="52" t="n">
        <v>0</v>
      </c>
      <c r="AO2014" s="53" t="n">
        <v>0</v>
      </c>
      <c r="AP2014" s="52" t="n">
        <v>0</v>
      </c>
      <c r="AQ2014" s="53" t="n">
        <v>0</v>
      </c>
      <c r="AR2014" s="52" t="n">
        <v>0</v>
      </c>
      <c r="AS2014" s="51" t="n">
        <v>0</v>
      </c>
      <c r="AT2014" s="48" t="n">
        <v>0</v>
      </c>
      <c r="AU2014" s="49" t="n">
        <v>0</v>
      </c>
      <c r="AV2014" s="49" t="n">
        <v>0</v>
      </c>
      <c r="AW2014" s="50" t="n">
        <v>0</v>
      </c>
      <c r="AX2014" s="51" t="n">
        <v>0</v>
      </c>
      <c r="AY2014" s="52" t="n">
        <v>0</v>
      </c>
      <c r="AZ2014" s="52" t="n">
        <v>0</v>
      </c>
      <c r="BA2014" s="52" t="n">
        <v>0</v>
      </c>
      <c r="BB2014" s="53" t="n">
        <v>0</v>
      </c>
      <c r="BC2014" s="52" t="n">
        <v>0</v>
      </c>
      <c r="BD2014" s="53" t="n">
        <v>0</v>
      </c>
      <c r="BE2014" s="52" t="n">
        <v>0</v>
      </c>
      <c r="BF2014" s="51" t="n">
        <v>0</v>
      </c>
    </row>
    <row r="2015">
      <c r="A2015">
        <f>HYPERLINK("https://www.walmart.com/ip/211899562", "211899562")</f>
        <v/>
      </c>
      <c r="B2015" t="inlineStr">
        <is>
          <t>Catalonia Waterproof Fleece Blanket, Liquid Pee-Proof Outdoor Blanket for Bed, Couch, Sofa, Bed Protector Cover for Babies with Cozy Sherpa Lining, Brown/Taupe 80'' x 90''</t>
        </is>
      </c>
      <c r="C2015" t="inlineStr">
        <is>
          <t>1CTBW981BNTP</t>
        </is>
      </c>
      <c r="D2015" t="inlineStr">
        <is>
          <t>Throws</t>
        </is>
      </c>
      <c r="E2015" t="inlineStr">
        <is>
          <t>Catalonia</t>
        </is>
      </c>
      <c r="F2015" t="inlineStr">
        <is>
          <t>Wproof Blanket,Batch 1 - TR</t>
        </is>
      </c>
      <c r="G2015" s="48" t="n">
        <v>0</v>
      </c>
      <c r="H2015" s="49" t="n">
        <v>0</v>
      </c>
      <c r="I2015" s="49" t="n">
        <v>0</v>
      </c>
      <c r="J2015" s="50" t="n">
        <v>0</v>
      </c>
      <c r="K2015" s="51" t="n">
        <v>0</v>
      </c>
      <c r="L2015" s="52" t="n">
        <v>0</v>
      </c>
      <c r="M2015" s="52" t="n">
        <v>0</v>
      </c>
      <c r="N2015" s="52" t="n">
        <v>0</v>
      </c>
      <c r="O2015" s="53" t="n">
        <v>0</v>
      </c>
      <c r="P2015" s="52" t="n">
        <v>0</v>
      </c>
      <c r="Q2015" s="53" t="n">
        <v>0</v>
      </c>
      <c r="R2015" s="52" t="n">
        <v>0</v>
      </c>
      <c r="S2015" s="51" t="n">
        <v>0</v>
      </c>
      <c r="T2015" s="48" t="n">
        <v>0</v>
      </c>
      <c r="U2015" s="49" t="n">
        <v>0</v>
      </c>
      <c r="V2015" s="49" t="n">
        <v>0</v>
      </c>
      <c r="W2015" s="50" t="n">
        <v>0</v>
      </c>
      <c r="X2015" s="51" t="n">
        <v>0</v>
      </c>
      <c r="Y2015" s="52" t="n">
        <v>0</v>
      </c>
      <c r="Z2015" s="52" t="n">
        <v>0</v>
      </c>
      <c r="AA2015" s="52" t="n">
        <v>0</v>
      </c>
      <c r="AB2015" s="53" t="n">
        <v>0</v>
      </c>
      <c r="AC2015" s="52" t="n">
        <v>0</v>
      </c>
      <c r="AD2015" s="53" t="n">
        <v>0</v>
      </c>
      <c r="AE2015" s="52" t="n">
        <v>0</v>
      </c>
      <c r="AF2015" s="51" t="n">
        <v>0</v>
      </c>
      <c r="AG2015" s="48" t="n">
        <v>0</v>
      </c>
      <c r="AH2015" s="49" t="n">
        <v>0</v>
      </c>
      <c r="AI2015" s="49" t="n">
        <v>0</v>
      </c>
      <c r="AJ2015" s="50" t="n">
        <v>0</v>
      </c>
      <c r="AK2015" s="51" t="n">
        <v>0</v>
      </c>
      <c r="AL2015" s="52" t="n">
        <v>0</v>
      </c>
      <c r="AM2015" s="52" t="n">
        <v>0</v>
      </c>
      <c r="AN2015" s="52" t="n">
        <v>0</v>
      </c>
      <c r="AO2015" s="53" t="n">
        <v>0</v>
      </c>
      <c r="AP2015" s="52" t="n">
        <v>0</v>
      </c>
      <c r="AQ2015" s="53" t="n">
        <v>0</v>
      </c>
      <c r="AR2015" s="52" t="n">
        <v>0</v>
      </c>
      <c r="AS2015" s="51" t="n">
        <v>0</v>
      </c>
      <c r="AT2015" s="48" t="n">
        <v>0</v>
      </c>
      <c r="AU2015" s="49" t="n">
        <v>0</v>
      </c>
      <c r="AV2015" s="49" t="n">
        <v>0</v>
      </c>
      <c r="AW2015" s="50" t="n">
        <v>0</v>
      </c>
      <c r="AX2015" s="51" t="n">
        <v>0</v>
      </c>
      <c r="AY2015" s="52" t="n">
        <v>0</v>
      </c>
      <c r="AZ2015" s="52" t="n">
        <v>0</v>
      </c>
      <c r="BA2015" s="52" t="n">
        <v>0</v>
      </c>
      <c r="BB2015" s="53" t="n">
        <v>0</v>
      </c>
      <c r="BC2015" s="52" t="n">
        <v>0</v>
      </c>
      <c r="BD2015" s="53" t="n">
        <v>0</v>
      </c>
      <c r="BE2015" s="52" t="n">
        <v>0</v>
      </c>
      <c r="BF2015" s="51" t="n">
        <v>0</v>
      </c>
    </row>
    <row r="2016">
      <c r="A2016">
        <f>HYPERLINK("https://www.walmart.com/ip/2123737816", "2123737816")</f>
        <v/>
      </c>
      <c r="B2016" t="inlineStr">
        <is>
          <t>Tirrinia Waterproof Outdoor Blanket with Sherpa Lining, Windproof Triple Layers Warm Comfy Foldable for Camping Stadium, Sports, Picnic, Concerts, Pet, Orange/Grey, 51''X 59''.</t>
        </is>
      </c>
      <c r="C2016" t="inlineStr">
        <is>
          <t>1TRBW506ORGY</t>
        </is>
      </c>
      <c r="D2016" t="inlineStr">
        <is>
          <t>Picnic Blankets &amp; Mats</t>
        </is>
      </c>
      <c r="E2016" t="inlineStr">
        <is>
          <t>Tirrinia</t>
        </is>
      </c>
      <c r="F2016" t="inlineStr">
        <is>
          <t>Q2-Target</t>
        </is>
      </c>
      <c r="G2016" s="48" t="n">
        <v>0</v>
      </c>
      <c r="H2016" s="49" t="n">
        <v>0</v>
      </c>
      <c r="I2016" s="49" t="n">
        <v>0</v>
      </c>
      <c r="J2016" s="50" t="n">
        <v>0</v>
      </c>
      <c r="K2016" s="51" t="n">
        <v>0</v>
      </c>
      <c r="L2016" s="52" t="n">
        <v>0</v>
      </c>
      <c r="M2016" s="52" t="n">
        <v>0</v>
      </c>
      <c r="N2016" s="52" t="n">
        <v>0</v>
      </c>
      <c r="O2016" s="53" t="n">
        <v>0</v>
      </c>
      <c r="P2016" s="52" t="n">
        <v>0</v>
      </c>
      <c r="Q2016" s="53" t="n">
        <v>0</v>
      </c>
      <c r="R2016" s="52" t="n">
        <v>0</v>
      </c>
      <c r="S2016" s="51" t="n">
        <v>0</v>
      </c>
      <c r="T2016" s="48" t="n">
        <v>0</v>
      </c>
      <c r="U2016" s="49" t="n">
        <v>0</v>
      </c>
      <c r="V2016" s="49" t="n">
        <v>0</v>
      </c>
      <c r="W2016" s="50" t="n">
        <v>0</v>
      </c>
      <c r="X2016" s="51" t="n">
        <v>0</v>
      </c>
      <c r="Y2016" s="52" t="n">
        <v>0</v>
      </c>
      <c r="Z2016" s="52" t="n">
        <v>0</v>
      </c>
      <c r="AA2016" s="52" t="n">
        <v>0</v>
      </c>
      <c r="AB2016" s="53" t="n">
        <v>0</v>
      </c>
      <c r="AC2016" s="52" t="n">
        <v>0</v>
      </c>
      <c r="AD2016" s="53" t="n">
        <v>0</v>
      </c>
      <c r="AE2016" s="52" t="n">
        <v>0</v>
      </c>
      <c r="AF2016" s="51" t="n">
        <v>0</v>
      </c>
      <c r="AG2016" s="48" t="n">
        <v>0</v>
      </c>
      <c r="AH2016" s="49" t="n">
        <v>0</v>
      </c>
      <c r="AI2016" s="49" t="n">
        <v>0</v>
      </c>
      <c r="AJ2016" s="50" t="n">
        <v>0</v>
      </c>
      <c r="AK2016" s="51" t="n">
        <v>0</v>
      </c>
      <c r="AL2016" s="52" t="n">
        <v>0</v>
      </c>
      <c r="AM2016" s="52" t="n">
        <v>0</v>
      </c>
      <c r="AN2016" s="52" t="n">
        <v>0</v>
      </c>
      <c r="AO2016" s="53" t="n">
        <v>0</v>
      </c>
      <c r="AP2016" s="52" t="n">
        <v>0</v>
      </c>
      <c r="AQ2016" s="53" t="n">
        <v>0</v>
      </c>
      <c r="AR2016" s="52" t="n">
        <v>0</v>
      </c>
      <c r="AS2016" s="51" t="n">
        <v>0</v>
      </c>
      <c r="AT2016" s="48" t="n">
        <v>0</v>
      </c>
      <c r="AU2016" s="49" t="n">
        <v>0</v>
      </c>
      <c r="AV2016" s="49" t="n">
        <v>0</v>
      </c>
      <c r="AW2016" s="50" t="n">
        <v>0</v>
      </c>
      <c r="AX2016" s="51" t="n">
        <v>0</v>
      </c>
      <c r="AY2016" s="52" t="n">
        <v>0</v>
      </c>
      <c r="AZ2016" s="52" t="n">
        <v>0</v>
      </c>
      <c r="BA2016" s="52" t="n">
        <v>0</v>
      </c>
      <c r="BB2016" s="53" t="n">
        <v>0</v>
      </c>
      <c r="BC2016" s="52" t="n">
        <v>0</v>
      </c>
      <c r="BD2016" s="53" t="n">
        <v>0</v>
      </c>
      <c r="BE2016" s="52" t="n">
        <v>0</v>
      </c>
      <c r="BF2016" s="51" t="n">
        <v>0</v>
      </c>
    </row>
    <row r="2017">
      <c r="A2017">
        <f>HYPERLINK("https://www.walmart.com/ip/212399897", "212399897")</f>
        <v/>
      </c>
      <c r="B2017" t="inlineStr">
        <is>
          <t>Luxury Sherpa Knit Throw Blanket 50" x 60", Home Decorative Blanket for Sofa Couch Chair All Season TV Blanket | Super Soft, Warm, Waffle Weave Knit | Catalonia series by Tirrinia, Blue</t>
        </is>
      </c>
      <c r="C2017" t="inlineStr">
        <is>
          <t>1TRBN300BL-TBCB</t>
        </is>
      </c>
      <c r="D2017" t="inlineStr">
        <is>
          <t>Throws</t>
        </is>
      </c>
      <c r="E2017" t="inlineStr">
        <is>
          <t>Tirrinia</t>
        </is>
      </c>
      <c r="F2017" t="inlineStr">
        <is>
          <t>Batch 1 - TR</t>
        </is>
      </c>
      <c r="G2017" s="48" t="n">
        <v>0</v>
      </c>
      <c r="H2017" s="49" t="n">
        <v>0</v>
      </c>
      <c r="I2017" s="49" t="n">
        <v>0</v>
      </c>
      <c r="J2017" s="50" t="n">
        <v>0</v>
      </c>
      <c r="K2017" s="51" t="n">
        <v>0</v>
      </c>
      <c r="L2017" s="52" t="n">
        <v>0</v>
      </c>
      <c r="M2017" s="52" t="n">
        <v>0</v>
      </c>
      <c r="N2017" s="52" t="n">
        <v>0</v>
      </c>
      <c r="O2017" s="53" t="n">
        <v>0</v>
      </c>
      <c r="P2017" s="52" t="n">
        <v>0</v>
      </c>
      <c r="Q2017" s="53" t="n">
        <v>0</v>
      </c>
      <c r="R2017" s="52" t="n">
        <v>0</v>
      </c>
      <c r="S2017" s="51" t="n">
        <v>0</v>
      </c>
      <c r="T2017" s="48" t="n">
        <v>0</v>
      </c>
      <c r="U2017" s="49" t="n">
        <v>0</v>
      </c>
      <c r="V2017" s="49" t="n">
        <v>0</v>
      </c>
      <c r="W2017" s="50" t="n">
        <v>0</v>
      </c>
      <c r="X2017" s="51" t="n">
        <v>0</v>
      </c>
      <c r="Y2017" s="52" t="n">
        <v>0</v>
      </c>
      <c r="Z2017" s="52" t="n">
        <v>0</v>
      </c>
      <c r="AA2017" s="52" t="n">
        <v>0</v>
      </c>
      <c r="AB2017" s="53" t="n">
        <v>0</v>
      </c>
      <c r="AC2017" s="52" t="n">
        <v>0</v>
      </c>
      <c r="AD2017" s="53" t="n">
        <v>0</v>
      </c>
      <c r="AE2017" s="52" t="n">
        <v>0</v>
      </c>
      <c r="AF2017" s="51" t="n">
        <v>0</v>
      </c>
      <c r="AG2017" s="48" t="n">
        <v>0</v>
      </c>
      <c r="AH2017" s="49" t="n">
        <v>0</v>
      </c>
      <c r="AI2017" s="49" t="n">
        <v>0</v>
      </c>
      <c r="AJ2017" s="50" t="n">
        <v>0</v>
      </c>
      <c r="AK2017" s="51" t="n">
        <v>0</v>
      </c>
      <c r="AL2017" s="52" t="n">
        <v>0</v>
      </c>
      <c r="AM2017" s="52" t="n">
        <v>0</v>
      </c>
      <c r="AN2017" s="52" t="n">
        <v>0</v>
      </c>
      <c r="AO2017" s="53" t="n">
        <v>0</v>
      </c>
      <c r="AP2017" s="52" t="n">
        <v>0</v>
      </c>
      <c r="AQ2017" s="53" t="n">
        <v>0</v>
      </c>
      <c r="AR2017" s="52" t="n">
        <v>0</v>
      </c>
      <c r="AS2017" s="51" t="n">
        <v>0</v>
      </c>
      <c r="AT2017" s="48" t="n">
        <v>0</v>
      </c>
      <c r="AU2017" s="49" t="n">
        <v>0</v>
      </c>
      <c r="AV2017" s="49" t="n">
        <v>0</v>
      </c>
      <c r="AW2017" s="50" t="n">
        <v>0</v>
      </c>
      <c r="AX2017" s="51" t="n">
        <v>0</v>
      </c>
      <c r="AY2017" s="52" t="n">
        <v>0</v>
      </c>
      <c r="AZ2017" s="52" t="n">
        <v>0</v>
      </c>
      <c r="BA2017" s="52" t="n">
        <v>0</v>
      </c>
      <c r="BB2017" s="53" t="n">
        <v>0</v>
      </c>
      <c r="BC2017" s="52" t="n">
        <v>0</v>
      </c>
      <c r="BD2017" s="53" t="n">
        <v>0</v>
      </c>
      <c r="BE2017" s="52" t="n">
        <v>0</v>
      </c>
      <c r="BF2017" s="51" t="n">
        <v>0</v>
      </c>
    </row>
    <row r="2018">
      <c r="A2018">
        <f>HYPERLINK("https://www.walmart.com/ip/212612688", "212612688")</f>
        <v/>
      </c>
      <c r="B2018" t="inlineStr">
        <is>
          <t>Knit Beanie Hat for Women and Men, Faux Fuzzy Pom Pom Winter Ski Skullies Cap, Purple</t>
        </is>
      </c>
      <c r="C2018" t="inlineStr">
        <is>
          <t>1SLPPH02PP</t>
        </is>
      </c>
      <c r="D2018" t="inlineStr">
        <is>
          <t>Hats</t>
        </is>
      </c>
      <c r="E2018" t="inlineStr">
        <is>
          <t>Solaris</t>
        </is>
      </c>
      <c r="F2018" t="inlineStr">
        <is>
          <t>Batch 1 - TR</t>
        </is>
      </c>
      <c r="G2018" s="48" t="n">
        <v>0</v>
      </c>
      <c r="H2018" s="49" t="n">
        <v>0</v>
      </c>
      <c r="I2018" s="49" t="n">
        <v>0</v>
      </c>
      <c r="J2018" s="50" t="n">
        <v>0</v>
      </c>
      <c r="K2018" s="51" t="n">
        <v>0</v>
      </c>
      <c r="L2018" s="52" t="n">
        <v>0</v>
      </c>
      <c r="M2018" s="52" t="n">
        <v>0</v>
      </c>
      <c r="N2018" s="52" t="n">
        <v>0</v>
      </c>
      <c r="O2018" s="53" t="n">
        <v>0</v>
      </c>
      <c r="P2018" s="52" t="n">
        <v>0</v>
      </c>
      <c r="Q2018" s="53" t="n">
        <v>0</v>
      </c>
      <c r="R2018" s="52" t="n">
        <v>0</v>
      </c>
      <c r="S2018" s="51" t="n">
        <v>0</v>
      </c>
      <c r="T2018" s="48" t="n">
        <v>0</v>
      </c>
      <c r="U2018" s="49" t="n">
        <v>0</v>
      </c>
      <c r="V2018" s="49" t="n">
        <v>0</v>
      </c>
      <c r="W2018" s="50" t="n">
        <v>0</v>
      </c>
      <c r="X2018" s="51" t="n">
        <v>0</v>
      </c>
      <c r="Y2018" s="52" t="n">
        <v>0</v>
      </c>
      <c r="Z2018" s="52" t="n">
        <v>0</v>
      </c>
      <c r="AA2018" s="52" t="n">
        <v>0</v>
      </c>
      <c r="AB2018" s="53" t="n">
        <v>0</v>
      </c>
      <c r="AC2018" s="52" t="n">
        <v>0</v>
      </c>
      <c r="AD2018" s="53" t="n">
        <v>0</v>
      </c>
      <c r="AE2018" s="52" t="n">
        <v>0</v>
      </c>
      <c r="AF2018" s="51" t="n">
        <v>0</v>
      </c>
      <c r="AG2018" s="48" t="n">
        <v>0</v>
      </c>
      <c r="AH2018" s="49" t="n">
        <v>0</v>
      </c>
      <c r="AI2018" s="49" t="n">
        <v>0</v>
      </c>
      <c r="AJ2018" s="50" t="n">
        <v>0</v>
      </c>
      <c r="AK2018" s="51" t="n">
        <v>0</v>
      </c>
      <c r="AL2018" s="52" t="n">
        <v>0</v>
      </c>
      <c r="AM2018" s="52" t="n">
        <v>0</v>
      </c>
      <c r="AN2018" s="52" t="n">
        <v>0</v>
      </c>
      <c r="AO2018" s="53" t="n">
        <v>0</v>
      </c>
      <c r="AP2018" s="52" t="n">
        <v>0</v>
      </c>
      <c r="AQ2018" s="53" t="n">
        <v>0</v>
      </c>
      <c r="AR2018" s="52" t="n">
        <v>0</v>
      </c>
      <c r="AS2018" s="51" t="n">
        <v>0</v>
      </c>
      <c r="AT2018" s="48" t="n">
        <v>0</v>
      </c>
      <c r="AU2018" s="49" t="n">
        <v>0</v>
      </c>
      <c r="AV2018" s="49" t="n">
        <v>0</v>
      </c>
      <c r="AW2018" s="50" t="n">
        <v>0</v>
      </c>
      <c r="AX2018" s="51" t="n">
        <v>0</v>
      </c>
      <c r="AY2018" s="52" t="n">
        <v>0</v>
      </c>
      <c r="AZ2018" s="52" t="n">
        <v>0</v>
      </c>
      <c r="BA2018" s="52" t="n">
        <v>0</v>
      </c>
      <c r="BB2018" s="53" t="n">
        <v>0</v>
      </c>
      <c r="BC2018" s="52" t="n">
        <v>0</v>
      </c>
      <c r="BD2018" s="53" t="n">
        <v>0</v>
      </c>
      <c r="BE2018" s="52" t="n">
        <v>0</v>
      </c>
      <c r="BF2018" s="51" t="n">
        <v>0</v>
      </c>
    </row>
    <row r="2019">
      <c r="A2019">
        <f>HYPERLINK("https://www.walmart.com/ip/213401735", "213401735")</f>
        <v/>
      </c>
      <c r="B2019" t="inlineStr">
        <is>
          <t>Flyingstar Lunch Bag for Women Men, Insulated Lunch Tote for Working/School/Picnic Fashionable Cooler Bag</t>
        </is>
      </c>
      <c r="C2019" t="inlineStr">
        <is>
          <t>1WMLB704RD</t>
        </is>
      </c>
      <c r="D2019" t="inlineStr">
        <is>
          <t>Reusable Lunch Bags &amp; Boxes</t>
        </is>
      </c>
      <c r="E2019" t="inlineStr">
        <is>
          <t>Flyingstar</t>
        </is>
      </c>
      <c r="F2019" t="inlineStr">
        <is>
          <t>Q2-Target,Lunch Bag</t>
        </is>
      </c>
      <c r="G2019" s="48" t="n">
        <v>0</v>
      </c>
      <c r="H2019" s="49" t="n">
        <v>0</v>
      </c>
      <c r="I2019" s="49" t="n">
        <v>0</v>
      </c>
      <c r="J2019" s="50" t="n">
        <v>0</v>
      </c>
      <c r="K2019" s="51" t="n">
        <v>0</v>
      </c>
      <c r="L2019" s="52" t="n">
        <v>0</v>
      </c>
      <c r="M2019" s="52" t="n">
        <v>0</v>
      </c>
      <c r="N2019" s="52" t="n">
        <v>0</v>
      </c>
      <c r="O2019" s="53" t="n">
        <v>0</v>
      </c>
      <c r="P2019" s="52" t="n">
        <v>0</v>
      </c>
      <c r="Q2019" s="53" t="n">
        <v>0</v>
      </c>
      <c r="R2019" s="52" t="n">
        <v>0</v>
      </c>
      <c r="S2019" s="51" t="n">
        <v>0</v>
      </c>
      <c r="T2019" s="48" t="n">
        <v>0</v>
      </c>
      <c r="U2019" s="49" t="n">
        <v>0</v>
      </c>
      <c r="V2019" s="49" t="n">
        <v>0</v>
      </c>
      <c r="W2019" s="50" t="n">
        <v>0</v>
      </c>
      <c r="X2019" s="51" t="n">
        <v>0</v>
      </c>
      <c r="Y2019" s="52" t="n">
        <v>0</v>
      </c>
      <c r="Z2019" s="52" t="n">
        <v>0</v>
      </c>
      <c r="AA2019" s="52" t="n">
        <v>0</v>
      </c>
      <c r="AB2019" s="53" t="n">
        <v>0</v>
      </c>
      <c r="AC2019" s="52" t="n">
        <v>0</v>
      </c>
      <c r="AD2019" s="53" t="n">
        <v>0</v>
      </c>
      <c r="AE2019" s="52" t="n">
        <v>0</v>
      </c>
      <c r="AF2019" s="51" t="n">
        <v>0</v>
      </c>
      <c r="AG2019" s="48" t="n">
        <v>0</v>
      </c>
      <c r="AH2019" s="49" t="n">
        <v>0</v>
      </c>
      <c r="AI2019" s="49" t="n">
        <v>0</v>
      </c>
      <c r="AJ2019" s="50" t="n">
        <v>0</v>
      </c>
      <c r="AK2019" s="51" t="n">
        <v>0</v>
      </c>
      <c r="AL2019" s="52" t="n">
        <v>0</v>
      </c>
      <c r="AM2019" s="52" t="n">
        <v>0</v>
      </c>
      <c r="AN2019" s="52" t="n">
        <v>0</v>
      </c>
      <c r="AO2019" s="53" t="n">
        <v>0</v>
      </c>
      <c r="AP2019" s="52" t="n">
        <v>0</v>
      </c>
      <c r="AQ2019" s="53" t="n">
        <v>0</v>
      </c>
      <c r="AR2019" s="52" t="n">
        <v>0</v>
      </c>
      <c r="AS2019" s="51" t="n">
        <v>0</v>
      </c>
      <c r="AT2019" s="48" t="n">
        <v>0</v>
      </c>
      <c r="AU2019" s="49" t="n">
        <v>0</v>
      </c>
      <c r="AV2019" s="49" t="n">
        <v>0</v>
      </c>
      <c r="AW2019" s="50" t="n">
        <v>0</v>
      </c>
      <c r="AX2019" s="51" t="n">
        <v>0</v>
      </c>
      <c r="AY2019" s="52" t="n">
        <v>0</v>
      </c>
      <c r="AZ2019" s="52" t="n">
        <v>0</v>
      </c>
      <c r="BA2019" s="52" t="n">
        <v>0</v>
      </c>
      <c r="BB2019" s="53" t="n">
        <v>0</v>
      </c>
      <c r="BC2019" s="52" t="n">
        <v>0</v>
      </c>
      <c r="BD2019" s="53" t="n">
        <v>0</v>
      </c>
      <c r="BE2019" s="52" t="n">
        <v>0</v>
      </c>
      <c r="BF2019" s="51" t="n">
        <v>0</v>
      </c>
    </row>
    <row r="2020">
      <c r="A2020">
        <f>HYPERLINK("https://www.walmart.com/ip/2137232855", "2137232855")</f>
        <v/>
      </c>
      <c r="B2020" t="inlineStr">
        <is>
          <t>Catalonia Fleece Wearable Blanket with Sleeves and Pocket, Micro Plush Warm Sleeved TV Throw Sherpa Blanket Robe for Women and Men, Moose Green, 72” X 55”.</t>
        </is>
      </c>
      <c r="C2020" t="inlineStr">
        <is>
          <t>1CTSN110GNMOOSE</t>
        </is>
      </c>
      <c r="D2020" t="inlineStr">
        <is>
          <t>Throws</t>
        </is>
      </c>
      <c r="E2020" t="inlineStr">
        <is>
          <t>Catalonia</t>
        </is>
      </c>
      <c r="F2020" t="inlineStr">
        <is>
          <t>Q2-Target,Coupon_Discount,Batch 1 - TR</t>
        </is>
      </c>
      <c r="G2020" s="48" t="n">
        <v>0</v>
      </c>
      <c r="H2020" s="49" t="n">
        <v>0</v>
      </c>
      <c r="I2020" s="49" t="n">
        <v>0</v>
      </c>
      <c r="J2020" s="50" t="n">
        <v>0</v>
      </c>
      <c r="K2020" s="51" t="n">
        <v>0</v>
      </c>
      <c r="L2020" s="52" t="n">
        <v>0</v>
      </c>
      <c r="M2020" s="52" t="n">
        <v>0</v>
      </c>
      <c r="N2020" s="52" t="n">
        <v>0</v>
      </c>
      <c r="O2020" s="53" t="n">
        <v>0</v>
      </c>
      <c r="P2020" s="52" t="n">
        <v>0</v>
      </c>
      <c r="Q2020" s="53" t="n">
        <v>0</v>
      </c>
      <c r="R2020" s="52" t="n">
        <v>0</v>
      </c>
      <c r="S2020" s="51" t="n">
        <v>0</v>
      </c>
      <c r="T2020" s="48" t="n">
        <v>0</v>
      </c>
      <c r="U2020" s="49" t="n">
        <v>0</v>
      </c>
      <c r="V2020" s="49" t="n">
        <v>0</v>
      </c>
      <c r="W2020" s="50" t="n">
        <v>0</v>
      </c>
      <c r="X2020" s="51" t="n">
        <v>0</v>
      </c>
      <c r="Y2020" s="52" t="n">
        <v>0</v>
      </c>
      <c r="Z2020" s="52" t="n">
        <v>0</v>
      </c>
      <c r="AA2020" s="52" t="n">
        <v>0</v>
      </c>
      <c r="AB2020" s="53" t="n">
        <v>0</v>
      </c>
      <c r="AC2020" s="52" t="n">
        <v>0</v>
      </c>
      <c r="AD2020" s="53" t="n">
        <v>0</v>
      </c>
      <c r="AE2020" s="52" t="n">
        <v>0</v>
      </c>
      <c r="AF2020" s="51" t="n">
        <v>0</v>
      </c>
      <c r="AG2020" s="48" t="n">
        <v>0</v>
      </c>
      <c r="AH2020" s="49" t="n">
        <v>0</v>
      </c>
      <c r="AI2020" s="49" t="n">
        <v>0</v>
      </c>
      <c r="AJ2020" s="50" t="n">
        <v>0</v>
      </c>
      <c r="AK2020" s="51" t="n">
        <v>0</v>
      </c>
      <c r="AL2020" s="52" t="n">
        <v>0</v>
      </c>
      <c r="AM2020" s="52" t="n">
        <v>0</v>
      </c>
      <c r="AN2020" s="52" t="n">
        <v>0</v>
      </c>
      <c r="AO2020" s="53" t="n">
        <v>0</v>
      </c>
      <c r="AP2020" s="52" t="n">
        <v>0</v>
      </c>
      <c r="AQ2020" s="53" t="n">
        <v>0</v>
      </c>
      <c r="AR2020" s="52" t="n">
        <v>0</v>
      </c>
      <c r="AS2020" s="51" t="n">
        <v>0</v>
      </c>
      <c r="AT2020" s="48" t="n">
        <v>0</v>
      </c>
      <c r="AU2020" s="49" t="n">
        <v>0</v>
      </c>
      <c r="AV2020" s="49" t="n">
        <v>0</v>
      </c>
      <c r="AW2020" s="50" t="n">
        <v>0</v>
      </c>
      <c r="AX2020" s="51" t="n">
        <v>0</v>
      </c>
      <c r="AY2020" s="52" t="n">
        <v>0</v>
      </c>
      <c r="AZ2020" s="52" t="n">
        <v>0</v>
      </c>
      <c r="BA2020" s="52" t="n">
        <v>0</v>
      </c>
      <c r="BB2020" s="53" t="n">
        <v>0</v>
      </c>
      <c r="BC2020" s="52" t="n">
        <v>0</v>
      </c>
      <c r="BD2020" s="53" t="n">
        <v>0</v>
      </c>
      <c r="BE2020" s="52" t="n">
        <v>0</v>
      </c>
      <c r="BF2020" s="51" t="n">
        <v>0</v>
      </c>
    </row>
    <row r="2021">
      <c r="A2021">
        <f>HYPERLINK("https://www.walmart.com/ip/213843490", "213843490")</f>
        <v/>
      </c>
      <c r="B2021" t="inlineStr">
        <is>
          <t>Flyingstar Blanket with Sleeves and Pocket, Wearable Throws Blanket, Robe for Women and Men 73” x 51” Brown</t>
        </is>
      </c>
      <c r="C2021" t="inlineStr">
        <is>
          <t>1WMSN100BR-ESGM</t>
        </is>
      </c>
      <c r="D2021" t="inlineStr">
        <is>
          <t>Throws</t>
        </is>
      </c>
      <c r="E2021" t="inlineStr">
        <is>
          <t>Flyingstar</t>
        </is>
      </c>
      <c r="F2021" t="inlineStr">
        <is>
          <t>Optimized</t>
        </is>
      </c>
      <c r="G2021" s="48" t="n">
        <v>0</v>
      </c>
      <c r="H2021" s="49" t="n">
        <v>0</v>
      </c>
      <c r="I2021" s="49" t="n">
        <v>0</v>
      </c>
      <c r="J2021" s="50" t="n">
        <v>0</v>
      </c>
      <c r="K2021" s="51" t="n">
        <v>0</v>
      </c>
      <c r="L2021" s="52" t="n">
        <v>0</v>
      </c>
      <c r="M2021" s="52" t="n">
        <v>0</v>
      </c>
      <c r="N2021" s="52" t="n">
        <v>0</v>
      </c>
      <c r="O2021" s="53" t="n">
        <v>0</v>
      </c>
      <c r="P2021" s="52" t="n">
        <v>0</v>
      </c>
      <c r="Q2021" s="53" t="n">
        <v>0</v>
      </c>
      <c r="R2021" s="52" t="n">
        <v>0</v>
      </c>
      <c r="S2021" s="51" t="n">
        <v>0</v>
      </c>
      <c r="T2021" s="48" t="n">
        <v>0</v>
      </c>
      <c r="U2021" s="49" t="n">
        <v>0</v>
      </c>
      <c r="V2021" s="49" t="n">
        <v>0</v>
      </c>
      <c r="W2021" s="50" t="n">
        <v>0</v>
      </c>
      <c r="X2021" s="51" t="n">
        <v>0</v>
      </c>
      <c r="Y2021" s="52" t="n">
        <v>0</v>
      </c>
      <c r="Z2021" s="52" t="n">
        <v>0</v>
      </c>
      <c r="AA2021" s="52" t="n">
        <v>0</v>
      </c>
      <c r="AB2021" s="53" t="n">
        <v>0</v>
      </c>
      <c r="AC2021" s="52" t="n">
        <v>0</v>
      </c>
      <c r="AD2021" s="53" t="n">
        <v>0</v>
      </c>
      <c r="AE2021" s="52" t="n">
        <v>0</v>
      </c>
      <c r="AF2021" s="51" t="n">
        <v>0</v>
      </c>
      <c r="AG2021" s="48" t="n">
        <v>0</v>
      </c>
      <c r="AH2021" s="49" t="n">
        <v>0</v>
      </c>
      <c r="AI2021" s="49" t="n">
        <v>0</v>
      </c>
      <c r="AJ2021" s="50" t="n">
        <v>0</v>
      </c>
      <c r="AK2021" s="51" t="n">
        <v>0</v>
      </c>
      <c r="AL2021" s="52" t="n">
        <v>0</v>
      </c>
      <c r="AM2021" s="52" t="n">
        <v>0</v>
      </c>
      <c r="AN2021" s="52" t="n">
        <v>0</v>
      </c>
      <c r="AO2021" s="53" t="n">
        <v>0</v>
      </c>
      <c r="AP2021" s="52" t="n">
        <v>0</v>
      </c>
      <c r="AQ2021" s="53" t="n">
        <v>0</v>
      </c>
      <c r="AR2021" s="52" t="n">
        <v>0</v>
      </c>
      <c r="AS2021" s="51" t="n">
        <v>0</v>
      </c>
      <c r="AT2021" s="48" t="n">
        <v>0</v>
      </c>
      <c r="AU2021" s="49" t="n">
        <v>0</v>
      </c>
      <c r="AV2021" s="49" t="n">
        <v>0</v>
      </c>
      <c r="AW2021" s="50" t="n">
        <v>0</v>
      </c>
      <c r="AX2021" s="51" t="n">
        <v>0</v>
      </c>
      <c r="AY2021" s="52" t="n">
        <v>0</v>
      </c>
      <c r="AZ2021" s="52" t="n">
        <v>0</v>
      </c>
      <c r="BA2021" s="52" t="n">
        <v>0</v>
      </c>
      <c r="BB2021" s="53" t="n">
        <v>0</v>
      </c>
      <c r="BC2021" s="52" t="n">
        <v>0</v>
      </c>
      <c r="BD2021" s="53" t="n">
        <v>0</v>
      </c>
      <c r="BE2021" s="52" t="n">
        <v>0</v>
      </c>
      <c r="BF2021" s="51" t="n">
        <v>0</v>
      </c>
    </row>
    <row r="2022">
      <c r="A2022">
        <f>HYPERLINK("https://www.walmart.com/ip/213969909", "213969909")</f>
        <v/>
      </c>
      <c r="B2022" t="inlineStr">
        <is>
          <t>Tirrinia Women Floppy Straw Sun Hat Wide Brim Striped Beach Cap Foldable Beige</t>
        </is>
      </c>
      <c r="C2022" t="inlineStr">
        <is>
          <t>1TRSH101BE-TBCB</t>
        </is>
      </c>
      <c r="D2022" t="inlineStr">
        <is>
          <t>Hats</t>
        </is>
      </c>
      <c r="E2022" t="inlineStr">
        <is>
          <t>Tirrinia</t>
        </is>
      </c>
      <c r="F2022" t="inlineStr">
        <is>
          <t>Optimized</t>
        </is>
      </c>
      <c r="G2022" s="48" t="n">
        <v>0</v>
      </c>
      <c r="H2022" s="49" t="n">
        <v>0</v>
      </c>
      <c r="I2022" s="49" t="n">
        <v>0</v>
      </c>
      <c r="J2022" s="50" t="n">
        <v>0</v>
      </c>
      <c r="K2022" s="51" t="n">
        <v>0</v>
      </c>
      <c r="L2022" s="52" t="n">
        <v>0</v>
      </c>
      <c r="M2022" s="52" t="n">
        <v>0</v>
      </c>
      <c r="N2022" s="52" t="n">
        <v>0</v>
      </c>
      <c r="O2022" s="53" t="n">
        <v>0</v>
      </c>
      <c r="P2022" s="52" t="n">
        <v>0</v>
      </c>
      <c r="Q2022" s="53" t="n">
        <v>0</v>
      </c>
      <c r="R2022" s="52" t="n">
        <v>0</v>
      </c>
      <c r="S2022" s="51" t="n">
        <v>0</v>
      </c>
      <c r="T2022" s="48" t="n">
        <v>0</v>
      </c>
      <c r="U2022" s="49" t="n">
        <v>0</v>
      </c>
      <c r="V2022" s="49" t="n">
        <v>0</v>
      </c>
      <c r="W2022" s="50" t="n">
        <v>0</v>
      </c>
      <c r="X2022" s="51" t="n">
        <v>0</v>
      </c>
      <c r="Y2022" s="52" t="n">
        <v>0</v>
      </c>
      <c r="Z2022" s="52" t="n">
        <v>0</v>
      </c>
      <c r="AA2022" s="52" t="n">
        <v>0</v>
      </c>
      <c r="AB2022" s="53" t="n">
        <v>0</v>
      </c>
      <c r="AC2022" s="52" t="n">
        <v>0</v>
      </c>
      <c r="AD2022" s="53" t="n">
        <v>0</v>
      </c>
      <c r="AE2022" s="52" t="n">
        <v>0</v>
      </c>
      <c r="AF2022" s="51" t="n">
        <v>0</v>
      </c>
      <c r="AG2022" s="48" t="n">
        <v>0</v>
      </c>
      <c r="AH2022" s="49" t="n">
        <v>0</v>
      </c>
      <c r="AI2022" s="49" t="n">
        <v>0</v>
      </c>
      <c r="AJ2022" s="50" t="n">
        <v>0</v>
      </c>
      <c r="AK2022" s="51" t="n">
        <v>0</v>
      </c>
      <c r="AL2022" s="52" t="n">
        <v>0</v>
      </c>
      <c r="AM2022" s="52" t="n">
        <v>0</v>
      </c>
      <c r="AN2022" s="52" t="n">
        <v>0</v>
      </c>
      <c r="AO2022" s="53" t="n">
        <v>0</v>
      </c>
      <c r="AP2022" s="52" t="n">
        <v>0</v>
      </c>
      <c r="AQ2022" s="53" t="n">
        <v>0</v>
      </c>
      <c r="AR2022" s="52" t="n">
        <v>0</v>
      </c>
      <c r="AS2022" s="51" t="n">
        <v>0</v>
      </c>
      <c r="AT2022" s="48" t="n">
        <v>0</v>
      </c>
      <c r="AU2022" s="49" t="n">
        <v>0</v>
      </c>
      <c r="AV2022" s="49" t="n">
        <v>0</v>
      </c>
      <c r="AW2022" s="50" t="n">
        <v>0</v>
      </c>
      <c r="AX2022" s="51" t="n">
        <v>0</v>
      </c>
      <c r="AY2022" s="52" t="n">
        <v>0</v>
      </c>
      <c r="AZ2022" s="52" t="n">
        <v>0</v>
      </c>
      <c r="BA2022" s="52" t="n">
        <v>0</v>
      </c>
      <c r="BB2022" s="53" t="n">
        <v>0</v>
      </c>
      <c r="BC2022" s="52" t="n">
        <v>0</v>
      </c>
      <c r="BD2022" s="53" t="n">
        <v>0</v>
      </c>
      <c r="BE2022" s="52" t="n">
        <v>0</v>
      </c>
      <c r="BF2022" s="51" t="n">
        <v>0</v>
      </c>
    </row>
    <row r="2023">
      <c r="A2023">
        <f>HYPERLINK("https://www.walmart.com/ip/2144882124", "2144882124")</f>
        <v/>
      </c>
      <c r="B2023" t="inlineStr">
        <is>
          <t>Kato Outdoors Waterproof Blanket, Sherpa Fleece Stadium Windproof Throw Mat for Boat, Traveling, Camping, Hiking, and Football, Machine Washable, Orange, 59”x 79”.</t>
        </is>
      </c>
      <c r="C2023" t="inlineStr">
        <is>
          <t>1KTBW608ORGY</t>
        </is>
      </c>
      <c r="D2023" t="inlineStr">
        <is>
          <t>Picnic Blankets &amp; Mats</t>
        </is>
      </c>
      <c r="E2023" t="inlineStr">
        <is>
          <t>Kato</t>
        </is>
      </c>
      <c r="F2023" t="inlineStr">
        <is>
          <t>Q2-Target</t>
        </is>
      </c>
      <c r="G2023" s="48" t="n">
        <v>0</v>
      </c>
      <c r="H2023" s="49" t="n">
        <v>0</v>
      </c>
      <c r="I2023" s="49" t="n">
        <v>0</v>
      </c>
      <c r="J2023" s="50" t="n">
        <v>0</v>
      </c>
      <c r="K2023" s="51" t="n">
        <v>0</v>
      </c>
      <c r="L2023" s="52" t="n">
        <v>0</v>
      </c>
      <c r="M2023" s="52" t="n">
        <v>0</v>
      </c>
      <c r="N2023" s="52" t="n">
        <v>0</v>
      </c>
      <c r="O2023" s="53" t="n">
        <v>0</v>
      </c>
      <c r="P2023" s="52" t="n">
        <v>0</v>
      </c>
      <c r="Q2023" s="53" t="n">
        <v>0</v>
      </c>
      <c r="R2023" s="52" t="n">
        <v>0</v>
      </c>
      <c r="S2023" s="51" t="n">
        <v>0</v>
      </c>
      <c r="T2023" s="48" t="n">
        <v>0</v>
      </c>
      <c r="U2023" s="49" t="n">
        <v>0</v>
      </c>
      <c r="V2023" s="49" t="n">
        <v>0</v>
      </c>
      <c r="W2023" s="50" t="n">
        <v>0</v>
      </c>
      <c r="X2023" s="51" t="n">
        <v>0</v>
      </c>
      <c r="Y2023" s="52" t="n">
        <v>0</v>
      </c>
      <c r="Z2023" s="52" t="n">
        <v>0</v>
      </c>
      <c r="AA2023" s="52" t="n">
        <v>0</v>
      </c>
      <c r="AB2023" s="53" t="n">
        <v>0</v>
      </c>
      <c r="AC2023" s="52" t="n">
        <v>0</v>
      </c>
      <c r="AD2023" s="53" t="n">
        <v>0</v>
      </c>
      <c r="AE2023" s="52" t="n">
        <v>0</v>
      </c>
      <c r="AF2023" s="51" t="n">
        <v>0</v>
      </c>
      <c r="AG2023" s="48" t="n">
        <v>0</v>
      </c>
      <c r="AH2023" s="49" t="n">
        <v>0</v>
      </c>
      <c r="AI2023" s="49" t="n">
        <v>0</v>
      </c>
      <c r="AJ2023" s="50" t="n">
        <v>0</v>
      </c>
      <c r="AK2023" s="51" t="n">
        <v>0</v>
      </c>
      <c r="AL2023" s="52" t="n">
        <v>0</v>
      </c>
      <c r="AM2023" s="52" t="n">
        <v>0</v>
      </c>
      <c r="AN2023" s="52" t="n">
        <v>0</v>
      </c>
      <c r="AO2023" s="53" t="n">
        <v>0</v>
      </c>
      <c r="AP2023" s="52" t="n">
        <v>0</v>
      </c>
      <c r="AQ2023" s="53" t="n">
        <v>0</v>
      </c>
      <c r="AR2023" s="52" t="n">
        <v>0</v>
      </c>
      <c r="AS2023" s="51" t="n">
        <v>0</v>
      </c>
      <c r="AT2023" s="48" t="n">
        <v>0</v>
      </c>
      <c r="AU2023" s="49" t="n">
        <v>0</v>
      </c>
      <c r="AV2023" s="49" t="n">
        <v>0</v>
      </c>
      <c r="AW2023" s="50" t="n">
        <v>0</v>
      </c>
      <c r="AX2023" s="51" t="n">
        <v>0</v>
      </c>
      <c r="AY2023" s="52" t="n">
        <v>0</v>
      </c>
      <c r="AZ2023" s="52" t="n">
        <v>0</v>
      </c>
      <c r="BA2023" s="52" t="n">
        <v>0</v>
      </c>
      <c r="BB2023" s="53" t="n">
        <v>0</v>
      </c>
      <c r="BC2023" s="52" t="n">
        <v>0</v>
      </c>
      <c r="BD2023" s="53" t="n">
        <v>0</v>
      </c>
      <c r="BE2023" s="52" t="n">
        <v>0</v>
      </c>
      <c r="BF2023" s="51" t="n">
        <v>0</v>
      </c>
    </row>
    <row r="2024">
      <c r="A2024">
        <f>HYPERLINK("https://www.walmart.com/ip/2268437068", "2268437068")</f>
        <v/>
      </c>
      <c r="B2024" t="inlineStr">
        <is>
          <t>Tirrinia Insulated Lunch Bag for Women and Men, Double-Layer Leak-Proof Reusable Lunch Box with 4 Pockets, Large, 17L, Dark Blue, 9.85" x 8.72" x 10.63"</t>
        </is>
      </c>
      <c r="C2024" t="inlineStr">
        <is>
          <t>1TRLB701DBL-D</t>
        </is>
      </c>
      <c r="D2024" t="inlineStr">
        <is>
          <t>Reusable Lunch Bags &amp; Boxes</t>
        </is>
      </c>
      <c r="E2024" t="inlineStr">
        <is>
          <t>Tirrinia</t>
        </is>
      </c>
      <c r="F2024" t="inlineStr">
        <is>
          <t>Q2-Target</t>
        </is>
      </c>
      <c r="G2024" s="48" t="n">
        <v>0</v>
      </c>
      <c r="H2024" s="49" t="n">
        <v>0</v>
      </c>
      <c r="I2024" s="49" t="n">
        <v>0</v>
      </c>
      <c r="J2024" s="50" t="n">
        <v>0</v>
      </c>
      <c r="K2024" s="51" t="n">
        <v>0</v>
      </c>
      <c r="L2024" s="52" t="n">
        <v>0</v>
      </c>
      <c r="M2024" s="52" t="n">
        <v>0</v>
      </c>
      <c r="N2024" s="52" t="n">
        <v>0</v>
      </c>
      <c r="O2024" s="53" t="n">
        <v>0</v>
      </c>
      <c r="P2024" s="52" t="n">
        <v>0</v>
      </c>
      <c r="Q2024" s="53" t="n">
        <v>0</v>
      </c>
      <c r="R2024" s="52" t="n">
        <v>0</v>
      </c>
      <c r="S2024" s="51" t="n">
        <v>0</v>
      </c>
      <c r="T2024" s="48" t="n">
        <v>0</v>
      </c>
      <c r="U2024" s="49" t="n">
        <v>0</v>
      </c>
      <c r="V2024" s="49" t="n">
        <v>0</v>
      </c>
      <c r="W2024" s="50" t="n">
        <v>0</v>
      </c>
      <c r="X2024" s="51" t="n">
        <v>0</v>
      </c>
      <c r="Y2024" s="52" t="n">
        <v>0</v>
      </c>
      <c r="Z2024" s="52" t="n">
        <v>0</v>
      </c>
      <c r="AA2024" s="52" t="n">
        <v>0</v>
      </c>
      <c r="AB2024" s="53" t="n">
        <v>0</v>
      </c>
      <c r="AC2024" s="52" t="n">
        <v>0</v>
      </c>
      <c r="AD2024" s="53" t="n">
        <v>0</v>
      </c>
      <c r="AE2024" s="52" t="n">
        <v>0</v>
      </c>
      <c r="AF2024" s="51" t="n">
        <v>0</v>
      </c>
      <c r="AG2024" s="48" t="n">
        <v>0</v>
      </c>
      <c r="AH2024" s="49" t="n">
        <v>0</v>
      </c>
      <c r="AI2024" s="49" t="n">
        <v>0</v>
      </c>
      <c r="AJ2024" s="50" t="n">
        <v>0</v>
      </c>
      <c r="AK2024" s="51" t="n">
        <v>0</v>
      </c>
      <c r="AL2024" s="52" t="n">
        <v>0</v>
      </c>
      <c r="AM2024" s="52" t="n">
        <v>0</v>
      </c>
      <c r="AN2024" s="52" t="n">
        <v>0</v>
      </c>
      <c r="AO2024" s="53" t="n">
        <v>0</v>
      </c>
      <c r="AP2024" s="52" t="n">
        <v>0</v>
      </c>
      <c r="AQ2024" s="53" t="n">
        <v>0</v>
      </c>
      <c r="AR2024" s="52" t="n">
        <v>0</v>
      </c>
      <c r="AS2024" s="51" t="n">
        <v>0</v>
      </c>
      <c r="AT2024" s="48" t="n">
        <v>0</v>
      </c>
      <c r="AU2024" s="49" t="n">
        <v>0</v>
      </c>
      <c r="AV2024" s="49" t="n">
        <v>0</v>
      </c>
      <c r="AW2024" s="50" t="n">
        <v>0</v>
      </c>
      <c r="AX2024" s="51" t="n">
        <v>0</v>
      </c>
      <c r="AY2024" s="52" t="n">
        <v>0</v>
      </c>
      <c r="AZ2024" s="52" t="n">
        <v>0</v>
      </c>
      <c r="BA2024" s="52" t="n">
        <v>0</v>
      </c>
      <c r="BB2024" s="53" t="n">
        <v>0</v>
      </c>
      <c r="BC2024" s="52" t="n">
        <v>0</v>
      </c>
      <c r="BD2024" s="53" t="n">
        <v>0</v>
      </c>
      <c r="BE2024" s="52" t="n">
        <v>0</v>
      </c>
      <c r="BF2024" s="51" t="n">
        <v>0</v>
      </c>
    </row>
    <row r="2025">
      <c r="A2025">
        <f>HYPERLINK("https://www.walmart.com/ip/228320712", "228320712")</f>
        <v/>
      </c>
      <c r="B2025" t="inlineStr">
        <is>
          <t>Flyingstar Insulated Lunch Bag, Reusable Tote Bag for Women &amp; Men &amp; Kids, Fashionable Large Cooler Lunch Bag for Working/School/Picnic</t>
        </is>
      </c>
      <c r="C2025" t="inlineStr">
        <is>
          <t>1WMLB703GYWV</t>
        </is>
      </c>
      <c r="D2025" t="inlineStr">
        <is>
          <t>Reusable Lunch Bags &amp; Boxes</t>
        </is>
      </c>
      <c r="E2025" t="inlineStr">
        <is>
          <t>Flyingstar</t>
        </is>
      </c>
      <c r="F2025" t="inlineStr">
        <is>
          <t>Lunch Bag,Optimized</t>
        </is>
      </c>
      <c r="G2025" s="48" t="n">
        <v>0</v>
      </c>
      <c r="H2025" s="49" t="n">
        <v>0</v>
      </c>
      <c r="I2025" s="49" t="n">
        <v>0</v>
      </c>
      <c r="J2025" s="50" t="n">
        <v>0</v>
      </c>
      <c r="K2025" s="51" t="n">
        <v>0</v>
      </c>
      <c r="L2025" s="52" t="n">
        <v>0</v>
      </c>
      <c r="M2025" s="52" t="n">
        <v>0</v>
      </c>
      <c r="N2025" s="52" t="n">
        <v>0</v>
      </c>
      <c r="O2025" s="53" t="n">
        <v>0</v>
      </c>
      <c r="P2025" s="52" t="n">
        <v>0</v>
      </c>
      <c r="Q2025" s="53" t="n">
        <v>0</v>
      </c>
      <c r="R2025" s="52" t="n">
        <v>0</v>
      </c>
      <c r="S2025" s="51" t="n">
        <v>0</v>
      </c>
      <c r="T2025" s="48" t="n">
        <v>0</v>
      </c>
      <c r="U2025" s="49" t="n">
        <v>0</v>
      </c>
      <c r="V2025" s="49" t="n">
        <v>0</v>
      </c>
      <c r="W2025" s="50" t="n">
        <v>0</v>
      </c>
      <c r="X2025" s="51" t="n">
        <v>0</v>
      </c>
      <c r="Y2025" s="52" t="n">
        <v>0</v>
      </c>
      <c r="Z2025" s="52" t="n">
        <v>0</v>
      </c>
      <c r="AA2025" s="52" t="n">
        <v>0</v>
      </c>
      <c r="AB2025" s="53" t="n">
        <v>0</v>
      </c>
      <c r="AC2025" s="52" t="n">
        <v>0</v>
      </c>
      <c r="AD2025" s="53" t="n">
        <v>0</v>
      </c>
      <c r="AE2025" s="52" t="n">
        <v>0</v>
      </c>
      <c r="AF2025" s="51" t="n">
        <v>0</v>
      </c>
      <c r="AG2025" s="48" t="n">
        <v>0</v>
      </c>
      <c r="AH2025" s="49" t="n">
        <v>0</v>
      </c>
      <c r="AI2025" s="49" t="n">
        <v>0</v>
      </c>
      <c r="AJ2025" s="50" t="n">
        <v>0</v>
      </c>
      <c r="AK2025" s="51" t="n">
        <v>0</v>
      </c>
      <c r="AL2025" s="52" t="n">
        <v>0</v>
      </c>
      <c r="AM2025" s="52" t="n">
        <v>0</v>
      </c>
      <c r="AN2025" s="52" t="n">
        <v>0</v>
      </c>
      <c r="AO2025" s="53" t="n">
        <v>0</v>
      </c>
      <c r="AP2025" s="52" t="n">
        <v>0</v>
      </c>
      <c r="AQ2025" s="53" t="n">
        <v>0</v>
      </c>
      <c r="AR2025" s="52" t="n">
        <v>0</v>
      </c>
      <c r="AS2025" s="51" t="n">
        <v>0</v>
      </c>
      <c r="AT2025" s="48" t="n">
        <v>0</v>
      </c>
      <c r="AU2025" s="49" t="n">
        <v>0</v>
      </c>
      <c r="AV2025" s="49" t="n">
        <v>0</v>
      </c>
      <c r="AW2025" s="50" t="n">
        <v>0</v>
      </c>
      <c r="AX2025" s="51" t="n">
        <v>0</v>
      </c>
      <c r="AY2025" s="52" t="n">
        <v>0</v>
      </c>
      <c r="AZ2025" s="52" t="n">
        <v>0</v>
      </c>
      <c r="BA2025" s="52" t="n">
        <v>0</v>
      </c>
      <c r="BB2025" s="53" t="n">
        <v>0</v>
      </c>
      <c r="BC2025" s="52" t="n">
        <v>0</v>
      </c>
      <c r="BD2025" s="53" t="n">
        <v>0</v>
      </c>
      <c r="BE2025" s="52" t="n">
        <v>0</v>
      </c>
      <c r="BF2025" s="51" t="n">
        <v>0</v>
      </c>
    </row>
    <row r="2026">
      <c r="A2026">
        <f>HYPERLINK("https://www.walmart.com/ip/2489473756", "2489473756")</f>
        <v/>
      </c>
      <c r="B2026" t="inlineStr">
        <is>
          <t>Catalonia Wearable Fleece Blanket with Sleeves and Foot Pockets for Adult Women Men, Micro Plush Comfy Wrap Sleeved Throw Blanket Robe Large, Grey Dog</t>
        </is>
      </c>
      <c r="C2026" t="inlineStr">
        <is>
          <t>1CTSN101GYDOG</t>
        </is>
      </c>
      <c r="D2026" t="inlineStr">
        <is>
          <t>Throws</t>
        </is>
      </c>
      <c r="E2026" t="inlineStr">
        <is>
          <t>Catalonia</t>
        </is>
      </c>
      <c r="F2026" t="inlineStr">
        <is>
          <t>Coupon_Discount,Fleece Blankets</t>
        </is>
      </c>
      <c r="G2026" s="48" t="n">
        <v>0</v>
      </c>
      <c r="H2026" s="49" t="n">
        <v>0</v>
      </c>
      <c r="I2026" s="49" t="n">
        <v>0</v>
      </c>
      <c r="J2026" s="50" t="n">
        <v>0</v>
      </c>
      <c r="K2026" s="51" t="n">
        <v>0</v>
      </c>
      <c r="L2026" s="52" t="n">
        <v>0</v>
      </c>
      <c r="M2026" s="52" t="n">
        <v>0</v>
      </c>
      <c r="N2026" s="52" t="n">
        <v>0</v>
      </c>
      <c r="O2026" s="53" t="n">
        <v>0</v>
      </c>
      <c r="P2026" s="52" t="n">
        <v>0</v>
      </c>
      <c r="Q2026" s="53" t="n">
        <v>0</v>
      </c>
      <c r="R2026" s="52" t="n">
        <v>0</v>
      </c>
      <c r="S2026" s="51" t="n">
        <v>0</v>
      </c>
      <c r="T2026" s="48" t="n">
        <v>0</v>
      </c>
      <c r="U2026" s="49" t="n">
        <v>0</v>
      </c>
      <c r="V2026" s="49" t="n">
        <v>0</v>
      </c>
      <c r="W2026" s="50" t="n">
        <v>0</v>
      </c>
      <c r="X2026" s="51" t="n">
        <v>0</v>
      </c>
      <c r="Y2026" s="52" t="n">
        <v>0</v>
      </c>
      <c r="Z2026" s="52" t="n">
        <v>0</v>
      </c>
      <c r="AA2026" s="52" t="n">
        <v>0</v>
      </c>
      <c r="AB2026" s="53" t="n">
        <v>0</v>
      </c>
      <c r="AC2026" s="52" t="n">
        <v>0</v>
      </c>
      <c r="AD2026" s="53" t="n">
        <v>0</v>
      </c>
      <c r="AE2026" s="52" t="n">
        <v>0</v>
      </c>
      <c r="AF2026" s="51" t="n">
        <v>0</v>
      </c>
      <c r="AG2026" s="48" t="n">
        <v>0</v>
      </c>
      <c r="AH2026" s="49" t="n">
        <v>0</v>
      </c>
      <c r="AI2026" s="49" t="n">
        <v>0</v>
      </c>
      <c r="AJ2026" s="50" t="n">
        <v>0</v>
      </c>
      <c r="AK2026" s="51" t="n">
        <v>0</v>
      </c>
      <c r="AL2026" s="52" t="n">
        <v>0</v>
      </c>
      <c r="AM2026" s="52" t="n">
        <v>0</v>
      </c>
      <c r="AN2026" s="52" t="n">
        <v>0</v>
      </c>
      <c r="AO2026" s="53" t="n">
        <v>0</v>
      </c>
      <c r="AP2026" s="52" t="n">
        <v>0</v>
      </c>
      <c r="AQ2026" s="53" t="n">
        <v>0</v>
      </c>
      <c r="AR2026" s="52" t="n">
        <v>0</v>
      </c>
      <c r="AS2026" s="51" t="n">
        <v>0</v>
      </c>
      <c r="AT2026" s="48" t="n">
        <v>0</v>
      </c>
      <c r="AU2026" s="49" t="n">
        <v>0</v>
      </c>
      <c r="AV2026" s="49" t="n">
        <v>0</v>
      </c>
      <c r="AW2026" s="50" t="n">
        <v>0</v>
      </c>
      <c r="AX2026" s="51" t="n">
        <v>0</v>
      </c>
      <c r="AY2026" s="52" t="n">
        <v>0</v>
      </c>
      <c r="AZ2026" s="52" t="n">
        <v>0</v>
      </c>
      <c r="BA2026" s="52" t="n">
        <v>0</v>
      </c>
      <c r="BB2026" s="53" t="n">
        <v>0</v>
      </c>
      <c r="BC2026" s="52" t="n">
        <v>0</v>
      </c>
      <c r="BD2026" s="53" t="n">
        <v>0</v>
      </c>
      <c r="BE2026" s="52" t="n">
        <v>0</v>
      </c>
      <c r="BF2026" s="51" t="n">
        <v>0</v>
      </c>
    </row>
    <row r="2027">
      <c r="A2027">
        <f>HYPERLINK("https://www.walmart.com/ip/2384789693", "2384789693")</f>
        <v/>
      </c>
      <c r="B2027" t="inlineStr">
        <is>
          <t>Kato Outdoors Waterproof Throw Blanket, Sherpa Fleece Stadium Windproof Mat For Traveling, Camping, Hiking, Football - Machine Washable, Camo/Black, 51"x 59".</t>
        </is>
      </c>
      <c r="C2027" t="inlineStr">
        <is>
          <t>1KTBW506CAMOBK</t>
        </is>
      </c>
      <c r="D2027" t="inlineStr">
        <is>
          <t>Throws</t>
        </is>
      </c>
      <c r="E2027" t="inlineStr">
        <is>
          <t>Kato</t>
        </is>
      </c>
      <c r="F2027" t="inlineStr">
        <is>
          <t>Q2-Target</t>
        </is>
      </c>
      <c r="G2027" s="48" t="n">
        <v>0</v>
      </c>
      <c r="H2027" s="49" t="n">
        <v>0</v>
      </c>
      <c r="I2027" s="49" t="n">
        <v>0</v>
      </c>
      <c r="J2027" s="50" t="n">
        <v>0</v>
      </c>
      <c r="K2027" s="51" t="n">
        <v>0</v>
      </c>
      <c r="L2027" s="52" t="n">
        <v>0</v>
      </c>
      <c r="M2027" s="52" t="n">
        <v>0</v>
      </c>
      <c r="N2027" s="52" t="n">
        <v>0</v>
      </c>
      <c r="O2027" s="53" t="n">
        <v>0</v>
      </c>
      <c r="P2027" s="52" t="n">
        <v>0</v>
      </c>
      <c r="Q2027" s="53" t="n">
        <v>0</v>
      </c>
      <c r="R2027" s="52" t="n">
        <v>0</v>
      </c>
      <c r="S2027" s="51" t="n">
        <v>82</v>
      </c>
      <c r="T2027" s="48" t="n">
        <v>0</v>
      </c>
      <c r="U2027" s="49" t="n">
        <v>0</v>
      </c>
      <c r="V2027" s="49" t="n">
        <v>0</v>
      </c>
      <c r="W2027" s="50" t="n">
        <v>0</v>
      </c>
      <c r="X2027" s="51" t="n">
        <v>0</v>
      </c>
      <c r="Y2027" s="52" t="n">
        <v>0</v>
      </c>
      <c r="Z2027" s="52" t="n">
        <v>0</v>
      </c>
      <c r="AA2027" s="52" t="n">
        <v>0</v>
      </c>
      <c r="AB2027" s="53" t="n">
        <v>0</v>
      </c>
      <c r="AC2027" s="52" t="n">
        <v>0</v>
      </c>
      <c r="AD2027" s="53" t="n">
        <v>0</v>
      </c>
      <c r="AE2027" s="52" t="n">
        <v>0</v>
      </c>
      <c r="AF2027" s="51" t="n">
        <v>110</v>
      </c>
      <c r="AG2027" s="48" t="n">
        <v>0</v>
      </c>
      <c r="AH2027" s="49" t="n">
        <v>0</v>
      </c>
      <c r="AI2027" s="49" t="n">
        <v>0</v>
      </c>
      <c r="AJ2027" s="50" t="n">
        <v>0</v>
      </c>
      <c r="AK2027" s="51" t="n">
        <v>0</v>
      </c>
      <c r="AL2027" s="52" t="n">
        <v>0</v>
      </c>
      <c r="AM2027" s="52" t="n">
        <v>0</v>
      </c>
      <c r="AN2027" s="52" t="n">
        <v>0</v>
      </c>
      <c r="AO2027" s="53" t="n">
        <v>0</v>
      </c>
      <c r="AP2027" s="52" t="n">
        <v>0</v>
      </c>
      <c r="AQ2027" s="53" t="n">
        <v>0</v>
      </c>
      <c r="AR2027" s="52" t="n">
        <v>0</v>
      </c>
      <c r="AS2027" s="51" t="n">
        <v>0</v>
      </c>
      <c r="AT2027" s="48" t="n">
        <v>0</v>
      </c>
      <c r="AU2027" s="49" t="n">
        <v>0</v>
      </c>
      <c r="AV2027" s="49" t="n">
        <v>0</v>
      </c>
      <c r="AW2027" s="50" t="n">
        <v>0</v>
      </c>
      <c r="AX2027" s="51" t="n">
        <v>0</v>
      </c>
      <c r="AY2027" s="52" t="n">
        <v>0</v>
      </c>
      <c r="AZ2027" s="52" t="n">
        <v>0</v>
      </c>
      <c r="BA2027" s="52" t="n">
        <v>0</v>
      </c>
      <c r="BB2027" s="53" t="n">
        <v>0</v>
      </c>
      <c r="BC2027" s="52" t="n">
        <v>0</v>
      </c>
      <c r="BD2027" s="53" t="n">
        <v>0</v>
      </c>
      <c r="BE2027" s="52" t="n">
        <v>0</v>
      </c>
      <c r="BF2027" s="51" t="n">
        <v>38</v>
      </c>
    </row>
    <row r="2028">
      <c r="A2028">
        <f>HYPERLINK("https://www.walmart.com/ip/238905338", "238905338")</f>
        <v/>
      </c>
      <c r="B2028" t="inlineStr">
        <is>
          <t>Terra Baby Diaper Bag Backpack Large with Waterproof Stroller Straps and Zipper Pockets, Black</t>
        </is>
      </c>
      <c r="C2028" t="inlineStr">
        <is>
          <t>TERRABB-BP02-BK</t>
        </is>
      </c>
      <c r="D2028" t="inlineStr">
        <is>
          <t>Diaper Bags</t>
        </is>
      </c>
      <c r="E2028" t="inlineStr">
        <is>
          <t>Terra Baby</t>
        </is>
      </c>
      <c r="F2028" t="inlineStr">
        <is>
          <t>Baby days,WFS,SEM</t>
        </is>
      </c>
      <c r="G2028" s="48" t="n">
        <v>0</v>
      </c>
      <c r="H2028" s="49" t="n">
        <v>0</v>
      </c>
      <c r="I2028" s="49" t="n">
        <v>0</v>
      </c>
      <c r="J2028" s="50" t="n">
        <v>0</v>
      </c>
      <c r="K2028" s="51" t="n">
        <v>0</v>
      </c>
      <c r="L2028" s="52" t="n">
        <v>0</v>
      </c>
      <c r="M2028" s="52" t="n">
        <v>0</v>
      </c>
      <c r="N2028" s="52" t="n">
        <v>0</v>
      </c>
      <c r="O2028" s="53" t="n">
        <v>0</v>
      </c>
      <c r="P2028" s="52" t="n">
        <v>0</v>
      </c>
      <c r="Q2028" s="53" t="n">
        <v>0</v>
      </c>
      <c r="R2028" s="52" t="n">
        <v>0</v>
      </c>
      <c r="S2028" s="51" t="n">
        <v>0</v>
      </c>
      <c r="T2028" s="48" t="n">
        <v>0</v>
      </c>
      <c r="U2028" s="49" t="n">
        <v>0</v>
      </c>
      <c r="V2028" s="49" t="n">
        <v>0</v>
      </c>
      <c r="W2028" s="50" t="n">
        <v>0</v>
      </c>
      <c r="X2028" s="51" t="n">
        <v>0</v>
      </c>
      <c r="Y2028" s="52" t="n">
        <v>0</v>
      </c>
      <c r="Z2028" s="52" t="n">
        <v>0</v>
      </c>
      <c r="AA2028" s="52" t="n">
        <v>0</v>
      </c>
      <c r="AB2028" s="53" t="n">
        <v>0</v>
      </c>
      <c r="AC2028" s="52" t="n">
        <v>0</v>
      </c>
      <c r="AD2028" s="53" t="n">
        <v>0</v>
      </c>
      <c r="AE2028" s="52" t="n">
        <v>0</v>
      </c>
      <c r="AF2028" s="51" t="n">
        <v>0</v>
      </c>
      <c r="AG2028" s="48" t="n">
        <v>0</v>
      </c>
      <c r="AH2028" s="49" t="n">
        <v>0</v>
      </c>
      <c r="AI2028" s="49" t="n">
        <v>0</v>
      </c>
      <c r="AJ2028" s="50" t="n">
        <v>0</v>
      </c>
      <c r="AK2028" s="51" t="n">
        <v>0</v>
      </c>
      <c r="AL2028" s="52" t="n">
        <v>0</v>
      </c>
      <c r="AM2028" s="52" t="n">
        <v>0</v>
      </c>
      <c r="AN2028" s="52" t="n">
        <v>0</v>
      </c>
      <c r="AO2028" s="53" t="n">
        <v>0</v>
      </c>
      <c r="AP2028" s="52" t="n">
        <v>0</v>
      </c>
      <c r="AQ2028" s="53" t="n">
        <v>0</v>
      </c>
      <c r="AR2028" s="52" t="n">
        <v>0</v>
      </c>
      <c r="AS2028" s="51" t="n">
        <v>0</v>
      </c>
      <c r="AT2028" s="48" t="n">
        <v>0</v>
      </c>
      <c r="AU2028" s="49" t="n">
        <v>0</v>
      </c>
      <c r="AV2028" s="49" t="n">
        <v>0</v>
      </c>
      <c r="AW2028" s="50" t="n">
        <v>0</v>
      </c>
      <c r="AX2028" s="51" t="n">
        <v>0</v>
      </c>
      <c r="AY2028" s="52" t="n">
        <v>0</v>
      </c>
      <c r="AZ2028" s="52" t="n">
        <v>0</v>
      </c>
      <c r="BA2028" s="52" t="n">
        <v>0</v>
      </c>
      <c r="BB2028" s="53" t="n">
        <v>0</v>
      </c>
      <c r="BC2028" s="52" t="n">
        <v>0</v>
      </c>
      <c r="BD2028" s="53" t="n">
        <v>0</v>
      </c>
      <c r="BE2028" s="52" t="n">
        <v>0</v>
      </c>
      <c r="BF2028" s="51" t="n">
        <v>0</v>
      </c>
    </row>
    <row r="2029">
      <c r="A2029">
        <f>HYPERLINK("https://www.walmart.com/ip/239180236", "239180236")</f>
        <v/>
      </c>
      <c r="B2029" t="inlineStr">
        <is>
          <t>Knit Beanie Hat for Women,  Faux Fuzzy Pom Pom Winter Ski Skullies Cap</t>
        </is>
      </c>
      <c r="C2029" t="inlineStr">
        <is>
          <t>1SLPPH03PK</t>
        </is>
      </c>
      <c r="D2029" t="inlineStr">
        <is>
          <t>Hats</t>
        </is>
      </c>
      <c r="E2029" t="inlineStr">
        <is>
          <t>Solaris</t>
        </is>
      </c>
      <c r="F2029" t="inlineStr">
        <is>
          <t>Batch 1 - TR</t>
        </is>
      </c>
      <c r="G2029" s="48" t="n">
        <v>0</v>
      </c>
      <c r="H2029" s="49" t="n">
        <v>0</v>
      </c>
      <c r="I2029" s="49" t="n">
        <v>0</v>
      </c>
      <c r="J2029" s="50" t="n">
        <v>0</v>
      </c>
      <c r="K2029" s="51" t="n">
        <v>0</v>
      </c>
      <c r="L2029" s="52" t="n">
        <v>0</v>
      </c>
      <c r="M2029" s="52" t="n">
        <v>0</v>
      </c>
      <c r="N2029" s="52" t="n">
        <v>0</v>
      </c>
      <c r="O2029" s="53" t="n">
        <v>0</v>
      </c>
      <c r="P2029" s="52" t="n">
        <v>0</v>
      </c>
      <c r="Q2029" s="53" t="n">
        <v>0</v>
      </c>
      <c r="R2029" s="52" t="n">
        <v>0</v>
      </c>
      <c r="S2029" s="51" t="n">
        <v>0</v>
      </c>
      <c r="T2029" s="48" t="n">
        <v>0</v>
      </c>
      <c r="U2029" s="49" t="n">
        <v>0</v>
      </c>
      <c r="V2029" s="49" t="n">
        <v>0</v>
      </c>
      <c r="W2029" s="50" t="n">
        <v>0</v>
      </c>
      <c r="X2029" s="51" t="n">
        <v>0</v>
      </c>
      <c r="Y2029" s="52" t="n">
        <v>0</v>
      </c>
      <c r="Z2029" s="52" t="n">
        <v>0</v>
      </c>
      <c r="AA2029" s="52" t="n">
        <v>0</v>
      </c>
      <c r="AB2029" s="53" t="n">
        <v>0</v>
      </c>
      <c r="AC2029" s="52" t="n">
        <v>0</v>
      </c>
      <c r="AD2029" s="53" t="n">
        <v>0</v>
      </c>
      <c r="AE2029" s="52" t="n">
        <v>0</v>
      </c>
      <c r="AF2029" s="51" t="n">
        <v>0</v>
      </c>
      <c r="AG2029" s="48" t="n">
        <v>0</v>
      </c>
      <c r="AH2029" s="49" t="n">
        <v>0</v>
      </c>
      <c r="AI2029" s="49" t="n">
        <v>0</v>
      </c>
      <c r="AJ2029" s="50" t="n">
        <v>0</v>
      </c>
      <c r="AK2029" s="51" t="n">
        <v>0</v>
      </c>
      <c r="AL2029" s="52" t="n">
        <v>0</v>
      </c>
      <c r="AM2029" s="52" t="n">
        <v>0</v>
      </c>
      <c r="AN2029" s="52" t="n">
        <v>0</v>
      </c>
      <c r="AO2029" s="53" t="n">
        <v>0</v>
      </c>
      <c r="AP2029" s="52" t="n">
        <v>0</v>
      </c>
      <c r="AQ2029" s="53" t="n">
        <v>0</v>
      </c>
      <c r="AR2029" s="52" t="n">
        <v>0</v>
      </c>
      <c r="AS2029" s="51" t="n">
        <v>0</v>
      </c>
      <c r="AT2029" s="48" t="n">
        <v>0</v>
      </c>
      <c r="AU2029" s="49" t="n">
        <v>0</v>
      </c>
      <c r="AV2029" s="49" t="n">
        <v>0</v>
      </c>
      <c r="AW2029" s="50" t="n">
        <v>0</v>
      </c>
      <c r="AX2029" s="51" t="n">
        <v>0</v>
      </c>
      <c r="AY2029" s="52" t="n">
        <v>0</v>
      </c>
      <c r="AZ2029" s="52" t="n">
        <v>0</v>
      </c>
      <c r="BA2029" s="52" t="n">
        <v>0</v>
      </c>
      <c r="BB2029" s="53" t="n">
        <v>0</v>
      </c>
      <c r="BC2029" s="52" t="n">
        <v>0</v>
      </c>
      <c r="BD2029" s="53" t="n">
        <v>0</v>
      </c>
      <c r="BE2029" s="52" t="n">
        <v>0</v>
      </c>
      <c r="BF2029" s="51" t="n">
        <v>0</v>
      </c>
    </row>
    <row r="2030">
      <c r="A2030">
        <f>HYPERLINK("https://www.walmart.com/ip/240056839", "240056839")</f>
        <v/>
      </c>
      <c r="B2030" t="inlineStr">
        <is>
          <t>Kritter Planet Waterproof Dog Blanket for Couch, Washable Pet Couch Cover, Non-slip Bed Sofa Furniture Protector Mat, Navy, 30''x50''.</t>
        </is>
      </c>
      <c r="C2030" t="inlineStr">
        <is>
          <t>1KPBW356NY</t>
        </is>
      </c>
      <c r="D2030" t="inlineStr">
        <is>
          <t>Pet Blankets</t>
        </is>
      </c>
      <c r="E2030" t="inlineStr">
        <is>
          <t>Kritter Planet</t>
        </is>
      </c>
      <c r="F2030" t="inlineStr">
        <is>
          <t>Optimized</t>
        </is>
      </c>
      <c r="G2030" s="48" t="n">
        <v>0</v>
      </c>
      <c r="H2030" s="49" t="n">
        <v>0</v>
      </c>
      <c r="I2030" s="49" t="n">
        <v>0</v>
      </c>
      <c r="J2030" s="50" t="n">
        <v>0</v>
      </c>
      <c r="K2030" s="51" t="n">
        <v>0</v>
      </c>
      <c r="L2030" s="52" t="n">
        <v>0</v>
      </c>
      <c r="M2030" s="52" t="n">
        <v>0</v>
      </c>
      <c r="N2030" s="52" t="n">
        <v>0</v>
      </c>
      <c r="O2030" s="53" t="n">
        <v>0</v>
      </c>
      <c r="P2030" s="52" t="n">
        <v>0</v>
      </c>
      <c r="Q2030" s="53" t="n">
        <v>0</v>
      </c>
      <c r="R2030" s="52" t="n">
        <v>0</v>
      </c>
      <c r="S2030" s="51" t="n">
        <v>0</v>
      </c>
      <c r="T2030" s="48" t="n">
        <v>0</v>
      </c>
      <c r="U2030" s="49" t="n">
        <v>0</v>
      </c>
      <c r="V2030" s="49" t="n">
        <v>0</v>
      </c>
      <c r="W2030" s="50" t="n">
        <v>0</v>
      </c>
      <c r="X2030" s="51" t="n">
        <v>0</v>
      </c>
      <c r="Y2030" s="52" t="n">
        <v>0</v>
      </c>
      <c r="Z2030" s="52" t="n">
        <v>0</v>
      </c>
      <c r="AA2030" s="52" t="n">
        <v>0</v>
      </c>
      <c r="AB2030" s="53" t="n">
        <v>0</v>
      </c>
      <c r="AC2030" s="52" t="n">
        <v>0</v>
      </c>
      <c r="AD2030" s="53" t="n">
        <v>0</v>
      </c>
      <c r="AE2030" s="52" t="n">
        <v>0</v>
      </c>
      <c r="AF2030" s="51" t="n">
        <v>0</v>
      </c>
      <c r="AG2030" s="48" t="n">
        <v>0</v>
      </c>
      <c r="AH2030" s="49" t="n">
        <v>0</v>
      </c>
      <c r="AI2030" s="49" t="n">
        <v>0</v>
      </c>
      <c r="AJ2030" s="50" t="n">
        <v>0</v>
      </c>
      <c r="AK2030" s="51" t="n">
        <v>0</v>
      </c>
      <c r="AL2030" s="52" t="n">
        <v>0</v>
      </c>
      <c r="AM2030" s="52" t="n">
        <v>0</v>
      </c>
      <c r="AN2030" s="52" t="n">
        <v>0</v>
      </c>
      <c r="AO2030" s="53" t="n">
        <v>0</v>
      </c>
      <c r="AP2030" s="52" t="n">
        <v>0</v>
      </c>
      <c r="AQ2030" s="53" t="n">
        <v>0</v>
      </c>
      <c r="AR2030" s="52" t="n">
        <v>0</v>
      </c>
      <c r="AS2030" s="51" t="n">
        <v>0</v>
      </c>
      <c r="AT2030" s="48" t="n">
        <v>0</v>
      </c>
      <c r="AU2030" s="49" t="n">
        <v>0</v>
      </c>
      <c r="AV2030" s="49" t="n">
        <v>0</v>
      </c>
      <c r="AW2030" s="50" t="n">
        <v>0</v>
      </c>
      <c r="AX2030" s="51" t="n">
        <v>0</v>
      </c>
      <c r="AY2030" s="52" t="n">
        <v>0</v>
      </c>
      <c r="AZ2030" s="52" t="n">
        <v>0</v>
      </c>
      <c r="BA2030" s="52" t="n">
        <v>0</v>
      </c>
      <c r="BB2030" s="53" t="n">
        <v>0</v>
      </c>
      <c r="BC2030" s="52" t="n">
        <v>0</v>
      </c>
      <c r="BD2030" s="53" t="n">
        <v>0</v>
      </c>
      <c r="BE2030" s="52" t="n">
        <v>0</v>
      </c>
      <c r="BF2030" s="51" t="n">
        <v>0</v>
      </c>
    </row>
    <row r="2031">
      <c r="A2031">
        <f>HYPERLINK("https://www.walmart.com/ip/2405680451", "2405680451")</f>
        <v/>
      </c>
      <c r="B2031" t="inlineStr">
        <is>
          <t>Dickies Kids Insulated Lunch Bag for School, Thermal Reusable Lunch Box for Kids, Boys, Girls - 8 Years Old and Up (Pink)</t>
        </is>
      </c>
      <c r="C2031" t="inlineStr">
        <is>
          <t>DK-LUNCH-KIDS-BROWNDUCK</t>
        </is>
      </c>
      <c r="D2031" t="inlineStr">
        <is>
          <t>Reusable Lunch Bags &amp; Boxes</t>
        </is>
      </c>
      <c r="E2031" t="inlineStr">
        <is>
          <t>Dickies</t>
        </is>
      </c>
      <c r="G2031" s="48" t="n">
        <v>0</v>
      </c>
      <c r="H2031" s="49" t="n">
        <v>0</v>
      </c>
      <c r="I2031" s="49" t="n">
        <v>0</v>
      </c>
      <c r="J2031" s="50" t="n">
        <v>0</v>
      </c>
      <c r="K2031" s="51" t="n">
        <v>0</v>
      </c>
      <c r="L2031" s="52" t="n">
        <v>0</v>
      </c>
      <c r="M2031" s="52" t="n">
        <v>0</v>
      </c>
      <c r="N2031" s="52" t="n">
        <v>0</v>
      </c>
      <c r="O2031" s="53" t="n">
        <v>0</v>
      </c>
      <c r="P2031" s="52" t="n">
        <v>0</v>
      </c>
      <c r="Q2031" s="53" t="n">
        <v>0</v>
      </c>
      <c r="R2031" s="52" t="n">
        <v>0</v>
      </c>
      <c r="S2031" s="51" t="n">
        <v>0</v>
      </c>
      <c r="T2031" s="48" t="n">
        <v>0</v>
      </c>
      <c r="U2031" s="49" t="n">
        <v>0</v>
      </c>
      <c r="V2031" s="49" t="n">
        <v>0</v>
      </c>
      <c r="W2031" s="50" t="n">
        <v>0</v>
      </c>
      <c r="X2031" s="51" t="n">
        <v>0</v>
      </c>
      <c r="Y2031" s="52" t="n">
        <v>0</v>
      </c>
      <c r="Z2031" s="52" t="n">
        <v>0</v>
      </c>
      <c r="AA2031" s="52" t="n">
        <v>0</v>
      </c>
      <c r="AB2031" s="53" t="n">
        <v>0</v>
      </c>
      <c r="AC2031" s="52" t="n">
        <v>0</v>
      </c>
      <c r="AD2031" s="53" t="n">
        <v>0</v>
      </c>
      <c r="AE2031" s="52" t="n">
        <v>0</v>
      </c>
      <c r="AF2031" s="51" t="n">
        <v>0</v>
      </c>
      <c r="AG2031" s="48" t="n">
        <v>0</v>
      </c>
      <c r="AH2031" s="49" t="n">
        <v>0</v>
      </c>
      <c r="AI2031" s="49" t="n">
        <v>0</v>
      </c>
      <c r="AJ2031" s="50" t="n">
        <v>0</v>
      </c>
      <c r="AK2031" s="51" t="n">
        <v>0</v>
      </c>
      <c r="AL2031" s="52" t="n">
        <v>0</v>
      </c>
      <c r="AM2031" s="52" t="n">
        <v>0</v>
      </c>
      <c r="AN2031" s="52" t="n">
        <v>0</v>
      </c>
      <c r="AO2031" s="53" t="n">
        <v>0</v>
      </c>
      <c r="AP2031" s="52" t="n">
        <v>0</v>
      </c>
      <c r="AQ2031" s="53" t="n">
        <v>0</v>
      </c>
      <c r="AR2031" s="52" t="n">
        <v>0</v>
      </c>
      <c r="AS2031" s="51" t="n">
        <v>0</v>
      </c>
      <c r="AT2031" s="48" t="n">
        <v>0</v>
      </c>
      <c r="AU2031" s="49" t="n">
        <v>0</v>
      </c>
      <c r="AV2031" s="49" t="n">
        <v>0</v>
      </c>
      <c r="AW2031" s="50" t="n">
        <v>0</v>
      </c>
      <c r="AX2031" s="51" t="n">
        <v>0</v>
      </c>
      <c r="AY2031" s="52" t="n">
        <v>0</v>
      </c>
      <c r="AZ2031" s="52" t="n">
        <v>0</v>
      </c>
      <c r="BA2031" s="52" t="n">
        <v>0</v>
      </c>
      <c r="BB2031" s="53" t="n">
        <v>0</v>
      </c>
      <c r="BC2031" s="52" t="n">
        <v>0</v>
      </c>
      <c r="BD2031" s="53" t="n">
        <v>0</v>
      </c>
      <c r="BE2031" s="52" t="n">
        <v>0</v>
      </c>
      <c r="BF2031" s="51" t="n">
        <v>0</v>
      </c>
    </row>
    <row r="2032">
      <c r="A2032">
        <f>HYPERLINK("https://www.walmart.com/ip/240851800", "240851800")</f>
        <v/>
      </c>
      <c r="B2032" t="inlineStr">
        <is>
          <t>Catalonia Black Sherpa Hooded Winter Coats for Women, Super Soft Comfy Foxy Plush Reversible Casual, Jackets for Women, Black</t>
        </is>
      </c>
      <c r="C2032" t="inlineStr">
        <is>
          <t>1CTJK200BK</t>
        </is>
      </c>
      <c r="D2032" t="inlineStr">
        <is>
          <t>Sweatshirts &amp; Hoodies</t>
        </is>
      </c>
      <c r="E2032" t="inlineStr">
        <is>
          <t>Catalonia</t>
        </is>
      </c>
      <c r="F2032" t="inlineStr">
        <is>
          <t>Jacket ForAdult,Optimized,WFS,Coupon_Discount,WFS Item</t>
        </is>
      </c>
      <c r="G2032" s="48" t="n">
        <v>0</v>
      </c>
      <c r="H2032" s="49" t="n">
        <v>0</v>
      </c>
      <c r="I2032" s="49" t="n">
        <v>0</v>
      </c>
      <c r="J2032" s="50" t="n">
        <v>0</v>
      </c>
      <c r="K2032" s="51" t="n">
        <v>0</v>
      </c>
      <c r="L2032" s="52" t="n">
        <v>0</v>
      </c>
      <c r="M2032" s="52" t="n">
        <v>0</v>
      </c>
      <c r="N2032" s="52" t="n">
        <v>0</v>
      </c>
      <c r="O2032" s="53" t="n">
        <v>0</v>
      </c>
      <c r="P2032" s="52" t="n">
        <v>0</v>
      </c>
      <c r="Q2032" s="53" t="n">
        <v>0</v>
      </c>
      <c r="R2032" s="52" t="n">
        <v>0</v>
      </c>
      <c r="S2032" s="51" t="n">
        <v>0</v>
      </c>
      <c r="T2032" s="48" t="n">
        <v>0</v>
      </c>
      <c r="U2032" s="49" t="n">
        <v>0</v>
      </c>
      <c r="V2032" s="49" t="n">
        <v>0</v>
      </c>
      <c r="W2032" s="50" t="n">
        <v>0</v>
      </c>
      <c r="X2032" s="51" t="n">
        <v>0</v>
      </c>
      <c r="Y2032" s="52" t="n">
        <v>0</v>
      </c>
      <c r="Z2032" s="52" t="n">
        <v>0</v>
      </c>
      <c r="AA2032" s="52" t="n">
        <v>0</v>
      </c>
      <c r="AB2032" s="53" t="n">
        <v>0</v>
      </c>
      <c r="AC2032" s="52" t="n">
        <v>0</v>
      </c>
      <c r="AD2032" s="53" t="n">
        <v>0</v>
      </c>
      <c r="AE2032" s="52" t="n">
        <v>0</v>
      </c>
      <c r="AF2032" s="51" t="n">
        <v>0</v>
      </c>
      <c r="AG2032" s="48" t="n">
        <v>0</v>
      </c>
      <c r="AH2032" s="49" t="n">
        <v>0</v>
      </c>
      <c r="AI2032" s="49" t="n">
        <v>0</v>
      </c>
      <c r="AJ2032" s="50" t="n">
        <v>0</v>
      </c>
      <c r="AK2032" s="51" t="n">
        <v>0</v>
      </c>
      <c r="AL2032" s="52" t="n">
        <v>0</v>
      </c>
      <c r="AM2032" s="52" t="n">
        <v>0</v>
      </c>
      <c r="AN2032" s="52" t="n">
        <v>0</v>
      </c>
      <c r="AO2032" s="53" t="n">
        <v>0</v>
      </c>
      <c r="AP2032" s="52" t="n">
        <v>0</v>
      </c>
      <c r="AQ2032" s="53" t="n">
        <v>0</v>
      </c>
      <c r="AR2032" s="52" t="n">
        <v>0</v>
      </c>
      <c r="AS2032" s="51" t="n">
        <v>0</v>
      </c>
      <c r="AT2032" s="48" t="n">
        <v>0</v>
      </c>
      <c r="AU2032" s="49" t="n">
        <v>0</v>
      </c>
      <c r="AV2032" s="49" t="n">
        <v>0</v>
      </c>
      <c r="AW2032" s="50" t="n">
        <v>0</v>
      </c>
      <c r="AX2032" s="51" t="n">
        <v>0</v>
      </c>
      <c r="AY2032" s="52" t="n">
        <v>0</v>
      </c>
      <c r="AZ2032" s="52" t="n">
        <v>0</v>
      </c>
      <c r="BA2032" s="52" t="n">
        <v>0</v>
      </c>
      <c r="BB2032" s="53" t="n">
        <v>0</v>
      </c>
      <c r="BC2032" s="52" t="n">
        <v>0</v>
      </c>
      <c r="BD2032" s="53" t="n">
        <v>0</v>
      </c>
      <c r="BE2032" s="52" t="n">
        <v>0</v>
      </c>
      <c r="BF2032" s="51" t="n">
        <v>0</v>
      </c>
    </row>
    <row r="2033">
      <c r="A2033">
        <f>HYPERLINK("https://www.walmart.com/ip/240881905", "240881905")</f>
        <v/>
      </c>
      <c r="B2033" t="inlineStr">
        <is>
          <t>Insulated Lunch Box for Women Men, Leakproof Thermal Reusable Lunch Bag with 2 Zipper Pockets for Adult &amp; Kids, Lunch Bag Cooler Tote for Office Work</t>
        </is>
      </c>
      <c r="C2033" t="inlineStr">
        <is>
          <t>1WMLB705GNOR</t>
        </is>
      </c>
      <c r="D2033" t="inlineStr">
        <is>
          <t>Reusable Lunch Bags &amp; Boxes</t>
        </is>
      </c>
      <c r="E2033" t="inlineStr">
        <is>
          <t>Flyingstar</t>
        </is>
      </c>
      <c r="F2033" t="inlineStr">
        <is>
          <t>Q2-Target,Lunch Bag</t>
        </is>
      </c>
      <c r="G2033" s="48" t="n">
        <v>0</v>
      </c>
      <c r="H2033" s="49" t="n">
        <v>0</v>
      </c>
      <c r="I2033" s="49" t="n">
        <v>0</v>
      </c>
      <c r="J2033" s="50" t="n">
        <v>0</v>
      </c>
      <c r="K2033" s="51" t="n">
        <v>0</v>
      </c>
      <c r="L2033" s="52" t="n">
        <v>0</v>
      </c>
      <c r="M2033" s="52" t="n">
        <v>0</v>
      </c>
      <c r="N2033" s="52" t="n">
        <v>0</v>
      </c>
      <c r="O2033" s="53" t="n">
        <v>0</v>
      </c>
      <c r="P2033" s="52" t="n">
        <v>0</v>
      </c>
      <c r="Q2033" s="53" t="n">
        <v>0</v>
      </c>
      <c r="R2033" s="52" t="n">
        <v>0</v>
      </c>
      <c r="S2033" s="51" t="n">
        <v>0</v>
      </c>
      <c r="T2033" s="48" t="n">
        <v>0</v>
      </c>
      <c r="U2033" s="49" t="n">
        <v>0</v>
      </c>
      <c r="V2033" s="49" t="n">
        <v>0</v>
      </c>
      <c r="W2033" s="50" t="n">
        <v>0</v>
      </c>
      <c r="X2033" s="51" t="n">
        <v>0</v>
      </c>
      <c r="Y2033" s="52" t="n">
        <v>0</v>
      </c>
      <c r="Z2033" s="52" t="n">
        <v>0</v>
      </c>
      <c r="AA2033" s="52" t="n">
        <v>0</v>
      </c>
      <c r="AB2033" s="53" t="n">
        <v>0</v>
      </c>
      <c r="AC2033" s="52" t="n">
        <v>0</v>
      </c>
      <c r="AD2033" s="53" t="n">
        <v>0</v>
      </c>
      <c r="AE2033" s="52" t="n">
        <v>0</v>
      </c>
      <c r="AF2033" s="51" t="n">
        <v>0</v>
      </c>
      <c r="AG2033" s="48" t="n">
        <v>0</v>
      </c>
      <c r="AH2033" s="49" t="n">
        <v>0</v>
      </c>
      <c r="AI2033" s="49" t="n">
        <v>0</v>
      </c>
      <c r="AJ2033" s="50" t="n">
        <v>0</v>
      </c>
      <c r="AK2033" s="51" t="n">
        <v>0</v>
      </c>
      <c r="AL2033" s="52" t="n">
        <v>0</v>
      </c>
      <c r="AM2033" s="52" t="n">
        <v>0</v>
      </c>
      <c r="AN2033" s="52" t="n">
        <v>0</v>
      </c>
      <c r="AO2033" s="53" t="n">
        <v>0</v>
      </c>
      <c r="AP2033" s="52" t="n">
        <v>0</v>
      </c>
      <c r="AQ2033" s="53" t="n">
        <v>0</v>
      </c>
      <c r="AR2033" s="52" t="n">
        <v>0</v>
      </c>
      <c r="AS2033" s="51" t="n">
        <v>0</v>
      </c>
      <c r="AT2033" s="48" t="n">
        <v>0</v>
      </c>
      <c r="AU2033" s="49" t="n">
        <v>0</v>
      </c>
      <c r="AV2033" s="49" t="n">
        <v>0</v>
      </c>
      <c r="AW2033" s="50" t="n">
        <v>0</v>
      </c>
      <c r="AX2033" s="51" t="n">
        <v>0</v>
      </c>
      <c r="AY2033" s="52" t="n">
        <v>0</v>
      </c>
      <c r="AZ2033" s="52" t="n">
        <v>0</v>
      </c>
      <c r="BA2033" s="52" t="n">
        <v>0</v>
      </c>
      <c r="BB2033" s="53" t="n">
        <v>0</v>
      </c>
      <c r="BC2033" s="52" t="n">
        <v>0</v>
      </c>
      <c r="BD2033" s="53" t="n">
        <v>0</v>
      </c>
      <c r="BE2033" s="52" t="n">
        <v>0</v>
      </c>
      <c r="BF2033" s="51" t="n">
        <v>0</v>
      </c>
    </row>
    <row r="2034">
      <c r="A2034">
        <f>HYPERLINK("https://www.walmart.com/ip/241203499", "241203499")</f>
        <v/>
      </c>
      <c r="B2034" t="inlineStr">
        <is>
          <t>TubKeeper Drain Hair Catcher with Stopper, 3-in-1 Durable Tub Drain Protector Hair Drain Clog Prevention for Bathtub, Silver, 2 Pack</t>
        </is>
      </c>
      <c r="C2034" t="inlineStr">
        <is>
          <t>1TKHC100SL-2PK</t>
        </is>
      </c>
      <c r="D2034" t="inlineStr">
        <is>
          <t>Drain Catches</t>
        </is>
      </c>
      <c r="E2034" t="inlineStr">
        <is>
          <t>TubKeeper</t>
        </is>
      </c>
      <c r="F2034" t="inlineStr">
        <is>
          <t>Batch 1 - TR</t>
        </is>
      </c>
      <c r="G2034" s="48" t="n">
        <v>0</v>
      </c>
      <c r="H2034" s="49" t="n">
        <v>0</v>
      </c>
      <c r="I2034" s="49" t="n">
        <v>0</v>
      </c>
      <c r="J2034" s="50" t="n">
        <v>0</v>
      </c>
      <c r="K2034" s="51" t="n">
        <v>0</v>
      </c>
      <c r="L2034" s="52" t="n">
        <v>0</v>
      </c>
      <c r="M2034" s="52" t="n">
        <v>0</v>
      </c>
      <c r="N2034" s="52" t="n">
        <v>0</v>
      </c>
      <c r="O2034" s="53" t="n">
        <v>0</v>
      </c>
      <c r="P2034" s="52" t="n">
        <v>0</v>
      </c>
      <c r="Q2034" s="53" t="n">
        <v>0</v>
      </c>
      <c r="R2034" s="52" t="n">
        <v>0</v>
      </c>
      <c r="S2034" s="51" t="n">
        <v>0</v>
      </c>
      <c r="T2034" s="48" t="n">
        <v>0</v>
      </c>
      <c r="U2034" s="49" t="n">
        <v>0</v>
      </c>
      <c r="V2034" s="49" t="n">
        <v>0</v>
      </c>
      <c r="W2034" s="50" t="n">
        <v>0</v>
      </c>
      <c r="X2034" s="51" t="n">
        <v>0</v>
      </c>
      <c r="Y2034" s="52" t="n">
        <v>0</v>
      </c>
      <c r="Z2034" s="52" t="n">
        <v>0</v>
      </c>
      <c r="AA2034" s="52" t="n">
        <v>0</v>
      </c>
      <c r="AB2034" s="53" t="n">
        <v>0</v>
      </c>
      <c r="AC2034" s="52" t="n">
        <v>0</v>
      </c>
      <c r="AD2034" s="53" t="n">
        <v>0</v>
      </c>
      <c r="AE2034" s="52" t="n">
        <v>0</v>
      </c>
      <c r="AF2034" s="51" t="n">
        <v>0</v>
      </c>
      <c r="AG2034" s="48" t="n">
        <v>0</v>
      </c>
      <c r="AH2034" s="49" t="n">
        <v>0</v>
      </c>
      <c r="AI2034" s="49" t="n">
        <v>0</v>
      </c>
      <c r="AJ2034" s="50" t="n">
        <v>0</v>
      </c>
      <c r="AK2034" s="51" t="n">
        <v>0</v>
      </c>
      <c r="AL2034" s="52" t="n">
        <v>0</v>
      </c>
      <c r="AM2034" s="52" t="n">
        <v>0</v>
      </c>
      <c r="AN2034" s="52" t="n">
        <v>0</v>
      </c>
      <c r="AO2034" s="53" t="n">
        <v>0</v>
      </c>
      <c r="AP2034" s="52" t="n">
        <v>0</v>
      </c>
      <c r="AQ2034" s="53" t="n">
        <v>0</v>
      </c>
      <c r="AR2034" s="52" t="n">
        <v>0</v>
      </c>
      <c r="AS2034" s="51" t="n">
        <v>0</v>
      </c>
      <c r="AT2034" s="48" t="n">
        <v>0</v>
      </c>
      <c r="AU2034" s="49" t="n">
        <v>0</v>
      </c>
      <c r="AV2034" s="49" t="n">
        <v>0</v>
      </c>
      <c r="AW2034" s="50" t="n">
        <v>0</v>
      </c>
      <c r="AX2034" s="51" t="n">
        <v>0</v>
      </c>
      <c r="AY2034" s="52" t="n">
        <v>0</v>
      </c>
      <c r="AZ2034" s="52" t="n">
        <v>0</v>
      </c>
      <c r="BA2034" s="52" t="n">
        <v>0</v>
      </c>
      <c r="BB2034" s="53" t="n">
        <v>0</v>
      </c>
      <c r="BC2034" s="52" t="n">
        <v>0</v>
      </c>
      <c r="BD2034" s="53" t="n">
        <v>0</v>
      </c>
      <c r="BE2034" s="52" t="n">
        <v>0</v>
      </c>
      <c r="BF2034" s="51" t="n">
        <v>0</v>
      </c>
    </row>
    <row r="2035">
      <c r="A2035">
        <f>HYPERLINK("https://www.walmart.com/ip/2424108002", "2424108002")</f>
        <v/>
      </c>
      <c r="B2035" t="inlineStr">
        <is>
          <t>Catalonia Wearable TV Blanket with Sleeves Arms Micro Plush Fleece Wrap Throw Robe 73 x 51”</t>
        </is>
      </c>
      <c r="C2035" t="inlineStr">
        <is>
          <t>1CTSN100P2GN</t>
        </is>
      </c>
      <c r="D2035" t="inlineStr">
        <is>
          <t>Throws</t>
        </is>
      </c>
      <c r="E2035" t="inlineStr">
        <is>
          <t>Catalonia</t>
        </is>
      </c>
      <c r="G2035" s="48" t="n">
        <v>0</v>
      </c>
      <c r="H2035" s="49" t="n">
        <v>0</v>
      </c>
      <c r="I2035" s="49" t="n">
        <v>0</v>
      </c>
      <c r="J2035" s="50" t="n">
        <v>0</v>
      </c>
      <c r="K2035" s="51" t="n">
        <v>31</v>
      </c>
      <c r="L2035" s="52" t="n">
        <v>9.110000000000001</v>
      </c>
      <c r="M2035" s="52" t="n">
        <v>19.99</v>
      </c>
      <c r="N2035" s="52" t="n">
        <v>2.19</v>
      </c>
      <c r="O2035" s="53" t="n">
        <v>0.0034</v>
      </c>
      <c r="P2035" s="52" t="n">
        <v>0.2938709677419355</v>
      </c>
      <c r="Q2035" s="53" t="n">
        <v>0</v>
      </c>
      <c r="R2035" s="52" t="n">
        <v>0</v>
      </c>
      <c r="S2035" s="51" t="n">
        <v>9040</v>
      </c>
      <c r="T2035" s="48" t="n">
        <v>0</v>
      </c>
      <c r="U2035" s="49" t="n">
        <v>0</v>
      </c>
      <c r="V2035" s="49" t="n">
        <v>3</v>
      </c>
      <c r="W2035" s="50" t="n">
        <v>0</v>
      </c>
      <c r="X2035" s="51" t="n">
        <v>19</v>
      </c>
      <c r="Y2035" s="52" t="n">
        <v>5.27</v>
      </c>
      <c r="Z2035" s="52" t="n">
        <v>19.99</v>
      </c>
      <c r="AA2035" s="52" t="n">
        <v>3.79</v>
      </c>
      <c r="AB2035" s="53" t="n">
        <v>0.0026</v>
      </c>
      <c r="AC2035" s="52" t="n">
        <v>0.2773684210526315</v>
      </c>
      <c r="AD2035" s="53" t="n">
        <v>0</v>
      </c>
      <c r="AE2035" s="52" t="n">
        <v>0</v>
      </c>
      <c r="AF2035" s="51" t="n">
        <v>7351</v>
      </c>
      <c r="AG2035" s="48" t="n">
        <v>0</v>
      </c>
      <c r="AH2035" s="49" t="n">
        <v>0</v>
      </c>
      <c r="AI2035" s="49" t="n">
        <v>2</v>
      </c>
      <c r="AJ2035" s="50" t="n">
        <v>0</v>
      </c>
      <c r="AK2035" s="51" t="n">
        <v>0</v>
      </c>
      <c r="AL2035" s="52" t="n">
        <v>0</v>
      </c>
      <c r="AM2035" s="52" t="n">
        <v>0</v>
      </c>
      <c r="AN2035" s="52" t="n">
        <v>0</v>
      </c>
      <c r="AO2035" s="53" t="n">
        <v>0</v>
      </c>
      <c r="AP2035" s="52" t="n">
        <v>0</v>
      </c>
      <c r="AQ2035" s="53" t="n">
        <v>0</v>
      </c>
      <c r="AR2035" s="52" t="n">
        <v>0</v>
      </c>
      <c r="AS2035" s="51" t="n">
        <v>0</v>
      </c>
      <c r="AT2035" s="48" t="n">
        <v>0</v>
      </c>
      <c r="AU2035" s="49" t="n">
        <v>0</v>
      </c>
      <c r="AV2035" s="49" t="n">
        <v>5</v>
      </c>
      <c r="AW2035" s="50" t="n">
        <v>0</v>
      </c>
      <c r="AX2035" s="51" t="n">
        <v>10</v>
      </c>
      <c r="AY2035" s="52" t="n">
        <v>3.06</v>
      </c>
      <c r="AZ2035" s="52" t="n">
        <v>21.99</v>
      </c>
      <c r="BA2035" s="52" t="n">
        <v>7.19</v>
      </c>
      <c r="BB2035" s="53" t="n">
        <v>0.0026</v>
      </c>
      <c r="BC2035" s="52" t="n">
        <v>0.306</v>
      </c>
      <c r="BD2035" s="53" t="n">
        <v>0</v>
      </c>
      <c r="BE2035" s="52" t="n">
        <v>0</v>
      </c>
      <c r="BF2035" s="51" t="n">
        <v>3814</v>
      </c>
    </row>
    <row r="2036">
      <c r="A2036">
        <f>HYPERLINK("https://www.walmart.com/ip/242634905", "242634905")</f>
        <v/>
      </c>
      <c r="B2036" t="inlineStr">
        <is>
          <t>Pawsse Fluffy Microfiber Fleece Blanket, Reversible Plush Blanket Throw for Couch and Sofa, Large Sherpa Dog Blanket, Gray, 50’’ x 60’’</t>
        </is>
      </c>
      <c r="C2036" t="inlineStr">
        <is>
          <t>1PSBF566GY-TBCB</t>
        </is>
      </c>
      <c r="D2036" t="inlineStr">
        <is>
          <t>Pet Blankets</t>
        </is>
      </c>
      <c r="E2036" t="inlineStr">
        <is>
          <t>Pawsse</t>
        </is>
      </c>
      <c r="F2036" t="inlineStr">
        <is>
          <t>Batch 1 - TR</t>
        </is>
      </c>
      <c r="G2036" s="48" t="n">
        <v>0</v>
      </c>
      <c r="H2036" s="49" t="n">
        <v>0</v>
      </c>
      <c r="I2036" s="49" t="n">
        <v>0</v>
      </c>
      <c r="J2036" s="50" t="n">
        <v>0</v>
      </c>
      <c r="K2036" s="51" t="n">
        <v>0</v>
      </c>
      <c r="L2036" s="52" t="n">
        <v>0</v>
      </c>
      <c r="M2036" s="52" t="n">
        <v>0</v>
      </c>
      <c r="N2036" s="52" t="n">
        <v>0</v>
      </c>
      <c r="O2036" s="53" t="n">
        <v>0</v>
      </c>
      <c r="P2036" s="52" t="n">
        <v>0</v>
      </c>
      <c r="Q2036" s="53" t="n">
        <v>0</v>
      </c>
      <c r="R2036" s="52" t="n">
        <v>0</v>
      </c>
      <c r="S2036" s="51" t="n">
        <v>0</v>
      </c>
      <c r="T2036" s="48" t="n">
        <v>0</v>
      </c>
      <c r="U2036" s="49" t="n">
        <v>0</v>
      </c>
      <c r="V2036" s="49" t="n">
        <v>0</v>
      </c>
      <c r="W2036" s="50" t="n">
        <v>0</v>
      </c>
      <c r="X2036" s="51" t="n">
        <v>0</v>
      </c>
      <c r="Y2036" s="52" t="n">
        <v>0</v>
      </c>
      <c r="Z2036" s="52" t="n">
        <v>0</v>
      </c>
      <c r="AA2036" s="52" t="n">
        <v>0</v>
      </c>
      <c r="AB2036" s="53" t="n">
        <v>0</v>
      </c>
      <c r="AC2036" s="52" t="n">
        <v>0</v>
      </c>
      <c r="AD2036" s="53" t="n">
        <v>0</v>
      </c>
      <c r="AE2036" s="52" t="n">
        <v>0</v>
      </c>
      <c r="AF2036" s="51" t="n">
        <v>0</v>
      </c>
      <c r="AG2036" s="48" t="n">
        <v>0</v>
      </c>
      <c r="AH2036" s="49" t="n">
        <v>0</v>
      </c>
      <c r="AI2036" s="49" t="n">
        <v>0</v>
      </c>
      <c r="AJ2036" s="50" t="n">
        <v>0</v>
      </c>
      <c r="AK2036" s="51" t="n">
        <v>0</v>
      </c>
      <c r="AL2036" s="52" t="n">
        <v>0</v>
      </c>
      <c r="AM2036" s="52" t="n">
        <v>0</v>
      </c>
      <c r="AN2036" s="52" t="n">
        <v>0</v>
      </c>
      <c r="AO2036" s="53" t="n">
        <v>0</v>
      </c>
      <c r="AP2036" s="52" t="n">
        <v>0</v>
      </c>
      <c r="AQ2036" s="53" t="n">
        <v>0</v>
      </c>
      <c r="AR2036" s="52" t="n">
        <v>0</v>
      </c>
      <c r="AS2036" s="51" t="n">
        <v>0</v>
      </c>
      <c r="AT2036" s="48" t="n">
        <v>0</v>
      </c>
      <c r="AU2036" s="49" t="n">
        <v>0</v>
      </c>
      <c r="AV2036" s="49" t="n">
        <v>0</v>
      </c>
      <c r="AW2036" s="50" t="n">
        <v>0</v>
      </c>
      <c r="AX2036" s="51" t="n">
        <v>0</v>
      </c>
      <c r="AY2036" s="52" t="n">
        <v>0</v>
      </c>
      <c r="AZ2036" s="52" t="n">
        <v>0</v>
      </c>
      <c r="BA2036" s="52" t="n">
        <v>0</v>
      </c>
      <c r="BB2036" s="53" t="n">
        <v>0</v>
      </c>
      <c r="BC2036" s="52" t="n">
        <v>0</v>
      </c>
      <c r="BD2036" s="53" t="n">
        <v>0</v>
      </c>
      <c r="BE2036" s="52" t="n">
        <v>0</v>
      </c>
      <c r="BF2036" s="51" t="n">
        <v>0</v>
      </c>
    </row>
    <row r="2037">
      <c r="A2037">
        <f>HYPERLINK("https://www.walmart.com/ip/244149121", "244149121")</f>
        <v/>
      </c>
      <c r="B2037" t="inlineStr">
        <is>
          <t>Catalonia Comfy Blanket 50"x60", Micro Plush Fleece Throws for Couch Sofa TV Bed, Reversible, Comfy, Fuzzy</t>
        </is>
      </c>
      <c r="C2037" t="inlineStr">
        <is>
          <t>1CTBF560GY</t>
        </is>
      </c>
      <c r="D2037" t="inlineStr">
        <is>
          <t>Throws</t>
        </is>
      </c>
      <c r="E2037" t="inlineStr">
        <is>
          <t>Catalonia</t>
        </is>
      </c>
      <c r="F2037" t="inlineStr">
        <is>
          <t>Q2-Target,Optimized,WFS,Coupon_Discount,WFS Item</t>
        </is>
      </c>
      <c r="G2037" s="48" t="n">
        <v>0</v>
      </c>
      <c r="H2037" s="49" t="n">
        <v>0</v>
      </c>
      <c r="I2037" s="49" t="n">
        <v>0</v>
      </c>
      <c r="J2037" s="50" t="n">
        <v>0</v>
      </c>
      <c r="K2037" s="51" t="n">
        <v>0</v>
      </c>
      <c r="L2037" s="52" t="n">
        <v>0</v>
      </c>
      <c r="M2037" s="52" t="n">
        <v>0</v>
      </c>
      <c r="N2037" s="52" t="n">
        <v>0</v>
      </c>
      <c r="O2037" s="53" t="n">
        <v>0</v>
      </c>
      <c r="P2037" s="52" t="n">
        <v>0</v>
      </c>
      <c r="Q2037" s="53" t="n">
        <v>0</v>
      </c>
      <c r="R2037" s="52" t="n">
        <v>0</v>
      </c>
      <c r="S2037" s="51" t="n">
        <v>0</v>
      </c>
      <c r="T2037" s="48" t="n">
        <v>0</v>
      </c>
      <c r="U2037" s="49" t="n">
        <v>0</v>
      </c>
      <c r="V2037" s="49" t="n">
        <v>0</v>
      </c>
      <c r="W2037" s="50" t="n">
        <v>0</v>
      </c>
      <c r="X2037" s="51" t="n">
        <v>0</v>
      </c>
      <c r="Y2037" s="52" t="n">
        <v>0</v>
      </c>
      <c r="Z2037" s="52" t="n">
        <v>0</v>
      </c>
      <c r="AA2037" s="52" t="n">
        <v>0</v>
      </c>
      <c r="AB2037" s="53" t="n">
        <v>0</v>
      </c>
      <c r="AC2037" s="52" t="n">
        <v>0</v>
      </c>
      <c r="AD2037" s="53" t="n">
        <v>0</v>
      </c>
      <c r="AE2037" s="52" t="n">
        <v>0</v>
      </c>
      <c r="AF2037" s="51" t="n">
        <v>0</v>
      </c>
      <c r="AG2037" s="48" t="n">
        <v>0</v>
      </c>
      <c r="AH2037" s="49" t="n">
        <v>0</v>
      </c>
      <c r="AI2037" s="49" t="n">
        <v>0</v>
      </c>
      <c r="AJ2037" s="50" t="n">
        <v>0</v>
      </c>
      <c r="AK2037" s="51" t="n">
        <v>0</v>
      </c>
      <c r="AL2037" s="52" t="n">
        <v>0</v>
      </c>
      <c r="AM2037" s="52" t="n">
        <v>0</v>
      </c>
      <c r="AN2037" s="52" t="n">
        <v>0</v>
      </c>
      <c r="AO2037" s="53" t="n">
        <v>0</v>
      </c>
      <c r="AP2037" s="52" t="n">
        <v>0</v>
      </c>
      <c r="AQ2037" s="53" t="n">
        <v>0</v>
      </c>
      <c r="AR2037" s="52" t="n">
        <v>0</v>
      </c>
      <c r="AS2037" s="51" t="n">
        <v>0</v>
      </c>
      <c r="AT2037" s="48" t="n">
        <v>0</v>
      </c>
      <c r="AU2037" s="49" t="n">
        <v>0</v>
      </c>
      <c r="AV2037" s="49" t="n">
        <v>0</v>
      </c>
      <c r="AW2037" s="50" t="n">
        <v>0</v>
      </c>
      <c r="AX2037" s="51" t="n">
        <v>0</v>
      </c>
      <c r="AY2037" s="52" t="n">
        <v>0</v>
      </c>
      <c r="AZ2037" s="52" t="n">
        <v>0</v>
      </c>
      <c r="BA2037" s="52" t="n">
        <v>0</v>
      </c>
      <c r="BB2037" s="53" t="n">
        <v>0</v>
      </c>
      <c r="BC2037" s="52" t="n">
        <v>0</v>
      </c>
      <c r="BD2037" s="53" t="n">
        <v>0</v>
      </c>
      <c r="BE2037" s="52" t="n">
        <v>0</v>
      </c>
      <c r="BF2037" s="51" t="n">
        <v>0</v>
      </c>
    </row>
    <row r="2038">
      <c r="A2038">
        <f>HYPERLINK("https://www.walmart.com/ip/244658784", "244658784")</f>
        <v/>
      </c>
      <c r="B2038" t="inlineStr">
        <is>
          <t>Microplush Sherpa Blanket with Sleeves for Women and Men Black</t>
        </is>
      </c>
      <c r="C2038" t="inlineStr">
        <is>
          <t>1TRSN110BK</t>
        </is>
      </c>
      <c r="D2038" t="inlineStr">
        <is>
          <t>Throws</t>
        </is>
      </c>
      <c r="E2038" t="inlineStr">
        <is>
          <t>Tirrinia</t>
        </is>
      </c>
      <c r="F2038" t="inlineStr">
        <is>
          <t>WFS,Coupon_Discount,WFS Item</t>
        </is>
      </c>
      <c r="G2038" s="48" t="n">
        <v>0</v>
      </c>
      <c r="H2038" s="49" t="n">
        <v>0</v>
      </c>
      <c r="I2038" s="49" t="n">
        <v>0</v>
      </c>
      <c r="J2038" s="50" t="n">
        <v>0</v>
      </c>
      <c r="K2038" s="51" t="n">
        <v>0</v>
      </c>
      <c r="L2038" s="52" t="n">
        <v>0</v>
      </c>
      <c r="M2038" s="52" t="n">
        <v>0</v>
      </c>
      <c r="N2038" s="52" t="n">
        <v>0</v>
      </c>
      <c r="O2038" s="53" t="n">
        <v>0</v>
      </c>
      <c r="P2038" s="52" t="n">
        <v>0</v>
      </c>
      <c r="Q2038" s="53" t="n">
        <v>0</v>
      </c>
      <c r="R2038" s="52" t="n">
        <v>0</v>
      </c>
      <c r="S2038" s="51" t="n">
        <v>0</v>
      </c>
      <c r="T2038" s="48" t="n">
        <v>0</v>
      </c>
      <c r="U2038" s="49" t="n">
        <v>0</v>
      </c>
      <c r="V2038" s="49" t="n">
        <v>0</v>
      </c>
      <c r="W2038" s="50" t="n">
        <v>0</v>
      </c>
      <c r="X2038" s="51" t="n">
        <v>0</v>
      </c>
      <c r="Y2038" s="52" t="n">
        <v>0</v>
      </c>
      <c r="Z2038" s="52" t="n">
        <v>0</v>
      </c>
      <c r="AA2038" s="52" t="n">
        <v>0</v>
      </c>
      <c r="AB2038" s="53" t="n">
        <v>0</v>
      </c>
      <c r="AC2038" s="52" t="n">
        <v>0</v>
      </c>
      <c r="AD2038" s="53" t="n">
        <v>0</v>
      </c>
      <c r="AE2038" s="52" t="n">
        <v>0</v>
      </c>
      <c r="AF2038" s="51" t="n">
        <v>0</v>
      </c>
      <c r="AG2038" s="48" t="n">
        <v>0</v>
      </c>
      <c r="AH2038" s="49" t="n">
        <v>0</v>
      </c>
      <c r="AI2038" s="49" t="n">
        <v>0</v>
      </c>
      <c r="AJ2038" s="50" t="n">
        <v>0</v>
      </c>
      <c r="AK2038" s="51" t="n">
        <v>0</v>
      </c>
      <c r="AL2038" s="52" t="n">
        <v>0</v>
      </c>
      <c r="AM2038" s="52" t="n">
        <v>0</v>
      </c>
      <c r="AN2038" s="52" t="n">
        <v>0</v>
      </c>
      <c r="AO2038" s="53" t="n">
        <v>0</v>
      </c>
      <c r="AP2038" s="52" t="n">
        <v>0</v>
      </c>
      <c r="AQ2038" s="53" t="n">
        <v>0</v>
      </c>
      <c r="AR2038" s="52" t="n">
        <v>0</v>
      </c>
      <c r="AS2038" s="51" t="n">
        <v>0</v>
      </c>
      <c r="AT2038" s="48" t="n">
        <v>0</v>
      </c>
      <c r="AU2038" s="49" t="n">
        <v>0</v>
      </c>
      <c r="AV2038" s="49" t="n">
        <v>0</v>
      </c>
      <c r="AW2038" s="50" t="n">
        <v>0</v>
      </c>
      <c r="AX2038" s="51" t="n">
        <v>0</v>
      </c>
      <c r="AY2038" s="52" t="n">
        <v>0</v>
      </c>
      <c r="AZ2038" s="52" t="n">
        <v>0</v>
      </c>
      <c r="BA2038" s="52" t="n">
        <v>0</v>
      </c>
      <c r="BB2038" s="53" t="n">
        <v>0</v>
      </c>
      <c r="BC2038" s="52" t="n">
        <v>0</v>
      </c>
      <c r="BD2038" s="53" t="n">
        <v>0</v>
      </c>
      <c r="BE2038" s="52" t="n">
        <v>0</v>
      </c>
      <c r="BF2038" s="51" t="n">
        <v>0</v>
      </c>
    </row>
    <row r="2039">
      <c r="A2039">
        <f>HYPERLINK("https://www.walmart.com/ip/244664864", "244664864")</f>
        <v/>
      </c>
      <c r="B2039" t="inlineStr">
        <is>
          <t>Tirrinia Insulated Lunch Bag for Women Men, Leakproof Thermal Reusable Lunch Box Tote for Adult &amp; Kids by Tirrinia, Lunch Cooler for Office Work, Teal</t>
        </is>
      </c>
      <c r="C2039" t="inlineStr">
        <is>
          <t>1TRLB701P1TL</t>
        </is>
      </c>
      <c r="D2039" t="inlineStr">
        <is>
          <t>Reusable Lunch Bags &amp; Boxes</t>
        </is>
      </c>
      <c r="E2039" t="inlineStr">
        <is>
          <t>Tirrinia</t>
        </is>
      </c>
      <c r="F2039" t="inlineStr">
        <is>
          <t>Q2-Target,Brand Camp VD,Lunch Bag,Optimized,SEM</t>
        </is>
      </c>
      <c r="G2039" s="48" t="n">
        <v>0</v>
      </c>
      <c r="H2039" s="49" t="n">
        <v>0</v>
      </c>
      <c r="I2039" s="49" t="n">
        <v>0</v>
      </c>
      <c r="J2039" s="50" t="n">
        <v>0</v>
      </c>
      <c r="K2039" s="51" t="n">
        <v>0</v>
      </c>
      <c r="L2039" s="52" t="n">
        <v>0</v>
      </c>
      <c r="M2039" s="52" t="n">
        <v>0</v>
      </c>
      <c r="N2039" s="52" t="n">
        <v>0</v>
      </c>
      <c r="O2039" s="53" t="n">
        <v>0</v>
      </c>
      <c r="P2039" s="52" t="n">
        <v>0</v>
      </c>
      <c r="Q2039" s="53" t="n">
        <v>0</v>
      </c>
      <c r="R2039" s="52" t="n">
        <v>0</v>
      </c>
      <c r="S2039" s="51" t="n">
        <v>0</v>
      </c>
      <c r="T2039" s="48" t="n">
        <v>0</v>
      </c>
      <c r="U2039" s="49" t="n">
        <v>0</v>
      </c>
      <c r="V2039" s="49" t="n">
        <v>0</v>
      </c>
      <c r="W2039" s="50" t="n">
        <v>0</v>
      </c>
      <c r="X2039" s="51" t="n">
        <v>0</v>
      </c>
      <c r="Y2039" s="52" t="n">
        <v>0</v>
      </c>
      <c r="Z2039" s="52" t="n">
        <v>0</v>
      </c>
      <c r="AA2039" s="52" t="n">
        <v>0</v>
      </c>
      <c r="AB2039" s="53" t="n">
        <v>0</v>
      </c>
      <c r="AC2039" s="52" t="n">
        <v>0</v>
      </c>
      <c r="AD2039" s="53" t="n">
        <v>0</v>
      </c>
      <c r="AE2039" s="52" t="n">
        <v>0</v>
      </c>
      <c r="AF2039" s="51" t="n">
        <v>0</v>
      </c>
      <c r="AG2039" s="48" t="n">
        <v>0</v>
      </c>
      <c r="AH2039" s="49" t="n">
        <v>0</v>
      </c>
      <c r="AI2039" s="49" t="n">
        <v>0</v>
      </c>
      <c r="AJ2039" s="50" t="n">
        <v>0</v>
      </c>
      <c r="AK2039" s="51" t="n">
        <v>0</v>
      </c>
      <c r="AL2039" s="52" t="n">
        <v>0</v>
      </c>
      <c r="AM2039" s="52" t="n">
        <v>0</v>
      </c>
      <c r="AN2039" s="52" t="n">
        <v>0</v>
      </c>
      <c r="AO2039" s="53" t="n">
        <v>0</v>
      </c>
      <c r="AP2039" s="52" t="n">
        <v>0</v>
      </c>
      <c r="AQ2039" s="53" t="n">
        <v>0</v>
      </c>
      <c r="AR2039" s="52" t="n">
        <v>0</v>
      </c>
      <c r="AS2039" s="51" t="n">
        <v>0</v>
      </c>
      <c r="AT2039" s="48" t="n">
        <v>21.98</v>
      </c>
      <c r="AU2039" s="49" t="n">
        <v>1</v>
      </c>
      <c r="AV2039" s="49" t="n">
        <v>0</v>
      </c>
      <c r="AW2039" s="50" t="n">
        <v>0</v>
      </c>
      <c r="AX2039" s="51" t="n">
        <v>0</v>
      </c>
      <c r="AY2039" s="52" t="n">
        <v>0</v>
      </c>
      <c r="AZ2039" s="52" t="n">
        <v>0</v>
      </c>
      <c r="BA2039" s="52" t="n">
        <v>0</v>
      </c>
      <c r="BB2039" s="53" t="n">
        <v>0</v>
      </c>
      <c r="BC2039" s="52" t="n">
        <v>0</v>
      </c>
      <c r="BD2039" s="53" t="n">
        <v>0</v>
      </c>
      <c r="BE2039" s="52" t="n">
        <v>21.98</v>
      </c>
      <c r="BF2039" s="51" t="n">
        <v>0</v>
      </c>
    </row>
    <row r="2040">
      <c r="A2040">
        <f>HYPERLINK("https://www.walmart.com/ip/2470519658", "2470519658")</f>
        <v/>
      </c>
      <c r="B2040" t="inlineStr">
        <is>
          <t>Kato Outdoors Waterproof Throw Blanket, Sherpa Fleece Stadium Windproof Mat for Boat, Traveling, Camping, Hiking, and Football, Machine Washable, Green/Black, 66'' x 90''</t>
        </is>
      </c>
      <c r="C2040" t="inlineStr">
        <is>
          <t>1KTBW669GNBK</t>
        </is>
      </c>
      <c r="D2040" t="inlineStr">
        <is>
          <t>Throws</t>
        </is>
      </c>
      <c r="E2040" t="inlineStr">
        <is>
          <t>Kato</t>
        </is>
      </c>
      <c r="F2040" t="inlineStr">
        <is>
          <t>Q2-Target</t>
        </is>
      </c>
      <c r="G2040" s="48" t="n">
        <v>0</v>
      </c>
      <c r="H2040" s="49" t="n">
        <v>0</v>
      </c>
      <c r="I2040" s="49" t="n">
        <v>0</v>
      </c>
      <c r="J2040" s="50" t="n">
        <v>0</v>
      </c>
      <c r="K2040" s="51" t="n">
        <v>0</v>
      </c>
      <c r="L2040" s="52" t="n">
        <v>0</v>
      </c>
      <c r="M2040" s="52" t="n">
        <v>0</v>
      </c>
      <c r="N2040" s="52" t="n">
        <v>0</v>
      </c>
      <c r="O2040" s="53" t="n">
        <v>0</v>
      </c>
      <c r="P2040" s="52" t="n">
        <v>0</v>
      </c>
      <c r="Q2040" s="53" t="n">
        <v>0</v>
      </c>
      <c r="R2040" s="52" t="n">
        <v>0</v>
      </c>
      <c r="S2040" s="51" t="n">
        <v>201</v>
      </c>
      <c r="T2040" s="48" t="n">
        <v>0</v>
      </c>
      <c r="U2040" s="49" t="n">
        <v>0</v>
      </c>
      <c r="V2040" s="49" t="n">
        <v>0</v>
      </c>
      <c r="W2040" s="50" t="n">
        <v>0</v>
      </c>
      <c r="X2040" s="51" t="n">
        <v>0</v>
      </c>
      <c r="Y2040" s="52" t="n">
        <v>0</v>
      </c>
      <c r="Z2040" s="52" t="n">
        <v>0</v>
      </c>
      <c r="AA2040" s="52" t="n">
        <v>0</v>
      </c>
      <c r="AB2040" s="53" t="n">
        <v>0</v>
      </c>
      <c r="AC2040" s="52" t="n">
        <v>0</v>
      </c>
      <c r="AD2040" s="53" t="n">
        <v>0</v>
      </c>
      <c r="AE2040" s="52" t="n">
        <v>0</v>
      </c>
      <c r="AF2040" s="51" t="n">
        <v>183</v>
      </c>
      <c r="AG2040" s="48" t="n">
        <v>0</v>
      </c>
      <c r="AH2040" s="49" t="n">
        <v>0</v>
      </c>
      <c r="AI2040" s="49" t="n">
        <v>0</v>
      </c>
      <c r="AJ2040" s="50" t="n">
        <v>0</v>
      </c>
      <c r="AK2040" s="51" t="n">
        <v>0</v>
      </c>
      <c r="AL2040" s="52" t="n">
        <v>0</v>
      </c>
      <c r="AM2040" s="52" t="n">
        <v>0</v>
      </c>
      <c r="AN2040" s="52" t="n">
        <v>0</v>
      </c>
      <c r="AO2040" s="53" t="n">
        <v>0</v>
      </c>
      <c r="AP2040" s="52" t="n">
        <v>0</v>
      </c>
      <c r="AQ2040" s="53" t="n">
        <v>0</v>
      </c>
      <c r="AR2040" s="52" t="n">
        <v>0</v>
      </c>
      <c r="AS2040" s="51" t="n">
        <v>0</v>
      </c>
      <c r="AT2040" s="48" t="n">
        <v>0</v>
      </c>
      <c r="AU2040" s="49" t="n">
        <v>0</v>
      </c>
      <c r="AV2040" s="49" t="n">
        <v>0</v>
      </c>
      <c r="AW2040" s="50" t="n">
        <v>0</v>
      </c>
      <c r="AX2040" s="51" t="n">
        <v>1</v>
      </c>
      <c r="AY2040" s="52" t="n">
        <v>0.22</v>
      </c>
      <c r="AZ2040" s="52" t="n">
        <v>0</v>
      </c>
      <c r="BA2040" s="52" t="n">
        <v>0</v>
      </c>
      <c r="BB2040" s="53" t="n">
        <v>0.0055</v>
      </c>
      <c r="BC2040" s="52" t="n">
        <v>0.22</v>
      </c>
      <c r="BD2040" s="53" t="n">
        <v>0</v>
      </c>
      <c r="BE2040" s="52" t="n">
        <v>0</v>
      </c>
      <c r="BF2040" s="51" t="n">
        <v>182</v>
      </c>
    </row>
    <row r="2041">
      <c r="A2041">
        <f>HYPERLINK("https://www.walmart.com/ip/247284414", "247284414")</f>
        <v/>
      </c>
      <c r="B2041" t="inlineStr">
        <is>
          <t>Catalonia Warm and Cozy Sherpa Wearable Blanket Poncho for Adult, Pink, Snuggly Fleece Blanket with Pocket, No Sleeves</t>
        </is>
      </c>
      <c r="C2041" t="inlineStr">
        <is>
          <t>1CTBP110HP</t>
        </is>
      </c>
      <c r="D2041" t="inlineStr">
        <is>
          <t>Throws</t>
        </is>
      </c>
      <c r="E2041" t="inlineStr">
        <is>
          <t>Catalonia</t>
        </is>
      </c>
      <c r="F2041" t="inlineStr">
        <is>
          <t>Optimized,Hero 5 Holidays,Coupon_Discount</t>
        </is>
      </c>
      <c r="G2041" s="48" t="n">
        <v>0</v>
      </c>
      <c r="H2041" s="49" t="n">
        <v>0</v>
      </c>
      <c r="I2041" s="49" t="n">
        <v>0</v>
      </c>
      <c r="J2041" s="50" t="n">
        <v>0</v>
      </c>
      <c r="K2041" s="51" t="n">
        <v>0</v>
      </c>
      <c r="L2041" s="52" t="n">
        <v>0</v>
      </c>
      <c r="M2041" s="52" t="n">
        <v>0</v>
      </c>
      <c r="N2041" s="52" t="n">
        <v>0</v>
      </c>
      <c r="O2041" s="53" t="n">
        <v>0</v>
      </c>
      <c r="P2041" s="52" t="n">
        <v>0</v>
      </c>
      <c r="Q2041" s="53" t="n">
        <v>0</v>
      </c>
      <c r="R2041" s="52" t="n">
        <v>0</v>
      </c>
      <c r="S2041" s="51" t="n">
        <v>0</v>
      </c>
      <c r="T2041" s="48" t="n">
        <v>0</v>
      </c>
      <c r="U2041" s="49" t="n">
        <v>0</v>
      </c>
      <c r="V2041" s="49" t="n">
        <v>0</v>
      </c>
      <c r="W2041" s="50" t="n">
        <v>0</v>
      </c>
      <c r="X2041" s="51" t="n">
        <v>0</v>
      </c>
      <c r="Y2041" s="52" t="n">
        <v>0</v>
      </c>
      <c r="Z2041" s="52" t="n">
        <v>0</v>
      </c>
      <c r="AA2041" s="52" t="n">
        <v>0</v>
      </c>
      <c r="AB2041" s="53" t="n">
        <v>0</v>
      </c>
      <c r="AC2041" s="52" t="n">
        <v>0</v>
      </c>
      <c r="AD2041" s="53" t="n">
        <v>0</v>
      </c>
      <c r="AE2041" s="52" t="n">
        <v>0</v>
      </c>
      <c r="AF2041" s="51" t="n">
        <v>0</v>
      </c>
      <c r="AG2041" s="48" t="n">
        <v>0</v>
      </c>
      <c r="AH2041" s="49" t="n">
        <v>0</v>
      </c>
      <c r="AI2041" s="49" t="n">
        <v>0</v>
      </c>
      <c r="AJ2041" s="50" t="n">
        <v>0</v>
      </c>
      <c r="AK2041" s="51" t="n">
        <v>0</v>
      </c>
      <c r="AL2041" s="52" t="n">
        <v>0</v>
      </c>
      <c r="AM2041" s="52" t="n">
        <v>0</v>
      </c>
      <c r="AN2041" s="52" t="n">
        <v>0</v>
      </c>
      <c r="AO2041" s="53" t="n">
        <v>0</v>
      </c>
      <c r="AP2041" s="52" t="n">
        <v>0</v>
      </c>
      <c r="AQ2041" s="53" t="n">
        <v>0</v>
      </c>
      <c r="AR2041" s="52" t="n">
        <v>0</v>
      </c>
      <c r="AS2041" s="51" t="n">
        <v>0</v>
      </c>
      <c r="AT2041" s="48" t="n">
        <v>0</v>
      </c>
      <c r="AU2041" s="49" t="n">
        <v>0</v>
      </c>
      <c r="AV2041" s="49" t="n">
        <v>0</v>
      </c>
      <c r="AW2041" s="50" t="n">
        <v>0</v>
      </c>
      <c r="AX2041" s="51" t="n">
        <v>0</v>
      </c>
      <c r="AY2041" s="52" t="n">
        <v>0</v>
      </c>
      <c r="AZ2041" s="52" t="n">
        <v>0</v>
      </c>
      <c r="BA2041" s="52" t="n">
        <v>0</v>
      </c>
      <c r="BB2041" s="53" t="n">
        <v>0</v>
      </c>
      <c r="BC2041" s="52" t="n">
        <v>0</v>
      </c>
      <c r="BD2041" s="53" t="n">
        <v>0</v>
      </c>
      <c r="BE2041" s="52" t="n">
        <v>0</v>
      </c>
      <c r="BF2041" s="51" t="n">
        <v>0</v>
      </c>
    </row>
    <row r="2042">
      <c r="A2042">
        <f>HYPERLINK("https://www.walmart.com/ip/248204253", "248204253")</f>
        <v/>
      </c>
      <c r="B2042" t="inlineStr">
        <is>
          <t>Catalonia Weighted Blanket for Kids and Adults, 20lb Heavy Blanket, Cotton, Grey, 60 × 80 Inches</t>
        </is>
      </c>
      <c r="C2042" t="inlineStr">
        <is>
          <t>1CTBG806GY-20C</t>
        </is>
      </c>
      <c r="D2042" t="inlineStr">
        <is>
          <t>Bed Blankets</t>
        </is>
      </c>
      <c r="E2042" t="inlineStr">
        <is>
          <t>Catalonia</t>
        </is>
      </c>
      <c r="F2042" t="inlineStr">
        <is>
          <t>Optimized,Valentine</t>
        </is>
      </c>
      <c r="G2042" s="48" t="n">
        <v>0</v>
      </c>
      <c r="H2042" s="49" t="n">
        <v>0</v>
      </c>
      <c r="I2042" s="49" t="n">
        <v>0</v>
      </c>
      <c r="J2042" s="50" t="n">
        <v>0</v>
      </c>
      <c r="K2042" s="51" t="n">
        <v>0</v>
      </c>
      <c r="L2042" s="52" t="n">
        <v>0</v>
      </c>
      <c r="M2042" s="52" t="n">
        <v>0</v>
      </c>
      <c r="N2042" s="52" t="n">
        <v>0</v>
      </c>
      <c r="O2042" s="53" t="n">
        <v>0</v>
      </c>
      <c r="P2042" s="52" t="n">
        <v>0</v>
      </c>
      <c r="Q2042" s="53" t="n">
        <v>0</v>
      </c>
      <c r="R2042" s="52" t="n">
        <v>0</v>
      </c>
      <c r="S2042" s="51" t="n">
        <v>0</v>
      </c>
      <c r="T2042" s="48" t="n">
        <v>0</v>
      </c>
      <c r="U2042" s="49" t="n">
        <v>0</v>
      </c>
      <c r="V2042" s="49" t="n">
        <v>0</v>
      </c>
      <c r="W2042" s="50" t="n">
        <v>0</v>
      </c>
      <c r="X2042" s="51" t="n">
        <v>0</v>
      </c>
      <c r="Y2042" s="52" t="n">
        <v>0</v>
      </c>
      <c r="Z2042" s="52" t="n">
        <v>0</v>
      </c>
      <c r="AA2042" s="52" t="n">
        <v>0</v>
      </c>
      <c r="AB2042" s="53" t="n">
        <v>0</v>
      </c>
      <c r="AC2042" s="52" t="n">
        <v>0</v>
      </c>
      <c r="AD2042" s="53" t="n">
        <v>0</v>
      </c>
      <c r="AE2042" s="52" t="n">
        <v>0</v>
      </c>
      <c r="AF2042" s="51" t="n">
        <v>0</v>
      </c>
      <c r="AG2042" s="48" t="n">
        <v>0</v>
      </c>
      <c r="AH2042" s="49" t="n">
        <v>0</v>
      </c>
      <c r="AI2042" s="49" t="n">
        <v>0</v>
      </c>
      <c r="AJ2042" s="50" t="n">
        <v>0</v>
      </c>
      <c r="AK2042" s="51" t="n">
        <v>0</v>
      </c>
      <c r="AL2042" s="52" t="n">
        <v>0</v>
      </c>
      <c r="AM2042" s="52" t="n">
        <v>0</v>
      </c>
      <c r="AN2042" s="52" t="n">
        <v>0</v>
      </c>
      <c r="AO2042" s="53" t="n">
        <v>0</v>
      </c>
      <c r="AP2042" s="52" t="n">
        <v>0</v>
      </c>
      <c r="AQ2042" s="53" t="n">
        <v>0</v>
      </c>
      <c r="AR2042" s="52" t="n">
        <v>0</v>
      </c>
      <c r="AS2042" s="51" t="n">
        <v>0</v>
      </c>
      <c r="AT2042" s="48" t="n">
        <v>0</v>
      </c>
      <c r="AU2042" s="49" t="n">
        <v>0</v>
      </c>
      <c r="AV2042" s="49" t="n">
        <v>0</v>
      </c>
      <c r="AW2042" s="50" t="n">
        <v>0</v>
      </c>
      <c r="AX2042" s="51" t="n">
        <v>0</v>
      </c>
      <c r="AY2042" s="52" t="n">
        <v>0</v>
      </c>
      <c r="AZ2042" s="52" t="n">
        <v>0</v>
      </c>
      <c r="BA2042" s="52" t="n">
        <v>0</v>
      </c>
      <c r="BB2042" s="53" t="n">
        <v>0</v>
      </c>
      <c r="BC2042" s="52" t="n">
        <v>0</v>
      </c>
      <c r="BD2042" s="53" t="n">
        <v>0</v>
      </c>
      <c r="BE2042" s="52" t="n">
        <v>0</v>
      </c>
      <c r="BF2042" s="51" t="n">
        <v>0</v>
      </c>
    </row>
    <row r="2043">
      <c r="A2043">
        <f>HYPERLINK("https://www.walmart.com/ip/238844874", "238844874")</f>
        <v/>
      </c>
      <c r="B2043" t="inlineStr">
        <is>
          <t>Solaris Women's Tankini Swimsuit, Two-Piece Swimwear Bikini Set, Summer Bathing Suits, Medium, Black/White</t>
        </is>
      </c>
      <c r="C2043" t="inlineStr">
        <is>
          <t>1SLSS006BKWH-M</t>
        </is>
      </c>
      <c r="D2043" t="inlineStr">
        <is>
          <t>Swimsuit Sets</t>
        </is>
      </c>
      <c r="E2043" t="inlineStr">
        <is>
          <t>Solaris</t>
        </is>
      </c>
      <c r="F2043" t="inlineStr">
        <is>
          <t>Optimized</t>
        </is>
      </c>
      <c r="G2043" s="48" t="n">
        <v>0</v>
      </c>
      <c r="H2043" s="49" t="n">
        <v>0</v>
      </c>
      <c r="I2043" s="49" t="n">
        <v>0</v>
      </c>
      <c r="J2043" s="50" t="n">
        <v>0</v>
      </c>
      <c r="K2043" s="51" t="n">
        <v>0</v>
      </c>
      <c r="L2043" s="52" t="n">
        <v>0</v>
      </c>
      <c r="M2043" s="52" t="n">
        <v>0</v>
      </c>
      <c r="N2043" s="52" t="n">
        <v>0</v>
      </c>
      <c r="O2043" s="53" t="n">
        <v>0</v>
      </c>
      <c r="P2043" s="52" t="n">
        <v>0</v>
      </c>
      <c r="Q2043" s="53" t="n">
        <v>0</v>
      </c>
      <c r="R2043" s="52" t="n">
        <v>0</v>
      </c>
      <c r="S2043" s="51" t="n">
        <v>0</v>
      </c>
      <c r="T2043" s="48" t="n">
        <v>0</v>
      </c>
      <c r="U2043" s="49" t="n">
        <v>0</v>
      </c>
      <c r="V2043" s="49" t="n">
        <v>0</v>
      </c>
      <c r="W2043" s="50" t="n">
        <v>0</v>
      </c>
      <c r="X2043" s="51" t="n">
        <v>0</v>
      </c>
      <c r="Y2043" s="52" t="n">
        <v>0</v>
      </c>
      <c r="Z2043" s="52" t="n">
        <v>0</v>
      </c>
      <c r="AA2043" s="52" t="n">
        <v>0</v>
      </c>
      <c r="AB2043" s="53" t="n">
        <v>0</v>
      </c>
      <c r="AC2043" s="52" t="n">
        <v>0</v>
      </c>
      <c r="AD2043" s="53" t="n">
        <v>0</v>
      </c>
      <c r="AE2043" s="52" t="n">
        <v>0</v>
      </c>
      <c r="AF2043" s="51" t="n">
        <v>0</v>
      </c>
      <c r="AG2043" s="48" t="n">
        <v>0</v>
      </c>
      <c r="AH2043" s="49" t="n">
        <v>0</v>
      </c>
      <c r="AI2043" s="49" t="n">
        <v>0</v>
      </c>
      <c r="AJ2043" s="50" t="n">
        <v>0</v>
      </c>
      <c r="AK2043" s="51" t="n">
        <v>0</v>
      </c>
      <c r="AL2043" s="52" t="n">
        <v>0</v>
      </c>
      <c r="AM2043" s="52" t="n">
        <v>0</v>
      </c>
      <c r="AN2043" s="52" t="n">
        <v>0</v>
      </c>
      <c r="AO2043" s="53" t="n">
        <v>0</v>
      </c>
      <c r="AP2043" s="52" t="n">
        <v>0</v>
      </c>
      <c r="AQ2043" s="53" t="n">
        <v>0</v>
      </c>
      <c r="AR2043" s="52" t="n">
        <v>0</v>
      </c>
      <c r="AS2043" s="51" t="n">
        <v>0</v>
      </c>
      <c r="AT2043" s="48" t="n">
        <v>0</v>
      </c>
      <c r="AU2043" s="49" t="n">
        <v>0</v>
      </c>
      <c r="AV2043" s="49" t="n">
        <v>0</v>
      </c>
      <c r="AW2043" s="50" t="n">
        <v>0</v>
      </c>
      <c r="AX2043" s="51" t="n">
        <v>0</v>
      </c>
      <c r="AY2043" s="52" t="n">
        <v>0</v>
      </c>
      <c r="AZ2043" s="52" t="n">
        <v>0</v>
      </c>
      <c r="BA2043" s="52" t="n">
        <v>0</v>
      </c>
      <c r="BB2043" s="53" t="n">
        <v>0</v>
      </c>
      <c r="BC2043" s="52" t="n">
        <v>0</v>
      </c>
      <c r="BD2043" s="53" t="n">
        <v>0</v>
      </c>
      <c r="BE2043" s="52" t="n">
        <v>0</v>
      </c>
      <c r="BF2043" s="51" t="n">
        <v>0</v>
      </c>
    </row>
    <row r="2044">
      <c r="A2044">
        <f>HYPERLINK("https://www.walmart.com/ip/237884409", "237884409")</f>
        <v/>
      </c>
      <c r="B2044" t="inlineStr">
        <is>
          <t>Tirrinia Super Soft Comfy Plush Fleece Sherpa Wearable Blanket Poncho for Adult Kids, 55'' x 80'', Pink</t>
        </is>
      </c>
      <c r="C2044" t="inlineStr">
        <is>
          <t>1TRBP110HP-TBCB</t>
        </is>
      </c>
      <c r="D2044" t="inlineStr">
        <is>
          <t>Throws</t>
        </is>
      </c>
      <c r="E2044" t="inlineStr">
        <is>
          <t>Tirrinia</t>
        </is>
      </c>
      <c r="F2044" t="inlineStr">
        <is>
          <t>Optimized</t>
        </is>
      </c>
      <c r="G2044" s="48" t="n">
        <v>0</v>
      </c>
      <c r="H2044" s="49" t="n">
        <v>0</v>
      </c>
      <c r="I2044" s="49" t="n">
        <v>0</v>
      </c>
      <c r="J2044" s="50" t="n">
        <v>0</v>
      </c>
      <c r="K2044" s="51" t="n">
        <v>0</v>
      </c>
      <c r="L2044" s="52" t="n">
        <v>0</v>
      </c>
      <c r="M2044" s="52" t="n">
        <v>0</v>
      </c>
      <c r="N2044" s="52" t="n">
        <v>0</v>
      </c>
      <c r="O2044" s="53" t="n">
        <v>0</v>
      </c>
      <c r="P2044" s="52" t="n">
        <v>0</v>
      </c>
      <c r="Q2044" s="53" t="n">
        <v>0</v>
      </c>
      <c r="R2044" s="52" t="n">
        <v>0</v>
      </c>
      <c r="S2044" s="51" t="n">
        <v>0</v>
      </c>
      <c r="T2044" s="48" t="n">
        <v>0</v>
      </c>
      <c r="U2044" s="49" t="n">
        <v>0</v>
      </c>
      <c r="V2044" s="49" t="n">
        <v>0</v>
      </c>
      <c r="W2044" s="50" t="n">
        <v>0</v>
      </c>
      <c r="X2044" s="51" t="n">
        <v>0</v>
      </c>
      <c r="Y2044" s="52" t="n">
        <v>0</v>
      </c>
      <c r="Z2044" s="52" t="n">
        <v>0</v>
      </c>
      <c r="AA2044" s="52" t="n">
        <v>0</v>
      </c>
      <c r="AB2044" s="53" t="n">
        <v>0</v>
      </c>
      <c r="AC2044" s="52" t="n">
        <v>0</v>
      </c>
      <c r="AD2044" s="53" t="n">
        <v>0</v>
      </c>
      <c r="AE2044" s="52" t="n">
        <v>0</v>
      </c>
      <c r="AF2044" s="51" t="n">
        <v>0</v>
      </c>
      <c r="AG2044" s="48" t="n">
        <v>0</v>
      </c>
      <c r="AH2044" s="49" t="n">
        <v>0</v>
      </c>
      <c r="AI2044" s="49" t="n">
        <v>0</v>
      </c>
      <c r="AJ2044" s="50" t="n">
        <v>0</v>
      </c>
      <c r="AK2044" s="51" t="n">
        <v>0</v>
      </c>
      <c r="AL2044" s="52" t="n">
        <v>0</v>
      </c>
      <c r="AM2044" s="52" t="n">
        <v>0</v>
      </c>
      <c r="AN2044" s="52" t="n">
        <v>0</v>
      </c>
      <c r="AO2044" s="53" t="n">
        <v>0</v>
      </c>
      <c r="AP2044" s="52" t="n">
        <v>0</v>
      </c>
      <c r="AQ2044" s="53" t="n">
        <v>0</v>
      </c>
      <c r="AR2044" s="52" t="n">
        <v>0</v>
      </c>
      <c r="AS2044" s="51" t="n">
        <v>0</v>
      </c>
      <c r="AT2044" s="48" t="n">
        <v>0</v>
      </c>
      <c r="AU2044" s="49" t="n">
        <v>0</v>
      </c>
      <c r="AV2044" s="49" t="n">
        <v>0</v>
      </c>
      <c r="AW2044" s="50" t="n">
        <v>0</v>
      </c>
      <c r="AX2044" s="51" t="n">
        <v>0</v>
      </c>
      <c r="AY2044" s="52" t="n">
        <v>0</v>
      </c>
      <c r="AZ2044" s="52" t="n">
        <v>0</v>
      </c>
      <c r="BA2044" s="52" t="n">
        <v>0</v>
      </c>
      <c r="BB2044" s="53" t="n">
        <v>0</v>
      </c>
      <c r="BC2044" s="52" t="n">
        <v>0</v>
      </c>
      <c r="BD2044" s="53" t="n">
        <v>0</v>
      </c>
      <c r="BE2044" s="52" t="n">
        <v>0</v>
      </c>
      <c r="BF2044" s="51" t="n">
        <v>0</v>
      </c>
    </row>
    <row r="2045">
      <c r="A2045">
        <f>HYPERLINK("https://www.walmart.com/ip/2287101821", "2287101821")</f>
        <v/>
      </c>
      <c r="B2045" t="inlineStr">
        <is>
          <t>Catalonia Wearable TV Blanket with Sleeves Arms Micro Plush Fleece Wrap Throw Robe 73 x 51”</t>
        </is>
      </c>
      <c r="C2045" t="inlineStr">
        <is>
          <t>1CTSN150PP</t>
        </is>
      </c>
      <c r="D2045" t="inlineStr">
        <is>
          <t>Throws</t>
        </is>
      </c>
      <c r="E2045" t="inlineStr">
        <is>
          <t>Catalonia</t>
        </is>
      </c>
      <c r="F2045" t="inlineStr">
        <is>
          <t>Batch 1 - TR</t>
        </is>
      </c>
      <c r="G2045" s="48" t="n">
        <v>0</v>
      </c>
      <c r="H2045" s="49" t="n">
        <v>0</v>
      </c>
      <c r="I2045" s="49" t="n">
        <v>0</v>
      </c>
      <c r="J2045" s="50" t="n">
        <v>0</v>
      </c>
      <c r="K2045" s="51" t="n">
        <v>0</v>
      </c>
      <c r="L2045" s="52" t="n">
        <v>0</v>
      </c>
      <c r="M2045" s="52" t="n">
        <v>0</v>
      </c>
      <c r="N2045" s="52" t="n">
        <v>0</v>
      </c>
      <c r="O2045" s="53" t="n">
        <v>0</v>
      </c>
      <c r="P2045" s="52" t="n">
        <v>0</v>
      </c>
      <c r="Q2045" s="53" t="n">
        <v>0</v>
      </c>
      <c r="R2045" s="52" t="n">
        <v>0</v>
      </c>
      <c r="S2045" s="51" t="n">
        <v>0</v>
      </c>
      <c r="T2045" s="48" t="n">
        <v>0</v>
      </c>
      <c r="U2045" s="49" t="n">
        <v>0</v>
      </c>
      <c r="V2045" s="49" t="n">
        <v>0</v>
      </c>
      <c r="W2045" s="50" t="n">
        <v>0</v>
      </c>
      <c r="X2045" s="51" t="n">
        <v>0</v>
      </c>
      <c r="Y2045" s="52" t="n">
        <v>0</v>
      </c>
      <c r="Z2045" s="52" t="n">
        <v>0</v>
      </c>
      <c r="AA2045" s="52" t="n">
        <v>0</v>
      </c>
      <c r="AB2045" s="53" t="n">
        <v>0</v>
      </c>
      <c r="AC2045" s="52" t="n">
        <v>0</v>
      </c>
      <c r="AD2045" s="53" t="n">
        <v>0</v>
      </c>
      <c r="AE2045" s="52" t="n">
        <v>0</v>
      </c>
      <c r="AF2045" s="51" t="n">
        <v>0</v>
      </c>
      <c r="AG2045" s="48" t="n">
        <v>0</v>
      </c>
      <c r="AH2045" s="49" t="n">
        <v>0</v>
      </c>
      <c r="AI2045" s="49" t="n">
        <v>0</v>
      </c>
      <c r="AJ2045" s="50" t="n">
        <v>0</v>
      </c>
      <c r="AK2045" s="51" t="n">
        <v>0</v>
      </c>
      <c r="AL2045" s="52" t="n">
        <v>0</v>
      </c>
      <c r="AM2045" s="52" t="n">
        <v>0</v>
      </c>
      <c r="AN2045" s="52" t="n">
        <v>0</v>
      </c>
      <c r="AO2045" s="53" t="n">
        <v>0</v>
      </c>
      <c r="AP2045" s="52" t="n">
        <v>0</v>
      </c>
      <c r="AQ2045" s="53" t="n">
        <v>0</v>
      </c>
      <c r="AR2045" s="52" t="n">
        <v>0</v>
      </c>
      <c r="AS2045" s="51" t="n">
        <v>0</v>
      </c>
      <c r="AT2045" s="48" t="n">
        <v>0</v>
      </c>
      <c r="AU2045" s="49" t="n">
        <v>0</v>
      </c>
      <c r="AV2045" s="49" t="n">
        <v>0</v>
      </c>
      <c r="AW2045" s="50" t="n">
        <v>0</v>
      </c>
      <c r="AX2045" s="51" t="n">
        <v>0</v>
      </c>
      <c r="AY2045" s="52" t="n">
        <v>0</v>
      </c>
      <c r="AZ2045" s="52" t="n">
        <v>0</v>
      </c>
      <c r="BA2045" s="52" t="n">
        <v>0</v>
      </c>
      <c r="BB2045" s="53" t="n">
        <v>0</v>
      </c>
      <c r="BC2045" s="52" t="n">
        <v>0</v>
      </c>
      <c r="BD2045" s="53" t="n">
        <v>0</v>
      </c>
      <c r="BE2045" s="52" t="n">
        <v>0</v>
      </c>
      <c r="BF2045" s="51" t="n">
        <v>0</v>
      </c>
    </row>
    <row r="2046">
      <c r="A2046">
        <f>HYPERLINK("https://www.walmart.com/ip/237763307", "237763307")</f>
        <v/>
      </c>
      <c r="B2046" t="inlineStr">
        <is>
          <t>Mermaid Tail Blanket for Teen Girls with Anti-slip Neck Strap Wave Pattern | Soft Sleeping Bag for All Seasons</t>
        </is>
      </c>
      <c r="C2046" t="inlineStr">
        <is>
          <t>1CTMM100BL-TPB</t>
        </is>
      </c>
      <c r="D2046" t="inlineStr">
        <is>
          <t>Throws</t>
        </is>
      </c>
      <c r="E2046" t="inlineStr">
        <is>
          <t>Catalonia</t>
        </is>
      </c>
      <c r="F2046" t="inlineStr">
        <is>
          <t>Batch 1 - TR</t>
        </is>
      </c>
      <c r="G2046" s="48" t="n">
        <v>0</v>
      </c>
      <c r="H2046" s="49" t="n">
        <v>0</v>
      </c>
      <c r="I2046" s="49" t="n">
        <v>0</v>
      </c>
      <c r="J2046" s="50" t="n">
        <v>0</v>
      </c>
      <c r="K2046" s="51" t="n">
        <v>0</v>
      </c>
      <c r="L2046" s="52" t="n">
        <v>0</v>
      </c>
      <c r="M2046" s="52" t="n">
        <v>0</v>
      </c>
      <c r="N2046" s="52" t="n">
        <v>0</v>
      </c>
      <c r="O2046" s="53" t="n">
        <v>0</v>
      </c>
      <c r="P2046" s="52" t="n">
        <v>0</v>
      </c>
      <c r="Q2046" s="53" t="n">
        <v>0</v>
      </c>
      <c r="R2046" s="52" t="n">
        <v>0</v>
      </c>
      <c r="S2046" s="51" t="n">
        <v>0</v>
      </c>
      <c r="T2046" s="48" t="n">
        <v>0</v>
      </c>
      <c r="U2046" s="49" t="n">
        <v>0</v>
      </c>
      <c r="V2046" s="49" t="n">
        <v>0</v>
      </c>
      <c r="W2046" s="50" t="n">
        <v>0</v>
      </c>
      <c r="X2046" s="51" t="n">
        <v>0</v>
      </c>
      <c r="Y2046" s="52" t="n">
        <v>0</v>
      </c>
      <c r="Z2046" s="52" t="n">
        <v>0</v>
      </c>
      <c r="AA2046" s="52" t="n">
        <v>0</v>
      </c>
      <c r="AB2046" s="53" t="n">
        <v>0</v>
      </c>
      <c r="AC2046" s="52" t="n">
        <v>0</v>
      </c>
      <c r="AD2046" s="53" t="n">
        <v>0</v>
      </c>
      <c r="AE2046" s="52" t="n">
        <v>0</v>
      </c>
      <c r="AF2046" s="51" t="n">
        <v>0</v>
      </c>
      <c r="AG2046" s="48" t="n">
        <v>0</v>
      </c>
      <c r="AH2046" s="49" t="n">
        <v>0</v>
      </c>
      <c r="AI2046" s="49" t="n">
        <v>0</v>
      </c>
      <c r="AJ2046" s="50" t="n">
        <v>0</v>
      </c>
      <c r="AK2046" s="51" t="n">
        <v>0</v>
      </c>
      <c r="AL2046" s="52" t="n">
        <v>0</v>
      </c>
      <c r="AM2046" s="52" t="n">
        <v>0</v>
      </c>
      <c r="AN2046" s="52" t="n">
        <v>0</v>
      </c>
      <c r="AO2046" s="53" t="n">
        <v>0</v>
      </c>
      <c r="AP2046" s="52" t="n">
        <v>0</v>
      </c>
      <c r="AQ2046" s="53" t="n">
        <v>0</v>
      </c>
      <c r="AR2046" s="52" t="n">
        <v>0</v>
      </c>
      <c r="AS2046" s="51" t="n">
        <v>0</v>
      </c>
      <c r="AT2046" s="48" t="n">
        <v>0</v>
      </c>
      <c r="AU2046" s="49" t="n">
        <v>0</v>
      </c>
      <c r="AV2046" s="49" t="n">
        <v>0</v>
      </c>
      <c r="AW2046" s="50" t="n">
        <v>0</v>
      </c>
      <c r="AX2046" s="51" t="n">
        <v>0</v>
      </c>
      <c r="AY2046" s="52" t="n">
        <v>0</v>
      </c>
      <c r="AZ2046" s="52" t="n">
        <v>0</v>
      </c>
      <c r="BA2046" s="52" t="n">
        <v>0</v>
      </c>
      <c r="BB2046" s="53" t="n">
        <v>0</v>
      </c>
      <c r="BC2046" s="52" t="n">
        <v>0</v>
      </c>
      <c r="BD2046" s="53" t="n">
        <v>0</v>
      </c>
      <c r="BE2046" s="52" t="n">
        <v>0</v>
      </c>
      <c r="BF2046" s="51" t="n">
        <v>0</v>
      </c>
    </row>
    <row r="2047">
      <c r="A2047">
        <f>HYPERLINK("https://www.walmart.com/ip/228927928", "228927928")</f>
        <v/>
      </c>
      <c r="B2047" t="inlineStr">
        <is>
          <t>Oversized Hoodie Blanket Sweatshirt,Super Soft Warm Comfortable Fleece Giant Pullover with Large Front Pocket,for Adults Men Women Teenagers Kids Wife Girlfriend</t>
        </is>
      </c>
      <c r="C2047" t="inlineStr">
        <is>
          <t>1CTHD300BK-UPC</t>
        </is>
      </c>
      <c r="D2047" t="inlineStr">
        <is>
          <t>Sweatshirts &amp; Hoodies</t>
        </is>
      </c>
      <c r="E2047" t="inlineStr">
        <is>
          <t>Catalonia</t>
        </is>
      </c>
      <c r="F2047" t="inlineStr">
        <is>
          <t>Hoodie ForAdult,Optimized,Coupon_Discount</t>
        </is>
      </c>
      <c r="G2047" s="48" t="n">
        <v>0</v>
      </c>
      <c r="H2047" s="49" t="n">
        <v>0</v>
      </c>
      <c r="I2047" s="49" t="n">
        <v>0</v>
      </c>
      <c r="J2047" s="50" t="n">
        <v>0</v>
      </c>
      <c r="K2047" s="51" t="n">
        <v>0</v>
      </c>
      <c r="L2047" s="52" t="n">
        <v>0</v>
      </c>
      <c r="M2047" s="52" t="n">
        <v>0</v>
      </c>
      <c r="N2047" s="52" t="n">
        <v>0</v>
      </c>
      <c r="O2047" s="53" t="n">
        <v>0</v>
      </c>
      <c r="P2047" s="52" t="n">
        <v>0</v>
      </c>
      <c r="Q2047" s="53" t="n">
        <v>0</v>
      </c>
      <c r="R2047" s="52" t="n">
        <v>0</v>
      </c>
      <c r="S2047" s="51" t="n">
        <v>0</v>
      </c>
      <c r="T2047" s="48" t="n">
        <v>0</v>
      </c>
      <c r="U2047" s="49" t="n">
        <v>0</v>
      </c>
      <c r="V2047" s="49" t="n">
        <v>0</v>
      </c>
      <c r="W2047" s="50" t="n">
        <v>0</v>
      </c>
      <c r="X2047" s="51" t="n">
        <v>0</v>
      </c>
      <c r="Y2047" s="52" t="n">
        <v>0</v>
      </c>
      <c r="Z2047" s="52" t="n">
        <v>0</v>
      </c>
      <c r="AA2047" s="52" t="n">
        <v>0</v>
      </c>
      <c r="AB2047" s="53" t="n">
        <v>0</v>
      </c>
      <c r="AC2047" s="52" t="n">
        <v>0</v>
      </c>
      <c r="AD2047" s="53" t="n">
        <v>0</v>
      </c>
      <c r="AE2047" s="52" t="n">
        <v>0</v>
      </c>
      <c r="AF2047" s="51" t="n">
        <v>0</v>
      </c>
      <c r="AG2047" s="48" t="n">
        <v>0</v>
      </c>
      <c r="AH2047" s="49" t="n">
        <v>0</v>
      </c>
      <c r="AI2047" s="49" t="n">
        <v>0</v>
      </c>
      <c r="AJ2047" s="50" t="n">
        <v>0</v>
      </c>
      <c r="AK2047" s="51" t="n">
        <v>0</v>
      </c>
      <c r="AL2047" s="52" t="n">
        <v>0</v>
      </c>
      <c r="AM2047" s="52" t="n">
        <v>0</v>
      </c>
      <c r="AN2047" s="52" t="n">
        <v>0</v>
      </c>
      <c r="AO2047" s="53" t="n">
        <v>0</v>
      </c>
      <c r="AP2047" s="52" t="n">
        <v>0</v>
      </c>
      <c r="AQ2047" s="53" t="n">
        <v>0</v>
      </c>
      <c r="AR2047" s="52" t="n">
        <v>0</v>
      </c>
      <c r="AS2047" s="51" t="n">
        <v>0</v>
      </c>
      <c r="AT2047" s="48" t="n">
        <v>0</v>
      </c>
      <c r="AU2047" s="49" t="n">
        <v>0</v>
      </c>
      <c r="AV2047" s="49" t="n">
        <v>0</v>
      </c>
      <c r="AW2047" s="50" t="n">
        <v>0</v>
      </c>
      <c r="AX2047" s="51" t="n">
        <v>0</v>
      </c>
      <c r="AY2047" s="52" t="n">
        <v>0</v>
      </c>
      <c r="AZ2047" s="52" t="n">
        <v>0</v>
      </c>
      <c r="BA2047" s="52" t="n">
        <v>0</v>
      </c>
      <c r="BB2047" s="53" t="n">
        <v>0</v>
      </c>
      <c r="BC2047" s="52" t="n">
        <v>0</v>
      </c>
      <c r="BD2047" s="53" t="n">
        <v>0</v>
      </c>
      <c r="BE2047" s="52" t="n">
        <v>0</v>
      </c>
      <c r="BF2047" s="51" t="n">
        <v>0</v>
      </c>
    </row>
    <row r="2048">
      <c r="A2048">
        <f>HYPERLINK("https://www.walmart.com/ip/228998372", "228998372")</f>
        <v/>
      </c>
      <c r="B2048" t="inlineStr">
        <is>
          <t>Pawsse Sherpa Pet Blanket, Puppy Cat Blanket, Warm Flannel Plush Dog Fleece Blanket for Small Dogs Kitten, Reversible, Brown/Latte Sherpa Lining, 45 X 30 Inches</t>
        </is>
      </c>
      <c r="C2048" t="inlineStr">
        <is>
          <t>1TRBF345BRLT</t>
        </is>
      </c>
      <c r="D2048" t="inlineStr">
        <is>
          <t>Pet Blankets</t>
        </is>
      </c>
      <c r="E2048" t="inlineStr">
        <is>
          <t>Pawsse</t>
        </is>
      </c>
      <c r="F2048" t="inlineStr">
        <is>
          <t>Batch 1 - TR</t>
        </is>
      </c>
      <c r="G2048" s="48" t="n">
        <v>0</v>
      </c>
      <c r="H2048" s="49" t="n">
        <v>0</v>
      </c>
      <c r="I2048" s="49" t="n">
        <v>0</v>
      </c>
      <c r="J2048" s="50" t="n">
        <v>0</v>
      </c>
      <c r="K2048" s="51" t="n">
        <v>0</v>
      </c>
      <c r="L2048" s="52" t="n">
        <v>0</v>
      </c>
      <c r="M2048" s="52" t="n">
        <v>0</v>
      </c>
      <c r="N2048" s="52" t="n">
        <v>0</v>
      </c>
      <c r="O2048" s="53" t="n">
        <v>0</v>
      </c>
      <c r="P2048" s="52" t="n">
        <v>0</v>
      </c>
      <c r="Q2048" s="53" t="n">
        <v>0</v>
      </c>
      <c r="R2048" s="52" t="n">
        <v>0</v>
      </c>
      <c r="S2048" s="51" t="n">
        <v>0</v>
      </c>
      <c r="T2048" s="48" t="n">
        <v>0</v>
      </c>
      <c r="U2048" s="49" t="n">
        <v>0</v>
      </c>
      <c r="V2048" s="49" t="n">
        <v>0</v>
      </c>
      <c r="W2048" s="50" t="n">
        <v>0</v>
      </c>
      <c r="X2048" s="51" t="n">
        <v>0</v>
      </c>
      <c r="Y2048" s="52" t="n">
        <v>0</v>
      </c>
      <c r="Z2048" s="52" t="n">
        <v>0</v>
      </c>
      <c r="AA2048" s="52" t="n">
        <v>0</v>
      </c>
      <c r="AB2048" s="53" t="n">
        <v>0</v>
      </c>
      <c r="AC2048" s="52" t="n">
        <v>0</v>
      </c>
      <c r="AD2048" s="53" t="n">
        <v>0</v>
      </c>
      <c r="AE2048" s="52" t="n">
        <v>0</v>
      </c>
      <c r="AF2048" s="51" t="n">
        <v>0</v>
      </c>
      <c r="AG2048" s="48" t="n">
        <v>0</v>
      </c>
      <c r="AH2048" s="49" t="n">
        <v>0</v>
      </c>
      <c r="AI2048" s="49" t="n">
        <v>0</v>
      </c>
      <c r="AJ2048" s="50" t="n">
        <v>0</v>
      </c>
      <c r="AK2048" s="51" t="n">
        <v>0</v>
      </c>
      <c r="AL2048" s="52" t="n">
        <v>0</v>
      </c>
      <c r="AM2048" s="52" t="n">
        <v>0</v>
      </c>
      <c r="AN2048" s="52" t="n">
        <v>0</v>
      </c>
      <c r="AO2048" s="53" t="n">
        <v>0</v>
      </c>
      <c r="AP2048" s="52" t="n">
        <v>0</v>
      </c>
      <c r="AQ2048" s="53" t="n">
        <v>0</v>
      </c>
      <c r="AR2048" s="52" t="n">
        <v>0</v>
      </c>
      <c r="AS2048" s="51" t="n">
        <v>0</v>
      </c>
      <c r="AT2048" s="48" t="n">
        <v>0</v>
      </c>
      <c r="AU2048" s="49" t="n">
        <v>0</v>
      </c>
      <c r="AV2048" s="49" t="n">
        <v>0</v>
      </c>
      <c r="AW2048" s="50" t="n">
        <v>0</v>
      </c>
      <c r="AX2048" s="51" t="n">
        <v>0</v>
      </c>
      <c r="AY2048" s="52" t="n">
        <v>0</v>
      </c>
      <c r="AZ2048" s="52" t="n">
        <v>0</v>
      </c>
      <c r="BA2048" s="52" t="n">
        <v>0</v>
      </c>
      <c r="BB2048" s="53" t="n">
        <v>0</v>
      </c>
      <c r="BC2048" s="52" t="n">
        <v>0</v>
      </c>
      <c r="BD2048" s="53" t="n">
        <v>0</v>
      </c>
      <c r="BE2048" s="52" t="n">
        <v>0</v>
      </c>
      <c r="BF2048" s="51" t="n">
        <v>0</v>
      </c>
    </row>
    <row r="2049">
      <c r="A2049">
        <f>HYPERLINK("https://www.walmart.com/ip/2294619630", "2294619630")</f>
        <v/>
      </c>
      <c r="B2049" t="inlineStr">
        <is>
          <t>Catalonia Wearable Fleece Blanket with Sleeves and Foot Pockets for Adult Women Men, Micro Plush Comfy Wrap Sleeved Throw Blanket Robe Large, Southwest Star</t>
        </is>
      </c>
      <c r="C2049" t="inlineStr">
        <is>
          <t>1CTSN101SWSTAR</t>
        </is>
      </c>
      <c r="D2049" t="inlineStr">
        <is>
          <t>Throws</t>
        </is>
      </c>
      <c r="E2049" t="inlineStr">
        <is>
          <t>Catalonia</t>
        </is>
      </c>
      <c r="F2049" t="inlineStr">
        <is>
          <t>Fleece Blankets</t>
        </is>
      </c>
      <c r="G2049" s="48" t="n">
        <v>0</v>
      </c>
      <c r="H2049" s="49" t="n">
        <v>0</v>
      </c>
      <c r="I2049" s="49" t="n">
        <v>0</v>
      </c>
      <c r="J2049" s="50" t="n">
        <v>0</v>
      </c>
      <c r="K2049" s="51" t="n">
        <v>0</v>
      </c>
      <c r="L2049" s="52" t="n">
        <v>0</v>
      </c>
      <c r="M2049" s="52" t="n">
        <v>0</v>
      </c>
      <c r="N2049" s="52" t="n">
        <v>0</v>
      </c>
      <c r="O2049" s="53" t="n">
        <v>0</v>
      </c>
      <c r="P2049" s="52" t="n">
        <v>0</v>
      </c>
      <c r="Q2049" s="53" t="n">
        <v>0</v>
      </c>
      <c r="R2049" s="52" t="n">
        <v>0</v>
      </c>
      <c r="S2049" s="51" t="n">
        <v>0</v>
      </c>
      <c r="T2049" s="48" t="n">
        <v>0</v>
      </c>
      <c r="U2049" s="49" t="n">
        <v>0</v>
      </c>
      <c r="V2049" s="49" t="n">
        <v>0</v>
      </c>
      <c r="W2049" s="50" t="n">
        <v>0</v>
      </c>
      <c r="X2049" s="51" t="n">
        <v>0</v>
      </c>
      <c r="Y2049" s="52" t="n">
        <v>0</v>
      </c>
      <c r="Z2049" s="52" t="n">
        <v>0</v>
      </c>
      <c r="AA2049" s="52" t="n">
        <v>0</v>
      </c>
      <c r="AB2049" s="53" t="n">
        <v>0</v>
      </c>
      <c r="AC2049" s="52" t="n">
        <v>0</v>
      </c>
      <c r="AD2049" s="53" t="n">
        <v>0</v>
      </c>
      <c r="AE2049" s="52" t="n">
        <v>0</v>
      </c>
      <c r="AF2049" s="51" t="n">
        <v>0</v>
      </c>
      <c r="AG2049" s="48" t="n">
        <v>0</v>
      </c>
      <c r="AH2049" s="49" t="n">
        <v>0</v>
      </c>
      <c r="AI2049" s="49" t="n">
        <v>0</v>
      </c>
      <c r="AJ2049" s="50" t="n">
        <v>0</v>
      </c>
      <c r="AK2049" s="51" t="n">
        <v>0</v>
      </c>
      <c r="AL2049" s="52" t="n">
        <v>0</v>
      </c>
      <c r="AM2049" s="52" t="n">
        <v>0</v>
      </c>
      <c r="AN2049" s="52" t="n">
        <v>0</v>
      </c>
      <c r="AO2049" s="53" t="n">
        <v>0</v>
      </c>
      <c r="AP2049" s="52" t="n">
        <v>0</v>
      </c>
      <c r="AQ2049" s="53" t="n">
        <v>0</v>
      </c>
      <c r="AR2049" s="52" t="n">
        <v>0</v>
      </c>
      <c r="AS2049" s="51" t="n">
        <v>0</v>
      </c>
      <c r="AT2049" s="48" t="n">
        <v>0</v>
      </c>
      <c r="AU2049" s="49" t="n">
        <v>0</v>
      </c>
      <c r="AV2049" s="49" t="n">
        <v>0</v>
      </c>
      <c r="AW2049" s="50" t="n">
        <v>0</v>
      </c>
      <c r="AX2049" s="51" t="n">
        <v>0</v>
      </c>
      <c r="AY2049" s="52" t="n">
        <v>0</v>
      </c>
      <c r="AZ2049" s="52" t="n">
        <v>0</v>
      </c>
      <c r="BA2049" s="52" t="n">
        <v>0</v>
      </c>
      <c r="BB2049" s="53" t="n">
        <v>0</v>
      </c>
      <c r="BC2049" s="52" t="n">
        <v>0</v>
      </c>
      <c r="BD2049" s="53" t="n">
        <v>0</v>
      </c>
      <c r="BE2049" s="52" t="n">
        <v>0</v>
      </c>
      <c r="BF2049" s="51" t="n">
        <v>0</v>
      </c>
    </row>
    <row r="2050">
      <c r="A2050">
        <f>HYPERLINK("https://www.walmart.com/ip/229712908", "229712908")</f>
        <v/>
      </c>
      <c r="B2050" t="inlineStr">
        <is>
          <t>Kato Insulated Lunch Bag for Women and Men, Leakproof Portable Cooler with Dual Compartments, Double Deck, Front Pockets, Zipper Closure for School, Office Work, Outdoor Activities, Medium Size, Black</t>
        </is>
      </c>
      <c r="C2050" t="inlineStr">
        <is>
          <t>1KTLB300BKBK</t>
        </is>
      </c>
      <c r="D2050" t="inlineStr">
        <is>
          <t>Reusable Lunch Bags &amp; Boxes</t>
        </is>
      </c>
      <c r="E2050" t="inlineStr">
        <is>
          <t>Kato</t>
        </is>
      </c>
      <c r="F2050" t="inlineStr">
        <is>
          <t>Lunch Bag,WFS,Lunch Bags,SEM,WFS Item</t>
        </is>
      </c>
      <c r="G2050" s="48" t="n">
        <v>0</v>
      </c>
      <c r="H2050" s="49" t="n">
        <v>0</v>
      </c>
      <c r="I2050" s="49" t="n">
        <v>0</v>
      </c>
      <c r="J2050" s="50" t="n">
        <v>0</v>
      </c>
      <c r="K2050" s="51" t="n">
        <v>0</v>
      </c>
      <c r="L2050" s="52" t="n">
        <v>0</v>
      </c>
      <c r="M2050" s="52" t="n">
        <v>0</v>
      </c>
      <c r="N2050" s="52" t="n">
        <v>0</v>
      </c>
      <c r="O2050" s="53" t="n">
        <v>0</v>
      </c>
      <c r="P2050" s="52" t="n">
        <v>0</v>
      </c>
      <c r="Q2050" s="53" t="n">
        <v>0</v>
      </c>
      <c r="R2050" s="52" t="n">
        <v>0</v>
      </c>
      <c r="S2050" s="51" t="n">
        <v>0</v>
      </c>
      <c r="T2050" s="48" t="n">
        <v>0</v>
      </c>
      <c r="U2050" s="49" t="n">
        <v>0</v>
      </c>
      <c r="V2050" s="49" t="n">
        <v>0</v>
      </c>
      <c r="W2050" s="50" t="n">
        <v>0</v>
      </c>
      <c r="X2050" s="51" t="n">
        <v>0</v>
      </c>
      <c r="Y2050" s="52" t="n">
        <v>0</v>
      </c>
      <c r="Z2050" s="52" t="n">
        <v>0</v>
      </c>
      <c r="AA2050" s="52" t="n">
        <v>0</v>
      </c>
      <c r="AB2050" s="53" t="n">
        <v>0</v>
      </c>
      <c r="AC2050" s="52" t="n">
        <v>0</v>
      </c>
      <c r="AD2050" s="53" t="n">
        <v>0</v>
      </c>
      <c r="AE2050" s="52" t="n">
        <v>0</v>
      </c>
      <c r="AF2050" s="51" t="n">
        <v>0</v>
      </c>
      <c r="AG2050" s="48" t="n">
        <v>0</v>
      </c>
      <c r="AH2050" s="49" t="n">
        <v>0</v>
      </c>
      <c r="AI2050" s="49" t="n">
        <v>0</v>
      </c>
      <c r="AJ2050" s="50" t="n">
        <v>0</v>
      </c>
      <c r="AK2050" s="51" t="n">
        <v>0</v>
      </c>
      <c r="AL2050" s="52" t="n">
        <v>0</v>
      </c>
      <c r="AM2050" s="52" t="n">
        <v>0</v>
      </c>
      <c r="AN2050" s="52" t="n">
        <v>0</v>
      </c>
      <c r="AO2050" s="53" t="n">
        <v>0</v>
      </c>
      <c r="AP2050" s="52" t="n">
        <v>0</v>
      </c>
      <c r="AQ2050" s="53" t="n">
        <v>0</v>
      </c>
      <c r="AR2050" s="52" t="n">
        <v>0</v>
      </c>
      <c r="AS2050" s="51" t="n">
        <v>0</v>
      </c>
      <c r="AT2050" s="48" t="n">
        <v>0</v>
      </c>
      <c r="AU2050" s="49" t="n">
        <v>0</v>
      </c>
      <c r="AV2050" s="49" t="n">
        <v>0</v>
      </c>
      <c r="AW2050" s="50" t="n">
        <v>0</v>
      </c>
      <c r="AX2050" s="51" t="n">
        <v>0</v>
      </c>
      <c r="AY2050" s="52" t="n">
        <v>0</v>
      </c>
      <c r="AZ2050" s="52" t="n">
        <v>0</v>
      </c>
      <c r="BA2050" s="52" t="n">
        <v>0</v>
      </c>
      <c r="BB2050" s="53" t="n">
        <v>0</v>
      </c>
      <c r="BC2050" s="52" t="n">
        <v>0</v>
      </c>
      <c r="BD2050" s="53" t="n">
        <v>0</v>
      </c>
      <c r="BE2050" s="52" t="n">
        <v>0</v>
      </c>
      <c r="BF2050" s="51" t="n">
        <v>0</v>
      </c>
    </row>
    <row r="2051">
      <c r="A2051">
        <f>HYPERLINK("https://www.walmart.com/ip/230127046", "230127046")</f>
        <v/>
      </c>
      <c r="B2051" t="inlineStr">
        <is>
          <t>Medium Pet Travel Backpack Carrier for Dogs Cat Animal Puppy, Breathable Mesh Net Removable Sherpa Bed Outdoor Carrier f</t>
        </is>
      </c>
      <c r="C2051" t="inlineStr">
        <is>
          <t>1WMPB200CH</t>
        </is>
      </c>
      <c r="D2051" t="inlineStr">
        <is>
          <t>Pet Carriers</t>
        </is>
      </c>
      <c r="E2051" t="inlineStr">
        <is>
          <t>Flyingstar</t>
        </is>
      </c>
      <c r="F2051" t="inlineStr">
        <is>
          <t>Optimized</t>
        </is>
      </c>
      <c r="G2051" s="48" t="n">
        <v>0</v>
      </c>
      <c r="H2051" s="49" t="n">
        <v>0</v>
      </c>
      <c r="I2051" s="49" t="n">
        <v>0</v>
      </c>
      <c r="J2051" s="50" t="n">
        <v>0</v>
      </c>
      <c r="K2051" s="51" t="n">
        <v>0</v>
      </c>
      <c r="L2051" s="52" t="n">
        <v>0</v>
      </c>
      <c r="M2051" s="52" t="n">
        <v>0</v>
      </c>
      <c r="N2051" s="52" t="n">
        <v>0</v>
      </c>
      <c r="O2051" s="53" t="n">
        <v>0</v>
      </c>
      <c r="P2051" s="52" t="n">
        <v>0</v>
      </c>
      <c r="Q2051" s="53" t="n">
        <v>0</v>
      </c>
      <c r="R2051" s="52" t="n">
        <v>0</v>
      </c>
      <c r="S2051" s="51" t="n">
        <v>0</v>
      </c>
      <c r="T2051" s="48" t="n">
        <v>0</v>
      </c>
      <c r="U2051" s="49" t="n">
        <v>0</v>
      </c>
      <c r="V2051" s="49" t="n">
        <v>0</v>
      </c>
      <c r="W2051" s="50" t="n">
        <v>0</v>
      </c>
      <c r="X2051" s="51" t="n">
        <v>0</v>
      </c>
      <c r="Y2051" s="52" t="n">
        <v>0</v>
      </c>
      <c r="Z2051" s="52" t="n">
        <v>0</v>
      </c>
      <c r="AA2051" s="52" t="n">
        <v>0</v>
      </c>
      <c r="AB2051" s="53" t="n">
        <v>0</v>
      </c>
      <c r="AC2051" s="52" t="n">
        <v>0</v>
      </c>
      <c r="AD2051" s="53" t="n">
        <v>0</v>
      </c>
      <c r="AE2051" s="52" t="n">
        <v>0</v>
      </c>
      <c r="AF2051" s="51" t="n">
        <v>0</v>
      </c>
      <c r="AG2051" s="48" t="n">
        <v>0</v>
      </c>
      <c r="AH2051" s="49" t="n">
        <v>0</v>
      </c>
      <c r="AI2051" s="49" t="n">
        <v>0</v>
      </c>
      <c r="AJ2051" s="50" t="n">
        <v>0</v>
      </c>
      <c r="AK2051" s="51" t="n">
        <v>0</v>
      </c>
      <c r="AL2051" s="52" t="n">
        <v>0</v>
      </c>
      <c r="AM2051" s="52" t="n">
        <v>0</v>
      </c>
      <c r="AN2051" s="52" t="n">
        <v>0</v>
      </c>
      <c r="AO2051" s="53" t="n">
        <v>0</v>
      </c>
      <c r="AP2051" s="52" t="n">
        <v>0</v>
      </c>
      <c r="AQ2051" s="53" t="n">
        <v>0</v>
      </c>
      <c r="AR2051" s="52" t="n">
        <v>0</v>
      </c>
      <c r="AS2051" s="51" t="n">
        <v>0</v>
      </c>
      <c r="AT2051" s="48" t="n">
        <v>0</v>
      </c>
      <c r="AU2051" s="49" t="n">
        <v>0</v>
      </c>
      <c r="AV2051" s="49" t="n">
        <v>0</v>
      </c>
      <c r="AW2051" s="50" t="n">
        <v>0</v>
      </c>
      <c r="AX2051" s="51" t="n">
        <v>0</v>
      </c>
      <c r="AY2051" s="52" t="n">
        <v>0</v>
      </c>
      <c r="AZ2051" s="52" t="n">
        <v>0</v>
      </c>
      <c r="BA2051" s="52" t="n">
        <v>0</v>
      </c>
      <c r="BB2051" s="53" t="n">
        <v>0</v>
      </c>
      <c r="BC2051" s="52" t="n">
        <v>0</v>
      </c>
      <c r="BD2051" s="53" t="n">
        <v>0</v>
      </c>
      <c r="BE2051" s="52" t="n">
        <v>0</v>
      </c>
      <c r="BF2051" s="51" t="n">
        <v>0</v>
      </c>
    </row>
    <row r="2052">
      <c r="A2052">
        <f>HYPERLINK("https://www.walmart.com/ip/230608270", "230608270")</f>
        <v/>
      </c>
      <c r="B2052" t="inlineStr">
        <is>
          <t>Catalonia Mermaid Tail Blanket, Adult Mermaid Blanket with Anti-Slip Neck Strap, Silky Hand Knitted Sleeping Blanket for Adults All Season Sleeping Bag Multi-Colors 66.5"x22.5" Purple</t>
        </is>
      </c>
      <c r="C2052" t="inlineStr">
        <is>
          <t>1CTMM100PP</t>
        </is>
      </c>
      <c r="D2052" t="inlineStr">
        <is>
          <t>Throws</t>
        </is>
      </c>
      <c r="E2052" t="inlineStr">
        <is>
          <t>Catalonia</t>
        </is>
      </c>
      <c r="F2052" t="inlineStr">
        <is>
          <t>Optimized</t>
        </is>
      </c>
      <c r="G2052" s="48" t="n">
        <v>0</v>
      </c>
      <c r="H2052" s="49" t="n">
        <v>0</v>
      </c>
      <c r="I2052" s="49" t="n">
        <v>0</v>
      </c>
      <c r="J2052" s="50" t="n">
        <v>0</v>
      </c>
      <c r="K2052" s="51" t="n">
        <v>0</v>
      </c>
      <c r="L2052" s="52" t="n">
        <v>0</v>
      </c>
      <c r="M2052" s="52" t="n">
        <v>0</v>
      </c>
      <c r="N2052" s="52" t="n">
        <v>0</v>
      </c>
      <c r="O2052" s="53" t="n">
        <v>0</v>
      </c>
      <c r="P2052" s="52" t="n">
        <v>0</v>
      </c>
      <c r="Q2052" s="53" t="n">
        <v>0</v>
      </c>
      <c r="R2052" s="52" t="n">
        <v>0</v>
      </c>
      <c r="S2052" s="51" t="n">
        <v>0</v>
      </c>
      <c r="T2052" s="48" t="n">
        <v>0</v>
      </c>
      <c r="U2052" s="49" t="n">
        <v>0</v>
      </c>
      <c r="V2052" s="49" t="n">
        <v>0</v>
      </c>
      <c r="W2052" s="50" t="n">
        <v>0</v>
      </c>
      <c r="X2052" s="51" t="n">
        <v>0</v>
      </c>
      <c r="Y2052" s="52" t="n">
        <v>0</v>
      </c>
      <c r="Z2052" s="52" t="n">
        <v>0</v>
      </c>
      <c r="AA2052" s="52" t="n">
        <v>0</v>
      </c>
      <c r="AB2052" s="53" t="n">
        <v>0</v>
      </c>
      <c r="AC2052" s="52" t="n">
        <v>0</v>
      </c>
      <c r="AD2052" s="53" t="n">
        <v>0</v>
      </c>
      <c r="AE2052" s="52" t="n">
        <v>0</v>
      </c>
      <c r="AF2052" s="51" t="n">
        <v>0</v>
      </c>
      <c r="AG2052" s="48" t="n">
        <v>0</v>
      </c>
      <c r="AH2052" s="49" t="n">
        <v>0</v>
      </c>
      <c r="AI2052" s="49" t="n">
        <v>0</v>
      </c>
      <c r="AJ2052" s="50" t="n">
        <v>0</v>
      </c>
      <c r="AK2052" s="51" t="n">
        <v>0</v>
      </c>
      <c r="AL2052" s="52" t="n">
        <v>0</v>
      </c>
      <c r="AM2052" s="52" t="n">
        <v>0</v>
      </c>
      <c r="AN2052" s="52" t="n">
        <v>0</v>
      </c>
      <c r="AO2052" s="53" t="n">
        <v>0</v>
      </c>
      <c r="AP2052" s="52" t="n">
        <v>0</v>
      </c>
      <c r="AQ2052" s="53" t="n">
        <v>0</v>
      </c>
      <c r="AR2052" s="52" t="n">
        <v>0</v>
      </c>
      <c r="AS2052" s="51" t="n">
        <v>0</v>
      </c>
      <c r="AT2052" s="48" t="n">
        <v>0</v>
      </c>
      <c r="AU2052" s="49" t="n">
        <v>0</v>
      </c>
      <c r="AV2052" s="49" t="n">
        <v>0</v>
      </c>
      <c r="AW2052" s="50" t="n">
        <v>0</v>
      </c>
      <c r="AX2052" s="51" t="n">
        <v>0</v>
      </c>
      <c r="AY2052" s="52" t="n">
        <v>0</v>
      </c>
      <c r="AZ2052" s="52" t="n">
        <v>0</v>
      </c>
      <c r="BA2052" s="52" t="n">
        <v>0</v>
      </c>
      <c r="BB2052" s="53" t="n">
        <v>0</v>
      </c>
      <c r="BC2052" s="52" t="n">
        <v>0</v>
      </c>
      <c r="BD2052" s="53" t="n">
        <v>0</v>
      </c>
      <c r="BE2052" s="52" t="n">
        <v>0</v>
      </c>
      <c r="BF2052" s="51" t="n">
        <v>0</v>
      </c>
    </row>
    <row r="2053">
      <c r="A2053">
        <f>HYPERLINK("https://www.walmart.com/ip/2317257431", "2317257431")</f>
        <v/>
      </c>
      <c r="B2053" t="inlineStr">
        <is>
          <t>Catalonia Wearable Fleece Blanket with Sleeves and Pocket, Soft, Cozy Plush Fleece Wrap Throw Blanket Robe, One Size Fits All, Aqua, 71" x 51"</t>
        </is>
      </c>
      <c r="C2053" t="inlineStr">
        <is>
          <t>1CTSN150AQ</t>
        </is>
      </c>
      <c r="D2053" t="inlineStr">
        <is>
          <t>Throws</t>
        </is>
      </c>
      <c r="E2053" t="inlineStr">
        <is>
          <t>Catalonia</t>
        </is>
      </c>
      <c r="F2053" t="inlineStr">
        <is>
          <t>Batch 1 - TR</t>
        </is>
      </c>
      <c r="G2053" s="48" t="n">
        <v>0</v>
      </c>
      <c r="H2053" s="49" t="n">
        <v>0</v>
      </c>
      <c r="I2053" s="49" t="n">
        <v>0</v>
      </c>
      <c r="J2053" s="50" t="n">
        <v>0</v>
      </c>
      <c r="K2053" s="51" t="n">
        <v>0</v>
      </c>
      <c r="L2053" s="52" t="n">
        <v>0</v>
      </c>
      <c r="M2053" s="52" t="n">
        <v>0</v>
      </c>
      <c r="N2053" s="52" t="n">
        <v>0</v>
      </c>
      <c r="O2053" s="53" t="n">
        <v>0</v>
      </c>
      <c r="P2053" s="52" t="n">
        <v>0</v>
      </c>
      <c r="Q2053" s="53" t="n">
        <v>0</v>
      </c>
      <c r="R2053" s="52" t="n">
        <v>0</v>
      </c>
      <c r="S2053" s="51" t="n">
        <v>0</v>
      </c>
      <c r="T2053" s="48" t="n">
        <v>0</v>
      </c>
      <c r="U2053" s="49" t="n">
        <v>0</v>
      </c>
      <c r="V2053" s="49" t="n">
        <v>0</v>
      </c>
      <c r="W2053" s="50" t="n">
        <v>0</v>
      </c>
      <c r="X2053" s="51" t="n">
        <v>0</v>
      </c>
      <c r="Y2053" s="52" t="n">
        <v>0</v>
      </c>
      <c r="Z2053" s="52" t="n">
        <v>0</v>
      </c>
      <c r="AA2053" s="52" t="n">
        <v>0</v>
      </c>
      <c r="AB2053" s="53" t="n">
        <v>0</v>
      </c>
      <c r="AC2053" s="52" t="n">
        <v>0</v>
      </c>
      <c r="AD2053" s="53" t="n">
        <v>0</v>
      </c>
      <c r="AE2053" s="52" t="n">
        <v>0</v>
      </c>
      <c r="AF2053" s="51" t="n">
        <v>0</v>
      </c>
      <c r="AG2053" s="48" t="n">
        <v>0</v>
      </c>
      <c r="AH2053" s="49" t="n">
        <v>0</v>
      </c>
      <c r="AI2053" s="49" t="n">
        <v>0</v>
      </c>
      <c r="AJ2053" s="50" t="n">
        <v>0</v>
      </c>
      <c r="AK2053" s="51" t="n">
        <v>0</v>
      </c>
      <c r="AL2053" s="52" t="n">
        <v>0</v>
      </c>
      <c r="AM2053" s="52" t="n">
        <v>0</v>
      </c>
      <c r="AN2053" s="52" t="n">
        <v>0</v>
      </c>
      <c r="AO2053" s="53" t="n">
        <v>0</v>
      </c>
      <c r="AP2053" s="52" t="n">
        <v>0</v>
      </c>
      <c r="AQ2053" s="53" t="n">
        <v>0</v>
      </c>
      <c r="AR2053" s="52" t="n">
        <v>0</v>
      </c>
      <c r="AS2053" s="51" t="n">
        <v>0</v>
      </c>
      <c r="AT2053" s="48" t="n">
        <v>0</v>
      </c>
      <c r="AU2053" s="49" t="n">
        <v>0</v>
      </c>
      <c r="AV2053" s="49" t="n">
        <v>0</v>
      </c>
      <c r="AW2053" s="50" t="n">
        <v>0</v>
      </c>
      <c r="AX2053" s="51" t="n">
        <v>0</v>
      </c>
      <c r="AY2053" s="52" t="n">
        <v>0</v>
      </c>
      <c r="AZ2053" s="52" t="n">
        <v>0</v>
      </c>
      <c r="BA2053" s="52" t="n">
        <v>0</v>
      </c>
      <c r="BB2053" s="53" t="n">
        <v>0</v>
      </c>
      <c r="BC2053" s="52" t="n">
        <v>0</v>
      </c>
      <c r="BD2053" s="53" t="n">
        <v>0</v>
      </c>
      <c r="BE2053" s="52" t="n">
        <v>0</v>
      </c>
      <c r="BF2053" s="51" t="n">
        <v>0</v>
      </c>
    </row>
    <row r="2054">
      <c r="A2054">
        <f>HYPERLINK("https://www.walmart.com/ip/2328124549", "2328124549")</f>
        <v/>
      </c>
      <c r="B2054" t="inlineStr">
        <is>
          <t>Catalonia Wearable TV Blanket with Sleeves Arms Micro Plush Fleece Wrap Throw Robe 73 x 51”</t>
        </is>
      </c>
      <c r="C2054" t="inlineStr">
        <is>
          <t>1CTSN150P2RD</t>
        </is>
      </c>
      <c r="D2054" t="inlineStr">
        <is>
          <t>Throws</t>
        </is>
      </c>
      <c r="E2054" t="inlineStr">
        <is>
          <t>Catalonia</t>
        </is>
      </c>
      <c r="F2054" t="inlineStr">
        <is>
          <t>Batch 1 - TR</t>
        </is>
      </c>
      <c r="G2054" s="48" t="n">
        <v>0</v>
      </c>
      <c r="H2054" s="49" t="n">
        <v>0</v>
      </c>
      <c r="I2054" s="49" t="n">
        <v>0</v>
      </c>
      <c r="J2054" s="50" t="n">
        <v>0</v>
      </c>
      <c r="K2054" s="51" t="n">
        <v>0</v>
      </c>
      <c r="L2054" s="52" t="n">
        <v>0</v>
      </c>
      <c r="M2054" s="52" t="n">
        <v>0</v>
      </c>
      <c r="N2054" s="52" t="n">
        <v>0</v>
      </c>
      <c r="O2054" s="53" t="n">
        <v>0</v>
      </c>
      <c r="P2054" s="52" t="n">
        <v>0</v>
      </c>
      <c r="Q2054" s="53" t="n">
        <v>0</v>
      </c>
      <c r="R2054" s="52" t="n">
        <v>0</v>
      </c>
      <c r="S2054" s="51" t="n">
        <v>0</v>
      </c>
      <c r="T2054" s="48" t="n">
        <v>0</v>
      </c>
      <c r="U2054" s="49" t="n">
        <v>0</v>
      </c>
      <c r="V2054" s="49" t="n">
        <v>0</v>
      </c>
      <c r="W2054" s="50" t="n">
        <v>0</v>
      </c>
      <c r="X2054" s="51" t="n">
        <v>0</v>
      </c>
      <c r="Y2054" s="52" t="n">
        <v>0</v>
      </c>
      <c r="Z2054" s="52" t="n">
        <v>0</v>
      </c>
      <c r="AA2054" s="52" t="n">
        <v>0</v>
      </c>
      <c r="AB2054" s="53" t="n">
        <v>0</v>
      </c>
      <c r="AC2054" s="52" t="n">
        <v>0</v>
      </c>
      <c r="AD2054" s="53" t="n">
        <v>0</v>
      </c>
      <c r="AE2054" s="52" t="n">
        <v>0</v>
      </c>
      <c r="AF2054" s="51" t="n">
        <v>0</v>
      </c>
      <c r="AG2054" s="48" t="n">
        <v>0</v>
      </c>
      <c r="AH2054" s="49" t="n">
        <v>0</v>
      </c>
      <c r="AI2054" s="49" t="n">
        <v>0</v>
      </c>
      <c r="AJ2054" s="50" t="n">
        <v>0</v>
      </c>
      <c r="AK2054" s="51" t="n">
        <v>0</v>
      </c>
      <c r="AL2054" s="52" t="n">
        <v>0</v>
      </c>
      <c r="AM2054" s="52" t="n">
        <v>0</v>
      </c>
      <c r="AN2054" s="52" t="n">
        <v>0</v>
      </c>
      <c r="AO2054" s="53" t="n">
        <v>0</v>
      </c>
      <c r="AP2054" s="52" t="n">
        <v>0</v>
      </c>
      <c r="AQ2054" s="53" t="n">
        <v>0</v>
      </c>
      <c r="AR2054" s="52" t="n">
        <v>0</v>
      </c>
      <c r="AS2054" s="51" t="n">
        <v>0</v>
      </c>
      <c r="AT2054" s="48" t="n">
        <v>0</v>
      </c>
      <c r="AU2054" s="49" t="n">
        <v>0</v>
      </c>
      <c r="AV2054" s="49" t="n">
        <v>0</v>
      </c>
      <c r="AW2054" s="50" t="n">
        <v>0</v>
      </c>
      <c r="AX2054" s="51" t="n">
        <v>0</v>
      </c>
      <c r="AY2054" s="52" t="n">
        <v>0</v>
      </c>
      <c r="AZ2054" s="52" t="n">
        <v>0</v>
      </c>
      <c r="BA2054" s="52" t="n">
        <v>0</v>
      </c>
      <c r="BB2054" s="53" t="n">
        <v>0</v>
      </c>
      <c r="BC2054" s="52" t="n">
        <v>0</v>
      </c>
      <c r="BD2054" s="53" t="n">
        <v>0</v>
      </c>
      <c r="BE2054" s="52" t="n">
        <v>0</v>
      </c>
      <c r="BF2054" s="51" t="n">
        <v>0</v>
      </c>
    </row>
    <row r="2055">
      <c r="A2055">
        <f>HYPERLINK("https://www.walmart.com/ip/233444548", "233444548")</f>
        <v/>
      </c>
      <c r="B2055" t="inlineStr">
        <is>
          <t>Catalonia Long Kinky Curly Wig Lace Front,Synthetic Fiber Deep Wave Hair Replacement Wig 19 Inch</t>
        </is>
      </c>
      <c r="C2055" t="inlineStr">
        <is>
          <t>1CTWIG001-4-ESCB</t>
        </is>
      </c>
      <c r="D2055" t="inlineStr">
        <is>
          <t>Wigs &amp; Toupees</t>
        </is>
      </c>
      <c r="E2055" t="inlineStr">
        <is>
          <t>Catalonia</t>
        </is>
      </c>
      <c r="G2055" s="48" t="n">
        <v>0</v>
      </c>
      <c r="H2055" s="49" t="n">
        <v>0</v>
      </c>
      <c r="I2055" s="49" t="n">
        <v>0</v>
      </c>
      <c r="J2055" s="50" t="n">
        <v>0</v>
      </c>
      <c r="K2055" s="51" t="n">
        <v>0</v>
      </c>
      <c r="L2055" s="52" t="n">
        <v>0</v>
      </c>
      <c r="M2055" s="52" t="n">
        <v>0</v>
      </c>
      <c r="N2055" s="52" t="n">
        <v>0</v>
      </c>
      <c r="O2055" s="53" t="n">
        <v>0</v>
      </c>
      <c r="P2055" s="52" t="n">
        <v>0</v>
      </c>
      <c r="Q2055" s="53" t="n">
        <v>0</v>
      </c>
      <c r="R2055" s="52" t="n">
        <v>0</v>
      </c>
      <c r="S2055" s="51" t="n">
        <v>0</v>
      </c>
      <c r="T2055" s="48" t="n">
        <v>0</v>
      </c>
      <c r="U2055" s="49" t="n">
        <v>0</v>
      </c>
      <c r="V2055" s="49" t="n">
        <v>0</v>
      </c>
      <c r="W2055" s="50" t="n">
        <v>0</v>
      </c>
      <c r="X2055" s="51" t="n">
        <v>0</v>
      </c>
      <c r="Y2055" s="52" t="n">
        <v>0</v>
      </c>
      <c r="Z2055" s="52" t="n">
        <v>0</v>
      </c>
      <c r="AA2055" s="52" t="n">
        <v>0</v>
      </c>
      <c r="AB2055" s="53" t="n">
        <v>0</v>
      </c>
      <c r="AC2055" s="52" t="n">
        <v>0</v>
      </c>
      <c r="AD2055" s="53" t="n">
        <v>0</v>
      </c>
      <c r="AE2055" s="52" t="n">
        <v>0</v>
      </c>
      <c r="AF2055" s="51" t="n">
        <v>0</v>
      </c>
      <c r="AG2055" s="48" t="n">
        <v>0</v>
      </c>
      <c r="AH2055" s="49" t="n">
        <v>0</v>
      </c>
      <c r="AI2055" s="49" t="n">
        <v>0</v>
      </c>
      <c r="AJ2055" s="50" t="n">
        <v>0</v>
      </c>
      <c r="AK2055" s="51" t="n">
        <v>0</v>
      </c>
      <c r="AL2055" s="52" t="n">
        <v>0</v>
      </c>
      <c r="AM2055" s="52" t="n">
        <v>0</v>
      </c>
      <c r="AN2055" s="52" t="n">
        <v>0</v>
      </c>
      <c r="AO2055" s="53" t="n">
        <v>0</v>
      </c>
      <c r="AP2055" s="52" t="n">
        <v>0</v>
      </c>
      <c r="AQ2055" s="53" t="n">
        <v>0</v>
      </c>
      <c r="AR2055" s="52" t="n">
        <v>0</v>
      </c>
      <c r="AS2055" s="51" t="n">
        <v>0</v>
      </c>
      <c r="AT2055" s="48" t="n">
        <v>0</v>
      </c>
      <c r="AU2055" s="49" t="n">
        <v>0</v>
      </c>
      <c r="AV2055" s="49" t="n">
        <v>0</v>
      </c>
      <c r="AW2055" s="50" t="n">
        <v>0</v>
      </c>
      <c r="AX2055" s="51" t="n">
        <v>0</v>
      </c>
      <c r="AY2055" s="52" t="n">
        <v>0</v>
      </c>
      <c r="AZ2055" s="52" t="n">
        <v>0</v>
      </c>
      <c r="BA2055" s="52" t="n">
        <v>0</v>
      </c>
      <c r="BB2055" s="53" t="n">
        <v>0</v>
      </c>
      <c r="BC2055" s="52" t="n">
        <v>0</v>
      </c>
      <c r="BD2055" s="53" t="n">
        <v>0</v>
      </c>
      <c r="BE2055" s="52" t="n">
        <v>0</v>
      </c>
      <c r="BF2055" s="51" t="n">
        <v>0</v>
      </c>
    </row>
    <row r="2056">
      <c r="A2056">
        <f>HYPERLINK("https://www.walmart.com/ip/233540626", "233540626")</f>
        <v/>
      </c>
      <c r="B2056" t="inlineStr">
        <is>
          <t>Two-Piece Ladies Tankini Swimsuit for Women Swimsuits by Tirrinia</t>
        </is>
      </c>
      <c r="C2056" t="inlineStr">
        <is>
          <t>1TRSS003BL-XL</t>
        </is>
      </c>
      <c r="D2056" t="inlineStr">
        <is>
          <t>Swimsuit Sets</t>
        </is>
      </c>
      <c r="E2056" t="inlineStr">
        <is>
          <t>Tirrinia</t>
        </is>
      </c>
      <c r="G2056" s="48" t="n">
        <v>0</v>
      </c>
      <c r="H2056" s="49" t="n">
        <v>0</v>
      </c>
      <c r="I2056" s="49" t="n">
        <v>0</v>
      </c>
      <c r="J2056" s="50" t="n">
        <v>0</v>
      </c>
      <c r="K2056" s="51" t="n">
        <v>0</v>
      </c>
      <c r="L2056" s="52" t="n">
        <v>0</v>
      </c>
      <c r="M2056" s="52" t="n">
        <v>0</v>
      </c>
      <c r="N2056" s="52" t="n">
        <v>0</v>
      </c>
      <c r="O2056" s="53" t="n">
        <v>0</v>
      </c>
      <c r="P2056" s="52" t="n">
        <v>0</v>
      </c>
      <c r="Q2056" s="53" t="n">
        <v>0</v>
      </c>
      <c r="R2056" s="52" t="n">
        <v>0</v>
      </c>
      <c r="S2056" s="51" t="n">
        <v>0</v>
      </c>
      <c r="T2056" s="48" t="n">
        <v>0</v>
      </c>
      <c r="U2056" s="49" t="n">
        <v>0</v>
      </c>
      <c r="V2056" s="49" t="n">
        <v>0</v>
      </c>
      <c r="W2056" s="50" t="n">
        <v>0</v>
      </c>
      <c r="X2056" s="51" t="n">
        <v>0</v>
      </c>
      <c r="Y2056" s="52" t="n">
        <v>0</v>
      </c>
      <c r="Z2056" s="52" t="n">
        <v>0</v>
      </c>
      <c r="AA2056" s="52" t="n">
        <v>0</v>
      </c>
      <c r="AB2056" s="53" t="n">
        <v>0</v>
      </c>
      <c r="AC2056" s="52" t="n">
        <v>0</v>
      </c>
      <c r="AD2056" s="53" t="n">
        <v>0</v>
      </c>
      <c r="AE2056" s="52" t="n">
        <v>0</v>
      </c>
      <c r="AF2056" s="51" t="n">
        <v>0</v>
      </c>
      <c r="AG2056" s="48" t="n">
        <v>0</v>
      </c>
      <c r="AH2056" s="49" t="n">
        <v>0</v>
      </c>
      <c r="AI2056" s="49" t="n">
        <v>0</v>
      </c>
      <c r="AJ2056" s="50" t="n">
        <v>0</v>
      </c>
      <c r="AK2056" s="51" t="n">
        <v>0</v>
      </c>
      <c r="AL2056" s="52" t="n">
        <v>0</v>
      </c>
      <c r="AM2056" s="52" t="n">
        <v>0</v>
      </c>
      <c r="AN2056" s="52" t="n">
        <v>0</v>
      </c>
      <c r="AO2056" s="53" t="n">
        <v>0</v>
      </c>
      <c r="AP2056" s="52" t="n">
        <v>0</v>
      </c>
      <c r="AQ2056" s="53" t="n">
        <v>0</v>
      </c>
      <c r="AR2056" s="52" t="n">
        <v>0</v>
      </c>
      <c r="AS2056" s="51" t="n">
        <v>0</v>
      </c>
      <c r="AT2056" s="48" t="n">
        <v>0</v>
      </c>
      <c r="AU2056" s="49" t="n">
        <v>0</v>
      </c>
      <c r="AV2056" s="49" t="n">
        <v>0</v>
      </c>
      <c r="AW2056" s="50" t="n">
        <v>0</v>
      </c>
      <c r="AX2056" s="51" t="n">
        <v>0</v>
      </c>
      <c r="AY2056" s="52" t="n">
        <v>0</v>
      </c>
      <c r="AZ2056" s="52" t="n">
        <v>0</v>
      </c>
      <c r="BA2056" s="52" t="n">
        <v>0</v>
      </c>
      <c r="BB2056" s="53" t="n">
        <v>0</v>
      </c>
      <c r="BC2056" s="52" t="n">
        <v>0</v>
      </c>
      <c r="BD2056" s="53" t="n">
        <v>0</v>
      </c>
      <c r="BE2056" s="52" t="n">
        <v>0</v>
      </c>
      <c r="BF2056" s="51" t="n">
        <v>0</v>
      </c>
    </row>
    <row r="2057">
      <c r="A2057">
        <f>HYPERLINK("https://www.walmart.com/ip/233877568", "233877568")</f>
        <v/>
      </c>
      <c r="B2057" t="inlineStr">
        <is>
          <t>Catalonia Brazilian Curly Wigs, African American Black Women, Heat Resistance Fiber 16" Black</t>
        </is>
      </c>
      <c r="C2057" t="inlineStr">
        <is>
          <t>1CTWIG386-1B-ESCB</t>
        </is>
      </c>
      <c r="D2057" t="inlineStr">
        <is>
          <t>Wigs &amp; Toupees</t>
        </is>
      </c>
      <c r="E2057" t="inlineStr">
        <is>
          <t>Catalonia</t>
        </is>
      </c>
      <c r="G2057" s="48" t="n">
        <v>0</v>
      </c>
      <c r="H2057" s="49" t="n">
        <v>0</v>
      </c>
      <c r="I2057" s="49" t="n">
        <v>0</v>
      </c>
      <c r="J2057" s="50" t="n">
        <v>0</v>
      </c>
      <c r="K2057" s="51" t="n">
        <v>0</v>
      </c>
      <c r="L2057" s="52" t="n">
        <v>0</v>
      </c>
      <c r="M2057" s="52" t="n">
        <v>0</v>
      </c>
      <c r="N2057" s="52" t="n">
        <v>0</v>
      </c>
      <c r="O2057" s="53" t="n">
        <v>0</v>
      </c>
      <c r="P2057" s="52" t="n">
        <v>0</v>
      </c>
      <c r="Q2057" s="53" t="n">
        <v>0</v>
      </c>
      <c r="R2057" s="52" t="n">
        <v>0</v>
      </c>
      <c r="S2057" s="51" t="n">
        <v>0</v>
      </c>
      <c r="T2057" s="48" t="n">
        <v>0</v>
      </c>
      <c r="U2057" s="49" t="n">
        <v>0</v>
      </c>
      <c r="V2057" s="49" t="n">
        <v>0</v>
      </c>
      <c r="W2057" s="50" t="n">
        <v>0</v>
      </c>
      <c r="X2057" s="51" t="n">
        <v>0</v>
      </c>
      <c r="Y2057" s="52" t="n">
        <v>0</v>
      </c>
      <c r="Z2057" s="52" t="n">
        <v>0</v>
      </c>
      <c r="AA2057" s="52" t="n">
        <v>0</v>
      </c>
      <c r="AB2057" s="53" t="n">
        <v>0</v>
      </c>
      <c r="AC2057" s="52" t="n">
        <v>0</v>
      </c>
      <c r="AD2057" s="53" t="n">
        <v>0</v>
      </c>
      <c r="AE2057" s="52" t="n">
        <v>0</v>
      </c>
      <c r="AF2057" s="51" t="n">
        <v>0</v>
      </c>
      <c r="AG2057" s="48" t="n">
        <v>0</v>
      </c>
      <c r="AH2057" s="49" t="n">
        <v>0</v>
      </c>
      <c r="AI2057" s="49" t="n">
        <v>0</v>
      </c>
      <c r="AJ2057" s="50" t="n">
        <v>0</v>
      </c>
      <c r="AK2057" s="51" t="n">
        <v>0</v>
      </c>
      <c r="AL2057" s="52" t="n">
        <v>0</v>
      </c>
      <c r="AM2057" s="52" t="n">
        <v>0</v>
      </c>
      <c r="AN2057" s="52" t="n">
        <v>0</v>
      </c>
      <c r="AO2057" s="53" t="n">
        <v>0</v>
      </c>
      <c r="AP2057" s="52" t="n">
        <v>0</v>
      </c>
      <c r="AQ2057" s="53" t="n">
        <v>0</v>
      </c>
      <c r="AR2057" s="52" t="n">
        <v>0</v>
      </c>
      <c r="AS2057" s="51" t="n">
        <v>0</v>
      </c>
      <c r="AT2057" s="48" t="n">
        <v>0</v>
      </c>
      <c r="AU2057" s="49" t="n">
        <v>0</v>
      </c>
      <c r="AV2057" s="49" t="n">
        <v>0</v>
      </c>
      <c r="AW2057" s="50" t="n">
        <v>0</v>
      </c>
      <c r="AX2057" s="51" t="n">
        <v>0</v>
      </c>
      <c r="AY2057" s="52" t="n">
        <v>0</v>
      </c>
      <c r="AZ2057" s="52" t="n">
        <v>0</v>
      </c>
      <c r="BA2057" s="52" t="n">
        <v>0</v>
      </c>
      <c r="BB2057" s="53" t="n">
        <v>0</v>
      </c>
      <c r="BC2057" s="52" t="n">
        <v>0</v>
      </c>
      <c r="BD2057" s="53" t="n">
        <v>0</v>
      </c>
      <c r="BE2057" s="52" t="n">
        <v>0</v>
      </c>
      <c r="BF2057" s="51" t="n">
        <v>0</v>
      </c>
    </row>
    <row r="2058">
      <c r="A2058">
        <f>HYPERLINK("https://www.walmart.com/ip/2344360692", "2344360692")</f>
        <v/>
      </c>
      <c r="B2058" t="inlineStr">
        <is>
          <t>Catalonia Wearable Blanket with Sleeves, Soft, Cozy Plush Fleece Blanket Robe, One Size Fits All, Gray, 71" x 51"</t>
        </is>
      </c>
      <c r="C2058" t="inlineStr">
        <is>
          <t>1CTSN150GY</t>
        </is>
      </c>
      <c r="D2058" t="inlineStr">
        <is>
          <t>Throws</t>
        </is>
      </c>
      <c r="E2058" t="inlineStr">
        <is>
          <t>Catalonia</t>
        </is>
      </c>
      <c r="F2058" t="inlineStr">
        <is>
          <t>Batch 1 - TR</t>
        </is>
      </c>
      <c r="G2058" s="48" t="n">
        <v>0</v>
      </c>
      <c r="H2058" s="49" t="n">
        <v>0</v>
      </c>
      <c r="I2058" s="49" t="n">
        <v>0</v>
      </c>
      <c r="J2058" s="50" t="n">
        <v>0</v>
      </c>
      <c r="K2058" s="51" t="n">
        <v>0</v>
      </c>
      <c r="L2058" s="52" t="n">
        <v>0</v>
      </c>
      <c r="M2058" s="52" t="n">
        <v>0</v>
      </c>
      <c r="N2058" s="52" t="n">
        <v>0</v>
      </c>
      <c r="O2058" s="53" t="n">
        <v>0</v>
      </c>
      <c r="P2058" s="52" t="n">
        <v>0</v>
      </c>
      <c r="Q2058" s="53" t="n">
        <v>0</v>
      </c>
      <c r="R2058" s="52" t="n">
        <v>0</v>
      </c>
      <c r="S2058" s="51" t="n">
        <v>0</v>
      </c>
      <c r="T2058" s="48" t="n">
        <v>0</v>
      </c>
      <c r="U2058" s="49" t="n">
        <v>0</v>
      </c>
      <c r="V2058" s="49" t="n">
        <v>0</v>
      </c>
      <c r="W2058" s="50" t="n">
        <v>0</v>
      </c>
      <c r="X2058" s="51" t="n">
        <v>0</v>
      </c>
      <c r="Y2058" s="52" t="n">
        <v>0</v>
      </c>
      <c r="Z2058" s="52" t="n">
        <v>0</v>
      </c>
      <c r="AA2058" s="52" t="n">
        <v>0</v>
      </c>
      <c r="AB2058" s="53" t="n">
        <v>0</v>
      </c>
      <c r="AC2058" s="52" t="n">
        <v>0</v>
      </c>
      <c r="AD2058" s="53" t="n">
        <v>0</v>
      </c>
      <c r="AE2058" s="52" t="n">
        <v>0</v>
      </c>
      <c r="AF2058" s="51" t="n">
        <v>0</v>
      </c>
      <c r="AG2058" s="48" t="n">
        <v>0</v>
      </c>
      <c r="AH2058" s="49" t="n">
        <v>0</v>
      </c>
      <c r="AI2058" s="49" t="n">
        <v>0</v>
      </c>
      <c r="AJ2058" s="50" t="n">
        <v>0</v>
      </c>
      <c r="AK2058" s="51" t="n">
        <v>0</v>
      </c>
      <c r="AL2058" s="52" t="n">
        <v>0</v>
      </c>
      <c r="AM2058" s="52" t="n">
        <v>0</v>
      </c>
      <c r="AN2058" s="52" t="n">
        <v>0</v>
      </c>
      <c r="AO2058" s="53" t="n">
        <v>0</v>
      </c>
      <c r="AP2058" s="52" t="n">
        <v>0</v>
      </c>
      <c r="AQ2058" s="53" t="n">
        <v>0</v>
      </c>
      <c r="AR2058" s="52" t="n">
        <v>0</v>
      </c>
      <c r="AS2058" s="51" t="n">
        <v>0</v>
      </c>
      <c r="AT2058" s="48" t="n">
        <v>0</v>
      </c>
      <c r="AU2058" s="49" t="n">
        <v>0</v>
      </c>
      <c r="AV2058" s="49" t="n">
        <v>0</v>
      </c>
      <c r="AW2058" s="50" t="n">
        <v>0</v>
      </c>
      <c r="AX2058" s="51" t="n">
        <v>0</v>
      </c>
      <c r="AY2058" s="52" t="n">
        <v>0</v>
      </c>
      <c r="AZ2058" s="52" t="n">
        <v>0</v>
      </c>
      <c r="BA2058" s="52" t="n">
        <v>0</v>
      </c>
      <c r="BB2058" s="53" t="n">
        <v>0</v>
      </c>
      <c r="BC2058" s="52" t="n">
        <v>0</v>
      </c>
      <c r="BD2058" s="53" t="n">
        <v>0</v>
      </c>
      <c r="BE2058" s="52" t="n">
        <v>0</v>
      </c>
      <c r="BF2058" s="51" t="n">
        <v>0</v>
      </c>
    </row>
    <row r="2059">
      <c r="A2059">
        <f>HYPERLINK("https://www.walmart.com/ip/234904496", "234904496")</f>
        <v/>
      </c>
      <c r="B2059" t="inlineStr">
        <is>
          <t>Unisex Sun Fire Flame Racing Cap, Flare Race Day Running Outdoor Sports Hat, Summer Sun Blocker Hat</t>
        </is>
      </c>
      <c r="C2059" t="inlineStr">
        <is>
          <t>KC-FL04-ZFH</t>
        </is>
      </c>
      <c r="D2059" t="inlineStr">
        <is>
          <t>Hats</t>
        </is>
      </c>
      <c r="E2059" t="inlineStr">
        <is>
          <t>KC Caps</t>
        </is>
      </c>
      <c r="F2059" t="inlineStr">
        <is>
          <t>Batch 1 - TR</t>
        </is>
      </c>
      <c r="G2059" s="48" t="n">
        <v>0</v>
      </c>
      <c r="H2059" s="49" t="n">
        <v>0</v>
      </c>
      <c r="I2059" s="49" t="n">
        <v>0</v>
      </c>
      <c r="J2059" s="50" t="n">
        <v>0</v>
      </c>
      <c r="K2059" s="51" t="n">
        <v>0</v>
      </c>
      <c r="L2059" s="52" t="n">
        <v>0</v>
      </c>
      <c r="M2059" s="52" t="n">
        <v>0</v>
      </c>
      <c r="N2059" s="52" t="n">
        <v>0</v>
      </c>
      <c r="O2059" s="53" t="n">
        <v>0</v>
      </c>
      <c r="P2059" s="52" t="n">
        <v>0</v>
      </c>
      <c r="Q2059" s="53" t="n">
        <v>0</v>
      </c>
      <c r="R2059" s="52" t="n">
        <v>0</v>
      </c>
      <c r="S2059" s="51" t="n">
        <v>0</v>
      </c>
      <c r="T2059" s="48" t="n">
        <v>0</v>
      </c>
      <c r="U2059" s="49" t="n">
        <v>0</v>
      </c>
      <c r="V2059" s="49" t="n">
        <v>0</v>
      </c>
      <c r="W2059" s="50" t="n">
        <v>0</v>
      </c>
      <c r="X2059" s="51" t="n">
        <v>0</v>
      </c>
      <c r="Y2059" s="52" t="n">
        <v>0</v>
      </c>
      <c r="Z2059" s="52" t="n">
        <v>0</v>
      </c>
      <c r="AA2059" s="52" t="n">
        <v>0</v>
      </c>
      <c r="AB2059" s="53" t="n">
        <v>0</v>
      </c>
      <c r="AC2059" s="52" t="n">
        <v>0</v>
      </c>
      <c r="AD2059" s="53" t="n">
        <v>0</v>
      </c>
      <c r="AE2059" s="52" t="n">
        <v>0</v>
      </c>
      <c r="AF2059" s="51" t="n">
        <v>0</v>
      </c>
      <c r="AG2059" s="48" t="n">
        <v>0</v>
      </c>
      <c r="AH2059" s="49" t="n">
        <v>0</v>
      </c>
      <c r="AI2059" s="49" t="n">
        <v>0</v>
      </c>
      <c r="AJ2059" s="50" t="n">
        <v>0</v>
      </c>
      <c r="AK2059" s="51" t="n">
        <v>0</v>
      </c>
      <c r="AL2059" s="52" t="n">
        <v>0</v>
      </c>
      <c r="AM2059" s="52" t="n">
        <v>0</v>
      </c>
      <c r="AN2059" s="52" t="n">
        <v>0</v>
      </c>
      <c r="AO2059" s="53" t="n">
        <v>0</v>
      </c>
      <c r="AP2059" s="52" t="n">
        <v>0</v>
      </c>
      <c r="AQ2059" s="53" t="n">
        <v>0</v>
      </c>
      <c r="AR2059" s="52" t="n">
        <v>0</v>
      </c>
      <c r="AS2059" s="51" t="n">
        <v>0</v>
      </c>
      <c r="AT2059" s="48" t="n">
        <v>0</v>
      </c>
      <c r="AU2059" s="49" t="n">
        <v>0</v>
      </c>
      <c r="AV2059" s="49" t="n">
        <v>0</v>
      </c>
      <c r="AW2059" s="50" t="n">
        <v>0</v>
      </c>
      <c r="AX2059" s="51" t="n">
        <v>0</v>
      </c>
      <c r="AY2059" s="52" t="n">
        <v>0</v>
      </c>
      <c r="AZ2059" s="52" t="n">
        <v>0</v>
      </c>
      <c r="BA2059" s="52" t="n">
        <v>0</v>
      </c>
      <c r="BB2059" s="53" t="n">
        <v>0</v>
      </c>
      <c r="BC2059" s="52" t="n">
        <v>0</v>
      </c>
      <c r="BD2059" s="53" t="n">
        <v>0</v>
      </c>
      <c r="BE2059" s="52" t="n">
        <v>0</v>
      </c>
      <c r="BF2059" s="51" t="n">
        <v>0</v>
      </c>
    </row>
    <row r="2060">
      <c r="A2060">
        <f>HYPERLINK("https://www.walmart.com/ip/236226478", "236226478")</f>
        <v/>
      </c>
      <c r="B2060" t="inlineStr">
        <is>
          <t>Tirrinia Reversible Fuzzy Micro Plush Soft Sherpa Chevron Throw Blanket, Latte, 50" x 60"</t>
        </is>
      </c>
      <c r="C2060" t="inlineStr">
        <is>
          <t>1TRBF320LT-TBCB</t>
        </is>
      </c>
      <c r="D2060" t="inlineStr">
        <is>
          <t>Throws</t>
        </is>
      </c>
      <c r="E2060" t="inlineStr">
        <is>
          <t>Tirrinia</t>
        </is>
      </c>
      <c r="F2060" t="inlineStr">
        <is>
          <t>Batch 1 - TR</t>
        </is>
      </c>
      <c r="G2060" s="48" t="n">
        <v>0</v>
      </c>
      <c r="H2060" s="49" t="n">
        <v>0</v>
      </c>
      <c r="I2060" s="49" t="n">
        <v>0</v>
      </c>
      <c r="J2060" s="50" t="n">
        <v>0</v>
      </c>
      <c r="K2060" s="51" t="n">
        <v>0</v>
      </c>
      <c r="L2060" s="52" t="n">
        <v>0</v>
      </c>
      <c r="M2060" s="52" t="n">
        <v>0</v>
      </c>
      <c r="N2060" s="52" t="n">
        <v>0</v>
      </c>
      <c r="O2060" s="53" t="n">
        <v>0</v>
      </c>
      <c r="P2060" s="52" t="n">
        <v>0</v>
      </c>
      <c r="Q2060" s="53" t="n">
        <v>0</v>
      </c>
      <c r="R2060" s="52" t="n">
        <v>0</v>
      </c>
      <c r="S2060" s="51" t="n">
        <v>0</v>
      </c>
      <c r="T2060" s="48" t="n">
        <v>0</v>
      </c>
      <c r="U2060" s="49" t="n">
        <v>0</v>
      </c>
      <c r="V2060" s="49" t="n">
        <v>0</v>
      </c>
      <c r="W2060" s="50" t="n">
        <v>0</v>
      </c>
      <c r="X2060" s="51" t="n">
        <v>0</v>
      </c>
      <c r="Y2060" s="52" t="n">
        <v>0</v>
      </c>
      <c r="Z2060" s="52" t="n">
        <v>0</v>
      </c>
      <c r="AA2060" s="52" t="n">
        <v>0</v>
      </c>
      <c r="AB2060" s="53" t="n">
        <v>0</v>
      </c>
      <c r="AC2060" s="52" t="n">
        <v>0</v>
      </c>
      <c r="AD2060" s="53" t="n">
        <v>0</v>
      </c>
      <c r="AE2060" s="52" t="n">
        <v>0</v>
      </c>
      <c r="AF2060" s="51" t="n">
        <v>0</v>
      </c>
      <c r="AG2060" s="48" t="n">
        <v>0</v>
      </c>
      <c r="AH2060" s="49" t="n">
        <v>0</v>
      </c>
      <c r="AI2060" s="49" t="n">
        <v>0</v>
      </c>
      <c r="AJ2060" s="50" t="n">
        <v>0</v>
      </c>
      <c r="AK2060" s="51" t="n">
        <v>0</v>
      </c>
      <c r="AL2060" s="52" t="n">
        <v>0</v>
      </c>
      <c r="AM2060" s="52" t="n">
        <v>0</v>
      </c>
      <c r="AN2060" s="52" t="n">
        <v>0</v>
      </c>
      <c r="AO2060" s="53" t="n">
        <v>0</v>
      </c>
      <c r="AP2060" s="52" t="n">
        <v>0</v>
      </c>
      <c r="AQ2060" s="53" t="n">
        <v>0</v>
      </c>
      <c r="AR2060" s="52" t="n">
        <v>0</v>
      </c>
      <c r="AS2060" s="51" t="n">
        <v>0</v>
      </c>
      <c r="AT2060" s="48" t="n">
        <v>0</v>
      </c>
      <c r="AU2060" s="49" t="n">
        <v>0</v>
      </c>
      <c r="AV2060" s="49" t="n">
        <v>0</v>
      </c>
      <c r="AW2060" s="50" t="n">
        <v>0</v>
      </c>
      <c r="AX2060" s="51" t="n">
        <v>0</v>
      </c>
      <c r="AY2060" s="52" t="n">
        <v>0</v>
      </c>
      <c r="AZ2060" s="52" t="n">
        <v>0</v>
      </c>
      <c r="BA2060" s="52" t="n">
        <v>0</v>
      </c>
      <c r="BB2060" s="53" t="n">
        <v>0</v>
      </c>
      <c r="BC2060" s="52" t="n">
        <v>0</v>
      </c>
      <c r="BD2060" s="53" t="n">
        <v>0</v>
      </c>
      <c r="BE2060" s="52" t="n">
        <v>0</v>
      </c>
      <c r="BF2060" s="51" t="n">
        <v>0</v>
      </c>
    </row>
    <row r="2061">
      <c r="A2061">
        <f>HYPERLINK("https://www.walmart.com/ip/237591903", "237591903")</f>
        <v/>
      </c>
      <c r="B2061" t="inlineStr">
        <is>
          <t>Catalonia Queen Size Sherpa Comforter Set,  Ultra-soft Reversible Fluffy Micromink Bedding Set-3 Pieces, 1 Comforter and 2 Pillow Shams, 88x90 inches</t>
        </is>
      </c>
      <c r="C2061" t="inlineStr">
        <is>
          <t>1CTBQ300QF-PRD</t>
        </is>
      </c>
      <c r="D2061" t="inlineStr">
        <is>
          <t>Bedding Sets</t>
        </is>
      </c>
      <c r="E2061" t="inlineStr">
        <is>
          <t>Catalonia</t>
        </is>
      </c>
      <c r="F2061" t="inlineStr">
        <is>
          <t>WFS,WFS Item</t>
        </is>
      </c>
      <c r="G2061" s="48" t="n">
        <v>0</v>
      </c>
      <c r="H2061" s="49" t="n">
        <v>0</v>
      </c>
      <c r="I2061" s="49" t="n">
        <v>0</v>
      </c>
      <c r="J2061" s="50" t="n">
        <v>0</v>
      </c>
      <c r="K2061" s="51" t="n">
        <v>0</v>
      </c>
      <c r="L2061" s="52" t="n">
        <v>0</v>
      </c>
      <c r="M2061" s="52" t="n">
        <v>0</v>
      </c>
      <c r="N2061" s="52" t="n">
        <v>0</v>
      </c>
      <c r="O2061" s="53" t="n">
        <v>0</v>
      </c>
      <c r="P2061" s="52" t="n">
        <v>0</v>
      </c>
      <c r="Q2061" s="53" t="n">
        <v>0</v>
      </c>
      <c r="R2061" s="52" t="n">
        <v>0</v>
      </c>
      <c r="S2061" s="51" t="n">
        <v>0</v>
      </c>
      <c r="T2061" s="48" t="n">
        <v>0</v>
      </c>
      <c r="U2061" s="49" t="n">
        <v>0</v>
      </c>
      <c r="V2061" s="49" t="n">
        <v>0</v>
      </c>
      <c r="W2061" s="50" t="n">
        <v>0</v>
      </c>
      <c r="X2061" s="51" t="n">
        <v>0</v>
      </c>
      <c r="Y2061" s="52" t="n">
        <v>0</v>
      </c>
      <c r="Z2061" s="52" t="n">
        <v>0</v>
      </c>
      <c r="AA2061" s="52" t="n">
        <v>0</v>
      </c>
      <c r="AB2061" s="53" t="n">
        <v>0</v>
      </c>
      <c r="AC2061" s="52" t="n">
        <v>0</v>
      </c>
      <c r="AD2061" s="53" t="n">
        <v>0</v>
      </c>
      <c r="AE2061" s="52" t="n">
        <v>0</v>
      </c>
      <c r="AF2061" s="51" t="n">
        <v>0</v>
      </c>
      <c r="AG2061" s="48" t="n">
        <v>0</v>
      </c>
      <c r="AH2061" s="49" t="n">
        <v>0</v>
      </c>
      <c r="AI2061" s="49" t="n">
        <v>0</v>
      </c>
      <c r="AJ2061" s="50" t="n">
        <v>0</v>
      </c>
      <c r="AK2061" s="51" t="n">
        <v>0</v>
      </c>
      <c r="AL2061" s="52" t="n">
        <v>0</v>
      </c>
      <c r="AM2061" s="52" t="n">
        <v>0</v>
      </c>
      <c r="AN2061" s="52" t="n">
        <v>0</v>
      </c>
      <c r="AO2061" s="53" t="n">
        <v>0</v>
      </c>
      <c r="AP2061" s="52" t="n">
        <v>0</v>
      </c>
      <c r="AQ2061" s="53" t="n">
        <v>0</v>
      </c>
      <c r="AR2061" s="52" t="n">
        <v>0</v>
      </c>
      <c r="AS2061" s="51" t="n">
        <v>0</v>
      </c>
      <c r="AT2061" s="48" t="n">
        <v>0</v>
      </c>
      <c r="AU2061" s="49" t="n">
        <v>0</v>
      </c>
      <c r="AV2061" s="49" t="n">
        <v>0</v>
      </c>
      <c r="AW2061" s="50" t="n">
        <v>0</v>
      </c>
      <c r="AX2061" s="51" t="n">
        <v>0</v>
      </c>
      <c r="AY2061" s="52" t="n">
        <v>0</v>
      </c>
      <c r="AZ2061" s="52" t="n">
        <v>0</v>
      </c>
      <c r="BA2061" s="52" t="n">
        <v>0</v>
      </c>
      <c r="BB2061" s="53" t="n">
        <v>0</v>
      </c>
      <c r="BC2061" s="52" t="n">
        <v>0</v>
      </c>
      <c r="BD2061" s="53" t="n">
        <v>0</v>
      </c>
      <c r="BE2061" s="52" t="n">
        <v>0</v>
      </c>
      <c r="BF2061" s="51" t="n">
        <v>0</v>
      </c>
    </row>
    <row r="2062">
      <c r="A2062">
        <f>HYPERLINK("https://www.walmart.com/ip/2918837766", "2918837766")</f>
        <v/>
      </c>
      <c r="B2062" t="inlineStr">
        <is>
          <t>Tirrinia Leakproof Thermal Reusable Lunch Box for Women Men, Insulated Lunch Cooler with Durable Side Pocket and multifunctional Strap for Adult &amp; Kids, Medium Size, Gray Checkered</t>
        </is>
      </c>
      <c r="C2062" t="inlineStr">
        <is>
          <t>1TRLB702P1GYCK</t>
        </is>
      </c>
      <c r="D2062" t="inlineStr">
        <is>
          <t>Reusable Lunch Bags &amp; Boxes</t>
        </is>
      </c>
      <c r="E2062" t="inlineStr">
        <is>
          <t>Tirrinia</t>
        </is>
      </c>
      <c r="F2062" t="inlineStr">
        <is>
          <t>Brand Camp VD</t>
        </is>
      </c>
      <c r="G2062" s="48" t="n">
        <v>0</v>
      </c>
      <c r="H2062" s="49" t="n">
        <v>0</v>
      </c>
      <c r="I2062" s="49" t="n">
        <v>0</v>
      </c>
      <c r="J2062" s="50" t="n">
        <v>0</v>
      </c>
      <c r="K2062" s="51" t="n">
        <v>0</v>
      </c>
      <c r="L2062" s="52" t="n">
        <v>0</v>
      </c>
      <c r="M2062" s="52" t="n">
        <v>0</v>
      </c>
      <c r="N2062" s="52" t="n">
        <v>0</v>
      </c>
      <c r="O2062" s="53" t="n">
        <v>0</v>
      </c>
      <c r="P2062" s="52" t="n">
        <v>0</v>
      </c>
      <c r="Q2062" s="53" t="n">
        <v>0</v>
      </c>
      <c r="R2062" s="52" t="n">
        <v>0</v>
      </c>
      <c r="S2062" s="51" t="n">
        <v>0</v>
      </c>
      <c r="T2062" s="48" t="n">
        <v>0</v>
      </c>
      <c r="U2062" s="49" t="n">
        <v>0</v>
      </c>
      <c r="V2062" s="49" t="n">
        <v>0</v>
      </c>
      <c r="W2062" s="50" t="n">
        <v>0</v>
      </c>
      <c r="X2062" s="51" t="n">
        <v>0</v>
      </c>
      <c r="Y2062" s="52" t="n">
        <v>0</v>
      </c>
      <c r="Z2062" s="52" t="n">
        <v>0</v>
      </c>
      <c r="AA2062" s="52" t="n">
        <v>0</v>
      </c>
      <c r="AB2062" s="53" t="n">
        <v>0</v>
      </c>
      <c r="AC2062" s="52" t="n">
        <v>0</v>
      </c>
      <c r="AD2062" s="53" t="n">
        <v>0</v>
      </c>
      <c r="AE2062" s="52" t="n">
        <v>0</v>
      </c>
      <c r="AF2062" s="51" t="n">
        <v>0</v>
      </c>
      <c r="AG2062" s="48" t="n">
        <v>0</v>
      </c>
      <c r="AH2062" s="49" t="n">
        <v>0</v>
      </c>
      <c r="AI2062" s="49" t="n">
        <v>0</v>
      </c>
      <c r="AJ2062" s="50" t="n">
        <v>0</v>
      </c>
      <c r="AK2062" s="51" t="n">
        <v>0</v>
      </c>
      <c r="AL2062" s="52" t="n">
        <v>0</v>
      </c>
      <c r="AM2062" s="52" t="n">
        <v>0</v>
      </c>
      <c r="AN2062" s="52" t="n">
        <v>0</v>
      </c>
      <c r="AO2062" s="53" t="n">
        <v>0</v>
      </c>
      <c r="AP2062" s="52" t="n">
        <v>0</v>
      </c>
      <c r="AQ2062" s="53" t="n">
        <v>0</v>
      </c>
      <c r="AR2062" s="52" t="n">
        <v>0</v>
      </c>
      <c r="AS2062" s="51" t="n">
        <v>0</v>
      </c>
      <c r="AT2062" s="48" t="n">
        <v>0</v>
      </c>
      <c r="AU2062" s="49" t="n">
        <v>0</v>
      </c>
      <c r="AV2062" s="49" t="n">
        <v>0</v>
      </c>
      <c r="AW2062" s="50" t="n">
        <v>0</v>
      </c>
      <c r="AX2062" s="51" t="n">
        <v>0</v>
      </c>
      <c r="AY2062" s="52" t="n">
        <v>0</v>
      </c>
      <c r="AZ2062" s="52" t="n">
        <v>0</v>
      </c>
      <c r="BA2062" s="52" t="n">
        <v>0</v>
      </c>
      <c r="BB2062" s="53" t="n">
        <v>0</v>
      </c>
      <c r="BC2062" s="52" t="n">
        <v>0</v>
      </c>
      <c r="BD2062" s="53" t="n">
        <v>0</v>
      </c>
      <c r="BE2062" s="52" t="n">
        <v>0</v>
      </c>
      <c r="BF2062" s="51" t="n">
        <v>0</v>
      </c>
    </row>
    <row r="2063">
      <c r="A2063">
        <f>HYPERLINK("https://www.walmart.com/ip/292117288", "292117288")</f>
        <v/>
      </c>
      <c r="B2063" t="inlineStr">
        <is>
          <t>Catalonia Red Plaid Sherpa Throw Blanket, Reversible Super Soft Warm Comfy Fuzzy Snuggle Micro Fleece Plush Throws for Bedding Couch TV 60"x50" Buffalo Checkered</t>
        </is>
      </c>
      <c r="C2063" t="inlineStr">
        <is>
          <t>1CTBF564PRD</t>
        </is>
      </c>
      <c r="D2063" t="inlineStr">
        <is>
          <t>Throws</t>
        </is>
      </c>
      <c r="E2063" t="inlineStr">
        <is>
          <t>Catalonia</t>
        </is>
      </c>
      <c r="F2063" t="inlineStr">
        <is>
          <t>Q2-Target,WFS,Coupon_Discount,WFS Item</t>
        </is>
      </c>
      <c r="G2063" s="48" t="n">
        <v>0</v>
      </c>
      <c r="H2063" s="49" t="n">
        <v>0</v>
      </c>
      <c r="I2063" s="49" t="n">
        <v>0</v>
      </c>
      <c r="J2063" s="50" t="n">
        <v>0</v>
      </c>
      <c r="K2063" s="51" t="n">
        <v>0</v>
      </c>
      <c r="L2063" s="52" t="n">
        <v>0</v>
      </c>
      <c r="M2063" s="52" t="n">
        <v>0</v>
      </c>
      <c r="N2063" s="52" t="n">
        <v>0</v>
      </c>
      <c r="O2063" s="53" t="n">
        <v>0</v>
      </c>
      <c r="P2063" s="52" t="n">
        <v>0</v>
      </c>
      <c r="Q2063" s="53" t="n">
        <v>0</v>
      </c>
      <c r="R2063" s="52" t="n">
        <v>0</v>
      </c>
      <c r="S2063" s="51" t="n">
        <v>0</v>
      </c>
      <c r="T2063" s="48" t="n">
        <v>0</v>
      </c>
      <c r="U2063" s="49" t="n">
        <v>0</v>
      </c>
      <c r="V2063" s="49" t="n">
        <v>0</v>
      </c>
      <c r="W2063" s="50" t="n">
        <v>0</v>
      </c>
      <c r="X2063" s="51" t="n">
        <v>0</v>
      </c>
      <c r="Y2063" s="52" t="n">
        <v>0</v>
      </c>
      <c r="Z2063" s="52" t="n">
        <v>0</v>
      </c>
      <c r="AA2063" s="52" t="n">
        <v>0</v>
      </c>
      <c r="AB2063" s="53" t="n">
        <v>0</v>
      </c>
      <c r="AC2063" s="52" t="n">
        <v>0</v>
      </c>
      <c r="AD2063" s="53" t="n">
        <v>0</v>
      </c>
      <c r="AE2063" s="52" t="n">
        <v>0</v>
      </c>
      <c r="AF2063" s="51" t="n">
        <v>0</v>
      </c>
      <c r="AG2063" s="48" t="n">
        <v>0</v>
      </c>
      <c r="AH2063" s="49" t="n">
        <v>0</v>
      </c>
      <c r="AI2063" s="49" t="n">
        <v>0</v>
      </c>
      <c r="AJ2063" s="50" t="n">
        <v>0</v>
      </c>
      <c r="AK2063" s="51" t="n">
        <v>0</v>
      </c>
      <c r="AL2063" s="52" t="n">
        <v>0</v>
      </c>
      <c r="AM2063" s="52" t="n">
        <v>0</v>
      </c>
      <c r="AN2063" s="52" t="n">
        <v>0</v>
      </c>
      <c r="AO2063" s="53" t="n">
        <v>0</v>
      </c>
      <c r="AP2063" s="52" t="n">
        <v>0</v>
      </c>
      <c r="AQ2063" s="53" t="n">
        <v>0</v>
      </c>
      <c r="AR2063" s="52" t="n">
        <v>0</v>
      </c>
      <c r="AS2063" s="51" t="n">
        <v>0</v>
      </c>
      <c r="AT2063" s="48" t="n">
        <v>0</v>
      </c>
      <c r="AU2063" s="49" t="n">
        <v>0</v>
      </c>
      <c r="AV2063" s="49" t="n">
        <v>0</v>
      </c>
      <c r="AW2063" s="50" t="n">
        <v>0</v>
      </c>
      <c r="AX2063" s="51" t="n">
        <v>0</v>
      </c>
      <c r="AY2063" s="52" t="n">
        <v>0</v>
      </c>
      <c r="AZ2063" s="52" t="n">
        <v>0</v>
      </c>
      <c r="BA2063" s="52" t="n">
        <v>0</v>
      </c>
      <c r="BB2063" s="53" t="n">
        <v>0</v>
      </c>
      <c r="BC2063" s="52" t="n">
        <v>0</v>
      </c>
      <c r="BD2063" s="53" t="n">
        <v>0</v>
      </c>
      <c r="BE2063" s="52" t="n">
        <v>0</v>
      </c>
      <c r="BF2063" s="51" t="n">
        <v>0</v>
      </c>
    </row>
    <row r="2064">
      <c r="A2064">
        <f>HYPERLINK("https://www.walmart.com/ip/292366521", "292366521")</f>
        <v/>
      </c>
      <c r="B2064" t="inlineStr">
        <is>
          <t>Flyingstar Woman Sweatshirt Dress, Casual Ladies Pullover, Juniors Hoodie Dress with Kangaroo Pocket, One Size, Green</t>
        </is>
      </c>
      <c r="C2064" t="inlineStr">
        <is>
          <t>1WMHD530S1GN</t>
        </is>
      </c>
      <c r="D2064" t="inlineStr">
        <is>
          <t>Sweatshirts &amp; Hoodies</t>
        </is>
      </c>
      <c r="E2064" t="inlineStr">
        <is>
          <t>Flyingstar</t>
        </is>
      </c>
      <c r="F2064" t="inlineStr">
        <is>
          <t>Hoodie ForAdult,Optimized</t>
        </is>
      </c>
      <c r="G2064" s="48" t="n">
        <v>0</v>
      </c>
      <c r="H2064" s="49" t="n">
        <v>0</v>
      </c>
      <c r="I2064" s="49" t="n">
        <v>0</v>
      </c>
      <c r="J2064" s="50" t="n">
        <v>0</v>
      </c>
      <c r="K2064" s="51" t="n">
        <v>0</v>
      </c>
      <c r="L2064" s="52" t="n">
        <v>0</v>
      </c>
      <c r="M2064" s="52" t="n">
        <v>0</v>
      </c>
      <c r="N2064" s="52" t="n">
        <v>0</v>
      </c>
      <c r="O2064" s="53" t="n">
        <v>0</v>
      </c>
      <c r="P2064" s="52" t="n">
        <v>0</v>
      </c>
      <c r="Q2064" s="53" t="n">
        <v>0</v>
      </c>
      <c r="R2064" s="52" t="n">
        <v>0</v>
      </c>
      <c r="S2064" s="51" t="n">
        <v>0</v>
      </c>
      <c r="T2064" s="48" t="n">
        <v>0</v>
      </c>
      <c r="U2064" s="49" t="n">
        <v>0</v>
      </c>
      <c r="V2064" s="49" t="n">
        <v>0</v>
      </c>
      <c r="W2064" s="50" t="n">
        <v>0</v>
      </c>
      <c r="X2064" s="51" t="n">
        <v>0</v>
      </c>
      <c r="Y2064" s="52" t="n">
        <v>0</v>
      </c>
      <c r="Z2064" s="52" t="n">
        <v>0</v>
      </c>
      <c r="AA2064" s="52" t="n">
        <v>0</v>
      </c>
      <c r="AB2064" s="53" t="n">
        <v>0</v>
      </c>
      <c r="AC2064" s="52" t="n">
        <v>0</v>
      </c>
      <c r="AD2064" s="53" t="n">
        <v>0</v>
      </c>
      <c r="AE2064" s="52" t="n">
        <v>0</v>
      </c>
      <c r="AF2064" s="51" t="n">
        <v>0</v>
      </c>
      <c r="AG2064" s="48" t="n">
        <v>13.99</v>
      </c>
      <c r="AH2064" s="49" t="n">
        <v>1</v>
      </c>
      <c r="AI2064" s="49" t="n">
        <v>0</v>
      </c>
      <c r="AJ2064" s="50" t="n">
        <v>0</v>
      </c>
      <c r="AK2064" s="51" t="n">
        <v>0</v>
      </c>
      <c r="AL2064" s="52" t="n">
        <v>0</v>
      </c>
      <c r="AM2064" s="52" t="n">
        <v>0</v>
      </c>
      <c r="AN2064" s="52" t="n">
        <v>0</v>
      </c>
      <c r="AO2064" s="53" t="n">
        <v>0</v>
      </c>
      <c r="AP2064" s="52" t="n">
        <v>0</v>
      </c>
      <c r="AQ2064" s="53" t="n">
        <v>0</v>
      </c>
      <c r="AR2064" s="52" t="n">
        <v>13.99</v>
      </c>
      <c r="AS2064" s="51" t="n">
        <v>0</v>
      </c>
      <c r="AT2064" s="48" t="n">
        <v>0</v>
      </c>
      <c r="AU2064" s="49" t="n">
        <v>0</v>
      </c>
      <c r="AV2064" s="49" t="n">
        <v>0</v>
      </c>
      <c r="AW2064" s="50" t="n">
        <v>0</v>
      </c>
      <c r="AX2064" s="51" t="n">
        <v>0</v>
      </c>
      <c r="AY2064" s="52" t="n">
        <v>0</v>
      </c>
      <c r="AZ2064" s="52" t="n">
        <v>0</v>
      </c>
      <c r="BA2064" s="52" t="n">
        <v>0</v>
      </c>
      <c r="BB2064" s="53" t="n">
        <v>0</v>
      </c>
      <c r="BC2064" s="52" t="n">
        <v>0</v>
      </c>
      <c r="BD2064" s="53" t="n">
        <v>0</v>
      </c>
      <c r="BE2064" s="52" t="n">
        <v>0</v>
      </c>
      <c r="BF2064" s="51" t="n">
        <v>0</v>
      </c>
    </row>
    <row r="2065">
      <c r="A2065">
        <f>HYPERLINK("https://www.walmart.com/ip/335132693", "335132693")</f>
        <v/>
      </c>
      <c r="B2065" t="inlineStr">
        <is>
          <t>Sherpa Throw Blanket, Fuzzy Snuggle Blanket for Camping Traveling Couch Bed, Super Soft, Light Weight, Reversible, All Season Use, Wine, 50" x 60".</t>
        </is>
      </c>
      <c r="C2065" t="inlineStr">
        <is>
          <t>1CTBF566WN</t>
        </is>
      </c>
      <c r="D2065" t="inlineStr">
        <is>
          <t>Throws</t>
        </is>
      </c>
      <c r="E2065" t="inlineStr">
        <is>
          <t>Catalonia</t>
        </is>
      </c>
      <c r="F2065" t="inlineStr">
        <is>
          <t>Q2-Target,Optimized,Coupon_Discount</t>
        </is>
      </c>
      <c r="G2065" s="48" t="n">
        <v>0</v>
      </c>
      <c r="H2065" s="49" t="n">
        <v>0</v>
      </c>
      <c r="I2065" s="49" t="n">
        <v>0</v>
      </c>
      <c r="J2065" s="50" t="n">
        <v>0</v>
      </c>
      <c r="K2065" s="51" t="n">
        <v>0</v>
      </c>
      <c r="L2065" s="52" t="n">
        <v>0</v>
      </c>
      <c r="M2065" s="52" t="n">
        <v>0</v>
      </c>
      <c r="N2065" s="52" t="n">
        <v>0</v>
      </c>
      <c r="O2065" s="53" t="n">
        <v>0</v>
      </c>
      <c r="P2065" s="52" t="n">
        <v>0</v>
      </c>
      <c r="Q2065" s="53" t="n">
        <v>0</v>
      </c>
      <c r="R2065" s="52" t="n">
        <v>0</v>
      </c>
      <c r="S2065" s="51" t="n">
        <v>0</v>
      </c>
      <c r="T2065" s="48" t="n">
        <v>0</v>
      </c>
      <c r="U2065" s="49" t="n">
        <v>0</v>
      </c>
      <c r="V2065" s="49" t="n">
        <v>0</v>
      </c>
      <c r="W2065" s="50" t="n">
        <v>0</v>
      </c>
      <c r="X2065" s="51" t="n">
        <v>0</v>
      </c>
      <c r="Y2065" s="52" t="n">
        <v>0</v>
      </c>
      <c r="Z2065" s="52" t="n">
        <v>0</v>
      </c>
      <c r="AA2065" s="52" t="n">
        <v>0</v>
      </c>
      <c r="AB2065" s="53" t="n">
        <v>0</v>
      </c>
      <c r="AC2065" s="52" t="n">
        <v>0</v>
      </c>
      <c r="AD2065" s="53" t="n">
        <v>0</v>
      </c>
      <c r="AE2065" s="52" t="n">
        <v>0</v>
      </c>
      <c r="AF2065" s="51" t="n">
        <v>0</v>
      </c>
      <c r="AG2065" s="48" t="n">
        <v>0</v>
      </c>
      <c r="AH2065" s="49" t="n">
        <v>0</v>
      </c>
      <c r="AI2065" s="49" t="n">
        <v>0</v>
      </c>
      <c r="AJ2065" s="50" t="n">
        <v>0</v>
      </c>
      <c r="AK2065" s="51" t="n">
        <v>0</v>
      </c>
      <c r="AL2065" s="52" t="n">
        <v>0</v>
      </c>
      <c r="AM2065" s="52" t="n">
        <v>0</v>
      </c>
      <c r="AN2065" s="52" t="n">
        <v>0</v>
      </c>
      <c r="AO2065" s="53" t="n">
        <v>0</v>
      </c>
      <c r="AP2065" s="52" t="n">
        <v>0</v>
      </c>
      <c r="AQ2065" s="53" t="n">
        <v>0</v>
      </c>
      <c r="AR2065" s="52" t="n">
        <v>0</v>
      </c>
      <c r="AS2065" s="51" t="n">
        <v>0</v>
      </c>
      <c r="AT2065" s="48" t="n">
        <v>0</v>
      </c>
      <c r="AU2065" s="49" t="n">
        <v>0</v>
      </c>
      <c r="AV2065" s="49" t="n">
        <v>0</v>
      </c>
      <c r="AW2065" s="50" t="n">
        <v>0</v>
      </c>
      <c r="AX2065" s="51" t="n">
        <v>0</v>
      </c>
      <c r="AY2065" s="52" t="n">
        <v>0</v>
      </c>
      <c r="AZ2065" s="52" t="n">
        <v>0</v>
      </c>
      <c r="BA2065" s="52" t="n">
        <v>0</v>
      </c>
      <c r="BB2065" s="53" t="n">
        <v>0</v>
      </c>
      <c r="BC2065" s="52" t="n">
        <v>0</v>
      </c>
      <c r="BD2065" s="53" t="n">
        <v>0</v>
      </c>
      <c r="BE2065" s="52" t="n">
        <v>0</v>
      </c>
      <c r="BF2065" s="51" t="n">
        <v>0</v>
      </c>
    </row>
    <row r="2066">
      <c r="A2066">
        <f>HYPERLINK("https://www.walmart.com/ip/335803818", "335803818")</f>
        <v/>
      </c>
      <c r="B2066" t="inlineStr">
        <is>
          <t>Tirrinia Insulated Cooler Toto Lunch Bag, Thermos Organizer Container, Gray, 8.5" x 4" x 9.5"</t>
        </is>
      </c>
      <c r="C2066" t="inlineStr">
        <is>
          <t>1TRLB100GY</t>
        </is>
      </c>
      <c r="D2066" t="inlineStr">
        <is>
          <t>Reusable Lunch Bags &amp; Boxes</t>
        </is>
      </c>
      <c r="E2066" t="inlineStr">
        <is>
          <t>Tirrinia</t>
        </is>
      </c>
      <c r="F2066" t="inlineStr">
        <is>
          <t>Q2-Target,Lunch Bags,SEM,Batch 1 - TR</t>
        </is>
      </c>
      <c r="G2066" s="48" t="n">
        <v>0</v>
      </c>
      <c r="H2066" s="49" t="n">
        <v>0</v>
      </c>
      <c r="I2066" s="49" t="n">
        <v>4</v>
      </c>
      <c r="J2066" s="50" t="n">
        <v>0</v>
      </c>
      <c r="K2066" s="51" t="n">
        <v>0</v>
      </c>
      <c r="L2066" s="52" t="n">
        <v>0</v>
      </c>
      <c r="M2066" s="52" t="n">
        <v>0</v>
      </c>
      <c r="N2066" s="52" t="n">
        <v>0</v>
      </c>
      <c r="O2066" s="53" t="n">
        <v>0</v>
      </c>
      <c r="P2066" s="52" t="n">
        <v>0</v>
      </c>
      <c r="Q2066" s="53" t="n">
        <v>0</v>
      </c>
      <c r="R2066" s="52" t="n">
        <v>0</v>
      </c>
      <c r="S2066" s="51" t="n">
        <v>0</v>
      </c>
      <c r="T2066" s="48" t="n">
        <v>11.99</v>
      </c>
      <c r="U2066" s="49" t="n">
        <v>1</v>
      </c>
      <c r="V2066" s="49" t="n">
        <v>8</v>
      </c>
      <c r="W2066" s="50" t="n">
        <v>0.125</v>
      </c>
      <c r="X2066" s="51" t="n">
        <v>0</v>
      </c>
      <c r="Y2066" s="52" t="n">
        <v>0</v>
      </c>
      <c r="Z2066" s="52" t="n">
        <v>0</v>
      </c>
      <c r="AA2066" s="52" t="n">
        <v>0</v>
      </c>
      <c r="AB2066" s="53" t="n">
        <v>0</v>
      </c>
      <c r="AC2066" s="52" t="n">
        <v>0</v>
      </c>
      <c r="AD2066" s="53" t="n">
        <v>0</v>
      </c>
      <c r="AE2066" s="52" t="n">
        <v>11.99</v>
      </c>
      <c r="AF2066" s="51" t="n">
        <v>0</v>
      </c>
      <c r="AG2066" s="48" t="n">
        <v>23.98</v>
      </c>
      <c r="AH2066" s="49" t="n">
        <v>2</v>
      </c>
      <c r="AI2066" s="49" t="n">
        <v>10</v>
      </c>
      <c r="AJ2066" s="50" t="n">
        <v>0.2</v>
      </c>
      <c r="AK2066" s="51" t="n">
        <v>0</v>
      </c>
      <c r="AL2066" s="52" t="n">
        <v>0</v>
      </c>
      <c r="AM2066" s="52" t="n">
        <v>0</v>
      </c>
      <c r="AN2066" s="52" t="n">
        <v>0</v>
      </c>
      <c r="AO2066" s="53" t="n">
        <v>0</v>
      </c>
      <c r="AP2066" s="52" t="n">
        <v>0</v>
      </c>
      <c r="AQ2066" s="53" t="n">
        <v>0</v>
      </c>
      <c r="AR2066" s="52" t="n">
        <v>11.99</v>
      </c>
      <c r="AS2066" s="51" t="n">
        <v>0</v>
      </c>
      <c r="AT2066" s="48" t="n">
        <v>35.97</v>
      </c>
      <c r="AU2066" s="49" t="n">
        <v>3</v>
      </c>
      <c r="AV2066" s="49" t="n">
        <v>9</v>
      </c>
      <c r="AW2066" s="50" t="n">
        <v>0.3333333333333333</v>
      </c>
      <c r="AX2066" s="51" t="n">
        <v>0</v>
      </c>
      <c r="AY2066" s="52" t="n">
        <v>0</v>
      </c>
      <c r="AZ2066" s="52" t="n">
        <v>0</v>
      </c>
      <c r="BA2066" s="52" t="n">
        <v>0</v>
      </c>
      <c r="BB2066" s="53" t="n">
        <v>0</v>
      </c>
      <c r="BC2066" s="52" t="n">
        <v>0</v>
      </c>
      <c r="BD2066" s="53" t="n">
        <v>0</v>
      </c>
      <c r="BE2066" s="52" t="n">
        <v>11.99</v>
      </c>
      <c r="BF2066" s="51" t="n">
        <v>0</v>
      </c>
    </row>
    <row r="2067">
      <c r="A2067">
        <f>HYPERLINK("https://www.walmart.com/ip/336267646", "336267646")</f>
        <v/>
      </c>
      <c r="B2067" t="inlineStr">
        <is>
          <t>Pawsse Waterproof Pet Blanket, Pee Urine Proof Dog Blanket Cover for Couch Bed Furniture Protector, Liquid Proof Blanket for Small Medium Dogs, 50” x 30”, Brown/Tuape</t>
        </is>
      </c>
      <c r="C2067" t="inlineStr">
        <is>
          <t>1PSBW351BNTP</t>
        </is>
      </c>
      <c r="D2067" t="inlineStr">
        <is>
          <t>Pet Blankets</t>
        </is>
      </c>
      <c r="E2067" t="inlineStr">
        <is>
          <t>Pawsse</t>
        </is>
      </c>
      <c r="F2067" t="inlineStr">
        <is>
          <t>Q2-Target,Batch 1 - TR</t>
        </is>
      </c>
      <c r="G2067" s="48" t="n">
        <v>0</v>
      </c>
      <c r="H2067" s="49" t="n">
        <v>0</v>
      </c>
      <c r="I2067" s="49" t="n">
        <v>0</v>
      </c>
      <c r="J2067" s="50" t="n">
        <v>0</v>
      </c>
      <c r="K2067" s="51" t="n">
        <v>3</v>
      </c>
      <c r="L2067" s="52" t="n">
        <v>1.35</v>
      </c>
      <c r="M2067" s="52" t="n">
        <v>0</v>
      </c>
      <c r="N2067" s="52" t="n">
        <v>0</v>
      </c>
      <c r="O2067" s="53" t="n">
        <v>0.0234</v>
      </c>
      <c r="P2067" s="52" t="n">
        <v>0.45</v>
      </c>
      <c r="Q2067" s="53" t="n">
        <v>0</v>
      </c>
      <c r="R2067" s="52" t="n">
        <v>0</v>
      </c>
      <c r="S2067" s="51" t="n">
        <v>128</v>
      </c>
      <c r="T2067" s="48" t="n">
        <v>0</v>
      </c>
      <c r="U2067" s="49" t="n">
        <v>0</v>
      </c>
      <c r="V2067" s="49" t="n">
        <v>0</v>
      </c>
      <c r="W2067" s="50" t="n">
        <v>0</v>
      </c>
      <c r="X2067" s="51" t="n">
        <v>4</v>
      </c>
      <c r="Y2067" s="52" t="n">
        <v>1.8</v>
      </c>
      <c r="Z2067" s="52" t="n">
        <v>0</v>
      </c>
      <c r="AA2067" s="52" t="n">
        <v>0</v>
      </c>
      <c r="AB2067" s="53" t="n">
        <v>0.026</v>
      </c>
      <c r="AC2067" s="52" t="n">
        <v>0.45</v>
      </c>
      <c r="AD2067" s="53" t="n">
        <v>0</v>
      </c>
      <c r="AE2067" s="52" t="n">
        <v>0</v>
      </c>
      <c r="AF2067" s="51" t="n">
        <v>154</v>
      </c>
      <c r="AG2067" s="48" t="n">
        <v>0</v>
      </c>
      <c r="AH2067" s="49" t="n">
        <v>0</v>
      </c>
      <c r="AI2067" s="49" t="n">
        <v>0</v>
      </c>
      <c r="AJ2067" s="50" t="n">
        <v>0</v>
      </c>
      <c r="AK2067" s="51" t="n">
        <v>7</v>
      </c>
      <c r="AL2067" s="52" t="n">
        <v>3.17</v>
      </c>
      <c r="AM2067" s="52" t="n">
        <v>0</v>
      </c>
      <c r="AN2067" s="52" t="n">
        <v>0</v>
      </c>
      <c r="AO2067" s="53" t="n">
        <v>0.0593</v>
      </c>
      <c r="AP2067" s="52" t="n">
        <v>0.4528571428571428</v>
      </c>
      <c r="AQ2067" s="53" t="n">
        <v>0</v>
      </c>
      <c r="AR2067" s="52" t="n">
        <v>0</v>
      </c>
      <c r="AS2067" s="51" t="n">
        <v>118</v>
      </c>
      <c r="AT2067" s="48" t="n">
        <v>0</v>
      </c>
      <c r="AU2067" s="49" t="n">
        <v>0</v>
      </c>
      <c r="AV2067" s="49" t="n">
        <v>0</v>
      </c>
      <c r="AW2067" s="50" t="n">
        <v>0</v>
      </c>
      <c r="AX2067" s="51" t="n">
        <v>0</v>
      </c>
      <c r="AY2067" s="52" t="n">
        <v>0</v>
      </c>
      <c r="AZ2067" s="52" t="n">
        <v>0</v>
      </c>
      <c r="BA2067" s="52" t="n">
        <v>0</v>
      </c>
      <c r="BB2067" s="53" t="n">
        <v>0</v>
      </c>
      <c r="BC2067" s="52" t="n">
        <v>0</v>
      </c>
      <c r="BD2067" s="53" t="n">
        <v>0</v>
      </c>
      <c r="BE2067" s="52" t="n">
        <v>0</v>
      </c>
      <c r="BF2067" s="51" t="n">
        <v>4</v>
      </c>
    </row>
    <row r="2068">
      <c r="A2068">
        <f>HYPERLINK("https://www.walmart.com/ip/336399157", "336399157")</f>
        <v/>
      </c>
      <c r="B2068" t="inlineStr">
        <is>
          <t>Vina 5-Piece Rabbit Wine Bottle Opener Set with Bamboo Stand, Ideal Gift for Wine Lover</t>
        </is>
      </c>
      <c r="C2068" t="inlineStr">
        <is>
          <t>VINAWO010-SR</t>
        </is>
      </c>
      <c r="D2068" t="inlineStr">
        <is>
          <t>Corkscrews &amp; Wine Bottle Openers</t>
        </is>
      </c>
      <c r="E2068" t="inlineStr">
        <is>
          <t>Vina</t>
        </is>
      </c>
      <c r="F2068" t="inlineStr">
        <is>
          <t>Wine,Optimized</t>
        </is>
      </c>
      <c r="G2068" s="48" t="n">
        <v>0</v>
      </c>
      <c r="H2068" s="49" t="n">
        <v>0</v>
      </c>
      <c r="I2068" s="49" t="n">
        <v>0</v>
      </c>
      <c r="J2068" s="50" t="n">
        <v>0</v>
      </c>
      <c r="K2068" s="51" t="n">
        <v>0</v>
      </c>
      <c r="L2068" s="52" t="n">
        <v>0</v>
      </c>
      <c r="M2068" s="52" t="n">
        <v>0</v>
      </c>
      <c r="N2068" s="52" t="n">
        <v>0</v>
      </c>
      <c r="O2068" s="53" t="n">
        <v>0</v>
      </c>
      <c r="P2068" s="52" t="n">
        <v>0</v>
      </c>
      <c r="Q2068" s="53" t="n">
        <v>0</v>
      </c>
      <c r="R2068" s="52" t="n">
        <v>0</v>
      </c>
      <c r="S2068" s="51" t="n">
        <v>0</v>
      </c>
      <c r="T2068" s="48" t="n">
        <v>0</v>
      </c>
      <c r="U2068" s="49" t="n">
        <v>0</v>
      </c>
      <c r="V2068" s="49" t="n">
        <v>0</v>
      </c>
      <c r="W2068" s="50" t="n">
        <v>0</v>
      </c>
      <c r="X2068" s="51" t="n">
        <v>0</v>
      </c>
      <c r="Y2068" s="52" t="n">
        <v>0</v>
      </c>
      <c r="Z2068" s="52" t="n">
        <v>0</v>
      </c>
      <c r="AA2068" s="52" t="n">
        <v>0</v>
      </c>
      <c r="AB2068" s="53" t="n">
        <v>0</v>
      </c>
      <c r="AC2068" s="52" t="n">
        <v>0</v>
      </c>
      <c r="AD2068" s="53" t="n">
        <v>0</v>
      </c>
      <c r="AE2068" s="52" t="n">
        <v>0</v>
      </c>
      <c r="AF2068" s="51" t="n">
        <v>0</v>
      </c>
      <c r="AG2068" s="48" t="n">
        <v>0</v>
      </c>
      <c r="AH2068" s="49" t="n">
        <v>0</v>
      </c>
      <c r="AI2068" s="49" t="n">
        <v>0</v>
      </c>
      <c r="AJ2068" s="50" t="n">
        <v>0</v>
      </c>
      <c r="AK2068" s="51" t="n">
        <v>0</v>
      </c>
      <c r="AL2068" s="52" t="n">
        <v>0</v>
      </c>
      <c r="AM2068" s="52" t="n">
        <v>0</v>
      </c>
      <c r="AN2068" s="52" t="n">
        <v>0</v>
      </c>
      <c r="AO2068" s="53" t="n">
        <v>0</v>
      </c>
      <c r="AP2068" s="52" t="n">
        <v>0</v>
      </c>
      <c r="AQ2068" s="53" t="n">
        <v>0</v>
      </c>
      <c r="AR2068" s="52" t="n">
        <v>0</v>
      </c>
      <c r="AS2068" s="51" t="n">
        <v>0</v>
      </c>
      <c r="AT2068" s="48" t="n">
        <v>0</v>
      </c>
      <c r="AU2068" s="49" t="n">
        <v>0</v>
      </c>
      <c r="AV2068" s="49" t="n">
        <v>0</v>
      </c>
      <c r="AW2068" s="50" t="n">
        <v>0</v>
      </c>
      <c r="AX2068" s="51" t="n">
        <v>0</v>
      </c>
      <c r="AY2068" s="52" t="n">
        <v>0</v>
      </c>
      <c r="AZ2068" s="52" t="n">
        <v>0</v>
      </c>
      <c r="BA2068" s="52" t="n">
        <v>0</v>
      </c>
      <c r="BB2068" s="53" t="n">
        <v>0</v>
      </c>
      <c r="BC2068" s="52" t="n">
        <v>0</v>
      </c>
      <c r="BD2068" s="53" t="n">
        <v>0</v>
      </c>
      <c r="BE2068" s="52" t="n">
        <v>0</v>
      </c>
      <c r="BF2068" s="51" t="n">
        <v>0</v>
      </c>
    </row>
    <row r="2069">
      <c r="A2069">
        <f>HYPERLINK("https://www.walmart.com/ip/336796060", "336796060")</f>
        <v/>
      </c>
      <c r="B2069" t="inlineStr">
        <is>
          <t>Womens  5'' Super Wide Brim Sun Hats Summer Reversible UPF 50+ Beach Hat Foldable Floppy Rose Cap Red</t>
        </is>
      </c>
      <c r="C2069" t="inlineStr">
        <is>
          <t>1TRSH069RD-TBCB</t>
        </is>
      </c>
      <c r="D2069" t="inlineStr">
        <is>
          <t>Hats</t>
        </is>
      </c>
      <c r="E2069" t="inlineStr">
        <is>
          <t>Tirrinia</t>
        </is>
      </c>
      <c r="G2069" s="48" t="n">
        <v>0</v>
      </c>
      <c r="H2069" s="49" t="n">
        <v>0</v>
      </c>
      <c r="I2069" s="49" t="n">
        <v>0</v>
      </c>
      <c r="J2069" s="50" t="n">
        <v>0</v>
      </c>
      <c r="K2069" s="51" t="n">
        <v>0</v>
      </c>
      <c r="L2069" s="52" t="n">
        <v>0</v>
      </c>
      <c r="M2069" s="52" t="n">
        <v>0</v>
      </c>
      <c r="N2069" s="52" t="n">
        <v>0</v>
      </c>
      <c r="O2069" s="53" t="n">
        <v>0</v>
      </c>
      <c r="P2069" s="52" t="n">
        <v>0</v>
      </c>
      <c r="Q2069" s="53" t="n">
        <v>0</v>
      </c>
      <c r="R2069" s="52" t="n">
        <v>0</v>
      </c>
      <c r="S2069" s="51" t="n">
        <v>0</v>
      </c>
      <c r="T2069" s="48" t="n">
        <v>0</v>
      </c>
      <c r="U2069" s="49" t="n">
        <v>0</v>
      </c>
      <c r="V2069" s="49" t="n">
        <v>0</v>
      </c>
      <c r="W2069" s="50" t="n">
        <v>0</v>
      </c>
      <c r="X2069" s="51" t="n">
        <v>0</v>
      </c>
      <c r="Y2069" s="52" t="n">
        <v>0</v>
      </c>
      <c r="Z2069" s="52" t="n">
        <v>0</v>
      </c>
      <c r="AA2069" s="52" t="n">
        <v>0</v>
      </c>
      <c r="AB2069" s="53" t="n">
        <v>0</v>
      </c>
      <c r="AC2069" s="52" t="n">
        <v>0</v>
      </c>
      <c r="AD2069" s="53" t="n">
        <v>0</v>
      </c>
      <c r="AE2069" s="52" t="n">
        <v>0</v>
      </c>
      <c r="AF2069" s="51" t="n">
        <v>0</v>
      </c>
      <c r="AG2069" s="48" t="n">
        <v>0</v>
      </c>
      <c r="AH2069" s="49" t="n">
        <v>0</v>
      </c>
      <c r="AI2069" s="49" t="n">
        <v>0</v>
      </c>
      <c r="AJ2069" s="50" t="n">
        <v>0</v>
      </c>
      <c r="AK2069" s="51" t="n">
        <v>0</v>
      </c>
      <c r="AL2069" s="52" t="n">
        <v>0</v>
      </c>
      <c r="AM2069" s="52" t="n">
        <v>0</v>
      </c>
      <c r="AN2069" s="52" t="n">
        <v>0</v>
      </c>
      <c r="AO2069" s="53" t="n">
        <v>0</v>
      </c>
      <c r="AP2069" s="52" t="n">
        <v>0</v>
      </c>
      <c r="AQ2069" s="53" t="n">
        <v>0</v>
      </c>
      <c r="AR2069" s="52" t="n">
        <v>0</v>
      </c>
      <c r="AS2069" s="51" t="n">
        <v>0</v>
      </c>
      <c r="AT2069" s="48" t="n">
        <v>0</v>
      </c>
      <c r="AU2069" s="49" t="n">
        <v>0</v>
      </c>
      <c r="AV2069" s="49" t="n">
        <v>0</v>
      </c>
      <c r="AW2069" s="50" t="n">
        <v>0</v>
      </c>
      <c r="AX2069" s="51" t="n">
        <v>0</v>
      </c>
      <c r="AY2069" s="52" t="n">
        <v>0</v>
      </c>
      <c r="AZ2069" s="52" t="n">
        <v>0</v>
      </c>
      <c r="BA2069" s="52" t="n">
        <v>0</v>
      </c>
      <c r="BB2069" s="53" t="n">
        <v>0</v>
      </c>
      <c r="BC2069" s="52" t="n">
        <v>0</v>
      </c>
      <c r="BD2069" s="53" t="n">
        <v>0</v>
      </c>
      <c r="BE2069" s="52" t="n">
        <v>0</v>
      </c>
      <c r="BF2069" s="51" t="n">
        <v>0</v>
      </c>
    </row>
    <row r="2070">
      <c r="A2070">
        <f>HYPERLINK("https://www.walmart.com/ip/3370753139", "3370753139")</f>
        <v/>
      </c>
      <c r="B2070" t="inlineStr">
        <is>
          <t>Catalonia Cow Print Sherpa Fleece Blanket, Super Soft Warm Cozy Flannel Reversible Throw Blanket for Couch Sofa Bed, Grey Dog Pattern,  50" x 60".</t>
        </is>
      </c>
      <c r="C2070" t="inlineStr">
        <is>
          <t>1CTBF300GYDOG</t>
        </is>
      </c>
      <c r="D2070" t="inlineStr">
        <is>
          <t>Throws</t>
        </is>
      </c>
      <c r="E2070" t="inlineStr">
        <is>
          <t>Catalonia</t>
        </is>
      </c>
      <c r="F2070" t="inlineStr">
        <is>
          <t>Q2-Target,Coupon_Discount,Fleece Blankets</t>
        </is>
      </c>
      <c r="G2070" s="48" t="n">
        <v>0</v>
      </c>
      <c r="H2070" s="49" t="n">
        <v>0</v>
      </c>
      <c r="I2070" s="49" t="n">
        <v>0</v>
      </c>
      <c r="J2070" s="50" t="n">
        <v>0</v>
      </c>
      <c r="K2070" s="51" t="n">
        <v>0</v>
      </c>
      <c r="L2070" s="52" t="n">
        <v>0</v>
      </c>
      <c r="M2070" s="52" t="n">
        <v>0</v>
      </c>
      <c r="N2070" s="52" t="n">
        <v>0</v>
      </c>
      <c r="O2070" s="53" t="n">
        <v>0</v>
      </c>
      <c r="P2070" s="52" t="n">
        <v>0</v>
      </c>
      <c r="Q2070" s="53" t="n">
        <v>0</v>
      </c>
      <c r="R2070" s="52" t="n">
        <v>0</v>
      </c>
      <c r="S2070" s="51" t="n">
        <v>0</v>
      </c>
      <c r="T2070" s="48" t="n">
        <v>0</v>
      </c>
      <c r="U2070" s="49" t="n">
        <v>0</v>
      </c>
      <c r="V2070" s="49" t="n">
        <v>0</v>
      </c>
      <c r="W2070" s="50" t="n">
        <v>0</v>
      </c>
      <c r="X2070" s="51" t="n">
        <v>0</v>
      </c>
      <c r="Y2070" s="52" t="n">
        <v>0</v>
      </c>
      <c r="Z2070" s="52" t="n">
        <v>0</v>
      </c>
      <c r="AA2070" s="52" t="n">
        <v>0</v>
      </c>
      <c r="AB2070" s="53" t="n">
        <v>0</v>
      </c>
      <c r="AC2070" s="52" t="n">
        <v>0</v>
      </c>
      <c r="AD2070" s="53" t="n">
        <v>0</v>
      </c>
      <c r="AE2070" s="52" t="n">
        <v>0</v>
      </c>
      <c r="AF2070" s="51" t="n">
        <v>0</v>
      </c>
      <c r="AG2070" s="48" t="n">
        <v>0</v>
      </c>
      <c r="AH2070" s="49" t="n">
        <v>0</v>
      </c>
      <c r="AI2070" s="49" t="n">
        <v>0</v>
      </c>
      <c r="AJ2070" s="50" t="n">
        <v>0</v>
      </c>
      <c r="AK2070" s="51" t="n">
        <v>0</v>
      </c>
      <c r="AL2070" s="52" t="n">
        <v>0</v>
      </c>
      <c r="AM2070" s="52" t="n">
        <v>0</v>
      </c>
      <c r="AN2070" s="52" t="n">
        <v>0</v>
      </c>
      <c r="AO2070" s="53" t="n">
        <v>0</v>
      </c>
      <c r="AP2070" s="52" t="n">
        <v>0</v>
      </c>
      <c r="AQ2070" s="53" t="n">
        <v>0</v>
      </c>
      <c r="AR2070" s="52" t="n">
        <v>0</v>
      </c>
      <c r="AS2070" s="51" t="n">
        <v>0</v>
      </c>
      <c r="AT2070" s="48" t="n">
        <v>0</v>
      </c>
      <c r="AU2070" s="49" t="n">
        <v>0</v>
      </c>
      <c r="AV2070" s="49" t="n">
        <v>0</v>
      </c>
      <c r="AW2070" s="50" t="n">
        <v>0</v>
      </c>
      <c r="AX2070" s="51" t="n">
        <v>0</v>
      </c>
      <c r="AY2070" s="52" t="n">
        <v>0</v>
      </c>
      <c r="AZ2070" s="52" t="n">
        <v>0</v>
      </c>
      <c r="BA2070" s="52" t="n">
        <v>0</v>
      </c>
      <c r="BB2070" s="53" t="n">
        <v>0</v>
      </c>
      <c r="BC2070" s="52" t="n">
        <v>0</v>
      </c>
      <c r="BD2070" s="53" t="n">
        <v>0</v>
      </c>
      <c r="BE2070" s="52" t="n">
        <v>0</v>
      </c>
      <c r="BF2070" s="51" t="n">
        <v>0</v>
      </c>
    </row>
    <row r="2071">
      <c r="A2071">
        <f>HYPERLINK("https://www.walmart.com/ip/337702004", "337702004")</f>
        <v/>
      </c>
      <c r="B2071" t="inlineStr">
        <is>
          <t>Women's Poncho Cape, Sherpa Fleece Cloak Coat, Snuggly Hooded Wearable Blanket, Gift Idea for Adults and Teen Girls</t>
        </is>
      </c>
      <c r="C2071" t="inlineStr">
        <is>
          <t>1CTBC300BL</t>
        </is>
      </c>
      <c r="D2071" t="inlineStr">
        <is>
          <t>Throws</t>
        </is>
      </c>
      <c r="E2071" t="inlineStr">
        <is>
          <t>Catalonia</t>
        </is>
      </c>
      <c r="F2071" t="inlineStr">
        <is>
          <t>WFS Item</t>
        </is>
      </c>
      <c r="G2071" s="48" t="n">
        <v>0</v>
      </c>
      <c r="H2071" s="49" t="n">
        <v>0</v>
      </c>
      <c r="I2071" s="49" t="n">
        <v>1</v>
      </c>
      <c r="J2071" s="50" t="n">
        <v>0</v>
      </c>
      <c r="K2071" s="51" t="n">
        <v>0</v>
      </c>
      <c r="L2071" s="52" t="n">
        <v>0</v>
      </c>
      <c r="M2071" s="52" t="n">
        <v>0</v>
      </c>
      <c r="N2071" s="52" t="n">
        <v>0</v>
      </c>
      <c r="O2071" s="53" t="n">
        <v>0</v>
      </c>
      <c r="P2071" s="52" t="n">
        <v>0</v>
      </c>
      <c r="Q2071" s="53" t="n">
        <v>0</v>
      </c>
      <c r="R2071" s="52" t="n">
        <v>0</v>
      </c>
      <c r="S2071" s="51" t="n">
        <v>0</v>
      </c>
      <c r="T2071" s="48" t="n">
        <v>0</v>
      </c>
      <c r="U2071" s="49" t="n">
        <v>0</v>
      </c>
      <c r="V2071" s="49" t="n">
        <v>2</v>
      </c>
      <c r="W2071" s="50" t="n">
        <v>0</v>
      </c>
      <c r="X2071" s="51" t="n">
        <v>0</v>
      </c>
      <c r="Y2071" s="52" t="n">
        <v>0</v>
      </c>
      <c r="Z2071" s="52" t="n">
        <v>0</v>
      </c>
      <c r="AA2071" s="52" t="n">
        <v>0</v>
      </c>
      <c r="AB2071" s="53" t="n">
        <v>0</v>
      </c>
      <c r="AC2071" s="52" t="n">
        <v>0</v>
      </c>
      <c r="AD2071" s="53" t="n">
        <v>0</v>
      </c>
      <c r="AE2071" s="52" t="n">
        <v>0</v>
      </c>
      <c r="AF2071" s="51" t="n">
        <v>0</v>
      </c>
      <c r="AG2071" s="48" t="n">
        <v>0</v>
      </c>
      <c r="AH2071" s="49" t="n">
        <v>0</v>
      </c>
      <c r="AI2071" s="49" t="n">
        <v>1</v>
      </c>
      <c r="AJ2071" s="50" t="n">
        <v>0</v>
      </c>
      <c r="AK2071" s="51" t="n">
        <v>0</v>
      </c>
      <c r="AL2071" s="52" t="n">
        <v>0</v>
      </c>
      <c r="AM2071" s="52" t="n">
        <v>0</v>
      </c>
      <c r="AN2071" s="52" t="n">
        <v>0</v>
      </c>
      <c r="AO2071" s="53" t="n">
        <v>0</v>
      </c>
      <c r="AP2071" s="52" t="n">
        <v>0</v>
      </c>
      <c r="AQ2071" s="53" t="n">
        <v>0</v>
      </c>
      <c r="AR2071" s="52" t="n">
        <v>0</v>
      </c>
      <c r="AS2071" s="51" t="n">
        <v>0</v>
      </c>
      <c r="AT2071" s="48" t="n">
        <v>0</v>
      </c>
      <c r="AU2071" s="49" t="n">
        <v>0</v>
      </c>
      <c r="AV2071" s="49" t="n">
        <v>0</v>
      </c>
      <c r="AW2071" s="50" t="n">
        <v>0</v>
      </c>
      <c r="AX2071" s="51" t="n">
        <v>0</v>
      </c>
      <c r="AY2071" s="52" t="n">
        <v>0</v>
      </c>
      <c r="AZ2071" s="52" t="n">
        <v>0</v>
      </c>
      <c r="BA2071" s="52" t="n">
        <v>0</v>
      </c>
      <c r="BB2071" s="53" t="n">
        <v>0</v>
      </c>
      <c r="BC2071" s="52" t="n">
        <v>0</v>
      </c>
      <c r="BD2071" s="53" t="n">
        <v>0</v>
      </c>
      <c r="BE2071" s="52" t="n">
        <v>0</v>
      </c>
      <c r="BF2071" s="51" t="n">
        <v>0</v>
      </c>
    </row>
    <row r="2072">
      <c r="A2072">
        <f>HYPERLINK("https://www.walmart.com/ip/339765581", "339765581")</f>
        <v/>
      </c>
      <c r="B2072" t="inlineStr">
        <is>
          <t>Sherpa Wearable Blanket with Sleeves &amp; Foot Pockets for Adult Women Men, Comfy Snuggle Wrap Sleeved Throw Blanket Robe, Gift Idea, Camel</t>
        </is>
      </c>
      <c r="C2072" t="inlineStr">
        <is>
          <t>1CTSN310CA</t>
        </is>
      </c>
      <c r="D2072" t="inlineStr">
        <is>
          <t>Throws</t>
        </is>
      </c>
      <c r="E2072" t="inlineStr">
        <is>
          <t>Catalonia</t>
        </is>
      </c>
      <c r="F2072" t="inlineStr">
        <is>
          <t>Optimized,WFS,Coupon_Discount,WFS Item</t>
        </is>
      </c>
      <c r="G2072" s="48" t="n">
        <v>0</v>
      </c>
      <c r="H2072" s="49" t="n">
        <v>0</v>
      </c>
      <c r="I2072" s="49" t="n">
        <v>0</v>
      </c>
      <c r="J2072" s="50" t="n">
        <v>0</v>
      </c>
      <c r="K2072" s="51" t="n">
        <v>0</v>
      </c>
      <c r="L2072" s="52" t="n">
        <v>0</v>
      </c>
      <c r="M2072" s="52" t="n">
        <v>0</v>
      </c>
      <c r="N2072" s="52" t="n">
        <v>0</v>
      </c>
      <c r="O2072" s="53" t="n">
        <v>0</v>
      </c>
      <c r="P2072" s="52" t="n">
        <v>0</v>
      </c>
      <c r="Q2072" s="53" t="n">
        <v>0</v>
      </c>
      <c r="R2072" s="52" t="n">
        <v>0</v>
      </c>
      <c r="S2072" s="51" t="n">
        <v>0</v>
      </c>
      <c r="T2072" s="48" t="n">
        <v>0</v>
      </c>
      <c r="U2072" s="49" t="n">
        <v>0</v>
      </c>
      <c r="V2072" s="49" t="n">
        <v>0</v>
      </c>
      <c r="W2072" s="50" t="n">
        <v>0</v>
      </c>
      <c r="X2072" s="51" t="n">
        <v>0</v>
      </c>
      <c r="Y2072" s="52" t="n">
        <v>0</v>
      </c>
      <c r="Z2072" s="52" t="n">
        <v>0</v>
      </c>
      <c r="AA2072" s="52" t="n">
        <v>0</v>
      </c>
      <c r="AB2072" s="53" t="n">
        <v>0</v>
      </c>
      <c r="AC2072" s="52" t="n">
        <v>0</v>
      </c>
      <c r="AD2072" s="53" t="n">
        <v>0</v>
      </c>
      <c r="AE2072" s="52" t="n">
        <v>0</v>
      </c>
      <c r="AF2072" s="51" t="n">
        <v>0</v>
      </c>
      <c r="AG2072" s="48" t="n">
        <v>0</v>
      </c>
      <c r="AH2072" s="49" t="n">
        <v>0</v>
      </c>
      <c r="AI2072" s="49" t="n">
        <v>0</v>
      </c>
      <c r="AJ2072" s="50" t="n">
        <v>0</v>
      </c>
      <c r="AK2072" s="51" t="n">
        <v>0</v>
      </c>
      <c r="AL2072" s="52" t="n">
        <v>0</v>
      </c>
      <c r="AM2072" s="52" t="n">
        <v>0</v>
      </c>
      <c r="AN2072" s="52" t="n">
        <v>0</v>
      </c>
      <c r="AO2072" s="53" t="n">
        <v>0</v>
      </c>
      <c r="AP2072" s="52" t="n">
        <v>0</v>
      </c>
      <c r="AQ2072" s="53" t="n">
        <v>0</v>
      </c>
      <c r="AR2072" s="52" t="n">
        <v>0</v>
      </c>
      <c r="AS2072" s="51" t="n">
        <v>0</v>
      </c>
      <c r="AT2072" s="48" t="n">
        <v>0</v>
      </c>
      <c r="AU2072" s="49" t="n">
        <v>0</v>
      </c>
      <c r="AV2072" s="49" t="n">
        <v>0</v>
      </c>
      <c r="AW2072" s="50" t="n">
        <v>0</v>
      </c>
      <c r="AX2072" s="51" t="n">
        <v>0</v>
      </c>
      <c r="AY2072" s="52" t="n">
        <v>0</v>
      </c>
      <c r="AZ2072" s="52" t="n">
        <v>0</v>
      </c>
      <c r="BA2072" s="52" t="n">
        <v>0</v>
      </c>
      <c r="BB2072" s="53" t="n">
        <v>0</v>
      </c>
      <c r="BC2072" s="52" t="n">
        <v>0</v>
      </c>
      <c r="BD2072" s="53" t="n">
        <v>0</v>
      </c>
      <c r="BE2072" s="52" t="n">
        <v>0</v>
      </c>
      <c r="BF2072" s="51" t="n">
        <v>0</v>
      </c>
    </row>
    <row r="2073">
      <c r="A2073">
        <f>HYPERLINK("https://www.walmart.com/ip/342298154", "342298154")</f>
        <v/>
      </c>
      <c r="B2073" t="inlineStr">
        <is>
          <t>Insulated Expandable Lunch Bags Tote Thermal Cooler Leak Proof Travel Container Food Case for Adults Adjustable Shoulder</t>
        </is>
      </c>
      <c r="C2073" t="inlineStr">
        <is>
          <t>1KTLB110GR</t>
        </is>
      </c>
      <c r="D2073" t="inlineStr">
        <is>
          <t>Reusable Lunch Bags &amp; Boxes</t>
        </is>
      </c>
      <c r="E2073" t="inlineStr">
        <is>
          <t>Kato</t>
        </is>
      </c>
      <c r="F2073" t="inlineStr">
        <is>
          <t>Lunch Bag,Optimized,SEM</t>
        </is>
      </c>
      <c r="G2073" s="48" t="n">
        <v>0</v>
      </c>
      <c r="H2073" s="49" t="n">
        <v>0</v>
      </c>
      <c r="I2073" s="49" t="n">
        <v>0</v>
      </c>
      <c r="J2073" s="50" t="n">
        <v>0</v>
      </c>
      <c r="K2073" s="51" t="n">
        <v>0</v>
      </c>
      <c r="L2073" s="52" t="n">
        <v>0</v>
      </c>
      <c r="M2073" s="52" t="n">
        <v>0</v>
      </c>
      <c r="N2073" s="52" t="n">
        <v>0</v>
      </c>
      <c r="O2073" s="53" t="n">
        <v>0</v>
      </c>
      <c r="P2073" s="52" t="n">
        <v>0</v>
      </c>
      <c r="Q2073" s="53" t="n">
        <v>0</v>
      </c>
      <c r="R2073" s="52" t="n">
        <v>0</v>
      </c>
      <c r="S2073" s="51" t="n">
        <v>0</v>
      </c>
      <c r="T2073" s="48" t="n">
        <v>0</v>
      </c>
      <c r="U2073" s="49" t="n">
        <v>0</v>
      </c>
      <c r="V2073" s="49" t="n">
        <v>0</v>
      </c>
      <c r="W2073" s="50" t="n">
        <v>0</v>
      </c>
      <c r="X2073" s="51" t="n">
        <v>0</v>
      </c>
      <c r="Y2073" s="52" t="n">
        <v>0</v>
      </c>
      <c r="Z2073" s="52" t="n">
        <v>0</v>
      </c>
      <c r="AA2073" s="52" t="n">
        <v>0</v>
      </c>
      <c r="AB2073" s="53" t="n">
        <v>0</v>
      </c>
      <c r="AC2073" s="52" t="n">
        <v>0</v>
      </c>
      <c r="AD2073" s="53" t="n">
        <v>0</v>
      </c>
      <c r="AE2073" s="52" t="n">
        <v>0</v>
      </c>
      <c r="AF2073" s="51" t="n">
        <v>0</v>
      </c>
      <c r="AG2073" s="48" t="n">
        <v>0</v>
      </c>
      <c r="AH2073" s="49" t="n">
        <v>0</v>
      </c>
      <c r="AI2073" s="49" t="n">
        <v>0</v>
      </c>
      <c r="AJ2073" s="50" t="n">
        <v>0</v>
      </c>
      <c r="AK2073" s="51" t="n">
        <v>0</v>
      </c>
      <c r="AL2073" s="52" t="n">
        <v>0</v>
      </c>
      <c r="AM2073" s="52" t="n">
        <v>0</v>
      </c>
      <c r="AN2073" s="52" t="n">
        <v>0</v>
      </c>
      <c r="AO2073" s="53" t="n">
        <v>0</v>
      </c>
      <c r="AP2073" s="52" t="n">
        <v>0</v>
      </c>
      <c r="AQ2073" s="53" t="n">
        <v>0</v>
      </c>
      <c r="AR2073" s="52" t="n">
        <v>0</v>
      </c>
      <c r="AS2073" s="51" t="n">
        <v>0</v>
      </c>
      <c r="AT2073" s="48" t="n">
        <v>0</v>
      </c>
      <c r="AU2073" s="49" t="n">
        <v>0</v>
      </c>
      <c r="AV2073" s="49" t="n">
        <v>0</v>
      </c>
      <c r="AW2073" s="50" t="n">
        <v>0</v>
      </c>
      <c r="AX2073" s="51" t="n">
        <v>0</v>
      </c>
      <c r="AY2073" s="52" t="n">
        <v>0</v>
      </c>
      <c r="AZ2073" s="52" t="n">
        <v>0</v>
      </c>
      <c r="BA2073" s="52" t="n">
        <v>0</v>
      </c>
      <c r="BB2073" s="53" t="n">
        <v>0</v>
      </c>
      <c r="BC2073" s="52" t="n">
        <v>0</v>
      </c>
      <c r="BD2073" s="53" t="n">
        <v>0</v>
      </c>
      <c r="BE2073" s="52" t="n">
        <v>0</v>
      </c>
      <c r="BF2073" s="51" t="n">
        <v>0</v>
      </c>
    </row>
    <row r="2074">
      <c r="A2074">
        <f>HYPERLINK("https://www.walmart.com/ip/343487984", "343487984")</f>
        <v/>
      </c>
      <c r="B2074" t="inlineStr">
        <is>
          <t>Ski Gloves 3M Waterproof Insulated Winter Snow Mittens Gloves for Women &amp; Men Winter Sports</t>
        </is>
      </c>
      <c r="C2074" t="inlineStr">
        <is>
          <t>1SLWG300BKM</t>
        </is>
      </c>
      <c r="D2074" t="inlineStr">
        <is>
          <t>Gloves &amp; Mittens</t>
        </is>
      </c>
      <c r="E2074" t="inlineStr">
        <is>
          <t>Solaris</t>
        </is>
      </c>
      <c r="F2074" t="inlineStr">
        <is>
          <t>Optimized,Gloves</t>
        </is>
      </c>
      <c r="G2074" s="48" t="n">
        <v>0</v>
      </c>
      <c r="H2074" s="49" t="n">
        <v>0</v>
      </c>
      <c r="I2074" s="49" t="n">
        <v>0</v>
      </c>
      <c r="J2074" s="50" t="n">
        <v>0</v>
      </c>
      <c r="K2074" s="51" t="n">
        <v>0</v>
      </c>
      <c r="L2074" s="52" t="n">
        <v>0</v>
      </c>
      <c r="M2074" s="52" t="n">
        <v>0</v>
      </c>
      <c r="N2074" s="52" t="n">
        <v>0</v>
      </c>
      <c r="O2074" s="53" t="n">
        <v>0</v>
      </c>
      <c r="P2074" s="52" t="n">
        <v>0</v>
      </c>
      <c r="Q2074" s="53" t="n">
        <v>0</v>
      </c>
      <c r="R2074" s="52" t="n">
        <v>0</v>
      </c>
      <c r="S2074" s="51" t="n">
        <v>0</v>
      </c>
      <c r="T2074" s="48" t="n">
        <v>0</v>
      </c>
      <c r="U2074" s="49" t="n">
        <v>0</v>
      </c>
      <c r="V2074" s="49" t="n">
        <v>0</v>
      </c>
      <c r="W2074" s="50" t="n">
        <v>0</v>
      </c>
      <c r="X2074" s="51" t="n">
        <v>0</v>
      </c>
      <c r="Y2074" s="52" t="n">
        <v>0</v>
      </c>
      <c r="Z2074" s="52" t="n">
        <v>0</v>
      </c>
      <c r="AA2074" s="52" t="n">
        <v>0</v>
      </c>
      <c r="AB2074" s="53" t="n">
        <v>0</v>
      </c>
      <c r="AC2074" s="52" t="n">
        <v>0</v>
      </c>
      <c r="AD2074" s="53" t="n">
        <v>0</v>
      </c>
      <c r="AE2074" s="52" t="n">
        <v>0</v>
      </c>
      <c r="AF2074" s="51" t="n">
        <v>0</v>
      </c>
      <c r="AG2074" s="48" t="n">
        <v>0</v>
      </c>
      <c r="AH2074" s="49" t="n">
        <v>0</v>
      </c>
      <c r="AI2074" s="49" t="n">
        <v>0</v>
      </c>
      <c r="AJ2074" s="50" t="n">
        <v>0</v>
      </c>
      <c r="AK2074" s="51" t="n">
        <v>0</v>
      </c>
      <c r="AL2074" s="52" t="n">
        <v>0</v>
      </c>
      <c r="AM2074" s="52" t="n">
        <v>0</v>
      </c>
      <c r="AN2074" s="52" t="n">
        <v>0</v>
      </c>
      <c r="AO2074" s="53" t="n">
        <v>0</v>
      </c>
      <c r="AP2074" s="52" t="n">
        <v>0</v>
      </c>
      <c r="AQ2074" s="53" t="n">
        <v>0</v>
      </c>
      <c r="AR2074" s="52" t="n">
        <v>0</v>
      </c>
      <c r="AS2074" s="51" t="n">
        <v>0</v>
      </c>
      <c r="AT2074" s="48" t="n">
        <v>0</v>
      </c>
      <c r="AU2074" s="49" t="n">
        <v>0</v>
      </c>
      <c r="AV2074" s="49" t="n">
        <v>0</v>
      </c>
      <c r="AW2074" s="50" t="n">
        <v>0</v>
      </c>
      <c r="AX2074" s="51" t="n">
        <v>0</v>
      </c>
      <c r="AY2074" s="52" t="n">
        <v>0</v>
      </c>
      <c r="AZ2074" s="52" t="n">
        <v>0</v>
      </c>
      <c r="BA2074" s="52" t="n">
        <v>0</v>
      </c>
      <c r="BB2074" s="53" t="n">
        <v>0</v>
      </c>
      <c r="BC2074" s="52" t="n">
        <v>0</v>
      </c>
      <c r="BD2074" s="53" t="n">
        <v>0</v>
      </c>
      <c r="BE2074" s="52" t="n">
        <v>0</v>
      </c>
      <c r="BF2074" s="51" t="n">
        <v>0</v>
      </c>
    </row>
    <row r="2075">
      <c r="A2075">
        <f>HYPERLINK("https://www.walmart.com/ip/343754278", "343754278")</f>
        <v/>
      </c>
      <c r="B2075" t="inlineStr">
        <is>
          <t>Tirrinia Insulated Lunch Bag for Women and Men, Leakproof Reusable Meal Prep Bento Box Insulated Cooler Bag, Dual Compartment with Shoulder Strap, Black And Grey, 10.2" x 7.5" x 9"</t>
        </is>
      </c>
      <c r="C2075" t="inlineStr">
        <is>
          <t>1KTLB600BKGY</t>
        </is>
      </c>
      <c r="D2075" t="inlineStr">
        <is>
          <t>Reusable Lunch Bags &amp; Boxes</t>
        </is>
      </c>
      <c r="E2075" t="inlineStr">
        <is>
          <t>Tirrinia</t>
        </is>
      </c>
      <c r="F2075" t="inlineStr">
        <is>
          <t>Q2-Target,Brand Camp VD,Lunch Bag,WFS,Lunch Bags,SEM,WFS Item</t>
        </is>
      </c>
      <c r="G2075" s="48" t="n">
        <v>0</v>
      </c>
      <c r="H2075" s="49" t="n">
        <v>0</v>
      </c>
      <c r="I2075" s="49" t="n">
        <v>24</v>
      </c>
      <c r="J2075" s="50" t="n">
        <v>0</v>
      </c>
      <c r="K2075" s="51" t="n">
        <v>0</v>
      </c>
      <c r="L2075" s="52" t="n">
        <v>0</v>
      </c>
      <c r="M2075" s="52" t="n">
        <v>0</v>
      </c>
      <c r="N2075" s="52" t="n">
        <v>0</v>
      </c>
      <c r="O2075" s="53" t="n">
        <v>0</v>
      </c>
      <c r="P2075" s="52" t="n">
        <v>0</v>
      </c>
      <c r="Q2075" s="53" t="n">
        <v>0</v>
      </c>
      <c r="R2075" s="52" t="n">
        <v>0</v>
      </c>
      <c r="S2075" s="51" t="n">
        <v>0</v>
      </c>
      <c r="T2075" s="48" t="n">
        <v>6.99</v>
      </c>
      <c r="U2075" s="49" t="n">
        <v>0</v>
      </c>
      <c r="V2075" s="49" t="n">
        <v>14</v>
      </c>
      <c r="W2075" s="50" t="n">
        <v>0</v>
      </c>
      <c r="X2075" s="51" t="n">
        <v>0</v>
      </c>
      <c r="Y2075" s="52" t="n">
        <v>0</v>
      </c>
      <c r="Z2075" s="52" t="n">
        <v>0</v>
      </c>
      <c r="AA2075" s="52" t="n">
        <v>0</v>
      </c>
      <c r="AB2075" s="53" t="n">
        <v>0</v>
      </c>
      <c r="AC2075" s="52" t="n">
        <v>0</v>
      </c>
      <c r="AD2075" s="53" t="n">
        <v>0</v>
      </c>
      <c r="AE2075" s="52" t="n">
        <v>0</v>
      </c>
      <c r="AF2075" s="51" t="n">
        <v>0</v>
      </c>
      <c r="AG2075" s="48" t="n">
        <v>0</v>
      </c>
      <c r="AH2075" s="49" t="n">
        <v>0</v>
      </c>
      <c r="AI2075" s="49" t="n">
        <v>8</v>
      </c>
      <c r="AJ2075" s="50" t="n">
        <v>0</v>
      </c>
      <c r="AK2075" s="51" t="n">
        <v>0</v>
      </c>
      <c r="AL2075" s="52" t="n">
        <v>0</v>
      </c>
      <c r="AM2075" s="52" t="n">
        <v>0</v>
      </c>
      <c r="AN2075" s="52" t="n">
        <v>0</v>
      </c>
      <c r="AO2075" s="53" t="n">
        <v>0</v>
      </c>
      <c r="AP2075" s="52" t="n">
        <v>0</v>
      </c>
      <c r="AQ2075" s="53" t="n">
        <v>0</v>
      </c>
      <c r="AR2075" s="52" t="n">
        <v>0</v>
      </c>
      <c r="AS2075" s="51" t="n">
        <v>0</v>
      </c>
      <c r="AT2075" s="48" t="n">
        <v>0</v>
      </c>
      <c r="AU2075" s="49" t="n">
        <v>0</v>
      </c>
      <c r="AV2075" s="49" t="n">
        <v>6</v>
      </c>
      <c r="AW2075" s="50" t="n">
        <v>0</v>
      </c>
      <c r="AX2075" s="51" t="n">
        <v>0</v>
      </c>
      <c r="AY2075" s="52" t="n">
        <v>0</v>
      </c>
      <c r="AZ2075" s="52" t="n">
        <v>0</v>
      </c>
      <c r="BA2075" s="52" t="n">
        <v>0</v>
      </c>
      <c r="BB2075" s="53" t="n">
        <v>0</v>
      </c>
      <c r="BC2075" s="52" t="n">
        <v>0</v>
      </c>
      <c r="BD2075" s="53" t="n">
        <v>0</v>
      </c>
      <c r="BE2075" s="52" t="n">
        <v>0</v>
      </c>
      <c r="BF2075" s="51" t="n">
        <v>0</v>
      </c>
    </row>
    <row r="2076">
      <c r="A2076">
        <f>HYPERLINK("https://www.walmart.com/ip/343765693", "343765693")</f>
        <v/>
      </c>
      <c r="B2076" t="inlineStr">
        <is>
          <t>Tankini Swimsuits for Women Two Piece Bathing Suits Open Back Flattering Swimwear</t>
        </is>
      </c>
      <c r="C2076" t="inlineStr">
        <is>
          <t>1SLSS005BK-L</t>
        </is>
      </c>
      <c r="D2076" t="inlineStr">
        <is>
          <t>Swimsuit Sets</t>
        </is>
      </c>
      <c r="E2076" t="inlineStr">
        <is>
          <t>Solaris</t>
        </is>
      </c>
      <c r="F2076" t="inlineStr">
        <is>
          <t>Optimized</t>
        </is>
      </c>
      <c r="G2076" s="48" t="n">
        <v>0</v>
      </c>
      <c r="H2076" s="49" t="n">
        <v>0</v>
      </c>
      <c r="I2076" s="49" t="n">
        <v>0</v>
      </c>
      <c r="J2076" s="50" t="n">
        <v>0</v>
      </c>
      <c r="K2076" s="51" t="n">
        <v>0</v>
      </c>
      <c r="L2076" s="52" t="n">
        <v>0</v>
      </c>
      <c r="M2076" s="52" t="n">
        <v>0</v>
      </c>
      <c r="N2076" s="52" t="n">
        <v>0</v>
      </c>
      <c r="O2076" s="53" t="n">
        <v>0</v>
      </c>
      <c r="P2076" s="52" t="n">
        <v>0</v>
      </c>
      <c r="Q2076" s="53" t="n">
        <v>0</v>
      </c>
      <c r="R2076" s="52" t="n">
        <v>0</v>
      </c>
      <c r="S2076" s="51" t="n">
        <v>0</v>
      </c>
      <c r="T2076" s="48" t="n">
        <v>12.99</v>
      </c>
      <c r="U2076" s="49" t="n">
        <v>1</v>
      </c>
      <c r="V2076" s="49" t="n">
        <v>0</v>
      </c>
      <c r="W2076" s="50" t="n">
        <v>0</v>
      </c>
      <c r="X2076" s="51" t="n">
        <v>0</v>
      </c>
      <c r="Y2076" s="52" t="n">
        <v>0</v>
      </c>
      <c r="Z2076" s="52" t="n">
        <v>0</v>
      </c>
      <c r="AA2076" s="52" t="n">
        <v>0</v>
      </c>
      <c r="AB2076" s="53" t="n">
        <v>0</v>
      </c>
      <c r="AC2076" s="52" t="n">
        <v>0</v>
      </c>
      <c r="AD2076" s="53" t="n">
        <v>0</v>
      </c>
      <c r="AE2076" s="52" t="n">
        <v>12.99</v>
      </c>
      <c r="AF2076" s="51" t="n">
        <v>0</v>
      </c>
      <c r="AG2076" s="48" t="n">
        <v>0</v>
      </c>
      <c r="AH2076" s="49" t="n">
        <v>0</v>
      </c>
      <c r="AI2076" s="49" t="n">
        <v>0</v>
      </c>
      <c r="AJ2076" s="50" t="n">
        <v>0</v>
      </c>
      <c r="AK2076" s="51" t="n">
        <v>0</v>
      </c>
      <c r="AL2076" s="52" t="n">
        <v>0</v>
      </c>
      <c r="AM2076" s="52" t="n">
        <v>0</v>
      </c>
      <c r="AN2076" s="52" t="n">
        <v>0</v>
      </c>
      <c r="AO2076" s="53" t="n">
        <v>0</v>
      </c>
      <c r="AP2076" s="52" t="n">
        <v>0</v>
      </c>
      <c r="AQ2076" s="53" t="n">
        <v>0</v>
      </c>
      <c r="AR2076" s="52" t="n">
        <v>0</v>
      </c>
      <c r="AS2076" s="51" t="n">
        <v>0</v>
      </c>
      <c r="AT2076" s="48" t="n">
        <v>0</v>
      </c>
      <c r="AU2076" s="49" t="n">
        <v>0</v>
      </c>
      <c r="AV2076" s="49" t="n">
        <v>0</v>
      </c>
      <c r="AW2076" s="50" t="n">
        <v>0</v>
      </c>
      <c r="AX2076" s="51" t="n">
        <v>0</v>
      </c>
      <c r="AY2076" s="52" t="n">
        <v>0</v>
      </c>
      <c r="AZ2076" s="52" t="n">
        <v>0</v>
      </c>
      <c r="BA2076" s="52" t="n">
        <v>0</v>
      </c>
      <c r="BB2076" s="53" t="n">
        <v>0</v>
      </c>
      <c r="BC2076" s="52" t="n">
        <v>0</v>
      </c>
      <c r="BD2076" s="53" t="n">
        <v>0</v>
      </c>
      <c r="BE2076" s="52" t="n">
        <v>0</v>
      </c>
      <c r="BF2076" s="51" t="n">
        <v>0</v>
      </c>
    </row>
    <row r="2077">
      <c r="A2077">
        <f>HYPERLINK("https://www.walmart.com/ip/3444324327", "3444324327")</f>
        <v/>
      </c>
      <c r="B2077" t="inlineStr">
        <is>
          <t>Tirrinia Insulated Lunch Box for Women | Lunch Bags for Women, Girls, Teens | Cute Blue Reusable Thermal Lunch Tote Purse Cooler for Kids, School, Work, Office, Adult | Fits 10 Cans (Blue Leaf)</t>
        </is>
      </c>
      <c r="C2077" t="inlineStr">
        <is>
          <t>1WMLB706AQLEA</t>
        </is>
      </c>
      <c r="D2077" t="inlineStr">
        <is>
          <t>Reusable Lunch Bags &amp; Boxes</t>
        </is>
      </c>
      <c r="E2077" t="inlineStr">
        <is>
          <t>Tirrinia</t>
        </is>
      </c>
      <c r="F2077" t="inlineStr">
        <is>
          <t>Q2-Target,Brand Camp VD</t>
        </is>
      </c>
      <c r="G2077" s="48" t="n">
        <v>0</v>
      </c>
      <c r="H2077" s="49" t="n">
        <v>0</v>
      </c>
      <c r="I2077" s="49" t="n">
        <v>6</v>
      </c>
      <c r="J2077" s="50" t="n">
        <v>0</v>
      </c>
      <c r="K2077" s="51" t="n">
        <v>0</v>
      </c>
      <c r="L2077" s="52" t="n">
        <v>0</v>
      </c>
      <c r="M2077" s="52" t="n">
        <v>0</v>
      </c>
      <c r="N2077" s="52" t="n">
        <v>0</v>
      </c>
      <c r="O2077" s="53" t="n">
        <v>0</v>
      </c>
      <c r="P2077" s="52" t="n">
        <v>0</v>
      </c>
      <c r="Q2077" s="53" t="n">
        <v>0</v>
      </c>
      <c r="R2077" s="52" t="n">
        <v>0</v>
      </c>
      <c r="S2077" s="51" t="n">
        <v>0</v>
      </c>
      <c r="T2077" s="48" t="n">
        <v>0</v>
      </c>
      <c r="U2077" s="49" t="n">
        <v>0</v>
      </c>
      <c r="V2077" s="49" t="n">
        <v>7</v>
      </c>
      <c r="W2077" s="50" t="n">
        <v>0</v>
      </c>
      <c r="X2077" s="51" t="n">
        <v>0</v>
      </c>
      <c r="Y2077" s="52" t="n">
        <v>0</v>
      </c>
      <c r="Z2077" s="52" t="n">
        <v>0</v>
      </c>
      <c r="AA2077" s="52" t="n">
        <v>0</v>
      </c>
      <c r="AB2077" s="53" t="n">
        <v>0</v>
      </c>
      <c r="AC2077" s="52" t="n">
        <v>0</v>
      </c>
      <c r="AD2077" s="53" t="n">
        <v>0</v>
      </c>
      <c r="AE2077" s="52" t="n">
        <v>0</v>
      </c>
      <c r="AF2077" s="51" t="n">
        <v>0</v>
      </c>
      <c r="AG2077" s="48" t="n">
        <v>49.95</v>
      </c>
      <c r="AH2077" s="49" t="n">
        <v>5</v>
      </c>
      <c r="AI2077" s="49" t="n">
        <v>10</v>
      </c>
      <c r="AJ2077" s="50" t="n">
        <v>0.5</v>
      </c>
      <c r="AK2077" s="51" t="n">
        <v>0</v>
      </c>
      <c r="AL2077" s="52" t="n">
        <v>0</v>
      </c>
      <c r="AM2077" s="52" t="n">
        <v>0</v>
      </c>
      <c r="AN2077" s="52" t="n">
        <v>0</v>
      </c>
      <c r="AO2077" s="53" t="n">
        <v>0</v>
      </c>
      <c r="AP2077" s="52" t="n">
        <v>0</v>
      </c>
      <c r="AQ2077" s="53" t="n">
        <v>0</v>
      </c>
      <c r="AR2077" s="52" t="n">
        <v>9.99</v>
      </c>
      <c r="AS2077" s="51" t="n">
        <v>0</v>
      </c>
      <c r="AT2077" s="48" t="n">
        <v>0</v>
      </c>
      <c r="AU2077" s="49" t="n">
        <v>0</v>
      </c>
      <c r="AV2077" s="49" t="n">
        <v>4</v>
      </c>
      <c r="AW2077" s="50" t="n">
        <v>0</v>
      </c>
      <c r="AX2077" s="51" t="n">
        <v>0</v>
      </c>
      <c r="AY2077" s="52" t="n">
        <v>0</v>
      </c>
      <c r="AZ2077" s="52" t="n">
        <v>0</v>
      </c>
      <c r="BA2077" s="52" t="n">
        <v>0</v>
      </c>
      <c r="BB2077" s="53" t="n">
        <v>0</v>
      </c>
      <c r="BC2077" s="52" t="n">
        <v>0</v>
      </c>
      <c r="BD2077" s="53" t="n">
        <v>0</v>
      </c>
      <c r="BE2077" s="52" t="n">
        <v>0</v>
      </c>
      <c r="BF2077" s="51" t="n">
        <v>0</v>
      </c>
    </row>
    <row r="2078">
      <c r="A2078">
        <f>HYPERLINK("https://www.walmart.com/ip/3444362894", "3444362894")</f>
        <v/>
      </c>
      <c r="B2078" t="inlineStr">
        <is>
          <t>Solaris Women Ponytail Sun Hat for Hiking, Fishing and Gardening, Outdoor UV Protection Safari Hat for Women with Breathable Mesh and Ponytail Hole Opening, Tan</t>
        </is>
      </c>
      <c r="C2078" t="inlineStr">
        <is>
          <t>1SLSH912TN</t>
        </is>
      </c>
      <c r="D2078" t="inlineStr">
        <is>
          <t>Hats</t>
        </is>
      </c>
      <c r="E2078" t="inlineStr">
        <is>
          <t>Solaris</t>
        </is>
      </c>
      <c r="F2078" t="inlineStr">
        <is>
          <t>Q2-Target,Hats</t>
        </is>
      </c>
      <c r="G2078" s="48" t="n">
        <v>0</v>
      </c>
      <c r="H2078" s="49" t="n">
        <v>0</v>
      </c>
      <c r="I2078" s="49" t="n">
        <v>0</v>
      </c>
      <c r="J2078" s="50" t="n">
        <v>0</v>
      </c>
      <c r="K2078" s="51" t="n">
        <v>0</v>
      </c>
      <c r="L2078" s="52" t="n">
        <v>0</v>
      </c>
      <c r="M2078" s="52" t="n">
        <v>0</v>
      </c>
      <c r="N2078" s="52" t="n">
        <v>0</v>
      </c>
      <c r="O2078" s="53" t="n">
        <v>0</v>
      </c>
      <c r="P2078" s="52" t="n">
        <v>0</v>
      </c>
      <c r="Q2078" s="53" t="n">
        <v>0</v>
      </c>
      <c r="R2078" s="52" t="n">
        <v>0</v>
      </c>
      <c r="S2078" s="51" t="n">
        <v>0</v>
      </c>
      <c r="T2078" s="48" t="n">
        <v>0</v>
      </c>
      <c r="U2078" s="49" t="n">
        <v>0</v>
      </c>
      <c r="V2078" s="49" t="n">
        <v>0</v>
      </c>
      <c r="W2078" s="50" t="n">
        <v>0</v>
      </c>
      <c r="X2078" s="51" t="n">
        <v>0</v>
      </c>
      <c r="Y2078" s="52" t="n">
        <v>0</v>
      </c>
      <c r="Z2078" s="52" t="n">
        <v>0</v>
      </c>
      <c r="AA2078" s="52" t="n">
        <v>0</v>
      </c>
      <c r="AB2078" s="53" t="n">
        <v>0</v>
      </c>
      <c r="AC2078" s="52" t="n">
        <v>0</v>
      </c>
      <c r="AD2078" s="53" t="n">
        <v>0</v>
      </c>
      <c r="AE2078" s="52" t="n">
        <v>0</v>
      </c>
      <c r="AF2078" s="51" t="n">
        <v>0</v>
      </c>
      <c r="AG2078" s="48" t="n">
        <v>0</v>
      </c>
      <c r="AH2078" s="49" t="n">
        <v>0</v>
      </c>
      <c r="AI2078" s="49" t="n">
        <v>0</v>
      </c>
      <c r="AJ2078" s="50" t="n">
        <v>0</v>
      </c>
      <c r="AK2078" s="51" t="n">
        <v>0</v>
      </c>
      <c r="AL2078" s="52" t="n">
        <v>0</v>
      </c>
      <c r="AM2078" s="52" t="n">
        <v>0</v>
      </c>
      <c r="AN2078" s="52" t="n">
        <v>0</v>
      </c>
      <c r="AO2078" s="53" t="n">
        <v>0</v>
      </c>
      <c r="AP2078" s="52" t="n">
        <v>0</v>
      </c>
      <c r="AQ2078" s="53" t="n">
        <v>0</v>
      </c>
      <c r="AR2078" s="52" t="n">
        <v>0</v>
      </c>
      <c r="AS2078" s="51" t="n">
        <v>0</v>
      </c>
      <c r="AT2078" s="48" t="n">
        <v>0</v>
      </c>
      <c r="AU2078" s="49" t="n">
        <v>0</v>
      </c>
      <c r="AV2078" s="49" t="n">
        <v>0</v>
      </c>
      <c r="AW2078" s="50" t="n">
        <v>0</v>
      </c>
      <c r="AX2078" s="51" t="n">
        <v>0</v>
      </c>
      <c r="AY2078" s="52" t="n">
        <v>0</v>
      </c>
      <c r="AZ2078" s="52" t="n">
        <v>0</v>
      </c>
      <c r="BA2078" s="52" t="n">
        <v>0</v>
      </c>
      <c r="BB2078" s="53" t="n">
        <v>0</v>
      </c>
      <c r="BC2078" s="52" t="n">
        <v>0</v>
      </c>
      <c r="BD2078" s="53" t="n">
        <v>0</v>
      </c>
      <c r="BE2078" s="52" t="n">
        <v>0</v>
      </c>
      <c r="BF2078" s="51" t="n">
        <v>0</v>
      </c>
    </row>
    <row r="2079">
      <c r="A2079">
        <f>HYPERLINK("https://www.walmart.com/ip/346704703", "346704703")</f>
        <v/>
      </c>
      <c r="B2079" t="inlineStr">
        <is>
          <t>Flyingstar Wearable Blanket with Sleeves and Pocket, Fleece Micro Plush Throws Blanket, Robe for Women and Men 73” x 51” Plaid Red</t>
        </is>
      </c>
      <c r="C2079" t="inlineStr">
        <is>
          <t>1WMSN100P2RD</t>
        </is>
      </c>
      <c r="D2079" t="inlineStr">
        <is>
          <t>Throws</t>
        </is>
      </c>
      <c r="E2079" t="inlineStr">
        <is>
          <t>Flyingstar</t>
        </is>
      </c>
      <c r="F2079" t="inlineStr">
        <is>
          <t>Batch 1 - TR</t>
        </is>
      </c>
      <c r="G2079" s="48" t="n">
        <v>0</v>
      </c>
      <c r="H2079" s="49" t="n">
        <v>0</v>
      </c>
      <c r="I2079" s="49" t="n">
        <v>0</v>
      </c>
      <c r="J2079" s="50" t="n">
        <v>0</v>
      </c>
      <c r="K2079" s="51" t="n">
        <v>0</v>
      </c>
      <c r="L2079" s="52" t="n">
        <v>0</v>
      </c>
      <c r="M2079" s="52" t="n">
        <v>0</v>
      </c>
      <c r="N2079" s="52" t="n">
        <v>0</v>
      </c>
      <c r="O2079" s="53" t="n">
        <v>0</v>
      </c>
      <c r="P2079" s="52" t="n">
        <v>0</v>
      </c>
      <c r="Q2079" s="53" t="n">
        <v>0</v>
      </c>
      <c r="R2079" s="52" t="n">
        <v>0</v>
      </c>
      <c r="S2079" s="51" t="n">
        <v>0</v>
      </c>
      <c r="T2079" s="48" t="n">
        <v>0</v>
      </c>
      <c r="U2079" s="49" t="n">
        <v>0</v>
      </c>
      <c r="V2079" s="49" t="n">
        <v>0</v>
      </c>
      <c r="W2079" s="50" t="n">
        <v>0</v>
      </c>
      <c r="X2079" s="51" t="n">
        <v>0</v>
      </c>
      <c r="Y2079" s="52" t="n">
        <v>0</v>
      </c>
      <c r="Z2079" s="52" t="n">
        <v>0</v>
      </c>
      <c r="AA2079" s="52" t="n">
        <v>0</v>
      </c>
      <c r="AB2079" s="53" t="n">
        <v>0</v>
      </c>
      <c r="AC2079" s="52" t="n">
        <v>0</v>
      </c>
      <c r="AD2079" s="53" t="n">
        <v>0</v>
      </c>
      <c r="AE2079" s="52" t="n">
        <v>0</v>
      </c>
      <c r="AF2079" s="51" t="n">
        <v>0</v>
      </c>
      <c r="AG2079" s="48" t="n">
        <v>0</v>
      </c>
      <c r="AH2079" s="49" t="n">
        <v>0</v>
      </c>
      <c r="AI2079" s="49" t="n">
        <v>0</v>
      </c>
      <c r="AJ2079" s="50" t="n">
        <v>0</v>
      </c>
      <c r="AK2079" s="51" t="n">
        <v>0</v>
      </c>
      <c r="AL2079" s="52" t="n">
        <v>0</v>
      </c>
      <c r="AM2079" s="52" t="n">
        <v>0</v>
      </c>
      <c r="AN2079" s="52" t="n">
        <v>0</v>
      </c>
      <c r="AO2079" s="53" t="n">
        <v>0</v>
      </c>
      <c r="AP2079" s="52" t="n">
        <v>0</v>
      </c>
      <c r="AQ2079" s="53" t="n">
        <v>0</v>
      </c>
      <c r="AR2079" s="52" t="n">
        <v>0</v>
      </c>
      <c r="AS2079" s="51" t="n">
        <v>0</v>
      </c>
      <c r="AT2079" s="48" t="n">
        <v>0</v>
      </c>
      <c r="AU2079" s="49" t="n">
        <v>0</v>
      </c>
      <c r="AV2079" s="49" t="n">
        <v>0</v>
      </c>
      <c r="AW2079" s="50" t="n">
        <v>0</v>
      </c>
      <c r="AX2079" s="51" t="n">
        <v>0</v>
      </c>
      <c r="AY2079" s="52" t="n">
        <v>0</v>
      </c>
      <c r="AZ2079" s="52" t="n">
        <v>0</v>
      </c>
      <c r="BA2079" s="52" t="n">
        <v>0</v>
      </c>
      <c r="BB2079" s="53" t="n">
        <v>0</v>
      </c>
      <c r="BC2079" s="52" t="n">
        <v>0</v>
      </c>
      <c r="BD2079" s="53" t="n">
        <v>0</v>
      </c>
      <c r="BE2079" s="52" t="n">
        <v>0</v>
      </c>
      <c r="BF2079" s="51" t="n">
        <v>0</v>
      </c>
    </row>
    <row r="2080">
      <c r="A2080">
        <f>HYPERLINK("https://www.walmart.com/ip/3479957758", "3479957758")</f>
        <v/>
      </c>
      <c r="B2080" t="inlineStr">
        <is>
          <t>Tirrinia Lunch Bags for Women Men, Cute Insulated Lunch Tote Bag for Girls, Fashionable Lunch Box for Adult Kids, Reusable Large Cooler Lunch Bag for School, Work, Office, Picnic | Navy Diamond</t>
        </is>
      </c>
      <c r="C2080" t="inlineStr">
        <is>
          <t>1WMLB707NYDIA</t>
        </is>
      </c>
      <c r="D2080" t="inlineStr">
        <is>
          <t>Reusable Lunch Bags &amp; Boxes</t>
        </is>
      </c>
      <c r="E2080" t="inlineStr">
        <is>
          <t>Tirrinia</t>
        </is>
      </c>
      <c r="F2080" t="inlineStr">
        <is>
          <t>Q2-Target,Brand Camp VD</t>
        </is>
      </c>
      <c r="G2080" s="48" t="n">
        <v>0</v>
      </c>
      <c r="H2080" s="49" t="n">
        <v>0</v>
      </c>
      <c r="I2080" s="49" t="n">
        <v>0</v>
      </c>
      <c r="J2080" s="50" t="n">
        <v>0</v>
      </c>
      <c r="K2080" s="51" t="n">
        <v>0</v>
      </c>
      <c r="L2080" s="52" t="n">
        <v>0</v>
      </c>
      <c r="M2080" s="52" t="n">
        <v>0</v>
      </c>
      <c r="N2080" s="52" t="n">
        <v>0</v>
      </c>
      <c r="O2080" s="53" t="n">
        <v>0</v>
      </c>
      <c r="P2080" s="52" t="n">
        <v>0</v>
      </c>
      <c r="Q2080" s="53" t="n">
        <v>0</v>
      </c>
      <c r="R2080" s="52" t="n">
        <v>0</v>
      </c>
      <c r="S2080" s="51" t="n">
        <v>0</v>
      </c>
      <c r="T2080" s="48" t="n">
        <v>0</v>
      </c>
      <c r="U2080" s="49" t="n">
        <v>0</v>
      </c>
      <c r="V2080" s="49" t="n">
        <v>0</v>
      </c>
      <c r="W2080" s="50" t="n">
        <v>0</v>
      </c>
      <c r="X2080" s="51" t="n">
        <v>0</v>
      </c>
      <c r="Y2080" s="52" t="n">
        <v>0</v>
      </c>
      <c r="Z2080" s="52" t="n">
        <v>0</v>
      </c>
      <c r="AA2080" s="52" t="n">
        <v>0</v>
      </c>
      <c r="AB2080" s="53" t="n">
        <v>0</v>
      </c>
      <c r="AC2080" s="52" t="n">
        <v>0</v>
      </c>
      <c r="AD2080" s="53" t="n">
        <v>0</v>
      </c>
      <c r="AE2080" s="52" t="n">
        <v>0</v>
      </c>
      <c r="AF2080" s="51" t="n">
        <v>0</v>
      </c>
      <c r="AG2080" s="48" t="n">
        <v>0</v>
      </c>
      <c r="AH2080" s="49" t="n">
        <v>0</v>
      </c>
      <c r="AI2080" s="49" t="n">
        <v>0</v>
      </c>
      <c r="AJ2080" s="50" t="n">
        <v>0</v>
      </c>
      <c r="AK2080" s="51" t="n">
        <v>0</v>
      </c>
      <c r="AL2080" s="52" t="n">
        <v>0</v>
      </c>
      <c r="AM2080" s="52" t="n">
        <v>0</v>
      </c>
      <c r="AN2080" s="52" t="n">
        <v>0</v>
      </c>
      <c r="AO2080" s="53" t="n">
        <v>0</v>
      </c>
      <c r="AP2080" s="52" t="n">
        <v>0</v>
      </c>
      <c r="AQ2080" s="53" t="n">
        <v>0</v>
      </c>
      <c r="AR2080" s="52" t="n">
        <v>0</v>
      </c>
      <c r="AS2080" s="51" t="n">
        <v>0</v>
      </c>
      <c r="AT2080" s="48" t="n">
        <v>0</v>
      </c>
      <c r="AU2080" s="49" t="n">
        <v>0</v>
      </c>
      <c r="AV2080" s="49" t="n">
        <v>0</v>
      </c>
      <c r="AW2080" s="50" t="n">
        <v>0</v>
      </c>
      <c r="AX2080" s="51" t="n">
        <v>0</v>
      </c>
      <c r="AY2080" s="52" t="n">
        <v>0</v>
      </c>
      <c r="AZ2080" s="52" t="n">
        <v>0</v>
      </c>
      <c r="BA2080" s="52" t="n">
        <v>0</v>
      </c>
      <c r="BB2080" s="53" t="n">
        <v>0</v>
      </c>
      <c r="BC2080" s="52" t="n">
        <v>0</v>
      </c>
      <c r="BD2080" s="53" t="n">
        <v>0</v>
      </c>
      <c r="BE2080" s="52" t="n">
        <v>0</v>
      </c>
      <c r="BF2080" s="51" t="n">
        <v>0</v>
      </c>
    </row>
    <row r="2081">
      <c r="A2081">
        <f>HYPERLINK("https://www.walmart.com/ip/3353601762", "3353601762")</f>
        <v/>
      </c>
      <c r="B2081" t="inlineStr">
        <is>
          <t>Dickies Kids Insulated Lunch Bag for School, Thermal Reusable Lunch Box for Kids, Boys, Girls - 8 Years Old and Up (Pink)</t>
        </is>
      </c>
      <c r="C2081" t="inlineStr">
        <is>
          <t>DK-LUNCH-KIDS-CHARCOAL</t>
        </is>
      </c>
      <c r="D2081" t="inlineStr">
        <is>
          <t>Reusable Lunch Bags &amp; Boxes</t>
        </is>
      </c>
      <c r="E2081" t="inlineStr">
        <is>
          <t>Dickies</t>
        </is>
      </c>
      <c r="G2081" s="48" t="n">
        <v>0</v>
      </c>
      <c r="H2081" s="49" t="n">
        <v>0</v>
      </c>
      <c r="I2081" s="49" t="n">
        <v>0</v>
      </c>
      <c r="J2081" s="50" t="n">
        <v>0</v>
      </c>
      <c r="K2081" s="51" t="n">
        <v>0</v>
      </c>
      <c r="L2081" s="52" t="n">
        <v>0</v>
      </c>
      <c r="M2081" s="52" t="n">
        <v>0</v>
      </c>
      <c r="N2081" s="52" t="n">
        <v>0</v>
      </c>
      <c r="O2081" s="53" t="n">
        <v>0</v>
      </c>
      <c r="P2081" s="52" t="n">
        <v>0</v>
      </c>
      <c r="Q2081" s="53" t="n">
        <v>0</v>
      </c>
      <c r="R2081" s="52" t="n">
        <v>0</v>
      </c>
      <c r="S2081" s="51" t="n">
        <v>0</v>
      </c>
      <c r="T2081" s="48" t="n">
        <v>0</v>
      </c>
      <c r="U2081" s="49" t="n">
        <v>0</v>
      </c>
      <c r="V2081" s="49" t="n">
        <v>0</v>
      </c>
      <c r="W2081" s="50" t="n">
        <v>0</v>
      </c>
      <c r="X2081" s="51" t="n">
        <v>0</v>
      </c>
      <c r="Y2081" s="52" t="n">
        <v>0</v>
      </c>
      <c r="Z2081" s="52" t="n">
        <v>0</v>
      </c>
      <c r="AA2081" s="52" t="n">
        <v>0</v>
      </c>
      <c r="AB2081" s="53" t="n">
        <v>0</v>
      </c>
      <c r="AC2081" s="52" t="n">
        <v>0</v>
      </c>
      <c r="AD2081" s="53" t="n">
        <v>0</v>
      </c>
      <c r="AE2081" s="52" t="n">
        <v>0</v>
      </c>
      <c r="AF2081" s="51" t="n">
        <v>0</v>
      </c>
      <c r="AG2081" s="48" t="n">
        <v>0</v>
      </c>
      <c r="AH2081" s="49" t="n">
        <v>0</v>
      </c>
      <c r="AI2081" s="49" t="n">
        <v>0</v>
      </c>
      <c r="AJ2081" s="50" t="n">
        <v>0</v>
      </c>
      <c r="AK2081" s="51" t="n">
        <v>0</v>
      </c>
      <c r="AL2081" s="52" t="n">
        <v>0</v>
      </c>
      <c r="AM2081" s="52" t="n">
        <v>0</v>
      </c>
      <c r="AN2081" s="52" t="n">
        <v>0</v>
      </c>
      <c r="AO2081" s="53" t="n">
        <v>0</v>
      </c>
      <c r="AP2081" s="52" t="n">
        <v>0</v>
      </c>
      <c r="AQ2081" s="53" t="n">
        <v>0</v>
      </c>
      <c r="AR2081" s="52" t="n">
        <v>0</v>
      </c>
      <c r="AS2081" s="51" t="n">
        <v>0</v>
      </c>
      <c r="AT2081" s="48" t="n">
        <v>0</v>
      </c>
      <c r="AU2081" s="49" t="n">
        <v>0</v>
      </c>
      <c r="AV2081" s="49" t="n">
        <v>0</v>
      </c>
      <c r="AW2081" s="50" t="n">
        <v>0</v>
      </c>
      <c r="AX2081" s="51" t="n">
        <v>0</v>
      </c>
      <c r="AY2081" s="52" t="n">
        <v>0</v>
      </c>
      <c r="AZ2081" s="52" t="n">
        <v>0</v>
      </c>
      <c r="BA2081" s="52" t="n">
        <v>0</v>
      </c>
      <c r="BB2081" s="53" t="n">
        <v>0</v>
      </c>
      <c r="BC2081" s="52" t="n">
        <v>0</v>
      </c>
      <c r="BD2081" s="53" t="n">
        <v>0</v>
      </c>
      <c r="BE2081" s="52" t="n">
        <v>0</v>
      </c>
      <c r="BF2081" s="51" t="n">
        <v>0</v>
      </c>
    </row>
    <row r="2082">
      <c r="A2082">
        <f>HYPERLINK("https://www.walmart.com/ip/3351048837", "3351048837")</f>
        <v/>
      </c>
      <c r="B2082" t="inlineStr">
        <is>
          <t>Kato Outdoors Waterproof Throw Blanket, Sherpa Fleece Stadium Windproof Mat For Traveling, Camping, Hiking, Football - Machine Washable, Light Gray, 51"x 59".</t>
        </is>
      </c>
      <c r="C2082" t="inlineStr">
        <is>
          <t>1KTBW506LGDG</t>
        </is>
      </c>
      <c r="D2082" t="inlineStr">
        <is>
          <t>Throws</t>
        </is>
      </c>
      <c r="E2082" t="inlineStr">
        <is>
          <t>Kato</t>
        </is>
      </c>
      <c r="F2082" t="inlineStr">
        <is>
          <t>Q2-Target</t>
        </is>
      </c>
      <c r="G2082" s="48" t="n">
        <v>0</v>
      </c>
      <c r="H2082" s="49" t="n">
        <v>0</v>
      </c>
      <c r="I2082" s="49" t="n">
        <v>0</v>
      </c>
      <c r="J2082" s="50" t="n">
        <v>0</v>
      </c>
      <c r="K2082" s="51" t="n">
        <v>0</v>
      </c>
      <c r="L2082" s="52" t="n">
        <v>0</v>
      </c>
      <c r="M2082" s="52" t="n">
        <v>0</v>
      </c>
      <c r="N2082" s="52" t="n">
        <v>0</v>
      </c>
      <c r="O2082" s="53" t="n">
        <v>0</v>
      </c>
      <c r="P2082" s="52" t="n">
        <v>0</v>
      </c>
      <c r="Q2082" s="53" t="n">
        <v>0</v>
      </c>
      <c r="R2082" s="52" t="n">
        <v>0</v>
      </c>
      <c r="S2082" s="51" t="n">
        <v>222</v>
      </c>
      <c r="T2082" s="48" t="n">
        <v>0</v>
      </c>
      <c r="U2082" s="49" t="n">
        <v>0</v>
      </c>
      <c r="V2082" s="49" t="n">
        <v>0</v>
      </c>
      <c r="W2082" s="50" t="n">
        <v>0</v>
      </c>
      <c r="X2082" s="51" t="n">
        <v>0</v>
      </c>
      <c r="Y2082" s="52" t="n">
        <v>0</v>
      </c>
      <c r="Z2082" s="52" t="n">
        <v>0</v>
      </c>
      <c r="AA2082" s="52" t="n">
        <v>0</v>
      </c>
      <c r="AB2082" s="53" t="n">
        <v>0</v>
      </c>
      <c r="AC2082" s="52" t="n">
        <v>0</v>
      </c>
      <c r="AD2082" s="53" t="n">
        <v>0</v>
      </c>
      <c r="AE2082" s="52" t="n">
        <v>0</v>
      </c>
      <c r="AF2082" s="51" t="n">
        <v>591</v>
      </c>
      <c r="AG2082" s="48" t="n">
        <v>0</v>
      </c>
      <c r="AH2082" s="49" t="n">
        <v>0</v>
      </c>
      <c r="AI2082" s="49" t="n">
        <v>0</v>
      </c>
      <c r="AJ2082" s="50" t="n">
        <v>0</v>
      </c>
      <c r="AK2082" s="51" t="n">
        <v>0</v>
      </c>
      <c r="AL2082" s="52" t="n">
        <v>0</v>
      </c>
      <c r="AM2082" s="52" t="n">
        <v>0</v>
      </c>
      <c r="AN2082" s="52" t="n">
        <v>0</v>
      </c>
      <c r="AO2082" s="53" t="n">
        <v>0</v>
      </c>
      <c r="AP2082" s="52" t="n">
        <v>0</v>
      </c>
      <c r="AQ2082" s="53" t="n">
        <v>0</v>
      </c>
      <c r="AR2082" s="52" t="n">
        <v>0</v>
      </c>
      <c r="AS2082" s="51" t="n">
        <v>0</v>
      </c>
      <c r="AT2082" s="48" t="n">
        <v>0</v>
      </c>
      <c r="AU2082" s="49" t="n">
        <v>0</v>
      </c>
      <c r="AV2082" s="49" t="n">
        <v>0</v>
      </c>
      <c r="AW2082" s="50" t="n">
        <v>0</v>
      </c>
      <c r="AX2082" s="51" t="n">
        <v>0</v>
      </c>
      <c r="AY2082" s="52" t="n">
        <v>0</v>
      </c>
      <c r="AZ2082" s="52" t="n">
        <v>0</v>
      </c>
      <c r="BA2082" s="52" t="n">
        <v>0</v>
      </c>
      <c r="BB2082" s="53" t="n">
        <v>0</v>
      </c>
      <c r="BC2082" s="52" t="n">
        <v>0</v>
      </c>
      <c r="BD2082" s="53" t="n">
        <v>0</v>
      </c>
      <c r="BE2082" s="52" t="n">
        <v>0</v>
      </c>
      <c r="BF2082" s="51" t="n">
        <v>459</v>
      </c>
    </row>
    <row r="2083">
      <c r="A2083">
        <f>HYPERLINK("https://www.walmart.com/ip/348278440", "348278440")</f>
        <v/>
      </c>
      <c r="B2083" t="inlineStr">
        <is>
          <t>Catalonia Waterproof Blanket for Bed, Reversible Baby Pet Doggy Pee Proof Fleece Blankets, Large Couch Sofa Cover Furniture Boat Mattress Protector, King Size 80x90 inches, Navy</t>
        </is>
      </c>
      <c r="C2083" t="inlineStr">
        <is>
          <t>1CTBW982NYTP</t>
        </is>
      </c>
      <c r="D2083" t="inlineStr">
        <is>
          <t>Throws</t>
        </is>
      </c>
      <c r="E2083" t="inlineStr">
        <is>
          <t>Catalonia</t>
        </is>
      </c>
      <c r="F2083" t="inlineStr">
        <is>
          <t>Wproof Blanket,Fleece Blankets,Batch 1 - TR</t>
        </is>
      </c>
      <c r="G2083" s="48" t="n">
        <v>0</v>
      </c>
      <c r="H2083" s="49" t="n">
        <v>0</v>
      </c>
      <c r="I2083" s="49" t="n">
        <v>0</v>
      </c>
      <c r="J2083" s="50" t="n">
        <v>0</v>
      </c>
      <c r="K2083" s="51" t="n">
        <v>2</v>
      </c>
      <c r="L2083" s="52" t="n">
        <v>0.9</v>
      </c>
      <c r="M2083" s="52" t="n">
        <v>0</v>
      </c>
      <c r="N2083" s="52" t="n">
        <v>0</v>
      </c>
      <c r="O2083" s="53" t="n">
        <v>0.0015</v>
      </c>
      <c r="P2083" s="52" t="n">
        <v>0.45</v>
      </c>
      <c r="Q2083" s="53" t="n">
        <v>0</v>
      </c>
      <c r="R2083" s="52" t="n">
        <v>0</v>
      </c>
      <c r="S2083" s="51" t="n">
        <v>1329</v>
      </c>
      <c r="T2083" s="48" t="n">
        <v>0</v>
      </c>
      <c r="U2083" s="49" t="n">
        <v>0</v>
      </c>
      <c r="V2083" s="49" t="n">
        <v>0</v>
      </c>
      <c r="W2083" s="50" t="n">
        <v>0</v>
      </c>
      <c r="X2083" s="51" t="n">
        <v>7</v>
      </c>
      <c r="Y2083" s="52" t="n">
        <v>3.080000000000001</v>
      </c>
      <c r="Z2083" s="52" t="n">
        <v>0</v>
      </c>
      <c r="AA2083" s="52" t="n">
        <v>0</v>
      </c>
      <c r="AB2083" s="53" t="n">
        <v>0.0036</v>
      </c>
      <c r="AC2083" s="52" t="n">
        <v>0.4400000000000001</v>
      </c>
      <c r="AD2083" s="53" t="n">
        <v>0</v>
      </c>
      <c r="AE2083" s="52" t="n">
        <v>0</v>
      </c>
      <c r="AF2083" s="51" t="n">
        <v>1964</v>
      </c>
      <c r="AG2083" s="48" t="n">
        <v>59.99</v>
      </c>
      <c r="AH2083" s="49" t="n">
        <v>1</v>
      </c>
      <c r="AI2083" s="49" t="n">
        <v>0</v>
      </c>
      <c r="AJ2083" s="50" t="n">
        <v>0</v>
      </c>
      <c r="AK2083" s="51" t="n">
        <v>3</v>
      </c>
      <c r="AL2083" s="52" t="n">
        <v>1.35</v>
      </c>
      <c r="AM2083" s="52" t="n">
        <v>59.99</v>
      </c>
      <c r="AN2083" s="52" t="n">
        <v>44.44</v>
      </c>
      <c r="AO2083" s="53" t="n">
        <v>0.0021</v>
      </c>
      <c r="AP2083" s="52" t="n">
        <v>0.45</v>
      </c>
      <c r="AQ2083" s="53" t="n">
        <v>0.02250375062510418</v>
      </c>
      <c r="AR2083" s="52" t="n">
        <v>59.99</v>
      </c>
      <c r="AS2083" s="51" t="n">
        <v>1396</v>
      </c>
      <c r="AT2083" s="48" t="n">
        <v>0</v>
      </c>
      <c r="AU2083" s="49" t="n">
        <v>0</v>
      </c>
      <c r="AV2083" s="49" t="n">
        <v>0</v>
      </c>
      <c r="AW2083" s="50" t="n">
        <v>0</v>
      </c>
      <c r="AX2083" s="51" t="n">
        <v>0</v>
      </c>
      <c r="AY2083" s="52" t="n">
        <v>0</v>
      </c>
      <c r="AZ2083" s="52" t="n">
        <v>0</v>
      </c>
      <c r="BA2083" s="52" t="n">
        <v>0</v>
      </c>
      <c r="BB2083" s="53" t="n">
        <v>0</v>
      </c>
      <c r="BC2083" s="52" t="n">
        <v>0</v>
      </c>
      <c r="BD2083" s="53" t="n">
        <v>0</v>
      </c>
      <c r="BE2083" s="52" t="n">
        <v>0</v>
      </c>
      <c r="BF2083" s="51" t="n">
        <v>360</v>
      </c>
    </row>
    <row r="2084">
      <c r="A2084">
        <f>HYPERLINK("https://www.walmart.com/ip/334995524", "334995524")</f>
        <v/>
      </c>
      <c r="B2084" t="inlineStr">
        <is>
          <t>Sherpa Wearable Blanket with Sleeves &amp; Foot Pockets for Adult Women Men, Comfy Snuggle Wrap Sleeved Throw Blanket Robe, Gift Idea, Cheetah</t>
        </is>
      </c>
      <c r="C2084" t="inlineStr">
        <is>
          <t>1CTSN310CHEETAH</t>
        </is>
      </c>
      <c r="D2084" t="inlineStr">
        <is>
          <t>Throws</t>
        </is>
      </c>
      <c r="E2084" t="inlineStr">
        <is>
          <t>Catalonia</t>
        </is>
      </c>
      <c r="F2084" t="inlineStr">
        <is>
          <t>Optimized,WFS,SEM,Coupon_Discount,WFS Item</t>
        </is>
      </c>
      <c r="G2084" s="48" t="n">
        <v>0</v>
      </c>
      <c r="H2084" s="49" t="n">
        <v>0</v>
      </c>
      <c r="I2084" s="49" t="n">
        <v>0</v>
      </c>
      <c r="J2084" s="50" t="n">
        <v>0</v>
      </c>
      <c r="K2084" s="51" t="n">
        <v>0</v>
      </c>
      <c r="L2084" s="52" t="n">
        <v>0</v>
      </c>
      <c r="M2084" s="52" t="n">
        <v>0</v>
      </c>
      <c r="N2084" s="52" t="n">
        <v>0</v>
      </c>
      <c r="O2084" s="53" t="n">
        <v>0</v>
      </c>
      <c r="P2084" s="52" t="n">
        <v>0</v>
      </c>
      <c r="Q2084" s="53" t="n">
        <v>0</v>
      </c>
      <c r="R2084" s="52" t="n">
        <v>0</v>
      </c>
      <c r="S2084" s="51" t="n">
        <v>0</v>
      </c>
      <c r="T2084" s="48" t="n">
        <v>0</v>
      </c>
      <c r="U2084" s="49" t="n">
        <v>0</v>
      </c>
      <c r="V2084" s="49" t="n">
        <v>0</v>
      </c>
      <c r="W2084" s="50" t="n">
        <v>0</v>
      </c>
      <c r="X2084" s="51" t="n">
        <v>0</v>
      </c>
      <c r="Y2084" s="52" t="n">
        <v>0</v>
      </c>
      <c r="Z2084" s="52" t="n">
        <v>0</v>
      </c>
      <c r="AA2084" s="52" t="n">
        <v>0</v>
      </c>
      <c r="AB2084" s="53" t="n">
        <v>0</v>
      </c>
      <c r="AC2084" s="52" t="n">
        <v>0</v>
      </c>
      <c r="AD2084" s="53" t="n">
        <v>0</v>
      </c>
      <c r="AE2084" s="52" t="n">
        <v>0</v>
      </c>
      <c r="AF2084" s="51" t="n">
        <v>0</v>
      </c>
      <c r="AG2084" s="48" t="n">
        <v>0</v>
      </c>
      <c r="AH2084" s="49" t="n">
        <v>0</v>
      </c>
      <c r="AI2084" s="49" t="n">
        <v>0</v>
      </c>
      <c r="AJ2084" s="50" t="n">
        <v>0</v>
      </c>
      <c r="AK2084" s="51" t="n">
        <v>0</v>
      </c>
      <c r="AL2084" s="52" t="n">
        <v>0</v>
      </c>
      <c r="AM2084" s="52" t="n">
        <v>0</v>
      </c>
      <c r="AN2084" s="52" t="n">
        <v>0</v>
      </c>
      <c r="AO2084" s="53" t="n">
        <v>0</v>
      </c>
      <c r="AP2084" s="52" t="n">
        <v>0</v>
      </c>
      <c r="AQ2084" s="53" t="n">
        <v>0</v>
      </c>
      <c r="AR2084" s="52" t="n">
        <v>0</v>
      </c>
      <c r="AS2084" s="51" t="n">
        <v>0</v>
      </c>
      <c r="AT2084" s="48" t="n">
        <v>0</v>
      </c>
      <c r="AU2084" s="49" t="n">
        <v>0</v>
      </c>
      <c r="AV2084" s="49" t="n">
        <v>0</v>
      </c>
      <c r="AW2084" s="50" t="n">
        <v>0</v>
      </c>
      <c r="AX2084" s="51" t="n">
        <v>0</v>
      </c>
      <c r="AY2084" s="52" t="n">
        <v>0</v>
      </c>
      <c r="AZ2084" s="52" t="n">
        <v>0</v>
      </c>
      <c r="BA2084" s="52" t="n">
        <v>0</v>
      </c>
      <c r="BB2084" s="53" t="n">
        <v>0</v>
      </c>
      <c r="BC2084" s="52" t="n">
        <v>0</v>
      </c>
      <c r="BD2084" s="53" t="n">
        <v>0</v>
      </c>
      <c r="BE2084" s="52" t="n">
        <v>0</v>
      </c>
      <c r="BF2084" s="51" t="n">
        <v>0</v>
      </c>
    </row>
    <row r="2085">
      <c r="A2085">
        <f>HYPERLINK("https://www.walmart.com/ip/329006795", "329006795")</f>
        <v/>
      </c>
      <c r="B2085" t="inlineStr">
        <is>
          <t>Solaris Men Winter Ski Snow Gloves with Breathable Face Mask The Warmest 3M Insulation Waterproof Outdoor Snowboard Mitt</t>
        </is>
      </c>
      <c r="C2085" t="inlineStr">
        <is>
          <t>1SLWG302BKGY-M</t>
        </is>
      </c>
      <c r="D2085" t="inlineStr">
        <is>
          <t>Gloves &amp; Mittens</t>
        </is>
      </c>
      <c r="E2085" t="inlineStr">
        <is>
          <t>Solaris</t>
        </is>
      </c>
      <c r="F2085" t="inlineStr">
        <is>
          <t>Gloves,WFS,WFS Item</t>
        </is>
      </c>
      <c r="G2085" s="48" t="n">
        <v>0</v>
      </c>
      <c r="H2085" s="49" t="n">
        <v>0</v>
      </c>
      <c r="I2085" s="49" t="n">
        <v>0</v>
      </c>
      <c r="J2085" s="50" t="n">
        <v>0</v>
      </c>
      <c r="K2085" s="51" t="n">
        <v>0</v>
      </c>
      <c r="L2085" s="52" t="n">
        <v>0</v>
      </c>
      <c r="M2085" s="52" t="n">
        <v>0</v>
      </c>
      <c r="N2085" s="52" t="n">
        <v>0</v>
      </c>
      <c r="O2085" s="53" t="n">
        <v>0</v>
      </c>
      <c r="P2085" s="52" t="n">
        <v>0</v>
      </c>
      <c r="Q2085" s="53" t="n">
        <v>0</v>
      </c>
      <c r="R2085" s="52" t="n">
        <v>0</v>
      </c>
      <c r="S2085" s="51" t="n">
        <v>0</v>
      </c>
      <c r="T2085" s="48" t="n">
        <v>0</v>
      </c>
      <c r="U2085" s="49" t="n">
        <v>0</v>
      </c>
      <c r="V2085" s="49" t="n">
        <v>0</v>
      </c>
      <c r="W2085" s="50" t="n">
        <v>0</v>
      </c>
      <c r="X2085" s="51" t="n">
        <v>0</v>
      </c>
      <c r="Y2085" s="52" t="n">
        <v>0</v>
      </c>
      <c r="Z2085" s="52" t="n">
        <v>0</v>
      </c>
      <c r="AA2085" s="52" t="n">
        <v>0</v>
      </c>
      <c r="AB2085" s="53" t="n">
        <v>0</v>
      </c>
      <c r="AC2085" s="52" t="n">
        <v>0</v>
      </c>
      <c r="AD2085" s="53" t="n">
        <v>0</v>
      </c>
      <c r="AE2085" s="52" t="n">
        <v>0</v>
      </c>
      <c r="AF2085" s="51" t="n">
        <v>0</v>
      </c>
      <c r="AG2085" s="48" t="n">
        <v>0</v>
      </c>
      <c r="AH2085" s="49" t="n">
        <v>0</v>
      </c>
      <c r="AI2085" s="49" t="n">
        <v>0</v>
      </c>
      <c r="AJ2085" s="50" t="n">
        <v>0</v>
      </c>
      <c r="AK2085" s="51" t="n">
        <v>0</v>
      </c>
      <c r="AL2085" s="52" t="n">
        <v>0</v>
      </c>
      <c r="AM2085" s="52" t="n">
        <v>0</v>
      </c>
      <c r="AN2085" s="52" t="n">
        <v>0</v>
      </c>
      <c r="AO2085" s="53" t="n">
        <v>0</v>
      </c>
      <c r="AP2085" s="52" t="n">
        <v>0</v>
      </c>
      <c r="AQ2085" s="53" t="n">
        <v>0</v>
      </c>
      <c r="AR2085" s="52" t="n">
        <v>0</v>
      </c>
      <c r="AS2085" s="51" t="n">
        <v>0</v>
      </c>
      <c r="AT2085" s="48" t="n">
        <v>0</v>
      </c>
      <c r="AU2085" s="49" t="n">
        <v>0</v>
      </c>
      <c r="AV2085" s="49" t="n">
        <v>0</v>
      </c>
      <c r="AW2085" s="50" t="n">
        <v>0</v>
      </c>
      <c r="AX2085" s="51" t="n">
        <v>0</v>
      </c>
      <c r="AY2085" s="52" t="n">
        <v>0</v>
      </c>
      <c r="AZ2085" s="52" t="n">
        <v>0</v>
      </c>
      <c r="BA2085" s="52" t="n">
        <v>0</v>
      </c>
      <c r="BB2085" s="53" t="n">
        <v>0</v>
      </c>
      <c r="BC2085" s="52" t="n">
        <v>0</v>
      </c>
      <c r="BD2085" s="53" t="n">
        <v>0</v>
      </c>
      <c r="BE2085" s="52" t="n">
        <v>0</v>
      </c>
      <c r="BF2085" s="51" t="n">
        <v>0</v>
      </c>
    </row>
    <row r="2086">
      <c r="A2086">
        <f>HYPERLINK("https://www.walmart.com/ip/329380567", "329380567")</f>
        <v/>
      </c>
      <c r="B2086" t="inlineStr">
        <is>
          <t>Catalonia Women’s Sherpa Hoodie Sweatshirt Dress, Casual Snuggle Wearable Blanket Pullover Sweater with Kangaroo Pocket, Warm and Soft, Gift for Her, Grey</t>
        </is>
      </c>
      <c r="C2086" t="inlineStr">
        <is>
          <t>1CTHD532GY</t>
        </is>
      </c>
      <c r="D2086" t="inlineStr">
        <is>
          <t>Sweatshirts &amp; Hoodies</t>
        </is>
      </c>
      <c r="E2086" t="inlineStr">
        <is>
          <t>Catalonia</t>
        </is>
      </c>
      <c r="F2086" t="inlineStr">
        <is>
          <t>Hoodie ForAdult,Optimized,Coupon_Discount</t>
        </is>
      </c>
      <c r="G2086" s="48" t="n">
        <v>0</v>
      </c>
      <c r="H2086" s="49" t="n">
        <v>0</v>
      </c>
      <c r="I2086" s="49" t="n">
        <v>0</v>
      </c>
      <c r="J2086" s="50" t="n">
        <v>0</v>
      </c>
      <c r="K2086" s="51" t="n">
        <v>0</v>
      </c>
      <c r="L2086" s="52" t="n">
        <v>0</v>
      </c>
      <c r="M2086" s="52" t="n">
        <v>0</v>
      </c>
      <c r="N2086" s="52" t="n">
        <v>0</v>
      </c>
      <c r="O2086" s="53" t="n">
        <v>0</v>
      </c>
      <c r="P2086" s="52" t="n">
        <v>0</v>
      </c>
      <c r="Q2086" s="53" t="n">
        <v>0</v>
      </c>
      <c r="R2086" s="52" t="n">
        <v>0</v>
      </c>
      <c r="S2086" s="51" t="n">
        <v>0</v>
      </c>
      <c r="T2086" s="48" t="n">
        <v>0</v>
      </c>
      <c r="U2086" s="49" t="n">
        <v>0</v>
      </c>
      <c r="V2086" s="49" t="n">
        <v>0</v>
      </c>
      <c r="W2086" s="50" t="n">
        <v>0</v>
      </c>
      <c r="X2086" s="51" t="n">
        <v>0</v>
      </c>
      <c r="Y2086" s="52" t="n">
        <v>0</v>
      </c>
      <c r="Z2086" s="52" t="n">
        <v>0</v>
      </c>
      <c r="AA2086" s="52" t="n">
        <v>0</v>
      </c>
      <c r="AB2086" s="53" t="n">
        <v>0</v>
      </c>
      <c r="AC2086" s="52" t="n">
        <v>0</v>
      </c>
      <c r="AD2086" s="53" t="n">
        <v>0</v>
      </c>
      <c r="AE2086" s="52" t="n">
        <v>0</v>
      </c>
      <c r="AF2086" s="51" t="n">
        <v>0</v>
      </c>
      <c r="AG2086" s="48" t="n">
        <v>0</v>
      </c>
      <c r="AH2086" s="49" t="n">
        <v>0</v>
      </c>
      <c r="AI2086" s="49" t="n">
        <v>0</v>
      </c>
      <c r="AJ2086" s="50" t="n">
        <v>0</v>
      </c>
      <c r="AK2086" s="51" t="n">
        <v>0</v>
      </c>
      <c r="AL2086" s="52" t="n">
        <v>0</v>
      </c>
      <c r="AM2086" s="52" t="n">
        <v>0</v>
      </c>
      <c r="AN2086" s="52" t="n">
        <v>0</v>
      </c>
      <c r="AO2086" s="53" t="n">
        <v>0</v>
      </c>
      <c r="AP2086" s="52" t="n">
        <v>0</v>
      </c>
      <c r="AQ2086" s="53" t="n">
        <v>0</v>
      </c>
      <c r="AR2086" s="52" t="n">
        <v>0</v>
      </c>
      <c r="AS2086" s="51" t="n">
        <v>0</v>
      </c>
      <c r="AT2086" s="48" t="n">
        <v>0</v>
      </c>
      <c r="AU2086" s="49" t="n">
        <v>0</v>
      </c>
      <c r="AV2086" s="49" t="n">
        <v>0</v>
      </c>
      <c r="AW2086" s="50" t="n">
        <v>0</v>
      </c>
      <c r="AX2086" s="51" t="n">
        <v>0</v>
      </c>
      <c r="AY2086" s="52" t="n">
        <v>0</v>
      </c>
      <c r="AZ2086" s="52" t="n">
        <v>0</v>
      </c>
      <c r="BA2086" s="52" t="n">
        <v>0</v>
      </c>
      <c r="BB2086" s="53" t="n">
        <v>0</v>
      </c>
      <c r="BC2086" s="52" t="n">
        <v>0</v>
      </c>
      <c r="BD2086" s="53" t="n">
        <v>0</v>
      </c>
      <c r="BE2086" s="52" t="n">
        <v>0</v>
      </c>
      <c r="BF2086" s="51" t="n">
        <v>0</v>
      </c>
    </row>
    <row r="2087">
      <c r="A2087">
        <f>HYPERLINK("https://www.walmart.com/ip/329457407", "329457407")</f>
        <v/>
      </c>
      <c r="B2087" t="inlineStr">
        <is>
          <t>Tirrinia Comfy Plush Fleece Blanket Poncho Wearable for Adults, 55'' x 80'', Wine</t>
        </is>
      </c>
      <c r="C2087" t="inlineStr">
        <is>
          <t>1TRBP100WN-TBCB</t>
        </is>
      </c>
      <c r="D2087" t="inlineStr">
        <is>
          <t>Throws</t>
        </is>
      </c>
      <c r="E2087" t="inlineStr">
        <is>
          <t>Tirrinia</t>
        </is>
      </c>
      <c r="F2087" t="inlineStr">
        <is>
          <t>Optimized,Coupon_Discount,Fleece Blankets</t>
        </is>
      </c>
      <c r="G2087" s="48" t="n">
        <v>0</v>
      </c>
      <c r="H2087" s="49" t="n">
        <v>0</v>
      </c>
      <c r="I2087" s="49" t="n">
        <v>0</v>
      </c>
      <c r="J2087" s="50" t="n">
        <v>0</v>
      </c>
      <c r="K2087" s="51" t="n">
        <v>0</v>
      </c>
      <c r="L2087" s="52" t="n">
        <v>0</v>
      </c>
      <c r="M2087" s="52" t="n">
        <v>0</v>
      </c>
      <c r="N2087" s="52" t="n">
        <v>0</v>
      </c>
      <c r="O2087" s="53" t="n">
        <v>0</v>
      </c>
      <c r="P2087" s="52" t="n">
        <v>0</v>
      </c>
      <c r="Q2087" s="53" t="n">
        <v>0</v>
      </c>
      <c r="R2087" s="52" t="n">
        <v>0</v>
      </c>
      <c r="S2087" s="51" t="n">
        <v>0</v>
      </c>
      <c r="T2087" s="48" t="n">
        <v>0</v>
      </c>
      <c r="U2087" s="49" t="n">
        <v>0</v>
      </c>
      <c r="V2087" s="49" t="n">
        <v>0</v>
      </c>
      <c r="W2087" s="50" t="n">
        <v>0</v>
      </c>
      <c r="X2087" s="51" t="n">
        <v>0</v>
      </c>
      <c r="Y2087" s="52" t="n">
        <v>0</v>
      </c>
      <c r="Z2087" s="52" t="n">
        <v>0</v>
      </c>
      <c r="AA2087" s="52" t="n">
        <v>0</v>
      </c>
      <c r="AB2087" s="53" t="n">
        <v>0</v>
      </c>
      <c r="AC2087" s="52" t="n">
        <v>0</v>
      </c>
      <c r="AD2087" s="53" t="n">
        <v>0</v>
      </c>
      <c r="AE2087" s="52" t="n">
        <v>0</v>
      </c>
      <c r="AF2087" s="51" t="n">
        <v>0</v>
      </c>
      <c r="AG2087" s="48" t="n">
        <v>0</v>
      </c>
      <c r="AH2087" s="49" t="n">
        <v>0</v>
      </c>
      <c r="AI2087" s="49" t="n">
        <v>0</v>
      </c>
      <c r="AJ2087" s="50" t="n">
        <v>0</v>
      </c>
      <c r="AK2087" s="51" t="n">
        <v>0</v>
      </c>
      <c r="AL2087" s="52" t="n">
        <v>0</v>
      </c>
      <c r="AM2087" s="52" t="n">
        <v>0</v>
      </c>
      <c r="AN2087" s="52" t="n">
        <v>0</v>
      </c>
      <c r="AO2087" s="53" t="n">
        <v>0</v>
      </c>
      <c r="AP2087" s="52" t="n">
        <v>0</v>
      </c>
      <c r="AQ2087" s="53" t="n">
        <v>0</v>
      </c>
      <c r="AR2087" s="52" t="n">
        <v>0</v>
      </c>
      <c r="AS2087" s="51" t="n">
        <v>0</v>
      </c>
      <c r="AT2087" s="48" t="n">
        <v>0</v>
      </c>
      <c r="AU2087" s="49" t="n">
        <v>0</v>
      </c>
      <c r="AV2087" s="49" t="n">
        <v>0</v>
      </c>
      <c r="AW2087" s="50" t="n">
        <v>0</v>
      </c>
      <c r="AX2087" s="51" t="n">
        <v>0</v>
      </c>
      <c r="AY2087" s="52" t="n">
        <v>0</v>
      </c>
      <c r="AZ2087" s="52" t="n">
        <v>0</v>
      </c>
      <c r="BA2087" s="52" t="n">
        <v>0</v>
      </c>
      <c r="BB2087" s="53" t="n">
        <v>0</v>
      </c>
      <c r="BC2087" s="52" t="n">
        <v>0</v>
      </c>
      <c r="BD2087" s="53" t="n">
        <v>0</v>
      </c>
      <c r="BE2087" s="52" t="n">
        <v>0</v>
      </c>
      <c r="BF2087" s="51" t="n">
        <v>0</v>
      </c>
    </row>
    <row r="2088">
      <c r="A2088">
        <f>HYPERLINK("https://www.walmart.com/ip/330287338", "330287338")</f>
        <v/>
      </c>
      <c r="B2088" t="inlineStr">
        <is>
          <t>Wearable Fleece Blanket with Sleeves and Pocket for Women Men, Super Soft Microplush Adult Wrap Full Body Blanket Robe for Lounge Couch As Seen On TV 73" x 51" | Catalonia series by Terrania | Latte</t>
        </is>
      </c>
      <c r="C2088" t="inlineStr">
        <is>
          <t>1TRSN100LT-TBCB</t>
        </is>
      </c>
      <c r="D2088" t="inlineStr">
        <is>
          <t>Throws</t>
        </is>
      </c>
      <c r="E2088" t="inlineStr">
        <is>
          <t>Tirrinia</t>
        </is>
      </c>
      <c r="F2088" t="inlineStr">
        <is>
          <t>WFS,WFS Item,Fleece Blankets</t>
        </is>
      </c>
      <c r="G2088" s="48" t="n">
        <v>0</v>
      </c>
      <c r="H2088" s="49" t="n">
        <v>0</v>
      </c>
      <c r="I2088" s="49" t="n">
        <v>0</v>
      </c>
      <c r="J2088" s="50" t="n">
        <v>0</v>
      </c>
      <c r="K2088" s="51" t="n">
        <v>0</v>
      </c>
      <c r="L2088" s="52" t="n">
        <v>0</v>
      </c>
      <c r="M2088" s="52" t="n">
        <v>0</v>
      </c>
      <c r="N2088" s="52" t="n">
        <v>0</v>
      </c>
      <c r="O2088" s="53" t="n">
        <v>0</v>
      </c>
      <c r="P2088" s="52" t="n">
        <v>0</v>
      </c>
      <c r="Q2088" s="53" t="n">
        <v>0</v>
      </c>
      <c r="R2088" s="52" t="n">
        <v>0</v>
      </c>
      <c r="S2088" s="51" t="n">
        <v>0</v>
      </c>
      <c r="T2088" s="48" t="n">
        <v>0</v>
      </c>
      <c r="U2088" s="49" t="n">
        <v>0</v>
      </c>
      <c r="V2088" s="49" t="n">
        <v>0</v>
      </c>
      <c r="W2088" s="50" t="n">
        <v>0</v>
      </c>
      <c r="X2088" s="51" t="n">
        <v>0</v>
      </c>
      <c r="Y2088" s="52" t="n">
        <v>0</v>
      </c>
      <c r="Z2088" s="52" t="n">
        <v>0</v>
      </c>
      <c r="AA2088" s="52" t="n">
        <v>0</v>
      </c>
      <c r="AB2088" s="53" t="n">
        <v>0</v>
      </c>
      <c r="AC2088" s="52" t="n">
        <v>0</v>
      </c>
      <c r="AD2088" s="53" t="n">
        <v>0</v>
      </c>
      <c r="AE2088" s="52" t="n">
        <v>0</v>
      </c>
      <c r="AF2088" s="51" t="n">
        <v>0</v>
      </c>
      <c r="AG2088" s="48" t="n">
        <v>0</v>
      </c>
      <c r="AH2088" s="49" t="n">
        <v>0</v>
      </c>
      <c r="AI2088" s="49" t="n">
        <v>0</v>
      </c>
      <c r="AJ2088" s="50" t="n">
        <v>0</v>
      </c>
      <c r="AK2088" s="51" t="n">
        <v>0</v>
      </c>
      <c r="AL2088" s="52" t="n">
        <v>0</v>
      </c>
      <c r="AM2088" s="52" t="n">
        <v>0</v>
      </c>
      <c r="AN2088" s="52" t="n">
        <v>0</v>
      </c>
      <c r="AO2088" s="53" t="n">
        <v>0</v>
      </c>
      <c r="AP2088" s="52" t="n">
        <v>0</v>
      </c>
      <c r="AQ2088" s="53" t="n">
        <v>0</v>
      </c>
      <c r="AR2088" s="52" t="n">
        <v>0</v>
      </c>
      <c r="AS2088" s="51" t="n">
        <v>0</v>
      </c>
      <c r="AT2088" s="48" t="n">
        <v>0</v>
      </c>
      <c r="AU2088" s="49" t="n">
        <v>0</v>
      </c>
      <c r="AV2088" s="49" t="n">
        <v>0</v>
      </c>
      <c r="AW2088" s="50" t="n">
        <v>0</v>
      </c>
      <c r="AX2088" s="51" t="n">
        <v>0</v>
      </c>
      <c r="AY2088" s="52" t="n">
        <v>0</v>
      </c>
      <c r="AZ2088" s="52" t="n">
        <v>0</v>
      </c>
      <c r="BA2088" s="52" t="n">
        <v>0</v>
      </c>
      <c r="BB2088" s="53" t="n">
        <v>0</v>
      </c>
      <c r="BC2088" s="52" t="n">
        <v>0</v>
      </c>
      <c r="BD2088" s="53" t="n">
        <v>0</v>
      </c>
      <c r="BE2088" s="52" t="n">
        <v>0</v>
      </c>
      <c r="BF2088" s="51" t="n">
        <v>0</v>
      </c>
    </row>
    <row r="2089">
      <c r="A2089">
        <f>HYPERLINK("https://www.walmart.com/ip/330511157", "330511157")</f>
        <v/>
      </c>
      <c r="B2089" t="inlineStr">
        <is>
          <t>Fleece Blanket Wearable with Sleeves and Pocket, Micro Plush Warm Comfy Sleeved TV Throw Blanket Robe for Women and Men Multi-Colors 72”X55” by Catalonia</t>
        </is>
      </c>
      <c r="C2089" t="inlineStr">
        <is>
          <t>1CTSN110GY-ESGM</t>
        </is>
      </c>
      <c r="D2089" t="inlineStr">
        <is>
          <t>Throws</t>
        </is>
      </c>
      <c r="E2089" t="inlineStr">
        <is>
          <t>Catalonia</t>
        </is>
      </c>
      <c r="F2089" t="inlineStr">
        <is>
          <t>Optimized,Fleece Blankets</t>
        </is>
      </c>
      <c r="G2089" s="48" t="n">
        <v>0</v>
      </c>
      <c r="H2089" s="49" t="n">
        <v>0</v>
      </c>
      <c r="I2089" s="49" t="n">
        <v>0</v>
      </c>
      <c r="J2089" s="50" t="n">
        <v>0</v>
      </c>
      <c r="K2089" s="51" t="n">
        <v>0</v>
      </c>
      <c r="L2089" s="52" t="n">
        <v>0</v>
      </c>
      <c r="M2089" s="52" t="n">
        <v>0</v>
      </c>
      <c r="N2089" s="52" t="n">
        <v>0</v>
      </c>
      <c r="O2089" s="53" t="n">
        <v>0</v>
      </c>
      <c r="P2089" s="52" t="n">
        <v>0</v>
      </c>
      <c r="Q2089" s="53" t="n">
        <v>0</v>
      </c>
      <c r="R2089" s="52" t="n">
        <v>0</v>
      </c>
      <c r="S2089" s="51" t="n">
        <v>0</v>
      </c>
      <c r="T2089" s="48" t="n">
        <v>0</v>
      </c>
      <c r="U2089" s="49" t="n">
        <v>0</v>
      </c>
      <c r="V2089" s="49" t="n">
        <v>0</v>
      </c>
      <c r="W2089" s="50" t="n">
        <v>0</v>
      </c>
      <c r="X2089" s="51" t="n">
        <v>0</v>
      </c>
      <c r="Y2089" s="52" t="n">
        <v>0</v>
      </c>
      <c r="Z2089" s="52" t="n">
        <v>0</v>
      </c>
      <c r="AA2089" s="52" t="n">
        <v>0</v>
      </c>
      <c r="AB2089" s="53" t="n">
        <v>0</v>
      </c>
      <c r="AC2089" s="52" t="n">
        <v>0</v>
      </c>
      <c r="AD2089" s="53" t="n">
        <v>0</v>
      </c>
      <c r="AE2089" s="52" t="n">
        <v>0</v>
      </c>
      <c r="AF2089" s="51" t="n">
        <v>0</v>
      </c>
      <c r="AG2089" s="48" t="n">
        <v>0</v>
      </c>
      <c r="AH2089" s="49" t="n">
        <v>0</v>
      </c>
      <c r="AI2089" s="49" t="n">
        <v>0</v>
      </c>
      <c r="AJ2089" s="50" t="n">
        <v>0</v>
      </c>
      <c r="AK2089" s="51" t="n">
        <v>0</v>
      </c>
      <c r="AL2089" s="52" t="n">
        <v>0</v>
      </c>
      <c r="AM2089" s="52" t="n">
        <v>0</v>
      </c>
      <c r="AN2089" s="52" t="n">
        <v>0</v>
      </c>
      <c r="AO2089" s="53" t="n">
        <v>0</v>
      </c>
      <c r="AP2089" s="52" t="n">
        <v>0</v>
      </c>
      <c r="AQ2089" s="53" t="n">
        <v>0</v>
      </c>
      <c r="AR2089" s="52" t="n">
        <v>0</v>
      </c>
      <c r="AS2089" s="51" t="n">
        <v>0</v>
      </c>
      <c r="AT2089" s="48" t="n">
        <v>0</v>
      </c>
      <c r="AU2089" s="49" t="n">
        <v>0</v>
      </c>
      <c r="AV2089" s="49" t="n">
        <v>0</v>
      </c>
      <c r="AW2089" s="50" t="n">
        <v>0</v>
      </c>
      <c r="AX2089" s="51" t="n">
        <v>0</v>
      </c>
      <c r="AY2089" s="52" t="n">
        <v>0</v>
      </c>
      <c r="AZ2089" s="52" t="n">
        <v>0</v>
      </c>
      <c r="BA2089" s="52" t="n">
        <v>0</v>
      </c>
      <c r="BB2089" s="53" t="n">
        <v>0</v>
      </c>
      <c r="BC2089" s="52" t="n">
        <v>0</v>
      </c>
      <c r="BD2089" s="53" t="n">
        <v>0</v>
      </c>
      <c r="BE2089" s="52" t="n">
        <v>0</v>
      </c>
      <c r="BF2089" s="51" t="n">
        <v>0</v>
      </c>
    </row>
    <row r="2090">
      <c r="A2090">
        <f>HYPERLINK("https://www.walmart.com/ip/330630738", "330630738")</f>
        <v/>
      </c>
      <c r="B2090" t="inlineStr">
        <is>
          <t>Sherpa Fleece Throw Blanket for Kids,Super Soft Light Weight Reversible Fuzzy Snuggle Blanket for Camping Couch Bed All</t>
        </is>
      </c>
      <c r="C2090" t="inlineStr">
        <is>
          <t>1CTBF579GN</t>
        </is>
      </c>
      <c r="D2090" t="inlineStr">
        <is>
          <t>Throws</t>
        </is>
      </c>
      <c r="E2090" t="inlineStr">
        <is>
          <t>Catalonia</t>
        </is>
      </c>
      <c r="F2090" t="inlineStr">
        <is>
          <t>WFS,WFS Item</t>
        </is>
      </c>
      <c r="G2090" s="48" t="n">
        <v>0</v>
      </c>
      <c r="H2090" s="49" t="n">
        <v>0</v>
      </c>
      <c r="I2090" s="49" t="n">
        <v>0</v>
      </c>
      <c r="J2090" s="50" t="n">
        <v>0</v>
      </c>
      <c r="K2090" s="51" t="n">
        <v>0</v>
      </c>
      <c r="L2090" s="52" t="n">
        <v>0</v>
      </c>
      <c r="M2090" s="52" t="n">
        <v>0</v>
      </c>
      <c r="N2090" s="52" t="n">
        <v>0</v>
      </c>
      <c r="O2090" s="53" t="n">
        <v>0</v>
      </c>
      <c r="P2090" s="52" t="n">
        <v>0</v>
      </c>
      <c r="Q2090" s="53" t="n">
        <v>0</v>
      </c>
      <c r="R2090" s="52" t="n">
        <v>0</v>
      </c>
      <c r="S2090" s="51" t="n">
        <v>0</v>
      </c>
      <c r="T2090" s="48" t="n">
        <v>0</v>
      </c>
      <c r="U2090" s="49" t="n">
        <v>0</v>
      </c>
      <c r="V2090" s="49" t="n">
        <v>0</v>
      </c>
      <c r="W2090" s="50" t="n">
        <v>0</v>
      </c>
      <c r="X2090" s="51" t="n">
        <v>0</v>
      </c>
      <c r="Y2090" s="52" t="n">
        <v>0</v>
      </c>
      <c r="Z2090" s="52" t="n">
        <v>0</v>
      </c>
      <c r="AA2090" s="52" t="n">
        <v>0</v>
      </c>
      <c r="AB2090" s="53" t="n">
        <v>0</v>
      </c>
      <c r="AC2090" s="52" t="n">
        <v>0</v>
      </c>
      <c r="AD2090" s="53" t="n">
        <v>0</v>
      </c>
      <c r="AE2090" s="52" t="n">
        <v>0</v>
      </c>
      <c r="AF2090" s="51" t="n">
        <v>0</v>
      </c>
      <c r="AG2090" s="48" t="n">
        <v>0</v>
      </c>
      <c r="AH2090" s="49" t="n">
        <v>0</v>
      </c>
      <c r="AI2090" s="49" t="n">
        <v>0</v>
      </c>
      <c r="AJ2090" s="50" t="n">
        <v>0</v>
      </c>
      <c r="AK2090" s="51" t="n">
        <v>0</v>
      </c>
      <c r="AL2090" s="52" t="n">
        <v>0</v>
      </c>
      <c r="AM2090" s="52" t="n">
        <v>0</v>
      </c>
      <c r="AN2090" s="52" t="n">
        <v>0</v>
      </c>
      <c r="AO2090" s="53" t="n">
        <v>0</v>
      </c>
      <c r="AP2090" s="52" t="n">
        <v>0</v>
      </c>
      <c r="AQ2090" s="53" t="n">
        <v>0</v>
      </c>
      <c r="AR2090" s="52" t="n">
        <v>0</v>
      </c>
      <c r="AS2090" s="51" t="n">
        <v>0</v>
      </c>
      <c r="AT2090" s="48" t="n">
        <v>0</v>
      </c>
      <c r="AU2090" s="49" t="n">
        <v>0</v>
      </c>
      <c r="AV2090" s="49" t="n">
        <v>0</v>
      </c>
      <c r="AW2090" s="50" t="n">
        <v>0</v>
      </c>
      <c r="AX2090" s="51" t="n">
        <v>0</v>
      </c>
      <c r="AY2090" s="52" t="n">
        <v>0</v>
      </c>
      <c r="AZ2090" s="52" t="n">
        <v>0</v>
      </c>
      <c r="BA2090" s="52" t="n">
        <v>0</v>
      </c>
      <c r="BB2090" s="53" t="n">
        <v>0</v>
      </c>
      <c r="BC2090" s="52" t="n">
        <v>0</v>
      </c>
      <c r="BD2090" s="53" t="n">
        <v>0</v>
      </c>
      <c r="BE2090" s="52" t="n">
        <v>0</v>
      </c>
      <c r="BF2090" s="51" t="n">
        <v>0</v>
      </c>
    </row>
    <row r="2091">
      <c r="A2091">
        <f>HYPERLINK("https://www.walmart.com/ip/331913877", "331913877")</f>
        <v/>
      </c>
      <c r="B2091" t="inlineStr">
        <is>
          <t>KC Caps Men's Neon Orange Turkey Cap</t>
        </is>
      </c>
      <c r="C2091" t="inlineStr">
        <is>
          <t>ht25-turkey</t>
        </is>
      </c>
      <c r="D2091" t="inlineStr">
        <is>
          <t>Hats</t>
        </is>
      </c>
      <c r="E2091" t="inlineStr">
        <is>
          <t>KC Caps</t>
        </is>
      </c>
      <c r="F2091" t="inlineStr">
        <is>
          <t>Batch 1 - TR</t>
        </is>
      </c>
      <c r="G2091" s="48" t="n">
        <v>0</v>
      </c>
      <c r="H2091" s="49" t="n">
        <v>0</v>
      </c>
      <c r="I2091" s="49" t="n">
        <v>0</v>
      </c>
      <c r="J2091" s="50" t="n">
        <v>0</v>
      </c>
      <c r="K2091" s="51" t="n">
        <v>0</v>
      </c>
      <c r="L2091" s="52" t="n">
        <v>0</v>
      </c>
      <c r="M2091" s="52" t="n">
        <v>0</v>
      </c>
      <c r="N2091" s="52" t="n">
        <v>0</v>
      </c>
      <c r="O2091" s="53" t="n">
        <v>0</v>
      </c>
      <c r="P2091" s="52" t="n">
        <v>0</v>
      </c>
      <c r="Q2091" s="53" t="n">
        <v>0</v>
      </c>
      <c r="R2091" s="52" t="n">
        <v>0</v>
      </c>
      <c r="S2091" s="51" t="n">
        <v>0</v>
      </c>
      <c r="T2091" s="48" t="n">
        <v>0</v>
      </c>
      <c r="U2091" s="49" t="n">
        <v>0</v>
      </c>
      <c r="V2091" s="49" t="n">
        <v>0</v>
      </c>
      <c r="W2091" s="50" t="n">
        <v>0</v>
      </c>
      <c r="X2091" s="51" t="n">
        <v>0</v>
      </c>
      <c r="Y2091" s="52" t="n">
        <v>0</v>
      </c>
      <c r="Z2091" s="52" t="n">
        <v>0</v>
      </c>
      <c r="AA2091" s="52" t="n">
        <v>0</v>
      </c>
      <c r="AB2091" s="53" t="n">
        <v>0</v>
      </c>
      <c r="AC2091" s="52" t="n">
        <v>0</v>
      </c>
      <c r="AD2091" s="53" t="n">
        <v>0</v>
      </c>
      <c r="AE2091" s="52" t="n">
        <v>0</v>
      </c>
      <c r="AF2091" s="51" t="n">
        <v>0</v>
      </c>
      <c r="AG2091" s="48" t="n">
        <v>0</v>
      </c>
      <c r="AH2091" s="49" t="n">
        <v>0</v>
      </c>
      <c r="AI2091" s="49" t="n">
        <v>0</v>
      </c>
      <c r="AJ2091" s="50" t="n">
        <v>0</v>
      </c>
      <c r="AK2091" s="51" t="n">
        <v>0</v>
      </c>
      <c r="AL2091" s="52" t="n">
        <v>0</v>
      </c>
      <c r="AM2091" s="52" t="n">
        <v>0</v>
      </c>
      <c r="AN2091" s="52" t="n">
        <v>0</v>
      </c>
      <c r="AO2091" s="53" t="n">
        <v>0</v>
      </c>
      <c r="AP2091" s="52" t="n">
        <v>0</v>
      </c>
      <c r="AQ2091" s="53" t="n">
        <v>0</v>
      </c>
      <c r="AR2091" s="52" t="n">
        <v>0</v>
      </c>
      <c r="AS2091" s="51" t="n">
        <v>0</v>
      </c>
      <c r="AT2091" s="48" t="n">
        <v>0</v>
      </c>
      <c r="AU2091" s="49" t="n">
        <v>0</v>
      </c>
      <c r="AV2091" s="49" t="n">
        <v>0</v>
      </c>
      <c r="AW2091" s="50" t="n">
        <v>0</v>
      </c>
      <c r="AX2091" s="51" t="n">
        <v>0</v>
      </c>
      <c r="AY2091" s="52" t="n">
        <v>0</v>
      </c>
      <c r="AZ2091" s="52" t="n">
        <v>0</v>
      </c>
      <c r="BA2091" s="52" t="n">
        <v>0</v>
      </c>
      <c r="BB2091" s="53" t="n">
        <v>0</v>
      </c>
      <c r="BC2091" s="52" t="n">
        <v>0</v>
      </c>
      <c r="BD2091" s="53" t="n">
        <v>0</v>
      </c>
      <c r="BE2091" s="52" t="n">
        <v>0</v>
      </c>
      <c r="BF2091" s="51" t="n">
        <v>0</v>
      </c>
    </row>
    <row r="2092">
      <c r="A2092">
        <f>HYPERLINK("https://www.walmart.com/ip/332569783", "332569783")</f>
        <v/>
      </c>
      <c r="B2092" t="inlineStr">
        <is>
          <t>Catalonia King Size Quilt Set, Lightweight Bedspread for Summer and Spring, 3 Pieces Bedding Coverlet-1 Quilt and 2 Pillow Shams, Grey Dimond Pattern,100x106 inches</t>
        </is>
      </c>
      <c r="C2092" t="inlineStr">
        <is>
          <t>1CTBQ203KI-GYWT</t>
        </is>
      </c>
      <c r="D2092" t="inlineStr">
        <is>
          <t>Bedding Sets</t>
        </is>
      </c>
      <c r="E2092" t="inlineStr">
        <is>
          <t>Catalonia</t>
        </is>
      </c>
      <c r="F2092" t="inlineStr">
        <is>
          <t>Optimized,Quilt_Vinay</t>
        </is>
      </c>
      <c r="G2092" s="48" t="n">
        <v>0</v>
      </c>
      <c r="H2092" s="49" t="n">
        <v>0</v>
      </c>
      <c r="I2092" s="49" t="n">
        <v>0</v>
      </c>
      <c r="J2092" s="50" t="n">
        <v>0</v>
      </c>
      <c r="K2092" s="51" t="n">
        <v>0</v>
      </c>
      <c r="L2092" s="52" t="n">
        <v>0</v>
      </c>
      <c r="M2092" s="52" t="n">
        <v>0</v>
      </c>
      <c r="N2092" s="52" t="n">
        <v>0</v>
      </c>
      <c r="O2092" s="53" t="n">
        <v>0</v>
      </c>
      <c r="P2092" s="52" t="n">
        <v>0</v>
      </c>
      <c r="Q2092" s="53" t="n">
        <v>0</v>
      </c>
      <c r="R2092" s="52" t="n">
        <v>0</v>
      </c>
      <c r="S2092" s="51" t="n">
        <v>0</v>
      </c>
      <c r="T2092" s="48" t="n">
        <v>0</v>
      </c>
      <c r="U2092" s="49" t="n">
        <v>0</v>
      </c>
      <c r="V2092" s="49" t="n">
        <v>0</v>
      </c>
      <c r="W2092" s="50" t="n">
        <v>0</v>
      </c>
      <c r="X2092" s="51" t="n">
        <v>0</v>
      </c>
      <c r="Y2092" s="52" t="n">
        <v>0</v>
      </c>
      <c r="Z2092" s="52" t="n">
        <v>0</v>
      </c>
      <c r="AA2092" s="52" t="n">
        <v>0</v>
      </c>
      <c r="AB2092" s="53" t="n">
        <v>0</v>
      </c>
      <c r="AC2092" s="52" t="n">
        <v>0</v>
      </c>
      <c r="AD2092" s="53" t="n">
        <v>0</v>
      </c>
      <c r="AE2092" s="52" t="n">
        <v>0</v>
      </c>
      <c r="AF2092" s="51" t="n">
        <v>0</v>
      </c>
      <c r="AG2092" s="48" t="n">
        <v>0</v>
      </c>
      <c r="AH2092" s="49" t="n">
        <v>0</v>
      </c>
      <c r="AI2092" s="49" t="n">
        <v>0</v>
      </c>
      <c r="AJ2092" s="50" t="n">
        <v>0</v>
      </c>
      <c r="AK2092" s="51" t="n">
        <v>0</v>
      </c>
      <c r="AL2092" s="52" t="n">
        <v>0</v>
      </c>
      <c r="AM2092" s="52" t="n">
        <v>0</v>
      </c>
      <c r="AN2092" s="52" t="n">
        <v>0</v>
      </c>
      <c r="AO2092" s="53" t="n">
        <v>0</v>
      </c>
      <c r="AP2092" s="52" t="n">
        <v>0</v>
      </c>
      <c r="AQ2092" s="53" t="n">
        <v>0</v>
      </c>
      <c r="AR2092" s="52" t="n">
        <v>0</v>
      </c>
      <c r="AS2092" s="51" t="n">
        <v>0</v>
      </c>
      <c r="AT2092" s="48" t="n">
        <v>0</v>
      </c>
      <c r="AU2092" s="49" t="n">
        <v>0</v>
      </c>
      <c r="AV2092" s="49" t="n">
        <v>0</v>
      </c>
      <c r="AW2092" s="50" t="n">
        <v>0</v>
      </c>
      <c r="AX2092" s="51" t="n">
        <v>0</v>
      </c>
      <c r="AY2092" s="52" t="n">
        <v>0</v>
      </c>
      <c r="AZ2092" s="52" t="n">
        <v>0</v>
      </c>
      <c r="BA2092" s="52" t="n">
        <v>0</v>
      </c>
      <c r="BB2092" s="53" t="n">
        <v>0</v>
      </c>
      <c r="BC2092" s="52" t="n">
        <v>0</v>
      </c>
      <c r="BD2092" s="53" t="n">
        <v>0</v>
      </c>
      <c r="BE2092" s="52" t="n">
        <v>0</v>
      </c>
      <c r="BF2092" s="51" t="n">
        <v>0</v>
      </c>
    </row>
    <row r="2093">
      <c r="A2093">
        <f>HYPERLINK("https://www.walmart.com/ip/3327694546", "3327694546")</f>
        <v/>
      </c>
      <c r="B2093" t="inlineStr">
        <is>
          <t>Tirrinia Insulated Lunch Bag for Women Men, Double-Layer Leak-Proof Reusable Lunch Box with 4 Pockets, Large, 17L, Charcoal, 9.85” x 8.72” x 10.63”.</t>
        </is>
      </c>
      <c r="C2093" t="inlineStr">
        <is>
          <t>1TRLB702CH-D</t>
        </is>
      </c>
      <c r="D2093" t="inlineStr">
        <is>
          <t>Reusable Lunch Bags &amp; Boxes</t>
        </is>
      </c>
      <c r="E2093" t="inlineStr">
        <is>
          <t>Tirrinia</t>
        </is>
      </c>
      <c r="F2093" t="inlineStr">
        <is>
          <t>Q2-Target</t>
        </is>
      </c>
      <c r="G2093" s="48" t="n">
        <v>0</v>
      </c>
      <c r="H2093" s="49" t="n">
        <v>0</v>
      </c>
      <c r="I2093" s="49" t="n">
        <v>0</v>
      </c>
      <c r="J2093" s="50" t="n">
        <v>0</v>
      </c>
      <c r="K2093" s="51" t="n">
        <v>0</v>
      </c>
      <c r="L2093" s="52" t="n">
        <v>0</v>
      </c>
      <c r="M2093" s="52" t="n">
        <v>0</v>
      </c>
      <c r="N2093" s="52" t="n">
        <v>0</v>
      </c>
      <c r="O2093" s="53" t="n">
        <v>0</v>
      </c>
      <c r="P2093" s="52" t="n">
        <v>0</v>
      </c>
      <c r="Q2093" s="53" t="n">
        <v>0</v>
      </c>
      <c r="R2093" s="52" t="n">
        <v>0</v>
      </c>
      <c r="S2093" s="51" t="n">
        <v>0</v>
      </c>
      <c r="T2093" s="48" t="n">
        <v>0</v>
      </c>
      <c r="U2093" s="49" t="n">
        <v>0</v>
      </c>
      <c r="V2093" s="49" t="n">
        <v>0</v>
      </c>
      <c r="W2093" s="50" t="n">
        <v>0</v>
      </c>
      <c r="X2093" s="51" t="n">
        <v>0</v>
      </c>
      <c r="Y2093" s="52" t="n">
        <v>0</v>
      </c>
      <c r="Z2093" s="52" t="n">
        <v>0</v>
      </c>
      <c r="AA2093" s="52" t="n">
        <v>0</v>
      </c>
      <c r="AB2093" s="53" t="n">
        <v>0</v>
      </c>
      <c r="AC2093" s="52" t="n">
        <v>0</v>
      </c>
      <c r="AD2093" s="53" t="n">
        <v>0</v>
      </c>
      <c r="AE2093" s="52" t="n">
        <v>0</v>
      </c>
      <c r="AF2093" s="51" t="n">
        <v>0</v>
      </c>
      <c r="AG2093" s="48" t="n">
        <v>0</v>
      </c>
      <c r="AH2093" s="49" t="n">
        <v>0</v>
      </c>
      <c r="AI2093" s="49" t="n">
        <v>0</v>
      </c>
      <c r="AJ2093" s="50" t="n">
        <v>0</v>
      </c>
      <c r="AK2093" s="51" t="n">
        <v>0</v>
      </c>
      <c r="AL2093" s="52" t="n">
        <v>0</v>
      </c>
      <c r="AM2093" s="52" t="n">
        <v>0</v>
      </c>
      <c r="AN2093" s="52" t="n">
        <v>0</v>
      </c>
      <c r="AO2093" s="53" t="n">
        <v>0</v>
      </c>
      <c r="AP2093" s="52" t="n">
        <v>0</v>
      </c>
      <c r="AQ2093" s="53" t="n">
        <v>0</v>
      </c>
      <c r="AR2093" s="52" t="n">
        <v>0</v>
      </c>
      <c r="AS2093" s="51" t="n">
        <v>0</v>
      </c>
      <c r="AT2093" s="48" t="n">
        <v>0</v>
      </c>
      <c r="AU2093" s="49" t="n">
        <v>0</v>
      </c>
      <c r="AV2093" s="49" t="n">
        <v>3</v>
      </c>
      <c r="AW2093" s="50" t="n">
        <v>0</v>
      </c>
      <c r="AX2093" s="51" t="n">
        <v>0</v>
      </c>
      <c r="AY2093" s="52" t="n">
        <v>0</v>
      </c>
      <c r="AZ2093" s="52" t="n">
        <v>0</v>
      </c>
      <c r="BA2093" s="52" t="n">
        <v>0</v>
      </c>
      <c r="BB2093" s="53" t="n">
        <v>0</v>
      </c>
      <c r="BC2093" s="52" t="n">
        <v>0</v>
      </c>
      <c r="BD2093" s="53" t="n">
        <v>0</v>
      </c>
      <c r="BE2093" s="52" t="n">
        <v>0</v>
      </c>
      <c r="BF2093" s="51" t="n">
        <v>0</v>
      </c>
    </row>
    <row r="2094">
      <c r="A2094">
        <f>HYPERLINK("https://www.walmart.com/ip/333065779", "333065779")</f>
        <v/>
      </c>
      <c r="B2094" t="inlineStr">
        <is>
          <t>Solaris Women's Tankini Swimsuit, Two-Piece Swimwear Bikini Set, Summer Bathing Suits, X-Large, Black</t>
        </is>
      </c>
      <c r="C2094" t="inlineStr">
        <is>
          <t>1SLSS006BKBK-XL</t>
        </is>
      </c>
      <c r="D2094" t="inlineStr">
        <is>
          <t>Swimsuit Sets</t>
        </is>
      </c>
      <c r="E2094" t="inlineStr">
        <is>
          <t>Solaris</t>
        </is>
      </c>
      <c r="G2094" s="48" t="n">
        <v>0</v>
      </c>
      <c r="H2094" s="49" t="n">
        <v>0</v>
      </c>
      <c r="I2094" s="49" t="n">
        <v>0</v>
      </c>
      <c r="J2094" s="50" t="n">
        <v>0</v>
      </c>
      <c r="K2094" s="51" t="n">
        <v>0</v>
      </c>
      <c r="L2094" s="52" t="n">
        <v>0</v>
      </c>
      <c r="M2094" s="52" t="n">
        <v>0</v>
      </c>
      <c r="N2094" s="52" t="n">
        <v>0</v>
      </c>
      <c r="O2094" s="53" t="n">
        <v>0</v>
      </c>
      <c r="P2094" s="52" t="n">
        <v>0</v>
      </c>
      <c r="Q2094" s="53" t="n">
        <v>0</v>
      </c>
      <c r="R2094" s="52" t="n">
        <v>0</v>
      </c>
      <c r="S2094" s="51" t="n">
        <v>0</v>
      </c>
      <c r="T2094" s="48" t="n">
        <v>0</v>
      </c>
      <c r="U2094" s="49" t="n">
        <v>0</v>
      </c>
      <c r="V2094" s="49" t="n">
        <v>0</v>
      </c>
      <c r="W2094" s="50" t="n">
        <v>0</v>
      </c>
      <c r="X2094" s="51" t="n">
        <v>0</v>
      </c>
      <c r="Y2094" s="52" t="n">
        <v>0</v>
      </c>
      <c r="Z2094" s="52" t="n">
        <v>0</v>
      </c>
      <c r="AA2094" s="52" t="n">
        <v>0</v>
      </c>
      <c r="AB2094" s="53" t="n">
        <v>0</v>
      </c>
      <c r="AC2094" s="52" t="n">
        <v>0</v>
      </c>
      <c r="AD2094" s="53" t="n">
        <v>0</v>
      </c>
      <c r="AE2094" s="52" t="n">
        <v>0</v>
      </c>
      <c r="AF2094" s="51" t="n">
        <v>0</v>
      </c>
      <c r="AG2094" s="48" t="n">
        <v>0</v>
      </c>
      <c r="AH2094" s="49" t="n">
        <v>0</v>
      </c>
      <c r="AI2094" s="49" t="n">
        <v>0</v>
      </c>
      <c r="AJ2094" s="50" t="n">
        <v>0</v>
      </c>
      <c r="AK2094" s="51" t="n">
        <v>0</v>
      </c>
      <c r="AL2094" s="52" t="n">
        <v>0</v>
      </c>
      <c r="AM2094" s="52" t="n">
        <v>0</v>
      </c>
      <c r="AN2094" s="52" t="n">
        <v>0</v>
      </c>
      <c r="AO2094" s="53" t="n">
        <v>0</v>
      </c>
      <c r="AP2094" s="52" t="n">
        <v>0</v>
      </c>
      <c r="AQ2094" s="53" t="n">
        <v>0</v>
      </c>
      <c r="AR2094" s="52" t="n">
        <v>0</v>
      </c>
      <c r="AS2094" s="51" t="n">
        <v>0</v>
      </c>
      <c r="AT2094" s="48" t="n">
        <v>0</v>
      </c>
      <c r="AU2094" s="49" t="n">
        <v>0</v>
      </c>
      <c r="AV2094" s="49" t="n">
        <v>0</v>
      </c>
      <c r="AW2094" s="50" t="n">
        <v>0</v>
      </c>
      <c r="AX2094" s="51" t="n">
        <v>0</v>
      </c>
      <c r="AY2094" s="52" t="n">
        <v>0</v>
      </c>
      <c r="AZ2094" s="52" t="n">
        <v>0</v>
      </c>
      <c r="BA2094" s="52" t="n">
        <v>0</v>
      </c>
      <c r="BB2094" s="53" t="n">
        <v>0</v>
      </c>
      <c r="BC2094" s="52" t="n">
        <v>0</v>
      </c>
      <c r="BD2094" s="53" t="n">
        <v>0</v>
      </c>
      <c r="BE2094" s="52" t="n">
        <v>0</v>
      </c>
      <c r="BF2094" s="51" t="n">
        <v>0</v>
      </c>
    </row>
    <row r="2095">
      <c r="A2095">
        <f>HYPERLINK("https://www.walmart.com/ip/3336584723", "3336584723")</f>
        <v/>
      </c>
      <c r="B2095" t="inlineStr">
        <is>
          <t>Catalonia Waterproof Blanket for Outdoors, Hooded Blanket Poncho, Windproof, Warm, Wearable, Portable Fleece Blanket for Stadium, Picnics, Sports Events, Camping, Yoga, and Beach, Black/Wine</t>
        </is>
      </c>
      <c r="C2095" t="inlineStr">
        <is>
          <t>1CTBC200WNBK</t>
        </is>
      </c>
      <c r="D2095" t="inlineStr">
        <is>
          <t>Throws</t>
        </is>
      </c>
      <c r="E2095" t="inlineStr">
        <is>
          <t>Catalonia</t>
        </is>
      </c>
      <c r="F2095" t="inlineStr">
        <is>
          <t>Wproof Blanket</t>
        </is>
      </c>
      <c r="G2095" s="48" t="n">
        <v>0</v>
      </c>
      <c r="H2095" s="49" t="n">
        <v>0</v>
      </c>
      <c r="I2095" s="49" t="n">
        <v>0</v>
      </c>
      <c r="J2095" s="50" t="n">
        <v>0</v>
      </c>
      <c r="K2095" s="51" t="n">
        <v>0</v>
      </c>
      <c r="L2095" s="52" t="n">
        <v>0</v>
      </c>
      <c r="M2095" s="52" t="n">
        <v>0</v>
      </c>
      <c r="N2095" s="52" t="n">
        <v>0</v>
      </c>
      <c r="O2095" s="53" t="n">
        <v>0</v>
      </c>
      <c r="P2095" s="52" t="n">
        <v>0</v>
      </c>
      <c r="Q2095" s="53" t="n">
        <v>0</v>
      </c>
      <c r="R2095" s="52" t="n">
        <v>0</v>
      </c>
      <c r="S2095" s="51" t="n">
        <v>0</v>
      </c>
      <c r="T2095" s="48" t="n">
        <v>0</v>
      </c>
      <c r="U2095" s="49" t="n">
        <v>0</v>
      </c>
      <c r="V2095" s="49" t="n">
        <v>0</v>
      </c>
      <c r="W2095" s="50" t="n">
        <v>0</v>
      </c>
      <c r="X2095" s="51" t="n">
        <v>0</v>
      </c>
      <c r="Y2095" s="52" t="n">
        <v>0</v>
      </c>
      <c r="Z2095" s="52" t="n">
        <v>0</v>
      </c>
      <c r="AA2095" s="52" t="n">
        <v>0</v>
      </c>
      <c r="AB2095" s="53" t="n">
        <v>0</v>
      </c>
      <c r="AC2095" s="52" t="n">
        <v>0</v>
      </c>
      <c r="AD2095" s="53" t="n">
        <v>0</v>
      </c>
      <c r="AE2095" s="52" t="n">
        <v>0</v>
      </c>
      <c r="AF2095" s="51" t="n">
        <v>0</v>
      </c>
      <c r="AG2095" s="48" t="n">
        <v>0</v>
      </c>
      <c r="AH2095" s="49" t="n">
        <v>0</v>
      </c>
      <c r="AI2095" s="49" t="n">
        <v>0</v>
      </c>
      <c r="AJ2095" s="50" t="n">
        <v>0</v>
      </c>
      <c r="AK2095" s="51" t="n">
        <v>0</v>
      </c>
      <c r="AL2095" s="52" t="n">
        <v>0</v>
      </c>
      <c r="AM2095" s="52" t="n">
        <v>0</v>
      </c>
      <c r="AN2095" s="52" t="n">
        <v>0</v>
      </c>
      <c r="AO2095" s="53" t="n">
        <v>0</v>
      </c>
      <c r="AP2095" s="52" t="n">
        <v>0</v>
      </c>
      <c r="AQ2095" s="53" t="n">
        <v>0</v>
      </c>
      <c r="AR2095" s="52" t="n">
        <v>0</v>
      </c>
      <c r="AS2095" s="51" t="n">
        <v>0</v>
      </c>
      <c r="AT2095" s="48" t="n">
        <v>0</v>
      </c>
      <c r="AU2095" s="49" t="n">
        <v>0</v>
      </c>
      <c r="AV2095" s="49" t="n">
        <v>0</v>
      </c>
      <c r="AW2095" s="50" t="n">
        <v>0</v>
      </c>
      <c r="AX2095" s="51" t="n">
        <v>0</v>
      </c>
      <c r="AY2095" s="52" t="n">
        <v>0</v>
      </c>
      <c r="AZ2095" s="52" t="n">
        <v>0</v>
      </c>
      <c r="BA2095" s="52" t="n">
        <v>0</v>
      </c>
      <c r="BB2095" s="53" t="n">
        <v>0</v>
      </c>
      <c r="BC2095" s="52" t="n">
        <v>0</v>
      </c>
      <c r="BD2095" s="53" t="n">
        <v>0</v>
      </c>
      <c r="BE2095" s="52" t="n">
        <v>0</v>
      </c>
      <c r="BF2095" s="51" t="n">
        <v>0</v>
      </c>
    </row>
    <row r="2096">
      <c r="A2096">
        <f>HYPERLINK("https://www.walmart.com/ip/334138081", "334138081")</f>
        <v/>
      </c>
      <c r="B2096" t="inlineStr">
        <is>
          <t>Terra Boxer Briefs Mens 3 Pack Underwear Elastic Waistband Solid New Classic Fit</t>
        </is>
      </c>
      <c r="C2096" t="inlineStr">
        <is>
          <t>TERRA-BOXER5-L</t>
        </is>
      </c>
      <c r="D2096" t="inlineStr">
        <is>
          <t>Underpants</t>
        </is>
      </c>
      <c r="E2096" t="inlineStr">
        <is>
          <t>Terra</t>
        </is>
      </c>
      <c r="F2096" t="inlineStr">
        <is>
          <t>Batch 1 - TR</t>
        </is>
      </c>
      <c r="G2096" s="48" t="n">
        <v>0</v>
      </c>
      <c r="H2096" s="49" t="n">
        <v>0</v>
      </c>
      <c r="I2096" s="49" t="n">
        <v>0</v>
      </c>
      <c r="J2096" s="50" t="n">
        <v>0</v>
      </c>
      <c r="K2096" s="51" t="n">
        <v>0</v>
      </c>
      <c r="L2096" s="52" t="n">
        <v>0</v>
      </c>
      <c r="M2096" s="52" t="n">
        <v>0</v>
      </c>
      <c r="N2096" s="52" t="n">
        <v>0</v>
      </c>
      <c r="O2096" s="53" t="n">
        <v>0</v>
      </c>
      <c r="P2096" s="52" t="n">
        <v>0</v>
      </c>
      <c r="Q2096" s="53" t="n">
        <v>0</v>
      </c>
      <c r="R2096" s="52" t="n">
        <v>0</v>
      </c>
      <c r="S2096" s="51" t="n">
        <v>0</v>
      </c>
      <c r="T2096" s="48" t="n">
        <v>0</v>
      </c>
      <c r="U2096" s="49" t="n">
        <v>0</v>
      </c>
      <c r="V2096" s="49" t="n">
        <v>0</v>
      </c>
      <c r="W2096" s="50" t="n">
        <v>0</v>
      </c>
      <c r="X2096" s="51" t="n">
        <v>0</v>
      </c>
      <c r="Y2096" s="52" t="n">
        <v>0</v>
      </c>
      <c r="Z2096" s="52" t="n">
        <v>0</v>
      </c>
      <c r="AA2096" s="52" t="n">
        <v>0</v>
      </c>
      <c r="AB2096" s="53" t="n">
        <v>0</v>
      </c>
      <c r="AC2096" s="52" t="n">
        <v>0</v>
      </c>
      <c r="AD2096" s="53" t="n">
        <v>0</v>
      </c>
      <c r="AE2096" s="52" t="n">
        <v>0</v>
      </c>
      <c r="AF2096" s="51" t="n">
        <v>0</v>
      </c>
      <c r="AG2096" s="48" t="n">
        <v>0</v>
      </c>
      <c r="AH2096" s="49" t="n">
        <v>0</v>
      </c>
      <c r="AI2096" s="49" t="n">
        <v>0</v>
      </c>
      <c r="AJ2096" s="50" t="n">
        <v>0</v>
      </c>
      <c r="AK2096" s="51" t="n">
        <v>0</v>
      </c>
      <c r="AL2096" s="52" t="n">
        <v>0</v>
      </c>
      <c r="AM2096" s="52" t="n">
        <v>0</v>
      </c>
      <c r="AN2096" s="52" t="n">
        <v>0</v>
      </c>
      <c r="AO2096" s="53" t="n">
        <v>0</v>
      </c>
      <c r="AP2096" s="52" t="n">
        <v>0</v>
      </c>
      <c r="AQ2096" s="53" t="n">
        <v>0</v>
      </c>
      <c r="AR2096" s="52" t="n">
        <v>0</v>
      </c>
      <c r="AS2096" s="51" t="n">
        <v>0</v>
      </c>
      <c r="AT2096" s="48" t="n">
        <v>0</v>
      </c>
      <c r="AU2096" s="49" t="n">
        <v>0</v>
      </c>
      <c r="AV2096" s="49" t="n">
        <v>0</v>
      </c>
      <c r="AW2096" s="50" t="n">
        <v>0</v>
      </c>
      <c r="AX2096" s="51" t="n">
        <v>0</v>
      </c>
      <c r="AY2096" s="52" t="n">
        <v>0</v>
      </c>
      <c r="AZ2096" s="52" t="n">
        <v>0</v>
      </c>
      <c r="BA2096" s="52" t="n">
        <v>0</v>
      </c>
      <c r="BB2096" s="53" t="n">
        <v>0</v>
      </c>
      <c r="BC2096" s="52" t="n">
        <v>0</v>
      </c>
      <c r="BD2096" s="53" t="n">
        <v>0</v>
      </c>
      <c r="BE2096" s="52" t="n">
        <v>0</v>
      </c>
      <c r="BF2096" s="51" t="n">
        <v>0</v>
      </c>
    </row>
    <row r="2097">
      <c r="A2097">
        <f>HYPERLINK("https://www.walmart.com/ip/334797693", "334797693")</f>
        <v/>
      </c>
      <c r="B2097" t="inlineStr">
        <is>
          <t>Flyingstar Wearable Blanket with Sleeves and Pocket, Fleece Micro Plush Throws Blanket, Robe for Women and Men 73” x 51” Pink</t>
        </is>
      </c>
      <c r="C2097" t="inlineStr">
        <is>
          <t>1WMSN100PK</t>
        </is>
      </c>
      <c r="D2097" t="inlineStr">
        <is>
          <t>Throws</t>
        </is>
      </c>
      <c r="E2097" t="inlineStr">
        <is>
          <t>Flyingstar</t>
        </is>
      </c>
      <c r="F2097" t="inlineStr">
        <is>
          <t>Batch 1 - TR</t>
        </is>
      </c>
      <c r="G2097" s="48" t="n">
        <v>0</v>
      </c>
      <c r="H2097" s="49" t="n">
        <v>0</v>
      </c>
      <c r="I2097" s="49" t="n">
        <v>0</v>
      </c>
      <c r="J2097" s="50" t="n">
        <v>0</v>
      </c>
      <c r="K2097" s="51" t="n">
        <v>0</v>
      </c>
      <c r="L2097" s="52" t="n">
        <v>0</v>
      </c>
      <c r="M2097" s="52" t="n">
        <v>0</v>
      </c>
      <c r="N2097" s="52" t="n">
        <v>0</v>
      </c>
      <c r="O2097" s="53" t="n">
        <v>0</v>
      </c>
      <c r="P2097" s="52" t="n">
        <v>0</v>
      </c>
      <c r="Q2097" s="53" t="n">
        <v>0</v>
      </c>
      <c r="R2097" s="52" t="n">
        <v>0</v>
      </c>
      <c r="S2097" s="51" t="n">
        <v>0</v>
      </c>
      <c r="T2097" s="48" t="n">
        <v>0</v>
      </c>
      <c r="U2097" s="49" t="n">
        <v>0</v>
      </c>
      <c r="V2097" s="49" t="n">
        <v>0</v>
      </c>
      <c r="W2097" s="50" t="n">
        <v>0</v>
      </c>
      <c r="X2097" s="51" t="n">
        <v>0</v>
      </c>
      <c r="Y2097" s="52" t="n">
        <v>0</v>
      </c>
      <c r="Z2097" s="52" t="n">
        <v>0</v>
      </c>
      <c r="AA2097" s="52" t="n">
        <v>0</v>
      </c>
      <c r="AB2097" s="53" t="n">
        <v>0</v>
      </c>
      <c r="AC2097" s="52" t="n">
        <v>0</v>
      </c>
      <c r="AD2097" s="53" t="n">
        <v>0</v>
      </c>
      <c r="AE2097" s="52" t="n">
        <v>0</v>
      </c>
      <c r="AF2097" s="51" t="n">
        <v>0</v>
      </c>
      <c r="AG2097" s="48" t="n">
        <v>0</v>
      </c>
      <c r="AH2097" s="49" t="n">
        <v>0</v>
      </c>
      <c r="AI2097" s="49" t="n">
        <v>0</v>
      </c>
      <c r="AJ2097" s="50" t="n">
        <v>0</v>
      </c>
      <c r="AK2097" s="51" t="n">
        <v>0</v>
      </c>
      <c r="AL2097" s="52" t="n">
        <v>0</v>
      </c>
      <c r="AM2097" s="52" t="n">
        <v>0</v>
      </c>
      <c r="AN2097" s="52" t="n">
        <v>0</v>
      </c>
      <c r="AO2097" s="53" t="n">
        <v>0</v>
      </c>
      <c r="AP2097" s="52" t="n">
        <v>0</v>
      </c>
      <c r="AQ2097" s="53" t="n">
        <v>0</v>
      </c>
      <c r="AR2097" s="52" t="n">
        <v>0</v>
      </c>
      <c r="AS2097" s="51" t="n">
        <v>0</v>
      </c>
      <c r="AT2097" s="48" t="n">
        <v>0</v>
      </c>
      <c r="AU2097" s="49" t="n">
        <v>0</v>
      </c>
      <c r="AV2097" s="49" t="n">
        <v>0</v>
      </c>
      <c r="AW2097" s="50" t="n">
        <v>0</v>
      </c>
      <c r="AX2097" s="51" t="n">
        <v>0</v>
      </c>
      <c r="AY2097" s="52" t="n">
        <v>0</v>
      </c>
      <c r="AZ2097" s="52" t="n">
        <v>0</v>
      </c>
      <c r="BA2097" s="52" t="n">
        <v>0</v>
      </c>
      <c r="BB2097" s="53" t="n">
        <v>0</v>
      </c>
      <c r="BC2097" s="52" t="n">
        <v>0</v>
      </c>
      <c r="BD2097" s="53" t="n">
        <v>0</v>
      </c>
      <c r="BE2097" s="52" t="n">
        <v>0</v>
      </c>
      <c r="BF2097" s="51" t="n">
        <v>0</v>
      </c>
    </row>
    <row r="2098">
      <c r="A2098">
        <f>HYPERLINK("https://www.walmart.com/ip/3348429071", "3348429071")</f>
        <v/>
      </c>
      <c r="B2098" t="inlineStr">
        <is>
          <t>Kato Outdoors Waterproof Throw Blanket, Sherpa Fleece Stadium Windproof Mat For Traveling, Camping, Hiking, Football - Machine Washable, Orange/Grey, 51"x 59".</t>
        </is>
      </c>
      <c r="C2098" t="inlineStr">
        <is>
          <t>1KTBW506ORGY</t>
        </is>
      </c>
      <c r="D2098" t="inlineStr">
        <is>
          <t>Throws</t>
        </is>
      </c>
      <c r="E2098" t="inlineStr">
        <is>
          <t>Kato</t>
        </is>
      </c>
      <c r="F2098" t="inlineStr">
        <is>
          <t>Q2-Target</t>
        </is>
      </c>
      <c r="G2098" s="48" t="n">
        <v>0</v>
      </c>
      <c r="H2098" s="49" t="n">
        <v>0</v>
      </c>
      <c r="I2098" s="49" t="n">
        <v>0</v>
      </c>
      <c r="J2098" s="50" t="n">
        <v>0</v>
      </c>
      <c r="K2098" s="51" t="n">
        <v>0</v>
      </c>
      <c r="L2098" s="52" t="n">
        <v>0</v>
      </c>
      <c r="M2098" s="52" t="n">
        <v>0</v>
      </c>
      <c r="N2098" s="52" t="n">
        <v>0</v>
      </c>
      <c r="O2098" s="53" t="n">
        <v>0</v>
      </c>
      <c r="P2098" s="52" t="n">
        <v>0</v>
      </c>
      <c r="Q2098" s="53" t="n">
        <v>0</v>
      </c>
      <c r="R2098" s="52" t="n">
        <v>0</v>
      </c>
      <c r="S2098" s="51" t="n">
        <v>0</v>
      </c>
      <c r="T2098" s="48" t="n">
        <v>0</v>
      </c>
      <c r="U2098" s="49" t="n">
        <v>0</v>
      </c>
      <c r="V2098" s="49" t="n">
        <v>1</v>
      </c>
      <c r="W2098" s="50" t="n">
        <v>0</v>
      </c>
      <c r="X2098" s="51" t="n">
        <v>0</v>
      </c>
      <c r="Y2098" s="52" t="n">
        <v>0</v>
      </c>
      <c r="Z2098" s="52" t="n">
        <v>0</v>
      </c>
      <c r="AA2098" s="52" t="n">
        <v>0</v>
      </c>
      <c r="AB2098" s="53" t="n">
        <v>0</v>
      </c>
      <c r="AC2098" s="52" t="n">
        <v>0</v>
      </c>
      <c r="AD2098" s="53" t="n">
        <v>0</v>
      </c>
      <c r="AE2098" s="52" t="n">
        <v>0</v>
      </c>
      <c r="AF2098" s="51" t="n">
        <v>0</v>
      </c>
      <c r="AG2098" s="48" t="n">
        <v>0</v>
      </c>
      <c r="AH2098" s="49" t="n">
        <v>0</v>
      </c>
      <c r="AI2098" s="49" t="n">
        <v>0</v>
      </c>
      <c r="AJ2098" s="50" t="n">
        <v>0</v>
      </c>
      <c r="AK2098" s="51" t="n">
        <v>0</v>
      </c>
      <c r="AL2098" s="52" t="n">
        <v>0</v>
      </c>
      <c r="AM2098" s="52" t="n">
        <v>0</v>
      </c>
      <c r="AN2098" s="52" t="n">
        <v>0</v>
      </c>
      <c r="AO2098" s="53" t="n">
        <v>0</v>
      </c>
      <c r="AP2098" s="52" t="n">
        <v>0</v>
      </c>
      <c r="AQ2098" s="53" t="n">
        <v>0</v>
      </c>
      <c r="AR2098" s="52" t="n">
        <v>0</v>
      </c>
      <c r="AS2098" s="51" t="n">
        <v>0</v>
      </c>
      <c r="AT2098" s="48" t="n">
        <v>0</v>
      </c>
      <c r="AU2098" s="49" t="n">
        <v>0</v>
      </c>
      <c r="AV2098" s="49" t="n">
        <v>0</v>
      </c>
      <c r="AW2098" s="50" t="n">
        <v>0</v>
      </c>
      <c r="AX2098" s="51" t="n">
        <v>0</v>
      </c>
      <c r="AY2098" s="52" t="n">
        <v>0</v>
      </c>
      <c r="AZ2098" s="52" t="n">
        <v>0</v>
      </c>
      <c r="BA2098" s="52" t="n">
        <v>0</v>
      </c>
      <c r="BB2098" s="53" t="n">
        <v>0</v>
      </c>
      <c r="BC2098" s="52" t="n">
        <v>0</v>
      </c>
      <c r="BD2098" s="53" t="n">
        <v>0</v>
      </c>
      <c r="BE2098" s="52" t="n">
        <v>0</v>
      </c>
      <c r="BF2098" s="51" t="n">
        <v>0</v>
      </c>
    </row>
    <row r="2099">
      <c r="A2099">
        <f>HYPERLINK("https://www.walmart.com/ip/334947943", "334947943")</f>
        <v/>
      </c>
      <c r="B2099" t="inlineStr">
        <is>
          <t>Pawsse Sherpa Fleece Blanket, Reversible Plush Blanket, Warm Flannel Plush Cat and Dog Blanket, Latte/Latte Sherpa Lining, 45'' x 30''</t>
        </is>
      </c>
      <c r="C2099" t="inlineStr">
        <is>
          <t>1TRBF345LTLT</t>
        </is>
      </c>
      <c r="D2099" t="inlineStr">
        <is>
          <t>Pet Blankets</t>
        </is>
      </c>
      <c r="E2099" t="inlineStr">
        <is>
          <t>Pawsse</t>
        </is>
      </c>
      <c r="F2099" t="inlineStr">
        <is>
          <t>Batch 1 - TR</t>
        </is>
      </c>
      <c r="G2099" s="48" t="n">
        <v>0</v>
      </c>
      <c r="H2099" s="49" t="n">
        <v>0</v>
      </c>
      <c r="I2099" s="49" t="n">
        <v>0</v>
      </c>
      <c r="J2099" s="50" t="n">
        <v>0</v>
      </c>
      <c r="K2099" s="51" t="n">
        <v>0</v>
      </c>
      <c r="L2099" s="52" t="n">
        <v>0</v>
      </c>
      <c r="M2099" s="52" t="n">
        <v>0</v>
      </c>
      <c r="N2099" s="52" t="n">
        <v>0</v>
      </c>
      <c r="O2099" s="53" t="n">
        <v>0</v>
      </c>
      <c r="P2099" s="52" t="n">
        <v>0</v>
      </c>
      <c r="Q2099" s="53" t="n">
        <v>0</v>
      </c>
      <c r="R2099" s="52" t="n">
        <v>0</v>
      </c>
      <c r="S2099" s="51" t="n">
        <v>0</v>
      </c>
      <c r="T2099" s="48" t="n">
        <v>0</v>
      </c>
      <c r="U2099" s="49" t="n">
        <v>0</v>
      </c>
      <c r="V2099" s="49" t="n">
        <v>0</v>
      </c>
      <c r="W2099" s="50" t="n">
        <v>0</v>
      </c>
      <c r="X2099" s="51" t="n">
        <v>0</v>
      </c>
      <c r="Y2099" s="52" t="n">
        <v>0</v>
      </c>
      <c r="Z2099" s="52" t="n">
        <v>0</v>
      </c>
      <c r="AA2099" s="52" t="n">
        <v>0</v>
      </c>
      <c r="AB2099" s="53" t="n">
        <v>0</v>
      </c>
      <c r="AC2099" s="52" t="n">
        <v>0</v>
      </c>
      <c r="AD2099" s="53" t="n">
        <v>0</v>
      </c>
      <c r="AE2099" s="52" t="n">
        <v>0</v>
      </c>
      <c r="AF2099" s="51" t="n">
        <v>0</v>
      </c>
      <c r="AG2099" s="48" t="n">
        <v>0</v>
      </c>
      <c r="AH2099" s="49" t="n">
        <v>0</v>
      </c>
      <c r="AI2099" s="49" t="n">
        <v>0</v>
      </c>
      <c r="AJ2099" s="50" t="n">
        <v>0</v>
      </c>
      <c r="AK2099" s="51" t="n">
        <v>0</v>
      </c>
      <c r="AL2099" s="52" t="n">
        <v>0</v>
      </c>
      <c r="AM2099" s="52" t="n">
        <v>0</v>
      </c>
      <c r="AN2099" s="52" t="n">
        <v>0</v>
      </c>
      <c r="AO2099" s="53" t="n">
        <v>0</v>
      </c>
      <c r="AP2099" s="52" t="n">
        <v>0</v>
      </c>
      <c r="AQ2099" s="53" t="n">
        <v>0</v>
      </c>
      <c r="AR2099" s="52" t="n">
        <v>0</v>
      </c>
      <c r="AS2099" s="51" t="n">
        <v>0</v>
      </c>
      <c r="AT2099" s="48" t="n">
        <v>0</v>
      </c>
      <c r="AU2099" s="49" t="n">
        <v>0</v>
      </c>
      <c r="AV2099" s="49" t="n">
        <v>0</v>
      </c>
      <c r="AW2099" s="50" t="n">
        <v>0</v>
      </c>
      <c r="AX2099" s="51" t="n">
        <v>0</v>
      </c>
      <c r="AY2099" s="52" t="n">
        <v>0</v>
      </c>
      <c r="AZ2099" s="52" t="n">
        <v>0</v>
      </c>
      <c r="BA2099" s="52" t="n">
        <v>0</v>
      </c>
      <c r="BB2099" s="53" t="n">
        <v>0</v>
      </c>
      <c r="BC2099" s="52" t="n">
        <v>0</v>
      </c>
      <c r="BD2099" s="53" t="n">
        <v>0</v>
      </c>
      <c r="BE2099" s="52" t="n">
        <v>0</v>
      </c>
      <c r="BF2099" s="51" t="n">
        <v>0</v>
      </c>
    </row>
    <row r="2100">
      <c r="A2100">
        <f>HYPERLINK("https://www.walmart.com/ip/348247263", "348247263")</f>
        <v/>
      </c>
      <c r="B2100" t="inlineStr">
        <is>
          <t>Buffalo Plaid Sherpa Throw TV Blanket 50" x 60" Super Soft Reversible Fleece Blanket for Cabin Bed or Couch | Catalonia series by Terrania Green Plaid</t>
        </is>
      </c>
      <c r="C2100" t="inlineStr">
        <is>
          <t>1TRBF300PGN-TBCB</t>
        </is>
      </c>
      <c r="D2100" t="inlineStr">
        <is>
          <t>Throws</t>
        </is>
      </c>
      <c r="E2100" t="inlineStr">
        <is>
          <t>Tirrinia</t>
        </is>
      </c>
      <c r="F2100" t="inlineStr">
        <is>
          <t>Q2-Target,WFS,Coupon_Discount,WFS Item,Fleece Blankets,ST Patrick Day</t>
        </is>
      </c>
      <c r="G2100" s="48" t="n">
        <v>0</v>
      </c>
      <c r="H2100" s="49" t="n">
        <v>0</v>
      </c>
      <c r="I2100" s="49" t="n">
        <v>0</v>
      </c>
      <c r="J2100" s="50" t="n">
        <v>0</v>
      </c>
      <c r="K2100" s="51" t="n">
        <v>0</v>
      </c>
      <c r="L2100" s="52" t="n">
        <v>0</v>
      </c>
      <c r="M2100" s="52" t="n">
        <v>0</v>
      </c>
      <c r="N2100" s="52" t="n">
        <v>0</v>
      </c>
      <c r="O2100" s="53" t="n">
        <v>0</v>
      </c>
      <c r="P2100" s="52" t="n">
        <v>0</v>
      </c>
      <c r="Q2100" s="53" t="n">
        <v>0</v>
      </c>
      <c r="R2100" s="52" t="n">
        <v>0</v>
      </c>
      <c r="S2100" s="51" t="n">
        <v>0</v>
      </c>
      <c r="T2100" s="48" t="n">
        <v>0</v>
      </c>
      <c r="U2100" s="49" t="n">
        <v>0</v>
      </c>
      <c r="V2100" s="49" t="n">
        <v>0</v>
      </c>
      <c r="W2100" s="50" t="n">
        <v>0</v>
      </c>
      <c r="X2100" s="51" t="n">
        <v>0</v>
      </c>
      <c r="Y2100" s="52" t="n">
        <v>0</v>
      </c>
      <c r="Z2100" s="52" t="n">
        <v>0</v>
      </c>
      <c r="AA2100" s="52" t="n">
        <v>0</v>
      </c>
      <c r="AB2100" s="53" t="n">
        <v>0</v>
      </c>
      <c r="AC2100" s="52" t="n">
        <v>0</v>
      </c>
      <c r="AD2100" s="53" t="n">
        <v>0</v>
      </c>
      <c r="AE2100" s="52" t="n">
        <v>0</v>
      </c>
      <c r="AF2100" s="51" t="n">
        <v>0</v>
      </c>
      <c r="AG2100" s="48" t="n">
        <v>0</v>
      </c>
      <c r="AH2100" s="49" t="n">
        <v>0</v>
      </c>
      <c r="AI2100" s="49" t="n">
        <v>0</v>
      </c>
      <c r="AJ2100" s="50" t="n">
        <v>0</v>
      </c>
      <c r="AK2100" s="51" t="n">
        <v>0</v>
      </c>
      <c r="AL2100" s="52" t="n">
        <v>0</v>
      </c>
      <c r="AM2100" s="52" t="n">
        <v>0</v>
      </c>
      <c r="AN2100" s="52" t="n">
        <v>0</v>
      </c>
      <c r="AO2100" s="53" t="n">
        <v>0</v>
      </c>
      <c r="AP2100" s="52" t="n">
        <v>0</v>
      </c>
      <c r="AQ2100" s="53" t="n">
        <v>0</v>
      </c>
      <c r="AR2100" s="52" t="n">
        <v>0</v>
      </c>
      <c r="AS2100" s="51" t="n">
        <v>0</v>
      </c>
      <c r="AT2100" s="48" t="n">
        <v>0</v>
      </c>
      <c r="AU2100" s="49" t="n">
        <v>0</v>
      </c>
      <c r="AV2100" s="49" t="n">
        <v>0</v>
      </c>
      <c r="AW2100" s="50" t="n">
        <v>0</v>
      </c>
      <c r="AX2100" s="51" t="n">
        <v>0</v>
      </c>
      <c r="AY2100" s="52" t="n">
        <v>0</v>
      </c>
      <c r="AZ2100" s="52" t="n">
        <v>0</v>
      </c>
      <c r="BA2100" s="52" t="n">
        <v>0</v>
      </c>
      <c r="BB2100" s="53" t="n">
        <v>0</v>
      </c>
      <c r="BC2100" s="52" t="n">
        <v>0</v>
      </c>
      <c r="BD2100" s="53" t="n">
        <v>0</v>
      </c>
      <c r="BE2100" s="52" t="n">
        <v>0</v>
      </c>
      <c r="BF2100" s="51" t="n">
        <v>0</v>
      </c>
    </row>
    <row r="2101">
      <c r="A2101">
        <f>HYPERLINK("https://www.walmart.com/ip/100213325", "100213325")</f>
        <v/>
      </c>
      <c r="B2101" t="inlineStr">
        <is>
          <t>JenniWears® Women's Sexy Lingeri Darque Babydoll And G-string</t>
        </is>
      </c>
      <c r="C2101" t="inlineStr">
        <is>
          <t>JWBD07BK-M</t>
        </is>
      </c>
      <c r="D2101" t="inlineStr">
        <is>
          <t>Lingerie Sets</t>
        </is>
      </c>
      <c r="E2101" t="inlineStr">
        <is>
          <t>JenniWears</t>
        </is>
      </c>
      <c r="F2101" t="inlineStr">
        <is>
          <t>Optimized,Valentine</t>
        </is>
      </c>
      <c r="G2101" s="48" t="n">
        <v>0</v>
      </c>
      <c r="H2101" s="49" t="n">
        <v>0</v>
      </c>
      <c r="I2101" s="49" t="n">
        <v>0</v>
      </c>
      <c r="J2101" s="50" t="n">
        <v>0</v>
      </c>
      <c r="K2101" s="51" t="n">
        <v>0</v>
      </c>
      <c r="L2101" s="52" t="n">
        <v>0</v>
      </c>
      <c r="M2101" s="52" t="n">
        <v>0</v>
      </c>
      <c r="N2101" s="52" t="n">
        <v>0</v>
      </c>
      <c r="O2101" s="53" t="n">
        <v>0</v>
      </c>
      <c r="P2101" s="52" t="n">
        <v>0</v>
      </c>
      <c r="Q2101" s="53" t="n">
        <v>0</v>
      </c>
      <c r="R2101" s="52" t="n">
        <v>0</v>
      </c>
      <c r="S2101" s="51" t="n">
        <v>0</v>
      </c>
      <c r="T2101" s="48" t="n">
        <v>0</v>
      </c>
      <c r="U2101" s="49" t="n">
        <v>0</v>
      </c>
      <c r="V2101" s="49" t="n">
        <v>0</v>
      </c>
      <c r="W2101" s="50" t="n">
        <v>0</v>
      </c>
      <c r="X2101" s="51" t="n">
        <v>0</v>
      </c>
      <c r="Y2101" s="52" t="n">
        <v>0</v>
      </c>
      <c r="Z2101" s="52" t="n">
        <v>0</v>
      </c>
      <c r="AA2101" s="52" t="n">
        <v>0</v>
      </c>
      <c r="AB2101" s="53" t="n">
        <v>0</v>
      </c>
      <c r="AC2101" s="52" t="n">
        <v>0</v>
      </c>
      <c r="AD2101" s="53" t="n">
        <v>0</v>
      </c>
      <c r="AE2101" s="52" t="n">
        <v>0</v>
      </c>
      <c r="AF2101" s="51" t="n">
        <v>0</v>
      </c>
      <c r="AG2101" s="48" t="n">
        <v>0</v>
      </c>
      <c r="AH2101" s="49" t="n">
        <v>0</v>
      </c>
      <c r="AI2101" s="49" t="n">
        <v>0</v>
      </c>
      <c r="AJ2101" s="50" t="n">
        <v>0</v>
      </c>
      <c r="AK2101" s="51" t="n">
        <v>0</v>
      </c>
      <c r="AL2101" s="52" t="n">
        <v>0</v>
      </c>
      <c r="AM2101" s="52" t="n">
        <v>0</v>
      </c>
      <c r="AN2101" s="52" t="n">
        <v>0</v>
      </c>
      <c r="AO2101" s="53" t="n">
        <v>0</v>
      </c>
      <c r="AP2101" s="52" t="n">
        <v>0</v>
      </c>
      <c r="AQ2101" s="53" t="n">
        <v>0</v>
      </c>
      <c r="AR2101" s="52" t="n">
        <v>0</v>
      </c>
      <c r="AS2101" s="51" t="n">
        <v>0</v>
      </c>
      <c r="AT2101" s="48" t="n">
        <v>0</v>
      </c>
      <c r="AU2101" s="49" t="n">
        <v>0</v>
      </c>
      <c r="AV2101" s="49" t="n">
        <v>0</v>
      </c>
      <c r="AW2101" s="50" t="n">
        <v>0</v>
      </c>
      <c r="AX2101" s="51" t="n">
        <v>0</v>
      </c>
      <c r="AY2101" s="52" t="n">
        <v>0</v>
      </c>
      <c r="AZ2101" s="52" t="n">
        <v>0</v>
      </c>
      <c r="BA2101" s="52" t="n">
        <v>0</v>
      </c>
      <c r="BB2101" s="53" t="n">
        <v>0</v>
      </c>
      <c r="BC2101" s="52" t="n">
        <v>0</v>
      </c>
      <c r="BD2101" s="53" t="n">
        <v>0</v>
      </c>
      <c r="BE2101" s="52" t="n">
        <v>0</v>
      </c>
      <c r="BF2101" s="51" t="n">
        <v>0</v>
      </c>
    </row>
    <row r="2102">
      <c r="A2102">
        <f>HYPERLINK("https://www.walmart.com/ip/293318667", "293318667")</f>
        <v/>
      </c>
      <c r="B2102" t="inlineStr">
        <is>
          <t>Tirrinia Women Floppy Straw Sun Hat Foldable Wide Brim Striped Beach Cap for Female, Great Gifts for Mother's Day, Navy</t>
        </is>
      </c>
      <c r="C2102" t="inlineStr">
        <is>
          <t>1TRSH371NV-TBCB</t>
        </is>
      </c>
      <c r="D2102" t="inlineStr">
        <is>
          <t>Hats</t>
        </is>
      </c>
      <c r="E2102" t="inlineStr">
        <is>
          <t>Tirrinia</t>
        </is>
      </c>
      <c r="F2102" t="inlineStr">
        <is>
          <t>Hats,Batch 1 - TR</t>
        </is>
      </c>
      <c r="G2102" s="48" t="n">
        <v>0</v>
      </c>
      <c r="H2102" s="49" t="n">
        <v>0</v>
      </c>
      <c r="I2102" s="49" t="n">
        <v>0</v>
      </c>
      <c r="J2102" s="50" t="n">
        <v>0</v>
      </c>
      <c r="K2102" s="51" t="n">
        <v>0</v>
      </c>
      <c r="L2102" s="52" t="n">
        <v>0</v>
      </c>
      <c r="M2102" s="52" t="n">
        <v>0</v>
      </c>
      <c r="N2102" s="52" t="n">
        <v>0</v>
      </c>
      <c r="O2102" s="53" t="n">
        <v>0</v>
      </c>
      <c r="P2102" s="52" t="n">
        <v>0</v>
      </c>
      <c r="Q2102" s="53" t="n">
        <v>0</v>
      </c>
      <c r="R2102" s="52" t="n">
        <v>0</v>
      </c>
      <c r="S2102" s="51" t="n">
        <v>0</v>
      </c>
      <c r="T2102" s="48" t="n">
        <v>0</v>
      </c>
      <c r="U2102" s="49" t="n">
        <v>0</v>
      </c>
      <c r="V2102" s="49" t="n">
        <v>0</v>
      </c>
      <c r="W2102" s="50" t="n">
        <v>0</v>
      </c>
      <c r="X2102" s="51" t="n">
        <v>0</v>
      </c>
      <c r="Y2102" s="52" t="n">
        <v>0</v>
      </c>
      <c r="Z2102" s="52" t="n">
        <v>0</v>
      </c>
      <c r="AA2102" s="52" t="n">
        <v>0</v>
      </c>
      <c r="AB2102" s="53" t="n">
        <v>0</v>
      </c>
      <c r="AC2102" s="52" t="n">
        <v>0</v>
      </c>
      <c r="AD2102" s="53" t="n">
        <v>0</v>
      </c>
      <c r="AE2102" s="52" t="n">
        <v>0</v>
      </c>
      <c r="AF2102" s="51" t="n">
        <v>0</v>
      </c>
      <c r="AG2102" s="48" t="n">
        <v>0</v>
      </c>
      <c r="AH2102" s="49" t="n">
        <v>0</v>
      </c>
      <c r="AI2102" s="49" t="n">
        <v>0</v>
      </c>
      <c r="AJ2102" s="50" t="n">
        <v>0</v>
      </c>
      <c r="AK2102" s="51" t="n">
        <v>0</v>
      </c>
      <c r="AL2102" s="52" t="n">
        <v>0</v>
      </c>
      <c r="AM2102" s="52" t="n">
        <v>0</v>
      </c>
      <c r="AN2102" s="52" t="n">
        <v>0</v>
      </c>
      <c r="AO2102" s="53" t="n">
        <v>0</v>
      </c>
      <c r="AP2102" s="52" t="n">
        <v>0</v>
      </c>
      <c r="AQ2102" s="53" t="n">
        <v>0</v>
      </c>
      <c r="AR2102" s="52" t="n">
        <v>0</v>
      </c>
      <c r="AS2102" s="51" t="n">
        <v>0</v>
      </c>
      <c r="AT2102" s="48" t="n">
        <v>0</v>
      </c>
      <c r="AU2102" s="49" t="n">
        <v>0</v>
      </c>
      <c r="AV2102" s="49" t="n">
        <v>0</v>
      </c>
      <c r="AW2102" s="50" t="n">
        <v>0</v>
      </c>
      <c r="AX2102" s="51" t="n">
        <v>0</v>
      </c>
      <c r="AY2102" s="52" t="n">
        <v>0</v>
      </c>
      <c r="AZ2102" s="52" t="n">
        <v>0</v>
      </c>
      <c r="BA2102" s="52" t="n">
        <v>0</v>
      </c>
      <c r="BB2102" s="53" t="n">
        <v>0</v>
      </c>
      <c r="BC2102" s="52" t="n">
        <v>0</v>
      </c>
      <c r="BD2102" s="53" t="n">
        <v>0</v>
      </c>
      <c r="BE2102" s="52" t="n">
        <v>0</v>
      </c>
      <c r="BF2102" s="51" t="n">
        <v>0</v>
      </c>
    </row>
    <row r="2103">
      <c r="A2103">
        <f>HYPERLINK("https://www.walmart.com/ip/3610065764", "3610065764")</f>
        <v/>
      </c>
      <c r="B2103" t="inlineStr">
        <is>
          <t>Tirrinia Lunch Bags for Women Men, Cute Insulated Lunch Tote Bag for Girls, Fashionable Lunch Box for Adult Kids, Reusable Large Cooler Lunch Bag for School, Work, Office, Picnic | Pink Watermelon</t>
        </is>
      </c>
      <c r="C2103" t="inlineStr">
        <is>
          <t>1WMLB707PKMEL</t>
        </is>
      </c>
      <c r="D2103" t="inlineStr">
        <is>
          <t>Reusable Lunch Bags &amp; Boxes</t>
        </is>
      </c>
      <c r="E2103" t="inlineStr">
        <is>
          <t>Tirrinia</t>
        </is>
      </c>
      <c r="F2103" t="inlineStr">
        <is>
          <t>Brand Camp VD</t>
        </is>
      </c>
      <c r="G2103" s="48" t="n">
        <v>0</v>
      </c>
      <c r="H2103" s="49" t="n">
        <v>0</v>
      </c>
      <c r="I2103" s="49" t="n">
        <v>5</v>
      </c>
      <c r="J2103" s="50" t="n">
        <v>0</v>
      </c>
      <c r="K2103" s="51" t="n">
        <v>0</v>
      </c>
      <c r="L2103" s="52" t="n">
        <v>0</v>
      </c>
      <c r="M2103" s="52" t="n">
        <v>0</v>
      </c>
      <c r="N2103" s="52" t="n">
        <v>0</v>
      </c>
      <c r="O2103" s="53" t="n">
        <v>0</v>
      </c>
      <c r="P2103" s="52" t="n">
        <v>0</v>
      </c>
      <c r="Q2103" s="53" t="n">
        <v>0</v>
      </c>
      <c r="R2103" s="52" t="n">
        <v>0</v>
      </c>
      <c r="S2103" s="51" t="n">
        <v>0</v>
      </c>
      <c r="T2103" s="48" t="n">
        <v>0</v>
      </c>
      <c r="U2103" s="49" t="n">
        <v>0</v>
      </c>
      <c r="V2103" s="49" t="n">
        <v>1</v>
      </c>
      <c r="W2103" s="50" t="n">
        <v>0</v>
      </c>
      <c r="X2103" s="51" t="n">
        <v>0</v>
      </c>
      <c r="Y2103" s="52" t="n">
        <v>0</v>
      </c>
      <c r="Z2103" s="52" t="n">
        <v>0</v>
      </c>
      <c r="AA2103" s="52" t="n">
        <v>0</v>
      </c>
      <c r="AB2103" s="53" t="n">
        <v>0</v>
      </c>
      <c r="AC2103" s="52" t="n">
        <v>0</v>
      </c>
      <c r="AD2103" s="53" t="n">
        <v>0</v>
      </c>
      <c r="AE2103" s="52" t="n">
        <v>0</v>
      </c>
      <c r="AF2103" s="51" t="n">
        <v>0</v>
      </c>
      <c r="AG2103" s="48" t="n">
        <v>0</v>
      </c>
      <c r="AH2103" s="49" t="n">
        <v>0</v>
      </c>
      <c r="AI2103" s="49" t="n">
        <v>4</v>
      </c>
      <c r="AJ2103" s="50" t="n">
        <v>0</v>
      </c>
      <c r="AK2103" s="51" t="n">
        <v>0</v>
      </c>
      <c r="AL2103" s="52" t="n">
        <v>0</v>
      </c>
      <c r="AM2103" s="52" t="n">
        <v>0</v>
      </c>
      <c r="AN2103" s="52" t="n">
        <v>0</v>
      </c>
      <c r="AO2103" s="53" t="n">
        <v>0</v>
      </c>
      <c r="AP2103" s="52" t="n">
        <v>0</v>
      </c>
      <c r="AQ2103" s="53" t="n">
        <v>0</v>
      </c>
      <c r="AR2103" s="52" t="n">
        <v>0</v>
      </c>
      <c r="AS2103" s="51" t="n">
        <v>0</v>
      </c>
      <c r="AT2103" s="48" t="n">
        <v>0</v>
      </c>
      <c r="AU2103" s="49" t="n">
        <v>0</v>
      </c>
      <c r="AV2103" s="49" t="n">
        <v>2</v>
      </c>
      <c r="AW2103" s="50" t="n">
        <v>0</v>
      </c>
      <c r="AX2103" s="51" t="n">
        <v>0</v>
      </c>
      <c r="AY2103" s="52" t="n">
        <v>0</v>
      </c>
      <c r="AZ2103" s="52" t="n">
        <v>0</v>
      </c>
      <c r="BA2103" s="52" t="n">
        <v>0</v>
      </c>
      <c r="BB2103" s="53" t="n">
        <v>0</v>
      </c>
      <c r="BC2103" s="52" t="n">
        <v>0</v>
      </c>
      <c r="BD2103" s="53" t="n">
        <v>0</v>
      </c>
      <c r="BE2103" s="52" t="n">
        <v>0</v>
      </c>
      <c r="BF2103" s="51" t="n">
        <v>0</v>
      </c>
    </row>
    <row r="2104">
      <c r="A2104">
        <f>HYPERLINK("https://www.walmart.com/ip/362424578", "362424578")</f>
        <v/>
      </c>
      <c r="B2104" t="inlineStr">
        <is>
          <t>Jennis Women's Sexy Lace Nightgown Sleepwear Bathrobe 2 Piece Set ( XXXL=US 12-14 )</t>
        </is>
      </c>
      <c r="C2104" t="inlineStr">
        <is>
          <t>JWRS02BK-3XL</t>
        </is>
      </c>
      <c r="D2104" t="inlineStr">
        <is>
          <t>Nightgowns &amp; Sleepshirts</t>
        </is>
      </c>
      <c r="E2104" t="inlineStr">
        <is>
          <t>JenniWears</t>
        </is>
      </c>
      <c r="F2104" t="inlineStr">
        <is>
          <t>Optimized,Valentine,Bathrobe</t>
        </is>
      </c>
      <c r="G2104" s="48" t="n">
        <v>0</v>
      </c>
      <c r="H2104" s="49" t="n">
        <v>0</v>
      </c>
      <c r="I2104" s="49" t="n">
        <v>0</v>
      </c>
      <c r="J2104" s="50" t="n">
        <v>0</v>
      </c>
      <c r="K2104" s="51" t="n">
        <v>0</v>
      </c>
      <c r="L2104" s="52" t="n">
        <v>0</v>
      </c>
      <c r="M2104" s="52" t="n">
        <v>0</v>
      </c>
      <c r="N2104" s="52" t="n">
        <v>0</v>
      </c>
      <c r="O2104" s="53" t="n">
        <v>0</v>
      </c>
      <c r="P2104" s="52" t="n">
        <v>0</v>
      </c>
      <c r="Q2104" s="53" t="n">
        <v>0</v>
      </c>
      <c r="R2104" s="52" t="n">
        <v>0</v>
      </c>
      <c r="S2104" s="51" t="n">
        <v>0</v>
      </c>
      <c r="T2104" s="48" t="n">
        <v>0</v>
      </c>
      <c r="U2104" s="49" t="n">
        <v>0</v>
      </c>
      <c r="V2104" s="49" t="n">
        <v>0</v>
      </c>
      <c r="W2104" s="50" t="n">
        <v>0</v>
      </c>
      <c r="X2104" s="51" t="n">
        <v>0</v>
      </c>
      <c r="Y2104" s="52" t="n">
        <v>0</v>
      </c>
      <c r="Z2104" s="52" t="n">
        <v>0</v>
      </c>
      <c r="AA2104" s="52" t="n">
        <v>0</v>
      </c>
      <c r="AB2104" s="53" t="n">
        <v>0</v>
      </c>
      <c r="AC2104" s="52" t="n">
        <v>0</v>
      </c>
      <c r="AD2104" s="53" t="n">
        <v>0</v>
      </c>
      <c r="AE2104" s="52" t="n">
        <v>0</v>
      </c>
      <c r="AF2104" s="51" t="n">
        <v>0</v>
      </c>
      <c r="AG2104" s="48" t="n">
        <v>0</v>
      </c>
      <c r="AH2104" s="49" t="n">
        <v>0</v>
      </c>
      <c r="AI2104" s="49" t="n">
        <v>0</v>
      </c>
      <c r="AJ2104" s="50" t="n">
        <v>0</v>
      </c>
      <c r="AK2104" s="51" t="n">
        <v>0</v>
      </c>
      <c r="AL2104" s="52" t="n">
        <v>0</v>
      </c>
      <c r="AM2104" s="52" t="n">
        <v>0</v>
      </c>
      <c r="AN2104" s="52" t="n">
        <v>0</v>
      </c>
      <c r="AO2104" s="53" t="n">
        <v>0</v>
      </c>
      <c r="AP2104" s="52" t="n">
        <v>0</v>
      </c>
      <c r="AQ2104" s="53" t="n">
        <v>0</v>
      </c>
      <c r="AR2104" s="52" t="n">
        <v>0</v>
      </c>
      <c r="AS2104" s="51" t="n">
        <v>0</v>
      </c>
      <c r="AT2104" s="48" t="n">
        <v>0</v>
      </c>
      <c r="AU2104" s="49" t="n">
        <v>0</v>
      </c>
      <c r="AV2104" s="49" t="n">
        <v>0</v>
      </c>
      <c r="AW2104" s="50" t="n">
        <v>0</v>
      </c>
      <c r="AX2104" s="51" t="n">
        <v>0</v>
      </c>
      <c r="AY2104" s="52" t="n">
        <v>0</v>
      </c>
      <c r="AZ2104" s="52" t="n">
        <v>0</v>
      </c>
      <c r="BA2104" s="52" t="n">
        <v>0</v>
      </c>
      <c r="BB2104" s="53" t="n">
        <v>0</v>
      </c>
      <c r="BC2104" s="52" t="n">
        <v>0</v>
      </c>
      <c r="BD2104" s="53" t="n">
        <v>0</v>
      </c>
      <c r="BE2104" s="52" t="n">
        <v>0</v>
      </c>
      <c r="BF2104" s="51" t="n">
        <v>0</v>
      </c>
    </row>
    <row r="2105">
      <c r="A2105">
        <f>HYPERLINK("https://www.walmart.com/ip/362665464", "362665464")</f>
        <v/>
      </c>
      <c r="B2105" t="inlineStr">
        <is>
          <t>JenniWears Terra Running Belt with Zipper Pocket for 4.7 inch iPhone7 6 6s 5 SE, Large, Unisex, Black</t>
        </is>
      </c>
      <c r="C2105" t="inlineStr">
        <is>
          <t>TERRA-3BK-L-JW</t>
        </is>
      </c>
      <c r="D2105" t="inlineStr">
        <is>
          <t>Running Belts</t>
        </is>
      </c>
      <c r="E2105" t="inlineStr">
        <is>
          <t>Terra</t>
        </is>
      </c>
      <c r="F2105" t="inlineStr">
        <is>
          <t>Optimized</t>
        </is>
      </c>
      <c r="G2105" s="48" t="n">
        <v>0</v>
      </c>
      <c r="H2105" s="49" t="n">
        <v>0</v>
      </c>
      <c r="I2105" s="49" t="n">
        <v>0</v>
      </c>
      <c r="J2105" s="50" t="n">
        <v>0</v>
      </c>
      <c r="K2105" s="51" t="n">
        <v>0</v>
      </c>
      <c r="L2105" s="52" t="n">
        <v>0</v>
      </c>
      <c r="M2105" s="52" t="n">
        <v>0</v>
      </c>
      <c r="N2105" s="52" t="n">
        <v>0</v>
      </c>
      <c r="O2105" s="53" t="n">
        <v>0</v>
      </c>
      <c r="P2105" s="52" t="n">
        <v>0</v>
      </c>
      <c r="Q2105" s="53" t="n">
        <v>0</v>
      </c>
      <c r="R2105" s="52" t="n">
        <v>0</v>
      </c>
      <c r="S2105" s="51" t="n">
        <v>0</v>
      </c>
      <c r="T2105" s="48" t="n">
        <v>0</v>
      </c>
      <c r="U2105" s="49" t="n">
        <v>0</v>
      </c>
      <c r="V2105" s="49" t="n">
        <v>0</v>
      </c>
      <c r="W2105" s="50" t="n">
        <v>0</v>
      </c>
      <c r="X2105" s="51" t="n">
        <v>0</v>
      </c>
      <c r="Y2105" s="52" t="n">
        <v>0</v>
      </c>
      <c r="Z2105" s="52" t="n">
        <v>0</v>
      </c>
      <c r="AA2105" s="52" t="n">
        <v>0</v>
      </c>
      <c r="AB2105" s="53" t="n">
        <v>0</v>
      </c>
      <c r="AC2105" s="52" t="n">
        <v>0</v>
      </c>
      <c r="AD2105" s="53" t="n">
        <v>0</v>
      </c>
      <c r="AE2105" s="52" t="n">
        <v>0</v>
      </c>
      <c r="AF2105" s="51" t="n">
        <v>0</v>
      </c>
      <c r="AG2105" s="48" t="n">
        <v>0</v>
      </c>
      <c r="AH2105" s="49" t="n">
        <v>0</v>
      </c>
      <c r="AI2105" s="49" t="n">
        <v>0</v>
      </c>
      <c r="AJ2105" s="50" t="n">
        <v>0</v>
      </c>
      <c r="AK2105" s="51" t="n">
        <v>0</v>
      </c>
      <c r="AL2105" s="52" t="n">
        <v>0</v>
      </c>
      <c r="AM2105" s="52" t="n">
        <v>0</v>
      </c>
      <c r="AN2105" s="52" t="n">
        <v>0</v>
      </c>
      <c r="AO2105" s="53" t="n">
        <v>0</v>
      </c>
      <c r="AP2105" s="52" t="n">
        <v>0</v>
      </c>
      <c r="AQ2105" s="53" t="n">
        <v>0</v>
      </c>
      <c r="AR2105" s="52" t="n">
        <v>0</v>
      </c>
      <c r="AS2105" s="51" t="n">
        <v>0</v>
      </c>
      <c r="AT2105" s="48" t="n">
        <v>0</v>
      </c>
      <c r="AU2105" s="49" t="n">
        <v>0</v>
      </c>
      <c r="AV2105" s="49" t="n">
        <v>0</v>
      </c>
      <c r="AW2105" s="50" t="n">
        <v>0</v>
      </c>
      <c r="AX2105" s="51" t="n">
        <v>0</v>
      </c>
      <c r="AY2105" s="52" t="n">
        <v>0</v>
      </c>
      <c r="AZ2105" s="52" t="n">
        <v>0</v>
      </c>
      <c r="BA2105" s="52" t="n">
        <v>0</v>
      </c>
      <c r="BB2105" s="53" t="n">
        <v>0</v>
      </c>
      <c r="BC2105" s="52" t="n">
        <v>0</v>
      </c>
      <c r="BD2105" s="53" t="n">
        <v>0</v>
      </c>
      <c r="BE2105" s="52" t="n">
        <v>0</v>
      </c>
      <c r="BF2105" s="51" t="n">
        <v>0</v>
      </c>
    </row>
    <row r="2106">
      <c r="A2106">
        <f>HYPERLINK("https://www.walmart.com/ip/362803412", "362803412")</f>
        <v/>
      </c>
      <c r="B2106" t="inlineStr">
        <is>
          <t>Catalonia King Size Sherpa Comforter Set, Ultra-soft Reversible Fluffy Micromink Bedding Set-3 Pieces, 1 Comforter and 2 Pillow Shams, 90x103 inches</t>
        </is>
      </c>
      <c r="C2106" t="inlineStr">
        <is>
          <t>1CTBQ300KI-PRD</t>
        </is>
      </c>
      <c r="D2106" t="inlineStr">
        <is>
          <t>Bedding Sets</t>
        </is>
      </c>
      <c r="E2106" t="inlineStr">
        <is>
          <t>Catalonia</t>
        </is>
      </c>
      <c r="F2106" t="inlineStr">
        <is>
          <t>WFS,WFS Item</t>
        </is>
      </c>
      <c r="G2106" s="48" t="n">
        <v>0</v>
      </c>
      <c r="H2106" s="49" t="n">
        <v>0</v>
      </c>
      <c r="I2106" s="49" t="n">
        <v>0</v>
      </c>
      <c r="J2106" s="50" t="n">
        <v>0</v>
      </c>
      <c r="K2106" s="51" t="n">
        <v>0</v>
      </c>
      <c r="L2106" s="52" t="n">
        <v>0</v>
      </c>
      <c r="M2106" s="52" t="n">
        <v>0</v>
      </c>
      <c r="N2106" s="52" t="n">
        <v>0</v>
      </c>
      <c r="O2106" s="53" t="n">
        <v>0</v>
      </c>
      <c r="P2106" s="52" t="n">
        <v>0</v>
      </c>
      <c r="Q2106" s="53" t="n">
        <v>0</v>
      </c>
      <c r="R2106" s="52" t="n">
        <v>0</v>
      </c>
      <c r="S2106" s="51" t="n">
        <v>0</v>
      </c>
      <c r="T2106" s="48" t="n">
        <v>0</v>
      </c>
      <c r="U2106" s="49" t="n">
        <v>0</v>
      </c>
      <c r="V2106" s="49" t="n">
        <v>0</v>
      </c>
      <c r="W2106" s="50" t="n">
        <v>0</v>
      </c>
      <c r="X2106" s="51" t="n">
        <v>0</v>
      </c>
      <c r="Y2106" s="52" t="n">
        <v>0</v>
      </c>
      <c r="Z2106" s="52" t="n">
        <v>0</v>
      </c>
      <c r="AA2106" s="52" t="n">
        <v>0</v>
      </c>
      <c r="AB2106" s="53" t="n">
        <v>0</v>
      </c>
      <c r="AC2106" s="52" t="n">
        <v>0</v>
      </c>
      <c r="AD2106" s="53" t="n">
        <v>0</v>
      </c>
      <c r="AE2106" s="52" t="n">
        <v>0</v>
      </c>
      <c r="AF2106" s="51" t="n">
        <v>0</v>
      </c>
      <c r="AG2106" s="48" t="n">
        <v>0</v>
      </c>
      <c r="AH2106" s="49" t="n">
        <v>0</v>
      </c>
      <c r="AI2106" s="49" t="n">
        <v>0</v>
      </c>
      <c r="AJ2106" s="50" t="n">
        <v>0</v>
      </c>
      <c r="AK2106" s="51" t="n">
        <v>0</v>
      </c>
      <c r="AL2106" s="52" t="n">
        <v>0</v>
      </c>
      <c r="AM2106" s="52" t="n">
        <v>0</v>
      </c>
      <c r="AN2106" s="52" t="n">
        <v>0</v>
      </c>
      <c r="AO2106" s="53" t="n">
        <v>0</v>
      </c>
      <c r="AP2106" s="52" t="n">
        <v>0</v>
      </c>
      <c r="AQ2106" s="53" t="n">
        <v>0</v>
      </c>
      <c r="AR2106" s="52" t="n">
        <v>0</v>
      </c>
      <c r="AS2106" s="51" t="n">
        <v>0</v>
      </c>
      <c r="AT2106" s="48" t="n">
        <v>0</v>
      </c>
      <c r="AU2106" s="49" t="n">
        <v>0</v>
      </c>
      <c r="AV2106" s="49" t="n">
        <v>0</v>
      </c>
      <c r="AW2106" s="50" t="n">
        <v>0</v>
      </c>
      <c r="AX2106" s="51" t="n">
        <v>0</v>
      </c>
      <c r="AY2106" s="52" t="n">
        <v>0</v>
      </c>
      <c r="AZ2106" s="52" t="n">
        <v>0</v>
      </c>
      <c r="BA2106" s="52" t="n">
        <v>0</v>
      </c>
      <c r="BB2106" s="53" t="n">
        <v>0</v>
      </c>
      <c r="BC2106" s="52" t="n">
        <v>0</v>
      </c>
      <c r="BD2106" s="53" t="n">
        <v>0</v>
      </c>
      <c r="BE2106" s="52" t="n">
        <v>0</v>
      </c>
      <c r="BF2106" s="51" t="n">
        <v>0</v>
      </c>
    </row>
    <row r="2107">
      <c r="A2107">
        <f>HYPERLINK("https://www.walmart.com/ip/363481715", "363481715")</f>
        <v/>
      </c>
      <c r="B2107" t="inlineStr">
        <is>
          <t>Waterproof Blanket for Bed, Reversible Baby Pet Doggy Pee Proof Fleece Blankets, Large Couch Sofa Cover Furniture Boat Mattress Protector, King Size 80x90 inches</t>
        </is>
      </c>
      <c r="C2107" t="inlineStr">
        <is>
          <t>1CTBW982TPTP</t>
        </is>
      </c>
      <c r="D2107" t="inlineStr">
        <is>
          <t>Throws</t>
        </is>
      </c>
      <c r="E2107" t="inlineStr">
        <is>
          <t>Catalonia</t>
        </is>
      </c>
      <c r="F2107" t="inlineStr">
        <is>
          <t>Wproof Blanket,Fleece Blankets,Batch 1 - TR</t>
        </is>
      </c>
      <c r="G2107" s="48" t="n">
        <v>0</v>
      </c>
      <c r="H2107" s="49" t="n">
        <v>0</v>
      </c>
      <c r="I2107" s="49" t="n">
        <v>0</v>
      </c>
      <c r="J2107" s="50" t="n">
        <v>0</v>
      </c>
      <c r="K2107" s="51" t="n">
        <v>0</v>
      </c>
      <c r="L2107" s="52" t="n">
        <v>0</v>
      </c>
      <c r="M2107" s="52" t="n">
        <v>0</v>
      </c>
      <c r="N2107" s="52" t="n">
        <v>0</v>
      </c>
      <c r="O2107" s="53" t="n">
        <v>0</v>
      </c>
      <c r="P2107" s="52" t="n">
        <v>0</v>
      </c>
      <c r="Q2107" s="53" t="n">
        <v>0</v>
      </c>
      <c r="R2107" s="52" t="n">
        <v>0</v>
      </c>
      <c r="S2107" s="51" t="n">
        <v>0</v>
      </c>
      <c r="T2107" s="48" t="n">
        <v>0</v>
      </c>
      <c r="U2107" s="49" t="n">
        <v>0</v>
      </c>
      <c r="V2107" s="49" t="n">
        <v>0</v>
      </c>
      <c r="W2107" s="50" t="n">
        <v>0</v>
      </c>
      <c r="X2107" s="51" t="n">
        <v>0</v>
      </c>
      <c r="Y2107" s="52" t="n">
        <v>0</v>
      </c>
      <c r="Z2107" s="52" t="n">
        <v>0</v>
      </c>
      <c r="AA2107" s="52" t="n">
        <v>0</v>
      </c>
      <c r="AB2107" s="53" t="n">
        <v>0</v>
      </c>
      <c r="AC2107" s="52" t="n">
        <v>0</v>
      </c>
      <c r="AD2107" s="53" t="n">
        <v>0</v>
      </c>
      <c r="AE2107" s="52" t="n">
        <v>0</v>
      </c>
      <c r="AF2107" s="51" t="n">
        <v>0</v>
      </c>
      <c r="AG2107" s="48" t="n">
        <v>0</v>
      </c>
      <c r="AH2107" s="49" t="n">
        <v>0</v>
      </c>
      <c r="AI2107" s="49" t="n">
        <v>0</v>
      </c>
      <c r="AJ2107" s="50" t="n">
        <v>0</v>
      </c>
      <c r="AK2107" s="51" t="n">
        <v>0</v>
      </c>
      <c r="AL2107" s="52" t="n">
        <v>0</v>
      </c>
      <c r="AM2107" s="52" t="n">
        <v>0</v>
      </c>
      <c r="AN2107" s="52" t="n">
        <v>0</v>
      </c>
      <c r="AO2107" s="53" t="n">
        <v>0</v>
      </c>
      <c r="AP2107" s="52" t="n">
        <v>0</v>
      </c>
      <c r="AQ2107" s="53" t="n">
        <v>0</v>
      </c>
      <c r="AR2107" s="52" t="n">
        <v>0</v>
      </c>
      <c r="AS2107" s="51" t="n">
        <v>0</v>
      </c>
      <c r="AT2107" s="48" t="n">
        <v>0</v>
      </c>
      <c r="AU2107" s="49" t="n">
        <v>0</v>
      </c>
      <c r="AV2107" s="49" t="n">
        <v>0</v>
      </c>
      <c r="AW2107" s="50" t="n">
        <v>0</v>
      </c>
      <c r="AX2107" s="51" t="n">
        <v>0</v>
      </c>
      <c r="AY2107" s="52" t="n">
        <v>0</v>
      </c>
      <c r="AZ2107" s="52" t="n">
        <v>0</v>
      </c>
      <c r="BA2107" s="52" t="n">
        <v>0</v>
      </c>
      <c r="BB2107" s="53" t="n">
        <v>0</v>
      </c>
      <c r="BC2107" s="52" t="n">
        <v>0</v>
      </c>
      <c r="BD2107" s="53" t="n">
        <v>0</v>
      </c>
      <c r="BE2107" s="52" t="n">
        <v>0</v>
      </c>
      <c r="BF2107" s="51" t="n">
        <v>0</v>
      </c>
    </row>
    <row r="2108">
      <c r="A2108">
        <f>HYPERLINK("https://www.walmart.com/ip/363932916", "363932916")</f>
        <v/>
      </c>
      <c r="B2108" t="inlineStr">
        <is>
          <t>KC Caps® Large 2 Pocket Bib Cooking Restaurant Kitchen Chef Apron Dress Canvas</t>
        </is>
      </c>
      <c r="C2108" t="inlineStr">
        <is>
          <t>KC-A9324-NATURL</t>
        </is>
      </c>
      <c r="D2108" t="inlineStr">
        <is>
          <t>Cooking Aprons</t>
        </is>
      </c>
      <c r="E2108" t="inlineStr">
        <is>
          <t>KC Caps</t>
        </is>
      </c>
      <c r="F2108" t="inlineStr">
        <is>
          <t>Batch 1 - TR</t>
        </is>
      </c>
      <c r="G2108" s="48" t="n">
        <v>0</v>
      </c>
      <c r="H2108" s="49" t="n">
        <v>0</v>
      </c>
      <c r="I2108" s="49" t="n">
        <v>0</v>
      </c>
      <c r="J2108" s="50" t="n">
        <v>0</v>
      </c>
      <c r="K2108" s="51" t="n">
        <v>0</v>
      </c>
      <c r="L2108" s="52" t="n">
        <v>0</v>
      </c>
      <c r="M2108" s="52" t="n">
        <v>0</v>
      </c>
      <c r="N2108" s="52" t="n">
        <v>0</v>
      </c>
      <c r="O2108" s="53" t="n">
        <v>0</v>
      </c>
      <c r="P2108" s="52" t="n">
        <v>0</v>
      </c>
      <c r="Q2108" s="53" t="n">
        <v>0</v>
      </c>
      <c r="R2108" s="52" t="n">
        <v>0</v>
      </c>
      <c r="S2108" s="51" t="n">
        <v>0</v>
      </c>
      <c r="T2108" s="48" t="n">
        <v>0</v>
      </c>
      <c r="U2108" s="49" t="n">
        <v>0</v>
      </c>
      <c r="V2108" s="49" t="n">
        <v>0</v>
      </c>
      <c r="W2108" s="50" t="n">
        <v>0</v>
      </c>
      <c r="X2108" s="51" t="n">
        <v>0</v>
      </c>
      <c r="Y2108" s="52" t="n">
        <v>0</v>
      </c>
      <c r="Z2108" s="52" t="n">
        <v>0</v>
      </c>
      <c r="AA2108" s="52" t="n">
        <v>0</v>
      </c>
      <c r="AB2108" s="53" t="n">
        <v>0</v>
      </c>
      <c r="AC2108" s="52" t="n">
        <v>0</v>
      </c>
      <c r="AD2108" s="53" t="n">
        <v>0</v>
      </c>
      <c r="AE2108" s="52" t="n">
        <v>0</v>
      </c>
      <c r="AF2108" s="51" t="n">
        <v>0</v>
      </c>
      <c r="AG2108" s="48" t="n">
        <v>0</v>
      </c>
      <c r="AH2108" s="49" t="n">
        <v>0</v>
      </c>
      <c r="AI2108" s="49" t="n">
        <v>0</v>
      </c>
      <c r="AJ2108" s="50" t="n">
        <v>0</v>
      </c>
      <c r="AK2108" s="51" t="n">
        <v>0</v>
      </c>
      <c r="AL2108" s="52" t="n">
        <v>0</v>
      </c>
      <c r="AM2108" s="52" t="n">
        <v>0</v>
      </c>
      <c r="AN2108" s="52" t="n">
        <v>0</v>
      </c>
      <c r="AO2108" s="53" t="n">
        <v>0</v>
      </c>
      <c r="AP2108" s="52" t="n">
        <v>0</v>
      </c>
      <c r="AQ2108" s="53" t="n">
        <v>0</v>
      </c>
      <c r="AR2108" s="52" t="n">
        <v>0</v>
      </c>
      <c r="AS2108" s="51" t="n">
        <v>0</v>
      </c>
      <c r="AT2108" s="48" t="n">
        <v>0</v>
      </c>
      <c r="AU2108" s="49" t="n">
        <v>0</v>
      </c>
      <c r="AV2108" s="49" t="n">
        <v>0</v>
      </c>
      <c r="AW2108" s="50" t="n">
        <v>0</v>
      </c>
      <c r="AX2108" s="51" t="n">
        <v>0</v>
      </c>
      <c r="AY2108" s="52" t="n">
        <v>0</v>
      </c>
      <c r="AZ2108" s="52" t="n">
        <v>0</v>
      </c>
      <c r="BA2108" s="52" t="n">
        <v>0</v>
      </c>
      <c r="BB2108" s="53" t="n">
        <v>0</v>
      </c>
      <c r="BC2108" s="52" t="n">
        <v>0</v>
      </c>
      <c r="BD2108" s="53" t="n">
        <v>0</v>
      </c>
      <c r="BE2108" s="52" t="n">
        <v>0</v>
      </c>
      <c r="BF2108" s="51" t="n">
        <v>0</v>
      </c>
    </row>
    <row r="2109">
      <c r="A2109">
        <f>HYPERLINK("https://www.walmart.com/ip/363943231", "363943231")</f>
        <v/>
      </c>
      <c r="B2109" t="inlineStr">
        <is>
          <t>Flyingstar Sherpa Throws Blanket, Fleece Soft Cozy Blanket Throws for Sofa Bed 50"x60"</t>
        </is>
      </c>
      <c r="C2109" t="inlineStr">
        <is>
          <t>1WMBF573GYTILE</t>
        </is>
      </c>
      <c r="D2109" t="inlineStr">
        <is>
          <t>Throws</t>
        </is>
      </c>
      <c r="E2109" t="inlineStr">
        <is>
          <t>Flyingstar</t>
        </is>
      </c>
      <c r="F2109" t="inlineStr">
        <is>
          <t>Optimized</t>
        </is>
      </c>
      <c r="G2109" s="48" t="n">
        <v>0</v>
      </c>
      <c r="H2109" s="49" t="n">
        <v>0</v>
      </c>
      <c r="I2109" s="49" t="n">
        <v>0</v>
      </c>
      <c r="J2109" s="50" t="n">
        <v>0</v>
      </c>
      <c r="K2109" s="51" t="n">
        <v>0</v>
      </c>
      <c r="L2109" s="52" t="n">
        <v>0</v>
      </c>
      <c r="M2109" s="52" t="n">
        <v>0</v>
      </c>
      <c r="N2109" s="52" t="n">
        <v>0</v>
      </c>
      <c r="O2109" s="53" t="n">
        <v>0</v>
      </c>
      <c r="P2109" s="52" t="n">
        <v>0</v>
      </c>
      <c r="Q2109" s="53" t="n">
        <v>0</v>
      </c>
      <c r="R2109" s="52" t="n">
        <v>0</v>
      </c>
      <c r="S2109" s="51" t="n">
        <v>0</v>
      </c>
      <c r="T2109" s="48" t="n">
        <v>0</v>
      </c>
      <c r="U2109" s="49" t="n">
        <v>0</v>
      </c>
      <c r="V2109" s="49" t="n">
        <v>0</v>
      </c>
      <c r="W2109" s="50" t="n">
        <v>0</v>
      </c>
      <c r="X2109" s="51" t="n">
        <v>0</v>
      </c>
      <c r="Y2109" s="52" t="n">
        <v>0</v>
      </c>
      <c r="Z2109" s="52" t="n">
        <v>0</v>
      </c>
      <c r="AA2109" s="52" t="n">
        <v>0</v>
      </c>
      <c r="AB2109" s="53" t="n">
        <v>0</v>
      </c>
      <c r="AC2109" s="52" t="n">
        <v>0</v>
      </c>
      <c r="AD2109" s="53" t="n">
        <v>0</v>
      </c>
      <c r="AE2109" s="52" t="n">
        <v>0</v>
      </c>
      <c r="AF2109" s="51" t="n">
        <v>0</v>
      </c>
      <c r="AG2109" s="48" t="n">
        <v>0</v>
      </c>
      <c r="AH2109" s="49" t="n">
        <v>0</v>
      </c>
      <c r="AI2109" s="49" t="n">
        <v>0</v>
      </c>
      <c r="AJ2109" s="50" t="n">
        <v>0</v>
      </c>
      <c r="AK2109" s="51" t="n">
        <v>0</v>
      </c>
      <c r="AL2109" s="52" t="n">
        <v>0</v>
      </c>
      <c r="AM2109" s="52" t="n">
        <v>0</v>
      </c>
      <c r="AN2109" s="52" t="n">
        <v>0</v>
      </c>
      <c r="AO2109" s="53" t="n">
        <v>0</v>
      </c>
      <c r="AP2109" s="52" t="n">
        <v>0</v>
      </c>
      <c r="AQ2109" s="53" t="n">
        <v>0</v>
      </c>
      <c r="AR2109" s="52" t="n">
        <v>0</v>
      </c>
      <c r="AS2109" s="51" t="n">
        <v>0</v>
      </c>
      <c r="AT2109" s="48" t="n">
        <v>0</v>
      </c>
      <c r="AU2109" s="49" t="n">
        <v>0</v>
      </c>
      <c r="AV2109" s="49" t="n">
        <v>0</v>
      </c>
      <c r="AW2109" s="50" t="n">
        <v>0</v>
      </c>
      <c r="AX2109" s="51" t="n">
        <v>0</v>
      </c>
      <c r="AY2109" s="52" t="n">
        <v>0</v>
      </c>
      <c r="AZ2109" s="52" t="n">
        <v>0</v>
      </c>
      <c r="BA2109" s="52" t="n">
        <v>0</v>
      </c>
      <c r="BB2109" s="53" t="n">
        <v>0</v>
      </c>
      <c r="BC2109" s="52" t="n">
        <v>0</v>
      </c>
      <c r="BD2109" s="53" t="n">
        <v>0</v>
      </c>
      <c r="BE2109" s="52" t="n">
        <v>0</v>
      </c>
      <c r="BF2109" s="51" t="n">
        <v>0</v>
      </c>
    </row>
    <row r="2110">
      <c r="A2110">
        <f>HYPERLINK("https://www.walmart.com/ip/364182411", "364182411")</f>
        <v/>
      </c>
      <c r="B2110" t="inlineStr">
        <is>
          <t>Sherpa Wearable Blanket with Sleeves &amp; Foot Pockets for Adult Women Men, Comfy Snuggle Wrap Sleeved Throw Blanket Robe, Gift Idea, Blue</t>
        </is>
      </c>
      <c r="C2110" t="inlineStr">
        <is>
          <t>1CTSN310BL</t>
        </is>
      </c>
      <c r="D2110" t="inlineStr">
        <is>
          <t>Throws</t>
        </is>
      </c>
      <c r="E2110" t="inlineStr">
        <is>
          <t>Catalonia</t>
        </is>
      </c>
      <c r="F2110" t="inlineStr">
        <is>
          <t>Q2-Target,Optimized,WFS,Coupon_Discount,WFS Item</t>
        </is>
      </c>
      <c r="G2110" s="48" t="n">
        <v>0</v>
      </c>
      <c r="H2110" s="49" t="n">
        <v>0</v>
      </c>
      <c r="I2110" s="49" t="n">
        <v>0</v>
      </c>
      <c r="J2110" s="50" t="n">
        <v>0</v>
      </c>
      <c r="K2110" s="51" t="n">
        <v>16</v>
      </c>
      <c r="L2110" s="52" t="n">
        <v>7.440000000000001</v>
      </c>
      <c r="M2110" s="52" t="n">
        <v>0</v>
      </c>
      <c r="N2110" s="52" t="n">
        <v>0</v>
      </c>
      <c r="O2110" s="53" t="n">
        <v>0.003</v>
      </c>
      <c r="P2110" s="52" t="n">
        <v>0.4650000000000001</v>
      </c>
      <c r="Q2110" s="53" t="n">
        <v>0</v>
      </c>
      <c r="R2110" s="52" t="n">
        <v>0</v>
      </c>
      <c r="S2110" s="51" t="n">
        <v>5420</v>
      </c>
      <c r="T2110" s="48" t="n">
        <v>85.98</v>
      </c>
      <c r="U2110" s="49" t="n">
        <v>2</v>
      </c>
      <c r="V2110" s="49" t="n">
        <v>0</v>
      </c>
      <c r="W2110" s="50" t="n">
        <v>0</v>
      </c>
      <c r="X2110" s="51" t="n">
        <v>11</v>
      </c>
      <c r="Y2110" s="52" t="n">
        <v>5.34</v>
      </c>
      <c r="Z2110" s="52" t="n">
        <v>85.98</v>
      </c>
      <c r="AA2110" s="52" t="n">
        <v>16.1</v>
      </c>
      <c r="AB2110" s="53" t="n">
        <v>0.0027</v>
      </c>
      <c r="AC2110" s="52" t="n">
        <v>0.4854545454545454</v>
      </c>
      <c r="AD2110" s="53" t="n">
        <v>0.06210746685275645</v>
      </c>
      <c r="AE2110" s="52" t="n">
        <v>42.99</v>
      </c>
      <c r="AF2110" s="51" t="n">
        <v>4128</v>
      </c>
      <c r="AG2110" s="48" t="n">
        <v>0</v>
      </c>
      <c r="AH2110" s="49" t="n">
        <v>0</v>
      </c>
      <c r="AI2110" s="49" t="n">
        <v>0</v>
      </c>
      <c r="AJ2110" s="50" t="n">
        <v>0</v>
      </c>
      <c r="AK2110" s="51" t="n">
        <v>0</v>
      </c>
      <c r="AL2110" s="52" t="n">
        <v>0</v>
      </c>
      <c r="AM2110" s="52" t="n">
        <v>0</v>
      </c>
      <c r="AN2110" s="52" t="n">
        <v>0</v>
      </c>
      <c r="AO2110" s="53" t="n">
        <v>0</v>
      </c>
      <c r="AP2110" s="52" t="n">
        <v>0</v>
      </c>
      <c r="AQ2110" s="53" t="n">
        <v>0</v>
      </c>
      <c r="AR2110" s="52" t="n">
        <v>0</v>
      </c>
      <c r="AS2110" s="51" t="n">
        <v>0</v>
      </c>
      <c r="AT2110" s="48" t="n">
        <v>0</v>
      </c>
      <c r="AU2110" s="49" t="n">
        <v>0</v>
      </c>
      <c r="AV2110" s="49" t="n">
        <v>0</v>
      </c>
      <c r="AW2110" s="50" t="n">
        <v>0</v>
      </c>
      <c r="AX2110" s="51" t="n">
        <v>6</v>
      </c>
      <c r="AY2110" s="52" t="n">
        <v>2.74</v>
      </c>
      <c r="AZ2110" s="52" t="n">
        <v>0</v>
      </c>
      <c r="BA2110" s="52" t="n">
        <v>0</v>
      </c>
      <c r="BB2110" s="53" t="n">
        <v>0.0023</v>
      </c>
      <c r="BC2110" s="52" t="n">
        <v>0.4566666666666667</v>
      </c>
      <c r="BD2110" s="53" t="n">
        <v>0</v>
      </c>
      <c r="BE2110" s="52" t="n">
        <v>0</v>
      </c>
      <c r="BF2110" s="51" t="n">
        <v>2624</v>
      </c>
    </row>
    <row r="2111">
      <c r="A2111">
        <f>HYPERLINK("https://www.walmart.com/ip/364359143", "364359143")</f>
        <v/>
      </c>
      <c r="B2111" t="inlineStr">
        <is>
          <t>Catalonia Cheetah Fluffy Sherpa Throw Blanket, Super Soft Mink Fleece Couch Blanket, TV Bed Fuzzy Blanket, Fluffy Comfy Warm Heavy Throws, Comfort Caring Gift,50x60 inches</t>
        </is>
      </c>
      <c r="C2111" t="inlineStr">
        <is>
          <t>1CTBF300CHEETAHWT</t>
        </is>
      </c>
      <c r="D2111" t="inlineStr">
        <is>
          <t>Throws</t>
        </is>
      </c>
      <c r="E2111" t="inlineStr">
        <is>
          <t>Catalonia</t>
        </is>
      </c>
      <c r="F2111" t="inlineStr">
        <is>
          <t>WFS,Coupon_Discount,WFS Item</t>
        </is>
      </c>
      <c r="G2111" s="48" t="n">
        <v>0</v>
      </c>
      <c r="H2111" s="49" t="n">
        <v>0</v>
      </c>
      <c r="I2111" s="49" t="n">
        <v>0</v>
      </c>
      <c r="J2111" s="50" t="n">
        <v>0</v>
      </c>
      <c r="K2111" s="51" t="n">
        <v>0</v>
      </c>
      <c r="L2111" s="52" t="n">
        <v>0</v>
      </c>
      <c r="M2111" s="52" t="n">
        <v>0</v>
      </c>
      <c r="N2111" s="52" t="n">
        <v>0</v>
      </c>
      <c r="O2111" s="53" t="n">
        <v>0</v>
      </c>
      <c r="P2111" s="52" t="n">
        <v>0</v>
      </c>
      <c r="Q2111" s="53" t="n">
        <v>0</v>
      </c>
      <c r="R2111" s="52" t="n">
        <v>0</v>
      </c>
      <c r="S2111" s="51" t="n">
        <v>0</v>
      </c>
      <c r="T2111" s="48" t="n">
        <v>0</v>
      </c>
      <c r="U2111" s="49" t="n">
        <v>0</v>
      </c>
      <c r="V2111" s="49" t="n">
        <v>0</v>
      </c>
      <c r="W2111" s="50" t="n">
        <v>0</v>
      </c>
      <c r="X2111" s="51" t="n">
        <v>0</v>
      </c>
      <c r="Y2111" s="52" t="n">
        <v>0</v>
      </c>
      <c r="Z2111" s="52" t="n">
        <v>0</v>
      </c>
      <c r="AA2111" s="52" t="n">
        <v>0</v>
      </c>
      <c r="AB2111" s="53" t="n">
        <v>0</v>
      </c>
      <c r="AC2111" s="52" t="n">
        <v>0</v>
      </c>
      <c r="AD2111" s="53" t="n">
        <v>0</v>
      </c>
      <c r="AE2111" s="52" t="n">
        <v>0</v>
      </c>
      <c r="AF2111" s="51" t="n">
        <v>0</v>
      </c>
      <c r="AG2111" s="48" t="n">
        <v>0</v>
      </c>
      <c r="AH2111" s="49" t="n">
        <v>0</v>
      </c>
      <c r="AI2111" s="49" t="n">
        <v>0</v>
      </c>
      <c r="AJ2111" s="50" t="n">
        <v>0</v>
      </c>
      <c r="AK2111" s="51" t="n">
        <v>0</v>
      </c>
      <c r="AL2111" s="52" t="n">
        <v>0</v>
      </c>
      <c r="AM2111" s="52" t="n">
        <v>0</v>
      </c>
      <c r="AN2111" s="52" t="n">
        <v>0</v>
      </c>
      <c r="AO2111" s="53" t="n">
        <v>0</v>
      </c>
      <c r="AP2111" s="52" t="n">
        <v>0</v>
      </c>
      <c r="AQ2111" s="53" t="n">
        <v>0</v>
      </c>
      <c r="AR2111" s="52" t="n">
        <v>0</v>
      </c>
      <c r="AS2111" s="51" t="n">
        <v>0</v>
      </c>
      <c r="AT2111" s="48" t="n">
        <v>0</v>
      </c>
      <c r="AU2111" s="49" t="n">
        <v>0</v>
      </c>
      <c r="AV2111" s="49" t="n">
        <v>0</v>
      </c>
      <c r="AW2111" s="50" t="n">
        <v>0</v>
      </c>
      <c r="AX2111" s="51" t="n">
        <v>0</v>
      </c>
      <c r="AY2111" s="52" t="n">
        <v>0</v>
      </c>
      <c r="AZ2111" s="52" t="n">
        <v>0</v>
      </c>
      <c r="BA2111" s="52" t="n">
        <v>0</v>
      </c>
      <c r="BB2111" s="53" t="n">
        <v>0</v>
      </c>
      <c r="BC2111" s="52" t="n">
        <v>0</v>
      </c>
      <c r="BD2111" s="53" t="n">
        <v>0</v>
      </c>
      <c r="BE2111" s="52" t="n">
        <v>0</v>
      </c>
      <c r="BF2111" s="51" t="n">
        <v>0</v>
      </c>
    </row>
    <row r="2112">
      <c r="A2112">
        <f>HYPERLINK("https://www.walmart.com/ip/365573628", "365573628")</f>
        <v/>
      </c>
      <c r="B2112" t="inlineStr">
        <is>
          <t>Catalonia Sherpa Furry Throw Blanket Reversible Fuzzy Fleece Blanket 50"x60", Polyester Super Soft Plush for Sofa Couch Bed</t>
        </is>
      </c>
      <c r="C2112" t="inlineStr">
        <is>
          <t>1CTBN110LT</t>
        </is>
      </c>
      <c r="D2112" t="inlineStr">
        <is>
          <t>Throws</t>
        </is>
      </c>
      <c r="E2112" t="inlineStr">
        <is>
          <t>Catalonia</t>
        </is>
      </c>
      <c r="F2112" t="inlineStr">
        <is>
          <t>Q2-Target,Optimized,WFS,Coupon_Discount,WFS Item,Fleece Blankets</t>
        </is>
      </c>
      <c r="G2112" s="48" t="n">
        <v>0</v>
      </c>
      <c r="H2112" s="49" t="n">
        <v>0</v>
      </c>
      <c r="I2112" s="49" t="n">
        <v>0</v>
      </c>
      <c r="J2112" s="50" t="n">
        <v>0</v>
      </c>
      <c r="K2112" s="51" t="n">
        <v>0</v>
      </c>
      <c r="L2112" s="52" t="n">
        <v>0</v>
      </c>
      <c r="M2112" s="52" t="n">
        <v>0</v>
      </c>
      <c r="N2112" s="52" t="n">
        <v>0</v>
      </c>
      <c r="O2112" s="53" t="n">
        <v>0</v>
      </c>
      <c r="P2112" s="52" t="n">
        <v>0</v>
      </c>
      <c r="Q2112" s="53" t="n">
        <v>0</v>
      </c>
      <c r="R2112" s="52" t="n">
        <v>0</v>
      </c>
      <c r="S2112" s="51" t="n">
        <v>0</v>
      </c>
      <c r="T2112" s="48" t="n">
        <v>0</v>
      </c>
      <c r="U2112" s="49" t="n">
        <v>0</v>
      </c>
      <c r="V2112" s="49" t="n">
        <v>0</v>
      </c>
      <c r="W2112" s="50" t="n">
        <v>0</v>
      </c>
      <c r="X2112" s="51" t="n">
        <v>0</v>
      </c>
      <c r="Y2112" s="52" t="n">
        <v>0</v>
      </c>
      <c r="Z2112" s="52" t="n">
        <v>0</v>
      </c>
      <c r="AA2112" s="52" t="n">
        <v>0</v>
      </c>
      <c r="AB2112" s="53" t="n">
        <v>0</v>
      </c>
      <c r="AC2112" s="52" t="n">
        <v>0</v>
      </c>
      <c r="AD2112" s="53" t="n">
        <v>0</v>
      </c>
      <c r="AE2112" s="52" t="n">
        <v>0</v>
      </c>
      <c r="AF2112" s="51" t="n">
        <v>0</v>
      </c>
      <c r="AG2112" s="48" t="n">
        <v>0</v>
      </c>
      <c r="AH2112" s="49" t="n">
        <v>0</v>
      </c>
      <c r="AI2112" s="49" t="n">
        <v>0</v>
      </c>
      <c r="AJ2112" s="50" t="n">
        <v>0</v>
      </c>
      <c r="AK2112" s="51" t="n">
        <v>0</v>
      </c>
      <c r="AL2112" s="52" t="n">
        <v>0</v>
      </c>
      <c r="AM2112" s="52" t="n">
        <v>0</v>
      </c>
      <c r="AN2112" s="52" t="n">
        <v>0</v>
      </c>
      <c r="AO2112" s="53" t="n">
        <v>0</v>
      </c>
      <c r="AP2112" s="52" t="n">
        <v>0</v>
      </c>
      <c r="AQ2112" s="53" t="n">
        <v>0</v>
      </c>
      <c r="AR2112" s="52" t="n">
        <v>0</v>
      </c>
      <c r="AS2112" s="51" t="n">
        <v>0</v>
      </c>
      <c r="AT2112" s="48" t="n">
        <v>0</v>
      </c>
      <c r="AU2112" s="49" t="n">
        <v>0</v>
      </c>
      <c r="AV2112" s="49" t="n">
        <v>0</v>
      </c>
      <c r="AW2112" s="50" t="n">
        <v>0</v>
      </c>
      <c r="AX2112" s="51" t="n">
        <v>0</v>
      </c>
      <c r="AY2112" s="52" t="n">
        <v>0</v>
      </c>
      <c r="AZ2112" s="52" t="n">
        <v>0</v>
      </c>
      <c r="BA2112" s="52" t="n">
        <v>0</v>
      </c>
      <c r="BB2112" s="53" t="n">
        <v>0</v>
      </c>
      <c r="BC2112" s="52" t="n">
        <v>0</v>
      </c>
      <c r="BD2112" s="53" t="n">
        <v>0</v>
      </c>
      <c r="BE2112" s="52" t="n">
        <v>0</v>
      </c>
      <c r="BF2112" s="51" t="n">
        <v>0</v>
      </c>
    </row>
    <row r="2113">
      <c r="A2113">
        <f>HYPERLINK("https://www.walmart.com/ip/3657063712", "3657063712")</f>
        <v/>
      </c>
      <c r="B2113" t="inlineStr">
        <is>
          <t>Tirrinia Insulated Lunch Bag for Women Men, Double-Layer Leak-Proof Reusable Lunch Box with 4 Pockets for Adult Kids, Lunch Bag Cooler Tote for Office Work, Back to School, Black</t>
        </is>
      </c>
      <c r="C2113" t="inlineStr">
        <is>
          <t>1TRLB702BK-D</t>
        </is>
      </c>
      <c r="D2113" t="inlineStr">
        <is>
          <t>Reusable Lunch Bags &amp; Boxes</t>
        </is>
      </c>
      <c r="E2113" t="inlineStr">
        <is>
          <t>Tirrinia</t>
        </is>
      </c>
      <c r="F2113" t="inlineStr">
        <is>
          <t>Q2-Target</t>
        </is>
      </c>
      <c r="G2113" s="48" t="n">
        <v>0</v>
      </c>
      <c r="H2113" s="49" t="n">
        <v>0</v>
      </c>
      <c r="I2113" s="49" t="n">
        <v>0</v>
      </c>
      <c r="J2113" s="50" t="n">
        <v>0</v>
      </c>
      <c r="K2113" s="51" t="n">
        <v>0</v>
      </c>
      <c r="L2113" s="52" t="n">
        <v>0</v>
      </c>
      <c r="M2113" s="52" t="n">
        <v>0</v>
      </c>
      <c r="N2113" s="52" t="n">
        <v>0</v>
      </c>
      <c r="O2113" s="53" t="n">
        <v>0</v>
      </c>
      <c r="P2113" s="52" t="n">
        <v>0</v>
      </c>
      <c r="Q2113" s="53" t="n">
        <v>0</v>
      </c>
      <c r="R2113" s="52" t="n">
        <v>0</v>
      </c>
      <c r="S2113" s="51" t="n">
        <v>0</v>
      </c>
      <c r="T2113" s="48" t="n">
        <v>0</v>
      </c>
      <c r="U2113" s="49" t="n">
        <v>0</v>
      </c>
      <c r="V2113" s="49" t="n">
        <v>0</v>
      </c>
      <c r="W2113" s="50" t="n">
        <v>0</v>
      </c>
      <c r="X2113" s="51" t="n">
        <v>0</v>
      </c>
      <c r="Y2113" s="52" t="n">
        <v>0</v>
      </c>
      <c r="Z2113" s="52" t="n">
        <v>0</v>
      </c>
      <c r="AA2113" s="52" t="n">
        <v>0</v>
      </c>
      <c r="AB2113" s="53" t="n">
        <v>0</v>
      </c>
      <c r="AC2113" s="52" t="n">
        <v>0</v>
      </c>
      <c r="AD2113" s="53" t="n">
        <v>0</v>
      </c>
      <c r="AE2113" s="52" t="n">
        <v>0</v>
      </c>
      <c r="AF2113" s="51" t="n">
        <v>0</v>
      </c>
      <c r="AG2113" s="48" t="n">
        <v>16.99</v>
      </c>
      <c r="AH2113" s="49" t="n">
        <v>1</v>
      </c>
      <c r="AI2113" s="49" t="n">
        <v>0</v>
      </c>
      <c r="AJ2113" s="50" t="n">
        <v>0</v>
      </c>
      <c r="AK2113" s="51" t="n">
        <v>0</v>
      </c>
      <c r="AL2113" s="52" t="n">
        <v>0</v>
      </c>
      <c r="AM2113" s="52" t="n">
        <v>0</v>
      </c>
      <c r="AN2113" s="52" t="n">
        <v>0</v>
      </c>
      <c r="AO2113" s="53" t="n">
        <v>0</v>
      </c>
      <c r="AP2113" s="52" t="n">
        <v>0</v>
      </c>
      <c r="AQ2113" s="53" t="n">
        <v>0</v>
      </c>
      <c r="AR2113" s="52" t="n">
        <v>16.99</v>
      </c>
      <c r="AS2113" s="51" t="n">
        <v>0</v>
      </c>
      <c r="AT2113" s="48" t="n">
        <v>0</v>
      </c>
      <c r="AU2113" s="49" t="n">
        <v>0</v>
      </c>
      <c r="AV2113" s="49" t="n">
        <v>0</v>
      </c>
      <c r="AW2113" s="50" t="n">
        <v>0</v>
      </c>
      <c r="AX2113" s="51" t="n">
        <v>0</v>
      </c>
      <c r="AY2113" s="52" t="n">
        <v>0</v>
      </c>
      <c r="AZ2113" s="52" t="n">
        <v>0</v>
      </c>
      <c r="BA2113" s="52" t="n">
        <v>0</v>
      </c>
      <c r="BB2113" s="53" t="n">
        <v>0</v>
      </c>
      <c r="BC2113" s="52" t="n">
        <v>0</v>
      </c>
      <c r="BD2113" s="53" t="n">
        <v>0</v>
      </c>
      <c r="BE2113" s="52" t="n">
        <v>0</v>
      </c>
      <c r="BF2113" s="51" t="n">
        <v>0</v>
      </c>
    </row>
    <row r="2114">
      <c r="A2114">
        <f>HYPERLINK("https://www.walmart.com/ip/367461877", "367461877")</f>
        <v/>
      </c>
      <c r="B2114" t="inlineStr">
        <is>
          <t>KC Caps® Hunting Hiking Camping Camo Military Mesh Cap Travel Hat</t>
        </is>
      </c>
      <c r="C2114" t="inlineStr">
        <is>
          <t>KC7140-Break</t>
        </is>
      </c>
      <c r="D2114" t="inlineStr">
        <is>
          <t>Hats</t>
        </is>
      </c>
      <c r="E2114" t="inlineStr">
        <is>
          <t>KC Caps</t>
        </is>
      </c>
      <c r="F2114" t="inlineStr">
        <is>
          <t>Optimized</t>
        </is>
      </c>
      <c r="G2114" s="48" t="n">
        <v>0</v>
      </c>
      <c r="H2114" s="49" t="n">
        <v>0</v>
      </c>
      <c r="I2114" s="49" t="n">
        <v>0</v>
      </c>
      <c r="J2114" s="50" t="n">
        <v>0</v>
      </c>
      <c r="K2114" s="51" t="n">
        <v>0</v>
      </c>
      <c r="L2114" s="52" t="n">
        <v>0</v>
      </c>
      <c r="M2114" s="52" t="n">
        <v>0</v>
      </c>
      <c r="N2114" s="52" t="n">
        <v>0</v>
      </c>
      <c r="O2114" s="53" t="n">
        <v>0</v>
      </c>
      <c r="P2114" s="52" t="n">
        <v>0</v>
      </c>
      <c r="Q2114" s="53" t="n">
        <v>0</v>
      </c>
      <c r="R2114" s="52" t="n">
        <v>0</v>
      </c>
      <c r="S2114" s="51" t="n">
        <v>0</v>
      </c>
      <c r="T2114" s="48" t="n">
        <v>0</v>
      </c>
      <c r="U2114" s="49" t="n">
        <v>0</v>
      </c>
      <c r="V2114" s="49" t="n">
        <v>0</v>
      </c>
      <c r="W2114" s="50" t="n">
        <v>0</v>
      </c>
      <c r="X2114" s="51" t="n">
        <v>0</v>
      </c>
      <c r="Y2114" s="52" t="n">
        <v>0</v>
      </c>
      <c r="Z2114" s="52" t="n">
        <v>0</v>
      </c>
      <c r="AA2114" s="52" t="n">
        <v>0</v>
      </c>
      <c r="AB2114" s="53" t="n">
        <v>0</v>
      </c>
      <c r="AC2114" s="52" t="n">
        <v>0</v>
      </c>
      <c r="AD2114" s="53" t="n">
        <v>0</v>
      </c>
      <c r="AE2114" s="52" t="n">
        <v>0</v>
      </c>
      <c r="AF2114" s="51" t="n">
        <v>0</v>
      </c>
      <c r="AG2114" s="48" t="n">
        <v>0</v>
      </c>
      <c r="AH2114" s="49" t="n">
        <v>0</v>
      </c>
      <c r="AI2114" s="49" t="n">
        <v>0</v>
      </c>
      <c r="AJ2114" s="50" t="n">
        <v>0</v>
      </c>
      <c r="AK2114" s="51" t="n">
        <v>0</v>
      </c>
      <c r="AL2114" s="52" t="n">
        <v>0</v>
      </c>
      <c r="AM2114" s="52" t="n">
        <v>0</v>
      </c>
      <c r="AN2114" s="52" t="n">
        <v>0</v>
      </c>
      <c r="AO2114" s="53" t="n">
        <v>0</v>
      </c>
      <c r="AP2114" s="52" t="n">
        <v>0</v>
      </c>
      <c r="AQ2114" s="53" t="n">
        <v>0</v>
      </c>
      <c r="AR2114" s="52" t="n">
        <v>0</v>
      </c>
      <c r="AS2114" s="51" t="n">
        <v>0</v>
      </c>
      <c r="AT2114" s="48" t="n">
        <v>0</v>
      </c>
      <c r="AU2114" s="49" t="n">
        <v>0</v>
      </c>
      <c r="AV2114" s="49" t="n">
        <v>0</v>
      </c>
      <c r="AW2114" s="50" t="n">
        <v>0</v>
      </c>
      <c r="AX2114" s="51" t="n">
        <v>0</v>
      </c>
      <c r="AY2114" s="52" t="n">
        <v>0</v>
      </c>
      <c r="AZ2114" s="52" t="n">
        <v>0</v>
      </c>
      <c r="BA2114" s="52" t="n">
        <v>0</v>
      </c>
      <c r="BB2114" s="53" t="n">
        <v>0</v>
      </c>
      <c r="BC2114" s="52" t="n">
        <v>0</v>
      </c>
      <c r="BD2114" s="53" t="n">
        <v>0</v>
      </c>
      <c r="BE2114" s="52" t="n">
        <v>0</v>
      </c>
      <c r="BF2114" s="51" t="n">
        <v>0</v>
      </c>
    </row>
    <row r="2115">
      <c r="A2115">
        <f>HYPERLINK("https://www.walmart.com/ip/367613983", "367613983")</f>
        <v/>
      </c>
      <c r="B2115" t="inlineStr">
        <is>
          <t>Oversized Hooded Poncho Cape, Casual Hoodie Sweatshirt, Batwing Coat Pullover | Light Weight, Cozy, Comfortable, Roomy | for Adults Women Men Teens</t>
        </is>
      </c>
      <c r="C2115" t="inlineStr">
        <is>
          <t>1WMHD540S1GY</t>
        </is>
      </c>
      <c r="D2115" t="inlineStr">
        <is>
          <t>Sweatshirts &amp; Hoodies</t>
        </is>
      </c>
      <c r="E2115" t="inlineStr">
        <is>
          <t>Flyingstar</t>
        </is>
      </c>
      <c r="F2115" t="inlineStr">
        <is>
          <t>Hoodie ForAdult,Optimized</t>
        </is>
      </c>
      <c r="G2115" s="48" t="n">
        <v>0</v>
      </c>
      <c r="H2115" s="49" t="n">
        <v>0</v>
      </c>
      <c r="I2115" s="49" t="n">
        <v>0</v>
      </c>
      <c r="J2115" s="50" t="n">
        <v>0</v>
      </c>
      <c r="K2115" s="51" t="n">
        <v>0</v>
      </c>
      <c r="L2115" s="52" t="n">
        <v>0</v>
      </c>
      <c r="M2115" s="52" t="n">
        <v>0</v>
      </c>
      <c r="N2115" s="52" t="n">
        <v>0</v>
      </c>
      <c r="O2115" s="53" t="n">
        <v>0</v>
      </c>
      <c r="P2115" s="52" t="n">
        <v>0</v>
      </c>
      <c r="Q2115" s="53" t="n">
        <v>0</v>
      </c>
      <c r="R2115" s="52" t="n">
        <v>0</v>
      </c>
      <c r="S2115" s="51" t="n">
        <v>0</v>
      </c>
      <c r="T2115" s="48" t="n">
        <v>0</v>
      </c>
      <c r="U2115" s="49" t="n">
        <v>0</v>
      </c>
      <c r="V2115" s="49" t="n">
        <v>0</v>
      </c>
      <c r="W2115" s="50" t="n">
        <v>0</v>
      </c>
      <c r="X2115" s="51" t="n">
        <v>0</v>
      </c>
      <c r="Y2115" s="52" t="n">
        <v>0</v>
      </c>
      <c r="Z2115" s="52" t="n">
        <v>0</v>
      </c>
      <c r="AA2115" s="52" t="n">
        <v>0</v>
      </c>
      <c r="AB2115" s="53" t="n">
        <v>0</v>
      </c>
      <c r="AC2115" s="52" t="n">
        <v>0</v>
      </c>
      <c r="AD2115" s="53" t="n">
        <v>0</v>
      </c>
      <c r="AE2115" s="52" t="n">
        <v>0</v>
      </c>
      <c r="AF2115" s="51" t="n">
        <v>0</v>
      </c>
      <c r="AG2115" s="48" t="n">
        <v>0</v>
      </c>
      <c r="AH2115" s="49" t="n">
        <v>0</v>
      </c>
      <c r="AI2115" s="49" t="n">
        <v>0</v>
      </c>
      <c r="AJ2115" s="50" t="n">
        <v>0</v>
      </c>
      <c r="AK2115" s="51" t="n">
        <v>0</v>
      </c>
      <c r="AL2115" s="52" t="n">
        <v>0</v>
      </c>
      <c r="AM2115" s="52" t="n">
        <v>0</v>
      </c>
      <c r="AN2115" s="52" t="n">
        <v>0</v>
      </c>
      <c r="AO2115" s="53" t="n">
        <v>0</v>
      </c>
      <c r="AP2115" s="52" t="n">
        <v>0</v>
      </c>
      <c r="AQ2115" s="53" t="n">
        <v>0</v>
      </c>
      <c r="AR2115" s="52" t="n">
        <v>0</v>
      </c>
      <c r="AS2115" s="51" t="n">
        <v>0</v>
      </c>
      <c r="AT2115" s="48" t="n">
        <v>0</v>
      </c>
      <c r="AU2115" s="49" t="n">
        <v>0</v>
      </c>
      <c r="AV2115" s="49" t="n">
        <v>0</v>
      </c>
      <c r="AW2115" s="50" t="n">
        <v>0</v>
      </c>
      <c r="AX2115" s="51" t="n">
        <v>0</v>
      </c>
      <c r="AY2115" s="52" t="n">
        <v>0</v>
      </c>
      <c r="AZ2115" s="52" t="n">
        <v>0</v>
      </c>
      <c r="BA2115" s="52" t="n">
        <v>0</v>
      </c>
      <c r="BB2115" s="53" t="n">
        <v>0</v>
      </c>
      <c r="BC2115" s="52" t="n">
        <v>0</v>
      </c>
      <c r="BD2115" s="53" t="n">
        <v>0</v>
      </c>
      <c r="BE2115" s="52" t="n">
        <v>0</v>
      </c>
      <c r="BF2115" s="51" t="n">
        <v>0</v>
      </c>
    </row>
    <row r="2116">
      <c r="A2116">
        <f>HYPERLINK("https://www.walmart.com/ip/369508891", "369508891")</f>
        <v/>
      </c>
      <c r="B2116" t="inlineStr">
        <is>
          <t>Womens Sun Hat w/ Floppy Brim, Straw Edge Foldable Gardening Hiking Beach Hat for Women</t>
        </is>
      </c>
      <c r="C2116" t="inlineStr">
        <is>
          <t>1SLSH031BE</t>
        </is>
      </c>
      <c r="D2116" t="inlineStr">
        <is>
          <t>Hats</t>
        </is>
      </c>
      <c r="E2116" t="inlineStr">
        <is>
          <t>Solaris</t>
        </is>
      </c>
      <c r="F2116" t="inlineStr">
        <is>
          <t>WFS,Hats,WFS Item</t>
        </is>
      </c>
      <c r="G2116" s="48" t="n">
        <v>0</v>
      </c>
      <c r="H2116" s="49" t="n">
        <v>0</v>
      </c>
      <c r="I2116" s="49" t="n">
        <v>0</v>
      </c>
      <c r="J2116" s="50" t="n">
        <v>0</v>
      </c>
      <c r="K2116" s="51" t="n">
        <v>0</v>
      </c>
      <c r="L2116" s="52" t="n">
        <v>0</v>
      </c>
      <c r="M2116" s="52" t="n">
        <v>0</v>
      </c>
      <c r="N2116" s="52" t="n">
        <v>0</v>
      </c>
      <c r="O2116" s="53" t="n">
        <v>0</v>
      </c>
      <c r="P2116" s="52" t="n">
        <v>0</v>
      </c>
      <c r="Q2116" s="53" t="n">
        <v>0</v>
      </c>
      <c r="R2116" s="52" t="n">
        <v>0</v>
      </c>
      <c r="S2116" s="51" t="n">
        <v>0</v>
      </c>
      <c r="T2116" s="48" t="n">
        <v>0</v>
      </c>
      <c r="U2116" s="49" t="n">
        <v>0</v>
      </c>
      <c r="V2116" s="49" t="n">
        <v>0</v>
      </c>
      <c r="W2116" s="50" t="n">
        <v>0</v>
      </c>
      <c r="X2116" s="51" t="n">
        <v>0</v>
      </c>
      <c r="Y2116" s="52" t="n">
        <v>0</v>
      </c>
      <c r="Z2116" s="52" t="n">
        <v>0</v>
      </c>
      <c r="AA2116" s="52" t="n">
        <v>0</v>
      </c>
      <c r="AB2116" s="53" t="n">
        <v>0</v>
      </c>
      <c r="AC2116" s="52" t="n">
        <v>0</v>
      </c>
      <c r="AD2116" s="53" t="n">
        <v>0</v>
      </c>
      <c r="AE2116" s="52" t="n">
        <v>0</v>
      </c>
      <c r="AF2116" s="51" t="n">
        <v>0</v>
      </c>
      <c r="AG2116" s="48" t="n">
        <v>0</v>
      </c>
      <c r="AH2116" s="49" t="n">
        <v>0</v>
      </c>
      <c r="AI2116" s="49" t="n">
        <v>0</v>
      </c>
      <c r="AJ2116" s="50" t="n">
        <v>0</v>
      </c>
      <c r="AK2116" s="51" t="n">
        <v>0</v>
      </c>
      <c r="AL2116" s="52" t="n">
        <v>0</v>
      </c>
      <c r="AM2116" s="52" t="n">
        <v>0</v>
      </c>
      <c r="AN2116" s="52" t="n">
        <v>0</v>
      </c>
      <c r="AO2116" s="53" t="n">
        <v>0</v>
      </c>
      <c r="AP2116" s="52" t="n">
        <v>0</v>
      </c>
      <c r="AQ2116" s="53" t="n">
        <v>0</v>
      </c>
      <c r="AR2116" s="52" t="n">
        <v>0</v>
      </c>
      <c r="AS2116" s="51" t="n">
        <v>0</v>
      </c>
      <c r="AT2116" s="48" t="n">
        <v>0</v>
      </c>
      <c r="AU2116" s="49" t="n">
        <v>0</v>
      </c>
      <c r="AV2116" s="49" t="n">
        <v>0</v>
      </c>
      <c r="AW2116" s="50" t="n">
        <v>0</v>
      </c>
      <c r="AX2116" s="51" t="n">
        <v>0</v>
      </c>
      <c r="AY2116" s="52" t="n">
        <v>0</v>
      </c>
      <c r="AZ2116" s="52" t="n">
        <v>0</v>
      </c>
      <c r="BA2116" s="52" t="n">
        <v>0</v>
      </c>
      <c r="BB2116" s="53" t="n">
        <v>0</v>
      </c>
      <c r="BC2116" s="52" t="n">
        <v>0</v>
      </c>
      <c r="BD2116" s="53" t="n">
        <v>0</v>
      </c>
      <c r="BE2116" s="52" t="n">
        <v>0</v>
      </c>
      <c r="BF2116" s="51" t="n">
        <v>0</v>
      </c>
    </row>
    <row r="2117">
      <c r="A2117">
        <f>HYPERLINK("https://www.walmart.com/ip/3696474048", "3696474048")</f>
        <v/>
      </c>
      <c r="B2117" t="inlineStr">
        <is>
          <t>Tirrinia Single Wine Gift Tote Bag, Insulated Padded Thermal Wine Bottle Carrying Cooler Carrier for Travel, Picnic, Great Gift for Wine Lover, Brown</t>
        </is>
      </c>
      <c r="C2117" t="inlineStr">
        <is>
          <t>1TRWB102PAPER</t>
        </is>
      </c>
      <c r="D2117" t="inlineStr">
        <is>
          <t>Wine Totes, Bags &amp; Backpacks</t>
        </is>
      </c>
      <c r="E2117" t="inlineStr">
        <is>
          <t>Tirrinia</t>
        </is>
      </c>
      <c r="G2117" s="48" t="n">
        <v>0</v>
      </c>
      <c r="H2117" s="49" t="n">
        <v>0</v>
      </c>
      <c r="I2117" s="49" t="n">
        <v>0</v>
      </c>
      <c r="J2117" s="50" t="n">
        <v>0</v>
      </c>
      <c r="K2117" s="51" t="n">
        <v>3</v>
      </c>
      <c r="L2117" s="52" t="n">
        <v>1.24</v>
      </c>
      <c r="M2117" s="52" t="n">
        <v>0</v>
      </c>
      <c r="N2117" s="52" t="n">
        <v>0</v>
      </c>
      <c r="O2117" s="53" t="n">
        <v>0.0013</v>
      </c>
      <c r="P2117" s="52" t="n">
        <v>0.4133333333333334</v>
      </c>
      <c r="Q2117" s="53" t="n">
        <v>0</v>
      </c>
      <c r="R2117" s="52" t="n">
        <v>0</v>
      </c>
      <c r="S2117" s="51" t="n">
        <v>2379</v>
      </c>
      <c r="T2117" s="48" t="n">
        <v>0</v>
      </c>
      <c r="U2117" s="49" t="n">
        <v>0</v>
      </c>
      <c r="V2117" s="49" t="n">
        <v>0</v>
      </c>
      <c r="W2117" s="50" t="n">
        <v>0</v>
      </c>
      <c r="X2117" s="51" t="n">
        <v>2</v>
      </c>
      <c r="Y2117" s="52" t="n">
        <v>0.8</v>
      </c>
      <c r="Z2117" s="52" t="n">
        <v>0</v>
      </c>
      <c r="AA2117" s="52" t="n">
        <v>0</v>
      </c>
      <c r="AB2117" s="53" t="n">
        <v>0.001</v>
      </c>
      <c r="AC2117" s="52" t="n">
        <v>0.4</v>
      </c>
      <c r="AD2117" s="53" t="n">
        <v>0</v>
      </c>
      <c r="AE2117" s="52" t="n">
        <v>0</v>
      </c>
      <c r="AF2117" s="51" t="n">
        <v>1999</v>
      </c>
      <c r="AG2117" s="48" t="n">
        <v>0</v>
      </c>
      <c r="AH2117" s="49" t="n">
        <v>0</v>
      </c>
      <c r="AI2117" s="49" t="n">
        <v>0</v>
      </c>
      <c r="AJ2117" s="50" t="n">
        <v>0</v>
      </c>
      <c r="AK2117" s="51" t="n">
        <v>5</v>
      </c>
      <c r="AL2117" s="52" t="n">
        <v>2</v>
      </c>
      <c r="AM2117" s="52" t="n">
        <v>0</v>
      </c>
      <c r="AN2117" s="52" t="n">
        <v>0</v>
      </c>
      <c r="AO2117" s="53" t="n">
        <v>0.0025</v>
      </c>
      <c r="AP2117" s="52" t="n">
        <v>0.4</v>
      </c>
      <c r="AQ2117" s="53" t="n">
        <v>0</v>
      </c>
      <c r="AR2117" s="52" t="n">
        <v>0</v>
      </c>
      <c r="AS2117" s="51" t="n">
        <v>1994</v>
      </c>
      <c r="AT2117" s="48" t="n">
        <v>0</v>
      </c>
      <c r="AU2117" s="49" t="n">
        <v>0</v>
      </c>
      <c r="AV2117" s="49" t="n">
        <v>0</v>
      </c>
      <c r="AW2117" s="50" t="n">
        <v>0</v>
      </c>
      <c r="AX2117" s="51" t="n">
        <v>5</v>
      </c>
      <c r="AY2117" s="52" t="n">
        <v>2</v>
      </c>
      <c r="AZ2117" s="52" t="n">
        <v>0</v>
      </c>
      <c r="BA2117" s="52" t="n">
        <v>0</v>
      </c>
      <c r="BB2117" s="53" t="n">
        <v>0.0018</v>
      </c>
      <c r="BC2117" s="52" t="n">
        <v>0.4</v>
      </c>
      <c r="BD2117" s="53" t="n">
        <v>0</v>
      </c>
      <c r="BE2117" s="52" t="n">
        <v>0</v>
      </c>
      <c r="BF2117" s="51" t="n">
        <v>2793</v>
      </c>
    </row>
    <row r="2118">
      <c r="A2118">
        <f>HYPERLINK("https://www.walmart.com/ip/370017645", "370017645")</f>
        <v/>
      </c>
      <c r="B2118" t="inlineStr">
        <is>
          <t>Catalonia Hooded Blanket Wearable Sherpa Fleece Wrap Hand Pockets Poncho | Comfy Throw Cape for Children and Adults, Women Gift</t>
        </is>
      </c>
      <c r="C2118" t="inlineStr">
        <is>
          <t>1CTBC100PP</t>
        </is>
      </c>
      <c r="D2118" t="inlineStr">
        <is>
          <t>Throws</t>
        </is>
      </c>
      <c r="E2118" t="inlineStr">
        <is>
          <t>Catalonia</t>
        </is>
      </c>
      <c r="F2118" t="inlineStr">
        <is>
          <t>Optimized,WFS,WFS Item</t>
        </is>
      </c>
      <c r="G2118" s="48" t="n">
        <v>0</v>
      </c>
      <c r="H2118" s="49" t="n">
        <v>0</v>
      </c>
      <c r="I2118" s="49" t="n">
        <v>0</v>
      </c>
      <c r="J2118" s="50" t="n">
        <v>0</v>
      </c>
      <c r="K2118" s="51" t="n">
        <v>0</v>
      </c>
      <c r="L2118" s="52" t="n">
        <v>0</v>
      </c>
      <c r="M2118" s="52" t="n">
        <v>0</v>
      </c>
      <c r="N2118" s="52" t="n">
        <v>0</v>
      </c>
      <c r="O2118" s="53" t="n">
        <v>0</v>
      </c>
      <c r="P2118" s="52" t="n">
        <v>0</v>
      </c>
      <c r="Q2118" s="53" t="n">
        <v>0</v>
      </c>
      <c r="R2118" s="52" t="n">
        <v>0</v>
      </c>
      <c r="S2118" s="51" t="n">
        <v>0</v>
      </c>
      <c r="T2118" s="48" t="n">
        <v>0</v>
      </c>
      <c r="U2118" s="49" t="n">
        <v>0</v>
      </c>
      <c r="V2118" s="49" t="n">
        <v>0</v>
      </c>
      <c r="W2118" s="50" t="n">
        <v>0</v>
      </c>
      <c r="X2118" s="51" t="n">
        <v>0</v>
      </c>
      <c r="Y2118" s="52" t="n">
        <v>0</v>
      </c>
      <c r="Z2118" s="52" t="n">
        <v>0</v>
      </c>
      <c r="AA2118" s="52" t="n">
        <v>0</v>
      </c>
      <c r="AB2118" s="53" t="n">
        <v>0</v>
      </c>
      <c r="AC2118" s="52" t="n">
        <v>0</v>
      </c>
      <c r="AD2118" s="53" t="n">
        <v>0</v>
      </c>
      <c r="AE2118" s="52" t="n">
        <v>0</v>
      </c>
      <c r="AF2118" s="51" t="n">
        <v>0</v>
      </c>
      <c r="AG2118" s="48" t="n">
        <v>0</v>
      </c>
      <c r="AH2118" s="49" t="n">
        <v>0</v>
      </c>
      <c r="AI2118" s="49" t="n">
        <v>0</v>
      </c>
      <c r="AJ2118" s="50" t="n">
        <v>0</v>
      </c>
      <c r="AK2118" s="51" t="n">
        <v>0</v>
      </c>
      <c r="AL2118" s="52" t="n">
        <v>0</v>
      </c>
      <c r="AM2118" s="52" t="n">
        <v>0</v>
      </c>
      <c r="AN2118" s="52" t="n">
        <v>0</v>
      </c>
      <c r="AO2118" s="53" t="n">
        <v>0</v>
      </c>
      <c r="AP2118" s="52" t="n">
        <v>0</v>
      </c>
      <c r="AQ2118" s="53" t="n">
        <v>0</v>
      </c>
      <c r="AR2118" s="52" t="n">
        <v>0</v>
      </c>
      <c r="AS2118" s="51" t="n">
        <v>0</v>
      </c>
      <c r="AT2118" s="48" t="n">
        <v>0</v>
      </c>
      <c r="AU2118" s="49" t="n">
        <v>0</v>
      </c>
      <c r="AV2118" s="49" t="n">
        <v>0</v>
      </c>
      <c r="AW2118" s="50" t="n">
        <v>0</v>
      </c>
      <c r="AX2118" s="51" t="n">
        <v>0</v>
      </c>
      <c r="AY2118" s="52" t="n">
        <v>0</v>
      </c>
      <c r="AZ2118" s="52" t="n">
        <v>0</v>
      </c>
      <c r="BA2118" s="52" t="n">
        <v>0</v>
      </c>
      <c r="BB2118" s="53" t="n">
        <v>0</v>
      </c>
      <c r="BC2118" s="52" t="n">
        <v>0</v>
      </c>
      <c r="BD2118" s="53" t="n">
        <v>0</v>
      </c>
      <c r="BE2118" s="52" t="n">
        <v>0</v>
      </c>
      <c r="BF2118" s="51" t="n">
        <v>0</v>
      </c>
    </row>
    <row r="2119">
      <c r="A2119">
        <f>HYPERLINK("https://www.walmart.com/ip/361725265", "361725265")</f>
        <v/>
      </c>
      <c r="B2119" t="inlineStr">
        <is>
          <t>Catalonia Sherpa Throw Blanket, Super Soft Comfy Micro Fleece Couch Blanket, Reversible Bed Throw TV Blanket, Comfort Caring Gift, Pink, 50" x 60"</t>
        </is>
      </c>
      <c r="C2119" t="inlineStr">
        <is>
          <t>1CTBF300PK</t>
        </is>
      </c>
      <c r="D2119" t="inlineStr">
        <is>
          <t>Throws</t>
        </is>
      </c>
      <c r="E2119" t="inlineStr">
        <is>
          <t>Catalonia</t>
        </is>
      </c>
      <c r="F2119" t="inlineStr">
        <is>
          <t>Q2-Target,Optimized,WFS,Coupon_Discount,WFS Item</t>
        </is>
      </c>
      <c r="G2119" s="48" t="n">
        <v>0</v>
      </c>
      <c r="H2119" s="49" t="n">
        <v>0</v>
      </c>
      <c r="I2119" s="49" t="n">
        <v>0</v>
      </c>
      <c r="J2119" s="50" t="n">
        <v>0</v>
      </c>
      <c r="K2119" s="51" t="n">
        <v>0</v>
      </c>
      <c r="L2119" s="52" t="n">
        <v>0</v>
      </c>
      <c r="M2119" s="52" t="n">
        <v>0</v>
      </c>
      <c r="N2119" s="52" t="n">
        <v>0</v>
      </c>
      <c r="O2119" s="53" t="n">
        <v>0</v>
      </c>
      <c r="P2119" s="52" t="n">
        <v>0</v>
      </c>
      <c r="Q2119" s="53" t="n">
        <v>0</v>
      </c>
      <c r="R2119" s="52" t="n">
        <v>0</v>
      </c>
      <c r="S2119" s="51" t="n">
        <v>0</v>
      </c>
      <c r="T2119" s="48" t="n">
        <v>0</v>
      </c>
      <c r="U2119" s="49" t="n">
        <v>0</v>
      </c>
      <c r="V2119" s="49" t="n">
        <v>0</v>
      </c>
      <c r="W2119" s="50" t="n">
        <v>0</v>
      </c>
      <c r="X2119" s="51" t="n">
        <v>0</v>
      </c>
      <c r="Y2119" s="52" t="n">
        <v>0</v>
      </c>
      <c r="Z2119" s="52" t="n">
        <v>0</v>
      </c>
      <c r="AA2119" s="52" t="n">
        <v>0</v>
      </c>
      <c r="AB2119" s="53" t="n">
        <v>0</v>
      </c>
      <c r="AC2119" s="52" t="n">
        <v>0</v>
      </c>
      <c r="AD2119" s="53" t="n">
        <v>0</v>
      </c>
      <c r="AE2119" s="52" t="n">
        <v>0</v>
      </c>
      <c r="AF2119" s="51" t="n">
        <v>0</v>
      </c>
      <c r="AG2119" s="48" t="n">
        <v>0</v>
      </c>
      <c r="AH2119" s="49" t="n">
        <v>0</v>
      </c>
      <c r="AI2119" s="49" t="n">
        <v>0</v>
      </c>
      <c r="AJ2119" s="50" t="n">
        <v>0</v>
      </c>
      <c r="AK2119" s="51" t="n">
        <v>0</v>
      </c>
      <c r="AL2119" s="52" t="n">
        <v>0</v>
      </c>
      <c r="AM2119" s="52" t="n">
        <v>0</v>
      </c>
      <c r="AN2119" s="52" t="n">
        <v>0</v>
      </c>
      <c r="AO2119" s="53" t="n">
        <v>0</v>
      </c>
      <c r="AP2119" s="52" t="n">
        <v>0</v>
      </c>
      <c r="AQ2119" s="53" t="n">
        <v>0</v>
      </c>
      <c r="AR2119" s="52" t="n">
        <v>0</v>
      </c>
      <c r="AS2119" s="51" t="n">
        <v>0</v>
      </c>
      <c r="AT2119" s="48" t="n">
        <v>0</v>
      </c>
      <c r="AU2119" s="49" t="n">
        <v>0</v>
      </c>
      <c r="AV2119" s="49" t="n">
        <v>0</v>
      </c>
      <c r="AW2119" s="50" t="n">
        <v>0</v>
      </c>
      <c r="AX2119" s="51" t="n">
        <v>0</v>
      </c>
      <c r="AY2119" s="52" t="n">
        <v>0</v>
      </c>
      <c r="AZ2119" s="52" t="n">
        <v>0</v>
      </c>
      <c r="BA2119" s="52" t="n">
        <v>0</v>
      </c>
      <c r="BB2119" s="53" t="n">
        <v>0</v>
      </c>
      <c r="BC2119" s="52" t="n">
        <v>0</v>
      </c>
      <c r="BD2119" s="53" t="n">
        <v>0</v>
      </c>
      <c r="BE2119" s="52" t="n">
        <v>0</v>
      </c>
      <c r="BF2119" s="51" t="n">
        <v>0</v>
      </c>
    </row>
    <row r="2120">
      <c r="A2120">
        <f>HYPERLINK("https://www.walmart.com/ip/360185924", "360185924")</f>
        <v/>
      </c>
      <c r="B2120" t="inlineStr">
        <is>
          <t>Tirrinia Wide Brim Sun Hat UPF 50 Foldable Bucket Summer Hat for Women Girls</t>
        </is>
      </c>
      <c r="C2120" t="inlineStr">
        <is>
          <t>1TRSHF065TAN-TBCB</t>
        </is>
      </c>
      <c r="D2120" t="inlineStr">
        <is>
          <t>Hats</t>
        </is>
      </c>
      <c r="E2120" t="inlineStr">
        <is>
          <t>Tirrinia</t>
        </is>
      </c>
      <c r="F2120" t="inlineStr">
        <is>
          <t>Batch 1 - TR</t>
        </is>
      </c>
      <c r="G2120" s="48" t="n">
        <v>0</v>
      </c>
      <c r="H2120" s="49" t="n">
        <v>0</v>
      </c>
      <c r="I2120" s="49" t="n">
        <v>0</v>
      </c>
      <c r="J2120" s="50" t="n">
        <v>0</v>
      </c>
      <c r="K2120" s="51" t="n">
        <v>0</v>
      </c>
      <c r="L2120" s="52" t="n">
        <v>0</v>
      </c>
      <c r="M2120" s="52" t="n">
        <v>0</v>
      </c>
      <c r="N2120" s="52" t="n">
        <v>0</v>
      </c>
      <c r="O2120" s="53" t="n">
        <v>0</v>
      </c>
      <c r="P2120" s="52" t="n">
        <v>0</v>
      </c>
      <c r="Q2120" s="53" t="n">
        <v>0</v>
      </c>
      <c r="R2120" s="52" t="n">
        <v>0</v>
      </c>
      <c r="S2120" s="51" t="n">
        <v>0</v>
      </c>
      <c r="T2120" s="48" t="n">
        <v>0</v>
      </c>
      <c r="U2120" s="49" t="n">
        <v>0</v>
      </c>
      <c r="V2120" s="49" t="n">
        <v>0</v>
      </c>
      <c r="W2120" s="50" t="n">
        <v>0</v>
      </c>
      <c r="X2120" s="51" t="n">
        <v>0</v>
      </c>
      <c r="Y2120" s="52" t="n">
        <v>0</v>
      </c>
      <c r="Z2120" s="52" t="n">
        <v>0</v>
      </c>
      <c r="AA2120" s="52" t="n">
        <v>0</v>
      </c>
      <c r="AB2120" s="53" t="n">
        <v>0</v>
      </c>
      <c r="AC2120" s="52" t="n">
        <v>0</v>
      </c>
      <c r="AD2120" s="53" t="n">
        <v>0</v>
      </c>
      <c r="AE2120" s="52" t="n">
        <v>0</v>
      </c>
      <c r="AF2120" s="51" t="n">
        <v>0</v>
      </c>
      <c r="AG2120" s="48" t="n">
        <v>0</v>
      </c>
      <c r="AH2120" s="49" t="n">
        <v>0</v>
      </c>
      <c r="AI2120" s="49" t="n">
        <v>0</v>
      </c>
      <c r="AJ2120" s="50" t="n">
        <v>0</v>
      </c>
      <c r="AK2120" s="51" t="n">
        <v>0</v>
      </c>
      <c r="AL2120" s="52" t="n">
        <v>0</v>
      </c>
      <c r="AM2120" s="52" t="n">
        <v>0</v>
      </c>
      <c r="AN2120" s="52" t="n">
        <v>0</v>
      </c>
      <c r="AO2120" s="53" t="n">
        <v>0</v>
      </c>
      <c r="AP2120" s="52" t="n">
        <v>0</v>
      </c>
      <c r="AQ2120" s="53" t="n">
        <v>0</v>
      </c>
      <c r="AR2120" s="52" t="n">
        <v>0</v>
      </c>
      <c r="AS2120" s="51" t="n">
        <v>0</v>
      </c>
      <c r="AT2120" s="48" t="n">
        <v>0</v>
      </c>
      <c r="AU2120" s="49" t="n">
        <v>0</v>
      </c>
      <c r="AV2120" s="49" t="n">
        <v>0</v>
      </c>
      <c r="AW2120" s="50" t="n">
        <v>0</v>
      </c>
      <c r="AX2120" s="51" t="n">
        <v>0</v>
      </c>
      <c r="AY2120" s="52" t="n">
        <v>0</v>
      </c>
      <c r="AZ2120" s="52" t="n">
        <v>0</v>
      </c>
      <c r="BA2120" s="52" t="n">
        <v>0</v>
      </c>
      <c r="BB2120" s="53" t="n">
        <v>0</v>
      </c>
      <c r="BC2120" s="52" t="n">
        <v>0</v>
      </c>
      <c r="BD2120" s="53" t="n">
        <v>0</v>
      </c>
      <c r="BE2120" s="52" t="n">
        <v>0</v>
      </c>
      <c r="BF2120" s="51" t="n">
        <v>0</v>
      </c>
    </row>
    <row r="2121">
      <c r="A2121">
        <f>HYPERLINK("https://www.walmart.com/ip/349093030", "349093030")</f>
        <v/>
      </c>
      <c r="B2121" t="inlineStr">
        <is>
          <t>Women's High Waist Yoga Pants Workout Running Capri Legging Inner Pocket</t>
        </is>
      </c>
      <c r="C2121" t="inlineStr">
        <is>
          <t>1TRYP102BK-XXL</t>
        </is>
      </c>
      <c r="D2121" t="inlineStr">
        <is>
          <t>Leggings</t>
        </is>
      </c>
      <c r="E2121" t="inlineStr">
        <is>
          <t>Tirrinia</t>
        </is>
      </c>
      <c r="F2121" t="inlineStr">
        <is>
          <t>Optimized</t>
        </is>
      </c>
      <c r="G2121" s="48" t="n">
        <v>0</v>
      </c>
      <c r="H2121" s="49" t="n">
        <v>0</v>
      </c>
      <c r="I2121" s="49" t="n">
        <v>0</v>
      </c>
      <c r="J2121" s="50" t="n">
        <v>0</v>
      </c>
      <c r="K2121" s="51" t="n">
        <v>0</v>
      </c>
      <c r="L2121" s="52" t="n">
        <v>0</v>
      </c>
      <c r="M2121" s="52" t="n">
        <v>0</v>
      </c>
      <c r="N2121" s="52" t="n">
        <v>0</v>
      </c>
      <c r="O2121" s="53" t="n">
        <v>0</v>
      </c>
      <c r="P2121" s="52" t="n">
        <v>0</v>
      </c>
      <c r="Q2121" s="53" t="n">
        <v>0</v>
      </c>
      <c r="R2121" s="52" t="n">
        <v>0</v>
      </c>
      <c r="S2121" s="51" t="n">
        <v>0</v>
      </c>
      <c r="T2121" s="48" t="n">
        <v>0</v>
      </c>
      <c r="U2121" s="49" t="n">
        <v>0</v>
      </c>
      <c r="V2121" s="49" t="n">
        <v>0</v>
      </c>
      <c r="W2121" s="50" t="n">
        <v>0</v>
      </c>
      <c r="X2121" s="51" t="n">
        <v>0</v>
      </c>
      <c r="Y2121" s="52" t="n">
        <v>0</v>
      </c>
      <c r="Z2121" s="52" t="n">
        <v>0</v>
      </c>
      <c r="AA2121" s="52" t="n">
        <v>0</v>
      </c>
      <c r="AB2121" s="53" t="n">
        <v>0</v>
      </c>
      <c r="AC2121" s="52" t="n">
        <v>0</v>
      </c>
      <c r="AD2121" s="53" t="n">
        <v>0</v>
      </c>
      <c r="AE2121" s="52" t="n">
        <v>0</v>
      </c>
      <c r="AF2121" s="51" t="n">
        <v>0</v>
      </c>
      <c r="AG2121" s="48" t="n">
        <v>0</v>
      </c>
      <c r="AH2121" s="49" t="n">
        <v>0</v>
      </c>
      <c r="AI2121" s="49" t="n">
        <v>0</v>
      </c>
      <c r="AJ2121" s="50" t="n">
        <v>0</v>
      </c>
      <c r="AK2121" s="51" t="n">
        <v>0</v>
      </c>
      <c r="AL2121" s="52" t="n">
        <v>0</v>
      </c>
      <c r="AM2121" s="52" t="n">
        <v>0</v>
      </c>
      <c r="AN2121" s="52" t="n">
        <v>0</v>
      </c>
      <c r="AO2121" s="53" t="n">
        <v>0</v>
      </c>
      <c r="AP2121" s="52" t="n">
        <v>0</v>
      </c>
      <c r="AQ2121" s="53" t="n">
        <v>0</v>
      </c>
      <c r="AR2121" s="52" t="n">
        <v>0</v>
      </c>
      <c r="AS2121" s="51" t="n">
        <v>0</v>
      </c>
      <c r="AT2121" s="48" t="n">
        <v>0</v>
      </c>
      <c r="AU2121" s="49" t="n">
        <v>0</v>
      </c>
      <c r="AV2121" s="49" t="n">
        <v>0</v>
      </c>
      <c r="AW2121" s="50" t="n">
        <v>0</v>
      </c>
      <c r="AX2121" s="51" t="n">
        <v>0</v>
      </c>
      <c r="AY2121" s="52" t="n">
        <v>0</v>
      </c>
      <c r="AZ2121" s="52" t="n">
        <v>0</v>
      </c>
      <c r="BA2121" s="52" t="n">
        <v>0</v>
      </c>
      <c r="BB2121" s="53" t="n">
        <v>0</v>
      </c>
      <c r="BC2121" s="52" t="n">
        <v>0</v>
      </c>
      <c r="BD2121" s="53" t="n">
        <v>0</v>
      </c>
      <c r="BE2121" s="52" t="n">
        <v>0</v>
      </c>
      <c r="BF2121" s="51" t="n">
        <v>0</v>
      </c>
    </row>
    <row r="2122">
      <c r="A2122">
        <f>HYPERLINK("https://www.walmart.com/ip/359767590", "359767590")</f>
        <v/>
      </c>
      <c r="B2122" t="inlineStr">
        <is>
          <t>Knit Beanie Hat for Women,  Faux Fuzzy Pom Pom Winter Ski Skullies Cap</t>
        </is>
      </c>
      <c r="C2122" t="inlineStr">
        <is>
          <t>1SLWH100KK</t>
        </is>
      </c>
      <c r="D2122" t="inlineStr">
        <is>
          <t>Hats</t>
        </is>
      </c>
      <c r="E2122" t="inlineStr">
        <is>
          <t>Solaris</t>
        </is>
      </c>
      <c r="F2122" t="inlineStr">
        <is>
          <t>Batch 1 - TR</t>
        </is>
      </c>
      <c r="G2122" s="48" t="n">
        <v>0</v>
      </c>
      <c r="H2122" s="49" t="n">
        <v>0</v>
      </c>
      <c r="I2122" s="49" t="n">
        <v>0</v>
      </c>
      <c r="J2122" s="50" t="n">
        <v>0</v>
      </c>
      <c r="K2122" s="51" t="n">
        <v>0</v>
      </c>
      <c r="L2122" s="52" t="n">
        <v>0</v>
      </c>
      <c r="M2122" s="52" t="n">
        <v>0</v>
      </c>
      <c r="N2122" s="52" t="n">
        <v>0</v>
      </c>
      <c r="O2122" s="53" t="n">
        <v>0</v>
      </c>
      <c r="P2122" s="52" t="n">
        <v>0</v>
      </c>
      <c r="Q2122" s="53" t="n">
        <v>0</v>
      </c>
      <c r="R2122" s="52" t="n">
        <v>0</v>
      </c>
      <c r="S2122" s="51" t="n">
        <v>0</v>
      </c>
      <c r="T2122" s="48" t="n">
        <v>0</v>
      </c>
      <c r="U2122" s="49" t="n">
        <v>0</v>
      </c>
      <c r="V2122" s="49" t="n">
        <v>0</v>
      </c>
      <c r="W2122" s="50" t="n">
        <v>0</v>
      </c>
      <c r="X2122" s="51" t="n">
        <v>0</v>
      </c>
      <c r="Y2122" s="52" t="n">
        <v>0</v>
      </c>
      <c r="Z2122" s="52" t="n">
        <v>0</v>
      </c>
      <c r="AA2122" s="52" t="n">
        <v>0</v>
      </c>
      <c r="AB2122" s="53" t="n">
        <v>0</v>
      </c>
      <c r="AC2122" s="52" t="n">
        <v>0</v>
      </c>
      <c r="AD2122" s="53" t="n">
        <v>0</v>
      </c>
      <c r="AE2122" s="52" t="n">
        <v>0</v>
      </c>
      <c r="AF2122" s="51" t="n">
        <v>0</v>
      </c>
      <c r="AG2122" s="48" t="n">
        <v>0</v>
      </c>
      <c r="AH2122" s="49" t="n">
        <v>0</v>
      </c>
      <c r="AI2122" s="49" t="n">
        <v>0</v>
      </c>
      <c r="AJ2122" s="50" t="n">
        <v>0</v>
      </c>
      <c r="AK2122" s="51" t="n">
        <v>0</v>
      </c>
      <c r="AL2122" s="52" t="n">
        <v>0</v>
      </c>
      <c r="AM2122" s="52" t="n">
        <v>0</v>
      </c>
      <c r="AN2122" s="52" t="n">
        <v>0</v>
      </c>
      <c r="AO2122" s="53" t="n">
        <v>0</v>
      </c>
      <c r="AP2122" s="52" t="n">
        <v>0</v>
      </c>
      <c r="AQ2122" s="53" t="n">
        <v>0</v>
      </c>
      <c r="AR2122" s="52" t="n">
        <v>0</v>
      </c>
      <c r="AS2122" s="51" t="n">
        <v>0</v>
      </c>
      <c r="AT2122" s="48" t="n">
        <v>0</v>
      </c>
      <c r="AU2122" s="49" t="n">
        <v>0</v>
      </c>
      <c r="AV2122" s="49" t="n">
        <v>0</v>
      </c>
      <c r="AW2122" s="50" t="n">
        <v>0</v>
      </c>
      <c r="AX2122" s="51" t="n">
        <v>0</v>
      </c>
      <c r="AY2122" s="52" t="n">
        <v>0</v>
      </c>
      <c r="AZ2122" s="52" t="n">
        <v>0</v>
      </c>
      <c r="BA2122" s="52" t="n">
        <v>0</v>
      </c>
      <c r="BB2122" s="53" t="n">
        <v>0</v>
      </c>
      <c r="BC2122" s="52" t="n">
        <v>0</v>
      </c>
      <c r="BD2122" s="53" t="n">
        <v>0</v>
      </c>
      <c r="BE2122" s="52" t="n">
        <v>0</v>
      </c>
      <c r="BF2122" s="51" t="n">
        <v>0</v>
      </c>
    </row>
    <row r="2123">
      <c r="A2123">
        <f>HYPERLINK("https://www.walmart.com/ip/350322988", "350322988")</f>
        <v/>
      </c>
      <c r="B2123" t="inlineStr">
        <is>
          <t>Jennis Halloween, Masquerades, Carnivals LED Necktie Light Up Tie LED Glow Dark,Upgrade USB Rechargeable Luminous Novelty Necktie Unisex LED Tie for Party Costume Men Women Boys</t>
        </is>
      </c>
      <c r="C2123" t="inlineStr">
        <is>
          <t>LEDTIE02-DBL</t>
        </is>
      </c>
      <c r="D2123" t="inlineStr">
        <is>
          <t>Neckties</t>
        </is>
      </c>
      <c r="E2123" t="inlineStr">
        <is>
          <t>JenniWears</t>
        </is>
      </c>
      <c r="F2123" t="inlineStr">
        <is>
          <t>Optimized,Halloween</t>
        </is>
      </c>
      <c r="G2123" s="48" t="n">
        <v>0</v>
      </c>
      <c r="H2123" s="49" t="n">
        <v>0</v>
      </c>
      <c r="I2123" s="49" t="n">
        <v>0</v>
      </c>
      <c r="J2123" s="50" t="n">
        <v>0</v>
      </c>
      <c r="K2123" s="51" t="n">
        <v>0</v>
      </c>
      <c r="L2123" s="52" t="n">
        <v>0</v>
      </c>
      <c r="M2123" s="52" t="n">
        <v>0</v>
      </c>
      <c r="N2123" s="52" t="n">
        <v>0</v>
      </c>
      <c r="O2123" s="53" t="n">
        <v>0</v>
      </c>
      <c r="P2123" s="52" t="n">
        <v>0</v>
      </c>
      <c r="Q2123" s="53" t="n">
        <v>0</v>
      </c>
      <c r="R2123" s="52" t="n">
        <v>0</v>
      </c>
      <c r="S2123" s="51" t="n">
        <v>0</v>
      </c>
      <c r="T2123" s="48" t="n">
        <v>0</v>
      </c>
      <c r="U2123" s="49" t="n">
        <v>0</v>
      </c>
      <c r="V2123" s="49" t="n">
        <v>0</v>
      </c>
      <c r="W2123" s="50" t="n">
        <v>0</v>
      </c>
      <c r="X2123" s="51" t="n">
        <v>0</v>
      </c>
      <c r="Y2123" s="52" t="n">
        <v>0</v>
      </c>
      <c r="Z2123" s="52" t="n">
        <v>0</v>
      </c>
      <c r="AA2123" s="52" t="n">
        <v>0</v>
      </c>
      <c r="AB2123" s="53" t="n">
        <v>0</v>
      </c>
      <c r="AC2123" s="52" t="n">
        <v>0</v>
      </c>
      <c r="AD2123" s="53" t="n">
        <v>0</v>
      </c>
      <c r="AE2123" s="52" t="n">
        <v>0</v>
      </c>
      <c r="AF2123" s="51" t="n">
        <v>0</v>
      </c>
      <c r="AG2123" s="48" t="n">
        <v>0</v>
      </c>
      <c r="AH2123" s="49" t="n">
        <v>0</v>
      </c>
      <c r="AI2123" s="49" t="n">
        <v>0</v>
      </c>
      <c r="AJ2123" s="50" t="n">
        <v>0</v>
      </c>
      <c r="AK2123" s="51" t="n">
        <v>0</v>
      </c>
      <c r="AL2123" s="52" t="n">
        <v>0</v>
      </c>
      <c r="AM2123" s="52" t="n">
        <v>0</v>
      </c>
      <c r="AN2123" s="52" t="n">
        <v>0</v>
      </c>
      <c r="AO2123" s="53" t="n">
        <v>0</v>
      </c>
      <c r="AP2123" s="52" t="n">
        <v>0</v>
      </c>
      <c r="AQ2123" s="53" t="n">
        <v>0</v>
      </c>
      <c r="AR2123" s="52" t="n">
        <v>0</v>
      </c>
      <c r="AS2123" s="51" t="n">
        <v>0</v>
      </c>
      <c r="AT2123" s="48" t="n">
        <v>0</v>
      </c>
      <c r="AU2123" s="49" t="n">
        <v>0</v>
      </c>
      <c r="AV2123" s="49" t="n">
        <v>0</v>
      </c>
      <c r="AW2123" s="50" t="n">
        <v>0</v>
      </c>
      <c r="AX2123" s="51" t="n">
        <v>0</v>
      </c>
      <c r="AY2123" s="52" t="n">
        <v>0</v>
      </c>
      <c r="AZ2123" s="52" t="n">
        <v>0</v>
      </c>
      <c r="BA2123" s="52" t="n">
        <v>0</v>
      </c>
      <c r="BB2123" s="53" t="n">
        <v>0</v>
      </c>
      <c r="BC2123" s="52" t="n">
        <v>0</v>
      </c>
      <c r="BD2123" s="53" t="n">
        <v>0</v>
      </c>
      <c r="BE2123" s="52" t="n">
        <v>0</v>
      </c>
      <c r="BF2123" s="51" t="n">
        <v>0</v>
      </c>
    </row>
    <row r="2124">
      <c r="A2124">
        <f>HYPERLINK("https://www.walmart.com/ip/350852795", "350852795")</f>
        <v/>
      </c>
      <c r="B2124" t="inlineStr">
        <is>
          <t>Catalonia Hooded Blanket Poncho | Wearable Blanket Wrap with Hand Pockets | Comfy Sherpa Fleece Throw Cape for Children and Adults, Christmas Thanksgiving Mother Gift, Red Checker</t>
        </is>
      </c>
      <c r="C2124" t="inlineStr">
        <is>
          <t>1CTBC100P2RD</t>
        </is>
      </c>
      <c r="D2124" t="inlineStr">
        <is>
          <t>Throws</t>
        </is>
      </c>
      <c r="E2124" t="inlineStr">
        <is>
          <t>Catalonia</t>
        </is>
      </c>
      <c r="F2124" t="inlineStr">
        <is>
          <t>Batch 1 - TR</t>
        </is>
      </c>
      <c r="G2124" s="48" t="n">
        <v>0</v>
      </c>
      <c r="H2124" s="49" t="n">
        <v>0</v>
      </c>
      <c r="I2124" s="49" t="n">
        <v>0</v>
      </c>
      <c r="J2124" s="50" t="n">
        <v>0</v>
      </c>
      <c r="K2124" s="51" t="n">
        <v>0</v>
      </c>
      <c r="L2124" s="52" t="n">
        <v>0</v>
      </c>
      <c r="M2124" s="52" t="n">
        <v>0</v>
      </c>
      <c r="N2124" s="52" t="n">
        <v>0</v>
      </c>
      <c r="O2124" s="53" t="n">
        <v>0</v>
      </c>
      <c r="P2124" s="52" t="n">
        <v>0</v>
      </c>
      <c r="Q2124" s="53" t="n">
        <v>0</v>
      </c>
      <c r="R2124" s="52" t="n">
        <v>0</v>
      </c>
      <c r="S2124" s="51" t="n">
        <v>0</v>
      </c>
      <c r="T2124" s="48" t="n">
        <v>0</v>
      </c>
      <c r="U2124" s="49" t="n">
        <v>0</v>
      </c>
      <c r="V2124" s="49" t="n">
        <v>0</v>
      </c>
      <c r="W2124" s="50" t="n">
        <v>0</v>
      </c>
      <c r="X2124" s="51" t="n">
        <v>0</v>
      </c>
      <c r="Y2124" s="52" t="n">
        <v>0</v>
      </c>
      <c r="Z2124" s="52" t="n">
        <v>0</v>
      </c>
      <c r="AA2124" s="52" t="n">
        <v>0</v>
      </c>
      <c r="AB2124" s="53" t="n">
        <v>0</v>
      </c>
      <c r="AC2124" s="52" t="n">
        <v>0</v>
      </c>
      <c r="AD2124" s="53" t="n">
        <v>0</v>
      </c>
      <c r="AE2124" s="52" t="n">
        <v>0</v>
      </c>
      <c r="AF2124" s="51" t="n">
        <v>0</v>
      </c>
      <c r="AG2124" s="48" t="n">
        <v>0</v>
      </c>
      <c r="AH2124" s="49" t="n">
        <v>0</v>
      </c>
      <c r="AI2124" s="49" t="n">
        <v>0</v>
      </c>
      <c r="AJ2124" s="50" t="n">
        <v>0</v>
      </c>
      <c r="AK2124" s="51" t="n">
        <v>0</v>
      </c>
      <c r="AL2124" s="52" t="n">
        <v>0</v>
      </c>
      <c r="AM2124" s="52" t="n">
        <v>0</v>
      </c>
      <c r="AN2124" s="52" t="n">
        <v>0</v>
      </c>
      <c r="AO2124" s="53" t="n">
        <v>0</v>
      </c>
      <c r="AP2124" s="52" t="n">
        <v>0</v>
      </c>
      <c r="AQ2124" s="53" t="n">
        <v>0</v>
      </c>
      <c r="AR2124" s="52" t="n">
        <v>0</v>
      </c>
      <c r="AS2124" s="51" t="n">
        <v>0</v>
      </c>
      <c r="AT2124" s="48" t="n">
        <v>0</v>
      </c>
      <c r="AU2124" s="49" t="n">
        <v>0</v>
      </c>
      <c r="AV2124" s="49" t="n">
        <v>0</v>
      </c>
      <c r="AW2124" s="50" t="n">
        <v>0</v>
      </c>
      <c r="AX2124" s="51" t="n">
        <v>0</v>
      </c>
      <c r="AY2124" s="52" t="n">
        <v>0</v>
      </c>
      <c r="AZ2124" s="52" t="n">
        <v>0</v>
      </c>
      <c r="BA2124" s="52" t="n">
        <v>0</v>
      </c>
      <c r="BB2124" s="53" t="n">
        <v>0</v>
      </c>
      <c r="BC2124" s="52" t="n">
        <v>0</v>
      </c>
      <c r="BD2124" s="53" t="n">
        <v>0</v>
      </c>
      <c r="BE2124" s="52" t="n">
        <v>0</v>
      </c>
      <c r="BF2124" s="51" t="n">
        <v>0</v>
      </c>
    </row>
    <row r="2125">
      <c r="A2125">
        <f>HYPERLINK("https://www.walmart.com/ip/351924019", "351924019")</f>
        <v/>
      </c>
      <c r="B2125" t="inlineStr">
        <is>
          <t>Flyingstar Lunch Bag for Women Men, Insulated Lunch Tote for Working/School/Picnic Fashionable Cooler Bag</t>
        </is>
      </c>
      <c r="C2125" t="inlineStr">
        <is>
          <t>1WMLB704WN</t>
        </is>
      </c>
      <c r="D2125" t="inlineStr">
        <is>
          <t>Reusable Lunch Bags &amp; Boxes</t>
        </is>
      </c>
      <c r="E2125" t="inlineStr">
        <is>
          <t>Flyingstar</t>
        </is>
      </c>
      <c r="F2125" t="inlineStr">
        <is>
          <t>Q2-Target,Lunch Bag</t>
        </is>
      </c>
      <c r="G2125" s="48" t="n">
        <v>0</v>
      </c>
      <c r="H2125" s="49" t="n">
        <v>0</v>
      </c>
      <c r="I2125" s="49" t="n">
        <v>4</v>
      </c>
      <c r="J2125" s="50" t="n">
        <v>0</v>
      </c>
      <c r="K2125" s="51" t="n">
        <v>0</v>
      </c>
      <c r="L2125" s="52" t="n">
        <v>0</v>
      </c>
      <c r="M2125" s="52" t="n">
        <v>0</v>
      </c>
      <c r="N2125" s="52" t="n">
        <v>0</v>
      </c>
      <c r="O2125" s="53" t="n">
        <v>0</v>
      </c>
      <c r="P2125" s="52" t="n">
        <v>0</v>
      </c>
      <c r="Q2125" s="53" t="n">
        <v>0</v>
      </c>
      <c r="R2125" s="52" t="n">
        <v>0</v>
      </c>
      <c r="S2125" s="51" t="n">
        <v>0</v>
      </c>
      <c r="T2125" s="48" t="n">
        <v>7.98</v>
      </c>
      <c r="U2125" s="49" t="n">
        <v>1</v>
      </c>
      <c r="V2125" s="49" t="n">
        <v>6</v>
      </c>
      <c r="W2125" s="50" t="n">
        <v>0.1666666666666667</v>
      </c>
      <c r="X2125" s="51" t="n">
        <v>0</v>
      </c>
      <c r="Y2125" s="52" t="n">
        <v>0</v>
      </c>
      <c r="Z2125" s="52" t="n">
        <v>0</v>
      </c>
      <c r="AA2125" s="52" t="n">
        <v>0</v>
      </c>
      <c r="AB2125" s="53" t="n">
        <v>0</v>
      </c>
      <c r="AC2125" s="52" t="n">
        <v>0</v>
      </c>
      <c r="AD2125" s="53" t="n">
        <v>0</v>
      </c>
      <c r="AE2125" s="52" t="n">
        <v>7.98</v>
      </c>
      <c r="AF2125" s="51" t="n">
        <v>0</v>
      </c>
      <c r="AG2125" s="48" t="n">
        <v>-4.19</v>
      </c>
      <c r="AH2125" s="49" t="n">
        <v>-1</v>
      </c>
      <c r="AI2125" s="49" t="n">
        <v>7</v>
      </c>
      <c r="AJ2125" s="50" t="n">
        <v>-0.1428571428571428</v>
      </c>
      <c r="AK2125" s="51" t="n">
        <v>0</v>
      </c>
      <c r="AL2125" s="52" t="n">
        <v>0</v>
      </c>
      <c r="AM2125" s="52" t="n">
        <v>0</v>
      </c>
      <c r="AN2125" s="52" t="n">
        <v>0</v>
      </c>
      <c r="AO2125" s="53" t="n">
        <v>0</v>
      </c>
      <c r="AP2125" s="52" t="n">
        <v>0</v>
      </c>
      <c r="AQ2125" s="53" t="n">
        <v>0</v>
      </c>
      <c r="AR2125" s="52" t="n">
        <v>0</v>
      </c>
      <c r="AS2125" s="51" t="n">
        <v>0</v>
      </c>
      <c r="AT2125" s="48" t="n">
        <v>7.98</v>
      </c>
      <c r="AU2125" s="49" t="n">
        <v>1</v>
      </c>
      <c r="AV2125" s="49" t="n">
        <v>8</v>
      </c>
      <c r="AW2125" s="50" t="n">
        <v>0.125</v>
      </c>
      <c r="AX2125" s="51" t="n">
        <v>0</v>
      </c>
      <c r="AY2125" s="52" t="n">
        <v>0</v>
      </c>
      <c r="AZ2125" s="52" t="n">
        <v>0</v>
      </c>
      <c r="BA2125" s="52" t="n">
        <v>0</v>
      </c>
      <c r="BB2125" s="53" t="n">
        <v>0</v>
      </c>
      <c r="BC2125" s="52" t="n">
        <v>0</v>
      </c>
      <c r="BD2125" s="53" t="n">
        <v>0</v>
      </c>
      <c r="BE2125" s="52" t="n">
        <v>7.98</v>
      </c>
      <c r="BF2125" s="51" t="n">
        <v>0</v>
      </c>
    </row>
    <row r="2126">
      <c r="A2126">
        <f>HYPERLINK("https://www.walmart.com/ip/352073228", "352073228")</f>
        <v/>
      </c>
      <c r="B2126" t="inlineStr">
        <is>
          <t>Catalonia Sherpa Throw Blanket, Super Soft Warm Fuzzy Comfy Micro Plush Fleece Blanket for All Seasons, Reversible, Match Color, 50" x 60"</t>
        </is>
      </c>
      <c r="C2126" t="inlineStr">
        <is>
          <t>1CTBF301DG</t>
        </is>
      </c>
      <c r="D2126" t="inlineStr">
        <is>
          <t>Throws</t>
        </is>
      </c>
      <c r="E2126" t="inlineStr">
        <is>
          <t>Catalonia</t>
        </is>
      </c>
      <c r="F2126" t="inlineStr">
        <is>
          <t>WFS,Valentine,Coupon_Discount,WFS Item,Fleece Blankets</t>
        </is>
      </c>
      <c r="G2126" s="48" t="n">
        <v>0</v>
      </c>
      <c r="H2126" s="49" t="n">
        <v>0</v>
      </c>
      <c r="I2126" s="49" t="n">
        <v>0</v>
      </c>
      <c r="J2126" s="50" t="n">
        <v>0</v>
      </c>
      <c r="K2126" s="51" t="n">
        <v>0</v>
      </c>
      <c r="L2126" s="52" t="n">
        <v>0</v>
      </c>
      <c r="M2126" s="52" t="n">
        <v>0</v>
      </c>
      <c r="N2126" s="52" t="n">
        <v>0</v>
      </c>
      <c r="O2126" s="53" t="n">
        <v>0</v>
      </c>
      <c r="P2126" s="52" t="n">
        <v>0</v>
      </c>
      <c r="Q2126" s="53" t="n">
        <v>0</v>
      </c>
      <c r="R2126" s="52" t="n">
        <v>0</v>
      </c>
      <c r="S2126" s="51" t="n">
        <v>0</v>
      </c>
      <c r="T2126" s="48" t="n">
        <v>0</v>
      </c>
      <c r="U2126" s="49" t="n">
        <v>0</v>
      </c>
      <c r="V2126" s="49" t="n">
        <v>0</v>
      </c>
      <c r="W2126" s="50" t="n">
        <v>0</v>
      </c>
      <c r="X2126" s="51" t="n">
        <v>0</v>
      </c>
      <c r="Y2126" s="52" t="n">
        <v>0</v>
      </c>
      <c r="Z2126" s="52" t="n">
        <v>0</v>
      </c>
      <c r="AA2126" s="52" t="n">
        <v>0</v>
      </c>
      <c r="AB2126" s="53" t="n">
        <v>0</v>
      </c>
      <c r="AC2126" s="52" t="n">
        <v>0</v>
      </c>
      <c r="AD2126" s="53" t="n">
        <v>0</v>
      </c>
      <c r="AE2126" s="52" t="n">
        <v>0</v>
      </c>
      <c r="AF2126" s="51" t="n">
        <v>0</v>
      </c>
      <c r="AG2126" s="48" t="n">
        <v>0</v>
      </c>
      <c r="AH2126" s="49" t="n">
        <v>0</v>
      </c>
      <c r="AI2126" s="49" t="n">
        <v>0</v>
      </c>
      <c r="AJ2126" s="50" t="n">
        <v>0</v>
      </c>
      <c r="AK2126" s="51" t="n">
        <v>0</v>
      </c>
      <c r="AL2126" s="52" t="n">
        <v>0</v>
      </c>
      <c r="AM2126" s="52" t="n">
        <v>0</v>
      </c>
      <c r="AN2126" s="52" t="n">
        <v>0</v>
      </c>
      <c r="AO2126" s="53" t="n">
        <v>0</v>
      </c>
      <c r="AP2126" s="52" t="n">
        <v>0</v>
      </c>
      <c r="AQ2126" s="53" t="n">
        <v>0</v>
      </c>
      <c r="AR2126" s="52" t="n">
        <v>0</v>
      </c>
      <c r="AS2126" s="51" t="n">
        <v>0</v>
      </c>
      <c r="AT2126" s="48" t="n">
        <v>0</v>
      </c>
      <c r="AU2126" s="49" t="n">
        <v>0</v>
      </c>
      <c r="AV2126" s="49" t="n">
        <v>0</v>
      </c>
      <c r="AW2126" s="50" t="n">
        <v>0</v>
      </c>
      <c r="AX2126" s="51" t="n">
        <v>0</v>
      </c>
      <c r="AY2126" s="52" t="n">
        <v>0</v>
      </c>
      <c r="AZ2126" s="52" t="n">
        <v>0</v>
      </c>
      <c r="BA2126" s="52" t="n">
        <v>0</v>
      </c>
      <c r="BB2126" s="53" t="n">
        <v>0</v>
      </c>
      <c r="BC2126" s="52" t="n">
        <v>0</v>
      </c>
      <c r="BD2126" s="53" t="n">
        <v>0</v>
      </c>
      <c r="BE2126" s="52" t="n">
        <v>0</v>
      </c>
      <c r="BF2126" s="51" t="n">
        <v>0</v>
      </c>
    </row>
    <row r="2127">
      <c r="A2127">
        <f>HYPERLINK("https://www.walmart.com/ip/353232887", "353232887")</f>
        <v/>
      </c>
      <c r="B2127" t="inlineStr">
        <is>
          <t>Catalonia Sherpa Fleece Throw Blanket, Super Soft Mink Plush Couch Blanket, TV Bed Fuzzy Blanket, Fluffy Comfy Warm Heavy Throws, Comfort Caring Gift, 50x60 inches, Stella</t>
        </is>
      </c>
      <c r="C2127" t="inlineStr">
        <is>
          <t>1CTBF300STL</t>
        </is>
      </c>
      <c r="D2127" t="inlineStr">
        <is>
          <t>Throws</t>
        </is>
      </c>
      <c r="E2127" t="inlineStr">
        <is>
          <t>Catalonia</t>
        </is>
      </c>
      <c r="F2127" t="inlineStr">
        <is>
          <t>WFS,cost-added,WFS Item</t>
        </is>
      </c>
      <c r="G2127" s="48" t="n">
        <v>0</v>
      </c>
      <c r="H2127" s="49" t="n">
        <v>0</v>
      </c>
      <c r="I2127" s="49" t="n">
        <v>0</v>
      </c>
      <c r="J2127" s="50" t="n">
        <v>0</v>
      </c>
      <c r="K2127" s="51" t="n">
        <v>0</v>
      </c>
      <c r="L2127" s="52" t="n">
        <v>0</v>
      </c>
      <c r="M2127" s="52" t="n">
        <v>0</v>
      </c>
      <c r="N2127" s="52" t="n">
        <v>0</v>
      </c>
      <c r="O2127" s="53" t="n">
        <v>0</v>
      </c>
      <c r="P2127" s="52" t="n">
        <v>0</v>
      </c>
      <c r="Q2127" s="53" t="n">
        <v>0</v>
      </c>
      <c r="R2127" s="52" t="n">
        <v>0</v>
      </c>
      <c r="S2127" s="51" t="n">
        <v>0</v>
      </c>
      <c r="T2127" s="48" t="n">
        <v>0</v>
      </c>
      <c r="U2127" s="49" t="n">
        <v>0</v>
      </c>
      <c r="V2127" s="49" t="n">
        <v>0</v>
      </c>
      <c r="W2127" s="50" t="n">
        <v>0</v>
      </c>
      <c r="X2127" s="51" t="n">
        <v>0</v>
      </c>
      <c r="Y2127" s="52" t="n">
        <v>0</v>
      </c>
      <c r="Z2127" s="52" t="n">
        <v>0</v>
      </c>
      <c r="AA2127" s="52" t="n">
        <v>0</v>
      </c>
      <c r="AB2127" s="53" t="n">
        <v>0</v>
      </c>
      <c r="AC2127" s="52" t="n">
        <v>0</v>
      </c>
      <c r="AD2127" s="53" t="n">
        <v>0</v>
      </c>
      <c r="AE2127" s="52" t="n">
        <v>0</v>
      </c>
      <c r="AF2127" s="51" t="n">
        <v>0</v>
      </c>
      <c r="AG2127" s="48" t="n">
        <v>0</v>
      </c>
      <c r="AH2127" s="49" t="n">
        <v>0</v>
      </c>
      <c r="AI2127" s="49" t="n">
        <v>0</v>
      </c>
      <c r="AJ2127" s="50" t="n">
        <v>0</v>
      </c>
      <c r="AK2127" s="51" t="n">
        <v>0</v>
      </c>
      <c r="AL2127" s="52" t="n">
        <v>0</v>
      </c>
      <c r="AM2127" s="52" t="n">
        <v>0</v>
      </c>
      <c r="AN2127" s="52" t="n">
        <v>0</v>
      </c>
      <c r="AO2127" s="53" t="n">
        <v>0</v>
      </c>
      <c r="AP2127" s="52" t="n">
        <v>0</v>
      </c>
      <c r="AQ2127" s="53" t="n">
        <v>0</v>
      </c>
      <c r="AR2127" s="52" t="n">
        <v>0</v>
      </c>
      <c r="AS2127" s="51" t="n">
        <v>0</v>
      </c>
      <c r="AT2127" s="48" t="n">
        <v>0</v>
      </c>
      <c r="AU2127" s="49" t="n">
        <v>0</v>
      </c>
      <c r="AV2127" s="49" t="n">
        <v>0</v>
      </c>
      <c r="AW2127" s="50" t="n">
        <v>0</v>
      </c>
      <c r="AX2127" s="51" t="n">
        <v>0</v>
      </c>
      <c r="AY2127" s="52" t="n">
        <v>0</v>
      </c>
      <c r="AZ2127" s="52" t="n">
        <v>0</v>
      </c>
      <c r="BA2127" s="52" t="n">
        <v>0</v>
      </c>
      <c r="BB2127" s="53" t="n">
        <v>0</v>
      </c>
      <c r="BC2127" s="52" t="n">
        <v>0</v>
      </c>
      <c r="BD2127" s="53" t="n">
        <v>0</v>
      </c>
      <c r="BE2127" s="52" t="n">
        <v>0</v>
      </c>
      <c r="BF2127" s="51" t="n">
        <v>0</v>
      </c>
    </row>
    <row r="2128">
      <c r="A2128">
        <f>HYPERLINK("https://www.walmart.com/ip/354587675", "354587675")</f>
        <v/>
      </c>
      <c r="B2128" t="inlineStr">
        <is>
          <t>Tirrinia Sherpa Wearable Super Soft Comfy Plush Fleece Blanket Poncho, 55'' x 80'', Purple</t>
        </is>
      </c>
      <c r="C2128" t="inlineStr">
        <is>
          <t>1TRBP110PP-TBCB</t>
        </is>
      </c>
      <c r="D2128" t="inlineStr">
        <is>
          <t>Throws</t>
        </is>
      </c>
      <c r="E2128" t="inlineStr">
        <is>
          <t>Tirrinia</t>
        </is>
      </c>
      <c r="F2128" t="inlineStr">
        <is>
          <t>Optimized</t>
        </is>
      </c>
      <c r="G2128" s="48" t="n">
        <v>0</v>
      </c>
      <c r="H2128" s="49" t="n">
        <v>0</v>
      </c>
      <c r="I2128" s="49" t="n">
        <v>0</v>
      </c>
      <c r="J2128" s="50" t="n">
        <v>0</v>
      </c>
      <c r="K2128" s="51" t="n">
        <v>0</v>
      </c>
      <c r="L2128" s="52" t="n">
        <v>0</v>
      </c>
      <c r="M2128" s="52" t="n">
        <v>0</v>
      </c>
      <c r="N2128" s="52" t="n">
        <v>0</v>
      </c>
      <c r="O2128" s="53" t="n">
        <v>0</v>
      </c>
      <c r="P2128" s="52" t="n">
        <v>0</v>
      </c>
      <c r="Q2128" s="53" t="n">
        <v>0</v>
      </c>
      <c r="R2128" s="52" t="n">
        <v>0</v>
      </c>
      <c r="S2128" s="51" t="n">
        <v>0</v>
      </c>
      <c r="T2128" s="48" t="n">
        <v>0</v>
      </c>
      <c r="U2128" s="49" t="n">
        <v>0</v>
      </c>
      <c r="V2128" s="49" t="n">
        <v>0</v>
      </c>
      <c r="W2128" s="50" t="n">
        <v>0</v>
      </c>
      <c r="X2128" s="51" t="n">
        <v>0</v>
      </c>
      <c r="Y2128" s="52" t="n">
        <v>0</v>
      </c>
      <c r="Z2128" s="52" t="n">
        <v>0</v>
      </c>
      <c r="AA2128" s="52" t="n">
        <v>0</v>
      </c>
      <c r="AB2128" s="53" t="n">
        <v>0</v>
      </c>
      <c r="AC2128" s="52" t="n">
        <v>0</v>
      </c>
      <c r="AD2128" s="53" t="n">
        <v>0</v>
      </c>
      <c r="AE2128" s="52" t="n">
        <v>0</v>
      </c>
      <c r="AF2128" s="51" t="n">
        <v>0</v>
      </c>
      <c r="AG2128" s="48" t="n">
        <v>0</v>
      </c>
      <c r="AH2128" s="49" t="n">
        <v>0</v>
      </c>
      <c r="AI2128" s="49" t="n">
        <v>0</v>
      </c>
      <c r="AJ2128" s="50" t="n">
        <v>0</v>
      </c>
      <c r="AK2128" s="51" t="n">
        <v>0</v>
      </c>
      <c r="AL2128" s="52" t="n">
        <v>0</v>
      </c>
      <c r="AM2128" s="52" t="n">
        <v>0</v>
      </c>
      <c r="AN2128" s="52" t="n">
        <v>0</v>
      </c>
      <c r="AO2128" s="53" t="n">
        <v>0</v>
      </c>
      <c r="AP2128" s="52" t="n">
        <v>0</v>
      </c>
      <c r="AQ2128" s="53" t="n">
        <v>0</v>
      </c>
      <c r="AR2128" s="52" t="n">
        <v>0</v>
      </c>
      <c r="AS2128" s="51" t="n">
        <v>0</v>
      </c>
      <c r="AT2128" s="48" t="n">
        <v>0</v>
      </c>
      <c r="AU2128" s="49" t="n">
        <v>0</v>
      </c>
      <c r="AV2128" s="49" t="n">
        <v>0</v>
      </c>
      <c r="AW2128" s="50" t="n">
        <v>0</v>
      </c>
      <c r="AX2128" s="51" t="n">
        <v>0</v>
      </c>
      <c r="AY2128" s="52" t="n">
        <v>0</v>
      </c>
      <c r="AZ2128" s="52" t="n">
        <v>0</v>
      </c>
      <c r="BA2128" s="52" t="n">
        <v>0</v>
      </c>
      <c r="BB2128" s="53" t="n">
        <v>0</v>
      </c>
      <c r="BC2128" s="52" t="n">
        <v>0</v>
      </c>
      <c r="BD2128" s="53" t="n">
        <v>0</v>
      </c>
      <c r="BE2128" s="52" t="n">
        <v>0</v>
      </c>
      <c r="BF2128" s="51" t="n">
        <v>0</v>
      </c>
    </row>
    <row r="2129">
      <c r="A2129">
        <f>HYPERLINK("https://www.walmart.com/ip/354686212", "354686212")</f>
        <v/>
      </c>
      <c r="B2129" t="inlineStr">
        <is>
          <t>Sherpa Wearable Blanket with Sleeves &amp; Foot Pockets for Adult Women Men, Comfy Snuggle Wrap Sleeved Throw Blanket Robe, Gift Idea, Grey</t>
        </is>
      </c>
      <c r="C2129" t="inlineStr">
        <is>
          <t>1CTSN310GY</t>
        </is>
      </c>
      <c r="D2129" t="inlineStr">
        <is>
          <t>Throws</t>
        </is>
      </c>
      <c r="E2129" t="inlineStr">
        <is>
          <t>Catalonia</t>
        </is>
      </c>
      <c r="F2129" t="inlineStr">
        <is>
          <t>Q2-Target,Optimized,WFS,Coupon_Discount,WFS Item</t>
        </is>
      </c>
      <c r="G2129" s="48" t="n">
        <v>0</v>
      </c>
      <c r="H2129" s="49" t="n">
        <v>0</v>
      </c>
      <c r="I2129" s="49" t="n">
        <v>0</v>
      </c>
      <c r="J2129" s="50" t="n">
        <v>0</v>
      </c>
      <c r="K2129" s="51" t="n">
        <v>0</v>
      </c>
      <c r="L2129" s="52" t="n">
        <v>0</v>
      </c>
      <c r="M2129" s="52" t="n">
        <v>0</v>
      </c>
      <c r="N2129" s="52" t="n">
        <v>0</v>
      </c>
      <c r="O2129" s="53" t="n">
        <v>0</v>
      </c>
      <c r="P2129" s="52" t="n">
        <v>0</v>
      </c>
      <c r="Q2129" s="53" t="n">
        <v>0</v>
      </c>
      <c r="R2129" s="52" t="n">
        <v>0</v>
      </c>
      <c r="S2129" s="51" t="n">
        <v>0</v>
      </c>
      <c r="T2129" s="48" t="n">
        <v>0</v>
      </c>
      <c r="U2129" s="49" t="n">
        <v>0</v>
      </c>
      <c r="V2129" s="49" t="n">
        <v>0</v>
      </c>
      <c r="W2129" s="50" t="n">
        <v>0</v>
      </c>
      <c r="X2129" s="51" t="n">
        <v>0</v>
      </c>
      <c r="Y2129" s="52" t="n">
        <v>0</v>
      </c>
      <c r="Z2129" s="52" t="n">
        <v>0</v>
      </c>
      <c r="AA2129" s="52" t="n">
        <v>0</v>
      </c>
      <c r="AB2129" s="53" t="n">
        <v>0</v>
      </c>
      <c r="AC2129" s="52" t="n">
        <v>0</v>
      </c>
      <c r="AD2129" s="53" t="n">
        <v>0</v>
      </c>
      <c r="AE2129" s="52" t="n">
        <v>0</v>
      </c>
      <c r="AF2129" s="51" t="n">
        <v>0</v>
      </c>
      <c r="AG2129" s="48" t="n">
        <v>0</v>
      </c>
      <c r="AH2129" s="49" t="n">
        <v>0</v>
      </c>
      <c r="AI2129" s="49" t="n">
        <v>0</v>
      </c>
      <c r="AJ2129" s="50" t="n">
        <v>0</v>
      </c>
      <c r="AK2129" s="51" t="n">
        <v>0</v>
      </c>
      <c r="AL2129" s="52" t="n">
        <v>0</v>
      </c>
      <c r="AM2129" s="52" t="n">
        <v>0</v>
      </c>
      <c r="AN2129" s="52" t="n">
        <v>0</v>
      </c>
      <c r="AO2129" s="53" t="n">
        <v>0</v>
      </c>
      <c r="AP2129" s="52" t="n">
        <v>0</v>
      </c>
      <c r="AQ2129" s="53" t="n">
        <v>0</v>
      </c>
      <c r="AR2129" s="52" t="n">
        <v>0</v>
      </c>
      <c r="AS2129" s="51" t="n">
        <v>0</v>
      </c>
      <c r="AT2129" s="48" t="n">
        <v>0</v>
      </c>
      <c r="AU2129" s="49" t="n">
        <v>0</v>
      </c>
      <c r="AV2129" s="49" t="n">
        <v>0</v>
      </c>
      <c r="AW2129" s="50" t="n">
        <v>0</v>
      </c>
      <c r="AX2129" s="51" t="n">
        <v>0</v>
      </c>
      <c r="AY2129" s="52" t="n">
        <v>0</v>
      </c>
      <c r="AZ2129" s="52" t="n">
        <v>0</v>
      </c>
      <c r="BA2129" s="52" t="n">
        <v>0</v>
      </c>
      <c r="BB2129" s="53" t="n">
        <v>0</v>
      </c>
      <c r="BC2129" s="52" t="n">
        <v>0</v>
      </c>
      <c r="BD2129" s="53" t="n">
        <v>0</v>
      </c>
      <c r="BE2129" s="52" t="n">
        <v>0</v>
      </c>
      <c r="BF2129" s="51" t="n">
        <v>0</v>
      </c>
    </row>
    <row r="2130">
      <c r="A2130">
        <f>HYPERLINK("https://www.walmart.com/ip/354973845", "354973845")</f>
        <v/>
      </c>
      <c r="B2130" t="inlineStr">
        <is>
          <t>Tirrinia Large Insulated Picnic Basket, 26L Leakproof Collapsible Portable Cooler Basket Set with Aluminium Handle for Travel, Shopping, Camping, Attach with a Free Foldable Grocery Bag, Grey</t>
        </is>
      </c>
      <c r="C2130" t="inlineStr">
        <is>
          <t>1WMPB100-GY</t>
        </is>
      </c>
      <c r="D2130" t="inlineStr">
        <is>
          <t>Picnic Baskets &amp; Bags</t>
        </is>
      </c>
      <c r="E2130" t="inlineStr">
        <is>
          <t>Tirrinia</t>
        </is>
      </c>
      <c r="F2130" t="inlineStr">
        <is>
          <t>Optimized</t>
        </is>
      </c>
      <c r="G2130" s="48" t="n">
        <v>0</v>
      </c>
      <c r="H2130" s="49" t="n">
        <v>0</v>
      </c>
      <c r="I2130" s="49" t="n">
        <v>0</v>
      </c>
      <c r="J2130" s="50" t="n">
        <v>0</v>
      </c>
      <c r="K2130" s="51" t="n">
        <v>0</v>
      </c>
      <c r="L2130" s="52" t="n">
        <v>0</v>
      </c>
      <c r="M2130" s="52" t="n">
        <v>0</v>
      </c>
      <c r="N2130" s="52" t="n">
        <v>0</v>
      </c>
      <c r="O2130" s="53" t="n">
        <v>0</v>
      </c>
      <c r="P2130" s="52" t="n">
        <v>0</v>
      </c>
      <c r="Q2130" s="53" t="n">
        <v>0</v>
      </c>
      <c r="R2130" s="52" t="n">
        <v>0</v>
      </c>
      <c r="S2130" s="51" t="n">
        <v>0</v>
      </c>
      <c r="T2130" s="48" t="n">
        <v>0</v>
      </c>
      <c r="U2130" s="49" t="n">
        <v>0</v>
      </c>
      <c r="V2130" s="49" t="n">
        <v>0</v>
      </c>
      <c r="W2130" s="50" t="n">
        <v>0</v>
      </c>
      <c r="X2130" s="51" t="n">
        <v>0</v>
      </c>
      <c r="Y2130" s="52" t="n">
        <v>0</v>
      </c>
      <c r="Z2130" s="52" t="n">
        <v>0</v>
      </c>
      <c r="AA2130" s="52" t="n">
        <v>0</v>
      </c>
      <c r="AB2130" s="53" t="n">
        <v>0</v>
      </c>
      <c r="AC2130" s="52" t="n">
        <v>0</v>
      </c>
      <c r="AD2130" s="53" t="n">
        <v>0</v>
      </c>
      <c r="AE2130" s="52" t="n">
        <v>0</v>
      </c>
      <c r="AF2130" s="51" t="n">
        <v>0</v>
      </c>
      <c r="AG2130" s="48" t="n">
        <v>0</v>
      </c>
      <c r="AH2130" s="49" t="n">
        <v>0</v>
      </c>
      <c r="AI2130" s="49" t="n">
        <v>0</v>
      </c>
      <c r="AJ2130" s="50" t="n">
        <v>0</v>
      </c>
      <c r="AK2130" s="51" t="n">
        <v>0</v>
      </c>
      <c r="AL2130" s="52" t="n">
        <v>0</v>
      </c>
      <c r="AM2130" s="52" t="n">
        <v>0</v>
      </c>
      <c r="AN2130" s="52" t="n">
        <v>0</v>
      </c>
      <c r="AO2130" s="53" t="n">
        <v>0</v>
      </c>
      <c r="AP2130" s="52" t="n">
        <v>0</v>
      </c>
      <c r="AQ2130" s="53" t="n">
        <v>0</v>
      </c>
      <c r="AR2130" s="52" t="n">
        <v>0</v>
      </c>
      <c r="AS2130" s="51" t="n">
        <v>0</v>
      </c>
      <c r="AT2130" s="48" t="n">
        <v>0</v>
      </c>
      <c r="AU2130" s="49" t="n">
        <v>0</v>
      </c>
      <c r="AV2130" s="49" t="n">
        <v>0</v>
      </c>
      <c r="AW2130" s="50" t="n">
        <v>0</v>
      </c>
      <c r="AX2130" s="51" t="n">
        <v>0</v>
      </c>
      <c r="AY2130" s="52" t="n">
        <v>0</v>
      </c>
      <c r="AZ2130" s="52" t="n">
        <v>0</v>
      </c>
      <c r="BA2130" s="52" t="n">
        <v>0</v>
      </c>
      <c r="BB2130" s="53" t="n">
        <v>0</v>
      </c>
      <c r="BC2130" s="52" t="n">
        <v>0</v>
      </c>
      <c r="BD2130" s="53" t="n">
        <v>0</v>
      </c>
      <c r="BE2130" s="52" t="n">
        <v>0</v>
      </c>
      <c r="BF2130" s="51" t="n">
        <v>0</v>
      </c>
    </row>
    <row r="2131">
      <c r="A2131">
        <f>HYPERLINK("https://www.walmart.com/ip/355236119", "355236119")</f>
        <v/>
      </c>
      <c r="B2131" t="inlineStr">
        <is>
          <t>Flyingstar Lunch Bag for Women Men, Insulated Lunch Tote for Working/School/Picnic Fashionable Cooler Bag</t>
        </is>
      </c>
      <c r="C2131" t="inlineStr">
        <is>
          <t>1WMLB704BRFL</t>
        </is>
      </c>
      <c r="D2131" t="inlineStr">
        <is>
          <t>Reusable Lunch Bags &amp; Boxes</t>
        </is>
      </c>
      <c r="E2131" t="inlineStr">
        <is>
          <t>Flyingstar</t>
        </is>
      </c>
      <c r="F2131" t="inlineStr">
        <is>
          <t>Q2-Target,Lunch Bag,WFS,WFS Item</t>
        </is>
      </c>
      <c r="G2131" s="48" t="n">
        <v>0</v>
      </c>
      <c r="H2131" s="49" t="n">
        <v>0</v>
      </c>
      <c r="I2131" s="49" t="n">
        <v>0</v>
      </c>
      <c r="J2131" s="50" t="n">
        <v>0</v>
      </c>
      <c r="K2131" s="51" t="n">
        <v>0</v>
      </c>
      <c r="L2131" s="52" t="n">
        <v>0</v>
      </c>
      <c r="M2131" s="52" t="n">
        <v>0</v>
      </c>
      <c r="N2131" s="52" t="n">
        <v>0</v>
      </c>
      <c r="O2131" s="53" t="n">
        <v>0</v>
      </c>
      <c r="P2131" s="52" t="n">
        <v>0</v>
      </c>
      <c r="Q2131" s="53" t="n">
        <v>0</v>
      </c>
      <c r="R2131" s="52" t="n">
        <v>0</v>
      </c>
      <c r="S2131" s="51" t="n">
        <v>0</v>
      </c>
      <c r="T2131" s="48" t="n">
        <v>7.98</v>
      </c>
      <c r="U2131" s="49" t="n">
        <v>1</v>
      </c>
      <c r="V2131" s="49" t="n">
        <v>1</v>
      </c>
      <c r="W2131" s="50" t="n">
        <v>1</v>
      </c>
      <c r="X2131" s="51" t="n">
        <v>0</v>
      </c>
      <c r="Y2131" s="52" t="n">
        <v>0</v>
      </c>
      <c r="Z2131" s="52" t="n">
        <v>0</v>
      </c>
      <c r="AA2131" s="52" t="n">
        <v>0</v>
      </c>
      <c r="AB2131" s="53" t="n">
        <v>0</v>
      </c>
      <c r="AC2131" s="52" t="n">
        <v>0</v>
      </c>
      <c r="AD2131" s="53" t="n">
        <v>0</v>
      </c>
      <c r="AE2131" s="52" t="n">
        <v>7.98</v>
      </c>
      <c r="AF2131" s="51" t="n">
        <v>0</v>
      </c>
      <c r="AG2131" s="48" t="n">
        <v>0</v>
      </c>
      <c r="AH2131" s="49" t="n">
        <v>0</v>
      </c>
      <c r="AI2131" s="49" t="n">
        <v>1</v>
      </c>
      <c r="AJ2131" s="50" t="n">
        <v>0</v>
      </c>
      <c r="AK2131" s="51" t="n">
        <v>0</v>
      </c>
      <c r="AL2131" s="52" t="n">
        <v>0</v>
      </c>
      <c r="AM2131" s="52" t="n">
        <v>0</v>
      </c>
      <c r="AN2131" s="52" t="n">
        <v>0</v>
      </c>
      <c r="AO2131" s="53" t="n">
        <v>0</v>
      </c>
      <c r="AP2131" s="52" t="n">
        <v>0</v>
      </c>
      <c r="AQ2131" s="53" t="n">
        <v>0</v>
      </c>
      <c r="AR2131" s="52" t="n">
        <v>0</v>
      </c>
      <c r="AS2131" s="51" t="n">
        <v>0</v>
      </c>
      <c r="AT2131" s="48" t="n">
        <v>0</v>
      </c>
      <c r="AU2131" s="49" t="n">
        <v>0</v>
      </c>
      <c r="AV2131" s="49" t="n">
        <v>4</v>
      </c>
      <c r="AW2131" s="50" t="n">
        <v>0</v>
      </c>
      <c r="AX2131" s="51" t="n">
        <v>0</v>
      </c>
      <c r="AY2131" s="52" t="n">
        <v>0</v>
      </c>
      <c r="AZ2131" s="52" t="n">
        <v>0</v>
      </c>
      <c r="BA2131" s="52" t="n">
        <v>0</v>
      </c>
      <c r="BB2131" s="53" t="n">
        <v>0</v>
      </c>
      <c r="BC2131" s="52" t="n">
        <v>0</v>
      </c>
      <c r="BD2131" s="53" t="n">
        <v>0</v>
      </c>
      <c r="BE2131" s="52" t="n">
        <v>0</v>
      </c>
      <c r="BF2131" s="51" t="n">
        <v>0</v>
      </c>
    </row>
    <row r="2132">
      <c r="A2132">
        <f>HYPERLINK("https://www.walmart.com/ip/355389190", "355389190")</f>
        <v/>
      </c>
      <c r="B2132" t="inlineStr">
        <is>
          <t>Catalonia Mermaid Tail Blanket, Super Soft Blanket Sherpa Lined Knit with Non-slip Neck Strap, Fleece Blanket for Adults and Teens, Green, 67'' x 22.5''</t>
        </is>
      </c>
      <c r="C2132" t="inlineStr">
        <is>
          <t>1CTMM300GN</t>
        </is>
      </c>
      <c r="D2132" t="inlineStr">
        <is>
          <t>Throws</t>
        </is>
      </c>
      <c r="E2132" t="inlineStr">
        <is>
          <t>Catalonia</t>
        </is>
      </c>
      <c r="F2132" t="inlineStr">
        <is>
          <t>WFS,WFS Item</t>
        </is>
      </c>
      <c r="G2132" s="48" t="n">
        <v>0</v>
      </c>
      <c r="H2132" s="49" t="n">
        <v>0</v>
      </c>
      <c r="I2132" s="49" t="n">
        <v>0</v>
      </c>
      <c r="J2132" s="50" t="n">
        <v>0</v>
      </c>
      <c r="K2132" s="51" t="n">
        <v>0</v>
      </c>
      <c r="L2132" s="52" t="n">
        <v>0</v>
      </c>
      <c r="M2132" s="52" t="n">
        <v>0</v>
      </c>
      <c r="N2132" s="52" t="n">
        <v>0</v>
      </c>
      <c r="O2132" s="53" t="n">
        <v>0</v>
      </c>
      <c r="P2132" s="52" t="n">
        <v>0</v>
      </c>
      <c r="Q2132" s="53" t="n">
        <v>0</v>
      </c>
      <c r="R2132" s="52" t="n">
        <v>0</v>
      </c>
      <c r="S2132" s="51" t="n">
        <v>0</v>
      </c>
      <c r="T2132" s="48" t="n">
        <v>0</v>
      </c>
      <c r="U2132" s="49" t="n">
        <v>0</v>
      </c>
      <c r="V2132" s="49" t="n">
        <v>0</v>
      </c>
      <c r="W2132" s="50" t="n">
        <v>0</v>
      </c>
      <c r="X2132" s="51" t="n">
        <v>0</v>
      </c>
      <c r="Y2132" s="52" t="n">
        <v>0</v>
      </c>
      <c r="Z2132" s="52" t="n">
        <v>0</v>
      </c>
      <c r="AA2132" s="52" t="n">
        <v>0</v>
      </c>
      <c r="AB2132" s="53" t="n">
        <v>0</v>
      </c>
      <c r="AC2132" s="52" t="n">
        <v>0</v>
      </c>
      <c r="AD2132" s="53" t="n">
        <v>0</v>
      </c>
      <c r="AE2132" s="52" t="n">
        <v>0</v>
      </c>
      <c r="AF2132" s="51" t="n">
        <v>0</v>
      </c>
      <c r="AG2132" s="48" t="n">
        <v>0</v>
      </c>
      <c r="AH2132" s="49" t="n">
        <v>0</v>
      </c>
      <c r="AI2132" s="49" t="n">
        <v>0</v>
      </c>
      <c r="AJ2132" s="50" t="n">
        <v>0</v>
      </c>
      <c r="AK2132" s="51" t="n">
        <v>0</v>
      </c>
      <c r="AL2132" s="52" t="n">
        <v>0</v>
      </c>
      <c r="AM2132" s="52" t="n">
        <v>0</v>
      </c>
      <c r="AN2132" s="52" t="n">
        <v>0</v>
      </c>
      <c r="AO2132" s="53" t="n">
        <v>0</v>
      </c>
      <c r="AP2132" s="52" t="n">
        <v>0</v>
      </c>
      <c r="AQ2132" s="53" t="n">
        <v>0</v>
      </c>
      <c r="AR2132" s="52" t="n">
        <v>0</v>
      </c>
      <c r="AS2132" s="51" t="n">
        <v>0</v>
      </c>
      <c r="AT2132" s="48" t="n">
        <v>0</v>
      </c>
      <c r="AU2132" s="49" t="n">
        <v>0</v>
      </c>
      <c r="AV2132" s="49" t="n">
        <v>0</v>
      </c>
      <c r="AW2132" s="50" t="n">
        <v>0</v>
      </c>
      <c r="AX2132" s="51" t="n">
        <v>0</v>
      </c>
      <c r="AY2132" s="52" t="n">
        <v>0</v>
      </c>
      <c r="AZ2132" s="52" t="n">
        <v>0</v>
      </c>
      <c r="BA2132" s="52" t="n">
        <v>0</v>
      </c>
      <c r="BB2132" s="53" t="n">
        <v>0</v>
      </c>
      <c r="BC2132" s="52" t="n">
        <v>0</v>
      </c>
      <c r="BD2132" s="53" t="n">
        <v>0</v>
      </c>
      <c r="BE2132" s="52" t="n">
        <v>0</v>
      </c>
      <c r="BF2132" s="51" t="n">
        <v>0</v>
      </c>
    </row>
    <row r="2133">
      <c r="A2133">
        <f>HYPERLINK("https://www.walmart.com/ip/355660943", "355660943")</f>
        <v/>
      </c>
      <c r="B2133" t="inlineStr">
        <is>
          <t>sun blocker women's travel sun hat upf 50+ large brim beach neck flap hat</t>
        </is>
      </c>
      <c r="C2133" t="inlineStr">
        <is>
          <t>KC-S9201-PK</t>
        </is>
      </c>
      <c r="D2133" t="inlineStr">
        <is>
          <t>Hats</t>
        </is>
      </c>
      <c r="E2133" t="inlineStr">
        <is>
          <t>Sun Blocker</t>
        </is>
      </c>
      <c r="G2133" s="48" t="n">
        <v>0</v>
      </c>
      <c r="H2133" s="49" t="n">
        <v>0</v>
      </c>
      <c r="I2133" s="49" t="n">
        <v>0</v>
      </c>
      <c r="J2133" s="50" t="n">
        <v>0</v>
      </c>
      <c r="K2133" s="51" t="n">
        <v>0</v>
      </c>
      <c r="L2133" s="52" t="n">
        <v>0</v>
      </c>
      <c r="M2133" s="52" t="n">
        <v>0</v>
      </c>
      <c r="N2133" s="52" t="n">
        <v>0</v>
      </c>
      <c r="O2133" s="53" t="n">
        <v>0</v>
      </c>
      <c r="P2133" s="52" t="n">
        <v>0</v>
      </c>
      <c r="Q2133" s="53" t="n">
        <v>0</v>
      </c>
      <c r="R2133" s="52" t="n">
        <v>0</v>
      </c>
      <c r="S2133" s="51" t="n">
        <v>0</v>
      </c>
      <c r="T2133" s="48" t="n">
        <v>0</v>
      </c>
      <c r="U2133" s="49" t="n">
        <v>0</v>
      </c>
      <c r="V2133" s="49" t="n">
        <v>0</v>
      </c>
      <c r="W2133" s="50" t="n">
        <v>0</v>
      </c>
      <c r="X2133" s="51" t="n">
        <v>0</v>
      </c>
      <c r="Y2133" s="52" t="n">
        <v>0</v>
      </c>
      <c r="Z2133" s="52" t="n">
        <v>0</v>
      </c>
      <c r="AA2133" s="52" t="n">
        <v>0</v>
      </c>
      <c r="AB2133" s="53" t="n">
        <v>0</v>
      </c>
      <c r="AC2133" s="52" t="n">
        <v>0</v>
      </c>
      <c r="AD2133" s="53" t="n">
        <v>0</v>
      </c>
      <c r="AE2133" s="52" t="n">
        <v>0</v>
      </c>
      <c r="AF2133" s="51" t="n">
        <v>0</v>
      </c>
      <c r="AG2133" s="48" t="n">
        <v>19.99</v>
      </c>
      <c r="AH2133" s="49" t="n">
        <v>1</v>
      </c>
      <c r="AI2133" s="49" t="n">
        <v>0</v>
      </c>
      <c r="AJ2133" s="50" t="n">
        <v>0</v>
      </c>
      <c r="AK2133" s="51" t="n">
        <v>0</v>
      </c>
      <c r="AL2133" s="52" t="n">
        <v>0</v>
      </c>
      <c r="AM2133" s="52" t="n">
        <v>0</v>
      </c>
      <c r="AN2133" s="52" t="n">
        <v>0</v>
      </c>
      <c r="AO2133" s="53" t="n">
        <v>0</v>
      </c>
      <c r="AP2133" s="52" t="n">
        <v>0</v>
      </c>
      <c r="AQ2133" s="53" t="n">
        <v>0</v>
      </c>
      <c r="AR2133" s="52" t="n">
        <v>19.99</v>
      </c>
      <c r="AS2133" s="51" t="n">
        <v>0</v>
      </c>
      <c r="AT2133" s="48" t="n">
        <v>0</v>
      </c>
      <c r="AU2133" s="49" t="n">
        <v>0</v>
      </c>
      <c r="AV2133" s="49" t="n">
        <v>0</v>
      </c>
      <c r="AW2133" s="50" t="n">
        <v>0</v>
      </c>
      <c r="AX2133" s="51" t="n">
        <v>0</v>
      </c>
      <c r="AY2133" s="52" t="n">
        <v>0</v>
      </c>
      <c r="AZ2133" s="52" t="n">
        <v>0</v>
      </c>
      <c r="BA2133" s="52" t="n">
        <v>0</v>
      </c>
      <c r="BB2133" s="53" t="n">
        <v>0</v>
      </c>
      <c r="BC2133" s="52" t="n">
        <v>0</v>
      </c>
      <c r="BD2133" s="53" t="n">
        <v>0</v>
      </c>
      <c r="BE2133" s="52" t="n">
        <v>0</v>
      </c>
      <c r="BF2133" s="51" t="n">
        <v>0</v>
      </c>
    </row>
    <row r="2134">
      <c r="A2134">
        <f>HYPERLINK("https://www.walmart.com/ip/356200441", "356200441")</f>
        <v/>
      </c>
      <c r="B2134" t="inlineStr">
        <is>
          <t>Tirrinia Sun Hat with Adjustable Drawstring for Women, Large Wide Brim Hat for Outdoor Fishing Hiking Hunting Boating Desert Hawaiian, Grey</t>
        </is>
      </c>
      <c r="C2134" t="inlineStr">
        <is>
          <t>1TRSH911GY-TBCB</t>
        </is>
      </c>
      <c r="D2134" t="inlineStr">
        <is>
          <t>Hats</t>
        </is>
      </c>
      <c r="E2134" t="inlineStr">
        <is>
          <t>Tirrinia</t>
        </is>
      </c>
      <c r="F2134" t="inlineStr">
        <is>
          <t>Q2-Target,Hats,Batch 1 - TR</t>
        </is>
      </c>
      <c r="G2134" s="48" t="n">
        <v>0</v>
      </c>
      <c r="H2134" s="49" t="n">
        <v>0</v>
      </c>
      <c r="I2134" s="49" t="n">
        <v>0</v>
      </c>
      <c r="J2134" s="50" t="n">
        <v>0</v>
      </c>
      <c r="K2134" s="51" t="n">
        <v>0</v>
      </c>
      <c r="L2134" s="52" t="n">
        <v>0</v>
      </c>
      <c r="M2134" s="52" t="n">
        <v>0</v>
      </c>
      <c r="N2134" s="52" t="n">
        <v>0</v>
      </c>
      <c r="O2134" s="53" t="n">
        <v>0</v>
      </c>
      <c r="P2134" s="52" t="n">
        <v>0</v>
      </c>
      <c r="Q2134" s="53" t="n">
        <v>0</v>
      </c>
      <c r="R2134" s="52" t="n">
        <v>0</v>
      </c>
      <c r="S2134" s="51" t="n">
        <v>556</v>
      </c>
      <c r="T2134" s="48" t="n">
        <v>0</v>
      </c>
      <c r="U2134" s="49" t="n">
        <v>0</v>
      </c>
      <c r="V2134" s="49" t="n">
        <v>0</v>
      </c>
      <c r="W2134" s="50" t="n">
        <v>0</v>
      </c>
      <c r="X2134" s="51" t="n">
        <v>0</v>
      </c>
      <c r="Y2134" s="52" t="n">
        <v>0</v>
      </c>
      <c r="Z2134" s="52" t="n">
        <v>0</v>
      </c>
      <c r="AA2134" s="52" t="n">
        <v>0</v>
      </c>
      <c r="AB2134" s="53" t="n">
        <v>0</v>
      </c>
      <c r="AC2134" s="52" t="n">
        <v>0</v>
      </c>
      <c r="AD2134" s="53" t="n">
        <v>0</v>
      </c>
      <c r="AE2134" s="52" t="n">
        <v>0</v>
      </c>
      <c r="AF2134" s="51" t="n">
        <v>0</v>
      </c>
      <c r="AG2134" s="48" t="n">
        <v>0</v>
      </c>
      <c r="AH2134" s="49" t="n">
        <v>0</v>
      </c>
      <c r="AI2134" s="49" t="n">
        <v>0</v>
      </c>
      <c r="AJ2134" s="50" t="n">
        <v>0</v>
      </c>
      <c r="AK2134" s="51" t="n">
        <v>0</v>
      </c>
      <c r="AL2134" s="52" t="n">
        <v>0</v>
      </c>
      <c r="AM2134" s="52" t="n">
        <v>0</v>
      </c>
      <c r="AN2134" s="52" t="n">
        <v>0</v>
      </c>
      <c r="AO2134" s="53" t="n">
        <v>0</v>
      </c>
      <c r="AP2134" s="52" t="n">
        <v>0</v>
      </c>
      <c r="AQ2134" s="53" t="n">
        <v>0</v>
      </c>
      <c r="AR2134" s="52" t="n">
        <v>0</v>
      </c>
      <c r="AS2134" s="51" t="n">
        <v>0</v>
      </c>
      <c r="AT2134" s="48" t="n">
        <v>0</v>
      </c>
      <c r="AU2134" s="49" t="n">
        <v>0</v>
      </c>
      <c r="AV2134" s="49" t="n">
        <v>0</v>
      </c>
      <c r="AW2134" s="50" t="n">
        <v>0</v>
      </c>
      <c r="AX2134" s="51" t="n">
        <v>0</v>
      </c>
      <c r="AY2134" s="52" t="n">
        <v>0</v>
      </c>
      <c r="AZ2134" s="52" t="n">
        <v>0</v>
      </c>
      <c r="BA2134" s="52" t="n">
        <v>0</v>
      </c>
      <c r="BB2134" s="53" t="n">
        <v>0</v>
      </c>
      <c r="BC2134" s="52" t="n">
        <v>0</v>
      </c>
      <c r="BD2134" s="53" t="n">
        <v>0</v>
      </c>
      <c r="BE2134" s="52" t="n">
        <v>0</v>
      </c>
      <c r="BF2134" s="51" t="n">
        <v>0</v>
      </c>
    </row>
    <row r="2135">
      <c r="A2135">
        <f>HYPERLINK("https://www.walmart.com/ip/356440254", "356440254")</f>
        <v/>
      </c>
      <c r="B2135" t="inlineStr">
        <is>
          <t>Tirrinia Wearable Fleece Blanket for Women and Men, Super-Soft Microplush TV Blanket, Full Body Robe for Lounge Couch, Cheetah, 51" x 73"</t>
        </is>
      </c>
      <c r="C2135" t="inlineStr">
        <is>
          <t>1TRSN100CHEETAH-TBCB</t>
        </is>
      </c>
      <c r="D2135" t="inlineStr">
        <is>
          <t>Throws</t>
        </is>
      </c>
      <c r="E2135" t="inlineStr">
        <is>
          <t>Tirrinia</t>
        </is>
      </c>
      <c r="F2135" t="inlineStr">
        <is>
          <t>Q2-Target,Optimized,WFS,Coupon_Discount,WFS Item,Fleece Blankets</t>
        </is>
      </c>
      <c r="G2135" s="48" t="n">
        <v>0</v>
      </c>
      <c r="H2135" s="49" t="n">
        <v>0</v>
      </c>
      <c r="I2135" s="49" t="n">
        <v>0</v>
      </c>
      <c r="J2135" s="50" t="n">
        <v>0</v>
      </c>
      <c r="K2135" s="51" t="n">
        <v>0</v>
      </c>
      <c r="L2135" s="52" t="n">
        <v>0</v>
      </c>
      <c r="M2135" s="52" t="n">
        <v>0</v>
      </c>
      <c r="N2135" s="52" t="n">
        <v>0</v>
      </c>
      <c r="O2135" s="53" t="n">
        <v>0</v>
      </c>
      <c r="P2135" s="52" t="n">
        <v>0</v>
      </c>
      <c r="Q2135" s="53" t="n">
        <v>0</v>
      </c>
      <c r="R2135" s="52" t="n">
        <v>0</v>
      </c>
      <c r="S2135" s="51" t="n">
        <v>0</v>
      </c>
      <c r="T2135" s="48" t="n">
        <v>0</v>
      </c>
      <c r="U2135" s="49" t="n">
        <v>0</v>
      </c>
      <c r="V2135" s="49" t="n">
        <v>0</v>
      </c>
      <c r="W2135" s="50" t="n">
        <v>0</v>
      </c>
      <c r="X2135" s="51" t="n">
        <v>0</v>
      </c>
      <c r="Y2135" s="52" t="n">
        <v>0</v>
      </c>
      <c r="Z2135" s="52" t="n">
        <v>0</v>
      </c>
      <c r="AA2135" s="52" t="n">
        <v>0</v>
      </c>
      <c r="AB2135" s="53" t="n">
        <v>0</v>
      </c>
      <c r="AC2135" s="52" t="n">
        <v>0</v>
      </c>
      <c r="AD2135" s="53" t="n">
        <v>0</v>
      </c>
      <c r="AE2135" s="52" t="n">
        <v>0</v>
      </c>
      <c r="AF2135" s="51" t="n">
        <v>0</v>
      </c>
      <c r="AG2135" s="48" t="n">
        <v>0</v>
      </c>
      <c r="AH2135" s="49" t="n">
        <v>0</v>
      </c>
      <c r="AI2135" s="49" t="n">
        <v>0</v>
      </c>
      <c r="AJ2135" s="50" t="n">
        <v>0</v>
      </c>
      <c r="AK2135" s="51" t="n">
        <v>0</v>
      </c>
      <c r="AL2135" s="52" t="n">
        <v>0</v>
      </c>
      <c r="AM2135" s="52" t="n">
        <v>0</v>
      </c>
      <c r="AN2135" s="52" t="n">
        <v>0</v>
      </c>
      <c r="AO2135" s="53" t="n">
        <v>0</v>
      </c>
      <c r="AP2135" s="52" t="n">
        <v>0</v>
      </c>
      <c r="AQ2135" s="53" t="n">
        <v>0</v>
      </c>
      <c r="AR2135" s="52" t="n">
        <v>0</v>
      </c>
      <c r="AS2135" s="51" t="n">
        <v>0</v>
      </c>
      <c r="AT2135" s="48" t="n">
        <v>0</v>
      </c>
      <c r="AU2135" s="49" t="n">
        <v>0</v>
      </c>
      <c r="AV2135" s="49" t="n">
        <v>0</v>
      </c>
      <c r="AW2135" s="50" t="n">
        <v>0</v>
      </c>
      <c r="AX2135" s="51" t="n">
        <v>0</v>
      </c>
      <c r="AY2135" s="52" t="n">
        <v>0</v>
      </c>
      <c r="AZ2135" s="52" t="n">
        <v>0</v>
      </c>
      <c r="BA2135" s="52" t="n">
        <v>0</v>
      </c>
      <c r="BB2135" s="53" t="n">
        <v>0</v>
      </c>
      <c r="BC2135" s="52" t="n">
        <v>0</v>
      </c>
      <c r="BD2135" s="53" t="n">
        <v>0</v>
      </c>
      <c r="BE2135" s="52" t="n">
        <v>0</v>
      </c>
      <c r="BF2135" s="51" t="n">
        <v>0</v>
      </c>
    </row>
    <row r="2136">
      <c r="A2136">
        <f>HYPERLINK("https://www.walmart.com/ip/357398446", "357398446")</f>
        <v/>
      </c>
      <c r="B2136" t="inlineStr">
        <is>
          <t>Catalonia Wearable Fleece Blanket with Sleeves and Foot Pockets for Adult Women and Men, Micro Plush Comfy Wrap Sleeved Throw Blanket Robe, Large, Red Plaid, 75" x 53"</t>
        </is>
      </c>
      <c r="C2136" t="inlineStr">
        <is>
          <t>1CTSN101PRD</t>
        </is>
      </c>
      <c r="D2136" t="inlineStr">
        <is>
          <t>Throws</t>
        </is>
      </c>
      <c r="E2136" t="inlineStr">
        <is>
          <t>Catalonia</t>
        </is>
      </c>
      <c r="F2136" t="inlineStr">
        <is>
          <t>Q2-Target,WFS,WFS Item,Fleece Blankets</t>
        </is>
      </c>
      <c r="G2136" s="48" t="n">
        <v>0</v>
      </c>
      <c r="H2136" s="49" t="n">
        <v>0</v>
      </c>
      <c r="I2136" s="49" t="n">
        <v>0</v>
      </c>
      <c r="J2136" s="50" t="n">
        <v>0</v>
      </c>
      <c r="K2136" s="51" t="n">
        <v>0</v>
      </c>
      <c r="L2136" s="52" t="n">
        <v>0</v>
      </c>
      <c r="M2136" s="52" t="n">
        <v>0</v>
      </c>
      <c r="N2136" s="52" t="n">
        <v>0</v>
      </c>
      <c r="O2136" s="53" t="n">
        <v>0</v>
      </c>
      <c r="P2136" s="52" t="n">
        <v>0</v>
      </c>
      <c r="Q2136" s="53" t="n">
        <v>0</v>
      </c>
      <c r="R2136" s="52" t="n">
        <v>0</v>
      </c>
      <c r="S2136" s="51" t="n">
        <v>0</v>
      </c>
      <c r="T2136" s="48" t="n">
        <v>0</v>
      </c>
      <c r="U2136" s="49" t="n">
        <v>0</v>
      </c>
      <c r="V2136" s="49" t="n">
        <v>0</v>
      </c>
      <c r="W2136" s="50" t="n">
        <v>0</v>
      </c>
      <c r="X2136" s="51" t="n">
        <v>0</v>
      </c>
      <c r="Y2136" s="52" t="n">
        <v>0</v>
      </c>
      <c r="Z2136" s="52" t="n">
        <v>0</v>
      </c>
      <c r="AA2136" s="52" t="n">
        <v>0</v>
      </c>
      <c r="AB2136" s="53" t="n">
        <v>0</v>
      </c>
      <c r="AC2136" s="52" t="n">
        <v>0</v>
      </c>
      <c r="AD2136" s="53" t="n">
        <v>0</v>
      </c>
      <c r="AE2136" s="52" t="n">
        <v>0</v>
      </c>
      <c r="AF2136" s="51" t="n">
        <v>0</v>
      </c>
      <c r="AG2136" s="48" t="n">
        <v>0</v>
      </c>
      <c r="AH2136" s="49" t="n">
        <v>0</v>
      </c>
      <c r="AI2136" s="49" t="n">
        <v>0</v>
      </c>
      <c r="AJ2136" s="50" t="n">
        <v>0</v>
      </c>
      <c r="AK2136" s="51" t="n">
        <v>0</v>
      </c>
      <c r="AL2136" s="52" t="n">
        <v>0</v>
      </c>
      <c r="AM2136" s="52" t="n">
        <v>0</v>
      </c>
      <c r="AN2136" s="52" t="n">
        <v>0</v>
      </c>
      <c r="AO2136" s="53" t="n">
        <v>0</v>
      </c>
      <c r="AP2136" s="52" t="n">
        <v>0</v>
      </c>
      <c r="AQ2136" s="53" t="n">
        <v>0</v>
      </c>
      <c r="AR2136" s="52" t="n">
        <v>0</v>
      </c>
      <c r="AS2136" s="51" t="n">
        <v>0</v>
      </c>
      <c r="AT2136" s="48" t="n">
        <v>0</v>
      </c>
      <c r="AU2136" s="49" t="n">
        <v>0</v>
      </c>
      <c r="AV2136" s="49" t="n">
        <v>0</v>
      </c>
      <c r="AW2136" s="50" t="n">
        <v>0</v>
      </c>
      <c r="AX2136" s="51" t="n">
        <v>0</v>
      </c>
      <c r="AY2136" s="52" t="n">
        <v>0</v>
      </c>
      <c r="AZ2136" s="52" t="n">
        <v>0</v>
      </c>
      <c r="BA2136" s="52" t="n">
        <v>0</v>
      </c>
      <c r="BB2136" s="53" t="n">
        <v>0</v>
      </c>
      <c r="BC2136" s="52" t="n">
        <v>0</v>
      </c>
      <c r="BD2136" s="53" t="n">
        <v>0</v>
      </c>
      <c r="BE2136" s="52" t="n">
        <v>0</v>
      </c>
      <c r="BF2136" s="51" t="n">
        <v>0</v>
      </c>
    </row>
    <row r="2137">
      <c r="A2137">
        <f>HYPERLINK("https://www.walmart.com/ip/358269818", "358269818")</f>
        <v/>
      </c>
      <c r="B2137" t="inlineStr">
        <is>
          <t>Tirrinia Large Insulated Lunch Bag, 10L Leakproof Thermal Reusable Lunch Box for Adult, Kids, Student, Tall Meal Prep Lunch Cooler Tote with 4 Pockets for Office Work, Back to School,Grey</t>
        </is>
      </c>
      <c r="C2137" t="inlineStr">
        <is>
          <t>1TRLB702GY-T</t>
        </is>
      </c>
      <c r="D2137" t="inlineStr">
        <is>
          <t>Reusable Lunch Bags &amp; Boxes</t>
        </is>
      </c>
      <c r="E2137" t="inlineStr">
        <is>
          <t>Tirrinia</t>
        </is>
      </c>
      <c r="F2137" t="inlineStr">
        <is>
          <t>Brand Camp VD,Lunch Bag,SEM</t>
        </is>
      </c>
      <c r="G2137" s="48" t="n">
        <v>0</v>
      </c>
      <c r="H2137" s="49" t="n">
        <v>0</v>
      </c>
      <c r="I2137" s="49" t="n">
        <v>0</v>
      </c>
      <c r="J2137" s="50" t="n">
        <v>0</v>
      </c>
      <c r="K2137" s="51" t="n">
        <v>0</v>
      </c>
      <c r="L2137" s="52" t="n">
        <v>0</v>
      </c>
      <c r="M2137" s="52" t="n">
        <v>0</v>
      </c>
      <c r="N2137" s="52" t="n">
        <v>0</v>
      </c>
      <c r="O2137" s="53" t="n">
        <v>0</v>
      </c>
      <c r="P2137" s="52" t="n">
        <v>0</v>
      </c>
      <c r="Q2137" s="53" t="n">
        <v>0</v>
      </c>
      <c r="R2137" s="52" t="n">
        <v>0</v>
      </c>
      <c r="S2137" s="51" t="n">
        <v>0</v>
      </c>
      <c r="T2137" s="48" t="n">
        <v>0</v>
      </c>
      <c r="U2137" s="49" t="n">
        <v>0</v>
      </c>
      <c r="V2137" s="49" t="n">
        <v>0</v>
      </c>
      <c r="W2137" s="50" t="n">
        <v>0</v>
      </c>
      <c r="X2137" s="51" t="n">
        <v>0</v>
      </c>
      <c r="Y2137" s="52" t="n">
        <v>0</v>
      </c>
      <c r="Z2137" s="52" t="n">
        <v>0</v>
      </c>
      <c r="AA2137" s="52" t="n">
        <v>0</v>
      </c>
      <c r="AB2137" s="53" t="n">
        <v>0</v>
      </c>
      <c r="AC2137" s="52" t="n">
        <v>0</v>
      </c>
      <c r="AD2137" s="53" t="n">
        <v>0</v>
      </c>
      <c r="AE2137" s="52" t="n">
        <v>0</v>
      </c>
      <c r="AF2137" s="51" t="n">
        <v>0</v>
      </c>
      <c r="AG2137" s="48" t="n">
        <v>0</v>
      </c>
      <c r="AH2137" s="49" t="n">
        <v>0</v>
      </c>
      <c r="AI2137" s="49" t="n">
        <v>0</v>
      </c>
      <c r="AJ2137" s="50" t="n">
        <v>0</v>
      </c>
      <c r="AK2137" s="51" t="n">
        <v>0</v>
      </c>
      <c r="AL2137" s="52" t="n">
        <v>0</v>
      </c>
      <c r="AM2137" s="52" t="n">
        <v>0</v>
      </c>
      <c r="AN2137" s="52" t="n">
        <v>0</v>
      </c>
      <c r="AO2137" s="53" t="n">
        <v>0</v>
      </c>
      <c r="AP2137" s="52" t="n">
        <v>0</v>
      </c>
      <c r="AQ2137" s="53" t="n">
        <v>0</v>
      </c>
      <c r="AR2137" s="52" t="n">
        <v>0</v>
      </c>
      <c r="AS2137" s="51" t="n">
        <v>0</v>
      </c>
      <c r="AT2137" s="48" t="n">
        <v>0</v>
      </c>
      <c r="AU2137" s="49" t="n">
        <v>0</v>
      </c>
      <c r="AV2137" s="49" t="n">
        <v>0</v>
      </c>
      <c r="AW2137" s="50" t="n">
        <v>0</v>
      </c>
      <c r="AX2137" s="51" t="n">
        <v>0</v>
      </c>
      <c r="AY2137" s="52" t="n">
        <v>0</v>
      </c>
      <c r="AZ2137" s="52" t="n">
        <v>0</v>
      </c>
      <c r="BA2137" s="52" t="n">
        <v>0</v>
      </c>
      <c r="BB2137" s="53" t="n">
        <v>0</v>
      </c>
      <c r="BC2137" s="52" t="n">
        <v>0</v>
      </c>
      <c r="BD2137" s="53" t="n">
        <v>0</v>
      </c>
      <c r="BE2137" s="52" t="n">
        <v>0</v>
      </c>
      <c r="BF2137" s="51" t="n">
        <v>0</v>
      </c>
    </row>
    <row r="2138">
      <c r="A2138">
        <f>HYPERLINK("https://www.walmart.com/ip/3289036681", "3289036681")</f>
        <v/>
      </c>
      <c r="B2138" t="inlineStr">
        <is>
          <t>Tirrinia Insulated Lunch Bag for Women Men, Double-Layer Leak-Proof Reusable Lunch Box with 4 Pockets for Adult Kids, Lunch Bag Cooler Tote for Office Work, Back to School, Dark Blue</t>
        </is>
      </c>
      <c r="C2138" t="inlineStr">
        <is>
          <t>1TRLB702DBL-D</t>
        </is>
      </c>
      <c r="D2138" t="inlineStr">
        <is>
          <t>Reusable Lunch Bags &amp; Boxes</t>
        </is>
      </c>
      <c r="E2138" t="inlineStr">
        <is>
          <t>Tirrinia</t>
        </is>
      </c>
      <c r="F2138" t="inlineStr">
        <is>
          <t>Q2-Target</t>
        </is>
      </c>
      <c r="G2138" s="48" t="n">
        <v>0</v>
      </c>
      <c r="H2138" s="49" t="n">
        <v>0</v>
      </c>
      <c r="I2138" s="49" t="n">
        <v>0</v>
      </c>
      <c r="J2138" s="50" t="n">
        <v>0</v>
      </c>
      <c r="K2138" s="51" t="n">
        <v>0</v>
      </c>
      <c r="L2138" s="52" t="n">
        <v>0</v>
      </c>
      <c r="M2138" s="52" t="n">
        <v>0</v>
      </c>
      <c r="N2138" s="52" t="n">
        <v>0</v>
      </c>
      <c r="O2138" s="53" t="n">
        <v>0</v>
      </c>
      <c r="P2138" s="52" t="n">
        <v>0</v>
      </c>
      <c r="Q2138" s="53" t="n">
        <v>0</v>
      </c>
      <c r="R2138" s="52" t="n">
        <v>0</v>
      </c>
      <c r="S2138" s="51" t="n">
        <v>0</v>
      </c>
      <c r="T2138" s="48" t="n">
        <v>0</v>
      </c>
      <c r="U2138" s="49" t="n">
        <v>0</v>
      </c>
      <c r="V2138" s="49" t="n">
        <v>0</v>
      </c>
      <c r="W2138" s="50" t="n">
        <v>0</v>
      </c>
      <c r="X2138" s="51" t="n">
        <v>0</v>
      </c>
      <c r="Y2138" s="52" t="n">
        <v>0</v>
      </c>
      <c r="Z2138" s="52" t="n">
        <v>0</v>
      </c>
      <c r="AA2138" s="52" t="n">
        <v>0</v>
      </c>
      <c r="AB2138" s="53" t="n">
        <v>0</v>
      </c>
      <c r="AC2138" s="52" t="n">
        <v>0</v>
      </c>
      <c r="AD2138" s="53" t="n">
        <v>0</v>
      </c>
      <c r="AE2138" s="52" t="n">
        <v>0</v>
      </c>
      <c r="AF2138" s="51" t="n">
        <v>0</v>
      </c>
      <c r="AG2138" s="48" t="n">
        <v>0</v>
      </c>
      <c r="AH2138" s="49" t="n">
        <v>0</v>
      </c>
      <c r="AI2138" s="49" t="n">
        <v>0</v>
      </c>
      <c r="AJ2138" s="50" t="n">
        <v>0</v>
      </c>
      <c r="AK2138" s="51" t="n">
        <v>0</v>
      </c>
      <c r="AL2138" s="52" t="n">
        <v>0</v>
      </c>
      <c r="AM2138" s="52" t="n">
        <v>0</v>
      </c>
      <c r="AN2138" s="52" t="n">
        <v>0</v>
      </c>
      <c r="AO2138" s="53" t="n">
        <v>0</v>
      </c>
      <c r="AP2138" s="52" t="n">
        <v>0</v>
      </c>
      <c r="AQ2138" s="53" t="n">
        <v>0</v>
      </c>
      <c r="AR2138" s="52" t="n">
        <v>0</v>
      </c>
      <c r="AS2138" s="51" t="n">
        <v>0</v>
      </c>
      <c r="AT2138" s="48" t="n">
        <v>0</v>
      </c>
      <c r="AU2138" s="49" t="n">
        <v>0</v>
      </c>
      <c r="AV2138" s="49" t="n">
        <v>0</v>
      </c>
      <c r="AW2138" s="50" t="n">
        <v>0</v>
      </c>
      <c r="AX2138" s="51" t="n">
        <v>0</v>
      </c>
      <c r="AY2138" s="52" t="n">
        <v>0</v>
      </c>
      <c r="AZ2138" s="52" t="n">
        <v>0</v>
      </c>
      <c r="BA2138" s="52" t="n">
        <v>0</v>
      </c>
      <c r="BB2138" s="53" t="n">
        <v>0</v>
      </c>
      <c r="BC2138" s="52" t="n">
        <v>0</v>
      </c>
      <c r="BD2138" s="53" t="n">
        <v>0</v>
      </c>
      <c r="BE2138" s="52" t="n">
        <v>0</v>
      </c>
      <c r="BF2138" s="51" t="n">
        <v>0</v>
      </c>
    </row>
    <row r="2139">
      <c r="A2139">
        <f>HYPERLINK("https://www.walmart.com/ip/3287854820", "3287854820")</f>
        <v/>
      </c>
      <c r="B2139" t="inlineStr">
        <is>
          <t>Tirrinia Large Insulated Lunch Bag for Men and Women, Double-Layer Leak-Proof Reusable Lunch Box for Office, Travel, and Work, Lunch Cooler Tote, Carbonarius</t>
        </is>
      </c>
      <c r="C2139" t="inlineStr">
        <is>
          <t>1TRLB701CH-D</t>
        </is>
      </c>
      <c r="D2139" t="inlineStr">
        <is>
          <t>Reusable Lunch Bags &amp; Boxes</t>
        </is>
      </c>
      <c r="E2139" t="inlineStr">
        <is>
          <t>Tirrinia</t>
        </is>
      </c>
      <c r="F2139" t="inlineStr">
        <is>
          <t>Q2-Target</t>
        </is>
      </c>
      <c r="G2139" s="48" t="n">
        <v>0</v>
      </c>
      <c r="H2139" s="49" t="n">
        <v>0</v>
      </c>
      <c r="I2139" s="49" t="n">
        <v>18</v>
      </c>
      <c r="J2139" s="50" t="n">
        <v>0</v>
      </c>
      <c r="K2139" s="51" t="n">
        <v>0</v>
      </c>
      <c r="L2139" s="52" t="n">
        <v>0</v>
      </c>
      <c r="M2139" s="52" t="n">
        <v>0</v>
      </c>
      <c r="N2139" s="52" t="n">
        <v>0</v>
      </c>
      <c r="O2139" s="53" t="n">
        <v>0</v>
      </c>
      <c r="P2139" s="52" t="n">
        <v>0</v>
      </c>
      <c r="Q2139" s="53" t="n">
        <v>0</v>
      </c>
      <c r="R2139" s="52" t="n">
        <v>0</v>
      </c>
      <c r="S2139" s="51" t="n">
        <v>0</v>
      </c>
      <c r="T2139" s="48" t="n">
        <v>35.98</v>
      </c>
      <c r="U2139" s="49" t="n">
        <v>2</v>
      </c>
      <c r="V2139" s="49" t="n">
        <v>25</v>
      </c>
      <c r="W2139" s="50" t="n">
        <v>0.08</v>
      </c>
      <c r="X2139" s="51" t="n">
        <v>0</v>
      </c>
      <c r="Y2139" s="52" t="n">
        <v>0</v>
      </c>
      <c r="Z2139" s="52" t="n">
        <v>0</v>
      </c>
      <c r="AA2139" s="52" t="n">
        <v>0</v>
      </c>
      <c r="AB2139" s="53" t="n">
        <v>0</v>
      </c>
      <c r="AC2139" s="52" t="n">
        <v>0</v>
      </c>
      <c r="AD2139" s="53" t="n">
        <v>0</v>
      </c>
      <c r="AE2139" s="52" t="n">
        <v>17.99</v>
      </c>
      <c r="AF2139" s="51" t="n">
        <v>0</v>
      </c>
      <c r="AG2139" s="48" t="n">
        <v>42.97</v>
      </c>
      <c r="AH2139" s="49" t="n">
        <v>2</v>
      </c>
      <c r="AI2139" s="49" t="n">
        <v>30</v>
      </c>
      <c r="AJ2139" s="50" t="n">
        <v>0.06666666666666667</v>
      </c>
      <c r="AK2139" s="51" t="n">
        <v>0</v>
      </c>
      <c r="AL2139" s="52" t="n">
        <v>0</v>
      </c>
      <c r="AM2139" s="52" t="n">
        <v>0</v>
      </c>
      <c r="AN2139" s="52" t="n">
        <v>0</v>
      </c>
      <c r="AO2139" s="53" t="n">
        <v>0</v>
      </c>
      <c r="AP2139" s="52" t="n">
        <v>0</v>
      </c>
      <c r="AQ2139" s="53" t="n">
        <v>0</v>
      </c>
      <c r="AR2139" s="52" t="n">
        <v>21.485</v>
      </c>
      <c r="AS2139" s="51" t="n">
        <v>0</v>
      </c>
      <c r="AT2139" s="48" t="n">
        <v>0</v>
      </c>
      <c r="AU2139" s="49" t="n">
        <v>0</v>
      </c>
      <c r="AV2139" s="49" t="n">
        <v>29</v>
      </c>
      <c r="AW2139" s="50" t="n">
        <v>0</v>
      </c>
      <c r="AX2139" s="51" t="n">
        <v>0</v>
      </c>
      <c r="AY2139" s="52" t="n">
        <v>0</v>
      </c>
      <c r="AZ2139" s="52" t="n">
        <v>0</v>
      </c>
      <c r="BA2139" s="52" t="n">
        <v>0</v>
      </c>
      <c r="BB2139" s="53" t="n">
        <v>0</v>
      </c>
      <c r="BC2139" s="52" t="n">
        <v>0</v>
      </c>
      <c r="BD2139" s="53" t="n">
        <v>0</v>
      </c>
      <c r="BE2139" s="52" t="n">
        <v>0</v>
      </c>
      <c r="BF2139" s="51" t="n">
        <v>0</v>
      </c>
    </row>
    <row r="2140">
      <c r="A2140">
        <f>HYPERLINK("https://www.walmart.com/ip/328760075", "328760075")</f>
        <v/>
      </c>
      <c r="B2140" t="inlineStr">
        <is>
          <t>Terra Youth Reflective Knit Hat High Visibility Cold Weather Running Beanie Cool</t>
        </is>
      </c>
      <c r="C2140" t="inlineStr">
        <is>
          <t>TERRABN01-RO</t>
        </is>
      </c>
      <c r="D2140" t="inlineStr">
        <is>
          <t>Hats</t>
        </is>
      </c>
      <c r="E2140" t="inlineStr">
        <is>
          <t>Terra</t>
        </is>
      </c>
      <c r="G2140" s="48" t="n">
        <v>0</v>
      </c>
      <c r="H2140" s="49" t="n">
        <v>0</v>
      </c>
      <c r="I2140" s="49" t="n">
        <v>0</v>
      </c>
      <c r="J2140" s="50" t="n">
        <v>0</v>
      </c>
      <c r="K2140" s="51" t="n">
        <v>0</v>
      </c>
      <c r="L2140" s="52" t="n">
        <v>0</v>
      </c>
      <c r="M2140" s="52" t="n">
        <v>0</v>
      </c>
      <c r="N2140" s="52" t="n">
        <v>0</v>
      </c>
      <c r="O2140" s="53" t="n">
        <v>0</v>
      </c>
      <c r="P2140" s="52" t="n">
        <v>0</v>
      </c>
      <c r="Q2140" s="53" t="n">
        <v>0</v>
      </c>
      <c r="R2140" s="52" t="n">
        <v>0</v>
      </c>
      <c r="S2140" s="51" t="n">
        <v>0</v>
      </c>
      <c r="T2140" s="48" t="n">
        <v>0</v>
      </c>
      <c r="U2140" s="49" t="n">
        <v>0</v>
      </c>
      <c r="V2140" s="49" t="n">
        <v>0</v>
      </c>
      <c r="W2140" s="50" t="n">
        <v>0</v>
      </c>
      <c r="X2140" s="51" t="n">
        <v>0</v>
      </c>
      <c r="Y2140" s="52" t="n">
        <v>0</v>
      </c>
      <c r="Z2140" s="52" t="n">
        <v>0</v>
      </c>
      <c r="AA2140" s="52" t="n">
        <v>0</v>
      </c>
      <c r="AB2140" s="53" t="n">
        <v>0</v>
      </c>
      <c r="AC2140" s="52" t="n">
        <v>0</v>
      </c>
      <c r="AD2140" s="53" t="n">
        <v>0</v>
      </c>
      <c r="AE2140" s="52" t="n">
        <v>0</v>
      </c>
      <c r="AF2140" s="51" t="n">
        <v>0</v>
      </c>
      <c r="AG2140" s="48" t="n">
        <v>0</v>
      </c>
      <c r="AH2140" s="49" t="n">
        <v>0</v>
      </c>
      <c r="AI2140" s="49" t="n">
        <v>0</v>
      </c>
      <c r="AJ2140" s="50" t="n">
        <v>0</v>
      </c>
      <c r="AK2140" s="51" t="n">
        <v>0</v>
      </c>
      <c r="AL2140" s="52" t="n">
        <v>0</v>
      </c>
      <c r="AM2140" s="52" t="n">
        <v>0</v>
      </c>
      <c r="AN2140" s="52" t="n">
        <v>0</v>
      </c>
      <c r="AO2140" s="53" t="n">
        <v>0</v>
      </c>
      <c r="AP2140" s="52" t="n">
        <v>0</v>
      </c>
      <c r="AQ2140" s="53" t="n">
        <v>0</v>
      </c>
      <c r="AR2140" s="52" t="n">
        <v>0</v>
      </c>
      <c r="AS2140" s="51" t="n">
        <v>0</v>
      </c>
      <c r="AT2140" s="48" t="n">
        <v>0</v>
      </c>
      <c r="AU2140" s="49" t="n">
        <v>0</v>
      </c>
      <c r="AV2140" s="49" t="n">
        <v>0</v>
      </c>
      <c r="AW2140" s="50" t="n">
        <v>0</v>
      </c>
      <c r="AX2140" s="51" t="n">
        <v>0</v>
      </c>
      <c r="AY2140" s="52" t="n">
        <v>0</v>
      </c>
      <c r="AZ2140" s="52" t="n">
        <v>0</v>
      </c>
      <c r="BA2140" s="52" t="n">
        <v>0</v>
      </c>
      <c r="BB2140" s="53" t="n">
        <v>0</v>
      </c>
      <c r="BC2140" s="52" t="n">
        <v>0</v>
      </c>
      <c r="BD2140" s="53" t="n">
        <v>0</v>
      </c>
      <c r="BE2140" s="52" t="n">
        <v>0</v>
      </c>
      <c r="BF2140" s="51" t="n">
        <v>0</v>
      </c>
    </row>
    <row r="2141">
      <c r="A2141">
        <f>HYPERLINK("https://www.walmart.com/ip/302499900", "302499900")</f>
        <v/>
      </c>
      <c r="B2141" t="inlineStr">
        <is>
          <t>Tirrinia Snowflake Sherpa Throw Blanket 50" x 60", Super Soft Fluffy Sherpa Throw TV Blanket Decorative Blanket for Bed Couch Holidays | Catalonia series | Grey</t>
        </is>
      </c>
      <c r="C2141" t="inlineStr">
        <is>
          <t>1TRBF390GY-TBCB</t>
        </is>
      </c>
      <c r="D2141" t="inlineStr">
        <is>
          <t>Throws</t>
        </is>
      </c>
      <c r="E2141" t="inlineStr">
        <is>
          <t>Tirrinia</t>
        </is>
      </c>
      <c r="F2141" t="inlineStr">
        <is>
          <t>Q2-Target,Batch 1 - TR</t>
        </is>
      </c>
      <c r="G2141" s="48" t="n">
        <v>0</v>
      </c>
      <c r="H2141" s="49" t="n">
        <v>0</v>
      </c>
      <c r="I2141" s="49" t="n">
        <v>0</v>
      </c>
      <c r="J2141" s="50" t="n">
        <v>0</v>
      </c>
      <c r="K2141" s="51" t="n">
        <v>0</v>
      </c>
      <c r="L2141" s="52" t="n">
        <v>0</v>
      </c>
      <c r="M2141" s="52" t="n">
        <v>0</v>
      </c>
      <c r="N2141" s="52" t="n">
        <v>0</v>
      </c>
      <c r="O2141" s="53" t="n">
        <v>0</v>
      </c>
      <c r="P2141" s="52" t="n">
        <v>0</v>
      </c>
      <c r="Q2141" s="53" t="n">
        <v>0</v>
      </c>
      <c r="R2141" s="52" t="n">
        <v>0</v>
      </c>
      <c r="S2141" s="51" t="n">
        <v>0</v>
      </c>
      <c r="T2141" s="48" t="n">
        <v>0</v>
      </c>
      <c r="U2141" s="49" t="n">
        <v>0</v>
      </c>
      <c r="V2141" s="49" t="n">
        <v>0</v>
      </c>
      <c r="W2141" s="50" t="n">
        <v>0</v>
      </c>
      <c r="X2141" s="51" t="n">
        <v>0</v>
      </c>
      <c r="Y2141" s="52" t="n">
        <v>0</v>
      </c>
      <c r="Z2141" s="52" t="n">
        <v>0</v>
      </c>
      <c r="AA2141" s="52" t="n">
        <v>0</v>
      </c>
      <c r="AB2141" s="53" t="n">
        <v>0</v>
      </c>
      <c r="AC2141" s="52" t="n">
        <v>0</v>
      </c>
      <c r="AD2141" s="53" t="n">
        <v>0</v>
      </c>
      <c r="AE2141" s="52" t="n">
        <v>0</v>
      </c>
      <c r="AF2141" s="51" t="n">
        <v>0</v>
      </c>
      <c r="AG2141" s="48" t="n">
        <v>0</v>
      </c>
      <c r="AH2141" s="49" t="n">
        <v>0</v>
      </c>
      <c r="AI2141" s="49" t="n">
        <v>0</v>
      </c>
      <c r="AJ2141" s="50" t="n">
        <v>0</v>
      </c>
      <c r="AK2141" s="51" t="n">
        <v>0</v>
      </c>
      <c r="AL2141" s="52" t="n">
        <v>0</v>
      </c>
      <c r="AM2141" s="52" t="n">
        <v>0</v>
      </c>
      <c r="AN2141" s="52" t="n">
        <v>0</v>
      </c>
      <c r="AO2141" s="53" t="n">
        <v>0</v>
      </c>
      <c r="AP2141" s="52" t="n">
        <v>0</v>
      </c>
      <c r="AQ2141" s="53" t="n">
        <v>0</v>
      </c>
      <c r="AR2141" s="52" t="n">
        <v>0</v>
      </c>
      <c r="AS2141" s="51" t="n">
        <v>0</v>
      </c>
      <c r="AT2141" s="48" t="n">
        <v>0</v>
      </c>
      <c r="AU2141" s="49" t="n">
        <v>0</v>
      </c>
      <c r="AV2141" s="49" t="n">
        <v>0</v>
      </c>
      <c r="AW2141" s="50" t="n">
        <v>0</v>
      </c>
      <c r="AX2141" s="51" t="n">
        <v>0</v>
      </c>
      <c r="AY2141" s="52" t="n">
        <v>0</v>
      </c>
      <c r="AZ2141" s="52" t="n">
        <v>0</v>
      </c>
      <c r="BA2141" s="52" t="n">
        <v>0</v>
      </c>
      <c r="BB2141" s="53" t="n">
        <v>0</v>
      </c>
      <c r="BC2141" s="52" t="n">
        <v>0</v>
      </c>
      <c r="BD2141" s="53" t="n">
        <v>0</v>
      </c>
      <c r="BE2141" s="52" t="n">
        <v>0</v>
      </c>
      <c r="BF2141" s="51" t="n">
        <v>0</v>
      </c>
    </row>
    <row r="2142">
      <c r="A2142">
        <f>HYPERLINK("https://www.walmart.com/ip/304221150", "304221150")</f>
        <v/>
      </c>
      <c r="B2142" t="inlineStr">
        <is>
          <t>Pink Sherpa Throw Blanket, Fuzzy Snuggle Blanket for Camping Traveling Couch Bed, Super Soft, Light Weight, Reversible, All Season Use, 50x60 inches</t>
        </is>
      </c>
      <c r="C2142" t="inlineStr">
        <is>
          <t>1CTBF566PK</t>
        </is>
      </c>
      <c r="D2142" t="inlineStr">
        <is>
          <t>Throws</t>
        </is>
      </c>
      <c r="E2142" t="inlineStr">
        <is>
          <t>Catalonia</t>
        </is>
      </c>
      <c r="F2142" t="inlineStr">
        <is>
          <t>Q2-Target,WFS,Coupon_Discount,WFS Item</t>
        </is>
      </c>
      <c r="G2142" s="48" t="n">
        <v>0</v>
      </c>
      <c r="H2142" s="49" t="n">
        <v>0</v>
      </c>
      <c r="I2142" s="49" t="n">
        <v>0</v>
      </c>
      <c r="J2142" s="50" t="n">
        <v>0</v>
      </c>
      <c r="K2142" s="51" t="n">
        <v>0</v>
      </c>
      <c r="L2142" s="52" t="n">
        <v>0</v>
      </c>
      <c r="M2142" s="52" t="n">
        <v>0</v>
      </c>
      <c r="N2142" s="52" t="n">
        <v>0</v>
      </c>
      <c r="O2142" s="53" t="n">
        <v>0</v>
      </c>
      <c r="P2142" s="52" t="n">
        <v>0</v>
      </c>
      <c r="Q2142" s="53" t="n">
        <v>0</v>
      </c>
      <c r="R2142" s="52" t="n">
        <v>0</v>
      </c>
      <c r="S2142" s="51" t="n">
        <v>0</v>
      </c>
      <c r="T2142" s="48" t="n">
        <v>0</v>
      </c>
      <c r="U2142" s="49" t="n">
        <v>0</v>
      </c>
      <c r="V2142" s="49" t="n">
        <v>0</v>
      </c>
      <c r="W2142" s="50" t="n">
        <v>0</v>
      </c>
      <c r="X2142" s="51" t="n">
        <v>0</v>
      </c>
      <c r="Y2142" s="52" t="n">
        <v>0</v>
      </c>
      <c r="Z2142" s="52" t="n">
        <v>0</v>
      </c>
      <c r="AA2142" s="52" t="n">
        <v>0</v>
      </c>
      <c r="AB2142" s="53" t="n">
        <v>0</v>
      </c>
      <c r="AC2142" s="52" t="n">
        <v>0</v>
      </c>
      <c r="AD2142" s="53" t="n">
        <v>0</v>
      </c>
      <c r="AE2142" s="52" t="n">
        <v>0</v>
      </c>
      <c r="AF2142" s="51" t="n">
        <v>0</v>
      </c>
      <c r="AG2142" s="48" t="n">
        <v>0</v>
      </c>
      <c r="AH2142" s="49" t="n">
        <v>0</v>
      </c>
      <c r="AI2142" s="49" t="n">
        <v>0</v>
      </c>
      <c r="AJ2142" s="50" t="n">
        <v>0</v>
      </c>
      <c r="AK2142" s="51" t="n">
        <v>0</v>
      </c>
      <c r="AL2142" s="52" t="n">
        <v>0</v>
      </c>
      <c r="AM2142" s="52" t="n">
        <v>0</v>
      </c>
      <c r="AN2142" s="52" t="n">
        <v>0</v>
      </c>
      <c r="AO2142" s="53" t="n">
        <v>0</v>
      </c>
      <c r="AP2142" s="52" t="n">
        <v>0</v>
      </c>
      <c r="AQ2142" s="53" t="n">
        <v>0</v>
      </c>
      <c r="AR2142" s="52" t="n">
        <v>0</v>
      </c>
      <c r="AS2142" s="51" t="n">
        <v>0</v>
      </c>
      <c r="AT2142" s="48" t="n">
        <v>0</v>
      </c>
      <c r="AU2142" s="49" t="n">
        <v>0</v>
      </c>
      <c r="AV2142" s="49" t="n">
        <v>0</v>
      </c>
      <c r="AW2142" s="50" t="n">
        <v>0</v>
      </c>
      <c r="AX2142" s="51" t="n">
        <v>0</v>
      </c>
      <c r="AY2142" s="52" t="n">
        <v>0</v>
      </c>
      <c r="AZ2142" s="52" t="n">
        <v>0</v>
      </c>
      <c r="BA2142" s="52" t="n">
        <v>0</v>
      </c>
      <c r="BB2142" s="53" t="n">
        <v>0</v>
      </c>
      <c r="BC2142" s="52" t="n">
        <v>0</v>
      </c>
      <c r="BD2142" s="53" t="n">
        <v>0</v>
      </c>
      <c r="BE2142" s="52" t="n">
        <v>0</v>
      </c>
      <c r="BF2142" s="51" t="n">
        <v>0</v>
      </c>
    </row>
    <row r="2143">
      <c r="A2143">
        <f>HYPERLINK("https://www.walmart.com/ip/305329935", "305329935")</f>
        <v/>
      </c>
      <c r="B2143" t="inlineStr">
        <is>
          <t>Single Wine Cooler Bags - Insulated &amp; Padded Portable Wine Tote Carrier for Travel, BYOB Restaurant, Wine Tasting, Party, Great Christmas Gift for Wine Lover, Blue Stripe</t>
        </is>
      </c>
      <c r="C2143" t="inlineStr">
        <is>
          <t>1WMWB101STR</t>
        </is>
      </c>
      <c r="D2143" t="inlineStr">
        <is>
          <t>Wine Totes, Bags &amp; Backpacks</t>
        </is>
      </c>
      <c r="E2143" t="inlineStr">
        <is>
          <t>Flyingstar</t>
        </is>
      </c>
      <c r="F2143" t="inlineStr">
        <is>
          <t>Wine,Christmas,Optimized,Valentine</t>
        </is>
      </c>
      <c r="G2143" s="48" t="n">
        <v>0</v>
      </c>
      <c r="H2143" s="49" t="n">
        <v>0</v>
      </c>
      <c r="I2143" s="49" t="n">
        <v>0</v>
      </c>
      <c r="J2143" s="50" t="n">
        <v>0</v>
      </c>
      <c r="K2143" s="51" t="n">
        <v>0</v>
      </c>
      <c r="L2143" s="52" t="n">
        <v>0</v>
      </c>
      <c r="M2143" s="52" t="n">
        <v>0</v>
      </c>
      <c r="N2143" s="52" t="n">
        <v>0</v>
      </c>
      <c r="O2143" s="53" t="n">
        <v>0</v>
      </c>
      <c r="P2143" s="52" t="n">
        <v>0</v>
      </c>
      <c r="Q2143" s="53" t="n">
        <v>0</v>
      </c>
      <c r="R2143" s="52" t="n">
        <v>0</v>
      </c>
      <c r="S2143" s="51" t="n">
        <v>0</v>
      </c>
      <c r="T2143" s="48" t="n">
        <v>0</v>
      </c>
      <c r="U2143" s="49" t="n">
        <v>0</v>
      </c>
      <c r="V2143" s="49" t="n">
        <v>0</v>
      </c>
      <c r="W2143" s="50" t="n">
        <v>0</v>
      </c>
      <c r="X2143" s="51" t="n">
        <v>0</v>
      </c>
      <c r="Y2143" s="52" t="n">
        <v>0</v>
      </c>
      <c r="Z2143" s="52" t="n">
        <v>0</v>
      </c>
      <c r="AA2143" s="52" t="n">
        <v>0</v>
      </c>
      <c r="AB2143" s="53" t="n">
        <v>0</v>
      </c>
      <c r="AC2143" s="52" t="n">
        <v>0</v>
      </c>
      <c r="AD2143" s="53" t="n">
        <v>0</v>
      </c>
      <c r="AE2143" s="52" t="n">
        <v>0</v>
      </c>
      <c r="AF2143" s="51" t="n">
        <v>0</v>
      </c>
      <c r="AG2143" s="48" t="n">
        <v>13.99</v>
      </c>
      <c r="AH2143" s="49" t="n">
        <v>1</v>
      </c>
      <c r="AI2143" s="49" t="n">
        <v>0</v>
      </c>
      <c r="AJ2143" s="50" t="n">
        <v>0</v>
      </c>
      <c r="AK2143" s="51" t="n">
        <v>0</v>
      </c>
      <c r="AL2143" s="52" t="n">
        <v>0</v>
      </c>
      <c r="AM2143" s="52" t="n">
        <v>0</v>
      </c>
      <c r="AN2143" s="52" t="n">
        <v>0</v>
      </c>
      <c r="AO2143" s="53" t="n">
        <v>0</v>
      </c>
      <c r="AP2143" s="52" t="n">
        <v>0</v>
      </c>
      <c r="AQ2143" s="53" t="n">
        <v>0</v>
      </c>
      <c r="AR2143" s="52" t="n">
        <v>13.99</v>
      </c>
      <c r="AS2143" s="51" t="n">
        <v>0</v>
      </c>
      <c r="AT2143" s="48" t="n">
        <v>13.99</v>
      </c>
      <c r="AU2143" s="49" t="n">
        <v>1</v>
      </c>
      <c r="AV2143" s="49" t="n">
        <v>0</v>
      </c>
      <c r="AW2143" s="50" t="n">
        <v>0</v>
      </c>
      <c r="AX2143" s="51" t="n">
        <v>0</v>
      </c>
      <c r="AY2143" s="52" t="n">
        <v>0</v>
      </c>
      <c r="AZ2143" s="52" t="n">
        <v>0</v>
      </c>
      <c r="BA2143" s="52" t="n">
        <v>0</v>
      </c>
      <c r="BB2143" s="53" t="n">
        <v>0</v>
      </c>
      <c r="BC2143" s="52" t="n">
        <v>0</v>
      </c>
      <c r="BD2143" s="53" t="n">
        <v>0</v>
      </c>
      <c r="BE2143" s="52" t="n">
        <v>13.99</v>
      </c>
      <c r="BF2143" s="51" t="n">
        <v>0</v>
      </c>
    </row>
    <row r="2144">
      <c r="A2144">
        <f>HYPERLINK("https://www.walmart.com/ip/305581641", "305581641")</f>
        <v/>
      </c>
      <c r="B2144" t="inlineStr">
        <is>
          <t>Tirrinia Bamboo Wine Picnic Table, Ideal Wine Lover Gift, Large Folding Portable Outdoor Snack and Cheese Tray with 4 Wine Glasses Holder for Concerts at Park, Party, or Beach, 17" x 12.6" x 7''</t>
        </is>
      </c>
      <c r="C2144" t="inlineStr">
        <is>
          <t>1TRPT140</t>
        </is>
      </c>
      <c r="D2144" t="inlineStr">
        <is>
          <t>Wine Glasses</t>
        </is>
      </c>
      <c r="E2144" t="inlineStr">
        <is>
          <t>Tirrinia</t>
        </is>
      </c>
      <c r="F2144" t="inlineStr">
        <is>
          <t>Wine,Optimized,WFS,Valentine,SEM,WFS Item</t>
        </is>
      </c>
      <c r="G2144" s="48" t="n">
        <v>0</v>
      </c>
      <c r="H2144" s="49" t="n">
        <v>0</v>
      </c>
      <c r="I2144" s="49" t="n">
        <v>0</v>
      </c>
      <c r="J2144" s="50" t="n">
        <v>0</v>
      </c>
      <c r="K2144" s="51" t="n">
        <v>0</v>
      </c>
      <c r="L2144" s="52" t="n">
        <v>0</v>
      </c>
      <c r="M2144" s="52" t="n">
        <v>0</v>
      </c>
      <c r="N2144" s="52" t="n">
        <v>0</v>
      </c>
      <c r="O2144" s="53" t="n">
        <v>0</v>
      </c>
      <c r="P2144" s="52" t="n">
        <v>0</v>
      </c>
      <c r="Q2144" s="53" t="n">
        <v>0</v>
      </c>
      <c r="R2144" s="52" t="n">
        <v>0</v>
      </c>
      <c r="S2144" s="51" t="n">
        <v>0</v>
      </c>
      <c r="T2144" s="48" t="n">
        <v>0</v>
      </c>
      <c r="U2144" s="49" t="n">
        <v>0</v>
      </c>
      <c r="V2144" s="49" t="n">
        <v>0</v>
      </c>
      <c r="W2144" s="50" t="n">
        <v>0</v>
      </c>
      <c r="X2144" s="51" t="n">
        <v>0</v>
      </c>
      <c r="Y2144" s="52" t="n">
        <v>0</v>
      </c>
      <c r="Z2144" s="52" t="n">
        <v>0</v>
      </c>
      <c r="AA2144" s="52" t="n">
        <v>0</v>
      </c>
      <c r="AB2144" s="53" t="n">
        <v>0</v>
      </c>
      <c r="AC2144" s="52" t="n">
        <v>0</v>
      </c>
      <c r="AD2144" s="53" t="n">
        <v>0</v>
      </c>
      <c r="AE2144" s="52" t="n">
        <v>0</v>
      </c>
      <c r="AF2144" s="51" t="n">
        <v>0</v>
      </c>
      <c r="AG2144" s="48" t="n">
        <v>0</v>
      </c>
      <c r="AH2144" s="49" t="n">
        <v>0</v>
      </c>
      <c r="AI2144" s="49" t="n">
        <v>0</v>
      </c>
      <c r="AJ2144" s="50" t="n">
        <v>0</v>
      </c>
      <c r="AK2144" s="51" t="n">
        <v>0</v>
      </c>
      <c r="AL2144" s="52" t="n">
        <v>0</v>
      </c>
      <c r="AM2144" s="52" t="n">
        <v>0</v>
      </c>
      <c r="AN2144" s="52" t="n">
        <v>0</v>
      </c>
      <c r="AO2144" s="53" t="n">
        <v>0</v>
      </c>
      <c r="AP2144" s="52" t="n">
        <v>0</v>
      </c>
      <c r="AQ2144" s="53" t="n">
        <v>0</v>
      </c>
      <c r="AR2144" s="52" t="n">
        <v>0</v>
      </c>
      <c r="AS2144" s="51" t="n">
        <v>0</v>
      </c>
      <c r="AT2144" s="48" t="n">
        <v>0</v>
      </c>
      <c r="AU2144" s="49" t="n">
        <v>0</v>
      </c>
      <c r="AV2144" s="49" t="n">
        <v>0</v>
      </c>
      <c r="AW2144" s="50" t="n">
        <v>0</v>
      </c>
      <c r="AX2144" s="51" t="n">
        <v>0</v>
      </c>
      <c r="AY2144" s="52" t="n">
        <v>0</v>
      </c>
      <c r="AZ2144" s="52" t="n">
        <v>0</v>
      </c>
      <c r="BA2144" s="52" t="n">
        <v>0</v>
      </c>
      <c r="BB2144" s="53" t="n">
        <v>0</v>
      </c>
      <c r="BC2144" s="52" t="n">
        <v>0</v>
      </c>
      <c r="BD2144" s="53" t="n">
        <v>0</v>
      </c>
      <c r="BE2144" s="52" t="n">
        <v>0</v>
      </c>
      <c r="BF2144" s="51" t="n">
        <v>0</v>
      </c>
    </row>
    <row r="2145">
      <c r="A2145">
        <f>HYPERLINK("https://www.walmart.com/ip/306725543", "306725543")</f>
        <v/>
      </c>
      <c r="B2145" t="inlineStr">
        <is>
          <t>Catalonia Snowman Sherpa Throw Blanket, Super Soft Fleece Plush Sofa Couch Blanket, TV Bed Blanket, Comfy Cozy Fluffy Warm, Christmas Theme Throws, Holiday Gift( 50x60 inch, Grey)</t>
        </is>
      </c>
      <c r="C2145" t="inlineStr">
        <is>
          <t>1CTBF571SNOWMAN</t>
        </is>
      </c>
      <c r="D2145" t="inlineStr">
        <is>
          <t>Throws</t>
        </is>
      </c>
      <c r="E2145" t="inlineStr">
        <is>
          <t>Catalonia</t>
        </is>
      </c>
      <c r="F2145" t="inlineStr">
        <is>
          <t>Christmas,Optimized,Hero 5 Holidays</t>
        </is>
      </c>
      <c r="G2145" s="48" t="n">
        <v>0</v>
      </c>
      <c r="H2145" s="49" t="n">
        <v>0</v>
      </c>
      <c r="I2145" s="49" t="n">
        <v>0</v>
      </c>
      <c r="J2145" s="50" t="n">
        <v>0</v>
      </c>
      <c r="K2145" s="51" t="n">
        <v>0</v>
      </c>
      <c r="L2145" s="52" t="n">
        <v>0</v>
      </c>
      <c r="M2145" s="52" t="n">
        <v>0</v>
      </c>
      <c r="N2145" s="52" t="n">
        <v>0</v>
      </c>
      <c r="O2145" s="53" t="n">
        <v>0</v>
      </c>
      <c r="P2145" s="52" t="n">
        <v>0</v>
      </c>
      <c r="Q2145" s="53" t="n">
        <v>0</v>
      </c>
      <c r="R2145" s="52" t="n">
        <v>0</v>
      </c>
      <c r="S2145" s="51" t="n">
        <v>0</v>
      </c>
      <c r="T2145" s="48" t="n">
        <v>0</v>
      </c>
      <c r="U2145" s="49" t="n">
        <v>0</v>
      </c>
      <c r="V2145" s="49" t="n">
        <v>0</v>
      </c>
      <c r="W2145" s="50" t="n">
        <v>0</v>
      </c>
      <c r="X2145" s="51" t="n">
        <v>0</v>
      </c>
      <c r="Y2145" s="52" t="n">
        <v>0</v>
      </c>
      <c r="Z2145" s="52" t="n">
        <v>0</v>
      </c>
      <c r="AA2145" s="52" t="n">
        <v>0</v>
      </c>
      <c r="AB2145" s="53" t="n">
        <v>0</v>
      </c>
      <c r="AC2145" s="52" t="n">
        <v>0</v>
      </c>
      <c r="AD2145" s="53" t="n">
        <v>0</v>
      </c>
      <c r="AE2145" s="52" t="n">
        <v>0</v>
      </c>
      <c r="AF2145" s="51" t="n">
        <v>0</v>
      </c>
      <c r="AG2145" s="48" t="n">
        <v>0</v>
      </c>
      <c r="AH2145" s="49" t="n">
        <v>0</v>
      </c>
      <c r="AI2145" s="49" t="n">
        <v>0</v>
      </c>
      <c r="AJ2145" s="50" t="n">
        <v>0</v>
      </c>
      <c r="AK2145" s="51" t="n">
        <v>0</v>
      </c>
      <c r="AL2145" s="52" t="n">
        <v>0</v>
      </c>
      <c r="AM2145" s="52" t="n">
        <v>0</v>
      </c>
      <c r="AN2145" s="52" t="n">
        <v>0</v>
      </c>
      <c r="AO2145" s="53" t="n">
        <v>0</v>
      </c>
      <c r="AP2145" s="52" t="n">
        <v>0</v>
      </c>
      <c r="AQ2145" s="53" t="n">
        <v>0</v>
      </c>
      <c r="AR2145" s="52" t="n">
        <v>0</v>
      </c>
      <c r="AS2145" s="51" t="n">
        <v>0</v>
      </c>
      <c r="AT2145" s="48" t="n">
        <v>0</v>
      </c>
      <c r="AU2145" s="49" t="n">
        <v>0</v>
      </c>
      <c r="AV2145" s="49" t="n">
        <v>0</v>
      </c>
      <c r="AW2145" s="50" t="n">
        <v>0</v>
      </c>
      <c r="AX2145" s="51" t="n">
        <v>0</v>
      </c>
      <c r="AY2145" s="52" t="n">
        <v>0</v>
      </c>
      <c r="AZ2145" s="52" t="n">
        <v>0</v>
      </c>
      <c r="BA2145" s="52" t="n">
        <v>0</v>
      </c>
      <c r="BB2145" s="53" t="n">
        <v>0</v>
      </c>
      <c r="BC2145" s="52" t="n">
        <v>0</v>
      </c>
      <c r="BD2145" s="53" t="n">
        <v>0</v>
      </c>
      <c r="BE2145" s="52" t="n">
        <v>0</v>
      </c>
      <c r="BF2145" s="51" t="n">
        <v>0</v>
      </c>
    </row>
    <row r="2146">
      <c r="A2146">
        <f>HYPERLINK("https://www.walmart.com/ip/307597076", "307597076")</f>
        <v/>
      </c>
      <c r="B2146" t="inlineStr">
        <is>
          <t>Solaris Winter Cable Knit Beanie Hats with Fur Pom Pom for Women Ski Cap</t>
        </is>
      </c>
      <c r="C2146" t="inlineStr">
        <is>
          <t>1SLPPH01PK</t>
        </is>
      </c>
      <c r="D2146" t="inlineStr">
        <is>
          <t>Hats</t>
        </is>
      </c>
      <c r="E2146" t="inlineStr">
        <is>
          <t>Solaris</t>
        </is>
      </c>
      <c r="F2146" t="inlineStr">
        <is>
          <t>Batch 1 - TR</t>
        </is>
      </c>
      <c r="G2146" s="48" t="n">
        <v>0</v>
      </c>
      <c r="H2146" s="49" t="n">
        <v>0</v>
      </c>
      <c r="I2146" s="49" t="n">
        <v>0</v>
      </c>
      <c r="J2146" s="50" t="n">
        <v>0</v>
      </c>
      <c r="K2146" s="51" t="n">
        <v>0</v>
      </c>
      <c r="L2146" s="52" t="n">
        <v>0</v>
      </c>
      <c r="M2146" s="52" t="n">
        <v>0</v>
      </c>
      <c r="N2146" s="52" t="n">
        <v>0</v>
      </c>
      <c r="O2146" s="53" t="n">
        <v>0</v>
      </c>
      <c r="P2146" s="52" t="n">
        <v>0</v>
      </c>
      <c r="Q2146" s="53" t="n">
        <v>0</v>
      </c>
      <c r="R2146" s="52" t="n">
        <v>0</v>
      </c>
      <c r="S2146" s="51" t="n">
        <v>0</v>
      </c>
      <c r="T2146" s="48" t="n">
        <v>0</v>
      </c>
      <c r="U2146" s="49" t="n">
        <v>0</v>
      </c>
      <c r="V2146" s="49" t="n">
        <v>0</v>
      </c>
      <c r="W2146" s="50" t="n">
        <v>0</v>
      </c>
      <c r="X2146" s="51" t="n">
        <v>0</v>
      </c>
      <c r="Y2146" s="52" t="n">
        <v>0</v>
      </c>
      <c r="Z2146" s="52" t="n">
        <v>0</v>
      </c>
      <c r="AA2146" s="52" t="n">
        <v>0</v>
      </c>
      <c r="AB2146" s="53" t="n">
        <v>0</v>
      </c>
      <c r="AC2146" s="52" t="n">
        <v>0</v>
      </c>
      <c r="AD2146" s="53" t="n">
        <v>0</v>
      </c>
      <c r="AE2146" s="52" t="n">
        <v>0</v>
      </c>
      <c r="AF2146" s="51" t="n">
        <v>0</v>
      </c>
      <c r="AG2146" s="48" t="n">
        <v>0</v>
      </c>
      <c r="AH2146" s="49" t="n">
        <v>0</v>
      </c>
      <c r="AI2146" s="49" t="n">
        <v>0</v>
      </c>
      <c r="AJ2146" s="50" t="n">
        <v>0</v>
      </c>
      <c r="AK2146" s="51" t="n">
        <v>0</v>
      </c>
      <c r="AL2146" s="52" t="n">
        <v>0</v>
      </c>
      <c r="AM2146" s="52" t="n">
        <v>0</v>
      </c>
      <c r="AN2146" s="52" t="n">
        <v>0</v>
      </c>
      <c r="AO2146" s="53" t="n">
        <v>0</v>
      </c>
      <c r="AP2146" s="52" t="n">
        <v>0</v>
      </c>
      <c r="AQ2146" s="53" t="n">
        <v>0</v>
      </c>
      <c r="AR2146" s="52" t="n">
        <v>0</v>
      </c>
      <c r="AS2146" s="51" t="n">
        <v>0</v>
      </c>
      <c r="AT2146" s="48" t="n">
        <v>0</v>
      </c>
      <c r="AU2146" s="49" t="n">
        <v>0</v>
      </c>
      <c r="AV2146" s="49" t="n">
        <v>0</v>
      </c>
      <c r="AW2146" s="50" t="n">
        <v>0</v>
      </c>
      <c r="AX2146" s="51" t="n">
        <v>0</v>
      </c>
      <c r="AY2146" s="52" t="n">
        <v>0</v>
      </c>
      <c r="AZ2146" s="52" t="n">
        <v>0</v>
      </c>
      <c r="BA2146" s="52" t="n">
        <v>0</v>
      </c>
      <c r="BB2146" s="53" t="n">
        <v>0</v>
      </c>
      <c r="BC2146" s="52" t="n">
        <v>0</v>
      </c>
      <c r="BD2146" s="53" t="n">
        <v>0</v>
      </c>
      <c r="BE2146" s="52" t="n">
        <v>0</v>
      </c>
      <c r="BF2146" s="51" t="n">
        <v>0</v>
      </c>
    </row>
    <row r="2147">
      <c r="A2147">
        <f>HYPERLINK("https://www.walmart.com/ip/308261754", "308261754")</f>
        <v/>
      </c>
      <c r="B2147" t="inlineStr">
        <is>
          <t>Tirrinia Insulated 2 Bottle Wine Carrier Tote Cooler Bag for Travel Picnic Padded Champagne Glass Carrying Case</t>
        </is>
      </c>
      <c r="C2147" t="inlineStr">
        <is>
          <t>1WMWB221GY</t>
        </is>
      </c>
      <c r="D2147" t="inlineStr">
        <is>
          <t>Wine Totes, Bags &amp; Backpacks</t>
        </is>
      </c>
      <c r="E2147" t="inlineStr">
        <is>
          <t>Flyingstar</t>
        </is>
      </c>
      <c r="F2147" t="inlineStr">
        <is>
          <t>Wine,Christmas,Valentine</t>
        </is>
      </c>
      <c r="G2147" s="48" t="n">
        <v>0</v>
      </c>
      <c r="H2147" s="49" t="n">
        <v>0</v>
      </c>
      <c r="I2147" s="49" t="n">
        <v>0</v>
      </c>
      <c r="J2147" s="50" t="n">
        <v>0</v>
      </c>
      <c r="K2147" s="51" t="n">
        <v>0</v>
      </c>
      <c r="L2147" s="52" t="n">
        <v>0</v>
      </c>
      <c r="M2147" s="52" t="n">
        <v>0</v>
      </c>
      <c r="N2147" s="52" t="n">
        <v>0</v>
      </c>
      <c r="O2147" s="53" t="n">
        <v>0</v>
      </c>
      <c r="P2147" s="52" t="n">
        <v>0</v>
      </c>
      <c r="Q2147" s="53" t="n">
        <v>0</v>
      </c>
      <c r="R2147" s="52" t="n">
        <v>0</v>
      </c>
      <c r="S2147" s="51" t="n">
        <v>0</v>
      </c>
      <c r="T2147" s="48" t="n">
        <v>0</v>
      </c>
      <c r="U2147" s="49" t="n">
        <v>0</v>
      </c>
      <c r="V2147" s="49" t="n">
        <v>0</v>
      </c>
      <c r="W2147" s="50" t="n">
        <v>0</v>
      </c>
      <c r="X2147" s="51" t="n">
        <v>0</v>
      </c>
      <c r="Y2147" s="52" t="n">
        <v>0</v>
      </c>
      <c r="Z2147" s="52" t="n">
        <v>0</v>
      </c>
      <c r="AA2147" s="52" t="n">
        <v>0</v>
      </c>
      <c r="AB2147" s="53" t="n">
        <v>0</v>
      </c>
      <c r="AC2147" s="52" t="n">
        <v>0</v>
      </c>
      <c r="AD2147" s="53" t="n">
        <v>0</v>
      </c>
      <c r="AE2147" s="52" t="n">
        <v>0</v>
      </c>
      <c r="AF2147" s="51" t="n">
        <v>0</v>
      </c>
      <c r="AG2147" s="48" t="n">
        <v>0</v>
      </c>
      <c r="AH2147" s="49" t="n">
        <v>0</v>
      </c>
      <c r="AI2147" s="49" t="n">
        <v>0</v>
      </c>
      <c r="AJ2147" s="50" t="n">
        <v>0</v>
      </c>
      <c r="AK2147" s="51" t="n">
        <v>0</v>
      </c>
      <c r="AL2147" s="52" t="n">
        <v>0</v>
      </c>
      <c r="AM2147" s="52" t="n">
        <v>0</v>
      </c>
      <c r="AN2147" s="52" t="n">
        <v>0</v>
      </c>
      <c r="AO2147" s="53" t="n">
        <v>0</v>
      </c>
      <c r="AP2147" s="52" t="n">
        <v>0</v>
      </c>
      <c r="AQ2147" s="53" t="n">
        <v>0</v>
      </c>
      <c r="AR2147" s="52" t="n">
        <v>0</v>
      </c>
      <c r="AS2147" s="51" t="n">
        <v>0</v>
      </c>
      <c r="AT2147" s="48" t="n">
        <v>0</v>
      </c>
      <c r="AU2147" s="49" t="n">
        <v>0</v>
      </c>
      <c r="AV2147" s="49" t="n">
        <v>0</v>
      </c>
      <c r="AW2147" s="50" t="n">
        <v>0</v>
      </c>
      <c r="AX2147" s="51" t="n">
        <v>0</v>
      </c>
      <c r="AY2147" s="52" t="n">
        <v>0</v>
      </c>
      <c r="AZ2147" s="52" t="n">
        <v>0</v>
      </c>
      <c r="BA2147" s="52" t="n">
        <v>0</v>
      </c>
      <c r="BB2147" s="53" t="n">
        <v>0</v>
      </c>
      <c r="BC2147" s="52" t="n">
        <v>0</v>
      </c>
      <c r="BD2147" s="53" t="n">
        <v>0</v>
      </c>
      <c r="BE2147" s="52" t="n">
        <v>0</v>
      </c>
      <c r="BF2147" s="51" t="n">
        <v>0</v>
      </c>
    </row>
    <row r="2148">
      <c r="A2148">
        <f>HYPERLINK("https://www.walmart.com/ip/309002567", "309002567")</f>
        <v/>
      </c>
      <c r="B2148" t="inlineStr">
        <is>
          <t>Pawsse Large Dog Sherpa Blanket for Couch, Blue, 50" x 60"</t>
        </is>
      </c>
      <c r="C2148" t="inlineStr">
        <is>
          <t>1PSBF566BL-TBCB</t>
        </is>
      </c>
      <c r="D2148" t="inlineStr">
        <is>
          <t>Throws</t>
        </is>
      </c>
      <c r="E2148" t="inlineStr">
        <is>
          <t>Pawsse</t>
        </is>
      </c>
      <c r="F2148" t="inlineStr">
        <is>
          <t>Optimized</t>
        </is>
      </c>
      <c r="G2148" s="48" t="n">
        <v>0</v>
      </c>
      <c r="H2148" s="49" t="n">
        <v>0</v>
      </c>
      <c r="I2148" s="49" t="n">
        <v>0</v>
      </c>
      <c r="J2148" s="50" t="n">
        <v>0</v>
      </c>
      <c r="K2148" s="51" t="n">
        <v>0</v>
      </c>
      <c r="L2148" s="52" t="n">
        <v>0</v>
      </c>
      <c r="M2148" s="52" t="n">
        <v>0</v>
      </c>
      <c r="N2148" s="52" t="n">
        <v>0</v>
      </c>
      <c r="O2148" s="53" t="n">
        <v>0</v>
      </c>
      <c r="P2148" s="52" t="n">
        <v>0</v>
      </c>
      <c r="Q2148" s="53" t="n">
        <v>0</v>
      </c>
      <c r="R2148" s="52" t="n">
        <v>0</v>
      </c>
      <c r="S2148" s="51" t="n">
        <v>0</v>
      </c>
      <c r="T2148" s="48" t="n">
        <v>0</v>
      </c>
      <c r="U2148" s="49" t="n">
        <v>0</v>
      </c>
      <c r="V2148" s="49" t="n">
        <v>0</v>
      </c>
      <c r="W2148" s="50" t="n">
        <v>0</v>
      </c>
      <c r="X2148" s="51" t="n">
        <v>0</v>
      </c>
      <c r="Y2148" s="52" t="n">
        <v>0</v>
      </c>
      <c r="Z2148" s="52" t="n">
        <v>0</v>
      </c>
      <c r="AA2148" s="52" t="n">
        <v>0</v>
      </c>
      <c r="AB2148" s="53" t="n">
        <v>0</v>
      </c>
      <c r="AC2148" s="52" t="n">
        <v>0</v>
      </c>
      <c r="AD2148" s="53" t="n">
        <v>0</v>
      </c>
      <c r="AE2148" s="52" t="n">
        <v>0</v>
      </c>
      <c r="AF2148" s="51" t="n">
        <v>0</v>
      </c>
      <c r="AG2148" s="48" t="n">
        <v>0</v>
      </c>
      <c r="AH2148" s="49" t="n">
        <v>0</v>
      </c>
      <c r="AI2148" s="49" t="n">
        <v>0</v>
      </c>
      <c r="AJ2148" s="50" t="n">
        <v>0</v>
      </c>
      <c r="AK2148" s="51" t="n">
        <v>0</v>
      </c>
      <c r="AL2148" s="52" t="n">
        <v>0</v>
      </c>
      <c r="AM2148" s="52" t="n">
        <v>0</v>
      </c>
      <c r="AN2148" s="52" t="n">
        <v>0</v>
      </c>
      <c r="AO2148" s="53" t="n">
        <v>0</v>
      </c>
      <c r="AP2148" s="52" t="n">
        <v>0</v>
      </c>
      <c r="AQ2148" s="53" t="n">
        <v>0</v>
      </c>
      <c r="AR2148" s="52" t="n">
        <v>0</v>
      </c>
      <c r="AS2148" s="51" t="n">
        <v>0</v>
      </c>
      <c r="AT2148" s="48" t="n">
        <v>0</v>
      </c>
      <c r="AU2148" s="49" t="n">
        <v>0</v>
      </c>
      <c r="AV2148" s="49" t="n">
        <v>0</v>
      </c>
      <c r="AW2148" s="50" t="n">
        <v>0</v>
      </c>
      <c r="AX2148" s="51" t="n">
        <v>0</v>
      </c>
      <c r="AY2148" s="52" t="n">
        <v>0</v>
      </c>
      <c r="AZ2148" s="52" t="n">
        <v>0</v>
      </c>
      <c r="BA2148" s="52" t="n">
        <v>0</v>
      </c>
      <c r="BB2148" s="53" t="n">
        <v>0</v>
      </c>
      <c r="BC2148" s="52" t="n">
        <v>0</v>
      </c>
      <c r="BD2148" s="53" t="n">
        <v>0</v>
      </c>
      <c r="BE2148" s="52" t="n">
        <v>0</v>
      </c>
      <c r="BF2148" s="51" t="n">
        <v>0</v>
      </c>
    </row>
    <row r="2149">
      <c r="A2149">
        <f>HYPERLINK("https://www.walmart.com/ip/309312535", "309312535")</f>
        <v/>
      </c>
      <c r="B2149" t="inlineStr">
        <is>
          <t>Kids Mermaid Tail Blanket, Pillow Cushion,Super Soft Coral Plush Fleece Mermaids Snuggle Sleeping Bag for Girls Teens Children as Gifts 60"x21" by Catalonia</t>
        </is>
      </c>
      <c r="C2149" t="inlineStr">
        <is>
          <t>1CTMP100LB</t>
        </is>
      </c>
      <c r="D2149" t="inlineStr">
        <is>
          <t>Bed Blankets</t>
        </is>
      </c>
      <c r="E2149" t="inlineStr">
        <is>
          <t>Catalonia</t>
        </is>
      </c>
      <c r="F2149" t="inlineStr">
        <is>
          <t>Baby days,WFS,WFS Item</t>
        </is>
      </c>
      <c r="G2149" s="48" t="n">
        <v>0</v>
      </c>
      <c r="H2149" s="49" t="n">
        <v>0</v>
      </c>
      <c r="I2149" s="49" t="n">
        <v>0</v>
      </c>
      <c r="J2149" s="50" t="n">
        <v>0</v>
      </c>
      <c r="K2149" s="51" t="n">
        <v>0</v>
      </c>
      <c r="L2149" s="52" t="n">
        <v>0</v>
      </c>
      <c r="M2149" s="52" t="n">
        <v>0</v>
      </c>
      <c r="N2149" s="52" t="n">
        <v>0</v>
      </c>
      <c r="O2149" s="53" t="n">
        <v>0</v>
      </c>
      <c r="P2149" s="52" t="n">
        <v>0</v>
      </c>
      <c r="Q2149" s="53" t="n">
        <v>0</v>
      </c>
      <c r="R2149" s="52" t="n">
        <v>0</v>
      </c>
      <c r="S2149" s="51" t="n">
        <v>0</v>
      </c>
      <c r="T2149" s="48" t="n">
        <v>0</v>
      </c>
      <c r="U2149" s="49" t="n">
        <v>0</v>
      </c>
      <c r="V2149" s="49" t="n">
        <v>0</v>
      </c>
      <c r="W2149" s="50" t="n">
        <v>0</v>
      </c>
      <c r="X2149" s="51" t="n">
        <v>0</v>
      </c>
      <c r="Y2149" s="52" t="n">
        <v>0</v>
      </c>
      <c r="Z2149" s="52" t="n">
        <v>0</v>
      </c>
      <c r="AA2149" s="52" t="n">
        <v>0</v>
      </c>
      <c r="AB2149" s="53" t="n">
        <v>0</v>
      </c>
      <c r="AC2149" s="52" t="n">
        <v>0</v>
      </c>
      <c r="AD2149" s="53" t="n">
        <v>0</v>
      </c>
      <c r="AE2149" s="52" t="n">
        <v>0</v>
      </c>
      <c r="AF2149" s="51" t="n">
        <v>0</v>
      </c>
      <c r="AG2149" s="48" t="n">
        <v>0</v>
      </c>
      <c r="AH2149" s="49" t="n">
        <v>0</v>
      </c>
      <c r="AI2149" s="49" t="n">
        <v>0</v>
      </c>
      <c r="AJ2149" s="50" t="n">
        <v>0</v>
      </c>
      <c r="AK2149" s="51" t="n">
        <v>0</v>
      </c>
      <c r="AL2149" s="52" t="n">
        <v>0</v>
      </c>
      <c r="AM2149" s="52" t="n">
        <v>0</v>
      </c>
      <c r="AN2149" s="52" t="n">
        <v>0</v>
      </c>
      <c r="AO2149" s="53" t="n">
        <v>0</v>
      </c>
      <c r="AP2149" s="52" t="n">
        <v>0</v>
      </c>
      <c r="AQ2149" s="53" t="n">
        <v>0</v>
      </c>
      <c r="AR2149" s="52" t="n">
        <v>0</v>
      </c>
      <c r="AS2149" s="51" t="n">
        <v>0</v>
      </c>
      <c r="AT2149" s="48" t="n">
        <v>0</v>
      </c>
      <c r="AU2149" s="49" t="n">
        <v>0</v>
      </c>
      <c r="AV2149" s="49" t="n">
        <v>0</v>
      </c>
      <c r="AW2149" s="50" t="n">
        <v>0</v>
      </c>
      <c r="AX2149" s="51" t="n">
        <v>0</v>
      </c>
      <c r="AY2149" s="52" t="n">
        <v>0</v>
      </c>
      <c r="AZ2149" s="52" t="n">
        <v>0</v>
      </c>
      <c r="BA2149" s="52" t="n">
        <v>0</v>
      </c>
      <c r="BB2149" s="53" t="n">
        <v>0</v>
      </c>
      <c r="BC2149" s="52" t="n">
        <v>0</v>
      </c>
      <c r="BD2149" s="53" t="n">
        <v>0</v>
      </c>
      <c r="BE2149" s="52" t="n">
        <v>0</v>
      </c>
      <c r="BF2149" s="51" t="n">
        <v>0</v>
      </c>
    </row>
    <row r="2150">
      <c r="A2150">
        <f>HYPERLINK("https://www.walmart.com/ip/3093512939", "3093512939")</f>
        <v/>
      </c>
      <c r="B2150" t="inlineStr">
        <is>
          <t>Catalonia Waterproof Blanket for Outdoors, Hooded Blanket Poncho | Windproof, Warm, Wearable, Portable | for Stadium, Picnics, School Sporting Events, Camping, Beach, Outdoor Adventure</t>
        </is>
      </c>
      <c r="C2150" t="inlineStr">
        <is>
          <t>1CTBC200BKCAMO</t>
        </is>
      </c>
      <c r="D2150" t="inlineStr">
        <is>
          <t>Throws</t>
        </is>
      </c>
      <c r="E2150" t="inlineStr">
        <is>
          <t>Catalonia</t>
        </is>
      </c>
      <c r="F2150" t="inlineStr">
        <is>
          <t>Q2-Target,Wproof Blanket</t>
        </is>
      </c>
      <c r="G2150" s="48" t="n">
        <v>0</v>
      </c>
      <c r="H2150" s="49" t="n">
        <v>0</v>
      </c>
      <c r="I2150" s="49" t="n">
        <v>0</v>
      </c>
      <c r="J2150" s="50" t="n">
        <v>0</v>
      </c>
      <c r="K2150" s="51" t="n">
        <v>5</v>
      </c>
      <c r="L2150" s="52" t="n">
        <v>1.56</v>
      </c>
      <c r="M2150" s="52" t="n">
        <v>0</v>
      </c>
      <c r="N2150" s="52" t="n">
        <v>0</v>
      </c>
      <c r="O2150" s="53" t="n">
        <v>0.0015</v>
      </c>
      <c r="P2150" s="52" t="n">
        <v>0.312</v>
      </c>
      <c r="Q2150" s="53" t="n">
        <v>0</v>
      </c>
      <c r="R2150" s="52" t="n">
        <v>0</v>
      </c>
      <c r="S2150" s="51" t="n">
        <v>3249</v>
      </c>
      <c r="T2150" s="48" t="n">
        <v>0</v>
      </c>
      <c r="U2150" s="49" t="n">
        <v>0</v>
      </c>
      <c r="V2150" s="49" t="n">
        <v>0</v>
      </c>
      <c r="W2150" s="50" t="n">
        <v>0</v>
      </c>
      <c r="X2150" s="51" t="n">
        <v>3</v>
      </c>
      <c r="Y2150" s="52" t="n">
        <v>1.12</v>
      </c>
      <c r="Z2150" s="52" t="n">
        <v>0</v>
      </c>
      <c r="AA2150" s="52" t="n">
        <v>0</v>
      </c>
      <c r="AB2150" s="53" t="n">
        <v>0.0009</v>
      </c>
      <c r="AC2150" s="52" t="n">
        <v>0.3733333333333334</v>
      </c>
      <c r="AD2150" s="53" t="n">
        <v>0</v>
      </c>
      <c r="AE2150" s="52" t="n">
        <v>0</v>
      </c>
      <c r="AF2150" s="51" t="n">
        <v>3509</v>
      </c>
      <c r="AG2150" s="48" t="n">
        <v>0</v>
      </c>
      <c r="AH2150" s="49" t="n">
        <v>0</v>
      </c>
      <c r="AI2150" s="49" t="n">
        <v>0</v>
      </c>
      <c r="AJ2150" s="50" t="n">
        <v>0</v>
      </c>
      <c r="AK2150" s="51" t="n">
        <v>0</v>
      </c>
      <c r="AL2150" s="52" t="n">
        <v>0</v>
      </c>
      <c r="AM2150" s="52" t="n">
        <v>0</v>
      </c>
      <c r="AN2150" s="52" t="n">
        <v>0</v>
      </c>
      <c r="AO2150" s="53" t="n">
        <v>0</v>
      </c>
      <c r="AP2150" s="52" t="n">
        <v>0</v>
      </c>
      <c r="AQ2150" s="53" t="n">
        <v>0</v>
      </c>
      <c r="AR2150" s="52" t="n">
        <v>0</v>
      </c>
      <c r="AS2150" s="51" t="n">
        <v>0</v>
      </c>
      <c r="AT2150" s="48" t="n">
        <v>0</v>
      </c>
      <c r="AU2150" s="49" t="n">
        <v>0</v>
      </c>
      <c r="AV2150" s="49" t="n">
        <v>0</v>
      </c>
      <c r="AW2150" s="50" t="n">
        <v>0</v>
      </c>
      <c r="AX2150" s="51" t="n">
        <v>1</v>
      </c>
      <c r="AY2150" s="52" t="n">
        <v>0.45</v>
      </c>
      <c r="AZ2150" s="52" t="n">
        <v>0</v>
      </c>
      <c r="BA2150" s="52" t="n">
        <v>0</v>
      </c>
      <c r="BB2150" s="53" t="n">
        <v>0.0007</v>
      </c>
      <c r="BC2150" s="52" t="n">
        <v>0.45</v>
      </c>
      <c r="BD2150" s="53" t="n">
        <v>0</v>
      </c>
      <c r="BE2150" s="52" t="n">
        <v>0</v>
      </c>
      <c r="BF2150" s="51" t="n">
        <v>1344</v>
      </c>
    </row>
    <row r="2151">
      <c r="A2151">
        <f>HYPERLINK("https://www.walmart.com/ip/309657195", "309657195")</f>
        <v/>
      </c>
      <c r="B2151" t="inlineStr">
        <is>
          <t>Tirrinia Wide Brim Sun Hats Safari Fishing Boonie Cap Adult Teen Unisex</t>
        </is>
      </c>
      <c r="C2151" t="inlineStr">
        <is>
          <t>1TRSH191TN-TBCB</t>
        </is>
      </c>
      <c r="D2151" t="inlineStr">
        <is>
          <t>Hats</t>
        </is>
      </c>
      <c r="E2151" t="inlineStr">
        <is>
          <t>Sun Blocker</t>
        </is>
      </c>
      <c r="G2151" s="48" t="n">
        <v>0</v>
      </c>
      <c r="H2151" s="49" t="n">
        <v>0</v>
      </c>
      <c r="I2151" s="49" t="n">
        <v>0</v>
      </c>
      <c r="J2151" s="50" t="n">
        <v>0</v>
      </c>
      <c r="K2151" s="51" t="n">
        <v>0</v>
      </c>
      <c r="L2151" s="52" t="n">
        <v>0</v>
      </c>
      <c r="M2151" s="52" t="n">
        <v>0</v>
      </c>
      <c r="N2151" s="52" t="n">
        <v>0</v>
      </c>
      <c r="O2151" s="53" t="n">
        <v>0</v>
      </c>
      <c r="P2151" s="52" t="n">
        <v>0</v>
      </c>
      <c r="Q2151" s="53" t="n">
        <v>0</v>
      </c>
      <c r="R2151" s="52" t="n">
        <v>0</v>
      </c>
      <c r="S2151" s="51" t="n">
        <v>0</v>
      </c>
      <c r="T2151" s="48" t="n">
        <v>0</v>
      </c>
      <c r="U2151" s="49" t="n">
        <v>0</v>
      </c>
      <c r="V2151" s="49" t="n">
        <v>0</v>
      </c>
      <c r="W2151" s="50" t="n">
        <v>0</v>
      </c>
      <c r="X2151" s="51" t="n">
        <v>0</v>
      </c>
      <c r="Y2151" s="52" t="n">
        <v>0</v>
      </c>
      <c r="Z2151" s="52" t="n">
        <v>0</v>
      </c>
      <c r="AA2151" s="52" t="n">
        <v>0</v>
      </c>
      <c r="AB2151" s="53" t="n">
        <v>0</v>
      </c>
      <c r="AC2151" s="52" t="n">
        <v>0</v>
      </c>
      <c r="AD2151" s="53" t="n">
        <v>0</v>
      </c>
      <c r="AE2151" s="52" t="n">
        <v>0</v>
      </c>
      <c r="AF2151" s="51" t="n">
        <v>0</v>
      </c>
      <c r="AG2151" s="48" t="n">
        <v>0</v>
      </c>
      <c r="AH2151" s="49" t="n">
        <v>0</v>
      </c>
      <c r="AI2151" s="49" t="n">
        <v>0</v>
      </c>
      <c r="AJ2151" s="50" t="n">
        <v>0</v>
      </c>
      <c r="AK2151" s="51" t="n">
        <v>0</v>
      </c>
      <c r="AL2151" s="52" t="n">
        <v>0</v>
      </c>
      <c r="AM2151" s="52" t="n">
        <v>0</v>
      </c>
      <c r="AN2151" s="52" t="n">
        <v>0</v>
      </c>
      <c r="AO2151" s="53" t="n">
        <v>0</v>
      </c>
      <c r="AP2151" s="52" t="n">
        <v>0</v>
      </c>
      <c r="AQ2151" s="53" t="n">
        <v>0</v>
      </c>
      <c r="AR2151" s="52" t="n">
        <v>0</v>
      </c>
      <c r="AS2151" s="51" t="n">
        <v>0</v>
      </c>
      <c r="AT2151" s="48" t="n">
        <v>0</v>
      </c>
      <c r="AU2151" s="49" t="n">
        <v>0</v>
      </c>
      <c r="AV2151" s="49" t="n">
        <v>0</v>
      </c>
      <c r="AW2151" s="50" t="n">
        <v>0</v>
      </c>
      <c r="AX2151" s="51" t="n">
        <v>0</v>
      </c>
      <c r="AY2151" s="52" t="n">
        <v>0</v>
      </c>
      <c r="AZ2151" s="52" t="n">
        <v>0</v>
      </c>
      <c r="BA2151" s="52" t="n">
        <v>0</v>
      </c>
      <c r="BB2151" s="53" t="n">
        <v>0</v>
      </c>
      <c r="BC2151" s="52" t="n">
        <v>0</v>
      </c>
      <c r="BD2151" s="53" t="n">
        <v>0</v>
      </c>
      <c r="BE2151" s="52" t="n">
        <v>0</v>
      </c>
      <c r="BF2151" s="51" t="n">
        <v>0</v>
      </c>
    </row>
    <row r="2152">
      <c r="A2152">
        <f>HYPERLINK("https://www.walmart.com/ip/309842148", "309842148")</f>
        <v/>
      </c>
      <c r="B2152" t="inlineStr">
        <is>
          <t>Oversized Hoodie Blanket Sweatshirt,Super Soft Warm Comfortable Fleece Giant Pullover with Large Front Pocket,for Adults Men Women Teenagers Kids Wife Girlfriend</t>
        </is>
      </c>
      <c r="C2152" t="inlineStr">
        <is>
          <t>1WMHD300LT</t>
        </is>
      </c>
      <c r="D2152" t="inlineStr">
        <is>
          <t>Sweatshirts &amp; Hoodies</t>
        </is>
      </c>
      <c r="E2152" t="inlineStr">
        <is>
          <t>Flyingstar</t>
        </is>
      </c>
      <c r="F2152" t="inlineStr">
        <is>
          <t>Hoodie ForAdult,Optimized</t>
        </is>
      </c>
      <c r="G2152" s="48" t="n">
        <v>0</v>
      </c>
      <c r="H2152" s="49" t="n">
        <v>0</v>
      </c>
      <c r="I2152" s="49" t="n">
        <v>0</v>
      </c>
      <c r="J2152" s="50" t="n">
        <v>0</v>
      </c>
      <c r="K2152" s="51" t="n">
        <v>0</v>
      </c>
      <c r="L2152" s="52" t="n">
        <v>0</v>
      </c>
      <c r="M2152" s="52" t="n">
        <v>0</v>
      </c>
      <c r="N2152" s="52" t="n">
        <v>0</v>
      </c>
      <c r="O2152" s="53" t="n">
        <v>0</v>
      </c>
      <c r="P2152" s="52" t="n">
        <v>0</v>
      </c>
      <c r="Q2152" s="53" t="n">
        <v>0</v>
      </c>
      <c r="R2152" s="52" t="n">
        <v>0</v>
      </c>
      <c r="S2152" s="51" t="n">
        <v>0</v>
      </c>
      <c r="T2152" s="48" t="n">
        <v>0</v>
      </c>
      <c r="U2152" s="49" t="n">
        <v>0</v>
      </c>
      <c r="V2152" s="49" t="n">
        <v>0</v>
      </c>
      <c r="W2152" s="50" t="n">
        <v>0</v>
      </c>
      <c r="X2152" s="51" t="n">
        <v>0</v>
      </c>
      <c r="Y2152" s="52" t="n">
        <v>0</v>
      </c>
      <c r="Z2152" s="52" t="n">
        <v>0</v>
      </c>
      <c r="AA2152" s="52" t="n">
        <v>0</v>
      </c>
      <c r="AB2152" s="53" t="n">
        <v>0</v>
      </c>
      <c r="AC2152" s="52" t="n">
        <v>0</v>
      </c>
      <c r="AD2152" s="53" t="n">
        <v>0</v>
      </c>
      <c r="AE2152" s="52" t="n">
        <v>0</v>
      </c>
      <c r="AF2152" s="51" t="n">
        <v>0</v>
      </c>
      <c r="AG2152" s="48" t="n">
        <v>0</v>
      </c>
      <c r="AH2152" s="49" t="n">
        <v>0</v>
      </c>
      <c r="AI2152" s="49" t="n">
        <v>0</v>
      </c>
      <c r="AJ2152" s="50" t="n">
        <v>0</v>
      </c>
      <c r="AK2152" s="51" t="n">
        <v>0</v>
      </c>
      <c r="AL2152" s="52" t="n">
        <v>0</v>
      </c>
      <c r="AM2152" s="52" t="n">
        <v>0</v>
      </c>
      <c r="AN2152" s="52" t="n">
        <v>0</v>
      </c>
      <c r="AO2152" s="53" t="n">
        <v>0</v>
      </c>
      <c r="AP2152" s="52" t="n">
        <v>0</v>
      </c>
      <c r="AQ2152" s="53" t="n">
        <v>0</v>
      </c>
      <c r="AR2152" s="52" t="n">
        <v>0</v>
      </c>
      <c r="AS2152" s="51" t="n">
        <v>0</v>
      </c>
      <c r="AT2152" s="48" t="n">
        <v>0</v>
      </c>
      <c r="AU2152" s="49" t="n">
        <v>0</v>
      </c>
      <c r="AV2152" s="49" t="n">
        <v>0</v>
      </c>
      <c r="AW2152" s="50" t="n">
        <v>0</v>
      </c>
      <c r="AX2152" s="51" t="n">
        <v>0</v>
      </c>
      <c r="AY2152" s="52" t="n">
        <v>0</v>
      </c>
      <c r="AZ2152" s="52" t="n">
        <v>0</v>
      </c>
      <c r="BA2152" s="52" t="n">
        <v>0</v>
      </c>
      <c r="BB2152" s="53" t="n">
        <v>0</v>
      </c>
      <c r="BC2152" s="52" t="n">
        <v>0</v>
      </c>
      <c r="BD2152" s="53" t="n">
        <v>0</v>
      </c>
      <c r="BE2152" s="52" t="n">
        <v>0</v>
      </c>
      <c r="BF2152" s="51" t="n">
        <v>0</v>
      </c>
    </row>
    <row r="2153">
      <c r="A2153">
        <f>HYPERLINK("https://www.walmart.com/ip/3102312104", "3102312104")</f>
        <v/>
      </c>
      <c r="B2153" t="inlineStr">
        <is>
          <t>Medium Pet Travel Backpack Carrier for Dogs Cat Animal Puppy, Breathable Mesh Net Removable Sherpa Bed Outdoor Carrier f</t>
        </is>
      </c>
      <c r="C2153" t="inlineStr">
        <is>
          <t>1TRPB200BL</t>
        </is>
      </c>
      <c r="D2153" t="inlineStr">
        <is>
          <t>Pet Carriers</t>
        </is>
      </c>
      <c r="E2153" t="inlineStr">
        <is>
          <t>Kato</t>
        </is>
      </c>
      <c r="G2153" s="48" t="n">
        <v>0</v>
      </c>
      <c r="H2153" s="49" t="n">
        <v>0</v>
      </c>
      <c r="I2153" s="49" t="n">
        <v>0</v>
      </c>
      <c r="J2153" s="50" t="n">
        <v>0</v>
      </c>
      <c r="K2153" s="51" t="n">
        <v>0</v>
      </c>
      <c r="L2153" s="52" t="n">
        <v>0</v>
      </c>
      <c r="M2153" s="52" t="n">
        <v>0</v>
      </c>
      <c r="N2153" s="52" t="n">
        <v>0</v>
      </c>
      <c r="O2153" s="53" t="n">
        <v>0</v>
      </c>
      <c r="P2153" s="52" t="n">
        <v>0</v>
      </c>
      <c r="Q2153" s="53" t="n">
        <v>0</v>
      </c>
      <c r="R2153" s="52" t="n">
        <v>0</v>
      </c>
      <c r="S2153" s="51" t="n">
        <v>0</v>
      </c>
      <c r="T2153" s="48" t="n">
        <v>0</v>
      </c>
      <c r="U2153" s="49" t="n">
        <v>0</v>
      </c>
      <c r="V2153" s="49" t="n">
        <v>0</v>
      </c>
      <c r="W2153" s="50" t="n">
        <v>0</v>
      </c>
      <c r="X2153" s="51" t="n">
        <v>0</v>
      </c>
      <c r="Y2153" s="52" t="n">
        <v>0</v>
      </c>
      <c r="Z2153" s="52" t="n">
        <v>0</v>
      </c>
      <c r="AA2153" s="52" t="n">
        <v>0</v>
      </c>
      <c r="AB2153" s="53" t="n">
        <v>0</v>
      </c>
      <c r="AC2153" s="52" t="n">
        <v>0</v>
      </c>
      <c r="AD2153" s="53" t="n">
        <v>0</v>
      </c>
      <c r="AE2153" s="52" t="n">
        <v>0</v>
      </c>
      <c r="AF2153" s="51" t="n">
        <v>0</v>
      </c>
      <c r="AG2153" s="48" t="n">
        <v>0</v>
      </c>
      <c r="AH2153" s="49" t="n">
        <v>0</v>
      </c>
      <c r="AI2153" s="49" t="n">
        <v>0</v>
      </c>
      <c r="AJ2153" s="50" t="n">
        <v>0</v>
      </c>
      <c r="AK2153" s="51" t="n">
        <v>0</v>
      </c>
      <c r="AL2153" s="52" t="n">
        <v>0</v>
      </c>
      <c r="AM2153" s="52" t="n">
        <v>0</v>
      </c>
      <c r="AN2153" s="52" t="n">
        <v>0</v>
      </c>
      <c r="AO2153" s="53" t="n">
        <v>0</v>
      </c>
      <c r="AP2153" s="52" t="n">
        <v>0</v>
      </c>
      <c r="AQ2153" s="53" t="n">
        <v>0</v>
      </c>
      <c r="AR2153" s="52" t="n">
        <v>0</v>
      </c>
      <c r="AS2153" s="51" t="n">
        <v>0</v>
      </c>
      <c r="AT2153" s="48" t="n">
        <v>0</v>
      </c>
      <c r="AU2153" s="49" t="n">
        <v>0</v>
      </c>
      <c r="AV2153" s="49" t="n">
        <v>0</v>
      </c>
      <c r="AW2153" s="50" t="n">
        <v>0</v>
      </c>
      <c r="AX2153" s="51" t="n">
        <v>0</v>
      </c>
      <c r="AY2153" s="52" t="n">
        <v>0</v>
      </c>
      <c r="AZ2153" s="52" t="n">
        <v>0</v>
      </c>
      <c r="BA2153" s="52" t="n">
        <v>0</v>
      </c>
      <c r="BB2153" s="53" t="n">
        <v>0</v>
      </c>
      <c r="BC2153" s="52" t="n">
        <v>0</v>
      </c>
      <c r="BD2153" s="53" t="n">
        <v>0</v>
      </c>
      <c r="BE2153" s="52" t="n">
        <v>0</v>
      </c>
      <c r="BF2153" s="51" t="n">
        <v>0</v>
      </c>
    </row>
    <row r="2154">
      <c r="A2154">
        <f>HYPERLINK("https://www.walmart.com/ip/310588244", "310588244")</f>
        <v/>
      </c>
      <c r="B2154" t="inlineStr">
        <is>
          <t>Flyingstar Oversized Hoodie Blanket Sweatshirt, Super Soft, Warm, Comfortable Fleece Giant Pullover with Large Front Pocket, for Adults, Teenagers, and Kids, Gray</t>
        </is>
      </c>
      <c r="C2154" t="inlineStr">
        <is>
          <t>1WMHD300GY</t>
        </is>
      </c>
      <c r="D2154" t="inlineStr">
        <is>
          <t>Sweatshirts &amp; Hoodies</t>
        </is>
      </c>
      <c r="E2154" t="inlineStr">
        <is>
          <t>Flyingstar</t>
        </is>
      </c>
      <c r="F2154" t="inlineStr">
        <is>
          <t>Hoodie ForAdult,Optimized,WFS,WFS Item</t>
        </is>
      </c>
      <c r="G2154" s="48" t="n">
        <v>0</v>
      </c>
      <c r="H2154" s="49" t="n">
        <v>0</v>
      </c>
      <c r="I2154" s="49" t="n">
        <v>0</v>
      </c>
      <c r="J2154" s="50" t="n">
        <v>0</v>
      </c>
      <c r="K2154" s="51" t="n">
        <v>0</v>
      </c>
      <c r="L2154" s="52" t="n">
        <v>0</v>
      </c>
      <c r="M2154" s="52" t="n">
        <v>0</v>
      </c>
      <c r="N2154" s="52" t="n">
        <v>0</v>
      </c>
      <c r="O2154" s="53" t="n">
        <v>0</v>
      </c>
      <c r="P2154" s="52" t="n">
        <v>0</v>
      </c>
      <c r="Q2154" s="53" t="n">
        <v>0</v>
      </c>
      <c r="R2154" s="52" t="n">
        <v>0</v>
      </c>
      <c r="S2154" s="51" t="n">
        <v>0</v>
      </c>
      <c r="T2154" s="48" t="n">
        <v>0</v>
      </c>
      <c r="U2154" s="49" t="n">
        <v>0</v>
      </c>
      <c r="V2154" s="49" t="n">
        <v>0</v>
      </c>
      <c r="W2154" s="50" t="n">
        <v>0</v>
      </c>
      <c r="X2154" s="51" t="n">
        <v>0</v>
      </c>
      <c r="Y2154" s="52" t="n">
        <v>0</v>
      </c>
      <c r="Z2154" s="52" t="n">
        <v>0</v>
      </c>
      <c r="AA2154" s="52" t="n">
        <v>0</v>
      </c>
      <c r="AB2154" s="53" t="n">
        <v>0</v>
      </c>
      <c r="AC2154" s="52" t="n">
        <v>0</v>
      </c>
      <c r="AD2154" s="53" t="n">
        <v>0</v>
      </c>
      <c r="AE2154" s="52" t="n">
        <v>0</v>
      </c>
      <c r="AF2154" s="51" t="n">
        <v>0</v>
      </c>
      <c r="AG2154" s="48" t="n">
        <v>0</v>
      </c>
      <c r="AH2154" s="49" t="n">
        <v>0</v>
      </c>
      <c r="AI2154" s="49" t="n">
        <v>0</v>
      </c>
      <c r="AJ2154" s="50" t="n">
        <v>0</v>
      </c>
      <c r="AK2154" s="51" t="n">
        <v>0</v>
      </c>
      <c r="AL2154" s="52" t="n">
        <v>0</v>
      </c>
      <c r="AM2154" s="52" t="n">
        <v>0</v>
      </c>
      <c r="AN2154" s="52" t="n">
        <v>0</v>
      </c>
      <c r="AO2154" s="53" t="n">
        <v>0</v>
      </c>
      <c r="AP2154" s="52" t="n">
        <v>0</v>
      </c>
      <c r="AQ2154" s="53" t="n">
        <v>0</v>
      </c>
      <c r="AR2154" s="52" t="n">
        <v>0</v>
      </c>
      <c r="AS2154" s="51" t="n">
        <v>0</v>
      </c>
      <c r="AT2154" s="48" t="n">
        <v>0</v>
      </c>
      <c r="AU2154" s="49" t="n">
        <v>0</v>
      </c>
      <c r="AV2154" s="49" t="n">
        <v>0</v>
      </c>
      <c r="AW2154" s="50" t="n">
        <v>0</v>
      </c>
      <c r="AX2154" s="51" t="n">
        <v>0</v>
      </c>
      <c r="AY2154" s="52" t="n">
        <v>0</v>
      </c>
      <c r="AZ2154" s="52" t="n">
        <v>0</v>
      </c>
      <c r="BA2154" s="52" t="n">
        <v>0</v>
      </c>
      <c r="BB2154" s="53" t="n">
        <v>0</v>
      </c>
      <c r="BC2154" s="52" t="n">
        <v>0</v>
      </c>
      <c r="BD2154" s="53" t="n">
        <v>0</v>
      </c>
      <c r="BE2154" s="52" t="n">
        <v>0</v>
      </c>
      <c r="BF2154" s="51" t="n">
        <v>0</v>
      </c>
    </row>
    <row r="2155">
      <c r="A2155">
        <f>HYPERLINK("https://www.walmart.com/ip/310966083", "310966083")</f>
        <v/>
      </c>
      <c r="B2155" t="inlineStr">
        <is>
          <t>Catalonia Hooded Blanket Poncho | Wearable Blanket Wrap with Hand Pockets | Comfy Sherpa Fleece Throw Cape for Children and Adults, Christmas Thanksgiving Mother Gift, Camel</t>
        </is>
      </c>
      <c r="C2155" t="inlineStr">
        <is>
          <t>1CTBC100CA</t>
        </is>
      </c>
      <c r="D2155" t="inlineStr">
        <is>
          <t>Throws</t>
        </is>
      </c>
      <c r="E2155" t="inlineStr">
        <is>
          <t>Catalonia</t>
        </is>
      </c>
      <c r="F2155" t="inlineStr">
        <is>
          <t>Batch 1 - TR</t>
        </is>
      </c>
      <c r="G2155" s="48" t="n">
        <v>0</v>
      </c>
      <c r="H2155" s="49" t="n">
        <v>0</v>
      </c>
      <c r="I2155" s="49" t="n">
        <v>0</v>
      </c>
      <c r="J2155" s="50" t="n">
        <v>0</v>
      </c>
      <c r="K2155" s="51" t="n">
        <v>0</v>
      </c>
      <c r="L2155" s="52" t="n">
        <v>0</v>
      </c>
      <c r="M2155" s="52" t="n">
        <v>0</v>
      </c>
      <c r="N2155" s="52" t="n">
        <v>0</v>
      </c>
      <c r="O2155" s="53" t="n">
        <v>0</v>
      </c>
      <c r="P2155" s="52" t="n">
        <v>0</v>
      </c>
      <c r="Q2155" s="53" t="n">
        <v>0</v>
      </c>
      <c r="R2155" s="52" t="n">
        <v>0</v>
      </c>
      <c r="S2155" s="51" t="n">
        <v>0</v>
      </c>
      <c r="T2155" s="48" t="n">
        <v>0</v>
      </c>
      <c r="U2155" s="49" t="n">
        <v>0</v>
      </c>
      <c r="V2155" s="49" t="n">
        <v>0</v>
      </c>
      <c r="W2155" s="50" t="n">
        <v>0</v>
      </c>
      <c r="X2155" s="51" t="n">
        <v>0</v>
      </c>
      <c r="Y2155" s="52" t="n">
        <v>0</v>
      </c>
      <c r="Z2155" s="52" t="n">
        <v>0</v>
      </c>
      <c r="AA2155" s="52" t="n">
        <v>0</v>
      </c>
      <c r="AB2155" s="53" t="n">
        <v>0</v>
      </c>
      <c r="AC2155" s="52" t="n">
        <v>0</v>
      </c>
      <c r="AD2155" s="53" t="n">
        <v>0</v>
      </c>
      <c r="AE2155" s="52" t="n">
        <v>0</v>
      </c>
      <c r="AF2155" s="51" t="n">
        <v>0</v>
      </c>
      <c r="AG2155" s="48" t="n">
        <v>0</v>
      </c>
      <c r="AH2155" s="49" t="n">
        <v>0</v>
      </c>
      <c r="AI2155" s="49" t="n">
        <v>0</v>
      </c>
      <c r="AJ2155" s="50" t="n">
        <v>0</v>
      </c>
      <c r="AK2155" s="51" t="n">
        <v>0</v>
      </c>
      <c r="AL2155" s="52" t="n">
        <v>0</v>
      </c>
      <c r="AM2155" s="52" t="n">
        <v>0</v>
      </c>
      <c r="AN2155" s="52" t="n">
        <v>0</v>
      </c>
      <c r="AO2155" s="53" t="n">
        <v>0</v>
      </c>
      <c r="AP2155" s="52" t="n">
        <v>0</v>
      </c>
      <c r="AQ2155" s="53" t="n">
        <v>0</v>
      </c>
      <c r="AR2155" s="52" t="n">
        <v>0</v>
      </c>
      <c r="AS2155" s="51" t="n">
        <v>0</v>
      </c>
      <c r="AT2155" s="48" t="n">
        <v>0</v>
      </c>
      <c r="AU2155" s="49" t="n">
        <v>0</v>
      </c>
      <c r="AV2155" s="49" t="n">
        <v>0</v>
      </c>
      <c r="AW2155" s="50" t="n">
        <v>0</v>
      </c>
      <c r="AX2155" s="51" t="n">
        <v>0</v>
      </c>
      <c r="AY2155" s="52" t="n">
        <v>0</v>
      </c>
      <c r="AZ2155" s="52" t="n">
        <v>0</v>
      </c>
      <c r="BA2155" s="52" t="n">
        <v>0</v>
      </c>
      <c r="BB2155" s="53" t="n">
        <v>0</v>
      </c>
      <c r="BC2155" s="52" t="n">
        <v>0</v>
      </c>
      <c r="BD2155" s="53" t="n">
        <v>0</v>
      </c>
      <c r="BE2155" s="52" t="n">
        <v>0</v>
      </c>
      <c r="BF2155" s="51" t="n">
        <v>0</v>
      </c>
    </row>
    <row r="2156">
      <c r="A2156">
        <f>HYPERLINK("https://www.walmart.com/ip/311390337", "311390337")</f>
        <v/>
      </c>
      <c r="B2156" t="inlineStr">
        <is>
          <t>JenniWears 2 White Sheer Sexy Ladies Panty-hose Stockings Lingeries Socks Wife Gift</t>
        </is>
      </c>
      <c r="C2156" t="inlineStr">
        <is>
          <t>JWBLSPH2015-2 Packs</t>
        </is>
      </c>
      <c r="D2156" t="inlineStr">
        <is>
          <t>Pantyhose &amp; Tights</t>
        </is>
      </c>
      <c r="E2156" t="inlineStr">
        <is>
          <t>JenniWears</t>
        </is>
      </c>
      <c r="F2156" t="inlineStr">
        <is>
          <t>Optimized,Valentine</t>
        </is>
      </c>
      <c r="G2156" s="48" t="n">
        <v>0</v>
      </c>
      <c r="H2156" s="49" t="n">
        <v>0</v>
      </c>
      <c r="I2156" s="49" t="n">
        <v>0</v>
      </c>
      <c r="J2156" s="50" t="n">
        <v>0</v>
      </c>
      <c r="K2156" s="51" t="n">
        <v>0</v>
      </c>
      <c r="L2156" s="52" t="n">
        <v>0</v>
      </c>
      <c r="M2156" s="52" t="n">
        <v>0</v>
      </c>
      <c r="N2156" s="52" t="n">
        <v>0</v>
      </c>
      <c r="O2156" s="53" t="n">
        <v>0</v>
      </c>
      <c r="P2156" s="52" t="n">
        <v>0</v>
      </c>
      <c r="Q2156" s="53" t="n">
        <v>0</v>
      </c>
      <c r="R2156" s="52" t="n">
        <v>0</v>
      </c>
      <c r="S2156" s="51" t="n">
        <v>0</v>
      </c>
      <c r="T2156" s="48" t="n">
        <v>0</v>
      </c>
      <c r="U2156" s="49" t="n">
        <v>0</v>
      </c>
      <c r="V2156" s="49" t="n">
        <v>0</v>
      </c>
      <c r="W2156" s="50" t="n">
        <v>0</v>
      </c>
      <c r="X2156" s="51" t="n">
        <v>0</v>
      </c>
      <c r="Y2156" s="52" t="n">
        <v>0</v>
      </c>
      <c r="Z2156" s="52" t="n">
        <v>0</v>
      </c>
      <c r="AA2156" s="52" t="n">
        <v>0</v>
      </c>
      <c r="AB2156" s="53" t="n">
        <v>0</v>
      </c>
      <c r="AC2156" s="52" t="n">
        <v>0</v>
      </c>
      <c r="AD2156" s="53" t="n">
        <v>0</v>
      </c>
      <c r="AE2156" s="52" t="n">
        <v>0</v>
      </c>
      <c r="AF2156" s="51" t="n">
        <v>0</v>
      </c>
      <c r="AG2156" s="48" t="n">
        <v>0</v>
      </c>
      <c r="AH2156" s="49" t="n">
        <v>0</v>
      </c>
      <c r="AI2156" s="49" t="n">
        <v>0</v>
      </c>
      <c r="AJ2156" s="50" t="n">
        <v>0</v>
      </c>
      <c r="AK2156" s="51" t="n">
        <v>0</v>
      </c>
      <c r="AL2156" s="52" t="n">
        <v>0</v>
      </c>
      <c r="AM2156" s="52" t="n">
        <v>0</v>
      </c>
      <c r="AN2156" s="52" t="n">
        <v>0</v>
      </c>
      <c r="AO2156" s="53" t="n">
        <v>0</v>
      </c>
      <c r="AP2156" s="52" t="n">
        <v>0</v>
      </c>
      <c r="AQ2156" s="53" t="n">
        <v>0</v>
      </c>
      <c r="AR2156" s="52" t="n">
        <v>0</v>
      </c>
      <c r="AS2156" s="51" t="n">
        <v>0</v>
      </c>
      <c r="AT2156" s="48" t="n">
        <v>0</v>
      </c>
      <c r="AU2156" s="49" t="n">
        <v>0</v>
      </c>
      <c r="AV2156" s="49" t="n">
        <v>0</v>
      </c>
      <c r="AW2156" s="50" t="n">
        <v>0</v>
      </c>
      <c r="AX2156" s="51" t="n">
        <v>0</v>
      </c>
      <c r="AY2156" s="52" t="n">
        <v>0</v>
      </c>
      <c r="AZ2156" s="52" t="n">
        <v>0</v>
      </c>
      <c r="BA2156" s="52" t="n">
        <v>0</v>
      </c>
      <c r="BB2156" s="53" t="n">
        <v>0</v>
      </c>
      <c r="BC2156" s="52" t="n">
        <v>0</v>
      </c>
      <c r="BD2156" s="53" t="n">
        <v>0</v>
      </c>
      <c r="BE2156" s="52" t="n">
        <v>0</v>
      </c>
      <c r="BF2156" s="51" t="n">
        <v>0</v>
      </c>
    </row>
    <row r="2157">
      <c r="A2157">
        <f>HYPERLINK("https://www.walmart.com/ip/302775996", "302775996")</f>
        <v/>
      </c>
      <c r="B2157" t="inlineStr">
        <is>
          <t>Catalonia King Size Sherpa Comforter Set, Ultra-soft Reversible Fluffy Micromink Bedding Set-3 Pieces, 1 Comforter and 2 Pillow Shams, 90x103 inches</t>
        </is>
      </c>
      <c r="C2157" t="inlineStr">
        <is>
          <t>1CTBQ300KI-BL</t>
        </is>
      </c>
      <c r="D2157" t="inlineStr">
        <is>
          <t>Bedding Sets</t>
        </is>
      </c>
      <c r="E2157" t="inlineStr">
        <is>
          <t>Catalonia</t>
        </is>
      </c>
      <c r="F2157" t="inlineStr">
        <is>
          <t>WFS,WFS Item</t>
        </is>
      </c>
      <c r="G2157" s="48" t="n">
        <v>0</v>
      </c>
      <c r="H2157" s="49" t="n">
        <v>0</v>
      </c>
      <c r="I2157" s="49" t="n">
        <v>0</v>
      </c>
      <c r="J2157" s="50" t="n">
        <v>0</v>
      </c>
      <c r="K2157" s="51" t="n">
        <v>0</v>
      </c>
      <c r="L2157" s="52" t="n">
        <v>0</v>
      </c>
      <c r="M2157" s="52" t="n">
        <v>0</v>
      </c>
      <c r="N2157" s="52" t="n">
        <v>0</v>
      </c>
      <c r="O2157" s="53" t="n">
        <v>0</v>
      </c>
      <c r="P2157" s="52" t="n">
        <v>0</v>
      </c>
      <c r="Q2157" s="53" t="n">
        <v>0</v>
      </c>
      <c r="R2157" s="52" t="n">
        <v>0</v>
      </c>
      <c r="S2157" s="51" t="n">
        <v>0</v>
      </c>
      <c r="T2157" s="48" t="n">
        <v>0</v>
      </c>
      <c r="U2157" s="49" t="n">
        <v>0</v>
      </c>
      <c r="V2157" s="49" t="n">
        <v>0</v>
      </c>
      <c r="W2157" s="50" t="n">
        <v>0</v>
      </c>
      <c r="X2157" s="51" t="n">
        <v>0</v>
      </c>
      <c r="Y2157" s="52" t="n">
        <v>0</v>
      </c>
      <c r="Z2157" s="52" t="n">
        <v>0</v>
      </c>
      <c r="AA2157" s="52" t="n">
        <v>0</v>
      </c>
      <c r="AB2157" s="53" t="n">
        <v>0</v>
      </c>
      <c r="AC2157" s="52" t="n">
        <v>0</v>
      </c>
      <c r="AD2157" s="53" t="n">
        <v>0</v>
      </c>
      <c r="AE2157" s="52" t="n">
        <v>0</v>
      </c>
      <c r="AF2157" s="51" t="n">
        <v>0</v>
      </c>
      <c r="AG2157" s="48" t="n">
        <v>0</v>
      </c>
      <c r="AH2157" s="49" t="n">
        <v>0</v>
      </c>
      <c r="AI2157" s="49" t="n">
        <v>0</v>
      </c>
      <c r="AJ2157" s="50" t="n">
        <v>0</v>
      </c>
      <c r="AK2157" s="51" t="n">
        <v>0</v>
      </c>
      <c r="AL2157" s="52" t="n">
        <v>0</v>
      </c>
      <c r="AM2157" s="52" t="n">
        <v>0</v>
      </c>
      <c r="AN2157" s="52" t="n">
        <v>0</v>
      </c>
      <c r="AO2157" s="53" t="n">
        <v>0</v>
      </c>
      <c r="AP2157" s="52" t="n">
        <v>0</v>
      </c>
      <c r="AQ2157" s="53" t="n">
        <v>0</v>
      </c>
      <c r="AR2157" s="52" t="n">
        <v>0</v>
      </c>
      <c r="AS2157" s="51" t="n">
        <v>0</v>
      </c>
      <c r="AT2157" s="48" t="n">
        <v>0</v>
      </c>
      <c r="AU2157" s="49" t="n">
        <v>0</v>
      </c>
      <c r="AV2157" s="49" t="n">
        <v>0</v>
      </c>
      <c r="AW2157" s="50" t="n">
        <v>0</v>
      </c>
      <c r="AX2157" s="51" t="n">
        <v>0</v>
      </c>
      <c r="AY2157" s="52" t="n">
        <v>0</v>
      </c>
      <c r="AZ2157" s="52" t="n">
        <v>0</v>
      </c>
      <c r="BA2157" s="52" t="n">
        <v>0</v>
      </c>
      <c r="BB2157" s="53" t="n">
        <v>0</v>
      </c>
      <c r="BC2157" s="52" t="n">
        <v>0</v>
      </c>
      <c r="BD2157" s="53" t="n">
        <v>0</v>
      </c>
      <c r="BE2157" s="52" t="n">
        <v>0</v>
      </c>
      <c r="BF2157" s="51" t="n">
        <v>0</v>
      </c>
    </row>
    <row r="2158">
      <c r="A2158">
        <f>HYPERLINK("https://www.walmart.com/ip/301875046", "301875046")</f>
        <v/>
      </c>
      <c r="B2158" t="inlineStr">
        <is>
          <t>Terra Youth Reflective Knit Hat High Visibility Cold Weather Running Beanie Cool</t>
        </is>
      </c>
      <c r="C2158" t="inlineStr">
        <is>
          <t>TERRABN01-OR</t>
        </is>
      </c>
      <c r="D2158" t="inlineStr">
        <is>
          <t>Hats</t>
        </is>
      </c>
      <c r="E2158" t="inlineStr">
        <is>
          <t>Terra</t>
        </is>
      </c>
      <c r="G2158" s="48" t="n">
        <v>0</v>
      </c>
      <c r="H2158" s="49" t="n">
        <v>0</v>
      </c>
      <c r="I2158" s="49" t="n">
        <v>0</v>
      </c>
      <c r="J2158" s="50" t="n">
        <v>0</v>
      </c>
      <c r="K2158" s="51" t="n">
        <v>0</v>
      </c>
      <c r="L2158" s="52" t="n">
        <v>0</v>
      </c>
      <c r="M2158" s="52" t="n">
        <v>0</v>
      </c>
      <c r="N2158" s="52" t="n">
        <v>0</v>
      </c>
      <c r="O2158" s="53" t="n">
        <v>0</v>
      </c>
      <c r="P2158" s="52" t="n">
        <v>0</v>
      </c>
      <c r="Q2158" s="53" t="n">
        <v>0</v>
      </c>
      <c r="R2158" s="52" t="n">
        <v>0</v>
      </c>
      <c r="S2158" s="51" t="n">
        <v>0</v>
      </c>
      <c r="T2158" s="48" t="n">
        <v>0</v>
      </c>
      <c r="U2158" s="49" t="n">
        <v>0</v>
      </c>
      <c r="V2158" s="49" t="n">
        <v>0</v>
      </c>
      <c r="W2158" s="50" t="n">
        <v>0</v>
      </c>
      <c r="X2158" s="51" t="n">
        <v>0</v>
      </c>
      <c r="Y2158" s="52" t="n">
        <v>0</v>
      </c>
      <c r="Z2158" s="52" t="n">
        <v>0</v>
      </c>
      <c r="AA2158" s="52" t="n">
        <v>0</v>
      </c>
      <c r="AB2158" s="53" t="n">
        <v>0</v>
      </c>
      <c r="AC2158" s="52" t="n">
        <v>0</v>
      </c>
      <c r="AD2158" s="53" t="n">
        <v>0</v>
      </c>
      <c r="AE2158" s="52" t="n">
        <v>0</v>
      </c>
      <c r="AF2158" s="51" t="n">
        <v>0</v>
      </c>
      <c r="AG2158" s="48" t="n">
        <v>0</v>
      </c>
      <c r="AH2158" s="49" t="n">
        <v>0</v>
      </c>
      <c r="AI2158" s="49" t="n">
        <v>0</v>
      </c>
      <c r="AJ2158" s="50" t="n">
        <v>0</v>
      </c>
      <c r="AK2158" s="51" t="n">
        <v>0</v>
      </c>
      <c r="AL2158" s="52" t="n">
        <v>0</v>
      </c>
      <c r="AM2158" s="52" t="n">
        <v>0</v>
      </c>
      <c r="AN2158" s="52" t="n">
        <v>0</v>
      </c>
      <c r="AO2158" s="53" t="n">
        <v>0</v>
      </c>
      <c r="AP2158" s="52" t="n">
        <v>0</v>
      </c>
      <c r="AQ2158" s="53" t="n">
        <v>0</v>
      </c>
      <c r="AR2158" s="52" t="n">
        <v>0</v>
      </c>
      <c r="AS2158" s="51" t="n">
        <v>0</v>
      </c>
      <c r="AT2158" s="48" t="n">
        <v>0</v>
      </c>
      <c r="AU2158" s="49" t="n">
        <v>0</v>
      </c>
      <c r="AV2158" s="49" t="n">
        <v>0</v>
      </c>
      <c r="AW2158" s="50" t="n">
        <v>0</v>
      </c>
      <c r="AX2158" s="51" t="n">
        <v>0</v>
      </c>
      <c r="AY2158" s="52" t="n">
        <v>0</v>
      </c>
      <c r="AZ2158" s="52" t="n">
        <v>0</v>
      </c>
      <c r="BA2158" s="52" t="n">
        <v>0</v>
      </c>
      <c r="BB2158" s="53" t="n">
        <v>0</v>
      </c>
      <c r="BC2158" s="52" t="n">
        <v>0</v>
      </c>
      <c r="BD2158" s="53" t="n">
        <v>0</v>
      </c>
      <c r="BE2158" s="52" t="n">
        <v>0</v>
      </c>
      <c r="BF2158" s="51" t="n">
        <v>0</v>
      </c>
    </row>
    <row r="2159">
      <c r="A2159">
        <f>HYPERLINK("https://www.walmart.com/ip/328567104", "328567104")</f>
        <v/>
      </c>
      <c r="B2159" t="inlineStr">
        <is>
          <t>6 Bottle Wine Carrier - Insulated &amp; Padded Wine Carrying Cooler Tote Bag with Handle and Adjustable Shoulder Strap for Travel or Picnic, IDEAL Wine Lover Gift, Wine</t>
        </is>
      </c>
      <c r="C2159" t="inlineStr">
        <is>
          <t>1TRWB620WN</t>
        </is>
      </c>
      <c r="D2159" t="inlineStr">
        <is>
          <t>Wine Totes, Bags &amp; Backpacks</t>
        </is>
      </c>
      <c r="E2159" t="inlineStr">
        <is>
          <t>Tirrinia</t>
        </is>
      </c>
      <c r="F2159" t="inlineStr">
        <is>
          <t>Wine,Christmas,WFS,Wine WFS,Valentine,SEM,WFS Item,Lily Brand Camp</t>
        </is>
      </c>
      <c r="G2159" s="48" t="n">
        <v>0</v>
      </c>
      <c r="H2159" s="49" t="n">
        <v>0</v>
      </c>
      <c r="I2159" s="49" t="n">
        <v>0</v>
      </c>
      <c r="J2159" s="50" t="n">
        <v>0</v>
      </c>
      <c r="K2159" s="51" t="n">
        <v>0</v>
      </c>
      <c r="L2159" s="52" t="n">
        <v>0</v>
      </c>
      <c r="M2159" s="52" t="n">
        <v>0</v>
      </c>
      <c r="N2159" s="52" t="n">
        <v>0</v>
      </c>
      <c r="O2159" s="53" t="n">
        <v>0</v>
      </c>
      <c r="P2159" s="52" t="n">
        <v>0</v>
      </c>
      <c r="Q2159" s="53" t="n">
        <v>0</v>
      </c>
      <c r="R2159" s="52" t="n">
        <v>0</v>
      </c>
      <c r="S2159" s="51" t="n">
        <v>0</v>
      </c>
      <c r="T2159" s="48" t="n">
        <v>0</v>
      </c>
      <c r="U2159" s="49" t="n">
        <v>0</v>
      </c>
      <c r="V2159" s="49" t="n">
        <v>0</v>
      </c>
      <c r="W2159" s="50" t="n">
        <v>0</v>
      </c>
      <c r="X2159" s="51" t="n">
        <v>0</v>
      </c>
      <c r="Y2159" s="52" t="n">
        <v>0</v>
      </c>
      <c r="Z2159" s="52" t="n">
        <v>0</v>
      </c>
      <c r="AA2159" s="52" t="n">
        <v>0</v>
      </c>
      <c r="AB2159" s="53" t="n">
        <v>0</v>
      </c>
      <c r="AC2159" s="52" t="n">
        <v>0</v>
      </c>
      <c r="AD2159" s="53" t="n">
        <v>0</v>
      </c>
      <c r="AE2159" s="52" t="n">
        <v>0</v>
      </c>
      <c r="AF2159" s="51" t="n">
        <v>0</v>
      </c>
      <c r="AG2159" s="48" t="n">
        <v>0</v>
      </c>
      <c r="AH2159" s="49" t="n">
        <v>0</v>
      </c>
      <c r="AI2159" s="49" t="n">
        <v>0</v>
      </c>
      <c r="AJ2159" s="50" t="n">
        <v>0</v>
      </c>
      <c r="AK2159" s="51" t="n">
        <v>0</v>
      </c>
      <c r="AL2159" s="52" t="n">
        <v>0</v>
      </c>
      <c r="AM2159" s="52" t="n">
        <v>0</v>
      </c>
      <c r="AN2159" s="52" t="n">
        <v>0</v>
      </c>
      <c r="AO2159" s="53" t="n">
        <v>0</v>
      </c>
      <c r="AP2159" s="52" t="n">
        <v>0</v>
      </c>
      <c r="AQ2159" s="53" t="n">
        <v>0</v>
      </c>
      <c r="AR2159" s="52" t="n">
        <v>0</v>
      </c>
      <c r="AS2159" s="51" t="n">
        <v>0</v>
      </c>
      <c r="AT2159" s="48" t="n">
        <v>0</v>
      </c>
      <c r="AU2159" s="49" t="n">
        <v>0</v>
      </c>
      <c r="AV2159" s="49" t="n">
        <v>0</v>
      </c>
      <c r="AW2159" s="50" t="n">
        <v>0</v>
      </c>
      <c r="AX2159" s="51" t="n">
        <v>0</v>
      </c>
      <c r="AY2159" s="52" t="n">
        <v>0</v>
      </c>
      <c r="AZ2159" s="52" t="n">
        <v>0</v>
      </c>
      <c r="BA2159" s="52" t="n">
        <v>0</v>
      </c>
      <c r="BB2159" s="53" t="n">
        <v>0</v>
      </c>
      <c r="BC2159" s="52" t="n">
        <v>0</v>
      </c>
      <c r="BD2159" s="53" t="n">
        <v>0</v>
      </c>
      <c r="BE2159" s="52" t="n">
        <v>0</v>
      </c>
      <c r="BF2159" s="51" t="n">
        <v>0</v>
      </c>
    </row>
    <row r="2160">
      <c r="A2160">
        <f>HYPERLINK("https://www.walmart.com/ip/300905636", "300905636")</f>
        <v/>
      </c>
      <c r="B2160" t="inlineStr">
        <is>
          <t>Women’s Casual Hoodie Sweatshirt, Solid Cropped Jumper Tops, 3/4 Sleeve Oversized Pullover</t>
        </is>
      </c>
      <c r="C2160" t="inlineStr">
        <is>
          <t>1WMHD520S1WT</t>
        </is>
      </c>
      <c r="D2160" t="inlineStr">
        <is>
          <t>Sweatshirts &amp; Hoodies</t>
        </is>
      </c>
      <c r="E2160" t="inlineStr">
        <is>
          <t>Flyingstar</t>
        </is>
      </c>
      <c r="F2160" t="inlineStr">
        <is>
          <t>Hoodie ForAdult,Optimized</t>
        </is>
      </c>
      <c r="G2160" s="48" t="n">
        <v>0</v>
      </c>
      <c r="H2160" s="49" t="n">
        <v>0</v>
      </c>
      <c r="I2160" s="49" t="n">
        <v>0</v>
      </c>
      <c r="J2160" s="50" t="n">
        <v>0</v>
      </c>
      <c r="K2160" s="51" t="n">
        <v>0</v>
      </c>
      <c r="L2160" s="52" t="n">
        <v>0</v>
      </c>
      <c r="M2160" s="52" t="n">
        <v>0</v>
      </c>
      <c r="N2160" s="52" t="n">
        <v>0</v>
      </c>
      <c r="O2160" s="53" t="n">
        <v>0</v>
      </c>
      <c r="P2160" s="52" t="n">
        <v>0</v>
      </c>
      <c r="Q2160" s="53" t="n">
        <v>0</v>
      </c>
      <c r="R2160" s="52" t="n">
        <v>0</v>
      </c>
      <c r="S2160" s="51" t="n">
        <v>0</v>
      </c>
      <c r="T2160" s="48" t="n">
        <v>0</v>
      </c>
      <c r="U2160" s="49" t="n">
        <v>0</v>
      </c>
      <c r="V2160" s="49" t="n">
        <v>0</v>
      </c>
      <c r="W2160" s="50" t="n">
        <v>0</v>
      </c>
      <c r="X2160" s="51" t="n">
        <v>0</v>
      </c>
      <c r="Y2160" s="52" t="n">
        <v>0</v>
      </c>
      <c r="Z2160" s="52" t="n">
        <v>0</v>
      </c>
      <c r="AA2160" s="52" t="n">
        <v>0</v>
      </c>
      <c r="AB2160" s="53" t="n">
        <v>0</v>
      </c>
      <c r="AC2160" s="52" t="n">
        <v>0</v>
      </c>
      <c r="AD2160" s="53" t="n">
        <v>0</v>
      </c>
      <c r="AE2160" s="52" t="n">
        <v>0</v>
      </c>
      <c r="AF2160" s="51" t="n">
        <v>0</v>
      </c>
      <c r="AG2160" s="48" t="n">
        <v>0</v>
      </c>
      <c r="AH2160" s="49" t="n">
        <v>0</v>
      </c>
      <c r="AI2160" s="49" t="n">
        <v>0</v>
      </c>
      <c r="AJ2160" s="50" t="n">
        <v>0</v>
      </c>
      <c r="AK2160" s="51" t="n">
        <v>0</v>
      </c>
      <c r="AL2160" s="52" t="n">
        <v>0</v>
      </c>
      <c r="AM2160" s="52" t="n">
        <v>0</v>
      </c>
      <c r="AN2160" s="52" t="n">
        <v>0</v>
      </c>
      <c r="AO2160" s="53" t="n">
        <v>0</v>
      </c>
      <c r="AP2160" s="52" t="n">
        <v>0</v>
      </c>
      <c r="AQ2160" s="53" t="n">
        <v>0</v>
      </c>
      <c r="AR2160" s="52" t="n">
        <v>0</v>
      </c>
      <c r="AS2160" s="51" t="n">
        <v>0</v>
      </c>
      <c r="AT2160" s="48" t="n">
        <v>0</v>
      </c>
      <c r="AU2160" s="49" t="n">
        <v>0</v>
      </c>
      <c r="AV2160" s="49" t="n">
        <v>0</v>
      </c>
      <c r="AW2160" s="50" t="n">
        <v>0</v>
      </c>
      <c r="AX2160" s="51" t="n">
        <v>0</v>
      </c>
      <c r="AY2160" s="52" t="n">
        <v>0</v>
      </c>
      <c r="AZ2160" s="52" t="n">
        <v>0</v>
      </c>
      <c r="BA2160" s="52" t="n">
        <v>0</v>
      </c>
      <c r="BB2160" s="53" t="n">
        <v>0</v>
      </c>
      <c r="BC2160" s="52" t="n">
        <v>0</v>
      </c>
      <c r="BD2160" s="53" t="n">
        <v>0</v>
      </c>
      <c r="BE2160" s="52" t="n">
        <v>0</v>
      </c>
      <c r="BF2160" s="51" t="n">
        <v>0</v>
      </c>
    </row>
    <row r="2161">
      <c r="A2161">
        <f>HYPERLINK("https://www.walmart.com/ip/294904966", "294904966")</f>
        <v/>
      </c>
      <c r="B2161" t="inlineStr">
        <is>
          <t>Insulated Lunch Box for Women Men, Leakproof Thermal Reusable Lunch Bag with 2 Zipper Pockets for Adult &amp; Kids, Lunch Bag Cooler Tote for Office Work</t>
        </is>
      </c>
      <c r="C2161" t="inlineStr">
        <is>
          <t>1WMLB705GYNG</t>
        </is>
      </c>
      <c r="D2161" t="inlineStr">
        <is>
          <t>Reusable Lunch Bags &amp; Boxes</t>
        </is>
      </c>
      <c r="E2161" t="inlineStr">
        <is>
          <t>Flyingstar</t>
        </is>
      </c>
      <c r="F2161" t="inlineStr">
        <is>
          <t>Q2-Target,Lunch Bag</t>
        </is>
      </c>
      <c r="G2161" s="48" t="n">
        <v>0</v>
      </c>
      <c r="H2161" s="49" t="n">
        <v>0</v>
      </c>
      <c r="I2161" s="49" t="n">
        <v>0</v>
      </c>
      <c r="J2161" s="50" t="n">
        <v>0</v>
      </c>
      <c r="K2161" s="51" t="n">
        <v>0</v>
      </c>
      <c r="L2161" s="52" t="n">
        <v>0</v>
      </c>
      <c r="M2161" s="52" t="n">
        <v>0</v>
      </c>
      <c r="N2161" s="52" t="n">
        <v>0</v>
      </c>
      <c r="O2161" s="53" t="n">
        <v>0</v>
      </c>
      <c r="P2161" s="52" t="n">
        <v>0</v>
      </c>
      <c r="Q2161" s="53" t="n">
        <v>0</v>
      </c>
      <c r="R2161" s="52" t="n">
        <v>0</v>
      </c>
      <c r="S2161" s="51" t="n">
        <v>0</v>
      </c>
      <c r="T2161" s="48" t="n">
        <v>0</v>
      </c>
      <c r="U2161" s="49" t="n">
        <v>0</v>
      </c>
      <c r="V2161" s="49" t="n">
        <v>0</v>
      </c>
      <c r="W2161" s="50" t="n">
        <v>0</v>
      </c>
      <c r="X2161" s="51" t="n">
        <v>0</v>
      </c>
      <c r="Y2161" s="52" t="n">
        <v>0</v>
      </c>
      <c r="Z2161" s="52" t="n">
        <v>0</v>
      </c>
      <c r="AA2161" s="52" t="n">
        <v>0</v>
      </c>
      <c r="AB2161" s="53" t="n">
        <v>0</v>
      </c>
      <c r="AC2161" s="52" t="n">
        <v>0</v>
      </c>
      <c r="AD2161" s="53" t="n">
        <v>0</v>
      </c>
      <c r="AE2161" s="52" t="n">
        <v>0</v>
      </c>
      <c r="AF2161" s="51" t="n">
        <v>0</v>
      </c>
      <c r="AG2161" s="48" t="n">
        <v>0</v>
      </c>
      <c r="AH2161" s="49" t="n">
        <v>0</v>
      </c>
      <c r="AI2161" s="49" t="n">
        <v>0</v>
      </c>
      <c r="AJ2161" s="50" t="n">
        <v>0</v>
      </c>
      <c r="AK2161" s="51" t="n">
        <v>0</v>
      </c>
      <c r="AL2161" s="52" t="n">
        <v>0</v>
      </c>
      <c r="AM2161" s="52" t="n">
        <v>0</v>
      </c>
      <c r="AN2161" s="52" t="n">
        <v>0</v>
      </c>
      <c r="AO2161" s="53" t="n">
        <v>0</v>
      </c>
      <c r="AP2161" s="52" t="n">
        <v>0</v>
      </c>
      <c r="AQ2161" s="53" t="n">
        <v>0</v>
      </c>
      <c r="AR2161" s="52" t="n">
        <v>0</v>
      </c>
      <c r="AS2161" s="51" t="n">
        <v>0</v>
      </c>
      <c r="AT2161" s="48" t="n">
        <v>0</v>
      </c>
      <c r="AU2161" s="49" t="n">
        <v>0</v>
      </c>
      <c r="AV2161" s="49" t="n">
        <v>0</v>
      </c>
      <c r="AW2161" s="50" t="n">
        <v>0</v>
      </c>
      <c r="AX2161" s="51" t="n">
        <v>0</v>
      </c>
      <c r="AY2161" s="52" t="n">
        <v>0</v>
      </c>
      <c r="AZ2161" s="52" t="n">
        <v>0</v>
      </c>
      <c r="BA2161" s="52" t="n">
        <v>0</v>
      </c>
      <c r="BB2161" s="53" t="n">
        <v>0</v>
      </c>
      <c r="BC2161" s="52" t="n">
        <v>0</v>
      </c>
      <c r="BD2161" s="53" t="n">
        <v>0</v>
      </c>
      <c r="BE2161" s="52" t="n">
        <v>0</v>
      </c>
      <c r="BF2161" s="51" t="n">
        <v>0</v>
      </c>
    </row>
    <row r="2162">
      <c r="A2162">
        <f>HYPERLINK("https://www.walmart.com/ip/296299193", "296299193")</f>
        <v/>
      </c>
      <c r="B2162" t="inlineStr">
        <is>
          <t>Terra Men Boxer Brief Underwear Best 3 Pack Most Comfortable Cotton Trunk Short</t>
        </is>
      </c>
      <c r="C2162" t="inlineStr">
        <is>
          <t>TERRA-BOXER7-M</t>
        </is>
      </c>
      <c r="D2162" t="inlineStr">
        <is>
          <t>Underpants</t>
        </is>
      </c>
      <c r="E2162" t="inlineStr">
        <is>
          <t>Terra</t>
        </is>
      </c>
      <c r="F2162" t="inlineStr">
        <is>
          <t>Batch 1 - TR</t>
        </is>
      </c>
      <c r="G2162" s="48" t="n">
        <v>0</v>
      </c>
      <c r="H2162" s="49" t="n">
        <v>0</v>
      </c>
      <c r="I2162" s="49" t="n">
        <v>0</v>
      </c>
      <c r="J2162" s="50" t="n">
        <v>0</v>
      </c>
      <c r="K2162" s="51" t="n">
        <v>0</v>
      </c>
      <c r="L2162" s="52" t="n">
        <v>0</v>
      </c>
      <c r="M2162" s="52" t="n">
        <v>0</v>
      </c>
      <c r="N2162" s="52" t="n">
        <v>0</v>
      </c>
      <c r="O2162" s="53" t="n">
        <v>0</v>
      </c>
      <c r="P2162" s="52" t="n">
        <v>0</v>
      </c>
      <c r="Q2162" s="53" t="n">
        <v>0</v>
      </c>
      <c r="R2162" s="52" t="n">
        <v>0</v>
      </c>
      <c r="S2162" s="51" t="n">
        <v>0</v>
      </c>
      <c r="T2162" s="48" t="n">
        <v>0</v>
      </c>
      <c r="U2162" s="49" t="n">
        <v>0</v>
      </c>
      <c r="V2162" s="49" t="n">
        <v>0</v>
      </c>
      <c r="W2162" s="50" t="n">
        <v>0</v>
      </c>
      <c r="X2162" s="51" t="n">
        <v>0</v>
      </c>
      <c r="Y2162" s="52" t="n">
        <v>0</v>
      </c>
      <c r="Z2162" s="52" t="n">
        <v>0</v>
      </c>
      <c r="AA2162" s="52" t="n">
        <v>0</v>
      </c>
      <c r="AB2162" s="53" t="n">
        <v>0</v>
      </c>
      <c r="AC2162" s="52" t="n">
        <v>0</v>
      </c>
      <c r="AD2162" s="53" t="n">
        <v>0</v>
      </c>
      <c r="AE2162" s="52" t="n">
        <v>0</v>
      </c>
      <c r="AF2162" s="51" t="n">
        <v>0</v>
      </c>
      <c r="AG2162" s="48" t="n">
        <v>0</v>
      </c>
      <c r="AH2162" s="49" t="n">
        <v>0</v>
      </c>
      <c r="AI2162" s="49" t="n">
        <v>0</v>
      </c>
      <c r="AJ2162" s="50" t="n">
        <v>0</v>
      </c>
      <c r="AK2162" s="51" t="n">
        <v>0</v>
      </c>
      <c r="AL2162" s="52" t="n">
        <v>0</v>
      </c>
      <c r="AM2162" s="52" t="n">
        <v>0</v>
      </c>
      <c r="AN2162" s="52" t="n">
        <v>0</v>
      </c>
      <c r="AO2162" s="53" t="n">
        <v>0</v>
      </c>
      <c r="AP2162" s="52" t="n">
        <v>0</v>
      </c>
      <c r="AQ2162" s="53" t="n">
        <v>0</v>
      </c>
      <c r="AR2162" s="52" t="n">
        <v>0</v>
      </c>
      <c r="AS2162" s="51" t="n">
        <v>0</v>
      </c>
      <c r="AT2162" s="48" t="n">
        <v>0</v>
      </c>
      <c r="AU2162" s="49" t="n">
        <v>0</v>
      </c>
      <c r="AV2162" s="49" t="n">
        <v>0</v>
      </c>
      <c r="AW2162" s="50" t="n">
        <v>0</v>
      </c>
      <c r="AX2162" s="51" t="n">
        <v>0</v>
      </c>
      <c r="AY2162" s="52" t="n">
        <v>0</v>
      </c>
      <c r="AZ2162" s="52" t="n">
        <v>0</v>
      </c>
      <c r="BA2162" s="52" t="n">
        <v>0</v>
      </c>
      <c r="BB2162" s="53" t="n">
        <v>0</v>
      </c>
      <c r="BC2162" s="52" t="n">
        <v>0</v>
      </c>
      <c r="BD2162" s="53" t="n">
        <v>0</v>
      </c>
      <c r="BE2162" s="52" t="n">
        <v>0</v>
      </c>
      <c r="BF2162" s="51" t="n">
        <v>0</v>
      </c>
    </row>
    <row r="2163">
      <c r="A2163">
        <f>HYPERLINK("https://www.walmart.com/ip/296629837", "296629837")</f>
        <v/>
      </c>
      <c r="B2163" t="inlineStr">
        <is>
          <t>Tirrinia Insulated Lunch Bag for Women Men, Leakproof Thermal Reusable Lunch Box for Adult, Kids, Student, Lunch Cooler Tote for Office Work, Back to School, Medium, Light Blue</t>
        </is>
      </c>
      <c r="C2163" t="inlineStr">
        <is>
          <t>1TRLB701LBL-N</t>
        </is>
      </c>
      <c r="D2163" t="inlineStr">
        <is>
          <t>Reusable Lunch Bags &amp; Boxes</t>
        </is>
      </c>
      <c r="E2163" t="inlineStr">
        <is>
          <t>Tirrinia</t>
        </is>
      </c>
      <c r="F2163" t="inlineStr">
        <is>
          <t>Q2-Target,Brand Camp VD,Lunch Bag,WFS,Lunch Bags,WFS Item</t>
        </is>
      </c>
      <c r="G2163" s="48" t="n">
        <v>0</v>
      </c>
      <c r="H2163" s="49" t="n">
        <v>0</v>
      </c>
      <c r="I2163" s="49" t="n">
        <v>0</v>
      </c>
      <c r="J2163" s="50" t="n">
        <v>0</v>
      </c>
      <c r="K2163" s="51" t="n">
        <v>0</v>
      </c>
      <c r="L2163" s="52" t="n">
        <v>0</v>
      </c>
      <c r="M2163" s="52" t="n">
        <v>0</v>
      </c>
      <c r="N2163" s="52" t="n">
        <v>0</v>
      </c>
      <c r="O2163" s="53" t="n">
        <v>0</v>
      </c>
      <c r="P2163" s="52" t="n">
        <v>0</v>
      </c>
      <c r="Q2163" s="53" t="n">
        <v>0</v>
      </c>
      <c r="R2163" s="52" t="n">
        <v>0</v>
      </c>
      <c r="S2163" s="51" t="n">
        <v>0</v>
      </c>
      <c r="T2163" s="48" t="n">
        <v>0</v>
      </c>
      <c r="U2163" s="49" t="n">
        <v>0</v>
      </c>
      <c r="V2163" s="49" t="n">
        <v>0</v>
      </c>
      <c r="W2163" s="50" t="n">
        <v>0</v>
      </c>
      <c r="X2163" s="51" t="n">
        <v>0</v>
      </c>
      <c r="Y2163" s="52" t="n">
        <v>0</v>
      </c>
      <c r="Z2163" s="52" t="n">
        <v>0</v>
      </c>
      <c r="AA2163" s="52" t="n">
        <v>0</v>
      </c>
      <c r="AB2163" s="53" t="n">
        <v>0</v>
      </c>
      <c r="AC2163" s="52" t="n">
        <v>0</v>
      </c>
      <c r="AD2163" s="53" t="n">
        <v>0</v>
      </c>
      <c r="AE2163" s="52" t="n">
        <v>0</v>
      </c>
      <c r="AF2163" s="51" t="n">
        <v>0</v>
      </c>
      <c r="AG2163" s="48" t="n">
        <v>0</v>
      </c>
      <c r="AH2163" s="49" t="n">
        <v>0</v>
      </c>
      <c r="AI2163" s="49" t="n">
        <v>0</v>
      </c>
      <c r="AJ2163" s="50" t="n">
        <v>0</v>
      </c>
      <c r="AK2163" s="51" t="n">
        <v>0</v>
      </c>
      <c r="AL2163" s="52" t="n">
        <v>0</v>
      </c>
      <c r="AM2163" s="52" t="n">
        <v>0</v>
      </c>
      <c r="AN2163" s="52" t="n">
        <v>0</v>
      </c>
      <c r="AO2163" s="53" t="n">
        <v>0</v>
      </c>
      <c r="AP2163" s="52" t="n">
        <v>0</v>
      </c>
      <c r="AQ2163" s="53" t="n">
        <v>0</v>
      </c>
      <c r="AR2163" s="52" t="n">
        <v>0</v>
      </c>
      <c r="AS2163" s="51" t="n">
        <v>0</v>
      </c>
      <c r="AT2163" s="48" t="n">
        <v>0</v>
      </c>
      <c r="AU2163" s="49" t="n">
        <v>0</v>
      </c>
      <c r="AV2163" s="49" t="n">
        <v>0</v>
      </c>
      <c r="AW2163" s="50" t="n">
        <v>0</v>
      </c>
      <c r="AX2163" s="51" t="n">
        <v>0</v>
      </c>
      <c r="AY2163" s="52" t="n">
        <v>0</v>
      </c>
      <c r="AZ2163" s="52" t="n">
        <v>0</v>
      </c>
      <c r="BA2163" s="52" t="n">
        <v>0</v>
      </c>
      <c r="BB2163" s="53" t="n">
        <v>0</v>
      </c>
      <c r="BC2163" s="52" t="n">
        <v>0</v>
      </c>
      <c r="BD2163" s="53" t="n">
        <v>0</v>
      </c>
      <c r="BE2163" s="52" t="n">
        <v>0</v>
      </c>
      <c r="BF2163" s="51" t="n">
        <v>0</v>
      </c>
    </row>
    <row r="2164">
      <c r="A2164">
        <f>HYPERLINK("https://www.walmart.com/ip/296861236", "296861236")</f>
        <v/>
      </c>
      <c r="B2164" t="inlineStr">
        <is>
          <t>Flyingstar 6-Bottle Wine Cooler Bag, Wine Gift Bag with Insulated, Padded Wine Bottle Compartments, Blue Stripe, 11'' W x 8'' D x 14'' H</t>
        </is>
      </c>
      <c r="C2164" t="inlineStr">
        <is>
          <t>1WMWB602STR</t>
        </is>
      </c>
      <c r="D2164" t="inlineStr">
        <is>
          <t>Wine Totes, Bags &amp; Backpacks</t>
        </is>
      </c>
      <c r="E2164" t="inlineStr">
        <is>
          <t>Flyingstar</t>
        </is>
      </c>
      <c r="F2164" t="inlineStr">
        <is>
          <t>Wine,Christmas,Optimized,Wine WFS,Valentine,SEM</t>
        </is>
      </c>
      <c r="G2164" s="48" t="n">
        <v>0</v>
      </c>
      <c r="H2164" s="49" t="n">
        <v>0</v>
      </c>
      <c r="I2164" s="49" t="n">
        <v>0</v>
      </c>
      <c r="J2164" s="50" t="n">
        <v>0</v>
      </c>
      <c r="K2164" s="51" t="n">
        <v>0</v>
      </c>
      <c r="L2164" s="52" t="n">
        <v>0</v>
      </c>
      <c r="M2164" s="52" t="n">
        <v>0</v>
      </c>
      <c r="N2164" s="52" t="n">
        <v>0</v>
      </c>
      <c r="O2164" s="53" t="n">
        <v>0</v>
      </c>
      <c r="P2164" s="52" t="n">
        <v>0</v>
      </c>
      <c r="Q2164" s="53" t="n">
        <v>0</v>
      </c>
      <c r="R2164" s="52" t="n">
        <v>0</v>
      </c>
      <c r="S2164" s="51" t="n">
        <v>0</v>
      </c>
      <c r="T2164" s="48" t="n">
        <v>0</v>
      </c>
      <c r="U2164" s="49" t="n">
        <v>0</v>
      </c>
      <c r="V2164" s="49" t="n">
        <v>0</v>
      </c>
      <c r="W2164" s="50" t="n">
        <v>0</v>
      </c>
      <c r="X2164" s="51" t="n">
        <v>0</v>
      </c>
      <c r="Y2164" s="52" t="n">
        <v>0</v>
      </c>
      <c r="Z2164" s="52" t="n">
        <v>0</v>
      </c>
      <c r="AA2164" s="52" t="n">
        <v>0</v>
      </c>
      <c r="AB2164" s="53" t="n">
        <v>0</v>
      </c>
      <c r="AC2164" s="52" t="n">
        <v>0</v>
      </c>
      <c r="AD2164" s="53" t="n">
        <v>0</v>
      </c>
      <c r="AE2164" s="52" t="n">
        <v>0</v>
      </c>
      <c r="AF2164" s="51" t="n">
        <v>0</v>
      </c>
      <c r="AG2164" s="48" t="n">
        <v>0</v>
      </c>
      <c r="AH2164" s="49" t="n">
        <v>0</v>
      </c>
      <c r="AI2164" s="49" t="n">
        <v>0</v>
      </c>
      <c r="AJ2164" s="50" t="n">
        <v>0</v>
      </c>
      <c r="AK2164" s="51" t="n">
        <v>0</v>
      </c>
      <c r="AL2164" s="52" t="n">
        <v>0</v>
      </c>
      <c r="AM2164" s="52" t="n">
        <v>0</v>
      </c>
      <c r="AN2164" s="52" t="n">
        <v>0</v>
      </c>
      <c r="AO2164" s="53" t="n">
        <v>0</v>
      </c>
      <c r="AP2164" s="52" t="n">
        <v>0</v>
      </c>
      <c r="AQ2164" s="53" t="n">
        <v>0</v>
      </c>
      <c r="AR2164" s="52" t="n">
        <v>0</v>
      </c>
      <c r="AS2164" s="51" t="n">
        <v>0</v>
      </c>
      <c r="AT2164" s="48" t="n">
        <v>20.99</v>
      </c>
      <c r="AU2164" s="49" t="n">
        <v>1</v>
      </c>
      <c r="AV2164" s="49" t="n">
        <v>0</v>
      </c>
      <c r="AW2164" s="50" t="n">
        <v>0</v>
      </c>
      <c r="AX2164" s="51" t="n">
        <v>0</v>
      </c>
      <c r="AY2164" s="52" t="n">
        <v>0</v>
      </c>
      <c r="AZ2164" s="52" t="n">
        <v>0</v>
      </c>
      <c r="BA2164" s="52" t="n">
        <v>0</v>
      </c>
      <c r="BB2164" s="53" t="n">
        <v>0</v>
      </c>
      <c r="BC2164" s="52" t="n">
        <v>0</v>
      </c>
      <c r="BD2164" s="53" t="n">
        <v>0</v>
      </c>
      <c r="BE2164" s="52" t="n">
        <v>20.99</v>
      </c>
      <c r="BF2164" s="51" t="n">
        <v>0</v>
      </c>
    </row>
    <row r="2165">
      <c r="A2165">
        <f>HYPERLINK("https://www.walmart.com/ip/297663861", "297663861")</f>
        <v/>
      </c>
      <c r="B2165" t="inlineStr">
        <is>
          <t>Sherpa Fuzzy Blanket 50" x 60", Mink Plush for TV Bed, Comfy Warm Heavy Comfort Caring Gift:</t>
        </is>
      </c>
      <c r="C2165" t="inlineStr">
        <is>
          <t>1CTBF300CA</t>
        </is>
      </c>
      <c r="D2165" t="inlineStr">
        <is>
          <t>Throws</t>
        </is>
      </c>
      <c r="E2165" t="inlineStr">
        <is>
          <t>Catalonia</t>
        </is>
      </c>
      <c r="F2165" t="inlineStr">
        <is>
          <t>Q2-Target,Optimized,WFS,Coupon_Discount,WFS Item</t>
        </is>
      </c>
      <c r="G2165" s="48" t="n">
        <v>0</v>
      </c>
      <c r="H2165" s="49" t="n">
        <v>0</v>
      </c>
      <c r="I2165" s="49" t="n">
        <v>0</v>
      </c>
      <c r="J2165" s="50" t="n">
        <v>0</v>
      </c>
      <c r="K2165" s="51" t="n">
        <v>0</v>
      </c>
      <c r="L2165" s="52" t="n">
        <v>0</v>
      </c>
      <c r="M2165" s="52" t="n">
        <v>0</v>
      </c>
      <c r="N2165" s="52" t="n">
        <v>0</v>
      </c>
      <c r="O2165" s="53" t="n">
        <v>0</v>
      </c>
      <c r="P2165" s="52" t="n">
        <v>0</v>
      </c>
      <c r="Q2165" s="53" t="n">
        <v>0</v>
      </c>
      <c r="R2165" s="52" t="n">
        <v>0</v>
      </c>
      <c r="S2165" s="51" t="n">
        <v>0</v>
      </c>
      <c r="T2165" s="48" t="n">
        <v>0</v>
      </c>
      <c r="U2165" s="49" t="n">
        <v>0</v>
      </c>
      <c r="V2165" s="49" t="n">
        <v>0</v>
      </c>
      <c r="W2165" s="50" t="n">
        <v>0</v>
      </c>
      <c r="X2165" s="51" t="n">
        <v>0</v>
      </c>
      <c r="Y2165" s="52" t="n">
        <v>0</v>
      </c>
      <c r="Z2165" s="52" t="n">
        <v>0</v>
      </c>
      <c r="AA2165" s="52" t="n">
        <v>0</v>
      </c>
      <c r="AB2165" s="53" t="n">
        <v>0</v>
      </c>
      <c r="AC2165" s="52" t="n">
        <v>0</v>
      </c>
      <c r="AD2165" s="53" t="n">
        <v>0</v>
      </c>
      <c r="AE2165" s="52" t="n">
        <v>0</v>
      </c>
      <c r="AF2165" s="51" t="n">
        <v>0</v>
      </c>
      <c r="AG2165" s="48" t="n">
        <v>0</v>
      </c>
      <c r="AH2165" s="49" t="n">
        <v>0</v>
      </c>
      <c r="AI2165" s="49" t="n">
        <v>0</v>
      </c>
      <c r="AJ2165" s="50" t="n">
        <v>0</v>
      </c>
      <c r="AK2165" s="51" t="n">
        <v>0</v>
      </c>
      <c r="AL2165" s="52" t="n">
        <v>0</v>
      </c>
      <c r="AM2165" s="52" t="n">
        <v>0</v>
      </c>
      <c r="AN2165" s="52" t="n">
        <v>0</v>
      </c>
      <c r="AO2165" s="53" t="n">
        <v>0</v>
      </c>
      <c r="AP2165" s="52" t="n">
        <v>0</v>
      </c>
      <c r="AQ2165" s="53" t="n">
        <v>0</v>
      </c>
      <c r="AR2165" s="52" t="n">
        <v>0</v>
      </c>
      <c r="AS2165" s="51" t="n">
        <v>0</v>
      </c>
      <c r="AT2165" s="48" t="n">
        <v>0</v>
      </c>
      <c r="AU2165" s="49" t="n">
        <v>0</v>
      </c>
      <c r="AV2165" s="49" t="n">
        <v>0</v>
      </c>
      <c r="AW2165" s="50" t="n">
        <v>0</v>
      </c>
      <c r="AX2165" s="51" t="n">
        <v>0</v>
      </c>
      <c r="AY2165" s="52" t="n">
        <v>0</v>
      </c>
      <c r="AZ2165" s="52" t="n">
        <v>0</v>
      </c>
      <c r="BA2165" s="52" t="n">
        <v>0</v>
      </c>
      <c r="BB2165" s="53" t="n">
        <v>0</v>
      </c>
      <c r="BC2165" s="52" t="n">
        <v>0</v>
      </c>
      <c r="BD2165" s="53" t="n">
        <v>0</v>
      </c>
      <c r="BE2165" s="52" t="n">
        <v>0</v>
      </c>
      <c r="BF2165" s="51" t="n">
        <v>0</v>
      </c>
    </row>
    <row r="2166">
      <c r="A2166">
        <f>HYPERLINK("https://www.walmart.com/ip/298770903", "298770903")</f>
        <v/>
      </c>
      <c r="B2166" t="inlineStr">
        <is>
          <t>Women’s Crop Top Hoodie Sweatshirt Oversized Casual 3/4 Sleeve One Size Cheetah</t>
        </is>
      </c>
      <c r="C2166" t="inlineStr">
        <is>
          <t>1WMHD520S1CHEETAH</t>
        </is>
      </c>
      <c r="D2166" t="inlineStr">
        <is>
          <t>Sweatshirts &amp; Hoodies</t>
        </is>
      </c>
      <c r="E2166" t="inlineStr">
        <is>
          <t>Flyingstar</t>
        </is>
      </c>
      <c r="F2166" t="inlineStr">
        <is>
          <t>Batch 1 - TR</t>
        </is>
      </c>
      <c r="G2166" s="48" t="n">
        <v>0</v>
      </c>
      <c r="H2166" s="49" t="n">
        <v>0</v>
      </c>
      <c r="I2166" s="49" t="n">
        <v>0</v>
      </c>
      <c r="J2166" s="50" t="n">
        <v>0</v>
      </c>
      <c r="K2166" s="51" t="n">
        <v>0</v>
      </c>
      <c r="L2166" s="52" t="n">
        <v>0</v>
      </c>
      <c r="M2166" s="52" t="n">
        <v>0</v>
      </c>
      <c r="N2166" s="52" t="n">
        <v>0</v>
      </c>
      <c r="O2166" s="53" t="n">
        <v>0</v>
      </c>
      <c r="P2166" s="52" t="n">
        <v>0</v>
      </c>
      <c r="Q2166" s="53" t="n">
        <v>0</v>
      </c>
      <c r="R2166" s="52" t="n">
        <v>0</v>
      </c>
      <c r="S2166" s="51" t="n">
        <v>0</v>
      </c>
      <c r="T2166" s="48" t="n">
        <v>0</v>
      </c>
      <c r="U2166" s="49" t="n">
        <v>0</v>
      </c>
      <c r="V2166" s="49" t="n">
        <v>0</v>
      </c>
      <c r="W2166" s="50" t="n">
        <v>0</v>
      </c>
      <c r="X2166" s="51" t="n">
        <v>0</v>
      </c>
      <c r="Y2166" s="52" t="n">
        <v>0</v>
      </c>
      <c r="Z2166" s="52" t="n">
        <v>0</v>
      </c>
      <c r="AA2166" s="52" t="n">
        <v>0</v>
      </c>
      <c r="AB2166" s="53" t="n">
        <v>0</v>
      </c>
      <c r="AC2166" s="52" t="n">
        <v>0</v>
      </c>
      <c r="AD2166" s="53" t="n">
        <v>0</v>
      </c>
      <c r="AE2166" s="52" t="n">
        <v>0</v>
      </c>
      <c r="AF2166" s="51" t="n">
        <v>0</v>
      </c>
      <c r="AG2166" s="48" t="n">
        <v>0</v>
      </c>
      <c r="AH2166" s="49" t="n">
        <v>0</v>
      </c>
      <c r="AI2166" s="49" t="n">
        <v>0</v>
      </c>
      <c r="AJ2166" s="50" t="n">
        <v>0</v>
      </c>
      <c r="AK2166" s="51" t="n">
        <v>0</v>
      </c>
      <c r="AL2166" s="52" t="n">
        <v>0</v>
      </c>
      <c r="AM2166" s="52" t="n">
        <v>0</v>
      </c>
      <c r="AN2166" s="52" t="n">
        <v>0</v>
      </c>
      <c r="AO2166" s="53" t="n">
        <v>0</v>
      </c>
      <c r="AP2166" s="52" t="n">
        <v>0</v>
      </c>
      <c r="AQ2166" s="53" t="n">
        <v>0</v>
      </c>
      <c r="AR2166" s="52" t="n">
        <v>0</v>
      </c>
      <c r="AS2166" s="51" t="n">
        <v>0</v>
      </c>
      <c r="AT2166" s="48" t="n">
        <v>0</v>
      </c>
      <c r="AU2166" s="49" t="n">
        <v>0</v>
      </c>
      <c r="AV2166" s="49" t="n">
        <v>0</v>
      </c>
      <c r="AW2166" s="50" t="n">
        <v>0</v>
      </c>
      <c r="AX2166" s="51" t="n">
        <v>0</v>
      </c>
      <c r="AY2166" s="52" t="n">
        <v>0</v>
      </c>
      <c r="AZ2166" s="52" t="n">
        <v>0</v>
      </c>
      <c r="BA2166" s="52" t="n">
        <v>0</v>
      </c>
      <c r="BB2166" s="53" t="n">
        <v>0</v>
      </c>
      <c r="BC2166" s="52" t="n">
        <v>0</v>
      </c>
      <c r="BD2166" s="53" t="n">
        <v>0</v>
      </c>
      <c r="BE2166" s="52" t="n">
        <v>0</v>
      </c>
      <c r="BF2166" s="51" t="n">
        <v>0</v>
      </c>
    </row>
    <row r="2167">
      <c r="A2167">
        <f>HYPERLINK("https://www.walmart.com/ip/298792856", "298792856")</f>
        <v/>
      </c>
      <c r="B2167" t="inlineStr">
        <is>
          <t>Catalonia Sherpa Wearable Blanket Poncho for Adult Women Men, Wrap Blanket Cape with Pocket, Warm, Soft, Cozy, Snuggly, Comfort Gift, No Sleeves, Aqua</t>
        </is>
      </c>
      <c r="C2167" t="inlineStr">
        <is>
          <t>1CTBP110AQ</t>
        </is>
      </c>
      <c r="D2167" t="inlineStr">
        <is>
          <t>Throws</t>
        </is>
      </c>
      <c r="E2167" t="inlineStr">
        <is>
          <t>Catalonia</t>
        </is>
      </c>
      <c r="F2167" t="inlineStr">
        <is>
          <t>Optimized,Hero 5 Holidays,WFS,Coupon_Discount,WFS Item</t>
        </is>
      </c>
      <c r="G2167" s="48" t="n">
        <v>0</v>
      </c>
      <c r="H2167" s="49" t="n">
        <v>0</v>
      </c>
      <c r="I2167" s="49" t="n">
        <v>0</v>
      </c>
      <c r="J2167" s="50" t="n">
        <v>0</v>
      </c>
      <c r="K2167" s="51" t="n">
        <v>0</v>
      </c>
      <c r="L2167" s="52" t="n">
        <v>0</v>
      </c>
      <c r="M2167" s="52" t="n">
        <v>0</v>
      </c>
      <c r="N2167" s="52" t="n">
        <v>0</v>
      </c>
      <c r="O2167" s="53" t="n">
        <v>0</v>
      </c>
      <c r="P2167" s="52" t="n">
        <v>0</v>
      </c>
      <c r="Q2167" s="53" t="n">
        <v>0</v>
      </c>
      <c r="R2167" s="52" t="n">
        <v>0</v>
      </c>
      <c r="S2167" s="51" t="n">
        <v>0</v>
      </c>
      <c r="T2167" s="48" t="n">
        <v>0</v>
      </c>
      <c r="U2167" s="49" t="n">
        <v>0</v>
      </c>
      <c r="V2167" s="49" t="n">
        <v>0</v>
      </c>
      <c r="W2167" s="50" t="n">
        <v>0</v>
      </c>
      <c r="X2167" s="51" t="n">
        <v>0</v>
      </c>
      <c r="Y2167" s="52" t="n">
        <v>0</v>
      </c>
      <c r="Z2167" s="52" t="n">
        <v>0</v>
      </c>
      <c r="AA2167" s="52" t="n">
        <v>0</v>
      </c>
      <c r="AB2167" s="53" t="n">
        <v>0</v>
      </c>
      <c r="AC2167" s="52" t="n">
        <v>0</v>
      </c>
      <c r="AD2167" s="53" t="n">
        <v>0</v>
      </c>
      <c r="AE2167" s="52" t="n">
        <v>0</v>
      </c>
      <c r="AF2167" s="51" t="n">
        <v>0</v>
      </c>
      <c r="AG2167" s="48" t="n">
        <v>0</v>
      </c>
      <c r="AH2167" s="49" t="n">
        <v>0</v>
      </c>
      <c r="AI2167" s="49" t="n">
        <v>0</v>
      </c>
      <c r="AJ2167" s="50" t="n">
        <v>0</v>
      </c>
      <c r="AK2167" s="51" t="n">
        <v>0</v>
      </c>
      <c r="AL2167" s="52" t="n">
        <v>0</v>
      </c>
      <c r="AM2167" s="52" t="n">
        <v>0</v>
      </c>
      <c r="AN2167" s="52" t="n">
        <v>0</v>
      </c>
      <c r="AO2167" s="53" t="n">
        <v>0</v>
      </c>
      <c r="AP2167" s="52" t="n">
        <v>0</v>
      </c>
      <c r="AQ2167" s="53" t="n">
        <v>0</v>
      </c>
      <c r="AR2167" s="52" t="n">
        <v>0</v>
      </c>
      <c r="AS2167" s="51" t="n">
        <v>0</v>
      </c>
      <c r="AT2167" s="48" t="n">
        <v>0</v>
      </c>
      <c r="AU2167" s="49" t="n">
        <v>0</v>
      </c>
      <c r="AV2167" s="49" t="n">
        <v>0</v>
      </c>
      <c r="AW2167" s="50" t="n">
        <v>0</v>
      </c>
      <c r="AX2167" s="51" t="n">
        <v>0</v>
      </c>
      <c r="AY2167" s="52" t="n">
        <v>0</v>
      </c>
      <c r="AZ2167" s="52" t="n">
        <v>0</v>
      </c>
      <c r="BA2167" s="52" t="n">
        <v>0</v>
      </c>
      <c r="BB2167" s="53" t="n">
        <v>0</v>
      </c>
      <c r="BC2167" s="52" t="n">
        <v>0</v>
      </c>
      <c r="BD2167" s="53" t="n">
        <v>0</v>
      </c>
      <c r="BE2167" s="52" t="n">
        <v>0</v>
      </c>
      <c r="BF2167" s="51" t="n">
        <v>0</v>
      </c>
    </row>
    <row r="2168">
      <c r="A2168">
        <f>HYPERLINK("https://www.walmart.com/ip/298917062", "298917062")</f>
        <v/>
      </c>
      <c r="B2168" t="inlineStr">
        <is>
          <t>Tirrinia Reversible Chevron Micro Plush Super Soft Throw Blanket, Wine, 50" x 60"</t>
        </is>
      </c>
      <c r="C2168" t="inlineStr">
        <is>
          <t>1TRBF320WN-TBCB</t>
        </is>
      </c>
      <c r="D2168" t="inlineStr">
        <is>
          <t>Throws</t>
        </is>
      </c>
      <c r="E2168" t="inlineStr">
        <is>
          <t>Tirrinia</t>
        </is>
      </c>
      <c r="F2168" t="inlineStr">
        <is>
          <t>Batch 1 - TR</t>
        </is>
      </c>
      <c r="G2168" s="48" t="n">
        <v>0</v>
      </c>
      <c r="H2168" s="49" t="n">
        <v>0</v>
      </c>
      <c r="I2168" s="49" t="n">
        <v>0</v>
      </c>
      <c r="J2168" s="50" t="n">
        <v>0</v>
      </c>
      <c r="K2168" s="51" t="n">
        <v>0</v>
      </c>
      <c r="L2168" s="52" t="n">
        <v>0</v>
      </c>
      <c r="M2168" s="52" t="n">
        <v>0</v>
      </c>
      <c r="N2168" s="52" t="n">
        <v>0</v>
      </c>
      <c r="O2168" s="53" t="n">
        <v>0</v>
      </c>
      <c r="P2168" s="52" t="n">
        <v>0</v>
      </c>
      <c r="Q2168" s="53" t="n">
        <v>0</v>
      </c>
      <c r="R2168" s="52" t="n">
        <v>0</v>
      </c>
      <c r="S2168" s="51" t="n">
        <v>0</v>
      </c>
      <c r="T2168" s="48" t="n">
        <v>0</v>
      </c>
      <c r="U2168" s="49" t="n">
        <v>0</v>
      </c>
      <c r="V2168" s="49" t="n">
        <v>0</v>
      </c>
      <c r="W2168" s="50" t="n">
        <v>0</v>
      </c>
      <c r="X2168" s="51" t="n">
        <v>0</v>
      </c>
      <c r="Y2168" s="52" t="n">
        <v>0</v>
      </c>
      <c r="Z2168" s="52" t="n">
        <v>0</v>
      </c>
      <c r="AA2168" s="52" t="n">
        <v>0</v>
      </c>
      <c r="AB2168" s="53" t="n">
        <v>0</v>
      </c>
      <c r="AC2168" s="52" t="n">
        <v>0</v>
      </c>
      <c r="AD2168" s="53" t="n">
        <v>0</v>
      </c>
      <c r="AE2168" s="52" t="n">
        <v>0</v>
      </c>
      <c r="AF2168" s="51" t="n">
        <v>0</v>
      </c>
      <c r="AG2168" s="48" t="n">
        <v>0</v>
      </c>
      <c r="AH2168" s="49" t="n">
        <v>0</v>
      </c>
      <c r="AI2168" s="49" t="n">
        <v>0</v>
      </c>
      <c r="AJ2168" s="50" t="n">
        <v>0</v>
      </c>
      <c r="AK2168" s="51" t="n">
        <v>0</v>
      </c>
      <c r="AL2168" s="52" t="n">
        <v>0</v>
      </c>
      <c r="AM2168" s="52" t="n">
        <v>0</v>
      </c>
      <c r="AN2168" s="52" t="n">
        <v>0</v>
      </c>
      <c r="AO2168" s="53" t="n">
        <v>0</v>
      </c>
      <c r="AP2168" s="52" t="n">
        <v>0</v>
      </c>
      <c r="AQ2168" s="53" t="n">
        <v>0</v>
      </c>
      <c r="AR2168" s="52" t="n">
        <v>0</v>
      </c>
      <c r="AS2168" s="51" t="n">
        <v>0</v>
      </c>
      <c r="AT2168" s="48" t="n">
        <v>0</v>
      </c>
      <c r="AU2168" s="49" t="n">
        <v>0</v>
      </c>
      <c r="AV2168" s="49" t="n">
        <v>0</v>
      </c>
      <c r="AW2168" s="50" t="n">
        <v>0</v>
      </c>
      <c r="AX2168" s="51" t="n">
        <v>0</v>
      </c>
      <c r="AY2168" s="52" t="n">
        <v>0</v>
      </c>
      <c r="AZ2168" s="52" t="n">
        <v>0</v>
      </c>
      <c r="BA2168" s="52" t="n">
        <v>0</v>
      </c>
      <c r="BB2168" s="53" t="n">
        <v>0</v>
      </c>
      <c r="BC2168" s="52" t="n">
        <v>0</v>
      </c>
      <c r="BD2168" s="53" t="n">
        <v>0</v>
      </c>
      <c r="BE2168" s="52" t="n">
        <v>0</v>
      </c>
      <c r="BF2168" s="51" t="n">
        <v>0</v>
      </c>
    </row>
    <row r="2169">
      <c r="A2169">
        <f>HYPERLINK("https://www.walmart.com/ip/299098323", "299098323")</f>
        <v/>
      </c>
      <c r="B2169" t="inlineStr">
        <is>
          <t>Flyingstar Women's Ponytail Sun Hat for Hiking Gardening Safari, Breathable Mesh and Ponytail Hole Opening, Green</t>
        </is>
      </c>
      <c r="C2169" t="inlineStr">
        <is>
          <t>1WMSH912GN</t>
        </is>
      </c>
      <c r="D2169" t="inlineStr">
        <is>
          <t>Hats</t>
        </is>
      </c>
      <c r="E2169" t="inlineStr">
        <is>
          <t>Flyingstar</t>
        </is>
      </c>
      <c r="F2169" t="inlineStr">
        <is>
          <t>Optimized,ST Patrick Day</t>
        </is>
      </c>
      <c r="G2169" s="48" t="n">
        <v>0</v>
      </c>
      <c r="H2169" s="49" t="n">
        <v>0</v>
      </c>
      <c r="I2169" s="49" t="n">
        <v>0</v>
      </c>
      <c r="J2169" s="50" t="n">
        <v>0</v>
      </c>
      <c r="K2169" s="51" t="n">
        <v>0</v>
      </c>
      <c r="L2169" s="52" t="n">
        <v>0</v>
      </c>
      <c r="M2169" s="52" t="n">
        <v>0</v>
      </c>
      <c r="N2169" s="52" t="n">
        <v>0</v>
      </c>
      <c r="O2169" s="53" t="n">
        <v>0</v>
      </c>
      <c r="P2169" s="52" t="n">
        <v>0</v>
      </c>
      <c r="Q2169" s="53" t="n">
        <v>0</v>
      </c>
      <c r="R2169" s="52" t="n">
        <v>0</v>
      </c>
      <c r="S2169" s="51" t="n">
        <v>0</v>
      </c>
      <c r="T2169" s="48" t="n">
        <v>0</v>
      </c>
      <c r="U2169" s="49" t="n">
        <v>0</v>
      </c>
      <c r="V2169" s="49" t="n">
        <v>0</v>
      </c>
      <c r="W2169" s="50" t="n">
        <v>0</v>
      </c>
      <c r="X2169" s="51" t="n">
        <v>0</v>
      </c>
      <c r="Y2169" s="52" t="n">
        <v>0</v>
      </c>
      <c r="Z2169" s="52" t="n">
        <v>0</v>
      </c>
      <c r="AA2169" s="52" t="n">
        <v>0</v>
      </c>
      <c r="AB2169" s="53" t="n">
        <v>0</v>
      </c>
      <c r="AC2169" s="52" t="n">
        <v>0</v>
      </c>
      <c r="AD2169" s="53" t="n">
        <v>0</v>
      </c>
      <c r="AE2169" s="52" t="n">
        <v>0</v>
      </c>
      <c r="AF2169" s="51" t="n">
        <v>0</v>
      </c>
      <c r="AG2169" s="48" t="n">
        <v>0</v>
      </c>
      <c r="AH2169" s="49" t="n">
        <v>0</v>
      </c>
      <c r="AI2169" s="49" t="n">
        <v>0</v>
      </c>
      <c r="AJ2169" s="50" t="n">
        <v>0</v>
      </c>
      <c r="AK2169" s="51" t="n">
        <v>0</v>
      </c>
      <c r="AL2169" s="52" t="n">
        <v>0</v>
      </c>
      <c r="AM2169" s="52" t="n">
        <v>0</v>
      </c>
      <c r="AN2169" s="52" t="n">
        <v>0</v>
      </c>
      <c r="AO2169" s="53" t="n">
        <v>0</v>
      </c>
      <c r="AP2169" s="52" t="n">
        <v>0</v>
      </c>
      <c r="AQ2169" s="53" t="n">
        <v>0</v>
      </c>
      <c r="AR2169" s="52" t="n">
        <v>0</v>
      </c>
      <c r="AS2169" s="51" t="n">
        <v>0</v>
      </c>
      <c r="AT2169" s="48" t="n">
        <v>0</v>
      </c>
      <c r="AU2169" s="49" t="n">
        <v>0</v>
      </c>
      <c r="AV2169" s="49" t="n">
        <v>0</v>
      </c>
      <c r="AW2169" s="50" t="n">
        <v>0</v>
      </c>
      <c r="AX2169" s="51" t="n">
        <v>0</v>
      </c>
      <c r="AY2169" s="52" t="n">
        <v>0</v>
      </c>
      <c r="AZ2169" s="52" t="n">
        <v>0</v>
      </c>
      <c r="BA2169" s="52" t="n">
        <v>0</v>
      </c>
      <c r="BB2169" s="53" t="n">
        <v>0</v>
      </c>
      <c r="BC2169" s="52" t="n">
        <v>0</v>
      </c>
      <c r="BD2169" s="53" t="n">
        <v>0</v>
      </c>
      <c r="BE2169" s="52" t="n">
        <v>0</v>
      </c>
      <c r="BF2169" s="51" t="n">
        <v>0</v>
      </c>
    </row>
    <row r="2170">
      <c r="A2170">
        <f>HYPERLINK("https://www.walmart.com/ip/299263465", "299263465")</f>
        <v/>
      </c>
      <c r="B2170" t="inlineStr">
        <is>
          <t>Tirrinia Sherpa Fleece Wearable Blanket Poncho for Adults, Aqua, 55'' x 80''</t>
        </is>
      </c>
      <c r="C2170" t="inlineStr">
        <is>
          <t>1TRBP110AQ-TBCB</t>
        </is>
      </c>
      <c r="D2170" t="inlineStr">
        <is>
          <t>Throws</t>
        </is>
      </c>
      <c r="E2170" t="inlineStr">
        <is>
          <t>Tirrinia</t>
        </is>
      </c>
      <c r="F2170" t="inlineStr">
        <is>
          <t>Optimized</t>
        </is>
      </c>
      <c r="G2170" s="48" t="n">
        <v>0</v>
      </c>
      <c r="H2170" s="49" t="n">
        <v>0</v>
      </c>
      <c r="I2170" s="49" t="n">
        <v>0</v>
      </c>
      <c r="J2170" s="50" t="n">
        <v>0</v>
      </c>
      <c r="K2170" s="51" t="n">
        <v>0</v>
      </c>
      <c r="L2170" s="52" t="n">
        <v>0</v>
      </c>
      <c r="M2170" s="52" t="n">
        <v>0</v>
      </c>
      <c r="N2170" s="52" t="n">
        <v>0</v>
      </c>
      <c r="O2170" s="53" t="n">
        <v>0</v>
      </c>
      <c r="P2170" s="52" t="n">
        <v>0</v>
      </c>
      <c r="Q2170" s="53" t="n">
        <v>0</v>
      </c>
      <c r="R2170" s="52" t="n">
        <v>0</v>
      </c>
      <c r="S2170" s="51" t="n">
        <v>0</v>
      </c>
      <c r="T2170" s="48" t="n">
        <v>0</v>
      </c>
      <c r="U2170" s="49" t="n">
        <v>0</v>
      </c>
      <c r="V2170" s="49" t="n">
        <v>0</v>
      </c>
      <c r="W2170" s="50" t="n">
        <v>0</v>
      </c>
      <c r="X2170" s="51" t="n">
        <v>0</v>
      </c>
      <c r="Y2170" s="52" t="n">
        <v>0</v>
      </c>
      <c r="Z2170" s="52" t="n">
        <v>0</v>
      </c>
      <c r="AA2170" s="52" t="n">
        <v>0</v>
      </c>
      <c r="AB2170" s="53" t="n">
        <v>0</v>
      </c>
      <c r="AC2170" s="52" t="n">
        <v>0</v>
      </c>
      <c r="AD2170" s="53" t="n">
        <v>0</v>
      </c>
      <c r="AE2170" s="52" t="n">
        <v>0</v>
      </c>
      <c r="AF2170" s="51" t="n">
        <v>0</v>
      </c>
      <c r="AG2170" s="48" t="n">
        <v>0</v>
      </c>
      <c r="AH2170" s="49" t="n">
        <v>0</v>
      </c>
      <c r="AI2170" s="49" t="n">
        <v>0</v>
      </c>
      <c r="AJ2170" s="50" t="n">
        <v>0</v>
      </c>
      <c r="AK2170" s="51" t="n">
        <v>0</v>
      </c>
      <c r="AL2170" s="52" t="n">
        <v>0</v>
      </c>
      <c r="AM2170" s="52" t="n">
        <v>0</v>
      </c>
      <c r="AN2170" s="52" t="n">
        <v>0</v>
      </c>
      <c r="AO2170" s="53" t="n">
        <v>0</v>
      </c>
      <c r="AP2170" s="52" t="n">
        <v>0</v>
      </c>
      <c r="AQ2170" s="53" t="n">
        <v>0</v>
      </c>
      <c r="AR2170" s="52" t="n">
        <v>0</v>
      </c>
      <c r="AS2170" s="51" t="n">
        <v>0</v>
      </c>
      <c r="AT2170" s="48" t="n">
        <v>0</v>
      </c>
      <c r="AU2170" s="49" t="n">
        <v>0</v>
      </c>
      <c r="AV2170" s="49" t="n">
        <v>0</v>
      </c>
      <c r="AW2170" s="50" t="n">
        <v>0</v>
      </c>
      <c r="AX2170" s="51" t="n">
        <v>0</v>
      </c>
      <c r="AY2170" s="52" t="n">
        <v>0</v>
      </c>
      <c r="AZ2170" s="52" t="n">
        <v>0</v>
      </c>
      <c r="BA2170" s="52" t="n">
        <v>0</v>
      </c>
      <c r="BB2170" s="53" t="n">
        <v>0</v>
      </c>
      <c r="BC2170" s="52" t="n">
        <v>0</v>
      </c>
      <c r="BD2170" s="53" t="n">
        <v>0</v>
      </c>
      <c r="BE2170" s="52" t="n">
        <v>0</v>
      </c>
      <c r="BF2170" s="51" t="n">
        <v>0</v>
      </c>
    </row>
    <row r="2171">
      <c r="A2171">
        <f>HYPERLINK("https://www.walmart.com/ip/299561966", "299561966")</f>
        <v/>
      </c>
      <c r="B2171" t="inlineStr">
        <is>
          <t>Tirrinia Insulated 2 Bottle Wine Carrier Tote Cooler Bag for Travel Picnic Padded Champagne Glass Carrying Case</t>
        </is>
      </c>
      <c r="C2171" t="inlineStr">
        <is>
          <t>1WMWB221CHEETAH</t>
        </is>
      </c>
      <c r="D2171" t="inlineStr">
        <is>
          <t>Wine Totes, Bags &amp; Backpacks</t>
        </is>
      </c>
      <c r="E2171" t="inlineStr">
        <is>
          <t>Flyingstar</t>
        </is>
      </c>
      <c r="F2171" t="inlineStr">
        <is>
          <t>Wine,Christmas,Valentine</t>
        </is>
      </c>
      <c r="G2171" s="48" t="n">
        <v>0</v>
      </c>
      <c r="H2171" s="49" t="n">
        <v>0</v>
      </c>
      <c r="I2171" s="49" t="n">
        <v>0</v>
      </c>
      <c r="J2171" s="50" t="n">
        <v>0</v>
      </c>
      <c r="K2171" s="51" t="n">
        <v>0</v>
      </c>
      <c r="L2171" s="52" t="n">
        <v>0</v>
      </c>
      <c r="M2171" s="52" t="n">
        <v>0</v>
      </c>
      <c r="N2171" s="52" t="n">
        <v>0</v>
      </c>
      <c r="O2171" s="53" t="n">
        <v>0</v>
      </c>
      <c r="P2171" s="52" t="n">
        <v>0</v>
      </c>
      <c r="Q2171" s="53" t="n">
        <v>0</v>
      </c>
      <c r="R2171" s="52" t="n">
        <v>0</v>
      </c>
      <c r="S2171" s="51" t="n">
        <v>0</v>
      </c>
      <c r="T2171" s="48" t="n">
        <v>0</v>
      </c>
      <c r="U2171" s="49" t="n">
        <v>0</v>
      </c>
      <c r="V2171" s="49" t="n">
        <v>0</v>
      </c>
      <c r="W2171" s="50" t="n">
        <v>0</v>
      </c>
      <c r="X2171" s="51" t="n">
        <v>0</v>
      </c>
      <c r="Y2171" s="52" t="n">
        <v>0</v>
      </c>
      <c r="Z2171" s="52" t="n">
        <v>0</v>
      </c>
      <c r="AA2171" s="52" t="n">
        <v>0</v>
      </c>
      <c r="AB2171" s="53" t="n">
        <v>0</v>
      </c>
      <c r="AC2171" s="52" t="n">
        <v>0</v>
      </c>
      <c r="AD2171" s="53" t="n">
        <v>0</v>
      </c>
      <c r="AE2171" s="52" t="n">
        <v>0</v>
      </c>
      <c r="AF2171" s="51" t="n">
        <v>0</v>
      </c>
      <c r="AG2171" s="48" t="n">
        <v>0</v>
      </c>
      <c r="AH2171" s="49" t="n">
        <v>0</v>
      </c>
      <c r="AI2171" s="49" t="n">
        <v>0</v>
      </c>
      <c r="AJ2171" s="50" t="n">
        <v>0</v>
      </c>
      <c r="AK2171" s="51" t="n">
        <v>0</v>
      </c>
      <c r="AL2171" s="52" t="n">
        <v>0</v>
      </c>
      <c r="AM2171" s="52" t="n">
        <v>0</v>
      </c>
      <c r="AN2171" s="52" t="n">
        <v>0</v>
      </c>
      <c r="AO2171" s="53" t="n">
        <v>0</v>
      </c>
      <c r="AP2171" s="52" t="n">
        <v>0</v>
      </c>
      <c r="AQ2171" s="53" t="n">
        <v>0</v>
      </c>
      <c r="AR2171" s="52" t="n">
        <v>0</v>
      </c>
      <c r="AS2171" s="51" t="n">
        <v>0</v>
      </c>
      <c r="AT2171" s="48" t="n">
        <v>0</v>
      </c>
      <c r="AU2171" s="49" t="n">
        <v>0</v>
      </c>
      <c r="AV2171" s="49" t="n">
        <v>0</v>
      </c>
      <c r="AW2171" s="50" t="n">
        <v>0</v>
      </c>
      <c r="AX2171" s="51" t="n">
        <v>0</v>
      </c>
      <c r="AY2171" s="52" t="n">
        <v>0</v>
      </c>
      <c r="AZ2171" s="52" t="n">
        <v>0</v>
      </c>
      <c r="BA2171" s="52" t="n">
        <v>0</v>
      </c>
      <c r="BB2171" s="53" t="n">
        <v>0</v>
      </c>
      <c r="BC2171" s="52" t="n">
        <v>0</v>
      </c>
      <c r="BD2171" s="53" t="n">
        <v>0</v>
      </c>
      <c r="BE2171" s="52" t="n">
        <v>0</v>
      </c>
      <c r="BF2171" s="51" t="n">
        <v>0</v>
      </c>
    </row>
    <row r="2172">
      <c r="A2172">
        <f>HYPERLINK("https://www.walmart.com/ip/299623790", "299623790")</f>
        <v/>
      </c>
      <c r="B2172" t="inlineStr">
        <is>
          <t>Catalonia Fleece Throw Blanket for Couch, Lightweight All Seasons Soft Cozy Moroccan Blanket for Home Living Room Decorative, 50'' x 60'', Wine</t>
        </is>
      </c>
      <c r="C2172" t="inlineStr">
        <is>
          <t>1CTBF580KATWN</t>
        </is>
      </c>
      <c r="D2172" t="inlineStr">
        <is>
          <t>Throws</t>
        </is>
      </c>
      <c r="E2172" t="inlineStr">
        <is>
          <t>Catalonia</t>
        </is>
      </c>
      <c r="F2172" t="inlineStr">
        <is>
          <t>WFS,WFS Item</t>
        </is>
      </c>
      <c r="G2172" s="48" t="n">
        <v>0</v>
      </c>
      <c r="H2172" s="49" t="n">
        <v>0</v>
      </c>
      <c r="I2172" s="49" t="n">
        <v>0</v>
      </c>
      <c r="J2172" s="50" t="n">
        <v>0</v>
      </c>
      <c r="K2172" s="51" t="n">
        <v>0</v>
      </c>
      <c r="L2172" s="52" t="n">
        <v>0</v>
      </c>
      <c r="M2172" s="52" t="n">
        <v>0</v>
      </c>
      <c r="N2172" s="52" t="n">
        <v>0</v>
      </c>
      <c r="O2172" s="53" t="n">
        <v>0</v>
      </c>
      <c r="P2172" s="52" t="n">
        <v>0</v>
      </c>
      <c r="Q2172" s="53" t="n">
        <v>0</v>
      </c>
      <c r="R2172" s="52" t="n">
        <v>0</v>
      </c>
      <c r="S2172" s="51" t="n">
        <v>0</v>
      </c>
      <c r="T2172" s="48" t="n">
        <v>0</v>
      </c>
      <c r="U2172" s="49" t="n">
        <v>0</v>
      </c>
      <c r="V2172" s="49" t="n">
        <v>0</v>
      </c>
      <c r="W2172" s="50" t="n">
        <v>0</v>
      </c>
      <c r="X2172" s="51" t="n">
        <v>0</v>
      </c>
      <c r="Y2172" s="52" t="n">
        <v>0</v>
      </c>
      <c r="Z2172" s="52" t="n">
        <v>0</v>
      </c>
      <c r="AA2172" s="52" t="n">
        <v>0</v>
      </c>
      <c r="AB2172" s="53" t="n">
        <v>0</v>
      </c>
      <c r="AC2172" s="52" t="n">
        <v>0</v>
      </c>
      <c r="AD2172" s="53" t="n">
        <v>0</v>
      </c>
      <c r="AE2172" s="52" t="n">
        <v>0</v>
      </c>
      <c r="AF2172" s="51" t="n">
        <v>0</v>
      </c>
      <c r="AG2172" s="48" t="n">
        <v>0</v>
      </c>
      <c r="AH2172" s="49" t="n">
        <v>0</v>
      </c>
      <c r="AI2172" s="49" t="n">
        <v>0</v>
      </c>
      <c r="AJ2172" s="50" t="n">
        <v>0</v>
      </c>
      <c r="AK2172" s="51" t="n">
        <v>0</v>
      </c>
      <c r="AL2172" s="52" t="n">
        <v>0</v>
      </c>
      <c r="AM2172" s="52" t="n">
        <v>0</v>
      </c>
      <c r="AN2172" s="52" t="n">
        <v>0</v>
      </c>
      <c r="AO2172" s="53" t="n">
        <v>0</v>
      </c>
      <c r="AP2172" s="52" t="n">
        <v>0</v>
      </c>
      <c r="AQ2172" s="53" t="n">
        <v>0</v>
      </c>
      <c r="AR2172" s="52" t="n">
        <v>0</v>
      </c>
      <c r="AS2172" s="51" t="n">
        <v>0</v>
      </c>
      <c r="AT2172" s="48" t="n">
        <v>0</v>
      </c>
      <c r="AU2172" s="49" t="n">
        <v>0</v>
      </c>
      <c r="AV2172" s="49" t="n">
        <v>0</v>
      </c>
      <c r="AW2172" s="50" t="n">
        <v>0</v>
      </c>
      <c r="AX2172" s="51" t="n">
        <v>0</v>
      </c>
      <c r="AY2172" s="52" t="n">
        <v>0</v>
      </c>
      <c r="AZ2172" s="52" t="n">
        <v>0</v>
      </c>
      <c r="BA2172" s="52" t="n">
        <v>0</v>
      </c>
      <c r="BB2172" s="53" t="n">
        <v>0</v>
      </c>
      <c r="BC2172" s="52" t="n">
        <v>0</v>
      </c>
      <c r="BD2172" s="53" t="n">
        <v>0</v>
      </c>
      <c r="BE2172" s="52" t="n">
        <v>0</v>
      </c>
      <c r="BF2172" s="51" t="n">
        <v>0</v>
      </c>
    </row>
    <row r="2173">
      <c r="A2173">
        <f>HYPERLINK("https://www.walmart.com/ip/299857615", "299857615")</f>
        <v/>
      </c>
      <c r="B2173" t="inlineStr">
        <is>
          <t>Kritter Planet Waterproof Dog Blanket for Couch, Washable Pet Couch Cover, Non-slip Bed Sofa Furniture Protector Mat, Gray, 30''x50''.</t>
        </is>
      </c>
      <c r="C2173" t="inlineStr">
        <is>
          <t>1KPBW356GY</t>
        </is>
      </c>
      <c r="D2173" t="inlineStr">
        <is>
          <t>Pet Blankets</t>
        </is>
      </c>
      <c r="E2173" t="inlineStr">
        <is>
          <t>Kritter Planet</t>
        </is>
      </c>
      <c r="F2173" t="inlineStr">
        <is>
          <t>Q2-Target,Optimized</t>
        </is>
      </c>
      <c r="G2173" s="48" t="n">
        <v>0</v>
      </c>
      <c r="H2173" s="49" t="n">
        <v>0</v>
      </c>
      <c r="I2173" s="49" t="n">
        <v>0</v>
      </c>
      <c r="J2173" s="50" t="n">
        <v>0</v>
      </c>
      <c r="K2173" s="51" t="n">
        <v>0</v>
      </c>
      <c r="L2173" s="52" t="n">
        <v>0</v>
      </c>
      <c r="M2173" s="52" t="n">
        <v>0</v>
      </c>
      <c r="N2173" s="52" t="n">
        <v>0</v>
      </c>
      <c r="O2173" s="53" t="n">
        <v>0</v>
      </c>
      <c r="P2173" s="52" t="n">
        <v>0</v>
      </c>
      <c r="Q2173" s="53" t="n">
        <v>0</v>
      </c>
      <c r="R2173" s="52" t="n">
        <v>0</v>
      </c>
      <c r="S2173" s="51" t="n">
        <v>0</v>
      </c>
      <c r="T2173" s="48" t="n">
        <v>14.99</v>
      </c>
      <c r="U2173" s="49" t="n">
        <v>1</v>
      </c>
      <c r="V2173" s="49" t="n">
        <v>0</v>
      </c>
      <c r="W2173" s="50" t="n">
        <v>0</v>
      </c>
      <c r="X2173" s="51" t="n">
        <v>0</v>
      </c>
      <c r="Y2173" s="52" t="n">
        <v>0</v>
      </c>
      <c r="Z2173" s="52" t="n">
        <v>0</v>
      </c>
      <c r="AA2173" s="52" t="n">
        <v>0</v>
      </c>
      <c r="AB2173" s="53" t="n">
        <v>0</v>
      </c>
      <c r="AC2173" s="52" t="n">
        <v>0</v>
      </c>
      <c r="AD2173" s="53" t="n">
        <v>0</v>
      </c>
      <c r="AE2173" s="52" t="n">
        <v>14.99</v>
      </c>
      <c r="AF2173" s="51" t="n">
        <v>0</v>
      </c>
      <c r="AG2173" s="48" t="n">
        <v>0</v>
      </c>
      <c r="AH2173" s="49" t="n">
        <v>0</v>
      </c>
      <c r="AI2173" s="49" t="n">
        <v>0</v>
      </c>
      <c r="AJ2173" s="50" t="n">
        <v>0</v>
      </c>
      <c r="AK2173" s="51" t="n">
        <v>0</v>
      </c>
      <c r="AL2173" s="52" t="n">
        <v>0</v>
      </c>
      <c r="AM2173" s="52" t="n">
        <v>0</v>
      </c>
      <c r="AN2173" s="52" t="n">
        <v>0</v>
      </c>
      <c r="AO2173" s="53" t="n">
        <v>0</v>
      </c>
      <c r="AP2173" s="52" t="n">
        <v>0</v>
      </c>
      <c r="AQ2173" s="53" t="n">
        <v>0</v>
      </c>
      <c r="AR2173" s="52" t="n">
        <v>0</v>
      </c>
      <c r="AS2173" s="51" t="n">
        <v>0</v>
      </c>
      <c r="AT2173" s="48" t="n">
        <v>0</v>
      </c>
      <c r="AU2173" s="49" t="n">
        <v>0</v>
      </c>
      <c r="AV2173" s="49" t="n">
        <v>0</v>
      </c>
      <c r="AW2173" s="50" t="n">
        <v>0</v>
      </c>
      <c r="AX2173" s="51" t="n">
        <v>0</v>
      </c>
      <c r="AY2173" s="52" t="n">
        <v>0</v>
      </c>
      <c r="AZ2173" s="52" t="n">
        <v>0</v>
      </c>
      <c r="BA2173" s="52" t="n">
        <v>0</v>
      </c>
      <c r="BB2173" s="53" t="n">
        <v>0</v>
      </c>
      <c r="BC2173" s="52" t="n">
        <v>0</v>
      </c>
      <c r="BD2173" s="53" t="n">
        <v>0</v>
      </c>
      <c r="BE2173" s="52" t="n">
        <v>0</v>
      </c>
      <c r="BF2173" s="51" t="n">
        <v>0</v>
      </c>
    </row>
    <row r="2174">
      <c r="A2174">
        <f>HYPERLINK("https://www.walmart.com/ip/300408320", "300408320")</f>
        <v/>
      </c>
      <c r="B2174" t="inlineStr">
        <is>
          <t>Sherpa Wearable Blanket with Sleeves Arms, Super Soft Warm Comfy Large Fleece Plush Sleeved TV Throws Wrap Robe Blanket for Adult Women and Men, Cheetah</t>
        </is>
      </c>
      <c r="C2174" t="inlineStr">
        <is>
          <t>1CTSN110CHEETAH</t>
        </is>
      </c>
      <c r="D2174" t="inlineStr">
        <is>
          <t>Throws</t>
        </is>
      </c>
      <c r="E2174" t="inlineStr">
        <is>
          <t>Catalonia</t>
        </is>
      </c>
      <c r="F2174" t="inlineStr">
        <is>
          <t>Q2-Target,WFS,Coupon_Discount,WFS Item</t>
        </is>
      </c>
      <c r="G2174" s="48" t="n">
        <v>0</v>
      </c>
      <c r="H2174" s="49" t="n">
        <v>0</v>
      </c>
      <c r="I2174" s="49" t="n">
        <v>0</v>
      </c>
      <c r="J2174" s="50" t="n">
        <v>0</v>
      </c>
      <c r="K2174" s="51" t="n">
        <v>0</v>
      </c>
      <c r="L2174" s="52" t="n">
        <v>0</v>
      </c>
      <c r="M2174" s="52" t="n">
        <v>0</v>
      </c>
      <c r="N2174" s="52" t="n">
        <v>0</v>
      </c>
      <c r="O2174" s="53" t="n">
        <v>0</v>
      </c>
      <c r="P2174" s="52" t="n">
        <v>0</v>
      </c>
      <c r="Q2174" s="53" t="n">
        <v>0</v>
      </c>
      <c r="R2174" s="52" t="n">
        <v>0</v>
      </c>
      <c r="S2174" s="51" t="n">
        <v>0</v>
      </c>
      <c r="T2174" s="48" t="n">
        <v>0</v>
      </c>
      <c r="U2174" s="49" t="n">
        <v>0</v>
      </c>
      <c r="V2174" s="49" t="n">
        <v>0</v>
      </c>
      <c r="W2174" s="50" t="n">
        <v>0</v>
      </c>
      <c r="X2174" s="51" t="n">
        <v>0</v>
      </c>
      <c r="Y2174" s="52" t="n">
        <v>0</v>
      </c>
      <c r="Z2174" s="52" t="n">
        <v>0</v>
      </c>
      <c r="AA2174" s="52" t="n">
        <v>0</v>
      </c>
      <c r="AB2174" s="53" t="n">
        <v>0</v>
      </c>
      <c r="AC2174" s="52" t="n">
        <v>0</v>
      </c>
      <c r="AD2174" s="53" t="n">
        <v>0</v>
      </c>
      <c r="AE2174" s="52" t="n">
        <v>0</v>
      </c>
      <c r="AF2174" s="51" t="n">
        <v>0</v>
      </c>
      <c r="AG2174" s="48" t="n">
        <v>0</v>
      </c>
      <c r="AH2174" s="49" t="n">
        <v>0</v>
      </c>
      <c r="AI2174" s="49" t="n">
        <v>0</v>
      </c>
      <c r="AJ2174" s="50" t="n">
        <v>0</v>
      </c>
      <c r="AK2174" s="51" t="n">
        <v>0</v>
      </c>
      <c r="AL2174" s="52" t="n">
        <v>0</v>
      </c>
      <c r="AM2174" s="52" t="n">
        <v>0</v>
      </c>
      <c r="AN2174" s="52" t="n">
        <v>0</v>
      </c>
      <c r="AO2174" s="53" t="n">
        <v>0</v>
      </c>
      <c r="AP2174" s="52" t="n">
        <v>0</v>
      </c>
      <c r="AQ2174" s="53" t="n">
        <v>0</v>
      </c>
      <c r="AR2174" s="52" t="n">
        <v>0</v>
      </c>
      <c r="AS2174" s="51" t="n">
        <v>0</v>
      </c>
      <c r="AT2174" s="48" t="n">
        <v>0</v>
      </c>
      <c r="AU2174" s="49" t="n">
        <v>0</v>
      </c>
      <c r="AV2174" s="49" t="n">
        <v>0</v>
      </c>
      <c r="AW2174" s="50" t="n">
        <v>0</v>
      </c>
      <c r="AX2174" s="51" t="n">
        <v>0</v>
      </c>
      <c r="AY2174" s="52" t="n">
        <v>0</v>
      </c>
      <c r="AZ2174" s="52" t="n">
        <v>0</v>
      </c>
      <c r="BA2174" s="52" t="n">
        <v>0</v>
      </c>
      <c r="BB2174" s="53" t="n">
        <v>0</v>
      </c>
      <c r="BC2174" s="52" t="n">
        <v>0</v>
      </c>
      <c r="BD2174" s="53" t="n">
        <v>0</v>
      </c>
      <c r="BE2174" s="52" t="n">
        <v>0</v>
      </c>
      <c r="BF2174" s="51" t="n">
        <v>0</v>
      </c>
    </row>
    <row r="2175">
      <c r="A2175">
        <f>HYPERLINK("https://www.walmart.com/ip/300696654", "300696654")</f>
        <v/>
      </c>
      <c r="B2175" t="inlineStr">
        <is>
          <t>Tirrinia Unisex Outdoor Sun Protection Fishing Cap with Neck Flap Wide Brim Mesh Hat for Travel Camping Hiking Hunting</t>
        </is>
      </c>
      <c r="C2175" t="inlineStr">
        <is>
          <t>1WMSH9150DIGIGY</t>
        </is>
      </c>
      <c r="D2175" t="inlineStr">
        <is>
          <t>Hats</t>
        </is>
      </c>
      <c r="E2175" t="inlineStr">
        <is>
          <t>Tirrinia</t>
        </is>
      </c>
      <c r="F2175" t="inlineStr">
        <is>
          <t>Optimized</t>
        </is>
      </c>
      <c r="G2175" s="48" t="n">
        <v>0</v>
      </c>
      <c r="H2175" s="49" t="n">
        <v>0</v>
      </c>
      <c r="I2175" s="49" t="n">
        <v>0</v>
      </c>
      <c r="J2175" s="50" t="n">
        <v>0</v>
      </c>
      <c r="K2175" s="51" t="n">
        <v>0</v>
      </c>
      <c r="L2175" s="52" t="n">
        <v>0</v>
      </c>
      <c r="M2175" s="52" t="n">
        <v>0</v>
      </c>
      <c r="N2175" s="52" t="n">
        <v>0</v>
      </c>
      <c r="O2175" s="53" t="n">
        <v>0</v>
      </c>
      <c r="P2175" s="52" t="n">
        <v>0</v>
      </c>
      <c r="Q2175" s="53" t="n">
        <v>0</v>
      </c>
      <c r="R2175" s="52" t="n">
        <v>0</v>
      </c>
      <c r="S2175" s="51" t="n">
        <v>0</v>
      </c>
      <c r="T2175" s="48" t="n">
        <v>0</v>
      </c>
      <c r="U2175" s="49" t="n">
        <v>0</v>
      </c>
      <c r="V2175" s="49" t="n">
        <v>0</v>
      </c>
      <c r="W2175" s="50" t="n">
        <v>0</v>
      </c>
      <c r="X2175" s="51" t="n">
        <v>0</v>
      </c>
      <c r="Y2175" s="52" t="n">
        <v>0</v>
      </c>
      <c r="Z2175" s="52" t="n">
        <v>0</v>
      </c>
      <c r="AA2175" s="52" t="n">
        <v>0</v>
      </c>
      <c r="AB2175" s="53" t="n">
        <v>0</v>
      </c>
      <c r="AC2175" s="52" t="n">
        <v>0</v>
      </c>
      <c r="AD2175" s="53" t="n">
        <v>0</v>
      </c>
      <c r="AE2175" s="52" t="n">
        <v>0</v>
      </c>
      <c r="AF2175" s="51" t="n">
        <v>0</v>
      </c>
      <c r="AG2175" s="48" t="n">
        <v>0</v>
      </c>
      <c r="AH2175" s="49" t="n">
        <v>0</v>
      </c>
      <c r="AI2175" s="49" t="n">
        <v>0</v>
      </c>
      <c r="AJ2175" s="50" t="n">
        <v>0</v>
      </c>
      <c r="AK2175" s="51" t="n">
        <v>0</v>
      </c>
      <c r="AL2175" s="52" t="n">
        <v>0</v>
      </c>
      <c r="AM2175" s="52" t="n">
        <v>0</v>
      </c>
      <c r="AN2175" s="52" t="n">
        <v>0</v>
      </c>
      <c r="AO2175" s="53" t="n">
        <v>0</v>
      </c>
      <c r="AP2175" s="52" t="n">
        <v>0</v>
      </c>
      <c r="AQ2175" s="53" t="n">
        <v>0</v>
      </c>
      <c r="AR2175" s="52" t="n">
        <v>0</v>
      </c>
      <c r="AS2175" s="51" t="n">
        <v>0</v>
      </c>
      <c r="AT2175" s="48" t="n">
        <v>0</v>
      </c>
      <c r="AU2175" s="49" t="n">
        <v>0</v>
      </c>
      <c r="AV2175" s="49" t="n">
        <v>0</v>
      </c>
      <c r="AW2175" s="50" t="n">
        <v>0</v>
      </c>
      <c r="AX2175" s="51" t="n">
        <v>0</v>
      </c>
      <c r="AY2175" s="52" t="n">
        <v>0</v>
      </c>
      <c r="AZ2175" s="52" t="n">
        <v>0</v>
      </c>
      <c r="BA2175" s="52" t="n">
        <v>0</v>
      </c>
      <c r="BB2175" s="53" t="n">
        <v>0</v>
      </c>
      <c r="BC2175" s="52" t="n">
        <v>0</v>
      </c>
      <c r="BD2175" s="53" t="n">
        <v>0</v>
      </c>
      <c r="BE2175" s="52" t="n">
        <v>0</v>
      </c>
      <c r="BF2175" s="51" t="n">
        <v>0</v>
      </c>
    </row>
    <row r="2176">
      <c r="A2176">
        <f>HYPERLINK("https://www.walmart.com/ip/311864053", "311864053")</f>
        <v/>
      </c>
      <c r="B2176" t="inlineStr">
        <is>
          <t>Catalonia Wearable Blanket with Sleeves and Pocket, Cozy Soft Fleece Micro Plush Wrap Adult Snuggie Blanket Robe for Women Men, Makes a Great Gift for Holidays, Navy</t>
        </is>
      </c>
      <c r="C2176" t="inlineStr">
        <is>
          <t>1CTSN100NY</t>
        </is>
      </c>
      <c r="D2176" t="inlineStr">
        <is>
          <t>Throws</t>
        </is>
      </c>
      <c r="E2176" t="inlineStr">
        <is>
          <t>Catalonia</t>
        </is>
      </c>
      <c r="F2176" t="inlineStr">
        <is>
          <t>Q2-Target,WFS,Coupon_Discount,WFS Item</t>
        </is>
      </c>
      <c r="G2176" s="48" t="n">
        <v>0</v>
      </c>
      <c r="H2176" s="49" t="n">
        <v>0</v>
      </c>
      <c r="I2176" s="49" t="n">
        <v>0</v>
      </c>
      <c r="J2176" s="50" t="n">
        <v>0</v>
      </c>
      <c r="K2176" s="51" t="n">
        <v>0</v>
      </c>
      <c r="L2176" s="52" t="n">
        <v>0</v>
      </c>
      <c r="M2176" s="52" t="n">
        <v>0</v>
      </c>
      <c r="N2176" s="52" t="n">
        <v>0</v>
      </c>
      <c r="O2176" s="53" t="n">
        <v>0</v>
      </c>
      <c r="P2176" s="52" t="n">
        <v>0</v>
      </c>
      <c r="Q2176" s="53" t="n">
        <v>0</v>
      </c>
      <c r="R2176" s="52" t="n">
        <v>0</v>
      </c>
      <c r="S2176" s="51" t="n">
        <v>0</v>
      </c>
      <c r="T2176" s="48" t="n">
        <v>0</v>
      </c>
      <c r="U2176" s="49" t="n">
        <v>0</v>
      </c>
      <c r="V2176" s="49" t="n">
        <v>0</v>
      </c>
      <c r="W2176" s="50" t="n">
        <v>0</v>
      </c>
      <c r="X2176" s="51" t="n">
        <v>0</v>
      </c>
      <c r="Y2176" s="52" t="n">
        <v>0</v>
      </c>
      <c r="Z2176" s="52" t="n">
        <v>0</v>
      </c>
      <c r="AA2176" s="52" t="n">
        <v>0</v>
      </c>
      <c r="AB2176" s="53" t="n">
        <v>0</v>
      </c>
      <c r="AC2176" s="52" t="n">
        <v>0</v>
      </c>
      <c r="AD2176" s="53" t="n">
        <v>0</v>
      </c>
      <c r="AE2176" s="52" t="n">
        <v>0</v>
      </c>
      <c r="AF2176" s="51" t="n">
        <v>0</v>
      </c>
      <c r="AG2176" s="48" t="n">
        <v>0</v>
      </c>
      <c r="AH2176" s="49" t="n">
        <v>0</v>
      </c>
      <c r="AI2176" s="49" t="n">
        <v>0</v>
      </c>
      <c r="AJ2176" s="50" t="n">
        <v>0</v>
      </c>
      <c r="AK2176" s="51" t="n">
        <v>0</v>
      </c>
      <c r="AL2176" s="52" t="n">
        <v>0</v>
      </c>
      <c r="AM2176" s="52" t="n">
        <v>0</v>
      </c>
      <c r="AN2176" s="52" t="n">
        <v>0</v>
      </c>
      <c r="AO2176" s="53" t="n">
        <v>0</v>
      </c>
      <c r="AP2176" s="52" t="n">
        <v>0</v>
      </c>
      <c r="AQ2176" s="53" t="n">
        <v>0</v>
      </c>
      <c r="AR2176" s="52" t="n">
        <v>0</v>
      </c>
      <c r="AS2176" s="51" t="n">
        <v>0</v>
      </c>
      <c r="AT2176" s="48" t="n">
        <v>0</v>
      </c>
      <c r="AU2176" s="49" t="n">
        <v>0</v>
      </c>
      <c r="AV2176" s="49" t="n">
        <v>0</v>
      </c>
      <c r="AW2176" s="50" t="n">
        <v>0</v>
      </c>
      <c r="AX2176" s="51" t="n">
        <v>0</v>
      </c>
      <c r="AY2176" s="52" t="n">
        <v>0</v>
      </c>
      <c r="AZ2176" s="52" t="n">
        <v>0</v>
      </c>
      <c r="BA2176" s="52" t="n">
        <v>0</v>
      </c>
      <c r="BB2176" s="53" t="n">
        <v>0</v>
      </c>
      <c r="BC2176" s="52" t="n">
        <v>0</v>
      </c>
      <c r="BD2176" s="53" t="n">
        <v>0</v>
      </c>
      <c r="BE2176" s="52" t="n">
        <v>0</v>
      </c>
      <c r="BF2176" s="51" t="n">
        <v>0</v>
      </c>
    </row>
    <row r="2177">
      <c r="A2177">
        <f>HYPERLINK("https://www.walmart.com/ip/3120306417", "3120306417")</f>
        <v/>
      </c>
      <c r="B2177" t="inlineStr">
        <is>
          <t>Tirrinia Hood Wearable Fleece Blanket with Sleeves for Adult Women Men, Super Soft Comfy Plush Functional TV Blanket Throw Cuddly Wrap Cover for Bed Sofa and Lounge Chair Couch, Gray</t>
        </is>
      </c>
      <c r="C2177" t="inlineStr">
        <is>
          <t>1TRSN400GY</t>
        </is>
      </c>
      <c r="D2177" t="inlineStr">
        <is>
          <t>Throws</t>
        </is>
      </c>
      <c r="E2177" t="inlineStr">
        <is>
          <t>Tirrinia</t>
        </is>
      </c>
      <c r="F2177" t="inlineStr">
        <is>
          <t>Q2-Target,Coupon_Discount,Fleece Blankets</t>
        </is>
      </c>
      <c r="G2177" s="48" t="n">
        <v>0</v>
      </c>
      <c r="H2177" s="49" t="n">
        <v>0</v>
      </c>
      <c r="I2177" s="49" t="n">
        <v>0</v>
      </c>
      <c r="J2177" s="50" t="n">
        <v>0</v>
      </c>
      <c r="K2177" s="51" t="n">
        <v>0</v>
      </c>
      <c r="L2177" s="52" t="n">
        <v>0</v>
      </c>
      <c r="M2177" s="52" t="n">
        <v>0</v>
      </c>
      <c r="N2177" s="52" t="n">
        <v>0</v>
      </c>
      <c r="O2177" s="53" t="n">
        <v>0</v>
      </c>
      <c r="P2177" s="52" t="n">
        <v>0</v>
      </c>
      <c r="Q2177" s="53" t="n">
        <v>0</v>
      </c>
      <c r="R2177" s="52" t="n">
        <v>0</v>
      </c>
      <c r="S2177" s="51" t="n">
        <v>0</v>
      </c>
      <c r="T2177" s="48" t="n">
        <v>0</v>
      </c>
      <c r="U2177" s="49" t="n">
        <v>0</v>
      </c>
      <c r="V2177" s="49" t="n">
        <v>0</v>
      </c>
      <c r="W2177" s="50" t="n">
        <v>0</v>
      </c>
      <c r="X2177" s="51" t="n">
        <v>0</v>
      </c>
      <c r="Y2177" s="52" t="n">
        <v>0</v>
      </c>
      <c r="Z2177" s="52" t="n">
        <v>0</v>
      </c>
      <c r="AA2177" s="52" t="n">
        <v>0</v>
      </c>
      <c r="AB2177" s="53" t="n">
        <v>0</v>
      </c>
      <c r="AC2177" s="52" t="n">
        <v>0</v>
      </c>
      <c r="AD2177" s="53" t="n">
        <v>0</v>
      </c>
      <c r="AE2177" s="52" t="n">
        <v>0</v>
      </c>
      <c r="AF2177" s="51" t="n">
        <v>0</v>
      </c>
      <c r="AG2177" s="48" t="n">
        <v>0</v>
      </c>
      <c r="AH2177" s="49" t="n">
        <v>0</v>
      </c>
      <c r="AI2177" s="49" t="n">
        <v>0</v>
      </c>
      <c r="AJ2177" s="50" t="n">
        <v>0</v>
      </c>
      <c r="AK2177" s="51" t="n">
        <v>0</v>
      </c>
      <c r="AL2177" s="52" t="n">
        <v>0</v>
      </c>
      <c r="AM2177" s="52" t="n">
        <v>0</v>
      </c>
      <c r="AN2177" s="52" t="n">
        <v>0</v>
      </c>
      <c r="AO2177" s="53" t="n">
        <v>0</v>
      </c>
      <c r="AP2177" s="52" t="n">
        <v>0</v>
      </c>
      <c r="AQ2177" s="53" t="n">
        <v>0</v>
      </c>
      <c r="AR2177" s="52" t="n">
        <v>0</v>
      </c>
      <c r="AS2177" s="51" t="n">
        <v>0</v>
      </c>
      <c r="AT2177" s="48" t="n">
        <v>0</v>
      </c>
      <c r="AU2177" s="49" t="n">
        <v>0</v>
      </c>
      <c r="AV2177" s="49" t="n">
        <v>0</v>
      </c>
      <c r="AW2177" s="50" t="n">
        <v>0</v>
      </c>
      <c r="AX2177" s="51" t="n">
        <v>0</v>
      </c>
      <c r="AY2177" s="52" t="n">
        <v>0</v>
      </c>
      <c r="AZ2177" s="52" t="n">
        <v>0</v>
      </c>
      <c r="BA2177" s="52" t="n">
        <v>0</v>
      </c>
      <c r="BB2177" s="53" t="n">
        <v>0</v>
      </c>
      <c r="BC2177" s="52" t="n">
        <v>0</v>
      </c>
      <c r="BD2177" s="53" t="n">
        <v>0</v>
      </c>
      <c r="BE2177" s="52" t="n">
        <v>0</v>
      </c>
      <c r="BF2177" s="51" t="n">
        <v>0</v>
      </c>
    </row>
    <row r="2178">
      <c r="A2178">
        <f>HYPERLINK("https://www.walmart.com/ip/312283022", "312283022")</f>
        <v/>
      </c>
      <c r="B2178" t="inlineStr">
        <is>
          <t>Mermaid Tail Blanket for Teen Girls with Anti-slip Neck Strap Wave Pattern | Soft Sleeping Bag for All Seasons</t>
        </is>
      </c>
      <c r="C2178" t="inlineStr">
        <is>
          <t>1CTMM100PP-TPB</t>
        </is>
      </c>
      <c r="D2178" t="inlineStr">
        <is>
          <t>Throws</t>
        </is>
      </c>
      <c r="E2178" t="inlineStr">
        <is>
          <t>Catalonia</t>
        </is>
      </c>
      <c r="F2178" t="inlineStr">
        <is>
          <t>Batch 1 - TR</t>
        </is>
      </c>
      <c r="G2178" s="48" t="n">
        <v>0</v>
      </c>
      <c r="H2178" s="49" t="n">
        <v>0</v>
      </c>
      <c r="I2178" s="49" t="n">
        <v>0</v>
      </c>
      <c r="J2178" s="50" t="n">
        <v>0</v>
      </c>
      <c r="K2178" s="51" t="n">
        <v>0</v>
      </c>
      <c r="L2178" s="52" t="n">
        <v>0</v>
      </c>
      <c r="M2178" s="52" t="n">
        <v>0</v>
      </c>
      <c r="N2178" s="52" t="n">
        <v>0</v>
      </c>
      <c r="O2178" s="53" t="n">
        <v>0</v>
      </c>
      <c r="P2178" s="52" t="n">
        <v>0</v>
      </c>
      <c r="Q2178" s="53" t="n">
        <v>0</v>
      </c>
      <c r="R2178" s="52" t="n">
        <v>0</v>
      </c>
      <c r="S2178" s="51" t="n">
        <v>0</v>
      </c>
      <c r="T2178" s="48" t="n">
        <v>0</v>
      </c>
      <c r="U2178" s="49" t="n">
        <v>0</v>
      </c>
      <c r="V2178" s="49" t="n">
        <v>0</v>
      </c>
      <c r="W2178" s="50" t="n">
        <v>0</v>
      </c>
      <c r="X2178" s="51" t="n">
        <v>0</v>
      </c>
      <c r="Y2178" s="52" t="n">
        <v>0</v>
      </c>
      <c r="Z2178" s="52" t="n">
        <v>0</v>
      </c>
      <c r="AA2178" s="52" t="n">
        <v>0</v>
      </c>
      <c r="AB2178" s="53" t="n">
        <v>0</v>
      </c>
      <c r="AC2178" s="52" t="n">
        <v>0</v>
      </c>
      <c r="AD2178" s="53" t="n">
        <v>0</v>
      </c>
      <c r="AE2178" s="52" t="n">
        <v>0</v>
      </c>
      <c r="AF2178" s="51" t="n">
        <v>0</v>
      </c>
      <c r="AG2178" s="48" t="n">
        <v>0</v>
      </c>
      <c r="AH2178" s="49" t="n">
        <v>0</v>
      </c>
      <c r="AI2178" s="49" t="n">
        <v>0</v>
      </c>
      <c r="AJ2178" s="50" t="n">
        <v>0</v>
      </c>
      <c r="AK2178" s="51" t="n">
        <v>0</v>
      </c>
      <c r="AL2178" s="52" t="n">
        <v>0</v>
      </c>
      <c r="AM2178" s="52" t="n">
        <v>0</v>
      </c>
      <c r="AN2178" s="52" t="n">
        <v>0</v>
      </c>
      <c r="AO2178" s="53" t="n">
        <v>0</v>
      </c>
      <c r="AP2178" s="52" t="n">
        <v>0</v>
      </c>
      <c r="AQ2178" s="53" t="n">
        <v>0</v>
      </c>
      <c r="AR2178" s="52" t="n">
        <v>0</v>
      </c>
      <c r="AS2178" s="51" t="n">
        <v>0</v>
      </c>
      <c r="AT2178" s="48" t="n">
        <v>0</v>
      </c>
      <c r="AU2178" s="49" t="n">
        <v>0</v>
      </c>
      <c r="AV2178" s="49" t="n">
        <v>0</v>
      </c>
      <c r="AW2178" s="50" t="n">
        <v>0</v>
      </c>
      <c r="AX2178" s="51" t="n">
        <v>0</v>
      </c>
      <c r="AY2178" s="52" t="n">
        <v>0</v>
      </c>
      <c r="AZ2178" s="52" t="n">
        <v>0</v>
      </c>
      <c r="BA2178" s="52" t="n">
        <v>0</v>
      </c>
      <c r="BB2178" s="53" t="n">
        <v>0</v>
      </c>
      <c r="BC2178" s="52" t="n">
        <v>0</v>
      </c>
      <c r="BD2178" s="53" t="n">
        <v>0</v>
      </c>
      <c r="BE2178" s="52" t="n">
        <v>0</v>
      </c>
      <c r="BF2178" s="51" t="n">
        <v>0</v>
      </c>
    </row>
    <row r="2179">
      <c r="A2179">
        <f>HYPERLINK("https://www.walmart.com/ip/312640915", "312640915")</f>
        <v/>
      </c>
      <c r="B2179" t="inlineStr">
        <is>
          <t>Catalonia Sherpa Throw Blanket, Reversible Cozy Waffle Pattern Knitted Blanket Throw for Couch Bed 60""x50"", Light Grey</t>
        </is>
      </c>
      <c r="C2179" t="inlineStr">
        <is>
          <t>1CTBN110LG</t>
        </is>
      </c>
      <c r="D2179" t="inlineStr">
        <is>
          <t>Throws</t>
        </is>
      </c>
      <c r="E2179" t="inlineStr">
        <is>
          <t>Catalonia</t>
        </is>
      </c>
      <c r="F2179" t="inlineStr">
        <is>
          <t>Q2-Target,WFS,SEM,WFS Item,Fleece Blankets</t>
        </is>
      </c>
      <c r="G2179" s="48" t="n">
        <v>0</v>
      </c>
      <c r="H2179" s="49" t="n">
        <v>0</v>
      </c>
      <c r="I2179" s="49" t="n">
        <v>0</v>
      </c>
      <c r="J2179" s="50" t="n">
        <v>0</v>
      </c>
      <c r="K2179" s="51" t="n">
        <v>0</v>
      </c>
      <c r="L2179" s="52" t="n">
        <v>0</v>
      </c>
      <c r="M2179" s="52" t="n">
        <v>0</v>
      </c>
      <c r="N2179" s="52" t="n">
        <v>0</v>
      </c>
      <c r="O2179" s="53" t="n">
        <v>0</v>
      </c>
      <c r="P2179" s="52" t="n">
        <v>0</v>
      </c>
      <c r="Q2179" s="53" t="n">
        <v>0</v>
      </c>
      <c r="R2179" s="52" t="n">
        <v>0</v>
      </c>
      <c r="S2179" s="51" t="n">
        <v>0</v>
      </c>
      <c r="T2179" s="48" t="n">
        <v>0</v>
      </c>
      <c r="U2179" s="49" t="n">
        <v>0</v>
      </c>
      <c r="V2179" s="49" t="n">
        <v>0</v>
      </c>
      <c r="W2179" s="50" t="n">
        <v>0</v>
      </c>
      <c r="X2179" s="51" t="n">
        <v>0</v>
      </c>
      <c r="Y2179" s="52" t="n">
        <v>0</v>
      </c>
      <c r="Z2179" s="52" t="n">
        <v>0</v>
      </c>
      <c r="AA2179" s="52" t="n">
        <v>0</v>
      </c>
      <c r="AB2179" s="53" t="n">
        <v>0</v>
      </c>
      <c r="AC2179" s="52" t="n">
        <v>0</v>
      </c>
      <c r="AD2179" s="53" t="n">
        <v>0</v>
      </c>
      <c r="AE2179" s="52" t="n">
        <v>0</v>
      </c>
      <c r="AF2179" s="51" t="n">
        <v>0</v>
      </c>
      <c r="AG2179" s="48" t="n">
        <v>0</v>
      </c>
      <c r="AH2179" s="49" t="n">
        <v>0</v>
      </c>
      <c r="AI2179" s="49" t="n">
        <v>0</v>
      </c>
      <c r="AJ2179" s="50" t="n">
        <v>0</v>
      </c>
      <c r="AK2179" s="51" t="n">
        <v>0</v>
      </c>
      <c r="AL2179" s="52" t="n">
        <v>0</v>
      </c>
      <c r="AM2179" s="52" t="n">
        <v>0</v>
      </c>
      <c r="AN2179" s="52" t="n">
        <v>0</v>
      </c>
      <c r="AO2179" s="53" t="n">
        <v>0</v>
      </c>
      <c r="AP2179" s="52" t="n">
        <v>0</v>
      </c>
      <c r="AQ2179" s="53" t="n">
        <v>0</v>
      </c>
      <c r="AR2179" s="52" t="n">
        <v>0</v>
      </c>
      <c r="AS2179" s="51" t="n">
        <v>0</v>
      </c>
      <c r="AT2179" s="48" t="n">
        <v>0</v>
      </c>
      <c r="AU2179" s="49" t="n">
        <v>0</v>
      </c>
      <c r="AV2179" s="49" t="n">
        <v>0</v>
      </c>
      <c r="AW2179" s="50" t="n">
        <v>0</v>
      </c>
      <c r="AX2179" s="51" t="n">
        <v>0</v>
      </c>
      <c r="AY2179" s="52" t="n">
        <v>0</v>
      </c>
      <c r="AZ2179" s="52" t="n">
        <v>0</v>
      </c>
      <c r="BA2179" s="52" t="n">
        <v>0</v>
      </c>
      <c r="BB2179" s="53" t="n">
        <v>0</v>
      </c>
      <c r="BC2179" s="52" t="n">
        <v>0</v>
      </c>
      <c r="BD2179" s="53" t="n">
        <v>0</v>
      </c>
      <c r="BE2179" s="52" t="n">
        <v>0</v>
      </c>
      <c r="BF2179" s="51" t="n">
        <v>0</v>
      </c>
    </row>
    <row r="2180">
      <c r="A2180">
        <f>HYPERLINK("https://www.walmart.com/ip/3214374661", "3214374661")</f>
        <v/>
      </c>
      <c r="B2180" t="inlineStr">
        <is>
          <t>Catalonia Wearable Blanket with Sleeves and Pocket, Cozy Soft Fleece Micro Plush Wrap Adult Blanket Robe for Women Men, Southwest Blue Pattern Makes a Great Gift for Holidays, 73" x 51".</t>
        </is>
      </c>
      <c r="C2180" t="inlineStr">
        <is>
          <t>1CTSN100SWBL</t>
        </is>
      </c>
      <c r="D2180" t="inlineStr">
        <is>
          <t>Throws</t>
        </is>
      </c>
      <c r="E2180" t="inlineStr">
        <is>
          <t>Catalonia</t>
        </is>
      </c>
      <c r="F2180" t="inlineStr">
        <is>
          <t>Q2-Target</t>
        </is>
      </c>
      <c r="G2180" s="48" t="n">
        <v>0</v>
      </c>
      <c r="H2180" s="49" t="n">
        <v>0</v>
      </c>
      <c r="I2180" s="49" t="n">
        <v>0</v>
      </c>
      <c r="J2180" s="50" t="n">
        <v>0</v>
      </c>
      <c r="K2180" s="51" t="n">
        <v>0</v>
      </c>
      <c r="L2180" s="52" t="n">
        <v>0</v>
      </c>
      <c r="M2180" s="52" t="n">
        <v>0</v>
      </c>
      <c r="N2180" s="52" t="n">
        <v>0</v>
      </c>
      <c r="O2180" s="53" t="n">
        <v>0</v>
      </c>
      <c r="P2180" s="52" t="n">
        <v>0</v>
      </c>
      <c r="Q2180" s="53" t="n">
        <v>0</v>
      </c>
      <c r="R2180" s="52" t="n">
        <v>0</v>
      </c>
      <c r="S2180" s="51" t="n">
        <v>0</v>
      </c>
      <c r="T2180" s="48" t="n">
        <v>0</v>
      </c>
      <c r="U2180" s="49" t="n">
        <v>0</v>
      </c>
      <c r="V2180" s="49" t="n">
        <v>0</v>
      </c>
      <c r="W2180" s="50" t="n">
        <v>0</v>
      </c>
      <c r="X2180" s="51" t="n">
        <v>0</v>
      </c>
      <c r="Y2180" s="52" t="n">
        <v>0</v>
      </c>
      <c r="Z2180" s="52" t="n">
        <v>0</v>
      </c>
      <c r="AA2180" s="52" t="n">
        <v>0</v>
      </c>
      <c r="AB2180" s="53" t="n">
        <v>0</v>
      </c>
      <c r="AC2180" s="52" t="n">
        <v>0</v>
      </c>
      <c r="AD2180" s="53" t="n">
        <v>0</v>
      </c>
      <c r="AE2180" s="52" t="n">
        <v>0</v>
      </c>
      <c r="AF2180" s="51" t="n">
        <v>0</v>
      </c>
      <c r="AG2180" s="48" t="n">
        <v>0</v>
      </c>
      <c r="AH2180" s="49" t="n">
        <v>0</v>
      </c>
      <c r="AI2180" s="49" t="n">
        <v>0</v>
      </c>
      <c r="AJ2180" s="50" t="n">
        <v>0</v>
      </c>
      <c r="AK2180" s="51" t="n">
        <v>0</v>
      </c>
      <c r="AL2180" s="52" t="n">
        <v>0</v>
      </c>
      <c r="AM2180" s="52" t="n">
        <v>0</v>
      </c>
      <c r="AN2180" s="52" t="n">
        <v>0</v>
      </c>
      <c r="AO2180" s="53" t="n">
        <v>0</v>
      </c>
      <c r="AP2180" s="52" t="n">
        <v>0</v>
      </c>
      <c r="AQ2180" s="53" t="n">
        <v>0</v>
      </c>
      <c r="AR2180" s="52" t="n">
        <v>0</v>
      </c>
      <c r="AS2180" s="51" t="n">
        <v>0</v>
      </c>
      <c r="AT2180" s="48" t="n">
        <v>0</v>
      </c>
      <c r="AU2180" s="49" t="n">
        <v>0</v>
      </c>
      <c r="AV2180" s="49" t="n">
        <v>0</v>
      </c>
      <c r="AW2180" s="50" t="n">
        <v>0</v>
      </c>
      <c r="AX2180" s="51" t="n">
        <v>0</v>
      </c>
      <c r="AY2180" s="52" t="n">
        <v>0</v>
      </c>
      <c r="AZ2180" s="52" t="n">
        <v>0</v>
      </c>
      <c r="BA2180" s="52" t="n">
        <v>0</v>
      </c>
      <c r="BB2180" s="53" t="n">
        <v>0</v>
      </c>
      <c r="BC2180" s="52" t="n">
        <v>0</v>
      </c>
      <c r="BD2180" s="53" t="n">
        <v>0</v>
      </c>
      <c r="BE2180" s="52" t="n">
        <v>0</v>
      </c>
      <c r="BF2180" s="51" t="n">
        <v>0</v>
      </c>
    </row>
    <row r="2181">
      <c r="A2181">
        <f>HYPERLINK("https://www.walmart.com/ip/321449528", "321449528")</f>
        <v/>
      </c>
      <c r="B2181" t="inlineStr">
        <is>
          <t>Tirrinia Small Unisex Insulated Lunch Bag for Adults and Kids, Splash-Proof Reusable Snack Box, Purple</t>
        </is>
      </c>
      <c r="C2181" t="inlineStr">
        <is>
          <t>1TRLB100PP</t>
        </is>
      </c>
      <c r="D2181" t="inlineStr">
        <is>
          <t>Reusable Lunch Bags &amp; Boxes</t>
        </is>
      </c>
      <c r="E2181" t="inlineStr">
        <is>
          <t>Tirrinia</t>
        </is>
      </c>
      <c r="F2181" t="inlineStr">
        <is>
          <t>Q2-Target,Lunch Bag,Optimized,SEM</t>
        </is>
      </c>
      <c r="G2181" s="48" t="n">
        <v>0</v>
      </c>
      <c r="H2181" s="49" t="n">
        <v>0</v>
      </c>
      <c r="I2181" s="49" t="n">
        <v>0</v>
      </c>
      <c r="J2181" s="50" t="n">
        <v>0</v>
      </c>
      <c r="K2181" s="51" t="n">
        <v>0</v>
      </c>
      <c r="L2181" s="52" t="n">
        <v>0</v>
      </c>
      <c r="M2181" s="52" t="n">
        <v>0</v>
      </c>
      <c r="N2181" s="52" t="n">
        <v>0</v>
      </c>
      <c r="O2181" s="53" t="n">
        <v>0</v>
      </c>
      <c r="P2181" s="52" t="n">
        <v>0</v>
      </c>
      <c r="Q2181" s="53" t="n">
        <v>0</v>
      </c>
      <c r="R2181" s="52" t="n">
        <v>0</v>
      </c>
      <c r="S2181" s="51" t="n">
        <v>0</v>
      </c>
      <c r="T2181" s="48" t="n">
        <v>0</v>
      </c>
      <c r="U2181" s="49" t="n">
        <v>0</v>
      </c>
      <c r="V2181" s="49" t="n">
        <v>0</v>
      </c>
      <c r="W2181" s="50" t="n">
        <v>0</v>
      </c>
      <c r="X2181" s="51" t="n">
        <v>0</v>
      </c>
      <c r="Y2181" s="52" t="n">
        <v>0</v>
      </c>
      <c r="Z2181" s="52" t="n">
        <v>0</v>
      </c>
      <c r="AA2181" s="52" t="n">
        <v>0</v>
      </c>
      <c r="AB2181" s="53" t="n">
        <v>0</v>
      </c>
      <c r="AC2181" s="52" t="n">
        <v>0</v>
      </c>
      <c r="AD2181" s="53" t="n">
        <v>0</v>
      </c>
      <c r="AE2181" s="52" t="n">
        <v>0</v>
      </c>
      <c r="AF2181" s="51" t="n">
        <v>0</v>
      </c>
      <c r="AG2181" s="48" t="n">
        <v>0</v>
      </c>
      <c r="AH2181" s="49" t="n">
        <v>0</v>
      </c>
      <c r="AI2181" s="49" t="n">
        <v>0</v>
      </c>
      <c r="AJ2181" s="50" t="n">
        <v>0</v>
      </c>
      <c r="AK2181" s="51" t="n">
        <v>0</v>
      </c>
      <c r="AL2181" s="52" t="n">
        <v>0</v>
      </c>
      <c r="AM2181" s="52" t="n">
        <v>0</v>
      </c>
      <c r="AN2181" s="52" t="n">
        <v>0</v>
      </c>
      <c r="AO2181" s="53" t="n">
        <v>0</v>
      </c>
      <c r="AP2181" s="52" t="n">
        <v>0</v>
      </c>
      <c r="AQ2181" s="53" t="n">
        <v>0</v>
      </c>
      <c r="AR2181" s="52" t="n">
        <v>0</v>
      </c>
      <c r="AS2181" s="51" t="n">
        <v>0</v>
      </c>
      <c r="AT2181" s="48" t="n">
        <v>14.99</v>
      </c>
      <c r="AU2181" s="49" t="n">
        <v>1</v>
      </c>
      <c r="AV2181" s="49" t="n">
        <v>3</v>
      </c>
      <c r="AW2181" s="50" t="n">
        <v>0.3333333333333333</v>
      </c>
      <c r="AX2181" s="51" t="n">
        <v>0</v>
      </c>
      <c r="AY2181" s="52" t="n">
        <v>0</v>
      </c>
      <c r="AZ2181" s="52" t="n">
        <v>0</v>
      </c>
      <c r="BA2181" s="52" t="n">
        <v>0</v>
      </c>
      <c r="BB2181" s="53" t="n">
        <v>0</v>
      </c>
      <c r="BC2181" s="52" t="n">
        <v>0</v>
      </c>
      <c r="BD2181" s="53" t="n">
        <v>0</v>
      </c>
      <c r="BE2181" s="52" t="n">
        <v>14.99</v>
      </c>
      <c r="BF2181" s="51" t="n">
        <v>0</v>
      </c>
    </row>
    <row r="2182">
      <c r="A2182">
        <f>HYPERLINK("https://www.walmart.com/ip/321545865", "321545865")</f>
        <v/>
      </c>
      <c r="B2182" t="inlineStr">
        <is>
          <t>Pawsse Dog Throw Blanket, Pet Blanket, Puppy Cat Dog Fleece Blanket Cushion Mat for Puppy Cat Small Animals, Wine &amp; Tan, 45" X 30".</t>
        </is>
      </c>
      <c r="C2182" t="inlineStr">
        <is>
          <t>1PSBF345WNTA</t>
        </is>
      </c>
      <c r="D2182" t="inlineStr">
        <is>
          <t>Pet Blankets</t>
        </is>
      </c>
      <c r="E2182" t="inlineStr">
        <is>
          <t>Pawsse</t>
        </is>
      </c>
      <c r="F2182" t="inlineStr">
        <is>
          <t>Q2-Target,WFS,WFS Item</t>
        </is>
      </c>
      <c r="G2182" s="48" t="n">
        <v>0</v>
      </c>
      <c r="H2182" s="49" t="n">
        <v>0</v>
      </c>
      <c r="I2182" s="49" t="n">
        <v>0</v>
      </c>
      <c r="J2182" s="50" t="n">
        <v>0</v>
      </c>
      <c r="K2182" s="51" t="n">
        <v>0</v>
      </c>
      <c r="L2182" s="52" t="n">
        <v>0</v>
      </c>
      <c r="M2182" s="52" t="n">
        <v>0</v>
      </c>
      <c r="N2182" s="52" t="n">
        <v>0</v>
      </c>
      <c r="O2182" s="53" t="n">
        <v>0</v>
      </c>
      <c r="P2182" s="52" t="n">
        <v>0</v>
      </c>
      <c r="Q2182" s="53" t="n">
        <v>0</v>
      </c>
      <c r="R2182" s="52" t="n">
        <v>0</v>
      </c>
      <c r="S2182" s="51" t="n">
        <v>0</v>
      </c>
      <c r="T2182" s="48" t="n">
        <v>0</v>
      </c>
      <c r="U2182" s="49" t="n">
        <v>0</v>
      </c>
      <c r="V2182" s="49" t="n">
        <v>0</v>
      </c>
      <c r="W2182" s="50" t="n">
        <v>0</v>
      </c>
      <c r="X2182" s="51" t="n">
        <v>0</v>
      </c>
      <c r="Y2182" s="52" t="n">
        <v>0</v>
      </c>
      <c r="Z2182" s="52" t="n">
        <v>0</v>
      </c>
      <c r="AA2182" s="52" t="n">
        <v>0</v>
      </c>
      <c r="AB2182" s="53" t="n">
        <v>0</v>
      </c>
      <c r="AC2182" s="52" t="n">
        <v>0</v>
      </c>
      <c r="AD2182" s="53" t="n">
        <v>0</v>
      </c>
      <c r="AE2182" s="52" t="n">
        <v>0</v>
      </c>
      <c r="AF2182" s="51" t="n">
        <v>0</v>
      </c>
      <c r="AG2182" s="48" t="n">
        <v>0</v>
      </c>
      <c r="AH2182" s="49" t="n">
        <v>0</v>
      </c>
      <c r="AI2182" s="49" t="n">
        <v>0</v>
      </c>
      <c r="AJ2182" s="50" t="n">
        <v>0</v>
      </c>
      <c r="AK2182" s="51" t="n">
        <v>0</v>
      </c>
      <c r="AL2182" s="52" t="n">
        <v>0</v>
      </c>
      <c r="AM2182" s="52" t="n">
        <v>0</v>
      </c>
      <c r="AN2182" s="52" t="n">
        <v>0</v>
      </c>
      <c r="AO2182" s="53" t="n">
        <v>0</v>
      </c>
      <c r="AP2182" s="52" t="n">
        <v>0</v>
      </c>
      <c r="AQ2182" s="53" t="n">
        <v>0</v>
      </c>
      <c r="AR2182" s="52" t="n">
        <v>0</v>
      </c>
      <c r="AS2182" s="51" t="n">
        <v>0</v>
      </c>
      <c r="AT2182" s="48" t="n">
        <v>0</v>
      </c>
      <c r="AU2182" s="49" t="n">
        <v>0</v>
      </c>
      <c r="AV2182" s="49" t="n">
        <v>0</v>
      </c>
      <c r="AW2182" s="50" t="n">
        <v>0</v>
      </c>
      <c r="AX2182" s="51" t="n">
        <v>0</v>
      </c>
      <c r="AY2182" s="52" t="n">
        <v>0</v>
      </c>
      <c r="AZ2182" s="52" t="n">
        <v>0</v>
      </c>
      <c r="BA2182" s="52" t="n">
        <v>0</v>
      </c>
      <c r="BB2182" s="53" t="n">
        <v>0</v>
      </c>
      <c r="BC2182" s="52" t="n">
        <v>0</v>
      </c>
      <c r="BD2182" s="53" t="n">
        <v>0</v>
      </c>
      <c r="BE2182" s="52" t="n">
        <v>0</v>
      </c>
      <c r="BF2182" s="51" t="n">
        <v>0</v>
      </c>
    </row>
    <row r="2183">
      <c r="A2183">
        <f>HYPERLINK("https://www.walmart.com/ip/322827178", "322827178")</f>
        <v/>
      </c>
      <c r="B2183" t="inlineStr">
        <is>
          <t>Catalonia Wearable TV Blanket with Sleeves Arms Warm Micro Plush Sherpa Fleece for Adult Large Wrap Throw Robe 72 x 55”</t>
        </is>
      </c>
      <c r="C2183" t="inlineStr">
        <is>
          <t>1CTSN110WN</t>
        </is>
      </c>
      <c r="D2183" t="inlineStr">
        <is>
          <t>Throws</t>
        </is>
      </c>
      <c r="E2183" t="inlineStr">
        <is>
          <t>Catalonia</t>
        </is>
      </c>
      <c r="F2183" t="inlineStr">
        <is>
          <t>Optimized,WFS,SEM,WFS Item</t>
        </is>
      </c>
      <c r="G2183" s="48" t="n">
        <v>0</v>
      </c>
      <c r="H2183" s="49" t="n">
        <v>0</v>
      </c>
      <c r="I2183" s="49" t="n">
        <v>0</v>
      </c>
      <c r="J2183" s="50" t="n">
        <v>0</v>
      </c>
      <c r="K2183" s="51" t="n">
        <v>0</v>
      </c>
      <c r="L2183" s="52" t="n">
        <v>0</v>
      </c>
      <c r="M2183" s="52" t="n">
        <v>0</v>
      </c>
      <c r="N2183" s="52" t="n">
        <v>0</v>
      </c>
      <c r="O2183" s="53" t="n">
        <v>0</v>
      </c>
      <c r="P2183" s="52" t="n">
        <v>0</v>
      </c>
      <c r="Q2183" s="53" t="n">
        <v>0</v>
      </c>
      <c r="R2183" s="52" t="n">
        <v>0</v>
      </c>
      <c r="S2183" s="51" t="n">
        <v>0</v>
      </c>
      <c r="T2183" s="48" t="n">
        <v>0</v>
      </c>
      <c r="U2183" s="49" t="n">
        <v>0</v>
      </c>
      <c r="V2183" s="49" t="n">
        <v>0</v>
      </c>
      <c r="W2183" s="50" t="n">
        <v>0</v>
      </c>
      <c r="X2183" s="51" t="n">
        <v>0</v>
      </c>
      <c r="Y2183" s="52" t="n">
        <v>0</v>
      </c>
      <c r="Z2183" s="52" t="n">
        <v>0</v>
      </c>
      <c r="AA2183" s="52" t="n">
        <v>0</v>
      </c>
      <c r="AB2183" s="53" t="n">
        <v>0</v>
      </c>
      <c r="AC2183" s="52" t="n">
        <v>0</v>
      </c>
      <c r="AD2183" s="53" t="n">
        <v>0</v>
      </c>
      <c r="AE2183" s="52" t="n">
        <v>0</v>
      </c>
      <c r="AF2183" s="51" t="n">
        <v>0</v>
      </c>
      <c r="AG2183" s="48" t="n">
        <v>0</v>
      </c>
      <c r="AH2183" s="49" t="n">
        <v>0</v>
      </c>
      <c r="AI2183" s="49" t="n">
        <v>0</v>
      </c>
      <c r="AJ2183" s="50" t="n">
        <v>0</v>
      </c>
      <c r="AK2183" s="51" t="n">
        <v>0</v>
      </c>
      <c r="AL2183" s="52" t="n">
        <v>0</v>
      </c>
      <c r="AM2183" s="52" t="n">
        <v>0</v>
      </c>
      <c r="AN2183" s="52" t="n">
        <v>0</v>
      </c>
      <c r="AO2183" s="53" t="n">
        <v>0</v>
      </c>
      <c r="AP2183" s="52" t="n">
        <v>0</v>
      </c>
      <c r="AQ2183" s="53" t="n">
        <v>0</v>
      </c>
      <c r="AR2183" s="52" t="n">
        <v>0</v>
      </c>
      <c r="AS2183" s="51" t="n">
        <v>0</v>
      </c>
      <c r="AT2183" s="48" t="n">
        <v>0</v>
      </c>
      <c r="AU2183" s="49" t="n">
        <v>0</v>
      </c>
      <c r="AV2183" s="49" t="n">
        <v>0</v>
      </c>
      <c r="AW2183" s="50" t="n">
        <v>0</v>
      </c>
      <c r="AX2183" s="51" t="n">
        <v>0</v>
      </c>
      <c r="AY2183" s="52" t="n">
        <v>0</v>
      </c>
      <c r="AZ2183" s="52" t="n">
        <v>0</v>
      </c>
      <c r="BA2183" s="52" t="n">
        <v>0</v>
      </c>
      <c r="BB2183" s="53" t="n">
        <v>0</v>
      </c>
      <c r="BC2183" s="52" t="n">
        <v>0</v>
      </c>
      <c r="BD2183" s="53" t="n">
        <v>0</v>
      </c>
      <c r="BE2183" s="52" t="n">
        <v>0</v>
      </c>
      <c r="BF2183" s="51" t="n">
        <v>0</v>
      </c>
    </row>
    <row r="2184">
      <c r="A2184">
        <f>HYPERLINK("https://www.walmart.com/ip/323050525", "323050525")</f>
        <v/>
      </c>
      <c r="B2184" t="inlineStr">
        <is>
          <t>Tirrinia Insulated Lunch Bag for Women and Men, Leakproof Reusable Meal Prep Bento Box Insulated Cooler Bag, Dual Compartment with Shoulder Strap, Purple, 10.2" x 7.5" x 9"</t>
        </is>
      </c>
      <c r="C2184" t="inlineStr">
        <is>
          <t>1TRLB601PP</t>
        </is>
      </c>
      <c r="D2184" t="inlineStr">
        <is>
          <t>Reusable Lunch Bags &amp; Boxes</t>
        </is>
      </c>
      <c r="E2184" t="inlineStr">
        <is>
          <t>Tirrinia</t>
        </is>
      </c>
      <c r="F2184" t="inlineStr">
        <is>
          <t>Q2-Target,Brand Camp VD,Lunch Bag,WFS,Lunch Bags,WFS Item</t>
        </is>
      </c>
      <c r="G2184" s="48" t="n">
        <v>0</v>
      </c>
      <c r="H2184" s="49" t="n">
        <v>0</v>
      </c>
      <c r="I2184" s="49" t="n">
        <v>1</v>
      </c>
      <c r="J2184" s="50" t="n">
        <v>0</v>
      </c>
      <c r="K2184" s="51" t="n">
        <v>0</v>
      </c>
      <c r="L2184" s="52" t="n">
        <v>0</v>
      </c>
      <c r="M2184" s="52" t="n">
        <v>0</v>
      </c>
      <c r="N2184" s="52" t="n">
        <v>0</v>
      </c>
      <c r="O2184" s="53" t="n">
        <v>0</v>
      </c>
      <c r="P2184" s="52" t="n">
        <v>0</v>
      </c>
      <c r="Q2184" s="53" t="n">
        <v>0</v>
      </c>
      <c r="R2184" s="52" t="n">
        <v>0</v>
      </c>
      <c r="S2184" s="51" t="n">
        <v>0</v>
      </c>
      <c r="T2184" s="48" t="n">
        <v>18.99</v>
      </c>
      <c r="U2184" s="49" t="n">
        <v>1</v>
      </c>
      <c r="V2184" s="49" t="n">
        <v>5</v>
      </c>
      <c r="W2184" s="50" t="n">
        <v>0.2</v>
      </c>
      <c r="X2184" s="51" t="n">
        <v>0</v>
      </c>
      <c r="Y2184" s="52" t="n">
        <v>0</v>
      </c>
      <c r="Z2184" s="52" t="n">
        <v>0</v>
      </c>
      <c r="AA2184" s="52" t="n">
        <v>0</v>
      </c>
      <c r="AB2184" s="53" t="n">
        <v>0</v>
      </c>
      <c r="AC2184" s="52" t="n">
        <v>0</v>
      </c>
      <c r="AD2184" s="53" t="n">
        <v>0</v>
      </c>
      <c r="AE2184" s="52" t="n">
        <v>18.99</v>
      </c>
      <c r="AF2184" s="51" t="n">
        <v>0</v>
      </c>
      <c r="AG2184" s="48" t="n">
        <v>0</v>
      </c>
      <c r="AH2184" s="49" t="n">
        <v>0</v>
      </c>
      <c r="AI2184" s="49" t="n">
        <v>3</v>
      </c>
      <c r="AJ2184" s="50" t="n">
        <v>0</v>
      </c>
      <c r="AK2184" s="51" t="n">
        <v>0</v>
      </c>
      <c r="AL2184" s="52" t="n">
        <v>0</v>
      </c>
      <c r="AM2184" s="52" t="n">
        <v>0</v>
      </c>
      <c r="AN2184" s="52" t="n">
        <v>0</v>
      </c>
      <c r="AO2184" s="53" t="n">
        <v>0</v>
      </c>
      <c r="AP2184" s="52" t="n">
        <v>0</v>
      </c>
      <c r="AQ2184" s="53" t="n">
        <v>0</v>
      </c>
      <c r="AR2184" s="52" t="n">
        <v>0</v>
      </c>
      <c r="AS2184" s="51" t="n">
        <v>0</v>
      </c>
      <c r="AT2184" s="48" t="n">
        <v>0</v>
      </c>
      <c r="AU2184" s="49" t="n">
        <v>0</v>
      </c>
      <c r="AV2184" s="49" t="n">
        <v>5</v>
      </c>
      <c r="AW2184" s="50" t="n">
        <v>0</v>
      </c>
      <c r="AX2184" s="51" t="n">
        <v>0</v>
      </c>
      <c r="AY2184" s="52" t="n">
        <v>0</v>
      </c>
      <c r="AZ2184" s="52" t="n">
        <v>0</v>
      </c>
      <c r="BA2184" s="52" t="n">
        <v>0</v>
      </c>
      <c r="BB2184" s="53" t="n">
        <v>0</v>
      </c>
      <c r="BC2184" s="52" t="n">
        <v>0</v>
      </c>
      <c r="BD2184" s="53" t="n">
        <v>0</v>
      </c>
      <c r="BE2184" s="52" t="n">
        <v>0</v>
      </c>
      <c r="BF2184" s="51" t="n">
        <v>0</v>
      </c>
    </row>
    <row r="2185">
      <c r="A2185">
        <f>HYPERLINK("https://www.walmart.com/ip/3236946602", "3236946602")</f>
        <v/>
      </c>
      <c r="B2185" t="inlineStr">
        <is>
          <t>Catalonia Wearable TV Blanket with Sleeves Arms Micro Plush Fleece Wrap Throw Robe 73 x 51”</t>
        </is>
      </c>
      <c r="C2185" t="inlineStr">
        <is>
          <t>1CTSN100PRD</t>
        </is>
      </c>
      <c r="D2185" t="inlineStr">
        <is>
          <t>Throws</t>
        </is>
      </c>
      <c r="E2185" t="inlineStr">
        <is>
          <t>Catalonia</t>
        </is>
      </c>
      <c r="G2185" s="48" t="n">
        <v>0</v>
      </c>
      <c r="H2185" s="49" t="n">
        <v>0</v>
      </c>
      <c r="I2185" s="49" t="n">
        <v>0</v>
      </c>
      <c r="J2185" s="50" t="n">
        <v>0</v>
      </c>
      <c r="K2185" s="51" t="n">
        <v>0</v>
      </c>
      <c r="L2185" s="52" t="n">
        <v>0</v>
      </c>
      <c r="M2185" s="52" t="n">
        <v>0</v>
      </c>
      <c r="N2185" s="52" t="n">
        <v>0</v>
      </c>
      <c r="O2185" s="53" t="n">
        <v>0</v>
      </c>
      <c r="P2185" s="52" t="n">
        <v>0</v>
      </c>
      <c r="Q2185" s="53" t="n">
        <v>0</v>
      </c>
      <c r="R2185" s="52" t="n">
        <v>0</v>
      </c>
      <c r="S2185" s="51" t="n">
        <v>0</v>
      </c>
      <c r="T2185" s="48" t="n">
        <v>0</v>
      </c>
      <c r="U2185" s="49" t="n">
        <v>0</v>
      </c>
      <c r="V2185" s="49" t="n">
        <v>0</v>
      </c>
      <c r="W2185" s="50" t="n">
        <v>0</v>
      </c>
      <c r="X2185" s="51" t="n">
        <v>0</v>
      </c>
      <c r="Y2185" s="52" t="n">
        <v>0</v>
      </c>
      <c r="Z2185" s="52" t="n">
        <v>0</v>
      </c>
      <c r="AA2185" s="52" t="n">
        <v>0</v>
      </c>
      <c r="AB2185" s="53" t="n">
        <v>0</v>
      </c>
      <c r="AC2185" s="52" t="n">
        <v>0</v>
      </c>
      <c r="AD2185" s="53" t="n">
        <v>0</v>
      </c>
      <c r="AE2185" s="52" t="n">
        <v>0</v>
      </c>
      <c r="AF2185" s="51" t="n">
        <v>0</v>
      </c>
      <c r="AG2185" s="48" t="n">
        <v>0</v>
      </c>
      <c r="AH2185" s="49" t="n">
        <v>0</v>
      </c>
      <c r="AI2185" s="49" t="n">
        <v>0</v>
      </c>
      <c r="AJ2185" s="50" t="n">
        <v>0</v>
      </c>
      <c r="AK2185" s="51" t="n">
        <v>0</v>
      </c>
      <c r="AL2185" s="52" t="n">
        <v>0</v>
      </c>
      <c r="AM2185" s="52" t="n">
        <v>0</v>
      </c>
      <c r="AN2185" s="52" t="n">
        <v>0</v>
      </c>
      <c r="AO2185" s="53" t="n">
        <v>0</v>
      </c>
      <c r="AP2185" s="52" t="n">
        <v>0</v>
      </c>
      <c r="AQ2185" s="53" t="n">
        <v>0</v>
      </c>
      <c r="AR2185" s="52" t="n">
        <v>0</v>
      </c>
      <c r="AS2185" s="51" t="n">
        <v>0</v>
      </c>
      <c r="AT2185" s="48" t="n">
        <v>0</v>
      </c>
      <c r="AU2185" s="49" t="n">
        <v>0</v>
      </c>
      <c r="AV2185" s="49" t="n">
        <v>0</v>
      </c>
      <c r="AW2185" s="50" t="n">
        <v>0</v>
      </c>
      <c r="AX2185" s="51" t="n">
        <v>0</v>
      </c>
      <c r="AY2185" s="52" t="n">
        <v>0</v>
      </c>
      <c r="AZ2185" s="52" t="n">
        <v>0</v>
      </c>
      <c r="BA2185" s="52" t="n">
        <v>0</v>
      </c>
      <c r="BB2185" s="53" t="n">
        <v>0</v>
      </c>
      <c r="BC2185" s="52" t="n">
        <v>0</v>
      </c>
      <c r="BD2185" s="53" t="n">
        <v>0</v>
      </c>
      <c r="BE2185" s="52" t="n">
        <v>0</v>
      </c>
      <c r="BF2185" s="51" t="n">
        <v>0</v>
      </c>
    </row>
    <row r="2186">
      <c r="A2186">
        <f>HYPERLINK("https://www.walmart.com/ip/3240919619", "3240919619")</f>
        <v/>
      </c>
      <c r="B2186" t="inlineStr">
        <is>
          <t>Tirrinia Wind and Waterproof Outdoor Blanket, Sherpa Lining Fleece, Triple Layers Warm Comfy Foldable Blanket for Camping, Stadium, Sports, Picnics, Grass, Concerts and Pets, Green/Black, Extra Large Size 66'' x 90''</t>
        </is>
      </c>
      <c r="C2186" t="inlineStr">
        <is>
          <t>1TRBW669GNBK</t>
        </is>
      </c>
      <c r="D2186" t="inlineStr">
        <is>
          <t>Picnic Blankets &amp; Mats</t>
        </is>
      </c>
      <c r="E2186" t="inlineStr">
        <is>
          <t>Tirrinia</t>
        </is>
      </c>
      <c r="G2186" s="48" t="n">
        <v>0</v>
      </c>
      <c r="H2186" s="49" t="n">
        <v>0</v>
      </c>
      <c r="I2186" s="49" t="n">
        <v>0</v>
      </c>
      <c r="J2186" s="50" t="n">
        <v>0</v>
      </c>
      <c r="K2186" s="51" t="n">
        <v>0</v>
      </c>
      <c r="L2186" s="52" t="n">
        <v>0</v>
      </c>
      <c r="M2186" s="52" t="n">
        <v>0</v>
      </c>
      <c r="N2186" s="52" t="n">
        <v>0</v>
      </c>
      <c r="O2186" s="53" t="n">
        <v>0</v>
      </c>
      <c r="P2186" s="52" t="n">
        <v>0</v>
      </c>
      <c r="Q2186" s="53" t="n">
        <v>0</v>
      </c>
      <c r="R2186" s="52" t="n">
        <v>0</v>
      </c>
      <c r="S2186" s="51" t="n">
        <v>0</v>
      </c>
      <c r="T2186" s="48" t="n">
        <v>0</v>
      </c>
      <c r="U2186" s="49" t="n">
        <v>0</v>
      </c>
      <c r="V2186" s="49" t="n">
        <v>0</v>
      </c>
      <c r="W2186" s="50" t="n">
        <v>0</v>
      </c>
      <c r="X2186" s="51" t="n">
        <v>0</v>
      </c>
      <c r="Y2186" s="52" t="n">
        <v>0</v>
      </c>
      <c r="Z2186" s="52" t="n">
        <v>0</v>
      </c>
      <c r="AA2186" s="52" t="n">
        <v>0</v>
      </c>
      <c r="AB2186" s="53" t="n">
        <v>0</v>
      </c>
      <c r="AC2186" s="52" t="n">
        <v>0</v>
      </c>
      <c r="AD2186" s="53" t="n">
        <v>0</v>
      </c>
      <c r="AE2186" s="52" t="n">
        <v>0</v>
      </c>
      <c r="AF2186" s="51" t="n">
        <v>0</v>
      </c>
      <c r="AG2186" s="48" t="n">
        <v>89.98</v>
      </c>
      <c r="AH2186" s="49" t="n">
        <v>2</v>
      </c>
      <c r="AI2186" s="49" t="n">
        <v>0</v>
      </c>
      <c r="AJ2186" s="50" t="n">
        <v>0</v>
      </c>
      <c r="AK2186" s="51" t="n">
        <v>0</v>
      </c>
      <c r="AL2186" s="52" t="n">
        <v>0</v>
      </c>
      <c r="AM2186" s="52" t="n">
        <v>0</v>
      </c>
      <c r="AN2186" s="52" t="n">
        <v>0</v>
      </c>
      <c r="AO2186" s="53" t="n">
        <v>0</v>
      </c>
      <c r="AP2186" s="52" t="n">
        <v>0</v>
      </c>
      <c r="AQ2186" s="53" t="n">
        <v>0</v>
      </c>
      <c r="AR2186" s="52" t="n">
        <v>44.99</v>
      </c>
      <c r="AS2186" s="51" t="n">
        <v>0</v>
      </c>
      <c r="AT2186" s="48" t="n">
        <v>0</v>
      </c>
      <c r="AU2186" s="49" t="n">
        <v>0</v>
      </c>
      <c r="AV2186" s="49" t="n">
        <v>0</v>
      </c>
      <c r="AW2186" s="50" t="n">
        <v>0</v>
      </c>
      <c r="AX2186" s="51" t="n">
        <v>0</v>
      </c>
      <c r="AY2186" s="52" t="n">
        <v>0</v>
      </c>
      <c r="AZ2186" s="52" t="n">
        <v>0</v>
      </c>
      <c r="BA2186" s="52" t="n">
        <v>0</v>
      </c>
      <c r="BB2186" s="53" t="n">
        <v>0</v>
      </c>
      <c r="BC2186" s="52" t="n">
        <v>0</v>
      </c>
      <c r="BD2186" s="53" t="n">
        <v>0</v>
      </c>
      <c r="BE2186" s="52" t="n">
        <v>0</v>
      </c>
      <c r="BF2186" s="51" t="n">
        <v>0</v>
      </c>
    </row>
    <row r="2187">
      <c r="A2187">
        <f>HYPERLINK("https://www.walmart.com/ip/324640382", "324640382")</f>
        <v/>
      </c>
      <c r="B2187" t="inlineStr">
        <is>
          <t>Tirrinia Sherpa Wearable Blanket Super Soft Comfy Plush Fleece Poncho, 55'' x 80'', Navy</t>
        </is>
      </c>
      <c r="C2187" t="inlineStr">
        <is>
          <t>1TRBP110NY-TBCB</t>
        </is>
      </c>
      <c r="D2187" t="inlineStr">
        <is>
          <t>default</t>
        </is>
      </c>
      <c r="E2187" t="inlineStr">
        <is>
          <t>Tirrinia</t>
        </is>
      </c>
      <c r="F2187" t="inlineStr">
        <is>
          <t>Optimized</t>
        </is>
      </c>
      <c r="G2187" s="48" t="n">
        <v>0</v>
      </c>
      <c r="H2187" s="49" t="n">
        <v>0</v>
      </c>
      <c r="I2187" s="49" t="n">
        <v>0</v>
      </c>
      <c r="J2187" s="50" t="n">
        <v>0</v>
      </c>
      <c r="K2187" s="51" t="n">
        <v>0</v>
      </c>
      <c r="L2187" s="52" t="n">
        <v>0</v>
      </c>
      <c r="M2187" s="52" t="n">
        <v>0</v>
      </c>
      <c r="N2187" s="52" t="n">
        <v>0</v>
      </c>
      <c r="O2187" s="53" t="n">
        <v>0</v>
      </c>
      <c r="P2187" s="52" t="n">
        <v>0</v>
      </c>
      <c r="Q2187" s="53" t="n">
        <v>0</v>
      </c>
      <c r="R2187" s="52" t="n">
        <v>0</v>
      </c>
      <c r="S2187" s="51" t="n">
        <v>0</v>
      </c>
      <c r="T2187" s="48" t="n">
        <v>0</v>
      </c>
      <c r="U2187" s="49" t="n">
        <v>0</v>
      </c>
      <c r="V2187" s="49" t="n">
        <v>0</v>
      </c>
      <c r="W2187" s="50" t="n">
        <v>0</v>
      </c>
      <c r="X2187" s="51" t="n">
        <v>0</v>
      </c>
      <c r="Y2187" s="52" t="n">
        <v>0</v>
      </c>
      <c r="Z2187" s="52" t="n">
        <v>0</v>
      </c>
      <c r="AA2187" s="52" t="n">
        <v>0</v>
      </c>
      <c r="AB2187" s="53" t="n">
        <v>0</v>
      </c>
      <c r="AC2187" s="52" t="n">
        <v>0</v>
      </c>
      <c r="AD2187" s="53" t="n">
        <v>0</v>
      </c>
      <c r="AE2187" s="52" t="n">
        <v>0</v>
      </c>
      <c r="AF2187" s="51" t="n">
        <v>0</v>
      </c>
      <c r="AG2187" s="48" t="n">
        <v>0</v>
      </c>
      <c r="AH2187" s="49" t="n">
        <v>0</v>
      </c>
      <c r="AI2187" s="49" t="n">
        <v>0</v>
      </c>
      <c r="AJ2187" s="50" t="n">
        <v>0</v>
      </c>
      <c r="AK2187" s="51" t="n">
        <v>0</v>
      </c>
      <c r="AL2187" s="52" t="n">
        <v>0</v>
      </c>
      <c r="AM2187" s="52" t="n">
        <v>0</v>
      </c>
      <c r="AN2187" s="52" t="n">
        <v>0</v>
      </c>
      <c r="AO2187" s="53" t="n">
        <v>0</v>
      </c>
      <c r="AP2187" s="52" t="n">
        <v>0</v>
      </c>
      <c r="AQ2187" s="53" t="n">
        <v>0</v>
      </c>
      <c r="AR2187" s="52" t="n">
        <v>0</v>
      </c>
      <c r="AS2187" s="51" t="n">
        <v>0</v>
      </c>
      <c r="AT2187" s="48" t="n">
        <v>0</v>
      </c>
      <c r="AU2187" s="49" t="n">
        <v>0</v>
      </c>
      <c r="AV2187" s="49" t="n">
        <v>0</v>
      </c>
      <c r="AW2187" s="50" t="n">
        <v>0</v>
      </c>
      <c r="AX2187" s="51" t="n">
        <v>0</v>
      </c>
      <c r="AY2187" s="52" t="n">
        <v>0</v>
      </c>
      <c r="AZ2187" s="52" t="n">
        <v>0</v>
      </c>
      <c r="BA2187" s="52" t="n">
        <v>0</v>
      </c>
      <c r="BB2187" s="53" t="n">
        <v>0</v>
      </c>
      <c r="BC2187" s="52" t="n">
        <v>0</v>
      </c>
      <c r="BD2187" s="53" t="n">
        <v>0</v>
      </c>
      <c r="BE2187" s="52" t="n">
        <v>0</v>
      </c>
      <c r="BF2187" s="51" t="n">
        <v>0</v>
      </c>
    </row>
    <row r="2188">
      <c r="A2188">
        <f>HYPERLINK("https://www.walmart.com/ip/325532438", "325532438")</f>
        <v/>
      </c>
      <c r="B2188" t="inlineStr">
        <is>
          <t>JenniWears Women Sexy Translucent Lace Panty Boyshort Plus Size Mesh Brief Lingerie Underwear</t>
        </is>
      </c>
      <c r="C2188" t="inlineStr">
        <is>
          <t>JWPT05JD-3XL</t>
        </is>
      </c>
      <c r="D2188" t="inlineStr">
        <is>
          <t>Panties</t>
        </is>
      </c>
      <c r="E2188" t="inlineStr">
        <is>
          <t>JenniWears</t>
        </is>
      </c>
      <c r="F2188" t="inlineStr">
        <is>
          <t>Valentine</t>
        </is>
      </c>
      <c r="G2188" s="48" t="n">
        <v>0</v>
      </c>
      <c r="H2188" s="49" t="n">
        <v>0</v>
      </c>
      <c r="I2188" s="49" t="n">
        <v>0</v>
      </c>
      <c r="J2188" s="50" t="n">
        <v>0</v>
      </c>
      <c r="K2188" s="51" t="n">
        <v>0</v>
      </c>
      <c r="L2188" s="52" t="n">
        <v>0</v>
      </c>
      <c r="M2188" s="52" t="n">
        <v>0</v>
      </c>
      <c r="N2188" s="52" t="n">
        <v>0</v>
      </c>
      <c r="O2188" s="53" t="n">
        <v>0</v>
      </c>
      <c r="P2188" s="52" t="n">
        <v>0</v>
      </c>
      <c r="Q2188" s="53" t="n">
        <v>0</v>
      </c>
      <c r="R2188" s="52" t="n">
        <v>0</v>
      </c>
      <c r="S2188" s="51" t="n">
        <v>0</v>
      </c>
      <c r="T2188" s="48" t="n">
        <v>0</v>
      </c>
      <c r="U2188" s="49" t="n">
        <v>0</v>
      </c>
      <c r="V2188" s="49" t="n">
        <v>0</v>
      </c>
      <c r="W2188" s="50" t="n">
        <v>0</v>
      </c>
      <c r="X2188" s="51" t="n">
        <v>0</v>
      </c>
      <c r="Y2188" s="52" t="n">
        <v>0</v>
      </c>
      <c r="Z2188" s="52" t="n">
        <v>0</v>
      </c>
      <c r="AA2188" s="52" t="n">
        <v>0</v>
      </c>
      <c r="AB2188" s="53" t="n">
        <v>0</v>
      </c>
      <c r="AC2188" s="52" t="n">
        <v>0</v>
      </c>
      <c r="AD2188" s="53" t="n">
        <v>0</v>
      </c>
      <c r="AE2188" s="52" t="n">
        <v>0</v>
      </c>
      <c r="AF2188" s="51" t="n">
        <v>0</v>
      </c>
      <c r="AG2188" s="48" t="n">
        <v>0</v>
      </c>
      <c r="AH2188" s="49" t="n">
        <v>0</v>
      </c>
      <c r="AI2188" s="49" t="n">
        <v>0</v>
      </c>
      <c r="AJ2188" s="50" t="n">
        <v>0</v>
      </c>
      <c r="AK2188" s="51" t="n">
        <v>0</v>
      </c>
      <c r="AL2188" s="52" t="n">
        <v>0</v>
      </c>
      <c r="AM2188" s="52" t="n">
        <v>0</v>
      </c>
      <c r="AN2188" s="52" t="n">
        <v>0</v>
      </c>
      <c r="AO2188" s="53" t="n">
        <v>0</v>
      </c>
      <c r="AP2188" s="52" t="n">
        <v>0</v>
      </c>
      <c r="AQ2188" s="53" t="n">
        <v>0</v>
      </c>
      <c r="AR2188" s="52" t="n">
        <v>0</v>
      </c>
      <c r="AS2188" s="51" t="n">
        <v>0</v>
      </c>
      <c r="AT2188" s="48" t="n">
        <v>0</v>
      </c>
      <c r="AU2188" s="49" t="n">
        <v>0</v>
      </c>
      <c r="AV2188" s="49" t="n">
        <v>0</v>
      </c>
      <c r="AW2188" s="50" t="n">
        <v>0</v>
      </c>
      <c r="AX2188" s="51" t="n">
        <v>0</v>
      </c>
      <c r="AY2188" s="52" t="n">
        <v>0</v>
      </c>
      <c r="AZ2188" s="52" t="n">
        <v>0</v>
      </c>
      <c r="BA2188" s="52" t="n">
        <v>0</v>
      </c>
      <c r="BB2188" s="53" t="n">
        <v>0</v>
      </c>
      <c r="BC2188" s="52" t="n">
        <v>0</v>
      </c>
      <c r="BD2188" s="53" t="n">
        <v>0</v>
      </c>
      <c r="BE2188" s="52" t="n">
        <v>0</v>
      </c>
      <c r="BF2188" s="51" t="n">
        <v>0</v>
      </c>
    </row>
    <row r="2189">
      <c r="A2189">
        <f>HYPERLINK("https://www.walmart.com/ip/326279523", "326279523")</f>
        <v/>
      </c>
      <c r="B2189" t="inlineStr">
        <is>
          <t>Catalonia 15lb Weighted Blanket for Kids Adult, Premium Heavy Blanket, 48"×72", Cotton, Grey</t>
        </is>
      </c>
      <c r="C2189" t="inlineStr">
        <is>
          <t>1CTBG724GY-15C</t>
        </is>
      </c>
      <c r="D2189" t="inlineStr">
        <is>
          <t>Bed Blankets</t>
        </is>
      </c>
      <c r="E2189" t="inlineStr">
        <is>
          <t>Catalonia</t>
        </is>
      </c>
      <c r="F2189" t="inlineStr">
        <is>
          <t>WFS,Valentine,WFS Item</t>
        </is>
      </c>
      <c r="G2189" s="48" t="n">
        <v>0</v>
      </c>
      <c r="H2189" s="49" t="n">
        <v>0</v>
      </c>
      <c r="I2189" s="49" t="n">
        <v>0</v>
      </c>
      <c r="J2189" s="50" t="n">
        <v>0</v>
      </c>
      <c r="K2189" s="51" t="n">
        <v>0</v>
      </c>
      <c r="L2189" s="52" t="n">
        <v>0</v>
      </c>
      <c r="M2189" s="52" t="n">
        <v>0</v>
      </c>
      <c r="N2189" s="52" t="n">
        <v>0</v>
      </c>
      <c r="O2189" s="53" t="n">
        <v>0</v>
      </c>
      <c r="P2189" s="52" t="n">
        <v>0</v>
      </c>
      <c r="Q2189" s="53" t="n">
        <v>0</v>
      </c>
      <c r="R2189" s="52" t="n">
        <v>0</v>
      </c>
      <c r="S2189" s="51" t="n">
        <v>0</v>
      </c>
      <c r="T2189" s="48" t="n">
        <v>0</v>
      </c>
      <c r="U2189" s="49" t="n">
        <v>0</v>
      </c>
      <c r="V2189" s="49" t="n">
        <v>0</v>
      </c>
      <c r="W2189" s="50" t="n">
        <v>0</v>
      </c>
      <c r="X2189" s="51" t="n">
        <v>0</v>
      </c>
      <c r="Y2189" s="52" t="n">
        <v>0</v>
      </c>
      <c r="Z2189" s="52" t="n">
        <v>0</v>
      </c>
      <c r="AA2189" s="52" t="n">
        <v>0</v>
      </c>
      <c r="AB2189" s="53" t="n">
        <v>0</v>
      </c>
      <c r="AC2189" s="52" t="n">
        <v>0</v>
      </c>
      <c r="AD2189" s="53" t="n">
        <v>0</v>
      </c>
      <c r="AE2189" s="52" t="n">
        <v>0</v>
      </c>
      <c r="AF2189" s="51" t="n">
        <v>0</v>
      </c>
      <c r="AG2189" s="48" t="n">
        <v>0</v>
      </c>
      <c r="AH2189" s="49" t="n">
        <v>0</v>
      </c>
      <c r="AI2189" s="49" t="n">
        <v>0</v>
      </c>
      <c r="AJ2189" s="50" t="n">
        <v>0</v>
      </c>
      <c r="AK2189" s="51" t="n">
        <v>0</v>
      </c>
      <c r="AL2189" s="52" t="n">
        <v>0</v>
      </c>
      <c r="AM2189" s="52" t="n">
        <v>0</v>
      </c>
      <c r="AN2189" s="52" t="n">
        <v>0</v>
      </c>
      <c r="AO2189" s="53" t="n">
        <v>0</v>
      </c>
      <c r="AP2189" s="52" t="n">
        <v>0</v>
      </c>
      <c r="AQ2189" s="53" t="n">
        <v>0</v>
      </c>
      <c r="AR2189" s="52" t="n">
        <v>0</v>
      </c>
      <c r="AS2189" s="51" t="n">
        <v>0</v>
      </c>
      <c r="AT2189" s="48" t="n">
        <v>0</v>
      </c>
      <c r="AU2189" s="49" t="n">
        <v>0</v>
      </c>
      <c r="AV2189" s="49" t="n">
        <v>0</v>
      </c>
      <c r="AW2189" s="50" t="n">
        <v>0</v>
      </c>
      <c r="AX2189" s="51" t="n">
        <v>0</v>
      </c>
      <c r="AY2189" s="52" t="n">
        <v>0</v>
      </c>
      <c r="AZ2189" s="52" t="n">
        <v>0</v>
      </c>
      <c r="BA2189" s="52" t="n">
        <v>0</v>
      </c>
      <c r="BB2189" s="53" t="n">
        <v>0</v>
      </c>
      <c r="BC2189" s="52" t="n">
        <v>0</v>
      </c>
      <c r="BD2189" s="53" t="n">
        <v>0</v>
      </c>
      <c r="BE2189" s="52" t="n">
        <v>0</v>
      </c>
      <c r="BF2189" s="51" t="n">
        <v>0</v>
      </c>
    </row>
    <row r="2190">
      <c r="A2190">
        <f>HYPERLINK("https://www.walmart.com/ip/327737588", "327737588")</f>
        <v/>
      </c>
      <c r="B2190" t="inlineStr">
        <is>
          <t>Tirrinia Sherpa Wearable Blanket, Ultra Soft Comfy Warm Plush Full Body Throw with Sleeves, Reading Wrap, TV Blanket, Robe Cover for Grandma, Women, and Men, Grey</t>
        </is>
      </c>
      <c r="C2190" t="inlineStr">
        <is>
          <t>1TRSN110GY</t>
        </is>
      </c>
      <c r="D2190" t="inlineStr">
        <is>
          <t>Throws</t>
        </is>
      </c>
      <c r="E2190" t="inlineStr">
        <is>
          <t>Tirrinia</t>
        </is>
      </c>
      <c r="F2190" t="inlineStr">
        <is>
          <t>WFS,Coupon_Discount,WFS Item</t>
        </is>
      </c>
      <c r="G2190" s="48" t="n">
        <v>0</v>
      </c>
      <c r="H2190" s="49" t="n">
        <v>0</v>
      </c>
      <c r="I2190" s="49" t="n">
        <v>0</v>
      </c>
      <c r="J2190" s="50" t="n">
        <v>0</v>
      </c>
      <c r="K2190" s="51" t="n">
        <v>0</v>
      </c>
      <c r="L2190" s="52" t="n">
        <v>0</v>
      </c>
      <c r="M2190" s="52" t="n">
        <v>0</v>
      </c>
      <c r="N2190" s="52" t="n">
        <v>0</v>
      </c>
      <c r="O2190" s="53" t="n">
        <v>0</v>
      </c>
      <c r="P2190" s="52" t="n">
        <v>0</v>
      </c>
      <c r="Q2190" s="53" t="n">
        <v>0</v>
      </c>
      <c r="R2190" s="52" t="n">
        <v>0</v>
      </c>
      <c r="S2190" s="51" t="n">
        <v>0</v>
      </c>
      <c r="T2190" s="48" t="n">
        <v>0</v>
      </c>
      <c r="U2190" s="49" t="n">
        <v>0</v>
      </c>
      <c r="V2190" s="49" t="n">
        <v>0</v>
      </c>
      <c r="W2190" s="50" t="n">
        <v>0</v>
      </c>
      <c r="X2190" s="51" t="n">
        <v>0</v>
      </c>
      <c r="Y2190" s="52" t="n">
        <v>0</v>
      </c>
      <c r="Z2190" s="52" t="n">
        <v>0</v>
      </c>
      <c r="AA2190" s="52" t="n">
        <v>0</v>
      </c>
      <c r="AB2190" s="53" t="n">
        <v>0</v>
      </c>
      <c r="AC2190" s="52" t="n">
        <v>0</v>
      </c>
      <c r="AD2190" s="53" t="n">
        <v>0</v>
      </c>
      <c r="AE2190" s="52" t="n">
        <v>0</v>
      </c>
      <c r="AF2190" s="51" t="n">
        <v>0</v>
      </c>
      <c r="AG2190" s="48" t="n">
        <v>0</v>
      </c>
      <c r="AH2190" s="49" t="n">
        <v>0</v>
      </c>
      <c r="AI2190" s="49" t="n">
        <v>0</v>
      </c>
      <c r="AJ2190" s="50" t="n">
        <v>0</v>
      </c>
      <c r="AK2190" s="51" t="n">
        <v>0</v>
      </c>
      <c r="AL2190" s="52" t="n">
        <v>0</v>
      </c>
      <c r="AM2190" s="52" t="n">
        <v>0</v>
      </c>
      <c r="AN2190" s="52" t="n">
        <v>0</v>
      </c>
      <c r="AO2190" s="53" t="n">
        <v>0</v>
      </c>
      <c r="AP2190" s="52" t="n">
        <v>0</v>
      </c>
      <c r="AQ2190" s="53" t="n">
        <v>0</v>
      </c>
      <c r="AR2190" s="52" t="n">
        <v>0</v>
      </c>
      <c r="AS2190" s="51" t="n">
        <v>0</v>
      </c>
      <c r="AT2190" s="48" t="n">
        <v>0</v>
      </c>
      <c r="AU2190" s="49" t="n">
        <v>0</v>
      </c>
      <c r="AV2190" s="49" t="n">
        <v>0</v>
      </c>
      <c r="AW2190" s="50" t="n">
        <v>0</v>
      </c>
      <c r="AX2190" s="51" t="n">
        <v>0</v>
      </c>
      <c r="AY2190" s="52" t="n">
        <v>0</v>
      </c>
      <c r="AZ2190" s="52" t="n">
        <v>0</v>
      </c>
      <c r="BA2190" s="52" t="n">
        <v>0</v>
      </c>
      <c r="BB2190" s="53" t="n">
        <v>0</v>
      </c>
      <c r="BC2190" s="52" t="n">
        <v>0</v>
      </c>
      <c r="BD2190" s="53" t="n">
        <v>0</v>
      </c>
      <c r="BE2190" s="52" t="n">
        <v>0</v>
      </c>
      <c r="BF2190" s="51" t="n">
        <v>0</v>
      </c>
    </row>
    <row r="2191">
      <c r="A2191">
        <f>HYPERLINK("https://www.walmart.com/ip/327835938", "327835938")</f>
        <v/>
      </c>
      <c r="B2191" t="inlineStr">
        <is>
          <t>Mermaid Tail Blanket for Teen Girls with Anti-slip Neck Strap Wave Pattern | Soft Sleeping Bag for All Seasons</t>
        </is>
      </c>
      <c r="C2191" t="inlineStr">
        <is>
          <t>1CTMM100GY-TPB</t>
        </is>
      </c>
      <c r="D2191" t="inlineStr">
        <is>
          <t>Throws</t>
        </is>
      </c>
      <c r="E2191" t="inlineStr">
        <is>
          <t>Catalonia</t>
        </is>
      </c>
      <c r="F2191" t="inlineStr">
        <is>
          <t>Batch 1 - TR</t>
        </is>
      </c>
      <c r="G2191" s="48" t="n">
        <v>0</v>
      </c>
      <c r="H2191" s="49" t="n">
        <v>0</v>
      </c>
      <c r="I2191" s="49" t="n">
        <v>0</v>
      </c>
      <c r="J2191" s="50" t="n">
        <v>0</v>
      </c>
      <c r="K2191" s="51" t="n">
        <v>0</v>
      </c>
      <c r="L2191" s="52" t="n">
        <v>0</v>
      </c>
      <c r="M2191" s="52" t="n">
        <v>0</v>
      </c>
      <c r="N2191" s="52" t="n">
        <v>0</v>
      </c>
      <c r="O2191" s="53" t="n">
        <v>0</v>
      </c>
      <c r="P2191" s="52" t="n">
        <v>0</v>
      </c>
      <c r="Q2191" s="53" t="n">
        <v>0</v>
      </c>
      <c r="R2191" s="52" t="n">
        <v>0</v>
      </c>
      <c r="S2191" s="51" t="n">
        <v>0</v>
      </c>
      <c r="T2191" s="48" t="n">
        <v>0</v>
      </c>
      <c r="U2191" s="49" t="n">
        <v>0</v>
      </c>
      <c r="V2191" s="49" t="n">
        <v>0</v>
      </c>
      <c r="W2191" s="50" t="n">
        <v>0</v>
      </c>
      <c r="X2191" s="51" t="n">
        <v>0</v>
      </c>
      <c r="Y2191" s="52" t="n">
        <v>0</v>
      </c>
      <c r="Z2191" s="52" t="n">
        <v>0</v>
      </c>
      <c r="AA2191" s="52" t="n">
        <v>0</v>
      </c>
      <c r="AB2191" s="53" t="n">
        <v>0</v>
      </c>
      <c r="AC2191" s="52" t="n">
        <v>0</v>
      </c>
      <c r="AD2191" s="53" t="n">
        <v>0</v>
      </c>
      <c r="AE2191" s="52" t="n">
        <v>0</v>
      </c>
      <c r="AF2191" s="51" t="n">
        <v>0</v>
      </c>
      <c r="AG2191" s="48" t="n">
        <v>0</v>
      </c>
      <c r="AH2191" s="49" t="n">
        <v>0</v>
      </c>
      <c r="AI2191" s="49" t="n">
        <v>0</v>
      </c>
      <c r="AJ2191" s="50" t="n">
        <v>0</v>
      </c>
      <c r="AK2191" s="51" t="n">
        <v>0</v>
      </c>
      <c r="AL2191" s="52" t="n">
        <v>0</v>
      </c>
      <c r="AM2191" s="52" t="n">
        <v>0</v>
      </c>
      <c r="AN2191" s="52" t="n">
        <v>0</v>
      </c>
      <c r="AO2191" s="53" t="n">
        <v>0</v>
      </c>
      <c r="AP2191" s="52" t="n">
        <v>0</v>
      </c>
      <c r="AQ2191" s="53" t="n">
        <v>0</v>
      </c>
      <c r="AR2191" s="52" t="n">
        <v>0</v>
      </c>
      <c r="AS2191" s="51" t="n">
        <v>0</v>
      </c>
      <c r="AT2191" s="48" t="n">
        <v>0</v>
      </c>
      <c r="AU2191" s="49" t="n">
        <v>0</v>
      </c>
      <c r="AV2191" s="49" t="n">
        <v>0</v>
      </c>
      <c r="AW2191" s="50" t="n">
        <v>0</v>
      </c>
      <c r="AX2191" s="51" t="n">
        <v>0</v>
      </c>
      <c r="AY2191" s="52" t="n">
        <v>0</v>
      </c>
      <c r="AZ2191" s="52" t="n">
        <v>0</v>
      </c>
      <c r="BA2191" s="52" t="n">
        <v>0</v>
      </c>
      <c r="BB2191" s="53" t="n">
        <v>0</v>
      </c>
      <c r="BC2191" s="52" t="n">
        <v>0</v>
      </c>
      <c r="BD2191" s="53" t="n">
        <v>0</v>
      </c>
      <c r="BE2191" s="52" t="n">
        <v>0</v>
      </c>
      <c r="BF2191" s="51" t="n">
        <v>0</v>
      </c>
    </row>
    <row r="2192">
      <c r="A2192">
        <f>HYPERLINK("https://www.walmart.com/ip/328113538", "328113538")</f>
        <v/>
      </c>
      <c r="B2192" t="inlineStr">
        <is>
          <t>Catalonia Wearable TV Blanket with Sleeves Arms Warm Micro Plush Sherpa Fleece for Adult Large Wrap Throw Robe 72 x 55”</t>
        </is>
      </c>
      <c r="C2192" t="inlineStr">
        <is>
          <t>1CTSN110GY</t>
        </is>
      </c>
      <c r="D2192" t="inlineStr">
        <is>
          <t>Throws</t>
        </is>
      </c>
      <c r="E2192" t="inlineStr">
        <is>
          <t>Catalonia</t>
        </is>
      </c>
      <c r="F2192" t="inlineStr">
        <is>
          <t>Optimized,WFS,WFS Item</t>
        </is>
      </c>
      <c r="G2192" s="48" t="n">
        <v>0</v>
      </c>
      <c r="H2192" s="49" t="n">
        <v>0</v>
      </c>
      <c r="I2192" s="49" t="n">
        <v>0</v>
      </c>
      <c r="J2192" s="50" t="n">
        <v>0</v>
      </c>
      <c r="K2192" s="51" t="n">
        <v>0</v>
      </c>
      <c r="L2192" s="52" t="n">
        <v>0</v>
      </c>
      <c r="M2192" s="52" t="n">
        <v>0</v>
      </c>
      <c r="N2192" s="52" t="n">
        <v>0</v>
      </c>
      <c r="O2192" s="53" t="n">
        <v>0</v>
      </c>
      <c r="P2192" s="52" t="n">
        <v>0</v>
      </c>
      <c r="Q2192" s="53" t="n">
        <v>0</v>
      </c>
      <c r="R2192" s="52" t="n">
        <v>0</v>
      </c>
      <c r="S2192" s="51" t="n">
        <v>0</v>
      </c>
      <c r="T2192" s="48" t="n">
        <v>0</v>
      </c>
      <c r="U2192" s="49" t="n">
        <v>0</v>
      </c>
      <c r="V2192" s="49" t="n">
        <v>0</v>
      </c>
      <c r="W2192" s="50" t="n">
        <v>0</v>
      </c>
      <c r="X2192" s="51" t="n">
        <v>0</v>
      </c>
      <c r="Y2192" s="52" t="n">
        <v>0</v>
      </c>
      <c r="Z2192" s="52" t="n">
        <v>0</v>
      </c>
      <c r="AA2192" s="52" t="n">
        <v>0</v>
      </c>
      <c r="AB2192" s="53" t="n">
        <v>0</v>
      </c>
      <c r="AC2192" s="52" t="n">
        <v>0</v>
      </c>
      <c r="AD2192" s="53" t="n">
        <v>0</v>
      </c>
      <c r="AE2192" s="52" t="n">
        <v>0</v>
      </c>
      <c r="AF2192" s="51" t="n">
        <v>0</v>
      </c>
      <c r="AG2192" s="48" t="n">
        <v>0</v>
      </c>
      <c r="AH2192" s="49" t="n">
        <v>0</v>
      </c>
      <c r="AI2192" s="49" t="n">
        <v>0</v>
      </c>
      <c r="AJ2192" s="50" t="n">
        <v>0</v>
      </c>
      <c r="AK2192" s="51" t="n">
        <v>0</v>
      </c>
      <c r="AL2192" s="52" t="n">
        <v>0</v>
      </c>
      <c r="AM2192" s="52" t="n">
        <v>0</v>
      </c>
      <c r="AN2192" s="52" t="n">
        <v>0</v>
      </c>
      <c r="AO2192" s="53" t="n">
        <v>0</v>
      </c>
      <c r="AP2192" s="52" t="n">
        <v>0</v>
      </c>
      <c r="AQ2192" s="53" t="n">
        <v>0</v>
      </c>
      <c r="AR2192" s="52" t="n">
        <v>0</v>
      </c>
      <c r="AS2192" s="51" t="n">
        <v>0</v>
      </c>
      <c r="AT2192" s="48" t="n">
        <v>0</v>
      </c>
      <c r="AU2192" s="49" t="n">
        <v>0</v>
      </c>
      <c r="AV2192" s="49" t="n">
        <v>0</v>
      </c>
      <c r="AW2192" s="50" t="n">
        <v>0</v>
      </c>
      <c r="AX2192" s="51" t="n">
        <v>0</v>
      </c>
      <c r="AY2192" s="52" t="n">
        <v>0</v>
      </c>
      <c r="AZ2192" s="52" t="n">
        <v>0</v>
      </c>
      <c r="BA2192" s="52" t="n">
        <v>0</v>
      </c>
      <c r="BB2192" s="53" t="n">
        <v>0</v>
      </c>
      <c r="BC2192" s="52" t="n">
        <v>0</v>
      </c>
      <c r="BD2192" s="53" t="n">
        <v>0</v>
      </c>
      <c r="BE2192" s="52" t="n">
        <v>0</v>
      </c>
      <c r="BF2192" s="51" t="n">
        <v>0</v>
      </c>
    </row>
    <row r="2193">
      <c r="A2193">
        <f>HYPERLINK("https://www.walmart.com/ip/328339956", "328339956")</f>
        <v/>
      </c>
      <c r="B2193" t="inlineStr">
        <is>
          <t>Sherpa Fleece Throw Blanket for Kids,Super Soft Light Weight Reversible Fuzzy Snuggle Blanket for Camping Couch Bed All</t>
        </is>
      </c>
      <c r="C2193" t="inlineStr">
        <is>
          <t>1CTBF566BR</t>
        </is>
      </c>
      <c r="D2193" t="inlineStr">
        <is>
          <t>Throws</t>
        </is>
      </c>
      <c r="E2193" t="inlineStr">
        <is>
          <t>Catalonia</t>
        </is>
      </c>
      <c r="F2193" t="inlineStr">
        <is>
          <t>Optimized,WFS,WFS Item</t>
        </is>
      </c>
      <c r="G2193" s="48" t="n">
        <v>0</v>
      </c>
      <c r="H2193" s="49" t="n">
        <v>0</v>
      </c>
      <c r="I2193" s="49" t="n">
        <v>0</v>
      </c>
      <c r="J2193" s="50" t="n">
        <v>0</v>
      </c>
      <c r="K2193" s="51" t="n">
        <v>0</v>
      </c>
      <c r="L2193" s="52" t="n">
        <v>0</v>
      </c>
      <c r="M2193" s="52" t="n">
        <v>0</v>
      </c>
      <c r="N2193" s="52" t="n">
        <v>0</v>
      </c>
      <c r="O2193" s="53" t="n">
        <v>0</v>
      </c>
      <c r="P2193" s="52" t="n">
        <v>0</v>
      </c>
      <c r="Q2193" s="53" t="n">
        <v>0</v>
      </c>
      <c r="R2193" s="52" t="n">
        <v>0</v>
      </c>
      <c r="S2193" s="51" t="n">
        <v>0</v>
      </c>
      <c r="T2193" s="48" t="n">
        <v>0</v>
      </c>
      <c r="U2193" s="49" t="n">
        <v>0</v>
      </c>
      <c r="V2193" s="49" t="n">
        <v>0</v>
      </c>
      <c r="W2193" s="50" t="n">
        <v>0</v>
      </c>
      <c r="X2193" s="51" t="n">
        <v>0</v>
      </c>
      <c r="Y2193" s="52" t="n">
        <v>0</v>
      </c>
      <c r="Z2193" s="52" t="n">
        <v>0</v>
      </c>
      <c r="AA2193" s="52" t="n">
        <v>0</v>
      </c>
      <c r="AB2193" s="53" t="n">
        <v>0</v>
      </c>
      <c r="AC2193" s="52" t="n">
        <v>0</v>
      </c>
      <c r="AD2193" s="53" t="n">
        <v>0</v>
      </c>
      <c r="AE2193" s="52" t="n">
        <v>0</v>
      </c>
      <c r="AF2193" s="51" t="n">
        <v>0</v>
      </c>
      <c r="AG2193" s="48" t="n">
        <v>0</v>
      </c>
      <c r="AH2193" s="49" t="n">
        <v>0</v>
      </c>
      <c r="AI2193" s="49" t="n">
        <v>0</v>
      </c>
      <c r="AJ2193" s="50" t="n">
        <v>0</v>
      </c>
      <c r="AK2193" s="51" t="n">
        <v>0</v>
      </c>
      <c r="AL2193" s="52" t="n">
        <v>0</v>
      </c>
      <c r="AM2193" s="52" t="n">
        <v>0</v>
      </c>
      <c r="AN2193" s="52" t="n">
        <v>0</v>
      </c>
      <c r="AO2193" s="53" t="n">
        <v>0</v>
      </c>
      <c r="AP2193" s="52" t="n">
        <v>0</v>
      </c>
      <c r="AQ2193" s="53" t="n">
        <v>0</v>
      </c>
      <c r="AR2193" s="52" t="n">
        <v>0</v>
      </c>
      <c r="AS2193" s="51" t="n">
        <v>0</v>
      </c>
      <c r="AT2193" s="48" t="n">
        <v>0</v>
      </c>
      <c r="AU2193" s="49" t="n">
        <v>0</v>
      </c>
      <c r="AV2193" s="49" t="n">
        <v>0</v>
      </c>
      <c r="AW2193" s="50" t="n">
        <v>0</v>
      </c>
      <c r="AX2193" s="51" t="n">
        <v>0</v>
      </c>
      <c r="AY2193" s="52" t="n">
        <v>0</v>
      </c>
      <c r="AZ2193" s="52" t="n">
        <v>0</v>
      </c>
      <c r="BA2193" s="52" t="n">
        <v>0</v>
      </c>
      <c r="BB2193" s="53" t="n">
        <v>0</v>
      </c>
      <c r="BC2193" s="52" t="n">
        <v>0</v>
      </c>
      <c r="BD2193" s="53" t="n">
        <v>0</v>
      </c>
      <c r="BE2193" s="52" t="n">
        <v>0</v>
      </c>
      <c r="BF2193" s="51" t="n">
        <v>0</v>
      </c>
    </row>
    <row r="2194">
      <c r="A2194">
        <f>HYPERLINK("https://www.walmart.com/ip/328349027", "328349027")</f>
        <v/>
      </c>
      <c r="B2194" t="inlineStr">
        <is>
          <t>Solaris Winter Cable Knit Beanie Hats with Fur Pom Pom for Women Ski Cap</t>
        </is>
      </c>
      <c r="C2194" t="inlineStr">
        <is>
          <t>1SLPPH01GN</t>
        </is>
      </c>
      <c r="D2194" t="inlineStr">
        <is>
          <t>Hats</t>
        </is>
      </c>
      <c r="E2194" t="inlineStr">
        <is>
          <t>Solaris</t>
        </is>
      </c>
      <c r="F2194" t="inlineStr">
        <is>
          <t>Batch 1 - TR</t>
        </is>
      </c>
      <c r="G2194" s="48" t="n">
        <v>0</v>
      </c>
      <c r="H2194" s="49" t="n">
        <v>0</v>
      </c>
      <c r="I2194" s="49" t="n">
        <v>0</v>
      </c>
      <c r="J2194" s="50" t="n">
        <v>0</v>
      </c>
      <c r="K2194" s="51" t="n">
        <v>0</v>
      </c>
      <c r="L2194" s="52" t="n">
        <v>0</v>
      </c>
      <c r="M2194" s="52" t="n">
        <v>0</v>
      </c>
      <c r="N2194" s="52" t="n">
        <v>0</v>
      </c>
      <c r="O2194" s="53" t="n">
        <v>0</v>
      </c>
      <c r="P2194" s="52" t="n">
        <v>0</v>
      </c>
      <c r="Q2194" s="53" t="n">
        <v>0</v>
      </c>
      <c r="R2194" s="52" t="n">
        <v>0</v>
      </c>
      <c r="S2194" s="51" t="n">
        <v>0</v>
      </c>
      <c r="T2194" s="48" t="n">
        <v>0</v>
      </c>
      <c r="U2194" s="49" t="n">
        <v>0</v>
      </c>
      <c r="V2194" s="49" t="n">
        <v>0</v>
      </c>
      <c r="W2194" s="50" t="n">
        <v>0</v>
      </c>
      <c r="X2194" s="51" t="n">
        <v>0</v>
      </c>
      <c r="Y2194" s="52" t="n">
        <v>0</v>
      </c>
      <c r="Z2194" s="52" t="n">
        <v>0</v>
      </c>
      <c r="AA2194" s="52" t="n">
        <v>0</v>
      </c>
      <c r="AB2194" s="53" t="n">
        <v>0</v>
      </c>
      <c r="AC2194" s="52" t="n">
        <v>0</v>
      </c>
      <c r="AD2194" s="53" t="n">
        <v>0</v>
      </c>
      <c r="AE2194" s="52" t="n">
        <v>0</v>
      </c>
      <c r="AF2194" s="51" t="n">
        <v>0</v>
      </c>
      <c r="AG2194" s="48" t="n">
        <v>0</v>
      </c>
      <c r="AH2194" s="49" t="n">
        <v>0</v>
      </c>
      <c r="AI2194" s="49" t="n">
        <v>0</v>
      </c>
      <c r="AJ2194" s="50" t="n">
        <v>0</v>
      </c>
      <c r="AK2194" s="51" t="n">
        <v>0</v>
      </c>
      <c r="AL2194" s="52" t="n">
        <v>0</v>
      </c>
      <c r="AM2194" s="52" t="n">
        <v>0</v>
      </c>
      <c r="AN2194" s="52" t="n">
        <v>0</v>
      </c>
      <c r="AO2194" s="53" t="n">
        <v>0</v>
      </c>
      <c r="AP2194" s="52" t="n">
        <v>0</v>
      </c>
      <c r="AQ2194" s="53" t="n">
        <v>0</v>
      </c>
      <c r="AR2194" s="52" t="n">
        <v>0</v>
      </c>
      <c r="AS2194" s="51" t="n">
        <v>0</v>
      </c>
      <c r="AT2194" s="48" t="n">
        <v>0</v>
      </c>
      <c r="AU2194" s="49" t="n">
        <v>0</v>
      </c>
      <c r="AV2194" s="49" t="n">
        <v>0</v>
      </c>
      <c r="AW2194" s="50" t="n">
        <v>0</v>
      </c>
      <c r="AX2194" s="51" t="n">
        <v>0</v>
      </c>
      <c r="AY2194" s="52" t="n">
        <v>0</v>
      </c>
      <c r="AZ2194" s="52" t="n">
        <v>0</v>
      </c>
      <c r="BA2194" s="52" t="n">
        <v>0</v>
      </c>
      <c r="BB2194" s="53" t="n">
        <v>0</v>
      </c>
      <c r="BC2194" s="52" t="n">
        <v>0</v>
      </c>
      <c r="BD2194" s="53" t="n">
        <v>0</v>
      </c>
      <c r="BE2194" s="52" t="n">
        <v>0</v>
      </c>
      <c r="BF2194" s="51" t="n">
        <v>0</v>
      </c>
    </row>
    <row r="2195">
      <c r="A2195">
        <f>HYPERLINK("https://www.walmart.com/ip/321375372", "321375372")</f>
        <v/>
      </c>
      <c r="B2195" t="inlineStr">
        <is>
          <t>Hooded Blanket Poncho | Wearable Blanket Wrap with Hand Pockets | Comfy Sherpa Fleece Throw Cape for Children and Adults, Women Gift</t>
        </is>
      </c>
      <c r="C2195" t="inlineStr">
        <is>
          <t>1CTBC100NY</t>
        </is>
      </c>
      <c r="D2195" t="inlineStr">
        <is>
          <t>Throws</t>
        </is>
      </c>
      <c r="E2195" t="inlineStr">
        <is>
          <t>Catalonia</t>
        </is>
      </c>
      <c r="F2195" t="inlineStr">
        <is>
          <t>WFS,WFS Item</t>
        </is>
      </c>
      <c r="G2195" s="48" t="n">
        <v>0</v>
      </c>
      <c r="H2195" s="49" t="n">
        <v>0</v>
      </c>
      <c r="I2195" s="49" t="n">
        <v>0</v>
      </c>
      <c r="J2195" s="50" t="n">
        <v>0</v>
      </c>
      <c r="K2195" s="51" t="n">
        <v>0</v>
      </c>
      <c r="L2195" s="52" t="n">
        <v>0</v>
      </c>
      <c r="M2195" s="52" t="n">
        <v>0</v>
      </c>
      <c r="N2195" s="52" t="n">
        <v>0</v>
      </c>
      <c r="O2195" s="53" t="n">
        <v>0</v>
      </c>
      <c r="P2195" s="52" t="n">
        <v>0</v>
      </c>
      <c r="Q2195" s="53" t="n">
        <v>0</v>
      </c>
      <c r="R2195" s="52" t="n">
        <v>0</v>
      </c>
      <c r="S2195" s="51" t="n">
        <v>0</v>
      </c>
      <c r="T2195" s="48" t="n">
        <v>0</v>
      </c>
      <c r="U2195" s="49" t="n">
        <v>0</v>
      </c>
      <c r="V2195" s="49" t="n">
        <v>0</v>
      </c>
      <c r="W2195" s="50" t="n">
        <v>0</v>
      </c>
      <c r="X2195" s="51" t="n">
        <v>0</v>
      </c>
      <c r="Y2195" s="52" t="n">
        <v>0</v>
      </c>
      <c r="Z2195" s="52" t="n">
        <v>0</v>
      </c>
      <c r="AA2195" s="52" t="n">
        <v>0</v>
      </c>
      <c r="AB2195" s="53" t="n">
        <v>0</v>
      </c>
      <c r="AC2195" s="52" t="n">
        <v>0</v>
      </c>
      <c r="AD2195" s="53" t="n">
        <v>0</v>
      </c>
      <c r="AE2195" s="52" t="n">
        <v>0</v>
      </c>
      <c r="AF2195" s="51" t="n">
        <v>0</v>
      </c>
      <c r="AG2195" s="48" t="n">
        <v>0</v>
      </c>
      <c r="AH2195" s="49" t="n">
        <v>0</v>
      </c>
      <c r="AI2195" s="49" t="n">
        <v>0</v>
      </c>
      <c r="AJ2195" s="50" t="n">
        <v>0</v>
      </c>
      <c r="AK2195" s="51" t="n">
        <v>0</v>
      </c>
      <c r="AL2195" s="52" t="n">
        <v>0</v>
      </c>
      <c r="AM2195" s="52" t="n">
        <v>0</v>
      </c>
      <c r="AN2195" s="52" t="n">
        <v>0</v>
      </c>
      <c r="AO2195" s="53" t="n">
        <v>0</v>
      </c>
      <c r="AP2195" s="52" t="n">
        <v>0</v>
      </c>
      <c r="AQ2195" s="53" t="n">
        <v>0</v>
      </c>
      <c r="AR2195" s="52" t="n">
        <v>0</v>
      </c>
      <c r="AS2195" s="51" t="n">
        <v>0</v>
      </c>
      <c r="AT2195" s="48" t="n">
        <v>0</v>
      </c>
      <c r="AU2195" s="49" t="n">
        <v>0</v>
      </c>
      <c r="AV2195" s="49" t="n">
        <v>0</v>
      </c>
      <c r="AW2195" s="50" t="n">
        <v>0</v>
      </c>
      <c r="AX2195" s="51" t="n">
        <v>0</v>
      </c>
      <c r="AY2195" s="52" t="n">
        <v>0</v>
      </c>
      <c r="AZ2195" s="52" t="n">
        <v>0</v>
      </c>
      <c r="BA2195" s="52" t="n">
        <v>0</v>
      </c>
      <c r="BB2195" s="53" t="n">
        <v>0</v>
      </c>
      <c r="BC2195" s="52" t="n">
        <v>0</v>
      </c>
      <c r="BD2195" s="53" t="n">
        <v>0</v>
      </c>
      <c r="BE2195" s="52" t="n">
        <v>0</v>
      </c>
      <c r="BF2195" s="51" t="n">
        <v>0</v>
      </c>
    </row>
    <row r="2196">
      <c r="A2196">
        <f>HYPERLINK("https://www.walmart.com/ip/321260413", "321260413")</f>
        <v/>
      </c>
      <c r="B2196" t="inlineStr">
        <is>
          <t>Catalonia Women’s Sherpa Hoodie Sweatshirt Dress, Casual Fleece Pullover Sweater with Kangaroo Pocket, One Size</t>
        </is>
      </c>
      <c r="C2196" t="inlineStr">
        <is>
          <t>1CTHD532P2RD</t>
        </is>
      </c>
      <c r="D2196" t="inlineStr">
        <is>
          <t>Sweatshirts &amp; Hoodies</t>
        </is>
      </c>
      <c r="E2196" t="inlineStr">
        <is>
          <t>Catalonia</t>
        </is>
      </c>
      <c r="F2196" t="inlineStr">
        <is>
          <t>Hoodie ForAdult,Optimized</t>
        </is>
      </c>
      <c r="G2196" s="48" t="n">
        <v>0</v>
      </c>
      <c r="H2196" s="49" t="n">
        <v>0</v>
      </c>
      <c r="I2196" s="49" t="n">
        <v>0</v>
      </c>
      <c r="J2196" s="50" t="n">
        <v>0</v>
      </c>
      <c r="K2196" s="51" t="n">
        <v>0</v>
      </c>
      <c r="L2196" s="52" t="n">
        <v>0</v>
      </c>
      <c r="M2196" s="52" t="n">
        <v>0</v>
      </c>
      <c r="N2196" s="52" t="n">
        <v>0</v>
      </c>
      <c r="O2196" s="53" t="n">
        <v>0</v>
      </c>
      <c r="P2196" s="52" t="n">
        <v>0</v>
      </c>
      <c r="Q2196" s="53" t="n">
        <v>0</v>
      </c>
      <c r="R2196" s="52" t="n">
        <v>0</v>
      </c>
      <c r="S2196" s="51" t="n">
        <v>0</v>
      </c>
      <c r="T2196" s="48" t="n">
        <v>0</v>
      </c>
      <c r="U2196" s="49" t="n">
        <v>0</v>
      </c>
      <c r="V2196" s="49" t="n">
        <v>0</v>
      </c>
      <c r="W2196" s="50" t="n">
        <v>0</v>
      </c>
      <c r="X2196" s="51" t="n">
        <v>0</v>
      </c>
      <c r="Y2196" s="52" t="n">
        <v>0</v>
      </c>
      <c r="Z2196" s="52" t="n">
        <v>0</v>
      </c>
      <c r="AA2196" s="52" t="n">
        <v>0</v>
      </c>
      <c r="AB2196" s="53" t="n">
        <v>0</v>
      </c>
      <c r="AC2196" s="52" t="n">
        <v>0</v>
      </c>
      <c r="AD2196" s="53" t="n">
        <v>0</v>
      </c>
      <c r="AE2196" s="52" t="n">
        <v>0</v>
      </c>
      <c r="AF2196" s="51" t="n">
        <v>0</v>
      </c>
      <c r="AG2196" s="48" t="n">
        <v>0</v>
      </c>
      <c r="AH2196" s="49" t="n">
        <v>0</v>
      </c>
      <c r="AI2196" s="49" t="n">
        <v>0</v>
      </c>
      <c r="AJ2196" s="50" t="n">
        <v>0</v>
      </c>
      <c r="AK2196" s="51" t="n">
        <v>0</v>
      </c>
      <c r="AL2196" s="52" t="n">
        <v>0</v>
      </c>
      <c r="AM2196" s="52" t="n">
        <v>0</v>
      </c>
      <c r="AN2196" s="52" t="n">
        <v>0</v>
      </c>
      <c r="AO2196" s="53" t="n">
        <v>0</v>
      </c>
      <c r="AP2196" s="52" t="n">
        <v>0</v>
      </c>
      <c r="AQ2196" s="53" t="n">
        <v>0</v>
      </c>
      <c r="AR2196" s="52" t="n">
        <v>0</v>
      </c>
      <c r="AS2196" s="51" t="n">
        <v>0</v>
      </c>
      <c r="AT2196" s="48" t="n">
        <v>0</v>
      </c>
      <c r="AU2196" s="49" t="n">
        <v>0</v>
      </c>
      <c r="AV2196" s="49" t="n">
        <v>0</v>
      </c>
      <c r="AW2196" s="50" t="n">
        <v>0</v>
      </c>
      <c r="AX2196" s="51" t="n">
        <v>0</v>
      </c>
      <c r="AY2196" s="52" t="n">
        <v>0</v>
      </c>
      <c r="AZ2196" s="52" t="n">
        <v>0</v>
      </c>
      <c r="BA2196" s="52" t="n">
        <v>0</v>
      </c>
      <c r="BB2196" s="53" t="n">
        <v>0</v>
      </c>
      <c r="BC2196" s="52" t="n">
        <v>0</v>
      </c>
      <c r="BD2196" s="53" t="n">
        <v>0</v>
      </c>
      <c r="BE2196" s="52" t="n">
        <v>0</v>
      </c>
      <c r="BF2196" s="51" t="n">
        <v>0</v>
      </c>
    </row>
    <row r="2197">
      <c r="A2197">
        <f>HYPERLINK("https://www.walmart.com/ip/320798889", "320798889")</f>
        <v/>
      </c>
      <c r="B2197" t="inlineStr">
        <is>
          <t>Catalonia Wearable Blanket with Sleeves and Pocket, Cozy Soft Fleece Micro Plush Wrap Adult Snuggie Blanket Robe for Women Men, Makes a Great Gift for Holidays, Blue</t>
        </is>
      </c>
      <c r="C2197" t="inlineStr">
        <is>
          <t>1CTSN100BL</t>
        </is>
      </c>
      <c r="D2197" t="inlineStr">
        <is>
          <t>Throws</t>
        </is>
      </c>
      <c r="E2197" t="inlineStr">
        <is>
          <t>Catalonia</t>
        </is>
      </c>
      <c r="F2197" t="inlineStr">
        <is>
          <t>WFS,Coupon_Discount,WFS Item</t>
        </is>
      </c>
      <c r="G2197" s="48" t="n">
        <v>0</v>
      </c>
      <c r="H2197" s="49" t="n">
        <v>0</v>
      </c>
      <c r="I2197" s="49" t="n">
        <v>0</v>
      </c>
      <c r="J2197" s="50" t="n">
        <v>0</v>
      </c>
      <c r="K2197" s="51" t="n">
        <v>0</v>
      </c>
      <c r="L2197" s="52" t="n">
        <v>0</v>
      </c>
      <c r="M2197" s="52" t="n">
        <v>0</v>
      </c>
      <c r="N2197" s="52" t="n">
        <v>0</v>
      </c>
      <c r="O2197" s="53" t="n">
        <v>0</v>
      </c>
      <c r="P2197" s="52" t="n">
        <v>0</v>
      </c>
      <c r="Q2197" s="53" t="n">
        <v>0</v>
      </c>
      <c r="R2197" s="52" t="n">
        <v>0</v>
      </c>
      <c r="S2197" s="51" t="n">
        <v>0</v>
      </c>
      <c r="T2197" s="48" t="n">
        <v>0</v>
      </c>
      <c r="U2197" s="49" t="n">
        <v>0</v>
      </c>
      <c r="V2197" s="49" t="n">
        <v>0</v>
      </c>
      <c r="W2197" s="50" t="n">
        <v>0</v>
      </c>
      <c r="X2197" s="51" t="n">
        <v>0</v>
      </c>
      <c r="Y2197" s="52" t="n">
        <v>0</v>
      </c>
      <c r="Z2197" s="52" t="n">
        <v>0</v>
      </c>
      <c r="AA2197" s="52" t="n">
        <v>0</v>
      </c>
      <c r="AB2197" s="53" t="n">
        <v>0</v>
      </c>
      <c r="AC2197" s="52" t="n">
        <v>0</v>
      </c>
      <c r="AD2197" s="53" t="n">
        <v>0</v>
      </c>
      <c r="AE2197" s="52" t="n">
        <v>0</v>
      </c>
      <c r="AF2197" s="51" t="n">
        <v>0</v>
      </c>
      <c r="AG2197" s="48" t="n">
        <v>0</v>
      </c>
      <c r="AH2197" s="49" t="n">
        <v>0</v>
      </c>
      <c r="AI2197" s="49" t="n">
        <v>0</v>
      </c>
      <c r="AJ2197" s="50" t="n">
        <v>0</v>
      </c>
      <c r="AK2197" s="51" t="n">
        <v>0</v>
      </c>
      <c r="AL2197" s="52" t="n">
        <v>0</v>
      </c>
      <c r="AM2197" s="52" t="n">
        <v>0</v>
      </c>
      <c r="AN2197" s="52" t="n">
        <v>0</v>
      </c>
      <c r="AO2197" s="53" t="n">
        <v>0</v>
      </c>
      <c r="AP2197" s="52" t="n">
        <v>0</v>
      </c>
      <c r="AQ2197" s="53" t="n">
        <v>0</v>
      </c>
      <c r="AR2197" s="52" t="n">
        <v>0</v>
      </c>
      <c r="AS2197" s="51" t="n">
        <v>0</v>
      </c>
      <c r="AT2197" s="48" t="n">
        <v>0</v>
      </c>
      <c r="AU2197" s="49" t="n">
        <v>0</v>
      </c>
      <c r="AV2197" s="49" t="n">
        <v>0</v>
      </c>
      <c r="AW2197" s="50" t="n">
        <v>0</v>
      </c>
      <c r="AX2197" s="51" t="n">
        <v>0</v>
      </c>
      <c r="AY2197" s="52" t="n">
        <v>0</v>
      </c>
      <c r="AZ2197" s="52" t="n">
        <v>0</v>
      </c>
      <c r="BA2197" s="52" t="n">
        <v>0</v>
      </c>
      <c r="BB2197" s="53" t="n">
        <v>0</v>
      </c>
      <c r="BC2197" s="52" t="n">
        <v>0</v>
      </c>
      <c r="BD2197" s="53" t="n">
        <v>0</v>
      </c>
      <c r="BE2197" s="52" t="n">
        <v>0</v>
      </c>
      <c r="BF2197" s="51" t="n">
        <v>0</v>
      </c>
    </row>
    <row r="2198">
      <c r="A2198">
        <f>HYPERLINK("https://www.walmart.com/ip/3167907942", "3167907942")</f>
        <v/>
      </c>
      <c r="B2198" t="inlineStr">
        <is>
          <t>Kato Outdoors Waterproof Fleece Blanket, Sherpa Fleece Stadium Windproof Throw Mat for Boat, Traveling, Camping, Hiking, Football, Machine Washable, Light Grey, 59'' x 79''</t>
        </is>
      </c>
      <c r="C2198" t="inlineStr">
        <is>
          <t>1KTBW608LGDG</t>
        </is>
      </c>
      <c r="D2198" t="inlineStr">
        <is>
          <t>Throws</t>
        </is>
      </c>
      <c r="E2198" t="inlineStr">
        <is>
          <t>Kato</t>
        </is>
      </c>
      <c r="G2198" s="48" t="n">
        <v>0</v>
      </c>
      <c r="H2198" s="49" t="n">
        <v>0</v>
      </c>
      <c r="I2198" s="49" t="n">
        <v>0</v>
      </c>
      <c r="J2198" s="50" t="n">
        <v>0</v>
      </c>
      <c r="K2198" s="51" t="n">
        <v>0</v>
      </c>
      <c r="L2198" s="52" t="n">
        <v>0</v>
      </c>
      <c r="M2198" s="52" t="n">
        <v>0</v>
      </c>
      <c r="N2198" s="52" t="n">
        <v>0</v>
      </c>
      <c r="O2198" s="53" t="n">
        <v>0</v>
      </c>
      <c r="P2198" s="52" t="n">
        <v>0</v>
      </c>
      <c r="Q2198" s="53" t="n">
        <v>0</v>
      </c>
      <c r="R2198" s="52" t="n">
        <v>0</v>
      </c>
      <c r="S2198" s="51" t="n">
        <v>0</v>
      </c>
      <c r="T2198" s="48" t="n">
        <v>0</v>
      </c>
      <c r="U2198" s="49" t="n">
        <v>0</v>
      </c>
      <c r="V2198" s="49" t="n">
        <v>0</v>
      </c>
      <c r="W2198" s="50" t="n">
        <v>0</v>
      </c>
      <c r="X2198" s="51" t="n">
        <v>0</v>
      </c>
      <c r="Y2198" s="52" t="n">
        <v>0</v>
      </c>
      <c r="Z2198" s="52" t="n">
        <v>0</v>
      </c>
      <c r="AA2198" s="52" t="n">
        <v>0</v>
      </c>
      <c r="AB2198" s="53" t="n">
        <v>0</v>
      </c>
      <c r="AC2198" s="52" t="n">
        <v>0</v>
      </c>
      <c r="AD2198" s="53" t="n">
        <v>0</v>
      </c>
      <c r="AE2198" s="52" t="n">
        <v>0</v>
      </c>
      <c r="AF2198" s="51" t="n">
        <v>0</v>
      </c>
      <c r="AG2198" s="48" t="n">
        <v>0</v>
      </c>
      <c r="AH2198" s="49" t="n">
        <v>0</v>
      </c>
      <c r="AI2198" s="49" t="n">
        <v>0</v>
      </c>
      <c r="AJ2198" s="50" t="n">
        <v>0</v>
      </c>
      <c r="AK2198" s="51" t="n">
        <v>0</v>
      </c>
      <c r="AL2198" s="52" t="n">
        <v>0</v>
      </c>
      <c r="AM2198" s="52" t="n">
        <v>0</v>
      </c>
      <c r="AN2198" s="52" t="n">
        <v>0</v>
      </c>
      <c r="AO2198" s="53" t="n">
        <v>0</v>
      </c>
      <c r="AP2198" s="52" t="n">
        <v>0</v>
      </c>
      <c r="AQ2198" s="53" t="n">
        <v>0</v>
      </c>
      <c r="AR2198" s="52" t="n">
        <v>0</v>
      </c>
      <c r="AS2198" s="51" t="n">
        <v>0</v>
      </c>
      <c r="AT2198" s="48" t="n">
        <v>0</v>
      </c>
      <c r="AU2198" s="49" t="n">
        <v>0</v>
      </c>
      <c r="AV2198" s="49" t="n">
        <v>0</v>
      </c>
      <c r="AW2198" s="50" t="n">
        <v>0</v>
      </c>
      <c r="AX2198" s="51" t="n">
        <v>0</v>
      </c>
      <c r="AY2198" s="52" t="n">
        <v>0</v>
      </c>
      <c r="AZ2198" s="52" t="n">
        <v>0</v>
      </c>
      <c r="BA2198" s="52" t="n">
        <v>0</v>
      </c>
      <c r="BB2198" s="53" t="n">
        <v>0</v>
      </c>
      <c r="BC2198" s="52" t="n">
        <v>0</v>
      </c>
      <c r="BD2198" s="53" t="n">
        <v>0</v>
      </c>
      <c r="BE2198" s="52" t="n">
        <v>0</v>
      </c>
      <c r="BF2198" s="51" t="n">
        <v>0</v>
      </c>
    </row>
    <row r="2199">
      <c r="A2199">
        <f>HYPERLINK("https://www.walmart.com/ip/313649376", "313649376")</f>
        <v/>
      </c>
      <c r="B2199" t="inlineStr">
        <is>
          <t>Tirrinia Insulated Wine Carrier Tote - Travel Padded 2 Bottle Wine/ Champagne Cooler Bag with Handle and Adjustable Shoulder Strap, Great Wine Lover Gift, Brown</t>
        </is>
      </c>
      <c r="C2199" t="inlineStr">
        <is>
          <t>1TRWB211BR</t>
        </is>
      </c>
      <c r="D2199" t="inlineStr">
        <is>
          <t>Wine Totes, Bags &amp; Backpacks</t>
        </is>
      </c>
      <c r="E2199" t="inlineStr">
        <is>
          <t>Tirrinia</t>
        </is>
      </c>
      <c r="F2199" t="inlineStr">
        <is>
          <t>Wine,Christmas,Optimized,Valentine,Lily Brand Camp</t>
        </is>
      </c>
      <c r="G2199" s="48" t="n">
        <v>0</v>
      </c>
      <c r="H2199" s="49" t="n">
        <v>0</v>
      </c>
      <c r="I2199" s="49" t="n">
        <v>0</v>
      </c>
      <c r="J2199" s="50" t="n">
        <v>0</v>
      </c>
      <c r="K2199" s="51" t="n">
        <v>4</v>
      </c>
      <c r="L2199" s="52" t="n">
        <v>1.64</v>
      </c>
      <c r="M2199" s="52" t="n">
        <v>0</v>
      </c>
      <c r="N2199" s="52" t="n">
        <v>0</v>
      </c>
      <c r="O2199" s="53" t="n">
        <v>0.0023</v>
      </c>
      <c r="P2199" s="52" t="n">
        <v>0.41</v>
      </c>
      <c r="Q2199" s="53" t="n">
        <v>0</v>
      </c>
      <c r="R2199" s="52" t="n">
        <v>0</v>
      </c>
      <c r="S2199" s="51" t="n">
        <v>1711</v>
      </c>
      <c r="T2199" s="48" t="n">
        <v>0</v>
      </c>
      <c r="U2199" s="49" t="n">
        <v>0</v>
      </c>
      <c r="V2199" s="49" t="n">
        <v>0</v>
      </c>
      <c r="W2199" s="50" t="n">
        <v>0</v>
      </c>
      <c r="X2199" s="51" t="n">
        <v>3</v>
      </c>
      <c r="Y2199" s="52" t="n">
        <v>1.2</v>
      </c>
      <c r="Z2199" s="52" t="n">
        <v>0</v>
      </c>
      <c r="AA2199" s="52" t="n">
        <v>0</v>
      </c>
      <c r="AB2199" s="53" t="n">
        <v>0.0028</v>
      </c>
      <c r="AC2199" s="52" t="n">
        <v>0.4000000000000001</v>
      </c>
      <c r="AD2199" s="53" t="n">
        <v>0</v>
      </c>
      <c r="AE2199" s="52" t="n">
        <v>0</v>
      </c>
      <c r="AF2199" s="51" t="n">
        <v>1057</v>
      </c>
      <c r="AG2199" s="48" t="n">
        <v>0</v>
      </c>
      <c r="AH2199" s="49" t="n">
        <v>0</v>
      </c>
      <c r="AI2199" s="49" t="n">
        <v>0</v>
      </c>
      <c r="AJ2199" s="50" t="n">
        <v>0</v>
      </c>
      <c r="AK2199" s="51" t="n">
        <v>3</v>
      </c>
      <c r="AL2199" s="52" t="n">
        <v>1.23</v>
      </c>
      <c r="AM2199" s="52" t="n">
        <v>0</v>
      </c>
      <c r="AN2199" s="52" t="n">
        <v>0</v>
      </c>
      <c r="AO2199" s="53" t="n">
        <v>0.0029</v>
      </c>
      <c r="AP2199" s="52" t="n">
        <v>0.41</v>
      </c>
      <c r="AQ2199" s="53" t="n">
        <v>0</v>
      </c>
      <c r="AR2199" s="52" t="n">
        <v>0</v>
      </c>
      <c r="AS2199" s="51" t="n">
        <v>1018</v>
      </c>
      <c r="AT2199" s="48" t="n">
        <v>0</v>
      </c>
      <c r="AU2199" s="49" t="n">
        <v>0</v>
      </c>
      <c r="AV2199" s="49" t="n">
        <v>0</v>
      </c>
      <c r="AW2199" s="50" t="n">
        <v>0</v>
      </c>
      <c r="AX2199" s="51" t="n">
        <v>2</v>
      </c>
      <c r="AY2199" s="52" t="n">
        <v>0.8400000000000001</v>
      </c>
      <c r="AZ2199" s="52" t="n">
        <v>0</v>
      </c>
      <c r="BA2199" s="52" t="n">
        <v>0</v>
      </c>
      <c r="BB2199" s="53" t="n">
        <v>0.0021</v>
      </c>
      <c r="BC2199" s="52" t="n">
        <v>0.42</v>
      </c>
      <c r="BD2199" s="53" t="n">
        <v>0</v>
      </c>
      <c r="BE2199" s="52" t="n">
        <v>0</v>
      </c>
      <c r="BF2199" s="51" t="n">
        <v>944</v>
      </c>
    </row>
    <row r="2200">
      <c r="A2200">
        <f>HYPERLINK("https://www.walmart.com/ip/313995352", "313995352")</f>
        <v/>
      </c>
      <c r="B2200" t="inlineStr">
        <is>
          <t>Tirrinia Outdoor Boonie Sun Protection Hat Wide Brim Mesh Hat for Boating Hiking Camping Fishing Hunting Safari for 22'' Head Circumference Tan</t>
        </is>
      </c>
      <c r="C2200" t="inlineStr">
        <is>
          <t>KC-S9154-TN</t>
        </is>
      </c>
      <c r="D2200" t="inlineStr">
        <is>
          <t>Hats</t>
        </is>
      </c>
      <c r="E2200" t="inlineStr">
        <is>
          <t>Sun Blocker</t>
        </is>
      </c>
      <c r="F2200" t="inlineStr">
        <is>
          <t>WFS,Hats,WFS Item</t>
        </is>
      </c>
      <c r="G2200" s="48" t="n">
        <v>0</v>
      </c>
      <c r="H2200" s="49" t="n">
        <v>0</v>
      </c>
      <c r="I2200" s="49" t="n">
        <v>0</v>
      </c>
      <c r="J2200" s="50" t="n">
        <v>0</v>
      </c>
      <c r="K2200" s="51" t="n">
        <v>0</v>
      </c>
      <c r="L2200" s="52" t="n">
        <v>0</v>
      </c>
      <c r="M2200" s="52" t="n">
        <v>0</v>
      </c>
      <c r="N2200" s="52" t="n">
        <v>0</v>
      </c>
      <c r="O2200" s="53" t="n">
        <v>0</v>
      </c>
      <c r="P2200" s="52" t="n">
        <v>0</v>
      </c>
      <c r="Q2200" s="53" t="n">
        <v>0</v>
      </c>
      <c r="R2200" s="52" t="n">
        <v>0</v>
      </c>
      <c r="S2200" s="51" t="n">
        <v>0</v>
      </c>
      <c r="T2200" s="48" t="n">
        <v>0</v>
      </c>
      <c r="U2200" s="49" t="n">
        <v>0</v>
      </c>
      <c r="V2200" s="49" t="n">
        <v>0</v>
      </c>
      <c r="W2200" s="50" t="n">
        <v>0</v>
      </c>
      <c r="X2200" s="51" t="n">
        <v>0</v>
      </c>
      <c r="Y2200" s="52" t="n">
        <v>0</v>
      </c>
      <c r="Z2200" s="52" t="n">
        <v>0</v>
      </c>
      <c r="AA2200" s="52" t="n">
        <v>0</v>
      </c>
      <c r="AB2200" s="53" t="n">
        <v>0</v>
      </c>
      <c r="AC2200" s="52" t="n">
        <v>0</v>
      </c>
      <c r="AD2200" s="53" t="n">
        <v>0</v>
      </c>
      <c r="AE2200" s="52" t="n">
        <v>0</v>
      </c>
      <c r="AF2200" s="51" t="n">
        <v>0</v>
      </c>
      <c r="AG2200" s="48" t="n">
        <v>0</v>
      </c>
      <c r="AH2200" s="49" t="n">
        <v>0</v>
      </c>
      <c r="AI2200" s="49" t="n">
        <v>0</v>
      </c>
      <c r="AJ2200" s="50" t="n">
        <v>0</v>
      </c>
      <c r="AK2200" s="51" t="n">
        <v>0</v>
      </c>
      <c r="AL2200" s="52" t="n">
        <v>0</v>
      </c>
      <c r="AM2200" s="52" t="n">
        <v>0</v>
      </c>
      <c r="AN2200" s="52" t="n">
        <v>0</v>
      </c>
      <c r="AO2200" s="53" t="n">
        <v>0</v>
      </c>
      <c r="AP2200" s="52" t="n">
        <v>0</v>
      </c>
      <c r="AQ2200" s="53" t="n">
        <v>0</v>
      </c>
      <c r="AR2200" s="52" t="n">
        <v>0</v>
      </c>
      <c r="AS2200" s="51" t="n">
        <v>0</v>
      </c>
      <c r="AT2200" s="48" t="n">
        <v>11.98</v>
      </c>
      <c r="AU2200" s="49" t="n">
        <v>1</v>
      </c>
      <c r="AV2200" s="49" t="n">
        <v>0</v>
      </c>
      <c r="AW2200" s="50" t="n">
        <v>0</v>
      </c>
      <c r="AX2200" s="51" t="n">
        <v>0</v>
      </c>
      <c r="AY2200" s="52" t="n">
        <v>0</v>
      </c>
      <c r="AZ2200" s="52" t="n">
        <v>0</v>
      </c>
      <c r="BA2200" s="52" t="n">
        <v>0</v>
      </c>
      <c r="BB2200" s="53" t="n">
        <v>0</v>
      </c>
      <c r="BC2200" s="52" t="n">
        <v>0</v>
      </c>
      <c r="BD2200" s="53" t="n">
        <v>0</v>
      </c>
      <c r="BE2200" s="52" t="n">
        <v>11.98</v>
      </c>
      <c r="BF2200" s="51" t="n">
        <v>0</v>
      </c>
    </row>
    <row r="2201">
      <c r="A2201">
        <f>HYPERLINK("https://www.walmart.com/ip/314644360", "314644360")</f>
        <v/>
      </c>
      <c r="B2201" t="inlineStr">
        <is>
          <t>Kato Wine Opener Accessories Gift Set - 5 Pcs Wine Bottle Corkscrew Screwpull Kit by Kato, Great Wedding and Birthday Gifts for Wine Lovers, Silver &amp; Black</t>
        </is>
      </c>
      <c r="C2201" t="inlineStr">
        <is>
          <t>1KTWO502SLBK</t>
        </is>
      </c>
      <c r="D2201" t="inlineStr">
        <is>
          <t>Corkscrews &amp; Wine Bottle Openers</t>
        </is>
      </c>
      <c r="E2201" t="inlineStr">
        <is>
          <t>Kato</t>
        </is>
      </c>
      <c r="F2201" t="inlineStr">
        <is>
          <t>Wine,Christmas,Valentine</t>
        </is>
      </c>
      <c r="G2201" s="48" t="n">
        <v>0</v>
      </c>
      <c r="H2201" s="49" t="n">
        <v>0</v>
      </c>
      <c r="I2201" s="49" t="n">
        <v>0</v>
      </c>
      <c r="J2201" s="50" t="n">
        <v>0</v>
      </c>
      <c r="K2201" s="51" t="n">
        <v>0</v>
      </c>
      <c r="L2201" s="52" t="n">
        <v>0</v>
      </c>
      <c r="M2201" s="52" t="n">
        <v>0</v>
      </c>
      <c r="N2201" s="52" t="n">
        <v>0</v>
      </c>
      <c r="O2201" s="53" t="n">
        <v>0</v>
      </c>
      <c r="P2201" s="52" t="n">
        <v>0</v>
      </c>
      <c r="Q2201" s="53" t="n">
        <v>0</v>
      </c>
      <c r="R2201" s="52" t="n">
        <v>0</v>
      </c>
      <c r="S2201" s="51" t="n">
        <v>0</v>
      </c>
      <c r="T2201" s="48" t="n">
        <v>0</v>
      </c>
      <c r="U2201" s="49" t="n">
        <v>0</v>
      </c>
      <c r="V2201" s="49" t="n">
        <v>0</v>
      </c>
      <c r="W2201" s="50" t="n">
        <v>0</v>
      </c>
      <c r="X2201" s="51" t="n">
        <v>0</v>
      </c>
      <c r="Y2201" s="52" t="n">
        <v>0</v>
      </c>
      <c r="Z2201" s="52" t="n">
        <v>0</v>
      </c>
      <c r="AA2201" s="52" t="n">
        <v>0</v>
      </c>
      <c r="AB2201" s="53" t="n">
        <v>0</v>
      </c>
      <c r="AC2201" s="52" t="n">
        <v>0</v>
      </c>
      <c r="AD2201" s="53" t="n">
        <v>0</v>
      </c>
      <c r="AE2201" s="52" t="n">
        <v>0</v>
      </c>
      <c r="AF2201" s="51" t="n">
        <v>0</v>
      </c>
      <c r="AG2201" s="48" t="n">
        <v>0</v>
      </c>
      <c r="AH2201" s="49" t="n">
        <v>0</v>
      </c>
      <c r="AI2201" s="49" t="n">
        <v>0</v>
      </c>
      <c r="AJ2201" s="50" t="n">
        <v>0</v>
      </c>
      <c r="AK2201" s="51" t="n">
        <v>0</v>
      </c>
      <c r="AL2201" s="52" t="n">
        <v>0</v>
      </c>
      <c r="AM2201" s="52" t="n">
        <v>0</v>
      </c>
      <c r="AN2201" s="52" t="n">
        <v>0</v>
      </c>
      <c r="AO2201" s="53" t="n">
        <v>0</v>
      </c>
      <c r="AP2201" s="52" t="n">
        <v>0</v>
      </c>
      <c r="AQ2201" s="53" t="n">
        <v>0</v>
      </c>
      <c r="AR2201" s="52" t="n">
        <v>0</v>
      </c>
      <c r="AS2201" s="51" t="n">
        <v>0</v>
      </c>
      <c r="AT2201" s="48" t="n">
        <v>0</v>
      </c>
      <c r="AU2201" s="49" t="n">
        <v>0</v>
      </c>
      <c r="AV2201" s="49" t="n">
        <v>0</v>
      </c>
      <c r="AW2201" s="50" t="n">
        <v>0</v>
      </c>
      <c r="AX2201" s="51" t="n">
        <v>0</v>
      </c>
      <c r="AY2201" s="52" t="n">
        <v>0</v>
      </c>
      <c r="AZ2201" s="52" t="n">
        <v>0</v>
      </c>
      <c r="BA2201" s="52" t="n">
        <v>0</v>
      </c>
      <c r="BB2201" s="53" t="n">
        <v>0</v>
      </c>
      <c r="BC2201" s="52" t="n">
        <v>0</v>
      </c>
      <c r="BD2201" s="53" t="n">
        <v>0</v>
      </c>
      <c r="BE2201" s="52" t="n">
        <v>0</v>
      </c>
      <c r="BF2201" s="51" t="n">
        <v>0</v>
      </c>
    </row>
    <row r="2202">
      <c r="A2202">
        <f>HYPERLINK("https://www.walmart.com/ip/314705553", "314705553")</f>
        <v/>
      </c>
      <c r="B2202" t="inlineStr">
        <is>
          <t>Catalonia Sherpa Wearable Blanket Poncho for Adult Women Men, Wrap Blanket Cape with Pocket, Warm, Soft, Cozy, Snuggly, Comfort Gift, No Sleeves, Camel</t>
        </is>
      </c>
      <c r="C2202" t="inlineStr">
        <is>
          <t>1CTBP110CA</t>
        </is>
      </c>
      <c r="D2202" t="inlineStr">
        <is>
          <t>Throws</t>
        </is>
      </c>
      <c r="E2202" t="inlineStr">
        <is>
          <t>Catalonia</t>
        </is>
      </c>
      <c r="F2202" t="inlineStr">
        <is>
          <t>Hero 5 Holidays,Coupon_Discount,Batch 1 - TR</t>
        </is>
      </c>
      <c r="G2202" s="48" t="n">
        <v>0</v>
      </c>
      <c r="H2202" s="49" t="n">
        <v>0</v>
      </c>
      <c r="I2202" s="49" t="n">
        <v>0</v>
      </c>
      <c r="J2202" s="50" t="n">
        <v>0</v>
      </c>
      <c r="K2202" s="51" t="n">
        <v>0</v>
      </c>
      <c r="L2202" s="52" t="n">
        <v>0</v>
      </c>
      <c r="M2202" s="52" t="n">
        <v>0</v>
      </c>
      <c r="N2202" s="52" t="n">
        <v>0</v>
      </c>
      <c r="O2202" s="53" t="n">
        <v>0</v>
      </c>
      <c r="P2202" s="52" t="n">
        <v>0</v>
      </c>
      <c r="Q2202" s="53" t="n">
        <v>0</v>
      </c>
      <c r="R2202" s="52" t="n">
        <v>0</v>
      </c>
      <c r="S2202" s="51" t="n">
        <v>0</v>
      </c>
      <c r="T2202" s="48" t="n">
        <v>0</v>
      </c>
      <c r="U2202" s="49" t="n">
        <v>0</v>
      </c>
      <c r="V2202" s="49" t="n">
        <v>0</v>
      </c>
      <c r="W2202" s="50" t="n">
        <v>0</v>
      </c>
      <c r="X2202" s="51" t="n">
        <v>0</v>
      </c>
      <c r="Y2202" s="52" t="n">
        <v>0</v>
      </c>
      <c r="Z2202" s="52" t="n">
        <v>0</v>
      </c>
      <c r="AA2202" s="52" t="n">
        <v>0</v>
      </c>
      <c r="AB2202" s="53" t="n">
        <v>0</v>
      </c>
      <c r="AC2202" s="52" t="n">
        <v>0</v>
      </c>
      <c r="AD2202" s="53" t="n">
        <v>0</v>
      </c>
      <c r="AE2202" s="52" t="n">
        <v>0</v>
      </c>
      <c r="AF2202" s="51" t="n">
        <v>0</v>
      </c>
      <c r="AG2202" s="48" t="n">
        <v>0</v>
      </c>
      <c r="AH2202" s="49" t="n">
        <v>0</v>
      </c>
      <c r="AI2202" s="49" t="n">
        <v>0</v>
      </c>
      <c r="AJ2202" s="50" t="n">
        <v>0</v>
      </c>
      <c r="AK2202" s="51" t="n">
        <v>0</v>
      </c>
      <c r="AL2202" s="52" t="n">
        <v>0</v>
      </c>
      <c r="AM2202" s="52" t="n">
        <v>0</v>
      </c>
      <c r="AN2202" s="52" t="n">
        <v>0</v>
      </c>
      <c r="AO2202" s="53" t="n">
        <v>0</v>
      </c>
      <c r="AP2202" s="52" t="n">
        <v>0</v>
      </c>
      <c r="AQ2202" s="53" t="n">
        <v>0</v>
      </c>
      <c r="AR2202" s="52" t="n">
        <v>0</v>
      </c>
      <c r="AS2202" s="51" t="n">
        <v>0</v>
      </c>
      <c r="AT2202" s="48" t="n">
        <v>0</v>
      </c>
      <c r="AU2202" s="49" t="n">
        <v>0</v>
      </c>
      <c r="AV2202" s="49" t="n">
        <v>0</v>
      </c>
      <c r="AW2202" s="50" t="n">
        <v>0</v>
      </c>
      <c r="AX2202" s="51" t="n">
        <v>0</v>
      </c>
      <c r="AY2202" s="52" t="n">
        <v>0</v>
      </c>
      <c r="AZ2202" s="52" t="n">
        <v>0</v>
      </c>
      <c r="BA2202" s="52" t="n">
        <v>0</v>
      </c>
      <c r="BB2202" s="53" t="n">
        <v>0</v>
      </c>
      <c r="BC2202" s="52" t="n">
        <v>0</v>
      </c>
      <c r="BD2202" s="53" t="n">
        <v>0</v>
      </c>
      <c r="BE2202" s="52" t="n">
        <v>0</v>
      </c>
      <c r="BF2202" s="51" t="n">
        <v>0</v>
      </c>
    </row>
    <row r="2203">
      <c r="A2203">
        <f>HYPERLINK("https://www.walmart.com/ip/3160999535", "3160999535")</f>
        <v/>
      </c>
      <c r="B2203" t="inlineStr">
        <is>
          <t>Tirrinia 2 In 1 Outdoors UPF 50+ UV Protection Sun Hat for Womens, One Size Female Sports Baseball Cap Gardening Fishing Hat with Neck Flap, Gray</t>
        </is>
      </c>
      <c r="C2203" t="inlineStr">
        <is>
          <t>1TRSH9153GY</t>
        </is>
      </c>
      <c r="D2203" t="inlineStr">
        <is>
          <t>Hats</t>
        </is>
      </c>
      <c r="E2203" t="inlineStr">
        <is>
          <t>Tirrinia</t>
        </is>
      </c>
      <c r="G2203" s="48" t="n">
        <v>0</v>
      </c>
      <c r="H2203" s="49" t="n">
        <v>0</v>
      </c>
      <c r="I2203" s="49" t="n">
        <v>0</v>
      </c>
      <c r="J2203" s="50" t="n">
        <v>0</v>
      </c>
      <c r="K2203" s="51" t="n">
        <v>0</v>
      </c>
      <c r="L2203" s="52" t="n">
        <v>0</v>
      </c>
      <c r="M2203" s="52" t="n">
        <v>0</v>
      </c>
      <c r="N2203" s="52" t="n">
        <v>0</v>
      </c>
      <c r="O2203" s="53" t="n">
        <v>0</v>
      </c>
      <c r="P2203" s="52" t="n">
        <v>0</v>
      </c>
      <c r="Q2203" s="53" t="n">
        <v>0</v>
      </c>
      <c r="R2203" s="52" t="n">
        <v>0</v>
      </c>
      <c r="S2203" s="51" t="n">
        <v>0</v>
      </c>
      <c r="T2203" s="48" t="n">
        <v>0</v>
      </c>
      <c r="U2203" s="49" t="n">
        <v>0</v>
      </c>
      <c r="V2203" s="49" t="n">
        <v>0</v>
      </c>
      <c r="W2203" s="50" t="n">
        <v>0</v>
      </c>
      <c r="X2203" s="51" t="n">
        <v>0</v>
      </c>
      <c r="Y2203" s="52" t="n">
        <v>0</v>
      </c>
      <c r="Z2203" s="52" t="n">
        <v>0</v>
      </c>
      <c r="AA2203" s="52" t="n">
        <v>0</v>
      </c>
      <c r="AB2203" s="53" t="n">
        <v>0</v>
      </c>
      <c r="AC2203" s="52" t="n">
        <v>0</v>
      </c>
      <c r="AD2203" s="53" t="n">
        <v>0</v>
      </c>
      <c r="AE2203" s="52" t="n">
        <v>0</v>
      </c>
      <c r="AF2203" s="51" t="n">
        <v>0</v>
      </c>
      <c r="AG2203" s="48" t="n">
        <v>0</v>
      </c>
      <c r="AH2203" s="49" t="n">
        <v>0</v>
      </c>
      <c r="AI2203" s="49" t="n">
        <v>0</v>
      </c>
      <c r="AJ2203" s="50" t="n">
        <v>0</v>
      </c>
      <c r="AK2203" s="51" t="n">
        <v>0</v>
      </c>
      <c r="AL2203" s="52" t="n">
        <v>0</v>
      </c>
      <c r="AM2203" s="52" t="n">
        <v>0</v>
      </c>
      <c r="AN2203" s="52" t="n">
        <v>0</v>
      </c>
      <c r="AO2203" s="53" t="n">
        <v>0</v>
      </c>
      <c r="AP2203" s="52" t="n">
        <v>0</v>
      </c>
      <c r="AQ2203" s="53" t="n">
        <v>0</v>
      </c>
      <c r="AR2203" s="52" t="n">
        <v>0</v>
      </c>
      <c r="AS2203" s="51" t="n">
        <v>0</v>
      </c>
      <c r="AT2203" s="48" t="n">
        <v>0</v>
      </c>
      <c r="AU2203" s="49" t="n">
        <v>0</v>
      </c>
      <c r="AV2203" s="49" t="n">
        <v>0</v>
      </c>
      <c r="AW2203" s="50" t="n">
        <v>0</v>
      </c>
      <c r="AX2203" s="51" t="n">
        <v>0</v>
      </c>
      <c r="AY2203" s="52" t="n">
        <v>0</v>
      </c>
      <c r="AZ2203" s="52" t="n">
        <v>0</v>
      </c>
      <c r="BA2203" s="52" t="n">
        <v>0</v>
      </c>
      <c r="BB2203" s="53" t="n">
        <v>0</v>
      </c>
      <c r="BC2203" s="52" t="n">
        <v>0</v>
      </c>
      <c r="BD2203" s="53" t="n">
        <v>0</v>
      </c>
      <c r="BE2203" s="52" t="n">
        <v>0</v>
      </c>
      <c r="BF2203" s="51" t="n">
        <v>0</v>
      </c>
    </row>
    <row r="2204">
      <c r="A2204">
        <f>HYPERLINK("https://www.walmart.com/ip/316443429", "316443429")</f>
        <v/>
      </c>
      <c r="B2204" t="inlineStr">
        <is>
          <t>Jennis Women's Sexy See-through Lingerie Lace Fishnet Suspender</t>
        </is>
      </c>
      <c r="C2204" t="inlineStr">
        <is>
          <t>JWBD01BKRD-3XL</t>
        </is>
      </c>
      <c r="D2204" t="inlineStr">
        <is>
          <t>Teddies &amp; Bodystockings</t>
        </is>
      </c>
      <c r="E2204" t="inlineStr">
        <is>
          <t>Jennis</t>
        </is>
      </c>
      <c r="F2204" t="inlineStr">
        <is>
          <t>Valentine</t>
        </is>
      </c>
      <c r="G2204" s="48" t="n">
        <v>0</v>
      </c>
      <c r="H2204" s="49" t="n">
        <v>0</v>
      </c>
      <c r="I2204" s="49" t="n">
        <v>0</v>
      </c>
      <c r="J2204" s="50" t="n">
        <v>0</v>
      </c>
      <c r="K2204" s="51" t="n">
        <v>0</v>
      </c>
      <c r="L2204" s="52" t="n">
        <v>0</v>
      </c>
      <c r="M2204" s="52" t="n">
        <v>0</v>
      </c>
      <c r="N2204" s="52" t="n">
        <v>0</v>
      </c>
      <c r="O2204" s="53" t="n">
        <v>0</v>
      </c>
      <c r="P2204" s="52" t="n">
        <v>0</v>
      </c>
      <c r="Q2204" s="53" t="n">
        <v>0</v>
      </c>
      <c r="R2204" s="52" t="n">
        <v>0</v>
      </c>
      <c r="S2204" s="51" t="n">
        <v>0</v>
      </c>
      <c r="T2204" s="48" t="n">
        <v>0</v>
      </c>
      <c r="U2204" s="49" t="n">
        <v>0</v>
      </c>
      <c r="V2204" s="49" t="n">
        <v>0</v>
      </c>
      <c r="W2204" s="50" t="n">
        <v>0</v>
      </c>
      <c r="X2204" s="51" t="n">
        <v>0</v>
      </c>
      <c r="Y2204" s="52" t="n">
        <v>0</v>
      </c>
      <c r="Z2204" s="52" t="n">
        <v>0</v>
      </c>
      <c r="AA2204" s="52" t="n">
        <v>0</v>
      </c>
      <c r="AB2204" s="53" t="n">
        <v>0</v>
      </c>
      <c r="AC2204" s="52" t="n">
        <v>0</v>
      </c>
      <c r="AD2204" s="53" t="n">
        <v>0</v>
      </c>
      <c r="AE2204" s="52" t="n">
        <v>0</v>
      </c>
      <c r="AF2204" s="51" t="n">
        <v>0</v>
      </c>
      <c r="AG2204" s="48" t="n">
        <v>0</v>
      </c>
      <c r="AH2204" s="49" t="n">
        <v>0</v>
      </c>
      <c r="AI2204" s="49" t="n">
        <v>0</v>
      </c>
      <c r="AJ2204" s="50" t="n">
        <v>0</v>
      </c>
      <c r="AK2204" s="51" t="n">
        <v>0</v>
      </c>
      <c r="AL2204" s="52" t="n">
        <v>0</v>
      </c>
      <c r="AM2204" s="52" t="n">
        <v>0</v>
      </c>
      <c r="AN2204" s="52" t="n">
        <v>0</v>
      </c>
      <c r="AO2204" s="53" t="n">
        <v>0</v>
      </c>
      <c r="AP2204" s="52" t="n">
        <v>0</v>
      </c>
      <c r="AQ2204" s="53" t="n">
        <v>0</v>
      </c>
      <c r="AR2204" s="52" t="n">
        <v>0</v>
      </c>
      <c r="AS2204" s="51" t="n">
        <v>0</v>
      </c>
      <c r="AT2204" s="48" t="n">
        <v>0</v>
      </c>
      <c r="AU2204" s="49" t="n">
        <v>0</v>
      </c>
      <c r="AV2204" s="49" t="n">
        <v>0</v>
      </c>
      <c r="AW2204" s="50" t="n">
        <v>0</v>
      </c>
      <c r="AX2204" s="51" t="n">
        <v>0</v>
      </c>
      <c r="AY2204" s="52" t="n">
        <v>0</v>
      </c>
      <c r="AZ2204" s="52" t="n">
        <v>0</v>
      </c>
      <c r="BA2204" s="52" t="n">
        <v>0</v>
      </c>
      <c r="BB2204" s="53" t="n">
        <v>0</v>
      </c>
      <c r="BC2204" s="52" t="n">
        <v>0</v>
      </c>
      <c r="BD2204" s="53" t="n">
        <v>0</v>
      </c>
      <c r="BE2204" s="52" t="n">
        <v>0</v>
      </c>
      <c r="BF2204" s="51" t="n">
        <v>0</v>
      </c>
    </row>
    <row r="2205">
      <c r="A2205">
        <f>HYPERLINK("https://www.walmart.com/ip/316798001", "316798001")</f>
        <v/>
      </c>
      <c r="B2205" t="inlineStr">
        <is>
          <t>Kato 6 Bottle Wine Carrier - Insulated Portable Wine Carry Cooler Tote Bag for Travel or Picnic, Perfect Wine Lover Gift, Black</t>
        </is>
      </c>
      <c r="C2205" t="inlineStr">
        <is>
          <t>1KTWB600BK</t>
        </is>
      </c>
      <c r="D2205" t="inlineStr">
        <is>
          <t>Wine Totes, Bags &amp; Backpacks</t>
        </is>
      </c>
      <c r="E2205" t="inlineStr">
        <is>
          <t>Kato</t>
        </is>
      </c>
      <c r="F2205" t="inlineStr">
        <is>
          <t>Wine,Wine Bag Camp,Christmas,WFS,Wine WFS,Valentine,SEM,WFS Item</t>
        </is>
      </c>
      <c r="G2205" s="48" t="n">
        <v>0</v>
      </c>
      <c r="H2205" s="49" t="n">
        <v>0</v>
      </c>
      <c r="I2205" s="49" t="n">
        <v>0</v>
      </c>
      <c r="J2205" s="50" t="n">
        <v>0</v>
      </c>
      <c r="K2205" s="51" t="n">
        <v>0</v>
      </c>
      <c r="L2205" s="52" t="n">
        <v>0</v>
      </c>
      <c r="M2205" s="52" t="n">
        <v>0</v>
      </c>
      <c r="N2205" s="52" t="n">
        <v>0</v>
      </c>
      <c r="O2205" s="53" t="n">
        <v>0</v>
      </c>
      <c r="P2205" s="52" t="n">
        <v>0</v>
      </c>
      <c r="Q2205" s="53" t="n">
        <v>0</v>
      </c>
      <c r="R2205" s="52" t="n">
        <v>0</v>
      </c>
      <c r="S2205" s="51" t="n">
        <v>0</v>
      </c>
      <c r="T2205" s="48" t="n">
        <v>0</v>
      </c>
      <c r="U2205" s="49" t="n">
        <v>0</v>
      </c>
      <c r="V2205" s="49" t="n">
        <v>1</v>
      </c>
      <c r="W2205" s="50" t="n">
        <v>0</v>
      </c>
      <c r="X2205" s="51" t="n">
        <v>0</v>
      </c>
      <c r="Y2205" s="52" t="n">
        <v>0</v>
      </c>
      <c r="Z2205" s="52" t="n">
        <v>0</v>
      </c>
      <c r="AA2205" s="52" t="n">
        <v>0</v>
      </c>
      <c r="AB2205" s="53" t="n">
        <v>0</v>
      </c>
      <c r="AC2205" s="52" t="n">
        <v>0</v>
      </c>
      <c r="AD2205" s="53" t="n">
        <v>0</v>
      </c>
      <c r="AE2205" s="52" t="n">
        <v>0</v>
      </c>
      <c r="AF2205" s="51" t="n">
        <v>0</v>
      </c>
      <c r="AG2205" s="48" t="n">
        <v>-19.99</v>
      </c>
      <c r="AH2205" s="49" t="n">
        <v>-1</v>
      </c>
      <c r="AI2205" s="49" t="n">
        <v>2</v>
      </c>
      <c r="AJ2205" s="50" t="n">
        <v>-0.5</v>
      </c>
      <c r="AK2205" s="51" t="n">
        <v>0</v>
      </c>
      <c r="AL2205" s="52" t="n">
        <v>0</v>
      </c>
      <c r="AM2205" s="52" t="n">
        <v>0</v>
      </c>
      <c r="AN2205" s="52" t="n">
        <v>0</v>
      </c>
      <c r="AO2205" s="53" t="n">
        <v>0</v>
      </c>
      <c r="AP2205" s="52" t="n">
        <v>0</v>
      </c>
      <c r="AQ2205" s="53" t="n">
        <v>0</v>
      </c>
      <c r="AR2205" s="52" t="n">
        <v>0</v>
      </c>
      <c r="AS2205" s="51" t="n">
        <v>0</v>
      </c>
      <c r="AT2205" s="48" t="n">
        <v>0</v>
      </c>
      <c r="AU2205" s="49" t="n">
        <v>0</v>
      </c>
      <c r="AV2205" s="49" t="n">
        <v>1</v>
      </c>
      <c r="AW2205" s="50" t="n">
        <v>0</v>
      </c>
      <c r="AX2205" s="51" t="n">
        <v>0</v>
      </c>
      <c r="AY2205" s="52" t="n">
        <v>0</v>
      </c>
      <c r="AZ2205" s="52" t="n">
        <v>0</v>
      </c>
      <c r="BA2205" s="52" t="n">
        <v>0</v>
      </c>
      <c r="BB2205" s="53" t="n">
        <v>0</v>
      </c>
      <c r="BC2205" s="52" t="n">
        <v>0</v>
      </c>
      <c r="BD2205" s="53" t="n">
        <v>0</v>
      </c>
      <c r="BE2205" s="52" t="n">
        <v>0</v>
      </c>
      <c r="BF2205" s="51" t="n">
        <v>0</v>
      </c>
    </row>
    <row r="2206">
      <c r="A2206">
        <f>HYPERLINK("https://www.walmart.com/ip/318886437", "318886437")</f>
        <v/>
      </c>
      <c r="B2206" t="inlineStr">
        <is>
          <t>Tirrina Unisex Outdoor Sun Protection Fishing Cap with Neck Flap Wide Brim Mesh Hat for Travel Camping Hiking Hunting</t>
        </is>
      </c>
      <c r="C2206" t="inlineStr">
        <is>
          <t>1WMSH910GY</t>
        </is>
      </c>
      <c r="D2206" t="inlineStr">
        <is>
          <t>Hats</t>
        </is>
      </c>
      <c r="E2206" t="inlineStr">
        <is>
          <t>Tirrinia</t>
        </is>
      </c>
      <c r="F2206" t="inlineStr">
        <is>
          <t>Optimized</t>
        </is>
      </c>
      <c r="G2206" s="48" t="n">
        <v>0</v>
      </c>
      <c r="H2206" s="49" t="n">
        <v>0</v>
      </c>
      <c r="I2206" s="49" t="n">
        <v>0</v>
      </c>
      <c r="J2206" s="50" t="n">
        <v>0</v>
      </c>
      <c r="K2206" s="51" t="n">
        <v>0</v>
      </c>
      <c r="L2206" s="52" t="n">
        <v>0</v>
      </c>
      <c r="M2206" s="52" t="n">
        <v>0</v>
      </c>
      <c r="N2206" s="52" t="n">
        <v>0</v>
      </c>
      <c r="O2206" s="53" t="n">
        <v>0</v>
      </c>
      <c r="P2206" s="52" t="n">
        <v>0</v>
      </c>
      <c r="Q2206" s="53" t="n">
        <v>0</v>
      </c>
      <c r="R2206" s="52" t="n">
        <v>0</v>
      </c>
      <c r="S2206" s="51" t="n">
        <v>0</v>
      </c>
      <c r="T2206" s="48" t="n">
        <v>0</v>
      </c>
      <c r="U2206" s="49" t="n">
        <v>0</v>
      </c>
      <c r="V2206" s="49" t="n">
        <v>0</v>
      </c>
      <c r="W2206" s="50" t="n">
        <v>0</v>
      </c>
      <c r="X2206" s="51" t="n">
        <v>0</v>
      </c>
      <c r="Y2206" s="52" t="n">
        <v>0</v>
      </c>
      <c r="Z2206" s="52" t="n">
        <v>0</v>
      </c>
      <c r="AA2206" s="52" t="n">
        <v>0</v>
      </c>
      <c r="AB2206" s="53" t="n">
        <v>0</v>
      </c>
      <c r="AC2206" s="52" t="n">
        <v>0</v>
      </c>
      <c r="AD2206" s="53" t="n">
        <v>0</v>
      </c>
      <c r="AE2206" s="52" t="n">
        <v>0</v>
      </c>
      <c r="AF2206" s="51" t="n">
        <v>0</v>
      </c>
      <c r="AG2206" s="48" t="n">
        <v>0</v>
      </c>
      <c r="AH2206" s="49" t="n">
        <v>0</v>
      </c>
      <c r="AI2206" s="49" t="n">
        <v>0</v>
      </c>
      <c r="AJ2206" s="50" t="n">
        <v>0</v>
      </c>
      <c r="AK2206" s="51" t="n">
        <v>0</v>
      </c>
      <c r="AL2206" s="52" t="n">
        <v>0</v>
      </c>
      <c r="AM2206" s="52" t="n">
        <v>0</v>
      </c>
      <c r="AN2206" s="52" t="n">
        <v>0</v>
      </c>
      <c r="AO2206" s="53" t="n">
        <v>0</v>
      </c>
      <c r="AP2206" s="52" t="n">
        <v>0</v>
      </c>
      <c r="AQ2206" s="53" t="n">
        <v>0</v>
      </c>
      <c r="AR2206" s="52" t="n">
        <v>0</v>
      </c>
      <c r="AS2206" s="51" t="n">
        <v>0</v>
      </c>
      <c r="AT2206" s="48" t="n">
        <v>0</v>
      </c>
      <c r="AU2206" s="49" t="n">
        <v>0</v>
      </c>
      <c r="AV2206" s="49" t="n">
        <v>0</v>
      </c>
      <c r="AW2206" s="50" t="n">
        <v>0</v>
      </c>
      <c r="AX2206" s="51" t="n">
        <v>0</v>
      </c>
      <c r="AY2206" s="52" t="n">
        <v>0</v>
      </c>
      <c r="AZ2206" s="52" t="n">
        <v>0</v>
      </c>
      <c r="BA2206" s="52" t="n">
        <v>0</v>
      </c>
      <c r="BB2206" s="53" t="n">
        <v>0</v>
      </c>
      <c r="BC2206" s="52" t="n">
        <v>0</v>
      </c>
      <c r="BD2206" s="53" t="n">
        <v>0</v>
      </c>
      <c r="BE2206" s="52" t="n">
        <v>0</v>
      </c>
      <c r="BF2206" s="51" t="n">
        <v>0</v>
      </c>
    </row>
    <row r="2207">
      <c r="A2207">
        <f>HYPERLINK("https://www.walmart.com/ip/316882668", "316882668")</f>
        <v/>
      </c>
      <c r="B2207" t="inlineStr">
        <is>
          <t xml:space="preserve"> Tirrinia Sherpa Fleece Throw Blanket, Super Soft Fluffy Sherpa Throw TV Blanket, Decorative Throw Blanket for Bed or Couch, Winter Grove Pattern, 50" x 60"</t>
        </is>
      </c>
      <c r="C2207" t="inlineStr">
        <is>
          <t>1TRBF571TRIBE-TBCB</t>
        </is>
      </c>
      <c r="D2207" t="inlineStr">
        <is>
          <t>Throws</t>
        </is>
      </c>
      <c r="E2207" t="inlineStr">
        <is>
          <t>Tirrinia</t>
        </is>
      </c>
      <c r="F2207" t="inlineStr">
        <is>
          <t>Christmas,Optimized</t>
        </is>
      </c>
      <c r="G2207" s="48" t="n">
        <v>0</v>
      </c>
      <c r="H2207" s="49" t="n">
        <v>0</v>
      </c>
      <c r="I2207" s="49" t="n">
        <v>0</v>
      </c>
      <c r="J2207" s="50" t="n">
        <v>0</v>
      </c>
      <c r="K2207" s="51" t="n">
        <v>0</v>
      </c>
      <c r="L2207" s="52" t="n">
        <v>0</v>
      </c>
      <c r="M2207" s="52" t="n">
        <v>0</v>
      </c>
      <c r="N2207" s="52" t="n">
        <v>0</v>
      </c>
      <c r="O2207" s="53" t="n">
        <v>0</v>
      </c>
      <c r="P2207" s="52" t="n">
        <v>0</v>
      </c>
      <c r="Q2207" s="53" t="n">
        <v>0</v>
      </c>
      <c r="R2207" s="52" t="n">
        <v>0</v>
      </c>
      <c r="S2207" s="51" t="n">
        <v>0</v>
      </c>
      <c r="T2207" s="48" t="n">
        <v>0</v>
      </c>
      <c r="U2207" s="49" t="n">
        <v>0</v>
      </c>
      <c r="V2207" s="49" t="n">
        <v>0</v>
      </c>
      <c r="W2207" s="50" t="n">
        <v>0</v>
      </c>
      <c r="X2207" s="51" t="n">
        <v>0</v>
      </c>
      <c r="Y2207" s="52" t="n">
        <v>0</v>
      </c>
      <c r="Z2207" s="52" t="n">
        <v>0</v>
      </c>
      <c r="AA2207" s="52" t="n">
        <v>0</v>
      </c>
      <c r="AB2207" s="53" t="n">
        <v>0</v>
      </c>
      <c r="AC2207" s="52" t="n">
        <v>0</v>
      </c>
      <c r="AD2207" s="53" t="n">
        <v>0</v>
      </c>
      <c r="AE2207" s="52" t="n">
        <v>0</v>
      </c>
      <c r="AF2207" s="51" t="n">
        <v>0</v>
      </c>
      <c r="AG2207" s="48" t="n">
        <v>0</v>
      </c>
      <c r="AH2207" s="49" t="n">
        <v>0</v>
      </c>
      <c r="AI2207" s="49" t="n">
        <v>0</v>
      </c>
      <c r="AJ2207" s="50" t="n">
        <v>0</v>
      </c>
      <c r="AK2207" s="51" t="n">
        <v>0</v>
      </c>
      <c r="AL2207" s="52" t="n">
        <v>0</v>
      </c>
      <c r="AM2207" s="52" t="n">
        <v>0</v>
      </c>
      <c r="AN2207" s="52" t="n">
        <v>0</v>
      </c>
      <c r="AO2207" s="53" t="n">
        <v>0</v>
      </c>
      <c r="AP2207" s="52" t="n">
        <v>0</v>
      </c>
      <c r="AQ2207" s="53" t="n">
        <v>0</v>
      </c>
      <c r="AR2207" s="52" t="n">
        <v>0</v>
      </c>
      <c r="AS2207" s="51" t="n">
        <v>0</v>
      </c>
      <c r="AT2207" s="48" t="n">
        <v>0</v>
      </c>
      <c r="AU2207" s="49" t="n">
        <v>0</v>
      </c>
      <c r="AV2207" s="49" t="n">
        <v>0</v>
      </c>
      <c r="AW2207" s="50" t="n">
        <v>0</v>
      </c>
      <c r="AX2207" s="51" t="n">
        <v>0</v>
      </c>
      <c r="AY2207" s="52" t="n">
        <v>0</v>
      </c>
      <c r="AZ2207" s="52" t="n">
        <v>0</v>
      </c>
      <c r="BA2207" s="52" t="n">
        <v>0</v>
      </c>
      <c r="BB2207" s="53" t="n">
        <v>0</v>
      </c>
      <c r="BC2207" s="52" t="n">
        <v>0</v>
      </c>
      <c r="BD2207" s="53" t="n">
        <v>0</v>
      </c>
      <c r="BE2207" s="52" t="n">
        <v>0</v>
      </c>
      <c r="BF2207" s="51" t="n">
        <v>0</v>
      </c>
    </row>
    <row r="2208">
      <c r="A2208">
        <f>HYPERLINK("https://www.walmart.com/ip/317039034", "317039034")</f>
        <v/>
      </c>
      <c r="B2208" t="inlineStr">
        <is>
          <t>Vina Electric Gravity Salt Pepper Grinder Set, Adjustable Grinding Coarseness Automatic Shaker Mills with Ceramic Core, Free Garlic Roller Included, Pack of 2, White</t>
        </is>
      </c>
      <c r="C2208" t="inlineStr">
        <is>
          <t>VINASPEG521-WH2PK</t>
        </is>
      </c>
      <c r="D2208" t="inlineStr">
        <is>
          <t>Salt &amp; Pepper Mills</t>
        </is>
      </c>
      <c r="E2208" t="inlineStr">
        <is>
          <t>Vina</t>
        </is>
      </c>
      <c r="F2208" t="inlineStr">
        <is>
          <t>Batch 1 - TR</t>
        </is>
      </c>
      <c r="G2208" s="48" t="n">
        <v>0</v>
      </c>
      <c r="H2208" s="49" t="n">
        <v>0</v>
      </c>
      <c r="I2208" s="49" t="n">
        <v>0</v>
      </c>
      <c r="J2208" s="50" t="n">
        <v>0</v>
      </c>
      <c r="K2208" s="51" t="n">
        <v>0</v>
      </c>
      <c r="L2208" s="52" t="n">
        <v>0</v>
      </c>
      <c r="M2208" s="52" t="n">
        <v>0</v>
      </c>
      <c r="N2208" s="52" t="n">
        <v>0</v>
      </c>
      <c r="O2208" s="53" t="n">
        <v>0</v>
      </c>
      <c r="P2208" s="52" t="n">
        <v>0</v>
      </c>
      <c r="Q2208" s="53" t="n">
        <v>0</v>
      </c>
      <c r="R2208" s="52" t="n">
        <v>0</v>
      </c>
      <c r="S2208" s="51" t="n">
        <v>0</v>
      </c>
      <c r="T2208" s="48" t="n">
        <v>0</v>
      </c>
      <c r="U2208" s="49" t="n">
        <v>0</v>
      </c>
      <c r="V2208" s="49" t="n">
        <v>0</v>
      </c>
      <c r="W2208" s="50" t="n">
        <v>0</v>
      </c>
      <c r="X2208" s="51" t="n">
        <v>0</v>
      </c>
      <c r="Y2208" s="52" t="n">
        <v>0</v>
      </c>
      <c r="Z2208" s="52" t="n">
        <v>0</v>
      </c>
      <c r="AA2208" s="52" t="n">
        <v>0</v>
      </c>
      <c r="AB2208" s="53" t="n">
        <v>0</v>
      </c>
      <c r="AC2208" s="52" t="n">
        <v>0</v>
      </c>
      <c r="AD2208" s="53" t="n">
        <v>0</v>
      </c>
      <c r="AE2208" s="52" t="n">
        <v>0</v>
      </c>
      <c r="AF2208" s="51" t="n">
        <v>0</v>
      </c>
      <c r="AG2208" s="48" t="n">
        <v>0</v>
      </c>
      <c r="AH2208" s="49" t="n">
        <v>0</v>
      </c>
      <c r="AI2208" s="49" t="n">
        <v>0</v>
      </c>
      <c r="AJ2208" s="50" t="n">
        <v>0</v>
      </c>
      <c r="AK2208" s="51" t="n">
        <v>0</v>
      </c>
      <c r="AL2208" s="52" t="n">
        <v>0</v>
      </c>
      <c r="AM2208" s="52" t="n">
        <v>0</v>
      </c>
      <c r="AN2208" s="52" t="n">
        <v>0</v>
      </c>
      <c r="AO2208" s="53" t="n">
        <v>0</v>
      </c>
      <c r="AP2208" s="52" t="n">
        <v>0</v>
      </c>
      <c r="AQ2208" s="53" t="n">
        <v>0</v>
      </c>
      <c r="AR2208" s="52" t="n">
        <v>0</v>
      </c>
      <c r="AS2208" s="51" t="n">
        <v>0</v>
      </c>
      <c r="AT2208" s="48" t="n">
        <v>0</v>
      </c>
      <c r="AU2208" s="49" t="n">
        <v>0</v>
      </c>
      <c r="AV2208" s="49" t="n">
        <v>0</v>
      </c>
      <c r="AW2208" s="50" t="n">
        <v>0</v>
      </c>
      <c r="AX2208" s="51" t="n">
        <v>0</v>
      </c>
      <c r="AY2208" s="52" t="n">
        <v>0</v>
      </c>
      <c r="AZ2208" s="52" t="n">
        <v>0</v>
      </c>
      <c r="BA2208" s="52" t="n">
        <v>0</v>
      </c>
      <c r="BB2208" s="53" t="n">
        <v>0</v>
      </c>
      <c r="BC2208" s="52" t="n">
        <v>0</v>
      </c>
      <c r="BD2208" s="53" t="n">
        <v>0</v>
      </c>
      <c r="BE2208" s="52" t="n">
        <v>0</v>
      </c>
      <c r="BF2208" s="51" t="n">
        <v>0</v>
      </c>
    </row>
    <row r="2209">
      <c r="A2209">
        <f>HYPERLINK("https://www.walmart.com/ip/317393750", "317393750")</f>
        <v/>
      </c>
      <c r="B2209" t="inlineStr">
        <is>
          <t>Sherpa Slipper Socks for Women,Winter Indoor Home Non Skid Booties</t>
        </is>
      </c>
      <c r="C2209" t="inlineStr">
        <is>
          <t>1CTST200LT-2</t>
        </is>
      </c>
      <c r="D2209" t="inlineStr">
        <is>
          <t>Socks</t>
        </is>
      </c>
      <c r="E2209" t="inlineStr">
        <is>
          <t>Catalonia</t>
        </is>
      </c>
      <c r="F2209" t="inlineStr">
        <is>
          <t>WFS,WFS Item</t>
        </is>
      </c>
      <c r="G2209" s="48" t="n">
        <v>0</v>
      </c>
      <c r="H2209" s="49" t="n">
        <v>0</v>
      </c>
      <c r="I2209" s="49" t="n">
        <v>0</v>
      </c>
      <c r="J2209" s="50" t="n">
        <v>0</v>
      </c>
      <c r="K2209" s="51" t="n">
        <v>0</v>
      </c>
      <c r="L2209" s="52" t="n">
        <v>0</v>
      </c>
      <c r="M2209" s="52" t="n">
        <v>0</v>
      </c>
      <c r="N2209" s="52" t="n">
        <v>0</v>
      </c>
      <c r="O2209" s="53" t="n">
        <v>0</v>
      </c>
      <c r="P2209" s="52" t="n">
        <v>0</v>
      </c>
      <c r="Q2209" s="53" t="n">
        <v>0</v>
      </c>
      <c r="R2209" s="52" t="n">
        <v>0</v>
      </c>
      <c r="S2209" s="51" t="n">
        <v>0</v>
      </c>
      <c r="T2209" s="48" t="n">
        <v>0</v>
      </c>
      <c r="U2209" s="49" t="n">
        <v>0</v>
      </c>
      <c r="V2209" s="49" t="n">
        <v>0</v>
      </c>
      <c r="W2209" s="50" t="n">
        <v>0</v>
      </c>
      <c r="X2209" s="51" t="n">
        <v>0</v>
      </c>
      <c r="Y2209" s="52" t="n">
        <v>0</v>
      </c>
      <c r="Z2209" s="52" t="n">
        <v>0</v>
      </c>
      <c r="AA2209" s="52" t="n">
        <v>0</v>
      </c>
      <c r="AB2209" s="53" t="n">
        <v>0</v>
      </c>
      <c r="AC2209" s="52" t="n">
        <v>0</v>
      </c>
      <c r="AD2209" s="53" t="n">
        <v>0</v>
      </c>
      <c r="AE2209" s="52" t="n">
        <v>0</v>
      </c>
      <c r="AF2209" s="51" t="n">
        <v>0</v>
      </c>
      <c r="AG2209" s="48" t="n">
        <v>0</v>
      </c>
      <c r="AH2209" s="49" t="n">
        <v>0</v>
      </c>
      <c r="AI2209" s="49" t="n">
        <v>0</v>
      </c>
      <c r="AJ2209" s="50" t="n">
        <v>0</v>
      </c>
      <c r="AK2209" s="51" t="n">
        <v>0</v>
      </c>
      <c r="AL2209" s="52" t="n">
        <v>0</v>
      </c>
      <c r="AM2209" s="52" t="n">
        <v>0</v>
      </c>
      <c r="AN2209" s="52" t="n">
        <v>0</v>
      </c>
      <c r="AO2209" s="53" t="n">
        <v>0</v>
      </c>
      <c r="AP2209" s="52" t="n">
        <v>0</v>
      </c>
      <c r="AQ2209" s="53" t="n">
        <v>0</v>
      </c>
      <c r="AR2209" s="52" t="n">
        <v>0</v>
      </c>
      <c r="AS2209" s="51" t="n">
        <v>0</v>
      </c>
      <c r="AT2209" s="48" t="n">
        <v>0</v>
      </c>
      <c r="AU2209" s="49" t="n">
        <v>0</v>
      </c>
      <c r="AV2209" s="49" t="n">
        <v>0</v>
      </c>
      <c r="AW2209" s="50" t="n">
        <v>0</v>
      </c>
      <c r="AX2209" s="51" t="n">
        <v>0</v>
      </c>
      <c r="AY2209" s="52" t="n">
        <v>0</v>
      </c>
      <c r="AZ2209" s="52" t="n">
        <v>0</v>
      </c>
      <c r="BA2209" s="52" t="n">
        <v>0</v>
      </c>
      <c r="BB2209" s="53" t="n">
        <v>0</v>
      </c>
      <c r="BC2209" s="52" t="n">
        <v>0</v>
      </c>
      <c r="BD2209" s="53" t="n">
        <v>0</v>
      </c>
      <c r="BE2209" s="52" t="n">
        <v>0</v>
      </c>
      <c r="BF2209" s="51" t="n">
        <v>0</v>
      </c>
    </row>
    <row r="2210">
      <c r="A2210">
        <f>HYPERLINK("https://www.walmart.com/ip/317986642", "317986642")</f>
        <v/>
      </c>
      <c r="B2210" t="inlineStr">
        <is>
          <t>Flyingstar Insulated Lunch Bag, Reusable Tote Bag for Women &amp; Men &amp; Kids, Fashionable Large Cooler Lunch Bag for Working/School/Picnic</t>
        </is>
      </c>
      <c r="C2210" t="inlineStr">
        <is>
          <t>1WMLB703BKDOT</t>
        </is>
      </c>
      <c r="D2210" t="inlineStr">
        <is>
          <t>Reusable Lunch Bags &amp; Boxes</t>
        </is>
      </c>
      <c r="E2210" t="inlineStr">
        <is>
          <t>Flyingstar</t>
        </is>
      </c>
      <c r="F2210" t="inlineStr">
        <is>
          <t>Q2-Target,Lunch Bag,Optimized,WFS,Lunch Bags,SEM,WFS Item</t>
        </is>
      </c>
      <c r="G2210" s="48" t="n">
        <v>0</v>
      </c>
      <c r="H2210" s="49" t="n">
        <v>0</v>
      </c>
      <c r="I2210" s="49" t="n">
        <v>0</v>
      </c>
      <c r="J2210" s="50" t="n">
        <v>0</v>
      </c>
      <c r="K2210" s="51" t="n">
        <v>0</v>
      </c>
      <c r="L2210" s="52" t="n">
        <v>0</v>
      </c>
      <c r="M2210" s="52" t="n">
        <v>0</v>
      </c>
      <c r="N2210" s="52" t="n">
        <v>0</v>
      </c>
      <c r="O2210" s="53" t="n">
        <v>0</v>
      </c>
      <c r="P2210" s="52" t="n">
        <v>0</v>
      </c>
      <c r="Q2210" s="53" t="n">
        <v>0</v>
      </c>
      <c r="R2210" s="52" t="n">
        <v>0</v>
      </c>
      <c r="S2210" s="51" t="n">
        <v>0</v>
      </c>
      <c r="T2210" s="48" t="n">
        <v>0</v>
      </c>
      <c r="U2210" s="49" t="n">
        <v>0</v>
      </c>
      <c r="V2210" s="49" t="n">
        <v>0</v>
      </c>
      <c r="W2210" s="50" t="n">
        <v>0</v>
      </c>
      <c r="X2210" s="51" t="n">
        <v>0</v>
      </c>
      <c r="Y2210" s="52" t="n">
        <v>0</v>
      </c>
      <c r="Z2210" s="52" t="n">
        <v>0</v>
      </c>
      <c r="AA2210" s="52" t="n">
        <v>0</v>
      </c>
      <c r="AB2210" s="53" t="n">
        <v>0</v>
      </c>
      <c r="AC2210" s="52" t="n">
        <v>0</v>
      </c>
      <c r="AD2210" s="53" t="n">
        <v>0</v>
      </c>
      <c r="AE2210" s="52" t="n">
        <v>0</v>
      </c>
      <c r="AF2210" s="51" t="n">
        <v>0</v>
      </c>
      <c r="AG2210" s="48" t="n">
        <v>0</v>
      </c>
      <c r="AH2210" s="49" t="n">
        <v>0</v>
      </c>
      <c r="AI2210" s="49" t="n">
        <v>0</v>
      </c>
      <c r="AJ2210" s="50" t="n">
        <v>0</v>
      </c>
      <c r="AK2210" s="51" t="n">
        <v>0</v>
      </c>
      <c r="AL2210" s="52" t="n">
        <v>0</v>
      </c>
      <c r="AM2210" s="52" t="n">
        <v>0</v>
      </c>
      <c r="AN2210" s="52" t="n">
        <v>0</v>
      </c>
      <c r="AO2210" s="53" t="n">
        <v>0</v>
      </c>
      <c r="AP2210" s="52" t="n">
        <v>0</v>
      </c>
      <c r="AQ2210" s="53" t="n">
        <v>0</v>
      </c>
      <c r="AR2210" s="52" t="n">
        <v>0</v>
      </c>
      <c r="AS2210" s="51" t="n">
        <v>0</v>
      </c>
      <c r="AT2210" s="48" t="n">
        <v>0</v>
      </c>
      <c r="AU2210" s="49" t="n">
        <v>0</v>
      </c>
      <c r="AV2210" s="49" t="n">
        <v>0</v>
      </c>
      <c r="AW2210" s="50" t="n">
        <v>0</v>
      </c>
      <c r="AX2210" s="51" t="n">
        <v>0</v>
      </c>
      <c r="AY2210" s="52" t="n">
        <v>0</v>
      </c>
      <c r="AZ2210" s="52" t="n">
        <v>0</v>
      </c>
      <c r="BA2210" s="52" t="n">
        <v>0</v>
      </c>
      <c r="BB2210" s="53" t="n">
        <v>0</v>
      </c>
      <c r="BC2210" s="52" t="n">
        <v>0</v>
      </c>
      <c r="BD2210" s="53" t="n">
        <v>0</v>
      </c>
      <c r="BE2210" s="52" t="n">
        <v>0</v>
      </c>
      <c r="BF2210" s="51" t="n">
        <v>0</v>
      </c>
    </row>
    <row r="2211">
      <c r="A2211">
        <f>HYPERLINK("https://www.walmart.com/ip/318503537", "318503537")</f>
        <v/>
      </c>
      <c r="B2211" t="inlineStr">
        <is>
          <t>Tirrinia Women's Wide Brim Bucket Hats Breathable Outdoor Beach Gardening Hat One Size Fits All Adult, Pink</t>
        </is>
      </c>
      <c r="C2211" t="inlineStr">
        <is>
          <t>1TRSH9200PK-TBGM</t>
        </is>
      </c>
      <c r="D2211" t="inlineStr">
        <is>
          <t>Hats</t>
        </is>
      </c>
      <c r="E2211" t="inlineStr">
        <is>
          <t>Tirrinia</t>
        </is>
      </c>
      <c r="F2211" t="inlineStr">
        <is>
          <t>Optimized</t>
        </is>
      </c>
      <c r="G2211" s="48" t="n">
        <v>0</v>
      </c>
      <c r="H2211" s="49" t="n">
        <v>0</v>
      </c>
      <c r="I2211" s="49" t="n">
        <v>0</v>
      </c>
      <c r="J2211" s="50" t="n">
        <v>0</v>
      </c>
      <c r="K2211" s="51" t="n">
        <v>0</v>
      </c>
      <c r="L2211" s="52" t="n">
        <v>0</v>
      </c>
      <c r="M2211" s="52" t="n">
        <v>0</v>
      </c>
      <c r="N2211" s="52" t="n">
        <v>0</v>
      </c>
      <c r="O2211" s="53" t="n">
        <v>0</v>
      </c>
      <c r="P2211" s="52" t="n">
        <v>0</v>
      </c>
      <c r="Q2211" s="53" t="n">
        <v>0</v>
      </c>
      <c r="R2211" s="52" t="n">
        <v>0</v>
      </c>
      <c r="S2211" s="51" t="n">
        <v>0</v>
      </c>
      <c r="T2211" s="48" t="n">
        <v>0</v>
      </c>
      <c r="U2211" s="49" t="n">
        <v>0</v>
      </c>
      <c r="V2211" s="49" t="n">
        <v>0</v>
      </c>
      <c r="W2211" s="50" t="n">
        <v>0</v>
      </c>
      <c r="X2211" s="51" t="n">
        <v>0</v>
      </c>
      <c r="Y2211" s="52" t="n">
        <v>0</v>
      </c>
      <c r="Z2211" s="52" t="n">
        <v>0</v>
      </c>
      <c r="AA2211" s="52" t="n">
        <v>0</v>
      </c>
      <c r="AB2211" s="53" t="n">
        <v>0</v>
      </c>
      <c r="AC2211" s="52" t="n">
        <v>0</v>
      </c>
      <c r="AD2211" s="53" t="n">
        <v>0</v>
      </c>
      <c r="AE2211" s="52" t="n">
        <v>0</v>
      </c>
      <c r="AF2211" s="51" t="n">
        <v>0</v>
      </c>
      <c r="AG2211" s="48" t="n">
        <v>0</v>
      </c>
      <c r="AH2211" s="49" t="n">
        <v>0</v>
      </c>
      <c r="AI2211" s="49" t="n">
        <v>0</v>
      </c>
      <c r="AJ2211" s="50" t="n">
        <v>0</v>
      </c>
      <c r="AK2211" s="51" t="n">
        <v>0</v>
      </c>
      <c r="AL2211" s="52" t="n">
        <v>0</v>
      </c>
      <c r="AM2211" s="52" t="n">
        <v>0</v>
      </c>
      <c r="AN2211" s="52" t="n">
        <v>0</v>
      </c>
      <c r="AO2211" s="53" t="n">
        <v>0</v>
      </c>
      <c r="AP2211" s="52" t="n">
        <v>0</v>
      </c>
      <c r="AQ2211" s="53" t="n">
        <v>0</v>
      </c>
      <c r="AR2211" s="52" t="n">
        <v>0</v>
      </c>
      <c r="AS2211" s="51" t="n">
        <v>0</v>
      </c>
      <c r="AT2211" s="48" t="n">
        <v>0</v>
      </c>
      <c r="AU2211" s="49" t="n">
        <v>0</v>
      </c>
      <c r="AV2211" s="49" t="n">
        <v>0</v>
      </c>
      <c r="AW2211" s="50" t="n">
        <v>0</v>
      </c>
      <c r="AX2211" s="51" t="n">
        <v>0</v>
      </c>
      <c r="AY2211" s="52" t="n">
        <v>0</v>
      </c>
      <c r="AZ2211" s="52" t="n">
        <v>0</v>
      </c>
      <c r="BA2211" s="52" t="n">
        <v>0</v>
      </c>
      <c r="BB2211" s="53" t="n">
        <v>0</v>
      </c>
      <c r="BC2211" s="52" t="n">
        <v>0</v>
      </c>
      <c r="BD2211" s="53" t="n">
        <v>0</v>
      </c>
      <c r="BE2211" s="52" t="n">
        <v>0</v>
      </c>
      <c r="BF2211" s="51" t="n">
        <v>0</v>
      </c>
    </row>
    <row r="2212">
      <c r="A2212">
        <f>HYPERLINK("https://www.walmart.com/ip/3188631665", "3188631665")</f>
        <v/>
      </c>
      <c r="B2212" t="inlineStr">
        <is>
          <t>Solaris Wearable Lounging Blanket,Super Soft Warm Cozy Reversible Fuzzy,Extra Soft for Sofa Warm Blanket,Lightweight, Red Plaid.</t>
        </is>
      </c>
      <c r="C2212" t="inlineStr">
        <is>
          <t>1SLSN201PRD</t>
        </is>
      </c>
      <c r="D2212" t="inlineStr">
        <is>
          <t>Throws</t>
        </is>
      </c>
      <c r="E2212" t="inlineStr">
        <is>
          <t>Solaris</t>
        </is>
      </c>
      <c r="G2212" s="48" t="n">
        <v>0</v>
      </c>
      <c r="H2212" s="49" t="n">
        <v>0</v>
      </c>
      <c r="I2212" s="49" t="n">
        <v>0</v>
      </c>
      <c r="J2212" s="50" t="n">
        <v>0</v>
      </c>
      <c r="K2212" s="51" t="n">
        <v>0</v>
      </c>
      <c r="L2212" s="52" t="n">
        <v>0</v>
      </c>
      <c r="M2212" s="52" t="n">
        <v>0</v>
      </c>
      <c r="N2212" s="52" t="n">
        <v>0</v>
      </c>
      <c r="O2212" s="53" t="n">
        <v>0</v>
      </c>
      <c r="P2212" s="52" t="n">
        <v>0</v>
      </c>
      <c r="Q2212" s="53" t="n">
        <v>0</v>
      </c>
      <c r="R2212" s="52" t="n">
        <v>0</v>
      </c>
      <c r="S2212" s="51" t="n">
        <v>0</v>
      </c>
      <c r="T2212" s="48" t="n">
        <v>0</v>
      </c>
      <c r="U2212" s="49" t="n">
        <v>0</v>
      </c>
      <c r="V2212" s="49" t="n">
        <v>0</v>
      </c>
      <c r="W2212" s="50" t="n">
        <v>0</v>
      </c>
      <c r="X2212" s="51" t="n">
        <v>0</v>
      </c>
      <c r="Y2212" s="52" t="n">
        <v>0</v>
      </c>
      <c r="Z2212" s="52" t="n">
        <v>0</v>
      </c>
      <c r="AA2212" s="52" t="n">
        <v>0</v>
      </c>
      <c r="AB2212" s="53" t="n">
        <v>0</v>
      </c>
      <c r="AC2212" s="52" t="n">
        <v>0</v>
      </c>
      <c r="AD2212" s="53" t="n">
        <v>0</v>
      </c>
      <c r="AE2212" s="52" t="n">
        <v>0</v>
      </c>
      <c r="AF2212" s="51" t="n">
        <v>0</v>
      </c>
      <c r="AG2212" s="48" t="n">
        <v>0</v>
      </c>
      <c r="AH2212" s="49" t="n">
        <v>0</v>
      </c>
      <c r="AI2212" s="49" t="n">
        <v>0</v>
      </c>
      <c r="AJ2212" s="50" t="n">
        <v>0</v>
      </c>
      <c r="AK2212" s="51" t="n">
        <v>0</v>
      </c>
      <c r="AL2212" s="52" t="n">
        <v>0</v>
      </c>
      <c r="AM2212" s="52" t="n">
        <v>0</v>
      </c>
      <c r="AN2212" s="52" t="n">
        <v>0</v>
      </c>
      <c r="AO2212" s="53" t="n">
        <v>0</v>
      </c>
      <c r="AP2212" s="52" t="n">
        <v>0</v>
      </c>
      <c r="AQ2212" s="53" t="n">
        <v>0</v>
      </c>
      <c r="AR2212" s="52" t="n">
        <v>0</v>
      </c>
      <c r="AS2212" s="51" t="n">
        <v>0</v>
      </c>
      <c r="AT2212" s="48" t="n">
        <v>0</v>
      </c>
      <c r="AU2212" s="49" t="n">
        <v>0</v>
      </c>
      <c r="AV2212" s="49" t="n">
        <v>0</v>
      </c>
      <c r="AW2212" s="50" t="n">
        <v>0</v>
      </c>
      <c r="AX2212" s="51" t="n">
        <v>0</v>
      </c>
      <c r="AY2212" s="52" t="n">
        <v>0</v>
      </c>
      <c r="AZ2212" s="52" t="n">
        <v>0</v>
      </c>
      <c r="BA2212" s="52" t="n">
        <v>0</v>
      </c>
      <c r="BB2212" s="53" t="n">
        <v>0</v>
      </c>
      <c r="BC2212" s="52" t="n">
        <v>0</v>
      </c>
      <c r="BD2212" s="53" t="n">
        <v>0</v>
      </c>
      <c r="BE2212" s="52" t="n">
        <v>0</v>
      </c>
      <c r="BF2212" s="51" t="n">
        <v>0</v>
      </c>
    </row>
    <row r="2213">
      <c r="A2213">
        <f>HYPERLINK("https://www.walmart.com/ip/206246680", "206246680")</f>
        <v/>
      </c>
      <c r="B2213" t="inlineStr">
        <is>
          <t>Catalonia Sherpa Throws Blanket,Reversible Match Color Super Soft Fuzzy Comfy Micro Plush Fleece Snuggle Blanket All Season for TV Bed or Couch 50" x 60" Mocha</t>
        </is>
      </c>
      <c r="C2213" t="inlineStr">
        <is>
          <t>1CTBF301MK</t>
        </is>
      </c>
      <c r="D2213" t="inlineStr">
        <is>
          <t>Throws</t>
        </is>
      </c>
      <c r="E2213" t="inlineStr">
        <is>
          <t>Catalonia</t>
        </is>
      </c>
      <c r="F2213" t="inlineStr">
        <is>
          <t>Optimized</t>
        </is>
      </c>
      <c r="G2213" s="48" t="n">
        <v>0</v>
      </c>
      <c r="H2213" s="49" t="n">
        <v>0</v>
      </c>
      <c r="I2213" s="49" t="n">
        <v>0</v>
      </c>
      <c r="J2213" s="50" t="n">
        <v>0</v>
      </c>
      <c r="K2213" s="51" t="n">
        <v>0</v>
      </c>
      <c r="L2213" s="52" t="n">
        <v>0</v>
      </c>
      <c r="M2213" s="52" t="n">
        <v>0</v>
      </c>
      <c r="N2213" s="52" t="n">
        <v>0</v>
      </c>
      <c r="O2213" s="53" t="n">
        <v>0</v>
      </c>
      <c r="P2213" s="52" t="n">
        <v>0</v>
      </c>
      <c r="Q2213" s="53" t="n">
        <v>0</v>
      </c>
      <c r="R2213" s="52" t="n">
        <v>0</v>
      </c>
      <c r="S2213" s="51" t="n">
        <v>0</v>
      </c>
      <c r="T2213" s="48" t="n">
        <v>0</v>
      </c>
      <c r="U2213" s="49" t="n">
        <v>0</v>
      </c>
      <c r="V2213" s="49" t="n">
        <v>0</v>
      </c>
      <c r="W2213" s="50" t="n">
        <v>0</v>
      </c>
      <c r="X2213" s="51" t="n">
        <v>0</v>
      </c>
      <c r="Y2213" s="52" t="n">
        <v>0</v>
      </c>
      <c r="Z2213" s="52" t="n">
        <v>0</v>
      </c>
      <c r="AA2213" s="52" t="n">
        <v>0</v>
      </c>
      <c r="AB2213" s="53" t="n">
        <v>0</v>
      </c>
      <c r="AC2213" s="52" t="n">
        <v>0</v>
      </c>
      <c r="AD2213" s="53" t="n">
        <v>0</v>
      </c>
      <c r="AE2213" s="52" t="n">
        <v>0</v>
      </c>
      <c r="AF2213" s="51" t="n">
        <v>0</v>
      </c>
      <c r="AG2213" s="48" t="n">
        <v>0</v>
      </c>
      <c r="AH2213" s="49" t="n">
        <v>0</v>
      </c>
      <c r="AI2213" s="49" t="n">
        <v>0</v>
      </c>
      <c r="AJ2213" s="50" t="n">
        <v>0</v>
      </c>
      <c r="AK2213" s="51" t="n">
        <v>0</v>
      </c>
      <c r="AL2213" s="52" t="n">
        <v>0</v>
      </c>
      <c r="AM2213" s="52" t="n">
        <v>0</v>
      </c>
      <c r="AN2213" s="52" t="n">
        <v>0</v>
      </c>
      <c r="AO2213" s="53" t="n">
        <v>0</v>
      </c>
      <c r="AP2213" s="52" t="n">
        <v>0</v>
      </c>
      <c r="AQ2213" s="53" t="n">
        <v>0</v>
      </c>
      <c r="AR2213" s="52" t="n">
        <v>0</v>
      </c>
      <c r="AS2213" s="51" t="n">
        <v>0</v>
      </c>
      <c r="AT2213" s="48" t="n">
        <v>0</v>
      </c>
      <c r="AU2213" s="49" t="n">
        <v>0</v>
      </c>
      <c r="AV2213" s="49" t="n">
        <v>0</v>
      </c>
      <c r="AW2213" s="50" t="n">
        <v>0</v>
      </c>
      <c r="AX2213" s="51" t="n">
        <v>0</v>
      </c>
      <c r="AY2213" s="52" t="n">
        <v>0</v>
      </c>
      <c r="AZ2213" s="52" t="n">
        <v>0</v>
      </c>
      <c r="BA2213" s="52" t="n">
        <v>0</v>
      </c>
      <c r="BB2213" s="53" t="n">
        <v>0</v>
      </c>
      <c r="BC2213" s="52" t="n">
        <v>0</v>
      </c>
      <c r="BD2213" s="53" t="n">
        <v>0</v>
      </c>
      <c r="BE2213" s="52" t="n">
        <v>0</v>
      </c>
      <c r="BF2213" s="51" t="n">
        <v>0</v>
      </c>
    </row>
    <row r="2214">
      <c r="A2214">
        <f>HYPERLINK("https://www.walmart.com/ip/206726785", "206726785")</f>
        <v/>
      </c>
      <c r="B2214" t="inlineStr">
        <is>
          <t>Tirrinia Snowflake Sherpa Throw Blanket 50" x 60", Super Soft Fluffy Sherpa Throw TV Blanket Decorative Blanket for Bed Couch Holidays | Catalonia series | Beige</t>
        </is>
      </c>
      <c r="C2214" t="inlineStr">
        <is>
          <t>1TRBF390BG-TBCB</t>
        </is>
      </c>
      <c r="D2214" t="inlineStr">
        <is>
          <t>Throws</t>
        </is>
      </c>
      <c r="E2214" t="inlineStr">
        <is>
          <t>Tirrinia</t>
        </is>
      </c>
      <c r="F2214" t="inlineStr">
        <is>
          <t>Batch 1 - TR</t>
        </is>
      </c>
      <c r="G2214" s="48" t="n">
        <v>0</v>
      </c>
      <c r="H2214" s="49" t="n">
        <v>0</v>
      </c>
      <c r="I2214" s="49" t="n">
        <v>0</v>
      </c>
      <c r="J2214" s="50" t="n">
        <v>0</v>
      </c>
      <c r="K2214" s="51" t="n">
        <v>0</v>
      </c>
      <c r="L2214" s="52" t="n">
        <v>0</v>
      </c>
      <c r="M2214" s="52" t="n">
        <v>0</v>
      </c>
      <c r="N2214" s="52" t="n">
        <v>0</v>
      </c>
      <c r="O2214" s="53" t="n">
        <v>0</v>
      </c>
      <c r="P2214" s="52" t="n">
        <v>0</v>
      </c>
      <c r="Q2214" s="53" t="n">
        <v>0</v>
      </c>
      <c r="R2214" s="52" t="n">
        <v>0</v>
      </c>
      <c r="S2214" s="51" t="n">
        <v>0</v>
      </c>
      <c r="T2214" s="48" t="n">
        <v>0</v>
      </c>
      <c r="U2214" s="49" t="n">
        <v>0</v>
      </c>
      <c r="V2214" s="49" t="n">
        <v>0</v>
      </c>
      <c r="W2214" s="50" t="n">
        <v>0</v>
      </c>
      <c r="X2214" s="51" t="n">
        <v>0</v>
      </c>
      <c r="Y2214" s="52" t="n">
        <v>0</v>
      </c>
      <c r="Z2214" s="52" t="n">
        <v>0</v>
      </c>
      <c r="AA2214" s="52" t="n">
        <v>0</v>
      </c>
      <c r="AB2214" s="53" t="n">
        <v>0</v>
      </c>
      <c r="AC2214" s="52" t="n">
        <v>0</v>
      </c>
      <c r="AD2214" s="53" t="n">
        <v>0</v>
      </c>
      <c r="AE2214" s="52" t="n">
        <v>0</v>
      </c>
      <c r="AF2214" s="51" t="n">
        <v>0</v>
      </c>
      <c r="AG2214" s="48" t="n">
        <v>0</v>
      </c>
      <c r="AH2214" s="49" t="n">
        <v>0</v>
      </c>
      <c r="AI2214" s="49" t="n">
        <v>0</v>
      </c>
      <c r="AJ2214" s="50" t="n">
        <v>0</v>
      </c>
      <c r="AK2214" s="51" t="n">
        <v>0</v>
      </c>
      <c r="AL2214" s="52" t="n">
        <v>0</v>
      </c>
      <c r="AM2214" s="52" t="n">
        <v>0</v>
      </c>
      <c r="AN2214" s="52" t="n">
        <v>0</v>
      </c>
      <c r="AO2214" s="53" t="n">
        <v>0</v>
      </c>
      <c r="AP2214" s="52" t="n">
        <v>0</v>
      </c>
      <c r="AQ2214" s="53" t="n">
        <v>0</v>
      </c>
      <c r="AR2214" s="52" t="n">
        <v>0</v>
      </c>
      <c r="AS2214" s="51" t="n">
        <v>0</v>
      </c>
      <c r="AT2214" s="48" t="n">
        <v>0</v>
      </c>
      <c r="AU2214" s="49" t="n">
        <v>0</v>
      </c>
      <c r="AV2214" s="49" t="n">
        <v>0</v>
      </c>
      <c r="AW2214" s="50" t="n">
        <v>0</v>
      </c>
      <c r="AX2214" s="51" t="n">
        <v>0</v>
      </c>
      <c r="AY2214" s="52" t="n">
        <v>0</v>
      </c>
      <c r="AZ2214" s="52" t="n">
        <v>0</v>
      </c>
      <c r="BA2214" s="52" t="n">
        <v>0</v>
      </c>
      <c r="BB2214" s="53" t="n">
        <v>0</v>
      </c>
      <c r="BC2214" s="52" t="n">
        <v>0</v>
      </c>
      <c r="BD2214" s="53" t="n">
        <v>0</v>
      </c>
      <c r="BE2214" s="52" t="n">
        <v>0</v>
      </c>
      <c r="BF2214" s="51" t="n">
        <v>0</v>
      </c>
    </row>
    <row r="2215">
      <c r="A2215">
        <f>HYPERLINK("https://www.walmart.com/ip/2059483253", "2059483253")</f>
        <v/>
      </c>
      <c r="B2215" t="inlineStr">
        <is>
          <t>Medium Pet Travel Backpack Carrier for Dogs Cat Animal Puppy, Breathable Mesh Net Removable Sherpa Bed Outdoor Carrier f</t>
        </is>
      </c>
      <c r="C2215" t="inlineStr">
        <is>
          <t>1TRPB200GN</t>
        </is>
      </c>
      <c r="D2215" t="inlineStr">
        <is>
          <t>Pet Carriers</t>
        </is>
      </c>
      <c r="E2215" t="inlineStr">
        <is>
          <t>Kato</t>
        </is>
      </c>
      <c r="G2215" s="48" t="n">
        <v>0</v>
      </c>
      <c r="H2215" s="49" t="n">
        <v>0</v>
      </c>
      <c r="I2215" s="49" t="n">
        <v>0</v>
      </c>
      <c r="J2215" s="50" t="n">
        <v>0</v>
      </c>
      <c r="K2215" s="51" t="n">
        <v>0</v>
      </c>
      <c r="L2215" s="52" t="n">
        <v>0</v>
      </c>
      <c r="M2215" s="52" t="n">
        <v>0</v>
      </c>
      <c r="N2215" s="52" t="n">
        <v>0</v>
      </c>
      <c r="O2215" s="53" t="n">
        <v>0</v>
      </c>
      <c r="P2215" s="52" t="n">
        <v>0</v>
      </c>
      <c r="Q2215" s="53" t="n">
        <v>0</v>
      </c>
      <c r="R2215" s="52" t="n">
        <v>0</v>
      </c>
      <c r="S2215" s="51" t="n">
        <v>0</v>
      </c>
      <c r="T2215" s="48" t="n">
        <v>0</v>
      </c>
      <c r="U2215" s="49" t="n">
        <v>0</v>
      </c>
      <c r="V2215" s="49" t="n">
        <v>0</v>
      </c>
      <c r="W2215" s="50" t="n">
        <v>0</v>
      </c>
      <c r="X2215" s="51" t="n">
        <v>0</v>
      </c>
      <c r="Y2215" s="52" t="n">
        <v>0</v>
      </c>
      <c r="Z2215" s="52" t="n">
        <v>0</v>
      </c>
      <c r="AA2215" s="52" t="n">
        <v>0</v>
      </c>
      <c r="AB2215" s="53" t="n">
        <v>0</v>
      </c>
      <c r="AC2215" s="52" t="n">
        <v>0</v>
      </c>
      <c r="AD2215" s="53" t="n">
        <v>0</v>
      </c>
      <c r="AE2215" s="52" t="n">
        <v>0</v>
      </c>
      <c r="AF2215" s="51" t="n">
        <v>0</v>
      </c>
      <c r="AG2215" s="48" t="n">
        <v>0</v>
      </c>
      <c r="AH2215" s="49" t="n">
        <v>0</v>
      </c>
      <c r="AI2215" s="49" t="n">
        <v>0</v>
      </c>
      <c r="AJ2215" s="50" t="n">
        <v>0</v>
      </c>
      <c r="AK2215" s="51" t="n">
        <v>0</v>
      </c>
      <c r="AL2215" s="52" t="n">
        <v>0</v>
      </c>
      <c r="AM2215" s="52" t="n">
        <v>0</v>
      </c>
      <c r="AN2215" s="52" t="n">
        <v>0</v>
      </c>
      <c r="AO2215" s="53" t="n">
        <v>0</v>
      </c>
      <c r="AP2215" s="52" t="n">
        <v>0</v>
      </c>
      <c r="AQ2215" s="53" t="n">
        <v>0</v>
      </c>
      <c r="AR2215" s="52" t="n">
        <v>0</v>
      </c>
      <c r="AS2215" s="51" t="n">
        <v>0</v>
      </c>
      <c r="AT2215" s="48" t="n">
        <v>0</v>
      </c>
      <c r="AU2215" s="49" t="n">
        <v>0</v>
      </c>
      <c r="AV2215" s="49" t="n">
        <v>0</v>
      </c>
      <c r="AW2215" s="50" t="n">
        <v>0</v>
      </c>
      <c r="AX2215" s="51" t="n">
        <v>0</v>
      </c>
      <c r="AY2215" s="52" t="n">
        <v>0</v>
      </c>
      <c r="AZ2215" s="52" t="n">
        <v>0</v>
      </c>
      <c r="BA2215" s="52" t="n">
        <v>0</v>
      </c>
      <c r="BB2215" s="53" t="n">
        <v>0</v>
      </c>
      <c r="BC2215" s="52" t="n">
        <v>0</v>
      </c>
      <c r="BD2215" s="53" t="n">
        <v>0</v>
      </c>
      <c r="BE2215" s="52" t="n">
        <v>0</v>
      </c>
      <c r="BF2215" s="51" t="n">
        <v>0</v>
      </c>
    </row>
    <row r="2216">
      <c r="A2216">
        <f>HYPERLINK("https://www.walmart.com/ip/170058758", "170058758")</f>
        <v/>
      </c>
      <c r="B2216" t="inlineStr">
        <is>
          <t>JenniWears® Women's Kimono Lace Lingerie Sleepwear Matching Cheeky Panty</t>
        </is>
      </c>
      <c r="C2216" t="inlineStr">
        <is>
          <t>JWRS01BL-XL</t>
        </is>
      </c>
      <c r="D2216" t="inlineStr">
        <is>
          <t>Lingerie Sets</t>
        </is>
      </c>
      <c r="E2216" t="inlineStr">
        <is>
          <t>JenniWears</t>
        </is>
      </c>
      <c r="F2216" t="inlineStr">
        <is>
          <t>Optimized,Valentine</t>
        </is>
      </c>
      <c r="G2216" s="48" t="n">
        <v>0</v>
      </c>
      <c r="H2216" s="49" t="n">
        <v>0</v>
      </c>
      <c r="I2216" s="49" t="n">
        <v>0</v>
      </c>
      <c r="J2216" s="50" t="n">
        <v>0</v>
      </c>
      <c r="K2216" s="51" t="n">
        <v>0</v>
      </c>
      <c r="L2216" s="52" t="n">
        <v>0</v>
      </c>
      <c r="M2216" s="52" t="n">
        <v>0</v>
      </c>
      <c r="N2216" s="52" t="n">
        <v>0</v>
      </c>
      <c r="O2216" s="53" t="n">
        <v>0</v>
      </c>
      <c r="P2216" s="52" t="n">
        <v>0</v>
      </c>
      <c r="Q2216" s="53" t="n">
        <v>0</v>
      </c>
      <c r="R2216" s="52" t="n">
        <v>0</v>
      </c>
      <c r="S2216" s="51" t="n">
        <v>0</v>
      </c>
      <c r="T2216" s="48" t="n">
        <v>0</v>
      </c>
      <c r="U2216" s="49" t="n">
        <v>0</v>
      </c>
      <c r="V2216" s="49" t="n">
        <v>0</v>
      </c>
      <c r="W2216" s="50" t="n">
        <v>0</v>
      </c>
      <c r="X2216" s="51" t="n">
        <v>0</v>
      </c>
      <c r="Y2216" s="52" t="n">
        <v>0</v>
      </c>
      <c r="Z2216" s="52" t="n">
        <v>0</v>
      </c>
      <c r="AA2216" s="52" t="n">
        <v>0</v>
      </c>
      <c r="AB2216" s="53" t="n">
        <v>0</v>
      </c>
      <c r="AC2216" s="52" t="n">
        <v>0</v>
      </c>
      <c r="AD2216" s="53" t="n">
        <v>0</v>
      </c>
      <c r="AE2216" s="52" t="n">
        <v>0</v>
      </c>
      <c r="AF2216" s="51" t="n">
        <v>0</v>
      </c>
      <c r="AG2216" s="48" t="n">
        <v>0</v>
      </c>
      <c r="AH2216" s="49" t="n">
        <v>0</v>
      </c>
      <c r="AI2216" s="49" t="n">
        <v>0</v>
      </c>
      <c r="AJ2216" s="50" t="n">
        <v>0</v>
      </c>
      <c r="AK2216" s="51" t="n">
        <v>0</v>
      </c>
      <c r="AL2216" s="52" t="n">
        <v>0</v>
      </c>
      <c r="AM2216" s="52" t="n">
        <v>0</v>
      </c>
      <c r="AN2216" s="52" t="n">
        <v>0</v>
      </c>
      <c r="AO2216" s="53" t="n">
        <v>0</v>
      </c>
      <c r="AP2216" s="52" t="n">
        <v>0</v>
      </c>
      <c r="AQ2216" s="53" t="n">
        <v>0</v>
      </c>
      <c r="AR2216" s="52" t="n">
        <v>0</v>
      </c>
      <c r="AS2216" s="51" t="n">
        <v>0</v>
      </c>
      <c r="AT2216" s="48" t="n">
        <v>0</v>
      </c>
      <c r="AU2216" s="49" t="n">
        <v>0</v>
      </c>
      <c r="AV2216" s="49" t="n">
        <v>0</v>
      </c>
      <c r="AW2216" s="50" t="n">
        <v>0</v>
      </c>
      <c r="AX2216" s="51" t="n">
        <v>0</v>
      </c>
      <c r="AY2216" s="52" t="n">
        <v>0</v>
      </c>
      <c r="AZ2216" s="52" t="n">
        <v>0</v>
      </c>
      <c r="BA2216" s="52" t="n">
        <v>0</v>
      </c>
      <c r="BB2216" s="53" t="n">
        <v>0</v>
      </c>
      <c r="BC2216" s="52" t="n">
        <v>0</v>
      </c>
      <c r="BD2216" s="53" t="n">
        <v>0</v>
      </c>
      <c r="BE2216" s="52" t="n">
        <v>0</v>
      </c>
      <c r="BF2216" s="51" t="n">
        <v>0</v>
      </c>
    </row>
    <row r="2217">
      <c r="A2217">
        <f>HYPERLINK("https://www.walmart.com/ip/170177832", "170177832")</f>
        <v/>
      </c>
      <c r="B2217" t="inlineStr">
        <is>
          <t>KC Caps® Unisex Cotton Baseball Cap Adjustable Plain Hat (21 Styles/Colors)</t>
        </is>
      </c>
      <c r="C2217" t="inlineStr">
        <is>
          <t>KC8010WNGN</t>
        </is>
      </c>
      <c r="D2217" t="inlineStr">
        <is>
          <t>Hats</t>
        </is>
      </c>
      <c r="E2217" t="inlineStr">
        <is>
          <t>KC Caps</t>
        </is>
      </c>
      <c r="F2217" t="inlineStr">
        <is>
          <t>Optimized</t>
        </is>
      </c>
      <c r="G2217" s="48" t="n">
        <v>0</v>
      </c>
      <c r="H2217" s="49" t="n">
        <v>0</v>
      </c>
      <c r="I2217" s="49" t="n">
        <v>0</v>
      </c>
      <c r="J2217" s="50" t="n">
        <v>0</v>
      </c>
      <c r="K2217" s="51" t="n">
        <v>0</v>
      </c>
      <c r="L2217" s="52" t="n">
        <v>0</v>
      </c>
      <c r="M2217" s="52" t="n">
        <v>0</v>
      </c>
      <c r="N2217" s="52" t="n">
        <v>0</v>
      </c>
      <c r="O2217" s="53" t="n">
        <v>0</v>
      </c>
      <c r="P2217" s="52" t="n">
        <v>0</v>
      </c>
      <c r="Q2217" s="53" t="n">
        <v>0</v>
      </c>
      <c r="R2217" s="52" t="n">
        <v>0</v>
      </c>
      <c r="S2217" s="51" t="n">
        <v>0</v>
      </c>
      <c r="T2217" s="48" t="n">
        <v>0</v>
      </c>
      <c r="U2217" s="49" t="n">
        <v>0</v>
      </c>
      <c r="V2217" s="49" t="n">
        <v>0</v>
      </c>
      <c r="W2217" s="50" t="n">
        <v>0</v>
      </c>
      <c r="X2217" s="51" t="n">
        <v>0</v>
      </c>
      <c r="Y2217" s="52" t="n">
        <v>0</v>
      </c>
      <c r="Z2217" s="52" t="n">
        <v>0</v>
      </c>
      <c r="AA2217" s="52" t="n">
        <v>0</v>
      </c>
      <c r="AB2217" s="53" t="n">
        <v>0</v>
      </c>
      <c r="AC2217" s="52" t="n">
        <v>0</v>
      </c>
      <c r="AD2217" s="53" t="n">
        <v>0</v>
      </c>
      <c r="AE2217" s="52" t="n">
        <v>0</v>
      </c>
      <c r="AF2217" s="51" t="n">
        <v>0</v>
      </c>
      <c r="AG2217" s="48" t="n">
        <v>0</v>
      </c>
      <c r="AH2217" s="49" t="n">
        <v>0</v>
      </c>
      <c r="AI2217" s="49" t="n">
        <v>0</v>
      </c>
      <c r="AJ2217" s="50" t="n">
        <v>0</v>
      </c>
      <c r="AK2217" s="51" t="n">
        <v>0</v>
      </c>
      <c r="AL2217" s="52" t="n">
        <v>0</v>
      </c>
      <c r="AM2217" s="52" t="n">
        <v>0</v>
      </c>
      <c r="AN2217" s="52" t="n">
        <v>0</v>
      </c>
      <c r="AO2217" s="53" t="n">
        <v>0</v>
      </c>
      <c r="AP2217" s="52" t="n">
        <v>0</v>
      </c>
      <c r="AQ2217" s="53" t="n">
        <v>0</v>
      </c>
      <c r="AR2217" s="52" t="n">
        <v>0</v>
      </c>
      <c r="AS2217" s="51" t="n">
        <v>0</v>
      </c>
      <c r="AT2217" s="48" t="n">
        <v>0</v>
      </c>
      <c r="AU2217" s="49" t="n">
        <v>0</v>
      </c>
      <c r="AV2217" s="49" t="n">
        <v>0</v>
      </c>
      <c r="AW2217" s="50" t="n">
        <v>0</v>
      </c>
      <c r="AX2217" s="51" t="n">
        <v>0</v>
      </c>
      <c r="AY2217" s="52" t="n">
        <v>0</v>
      </c>
      <c r="AZ2217" s="52" t="n">
        <v>0</v>
      </c>
      <c r="BA2217" s="52" t="n">
        <v>0</v>
      </c>
      <c r="BB2217" s="53" t="n">
        <v>0</v>
      </c>
      <c r="BC2217" s="52" t="n">
        <v>0</v>
      </c>
      <c r="BD2217" s="53" t="n">
        <v>0</v>
      </c>
      <c r="BE2217" s="52" t="n">
        <v>0</v>
      </c>
      <c r="BF2217" s="51" t="n">
        <v>0</v>
      </c>
    </row>
    <row r="2218">
      <c r="A2218">
        <f>HYPERLINK("https://www.walmart.com/ip/1702988723", "1702988723")</f>
        <v/>
      </c>
      <c r="B2218" t="inlineStr">
        <is>
          <t>Tirrinia Insulated Cooler Toto Lunch Bag, Thermos Organizer Container, Pink Watermelon, 8.5" x 4" x 9.5"</t>
        </is>
      </c>
      <c r="C2218" t="inlineStr">
        <is>
          <t>1TRLB100PKMEL</t>
        </is>
      </c>
      <c r="D2218" t="inlineStr">
        <is>
          <t>Reusable Lunch Bags &amp; Boxes</t>
        </is>
      </c>
      <c r="E2218" t="inlineStr">
        <is>
          <t>Tirrinia</t>
        </is>
      </c>
      <c r="F2218" t="inlineStr">
        <is>
          <t>Q2-Target,SEM</t>
        </is>
      </c>
      <c r="G2218" s="48" t="n">
        <v>0</v>
      </c>
      <c r="H2218" s="49" t="n">
        <v>0</v>
      </c>
      <c r="I2218" s="49" t="n">
        <v>0</v>
      </c>
      <c r="J2218" s="50" t="n">
        <v>0</v>
      </c>
      <c r="K2218" s="51" t="n">
        <v>0</v>
      </c>
      <c r="L2218" s="52" t="n">
        <v>0</v>
      </c>
      <c r="M2218" s="52" t="n">
        <v>0</v>
      </c>
      <c r="N2218" s="52" t="n">
        <v>0</v>
      </c>
      <c r="O2218" s="53" t="n">
        <v>0</v>
      </c>
      <c r="P2218" s="52" t="n">
        <v>0</v>
      </c>
      <c r="Q2218" s="53" t="n">
        <v>0</v>
      </c>
      <c r="R2218" s="52" t="n">
        <v>0</v>
      </c>
      <c r="S2218" s="51" t="n">
        <v>0</v>
      </c>
      <c r="T2218" s="48" t="n">
        <v>0</v>
      </c>
      <c r="U2218" s="49" t="n">
        <v>0</v>
      </c>
      <c r="V2218" s="49" t="n">
        <v>0</v>
      </c>
      <c r="W2218" s="50" t="n">
        <v>0</v>
      </c>
      <c r="X2218" s="51" t="n">
        <v>0</v>
      </c>
      <c r="Y2218" s="52" t="n">
        <v>0</v>
      </c>
      <c r="Z2218" s="52" t="n">
        <v>0</v>
      </c>
      <c r="AA2218" s="52" t="n">
        <v>0</v>
      </c>
      <c r="AB2218" s="53" t="n">
        <v>0</v>
      </c>
      <c r="AC2218" s="52" t="n">
        <v>0</v>
      </c>
      <c r="AD2218" s="53" t="n">
        <v>0</v>
      </c>
      <c r="AE2218" s="52" t="n">
        <v>0</v>
      </c>
      <c r="AF2218" s="51" t="n">
        <v>0</v>
      </c>
      <c r="AG2218" s="48" t="n">
        <v>0</v>
      </c>
      <c r="AH2218" s="49" t="n">
        <v>0</v>
      </c>
      <c r="AI2218" s="49" t="n">
        <v>0</v>
      </c>
      <c r="AJ2218" s="50" t="n">
        <v>0</v>
      </c>
      <c r="AK2218" s="51" t="n">
        <v>0</v>
      </c>
      <c r="AL2218" s="52" t="n">
        <v>0</v>
      </c>
      <c r="AM2218" s="52" t="n">
        <v>0</v>
      </c>
      <c r="AN2218" s="52" t="n">
        <v>0</v>
      </c>
      <c r="AO2218" s="53" t="n">
        <v>0</v>
      </c>
      <c r="AP2218" s="52" t="n">
        <v>0</v>
      </c>
      <c r="AQ2218" s="53" t="n">
        <v>0</v>
      </c>
      <c r="AR2218" s="52" t="n">
        <v>0</v>
      </c>
      <c r="AS2218" s="51" t="n">
        <v>0</v>
      </c>
      <c r="AT2218" s="48" t="n">
        <v>0</v>
      </c>
      <c r="AU2218" s="49" t="n">
        <v>0</v>
      </c>
      <c r="AV2218" s="49" t="n">
        <v>0</v>
      </c>
      <c r="AW2218" s="50" t="n">
        <v>0</v>
      </c>
      <c r="AX2218" s="51" t="n">
        <v>0</v>
      </c>
      <c r="AY2218" s="52" t="n">
        <v>0</v>
      </c>
      <c r="AZ2218" s="52" t="n">
        <v>0</v>
      </c>
      <c r="BA2218" s="52" t="n">
        <v>0</v>
      </c>
      <c r="BB2218" s="53" t="n">
        <v>0</v>
      </c>
      <c r="BC2218" s="52" t="n">
        <v>0</v>
      </c>
      <c r="BD2218" s="53" t="n">
        <v>0</v>
      </c>
      <c r="BE2218" s="52" t="n">
        <v>0</v>
      </c>
      <c r="BF2218" s="51" t="n">
        <v>0</v>
      </c>
    </row>
    <row r="2219">
      <c r="A2219">
        <f>HYPERLINK("https://www.walmart.com/ip/1703428017", "1703428017")</f>
        <v/>
      </c>
      <c r="B2219" t="inlineStr">
        <is>
          <t>Catalonia All Season Knitted Acrylic Throw Blanket Cozy Leisure Lightweight Decorative Blanket with Fringe for Bed,Couch,Living Room,Machine Washable,50×60 Inches, Pink</t>
        </is>
      </c>
      <c r="C2219" t="inlineStr">
        <is>
          <t>1CTBN510PK</t>
        </is>
      </c>
      <c r="D2219" t="inlineStr">
        <is>
          <t>Throws</t>
        </is>
      </c>
      <c r="E2219" t="inlineStr">
        <is>
          <t>Catalonia</t>
        </is>
      </c>
      <c r="F2219" t="inlineStr">
        <is>
          <t>Batch 1 - TR</t>
        </is>
      </c>
      <c r="G2219" s="48" t="n">
        <v>0</v>
      </c>
      <c r="H2219" s="49" t="n">
        <v>0</v>
      </c>
      <c r="I2219" s="49" t="n">
        <v>0</v>
      </c>
      <c r="J2219" s="50" t="n">
        <v>0</v>
      </c>
      <c r="K2219" s="51" t="n">
        <v>0</v>
      </c>
      <c r="L2219" s="52" t="n">
        <v>0</v>
      </c>
      <c r="M2219" s="52" t="n">
        <v>0</v>
      </c>
      <c r="N2219" s="52" t="n">
        <v>0</v>
      </c>
      <c r="O2219" s="53" t="n">
        <v>0</v>
      </c>
      <c r="P2219" s="52" t="n">
        <v>0</v>
      </c>
      <c r="Q2219" s="53" t="n">
        <v>0</v>
      </c>
      <c r="R2219" s="52" t="n">
        <v>0</v>
      </c>
      <c r="S2219" s="51" t="n">
        <v>0</v>
      </c>
      <c r="T2219" s="48" t="n">
        <v>0</v>
      </c>
      <c r="U2219" s="49" t="n">
        <v>0</v>
      </c>
      <c r="V2219" s="49" t="n">
        <v>0</v>
      </c>
      <c r="W2219" s="50" t="n">
        <v>0</v>
      </c>
      <c r="X2219" s="51" t="n">
        <v>0</v>
      </c>
      <c r="Y2219" s="52" t="n">
        <v>0</v>
      </c>
      <c r="Z2219" s="52" t="n">
        <v>0</v>
      </c>
      <c r="AA2219" s="52" t="n">
        <v>0</v>
      </c>
      <c r="AB2219" s="53" t="n">
        <v>0</v>
      </c>
      <c r="AC2219" s="52" t="n">
        <v>0</v>
      </c>
      <c r="AD2219" s="53" t="n">
        <v>0</v>
      </c>
      <c r="AE2219" s="52" t="n">
        <v>0</v>
      </c>
      <c r="AF2219" s="51" t="n">
        <v>0</v>
      </c>
      <c r="AG2219" s="48" t="n">
        <v>0</v>
      </c>
      <c r="AH2219" s="49" t="n">
        <v>0</v>
      </c>
      <c r="AI2219" s="49" t="n">
        <v>0</v>
      </c>
      <c r="AJ2219" s="50" t="n">
        <v>0</v>
      </c>
      <c r="AK2219" s="51" t="n">
        <v>0</v>
      </c>
      <c r="AL2219" s="52" t="n">
        <v>0</v>
      </c>
      <c r="AM2219" s="52" t="n">
        <v>0</v>
      </c>
      <c r="AN2219" s="52" t="n">
        <v>0</v>
      </c>
      <c r="AO2219" s="53" t="n">
        <v>0</v>
      </c>
      <c r="AP2219" s="52" t="n">
        <v>0</v>
      </c>
      <c r="AQ2219" s="53" t="n">
        <v>0</v>
      </c>
      <c r="AR2219" s="52" t="n">
        <v>0</v>
      </c>
      <c r="AS2219" s="51" t="n">
        <v>0</v>
      </c>
      <c r="AT2219" s="48" t="n">
        <v>0</v>
      </c>
      <c r="AU2219" s="49" t="n">
        <v>0</v>
      </c>
      <c r="AV2219" s="49" t="n">
        <v>0</v>
      </c>
      <c r="AW2219" s="50" t="n">
        <v>0</v>
      </c>
      <c r="AX2219" s="51" t="n">
        <v>0</v>
      </c>
      <c r="AY2219" s="52" t="n">
        <v>0</v>
      </c>
      <c r="AZ2219" s="52" t="n">
        <v>0</v>
      </c>
      <c r="BA2219" s="52" t="n">
        <v>0</v>
      </c>
      <c r="BB2219" s="53" t="n">
        <v>0</v>
      </c>
      <c r="BC2219" s="52" t="n">
        <v>0</v>
      </c>
      <c r="BD2219" s="53" t="n">
        <v>0</v>
      </c>
      <c r="BE2219" s="52" t="n">
        <v>0</v>
      </c>
      <c r="BF2219" s="51" t="n">
        <v>0</v>
      </c>
    </row>
    <row r="2220">
      <c r="A2220">
        <f>HYPERLINK("https://www.walmart.com/ip/1704694647", "1704694647")</f>
        <v/>
      </c>
      <c r="B2220" t="inlineStr">
        <is>
          <t>Sun Visor Sports Cotton Twill Plain Hat with Adjustable Strap for Men Women Outdoor Golf Tennis Running Jogging Hiking</t>
        </is>
      </c>
      <c r="C2220" t="inlineStr">
        <is>
          <t>1SLVS4130LIME - 12pcs</t>
        </is>
      </c>
      <c r="D2220" t="inlineStr">
        <is>
          <t>Tennis Visors</t>
        </is>
      </c>
      <c r="E2220" t="inlineStr">
        <is>
          <t>Solaris</t>
        </is>
      </c>
      <c r="F2220" t="inlineStr">
        <is>
          <t>Batch 1 - TR</t>
        </is>
      </c>
      <c r="G2220" s="48" t="n">
        <v>0</v>
      </c>
      <c r="H2220" s="49" t="n">
        <v>0</v>
      </c>
      <c r="I2220" s="49" t="n">
        <v>0</v>
      </c>
      <c r="J2220" s="50" t="n">
        <v>0</v>
      </c>
      <c r="K2220" s="51" t="n">
        <v>0</v>
      </c>
      <c r="L2220" s="52" t="n">
        <v>0</v>
      </c>
      <c r="M2220" s="52" t="n">
        <v>0</v>
      </c>
      <c r="N2220" s="52" t="n">
        <v>0</v>
      </c>
      <c r="O2220" s="53" t="n">
        <v>0</v>
      </c>
      <c r="P2220" s="52" t="n">
        <v>0</v>
      </c>
      <c r="Q2220" s="53" t="n">
        <v>0</v>
      </c>
      <c r="R2220" s="52" t="n">
        <v>0</v>
      </c>
      <c r="S2220" s="51" t="n">
        <v>0</v>
      </c>
      <c r="T2220" s="48" t="n">
        <v>0</v>
      </c>
      <c r="U2220" s="49" t="n">
        <v>0</v>
      </c>
      <c r="V2220" s="49" t="n">
        <v>0</v>
      </c>
      <c r="W2220" s="50" t="n">
        <v>0</v>
      </c>
      <c r="X2220" s="51" t="n">
        <v>0</v>
      </c>
      <c r="Y2220" s="52" t="n">
        <v>0</v>
      </c>
      <c r="Z2220" s="52" t="n">
        <v>0</v>
      </c>
      <c r="AA2220" s="52" t="n">
        <v>0</v>
      </c>
      <c r="AB2220" s="53" t="n">
        <v>0</v>
      </c>
      <c r="AC2220" s="52" t="n">
        <v>0</v>
      </c>
      <c r="AD2220" s="53" t="n">
        <v>0</v>
      </c>
      <c r="AE2220" s="52" t="n">
        <v>0</v>
      </c>
      <c r="AF2220" s="51" t="n">
        <v>0</v>
      </c>
      <c r="AG2220" s="48" t="n">
        <v>0</v>
      </c>
      <c r="AH2220" s="49" t="n">
        <v>0</v>
      </c>
      <c r="AI2220" s="49" t="n">
        <v>0</v>
      </c>
      <c r="AJ2220" s="50" t="n">
        <v>0</v>
      </c>
      <c r="AK2220" s="51" t="n">
        <v>0</v>
      </c>
      <c r="AL2220" s="52" t="n">
        <v>0</v>
      </c>
      <c r="AM2220" s="52" t="n">
        <v>0</v>
      </c>
      <c r="AN2220" s="52" t="n">
        <v>0</v>
      </c>
      <c r="AO2220" s="53" t="n">
        <v>0</v>
      </c>
      <c r="AP2220" s="52" t="n">
        <v>0</v>
      </c>
      <c r="AQ2220" s="53" t="n">
        <v>0</v>
      </c>
      <c r="AR2220" s="52" t="n">
        <v>0</v>
      </c>
      <c r="AS2220" s="51" t="n">
        <v>0</v>
      </c>
      <c r="AT2220" s="48" t="n">
        <v>0</v>
      </c>
      <c r="AU2220" s="49" t="n">
        <v>0</v>
      </c>
      <c r="AV2220" s="49" t="n">
        <v>0</v>
      </c>
      <c r="AW2220" s="50" t="n">
        <v>0</v>
      </c>
      <c r="AX2220" s="51" t="n">
        <v>0</v>
      </c>
      <c r="AY2220" s="52" t="n">
        <v>0</v>
      </c>
      <c r="AZ2220" s="52" t="n">
        <v>0</v>
      </c>
      <c r="BA2220" s="52" t="n">
        <v>0</v>
      </c>
      <c r="BB2220" s="53" t="n">
        <v>0</v>
      </c>
      <c r="BC2220" s="52" t="n">
        <v>0</v>
      </c>
      <c r="BD2220" s="53" t="n">
        <v>0</v>
      </c>
      <c r="BE2220" s="52" t="n">
        <v>0</v>
      </c>
      <c r="BF2220" s="51" t="n">
        <v>0</v>
      </c>
    </row>
    <row r="2221">
      <c r="A2221">
        <f>HYPERLINK("https://www.walmart.com/ip/1709435679", "1709435679")</f>
        <v/>
      </c>
      <c r="B2221" t="inlineStr">
        <is>
          <t>Deluxe Classic Suede Bill Baseball Cap with Leather Strap Closure</t>
        </is>
      </c>
      <c r="C2221" t="inlineStr">
        <is>
          <t>KC-S6300-BK/BR-12pcs</t>
        </is>
      </c>
      <c r="D2221" t="inlineStr">
        <is>
          <t>Hats</t>
        </is>
      </c>
      <c r="E2221" t="inlineStr">
        <is>
          <t>KC Caps</t>
        </is>
      </c>
      <c r="F2221" t="inlineStr">
        <is>
          <t>Batch 1 - TR</t>
        </is>
      </c>
      <c r="G2221" s="48" t="n">
        <v>0</v>
      </c>
      <c r="H2221" s="49" t="n">
        <v>0</v>
      </c>
      <c r="I2221" s="49" t="n">
        <v>0</v>
      </c>
      <c r="J2221" s="50" t="n">
        <v>0</v>
      </c>
      <c r="K2221" s="51" t="n">
        <v>0</v>
      </c>
      <c r="L2221" s="52" t="n">
        <v>0</v>
      </c>
      <c r="M2221" s="52" t="n">
        <v>0</v>
      </c>
      <c r="N2221" s="52" t="n">
        <v>0</v>
      </c>
      <c r="O2221" s="53" t="n">
        <v>0</v>
      </c>
      <c r="P2221" s="52" t="n">
        <v>0</v>
      </c>
      <c r="Q2221" s="53" t="n">
        <v>0</v>
      </c>
      <c r="R2221" s="52" t="n">
        <v>0</v>
      </c>
      <c r="S2221" s="51" t="n">
        <v>0</v>
      </c>
      <c r="T2221" s="48" t="n">
        <v>0</v>
      </c>
      <c r="U2221" s="49" t="n">
        <v>0</v>
      </c>
      <c r="V2221" s="49" t="n">
        <v>0</v>
      </c>
      <c r="W2221" s="50" t="n">
        <v>0</v>
      </c>
      <c r="X2221" s="51" t="n">
        <v>0</v>
      </c>
      <c r="Y2221" s="52" t="n">
        <v>0</v>
      </c>
      <c r="Z2221" s="52" t="n">
        <v>0</v>
      </c>
      <c r="AA2221" s="52" t="n">
        <v>0</v>
      </c>
      <c r="AB2221" s="53" t="n">
        <v>0</v>
      </c>
      <c r="AC2221" s="52" t="n">
        <v>0</v>
      </c>
      <c r="AD2221" s="53" t="n">
        <v>0</v>
      </c>
      <c r="AE2221" s="52" t="n">
        <v>0</v>
      </c>
      <c r="AF2221" s="51" t="n">
        <v>0</v>
      </c>
      <c r="AG2221" s="48" t="n">
        <v>0</v>
      </c>
      <c r="AH2221" s="49" t="n">
        <v>0</v>
      </c>
      <c r="AI2221" s="49" t="n">
        <v>0</v>
      </c>
      <c r="AJ2221" s="50" t="n">
        <v>0</v>
      </c>
      <c r="AK2221" s="51" t="n">
        <v>0</v>
      </c>
      <c r="AL2221" s="52" t="n">
        <v>0</v>
      </c>
      <c r="AM2221" s="52" t="n">
        <v>0</v>
      </c>
      <c r="AN2221" s="52" t="n">
        <v>0</v>
      </c>
      <c r="AO2221" s="53" t="n">
        <v>0</v>
      </c>
      <c r="AP2221" s="52" t="n">
        <v>0</v>
      </c>
      <c r="AQ2221" s="53" t="n">
        <v>0</v>
      </c>
      <c r="AR2221" s="52" t="n">
        <v>0</v>
      </c>
      <c r="AS2221" s="51" t="n">
        <v>0</v>
      </c>
      <c r="AT2221" s="48" t="n">
        <v>0</v>
      </c>
      <c r="AU2221" s="49" t="n">
        <v>0</v>
      </c>
      <c r="AV2221" s="49" t="n">
        <v>0</v>
      </c>
      <c r="AW2221" s="50" t="n">
        <v>0</v>
      </c>
      <c r="AX2221" s="51" t="n">
        <v>0</v>
      </c>
      <c r="AY2221" s="52" t="n">
        <v>0</v>
      </c>
      <c r="AZ2221" s="52" t="n">
        <v>0</v>
      </c>
      <c r="BA2221" s="52" t="n">
        <v>0</v>
      </c>
      <c r="BB2221" s="53" t="n">
        <v>0</v>
      </c>
      <c r="BC2221" s="52" t="n">
        <v>0</v>
      </c>
      <c r="BD2221" s="53" t="n">
        <v>0</v>
      </c>
      <c r="BE2221" s="52" t="n">
        <v>0</v>
      </c>
      <c r="BF2221" s="51" t="n">
        <v>0</v>
      </c>
    </row>
    <row r="2222">
      <c r="A2222">
        <f>HYPERLINK("https://www.walmart.com/ip/170955340", "170955340")</f>
        <v/>
      </c>
      <c r="B2222" t="inlineStr">
        <is>
          <t>JenniWears® Women's Seamless Mesh Hole Pothole Tube Dress</t>
        </is>
      </c>
      <c r="C2222" t="inlineStr">
        <is>
          <t>JWBD012PK-M</t>
        </is>
      </c>
      <c r="D2222" t="inlineStr">
        <is>
          <t>Dresses</t>
        </is>
      </c>
      <c r="E2222" t="inlineStr">
        <is>
          <t>JenniWears</t>
        </is>
      </c>
      <c r="F2222" t="inlineStr">
        <is>
          <t>Optimized,Valentine</t>
        </is>
      </c>
      <c r="G2222" s="48" t="n">
        <v>0</v>
      </c>
      <c r="H2222" s="49" t="n">
        <v>0</v>
      </c>
      <c r="I2222" s="49" t="n">
        <v>0</v>
      </c>
      <c r="J2222" s="50" t="n">
        <v>0</v>
      </c>
      <c r="K2222" s="51" t="n">
        <v>0</v>
      </c>
      <c r="L2222" s="52" t="n">
        <v>0</v>
      </c>
      <c r="M2222" s="52" t="n">
        <v>0</v>
      </c>
      <c r="N2222" s="52" t="n">
        <v>0</v>
      </c>
      <c r="O2222" s="53" t="n">
        <v>0</v>
      </c>
      <c r="P2222" s="52" t="n">
        <v>0</v>
      </c>
      <c r="Q2222" s="53" t="n">
        <v>0</v>
      </c>
      <c r="R2222" s="52" t="n">
        <v>0</v>
      </c>
      <c r="S2222" s="51" t="n">
        <v>0</v>
      </c>
      <c r="T2222" s="48" t="n">
        <v>0</v>
      </c>
      <c r="U2222" s="49" t="n">
        <v>0</v>
      </c>
      <c r="V2222" s="49" t="n">
        <v>0</v>
      </c>
      <c r="W2222" s="50" t="n">
        <v>0</v>
      </c>
      <c r="X2222" s="51" t="n">
        <v>0</v>
      </c>
      <c r="Y2222" s="52" t="n">
        <v>0</v>
      </c>
      <c r="Z2222" s="52" t="n">
        <v>0</v>
      </c>
      <c r="AA2222" s="52" t="n">
        <v>0</v>
      </c>
      <c r="AB2222" s="53" t="n">
        <v>0</v>
      </c>
      <c r="AC2222" s="52" t="n">
        <v>0</v>
      </c>
      <c r="AD2222" s="53" t="n">
        <v>0</v>
      </c>
      <c r="AE2222" s="52" t="n">
        <v>0</v>
      </c>
      <c r="AF2222" s="51" t="n">
        <v>0</v>
      </c>
      <c r="AG2222" s="48" t="n">
        <v>0</v>
      </c>
      <c r="AH2222" s="49" t="n">
        <v>0</v>
      </c>
      <c r="AI2222" s="49" t="n">
        <v>0</v>
      </c>
      <c r="AJ2222" s="50" t="n">
        <v>0</v>
      </c>
      <c r="AK2222" s="51" t="n">
        <v>0</v>
      </c>
      <c r="AL2222" s="52" t="n">
        <v>0</v>
      </c>
      <c r="AM2222" s="52" t="n">
        <v>0</v>
      </c>
      <c r="AN2222" s="52" t="n">
        <v>0</v>
      </c>
      <c r="AO2222" s="53" t="n">
        <v>0</v>
      </c>
      <c r="AP2222" s="52" t="n">
        <v>0</v>
      </c>
      <c r="AQ2222" s="53" t="n">
        <v>0</v>
      </c>
      <c r="AR2222" s="52" t="n">
        <v>0</v>
      </c>
      <c r="AS2222" s="51" t="n">
        <v>0</v>
      </c>
      <c r="AT2222" s="48" t="n">
        <v>0</v>
      </c>
      <c r="AU2222" s="49" t="n">
        <v>0</v>
      </c>
      <c r="AV2222" s="49" t="n">
        <v>0</v>
      </c>
      <c r="AW2222" s="50" t="n">
        <v>0</v>
      </c>
      <c r="AX2222" s="51" t="n">
        <v>0</v>
      </c>
      <c r="AY2222" s="52" t="n">
        <v>0</v>
      </c>
      <c r="AZ2222" s="52" t="n">
        <v>0</v>
      </c>
      <c r="BA2222" s="52" t="n">
        <v>0</v>
      </c>
      <c r="BB2222" s="53" t="n">
        <v>0</v>
      </c>
      <c r="BC2222" s="52" t="n">
        <v>0</v>
      </c>
      <c r="BD2222" s="53" t="n">
        <v>0</v>
      </c>
      <c r="BE2222" s="52" t="n">
        <v>0</v>
      </c>
      <c r="BF2222" s="51" t="n">
        <v>0</v>
      </c>
    </row>
    <row r="2223">
      <c r="A2223">
        <f>HYPERLINK("https://www.walmart.com/ip/1713390404", "1713390404")</f>
        <v/>
      </c>
      <c r="B2223" t="inlineStr">
        <is>
          <t>Tirrinia Large Insulated Lunch Tote Bag for Women,Waterproof Oxford Cloth Leakproof Cooler Bag,Shopping Food Grocery Bags for Work Beach, Blue Stripe</t>
        </is>
      </c>
      <c r="C2223" t="inlineStr">
        <is>
          <t>1TRCB800BLSTR</t>
        </is>
      </c>
      <c r="D2223" t="inlineStr">
        <is>
          <t>Reusable Lunch Bags &amp; Boxes</t>
        </is>
      </c>
      <c r="E2223" t="inlineStr">
        <is>
          <t>Tirrinia</t>
        </is>
      </c>
      <c r="F2223" t="inlineStr">
        <is>
          <t>Batch 1 - TR</t>
        </is>
      </c>
      <c r="G2223" s="48" t="n">
        <v>0</v>
      </c>
      <c r="H2223" s="49" t="n">
        <v>0</v>
      </c>
      <c r="I2223" s="49" t="n">
        <v>7</v>
      </c>
      <c r="J2223" s="50" t="n">
        <v>0</v>
      </c>
      <c r="K2223" s="51" t="n">
        <v>0</v>
      </c>
      <c r="L2223" s="52" t="n">
        <v>0</v>
      </c>
      <c r="M2223" s="52" t="n">
        <v>0</v>
      </c>
      <c r="N2223" s="52" t="n">
        <v>0</v>
      </c>
      <c r="O2223" s="53" t="n">
        <v>0</v>
      </c>
      <c r="P2223" s="52" t="n">
        <v>0</v>
      </c>
      <c r="Q2223" s="53" t="n">
        <v>0</v>
      </c>
      <c r="R2223" s="52" t="n">
        <v>0</v>
      </c>
      <c r="S2223" s="51" t="n">
        <v>0</v>
      </c>
      <c r="T2223" s="48" t="n">
        <v>0</v>
      </c>
      <c r="U2223" s="49" t="n">
        <v>0</v>
      </c>
      <c r="V2223" s="49" t="n">
        <v>3</v>
      </c>
      <c r="W2223" s="50" t="n">
        <v>0</v>
      </c>
      <c r="X2223" s="51" t="n">
        <v>0</v>
      </c>
      <c r="Y2223" s="52" t="n">
        <v>0</v>
      </c>
      <c r="Z2223" s="52" t="n">
        <v>0</v>
      </c>
      <c r="AA2223" s="52" t="n">
        <v>0</v>
      </c>
      <c r="AB2223" s="53" t="n">
        <v>0</v>
      </c>
      <c r="AC2223" s="52" t="n">
        <v>0</v>
      </c>
      <c r="AD2223" s="53" t="n">
        <v>0</v>
      </c>
      <c r="AE2223" s="52" t="n">
        <v>0</v>
      </c>
      <c r="AF2223" s="51" t="n">
        <v>0</v>
      </c>
      <c r="AG2223" s="48" t="n">
        <v>64.95</v>
      </c>
      <c r="AH2223" s="49" t="n">
        <v>5</v>
      </c>
      <c r="AI2223" s="49" t="n">
        <v>7</v>
      </c>
      <c r="AJ2223" s="50" t="n">
        <v>0.7142857142857143</v>
      </c>
      <c r="AK2223" s="51" t="n">
        <v>0</v>
      </c>
      <c r="AL2223" s="52" t="n">
        <v>0</v>
      </c>
      <c r="AM2223" s="52" t="n">
        <v>0</v>
      </c>
      <c r="AN2223" s="52" t="n">
        <v>0</v>
      </c>
      <c r="AO2223" s="53" t="n">
        <v>0</v>
      </c>
      <c r="AP2223" s="52" t="n">
        <v>0</v>
      </c>
      <c r="AQ2223" s="53" t="n">
        <v>0</v>
      </c>
      <c r="AR2223" s="52" t="n">
        <v>12.99</v>
      </c>
      <c r="AS2223" s="51" t="n">
        <v>0</v>
      </c>
      <c r="AT2223" s="48" t="n">
        <v>0</v>
      </c>
      <c r="AU2223" s="49" t="n">
        <v>0</v>
      </c>
      <c r="AV2223" s="49" t="n">
        <v>2</v>
      </c>
      <c r="AW2223" s="50" t="n">
        <v>0</v>
      </c>
      <c r="AX2223" s="51" t="n">
        <v>0</v>
      </c>
      <c r="AY2223" s="52" t="n">
        <v>0</v>
      </c>
      <c r="AZ2223" s="52" t="n">
        <v>0</v>
      </c>
      <c r="BA2223" s="52" t="n">
        <v>0</v>
      </c>
      <c r="BB2223" s="53" t="n">
        <v>0</v>
      </c>
      <c r="BC2223" s="52" t="n">
        <v>0</v>
      </c>
      <c r="BD2223" s="53" t="n">
        <v>0</v>
      </c>
      <c r="BE2223" s="52" t="n">
        <v>0</v>
      </c>
      <c r="BF2223" s="51" t="n">
        <v>0</v>
      </c>
    </row>
    <row r="2224">
      <c r="A2224">
        <f>HYPERLINK("https://www.walmart.com/ip/171476488", "171476488")</f>
        <v/>
      </c>
      <c r="B2224" t="inlineStr">
        <is>
          <t>Lightweight Fleece Stadium Windproof Throw Outdoor Waterproof Blanket, Red-Black Plaid</t>
        </is>
      </c>
      <c r="C2224" t="inlineStr">
        <is>
          <t>1KTBW608PRD</t>
        </is>
      </c>
      <c r="D2224" t="inlineStr">
        <is>
          <t>Picnic Blankets &amp; Mats</t>
        </is>
      </c>
      <c r="E2224" t="inlineStr">
        <is>
          <t>Tirrinia</t>
        </is>
      </c>
      <c r="F2224" t="inlineStr">
        <is>
          <t>Wproof Blanket,Batch 1 - TR</t>
        </is>
      </c>
      <c r="G2224" s="48" t="n">
        <v>0</v>
      </c>
      <c r="H2224" s="49" t="n">
        <v>0</v>
      </c>
      <c r="I2224" s="49" t="n">
        <v>0</v>
      </c>
      <c r="J2224" s="50" t="n">
        <v>0</v>
      </c>
      <c r="K2224" s="51" t="n">
        <v>0</v>
      </c>
      <c r="L2224" s="52" t="n">
        <v>0</v>
      </c>
      <c r="M2224" s="52" t="n">
        <v>0</v>
      </c>
      <c r="N2224" s="52" t="n">
        <v>0</v>
      </c>
      <c r="O2224" s="53" t="n">
        <v>0</v>
      </c>
      <c r="P2224" s="52" t="n">
        <v>0</v>
      </c>
      <c r="Q2224" s="53" t="n">
        <v>0</v>
      </c>
      <c r="R2224" s="52" t="n">
        <v>0</v>
      </c>
      <c r="S2224" s="51" t="n">
        <v>91</v>
      </c>
      <c r="T2224" s="48" t="n">
        <v>0</v>
      </c>
      <c r="U2224" s="49" t="n">
        <v>0</v>
      </c>
      <c r="V2224" s="49" t="n">
        <v>0</v>
      </c>
      <c r="W2224" s="50" t="n">
        <v>0</v>
      </c>
      <c r="X2224" s="51" t="n">
        <v>0</v>
      </c>
      <c r="Y2224" s="52" t="n">
        <v>0</v>
      </c>
      <c r="Z2224" s="52" t="n">
        <v>0</v>
      </c>
      <c r="AA2224" s="52" t="n">
        <v>0</v>
      </c>
      <c r="AB2224" s="53" t="n">
        <v>0</v>
      </c>
      <c r="AC2224" s="52" t="n">
        <v>0</v>
      </c>
      <c r="AD2224" s="53" t="n">
        <v>0</v>
      </c>
      <c r="AE2224" s="52" t="n">
        <v>0</v>
      </c>
      <c r="AF2224" s="51" t="n">
        <v>134</v>
      </c>
      <c r="AG2224" s="48" t="n">
        <v>0</v>
      </c>
      <c r="AH2224" s="49" t="n">
        <v>0</v>
      </c>
      <c r="AI2224" s="49" t="n">
        <v>0</v>
      </c>
      <c r="AJ2224" s="50" t="n">
        <v>0</v>
      </c>
      <c r="AK2224" s="51" t="n">
        <v>0</v>
      </c>
      <c r="AL2224" s="52" t="n">
        <v>0</v>
      </c>
      <c r="AM2224" s="52" t="n">
        <v>0</v>
      </c>
      <c r="AN2224" s="52" t="n">
        <v>0</v>
      </c>
      <c r="AO2224" s="53" t="n">
        <v>0</v>
      </c>
      <c r="AP2224" s="52" t="n">
        <v>0</v>
      </c>
      <c r="AQ2224" s="53" t="n">
        <v>0</v>
      </c>
      <c r="AR2224" s="52" t="n">
        <v>0</v>
      </c>
      <c r="AS2224" s="51" t="n">
        <v>0</v>
      </c>
      <c r="AT2224" s="48" t="n">
        <v>0</v>
      </c>
      <c r="AU2224" s="49" t="n">
        <v>0</v>
      </c>
      <c r="AV2224" s="49" t="n">
        <v>0</v>
      </c>
      <c r="AW2224" s="50" t="n">
        <v>0</v>
      </c>
      <c r="AX2224" s="51" t="n">
        <v>0</v>
      </c>
      <c r="AY2224" s="52" t="n">
        <v>0</v>
      </c>
      <c r="AZ2224" s="52" t="n">
        <v>0</v>
      </c>
      <c r="BA2224" s="52" t="n">
        <v>0</v>
      </c>
      <c r="BB2224" s="53" t="n">
        <v>0</v>
      </c>
      <c r="BC2224" s="52" t="n">
        <v>0</v>
      </c>
      <c r="BD2224" s="53" t="n">
        <v>0</v>
      </c>
      <c r="BE2224" s="52" t="n">
        <v>0</v>
      </c>
      <c r="BF2224" s="51" t="n">
        <v>22</v>
      </c>
    </row>
    <row r="2225">
      <c r="A2225">
        <f>HYPERLINK("https://www.walmart.com/ip/171507321", "171507321")</f>
        <v/>
      </c>
      <c r="B2225" t="inlineStr">
        <is>
          <t>KC Baseball Cap USA American Flag Embroidered Racing Cap Trucker Snapback Sport Hat for Men Women</t>
        </is>
      </c>
      <c r="C2225" t="inlineStr">
        <is>
          <t>KC-AS06</t>
        </is>
      </c>
      <c r="D2225" t="inlineStr">
        <is>
          <t>Hats</t>
        </is>
      </c>
      <c r="E2225" t="inlineStr">
        <is>
          <t>KC Caps</t>
        </is>
      </c>
      <c r="F2225" t="inlineStr">
        <is>
          <t>Optimized</t>
        </is>
      </c>
      <c r="G2225" s="48" t="n">
        <v>0</v>
      </c>
      <c r="H2225" s="49" t="n">
        <v>0</v>
      </c>
      <c r="I2225" s="49" t="n">
        <v>0</v>
      </c>
      <c r="J2225" s="50" t="n">
        <v>0</v>
      </c>
      <c r="K2225" s="51" t="n">
        <v>0</v>
      </c>
      <c r="L2225" s="52" t="n">
        <v>0</v>
      </c>
      <c r="M2225" s="52" t="n">
        <v>0</v>
      </c>
      <c r="N2225" s="52" t="n">
        <v>0</v>
      </c>
      <c r="O2225" s="53" t="n">
        <v>0</v>
      </c>
      <c r="P2225" s="52" t="n">
        <v>0</v>
      </c>
      <c r="Q2225" s="53" t="n">
        <v>0</v>
      </c>
      <c r="R2225" s="52" t="n">
        <v>0</v>
      </c>
      <c r="S2225" s="51" t="n">
        <v>0</v>
      </c>
      <c r="T2225" s="48" t="n">
        <v>0</v>
      </c>
      <c r="U2225" s="49" t="n">
        <v>0</v>
      </c>
      <c r="V2225" s="49" t="n">
        <v>0</v>
      </c>
      <c r="W2225" s="50" t="n">
        <v>0</v>
      </c>
      <c r="X2225" s="51" t="n">
        <v>0</v>
      </c>
      <c r="Y2225" s="52" t="n">
        <v>0</v>
      </c>
      <c r="Z2225" s="52" t="n">
        <v>0</v>
      </c>
      <c r="AA2225" s="52" t="n">
        <v>0</v>
      </c>
      <c r="AB2225" s="53" t="n">
        <v>0</v>
      </c>
      <c r="AC2225" s="52" t="n">
        <v>0</v>
      </c>
      <c r="AD2225" s="53" t="n">
        <v>0</v>
      </c>
      <c r="AE2225" s="52" t="n">
        <v>0</v>
      </c>
      <c r="AF2225" s="51" t="n">
        <v>0</v>
      </c>
      <c r="AG2225" s="48" t="n">
        <v>0</v>
      </c>
      <c r="AH2225" s="49" t="n">
        <v>0</v>
      </c>
      <c r="AI2225" s="49" t="n">
        <v>0</v>
      </c>
      <c r="AJ2225" s="50" t="n">
        <v>0</v>
      </c>
      <c r="AK2225" s="51" t="n">
        <v>0</v>
      </c>
      <c r="AL2225" s="52" t="n">
        <v>0</v>
      </c>
      <c r="AM2225" s="52" t="n">
        <v>0</v>
      </c>
      <c r="AN2225" s="52" t="n">
        <v>0</v>
      </c>
      <c r="AO2225" s="53" t="n">
        <v>0</v>
      </c>
      <c r="AP2225" s="52" t="n">
        <v>0</v>
      </c>
      <c r="AQ2225" s="53" t="n">
        <v>0</v>
      </c>
      <c r="AR2225" s="52" t="n">
        <v>0</v>
      </c>
      <c r="AS2225" s="51" t="n">
        <v>0</v>
      </c>
      <c r="AT2225" s="48" t="n">
        <v>0</v>
      </c>
      <c r="AU2225" s="49" t="n">
        <v>0</v>
      </c>
      <c r="AV2225" s="49" t="n">
        <v>0</v>
      </c>
      <c r="AW2225" s="50" t="n">
        <v>0</v>
      </c>
      <c r="AX2225" s="51" t="n">
        <v>0</v>
      </c>
      <c r="AY2225" s="52" t="n">
        <v>0</v>
      </c>
      <c r="AZ2225" s="52" t="n">
        <v>0</v>
      </c>
      <c r="BA2225" s="52" t="n">
        <v>0</v>
      </c>
      <c r="BB2225" s="53" t="n">
        <v>0</v>
      </c>
      <c r="BC2225" s="52" t="n">
        <v>0</v>
      </c>
      <c r="BD2225" s="53" t="n">
        <v>0</v>
      </c>
      <c r="BE2225" s="52" t="n">
        <v>0</v>
      </c>
      <c r="BF2225" s="51" t="n">
        <v>0</v>
      </c>
    </row>
    <row r="2226">
      <c r="A2226">
        <f>HYPERLINK("https://www.walmart.com/ip/171544794", "171544794")</f>
        <v/>
      </c>
      <c r="B2226" t="inlineStr">
        <is>
          <t>Catalonia Fleece Wearable Blanket with Sleeves and Pocket, Micro Plush Warm Sleeved TV Throw Blanket Robe for Women and Men, Brown, 72'' x 55''</t>
        </is>
      </c>
      <c r="C2226" t="inlineStr">
        <is>
          <t>1CTSN110BR</t>
        </is>
      </c>
      <c r="D2226" t="inlineStr">
        <is>
          <t>Throws</t>
        </is>
      </c>
      <c r="E2226" t="inlineStr">
        <is>
          <t>Catalonia</t>
        </is>
      </c>
      <c r="F2226" t="inlineStr">
        <is>
          <t>Optimized,WFS,WFS Item</t>
        </is>
      </c>
      <c r="G2226" s="48" t="n">
        <v>0</v>
      </c>
      <c r="H2226" s="49" t="n">
        <v>0</v>
      </c>
      <c r="I2226" s="49" t="n">
        <v>0</v>
      </c>
      <c r="J2226" s="50" t="n">
        <v>0</v>
      </c>
      <c r="K2226" s="51" t="n">
        <v>0</v>
      </c>
      <c r="L2226" s="52" t="n">
        <v>0</v>
      </c>
      <c r="M2226" s="52" t="n">
        <v>0</v>
      </c>
      <c r="N2226" s="52" t="n">
        <v>0</v>
      </c>
      <c r="O2226" s="53" t="n">
        <v>0</v>
      </c>
      <c r="P2226" s="52" t="n">
        <v>0</v>
      </c>
      <c r="Q2226" s="53" t="n">
        <v>0</v>
      </c>
      <c r="R2226" s="52" t="n">
        <v>0</v>
      </c>
      <c r="S2226" s="51" t="n">
        <v>0</v>
      </c>
      <c r="T2226" s="48" t="n">
        <v>0</v>
      </c>
      <c r="U2226" s="49" t="n">
        <v>0</v>
      </c>
      <c r="V2226" s="49" t="n">
        <v>0</v>
      </c>
      <c r="W2226" s="50" t="n">
        <v>0</v>
      </c>
      <c r="X2226" s="51" t="n">
        <v>0</v>
      </c>
      <c r="Y2226" s="52" t="n">
        <v>0</v>
      </c>
      <c r="Z2226" s="52" t="n">
        <v>0</v>
      </c>
      <c r="AA2226" s="52" t="n">
        <v>0</v>
      </c>
      <c r="AB2226" s="53" t="n">
        <v>0</v>
      </c>
      <c r="AC2226" s="52" t="n">
        <v>0</v>
      </c>
      <c r="AD2226" s="53" t="n">
        <v>0</v>
      </c>
      <c r="AE2226" s="52" t="n">
        <v>0</v>
      </c>
      <c r="AF2226" s="51" t="n">
        <v>0</v>
      </c>
      <c r="AG2226" s="48" t="n">
        <v>0</v>
      </c>
      <c r="AH2226" s="49" t="n">
        <v>0</v>
      </c>
      <c r="AI2226" s="49" t="n">
        <v>0</v>
      </c>
      <c r="AJ2226" s="50" t="n">
        <v>0</v>
      </c>
      <c r="AK2226" s="51" t="n">
        <v>0</v>
      </c>
      <c r="AL2226" s="52" t="n">
        <v>0</v>
      </c>
      <c r="AM2226" s="52" t="n">
        <v>0</v>
      </c>
      <c r="AN2226" s="52" t="n">
        <v>0</v>
      </c>
      <c r="AO2226" s="53" t="n">
        <v>0</v>
      </c>
      <c r="AP2226" s="52" t="n">
        <v>0</v>
      </c>
      <c r="AQ2226" s="53" t="n">
        <v>0</v>
      </c>
      <c r="AR2226" s="52" t="n">
        <v>0</v>
      </c>
      <c r="AS2226" s="51" t="n">
        <v>0</v>
      </c>
      <c r="AT2226" s="48" t="n">
        <v>0</v>
      </c>
      <c r="AU2226" s="49" t="n">
        <v>0</v>
      </c>
      <c r="AV2226" s="49" t="n">
        <v>0</v>
      </c>
      <c r="AW2226" s="50" t="n">
        <v>0</v>
      </c>
      <c r="AX2226" s="51" t="n">
        <v>0</v>
      </c>
      <c r="AY2226" s="52" t="n">
        <v>0</v>
      </c>
      <c r="AZ2226" s="52" t="n">
        <v>0</v>
      </c>
      <c r="BA2226" s="52" t="n">
        <v>0</v>
      </c>
      <c r="BB2226" s="53" t="n">
        <v>0</v>
      </c>
      <c r="BC2226" s="52" t="n">
        <v>0</v>
      </c>
      <c r="BD2226" s="53" t="n">
        <v>0</v>
      </c>
      <c r="BE2226" s="52" t="n">
        <v>0</v>
      </c>
      <c r="BF2226" s="51" t="n">
        <v>0</v>
      </c>
    </row>
    <row r="2227">
      <c r="A2227">
        <f>HYPERLINK("https://www.walmart.com/ip/1715618699", "1715618699")</f>
        <v/>
      </c>
      <c r="B2227" t="inlineStr">
        <is>
          <t>Every Day is Christmas Glass Blown Ornaments 2021 Cute Hand Made Figurines Tree Decoration, Chimney Santa</t>
        </is>
      </c>
      <c r="C2227" t="inlineStr">
        <is>
          <t>EDC-FIGURINE-CHIMNEYSANTA</t>
        </is>
      </c>
      <c r="D2227" t="inlineStr">
        <is>
          <t>Ornaments</t>
        </is>
      </c>
      <c r="E2227" t="inlineStr">
        <is>
          <t>Every Day is Christmas</t>
        </is>
      </c>
      <c r="G2227" s="48" t="n">
        <v>0</v>
      </c>
      <c r="H2227" s="49" t="n">
        <v>0</v>
      </c>
      <c r="I2227" s="49" t="n">
        <v>0</v>
      </c>
      <c r="J2227" s="50" t="n">
        <v>0</v>
      </c>
      <c r="K2227" s="51" t="n">
        <v>0</v>
      </c>
      <c r="L2227" s="52" t="n">
        <v>0</v>
      </c>
      <c r="M2227" s="52" t="n">
        <v>0</v>
      </c>
      <c r="N2227" s="52" t="n">
        <v>0</v>
      </c>
      <c r="O2227" s="53" t="n">
        <v>0</v>
      </c>
      <c r="P2227" s="52" t="n">
        <v>0</v>
      </c>
      <c r="Q2227" s="53" t="n">
        <v>0</v>
      </c>
      <c r="R2227" s="52" t="n">
        <v>0</v>
      </c>
      <c r="S2227" s="51" t="n">
        <v>0</v>
      </c>
      <c r="T2227" s="48" t="n">
        <v>0</v>
      </c>
      <c r="U2227" s="49" t="n">
        <v>0</v>
      </c>
      <c r="V2227" s="49" t="n">
        <v>0</v>
      </c>
      <c r="W2227" s="50" t="n">
        <v>0</v>
      </c>
      <c r="X2227" s="51" t="n">
        <v>0</v>
      </c>
      <c r="Y2227" s="52" t="n">
        <v>0</v>
      </c>
      <c r="Z2227" s="52" t="n">
        <v>0</v>
      </c>
      <c r="AA2227" s="52" t="n">
        <v>0</v>
      </c>
      <c r="AB2227" s="53" t="n">
        <v>0</v>
      </c>
      <c r="AC2227" s="52" t="n">
        <v>0</v>
      </c>
      <c r="AD2227" s="53" t="n">
        <v>0</v>
      </c>
      <c r="AE2227" s="52" t="n">
        <v>0</v>
      </c>
      <c r="AF2227" s="51" t="n">
        <v>0</v>
      </c>
      <c r="AG2227" s="48" t="n">
        <v>0</v>
      </c>
      <c r="AH2227" s="49" t="n">
        <v>0</v>
      </c>
      <c r="AI2227" s="49" t="n">
        <v>0</v>
      </c>
      <c r="AJ2227" s="50" t="n">
        <v>0</v>
      </c>
      <c r="AK2227" s="51" t="n">
        <v>0</v>
      </c>
      <c r="AL2227" s="52" t="n">
        <v>0</v>
      </c>
      <c r="AM2227" s="52" t="n">
        <v>0</v>
      </c>
      <c r="AN2227" s="52" t="n">
        <v>0</v>
      </c>
      <c r="AO2227" s="53" t="n">
        <v>0</v>
      </c>
      <c r="AP2227" s="52" t="n">
        <v>0</v>
      </c>
      <c r="AQ2227" s="53" t="n">
        <v>0</v>
      </c>
      <c r="AR2227" s="52" t="n">
        <v>0</v>
      </c>
      <c r="AS2227" s="51" t="n">
        <v>0</v>
      </c>
      <c r="AT2227" s="48" t="n">
        <v>0</v>
      </c>
      <c r="AU2227" s="49" t="n">
        <v>0</v>
      </c>
      <c r="AV2227" s="49" t="n">
        <v>0</v>
      </c>
      <c r="AW2227" s="50" t="n">
        <v>0</v>
      </c>
      <c r="AX2227" s="51" t="n">
        <v>0</v>
      </c>
      <c r="AY2227" s="52" t="n">
        <v>0</v>
      </c>
      <c r="AZ2227" s="52" t="n">
        <v>0</v>
      </c>
      <c r="BA2227" s="52" t="n">
        <v>0</v>
      </c>
      <c r="BB2227" s="53" t="n">
        <v>0</v>
      </c>
      <c r="BC2227" s="52" t="n">
        <v>0</v>
      </c>
      <c r="BD2227" s="53" t="n">
        <v>0</v>
      </c>
      <c r="BE2227" s="52" t="n">
        <v>0</v>
      </c>
      <c r="BF2227" s="51" t="n">
        <v>0</v>
      </c>
    </row>
    <row r="2228">
      <c r="A2228">
        <f>HYPERLINK("https://www.walmart.com/ip/171946676", "171946676")</f>
        <v/>
      </c>
      <c r="B2228" t="inlineStr">
        <is>
          <t>Adjustable Buckle Closure USA Flag Embroidered Cap</t>
        </is>
      </c>
      <c r="C2228" t="inlineStr">
        <is>
          <t>kc-aeflag-nv</t>
        </is>
      </c>
      <c r="D2228" t="inlineStr">
        <is>
          <t>Hats</t>
        </is>
      </c>
      <c r="E2228" t="inlineStr">
        <is>
          <t>KC Caps</t>
        </is>
      </c>
      <c r="F2228" t="inlineStr">
        <is>
          <t>Optimized</t>
        </is>
      </c>
      <c r="G2228" s="48" t="n">
        <v>0</v>
      </c>
      <c r="H2228" s="49" t="n">
        <v>0</v>
      </c>
      <c r="I2228" s="49" t="n">
        <v>0</v>
      </c>
      <c r="J2228" s="50" t="n">
        <v>0</v>
      </c>
      <c r="K2228" s="51" t="n">
        <v>0</v>
      </c>
      <c r="L2228" s="52" t="n">
        <v>0</v>
      </c>
      <c r="M2228" s="52" t="n">
        <v>0</v>
      </c>
      <c r="N2228" s="52" t="n">
        <v>0</v>
      </c>
      <c r="O2228" s="53" t="n">
        <v>0</v>
      </c>
      <c r="P2228" s="52" t="n">
        <v>0</v>
      </c>
      <c r="Q2228" s="53" t="n">
        <v>0</v>
      </c>
      <c r="R2228" s="52" t="n">
        <v>0</v>
      </c>
      <c r="S2228" s="51" t="n">
        <v>0</v>
      </c>
      <c r="T2228" s="48" t="n">
        <v>0</v>
      </c>
      <c r="U2228" s="49" t="n">
        <v>0</v>
      </c>
      <c r="V2228" s="49" t="n">
        <v>0</v>
      </c>
      <c r="W2228" s="50" t="n">
        <v>0</v>
      </c>
      <c r="X2228" s="51" t="n">
        <v>0</v>
      </c>
      <c r="Y2228" s="52" t="n">
        <v>0</v>
      </c>
      <c r="Z2228" s="52" t="n">
        <v>0</v>
      </c>
      <c r="AA2228" s="52" t="n">
        <v>0</v>
      </c>
      <c r="AB2228" s="53" t="n">
        <v>0</v>
      </c>
      <c r="AC2228" s="52" t="n">
        <v>0</v>
      </c>
      <c r="AD2228" s="53" t="n">
        <v>0</v>
      </c>
      <c r="AE2228" s="52" t="n">
        <v>0</v>
      </c>
      <c r="AF2228" s="51" t="n">
        <v>0</v>
      </c>
      <c r="AG2228" s="48" t="n">
        <v>0</v>
      </c>
      <c r="AH2228" s="49" t="n">
        <v>0</v>
      </c>
      <c r="AI2228" s="49" t="n">
        <v>0</v>
      </c>
      <c r="AJ2228" s="50" t="n">
        <v>0</v>
      </c>
      <c r="AK2228" s="51" t="n">
        <v>0</v>
      </c>
      <c r="AL2228" s="52" t="n">
        <v>0</v>
      </c>
      <c r="AM2228" s="52" t="n">
        <v>0</v>
      </c>
      <c r="AN2228" s="52" t="n">
        <v>0</v>
      </c>
      <c r="AO2228" s="53" t="n">
        <v>0</v>
      </c>
      <c r="AP2228" s="52" t="n">
        <v>0</v>
      </c>
      <c r="AQ2228" s="53" t="n">
        <v>0</v>
      </c>
      <c r="AR2228" s="52" t="n">
        <v>0</v>
      </c>
      <c r="AS2228" s="51" t="n">
        <v>0</v>
      </c>
      <c r="AT2228" s="48" t="n">
        <v>0</v>
      </c>
      <c r="AU2228" s="49" t="n">
        <v>0</v>
      </c>
      <c r="AV2228" s="49" t="n">
        <v>0</v>
      </c>
      <c r="AW2228" s="50" t="n">
        <v>0</v>
      </c>
      <c r="AX2228" s="51" t="n">
        <v>0</v>
      </c>
      <c r="AY2228" s="52" t="n">
        <v>0</v>
      </c>
      <c r="AZ2228" s="52" t="n">
        <v>0</v>
      </c>
      <c r="BA2228" s="52" t="n">
        <v>0</v>
      </c>
      <c r="BB2228" s="53" t="n">
        <v>0</v>
      </c>
      <c r="BC2228" s="52" t="n">
        <v>0</v>
      </c>
      <c r="BD2228" s="53" t="n">
        <v>0</v>
      </c>
      <c r="BE2228" s="52" t="n">
        <v>0</v>
      </c>
      <c r="BF2228" s="51" t="n">
        <v>0</v>
      </c>
    </row>
    <row r="2229">
      <c r="A2229">
        <f>HYPERLINK("https://www.walmart.com/ip/1721643716", "1721643716")</f>
        <v/>
      </c>
      <c r="B2229" t="inlineStr">
        <is>
          <t>Kritter Planet Pet Plush Sherpa Blanket Throw Micro Fleece for Animal Dog Cat Puppy Indoor, Outdoor 60" X 50"</t>
        </is>
      </c>
      <c r="C2229" t="inlineStr">
        <is>
          <t>1KPBF560GYLT</t>
        </is>
      </c>
      <c r="D2229" t="inlineStr">
        <is>
          <t>Pet Blankets</t>
        </is>
      </c>
      <c r="E2229" t="inlineStr">
        <is>
          <t>Kritter Planet</t>
        </is>
      </c>
      <c r="F2229" t="inlineStr">
        <is>
          <t>Batch 1 - TR</t>
        </is>
      </c>
      <c r="G2229" s="48" t="n">
        <v>0</v>
      </c>
      <c r="H2229" s="49" t="n">
        <v>0</v>
      </c>
      <c r="I2229" s="49" t="n">
        <v>0</v>
      </c>
      <c r="J2229" s="50" t="n">
        <v>0</v>
      </c>
      <c r="K2229" s="51" t="n">
        <v>0</v>
      </c>
      <c r="L2229" s="52" t="n">
        <v>0</v>
      </c>
      <c r="M2229" s="52" t="n">
        <v>0</v>
      </c>
      <c r="N2229" s="52" t="n">
        <v>0</v>
      </c>
      <c r="O2229" s="53" t="n">
        <v>0</v>
      </c>
      <c r="P2229" s="52" t="n">
        <v>0</v>
      </c>
      <c r="Q2229" s="53" t="n">
        <v>0</v>
      </c>
      <c r="R2229" s="52" t="n">
        <v>0</v>
      </c>
      <c r="S2229" s="51" t="n">
        <v>0</v>
      </c>
      <c r="T2229" s="48" t="n">
        <v>0</v>
      </c>
      <c r="U2229" s="49" t="n">
        <v>0</v>
      </c>
      <c r="V2229" s="49" t="n">
        <v>0</v>
      </c>
      <c r="W2229" s="50" t="n">
        <v>0</v>
      </c>
      <c r="X2229" s="51" t="n">
        <v>0</v>
      </c>
      <c r="Y2229" s="52" t="n">
        <v>0</v>
      </c>
      <c r="Z2229" s="52" t="n">
        <v>0</v>
      </c>
      <c r="AA2229" s="52" t="n">
        <v>0</v>
      </c>
      <c r="AB2229" s="53" t="n">
        <v>0</v>
      </c>
      <c r="AC2229" s="52" t="n">
        <v>0</v>
      </c>
      <c r="AD2229" s="53" t="n">
        <v>0</v>
      </c>
      <c r="AE2229" s="52" t="n">
        <v>0</v>
      </c>
      <c r="AF2229" s="51" t="n">
        <v>0</v>
      </c>
      <c r="AG2229" s="48" t="n">
        <v>0</v>
      </c>
      <c r="AH2229" s="49" t="n">
        <v>0</v>
      </c>
      <c r="AI2229" s="49" t="n">
        <v>0</v>
      </c>
      <c r="AJ2229" s="50" t="n">
        <v>0</v>
      </c>
      <c r="AK2229" s="51" t="n">
        <v>0</v>
      </c>
      <c r="AL2229" s="52" t="n">
        <v>0</v>
      </c>
      <c r="AM2229" s="52" t="n">
        <v>0</v>
      </c>
      <c r="AN2229" s="52" t="n">
        <v>0</v>
      </c>
      <c r="AO2229" s="53" t="n">
        <v>0</v>
      </c>
      <c r="AP2229" s="52" t="n">
        <v>0</v>
      </c>
      <c r="AQ2229" s="53" t="n">
        <v>0</v>
      </c>
      <c r="AR2229" s="52" t="n">
        <v>0</v>
      </c>
      <c r="AS2229" s="51" t="n">
        <v>0</v>
      </c>
      <c r="AT2229" s="48" t="n">
        <v>0</v>
      </c>
      <c r="AU2229" s="49" t="n">
        <v>0</v>
      </c>
      <c r="AV2229" s="49" t="n">
        <v>0</v>
      </c>
      <c r="AW2229" s="50" t="n">
        <v>0</v>
      </c>
      <c r="AX2229" s="51" t="n">
        <v>0</v>
      </c>
      <c r="AY2229" s="52" t="n">
        <v>0</v>
      </c>
      <c r="AZ2229" s="52" t="n">
        <v>0</v>
      </c>
      <c r="BA2229" s="52" t="n">
        <v>0</v>
      </c>
      <c r="BB2229" s="53" t="n">
        <v>0</v>
      </c>
      <c r="BC2229" s="52" t="n">
        <v>0</v>
      </c>
      <c r="BD2229" s="53" t="n">
        <v>0</v>
      </c>
      <c r="BE2229" s="52" t="n">
        <v>0</v>
      </c>
      <c r="BF2229" s="51" t="n">
        <v>0</v>
      </c>
    </row>
    <row r="2230">
      <c r="A2230">
        <f>HYPERLINK("https://www.walmart.com/ip/172245618", "172245618")</f>
        <v/>
      </c>
      <c r="B2230" t="inlineStr">
        <is>
          <t>JenniWears® Women's Plus Size Stretch Lace Gartered Chemise and G-string Set</t>
        </is>
      </c>
      <c r="C2230" t="inlineStr">
        <is>
          <t>JWBD01LE-XL</t>
        </is>
      </c>
      <c r="D2230" t="inlineStr">
        <is>
          <t>Lingerie Sets</t>
        </is>
      </c>
      <c r="E2230" t="inlineStr">
        <is>
          <t>JenniWears</t>
        </is>
      </c>
      <c r="F2230" t="inlineStr">
        <is>
          <t>Valentine</t>
        </is>
      </c>
      <c r="G2230" s="48" t="n">
        <v>0</v>
      </c>
      <c r="H2230" s="49" t="n">
        <v>0</v>
      </c>
      <c r="I2230" s="49" t="n">
        <v>0</v>
      </c>
      <c r="J2230" s="50" t="n">
        <v>0</v>
      </c>
      <c r="K2230" s="51" t="n">
        <v>0</v>
      </c>
      <c r="L2230" s="52" t="n">
        <v>0</v>
      </c>
      <c r="M2230" s="52" t="n">
        <v>0</v>
      </c>
      <c r="N2230" s="52" t="n">
        <v>0</v>
      </c>
      <c r="O2230" s="53" t="n">
        <v>0</v>
      </c>
      <c r="P2230" s="52" t="n">
        <v>0</v>
      </c>
      <c r="Q2230" s="53" t="n">
        <v>0</v>
      </c>
      <c r="R2230" s="52" t="n">
        <v>0</v>
      </c>
      <c r="S2230" s="51" t="n">
        <v>0</v>
      </c>
      <c r="T2230" s="48" t="n">
        <v>0</v>
      </c>
      <c r="U2230" s="49" t="n">
        <v>0</v>
      </c>
      <c r="V2230" s="49" t="n">
        <v>0</v>
      </c>
      <c r="W2230" s="50" t="n">
        <v>0</v>
      </c>
      <c r="X2230" s="51" t="n">
        <v>0</v>
      </c>
      <c r="Y2230" s="52" t="n">
        <v>0</v>
      </c>
      <c r="Z2230" s="52" t="n">
        <v>0</v>
      </c>
      <c r="AA2230" s="52" t="n">
        <v>0</v>
      </c>
      <c r="AB2230" s="53" t="n">
        <v>0</v>
      </c>
      <c r="AC2230" s="52" t="n">
        <v>0</v>
      </c>
      <c r="AD2230" s="53" t="n">
        <v>0</v>
      </c>
      <c r="AE2230" s="52" t="n">
        <v>0</v>
      </c>
      <c r="AF2230" s="51" t="n">
        <v>0</v>
      </c>
      <c r="AG2230" s="48" t="n">
        <v>0</v>
      </c>
      <c r="AH2230" s="49" t="n">
        <v>0</v>
      </c>
      <c r="AI2230" s="49" t="n">
        <v>0</v>
      </c>
      <c r="AJ2230" s="50" t="n">
        <v>0</v>
      </c>
      <c r="AK2230" s="51" t="n">
        <v>0</v>
      </c>
      <c r="AL2230" s="52" t="n">
        <v>0</v>
      </c>
      <c r="AM2230" s="52" t="n">
        <v>0</v>
      </c>
      <c r="AN2230" s="52" t="n">
        <v>0</v>
      </c>
      <c r="AO2230" s="53" t="n">
        <v>0</v>
      </c>
      <c r="AP2230" s="52" t="n">
        <v>0</v>
      </c>
      <c r="AQ2230" s="53" t="n">
        <v>0</v>
      </c>
      <c r="AR2230" s="52" t="n">
        <v>0</v>
      </c>
      <c r="AS2230" s="51" t="n">
        <v>0</v>
      </c>
      <c r="AT2230" s="48" t="n">
        <v>0</v>
      </c>
      <c r="AU2230" s="49" t="n">
        <v>0</v>
      </c>
      <c r="AV2230" s="49" t="n">
        <v>0</v>
      </c>
      <c r="AW2230" s="50" t="n">
        <v>0</v>
      </c>
      <c r="AX2230" s="51" t="n">
        <v>0</v>
      </c>
      <c r="AY2230" s="52" t="n">
        <v>0</v>
      </c>
      <c r="AZ2230" s="52" t="n">
        <v>0</v>
      </c>
      <c r="BA2230" s="52" t="n">
        <v>0</v>
      </c>
      <c r="BB2230" s="53" t="n">
        <v>0</v>
      </c>
      <c r="BC2230" s="52" t="n">
        <v>0</v>
      </c>
      <c r="BD2230" s="53" t="n">
        <v>0</v>
      </c>
      <c r="BE2230" s="52" t="n">
        <v>0</v>
      </c>
      <c r="BF2230" s="51" t="n">
        <v>0</v>
      </c>
    </row>
    <row r="2231">
      <c r="A2231">
        <f>HYPERLINK("https://www.walmart.com/ip/172322342", "172322342")</f>
        <v/>
      </c>
      <c r="B2231" t="inlineStr">
        <is>
          <t>Tirrinia Bucket Hats for Women | UPF 50+ Sun Protection Cap for Garden, Beach, Travel and Outdoor</t>
        </is>
      </c>
      <c r="C2231" t="inlineStr">
        <is>
          <t>1TRSH9200BL-TBGM</t>
        </is>
      </c>
      <c r="D2231" t="inlineStr">
        <is>
          <t>Hats</t>
        </is>
      </c>
      <c r="E2231" t="inlineStr">
        <is>
          <t>Tirrinia</t>
        </is>
      </c>
      <c r="F2231" t="inlineStr">
        <is>
          <t>Batch 1 - TR</t>
        </is>
      </c>
      <c r="G2231" s="48" t="n">
        <v>0</v>
      </c>
      <c r="H2231" s="49" t="n">
        <v>0</v>
      </c>
      <c r="I2231" s="49" t="n">
        <v>0</v>
      </c>
      <c r="J2231" s="50" t="n">
        <v>0</v>
      </c>
      <c r="K2231" s="51" t="n">
        <v>0</v>
      </c>
      <c r="L2231" s="52" t="n">
        <v>0</v>
      </c>
      <c r="M2231" s="52" t="n">
        <v>0</v>
      </c>
      <c r="N2231" s="52" t="n">
        <v>0</v>
      </c>
      <c r="O2231" s="53" t="n">
        <v>0</v>
      </c>
      <c r="P2231" s="52" t="n">
        <v>0</v>
      </c>
      <c r="Q2231" s="53" t="n">
        <v>0</v>
      </c>
      <c r="R2231" s="52" t="n">
        <v>0</v>
      </c>
      <c r="S2231" s="51" t="n">
        <v>0</v>
      </c>
      <c r="T2231" s="48" t="n">
        <v>9.99</v>
      </c>
      <c r="U2231" s="49" t="n">
        <v>1</v>
      </c>
      <c r="V2231" s="49" t="n">
        <v>0</v>
      </c>
      <c r="W2231" s="50" t="n">
        <v>0</v>
      </c>
      <c r="X2231" s="51" t="n">
        <v>0</v>
      </c>
      <c r="Y2231" s="52" t="n">
        <v>0</v>
      </c>
      <c r="Z2231" s="52" t="n">
        <v>0</v>
      </c>
      <c r="AA2231" s="52" t="n">
        <v>0</v>
      </c>
      <c r="AB2231" s="53" t="n">
        <v>0</v>
      </c>
      <c r="AC2231" s="52" t="n">
        <v>0</v>
      </c>
      <c r="AD2231" s="53" t="n">
        <v>0</v>
      </c>
      <c r="AE2231" s="52" t="n">
        <v>9.99</v>
      </c>
      <c r="AF2231" s="51" t="n">
        <v>0</v>
      </c>
      <c r="AG2231" s="48" t="n">
        <v>0</v>
      </c>
      <c r="AH2231" s="49" t="n">
        <v>0</v>
      </c>
      <c r="AI2231" s="49" t="n">
        <v>0</v>
      </c>
      <c r="AJ2231" s="50" t="n">
        <v>0</v>
      </c>
      <c r="AK2231" s="51" t="n">
        <v>0</v>
      </c>
      <c r="AL2231" s="52" t="n">
        <v>0</v>
      </c>
      <c r="AM2231" s="52" t="n">
        <v>0</v>
      </c>
      <c r="AN2231" s="52" t="n">
        <v>0</v>
      </c>
      <c r="AO2231" s="53" t="n">
        <v>0</v>
      </c>
      <c r="AP2231" s="52" t="n">
        <v>0</v>
      </c>
      <c r="AQ2231" s="53" t="n">
        <v>0</v>
      </c>
      <c r="AR2231" s="52" t="n">
        <v>0</v>
      </c>
      <c r="AS2231" s="51" t="n">
        <v>0</v>
      </c>
      <c r="AT2231" s="48" t="n">
        <v>0</v>
      </c>
      <c r="AU2231" s="49" t="n">
        <v>0</v>
      </c>
      <c r="AV2231" s="49" t="n">
        <v>0</v>
      </c>
      <c r="AW2231" s="50" t="n">
        <v>0</v>
      </c>
      <c r="AX2231" s="51" t="n">
        <v>0</v>
      </c>
      <c r="AY2231" s="52" t="n">
        <v>0</v>
      </c>
      <c r="AZ2231" s="52" t="n">
        <v>0</v>
      </c>
      <c r="BA2231" s="52" t="n">
        <v>0</v>
      </c>
      <c r="BB2231" s="53" t="n">
        <v>0</v>
      </c>
      <c r="BC2231" s="52" t="n">
        <v>0</v>
      </c>
      <c r="BD2231" s="53" t="n">
        <v>0</v>
      </c>
      <c r="BE2231" s="52" t="n">
        <v>0</v>
      </c>
      <c r="BF2231" s="51" t="n">
        <v>0</v>
      </c>
    </row>
    <row r="2232">
      <c r="A2232">
        <f>HYPERLINK("https://www.walmart.com/ip/1701547540", "1701547540")</f>
        <v/>
      </c>
      <c r="B2232" t="inlineStr">
        <is>
          <t>Every Day is Christmas Glass Blown Ornaments Cute Hand Made Figurines Tree Decoration, Fun Rainbow</t>
        </is>
      </c>
      <c r="C2232" t="inlineStr">
        <is>
          <t>EDC-FIGURINE-FUNRAINBOW</t>
        </is>
      </c>
      <c r="D2232" t="inlineStr">
        <is>
          <t>Ornaments</t>
        </is>
      </c>
      <c r="E2232" t="inlineStr">
        <is>
          <t>Every Day is Christmas</t>
        </is>
      </c>
      <c r="G2232" s="48" t="n">
        <v>0</v>
      </c>
      <c r="H2232" s="49" t="n">
        <v>0</v>
      </c>
      <c r="I2232" s="49" t="n">
        <v>0</v>
      </c>
      <c r="J2232" s="50" t="n">
        <v>0</v>
      </c>
      <c r="K2232" s="51" t="n">
        <v>0</v>
      </c>
      <c r="L2232" s="52" t="n">
        <v>0</v>
      </c>
      <c r="M2232" s="52" t="n">
        <v>0</v>
      </c>
      <c r="N2232" s="52" t="n">
        <v>0</v>
      </c>
      <c r="O2232" s="53" t="n">
        <v>0</v>
      </c>
      <c r="P2232" s="52" t="n">
        <v>0</v>
      </c>
      <c r="Q2232" s="53" t="n">
        <v>0</v>
      </c>
      <c r="R2232" s="52" t="n">
        <v>0</v>
      </c>
      <c r="S2232" s="51" t="n">
        <v>0</v>
      </c>
      <c r="T2232" s="48" t="n">
        <v>0</v>
      </c>
      <c r="U2232" s="49" t="n">
        <v>0</v>
      </c>
      <c r="V2232" s="49" t="n">
        <v>0</v>
      </c>
      <c r="W2232" s="50" t="n">
        <v>0</v>
      </c>
      <c r="X2232" s="51" t="n">
        <v>0</v>
      </c>
      <c r="Y2232" s="52" t="n">
        <v>0</v>
      </c>
      <c r="Z2232" s="52" t="n">
        <v>0</v>
      </c>
      <c r="AA2232" s="52" t="n">
        <v>0</v>
      </c>
      <c r="AB2232" s="53" t="n">
        <v>0</v>
      </c>
      <c r="AC2232" s="52" t="n">
        <v>0</v>
      </c>
      <c r="AD2232" s="53" t="n">
        <v>0</v>
      </c>
      <c r="AE2232" s="52" t="n">
        <v>0</v>
      </c>
      <c r="AF2232" s="51" t="n">
        <v>0</v>
      </c>
      <c r="AG2232" s="48" t="n">
        <v>0</v>
      </c>
      <c r="AH2232" s="49" t="n">
        <v>0</v>
      </c>
      <c r="AI2232" s="49" t="n">
        <v>0</v>
      </c>
      <c r="AJ2232" s="50" t="n">
        <v>0</v>
      </c>
      <c r="AK2232" s="51" t="n">
        <v>0</v>
      </c>
      <c r="AL2232" s="52" t="n">
        <v>0</v>
      </c>
      <c r="AM2232" s="52" t="n">
        <v>0</v>
      </c>
      <c r="AN2232" s="52" t="n">
        <v>0</v>
      </c>
      <c r="AO2232" s="53" t="n">
        <v>0</v>
      </c>
      <c r="AP2232" s="52" t="n">
        <v>0</v>
      </c>
      <c r="AQ2232" s="53" t="n">
        <v>0</v>
      </c>
      <c r="AR2232" s="52" t="n">
        <v>0</v>
      </c>
      <c r="AS2232" s="51" t="n">
        <v>0</v>
      </c>
      <c r="AT2232" s="48" t="n">
        <v>0</v>
      </c>
      <c r="AU2232" s="49" t="n">
        <v>0</v>
      </c>
      <c r="AV2232" s="49" t="n">
        <v>0</v>
      </c>
      <c r="AW2232" s="50" t="n">
        <v>0</v>
      </c>
      <c r="AX2232" s="51" t="n">
        <v>0</v>
      </c>
      <c r="AY2232" s="52" t="n">
        <v>0</v>
      </c>
      <c r="AZ2232" s="52" t="n">
        <v>0</v>
      </c>
      <c r="BA2232" s="52" t="n">
        <v>0</v>
      </c>
      <c r="BB2232" s="53" t="n">
        <v>0</v>
      </c>
      <c r="BC2232" s="52" t="n">
        <v>0</v>
      </c>
      <c r="BD2232" s="53" t="n">
        <v>0</v>
      </c>
      <c r="BE2232" s="52" t="n">
        <v>0</v>
      </c>
      <c r="BF2232" s="51" t="n">
        <v>0</v>
      </c>
    </row>
    <row r="2233">
      <c r="A2233">
        <f>HYPERLINK("https://www.walmart.com/ip/169949128", "169949128")</f>
        <v/>
      </c>
      <c r="B2233" t="inlineStr">
        <is>
          <t>Women's High Waist Yoga Pants Workout Running Capri Legging Inner Pocket</t>
        </is>
      </c>
      <c r="C2233" t="inlineStr">
        <is>
          <t>1TRYP105GY-LXL</t>
        </is>
      </c>
      <c r="D2233" t="inlineStr">
        <is>
          <t>Leggings</t>
        </is>
      </c>
      <c r="E2233" t="inlineStr">
        <is>
          <t>Tirrinia</t>
        </is>
      </c>
      <c r="F2233" t="inlineStr">
        <is>
          <t>Optimized</t>
        </is>
      </c>
      <c r="G2233" s="48" t="n">
        <v>0</v>
      </c>
      <c r="H2233" s="49" t="n">
        <v>0</v>
      </c>
      <c r="I2233" s="49" t="n">
        <v>0</v>
      </c>
      <c r="J2233" s="50" t="n">
        <v>0</v>
      </c>
      <c r="K2233" s="51" t="n">
        <v>0</v>
      </c>
      <c r="L2233" s="52" t="n">
        <v>0</v>
      </c>
      <c r="M2233" s="52" t="n">
        <v>0</v>
      </c>
      <c r="N2233" s="52" t="n">
        <v>0</v>
      </c>
      <c r="O2233" s="53" t="n">
        <v>0</v>
      </c>
      <c r="P2233" s="52" t="n">
        <v>0</v>
      </c>
      <c r="Q2233" s="53" t="n">
        <v>0</v>
      </c>
      <c r="R2233" s="52" t="n">
        <v>0</v>
      </c>
      <c r="S2233" s="51" t="n">
        <v>0</v>
      </c>
      <c r="T2233" s="48" t="n">
        <v>0</v>
      </c>
      <c r="U2233" s="49" t="n">
        <v>0</v>
      </c>
      <c r="V2233" s="49" t="n">
        <v>0</v>
      </c>
      <c r="W2233" s="50" t="n">
        <v>0</v>
      </c>
      <c r="X2233" s="51" t="n">
        <v>0</v>
      </c>
      <c r="Y2233" s="52" t="n">
        <v>0</v>
      </c>
      <c r="Z2233" s="52" t="n">
        <v>0</v>
      </c>
      <c r="AA2233" s="52" t="n">
        <v>0</v>
      </c>
      <c r="AB2233" s="53" t="n">
        <v>0</v>
      </c>
      <c r="AC2233" s="52" t="n">
        <v>0</v>
      </c>
      <c r="AD2233" s="53" t="n">
        <v>0</v>
      </c>
      <c r="AE2233" s="52" t="n">
        <v>0</v>
      </c>
      <c r="AF2233" s="51" t="n">
        <v>0</v>
      </c>
      <c r="AG2233" s="48" t="n">
        <v>0</v>
      </c>
      <c r="AH2233" s="49" t="n">
        <v>0</v>
      </c>
      <c r="AI2233" s="49" t="n">
        <v>0</v>
      </c>
      <c r="AJ2233" s="50" t="n">
        <v>0</v>
      </c>
      <c r="AK2233" s="51" t="n">
        <v>0</v>
      </c>
      <c r="AL2233" s="52" t="n">
        <v>0</v>
      </c>
      <c r="AM2233" s="52" t="n">
        <v>0</v>
      </c>
      <c r="AN2233" s="52" t="n">
        <v>0</v>
      </c>
      <c r="AO2233" s="53" t="n">
        <v>0</v>
      </c>
      <c r="AP2233" s="52" t="n">
        <v>0</v>
      </c>
      <c r="AQ2233" s="53" t="n">
        <v>0</v>
      </c>
      <c r="AR2233" s="52" t="n">
        <v>0</v>
      </c>
      <c r="AS2233" s="51" t="n">
        <v>0</v>
      </c>
      <c r="AT2233" s="48" t="n">
        <v>0</v>
      </c>
      <c r="AU2233" s="49" t="n">
        <v>0</v>
      </c>
      <c r="AV2233" s="49" t="n">
        <v>0</v>
      </c>
      <c r="AW2233" s="50" t="n">
        <v>0</v>
      </c>
      <c r="AX2233" s="51" t="n">
        <v>0</v>
      </c>
      <c r="AY2233" s="52" t="n">
        <v>0</v>
      </c>
      <c r="AZ2233" s="52" t="n">
        <v>0</v>
      </c>
      <c r="BA2233" s="52" t="n">
        <v>0</v>
      </c>
      <c r="BB2233" s="53" t="n">
        <v>0</v>
      </c>
      <c r="BC2233" s="52" t="n">
        <v>0</v>
      </c>
      <c r="BD2233" s="53" t="n">
        <v>0</v>
      </c>
      <c r="BE2233" s="52" t="n">
        <v>0</v>
      </c>
      <c r="BF2233" s="51" t="n">
        <v>0</v>
      </c>
    </row>
    <row r="2234">
      <c r="A2234">
        <f>HYPERLINK("https://www.walmart.com/ip/172613286", "172613286")</f>
        <v/>
      </c>
      <c r="B2234" t="inlineStr">
        <is>
          <t>Terra Active Wrap- Stylish Running workout travel waist belt w/ hidden pocket</t>
        </is>
      </c>
      <c r="C2234" t="inlineStr">
        <is>
          <t>TERRA-3BK-L</t>
        </is>
      </c>
      <c r="D2234" t="inlineStr">
        <is>
          <t>Running Belts</t>
        </is>
      </c>
      <c r="E2234" t="inlineStr">
        <is>
          <t>Terra</t>
        </is>
      </c>
      <c r="F2234" t="inlineStr">
        <is>
          <t>Batch 1 - TR</t>
        </is>
      </c>
      <c r="G2234" s="48" t="n">
        <v>0</v>
      </c>
      <c r="H2234" s="49" t="n">
        <v>0</v>
      </c>
      <c r="I2234" s="49" t="n">
        <v>0</v>
      </c>
      <c r="J2234" s="50" t="n">
        <v>0</v>
      </c>
      <c r="K2234" s="51" t="n">
        <v>0</v>
      </c>
      <c r="L2234" s="52" t="n">
        <v>0</v>
      </c>
      <c r="M2234" s="52" t="n">
        <v>0</v>
      </c>
      <c r="N2234" s="52" t="n">
        <v>0</v>
      </c>
      <c r="O2234" s="53" t="n">
        <v>0</v>
      </c>
      <c r="P2234" s="52" t="n">
        <v>0</v>
      </c>
      <c r="Q2234" s="53" t="n">
        <v>0</v>
      </c>
      <c r="R2234" s="52" t="n">
        <v>0</v>
      </c>
      <c r="S2234" s="51" t="n">
        <v>0</v>
      </c>
      <c r="T2234" s="48" t="n">
        <v>0</v>
      </c>
      <c r="U2234" s="49" t="n">
        <v>0</v>
      </c>
      <c r="V2234" s="49" t="n">
        <v>0</v>
      </c>
      <c r="W2234" s="50" t="n">
        <v>0</v>
      </c>
      <c r="X2234" s="51" t="n">
        <v>0</v>
      </c>
      <c r="Y2234" s="52" t="n">
        <v>0</v>
      </c>
      <c r="Z2234" s="52" t="n">
        <v>0</v>
      </c>
      <c r="AA2234" s="52" t="n">
        <v>0</v>
      </c>
      <c r="AB2234" s="53" t="n">
        <v>0</v>
      </c>
      <c r="AC2234" s="52" t="n">
        <v>0</v>
      </c>
      <c r="AD2234" s="53" t="n">
        <v>0</v>
      </c>
      <c r="AE2234" s="52" t="n">
        <v>0</v>
      </c>
      <c r="AF2234" s="51" t="n">
        <v>0</v>
      </c>
      <c r="AG2234" s="48" t="n">
        <v>0</v>
      </c>
      <c r="AH2234" s="49" t="n">
        <v>0</v>
      </c>
      <c r="AI2234" s="49" t="n">
        <v>0</v>
      </c>
      <c r="AJ2234" s="50" t="n">
        <v>0</v>
      </c>
      <c r="AK2234" s="51" t="n">
        <v>0</v>
      </c>
      <c r="AL2234" s="52" t="n">
        <v>0</v>
      </c>
      <c r="AM2234" s="52" t="n">
        <v>0</v>
      </c>
      <c r="AN2234" s="52" t="n">
        <v>0</v>
      </c>
      <c r="AO2234" s="53" t="n">
        <v>0</v>
      </c>
      <c r="AP2234" s="52" t="n">
        <v>0</v>
      </c>
      <c r="AQ2234" s="53" t="n">
        <v>0</v>
      </c>
      <c r="AR2234" s="52" t="n">
        <v>0</v>
      </c>
      <c r="AS2234" s="51" t="n">
        <v>0</v>
      </c>
      <c r="AT2234" s="48" t="n">
        <v>0</v>
      </c>
      <c r="AU2234" s="49" t="n">
        <v>0</v>
      </c>
      <c r="AV2234" s="49" t="n">
        <v>0</v>
      </c>
      <c r="AW2234" s="50" t="n">
        <v>0</v>
      </c>
      <c r="AX2234" s="51" t="n">
        <v>0</v>
      </c>
      <c r="AY2234" s="52" t="n">
        <v>0</v>
      </c>
      <c r="AZ2234" s="52" t="n">
        <v>0</v>
      </c>
      <c r="BA2234" s="52" t="n">
        <v>0</v>
      </c>
      <c r="BB2234" s="53" t="n">
        <v>0</v>
      </c>
      <c r="BC2234" s="52" t="n">
        <v>0</v>
      </c>
      <c r="BD2234" s="53" t="n">
        <v>0</v>
      </c>
      <c r="BE2234" s="52" t="n">
        <v>0</v>
      </c>
      <c r="BF2234" s="51" t="n">
        <v>0</v>
      </c>
    </row>
    <row r="2235">
      <c r="A2235">
        <f>HYPERLINK("https://www.walmart.com/ip/169902585", "169902585")</f>
        <v/>
      </c>
      <c r="B2235" t="inlineStr">
        <is>
          <t>KC Caps® Unisex Cotton Baseball Cap Adjustable Plain Hat (21 Styles/Colors)</t>
        </is>
      </c>
      <c r="C2235" t="inlineStr">
        <is>
          <t>KC8010KK</t>
        </is>
      </c>
      <c r="D2235" t="inlineStr">
        <is>
          <t>Hats</t>
        </is>
      </c>
      <c r="E2235" t="inlineStr">
        <is>
          <t>KC Caps</t>
        </is>
      </c>
      <c r="F2235" t="inlineStr">
        <is>
          <t>Optimized</t>
        </is>
      </c>
      <c r="G2235" s="48" t="n">
        <v>0</v>
      </c>
      <c r="H2235" s="49" t="n">
        <v>0</v>
      </c>
      <c r="I2235" s="49" t="n">
        <v>0</v>
      </c>
      <c r="J2235" s="50" t="n">
        <v>0</v>
      </c>
      <c r="K2235" s="51" t="n">
        <v>0</v>
      </c>
      <c r="L2235" s="52" t="n">
        <v>0</v>
      </c>
      <c r="M2235" s="52" t="n">
        <v>0</v>
      </c>
      <c r="N2235" s="52" t="n">
        <v>0</v>
      </c>
      <c r="O2235" s="53" t="n">
        <v>0</v>
      </c>
      <c r="P2235" s="52" t="n">
        <v>0</v>
      </c>
      <c r="Q2235" s="53" t="n">
        <v>0</v>
      </c>
      <c r="R2235" s="52" t="n">
        <v>0</v>
      </c>
      <c r="S2235" s="51" t="n">
        <v>0</v>
      </c>
      <c r="T2235" s="48" t="n">
        <v>0</v>
      </c>
      <c r="U2235" s="49" t="n">
        <v>0</v>
      </c>
      <c r="V2235" s="49" t="n">
        <v>0</v>
      </c>
      <c r="W2235" s="50" t="n">
        <v>0</v>
      </c>
      <c r="X2235" s="51" t="n">
        <v>0</v>
      </c>
      <c r="Y2235" s="52" t="n">
        <v>0</v>
      </c>
      <c r="Z2235" s="52" t="n">
        <v>0</v>
      </c>
      <c r="AA2235" s="52" t="n">
        <v>0</v>
      </c>
      <c r="AB2235" s="53" t="n">
        <v>0</v>
      </c>
      <c r="AC2235" s="52" t="n">
        <v>0</v>
      </c>
      <c r="AD2235" s="53" t="n">
        <v>0</v>
      </c>
      <c r="AE2235" s="52" t="n">
        <v>0</v>
      </c>
      <c r="AF2235" s="51" t="n">
        <v>0</v>
      </c>
      <c r="AG2235" s="48" t="n">
        <v>7.99</v>
      </c>
      <c r="AH2235" s="49" t="n">
        <v>1</v>
      </c>
      <c r="AI2235" s="49" t="n">
        <v>0</v>
      </c>
      <c r="AJ2235" s="50" t="n">
        <v>0</v>
      </c>
      <c r="AK2235" s="51" t="n">
        <v>0</v>
      </c>
      <c r="AL2235" s="52" t="n">
        <v>0</v>
      </c>
      <c r="AM2235" s="52" t="n">
        <v>0</v>
      </c>
      <c r="AN2235" s="52" t="n">
        <v>0</v>
      </c>
      <c r="AO2235" s="53" t="n">
        <v>0</v>
      </c>
      <c r="AP2235" s="52" t="n">
        <v>0</v>
      </c>
      <c r="AQ2235" s="53" t="n">
        <v>0</v>
      </c>
      <c r="AR2235" s="52" t="n">
        <v>7.99</v>
      </c>
      <c r="AS2235" s="51" t="n">
        <v>0</v>
      </c>
      <c r="AT2235" s="48" t="n">
        <v>0</v>
      </c>
      <c r="AU2235" s="49" t="n">
        <v>0</v>
      </c>
      <c r="AV2235" s="49" t="n">
        <v>0</v>
      </c>
      <c r="AW2235" s="50" t="n">
        <v>0</v>
      </c>
      <c r="AX2235" s="51" t="n">
        <v>0</v>
      </c>
      <c r="AY2235" s="52" t="n">
        <v>0</v>
      </c>
      <c r="AZ2235" s="52" t="n">
        <v>0</v>
      </c>
      <c r="BA2235" s="52" t="n">
        <v>0</v>
      </c>
      <c r="BB2235" s="53" t="n">
        <v>0</v>
      </c>
      <c r="BC2235" s="52" t="n">
        <v>0</v>
      </c>
      <c r="BD2235" s="53" t="n">
        <v>0</v>
      </c>
      <c r="BE2235" s="52" t="n">
        <v>0</v>
      </c>
      <c r="BF2235" s="51" t="n">
        <v>0</v>
      </c>
    </row>
    <row r="2236">
      <c r="A2236">
        <f>HYPERLINK("https://www.walmart.com/ip/1672958313", "1672958313")</f>
        <v/>
      </c>
      <c r="B2236" t="inlineStr">
        <is>
          <t>Every Day is Christmas Glass Blown Ornaments Cute Hand Made Figurines Tree Decoration, Dolphin</t>
        </is>
      </c>
      <c r="C2236" t="inlineStr">
        <is>
          <t>EDC-FIGURINE-DOLPHIN</t>
        </is>
      </c>
      <c r="D2236" t="inlineStr">
        <is>
          <t>Ornaments</t>
        </is>
      </c>
      <c r="E2236" t="inlineStr">
        <is>
          <t>Every Day is Christmas</t>
        </is>
      </c>
      <c r="G2236" s="48" t="n">
        <v>0</v>
      </c>
      <c r="H2236" s="49" t="n">
        <v>0</v>
      </c>
      <c r="I2236" s="49" t="n">
        <v>0</v>
      </c>
      <c r="J2236" s="50" t="n">
        <v>0</v>
      </c>
      <c r="K2236" s="51" t="n">
        <v>0</v>
      </c>
      <c r="L2236" s="52" t="n">
        <v>0</v>
      </c>
      <c r="M2236" s="52" t="n">
        <v>0</v>
      </c>
      <c r="N2236" s="52" t="n">
        <v>0</v>
      </c>
      <c r="O2236" s="53" t="n">
        <v>0</v>
      </c>
      <c r="P2236" s="52" t="n">
        <v>0</v>
      </c>
      <c r="Q2236" s="53" t="n">
        <v>0</v>
      </c>
      <c r="R2236" s="52" t="n">
        <v>0</v>
      </c>
      <c r="S2236" s="51" t="n">
        <v>0</v>
      </c>
      <c r="T2236" s="48" t="n">
        <v>0</v>
      </c>
      <c r="U2236" s="49" t="n">
        <v>0</v>
      </c>
      <c r="V2236" s="49" t="n">
        <v>0</v>
      </c>
      <c r="W2236" s="50" t="n">
        <v>0</v>
      </c>
      <c r="X2236" s="51" t="n">
        <v>0</v>
      </c>
      <c r="Y2236" s="52" t="n">
        <v>0</v>
      </c>
      <c r="Z2236" s="52" t="n">
        <v>0</v>
      </c>
      <c r="AA2236" s="52" t="n">
        <v>0</v>
      </c>
      <c r="AB2236" s="53" t="n">
        <v>0</v>
      </c>
      <c r="AC2236" s="52" t="n">
        <v>0</v>
      </c>
      <c r="AD2236" s="53" t="n">
        <v>0</v>
      </c>
      <c r="AE2236" s="52" t="n">
        <v>0</v>
      </c>
      <c r="AF2236" s="51" t="n">
        <v>0</v>
      </c>
      <c r="AG2236" s="48" t="n">
        <v>0</v>
      </c>
      <c r="AH2236" s="49" t="n">
        <v>0</v>
      </c>
      <c r="AI2236" s="49" t="n">
        <v>0</v>
      </c>
      <c r="AJ2236" s="50" t="n">
        <v>0</v>
      </c>
      <c r="AK2236" s="51" t="n">
        <v>0</v>
      </c>
      <c r="AL2236" s="52" t="n">
        <v>0</v>
      </c>
      <c r="AM2236" s="52" t="n">
        <v>0</v>
      </c>
      <c r="AN2236" s="52" t="n">
        <v>0</v>
      </c>
      <c r="AO2236" s="53" t="n">
        <v>0</v>
      </c>
      <c r="AP2236" s="52" t="n">
        <v>0</v>
      </c>
      <c r="AQ2236" s="53" t="n">
        <v>0</v>
      </c>
      <c r="AR2236" s="52" t="n">
        <v>0</v>
      </c>
      <c r="AS2236" s="51" t="n">
        <v>0</v>
      </c>
      <c r="AT2236" s="48" t="n">
        <v>0</v>
      </c>
      <c r="AU2236" s="49" t="n">
        <v>0</v>
      </c>
      <c r="AV2236" s="49" t="n">
        <v>0</v>
      </c>
      <c r="AW2236" s="50" t="n">
        <v>0</v>
      </c>
      <c r="AX2236" s="51" t="n">
        <v>0</v>
      </c>
      <c r="AY2236" s="52" t="n">
        <v>0</v>
      </c>
      <c r="AZ2236" s="52" t="n">
        <v>0</v>
      </c>
      <c r="BA2236" s="52" t="n">
        <v>0</v>
      </c>
      <c r="BB2236" s="53" t="n">
        <v>0</v>
      </c>
      <c r="BC2236" s="52" t="n">
        <v>0</v>
      </c>
      <c r="BD2236" s="53" t="n">
        <v>0</v>
      </c>
      <c r="BE2236" s="52" t="n">
        <v>0</v>
      </c>
      <c r="BF2236" s="51" t="n">
        <v>0</v>
      </c>
    </row>
    <row r="2237">
      <c r="A2237">
        <f>HYPERLINK("https://www.walmart.com/ip/167474030", "167474030")</f>
        <v/>
      </c>
      <c r="B2237" t="inlineStr">
        <is>
          <t>Catalonia Patriotic US Flag Blanket, Sherpa Fleece Plush Super Soft Cozy Warm Reversible Blanket for Couch Bed, 4th of July Citizenship Veteran Labor Day Gift, 50x60 inches</t>
        </is>
      </c>
      <c r="C2237" t="inlineStr">
        <is>
          <t>1CTBF300USA4</t>
        </is>
      </c>
      <c r="D2237" t="inlineStr">
        <is>
          <t>Throws</t>
        </is>
      </c>
      <c r="E2237" t="inlineStr">
        <is>
          <t>Catalonia</t>
        </is>
      </c>
      <c r="F2237" t="inlineStr">
        <is>
          <t>WFS,WFS Item</t>
        </is>
      </c>
      <c r="G2237" s="48" t="n">
        <v>0</v>
      </c>
      <c r="H2237" s="49" t="n">
        <v>0</v>
      </c>
      <c r="I2237" s="49" t="n">
        <v>0</v>
      </c>
      <c r="J2237" s="50" t="n">
        <v>0</v>
      </c>
      <c r="K2237" s="51" t="n">
        <v>0</v>
      </c>
      <c r="L2237" s="52" t="n">
        <v>0</v>
      </c>
      <c r="M2237" s="52" t="n">
        <v>0</v>
      </c>
      <c r="N2237" s="52" t="n">
        <v>0</v>
      </c>
      <c r="O2237" s="53" t="n">
        <v>0</v>
      </c>
      <c r="P2237" s="52" t="n">
        <v>0</v>
      </c>
      <c r="Q2237" s="53" t="n">
        <v>0</v>
      </c>
      <c r="R2237" s="52" t="n">
        <v>0</v>
      </c>
      <c r="S2237" s="51" t="n">
        <v>0</v>
      </c>
      <c r="T2237" s="48" t="n">
        <v>0</v>
      </c>
      <c r="U2237" s="49" t="n">
        <v>0</v>
      </c>
      <c r="V2237" s="49" t="n">
        <v>0</v>
      </c>
      <c r="W2237" s="50" t="n">
        <v>0</v>
      </c>
      <c r="X2237" s="51" t="n">
        <v>0</v>
      </c>
      <c r="Y2237" s="52" t="n">
        <v>0</v>
      </c>
      <c r="Z2237" s="52" t="n">
        <v>0</v>
      </c>
      <c r="AA2237" s="52" t="n">
        <v>0</v>
      </c>
      <c r="AB2237" s="53" t="n">
        <v>0</v>
      </c>
      <c r="AC2237" s="52" t="n">
        <v>0</v>
      </c>
      <c r="AD2237" s="53" t="n">
        <v>0</v>
      </c>
      <c r="AE2237" s="52" t="n">
        <v>0</v>
      </c>
      <c r="AF2237" s="51" t="n">
        <v>0</v>
      </c>
      <c r="AG2237" s="48" t="n">
        <v>0</v>
      </c>
      <c r="AH2237" s="49" t="n">
        <v>0</v>
      </c>
      <c r="AI2237" s="49" t="n">
        <v>0</v>
      </c>
      <c r="AJ2237" s="50" t="n">
        <v>0</v>
      </c>
      <c r="AK2237" s="51" t="n">
        <v>0</v>
      </c>
      <c r="AL2237" s="52" t="n">
        <v>0</v>
      </c>
      <c r="AM2237" s="52" t="n">
        <v>0</v>
      </c>
      <c r="AN2237" s="52" t="n">
        <v>0</v>
      </c>
      <c r="AO2237" s="53" t="n">
        <v>0</v>
      </c>
      <c r="AP2237" s="52" t="n">
        <v>0</v>
      </c>
      <c r="AQ2237" s="53" t="n">
        <v>0</v>
      </c>
      <c r="AR2237" s="52" t="n">
        <v>0</v>
      </c>
      <c r="AS2237" s="51" t="n">
        <v>0</v>
      </c>
      <c r="AT2237" s="48" t="n">
        <v>0</v>
      </c>
      <c r="AU2237" s="49" t="n">
        <v>0</v>
      </c>
      <c r="AV2237" s="49" t="n">
        <v>0</v>
      </c>
      <c r="AW2237" s="50" t="n">
        <v>0</v>
      </c>
      <c r="AX2237" s="51" t="n">
        <v>0</v>
      </c>
      <c r="AY2237" s="52" t="n">
        <v>0</v>
      </c>
      <c r="AZ2237" s="52" t="n">
        <v>0</v>
      </c>
      <c r="BA2237" s="52" t="n">
        <v>0</v>
      </c>
      <c r="BB2237" s="53" t="n">
        <v>0</v>
      </c>
      <c r="BC2237" s="52" t="n">
        <v>0</v>
      </c>
      <c r="BD2237" s="53" t="n">
        <v>0</v>
      </c>
      <c r="BE2237" s="52" t="n">
        <v>0</v>
      </c>
      <c r="BF2237" s="51" t="n">
        <v>0</v>
      </c>
    </row>
    <row r="2238">
      <c r="A2238">
        <f>HYPERLINK("https://www.walmart.com/ip/167804199", "167804199")</f>
        <v/>
      </c>
      <c r="B2238" t="inlineStr">
        <is>
          <t>Napa Super Soft Micro Fleece Sherpa Bed Throw TV Blanket 50" x 60" Reversible Wine</t>
        </is>
      </c>
      <c r="C2238" t="inlineStr">
        <is>
          <t>K8010WINE</t>
        </is>
      </c>
      <c r="D2238" t="inlineStr">
        <is>
          <t>Throws</t>
        </is>
      </c>
      <c r="E2238" t="inlineStr">
        <is>
          <t>NAPA</t>
        </is>
      </c>
      <c r="F2238" t="inlineStr">
        <is>
          <t>Batch 1 - TR</t>
        </is>
      </c>
      <c r="G2238" s="48" t="n">
        <v>0</v>
      </c>
      <c r="H2238" s="49" t="n">
        <v>0</v>
      </c>
      <c r="I2238" s="49" t="n">
        <v>0</v>
      </c>
      <c r="J2238" s="50" t="n">
        <v>0</v>
      </c>
      <c r="K2238" s="51" t="n">
        <v>0</v>
      </c>
      <c r="L2238" s="52" t="n">
        <v>0</v>
      </c>
      <c r="M2238" s="52" t="n">
        <v>0</v>
      </c>
      <c r="N2238" s="52" t="n">
        <v>0</v>
      </c>
      <c r="O2238" s="53" t="n">
        <v>0</v>
      </c>
      <c r="P2238" s="52" t="n">
        <v>0</v>
      </c>
      <c r="Q2238" s="53" t="n">
        <v>0</v>
      </c>
      <c r="R2238" s="52" t="n">
        <v>0</v>
      </c>
      <c r="S2238" s="51" t="n">
        <v>0</v>
      </c>
      <c r="T2238" s="48" t="n">
        <v>0</v>
      </c>
      <c r="U2238" s="49" t="n">
        <v>0</v>
      </c>
      <c r="V2238" s="49" t="n">
        <v>0</v>
      </c>
      <c r="W2238" s="50" t="n">
        <v>0</v>
      </c>
      <c r="X2238" s="51" t="n">
        <v>0</v>
      </c>
      <c r="Y2238" s="52" t="n">
        <v>0</v>
      </c>
      <c r="Z2238" s="52" t="n">
        <v>0</v>
      </c>
      <c r="AA2238" s="52" t="n">
        <v>0</v>
      </c>
      <c r="AB2238" s="53" t="n">
        <v>0</v>
      </c>
      <c r="AC2238" s="52" t="n">
        <v>0</v>
      </c>
      <c r="AD2238" s="53" t="n">
        <v>0</v>
      </c>
      <c r="AE2238" s="52" t="n">
        <v>0</v>
      </c>
      <c r="AF2238" s="51" t="n">
        <v>0</v>
      </c>
      <c r="AG2238" s="48" t="n">
        <v>0</v>
      </c>
      <c r="AH2238" s="49" t="n">
        <v>0</v>
      </c>
      <c r="AI2238" s="49" t="n">
        <v>0</v>
      </c>
      <c r="AJ2238" s="50" t="n">
        <v>0</v>
      </c>
      <c r="AK2238" s="51" t="n">
        <v>0</v>
      </c>
      <c r="AL2238" s="52" t="n">
        <v>0</v>
      </c>
      <c r="AM2238" s="52" t="n">
        <v>0</v>
      </c>
      <c r="AN2238" s="52" t="n">
        <v>0</v>
      </c>
      <c r="AO2238" s="53" t="n">
        <v>0</v>
      </c>
      <c r="AP2238" s="52" t="n">
        <v>0</v>
      </c>
      <c r="AQ2238" s="53" t="n">
        <v>0</v>
      </c>
      <c r="AR2238" s="52" t="n">
        <v>0</v>
      </c>
      <c r="AS2238" s="51" t="n">
        <v>0</v>
      </c>
      <c r="AT2238" s="48" t="n">
        <v>0</v>
      </c>
      <c r="AU2238" s="49" t="n">
        <v>0</v>
      </c>
      <c r="AV2238" s="49" t="n">
        <v>0</v>
      </c>
      <c r="AW2238" s="50" t="n">
        <v>0</v>
      </c>
      <c r="AX2238" s="51" t="n">
        <v>0</v>
      </c>
      <c r="AY2238" s="52" t="n">
        <v>0</v>
      </c>
      <c r="AZ2238" s="52" t="n">
        <v>0</v>
      </c>
      <c r="BA2238" s="52" t="n">
        <v>0</v>
      </c>
      <c r="BB2238" s="53" t="n">
        <v>0</v>
      </c>
      <c r="BC2238" s="52" t="n">
        <v>0</v>
      </c>
      <c r="BD2238" s="53" t="n">
        <v>0</v>
      </c>
      <c r="BE2238" s="52" t="n">
        <v>0</v>
      </c>
      <c r="BF2238" s="51" t="n">
        <v>0</v>
      </c>
    </row>
    <row r="2239">
      <c r="A2239">
        <f>HYPERLINK("https://www.walmart.com/ip/1679171554", "1679171554")</f>
        <v/>
      </c>
      <c r="B2239" t="inlineStr">
        <is>
          <t>Every Day is Christmas Glass Blown Ornaments Cute Hand Made Figurines Tree Decoration, set of 2 Football</t>
        </is>
      </c>
      <c r="C2239" t="inlineStr">
        <is>
          <t>EDC-FIGURINE-FOOTBALL</t>
        </is>
      </c>
      <c r="D2239" t="inlineStr">
        <is>
          <t>Ornaments</t>
        </is>
      </c>
      <c r="E2239" t="inlineStr">
        <is>
          <t>Every Day is Christmas</t>
        </is>
      </c>
      <c r="G2239" s="48" t="n">
        <v>0</v>
      </c>
      <c r="H2239" s="49" t="n">
        <v>0</v>
      </c>
      <c r="I2239" s="49" t="n">
        <v>0</v>
      </c>
      <c r="J2239" s="50" t="n">
        <v>0</v>
      </c>
      <c r="K2239" s="51" t="n">
        <v>0</v>
      </c>
      <c r="L2239" s="52" t="n">
        <v>0</v>
      </c>
      <c r="M2239" s="52" t="n">
        <v>0</v>
      </c>
      <c r="N2239" s="52" t="n">
        <v>0</v>
      </c>
      <c r="O2239" s="53" t="n">
        <v>0</v>
      </c>
      <c r="P2239" s="52" t="n">
        <v>0</v>
      </c>
      <c r="Q2239" s="53" t="n">
        <v>0</v>
      </c>
      <c r="R2239" s="52" t="n">
        <v>0</v>
      </c>
      <c r="S2239" s="51" t="n">
        <v>0</v>
      </c>
      <c r="T2239" s="48" t="n">
        <v>0</v>
      </c>
      <c r="U2239" s="49" t="n">
        <v>0</v>
      </c>
      <c r="V2239" s="49" t="n">
        <v>0</v>
      </c>
      <c r="W2239" s="50" t="n">
        <v>0</v>
      </c>
      <c r="X2239" s="51" t="n">
        <v>0</v>
      </c>
      <c r="Y2239" s="52" t="n">
        <v>0</v>
      </c>
      <c r="Z2239" s="52" t="n">
        <v>0</v>
      </c>
      <c r="AA2239" s="52" t="n">
        <v>0</v>
      </c>
      <c r="AB2239" s="53" t="n">
        <v>0</v>
      </c>
      <c r="AC2239" s="52" t="n">
        <v>0</v>
      </c>
      <c r="AD2239" s="53" t="n">
        <v>0</v>
      </c>
      <c r="AE2239" s="52" t="n">
        <v>0</v>
      </c>
      <c r="AF2239" s="51" t="n">
        <v>0</v>
      </c>
      <c r="AG2239" s="48" t="n">
        <v>0</v>
      </c>
      <c r="AH2239" s="49" t="n">
        <v>0</v>
      </c>
      <c r="AI2239" s="49" t="n">
        <v>0</v>
      </c>
      <c r="AJ2239" s="50" t="n">
        <v>0</v>
      </c>
      <c r="AK2239" s="51" t="n">
        <v>0</v>
      </c>
      <c r="AL2239" s="52" t="n">
        <v>0</v>
      </c>
      <c r="AM2239" s="52" t="n">
        <v>0</v>
      </c>
      <c r="AN2239" s="52" t="n">
        <v>0</v>
      </c>
      <c r="AO2239" s="53" t="n">
        <v>0</v>
      </c>
      <c r="AP2239" s="52" t="n">
        <v>0</v>
      </c>
      <c r="AQ2239" s="53" t="n">
        <v>0</v>
      </c>
      <c r="AR2239" s="52" t="n">
        <v>0</v>
      </c>
      <c r="AS2239" s="51" t="n">
        <v>0</v>
      </c>
      <c r="AT2239" s="48" t="n">
        <v>0</v>
      </c>
      <c r="AU2239" s="49" t="n">
        <v>0</v>
      </c>
      <c r="AV2239" s="49" t="n">
        <v>0</v>
      </c>
      <c r="AW2239" s="50" t="n">
        <v>0</v>
      </c>
      <c r="AX2239" s="51" t="n">
        <v>0</v>
      </c>
      <c r="AY2239" s="52" t="n">
        <v>0</v>
      </c>
      <c r="AZ2239" s="52" t="n">
        <v>0</v>
      </c>
      <c r="BA2239" s="52" t="n">
        <v>0</v>
      </c>
      <c r="BB2239" s="53" t="n">
        <v>0</v>
      </c>
      <c r="BC2239" s="52" t="n">
        <v>0</v>
      </c>
      <c r="BD2239" s="53" t="n">
        <v>0</v>
      </c>
      <c r="BE2239" s="52" t="n">
        <v>0</v>
      </c>
      <c r="BF2239" s="51" t="n">
        <v>0</v>
      </c>
    </row>
    <row r="2240">
      <c r="A2240">
        <f>HYPERLINK("https://www.walmart.com/ip/168177810", "168177810")</f>
        <v/>
      </c>
      <c r="B2240" t="inlineStr">
        <is>
          <t>Tirrinia Insulated Lunch Bag,Leakproof Thermal Bento Lunch Box Tote for Adult and Kids,Student Back to School,Work,Office Cooler Bag,Green</t>
        </is>
      </c>
      <c r="C2240" t="inlineStr">
        <is>
          <t>1KTLB600BKGN</t>
        </is>
      </c>
      <c r="D2240" t="inlineStr">
        <is>
          <t>Reusable Lunch Bags &amp; Boxes</t>
        </is>
      </c>
      <c r="E2240" t="inlineStr">
        <is>
          <t>Tirrinia</t>
        </is>
      </c>
      <c r="F2240" t="inlineStr">
        <is>
          <t>Q2-Target,Brand Camp VD,Lunch Bag,Lunch Bags</t>
        </is>
      </c>
      <c r="G2240" s="48" t="n">
        <v>0</v>
      </c>
      <c r="H2240" s="49" t="n">
        <v>0</v>
      </c>
      <c r="I2240" s="49" t="n">
        <v>0</v>
      </c>
      <c r="J2240" s="50" t="n">
        <v>0</v>
      </c>
      <c r="K2240" s="51" t="n">
        <v>0</v>
      </c>
      <c r="L2240" s="52" t="n">
        <v>0</v>
      </c>
      <c r="M2240" s="52" t="n">
        <v>0</v>
      </c>
      <c r="N2240" s="52" t="n">
        <v>0</v>
      </c>
      <c r="O2240" s="53" t="n">
        <v>0</v>
      </c>
      <c r="P2240" s="52" t="n">
        <v>0</v>
      </c>
      <c r="Q2240" s="53" t="n">
        <v>0</v>
      </c>
      <c r="R2240" s="52" t="n">
        <v>0</v>
      </c>
      <c r="S2240" s="51" t="n">
        <v>0</v>
      </c>
      <c r="T2240" s="48" t="n">
        <v>0</v>
      </c>
      <c r="U2240" s="49" t="n">
        <v>0</v>
      </c>
      <c r="V2240" s="49" t="n">
        <v>0</v>
      </c>
      <c r="W2240" s="50" t="n">
        <v>0</v>
      </c>
      <c r="X2240" s="51" t="n">
        <v>0</v>
      </c>
      <c r="Y2240" s="52" t="n">
        <v>0</v>
      </c>
      <c r="Z2240" s="52" t="n">
        <v>0</v>
      </c>
      <c r="AA2240" s="52" t="n">
        <v>0</v>
      </c>
      <c r="AB2240" s="53" t="n">
        <v>0</v>
      </c>
      <c r="AC2240" s="52" t="n">
        <v>0</v>
      </c>
      <c r="AD2240" s="53" t="n">
        <v>0</v>
      </c>
      <c r="AE2240" s="52" t="n">
        <v>0</v>
      </c>
      <c r="AF2240" s="51" t="n">
        <v>0</v>
      </c>
      <c r="AG2240" s="48" t="n">
        <v>0</v>
      </c>
      <c r="AH2240" s="49" t="n">
        <v>0</v>
      </c>
      <c r="AI2240" s="49" t="n">
        <v>0</v>
      </c>
      <c r="AJ2240" s="50" t="n">
        <v>0</v>
      </c>
      <c r="AK2240" s="51" t="n">
        <v>0</v>
      </c>
      <c r="AL2240" s="52" t="n">
        <v>0</v>
      </c>
      <c r="AM2240" s="52" t="n">
        <v>0</v>
      </c>
      <c r="AN2240" s="52" t="n">
        <v>0</v>
      </c>
      <c r="AO2240" s="53" t="n">
        <v>0</v>
      </c>
      <c r="AP2240" s="52" t="n">
        <v>0</v>
      </c>
      <c r="AQ2240" s="53" t="n">
        <v>0</v>
      </c>
      <c r="AR2240" s="52" t="n">
        <v>0</v>
      </c>
      <c r="AS2240" s="51" t="n">
        <v>0</v>
      </c>
      <c r="AT2240" s="48" t="n">
        <v>0</v>
      </c>
      <c r="AU2240" s="49" t="n">
        <v>0</v>
      </c>
      <c r="AV2240" s="49" t="n">
        <v>0</v>
      </c>
      <c r="AW2240" s="50" t="n">
        <v>0</v>
      </c>
      <c r="AX2240" s="51" t="n">
        <v>0</v>
      </c>
      <c r="AY2240" s="52" t="n">
        <v>0</v>
      </c>
      <c r="AZ2240" s="52" t="n">
        <v>0</v>
      </c>
      <c r="BA2240" s="52" t="n">
        <v>0</v>
      </c>
      <c r="BB2240" s="53" t="n">
        <v>0</v>
      </c>
      <c r="BC2240" s="52" t="n">
        <v>0</v>
      </c>
      <c r="BD2240" s="53" t="n">
        <v>0</v>
      </c>
      <c r="BE2240" s="52" t="n">
        <v>0</v>
      </c>
      <c r="BF2240" s="51" t="n">
        <v>0</v>
      </c>
    </row>
    <row r="2241">
      <c r="A2241">
        <f>HYPERLINK("https://www.walmart.com/ip/168263703", "168263703")</f>
        <v/>
      </c>
      <c r="B2241" t="inlineStr">
        <is>
          <t>JenniWears® Women's Stretch Mesh Bikini Panty with Open Back Heart Detail</t>
        </is>
      </c>
      <c r="C2241" t="inlineStr">
        <is>
          <t>JWPT02PK-M</t>
        </is>
      </c>
      <c r="D2241" t="inlineStr">
        <is>
          <t>Panties</t>
        </is>
      </c>
      <c r="E2241" t="inlineStr">
        <is>
          <t>JenniWears</t>
        </is>
      </c>
      <c r="F2241" t="inlineStr">
        <is>
          <t>Valentine</t>
        </is>
      </c>
      <c r="G2241" s="48" t="n">
        <v>0</v>
      </c>
      <c r="H2241" s="49" t="n">
        <v>0</v>
      </c>
      <c r="I2241" s="49" t="n">
        <v>0</v>
      </c>
      <c r="J2241" s="50" t="n">
        <v>0</v>
      </c>
      <c r="K2241" s="51" t="n">
        <v>0</v>
      </c>
      <c r="L2241" s="52" t="n">
        <v>0</v>
      </c>
      <c r="M2241" s="52" t="n">
        <v>0</v>
      </c>
      <c r="N2241" s="52" t="n">
        <v>0</v>
      </c>
      <c r="O2241" s="53" t="n">
        <v>0</v>
      </c>
      <c r="P2241" s="52" t="n">
        <v>0</v>
      </c>
      <c r="Q2241" s="53" t="n">
        <v>0</v>
      </c>
      <c r="R2241" s="52" t="n">
        <v>0</v>
      </c>
      <c r="S2241" s="51" t="n">
        <v>0</v>
      </c>
      <c r="T2241" s="48" t="n">
        <v>0</v>
      </c>
      <c r="U2241" s="49" t="n">
        <v>0</v>
      </c>
      <c r="V2241" s="49" t="n">
        <v>0</v>
      </c>
      <c r="W2241" s="50" t="n">
        <v>0</v>
      </c>
      <c r="X2241" s="51" t="n">
        <v>0</v>
      </c>
      <c r="Y2241" s="52" t="n">
        <v>0</v>
      </c>
      <c r="Z2241" s="52" t="n">
        <v>0</v>
      </c>
      <c r="AA2241" s="52" t="n">
        <v>0</v>
      </c>
      <c r="AB2241" s="53" t="n">
        <v>0</v>
      </c>
      <c r="AC2241" s="52" t="n">
        <v>0</v>
      </c>
      <c r="AD2241" s="53" t="n">
        <v>0</v>
      </c>
      <c r="AE2241" s="52" t="n">
        <v>0</v>
      </c>
      <c r="AF2241" s="51" t="n">
        <v>0</v>
      </c>
      <c r="AG2241" s="48" t="n">
        <v>0</v>
      </c>
      <c r="AH2241" s="49" t="n">
        <v>0</v>
      </c>
      <c r="AI2241" s="49" t="n">
        <v>0</v>
      </c>
      <c r="AJ2241" s="50" t="n">
        <v>0</v>
      </c>
      <c r="AK2241" s="51" t="n">
        <v>0</v>
      </c>
      <c r="AL2241" s="52" t="n">
        <v>0</v>
      </c>
      <c r="AM2241" s="52" t="n">
        <v>0</v>
      </c>
      <c r="AN2241" s="52" t="n">
        <v>0</v>
      </c>
      <c r="AO2241" s="53" t="n">
        <v>0</v>
      </c>
      <c r="AP2241" s="52" t="n">
        <v>0</v>
      </c>
      <c r="AQ2241" s="53" t="n">
        <v>0</v>
      </c>
      <c r="AR2241" s="52" t="n">
        <v>0</v>
      </c>
      <c r="AS2241" s="51" t="n">
        <v>0</v>
      </c>
      <c r="AT2241" s="48" t="n">
        <v>0</v>
      </c>
      <c r="AU2241" s="49" t="n">
        <v>0</v>
      </c>
      <c r="AV2241" s="49" t="n">
        <v>0</v>
      </c>
      <c r="AW2241" s="50" t="n">
        <v>0</v>
      </c>
      <c r="AX2241" s="51" t="n">
        <v>0</v>
      </c>
      <c r="AY2241" s="52" t="n">
        <v>0</v>
      </c>
      <c r="AZ2241" s="52" t="n">
        <v>0</v>
      </c>
      <c r="BA2241" s="52" t="n">
        <v>0</v>
      </c>
      <c r="BB2241" s="53" t="n">
        <v>0</v>
      </c>
      <c r="BC2241" s="52" t="n">
        <v>0</v>
      </c>
      <c r="BD2241" s="53" t="n">
        <v>0</v>
      </c>
      <c r="BE2241" s="52" t="n">
        <v>0</v>
      </c>
      <c r="BF2241" s="51" t="n">
        <v>0</v>
      </c>
    </row>
    <row r="2242">
      <c r="A2242">
        <f>HYPERLINK("https://www.walmart.com/ip/168289342", "168289342")</f>
        <v/>
      </c>
      <c r="B2242" t="inlineStr">
        <is>
          <t>Napa Premium Soft Warm Plush Kid Blanket Polyester Fluffy Reversible Bedding Throw For Baby Children Teen Boy Girl</t>
        </is>
      </c>
      <c r="C2242" t="inlineStr">
        <is>
          <t>K9000KD-PK</t>
        </is>
      </c>
      <c r="D2242" t="inlineStr">
        <is>
          <t>Throws</t>
        </is>
      </c>
      <c r="E2242" t="inlineStr">
        <is>
          <t>NAPA</t>
        </is>
      </c>
      <c r="F2242" t="inlineStr">
        <is>
          <t>Baby days</t>
        </is>
      </c>
      <c r="G2242" s="48" t="n">
        <v>0</v>
      </c>
      <c r="H2242" s="49" t="n">
        <v>0</v>
      </c>
      <c r="I2242" s="49" t="n">
        <v>0</v>
      </c>
      <c r="J2242" s="50" t="n">
        <v>0</v>
      </c>
      <c r="K2242" s="51" t="n">
        <v>0</v>
      </c>
      <c r="L2242" s="52" t="n">
        <v>0</v>
      </c>
      <c r="M2242" s="52" t="n">
        <v>0</v>
      </c>
      <c r="N2242" s="52" t="n">
        <v>0</v>
      </c>
      <c r="O2242" s="53" t="n">
        <v>0</v>
      </c>
      <c r="P2242" s="52" t="n">
        <v>0</v>
      </c>
      <c r="Q2242" s="53" t="n">
        <v>0</v>
      </c>
      <c r="R2242" s="52" t="n">
        <v>0</v>
      </c>
      <c r="S2242" s="51" t="n">
        <v>0</v>
      </c>
      <c r="T2242" s="48" t="n">
        <v>0</v>
      </c>
      <c r="U2242" s="49" t="n">
        <v>0</v>
      </c>
      <c r="V2242" s="49" t="n">
        <v>0</v>
      </c>
      <c r="W2242" s="50" t="n">
        <v>0</v>
      </c>
      <c r="X2242" s="51" t="n">
        <v>0</v>
      </c>
      <c r="Y2242" s="52" t="n">
        <v>0</v>
      </c>
      <c r="Z2242" s="52" t="n">
        <v>0</v>
      </c>
      <c r="AA2242" s="52" t="n">
        <v>0</v>
      </c>
      <c r="AB2242" s="53" t="n">
        <v>0</v>
      </c>
      <c r="AC2242" s="52" t="n">
        <v>0</v>
      </c>
      <c r="AD2242" s="53" t="n">
        <v>0</v>
      </c>
      <c r="AE2242" s="52" t="n">
        <v>0</v>
      </c>
      <c r="AF2242" s="51" t="n">
        <v>0</v>
      </c>
      <c r="AG2242" s="48" t="n">
        <v>0</v>
      </c>
      <c r="AH2242" s="49" t="n">
        <v>0</v>
      </c>
      <c r="AI2242" s="49" t="n">
        <v>0</v>
      </c>
      <c r="AJ2242" s="50" t="n">
        <v>0</v>
      </c>
      <c r="AK2242" s="51" t="n">
        <v>0</v>
      </c>
      <c r="AL2242" s="52" t="n">
        <v>0</v>
      </c>
      <c r="AM2242" s="52" t="n">
        <v>0</v>
      </c>
      <c r="AN2242" s="52" t="n">
        <v>0</v>
      </c>
      <c r="AO2242" s="53" t="n">
        <v>0</v>
      </c>
      <c r="AP2242" s="52" t="n">
        <v>0</v>
      </c>
      <c r="AQ2242" s="53" t="n">
        <v>0</v>
      </c>
      <c r="AR2242" s="52" t="n">
        <v>0</v>
      </c>
      <c r="AS2242" s="51" t="n">
        <v>0</v>
      </c>
      <c r="AT2242" s="48" t="n">
        <v>0</v>
      </c>
      <c r="AU2242" s="49" t="n">
        <v>0</v>
      </c>
      <c r="AV2242" s="49" t="n">
        <v>0</v>
      </c>
      <c r="AW2242" s="50" t="n">
        <v>0</v>
      </c>
      <c r="AX2242" s="51" t="n">
        <v>0</v>
      </c>
      <c r="AY2242" s="52" t="n">
        <v>0</v>
      </c>
      <c r="AZ2242" s="52" t="n">
        <v>0</v>
      </c>
      <c r="BA2242" s="52" t="n">
        <v>0</v>
      </c>
      <c r="BB2242" s="53" t="n">
        <v>0</v>
      </c>
      <c r="BC2242" s="52" t="n">
        <v>0</v>
      </c>
      <c r="BD2242" s="53" t="n">
        <v>0</v>
      </c>
      <c r="BE2242" s="52" t="n">
        <v>0</v>
      </c>
      <c r="BF2242" s="51" t="n">
        <v>0</v>
      </c>
    </row>
    <row r="2243">
      <c r="A2243">
        <f>HYPERLINK("https://www.walmart.com/ip/168482899", "168482899")</f>
        <v/>
      </c>
      <c r="B2243" t="inlineStr">
        <is>
          <t>JenniWears Beileise Women's Sheer Silicone Lace Jumbo Net Pantyhose Top Thigh High Black - 3 Packs</t>
        </is>
      </c>
      <c r="C2243" t="inlineStr">
        <is>
          <t>JWBLSPH2122-3pcs</t>
        </is>
      </c>
      <c r="D2243" t="inlineStr">
        <is>
          <t>Stockings</t>
        </is>
      </c>
      <c r="E2243" t="inlineStr">
        <is>
          <t>JenniWears</t>
        </is>
      </c>
      <c r="F2243" t="inlineStr">
        <is>
          <t>Optimized,Valentine</t>
        </is>
      </c>
      <c r="G2243" s="48" t="n">
        <v>0</v>
      </c>
      <c r="H2243" s="49" t="n">
        <v>0</v>
      </c>
      <c r="I2243" s="49" t="n">
        <v>0</v>
      </c>
      <c r="J2243" s="50" t="n">
        <v>0</v>
      </c>
      <c r="K2243" s="51" t="n">
        <v>0</v>
      </c>
      <c r="L2243" s="52" t="n">
        <v>0</v>
      </c>
      <c r="M2243" s="52" t="n">
        <v>0</v>
      </c>
      <c r="N2243" s="52" t="n">
        <v>0</v>
      </c>
      <c r="O2243" s="53" t="n">
        <v>0</v>
      </c>
      <c r="P2243" s="52" t="n">
        <v>0</v>
      </c>
      <c r="Q2243" s="53" t="n">
        <v>0</v>
      </c>
      <c r="R2243" s="52" t="n">
        <v>0</v>
      </c>
      <c r="S2243" s="51" t="n">
        <v>0</v>
      </c>
      <c r="T2243" s="48" t="n">
        <v>0</v>
      </c>
      <c r="U2243" s="49" t="n">
        <v>0</v>
      </c>
      <c r="V2243" s="49" t="n">
        <v>0</v>
      </c>
      <c r="W2243" s="50" t="n">
        <v>0</v>
      </c>
      <c r="X2243" s="51" t="n">
        <v>0</v>
      </c>
      <c r="Y2243" s="52" t="n">
        <v>0</v>
      </c>
      <c r="Z2243" s="52" t="n">
        <v>0</v>
      </c>
      <c r="AA2243" s="52" t="n">
        <v>0</v>
      </c>
      <c r="AB2243" s="53" t="n">
        <v>0</v>
      </c>
      <c r="AC2243" s="52" t="n">
        <v>0</v>
      </c>
      <c r="AD2243" s="53" t="n">
        <v>0</v>
      </c>
      <c r="AE2243" s="52" t="n">
        <v>0</v>
      </c>
      <c r="AF2243" s="51" t="n">
        <v>0</v>
      </c>
      <c r="AG2243" s="48" t="n">
        <v>0</v>
      </c>
      <c r="AH2243" s="49" t="n">
        <v>0</v>
      </c>
      <c r="AI2243" s="49" t="n">
        <v>0</v>
      </c>
      <c r="AJ2243" s="50" t="n">
        <v>0</v>
      </c>
      <c r="AK2243" s="51" t="n">
        <v>0</v>
      </c>
      <c r="AL2243" s="52" t="n">
        <v>0</v>
      </c>
      <c r="AM2243" s="52" t="n">
        <v>0</v>
      </c>
      <c r="AN2243" s="52" t="n">
        <v>0</v>
      </c>
      <c r="AO2243" s="53" t="n">
        <v>0</v>
      </c>
      <c r="AP2243" s="52" t="n">
        <v>0</v>
      </c>
      <c r="AQ2243" s="53" t="n">
        <v>0</v>
      </c>
      <c r="AR2243" s="52" t="n">
        <v>0</v>
      </c>
      <c r="AS2243" s="51" t="n">
        <v>0</v>
      </c>
      <c r="AT2243" s="48" t="n">
        <v>0</v>
      </c>
      <c r="AU2243" s="49" t="n">
        <v>0</v>
      </c>
      <c r="AV2243" s="49" t="n">
        <v>0</v>
      </c>
      <c r="AW2243" s="50" t="n">
        <v>0</v>
      </c>
      <c r="AX2243" s="51" t="n">
        <v>0</v>
      </c>
      <c r="AY2243" s="52" t="n">
        <v>0</v>
      </c>
      <c r="AZ2243" s="52" t="n">
        <v>0</v>
      </c>
      <c r="BA2243" s="52" t="n">
        <v>0</v>
      </c>
      <c r="BB2243" s="53" t="n">
        <v>0</v>
      </c>
      <c r="BC2243" s="52" t="n">
        <v>0</v>
      </c>
      <c r="BD2243" s="53" t="n">
        <v>0</v>
      </c>
      <c r="BE2243" s="52" t="n">
        <v>0</v>
      </c>
      <c r="BF2243" s="51" t="n">
        <v>0</v>
      </c>
    </row>
    <row r="2244">
      <c r="A2244">
        <f>HYPERLINK("https://www.walmart.com/ip/1686754665", "1686754665")</f>
        <v/>
      </c>
      <c r="B2244" t="inlineStr">
        <is>
          <t>Tirrinia Neon Hunting Orange Safety Cap Closure</t>
        </is>
      </c>
      <c r="C2244" t="inlineStr">
        <is>
          <t>1TRHT7121NEON-TBCB</t>
        </is>
      </c>
      <c r="D2244" t="inlineStr">
        <is>
          <t>Hats</t>
        </is>
      </c>
      <c r="E2244" t="inlineStr">
        <is>
          <t>Tirrinia</t>
        </is>
      </c>
      <c r="F2244" t="inlineStr">
        <is>
          <t>Batch 1 - TR</t>
        </is>
      </c>
      <c r="G2244" s="48" t="n">
        <v>0</v>
      </c>
      <c r="H2244" s="49" t="n">
        <v>0</v>
      </c>
      <c r="I2244" s="49" t="n">
        <v>0</v>
      </c>
      <c r="J2244" s="50" t="n">
        <v>0</v>
      </c>
      <c r="K2244" s="51" t="n">
        <v>0</v>
      </c>
      <c r="L2244" s="52" t="n">
        <v>0</v>
      </c>
      <c r="M2244" s="52" t="n">
        <v>0</v>
      </c>
      <c r="N2244" s="52" t="n">
        <v>0</v>
      </c>
      <c r="O2244" s="53" t="n">
        <v>0</v>
      </c>
      <c r="P2244" s="52" t="n">
        <v>0</v>
      </c>
      <c r="Q2244" s="53" t="n">
        <v>0</v>
      </c>
      <c r="R2244" s="52" t="n">
        <v>0</v>
      </c>
      <c r="S2244" s="51" t="n">
        <v>0</v>
      </c>
      <c r="T2244" s="48" t="n">
        <v>0</v>
      </c>
      <c r="U2244" s="49" t="n">
        <v>0</v>
      </c>
      <c r="V2244" s="49" t="n">
        <v>0</v>
      </c>
      <c r="W2244" s="50" t="n">
        <v>0</v>
      </c>
      <c r="X2244" s="51" t="n">
        <v>0</v>
      </c>
      <c r="Y2244" s="52" t="n">
        <v>0</v>
      </c>
      <c r="Z2244" s="52" t="n">
        <v>0</v>
      </c>
      <c r="AA2244" s="52" t="n">
        <v>0</v>
      </c>
      <c r="AB2244" s="53" t="n">
        <v>0</v>
      </c>
      <c r="AC2244" s="52" t="n">
        <v>0</v>
      </c>
      <c r="AD2244" s="53" t="n">
        <v>0</v>
      </c>
      <c r="AE2244" s="52" t="n">
        <v>0</v>
      </c>
      <c r="AF2244" s="51" t="n">
        <v>0</v>
      </c>
      <c r="AG2244" s="48" t="n">
        <v>0</v>
      </c>
      <c r="AH2244" s="49" t="n">
        <v>0</v>
      </c>
      <c r="AI2244" s="49" t="n">
        <v>0</v>
      </c>
      <c r="AJ2244" s="50" t="n">
        <v>0</v>
      </c>
      <c r="AK2244" s="51" t="n">
        <v>0</v>
      </c>
      <c r="AL2244" s="52" t="n">
        <v>0</v>
      </c>
      <c r="AM2244" s="52" t="n">
        <v>0</v>
      </c>
      <c r="AN2244" s="52" t="n">
        <v>0</v>
      </c>
      <c r="AO2244" s="53" t="n">
        <v>0</v>
      </c>
      <c r="AP2244" s="52" t="n">
        <v>0</v>
      </c>
      <c r="AQ2244" s="53" t="n">
        <v>0</v>
      </c>
      <c r="AR2244" s="52" t="n">
        <v>0</v>
      </c>
      <c r="AS2244" s="51" t="n">
        <v>0</v>
      </c>
      <c r="AT2244" s="48" t="n">
        <v>0</v>
      </c>
      <c r="AU2244" s="49" t="n">
        <v>0</v>
      </c>
      <c r="AV2244" s="49" t="n">
        <v>0</v>
      </c>
      <c r="AW2244" s="50" t="n">
        <v>0</v>
      </c>
      <c r="AX2244" s="51" t="n">
        <v>0</v>
      </c>
      <c r="AY2244" s="52" t="n">
        <v>0</v>
      </c>
      <c r="AZ2244" s="52" t="n">
        <v>0</v>
      </c>
      <c r="BA2244" s="52" t="n">
        <v>0</v>
      </c>
      <c r="BB2244" s="53" t="n">
        <v>0</v>
      </c>
      <c r="BC2244" s="52" t="n">
        <v>0</v>
      </c>
      <c r="BD2244" s="53" t="n">
        <v>0</v>
      </c>
      <c r="BE2244" s="52" t="n">
        <v>0</v>
      </c>
      <c r="BF2244" s="51" t="n">
        <v>0</v>
      </c>
    </row>
    <row r="2245">
      <c r="A2245">
        <f>HYPERLINK("https://www.walmart.com/ip/168709229", "168709229")</f>
        <v/>
      </c>
      <c r="B2245" t="inlineStr">
        <is>
          <t>Jenniwears Sexy Lace Lingerie Jacket Babydoll G String 3 Pieces Sleepwear Set</t>
        </is>
      </c>
      <c r="C2245" t="inlineStr">
        <is>
          <t>JWND05WT</t>
        </is>
      </c>
      <c r="D2245" t="inlineStr">
        <is>
          <t>Lingerie Sets</t>
        </is>
      </c>
      <c r="E2245" t="inlineStr">
        <is>
          <t>JenniWears</t>
        </is>
      </c>
      <c r="F2245" t="inlineStr">
        <is>
          <t>Optimized,Valentine</t>
        </is>
      </c>
      <c r="G2245" s="48" t="n">
        <v>0</v>
      </c>
      <c r="H2245" s="49" t="n">
        <v>0</v>
      </c>
      <c r="I2245" s="49" t="n">
        <v>0</v>
      </c>
      <c r="J2245" s="50" t="n">
        <v>0</v>
      </c>
      <c r="K2245" s="51" t="n">
        <v>0</v>
      </c>
      <c r="L2245" s="52" t="n">
        <v>0</v>
      </c>
      <c r="M2245" s="52" t="n">
        <v>0</v>
      </c>
      <c r="N2245" s="52" t="n">
        <v>0</v>
      </c>
      <c r="O2245" s="53" t="n">
        <v>0</v>
      </c>
      <c r="P2245" s="52" t="n">
        <v>0</v>
      </c>
      <c r="Q2245" s="53" t="n">
        <v>0</v>
      </c>
      <c r="R2245" s="52" t="n">
        <v>0</v>
      </c>
      <c r="S2245" s="51" t="n">
        <v>0</v>
      </c>
      <c r="T2245" s="48" t="n">
        <v>0</v>
      </c>
      <c r="U2245" s="49" t="n">
        <v>0</v>
      </c>
      <c r="V2245" s="49" t="n">
        <v>0</v>
      </c>
      <c r="W2245" s="50" t="n">
        <v>0</v>
      </c>
      <c r="X2245" s="51" t="n">
        <v>0</v>
      </c>
      <c r="Y2245" s="52" t="n">
        <v>0</v>
      </c>
      <c r="Z2245" s="52" t="n">
        <v>0</v>
      </c>
      <c r="AA2245" s="52" t="n">
        <v>0</v>
      </c>
      <c r="AB2245" s="53" t="n">
        <v>0</v>
      </c>
      <c r="AC2245" s="52" t="n">
        <v>0</v>
      </c>
      <c r="AD2245" s="53" t="n">
        <v>0</v>
      </c>
      <c r="AE2245" s="52" t="n">
        <v>0</v>
      </c>
      <c r="AF2245" s="51" t="n">
        <v>0</v>
      </c>
      <c r="AG2245" s="48" t="n">
        <v>0</v>
      </c>
      <c r="AH2245" s="49" t="n">
        <v>0</v>
      </c>
      <c r="AI2245" s="49" t="n">
        <v>0</v>
      </c>
      <c r="AJ2245" s="50" t="n">
        <v>0</v>
      </c>
      <c r="AK2245" s="51" t="n">
        <v>0</v>
      </c>
      <c r="AL2245" s="52" t="n">
        <v>0</v>
      </c>
      <c r="AM2245" s="52" t="n">
        <v>0</v>
      </c>
      <c r="AN2245" s="52" t="n">
        <v>0</v>
      </c>
      <c r="AO2245" s="53" t="n">
        <v>0</v>
      </c>
      <c r="AP2245" s="52" t="n">
        <v>0</v>
      </c>
      <c r="AQ2245" s="53" t="n">
        <v>0</v>
      </c>
      <c r="AR2245" s="52" t="n">
        <v>0</v>
      </c>
      <c r="AS2245" s="51" t="n">
        <v>0</v>
      </c>
      <c r="AT2245" s="48" t="n">
        <v>0</v>
      </c>
      <c r="AU2245" s="49" t="n">
        <v>0</v>
      </c>
      <c r="AV2245" s="49" t="n">
        <v>0</v>
      </c>
      <c r="AW2245" s="50" t="n">
        <v>0</v>
      </c>
      <c r="AX2245" s="51" t="n">
        <v>0</v>
      </c>
      <c r="AY2245" s="52" t="n">
        <v>0</v>
      </c>
      <c r="AZ2245" s="52" t="n">
        <v>0</v>
      </c>
      <c r="BA2245" s="52" t="n">
        <v>0</v>
      </c>
      <c r="BB2245" s="53" t="n">
        <v>0</v>
      </c>
      <c r="BC2245" s="52" t="n">
        <v>0</v>
      </c>
      <c r="BD2245" s="53" t="n">
        <v>0</v>
      </c>
      <c r="BE2245" s="52" t="n">
        <v>0</v>
      </c>
      <c r="BF2245" s="51" t="n">
        <v>0</v>
      </c>
    </row>
    <row r="2246">
      <c r="A2246">
        <f>HYPERLINK("https://www.walmart.com/ip/169031285", "169031285")</f>
        <v/>
      </c>
      <c r="B2246" t="inlineStr">
        <is>
          <t>Extra Large Picnic Blanket Waterproof Lightweight Portable Beach Mat for Family Camping,Travel,Park,Grass,Hiking,Outdoor, Stadium,Concerts ( Unique Striped Print, 70''X80'') - Machine Washable</t>
        </is>
      </c>
      <c r="C2246" t="inlineStr">
        <is>
          <t>1WMBW781STR</t>
        </is>
      </c>
      <c r="D2246" t="inlineStr">
        <is>
          <t>Picnic Blankets &amp; Mats</t>
        </is>
      </c>
      <c r="E2246" t="inlineStr">
        <is>
          <t>Flyingstar</t>
        </is>
      </c>
      <c r="F2246" t="inlineStr">
        <is>
          <t>Batch 1 - TR</t>
        </is>
      </c>
      <c r="G2246" s="48" t="n">
        <v>0</v>
      </c>
      <c r="H2246" s="49" t="n">
        <v>0</v>
      </c>
      <c r="I2246" s="49" t="n">
        <v>0</v>
      </c>
      <c r="J2246" s="50" t="n">
        <v>0</v>
      </c>
      <c r="K2246" s="51" t="n">
        <v>0</v>
      </c>
      <c r="L2246" s="52" t="n">
        <v>0</v>
      </c>
      <c r="M2246" s="52" t="n">
        <v>0</v>
      </c>
      <c r="N2246" s="52" t="n">
        <v>0</v>
      </c>
      <c r="O2246" s="53" t="n">
        <v>0</v>
      </c>
      <c r="P2246" s="52" t="n">
        <v>0</v>
      </c>
      <c r="Q2246" s="53" t="n">
        <v>0</v>
      </c>
      <c r="R2246" s="52" t="n">
        <v>0</v>
      </c>
      <c r="S2246" s="51" t="n">
        <v>0</v>
      </c>
      <c r="T2246" s="48" t="n">
        <v>0</v>
      </c>
      <c r="U2246" s="49" t="n">
        <v>0</v>
      </c>
      <c r="V2246" s="49" t="n">
        <v>0</v>
      </c>
      <c r="W2246" s="50" t="n">
        <v>0</v>
      </c>
      <c r="X2246" s="51" t="n">
        <v>0</v>
      </c>
      <c r="Y2246" s="52" t="n">
        <v>0</v>
      </c>
      <c r="Z2246" s="52" t="n">
        <v>0</v>
      </c>
      <c r="AA2246" s="52" t="n">
        <v>0</v>
      </c>
      <c r="AB2246" s="53" t="n">
        <v>0</v>
      </c>
      <c r="AC2246" s="52" t="n">
        <v>0</v>
      </c>
      <c r="AD2246" s="53" t="n">
        <v>0</v>
      </c>
      <c r="AE2246" s="52" t="n">
        <v>0</v>
      </c>
      <c r="AF2246" s="51" t="n">
        <v>0</v>
      </c>
      <c r="AG2246" s="48" t="n">
        <v>0</v>
      </c>
      <c r="AH2246" s="49" t="n">
        <v>0</v>
      </c>
      <c r="AI2246" s="49" t="n">
        <v>0</v>
      </c>
      <c r="AJ2246" s="50" t="n">
        <v>0</v>
      </c>
      <c r="AK2246" s="51" t="n">
        <v>0</v>
      </c>
      <c r="AL2246" s="52" t="n">
        <v>0</v>
      </c>
      <c r="AM2246" s="52" t="n">
        <v>0</v>
      </c>
      <c r="AN2246" s="52" t="n">
        <v>0</v>
      </c>
      <c r="AO2246" s="53" t="n">
        <v>0</v>
      </c>
      <c r="AP2246" s="52" t="n">
        <v>0</v>
      </c>
      <c r="AQ2246" s="53" t="n">
        <v>0</v>
      </c>
      <c r="AR2246" s="52" t="n">
        <v>0</v>
      </c>
      <c r="AS2246" s="51" t="n">
        <v>0</v>
      </c>
      <c r="AT2246" s="48" t="n">
        <v>0</v>
      </c>
      <c r="AU2246" s="49" t="n">
        <v>0</v>
      </c>
      <c r="AV2246" s="49" t="n">
        <v>0</v>
      </c>
      <c r="AW2246" s="50" t="n">
        <v>0</v>
      </c>
      <c r="AX2246" s="51" t="n">
        <v>0</v>
      </c>
      <c r="AY2246" s="52" t="n">
        <v>0</v>
      </c>
      <c r="AZ2246" s="52" t="n">
        <v>0</v>
      </c>
      <c r="BA2246" s="52" t="n">
        <v>0</v>
      </c>
      <c r="BB2246" s="53" t="n">
        <v>0</v>
      </c>
      <c r="BC2246" s="52" t="n">
        <v>0</v>
      </c>
      <c r="BD2246" s="53" t="n">
        <v>0</v>
      </c>
      <c r="BE2246" s="52" t="n">
        <v>0</v>
      </c>
      <c r="BF2246" s="51" t="n">
        <v>0</v>
      </c>
    </row>
    <row r="2247">
      <c r="A2247">
        <f>HYPERLINK("https://www.walmart.com/ip/169423090", "169423090")</f>
        <v/>
      </c>
      <c r="B2247" t="inlineStr">
        <is>
          <t>Tirrinia Wearable Fleece Blanket with Sleeves and Pocket for Women and Men, Super-Soft Microplush Full Body Robe for Lounge Couch, Grey, 51" x 73"</t>
        </is>
      </c>
      <c r="C2247" t="inlineStr">
        <is>
          <t>1TRSN100GY-TBCB</t>
        </is>
      </c>
      <c r="D2247" t="inlineStr">
        <is>
          <t>Throws</t>
        </is>
      </c>
      <c r="E2247" t="inlineStr">
        <is>
          <t>Tirrinia</t>
        </is>
      </c>
      <c r="F2247" t="inlineStr">
        <is>
          <t>Optimized,WFS Item</t>
        </is>
      </c>
      <c r="G2247" s="48" t="n">
        <v>0</v>
      </c>
      <c r="H2247" s="49" t="n">
        <v>0</v>
      </c>
      <c r="I2247" s="49" t="n">
        <v>0</v>
      </c>
      <c r="J2247" s="50" t="n">
        <v>0</v>
      </c>
      <c r="K2247" s="51" t="n">
        <v>0</v>
      </c>
      <c r="L2247" s="52" t="n">
        <v>0</v>
      </c>
      <c r="M2247" s="52" t="n">
        <v>0</v>
      </c>
      <c r="N2247" s="52" t="n">
        <v>0</v>
      </c>
      <c r="O2247" s="53" t="n">
        <v>0</v>
      </c>
      <c r="P2247" s="52" t="n">
        <v>0</v>
      </c>
      <c r="Q2247" s="53" t="n">
        <v>0</v>
      </c>
      <c r="R2247" s="52" t="n">
        <v>0</v>
      </c>
      <c r="S2247" s="51" t="n">
        <v>0</v>
      </c>
      <c r="T2247" s="48" t="n">
        <v>0</v>
      </c>
      <c r="U2247" s="49" t="n">
        <v>0</v>
      </c>
      <c r="V2247" s="49" t="n">
        <v>0</v>
      </c>
      <c r="W2247" s="50" t="n">
        <v>0</v>
      </c>
      <c r="X2247" s="51" t="n">
        <v>0</v>
      </c>
      <c r="Y2247" s="52" t="n">
        <v>0</v>
      </c>
      <c r="Z2247" s="52" t="n">
        <v>0</v>
      </c>
      <c r="AA2247" s="52" t="n">
        <v>0</v>
      </c>
      <c r="AB2247" s="53" t="n">
        <v>0</v>
      </c>
      <c r="AC2247" s="52" t="n">
        <v>0</v>
      </c>
      <c r="AD2247" s="53" t="n">
        <v>0</v>
      </c>
      <c r="AE2247" s="52" t="n">
        <v>0</v>
      </c>
      <c r="AF2247" s="51" t="n">
        <v>0</v>
      </c>
      <c r="AG2247" s="48" t="n">
        <v>0</v>
      </c>
      <c r="AH2247" s="49" t="n">
        <v>0</v>
      </c>
      <c r="AI2247" s="49" t="n">
        <v>0</v>
      </c>
      <c r="AJ2247" s="50" t="n">
        <v>0</v>
      </c>
      <c r="AK2247" s="51" t="n">
        <v>0</v>
      </c>
      <c r="AL2247" s="52" t="n">
        <v>0</v>
      </c>
      <c r="AM2247" s="52" t="n">
        <v>0</v>
      </c>
      <c r="AN2247" s="52" t="n">
        <v>0</v>
      </c>
      <c r="AO2247" s="53" t="n">
        <v>0</v>
      </c>
      <c r="AP2247" s="52" t="n">
        <v>0</v>
      </c>
      <c r="AQ2247" s="53" t="n">
        <v>0</v>
      </c>
      <c r="AR2247" s="52" t="n">
        <v>0</v>
      </c>
      <c r="AS2247" s="51" t="n">
        <v>0</v>
      </c>
      <c r="AT2247" s="48" t="n">
        <v>0</v>
      </c>
      <c r="AU2247" s="49" t="n">
        <v>0</v>
      </c>
      <c r="AV2247" s="49" t="n">
        <v>0</v>
      </c>
      <c r="AW2247" s="50" t="n">
        <v>0</v>
      </c>
      <c r="AX2247" s="51" t="n">
        <v>0</v>
      </c>
      <c r="AY2247" s="52" t="n">
        <v>0</v>
      </c>
      <c r="AZ2247" s="52" t="n">
        <v>0</v>
      </c>
      <c r="BA2247" s="52" t="n">
        <v>0</v>
      </c>
      <c r="BB2247" s="53" t="n">
        <v>0</v>
      </c>
      <c r="BC2247" s="52" t="n">
        <v>0</v>
      </c>
      <c r="BD2247" s="53" t="n">
        <v>0</v>
      </c>
      <c r="BE2247" s="52" t="n">
        <v>0</v>
      </c>
      <c r="BF2247" s="51" t="n">
        <v>0</v>
      </c>
    </row>
    <row r="2248">
      <c r="A2248">
        <f>HYPERLINK("https://www.walmart.com/ip/169679519", "169679519")</f>
        <v/>
      </c>
      <c r="B2248" t="inlineStr">
        <is>
          <t>KC Caps® Cotton Twill Deluxe Super Soft Mesh Adjustable Snapback Low Profile Trucker Baseball Cap</t>
        </is>
      </c>
      <c r="C2248" t="inlineStr">
        <is>
          <t>KCCAPSSZK641TGR/ST</t>
        </is>
      </c>
      <c r="D2248" t="inlineStr">
        <is>
          <t>Hats</t>
        </is>
      </c>
      <c r="E2248" t="inlineStr">
        <is>
          <t>KC Caps</t>
        </is>
      </c>
      <c r="F2248" t="inlineStr">
        <is>
          <t>Optimized</t>
        </is>
      </c>
      <c r="G2248" s="48" t="n">
        <v>0</v>
      </c>
      <c r="H2248" s="49" t="n">
        <v>0</v>
      </c>
      <c r="I2248" s="49" t="n">
        <v>0</v>
      </c>
      <c r="J2248" s="50" t="n">
        <v>0</v>
      </c>
      <c r="K2248" s="51" t="n">
        <v>0</v>
      </c>
      <c r="L2248" s="52" t="n">
        <v>0</v>
      </c>
      <c r="M2248" s="52" t="n">
        <v>0</v>
      </c>
      <c r="N2248" s="52" t="n">
        <v>0</v>
      </c>
      <c r="O2248" s="53" t="n">
        <v>0</v>
      </c>
      <c r="P2248" s="52" t="n">
        <v>0</v>
      </c>
      <c r="Q2248" s="53" t="n">
        <v>0</v>
      </c>
      <c r="R2248" s="52" t="n">
        <v>0</v>
      </c>
      <c r="S2248" s="51" t="n">
        <v>0</v>
      </c>
      <c r="T2248" s="48" t="n">
        <v>0</v>
      </c>
      <c r="U2248" s="49" t="n">
        <v>0</v>
      </c>
      <c r="V2248" s="49" t="n">
        <v>0</v>
      </c>
      <c r="W2248" s="50" t="n">
        <v>0</v>
      </c>
      <c r="X2248" s="51" t="n">
        <v>0</v>
      </c>
      <c r="Y2248" s="52" t="n">
        <v>0</v>
      </c>
      <c r="Z2248" s="52" t="n">
        <v>0</v>
      </c>
      <c r="AA2248" s="52" t="n">
        <v>0</v>
      </c>
      <c r="AB2248" s="53" t="n">
        <v>0</v>
      </c>
      <c r="AC2248" s="52" t="n">
        <v>0</v>
      </c>
      <c r="AD2248" s="53" t="n">
        <v>0</v>
      </c>
      <c r="AE2248" s="52" t="n">
        <v>0</v>
      </c>
      <c r="AF2248" s="51" t="n">
        <v>0</v>
      </c>
      <c r="AG2248" s="48" t="n">
        <v>0</v>
      </c>
      <c r="AH2248" s="49" t="n">
        <v>0</v>
      </c>
      <c r="AI2248" s="49" t="n">
        <v>0</v>
      </c>
      <c r="AJ2248" s="50" t="n">
        <v>0</v>
      </c>
      <c r="AK2248" s="51" t="n">
        <v>0</v>
      </c>
      <c r="AL2248" s="52" t="n">
        <v>0</v>
      </c>
      <c r="AM2248" s="52" t="n">
        <v>0</v>
      </c>
      <c r="AN2248" s="52" t="n">
        <v>0</v>
      </c>
      <c r="AO2248" s="53" t="n">
        <v>0</v>
      </c>
      <c r="AP2248" s="52" t="n">
        <v>0</v>
      </c>
      <c r="AQ2248" s="53" t="n">
        <v>0</v>
      </c>
      <c r="AR2248" s="52" t="n">
        <v>0</v>
      </c>
      <c r="AS2248" s="51" t="n">
        <v>0</v>
      </c>
      <c r="AT2248" s="48" t="n">
        <v>0</v>
      </c>
      <c r="AU2248" s="49" t="n">
        <v>0</v>
      </c>
      <c r="AV2248" s="49" t="n">
        <v>0</v>
      </c>
      <c r="AW2248" s="50" t="n">
        <v>0</v>
      </c>
      <c r="AX2248" s="51" t="n">
        <v>0</v>
      </c>
      <c r="AY2248" s="52" t="n">
        <v>0</v>
      </c>
      <c r="AZ2248" s="52" t="n">
        <v>0</v>
      </c>
      <c r="BA2248" s="52" t="n">
        <v>0</v>
      </c>
      <c r="BB2248" s="53" t="n">
        <v>0</v>
      </c>
      <c r="BC2248" s="52" t="n">
        <v>0</v>
      </c>
      <c r="BD2248" s="53" t="n">
        <v>0</v>
      </c>
      <c r="BE2248" s="52" t="n">
        <v>0</v>
      </c>
      <c r="BF2248" s="51" t="n">
        <v>0</v>
      </c>
    </row>
    <row r="2249">
      <c r="A2249">
        <f>HYPERLINK("https://www.walmart.com/ip/169828455", "169828455")</f>
        <v/>
      </c>
      <c r="B2249" t="inlineStr">
        <is>
          <t>KC Caps® Unisex Cotton Baseball Cap Adjustable Plain Hat (21 Styles/Colors)</t>
        </is>
      </c>
      <c r="C2249" t="inlineStr">
        <is>
          <t>KC8010OFFWTBK</t>
        </is>
      </c>
      <c r="D2249" t="inlineStr">
        <is>
          <t>Hats</t>
        </is>
      </c>
      <c r="E2249" t="inlineStr">
        <is>
          <t>KC Caps</t>
        </is>
      </c>
      <c r="F2249" t="inlineStr">
        <is>
          <t>Optimized</t>
        </is>
      </c>
      <c r="G2249" s="48" t="n">
        <v>0</v>
      </c>
      <c r="H2249" s="49" t="n">
        <v>0</v>
      </c>
      <c r="I2249" s="49" t="n">
        <v>0</v>
      </c>
      <c r="J2249" s="50" t="n">
        <v>0</v>
      </c>
      <c r="K2249" s="51" t="n">
        <v>0</v>
      </c>
      <c r="L2249" s="52" t="n">
        <v>0</v>
      </c>
      <c r="M2249" s="52" t="n">
        <v>0</v>
      </c>
      <c r="N2249" s="52" t="n">
        <v>0</v>
      </c>
      <c r="O2249" s="53" t="n">
        <v>0</v>
      </c>
      <c r="P2249" s="52" t="n">
        <v>0</v>
      </c>
      <c r="Q2249" s="53" t="n">
        <v>0</v>
      </c>
      <c r="R2249" s="52" t="n">
        <v>0</v>
      </c>
      <c r="S2249" s="51" t="n">
        <v>0</v>
      </c>
      <c r="T2249" s="48" t="n">
        <v>0</v>
      </c>
      <c r="U2249" s="49" t="n">
        <v>0</v>
      </c>
      <c r="V2249" s="49" t="n">
        <v>0</v>
      </c>
      <c r="W2249" s="50" t="n">
        <v>0</v>
      </c>
      <c r="X2249" s="51" t="n">
        <v>0</v>
      </c>
      <c r="Y2249" s="52" t="n">
        <v>0</v>
      </c>
      <c r="Z2249" s="52" t="n">
        <v>0</v>
      </c>
      <c r="AA2249" s="52" t="n">
        <v>0</v>
      </c>
      <c r="AB2249" s="53" t="n">
        <v>0</v>
      </c>
      <c r="AC2249" s="52" t="n">
        <v>0</v>
      </c>
      <c r="AD2249" s="53" t="n">
        <v>0</v>
      </c>
      <c r="AE2249" s="52" t="n">
        <v>0</v>
      </c>
      <c r="AF2249" s="51" t="n">
        <v>0</v>
      </c>
      <c r="AG2249" s="48" t="n">
        <v>0</v>
      </c>
      <c r="AH2249" s="49" t="n">
        <v>0</v>
      </c>
      <c r="AI2249" s="49" t="n">
        <v>0</v>
      </c>
      <c r="AJ2249" s="50" t="n">
        <v>0</v>
      </c>
      <c r="AK2249" s="51" t="n">
        <v>0</v>
      </c>
      <c r="AL2249" s="52" t="n">
        <v>0</v>
      </c>
      <c r="AM2249" s="52" t="n">
        <v>0</v>
      </c>
      <c r="AN2249" s="52" t="n">
        <v>0</v>
      </c>
      <c r="AO2249" s="53" t="n">
        <v>0</v>
      </c>
      <c r="AP2249" s="52" t="n">
        <v>0</v>
      </c>
      <c r="AQ2249" s="53" t="n">
        <v>0</v>
      </c>
      <c r="AR2249" s="52" t="n">
        <v>0</v>
      </c>
      <c r="AS2249" s="51" t="n">
        <v>0</v>
      </c>
      <c r="AT2249" s="48" t="n">
        <v>0</v>
      </c>
      <c r="AU2249" s="49" t="n">
        <v>0</v>
      </c>
      <c r="AV2249" s="49" t="n">
        <v>0</v>
      </c>
      <c r="AW2249" s="50" t="n">
        <v>0</v>
      </c>
      <c r="AX2249" s="51" t="n">
        <v>0</v>
      </c>
      <c r="AY2249" s="52" t="n">
        <v>0</v>
      </c>
      <c r="AZ2249" s="52" t="n">
        <v>0</v>
      </c>
      <c r="BA2249" s="52" t="n">
        <v>0</v>
      </c>
      <c r="BB2249" s="53" t="n">
        <v>0</v>
      </c>
      <c r="BC2249" s="52" t="n">
        <v>0</v>
      </c>
      <c r="BD2249" s="53" t="n">
        <v>0</v>
      </c>
      <c r="BE2249" s="52" t="n">
        <v>0</v>
      </c>
      <c r="BF2249" s="51" t="n">
        <v>0</v>
      </c>
    </row>
    <row r="2250">
      <c r="A2250">
        <f>HYPERLINK("https://www.walmart.com/ip/1698766704", "1698766704")</f>
        <v/>
      </c>
      <c r="B2250" t="inlineStr">
        <is>
          <t>Kritter Planet Cow Print Dog Throw Blanket, Super Soft Fluffy Sherpa Fleece Dog Couch Blankets and Throws for Large, Medium and Small Dogs and Cats, 60'' x 50''</t>
        </is>
      </c>
      <c r="C2250" t="inlineStr">
        <is>
          <t>1KPBF560DMT</t>
        </is>
      </c>
      <c r="D2250" t="inlineStr">
        <is>
          <t>Pet Blankets</t>
        </is>
      </c>
      <c r="E2250" t="inlineStr">
        <is>
          <t>Kritter Planet</t>
        </is>
      </c>
      <c r="F2250" t="inlineStr">
        <is>
          <t>Q2-Target,Coupon_Discount,Batch 1 - TR</t>
        </is>
      </c>
      <c r="G2250" s="48" t="n">
        <v>0</v>
      </c>
      <c r="H2250" s="49" t="n">
        <v>0</v>
      </c>
      <c r="I2250" s="49" t="n">
        <v>0</v>
      </c>
      <c r="J2250" s="50" t="n">
        <v>0</v>
      </c>
      <c r="K2250" s="51" t="n">
        <v>0</v>
      </c>
      <c r="L2250" s="52" t="n">
        <v>0</v>
      </c>
      <c r="M2250" s="52" t="n">
        <v>0</v>
      </c>
      <c r="N2250" s="52" t="n">
        <v>0</v>
      </c>
      <c r="O2250" s="53" t="n">
        <v>0</v>
      </c>
      <c r="P2250" s="52" t="n">
        <v>0</v>
      </c>
      <c r="Q2250" s="53" t="n">
        <v>0</v>
      </c>
      <c r="R2250" s="52" t="n">
        <v>0</v>
      </c>
      <c r="S2250" s="51" t="n">
        <v>0</v>
      </c>
      <c r="T2250" s="48" t="n">
        <v>0</v>
      </c>
      <c r="U2250" s="49" t="n">
        <v>0</v>
      </c>
      <c r="V2250" s="49" t="n">
        <v>0</v>
      </c>
      <c r="W2250" s="50" t="n">
        <v>0</v>
      </c>
      <c r="X2250" s="51" t="n">
        <v>0</v>
      </c>
      <c r="Y2250" s="52" t="n">
        <v>0</v>
      </c>
      <c r="Z2250" s="52" t="n">
        <v>0</v>
      </c>
      <c r="AA2250" s="52" t="n">
        <v>0</v>
      </c>
      <c r="AB2250" s="53" t="n">
        <v>0</v>
      </c>
      <c r="AC2250" s="52" t="n">
        <v>0</v>
      </c>
      <c r="AD2250" s="53" t="n">
        <v>0</v>
      </c>
      <c r="AE2250" s="52" t="n">
        <v>0</v>
      </c>
      <c r="AF2250" s="51" t="n">
        <v>0</v>
      </c>
      <c r="AG2250" s="48" t="n">
        <v>0</v>
      </c>
      <c r="AH2250" s="49" t="n">
        <v>0</v>
      </c>
      <c r="AI2250" s="49" t="n">
        <v>0</v>
      </c>
      <c r="AJ2250" s="50" t="n">
        <v>0</v>
      </c>
      <c r="AK2250" s="51" t="n">
        <v>0</v>
      </c>
      <c r="AL2250" s="52" t="n">
        <v>0</v>
      </c>
      <c r="AM2250" s="52" t="n">
        <v>0</v>
      </c>
      <c r="AN2250" s="52" t="n">
        <v>0</v>
      </c>
      <c r="AO2250" s="53" t="n">
        <v>0</v>
      </c>
      <c r="AP2250" s="52" t="n">
        <v>0</v>
      </c>
      <c r="AQ2250" s="53" t="n">
        <v>0</v>
      </c>
      <c r="AR2250" s="52" t="n">
        <v>0</v>
      </c>
      <c r="AS2250" s="51" t="n">
        <v>0</v>
      </c>
      <c r="AT2250" s="48" t="n">
        <v>0</v>
      </c>
      <c r="AU2250" s="49" t="n">
        <v>0</v>
      </c>
      <c r="AV2250" s="49" t="n">
        <v>0</v>
      </c>
      <c r="AW2250" s="50" t="n">
        <v>0</v>
      </c>
      <c r="AX2250" s="51" t="n">
        <v>0</v>
      </c>
      <c r="AY2250" s="52" t="n">
        <v>0</v>
      </c>
      <c r="AZ2250" s="52" t="n">
        <v>0</v>
      </c>
      <c r="BA2250" s="52" t="n">
        <v>0</v>
      </c>
      <c r="BB2250" s="53" t="n">
        <v>0</v>
      </c>
      <c r="BC2250" s="52" t="n">
        <v>0</v>
      </c>
      <c r="BD2250" s="53" t="n">
        <v>0</v>
      </c>
      <c r="BE2250" s="52" t="n">
        <v>0</v>
      </c>
      <c r="BF2250" s="51" t="n">
        <v>0</v>
      </c>
    </row>
    <row r="2251">
      <c r="A2251">
        <f>HYPERLINK("https://www.walmart.com/ip/172482796", "172482796")</f>
        <v/>
      </c>
      <c r="B2251" t="inlineStr">
        <is>
          <t>KritterWorld® Soft-sided Pet Carrier-pet Carriers Airline Approved with Foldable and Washable</t>
        </is>
      </c>
      <c r="C2251" t="inlineStr">
        <is>
          <t>KWpetbag04GY</t>
        </is>
      </c>
      <c r="D2251" t="inlineStr">
        <is>
          <t>Pet Carriers</t>
        </is>
      </c>
      <c r="E2251" t="inlineStr">
        <is>
          <t>KritterWorld</t>
        </is>
      </c>
      <c r="G2251" s="48" t="n">
        <v>0</v>
      </c>
      <c r="H2251" s="49" t="n">
        <v>0</v>
      </c>
      <c r="I2251" s="49" t="n">
        <v>0</v>
      </c>
      <c r="J2251" s="50" t="n">
        <v>0</v>
      </c>
      <c r="K2251" s="51" t="n">
        <v>0</v>
      </c>
      <c r="L2251" s="52" t="n">
        <v>0</v>
      </c>
      <c r="M2251" s="52" t="n">
        <v>0</v>
      </c>
      <c r="N2251" s="52" t="n">
        <v>0</v>
      </c>
      <c r="O2251" s="53" t="n">
        <v>0</v>
      </c>
      <c r="P2251" s="52" t="n">
        <v>0</v>
      </c>
      <c r="Q2251" s="53" t="n">
        <v>0</v>
      </c>
      <c r="R2251" s="52" t="n">
        <v>0</v>
      </c>
      <c r="S2251" s="51" t="n">
        <v>0</v>
      </c>
      <c r="T2251" s="48" t="n">
        <v>0</v>
      </c>
      <c r="U2251" s="49" t="n">
        <v>0</v>
      </c>
      <c r="V2251" s="49" t="n">
        <v>0</v>
      </c>
      <c r="W2251" s="50" t="n">
        <v>0</v>
      </c>
      <c r="X2251" s="51" t="n">
        <v>0</v>
      </c>
      <c r="Y2251" s="52" t="n">
        <v>0</v>
      </c>
      <c r="Z2251" s="52" t="n">
        <v>0</v>
      </c>
      <c r="AA2251" s="52" t="n">
        <v>0</v>
      </c>
      <c r="AB2251" s="53" t="n">
        <v>0</v>
      </c>
      <c r="AC2251" s="52" t="n">
        <v>0</v>
      </c>
      <c r="AD2251" s="53" t="n">
        <v>0</v>
      </c>
      <c r="AE2251" s="52" t="n">
        <v>0</v>
      </c>
      <c r="AF2251" s="51" t="n">
        <v>0</v>
      </c>
      <c r="AG2251" s="48" t="n">
        <v>0</v>
      </c>
      <c r="AH2251" s="49" t="n">
        <v>0</v>
      </c>
      <c r="AI2251" s="49" t="n">
        <v>0</v>
      </c>
      <c r="AJ2251" s="50" t="n">
        <v>0</v>
      </c>
      <c r="AK2251" s="51" t="n">
        <v>0</v>
      </c>
      <c r="AL2251" s="52" t="n">
        <v>0</v>
      </c>
      <c r="AM2251" s="52" t="n">
        <v>0</v>
      </c>
      <c r="AN2251" s="52" t="n">
        <v>0</v>
      </c>
      <c r="AO2251" s="53" t="n">
        <v>0</v>
      </c>
      <c r="AP2251" s="52" t="n">
        <v>0</v>
      </c>
      <c r="AQ2251" s="53" t="n">
        <v>0</v>
      </c>
      <c r="AR2251" s="52" t="n">
        <v>0</v>
      </c>
      <c r="AS2251" s="51" t="n">
        <v>0</v>
      </c>
      <c r="AT2251" s="48" t="n">
        <v>0</v>
      </c>
      <c r="AU2251" s="49" t="n">
        <v>0</v>
      </c>
      <c r="AV2251" s="49" t="n">
        <v>0</v>
      </c>
      <c r="AW2251" s="50" t="n">
        <v>0</v>
      </c>
      <c r="AX2251" s="51" t="n">
        <v>0</v>
      </c>
      <c r="AY2251" s="52" t="n">
        <v>0</v>
      </c>
      <c r="AZ2251" s="52" t="n">
        <v>0</v>
      </c>
      <c r="BA2251" s="52" t="n">
        <v>0</v>
      </c>
      <c r="BB2251" s="53" t="n">
        <v>0</v>
      </c>
      <c r="BC2251" s="52" t="n">
        <v>0</v>
      </c>
      <c r="BD2251" s="53" t="n">
        <v>0</v>
      </c>
      <c r="BE2251" s="52" t="n">
        <v>0</v>
      </c>
      <c r="BF2251" s="51" t="n">
        <v>0</v>
      </c>
    </row>
    <row r="2252">
      <c r="A2252">
        <f>HYPERLINK("https://www.walmart.com/ip/1727573612", "1727573612")</f>
        <v/>
      </c>
      <c r="B2252" t="inlineStr">
        <is>
          <t>Catalonia Fleece Wearable Blanket with Sleeves and Pocket, Micro Plush Warm Sleeved TV Throw Sherpa Blanket Robe for Women and Men 72”X55”, Dog Gray</t>
        </is>
      </c>
      <c r="C2252" t="inlineStr">
        <is>
          <t>1CTSN110GYDOG</t>
        </is>
      </c>
      <c r="D2252" t="inlineStr">
        <is>
          <t>Throws</t>
        </is>
      </c>
      <c r="E2252" t="inlineStr">
        <is>
          <t>Catalonia</t>
        </is>
      </c>
      <c r="F2252" t="inlineStr">
        <is>
          <t>Coupon_Discount,Batch 1 - TR</t>
        </is>
      </c>
      <c r="G2252" s="48" t="n">
        <v>0</v>
      </c>
      <c r="H2252" s="49" t="n">
        <v>0</v>
      </c>
      <c r="I2252" s="49" t="n">
        <v>0</v>
      </c>
      <c r="J2252" s="50" t="n">
        <v>0</v>
      </c>
      <c r="K2252" s="51" t="n">
        <v>0</v>
      </c>
      <c r="L2252" s="52" t="n">
        <v>0</v>
      </c>
      <c r="M2252" s="52" t="n">
        <v>0</v>
      </c>
      <c r="N2252" s="52" t="n">
        <v>0</v>
      </c>
      <c r="O2252" s="53" t="n">
        <v>0</v>
      </c>
      <c r="P2252" s="52" t="n">
        <v>0</v>
      </c>
      <c r="Q2252" s="53" t="n">
        <v>0</v>
      </c>
      <c r="R2252" s="52" t="n">
        <v>0</v>
      </c>
      <c r="S2252" s="51" t="n">
        <v>0</v>
      </c>
      <c r="T2252" s="48" t="n">
        <v>0</v>
      </c>
      <c r="U2252" s="49" t="n">
        <v>0</v>
      </c>
      <c r="V2252" s="49" t="n">
        <v>0</v>
      </c>
      <c r="W2252" s="50" t="n">
        <v>0</v>
      </c>
      <c r="X2252" s="51" t="n">
        <v>0</v>
      </c>
      <c r="Y2252" s="52" t="n">
        <v>0</v>
      </c>
      <c r="Z2252" s="52" t="n">
        <v>0</v>
      </c>
      <c r="AA2252" s="52" t="n">
        <v>0</v>
      </c>
      <c r="AB2252" s="53" t="n">
        <v>0</v>
      </c>
      <c r="AC2252" s="52" t="n">
        <v>0</v>
      </c>
      <c r="AD2252" s="53" t="n">
        <v>0</v>
      </c>
      <c r="AE2252" s="52" t="n">
        <v>0</v>
      </c>
      <c r="AF2252" s="51" t="n">
        <v>0</v>
      </c>
      <c r="AG2252" s="48" t="n">
        <v>0</v>
      </c>
      <c r="AH2252" s="49" t="n">
        <v>0</v>
      </c>
      <c r="AI2252" s="49" t="n">
        <v>0</v>
      </c>
      <c r="AJ2252" s="50" t="n">
        <v>0</v>
      </c>
      <c r="AK2252" s="51" t="n">
        <v>0</v>
      </c>
      <c r="AL2252" s="52" t="n">
        <v>0</v>
      </c>
      <c r="AM2252" s="52" t="n">
        <v>0</v>
      </c>
      <c r="AN2252" s="52" t="n">
        <v>0</v>
      </c>
      <c r="AO2252" s="53" t="n">
        <v>0</v>
      </c>
      <c r="AP2252" s="52" t="n">
        <v>0</v>
      </c>
      <c r="AQ2252" s="53" t="n">
        <v>0</v>
      </c>
      <c r="AR2252" s="52" t="n">
        <v>0</v>
      </c>
      <c r="AS2252" s="51" t="n">
        <v>0</v>
      </c>
      <c r="AT2252" s="48" t="n">
        <v>0</v>
      </c>
      <c r="AU2252" s="49" t="n">
        <v>0</v>
      </c>
      <c r="AV2252" s="49" t="n">
        <v>0</v>
      </c>
      <c r="AW2252" s="50" t="n">
        <v>0</v>
      </c>
      <c r="AX2252" s="51" t="n">
        <v>0</v>
      </c>
      <c r="AY2252" s="52" t="n">
        <v>0</v>
      </c>
      <c r="AZ2252" s="52" t="n">
        <v>0</v>
      </c>
      <c r="BA2252" s="52" t="n">
        <v>0</v>
      </c>
      <c r="BB2252" s="53" t="n">
        <v>0</v>
      </c>
      <c r="BC2252" s="52" t="n">
        <v>0</v>
      </c>
      <c r="BD2252" s="53" t="n">
        <v>0</v>
      </c>
      <c r="BE2252" s="52" t="n">
        <v>0</v>
      </c>
      <c r="BF2252" s="51" t="n">
        <v>0</v>
      </c>
    </row>
    <row r="2253">
      <c r="A2253">
        <f>HYPERLINK("https://www.walmart.com/ip/181370792", "181370792")</f>
        <v/>
      </c>
      <c r="B2253" t="inlineStr">
        <is>
          <t>KC Caps Unisex Youth Washed Cotton Fun Denim Bucket Hat for Women and Men, Blue</t>
        </is>
      </c>
      <c r="C2253" t="inlineStr">
        <is>
          <t>KC9180BL-Y</t>
        </is>
      </c>
      <c r="D2253" t="inlineStr">
        <is>
          <t>Hats</t>
        </is>
      </c>
      <c r="E2253" t="inlineStr">
        <is>
          <t>KC Caps</t>
        </is>
      </c>
      <c r="F2253" t="inlineStr">
        <is>
          <t>Q2-Target,Batch 1 - TR</t>
        </is>
      </c>
      <c r="G2253" s="48" t="n">
        <v>0</v>
      </c>
      <c r="H2253" s="49" t="n">
        <v>0</v>
      </c>
      <c r="I2253" s="49" t="n">
        <v>0</v>
      </c>
      <c r="J2253" s="50" t="n">
        <v>0</v>
      </c>
      <c r="K2253" s="51" t="n">
        <v>0</v>
      </c>
      <c r="L2253" s="52" t="n">
        <v>0</v>
      </c>
      <c r="M2253" s="52" t="n">
        <v>0</v>
      </c>
      <c r="N2253" s="52" t="n">
        <v>0</v>
      </c>
      <c r="O2253" s="53" t="n">
        <v>0</v>
      </c>
      <c r="P2253" s="52" t="n">
        <v>0</v>
      </c>
      <c r="Q2253" s="53" t="n">
        <v>0</v>
      </c>
      <c r="R2253" s="52" t="n">
        <v>0</v>
      </c>
      <c r="S2253" s="51" t="n">
        <v>0</v>
      </c>
      <c r="T2253" s="48" t="n">
        <v>0</v>
      </c>
      <c r="U2253" s="49" t="n">
        <v>0</v>
      </c>
      <c r="V2253" s="49" t="n">
        <v>0</v>
      </c>
      <c r="W2253" s="50" t="n">
        <v>0</v>
      </c>
      <c r="X2253" s="51" t="n">
        <v>0</v>
      </c>
      <c r="Y2253" s="52" t="n">
        <v>0</v>
      </c>
      <c r="Z2253" s="52" t="n">
        <v>0</v>
      </c>
      <c r="AA2253" s="52" t="n">
        <v>0</v>
      </c>
      <c r="AB2253" s="53" t="n">
        <v>0</v>
      </c>
      <c r="AC2253" s="52" t="n">
        <v>0</v>
      </c>
      <c r="AD2253" s="53" t="n">
        <v>0</v>
      </c>
      <c r="AE2253" s="52" t="n">
        <v>0</v>
      </c>
      <c r="AF2253" s="51" t="n">
        <v>0</v>
      </c>
      <c r="AG2253" s="48" t="n">
        <v>0</v>
      </c>
      <c r="AH2253" s="49" t="n">
        <v>0</v>
      </c>
      <c r="AI2253" s="49" t="n">
        <v>0</v>
      </c>
      <c r="AJ2253" s="50" t="n">
        <v>0</v>
      </c>
      <c r="AK2253" s="51" t="n">
        <v>0</v>
      </c>
      <c r="AL2253" s="52" t="n">
        <v>0</v>
      </c>
      <c r="AM2253" s="52" t="n">
        <v>0</v>
      </c>
      <c r="AN2253" s="52" t="n">
        <v>0</v>
      </c>
      <c r="AO2253" s="53" t="n">
        <v>0</v>
      </c>
      <c r="AP2253" s="52" t="n">
        <v>0</v>
      </c>
      <c r="AQ2253" s="53" t="n">
        <v>0</v>
      </c>
      <c r="AR2253" s="52" t="n">
        <v>0</v>
      </c>
      <c r="AS2253" s="51" t="n">
        <v>0</v>
      </c>
      <c r="AT2253" s="48" t="n">
        <v>0</v>
      </c>
      <c r="AU2253" s="49" t="n">
        <v>0</v>
      </c>
      <c r="AV2253" s="49" t="n">
        <v>0</v>
      </c>
      <c r="AW2253" s="50" t="n">
        <v>0</v>
      </c>
      <c r="AX2253" s="51" t="n">
        <v>0</v>
      </c>
      <c r="AY2253" s="52" t="n">
        <v>0</v>
      </c>
      <c r="AZ2253" s="52" t="n">
        <v>0</v>
      </c>
      <c r="BA2253" s="52" t="n">
        <v>0</v>
      </c>
      <c r="BB2253" s="53" t="n">
        <v>0</v>
      </c>
      <c r="BC2253" s="52" t="n">
        <v>0</v>
      </c>
      <c r="BD2253" s="53" t="n">
        <v>0</v>
      </c>
      <c r="BE2253" s="52" t="n">
        <v>0</v>
      </c>
      <c r="BF2253" s="51" t="n">
        <v>0</v>
      </c>
    </row>
    <row r="2254">
      <c r="A2254">
        <f>HYPERLINK("https://www.walmart.com/ip/177853806", "177853806")</f>
        <v/>
      </c>
      <c r="B2254" t="inlineStr">
        <is>
          <t>Napa Super Soft Cozy Micro Plush Travel Air Conditioning TV Couch Throw Blanket 50"x 60", Brown</t>
        </is>
      </c>
      <c r="C2254" t="inlineStr">
        <is>
          <t>K2000-Brown</t>
        </is>
      </c>
      <c r="D2254" t="inlineStr">
        <is>
          <t>Throws</t>
        </is>
      </c>
      <c r="E2254" t="inlineStr">
        <is>
          <t>NAPA</t>
        </is>
      </c>
      <c r="F2254" t="inlineStr">
        <is>
          <t>Batch 1 - TR</t>
        </is>
      </c>
      <c r="G2254" s="48" t="n">
        <v>0</v>
      </c>
      <c r="H2254" s="49" t="n">
        <v>0</v>
      </c>
      <c r="I2254" s="49" t="n">
        <v>0</v>
      </c>
      <c r="J2254" s="50" t="n">
        <v>0</v>
      </c>
      <c r="K2254" s="51" t="n">
        <v>0</v>
      </c>
      <c r="L2254" s="52" t="n">
        <v>0</v>
      </c>
      <c r="M2254" s="52" t="n">
        <v>0</v>
      </c>
      <c r="N2254" s="52" t="n">
        <v>0</v>
      </c>
      <c r="O2254" s="53" t="n">
        <v>0</v>
      </c>
      <c r="P2254" s="52" t="n">
        <v>0</v>
      </c>
      <c r="Q2254" s="53" t="n">
        <v>0</v>
      </c>
      <c r="R2254" s="52" t="n">
        <v>0</v>
      </c>
      <c r="S2254" s="51" t="n">
        <v>0</v>
      </c>
      <c r="T2254" s="48" t="n">
        <v>0</v>
      </c>
      <c r="U2254" s="49" t="n">
        <v>0</v>
      </c>
      <c r="V2254" s="49" t="n">
        <v>0</v>
      </c>
      <c r="W2254" s="50" t="n">
        <v>0</v>
      </c>
      <c r="X2254" s="51" t="n">
        <v>0</v>
      </c>
      <c r="Y2254" s="52" t="n">
        <v>0</v>
      </c>
      <c r="Z2254" s="52" t="n">
        <v>0</v>
      </c>
      <c r="AA2254" s="52" t="n">
        <v>0</v>
      </c>
      <c r="AB2254" s="53" t="n">
        <v>0</v>
      </c>
      <c r="AC2254" s="52" t="n">
        <v>0</v>
      </c>
      <c r="AD2254" s="53" t="n">
        <v>0</v>
      </c>
      <c r="AE2254" s="52" t="n">
        <v>0</v>
      </c>
      <c r="AF2254" s="51" t="n">
        <v>0</v>
      </c>
      <c r="AG2254" s="48" t="n">
        <v>0</v>
      </c>
      <c r="AH2254" s="49" t="n">
        <v>0</v>
      </c>
      <c r="AI2254" s="49" t="n">
        <v>0</v>
      </c>
      <c r="AJ2254" s="50" t="n">
        <v>0</v>
      </c>
      <c r="AK2254" s="51" t="n">
        <v>0</v>
      </c>
      <c r="AL2254" s="52" t="n">
        <v>0</v>
      </c>
      <c r="AM2254" s="52" t="n">
        <v>0</v>
      </c>
      <c r="AN2254" s="52" t="n">
        <v>0</v>
      </c>
      <c r="AO2254" s="53" t="n">
        <v>0</v>
      </c>
      <c r="AP2254" s="52" t="n">
        <v>0</v>
      </c>
      <c r="AQ2254" s="53" t="n">
        <v>0</v>
      </c>
      <c r="AR2254" s="52" t="n">
        <v>0</v>
      </c>
      <c r="AS2254" s="51" t="n">
        <v>0</v>
      </c>
      <c r="AT2254" s="48" t="n">
        <v>0</v>
      </c>
      <c r="AU2254" s="49" t="n">
        <v>0</v>
      </c>
      <c r="AV2254" s="49" t="n">
        <v>0</v>
      </c>
      <c r="AW2254" s="50" t="n">
        <v>0</v>
      </c>
      <c r="AX2254" s="51" t="n">
        <v>0</v>
      </c>
      <c r="AY2254" s="52" t="n">
        <v>0</v>
      </c>
      <c r="AZ2254" s="52" t="n">
        <v>0</v>
      </c>
      <c r="BA2254" s="52" t="n">
        <v>0</v>
      </c>
      <c r="BB2254" s="53" t="n">
        <v>0</v>
      </c>
      <c r="BC2254" s="52" t="n">
        <v>0</v>
      </c>
      <c r="BD2254" s="53" t="n">
        <v>0</v>
      </c>
      <c r="BE2254" s="52" t="n">
        <v>0</v>
      </c>
      <c r="BF2254" s="51" t="n">
        <v>0</v>
      </c>
    </row>
    <row r="2255">
      <c r="A2255">
        <f>HYPERLINK("https://www.walmart.com/ip/178689917", "178689917")</f>
        <v/>
      </c>
      <c r="B2255" t="inlineStr">
        <is>
          <t>Jenniwears Women's Sexy Lingerie Lace Mesh 2-Piece Bowknot Halter Chemise with G-String</t>
        </is>
      </c>
      <c r="C2255" t="inlineStr">
        <is>
          <t>JWND03HP</t>
        </is>
      </c>
      <c r="D2255" t="inlineStr">
        <is>
          <t>Lingerie Sets</t>
        </is>
      </c>
      <c r="E2255" t="inlineStr">
        <is>
          <t>JenniWears</t>
        </is>
      </c>
      <c r="F2255" t="inlineStr">
        <is>
          <t>Optimized,Valentine</t>
        </is>
      </c>
      <c r="G2255" s="48" t="n">
        <v>0</v>
      </c>
      <c r="H2255" s="49" t="n">
        <v>0</v>
      </c>
      <c r="I2255" s="49" t="n">
        <v>0</v>
      </c>
      <c r="J2255" s="50" t="n">
        <v>0</v>
      </c>
      <c r="K2255" s="51" t="n">
        <v>0</v>
      </c>
      <c r="L2255" s="52" t="n">
        <v>0</v>
      </c>
      <c r="M2255" s="52" t="n">
        <v>0</v>
      </c>
      <c r="N2255" s="52" t="n">
        <v>0</v>
      </c>
      <c r="O2255" s="53" t="n">
        <v>0</v>
      </c>
      <c r="P2255" s="52" t="n">
        <v>0</v>
      </c>
      <c r="Q2255" s="53" t="n">
        <v>0</v>
      </c>
      <c r="R2255" s="52" t="n">
        <v>0</v>
      </c>
      <c r="S2255" s="51" t="n">
        <v>0</v>
      </c>
      <c r="T2255" s="48" t="n">
        <v>0</v>
      </c>
      <c r="U2255" s="49" t="n">
        <v>0</v>
      </c>
      <c r="V2255" s="49" t="n">
        <v>0</v>
      </c>
      <c r="W2255" s="50" t="n">
        <v>0</v>
      </c>
      <c r="X2255" s="51" t="n">
        <v>0</v>
      </c>
      <c r="Y2255" s="52" t="n">
        <v>0</v>
      </c>
      <c r="Z2255" s="52" t="n">
        <v>0</v>
      </c>
      <c r="AA2255" s="52" t="n">
        <v>0</v>
      </c>
      <c r="AB2255" s="53" t="n">
        <v>0</v>
      </c>
      <c r="AC2255" s="52" t="n">
        <v>0</v>
      </c>
      <c r="AD2255" s="53" t="n">
        <v>0</v>
      </c>
      <c r="AE2255" s="52" t="n">
        <v>0</v>
      </c>
      <c r="AF2255" s="51" t="n">
        <v>0</v>
      </c>
      <c r="AG2255" s="48" t="n">
        <v>0</v>
      </c>
      <c r="AH2255" s="49" t="n">
        <v>0</v>
      </c>
      <c r="AI2255" s="49" t="n">
        <v>0</v>
      </c>
      <c r="AJ2255" s="50" t="n">
        <v>0</v>
      </c>
      <c r="AK2255" s="51" t="n">
        <v>0</v>
      </c>
      <c r="AL2255" s="52" t="n">
        <v>0</v>
      </c>
      <c r="AM2255" s="52" t="n">
        <v>0</v>
      </c>
      <c r="AN2255" s="52" t="n">
        <v>0</v>
      </c>
      <c r="AO2255" s="53" t="n">
        <v>0</v>
      </c>
      <c r="AP2255" s="52" t="n">
        <v>0</v>
      </c>
      <c r="AQ2255" s="53" t="n">
        <v>0</v>
      </c>
      <c r="AR2255" s="52" t="n">
        <v>0</v>
      </c>
      <c r="AS2255" s="51" t="n">
        <v>0</v>
      </c>
      <c r="AT2255" s="48" t="n">
        <v>0</v>
      </c>
      <c r="AU2255" s="49" t="n">
        <v>0</v>
      </c>
      <c r="AV2255" s="49" t="n">
        <v>0</v>
      </c>
      <c r="AW2255" s="50" t="n">
        <v>0</v>
      </c>
      <c r="AX2255" s="51" t="n">
        <v>0</v>
      </c>
      <c r="AY2255" s="52" t="n">
        <v>0</v>
      </c>
      <c r="AZ2255" s="52" t="n">
        <v>0</v>
      </c>
      <c r="BA2255" s="52" t="n">
        <v>0</v>
      </c>
      <c r="BB2255" s="53" t="n">
        <v>0</v>
      </c>
      <c r="BC2255" s="52" t="n">
        <v>0</v>
      </c>
      <c r="BD2255" s="53" t="n">
        <v>0</v>
      </c>
      <c r="BE2255" s="52" t="n">
        <v>0</v>
      </c>
      <c r="BF2255" s="51" t="n">
        <v>0</v>
      </c>
    </row>
    <row r="2256">
      <c r="A2256">
        <f>HYPERLINK("https://www.walmart.com/ip/178820492", "178820492")</f>
        <v/>
      </c>
      <c r="B2256" t="inlineStr">
        <is>
          <t>undefined</t>
        </is>
      </c>
      <c r="C2256" t="inlineStr">
        <is>
          <t>JWBLSPH2012</t>
        </is>
      </c>
      <c r="G2256" s="48" t="n">
        <v>0</v>
      </c>
      <c r="H2256" s="49" t="n">
        <v>0</v>
      </c>
      <c r="I2256" s="49" t="n">
        <v>0</v>
      </c>
      <c r="J2256" s="50" t="n">
        <v>0</v>
      </c>
      <c r="K2256" s="51" t="n">
        <v>0</v>
      </c>
      <c r="L2256" s="52" t="n">
        <v>0</v>
      </c>
      <c r="M2256" s="52" t="n">
        <v>0</v>
      </c>
      <c r="N2256" s="52" t="n">
        <v>0</v>
      </c>
      <c r="O2256" s="53" t="n">
        <v>0</v>
      </c>
      <c r="P2256" s="52" t="n">
        <v>0</v>
      </c>
      <c r="Q2256" s="53" t="n">
        <v>0</v>
      </c>
      <c r="R2256" s="52" t="n">
        <v>0</v>
      </c>
      <c r="S2256" s="51" t="n">
        <v>0</v>
      </c>
      <c r="T2256" s="48" t="n">
        <v>0</v>
      </c>
      <c r="U2256" s="49" t="n">
        <v>0</v>
      </c>
      <c r="V2256" s="49" t="n">
        <v>0</v>
      </c>
      <c r="W2256" s="50" t="n">
        <v>0</v>
      </c>
      <c r="X2256" s="51" t="n">
        <v>0</v>
      </c>
      <c r="Y2256" s="52" t="n">
        <v>0</v>
      </c>
      <c r="Z2256" s="52" t="n">
        <v>0</v>
      </c>
      <c r="AA2256" s="52" t="n">
        <v>0</v>
      </c>
      <c r="AB2256" s="53" t="n">
        <v>0</v>
      </c>
      <c r="AC2256" s="52" t="n">
        <v>0</v>
      </c>
      <c r="AD2256" s="53" t="n">
        <v>0</v>
      </c>
      <c r="AE2256" s="52" t="n">
        <v>0</v>
      </c>
      <c r="AF2256" s="51" t="n">
        <v>0</v>
      </c>
      <c r="AG2256" s="48" t="n">
        <v>0</v>
      </c>
      <c r="AH2256" s="49" t="n">
        <v>0</v>
      </c>
      <c r="AI2256" s="49" t="n">
        <v>0</v>
      </c>
      <c r="AJ2256" s="50" t="n">
        <v>0</v>
      </c>
      <c r="AK2256" s="51" t="n">
        <v>0</v>
      </c>
      <c r="AL2256" s="52" t="n">
        <v>0</v>
      </c>
      <c r="AM2256" s="52" t="n">
        <v>0</v>
      </c>
      <c r="AN2256" s="52" t="n">
        <v>0</v>
      </c>
      <c r="AO2256" s="53" t="n">
        <v>0</v>
      </c>
      <c r="AP2256" s="52" t="n">
        <v>0</v>
      </c>
      <c r="AQ2256" s="53" t="n">
        <v>0</v>
      </c>
      <c r="AR2256" s="52" t="n">
        <v>0</v>
      </c>
      <c r="AS2256" s="51" t="n">
        <v>0</v>
      </c>
      <c r="AT2256" s="48" t="n">
        <v>0</v>
      </c>
      <c r="AU2256" s="49" t="n">
        <v>0</v>
      </c>
      <c r="AV2256" s="49" t="n">
        <v>0</v>
      </c>
      <c r="AW2256" s="50" t="n">
        <v>0</v>
      </c>
      <c r="AX2256" s="51" t="n">
        <v>0</v>
      </c>
      <c r="AY2256" s="52" t="n">
        <v>0</v>
      </c>
      <c r="AZ2256" s="52" t="n">
        <v>0</v>
      </c>
      <c r="BA2256" s="52" t="n">
        <v>0</v>
      </c>
      <c r="BB2256" s="53" t="n">
        <v>0</v>
      </c>
      <c r="BC2256" s="52" t="n">
        <v>0</v>
      </c>
      <c r="BD2256" s="53" t="n">
        <v>0</v>
      </c>
      <c r="BE2256" s="52" t="n">
        <v>0</v>
      </c>
      <c r="BF2256" s="51" t="n">
        <v>0</v>
      </c>
    </row>
    <row r="2257">
      <c r="A2257">
        <f>HYPERLINK("https://www.walmart.com/ip/1788570066", "1788570066")</f>
        <v/>
      </c>
      <c r="B2257" t="inlineStr">
        <is>
          <t>Every Day is Christmas Glass Blown Ornaments Cute Hand Made Figurines Tree Decoration, Alpaca</t>
        </is>
      </c>
      <c r="C2257" t="inlineStr">
        <is>
          <t>EDC-FIGURINE-ALPACA</t>
        </is>
      </c>
      <c r="D2257" t="inlineStr">
        <is>
          <t>Ornaments</t>
        </is>
      </c>
      <c r="E2257" t="inlineStr">
        <is>
          <t>Every Day is Christmas</t>
        </is>
      </c>
      <c r="G2257" s="48" t="n">
        <v>0</v>
      </c>
      <c r="H2257" s="49" t="n">
        <v>0</v>
      </c>
      <c r="I2257" s="49" t="n">
        <v>0</v>
      </c>
      <c r="J2257" s="50" t="n">
        <v>0</v>
      </c>
      <c r="K2257" s="51" t="n">
        <v>0</v>
      </c>
      <c r="L2257" s="52" t="n">
        <v>0</v>
      </c>
      <c r="M2257" s="52" t="n">
        <v>0</v>
      </c>
      <c r="N2257" s="52" t="n">
        <v>0</v>
      </c>
      <c r="O2257" s="53" t="n">
        <v>0</v>
      </c>
      <c r="P2257" s="52" t="n">
        <v>0</v>
      </c>
      <c r="Q2257" s="53" t="n">
        <v>0</v>
      </c>
      <c r="R2257" s="52" t="n">
        <v>0</v>
      </c>
      <c r="S2257" s="51" t="n">
        <v>0</v>
      </c>
      <c r="T2257" s="48" t="n">
        <v>0</v>
      </c>
      <c r="U2257" s="49" t="n">
        <v>0</v>
      </c>
      <c r="V2257" s="49" t="n">
        <v>0</v>
      </c>
      <c r="W2257" s="50" t="n">
        <v>0</v>
      </c>
      <c r="X2257" s="51" t="n">
        <v>0</v>
      </c>
      <c r="Y2257" s="52" t="n">
        <v>0</v>
      </c>
      <c r="Z2257" s="52" t="n">
        <v>0</v>
      </c>
      <c r="AA2257" s="52" t="n">
        <v>0</v>
      </c>
      <c r="AB2257" s="53" t="n">
        <v>0</v>
      </c>
      <c r="AC2257" s="52" t="n">
        <v>0</v>
      </c>
      <c r="AD2257" s="53" t="n">
        <v>0</v>
      </c>
      <c r="AE2257" s="52" t="n">
        <v>0</v>
      </c>
      <c r="AF2257" s="51" t="n">
        <v>0</v>
      </c>
      <c r="AG2257" s="48" t="n">
        <v>0</v>
      </c>
      <c r="AH2257" s="49" t="n">
        <v>0</v>
      </c>
      <c r="AI2257" s="49" t="n">
        <v>0</v>
      </c>
      <c r="AJ2257" s="50" t="n">
        <v>0</v>
      </c>
      <c r="AK2257" s="51" t="n">
        <v>0</v>
      </c>
      <c r="AL2257" s="52" t="n">
        <v>0</v>
      </c>
      <c r="AM2257" s="52" t="n">
        <v>0</v>
      </c>
      <c r="AN2257" s="52" t="n">
        <v>0</v>
      </c>
      <c r="AO2257" s="53" t="n">
        <v>0</v>
      </c>
      <c r="AP2257" s="52" t="n">
        <v>0</v>
      </c>
      <c r="AQ2257" s="53" t="n">
        <v>0</v>
      </c>
      <c r="AR2257" s="52" t="n">
        <v>0</v>
      </c>
      <c r="AS2257" s="51" t="n">
        <v>0</v>
      </c>
      <c r="AT2257" s="48" t="n">
        <v>0</v>
      </c>
      <c r="AU2257" s="49" t="n">
        <v>0</v>
      </c>
      <c r="AV2257" s="49" t="n">
        <v>0</v>
      </c>
      <c r="AW2257" s="50" t="n">
        <v>0</v>
      </c>
      <c r="AX2257" s="51" t="n">
        <v>0</v>
      </c>
      <c r="AY2257" s="52" t="n">
        <v>0</v>
      </c>
      <c r="AZ2257" s="52" t="n">
        <v>0</v>
      </c>
      <c r="BA2257" s="52" t="n">
        <v>0</v>
      </c>
      <c r="BB2257" s="53" t="n">
        <v>0</v>
      </c>
      <c r="BC2257" s="52" t="n">
        <v>0</v>
      </c>
      <c r="BD2257" s="53" t="n">
        <v>0</v>
      </c>
      <c r="BE2257" s="52" t="n">
        <v>0</v>
      </c>
      <c r="BF2257" s="51" t="n">
        <v>0</v>
      </c>
    </row>
    <row r="2258">
      <c r="A2258">
        <f>HYPERLINK("https://www.walmart.com/ip/179083790", "179083790")</f>
        <v/>
      </c>
      <c r="B2258" t="inlineStr">
        <is>
          <t>Jenniwears Women's Sexy Lingerie Lace Mesh 2-Piece Bowknot Halter Chemise with G-String</t>
        </is>
      </c>
      <c r="C2258" t="inlineStr">
        <is>
          <t>JWND03BL</t>
        </is>
      </c>
      <c r="D2258" t="inlineStr">
        <is>
          <t>Lingerie Sets</t>
        </is>
      </c>
      <c r="E2258" t="inlineStr">
        <is>
          <t>JenniWears</t>
        </is>
      </c>
      <c r="F2258" t="inlineStr">
        <is>
          <t>Optimized,Valentine</t>
        </is>
      </c>
      <c r="G2258" s="48" t="n">
        <v>0</v>
      </c>
      <c r="H2258" s="49" t="n">
        <v>0</v>
      </c>
      <c r="I2258" s="49" t="n">
        <v>0</v>
      </c>
      <c r="J2258" s="50" t="n">
        <v>0</v>
      </c>
      <c r="K2258" s="51" t="n">
        <v>0</v>
      </c>
      <c r="L2258" s="52" t="n">
        <v>0</v>
      </c>
      <c r="M2258" s="52" t="n">
        <v>0</v>
      </c>
      <c r="N2258" s="52" t="n">
        <v>0</v>
      </c>
      <c r="O2258" s="53" t="n">
        <v>0</v>
      </c>
      <c r="P2258" s="52" t="n">
        <v>0</v>
      </c>
      <c r="Q2258" s="53" t="n">
        <v>0</v>
      </c>
      <c r="R2258" s="52" t="n">
        <v>0</v>
      </c>
      <c r="S2258" s="51" t="n">
        <v>0</v>
      </c>
      <c r="T2258" s="48" t="n">
        <v>0</v>
      </c>
      <c r="U2258" s="49" t="n">
        <v>0</v>
      </c>
      <c r="V2258" s="49" t="n">
        <v>0</v>
      </c>
      <c r="W2258" s="50" t="n">
        <v>0</v>
      </c>
      <c r="X2258" s="51" t="n">
        <v>0</v>
      </c>
      <c r="Y2258" s="52" t="n">
        <v>0</v>
      </c>
      <c r="Z2258" s="52" t="n">
        <v>0</v>
      </c>
      <c r="AA2258" s="52" t="n">
        <v>0</v>
      </c>
      <c r="AB2258" s="53" t="n">
        <v>0</v>
      </c>
      <c r="AC2258" s="52" t="n">
        <v>0</v>
      </c>
      <c r="AD2258" s="53" t="n">
        <v>0</v>
      </c>
      <c r="AE2258" s="52" t="n">
        <v>0</v>
      </c>
      <c r="AF2258" s="51" t="n">
        <v>0</v>
      </c>
      <c r="AG2258" s="48" t="n">
        <v>0</v>
      </c>
      <c r="AH2258" s="49" t="n">
        <v>0</v>
      </c>
      <c r="AI2258" s="49" t="n">
        <v>0</v>
      </c>
      <c r="AJ2258" s="50" t="n">
        <v>0</v>
      </c>
      <c r="AK2258" s="51" t="n">
        <v>0</v>
      </c>
      <c r="AL2258" s="52" t="n">
        <v>0</v>
      </c>
      <c r="AM2258" s="52" t="n">
        <v>0</v>
      </c>
      <c r="AN2258" s="52" t="n">
        <v>0</v>
      </c>
      <c r="AO2258" s="53" t="n">
        <v>0</v>
      </c>
      <c r="AP2258" s="52" t="n">
        <v>0</v>
      </c>
      <c r="AQ2258" s="53" t="n">
        <v>0</v>
      </c>
      <c r="AR2258" s="52" t="n">
        <v>0</v>
      </c>
      <c r="AS2258" s="51" t="n">
        <v>0</v>
      </c>
      <c r="AT2258" s="48" t="n">
        <v>0</v>
      </c>
      <c r="AU2258" s="49" t="n">
        <v>0</v>
      </c>
      <c r="AV2258" s="49" t="n">
        <v>0</v>
      </c>
      <c r="AW2258" s="50" t="n">
        <v>0</v>
      </c>
      <c r="AX2258" s="51" t="n">
        <v>0</v>
      </c>
      <c r="AY2258" s="52" t="n">
        <v>0</v>
      </c>
      <c r="AZ2258" s="52" t="n">
        <v>0</v>
      </c>
      <c r="BA2258" s="52" t="n">
        <v>0</v>
      </c>
      <c r="BB2258" s="53" t="n">
        <v>0</v>
      </c>
      <c r="BC2258" s="52" t="n">
        <v>0</v>
      </c>
      <c r="BD2258" s="53" t="n">
        <v>0</v>
      </c>
      <c r="BE2258" s="52" t="n">
        <v>0</v>
      </c>
      <c r="BF2258" s="51" t="n">
        <v>0</v>
      </c>
    </row>
    <row r="2259">
      <c r="A2259">
        <f>HYPERLINK("https://www.walmart.com/ip/179253831", "179253831")</f>
        <v/>
      </c>
      <c r="B2259" t="inlineStr">
        <is>
          <t>KC Caps® Unstructured Low-profile Two-Tone Denim Garment Washed Baseball Cap</t>
        </is>
      </c>
      <c r="C2259" t="inlineStr">
        <is>
          <t>KC8080JEANGN</t>
        </is>
      </c>
      <c r="D2259" t="inlineStr">
        <is>
          <t>Hats</t>
        </is>
      </c>
      <c r="E2259" t="inlineStr">
        <is>
          <t>KC Caps</t>
        </is>
      </c>
      <c r="F2259" t="inlineStr">
        <is>
          <t>Optimized</t>
        </is>
      </c>
      <c r="G2259" s="48" t="n">
        <v>0</v>
      </c>
      <c r="H2259" s="49" t="n">
        <v>0</v>
      </c>
      <c r="I2259" s="49" t="n">
        <v>0</v>
      </c>
      <c r="J2259" s="50" t="n">
        <v>0</v>
      </c>
      <c r="K2259" s="51" t="n">
        <v>0</v>
      </c>
      <c r="L2259" s="52" t="n">
        <v>0</v>
      </c>
      <c r="M2259" s="52" t="n">
        <v>0</v>
      </c>
      <c r="N2259" s="52" t="n">
        <v>0</v>
      </c>
      <c r="O2259" s="53" t="n">
        <v>0</v>
      </c>
      <c r="P2259" s="52" t="n">
        <v>0</v>
      </c>
      <c r="Q2259" s="53" t="n">
        <v>0</v>
      </c>
      <c r="R2259" s="52" t="n">
        <v>0</v>
      </c>
      <c r="S2259" s="51" t="n">
        <v>0</v>
      </c>
      <c r="T2259" s="48" t="n">
        <v>0</v>
      </c>
      <c r="U2259" s="49" t="n">
        <v>0</v>
      </c>
      <c r="V2259" s="49" t="n">
        <v>0</v>
      </c>
      <c r="W2259" s="50" t="n">
        <v>0</v>
      </c>
      <c r="X2259" s="51" t="n">
        <v>0</v>
      </c>
      <c r="Y2259" s="52" t="n">
        <v>0</v>
      </c>
      <c r="Z2259" s="52" t="n">
        <v>0</v>
      </c>
      <c r="AA2259" s="52" t="n">
        <v>0</v>
      </c>
      <c r="AB2259" s="53" t="n">
        <v>0</v>
      </c>
      <c r="AC2259" s="52" t="n">
        <v>0</v>
      </c>
      <c r="AD2259" s="53" t="n">
        <v>0</v>
      </c>
      <c r="AE2259" s="52" t="n">
        <v>0</v>
      </c>
      <c r="AF2259" s="51" t="n">
        <v>0</v>
      </c>
      <c r="AG2259" s="48" t="n">
        <v>0</v>
      </c>
      <c r="AH2259" s="49" t="n">
        <v>0</v>
      </c>
      <c r="AI2259" s="49" t="n">
        <v>0</v>
      </c>
      <c r="AJ2259" s="50" t="n">
        <v>0</v>
      </c>
      <c r="AK2259" s="51" t="n">
        <v>0</v>
      </c>
      <c r="AL2259" s="52" t="n">
        <v>0</v>
      </c>
      <c r="AM2259" s="52" t="n">
        <v>0</v>
      </c>
      <c r="AN2259" s="52" t="n">
        <v>0</v>
      </c>
      <c r="AO2259" s="53" t="n">
        <v>0</v>
      </c>
      <c r="AP2259" s="52" t="n">
        <v>0</v>
      </c>
      <c r="AQ2259" s="53" t="n">
        <v>0</v>
      </c>
      <c r="AR2259" s="52" t="n">
        <v>0</v>
      </c>
      <c r="AS2259" s="51" t="n">
        <v>0</v>
      </c>
      <c r="AT2259" s="48" t="n">
        <v>0</v>
      </c>
      <c r="AU2259" s="49" t="n">
        <v>0</v>
      </c>
      <c r="AV2259" s="49" t="n">
        <v>0</v>
      </c>
      <c r="AW2259" s="50" t="n">
        <v>0</v>
      </c>
      <c r="AX2259" s="51" t="n">
        <v>0</v>
      </c>
      <c r="AY2259" s="52" t="n">
        <v>0</v>
      </c>
      <c r="AZ2259" s="52" t="n">
        <v>0</v>
      </c>
      <c r="BA2259" s="52" t="n">
        <v>0</v>
      </c>
      <c r="BB2259" s="53" t="n">
        <v>0</v>
      </c>
      <c r="BC2259" s="52" t="n">
        <v>0</v>
      </c>
      <c r="BD2259" s="53" t="n">
        <v>0</v>
      </c>
      <c r="BE2259" s="52" t="n">
        <v>0</v>
      </c>
      <c r="BF2259" s="51" t="n">
        <v>0</v>
      </c>
    </row>
    <row r="2260">
      <c r="A2260">
        <f>HYPERLINK("https://www.walmart.com/ip/179328417", "179328417")</f>
        <v/>
      </c>
      <c r="B2260" t="inlineStr">
        <is>
          <t>Medium Pet Travel Backpack Carrier for Dogs Cat Animal Puppy, Breathable Mesh Net Removable Sherpa Bed Outdoor Carrier f</t>
        </is>
      </c>
      <c r="C2260" t="inlineStr">
        <is>
          <t>1WMPB200BL</t>
        </is>
      </c>
      <c r="D2260" t="inlineStr">
        <is>
          <t>Pet Carriers</t>
        </is>
      </c>
      <c r="E2260" t="inlineStr">
        <is>
          <t>Flyingstar</t>
        </is>
      </c>
      <c r="F2260" t="inlineStr">
        <is>
          <t>Optimized</t>
        </is>
      </c>
      <c r="G2260" s="48" t="n">
        <v>0</v>
      </c>
      <c r="H2260" s="49" t="n">
        <v>0</v>
      </c>
      <c r="I2260" s="49" t="n">
        <v>0</v>
      </c>
      <c r="J2260" s="50" t="n">
        <v>0</v>
      </c>
      <c r="K2260" s="51" t="n">
        <v>0</v>
      </c>
      <c r="L2260" s="52" t="n">
        <v>0</v>
      </c>
      <c r="M2260" s="52" t="n">
        <v>0</v>
      </c>
      <c r="N2260" s="52" t="n">
        <v>0</v>
      </c>
      <c r="O2260" s="53" t="n">
        <v>0</v>
      </c>
      <c r="P2260" s="52" t="n">
        <v>0</v>
      </c>
      <c r="Q2260" s="53" t="n">
        <v>0</v>
      </c>
      <c r="R2260" s="52" t="n">
        <v>0</v>
      </c>
      <c r="S2260" s="51" t="n">
        <v>0</v>
      </c>
      <c r="T2260" s="48" t="n">
        <v>0</v>
      </c>
      <c r="U2260" s="49" t="n">
        <v>0</v>
      </c>
      <c r="V2260" s="49" t="n">
        <v>0</v>
      </c>
      <c r="W2260" s="50" t="n">
        <v>0</v>
      </c>
      <c r="X2260" s="51" t="n">
        <v>0</v>
      </c>
      <c r="Y2260" s="52" t="n">
        <v>0</v>
      </c>
      <c r="Z2260" s="52" t="n">
        <v>0</v>
      </c>
      <c r="AA2260" s="52" t="n">
        <v>0</v>
      </c>
      <c r="AB2260" s="53" t="n">
        <v>0</v>
      </c>
      <c r="AC2260" s="52" t="n">
        <v>0</v>
      </c>
      <c r="AD2260" s="53" t="n">
        <v>0</v>
      </c>
      <c r="AE2260" s="52" t="n">
        <v>0</v>
      </c>
      <c r="AF2260" s="51" t="n">
        <v>0</v>
      </c>
      <c r="AG2260" s="48" t="n">
        <v>0</v>
      </c>
      <c r="AH2260" s="49" t="n">
        <v>0</v>
      </c>
      <c r="AI2260" s="49" t="n">
        <v>0</v>
      </c>
      <c r="AJ2260" s="50" t="n">
        <v>0</v>
      </c>
      <c r="AK2260" s="51" t="n">
        <v>0</v>
      </c>
      <c r="AL2260" s="52" t="n">
        <v>0</v>
      </c>
      <c r="AM2260" s="52" t="n">
        <v>0</v>
      </c>
      <c r="AN2260" s="52" t="n">
        <v>0</v>
      </c>
      <c r="AO2260" s="53" t="n">
        <v>0</v>
      </c>
      <c r="AP2260" s="52" t="n">
        <v>0</v>
      </c>
      <c r="AQ2260" s="53" t="n">
        <v>0</v>
      </c>
      <c r="AR2260" s="52" t="n">
        <v>0</v>
      </c>
      <c r="AS2260" s="51" t="n">
        <v>0</v>
      </c>
      <c r="AT2260" s="48" t="n">
        <v>0</v>
      </c>
      <c r="AU2260" s="49" t="n">
        <v>0</v>
      </c>
      <c r="AV2260" s="49" t="n">
        <v>0</v>
      </c>
      <c r="AW2260" s="50" t="n">
        <v>0</v>
      </c>
      <c r="AX2260" s="51" t="n">
        <v>0</v>
      </c>
      <c r="AY2260" s="52" t="n">
        <v>0</v>
      </c>
      <c r="AZ2260" s="52" t="n">
        <v>0</v>
      </c>
      <c r="BA2260" s="52" t="n">
        <v>0</v>
      </c>
      <c r="BB2260" s="53" t="n">
        <v>0</v>
      </c>
      <c r="BC2260" s="52" t="n">
        <v>0</v>
      </c>
      <c r="BD2260" s="53" t="n">
        <v>0</v>
      </c>
      <c r="BE2260" s="52" t="n">
        <v>0</v>
      </c>
      <c r="BF2260" s="51" t="n">
        <v>0</v>
      </c>
    </row>
    <row r="2261">
      <c r="A2261">
        <f>HYPERLINK("https://www.walmart.com/ip/179405705", "179405705")</f>
        <v/>
      </c>
      <c r="B2261" t="inlineStr">
        <is>
          <t>Fashion Light Up LED Luminous Sequin Neck Ties Changeable Colors Necktie Led Fiber Tie Flashing Tie For Male/Female</t>
        </is>
      </c>
      <c r="C2261" t="inlineStr">
        <is>
          <t>LEDTIE01- PK</t>
        </is>
      </c>
      <c r="D2261" t="inlineStr">
        <is>
          <t>Neckties</t>
        </is>
      </c>
      <c r="E2261" t="inlineStr">
        <is>
          <t>JenniWears</t>
        </is>
      </c>
      <c r="F2261" t="inlineStr">
        <is>
          <t>Batch 1 - TR</t>
        </is>
      </c>
      <c r="G2261" s="48" t="n">
        <v>0</v>
      </c>
      <c r="H2261" s="49" t="n">
        <v>0</v>
      </c>
      <c r="I2261" s="49" t="n">
        <v>0</v>
      </c>
      <c r="J2261" s="50" t="n">
        <v>0</v>
      </c>
      <c r="K2261" s="51" t="n">
        <v>0</v>
      </c>
      <c r="L2261" s="52" t="n">
        <v>0</v>
      </c>
      <c r="M2261" s="52" t="n">
        <v>0</v>
      </c>
      <c r="N2261" s="52" t="n">
        <v>0</v>
      </c>
      <c r="O2261" s="53" t="n">
        <v>0</v>
      </c>
      <c r="P2261" s="52" t="n">
        <v>0</v>
      </c>
      <c r="Q2261" s="53" t="n">
        <v>0</v>
      </c>
      <c r="R2261" s="52" t="n">
        <v>0</v>
      </c>
      <c r="S2261" s="51" t="n">
        <v>0</v>
      </c>
      <c r="T2261" s="48" t="n">
        <v>0</v>
      </c>
      <c r="U2261" s="49" t="n">
        <v>0</v>
      </c>
      <c r="V2261" s="49" t="n">
        <v>0</v>
      </c>
      <c r="W2261" s="50" t="n">
        <v>0</v>
      </c>
      <c r="X2261" s="51" t="n">
        <v>0</v>
      </c>
      <c r="Y2261" s="52" t="n">
        <v>0</v>
      </c>
      <c r="Z2261" s="52" t="n">
        <v>0</v>
      </c>
      <c r="AA2261" s="52" t="n">
        <v>0</v>
      </c>
      <c r="AB2261" s="53" t="n">
        <v>0</v>
      </c>
      <c r="AC2261" s="52" t="n">
        <v>0</v>
      </c>
      <c r="AD2261" s="53" t="n">
        <v>0</v>
      </c>
      <c r="AE2261" s="52" t="n">
        <v>0</v>
      </c>
      <c r="AF2261" s="51" t="n">
        <v>0</v>
      </c>
      <c r="AG2261" s="48" t="n">
        <v>0</v>
      </c>
      <c r="AH2261" s="49" t="n">
        <v>0</v>
      </c>
      <c r="AI2261" s="49" t="n">
        <v>0</v>
      </c>
      <c r="AJ2261" s="50" t="n">
        <v>0</v>
      </c>
      <c r="AK2261" s="51" t="n">
        <v>0</v>
      </c>
      <c r="AL2261" s="52" t="n">
        <v>0</v>
      </c>
      <c r="AM2261" s="52" t="n">
        <v>0</v>
      </c>
      <c r="AN2261" s="52" t="n">
        <v>0</v>
      </c>
      <c r="AO2261" s="53" t="n">
        <v>0</v>
      </c>
      <c r="AP2261" s="52" t="n">
        <v>0</v>
      </c>
      <c r="AQ2261" s="53" t="n">
        <v>0</v>
      </c>
      <c r="AR2261" s="52" t="n">
        <v>0</v>
      </c>
      <c r="AS2261" s="51" t="n">
        <v>0</v>
      </c>
      <c r="AT2261" s="48" t="n">
        <v>0</v>
      </c>
      <c r="AU2261" s="49" t="n">
        <v>0</v>
      </c>
      <c r="AV2261" s="49" t="n">
        <v>0</v>
      </c>
      <c r="AW2261" s="50" t="n">
        <v>0</v>
      </c>
      <c r="AX2261" s="51" t="n">
        <v>0</v>
      </c>
      <c r="AY2261" s="52" t="n">
        <v>0</v>
      </c>
      <c r="AZ2261" s="52" t="n">
        <v>0</v>
      </c>
      <c r="BA2261" s="52" t="n">
        <v>0</v>
      </c>
      <c r="BB2261" s="53" t="n">
        <v>0</v>
      </c>
      <c r="BC2261" s="52" t="n">
        <v>0</v>
      </c>
      <c r="BD2261" s="53" t="n">
        <v>0</v>
      </c>
      <c r="BE2261" s="52" t="n">
        <v>0</v>
      </c>
      <c r="BF2261" s="51" t="n">
        <v>0</v>
      </c>
    </row>
    <row r="2262">
      <c r="A2262">
        <f>HYPERLINK("https://www.walmart.com/ip/1798926450", "1798926450")</f>
        <v/>
      </c>
      <c r="B2262" t="inlineStr">
        <is>
          <t>Tirrinia Men's Trout Ventilate Mesh Fish Embroidery Cap Fishing Hat Navy Blue</t>
        </is>
      </c>
      <c r="C2262" t="inlineStr">
        <is>
          <t>1TRHT13CAMO-TBCB</t>
        </is>
      </c>
      <c r="D2262" t="inlineStr">
        <is>
          <t>Hats</t>
        </is>
      </c>
      <c r="E2262" t="inlineStr">
        <is>
          <t>Tirrinia</t>
        </is>
      </c>
      <c r="F2262" t="inlineStr">
        <is>
          <t>Batch 1 - TR</t>
        </is>
      </c>
      <c r="G2262" s="48" t="n">
        <v>0</v>
      </c>
      <c r="H2262" s="49" t="n">
        <v>0</v>
      </c>
      <c r="I2262" s="49" t="n">
        <v>0</v>
      </c>
      <c r="J2262" s="50" t="n">
        <v>0</v>
      </c>
      <c r="K2262" s="51" t="n">
        <v>0</v>
      </c>
      <c r="L2262" s="52" t="n">
        <v>0</v>
      </c>
      <c r="M2262" s="52" t="n">
        <v>0</v>
      </c>
      <c r="N2262" s="52" t="n">
        <v>0</v>
      </c>
      <c r="O2262" s="53" t="n">
        <v>0</v>
      </c>
      <c r="P2262" s="52" t="n">
        <v>0</v>
      </c>
      <c r="Q2262" s="53" t="n">
        <v>0</v>
      </c>
      <c r="R2262" s="52" t="n">
        <v>0</v>
      </c>
      <c r="S2262" s="51" t="n">
        <v>0</v>
      </c>
      <c r="T2262" s="48" t="n">
        <v>0</v>
      </c>
      <c r="U2262" s="49" t="n">
        <v>0</v>
      </c>
      <c r="V2262" s="49" t="n">
        <v>0</v>
      </c>
      <c r="W2262" s="50" t="n">
        <v>0</v>
      </c>
      <c r="X2262" s="51" t="n">
        <v>0</v>
      </c>
      <c r="Y2262" s="52" t="n">
        <v>0</v>
      </c>
      <c r="Z2262" s="52" t="n">
        <v>0</v>
      </c>
      <c r="AA2262" s="52" t="n">
        <v>0</v>
      </c>
      <c r="AB2262" s="53" t="n">
        <v>0</v>
      </c>
      <c r="AC2262" s="52" t="n">
        <v>0</v>
      </c>
      <c r="AD2262" s="53" t="n">
        <v>0</v>
      </c>
      <c r="AE2262" s="52" t="n">
        <v>0</v>
      </c>
      <c r="AF2262" s="51" t="n">
        <v>0</v>
      </c>
      <c r="AG2262" s="48" t="n">
        <v>0</v>
      </c>
      <c r="AH2262" s="49" t="n">
        <v>0</v>
      </c>
      <c r="AI2262" s="49" t="n">
        <v>0</v>
      </c>
      <c r="AJ2262" s="50" t="n">
        <v>0</v>
      </c>
      <c r="AK2262" s="51" t="n">
        <v>0</v>
      </c>
      <c r="AL2262" s="52" t="n">
        <v>0</v>
      </c>
      <c r="AM2262" s="52" t="n">
        <v>0</v>
      </c>
      <c r="AN2262" s="52" t="n">
        <v>0</v>
      </c>
      <c r="AO2262" s="53" t="n">
        <v>0</v>
      </c>
      <c r="AP2262" s="52" t="n">
        <v>0</v>
      </c>
      <c r="AQ2262" s="53" t="n">
        <v>0</v>
      </c>
      <c r="AR2262" s="52" t="n">
        <v>0</v>
      </c>
      <c r="AS2262" s="51" t="n">
        <v>0</v>
      </c>
      <c r="AT2262" s="48" t="n">
        <v>0</v>
      </c>
      <c r="AU2262" s="49" t="n">
        <v>0</v>
      </c>
      <c r="AV2262" s="49" t="n">
        <v>0</v>
      </c>
      <c r="AW2262" s="50" t="n">
        <v>0</v>
      </c>
      <c r="AX2262" s="51" t="n">
        <v>0</v>
      </c>
      <c r="AY2262" s="52" t="n">
        <v>0</v>
      </c>
      <c r="AZ2262" s="52" t="n">
        <v>0</v>
      </c>
      <c r="BA2262" s="52" t="n">
        <v>0</v>
      </c>
      <c r="BB2262" s="53" t="n">
        <v>0</v>
      </c>
      <c r="BC2262" s="52" t="n">
        <v>0</v>
      </c>
      <c r="BD2262" s="53" t="n">
        <v>0</v>
      </c>
      <c r="BE2262" s="52" t="n">
        <v>0</v>
      </c>
      <c r="BF2262" s="51" t="n">
        <v>0</v>
      </c>
    </row>
    <row r="2263">
      <c r="A2263">
        <f>HYPERLINK("https://www.walmart.com/ip/180458782", "180458782")</f>
        <v/>
      </c>
      <c r="B2263" t="inlineStr">
        <is>
          <t>KC Caps® Cotton Twill Deluxe Super Soft Mesh Adjustable Snapback Low Profile Trucker Baseball Cap</t>
        </is>
      </c>
      <c r="C2263" t="inlineStr">
        <is>
          <t>KCCAPSSZK641CA/ST</t>
        </is>
      </c>
      <c r="D2263" t="inlineStr">
        <is>
          <t>Hats</t>
        </is>
      </c>
      <c r="E2263" t="inlineStr">
        <is>
          <t>KC Caps</t>
        </is>
      </c>
      <c r="F2263" t="inlineStr">
        <is>
          <t>Optimized</t>
        </is>
      </c>
      <c r="G2263" s="48" t="n">
        <v>0</v>
      </c>
      <c r="H2263" s="49" t="n">
        <v>0</v>
      </c>
      <c r="I2263" s="49" t="n">
        <v>0</v>
      </c>
      <c r="J2263" s="50" t="n">
        <v>0</v>
      </c>
      <c r="K2263" s="51" t="n">
        <v>0</v>
      </c>
      <c r="L2263" s="52" t="n">
        <v>0</v>
      </c>
      <c r="M2263" s="52" t="n">
        <v>0</v>
      </c>
      <c r="N2263" s="52" t="n">
        <v>0</v>
      </c>
      <c r="O2263" s="53" t="n">
        <v>0</v>
      </c>
      <c r="P2263" s="52" t="n">
        <v>0</v>
      </c>
      <c r="Q2263" s="53" t="n">
        <v>0</v>
      </c>
      <c r="R2263" s="52" t="n">
        <v>0</v>
      </c>
      <c r="S2263" s="51" t="n">
        <v>0</v>
      </c>
      <c r="T2263" s="48" t="n">
        <v>0</v>
      </c>
      <c r="U2263" s="49" t="n">
        <v>0</v>
      </c>
      <c r="V2263" s="49" t="n">
        <v>0</v>
      </c>
      <c r="W2263" s="50" t="n">
        <v>0</v>
      </c>
      <c r="X2263" s="51" t="n">
        <v>0</v>
      </c>
      <c r="Y2263" s="52" t="n">
        <v>0</v>
      </c>
      <c r="Z2263" s="52" t="n">
        <v>0</v>
      </c>
      <c r="AA2263" s="52" t="n">
        <v>0</v>
      </c>
      <c r="AB2263" s="53" t="n">
        <v>0</v>
      </c>
      <c r="AC2263" s="52" t="n">
        <v>0</v>
      </c>
      <c r="AD2263" s="53" t="n">
        <v>0</v>
      </c>
      <c r="AE2263" s="52" t="n">
        <v>0</v>
      </c>
      <c r="AF2263" s="51" t="n">
        <v>0</v>
      </c>
      <c r="AG2263" s="48" t="n">
        <v>0</v>
      </c>
      <c r="AH2263" s="49" t="n">
        <v>0</v>
      </c>
      <c r="AI2263" s="49" t="n">
        <v>0</v>
      </c>
      <c r="AJ2263" s="50" t="n">
        <v>0</v>
      </c>
      <c r="AK2263" s="51" t="n">
        <v>0</v>
      </c>
      <c r="AL2263" s="52" t="n">
        <v>0</v>
      </c>
      <c r="AM2263" s="52" t="n">
        <v>0</v>
      </c>
      <c r="AN2263" s="52" t="n">
        <v>0</v>
      </c>
      <c r="AO2263" s="53" t="n">
        <v>0</v>
      </c>
      <c r="AP2263" s="52" t="n">
        <v>0</v>
      </c>
      <c r="AQ2263" s="53" t="n">
        <v>0</v>
      </c>
      <c r="AR2263" s="52" t="n">
        <v>0</v>
      </c>
      <c r="AS2263" s="51" t="n">
        <v>0</v>
      </c>
      <c r="AT2263" s="48" t="n">
        <v>0</v>
      </c>
      <c r="AU2263" s="49" t="n">
        <v>0</v>
      </c>
      <c r="AV2263" s="49" t="n">
        <v>0</v>
      </c>
      <c r="AW2263" s="50" t="n">
        <v>0</v>
      </c>
      <c r="AX2263" s="51" t="n">
        <v>0</v>
      </c>
      <c r="AY2263" s="52" t="n">
        <v>0</v>
      </c>
      <c r="AZ2263" s="52" t="n">
        <v>0</v>
      </c>
      <c r="BA2263" s="52" t="n">
        <v>0</v>
      </c>
      <c r="BB2263" s="53" t="n">
        <v>0</v>
      </c>
      <c r="BC2263" s="52" t="n">
        <v>0</v>
      </c>
      <c r="BD2263" s="53" t="n">
        <v>0</v>
      </c>
      <c r="BE2263" s="52" t="n">
        <v>0</v>
      </c>
      <c r="BF2263" s="51" t="n">
        <v>0</v>
      </c>
    </row>
    <row r="2264">
      <c r="A2264">
        <f>HYPERLINK("https://www.walmart.com/ip/180551787", "180551787")</f>
        <v/>
      </c>
      <c r="B2264" t="inlineStr">
        <is>
          <t>JenniWears Women's Black Floral Crotchless Suspender Bodystocking Lingerie</t>
        </is>
      </c>
      <c r="C2264" t="inlineStr">
        <is>
          <t>JWBS8808</t>
        </is>
      </c>
      <c r="D2264" t="inlineStr">
        <is>
          <t>Teddies &amp; Bodystockings</t>
        </is>
      </c>
      <c r="E2264" t="inlineStr">
        <is>
          <t>JenniWears</t>
        </is>
      </c>
      <c r="F2264" t="inlineStr">
        <is>
          <t>Valentine</t>
        </is>
      </c>
      <c r="G2264" s="48" t="n">
        <v>0</v>
      </c>
      <c r="H2264" s="49" t="n">
        <v>0</v>
      </c>
      <c r="I2264" s="49" t="n">
        <v>0</v>
      </c>
      <c r="J2264" s="50" t="n">
        <v>0</v>
      </c>
      <c r="K2264" s="51" t="n">
        <v>0</v>
      </c>
      <c r="L2264" s="52" t="n">
        <v>0</v>
      </c>
      <c r="M2264" s="52" t="n">
        <v>0</v>
      </c>
      <c r="N2264" s="52" t="n">
        <v>0</v>
      </c>
      <c r="O2264" s="53" t="n">
        <v>0</v>
      </c>
      <c r="P2264" s="52" t="n">
        <v>0</v>
      </c>
      <c r="Q2264" s="53" t="n">
        <v>0</v>
      </c>
      <c r="R2264" s="52" t="n">
        <v>0</v>
      </c>
      <c r="S2264" s="51" t="n">
        <v>0</v>
      </c>
      <c r="T2264" s="48" t="n">
        <v>0</v>
      </c>
      <c r="U2264" s="49" t="n">
        <v>0</v>
      </c>
      <c r="V2264" s="49" t="n">
        <v>0</v>
      </c>
      <c r="W2264" s="50" t="n">
        <v>0</v>
      </c>
      <c r="X2264" s="51" t="n">
        <v>0</v>
      </c>
      <c r="Y2264" s="52" t="n">
        <v>0</v>
      </c>
      <c r="Z2264" s="52" t="n">
        <v>0</v>
      </c>
      <c r="AA2264" s="52" t="n">
        <v>0</v>
      </c>
      <c r="AB2264" s="53" t="n">
        <v>0</v>
      </c>
      <c r="AC2264" s="52" t="n">
        <v>0</v>
      </c>
      <c r="AD2264" s="53" t="n">
        <v>0</v>
      </c>
      <c r="AE2264" s="52" t="n">
        <v>0</v>
      </c>
      <c r="AF2264" s="51" t="n">
        <v>0</v>
      </c>
      <c r="AG2264" s="48" t="n">
        <v>0</v>
      </c>
      <c r="AH2264" s="49" t="n">
        <v>0</v>
      </c>
      <c r="AI2264" s="49" t="n">
        <v>0</v>
      </c>
      <c r="AJ2264" s="50" t="n">
        <v>0</v>
      </c>
      <c r="AK2264" s="51" t="n">
        <v>0</v>
      </c>
      <c r="AL2264" s="52" t="n">
        <v>0</v>
      </c>
      <c r="AM2264" s="52" t="n">
        <v>0</v>
      </c>
      <c r="AN2264" s="52" t="n">
        <v>0</v>
      </c>
      <c r="AO2264" s="53" t="n">
        <v>0</v>
      </c>
      <c r="AP2264" s="52" t="n">
        <v>0</v>
      </c>
      <c r="AQ2264" s="53" t="n">
        <v>0</v>
      </c>
      <c r="AR2264" s="52" t="n">
        <v>0</v>
      </c>
      <c r="AS2264" s="51" t="n">
        <v>0</v>
      </c>
      <c r="AT2264" s="48" t="n">
        <v>0</v>
      </c>
      <c r="AU2264" s="49" t="n">
        <v>0</v>
      </c>
      <c r="AV2264" s="49" t="n">
        <v>0</v>
      </c>
      <c r="AW2264" s="50" t="n">
        <v>0</v>
      </c>
      <c r="AX2264" s="51" t="n">
        <v>0</v>
      </c>
      <c r="AY2264" s="52" t="n">
        <v>0</v>
      </c>
      <c r="AZ2264" s="52" t="n">
        <v>0</v>
      </c>
      <c r="BA2264" s="52" t="n">
        <v>0</v>
      </c>
      <c r="BB2264" s="53" t="n">
        <v>0</v>
      </c>
      <c r="BC2264" s="52" t="n">
        <v>0</v>
      </c>
      <c r="BD2264" s="53" t="n">
        <v>0</v>
      </c>
      <c r="BE2264" s="52" t="n">
        <v>0</v>
      </c>
      <c r="BF2264" s="51" t="n">
        <v>0</v>
      </c>
    </row>
    <row r="2265">
      <c r="A2265">
        <f>HYPERLINK("https://www.walmart.com/ip/180848663", "180848663")</f>
        <v/>
      </c>
      <c r="B2265" t="inlineStr">
        <is>
          <t>KC Caps® Unisex Cotton Baseball Cap Adjustable Plain Hat (21 Styles/Colors)</t>
        </is>
      </c>
      <c r="C2265" t="inlineStr">
        <is>
          <t>KC8010OFFWTNV</t>
        </is>
      </c>
      <c r="D2265" t="inlineStr">
        <is>
          <t>Hats</t>
        </is>
      </c>
      <c r="E2265" t="inlineStr">
        <is>
          <t>KC Caps</t>
        </is>
      </c>
      <c r="F2265" t="inlineStr">
        <is>
          <t>Optimized</t>
        </is>
      </c>
      <c r="G2265" s="48" t="n">
        <v>0</v>
      </c>
      <c r="H2265" s="49" t="n">
        <v>0</v>
      </c>
      <c r="I2265" s="49" t="n">
        <v>0</v>
      </c>
      <c r="J2265" s="50" t="n">
        <v>0</v>
      </c>
      <c r="K2265" s="51" t="n">
        <v>0</v>
      </c>
      <c r="L2265" s="52" t="n">
        <v>0</v>
      </c>
      <c r="M2265" s="52" t="n">
        <v>0</v>
      </c>
      <c r="N2265" s="52" t="n">
        <v>0</v>
      </c>
      <c r="O2265" s="53" t="n">
        <v>0</v>
      </c>
      <c r="P2265" s="52" t="n">
        <v>0</v>
      </c>
      <c r="Q2265" s="53" t="n">
        <v>0</v>
      </c>
      <c r="R2265" s="52" t="n">
        <v>0</v>
      </c>
      <c r="S2265" s="51" t="n">
        <v>0</v>
      </c>
      <c r="T2265" s="48" t="n">
        <v>0</v>
      </c>
      <c r="U2265" s="49" t="n">
        <v>0</v>
      </c>
      <c r="V2265" s="49" t="n">
        <v>0</v>
      </c>
      <c r="W2265" s="50" t="n">
        <v>0</v>
      </c>
      <c r="X2265" s="51" t="n">
        <v>0</v>
      </c>
      <c r="Y2265" s="52" t="n">
        <v>0</v>
      </c>
      <c r="Z2265" s="52" t="n">
        <v>0</v>
      </c>
      <c r="AA2265" s="52" t="n">
        <v>0</v>
      </c>
      <c r="AB2265" s="53" t="n">
        <v>0</v>
      </c>
      <c r="AC2265" s="52" t="n">
        <v>0</v>
      </c>
      <c r="AD2265" s="53" t="n">
        <v>0</v>
      </c>
      <c r="AE2265" s="52" t="n">
        <v>0</v>
      </c>
      <c r="AF2265" s="51" t="n">
        <v>0</v>
      </c>
      <c r="AG2265" s="48" t="n">
        <v>0</v>
      </c>
      <c r="AH2265" s="49" t="n">
        <v>0</v>
      </c>
      <c r="AI2265" s="49" t="n">
        <v>0</v>
      </c>
      <c r="AJ2265" s="50" t="n">
        <v>0</v>
      </c>
      <c r="AK2265" s="51" t="n">
        <v>0</v>
      </c>
      <c r="AL2265" s="52" t="n">
        <v>0</v>
      </c>
      <c r="AM2265" s="52" t="n">
        <v>0</v>
      </c>
      <c r="AN2265" s="52" t="n">
        <v>0</v>
      </c>
      <c r="AO2265" s="53" t="n">
        <v>0</v>
      </c>
      <c r="AP2265" s="52" t="n">
        <v>0</v>
      </c>
      <c r="AQ2265" s="53" t="n">
        <v>0</v>
      </c>
      <c r="AR2265" s="52" t="n">
        <v>0</v>
      </c>
      <c r="AS2265" s="51" t="n">
        <v>0</v>
      </c>
      <c r="AT2265" s="48" t="n">
        <v>0</v>
      </c>
      <c r="AU2265" s="49" t="n">
        <v>0</v>
      </c>
      <c r="AV2265" s="49" t="n">
        <v>0</v>
      </c>
      <c r="AW2265" s="50" t="n">
        <v>0</v>
      </c>
      <c r="AX2265" s="51" t="n">
        <v>0</v>
      </c>
      <c r="AY2265" s="52" t="n">
        <v>0</v>
      </c>
      <c r="AZ2265" s="52" t="n">
        <v>0</v>
      </c>
      <c r="BA2265" s="52" t="n">
        <v>0</v>
      </c>
      <c r="BB2265" s="53" t="n">
        <v>0</v>
      </c>
      <c r="BC2265" s="52" t="n">
        <v>0</v>
      </c>
      <c r="BD2265" s="53" t="n">
        <v>0</v>
      </c>
      <c r="BE2265" s="52" t="n">
        <v>0</v>
      </c>
      <c r="BF2265" s="51" t="n">
        <v>0</v>
      </c>
    </row>
    <row r="2266">
      <c r="A2266">
        <f>HYPERLINK("https://www.walmart.com/ip/180994502", "180994502")</f>
        <v/>
      </c>
      <c r="B2266" t="inlineStr">
        <is>
          <t>JenniWears® Women Intimate Night Babydoll Robe w/ Satin Ribbon Belt G-string Set</t>
        </is>
      </c>
      <c r="C2266" t="inlineStr">
        <is>
          <t>JWRS03PP-M</t>
        </is>
      </c>
      <c r="D2266" t="inlineStr">
        <is>
          <t>Lingerie Sets</t>
        </is>
      </c>
      <c r="E2266" t="inlineStr">
        <is>
          <t>JenniWears</t>
        </is>
      </c>
      <c r="F2266" t="inlineStr">
        <is>
          <t>Optimized,Valentine</t>
        </is>
      </c>
      <c r="G2266" s="48" t="n">
        <v>0</v>
      </c>
      <c r="H2266" s="49" t="n">
        <v>0</v>
      </c>
      <c r="I2266" s="49" t="n">
        <v>0</v>
      </c>
      <c r="J2266" s="50" t="n">
        <v>0</v>
      </c>
      <c r="K2266" s="51" t="n">
        <v>0</v>
      </c>
      <c r="L2266" s="52" t="n">
        <v>0</v>
      </c>
      <c r="M2266" s="52" t="n">
        <v>0</v>
      </c>
      <c r="N2266" s="52" t="n">
        <v>0</v>
      </c>
      <c r="O2266" s="53" t="n">
        <v>0</v>
      </c>
      <c r="P2266" s="52" t="n">
        <v>0</v>
      </c>
      <c r="Q2266" s="53" t="n">
        <v>0</v>
      </c>
      <c r="R2266" s="52" t="n">
        <v>0</v>
      </c>
      <c r="S2266" s="51" t="n">
        <v>0</v>
      </c>
      <c r="T2266" s="48" t="n">
        <v>0</v>
      </c>
      <c r="U2266" s="49" t="n">
        <v>0</v>
      </c>
      <c r="V2266" s="49" t="n">
        <v>0</v>
      </c>
      <c r="W2266" s="50" t="n">
        <v>0</v>
      </c>
      <c r="X2266" s="51" t="n">
        <v>0</v>
      </c>
      <c r="Y2266" s="52" t="n">
        <v>0</v>
      </c>
      <c r="Z2266" s="52" t="n">
        <v>0</v>
      </c>
      <c r="AA2266" s="52" t="n">
        <v>0</v>
      </c>
      <c r="AB2266" s="53" t="n">
        <v>0</v>
      </c>
      <c r="AC2266" s="52" t="n">
        <v>0</v>
      </c>
      <c r="AD2266" s="53" t="n">
        <v>0</v>
      </c>
      <c r="AE2266" s="52" t="n">
        <v>0</v>
      </c>
      <c r="AF2266" s="51" t="n">
        <v>0</v>
      </c>
      <c r="AG2266" s="48" t="n">
        <v>0</v>
      </c>
      <c r="AH2266" s="49" t="n">
        <v>0</v>
      </c>
      <c r="AI2266" s="49" t="n">
        <v>0</v>
      </c>
      <c r="AJ2266" s="50" t="n">
        <v>0</v>
      </c>
      <c r="AK2266" s="51" t="n">
        <v>0</v>
      </c>
      <c r="AL2266" s="52" t="n">
        <v>0</v>
      </c>
      <c r="AM2266" s="52" t="n">
        <v>0</v>
      </c>
      <c r="AN2266" s="52" t="n">
        <v>0</v>
      </c>
      <c r="AO2266" s="53" t="n">
        <v>0</v>
      </c>
      <c r="AP2266" s="52" t="n">
        <v>0</v>
      </c>
      <c r="AQ2266" s="53" t="n">
        <v>0</v>
      </c>
      <c r="AR2266" s="52" t="n">
        <v>0</v>
      </c>
      <c r="AS2266" s="51" t="n">
        <v>0</v>
      </c>
      <c r="AT2266" s="48" t="n">
        <v>0</v>
      </c>
      <c r="AU2266" s="49" t="n">
        <v>0</v>
      </c>
      <c r="AV2266" s="49" t="n">
        <v>0</v>
      </c>
      <c r="AW2266" s="50" t="n">
        <v>0</v>
      </c>
      <c r="AX2266" s="51" t="n">
        <v>0</v>
      </c>
      <c r="AY2266" s="52" t="n">
        <v>0</v>
      </c>
      <c r="AZ2266" s="52" t="n">
        <v>0</v>
      </c>
      <c r="BA2266" s="52" t="n">
        <v>0</v>
      </c>
      <c r="BB2266" s="53" t="n">
        <v>0</v>
      </c>
      <c r="BC2266" s="52" t="n">
        <v>0</v>
      </c>
      <c r="BD2266" s="53" t="n">
        <v>0</v>
      </c>
      <c r="BE2266" s="52" t="n">
        <v>0</v>
      </c>
      <c r="BF2266" s="51" t="n">
        <v>0</v>
      </c>
    </row>
    <row r="2267">
      <c r="A2267">
        <f>HYPERLINK("https://www.walmart.com/ip/1810221595", "1810221595")</f>
        <v/>
      </c>
      <c r="B2267" t="inlineStr">
        <is>
          <t>Hooded Poncho Towels Changing Robe for Adult Surfer Swimmer Sport Beach</t>
        </is>
      </c>
      <c r="C2267" t="inlineStr">
        <is>
          <t>1TRBR100-LBL</t>
        </is>
      </c>
      <c r="D2267" t="inlineStr">
        <is>
          <t>Towels &amp; Washcloths</t>
        </is>
      </c>
      <c r="E2267" t="inlineStr">
        <is>
          <t>Tirrinia</t>
        </is>
      </c>
      <c r="G2267" s="48" t="n">
        <v>0</v>
      </c>
      <c r="H2267" s="49" t="n">
        <v>0</v>
      </c>
      <c r="I2267" s="49" t="n">
        <v>0</v>
      </c>
      <c r="J2267" s="50" t="n">
        <v>0</v>
      </c>
      <c r="K2267" s="51" t="n">
        <v>0</v>
      </c>
      <c r="L2267" s="52" t="n">
        <v>0</v>
      </c>
      <c r="M2267" s="52" t="n">
        <v>0</v>
      </c>
      <c r="N2267" s="52" t="n">
        <v>0</v>
      </c>
      <c r="O2267" s="53" t="n">
        <v>0</v>
      </c>
      <c r="P2267" s="52" t="n">
        <v>0</v>
      </c>
      <c r="Q2267" s="53" t="n">
        <v>0</v>
      </c>
      <c r="R2267" s="52" t="n">
        <v>0</v>
      </c>
      <c r="S2267" s="51" t="n">
        <v>0</v>
      </c>
      <c r="T2267" s="48" t="n">
        <v>0</v>
      </c>
      <c r="U2267" s="49" t="n">
        <v>0</v>
      </c>
      <c r="V2267" s="49" t="n">
        <v>0</v>
      </c>
      <c r="W2267" s="50" t="n">
        <v>0</v>
      </c>
      <c r="X2267" s="51" t="n">
        <v>0</v>
      </c>
      <c r="Y2267" s="52" t="n">
        <v>0</v>
      </c>
      <c r="Z2267" s="52" t="n">
        <v>0</v>
      </c>
      <c r="AA2267" s="52" t="n">
        <v>0</v>
      </c>
      <c r="AB2267" s="53" t="n">
        <v>0</v>
      </c>
      <c r="AC2267" s="52" t="n">
        <v>0</v>
      </c>
      <c r="AD2267" s="53" t="n">
        <v>0</v>
      </c>
      <c r="AE2267" s="52" t="n">
        <v>0</v>
      </c>
      <c r="AF2267" s="51" t="n">
        <v>0</v>
      </c>
      <c r="AG2267" s="48" t="n">
        <v>0</v>
      </c>
      <c r="AH2267" s="49" t="n">
        <v>0</v>
      </c>
      <c r="AI2267" s="49" t="n">
        <v>0</v>
      </c>
      <c r="AJ2267" s="50" t="n">
        <v>0</v>
      </c>
      <c r="AK2267" s="51" t="n">
        <v>0</v>
      </c>
      <c r="AL2267" s="52" t="n">
        <v>0</v>
      </c>
      <c r="AM2267" s="52" t="n">
        <v>0</v>
      </c>
      <c r="AN2267" s="52" t="n">
        <v>0</v>
      </c>
      <c r="AO2267" s="53" t="n">
        <v>0</v>
      </c>
      <c r="AP2267" s="52" t="n">
        <v>0</v>
      </c>
      <c r="AQ2267" s="53" t="n">
        <v>0</v>
      </c>
      <c r="AR2267" s="52" t="n">
        <v>0</v>
      </c>
      <c r="AS2267" s="51" t="n">
        <v>0</v>
      </c>
      <c r="AT2267" s="48" t="n">
        <v>0</v>
      </c>
      <c r="AU2267" s="49" t="n">
        <v>0</v>
      </c>
      <c r="AV2267" s="49" t="n">
        <v>0</v>
      </c>
      <c r="AW2267" s="50" t="n">
        <v>0</v>
      </c>
      <c r="AX2267" s="51" t="n">
        <v>0</v>
      </c>
      <c r="AY2267" s="52" t="n">
        <v>0</v>
      </c>
      <c r="AZ2267" s="52" t="n">
        <v>0</v>
      </c>
      <c r="BA2267" s="52" t="n">
        <v>0</v>
      </c>
      <c r="BB2267" s="53" t="n">
        <v>0</v>
      </c>
      <c r="BC2267" s="52" t="n">
        <v>0</v>
      </c>
      <c r="BD2267" s="53" t="n">
        <v>0</v>
      </c>
      <c r="BE2267" s="52" t="n">
        <v>0</v>
      </c>
      <c r="BF2267" s="51" t="n">
        <v>0</v>
      </c>
    </row>
    <row r="2268">
      <c r="A2268">
        <f>HYPERLINK("https://www.walmart.com/ip/181073728", "181073728")</f>
        <v/>
      </c>
      <c r="B2268" t="inlineStr">
        <is>
          <t>KC Caps® Unisex Two-Tone Washed Cotton Bucket Hat Cap Headwear, Medium/Large</t>
        </is>
      </c>
      <c r="C2268" t="inlineStr">
        <is>
          <t>KC9120RD-M</t>
        </is>
      </c>
      <c r="D2268" t="inlineStr">
        <is>
          <t>Hats</t>
        </is>
      </c>
      <c r="E2268" t="inlineStr">
        <is>
          <t>KC Caps</t>
        </is>
      </c>
      <c r="F2268" t="inlineStr">
        <is>
          <t>Optimized</t>
        </is>
      </c>
      <c r="G2268" s="48" t="n">
        <v>0</v>
      </c>
      <c r="H2268" s="49" t="n">
        <v>0</v>
      </c>
      <c r="I2268" s="49" t="n">
        <v>0</v>
      </c>
      <c r="J2268" s="50" t="n">
        <v>0</v>
      </c>
      <c r="K2268" s="51" t="n">
        <v>0</v>
      </c>
      <c r="L2268" s="52" t="n">
        <v>0</v>
      </c>
      <c r="M2268" s="52" t="n">
        <v>0</v>
      </c>
      <c r="N2268" s="52" t="n">
        <v>0</v>
      </c>
      <c r="O2268" s="53" t="n">
        <v>0</v>
      </c>
      <c r="P2268" s="52" t="n">
        <v>0</v>
      </c>
      <c r="Q2268" s="53" t="n">
        <v>0</v>
      </c>
      <c r="R2268" s="52" t="n">
        <v>0</v>
      </c>
      <c r="S2268" s="51" t="n">
        <v>0</v>
      </c>
      <c r="T2268" s="48" t="n">
        <v>0</v>
      </c>
      <c r="U2268" s="49" t="n">
        <v>0</v>
      </c>
      <c r="V2268" s="49" t="n">
        <v>0</v>
      </c>
      <c r="W2268" s="50" t="n">
        <v>0</v>
      </c>
      <c r="X2268" s="51" t="n">
        <v>0</v>
      </c>
      <c r="Y2268" s="52" t="n">
        <v>0</v>
      </c>
      <c r="Z2268" s="52" t="n">
        <v>0</v>
      </c>
      <c r="AA2268" s="52" t="n">
        <v>0</v>
      </c>
      <c r="AB2268" s="53" t="n">
        <v>0</v>
      </c>
      <c r="AC2268" s="52" t="n">
        <v>0</v>
      </c>
      <c r="AD2268" s="53" t="n">
        <v>0</v>
      </c>
      <c r="AE2268" s="52" t="n">
        <v>0</v>
      </c>
      <c r="AF2268" s="51" t="n">
        <v>0</v>
      </c>
      <c r="AG2268" s="48" t="n">
        <v>0</v>
      </c>
      <c r="AH2268" s="49" t="n">
        <v>0</v>
      </c>
      <c r="AI2268" s="49" t="n">
        <v>0</v>
      </c>
      <c r="AJ2268" s="50" t="n">
        <v>0</v>
      </c>
      <c r="AK2268" s="51" t="n">
        <v>0</v>
      </c>
      <c r="AL2268" s="52" t="n">
        <v>0</v>
      </c>
      <c r="AM2268" s="52" t="n">
        <v>0</v>
      </c>
      <c r="AN2268" s="52" t="n">
        <v>0</v>
      </c>
      <c r="AO2268" s="53" t="n">
        <v>0</v>
      </c>
      <c r="AP2268" s="52" t="n">
        <v>0</v>
      </c>
      <c r="AQ2268" s="53" t="n">
        <v>0</v>
      </c>
      <c r="AR2268" s="52" t="n">
        <v>0</v>
      </c>
      <c r="AS2268" s="51" t="n">
        <v>0</v>
      </c>
      <c r="AT2268" s="48" t="n">
        <v>0</v>
      </c>
      <c r="AU2268" s="49" t="n">
        <v>0</v>
      </c>
      <c r="AV2268" s="49" t="n">
        <v>0</v>
      </c>
      <c r="AW2268" s="50" t="n">
        <v>0</v>
      </c>
      <c r="AX2268" s="51" t="n">
        <v>0</v>
      </c>
      <c r="AY2268" s="52" t="n">
        <v>0</v>
      </c>
      <c r="AZ2268" s="52" t="n">
        <v>0</v>
      </c>
      <c r="BA2268" s="52" t="n">
        <v>0</v>
      </c>
      <c r="BB2268" s="53" t="n">
        <v>0</v>
      </c>
      <c r="BC2268" s="52" t="n">
        <v>0</v>
      </c>
      <c r="BD2268" s="53" t="n">
        <v>0</v>
      </c>
      <c r="BE2268" s="52" t="n">
        <v>0</v>
      </c>
      <c r="BF2268" s="51" t="n">
        <v>0</v>
      </c>
    </row>
    <row r="2269">
      <c r="A2269">
        <f>HYPERLINK("https://www.walmart.com/ip/205303820", "205303820")</f>
        <v/>
      </c>
      <c r="B2269" t="inlineStr">
        <is>
          <t>Pawsse Dog Cat Puppy Snuggle Blanket Plush Sherpa Micro Fleece Pet Throws Cushion Mat for Small Animals, 60'' x 50'', Wine</t>
        </is>
      </c>
      <c r="C2269" t="inlineStr">
        <is>
          <t>1PSBF560WNLT</t>
        </is>
      </c>
      <c r="D2269" t="inlineStr">
        <is>
          <t>Pet Blankets</t>
        </is>
      </c>
      <c r="E2269" t="inlineStr">
        <is>
          <t>Pawsse</t>
        </is>
      </c>
      <c r="F2269" t="inlineStr">
        <is>
          <t>Batch 1 - TR</t>
        </is>
      </c>
      <c r="G2269" s="48" t="n">
        <v>0</v>
      </c>
      <c r="H2269" s="49" t="n">
        <v>0</v>
      </c>
      <c r="I2269" s="49" t="n">
        <v>0</v>
      </c>
      <c r="J2269" s="50" t="n">
        <v>0</v>
      </c>
      <c r="K2269" s="51" t="n">
        <v>0</v>
      </c>
      <c r="L2269" s="52" t="n">
        <v>0</v>
      </c>
      <c r="M2269" s="52" t="n">
        <v>0</v>
      </c>
      <c r="N2269" s="52" t="n">
        <v>0</v>
      </c>
      <c r="O2269" s="53" t="n">
        <v>0</v>
      </c>
      <c r="P2269" s="52" t="n">
        <v>0</v>
      </c>
      <c r="Q2269" s="53" t="n">
        <v>0</v>
      </c>
      <c r="R2269" s="52" t="n">
        <v>0</v>
      </c>
      <c r="S2269" s="51" t="n">
        <v>0</v>
      </c>
      <c r="T2269" s="48" t="n">
        <v>0</v>
      </c>
      <c r="U2269" s="49" t="n">
        <v>0</v>
      </c>
      <c r="V2269" s="49" t="n">
        <v>0</v>
      </c>
      <c r="W2269" s="50" t="n">
        <v>0</v>
      </c>
      <c r="X2269" s="51" t="n">
        <v>0</v>
      </c>
      <c r="Y2269" s="52" t="n">
        <v>0</v>
      </c>
      <c r="Z2269" s="52" t="n">
        <v>0</v>
      </c>
      <c r="AA2269" s="52" t="n">
        <v>0</v>
      </c>
      <c r="AB2269" s="53" t="n">
        <v>0</v>
      </c>
      <c r="AC2269" s="52" t="n">
        <v>0</v>
      </c>
      <c r="AD2269" s="53" t="n">
        <v>0</v>
      </c>
      <c r="AE2269" s="52" t="n">
        <v>0</v>
      </c>
      <c r="AF2269" s="51" t="n">
        <v>0</v>
      </c>
      <c r="AG2269" s="48" t="n">
        <v>0</v>
      </c>
      <c r="AH2269" s="49" t="n">
        <v>0</v>
      </c>
      <c r="AI2269" s="49" t="n">
        <v>0</v>
      </c>
      <c r="AJ2269" s="50" t="n">
        <v>0</v>
      </c>
      <c r="AK2269" s="51" t="n">
        <v>0</v>
      </c>
      <c r="AL2269" s="52" t="n">
        <v>0</v>
      </c>
      <c r="AM2269" s="52" t="n">
        <v>0</v>
      </c>
      <c r="AN2269" s="52" t="n">
        <v>0</v>
      </c>
      <c r="AO2269" s="53" t="n">
        <v>0</v>
      </c>
      <c r="AP2269" s="52" t="n">
        <v>0</v>
      </c>
      <c r="AQ2269" s="53" t="n">
        <v>0</v>
      </c>
      <c r="AR2269" s="52" t="n">
        <v>0</v>
      </c>
      <c r="AS2269" s="51" t="n">
        <v>0</v>
      </c>
      <c r="AT2269" s="48" t="n">
        <v>0</v>
      </c>
      <c r="AU2269" s="49" t="n">
        <v>0</v>
      </c>
      <c r="AV2269" s="49" t="n">
        <v>0</v>
      </c>
      <c r="AW2269" s="50" t="n">
        <v>0</v>
      </c>
      <c r="AX2269" s="51" t="n">
        <v>0</v>
      </c>
      <c r="AY2269" s="52" t="n">
        <v>0</v>
      </c>
      <c r="AZ2269" s="52" t="n">
        <v>0</v>
      </c>
      <c r="BA2269" s="52" t="n">
        <v>0</v>
      </c>
      <c r="BB2269" s="53" t="n">
        <v>0</v>
      </c>
      <c r="BC2269" s="52" t="n">
        <v>0</v>
      </c>
      <c r="BD2269" s="53" t="n">
        <v>0</v>
      </c>
      <c r="BE2269" s="52" t="n">
        <v>0</v>
      </c>
      <c r="BF2269" s="51" t="n">
        <v>0</v>
      </c>
    </row>
    <row r="2270">
      <c r="A2270">
        <f>HYPERLINK("https://www.walmart.com/ip/178011669", "178011669")</f>
        <v/>
      </c>
      <c r="B2270" t="inlineStr">
        <is>
          <t>360 UV Protection Sun Hat Neck Face Cover Flap Detachable Hat for Fishing Camping Hiking Tracking</t>
        </is>
      </c>
      <c r="C2270" t="inlineStr">
        <is>
          <t>kc-s9198-st</t>
        </is>
      </c>
      <c r="D2270" t="inlineStr">
        <is>
          <t>Hats</t>
        </is>
      </c>
      <c r="E2270" t="inlineStr">
        <is>
          <t>Headshots</t>
        </is>
      </c>
      <c r="F2270" t="inlineStr">
        <is>
          <t>Batch 1 - TR</t>
        </is>
      </c>
      <c r="G2270" s="48" t="n">
        <v>0</v>
      </c>
      <c r="H2270" s="49" t="n">
        <v>0</v>
      </c>
      <c r="I2270" s="49" t="n">
        <v>0</v>
      </c>
      <c r="J2270" s="50" t="n">
        <v>0</v>
      </c>
      <c r="K2270" s="51" t="n">
        <v>0</v>
      </c>
      <c r="L2270" s="52" t="n">
        <v>0</v>
      </c>
      <c r="M2270" s="52" t="n">
        <v>0</v>
      </c>
      <c r="N2270" s="52" t="n">
        <v>0</v>
      </c>
      <c r="O2270" s="53" t="n">
        <v>0</v>
      </c>
      <c r="P2270" s="52" t="n">
        <v>0</v>
      </c>
      <c r="Q2270" s="53" t="n">
        <v>0</v>
      </c>
      <c r="R2270" s="52" t="n">
        <v>0</v>
      </c>
      <c r="S2270" s="51" t="n">
        <v>0</v>
      </c>
      <c r="T2270" s="48" t="n">
        <v>0</v>
      </c>
      <c r="U2270" s="49" t="n">
        <v>0</v>
      </c>
      <c r="V2270" s="49" t="n">
        <v>0</v>
      </c>
      <c r="W2270" s="50" t="n">
        <v>0</v>
      </c>
      <c r="X2270" s="51" t="n">
        <v>0</v>
      </c>
      <c r="Y2270" s="52" t="n">
        <v>0</v>
      </c>
      <c r="Z2270" s="52" t="n">
        <v>0</v>
      </c>
      <c r="AA2270" s="52" t="n">
        <v>0</v>
      </c>
      <c r="AB2270" s="53" t="n">
        <v>0</v>
      </c>
      <c r="AC2270" s="52" t="n">
        <v>0</v>
      </c>
      <c r="AD2270" s="53" t="n">
        <v>0</v>
      </c>
      <c r="AE2270" s="52" t="n">
        <v>0</v>
      </c>
      <c r="AF2270" s="51" t="n">
        <v>0</v>
      </c>
      <c r="AG2270" s="48" t="n">
        <v>0</v>
      </c>
      <c r="AH2270" s="49" t="n">
        <v>0</v>
      </c>
      <c r="AI2270" s="49" t="n">
        <v>0</v>
      </c>
      <c r="AJ2270" s="50" t="n">
        <v>0</v>
      </c>
      <c r="AK2270" s="51" t="n">
        <v>0</v>
      </c>
      <c r="AL2270" s="52" t="n">
        <v>0</v>
      </c>
      <c r="AM2270" s="52" t="n">
        <v>0</v>
      </c>
      <c r="AN2270" s="52" t="n">
        <v>0</v>
      </c>
      <c r="AO2270" s="53" t="n">
        <v>0</v>
      </c>
      <c r="AP2270" s="52" t="n">
        <v>0</v>
      </c>
      <c r="AQ2270" s="53" t="n">
        <v>0</v>
      </c>
      <c r="AR2270" s="52" t="n">
        <v>0</v>
      </c>
      <c r="AS2270" s="51" t="n">
        <v>0</v>
      </c>
      <c r="AT2270" s="48" t="n">
        <v>0</v>
      </c>
      <c r="AU2270" s="49" t="n">
        <v>0</v>
      </c>
      <c r="AV2270" s="49" t="n">
        <v>0</v>
      </c>
      <c r="AW2270" s="50" t="n">
        <v>0</v>
      </c>
      <c r="AX2270" s="51" t="n">
        <v>0</v>
      </c>
      <c r="AY2270" s="52" t="n">
        <v>0</v>
      </c>
      <c r="AZ2270" s="52" t="n">
        <v>0</v>
      </c>
      <c r="BA2270" s="52" t="n">
        <v>0</v>
      </c>
      <c r="BB2270" s="53" t="n">
        <v>0</v>
      </c>
      <c r="BC2270" s="52" t="n">
        <v>0</v>
      </c>
      <c r="BD2270" s="53" t="n">
        <v>0</v>
      </c>
      <c r="BE2270" s="52" t="n">
        <v>0</v>
      </c>
      <c r="BF2270" s="51" t="n">
        <v>0</v>
      </c>
    </row>
    <row r="2271">
      <c r="A2271">
        <f>HYPERLINK("https://www.walmart.com/ip/177464332", "177464332")</f>
        <v/>
      </c>
      <c r="B2271" t="inlineStr">
        <is>
          <t>Headshots Fishing Hats with Anti-Mosquito Facemask, UV Protection Sun Hat for Women and Men, Digital Green</t>
        </is>
      </c>
      <c r="C2271" t="inlineStr">
        <is>
          <t>kc-s9198-digign</t>
        </is>
      </c>
      <c r="D2271" t="inlineStr">
        <is>
          <t>Hats</t>
        </is>
      </c>
      <c r="E2271" t="inlineStr">
        <is>
          <t>Headshots</t>
        </is>
      </c>
      <c r="F2271" t="inlineStr">
        <is>
          <t>Q2-Target,Batch 1 - TR</t>
        </is>
      </c>
      <c r="G2271" s="48" t="n">
        <v>0</v>
      </c>
      <c r="H2271" s="49" t="n">
        <v>0</v>
      </c>
      <c r="I2271" s="49" t="n">
        <v>0</v>
      </c>
      <c r="J2271" s="50" t="n">
        <v>0</v>
      </c>
      <c r="K2271" s="51" t="n">
        <v>0</v>
      </c>
      <c r="L2271" s="52" t="n">
        <v>0</v>
      </c>
      <c r="M2271" s="52" t="n">
        <v>0</v>
      </c>
      <c r="N2271" s="52" t="n">
        <v>0</v>
      </c>
      <c r="O2271" s="53" t="n">
        <v>0</v>
      </c>
      <c r="P2271" s="52" t="n">
        <v>0</v>
      </c>
      <c r="Q2271" s="53" t="n">
        <v>0</v>
      </c>
      <c r="R2271" s="52" t="n">
        <v>0</v>
      </c>
      <c r="S2271" s="51" t="n">
        <v>0</v>
      </c>
      <c r="T2271" s="48" t="n">
        <v>9.99</v>
      </c>
      <c r="U2271" s="49" t="n">
        <v>1</v>
      </c>
      <c r="V2271" s="49" t="n">
        <v>0</v>
      </c>
      <c r="W2271" s="50" t="n">
        <v>0</v>
      </c>
      <c r="X2271" s="51" t="n">
        <v>0</v>
      </c>
      <c r="Y2271" s="52" t="n">
        <v>0</v>
      </c>
      <c r="Z2271" s="52" t="n">
        <v>0</v>
      </c>
      <c r="AA2271" s="52" t="n">
        <v>0</v>
      </c>
      <c r="AB2271" s="53" t="n">
        <v>0</v>
      </c>
      <c r="AC2271" s="52" t="n">
        <v>0</v>
      </c>
      <c r="AD2271" s="53" t="n">
        <v>0</v>
      </c>
      <c r="AE2271" s="52" t="n">
        <v>9.99</v>
      </c>
      <c r="AF2271" s="51" t="n">
        <v>0</v>
      </c>
      <c r="AG2271" s="48" t="n">
        <v>0</v>
      </c>
      <c r="AH2271" s="49" t="n">
        <v>0</v>
      </c>
      <c r="AI2271" s="49" t="n">
        <v>0</v>
      </c>
      <c r="AJ2271" s="50" t="n">
        <v>0</v>
      </c>
      <c r="AK2271" s="51" t="n">
        <v>0</v>
      </c>
      <c r="AL2271" s="52" t="n">
        <v>0</v>
      </c>
      <c r="AM2271" s="52" t="n">
        <v>0</v>
      </c>
      <c r="AN2271" s="52" t="n">
        <v>0</v>
      </c>
      <c r="AO2271" s="53" t="n">
        <v>0</v>
      </c>
      <c r="AP2271" s="52" t="n">
        <v>0</v>
      </c>
      <c r="AQ2271" s="53" t="n">
        <v>0</v>
      </c>
      <c r="AR2271" s="52" t="n">
        <v>0</v>
      </c>
      <c r="AS2271" s="51" t="n">
        <v>0</v>
      </c>
      <c r="AT2271" s="48" t="n">
        <v>0</v>
      </c>
      <c r="AU2271" s="49" t="n">
        <v>0</v>
      </c>
      <c r="AV2271" s="49" t="n">
        <v>0</v>
      </c>
      <c r="AW2271" s="50" t="n">
        <v>0</v>
      </c>
      <c r="AX2271" s="51" t="n">
        <v>0</v>
      </c>
      <c r="AY2271" s="52" t="n">
        <v>0</v>
      </c>
      <c r="AZ2271" s="52" t="n">
        <v>0</v>
      </c>
      <c r="BA2271" s="52" t="n">
        <v>0</v>
      </c>
      <c r="BB2271" s="53" t="n">
        <v>0</v>
      </c>
      <c r="BC2271" s="52" t="n">
        <v>0</v>
      </c>
      <c r="BD2271" s="53" t="n">
        <v>0</v>
      </c>
      <c r="BE2271" s="52" t="n">
        <v>0</v>
      </c>
      <c r="BF2271" s="51" t="n">
        <v>0</v>
      </c>
    </row>
    <row r="2272">
      <c r="A2272">
        <f>HYPERLINK("https://www.walmart.com/ip/172782247", "172782247")</f>
        <v/>
      </c>
      <c r="B2272" t="inlineStr">
        <is>
          <t>KC Caps® Unisex Cotton Baseball Cap Adjustable Plain Hat (21 Styles/Colors)</t>
        </is>
      </c>
      <c r="C2272" t="inlineStr">
        <is>
          <t>KC8010WN</t>
        </is>
      </c>
      <c r="D2272" t="inlineStr">
        <is>
          <t>Hats</t>
        </is>
      </c>
      <c r="E2272" t="inlineStr">
        <is>
          <t>KC Caps</t>
        </is>
      </c>
      <c r="F2272" t="inlineStr">
        <is>
          <t>Batch 1 - TR</t>
        </is>
      </c>
      <c r="G2272" s="48" t="n">
        <v>0</v>
      </c>
      <c r="H2272" s="49" t="n">
        <v>0</v>
      </c>
      <c r="I2272" s="49" t="n">
        <v>0</v>
      </c>
      <c r="J2272" s="50" t="n">
        <v>0</v>
      </c>
      <c r="K2272" s="51" t="n">
        <v>0</v>
      </c>
      <c r="L2272" s="52" t="n">
        <v>0</v>
      </c>
      <c r="M2272" s="52" t="n">
        <v>0</v>
      </c>
      <c r="N2272" s="52" t="n">
        <v>0</v>
      </c>
      <c r="O2272" s="53" t="n">
        <v>0</v>
      </c>
      <c r="P2272" s="52" t="n">
        <v>0</v>
      </c>
      <c r="Q2272" s="53" t="n">
        <v>0</v>
      </c>
      <c r="R2272" s="52" t="n">
        <v>0</v>
      </c>
      <c r="S2272" s="51" t="n">
        <v>0</v>
      </c>
      <c r="T2272" s="48" t="n">
        <v>0</v>
      </c>
      <c r="U2272" s="49" t="n">
        <v>0</v>
      </c>
      <c r="V2272" s="49" t="n">
        <v>0</v>
      </c>
      <c r="W2272" s="50" t="n">
        <v>0</v>
      </c>
      <c r="X2272" s="51" t="n">
        <v>0</v>
      </c>
      <c r="Y2272" s="52" t="n">
        <v>0</v>
      </c>
      <c r="Z2272" s="52" t="n">
        <v>0</v>
      </c>
      <c r="AA2272" s="52" t="n">
        <v>0</v>
      </c>
      <c r="AB2272" s="53" t="n">
        <v>0</v>
      </c>
      <c r="AC2272" s="52" t="n">
        <v>0</v>
      </c>
      <c r="AD2272" s="53" t="n">
        <v>0</v>
      </c>
      <c r="AE2272" s="52" t="n">
        <v>0</v>
      </c>
      <c r="AF2272" s="51" t="n">
        <v>0</v>
      </c>
      <c r="AG2272" s="48" t="n">
        <v>6.99</v>
      </c>
      <c r="AH2272" s="49" t="n">
        <v>1</v>
      </c>
      <c r="AI2272" s="49" t="n">
        <v>0</v>
      </c>
      <c r="AJ2272" s="50" t="n">
        <v>0</v>
      </c>
      <c r="AK2272" s="51" t="n">
        <v>0</v>
      </c>
      <c r="AL2272" s="52" t="n">
        <v>0</v>
      </c>
      <c r="AM2272" s="52" t="n">
        <v>0</v>
      </c>
      <c r="AN2272" s="52" t="n">
        <v>0</v>
      </c>
      <c r="AO2272" s="53" t="n">
        <v>0</v>
      </c>
      <c r="AP2272" s="52" t="n">
        <v>0</v>
      </c>
      <c r="AQ2272" s="53" t="n">
        <v>0</v>
      </c>
      <c r="AR2272" s="52" t="n">
        <v>6.99</v>
      </c>
      <c r="AS2272" s="51" t="n">
        <v>0</v>
      </c>
      <c r="AT2272" s="48" t="n">
        <v>0</v>
      </c>
      <c r="AU2272" s="49" t="n">
        <v>0</v>
      </c>
      <c r="AV2272" s="49" t="n">
        <v>0</v>
      </c>
      <c r="AW2272" s="50" t="n">
        <v>0</v>
      </c>
      <c r="AX2272" s="51" t="n">
        <v>0</v>
      </c>
      <c r="AY2272" s="52" t="n">
        <v>0</v>
      </c>
      <c r="AZ2272" s="52" t="n">
        <v>0</v>
      </c>
      <c r="BA2272" s="52" t="n">
        <v>0</v>
      </c>
      <c r="BB2272" s="53" t="n">
        <v>0</v>
      </c>
      <c r="BC2272" s="52" t="n">
        <v>0</v>
      </c>
      <c r="BD2272" s="53" t="n">
        <v>0</v>
      </c>
      <c r="BE2272" s="52" t="n">
        <v>0</v>
      </c>
      <c r="BF2272" s="51" t="n">
        <v>0</v>
      </c>
    </row>
    <row r="2273">
      <c r="A2273">
        <f>HYPERLINK("https://www.walmart.com/ip/177208126", "177208126")</f>
        <v/>
      </c>
      <c r="B2273" t="inlineStr">
        <is>
          <t>Catalonia Waterproof Blanket for Baby, Pee Proof Pet Cover for Couch and Bed, Reversible Sherpa Fleece Throw Blanket for Relaxing, Traveling and Camping, Brown/Tuape, 80" x 60"</t>
        </is>
      </c>
      <c r="C2273" t="inlineStr">
        <is>
          <t>1CTBW681BNTP</t>
        </is>
      </c>
      <c r="D2273" t="inlineStr">
        <is>
          <t>Throws</t>
        </is>
      </c>
      <c r="E2273" t="inlineStr">
        <is>
          <t>Catalonia</t>
        </is>
      </c>
      <c r="F2273" t="inlineStr">
        <is>
          <t>Optimized,Wproof Blanket</t>
        </is>
      </c>
      <c r="G2273" s="48" t="n">
        <v>0</v>
      </c>
      <c r="H2273" s="49" t="n">
        <v>0</v>
      </c>
      <c r="I2273" s="49" t="n">
        <v>0</v>
      </c>
      <c r="J2273" s="50" t="n">
        <v>0</v>
      </c>
      <c r="K2273" s="51" t="n">
        <v>1</v>
      </c>
      <c r="L2273" s="52" t="n">
        <v>0.31</v>
      </c>
      <c r="M2273" s="52" t="n">
        <v>0</v>
      </c>
      <c r="N2273" s="52" t="n">
        <v>0</v>
      </c>
      <c r="O2273" s="53" t="n">
        <v>0.0019</v>
      </c>
      <c r="P2273" s="52" t="n">
        <v>0.31</v>
      </c>
      <c r="Q2273" s="53" t="n">
        <v>0</v>
      </c>
      <c r="R2273" s="52" t="n">
        <v>0</v>
      </c>
      <c r="S2273" s="51" t="n">
        <v>528</v>
      </c>
      <c r="T2273" s="48" t="n">
        <v>0</v>
      </c>
      <c r="U2273" s="49" t="n">
        <v>0</v>
      </c>
      <c r="V2273" s="49" t="n">
        <v>0</v>
      </c>
      <c r="W2273" s="50" t="n">
        <v>0</v>
      </c>
      <c r="X2273" s="51" t="n">
        <v>2</v>
      </c>
      <c r="Y2273" s="52" t="n">
        <v>0.53</v>
      </c>
      <c r="Z2273" s="52" t="n">
        <v>0</v>
      </c>
      <c r="AA2273" s="52" t="n">
        <v>0</v>
      </c>
      <c r="AB2273" s="53" t="n">
        <v>0.0025</v>
      </c>
      <c r="AC2273" s="52" t="n">
        <v>0.265</v>
      </c>
      <c r="AD2273" s="53" t="n">
        <v>0</v>
      </c>
      <c r="AE2273" s="52" t="n">
        <v>0</v>
      </c>
      <c r="AF2273" s="51" t="n">
        <v>804</v>
      </c>
      <c r="AG2273" s="48" t="n">
        <v>0</v>
      </c>
      <c r="AH2273" s="49" t="n">
        <v>0</v>
      </c>
      <c r="AI2273" s="49" t="n">
        <v>0</v>
      </c>
      <c r="AJ2273" s="50" t="n">
        <v>0</v>
      </c>
      <c r="AK2273" s="51" t="n">
        <v>0</v>
      </c>
      <c r="AL2273" s="52" t="n">
        <v>0</v>
      </c>
      <c r="AM2273" s="52" t="n">
        <v>0</v>
      </c>
      <c r="AN2273" s="52" t="n">
        <v>0</v>
      </c>
      <c r="AO2273" s="53" t="n">
        <v>0</v>
      </c>
      <c r="AP2273" s="52" t="n">
        <v>0</v>
      </c>
      <c r="AQ2273" s="53" t="n">
        <v>0</v>
      </c>
      <c r="AR2273" s="52" t="n">
        <v>0</v>
      </c>
      <c r="AS2273" s="51" t="n">
        <v>0</v>
      </c>
      <c r="AT2273" s="48" t="n">
        <v>0</v>
      </c>
      <c r="AU2273" s="49" t="n">
        <v>0</v>
      </c>
      <c r="AV2273" s="49" t="n">
        <v>0</v>
      </c>
      <c r="AW2273" s="50" t="n">
        <v>0</v>
      </c>
      <c r="AX2273" s="51" t="n">
        <v>0</v>
      </c>
      <c r="AY2273" s="52" t="n">
        <v>0</v>
      </c>
      <c r="AZ2273" s="52" t="n">
        <v>0</v>
      </c>
      <c r="BA2273" s="52" t="n">
        <v>0</v>
      </c>
      <c r="BB2273" s="53" t="n">
        <v>0</v>
      </c>
      <c r="BC2273" s="52" t="n">
        <v>0</v>
      </c>
      <c r="BD2273" s="53" t="n">
        <v>0</v>
      </c>
      <c r="BE2273" s="52" t="n">
        <v>0</v>
      </c>
      <c r="BF2273" s="51" t="n">
        <v>0</v>
      </c>
    </row>
    <row r="2274">
      <c r="A2274">
        <f>HYPERLINK("https://www.walmart.com/ip/172851444", "172851444")</f>
        <v/>
      </c>
      <c r="B2274" t="inlineStr">
        <is>
          <t>JenniWears® Women Intimate Night Babydoll Robe w/ Satin Ribbon Belt G-string Set</t>
        </is>
      </c>
      <c r="C2274" t="inlineStr">
        <is>
          <t>JWRS03PK-M</t>
        </is>
      </c>
      <c r="D2274" t="inlineStr">
        <is>
          <t>Lingerie Sets</t>
        </is>
      </c>
      <c r="E2274" t="inlineStr">
        <is>
          <t>JenniWears</t>
        </is>
      </c>
      <c r="F2274" t="inlineStr">
        <is>
          <t>Optimized,Valentine</t>
        </is>
      </c>
      <c r="G2274" s="48" t="n">
        <v>0</v>
      </c>
      <c r="H2274" s="49" t="n">
        <v>0</v>
      </c>
      <c r="I2274" s="49" t="n">
        <v>0</v>
      </c>
      <c r="J2274" s="50" t="n">
        <v>0</v>
      </c>
      <c r="K2274" s="51" t="n">
        <v>0</v>
      </c>
      <c r="L2274" s="52" t="n">
        <v>0</v>
      </c>
      <c r="M2274" s="52" t="n">
        <v>0</v>
      </c>
      <c r="N2274" s="52" t="n">
        <v>0</v>
      </c>
      <c r="O2274" s="53" t="n">
        <v>0</v>
      </c>
      <c r="P2274" s="52" t="n">
        <v>0</v>
      </c>
      <c r="Q2274" s="53" t="n">
        <v>0</v>
      </c>
      <c r="R2274" s="52" t="n">
        <v>0</v>
      </c>
      <c r="S2274" s="51" t="n">
        <v>0</v>
      </c>
      <c r="T2274" s="48" t="n">
        <v>0</v>
      </c>
      <c r="U2274" s="49" t="n">
        <v>0</v>
      </c>
      <c r="V2274" s="49" t="n">
        <v>0</v>
      </c>
      <c r="W2274" s="50" t="n">
        <v>0</v>
      </c>
      <c r="X2274" s="51" t="n">
        <v>0</v>
      </c>
      <c r="Y2274" s="52" t="n">
        <v>0</v>
      </c>
      <c r="Z2274" s="52" t="n">
        <v>0</v>
      </c>
      <c r="AA2274" s="52" t="n">
        <v>0</v>
      </c>
      <c r="AB2274" s="53" t="n">
        <v>0</v>
      </c>
      <c r="AC2274" s="52" t="n">
        <v>0</v>
      </c>
      <c r="AD2274" s="53" t="n">
        <v>0</v>
      </c>
      <c r="AE2274" s="52" t="n">
        <v>0</v>
      </c>
      <c r="AF2274" s="51" t="n">
        <v>0</v>
      </c>
      <c r="AG2274" s="48" t="n">
        <v>0</v>
      </c>
      <c r="AH2274" s="49" t="n">
        <v>0</v>
      </c>
      <c r="AI2274" s="49" t="n">
        <v>0</v>
      </c>
      <c r="AJ2274" s="50" t="n">
        <v>0</v>
      </c>
      <c r="AK2274" s="51" t="n">
        <v>0</v>
      </c>
      <c r="AL2274" s="52" t="n">
        <v>0</v>
      </c>
      <c r="AM2274" s="52" t="n">
        <v>0</v>
      </c>
      <c r="AN2274" s="52" t="n">
        <v>0</v>
      </c>
      <c r="AO2274" s="53" t="n">
        <v>0</v>
      </c>
      <c r="AP2274" s="52" t="n">
        <v>0</v>
      </c>
      <c r="AQ2274" s="53" t="n">
        <v>0</v>
      </c>
      <c r="AR2274" s="52" t="n">
        <v>0</v>
      </c>
      <c r="AS2274" s="51" t="n">
        <v>0</v>
      </c>
      <c r="AT2274" s="48" t="n">
        <v>0</v>
      </c>
      <c r="AU2274" s="49" t="n">
        <v>0</v>
      </c>
      <c r="AV2274" s="49" t="n">
        <v>0</v>
      </c>
      <c r="AW2274" s="50" t="n">
        <v>0</v>
      </c>
      <c r="AX2274" s="51" t="n">
        <v>0</v>
      </c>
      <c r="AY2274" s="52" t="n">
        <v>0</v>
      </c>
      <c r="AZ2274" s="52" t="n">
        <v>0</v>
      </c>
      <c r="BA2274" s="52" t="n">
        <v>0</v>
      </c>
      <c r="BB2274" s="53" t="n">
        <v>0</v>
      </c>
      <c r="BC2274" s="52" t="n">
        <v>0</v>
      </c>
      <c r="BD2274" s="53" t="n">
        <v>0</v>
      </c>
      <c r="BE2274" s="52" t="n">
        <v>0</v>
      </c>
      <c r="BF2274" s="51" t="n">
        <v>0</v>
      </c>
    </row>
    <row r="2275">
      <c r="A2275">
        <f>HYPERLINK("https://www.walmart.com/ip/172904320", "172904320")</f>
        <v/>
      </c>
      <c r="B2275" t="inlineStr">
        <is>
          <t>Catalonia Sherpa Fleece Throw Blanket, Super Soft Mink Plush Couch Blanket,TV Bed Fuzzy Blanket, Fluffy Comfy Warm Heavy Throws, Comfort Caring Gift, 50x60 inches, Mistletoe</t>
        </is>
      </c>
      <c r="C2275" t="inlineStr">
        <is>
          <t>1CTBF300MST</t>
        </is>
      </c>
      <c r="D2275" t="inlineStr">
        <is>
          <t>Throws</t>
        </is>
      </c>
      <c r="E2275" t="inlineStr">
        <is>
          <t>Catalonia</t>
        </is>
      </c>
      <c r="F2275" t="inlineStr">
        <is>
          <t>WFS,cost-added,WFS Item</t>
        </is>
      </c>
      <c r="G2275" s="48" t="n">
        <v>0</v>
      </c>
      <c r="H2275" s="49" t="n">
        <v>0</v>
      </c>
      <c r="I2275" s="49" t="n">
        <v>0</v>
      </c>
      <c r="J2275" s="50" t="n">
        <v>0</v>
      </c>
      <c r="K2275" s="51" t="n">
        <v>0</v>
      </c>
      <c r="L2275" s="52" t="n">
        <v>0</v>
      </c>
      <c r="M2275" s="52" t="n">
        <v>0</v>
      </c>
      <c r="N2275" s="52" t="n">
        <v>0</v>
      </c>
      <c r="O2275" s="53" t="n">
        <v>0</v>
      </c>
      <c r="P2275" s="52" t="n">
        <v>0</v>
      </c>
      <c r="Q2275" s="53" t="n">
        <v>0</v>
      </c>
      <c r="R2275" s="52" t="n">
        <v>0</v>
      </c>
      <c r="S2275" s="51" t="n">
        <v>0</v>
      </c>
      <c r="T2275" s="48" t="n">
        <v>0</v>
      </c>
      <c r="U2275" s="49" t="n">
        <v>0</v>
      </c>
      <c r="V2275" s="49" t="n">
        <v>0</v>
      </c>
      <c r="W2275" s="50" t="n">
        <v>0</v>
      </c>
      <c r="X2275" s="51" t="n">
        <v>0</v>
      </c>
      <c r="Y2275" s="52" t="n">
        <v>0</v>
      </c>
      <c r="Z2275" s="52" t="n">
        <v>0</v>
      </c>
      <c r="AA2275" s="52" t="n">
        <v>0</v>
      </c>
      <c r="AB2275" s="53" t="n">
        <v>0</v>
      </c>
      <c r="AC2275" s="52" t="n">
        <v>0</v>
      </c>
      <c r="AD2275" s="53" t="n">
        <v>0</v>
      </c>
      <c r="AE2275" s="52" t="n">
        <v>0</v>
      </c>
      <c r="AF2275" s="51" t="n">
        <v>0</v>
      </c>
      <c r="AG2275" s="48" t="n">
        <v>0</v>
      </c>
      <c r="AH2275" s="49" t="n">
        <v>0</v>
      </c>
      <c r="AI2275" s="49" t="n">
        <v>0</v>
      </c>
      <c r="AJ2275" s="50" t="n">
        <v>0</v>
      </c>
      <c r="AK2275" s="51" t="n">
        <v>0</v>
      </c>
      <c r="AL2275" s="52" t="n">
        <v>0</v>
      </c>
      <c r="AM2275" s="52" t="n">
        <v>0</v>
      </c>
      <c r="AN2275" s="52" t="n">
        <v>0</v>
      </c>
      <c r="AO2275" s="53" t="n">
        <v>0</v>
      </c>
      <c r="AP2275" s="52" t="n">
        <v>0</v>
      </c>
      <c r="AQ2275" s="53" t="n">
        <v>0</v>
      </c>
      <c r="AR2275" s="52" t="n">
        <v>0</v>
      </c>
      <c r="AS2275" s="51" t="n">
        <v>0</v>
      </c>
      <c r="AT2275" s="48" t="n">
        <v>0</v>
      </c>
      <c r="AU2275" s="49" t="n">
        <v>0</v>
      </c>
      <c r="AV2275" s="49" t="n">
        <v>0</v>
      </c>
      <c r="AW2275" s="50" t="n">
        <v>0</v>
      </c>
      <c r="AX2275" s="51" t="n">
        <v>0</v>
      </c>
      <c r="AY2275" s="52" t="n">
        <v>0</v>
      </c>
      <c r="AZ2275" s="52" t="n">
        <v>0</v>
      </c>
      <c r="BA2275" s="52" t="n">
        <v>0</v>
      </c>
      <c r="BB2275" s="53" t="n">
        <v>0</v>
      </c>
      <c r="BC2275" s="52" t="n">
        <v>0</v>
      </c>
      <c r="BD2275" s="53" t="n">
        <v>0</v>
      </c>
      <c r="BE2275" s="52" t="n">
        <v>0</v>
      </c>
      <c r="BF2275" s="51" t="n">
        <v>0</v>
      </c>
    </row>
    <row r="2276">
      <c r="A2276">
        <f>HYPERLINK("https://www.walmart.com/ip/173150573", "173150573")</f>
        <v/>
      </c>
      <c r="B2276" t="inlineStr">
        <is>
          <t>Napa Super Soft Warm Micro Plush TV Blanket with Sleeves for Women and Men, Sherpa Mink Fleece Blanket, Wearable Throw Robe, Cobalt Blue, 72" x 50"</t>
        </is>
      </c>
      <c r="C2276" t="inlineStr">
        <is>
          <t>K3080COBLUE</t>
        </is>
      </c>
      <c r="D2276" t="inlineStr">
        <is>
          <t>Throws</t>
        </is>
      </c>
      <c r="E2276" t="inlineStr">
        <is>
          <t>NAPA</t>
        </is>
      </c>
      <c r="F2276" t="inlineStr">
        <is>
          <t>Batch 1 - TR</t>
        </is>
      </c>
      <c r="G2276" s="48" t="n">
        <v>0</v>
      </c>
      <c r="H2276" s="49" t="n">
        <v>0</v>
      </c>
      <c r="I2276" s="49" t="n">
        <v>0</v>
      </c>
      <c r="J2276" s="50" t="n">
        <v>0</v>
      </c>
      <c r="K2276" s="51" t="n">
        <v>0</v>
      </c>
      <c r="L2276" s="52" t="n">
        <v>0</v>
      </c>
      <c r="M2276" s="52" t="n">
        <v>0</v>
      </c>
      <c r="N2276" s="52" t="n">
        <v>0</v>
      </c>
      <c r="O2276" s="53" t="n">
        <v>0</v>
      </c>
      <c r="P2276" s="52" t="n">
        <v>0</v>
      </c>
      <c r="Q2276" s="53" t="n">
        <v>0</v>
      </c>
      <c r="R2276" s="52" t="n">
        <v>0</v>
      </c>
      <c r="S2276" s="51" t="n">
        <v>0</v>
      </c>
      <c r="T2276" s="48" t="n">
        <v>0</v>
      </c>
      <c r="U2276" s="49" t="n">
        <v>0</v>
      </c>
      <c r="V2276" s="49" t="n">
        <v>0</v>
      </c>
      <c r="W2276" s="50" t="n">
        <v>0</v>
      </c>
      <c r="X2276" s="51" t="n">
        <v>0</v>
      </c>
      <c r="Y2276" s="52" t="n">
        <v>0</v>
      </c>
      <c r="Z2276" s="52" t="n">
        <v>0</v>
      </c>
      <c r="AA2276" s="52" t="n">
        <v>0</v>
      </c>
      <c r="AB2276" s="53" t="n">
        <v>0</v>
      </c>
      <c r="AC2276" s="52" t="n">
        <v>0</v>
      </c>
      <c r="AD2276" s="53" t="n">
        <v>0</v>
      </c>
      <c r="AE2276" s="52" t="n">
        <v>0</v>
      </c>
      <c r="AF2276" s="51" t="n">
        <v>0</v>
      </c>
      <c r="AG2276" s="48" t="n">
        <v>0</v>
      </c>
      <c r="AH2276" s="49" t="n">
        <v>0</v>
      </c>
      <c r="AI2276" s="49" t="n">
        <v>0</v>
      </c>
      <c r="AJ2276" s="50" t="n">
        <v>0</v>
      </c>
      <c r="AK2276" s="51" t="n">
        <v>0</v>
      </c>
      <c r="AL2276" s="52" t="n">
        <v>0</v>
      </c>
      <c r="AM2276" s="52" t="n">
        <v>0</v>
      </c>
      <c r="AN2276" s="52" t="n">
        <v>0</v>
      </c>
      <c r="AO2276" s="53" t="n">
        <v>0</v>
      </c>
      <c r="AP2276" s="52" t="n">
        <v>0</v>
      </c>
      <c r="AQ2276" s="53" t="n">
        <v>0</v>
      </c>
      <c r="AR2276" s="52" t="n">
        <v>0</v>
      </c>
      <c r="AS2276" s="51" t="n">
        <v>0</v>
      </c>
      <c r="AT2276" s="48" t="n">
        <v>0</v>
      </c>
      <c r="AU2276" s="49" t="n">
        <v>0</v>
      </c>
      <c r="AV2276" s="49" t="n">
        <v>0</v>
      </c>
      <c r="AW2276" s="50" t="n">
        <v>0</v>
      </c>
      <c r="AX2276" s="51" t="n">
        <v>0</v>
      </c>
      <c r="AY2276" s="52" t="n">
        <v>0</v>
      </c>
      <c r="AZ2276" s="52" t="n">
        <v>0</v>
      </c>
      <c r="BA2276" s="52" t="n">
        <v>0</v>
      </c>
      <c r="BB2276" s="53" t="n">
        <v>0</v>
      </c>
      <c r="BC2276" s="52" t="n">
        <v>0</v>
      </c>
      <c r="BD2276" s="53" t="n">
        <v>0</v>
      </c>
      <c r="BE2276" s="52" t="n">
        <v>0</v>
      </c>
      <c r="BF2276" s="51" t="n">
        <v>0</v>
      </c>
    </row>
    <row r="2277">
      <c r="A2277">
        <f>HYPERLINK("https://www.walmart.com/ip/173384840", "173384840")</f>
        <v/>
      </c>
      <c r="B2277" t="inlineStr">
        <is>
          <t>Sherpa Throw Blanket Fleece, Super Cozy Warm TV Blankets for Bed or Couch Reversible 50" x 60"</t>
        </is>
      </c>
      <c r="C2277" t="inlineStr">
        <is>
          <t>1TNBF300WN-TPB</t>
        </is>
      </c>
      <c r="D2277" t="inlineStr">
        <is>
          <t>Throws</t>
        </is>
      </c>
      <c r="E2277" t="inlineStr">
        <is>
          <t>Tirrinia</t>
        </is>
      </c>
      <c r="G2277" s="48" t="n">
        <v>0</v>
      </c>
      <c r="H2277" s="49" t="n">
        <v>0</v>
      </c>
      <c r="I2277" s="49" t="n">
        <v>0</v>
      </c>
      <c r="J2277" s="50" t="n">
        <v>0</v>
      </c>
      <c r="K2277" s="51" t="n">
        <v>0</v>
      </c>
      <c r="L2277" s="52" t="n">
        <v>0</v>
      </c>
      <c r="M2277" s="52" t="n">
        <v>0</v>
      </c>
      <c r="N2277" s="52" t="n">
        <v>0</v>
      </c>
      <c r="O2277" s="53" t="n">
        <v>0</v>
      </c>
      <c r="P2277" s="52" t="n">
        <v>0</v>
      </c>
      <c r="Q2277" s="53" t="n">
        <v>0</v>
      </c>
      <c r="R2277" s="52" t="n">
        <v>0</v>
      </c>
      <c r="S2277" s="51" t="n">
        <v>0</v>
      </c>
      <c r="T2277" s="48" t="n">
        <v>0</v>
      </c>
      <c r="U2277" s="49" t="n">
        <v>0</v>
      </c>
      <c r="V2277" s="49" t="n">
        <v>0</v>
      </c>
      <c r="W2277" s="50" t="n">
        <v>0</v>
      </c>
      <c r="X2277" s="51" t="n">
        <v>0</v>
      </c>
      <c r="Y2277" s="52" t="n">
        <v>0</v>
      </c>
      <c r="Z2277" s="52" t="n">
        <v>0</v>
      </c>
      <c r="AA2277" s="52" t="n">
        <v>0</v>
      </c>
      <c r="AB2277" s="53" t="n">
        <v>0</v>
      </c>
      <c r="AC2277" s="52" t="n">
        <v>0</v>
      </c>
      <c r="AD2277" s="53" t="n">
        <v>0</v>
      </c>
      <c r="AE2277" s="52" t="n">
        <v>0</v>
      </c>
      <c r="AF2277" s="51" t="n">
        <v>0</v>
      </c>
      <c r="AG2277" s="48" t="n">
        <v>0</v>
      </c>
      <c r="AH2277" s="49" t="n">
        <v>0</v>
      </c>
      <c r="AI2277" s="49" t="n">
        <v>0</v>
      </c>
      <c r="AJ2277" s="50" t="n">
        <v>0</v>
      </c>
      <c r="AK2277" s="51" t="n">
        <v>0</v>
      </c>
      <c r="AL2277" s="52" t="n">
        <v>0</v>
      </c>
      <c r="AM2277" s="52" t="n">
        <v>0</v>
      </c>
      <c r="AN2277" s="52" t="n">
        <v>0</v>
      </c>
      <c r="AO2277" s="53" t="n">
        <v>0</v>
      </c>
      <c r="AP2277" s="52" t="n">
        <v>0</v>
      </c>
      <c r="AQ2277" s="53" t="n">
        <v>0</v>
      </c>
      <c r="AR2277" s="52" t="n">
        <v>0</v>
      </c>
      <c r="AS2277" s="51" t="n">
        <v>0</v>
      </c>
      <c r="AT2277" s="48" t="n">
        <v>0</v>
      </c>
      <c r="AU2277" s="49" t="n">
        <v>0</v>
      </c>
      <c r="AV2277" s="49" t="n">
        <v>0</v>
      </c>
      <c r="AW2277" s="50" t="n">
        <v>0</v>
      </c>
      <c r="AX2277" s="51" t="n">
        <v>0</v>
      </c>
      <c r="AY2277" s="52" t="n">
        <v>0</v>
      </c>
      <c r="AZ2277" s="52" t="n">
        <v>0</v>
      </c>
      <c r="BA2277" s="52" t="n">
        <v>0</v>
      </c>
      <c r="BB2277" s="53" t="n">
        <v>0</v>
      </c>
      <c r="BC2277" s="52" t="n">
        <v>0</v>
      </c>
      <c r="BD2277" s="53" t="n">
        <v>0</v>
      </c>
      <c r="BE2277" s="52" t="n">
        <v>0</v>
      </c>
      <c r="BF2277" s="51" t="n">
        <v>0</v>
      </c>
    </row>
    <row r="2278">
      <c r="A2278">
        <f>HYPERLINK("https://www.walmart.com/ip/173669626", "173669626")</f>
        <v/>
      </c>
      <c r="B2278" t="inlineStr">
        <is>
          <t>Light up Sequin Fedora LED Hat Neon Rave Costumes Glow in Dark Party music concerts,night clubs,holiday,parties,festival</t>
        </is>
      </c>
      <c r="C2278" t="inlineStr">
        <is>
          <t>JWLEDHAT01-WT</t>
        </is>
      </c>
      <c r="D2278" t="inlineStr">
        <is>
          <t>Party Hats</t>
        </is>
      </c>
      <c r="E2278" t="inlineStr">
        <is>
          <t>JenniWears</t>
        </is>
      </c>
      <c r="F2278" t="inlineStr">
        <is>
          <t>Halloween</t>
        </is>
      </c>
      <c r="G2278" s="48" t="n">
        <v>0</v>
      </c>
      <c r="H2278" s="49" t="n">
        <v>0</v>
      </c>
      <c r="I2278" s="49" t="n">
        <v>0</v>
      </c>
      <c r="J2278" s="50" t="n">
        <v>0</v>
      </c>
      <c r="K2278" s="51" t="n">
        <v>0</v>
      </c>
      <c r="L2278" s="52" t="n">
        <v>0</v>
      </c>
      <c r="M2278" s="52" t="n">
        <v>0</v>
      </c>
      <c r="N2278" s="52" t="n">
        <v>0</v>
      </c>
      <c r="O2278" s="53" t="n">
        <v>0</v>
      </c>
      <c r="P2278" s="52" t="n">
        <v>0</v>
      </c>
      <c r="Q2278" s="53" t="n">
        <v>0</v>
      </c>
      <c r="R2278" s="52" t="n">
        <v>0</v>
      </c>
      <c r="S2278" s="51" t="n">
        <v>0</v>
      </c>
      <c r="T2278" s="48" t="n">
        <v>0</v>
      </c>
      <c r="U2278" s="49" t="n">
        <v>0</v>
      </c>
      <c r="V2278" s="49" t="n">
        <v>0</v>
      </c>
      <c r="W2278" s="50" t="n">
        <v>0</v>
      </c>
      <c r="X2278" s="51" t="n">
        <v>0</v>
      </c>
      <c r="Y2278" s="52" t="n">
        <v>0</v>
      </c>
      <c r="Z2278" s="52" t="n">
        <v>0</v>
      </c>
      <c r="AA2278" s="52" t="n">
        <v>0</v>
      </c>
      <c r="AB2278" s="53" t="n">
        <v>0</v>
      </c>
      <c r="AC2278" s="52" t="n">
        <v>0</v>
      </c>
      <c r="AD2278" s="53" t="n">
        <v>0</v>
      </c>
      <c r="AE2278" s="52" t="n">
        <v>0</v>
      </c>
      <c r="AF2278" s="51" t="n">
        <v>0</v>
      </c>
      <c r="AG2278" s="48" t="n">
        <v>0</v>
      </c>
      <c r="AH2278" s="49" t="n">
        <v>0</v>
      </c>
      <c r="AI2278" s="49" t="n">
        <v>0</v>
      </c>
      <c r="AJ2278" s="50" t="n">
        <v>0</v>
      </c>
      <c r="AK2278" s="51" t="n">
        <v>0</v>
      </c>
      <c r="AL2278" s="52" t="n">
        <v>0</v>
      </c>
      <c r="AM2278" s="52" t="n">
        <v>0</v>
      </c>
      <c r="AN2278" s="52" t="n">
        <v>0</v>
      </c>
      <c r="AO2278" s="53" t="n">
        <v>0</v>
      </c>
      <c r="AP2278" s="52" t="n">
        <v>0</v>
      </c>
      <c r="AQ2278" s="53" t="n">
        <v>0</v>
      </c>
      <c r="AR2278" s="52" t="n">
        <v>0</v>
      </c>
      <c r="AS2278" s="51" t="n">
        <v>0</v>
      </c>
      <c r="AT2278" s="48" t="n">
        <v>0</v>
      </c>
      <c r="AU2278" s="49" t="n">
        <v>0</v>
      </c>
      <c r="AV2278" s="49" t="n">
        <v>0</v>
      </c>
      <c r="AW2278" s="50" t="n">
        <v>0</v>
      </c>
      <c r="AX2278" s="51" t="n">
        <v>0</v>
      </c>
      <c r="AY2278" s="52" t="n">
        <v>0</v>
      </c>
      <c r="AZ2278" s="52" t="n">
        <v>0</v>
      </c>
      <c r="BA2278" s="52" t="n">
        <v>0</v>
      </c>
      <c r="BB2278" s="53" t="n">
        <v>0</v>
      </c>
      <c r="BC2278" s="52" t="n">
        <v>0</v>
      </c>
      <c r="BD2278" s="53" t="n">
        <v>0</v>
      </c>
      <c r="BE2278" s="52" t="n">
        <v>0</v>
      </c>
      <c r="BF2278" s="51" t="n">
        <v>0</v>
      </c>
    </row>
    <row r="2279">
      <c r="A2279">
        <f>HYPERLINK("https://www.walmart.com/ip/1737269416", "1737269416")</f>
        <v/>
      </c>
      <c r="B2279" t="inlineStr">
        <is>
          <t>Tirrinia Bamboo Picnic Table with Carrying Bag &amp; Free Picnic Pad, Outdoor Portable All-Purpose Patio Tables for Concerts, Camping, Beach, Tailgating, Patio, Kitchen, Living Room</t>
        </is>
      </c>
      <c r="C2279" t="inlineStr">
        <is>
          <t>1TRPT300</t>
        </is>
      </c>
      <c r="D2279" t="inlineStr">
        <is>
          <t>Picnic Tables</t>
        </is>
      </c>
      <c r="E2279" t="inlineStr">
        <is>
          <t>Tirrinia</t>
        </is>
      </c>
      <c r="G2279" s="48" t="n">
        <v>0</v>
      </c>
      <c r="H2279" s="49" t="n">
        <v>0</v>
      </c>
      <c r="I2279" s="49" t="n">
        <v>0</v>
      </c>
      <c r="J2279" s="50" t="n">
        <v>0</v>
      </c>
      <c r="K2279" s="51" t="n">
        <v>0</v>
      </c>
      <c r="L2279" s="52" t="n">
        <v>0</v>
      </c>
      <c r="M2279" s="52" t="n">
        <v>0</v>
      </c>
      <c r="N2279" s="52" t="n">
        <v>0</v>
      </c>
      <c r="O2279" s="53" t="n">
        <v>0</v>
      </c>
      <c r="P2279" s="52" t="n">
        <v>0</v>
      </c>
      <c r="Q2279" s="53" t="n">
        <v>0</v>
      </c>
      <c r="R2279" s="52" t="n">
        <v>0</v>
      </c>
      <c r="S2279" s="51" t="n">
        <v>0</v>
      </c>
      <c r="T2279" s="48" t="n">
        <v>0</v>
      </c>
      <c r="U2279" s="49" t="n">
        <v>0</v>
      </c>
      <c r="V2279" s="49" t="n">
        <v>0</v>
      </c>
      <c r="W2279" s="50" t="n">
        <v>0</v>
      </c>
      <c r="X2279" s="51" t="n">
        <v>0</v>
      </c>
      <c r="Y2279" s="52" t="n">
        <v>0</v>
      </c>
      <c r="Z2279" s="52" t="n">
        <v>0</v>
      </c>
      <c r="AA2279" s="52" t="n">
        <v>0</v>
      </c>
      <c r="AB2279" s="53" t="n">
        <v>0</v>
      </c>
      <c r="AC2279" s="52" t="n">
        <v>0</v>
      </c>
      <c r="AD2279" s="53" t="n">
        <v>0</v>
      </c>
      <c r="AE2279" s="52" t="n">
        <v>0</v>
      </c>
      <c r="AF2279" s="51" t="n">
        <v>0</v>
      </c>
      <c r="AG2279" s="48" t="n">
        <v>0</v>
      </c>
      <c r="AH2279" s="49" t="n">
        <v>0</v>
      </c>
      <c r="AI2279" s="49" t="n">
        <v>0</v>
      </c>
      <c r="AJ2279" s="50" t="n">
        <v>0</v>
      </c>
      <c r="AK2279" s="51" t="n">
        <v>0</v>
      </c>
      <c r="AL2279" s="52" t="n">
        <v>0</v>
      </c>
      <c r="AM2279" s="52" t="n">
        <v>0</v>
      </c>
      <c r="AN2279" s="52" t="n">
        <v>0</v>
      </c>
      <c r="AO2279" s="53" t="n">
        <v>0</v>
      </c>
      <c r="AP2279" s="52" t="n">
        <v>0</v>
      </c>
      <c r="AQ2279" s="53" t="n">
        <v>0</v>
      </c>
      <c r="AR2279" s="52" t="n">
        <v>0</v>
      </c>
      <c r="AS2279" s="51" t="n">
        <v>0</v>
      </c>
      <c r="AT2279" s="48" t="n">
        <v>0</v>
      </c>
      <c r="AU2279" s="49" t="n">
        <v>0</v>
      </c>
      <c r="AV2279" s="49" t="n">
        <v>0</v>
      </c>
      <c r="AW2279" s="50" t="n">
        <v>0</v>
      </c>
      <c r="AX2279" s="51" t="n">
        <v>0</v>
      </c>
      <c r="AY2279" s="52" t="n">
        <v>0</v>
      </c>
      <c r="AZ2279" s="52" t="n">
        <v>0</v>
      </c>
      <c r="BA2279" s="52" t="n">
        <v>0</v>
      </c>
      <c r="BB2279" s="53" t="n">
        <v>0</v>
      </c>
      <c r="BC2279" s="52" t="n">
        <v>0</v>
      </c>
      <c r="BD2279" s="53" t="n">
        <v>0</v>
      </c>
      <c r="BE2279" s="52" t="n">
        <v>0</v>
      </c>
      <c r="BF2279" s="51" t="n">
        <v>0</v>
      </c>
    </row>
    <row r="2280">
      <c r="A2280">
        <f>HYPERLINK("https://www.walmart.com/ip/174364437", "174364437")</f>
        <v/>
      </c>
      <c r="B2280" t="inlineStr">
        <is>
          <t>Vina 2-Bottle Wine Picnic Tote Carrier Travel Cooler Insulated Bag Leather Handles Durable Zipper Reusable</t>
        </is>
      </c>
      <c r="C2280" t="inlineStr">
        <is>
          <t>VINAWB007SPIRAL</t>
        </is>
      </c>
      <c r="D2280" t="inlineStr">
        <is>
          <t>Wine Totes, Bags &amp; Backpacks</t>
        </is>
      </c>
      <c r="E2280" t="inlineStr">
        <is>
          <t>Vina</t>
        </is>
      </c>
      <c r="F2280" t="inlineStr">
        <is>
          <t>Wine,Christmas,Optimized,Valentine</t>
        </is>
      </c>
      <c r="G2280" s="48" t="n">
        <v>0</v>
      </c>
      <c r="H2280" s="49" t="n">
        <v>0</v>
      </c>
      <c r="I2280" s="49" t="n">
        <v>0</v>
      </c>
      <c r="J2280" s="50" t="n">
        <v>0</v>
      </c>
      <c r="K2280" s="51" t="n">
        <v>0</v>
      </c>
      <c r="L2280" s="52" t="n">
        <v>0</v>
      </c>
      <c r="M2280" s="52" t="n">
        <v>0</v>
      </c>
      <c r="N2280" s="52" t="n">
        <v>0</v>
      </c>
      <c r="O2280" s="53" t="n">
        <v>0</v>
      </c>
      <c r="P2280" s="52" t="n">
        <v>0</v>
      </c>
      <c r="Q2280" s="53" t="n">
        <v>0</v>
      </c>
      <c r="R2280" s="52" t="n">
        <v>0</v>
      </c>
      <c r="S2280" s="51" t="n">
        <v>0</v>
      </c>
      <c r="T2280" s="48" t="n">
        <v>0</v>
      </c>
      <c r="U2280" s="49" t="n">
        <v>0</v>
      </c>
      <c r="V2280" s="49" t="n">
        <v>0</v>
      </c>
      <c r="W2280" s="50" t="n">
        <v>0</v>
      </c>
      <c r="X2280" s="51" t="n">
        <v>0</v>
      </c>
      <c r="Y2280" s="52" t="n">
        <v>0</v>
      </c>
      <c r="Z2280" s="52" t="n">
        <v>0</v>
      </c>
      <c r="AA2280" s="52" t="n">
        <v>0</v>
      </c>
      <c r="AB2280" s="53" t="n">
        <v>0</v>
      </c>
      <c r="AC2280" s="52" t="n">
        <v>0</v>
      </c>
      <c r="AD2280" s="53" t="n">
        <v>0</v>
      </c>
      <c r="AE2280" s="52" t="n">
        <v>0</v>
      </c>
      <c r="AF2280" s="51" t="n">
        <v>0</v>
      </c>
      <c r="AG2280" s="48" t="n">
        <v>0</v>
      </c>
      <c r="AH2280" s="49" t="n">
        <v>0</v>
      </c>
      <c r="AI2280" s="49" t="n">
        <v>0</v>
      </c>
      <c r="AJ2280" s="50" t="n">
        <v>0</v>
      </c>
      <c r="AK2280" s="51" t="n">
        <v>0</v>
      </c>
      <c r="AL2280" s="52" t="n">
        <v>0</v>
      </c>
      <c r="AM2280" s="52" t="n">
        <v>0</v>
      </c>
      <c r="AN2280" s="52" t="n">
        <v>0</v>
      </c>
      <c r="AO2280" s="53" t="n">
        <v>0</v>
      </c>
      <c r="AP2280" s="52" t="n">
        <v>0</v>
      </c>
      <c r="AQ2280" s="53" t="n">
        <v>0</v>
      </c>
      <c r="AR2280" s="52" t="n">
        <v>0</v>
      </c>
      <c r="AS2280" s="51" t="n">
        <v>0</v>
      </c>
      <c r="AT2280" s="48" t="n">
        <v>0</v>
      </c>
      <c r="AU2280" s="49" t="n">
        <v>0</v>
      </c>
      <c r="AV2280" s="49" t="n">
        <v>0</v>
      </c>
      <c r="AW2280" s="50" t="n">
        <v>0</v>
      </c>
      <c r="AX2280" s="51" t="n">
        <v>0</v>
      </c>
      <c r="AY2280" s="52" t="n">
        <v>0</v>
      </c>
      <c r="AZ2280" s="52" t="n">
        <v>0</v>
      </c>
      <c r="BA2280" s="52" t="n">
        <v>0</v>
      </c>
      <c r="BB2280" s="53" t="n">
        <v>0</v>
      </c>
      <c r="BC2280" s="52" t="n">
        <v>0</v>
      </c>
      <c r="BD2280" s="53" t="n">
        <v>0</v>
      </c>
      <c r="BE2280" s="52" t="n">
        <v>0</v>
      </c>
      <c r="BF2280" s="51" t="n">
        <v>0</v>
      </c>
    </row>
    <row r="2281">
      <c r="A2281">
        <f>HYPERLINK("https://www.walmart.com/ip/174380113", "174380113")</f>
        <v/>
      </c>
      <c r="B2281" t="inlineStr">
        <is>
          <t>JenniWears® Classic Elastic, 3-layered Tulle Tutu Skirt</t>
        </is>
      </c>
      <c r="C2281" t="inlineStr">
        <is>
          <t>tutus-light purple</t>
        </is>
      </c>
      <c r="D2281" t="inlineStr">
        <is>
          <t>Skirts</t>
        </is>
      </c>
      <c r="E2281" t="inlineStr">
        <is>
          <t>JenniWears</t>
        </is>
      </c>
      <c r="F2281" t="inlineStr">
        <is>
          <t>Batch 1 - TR</t>
        </is>
      </c>
      <c r="G2281" s="48" t="n">
        <v>0</v>
      </c>
      <c r="H2281" s="49" t="n">
        <v>0</v>
      </c>
      <c r="I2281" s="49" t="n">
        <v>0</v>
      </c>
      <c r="J2281" s="50" t="n">
        <v>0</v>
      </c>
      <c r="K2281" s="51" t="n">
        <v>0</v>
      </c>
      <c r="L2281" s="52" t="n">
        <v>0</v>
      </c>
      <c r="M2281" s="52" t="n">
        <v>0</v>
      </c>
      <c r="N2281" s="52" t="n">
        <v>0</v>
      </c>
      <c r="O2281" s="53" t="n">
        <v>0</v>
      </c>
      <c r="P2281" s="52" t="n">
        <v>0</v>
      </c>
      <c r="Q2281" s="53" t="n">
        <v>0</v>
      </c>
      <c r="R2281" s="52" t="n">
        <v>0</v>
      </c>
      <c r="S2281" s="51" t="n">
        <v>0</v>
      </c>
      <c r="T2281" s="48" t="n">
        <v>0</v>
      </c>
      <c r="U2281" s="49" t="n">
        <v>0</v>
      </c>
      <c r="V2281" s="49" t="n">
        <v>0</v>
      </c>
      <c r="W2281" s="50" t="n">
        <v>0</v>
      </c>
      <c r="X2281" s="51" t="n">
        <v>0</v>
      </c>
      <c r="Y2281" s="52" t="n">
        <v>0</v>
      </c>
      <c r="Z2281" s="52" t="n">
        <v>0</v>
      </c>
      <c r="AA2281" s="52" t="n">
        <v>0</v>
      </c>
      <c r="AB2281" s="53" t="n">
        <v>0</v>
      </c>
      <c r="AC2281" s="52" t="n">
        <v>0</v>
      </c>
      <c r="AD2281" s="53" t="n">
        <v>0</v>
      </c>
      <c r="AE2281" s="52" t="n">
        <v>0</v>
      </c>
      <c r="AF2281" s="51" t="n">
        <v>0</v>
      </c>
      <c r="AG2281" s="48" t="n">
        <v>0</v>
      </c>
      <c r="AH2281" s="49" t="n">
        <v>0</v>
      </c>
      <c r="AI2281" s="49" t="n">
        <v>0</v>
      </c>
      <c r="AJ2281" s="50" t="n">
        <v>0</v>
      </c>
      <c r="AK2281" s="51" t="n">
        <v>0</v>
      </c>
      <c r="AL2281" s="52" t="n">
        <v>0</v>
      </c>
      <c r="AM2281" s="52" t="n">
        <v>0</v>
      </c>
      <c r="AN2281" s="52" t="n">
        <v>0</v>
      </c>
      <c r="AO2281" s="53" t="n">
        <v>0</v>
      </c>
      <c r="AP2281" s="52" t="n">
        <v>0</v>
      </c>
      <c r="AQ2281" s="53" t="n">
        <v>0</v>
      </c>
      <c r="AR2281" s="52" t="n">
        <v>0</v>
      </c>
      <c r="AS2281" s="51" t="n">
        <v>0</v>
      </c>
      <c r="AT2281" s="48" t="n">
        <v>0</v>
      </c>
      <c r="AU2281" s="49" t="n">
        <v>0</v>
      </c>
      <c r="AV2281" s="49" t="n">
        <v>0</v>
      </c>
      <c r="AW2281" s="50" t="n">
        <v>0</v>
      </c>
      <c r="AX2281" s="51" t="n">
        <v>0</v>
      </c>
      <c r="AY2281" s="52" t="n">
        <v>0</v>
      </c>
      <c r="AZ2281" s="52" t="n">
        <v>0</v>
      </c>
      <c r="BA2281" s="52" t="n">
        <v>0</v>
      </c>
      <c r="BB2281" s="53" t="n">
        <v>0</v>
      </c>
      <c r="BC2281" s="52" t="n">
        <v>0</v>
      </c>
      <c r="BD2281" s="53" t="n">
        <v>0</v>
      </c>
      <c r="BE2281" s="52" t="n">
        <v>0</v>
      </c>
      <c r="BF2281" s="51" t="n">
        <v>0</v>
      </c>
    </row>
    <row r="2282">
      <c r="A2282">
        <f>HYPERLINK("https://www.walmart.com/ip/174733580", "174733580")</f>
        <v/>
      </c>
      <c r="B2282" t="inlineStr">
        <is>
          <t>Pawsse Water Resistant Pet Blanket, Reversible Puppy and Cat Sherpa Throws, Cushion Mat for Car Seat, Furniture Protector Cover, Lt Gray/Dk Gray, 80'' x 60''</t>
        </is>
      </c>
      <c r="C2282" t="inlineStr">
        <is>
          <t>1PSBW681LGDG</t>
        </is>
      </c>
      <c r="D2282" t="inlineStr">
        <is>
          <t>Pet Blankets</t>
        </is>
      </c>
      <c r="E2282" t="inlineStr">
        <is>
          <t>Pawsse</t>
        </is>
      </c>
      <c r="F2282" t="inlineStr">
        <is>
          <t>Q2-Target,Optimized</t>
        </is>
      </c>
      <c r="G2282" s="48" t="n">
        <v>0</v>
      </c>
      <c r="H2282" s="49" t="n">
        <v>0</v>
      </c>
      <c r="I2282" s="49" t="n">
        <v>0</v>
      </c>
      <c r="J2282" s="50" t="n">
        <v>0</v>
      </c>
      <c r="K2282" s="51" t="n">
        <v>0</v>
      </c>
      <c r="L2282" s="52" t="n">
        <v>0</v>
      </c>
      <c r="M2282" s="52" t="n">
        <v>0</v>
      </c>
      <c r="N2282" s="52" t="n">
        <v>0</v>
      </c>
      <c r="O2282" s="53" t="n">
        <v>0</v>
      </c>
      <c r="P2282" s="52" t="n">
        <v>0</v>
      </c>
      <c r="Q2282" s="53" t="n">
        <v>0</v>
      </c>
      <c r="R2282" s="52" t="n">
        <v>0</v>
      </c>
      <c r="S2282" s="51" t="n">
        <v>564</v>
      </c>
      <c r="T2282" s="48" t="n">
        <v>0</v>
      </c>
      <c r="U2282" s="49" t="n">
        <v>0</v>
      </c>
      <c r="V2282" s="49" t="n">
        <v>0</v>
      </c>
      <c r="W2282" s="50" t="n">
        <v>0</v>
      </c>
      <c r="X2282" s="51" t="n">
        <v>0</v>
      </c>
      <c r="Y2282" s="52" t="n">
        <v>0</v>
      </c>
      <c r="Z2282" s="52" t="n">
        <v>0</v>
      </c>
      <c r="AA2282" s="52" t="n">
        <v>0</v>
      </c>
      <c r="AB2282" s="53" t="n">
        <v>0</v>
      </c>
      <c r="AC2282" s="52" t="n">
        <v>0</v>
      </c>
      <c r="AD2282" s="53" t="n">
        <v>0</v>
      </c>
      <c r="AE2282" s="52" t="n">
        <v>0</v>
      </c>
      <c r="AF2282" s="51" t="n">
        <v>1396</v>
      </c>
      <c r="AG2282" s="48" t="n">
        <v>0</v>
      </c>
      <c r="AH2282" s="49" t="n">
        <v>0</v>
      </c>
      <c r="AI2282" s="49" t="n">
        <v>0</v>
      </c>
      <c r="AJ2282" s="50" t="n">
        <v>0</v>
      </c>
      <c r="AK2282" s="51" t="n">
        <v>0</v>
      </c>
      <c r="AL2282" s="52" t="n">
        <v>0</v>
      </c>
      <c r="AM2282" s="52" t="n">
        <v>0</v>
      </c>
      <c r="AN2282" s="52" t="n">
        <v>0</v>
      </c>
      <c r="AO2282" s="53" t="n">
        <v>0</v>
      </c>
      <c r="AP2282" s="52" t="n">
        <v>0</v>
      </c>
      <c r="AQ2282" s="53" t="n">
        <v>0</v>
      </c>
      <c r="AR2282" s="52" t="n">
        <v>0</v>
      </c>
      <c r="AS2282" s="51" t="n">
        <v>681</v>
      </c>
      <c r="AT2282" s="48" t="n">
        <v>0</v>
      </c>
      <c r="AU2282" s="49" t="n">
        <v>0</v>
      </c>
      <c r="AV2282" s="49" t="n">
        <v>0</v>
      </c>
      <c r="AW2282" s="50" t="n">
        <v>0</v>
      </c>
      <c r="AX2282" s="51" t="n">
        <v>1</v>
      </c>
      <c r="AY2282" s="52" t="n">
        <v>0.43</v>
      </c>
      <c r="AZ2282" s="52" t="n">
        <v>0</v>
      </c>
      <c r="BA2282" s="52" t="n">
        <v>0</v>
      </c>
      <c r="BB2282" s="53" t="n">
        <v>0.0022</v>
      </c>
      <c r="BC2282" s="52" t="n">
        <v>0.43</v>
      </c>
      <c r="BD2282" s="53" t="n">
        <v>0</v>
      </c>
      <c r="BE2282" s="52" t="n">
        <v>0</v>
      </c>
      <c r="BF2282" s="51" t="n">
        <v>463</v>
      </c>
    </row>
    <row r="2283">
      <c r="A2283">
        <f>HYPERLINK("https://www.walmart.com/ip/1753608875", "1753608875")</f>
        <v/>
      </c>
      <c r="B2283" t="inlineStr">
        <is>
          <t>Tirrinia Men's Trout Ventilate Mesh Fish Embroidery Cap Fishing Hat Navy Blue</t>
        </is>
      </c>
      <c r="C2283" t="inlineStr">
        <is>
          <t>KCHT13CAMO-12pcs</t>
        </is>
      </c>
      <c r="D2283" t="inlineStr">
        <is>
          <t>Hats</t>
        </is>
      </c>
      <c r="E2283" t="inlineStr">
        <is>
          <t>Tirrinia</t>
        </is>
      </c>
      <c r="F2283" t="inlineStr">
        <is>
          <t>Batch 1 - TR</t>
        </is>
      </c>
      <c r="G2283" s="48" t="n">
        <v>0</v>
      </c>
      <c r="H2283" s="49" t="n">
        <v>0</v>
      </c>
      <c r="I2283" s="49" t="n">
        <v>0</v>
      </c>
      <c r="J2283" s="50" t="n">
        <v>0</v>
      </c>
      <c r="K2283" s="51" t="n">
        <v>0</v>
      </c>
      <c r="L2283" s="52" t="n">
        <v>0</v>
      </c>
      <c r="M2283" s="52" t="n">
        <v>0</v>
      </c>
      <c r="N2283" s="52" t="n">
        <v>0</v>
      </c>
      <c r="O2283" s="53" t="n">
        <v>0</v>
      </c>
      <c r="P2283" s="52" t="n">
        <v>0</v>
      </c>
      <c r="Q2283" s="53" t="n">
        <v>0</v>
      </c>
      <c r="R2283" s="52" t="n">
        <v>0</v>
      </c>
      <c r="S2283" s="51" t="n">
        <v>0</v>
      </c>
      <c r="T2283" s="48" t="n">
        <v>0</v>
      </c>
      <c r="U2283" s="49" t="n">
        <v>0</v>
      </c>
      <c r="V2283" s="49" t="n">
        <v>0</v>
      </c>
      <c r="W2283" s="50" t="n">
        <v>0</v>
      </c>
      <c r="X2283" s="51" t="n">
        <v>0</v>
      </c>
      <c r="Y2283" s="52" t="n">
        <v>0</v>
      </c>
      <c r="Z2283" s="52" t="n">
        <v>0</v>
      </c>
      <c r="AA2283" s="52" t="n">
        <v>0</v>
      </c>
      <c r="AB2283" s="53" t="n">
        <v>0</v>
      </c>
      <c r="AC2283" s="52" t="n">
        <v>0</v>
      </c>
      <c r="AD2283" s="53" t="n">
        <v>0</v>
      </c>
      <c r="AE2283" s="52" t="n">
        <v>0</v>
      </c>
      <c r="AF2283" s="51" t="n">
        <v>0</v>
      </c>
      <c r="AG2283" s="48" t="n">
        <v>0</v>
      </c>
      <c r="AH2283" s="49" t="n">
        <v>0</v>
      </c>
      <c r="AI2283" s="49" t="n">
        <v>0</v>
      </c>
      <c r="AJ2283" s="50" t="n">
        <v>0</v>
      </c>
      <c r="AK2283" s="51" t="n">
        <v>0</v>
      </c>
      <c r="AL2283" s="52" t="n">
        <v>0</v>
      </c>
      <c r="AM2283" s="52" t="n">
        <v>0</v>
      </c>
      <c r="AN2283" s="52" t="n">
        <v>0</v>
      </c>
      <c r="AO2283" s="53" t="n">
        <v>0</v>
      </c>
      <c r="AP2283" s="52" t="n">
        <v>0</v>
      </c>
      <c r="AQ2283" s="53" t="n">
        <v>0</v>
      </c>
      <c r="AR2283" s="52" t="n">
        <v>0</v>
      </c>
      <c r="AS2283" s="51" t="n">
        <v>0</v>
      </c>
      <c r="AT2283" s="48" t="n">
        <v>0</v>
      </c>
      <c r="AU2283" s="49" t="n">
        <v>0</v>
      </c>
      <c r="AV2283" s="49" t="n">
        <v>0</v>
      </c>
      <c r="AW2283" s="50" t="n">
        <v>0</v>
      </c>
      <c r="AX2283" s="51" t="n">
        <v>0</v>
      </c>
      <c r="AY2283" s="52" t="n">
        <v>0</v>
      </c>
      <c r="AZ2283" s="52" t="n">
        <v>0</v>
      </c>
      <c r="BA2283" s="52" t="n">
        <v>0</v>
      </c>
      <c r="BB2283" s="53" t="n">
        <v>0</v>
      </c>
      <c r="BC2283" s="52" t="n">
        <v>0</v>
      </c>
      <c r="BD2283" s="53" t="n">
        <v>0</v>
      </c>
      <c r="BE2283" s="52" t="n">
        <v>0</v>
      </c>
      <c r="BF2283" s="51" t="n">
        <v>0</v>
      </c>
    </row>
    <row r="2284">
      <c r="A2284">
        <f>HYPERLINK("https://www.walmart.com/ip/175458702", "175458702")</f>
        <v/>
      </c>
      <c r="B2284" t="inlineStr">
        <is>
          <t>Solaris Sun Hats UV Protection Wide Brim Hat Unisex Adult Multicolor</t>
        </is>
      </c>
      <c r="C2284" t="inlineStr">
        <is>
          <t>1SLSH910-digigy</t>
        </is>
      </c>
      <c r="D2284" t="inlineStr">
        <is>
          <t>Hats</t>
        </is>
      </c>
      <c r="E2284" t="inlineStr">
        <is>
          <t>Solaris</t>
        </is>
      </c>
      <c r="F2284" t="inlineStr">
        <is>
          <t>Batch 1 - TR</t>
        </is>
      </c>
      <c r="G2284" s="48" t="n">
        <v>0</v>
      </c>
      <c r="H2284" s="49" t="n">
        <v>0</v>
      </c>
      <c r="I2284" s="49" t="n">
        <v>0</v>
      </c>
      <c r="J2284" s="50" t="n">
        <v>0</v>
      </c>
      <c r="K2284" s="51" t="n">
        <v>0</v>
      </c>
      <c r="L2284" s="52" t="n">
        <v>0</v>
      </c>
      <c r="M2284" s="52" t="n">
        <v>0</v>
      </c>
      <c r="N2284" s="52" t="n">
        <v>0</v>
      </c>
      <c r="O2284" s="53" t="n">
        <v>0</v>
      </c>
      <c r="P2284" s="52" t="n">
        <v>0</v>
      </c>
      <c r="Q2284" s="53" t="n">
        <v>0</v>
      </c>
      <c r="R2284" s="52" t="n">
        <v>0</v>
      </c>
      <c r="S2284" s="51" t="n">
        <v>0</v>
      </c>
      <c r="T2284" s="48" t="n">
        <v>0</v>
      </c>
      <c r="U2284" s="49" t="n">
        <v>0</v>
      </c>
      <c r="V2284" s="49" t="n">
        <v>0</v>
      </c>
      <c r="W2284" s="50" t="n">
        <v>0</v>
      </c>
      <c r="X2284" s="51" t="n">
        <v>0</v>
      </c>
      <c r="Y2284" s="52" t="n">
        <v>0</v>
      </c>
      <c r="Z2284" s="52" t="n">
        <v>0</v>
      </c>
      <c r="AA2284" s="52" t="n">
        <v>0</v>
      </c>
      <c r="AB2284" s="53" t="n">
        <v>0</v>
      </c>
      <c r="AC2284" s="52" t="n">
        <v>0</v>
      </c>
      <c r="AD2284" s="53" t="n">
        <v>0</v>
      </c>
      <c r="AE2284" s="52" t="n">
        <v>0</v>
      </c>
      <c r="AF2284" s="51" t="n">
        <v>0</v>
      </c>
      <c r="AG2284" s="48" t="n">
        <v>0</v>
      </c>
      <c r="AH2284" s="49" t="n">
        <v>0</v>
      </c>
      <c r="AI2284" s="49" t="n">
        <v>0</v>
      </c>
      <c r="AJ2284" s="50" t="n">
        <v>0</v>
      </c>
      <c r="AK2284" s="51" t="n">
        <v>0</v>
      </c>
      <c r="AL2284" s="52" t="n">
        <v>0</v>
      </c>
      <c r="AM2284" s="52" t="n">
        <v>0</v>
      </c>
      <c r="AN2284" s="52" t="n">
        <v>0</v>
      </c>
      <c r="AO2284" s="53" t="n">
        <v>0</v>
      </c>
      <c r="AP2284" s="52" t="n">
        <v>0</v>
      </c>
      <c r="AQ2284" s="53" t="n">
        <v>0</v>
      </c>
      <c r="AR2284" s="52" t="n">
        <v>0</v>
      </c>
      <c r="AS2284" s="51" t="n">
        <v>0</v>
      </c>
      <c r="AT2284" s="48" t="n">
        <v>0</v>
      </c>
      <c r="AU2284" s="49" t="n">
        <v>0</v>
      </c>
      <c r="AV2284" s="49" t="n">
        <v>0</v>
      </c>
      <c r="AW2284" s="50" t="n">
        <v>0</v>
      </c>
      <c r="AX2284" s="51" t="n">
        <v>0</v>
      </c>
      <c r="AY2284" s="52" t="n">
        <v>0</v>
      </c>
      <c r="AZ2284" s="52" t="n">
        <v>0</v>
      </c>
      <c r="BA2284" s="52" t="n">
        <v>0</v>
      </c>
      <c r="BB2284" s="53" t="n">
        <v>0</v>
      </c>
      <c r="BC2284" s="52" t="n">
        <v>0</v>
      </c>
      <c r="BD2284" s="53" t="n">
        <v>0</v>
      </c>
      <c r="BE2284" s="52" t="n">
        <v>0</v>
      </c>
      <c r="BF2284" s="51" t="n">
        <v>0</v>
      </c>
    </row>
    <row r="2285">
      <c r="A2285">
        <f>HYPERLINK("https://www.walmart.com/ip/1759109481", "1759109481")</f>
        <v/>
      </c>
      <c r="B2285" t="inlineStr">
        <is>
          <t>Every Day is Christmas Glass Blown Ornaments 2021 Cute Hand Made Figurines Tree Decoration, Santa Mask Off</t>
        </is>
      </c>
      <c r="C2285" t="inlineStr">
        <is>
          <t>EDC-FIGURINE-RAINBOW</t>
        </is>
      </c>
      <c r="D2285" t="inlineStr">
        <is>
          <t>Ornaments</t>
        </is>
      </c>
      <c r="E2285" t="inlineStr">
        <is>
          <t>Every Day is Christmas</t>
        </is>
      </c>
      <c r="G2285" s="48" t="n">
        <v>0</v>
      </c>
      <c r="H2285" s="49" t="n">
        <v>0</v>
      </c>
      <c r="I2285" s="49" t="n">
        <v>0</v>
      </c>
      <c r="J2285" s="50" t="n">
        <v>0</v>
      </c>
      <c r="K2285" s="51" t="n">
        <v>0</v>
      </c>
      <c r="L2285" s="52" t="n">
        <v>0</v>
      </c>
      <c r="M2285" s="52" t="n">
        <v>0</v>
      </c>
      <c r="N2285" s="52" t="n">
        <v>0</v>
      </c>
      <c r="O2285" s="53" t="n">
        <v>0</v>
      </c>
      <c r="P2285" s="52" t="n">
        <v>0</v>
      </c>
      <c r="Q2285" s="53" t="n">
        <v>0</v>
      </c>
      <c r="R2285" s="52" t="n">
        <v>0</v>
      </c>
      <c r="S2285" s="51" t="n">
        <v>0</v>
      </c>
      <c r="T2285" s="48" t="n">
        <v>0</v>
      </c>
      <c r="U2285" s="49" t="n">
        <v>0</v>
      </c>
      <c r="V2285" s="49" t="n">
        <v>0</v>
      </c>
      <c r="W2285" s="50" t="n">
        <v>0</v>
      </c>
      <c r="X2285" s="51" t="n">
        <v>0</v>
      </c>
      <c r="Y2285" s="52" t="n">
        <v>0</v>
      </c>
      <c r="Z2285" s="52" t="n">
        <v>0</v>
      </c>
      <c r="AA2285" s="52" t="n">
        <v>0</v>
      </c>
      <c r="AB2285" s="53" t="n">
        <v>0</v>
      </c>
      <c r="AC2285" s="52" t="n">
        <v>0</v>
      </c>
      <c r="AD2285" s="53" t="n">
        <v>0</v>
      </c>
      <c r="AE2285" s="52" t="n">
        <v>0</v>
      </c>
      <c r="AF2285" s="51" t="n">
        <v>0</v>
      </c>
      <c r="AG2285" s="48" t="n">
        <v>0</v>
      </c>
      <c r="AH2285" s="49" t="n">
        <v>0</v>
      </c>
      <c r="AI2285" s="49" t="n">
        <v>0</v>
      </c>
      <c r="AJ2285" s="50" t="n">
        <v>0</v>
      </c>
      <c r="AK2285" s="51" t="n">
        <v>0</v>
      </c>
      <c r="AL2285" s="52" t="n">
        <v>0</v>
      </c>
      <c r="AM2285" s="52" t="n">
        <v>0</v>
      </c>
      <c r="AN2285" s="52" t="n">
        <v>0</v>
      </c>
      <c r="AO2285" s="53" t="n">
        <v>0</v>
      </c>
      <c r="AP2285" s="52" t="n">
        <v>0</v>
      </c>
      <c r="AQ2285" s="53" t="n">
        <v>0</v>
      </c>
      <c r="AR2285" s="52" t="n">
        <v>0</v>
      </c>
      <c r="AS2285" s="51" t="n">
        <v>0</v>
      </c>
      <c r="AT2285" s="48" t="n">
        <v>0</v>
      </c>
      <c r="AU2285" s="49" t="n">
        <v>0</v>
      </c>
      <c r="AV2285" s="49" t="n">
        <v>0</v>
      </c>
      <c r="AW2285" s="50" t="n">
        <v>0</v>
      </c>
      <c r="AX2285" s="51" t="n">
        <v>0</v>
      </c>
      <c r="AY2285" s="52" t="n">
        <v>0</v>
      </c>
      <c r="AZ2285" s="52" t="n">
        <v>0</v>
      </c>
      <c r="BA2285" s="52" t="n">
        <v>0</v>
      </c>
      <c r="BB2285" s="53" t="n">
        <v>0</v>
      </c>
      <c r="BC2285" s="52" t="n">
        <v>0</v>
      </c>
      <c r="BD2285" s="53" t="n">
        <v>0</v>
      </c>
      <c r="BE2285" s="52" t="n">
        <v>0</v>
      </c>
      <c r="BF2285" s="51" t="n">
        <v>0</v>
      </c>
    </row>
    <row r="2286">
      <c r="A2286">
        <f>HYPERLINK("https://www.walmart.com/ip/1764539783", "1764539783")</f>
        <v/>
      </c>
      <c r="B2286" t="inlineStr">
        <is>
          <t>Every Day is Christmas Glass Blown Ornaments 2021 Cute Hand Made Figurines Tree Decoration, Ski Santa</t>
        </is>
      </c>
      <c r="C2286" t="inlineStr">
        <is>
          <t>EDC-FIGURINE-SKISANTA</t>
        </is>
      </c>
      <c r="D2286" t="inlineStr">
        <is>
          <t>Ornaments</t>
        </is>
      </c>
      <c r="E2286" t="inlineStr">
        <is>
          <t>Every Day is Christmas</t>
        </is>
      </c>
      <c r="G2286" s="48" t="n">
        <v>0</v>
      </c>
      <c r="H2286" s="49" t="n">
        <v>0</v>
      </c>
      <c r="I2286" s="49" t="n">
        <v>0</v>
      </c>
      <c r="J2286" s="50" t="n">
        <v>0</v>
      </c>
      <c r="K2286" s="51" t="n">
        <v>0</v>
      </c>
      <c r="L2286" s="52" t="n">
        <v>0</v>
      </c>
      <c r="M2286" s="52" t="n">
        <v>0</v>
      </c>
      <c r="N2286" s="52" t="n">
        <v>0</v>
      </c>
      <c r="O2286" s="53" t="n">
        <v>0</v>
      </c>
      <c r="P2286" s="52" t="n">
        <v>0</v>
      </c>
      <c r="Q2286" s="53" t="n">
        <v>0</v>
      </c>
      <c r="R2286" s="52" t="n">
        <v>0</v>
      </c>
      <c r="S2286" s="51" t="n">
        <v>0</v>
      </c>
      <c r="T2286" s="48" t="n">
        <v>0</v>
      </c>
      <c r="U2286" s="49" t="n">
        <v>0</v>
      </c>
      <c r="V2286" s="49" t="n">
        <v>0</v>
      </c>
      <c r="W2286" s="50" t="n">
        <v>0</v>
      </c>
      <c r="X2286" s="51" t="n">
        <v>0</v>
      </c>
      <c r="Y2286" s="52" t="n">
        <v>0</v>
      </c>
      <c r="Z2286" s="52" t="n">
        <v>0</v>
      </c>
      <c r="AA2286" s="52" t="n">
        <v>0</v>
      </c>
      <c r="AB2286" s="53" t="n">
        <v>0</v>
      </c>
      <c r="AC2286" s="52" t="n">
        <v>0</v>
      </c>
      <c r="AD2286" s="53" t="n">
        <v>0</v>
      </c>
      <c r="AE2286" s="52" t="n">
        <v>0</v>
      </c>
      <c r="AF2286" s="51" t="n">
        <v>0</v>
      </c>
      <c r="AG2286" s="48" t="n">
        <v>0</v>
      </c>
      <c r="AH2286" s="49" t="n">
        <v>0</v>
      </c>
      <c r="AI2286" s="49" t="n">
        <v>0</v>
      </c>
      <c r="AJ2286" s="50" t="n">
        <v>0</v>
      </c>
      <c r="AK2286" s="51" t="n">
        <v>0</v>
      </c>
      <c r="AL2286" s="52" t="n">
        <v>0</v>
      </c>
      <c r="AM2286" s="52" t="n">
        <v>0</v>
      </c>
      <c r="AN2286" s="52" t="n">
        <v>0</v>
      </c>
      <c r="AO2286" s="53" t="n">
        <v>0</v>
      </c>
      <c r="AP2286" s="52" t="n">
        <v>0</v>
      </c>
      <c r="AQ2286" s="53" t="n">
        <v>0</v>
      </c>
      <c r="AR2286" s="52" t="n">
        <v>0</v>
      </c>
      <c r="AS2286" s="51" t="n">
        <v>0</v>
      </c>
      <c r="AT2286" s="48" t="n">
        <v>0</v>
      </c>
      <c r="AU2286" s="49" t="n">
        <v>0</v>
      </c>
      <c r="AV2286" s="49" t="n">
        <v>0</v>
      </c>
      <c r="AW2286" s="50" t="n">
        <v>0</v>
      </c>
      <c r="AX2286" s="51" t="n">
        <v>0</v>
      </c>
      <c r="AY2286" s="52" t="n">
        <v>0</v>
      </c>
      <c r="AZ2286" s="52" t="n">
        <v>0</v>
      </c>
      <c r="BA2286" s="52" t="n">
        <v>0</v>
      </c>
      <c r="BB2286" s="53" t="n">
        <v>0</v>
      </c>
      <c r="BC2286" s="52" t="n">
        <v>0</v>
      </c>
      <c r="BD2286" s="53" t="n">
        <v>0</v>
      </c>
      <c r="BE2286" s="52" t="n">
        <v>0</v>
      </c>
      <c r="BF2286" s="51" t="n">
        <v>0</v>
      </c>
    </row>
    <row r="2287">
      <c r="A2287">
        <f>HYPERLINK("https://www.walmart.com/ip/1765471240", "1765471240")</f>
        <v/>
      </c>
      <c r="B2287" t="inlineStr">
        <is>
          <t>Every Day is Christmas Glass Blown Ornaments Cute Hand Made Figurines Tree Decoration, set of 2 Basketball</t>
        </is>
      </c>
      <c r="C2287" t="inlineStr">
        <is>
          <t>EDC-FIGURINE-BASKETBALL</t>
        </is>
      </c>
      <c r="D2287" t="inlineStr">
        <is>
          <t>Ornaments</t>
        </is>
      </c>
      <c r="E2287" t="inlineStr">
        <is>
          <t>Every Day is Christmas</t>
        </is>
      </c>
      <c r="G2287" s="48" t="n">
        <v>0</v>
      </c>
      <c r="H2287" s="49" t="n">
        <v>0</v>
      </c>
      <c r="I2287" s="49" t="n">
        <v>0</v>
      </c>
      <c r="J2287" s="50" t="n">
        <v>0</v>
      </c>
      <c r="K2287" s="51" t="n">
        <v>0</v>
      </c>
      <c r="L2287" s="52" t="n">
        <v>0</v>
      </c>
      <c r="M2287" s="52" t="n">
        <v>0</v>
      </c>
      <c r="N2287" s="52" t="n">
        <v>0</v>
      </c>
      <c r="O2287" s="53" t="n">
        <v>0</v>
      </c>
      <c r="P2287" s="52" t="n">
        <v>0</v>
      </c>
      <c r="Q2287" s="53" t="n">
        <v>0</v>
      </c>
      <c r="R2287" s="52" t="n">
        <v>0</v>
      </c>
      <c r="S2287" s="51" t="n">
        <v>0</v>
      </c>
      <c r="T2287" s="48" t="n">
        <v>0</v>
      </c>
      <c r="U2287" s="49" t="n">
        <v>0</v>
      </c>
      <c r="V2287" s="49" t="n">
        <v>0</v>
      </c>
      <c r="W2287" s="50" t="n">
        <v>0</v>
      </c>
      <c r="X2287" s="51" t="n">
        <v>0</v>
      </c>
      <c r="Y2287" s="52" t="n">
        <v>0</v>
      </c>
      <c r="Z2287" s="52" t="n">
        <v>0</v>
      </c>
      <c r="AA2287" s="52" t="n">
        <v>0</v>
      </c>
      <c r="AB2287" s="53" t="n">
        <v>0</v>
      </c>
      <c r="AC2287" s="52" t="n">
        <v>0</v>
      </c>
      <c r="AD2287" s="53" t="n">
        <v>0</v>
      </c>
      <c r="AE2287" s="52" t="n">
        <v>0</v>
      </c>
      <c r="AF2287" s="51" t="n">
        <v>0</v>
      </c>
      <c r="AG2287" s="48" t="n">
        <v>0</v>
      </c>
      <c r="AH2287" s="49" t="n">
        <v>0</v>
      </c>
      <c r="AI2287" s="49" t="n">
        <v>0</v>
      </c>
      <c r="AJ2287" s="50" t="n">
        <v>0</v>
      </c>
      <c r="AK2287" s="51" t="n">
        <v>0</v>
      </c>
      <c r="AL2287" s="52" t="n">
        <v>0</v>
      </c>
      <c r="AM2287" s="52" t="n">
        <v>0</v>
      </c>
      <c r="AN2287" s="52" t="n">
        <v>0</v>
      </c>
      <c r="AO2287" s="53" t="n">
        <v>0</v>
      </c>
      <c r="AP2287" s="52" t="n">
        <v>0</v>
      </c>
      <c r="AQ2287" s="53" t="n">
        <v>0</v>
      </c>
      <c r="AR2287" s="52" t="n">
        <v>0</v>
      </c>
      <c r="AS2287" s="51" t="n">
        <v>0</v>
      </c>
      <c r="AT2287" s="48" t="n">
        <v>0</v>
      </c>
      <c r="AU2287" s="49" t="n">
        <v>0</v>
      </c>
      <c r="AV2287" s="49" t="n">
        <v>0</v>
      </c>
      <c r="AW2287" s="50" t="n">
        <v>0</v>
      </c>
      <c r="AX2287" s="51" t="n">
        <v>0</v>
      </c>
      <c r="AY2287" s="52" t="n">
        <v>0</v>
      </c>
      <c r="AZ2287" s="52" t="n">
        <v>0</v>
      </c>
      <c r="BA2287" s="52" t="n">
        <v>0</v>
      </c>
      <c r="BB2287" s="53" t="n">
        <v>0</v>
      </c>
      <c r="BC2287" s="52" t="n">
        <v>0</v>
      </c>
      <c r="BD2287" s="53" t="n">
        <v>0</v>
      </c>
      <c r="BE2287" s="52" t="n">
        <v>0</v>
      </c>
      <c r="BF2287" s="51" t="n">
        <v>0</v>
      </c>
    </row>
    <row r="2288">
      <c r="A2288">
        <f>HYPERLINK("https://www.walmart.com/ip/176670732", "176670732")</f>
        <v/>
      </c>
      <c r="B2288" t="inlineStr">
        <is>
          <t>JenniWears Women's Floral Fishnet One Shoulder Open Crotch Bodystocking</t>
        </is>
      </c>
      <c r="C2288" t="inlineStr">
        <is>
          <t>JWBS8856</t>
        </is>
      </c>
      <c r="D2288" t="inlineStr">
        <is>
          <t>Teddies &amp; Bodystockings</t>
        </is>
      </c>
      <c r="E2288" t="inlineStr">
        <is>
          <t>JenniWears</t>
        </is>
      </c>
      <c r="F2288" t="inlineStr">
        <is>
          <t>Valentine,WFS Item</t>
        </is>
      </c>
      <c r="G2288" s="48" t="n">
        <v>0</v>
      </c>
      <c r="H2288" s="49" t="n">
        <v>0</v>
      </c>
      <c r="I2288" s="49" t="n">
        <v>0</v>
      </c>
      <c r="J2288" s="50" t="n">
        <v>0</v>
      </c>
      <c r="K2288" s="51" t="n">
        <v>0</v>
      </c>
      <c r="L2288" s="52" t="n">
        <v>0</v>
      </c>
      <c r="M2288" s="52" t="n">
        <v>0</v>
      </c>
      <c r="N2288" s="52" t="n">
        <v>0</v>
      </c>
      <c r="O2288" s="53" t="n">
        <v>0</v>
      </c>
      <c r="P2288" s="52" t="n">
        <v>0</v>
      </c>
      <c r="Q2288" s="53" t="n">
        <v>0</v>
      </c>
      <c r="R2288" s="52" t="n">
        <v>0</v>
      </c>
      <c r="S2288" s="51" t="n">
        <v>0</v>
      </c>
      <c r="T2288" s="48" t="n">
        <v>0</v>
      </c>
      <c r="U2288" s="49" t="n">
        <v>0</v>
      </c>
      <c r="V2288" s="49" t="n">
        <v>0</v>
      </c>
      <c r="W2288" s="50" t="n">
        <v>0</v>
      </c>
      <c r="X2288" s="51" t="n">
        <v>0</v>
      </c>
      <c r="Y2288" s="52" t="n">
        <v>0</v>
      </c>
      <c r="Z2288" s="52" t="n">
        <v>0</v>
      </c>
      <c r="AA2288" s="52" t="n">
        <v>0</v>
      </c>
      <c r="AB2288" s="53" t="n">
        <v>0</v>
      </c>
      <c r="AC2288" s="52" t="n">
        <v>0</v>
      </c>
      <c r="AD2288" s="53" t="n">
        <v>0</v>
      </c>
      <c r="AE2288" s="52" t="n">
        <v>0</v>
      </c>
      <c r="AF2288" s="51" t="n">
        <v>0</v>
      </c>
      <c r="AG2288" s="48" t="n">
        <v>0</v>
      </c>
      <c r="AH2288" s="49" t="n">
        <v>0</v>
      </c>
      <c r="AI2288" s="49" t="n">
        <v>0</v>
      </c>
      <c r="AJ2288" s="50" t="n">
        <v>0</v>
      </c>
      <c r="AK2288" s="51" t="n">
        <v>0</v>
      </c>
      <c r="AL2288" s="52" t="n">
        <v>0</v>
      </c>
      <c r="AM2288" s="52" t="n">
        <v>0</v>
      </c>
      <c r="AN2288" s="52" t="n">
        <v>0</v>
      </c>
      <c r="AO2288" s="53" t="n">
        <v>0</v>
      </c>
      <c r="AP2288" s="52" t="n">
        <v>0</v>
      </c>
      <c r="AQ2288" s="53" t="n">
        <v>0</v>
      </c>
      <c r="AR2288" s="52" t="n">
        <v>0</v>
      </c>
      <c r="AS2288" s="51" t="n">
        <v>0</v>
      </c>
      <c r="AT2288" s="48" t="n">
        <v>7.98</v>
      </c>
      <c r="AU2288" s="49" t="n">
        <v>1</v>
      </c>
      <c r="AV2288" s="49" t="n">
        <v>0</v>
      </c>
      <c r="AW2288" s="50" t="n">
        <v>0</v>
      </c>
      <c r="AX2288" s="51" t="n">
        <v>0</v>
      </c>
      <c r="AY2288" s="52" t="n">
        <v>0</v>
      </c>
      <c r="AZ2288" s="52" t="n">
        <v>0</v>
      </c>
      <c r="BA2288" s="52" t="n">
        <v>0</v>
      </c>
      <c r="BB2288" s="53" t="n">
        <v>0</v>
      </c>
      <c r="BC2288" s="52" t="n">
        <v>0</v>
      </c>
      <c r="BD2288" s="53" t="n">
        <v>0</v>
      </c>
      <c r="BE2288" s="52" t="n">
        <v>7.98</v>
      </c>
      <c r="BF2288" s="51" t="n">
        <v>0</v>
      </c>
    </row>
    <row r="2289">
      <c r="A2289">
        <f>HYPERLINK("https://www.walmart.com/ip/1665931188", "1665931188")</f>
        <v/>
      </c>
      <c r="B2289" t="inlineStr">
        <is>
          <t>Unisex Hunting Fishing Cap Adjustable 3D Embroidery Baseball Hat with Air Mesh Back</t>
        </is>
      </c>
      <c r="C2289" t="inlineStr">
        <is>
          <t>1TRHT7180INFI-12pcs</t>
        </is>
      </c>
      <c r="D2289" t="inlineStr">
        <is>
          <t>Hats</t>
        </is>
      </c>
      <c r="E2289" t="inlineStr">
        <is>
          <t>Tirrinia</t>
        </is>
      </c>
      <c r="G2289" s="48" t="n">
        <v>0</v>
      </c>
      <c r="H2289" s="49" t="n">
        <v>0</v>
      </c>
      <c r="I2289" s="49" t="n">
        <v>0</v>
      </c>
      <c r="J2289" s="50" t="n">
        <v>0</v>
      </c>
      <c r="K2289" s="51" t="n">
        <v>0</v>
      </c>
      <c r="L2289" s="52" t="n">
        <v>0</v>
      </c>
      <c r="M2289" s="52" t="n">
        <v>0</v>
      </c>
      <c r="N2289" s="52" t="n">
        <v>0</v>
      </c>
      <c r="O2289" s="53" t="n">
        <v>0</v>
      </c>
      <c r="P2289" s="52" t="n">
        <v>0</v>
      </c>
      <c r="Q2289" s="53" t="n">
        <v>0</v>
      </c>
      <c r="R2289" s="52" t="n">
        <v>0</v>
      </c>
      <c r="S2289" s="51" t="n">
        <v>0</v>
      </c>
      <c r="T2289" s="48" t="n">
        <v>0</v>
      </c>
      <c r="U2289" s="49" t="n">
        <v>0</v>
      </c>
      <c r="V2289" s="49" t="n">
        <v>0</v>
      </c>
      <c r="W2289" s="50" t="n">
        <v>0</v>
      </c>
      <c r="X2289" s="51" t="n">
        <v>0</v>
      </c>
      <c r="Y2289" s="52" t="n">
        <v>0</v>
      </c>
      <c r="Z2289" s="52" t="n">
        <v>0</v>
      </c>
      <c r="AA2289" s="52" t="n">
        <v>0</v>
      </c>
      <c r="AB2289" s="53" t="n">
        <v>0</v>
      </c>
      <c r="AC2289" s="52" t="n">
        <v>0</v>
      </c>
      <c r="AD2289" s="53" t="n">
        <v>0</v>
      </c>
      <c r="AE2289" s="52" t="n">
        <v>0</v>
      </c>
      <c r="AF2289" s="51" t="n">
        <v>0</v>
      </c>
      <c r="AG2289" s="48" t="n">
        <v>0</v>
      </c>
      <c r="AH2289" s="49" t="n">
        <v>0</v>
      </c>
      <c r="AI2289" s="49" t="n">
        <v>0</v>
      </c>
      <c r="AJ2289" s="50" t="n">
        <v>0</v>
      </c>
      <c r="AK2289" s="51" t="n">
        <v>0</v>
      </c>
      <c r="AL2289" s="52" t="n">
        <v>0</v>
      </c>
      <c r="AM2289" s="52" t="n">
        <v>0</v>
      </c>
      <c r="AN2289" s="52" t="n">
        <v>0</v>
      </c>
      <c r="AO2289" s="53" t="n">
        <v>0</v>
      </c>
      <c r="AP2289" s="52" t="n">
        <v>0</v>
      </c>
      <c r="AQ2289" s="53" t="n">
        <v>0</v>
      </c>
      <c r="AR2289" s="52" t="n">
        <v>0</v>
      </c>
      <c r="AS2289" s="51" t="n">
        <v>0</v>
      </c>
      <c r="AT2289" s="48" t="n">
        <v>0</v>
      </c>
      <c r="AU2289" s="49" t="n">
        <v>0</v>
      </c>
      <c r="AV2289" s="49" t="n">
        <v>0</v>
      </c>
      <c r="AW2289" s="50" t="n">
        <v>0</v>
      </c>
      <c r="AX2289" s="51" t="n">
        <v>0</v>
      </c>
      <c r="AY2289" s="52" t="n">
        <v>0</v>
      </c>
      <c r="AZ2289" s="52" t="n">
        <v>0</v>
      </c>
      <c r="BA2289" s="52" t="n">
        <v>0</v>
      </c>
      <c r="BB2289" s="53" t="n">
        <v>0</v>
      </c>
      <c r="BC2289" s="52" t="n">
        <v>0</v>
      </c>
      <c r="BD2289" s="53" t="n">
        <v>0</v>
      </c>
      <c r="BE2289" s="52" t="n">
        <v>0</v>
      </c>
      <c r="BF2289" s="51" t="n">
        <v>0</v>
      </c>
    </row>
    <row r="2290">
      <c r="A2290">
        <f>HYPERLINK("https://www.walmart.com/ip/1665653858", "1665653858")</f>
        <v/>
      </c>
      <c r="B2290" t="inlineStr">
        <is>
          <t>Catalonia Oversized Hoodie Blanket with Zipper, Wearable Sherpa Sweatshirt Pullover, Soft Warm Comfortable Jacket for Adults Men Women, Blue</t>
        </is>
      </c>
      <c r="C2290" t="inlineStr">
        <is>
          <t>1CTHD220BL</t>
        </is>
      </c>
      <c r="D2290" t="inlineStr">
        <is>
          <t>Throws</t>
        </is>
      </c>
      <c r="E2290" t="inlineStr">
        <is>
          <t>Catalonia</t>
        </is>
      </c>
      <c r="F2290" t="inlineStr">
        <is>
          <t>Batch 1 - TR</t>
        </is>
      </c>
      <c r="G2290" s="48" t="n">
        <v>0</v>
      </c>
      <c r="H2290" s="49" t="n">
        <v>0</v>
      </c>
      <c r="I2290" s="49" t="n">
        <v>0</v>
      </c>
      <c r="J2290" s="50" t="n">
        <v>0</v>
      </c>
      <c r="K2290" s="51" t="n">
        <v>0</v>
      </c>
      <c r="L2290" s="52" t="n">
        <v>0</v>
      </c>
      <c r="M2290" s="52" t="n">
        <v>0</v>
      </c>
      <c r="N2290" s="52" t="n">
        <v>0</v>
      </c>
      <c r="O2290" s="53" t="n">
        <v>0</v>
      </c>
      <c r="P2290" s="52" t="n">
        <v>0</v>
      </c>
      <c r="Q2290" s="53" t="n">
        <v>0</v>
      </c>
      <c r="R2290" s="52" t="n">
        <v>0</v>
      </c>
      <c r="S2290" s="51" t="n">
        <v>0</v>
      </c>
      <c r="T2290" s="48" t="n">
        <v>0</v>
      </c>
      <c r="U2290" s="49" t="n">
        <v>0</v>
      </c>
      <c r="V2290" s="49" t="n">
        <v>0</v>
      </c>
      <c r="W2290" s="50" t="n">
        <v>0</v>
      </c>
      <c r="X2290" s="51" t="n">
        <v>0</v>
      </c>
      <c r="Y2290" s="52" t="n">
        <v>0</v>
      </c>
      <c r="Z2290" s="52" t="n">
        <v>0</v>
      </c>
      <c r="AA2290" s="52" t="n">
        <v>0</v>
      </c>
      <c r="AB2290" s="53" t="n">
        <v>0</v>
      </c>
      <c r="AC2290" s="52" t="n">
        <v>0</v>
      </c>
      <c r="AD2290" s="53" t="n">
        <v>0</v>
      </c>
      <c r="AE2290" s="52" t="n">
        <v>0</v>
      </c>
      <c r="AF2290" s="51" t="n">
        <v>0</v>
      </c>
      <c r="AG2290" s="48" t="n">
        <v>0</v>
      </c>
      <c r="AH2290" s="49" t="n">
        <v>0</v>
      </c>
      <c r="AI2290" s="49" t="n">
        <v>0</v>
      </c>
      <c r="AJ2290" s="50" t="n">
        <v>0</v>
      </c>
      <c r="AK2290" s="51" t="n">
        <v>0</v>
      </c>
      <c r="AL2290" s="52" t="n">
        <v>0</v>
      </c>
      <c r="AM2290" s="52" t="n">
        <v>0</v>
      </c>
      <c r="AN2290" s="52" t="n">
        <v>0</v>
      </c>
      <c r="AO2290" s="53" t="n">
        <v>0</v>
      </c>
      <c r="AP2290" s="52" t="n">
        <v>0</v>
      </c>
      <c r="AQ2290" s="53" t="n">
        <v>0</v>
      </c>
      <c r="AR2290" s="52" t="n">
        <v>0</v>
      </c>
      <c r="AS2290" s="51" t="n">
        <v>0</v>
      </c>
      <c r="AT2290" s="48" t="n">
        <v>0</v>
      </c>
      <c r="AU2290" s="49" t="n">
        <v>0</v>
      </c>
      <c r="AV2290" s="49" t="n">
        <v>0</v>
      </c>
      <c r="AW2290" s="50" t="n">
        <v>0</v>
      </c>
      <c r="AX2290" s="51" t="n">
        <v>0</v>
      </c>
      <c r="AY2290" s="52" t="n">
        <v>0</v>
      </c>
      <c r="AZ2290" s="52" t="n">
        <v>0</v>
      </c>
      <c r="BA2290" s="52" t="n">
        <v>0</v>
      </c>
      <c r="BB2290" s="53" t="n">
        <v>0</v>
      </c>
      <c r="BC2290" s="52" t="n">
        <v>0</v>
      </c>
      <c r="BD2290" s="53" t="n">
        <v>0</v>
      </c>
      <c r="BE2290" s="52" t="n">
        <v>0</v>
      </c>
      <c r="BF2290" s="51" t="n">
        <v>0</v>
      </c>
    </row>
    <row r="2291">
      <c r="A2291">
        <f>HYPERLINK("https://www.walmart.com/ip/166402793", "166402793")</f>
        <v/>
      </c>
      <c r="B2291" t="inlineStr">
        <is>
          <t>JenniWears Womens Crotchless Strappy Shoulder Fishnet Chemise Dress</t>
        </is>
      </c>
      <c r="C2291" t="inlineStr">
        <is>
          <t>JWBS8831</t>
        </is>
      </c>
      <c r="D2291" t="inlineStr">
        <is>
          <t>Other Underwear &amp; Lingerie Accessories</t>
        </is>
      </c>
      <c r="E2291" t="inlineStr">
        <is>
          <t>JenniWears</t>
        </is>
      </c>
      <c r="F2291" t="inlineStr">
        <is>
          <t>Valentine</t>
        </is>
      </c>
      <c r="G2291" s="48" t="n">
        <v>0</v>
      </c>
      <c r="H2291" s="49" t="n">
        <v>0</v>
      </c>
      <c r="I2291" s="49" t="n">
        <v>0</v>
      </c>
      <c r="J2291" s="50" t="n">
        <v>0</v>
      </c>
      <c r="K2291" s="51" t="n">
        <v>0</v>
      </c>
      <c r="L2291" s="52" t="n">
        <v>0</v>
      </c>
      <c r="M2291" s="52" t="n">
        <v>0</v>
      </c>
      <c r="N2291" s="52" t="n">
        <v>0</v>
      </c>
      <c r="O2291" s="53" t="n">
        <v>0</v>
      </c>
      <c r="P2291" s="52" t="n">
        <v>0</v>
      </c>
      <c r="Q2291" s="53" t="n">
        <v>0</v>
      </c>
      <c r="R2291" s="52" t="n">
        <v>0</v>
      </c>
      <c r="S2291" s="51" t="n">
        <v>0</v>
      </c>
      <c r="T2291" s="48" t="n">
        <v>0</v>
      </c>
      <c r="U2291" s="49" t="n">
        <v>0</v>
      </c>
      <c r="V2291" s="49" t="n">
        <v>0</v>
      </c>
      <c r="W2291" s="50" t="n">
        <v>0</v>
      </c>
      <c r="X2291" s="51" t="n">
        <v>0</v>
      </c>
      <c r="Y2291" s="52" t="n">
        <v>0</v>
      </c>
      <c r="Z2291" s="52" t="n">
        <v>0</v>
      </c>
      <c r="AA2291" s="52" t="n">
        <v>0</v>
      </c>
      <c r="AB2291" s="53" t="n">
        <v>0</v>
      </c>
      <c r="AC2291" s="52" t="n">
        <v>0</v>
      </c>
      <c r="AD2291" s="53" t="n">
        <v>0</v>
      </c>
      <c r="AE2291" s="52" t="n">
        <v>0</v>
      </c>
      <c r="AF2291" s="51" t="n">
        <v>0</v>
      </c>
      <c r="AG2291" s="48" t="n">
        <v>0</v>
      </c>
      <c r="AH2291" s="49" t="n">
        <v>0</v>
      </c>
      <c r="AI2291" s="49" t="n">
        <v>0</v>
      </c>
      <c r="AJ2291" s="50" t="n">
        <v>0</v>
      </c>
      <c r="AK2291" s="51" t="n">
        <v>0</v>
      </c>
      <c r="AL2291" s="52" t="n">
        <v>0</v>
      </c>
      <c r="AM2291" s="52" t="n">
        <v>0</v>
      </c>
      <c r="AN2291" s="52" t="n">
        <v>0</v>
      </c>
      <c r="AO2291" s="53" t="n">
        <v>0</v>
      </c>
      <c r="AP2291" s="52" t="n">
        <v>0</v>
      </c>
      <c r="AQ2291" s="53" t="n">
        <v>0</v>
      </c>
      <c r="AR2291" s="52" t="n">
        <v>0</v>
      </c>
      <c r="AS2291" s="51" t="n">
        <v>0</v>
      </c>
      <c r="AT2291" s="48" t="n">
        <v>0</v>
      </c>
      <c r="AU2291" s="49" t="n">
        <v>0</v>
      </c>
      <c r="AV2291" s="49" t="n">
        <v>0</v>
      </c>
      <c r="AW2291" s="50" t="n">
        <v>0</v>
      </c>
      <c r="AX2291" s="51" t="n">
        <v>0</v>
      </c>
      <c r="AY2291" s="52" t="n">
        <v>0</v>
      </c>
      <c r="AZ2291" s="52" t="n">
        <v>0</v>
      </c>
      <c r="BA2291" s="52" t="n">
        <v>0</v>
      </c>
      <c r="BB2291" s="53" t="n">
        <v>0</v>
      </c>
      <c r="BC2291" s="52" t="n">
        <v>0</v>
      </c>
      <c r="BD2291" s="53" t="n">
        <v>0</v>
      </c>
      <c r="BE2291" s="52" t="n">
        <v>0</v>
      </c>
      <c r="BF2291" s="51" t="n">
        <v>0</v>
      </c>
    </row>
    <row r="2292">
      <c r="A2292">
        <f>HYPERLINK("https://www.walmart.com/ip/162169578", "162169578")</f>
        <v/>
      </c>
      <c r="B2292" t="inlineStr">
        <is>
          <t>KC Caps® Cotton Twill Deluxe Super Soft Mesh Adjustable Snapback Low Profile Trucker Baseball Cap</t>
        </is>
      </c>
      <c r="C2292" t="inlineStr">
        <is>
          <t>KCCAPSSZK641BR/ST</t>
        </is>
      </c>
      <c r="D2292" t="inlineStr">
        <is>
          <t>Hats</t>
        </is>
      </c>
      <c r="E2292" t="inlineStr">
        <is>
          <t>KC Caps</t>
        </is>
      </c>
      <c r="F2292" t="inlineStr">
        <is>
          <t>Optimized</t>
        </is>
      </c>
      <c r="G2292" s="48" t="n">
        <v>0</v>
      </c>
      <c r="H2292" s="49" t="n">
        <v>0</v>
      </c>
      <c r="I2292" s="49" t="n">
        <v>0</v>
      </c>
      <c r="J2292" s="50" t="n">
        <v>0</v>
      </c>
      <c r="K2292" s="51" t="n">
        <v>0</v>
      </c>
      <c r="L2292" s="52" t="n">
        <v>0</v>
      </c>
      <c r="M2292" s="52" t="n">
        <v>0</v>
      </c>
      <c r="N2292" s="52" t="n">
        <v>0</v>
      </c>
      <c r="O2292" s="53" t="n">
        <v>0</v>
      </c>
      <c r="P2292" s="52" t="n">
        <v>0</v>
      </c>
      <c r="Q2292" s="53" t="n">
        <v>0</v>
      </c>
      <c r="R2292" s="52" t="n">
        <v>0</v>
      </c>
      <c r="S2292" s="51" t="n">
        <v>0</v>
      </c>
      <c r="T2292" s="48" t="n">
        <v>0</v>
      </c>
      <c r="U2292" s="49" t="n">
        <v>0</v>
      </c>
      <c r="V2292" s="49" t="n">
        <v>0</v>
      </c>
      <c r="W2292" s="50" t="n">
        <v>0</v>
      </c>
      <c r="X2292" s="51" t="n">
        <v>0</v>
      </c>
      <c r="Y2292" s="52" t="n">
        <v>0</v>
      </c>
      <c r="Z2292" s="52" t="n">
        <v>0</v>
      </c>
      <c r="AA2292" s="52" t="n">
        <v>0</v>
      </c>
      <c r="AB2292" s="53" t="n">
        <v>0</v>
      </c>
      <c r="AC2292" s="52" t="n">
        <v>0</v>
      </c>
      <c r="AD2292" s="53" t="n">
        <v>0</v>
      </c>
      <c r="AE2292" s="52" t="n">
        <v>0</v>
      </c>
      <c r="AF2292" s="51" t="n">
        <v>0</v>
      </c>
      <c r="AG2292" s="48" t="n">
        <v>0</v>
      </c>
      <c r="AH2292" s="49" t="n">
        <v>0</v>
      </c>
      <c r="AI2292" s="49" t="n">
        <v>0</v>
      </c>
      <c r="AJ2292" s="50" t="n">
        <v>0</v>
      </c>
      <c r="AK2292" s="51" t="n">
        <v>0</v>
      </c>
      <c r="AL2292" s="52" t="n">
        <v>0</v>
      </c>
      <c r="AM2292" s="52" t="n">
        <v>0</v>
      </c>
      <c r="AN2292" s="52" t="n">
        <v>0</v>
      </c>
      <c r="AO2292" s="53" t="n">
        <v>0</v>
      </c>
      <c r="AP2292" s="52" t="n">
        <v>0</v>
      </c>
      <c r="AQ2292" s="53" t="n">
        <v>0</v>
      </c>
      <c r="AR2292" s="52" t="n">
        <v>0</v>
      </c>
      <c r="AS2292" s="51" t="n">
        <v>0</v>
      </c>
      <c r="AT2292" s="48" t="n">
        <v>0</v>
      </c>
      <c r="AU2292" s="49" t="n">
        <v>0</v>
      </c>
      <c r="AV2292" s="49" t="n">
        <v>0</v>
      </c>
      <c r="AW2292" s="50" t="n">
        <v>0</v>
      </c>
      <c r="AX2292" s="51" t="n">
        <v>0</v>
      </c>
      <c r="AY2292" s="52" t="n">
        <v>0</v>
      </c>
      <c r="AZ2292" s="52" t="n">
        <v>0</v>
      </c>
      <c r="BA2292" s="52" t="n">
        <v>0</v>
      </c>
      <c r="BB2292" s="53" t="n">
        <v>0</v>
      </c>
      <c r="BC2292" s="52" t="n">
        <v>0</v>
      </c>
      <c r="BD2292" s="53" t="n">
        <v>0</v>
      </c>
      <c r="BE2292" s="52" t="n">
        <v>0</v>
      </c>
      <c r="BF2292" s="51" t="n">
        <v>0</v>
      </c>
    </row>
    <row r="2293">
      <c r="A2293">
        <f>HYPERLINK("https://www.walmart.com/ip/16241624282", "16241624282")</f>
        <v/>
      </c>
      <c r="B2293" t="inlineStr">
        <is>
          <t>Tirrinia 2 In 1 Outdoors UPF 50+ UV Protection Sun Hat for Women, One Size Female Sports Baseball Cap Gardening Fishing Hat with Neck Flap, Blue</t>
        </is>
      </c>
      <c r="C2293" t="inlineStr">
        <is>
          <t>1TRSH9153BL</t>
        </is>
      </c>
      <c r="D2293" t="inlineStr">
        <is>
          <t>Hats</t>
        </is>
      </c>
      <c r="E2293" t="inlineStr">
        <is>
          <t>Tirrinia</t>
        </is>
      </c>
      <c r="G2293" s="48" t="n">
        <v>0</v>
      </c>
      <c r="H2293" s="49" t="n">
        <v>0</v>
      </c>
      <c r="I2293" s="49" t="n">
        <v>0</v>
      </c>
      <c r="J2293" s="50" t="n">
        <v>0</v>
      </c>
      <c r="K2293" s="51" t="n">
        <v>0</v>
      </c>
      <c r="L2293" s="52" t="n">
        <v>0</v>
      </c>
      <c r="M2293" s="52" t="n">
        <v>0</v>
      </c>
      <c r="N2293" s="52" t="n">
        <v>0</v>
      </c>
      <c r="O2293" s="53" t="n">
        <v>0</v>
      </c>
      <c r="P2293" s="52" t="n">
        <v>0</v>
      </c>
      <c r="Q2293" s="53" t="n">
        <v>0</v>
      </c>
      <c r="R2293" s="52" t="n">
        <v>0</v>
      </c>
      <c r="S2293" s="51" t="n">
        <v>0</v>
      </c>
      <c r="T2293" s="48" t="n">
        <v>0</v>
      </c>
      <c r="U2293" s="49" t="n">
        <v>0</v>
      </c>
      <c r="V2293" s="49" t="n">
        <v>0</v>
      </c>
      <c r="W2293" s="50" t="n">
        <v>0</v>
      </c>
      <c r="X2293" s="51" t="n">
        <v>0</v>
      </c>
      <c r="Y2293" s="52" t="n">
        <v>0</v>
      </c>
      <c r="Z2293" s="52" t="n">
        <v>0</v>
      </c>
      <c r="AA2293" s="52" t="n">
        <v>0</v>
      </c>
      <c r="AB2293" s="53" t="n">
        <v>0</v>
      </c>
      <c r="AC2293" s="52" t="n">
        <v>0</v>
      </c>
      <c r="AD2293" s="53" t="n">
        <v>0</v>
      </c>
      <c r="AE2293" s="52" t="n">
        <v>0</v>
      </c>
      <c r="AF2293" s="51" t="n">
        <v>0</v>
      </c>
      <c r="AG2293" s="48" t="n">
        <v>0</v>
      </c>
      <c r="AH2293" s="49" t="n">
        <v>0</v>
      </c>
      <c r="AI2293" s="49" t="n">
        <v>0</v>
      </c>
      <c r="AJ2293" s="50" t="n">
        <v>0</v>
      </c>
      <c r="AK2293" s="51" t="n">
        <v>0</v>
      </c>
      <c r="AL2293" s="52" t="n">
        <v>0</v>
      </c>
      <c r="AM2293" s="52" t="n">
        <v>0</v>
      </c>
      <c r="AN2293" s="52" t="n">
        <v>0</v>
      </c>
      <c r="AO2293" s="53" t="n">
        <v>0</v>
      </c>
      <c r="AP2293" s="52" t="n">
        <v>0</v>
      </c>
      <c r="AQ2293" s="53" t="n">
        <v>0</v>
      </c>
      <c r="AR2293" s="52" t="n">
        <v>0</v>
      </c>
      <c r="AS2293" s="51" t="n">
        <v>0</v>
      </c>
      <c r="AT2293" s="48" t="n">
        <v>0</v>
      </c>
      <c r="AU2293" s="49" t="n">
        <v>0</v>
      </c>
      <c r="AV2293" s="49" t="n">
        <v>0</v>
      </c>
      <c r="AW2293" s="50" t="n">
        <v>0</v>
      </c>
      <c r="AX2293" s="51" t="n">
        <v>0</v>
      </c>
      <c r="AY2293" s="52" t="n">
        <v>0</v>
      </c>
      <c r="AZ2293" s="52" t="n">
        <v>0</v>
      </c>
      <c r="BA2293" s="52" t="n">
        <v>0</v>
      </c>
      <c r="BB2293" s="53" t="n">
        <v>0</v>
      </c>
      <c r="BC2293" s="52" t="n">
        <v>0</v>
      </c>
      <c r="BD2293" s="53" t="n">
        <v>0</v>
      </c>
      <c r="BE2293" s="52" t="n">
        <v>0</v>
      </c>
      <c r="BF2293" s="51" t="n">
        <v>0</v>
      </c>
    </row>
    <row r="2294">
      <c r="A2294">
        <f>HYPERLINK("https://www.walmart.com/ip/1628058296", "1628058296")</f>
        <v/>
      </c>
      <c r="B2294" t="inlineStr">
        <is>
          <t>Tirrinia Small Portable Reusable Thermal Insulated Lunch Bag To Keep Your Snacks,Drinks And Meals At A Consistent Temperature For Adult Kids,Green</t>
        </is>
      </c>
      <c r="C2294" t="inlineStr">
        <is>
          <t>1TRLB100GN</t>
        </is>
      </c>
      <c r="D2294" t="inlineStr">
        <is>
          <t>Reusable Lunch Bags &amp; Boxes</t>
        </is>
      </c>
      <c r="E2294" t="inlineStr">
        <is>
          <t>Tirrinia</t>
        </is>
      </c>
      <c r="F2294" t="inlineStr">
        <is>
          <t>Q2-Target,Brand Camp VD,Batch 1 - TR</t>
        </is>
      </c>
      <c r="G2294" s="48" t="n">
        <v>0</v>
      </c>
      <c r="H2294" s="49" t="n">
        <v>0</v>
      </c>
      <c r="I2294" s="49" t="n">
        <v>4</v>
      </c>
      <c r="J2294" s="50" t="n">
        <v>0</v>
      </c>
      <c r="K2294" s="51" t="n">
        <v>0</v>
      </c>
      <c r="L2294" s="52" t="n">
        <v>0</v>
      </c>
      <c r="M2294" s="52" t="n">
        <v>0</v>
      </c>
      <c r="N2294" s="52" t="n">
        <v>0</v>
      </c>
      <c r="O2294" s="53" t="n">
        <v>0</v>
      </c>
      <c r="P2294" s="52" t="n">
        <v>0</v>
      </c>
      <c r="Q2294" s="53" t="n">
        <v>0</v>
      </c>
      <c r="R2294" s="52" t="n">
        <v>0</v>
      </c>
      <c r="S2294" s="51" t="n">
        <v>0</v>
      </c>
      <c r="T2294" s="48" t="n">
        <v>17.99</v>
      </c>
      <c r="U2294" s="49" t="n">
        <v>1</v>
      </c>
      <c r="V2294" s="49" t="n">
        <v>6</v>
      </c>
      <c r="W2294" s="50" t="n">
        <v>0.1666666666666667</v>
      </c>
      <c r="X2294" s="51" t="n">
        <v>0</v>
      </c>
      <c r="Y2294" s="52" t="n">
        <v>0</v>
      </c>
      <c r="Z2294" s="52" t="n">
        <v>0</v>
      </c>
      <c r="AA2294" s="52" t="n">
        <v>0</v>
      </c>
      <c r="AB2294" s="53" t="n">
        <v>0</v>
      </c>
      <c r="AC2294" s="52" t="n">
        <v>0</v>
      </c>
      <c r="AD2294" s="53" t="n">
        <v>0</v>
      </c>
      <c r="AE2294" s="52" t="n">
        <v>17.99</v>
      </c>
      <c r="AF2294" s="51" t="n">
        <v>0</v>
      </c>
      <c r="AG2294" s="48" t="n">
        <v>17.99</v>
      </c>
      <c r="AH2294" s="49" t="n">
        <v>1</v>
      </c>
      <c r="AI2294" s="49" t="n">
        <v>5</v>
      </c>
      <c r="AJ2294" s="50" t="n">
        <v>0.2</v>
      </c>
      <c r="AK2294" s="51" t="n">
        <v>0</v>
      </c>
      <c r="AL2294" s="52" t="n">
        <v>0</v>
      </c>
      <c r="AM2294" s="52" t="n">
        <v>0</v>
      </c>
      <c r="AN2294" s="52" t="n">
        <v>0</v>
      </c>
      <c r="AO2294" s="53" t="n">
        <v>0</v>
      </c>
      <c r="AP2294" s="52" t="n">
        <v>0</v>
      </c>
      <c r="AQ2294" s="53" t="n">
        <v>0</v>
      </c>
      <c r="AR2294" s="52" t="n">
        <v>17.99</v>
      </c>
      <c r="AS2294" s="51" t="n">
        <v>0</v>
      </c>
      <c r="AT2294" s="48" t="n">
        <v>17.99</v>
      </c>
      <c r="AU2294" s="49" t="n">
        <v>1</v>
      </c>
      <c r="AV2294" s="49" t="n">
        <v>7</v>
      </c>
      <c r="AW2294" s="50" t="n">
        <v>0.1428571428571428</v>
      </c>
      <c r="AX2294" s="51" t="n">
        <v>0</v>
      </c>
      <c r="AY2294" s="52" t="n">
        <v>0</v>
      </c>
      <c r="AZ2294" s="52" t="n">
        <v>0</v>
      </c>
      <c r="BA2294" s="52" t="n">
        <v>0</v>
      </c>
      <c r="BB2294" s="53" t="n">
        <v>0</v>
      </c>
      <c r="BC2294" s="52" t="n">
        <v>0</v>
      </c>
      <c r="BD2294" s="53" t="n">
        <v>0</v>
      </c>
      <c r="BE2294" s="52" t="n">
        <v>17.99</v>
      </c>
      <c r="BF2294" s="51" t="n">
        <v>0</v>
      </c>
    </row>
    <row r="2295">
      <c r="A2295">
        <f>HYPERLINK("https://www.walmart.com/ip/16286824662", "16286824662")</f>
        <v/>
      </c>
      <c r="B2295" t="inlineStr">
        <is>
          <t>Tirrinia Fleec Wearable Travel Blanket with Foot Pockets for Women &amp; Men | Zippered Front Pocket | Super Soft Lightweight &amp; Cozy Throw Blanket for Adults, One Size Fits All, Aqua Honeycomb</t>
        </is>
      </c>
      <c r="C2295" t="inlineStr">
        <is>
          <t>1TRTB102AQHCB</t>
        </is>
      </c>
      <c r="D2295" t="inlineStr">
        <is>
          <t>Throws</t>
        </is>
      </c>
      <c r="E2295" t="inlineStr">
        <is>
          <t>Tirrinia</t>
        </is>
      </c>
      <c r="G2295" s="48" t="n">
        <v>0</v>
      </c>
      <c r="H2295" s="49" t="n">
        <v>0</v>
      </c>
      <c r="I2295" s="49" t="n">
        <v>0</v>
      </c>
      <c r="J2295" s="50" t="n">
        <v>0</v>
      </c>
      <c r="K2295" s="51" t="n">
        <v>0</v>
      </c>
      <c r="L2295" s="52" t="n">
        <v>0</v>
      </c>
      <c r="M2295" s="52" t="n">
        <v>0</v>
      </c>
      <c r="N2295" s="52" t="n">
        <v>0</v>
      </c>
      <c r="O2295" s="53" t="n">
        <v>0</v>
      </c>
      <c r="P2295" s="52" t="n">
        <v>0</v>
      </c>
      <c r="Q2295" s="53" t="n">
        <v>0</v>
      </c>
      <c r="R2295" s="52" t="n">
        <v>0</v>
      </c>
      <c r="S2295" s="51" t="n">
        <v>0</v>
      </c>
      <c r="T2295" s="48" t="n">
        <v>0</v>
      </c>
      <c r="U2295" s="49" t="n">
        <v>0</v>
      </c>
      <c r="V2295" s="49" t="n">
        <v>0</v>
      </c>
      <c r="W2295" s="50" t="n">
        <v>0</v>
      </c>
      <c r="X2295" s="51" t="n">
        <v>0</v>
      </c>
      <c r="Y2295" s="52" t="n">
        <v>0</v>
      </c>
      <c r="Z2295" s="52" t="n">
        <v>0</v>
      </c>
      <c r="AA2295" s="52" t="n">
        <v>0</v>
      </c>
      <c r="AB2295" s="53" t="n">
        <v>0</v>
      </c>
      <c r="AC2295" s="52" t="n">
        <v>0</v>
      </c>
      <c r="AD2295" s="53" t="n">
        <v>0</v>
      </c>
      <c r="AE2295" s="52" t="n">
        <v>0</v>
      </c>
      <c r="AF2295" s="51" t="n">
        <v>0</v>
      </c>
      <c r="AG2295" s="48" t="n">
        <v>0</v>
      </c>
      <c r="AH2295" s="49" t="n">
        <v>0</v>
      </c>
      <c r="AI2295" s="49" t="n">
        <v>0</v>
      </c>
      <c r="AJ2295" s="50" t="n">
        <v>0</v>
      </c>
      <c r="AK2295" s="51" t="n">
        <v>0</v>
      </c>
      <c r="AL2295" s="52" t="n">
        <v>0</v>
      </c>
      <c r="AM2295" s="52" t="n">
        <v>0</v>
      </c>
      <c r="AN2295" s="52" t="n">
        <v>0</v>
      </c>
      <c r="AO2295" s="53" t="n">
        <v>0</v>
      </c>
      <c r="AP2295" s="52" t="n">
        <v>0</v>
      </c>
      <c r="AQ2295" s="53" t="n">
        <v>0</v>
      </c>
      <c r="AR2295" s="52" t="n">
        <v>0</v>
      </c>
      <c r="AS2295" s="51" t="n">
        <v>0</v>
      </c>
      <c r="AT2295" s="48" t="n">
        <v>0</v>
      </c>
      <c r="AU2295" s="49" t="n">
        <v>0</v>
      </c>
      <c r="AV2295" s="49" t="n">
        <v>0</v>
      </c>
      <c r="AW2295" s="50" t="n">
        <v>0</v>
      </c>
      <c r="AX2295" s="51" t="n">
        <v>0</v>
      </c>
      <c r="AY2295" s="52" t="n">
        <v>0</v>
      </c>
      <c r="AZ2295" s="52" t="n">
        <v>0</v>
      </c>
      <c r="BA2295" s="52" t="n">
        <v>0</v>
      </c>
      <c r="BB2295" s="53" t="n">
        <v>0</v>
      </c>
      <c r="BC2295" s="52" t="n">
        <v>0</v>
      </c>
      <c r="BD2295" s="53" t="n">
        <v>0</v>
      </c>
      <c r="BE2295" s="52" t="n">
        <v>0</v>
      </c>
      <c r="BF2295" s="51" t="n">
        <v>0</v>
      </c>
    </row>
    <row r="2296">
      <c r="A2296">
        <f>HYPERLINK("https://www.walmart.com/ip/16301800897", "16301800897")</f>
        <v/>
      </c>
      <c r="B2296" t="inlineStr">
        <is>
          <t>Tirrinia Fleec Wearable Travel Blanket with Foot Pockets for Women &amp; Men | Zippered Front Pocket | Super Soft Lightweight &amp; Cozy Throw Blanket for Adults, One Size Fits All, Grey Honeycomb</t>
        </is>
      </c>
      <c r="C2296" t="inlineStr">
        <is>
          <t>1TRTB102GYHCB</t>
        </is>
      </c>
      <c r="D2296" t="inlineStr">
        <is>
          <t>Throws</t>
        </is>
      </c>
      <c r="E2296" t="inlineStr">
        <is>
          <t>Tirrinia</t>
        </is>
      </c>
      <c r="G2296" s="48" t="n">
        <v>0</v>
      </c>
      <c r="H2296" s="49" t="n">
        <v>0</v>
      </c>
      <c r="I2296" s="49" t="n">
        <v>0</v>
      </c>
      <c r="J2296" s="50" t="n">
        <v>0</v>
      </c>
      <c r="K2296" s="51" t="n">
        <v>0</v>
      </c>
      <c r="L2296" s="52" t="n">
        <v>0</v>
      </c>
      <c r="M2296" s="52" t="n">
        <v>0</v>
      </c>
      <c r="N2296" s="52" t="n">
        <v>0</v>
      </c>
      <c r="O2296" s="53" t="n">
        <v>0</v>
      </c>
      <c r="P2296" s="52" t="n">
        <v>0</v>
      </c>
      <c r="Q2296" s="53" t="n">
        <v>0</v>
      </c>
      <c r="R2296" s="52" t="n">
        <v>0</v>
      </c>
      <c r="S2296" s="51" t="n">
        <v>0</v>
      </c>
      <c r="T2296" s="48" t="n">
        <v>0</v>
      </c>
      <c r="U2296" s="49" t="n">
        <v>0</v>
      </c>
      <c r="V2296" s="49" t="n">
        <v>0</v>
      </c>
      <c r="W2296" s="50" t="n">
        <v>0</v>
      </c>
      <c r="X2296" s="51" t="n">
        <v>0</v>
      </c>
      <c r="Y2296" s="52" t="n">
        <v>0</v>
      </c>
      <c r="Z2296" s="52" t="n">
        <v>0</v>
      </c>
      <c r="AA2296" s="52" t="n">
        <v>0</v>
      </c>
      <c r="AB2296" s="53" t="n">
        <v>0</v>
      </c>
      <c r="AC2296" s="52" t="n">
        <v>0</v>
      </c>
      <c r="AD2296" s="53" t="n">
        <v>0</v>
      </c>
      <c r="AE2296" s="52" t="n">
        <v>0</v>
      </c>
      <c r="AF2296" s="51" t="n">
        <v>0</v>
      </c>
      <c r="AG2296" s="48" t="n">
        <v>0</v>
      </c>
      <c r="AH2296" s="49" t="n">
        <v>0</v>
      </c>
      <c r="AI2296" s="49" t="n">
        <v>0</v>
      </c>
      <c r="AJ2296" s="50" t="n">
        <v>0</v>
      </c>
      <c r="AK2296" s="51" t="n">
        <v>0</v>
      </c>
      <c r="AL2296" s="52" t="n">
        <v>0</v>
      </c>
      <c r="AM2296" s="52" t="n">
        <v>0</v>
      </c>
      <c r="AN2296" s="52" t="n">
        <v>0</v>
      </c>
      <c r="AO2296" s="53" t="n">
        <v>0</v>
      </c>
      <c r="AP2296" s="52" t="n">
        <v>0</v>
      </c>
      <c r="AQ2296" s="53" t="n">
        <v>0</v>
      </c>
      <c r="AR2296" s="52" t="n">
        <v>0</v>
      </c>
      <c r="AS2296" s="51" t="n">
        <v>0</v>
      </c>
      <c r="AT2296" s="48" t="n">
        <v>0</v>
      </c>
      <c r="AU2296" s="49" t="n">
        <v>0</v>
      </c>
      <c r="AV2296" s="49" t="n">
        <v>0</v>
      </c>
      <c r="AW2296" s="50" t="n">
        <v>0</v>
      </c>
      <c r="AX2296" s="51" t="n">
        <v>0</v>
      </c>
      <c r="AY2296" s="52" t="n">
        <v>0</v>
      </c>
      <c r="AZ2296" s="52" t="n">
        <v>0</v>
      </c>
      <c r="BA2296" s="52" t="n">
        <v>0</v>
      </c>
      <c r="BB2296" s="53" t="n">
        <v>0</v>
      </c>
      <c r="BC2296" s="52" t="n">
        <v>0</v>
      </c>
      <c r="BD2296" s="53" t="n">
        <v>0</v>
      </c>
      <c r="BE2296" s="52" t="n">
        <v>0</v>
      </c>
      <c r="BF2296" s="51" t="n">
        <v>0</v>
      </c>
    </row>
    <row r="2297">
      <c r="A2297">
        <f>HYPERLINK("https://www.walmart.com/ip/16301850024", "16301850024")</f>
        <v/>
      </c>
      <c r="B2297" t="inlineStr">
        <is>
          <t>Tirrinia Beach Lounge Chair Cover, Portable Chaise Beach Towel, Sunbathing for Beach Pool Patio Garden Courtyard Outdoor Trips, 31 x 78 inch BLUE + Stripe</t>
        </is>
      </c>
      <c r="C2297" t="inlineStr">
        <is>
          <t>1TRBM20237BLSTR</t>
        </is>
      </c>
      <c r="D2297" t="inlineStr">
        <is>
          <t>Patio Furniture Covers</t>
        </is>
      </c>
      <c r="E2297" t="inlineStr">
        <is>
          <t>Tirrinia</t>
        </is>
      </c>
      <c r="G2297" s="48" t="n">
        <v>0</v>
      </c>
      <c r="H2297" s="49" t="n">
        <v>0</v>
      </c>
      <c r="I2297" s="49" t="n">
        <v>0</v>
      </c>
      <c r="J2297" s="50" t="n">
        <v>0</v>
      </c>
      <c r="K2297" s="51" t="n">
        <v>0</v>
      </c>
      <c r="L2297" s="52" t="n">
        <v>0</v>
      </c>
      <c r="M2297" s="52" t="n">
        <v>0</v>
      </c>
      <c r="N2297" s="52" t="n">
        <v>0</v>
      </c>
      <c r="O2297" s="53" t="n">
        <v>0</v>
      </c>
      <c r="P2297" s="52" t="n">
        <v>0</v>
      </c>
      <c r="Q2297" s="53" t="n">
        <v>0</v>
      </c>
      <c r="R2297" s="52" t="n">
        <v>0</v>
      </c>
      <c r="S2297" s="51" t="n">
        <v>0</v>
      </c>
      <c r="T2297" s="48" t="n">
        <v>0</v>
      </c>
      <c r="U2297" s="49" t="n">
        <v>0</v>
      </c>
      <c r="V2297" s="49" t="n">
        <v>0</v>
      </c>
      <c r="W2297" s="50" t="n">
        <v>0</v>
      </c>
      <c r="X2297" s="51" t="n">
        <v>0</v>
      </c>
      <c r="Y2297" s="52" t="n">
        <v>0</v>
      </c>
      <c r="Z2297" s="52" t="n">
        <v>0</v>
      </c>
      <c r="AA2297" s="52" t="n">
        <v>0</v>
      </c>
      <c r="AB2297" s="53" t="n">
        <v>0</v>
      </c>
      <c r="AC2297" s="52" t="n">
        <v>0</v>
      </c>
      <c r="AD2297" s="53" t="n">
        <v>0</v>
      </c>
      <c r="AE2297" s="52" t="n">
        <v>0</v>
      </c>
      <c r="AF2297" s="51" t="n">
        <v>0</v>
      </c>
      <c r="AG2297" s="48" t="n">
        <v>0</v>
      </c>
      <c r="AH2297" s="49" t="n">
        <v>0</v>
      </c>
      <c r="AI2297" s="49" t="n">
        <v>0</v>
      </c>
      <c r="AJ2297" s="50" t="n">
        <v>0</v>
      </c>
      <c r="AK2297" s="51" t="n">
        <v>0</v>
      </c>
      <c r="AL2297" s="52" t="n">
        <v>0</v>
      </c>
      <c r="AM2297" s="52" t="n">
        <v>0</v>
      </c>
      <c r="AN2297" s="52" t="n">
        <v>0</v>
      </c>
      <c r="AO2297" s="53" t="n">
        <v>0</v>
      </c>
      <c r="AP2297" s="52" t="n">
        <v>0</v>
      </c>
      <c r="AQ2297" s="53" t="n">
        <v>0</v>
      </c>
      <c r="AR2297" s="52" t="n">
        <v>0</v>
      </c>
      <c r="AS2297" s="51" t="n">
        <v>0</v>
      </c>
      <c r="AT2297" s="48" t="n">
        <v>0</v>
      </c>
      <c r="AU2297" s="49" t="n">
        <v>0</v>
      </c>
      <c r="AV2297" s="49" t="n">
        <v>0</v>
      </c>
      <c r="AW2297" s="50" t="n">
        <v>0</v>
      </c>
      <c r="AX2297" s="51" t="n">
        <v>0</v>
      </c>
      <c r="AY2297" s="52" t="n">
        <v>0</v>
      </c>
      <c r="AZ2297" s="52" t="n">
        <v>0</v>
      </c>
      <c r="BA2297" s="52" t="n">
        <v>0</v>
      </c>
      <c r="BB2297" s="53" t="n">
        <v>0</v>
      </c>
      <c r="BC2297" s="52" t="n">
        <v>0</v>
      </c>
      <c r="BD2297" s="53" t="n">
        <v>0</v>
      </c>
      <c r="BE2297" s="52" t="n">
        <v>0</v>
      </c>
      <c r="BF2297" s="51" t="n">
        <v>0</v>
      </c>
    </row>
    <row r="2298">
      <c r="A2298">
        <f>HYPERLINK("https://www.walmart.com/ip/16315467560", "16315467560")</f>
        <v/>
      </c>
      <c r="B2298" t="inlineStr">
        <is>
          <t>Tirrinia Fleec Wearable Travel Blanket with Foot Pockets for Women &amp; Men | Zippered Front Pocket | Super Soft Lightweight &amp; Cozy Throw Blanket for Adults, One Size Fits All, Pink Honeycomb</t>
        </is>
      </c>
      <c r="C2298" t="inlineStr">
        <is>
          <t>1TRTB102PKHCB</t>
        </is>
      </c>
      <c r="D2298" t="inlineStr">
        <is>
          <t>Throws</t>
        </is>
      </c>
      <c r="E2298" t="inlineStr">
        <is>
          <t>Tirrinia</t>
        </is>
      </c>
      <c r="G2298" s="48" t="n">
        <v>0</v>
      </c>
      <c r="H2298" s="49" t="n">
        <v>0</v>
      </c>
      <c r="I2298" s="49" t="n">
        <v>0</v>
      </c>
      <c r="J2298" s="50" t="n">
        <v>0</v>
      </c>
      <c r="K2298" s="51" t="n">
        <v>0</v>
      </c>
      <c r="L2298" s="52" t="n">
        <v>0</v>
      </c>
      <c r="M2298" s="52" t="n">
        <v>0</v>
      </c>
      <c r="N2298" s="52" t="n">
        <v>0</v>
      </c>
      <c r="O2298" s="53" t="n">
        <v>0</v>
      </c>
      <c r="P2298" s="52" t="n">
        <v>0</v>
      </c>
      <c r="Q2298" s="53" t="n">
        <v>0</v>
      </c>
      <c r="R2298" s="52" t="n">
        <v>0</v>
      </c>
      <c r="S2298" s="51" t="n">
        <v>0</v>
      </c>
      <c r="T2298" s="48" t="n">
        <v>0</v>
      </c>
      <c r="U2298" s="49" t="n">
        <v>0</v>
      </c>
      <c r="V2298" s="49" t="n">
        <v>0</v>
      </c>
      <c r="W2298" s="50" t="n">
        <v>0</v>
      </c>
      <c r="X2298" s="51" t="n">
        <v>0</v>
      </c>
      <c r="Y2298" s="52" t="n">
        <v>0</v>
      </c>
      <c r="Z2298" s="52" t="n">
        <v>0</v>
      </c>
      <c r="AA2298" s="52" t="n">
        <v>0</v>
      </c>
      <c r="AB2298" s="53" t="n">
        <v>0</v>
      </c>
      <c r="AC2298" s="52" t="n">
        <v>0</v>
      </c>
      <c r="AD2298" s="53" t="n">
        <v>0</v>
      </c>
      <c r="AE2298" s="52" t="n">
        <v>0</v>
      </c>
      <c r="AF2298" s="51" t="n">
        <v>0</v>
      </c>
      <c r="AG2298" s="48" t="n">
        <v>0</v>
      </c>
      <c r="AH2298" s="49" t="n">
        <v>0</v>
      </c>
      <c r="AI2298" s="49" t="n">
        <v>0</v>
      </c>
      <c r="AJ2298" s="50" t="n">
        <v>0</v>
      </c>
      <c r="AK2298" s="51" t="n">
        <v>0</v>
      </c>
      <c r="AL2298" s="52" t="n">
        <v>0</v>
      </c>
      <c r="AM2298" s="52" t="n">
        <v>0</v>
      </c>
      <c r="AN2298" s="52" t="n">
        <v>0</v>
      </c>
      <c r="AO2298" s="53" t="n">
        <v>0</v>
      </c>
      <c r="AP2298" s="52" t="n">
        <v>0</v>
      </c>
      <c r="AQ2298" s="53" t="n">
        <v>0</v>
      </c>
      <c r="AR2298" s="52" t="n">
        <v>0</v>
      </c>
      <c r="AS2298" s="51" t="n">
        <v>0</v>
      </c>
      <c r="AT2298" s="48" t="n">
        <v>0</v>
      </c>
      <c r="AU2298" s="49" t="n">
        <v>0</v>
      </c>
      <c r="AV2298" s="49" t="n">
        <v>0</v>
      </c>
      <c r="AW2298" s="50" t="n">
        <v>0</v>
      </c>
      <c r="AX2298" s="51" t="n">
        <v>0</v>
      </c>
      <c r="AY2298" s="52" t="n">
        <v>0</v>
      </c>
      <c r="AZ2298" s="52" t="n">
        <v>0</v>
      </c>
      <c r="BA2298" s="52" t="n">
        <v>0</v>
      </c>
      <c r="BB2298" s="53" t="n">
        <v>0</v>
      </c>
      <c r="BC2298" s="52" t="n">
        <v>0</v>
      </c>
      <c r="BD2298" s="53" t="n">
        <v>0</v>
      </c>
      <c r="BE2298" s="52" t="n">
        <v>0</v>
      </c>
      <c r="BF2298" s="51" t="n">
        <v>0</v>
      </c>
    </row>
    <row r="2299">
      <c r="A2299">
        <f>HYPERLINK("https://www.walmart.com/ip/16315770596", "16315770596")</f>
        <v/>
      </c>
      <c r="B2299" t="inlineStr">
        <is>
          <t>Summer Caps for Men and Women Patriotic Independence Day USA Flag UV Protect  Adjustable Unisex Hats for Sports, Green</t>
        </is>
      </c>
      <c r="C2299" t="inlineStr">
        <is>
          <t>1TRBC100GN</t>
        </is>
      </c>
      <c r="D2299" t="inlineStr">
        <is>
          <t>Hats</t>
        </is>
      </c>
      <c r="E2299" t="inlineStr">
        <is>
          <t>Tirrinia</t>
        </is>
      </c>
      <c r="G2299" s="48" t="n">
        <v>0</v>
      </c>
      <c r="H2299" s="49" t="n">
        <v>0</v>
      </c>
      <c r="I2299" s="49" t="n">
        <v>0</v>
      </c>
      <c r="J2299" s="50" t="n">
        <v>0</v>
      </c>
      <c r="K2299" s="51" t="n">
        <v>0</v>
      </c>
      <c r="L2299" s="52" t="n">
        <v>0</v>
      </c>
      <c r="M2299" s="52" t="n">
        <v>0</v>
      </c>
      <c r="N2299" s="52" t="n">
        <v>0</v>
      </c>
      <c r="O2299" s="53" t="n">
        <v>0</v>
      </c>
      <c r="P2299" s="52" t="n">
        <v>0</v>
      </c>
      <c r="Q2299" s="53" t="n">
        <v>0</v>
      </c>
      <c r="R2299" s="52" t="n">
        <v>0</v>
      </c>
      <c r="S2299" s="51" t="n">
        <v>0</v>
      </c>
      <c r="T2299" s="48" t="n">
        <v>0</v>
      </c>
      <c r="U2299" s="49" t="n">
        <v>0</v>
      </c>
      <c r="V2299" s="49" t="n">
        <v>0</v>
      </c>
      <c r="W2299" s="50" t="n">
        <v>0</v>
      </c>
      <c r="X2299" s="51" t="n">
        <v>0</v>
      </c>
      <c r="Y2299" s="52" t="n">
        <v>0</v>
      </c>
      <c r="Z2299" s="52" t="n">
        <v>0</v>
      </c>
      <c r="AA2299" s="52" t="n">
        <v>0</v>
      </c>
      <c r="AB2299" s="53" t="n">
        <v>0</v>
      </c>
      <c r="AC2299" s="52" t="n">
        <v>0</v>
      </c>
      <c r="AD2299" s="53" t="n">
        <v>0</v>
      </c>
      <c r="AE2299" s="52" t="n">
        <v>0</v>
      </c>
      <c r="AF2299" s="51" t="n">
        <v>0</v>
      </c>
      <c r="AG2299" s="48" t="n">
        <v>0</v>
      </c>
      <c r="AH2299" s="49" t="n">
        <v>0</v>
      </c>
      <c r="AI2299" s="49" t="n">
        <v>0</v>
      </c>
      <c r="AJ2299" s="50" t="n">
        <v>0</v>
      </c>
      <c r="AK2299" s="51" t="n">
        <v>0</v>
      </c>
      <c r="AL2299" s="52" t="n">
        <v>0</v>
      </c>
      <c r="AM2299" s="52" t="n">
        <v>0</v>
      </c>
      <c r="AN2299" s="52" t="n">
        <v>0</v>
      </c>
      <c r="AO2299" s="53" t="n">
        <v>0</v>
      </c>
      <c r="AP2299" s="52" t="n">
        <v>0</v>
      </c>
      <c r="AQ2299" s="53" t="n">
        <v>0</v>
      </c>
      <c r="AR2299" s="52" t="n">
        <v>0</v>
      </c>
      <c r="AS2299" s="51" t="n">
        <v>0</v>
      </c>
      <c r="AT2299" s="48" t="n">
        <v>0</v>
      </c>
      <c r="AU2299" s="49" t="n">
        <v>0</v>
      </c>
      <c r="AV2299" s="49" t="n">
        <v>0</v>
      </c>
      <c r="AW2299" s="50" t="n">
        <v>0</v>
      </c>
      <c r="AX2299" s="51" t="n">
        <v>0</v>
      </c>
      <c r="AY2299" s="52" t="n">
        <v>0</v>
      </c>
      <c r="AZ2299" s="52" t="n">
        <v>0</v>
      </c>
      <c r="BA2299" s="52" t="n">
        <v>0</v>
      </c>
      <c r="BB2299" s="53" t="n">
        <v>0</v>
      </c>
      <c r="BC2299" s="52" t="n">
        <v>0</v>
      </c>
      <c r="BD2299" s="53" t="n">
        <v>0</v>
      </c>
      <c r="BE2299" s="52" t="n">
        <v>0</v>
      </c>
      <c r="BF2299" s="51" t="n">
        <v>0</v>
      </c>
    </row>
    <row r="2300">
      <c r="A2300">
        <f>HYPERLINK("https://www.walmart.com/ip/16321212162", "16321212162")</f>
        <v/>
      </c>
      <c r="B2300" t="inlineStr">
        <is>
          <t>Tirrinia Fleec Wearable Travel Blanket with Foot Pockets for Women &amp; Men | Zippered Front Pocket | Super Soft Lightweight &amp; Cozy Throw Blanket for Adults, One Size Fits All, Purple Honeycomb</t>
        </is>
      </c>
      <c r="C2300" t="inlineStr">
        <is>
          <t>1TRTB102PPHCB</t>
        </is>
      </c>
      <c r="D2300" t="inlineStr">
        <is>
          <t>Throws</t>
        </is>
      </c>
      <c r="E2300" t="inlineStr">
        <is>
          <t>Tirrinia</t>
        </is>
      </c>
      <c r="G2300" s="48" t="n">
        <v>0</v>
      </c>
      <c r="H2300" s="49" t="n">
        <v>0</v>
      </c>
      <c r="I2300" s="49" t="n">
        <v>0</v>
      </c>
      <c r="J2300" s="50" t="n">
        <v>0</v>
      </c>
      <c r="K2300" s="51" t="n">
        <v>0</v>
      </c>
      <c r="L2300" s="52" t="n">
        <v>0</v>
      </c>
      <c r="M2300" s="52" t="n">
        <v>0</v>
      </c>
      <c r="N2300" s="52" t="n">
        <v>0</v>
      </c>
      <c r="O2300" s="53" t="n">
        <v>0</v>
      </c>
      <c r="P2300" s="52" t="n">
        <v>0</v>
      </c>
      <c r="Q2300" s="53" t="n">
        <v>0</v>
      </c>
      <c r="R2300" s="52" t="n">
        <v>0</v>
      </c>
      <c r="S2300" s="51" t="n">
        <v>0</v>
      </c>
      <c r="T2300" s="48" t="n">
        <v>0</v>
      </c>
      <c r="U2300" s="49" t="n">
        <v>0</v>
      </c>
      <c r="V2300" s="49" t="n">
        <v>0</v>
      </c>
      <c r="W2300" s="50" t="n">
        <v>0</v>
      </c>
      <c r="X2300" s="51" t="n">
        <v>0</v>
      </c>
      <c r="Y2300" s="52" t="n">
        <v>0</v>
      </c>
      <c r="Z2300" s="52" t="n">
        <v>0</v>
      </c>
      <c r="AA2300" s="52" t="n">
        <v>0</v>
      </c>
      <c r="AB2300" s="53" t="n">
        <v>0</v>
      </c>
      <c r="AC2300" s="52" t="n">
        <v>0</v>
      </c>
      <c r="AD2300" s="53" t="n">
        <v>0</v>
      </c>
      <c r="AE2300" s="52" t="n">
        <v>0</v>
      </c>
      <c r="AF2300" s="51" t="n">
        <v>0</v>
      </c>
      <c r="AG2300" s="48" t="n">
        <v>0</v>
      </c>
      <c r="AH2300" s="49" t="n">
        <v>0</v>
      </c>
      <c r="AI2300" s="49" t="n">
        <v>0</v>
      </c>
      <c r="AJ2300" s="50" t="n">
        <v>0</v>
      </c>
      <c r="AK2300" s="51" t="n">
        <v>0</v>
      </c>
      <c r="AL2300" s="52" t="n">
        <v>0</v>
      </c>
      <c r="AM2300" s="52" t="n">
        <v>0</v>
      </c>
      <c r="AN2300" s="52" t="n">
        <v>0</v>
      </c>
      <c r="AO2300" s="53" t="n">
        <v>0</v>
      </c>
      <c r="AP2300" s="52" t="n">
        <v>0</v>
      </c>
      <c r="AQ2300" s="53" t="n">
        <v>0</v>
      </c>
      <c r="AR2300" s="52" t="n">
        <v>0</v>
      </c>
      <c r="AS2300" s="51" t="n">
        <v>0</v>
      </c>
      <c r="AT2300" s="48" t="n">
        <v>0</v>
      </c>
      <c r="AU2300" s="49" t="n">
        <v>0</v>
      </c>
      <c r="AV2300" s="49" t="n">
        <v>0</v>
      </c>
      <c r="AW2300" s="50" t="n">
        <v>0</v>
      </c>
      <c r="AX2300" s="51" t="n">
        <v>0</v>
      </c>
      <c r="AY2300" s="52" t="n">
        <v>0</v>
      </c>
      <c r="AZ2300" s="52" t="n">
        <v>0</v>
      </c>
      <c r="BA2300" s="52" t="n">
        <v>0</v>
      </c>
      <c r="BB2300" s="53" t="n">
        <v>0</v>
      </c>
      <c r="BC2300" s="52" t="n">
        <v>0</v>
      </c>
      <c r="BD2300" s="53" t="n">
        <v>0</v>
      </c>
      <c r="BE2300" s="52" t="n">
        <v>0</v>
      </c>
      <c r="BF2300" s="51" t="n">
        <v>0</v>
      </c>
    </row>
    <row r="2301">
      <c r="A2301">
        <f>HYPERLINK("https://www.walmart.com/ip/163231293", "163231293")</f>
        <v/>
      </c>
      <c r="B2301" t="inlineStr">
        <is>
          <t>Unisex Realtree Hunting Cap KC Caps® Camouflage Jungle Sports Hat</t>
        </is>
      </c>
      <c r="C2301" t="inlineStr">
        <is>
          <t>4730-Hardwood</t>
        </is>
      </c>
      <c r="D2301" t="inlineStr">
        <is>
          <t>Hats</t>
        </is>
      </c>
      <c r="E2301" t="inlineStr">
        <is>
          <t>KC Caps</t>
        </is>
      </c>
      <c r="F2301" t="inlineStr">
        <is>
          <t>Batch 1 - TR</t>
        </is>
      </c>
      <c r="G2301" s="48" t="n">
        <v>0</v>
      </c>
      <c r="H2301" s="49" t="n">
        <v>0</v>
      </c>
      <c r="I2301" s="49" t="n">
        <v>0</v>
      </c>
      <c r="J2301" s="50" t="n">
        <v>0</v>
      </c>
      <c r="K2301" s="51" t="n">
        <v>0</v>
      </c>
      <c r="L2301" s="52" t="n">
        <v>0</v>
      </c>
      <c r="M2301" s="52" t="n">
        <v>0</v>
      </c>
      <c r="N2301" s="52" t="n">
        <v>0</v>
      </c>
      <c r="O2301" s="53" t="n">
        <v>0</v>
      </c>
      <c r="P2301" s="52" t="n">
        <v>0</v>
      </c>
      <c r="Q2301" s="53" t="n">
        <v>0</v>
      </c>
      <c r="R2301" s="52" t="n">
        <v>0</v>
      </c>
      <c r="S2301" s="51" t="n">
        <v>0</v>
      </c>
      <c r="T2301" s="48" t="n">
        <v>0</v>
      </c>
      <c r="U2301" s="49" t="n">
        <v>0</v>
      </c>
      <c r="V2301" s="49" t="n">
        <v>0</v>
      </c>
      <c r="W2301" s="50" t="n">
        <v>0</v>
      </c>
      <c r="X2301" s="51" t="n">
        <v>0</v>
      </c>
      <c r="Y2301" s="52" t="n">
        <v>0</v>
      </c>
      <c r="Z2301" s="52" t="n">
        <v>0</v>
      </c>
      <c r="AA2301" s="52" t="n">
        <v>0</v>
      </c>
      <c r="AB2301" s="53" t="n">
        <v>0</v>
      </c>
      <c r="AC2301" s="52" t="n">
        <v>0</v>
      </c>
      <c r="AD2301" s="53" t="n">
        <v>0</v>
      </c>
      <c r="AE2301" s="52" t="n">
        <v>0</v>
      </c>
      <c r="AF2301" s="51" t="n">
        <v>0</v>
      </c>
      <c r="AG2301" s="48" t="n">
        <v>0</v>
      </c>
      <c r="AH2301" s="49" t="n">
        <v>0</v>
      </c>
      <c r="AI2301" s="49" t="n">
        <v>0</v>
      </c>
      <c r="AJ2301" s="50" t="n">
        <v>0</v>
      </c>
      <c r="AK2301" s="51" t="n">
        <v>0</v>
      </c>
      <c r="AL2301" s="52" t="n">
        <v>0</v>
      </c>
      <c r="AM2301" s="52" t="n">
        <v>0</v>
      </c>
      <c r="AN2301" s="52" t="n">
        <v>0</v>
      </c>
      <c r="AO2301" s="53" t="n">
        <v>0</v>
      </c>
      <c r="AP2301" s="52" t="n">
        <v>0</v>
      </c>
      <c r="AQ2301" s="53" t="n">
        <v>0</v>
      </c>
      <c r="AR2301" s="52" t="n">
        <v>0</v>
      </c>
      <c r="AS2301" s="51" t="n">
        <v>0</v>
      </c>
      <c r="AT2301" s="48" t="n">
        <v>0</v>
      </c>
      <c r="AU2301" s="49" t="n">
        <v>0</v>
      </c>
      <c r="AV2301" s="49" t="n">
        <v>0</v>
      </c>
      <c r="AW2301" s="50" t="n">
        <v>0</v>
      </c>
      <c r="AX2301" s="51" t="n">
        <v>0</v>
      </c>
      <c r="AY2301" s="52" t="n">
        <v>0</v>
      </c>
      <c r="AZ2301" s="52" t="n">
        <v>0</v>
      </c>
      <c r="BA2301" s="52" t="n">
        <v>0</v>
      </c>
      <c r="BB2301" s="53" t="n">
        <v>0</v>
      </c>
      <c r="BC2301" s="52" t="n">
        <v>0</v>
      </c>
      <c r="BD2301" s="53" t="n">
        <v>0</v>
      </c>
      <c r="BE2301" s="52" t="n">
        <v>0</v>
      </c>
      <c r="BF2301" s="51" t="n">
        <v>0</v>
      </c>
    </row>
    <row r="2302">
      <c r="A2302">
        <f>HYPERLINK("https://www.walmart.com/ip/163258822", "163258822")</f>
        <v/>
      </c>
      <c r="B2302" t="inlineStr">
        <is>
          <t>Deluxe Classic Suede Bill Baseball Cap with Leather Strap Closure</t>
        </is>
      </c>
      <c r="C2302" t="inlineStr">
        <is>
          <t>KC-S6300-BK/SI</t>
        </is>
      </c>
      <c r="D2302" t="inlineStr">
        <is>
          <t>Hats</t>
        </is>
      </c>
      <c r="E2302" t="inlineStr">
        <is>
          <t>KC Caps</t>
        </is>
      </c>
      <c r="F2302" t="inlineStr">
        <is>
          <t>Optimized</t>
        </is>
      </c>
      <c r="G2302" s="48" t="n">
        <v>0</v>
      </c>
      <c r="H2302" s="49" t="n">
        <v>0</v>
      </c>
      <c r="I2302" s="49" t="n">
        <v>0</v>
      </c>
      <c r="J2302" s="50" t="n">
        <v>0</v>
      </c>
      <c r="K2302" s="51" t="n">
        <v>0</v>
      </c>
      <c r="L2302" s="52" t="n">
        <v>0</v>
      </c>
      <c r="M2302" s="52" t="n">
        <v>0</v>
      </c>
      <c r="N2302" s="52" t="n">
        <v>0</v>
      </c>
      <c r="O2302" s="53" t="n">
        <v>0</v>
      </c>
      <c r="P2302" s="52" t="n">
        <v>0</v>
      </c>
      <c r="Q2302" s="53" t="n">
        <v>0</v>
      </c>
      <c r="R2302" s="52" t="n">
        <v>0</v>
      </c>
      <c r="S2302" s="51" t="n">
        <v>0</v>
      </c>
      <c r="T2302" s="48" t="n">
        <v>0</v>
      </c>
      <c r="U2302" s="49" t="n">
        <v>0</v>
      </c>
      <c r="V2302" s="49" t="n">
        <v>0</v>
      </c>
      <c r="W2302" s="50" t="n">
        <v>0</v>
      </c>
      <c r="X2302" s="51" t="n">
        <v>0</v>
      </c>
      <c r="Y2302" s="52" t="n">
        <v>0</v>
      </c>
      <c r="Z2302" s="52" t="n">
        <v>0</v>
      </c>
      <c r="AA2302" s="52" t="n">
        <v>0</v>
      </c>
      <c r="AB2302" s="53" t="n">
        <v>0</v>
      </c>
      <c r="AC2302" s="52" t="n">
        <v>0</v>
      </c>
      <c r="AD2302" s="53" t="n">
        <v>0</v>
      </c>
      <c r="AE2302" s="52" t="n">
        <v>0</v>
      </c>
      <c r="AF2302" s="51" t="n">
        <v>0</v>
      </c>
      <c r="AG2302" s="48" t="n">
        <v>0</v>
      </c>
      <c r="AH2302" s="49" t="n">
        <v>0</v>
      </c>
      <c r="AI2302" s="49" t="n">
        <v>0</v>
      </c>
      <c r="AJ2302" s="50" t="n">
        <v>0</v>
      </c>
      <c r="AK2302" s="51" t="n">
        <v>0</v>
      </c>
      <c r="AL2302" s="52" t="n">
        <v>0</v>
      </c>
      <c r="AM2302" s="52" t="n">
        <v>0</v>
      </c>
      <c r="AN2302" s="52" t="n">
        <v>0</v>
      </c>
      <c r="AO2302" s="53" t="n">
        <v>0</v>
      </c>
      <c r="AP2302" s="52" t="n">
        <v>0</v>
      </c>
      <c r="AQ2302" s="53" t="n">
        <v>0</v>
      </c>
      <c r="AR2302" s="52" t="n">
        <v>0</v>
      </c>
      <c r="AS2302" s="51" t="n">
        <v>0</v>
      </c>
      <c r="AT2302" s="48" t="n">
        <v>0</v>
      </c>
      <c r="AU2302" s="49" t="n">
        <v>0</v>
      </c>
      <c r="AV2302" s="49" t="n">
        <v>0</v>
      </c>
      <c r="AW2302" s="50" t="n">
        <v>0</v>
      </c>
      <c r="AX2302" s="51" t="n">
        <v>0</v>
      </c>
      <c r="AY2302" s="52" t="n">
        <v>0</v>
      </c>
      <c r="AZ2302" s="52" t="n">
        <v>0</v>
      </c>
      <c r="BA2302" s="52" t="n">
        <v>0</v>
      </c>
      <c r="BB2302" s="53" t="n">
        <v>0</v>
      </c>
      <c r="BC2302" s="52" t="n">
        <v>0</v>
      </c>
      <c r="BD2302" s="53" t="n">
        <v>0</v>
      </c>
      <c r="BE2302" s="52" t="n">
        <v>0</v>
      </c>
      <c r="BF2302" s="51" t="n">
        <v>0</v>
      </c>
    </row>
    <row r="2303">
      <c r="A2303">
        <f>HYPERLINK("https://www.walmart.com/ip/16331922239", "16331922239")</f>
        <v/>
      </c>
      <c r="B2303" t="inlineStr">
        <is>
          <t>Catalonia Lightweight Ladies Bathrobe, Long Summer Robe with Pockets,Soft Summer Robes for Women, Kimono Gift for Her, Green</t>
        </is>
      </c>
      <c r="C2303" t="inlineStr">
        <is>
          <t>1CTRB504GN-5</t>
        </is>
      </c>
      <c r="D2303" t="inlineStr">
        <is>
          <t>Sleepwear Robes &amp; Bathrobes</t>
        </is>
      </c>
      <c r="E2303" t="inlineStr">
        <is>
          <t>Catalonia</t>
        </is>
      </c>
      <c r="G2303" s="48" t="n">
        <v>0</v>
      </c>
      <c r="H2303" s="49" t="n">
        <v>0</v>
      </c>
      <c r="I2303" s="49" t="n">
        <v>0</v>
      </c>
      <c r="J2303" s="50" t="n">
        <v>0</v>
      </c>
      <c r="K2303" s="51" t="n">
        <v>0</v>
      </c>
      <c r="L2303" s="52" t="n">
        <v>0</v>
      </c>
      <c r="M2303" s="52" t="n">
        <v>0</v>
      </c>
      <c r="N2303" s="52" t="n">
        <v>0</v>
      </c>
      <c r="O2303" s="53" t="n">
        <v>0</v>
      </c>
      <c r="P2303" s="52" t="n">
        <v>0</v>
      </c>
      <c r="Q2303" s="53" t="n">
        <v>0</v>
      </c>
      <c r="R2303" s="52" t="n">
        <v>0</v>
      </c>
      <c r="S2303" s="51" t="n">
        <v>0</v>
      </c>
      <c r="T2303" s="48" t="n">
        <v>0</v>
      </c>
      <c r="U2303" s="49" t="n">
        <v>0</v>
      </c>
      <c r="V2303" s="49" t="n">
        <v>0</v>
      </c>
      <c r="W2303" s="50" t="n">
        <v>0</v>
      </c>
      <c r="X2303" s="51" t="n">
        <v>0</v>
      </c>
      <c r="Y2303" s="52" t="n">
        <v>0</v>
      </c>
      <c r="Z2303" s="52" t="n">
        <v>0</v>
      </c>
      <c r="AA2303" s="52" t="n">
        <v>0</v>
      </c>
      <c r="AB2303" s="53" t="n">
        <v>0</v>
      </c>
      <c r="AC2303" s="52" t="n">
        <v>0</v>
      </c>
      <c r="AD2303" s="53" t="n">
        <v>0</v>
      </c>
      <c r="AE2303" s="52" t="n">
        <v>0</v>
      </c>
      <c r="AF2303" s="51" t="n">
        <v>0</v>
      </c>
      <c r="AG2303" s="48" t="n">
        <v>0</v>
      </c>
      <c r="AH2303" s="49" t="n">
        <v>0</v>
      </c>
      <c r="AI2303" s="49" t="n">
        <v>0</v>
      </c>
      <c r="AJ2303" s="50" t="n">
        <v>0</v>
      </c>
      <c r="AK2303" s="51" t="n">
        <v>0</v>
      </c>
      <c r="AL2303" s="52" t="n">
        <v>0</v>
      </c>
      <c r="AM2303" s="52" t="n">
        <v>0</v>
      </c>
      <c r="AN2303" s="52" t="n">
        <v>0</v>
      </c>
      <c r="AO2303" s="53" t="n">
        <v>0</v>
      </c>
      <c r="AP2303" s="52" t="n">
        <v>0</v>
      </c>
      <c r="AQ2303" s="53" t="n">
        <v>0</v>
      </c>
      <c r="AR2303" s="52" t="n">
        <v>0</v>
      </c>
      <c r="AS2303" s="51" t="n">
        <v>0</v>
      </c>
      <c r="AT2303" s="48" t="n">
        <v>0</v>
      </c>
      <c r="AU2303" s="49" t="n">
        <v>0</v>
      </c>
      <c r="AV2303" s="49" t="n">
        <v>0</v>
      </c>
      <c r="AW2303" s="50" t="n">
        <v>0</v>
      </c>
      <c r="AX2303" s="51" t="n">
        <v>0</v>
      </c>
      <c r="AY2303" s="52" t="n">
        <v>0</v>
      </c>
      <c r="AZ2303" s="52" t="n">
        <v>0</v>
      </c>
      <c r="BA2303" s="52" t="n">
        <v>0</v>
      </c>
      <c r="BB2303" s="53" t="n">
        <v>0</v>
      </c>
      <c r="BC2303" s="52" t="n">
        <v>0</v>
      </c>
      <c r="BD2303" s="53" t="n">
        <v>0</v>
      </c>
      <c r="BE2303" s="52" t="n">
        <v>0</v>
      </c>
      <c r="BF2303" s="51" t="n">
        <v>0</v>
      </c>
    </row>
    <row r="2304">
      <c r="A2304">
        <f>HYPERLINK("https://www.walmart.com/ip/16335621485", "16335621485")</f>
        <v/>
      </c>
      <c r="B2304" t="inlineStr">
        <is>
          <t>Catalonia Lightweight Ladies Bathrobe, Long Summer Robe with Pockets,Soft Summer Robes for Women, Kimono Gift for Her, Lilac</t>
        </is>
      </c>
      <c r="C2304" t="inlineStr">
        <is>
          <t>1CTRB504LL-2</t>
        </is>
      </c>
      <c r="D2304" t="inlineStr">
        <is>
          <t>Sleepwear Robes &amp; Bathrobes</t>
        </is>
      </c>
      <c r="E2304" t="inlineStr">
        <is>
          <t>Catalonia</t>
        </is>
      </c>
      <c r="G2304" s="48" t="n">
        <v>0</v>
      </c>
      <c r="H2304" s="49" t="n">
        <v>0</v>
      </c>
      <c r="I2304" s="49" t="n">
        <v>0</v>
      </c>
      <c r="J2304" s="50" t="n">
        <v>0</v>
      </c>
      <c r="K2304" s="51" t="n">
        <v>0</v>
      </c>
      <c r="L2304" s="52" t="n">
        <v>0</v>
      </c>
      <c r="M2304" s="52" t="n">
        <v>0</v>
      </c>
      <c r="N2304" s="52" t="n">
        <v>0</v>
      </c>
      <c r="O2304" s="53" t="n">
        <v>0</v>
      </c>
      <c r="P2304" s="52" t="n">
        <v>0</v>
      </c>
      <c r="Q2304" s="53" t="n">
        <v>0</v>
      </c>
      <c r="R2304" s="52" t="n">
        <v>0</v>
      </c>
      <c r="S2304" s="51" t="n">
        <v>0</v>
      </c>
      <c r="T2304" s="48" t="n">
        <v>0</v>
      </c>
      <c r="U2304" s="49" t="n">
        <v>0</v>
      </c>
      <c r="V2304" s="49" t="n">
        <v>0</v>
      </c>
      <c r="W2304" s="50" t="n">
        <v>0</v>
      </c>
      <c r="X2304" s="51" t="n">
        <v>0</v>
      </c>
      <c r="Y2304" s="52" t="n">
        <v>0</v>
      </c>
      <c r="Z2304" s="52" t="n">
        <v>0</v>
      </c>
      <c r="AA2304" s="52" t="n">
        <v>0</v>
      </c>
      <c r="AB2304" s="53" t="n">
        <v>0</v>
      </c>
      <c r="AC2304" s="52" t="n">
        <v>0</v>
      </c>
      <c r="AD2304" s="53" t="n">
        <v>0</v>
      </c>
      <c r="AE2304" s="52" t="n">
        <v>0</v>
      </c>
      <c r="AF2304" s="51" t="n">
        <v>0</v>
      </c>
      <c r="AG2304" s="48" t="n">
        <v>0</v>
      </c>
      <c r="AH2304" s="49" t="n">
        <v>0</v>
      </c>
      <c r="AI2304" s="49" t="n">
        <v>0</v>
      </c>
      <c r="AJ2304" s="50" t="n">
        <v>0</v>
      </c>
      <c r="AK2304" s="51" t="n">
        <v>0</v>
      </c>
      <c r="AL2304" s="52" t="n">
        <v>0</v>
      </c>
      <c r="AM2304" s="52" t="n">
        <v>0</v>
      </c>
      <c r="AN2304" s="52" t="n">
        <v>0</v>
      </c>
      <c r="AO2304" s="53" t="n">
        <v>0</v>
      </c>
      <c r="AP2304" s="52" t="n">
        <v>0</v>
      </c>
      <c r="AQ2304" s="53" t="n">
        <v>0</v>
      </c>
      <c r="AR2304" s="52" t="n">
        <v>0</v>
      </c>
      <c r="AS2304" s="51" t="n">
        <v>0</v>
      </c>
      <c r="AT2304" s="48" t="n">
        <v>0</v>
      </c>
      <c r="AU2304" s="49" t="n">
        <v>0</v>
      </c>
      <c r="AV2304" s="49" t="n">
        <v>0</v>
      </c>
      <c r="AW2304" s="50" t="n">
        <v>0</v>
      </c>
      <c r="AX2304" s="51" t="n">
        <v>0</v>
      </c>
      <c r="AY2304" s="52" t="n">
        <v>0</v>
      </c>
      <c r="AZ2304" s="52" t="n">
        <v>0</v>
      </c>
      <c r="BA2304" s="52" t="n">
        <v>0</v>
      </c>
      <c r="BB2304" s="53" t="n">
        <v>0</v>
      </c>
      <c r="BC2304" s="52" t="n">
        <v>0</v>
      </c>
      <c r="BD2304" s="53" t="n">
        <v>0</v>
      </c>
      <c r="BE2304" s="52" t="n">
        <v>0</v>
      </c>
      <c r="BF2304" s="51" t="n">
        <v>0</v>
      </c>
    </row>
    <row r="2305">
      <c r="A2305">
        <f>HYPERLINK("https://www.walmart.com/ip/16340064610", "16340064610")</f>
        <v/>
      </c>
      <c r="B2305" t="inlineStr">
        <is>
          <t>Summer Caps for Men and Women Patriotic Independence Day USA Flag UV Protect  Adjustable Unisex Hats for Sports, Khaki</t>
        </is>
      </c>
      <c r="C2305" t="inlineStr">
        <is>
          <t>1TRBC100KK</t>
        </is>
      </c>
      <c r="D2305" t="inlineStr">
        <is>
          <t>Hats</t>
        </is>
      </c>
      <c r="E2305" t="inlineStr">
        <is>
          <t>Tirrinia</t>
        </is>
      </c>
      <c r="G2305" s="48" t="n">
        <v>0</v>
      </c>
      <c r="H2305" s="49" t="n">
        <v>0</v>
      </c>
      <c r="I2305" s="49" t="n">
        <v>0</v>
      </c>
      <c r="J2305" s="50" t="n">
        <v>0</v>
      </c>
      <c r="K2305" s="51" t="n">
        <v>0</v>
      </c>
      <c r="L2305" s="52" t="n">
        <v>0</v>
      </c>
      <c r="M2305" s="52" t="n">
        <v>0</v>
      </c>
      <c r="N2305" s="52" t="n">
        <v>0</v>
      </c>
      <c r="O2305" s="53" t="n">
        <v>0</v>
      </c>
      <c r="P2305" s="52" t="n">
        <v>0</v>
      </c>
      <c r="Q2305" s="53" t="n">
        <v>0</v>
      </c>
      <c r="R2305" s="52" t="n">
        <v>0</v>
      </c>
      <c r="S2305" s="51" t="n">
        <v>0</v>
      </c>
      <c r="T2305" s="48" t="n">
        <v>0</v>
      </c>
      <c r="U2305" s="49" t="n">
        <v>0</v>
      </c>
      <c r="V2305" s="49" t="n">
        <v>0</v>
      </c>
      <c r="W2305" s="50" t="n">
        <v>0</v>
      </c>
      <c r="X2305" s="51" t="n">
        <v>0</v>
      </c>
      <c r="Y2305" s="52" t="n">
        <v>0</v>
      </c>
      <c r="Z2305" s="52" t="n">
        <v>0</v>
      </c>
      <c r="AA2305" s="52" t="n">
        <v>0</v>
      </c>
      <c r="AB2305" s="53" t="n">
        <v>0</v>
      </c>
      <c r="AC2305" s="52" t="n">
        <v>0</v>
      </c>
      <c r="AD2305" s="53" t="n">
        <v>0</v>
      </c>
      <c r="AE2305" s="52" t="n">
        <v>0</v>
      </c>
      <c r="AF2305" s="51" t="n">
        <v>0</v>
      </c>
      <c r="AG2305" s="48" t="n">
        <v>0</v>
      </c>
      <c r="AH2305" s="49" t="n">
        <v>0</v>
      </c>
      <c r="AI2305" s="49" t="n">
        <v>0</v>
      </c>
      <c r="AJ2305" s="50" t="n">
        <v>0</v>
      </c>
      <c r="AK2305" s="51" t="n">
        <v>0</v>
      </c>
      <c r="AL2305" s="52" t="n">
        <v>0</v>
      </c>
      <c r="AM2305" s="52" t="n">
        <v>0</v>
      </c>
      <c r="AN2305" s="52" t="n">
        <v>0</v>
      </c>
      <c r="AO2305" s="53" t="n">
        <v>0</v>
      </c>
      <c r="AP2305" s="52" t="n">
        <v>0</v>
      </c>
      <c r="AQ2305" s="53" t="n">
        <v>0</v>
      </c>
      <c r="AR2305" s="52" t="n">
        <v>0</v>
      </c>
      <c r="AS2305" s="51" t="n">
        <v>0</v>
      </c>
      <c r="AT2305" s="48" t="n">
        <v>0</v>
      </c>
      <c r="AU2305" s="49" t="n">
        <v>0</v>
      </c>
      <c r="AV2305" s="49" t="n">
        <v>0</v>
      </c>
      <c r="AW2305" s="50" t="n">
        <v>0</v>
      </c>
      <c r="AX2305" s="51" t="n">
        <v>0</v>
      </c>
      <c r="AY2305" s="52" t="n">
        <v>0</v>
      </c>
      <c r="AZ2305" s="52" t="n">
        <v>0</v>
      </c>
      <c r="BA2305" s="52" t="n">
        <v>0</v>
      </c>
      <c r="BB2305" s="53" t="n">
        <v>0</v>
      </c>
      <c r="BC2305" s="52" t="n">
        <v>0</v>
      </c>
      <c r="BD2305" s="53" t="n">
        <v>0</v>
      </c>
      <c r="BE2305" s="52" t="n">
        <v>0</v>
      </c>
      <c r="BF2305" s="51" t="n">
        <v>0</v>
      </c>
    </row>
    <row r="2306">
      <c r="A2306">
        <f>HYPERLINK("https://www.walmart.com/ip/163410926", "163410926")</f>
        <v/>
      </c>
      <c r="B2306" t="inlineStr">
        <is>
          <t>Vina 2-Bottle Wine Picnic Tote Carrier Travel Cooler Insulated Bag Leather Handles Durable Zipper Reusable</t>
        </is>
      </c>
      <c r="C2306" t="inlineStr">
        <is>
          <t>VINAWB007WTX</t>
        </is>
      </c>
      <c r="E2306" t="inlineStr">
        <is>
          <t>Vina</t>
        </is>
      </c>
      <c r="G2306" s="48" t="n">
        <v>0</v>
      </c>
      <c r="H2306" s="49" t="n">
        <v>0</v>
      </c>
      <c r="I2306" s="49" t="n">
        <v>0</v>
      </c>
      <c r="J2306" s="50" t="n">
        <v>0</v>
      </c>
      <c r="K2306" s="51" t="n">
        <v>0</v>
      </c>
      <c r="L2306" s="52" t="n">
        <v>0</v>
      </c>
      <c r="M2306" s="52" t="n">
        <v>0</v>
      </c>
      <c r="N2306" s="52" t="n">
        <v>0</v>
      </c>
      <c r="O2306" s="53" t="n">
        <v>0</v>
      </c>
      <c r="P2306" s="52" t="n">
        <v>0</v>
      </c>
      <c r="Q2306" s="53" t="n">
        <v>0</v>
      </c>
      <c r="R2306" s="52" t="n">
        <v>0</v>
      </c>
      <c r="S2306" s="51" t="n">
        <v>0</v>
      </c>
      <c r="T2306" s="48" t="n">
        <v>0</v>
      </c>
      <c r="U2306" s="49" t="n">
        <v>0</v>
      </c>
      <c r="V2306" s="49" t="n">
        <v>0</v>
      </c>
      <c r="W2306" s="50" t="n">
        <v>0</v>
      </c>
      <c r="X2306" s="51" t="n">
        <v>0</v>
      </c>
      <c r="Y2306" s="52" t="n">
        <v>0</v>
      </c>
      <c r="Z2306" s="52" t="n">
        <v>0</v>
      </c>
      <c r="AA2306" s="52" t="n">
        <v>0</v>
      </c>
      <c r="AB2306" s="53" t="n">
        <v>0</v>
      </c>
      <c r="AC2306" s="52" t="n">
        <v>0</v>
      </c>
      <c r="AD2306" s="53" t="n">
        <v>0</v>
      </c>
      <c r="AE2306" s="52" t="n">
        <v>0</v>
      </c>
      <c r="AF2306" s="51" t="n">
        <v>0</v>
      </c>
      <c r="AG2306" s="48" t="n">
        <v>0</v>
      </c>
      <c r="AH2306" s="49" t="n">
        <v>0</v>
      </c>
      <c r="AI2306" s="49" t="n">
        <v>0</v>
      </c>
      <c r="AJ2306" s="50" t="n">
        <v>0</v>
      </c>
      <c r="AK2306" s="51" t="n">
        <v>0</v>
      </c>
      <c r="AL2306" s="52" t="n">
        <v>0</v>
      </c>
      <c r="AM2306" s="52" t="n">
        <v>0</v>
      </c>
      <c r="AN2306" s="52" t="n">
        <v>0</v>
      </c>
      <c r="AO2306" s="53" t="n">
        <v>0</v>
      </c>
      <c r="AP2306" s="52" t="n">
        <v>0</v>
      </c>
      <c r="AQ2306" s="53" t="n">
        <v>0</v>
      </c>
      <c r="AR2306" s="52" t="n">
        <v>0</v>
      </c>
      <c r="AS2306" s="51" t="n">
        <v>0</v>
      </c>
      <c r="AT2306" s="48" t="n">
        <v>0</v>
      </c>
      <c r="AU2306" s="49" t="n">
        <v>0</v>
      </c>
      <c r="AV2306" s="49" t="n">
        <v>0</v>
      </c>
      <c r="AW2306" s="50" t="n">
        <v>0</v>
      </c>
      <c r="AX2306" s="51" t="n">
        <v>0</v>
      </c>
      <c r="AY2306" s="52" t="n">
        <v>0</v>
      </c>
      <c r="AZ2306" s="52" t="n">
        <v>0</v>
      </c>
      <c r="BA2306" s="52" t="n">
        <v>0</v>
      </c>
      <c r="BB2306" s="53" t="n">
        <v>0</v>
      </c>
      <c r="BC2306" s="52" t="n">
        <v>0</v>
      </c>
      <c r="BD2306" s="53" t="n">
        <v>0</v>
      </c>
      <c r="BE2306" s="52" t="n">
        <v>0</v>
      </c>
      <c r="BF2306" s="51" t="n">
        <v>0</v>
      </c>
    </row>
    <row r="2307">
      <c r="A2307">
        <f>HYPERLINK("https://www.walmart.com/ip/163412178", "163412178")</f>
        <v/>
      </c>
      <c r="B2307" t="inlineStr">
        <is>
          <t>JenniWears® Women's Kimono Lace Lingerie Sleepwear Matching Cheeky Panty</t>
        </is>
      </c>
      <c r="C2307" t="inlineStr">
        <is>
          <t>JWRS01BK-M</t>
        </is>
      </c>
      <c r="D2307" t="inlineStr">
        <is>
          <t>Lingerie Sets</t>
        </is>
      </c>
      <c r="E2307" t="inlineStr">
        <is>
          <t>JenniWears</t>
        </is>
      </c>
      <c r="F2307" t="inlineStr">
        <is>
          <t>Optimized,Valentine</t>
        </is>
      </c>
      <c r="G2307" s="48" t="n">
        <v>0</v>
      </c>
      <c r="H2307" s="49" t="n">
        <v>0</v>
      </c>
      <c r="I2307" s="49" t="n">
        <v>0</v>
      </c>
      <c r="J2307" s="50" t="n">
        <v>0</v>
      </c>
      <c r="K2307" s="51" t="n">
        <v>0</v>
      </c>
      <c r="L2307" s="52" t="n">
        <v>0</v>
      </c>
      <c r="M2307" s="52" t="n">
        <v>0</v>
      </c>
      <c r="N2307" s="52" t="n">
        <v>0</v>
      </c>
      <c r="O2307" s="53" t="n">
        <v>0</v>
      </c>
      <c r="P2307" s="52" t="n">
        <v>0</v>
      </c>
      <c r="Q2307" s="53" t="n">
        <v>0</v>
      </c>
      <c r="R2307" s="52" t="n">
        <v>0</v>
      </c>
      <c r="S2307" s="51" t="n">
        <v>0</v>
      </c>
      <c r="T2307" s="48" t="n">
        <v>0</v>
      </c>
      <c r="U2307" s="49" t="n">
        <v>0</v>
      </c>
      <c r="V2307" s="49" t="n">
        <v>0</v>
      </c>
      <c r="W2307" s="50" t="n">
        <v>0</v>
      </c>
      <c r="X2307" s="51" t="n">
        <v>0</v>
      </c>
      <c r="Y2307" s="52" t="n">
        <v>0</v>
      </c>
      <c r="Z2307" s="52" t="n">
        <v>0</v>
      </c>
      <c r="AA2307" s="52" t="n">
        <v>0</v>
      </c>
      <c r="AB2307" s="53" t="n">
        <v>0</v>
      </c>
      <c r="AC2307" s="52" t="n">
        <v>0</v>
      </c>
      <c r="AD2307" s="53" t="n">
        <v>0</v>
      </c>
      <c r="AE2307" s="52" t="n">
        <v>0</v>
      </c>
      <c r="AF2307" s="51" t="n">
        <v>0</v>
      </c>
      <c r="AG2307" s="48" t="n">
        <v>0</v>
      </c>
      <c r="AH2307" s="49" t="n">
        <v>0</v>
      </c>
      <c r="AI2307" s="49" t="n">
        <v>0</v>
      </c>
      <c r="AJ2307" s="50" t="n">
        <v>0</v>
      </c>
      <c r="AK2307" s="51" t="n">
        <v>0</v>
      </c>
      <c r="AL2307" s="52" t="n">
        <v>0</v>
      </c>
      <c r="AM2307" s="52" t="n">
        <v>0</v>
      </c>
      <c r="AN2307" s="52" t="n">
        <v>0</v>
      </c>
      <c r="AO2307" s="53" t="n">
        <v>0</v>
      </c>
      <c r="AP2307" s="52" t="n">
        <v>0</v>
      </c>
      <c r="AQ2307" s="53" t="n">
        <v>0</v>
      </c>
      <c r="AR2307" s="52" t="n">
        <v>0</v>
      </c>
      <c r="AS2307" s="51" t="n">
        <v>0</v>
      </c>
      <c r="AT2307" s="48" t="n">
        <v>0</v>
      </c>
      <c r="AU2307" s="49" t="n">
        <v>0</v>
      </c>
      <c r="AV2307" s="49" t="n">
        <v>0</v>
      </c>
      <c r="AW2307" s="50" t="n">
        <v>0</v>
      </c>
      <c r="AX2307" s="51" t="n">
        <v>0</v>
      </c>
      <c r="AY2307" s="52" t="n">
        <v>0</v>
      </c>
      <c r="AZ2307" s="52" t="n">
        <v>0</v>
      </c>
      <c r="BA2307" s="52" t="n">
        <v>0</v>
      </c>
      <c r="BB2307" s="53" t="n">
        <v>0</v>
      </c>
      <c r="BC2307" s="52" t="n">
        <v>0</v>
      </c>
      <c r="BD2307" s="53" t="n">
        <v>0</v>
      </c>
      <c r="BE2307" s="52" t="n">
        <v>0</v>
      </c>
      <c r="BF2307" s="51" t="n">
        <v>0</v>
      </c>
    </row>
    <row r="2308">
      <c r="A2308">
        <f>HYPERLINK("https://www.walmart.com/ip/16241574829", "16241574829")</f>
        <v/>
      </c>
      <c r="B2308" t="inlineStr">
        <is>
          <t>Tirrinia 2 In 1 Outdoors UPF 50+ UV Protection Sun Hat for Women, One Size Female Sports Baseball Cap Gardening Fishing Hat with Neck Flap, Orange</t>
        </is>
      </c>
      <c r="C2308" t="inlineStr">
        <is>
          <t>1TRSH9153OR</t>
        </is>
      </c>
      <c r="D2308" t="inlineStr">
        <is>
          <t>Hats</t>
        </is>
      </c>
      <c r="E2308" t="inlineStr">
        <is>
          <t>Tirrinia</t>
        </is>
      </c>
      <c r="G2308" s="48" t="n">
        <v>0</v>
      </c>
      <c r="H2308" s="49" t="n">
        <v>0</v>
      </c>
      <c r="I2308" s="49" t="n">
        <v>0</v>
      </c>
      <c r="J2308" s="50" t="n">
        <v>0</v>
      </c>
      <c r="K2308" s="51" t="n">
        <v>0</v>
      </c>
      <c r="L2308" s="52" t="n">
        <v>0</v>
      </c>
      <c r="M2308" s="52" t="n">
        <v>0</v>
      </c>
      <c r="N2308" s="52" t="n">
        <v>0</v>
      </c>
      <c r="O2308" s="53" t="n">
        <v>0</v>
      </c>
      <c r="P2308" s="52" t="n">
        <v>0</v>
      </c>
      <c r="Q2308" s="53" t="n">
        <v>0</v>
      </c>
      <c r="R2308" s="52" t="n">
        <v>0</v>
      </c>
      <c r="S2308" s="51" t="n">
        <v>0</v>
      </c>
      <c r="T2308" s="48" t="n">
        <v>0</v>
      </c>
      <c r="U2308" s="49" t="n">
        <v>0</v>
      </c>
      <c r="V2308" s="49" t="n">
        <v>0</v>
      </c>
      <c r="W2308" s="50" t="n">
        <v>0</v>
      </c>
      <c r="X2308" s="51" t="n">
        <v>0</v>
      </c>
      <c r="Y2308" s="52" t="n">
        <v>0</v>
      </c>
      <c r="Z2308" s="52" t="n">
        <v>0</v>
      </c>
      <c r="AA2308" s="52" t="n">
        <v>0</v>
      </c>
      <c r="AB2308" s="53" t="n">
        <v>0</v>
      </c>
      <c r="AC2308" s="52" t="n">
        <v>0</v>
      </c>
      <c r="AD2308" s="53" t="n">
        <v>0</v>
      </c>
      <c r="AE2308" s="52" t="n">
        <v>0</v>
      </c>
      <c r="AF2308" s="51" t="n">
        <v>0</v>
      </c>
      <c r="AG2308" s="48" t="n">
        <v>0</v>
      </c>
      <c r="AH2308" s="49" t="n">
        <v>0</v>
      </c>
      <c r="AI2308" s="49" t="n">
        <v>0</v>
      </c>
      <c r="AJ2308" s="50" t="n">
        <v>0</v>
      </c>
      <c r="AK2308" s="51" t="n">
        <v>0</v>
      </c>
      <c r="AL2308" s="52" t="n">
        <v>0</v>
      </c>
      <c r="AM2308" s="52" t="n">
        <v>0</v>
      </c>
      <c r="AN2308" s="52" t="n">
        <v>0</v>
      </c>
      <c r="AO2308" s="53" t="n">
        <v>0</v>
      </c>
      <c r="AP2308" s="52" t="n">
        <v>0</v>
      </c>
      <c r="AQ2308" s="53" t="n">
        <v>0</v>
      </c>
      <c r="AR2308" s="52" t="n">
        <v>0</v>
      </c>
      <c r="AS2308" s="51" t="n">
        <v>0</v>
      </c>
      <c r="AT2308" s="48" t="n">
        <v>0</v>
      </c>
      <c r="AU2308" s="49" t="n">
        <v>0</v>
      </c>
      <c r="AV2308" s="49" t="n">
        <v>0</v>
      </c>
      <c r="AW2308" s="50" t="n">
        <v>0</v>
      </c>
      <c r="AX2308" s="51" t="n">
        <v>0</v>
      </c>
      <c r="AY2308" s="52" t="n">
        <v>0</v>
      </c>
      <c r="AZ2308" s="52" t="n">
        <v>0</v>
      </c>
      <c r="BA2308" s="52" t="n">
        <v>0</v>
      </c>
      <c r="BB2308" s="53" t="n">
        <v>0</v>
      </c>
      <c r="BC2308" s="52" t="n">
        <v>0</v>
      </c>
      <c r="BD2308" s="53" t="n">
        <v>0</v>
      </c>
      <c r="BE2308" s="52" t="n">
        <v>0</v>
      </c>
      <c r="BF2308" s="51" t="n">
        <v>0</v>
      </c>
    </row>
    <row r="2309">
      <c r="A2309">
        <f>HYPERLINK("https://www.walmart.com/ip/162160712", "162160712")</f>
        <v/>
      </c>
      <c r="B2309" t="inlineStr">
        <is>
          <t>JenniWears Womens Open Crotch Bodystocking Nightwear Lingerie</t>
        </is>
      </c>
      <c r="C2309" t="inlineStr">
        <is>
          <t>JWBS8814</t>
        </is>
      </c>
      <c r="D2309" t="inlineStr">
        <is>
          <t>Teddies &amp; Bodystockings</t>
        </is>
      </c>
      <c r="E2309" t="inlineStr">
        <is>
          <t>JenniWears</t>
        </is>
      </c>
      <c r="F2309" t="inlineStr">
        <is>
          <t>Valentine</t>
        </is>
      </c>
      <c r="G2309" s="48" t="n">
        <v>0</v>
      </c>
      <c r="H2309" s="49" t="n">
        <v>0</v>
      </c>
      <c r="I2309" s="49" t="n">
        <v>0</v>
      </c>
      <c r="J2309" s="50" t="n">
        <v>0</v>
      </c>
      <c r="K2309" s="51" t="n">
        <v>0</v>
      </c>
      <c r="L2309" s="52" t="n">
        <v>0</v>
      </c>
      <c r="M2309" s="52" t="n">
        <v>0</v>
      </c>
      <c r="N2309" s="52" t="n">
        <v>0</v>
      </c>
      <c r="O2309" s="53" t="n">
        <v>0</v>
      </c>
      <c r="P2309" s="52" t="n">
        <v>0</v>
      </c>
      <c r="Q2309" s="53" t="n">
        <v>0</v>
      </c>
      <c r="R2309" s="52" t="n">
        <v>0</v>
      </c>
      <c r="S2309" s="51" t="n">
        <v>0</v>
      </c>
      <c r="T2309" s="48" t="n">
        <v>0</v>
      </c>
      <c r="U2309" s="49" t="n">
        <v>0</v>
      </c>
      <c r="V2309" s="49" t="n">
        <v>0</v>
      </c>
      <c r="W2309" s="50" t="n">
        <v>0</v>
      </c>
      <c r="X2309" s="51" t="n">
        <v>0</v>
      </c>
      <c r="Y2309" s="52" t="n">
        <v>0</v>
      </c>
      <c r="Z2309" s="52" t="n">
        <v>0</v>
      </c>
      <c r="AA2309" s="52" t="n">
        <v>0</v>
      </c>
      <c r="AB2309" s="53" t="n">
        <v>0</v>
      </c>
      <c r="AC2309" s="52" t="n">
        <v>0</v>
      </c>
      <c r="AD2309" s="53" t="n">
        <v>0</v>
      </c>
      <c r="AE2309" s="52" t="n">
        <v>0</v>
      </c>
      <c r="AF2309" s="51" t="n">
        <v>0</v>
      </c>
      <c r="AG2309" s="48" t="n">
        <v>0</v>
      </c>
      <c r="AH2309" s="49" t="n">
        <v>0</v>
      </c>
      <c r="AI2309" s="49" t="n">
        <v>0</v>
      </c>
      <c r="AJ2309" s="50" t="n">
        <v>0</v>
      </c>
      <c r="AK2309" s="51" t="n">
        <v>0</v>
      </c>
      <c r="AL2309" s="52" t="n">
        <v>0</v>
      </c>
      <c r="AM2309" s="52" t="n">
        <v>0</v>
      </c>
      <c r="AN2309" s="52" t="n">
        <v>0</v>
      </c>
      <c r="AO2309" s="53" t="n">
        <v>0</v>
      </c>
      <c r="AP2309" s="52" t="n">
        <v>0</v>
      </c>
      <c r="AQ2309" s="53" t="n">
        <v>0</v>
      </c>
      <c r="AR2309" s="52" t="n">
        <v>0</v>
      </c>
      <c r="AS2309" s="51" t="n">
        <v>0</v>
      </c>
      <c r="AT2309" s="48" t="n">
        <v>7.99</v>
      </c>
      <c r="AU2309" s="49" t="n">
        <v>1</v>
      </c>
      <c r="AV2309" s="49" t="n">
        <v>0</v>
      </c>
      <c r="AW2309" s="50" t="n">
        <v>0</v>
      </c>
      <c r="AX2309" s="51" t="n">
        <v>0</v>
      </c>
      <c r="AY2309" s="52" t="n">
        <v>0</v>
      </c>
      <c r="AZ2309" s="52" t="n">
        <v>0</v>
      </c>
      <c r="BA2309" s="52" t="n">
        <v>0</v>
      </c>
      <c r="BB2309" s="53" t="n">
        <v>0</v>
      </c>
      <c r="BC2309" s="52" t="n">
        <v>0</v>
      </c>
      <c r="BD2309" s="53" t="n">
        <v>0</v>
      </c>
      <c r="BE2309" s="52" t="n">
        <v>7.99</v>
      </c>
      <c r="BF2309" s="51" t="n">
        <v>0</v>
      </c>
    </row>
    <row r="2310">
      <c r="A2310">
        <f>HYPERLINK("https://www.walmart.com/ip/166351340", "166351340")</f>
        <v/>
      </c>
      <c r="B2310" t="inlineStr">
        <is>
          <t>KC Caps Washed Cotton Twill Hat</t>
        </is>
      </c>
      <c r="C2310" t="inlineStr">
        <is>
          <t>KCS4130LIME</t>
        </is>
      </c>
      <c r="D2310" t="inlineStr">
        <is>
          <t>Hats</t>
        </is>
      </c>
      <c r="E2310" t="inlineStr">
        <is>
          <t>KC Caps</t>
        </is>
      </c>
      <c r="F2310" t="inlineStr">
        <is>
          <t>Optimized</t>
        </is>
      </c>
      <c r="G2310" s="48" t="n">
        <v>0</v>
      </c>
      <c r="H2310" s="49" t="n">
        <v>0</v>
      </c>
      <c r="I2310" s="49" t="n">
        <v>0</v>
      </c>
      <c r="J2310" s="50" t="n">
        <v>0</v>
      </c>
      <c r="K2310" s="51" t="n">
        <v>0</v>
      </c>
      <c r="L2310" s="52" t="n">
        <v>0</v>
      </c>
      <c r="M2310" s="52" t="n">
        <v>0</v>
      </c>
      <c r="N2310" s="52" t="n">
        <v>0</v>
      </c>
      <c r="O2310" s="53" t="n">
        <v>0</v>
      </c>
      <c r="P2310" s="52" t="n">
        <v>0</v>
      </c>
      <c r="Q2310" s="53" t="n">
        <v>0</v>
      </c>
      <c r="R2310" s="52" t="n">
        <v>0</v>
      </c>
      <c r="S2310" s="51" t="n">
        <v>0</v>
      </c>
      <c r="T2310" s="48" t="n">
        <v>0</v>
      </c>
      <c r="U2310" s="49" t="n">
        <v>0</v>
      </c>
      <c r="V2310" s="49" t="n">
        <v>0</v>
      </c>
      <c r="W2310" s="50" t="n">
        <v>0</v>
      </c>
      <c r="X2310" s="51" t="n">
        <v>0</v>
      </c>
      <c r="Y2310" s="52" t="n">
        <v>0</v>
      </c>
      <c r="Z2310" s="52" t="n">
        <v>0</v>
      </c>
      <c r="AA2310" s="52" t="n">
        <v>0</v>
      </c>
      <c r="AB2310" s="53" t="n">
        <v>0</v>
      </c>
      <c r="AC2310" s="52" t="n">
        <v>0</v>
      </c>
      <c r="AD2310" s="53" t="n">
        <v>0</v>
      </c>
      <c r="AE2310" s="52" t="n">
        <v>0</v>
      </c>
      <c r="AF2310" s="51" t="n">
        <v>0</v>
      </c>
      <c r="AG2310" s="48" t="n">
        <v>0</v>
      </c>
      <c r="AH2310" s="49" t="n">
        <v>0</v>
      </c>
      <c r="AI2310" s="49" t="n">
        <v>0</v>
      </c>
      <c r="AJ2310" s="50" t="n">
        <v>0</v>
      </c>
      <c r="AK2310" s="51" t="n">
        <v>0</v>
      </c>
      <c r="AL2310" s="52" t="n">
        <v>0</v>
      </c>
      <c r="AM2310" s="52" t="n">
        <v>0</v>
      </c>
      <c r="AN2310" s="52" t="n">
        <v>0</v>
      </c>
      <c r="AO2310" s="53" t="n">
        <v>0</v>
      </c>
      <c r="AP2310" s="52" t="n">
        <v>0</v>
      </c>
      <c r="AQ2310" s="53" t="n">
        <v>0</v>
      </c>
      <c r="AR2310" s="52" t="n">
        <v>0</v>
      </c>
      <c r="AS2310" s="51" t="n">
        <v>0</v>
      </c>
      <c r="AT2310" s="48" t="n">
        <v>0</v>
      </c>
      <c r="AU2310" s="49" t="n">
        <v>0</v>
      </c>
      <c r="AV2310" s="49" t="n">
        <v>0</v>
      </c>
      <c r="AW2310" s="50" t="n">
        <v>0</v>
      </c>
      <c r="AX2310" s="51" t="n">
        <v>0</v>
      </c>
      <c r="AY2310" s="52" t="n">
        <v>0</v>
      </c>
      <c r="AZ2310" s="52" t="n">
        <v>0</v>
      </c>
      <c r="BA2310" s="52" t="n">
        <v>0</v>
      </c>
      <c r="BB2310" s="53" t="n">
        <v>0</v>
      </c>
      <c r="BC2310" s="52" t="n">
        <v>0</v>
      </c>
      <c r="BD2310" s="53" t="n">
        <v>0</v>
      </c>
      <c r="BE2310" s="52" t="n">
        <v>0</v>
      </c>
      <c r="BF2310" s="51" t="n">
        <v>0</v>
      </c>
    </row>
    <row r="2311">
      <c r="A2311">
        <f>HYPERLINK("https://www.walmart.com/ip/162073245", "162073245")</f>
        <v/>
      </c>
      <c r="B2311" t="inlineStr">
        <is>
          <t>Tirrinia Large Insulated Lunch Bag for Women Men, 10L Leakproof Thermal Reusable Lunch Box for Adult &amp; Kids, Tall Meal Prep Lunch Cooler Tote for Office Work, Back to School, Purple</t>
        </is>
      </c>
      <c r="C2311" t="inlineStr">
        <is>
          <t>1TRLB701PP-T</t>
        </is>
      </c>
      <c r="D2311" t="inlineStr">
        <is>
          <t>Reusable Lunch Bags &amp; Boxes</t>
        </is>
      </c>
      <c r="E2311" t="inlineStr">
        <is>
          <t>Tirrinia</t>
        </is>
      </c>
      <c r="F2311" t="inlineStr">
        <is>
          <t>Q2-Target,Brand Camp VD,Lunch Bags,SEM,Batch 1 - TR</t>
        </is>
      </c>
      <c r="G2311" s="48" t="n">
        <v>0</v>
      </c>
      <c r="H2311" s="49" t="n">
        <v>0</v>
      </c>
      <c r="I2311" s="49" t="n">
        <v>1</v>
      </c>
      <c r="J2311" s="50" t="n">
        <v>0</v>
      </c>
      <c r="K2311" s="51" t="n">
        <v>0</v>
      </c>
      <c r="L2311" s="52" t="n">
        <v>0</v>
      </c>
      <c r="M2311" s="52" t="n">
        <v>0</v>
      </c>
      <c r="N2311" s="52" t="n">
        <v>0</v>
      </c>
      <c r="O2311" s="53" t="n">
        <v>0</v>
      </c>
      <c r="P2311" s="52" t="n">
        <v>0</v>
      </c>
      <c r="Q2311" s="53" t="n">
        <v>0</v>
      </c>
      <c r="R2311" s="52" t="n">
        <v>0</v>
      </c>
      <c r="S2311" s="51" t="n">
        <v>0</v>
      </c>
      <c r="T2311" s="48" t="n">
        <v>25.98</v>
      </c>
      <c r="U2311" s="49" t="n">
        <v>2</v>
      </c>
      <c r="V2311" s="49" t="n">
        <v>6</v>
      </c>
      <c r="W2311" s="50" t="n">
        <v>0.3333333333333333</v>
      </c>
      <c r="X2311" s="51" t="n">
        <v>0</v>
      </c>
      <c r="Y2311" s="52" t="n">
        <v>0</v>
      </c>
      <c r="Z2311" s="52" t="n">
        <v>0</v>
      </c>
      <c r="AA2311" s="52" t="n">
        <v>0</v>
      </c>
      <c r="AB2311" s="53" t="n">
        <v>0</v>
      </c>
      <c r="AC2311" s="52" t="n">
        <v>0</v>
      </c>
      <c r="AD2311" s="53" t="n">
        <v>0</v>
      </c>
      <c r="AE2311" s="52" t="n">
        <v>12.99</v>
      </c>
      <c r="AF2311" s="51" t="n">
        <v>0</v>
      </c>
      <c r="AG2311" s="48" t="n">
        <v>0</v>
      </c>
      <c r="AH2311" s="49" t="n">
        <v>0</v>
      </c>
      <c r="AI2311" s="49" t="n">
        <v>2</v>
      </c>
      <c r="AJ2311" s="50" t="n">
        <v>0</v>
      </c>
      <c r="AK2311" s="51" t="n">
        <v>0</v>
      </c>
      <c r="AL2311" s="52" t="n">
        <v>0</v>
      </c>
      <c r="AM2311" s="52" t="n">
        <v>0</v>
      </c>
      <c r="AN2311" s="52" t="n">
        <v>0</v>
      </c>
      <c r="AO2311" s="53" t="n">
        <v>0</v>
      </c>
      <c r="AP2311" s="52" t="n">
        <v>0</v>
      </c>
      <c r="AQ2311" s="53" t="n">
        <v>0</v>
      </c>
      <c r="AR2311" s="52" t="n">
        <v>0</v>
      </c>
      <c r="AS2311" s="51" t="n">
        <v>0</v>
      </c>
      <c r="AT2311" s="48" t="n">
        <v>0</v>
      </c>
      <c r="AU2311" s="49" t="n">
        <v>0</v>
      </c>
      <c r="AV2311" s="49" t="n">
        <v>5</v>
      </c>
      <c r="AW2311" s="50" t="n">
        <v>0</v>
      </c>
      <c r="AX2311" s="51" t="n">
        <v>0</v>
      </c>
      <c r="AY2311" s="52" t="n">
        <v>0</v>
      </c>
      <c r="AZ2311" s="52" t="n">
        <v>0</v>
      </c>
      <c r="BA2311" s="52" t="n">
        <v>0</v>
      </c>
      <c r="BB2311" s="53" t="n">
        <v>0</v>
      </c>
      <c r="BC2311" s="52" t="n">
        <v>0</v>
      </c>
      <c r="BD2311" s="53" t="n">
        <v>0</v>
      </c>
      <c r="BE2311" s="52" t="n">
        <v>0</v>
      </c>
      <c r="BF2311" s="51" t="n">
        <v>0</v>
      </c>
    </row>
    <row r="2312">
      <c r="A2312">
        <f>HYPERLINK("https://www.walmart.com/ip/1599699725", "1599699725")</f>
        <v/>
      </c>
      <c r="B2312" t="inlineStr">
        <is>
          <t>Every Day is Christmas Glass Blown Ornaments 2022 Cute Hand Made Figurines Tree Decoration - 12.5cm glass set of 2 guitar ornament</t>
        </is>
      </c>
      <c r="C2312" t="inlineStr">
        <is>
          <t>EDC-FIGURINE-GUITAR</t>
        </is>
      </c>
      <c r="D2312" t="inlineStr">
        <is>
          <t>Ornaments</t>
        </is>
      </c>
      <c r="E2312" t="inlineStr">
        <is>
          <t>Every Day is Christmas</t>
        </is>
      </c>
      <c r="G2312" s="48" t="n">
        <v>0</v>
      </c>
      <c r="H2312" s="49" t="n">
        <v>0</v>
      </c>
      <c r="I2312" s="49" t="n">
        <v>0</v>
      </c>
      <c r="J2312" s="50" t="n">
        <v>0</v>
      </c>
      <c r="K2312" s="51" t="n">
        <v>0</v>
      </c>
      <c r="L2312" s="52" t="n">
        <v>0</v>
      </c>
      <c r="M2312" s="52" t="n">
        <v>0</v>
      </c>
      <c r="N2312" s="52" t="n">
        <v>0</v>
      </c>
      <c r="O2312" s="53" t="n">
        <v>0</v>
      </c>
      <c r="P2312" s="52" t="n">
        <v>0</v>
      </c>
      <c r="Q2312" s="53" t="n">
        <v>0</v>
      </c>
      <c r="R2312" s="52" t="n">
        <v>0</v>
      </c>
      <c r="S2312" s="51" t="n">
        <v>0</v>
      </c>
      <c r="T2312" s="48" t="n">
        <v>0</v>
      </c>
      <c r="U2312" s="49" t="n">
        <v>0</v>
      </c>
      <c r="V2312" s="49" t="n">
        <v>0</v>
      </c>
      <c r="W2312" s="50" t="n">
        <v>0</v>
      </c>
      <c r="X2312" s="51" t="n">
        <v>0</v>
      </c>
      <c r="Y2312" s="52" t="n">
        <v>0</v>
      </c>
      <c r="Z2312" s="52" t="n">
        <v>0</v>
      </c>
      <c r="AA2312" s="52" t="n">
        <v>0</v>
      </c>
      <c r="AB2312" s="53" t="n">
        <v>0</v>
      </c>
      <c r="AC2312" s="52" t="n">
        <v>0</v>
      </c>
      <c r="AD2312" s="53" t="n">
        <v>0</v>
      </c>
      <c r="AE2312" s="52" t="n">
        <v>0</v>
      </c>
      <c r="AF2312" s="51" t="n">
        <v>0</v>
      </c>
      <c r="AG2312" s="48" t="n">
        <v>0</v>
      </c>
      <c r="AH2312" s="49" t="n">
        <v>0</v>
      </c>
      <c r="AI2312" s="49" t="n">
        <v>0</v>
      </c>
      <c r="AJ2312" s="50" t="n">
        <v>0</v>
      </c>
      <c r="AK2312" s="51" t="n">
        <v>0</v>
      </c>
      <c r="AL2312" s="52" t="n">
        <v>0</v>
      </c>
      <c r="AM2312" s="52" t="n">
        <v>0</v>
      </c>
      <c r="AN2312" s="52" t="n">
        <v>0</v>
      </c>
      <c r="AO2312" s="53" t="n">
        <v>0</v>
      </c>
      <c r="AP2312" s="52" t="n">
        <v>0</v>
      </c>
      <c r="AQ2312" s="53" t="n">
        <v>0</v>
      </c>
      <c r="AR2312" s="52" t="n">
        <v>0</v>
      </c>
      <c r="AS2312" s="51" t="n">
        <v>0</v>
      </c>
      <c r="AT2312" s="48" t="n">
        <v>0</v>
      </c>
      <c r="AU2312" s="49" t="n">
        <v>0</v>
      </c>
      <c r="AV2312" s="49" t="n">
        <v>0</v>
      </c>
      <c r="AW2312" s="50" t="n">
        <v>0</v>
      </c>
      <c r="AX2312" s="51" t="n">
        <v>0</v>
      </c>
      <c r="AY2312" s="52" t="n">
        <v>0</v>
      </c>
      <c r="AZ2312" s="52" t="n">
        <v>0</v>
      </c>
      <c r="BA2312" s="52" t="n">
        <v>0</v>
      </c>
      <c r="BB2312" s="53" t="n">
        <v>0</v>
      </c>
      <c r="BC2312" s="52" t="n">
        <v>0</v>
      </c>
      <c r="BD2312" s="53" t="n">
        <v>0</v>
      </c>
      <c r="BE2312" s="52" t="n">
        <v>0</v>
      </c>
      <c r="BF2312" s="51" t="n">
        <v>0</v>
      </c>
    </row>
    <row r="2313">
      <c r="A2313">
        <f>HYPERLINK("https://www.walmart.com/ip/1600906809", "1600906809")</f>
        <v/>
      </c>
      <c r="B2313" t="inlineStr">
        <is>
          <t>Women’s Plush Hoodie Sweatshirt Dress, Casual Pullover Sweater with Kangaroo Pocket, One Size</t>
        </is>
      </c>
      <c r="C2313" t="inlineStr">
        <is>
          <t>1CTHD531BL</t>
        </is>
      </c>
      <c r="D2313" t="inlineStr">
        <is>
          <t>Sweatshirts &amp; Hoodies</t>
        </is>
      </c>
      <c r="E2313" t="inlineStr">
        <is>
          <t>Catalonia</t>
        </is>
      </c>
      <c r="F2313" t="inlineStr">
        <is>
          <t>Batch 1 - TR</t>
        </is>
      </c>
      <c r="G2313" s="48" t="n">
        <v>0</v>
      </c>
      <c r="H2313" s="49" t="n">
        <v>0</v>
      </c>
      <c r="I2313" s="49" t="n">
        <v>0</v>
      </c>
      <c r="J2313" s="50" t="n">
        <v>0</v>
      </c>
      <c r="K2313" s="51" t="n">
        <v>0</v>
      </c>
      <c r="L2313" s="52" t="n">
        <v>0</v>
      </c>
      <c r="M2313" s="52" t="n">
        <v>0</v>
      </c>
      <c r="N2313" s="52" t="n">
        <v>0</v>
      </c>
      <c r="O2313" s="53" t="n">
        <v>0</v>
      </c>
      <c r="P2313" s="52" t="n">
        <v>0</v>
      </c>
      <c r="Q2313" s="53" t="n">
        <v>0</v>
      </c>
      <c r="R2313" s="52" t="n">
        <v>0</v>
      </c>
      <c r="S2313" s="51" t="n">
        <v>0</v>
      </c>
      <c r="T2313" s="48" t="n">
        <v>0</v>
      </c>
      <c r="U2313" s="49" t="n">
        <v>0</v>
      </c>
      <c r="V2313" s="49" t="n">
        <v>0</v>
      </c>
      <c r="W2313" s="50" t="n">
        <v>0</v>
      </c>
      <c r="X2313" s="51" t="n">
        <v>0</v>
      </c>
      <c r="Y2313" s="52" t="n">
        <v>0</v>
      </c>
      <c r="Z2313" s="52" t="n">
        <v>0</v>
      </c>
      <c r="AA2313" s="52" t="n">
        <v>0</v>
      </c>
      <c r="AB2313" s="53" t="n">
        <v>0</v>
      </c>
      <c r="AC2313" s="52" t="n">
        <v>0</v>
      </c>
      <c r="AD2313" s="53" t="n">
        <v>0</v>
      </c>
      <c r="AE2313" s="52" t="n">
        <v>0</v>
      </c>
      <c r="AF2313" s="51" t="n">
        <v>0</v>
      </c>
      <c r="AG2313" s="48" t="n">
        <v>0</v>
      </c>
      <c r="AH2313" s="49" t="n">
        <v>0</v>
      </c>
      <c r="AI2313" s="49" t="n">
        <v>0</v>
      </c>
      <c r="AJ2313" s="50" t="n">
        <v>0</v>
      </c>
      <c r="AK2313" s="51" t="n">
        <v>0</v>
      </c>
      <c r="AL2313" s="52" t="n">
        <v>0</v>
      </c>
      <c r="AM2313" s="52" t="n">
        <v>0</v>
      </c>
      <c r="AN2313" s="52" t="n">
        <v>0</v>
      </c>
      <c r="AO2313" s="53" t="n">
        <v>0</v>
      </c>
      <c r="AP2313" s="52" t="n">
        <v>0</v>
      </c>
      <c r="AQ2313" s="53" t="n">
        <v>0</v>
      </c>
      <c r="AR2313" s="52" t="n">
        <v>0</v>
      </c>
      <c r="AS2313" s="51" t="n">
        <v>0</v>
      </c>
      <c r="AT2313" s="48" t="n">
        <v>0</v>
      </c>
      <c r="AU2313" s="49" t="n">
        <v>0</v>
      </c>
      <c r="AV2313" s="49" t="n">
        <v>0</v>
      </c>
      <c r="AW2313" s="50" t="n">
        <v>0</v>
      </c>
      <c r="AX2313" s="51" t="n">
        <v>0</v>
      </c>
      <c r="AY2313" s="52" t="n">
        <v>0</v>
      </c>
      <c r="AZ2313" s="52" t="n">
        <v>0</v>
      </c>
      <c r="BA2313" s="52" t="n">
        <v>0</v>
      </c>
      <c r="BB2313" s="53" t="n">
        <v>0</v>
      </c>
      <c r="BC2313" s="52" t="n">
        <v>0</v>
      </c>
      <c r="BD2313" s="53" t="n">
        <v>0</v>
      </c>
      <c r="BE2313" s="52" t="n">
        <v>0</v>
      </c>
      <c r="BF2313" s="51" t="n">
        <v>0</v>
      </c>
    </row>
    <row r="2314">
      <c r="A2314">
        <f>HYPERLINK("https://www.walmart.com/ip/160150509", "160150509")</f>
        <v/>
      </c>
      <c r="B2314" t="inlineStr">
        <is>
          <t>KC Caps Thick Weave Waffle Knit Beanie</t>
        </is>
      </c>
      <c r="C2314" t="inlineStr">
        <is>
          <t>KCW1600BK</t>
        </is>
      </c>
      <c r="D2314" t="inlineStr">
        <is>
          <t>Hats</t>
        </is>
      </c>
      <c r="E2314" t="inlineStr">
        <is>
          <t>KC Caps</t>
        </is>
      </c>
      <c r="F2314" t="inlineStr">
        <is>
          <t>Optimized</t>
        </is>
      </c>
      <c r="G2314" s="48" t="n">
        <v>0</v>
      </c>
      <c r="H2314" s="49" t="n">
        <v>0</v>
      </c>
      <c r="I2314" s="49" t="n">
        <v>0</v>
      </c>
      <c r="J2314" s="50" t="n">
        <v>0</v>
      </c>
      <c r="K2314" s="51" t="n">
        <v>0</v>
      </c>
      <c r="L2314" s="52" t="n">
        <v>0</v>
      </c>
      <c r="M2314" s="52" t="n">
        <v>0</v>
      </c>
      <c r="N2314" s="52" t="n">
        <v>0</v>
      </c>
      <c r="O2314" s="53" t="n">
        <v>0</v>
      </c>
      <c r="P2314" s="52" t="n">
        <v>0</v>
      </c>
      <c r="Q2314" s="53" t="n">
        <v>0</v>
      </c>
      <c r="R2314" s="52" t="n">
        <v>0</v>
      </c>
      <c r="S2314" s="51" t="n">
        <v>0</v>
      </c>
      <c r="T2314" s="48" t="n">
        <v>0</v>
      </c>
      <c r="U2314" s="49" t="n">
        <v>0</v>
      </c>
      <c r="V2314" s="49" t="n">
        <v>0</v>
      </c>
      <c r="W2314" s="50" t="n">
        <v>0</v>
      </c>
      <c r="X2314" s="51" t="n">
        <v>0</v>
      </c>
      <c r="Y2314" s="52" t="n">
        <v>0</v>
      </c>
      <c r="Z2314" s="52" t="n">
        <v>0</v>
      </c>
      <c r="AA2314" s="52" t="n">
        <v>0</v>
      </c>
      <c r="AB2314" s="53" t="n">
        <v>0</v>
      </c>
      <c r="AC2314" s="52" t="n">
        <v>0</v>
      </c>
      <c r="AD2314" s="53" t="n">
        <v>0</v>
      </c>
      <c r="AE2314" s="52" t="n">
        <v>0</v>
      </c>
      <c r="AF2314" s="51" t="n">
        <v>0</v>
      </c>
      <c r="AG2314" s="48" t="n">
        <v>0</v>
      </c>
      <c r="AH2314" s="49" t="n">
        <v>0</v>
      </c>
      <c r="AI2314" s="49" t="n">
        <v>0</v>
      </c>
      <c r="AJ2314" s="50" t="n">
        <v>0</v>
      </c>
      <c r="AK2314" s="51" t="n">
        <v>0</v>
      </c>
      <c r="AL2314" s="52" t="n">
        <v>0</v>
      </c>
      <c r="AM2314" s="52" t="n">
        <v>0</v>
      </c>
      <c r="AN2314" s="52" t="n">
        <v>0</v>
      </c>
      <c r="AO2314" s="53" t="n">
        <v>0</v>
      </c>
      <c r="AP2314" s="52" t="n">
        <v>0</v>
      </c>
      <c r="AQ2314" s="53" t="n">
        <v>0</v>
      </c>
      <c r="AR2314" s="52" t="n">
        <v>0</v>
      </c>
      <c r="AS2314" s="51" t="n">
        <v>0</v>
      </c>
      <c r="AT2314" s="48" t="n">
        <v>0</v>
      </c>
      <c r="AU2314" s="49" t="n">
        <v>0</v>
      </c>
      <c r="AV2314" s="49" t="n">
        <v>0</v>
      </c>
      <c r="AW2314" s="50" t="n">
        <v>0</v>
      </c>
      <c r="AX2314" s="51" t="n">
        <v>0</v>
      </c>
      <c r="AY2314" s="52" t="n">
        <v>0</v>
      </c>
      <c r="AZ2314" s="52" t="n">
        <v>0</v>
      </c>
      <c r="BA2314" s="52" t="n">
        <v>0</v>
      </c>
      <c r="BB2314" s="53" t="n">
        <v>0</v>
      </c>
      <c r="BC2314" s="52" t="n">
        <v>0</v>
      </c>
      <c r="BD2314" s="53" t="n">
        <v>0</v>
      </c>
      <c r="BE2314" s="52" t="n">
        <v>0</v>
      </c>
      <c r="BF2314" s="51" t="n">
        <v>0</v>
      </c>
    </row>
    <row r="2315">
      <c r="A2315">
        <f>HYPERLINK("https://www.walmart.com/ip/16023218824", "16023218824")</f>
        <v/>
      </c>
      <c r="B2315" t="inlineStr">
        <is>
          <t>Dickies Basic Insulated Lunch Bag for Work, Thermal Reusable Office Lunch Box for Men, Women (Purple)</t>
        </is>
      </c>
      <c r="C2315" t="inlineStr">
        <is>
          <t>DK-LUNCH-BASICBOX-PURPLE</t>
        </is>
      </c>
      <c r="D2315" t="inlineStr">
        <is>
          <t>Reusable Lunch Bags &amp; Boxes</t>
        </is>
      </c>
      <c r="E2315" t="inlineStr">
        <is>
          <t>Dickies</t>
        </is>
      </c>
      <c r="G2315" s="48" t="n">
        <v>0</v>
      </c>
      <c r="H2315" s="49" t="n">
        <v>0</v>
      </c>
      <c r="I2315" s="49" t="n">
        <v>0</v>
      </c>
      <c r="J2315" s="50" t="n">
        <v>0</v>
      </c>
      <c r="K2315" s="51" t="n">
        <v>0</v>
      </c>
      <c r="L2315" s="52" t="n">
        <v>0</v>
      </c>
      <c r="M2315" s="52" t="n">
        <v>0</v>
      </c>
      <c r="N2315" s="52" t="n">
        <v>0</v>
      </c>
      <c r="O2315" s="53" t="n">
        <v>0</v>
      </c>
      <c r="P2315" s="52" t="n">
        <v>0</v>
      </c>
      <c r="Q2315" s="53" t="n">
        <v>0</v>
      </c>
      <c r="R2315" s="52" t="n">
        <v>0</v>
      </c>
      <c r="S2315" s="51" t="n">
        <v>0</v>
      </c>
      <c r="T2315" s="48" t="n">
        <v>0</v>
      </c>
      <c r="U2315" s="49" t="n">
        <v>0</v>
      </c>
      <c r="V2315" s="49" t="n">
        <v>0</v>
      </c>
      <c r="W2315" s="50" t="n">
        <v>0</v>
      </c>
      <c r="X2315" s="51" t="n">
        <v>0</v>
      </c>
      <c r="Y2315" s="52" t="n">
        <v>0</v>
      </c>
      <c r="Z2315" s="52" t="n">
        <v>0</v>
      </c>
      <c r="AA2315" s="52" t="n">
        <v>0</v>
      </c>
      <c r="AB2315" s="53" t="n">
        <v>0</v>
      </c>
      <c r="AC2315" s="52" t="n">
        <v>0</v>
      </c>
      <c r="AD2315" s="53" t="n">
        <v>0</v>
      </c>
      <c r="AE2315" s="52" t="n">
        <v>0</v>
      </c>
      <c r="AF2315" s="51" t="n">
        <v>0</v>
      </c>
      <c r="AG2315" s="48" t="n">
        <v>0</v>
      </c>
      <c r="AH2315" s="49" t="n">
        <v>0</v>
      </c>
      <c r="AI2315" s="49" t="n">
        <v>0</v>
      </c>
      <c r="AJ2315" s="50" t="n">
        <v>0</v>
      </c>
      <c r="AK2315" s="51" t="n">
        <v>0</v>
      </c>
      <c r="AL2315" s="52" t="n">
        <v>0</v>
      </c>
      <c r="AM2315" s="52" t="n">
        <v>0</v>
      </c>
      <c r="AN2315" s="52" t="n">
        <v>0</v>
      </c>
      <c r="AO2315" s="53" t="n">
        <v>0</v>
      </c>
      <c r="AP2315" s="52" t="n">
        <v>0</v>
      </c>
      <c r="AQ2315" s="53" t="n">
        <v>0</v>
      </c>
      <c r="AR2315" s="52" t="n">
        <v>0</v>
      </c>
      <c r="AS2315" s="51" t="n">
        <v>0</v>
      </c>
      <c r="AT2315" s="48" t="n">
        <v>0</v>
      </c>
      <c r="AU2315" s="49" t="n">
        <v>0</v>
      </c>
      <c r="AV2315" s="49" t="n">
        <v>0</v>
      </c>
      <c r="AW2315" s="50" t="n">
        <v>0</v>
      </c>
      <c r="AX2315" s="51" t="n">
        <v>0</v>
      </c>
      <c r="AY2315" s="52" t="n">
        <v>0</v>
      </c>
      <c r="AZ2315" s="52" t="n">
        <v>0</v>
      </c>
      <c r="BA2315" s="52" t="n">
        <v>0</v>
      </c>
      <c r="BB2315" s="53" t="n">
        <v>0</v>
      </c>
      <c r="BC2315" s="52" t="n">
        <v>0</v>
      </c>
      <c r="BD2315" s="53" t="n">
        <v>0</v>
      </c>
      <c r="BE2315" s="52" t="n">
        <v>0</v>
      </c>
      <c r="BF2315" s="51" t="n">
        <v>0</v>
      </c>
    </row>
    <row r="2316">
      <c r="A2316">
        <f>HYPERLINK("https://www.walmart.com/ip/16030207219", "16030207219")</f>
        <v/>
      </c>
      <c r="B2316" t="inlineStr">
        <is>
          <t>Dickies Insulated Lunch Bag Satchel for Girls School and Work, Thermal Reusable Office Lunch Box for Women (Charcoal)</t>
        </is>
      </c>
      <c r="C2316" t="inlineStr">
        <is>
          <t>DK-LUNCH-SATCHEL-GREYCAMO</t>
        </is>
      </c>
      <c r="D2316" t="inlineStr">
        <is>
          <t>Reusable Lunch Bags &amp; Boxes</t>
        </is>
      </c>
      <c r="E2316" t="inlineStr">
        <is>
          <t>Dickies</t>
        </is>
      </c>
      <c r="G2316" s="48" t="n">
        <v>0</v>
      </c>
      <c r="H2316" s="49" t="n">
        <v>0</v>
      </c>
      <c r="I2316" s="49" t="n">
        <v>0</v>
      </c>
      <c r="J2316" s="50" t="n">
        <v>0</v>
      </c>
      <c r="K2316" s="51" t="n">
        <v>0</v>
      </c>
      <c r="L2316" s="52" t="n">
        <v>0</v>
      </c>
      <c r="M2316" s="52" t="n">
        <v>0</v>
      </c>
      <c r="N2316" s="52" t="n">
        <v>0</v>
      </c>
      <c r="O2316" s="53" t="n">
        <v>0</v>
      </c>
      <c r="P2316" s="52" t="n">
        <v>0</v>
      </c>
      <c r="Q2316" s="53" t="n">
        <v>0</v>
      </c>
      <c r="R2316" s="52" t="n">
        <v>0</v>
      </c>
      <c r="S2316" s="51" t="n">
        <v>0</v>
      </c>
      <c r="T2316" s="48" t="n">
        <v>0</v>
      </c>
      <c r="U2316" s="49" t="n">
        <v>0</v>
      </c>
      <c r="V2316" s="49" t="n">
        <v>0</v>
      </c>
      <c r="W2316" s="50" t="n">
        <v>0</v>
      </c>
      <c r="X2316" s="51" t="n">
        <v>0</v>
      </c>
      <c r="Y2316" s="52" t="n">
        <v>0</v>
      </c>
      <c r="Z2316" s="52" t="n">
        <v>0</v>
      </c>
      <c r="AA2316" s="52" t="n">
        <v>0</v>
      </c>
      <c r="AB2316" s="53" t="n">
        <v>0</v>
      </c>
      <c r="AC2316" s="52" t="n">
        <v>0</v>
      </c>
      <c r="AD2316" s="53" t="n">
        <v>0</v>
      </c>
      <c r="AE2316" s="52" t="n">
        <v>0</v>
      </c>
      <c r="AF2316" s="51" t="n">
        <v>0</v>
      </c>
      <c r="AG2316" s="48" t="n">
        <v>0</v>
      </c>
      <c r="AH2316" s="49" t="n">
        <v>0</v>
      </c>
      <c r="AI2316" s="49" t="n">
        <v>0</v>
      </c>
      <c r="AJ2316" s="50" t="n">
        <v>0</v>
      </c>
      <c r="AK2316" s="51" t="n">
        <v>0</v>
      </c>
      <c r="AL2316" s="52" t="n">
        <v>0</v>
      </c>
      <c r="AM2316" s="52" t="n">
        <v>0</v>
      </c>
      <c r="AN2316" s="52" t="n">
        <v>0</v>
      </c>
      <c r="AO2316" s="53" t="n">
        <v>0</v>
      </c>
      <c r="AP2316" s="52" t="n">
        <v>0</v>
      </c>
      <c r="AQ2316" s="53" t="n">
        <v>0</v>
      </c>
      <c r="AR2316" s="52" t="n">
        <v>0</v>
      </c>
      <c r="AS2316" s="51" t="n">
        <v>0</v>
      </c>
      <c r="AT2316" s="48" t="n">
        <v>0</v>
      </c>
      <c r="AU2316" s="49" t="n">
        <v>0</v>
      </c>
      <c r="AV2316" s="49" t="n">
        <v>0</v>
      </c>
      <c r="AW2316" s="50" t="n">
        <v>0</v>
      </c>
      <c r="AX2316" s="51" t="n">
        <v>0</v>
      </c>
      <c r="AY2316" s="52" t="n">
        <v>0</v>
      </c>
      <c r="AZ2316" s="52" t="n">
        <v>0</v>
      </c>
      <c r="BA2316" s="52" t="n">
        <v>0</v>
      </c>
      <c r="BB2316" s="53" t="n">
        <v>0</v>
      </c>
      <c r="BC2316" s="52" t="n">
        <v>0</v>
      </c>
      <c r="BD2316" s="53" t="n">
        <v>0</v>
      </c>
      <c r="BE2316" s="52" t="n">
        <v>0</v>
      </c>
      <c r="BF2316" s="51" t="n">
        <v>0</v>
      </c>
    </row>
    <row r="2317">
      <c r="A2317">
        <f>HYPERLINK("https://www.walmart.com/ip/160338746", "160338746")</f>
        <v/>
      </c>
      <c r="B2317" t="inlineStr">
        <is>
          <t>Tirrinia 6 Bottle Wine Cooler Bag - Insulated Padded Portable Versatile Wine Carrier Tote Bag for Travel, BYOB Restaurant, Wine Tasting, Party, Pecfect Gift for Wine Lover, Blue Stripe</t>
        </is>
      </c>
      <c r="C2317" t="inlineStr">
        <is>
          <t>1TRWB602STR</t>
        </is>
      </c>
      <c r="D2317" t="inlineStr">
        <is>
          <t>Wine Totes, Bags &amp; Backpacks</t>
        </is>
      </c>
      <c r="E2317" t="inlineStr">
        <is>
          <t>Tirrinia</t>
        </is>
      </c>
      <c r="F2317" t="inlineStr">
        <is>
          <t>Wine,Christmas,WFS,Wine WFS,Valentine,SEM,WFS Item,Lily Brand Camp</t>
        </is>
      </c>
      <c r="G2317" s="48" t="n">
        <v>0</v>
      </c>
      <c r="H2317" s="49" t="n">
        <v>0</v>
      </c>
      <c r="I2317" s="49" t="n">
        <v>0</v>
      </c>
      <c r="J2317" s="50" t="n">
        <v>0</v>
      </c>
      <c r="K2317" s="51" t="n">
        <v>0</v>
      </c>
      <c r="L2317" s="52" t="n">
        <v>0</v>
      </c>
      <c r="M2317" s="52" t="n">
        <v>0</v>
      </c>
      <c r="N2317" s="52" t="n">
        <v>0</v>
      </c>
      <c r="O2317" s="53" t="n">
        <v>0</v>
      </c>
      <c r="P2317" s="52" t="n">
        <v>0</v>
      </c>
      <c r="Q2317" s="53" t="n">
        <v>0</v>
      </c>
      <c r="R2317" s="52" t="n">
        <v>0</v>
      </c>
      <c r="S2317" s="51" t="n">
        <v>0</v>
      </c>
      <c r="T2317" s="48" t="n">
        <v>0</v>
      </c>
      <c r="U2317" s="49" t="n">
        <v>0</v>
      </c>
      <c r="V2317" s="49" t="n">
        <v>0</v>
      </c>
      <c r="W2317" s="50" t="n">
        <v>0</v>
      </c>
      <c r="X2317" s="51" t="n">
        <v>0</v>
      </c>
      <c r="Y2317" s="52" t="n">
        <v>0</v>
      </c>
      <c r="Z2317" s="52" t="n">
        <v>0</v>
      </c>
      <c r="AA2317" s="52" t="n">
        <v>0</v>
      </c>
      <c r="AB2317" s="53" t="n">
        <v>0</v>
      </c>
      <c r="AC2317" s="52" t="n">
        <v>0</v>
      </c>
      <c r="AD2317" s="53" t="n">
        <v>0</v>
      </c>
      <c r="AE2317" s="52" t="n">
        <v>0</v>
      </c>
      <c r="AF2317" s="51" t="n">
        <v>0</v>
      </c>
      <c r="AG2317" s="48" t="n">
        <v>0</v>
      </c>
      <c r="AH2317" s="49" t="n">
        <v>0</v>
      </c>
      <c r="AI2317" s="49" t="n">
        <v>0</v>
      </c>
      <c r="AJ2317" s="50" t="n">
        <v>0</v>
      </c>
      <c r="AK2317" s="51" t="n">
        <v>0</v>
      </c>
      <c r="AL2317" s="52" t="n">
        <v>0</v>
      </c>
      <c r="AM2317" s="52" t="n">
        <v>0</v>
      </c>
      <c r="AN2317" s="52" t="n">
        <v>0</v>
      </c>
      <c r="AO2317" s="53" t="n">
        <v>0</v>
      </c>
      <c r="AP2317" s="52" t="n">
        <v>0</v>
      </c>
      <c r="AQ2317" s="53" t="n">
        <v>0</v>
      </c>
      <c r="AR2317" s="52" t="n">
        <v>0</v>
      </c>
      <c r="AS2317" s="51" t="n">
        <v>0</v>
      </c>
      <c r="AT2317" s="48" t="n">
        <v>0</v>
      </c>
      <c r="AU2317" s="49" t="n">
        <v>0</v>
      </c>
      <c r="AV2317" s="49" t="n">
        <v>0</v>
      </c>
      <c r="AW2317" s="50" t="n">
        <v>0</v>
      </c>
      <c r="AX2317" s="51" t="n">
        <v>0</v>
      </c>
      <c r="AY2317" s="52" t="n">
        <v>0</v>
      </c>
      <c r="AZ2317" s="52" t="n">
        <v>0</v>
      </c>
      <c r="BA2317" s="52" t="n">
        <v>0</v>
      </c>
      <c r="BB2317" s="53" t="n">
        <v>0</v>
      </c>
      <c r="BC2317" s="52" t="n">
        <v>0</v>
      </c>
      <c r="BD2317" s="53" t="n">
        <v>0</v>
      </c>
      <c r="BE2317" s="52" t="n">
        <v>0</v>
      </c>
      <c r="BF2317" s="51" t="n">
        <v>0</v>
      </c>
    </row>
    <row r="2318">
      <c r="A2318">
        <f>HYPERLINK("https://www.walmart.com/ip/160777915", "160777915")</f>
        <v/>
      </c>
      <c r="B2318" t="inlineStr">
        <is>
          <t>JenniWears Women's Beileise Sexy Suspender Pantyhose Stockings Black Socks</t>
        </is>
      </c>
      <c r="C2318" t="inlineStr">
        <is>
          <t>JWBLSPH2010</t>
        </is>
      </c>
      <c r="D2318" t="inlineStr">
        <is>
          <t>Pantyhose &amp; Tights</t>
        </is>
      </c>
      <c r="E2318" t="inlineStr">
        <is>
          <t>JenniWears</t>
        </is>
      </c>
      <c r="F2318" t="inlineStr">
        <is>
          <t>Valentine</t>
        </is>
      </c>
      <c r="G2318" s="48" t="n">
        <v>0</v>
      </c>
      <c r="H2318" s="49" t="n">
        <v>0</v>
      </c>
      <c r="I2318" s="49" t="n">
        <v>0</v>
      </c>
      <c r="J2318" s="50" t="n">
        <v>0</v>
      </c>
      <c r="K2318" s="51" t="n">
        <v>0</v>
      </c>
      <c r="L2318" s="52" t="n">
        <v>0</v>
      </c>
      <c r="M2318" s="52" t="n">
        <v>0</v>
      </c>
      <c r="N2318" s="52" t="n">
        <v>0</v>
      </c>
      <c r="O2318" s="53" t="n">
        <v>0</v>
      </c>
      <c r="P2318" s="52" t="n">
        <v>0</v>
      </c>
      <c r="Q2318" s="53" t="n">
        <v>0</v>
      </c>
      <c r="R2318" s="52" t="n">
        <v>0</v>
      </c>
      <c r="S2318" s="51" t="n">
        <v>0</v>
      </c>
      <c r="T2318" s="48" t="n">
        <v>0</v>
      </c>
      <c r="U2318" s="49" t="n">
        <v>0</v>
      </c>
      <c r="V2318" s="49" t="n">
        <v>0</v>
      </c>
      <c r="W2318" s="50" t="n">
        <v>0</v>
      </c>
      <c r="X2318" s="51" t="n">
        <v>0</v>
      </c>
      <c r="Y2318" s="52" t="n">
        <v>0</v>
      </c>
      <c r="Z2318" s="52" t="n">
        <v>0</v>
      </c>
      <c r="AA2318" s="52" t="n">
        <v>0</v>
      </c>
      <c r="AB2318" s="53" t="n">
        <v>0</v>
      </c>
      <c r="AC2318" s="52" t="n">
        <v>0</v>
      </c>
      <c r="AD2318" s="53" t="n">
        <v>0</v>
      </c>
      <c r="AE2318" s="52" t="n">
        <v>0</v>
      </c>
      <c r="AF2318" s="51" t="n">
        <v>0</v>
      </c>
      <c r="AG2318" s="48" t="n">
        <v>0</v>
      </c>
      <c r="AH2318" s="49" t="n">
        <v>0</v>
      </c>
      <c r="AI2318" s="49" t="n">
        <v>0</v>
      </c>
      <c r="AJ2318" s="50" t="n">
        <v>0</v>
      </c>
      <c r="AK2318" s="51" t="n">
        <v>0</v>
      </c>
      <c r="AL2318" s="52" t="n">
        <v>0</v>
      </c>
      <c r="AM2318" s="52" t="n">
        <v>0</v>
      </c>
      <c r="AN2318" s="52" t="n">
        <v>0</v>
      </c>
      <c r="AO2318" s="53" t="n">
        <v>0</v>
      </c>
      <c r="AP2318" s="52" t="n">
        <v>0</v>
      </c>
      <c r="AQ2318" s="53" t="n">
        <v>0</v>
      </c>
      <c r="AR2318" s="52" t="n">
        <v>0</v>
      </c>
      <c r="AS2318" s="51" t="n">
        <v>0</v>
      </c>
      <c r="AT2318" s="48" t="n">
        <v>0</v>
      </c>
      <c r="AU2318" s="49" t="n">
        <v>0</v>
      </c>
      <c r="AV2318" s="49" t="n">
        <v>0</v>
      </c>
      <c r="AW2318" s="50" t="n">
        <v>0</v>
      </c>
      <c r="AX2318" s="51" t="n">
        <v>0</v>
      </c>
      <c r="AY2318" s="52" t="n">
        <v>0</v>
      </c>
      <c r="AZ2318" s="52" t="n">
        <v>0</v>
      </c>
      <c r="BA2318" s="52" t="n">
        <v>0</v>
      </c>
      <c r="BB2318" s="53" t="n">
        <v>0</v>
      </c>
      <c r="BC2318" s="52" t="n">
        <v>0</v>
      </c>
      <c r="BD2318" s="53" t="n">
        <v>0</v>
      </c>
      <c r="BE2318" s="52" t="n">
        <v>0</v>
      </c>
      <c r="BF2318" s="51" t="n">
        <v>0</v>
      </c>
    </row>
    <row r="2319">
      <c r="A2319">
        <f>HYPERLINK("https://www.walmart.com/ip/160845649", "160845649")</f>
        <v/>
      </c>
      <c r="B2319" t="inlineStr">
        <is>
          <t>Tirrinia Insulated Wine Carrier Tote, Travel Padded 2 Bottle Wine/Champagne Cooler Bag with Handle and Adjustable Shoulder Strap + Free Corkscrew, Great Wine Lover Gift, Spiral Pattern</t>
        </is>
      </c>
      <c r="C2319" t="inlineStr">
        <is>
          <t>1KTWB210SPIRAL</t>
        </is>
      </c>
      <c r="D2319" t="inlineStr">
        <is>
          <t>Wine Totes, Bags &amp; Backpacks</t>
        </is>
      </c>
      <c r="E2319" t="inlineStr">
        <is>
          <t>Tirrinia</t>
        </is>
      </c>
      <c r="F2319" t="inlineStr">
        <is>
          <t>Wine,Christmas,WFS,Wine WFS,Valentine,Lily Brand Camp</t>
        </is>
      </c>
      <c r="G2319" s="48" t="n">
        <v>0</v>
      </c>
      <c r="H2319" s="49" t="n">
        <v>0</v>
      </c>
      <c r="I2319" s="49" t="n">
        <v>0</v>
      </c>
      <c r="J2319" s="50" t="n">
        <v>0</v>
      </c>
      <c r="K2319" s="51" t="n">
        <v>0</v>
      </c>
      <c r="L2319" s="52" t="n">
        <v>0</v>
      </c>
      <c r="M2319" s="52" t="n">
        <v>0</v>
      </c>
      <c r="N2319" s="52" t="n">
        <v>0</v>
      </c>
      <c r="O2319" s="53" t="n">
        <v>0</v>
      </c>
      <c r="P2319" s="52" t="n">
        <v>0</v>
      </c>
      <c r="Q2319" s="53" t="n">
        <v>0</v>
      </c>
      <c r="R2319" s="52" t="n">
        <v>0</v>
      </c>
      <c r="S2319" s="51" t="n">
        <v>0</v>
      </c>
      <c r="T2319" s="48" t="n">
        <v>0</v>
      </c>
      <c r="U2319" s="49" t="n">
        <v>0</v>
      </c>
      <c r="V2319" s="49" t="n">
        <v>0</v>
      </c>
      <c r="W2319" s="50" t="n">
        <v>0</v>
      </c>
      <c r="X2319" s="51" t="n">
        <v>0</v>
      </c>
      <c r="Y2319" s="52" t="n">
        <v>0</v>
      </c>
      <c r="Z2319" s="52" t="n">
        <v>0</v>
      </c>
      <c r="AA2319" s="52" t="n">
        <v>0</v>
      </c>
      <c r="AB2319" s="53" t="n">
        <v>0</v>
      </c>
      <c r="AC2319" s="52" t="n">
        <v>0</v>
      </c>
      <c r="AD2319" s="53" t="n">
        <v>0</v>
      </c>
      <c r="AE2319" s="52" t="n">
        <v>0</v>
      </c>
      <c r="AF2319" s="51" t="n">
        <v>0</v>
      </c>
      <c r="AG2319" s="48" t="n">
        <v>0</v>
      </c>
      <c r="AH2319" s="49" t="n">
        <v>0</v>
      </c>
      <c r="AI2319" s="49" t="n">
        <v>0</v>
      </c>
      <c r="AJ2319" s="50" t="n">
        <v>0</v>
      </c>
      <c r="AK2319" s="51" t="n">
        <v>0</v>
      </c>
      <c r="AL2319" s="52" t="n">
        <v>0</v>
      </c>
      <c r="AM2319" s="52" t="n">
        <v>0</v>
      </c>
      <c r="AN2319" s="52" t="n">
        <v>0</v>
      </c>
      <c r="AO2319" s="53" t="n">
        <v>0</v>
      </c>
      <c r="AP2319" s="52" t="n">
        <v>0</v>
      </c>
      <c r="AQ2319" s="53" t="n">
        <v>0</v>
      </c>
      <c r="AR2319" s="52" t="n">
        <v>0</v>
      </c>
      <c r="AS2319" s="51" t="n">
        <v>0</v>
      </c>
      <c r="AT2319" s="48" t="n">
        <v>0</v>
      </c>
      <c r="AU2319" s="49" t="n">
        <v>0</v>
      </c>
      <c r="AV2319" s="49" t="n">
        <v>0</v>
      </c>
      <c r="AW2319" s="50" t="n">
        <v>0</v>
      </c>
      <c r="AX2319" s="51" t="n">
        <v>0</v>
      </c>
      <c r="AY2319" s="52" t="n">
        <v>0</v>
      </c>
      <c r="AZ2319" s="52" t="n">
        <v>0</v>
      </c>
      <c r="BA2319" s="52" t="n">
        <v>0</v>
      </c>
      <c r="BB2319" s="53" t="n">
        <v>0</v>
      </c>
      <c r="BC2319" s="52" t="n">
        <v>0</v>
      </c>
      <c r="BD2319" s="53" t="n">
        <v>0</v>
      </c>
      <c r="BE2319" s="52" t="n">
        <v>0</v>
      </c>
      <c r="BF2319" s="51" t="n">
        <v>0</v>
      </c>
    </row>
    <row r="2320">
      <c r="A2320">
        <f>HYPERLINK("https://www.walmart.com/ip/160865261", "160865261")</f>
        <v/>
      </c>
      <c r="B2320" t="inlineStr">
        <is>
          <t>Flyingstar Insulated Lunch Bag, Reusable Tote Bag for Women &amp; Men &amp; Kids, Fashionable Large Cooler Lunch Bag for Working/School/Picnic</t>
        </is>
      </c>
      <c r="C2320" t="inlineStr">
        <is>
          <t>1WMLB703DBL</t>
        </is>
      </c>
      <c r="D2320" t="inlineStr">
        <is>
          <t>Reusable Lunch Bags &amp; Boxes</t>
        </is>
      </c>
      <c r="E2320" t="inlineStr">
        <is>
          <t>Flyingstar</t>
        </is>
      </c>
      <c r="F2320" t="inlineStr">
        <is>
          <t>Q2-Target,Lunch Bag,Optimized,Lunch Bags</t>
        </is>
      </c>
      <c r="G2320" s="48" t="n">
        <v>0</v>
      </c>
      <c r="H2320" s="49" t="n">
        <v>0</v>
      </c>
      <c r="I2320" s="49" t="n">
        <v>0</v>
      </c>
      <c r="J2320" s="50" t="n">
        <v>0</v>
      </c>
      <c r="K2320" s="51" t="n">
        <v>0</v>
      </c>
      <c r="L2320" s="52" t="n">
        <v>0</v>
      </c>
      <c r="M2320" s="52" t="n">
        <v>0</v>
      </c>
      <c r="N2320" s="52" t="n">
        <v>0</v>
      </c>
      <c r="O2320" s="53" t="n">
        <v>0</v>
      </c>
      <c r="P2320" s="52" t="n">
        <v>0</v>
      </c>
      <c r="Q2320" s="53" t="n">
        <v>0</v>
      </c>
      <c r="R2320" s="52" t="n">
        <v>0</v>
      </c>
      <c r="S2320" s="51" t="n">
        <v>0</v>
      </c>
      <c r="T2320" s="48" t="n">
        <v>0</v>
      </c>
      <c r="U2320" s="49" t="n">
        <v>0</v>
      </c>
      <c r="V2320" s="49" t="n">
        <v>0</v>
      </c>
      <c r="W2320" s="50" t="n">
        <v>0</v>
      </c>
      <c r="X2320" s="51" t="n">
        <v>0</v>
      </c>
      <c r="Y2320" s="52" t="n">
        <v>0</v>
      </c>
      <c r="Z2320" s="52" t="n">
        <v>0</v>
      </c>
      <c r="AA2320" s="52" t="n">
        <v>0</v>
      </c>
      <c r="AB2320" s="53" t="n">
        <v>0</v>
      </c>
      <c r="AC2320" s="52" t="n">
        <v>0</v>
      </c>
      <c r="AD2320" s="53" t="n">
        <v>0</v>
      </c>
      <c r="AE2320" s="52" t="n">
        <v>0</v>
      </c>
      <c r="AF2320" s="51" t="n">
        <v>0</v>
      </c>
      <c r="AG2320" s="48" t="n">
        <v>0</v>
      </c>
      <c r="AH2320" s="49" t="n">
        <v>0</v>
      </c>
      <c r="AI2320" s="49" t="n">
        <v>0</v>
      </c>
      <c r="AJ2320" s="50" t="n">
        <v>0</v>
      </c>
      <c r="AK2320" s="51" t="n">
        <v>0</v>
      </c>
      <c r="AL2320" s="52" t="n">
        <v>0</v>
      </c>
      <c r="AM2320" s="52" t="n">
        <v>0</v>
      </c>
      <c r="AN2320" s="52" t="n">
        <v>0</v>
      </c>
      <c r="AO2320" s="53" t="n">
        <v>0</v>
      </c>
      <c r="AP2320" s="52" t="n">
        <v>0</v>
      </c>
      <c r="AQ2320" s="53" t="n">
        <v>0</v>
      </c>
      <c r="AR2320" s="52" t="n">
        <v>0</v>
      </c>
      <c r="AS2320" s="51" t="n">
        <v>0</v>
      </c>
      <c r="AT2320" s="48" t="n">
        <v>0</v>
      </c>
      <c r="AU2320" s="49" t="n">
        <v>0</v>
      </c>
      <c r="AV2320" s="49" t="n">
        <v>0</v>
      </c>
      <c r="AW2320" s="50" t="n">
        <v>0</v>
      </c>
      <c r="AX2320" s="51" t="n">
        <v>0</v>
      </c>
      <c r="AY2320" s="52" t="n">
        <v>0</v>
      </c>
      <c r="AZ2320" s="52" t="n">
        <v>0</v>
      </c>
      <c r="BA2320" s="52" t="n">
        <v>0</v>
      </c>
      <c r="BB2320" s="53" t="n">
        <v>0</v>
      </c>
      <c r="BC2320" s="52" t="n">
        <v>0</v>
      </c>
      <c r="BD2320" s="53" t="n">
        <v>0</v>
      </c>
      <c r="BE2320" s="52" t="n">
        <v>0</v>
      </c>
      <c r="BF2320" s="51" t="n">
        <v>0</v>
      </c>
    </row>
    <row r="2321">
      <c r="A2321">
        <f>HYPERLINK("https://www.walmart.com/ip/161054662", "161054662")</f>
        <v/>
      </c>
      <c r="B2321" t="inlineStr">
        <is>
          <t>JenniWears Women's Beileise Sexy Pantyhose Lace Stockings Black Sheer Socks - 3 Packs</t>
        </is>
      </c>
      <c r="C2321" t="inlineStr">
        <is>
          <t>JWBLSPH2091-3pcs</t>
        </is>
      </c>
      <c r="D2321" t="inlineStr">
        <is>
          <t>Pantyhose &amp; Tights</t>
        </is>
      </c>
      <c r="E2321" t="inlineStr">
        <is>
          <t>JenniWears</t>
        </is>
      </c>
      <c r="F2321" t="inlineStr">
        <is>
          <t>Optimized,Valentine</t>
        </is>
      </c>
      <c r="G2321" s="48" t="n">
        <v>0</v>
      </c>
      <c r="H2321" s="49" t="n">
        <v>0</v>
      </c>
      <c r="I2321" s="49" t="n">
        <v>0</v>
      </c>
      <c r="J2321" s="50" t="n">
        <v>0</v>
      </c>
      <c r="K2321" s="51" t="n">
        <v>0</v>
      </c>
      <c r="L2321" s="52" t="n">
        <v>0</v>
      </c>
      <c r="M2321" s="52" t="n">
        <v>0</v>
      </c>
      <c r="N2321" s="52" t="n">
        <v>0</v>
      </c>
      <c r="O2321" s="53" t="n">
        <v>0</v>
      </c>
      <c r="P2321" s="52" t="n">
        <v>0</v>
      </c>
      <c r="Q2321" s="53" t="n">
        <v>0</v>
      </c>
      <c r="R2321" s="52" t="n">
        <v>0</v>
      </c>
      <c r="S2321" s="51" t="n">
        <v>0</v>
      </c>
      <c r="T2321" s="48" t="n">
        <v>0</v>
      </c>
      <c r="U2321" s="49" t="n">
        <v>0</v>
      </c>
      <c r="V2321" s="49" t="n">
        <v>0</v>
      </c>
      <c r="W2321" s="50" t="n">
        <v>0</v>
      </c>
      <c r="X2321" s="51" t="n">
        <v>0</v>
      </c>
      <c r="Y2321" s="52" t="n">
        <v>0</v>
      </c>
      <c r="Z2321" s="52" t="n">
        <v>0</v>
      </c>
      <c r="AA2321" s="52" t="n">
        <v>0</v>
      </c>
      <c r="AB2321" s="53" t="n">
        <v>0</v>
      </c>
      <c r="AC2321" s="52" t="n">
        <v>0</v>
      </c>
      <c r="AD2321" s="53" t="n">
        <v>0</v>
      </c>
      <c r="AE2321" s="52" t="n">
        <v>0</v>
      </c>
      <c r="AF2321" s="51" t="n">
        <v>0</v>
      </c>
      <c r="AG2321" s="48" t="n">
        <v>0</v>
      </c>
      <c r="AH2321" s="49" t="n">
        <v>0</v>
      </c>
      <c r="AI2321" s="49" t="n">
        <v>0</v>
      </c>
      <c r="AJ2321" s="50" t="n">
        <v>0</v>
      </c>
      <c r="AK2321" s="51" t="n">
        <v>0</v>
      </c>
      <c r="AL2321" s="52" t="n">
        <v>0</v>
      </c>
      <c r="AM2321" s="52" t="n">
        <v>0</v>
      </c>
      <c r="AN2321" s="52" t="n">
        <v>0</v>
      </c>
      <c r="AO2321" s="53" t="n">
        <v>0</v>
      </c>
      <c r="AP2321" s="52" t="n">
        <v>0</v>
      </c>
      <c r="AQ2321" s="53" t="n">
        <v>0</v>
      </c>
      <c r="AR2321" s="52" t="n">
        <v>0</v>
      </c>
      <c r="AS2321" s="51" t="n">
        <v>0</v>
      </c>
      <c r="AT2321" s="48" t="n">
        <v>0</v>
      </c>
      <c r="AU2321" s="49" t="n">
        <v>0</v>
      </c>
      <c r="AV2321" s="49" t="n">
        <v>0</v>
      </c>
      <c r="AW2321" s="50" t="n">
        <v>0</v>
      </c>
      <c r="AX2321" s="51" t="n">
        <v>0</v>
      </c>
      <c r="AY2321" s="52" t="n">
        <v>0</v>
      </c>
      <c r="AZ2321" s="52" t="n">
        <v>0</v>
      </c>
      <c r="BA2321" s="52" t="n">
        <v>0</v>
      </c>
      <c r="BB2321" s="53" t="n">
        <v>0</v>
      </c>
      <c r="BC2321" s="52" t="n">
        <v>0</v>
      </c>
      <c r="BD2321" s="53" t="n">
        <v>0</v>
      </c>
      <c r="BE2321" s="52" t="n">
        <v>0</v>
      </c>
      <c r="BF2321" s="51" t="n">
        <v>0</v>
      </c>
    </row>
    <row r="2322">
      <c r="A2322">
        <f>HYPERLINK("https://www.walmart.com/ip/161105747", "161105747")</f>
        <v/>
      </c>
      <c r="B2322" t="inlineStr">
        <is>
          <t>Women's sexy see-through red lingerie lace fishnet suspender by JenniWears®</t>
        </is>
      </c>
      <c r="C2322" t="inlineStr">
        <is>
          <t>JWBD02RD-M</t>
        </is>
      </c>
      <c r="D2322" t="inlineStr">
        <is>
          <t>Lingerie Sets</t>
        </is>
      </c>
      <c r="E2322" t="inlineStr">
        <is>
          <t>JenniWears</t>
        </is>
      </c>
      <c r="F2322" t="inlineStr">
        <is>
          <t>Optimized,Valentine</t>
        </is>
      </c>
      <c r="G2322" s="48" t="n">
        <v>0</v>
      </c>
      <c r="H2322" s="49" t="n">
        <v>0</v>
      </c>
      <c r="I2322" s="49" t="n">
        <v>0</v>
      </c>
      <c r="J2322" s="50" t="n">
        <v>0</v>
      </c>
      <c r="K2322" s="51" t="n">
        <v>0</v>
      </c>
      <c r="L2322" s="52" t="n">
        <v>0</v>
      </c>
      <c r="M2322" s="52" t="n">
        <v>0</v>
      </c>
      <c r="N2322" s="52" t="n">
        <v>0</v>
      </c>
      <c r="O2322" s="53" t="n">
        <v>0</v>
      </c>
      <c r="P2322" s="52" t="n">
        <v>0</v>
      </c>
      <c r="Q2322" s="53" t="n">
        <v>0</v>
      </c>
      <c r="R2322" s="52" t="n">
        <v>0</v>
      </c>
      <c r="S2322" s="51" t="n">
        <v>0</v>
      </c>
      <c r="T2322" s="48" t="n">
        <v>0</v>
      </c>
      <c r="U2322" s="49" t="n">
        <v>0</v>
      </c>
      <c r="V2322" s="49" t="n">
        <v>0</v>
      </c>
      <c r="W2322" s="50" t="n">
        <v>0</v>
      </c>
      <c r="X2322" s="51" t="n">
        <v>0</v>
      </c>
      <c r="Y2322" s="52" t="n">
        <v>0</v>
      </c>
      <c r="Z2322" s="52" t="n">
        <v>0</v>
      </c>
      <c r="AA2322" s="52" t="n">
        <v>0</v>
      </c>
      <c r="AB2322" s="53" t="n">
        <v>0</v>
      </c>
      <c r="AC2322" s="52" t="n">
        <v>0</v>
      </c>
      <c r="AD2322" s="53" t="n">
        <v>0</v>
      </c>
      <c r="AE2322" s="52" t="n">
        <v>0</v>
      </c>
      <c r="AF2322" s="51" t="n">
        <v>0</v>
      </c>
      <c r="AG2322" s="48" t="n">
        <v>0</v>
      </c>
      <c r="AH2322" s="49" t="n">
        <v>0</v>
      </c>
      <c r="AI2322" s="49" t="n">
        <v>0</v>
      </c>
      <c r="AJ2322" s="50" t="n">
        <v>0</v>
      </c>
      <c r="AK2322" s="51" t="n">
        <v>0</v>
      </c>
      <c r="AL2322" s="52" t="n">
        <v>0</v>
      </c>
      <c r="AM2322" s="52" t="n">
        <v>0</v>
      </c>
      <c r="AN2322" s="52" t="n">
        <v>0</v>
      </c>
      <c r="AO2322" s="53" t="n">
        <v>0</v>
      </c>
      <c r="AP2322" s="52" t="n">
        <v>0</v>
      </c>
      <c r="AQ2322" s="53" t="n">
        <v>0</v>
      </c>
      <c r="AR2322" s="52" t="n">
        <v>0</v>
      </c>
      <c r="AS2322" s="51" t="n">
        <v>0</v>
      </c>
      <c r="AT2322" s="48" t="n">
        <v>0</v>
      </c>
      <c r="AU2322" s="49" t="n">
        <v>0</v>
      </c>
      <c r="AV2322" s="49" t="n">
        <v>0</v>
      </c>
      <c r="AW2322" s="50" t="n">
        <v>0</v>
      </c>
      <c r="AX2322" s="51" t="n">
        <v>0</v>
      </c>
      <c r="AY2322" s="52" t="n">
        <v>0</v>
      </c>
      <c r="AZ2322" s="52" t="n">
        <v>0</v>
      </c>
      <c r="BA2322" s="52" t="n">
        <v>0</v>
      </c>
      <c r="BB2322" s="53" t="n">
        <v>0</v>
      </c>
      <c r="BC2322" s="52" t="n">
        <v>0</v>
      </c>
      <c r="BD2322" s="53" t="n">
        <v>0</v>
      </c>
      <c r="BE2322" s="52" t="n">
        <v>0</v>
      </c>
      <c r="BF2322" s="51" t="n">
        <v>0</v>
      </c>
    </row>
    <row r="2323">
      <c r="A2323">
        <f>HYPERLINK("https://www.walmart.com/ip/161250267", "161250267")</f>
        <v/>
      </c>
      <c r="B2323" t="inlineStr">
        <is>
          <t>KC Caps Unisex Adjustable Ring Buckle Closure USA Flag Embroidered Cap Hat</t>
        </is>
      </c>
      <c r="C2323" t="inlineStr">
        <is>
          <t>kc-aeemb-rd</t>
        </is>
      </c>
      <c r="D2323" t="inlineStr">
        <is>
          <t>Hats</t>
        </is>
      </c>
      <c r="E2323" t="inlineStr">
        <is>
          <t>KC Caps</t>
        </is>
      </c>
      <c r="F2323" t="inlineStr">
        <is>
          <t>Optimized</t>
        </is>
      </c>
      <c r="G2323" s="48" t="n">
        <v>0</v>
      </c>
      <c r="H2323" s="49" t="n">
        <v>0</v>
      </c>
      <c r="I2323" s="49" t="n">
        <v>0</v>
      </c>
      <c r="J2323" s="50" t="n">
        <v>0</v>
      </c>
      <c r="K2323" s="51" t="n">
        <v>0</v>
      </c>
      <c r="L2323" s="52" t="n">
        <v>0</v>
      </c>
      <c r="M2323" s="52" t="n">
        <v>0</v>
      </c>
      <c r="N2323" s="52" t="n">
        <v>0</v>
      </c>
      <c r="O2323" s="53" t="n">
        <v>0</v>
      </c>
      <c r="P2323" s="52" t="n">
        <v>0</v>
      </c>
      <c r="Q2323" s="53" t="n">
        <v>0</v>
      </c>
      <c r="R2323" s="52" t="n">
        <v>0</v>
      </c>
      <c r="S2323" s="51" t="n">
        <v>0</v>
      </c>
      <c r="T2323" s="48" t="n">
        <v>0</v>
      </c>
      <c r="U2323" s="49" t="n">
        <v>0</v>
      </c>
      <c r="V2323" s="49" t="n">
        <v>0</v>
      </c>
      <c r="W2323" s="50" t="n">
        <v>0</v>
      </c>
      <c r="X2323" s="51" t="n">
        <v>0</v>
      </c>
      <c r="Y2323" s="52" t="n">
        <v>0</v>
      </c>
      <c r="Z2323" s="52" t="n">
        <v>0</v>
      </c>
      <c r="AA2323" s="52" t="n">
        <v>0</v>
      </c>
      <c r="AB2323" s="53" t="n">
        <v>0</v>
      </c>
      <c r="AC2323" s="52" t="n">
        <v>0</v>
      </c>
      <c r="AD2323" s="53" t="n">
        <v>0</v>
      </c>
      <c r="AE2323" s="52" t="n">
        <v>0</v>
      </c>
      <c r="AF2323" s="51" t="n">
        <v>0</v>
      </c>
      <c r="AG2323" s="48" t="n">
        <v>0</v>
      </c>
      <c r="AH2323" s="49" t="n">
        <v>0</v>
      </c>
      <c r="AI2323" s="49" t="n">
        <v>0</v>
      </c>
      <c r="AJ2323" s="50" t="n">
        <v>0</v>
      </c>
      <c r="AK2323" s="51" t="n">
        <v>0</v>
      </c>
      <c r="AL2323" s="52" t="n">
        <v>0</v>
      </c>
      <c r="AM2323" s="52" t="n">
        <v>0</v>
      </c>
      <c r="AN2323" s="52" t="n">
        <v>0</v>
      </c>
      <c r="AO2323" s="53" t="n">
        <v>0</v>
      </c>
      <c r="AP2323" s="52" t="n">
        <v>0</v>
      </c>
      <c r="AQ2323" s="53" t="n">
        <v>0</v>
      </c>
      <c r="AR2323" s="52" t="n">
        <v>0</v>
      </c>
      <c r="AS2323" s="51" t="n">
        <v>0</v>
      </c>
      <c r="AT2323" s="48" t="n">
        <v>0</v>
      </c>
      <c r="AU2323" s="49" t="n">
        <v>0</v>
      </c>
      <c r="AV2323" s="49" t="n">
        <v>0</v>
      </c>
      <c r="AW2323" s="50" t="n">
        <v>0</v>
      </c>
      <c r="AX2323" s="51" t="n">
        <v>0</v>
      </c>
      <c r="AY2323" s="52" t="n">
        <v>0</v>
      </c>
      <c r="AZ2323" s="52" t="n">
        <v>0</v>
      </c>
      <c r="BA2323" s="52" t="n">
        <v>0</v>
      </c>
      <c r="BB2323" s="53" t="n">
        <v>0</v>
      </c>
      <c r="BC2323" s="52" t="n">
        <v>0</v>
      </c>
      <c r="BD2323" s="53" t="n">
        <v>0</v>
      </c>
      <c r="BE2323" s="52" t="n">
        <v>0</v>
      </c>
      <c r="BF2323" s="51" t="n">
        <v>0</v>
      </c>
    </row>
    <row r="2324">
      <c r="A2324">
        <f>HYPERLINK("https://www.walmart.com/ip/1612980683", "1612980683")</f>
        <v/>
      </c>
      <c r="B2324" t="inlineStr">
        <is>
          <t>Kato Expandable Small Insulated Lunch Bag, Leakproof Lunch Cooler Tote for Adult and Kids, Suitable for Work Office and School, Starlight</t>
        </is>
      </c>
      <c r="C2324" t="inlineStr">
        <is>
          <t>1KTLB110STARLIGHT</t>
        </is>
      </c>
      <c r="D2324" t="inlineStr">
        <is>
          <t>Reusable Lunch Bags &amp; Boxes</t>
        </is>
      </c>
      <c r="E2324" t="inlineStr">
        <is>
          <t>Kato</t>
        </is>
      </c>
      <c r="F2324" t="inlineStr">
        <is>
          <t>Q2-Target,SEM,Batch 1 - TR</t>
        </is>
      </c>
      <c r="G2324" s="48" t="n">
        <v>0</v>
      </c>
      <c r="H2324" s="49" t="n">
        <v>0</v>
      </c>
      <c r="I2324" s="49" t="n">
        <v>0</v>
      </c>
      <c r="J2324" s="50" t="n">
        <v>0</v>
      </c>
      <c r="K2324" s="51" t="n">
        <v>0</v>
      </c>
      <c r="L2324" s="52" t="n">
        <v>0</v>
      </c>
      <c r="M2324" s="52" t="n">
        <v>0</v>
      </c>
      <c r="N2324" s="52" t="n">
        <v>0</v>
      </c>
      <c r="O2324" s="53" t="n">
        <v>0</v>
      </c>
      <c r="P2324" s="52" t="n">
        <v>0</v>
      </c>
      <c r="Q2324" s="53" t="n">
        <v>0</v>
      </c>
      <c r="R2324" s="52" t="n">
        <v>0</v>
      </c>
      <c r="S2324" s="51" t="n">
        <v>0</v>
      </c>
      <c r="T2324" s="48" t="n">
        <v>0</v>
      </c>
      <c r="U2324" s="49" t="n">
        <v>0</v>
      </c>
      <c r="V2324" s="49" t="n">
        <v>0</v>
      </c>
      <c r="W2324" s="50" t="n">
        <v>0</v>
      </c>
      <c r="X2324" s="51" t="n">
        <v>0</v>
      </c>
      <c r="Y2324" s="52" t="n">
        <v>0</v>
      </c>
      <c r="Z2324" s="52" t="n">
        <v>0</v>
      </c>
      <c r="AA2324" s="52" t="n">
        <v>0</v>
      </c>
      <c r="AB2324" s="53" t="n">
        <v>0</v>
      </c>
      <c r="AC2324" s="52" t="n">
        <v>0</v>
      </c>
      <c r="AD2324" s="53" t="n">
        <v>0</v>
      </c>
      <c r="AE2324" s="52" t="n">
        <v>0</v>
      </c>
      <c r="AF2324" s="51" t="n">
        <v>0</v>
      </c>
      <c r="AG2324" s="48" t="n">
        <v>0</v>
      </c>
      <c r="AH2324" s="49" t="n">
        <v>0</v>
      </c>
      <c r="AI2324" s="49" t="n">
        <v>0</v>
      </c>
      <c r="AJ2324" s="50" t="n">
        <v>0</v>
      </c>
      <c r="AK2324" s="51" t="n">
        <v>0</v>
      </c>
      <c r="AL2324" s="52" t="n">
        <v>0</v>
      </c>
      <c r="AM2324" s="52" t="n">
        <v>0</v>
      </c>
      <c r="AN2324" s="52" t="n">
        <v>0</v>
      </c>
      <c r="AO2324" s="53" t="n">
        <v>0</v>
      </c>
      <c r="AP2324" s="52" t="n">
        <v>0</v>
      </c>
      <c r="AQ2324" s="53" t="n">
        <v>0</v>
      </c>
      <c r="AR2324" s="52" t="n">
        <v>0</v>
      </c>
      <c r="AS2324" s="51" t="n">
        <v>0</v>
      </c>
      <c r="AT2324" s="48" t="n">
        <v>0</v>
      </c>
      <c r="AU2324" s="49" t="n">
        <v>0</v>
      </c>
      <c r="AV2324" s="49" t="n">
        <v>0</v>
      </c>
      <c r="AW2324" s="50" t="n">
        <v>0</v>
      </c>
      <c r="AX2324" s="51" t="n">
        <v>0</v>
      </c>
      <c r="AY2324" s="52" t="n">
        <v>0</v>
      </c>
      <c r="AZ2324" s="52" t="n">
        <v>0</v>
      </c>
      <c r="BA2324" s="52" t="n">
        <v>0</v>
      </c>
      <c r="BB2324" s="53" t="n">
        <v>0</v>
      </c>
      <c r="BC2324" s="52" t="n">
        <v>0</v>
      </c>
      <c r="BD2324" s="53" t="n">
        <v>0</v>
      </c>
      <c r="BE2324" s="52" t="n">
        <v>0</v>
      </c>
      <c r="BF2324" s="51" t="n">
        <v>0</v>
      </c>
    </row>
    <row r="2325">
      <c r="A2325">
        <f>HYPERLINK("https://www.walmart.com/ip/161931446", "161931446")</f>
        <v/>
      </c>
      <c r="B2325" t="inlineStr">
        <is>
          <t>KC Caps® Cap Cool Olive Worker Washed Cap Daily Hat Causual Make Old Style</t>
        </is>
      </c>
      <c r="C2325" t="inlineStr">
        <is>
          <t>KC Caps 8320 Olive</t>
        </is>
      </c>
      <c r="D2325" t="inlineStr">
        <is>
          <t>Hats</t>
        </is>
      </c>
      <c r="E2325" t="inlineStr">
        <is>
          <t>KC Caps</t>
        </is>
      </c>
      <c r="F2325" t="inlineStr">
        <is>
          <t>Batch 1 - TR</t>
        </is>
      </c>
      <c r="G2325" s="48" t="n">
        <v>0</v>
      </c>
      <c r="H2325" s="49" t="n">
        <v>0</v>
      </c>
      <c r="I2325" s="49" t="n">
        <v>0</v>
      </c>
      <c r="J2325" s="50" t="n">
        <v>0</v>
      </c>
      <c r="K2325" s="51" t="n">
        <v>0</v>
      </c>
      <c r="L2325" s="52" t="n">
        <v>0</v>
      </c>
      <c r="M2325" s="52" t="n">
        <v>0</v>
      </c>
      <c r="N2325" s="52" t="n">
        <v>0</v>
      </c>
      <c r="O2325" s="53" t="n">
        <v>0</v>
      </c>
      <c r="P2325" s="52" t="n">
        <v>0</v>
      </c>
      <c r="Q2325" s="53" t="n">
        <v>0</v>
      </c>
      <c r="R2325" s="52" t="n">
        <v>0</v>
      </c>
      <c r="S2325" s="51" t="n">
        <v>0</v>
      </c>
      <c r="T2325" s="48" t="n">
        <v>0</v>
      </c>
      <c r="U2325" s="49" t="n">
        <v>0</v>
      </c>
      <c r="V2325" s="49" t="n">
        <v>0</v>
      </c>
      <c r="W2325" s="50" t="n">
        <v>0</v>
      </c>
      <c r="X2325" s="51" t="n">
        <v>0</v>
      </c>
      <c r="Y2325" s="52" t="n">
        <v>0</v>
      </c>
      <c r="Z2325" s="52" t="n">
        <v>0</v>
      </c>
      <c r="AA2325" s="52" t="n">
        <v>0</v>
      </c>
      <c r="AB2325" s="53" t="n">
        <v>0</v>
      </c>
      <c r="AC2325" s="52" t="n">
        <v>0</v>
      </c>
      <c r="AD2325" s="53" t="n">
        <v>0</v>
      </c>
      <c r="AE2325" s="52" t="n">
        <v>0</v>
      </c>
      <c r="AF2325" s="51" t="n">
        <v>0</v>
      </c>
      <c r="AG2325" s="48" t="n">
        <v>0</v>
      </c>
      <c r="AH2325" s="49" t="n">
        <v>0</v>
      </c>
      <c r="AI2325" s="49" t="n">
        <v>0</v>
      </c>
      <c r="AJ2325" s="50" t="n">
        <v>0</v>
      </c>
      <c r="AK2325" s="51" t="n">
        <v>0</v>
      </c>
      <c r="AL2325" s="52" t="n">
        <v>0</v>
      </c>
      <c r="AM2325" s="52" t="n">
        <v>0</v>
      </c>
      <c r="AN2325" s="52" t="n">
        <v>0</v>
      </c>
      <c r="AO2325" s="53" t="n">
        <v>0</v>
      </c>
      <c r="AP2325" s="52" t="n">
        <v>0</v>
      </c>
      <c r="AQ2325" s="53" t="n">
        <v>0</v>
      </c>
      <c r="AR2325" s="52" t="n">
        <v>0</v>
      </c>
      <c r="AS2325" s="51" t="n">
        <v>0</v>
      </c>
      <c r="AT2325" s="48" t="n">
        <v>0</v>
      </c>
      <c r="AU2325" s="49" t="n">
        <v>0</v>
      </c>
      <c r="AV2325" s="49" t="n">
        <v>0</v>
      </c>
      <c r="AW2325" s="50" t="n">
        <v>0</v>
      </c>
      <c r="AX2325" s="51" t="n">
        <v>0</v>
      </c>
      <c r="AY2325" s="52" t="n">
        <v>0</v>
      </c>
      <c r="AZ2325" s="52" t="n">
        <v>0</v>
      </c>
      <c r="BA2325" s="52" t="n">
        <v>0</v>
      </c>
      <c r="BB2325" s="53" t="n">
        <v>0</v>
      </c>
      <c r="BC2325" s="52" t="n">
        <v>0</v>
      </c>
      <c r="BD2325" s="53" t="n">
        <v>0</v>
      </c>
      <c r="BE2325" s="52" t="n">
        <v>0</v>
      </c>
      <c r="BF2325" s="51" t="n">
        <v>0</v>
      </c>
    </row>
    <row r="2326">
      <c r="A2326">
        <f>HYPERLINK("https://www.walmart.com/ip/162022342", "162022342")</f>
        <v/>
      </c>
      <c r="B2326" t="inlineStr">
        <is>
          <t>Vina 2-Bottle Wine Picnic Tote Carrier Travel Cooler Insulated Bag Leather Handles Durable Zipper Reusable</t>
        </is>
      </c>
      <c r="C2326" t="inlineStr">
        <is>
          <t>VINAWB007RD</t>
        </is>
      </c>
      <c r="D2326" t="inlineStr">
        <is>
          <t>Wine Totes, Bags &amp; Backpacks</t>
        </is>
      </c>
      <c r="E2326" t="inlineStr">
        <is>
          <t>Vina</t>
        </is>
      </c>
      <c r="F2326" t="inlineStr">
        <is>
          <t>Wine,Christmas,Optimized,Valentine</t>
        </is>
      </c>
      <c r="G2326" s="48" t="n">
        <v>0</v>
      </c>
      <c r="H2326" s="49" t="n">
        <v>0</v>
      </c>
      <c r="I2326" s="49" t="n">
        <v>0</v>
      </c>
      <c r="J2326" s="50" t="n">
        <v>0</v>
      </c>
      <c r="K2326" s="51" t="n">
        <v>0</v>
      </c>
      <c r="L2326" s="52" t="n">
        <v>0</v>
      </c>
      <c r="M2326" s="52" t="n">
        <v>0</v>
      </c>
      <c r="N2326" s="52" t="n">
        <v>0</v>
      </c>
      <c r="O2326" s="53" t="n">
        <v>0</v>
      </c>
      <c r="P2326" s="52" t="n">
        <v>0</v>
      </c>
      <c r="Q2326" s="53" t="n">
        <v>0</v>
      </c>
      <c r="R2326" s="52" t="n">
        <v>0</v>
      </c>
      <c r="S2326" s="51" t="n">
        <v>0</v>
      </c>
      <c r="T2326" s="48" t="n">
        <v>0</v>
      </c>
      <c r="U2326" s="49" t="n">
        <v>0</v>
      </c>
      <c r="V2326" s="49" t="n">
        <v>0</v>
      </c>
      <c r="W2326" s="50" t="n">
        <v>0</v>
      </c>
      <c r="X2326" s="51" t="n">
        <v>0</v>
      </c>
      <c r="Y2326" s="52" t="n">
        <v>0</v>
      </c>
      <c r="Z2326" s="52" t="n">
        <v>0</v>
      </c>
      <c r="AA2326" s="52" t="n">
        <v>0</v>
      </c>
      <c r="AB2326" s="53" t="n">
        <v>0</v>
      </c>
      <c r="AC2326" s="52" t="n">
        <v>0</v>
      </c>
      <c r="AD2326" s="53" t="n">
        <v>0</v>
      </c>
      <c r="AE2326" s="52" t="n">
        <v>0</v>
      </c>
      <c r="AF2326" s="51" t="n">
        <v>0</v>
      </c>
      <c r="AG2326" s="48" t="n">
        <v>0</v>
      </c>
      <c r="AH2326" s="49" t="n">
        <v>0</v>
      </c>
      <c r="AI2326" s="49" t="n">
        <v>0</v>
      </c>
      <c r="AJ2326" s="50" t="n">
        <v>0</v>
      </c>
      <c r="AK2326" s="51" t="n">
        <v>0</v>
      </c>
      <c r="AL2326" s="52" t="n">
        <v>0</v>
      </c>
      <c r="AM2326" s="52" t="n">
        <v>0</v>
      </c>
      <c r="AN2326" s="52" t="n">
        <v>0</v>
      </c>
      <c r="AO2326" s="53" t="n">
        <v>0</v>
      </c>
      <c r="AP2326" s="52" t="n">
        <v>0</v>
      </c>
      <c r="AQ2326" s="53" t="n">
        <v>0</v>
      </c>
      <c r="AR2326" s="52" t="n">
        <v>0</v>
      </c>
      <c r="AS2326" s="51" t="n">
        <v>0</v>
      </c>
      <c r="AT2326" s="48" t="n">
        <v>0</v>
      </c>
      <c r="AU2326" s="49" t="n">
        <v>0</v>
      </c>
      <c r="AV2326" s="49" t="n">
        <v>0</v>
      </c>
      <c r="AW2326" s="50" t="n">
        <v>0</v>
      </c>
      <c r="AX2326" s="51" t="n">
        <v>0</v>
      </c>
      <c r="AY2326" s="52" t="n">
        <v>0</v>
      </c>
      <c r="AZ2326" s="52" t="n">
        <v>0</v>
      </c>
      <c r="BA2326" s="52" t="n">
        <v>0</v>
      </c>
      <c r="BB2326" s="53" t="n">
        <v>0</v>
      </c>
      <c r="BC2326" s="52" t="n">
        <v>0</v>
      </c>
      <c r="BD2326" s="53" t="n">
        <v>0</v>
      </c>
      <c r="BE2326" s="52" t="n">
        <v>0</v>
      </c>
      <c r="BF2326" s="51" t="n">
        <v>0</v>
      </c>
    </row>
    <row r="2327">
      <c r="A2327">
        <f>HYPERLINK("https://www.walmart.com/ip/163434758", "163434758")</f>
        <v/>
      </c>
      <c r="B2327" t="inlineStr">
        <is>
          <t>JenniWears Womens Black Striped Fishnet Body Stocking Lingerie</t>
        </is>
      </c>
      <c r="C2327" t="inlineStr">
        <is>
          <t>JWBS8866</t>
        </is>
      </c>
      <c r="D2327" t="inlineStr">
        <is>
          <t>Teddies &amp; Bodystockings</t>
        </is>
      </c>
      <c r="E2327" t="inlineStr">
        <is>
          <t>JenniWears</t>
        </is>
      </c>
      <c r="F2327" t="inlineStr">
        <is>
          <t>WFS,Valentine,WFS Item</t>
        </is>
      </c>
      <c r="G2327" s="48" t="n">
        <v>0</v>
      </c>
      <c r="H2327" s="49" t="n">
        <v>0</v>
      </c>
      <c r="I2327" s="49" t="n">
        <v>0</v>
      </c>
      <c r="J2327" s="50" t="n">
        <v>0</v>
      </c>
      <c r="K2327" s="51" t="n">
        <v>0</v>
      </c>
      <c r="L2327" s="52" t="n">
        <v>0</v>
      </c>
      <c r="M2327" s="52" t="n">
        <v>0</v>
      </c>
      <c r="N2327" s="52" t="n">
        <v>0</v>
      </c>
      <c r="O2327" s="53" t="n">
        <v>0</v>
      </c>
      <c r="P2327" s="52" t="n">
        <v>0</v>
      </c>
      <c r="Q2327" s="53" t="n">
        <v>0</v>
      </c>
      <c r="R2327" s="52" t="n">
        <v>0</v>
      </c>
      <c r="S2327" s="51" t="n">
        <v>0</v>
      </c>
      <c r="T2327" s="48" t="n">
        <v>0</v>
      </c>
      <c r="U2327" s="49" t="n">
        <v>0</v>
      </c>
      <c r="V2327" s="49" t="n">
        <v>0</v>
      </c>
      <c r="W2327" s="50" t="n">
        <v>0</v>
      </c>
      <c r="X2327" s="51" t="n">
        <v>0</v>
      </c>
      <c r="Y2327" s="52" t="n">
        <v>0</v>
      </c>
      <c r="Z2327" s="52" t="n">
        <v>0</v>
      </c>
      <c r="AA2327" s="52" t="n">
        <v>0</v>
      </c>
      <c r="AB2327" s="53" t="n">
        <v>0</v>
      </c>
      <c r="AC2327" s="52" t="n">
        <v>0</v>
      </c>
      <c r="AD2327" s="53" t="n">
        <v>0</v>
      </c>
      <c r="AE2327" s="52" t="n">
        <v>0</v>
      </c>
      <c r="AF2327" s="51" t="n">
        <v>0</v>
      </c>
      <c r="AG2327" s="48" t="n">
        <v>0</v>
      </c>
      <c r="AH2327" s="49" t="n">
        <v>0</v>
      </c>
      <c r="AI2327" s="49" t="n">
        <v>0</v>
      </c>
      <c r="AJ2327" s="50" t="n">
        <v>0</v>
      </c>
      <c r="AK2327" s="51" t="n">
        <v>0</v>
      </c>
      <c r="AL2327" s="52" t="n">
        <v>0</v>
      </c>
      <c r="AM2327" s="52" t="n">
        <v>0</v>
      </c>
      <c r="AN2327" s="52" t="n">
        <v>0</v>
      </c>
      <c r="AO2327" s="53" t="n">
        <v>0</v>
      </c>
      <c r="AP2327" s="52" t="n">
        <v>0</v>
      </c>
      <c r="AQ2327" s="53" t="n">
        <v>0</v>
      </c>
      <c r="AR2327" s="52" t="n">
        <v>0</v>
      </c>
      <c r="AS2327" s="51" t="n">
        <v>0</v>
      </c>
      <c r="AT2327" s="48" t="n">
        <v>0</v>
      </c>
      <c r="AU2327" s="49" t="n">
        <v>0</v>
      </c>
      <c r="AV2327" s="49" t="n">
        <v>0</v>
      </c>
      <c r="AW2327" s="50" t="n">
        <v>0</v>
      </c>
      <c r="AX2327" s="51" t="n">
        <v>0</v>
      </c>
      <c r="AY2327" s="52" t="n">
        <v>0</v>
      </c>
      <c r="AZ2327" s="52" t="n">
        <v>0</v>
      </c>
      <c r="BA2327" s="52" t="n">
        <v>0</v>
      </c>
      <c r="BB2327" s="53" t="n">
        <v>0</v>
      </c>
      <c r="BC2327" s="52" t="n">
        <v>0</v>
      </c>
      <c r="BD2327" s="53" t="n">
        <v>0</v>
      </c>
      <c r="BE2327" s="52" t="n">
        <v>0</v>
      </c>
      <c r="BF2327" s="51" t="n">
        <v>0</v>
      </c>
    </row>
    <row r="2328">
      <c r="A2328">
        <f>HYPERLINK("https://www.walmart.com/ip/16344201504", "16344201504")</f>
        <v/>
      </c>
      <c r="B2328" t="inlineStr">
        <is>
          <t>Catalonia Lightweight Ladies Bathrobe, Long Summer Robe with Pockets,Soft Summer Robes for Women, Kimono Gift for Her, White</t>
        </is>
      </c>
      <c r="C2328" t="inlineStr">
        <is>
          <t>1CTRB504WT-5</t>
        </is>
      </c>
      <c r="D2328" t="inlineStr">
        <is>
          <t>Sleepwear Robes &amp; Bathrobes</t>
        </is>
      </c>
      <c r="E2328" t="inlineStr">
        <is>
          <t>Catalonia</t>
        </is>
      </c>
      <c r="G2328" s="48" t="n">
        <v>0</v>
      </c>
      <c r="H2328" s="49" t="n">
        <v>0</v>
      </c>
      <c r="I2328" s="49" t="n">
        <v>0</v>
      </c>
      <c r="J2328" s="50" t="n">
        <v>0</v>
      </c>
      <c r="K2328" s="51" t="n">
        <v>0</v>
      </c>
      <c r="L2328" s="52" t="n">
        <v>0</v>
      </c>
      <c r="M2328" s="52" t="n">
        <v>0</v>
      </c>
      <c r="N2328" s="52" t="n">
        <v>0</v>
      </c>
      <c r="O2328" s="53" t="n">
        <v>0</v>
      </c>
      <c r="P2328" s="52" t="n">
        <v>0</v>
      </c>
      <c r="Q2328" s="53" t="n">
        <v>0</v>
      </c>
      <c r="R2328" s="52" t="n">
        <v>0</v>
      </c>
      <c r="S2328" s="51" t="n">
        <v>0</v>
      </c>
      <c r="T2328" s="48" t="n">
        <v>0</v>
      </c>
      <c r="U2328" s="49" t="n">
        <v>0</v>
      </c>
      <c r="V2328" s="49" t="n">
        <v>0</v>
      </c>
      <c r="W2328" s="50" t="n">
        <v>0</v>
      </c>
      <c r="X2328" s="51" t="n">
        <v>0</v>
      </c>
      <c r="Y2328" s="52" t="n">
        <v>0</v>
      </c>
      <c r="Z2328" s="52" t="n">
        <v>0</v>
      </c>
      <c r="AA2328" s="52" t="n">
        <v>0</v>
      </c>
      <c r="AB2328" s="53" t="n">
        <v>0</v>
      </c>
      <c r="AC2328" s="52" t="n">
        <v>0</v>
      </c>
      <c r="AD2328" s="53" t="n">
        <v>0</v>
      </c>
      <c r="AE2328" s="52" t="n">
        <v>0</v>
      </c>
      <c r="AF2328" s="51" t="n">
        <v>0</v>
      </c>
      <c r="AG2328" s="48" t="n">
        <v>0</v>
      </c>
      <c r="AH2328" s="49" t="n">
        <v>0</v>
      </c>
      <c r="AI2328" s="49" t="n">
        <v>0</v>
      </c>
      <c r="AJ2328" s="50" t="n">
        <v>0</v>
      </c>
      <c r="AK2328" s="51" t="n">
        <v>0</v>
      </c>
      <c r="AL2328" s="52" t="n">
        <v>0</v>
      </c>
      <c r="AM2328" s="52" t="n">
        <v>0</v>
      </c>
      <c r="AN2328" s="52" t="n">
        <v>0</v>
      </c>
      <c r="AO2328" s="53" t="n">
        <v>0</v>
      </c>
      <c r="AP2328" s="52" t="n">
        <v>0</v>
      </c>
      <c r="AQ2328" s="53" t="n">
        <v>0</v>
      </c>
      <c r="AR2328" s="52" t="n">
        <v>0</v>
      </c>
      <c r="AS2328" s="51" t="n">
        <v>0</v>
      </c>
      <c r="AT2328" s="48" t="n">
        <v>0</v>
      </c>
      <c r="AU2328" s="49" t="n">
        <v>0</v>
      </c>
      <c r="AV2328" s="49" t="n">
        <v>0</v>
      </c>
      <c r="AW2328" s="50" t="n">
        <v>0</v>
      </c>
      <c r="AX2328" s="51" t="n">
        <v>0</v>
      </c>
      <c r="AY2328" s="52" t="n">
        <v>0</v>
      </c>
      <c r="AZ2328" s="52" t="n">
        <v>0</v>
      </c>
      <c r="BA2328" s="52" t="n">
        <v>0</v>
      </c>
      <c r="BB2328" s="53" t="n">
        <v>0</v>
      </c>
      <c r="BC2328" s="52" t="n">
        <v>0</v>
      </c>
      <c r="BD2328" s="53" t="n">
        <v>0</v>
      </c>
      <c r="BE2328" s="52" t="n">
        <v>0</v>
      </c>
      <c r="BF2328" s="51" t="n">
        <v>0</v>
      </c>
    </row>
    <row r="2329">
      <c r="A2329">
        <f>HYPERLINK("https://www.walmart.com/ip/16344201970", "16344201970")</f>
        <v/>
      </c>
      <c r="B2329" t="inlineStr">
        <is>
          <t>Catalonia Lightweight Ladies Bathrobe, Long Summer Robe with Pockets,Soft Summer Robes for Women, Kimono Gift for Her, Lilac</t>
        </is>
      </c>
      <c r="C2329" t="inlineStr">
        <is>
          <t>1CTRB504LL-5</t>
        </is>
      </c>
      <c r="D2329" t="inlineStr">
        <is>
          <t>Sleepwear Robes &amp; Bathrobes</t>
        </is>
      </c>
      <c r="E2329" t="inlineStr">
        <is>
          <t>Catalonia</t>
        </is>
      </c>
      <c r="G2329" s="48" t="n">
        <v>0</v>
      </c>
      <c r="H2329" s="49" t="n">
        <v>0</v>
      </c>
      <c r="I2329" s="49" t="n">
        <v>0</v>
      </c>
      <c r="J2329" s="50" t="n">
        <v>0</v>
      </c>
      <c r="K2329" s="51" t="n">
        <v>0</v>
      </c>
      <c r="L2329" s="52" t="n">
        <v>0</v>
      </c>
      <c r="M2329" s="52" t="n">
        <v>0</v>
      </c>
      <c r="N2329" s="52" t="n">
        <v>0</v>
      </c>
      <c r="O2329" s="53" t="n">
        <v>0</v>
      </c>
      <c r="P2329" s="52" t="n">
        <v>0</v>
      </c>
      <c r="Q2329" s="53" t="n">
        <v>0</v>
      </c>
      <c r="R2329" s="52" t="n">
        <v>0</v>
      </c>
      <c r="S2329" s="51" t="n">
        <v>0</v>
      </c>
      <c r="T2329" s="48" t="n">
        <v>0</v>
      </c>
      <c r="U2329" s="49" t="n">
        <v>0</v>
      </c>
      <c r="V2329" s="49" t="n">
        <v>0</v>
      </c>
      <c r="W2329" s="50" t="n">
        <v>0</v>
      </c>
      <c r="X2329" s="51" t="n">
        <v>0</v>
      </c>
      <c r="Y2329" s="52" t="n">
        <v>0</v>
      </c>
      <c r="Z2329" s="52" t="n">
        <v>0</v>
      </c>
      <c r="AA2329" s="52" t="n">
        <v>0</v>
      </c>
      <c r="AB2329" s="53" t="n">
        <v>0</v>
      </c>
      <c r="AC2329" s="52" t="n">
        <v>0</v>
      </c>
      <c r="AD2329" s="53" t="n">
        <v>0</v>
      </c>
      <c r="AE2329" s="52" t="n">
        <v>0</v>
      </c>
      <c r="AF2329" s="51" t="n">
        <v>0</v>
      </c>
      <c r="AG2329" s="48" t="n">
        <v>0</v>
      </c>
      <c r="AH2329" s="49" t="n">
        <v>0</v>
      </c>
      <c r="AI2329" s="49" t="n">
        <v>0</v>
      </c>
      <c r="AJ2329" s="50" t="n">
        <v>0</v>
      </c>
      <c r="AK2329" s="51" t="n">
        <v>0</v>
      </c>
      <c r="AL2329" s="52" t="n">
        <v>0</v>
      </c>
      <c r="AM2329" s="52" t="n">
        <v>0</v>
      </c>
      <c r="AN2329" s="52" t="n">
        <v>0</v>
      </c>
      <c r="AO2329" s="53" t="n">
        <v>0</v>
      </c>
      <c r="AP2329" s="52" t="n">
        <v>0</v>
      </c>
      <c r="AQ2329" s="53" t="n">
        <v>0</v>
      </c>
      <c r="AR2329" s="52" t="n">
        <v>0</v>
      </c>
      <c r="AS2329" s="51" t="n">
        <v>0</v>
      </c>
      <c r="AT2329" s="48" t="n">
        <v>0</v>
      </c>
      <c r="AU2329" s="49" t="n">
        <v>0</v>
      </c>
      <c r="AV2329" s="49" t="n">
        <v>0</v>
      </c>
      <c r="AW2329" s="50" t="n">
        <v>0</v>
      </c>
      <c r="AX2329" s="51" t="n">
        <v>0</v>
      </c>
      <c r="AY2329" s="52" t="n">
        <v>0</v>
      </c>
      <c r="AZ2329" s="52" t="n">
        <v>0</v>
      </c>
      <c r="BA2329" s="52" t="n">
        <v>0</v>
      </c>
      <c r="BB2329" s="53" t="n">
        <v>0</v>
      </c>
      <c r="BC2329" s="52" t="n">
        <v>0</v>
      </c>
      <c r="BD2329" s="53" t="n">
        <v>0</v>
      </c>
      <c r="BE2329" s="52" t="n">
        <v>0</v>
      </c>
      <c r="BF2329" s="51" t="n">
        <v>0</v>
      </c>
    </row>
    <row r="2330">
      <c r="A2330">
        <f>HYPERLINK("https://www.walmart.com/ip/16346371312", "16346371312")</f>
        <v/>
      </c>
      <c r="B2330" t="inlineStr">
        <is>
          <t>Catalonia Lightweight Ladies Bathrobe, Long Summer Robe with Pockets,Soft Summer Robes for Women, Kimono Gift for Her, Blue</t>
        </is>
      </c>
      <c r="C2330" t="inlineStr">
        <is>
          <t>1CTRB504BL-3</t>
        </is>
      </c>
      <c r="D2330" t="inlineStr">
        <is>
          <t>Sleepwear Robes &amp; Bathrobes</t>
        </is>
      </c>
      <c r="E2330" t="inlineStr">
        <is>
          <t>Catalonia</t>
        </is>
      </c>
      <c r="G2330" s="48" t="n">
        <v>0</v>
      </c>
      <c r="H2330" s="49" t="n">
        <v>0</v>
      </c>
      <c r="I2330" s="49" t="n">
        <v>0</v>
      </c>
      <c r="J2330" s="50" t="n">
        <v>0</v>
      </c>
      <c r="K2330" s="51" t="n">
        <v>0</v>
      </c>
      <c r="L2330" s="52" t="n">
        <v>0</v>
      </c>
      <c r="M2330" s="52" t="n">
        <v>0</v>
      </c>
      <c r="N2330" s="52" t="n">
        <v>0</v>
      </c>
      <c r="O2330" s="53" t="n">
        <v>0</v>
      </c>
      <c r="P2330" s="52" t="n">
        <v>0</v>
      </c>
      <c r="Q2330" s="53" t="n">
        <v>0</v>
      </c>
      <c r="R2330" s="52" t="n">
        <v>0</v>
      </c>
      <c r="S2330" s="51" t="n">
        <v>0</v>
      </c>
      <c r="T2330" s="48" t="n">
        <v>0</v>
      </c>
      <c r="U2330" s="49" t="n">
        <v>0</v>
      </c>
      <c r="V2330" s="49" t="n">
        <v>0</v>
      </c>
      <c r="W2330" s="50" t="n">
        <v>0</v>
      </c>
      <c r="X2330" s="51" t="n">
        <v>0</v>
      </c>
      <c r="Y2330" s="52" t="n">
        <v>0</v>
      </c>
      <c r="Z2330" s="52" t="n">
        <v>0</v>
      </c>
      <c r="AA2330" s="52" t="n">
        <v>0</v>
      </c>
      <c r="AB2330" s="53" t="n">
        <v>0</v>
      </c>
      <c r="AC2330" s="52" t="n">
        <v>0</v>
      </c>
      <c r="AD2330" s="53" t="n">
        <v>0</v>
      </c>
      <c r="AE2330" s="52" t="n">
        <v>0</v>
      </c>
      <c r="AF2330" s="51" t="n">
        <v>0</v>
      </c>
      <c r="AG2330" s="48" t="n">
        <v>0</v>
      </c>
      <c r="AH2330" s="49" t="n">
        <v>0</v>
      </c>
      <c r="AI2330" s="49" t="n">
        <v>0</v>
      </c>
      <c r="AJ2330" s="50" t="n">
        <v>0</v>
      </c>
      <c r="AK2330" s="51" t="n">
        <v>0</v>
      </c>
      <c r="AL2330" s="52" t="n">
        <v>0</v>
      </c>
      <c r="AM2330" s="52" t="n">
        <v>0</v>
      </c>
      <c r="AN2330" s="52" t="n">
        <v>0</v>
      </c>
      <c r="AO2330" s="53" t="n">
        <v>0</v>
      </c>
      <c r="AP2330" s="52" t="n">
        <v>0</v>
      </c>
      <c r="AQ2330" s="53" t="n">
        <v>0</v>
      </c>
      <c r="AR2330" s="52" t="n">
        <v>0</v>
      </c>
      <c r="AS2330" s="51" t="n">
        <v>0</v>
      </c>
      <c r="AT2330" s="48" t="n">
        <v>0</v>
      </c>
      <c r="AU2330" s="49" t="n">
        <v>0</v>
      </c>
      <c r="AV2330" s="49" t="n">
        <v>0</v>
      </c>
      <c r="AW2330" s="50" t="n">
        <v>0</v>
      </c>
      <c r="AX2330" s="51" t="n">
        <v>0</v>
      </c>
      <c r="AY2330" s="52" t="n">
        <v>0</v>
      </c>
      <c r="AZ2330" s="52" t="n">
        <v>0</v>
      </c>
      <c r="BA2330" s="52" t="n">
        <v>0</v>
      </c>
      <c r="BB2330" s="53" t="n">
        <v>0</v>
      </c>
      <c r="BC2330" s="52" t="n">
        <v>0</v>
      </c>
      <c r="BD2330" s="53" t="n">
        <v>0</v>
      </c>
      <c r="BE2330" s="52" t="n">
        <v>0</v>
      </c>
      <c r="BF2330" s="51" t="n">
        <v>0</v>
      </c>
    </row>
    <row r="2331">
      <c r="A2331">
        <f>HYPERLINK("https://www.walmart.com/ip/16407005205", "16407005205")</f>
        <v/>
      </c>
      <c r="B2331" t="inlineStr">
        <is>
          <t>Catalonia Lightweight Ladies Bathrobe, Long Summer Robe with Pockets,Soft Summer Robes for Women, Kimono Gift for Her, Green</t>
        </is>
      </c>
      <c r="C2331" t="inlineStr">
        <is>
          <t>1CTRB504GN-2</t>
        </is>
      </c>
      <c r="D2331" t="inlineStr">
        <is>
          <t>Sleepwear Robes &amp; Bathrobes</t>
        </is>
      </c>
      <c r="E2331" t="inlineStr">
        <is>
          <t>Catalonia</t>
        </is>
      </c>
      <c r="G2331" s="48" t="n">
        <v>0</v>
      </c>
      <c r="H2331" s="49" t="n">
        <v>0</v>
      </c>
      <c r="I2331" s="49" t="n">
        <v>0</v>
      </c>
      <c r="J2331" s="50" t="n">
        <v>0</v>
      </c>
      <c r="K2331" s="51" t="n">
        <v>0</v>
      </c>
      <c r="L2331" s="52" t="n">
        <v>0</v>
      </c>
      <c r="M2331" s="52" t="n">
        <v>0</v>
      </c>
      <c r="N2331" s="52" t="n">
        <v>0</v>
      </c>
      <c r="O2331" s="53" t="n">
        <v>0</v>
      </c>
      <c r="P2331" s="52" t="n">
        <v>0</v>
      </c>
      <c r="Q2331" s="53" t="n">
        <v>0</v>
      </c>
      <c r="R2331" s="52" t="n">
        <v>0</v>
      </c>
      <c r="S2331" s="51" t="n">
        <v>0</v>
      </c>
      <c r="T2331" s="48" t="n">
        <v>0</v>
      </c>
      <c r="U2331" s="49" t="n">
        <v>0</v>
      </c>
      <c r="V2331" s="49" t="n">
        <v>0</v>
      </c>
      <c r="W2331" s="50" t="n">
        <v>0</v>
      </c>
      <c r="X2331" s="51" t="n">
        <v>0</v>
      </c>
      <c r="Y2331" s="52" t="n">
        <v>0</v>
      </c>
      <c r="Z2331" s="52" t="n">
        <v>0</v>
      </c>
      <c r="AA2331" s="52" t="n">
        <v>0</v>
      </c>
      <c r="AB2331" s="53" t="n">
        <v>0</v>
      </c>
      <c r="AC2331" s="52" t="n">
        <v>0</v>
      </c>
      <c r="AD2331" s="53" t="n">
        <v>0</v>
      </c>
      <c r="AE2331" s="52" t="n">
        <v>0</v>
      </c>
      <c r="AF2331" s="51" t="n">
        <v>0</v>
      </c>
      <c r="AG2331" s="48" t="n">
        <v>0</v>
      </c>
      <c r="AH2331" s="49" t="n">
        <v>0</v>
      </c>
      <c r="AI2331" s="49" t="n">
        <v>0</v>
      </c>
      <c r="AJ2331" s="50" t="n">
        <v>0</v>
      </c>
      <c r="AK2331" s="51" t="n">
        <v>0</v>
      </c>
      <c r="AL2331" s="52" t="n">
        <v>0</v>
      </c>
      <c r="AM2331" s="52" t="n">
        <v>0</v>
      </c>
      <c r="AN2331" s="52" t="n">
        <v>0</v>
      </c>
      <c r="AO2331" s="53" t="n">
        <v>0</v>
      </c>
      <c r="AP2331" s="52" t="n">
        <v>0</v>
      </c>
      <c r="AQ2331" s="53" t="n">
        <v>0</v>
      </c>
      <c r="AR2331" s="52" t="n">
        <v>0</v>
      </c>
      <c r="AS2331" s="51" t="n">
        <v>0</v>
      </c>
      <c r="AT2331" s="48" t="n">
        <v>0</v>
      </c>
      <c r="AU2331" s="49" t="n">
        <v>0</v>
      </c>
      <c r="AV2331" s="49" t="n">
        <v>0</v>
      </c>
      <c r="AW2331" s="50" t="n">
        <v>0</v>
      </c>
      <c r="AX2331" s="51" t="n">
        <v>0</v>
      </c>
      <c r="AY2331" s="52" t="n">
        <v>0</v>
      </c>
      <c r="AZ2331" s="52" t="n">
        <v>0</v>
      </c>
      <c r="BA2331" s="52" t="n">
        <v>0</v>
      </c>
      <c r="BB2331" s="53" t="n">
        <v>0</v>
      </c>
      <c r="BC2331" s="52" t="n">
        <v>0</v>
      </c>
      <c r="BD2331" s="53" t="n">
        <v>0</v>
      </c>
      <c r="BE2331" s="52" t="n">
        <v>0</v>
      </c>
      <c r="BF2331" s="51" t="n">
        <v>0</v>
      </c>
    </row>
    <row r="2332">
      <c r="A2332">
        <f>HYPERLINK("https://www.walmart.com/ip/164074904", "164074904")</f>
        <v/>
      </c>
      <c r="B2332" t="inlineStr">
        <is>
          <t>JenniWears Women's Black Mesh Hollow Chemise Lingerie Mini Tube Chemise Lingerie</t>
        </is>
      </c>
      <c r="C2332" t="inlineStr">
        <is>
          <t>JWBS8815</t>
        </is>
      </c>
      <c r="D2332" t="inlineStr">
        <is>
          <t>Lingerie Sets</t>
        </is>
      </c>
      <c r="E2332" t="inlineStr">
        <is>
          <t>JenniWears</t>
        </is>
      </c>
      <c r="F2332" t="inlineStr">
        <is>
          <t>Valentine</t>
        </is>
      </c>
      <c r="G2332" s="48" t="n">
        <v>0</v>
      </c>
      <c r="H2332" s="49" t="n">
        <v>0</v>
      </c>
      <c r="I2332" s="49" t="n">
        <v>0</v>
      </c>
      <c r="J2332" s="50" t="n">
        <v>0</v>
      </c>
      <c r="K2332" s="51" t="n">
        <v>0</v>
      </c>
      <c r="L2332" s="52" t="n">
        <v>0</v>
      </c>
      <c r="M2332" s="52" t="n">
        <v>0</v>
      </c>
      <c r="N2332" s="52" t="n">
        <v>0</v>
      </c>
      <c r="O2332" s="53" t="n">
        <v>0</v>
      </c>
      <c r="P2332" s="52" t="n">
        <v>0</v>
      </c>
      <c r="Q2332" s="53" t="n">
        <v>0</v>
      </c>
      <c r="R2332" s="52" t="n">
        <v>0</v>
      </c>
      <c r="S2332" s="51" t="n">
        <v>0</v>
      </c>
      <c r="T2332" s="48" t="n">
        <v>0</v>
      </c>
      <c r="U2332" s="49" t="n">
        <v>0</v>
      </c>
      <c r="V2332" s="49" t="n">
        <v>0</v>
      </c>
      <c r="W2332" s="50" t="n">
        <v>0</v>
      </c>
      <c r="X2332" s="51" t="n">
        <v>0</v>
      </c>
      <c r="Y2332" s="52" t="n">
        <v>0</v>
      </c>
      <c r="Z2332" s="52" t="n">
        <v>0</v>
      </c>
      <c r="AA2332" s="52" t="n">
        <v>0</v>
      </c>
      <c r="AB2332" s="53" t="n">
        <v>0</v>
      </c>
      <c r="AC2332" s="52" t="n">
        <v>0</v>
      </c>
      <c r="AD2332" s="53" t="n">
        <v>0</v>
      </c>
      <c r="AE2332" s="52" t="n">
        <v>0</v>
      </c>
      <c r="AF2332" s="51" t="n">
        <v>0</v>
      </c>
      <c r="AG2332" s="48" t="n">
        <v>0</v>
      </c>
      <c r="AH2332" s="49" t="n">
        <v>0</v>
      </c>
      <c r="AI2332" s="49" t="n">
        <v>0</v>
      </c>
      <c r="AJ2332" s="50" t="n">
        <v>0</v>
      </c>
      <c r="AK2332" s="51" t="n">
        <v>0</v>
      </c>
      <c r="AL2332" s="52" t="n">
        <v>0</v>
      </c>
      <c r="AM2332" s="52" t="n">
        <v>0</v>
      </c>
      <c r="AN2332" s="52" t="n">
        <v>0</v>
      </c>
      <c r="AO2332" s="53" t="n">
        <v>0</v>
      </c>
      <c r="AP2332" s="52" t="n">
        <v>0</v>
      </c>
      <c r="AQ2332" s="53" t="n">
        <v>0</v>
      </c>
      <c r="AR2332" s="52" t="n">
        <v>0</v>
      </c>
      <c r="AS2332" s="51" t="n">
        <v>0</v>
      </c>
      <c r="AT2332" s="48" t="n">
        <v>0</v>
      </c>
      <c r="AU2332" s="49" t="n">
        <v>0</v>
      </c>
      <c r="AV2332" s="49" t="n">
        <v>0</v>
      </c>
      <c r="AW2332" s="50" t="n">
        <v>0</v>
      </c>
      <c r="AX2332" s="51" t="n">
        <v>0</v>
      </c>
      <c r="AY2332" s="52" t="n">
        <v>0</v>
      </c>
      <c r="AZ2332" s="52" t="n">
        <v>0</v>
      </c>
      <c r="BA2332" s="52" t="n">
        <v>0</v>
      </c>
      <c r="BB2332" s="53" t="n">
        <v>0</v>
      </c>
      <c r="BC2332" s="52" t="n">
        <v>0</v>
      </c>
      <c r="BD2332" s="53" t="n">
        <v>0</v>
      </c>
      <c r="BE2332" s="52" t="n">
        <v>0</v>
      </c>
      <c r="BF2332" s="51" t="n">
        <v>0</v>
      </c>
    </row>
    <row r="2333">
      <c r="A2333">
        <f>HYPERLINK("https://www.walmart.com/ip/1647718963", "1647718963")</f>
        <v/>
      </c>
      <c r="B2333" t="inlineStr">
        <is>
          <t>12 Pack Sun Blocker Women's Sun Hat Reversible Bucket Cap UPF 50+ Outdoor Travel Beach Hat, Green</t>
        </is>
      </c>
      <c r="C2333" t="inlineStr">
        <is>
          <t>KC-S9200-GR-12pcs</t>
        </is>
      </c>
      <c r="D2333" t="inlineStr">
        <is>
          <t>Hats</t>
        </is>
      </c>
      <c r="E2333" t="inlineStr">
        <is>
          <t>Sun Blocker</t>
        </is>
      </c>
      <c r="F2333" t="inlineStr">
        <is>
          <t>Batch 1 - TR</t>
        </is>
      </c>
      <c r="G2333" s="48" t="n">
        <v>0</v>
      </c>
      <c r="H2333" s="49" t="n">
        <v>0</v>
      </c>
      <c r="I2333" s="49" t="n">
        <v>0</v>
      </c>
      <c r="J2333" s="50" t="n">
        <v>0</v>
      </c>
      <c r="K2333" s="51" t="n">
        <v>0</v>
      </c>
      <c r="L2333" s="52" t="n">
        <v>0</v>
      </c>
      <c r="M2333" s="52" t="n">
        <v>0</v>
      </c>
      <c r="N2333" s="52" t="n">
        <v>0</v>
      </c>
      <c r="O2333" s="53" t="n">
        <v>0</v>
      </c>
      <c r="P2333" s="52" t="n">
        <v>0</v>
      </c>
      <c r="Q2333" s="53" t="n">
        <v>0</v>
      </c>
      <c r="R2333" s="52" t="n">
        <v>0</v>
      </c>
      <c r="S2333" s="51" t="n">
        <v>0</v>
      </c>
      <c r="T2333" s="48" t="n">
        <v>0</v>
      </c>
      <c r="U2333" s="49" t="n">
        <v>0</v>
      </c>
      <c r="V2333" s="49" t="n">
        <v>0</v>
      </c>
      <c r="W2333" s="50" t="n">
        <v>0</v>
      </c>
      <c r="X2333" s="51" t="n">
        <v>0</v>
      </c>
      <c r="Y2333" s="52" t="n">
        <v>0</v>
      </c>
      <c r="Z2333" s="52" t="n">
        <v>0</v>
      </c>
      <c r="AA2333" s="52" t="n">
        <v>0</v>
      </c>
      <c r="AB2333" s="53" t="n">
        <v>0</v>
      </c>
      <c r="AC2333" s="52" t="n">
        <v>0</v>
      </c>
      <c r="AD2333" s="53" t="n">
        <v>0</v>
      </c>
      <c r="AE2333" s="52" t="n">
        <v>0</v>
      </c>
      <c r="AF2333" s="51" t="n">
        <v>0</v>
      </c>
      <c r="AG2333" s="48" t="n">
        <v>0</v>
      </c>
      <c r="AH2333" s="49" t="n">
        <v>0</v>
      </c>
      <c r="AI2333" s="49" t="n">
        <v>0</v>
      </c>
      <c r="AJ2333" s="50" t="n">
        <v>0</v>
      </c>
      <c r="AK2333" s="51" t="n">
        <v>0</v>
      </c>
      <c r="AL2333" s="52" t="n">
        <v>0</v>
      </c>
      <c r="AM2333" s="52" t="n">
        <v>0</v>
      </c>
      <c r="AN2333" s="52" t="n">
        <v>0</v>
      </c>
      <c r="AO2333" s="53" t="n">
        <v>0</v>
      </c>
      <c r="AP2333" s="52" t="n">
        <v>0</v>
      </c>
      <c r="AQ2333" s="53" t="n">
        <v>0</v>
      </c>
      <c r="AR2333" s="52" t="n">
        <v>0</v>
      </c>
      <c r="AS2333" s="51" t="n">
        <v>0</v>
      </c>
      <c r="AT2333" s="48" t="n">
        <v>0</v>
      </c>
      <c r="AU2333" s="49" t="n">
        <v>0</v>
      </c>
      <c r="AV2333" s="49" t="n">
        <v>0</v>
      </c>
      <c r="AW2333" s="50" t="n">
        <v>0</v>
      </c>
      <c r="AX2333" s="51" t="n">
        <v>0</v>
      </c>
      <c r="AY2333" s="52" t="n">
        <v>0</v>
      </c>
      <c r="AZ2333" s="52" t="n">
        <v>0</v>
      </c>
      <c r="BA2333" s="52" t="n">
        <v>0</v>
      </c>
      <c r="BB2333" s="53" t="n">
        <v>0</v>
      </c>
      <c r="BC2333" s="52" t="n">
        <v>0</v>
      </c>
      <c r="BD2333" s="53" t="n">
        <v>0</v>
      </c>
      <c r="BE2333" s="52" t="n">
        <v>0</v>
      </c>
      <c r="BF2333" s="51" t="n">
        <v>0</v>
      </c>
    </row>
    <row r="2334">
      <c r="A2334">
        <f>HYPERLINK("https://www.walmart.com/ip/164859298", "164859298")</f>
        <v/>
      </c>
      <c r="B2334" t="inlineStr">
        <is>
          <t>Tirrinia Women's Halter Tankini Set Two Pieces Padded Bathing Suits Swimsuit, XLarge Size, Black</t>
        </is>
      </c>
      <c r="C2334" t="inlineStr">
        <is>
          <t>1TRSS002BK-XL</t>
        </is>
      </c>
      <c r="D2334" t="inlineStr">
        <is>
          <t>Swimsuit Sets</t>
        </is>
      </c>
      <c r="E2334" t="inlineStr">
        <is>
          <t>Tirrinia</t>
        </is>
      </c>
      <c r="F2334" t="inlineStr">
        <is>
          <t>Batch 1 - TR</t>
        </is>
      </c>
      <c r="G2334" s="48" t="n">
        <v>0</v>
      </c>
      <c r="H2334" s="49" t="n">
        <v>0</v>
      </c>
      <c r="I2334" s="49" t="n">
        <v>0</v>
      </c>
      <c r="J2334" s="50" t="n">
        <v>0</v>
      </c>
      <c r="K2334" s="51" t="n">
        <v>0</v>
      </c>
      <c r="L2334" s="52" t="n">
        <v>0</v>
      </c>
      <c r="M2334" s="52" t="n">
        <v>0</v>
      </c>
      <c r="N2334" s="52" t="n">
        <v>0</v>
      </c>
      <c r="O2334" s="53" t="n">
        <v>0</v>
      </c>
      <c r="P2334" s="52" t="n">
        <v>0</v>
      </c>
      <c r="Q2334" s="53" t="n">
        <v>0</v>
      </c>
      <c r="R2334" s="52" t="n">
        <v>0</v>
      </c>
      <c r="S2334" s="51" t="n">
        <v>0</v>
      </c>
      <c r="T2334" s="48" t="n">
        <v>0</v>
      </c>
      <c r="U2334" s="49" t="n">
        <v>0</v>
      </c>
      <c r="V2334" s="49" t="n">
        <v>0</v>
      </c>
      <c r="W2334" s="50" t="n">
        <v>0</v>
      </c>
      <c r="X2334" s="51" t="n">
        <v>0</v>
      </c>
      <c r="Y2334" s="52" t="n">
        <v>0</v>
      </c>
      <c r="Z2334" s="52" t="n">
        <v>0</v>
      </c>
      <c r="AA2334" s="52" t="n">
        <v>0</v>
      </c>
      <c r="AB2334" s="53" t="n">
        <v>0</v>
      </c>
      <c r="AC2334" s="52" t="n">
        <v>0</v>
      </c>
      <c r="AD2334" s="53" t="n">
        <v>0</v>
      </c>
      <c r="AE2334" s="52" t="n">
        <v>0</v>
      </c>
      <c r="AF2334" s="51" t="n">
        <v>0</v>
      </c>
      <c r="AG2334" s="48" t="n">
        <v>0</v>
      </c>
      <c r="AH2334" s="49" t="n">
        <v>0</v>
      </c>
      <c r="AI2334" s="49" t="n">
        <v>0</v>
      </c>
      <c r="AJ2334" s="50" t="n">
        <v>0</v>
      </c>
      <c r="AK2334" s="51" t="n">
        <v>0</v>
      </c>
      <c r="AL2334" s="52" t="n">
        <v>0</v>
      </c>
      <c r="AM2334" s="52" t="n">
        <v>0</v>
      </c>
      <c r="AN2334" s="52" t="n">
        <v>0</v>
      </c>
      <c r="AO2334" s="53" t="n">
        <v>0</v>
      </c>
      <c r="AP2334" s="52" t="n">
        <v>0</v>
      </c>
      <c r="AQ2334" s="53" t="n">
        <v>0</v>
      </c>
      <c r="AR2334" s="52" t="n">
        <v>0</v>
      </c>
      <c r="AS2334" s="51" t="n">
        <v>0</v>
      </c>
      <c r="AT2334" s="48" t="n">
        <v>0</v>
      </c>
      <c r="AU2334" s="49" t="n">
        <v>0</v>
      </c>
      <c r="AV2334" s="49" t="n">
        <v>0</v>
      </c>
      <c r="AW2334" s="50" t="n">
        <v>0</v>
      </c>
      <c r="AX2334" s="51" t="n">
        <v>0</v>
      </c>
      <c r="AY2334" s="52" t="n">
        <v>0</v>
      </c>
      <c r="AZ2334" s="52" t="n">
        <v>0</v>
      </c>
      <c r="BA2334" s="52" t="n">
        <v>0</v>
      </c>
      <c r="BB2334" s="53" t="n">
        <v>0</v>
      </c>
      <c r="BC2334" s="52" t="n">
        <v>0</v>
      </c>
      <c r="BD2334" s="53" t="n">
        <v>0</v>
      </c>
      <c r="BE2334" s="52" t="n">
        <v>0</v>
      </c>
      <c r="BF2334" s="51" t="n">
        <v>0</v>
      </c>
    </row>
    <row r="2335">
      <c r="A2335">
        <f>HYPERLINK("https://www.walmart.com/ip/164941151", "164941151")</f>
        <v/>
      </c>
      <c r="B2335" t="inlineStr">
        <is>
          <t>Napa Premium Soft Warm Plush Kid Blanket Polyester Fluffy Reversible Bedding Throw For Baby Children Teen Boy Girl</t>
        </is>
      </c>
      <c r="C2335" t="inlineStr">
        <is>
          <t>K9000KD-LT</t>
        </is>
      </c>
      <c r="D2335" t="inlineStr">
        <is>
          <t>Throws</t>
        </is>
      </c>
      <c r="E2335" t="inlineStr">
        <is>
          <t>NAPA</t>
        </is>
      </c>
      <c r="G2335" s="48" t="n">
        <v>0</v>
      </c>
      <c r="H2335" s="49" t="n">
        <v>0</v>
      </c>
      <c r="I2335" s="49" t="n">
        <v>0</v>
      </c>
      <c r="J2335" s="50" t="n">
        <v>0</v>
      </c>
      <c r="K2335" s="51" t="n">
        <v>0</v>
      </c>
      <c r="L2335" s="52" t="n">
        <v>0</v>
      </c>
      <c r="M2335" s="52" t="n">
        <v>0</v>
      </c>
      <c r="N2335" s="52" t="n">
        <v>0</v>
      </c>
      <c r="O2335" s="53" t="n">
        <v>0</v>
      </c>
      <c r="P2335" s="52" t="n">
        <v>0</v>
      </c>
      <c r="Q2335" s="53" t="n">
        <v>0</v>
      </c>
      <c r="R2335" s="52" t="n">
        <v>0</v>
      </c>
      <c r="S2335" s="51" t="n">
        <v>0</v>
      </c>
      <c r="T2335" s="48" t="n">
        <v>0</v>
      </c>
      <c r="U2335" s="49" t="n">
        <v>0</v>
      </c>
      <c r="V2335" s="49" t="n">
        <v>0</v>
      </c>
      <c r="W2335" s="50" t="n">
        <v>0</v>
      </c>
      <c r="X2335" s="51" t="n">
        <v>0</v>
      </c>
      <c r="Y2335" s="52" t="n">
        <v>0</v>
      </c>
      <c r="Z2335" s="52" t="n">
        <v>0</v>
      </c>
      <c r="AA2335" s="52" t="n">
        <v>0</v>
      </c>
      <c r="AB2335" s="53" t="n">
        <v>0</v>
      </c>
      <c r="AC2335" s="52" t="n">
        <v>0</v>
      </c>
      <c r="AD2335" s="53" t="n">
        <v>0</v>
      </c>
      <c r="AE2335" s="52" t="n">
        <v>0</v>
      </c>
      <c r="AF2335" s="51" t="n">
        <v>0</v>
      </c>
      <c r="AG2335" s="48" t="n">
        <v>0</v>
      </c>
      <c r="AH2335" s="49" t="n">
        <v>0</v>
      </c>
      <c r="AI2335" s="49" t="n">
        <v>0</v>
      </c>
      <c r="AJ2335" s="50" t="n">
        <v>0</v>
      </c>
      <c r="AK2335" s="51" t="n">
        <v>0</v>
      </c>
      <c r="AL2335" s="52" t="n">
        <v>0</v>
      </c>
      <c r="AM2335" s="52" t="n">
        <v>0</v>
      </c>
      <c r="AN2335" s="52" t="n">
        <v>0</v>
      </c>
      <c r="AO2335" s="53" t="n">
        <v>0</v>
      </c>
      <c r="AP2335" s="52" t="n">
        <v>0</v>
      </c>
      <c r="AQ2335" s="53" t="n">
        <v>0</v>
      </c>
      <c r="AR2335" s="52" t="n">
        <v>0</v>
      </c>
      <c r="AS2335" s="51" t="n">
        <v>0</v>
      </c>
      <c r="AT2335" s="48" t="n">
        <v>0</v>
      </c>
      <c r="AU2335" s="49" t="n">
        <v>0</v>
      </c>
      <c r="AV2335" s="49" t="n">
        <v>0</v>
      </c>
      <c r="AW2335" s="50" t="n">
        <v>0</v>
      </c>
      <c r="AX2335" s="51" t="n">
        <v>0</v>
      </c>
      <c r="AY2335" s="52" t="n">
        <v>0</v>
      </c>
      <c r="AZ2335" s="52" t="n">
        <v>0</v>
      </c>
      <c r="BA2335" s="52" t="n">
        <v>0</v>
      </c>
      <c r="BB2335" s="53" t="n">
        <v>0</v>
      </c>
      <c r="BC2335" s="52" t="n">
        <v>0</v>
      </c>
      <c r="BD2335" s="53" t="n">
        <v>0</v>
      </c>
      <c r="BE2335" s="52" t="n">
        <v>0</v>
      </c>
      <c r="BF2335" s="51" t="n">
        <v>0</v>
      </c>
    </row>
    <row r="2336">
      <c r="A2336">
        <f>HYPERLINK("https://www.walmart.com/ip/164977471", "164977471")</f>
        <v/>
      </c>
      <c r="B2336" t="inlineStr">
        <is>
          <t>Fashion Light Up LED Luminous Sequin Neck Ties Changeable Colors Necktie Led Fiber Tie Flashing Tie For Male/Female</t>
        </is>
      </c>
      <c r="C2336" t="inlineStr">
        <is>
          <t>LEDTIE01- HP</t>
        </is>
      </c>
      <c r="D2336" t="inlineStr">
        <is>
          <t>Party Favors</t>
        </is>
      </c>
      <c r="E2336" t="inlineStr">
        <is>
          <t>TY</t>
        </is>
      </c>
      <c r="F2336" t="inlineStr">
        <is>
          <t>Optimized,Halloween</t>
        </is>
      </c>
      <c r="G2336" s="48" t="n">
        <v>0</v>
      </c>
      <c r="H2336" s="49" t="n">
        <v>0</v>
      </c>
      <c r="I2336" s="49" t="n">
        <v>0</v>
      </c>
      <c r="J2336" s="50" t="n">
        <v>0</v>
      </c>
      <c r="K2336" s="51" t="n">
        <v>0</v>
      </c>
      <c r="L2336" s="52" t="n">
        <v>0</v>
      </c>
      <c r="M2336" s="52" t="n">
        <v>0</v>
      </c>
      <c r="N2336" s="52" t="n">
        <v>0</v>
      </c>
      <c r="O2336" s="53" t="n">
        <v>0</v>
      </c>
      <c r="P2336" s="52" t="n">
        <v>0</v>
      </c>
      <c r="Q2336" s="53" t="n">
        <v>0</v>
      </c>
      <c r="R2336" s="52" t="n">
        <v>0</v>
      </c>
      <c r="S2336" s="51" t="n">
        <v>0</v>
      </c>
      <c r="T2336" s="48" t="n">
        <v>0</v>
      </c>
      <c r="U2336" s="49" t="n">
        <v>0</v>
      </c>
      <c r="V2336" s="49" t="n">
        <v>0</v>
      </c>
      <c r="W2336" s="50" t="n">
        <v>0</v>
      </c>
      <c r="X2336" s="51" t="n">
        <v>0</v>
      </c>
      <c r="Y2336" s="52" t="n">
        <v>0</v>
      </c>
      <c r="Z2336" s="52" t="n">
        <v>0</v>
      </c>
      <c r="AA2336" s="52" t="n">
        <v>0</v>
      </c>
      <c r="AB2336" s="53" t="n">
        <v>0</v>
      </c>
      <c r="AC2336" s="52" t="n">
        <v>0</v>
      </c>
      <c r="AD2336" s="53" t="n">
        <v>0</v>
      </c>
      <c r="AE2336" s="52" t="n">
        <v>0</v>
      </c>
      <c r="AF2336" s="51" t="n">
        <v>0</v>
      </c>
      <c r="AG2336" s="48" t="n">
        <v>0</v>
      </c>
      <c r="AH2336" s="49" t="n">
        <v>0</v>
      </c>
      <c r="AI2336" s="49" t="n">
        <v>0</v>
      </c>
      <c r="AJ2336" s="50" t="n">
        <v>0</v>
      </c>
      <c r="AK2336" s="51" t="n">
        <v>0</v>
      </c>
      <c r="AL2336" s="52" t="n">
        <v>0</v>
      </c>
      <c r="AM2336" s="52" t="n">
        <v>0</v>
      </c>
      <c r="AN2336" s="52" t="n">
        <v>0</v>
      </c>
      <c r="AO2336" s="53" t="n">
        <v>0</v>
      </c>
      <c r="AP2336" s="52" t="n">
        <v>0</v>
      </c>
      <c r="AQ2336" s="53" t="n">
        <v>0</v>
      </c>
      <c r="AR2336" s="52" t="n">
        <v>0</v>
      </c>
      <c r="AS2336" s="51" t="n">
        <v>0</v>
      </c>
      <c r="AT2336" s="48" t="n">
        <v>0</v>
      </c>
      <c r="AU2336" s="49" t="n">
        <v>0</v>
      </c>
      <c r="AV2336" s="49" t="n">
        <v>0</v>
      </c>
      <c r="AW2336" s="50" t="n">
        <v>0</v>
      </c>
      <c r="AX2336" s="51" t="n">
        <v>0</v>
      </c>
      <c r="AY2336" s="52" t="n">
        <v>0</v>
      </c>
      <c r="AZ2336" s="52" t="n">
        <v>0</v>
      </c>
      <c r="BA2336" s="52" t="n">
        <v>0</v>
      </c>
      <c r="BB2336" s="53" t="n">
        <v>0</v>
      </c>
      <c r="BC2336" s="52" t="n">
        <v>0</v>
      </c>
      <c r="BD2336" s="53" t="n">
        <v>0</v>
      </c>
      <c r="BE2336" s="52" t="n">
        <v>0</v>
      </c>
      <c r="BF2336" s="51" t="n">
        <v>0</v>
      </c>
    </row>
    <row r="2337">
      <c r="A2337">
        <f>HYPERLINK("https://www.walmart.com/ip/165175251", "165175251")</f>
        <v/>
      </c>
      <c r="B2337" t="inlineStr">
        <is>
          <t>JenniWears Women's Beileise Sexy Net Pantyhose Stockings Sheer Ultrathin Socks - 3 Packs</t>
        </is>
      </c>
      <c r="C2337" t="inlineStr">
        <is>
          <t>JWBLSPH2086-3pcs</t>
        </is>
      </c>
      <c r="D2337" t="inlineStr">
        <is>
          <t>Pantyhose &amp; Tights</t>
        </is>
      </c>
      <c r="E2337" t="inlineStr">
        <is>
          <t>JenniWears</t>
        </is>
      </c>
      <c r="F2337" t="inlineStr">
        <is>
          <t>Optimized,Valentine</t>
        </is>
      </c>
      <c r="G2337" s="48" t="n">
        <v>0</v>
      </c>
      <c r="H2337" s="49" t="n">
        <v>0</v>
      </c>
      <c r="I2337" s="49" t="n">
        <v>0</v>
      </c>
      <c r="J2337" s="50" t="n">
        <v>0</v>
      </c>
      <c r="K2337" s="51" t="n">
        <v>0</v>
      </c>
      <c r="L2337" s="52" t="n">
        <v>0</v>
      </c>
      <c r="M2337" s="52" t="n">
        <v>0</v>
      </c>
      <c r="N2337" s="52" t="n">
        <v>0</v>
      </c>
      <c r="O2337" s="53" t="n">
        <v>0</v>
      </c>
      <c r="P2337" s="52" t="n">
        <v>0</v>
      </c>
      <c r="Q2337" s="53" t="n">
        <v>0</v>
      </c>
      <c r="R2337" s="52" t="n">
        <v>0</v>
      </c>
      <c r="S2337" s="51" t="n">
        <v>0</v>
      </c>
      <c r="T2337" s="48" t="n">
        <v>0</v>
      </c>
      <c r="U2337" s="49" t="n">
        <v>0</v>
      </c>
      <c r="V2337" s="49" t="n">
        <v>0</v>
      </c>
      <c r="W2337" s="50" t="n">
        <v>0</v>
      </c>
      <c r="X2337" s="51" t="n">
        <v>0</v>
      </c>
      <c r="Y2337" s="52" t="n">
        <v>0</v>
      </c>
      <c r="Z2337" s="52" t="n">
        <v>0</v>
      </c>
      <c r="AA2337" s="52" t="n">
        <v>0</v>
      </c>
      <c r="AB2337" s="53" t="n">
        <v>0</v>
      </c>
      <c r="AC2337" s="52" t="n">
        <v>0</v>
      </c>
      <c r="AD2337" s="53" t="n">
        <v>0</v>
      </c>
      <c r="AE2337" s="52" t="n">
        <v>0</v>
      </c>
      <c r="AF2337" s="51" t="n">
        <v>0</v>
      </c>
      <c r="AG2337" s="48" t="n">
        <v>0</v>
      </c>
      <c r="AH2337" s="49" t="n">
        <v>0</v>
      </c>
      <c r="AI2337" s="49" t="n">
        <v>0</v>
      </c>
      <c r="AJ2337" s="50" t="n">
        <v>0</v>
      </c>
      <c r="AK2337" s="51" t="n">
        <v>0</v>
      </c>
      <c r="AL2337" s="52" t="n">
        <v>0</v>
      </c>
      <c r="AM2337" s="52" t="n">
        <v>0</v>
      </c>
      <c r="AN2337" s="52" t="n">
        <v>0</v>
      </c>
      <c r="AO2337" s="53" t="n">
        <v>0</v>
      </c>
      <c r="AP2337" s="52" t="n">
        <v>0</v>
      </c>
      <c r="AQ2337" s="53" t="n">
        <v>0</v>
      </c>
      <c r="AR2337" s="52" t="n">
        <v>0</v>
      </c>
      <c r="AS2337" s="51" t="n">
        <v>0</v>
      </c>
      <c r="AT2337" s="48" t="n">
        <v>0</v>
      </c>
      <c r="AU2337" s="49" t="n">
        <v>0</v>
      </c>
      <c r="AV2337" s="49" t="n">
        <v>0</v>
      </c>
      <c r="AW2337" s="50" t="n">
        <v>0</v>
      </c>
      <c r="AX2337" s="51" t="n">
        <v>0</v>
      </c>
      <c r="AY2337" s="52" t="n">
        <v>0</v>
      </c>
      <c r="AZ2337" s="52" t="n">
        <v>0</v>
      </c>
      <c r="BA2337" s="52" t="n">
        <v>0</v>
      </c>
      <c r="BB2337" s="53" t="n">
        <v>0</v>
      </c>
      <c r="BC2337" s="52" t="n">
        <v>0</v>
      </c>
      <c r="BD2337" s="53" t="n">
        <v>0</v>
      </c>
      <c r="BE2337" s="52" t="n">
        <v>0</v>
      </c>
      <c r="BF2337" s="51" t="n">
        <v>0</v>
      </c>
    </row>
    <row r="2338">
      <c r="A2338">
        <f>HYPERLINK("https://www.walmart.com/ip/165180382", "165180382")</f>
        <v/>
      </c>
      <c r="B2338" t="inlineStr">
        <is>
          <t>KC Caps Army Style Surplus Beanie Cap</t>
        </is>
      </c>
      <c r="C2338" t="inlineStr">
        <is>
          <t>KCW1721BK</t>
        </is>
      </c>
      <c r="D2338" t="inlineStr">
        <is>
          <t>Hats</t>
        </is>
      </c>
      <c r="E2338" t="inlineStr">
        <is>
          <t>KC Caps</t>
        </is>
      </c>
      <c r="F2338" t="inlineStr">
        <is>
          <t>Batch 1 - TR</t>
        </is>
      </c>
      <c r="G2338" s="48" t="n">
        <v>0</v>
      </c>
      <c r="H2338" s="49" t="n">
        <v>0</v>
      </c>
      <c r="I2338" s="49" t="n">
        <v>0</v>
      </c>
      <c r="J2338" s="50" t="n">
        <v>0</v>
      </c>
      <c r="K2338" s="51" t="n">
        <v>0</v>
      </c>
      <c r="L2338" s="52" t="n">
        <v>0</v>
      </c>
      <c r="M2338" s="52" t="n">
        <v>0</v>
      </c>
      <c r="N2338" s="52" t="n">
        <v>0</v>
      </c>
      <c r="O2338" s="53" t="n">
        <v>0</v>
      </c>
      <c r="P2338" s="52" t="n">
        <v>0</v>
      </c>
      <c r="Q2338" s="53" t="n">
        <v>0</v>
      </c>
      <c r="R2338" s="52" t="n">
        <v>0</v>
      </c>
      <c r="S2338" s="51" t="n">
        <v>0</v>
      </c>
      <c r="T2338" s="48" t="n">
        <v>0</v>
      </c>
      <c r="U2338" s="49" t="n">
        <v>0</v>
      </c>
      <c r="V2338" s="49" t="n">
        <v>0</v>
      </c>
      <c r="W2338" s="50" t="n">
        <v>0</v>
      </c>
      <c r="X2338" s="51" t="n">
        <v>0</v>
      </c>
      <c r="Y2338" s="52" t="n">
        <v>0</v>
      </c>
      <c r="Z2338" s="52" t="n">
        <v>0</v>
      </c>
      <c r="AA2338" s="52" t="n">
        <v>0</v>
      </c>
      <c r="AB2338" s="53" t="n">
        <v>0</v>
      </c>
      <c r="AC2338" s="52" t="n">
        <v>0</v>
      </c>
      <c r="AD2338" s="53" t="n">
        <v>0</v>
      </c>
      <c r="AE2338" s="52" t="n">
        <v>0</v>
      </c>
      <c r="AF2338" s="51" t="n">
        <v>0</v>
      </c>
      <c r="AG2338" s="48" t="n">
        <v>0</v>
      </c>
      <c r="AH2338" s="49" t="n">
        <v>0</v>
      </c>
      <c r="AI2338" s="49" t="n">
        <v>0</v>
      </c>
      <c r="AJ2338" s="50" t="n">
        <v>0</v>
      </c>
      <c r="AK2338" s="51" t="n">
        <v>0</v>
      </c>
      <c r="AL2338" s="52" t="n">
        <v>0</v>
      </c>
      <c r="AM2338" s="52" t="n">
        <v>0</v>
      </c>
      <c r="AN2338" s="52" t="n">
        <v>0</v>
      </c>
      <c r="AO2338" s="53" t="n">
        <v>0</v>
      </c>
      <c r="AP2338" s="52" t="n">
        <v>0</v>
      </c>
      <c r="AQ2338" s="53" t="n">
        <v>0</v>
      </c>
      <c r="AR2338" s="52" t="n">
        <v>0</v>
      </c>
      <c r="AS2338" s="51" t="n">
        <v>0</v>
      </c>
      <c r="AT2338" s="48" t="n">
        <v>0</v>
      </c>
      <c r="AU2338" s="49" t="n">
        <v>0</v>
      </c>
      <c r="AV2338" s="49" t="n">
        <v>0</v>
      </c>
      <c r="AW2338" s="50" t="n">
        <v>0</v>
      </c>
      <c r="AX2338" s="51" t="n">
        <v>0</v>
      </c>
      <c r="AY2338" s="52" t="n">
        <v>0</v>
      </c>
      <c r="AZ2338" s="52" t="n">
        <v>0</v>
      </c>
      <c r="BA2338" s="52" t="n">
        <v>0</v>
      </c>
      <c r="BB2338" s="53" t="n">
        <v>0</v>
      </c>
      <c r="BC2338" s="52" t="n">
        <v>0</v>
      </c>
      <c r="BD2338" s="53" t="n">
        <v>0</v>
      </c>
      <c r="BE2338" s="52" t="n">
        <v>0</v>
      </c>
      <c r="BF2338" s="51" t="n">
        <v>0</v>
      </c>
    </row>
    <row r="2339">
      <c r="A2339">
        <f>HYPERLINK("https://www.walmart.com/ip/165397392", "165397392")</f>
        <v/>
      </c>
      <c r="B2339" t="inlineStr">
        <is>
          <t>Catalonia Sherpa Throws Fluffy Fuzzy Fleece Blanket 50”x60” for Adults Children, Super Soft Comfy Plush for Sofa Couch Bed Reversible All Season, Gray</t>
        </is>
      </c>
      <c r="C2339" t="inlineStr">
        <is>
          <t>1CTBF320GY</t>
        </is>
      </c>
      <c r="D2339" t="inlineStr">
        <is>
          <t>Throws</t>
        </is>
      </c>
      <c r="E2339" t="inlineStr">
        <is>
          <t>Catalonia</t>
        </is>
      </c>
      <c r="F2339" t="inlineStr">
        <is>
          <t>Q2-Target,Optimized,WFS,Coupon_Discount,SeePriceInCart,WFS Item,Fleece Blankets</t>
        </is>
      </c>
      <c r="G2339" s="48" t="n">
        <v>0</v>
      </c>
      <c r="H2339" s="49" t="n">
        <v>0</v>
      </c>
      <c r="I2339" s="49" t="n">
        <v>0</v>
      </c>
      <c r="J2339" s="50" t="n">
        <v>0</v>
      </c>
      <c r="K2339" s="51" t="n">
        <v>0</v>
      </c>
      <c r="L2339" s="52" t="n">
        <v>0</v>
      </c>
      <c r="M2339" s="52" t="n">
        <v>0</v>
      </c>
      <c r="N2339" s="52" t="n">
        <v>0</v>
      </c>
      <c r="O2339" s="53" t="n">
        <v>0</v>
      </c>
      <c r="P2339" s="52" t="n">
        <v>0</v>
      </c>
      <c r="Q2339" s="53" t="n">
        <v>0</v>
      </c>
      <c r="R2339" s="52" t="n">
        <v>0</v>
      </c>
      <c r="S2339" s="51" t="n">
        <v>0</v>
      </c>
      <c r="T2339" s="48" t="n">
        <v>0</v>
      </c>
      <c r="U2339" s="49" t="n">
        <v>0</v>
      </c>
      <c r="V2339" s="49" t="n">
        <v>0</v>
      </c>
      <c r="W2339" s="50" t="n">
        <v>0</v>
      </c>
      <c r="X2339" s="51" t="n">
        <v>0</v>
      </c>
      <c r="Y2339" s="52" t="n">
        <v>0</v>
      </c>
      <c r="Z2339" s="52" t="n">
        <v>0</v>
      </c>
      <c r="AA2339" s="52" t="n">
        <v>0</v>
      </c>
      <c r="AB2339" s="53" t="n">
        <v>0</v>
      </c>
      <c r="AC2339" s="52" t="n">
        <v>0</v>
      </c>
      <c r="AD2339" s="53" t="n">
        <v>0</v>
      </c>
      <c r="AE2339" s="52" t="n">
        <v>0</v>
      </c>
      <c r="AF2339" s="51" t="n">
        <v>0</v>
      </c>
      <c r="AG2339" s="48" t="n">
        <v>0</v>
      </c>
      <c r="AH2339" s="49" t="n">
        <v>0</v>
      </c>
      <c r="AI2339" s="49" t="n">
        <v>0</v>
      </c>
      <c r="AJ2339" s="50" t="n">
        <v>0</v>
      </c>
      <c r="AK2339" s="51" t="n">
        <v>0</v>
      </c>
      <c r="AL2339" s="52" t="n">
        <v>0</v>
      </c>
      <c r="AM2339" s="52" t="n">
        <v>0</v>
      </c>
      <c r="AN2339" s="52" t="n">
        <v>0</v>
      </c>
      <c r="AO2339" s="53" t="n">
        <v>0</v>
      </c>
      <c r="AP2339" s="52" t="n">
        <v>0</v>
      </c>
      <c r="AQ2339" s="53" t="n">
        <v>0</v>
      </c>
      <c r="AR2339" s="52" t="n">
        <v>0</v>
      </c>
      <c r="AS2339" s="51" t="n">
        <v>0</v>
      </c>
      <c r="AT2339" s="48" t="n">
        <v>0</v>
      </c>
      <c r="AU2339" s="49" t="n">
        <v>0</v>
      </c>
      <c r="AV2339" s="49" t="n">
        <v>0</v>
      </c>
      <c r="AW2339" s="50" t="n">
        <v>0</v>
      </c>
      <c r="AX2339" s="51" t="n">
        <v>0</v>
      </c>
      <c r="AY2339" s="52" t="n">
        <v>0</v>
      </c>
      <c r="AZ2339" s="52" t="n">
        <v>0</v>
      </c>
      <c r="BA2339" s="52" t="n">
        <v>0</v>
      </c>
      <c r="BB2339" s="53" t="n">
        <v>0</v>
      </c>
      <c r="BC2339" s="52" t="n">
        <v>0</v>
      </c>
      <c r="BD2339" s="53" t="n">
        <v>0</v>
      </c>
      <c r="BE2339" s="52" t="n">
        <v>0</v>
      </c>
      <c r="BF2339" s="51" t="n">
        <v>0</v>
      </c>
    </row>
    <row r="2340">
      <c r="A2340">
        <f>HYPERLINK("https://www.walmart.com/ip/165630345", "165630345")</f>
        <v/>
      </c>
      <c r="B2340" t="inlineStr">
        <is>
          <t>Tirrinia Super-Soft Fleece Blanket Chevron Plush Flannel Sherpa Throw Blanket, 50" x 60", Charcoal</t>
        </is>
      </c>
      <c r="C2340" t="inlineStr">
        <is>
          <t>1TRBF560CH-TBCB</t>
        </is>
      </c>
      <c r="D2340" t="inlineStr">
        <is>
          <t>Throws</t>
        </is>
      </c>
      <c r="E2340" t="inlineStr">
        <is>
          <t>Tirrinia</t>
        </is>
      </c>
      <c r="F2340" t="inlineStr">
        <is>
          <t>Optimized</t>
        </is>
      </c>
      <c r="G2340" s="48" t="n">
        <v>0</v>
      </c>
      <c r="H2340" s="49" t="n">
        <v>0</v>
      </c>
      <c r="I2340" s="49" t="n">
        <v>0</v>
      </c>
      <c r="J2340" s="50" t="n">
        <v>0</v>
      </c>
      <c r="K2340" s="51" t="n">
        <v>0</v>
      </c>
      <c r="L2340" s="52" t="n">
        <v>0</v>
      </c>
      <c r="M2340" s="52" t="n">
        <v>0</v>
      </c>
      <c r="N2340" s="52" t="n">
        <v>0</v>
      </c>
      <c r="O2340" s="53" t="n">
        <v>0</v>
      </c>
      <c r="P2340" s="52" t="n">
        <v>0</v>
      </c>
      <c r="Q2340" s="53" t="n">
        <v>0</v>
      </c>
      <c r="R2340" s="52" t="n">
        <v>0</v>
      </c>
      <c r="S2340" s="51" t="n">
        <v>0</v>
      </c>
      <c r="T2340" s="48" t="n">
        <v>0</v>
      </c>
      <c r="U2340" s="49" t="n">
        <v>0</v>
      </c>
      <c r="V2340" s="49" t="n">
        <v>0</v>
      </c>
      <c r="W2340" s="50" t="n">
        <v>0</v>
      </c>
      <c r="X2340" s="51" t="n">
        <v>0</v>
      </c>
      <c r="Y2340" s="52" t="n">
        <v>0</v>
      </c>
      <c r="Z2340" s="52" t="n">
        <v>0</v>
      </c>
      <c r="AA2340" s="52" t="n">
        <v>0</v>
      </c>
      <c r="AB2340" s="53" t="n">
        <v>0</v>
      </c>
      <c r="AC2340" s="52" t="n">
        <v>0</v>
      </c>
      <c r="AD2340" s="53" t="n">
        <v>0</v>
      </c>
      <c r="AE2340" s="52" t="n">
        <v>0</v>
      </c>
      <c r="AF2340" s="51" t="n">
        <v>0</v>
      </c>
      <c r="AG2340" s="48" t="n">
        <v>0</v>
      </c>
      <c r="AH2340" s="49" t="n">
        <v>0</v>
      </c>
      <c r="AI2340" s="49" t="n">
        <v>0</v>
      </c>
      <c r="AJ2340" s="50" t="n">
        <v>0</v>
      </c>
      <c r="AK2340" s="51" t="n">
        <v>0</v>
      </c>
      <c r="AL2340" s="52" t="n">
        <v>0</v>
      </c>
      <c r="AM2340" s="52" t="n">
        <v>0</v>
      </c>
      <c r="AN2340" s="52" t="n">
        <v>0</v>
      </c>
      <c r="AO2340" s="53" t="n">
        <v>0</v>
      </c>
      <c r="AP2340" s="52" t="n">
        <v>0</v>
      </c>
      <c r="AQ2340" s="53" t="n">
        <v>0</v>
      </c>
      <c r="AR2340" s="52" t="n">
        <v>0</v>
      </c>
      <c r="AS2340" s="51" t="n">
        <v>0</v>
      </c>
      <c r="AT2340" s="48" t="n">
        <v>0</v>
      </c>
      <c r="AU2340" s="49" t="n">
        <v>0</v>
      </c>
      <c r="AV2340" s="49" t="n">
        <v>0</v>
      </c>
      <c r="AW2340" s="50" t="n">
        <v>0</v>
      </c>
      <c r="AX2340" s="51" t="n">
        <v>0</v>
      </c>
      <c r="AY2340" s="52" t="n">
        <v>0</v>
      </c>
      <c r="AZ2340" s="52" t="n">
        <v>0</v>
      </c>
      <c r="BA2340" s="52" t="n">
        <v>0</v>
      </c>
      <c r="BB2340" s="53" t="n">
        <v>0</v>
      </c>
      <c r="BC2340" s="52" t="n">
        <v>0</v>
      </c>
      <c r="BD2340" s="53" t="n">
        <v>0</v>
      </c>
      <c r="BE2340" s="52" t="n">
        <v>0</v>
      </c>
      <c r="BF2340" s="51" t="n">
        <v>0</v>
      </c>
    </row>
    <row r="2341">
      <c r="A2341">
        <f>HYPERLINK("https://www.walmart.com/ip/165809833", "165809833")</f>
        <v/>
      </c>
      <c r="B2341" t="inlineStr">
        <is>
          <t>Ski Gloves for Women &amp; Men 3M Winter Snow Gloves Mittens Insulation Waterproof for Outdoors Sports</t>
        </is>
      </c>
      <c r="C2341" t="inlineStr">
        <is>
          <t>1SLWG100BKL</t>
        </is>
      </c>
      <c r="D2341" t="inlineStr">
        <is>
          <t>Gloves &amp; Mittens</t>
        </is>
      </c>
      <c r="E2341" t="inlineStr">
        <is>
          <t>Solaris</t>
        </is>
      </c>
      <c r="F2341" t="inlineStr">
        <is>
          <t>Gloves,WFS,WFS Item</t>
        </is>
      </c>
      <c r="G2341" s="48" t="n">
        <v>0</v>
      </c>
      <c r="H2341" s="49" t="n">
        <v>0</v>
      </c>
      <c r="I2341" s="49" t="n">
        <v>0</v>
      </c>
      <c r="J2341" s="50" t="n">
        <v>0</v>
      </c>
      <c r="K2341" s="51" t="n">
        <v>0</v>
      </c>
      <c r="L2341" s="52" t="n">
        <v>0</v>
      </c>
      <c r="M2341" s="52" t="n">
        <v>0</v>
      </c>
      <c r="N2341" s="52" t="n">
        <v>0</v>
      </c>
      <c r="O2341" s="53" t="n">
        <v>0</v>
      </c>
      <c r="P2341" s="52" t="n">
        <v>0</v>
      </c>
      <c r="Q2341" s="53" t="n">
        <v>0</v>
      </c>
      <c r="R2341" s="52" t="n">
        <v>0</v>
      </c>
      <c r="S2341" s="51" t="n">
        <v>0</v>
      </c>
      <c r="T2341" s="48" t="n">
        <v>0</v>
      </c>
      <c r="U2341" s="49" t="n">
        <v>0</v>
      </c>
      <c r="V2341" s="49" t="n">
        <v>0</v>
      </c>
      <c r="W2341" s="50" t="n">
        <v>0</v>
      </c>
      <c r="X2341" s="51" t="n">
        <v>0</v>
      </c>
      <c r="Y2341" s="52" t="n">
        <v>0</v>
      </c>
      <c r="Z2341" s="52" t="n">
        <v>0</v>
      </c>
      <c r="AA2341" s="52" t="n">
        <v>0</v>
      </c>
      <c r="AB2341" s="53" t="n">
        <v>0</v>
      </c>
      <c r="AC2341" s="52" t="n">
        <v>0</v>
      </c>
      <c r="AD2341" s="53" t="n">
        <v>0</v>
      </c>
      <c r="AE2341" s="52" t="n">
        <v>0</v>
      </c>
      <c r="AF2341" s="51" t="n">
        <v>0</v>
      </c>
      <c r="AG2341" s="48" t="n">
        <v>0</v>
      </c>
      <c r="AH2341" s="49" t="n">
        <v>0</v>
      </c>
      <c r="AI2341" s="49" t="n">
        <v>0</v>
      </c>
      <c r="AJ2341" s="50" t="n">
        <v>0</v>
      </c>
      <c r="AK2341" s="51" t="n">
        <v>0</v>
      </c>
      <c r="AL2341" s="52" t="n">
        <v>0</v>
      </c>
      <c r="AM2341" s="52" t="n">
        <v>0</v>
      </c>
      <c r="AN2341" s="52" t="n">
        <v>0</v>
      </c>
      <c r="AO2341" s="53" t="n">
        <v>0</v>
      </c>
      <c r="AP2341" s="52" t="n">
        <v>0</v>
      </c>
      <c r="AQ2341" s="53" t="n">
        <v>0</v>
      </c>
      <c r="AR2341" s="52" t="n">
        <v>0</v>
      </c>
      <c r="AS2341" s="51" t="n">
        <v>0</v>
      </c>
      <c r="AT2341" s="48" t="n">
        <v>0</v>
      </c>
      <c r="AU2341" s="49" t="n">
        <v>0</v>
      </c>
      <c r="AV2341" s="49" t="n">
        <v>0</v>
      </c>
      <c r="AW2341" s="50" t="n">
        <v>0</v>
      </c>
      <c r="AX2341" s="51" t="n">
        <v>0</v>
      </c>
      <c r="AY2341" s="52" t="n">
        <v>0</v>
      </c>
      <c r="AZ2341" s="52" t="n">
        <v>0</v>
      </c>
      <c r="BA2341" s="52" t="n">
        <v>0</v>
      </c>
      <c r="BB2341" s="53" t="n">
        <v>0</v>
      </c>
      <c r="BC2341" s="52" t="n">
        <v>0</v>
      </c>
      <c r="BD2341" s="53" t="n">
        <v>0</v>
      </c>
      <c r="BE2341" s="52" t="n">
        <v>0</v>
      </c>
      <c r="BF2341" s="51" t="n">
        <v>0</v>
      </c>
    </row>
    <row r="2342">
      <c r="A2342">
        <f>HYPERLINK("https://www.walmart.com/ip/165819314", "165819314")</f>
        <v/>
      </c>
      <c r="B2342" t="inlineStr">
        <is>
          <t>KC Caps® Cotton Twill Deluxe Super Soft Mesh Adjustable Snapback Low Profile Trucker Baseball Cap</t>
        </is>
      </c>
      <c r="C2342" t="inlineStr">
        <is>
          <t>KCCAPSSZK641RD/ST</t>
        </is>
      </c>
      <c r="D2342" t="inlineStr">
        <is>
          <t>Hats</t>
        </is>
      </c>
      <c r="E2342" t="inlineStr">
        <is>
          <t>KC Caps</t>
        </is>
      </c>
      <c r="F2342" t="inlineStr">
        <is>
          <t>Optimized</t>
        </is>
      </c>
      <c r="G2342" s="48" t="n">
        <v>0</v>
      </c>
      <c r="H2342" s="49" t="n">
        <v>0</v>
      </c>
      <c r="I2342" s="49" t="n">
        <v>0</v>
      </c>
      <c r="J2342" s="50" t="n">
        <v>0</v>
      </c>
      <c r="K2342" s="51" t="n">
        <v>0</v>
      </c>
      <c r="L2342" s="52" t="n">
        <v>0</v>
      </c>
      <c r="M2342" s="52" t="n">
        <v>0</v>
      </c>
      <c r="N2342" s="52" t="n">
        <v>0</v>
      </c>
      <c r="O2342" s="53" t="n">
        <v>0</v>
      </c>
      <c r="P2342" s="52" t="n">
        <v>0</v>
      </c>
      <c r="Q2342" s="53" t="n">
        <v>0</v>
      </c>
      <c r="R2342" s="52" t="n">
        <v>0</v>
      </c>
      <c r="S2342" s="51" t="n">
        <v>0</v>
      </c>
      <c r="T2342" s="48" t="n">
        <v>0</v>
      </c>
      <c r="U2342" s="49" t="n">
        <v>0</v>
      </c>
      <c r="V2342" s="49" t="n">
        <v>0</v>
      </c>
      <c r="W2342" s="50" t="n">
        <v>0</v>
      </c>
      <c r="X2342" s="51" t="n">
        <v>0</v>
      </c>
      <c r="Y2342" s="52" t="n">
        <v>0</v>
      </c>
      <c r="Z2342" s="52" t="n">
        <v>0</v>
      </c>
      <c r="AA2342" s="52" t="n">
        <v>0</v>
      </c>
      <c r="AB2342" s="53" t="n">
        <v>0</v>
      </c>
      <c r="AC2342" s="52" t="n">
        <v>0</v>
      </c>
      <c r="AD2342" s="53" t="n">
        <v>0</v>
      </c>
      <c r="AE2342" s="52" t="n">
        <v>0</v>
      </c>
      <c r="AF2342" s="51" t="n">
        <v>0</v>
      </c>
      <c r="AG2342" s="48" t="n">
        <v>0</v>
      </c>
      <c r="AH2342" s="49" t="n">
        <v>0</v>
      </c>
      <c r="AI2342" s="49" t="n">
        <v>0</v>
      </c>
      <c r="AJ2342" s="50" t="n">
        <v>0</v>
      </c>
      <c r="AK2342" s="51" t="n">
        <v>0</v>
      </c>
      <c r="AL2342" s="52" t="n">
        <v>0</v>
      </c>
      <c r="AM2342" s="52" t="n">
        <v>0</v>
      </c>
      <c r="AN2342" s="52" t="n">
        <v>0</v>
      </c>
      <c r="AO2342" s="53" t="n">
        <v>0</v>
      </c>
      <c r="AP2342" s="52" t="n">
        <v>0</v>
      </c>
      <c r="AQ2342" s="53" t="n">
        <v>0</v>
      </c>
      <c r="AR2342" s="52" t="n">
        <v>0</v>
      </c>
      <c r="AS2342" s="51" t="n">
        <v>0</v>
      </c>
      <c r="AT2342" s="48" t="n">
        <v>0</v>
      </c>
      <c r="AU2342" s="49" t="n">
        <v>0</v>
      </c>
      <c r="AV2342" s="49" t="n">
        <v>0</v>
      </c>
      <c r="AW2342" s="50" t="n">
        <v>0</v>
      </c>
      <c r="AX2342" s="51" t="n">
        <v>0</v>
      </c>
      <c r="AY2342" s="52" t="n">
        <v>0</v>
      </c>
      <c r="AZ2342" s="52" t="n">
        <v>0</v>
      </c>
      <c r="BA2342" s="52" t="n">
        <v>0</v>
      </c>
      <c r="BB2342" s="53" t="n">
        <v>0</v>
      </c>
      <c r="BC2342" s="52" t="n">
        <v>0</v>
      </c>
      <c r="BD2342" s="53" t="n">
        <v>0</v>
      </c>
      <c r="BE2342" s="52" t="n">
        <v>0</v>
      </c>
      <c r="BF2342" s="51" t="n">
        <v>0</v>
      </c>
    </row>
    <row r="2343">
      <c r="A2343">
        <f>HYPERLINK("https://www.walmart.com/ip/1658328113", "1658328113")</f>
        <v/>
      </c>
      <c r="B2343" t="inlineStr">
        <is>
          <t>Catalonia Knitted Throw Blanket for Bed,Sofa,Living Room,All Seasons Cozy Leisure Acrylic Lightweight Decorative Blanket with Fringe,Machine Washable,60×80 inches,Grey</t>
        </is>
      </c>
      <c r="C2343" t="inlineStr">
        <is>
          <t>1CTBN610GY</t>
        </is>
      </c>
      <c r="D2343" t="inlineStr">
        <is>
          <t>Throws</t>
        </is>
      </c>
      <c r="E2343" t="inlineStr">
        <is>
          <t>Catalonia</t>
        </is>
      </c>
      <c r="F2343" t="inlineStr">
        <is>
          <t>Batch 1 - TR</t>
        </is>
      </c>
      <c r="G2343" s="48" t="n">
        <v>0</v>
      </c>
      <c r="H2343" s="49" t="n">
        <v>0</v>
      </c>
      <c r="I2343" s="49" t="n">
        <v>0</v>
      </c>
      <c r="J2343" s="50" t="n">
        <v>0</v>
      </c>
      <c r="K2343" s="51" t="n">
        <v>0</v>
      </c>
      <c r="L2343" s="52" t="n">
        <v>0</v>
      </c>
      <c r="M2343" s="52" t="n">
        <v>0</v>
      </c>
      <c r="N2343" s="52" t="n">
        <v>0</v>
      </c>
      <c r="O2343" s="53" t="n">
        <v>0</v>
      </c>
      <c r="P2343" s="52" t="n">
        <v>0</v>
      </c>
      <c r="Q2343" s="53" t="n">
        <v>0</v>
      </c>
      <c r="R2343" s="52" t="n">
        <v>0</v>
      </c>
      <c r="S2343" s="51" t="n">
        <v>0</v>
      </c>
      <c r="T2343" s="48" t="n">
        <v>0</v>
      </c>
      <c r="U2343" s="49" t="n">
        <v>0</v>
      </c>
      <c r="V2343" s="49" t="n">
        <v>0</v>
      </c>
      <c r="W2343" s="50" t="n">
        <v>0</v>
      </c>
      <c r="X2343" s="51" t="n">
        <v>0</v>
      </c>
      <c r="Y2343" s="52" t="n">
        <v>0</v>
      </c>
      <c r="Z2343" s="52" t="n">
        <v>0</v>
      </c>
      <c r="AA2343" s="52" t="n">
        <v>0</v>
      </c>
      <c r="AB2343" s="53" t="n">
        <v>0</v>
      </c>
      <c r="AC2343" s="52" t="n">
        <v>0</v>
      </c>
      <c r="AD2343" s="53" t="n">
        <v>0</v>
      </c>
      <c r="AE2343" s="52" t="n">
        <v>0</v>
      </c>
      <c r="AF2343" s="51" t="n">
        <v>0</v>
      </c>
      <c r="AG2343" s="48" t="n">
        <v>0</v>
      </c>
      <c r="AH2343" s="49" t="n">
        <v>0</v>
      </c>
      <c r="AI2343" s="49" t="n">
        <v>0</v>
      </c>
      <c r="AJ2343" s="50" t="n">
        <v>0</v>
      </c>
      <c r="AK2343" s="51" t="n">
        <v>0</v>
      </c>
      <c r="AL2343" s="52" t="n">
        <v>0</v>
      </c>
      <c r="AM2343" s="52" t="n">
        <v>0</v>
      </c>
      <c r="AN2343" s="52" t="n">
        <v>0</v>
      </c>
      <c r="AO2343" s="53" t="n">
        <v>0</v>
      </c>
      <c r="AP2343" s="52" t="n">
        <v>0</v>
      </c>
      <c r="AQ2343" s="53" t="n">
        <v>0</v>
      </c>
      <c r="AR2343" s="52" t="n">
        <v>0</v>
      </c>
      <c r="AS2343" s="51" t="n">
        <v>0</v>
      </c>
      <c r="AT2343" s="48" t="n">
        <v>0</v>
      </c>
      <c r="AU2343" s="49" t="n">
        <v>0</v>
      </c>
      <c r="AV2343" s="49" t="n">
        <v>0</v>
      </c>
      <c r="AW2343" s="50" t="n">
        <v>0</v>
      </c>
      <c r="AX2343" s="51" t="n">
        <v>0</v>
      </c>
      <c r="AY2343" s="52" t="n">
        <v>0</v>
      </c>
      <c r="AZ2343" s="52" t="n">
        <v>0</v>
      </c>
      <c r="BA2343" s="52" t="n">
        <v>0</v>
      </c>
      <c r="BB2343" s="53" t="n">
        <v>0</v>
      </c>
      <c r="BC2343" s="52" t="n">
        <v>0</v>
      </c>
      <c r="BD2343" s="53" t="n">
        <v>0</v>
      </c>
      <c r="BE2343" s="52" t="n">
        <v>0</v>
      </c>
      <c r="BF2343" s="51" t="n">
        <v>0</v>
      </c>
    </row>
    <row r="2344">
      <c r="A2344">
        <f>HYPERLINK("https://www.walmart.com/ip/165991960", "165991960")</f>
        <v/>
      </c>
      <c r="B2344" t="inlineStr">
        <is>
          <t>KC Caps Army Style Surplus Beanie Cap</t>
        </is>
      </c>
      <c r="C2344" t="inlineStr">
        <is>
          <t>KCW1721NV</t>
        </is>
      </c>
      <c r="D2344" t="inlineStr">
        <is>
          <t>Hats</t>
        </is>
      </c>
      <c r="E2344" t="inlineStr">
        <is>
          <t>KC Caps</t>
        </is>
      </c>
      <c r="F2344" t="inlineStr">
        <is>
          <t>Batch 1 - TR</t>
        </is>
      </c>
      <c r="G2344" s="48" t="n">
        <v>0</v>
      </c>
      <c r="H2344" s="49" t="n">
        <v>0</v>
      </c>
      <c r="I2344" s="49" t="n">
        <v>0</v>
      </c>
      <c r="J2344" s="50" t="n">
        <v>0</v>
      </c>
      <c r="K2344" s="51" t="n">
        <v>0</v>
      </c>
      <c r="L2344" s="52" t="n">
        <v>0</v>
      </c>
      <c r="M2344" s="52" t="n">
        <v>0</v>
      </c>
      <c r="N2344" s="52" t="n">
        <v>0</v>
      </c>
      <c r="O2344" s="53" t="n">
        <v>0</v>
      </c>
      <c r="P2344" s="52" t="n">
        <v>0</v>
      </c>
      <c r="Q2344" s="53" t="n">
        <v>0</v>
      </c>
      <c r="R2344" s="52" t="n">
        <v>0</v>
      </c>
      <c r="S2344" s="51" t="n">
        <v>0</v>
      </c>
      <c r="T2344" s="48" t="n">
        <v>0</v>
      </c>
      <c r="U2344" s="49" t="n">
        <v>0</v>
      </c>
      <c r="V2344" s="49" t="n">
        <v>0</v>
      </c>
      <c r="W2344" s="50" t="n">
        <v>0</v>
      </c>
      <c r="X2344" s="51" t="n">
        <v>0</v>
      </c>
      <c r="Y2344" s="52" t="n">
        <v>0</v>
      </c>
      <c r="Z2344" s="52" t="n">
        <v>0</v>
      </c>
      <c r="AA2344" s="52" t="n">
        <v>0</v>
      </c>
      <c r="AB2344" s="53" t="n">
        <v>0</v>
      </c>
      <c r="AC2344" s="52" t="n">
        <v>0</v>
      </c>
      <c r="AD2344" s="53" t="n">
        <v>0</v>
      </c>
      <c r="AE2344" s="52" t="n">
        <v>0</v>
      </c>
      <c r="AF2344" s="51" t="n">
        <v>0</v>
      </c>
      <c r="AG2344" s="48" t="n">
        <v>0</v>
      </c>
      <c r="AH2344" s="49" t="n">
        <v>0</v>
      </c>
      <c r="AI2344" s="49" t="n">
        <v>0</v>
      </c>
      <c r="AJ2344" s="50" t="n">
        <v>0</v>
      </c>
      <c r="AK2344" s="51" t="n">
        <v>0</v>
      </c>
      <c r="AL2344" s="52" t="n">
        <v>0</v>
      </c>
      <c r="AM2344" s="52" t="n">
        <v>0</v>
      </c>
      <c r="AN2344" s="52" t="n">
        <v>0</v>
      </c>
      <c r="AO2344" s="53" t="n">
        <v>0</v>
      </c>
      <c r="AP2344" s="52" t="n">
        <v>0</v>
      </c>
      <c r="AQ2344" s="53" t="n">
        <v>0</v>
      </c>
      <c r="AR2344" s="52" t="n">
        <v>0</v>
      </c>
      <c r="AS2344" s="51" t="n">
        <v>0</v>
      </c>
      <c r="AT2344" s="48" t="n">
        <v>0</v>
      </c>
      <c r="AU2344" s="49" t="n">
        <v>0</v>
      </c>
      <c r="AV2344" s="49" t="n">
        <v>0</v>
      </c>
      <c r="AW2344" s="50" t="n">
        <v>0</v>
      </c>
      <c r="AX2344" s="51" t="n">
        <v>0</v>
      </c>
      <c r="AY2344" s="52" t="n">
        <v>0</v>
      </c>
      <c r="AZ2344" s="52" t="n">
        <v>0</v>
      </c>
      <c r="BA2344" s="52" t="n">
        <v>0</v>
      </c>
      <c r="BB2344" s="53" t="n">
        <v>0</v>
      </c>
      <c r="BC2344" s="52" t="n">
        <v>0</v>
      </c>
      <c r="BD2344" s="53" t="n">
        <v>0</v>
      </c>
      <c r="BE2344" s="52" t="n">
        <v>0</v>
      </c>
      <c r="BF2344" s="51" t="n">
        <v>0</v>
      </c>
    </row>
    <row r="2345">
      <c r="A2345">
        <f>HYPERLINK("https://www.walmart.com/ip/166213689", "166213689")</f>
        <v/>
      </c>
      <c r="B2345" t="inlineStr">
        <is>
          <t>Tirrinia Insulated 2 Bottle Wine Carrier Tote Cooler Bag for Travel Picnic Padded Champagne Glass</t>
        </is>
      </c>
      <c r="C2345" t="inlineStr">
        <is>
          <t>1WMWB231RD</t>
        </is>
      </c>
      <c r="D2345" t="inlineStr">
        <is>
          <t>Wine Totes, Bags &amp; Backpacks</t>
        </is>
      </c>
      <c r="E2345" t="inlineStr">
        <is>
          <t>Flyingstar</t>
        </is>
      </c>
      <c r="F2345" t="inlineStr">
        <is>
          <t>Wine,Christmas,Valentine,SEM</t>
        </is>
      </c>
      <c r="G2345" s="48" t="n">
        <v>0</v>
      </c>
      <c r="H2345" s="49" t="n">
        <v>0</v>
      </c>
      <c r="I2345" s="49" t="n">
        <v>0</v>
      </c>
      <c r="J2345" s="50" t="n">
        <v>0</v>
      </c>
      <c r="K2345" s="51" t="n">
        <v>0</v>
      </c>
      <c r="L2345" s="52" t="n">
        <v>0</v>
      </c>
      <c r="M2345" s="52" t="n">
        <v>0</v>
      </c>
      <c r="N2345" s="52" t="n">
        <v>0</v>
      </c>
      <c r="O2345" s="53" t="n">
        <v>0</v>
      </c>
      <c r="P2345" s="52" t="n">
        <v>0</v>
      </c>
      <c r="Q2345" s="53" t="n">
        <v>0</v>
      </c>
      <c r="R2345" s="52" t="n">
        <v>0</v>
      </c>
      <c r="S2345" s="51" t="n">
        <v>0</v>
      </c>
      <c r="T2345" s="48" t="n">
        <v>0</v>
      </c>
      <c r="U2345" s="49" t="n">
        <v>0</v>
      </c>
      <c r="V2345" s="49" t="n">
        <v>0</v>
      </c>
      <c r="W2345" s="50" t="n">
        <v>0</v>
      </c>
      <c r="X2345" s="51" t="n">
        <v>0</v>
      </c>
      <c r="Y2345" s="52" t="n">
        <v>0</v>
      </c>
      <c r="Z2345" s="52" t="n">
        <v>0</v>
      </c>
      <c r="AA2345" s="52" t="n">
        <v>0</v>
      </c>
      <c r="AB2345" s="53" t="n">
        <v>0</v>
      </c>
      <c r="AC2345" s="52" t="n">
        <v>0</v>
      </c>
      <c r="AD2345" s="53" t="n">
        <v>0</v>
      </c>
      <c r="AE2345" s="52" t="n">
        <v>0</v>
      </c>
      <c r="AF2345" s="51" t="n">
        <v>0</v>
      </c>
      <c r="AG2345" s="48" t="n">
        <v>0</v>
      </c>
      <c r="AH2345" s="49" t="n">
        <v>0</v>
      </c>
      <c r="AI2345" s="49" t="n">
        <v>0</v>
      </c>
      <c r="AJ2345" s="50" t="n">
        <v>0</v>
      </c>
      <c r="AK2345" s="51" t="n">
        <v>0</v>
      </c>
      <c r="AL2345" s="52" t="n">
        <v>0</v>
      </c>
      <c r="AM2345" s="52" t="n">
        <v>0</v>
      </c>
      <c r="AN2345" s="52" t="n">
        <v>0</v>
      </c>
      <c r="AO2345" s="53" t="n">
        <v>0</v>
      </c>
      <c r="AP2345" s="52" t="n">
        <v>0</v>
      </c>
      <c r="AQ2345" s="53" t="n">
        <v>0</v>
      </c>
      <c r="AR2345" s="52" t="n">
        <v>0</v>
      </c>
      <c r="AS2345" s="51" t="n">
        <v>0</v>
      </c>
      <c r="AT2345" s="48" t="n">
        <v>0</v>
      </c>
      <c r="AU2345" s="49" t="n">
        <v>0</v>
      </c>
      <c r="AV2345" s="49" t="n">
        <v>0</v>
      </c>
      <c r="AW2345" s="50" t="n">
        <v>0</v>
      </c>
      <c r="AX2345" s="51" t="n">
        <v>0</v>
      </c>
      <c r="AY2345" s="52" t="n">
        <v>0</v>
      </c>
      <c r="AZ2345" s="52" t="n">
        <v>0</v>
      </c>
      <c r="BA2345" s="52" t="n">
        <v>0</v>
      </c>
      <c r="BB2345" s="53" t="n">
        <v>0</v>
      </c>
      <c r="BC2345" s="52" t="n">
        <v>0</v>
      </c>
      <c r="BD2345" s="53" t="n">
        <v>0</v>
      </c>
      <c r="BE2345" s="52" t="n">
        <v>0</v>
      </c>
      <c r="BF2345" s="51" t="n">
        <v>0</v>
      </c>
    </row>
    <row r="2346">
      <c r="A2346">
        <f>HYPERLINK("https://www.walmart.com/ip/164015863", "164015863")</f>
        <v/>
      </c>
      <c r="B2346" t="inlineStr">
        <is>
          <t>Safari Outdoor Fishing Hiking Hunting Boating Large Bill Sun Unisex Hat with Neck Flap by Sun Blocker</t>
        </is>
      </c>
      <c r="C2346" t="inlineStr">
        <is>
          <t>kc-s9150-digign</t>
        </is>
      </c>
      <c r="D2346" t="inlineStr">
        <is>
          <t>Hats</t>
        </is>
      </c>
      <c r="E2346" t="inlineStr">
        <is>
          <t>Sun Blocker</t>
        </is>
      </c>
      <c r="F2346" t="inlineStr">
        <is>
          <t>Optimized,ST Patrick Day</t>
        </is>
      </c>
      <c r="G2346" s="48" t="n">
        <v>0</v>
      </c>
      <c r="H2346" s="49" t="n">
        <v>0</v>
      </c>
      <c r="I2346" s="49" t="n">
        <v>0</v>
      </c>
      <c r="J2346" s="50" t="n">
        <v>0</v>
      </c>
      <c r="K2346" s="51" t="n">
        <v>0</v>
      </c>
      <c r="L2346" s="52" t="n">
        <v>0</v>
      </c>
      <c r="M2346" s="52" t="n">
        <v>0</v>
      </c>
      <c r="N2346" s="52" t="n">
        <v>0</v>
      </c>
      <c r="O2346" s="53" t="n">
        <v>0</v>
      </c>
      <c r="P2346" s="52" t="n">
        <v>0</v>
      </c>
      <c r="Q2346" s="53" t="n">
        <v>0</v>
      </c>
      <c r="R2346" s="52" t="n">
        <v>0</v>
      </c>
      <c r="S2346" s="51" t="n">
        <v>0</v>
      </c>
      <c r="T2346" s="48" t="n">
        <v>0</v>
      </c>
      <c r="U2346" s="49" t="n">
        <v>0</v>
      </c>
      <c r="V2346" s="49" t="n">
        <v>0</v>
      </c>
      <c r="W2346" s="50" t="n">
        <v>0</v>
      </c>
      <c r="X2346" s="51" t="n">
        <v>0</v>
      </c>
      <c r="Y2346" s="52" t="n">
        <v>0</v>
      </c>
      <c r="Z2346" s="52" t="n">
        <v>0</v>
      </c>
      <c r="AA2346" s="52" t="n">
        <v>0</v>
      </c>
      <c r="AB2346" s="53" t="n">
        <v>0</v>
      </c>
      <c r="AC2346" s="52" t="n">
        <v>0</v>
      </c>
      <c r="AD2346" s="53" t="n">
        <v>0</v>
      </c>
      <c r="AE2346" s="52" t="n">
        <v>0</v>
      </c>
      <c r="AF2346" s="51" t="n">
        <v>0</v>
      </c>
      <c r="AG2346" s="48" t="n">
        <v>0</v>
      </c>
      <c r="AH2346" s="49" t="n">
        <v>0</v>
      </c>
      <c r="AI2346" s="49" t="n">
        <v>0</v>
      </c>
      <c r="AJ2346" s="50" t="n">
        <v>0</v>
      </c>
      <c r="AK2346" s="51" t="n">
        <v>0</v>
      </c>
      <c r="AL2346" s="52" t="n">
        <v>0</v>
      </c>
      <c r="AM2346" s="52" t="n">
        <v>0</v>
      </c>
      <c r="AN2346" s="52" t="n">
        <v>0</v>
      </c>
      <c r="AO2346" s="53" t="n">
        <v>0</v>
      </c>
      <c r="AP2346" s="52" t="n">
        <v>0</v>
      </c>
      <c r="AQ2346" s="53" t="n">
        <v>0</v>
      </c>
      <c r="AR2346" s="52" t="n">
        <v>0</v>
      </c>
      <c r="AS2346" s="51" t="n">
        <v>0</v>
      </c>
      <c r="AT2346" s="48" t="n">
        <v>0</v>
      </c>
      <c r="AU2346" s="49" t="n">
        <v>0</v>
      </c>
      <c r="AV2346" s="49" t="n">
        <v>0</v>
      </c>
      <c r="AW2346" s="50" t="n">
        <v>0</v>
      </c>
      <c r="AX2346" s="51" t="n">
        <v>0</v>
      </c>
      <c r="AY2346" s="52" t="n">
        <v>0</v>
      </c>
      <c r="AZ2346" s="52" t="n">
        <v>0</v>
      </c>
      <c r="BA2346" s="52" t="n">
        <v>0</v>
      </c>
      <c r="BB2346" s="53" t="n">
        <v>0</v>
      </c>
      <c r="BC2346" s="52" t="n">
        <v>0</v>
      </c>
      <c r="BD2346" s="53" t="n">
        <v>0</v>
      </c>
      <c r="BE2346" s="52" t="n">
        <v>0</v>
      </c>
      <c r="BF2346" s="51" t="n">
        <v>0</v>
      </c>
    </row>
    <row r="2347">
      <c r="A2347">
        <f>HYPERLINK("https://www.walmart.com/ip/16401165328", "16401165328")</f>
        <v/>
      </c>
      <c r="B2347" t="inlineStr">
        <is>
          <t>Catalonia Lightweight Ladies Bathrobe, Long Summer Robe with Pockets,Soft Summer Robes for Women, Kimono Gift for Her, Blue</t>
        </is>
      </c>
      <c r="C2347" t="inlineStr">
        <is>
          <t>1CTRB504BL-2</t>
        </is>
      </c>
      <c r="D2347" t="inlineStr">
        <is>
          <t>Sleepwear Robes &amp; Bathrobes</t>
        </is>
      </c>
      <c r="E2347" t="inlineStr">
        <is>
          <t>Catalonia</t>
        </is>
      </c>
      <c r="G2347" s="48" t="n">
        <v>0</v>
      </c>
      <c r="H2347" s="49" t="n">
        <v>0</v>
      </c>
      <c r="I2347" s="49" t="n">
        <v>0</v>
      </c>
      <c r="J2347" s="50" t="n">
        <v>0</v>
      </c>
      <c r="K2347" s="51" t="n">
        <v>0</v>
      </c>
      <c r="L2347" s="52" t="n">
        <v>0</v>
      </c>
      <c r="M2347" s="52" t="n">
        <v>0</v>
      </c>
      <c r="N2347" s="52" t="n">
        <v>0</v>
      </c>
      <c r="O2347" s="53" t="n">
        <v>0</v>
      </c>
      <c r="P2347" s="52" t="n">
        <v>0</v>
      </c>
      <c r="Q2347" s="53" t="n">
        <v>0</v>
      </c>
      <c r="R2347" s="52" t="n">
        <v>0</v>
      </c>
      <c r="S2347" s="51" t="n">
        <v>0</v>
      </c>
      <c r="T2347" s="48" t="n">
        <v>0</v>
      </c>
      <c r="U2347" s="49" t="n">
        <v>0</v>
      </c>
      <c r="V2347" s="49" t="n">
        <v>0</v>
      </c>
      <c r="W2347" s="50" t="n">
        <v>0</v>
      </c>
      <c r="X2347" s="51" t="n">
        <v>0</v>
      </c>
      <c r="Y2347" s="52" t="n">
        <v>0</v>
      </c>
      <c r="Z2347" s="52" t="n">
        <v>0</v>
      </c>
      <c r="AA2347" s="52" t="n">
        <v>0</v>
      </c>
      <c r="AB2347" s="53" t="n">
        <v>0</v>
      </c>
      <c r="AC2347" s="52" t="n">
        <v>0</v>
      </c>
      <c r="AD2347" s="53" t="n">
        <v>0</v>
      </c>
      <c r="AE2347" s="52" t="n">
        <v>0</v>
      </c>
      <c r="AF2347" s="51" t="n">
        <v>0</v>
      </c>
      <c r="AG2347" s="48" t="n">
        <v>0</v>
      </c>
      <c r="AH2347" s="49" t="n">
        <v>0</v>
      </c>
      <c r="AI2347" s="49" t="n">
        <v>0</v>
      </c>
      <c r="AJ2347" s="50" t="n">
        <v>0</v>
      </c>
      <c r="AK2347" s="51" t="n">
        <v>0</v>
      </c>
      <c r="AL2347" s="52" t="n">
        <v>0</v>
      </c>
      <c r="AM2347" s="52" t="n">
        <v>0</v>
      </c>
      <c r="AN2347" s="52" t="n">
        <v>0</v>
      </c>
      <c r="AO2347" s="53" t="n">
        <v>0</v>
      </c>
      <c r="AP2347" s="52" t="n">
        <v>0</v>
      </c>
      <c r="AQ2347" s="53" t="n">
        <v>0</v>
      </c>
      <c r="AR2347" s="52" t="n">
        <v>0</v>
      </c>
      <c r="AS2347" s="51" t="n">
        <v>0</v>
      </c>
      <c r="AT2347" s="48" t="n">
        <v>0</v>
      </c>
      <c r="AU2347" s="49" t="n">
        <v>0</v>
      </c>
      <c r="AV2347" s="49" t="n">
        <v>0</v>
      </c>
      <c r="AW2347" s="50" t="n">
        <v>0</v>
      </c>
      <c r="AX2347" s="51" t="n">
        <v>0</v>
      </c>
      <c r="AY2347" s="52" t="n">
        <v>0</v>
      </c>
      <c r="AZ2347" s="52" t="n">
        <v>0</v>
      </c>
      <c r="BA2347" s="52" t="n">
        <v>0</v>
      </c>
      <c r="BB2347" s="53" t="n">
        <v>0</v>
      </c>
      <c r="BC2347" s="52" t="n">
        <v>0</v>
      </c>
      <c r="BD2347" s="53" t="n">
        <v>0</v>
      </c>
      <c r="BE2347" s="52" t="n">
        <v>0</v>
      </c>
      <c r="BF2347" s="51" t="n">
        <v>0</v>
      </c>
    </row>
    <row r="2348">
      <c r="A2348">
        <f>HYPERLINK("https://www.walmart.com/ip/16401165327", "16401165327")</f>
        <v/>
      </c>
      <c r="B2348" t="inlineStr">
        <is>
          <t>Catalonia Lightweight Ladies Bathrobe, Long Summer Robe with Pockets,Soft Summer Robes for Women, Kimono Gift for Her, White</t>
        </is>
      </c>
      <c r="C2348" t="inlineStr">
        <is>
          <t>1CTRB504WT-3</t>
        </is>
      </c>
      <c r="D2348" t="inlineStr">
        <is>
          <t>Sleepwear Robes &amp; Bathrobes</t>
        </is>
      </c>
      <c r="E2348" t="inlineStr">
        <is>
          <t>Catalonia</t>
        </is>
      </c>
      <c r="G2348" s="48" t="n">
        <v>0</v>
      </c>
      <c r="H2348" s="49" t="n">
        <v>0</v>
      </c>
      <c r="I2348" s="49" t="n">
        <v>0</v>
      </c>
      <c r="J2348" s="50" t="n">
        <v>0</v>
      </c>
      <c r="K2348" s="51" t="n">
        <v>0</v>
      </c>
      <c r="L2348" s="52" t="n">
        <v>0</v>
      </c>
      <c r="M2348" s="52" t="n">
        <v>0</v>
      </c>
      <c r="N2348" s="52" t="n">
        <v>0</v>
      </c>
      <c r="O2348" s="53" t="n">
        <v>0</v>
      </c>
      <c r="P2348" s="52" t="n">
        <v>0</v>
      </c>
      <c r="Q2348" s="53" t="n">
        <v>0</v>
      </c>
      <c r="R2348" s="52" t="n">
        <v>0</v>
      </c>
      <c r="S2348" s="51" t="n">
        <v>0</v>
      </c>
      <c r="T2348" s="48" t="n">
        <v>0</v>
      </c>
      <c r="U2348" s="49" t="n">
        <v>0</v>
      </c>
      <c r="V2348" s="49" t="n">
        <v>0</v>
      </c>
      <c r="W2348" s="50" t="n">
        <v>0</v>
      </c>
      <c r="X2348" s="51" t="n">
        <v>0</v>
      </c>
      <c r="Y2348" s="52" t="n">
        <v>0</v>
      </c>
      <c r="Z2348" s="52" t="n">
        <v>0</v>
      </c>
      <c r="AA2348" s="52" t="n">
        <v>0</v>
      </c>
      <c r="AB2348" s="53" t="n">
        <v>0</v>
      </c>
      <c r="AC2348" s="52" t="n">
        <v>0</v>
      </c>
      <c r="AD2348" s="53" t="n">
        <v>0</v>
      </c>
      <c r="AE2348" s="52" t="n">
        <v>0</v>
      </c>
      <c r="AF2348" s="51" t="n">
        <v>0</v>
      </c>
      <c r="AG2348" s="48" t="n">
        <v>0</v>
      </c>
      <c r="AH2348" s="49" t="n">
        <v>0</v>
      </c>
      <c r="AI2348" s="49" t="n">
        <v>0</v>
      </c>
      <c r="AJ2348" s="50" t="n">
        <v>0</v>
      </c>
      <c r="AK2348" s="51" t="n">
        <v>0</v>
      </c>
      <c r="AL2348" s="52" t="n">
        <v>0</v>
      </c>
      <c r="AM2348" s="52" t="n">
        <v>0</v>
      </c>
      <c r="AN2348" s="52" t="n">
        <v>0</v>
      </c>
      <c r="AO2348" s="53" t="n">
        <v>0</v>
      </c>
      <c r="AP2348" s="52" t="n">
        <v>0</v>
      </c>
      <c r="AQ2348" s="53" t="n">
        <v>0</v>
      </c>
      <c r="AR2348" s="52" t="n">
        <v>0</v>
      </c>
      <c r="AS2348" s="51" t="n">
        <v>0</v>
      </c>
      <c r="AT2348" s="48" t="n">
        <v>0</v>
      </c>
      <c r="AU2348" s="49" t="n">
        <v>0</v>
      </c>
      <c r="AV2348" s="49" t="n">
        <v>0</v>
      </c>
      <c r="AW2348" s="50" t="n">
        <v>0</v>
      </c>
      <c r="AX2348" s="51" t="n">
        <v>0</v>
      </c>
      <c r="AY2348" s="52" t="n">
        <v>0</v>
      </c>
      <c r="AZ2348" s="52" t="n">
        <v>0</v>
      </c>
      <c r="BA2348" s="52" t="n">
        <v>0</v>
      </c>
      <c r="BB2348" s="53" t="n">
        <v>0</v>
      </c>
      <c r="BC2348" s="52" t="n">
        <v>0</v>
      </c>
      <c r="BD2348" s="53" t="n">
        <v>0</v>
      </c>
      <c r="BE2348" s="52" t="n">
        <v>0</v>
      </c>
      <c r="BF2348" s="51" t="n">
        <v>0</v>
      </c>
    </row>
    <row r="2349">
      <c r="A2349">
        <f>HYPERLINK("https://www.walmart.com/ip/16376003259", "16376003259")</f>
        <v/>
      </c>
      <c r="B2349" t="inlineStr">
        <is>
          <t>Catalonia Lightweight Ladies Bathrobe, Long Summer Robe with Pockets,Soft Summer Robes for Women, Kimono Gift for Her, Black</t>
        </is>
      </c>
      <c r="C2349" t="inlineStr">
        <is>
          <t>1CTRB504BK-2</t>
        </is>
      </c>
      <c r="D2349" t="inlineStr">
        <is>
          <t>Sleepwear Robes &amp; Bathrobes</t>
        </is>
      </c>
      <c r="E2349" t="inlineStr">
        <is>
          <t>Catalonia</t>
        </is>
      </c>
      <c r="G2349" s="48" t="n">
        <v>0</v>
      </c>
      <c r="H2349" s="49" t="n">
        <v>0</v>
      </c>
      <c r="I2349" s="49" t="n">
        <v>0</v>
      </c>
      <c r="J2349" s="50" t="n">
        <v>0</v>
      </c>
      <c r="K2349" s="51" t="n">
        <v>0</v>
      </c>
      <c r="L2349" s="52" t="n">
        <v>0</v>
      </c>
      <c r="M2349" s="52" t="n">
        <v>0</v>
      </c>
      <c r="N2349" s="52" t="n">
        <v>0</v>
      </c>
      <c r="O2349" s="53" t="n">
        <v>0</v>
      </c>
      <c r="P2349" s="52" t="n">
        <v>0</v>
      </c>
      <c r="Q2349" s="53" t="n">
        <v>0</v>
      </c>
      <c r="R2349" s="52" t="n">
        <v>0</v>
      </c>
      <c r="S2349" s="51" t="n">
        <v>0</v>
      </c>
      <c r="T2349" s="48" t="n">
        <v>0</v>
      </c>
      <c r="U2349" s="49" t="n">
        <v>0</v>
      </c>
      <c r="V2349" s="49" t="n">
        <v>0</v>
      </c>
      <c r="W2349" s="50" t="n">
        <v>0</v>
      </c>
      <c r="X2349" s="51" t="n">
        <v>0</v>
      </c>
      <c r="Y2349" s="52" t="n">
        <v>0</v>
      </c>
      <c r="Z2349" s="52" t="n">
        <v>0</v>
      </c>
      <c r="AA2349" s="52" t="n">
        <v>0</v>
      </c>
      <c r="AB2349" s="53" t="n">
        <v>0</v>
      </c>
      <c r="AC2349" s="52" t="n">
        <v>0</v>
      </c>
      <c r="AD2349" s="53" t="n">
        <v>0</v>
      </c>
      <c r="AE2349" s="52" t="n">
        <v>0</v>
      </c>
      <c r="AF2349" s="51" t="n">
        <v>0</v>
      </c>
      <c r="AG2349" s="48" t="n">
        <v>0</v>
      </c>
      <c r="AH2349" s="49" t="n">
        <v>0</v>
      </c>
      <c r="AI2349" s="49" t="n">
        <v>0</v>
      </c>
      <c r="AJ2349" s="50" t="n">
        <v>0</v>
      </c>
      <c r="AK2349" s="51" t="n">
        <v>0</v>
      </c>
      <c r="AL2349" s="52" t="n">
        <v>0</v>
      </c>
      <c r="AM2349" s="52" t="n">
        <v>0</v>
      </c>
      <c r="AN2349" s="52" t="n">
        <v>0</v>
      </c>
      <c r="AO2349" s="53" t="n">
        <v>0</v>
      </c>
      <c r="AP2349" s="52" t="n">
        <v>0</v>
      </c>
      <c r="AQ2349" s="53" t="n">
        <v>0</v>
      </c>
      <c r="AR2349" s="52" t="n">
        <v>0</v>
      </c>
      <c r="AS2349" s="51" t="n">
        <v>0</v>
      </c>
      <c r="AT2349" s="48" t="n">
        <v>0</v>
      </c>
      <c r="AU2349" s="49" t="n">
        <v>0</v>
      </c>
      <c r="AV2349" s="49" t="n">
        <v>0</v>
      </c>
      <c r="AW2349" s="50" t="n">
        <v>0</v>
      </c>
      <c r="AX2349" s="51" t="n">
        <v>0</v>
      </c>
      <c r="AY2349" s="52" t="n">
        <v>0</v>
      </c>
      <c r="AZ2349" s="52" t="n">
        <v>0</v>
      </c>
      <c r="BA2349" s="52" t="n">
        <v>0</v>
      </c>
      <c r="BB2349" s="53" t="n">
        <v>0</v>
      </c>
      <c r="BC2349" s="52" t="n">
        <v>0</v>
      </c>
      <c r="BD2349" s="53" t="n">
        <v>0</v>
      </c>
      <c r="BE2349" s="52" t="n">
        <v>0</v>
      </c>
      <c r="BF2349" s="51" t="n">
        <v>0</v>
      </c>
    </row>
    <row r="2350">
      <c r="A2350">
        <f>HYPERLINK("https://www.walmart.com/ip/16353609304", "16353609304")</f>
        <v/>
      </c>
      <c r="B2350" t="inlineStr">
        <is>
          <t>Catalonia Lightweight Ladies Bathrobe, Long Summer Robe with Pockets,Soft Summer Robes for Women, Kimono Gift for Her, White</t>
        </is>
      </c>
      <c r="C2350" t="inlineStr">
        <is>
          <t>1CTRB504WT-2</t>
        </is>
      </c>
      <c r="D2350" t="inlineStr">
        <is>
          <t>Sleepwear Robes &amp; Bathrobes</t>
        </is>
      </c>
      <c r="E2350" t="inlineStr">
        <is>
          <t>Catalonia</t>
        </is>
      </c>
      <c r="G2350" s="48" t="n">
        <v>0</v>
      </c>
      <c r="H2350" s="49" t="n">
        <v>0</v>
      </c>
      <c r="I2350" s="49" t="n">
        <v>0</v>
      </c>
      <c r="J2350" s="50" t="n">
        <v>0</v>
      </c>
      <c r="K2350" s="51" t="n">
        <v>0</v>
      </c>
      <c r="L2350" s="52" t="n">
        <v>0</v>
      </c>
      <c r="M2350" s="52" t="n">
        <v>0</v>
      </c>
      <c r="N2350" s="52" t="n">
        <v>0</v>
      </c>
      <c r="O2350" s="53" t="n">
        <v>0</v>
      </c>
      <c r="P2350" s="52" t="n">
        <v>0</v>
      </c>
      <c r="Q2350" s="53" t="n">
        <v>0</v>
      </c>
      <c r="R2350" s="52" t="n">
        <v>0</v>
      </c>
      <c r="S2350" s="51" t="n">
        <v>0</v>
      </c>
      <c r="T2350" s="48" t="n">
        <v>0</v>
      </c>
      <c r="U2350" s="49" t="n">
        <v>0</v>
      </c>
      <c r="V2350" s="49" t="n">
        <v>0</v>
      </c>
      <c r="W2350" s="50" t="n">
        <v>0</v>
      </c>
      <c r="X2350" s="51" t="n">
        <v>0</v>
      </c>
      <c r="Y2350" s="52" t="n">
        <v>0</v>
      </c>
      <c r="Z2350" s="52" t="n">
        <v>0</v>
      </c>
      <c r="AA2350" s="52" t="n">
        <v>0</v>
      </c>
      <c r="AB2350" s="53" t="n">
        <v>0</v>
      </c>
      <c r="AC2350" s="52" t="n">
        <v>0</v>
      </c>
      <c r="AD2350" s="53" t="n">
        <v>0</v>
      </c>
      <c r="AE2350" s="52" t="n">
        <v>0</v>
      </c>
      <c r="AF2350" s="51" t="n">
        <v>0</v>
      </c>
      <c r="AG2350" s="48" t="n">
        <v>0</v>
      </c>
      <c r="AH2350" s="49" t="n">
        <v>0</v>
      </c>
      <c r="AI2350" s="49" t="n">
        <v>0</v>
      </c>
      <c r="AJ2350" s="50" t="n">
        <v>0</v>
      </c>
      <c r="AK2350" s="51" t="n">
        <v>0</v>
      </c>
      <c r="AL2350" s="52" t="n">
        <v>0</v>
      </c>
      <c r="AM2350" s="52" t="n">
        <v>0</v>
      </c>
      <c r="AN2350" s="52" t="n">
        <v>0</v>
      </c>
      <c r="AO2350" s="53" t="n">
        <v>0</v>
      </c>
      <c r="AP2350" s="52" t="n">
        <v>0</v>
      </c>
      <c r="AQ2350" s="53" t="n">
        <v>0</v>
      </c>
      <c r="AR2350" s="52" t="n">
        <v>0</v>
      </c>
      <c r="AS2350" s="51" t="n">
        <v>0</v>
      </c>
      <c r="AT2350" s="48" t="n">
        <v>0</v>
      </c>
      <c r="AU2350" s="49" t="n">
        <v>0</v>
      </c>
      <c r="AV2350" s="49" t="n">
        <v>0</v>
      </c>
      <c r="AW2350" s="50" t="n">
        <v>0</v>
      </c>
      <c r="AX2350" s="51" t="n">
        <v>0</v>
      </c>
      <c r="AY2350" s="52" t="n">
        <v>0</v>
      </c>
      <c r="AZ2350" s="52" t="n">
        <v>0</v>
      </c>
      <c r="BA2350" s="52" t="n">
        <v>0</v>
      </c>
      <c r="BB2350" s="53" t="n">
        <v>0</v>
      </c>
      <c r="BC2350" s="52" t="n">
        <v>0</v>
      </c>
      <c r="BD2350" s="53" t="n">
        <v>0</v>
      </c>
      <c r="BE2350" s="52" t="n">
        <v>0</v>
      </c>
      <c r="BF2350" s="51" t="n">
        <v>0</v>
      </c>
    </row>
    <row r="2351">
      <c r="A2351">
        <f>HYPERLINK("https://www.walmart.com/ip/16373417006", "16373417006")</f>
        <v/>
      </c>
      <c r="B2351" t="inlineStr">
        <is>
          <t>Catalonia Lightweight Ladies Bathrobe, Long Summer Robe with Pockets,Soft Summer Robes for Women, Kimono Gift for Her, Blue</t>
        </is>
      </c>
      <c r="C2351" t="inlineStr">
        <is>
          <t>1CTRB504BL-4</t>
        </is>
      </c>
      <c r="D2351" t="inlineStr">
        <is>
          <t>Sleepwear Robes &amp; Bathrobes</t>
        </is>
      </c>
      <c r="E2351" t="inlineStr">
        <is>
          <t>Catalonia</t>
        </is>
      </c>
      <c r="G2351" s="48" t="n">
        <v>0</v>
      </c>
      <c r="H2351" s="49" t="n">
        <v>0</v>
      </c>
      <c r="I2351" s="49" t="n">
        <v>0</v>
      </c>
      <c r="J2351" s="50" t="n">
        <v>0</v>
      </c>
      <c r="K2351" s="51" t="n">
        <v>0</v>
      </c>
      <c r="L2351" s="52" t="n">
        <v>0</v>
      </c>
      <c r="M2351" s="52" t="n">
        <v>0</v>
      </c>
      <c r="N2351" s="52" t="n">
        <v>0</v>
      </c>
      <c r="O2351" s="53" t="n">
        <v>0</v>
      </c>
      <c r="P2351" s="52" t="n">
        <v>0</v>
      </c>
      <c r="Q2351" s="53" t="n">
        <v>0</v>
      </c>
      <c r="R2351" s="52" t="n">
        <v>0</v>
      </c>
      <c r="S2351" s="51" t="n">
        <v>0</v>
      </c>
      <c r="T2351" s="48" t="n">
        <v>0</v>
      </c>
      <c r="U2351" s="49" t="n">
        <v>0</v>
      </c>
      <c r="V2351" s="49" t="n">
        <v>0</v>
      </c>
      <c r="W2351" s="50" t="n">
        <v>0</v>
      </c>
      <c r="X2351" s="51" t="n">
        <v>0</v>
      </c>
      <c r="Y2351" s="52" t="n">
        <v>0</v>
      </c>
      <c r="Z2351" s="52" t="n">
        <v>0</v>
      </c>
      <c r="AA2351" s="52" t="n">
        <v>0</v>
      </c>
      <c r="AB2351" s="53" t="n">
        <v>0</v>
      </c>
      <c r="AC2351" s="52" t="n">
        <v>0</v>
      </c>
      <c r="AD2351" s="53" t="n">
        <v>0</v>
      </c>
      <c r="AE2351" s="52" t="n">
        <v>0</v>
      </c>
      <c r="AF2351" s="51" t="n">
        <v>0</v>
      </c>
      <c r="AG2351" s="48" t="n">
        <v>0</v>
      </c>
      <c r="AH2351" s="49" t="n">
        <v>0</v>
      </c>
      <c r="AI2351" s="49" t="n">
        <v>0</v>
      </c>
      <c r="AJ2351" s="50" t="n">
        <v>0</v>
      </c>
      <c r="AK2351" s="51" t="n">
        <v>0</v>
      </c>
      <c r="AL2351" s="52" t="n">
        <v>0</v>
      </c>
      <c r="AM2351" s="52" t="n">
        <v>0</v>
      </c>
      <c r="AN2351" s="52" t="n">
        <v>0</v>
      </c>
      <c r="AO2351" s="53" t="n">
        <v>0</v>
      </c>
      <c r="AP2351" s="52" t="n">
        <v>0</v>
      </c>
      <c r="AQ2351" s="53" t="n">
        <v>0</v>
      </c>
      <c r="AR2351" s="52" t="n">
        <v>0</v>
      </c>
      <c r="AS2351" s="51" t="n">
        <v>0</v>
      </c>
      <c r="AT2351" s="48" t="n">
        <v>0</v>
      </c>
      <c r="AU2351" s="49" t="n">
        <v>0</v>
      </c>
      <c r="AV2351" s="49" t="n">
        <v>0</v>
      </c>
      <c r="AW2351" s="50" t="n">
        <v>0</v>
      </c>
      <c r="AX2351" s="51" t="n">
        <v>0</v>
      </c>
      <c r="AY2351" s="52" t="n">
        <v>0</v>
      </c>
      <c r="AZ2351" s="52" t="n">
        <v>0</v>
      </c>
      <c r="BA2351" s="52" t="n">
        <v>0</v>
      </c>
      <c r="BB2351" s="53" t="n">
        <v>0</v>
      </c>
      <c r="BC2351" s="52" t="n">
        <v>0</v>
      </c>
      <c r="BD2351" s="53" t="n">
        <v>0</v>
      </c>
      <c r="BE2351" s="52" t="n">
        <v>0</v>
      </c>
      <c r="BF2351" s="51" t="n">
        <v>0</v>
      </c>
    </row>
    <row r="2352">
      <c r="A2352">
        <f>HYPERLINK("https://www.walmart.com/ip/16373617536", "16373617536")</f>
        <v/>
      </c>
      <c r="B2352" t="inlineStr">
        <is>
          <t>Catalonia Lightweight Ladies Bathrobe, Long Summer Robe with Pockets,Soft Summer Robes for Women, Kimono Gift for Her, Green</t>
        </is>
      </c>
      <c r="C2352" t="inlineStr">
        <is>
          <t>1CTRB504GN-4</t>
        </is>
      </c>
      <c r="D2352" t="inlineStr">
        <is>
          <t>Sleepwear Robes &amp; Bathrobes</t>
        </is>
      </c>
      <c r="E2352" t="inlineStr">
        <is>
          <t>Catalonia</t>
        </is>
      </c>
      <c r="G2352" s="48" t="n">
        <v>0</v>
      </c>
      <c r="H2352" s="49" t="n">
        <v>0</v>
      </c>
      <c r="I2352" s="49" t="n">
        <v>0</v>
      </c>
      <c r="J2352" s="50" t="n">
        <v>0</v>
      </c>
      <c r="K2352" s="51" t="n">
        <v>0</v>
      </c>
      <c r="L2352" s="52" t="n">
        <v>0</v>
      </c>
      <c r="M2352" s="52" t="n">
        <v>0</v>
      </c>
      <c r="N2352" s="52" t="n">
        <v>0</v>
      </c>
      <c r="O2352" s="53" t="n">
        <v>0</v>
      </c>
      <c r="P2352" s="52" t="n">
        <v>0</v>
      </c>
      <c r="Q2352" s="53" t="n">
        <v>0</v>
      </c>
      <c r="R2352" s="52" t="n">
        <v>0</v>
      </c>
      <c r="S2352" s="51" t="n">
        <v>0</v>
      </c>
      <c r="T2352" s="48" t="n">
        <v>0</v>
      </c>
      <c r="U2352" s="49" t="n">
        <v>0</v>
      </c>
      <c r="V2352" s="49" t="n">
        <v>0</v>
      </c>
      <c r="W2352" s="50" t="n">
        <v>0</v>
      </c>
      <c r="X2352" s="51" t="n">
        <v>0</v>
      </c>
      <c r="Y2352" s="52" t="n">
        <v>0</v>
      </c>
      <c r="Z2352" s="52" t="n">
        <v>0</v>
      </c>
      <c r="AA2352" s="52" t="n">
        <v>0</v>
      </c>
      <c r="AB2352" s="53" t="n">
        <v>0</v>
      </c>
      <c r="AC2352" s="52" t="n">
        <v>0</v>
      </c>
      <c r="AD2352" s="53" t="n">
        <v>0</v>
      </c>
      <c r="AE2352" s="52" t="n">
        <v>0</v>
      </c>
      <c r="AF2352" s="51" t="n">
        <v>0</v>
      </c>
      <c r="AG2352" s="48" t="n">
        <v>0</v>
      </c>
      <c r="AH2352" s="49" t="n">
        <v>0</v>
      </c>
      <c r="AI2352" s="49" t="n">
        <v>0</v>
      </c>
      <c r="AJ2352" s="50" t="n">
        <v>0</v>
      </c>
      <c r="AK2352" s="51" t="n">
        <v>0</v>
      </c>
      <c r="AL2352" s="52" t="n">
        <v>0</v>
      </c>
      <c r="AM2352" s="52" t="n">
        <v>0</v>
      </c>
      <c r="AN2352" s="52" t="n">
        <v>0</v>
      </c>
      <c r="AO2352" s="53" t="n">
        <v>0</v>
      </c>
      <c r="AP2352" s="52" t="n">
        <v>0</v>
      </c>
      <c r="AQ2352" s="53" t="n">
        <v>0</v>
      </c>
      <c r="AR2352" s="52" t="n">
        <v>0</v>
      </c>
      <c r="AS2352" s="51" t="n">
        <v>0</v>
      </c>
      <c r="AT2352" s="48" t="n">
        <v>0</v>
      </c>
      <c r="AU2352" s="49" t="n">
        <v>0</v>
      </c>
      <c r="AV2352" s="49" t="n">
        <v>0</v>
      </c>
      <c r="AW2352" s="50" t="n">
        <v>0</v>
      </c>
      <c r="AX2352" s="51" t="n">
        <v>0</v>
      </c>
      <c r="AY2352" s="52" t="n">
        <v>0</v>
      </c>
      <c r="AZ2352" s="52" t="n">
        <v>0</v>
      </c>
      <c r="BA2352" s="52" t="n">
        <v>0</v>
      </c>
      <c r="BB2352" s="53" t="n">
        <v>0</v>
      </c>
      <c r="BC2352" s="52" t="n">
        <v>0</v>
      </c>
      <c r="BD2352" s="53" t="n">
        <v>0</v>
      </c>
      <c r="BE2352" s="52" t="n">
        <v>0</v>
      </c>
      <c r="BF2352" s="51" t="n">
        <v>0</v>
      </c>
    </row>
    <row r="2353">
      <c r="A2353">
        <f>HYPERLINK("https://www.walmart.com/ip/16373617537", "16373617537")</f>
        <v/>
      </c>
      <c r="B2353" t="inlineStr">
        <is>
          <t>Catalonia Lightweight Ladies Bathrobe, Long Summer Robe with Pockets,Soft Summer Robes for Women, Kimono Gift for Her, Blue</t>
        </is>
      </c>
      <c r="C2353" t="inlineStr">
        <is>
          <t>1CTRB504BL-5</t>
        </is>
      </c>
      <c r="D2353" t="inlineStr">
        <is>
          <t>Sleepwear Robes &amp; Bathrobes</t>
        </is>
      </c>
      <c r="E2353" t="inlineStr">
        <is>
          <t>Catalonia</t>
        </is>
      </c>
      <c r="G2353" s="48" t="n">
        <v>0</v>
      </c>
      <c r="H2353" s="49" t="n">
        <v>0</v>
      </c>
      <c r="I2353" s="49" t="n">
        <v>0</v>
      </c>
      <c r="J2353" s="50" t="n">
        <v>0</v>
      </c>
      <c r="K2353" s="51" t="n">
        <v>0</v>
      </c>
      <c r="L2353" s="52" t="n">
        <v>0</v>
      </c>
      <c r="M2353" s="52" t="n">
        <v>0</v>
      </c>
      <c r="N2353" s="52" t="n">
        <v>0</v>
      </c>
      <c r="O2353" s="53" t="n">
        <v>0</v>
      </c>
      <c r="P2353" s="52" t="n">
        <v>0</v>
      </c>
      <c r="Q2353" s="53" t="n">
        <v>0</v>
      </c>
      <c r="R2353" s="52" t="n">
        <v>0</v>
      </c>
      <c r="S2353" s="51" t="n">
        <v>0</v>
      </c>
      <c r="T2353" s="48" t="n">
        <v>0</v>
      </c>
      <c r="U2353" s="49" t="n">
        <v>0</v>
      </c>
      <c r="V2353" s="49" t="n">
        <v>0</v>
      </c>
      <c r="W2353" s="50" t="n">
        <v>0</v>
      </c>
      <c r="X2353" s="51" t="n">
        <v>0</v>
      </c>
      <c r="Y2353" s="52" t="n">
        <v>0</v>
      </c>
      <c r="Z2353" s="52" t="n">
        <v>0</v>
      </c>
      <c r="AA2353" s="52" t="n">
        <v>0</v>
      </c>
      <c r="AB2353" s="53" t="n">
        <v>0</v>
      </c>
      <c r="AC2353" s="52" t="n">
        <v>0</v>
      </c>
      <c r="AD2353" s="53" t="n">
        <v>0</v>
      </c>
      <c r="AE2353" s="52" t="n">
        <v>0</v>
      </c>
      <c r="AF2353" s="51" t="n">
        <v>0</v>
      </c>
      <c r="AG2353" s="48" t="n">
        <v>0</v>
      </c>
      <c r="AH2353" s="49" t="n">
        <v>0</v>
      </c>
      <c r="AI2353" s="49" t="n">
        <v>0</v>
      </c>
      <c r="AJ2353" s="50" t="n">
        <v>0</v>
      </c>
      <c r="AK2353" s="51" t="n">
        <v>0</v>
      </c>
      <c r="AL2353" s="52" t="n">
        <v>0</v>
      </c>
      <c r="AM2353" s="52" t="n">
        <v>0</v>
      </c>
      <c r="AN2353" s="52" t="n">
        <v>0</v>
      </c>
      <c r="AO2353" s="53" t="n">
        <v>0</v>
      </c>
      <c r="AP2353" s="52" t="n">
        <v>0</v>
      </c>
      <c r="AQ2353" s="53" t="n">
        <v>0</v>
      </c>
      <c r="AR2353" s="52" t="n">
        <v>0</v>
      </c>
      <c r="AS2353" s="51" t="n">
        <v>0</v>
      </c>
      <c r="AT2353" s="48" t="n">
        <v>0</v>
      </c>
      <c r="AU2353" s="49" t="n">
        <v>0</v>
      </c>
      <c r="AV2353" s="49" t="n">
        <v>0</v>
      </c>
      <c r="AW2353" s="50" t="n">
        <v>0</v>
      </c>
      <c r="AX2353" s="51" t="n">
        <v>0</v>
      </c>
      <c r="AY2353" s="52" t="n">
        <v>0</v>
      </c>
      <c r="AZ2353" s="52" t="n">
        <v>0</v>
      </c>
      <c r="BA2353" s="52" t="n">
        <v>0</v>
      </c>
      <c r="BB2353" s="53" t="n">
        <v>0</v>
      </c>
      <c r="BC2353" s="52" t="n">
        <v>0</v>
      </c>
      <c r="BD2353" s="53" t="n">
        <v>0</v>
      </c>
      <c r="BE2353" s="52" t="n">
        <v>0</v>
      </c>
      <c r="BF2353" s="51" t="n">
        <v>0</v>
      </c>
    </row>
    <row r="2354">
      <c r="A2354">
        <f>HYPERLINK("https://www.walmart.com/ip/163742553", "163742553")</f>
        <v/>
      </c>
      <c r="B2354" t="inlineStr">
        <is>
          <t>Terra Unisex Faux Fur Pom Pom Beanie Hat Thick Slouchy Cable Knit Ski Cap Grey</t>
        </is>
      </c>
      <c r="C2354" t="inlineStr">
        <is>
          <t>TERRAPPH01GY</t>
        </is>
      </c>
      <c r="D2354" t="inlineStr">
        <is>
          <t>Hats</t>
        </is>
      </c>
      <c r="E2354" t="inlineStr">
        <is>
          <t>Terra</t>
        </is>
      </c>
      <c r="F2354" t="inlineStr">
        <is>
          <t>Optimized</t>
        </is>
      </c>
      <c r="G2354" s="48" t="n">
        <v>0</v>
      </c>
      <c r="H2354" s="49" t="n">
        <v>0</v>
      </c>
      <c r="I2354" s="49" t="n">
        <v>0</v>
      </c>
      <c r="J2354" s="50" t="n">
        <v>0</v>
      </c>
      <c r="K2354" s="51" t="n">
        <v>0</v>
      </c>
      <c r="L2354" s="52" t="n">
        <v>0</v>
      </c>
      <c r="M2354" s="52" t="n">
        <v>0</v>
      </c>
      <c r="N2354" s="52" t="n">
        <v>0</v>
      </c>
      <c r="O2354" s="53" t="n">
        <v>0</v>
      </c>
      <c r="P2354" s="52" t="n">
        <v>0</v>
      </c>
      <c r="Q2354" s="53" t="n">
        <v>0</v>
      </c>
      <c r="R2354" s="52" t="n">
        <v>0</v>
      </c>
      <c r="S2354" s="51" t="n">
        <v>0</v>
      </c>
      <c r="T2354" s="48" t="n">
        <v>0</v>
      </c>
      <c r="U2354" s="49" t="n">
        <v>0</v>
      </c>
      <c r="V2354" s="49" t="n">
        <v>0</v>
      </c>
      <c r="W2354" s="50" t="n">
        <v>0</v>
      </c>
      <c r="X2354" s="51" t="n">
        <v>0</v>
      </c>
      <c r="Y2354" s="52" t="n">
        <v>0</v>
      </c>
      <c r="Z2354" s="52" t="n">
        <v>0</v>
      </c>
      <c r="AA2354" s="52" t="n">
        <v>0</v>
      </c>
      <c r="AB2354" s="53" t="n">
        <v>0</v>
      </c>
      <c r="AC2354" s="52" t="n">
        <v>0</v>
      </c>
      <c r="AD2354" s="53" t="n">
        <v>0</v>
      </c>
      <c r="AE2354" s="52" t="n">
        <v>0</v>
      </c>
      <c r="AF2354" s="51" t="n">
        <v>0</v>
      </c>
      <c r="AG2354" s="48" t="n">
        <v>0</v>
      </c>
      <c r="AH2354" s="49" t="n">
        <v>0</v>
      </c>
      <c r="AI2354" s="49" t="n">
        <v>0</v>
      </c>
      <c r="AJ2354" s="50" t="n">
        <v>0</v>
      </c>
      <c r="AK2354" s="51" t="n">
        <v>0</v>
      </c>
      <c r="AL2354" s="52" t="n">
        <v>0</v>
      </c>
      <c r="AM2354" s="52" t="n">
        <v>0</v>
      </c>
      <c r="AN2354" s="52" t="n">
        <v>0</v>
      </c>
      <c r="AO2354" s="53" t="n">
        <v>0</v>
      </c>
      <c r="AP2354" s="52" t="n">
        <v>0</v>
      </c>
      <c r="AQ2354" s="53" t="n">
        <v>0</v>
      </c>
      <c r="AR2354" s="52" t="n">
        <v>0</v>
      </c>
      <c r="AS2354" s="51" t="n">
        <v>0</v>
      </c>
      <c r="AT2354" s="48" t="n">
        <v>0</v>
      </c>
      <c r="AU2354" s="49" t="n">
        <v>0</v>
      </c>
      <c r="AV2354" s="49" t="n">
        <v>0</v>
      </c>
      <c r="AW2354" s="50" t="n">
        <v>0</v>
      </c>
      <c r="AX2354" s="51" t="n">
        <v>0</v>
      </c>
      <c r="AY2354" s="52" t="n">
        <v>0</v>
      </c>
      <c r="AZ2354" s="52" t="n">
        <v>0</v>
      </c>
      <c r="BA2354" s="52" t="n">
        <v>0</v>
      </c>
      <c r="BB2354" s="53" t="n">
        <v>0</v>
      </c>
      <c r="BC2354" s="52" t="n">
        <v>0</v>
      </c>
      <c r="BD2354" s="53" t="n">
        <v>0</v>
      </c>
      <c r="BE2354" s="52" t="n">
        <v>0</v>
      </c>
      <c r="BF2354" s="51" t="n">
        <v>0</v>
      </c>
    </row>
    <row r="2355">
      <c r="A2355">
        <f>HYPERLINK("https://www.walmart.com/ip/16375853868", "16375853868")</f>
        <v/>
      </c>
      <c r="B2355" t="inlineStr">
        <is>
          <t>Catalonia Lightweight Ladies Bathrobe, Long Summer Robe with Pockets,Soft Summer Robes for Women, Kimono Gift for Her, Gray</t>
        </is>
      </c>
      <c r="C2355" t="inlineStr">
        <is>
          <t>1CTRB504GYASH-2</t>
        </is>
      </c>
      <c r="D2355" t="inlineStr">
        <is>
          <t>Sleepwear Robes &amp; Bathrobes</t>
        </is>
      </c>
      <c r="E2355" t="inlineStr">
        <is>
          <t>Catalonia</t>
        </is>
      </c>
      <c r="G2355" s="48" t="n">
        <v>0</v>
      </c>
      <c r="H2355" s="49" t="n">
        <v>0</v>
      </c>
      <c r="I2355" s="49" t="n">
        <v>0</v>
      </c>
      <c r="J2355" s="50" t="n">
        <v>0</v>
      </c>
      <c r="K2355" s="51" t="n">
        <v>0</v>
      </c>
      <c r="L2355" s="52" t="n">
        <v>0</v>
      </c>
      <c r="M2355" s="52" t="n">
        <v>0</v>
      </c>
      <c r="N2355" s="52" t="n">
        <v>0</v>
      </c>
      <c r="O2355" s="53" t="n">
        <v>0</v>
      </c>
      <c r="P2355" s="52" t="n">
        <v>0</v>
      </c>
      <c r="Q2355" s="53" t="n">
        <v>0</v>
      </c>
      <c r="R2355" s="52" t="n">
        <v>0</v>
      </c>
      <c r="S2355" s="51" t="n">
        <v>0</v>
      </c>
      <c r="T2355" s="48" t="n">
        <v>0</v>
      </c>
      <c r="U2355" s="49" t="n">
        <v>0</v>
      </c>
      <c r="V2355" s="49" t="n">
        <v>0</v>
      </c>
      <c r="W2355" s="50" t="n">
        <v>0</v>
      </c>
      <c r="X2355" s="51" t="n">
        <v>0</v>
      </c>
      <c r="Y2355" s="52" t="n">
        <v>0</v>
      </c>
      <c r="Z2355" s="52" t="n">
        <v>0</v>
      </c>
      <c r="AA2355" s="52" t="n">
        <v>0</v>
      </c>
      <c r="AB2355" s="53" t="n">
        <v>0</v>
      </c>
      <c r="AC2355" s="52" t="n">
        <v>0</v>
      </c>
      <c r="AD2355" s="53" t="n">
        <v>0</v>
      </c>
      <c r="AE2355" s="52" t="n">
        <v>0</v>
      </c>
      <c r="AF2355" s="51" t="n">
        <v>0</v>
      </c>
      <c r="AG2355" s="48" t="n">
        <v>0</v>
      </c>
      <c r="AH2355" s="49" t="n">
        <v>0</v>
      </c>
      <c r="AI2355" s="49" t="n">
        <v>0</v>
      </c>
      <c r="AJ2355" s="50" t="n">
        <v>0</v>
      </c>
      <c r="AK2355" s="51" t="n">
        <v>0</v>
      </c>
      <c r="AL2355" s="52" t="n">
        <v>0</v>
      </c>
      <c r="AM2355" s="52" t="n">
        <v>0</v>
      </c>
      <c r="AN2355" s="52" t="n">
        <v>0</v>
      </c>
      <c r="AO2355" s="53" t="n">
        <v>0</v>
      </c>
      <c r="AP2355" s="52" t="n">
        <v>0</v>
      </c>
      <c r="AQ2355" s="53" t="n">
        <v>0</v>
      </c>
      <c r="AR2355" s="52" t="n">
        <v>0</v>
      </c>
      <c r="AS2355" s="51" t="n">
        <v>0</v>
      </c>
      <c r="AT2355" s="48" t="n">
        <v>0</v>
      </c>
      <c r="AU2355" s="49" t="n">
        <v>0</v>
      </c>
      <c r="AV2355" s="49" t="n">
        <v>0</v>
      </c>
      <c r="AW2355" s="50" t="n">
        <v>0</v>
      </c>
      <c r="AX2355" s="51" t="n">
        <v>0</v>
      </c>
      <c r="AY2355" s="52" t="n">
        <v>0</v>
      </c>
      <c r="AZ2355" s="52" t="n">
        <v>0</v>
      </c>
      <c r="BA2355" s="52" t="n">
        <v>0</v>
      </c>
      <c r="BB2355" s="53" t="n">
        <v>0</v>
      </c>
      <c r="BC2355" s="52" t="n">
        <v>0</v>
      </c>
      <c r="BD2355" s="53" t="n">
        <v>0</v>
      </c>
      <c r="BE2355" s="52" t="n">
        <v>0</v>
      </c>
      <c r="BF2355" s="51" t="n">
        <v>0</v>
      </c>
    </row>
    <row r="2356">
      <c r="A2356">
        <f>HYPERLINK("https://www.walmart.com/ip/16385457099", "16385457099")</f>
        <v/>
      </c>
      <c r="B2356" t="inlineStr">
        <is>
          <t>Catalonia Lightweight Ladies Bathrobe, Long Summer Robe with Pockets,Soft Summer Robes for Women, Kimono Gift for Her, Lilac</t>
        </is>
      </c>
      <c r="C2356" t="inlineStr">
        <is>
          <t>1CTRB504LL-4</t>
        </is>
      </c>
      <c r="D2356" t="inlineStr">
        <is>
          <t>Sleepwear Robes &amp; Bathrobes</t>
        </is>
      </c>
      <c r="E2356" t="inlineStr">
        <is>
          <t>Catalonia</t>
        </is>
      </c>
      <c r="G2356" s="48" t="n">
        <v>0</v>
      </c>
      <c r="H2356" s="49" t="n">
        <v>0</v>
      </c>
      <c r="I2356" s="49" t="n">
        <v>0</v>
      </c>
      <c r="J2356" s="50" t="n">
        <v>0</v>
      </c>
      <c r="K2356" s="51" t="n">
        <v>0</v>
      </c>
      <c r="L2356" s="52" t="n">
        <v>0</v>
      </c>
      <c r="M2356" s="52" t="n">
        <v>0</v>
      </c>
      <c r="N2356" s="52" t="n">
        <v>0</v>
      </c>
      <c r="O2356" s="53" t="n">
        <v>0</v>
      </c>
      <c r="P2356" s="52" t="n">
        <v>0</v>
      </c>
      <c r="Q2356" s="53" t="n">
        <v>0</v>
      </c>
      <c r="R2356" s="52" t="n">
        <v>0</v>
      </c>
      <c r="S2356" s="51" t="n">
        <v>0</v>
      </c>
      <c r="T2356" s="48" t="n">
        <v>0</v>
      </c>
      <c r="U2356" s="49" t="n">
        <v>0</v>
      </c>
      <c r="V2356" s="49" t="n">
        <v>0</v>
      </c>
      <c r="W2356" s="50" t="n">
        <v>0</v>
      </c>
      <c r="X2356" s="51" t="n">
        <v>0</v>
      </c>
      <c r="Y2356" s="52" t="n">
        <v>0</v>
      </c>
      <c r="Z2356" s="52" t="n">
        <v>0</v>
      </c>
      <c r="AA2356" s="52" t="n">
        <v>0</v>
      </c>
      <c r="AB2356" s="53" t="n">
        <v>0</v>
      </c>
      <c r="AC2356" s="52" t="n">
        <v>0</v>
      </c>
      <c r="AD2356" s="53" t="n">
        <v>0</v>
      </c>
      <c r="AE2356" s="52" t="n">
        <v>0</v>
      </c>
      <c r="AF2356" s="51" t="n">
        <v>0</v>
      </c>
      <c r="AG2356" s="48" t="n">
        <v>0</v>
      </c>
      <c r="AH2356" s="49" t="n">
        <v>0</v>
      </c>
      <c r="AI2356" s="49" t="n">
        <v>0</v>
      </c>
      <c r="AJ2356" s="50" t="n">
        <v>0</v>
      </c>
      <c r="AK2356" s="51" t="n">
        <v>0</v>
      </c>
      <c r="AL2356" s="52" t="n">
        <v>0</v>
      </c>
      <c r="AM2356" s="52" t="n">
        <v>0</v>
      </c>
      <c r="AN2356" s="52" t="n">
        <v>0</v>
      </c>
      <c r="AO2356" s="53" t="n">
        <v>0</v>
      </c>
      <c r="AP2356" s="52" t="n">
        <v>0</v>
      </c>
      <c r="AQ2356" s="53" t="n">
        <v>0</v>
      </c>
      <c r="AR2356" s="52" t="n">
        <v>0</v>
      </c>
      <c r="AS2356" s="51" t="n">
        <v>0</v>
      </c>
      <c r="AT2356" s="48" t="n">
        <v>0</v>
      </c>
      <c r="AU2356" s="49" t="n">
        <v>0</v>
      </c>
      <c r="AV2356" s="49" t="n">
        <v>0</v>
      </c>
      <c r="AW2356" s="50" t="n">
        <v>0</v>
      </c>
      <c r="AX2356" s="51" t="n">
        <v>0</v>
      </c>
      <c r="AY2356" s="52" t="n">
        <v>0</v>
      </c>
      <c r="AZ2356" s="52" t="n">
        <v>0</v>
      </c>
      <c r="BA2356" s="52" t="n">
        <v>0</v>
      </c>
      <c r="BB2356" s="53" t="n">
        <v>0</v>
      </c>
      <c r="BC2356" s="52" t="n">
        <v>0</v>
      </c>
      <c r="BD2356" s="53" t="n">
        <v>0</v>
      </c>
      <c r="BE2356" s="52" t="n">
        <v>0</v>
      </c>
      <c r="BF2356" s="51" t="n">
        <v>0</v>
      </c>
    </row>
    <row r="2357">
      <c r="A2357">
        <f>HYPERLINK("https://www.walmart.com/ip/16401065846", "16401065846")</f>
        <v/>
      </c>
      <c r="B2357" t="inlineStr">
        <is>
          <t>Catalonia Lightweight Ladies Bathrobe, Long Summer Robe with Pockets,Soft Summer Robes for Women, Kimono Gift for Her, White</t>
        </is>
      </c>
      <c r="C2357" t="inlineStr">
        <is>
          <t>1CTRB504WT-4</t>
        </is>
      </c>
      <c r="D2357" t="inlineStr">
        <is>
          <t>Sleepwear Robes &amp; Bathrobes</t>
        </is>
      </c>
      <c r="E2357" t="inlineStr">
        <is>
          <t>Catalonia</t>
        </is>
      </c>
      <c r="G2357" s="48" t="n">
        <v>0</v>
      </c>
      <c r="H2357" s="49" t="n">
        <v>0</v>
      </c>
      <c r="I2357" s="49" t="n">
        <v>0</v>
      </c>
      <c r="J2357" s="50" t="n">
        <v>0</v>
      </c>
      <c r="K2357" s="51" t="n">
        <v>0</v>
      </c>
      <c r="L2357" s="52" t="n">
        <v>0</v>
      </c>
      <c r="M2357" s="52" t="n">
        <v>0</v>
      </c>
      <c r="N2357" s="52" t="n">
        <v>0</v>
      </c>
      <c r="O2357" s="53" t="n">
        <v>0</v>
      </c>
      <c r="P2357" s="52" t="n">
        <v>0</v>
      </c>
      <c r="Q2357" s="53" t="n">
        <v>0</v>
      </c>
      <c r="R2357" s="52" t="n">
        <v>0</v>
      </c>
      <c r="S2357" s="51" t="n">
        <v>0</v>
      </c>
      <c r="T2357" s="48" t="n">
        <v>0</v>
      </c>
      <c r="U2357" s="49" t="n">
        <v>0</v>
      </c>
      <c r="V2357" s="49" t="n">
        <v>0</v>
      </c>
      <c r="W2357" s="50" t="n">
        <v>0</v>
      </c>
      <c r="X2357" s="51" t="n">
        <v>0</v>
      </c>
      <c r="Y2357" s="52" t="n">
        <v>0</v>
      </c>
      <c r="Z2357" s="52" t="n">
        <v>0</v>
      </c>
      <c r="AA2357" s="52" t="n">
        <v>0</v>
      </c>
      <c r="AB2357" s="53" t="n">
        <v>0</v>
      </c>
      <c r="AC2357" s="52" t="n">
        <v>0</v>
      </c>
      <c r="AD2357" s="53" t="n">
        <v>0</v>
      </c>
      <c r="AE2357" s="52" t="n">
        <v>0</v>
      </c>
      <c r="AF2357" s="51" t="n">
        <v>0</v>
      </c>
      <c r="AG2357" s="48" t="n">
        <v>0</v>
      </c>
      <c r="AH2357" s="49" t="n">
        <v>0</v>
      </c>
      <c r="AI2357" s="49" t="n">
        <v>0</v>
      </c>
      <c r="AJ2357" s="50" t="n">
        <v>0</v>
      </c>
      <c r="AK2357" s="51" t="n">
        <v>0</v>
      </c>
      <c r="AL2357" s="52" t="n">
        <v>0</v>
      </c>
      <c r="AM2357" s="52" t="n">
        <v>0</v>
      </c>
      <c r="AN2357" s="52" t="n">
        <v>0</v>
      </c>
      <c r="AO2357" s="53" t="n">
        <v>0</v>
      </c>
      <c r="AP2357" s="52" t="n">
        <v>0</v>
      </c>
      <c r="AQ2357" s="53" t="n">
        <v>0</v>
      </c>
      <c r="AR2357" s="52" t="n">
        <v>0</v>
      </c>
      <c r="AS2357" s="51" t="n">
        <v>0</v>
      </c>
      <c r="AT2357" s="48" t="n">
        <v>0</v>
      </c>
      <c r="AU2357" s="49" t="n">
        <v>0</v>
      </c>
      <c r="AV2357" s="49" t="n">
        <v>0</v>
      </c>
      <c r="AW2357" s="50" t="n">
        <v>0</v>
      </c>
      <c r="AX2357" s="51" t="n">
        <v>0</v>
      </c>
      <c r="AY2357" s="52" t="n">
        <v>0</v>
      </c>
      <c r="AZ2357" s="52" t="n">
        <v>0</v>
      </c>
      <c r="BA2357" s="52" t="n">
        <v>0</v>
      </c>
      <c r="BB2357" s="53" t="n">
        <v>0</v>
      </c>
      <c r="BC2357" s="52" t="n">
        <v>0</v>
      </c>
      <c r="BD2357" s="53" t="n">
        <v>0</v>
      </c>
      <c r="BE2357" s="52" t="n">
        <v>0</v>
      </c>
      <c r="BF2357" s="51" t="n">
        <v>0</v>
      </c>
    </row>
    <row r="2358">
      <c r="A2358">
        <f>HYPERLINK("https://www.walmart.com/ip/16387668263", "16387668263")</f>
        <v/>
      </c>
      <c r="B2358" t="inlineStr">
        <is>
          <t>Catalonia Lightweight Ladies Bathrobe, Long Summer Robe with Pockets,Soft Summer Robes for Women, Kimono Gift for Her, Lilac</t>
        </is>
      </c>
      <c r="C2358" t="inlineStr">
        <is>
          <t>1CTRB504LL-3</t>
        </is>
      </c>
      <c r="D2358" t="inlineStr">
        <is>
          <t>Sleepwear Robes &amp; Bathrobes</t>
        </is>
      </c>
      <c r="E2358" t="inlineStr">
        <is>
          <t>Catalonia</t>
        </is>
      </c>
      <c r="G2358" s="48" t="n">
        <v>0</v>
      </c>
      <c r="H2358" s="49" t="n">
        <v>0</v>
      </c>
      <c r="I2358" s="49" t="n">
        <v>0</v>
      </c>
      <c r="J2358" s="50" t="n">
        <v>0</v>
      </c>
      <c r="K2358" s="51" t="n">
        <v>0</v>
      </c>
      <c r="L2358" s="52" t="n">
        <v>0</v>
      </c>
      <c r="M2358" s="52" t="n">
        <v>0</v>
      </c>
      <c r="N2358" s="52" t="n">
        <v>0</v>
      </c>
      <c r="O2358" s="53" t="n">
        <v>0</v>
      </c>
      <c r="P2358" s="52" t="n">
        <v>0</v>
      </c>
      <c r="Q2358" s="53" t="n">
        <v>0</v>
      </c>
      <c r="R2358" s="52" t="n">
        <v>0</v>
      </c>
      <c r="S2358" s="51" t="n">
        <v>0</v>
      </c>
      <c r="T2358" s="48" t="n">
        <v>0</v>
      </c>
      <c r="U2358" s="49" t="n">
        <v>0</v>
      </c>
      <c r="V2358" s="49" t="n">
        <v>0</v>
      </c>
      <c r="W2358" s="50" t="n">
        <v>0</v>
      </c>
      <c r="X2358" s="51" t="n">
        <v>0</v>
      </c>
      <c r="Y2358" s="52" t="n">
        <v>0</v>
      </c>
      <c r="Z2358" s="52" t="n">
        <v>0</v>
      </c>
      <c r="AA2358" s="52" t="n">
        <v>0</v>
      </c>
      <c r="AB2358" s="53" t="n">
        <v>0</v>
      </c>
      <c r="AC2358" s="52" t="n">
        <v>0</v>
      </c>
      <c r="AD2358" s="53" t="n">
        <v>0</v>
      </c>
      <c r="AE2358" s="52" t="n">
        <v>0</v>
      </c>
      <c r="AF2358" s="51" t="n">
        <v>0</v>
      </c>
      <c r="AG2358" s="48" t="n">
        <v>0</v>
      </c>
      <c r="AH2358" s="49" t="n">
        <v>0</v>
      </c>
      <c r="AI2358" s="49" t="n">
        <v>0</v>
      </c>
      <c r="AJ2358" s="50" t="n">
        <v>0</v>
      </c>
      <c r="AK2358" s="51" t="n">
        <v>0</v>
      </c>
      <c r="AL2358" s="52" t="n">
        <v>0</v>
      </c>
      <c r="AM2358" s="52" t="n">
        <v>0</v>
      </c>
      <c r="AN2358" s="52" t="n">
        <v>0</v>
      </c>
      <c r="AO2358" s="53" t="n">
        <v>0</v>
      </c>
      <c r="AP2358" s="52" t="n">
        <v>0</v>
      </c>
      <c r="AQ2358" s="53" t="n">
        <v>0</v>
      </c>
      <c r="AR2358" s="52" t="n">
        <v>0</v>
      </c>
      <c r="AS2358" s="51" t="n">
        <v>0</v>
      </c>
      <c r="AT2358" s="48" t="n">
        <v>0</v>
      </c>
      <c r="AU2358" s="49" t="n">
        <v>0</v>
      </c>
      <c r="AV2358" s="49" t="n">
        <v>0</v>
      </c>
      <c r="AW2358" s="50" t="n">
        <v>0</v>
      </c>
      <c r="AX2358" s="51" t="n">
        <v>0</v>
      </c>
      <c r="AY2358" s="52" t="n">
        <v>0</v>
      </c>
      <c r="AZ2358" s="52" t="n">
        <v>0</v>
      </c>
      <c r="BA2358" s="52" t="n">
        <v>0</v>
      </c>
      <c r="BB2358" s="53" t="n">
        <v>0</v>
      </c>
      <c r="BC2358" s="52" t="n">
        <v>0</v>
      </c>
      <c r="BD2358" s="53" t="n">
        <v>0</v>
      </c>
      <c r="BE2358" s="52" t="n">
        <v>0</v>
      </c>
      <c r="BF2358" s="51" t="n">
        <v>0</v>
      </c>
    </row>
    <row r="2359">
      <c r="A2359">
        <f>HYPERLINK("https://www.walmart.com/ip/163897622", "163897622")</f>
        <v/>
      </c>
      <c r="B2359" t="inlineStr">
        <is>
          <t>JenniWears Women's Beileise Sexy Suspender Pantyhose Stockings Black Socks - 6 Packs</t>
        </is>
      </c>
      <c r="C2359" t="inlineStr">
        <is>
          <t>JWBLSPH2010-6pcs</t>
        </is>
      </c>
      <c r="D2359" t="inlineStr">
        <is>
          <t>Pantyhose &amp; Tights</t>
        </is>
      </c>
      <c r="E2359" t="inlineStr">
        <is>
          <t>JenniWears</t>
        </is>
      </c>
      <c r="F2359" t="inlineStr">
        <is>
          <t>Optimized,Valentine</t>
        </is>
      </c>
      <c r="G2359" s="48" t="n">
        <v>0</v>
      </c>
      <c r="H2359" s="49" t="n">
        <v>0</v>
      </c>
      <c r="I2359" s="49" t="n">
        <v>0</v>
      </c>
      <c r="J2359" s="50" t="n">
        <v>0</v>
      </c>
      <c r="K2359" s="51" t="n">
        <v>0</v>
      </c>
      <c r="L2359" s="52" t="n">
        <v>0</v>
      </c>
      <c r="M2359" s="52" t="n">
        <v>0</v>
      </c>
      <c r="N2359" s="52" t="n">
        <v>0</v>
      </c>
      <c r="O2359" s="53" t="n">
        <v>0</v>
      </c>
      <c r="P2359" s="52" t="n">
        <v>0</v>
      </c>
      <c r="Q2359" s="53" t="n">
        <v>0</v>
      </c>
      <c r="R2359" s="52" t="n">
        <v>0</v>
      </c>
      <c r="S2359" s="51" t="n">
        <v>0</v>
      </c>
      <c r="T2359" s="48" t="n">
        <v>0</v>
      </c>
      <c r="U2359" s="49" t="n">
        <v>0</v>
      </c>
      <c r="V2359" s="49" t="n">
        <v>0</v>
      </c>
      <c r="W2359" s="50" t="n">
        <v>0</v>
      </c>
      <c r="X2359" s="51" t="n">
        <v>0</v>
      </c>
      <c r="Y2359" s="52" t="n">
        <v>0</v>
      </c>
      <c r="Z2359" s="52" t="n">
        <v>0</v>
      </c>
      <c r="AA2359" s="52" t="n">
        <v>0</v>
      </c>
      <c r="AB2359" s="53" t="n">
        <v>0</v>
      </c>
      <c r="AC2359" s="52" t="n">
        <v>0</v>
      </c>
      <c r="AD2359" s="53" t="n">
        <v>0</v>
      </c>
      <c r="AE2359" s="52" t="n">
        <v>0</v>
      </c>
      <c r="AF2359" s="51" t="n">
        <v>0</v>
      </c>
      <c r="AG2359" s="48" t="n">
        <v>0</v>
      </c>
      <c r="AH2359" s="49" t="n">
        <v>0</v>
      </c>
      <c r="AI2359" s="49" t="n">
        <v>0</v>
      </c>
      <c r="AJ2359" s="50" t="n">
        <v>0</v>
      </c>
      <c r="AK2359" s="51" t="n">
        <v>0</v>
      </c>
      <c r="AL2359" s="52" t="n">
        <v>0</v>
      </c>
      <c r="AM2359" s="52" t="n">
        <v>0</v>
      </c>
      <c r="AN2359" s="52" t="n">
        <v>0</v>
      </c>
      <c r="AO2359" s="53" t="n">
        <v>0</v>
      </c>
      <c r="AP2359" s="52" t="n">
        <v>0</v>
      </c>
      <c r="AQ2359" s="53" t="n">
        <v>0</v>
      </c>
      <c r="AR2359" s="52" t="n">
        <v>0</v>
      </c>
      <c r="AS2359" s="51" t="n">
        <v>0</v>
      </c>
      <c r="AT2359" s="48" t="n">
        <v>0</v>
      </c>
      <c r="AU2359" s="49" t="n">
        <v>0</v>
      </c>
      <c r="AV2359" s="49" t="n">
        <v>0</v>
      </c>
      <c r="AW2359" s="50" t="n">
        <v>0</v>
      </c>
      <c r="AX2359" s="51" t="n">
        <v>0</v>
      </c>
      <c r="AY2359" s="52" t="n">
        <v>0</v>
      </c>
      <c r="AZ2359" s="52" t="n">
        <v>0</v>
      </c>
      <c r="BA2359" s="52" t="n">
        <v>0</v>
      </c>
      <c r="BB2359" s="53" t="n">
        <v>0</v>
      </c>
      <c r="BC2359" s="52" t="n">
        <v>0</v>
      </c>
      <c r="BD2359" s="53" t="n">
        <v>0</v>
      </c>
      <c r="BE2359" s="52" t="n">
        <v>0</v>
      </c>
      <c r="BF2359" s="51" t="n">
        <v>0</v>
      </c>
    </row>
    <row r="2360">
      <c r="A2360">
        <f>HYPERLINK("https://www.walmart.com/ip/1639170868", "1639170868")</f>
        <v/>
      </c>
      <c r="B2360" t="inlineStr">
        <is>
          <t>Catalonia All Season Knitted Acrylic Throw Blanket, Cozy Leisure Lightweight Decorative Blanket with Fringe for Bed, Couch, Living Room, Machine Washable, Teal, 50'' × 60''</t>
        </is>
      </c>
      <c r="C2360" t="inlineStr">
        <is>
          <t>1CTBN510TL</t>
        </is>
      </c>
      <c r="D2360" t="inlineStr">
        <is>
          <t>Throws</t>
        </is>
      </c>
      <c r="E2360" t="inlineStr">
        <is>
          <t>Catalonia</t>
        </is>
      </c>
      <c r="F2360" t="inlineStr">
        <is>
          <t>Coupon_Discount,Batch 1 - TR</t>
        </is>
      </c>
      <c r="G2360" s="48" t="n">
        <v>0</v>
      </c>
      <c r="H2360" s="49" t="n">
        <v>0</v>
      </c>
      <c r="I2360" s="49" t="n">
        <v>0</v>
      </c>
      <c r="J2360" s="50" t="n">
        <v>0</v>
      </c>
      <c r="K2360" s="51" t="n">
        <v>0</v>
      </c>
      <c r="L2360" s="52" t="n">
        <v>0</v>
      </c>
      <c r="M2360" s="52" t="n">
        <v>0</v>
      </c>
      <c r="N2360" s="52" t="n">
        <v>0</v>
      </c>
      <c r="O2360" s="53" t="n">
        <v>0</v>
      </c>
      <c r="P2360" s="52" t="n">
        <v>0</v>
      </c>
      <c r="Q2360" s="53" t="n">
        <v>0</v>
      </c>
      <c r="R2360" s="52" t="n">
        <v>0</v>
      </c>
      <c r="S2360" s="51" t="n">
        <v>0</v>
      </c>
      <c r="T2360" s="48" t="n">
        <v>0</v>
      </c>
      <c r="U2360" s="49" t="n">
        <v>0</v>
      </c>
      <c r="V2360" s="49" t="n">
        <v>0</v>
      </c>
      <c r="W2360" s="50" t="n">
        <v>0</v>
      </c>
      <c r="X2360" s="51" t="n">
        <v>0</v>
      </c>
      <c r="Y2360" s="52" t="n">
        <v>0</v>
      </c>
      <c r="Z2360" s="52" t="n">
        <v>0</v>
      </c>
      <c r="AA2360" s="52" t="n">
        <v>0</v>
      </c>
      <c r="AB2360" s="53" t="n">
        <v>0</v>
      </c>
      <c r="AC2360" s="52" t="n">
        <v>0</v>
      </c>
      <c r="AD2360" s="53" t="n">
        <v>0</v>
      </c>
      <c r="AE2360" s="52" t="n">
        <v>0</v>
      </c>
      <c r="AF2360" s="51" t="n">
        <v>0</v>
      </c>
      <c r="AG2360" s="48" t="n">
        <v>0</v>
      </c>
      <c r="AH2360" s="49" t="n">
        <v>0</v>
      </c>
      <c r="AI2360" s="49" t="n">
        <v>0</v>
      </c>
      <c r="AJ2360" s="50" t="n">
        <v>0</v>
      </c>
      <c r="AK2360" s="51" t="n">
        <v>0</v>
      </c>
      <c r="AL2360" s="52" t="n">
        <v>0</v>
      </c>
      <c r="AM2360" s="52" t="n">
        <v>0</v>
      </c>
      <c r="AN2360" s="52" t="n">
        <v>0</v>
      </c>
      <c r="AO2360" s="53" t="n">
        <v>0</v>
      </c>
      <c r="AP2360" s="52" t="n">
        <v>0</v>
      </c>
      <c r="AQ2360" s="53" t="n">
        <v>0</v>
      </c>
      <c r="AR2360" s="52" t="n">
        <v>0</v>
      </c>
      <c r="AS2360" s="51" t="n">
        <v>0</v>
      </c>
      <c r="AT2360" s="48" t="n">
        <v>0</v>
      </c>
      <c r="AU2360" s="49" t="n">
        <v>0</v>
      </c>
      <c r="AV2360" s="49" t="n">
        <v>0</v>
      </c>
      <c r="AW2360" s="50" t="n">
        <v>0</v>
      </c>
      <c r="AX2360" s="51" t="n">
        <v>0</v>
      </c>
      <c r="AY2360" s="52" t="n">
        <v>0</v>
      </c>
      <c r="AZ2360" s="52" t="n">
        <v>0</v>
      </c>
      <c r="BA2360" s="52" t="n">
        <v>0</v>
      </c>
      <c r="BB2360" s="53" t="n">
        <v>0</v>
      </c>
      <c r="BC2360" s="52" t="n">
        <v>0</v>
      </c>
      <c r="BD2360" s="53" t="n">
        <v>0</v>
      </c>
      <c r="BE2360" s="52" t="n">
        <v>0</v>
      </c>
      <c r="BF2360" s="51" t="n">
        <v>0</v>
      </c>
    </row>
    <row r="2361">
      <c r="A2361">
        <f>HYPERLINK("https://www.walmart.com/ip/16392313844", "16392313844")</f>
        <v/>
      </c>
      <c r="B2361" t="inlineStr">
        <is>
          <t>Catalonia Lightweight Ladies Bathrobe, Long Summer Robe with Pockets,Soft Summer Robes for Women, Kimono Gift for Her, Green</t>
        </is>
      </c>
      <c r="C2361" t="inlineStr">
        <is>
          <t>1CTRB504GN-3</t>
        </is>
      </c>
      <c r="D2361" t="inlineStr">
        <is>
          <t>Sleepwear Robes &amp; Bathrobes</t>
        </is>
      </c>
      <c r="E2361" t="inlineStr">
        <is>
          <t>Catalonia</t>
        </is>
      </c>
      <c r="G2361" s="48" t="n">
        <v>0</v>
      </c>
      <c r="H2361" s="49" t="n">
        <v>0</v>
      </c>
      <c r="I2361" s="49" t="n">
        <v>0</v>
      </c>
      <c r="J2361" s="50" t="n">
        <v>0</v>
      </c>
      <c r="K2361" s="51" t="n">
        <v>0</v>
      </c>
      <c r="L2361" s="52" t="n">
        <v>0</v>
      </c>
      <c r="M2361" s="52" t="n">
        <v>0</v>
      </c>
      <c r="N2361" s="52" t="n">
        <v>0</v>
      </c>
      <c r="O2361" s="53" t="n">
        <v>0</v>
      </c>
      <c r="P2361" s="52" t="n">
        <v>0</v>
      </c>
      <c r="Q2361" s="53" t="n">
        <v>0</v>
      </c>
      <c r="R2361" s="52" t="n">
        <v>0</v>
      </c>
      <c r="S2361" s="51" t="n">
        <v>0</v>
      </c>
      <c r="T2361" s="48" t="n">
        <v>0</v>
      </c>
      <c r="U2361" s="49" t="n">
        <v>0</v>
      </c>
      <c r="V2361" s="49" t="n">
        <v>0</v>
      </c>
      <c r="W2361" s="50" t="n">
        <v>0</v>
      </c>
      <c r="X2361" s="51" t="n">
        <v>0</v>
      </c>
      <c r="Y2361" s="52" t="n">
        <v>0</v>
      </c>
      <c r="Z2361" s="52" t="n">
        <v>0</v>
      </c>
      <c r="AA2361" s="52" t="n">
        <v>0</v>
      </c>
      <c r="AB2361" s="53" t="n">
        <v>0</v>
      </c>
      <c r="AC2361" s="52" t="n">
        <v>0</v>
      </c>
      <c r="AD2361" s="53" t="n">
        <v>0</v>
      </c>
      <c r="AE2361" s="52" t="n">
        <v>0</v>
      </c>
      <c r="AF2361" s="51" t="n">
        <v>0</v>
      </c>
      <c r="AG2361" s="48" t="n">
        <v>0</v>
      </c>
      <c r="AH2361" s="49" t="n">
        <v>0</v>
      </c>
      <c r="AI2361" s="49" t="n">
        <v>0</v>
      </c>
      <c r="AJ2361" s="50" t="n">
        <v>0</v>
      </c>
      <c r="AK2361" s="51" t="n">
        <v>0</v>
      </c>
      <c r="AL2361" s="52" t="n">
        <v>0</v>
      </c>
      <c r="AM2361" s="52" t="n">
        <v>0</v>
      </c>
      <c r="AN2361" s="52" t="n">
        <v>0</v>
      </c>
      <c r="AO2361" s="53" t="n">
        <v>0</v>
      </c>
      <c r="AP2361" s="52" t="n">
        <v>0</v>
      </c>
      <c r="AQ2361" s="53" t="n">
        <v>0</v>
      </c>
      <c r="AR2361" s="52" t="n">
        <v>0</v>
      </c>
      <c r="AS2361" s="51" t="n">
        <v>0</v>
      </c>
      <c r="AT2361" s="48" t="n">
        <v>0</v>
      </c>
      <c r="AU2361" s="49" t="n">
        <v>0</v>
      </c>
      <c r="AV2361" s="49" t="n">
        <v>0</v>
      </c>
      <c r="AW2361" s="50" t="n">
        <v>0</v>
      </c>
      <c r="AX2361" s="51" t="n">
        <v>0</v>
      </c>
      <c r="AY2361" s="52" t="n">
        <v>0</v>
      </c>
      <c r="AZ2361" s="52" t="n">
        <v>0</v>
      </c>
      <c r="BA2361" s="52" t="n">
        <v>0</v>
      </c>
      <c r="BB2361" s="53" t="n">
        <v>0</v>
      </c>
      <c r="BC2361" s="52" t="n">
        <v>0</v>
      </c>
      <c r="BD2361" s="53" t="n">
        <v>0</v>
      </c>
      <c r="BE2361" s="52" t="n">
        <v>0</v>
      </c>
      <c r="BF2361" s="51" t="n">
        <v>0</v>
      </c>
    </row>
    <row r="2362">
      <c r="A2362">
        <f>HYPERLINK("https://www.walmart.com/ip/163997062", "163997062")</f>
        <v/>
      </c>
      <c r="B2362" t="inlineStr">
        <is>
          <t>JenniWears Adjustable Female Sexy Lace Garter Belt High Waisted Suspender for Party Cosplay Activity, Black, 3 Pack</t>
        </is>
      </c>
      <c r="C2362" t="inlineStr">
        <is>
          <t>JWBLSPH5003-3pcs</t>
        </is>
      </c>
      <c r="D2362" t="inlineStr">
        <is>
          <t>Garter Belts</t>
        </is>
      </c>
      <c r="E2362" t="inlineStr">
        <is>
          <t>JenniWears</t>
        </is>
      </c>
      <c r="F2362" t="inlineStr">
        <is>
          <t>Optimized,Valentine</t>
        </is>
      </c>
      <c r="G2362" s="48" t="n">
        <v>0</v>
      </c>
      <c r="H2362" s="49" t="n">
        <v>0</v>
      </c>
      <c r="I2362" s="49" t="n">
        <v>0</v>
      </c>
      <c r="J2362" s="50" t="n">
        <v>0</v>
      </c>
      <c r="K2362" s="51" t="n">
        <v>0</v>
      </c>
      <c r="L2362" s="52" t="n">
        <v>0</v>
      </c>
      <c r="M2362" s="52" t="n">
        <v>0</v>
      </c>
      <c r="N2362" s="52" t="n">
        <v>0</v>
      </c>
      <c r="O2362" s="53" t="n">
        <v>0</v>
      </c>
      <c r="P2362" s="52" t="n">
        <v>0</v>
      </c>
      <c r="Q2362" s="53" t="n">
        <v>0</v>
      </c>
      <c r="R2362" s="52" t="n">
        <v>0</v>
      </c>
      <c r="S2362" s="51" t="n">
        <v>0</v>
      </c>
      <c r="T2362" s="48" t="n">
        <v>0</v>
      </c>
      <c r="U2362" s="49" t="n">
        <v>0</v>
      </c>
      <c r="V2362" s="49" t="n">
        <v>0</v>
      </c>
      <c r="W2362" s="50" t="n">
        <v>0</v>
      </c>
      <c r="X2362" s="51" t="n">
        <v>0</v>
      </c>
      <c r="Y2362" s="52" t="n">
        <v>0</v>
      </c>
      <c r="Z2362" s="52" t="n">
        <v>0</v>
      </c>
      <c r="AA2362" s="52" t="n">
        <v>0</v>
      </c>
      <c r="AB2362" s="53" t="n">
        <v>0</v>
      </c>
      <c r="AC2362" s="52" t="n">
        <v>0</v>
      </c>
      <c r="AD2362" s="53" t="n">
        <v>0</v>
      </c>
      <c r="AE2362" s="52" t="n">
        <v>0</v>
      </c>
      <c r="AF2362" s="51" t="n">
        <v>0</v>
      </c>
      <c r="AG2362" s="48" t="n">
        <v>0</v>
      </c>
      <c r="AH2362" s="49" t="n">
        <v>0</v>
      </c>
      <c r="AI2362" s="49" t="n">
        <v>0</v>
      </c>
      <c r="AJ2362" s="50" t="n">
        <v>0</v>
      </c>
      <c r="AK2362" s="51" t="n">
        <v>0</v>
      </c>
      <c r="AL2362" s="52" t="n">
        <v>0</v>
      </c>
      <c r="AM2362" s="52" t="n">
        <v>0</v>
      </c>
      <c r="AN2362" s="52" t="n">
        <v>0</v>
      </c>
      <c r="AO2362" s="53" t="n">
        <v>0</v>
      </c>
      <c r="AP2362" s="52" t="n">
        <v>0</v>
      </c>
      <c r="AQ2362" s="53" t="n">
        <v>0</v>
      </c>
      <c r="AR2362" s="52" t="n">
        <v>0</v>
      </c>
      <c r="AS2362" s="51" t="n">
        <v>0</v>
      </c>
      <c r="AT2362" s="48" t="n">
        <v>0</v>
      </c>
      <c r="AU2362" s="49" t="n">
        <v>0</v>
      </c>
      <c r="AV2362" s="49" t="n">
        <v>0</v>
      </c>
      <c r="AW2362" s="50" t="n">
        <v>0</v>
      </c>
      <c r="AX2362" s="51" t="n">
        <v>0</v>
      </c>
      <c r="AY2362" s="52" t="n">
        <v>0</v>
      </c>
      <c r="AZ2362" s="52" t="n">
        <v>0</v>
      </c>
      <c r="BA2362" s="52" t="n">
        <v>0</v>
      </c>
      <c r="BB2362" s="53" t="n">
        <v>0</v>
      </c>
      <c r="BC2362" s="52" t="n">
        <v>0</v>
      </c>
      <c r="BD2362" s="53" t="n">
        <v>0</v>
      </c>
      <c r="BE2362" s="52" t="n">
        <v>0</v>
      </c>
      <c r="BF2362" s="51" t="n">
        <v>0</v>
      </c>
    </row>
    <row r="2363">
      <c r="A2363">
        <f>HYPERLINK("https://www.walmart.com/ip/164008515", "164008515")</f>
        <v/>
      </c>
      <c r="B2363" t="inlineStr">
        <is>
          <t>KC Caps Winter Camo Army Style Surplus Beanie Cap</t>
        </is>
      </c>
      <c r="C2363" t="inlineStr">
        <is>
          <t>KCW1721CAMO</t>
        </is>
      </c>
      <c r="D2363" t="inlineStr">
        <is>
          <t>Hats</t>
        </is>
      </c>
      <c r="E2363" t="inlineStr">
        <is>
          <t>KC Caps</t>
        </is>
      </c>
      <c r="F2363" t="inlineStr">
        <is>
          <t>Batch 1 - TR</t>
        </is>
      </c>
      <c r="G2363" s="48" t="n">
        <v>0</v>
      </c>
      <c r="H2363" s="49" t="n">
        <v>0</v>
      </c>
      <c r="I2363" s="49" t="n">
        <v>0</v>
      </c>
      <c r="J2363" s="50" t="n">
        <v>0</v>
      </c>
      <c r="K2363" s="51" t="n">
        <v>0</v>
      </c>
      <c r="L2363" s="52" t="n">
        <v>0</v>
      </c>
      <c r="M2363" s="52" t="n">
        <v>0</v>
      </c>
      <c r="N2363" s="52" t="n">
        <v>0</v>
      </c>
      <c r="O2363" s="53" t="n">
        <v>0</v>
      </c>
      <c r="P2363" s="52" t="n">
        <v>0</v>
      </c>
      <c r="Q2363" s="53" t="n">
        <v>0</v>
      </c>
      <c r="R2363" s="52" t="n">
        <v>0</v>
      </c>
      <c r="S2363" s="51" t="n">
        <v>0</v>
      </c>
      <c r="T2363" s="48" t="n">
        <v>0</v>
      </c>
      <c r="U2363" s="49" t="n">
        <v>0</v>
      </c>
      <c r="V2363" s="49" t="n">
        <v>0</v>
      </c>
      <c r="W2363" s="50" t="n">
        <v>0</v>
      </c>
      <c r="X2363" s="51" t="n">
        <v>0</v>
      </c>
      <c r="Y2363" s="52" t="n">
        <v>0</v>
      </c>
      <c r="Z2363" s="52" t="n">
        <v>0</v>
      </c>
      <c r="AA2363" s="52" t="n">
        <v>0</v>
      </c>
      <c r="AB2363" s="53" t="n">
        <v>0</v>
      </c>
      <c r="AC2363" s="52" t="n">
        <v>0</v>
      </c>
      <c r="AD2363" s="53" t="n">
        <v>0</v>
      </c>
      <c r="AE2363" s="52" t="n">
        <v>0</v>
      </c>
      <c r="AF2363" s="51" t="n">
        <v>0</v>
      </c>
      <c r="AG2363" s="48" t="n">
        <v>0</v>
      </c>
      <c r="AH2363" s="49" t="n">
        <v>0</v>
      </c>
      <c r="AI2363" s="49" t="n">
        <v>0</v>
      </c>
      <c r="AJ2363" s="50" t="n">
        <v>0</v>
      </c>
      <c r="AK2363" s="51" t="n">
        <v>0</v>
      </c>
      <c r="AL2363" s="52" t="n">
        <v>0</v>
      </c>
      <c r="AM2363" s="52" t="n">
        <v>0</v>
      </c>
      <c r="AN2363" s="52" t="n">
        <v>0</v>
      </c>
      <c r="AO2363" s="53" t="n">
        <v>0</v>
      </c>
      <c r="AP2363" s="52" t="n">
        <v>0</v>
      </c>
      <c r="AQ2363" s="53" t="n">
        <v>0</v>
      </c>
      <c r="AR2363" s="52" t="n">
        <v>0</v>
      </c>
      <c r="AS2363" s="51" t="n">
        <v>0</v>
      </c>
      <c r="AT2363" s="48" t="n">
        <v>0</v>
      </c>
      <c r="AU2363" s="49" t="n">
        <v>0</v>
      </c>
      <c r="AV2363" s="49" t="n">
        <v>0</v>
      </c>
      <c r="AW2363" s="50" t="n">
        <v>0</v>
      </c>
      <c r="AX2363" s="51" t="n">
        <v>0</v>
      </c>
      <c r="AY2363" s="52" t="n">
        <v>0</v>
      </c>
      <c r="AZ2363" s="52" t="n">
        <v>0</v>
      </c>
      <c r="BA2363" s="52" t="n">
        <v>0</v>
      </c>
      <c r="BB2363" s="53" t="n">
        <v>0</v>
      </c>
      <c r="BC2363" s="52" t="n">
        <v>0</v>
      </c>
      <c r="BD2363" s="53" t="n">
        <v>0</v>
      </c>
      <c r="BE2363" s="52" t="n">
        <v>0</v>
      </c>
      <c r="BF2363" s="51" t="n">
        <v>0</v>
      </c>
    </row>
    <row r="2364">
      <c r="A2364">
        <f>HYPERLINK("https://www.walmart.com/ip/1813176537", "1813176537")</f>
        <v/>
      </c>
      <c r="B2364" t="inlineStr">
        <is>
          <t>Unisex Hunting Fishing Cap Adjustable 3D Embroidery Baseball Hat with Air Mesh Back</t>
        </is>
      </c>
      <c r="C2364" t="inlineStr">
        <is>
          <t>1TRHT7180TREE-TBCB</t>
        </is>
      </c>
      <c r="D2364" t="inlineStr">
        <is>
          <t>Hats</t>
        </is>
      </c>
      <c r="E2364" t="inlineStr">
        <is>
          <t>Tirrinia</t>
        </is>
      </c>
      <c r="F2364" t="inlineStr">
        <is>
          <t>Batch 1 - TR</t>
        </is>
      </c>
      <c r="G2364" s="48" t="n">
        <v>0</v>
      </c>
      <c r="H2364" s="49" t="n">
        <v>0</v>
      </c>
      <c r="I2364" s="49" t="n">
        <v>0</v>
      </c>
      <c r="J2364" s="50" t="n">
        <v>0</v>
      </c>
      <c r="K2364" s="51" t="n">
        <v>0</v>
      </c>
      <c r="L2364" s="52" t="n">
        <v>0</v>
      </c>
      <c r="M2364" s="52" t="n">
        <v>0</v>
      </c>
      <c r="N2364" s="52" t="n">
        <v>0</v>
      </c>
      <c r="O2364" s="53" t="n">
        <v>0</v>
      </c>
      <c r="P2364" s="52" t="n">
        <v>0</v>
      </c>
      <c r="Q2364" s="53" t="n">
        <v>0</v>
      </c>
      <c r="R2364" s="52" t="n">
        <v>0</v>
      </c>
      <c r="S2364" s="51" t="n">
        <v>0</v>
      </c>
      <c r="T2364" s="48" t="n">
        <v>0</v>
      </c>
      <c r="U2364" s="49" t="n">
        <v>0</v>
      </c>
      <c r="V2364" s="49" t="n">
        <v>0</v>
      </c>
      <c r="W2364" s="50" t="n">
        <v>0</v>
      </c>
      <c r="X2364" s="51" t="n">
        <v>0</v>
      </c>
      <c r="Y2364" s="52" t="n">
        <v>0</v>
      </c>
      <c r="Z2364" s="52" t="n">
        <v>0</v>
      </c>
      <c r="AA2364" s="52" t="n">
        <v>0</v>
      </c>
      <c r="AB2364" s="53" t="n">
        <v>0</v>
      </c>
      <c r="AC2364" s="52" t="n">
        <v>0</v>
      </c>
      <c r="AD2364" s="53" t="n">
        <v>0</v>
      </c>
      <c r="AE2364" s="52" t="n">
        <v>0</v>
      </c>
      <c r="AF2364" s="51" t="n">
        <v>0</v>
      </c>
      <c r="AG2364" s="48" t="n">
        <v>0</v>
      </c>
      <c r="AH2364" s="49" t="n">
        <v>0</v>
      </c>
      <c r="AI2364" s="49" t="n">
        <v>0</v>
      </c>
      <c r="AJ2364" s="50" t="n">
        <v>0</v>
      </c>
      <c r="AK2364" s="51" t="n">
        <v>0</v>
      </c>
      <c r="AL2364" s="52" t="n">
        <v>0</v>
      </c>
      <c r="AM2364" s="52" t="n">
        <v>0</v>
      </c>
      <c r="AN2364" s="52" t="n">
        <v>0</v>
      </c>
      <c r="AO2364" s="53" t="n">
        <v>0</v>
      </c>
      <c r="AP2364" s="52" t="n">
        <v>0</v>
      </c>
      <c r="AQ2364" s="53" t="n">
        <v>0</v>
      </c>
      <c r="AR2364" s="52" t="n">
        <v>0</v>
      </c>
      <c r="AS2364" s="51" t="n">
        <v>0</v>
      </c>
      <c r="AT2364" s="48" t="n">
        <v>15.99</v>
      </c>
      <c r="AU2364" s="49" t="n">
        <v>1</v>
      </c>
      <c r="AV2364" s="49" t="n">
        <v>0</v>
      </c>
      <c r="AW2364" s="50" t="n">
        <v>0</v>
      </c>
      <c r="AX2364" s="51" t="n">
        <v>0</v>
      </c>
      <c r="AY2364" s="52" t="n">
        <v>0</v>
      </c>
      <c r="AZ2364" s="52" t="n">
        <v>0</v>
      </c>
      <c r="BA2364" s="52" t="n">
        <v>0</v>
      </c>
      <c r="BB2364" s="53" t="n">
        <v>0</v>
      </c>
      <c r="BC2364" s="52" t="n">
        <v>0</v>
      </c>
      <c r="BD2364" s="53" t="n">
        <v>0</v>
      </c>
      <c r="BE2364" s="52" t="n">
        <v>15.99</v>
      </c>
      <c r="BF2364" s="51" t="n">
        <v>0</v>
      </c>
    </row>
    <row r="2365">
      <c r="A2365">
        <f>HYPERLINK("https://www.walmart.com/ip/181224146", "181224146")</f>
        <v/>
      </c>
      <c r="B2365" t="inlineStr">
        <is>
          <t>KC Caps Youth Washed Bucket Hat One Size Fit Most</t>
        </is>
      </c>
      <c r="C2365" t="inlineStr">
        <is>
          <t>KC9180BK-Y</t>
        </is>
      </c>
      <c r="D2365" t="inlineStr">
        <is>
          <t>Hats</t>
        </is>
      </c>
      <c r="E2365" t="inlineStr">
        <is>
          <t>KC Caps</t>
        </is>
      </c>
      <c r="F2365" t="inlineStr">
        <is>
          <t>Batch 1 - TR</t>
        </is>
      </c>
      <c r="G2365" s="48" t="n">
        <v>0</v>
      </c>
      <c r="H2365" s="49" t="n">
        <v>0</v>
      </c>
      <c r="I2365" s="49" t="n">
        <v>0</v>
      </c>
      <c r="J2365" s="50" t="n">
        <v>0</v>
      </c>
      <c r="K2365" s="51" t="n">
        <v>0</v>
      </c>
      <c r="L2365" s="52" t="n">
        <v>0</v>
      </c>
      <c r="M2365" s="52" t="n">
        <v>0</v>
      </c>
      <c r="N2365" s="52" t="n">
        <v>0</v>
      </c>
      <c r="O2365" s="53" t="n">
        <v>0</v>
      </c>
      <c r="P2365" s="52" t="n">
        <v>0</v>
      </c>
      <c r="Q2365" s="53" t="n">
        <v>0</v>
      </c>
      <c r="R2365" s="52" t="n">
        <v>0</v>
      </c>
      <c r="S2365" s="51" t="n">
        <v>0</v>
      </c>
      <c r="T2365" s="48" t="n">
        <v>0</v>
      </c>
      <c r="U2365" s="49" t="n">
        <v>0</v>
      </c>
      <c r="V2365" s="49" t="n">
        <v>0</v>
      </c>
      <c r="W2365" s="50" t="n">
        <v>0</v>
      </c>
      <c r="X2365" s="51" t="n">
        <v>0</v>
      </c>
      <c r="Y2365" s="52" t="n">
        <v>0</v>
      </c>
      <c r="Z2365" s="52" t="n">
        <v>0</v>
      </c>
      <c r="AA2365" s="52" t="n">
        <v>0</v>
      </c>
      <c r="AB2365" s="53" t="n">
        <v>0</v>
      </c>
      <c r="AC2365" s="52" t="n">
        <v>0</v>
      </c>
      <c r="AD2365" s="53" t="n">
        <v>0</v>
      </c>
      <c r="AE2365" s="52" t="n">
        <v>0</v>
      </c>
      <c r="AF2365" s="51" t="n">
        <v>0</v>
      </c>
      <c r="AG2365" s="48" t="n">
        <v>0</v>
      </c>
      <c r="AH2365" s="49" t="n">
        <v>0</v>
      </c>
      <c r="AI2365" s="49" t="n">
        <v>0</v>
      </c>
      <c r="AJ2365" s="50" t="n">
        <v>0</v>
      </c>
      <c r="AK2365" s="51" t="n">
        <v>0</v>
      </c>
      <c r="AL2365" s="52" t="n">
        <v>0</v>
      </c>
      <c r="AM2365" s="52" t="n">
        <v>0</v>
      </c>
      <c r="AN2365" s="52" t="n">
        <v>0</v>
      </c>
      <c r="AO2365" s="53" t="n">
        <v>0</v>
      </c>
      <c r="AP2365" s="52" t="n">
        <v>0</v>
      </c>
      <c r="AQ2365" s="53" t="n">
        <v>0</v>
      </c>
      <c r="AR2365" s="52" t="n">
        <v>0</v>
      </c>
      <c r="AS2365" s="51" t="n">
        <v>0</v>
      </c>
      <c r="AT2365" s="48" t="n">
        <v>0</v>
      </c>
      <c r="AU2365" s="49" t="n">
        <v>0</v>
      </c>
      <c r="AV2365" s="49" t="n">
        <v>0</v>
      </c>
      <c r="AW2365" s="50" t="n">
        <v>0</v>
      </c>
      <c r="AX2365" s="51" t="n">
        <v>0</v>
      </c>
      <c r="AY2365" s="52" t="n">
        <v>0</v>
      </c>
      <c r="AZ2365" s="52" t="n">
        <v>0</v>
      </c>
      <c r="BA2365" s="52" t="n">
        <v>0</v>
      </c>
      <c r="BB2365" s="53" t="n">
        <v>0</v>
      </c>
      <c r="BC2365" s="52" t="n">
        <v>0</v>
      </c>
      <c r="BD2365" s="53" t="n">
        <v>0</v>
      </c>
      <c r="BE2365" s="52" t="n">
        <v>0</v>
      </c>
      <c r="BF2365" s="51" t="n">
        <v>0</v>
      </c>
    </row>
    <row r="2366">
      <c r="A2366">
        <f>HYPERLINK("https://www.walmart.com/ip/190880400", "190880400")</f>
        <v/>
      </c>
      <c r="B2366" t="inlineStr">
        <is>
          <t>Sun Blocker UV Protection Hat Unisex Wide Brim Large Bill Neck Flap Mesh Nets with Adjustable Drawstring Khaki</t>
        </is>
      </c>
      <c r="C2366" t="inlineStr">
        <is>
          <t>KC-S9152-KK</t>
        </is>
      </c>
      <c r="D2366" t="inlineStr">
        <is>
          <t>Hats</t>
        </is>
      </c>
      <c r="E2366" t="inlineStr">
        <is>
          <t>Tirrinia</t>
        </is>
      </c>
      <c r="F2366" t="inlineStr">
        <is>
          <t>Hats,Batch 1 - TR</t>
        </is>
      </c>
      <c r="G2366" s="48" t="n">
        <v>0</v>
      </c>
      <c r="H2366" s="49" t="n">
        <v>0</v>
      </c>
      <c r="I2366" s="49" t="n">
        <v>3</v>
      </c>
      <c r="J2366" s="50" t="n">
        <v>0</v>
      </c>
      <c r="K2366" s="51" t="n">
        <v>11</v>
      </c>
      <c r="L2366" s="52" t="n">
        <v>2.2</v>
      </c>
      <c r="M2366" s="52" t="n">
        <v>0</v>
      </c>
      <c r="N2366" s="52" t="n">
        <v>0</v>
      </c>
      <c r="O2366" s="53" t="n">
        <v>0.0012</v>
      </c>
      <c r="P2366" s="52" t="n">
        <v>0.2</v>
      </c>
      <c r="Q2366" s="53" t="n">
        <v>0</v>
      </c>
      <c r="R2366" s="52" t="n">
        <v>0</v>
      </c>
      <c r="S2366" s="51" t="n">
        <v>8870</v>
      </c>
      <c r="T2366" s="48" t="n">
        <v>0</v>
      </c>
      <c r="U2366" s="49" t="n">
        <v>0</v>
      </c>
      <c r="V2366" s="49" t="n">
        <v>2</v>
      </c>
      <c r="W2366" s="50" t="n">
        <v>0</v>
      </c>
      <c r="X2366" s="51" t="n">
        <v>12</v>
      </c>
      <c r="Y2366" s="52" t="n">
        <v>2.4</v>
      </c>
      <c r="Z2366" s="52" t="n">
        <v>47.97</v>
      </c>
      <c r="AA2366" s="52" t="n">
        <v>19.99</v>
      </c>
      <c r="AB2366" s="53" t="n">
        <v>0.0013</v>
      </c>
      <c r="AC2366" s="52" t="n">
        <v>0.2</v>
      </c>
      <c r="AD2366" s="53" t="n">
        <v>0</v>
      </c>
      <c r="AE2366" s="52" t="n">
        <v>0</v>
      </c>
      <c r="AF2366" s="51" t="n">
        <v>8984</v>
      </c>
      <c r="AG2366" s="48" t="n">
        <v>14.99</v>
      </c>
      <c r="AH2366" s="49" t="n">
        <v>1</v>
      </c>
      <c r="AI2366" s="49" t="n">
        <v>6</v>
      </c>
      <c r="AJ2366" s="50" t="n">
        <v>0.1666666666666667</v>
      </c>
      <c r="AK2366" s="51" t="n">
        <v>8</v>
      </c>
      <c r="AL2366" s="52" t="n">
        <v>1.6</v>
      </c>
      <c r="AM2366" s="52" t="n">
        <v>14.99</v>
      </c>
      <c r="AN2366" s="52" t="n">
        <v>9.369999999999999</v>
      </c>
      <c r="AO2366" s="53" t="n">
        <v>0.0007</v>
      </c>
      <c r="AP2366" s="52" t="n">
        <v>0.2</v>
      </c>
      <c r="AQ2366" s="53" t="n">
        <v>0.1067378252168112</v>
      </c>
      <c r="AR2366" s="52" t="n">
        <v>14.99</v>
      </c>
      <c r="AS2366" s="51" t="n">
        <v>11202</v>
      </c>
      <c r="AT2366" s="48" t="n">
        <v>29.98</v>
      </c>
      <c r="AU2366" s="49" t="n">
        <v>2</v>
      </c>
      <c r="AV2366" s="49" t="n">
        <v>5</v>
      </c>
      <c r="AW2366" s="50" t="n">
        <v>0.4</v>
      </c>
      <c r="AX2366" s="51" t="n">
        <v>23</v>
      </c>
      <c r="AY2366" s="52" t="n">
        <v>4.600000000000001</v>
      </c>
      <c r="AZ2366" s="52" t="n">
        <v>14.99</v>
      </c>
      <c r="BA2366" s="52" t="n">
        <v>3.26</v>
      </c>
      <c r="BB2366" s="53" t="n">
        <v>0.0022</v>
      </c>
      <c r="BC2366" s="52" t="n">
        <v>0.2</v>
      </c>
      <c r="BD2366" s="53" t="n">
        <v>0.1534356237491661</v>
      </c>
      <c r="BE2366" s="52" t="n">
        <v>14.99</v>
      </c>
      <c r="BF2366" s="51" t="n">
        <v>10271</v>
      </c>
    </row>
    <row r="2367">
      <c r="A2367">
        <f>HYPERLINK("https://www.walmart.com/ip/1944362249", "1944362249")</f>
        <v/>
      </c>
      <c r="B2367" t="inlineStr">
        <is>
          <t>Every Day is Christmas Glass Blown Ornaments Cute Hand Made Figurines Tree Decoration, Teacher Pens</t>
        </is>
      </c>
      <c r="C2367" t="inlineStr">
        <is>
          <t>EDC-FIGURINE-TEACHERPENS</t>
        </is>
      </c>
      <c r="D2367" t="inlineStr">
        <is>
          <t>Ornaments</t>
        </is>
      </c>
      <c r="E2367" t="inlineStr">
        <is>
          <t>Every Day is Christmas</t>
        </is>
      </c>
      <c r="G2367" s="48" t="n">
        <v>0</v>
      </c>
      <c r="H2367" s="49" t="n">
        <v>0</v>
      </c>
      <c r="I2367" s="49" t="n">
        <v>0</v>
      </c>
      <c r="J2367" s="50" t="n">
        <v>0</v>
      </c>
      <c r="K2367" s="51" t="n">
        <v>0</v>
      </c>
      <c r="L2367" s="52" t="n">
        <v>0</v>
      </c>
      <c r="M2367" s="52" t="n">
        <v>0</v>
      </c>
      <c r="N2367" s="52" t="n">
        <v>0</v>
      </c>
      <c r="O2367" s="53" t="n">
        <v>0</v>
      </c>
      <c r="P2367" s="52" t="n">
        <v>0</v>
      </c>
      <c r="Q2367" s="53" t="n">
        <v>0</v>
      </c>
      <c r="R2367" s="52" t="n">
        <v>0</v>
      </c>
      <c r="S2367" s="51" t="n">
        <v>0</v>
      </c>
      <c r="T2367" s="48" t="n">
        <v>0</v>
      </c>
      <c r="U2367" s="49" t="n">
        <v>0</v>
      </c>
      <c r="V2367" s="49" t="n">
        <v>0</v>
      </c>
      <c r="W2367" s="50" t="n">
        <v>0</v>
      </c>
      <c r="X2367" s="51" t="n">
        <v>0</v>
      </c>
      <c r="Y2367" s="52" t="n">
        <v>0</v>
      </c>
      <c r="Z2367" s="52" t="n">
        <v>0</v>
      </c>
      <c r="AA2367" s="52" t="n">
        <v>0</v>
      </c>
      <c r="AB2367" s="53" t="n">
        <v>0</v>
      </c>
      <c r="AC2367" s="52" t="n">
        <v>0</v>
      </c>
      <c r="AD2367" s="53" t="n">
        <v>0</v>
      </c>
      <c r="AE2367" s="52" t="n">
        <v>0</v>
      </c>
      <c r="AF2367" s="51" t="n">
        <v>0</v>
      </c>
      <c r="AG2367" s="48" t="n">
        <v>0</v>
      </c>
      <c r="AH2367" s="49" t="n">
        <v>0</v>
      </c>
      <c r="AI2367" s="49" t="n">
        <v>0</v>
      </c>
      <c r="AJ2367" s="50" t="n">
        <v>0</v>
      </c>
      <c r="AK2367" s="51" t="n">
        <v>0</v>
      </c>
      <c r="AL2367" s="52" t="n">
        <v>0</v>
      </c>
      <c r="AM2367" s="52" t="n">
        <v>0</v>
      </c>
      <c r="AN2367" s="52" t="n">
        <v>0</v>
      </c>
      <c r="AO2367" s="53" t="n">
        <v>0</v>
      </c>
      <c r="AP2367" s="52" t="n">
        <v>0</v>
      </c>
      <c r="AQ2367" s="53" t="n">
        <v>0</v>
      </c>
      <c r="AR2367" s="52" t="n">
        <v>0</v>
      </c>
      <c r="AS2367" s="51" t="n">
        <v>0</v>
      </c>
      <c r="AT2367" s="48" t="n">
        <v>0</v>
      </c>
      <c r="AU2367" s="49" t="n">
        <v>0</v>
      </c>
      <c r="AV2367" s="49" t="n">
        <v>0</v>
      </c>
      <c r="AW2367" s="50" t="n">
        <v>0</v>
      </c>
      <c r="AX2367" s="51" t="n">
        <v>0</v>
      </c>
      <c r="AY2367" s="52" t="n">
        <v>0</v>
      </c>
      <c r="AZ2367" s="52" t="n">
        <v>0</v>
      </c>
      <c r="BA2367" s="52" t="n">
        <v>0</v>
      </c>
      <c r="BB2367" s="53" t="n">
        <v>0</v>
      </c>
      <c r="BC2367" s="52" t="n">
        <v>0</v>
      </c>
      <c r="BD2367" s="53" t="n">
        <v>0</v>
      </c>
      <c r="BE2367" s="52" t="n">
        <v>0</v>
      </c>
      <c r="BF2367" s="51" t="n">
        <v>0</v>
      </c>
    </row>
    <row r="2368">
      <c r="A2368">
        <f>HYPERLINK("https://www.walmart.com/ip/193064340", "193064340")</f>
        <v/>
      </c>
      <c r="B2368" t="inlineStr">
        <is>
          <t>Tirrinia Blue Buffalo Plaid Fleece Blanket TV Throw 50" x 60", Super Soft Warm Comfy Flannel Fleece Bedding Couch Cabin Throw Decorative Blankets</t>
        </is>
      </c>
      <c r="C2368" t="inlineStr">
        <is>
          <t>1TRBF576PBL</t>
        </is>
      </c>
      <c r="D2368" t="inlineStr">
        <is>
          <t>Throws</t>
        </is>
      </c>
      <c r="E2368" t="inlineStr">
        <is>
          <t>Tirrinia</t>
        </is>
      </c>
      <c r="F2368" t="inlineStr">
        <is>
          <t>Q2-Target,WFS,Coupon_Discount,WFS Item,Fleece Blankets</t>
        </is>
      </c>
      <c r="G2368" s="48" t="n">
        <v>0</v>
      </c>
      <c r="H2368" s="49" t="n">
        <v>0</v>
      </c>
      <c r="I2368" s="49" t="n">
        <v>0</v>
      </c>
      <c r="J2368" s="50" t="n">
        <v>0</v>
      </c>
      <c r="K2368" s="51" t="n">
        <v>0</v>
      </c>
      <c r="L2368" s="52" t="n">
        <v>0</v>
      </c>
      <c r="M2368" s="52" t="n">
        <v>0</v>
      </c>
      <c r="N2368" s="52" t="n">
        <v>0</v>
      </c>
      <c r="O2368" s="53" t="n">
        <v>0</v>
      </c>
      <c r="P2368" s="52" t="n">
        <v>0</v>
      </c>
      <c r="Q2368" s="53" t="n">
        <v>0</v>
      </c>
      <c r="R2368" s="52" t="n">
        <v>0</v>
      </c>
      <c r="S2368" s="51" t="n">
        <v>0</v>
      </c>
      <c r="T2368" s="48" t="n">
        <v>0</v>
      </c>
      <c r="U2368" s="49" t="n">
        <v>0</v>
      </c>
      <c r="V2368" s="49" t="n">
        <v>0</v>
      </c>
      <c r="W2368" s="50" t="n">
        <v>0</v>
      </c>
      <c r="X2368" s="51" t="n">
        <v>0</v>
      </c>
      <c r="Y2368" s="52" t="n">
        <v>0</v>
      </c>
      <c r="Z2368" s="52" t="n">
        <v>0</v>
      </c>
      <c r="AA2368" s="52" t="n">
        <v>0</v>
      </c>
      <c r="AB2368" s="53" t="n">
        <v>0</v>
      </c>
      <c r="AC2368" s="52" t="n">
        <v>0</v>
      </c>
      <c r="AD2368" s="53" t="n">
        <v>0</v>
      </c>
      <c r="AE2368" s="52" t="n">
        <v>0</v>
      </c>
      <c r="AF2368" s="51" t="n">
        <v>0</v>
      </c>
      <c r="AG2368" s="48" t="n">
        <v>0</v>
      </c>
      <c r="AH2368" s="49" t="n">
        <v>0</v>
      </c>
      <c r="AI2368" s="49" t="n">
        <v>0</v>
      </c>
      <c r="AJ2368" s="50" t="n">
        <v>0</v>
      </c>
      <c r="AK2368" s="51" t="n">
        <v>0</v>
      </c>
      <c r="AL2368" s="52" t="n">
        <v>0</v>
      </c>
      <c r="AM2368" s="52" t="n">
        <v>0</v>
      </c>
      <c r="AN2368" s="52" t="n">
        <v>0</v>
      </c>
      <c r="AO2368" s="53" t="n">
        <v>0</v>
      </c>
      <c r="AP2368" s="52" t="n">
        <v>0</v>
      </c>
      <c r="AQ2368" s="53" t="n">
        <v>0</v>
      </c>
      <c r="AR2368" s="52" t="n">
        <v>0</v>
      </c>
      <c r="AS2368" s="51" t="n">
        <v>0</v>
      </c>
      <c r="AT2368" s="48" t="n">
        <v>0</v>
      </c>
      <c r="AU2368" s="49" t="n">
        <v>0</v>
      </c>
      <c r="AV2368" s="49" t="n">
        <v>0</v>
      </c>
      <c r="AW2368" s="50" t="n">
        <v>0</v>
      </c>
      <c r="AX2368" s="51" t="n">
        <v>0</v>
      </c>
      <c r="AY2368" s="52" t="n">
        <v>0</v>
      </c>
      <c r="AZ2368" s="52" t="n">
        <v>0</v>
      </c>
      <c r="BA2368" s="52" t="n">
        <v>0</v>
      </c>
      <c r="BB2368" s="53" t="n">
        <v>0</v>
      </c>
      <c r="BC2368" s="52" t="n">
        <v>0</v>
      </c>
      <c r="BD2368" s="53" t="n">
        <v>0</v>
      </c>
      <c r="BE2368" s="52" t="n">
        <v>0</v>
      </c>
      <c r="BF2368" s="51" t="n">
        <v>0</v>
      </c>
    </row>
    <row r="2369">
      <c r="A2369">
        <f>HYPERLINK("https://www.walmart.com/ip/193078391", "193078391")</f>
        <v/>
      </c>
      <c r="B2369" t="inlineStr">
        <is>
          <t>JenniWears Women's Black Open Crotch Suspender Sexy Bodystocking Lingerie</t>
        </is>
      </c>
      <c r="C2369" t="inlineStr">
        <is>
          <t>JWBS8825</t>
        </is>
      </c>
      <c r="D2369" t="inlineStr">
        <is>
          <t>Teddies &amp; Bodystockings</t>
        </is>
      </c>
      <c r="E2369" t="inlineStr">
        <is>
          <t>JenniWears</t>
        </is>
      </c>
      <c r="F2369" t="inlineStr">
        <is>
          <t>Valentine,WFS Item</t>
        </is>
      </c>
      <c r="G2369" s="48" t="n">
        <v>0</v>
      </c>
      <c r="H2369" s="49" t="n">
        <v>0</v>
      </c>
      <c r="I2369" s="49" t="n">
        <v>0</v>
      </c>
      <c r="J2369" s="50" t="n">
        <v>0</v>
      </c>
      <c r="K2369" s="51" t="n">
        <v>0</v>
      </c>
      <c r="L2369" s="52" t="n">
        <v>0</v>
      </c>
      <c r="M2369" s="52" t="n">
        <v>0</v>
      </c>
      <c r="N2369" s="52" t="n">
        <v>0</v>
      </c>
      <c r="O2369" s="53" t="n">
        <v>0</v>
      </c>
      <c r="P2369" s="52" t="n">
        <v>0</v>
      </c>
      <c r="Q2369" s="53" t="n">
        <v>0</v>
      </c>
      <c r="R2369" s="52" t="n">
        <v>0</v>
      </c>
      <c r="S2369" s="51" t="n">
        <v>0</v>
      </c>
      <c r="T2369" s="48" t="n">
        <v>0</v>
      </c>
      <c r="U2369" s="49" t="n">
        <v>0</v>
      </c>
      <c r="V2369" s="49" t="n">
        <v>0</v>
      </c>
      <c r="W2369" s="50" t="n">
        <v>0</v>
      </c>
      <c r="X2369" s="51" t="n">
        <v>0</v>
      </c>
      <c r="Y2369" s="52" t="n">
        <v>0</v>
      </c>
      <c r="Z2369" s="52" t="n">
        <v>0</v>
      </c>
      <c r="AA2369" s="52" t="n">
        <v>0</v>
      </c>
      <c r="AB2369" s="53" t="n">
        <v>0</v>
      </c>
      <c r="AC2369" s="52" t="n">
        <v>0</v>
      </c>
      <c r="AD2369" s="53" t="n">
        <v>0</v>
      </c>
      <c r="AE2369" s="52" t="n">
        <v>0</v>
      </c>
      <c r="AF2369" s="51" t="n">
        <v>0</v>
      </c>
      <c r="AG2369" s="48" t="n">
        <v>0</v>
      </c>
      <c r="AH2369" s="49" t="n">
        <v>0</v>
      </c>
      <c r="AI2369" s="49" t="n">
        <v>0</v>
      </c>
      <c r="AJ2369" s="50" t="n">
        <v>0</v>
      </c>
      <c r="AK2369" s="51" t="n">
        <v>0</v>
      </c>
      <c r="AL2369" s="52" t="n">
        <v>0</v>
      </c>
      <c r="AM2369" s="52" t="n">
        <v>0</v>
      </c>
      <c r="AN2369" s="52" t="n">
        <v>0</v>
      </c>
      <c r="AO2369" s="53" t="n">
        <v>0</v>
      </c>
      <c r="AP2369" s="52" t="n">
        <v>0</v>
      </c>
      <c r="AQ2369" s="53" t="n">
        <v>0</v>
      </c>
      <c r="AR2369" s="52" t="n">
        <v>0</v>
      </c>
      <c r="AS2369" s="51" t="n">
        <v>0</v>
      </c>
      <c r="AT2369" s="48" t="n">
        <v>0</v>
      </c>
      <c r="AU2369" s="49" t="n">
        <v>0</v>
      </c>
      <c r="AV2369" s="49" t="n">
        <v>0</v>
      </c>
      <c r="AW2369" s="50" t="n">
        <v>0</v>
      </c>
      <c r="AX2369" s="51" t="n">
        <v>0</v>
      </c>
      <c r="AY2369" s="52" t="n">
        <v>0</v>
      </c>
      <c r="AZ2369" s="52" t="n">
        <v>0</v>
      </c>
      <c r="BA2369" s="52" t="n">
        <v>0</v>
      </c>
      <c r="BB2369" s="53" t="n">
        <v>0</v>
      </c>
      <c r="BC2369" s="52" t="n">
        <v>0</v>
      </c>
      <c r="BD2369" s="53" t="n">
        <v>0</v>
      </c>
      <c r="BE2369" s="52" t="n">
        <v>0</v>
      </c>
      <c r="BF2369" s="51" t="n">
        <v>0</v>
      </c>
    </row>
    <row r="2370">
      <c r="A2370">
        <f>HYPERLINK("https://www.walmart.com/ip/193175088", "193175088")</f>
        <v/>
      </c>
      <c r="B2370" t="inlineStr">
        <is>
          <t>JenniWears Women's Floral Open Crotch Mesh Bodystockings Bodysuits</t>
        </is>
      </c>
      <c r="C2370" t="inlineStr">
        <is>
          <t>JWBS8820</t>
        </is>
      </c>
      <c r="D2370" t="inlineStr">
        <is>
          <t>Teddies &amp; Bodystockings</t>
        </is>
      </c>
      <c r="E2370" t="inlineStr">
        <is>
          <t>JenniWears</t>
        </is>
      </c>
      <c r="F2370" t="inlineStr">
        <is>
          <t>Valentine</t>
        </is>
      </c>
      <c r="G2370" s="48" t="n">
        <v>0</v>
      </c>
      <c r="H2370" s="49" t="n">
        <v>0</v>
      </c>
      <c r="I2370" s="49" t="n">
        <v>0</v>
      </c>
      <c r="J2370" s="50" t="n">
        <v>0</v>
      </c>
      <c r="K2370" s="51" t="n">
        <v>0</v>
      </c>
      <c r="L2370" s="52" t="n">
        <v>0</v>
      </c>
      <c r="M2370" s="52" t="n">
        <v>0</v>
      </c>
      <c r="N2370" s="52" t="n">
        <v>0</v>
      </c>
      <c r="O2370" s="53" t="n">
        <v>0</v>
      </c>
      <c r="P2370" s="52" t="n">
        <v>0</v>
      </c>
      <c r="Q2370" s="53" t="n">
        <v>0</v>
      </c>
      <c r="R2370" s="52" t="n">
        <v>0</v>
      </c>
      <c r="S2370" s="51" t="n">
        <v>0</v>
      </c>
      <c r="T2370" s="48" t="n">
        <v>0</v>
      </c>
      <c r="U2370" s="49" t="n">
        <v>0</v>
      </c>
      <c r="V2370" s="49" t="n">
        <v>0</v>
      </c>
      <c r="W2370" s="50" t="n">
        <v>0</v>
      </c>
      <c r="X2370" s="51" t="n">
        <v>0</v>
      </c>
      <c r="Y2370" s="52" t="n">
        <v>0</v>
      </c>
      <c r="Z2370" s="52" t="n">
        <v>0</v>
      </c>
      <c r="AA2370" s="52" t="n">
        <v>0</v>
      </c>
      <c r="AB2370" s="53" t="n">
        <v>0</v>
      </c>
      <c r="AC2370" s="52" t="n">
        <v>0</v>
      </c>
      <c r="AD2370" s="53" t="n">
        <v>0</v>
      </c>
      <c r="AE2370" s="52" t="n">
        <v>0</v>
      </c>
      <c r="AF2370" s="51" t="n">
        <v>0</v>
      </c>
      <c r="AG2370" s="48" t="n">
        <v>0</v>
      </c>
      <c r="AH2370" s="49" t="n">
        <v>0</v>
      </c>
      <c r="AI2370" s="49" t="n">
        <v>0</v>
      </c>
      <c r="AJ2370" s="50" t="n">
        <v>0</v>
      </c>
      <c r="AK2370" s="51" t="n">
        <v>0</v>
      </c>
      <c r="AL2370" s="52" t="n">
        <v>0</v>
      </c>
      <c r="AM2370" s="52" t="n">
        <v>0</v>
      </c>
      <c r="AN2370" s="52" t="n">
        <v>0</v>
      </c>
      <c r="AO2370" s="53" t="n">
        <v>0</v>
      </c>
      <c r="AP2370" s="52" t="n">
        <v>0</v>
      </c>
      <c r="AQ2370" s="53" t="n">
        <v>0</v>
      </c>
      <c r="AR2370" s="52" t="n">
        <v>0</v>
      </c>
      <c r="AS2370" s="51" t="n">
        <v>0</v>
      </c>
      <c r="AT2370" s="48" t="n">
        <v>0</v>
      </c>
      <c r="AU2370" s="49" t="n">
        <v>0</v>
      </c>
      <c r="AV2370" s="49" t="n">
        <v>0</v>
      </c>
      <c r="AW2370" s="50" t="n">
        <v>0</v>
      </c>
      <c r="AX2370" s="51" t="n">
        <v>0</v>
      </c>
      <c r="AY2370" s="52" t="n">
        <v>0</v>
      </c>
      <c r="AZ2370" s="52" t="n">
        <v>0</v>
      </c>
      <c r="BA2370" s="52" t="n">
        <v>0</v>
      </c>
      <c r="BB2370" s="53" t="n">
        <v>0</v>
      </c>
      <c r="BC2370" s="52" t="n">
        <v>0</v>
      </c>
      <c r="BD2370" s="53" t="n">
        <v>0</v>
      </c>
      <c r="BE2370" s="52" t="n">
        <v>0</v>
      </c>
      <c r="BF2370" s="51" t="n">
        <v>0</v>
      </c>
    </row>
    <row r="2371">
      <c r="A2371">
        <f>HYPERLINK("https://www.walmart.com/ip/193222130", "193222130")</f>
        <v/>
      </c>
      <c r="B2371" t="inlineStr">
        <is>
          <t>JenniWears® Women's Sexy Fever Blush Babydoll Mesh Lingerie and Wrap Robe</t>
        </is>
      </c>
      <c r="C2371" t="inlineStr">
        <is>
          <t>JWBD08WT-XL</t>
        </is>
      </c>
      <c r="D2371" t="inlineStr">
        <is>
          <t>Lingerie Sets</t>
        </is>
      </c>
      <c r="E2371" t="inlineStr">
        <is>
          <t>JenniWears</t>
        </is>
      </c>
      <c r="F2371" t="inlineStr">
        <is>
          <t>Optimized,WFS,Valentine,WFS Item</t>
        </is>
      </c>
      <c r="G2371" s="48" t="n">
        <v>0</v>
      </c>
      <c r="H2371" s="49" t="n">
        <v>0</v>
      </c>
      <c r="I2371" s="49" t="n">
        <v>0</v>
      </c>
      <c r="J2371" s="50" t="n">
        <v>0</v>
      </c>
      <c r="K2371" s="51" t="n">
        <v>0</v>
      </c>
      <c r="L2371" s="52" t="n">
        <v>0</v>
      </c>
      <c r="M2371" s="52" t="n">
        <v>0</v>
      </c>
      <c r="N2371" s="52" t="n">
        <v>0</v>
      </c>
      <c r="O2371" s="53" t="n">
        <v>0</v>
      </c>
      <c r="P2371" s="52" t="n">
        <v>0</v>
      </c>
      <c r="Q2371" s="53" t="n">
        <v>0</v>
      </c>
      <c r="R2371" s="52" t="n">
        <v>0</v>
      </c>
      <c r="S2371" s="51" t="n">
        <v>0</v>
      </c>
      <c r="T2371" s="48" t="n">
        <v>0</v>
      </c>
      <c r="U2371" s="49" t="n">
        <v>0</v>
      </c>
      <c r="V2371" s="49" t="n">
        <v>0</v>
      </c>
      <c r="W2371" s="50" t="n">
        <v>0</v>
      </c>
      <c r="X2371" s="51" t="n">
        <v>0</v>
      </c>
      <c r="Y2371" s="52" t="n">
        <v>0</v>
      </c>
      <c r="Z2371" s="52" t="n">
        <v>0</v>
      </c>
      <c r="AA2371" s="52" t="n">
        <v>0</v>
      </c>
      <c r="AB2371" s="53" t="n">
        <v>0</v>
      </c>
      <c r="AC2371" s="52" t="n">
        <v>0</v>
      </c>
      <c r="AD2371" s="53" t="n">
        <v>0</v>
      </c>
      <c r="AE2371" s="52" t="n">
        <v>0</v>
      </c>
      <c r="AF2371" s="51" t="n">
        <v>0</v>
      </c>
      <c r="AG2371" s="48" t="n">
        <v>0</v>
      </c>
      <c r="AH2371" s="49" t="n">
        <v>0</v>
      </c>
      <c r="AI2371" s="49" t="n">
        <v>0</v>
      </c>
      <c r="AJ2371" s="50" t="n">
        <v>0</v>
      </c>
      <c r="AK2371" s="51" t="n">
        <v>0</v>
      </c>
      <c r="AL2371" s="52" t="n">
        <v>0</v>
      </c>
      <c r="AM2371" s="52" t="n">
        <v>0</v>
      </c>
      <c r="AN2371" s="52" t="n">
        <v>0</v>
      </c>
      <c r="AO2371" s="53" t="n">
        <v>0</v>
      </c>
      <c r="AP2371" s="52" t="n">
        <v>0</v>
      </c>
      <c r="AQ2371" s="53" t="n">
        <v>0</v>
      </c>
      <c r="AR2371" s="52" t="n">
        <v>0</v>
      </c>
      <c r="AS2371" s="51" t="n">
        <v>0</v>
      </c>
      <c r="AT2371" s="48" t="n">
        <v>0</v>
      </c>
      <c r="AU2371" s="49" t="n">
        <v>0</v>
      </c>
      <c r="AV2371" s="49" t="n">
        <v>0</v>
      </c>
      <c r="AW2371" s="50" t="n">
        <v>0</v>
      </c>
      <c r="AX2371" s="51" t="n">
        <v>0</v>
      </c>
      <c r="AY2371" s="52" t="n">
        <v>0</v>
      </c>
      <c r="AZ2371" s="52" t="n">
        <v>0</v>
      </c>
      <c r="BA2371" s="52" t="n">
        <v>0</v>
      </c>
      <c r="BB2371" s="53" t="n">
        <v>0</v>
      </c>
      <c r="BC2371" s="52" t="n">
        <v>0</v>
      </c>
      <c r="BD2371" s="53" t="n">
        <v>0</v>
      </c>
      <c r="BE2371" s="52" t="n">
        <v>0</v>
      </c>
      <c r="BF2371" s="51" t="n">
        <v>0</v>
      </c>
    </row>
    <row r="2372">
      <c r="A2372">
        <f>HYPERLINK("https://www.walmart.com/ip/193364339", "193364339")</f>
        <v/>
      </c>
      <c r="B2372" t="inlineStr">
        <is>
          <t>Tirrinia Comfy Wearable Fleece Blanket with Sleeves for Adults, 73" x 51", Pink</t>
        </is>
      </c>
      <c r="C2372" t="inlineStr">
        <is>
          <t>1TRSN100PK-TBCB</t>
        </is>
      </c>
      <c r="D2372" t="inlineStr">
        <is>
          <t>Throws</t>
        </is>
      </c>
      <c r="E2372" t="inlineStr">
        <is>
          <t>Tirrinia</t>
        </is>
      </c>
      <c r="F2372" t="inlineStr">
        <is>
          <t>Coupon_Discount,Fleece Blankets,Batch 1 - TR</t>
        </is>
      </c>
      <c r="G2372" s="48" t="n">
        <v>0</v>
      </c>
      <c r="H2372" s="49" t="n">
        <v>0</v>
      </c>
      <c r="I2372" s="49" t="n">
        <v>0</v>
      </c>
      <c r="J2372" s="50" t="n">
        <v>0</v>
      </c>
      <c r="K2372" s="51" t="n">
        <v>0</v>
      </c>
      <c r="L2372" s="52" t="n">
        <v>0</v>
      </c>
      <c r="M2372" s="52" t="n">
        <v>0</v>
      </c>
      <c r="N2372" s="52" t="n">
        <v>0</v>
      </c>
      <c r="O2372" s="53" t="n">
        <v>0</v>
      </c>
      <c r="P2372" s="52" t="n">
        <v>0</v>
      </c>
      <c r="Q2372" s="53" t="n">
        <v>0</v>
      </c>
      <c r="R2372" s="52" t="n">
        <v>0</v>
      </c>
      <c r="S2372" s="51" t="n">
        <v>0</v>
      </c>
      <c r="T2372" s="48" t="n">
        <v>0</v>
      </c>
      <c r="U2372" s="49" t="n">
        <v>0</v>
      </c>
      <c r="V2372" s="49" t="n">
        <v>0</v>
      </c>
      <c r="W2372" s="50" t="n">
        <v>0</v>
      </c>
      <c r="X2372" s="51" t="n">
        <v>0</v>
      </c>
      <c r="Y2372" s="52" t="n">
        <v>0</v>
      </c>
      <c r="Z2372" s="52" t="n">
        <v>0</v>
      </c>
      <c r="AA2372" s="52" t="n">
        <v>0</v>
      </c>
      <c r="AB2372" s="53" t="n">
        <v>0</v>
      </c>
      <c r="AC2372" s="52" t="n">
        <v>0</v>
      </c>
      <c r="AD2372" s="53" t="n">
        <v>0</v>
      </c>
      <c r="AE2372" s="52" t="n">
        <v>0</v>
      </c>
      <c r="AF2372" s="51" t="n">
        <v>0</v>
      </c>
      <c r="AG2372" s="48" t="n">
        <v>0</v>
      </c>
      <c r="AH2372" s="49" t="n">
        <v>0</v>
      </c>
      <c r="AI2372" s="49" t="n">
        <v>0</v>
      </c>
      <c r="AJ2372" s="50" t="n">
        <v>0</v>
      </c>
      <c r="AK2372" s="51" t="n">
        <v>0</v>
      </c>
      <c r="AL2372" s="52" t="n">
        <v>0</v>
      </c>
      <c r="AM2372" s="52" t="n">
        <v>0</v>
      </c>
      <c r="AN2372" s="52" t="n">
        <v>0</v>
      </c>
      <c r="AO2372" s="53" t="n">
        <v>0</v>
      </c>
      <c r="AP2372" s="52" t="n">
        <v>0</v>
      </c>
      <c r="AQ2372" s="53" t="n">
        <v>0</v>
      </c>
      <c r="AR2372" s="52" t="n">
        <v>0</v>
      </c>
      <c r="AS2372" s="51" t="n">
        <v>0</v>
      </c>
      <c r="AT2372" s="48" t="n">
        <v>0</v>
      </c>
      <c r="AU2372" s="49" t="n">
        <v>0</v>
      </c>
      <c r="AV2372" s="49" t="n">
        <v>0</v>
      </c>
      <c r="AW2372" s="50" t="n">
        <v>0</v>
      </c>
      <c r="AX2372" s="51" t="n">
        <v>0</v>
      </c>
      <c r="AY2372" s="52" t="n">
        <v>0</v>
      </c>
      <c r="AZ2372" s="52" t="n">
        <v>0</v>
      </c>
      <c r="BA2372" s="52" t="n">
        <v>0</v>
      </c>
      <c r="BB2372" s="53" t="n">
        <v>0</v>
      </c>
      <c r="BC2372" s="52" t="n">
        <v>0</v>
      </c>
      <c r="BD2372" s="53" t="n">
        <v>0</v>
      </c>
      <c r="BE2372" s="52" t="n">
        <v>0</v>
      </c>
      <c r="BF2372" s="51" t="n">
        <v>0</v>
      </c>
    </row>
    <row r="2373">
      <c r="A2373">
        <f>HYPERLINK("https://www.walmart.com/ip/193565695", "193565695")</f>
        <v/>
      </c>
      <c r="B2373" t="inlineStr">
        <is>
          <t>KC Caps Unisex Adjustable Snap Closure USA Flag Embroidered Cap Hat</t>
        </is>
      </c>
      <c r="C2373" t="inlineStr">
        <is>
          <t>kc-ae-6100-nv</t>
        </is>
      </c>
      <c r="D2373" t="inlineStr">
        <is>
          <t>Hats</t>
        </is>
      </c>
      <c r="E2373" t="inlineStr">
        <is>
          <t>KC Caps</t>
        </is>
      </c>
      <c r="F2373" t="inlineStr">
        <is>
          <t>Optimized</t>
        </is>
      </c>
      <c r="G2373" s="48" t="n">
        <v>0</v>
      </c>
      <c r="H2373" s="49" t="n">
        <v>0</v>
      </c>
      <c r="I2373" s="49" t="n">
        <v>0</v>
      </c>
      <c r="J2373" s="50" t="n">
        <v>0</v>
      </c>
      <c r="K2373" s="51" t="n">
        <v>0</v>
      </c>
      <c r="L2373" s="52" t="n">
        <v>0</v>
      </c>
      <c r="M2373" s="52" t="n">
        <v>0</v>
      </c>
      <c r="N2373" s="52" t="n">
        <v>0</v>
      </c>
      <c r="O2373" s="53" t="n">
        <v>0</v>
      </c>
      <c r="P2373" s="52" t="n">
        <v>0</v>
      </c>
      <c r="Q2373" s="53" t="n">
        <v>0</v>
      </c>
      <c r="R2373" s="52" t="n">
        <v>0</v>
      </c>
      <c r="S2373" s="51" t="n">
        <v>0</v>
      </c>
      <c r="T2373" s="48" t="n">
        <v>0</v>
      </c>
      <c r="U2373" s="49" t="n">
        <v>0</v>
      </c>
      <c r="V2373" s="49" t="n">
        <v>0</v>
      </c>
      <c r="W2373" s="50" t="n">
        <v>0</v>
      </c>
      <c r="X2373" s="51" t="n">
        <v>0</v>
      </c>
      <c r="Y2373" s="52" t="n">
        <v>0</v>
      </c>
      <c r="Z2373" s="52" t="n">
        <v>0</v>
      </c>
      <c r="AA2373" s="52" t="n">
        <v>0</v>
      </c>
      <c r="AB2373" s="53" t="n">
        <v>0</v>
      </c>
      <c r="AC2373" s="52" t="n">
        <v>0</v>
      </c>
      <c r="AD2373" s="53" t="n">
        <v>0</v>
      </c>
      <c r="AE2373" s="52" t="n">
        <v>0</v>
      </c>
      <c r="AF2373" s="51" t="n">
        <v>0</v>
      </c>
      <c r="AG2373" s="48" t="n">
        <v>0</v>
      </c>
      <c r="AH2373" s="49" t="n">
        <v>0</v>
      </c>
      <c r="AI2373" s="49" t="n">
        <v>0</v>
      </c>
      <c r="AJ2373" s="50" t="n">
        <v>0</v>
      </c>
      <c r="AK2373" s="51" t="n">
        <v>0</v>
      </c>
      <c r="AL2373" s="52" t="n">
        <v>0</v>
      </c>
      <c r="AM2373" s="52" t="n">
        <v>0</v>
      </c>
      <c r="AN2373" s="52" t="n">
        <v>0</v>
      </c>
      <c r="AO2373" s="53" t="n">
        <v>0</v>
      </c>
      <c r="AP2373" s="52" t="n">
        <v>0</v>
      </c>
      <c r="AQ2373" s="53" t="n">
        <v>0</v>
      </c>
      <c r="AR2373" s="52" t="n">
        <v>0</v>
      </c>
      <c r="AS2373" s="51" t="n">
        <v>0</v>
      </c>
      <c r="AT2373" s="48" t="n">
        <v>0</v>
      </c>
      <c r="AU2373" s="49" t="n">
        <v>0</v>
      </c>
      <c r="AV2373" s="49" t="n">
        <v>0</v>
      </c>
      <c r="AW2373" s="50" t="n">
        <v>0</v>
      </c>
      <c r="AX2373" s="51" t="n">
        <v>0</v>
      </c>
      <c r="AY2373" s="52" t="n">
        <v>0</v>
      </c>
      <c r="AZ2373" s="52" t="n">
        <v>0</v>
      </c>
      <c r="BA2373" s="52" t="n">
        <v>0</v>
      </c>
      <c r="BB2373" s="53" t="n">
        <v>0</v>
      </c>
      <c r="BC2373" s="52" t="n">
        <v>0</v>
      </c>
      <c r="BD2373" s="53" t="n">
        <v>0</v>
      </c>
      <c r="BE2373" s="52" t="n">
        <v>0</v>
      </c>
      <c r="BF2373" s="51" t="n">
        <v>0</v>
      </c>
    </row>
    <row r="2374">
      <c r="A2374">
        <f>HYPERLINK("https://www.walmart.com/ip/193794600", "193794600")</f>
        <v/>
      </c>
      <c r="B2374" t="inlineStr">
        <is>
          <t>Napa Super Soft Micro Fleece Sherpa Bed Throw TV Blanket 50" x 60" Reversible Blue</t>
        </is>
      </c>
      <c r="C2374" t="inlineStr">
        <is>
          <t>K8010BLUE</t>
        </is>
      </c>
      <c r="D2374" t="inlineStr">
        <is>
          <t>Throws</t>
        </is>
      </c>
      <c r="E2374" t="inlineStr">
        <is>
          <t>NAPA</t>
        </is>
      </c>
      <c r="F2374" t="inlineStr">
        <is>
          <t>Batch 1 - TR</t>
        </is>
      </c>
      <c r="G2374" s="48" t="n">
        <v>0</v>
      </c>
      <c r="H2374" s="49" t="n">
        <v>0</v>
      </c>
      <c r="I2374" s="49" t="n">
        <v>0</v>
      </c>
      <c r="J2374" s="50" t="n">
        <v>0</v>
      </c>
      <c r="K2374" s="51" t="n">
        <v>0</v>
      </c>
      <c r="L2374" s="52" t="n">
        <v>0</v>
      </c>
      <c r="M2374" s="52" t="n">
        <v>0</v>
      </c>
      <c r="N2374" s="52" t="n">
        <v>0</v>
      </c>
      <c r="O2374" s="53" t="n">
        <v>0</v>
      </c>
      <c r="P2374" s="52" t="n">
        <v>0</v>
      </c>
      <c r="Q2374" s="53" t="n">
        <v>0</v>
      </c>
      <c r="R2374" s="52" t="n">
        <v>0</v>
      </c>
      <c r="S2374" s="51" t="n">
        <v>0</v>
      </c>
      <c r="T2374" s="48" t="n">
        <v>0</v>
      </c>
      <c r="U2374" s="49" t="n">
        <v>0</v>
      </c>
      <c r="V2374" s="49" t="n">
        <v>0</v>
      </c>
      <c r="W2374" s="50" t="n">
        <v>0</v>
      </c>
      <c r="X2374" s="51" t="n">
        <v>0</v>
      </c>
      <c r="Y2374" s="52" t="n">
        <v>0</v>
      </c>
      <c r="Z2374" s="52" t="n">
        <v>0</v>
      </c>
      <c r="AA2374" s="52" t="n">
        <v>0</v>
      </c>
      <c r="AB2374" s="53" t="n">
        <v>0</v>
      </c>
      <c r="AC2374" s="52" t="n">
        <v>0</v>
      </c>
      <c r="AD2374" s="53" t="n">
        <v>0</v>
      </c>
      <c r="AE2374" s="52" t="n">
        <v>0</v>
      </c>
      <c r="AF2374" s="51" t="n">
        <v>0</v>
      </c>
      <c r="AG2374" s="48" t="n">
        <v>0</v>
      </c>
      <c r="AH2374" s="49" t="n">
        <v>0</v>
      </c>
      <c r="AI2374" s="49" t="n">
        <v>0</v>
      </c>
      <c r="AJ2374" s="50" t="n">
        <v>0</v>
      </c>
      <c r="AK2374" s="51" t="n">
        <v>0</v>
      </c>
      <c r="AL2374" s="52" t="n">
        <v>0</v>
      </c>
      <c r="AM2374" s="52" t="n">
        <v>0</v>
      </c>
      <c r="AN2374" s="52" t="n">
        <v>0</v>
      </c>
      <c r="AO2374" s="53" t="n">
        <v>0</v>
      </c>
      <c r="AP2374" s="52" t="n">
        <v>0</v>
      </c>
      <c r="AQ2374" s="53" t="n">
        <v>0</v>
      </c>
      <c r="AR2374" s="52" t="n">
        <v>0</v>
      </c>
      <c r="AS2374" s="51" t="n">
        <v>0</v>
      </c>
      <c r="AT2374" s="48" t="n">
        <v>0</v>
      </c>
      <c r="AU2374" s="49" t="n">
        <v>0</v>
      </c>
      <c r="AV2374" s="49" t="n">
        <v>0</v>
      </c>
      <c r="AW2374" s="50" t="n">
        <v>0</v>
      </c>
      <c r="AX2374" s="51" t="n">
        <v>0</v>
      </c>
      <c r="AY2374" s="52" t="n">
        <v>0</v>
      </c>
      <c r="AZ2374" s="52" t="n">
        <v>0</v>
      </c>
      <c r="BA2374" s="52" t="n">
        <v>0</v>
      </c>
      <c r="BB2374" s="53" t="n">
        <v>0</v>
      </c>
      <c r="BC2374" s="52" t="n">
        <v>0</v>
      </c>
      <c r="BD2374" s="53" t="n">
        <v>0</v>
      </c>
      <c r="BE2374" s="52" t="n">
        <v>0</v>
      </c>
      <c r="BF2374" s="51" t="n">
        <v>0</v>
      </c>
    </row>
    <row r="2375">
      <c r="A2375">
        <f>HYPERLINK("https://www.walmart.com/ip/194547645", "194547645")</f>
        <v/>
      </c>
      <c r="B2375" t="inlineStr">
        <is>
          <t>Deluxe Stylish Microplush Sleeved Fleece Blanket Soft Home Sofa Snuggie</t>
        </is>
      </c>
      <c r="C2375" t="inlineStr">
        <is>
          <t>k3000-gray</t>
        </is>
      </c>
      <c r="D2375" t="inlineStr">
        <is>
          <t>Throws</t>
        </is>
      </c>
      <c r="E2375" t="inlineStr">
        <is>
          <t>NAPA</t>
        </is>
      </c>
      <c r="F2375" t="inlineStr">
        <is>
          <t>Batch 1 - TR</t>
        </is>
      </c>
      <c r="G2375" s="48" t="n">
        <v>0</v>
      </c>
      <c r="H2375" s="49" t="n">
        <v>0</v>
      </c>
      <c r="I2375" s="49" t="n">
        <v>0</v>
      </c>
      <c r="J2375" s="50" t="n">
        <v>0</v>
      </c>
      <c r="K2375" s="51" t="n">
        <v>0</v>
      </c>
      <c r="L2375" s="52" t="n">
        <v>0</v>
      </c>
      <c r="M2375" s="52" t="n">
        <v>0</v>
      </c>
      <c r="N2375" s="52" t="n">
        <v>0</v>
      </c>
      <c r="O2375" s="53" t="n">
        <v>0</v>
      </c>
      <c r="P2375" s="52" t="n">
        <v>0</v>
      </c>
      <c r="Q2375" s="53" t="n">
        <v>0</v>
      </c>
      <c r="R2375" s="52" t="n">
        <v>0</v>
      </c>
      <c r="S2375" s="51" t="n">
        <v>0</v>
      </c>
      <c r="T2375" s="48" t="n">
        <v>0</v>
      </c>
      <c r="U2375" s="49" t="n">
        <v>0</v>
      </c>
      <c r="V2375" s="49" t="n">
        <v>0</v>
      </c>
      <c r="W2375" s="50" t="n">
        <v>0</v>
      </c>
      <c r="X2375" s="51" t="n">
        <v>0</v>
      </c>
      <c r="Y2375" s="52" t="n">
        <v>0</v>
      </c>
      <c r="Z2375" s="52" t="n">
        <v>0</v>
      </c>
      <c r="AA2375" s="52" t="n">
        <v>0</v>
      </c>
      <c r="AB2375" s="53" t="n">
        <v>0</v>
      </c>
      <c r="AC2375" s="52" t="n">
        <v>0</v>
      </c>
      <c r="AD2375" s="53" t="n">
        <v>0</v>
      </c>
      <c r="AE2375" s="52" t="n">
        <v>0</v>
      </c>
      <c r="AF2375" s="51" t="n">
        <v>0</v>
      </c>
      <c r="AG2375" s="48" t="n">
        <v>0</v>
      </c>
      <c r="AH2375" s="49" t="n">
        <v>0</v>
      </c>
      <c r="AI2375" s="49" t="n">
        <v>0</v>
      </c>
      <c r="AJ2375" s="50" t="n">
        <v>0</v>
      </c>
      <c r="AK2375" s="51" t="n">
        <v>0</v>
      </c>
      <c r="AL2375" s="52" t="n">
        <v>0</v>
      </c>
      <c r="AM2375" s="52" t="n">
        <v>0</v>
      </c>
      <c r="AN2375" s="52" t="n">
        <v>0</v>
      </c>
      <c r="AO2375" s="53" t="n">
        <v>0</v>
      </c>
      <c r="AP2375" s="52" t="n">
        <v>0</v>
      </c>
      <c r="AQ2375" s="53" t="n">
        <v>0</v>
      </c>
      <c r="AR2375" s="52" t="n">
        <v>0</v>
      </c>
      <c r="AS2375" s="51" t="n">
        <v>0</v>
      </c>
      <c r="AT2375" s="48" t="n">
        <v>0</v>
      </c>
      <c r="AU2375" s="49" t="n">
        <v>0</v>
      </c>
      <c r="AV2375" s="49" t="n">
        <v>0</v>
      </c>
      <c r="AW2375" s="50" t="n">
        <v>0</v>
      </c>
      <c r="AX2375" s="51" t="n">
        <v>0</v>
      </c>
      <c r="AY2375" s="52" t="n">
        <v>0</v>
      </c>
      <c r="AZ2375" s="52" t="n">
        <v>0</v>
      </c>
      <c r="BA2375" s="52" t="n">
        <v>0</v>
      </c>
      <c r="BB2375" s="53" t="n">
        <v>0</v>
      </c>
      <c r="BC2375" s="52" t="n">
        <v>0</v>
      </c>
      <c r="BD2375" s="53" t="n">
        <v>0</v>
      </c>
      <c r="BE2375" s="52" t="n">
        <v>0</v>
      </c>
      <c r="BF2375" s="51" t="n">
        <v>0</v>
      </c>
    </row>
    <row r="2376">
      <c r="A2376">
        <f>HYPERLINK("https://www.walmart.com/ip/190557326", "190557326")</f>
        <v/>
      </c>
      <c r="B2376" t="inlineStr">
        <is>
          <t>JenniWears® Women's Plus Size Sexy Strappy Lace Mesh Chemise Lingerie with G-string</t>
        </is>
      </c>
      <c r="C2376" t="inlineStr">
        <is>
          <t>JWBD03BKPP-XL</t>
        </is>
      </c>
      <c r="D2376" t="inlineStr">
        <is>
          <t>Lingerie Sets</t>
        </is>
      </c>
      <c r="E2376" t="inlineStr">
        <is>
          <t>JenniWears</t>
        </is>
      </c>
      <c r="F2376" t="inlineStr">
        <is>
          <t>Optimized,Valentine</t>
        </is>
      </c>
      <c r="G2376" s="48" t="n">
        <v>0</v>
      </c>
      <c r="H2376" s="49" t="n">
        <v>0</v>
      </c>
      <c r="I2376" s="49" t="n">
        <v>0</v>
      </c>
      <c r="J2376" s="50" t="n">
        <v>0</v>
      </c>
      <c r="K2376" s="51" t="n">
        <v>0</v>
      </c>
      <c r="L2376" s="52" t="n">
        <v>0</v>
      </c>
      <c r="M2376" s="52" t="n">
        <v>0</v>
      </c>
      <c r="N2376" s="52" t="n">
        <v>0</v>
      </c>
      <c r="O2376" s="53" t="n">
        <v>0</v>
      </c>
      <c r="P2376" s="52" t="n">
        <v>0</v>
      </c>
      <c r="Q2376" s="53" t="n">
        <v>0</v>
      </c>
      <c r="R2376" s="52" t="n">
        <v>0</v>
      </c>
      <c r="S2376" s="51" t="n">
        <v>0</v>
      </c>
      <c r="T2376" s="48" t="n">
        <v>0</v>
      </c>
      <c r="U2376" s="49" t="n">
        <v>0</v>
      </c>
      <c r="V2376" s="49" t="n">
        <v>0</v>
      </c>
      <c r="W2376" s="50" t="n">
        <v>0</v>
      </c>
      <c r="X2376" s="51" t="n">
        <v>0</v>
      </c>
      <c r="Y2376" s="52" t="n">
        <v>0</v>
      </c>
      <c r="Z2376" s="52" t="n">
        <v>0</v>
      </c>
      <c r="AA2376" s="52" t="n">
        <v>0</v>
      </c>
      <c r="AB2376" s="53" t="n">
        <v>0</v>
      </c>
      <c r="AC2376" s="52" t="n">
        <v>0</v>
      </c>
      <c r="AD2376" s="53" t="n">
        <v>0</v>
      </c>
      <c r="AE2376" s="52" t="n">
        <v>0</v>
      </c>
      <c r="AF2376" s="51" t="n">
        <v>0</v>
      </c>
      <c r="AG2376" s="48" t="n">
        <v>0</v>
      </c>
      <c r="AH2376" s="49" t="n">
        <v>0</v>
      </c>
      <c r="AI2376" s="49" t="n">
        <v>0</v>
      </c>
      <c r="AJ2376" s="50" t="n">
        <v>0</v>
      </c>
      <c r="AK2376" s="51" t="n">
        <v>0</v>
      </c>
      <c r="AL2376" s="52" t="n">
        <v>0</v>
      </c>
      <c r="AM2376" s="52" t="n">
        <v>0</v>
      </c>
      <c r="AN2376" s="52" t="n">
        <v>0</v>
      </c>
      <c r="AO2376" s="53" t="n">
        <v>0</v>
      </c>
      <c r="AP2376" s="52" t="n">
        <v>0</v>
      </c>
      <c r="AQ2376" s="53" t="n">
        <v>0</v>
      </c>
      <c r="AR2376" s="52" t="n">
        <v>0</v>
      </c>
      <c r="AS2376" s="51" t="n">
        <v>0</v>
      </c>
      <c r="AT2376" s="48" t="n">
        <v>0</v>
      </c>
      <c r="AU2376" s="49" t="n">
        <v>0</v>
      </c>
      <c r="AV2376" s="49" t="n">
        <v>0</v>
      </c>
      <c r="AW2376" s="50" t="n">
        <v>0</v>
      </c>
      <c r="AX2376" s="51" t="n">
        <v>0</v>
      </c>
      <c r="AY2376" s="52" t="n">
        <v>0</v>
      </c>
      <c r="AZ2376" s="52" t="n">
        <v>0</v>
      </c>
      <c r="BA2376" s="52" t="n">
        <v>0</v>
      </c>
      <c r="BB2376" s="53" t="n">
        <v>0</v>
      </c>
      <c r="BC2376" s="52" t="n">
        <v>0</v>
      </c>
      <c r="BD2376" s="53" t="n">
        <v>0</v>
      </c>
      <c r="BE2376" s="52" t="n">
        <v>0</v>
      </c>
      <c r="BF2376" s="51" t="n">
        <v>0</v>
      </c>
    </row>
    <row r="2377">
      <c r="A2377">
        <f>HYPERLINK("https://www.walmart.com/ip/194732898", "194732898")</f>
        <v/>
      </c>
      <c r="B2377" t="inlineStr">
        <is>
          <t>Women's Plus Size Floral Lace Mesh Chemise Sleepwear and G-string</t>
        </is>
      </c>
      <c r="C2377" t="inlineStr">
        <is>
          <t>JWBD05RD-XL</t>
        </is>
      </c>
      <c r="D2377" t="inlineStr">
        <is>
          <t>Lingerie Sets</t>
        </is>
      </c>
      <c r="E2377" t="inlineStr">
        <is>
          <t>JenniWears</t>
        </is>
      </c>
      <c r="F2377" t="inlineStr">
        <is>
          <t>Valentine</t>
        </is>
      </c>
      <c r="G2377" s="48" t="n">
        <v>0</v>
      </c>
      <c r="H2377" s="49" t="n">
        <v>0</v>
      </c>
      <c r="I2377" s="49" t="n">
        <v>0</v>
      </c>
      <c r="J2377" s="50" t="n">
        <v>0</v>
      </c>
      <c r="K2377" s="51" t="n">
        <v>0</v>
      </c>
      <c r="L2377" s="52" t="n">
        <v>0</v>
      </c>
      <c r="M2377" s="52" t="n">
        <v>0</v>
      </c>
      <c r="N2377" s="52" t="n">
        <v>0</v>
      </c>
      <c r="O2377" s="53" t="n">
        <v>0</v>
      </c>
      <c r="P2377" s="52" t="n">
        <v>0</v>
      </c>
      <c r="Q2377" s="53" t="n">
        <v>0</v>
      </c>
      <c r="R2377" s="52" t="n">
        <v>0</v>
      </c>
      <c r="S2377" s="51" t="n">
        <v>0</v>
      </c>
      <c r="T2377" s="48" t="n">
        <v>0</v>
      </c>
      <c r="U2377" s="49" t="n">
        <v>0</v>
      </c>
      <c r="V2377" s="49" t="n">
        <v>0</v>
      </c>
      <c r="W2377" s="50" t="n">
        <v>0</v>
      </c>
      <c r="X2377" s="51" t="n">
        <v>0</v>
      </c>
      <c r="Y2377" s="52" t="n">
        <v>0</v>
      </c>
      <c r="Z2377" s="52" t="n">
        <v>0</v>
      </c>
      <c r="AA2377" s="52" t="n">
        <v>0</v>
      </c>
      <c r="AB2377" s="53" t="n">
        <v>0</v>
      </c>
      <c r="AC2377" s="52" t="n">
        <v>0</v>
      </c>
      <c r="AD2377" s="53" t="n">
        <v>0</v>
      </c>
      <c r="AE2377" s="52" t="n">
        <v>0</v>
      </c>
      <c r="AF2377" s="51" t="n">
        <v>0</v>
      </c>
      <c r="AG2377" s="48" t="n">
        <v>0</v>
      </c>
      <c r="AH2377" s="49" t="n">
        <v>0</v>
      </c>
      <c r="AI2377" s="49" t="n">
        <v>0</v>
      </c>
      <c r="AJ2377" s="50" t="n">
        <v>0</v>
      </c>
      <c r="AK2377" s="51" t="n">
        <v>0</v>
      </c>
      <c r="AL2377" s="52" t="n">
        <v>0</v>
      </c>
      <c r="AM2377" s="52" t="n">
        <v>0</v>
      </c>
      <c r="AN2377" s="52" t="n">
        <v>0</v>
      </c>
      <c r="AO2377" s="53" t="n">
        <v>0</v>
      </c>
      <c r="AP2377" s="52" t="n">
        <v>0</v>
      </c>
      <c r="AQ2377" s="53" t="n">
        <v>0</v>
      </c>
      <c r="AR2377" s="52" t="n">
        <v>0</v>
      </c>
      <c r="AS2377" s="51" t="n">
        <v>0</v>
      </c>
      <c r="AT2377" s="48" t="n">
        <v>0</v>
      </c>
      <c r="AU2377" s="49" t="n">
        <v>0</v>
      </c>
      <c r="AV2377" s="49" t="n">
        <v>0</v>
      </c>
      <c r="AW2377" s="50" t="n">
        <v>0</v>
      </c>
      <c r="AX2377" s="51" t="n">
        <v>0</v>
      </c>
      <c r="AY2377" s="52" t="n">
        <v>0</v>
      </c>
      <c r="AZ2377" s="52" t="n">
        <v>0</v>
      </c>
      <c r="BA2377" s="52" t="n">
        <v>0</v>
      </c>
      <c r="BB2377" s="53" t="n">
        <v>0</v>
      </c>
      <c r="BC2377" s="52" t="n">
        <v>0</v>
      </c>
      <c r="BD2377" s="53" t="n">
        <v>0</v>
      </c>
      <c r="BE2377" s="52" t="n">
        <v>0</v>
      </c>
      <c r="BF2377" s="51" t="n">
        <v>0</v>
      </c>
    </row>
    <row r="2378">
      <c r="A2378">
        <f>HYPERLINK("https://www.walmart.com/ip/194814835", "194814835")</f>
        <v/>
      </c>
      <c r="B2378" t="inlineStr">
        <is>
          <t>KC Caps Unisex Adjustable Snap Closure USA Flag Embroidered Unconstructed Cap Hat</t>
        </is>
      </c>
      <c r="C2378" t="inlineStr">
        <is>
          <t>kc-ae-6110-nv</t>
        </is>
      </c>
      <c r="D2378" t="inlineStr">
        <is>
          <t>Hats</t>
        </is>
      </c>
      <c r="E2378" t="inlineStr">
        <is>
          <t>KC Caps</t>
        </is>
      </c>
      <c r="F2378" t="inlineStr">
        <is>
          <t>Optimized,Hats</t>
        </is>
      </c>
      <c r="G2378" s="48" t="n">
        <v>0</v>
      </c>
      <c r="H2378" s="49" t="n">
        <v>0</v>
      </c>
      <c r="I2378" s="49" t="n">
        <v>0</v>
      </c>
      <c r="J2378" s="50" t="n">
        <v>0</v>
      </c>
      <c r="K2378" s="51" t="n">
        <v>0</v>
      </c>
      <c r="L2378" s="52" t="n">
        <v>0</v>
      </c>
      <c r="M2378" s="52" t="n">
        <v>0</v>
      </c>
      <c r="N2378" s="52" t="n">
        <v>0</v>
      </c>
      <c r="O2378" s="53" t="n">
        <v>0</v>
      </c>
      <c r="P2378" s="52" t="n">
        <v>0</v>
      </c>
      <c r="Q2378" s="53" t="n">
        <v>0</v>
      </c>
      <c r="R2378" s="52" t="n">
        <v>0</v>
      </c>
      <c r="S2378" s="51" t="n">
        <v>0</v>
      </c>
      <c r="T2378" s="48" t="n">
        <v>0</v>
      </c>
      <c r="U2378" s="49" t="n">
        <v>0</v>
      </c>
      <c r="V2378" s="49" t="n">
        <v>0</v>
      </c>
      <c r="W2378" s="50" t="n">
        <v>0</v>
      </c>
      <c r="X2378" s="51" t="n">
        <v>0</v>
      </c>
      <c r="Y2378" s="52" t="n">
        <v>0</v>
      </c>
      <c r="Z2378" s="52" t="n">
        <v>0</v>
      </c>
      <c r="AA2378" s="52" t="n">
        <v>0</v>
      </c>
      <c r="AB2378" s="53" t="n">
        <v>0</v>
      </c>
      <c r="AC2378" s="52" t="n">
        <v>0</v>
      </c>
      <c r="AD2378" s="53" t="n">
        <v>0</v>
      </c>
      <c r="AE2378" s="52" t="n">
        <v>0</v>
      </c>
      <c r="AF2378" s="51" t="n">
        <v>0</v>
      </c>
      <c r="AG2378" s="48" t="n">
        <v>0</v>
      </c>
      <c r="AH2378" s="49" t="n">
        <v>0</v>
      </c>
      <c r="AI2378" s="49" t="n">
        <v>0</v>
      </c>
      <c r="AJ2378" s="50" t="n">
        <v>0</v>
      </c>
      <c r="AK2378" s="51" t="n">
        <v>0</v>
      </c>
      <c r="AL2378" s="52" t="n">
        <v>0</v>
      </c>
      <c r="AM2378" s="52" t="n">
        <v>0</v>
      </c>
      <c r="AN2378" s="52" t="n">
        <v>0</v>
      </c>
      <c r="AO2378" s="53" t="n">
        <v>0</v>
      </c>
      <c r="AP2378" s="52" t="n">
        <v>0</v>
      </c>
      <c r="AQ2378" s="53" t="n">
        <v>0</v>
      </c>
      <c r="AR2378" s="52" t="n">
        <v>0</v>
      </c>
      <c r="AS2378" s="51" t="n">
        <v>0</v>
      </c>
      <c r="AT2378" s="48" t="n">
        <v>0</v>
      </c>
      <c r="AU2378" s="49" t="n">
        <v>0</v>
      </c>
      <c r="AV2378" s="49" t="n">
        <v>0</v>
      </c>
      <c r="AW2378" s="50" t="n">
        <v>0</v>
      </c>
      <c r="AX2378" s="51" t="n">
        <v>0</v>
      </c>
      <c r="AY2378" s="52" t="n">
        <v>0</v>
      </c>
      <c r="AZ2378" s="52" t="n">
        <v>0</v>
      </c>
      <c r="BA2378" s="52" t="n">
        <v>0</v>
      </c>
      <c r="BB2378" s="53" t="n">
        <v>0</v>
      </c>
      <c r="BC2378" s="52" t="n">
        <v>0</v>
      </c>
      <c r="BD2378" s="53" t="n">
        <v>0</v>
      </c>
      <c r="BE2378" s="52" t="n">
        <v>0</v>
      </c>
      <c r="BF2378" s="51" t="n">
        <v>0</v>
      </c>
    </row>
    <row r="2379">
      <c r="A2379">
        <f>HYPERLINK("https://www.walmart.com/ip/195053035", "195053035")</f>
        <v/>
      </c>
      <c r="B2379" t="inlineStr">
        <is>
          <t>KC Caps Men's Military Mesh Cap</t>
        </is>
      </c>
      <c r="C2379" t="inlineStr">
        <is>
          <t>7140-Shadow</t>
        </is>
      </c>
      <c r="D2379" t="inlineStr">
        <is>
          <t>Hats</t>
        </is>
      </c>
      <c r="E2379" t="inlineStr">
        <is>
          <t>KC Caps</t>
        </is>
      </c>
      <c r="F2379" t="inlineStr">
        <is>
          <t>Optimized</t>
        </is>
      </c>
      <c r="G2379" s="48" t="n">
        <v>0</v>
      </c>
      <c r="H2379" s="49" t="n">
        <v>0</v>
      </c>
      <c r="I2379" s="49" t="n">
        <v>0</v>
      </c>
      <c r="J2379" s="50" t="n">
        <v>0</v>
      </c>
      <c r="K2379" s="51" t="n">
        <v>0</v>
      </c>
      <c r="L2379" s="52" t="n">
        <v>0</v>
      </c>
      <c r="M2379" s="52" t="n">
        <v>0</v>
      </c>
      <c r="N2379" s="52" t="n">
        <v>0</v>
      </c>
      <c r="O2379" s="53" t="n">
        <v>0</v>
      </c>
      <c r="P2379" s="52" t="n">
        <v>0</v>
      </c>
      <c r="Q2379" s="53" t="n">
        <v>0</v>
      </c>
      <c r="R2379" s="52" t="n">
        <v>0</v>
      </c>
      <c r="S2379" s="51" t="n">
        <v>0</v>
      </c>
      <c r="T2379" s="48" t="n">
        <v>0</v>
      </c>
      <c r="U2379" s="49" t="n">
        <v>0</v>
      </c>
      <c r="V2379" s="49" t="n">
        <v>0</v>
      </c>
      <c r="W2379" s="50" t="n">
        <v>0</v>
      </c>
      <c r="X2379" s="51" t="n">
        <v>0</v>
      </c>
      <c r="Y2379" s="52" t="n">
        <v>0</v>
      </c>
      <c r="Z2379" s="52" t="n">
        <v>0</v>
      </c>
      <c r="AA2379" s="52" t="n">
        <v>0</v>
      </c>
      <c r="AB2379" s="53" t="n">
        <v>0</v>
      </c>
      <c r="AC2379" s="52" t="n">
        <v>0</v>
      </c>
      <c r="AD2379" s="53" t="n">
        <v>0</v>
      </c>
      <c r="AE2379" s="52" t="n">
        <v>0</v>
      </c>
      <c r="AF2379" s="51" t="n">
        <v>0</v>
      </c>
      <c r="AG2379" s="48" t="n">
        <v>0</v>
      </c>
      <c r="AH2379" s="49" t="n">
        <v>0</v>
      </c>
      <c r="AI2379" s="49" t="n">
        <v>0</v>
      </c>
      <c r="AJ2379" s="50" t="n">
        <v>0</v>
      </c>
      <c r="AK2379" s="51" t="n">
        <v>0</v>
      </c>
      <c r="AL2379" s="52" t="n">
        <v>0</v>
      </c>
      <c r="AM2379" s="52" t="n">
        <v>0</v>
      </c>
      <c r="AN2379" s="52" t="n">
        <v>0</v>
      </c>
      <c r="AO2379" s="53" t="n">
        <v>0</v>
      </c>
      <c r="AP2379" s="52" t="n">
        <v>0</v>
      </c>
      <c r="AQ2379" s="53" t="n">
        <v>0</v>
      </c>
      <c r="AR2379" s="52" t="n">
        <v>0</v>
      </c>
      <c r="AS2379" s="51" t="n">
        <v>0</v>
      </c>
      <c r="AT2379" s="48" t="n">
        <v>0</v>
      </c>
      <c r="AU2379" s="49" t="n">
        <v>0</v>
      </c>
      <c r="AV2379" s="49" t="n">
        <v>0</v>
      </c>
      <c r="AW2379" s="50" t="n">
        <v>0</v>
      </c>
      <c r="AX2379" s="51" t="n">
        <v>0</v>
      </c>
      <c r="AY2379" s="52" t="n">
        <v>0</v>
      </c>
      <c r="AZ2379" s="52" t="n">
        <v>0</v>
      </c>
      <c r="BA2379" s="52" t="n">
        <v>0</v>
      </c>
      <c r="BB2379" s="53" t="n">
        <v>0</v>
      </c>
      <c r="BC2379" s="52" t="n">
        <v>0</v>
      </c>
      <c r="BD2379" s="53" t="n">
        <v>0</v>
      </c>
      <c r="BE2379" s="52" t="n">
        <v>0</v>
      </c>
      <c r="BF2379" s="51" t="n">
        <v>0</v>
      </c>
    </row>
    <row r="2380">
      <c r="A2380">
        <f>HYPERLINK("https://www.walmart.com/ip/195150638", "195150638")</f>
        <v/>
      </c>
      <c r="B2380" t="inlineStr">
        <is>
          <t>JenniWears Unisex LED Light Up Fedora Hat Glow Cap Sparkly Sequin Black Fabric El Wire With Controller Pink</t>
        </is>
      </c>
      <c r="C2380" t="inlineStr">
        <is>
          <t>JWLEDHTA01-PK</t>
        </is>
      </c>
      <c r="D2380" t="inlineStr">
        <is>
          <t>Party Hats</t>
        </is>
      </c>
      <c r="E2380" t="inlineStr">
        <is>
          <t>JenniWears</t>
        </is>
      </c>
      <c r="F2380" t="inlineStr">
        <is>
          <t>Batch 1 - TR</t>
        </is>
      </c>
      <c r="G2380" s="48" t="n">
        <v>0</v>
      </c>
      <c r="H2380" s="49" t="n">
        <v>0</v>
      </c>
      <c r="I2380" s="49" t="n">
        <v>0</v>
      </c>
      <c r="J2380" s="50" t="n">
        <v>0</v>
      </c>
      <c r="K2380" s="51" t="n">
        <v>0</v>
      </c>
      <c r="L2380" s="52" t="n">
        <v>0</v>
      </c>
      <c r="M2380" s="52" t="n">
        <v>0</v>
      </c>
      <c r="N2380" s="52" t="n">
        <v>0</v>
      </c>
      <c r="O2380" s="53" t="n">
        <v>0</v>
      </c>
      <c r="P2380" s="52" t="n">
        <v>0</v>
      </c>
      <c r="Q2380" s="53" t="n">
        <v>0</v>
      </c>
      <c r="R2380" s="52" t="n">
        <v>0</v>
      </c>
      <c r="S2380" s="51" t="n">
        <v>0</v>
      </c>
      <c r="T2380" s="48" t="n">
        <v>0</v>
      </c>
      <c r="U2380" s="49" t="n">
        <v>0</v>
      </c>
      <c r="V2380" s="49" t="n">
        <v>0</v>
      </c>
      <c r="W2380" s="50" t="n">
        <v>0</v>
      </c>
      <c r="X2380" s="51" t="n">
        <v>0</v>
      </c>
      <c r="Y2380" s="52" t="n">
        <v>0</v>
      </c>
      <c r="Z2380" s="52" t="n">
        <v>0</v>
      </c>
      <c r="AA2380" s="52" t="n">
        <v>0</v>
      </c>
      <c r="AB2380" s="53" t="n">
        <v>0</v>
      </c>
      <c r="AC2380" s="52" t="n">
        <v>0</v>
      </c>
      <c r="AD2380" s="53" t="n">
        <v>0</v>
      </c>
      <c r="AE2380" s="52" t="n">
        <v>0</v>
      </c>
      <c r="AF2380" s="51" t="n">
        <v>0</v>
      </c>
      <c r="AG2380" s="48" t="n">
        <v>0</v>
      </c>
      <c r="AH2380" s="49" t="n">
        <v>0</v>
      </c>
      <c r="AI2380" s="49" t="n">
        <v>0</v>
      </c>
      <c r="AJ2380" s="50" t="n">
        <v>0</v>
      </c>
      <c r="AK2380" s="51" t="n">
        <v>0</v>
      </c>
      <c r="AL2380" s="52" t="n">
        <v>0</v>
      </c>
      <c r="AM2380" s="52" t="n">
        <v>0</v>
      </c>
      <c r="AN2380" s="52" t="n">
        <v>0</v>
      </c>
      <c r="AO2380" s="53" t="n">
        <v>0</v>
      </c>
      <c r="AP2380" s="52" t="n">
        <v>0</v>
      </c>
      <c r="AQ2380" s="53" t="n">
        <v>0</v>
      </c>
      <c r="AR2380" s="52" t="n">
        <v>0</v>
      </c>
      <c r="AS2380" s="51" t="n">
        <v>0</v>
      </c>
      <c r="AT2380" s="48" t="n">
        <v>0</v>
      </c>
      <c r="AU2380" s="49" t="n">
        <v>0</v>
      </c>
      <c r="AV2380" s="49" t="n">
        <v>0</v>
      </c>
      <c r="AW2380" s="50" t="n">
        <v>0</v>
      </c>
      <c r="AX2380" s="51" t="n">
        <v>0</v>
      </c>
      <c r="AY2380" s="52" t="n">
        <v>0</v>
      </c>
      <c r="AZ2380" s="52" t="n">
        <v>0</v>
      </c>
      <c r="BA2380" s="52" t="n">
        <v>0</v>
      </c>
      <c r="BB2380" s="53" t="n">
        <v>0</v>
      </c>
      <c r="BC2380" s="52" t="n">
        <v>0</v>
      </c>
      <c r="BD2380" s="53" t="n">
        <v>0</v>
      </c>
      <c r="BE2380" s="52" t="n">
        <v>0</v>
      </c>
      <c r="BF2380" s="51" t="n">
        <v>0</v>
      </c>
    </row>
    <row r="2381">
      <c r="A2381">
        <f>HYPERLINK("https://www.walmart.com/ip/195647139", "195647139")</f>
        <v/>
      </c>
      <c r="B2381" t="inlineStr">
        <is>
          <t>KC Caps Super Soft and Comfy Neon Orange Knit Beanie Winter Cap</t>
        </is>
      </c>
      <c r="C2381" t="inlineStr">
        <is>
          <t>KC-W1700-OR</t>
        </is>
      </c>
      <c r="D2381" t="inlineStr">
        <is>
          <t>Hats</t>
        </is>
      </c>
      <c r="E2381" t="inlineStr">
        <is>
          <t>KC Caps</t>
        </is>
      </c>
      <c r="F2381" t="inlineStr">
        <is>
          <t>Optimized</t>
        </is>
      </c>
      <c r="G2381" s="48" t="n">
        <v>0</v>
      </c>
      <c r="H2381" s="49" t="n">
        <v>0</v>
      </c>
      <c r="I2381" s="49" t="n">
        <v>0</v>
      </c>
      <c r="J2381" s="50" t="n">
        <v>0</v>
      </c>
      <c r="K2381" s="51" t="n">
        <v>0</v>
      </c>
      <c r="L2381" s="52" t="n">
        <v>0</v>
      </c>
      <c r="M2381" s="52" t="n">
        <v>0</v>
      </c>
      <c r="N2381" s="52" t="n">
        <v>0</v>
      </c>
      <c r="O2381" s="53" t="n">
        <v>0</v>
      </c>
      <c r="P2381" s="52" t="n">
        <v>0</v>
      </c>
      <c r="Q2381" s="53" t="n">
        <v>0</v>
      </c>
      <c r="R2381" s="52" t="n">
        <v>0</v>
      </c>
      <c r="S2381" s="51" t="n">
        <v>0</v>
      </c>
      <c r="T2381" s="48" t="n">
        <v>0</v>
      </c>
      <c r="U2381" s="49" t="n">
        <v>0</v>
      </c>
      <c r="V2381" s="49" t="n">
        <v>0</v>
      </c>
      <c r="W2381" s="50" t="n">
        <v>0</v>
      </c>
      <c r="X2381" s="51" t="n">
        <v>0</v>
      </c>
      <c r="Y2381" s="52" t="n">
        <v>0</v>
      </c>
      <c r="Z2381" s="52" t="n">
        <v>0</v>
      </c>
      <c r="AA2381" s="52" t="n">
        <v>0</v>
      </c>
      <c r="AB2381" s="53" t="n">
        <v>0</v>
      </c>
      <c r="AC2381" s="52" t="n">
        <v>0</v>
      </c>
      <c r="AD2381" s="53" t="n">
        <v>0</v>
      </c>
      <c r="AE2381" s="52" t="n">
        <v>0</v>
      </c>
      <c r="AF2381" s="51" t="n">
        <v>0</v>
      </c>
      <c r="AG2381" s="48" t="n">
        <v>0</v>
      </c>
      <c r="AH2381" s="49" t="n">
        <v>0</v>
      </c>
      <c r="AI2381" s="49" t="n">
        <v>0</v>
      </c>
      <c r="AJ2381" s="50" t="n">
        <v>0</v>
      </c>
      <c r="AK2381" s="51" t="n">
        <v>0</v>
      </c>
      <c r="AL2381" s="52" t="n">
        <v>0</v>
      </c>
      <c r="AM2381" s="52" t="n">
        <v>0</v>
      </c>
      <c r="AN2381" s="52" t="n">
        <v>0</v>
      </c>
      <c r="AO2381" s="53" t="n">
        <v>0</v>
      </c>
      <c r="AP2381" s="52" t="n">
        <v>0</v>
      </c>
      <c r="AQ2381" s="53" t="n">
        <v>0</v>
      </c>
      <c r="AR2381" s="52" t="n">
        <v>0</v>
      </c>
      <c r="AS2381" s="51" t="n">
        <v>0</v>
      </c>
      <c r="AT2381" s="48" t="n">
        <v>0</v>
      </c>
      <c r="AU2381" s="49" t="n">
        <v>0</v>
      </c>
      <c r="AV2381" s="49" t="n">
        <v>0</v>
      </c>
      <c r="AW2381" s="50" t="n">
        <v>0</v>
      </c>
      <c r="AX2381" s="51" t="n">
        <v>0</v>
      </c>
      <c r="AY2381" s="52" t="n">
        <v>0</v>
      </c>
      <c r="AZ2381" s="52" t="n">
        <v>0</v>
      </c>
      <c r="BA2381" s="52" t="n">
        <v>0</v>
      </c>
      <c r="BB2381" s="53" t="n">
        <v>0</v>
      </c>
      <c r="BC2381" s="52" t="n">
        <v>0</v>
      </c>
      <c r="BD2381" s="53" t="n">
        <v>0</v>
      </c>
      <c r="BE2381" s="52" t="n">
        <v>0</v>
      </c>
      <c r="BF2381" s="51" t="n">
        <v>0</v>
      </c>
    </row>
    <row r="2382">
      <c r="A2382">
        <f>HYPERLINK("https://www.walmart.com/ip/195744938", "195744938")</f>
        <v/>
      </c>
      <c r="B2382" t="inlineStr">
        <is>
          <t>Sun Hat UV Protection Wide Brim Boonie Safari Fishing Cap Adjustable Drawstring</t>
        </is>
      </c>
      <c r="C2382" t="inlineStr">
        <is>
          <t>1WMSH911GY</t>
        </is>
      </c>
      <c r="D2382" t="inlineStr">
        <is>
          <t>Hats</t>
        </is>
      </c>
      <c r="E2382" t="inlineStr">
        <is>
          <t>Flyingstar</t>
        </is>
      </c>
      <c r="F2382" t="inlineStr">
        <is>
          <t>Optimized</t>
        </is>
      </c>
      <c r="G2382" s="48" t="n">
        <v>0</v>
      </c>
      <c r="H2382" s="49" t="n">
        <v>0</v>
      </c>
      <c r="I2382" s="49" t="n">
        <v>0</v>
      </c>
      <c r="J2382" s="50" t="n">
        <v>0</v>
      </c>
      <c r="K2382" s="51" t="n">
        <v>0</v>
      </c>
      <c r="L2382" s="52" t="n">
        <v>0</v>
      </c>
      <c r="M2382" s="52" t="n">
        <v>0</v>
      </c>
      <c r="N2382" s="52" t="n">
        <v>0</v>
      </c>
      <c r="O2382" s="53" t="n">
        <v>0</v>
      </c>
      <c r="P2382" s="52" t="n">
        <v>0</v>
      </c>
      <c r="Q2382" s="53" t="n">
        <v>0</v>
      </c>
      <c r="R2382" s="52" t="n">
        <v>0</v>
      </c>
      <c r="S2382" s="51" t="n">
        <v>0</v>
      </c>
      <c r="T2382" s="48" t="n">
        <v>0</v>
      </c>
      <c r="U2382" s="49" t="n">
        <v>0</v>
      </c>
      <c r="V2382" s="49" t="n">
        <v>0</v>
      </c>
      <c r="W2382" s="50" t="n">
        <v>0</v>
      </c>
      <c r="X2382" s="51" t="n">
        <v>0</v>
      </c>
      <c r="Y2382" s="52" t="n">
        <v>0</v>
      </c>
      <c r="Z2382" s="52" t="n">
        <v>0</v>
      </c>
      <c r="AA2382" s="52" t="n">
        <v>0</v>
      </c>
      <c r="AB2382" s="53" t="n">
        <v>0</v>
      </c>
      <c r="AC2382" s="52" t="n">
        <v>0</v>
      </c>
      <c r="AD2382" s="53" t="n">
        <v>0</v>
      </c>
      <c r="AE2382" s="52" t="n">
        <v>0</v>
      </c>
      <c r="AF2382" s="51" t="n">
        <v>0</v>
      </c>
      <c r="AG2382" s="48" t="n">
        <v>0</v>
      </c>
      <c r="AH2382" s="49" t="n">
        <v>0</v>
      </c>
      <c r="AI2382" s="49" t="n">
        <v>0</v>
      </c>
      <c r="AJ2382" s="50" t="n">
        <v>0</v>
      </c>
      <c r="AK2382" s="51" t="n">
        <v>0</v>
      </c>
      <c r="AL2382" s="52" t="n">
        <v>0</v>
      </c>
      <c r="AM2382" s="52" t="n">
        <v>0</v>
      </c>
      <c r="AN2382" s="52" t="n">
        <v>0</v>
      </c>
      <c r="AO2382" s="53" t="n">
        <v>0</v>
      </c>
      <c r="AP2382" s="52" t="n">
        <v>0</v>
      </c>
      <c r="AQ2382" s="53" t="n">
        <v>0</v>
      </c>
      <c r="AR2382" s="52" t="n">
        <v>0</v>
      </c>
      <c r="AS2382" s="51" t="n">
        <v>0</v>
      </c>
      <c r="AT2382" s="48" t="n">
        <v>0</v>
      </c>
      <c r="AU2382" s="49" t="n">
        <v>0</v>
      </c>
      <c r="AV2382" s="49" t="n">
        <v>0</v>
      </c>
      <c r="AW2382" s="50" t="n">
        <v>0</v>
      </c>
      <c r="AX2382" s="51" t="n">
        <v>0</v>
      </c>
      <c r="AY2382" s="52" t="n">
        <v>0</v>
      </c>
      <c r="AZ2382" s="52" t="n">
        <v>0</v>
      </c>
      <c r="BA2382" s="52" t="n">
        <v>0</v>
      </c>
      <c r="BB2382" s="53" t="n">
        <v>0</v>
      </c>
      <c r="BC2382" s="52" t="n">
        <v>0</v>
      </c>
      <c r="BD2382" s="53" t="n">
        <v>0</v>
      </c>
      <c r="BE2382" s="52" t="n">
        <v>0</v>
      </c>
      <c r="BF2382" s="51" t="n">
        <v>0</v>
      </c>
    </row>
    <row r="2383">
      <c r="A2383">
        <f>HYPERLINK("https://www.walmart.com/ip/1957533576", "1957533576")</f>
        <v/>
      </c>
      <c r="B2383" t="inlineStr">
        <is>
          <t>Catalonia Wearable TV Blanket with Sleeves Arms Micro Plush Fleece Wrap Throw Robe 73 x 51”</t>
        </is>
      </c>
      <c r="C2383" t="inlineStr">
        <is>
          <t>1CTSN100SWSTAR</t>
        </is>
      </c>
      <c r="D2383" t="inlineStr">
        <is>
          <t>Throws</t>
        </is>
      </c>
      <c r="E2383" t="inlineStr">
        <is>
          <t>Catalonia</t>
        </is>
      </c>
      <c r="G2383" s="48" t="n">
        <v>0</v>
      </c>
      <c r="H2383" s="49" t="n">
        <v>0</v>
      </c>
      <c r="I2383" s="49" t="n">
        <v>0</v>
      </c>
      <c r="J2383" s="50" t="n">
        <v>0</v>
      </c>
      <c r="K2383" s="51" t="n">
        <v>0</v>
      </c>
      <c r="L2383" s="52" t="n">
        <v>0</v>
      </c>
      <c r="M2383" s="52" t="n">
        <v>0</v>
      </c>
      <c r="N2383" s="52" t="n">
        <v>0</v>
      </c>
      <c r="O2383" s="53" t="n">
        <v>0</v>
      </c>
      <c r="P2383" s="52" t="n">
        <v>0</v>
      </c>
      <c r="Q2383" s="53" t="n">
        <v>0</v>
      </c>
      <c r="R2383" s="52" t="n">
        <v>0</v>
      </c>
      <c r="S2383" s="51" t="n">
        <v>0</v>
      </c>
      <c r="T2383" s="48" t="n">
        <v>0</v>
      </c>
      <c r="U2383" s="49" t="n">
        <v>0</v>
      </c>
      <c r="V2383" s="49" t="n">
        <v>0</v>
      </c>
      <c r="W2383" s="50" t="n">
        <v>0</v>
      </c>
      <c r="X2383" s="51" t="n">
        <v>0</v>
      </c>
      <c r="Y2383" s="52" t="n">
        <v>0</v>
      </c>
      <c r="Z2383" s="52" t="n">
        <v>0</v>
      </c>
      <c r="AA2383" s="52" t="n">
        <v>0</v>
      </c>
      <c r="AB2383" s="53" t="n">
        <v>0</v>
      </c>
      <c r="AC2383" s="52" t="n">
        <v>0</v>
      </c>
      <c r="AD2383" s="53" t="n">
        <v>0</v>
      </c>
      <c r="AE2383" s="52" t="n">
        <v>0</v>
      </c>
      <c r="AF2383" s="51" t="n">
        <v>0</v>
      </c>
      <c r="AG2383" s="48" t="n">
        <v>0</v>
      </c>
      <c r="AH2383" s="49" t="n">
        <v>0</v>
      </c>
      <c r="AI2383" s="49" t="n">
        <v>0</v>
      </c>
      <c r="AJ2383" s="50" t="n">
        <v>0</v>
      </c>
      <c r="AK2383" s="51" t="n">
        <v>0</v>
      </c>
      <c r="AL2383" s="52" t="n">
        <v>0</v>
      </c>
      <c r="AM2383" s="52" t="n">
        <v>0</v>
      </c>
      <c r="AN2383" s="52" t="n">
        <v>0</v>
      </c>
      <c r="AO2383" s="53" t="n">
        <v>0</v>
      </c>
      <c r="AP2383" s="52" t="n">
        <v>0</v>
      </c>
      <c r="AQ2383" s="53" t="n">
        <v>0</v>
      </c>
      <c r="AR2383" s="52" t="n">
        <v>0</v>
      </c>
      <c r="AS2383" s="51" t="n">
        <v>0</v>
      </c>
      <c r="AT2383" s="48" t="n">
        <v>0</v>
      </c>
      <c r="AU2383" s="49" t="n">
        <v>0</v>
      </c>
      <c r="AV2383" s="49" t="n">
        <v>0</v>
      </c>
      <c r="AW2383" s="50" t="n">
        <v>0</v>
      </c>
      <c r="AX2383" s="51" t="n">
        <v>0</v>
      </c>
      <c r="AY2383" s="52" t="n">
        <v>0</v>
      </c>
      <c r="AZ2383" s="52" t="n">
        <v>0</v>
      </c>
      <c r="BA2383" s="52" t="n">
        <v>0</v>
      </c>
      <c r="BB2383" s="53" t="n">
        <v>0</v>
      </c>
      <c r="BC2383" s="52" t="n">
        <v>0</v>
      </c>
      <c r="BD2383" s="53" t="n">
        <v>0</v>
      </c>
      <c r="BE2383" s="52" t="n">
        <v>0</v>
      </c>
      <c r="BF2383" s="51" t="n">
        <v>0</v>
      </c>
    </row>
    <row r="2384">
      <c r="A2384">
        <f>HYPERLINK("https://www.walmart.com/ip/192912629", "192912629")</f>
        <v/>
      </c>
      <c r="B2384" t="inlineStr">
        <is>
          <t>Tirrinia Sherpa Pink Wearable Blanket for Adult Women, Men, Girlfriend, Super Soft Comfy Warm Plush Reading Throw with Sleeves TV Blanket Wrap Robe Cover for  Sofa, 72" x 55"</t>
        </is>
      </c>
      <c r="C2384" t="inlineStr">
        <is>
          <t>1TRSN110PK-TBCB</t>
        </is>
      </c>
      <c r="D2384" t="inlineStr">
        <is>
          <t>Throws</t>
        </is>
      </c>
      <c r="E2384" t="inlineStr">
        <is>
          <t>Tirrinia</t>
        </is>
      </c>
      <c r="F2384" t="inlineStr">
        <is>
          <t>Q2-Target,Optimized,Coupon_Discount</t>
        </is>
      </c>
      <c r="G2384" s="48" t="n">
        <v>0</v>
      </c>
      <c r="H2384" s="49" t="n">
        <v>0</v>
      </c>
      <c r="I2384" s="49" t="n">
        <v>0</v>
      </c>
      <c r="J2384" s="50" t="n">
        <v>0</v>
      </c>
      <c r="K2384" s="51" t="n">
        <v>0</v>
      </c>
      <c r="L2384" s="52" t="n">
        <v>0</v>
      </c>
      <c r="M2384" s="52" t="n">
        <v>0</v>
      </c>
      <c r="N2384" s="52" t="n">
        <v>0</v>
      </c>
      <c r="O2384" s="53" t="n">
        <v>0</v>
      </c>
      <c r="P2384" s="52" t="n">
        <v>0</v>
      </c>
      <c r="Q2384" s="53" t="n">
        <v>0</v>
      </c>
      <c r="R2384" s="52" t="n">
        <v>0</v>
      </c>
      <c r="S2384" s="51" t="n">
        <v>0</v>
      </c>
      <c r="T2384" s="48" t="n">
        <v>0</v>
      </c>
      <c r="U2384" s="49" t="n">
        <v>0</v>
      </c>
      <c r="V2384" s="49" t="n">
        <v>0</v>
      </c>
      <c r="W2384" s="50" t="n">
        <v>0</v>
      </c>
      <c r="X2384" s="51" t="n">
        <v>0</v>
      </c>
      <c r="Y2384" s="52" t="n">
        <v>0</v>
      </c>
      <c r="Z2384" s="52" t="n">
        <v>0</v>
      </c>
      <c r="AA2384" s="52" t="n">
        <v>0</v>
      </c>
      <c r="AB2384" s="53" t="n">
        <v>0</v>
      </c>
      <c r="AC2384" s="52" t="n">
        <v>0</v>
      </c>
      <c r="AD2384" s="53" t="n">
        <v>0</v>
      </c>
      <c r="AE2384" s="52" t="n">
        <v>0</v>
      </c>
      <c r="AF2384" s="51" t="n">
        <v>0</v>
      </c>
      <c r="AG2384" s="48" t="n">
        <v>0</v>
      </c>
      <c r="AH2384" s="49" t="n">
        <v>0</v>
      </c>
      <c r="AI2384" s="49" t="n">
        <v>0</v>
      </c>
      <c r="AJ2384" s="50" t="n">
        <v>0</v>
      </c>
      <c r="AK2384" s="51" t="n">
        <v>0</v>
      </c>
      <c r="AL2384" s="52" t="n">
        <v>0</v>
      </c>
      <c r="AM2384" s="52" t="n">
        <v>0</v>
      </c>
      <c r="AN2384" s="52" t="n">
        <v>0</v>
      </c>
      <c r="AO2384" s="53" t="n">
        <v>0</v>
      </c>
      <c r="AP2384" s="52" t="n">
        <v>0</v>
      </c>
      <c r="AQ2384" s="53" t="n">
        <v>0</v>
      </c>
      <c r="AR2384" s="52" t="n">
        <v>0</v>
      </c>
      <c r="AS2384" s="51" t="n">
        <v>0</v>
      </c>
      <c r="AT2384" s="48" t="n">
        <v>0</v>
      </c>
      <c r="AU2384" s="49" t="n">
        <v>0</v>
      </c>
      <c r="AV2384" s="49" t="n">
        <v>0</v>
      </c>
      <c r="AW2384" s="50" t="n">
        <v>0</v>
      </c>
      <c r="AX2384" s="51" t="n">
        <v>0</v>
      </c>
      <c r="AY2384" s="52" t="n">
        <v>0</v>
      </c>
      <c r="AZ2384" s="52" t="n">
        <v>0</v>
      </c>
      <c r="BA2384" s="52" t="n">
        <v>0</v>
      </c>
      <c r="BB2384" s="53" t="n">
        <v>0</v>
      </c>
      <c r="BC2384" s="52" t="n">
        <v>0</v>
      </c>
      <c r="BD2384" s="53" t="n">
        <v>0</v>
      </c>
      <c r="BE2384" s="52" t="n">
        <v>0</v>
      </c>
      <c r="BF2384" s="51" t="n">
        <v>0</v>
      </c>
    </row>
    <row r="2385">
      <c r="A2385">
        <f>HYPERLINK("https://www.walmart.com/ip/192876782", "192876782")</f>
        <v/>
      </c>
      <c r="B2385" t="inlineStr">
        <is>
          <t>Tirrinia Soft Sherpa Chevron Throw Blanket for Sofa or Couch Grey Reversible Fuzzy Micro Plush All Season Fleece TV Blanket 50" x 60"</t>
        </is>
      </c>
      <c r="C2385" t="inlineStr">
        <is>
          <t>1TRBF320GY-TBGM</t>
        </is>
      </c>
      <c r="D2385" t="inlineStr">
        <is>
          <t>Throws</t>
        </is>
      </c>
      <c r="E2385" t="inlineStr">
        <is>
          <t>Tirrinia</t>
        </is>
      </c>
      <c r="F2385" t="inlineStr">
        <is>
          <t>Batch 1 - TR</t>
        </is>
      </c>
      <c r="G2385" s="48" t="n">
        <v>0</v>
      </c>
      <c r="H2385" s="49" t="n">
        <v>0</v>
      </c>
      <c r="I2385" s="49" t="n">
        <v>0</v>
      </c>
      <c r="J2385" s="50" t="n">
        <v>0</v>
      </c>
      <c r="K2385" s="51" t="n">
        <v>0</v>
      </c>
      <c r="L2385" s="52" t="n">
        <v>0</v>
      </c>
      <c r="M2385" s="52" t="n">
        <v>0</v>
      </c>
      <c r="N2385" s="52" t="n">
        <v>0</v>
      </c>
      <c r="O2385" s="53" t="n">
        <v>0</v>
      </c>
      <c r="P2385" s="52" t="n">
        <v>0</v>
      </c>
      <c r="Q2385" s="53" t="n">
        <v>0</v>
      </c>
      <c r="R2385" s="52" t="n">
        <v>0</v>
      </c>
      <c r="S2385" s="51" t="n">
        <v>0</v>
      </c>
      <c r="T2385" s="48" t="n">
        <v>0</v>
      </c>
      <c r="U2385" s="49" t="n">
        <v>0</v>
      </c>
      <c r="V2385" s="49" t="n">
        <v>0</v>
      </c>
      <c r="W2385" s="50" t="n">
        <v>0</v>
      </c>
      <c r="X2385" s="51" t="n">
        <v>0</v>
      </c>
      <c r="Y2385" s="52" t="n">
        <v>0</v>
      </c>
      <c r="Z2385" s="52" t="n">
        <v>0</v>
      </c>
      <c r="AA2385" s="52" t="n">
        <v>0</v>
      </c>
      <c r="AB2385" s="53" t="n">
        <v>0</v>
      </c>
      <c r="AC2385" s="52" t="n">
        <v>0</v>
      </c>
      <c r="AD2385" s="53" t="n">
        <v>0</v>
      </c>
      <c r="AE2385" s="52" t="n">
        <v>0</v>
      </c>
      <c r="AF2385" s="51" t="n">
        <v>0</v>
      </c>
      <c r="AG2385" s="48" t="n">
        <v>0</v>
      </c>
      <c r="AH2385" s="49" t="n">
        <v>0</v>
      </c>
      <c r="AI2385" s="49" t="n">
        <v>0</v>
      </c>
      <c r="AJ2385" s="50" t="n">
        <v>0</v>
      </c>
      <c r="AK2385" s="51" t="n">
        <v>0</v>
      </c>
      <c r="AL2385" s="52" t="n">
        <v>0</v>
      </c>
      <c r="AM2385" s="52" t="n">
        <v>0</v>
      </c>
      <c r="AN2385" s="52" t="n">
        <v>0</v>
      </c>
      <c r="AO2385" s="53" t="n">
        <v>0</v>
      </c>
      <c r="AP2385" s="52" t="n">
        <v>0</v>
      </c>
      <c r="AQ2385" s="53" t="n">
        <v>0</v>
      </c>
      <c r="AR2385" s="52" t="n">
        <v>0</v>
      </c>
      <c r="AS2385" s="51" t="n">
        <v>0</v>
      </c>
      <c r="AT2385" s="48" t="n">
        <v>0</v>
      </c>
      <c r="AU2385" s="49" t="n">
        <v>0</v>
      </c>
      <c r="AV2385" s="49" t="n">
        <v>0</v>
      </c>
      <c r="AW2385" s="50" t="n">
        <v>0</v>
      </c>
      <c r="AX2385" s="51" t="n">
        <v>0</v>
      </c>
      <c r="AY2385" s="52" t="n">
        <v>0</v>
      </c>
      <c r="AZ2385" s="52" t="n">
        <v>0</v>
      </c>
      <c r="BA2385" s="52" t="n">
        <v>0</v>
      </c>
      <c r="BB2385" s="53" t="n">
        <v>0</v>
      </c>
      <c r="BC2385" s="52" t="n">
        <v>0</v>
      </c>
      <c r="BD2385" s="53" t="n">
        <v>0</v>
      </c>
      <c r="BE2385" s="52" t="n">
        <v>0</v>
      </c>
      <c r="BF2385" s="51" t="n">
        <v>0</v>
      </c>
    </row>
    <row r="2386">
      <c r="A2386">
        <f>HYPERLINK("https://www.walmart.com/ip/1928765080", "1928765080")</f>
        <v/>
      </c>
      <c r="B2386" t="inlineStr">
        <is>
          <t>Every Day is Christmas Glass Blown Ornaments Cute Hand Made Figurines Tree Decoration, Takeaway</t>
        </is>
      </c>
      <c r="C2386" t="inlineStr">
        <is>
          <t>EDC-FIGURINE-TAKEAWAY</t>
        </is>
      </c>
      <c r="D2386" t="inlineStr">
        <is>
          <t>Ornaments</t>
        </is>
      </c>
      <c r="E2386" t="inlineStr">
        <is>
          <t>Every Day is Christmas</t>
        </is>
      </c>
      <c r="G2386" s="48" t="n">
        <v>0</v>
      </c>
      <c r="H2386" s="49" t="n">
        <v>0</v>
      </c>
      <c r="I2386" s="49" t="n">
        <v>0</v>
      </c>
      <c r="J2386" s="50" t="n">
        <v>0</v>
      </c>
      <c r="K2386" s="51" t="n">
        <v>0</v>
      </c>
      <c r="L2386" s="52" t="n">
        <v>0</v>
      </c>
      <c r="M2386" s="52" t="n">
        <v>0</v>
      </c>
      <c r="N2386" s="52" t="n">
        <v>0</v>
      </c>
      <c r="O2386" s="53" t="n">
        <v>0</v>
      </c>
      <c r="P2386" s="52" t="n">
        <v>0</v>
      </c>
      <c r="Q2386" s="53" t="n">
        <v>0</v>
      </c>
      <c r="R2386" s="52" t="n">
        <v>0</v>
      </c>
      <c r="S2386" s="51" t="n">
        <v>0</v>
      </c>
      <c r="T2386" s="48" t="n">
        <v>0</v>
      </c>
      <c r="U2386" s="49" t="n">
        <v>0</v>
      </c>
      <c r="V2386" s="49" t="n">
        <v>0</v>
      </c>
      <c r="W2386" s="50" t="n">
        <v>0</v>
      </c>
      <c r="X2386" s="51" t="n">
        <v>0</v>
      </c>
      <c r="Y2386" s="52" t="n">
        <v>0</v>
      </c>
      <c r="Z2386" s="52" t="n">
        <v>0</v>
      </c>
      <c r="AA2386" s="52" t="n">
        <v>0</v>
      </c>
      <c r="AB2386" s="53" t="n">
        <v>0</v>
      </c>
      <c r="AC2386" s="52" t="n">
        <v>0</v>
      </c>
      <c r="AD2386" s="53" t="n">
        <v>0</v>
      </c>
      <c r="AE2386" s="52" t="n">
        <v>0</v>
      </c>
      <c r="AF2386" s="51" t="n">
        <v>0</v>
      </c>
      <c r="AG2386" s="48" t="n">
        <v>0</v>
      </c>
      <c r="AH2386" s="49" t="n">
        <v>0</v>
      </c>
      <c r="AI2386" s="49" t="n">
        <v>0</v>
      </c>
      <c r="AJ2386" s="50" t="n">
        <v>0</v>
      </c>
      <c r="AK2386" s="51" t="n">
        <v>0</v>
      </c>
      <c r="AL2386" s="52" t="n">
        <v>0</v>
      </c>
      <c r="AM2386" s="52" t="n">
        <v>0</v>
      </c>
      <c r="AN2386" s="52" t="n">
        <v>0</v>
      </c>
      <c r="AO2386" s="53" t="n">
        <v>0</v>
      </c>
      <c r="AP2386" s="52" t="n">
        <v>0</v>
      </c>
      <c r="AQ2386" s="53" t="n">
        <v>0</v>
      </c>
      <c r="AR2386" s="52" t="n">
        <v>0</v>
      </c>
      <c r="AS2386" s="51" t="n">
        <v>0</v>
      </c>
      <c r="AT2386" s="48" t="n">
        <v>0</v>
      </c>
      <c r="AU2386" s="49" t="n">
        <v>0</v>
      </c>
      <c r="AV2386" s="49" t="n">
        <v>0</v>
      </c>
      <c r="AW2386" s="50" t="n">
        <v>0</v>
      </c>
      <c r="AX2386" s="51" t="n">
        <v>0</v>
      </c>
      <c r="AY2386" s="52" t="n">
        <v>0</v>
      </c>
      <c r="AZ2386" s="52" t="n">
        <v>0</v>
      </c>
      <c r="BA2386" s="52" t="n">
        <v>0</v>
      </c>
      <c r="BB2386" s="53" t="n">
        <v>0</v>
      </c>
      <c r="BC2386" s="52" t="n">
        <v>0</v>
      </c>
      <c r="BD2386" s="53" t="n">
        <v>0</v>
      </c>
      <c r="BE2386" s="52" t="n">
        <v>0</v>
      </c>
      <c r="BF2386" s="51" t="n">
        <v>0</v>
      </c>
    </row>
    <row r="2387">
      <c r="A2387">
        <f>HYPERLINK("https://www.walmart.com/ip/1928359443", "1928359443")</f>
        <v/>
      </c>
      <c r="B2387" t="inlineStr">
        <is>
          <t>Every Day is Christmas Glass Blown Ornaments Cute Hand Made Figurines Tree Decoration, Crayons</t>
        </is>
      </c>
      <c r="C2387" t="inlineStr">
        <is>
          <t>EDC-FIGURINE-CRAYONS</t>
        </is>
      </c>
      <c r="D2387" t="inlineStr">
        <is>
          <t>Ornaments</t>
        </is>
      </c>
      <c r="E2387" t="inlineStr">
        <is>
          <t>Every Day is Christmas</t>
        </is>
      </c>
      <c r="G2387" s="48" t="n">
        <v>0</v>
      </c>
      <c r="H2387" s="49" t="n">
        <v>0</v>
      </c>
      <c r="I2387" s="49" t="n">
        <v>0</v>
      </c>
      <c r="J2387" s="50" t="n">
        <v>0</v>
      </c>
      <c r="K2387" s="51" t="n">
        <v>0</v>
      </c>
      <c r="L2387" s="52" t="n">
        <v>0</v>
      </c>
      <c r="M2387" s="52" t="n">
        <v>0</v>
      </c>
      <c r="N2387" s="52" t="n">
        <v>0</v>
      </c>
      <c r="O2387" s="53" t="n">
        <v>0</v>
      </c>
      <c r="P2387" s="52" t="n">
        <v>0</v>
      </c>
      <c r="Q2387" s="53" t="n">
        <v>0</v>
      </c>
      <c r="R2387" s="52" t="n">
        <v>0</v>
      </c>
      <c r="S2387" s="51" t="n">
        <v>0</v>
      </c>
      <c r="T2387" s="48" t="n">
        <v>0</v>
      </c>
      <c r="U2387" s="49" t="n">
        <v>0</v>
      </c>
      <c r="V2387" s="49" t="n">
        <v>0</v>
      </c>
      <c r="W2387" s="50" t="n">
        <v>0</v>
      </c>
      <c r="X2387" s="51" t="n">
        <v>0</v>
      </c>
      <c r="Y2387" s="52" t="n">
        <v>0</v>
      </c>
      <c r="Z2387" s="52" t="n">
        <v>0</v>
      </c>
      <c r="AA2387" s="52" t="n">
        <v>0</v>
      </c>
      <c r="AB2387" s="53" t="n">
        <v>0</v>
      </c>
      <c r="AC2387" s="52" t="n">
        <v>0</v>
      </c>
      <c r="AD2387" s="53" t="n">
        <v>0</v>
      </c>
      <c r="AE2387" s="52" t="n">
        <v>0</v>
      </c>
      <c r="AF2387" s="51" t="n">
        <v>0</v>
      </c>
      <c r="AG2387" s="48" t="n">
        <v>0</v>
      </c>
      <c r="AH2387" s="49" t="n">
        <v>0</v>
      </c>
      <c r="AI2387" s="49" t="n">
        <v>0</v>
      </c>
      <c r="AJ2387" s="50" t="n">
        <v>0</v>
      </c>
      <c r="AK2387" s="51" t="n">
        <v>0</v>
      </c>
      <c r="AL2387" s="52" t="n">
        <v>0</v>
      </c>
      <c r="AM2387" s="52" t="n">
        <v>0</v>
      </c>
      <c r="AN2387" s="52" t="n">
        <v>0</v>
      </c>
      <c r="AO2387" s="53" t="n">
        <v>0</v>
      </c>
      <c r="AP2387" s="52" t="n">
        <v>0</v>
      </c>
      <c r="AQ2387" s="53" t="n">
        <v>0</v>
      </c>
      <c r="AR2387" s="52" t="n">
        <v>0</v>
      </c>
      <c r="AS2387" s="51" t="n">
        <v>0</v>
      </c>
      <c r="AT2387" s="48" t="n">
        <v>0</v>
      </c>
      <c r="AU2387" s="49" t="n">
        <v>0</v>
      </c>
      <c r="AV2387" s="49" t="n">
        <v>0</v>
      </c>
      <c r="AW2387" s="50" t="n">
        <v>0</v>
      </c>
      <c r="AX2387" s="51" t="n">
        <v>0</v>
      </c>
      <c r="AY2387" s="52" t="n">
        <v>0</v>
      </c>
      <c r="AZ2387" s="52" t="n">
        <v>0</v>
      </c>
      <c r="BA2387" s="52" t="n">
        <v>0</v>
      </c>
      <c r="BB2387" s="53" t="n">
        <v>0</v>
      </c>
      <c r="BC2387" s="52" t="n">
        <v>0</v>
      </c>
      <c r="BD2387" s="53" t="n">
        <v>0</v>
      </c>
      <c r="BE2387" s="52" t="n">
        <v>0</v>
      </c>
      <c r="BF2387" s="51" t="n">
        <v>0</v>
      </c>
    </row>
    <row r="2388">
      <c r="A2388">
        <f>HYPERLINK("https://www.walmart.com/ip/1816502463", "1816502463")</f>
        <v/>
      </c>
      <c r="B2388" t="inlineStr">
        <is>
          <t>12 Pack Sun Blocker Women's Sun Hat Reversible Bucket Cap UPF 50+ Travel Beach Hat, Hawaii Flower Print Pink Pattern</t>
        </is>
      </c>
      <c r="C2388" t="inlineStr">
        <is>
          <t>KC-S9200FLW-PK-12pcs</t>
        </is>
      </c>
      <c r="D2388" t="inlineStr">
        <is>
          <t>Hats</t>
        </is>
      </c>
      <c r="E2388" t="inlineStr">
        <is>
          <t>Sun Blocker</t>
        </is>
      </c>
      <c r="F2388" t="inlineStr">
        <is>
          <t>Batch 1 - TR</t>
        </is>
      </c>
      <c r="G2388" s="48" t="n">
        <v>0</v>
      </c>
      <c r="H2388" s="49" t="n">
        <v>0</v>
      </c>
      <c r="I2388" s="49" t="n">
        <v>0</v>
      </c>
      <c r="J2388" s="50" t="n">
        <v>0</v>
      </c>
      <c r="K2388" s="51" t="n">
        <v>0</v>
      </c>
      <c r="L2388" s="52" t="n">
        <v>0</v>
      </c>
      <c r="M2388" s="52" t="n">
        <v>0</v>
      </c>
      <c r="N2388" s="52" t="n">
        <v>0</v>
      </c>
      <c r="O2388" s="53" t="n">
        <v>0</v>
      </c>
      <c r="P2388" s="52" t="n">
        <v>0</v>
      </c>
      <c r="Q2388" s="53" t="n">
        <v>0</v>
      </c>
      <c r="R2388" s="52" t="n">
        <v>0</v>
      </c>
      <c r="S2388" s="51" t="n">
        <v>0</v>
      </c>
      <c r="T2388" s="48" t="n">
        <v>0</v>
      </c>
      <c r="U2388" s="49" t="n">
        <v>0</v>
      </c>
      <c r="V2388" s="49" t="n">
        <v>0</v>
      </c>
      <c r="W2388" s="50" t="n">
        <v>0</v>
      </c>
      <c r="X2388" s="51" t="n">
        <v>0</v>
      </c>
      <c r="Y2388" s="52" t="n">
        <v>0</v>
      </c>
      <c r="Z2388" s="52" t="n">
        <v>0</v>
      </c>
      <c r="AA2388" s="52" t="n">
        <v>0</v>
      </c>
      <c r="AB2388" s="53" t="n">
        <v>0</v>
      </c>
      <c r="AC2388" s="52" t="n">
        <v>0</v>
      </c>
      <c r="AD2388" s="53" t="n">
        <v>0</v>
      </c>
      <c r="AE2388" s="52" t="n">
        <v>0</v>
      </c>
      <c r="AF2388" s="51" t="n">
        <v>0</v>
      </c>
      <c r="AG2388" s="48" t="n">
        <v>0</v>
      </c>
      <c r="AH2388" s="49" t="n">
        <v>0</v>
      </c>
      <c r="AI2388" s="49" t="n">
        <v>0</v>
      </c>
      <c r="AJ2388" s="50" t="n">
        <v>0</v>
      </c>
      <c r="AK2388" s="51" t="n">
        <v>0</v>
      </c>
      <c r="AL2388" s="52" t="n">
        <v>0</v>
      </c>
      <c r="AM2388" s="52" t="n">
        <v>0</v>
      </c>
      <c r="AN2388" s="52" t="n">
        <v>0</v>
      </c>
      <c r="AO2388" s="53" t="n">
        <v>0</v>
      </c>
      <c r="AP2388" s="52" t="n">
        <v>0</v>
      </c>
      <c r="AQ2388" s="53" t="n">
        <v>0</v>
      </c>
      <c r="AR2388" s="52" t="n">
        <v>0</v>
      </c>
      <c r="AS2388" s="51" t="n">
        <v>0</v>
      </c>
      <c r="AT2388" s="48" t="n">
        <v>0</v>
      </c>
      <c r="AU2388" s="49" t="n">
        <v>0</v>
      </c>
      <c r="AV2388" s="49" t="n">
        <v>0</v>
      </c>
      <c r="AW2388" s="50" t="n">
        <v>0</v>
      </c>
      <c r="AX2388" s="51" t="n">
        <v>0</v>
      </c>
      <c r="AY2388" s="52" t="n">
        <v>0</v>
      </c>
      <c r="AZ2388" s="52" t="n">
        <v>0</v>
      </c>
      <c r="BA2388" s="52" t="n">
        <v>0</v>
      </c>
      <c r="BB2388" s="53" t="n">
        <v>0</v>
      </c>
      <c r="BC2388" s="52" t="n">
        <v>0</v>
      </c>
      <c r="BD2388" s="53" t="n">
        <v>0</v>
      </c>
      <c r="BE2388" s="52" t="n">
        <v>0</v>
      </c>
      <c r="BF2388" s="51" t="n">
        <v>0</v>
      </c>
    </row>
    <row r="2389">
      <c r="A2389">
        <f>HYPERLINK("https://www.walmart.com/ip/190969943", "190969943")</f>
        <v/>
      </c>
      <c r="B2389" t="inlineStr">
        <is>
          <t>Flyingstar Woman Sweatshirt Dress, Casual Ladies Pullover, Juniors Hoodie Dress with Kangaroo Pocket, One Size, Grey</t>
        </is>
      </c>
      <c r="C2389" t="inlineStr">
        <is>
          <t>1WMHD530S1GY</t>
        </is>
      </c>
      <c r="D2389" t="inlineStr">
        <is>
          <t>Sweatshirts &amp; Hoodies</t>
        </is>
      </c>
      <c r="E2389" t="inlineStr">
        <is>
          <t>Flyingstar</t>
        </is>
      </c>
      <c r="F2389" t="inlineStr">
        <is>
          <t>Hoodie ForAdult,Optimized</t>
        </is>
      </c>
      <c r="G2389" s="48" t="n">
        <v>0</v>
      </c>
      <c r="H2389" s="49" t="n">
        <v>0</v>
      </c>
      <c r="I2389" s="49" t="n">
        <v>0</v>
      </c>
      <c r="J2389" s="50" t="n">
        <v>0</v>
      </c>
      <c r="K2389" s="51" t="n">
        <v>0</v>
      </c>
      <c r="L2389" s="52" t="n">
        <v>0</v>
      </c>
      <c r="M2389" s="52" t="n">
        <v>0</v>
      </c>
      <c r="N2389" s="52" t="n">
        <v>0</v>
      </c>
      <c r="O2389" s="53" t="n">
        <v>0</v>
      </c>
      <c r="P2389" s="52" t="n">
        <v>0</v>
      </c>
      <c r="Q2389" s="53" t="n">
        <v>0</v>
      </c>
      <c r="R2389" s="52" t="n">
        <v>0</v>
      </c>
      <c r="S2389" s="51" t="n">
        <v>0</v>
      </c>
      <c r="T2389" s="48" t="n">
        <v>0</v>
      </c>
      <c r="U2389" s="49" t="n">
        <v>0</v>
      </c>
      <c r="V2389" s="49" t="n">
        <v>0</v>
      </c>
      <c r="W2389" s="50" t="n">
        <v>0</v>
      </c>
      <c r="X2389" s="51" t="n">
        <v>0</v>
      </c>
      <c r="Y2389" s="52" t="n">
        <v>0</v>
      </c>
      <c r="Z2389" s="52" t="n">
        <v>0</v>
      </c>
      <c r="AA2389" s="52" t="n">
        <v>0</v>
      </c>
      <c r="AB2389" s="53" t="n">
        <v>0</v>
      </c>
      <c r="AC2389" s="52" t="n">
        <v>0</v>
      </c>
      <c r="AD2389" s="53" t="n">
        <v>0</v>
      </c>
      <c r="AE2389" s="52" t="n">
        <v>0</v>
      </c>
      <c r="AF2389" s="51" t="n">
        <v>0</v>
      </c>
      <c r="AG2389" s="48" t="n">
        <v>0</v>
      </c>
      <c r="AH2389" s="49" t="n">
        <v>0</v>
      </c>
      <c r="AI2389" s="49" t="n">
        <v>0</v>
      </c>
      <c r="AJ2389" s="50" t="n">
        <v>0</v>
      </c>
      <c r="AK2389" s="51" t="n">
        <v>0</v>
      </c>
      <c r="AL2389" s="52" t="n">
        <v>0</v>
      </c>
      <c r="AM2389" s="52" t="n">
        <v>0</v>
      </c>
      <c r="AN2389" s="52" t="n">
        <v>0</v>
      </c>
      <c r="AO2389" s="53" t="n">
        <v>0</v>
      </c>
      <c r="AP2389" s="52" t="n">
        <v>0</v>
      </c>
      <c r="AQ2389" s="53" t="n">
        <v>0</v>
      </c>
      <c r="AR2389" s="52" t="n">
        <v>0</v>
      </c>
      <c r="AS2389" s="51" t="n">
        <v>0</v>
      </c>
      <c r="AT2389" s="48" t="n">
        <v>0</v>
      </c>
      <c r="AU2389" s="49" t="n">
        <v>0</v>
      </c>
      <c r="AV2389" s="49" t="n">
        <v>0</v>
      </c>
      <c r="AW2389" s="50" t="n">
        <v>0</v>
      </c>
      <c r="AX2389" s="51" t="n">
        <v>0</v>
      </c>
      <c r="AY2389" s="52" t="n">
        <v>0</v>
      </c>
      <c r="AZ2389" s="52" t="n">
        <v>0</v>
      </c>
      <c r="BA2389" s="52" t="n">
        <v>0</v>
      </c>
      <c r="BB2389" s="53" t="n">
        <v>0</v>
      </c>
      <c r="BC2389" s="52" t="n">
        <v>0</v>
      </c>
      <c r="BD2389" s="53" t="n">
        <v>0</v>
      </c>
      <c r="BE2389" s="52" t="n">
        <v>0</v>
      </c>
      <c r="BF2389" s="51" t="n">
        <v>0</v>
      </c>
    </row>
    <row r="2390">
      <c r="A2390">
        <f>HYPERLINK("https://www.walmart.com/ip/191240069", "191240069")</f>
        <v/>
      </c>
      <c r="B2390" t="inlineStr">
        <is>
          <t>Men's Boxer Briefs Assorted Mens Underwear with Cotton Classic Stretch , 3-Pack by Terra</t>
        </is>
      </c>
      <c r="C2390" t="inlineStr">
        <is>
          <t>TERRABOXERSET1-L</t>
        </is>
      </c>
      <c r="D2390" t="inlineStr">
        <is>
          <t>Underpants</t>
        </is>
      </c>
      <c r="E2390" t="inlineStr">
        <is>
          <t>Terra</t>
        </is>
      </c>
      <c r="F2390" t="inlineStr">
        <is>
          <t>WFS,WFS Item</t>
        </is>
      </c>
      <c r="G2390" s="48" t="n">
        <v>0</v>
      </c>
      <c r="H2390" s="49" t="n">
        <v>0</v>
      </c>
      <c r="I2390" s="49" t="n">
        <v>0</v>
      </c>
      <c r="J2390" s="50" t="n">
        <v>0</v>
      </c>
      <c r="K2390" s="51" t="n">
        <v>0</v>
      </c>
      <c r="L2390" s="52" t="n">
        <v>0</v>
      </c>
      <c r="M2390" s="52" t="n">
        <v>0</v>
      </c>
      <c r="N2390" s="52" t="n">
        <v>0</v>
      </c>
      <c r="O2390" s="53" t="n">
        <v>0</v>
      </c>
      <c r="P2390" s="52" t="n">
        <v>0</v>
      </c>
      <c r="Q2390" s="53" t="n">
        <v>0</v>
      </c>
      <c r="R2390" s="52" t="n">
        <v>0</v>
      </c>
      <c r="S2390" s="51" t="n">
        <v>0</v>
      </c>
      <c r="T2390" s="48" t="n">
        <v>0</v>
      </c>
      <c r="U2390" s="49" t="n">
        <v>0</v>
      </c>
      <c r="V2390" s="49" t="n">
        <v>0</v>
      </c>
      <c r="W2390" s="50" t="n">
        <v>0</v>
      </c>
      <c r="X2390" s="51" t="n">
        <v>0</v>
      </c>
      <c r="Y2390" s="52" t="n">
        <v>0</v>
      </c>
      <c r="Z2390" s="52" t="n">
        <v>0</v>
      </c>
      <c r="AA2390" s="52" t="n">
        <v>0</v>
      </c>
      <c r="AB2390" s="53" t="n">
        <v>0</v>
      </c>
      <c r="AC2390" s="52" t="n">
        <v>0</v>
      </c>
      <c r="AD2390" s="53" t="n">
        <v>0</v>
      </c>
      <c r="AE2390" s="52" t="n">
        <v>0</v>
      </c>
      <c r="AF2390" s="51" t="n">
        <v>0</v>
      </c>
      <c r="AG2390" s="48" t="n">
        <v>0</v>
      </c>
      <c r="AH2390" s="49" t="n">
        <v>0</v>
      </c>
      <c r="AI2390" s="49" t="n">
        <v>0</v>
      </c>
      <c r="AJ2390" s="50" t="n">
        <v>0</v>
      </c>
      <c r="AK2390" s="51" t="n">
        <v>0</v>
      </c>
      <c r="AL2390" s="52" t="n">
        <v>0</v>
      </c>
      <c r="AM2390" s="52" t="n">
        <v>0</v>
      </c>
      <c r="AN2390" s="52" t="n">
        <v>0</v>
      </c>
      <c r="AO2390" s="53" t="n">
        <v>0</v>
      </c>
      <c r="AP2390" s="52" t="n">
        <v>0</v>
      </c>
      <c r="AQ2390" s="53" t="n">
        <v>0</v>
      </c>
      <c r="AR2390" s="52" t="n">
        <v>0</v>
      </c>
      <c r="AS2390" s="51" t="n">
        <v>0</v>
      </c>
      <c r="AT2390" s="48" t="n">
        <v>0</v>
      </c>
      <c r="AU2390" s="49" t="n">
        <v>0</v>
      </c>
      <c r="AV2390" s="49" t="n">
        <v>0</v>
      </c>
      <c r="AW2390" s="50" t="n">
        <v>0</v>
      </c>
      <c r="AX2390" s="51" t="n">
        <v>0</v>
      </c>
      <c r="AY2390" s="52" t="n">
        <v>0</v>
      </c>
      <c r="AZ2390" s="52" t="n">
        <v>0</v>
      </c>
      <c r="BA2390" s="52" t="n">
        <v>0</v>
      </c>
      <c r="BB2390" s="53" t="n">
        <v>0</v>
      </c>
      <c r="BC2390" s="52" t="n">
        <v>0</v>
      </c>
      <c r="BD2390" s="53" t="n">
        <v>0</v>
      </c>
      <c r="BE2390" s="52" t="n">
        <v>0</v>
      </c>
      <c r="BF2390" s="51" t="n">
        <v>0</v>
      </c>
    </row>
    <row r="2391">
      <c r="A2391">
        <f>HYPERLINK("https://www.walmart.com/ip/191247348", "191247348")</f>
        <v/>
      </c>
      <c r="B2391" t="inlineStr">
        <is>
          <t>KC Caps Unisex Adjustable Ring Buckle Closure USA Flag Embroidered Cap Hat</t>
        </is>
      </c>
      <c r="C2391" t="inlineStr">
        <is>
          <t>kc-aeemb-wt</t>
        </is>
      </c>
      <c r="D2391" t="inlineStr">
        <is>
          <t>Hats</t>
        </is>
      </c>
      <c r="E2391" t="inlineStr">
        <is>
          <t>KC Caps</t>
        </is>
      </c>
      <c r="F2391" t="inlineStr">
        <is>
          <t>Optimized</t>
        </is>
      </c>
      <c r="G2391" s="48" t="n">
        <v>0</v>
      </c>
      <c r="H2391" s="49" t="n">
        <v>0</v>
      </c>
      <c r="I2391" s="49" t="n">
        <v>0</v>
      </c>
      <c r="J2391" s="50" t="n">
        <v>0</v>
      </c>
      <c r="K2391" s="51" t="n">
        <v>0</v>
      </c>
      <c r="L2391" s="52" t="n">
        <v>0</v>
      </c>
      <c r="M2391" s="52" t="n">
        <v>0</v>
      </c>
      <c r="N2391" s="52" t="n">
        <v>0</v>
      </c>
      <c r="O2391" s="53" t="n">
        <v>0</v>
      </c>
      <c r="P2391" s="52" t="n">
        <v>0</v>
      </c>
      <c r="Q2391" s="53" t="n">
        <v>0</v>
      </c>
      <c r="R2391" s="52" t="n">
        <v>0</v>
      </c>
      <c r="S2391" s="51" t="n">
        <v>0</v>
      </c>
      <c r="T2391" s="48" t="n">
        <v>0</v>
      </c>
      <c r="U2391" s="49" t="n">
        <v>0</v>
      </c>
      <c r="V2391" s="49" t="n">
        <v>0</v>
      </c>
      <c r="W2391" s="50" t="n">
        <v>0</v>
      </c>
      <c r="X2391" s="51" t="n">
        <v>0</v>
      </c>
      <c r="Y2391" s="52" t="n">
        <v>0</v>
      </c>
      <c r="Z2391" s="52" t="n">
        <v>0</v>
      </c>
      <c r="AA2391" s="52" t="n">
        <v>0</v>
      </c>
      <c r="AB2391" s="53" t="n">
        <v>0</v>
      </c>
      <c r="AC2391" s="52" t="n">
        <v>0</v>
      </c>
      <c r="AD2391" s="53" t="n">
        <v>0</v>
      </c>
      <c r="AE2391" s="52" t="n">
        <v>0</v>
      </c>
      <c r="AF2391" s="51" t="n">
        <v>0</v>
      </c>
      <c r="AG2391" s="48" t="n">
        <v>0</v>
      </c>
      <c r="AH2391" s="49" t="n">
        <v>0</v>
      </c>
      <c r="AI2391" s="49" t="n">
        <v>0</v>
      </c>
      <c r="AJ2391" s="50" t="n">
        <v>0</v>
      </c>
      <c r="AK2391" s="51" t="n">
        <v>0</v>
      </c>
      <c r="AL2391" s="52" t="n">
        <v>0</v>
      </c>
      <c r="AM2391" s="52" t="n">
        <v>0</v>
      </c>
      <c r="AN2391" s="52" t="n">
        <v>0</v>
      </c>
      <c r="AO2391" s="53" t="n">
        <v>0</v>
      </c>
      <c r="AP2391" s="52" t="n">
        <v>0</v>
      </c>
      <c r="AQ2391" s="53" t="n">
        <v>0</v>
      </c>
      <c r="AR2391" s="52" t="n">
        <v>0</v>
      </c>
      <c r="AS2391" s="51" t="n">
        <v>0</v>
      </c>
      <c r="AT2391" s="48" t="n">
        <v>0</v>
      </c>
      <c r="AU2391" s="49" t="n">
        <v>0</v>
      </c>
      <c r="AV2391" s="49" t="n">
        <v>0</v>
      </c>
      <c r="AW2391" s="50" t="n">
        <v>0</v>
      </c>
      <c r="AX2391" s="51" t="n">
        <v>0</v>
      </c>
      <c r="AY2391" s="52" t="n">
        <v>0</v>
      </c>
      <c r="AZ2391" s="52" t="n">
        <v>0</v>
      </c>
      <c r="BA2391" s="52" t="n">
        <v>0</v>
      </c>
      <c r="BB2391" s="53" t="n">
        <v>0</v>
      </c>
      <c r="BC2391" s="52" t="n">
        <v>0</v>
      </c>
      <c r="BD2391" s="53" t="n">
        <v>0</v>
      </c>
      <c r="BE2391" s="52" t="n">
        <v>0</v>
      </c>
      <c r="BF2391" s="51" t="n">
        <v>0</v>
      </c>
    </row>
    <row r="2392">
      <c r="A2392">
        <f>HYPERLINK("https://www.walmart.com/ip/191262377", "191262377")</f>
        <v/>
      </c>
      <c r="B2392" t="inlineStr">
        <is>
          <t>Tirrinia Insulated Lunch Bag for Women Men, Leakproof Thermal Reusable Lunch Box with 4 Pockets for Adult, Kids, Student, Lunch Bag Cooler Tote for Office Work, Back to School, Charcoal</t>
        </is>
      </c>
      <c r="C2392" t="inlineStr">
        <is>
          <t>1TRLB702CH-N</t>
        </is>
      </c>
      <c r="D2392" t="inlineStr">
        <is>
          <t>Reusable Lunch Bags &amp; Boxes</t>
        </is>
      </c>
      <c r="E2392" t="inlineStr">
        <is>
          <t>Tirrinia</t>
        </is>
      </c>
      <c r="F2392" t="inlineStr">
        <is>
          <t>Q2-Target,Brand Camp VD,Lunch Bag,WFS,Lunch Bags,SEM,WFS Item,AMZ Bestsellers</t>
        </is>
      </c>
      <c r="G2392" s="48" t="n">
        <v>0</v>
      </c>
      <c r="H2392" s="49" t="n">
        <v>0</v>
      </c>
      <c r="I2392" s="49" t="n">
        <v>0</v>
      </c>
      <c r="J2392" s="50" t="n">
        <v>0</v>
      </c>
      <c r="K2392" s="51" t="n">
        <v>0</v>
      </c>
      <c r="L2392" s="52" t="n">
        <v>0</v>
      </c>
      <c r="M2392" s="52" t="n">
        <v>0</v>
      </c>
      <c r="N2392" s="52" t="n">
        <v>0</v>
      </c>
      <c r="O2392" s="53" t="n">
        <v>0</v>
      </c>
      <c r="P2392" s="52" t="n">
        <v>0</v>
      </c>
      <c r="Q2392" s="53" t="n">
        <v>0</v>
      </c>
      <c r="R2392" s="52" t="n">
        <v>0</v>
      </c>
      <c r="S2392" s="51" t="n">
        <v>0</v>
      </c>
      <c r="T2392" s="48" t="n">
        <v>0</v>
      </c>
      <c r="U2392" s="49" t="n">
        <v>0</v>
      </c>
      <c r="V2392" s="49" t="n">
        <v>0</v>
      </c>
      <c r="W2392" s="50" t="n">
        <v>0</v>
      </c>
      <c r="X2392" s="51" t="n">
        <v>0</v>
      </c>
      <c r="Y2392" s="52" t="n">
        <v>0</v>
      </c>
      <c r="Z2392" s="52" t="n">
        <v>0</v>
      </c>
      <c r="AA2392" s="52" t="n">
        <v>0</v>
      </c>
      <c r="AB2392" s="53" t="n">
        <v>0</v>
      </c>
      <c r="AC2392" s="52" t="n">
        <v>0</v>
      </c>
      <c r="AD2392" s="53" t="n">
        <v>0</v>
      </c>
      <c r="AE2392" s="52" t="n">
        <v>0</v>
      </c>
      <c r="AF2392" s="51" t="n">
        <v>0</v>
      </c>
      <c r="AG2392" s="48" t="n">
        <v>0</v>
      </c>
      <c r="AH2392" s="49" t="n">
        <v>0</v>
      </c>
      <c r="AI2392" s="49" t="n">
        <v>0</v>
      </c>
      <c r="AJ2392" s="50" t="n">
        <v>0</v>
      </c>
      <c r="AK2392" s="51" t="n">
        <v>0</v>
      </c>
      <c r="AL2392" s="52" t="n">
        <v>0</v>
      </c>
      <c r="AM2392" s="52" t="n">
        <v>0</v>
      </c>
      <c r="AN2392" s="52" t="n">
        <v>0</v>
      </c>
      <c r="AO2392" s="53" t="n">
        <v>0</v>
      </c>
      <c r="AP2392" s="52" t="n">
        <v>0</v>
      </c>
      <c r="AQ2392" s="53" t="n">
        <v>0</v>
      </c>
      <c r="AR2392" s="52" t="n">
        <v>0</v>
      </c>
      <c r="AS2392" s="51" t="n">
        <v>0</v>
      </c>
      <c r="AT2392" s="48" t="n">
        <v>0</v>
      </c>
      <c r="AU2392" s="49" t="n">
        <v>0</v>
      </c>
      <c r="AV2392" s="49" t="n">
        <v>0</v>
      </c>
      <c r="AW2392" s="50" t="n">
        <v>0</v>
      </c>
      <c r="AX2392" s="51" t="n">
        <v>0</v>
      </c>
      <c r="AY2392" s="52" t="n">
        <v>0</v>
      </c>
      <c r="AZ2392" s="52" t="n">
        <v>0</v>
      </c>
      <c r="BA2392" s="52" t="n">
        <v>0</v>
      </c>
      <c r="BB2392" s="53" t="n">
        <v>0</v>
      </c>
      <c r="BC2392" s="52" t="n">
        <v>0</v>
      </c>
      <c r="BD2392" s="53" t="n">
        <v>0</v>
      </c>
      <c r="BE2392" s="52" t="n">
        <v>0</v>
      </c>
      <c r="BF2392" s="51" t="n">
        <v>0</v>
      </c>
    </row>
    <row r="2393">
      <c r="A2393">
        <f>HYPERLINK("https://www.walmart.com/ip/1913460330", "1913460330")</f>
        <v/>
      </c>
      <c r="B2393" t="inlineStr">
        <is>
          <t>Tirrinia Large Insulated Lunch Tote Bag for Women, Waterproof Oxford Cloth Leakproof Cooler Bag, Shopping Food Grocery Bag for Work or Beach, Gray</t>
        </is>
      </c>
      <c r="C2393" t="inlineStr">
        <is>
          <t>1TRCB800GY</t>
        </is>
      </c>
      <c r="D2393" t="inlineStr">
        <is>
          <t>Reusable Lunch Bags &amp; Boxes</t>
        </is>
      </c>
      <c r="E2393" t="inlineStr">
        <is>
          <t>Tirrinia</t>
        </is>
      </c>
      <c r="F2393" t="inlineStr">
        <is>
          <t>Q2-Target,Batch 1 - TR</t>
        </is>
      </c>
      <c r="G2393" s="48" t="n">
        <v>0</v>
      </c>
      <c r="H2393" s="49" t="n">
        <v>0</v>
      </c>
      <c r="I2393" s="49" t="n">
        <v>9</v>
      </c>
      <c r="J2393" s="50" t="n">
        <v>0</v>
      </c>
      <c r="K2393" s="51" t="n">
        <v>0</v>
      </c>
      <c r="L2393" s="52" t="n">
        <v>0</v>
      </c>
      <c r="M2393" s="52" t="n">
        <v>0</v>
      </c>
      <c r="N2393" s="52" t="n">
        <v>0</v>
      </c>
      <c r="O2393" s="53" t="n">
        <v>0</v>
      </c>
      <c r="P2393" s="52" t="n">
        <v>0</v>
      </c>
      <c r="Q2393" s="53" t="n">
        <v>0</v>
      </c>
      <c r="R2393" s="52" t="n">
        <v>0</v>
      </c>
      <c r="S2393" s="51" t="n">
        <v>0</v>
      </c>
      <c r="T2393" s="48" t="n">
        <v>31.98</v>
      </c>
      <c r="U2393" s="49" t="n">
        <v>2</v>
      </c>
      <c r="V2393" s="49" t="n">
        <v>15</v>
      </c>
      <c r="W2393" s="50" t="n">
        <v>0.1333333333333333</v>
      </c>
      <c r="X2393" s="51" t="n">
        <v>0</v>
      </c>
      <c r="Y2393" s="52" t="n">
        <v>0</v>
      </c>
      <c r="Z2393" s="52" t="n">
        <v>0</v>
      </c>
      <c r="AA2393" s="52" t="n">
        <v>0</v>
      </c>
      <c r="AB2393" s="53" t="n">
        <v>0</v>
      </c>
      <c r="AC2393" s="52" t="n">
        <v>0</v>
      </c>
      <c r="AD2393" s="53" t="n">
        <v>0</v>
      </c>
      <c r="AE2393" s="52" t="n">
        <v>15.99</v>
      </c>
      <c r="AF2393" s="51" t="n">
        <v>0</v>
      </c>
      <c r="AG2393" s="48" t="n">
        <v>-15.99</v>
      </c>
      <c r="AH2393" s="49" t="n">
        <v>-1</v>
      </c>
      <c r="AI2393" s="49" t="n">
        <v>20</v>
      </c>
      <c r="AJ2393" s="50" t="n">
        <v>-0.05</v>
      </c>
      <c r="AK2393" s="51" t="n">
        <v>0</v>
      </c>
      <c r="AL2393" s="52" t="n">
        <v>0</v>
      </c>
      <c r="AM2393" s="52" t="n">
        <v>0</v>
      </c>
      <c r="AN2393" s="52" t="n">
        <v>0</v>
      </c>
      <c r="AO2393" s="53" t="n">
        <v>0</v>
      </c>
      <c r="AP2393" s="52" t="n">
        <v>0</v>
      </c>
      <c r="AQ2393" s="53" t="n">
        <v>0</v>
      </c>
      <c r="AR2393" s="52" t="n">
        <v>0</v>
      </c>
      <c r="AS2393" s="51" t="n">
        <v>0</v>
      </c>
      <c r="AT2393" s="48" t="n">
        <v>0</v>
      </c>
      <c r="AU2393" s="49" t="n">
        <v>0</v>
      </c>
      <c r="AV2393" s="49" t="n">
        <v>9</v>
      </c>
      <c r="AW2393" s="50" t="n">
        <v>0</v>
      </c>
      <c r="AX2393" s="51" t="n">
        <v>0</v>
      </c>
      <c r="AY2393" s="52" t="n">
        <v>0</v>
      </c>
      <c r="AZ2393" s="52" t="n">
        <v>0</v>
      </c>
      <c r="BA2393" s="52" t="n">
        <v>0</v>
      </c>
      <c r="BB2393" s="53" t="n">
        <v>0</v>
      </c>
      <c r="BC2393" s="52" t="n">
        <v>0</v>
      </c>
      <c r="BD2393" s="53" t="n">
        <v>0</v>
      </c>
      <c r="BE2393" s="52" t="n">
        <v>0</v>
      </c>
      <c r="BF2393" s="51" t="n">
        <v>0</v>
      </c>
    </row>
    <row r="2394">
      <c r="A2394">
        <f>HYPERLINK("https://www.walmart.com/ip/191385187", "191385187")</f>
        <v/>
      </c>
      <c r="B2394" t="inlineStr">
        <is>
          <t>Jenniwears Women's Sexy Lingerie Lace Mesh 2-Piece Bowknot Halter Chemise with G-String</t>
        </is>
      </c>
      <c r="C2394" t="inlineStr">
        <is>
          <t>JWND03BK</t>
        </is>
      </c>
      <c r="D2394" t="inlineStr">
        <is>
          <t>Lingerie Sets</t>
        </is>
      </c>
      <c r="E2394" t="inlineStr">
        <is>
          <t>JenniWears</t>
        </is>
      </c>
      <c r="F2394" t="inlineStr">
        <is>
          <t>Optimized,Valentine</t>
        </is>
      </c>
      <c r="G2394" s="48" t="n">
        <v>0</v>
      </c>
      <c r="H2394" s="49" t="n">
        <v>0</v>
      </c>
      <c r="I2394" s="49" t="n">
        <v>0</v>
      </c>
      <c r="J2394" s="50" t="n">
        <v>0</v>
      </c>
      <c r="K2394" s="51" t="n">
        <v>0</v>
      </c>
      <c r="L2394" s="52" t="n">
        <v>0</v>
      </c>
      <c r="M2394" s="52" t="n">
        <v>0</v>
      </c>
      <c r="N2394" s="52" t="n">
        <v>0</v>
      </c>
      <c r="O2394" s="53" t="n">
        <v>0</v>
      </c>
      <c r="P2394" s="52" t="n">
        <v>0</v>
      </c>
      <c r="Q2394" s="53" t="n">
        <v>0</v>
      </c>
      <c r="R2394" s="52" t="n">
        <v>0</v>
      </c>
      <c r="S2394" s="51" t="n">
        <v>0</v>
      </c>
      <c r="T2394" s="48" t="n">
        <v>0</v>
      </c>
      <c r="U2394" s="49" t="n">
        <v>0</v>
      </c>
      <c r="V2394" s="49" t="n">
        <v>0</v>
      </c>
      <c r="W2394" s="50" t="n">
        <v>0</v>
      </c>
      <c r="X2394" s="51" t="n">
        <v>0</v>
      </c>
      <c r="Y2394" s="52" t="n">
        <v>0</v>
      </c>
      <c r="Z2394" s="52" t="n">
        <v>0</v>
      </c>
      <c r="AA2394" s="52" t="n">
        <v>0</v>
      </c>
      <c r="AB2394" s="53" t="n">
        <v>0</v>
      </c>
      <c r="AC2394" s="52" t="n">
        <v>0</v>
      </c>
      <c r="AD2394" s="53" t="n">
        <v>0</v>
      </c>
      <c r="AE2394" s="52" t="n">
        <v>0</v>
      </c>
      <c r="AF2394" s="51" t="n">
        <v>0</v>
      </c>
      <c r="AG2394" s="48" t="n">
        <v>0</v>
      </c>
      <c r="AH2394" s="49" t="n">
        <v>0</v>
      </c>
      <c r="AI2394" s="49" t="n">
        <v>0</v>
      </c>
      <c r="AJ2394" s="50" t="n">
        <v>0</v>
      </c>
      <c r="AK2394" s="51" t="n">
        <v>0</v>
      </c>
      <c r="AL2394" s="52" t="n">
        <v>0</v>
      </c>
      <c r="AM2394" s="52" t="n">
        <v>0</v>
      </c>
      <c r="AN2394" s="52" t="n">
        <v>0</v>
      </c>
      <c r="AO2394" s="53" t="n">
        <v>0</v>
      </c>
      <c r="AP2394" s="52" t="n">
        <v>0</v>
      </c>
      <c r="AQ2394" s="53" t="n">
        <v>0</v>
      </c>
      <c r="AR2394" s="52" t="n">
        <v>0</v>
      </c>
      <c r="AS2394" s="51" t="n">
        <v>0</v>
      </c>
      <c r="AT2394" s="48" t="n">
        <v>0</v>
      </c>
      <c r="AU2394" s="49" t="n">
        <v>0</v>
      </c>
      <c r="AV2394" s="49" t="n">
        <v>0</v>
      </c>
      <c r="AW2394" s="50" t="n">
        <v>0</v>
      </c>
      <c r="AX2394" s="51" t="n">
        <v>0</v>
      </c>
      <c r="AY2394" s="52" t="n">
        <v>0</v>
      </c>
      <c r="AZ2394" s="52" t="n">
        <v>0</v>
      </c>
      <c r="BA2394" s="52" t="n">
        <v>0</v>
      </c>
      <c r="BB2394" s="53" t="n">
        <v>0</v>
      </c>
      <c r="BC2394" s="52" t="n">
        <v>0</v>
      </c>
      <c r="BD2394" s="53" t="n">
        <v>0</v>
      </c>
      <c r="BE2394" s="52" t="n">
        <v>0</v>
      </c>
      <c r="BF2394" s="51" t="n">
        <v>0</v>
      </c>
    </row>
    <row r="2395">
      <c r="A2395">
        <f>HYPERLINK("https://www.walmart.com/ip/191690313", "191690313")</f>
        <v/>
      </c>
      <c r="B2395" t="inlineStr">
        <is>
          <t>KC Caps Sun Flare Racing Cap Black with Red Flames</t>
        </is>
      </c>
      <c r="C2395" t="inlineStr">
        <is>
          <t>KC-FL12</t>
        </is>
      </c>
      <c r="D2395" t="inlineStr">
        <is>
          <t>Hats</t>
        </is>
      </c>
      <c r="E2395" t="inlineStr">
        <is>
          <t>KC Caps</t>
        </is>
      </c>
      <c r="F2395" t="inlineStr">
        <is>
          <t>Optimized</t>
        </is>
      </c>
      <c r="G2395" s="48" t="n">
        <v>0</v>
      </c>
      <c r="H2395" s="49" t="n">
        <v>0</v>
      </c>
      <c r="I2395" s="49" t="n">
        <v>0</v>
      </c>
      <c r="J2395" s="50" t="n">
        <v>0</v>
      </c>
      <c r="K2395" s="51" t="n">
        <v>0</v>
      </c>
      <c r="L2395" s="52" t="n">
        <v>0</v>
      </c>
      <c r="M2395" s="52" t="n">
        <v>0</v>
      </c>
      <c r="N2395" s="52" t="n">
        <v>0</v>
      </c>
      <c r="O2395" s="53" t="n">
        <v>0</v>
      </c>
      <c r="P2395" s="52" t="n">
        <v>0</v>
      </c>
      <c r="Q2395" s="53" t="n">
        <v>0</v>
      </c>
      <c r="R2395" s="52" t="n">
        <v>0</v>
      </c>
      <c r="S2395" s="51" t="n">
        <v>0</v>
      </c>
      <c r="T2395" s="48" t="n">
        <v>0</v>
      </c>
      <c r="U2395" s="49" t="n">
        <v>0</v>
      </c>
      <c r="V2395" s="49" t="n">
        <v>0</v>
      </c>
      <c r="W2395" s="50" t="n">
        <v>0</v>
      </c>
      <c r="X2395" s="51" t="n">
        <v>0</v>
      </c>
      <c r="Y2395" s="52" t="n">
        <v>0</v>
      </c>
      <c r="Z2395" s="52" t="n">
        <v>0</v>
      </c>
      <c r="AA2395" s="52" t="n">
        <v>0</v>
      </c>
      <c r="AB2395" s="53" t="n">
        <v>0</v>
      </c>
      <c r="AC2395" s="52" t="n">
        <v>0</v>
      </c>
      <c r="AD2395" s="53" t="n">
        <v>0</v>
      </c>
      <c r="AE2395" s="52" t="n">
        <v>0</v>
      </c>
      <c r="AF2395" s="51" t="n">
        <v>0</v>
      </c>
      <c r="AG2395" s="48" t="n">
        <v>0</v>
      </c>
      <c r="AH2395" s="49" t="n">
        <v>0</v>
      </c>
      <c r="AI2395" s="49" t="n">
        <v>0</v>
      </c>
      <c r="AJ2395" s="50" t="n">
        <v>0</v>
      </c>
      <c r="AK2395" s="51" t="n">
        <v>0</v>
      </c>
      <c r="AL2395" s="52" t="n">
        <v>0</v>
      </c>
      <c r="AM2395" s="52" t="n">
        <v>0</v>
      </c>
      <c r="AN2395" s="52" t="n">
        <v>0</v>
      </c>
      <c r="AO2395" s="53" t="n">
        <v>0</v>
      </c>
      <c r="AP2395" s="52" t="n">
        <v>0</v>
      </c>
      <c r="AQ2395" s="53" t="n">
        <v>0</v>
      </c>
      <c r="AR2395" s="52" t="n">
        <v>0</v>
      </c>
      <c r="AS2395" s="51" t="n">
        <v>0</v>
      </c>
      <c r="AT2395" s="48" t="n">
        <v>0</v>
      </c>
      <c r="AU2395" s="49" t="n">
        <v>0</v>
      </c>
      <c r="AV2395" s="49" t="n">
        <v>0</v>
      </c>
      <c r="AW2395" s="50" t="n">
        <v>0</v>
      </c>
      <c r="AX2395" s="51" t="n">
        <v>0</v>
      </c>
      <c r="AY2395" s="52" t="n">
        <v>0</v>
      </c>
      <c r="AZ2395" s="52" t="n">
        <v>0</v>
      </c>
      <c r="BA2395" s="52" t="n">
        <v>0</v>
      </c>
      <c r="BB2395" s="53" t="n">
        <v>0</v>
      </c>
      <c r="BC2395" s="52" t="n">
        <v>0</v>
      </c>
      <c r="BD2395" s="53" t="n">
        <v>0</v>
      </c>
      <c r="BE2395" s="52" t="n">
        <v>0</v>
      </c>
      <c r="BF2395" s="51" t="n">
        <v>0</v>
      </c>
    </row>
    <row r="2396">
      <c r="A2396">
        <f>HYPERLINK("https://www.walmart.com/ip/191815443", "191815443")</f>
        <v/>
      </c>
      <c r="B2396" t="inlineStr">
        <is>
          <t>KC Caps® Unisex Cotton Baseball Cap Adjustable Plain Hat (21 Styles/Colors)</t>
        </is>
      </c>
      <c r="C2396" t="inlineStr">
        <is>
          <t>KC8010CRE</t>
        </is>
      </c>
      <c r="D2396" t="inlineStr">
        <is>
          <t>Hats</t>
        </is>
      </c>
      <c r="E2396" t="inlineStr">
        <is>
          <t>KC Caps</t>
        </is>
      </c>
      <c r="F2396" t="inlineStr">
        <is>
          <t>Optimized</t>
        </is>
      </c>
      <c r="G2396" s="48" t="n">
        <v>0</v>
      </c>
      <c r="H2396" s="49" t="n">
        <v>0</v>
      </c>
      <c r="I2396" s="49" t="n">
        <v>0</v>
      </c>
      <c r="J2396" s="50" t="n">
        <v>0</v>
      </c>
      <c r="K2396" s="51" t="n">
        <v>0</v>
      </c>
      <c r="L2396" s="52" t="n">
        <v>0</v>
      </c>
      <c r="M2396" s="52" t="n">
        <v>0</v>
      </c>
      <c r="N2396" s="52" t="n">
        <v>0</v>
      </c>
      <c r="O2396" s="53" t="n">
        <v>0</v>
      </c>
      <c r="P2396" s="52" t="n">
        <v>0</v>
      </c>
      <c r="Q2396" s="53" t="n">
        <v>0</v>
      </c>
      <c r="R2396" s="52" t="n">
        <v>0</v>
      </c>
      <c r="S2396" s="51" t="n">
        <v>0</v>
      </c>
      <c r="T2396" s="48" t="n">
        <v>0</v>
      </c>
      <c r="U2396" s="49" t="n">
        <v>0</v>
      </c>
      <c r="V2396" s="49" t="n">
        <v>0</v>
      </c>
      <c r="W2396" s="50" t="n">
        <v>0</v>
      </c>
      <c r="X2396" s="51" t="n">
        <v>0</v>
      </c>
      <c r="Y2396" s="52" t="n">
        <v>0</v>
      </c>
      <c r="Z2396" s="52" t="n">
        <v>0</v>
      </c>
      <c r="AA2396" s="52" t="n">
        <v>0</v>
      </c>
      <c r="AB2396" s="53" t="n">
        <v>0</v>
      </c>
      <c r="AC2396" s="52" t="n">
        <v>0</v>
      </c>
      <c r="AD2396" s="53" t="n">
        <v>0</v>
      </c>
      <c r="AE2396" s="52" t="n">
        <v>0</v>
      </c>
      <c r="AF2396" s="51" t="n">
        <v>0</v>
      </c>
      <c r="AG2396" s="48" t="n">
        <v>0</v>
      </c>
      <c r="AH2396" s="49" t="n">
        <v>0</v>
      </c>
      <c r="AI2396" s="49" t="n">
        <v>0</v>
      </c>
      <c r="AJ2396" s="50" t="n">
        <v>0</v>
      </c>
      <c r="AK2396" s="51" t="n">
        <v>0</v>
      </c>
      <c r="AL2396" s="52" t="n">
        <v>0</v>
      </c>
      <c r="AM2396" s="52" t="n">
        <v>0</v>
      </c>
      <c r="AN2396" s="52" t="n">
        <v>0</v>
      </c>
      <c r="AO2396" s="53" t="n">
        <v>0</v>
      </c>
      <c r="AP2396" s="52" t="n">
        <v>0</v>
      </c>
      <c r="AQ2396" s="53" t="n">
        <v>0</v>
      </c>
      <c r="AR2396" s="52" t="n">
        <v>0</v>
      </c>
      <c r="AS2396" s="51" t="n">
        <v>0</v>
      </c>
      <c r="AT2396" s="48" t="n">
        <v>0</v>
      </c>
      <c r="AU2396" s="49" t="n">
        <v>0</v>
      </c>
      <c r="AV2396" s="49" t="n">
        <v>0</v>
      </c>
      <c r="AW2396" s="50" t="n">
        <v>0</v>
      </c>
      <c r="AX2396" s="51" t="n">
        <v>0</v>
      </c>
      <c r="AY2396" s="52" t="n">
        <v>0</v>
      </c>
      <c r="AZ2396" s="52" t="n">
        <v>0</v>
      </c>
      <c r="BA2396" s="52" t="n">
        <v>0</v>
      </c>
      <c r="BB2396" s="53" t="n">
        <v>0</v>
      </c>
      <c r="BC2396" s="52" t="n">
        <v>0</v>
      </c>
      <c r="BD2396" s="53" t="n">
        <v>0</v>
      </c>
      <c r="BE2396" s="52" t="n">
        <v>0</v>
      </c>
      <c r="BF2396" s="51" t="n">
        <v>0</v>
      </c>
    </row>
    <row r="2397">
      <c r="A2397">
        <f>HYPERLINK("https://www.walmart.com/ip/191858987", "191858987")</f>
        <v/>
      </c>
      <c r="B2397" t="inlineStr">
        <is>
          <t>JenniWears Women's Sexy Crotchless Suspender Pantyhose Stockings - 6 Packs</t>
        </is>
      </c>
      <c r="C2397" t="inlineStr">
        <is>
          <t>JWBLSPH2029-6pcs</t>
        </is>
      </c>
      <c r="D2397" t="inlineStr">
        <is>
          <t>Pantyhose &amp; Tights</t>
        </is>
      </c>
      <c r="E2397" t="inlineStr">
        <is>
          <t>JenniWears</t>
        </is>
      </c>
      <c r="F2397" t="inlineStr">
        <is>
          <t>Optimized,Valentine</t>
        </is>
      </c>
      <c r="G2397" s="48" t="n">
        <v>0</v>
      </c>
      <c r="H2397" s="49" t="n">
        <v>0</v>
      </c>
      <c r="I2397" s="49" t="n">
        <v>0</v>
      </c>
      <c r="J2397" s="50" t="n">
        <v>0</v>
      </c>
      <c r="K2397" s="51" t="n">
        <v>0</v>
      </c>
      <c r="L2397" s="52" t="n">
        <v>0</v>
      </c>
      <c r="M2397" s="52" t="n">
        <v>0</v>
      </c>
      <c r="N2397" s="52" t="n">
        <v>0</v>
      </c>
      <c r="O2397" s="53" t="n">
        <v>0</v>
      </c>
      <c r="P2397" s="52" t="n">
        <v>0</v>
      </c>
      <c r="Q2397" s="53" t="n">
        <v>0</v>
      </c>
      <c r="R2397" s="52" t="n">
        <v>0</v>
      </c>
      <c r="S2397" s="51" t="n">
        <v>0</v>
      </c>
      <c r="T2397" s="48" t="n">
        <v>0</v>
      </c>
      <c r="U2397" s="49" t="n">
        <v>0</v>
      </c>
      <c r="V2397" s="49" t="n">
        <v>0</v>
      </c>
      <c r="W2397" s="50" t="n">
        <v>0</v>
      </c>
      <c r="X2397" s="51" t="n">
        <v>0</v>
      </c>
      <c r="Y2397" s="52" t="n">
        <v>0</v>
      </c>
      <c r="Z2397" s="52" t="n">
        <v>0</v>
      </c>
      <c r="AA2397" s="52" t="n">
        <v>0</v>
      </c>
      <c r="AB2397" s="53" t="n">
        <v>0</v>
      </c>
      <c r="AC2397" s="52" t="n">
        <v>0</v>
      </c>
      <c r="AD2397" s="53" t="n">
        <v>0</v>
      </c>
      <c r="AE2397" s="52" t="n">
        <v>0</v>
      </c>
      <c r="AF2397" s="51" t="n">
        <v>0</v>
      </c>
      <c r="AG2397" s="48" t="n">
        <v>0</v>
      </c>
      <c r="AH2397" s="49" t="n">
        <v>0</v>
      </c>
      <c r="AI2397" s="49" t="n">
        <v>0</v>
      </c>
      <c r="AJ2397" s="50" t="n">
        <v>0</v>
      </c>
      <c r="AK2397" s="51" t="n">
        <v>0</v>
      </c>
      <c r="AL2397" s="52" t="n">
        <v>0</v>
      </c>
      <c r="AM2397" s="52" t="n">
        <v>0</v>
      </c>
      <c r="AN2397" s="52" t="n">
        <v>0</v>
      </c>
      <c r="AO2397" s="53" t="n">
        <v>0</v>
      </c>
      <c r="AP2397" s="52" t="n">
        <v>0</v>
      </c>
      <c r="AQ2397" s="53" t="n">
        <v>0</v>
      </c>
      <c r="AR2397" s="52" t="n">
        <v>0</v>
      </c>
      <c r="AS2397" s="51" t="n">
        <v>0</v>
      </c>
      <c r="AT2397" s="48" t="n">
        <v>0</v>
      </c>
      <c r="AU2397" s="49" t="n">
        <v>0</v>
      </c>
      <c r="AV2397" s="49" t="n">
        <v>0</v>
      </c>
      <c r="AW2397" s="50" t="n">
        <v>0</v>
      </c>
      <c r="AX2397" s="51" t="n">
        <v>0</v>
      </c>
      <c r="AY2397" s="52" t="n">
        <v>0</v>
      </c>
      <c r="AZ2397" s="52" t="n">
        <v>0</v>
      </c>
      <c r="BA2397" s="52" t="n">
        <v>0</v>
      </c>
      <c r="BB2397" s="53" t="n">
        <v>0</v>
      </c>
      <c r="BC2397" s="52" t="n">
        <v>0</v>
      </c>
      <c r="BD2397" s="53" t="n">
        <v>0</v>
      </c>
      <c r="BE2397" s="52" t="n">
        <v>0</v>
      </c>
      <c r="BF2397" s="51" t="n">
        <v>0</v>
      </c>
    </row>
    <row r="2398">
      <c r="A2398">
        <f>HYPERLINK("https://www.walmart.com/ip/1918924708", "1918924708")</f>
        <v/>
      </c>
      <c r="B2398" t="inlineStr">
        <is>
          <t>Hang Ten Basic Insulated Lunch Bag for Work, Thermal Reusable Office Lunch Box for Men, Women (Palm Trees)</t>
        </is>
      </c>
      <c r="C2398" t="inlineStr">
        <is>
          <t>HT-LUNCH-BASICBOX-LAVASTRIPE</t>
        </is>
      </c>
      <c r="D2398" t="inlineStr">
        <is>
          <t>Reusable Lunch Bags &amp; Boxes</t>
        </is>
      </c>
      <c r="E2398" t="inlineStr">
        <is>
          <t>HANG TEN</t>
        </is>
      </c>
      <c r="G2398" s="48" t="n">
        <v>0</v>
      </c>
      <c r="H2398" s="49" t="n">
        <v>0</v>
      </c>
      <c r="I2398" s="49" t="n">
        <v>0</v>
      </c>
      <c r="J2398" s="50" t="n">
        <v>0</v>
      </c>
      <c r="K2398" s="51" t="n">
        <v>0</v>
      </c>
      <c r="L2398" s="52" t="n">
        <v>0</v>
      </c>
      <c r="M2398" s="52" t="n">
        <v>0</v>
      </c>
      <c r="N2398" s="52" t="n">
        <v>0</v>
      </c>
      <c r="O2398" s="53" t="n">
        <v>0</v>
      </c>
      <c r="P2398" s="52" t="n">
        <v>0</v>
      </c>
      <c r="Q2398" s="53" t="n">
        <v>0</v>
      </c>
      <c r="R2398" s="52" t="n">
        <v>0</v>
      </c>
      <c r="S2398" s="51" t="n">
        <v>0</v>
      </c>
      <c r="T2398" s="48" t="n">
        <v>0</v>
      </c>
      <c r="U2398" s="49" t="n">
        <v>0</v>
      </c>
      <c r="V2398" s="49" t="n">
        <v>0</v>
      </c>
      <c r="W2398" s="50" t="n">
        <v>0</v>
      </c>
      <c r="X2398" s="51" t="n">
        <v>0</v>
      </c>
      <c r="Y2398" s="52" t="n">
        <v>0</v>
      </c>
      <c r="Z2398" s="52" t="n">
        <v>0</v>
      </c>
      <c r="AA2398" s="52" t="n">
        <v>0</v>
      </c>
      <c r="AB2398" s="53" t="n">
        <v>0</v>
      </c>
      <c r="AC2398" s="52" t="n">
        <v>0</v>
      </c>
      <c r="AD2398" s="53" t="n">
        <v>0</v>
      </c>
      <c r="AE2398" s="52" t="n">
        <v>0</v>
      </c>
      <c r="AF2398" s="51" t="n">
        <v>0</v>
      </c>
      <c r="AG2398" s="48" t="n">
        <v>0</v>
      </c>
      <c r="AH2398" s="49" t="n">
        <v>0</v>
      </c>
      <c r="AI2398" s="49" t="n">
        <v>0</v>
      </c>
      <c r="AJ2398" s="50" t="n">
        <v>0</v>
      </c>
      <c r="AK2398" s="51" t="n">
        <v>0</v>
      </c>
      <c r="AL2398" s="52" t="n">
        <v>0</v>
      </c>
      <c r="AM2398" s="52" t="n">
        <v>0</v>
      </c>
      <c r="AN2398" s="52" t="n">
        <v>0</v>
      </c>
      <c r="AO2398" s="53" t="n">
        <v>0</v>
      </c>
      <c r="AP2398" s="52" t="n">
        <v>0</v>
      </c>
      <c r="AQ2398" s="53" t="n">
        <v>0</v>
      </c>
      <c r="AR2398" s="52" t="n">
        <v>0</v>
      </c>
      <c r="AS2398" s="51" t="n">
        <v>0</v>
      </c>
      <c r="AT2398" s="48" t="n">
        <v>0</v>
      </c>
      <c r="AU2398" s="49" t="n">
        <v>0</v>
      </c>
      <c r="AV2398" s="49" t="n">
        <v>0</v>
      </c>
      <c r="AW2398" s="50" t="n">
        <v>0</v>
      </c>
      <c r="AX2398" s="51" t="n">
        <v>0</v>
      </c>
      <c r="AY2398" s="52" t="n">
        <v>0</v>
      </c>
      <c r="AZ2398" s="52" t="n">
        <v>0</v>
      </c>
      <c r="BA2398" s="52" t="n">
        <v>0</v>
      </c>
      <c r="BB2398" s="53" t="n">
        <v>0</v>
      </c>
      <c r="BC2398" s="52" t="n">
        <v>0</v>
      </c>
      <c r="BD2398" s="53" t="n">
        <v>0</v>
      </c>
      <c r="BE2398" s="52" t="n">
        <v>0</v>
      </c>
      <c r="BF2398" s="51" t="n">
        <v>0</v>
      </c>
    </row>
    <row r="2399">
      <c r="A2399">
        <f>HYPERLINK("https://www.walmart.com/ip/192069885", "192069885")</f>
        <v/>
      </c>
      <c r="B2399" t="inlineStr">
        <is>
          <t>KC Caps® Unisex Cotton Baseball Cap Adjustable Plain Hat (21 Styles/Colors)</t>
        </is>
      </c>
      <c r="C2399" t="inlineStr">
        <is>
          <t>KC8010GNNV</t>
        </is>
      </c>
      <c r="D2399" t="inlineStr">
        <is>
          <t>Hats</t>
        </is>
      </c>
      <c r="E2399" t="inlineStr">
        <is>
          <t>KC Caps</t>
        </is>
      </c>
      <c r="F2399" t="inlineStr">
        <is>
          <t>Optimized</t>
        </is>
      </c>
      <c r="G2399" s="48" t="n">
        <v>0</v>
      </c>
      <c r="H2399" s="49" t="n">
        <v>0</v>
      </c>
      <c r="I2399" s="49" t="n">
        <v>0</v>
      </c>
      <c r="J2399" s="50" t="n">
        <v>0</v>
      </c>
      <c r="K2399" s="51" t="n">
        <v>0</v>
      </c>
      <c r="L2399" s="52" t="n">
        <v>0</v>
      </c>
      <c r="M2399" s="52" t="n">
        <v>0</v>
      </c>
      <c r="N2399" s="52" t="n">
        <v>0</v>
      </c>
      <c r="O2399" s="53" t="n">
        <v>0</v>
      </c>
      <c r="P2399" s="52" t="n">
        <v>0</v>
      </c>
      <c r="Q2399" s="53" t="n">
        <v>0</v>
      </c>
      <c r="R2399" s="52" t="n">
        <v>0</v>
      </c>
      <c r="S2399" s="51" t="n">
        <v>0</v>
      </c>
      <c r="T2399" s="48" t="n">
        <v>0</v>
      </c>
      <c r="U2399" s="49" t="n">
        <v>0</v>
      </c>
      <c r="V2399" s="49" t="n">
        <v>0</v>
      </c>
      <c r="W2399" s="50" t="n">
        <v>0</v>
      </c>
      <c r="X2399" s="51" t="n">
        <v>0</v>
      </c>
      <c r="Y2399" s="52" t="n">
        <v>0</v>
      </c>
      <c r="Z2399" s="52" t="n">
        <v>0</v>
      </c>
      <c r="AA2399" s="52" t="n">
        <v>0</v>
      </c>
      <c r="AB2399" s="53" t="n">
        <v>0</v>
      </c>
      <c r="AC2399" s="52" t="n">
        <v>0</v>
      </c>
      <c r="AD2399" s="53" t="n">
        <v>0</v>
      </c>
      <c r="AE2399" s="52" t="n">
        <v>0</v>
      </c>
      <c r="AF2399" s="51" t="n">
        <v>0</v>
      </c>
      <c r="AG2399" s="48" t="n">
        <v>0</v>
      </c>
      <c r="AH2399" s="49" t="n">
        <v>0</v>
      </c>
      <c r="AI2399" s="49" t="n">
        <v>0</v>
      </c>
      <c r="AJ2399" s="50" t="n">
        <v>0</v>
      </c>
      <c r="AK2399" s="51" t="n">
        <v>0</v>
      </c>
      <c r="AL2399" s="52" t="n">
        <v>0</v>
      </c>
      <c r="AM2399" s="52" t="n">
        <v>0</v>
      </c>
      <c r="AN2399" s="52" t="n">
        <v>0</v>
      </c>
      <c r="AO2399" s="53" t="n">
        <v>0</v>
      </c>
      <c r="AP2399" s="52" t="n">
        <v>0</v>
      </c>
      <c r="AQ2399" s="53" t="n">
        <v>0</v>
      </c>
      <c r="AR2399" s="52" t="n">
        <v>0</v>
      </c>
      <c r="AS2399" s="51" t="n">
        <v>0</v>
      </c>
      <c r="AT2399" s="48" t="n">
        <v>0</v>
      </c>
      <c r="AU2399" s="49" t="n">
        <v>0</v>
      </c>
      <c r="AV2399" s="49" t="n">
        <v>0</v>
      </c>
      <c r="AW2399" s="50" t="n">
        <v>0</v>
      </c>
      <c r="AX2399" s="51" t="n">
        <v>0</v>
      </c>
      <c r="AY2399" s="52" t="n">
        <v>0</v>
      </c>
      <c r="AZ2399" s="52" t="n">
        <v>0</v>
      </c>
      <c r="BA2399" s="52" t="n">
        <v>0</v>
      </c>
      <c r="BB2399" s="53" t="n">
        <v>0</v>
      </c>
      <c r="BC2399" s="52" t="n">
        <v>0</v>
      </c>
      <c r="BD2399" s="53" t="n">
        <v>0</v>
      </c>
      <c r="BE2399" s="52" t="n">
        <v>0</v>
      </c>
      <c r="BF2399" s="51" t="n">
        <v>0</v>
      </c>
    </row>
    <row r="2400">
      <c r="A2400">
        <f>HYPERLINK("https://www.walmart.com/ip/1922799668", "1922799668")</f>
        <v/>
      </c>
      <c r="B2400" t="inlineStr">
        <is>
          <t>Every Day is Christmas Glass Blown Ornaments 2022 Cute Hand Made Figurines Tree Decoration - 12.7cm glass wrench and vice and hammer and screwdriver ornament</t>
        </is>
      </c>
      <c r="C2400" t="inlineStr">
        <is>
          <t>EDC-FIGURINE-PICKLE</t>
        </is>
      </c>
      <c r="D2400" t="inlineStr">
        <is>
          <t>Ornaments</t>
        </is>
      </c>
      <c r="E2400" t="inlineStr">
        <is>
          <t>Every Day is Christmas</t>
        </is>
      </c>
      <c r="G2400" s="48" t="n">
        <v>0</v>
      </c>
      <c r="H2400" s="49" t="n">
        <v>0</v>
      </c>
      <c r="I2400" s="49" t="n">
        <v>0</v>
      </c>
      <c r="J2400" s="50" t="n">
        <v>0</v>
      </c>
      <c r="K2400" s="51" t="n">
        <v>0</v>
      </c>
      <c r="L2400" s="52" t="n">
        <v>0</v>
      </c>
      <c r="M2400" s="52" t="n">
        <v>0</v>
      </c>
      <c r="N2400" s="52" t="n">
        <v>0</v>
      </c>
      <c r="O2400" s="53" t="n">
        <v>0</v>
      </c>
      <c r="P2400" s="52" t="n">
        <v>0</v>
      </c>
      <c r="Q2400" s="53" t="n">
        <v>0</v>
      </c>
      <c r="R2400" s="52" t="n">
        <v>0</v>
      </c>
      <c r="S2400" s="51" t="n">
        <v>0</v>
      </c>
      <c r="T2400" s="48" t="n">
        <v>0</v>
      </c>
      <c r="U2400" s="49" t="n">
        <v>0</v>
      </c>
      <c r="V2400" s="49" t="n">
        <v>0</v>
      </c>
      <c r="W2400" s="50" t="n">
        <v>0</v>
      </c>
      <c r="X2400" s="51" t="n">
        <v>0</v>
      </c>
      <c r="Y2400" s="52" t="n">
        <v>0</v>
      </c>
      <c r="Z2400" s="52" t="n">
        <v>0</v>
      </c>
      <c r="AA2400" s="52" t="n">
        <v>0</v>
      </c>
      <c r="AB2400" s="53" t="n">
        <v>0</v>
      </c>
      <c r="AC2400" s="52" t="n">
        <v>0</v>
      </c>
      <c r="AD2400" s="53" t="n">
        <v>0</v>
      </c>
      <c r="AE2400" s="52" t="n">
        <v>0</v>
      </c>
      <c r="AF2400" s="51" t="n">
        <v>0</v>
      </c>
      <c r="AG2400" s="48" t="n">
        <v>0</v>
      </c>
      <c r="AH2400" s="49" t="n">
        <v>0</v>
      </c>
      <c r="AI2400" s="49" t="n">
        <v>0</v>
      </c>
      <c r="AJ2400" s="50" t="n">
        <v>0</v>
      </c>
      <c r="AK2400" s="51" t="n">
        <v>0</v>
      </c>
      <c r="AL2400" s="52" t="n">
        <v>0</v>
      </c>
      <c r="AM2400" s="52" t="n">
        <v>0</v>
      </c>
      <c r="AN2400" s="52" t="n">
        <v>0</v>
      </c>
      <c r="AO2400" s="53" t="n">
        <v>0</v>
      </c>
      <c r="AP2400" s="52" t="n">
        <v>0</v>
      </c>
      <c r="AQ2400" s="53" t="n">
        <v>0</v>
      </c>
      <c r="AR2400" s="52" t="n">
        <v>0</v>
      </c>
      <c r="AS2400" s="51" t="n">
        <v>0</v>
      </c>
      <c r="AT2400" s="48" t="n">
        <v>0</v>
      </c>
      <c r="AU2400" s="49" t="n">
        <v>0</v>
      </c>
      <c r="AV2400" s="49" t="n">
        <v>0</v>
      </c>
      <c r="AW2400" s="50" t="n">
        <v>0</v>
      </c>
      <c r="AX2400" s="51" t="n">
        <v>0</v>
      </c>
      <c r="AY2400" s="52" t="n">
        <v>0</v>
      </c>
      <c r="AZ2400" s="52" t="n">
        <v>0</v>
      </c>
      <c r="BA2400" s="52" t="n">
        <v>0</v>
      </c>
      <c r="BB2400" s="53" t="n">
        <v>0</v>
      </c>
      <c r="BC2400" s="52" t="n">
        <v>0</v>
      </c>
      <c r="BD2400" s="53" t="n">
        <v>0</v>
      </c>
      <c r="BE2400" s="52" t="n">
        <v>0</v>
      </c>
      <c r="BF2400" s="51" t="n">
        <v>0</v>
      </c>
    </row>
    <row r="2401">
      <c r="A2401">
        <f>HYPERLINK("https://www.walmart.com/ip/192442245", "192442245")</f>
        <v/>
      </c>
      <c r="B2401" t="inlineStr">
        <is>
          <t>JenniWears Sexy Women's Floral Fishnet Sheer Halter Open Crotch Bodystocking</t>
        </is>
      </c>
      <c r="C2401" t="inlineStr">
        <is>
          <t>JWBS8847</t>
        </is>
      </c>
      <c r="D2401" t="inlineStr">
        <is>
          <t>Teddies &amp; Bodystockings</t>
        </is>
      </c>
      <c r="E2401" t="inlineStr">
        <is>
          <t>JenniWears</t>
        </is>
      </c>
      <c r="F2401" t="inlineStr">
        <is>
          <t>WFS,Valentine,WFS Item</t>
        </is>
      </c>
      <c r="G2401" s="48" t="n">
        <v>0</v>
      </c>
      <c r="H2401" s="49" t="n">
        <v>0</v>
      </c>
      <c r="I2401" s="49" t="n">
        <v>0</v>
      </c>
      <c r="J2401" s="50" t="n">
        <v>0</v>
      </c>
      <c r="K2401" s="51" t="n">
        <v>0</v>
      </c>
      <c r="L2401" s="52" t="n">
        <v>0</v>
      </c>
      <c r="M2401" s="52" t="n">
        <v>0</v>
      </c>
      <c r="N2401" s="52" t="n">
        <v>0</v>
      </c>
      <c r="O2401" s="53" t="n">
        <v>0</v>
      </c>
      <c r="P2401" s="52" t="n">
        <v>0</v>
      </c>
      <c r="Q2401" s="53" t="n">
        <v>0</v>
      </c>
      <c r="R2401" s="52" t="n">
        <v>0</v>
      </c>
      <c r="S2401" s="51" t="n">
        <v>0</v>
      </c>
      <c r="T2401" s="48" t="n">
        <v>0</v>
      </c>
      <c r="U2401" s="49" t="n">
        <v>0</v>
      </c>
      <c r="V2401" s="49" t="n">
        <v>0</v>
      </c>
      <c r="W2401" s="50" t="n">
        <v>0</v>
      </c>
      <c r="X2401" s="51" t="n">
        <v>0</v>
      </c>
      <c r="Y2401" s="52" t="n">
        <v>0</v>
      </c>
      <c r="Z2401" s="52" t="n">
        <v>0</v>
      </c>
      <c r="AA2401" s="52" t="n">
        <v>0</v>
      </c>
      <c r="AB2401" s="53" t="n">
        <v>0</v>
      </c>
      <c r="AC2401" s="52" t="n">
        <v>0</v>
      </c>
      <c r="AD2401" s="53" t="n">
        <v>0</v>
      </c>
      <c r="AE2401" s="52" t="n">
        <v>0</v>
      </c>
      <c r="AF2401" s="51" t="n">
        <v>0</v>
      </c>
      <c r="AG2401" s="48" t="n">
        <v>0</v>
      </c>
      <c r="AH2401" s="49" t="n">
        <v>0</v>
      </c>
      <c r="AI2401" s="49" t="n">
        <v>0</v>
      </c>
      <c r="AJ2401" s="50" t="n">
        <v>0</v>
      </c>
      <c r="AK2401" s="51" t="n">
        <v>0</v>
      </c>
      <c r="AL2401" s="52" t="n">
        <v>0</v>
      </c>
      <c r="AM2401" s="52" t="n">
        <v>0</v>
      </c>
      <c r="AN2401" s="52" t="n">
        <v>0</v>
      </c>
      <c r="AO2401" s="53" t="n">
        <v>0</v>
      </c>
      <c r="AP2401" s="52" t="n">
        <v>0</v>
      </c>
      <c r="AQ2401" s="53" t="n">
        <v>0</v>
      </c>
      <c r="AR2401" s="52" t="n">
        <v>0</v>
      </c>
      <c r="AS2401" s="51" t="n">
        <v>0</v>
      </c>
      <c r="AT2401" s="48" t="n">
        <v>0</v>
      </c>
      <c r="AU2401" s="49" t="n">
        <v>0</v>
      </c>
      <c r="AV2401" s="49" t="n">
        <v>0</v>
      </c>
      <c r="AW2401" s="50" t="n">
        <v>0</v>
      </c>
      <c r="AX2401" s="51" t="n">
        <v>0</v>
      </c>
      <c r="AY2401" s="52" t="n">
        <v>0</v>
      </c>
      <c r="AZ2401" s="52" t="n">
        <v>0</v>
      </c>
      <c r="BA2401" s="52" t="n">
        <v>0</v>
      </c>
      <c r="BB2401" s="53" t="n">
        <v>0</v>
      </c>
      <c r="BC2401" s="52" t="n">
        <v>0</v>
      </c>
      <c r="BD2401" s="53" t="n">
        <v>0</v>
      </c>
      <c r="BE2401" s="52" t="n">
        <v>0</v>
      </c>
      <c r="BF2401" s="51" t="n">
        <v>0</v>
      </c>
    </row>
    <row r="2402">
      <c r="A2402">
        <f>HYPERLINK("https://www.walmart.com/ip/1927924589", "1927924589")</f>
        <v/>
      </c>
      <c r="B2402" t="inlineStr">
        <is>
          <t>Every Day is Christmas Glass Blown Ornaments Cute Hand Made Figurines Tree Decoration, Glass Fans</t>
        </is>
      </c>
      <c r="C2402" t="inlineStr">
        <is>
          <t>EDC-FIGURINE-FAN</t>
        </is>
      </c>
      <c r="D2402" t="inlineStr">
        <is>
          <t>Ornaments</t>
        </is>
      </c>
      <c r="E2402" t="inlineStr">
        <is>
          <t>Every Day is Christmas</t>
        </is>
      </c>
      <c r="G2402" s="48" t="n">
        <v>0</v>
      </c>
      <c r="H2402" s="49" t="n">
        <v>0</v>
      </c>
      <c r="I2402" s="49" t="n">
        <v>0</v>
      </c>
      <c r="J2402" s="50" t="n">
        <v>0</v>
      </c>
      <c r="K2402" s="51" t="n">
        <v>0</v>
      </c>
      <c r="L2402" s="52" t="n">
        <v>0</v>
      </c>
      <c r="M2402" s="52" t="n">
        <v>0</v>
      </c>
      <c r="N2402" s="52" t="n">
        <v>0</v>
      </c>
      <c r="O2402" s="53" t="n">
        <v>0</v>
      </c>
      <c r="P2402" s="52" t="n">
        <v>0</v>
      </c>
      <c r="Q2402" s="53" t="n">
        <v>0</v>
      </c>
      <c r="R2402" s="52" t="n">
        <v>0</v>
      </c>
      <c r="S2402" s="51" t="n">
        <v>0</v>
      </c>
      <c r="T2402" s="48" t="n">
        <v>0</v>
      </c>
      <c r="U2402" s="49" t="n">
        <v>0</v>
      </c>
      <c r="V2402" s="49" t="n">
        <v>0</v>
      </c>
      <c r="W2402" s="50" t="n">
        <v>0</v>
      </c>
      <c r="X2402" s="51" t="n">
        <v>0</v>
      </c>
      <c r="Y2402" s="52" t="n">
        <v>0</v>
      </c>
      <c r="Z2402" s="52" t="n">
        <v>0</v>
      </c>
      <c r="AA2402" s="52" t="n">
        <v>0</v>
      </c>
      <c r="AB2402" s="53" t="n">
        <v>0</v>
      </c>
      <c r="AC2402" s="52" t="n">
        <v>0</v>
      </c>
      <c r="AD2402" s="53" t="n">
        <v>0</v>
      </c>
      <c r="AE2402" s="52" t="n">
        <v>0</v>
      </c>
      <c r="AF2402" s="51" t="n">
        <v>0</v>
      </c>
      <c r="AG2402" s="48" t="n">
        <v>0</v>
      </c>
      <c r="AH2402" s="49" t="n">
        <v>0</v>
      </c>
      <c r="AI2402" s="49" t="n">
        <v>0</v>
      </c>
      <c r="AJ2402" s="50" t="n">
        <v>0</v>
      </c>
      <c r="AK2402" s="51" t="n">
        <v>0</v>
      </c>
      <c r="AL2402" s="52" t="n">
        <v>0</v>
      </c>
      <c r="AM2402" s="52" t="n">
        <v>0</v>
      </c>
      <c r="AN2402" s="52" t="n">
        <v>0</v>
      </c>
      <c r="AO2402" s="53" t="n">
        <v>0</v>
      </c>
      <c r="AP2402" s="52" t="n">
        <v>0</v>
      </c>
      <c r="AQ2402" s="53" t="n">
        <v>0</v>
      </c>
      <c r="AR2402" s="52" t="n">
        <v>0</v>
      </c>
      <c r="AS2402" s="51" t="n">
        <v>0</v>
      </c>
      <c r="AT2402" s="48" t="n">
        <v>0</v>
      </c>
      <c r="AU2402" s="49" t="n">
        <v>0</v>
      </c>
      <c r="AV2402" s="49" t="n">
        <v>0</v>
      </c>
      <c r="AW2402" s="50" t="n">
        <v>0</v>
      </c>
      <c r="AX2402" s="51" t="n">
        <v>0</v>
      </c>
      <c r="AY2402" s="52" t="n">
        <v>0</v>
      </c>
      <c r="AZ2402" s="52" t="n">
        <v>0</v>
      </c>
      <c r="BA2402" s="52" t="n">
        <v>0</v>
      </c>
      <c r="BB2402" s="53" t="n">
        <v>0</v>
      </c>
      <c r="BC2402" s="52" t="n">
        <v>0</v>
      </c>
      <c r="BD2402" s="53" t="n">
        <v>0</v>
      </c>
      <c r="BE2402" s="52" t="n">
        <v>0</v>
      </c>
      <c r="BF2402" s="51" t="n">
        <v>0</v>
      </c>
    </row>
    <row r="2403">
      <c r="A2403">
        <f>HYPERLINK("https://www.walmart.com/ip/195868779", "195868779")</f>
        <v/>
      </c>
      <c r="B2403" t="inlineStr">
        <is>
          <t>Women Lingerie Net Garter Belt Stretch Thigh Stocking Pantyhose</t>
        </is>
      </c>
      <c r="C2403" t="inlineStr">
        <is>
          <t>JWBLSPH3052</t>
        </is>
      </c>
      <c r="D2403" t="inlineStr">
        <is>
          <t>Pantyhose &amp; Tights</t>
        </is>
      </c>
      <c r="E2403" t="inlineStr">
        <is>
          <t>JenniWears</t>
        </is>
      </c>
      <c r="F2403" t="inlineStr">
        <is>
          <t>WFS,Valentine,WFS Item</t>
        </is>
      </c>
      <c r="G2403" s="48" t="n">
        <v>0</v>
      </c>
      <c r="H2403" s="49" t="n">
        <v>0</v>
      </c>
      <c r="I2403" s="49" t="n">
        <v>0</v>
      </c>
      <c r="J2403" s="50" t="n">
        <v>0</v>
      </c>
      <c r="K2403" s="51" t="n">
        <v>0</v>
      </c>
      <c r="L2403" s="52" t="n">
        <v>0</v>
      </c>
      <c r="M2403" s="52" t="n">
        <v>0</v>
      </c>
      <c r="N2403" s="52" t="n">
        <v>0</v>
      </c>
      <c r="O2403" s="53" t="n">
        <v>0</v>
      </c>
      <c r="P2403" s="52" t="n">
        <v>0</v>
      </c>
      <c r="Q2403" s="53" t="n">
        <v>0</v>
      </c>
      <c r="R2403" s="52" t="n">
        <v>0</v>
      </c>
      <c r="S2403" s="51" t="n">
        <v>0</v>
      </c>
      <c r="T2403" s="48" t="n">
        <v>0</v>
      </c>
      <c r="U2403" s="49" t="n">
        <v>0</v>
      </c>
      <c r="V2403" s="49" t="n">
        <v>0</v>
      </c>
      <c r="W2403" s="50" t="n">
        <v>0</v>
      </c>
      <c r="X2403" s="51" t="n">
        <v>0</v>
      </c>
      <c r="Y2403" s="52" t="n">
        <v>0</v>
      </c>
      <c r="Z2403" s="52" t="n">
        <v>0</v>
      </c>
      <c r="AA2403" s="52" t="n">
        <v>0</v>
      </c>
      <c r="AB2403" s="53" t="n">
        <v>0</v>
      </c>
      <c r="AC2403" s="52" t="n">
        <v>0</v>
      </c>
      <c r="AD2403" s="53" t="n">
        <v>0</v>
      </c>
      <c r="AE2403" s="52" t="n">
        <v>0</v>
      </c>
      <c r="AF2403" s="51" t="n">
        <v>0</v>
      </c>
      <c r="AG2403" s="48" t="n">
        <v>0</v>
      </c>
      <c r="AH2403" s="49" t="n">
        <v>0</v>
      </c>
      <c r="AI2403" s="49" t="n">
        <v>0</v>
      </c>
      <c r="AJ2403" s="50" t="n">
        <v>0</v>
      </c>
      <c r="AK2403" s="51" t="n">
        <v>0</v>
      </c>
      <c r="AL2403" s="52" t="n">
        <v>0</v>
      </c>
      <c r="AM2403" s="52" t="n">
        <v>0</v>
      </c>
      <c r="AN2403" s="52" t="n">
        <v>0</v>
      </c>
      <c r="AO2403" s="53" t="n">
        <v>0</v>
      </c>
      <c r="AP2403" s="52" t="n">
        <v>0</v>
      </c>
      <c r="AQ2403" s="53" t="n">
        <v>0</v>
      </c>
      <c r="AR2403" s="52" t="n">
        <v>0</v>
      </c>
      <c r="AS2403" s="51" t="n">
        <v>0</v>
      </c>
      <c r="AT2403" s="48" t="n">
        <v>0</v>
      </c>
      <c r="AU2403" s="49" t="n">
        <v>0</v>
      </c>
      <c r="AV2403" s="49" t="n">
        <v>0</v>
      </c>
      <c r="AW2403" s="50" t="n">
        <v>0</v>
      </c>
      <c r="AX2403" s="51" t="n">
        <v>0</v>
      </c>
      <c r="AY2403" s="52" t="n">
        <v>0</v>
      </c>
      <c r="AZ2403" s="52" t="n">
        <v>0</v>
      </c>
      <c r="BA2403" s="52" t="n">
        <v>0</v>
      </c>
      <c r="BB2403" s="53" t="n">
        <v>0</v>
      </c>
      <c r="BC2403" s="52" t="n">
        <v>0</v>
      </c>
      <c r="BD2403" s="53" t="n">
        <v>0</v>
      </c>
      <c r="BE2403" s="52" t="n">
        <v>0</v>
      </c>
      <c r="BF2403" s="51" t="n">
        <v>0</v>
      </c>
    </row>
    <row r="2404">
      <c r="A2404">
        <f>HYPERLINK("https://www.walmart.com/ip/1960712707", "1960712707")</f>
        <v/>
      </c>
      <c r="B2404" t="inlineStr">
        <is>
          <t>Kato Outdoors Waterproof Throw Blanket, Stadium Windproof Sherpa Fleece Blanket for Traveling, Camping, Hiking, and Football, Machine Washable, Green, 51'' x 59''</t>
        </is>
      </c>
      <c r="C2404" t="inlineStr">
        <is>
          <t>1KTBW506GNBK</t>
        </is>
      </c>
      <c r="D2404" t="inlineStr">
        <is>
          <t>Throws</t>
        </is>
      </c>
      <c r="E2404" t="inlineStr">
        <is>
          <t>Kato</t>
        </is>
      </c>
      <c r="F2404" t="inlineStr">
        <is>
          <t>Q2-Target,Batch 1 - TR</t>
        </is>
      </c>
      <c r="G2404" s="48" t="n">
        <v>0</v>
      </c>
      <c r="H2404" s="49" t="n">
        <v>0</v>
      </c>
      <c r="I2404" s="49" t="n">
        <v>0</v>
      </c>
      <c r="J2404" s="50" t="n">
        <v>0</v>
      </c>
      <c r="K2404" s="51" t="n">
        <v>0</v>
      </c>
      <c r="L2404" s="52" t="n">
        <v>0</v>
      </c>
      <c r="M2404" s="52" t="n">
        <v>0</v>
      </c>
      <c r="N2404" s="52" t="n">
        <v>0</v>
      </c>
      <c r="O2404" s="53" t="n">
        <v>0</v>
      </c>
      <c r="P2404" s="52" t="n">
        <v>0</v>
      </c>
      <c r="Q2404" s="53" t="n">
        <v>0</v>
      </c>
      <c r="R2404" s="52" t="n">
        <v>0</v>
      </c>
      <c r="S2404" s="51" t="n">
        <v>0</v>
      </c>
      <c r="T2404" s="48" t="n">
        <v>0</v>
      </c>
      <c r="U2404" s="49" t="n">
        <v>0</v>
      </c>
      <c r="V2404" s="49" t="n">
        <v>0</v>
      </c>
      <c r="W2404" s="50" t="n">
        <v>0</v>
      </c>
      <c r="X2404" s="51" t="n">
        <v>0</v>
      </c>
      <c r="Y2404" s="52" t="n">
        <v>0</v>
      </c>
      <c r="Z2404" s="52" t="n">
        <v>0</v>
      </c>
      <c r="AA2404" s="52" t="n">
        <v>0</v>
      </c>
      <c r="AB2404" s="53" t="n">
        <v>0</v>
      </c>
      <c r="AC2404" s="52" t="n">
        <v>0</v>
      </c>
      <c r="AD2404" s="53" t="n">
        <v>0</v>
      </c>
      <c r="AE2404" s="52" t="n">
        <v>0</v>
      </c>
      <c r="AF2404" s="51" t="n">
        <v>0</v>
      </c>
      <c r="AG2404" s="48" t="n">
        <v>0</v>
      </c>
      <c r="AH2404" s="49" t="n">
        <v>0</v>
      </c>
      <c r="AI2404" s="49" t="n">
        <v>0</v>
      </c>
      <c r="AJ2404" s="50" t="n">
        <v>0</v>
      </c>
      <c r="AK2404" s="51" t="n">
        <v>0</v>
      </c>
      <c r="AL2404" s="52" t="n">
        <v>0</v>
      </c>
      <c r="AM2404" s="52" t="n">
        <v>0</v>
      </c>
      <c r="AN2404" s="52" t="n">
        <v>0</v>
      </c>
      <c r="AO2404" s="53" t="n">
        <v>0</v>
      </c>
      <c r="AP2404" s="52" t="n">
        <v>0</v>
      </c>
      <c r="AQ2404" s="53" t="n">
        <v>0</v>
      </c>
      <c r="AR2404" s="52" t="n">
        <v>0</v>
      </c>
      <c r="AS2404" s="51" t="n">
        <v>0</v>
      </c>
      <c r="AT2404" s="48" t="n">
        <v>0</v>
      </c>
      <c r="AU2404" s="49" t="n">
        <v>0</v>
      </c>
      <c r="AV2404" s="49" t="n">
        <v>0</v>
      </c>
      <c r="AW2404" s="50" t="n">
        <v>0</v>
      </c>
      <c r="AX2404" s="51" t="n">
        <v>0</v>
      </c>
      <c r="AY2404" s="52" t="n">
        <v>0</v>
      </c>
      <c r="AZ2404" s="52" t="n">
        <v>0</v>
      </c>
      <c r="BA2404" s="52" t="n">
        <v>0</v>
      </c>
      <c r="BB2404" s="53" t="n">
        <v>0</v>
      </c>
      <c r="BC2404" s="52" t="n">
        <v>0</v>
      </c>
      <c r="BD2404" s="53" t="n">
        <v>0</v>
      </c>
      <c r="BE2404" s="52" t="n">
        <v>0</v>
      </c>
      <c r="BF2404" s="51" t="n">
        <v>0</v>
      </c>
    </row>
    <row r="2405">
      <c r="A2405">
        <f>HYPERLINK("https://www.walmart.com/ip/196284818", "196284818")</f>
        <v/>
      </c>
      <c r="B2405" t="inlineStr">
        <is>
          <t>KC Caps Blank Cuff Hat Knit Beanie</t>
        </is>
      </c>
      <c r="C2405" t="inlineStr">
        <is>
          <t>KCW1720WH</t>
        </is>
      </c>
      <c r="D2405" t="inlineStr">
        <is>
          <t>Hats</t>
        </is>
      </c>
      <c r="E2405" t="inlineStr">
        <is>
          <t>KC Caps</t>
        </is>
      </c>
      <c r="F2405" t="inlineStr">
        <is>
          <t>Optimized</t>
        </is>
      </c>
      <c r="G2405" s="48" t="n">
        <v>0</v>
      </c>
      <c r="H2405" s="49" t="n">
        <v>0</v>
      </c>
      <c r="I2405" s="49" t="n">
        <v>0</v>
      </c>
      <c r="J2405" s="50" t="n">
        <v>0</v>
      </c>
      <c r="K2405" s="51" t="n">
        <v>0</v>
      </c>
      <c r="L2405" s="52" t="n">
        <v>0</v>
      </c>
      <c r="M2405" s="52" t="n">
        <v>0</v>
      </c>
      <c r="N2405" s="52" t="n">
        <v>0</v>
      </c>
      <c r="O2405" s="53" t="n">
        <v>0</v>
      </c>
      <c r="P2405" s="52" t="n">
        <v>0</v>
      </c>
      <c r="Q2405" s="53" t="n">
        <v>0</v>
      </c>
      <c r="R2405" s="52" t="n">
        <v>0</v>
      </c>
      <c r="S2405" s="51" t="n">
        <v>0</v>
      </c>
      <c r="T2405" s="48" t="n">
        <v>0</v>
      </c>
      <c r="U2405" s="49" t="n">
        <v>0</v>
      </c>
      <c r="V2405" s="49" t="n">
        <v>0</v>
      </c>
      <c r="W2405" s="50" t="n">
        <v>0</v>
      </c>
      <c r="X2405" s="51" t="n">
        <v>0</v>
      </c>
      <c r="Y2405" s="52" t="n">
        <v>0</v>
      </c>
      <c r="Z2405" s="52" t="n">
        <v>0</v>
      </c>
      <c r="AA2405" s="52" t="n">
        <v>0</v>
      </c>
      <c r="AB2405" s="53" t="n">
        <v>0</v>
      </c>
      <c r="AC2405" s="52" t="n">
        <v>0</v>
      </c>
      <c r="AD2405" s="53" t="n">
        <v>0</v>
      </c>
      <c r="AE2405" s="52" t="n">
        <v>0</v>
      </c>
      <c r="AF2405" s="51" t="n">
        <v>0</v>
      </c>
      <c r="AG2405" s="48" t="n">
        <v>0</v>
      </c>
      <c r="AH2405" s="49" t="n">
        <v>0</v>
      </c>
      <c r="AI2405" s="49" t="n">
        <v>0</v>
      </c>
      <c r="AJ2405" s="50" t="n">
        <v>0</v>
      </c>
      <c r="AK2405" s="51" t="n">
        <v>0</v>
      </c>
      <c r="AL2405" s="52" t="n">
        <v>0</v>
      </c>
      <c r="AM2405" s="52" t="n">
        <v>0</v>
      </c>
      <c r="AN2405" s="52" t="n">
        <v>0</v>
      </c>
      <c r="AO2405" s="53" t="n">
        <v>0</v>
      </c>
      <c r="AP2405" s="52" t="n">
        <v>0</v>
      </c>
      <c r="AQ2405" s="53" t="n">
        <v>0</v>
      </c>
      <c r="AR2405" s="52" t="n">
        <v>0</v>
      </c>
      <c r="AS2405" s="51" t="n">
        <v>0</v>
      </c>
      <c r="AT2405" s="48" t="n">
        <v>0</v>
      </c>
      <c r="AU2405" s="49" t="n">
        <v>0</v>
      </c>
      <c r="AV2405" s="49" t="n">
        <v>0</v>
      </c>
      <c r="AW2405" s="50" t="n">
        <v>0</v>
      </c>
      <c r="AX2405" s="51" t="n">
        <v>0</v>
      </c>
      <c r="AY2405" s="52" t="n">
        <v>0</v>
      </c>
      <c r="AZ2405" s="52" t="n">
        <v>0</v>
      </c>
      <c r="BA2405" s="52" t="n">
        <v>0</v>
      </c>
      <c r="BB2405" s="53" t="n">
        <v>0</v>
      </c>
      <c r="BC2405" s="52" t="n">
        <v>0</v>
      </c>
      <c r="BD2405" s="53" t="n">
        <v>0</v>
      </c>
      <c r="BE2405" s="52" t="n">
        <v>0</v>
      </c>
      <c r="BF2405" s="51" t="n">
        <v>0</v>
      </c>
    </row>
    <row r="2406">
      <c r="A2406">
        <f>HYPERLINK("https://www.walmart.com/ip/198211537", "198211537")</f>
        <v/>
      </c>
      <c r="B2406" t="inlineStr">
        <is>
          <t>JenniWears Womens Black Sexy Cutout Sleeveless Sheer Bodystocking</t>
        </is>
      </c>
      <c r="C2406" t="inlineStr">
        <is>
          <t>JWBS8810</t>
        </is>
      </c>
      <c r="D2406" t="inlineStr">
        <is>
          <t>Teddies &amp; Bodystockings</t>
        </is>
      </c>
      <c r="E2406" t="inlineStr">
        <is>
          <t>JenniWears</t>
        </is>
      </c>
      <c r="F2406" t="inlineStr">
        <is>
          <t>Valentine,WFS Item</t>
        </is>
      </c>
      <c r="G2406" s="48" t="n">
        <v>0</v>
      </c>
      <c r="H2406" s="49" t="n">
        <v>0</v>
      </c>
      <c r="I2406" s="49" t="n">
        <v>0</v>
      </c>
      <c r="J2406" s="50" t="n">
        <v>0</v>
      </c>
      <c r="K2406" s="51" t="n">
        <v>0</v>
      </c>
      <c r="L2406" s="52" t="n">
        <v>0</v>
      </c>
      <c r="M2406" s="52" t="n">
        <v>0</v>
      </c>
      <c r="N2406" s="52" t="n">
        <v>0</v>
      </c>
      <c r="O2406" s="53" t="n">
        <v>0</v>
      </c>
      <c r="P2406" s="52" t="n">
        <v>0</v>
      </c>
      <c r="Q2406" s="53" t="n">
        <v>0</v>
      </c>
      <c r="R2406" s="52" t="n">
        <v>0</v>
      </c>
      <c r="S2406" s="51" t="n">
        <v>0</v>
      </c>
      <c r="T2406" s="48" t="n">
        <v>0</v>
      </c>
      <c r="U2406" s="49" t="n">
        <v>0</v>
      </c>
      <c r="V2406" s="49" t="n">
        <v>0</v>
      </c>
      <c r="W2406" s="50" t="n">
        <v>0</v>
      </c>
      <c r="X2406" s="51" t="n">
        <v>0</v>
      </c>
      <c r="Y2406" s="52" t="n">
        <v>0</v>
      </c>
      <c r="Z2406" s="52" t="n">
        <v>0</v>
      </c>
      <c r="AA2406" s="52" t="n">
        <v>0</v>
      </c>
      <c r="AB2406" s="53" t="n">
        <v>0</v>
      </c>
      <c r="AC2406" s="52" t="n">
        <v>0</v>
      </c>
      <c r="AD2406" s="53" t="n">
        <v>0</v>
      </c>
      <c r="AE2406" s="52" t="n">
        <v>0</v>
      </c>
      <c r="AF2406" s="51" t="n">
        <v>0</v>
      </c>
      <c r="AG2406" s="48" t="n">
        <v>0</v>
      </c>
      <c r="AH2406" s="49" t="n">
        <v>0</v>
      </c>
      <c r="AI2406" s="49" t="n">
        <v>0</v>
      </c>
      <c r="AJ2406" s="50" t="n">
        <v>0</v>
      </c>
      <c r="AK2406" s="51" t="n">
        <v>0</v>
      </c>
      <c r="AL2406" s="52" t="n">
        <v>0</v>
      </c>
      <c r="AM2406" s="52" t="n">
        <v>0</v>
      </c>
      <c r="AN2406" s="52" t="n">
        <v>0</v>
      </c>
      <c r="AO2406" s="53" t="n">
        <v>0</v>
      </c>
      <c r="AP2406" s="52" t="n">
        <v>0</v>
      </c>
      <c r="AQ2406" s="53" t="n">
        <v>0</v>
      </c>
      <c r="AR2406" s="52" t="n">
        <v>0</v>
      </c>
      <c r="AS2406" s="51" t="n">
        <v>0</v>
      </c>
      <c r="AT2406" s="48" t="n">
        <v>0</v>
      </c>
      <c r="AU2406" s="49" t="n">
        <v>0</v>
      </c>
      <c r="AV2406" s="49" t="n">
        <v>0</v>
      </c>
      <c r="AW2406" s="50" t="n">
        <v>0</v>
      </c>
      <c r="AX2406" s="51" t="n">
        <v>0</v>
      </c>
      <c r="AY2406" s="52" t="n">
        <v>0</v>
      </c>
      <c r="AZ2406" s="52" t="n">
        <v>0</v>
      </c>
      <c r="BA2406" s="52" t="n">
        <v>0</v>
      </c>
      <c r="BB2406" s="53" t="n">
        <v>0</v>
      </c>
      <c r="BC2406" s="52" t="n">
        <v>0</v>
      </c>
      <c r="BD2406" s="53" t="n">
        <v>0</v>
      </c>
      <c r="BE2406" s="52" t="n">
        <v>0</v>
      </c>
      <c r="BF2406" s="51" t="n">
        <v>0</v>
      </c>
    </row>
    <row r="2407">
      <c r="A2407">
        <f>HYPERLINK("https://www.walmart.com/ip/198404251", "198404251")</f>
        <v/>
      </c>
      <c r="B2407" t="inlineStr">
        <is>
          <t>home comforts blanket Blanket with Sleeves, Super Soft Wearable TV Blanket Robe Fleece for Adult 73 x 51”| Cozy Warm, Lightweight</t>
        </is>
      </c>
      <c r="C2407" t="inlineStr">
        <is>
          <t>1TRSN100WN</t>
        </is>
      </c>
      <c r="D2407" t="inlineStr">
        <is>
          <t>Throws</t>
        </is>
      </c>
      <c r="E2407" t="inlineStr">
        <is>
          <t>Tirrinia</t>
        </is>
      </c>
      <c r="F2407" t="inlineStr">
        <is>
          <t>Optimized,WFS Item,Fleece Blankets</t>
        </is>
      </c>
      <c r="G2407" s="48" t="n">
        <v>0</v>
      </c>
      <c r="H2407" s="49" t="n">
        <v>0</v>
      </c>
      <c r="I2407" s="49" t="n">
        <v>0</v>
      </c>
      <c r="J2407" s="50" t="n">
        <v>0</v>
      </c>
      <c r="K2407" s="51" t="n">
        <v>0</v>
      </c>
      <c r="L2407" s="52" t="n">
        <v>0</v>
      </c>
      <c r="M2407" s="52" t="n">
        <v>0</v>
      </c>
      <c r="N2407" s="52" t="n">
        <v>0</v>
      </c>
      <c r="O2407" s="53" t="n">
        <v>0</v>
      </c>
      <c r="P2407" s="52" t="n">
        <v>0</v>
      </c>
      <c r="Q2407" s="53" t="n">
        <v>0</v>
      </c>
      <c r="R2407" s="52" t="n">
        <v>0</v>
      </c>
      <c r="S2407" s="51" t="n">
        <v>0</v>
      </c>
      <c r="T2407" s="48" t="n">
        <v>0</v>
      </c>
      <c r="U2407" s="49" t="n">
        <v>0</v>
      </c>
      <c r="V2407" s="49" t="n">
        <v>0</v>
      </c>
      <c r="W2407" s="50" t="n">
        <v>0</v>
      </c>
      <c r="X2407" s="51" t="n">
        <v>0</v>
      </c>
      <c r="Y2407" s="52" t="n">
        <v>0</v>
      </c>
      <c r="Z2407" s="52" t="n">
        <v>0</v>
      </c>
      <c r="AA2407" s="52" t="n">
        <v>0</v>
      </c>
      <c r="AB2407" s="53" t="n">
        <v>0</v>
      </c>
      <c r="AC2407" s="52" t="n">
        <v>0</v>
      </c>
      <c r="AD2407" s="53" t="n">
        <v>0</v>
      </c>
      <c r="AE2407" s="52" t="n">
        <v>0</v>
      </c>
      <c r="AF2407" s="51" t="n">
        <v>0</v>
      </c>
      <c r="AG2407" s="48" t="n">
        <v>0</v>
      </c>
      <c r="AH2407" s="49" t="n">
        <v>0</v>
      </c>
      <c r="AI2407" s="49" t="n">
        <v>0</v>
      </c>
      <c r="AJ2407" s="50" t="n">
        <v>0</v>
      </c>
      <c r="AK2407" s="51" t="n">
        <v>0</v>
      </c>
      <c r="AL2407" s="52" t="n">
        <v>0</v>
      </c>
      <c r="AM2407" s="52" t="n">
        <v>0</v>
      </c>
      <c r="AN2407" s="52" t="n">
        <v>0</v>
      </c>
      <c r="AO2407" s="53" t="n">
        <v>0</v>
      </c>
      <c r="AP2407" s="52" t="n">
        <v>0</v>
      </c>
      <c r="AQ2407" s="53" t="n">
        <v>0</v>
      </c>
      <c r="AR2407" s="52" t="n">
        <v>0</v>
      </c>
      <c r="AS2407" s="51" t="n">
        <v>0</v>
      </c>
      <c r="AT2407" s="48" t="n">
        <v>0</v>
      </c>
      <c r="AU2407" s="49" t="n">
        <v>0</v>
      </c>
      <c r="AV2407" s="49" t="n">
        <v>0</v>
      </c>
      <c r="AW2407" s="50" t="n">
        <v>0</v>
      </c>
      <c r="AX2407" s="51" t="n">
        <v>0</v>
      </c>
      <c r="AY2407" s="52" t="n">
        <v>0</v>
      </c>
      <c r="AZ2407" s="52" t="n">
        <v>0</v>
      </c>
      <c r="BA2407" s="52" t="n">
        <v>0</v>
      </c>
      <c r="BB2407" s="53" t="n">
        <v>0</v>
      </c>
      <c r="BC2407" s="52" t="n">
        <v>0</v>
      </c>
      <c r="BD2407" s="53" t="n">
        <v>0</v>
      </c>
      <c r="BE2407" s="52" t="n">
        <v>0</v>
      </c>
      <c r="BF2407" s="51" t="n">
        <v>0</v>
      </c>
    </row>
    <row r="2408">
      <c r="A2408">
        <f>HYPERLINK("https://www.walmart.com/ip/198503118", "198503118")</f>
        <v/>
      </c>
      <c r="B2408" t="inlineStr">
        <is>
          <t>JenniWears Women's Beileise  Sexy Crotchless Suspender Pantyhose Stockings Black - 3 Packs</t>
        </is>
      </c>
      <c r="C2408" t="inlineStr">
        <is>
          <t>JWBLSPH2028-3pcs</t>
        </is>
      </c>
      <c r="D2408" t="inlineStr">
        <is>
          <t>Pantyhose &amp; Tights</t>
        </is>
      </c>
      <c r="E2408" t="inlineStr">
        <is>
          <t>JenniWears</t>
        </is>
      </c>
      <c r="F2408" t="inlineStr">
        <is>
          <t>Optimized,Valentine</t>
        </is>
      </c>
      <c r="G2408" s="48" t="n">
        <v>0</v>
      </c>
      <c r="H2408" s="49" t="n">
        <v>0</v>
      </c>
      <c r="I2408" s="49" t="n">
        <v>0</v>
      </c>
      <c r="J2408" s="50" t="n">
        <v>0</v>
      </c>
      <c r="K2408" s="51" t="n">
        <v>0</v>
      </c>
      <c r="L2408" s="52" t="n">
        <v>0</v>
      </c>
      <c r="M2408" s="52" t="n">
        <v>0</v>
      </c>
      <c r="N2408" s="52" t="n">
        <v>0</v>
      </c>
      <c r="O2408" s="53" t="n">
        <v>0</v>
      </c>
      <c r="P2408" s="52" t="n">
        <v>0</v>
      </c>
      <c r="Q2408" s="53" t="n">
        <v>0</v>
      </c>
      <c r="R2408" s="52" t="n">
        <v>0</v>
      </c>
      <c r="S2408" s="51" t="n">
        <v>0</v>
      </c>
      <c r="T2408" s="48" t="n">
        <v>0</v>
      </c>
      <c r="U2408" s="49" t="n">
        <v>0</v>
      </c>
      <c r="V2408" s="49" t="n">
        <v>0</v>
      </c>
      <c r="W2408" s="50" t="n">
        <v>0</v>
      </c>
      <c r="X2408" s="51" t="n">
        <v>0</v>
      </c>
      <c r="Y2408" s="52" t="n">
        <v>0</v>
      </c>
      <c r="Z2408" s="52" t="n">
        <v>0</v>
      </c>
      <c r="AA2408" s="52" t="n">
        <v>0</v>
      </c>
      <c r="AB2408" s="53" t="n">
        <v>0</v>
      </c>
      <c r="AC2408" s="52" t="n">
        <v>0</v>
      </c>
      <c r="AD2408" s="53" t="n">
        <v>0</v>
      </c>
      <c r="AE2408" s="52" t="n">
        <v>0</v>
      </c>
      <c r="AF2408" s="51" t="n">
        <v>0</v>
      </c>
      <c r="AG2408" s="48" t="n">
        <v>0</v>
      </c>
      <c r="AH2408" s="49" t="n">
        <v>0</v>
      </c>
      <c r="AI2408" s="49" t="n">
        <v>0</v>
      </c>
      <c r="AJ2408" s="50" t="n">
        <v>0</v>
      </c>
      <c r="AK2408" s="51" t="n">
        <v>0</v>
      </c>
      <c r="AL2408" s="52" t="n">
        <v>0</v>
      </c>
      <c r="AM2408" s="52" t="n">
        <v>0</v>
      </c>
      <c r="AN2408" s="52" t="n">
        <v>0</v>
      </c>
      <c r="AO2408" s="53" t="n">
        <v>0</v>
      </c>
      <c r="AP2408" s="52" t="n">
        <v>0</v>
      </c>
      <c r="AQ2408" s="53" t="n">
        <v>0</v>
      </c>
      <c r="AR2408" s="52" t="n">
        <v>0</v>
      </c>
      <c r="AS2408" s="51" t="n">
        <v>0</v>
      </c>
      <c r="AT2408" s="48" t="n">
        <v>0</v>
      </c>
      <c r="AU2408" s="49" t="n">
        <v>0</v>
      </c>
      <c r="AV2408" s="49" t="n">
        <v>0</v>
      </c>
      <c r="AW2408" s="50" t="n">
        <v>0</v>
      </c>
      <c r="AX2408" s="51" t="n">
        <v>0</v>
      </c>
      <c r="AY2408" s="52" t="n">
        <v>0</v>
      </c>
      <c r="AZ2408" s="52" t="n">
        <v>0</v>
      </c>
      <c r="BA2408" s="52" t="n">
        <v>0</v>
      </c>
      <c r="BB2408" s="53" t="n">
        <v>0</v>
      </c>
      <c r="BC2408" s="52" t="n">
        <v>0</v>
      </c>
      <c r="BD2408" s="53" t="n">
        <v>0</v>
      </c>
      <c r="BE2408" s="52" t="n">
        <v>0</v>
      </c>
      <c r="BF2408" s="51" t="n">
        <v>0</v>
      </c>
    </row>
    <row r="2409">
      <c r="A2409">
        <f>HYPERLINK("https://www.walmart.com/ip/1985753772", "1985753772")</f>
        <v/>
      </c>
      <c r="B2409" t="inlineStr">
        <is>
          <t>Every Day is Christmas Glass Blown Ornaments 2021 Cute Hand Made Figurines Tree Decoration, Yoga Santa</t>
        </is>
      </c>
      <c r="C2409" t="inlineStr">
        <is>
          <t>EDC-FIGURINE-LONDON</t>
        </is>
      </c>
      <c r="D2409" t="inlineStr">
        <is>
          <t>Ornaments</t>
        </is>
      </c>
      <c r="E2409" t="inlineStr">
        <is>
          <t>Every Day is Christmas</t>
        </is>
      </c>
      <c r="G2409" s="48" t="n">
        <v>0</v>
      </c>
      <c r="H2409" s="49" t="n">
        <v>0</v>
      </c>
      <c r="I2409" s="49" t="n">
        <v>0</v>
      </c>
      <c r="J2409" s="50" t="n">
        <v>0</v>
      </c>
      <c r="K2409" s="51" t="n">
        <v>0</v>
      </c>
      <c r="L2409" s="52" t="n">
        <v>0</v>
      </c>
      <c r="M2409" s="52" t="n">
        <v>0</v>
      </c>
      <c r="N2409" s="52" t="n">
        <v>0</v>
      </c>
      <c r="O2409" s="53" t="n">
        <v>0</v>
      </c>
      <c r="P2409" s="52" t="n">
        <v>0</v>
      </c>
      <c r="Q2409" s="53" t="n">
        <v>0</v>
      </c>
      <c r="R2409" s="52" t="n">
        <v>0</v>
      </c>
      <c r="S2409" s="51" t="n">
        <v>0</v>
      </c>
      <c r="T2409" s="48" t="n">
        <v>0</v>
      </c>
      <c r="U2409" s="49" t="n">
        <v>0</v>
      </c>
      <c r="V2409" s="49" t="n">
        <v>0</v>
      </c>
      <c r="W2409" s="50" t="n">
        <v>0</v>
      </c>
      <c r="X2409" s="51" t="n">
        <v>0</v>
      </c>
      <c r="Y2409" s="52" t="n">
        <v>0</v>
      </c>
      <c r="Z2409" s="52" t="n">
        <v>0</v>
      </c>
      <c r="AA2409" s="52" t="n">
        <v>0</v>
      </c>
      <c r="AB2409" s="53" t="n">
        <v>0</v>
      </c>
      <c r="AC2409" s="52" t="n">
        <v>0</v>
      </c>
      <c r="AD2409" s="53" t="n">
        <v>0</v>
      </c>
      <c r="AE2409" s="52" t="n">
        <v>0</v>
      </c>
      <c r="AF2409" s="51" t="n">
        <v>0</v>
      </c>
      <c r="AG2409" s="48" t="n">
        <v>0</v>
      </c>
      <c r="AH2409" s="49" t="n">
        <v>0</v>
      </c>
      <c r="AI2409" s="49" t="n">
        <v>0</v>
      </c>
      <c r="AJ2409" s="50" t="n">
        <v>0</v>
      </c>
      <c r="AK2409" s="51" t="n">
        <v>0</v>
      </c>
      <c r="AL2409" s="52" t="n">
        <v>0</v>
      </c>
      <c r="AM2409" s="52" t="n">
        <v>0</v>
      </c>
      <c r="AN2409" s="52" t="n">
        <v>0</v>
      </c>
      <c r="AO2409" s="53" t="n">
        <v>0</v>
      </c>
      <c r="AP2409" s="52" t="n">
        <v>0</v>
      </c>
      <c r="AQ2409" s="53" t="n">
        <v>0</v>
      </c>
      <c r="AR2409" s="52" t="n">
        <v>0</v>
      </c>
      <c r="AS2409" s="51" t="n">
        <v>0</v>
      </c>
      <c r="AT2409" s="48" t="n">
        <v>0</v>
      </c>
      <c r="AU2409" s="49" t="n">
        <v>0</v>
      </c>
      <c r="AV2409" s="49" t="n">
        <v>0</v>
      </c>
      <c r="AW2409" s="50" t="n">
        <v>0</v>
      </c>
      <c r="AX2409" s="51" t="n">
        <v>0</v>
      </c>
      <c r="AY2409" s="52" t="n">
        <v>0</v>
      </c>
      <c r="AZ2409" s="52" t="n">
        <v>0</v>
      </c>
      <c r="BA2409" s="52" t="n">
        <v>0</v>
      </c>
      <c r="BB2409" s="53" t="n">
        <v>0</v>
      </c>
      <c r="BC2409" s="52" t="n">
        <v>0</v>
      </c>
      <c r="BD2409" s="53" t="n">
        <v>0</v>
      </c>
      <c r="BE2409" s="52" t="n">
        <v>0</v>
      </c>
      <c r="BF2409" s="51" t="n">
        <v>0</v>
      </c>
    </row>
    <row r="2410">
      <c r="A2410">
        <f>HYPERLINK("https://www.walmart.com/ip/198695605", "198695605")</f>
        <v/>
      </c>
      <c r="B2410" t="inlineStr">
        <is>
          <t>Catalonia Reversible Sherpa Throw Blanket, Super Soft Fluffy Blanket for Couch,  Fuzzy Comfy Warm Throws, Comfort Caring Gift, 50x60 inches, Wine</t>
        </is>
      </c>
      <c r="C2410" t="inlineStr">
        <is>
          <t>1CTBF578WN</t>
        </is>
      </c>
      <c r="D2410" t="inlineStr">
        <is>
          <t>Throws</t>
        </is>
      </c>
      <c r="E2410" t="inlineStr">
        <is>
          <t>Catalonia</t>
        </is>
      </c>
      <c r="F2410" t="inlineStr">
        <is>
          <t>Q2-Target,WFS,Coupon_Discount,WFS Item</t>
        </is>
      </c>
      <c r="G2410" s="48" t="n">
        <v>0</v>
      </c>
      <c r="H2410" s="49" t="n">
        <v>0</v>
      </c>
      <c r="I2410" s="49" t="n">
        <v>0</v>
      </c>
      <c r="J2410" s="50" t="n">
        <v>0</v>
      </c>
      <c r="K2410" s="51" t="n">
        <v>0</v>
      </c>
      <c r="L2410" s="52" t="n">
        <v>0</v>
      </c>
      <c r="M2410" s="52" t="n">
        <v>0</v>
      </c>
      <c r="N2410" s="52" t="n">
        <v>0</v>
      </c>
      <c r="O2410" s="53" t="n">
        <v>0</v>
      </c>
      <c r="P2410" s="52" t="n">
        <v>0</v>
      </c>
      <c r="Q2410" s="53" t="n">
        <v>0</v>
      </c>
      <c r="R2410" s="52" t="n">
        <v>0</v>
      </c>
      <c r="S2410" s="51" t="n">
        <v>0</v>
      </c>
      <c r="T2410" s="48" t="n">
        <v>0</v>
      </c>
      <c r="U2410" s="49" t="n">
        <v>0</v>
      </c>
      <c r="V2410" s="49" t="n">
        <v>0</v>
      </c>
      <c r="W2410" s="50" t="n">
        <v>0</v>
      </c>
      <c r="X2410" s="51" t="n">
        <v>0</v>
      </c>
      <c r="Y2410" s="52" t="n">
        <v>0</v>
      </c>
      <c r="Z2410" s="52" t="n">
        <v>0</v>
      </c>
      <c r="AA2410" s="52" t="n">
        <v>0</v>
      </c>
      <c r="AB2410" s="53" t="n">
        <v>0</v>
      </c>
      <c r="AC2410" s="52" t="n">
        <v>0</v>
      </c>
      <c r="AD2410" s="53" t="n">
        <v>0</v>
      </c>
      <c r="AE2410" s="52" t="n">
        <v>0</v>
      </c>
      <c r="AF2410" s="51" t="n">
        <v>0</v>
      </c>
      <c r="AG2410" s="48" t="n">
        <v>0</v>
      </c>
      <c r="AH2410" s="49" t="n">
        <v>0</v>
      </c>
      <c r="AI2410" s="49" t="n">
        <v>0</v>
      </c>
      <c r="AJ2410" s="50" t="n">
        <v>0</v>
      </c>
      <c r="AK2410" s="51" t="n">
        <v>0</v>
      </c>
      <c r="AL2410" s="52" t="n">
        <v>0</v>
      </c>
      <c r="AM2410" s="52" t="n">
        <v>0</v>
      </c>
      <c r="AN2410" s="52" t="n">
        <v>0</v>
      </c>
      <c r="AO2410" s="53" t="n">
        <v>0</v>
      </c>
      <c r="AP2410" s="52" t="n">
        <v>0</v>
      </c>
      <c r="AQ2410" s="53" t="n">
        <v>0</v>
      </c>
      <c r="AR2410" s="52" t="n">
        <v>0</v>
      </c>
      <c r="AS2410" s="51" t="n">
        <v>0</v>
      </c>
      <c r="AT2410" s="48" t="n">
        <v>0</v>
      </c>
      <c r="AU2410" s="49" t="n">
        <v>0</v>
      </c>
      <c r="AV2410" s="49" t="n">
        <v>0</v>
      </c>
      <c r="AW2410" s="50" t="n">
        <v>0</v>
      </c>
      <c r="AX2410" s="51" t="n">
        <v>0</v>
      </c>
      <c r="AY2410" s="52" t="n">
        <v>0</v>
      </c>
      <c r="AZ2410" s="52" t="n">
        <v>0</v>
      </c>
      <c r="BA2410" s="52" t="n">
        <v>0</v>
      </c>
      <c r="BB2410" s="53" t="n">
        <v>0</v>
      </c>
      <c r="BC2410" s="52" t="n">
        <v>0</v>
      </c>
      <c r="BD2410" s="53" t="n">
        <v>0</v>
      </c>
      <c r="BE2410" s="52" t="n">
        <v>0</v>
      </c>
      <c r="BF2410" s="51" t="n">
        <v>0</v>
      </c>
    </row>
    <row r="2411">
      <c r="A2411">
        <f>HYPERLINK("https://www.walmart.com/ip/198876951", "198876951")</f>
        <v/>
      </c>
      <c r="B2411" t="inlineStr">
        <is>
          <t>JenniWears® Women Intimate Night Babydoll Robe w/ Satin Ribbon Belt G-string Set</t>
        </is>
      </c>
      <c r="C2411" t="inlineStr">
        <is>
          <t>JWRS03BK-M</t>
        </is>
      </c>
      <c r="D2411" t="inlineStr">
        <is>
          <t>Lingerie Sets</t>
        </is>
      </c>
      <c r="E2411" t="inlineStr">
        <is>
          <t>JenniWears</t>
        </is>
      </c>
      <c r="F2411" t="inlineStr">
        <is>
          <t>Optimized,Valentine</t>
        </is>
      </c>
      <c r="G2411" s="48" t="n">
        <v>0</v>
      </c>
      <c r="H2411" s="49" t="n">
        <v>0</v>
      </c>
      <c r="I2411" s="49" t="n">
        <v>0</v>
      </c>
      <c r="J2411" s="50" t="n">
        <v>0</v>
      </c>
      <c r="K2411" s="51" t="n">
        <v>0</v>
      </c>
      <c r="L2411" s="52" t="n">
        <v>0</v>
      </c>
      <c r="M2411" s="52" t="n">
        <v>0</v>
      </c>
      <c r="N2411" s="52" t="n">
        <v>0</v>
      </c>
      <c r="O2411" s="53" t="n">
        <v>0</v>
      </c>
      <c r="P2411" s="52" t="n">
        <v>0</v>
      </c>
      <c r="Q2411" s="53" t="n">
        <v>0</v>
      </c>
      <c r="R2411" s="52" t="n">
        <v>0</v>
      </c>
      <c r="S2411" s="51" t="n">
        <v>0</v>
      </c>
      <c r="T2411" s="48" t="n">
        <v>0</v>
      </c>
      <c r="U2411" s="49" t="n">
        <v>0</v>
      </c>
      <c r="V2411" s="49" t="n">
        <v>0</v>
      </c>
      <c r="W2411" s="50" t="n">
        <v>0</v>
      </c>
      <c r="X2411" s="51" t="n">
        <v>0</v>
      </c>
      <c r="Y2411" s="52" t="n">
        <v>0</v>
      </c>
      <c r="Z2411" s="52" t="n">
        <v>0</v>
      </c>
      <c r="AA2411" s="52" t="n">
        <v>0</v>
      </c>
      <c r="AB2411" s="53" t="n">
        <v>0</v>
      </c>
      <c r="AC2411" s="52" t="n">
        <v>0</v>
      </c>
      <c r="AD2411" s="53" t="n">
        <v>0</v>
      </c>
      <c r="AE2411" s="52" t="n">
        <v>0</v>
      </c>
      <c r="AF2411" s="51" t="n">
        <v>0</v>
      </c>
      <c r="AG2411" s="48" t="n">
        <v>0</v>
      </c>
      <c r="AH2411" s="49" t="n">
        <v>0</v>
      </c>
      <c r="AI2411" s="49" t="n">
        <v>0</v>
      </c>
      <c r="AJ2411" s="50" t="n">
        <v>0</v>
      </c>
      <c r="AK2411" s="51" t="n">
        <v>0</v>
      </c>
      <c r="AL2411" s="52" t="n">
        <v>0</v>
      </c>
      <c r="AM2411" s="52" t="n">
        <v>0</v>
      </c>
      <c r="AN2411" s="52" t="n">
        <v>0</v>
      </c>
      <c r="AO2411" s="53" t="n">
        <v>0</v>
      </c>
      <c r="AP2411" s="52" t="n">
        <v>0</v>
      </c>
      <c r="AQ2411" s="53" t="n">
        <v>0</v>
      </c>
      <c r="AR2411" s="52" t="n">
        <v>0</v>
      </c>
      <c r="AS2411" s="51" t="n">
        <v>0</v>
      </c>
      <c r="AT2411" s="48" t="n">
        <v>0</v>
      </c>
      <c r="AU2411" s="49" t="n">
        <v>0</v>
      </c>
      <c r="AV2411" s="49" t="n">
        <v>0</v>
      </c>
      <c r="AW2411" s="50" t="n">
        <v>0</v>
      </c>
      <c r="AX2411" s="51" t="n">
        <v>0</v>
      </c>
      <c r="AY2411" s="52" t="n">
        <v>0</v>
      </c>
      <c r="AZ2411" s="52" t="n">
        <v>0</v>
      </c>
      <c r="BA2411" s="52" t="n">
        <v>0</v>
      </c>
      <c r="BB2411" s="53" t="n">
        <v>0</v>
      </c>
      <c r="BC2411" s="52" t="n">
        <v>0</v>
      </c>
      <c r="BD2411" s="53" t="n">
        <v>0</v>
      </c>
      <c r="BE2411" s="52" t="n">
        <v>0</v>
      </c>
      <c r="BF2411" s="51" t="n">
        <v>0</v>
      </c>
    </row>
    <row r="2412">
      <c r="A2412">
        <f>HYPERLINK("https://www.walmart.com/ip/198932807", "198932807")</f>
        <v/>
      </c>
      <c r="B2412" t="inlineStr">
        <is>
          <t>JenniWears® Women's Stretch Mesh Bikini Panty with Open Back Heart Detail</t>
        </is>
      </c>
      <c r="C2412" t="inlineStr">
        <is>
          <t>JWPT02RD-M</t>
        </is>
      </c>
      <c r="D2412" t="inlineStr">
        <is>
          <t>Panties</t>
        </is>
      </c>
      <c r="E2412" t="inlineStr">
        <is>
          <t>JenniWears</t>
        </is>
      </c>
      <c r="F2412" t="inlineStr">
        <is>
          <t>Valentine</t>
        </is>
      </c>
      <c r="G2412" s="48" t="n">
        <v>0</v>
      </c>
      <c r="H2412" s="49" t="n">
        <v>0</v>
      </c>
      <c r="I2412" s="49" t="n">
        <v>0</v>
      </c>
      <c r="J2412" s="50" t="n">
        <v>0</v>
      </c>
      <c r="K2412" s="51" t="n">
        <v>0</v>
      </c>
      <c r="L2412" s="52" t="n">
        <v>0</v>
      </c>
      <c r="M2412" s="52" t="n">
        <v>0</v>
      </c>
      <c r="N2412" s="52" t="n">
        <v>0</v>
      </c>
      <c r="O2412" s="53" t="n">
        <v>0</v>
      </c>
      <c r="P2412" s="52" t="n">
        <v>0</v>
      </c>
      <c r="Q2412" s="53" t="n">
        <v>0</v>
      </c>
      <c r="R2412" s="52" t="n">
        <v>0</v>
      </c>
      <c r="S2412" s="51" t="n">
        <v>0</v>
      </c>
      <c r="T2412" s="48" t="n">
        <v>0</v>
      </c>
      <c r="U2412" s="49" t="n">
        <v>0</v>
      </c>
      <c r="V2412" s="49" t="n">
        <v>0</v>
      </c>
      <c r="W2412" s="50" t="n">
        <v>0</v>
      </c>
      <c r="X2412" s="51" t="n">
        <v>0</v>
      </c>
      <c r="Y2412" s="52" t="n">
        <v>0</v>
      </c>
      <c r="Z2412" s="52" t="n">
        <v>0</v>
      </c>
      <c r="AA2412" s="52" t="n">
        <v>0</v>
      </c>
      <c r="AB2412" s="53" t="n">
        <v>0</v>
      </c>
      <c r="AC2412" s="52" t="n">
        <v>0</v>
      </c>
      <c r="AD2412" s="53" t="n">
        <v>0</v>
      </c>
      <c r="AE2412" s="52" t="n">
        <v>0</v>
      </c>
      <c r="AF2412" s="51" t="n">
        <v>0</v>
      </c>
      <c r="AG2412" s="48" t="n">
        <v>0</v>
      </c>
      <c r="AH2412" s="49" t="n">
        <v>0</v>
      </c>
      <c r="AI2412" s="49" t="n">
        <v>0</v>
      </c>
      <c r="AJ2412" s="50" t="n">
        <v>0</v>
      </c>
      <c r="AK2412" s="51" t="n">
        <v>0</v>
      </c>
      <c r="AL2412" s="52" t="n">
        <v>0</v>
      </c>
      <c r="AM2412" s="52" t="n">
        <v>0</v>
      </c>
      <c r="AN2412" s="52" t="n">
        <v>0</v>
      </c>
      <c r="AO2412" s="53" t="n">
        <v>0</v>
      </c>
      <c r="AP2412" s="52" t="n">
        <v>0</v>
      </c>
      <c r="AQ2412" s="53" t="n">
        <v>0</v>
      </c>
      <c r="AR2412" s="52" t="n">
        <v>0</v>
      </c>
      <c r="AS2412" s="51" t="n">
        <v>0</v>
      </c>
      <c r="AT2412" s="48" t="n">
        <v>0</v>
      </c>
      <c r="AU2412" s="49" t="n">
        <v>0</v>
      </c>
      <c r="AV2412" s="49" t="n">
        <v>0</v>
      </c>
      <c r="AW2412" s="50" t="n">
        <v>0</v>
      </c>
      <c r="AX2412" s="51" t="n">
        <v>0</v>
      </c>
      <c r="AY2412" s="52" t="n">
        <v>0</v>
      </c>
      <c r="AZ2412" s="52" t="n">
        <v>0</v>
      </c>
      <c r="BA2412" s="52" t="n">
        <v>0</v>
      </c>
      <c r="BB2412" s="53" t="n">
        <v>0</v>
      </c>
      <c r="BC2412" s="52" t="n">
        <v>0</v>
      </c>
      <c r="BD2412" s="53" t="n">
        <v>0</v>
      </c>
      <c r="BE2412" s="52" t="n">
        <v>0</v>
      </c>
      <c r="BF2412" s="51" t="n">
        <v>0</v>
      </c>
    </row>
    <row r="2413">
      <c r="A2413">
        <f>HYPERLINK("https://www.walmart.com/ip/199120982", "199120982")</f>
        <v/>
      </c>
      <c r="B2413" t="inlineStr">
        <is>
          <t>Tirrinia Insulated Lunch Bag for Women and Men, Leakproof Reusable Meal Prep Bento Box Insulated Cooler Bag, Dual Compartment with Shoulder Strap, Charcoal, 10.2" x 7.5" x 9"</t>
        </is>
      </c>
      <c r="C2413" t="inlineStr">
        <is>
          <t>1TRLB601CH</t>
        </is>
      </c>
      <c r="D2413" t="inlineStr">
        <is>
          <t>Reusable Lunch Bags &amp; Boxes</t>
        </is>
      </c>
      <c r="E2413" t="inlineStr">
        <is>
          <t>Tirrinia</t>
        </is>
      </c>
      <c r="F2413" t="inlineStr">
        <is>
          <t>Q2-Target,Brand Camp VD,Lunch Bag,WFS,Lunch Bags,SEM,WFS Item,AMZ Bestsellers</t>
        </is>
      </c>
      <c r="G2413" s="48" t="n">
        <v>0</v>
      </c>
      <c r="H2413" s="49" t="n">
        <v>0</v>
      </c>
      <c r="I2413" s="49" t="n">
        <v>30</v>
      </c>
      <c r="J2413" s="50" t="n">
        <v>0</v>
      </c>
      <c r="K2413" s="51" t="n">
        <v>0</v>
      </c>
      <c r="L2413" s="52" t="n">
        <v>0</v>
      </c>
      <c r="M2413" s="52" t="n">
        <v>0</v>
      </c>
      <c r="N2413" s="52" t="n">
        <v>0</v>
      </c>
      <c r="O2413" s="53" t="n">
        <v>0</v>
      </c>
      <c r="P2413" s="52" t="n">
        <v>0</v>
      </c>
      <c r="Q2413" s="53" t="n">
        <v>0</v>
      </c>
      <c r="R2413" s="52" t="n">
        <v>0</v>
      </c>
      <c r="S2413" s="51" t="n">
        <v>0</v>
      </c>
      <c r="T2413" s="48" t="n">
        <v>18.99</v>
      </c>
      <c r="U2413" s="49" t="n">
        <v>1</v>
      </c>
      <c r="V2413" s="49" t="n">
        <v>45</v>
      </c>
      <c r="W2413" s="50" t="n">
        <v>0.02222222222222222</v>
      </c>
      <c r="X2413" s="51" t="n">
        <v>0</v>
      </c>
      <c r="Y2413" s="52" t="n">
        <v>0</v>
      </c>
      <c r="Z2413" s="52" t="n">
        <v>0</v>
      </c>
      <c r="AA2413" s="52" t="n">
        <v>0</v>
      </c>
      <c r="AB2413" s="53" t="n">
        <v>0</v>
      </c>
      <c r="AC2413" s="52" t="n">
        <v>0</v>
      </c>
      <c r="AD2413" s="53" t="n">
        <v>0</v>
      </c>
      <c r="AE2413" s="52" t="n">
        <v>18.99</v>
      </c>
      <c r="AF2413" s="51" t="n">
        <v>0</v>
      </c>
      <c r="AG2413" s="48" t="n">
        <v>18.99</v>
      </c>
      <c r="AH2413" s="49" t="n">
        <v>1</v>
      </c>
      <c r="AI2413" s="49" t="n">
        <v>52</v>
      </c>
      <c r="AJ2413" s="50" t="n">
        <v>0.01923076923076923</v>
      </c>
      <c r="AK2413" s="51" t="n">
        <v>0</v>
      </c>
      <c r="AL2413" s="52" t="n">
        <v>0</v>
      </c>
      <c r="AM2413" s="52" t="n">
        <v>0</v>
      </c>
      <c r="AN2413" s="52" t="n">
        <v>0</v>
      </c>
      <c r="AO2413" s="53" t="n">
        <v>0</v>
      </c>
      <c r="AP2413" s="52" t="n">
        <v>0</v>
      </c>
      <c r="AQ2413" s="53" t="n">
        <v>0</v>
      </c>
      <c r="AR2413" s="52" t="n">
        <v>18.99</v>
      </c>
      <c r="AS2413" s="51" t="n">
        <v>0</v>
      </c>
      <c r="AT2413" s="48" t="n">
        <v>0</v>
      </c>
      <c r="AU2413" s="49" t="n">
        <v>0</v>
      </c>
      <c r="AV2413" s="49" t="n">
        <v>54</v>
      </c>
      <c r="AW2413" s="50" t="n">
        <v>0</v>
      </c>
      <c r="AX2413" s="51" t="n">
        <v>0</v>
      </c>
      <c r="AY2413" s="52" t="n">
        <v>0</v>
      </c>
      <c r="AZ2413" s="52" t="n">
        <v>0</v>
      </c>
      <c r="BA2413" s="52" t="n">
        <v>0</v>
      </c>
      <c r="BB2413" s="53" t="n">
        <v>0</v>
      </c>
      <c r="BC2413" s="52" t="n">
        <v>0</v>
      </c>
      <c r="BD2413" s="53" t="n">
        <v>0</v>
      </c>
      <c r="BE2413" s="52" t="n">
        <v>0</v>
      </c>
      <c r="BF2413" s="51" t="n">
        <v>0</v>
      </c>
    </row>
    <row r="2414">
      <c r="A2414">
        <f>HYPERLINK("https://www.walmart.com/ip/199203186", "199203186")</f>
        <v/>
      </c>
      <c r="B2414" t="inlineStr">
        <is>
          <t>Terra Active Wrap- Stylish Running workout travel waist belt w/ hidden pocket</t>
        </is>
      </c>
      <c r="C2414" t="inlineStr">
        <is>
          <t>TERRA-3BL-L</t>
        </is>
      </c>
      <c r="D2414" t="inlineStr">
        <is>
          <t>Running Belts</t>
        </is>
      </c>
      <c r="E2414" t="inlineStr">
        <is>
          <t>Terra</t>
        </is>
      </c>
      <c r="F2414" t="inlineStr">
        <is>
          <t>Batch 1 - TR</t>
        </is>
      </c>
      <c r="G2414" s="48" t="n">
        <v>0</v>
      </c>
      <c r="H2414" s="49" t="n">
        <v>0</v>
      </c>
      <c r="I2414" s="49" t="n">
        <v>0</v>
      </c>
      <c r="J2414" s="50" t="n">
        <v>0</v>
      </c>
      <c r="K2414" s="51" t="n">
        <v>0</v>
      </c>
      <c r="L2414" s="52" t="n">
        <v>0</v>
      </c>
      <c r="M2414" s="52" t="n">
        <v>0</v>
      </c>
      <c r="N2414" s="52" t="n">
        <v>0</v>
      </c>
      <c r="O2414" s="53" t="n">
        <v>0</v>
      </c>
      <c r="P2414" s="52" t="n">
        <v>0</v>
      </c>
      <c r="Q2414" s="53" t="n">
        <v>0</v>
      </c>
      <c r="R2414" s="52" t="n">
        <v>0</v>
      </c>
      <c r="S2414" s="51" t="n">
        <v>0</v>
      </c>
      <c r="T2414" s="48" t="n">
        <v>0</v>
      </c>
      <c r="U2414" s="49" t="n">
        <v>0</v>
      </c>
      <c r="V2414" s="49" t="n">
        <v>0</v>
      </c>
      <c r="W2414" s="50" t="n">
        <v>0</v>
      </c>
      <c r="X2414" s="51" t="n">
        <v>0</v>
      </c>
      <c r="Y2414" s="52" t="n">
        <v>0</v>
      </c>
      <c r="Z2414" s="52" t="n">
        <v>0</v>
      </c>
      <c r="AA2414" s="52" t="n">
        <v>0</v>
      </c>
      <c r="AB2414" s="53" t="n">
        <v>0</v>
      </c>
      <c r="AC2414" s="52" t="n">
        <v>0</v>
      </c>
      <c r="AD2414" s="53" t="n">
        <v>0</v>
      </c>
      <c r="AE2414" s="52" t="n">
        <v>0</v>
      </c>
      <c r="AF2414" s="51" t="n">
        <v>0</v>
      </c>
      <c r="AG2414" s="48" t="n">
        <v>0</v>
      </c>
      <c r="AH2414" s="49" t="n">
        <v>0</v>
      </c>
      <c r="AI2414" s="49" t="n">
        <v>0</v>
      </c>
      <c r="AJ2414" s="50" t="n">
        <v>0</v>
      </c>
      <c r="AK2414" s="51" t="n">
        <v>0</v>
      </c>
      <c r="AL2414" s="52" t="n">
        <v>0</v>
      </c>
      <c r="AM2414" s="52" t="n">
        <v>0</v>
      </c>
      <c r="AN2414" s="52" t="n">
        <v>0</v>
      </c>
      <c r="AO2414" s="53" t="n">
        <v>0</v>
      </c>
      <c r="AP2414" s="52" t="n">
        <v>0</v>
      </c>
      <c r="AQ2414" s="53" t="n">
        <v>0</v>
      </c>
      <c r="AR2414" s="52" t="n">
        <v>0</v>
      </c>
      <c r="AS2414" s="51" t="n">
        <v>0</v>
      </c>
      <c r="AT2414" s="48" t="n">
        <v>0</v>
      </c>
      <c r="AU2414" s="49" t="n">
        <v>0</v>
      </c>
      <c r="AV2414" s="49" t="n">
        <v>0</v>
      </c>
      <c r="AW2414" s="50" t="n">
        <v>0</v>
      </c>
      <c r="AX2414" s="51" t="n">
        <v>0</v>
      </c>
      <c r="AY2414" s="52" t="n">
        <v>0</v>
      </c>
      <c r="AZ2414" s="52" t="n">
        <v>0</v>
      </c>
      <c r="BA2414" s="52" t="n">
        <v>0</v>
      </c>
      <c r="BB2414" s="53" t="n">
        <v>0</v>
      </c>
      <c r="BC2414" s="52" t="n">
        <v>0</v>
      </c>
      <c r="BD2414" s="53" t="n">
        <v>0</v>
      </c>
      <c r="BE2414" s="52" t="n">
        <v>0</v>
      </c>
      <c r="BF2414" s="51" t="n">
        <v>0</v>
      </c>
    </row>
    <row r="2415">
      <c r="A2415">
        <f>HYPERLINK("https://www.walmart.com/ip/1995771365", "1995771365")</f>
        <v/>
      </c>
      <c r="B2415" t="inlineStr">
        <is>
          <t>Every Day is Christmas Glass Blown Ornaments 2022 Cute Hand Made Figurines Tree Decoration - 8cm glass set of 2 tennis ball ornament</t>
        </is>
      </c>
      <c r="C2415" t="inlineStr">
        <is>
          <t>EDC-FIGURINE-TENNIS</t>
        </is>
      </c>
      <c r="D2415" t="inlineStr">
        <is>
          <t>Ornaments</t>
        </is>
      </c>
      <c r="E2415" t="inlineStr">
        <is>
          <t>Every Day is Christmas</t>
        </is>
      </c>
      <c r="G2415" s="48" t="n">
        <v>0</v>
      </c>
      <c r="H2415" s="49" t="n">
        <v>0</v>
      </c>
      <c r="I2415" s="49" t="n">
        <v>0</v>
      </c>
      <c r="J2415" s="50" t="n">
        <v>0</v>
      </c>
      <c r="K2415" s="51" t="n">
        <v>0</v>
      </c>
      <c r="L2415" s="52" t="n">
        <v>0</v>
      </c>
      <c r="M2415" s="52" t="n">
        <v>0</v>
      </c>
      <c r="N2415" s="52" t="n">
        <v>0</v>
      </c>
      <c r="O2415" s="53" t="n">
        <v>0</v>
      </c>
      <c r="P2415" s="52" t="n">
        <v>0</v>
      </c>
      <c r="Q2415" s="53" t="n">
        <v>0</v>
      </c>
      <c r="R2415" s="52" t="n">
        <v>0</v>
      </c>
      <c r="S2415" s="51" t="n">
        <v>0</v>
      </c>
      <c r="T2415" s="48" t="n">
        <v>0</v>
      </c>
      <c r="U2415" s="49" t="n">
        <v>0</v>
      </c>
      <c r="V2415" s="49" t="n">
        <v>0</v>
      </c>
      <c r="W2415" s="50" t="n">
        <v>0</v>
      </c>
      <c r="X2415" s="51" t="n">
        <v>0</v>
      </c>
      <c r="Y2415" s="52" t="n">
        <v>0</v>
      </c>
      <c r="Z2415" s="52" t="n">
        <v>0</v>
      </c>
      <c r="AA2415" s="52" t="n">
        <v>0</v>
      </c>
      <c r="AB2415" s="53" t="n">
        <v>0</v>
      </c>
      <c r="AC2415" s="52" t="n">
        <v>0</v>
      </c>
      <c r="AD2415" s="53" t="n">
        <v>0</v>
      </c>
      <c r="AE2415" s="52" t="n">
        <v>0</v>
      </c>
      <c r="AF2415" s="51" t="n">
        <v>0</v>
      </c>
      <c r="AG2415" s="48" t="n">
        <v>0</v>
      </c>
      <c r="AH2415" s="49" t="n">
        <v>0</v>
      </c>
      <c r="AI2415" s="49" t="n">
        <v>0</v>
      </c>
      <c r="AJ2415" s="50" t="n">
        <v>0</v>
      </c>
      <c r="AK2415" s="51" t="n">
        <v>0</v>
      </c>
      <c r="AL2415" s="52" t="n">
        <v>0</v>
      </c>
      <c r="AM2415" s="52" t="n">
        <v>0</v>
      </c>
      <c r="AN2415" s="52" t="n">
        <v>0</v>
      </c>
      <c r="AO2415" s="53" t="n">
        <v>0</v>
      </c>
      <c r="AP2415" s="52" t="n">
        <v>0</v>
      </c>
      <c r="AQ2415" s="53" t="n">
        <v>0</v>
      </c>
      <c r="AR2415" s="52" t="n">
        <v>0</v>
      </c>
      <c r="AS2415" s="51" t="n">
        <v>0</v>
      </c>
      <c r="AT2415" s="48" t="n">
        <v>0</v>
      </c>
      <c r="AU2415" s="49" t="n">
        <v>0</v>
      </c>
      <c r="AV2415" s="49" t="n">
        <v>0</v>
      </c>
      <c r="AW2415" s="50" t="n">
        <v>0</v>
      </c>
      <c r="AX2415" s="51" t="n">
        <v>0</v>
      </c>
      <c r="AY2415" s="52" t="n">
        <v>0</v>
      </c>
      <c r="AZ2415" s="52" t="n">
        <v>0</v>
      </c>
      <c r="BA2415" s="52" t="n">
        <v>0</v>
      </c>
      <c r="BB2415" s="53" t="n">
        <v>0</v>
      </c>
      <c r="BC2415" s="52" t="n">
        <v>0</v>
      </c>
      <c r="BD2415" s="53" t="n">
        <v>0</v>
      </c>
      <c r="BE2415" s="52" t="n">
        <v>0</v>
      </c>
      <c r="BF2415" s="51" t="n">
        <v>0</v>
      </c>
    </row>
    <row r="2416">
      <c r="A2416">
        <f>HYPERLINK("https://www.walmart.com/ip/1997657379", "1997657379")</f>
        <v/>
      </c>
      <c r="B2416" t="inlineStr">
        <is>
          <t>Every Day is Christmas Glass Blown Ornaments 2021 Cute Hand Made Figurines Tree Decoration, Rocket Santa</t>
        </is>
      </c>
      <c r="C2416" t="inlineStr">
        <is>
          <t>EDC-FIGURINE-GINGERBREAD</t>
        </is>
      </c>
      <c r="D2416" t="inlineStr">
        <is>
          <t>Ornaments</t>
        </is>
      </c>
      <c r="E2416" t="inlineStr">
        <is>
          <t>Every Day is Christmas</t>
        </is>
      </c>
      <c r="G2416" s="48" t="n">
        <v>0</v>
      </c>
      <c r="H2416" s="49" t="n">
        <v>0</v>
      </c>
      <c r="I2416" s="49" t="n">
        <v>0</v>
      </c>
      <c r="J2416" s="50" t="n">
        <v>0</v>
      </c>
      <c r="K2416" s="51" t="n">
        <v>0</v>
      </c>
      <c r="L2416" s="52" t="n">
        <v>0</v>
      </c>
      <c r="M2416" s="52" t="n">
        <v>0</v>
      </c>
      <c r="N2416" s="52" t="n">
        <v>0</v>
      </c>
      <c r="O2416" s="53" t="n">
        <v>0</v>
      </c>
      <c r="P2416" s="52" t="n">
        <v>0</v>
      </c>
      <c r="Q2416" s="53" t="n">
        <v>0</v>
      </c>
      <c r="R2416" s="52" t="n">
        <v>0</v>
      </c>
      <c r="S2416" s="51" t="n">
        <v>0</v>
      </c>
      <c r="T2416" s="48" t="n">
        <v>0</v>
      </c>
      <c r="U2416" s="49" t="n">
        <v>0</v>
      </c>
      <c r="V2416" s="49" t="n">
        <v>0</v>
      </c>
      <c r="W2416" s="50" t="n">
        <v>0</v>
      </c>
      <c r="X2416" s="51" t="n">
        <v>0</v>
      </c>
      <c r="Y2416" s="52" t="n">
        <v>0</v>
      </c>
      <c r="Z2416" s="52" t="n">
        <v>0</v>
      </c>
      <c r="AA2416" s="52" t="n">
        <v>0</v>
      </c>
      <c r="AB2416" s="53" t="n">
        <v>0</v>
      </c>
      <c r="AC2416" s="52" t="n">
        <v>0</v>
      </c>
      <c r="AD2416" s="53" t="n">
        <v>0</v>
      </c>
      <c r="AE2416" s="52" t="n">
        <v>0</v>
      </c>
      <c r="AF2416" s="51" t="n">
        <v>0</v>
      </c>
      <c r="AG2416" s="48" t="n">
        <v>0</v>
      </c>
      <c r="AH2416" s="49" t="n">
        <v>0</v>
      </c>
      <c r="AI2416" s="49" t="n">
        <v>0</v>
      </c>
      <c r="AJ2416" s="50" t="n">
        <v>0</v>
      </c>
      <c r="AK2416" s="51" t="n">
        <v>0</v>
      </c>
      <c r="AL2416" s="52" t="n">
        <v>0</v>
      </c>
      <c r="AM2416" s="52" t="n">
        <v>0</v>
      </c>
      <c r="AN2416" s="52" t="n">
        <v>0</v>
      </c>
      <c r="AO2416" s="53" t="n">
        <v>0</v>
      </c>
      <c r="AP2416" s="52" t="n">
        <v>0</v>
      </c>
      <c r="AQ2416" s="53" t="n">
        <v>0</v>
      </c>
      <c r="AR2416" s="52" t="n">
        <v>0</v>
      </c>
      <c r="AS2416" s="51" t="n">
        <v>0</v>
      </c>
      <c r="AT2416" s="48" t="n">
        <v>0</v>
      </c>
      <c r="AU2416" s="49" t="n">
        <v>0</v>
      </c>
      <c r="AV2416" s="49" t="n">
        <v>0</v>
      </c>
      <c r="AW2416" s="50" t="n">
        <v>0</v>
      </c>
      <c r="AX2416" s="51" t="n">
        <v>0</v>
      </c>
      <c r="AY2416" s="52" t="n">
        <v>0</v>
      </c>
      <c r="AZ2416" s="52" t="n">
        <v>0</v>
      </c>
      <c r="BA2416" s="52" t="n">
        <v>0</v>
      </c>
      <c r="BB2416" s="53" t="n">
        <v>0</v>
      </c>
      <c r="BC2416" s="52" t="n">
        <v>0</v>
      </c>
      <c r="BD2416" s="53" t="n">
        <v>0</v>
      </c>
      <c r="BE2416" s="52" t="n">
        <v>0</v>
      </c>
      <c r="BF2416" s="51" t="n">
        <v>0</v>
      </c>
    </row>
    <row r="2417">
      <c r="A2417">
        <f>HYPERLINK("https://www.walmart.com/ip/200390181", "200390181")</f>
        <v/>
      </c>
      <c r="B2417" t="inlineStr">
        <is>
          <t>Tirrinia Unisex Outdoor Sun Protection Fishing Cap with Neck Flap Wide Brim Mesh Hat for Travel Camping Hiking Hunting</t>
        </is>
      </c>
      <c r="C2417" t="inlineStr">
        <is>
          <t>1WMSH910OL</t>
        </is>
      </c>
      <c r="D2417" t="inlineStr">
        <is>
          <t>Hats</t>
        </is>
      </c>
      <c r="E2417" t="inlineStr">
        <is>
          <t>Tirrinia</t>
        </is>
      </c>
      <c r="F2417" t="inlineStr">
        <is>
          <t>Optimized</t>
        </is>
      </c>
      <c r="G2417" s="48" t="n">
        <v>0</v>
      </c>
      <c r="H2417" s="49" t="n">
        <v>0</v>
      </c>
      <c r="I2417" s="49" t="n">
        <v>0</v>
      </c>
      <c r="J2417" s="50" t="n">
        <v>0</v>
      </c>
      <c r="K2417" s="51" t="n">
        <v>0</v>
      </c>
      <c r="L2417" s="52" t="n">
        <v>0</v>
      </c>
      <c r="M2417" s="52" t="n">
        <v>0</v>
      </c>
      <c r="N2417" s="52" t="n">
        <v>0</v>
      </c>
      <c r="O2417" s="53" t="n">
        <v>0</v>
      </c>
      <c r="P2417" s="52" t="n">
        <v>0</v>
      </c>
      <c r="Q2417" s="53" t="n">
        <v>0</v>
      </c>
      <c r="R2417" s="52" t="n">
        <v>0</v>
      </c>
      <c r="S2417" s="51" t="n">
        <v>0</v>
      </c>
      <c r="T2417" s="48" t="n">
        <v>0</v>
      </c>
      <c r="U2417" s="49" t="n">
        <v>0</v>
      </c>
      <c r="V2417" s="49" t="n">
        <v>0</v>
      </c>
      <c r="W2417" s="50" t="n">
        <v>0</v>
      </c>
      <c r="X2417" s="51" t="n">
        <v>0</v>
      </c>
      <c r="Y2417" s="52" t="n">
        <v>0</v>
      </c>
      <c r="Z2417" s="52" t="n">
        <v>0</v>
      </c>
      <c r="AA2417" s="52" t="n">
        <v>0</v>
      </c>
      <c r="AB2417" s="53" t="n">
        <v>0</v>
      </c>
      <c r="AC2417" s="52" t="n">
        <v>0</v>
      </c>
      <c r="AD2417" s="53" t="n">
        <v>0</v>
      </c>
      <c r="AE2417" s="52" t="n">
        <v>0</v>
      </c>
      <c r="AF2417" s="51" t="n">
        <v>0</v>
      </c>
      <c r="AG2417" s="48" t="n">
        <v>0</v>
      </c>
      <c r="AH2417" s="49" t="n">
        <v>0</v>
      </c>
      <c r="AI2417" s="49" t="n">
        <v>0</v>
      </c>
      <c r="AJ2417" s="50" t="n">
        <v>0</v>
      </c>
      <c r="AK2417" s="51" t="n">
        <v>0</v>
      </c>
      <c r="AL2417" s="52" t="n">
        <v>0</v>
      </c>
      <c r="AM2417" s="52" t="n">
        <v>0</v>
      </c>
      <c r="AN2417" s="52" t="n">
        <v>0</v>
      </c>
      <c r="AO2417" s="53" t="n">
        <v>0</v>
      </c>
      <c r="AP2417" s="52" t="n">
        <v>0</v>
      </c>
      <c r="AQ2417" s="53" t="n">
        <v>0</v>
      </c>
      <c r="AR2417" s="52" t="n">
        <v>0</v>
      </c>
      <c r="AS2417" s="51" t="n">
        <v>0</v>
      </c>
      <c r="AT2417" s="48" t="n">
        <v>0</v>
      </c>
      <c r="AU2417" s="49" t="n">
        <v>0</v>
      </c>
      <c r="AV2417" s="49" t="n">
        <v>0</v>
      </c>
      <c r="AW2417" s="50" t="n">
        <v>0</v>
      </c>
      <c r="AX2417" s="51" t="n">
        <v>0</v>
      </c>
      <c r="AY2417" s="52" t="n">
        <v>0</v>
      </c>
      <c r="AZ2417" s="52" t="n">
        <v>0</v>
      </c>
      <c r="BA2417" s="52" t="n">
        <v>0</v>
      </c>
      <c r="BB2417" s="53" t="n">
        <v>0</v>
      </c>
      <c r="BC2417" s="52" t="n">
        <v>0</v>
      </c>
      <c r="BD2417" s="53" t="n">
        <v>0</v>
      </c>
      <c r="BE2417" s="52" t="n">
        <v>0</v>
      </c>
      <c r="BF2417" s="51" t="n">
        <v>0</v>
      </c>
    </row>
    <row r="2418">
      <c r="A2418">
        <f>HYPERLINK("https://www.walmart.com/ip/2009092568", "2009092568")</f>
        <v/>
      </c>
      <c r="B2418" t="inlineStr">
        <is>
          <t>Wrangler Men’s Leather Embossed Logo Casual Every Day Belt for Jeans, Khakis Brown</t>
        </is>
      </c>
      <c r="C2418" t="inlineStr">
        <is>
          <t>WR-BELT-MENS-EMBOSSED-BROWN-34</t>
        </is>
      </c>
      <c r="D2418" t="inlineStr">
        <is>
          <t>Belts</t>
        </is>
      </c>
      <c r="E2418" t="inlineStr">
        <is>
          <t>Wrangler</t>
        </is>
      </c>
      <c r="G2418" s="48" t="n">
        <v>0</v>
      </c>
      <c r="H2418" s="49" t="n">
        <v>0</v>
      </c>
      <c r="I2418" s="49" t="n">
        <v>0</v>
      </c>
      <c r="J2418" s="50" t="n">
        <v>0</v>
      </c>
      <c r="K2418" s="51" t="n">
        <v>0</v>
      </c>
      <c r="L2418" s="52" t="n">
        <v>0</v>
      </c>
      <c r="M2418" s="52" t="n">
        <v>0</v>
      </c>
      <c r="N2418" s="52" t="n">
        <v>0</v>
      </c>
      <c r="O2418" s="53" t="n">
        <v>0</v>
      </c>
      <c r="P2418" s="52" t="n">
        <v>0</v>
      </c>
      <c r="Q2418" s="53" t="n">
        <v>0</v>
      </c>
      <c r="R2418" s="52" t="n">
        <v>0</v>
      </c>
      <c r="S2418" s="51" t="n">
        <v>0</v>
      </c>
      <c r="T2418" s="48" t="n">
        <v>0</v>
      </c>
      <c r="U2418" s="49" t="n">
        <v>0</v>
      </c>
      <c r="V2418" s="49" t="n">
        <v>0</v>
      </c>
      <c r="W2418" s="50" t="n">
        <v>0</v>
      </c>
      <c r="X2418" s="51" t="n">
        <v>0</v>
      </c>
      <c r="Y2418" s="52" t="n">
        <v>0</v>
      </c>
      <c r="Z2418" s="52" t="n">
        <v>0</v>
      </c>
      <c r="AA2418" s="52" t="n">
        <v>0</v>
      </c>
      <c r="AB2418" s="53" t="n">
        <v>0</v>
      </c>
      <c r="AC2418" s="52" t="n">
        <v>0</v>
      </c>
      <c r="AD2418" s="53" t="n">
        <v>0</v>
      </c>
      <c r="AE2418" s="52" t="n">
        <v>0</v>
      </c>
      <c r="AF2418" s="51" t="n">
        <v>0</v>
      </c>
      <c r="AG2418" s="48" t="n">
        <v>0</v>
      </c>
      <c r="AH2418" s="49" t="n">
        <v>0</v>
      </c>
      <c r="AI2418" s="49" t="n">
        <v>0</v>
      </c>
      <c r="AJ2418" s="50" t="n">
        <v>0</v>
      </c>
      <c r="AK2418" s="51" t="n">
        <v>0</v>
      </c>
      <c r="AL2418" s="52" t="n">
        <v>0</v>
      </c>
      <c r="AM2418" s="52" t="n">
        <v>0</v>
      </c>
      <c r="AN2418" s="52" t="n">
        <v>0</v>
      </c>
      <c r="AO2418" s="53" t="n">
        <v>0</v>
      </c>
      <c r="AP2418" s="52" t="n">
        <v>0</v>
      </c>
      <c r="AQ2418" s="53" t="n">
        <v>0</v>
      </c>
      <c r="AR2418" s="52" t="n">
        <v>0</v>
      </c>
      <c r="AS2418" s="51" t="n">
        <v>0</v>
      </c>
      <c r="AT2418" s="48" t="n">
        <v>0</v>
      </c>
      <c r="AU2418" s="49" t="n">
        <v>0</v>
      </c>
      <c r="AV2418" s="49" t="n">
        <v>0</v>
      </c>
      <c r="AW2418" s="50" t="n">
        <v>0</v>
      </c>
      <c r="AX2418" s="51" t="n">
        <v>0</v>
      </c>
      <c r="AY2418" s="52" t="n">
        <v>0</v>
      </c>
      <c r="AZ2418" s="52" t="n">
        <v>0</v>
      </c>
      <c r="BA2418" s="52" t="n">
        <v>0</v>
      </c>
      <c r="BB2418" s="53" t="n">
        <v>0</v>
      </c>
      <c r="BC2418" s="52" t="n">
        <v>0</v>
      </c>
      <c r="BD2418" s="53" t="n">
        <v>0</v>
      </c>
      <c r="BE2418" s="52" t="n">
        <v>0</v>
      </c>
      <c r="BF2418" s="51" t="n">
        <v>0</v>
      </c>
    </row>
    <row r="2419">
      <c r="A2419">
        <f>HYPERLINK("https://www.walmart.com/ip/2016172692", "2016172692")</f>
        <v/>
      </c>
      <c r="B2419" t="inlineStr">
        <is>
          <t>Tirrinia Outdoors Waterproof Throw Blanket, Stadium Windproof Sherpa Fleece Blanket for Traveling, Camping, Hiking, and Football, Machine Washable, Orange, 60'' x 80''</t>
        </is>
      </c>
      <c r="C2419" t="inlineStr">
        <is>
          <t>1TRBW608ORGY</t>
        </is>
      </c>
      <c r="D2419" t="inlineStr">
        <is>
          <t>Picnic Blankets &amp; Mats</t>
        </is>
      </c>
      <c r="E2419" t="inlineStr">
        <is>
          <t>Tirrinia</t>
        </is>
      </c>
      <c r="F2419" t="inlineStr">
        <is>
          <t>Q2-Target</t>
        </is>
      </c>
      <c r="G2419" s="48" t="n">
        <v>0</v>
      </c>
      <c r="H2419" s="49" t="n">
        <v>0</v>
      </c>
      <c r="I2419" s="49" t="n">
        <v>0</v>
      </c>
      <c r="J2419" s="50" t="n">
        <v>0</v>
      </c>
      <c r="K2419" s="51" t="n">
        <v>0</v>
      </c>
      <c r="L2419" s="52" t="n">
        <v>0</v>
      </c>
      <c r="M2419" s="52" t="n">
        <v>0</v>
      </c>
      <c r="N2419" s="52" t="n">
        <v>0</v>
      </c>
      <c r="O2419" s="53" t="n">
        <v>0</v>
      </c>
      <c r="P2419" s="52" t="n">
        <v>0</v>
      </c>
      <c r="Q2419" s="53" t="n">
        <v>0</v>
      </c>
      <c r="R2419" s="52" t="n">
        <v>0</v>
      </c>
      <c r="S2419" s="51" t="n">
        <v>0</v>
      </c>
      <c r="T2419" s="48" t="n">
        <v>0</v>
      </c>
      <c r="U2419" s="49" t="n">
        <v>0</v>
      </c>
      <c r="V2419" s="49" t="n">
        <v>0</v>
      </c>
      <c r="W2419" s="50" t="n">
        <v>0</v>
      </c>
      <c r="X2419" s="51" t="n">
        <v>0</v>
      </c>
      <c r="Y2419" s="52" t="n">
        <v>0</v>
      </c>
      <c r="Z2419" s="52" t="n">
        <v>0</v>
      </c>
      <c r="AA2419" s="52" t="n">
        <v>0</v>
      </c>
      <c r="AB2419" s="53" t="n">
        <v>0</v>
      </c>
      <c r="AC2419" s="52" t="n">
        <v>0</v>
      </c>
      <c r="AD2419" s="53" t="n">
        <v>0</v>
      </c>
      <c r="AE2419" s="52" t="n">
        <v>0</v>
      </c>
      <c r="AF2419" s="51" t="n">
        <v>0</v>
      </c>
      <c r="AG2419" s="48" t="n">
        <v>0</v>
      </c>
      <c r="AH2419" s="49" t="n">
        <v>0</v>
      </c>
      <c r="AI2419" s="49" t="n">
        <v>0</v>
      </c>
      <c r="AJ2419" s="50" t="n">
        <v>0</v>
      </c>
      <c r="AK2419" s="51" t="n">
        <v>0</v>
      </c>
      <c r="AL2419" s="52" t="n">
        <v>0</v>
      </c>
      <c r="AM2419" s="52" t="n">
        <v>0</v>
      </c>
      <c r="AN2419" s="52" t="n">
        <v>0</v>
      </c>
      <c r="AO2419" s="53" t="n">
        <v>0</v>
      </c>
      <c r="AP2419" s="52" t="n">
        <v>0</v>
      </c>
      <c r="AQ2419" s="53" t="n">
        <v>0</v>
      </c>
      <c r="AR2419" s="52" t="n">
        <v>0</v>
      </c>
      <c r="AS2419" s="51" t="n">
        <v>0</v>
      </c>
      <c r="AT2419" s="48" t="n">
        <v>0</v>
      </c>
      <c r="AU2419" s="49" t="n">
        <v>0</v>
      </c>
      <c r="AV2419" s="49" t="n">
        <v>0</v>
      </c>
      <c r="AW2419" s="50" t="n">
        <v>0</v>
      </c>
      <c r="AX2419" s="51" t="n">
        <v>0</v>
      </c>
      <c r="AY2419" s="52" t="n">
        <v>0</v>
      </c>
      <c r="AZ2419" s="52" t="n">
        <v>0</v>
      </c>
      <c r="BA2419" s="52" t="n">
        <v>0</v>
      </c>
      <c r="BB2419" s="53" t="n">
        <v>0</v>
      </c>
      <c r="BC2419" s="52" t="n">
        <v>0</v>
      </c>
      <c r="BD2419" s="53" t="n">
        <v>0</v>
      </c>
      <c r="BE2419" s="52" t="n">
        <v>0</v>
      </c>
      <c r="BF2419" s="51" t="n">
        <v>0</v>
      </c>
    </row>
    <row r="2420">
      <c r="A2420">
        <f>HYPERLINK("https://www.walmart.com/ip/202697010", "202697010")</f>
        <v/>
      </c>
      <c r="B2420" t="inlineStr">
        <is>
          <t>Napa Plush Throw Blanket Green, Twin 60"x90", Striped Reversible Velvet Luxury Fleece Warm Bed Couch Blanket, Super Soft and Cozy</t>
        </is>
      </c>
      <c r="C2420" t="inlineStr">
        <is>
          <t>K8030TW-GRN</t>
        </is>
      </c>
      <c r="D2420" t="inlineStr">
        <is>
          <t>Throws</t>
        </is>
      </c>
      <c r="E2420" t="inlineStr">
        <is>
          <t>NAPA</t>
        </is>
      </c>
      <c r="F2420" t="inlineStr">
        <is>
          <t>Optimized,ST Patrick Day</t>
        </is>
      </c>
      <c r="G2420" s="48" t="n">
        <v>0</v>
      </c>
      <c r="H2420" s="49" t="n">
        <v>0</v>
      </c>
      <c r="I2420" s="49" t="n">
        <v>0</v>
      </c>
      <c r="J2420" s="50" t="n">
        <v>0</v>
      </c>
      <c r="K2420" s="51" t="n">
        <v>0</v>
      </c>
      <c r="L2420" s="52" t="n">
        <v>0</v>
      </c>
      <c r="M2420" s="52" t="n">
        <v>0</v>
      </c>
      <c r="N2420" s="52" t="n">
        <v>0</v>
      </c>
      <c r="O2420" s="53" t="n">
        <v>0</v>
      </c>
      <c r="P2420" s="52" t="n">
        <v>0</v>
      </c>
      <c r="Q2420" s="53" t="n">
        <v>0</v>
      </c>
      <c r="R2420" s="52" t="n">
        <v>0</v>
      </c>
      <c r="S2420" s="51" t="n">
        <v>0</v>
      </c>
      <c r="T2420" s="48" t="n">
        <v>0</v>
      </c>
      <c r="U2420" s="49" t="n">
        <v>0</v>
      </c>
      <c r="V2420" s="49" t="n">
        <v>0</v>
      </c>
      <c r="W2420" s="50" t="n">
        <v>0</v>
      </c>
      <c r="X2420" s="51" t="n">
        <v>0</v>
      </c>
      <c r="Y2420" s="52" t="n">
        <v>0</v>
      </c>
      <c r="Z2420" s="52" t="n">
        <v>0</v>
      </c>
      <c r="AA2420" s="52" t="n">
        <v>0</v>
      </c>
      <c r="AB2420" s="53" t="n">
        <v>0</v>
      </c>
      <c r="AC2420" s="52" t="n">
        <v>0</v>
      </c>
      <c r="AD2420" s="53" t="n">
        <v>0</v>
      </c>
      <c r="AE2420" s="52" t="n">
        <v>0</v>
      </c>
      <c r="AF2420" s="51" t="n">
        <v>0</v>
      </c>
      <c r="AG2420" s="48" t="n">
        <v>0</v>
      </c>
      <c r="AH2420" s="49" t="n">
        <v>0</v>
      </c>
      <c r="AI2420" s="49" t="n">
        <v>0</v>
      </c>
      <c r="AJ2420" s="50" t="n">
        <v>0</v>
      </c>
      <c r="AK2420" s="51" t="n">
        <v>0</v>
      </c>
      <c r="AL2420" s="52" t="n">
        <v>0</v>
      </c>
      <c r="AM2420" s="52" t="n">
        <v>0</v>
      </c>
      <c r="AN2420" s="52" t="n">
        <v>0</v>
      </c>
      <c r="AO2420" s="53" t="n">
        <v>0</v>
      </c>
      <c r="AP2420" s="52" t="n">
        <v>0</v>
      </c>
      <c r="AQ2420" s="53" t="n">
        <v>0</v>
      </c>
      <c r="AR2420" s="52" t="n">
        <v>0</v>
      </c>
      <c r="AS2420" s="51" t="n">
        <v>0</v>
      </c>
      <c r="AT2420" s="48" t="n">
        <v>0</v>
      </c>
      <c r="AU2420" s="49" t="n">
        <v>0</v>
      </c>
      <c r="AV2420" s="49" t="n">
        <v>0</v>
      </c>
      <c r="AW2420" s="50" t="n">
        <v>0</v>
      </c>
      <c r="AX2420" s="51" t="n">
        <v>0</v>
      </c>
      <c r="AY2420" s="52" t="n">
        <v>0</v>
      </c>
      <c r="AZ2420" s="52" t="n">
        <v>0</v>
      </c>
      <c r="BA2420" s="52" t="n">
        <v>0</v>
      </c>
      <c r="BB2420" s="53" t="n">
        <v>0</v>
      </c>
      <c r="BC2420" s="52" t="n">
        <v>0</v>
      </c>
      <c r="BD2420" s="53" t="n">
        <v>0</v>
      </c>
      <c r="BE2420" s="52" t="n">
        <v>0</v>
      </c>
      <c r="BF2420" s="51" t="n">
        <v>0</v>
      </c>
    </row>
    <row r="2421">
      <c r="A2421">
        <f>HYPERLINK("https://www.walmart.com/ip/203372718", "203372718")</f>
        <v/>
      </c>
      <c r="B2421" t="inlineStr">
        <is>
          <t>Tirrinia Red Buffalo Plaid Sherpa Wearable Blanket for Adult Women and Men, Super Soft Comfy Warm Plush Throw with Sleeves TV Blanket Wrap Robe Cover for  Sofa, Couch 72" x 55"</t>
        </is>
      </c>
      <c r="C2421" t="inlineStr">
        <is>
          <t>1TRSN110PRD-TBCB</t>
        </is>
      </c>
      <c r="D2421" t="inlineStr">
        <is>
          <t>Throws</t>
        </is>
      </c>
      <c r="E2421" t="inlineStr">
        <is>
          <t>Tirrinia</t>
        </is>
      </c>
      <c r="F2421" t="inlineStr">
        <is>
          <t>Optimized</t>
        </is>
      </c>
      <c r="G2421" s="48" t="n">
        <v>0</v>
      </c>
      <c r="H2421" s="49" t="n">
        <v>0</v>
      </c>
      <c r="I2421" s="49" t="n">
        <v>0</v>
      </c>
      <c r="J2421" s="50" t="n">
        <v>0</v>
      </c>
      <c r="K2421" s="51" t="n">
        <v>0</v>
      </c>
      <c r="L2421" s="52" t="n">
        <v>0</v>
      </c>
      <c r="M2421" s="52" t="n">
        <v>0</v>
      </c>
      <c r="N2421" s="52" t="n">
        <v>0</v>
      </c>
      <c r="O2421" s="53" t="n">
        <v>0</v>
      </c>
      <c r="P2421" s="52" t="n">
        <v>0</v>
      </c>
      <c r="Q2421" s="53" t="n">
        <v>0</v>
      </c>
      <c r="R2421" s="52" t="n">
        <v>0</v>
      </c>
      <c r="S2421" s="51" t="n">
        <v>0</v>
      </c>
      <c r="T2421" s="48" t="n">
        <v>0</v>
      </c>
      <c r="U2421" s="49" t="n">
        <v>0</v>
      </c>
      <c r="V2421" s="49" t="n">
        <v>0</v>
      </c>
      <c r="W2421" s="50" t="n">
        <v>0</v>
      </c>
      <c r="X2421" s="51" t="n">
        <v>0</v>
      </c>
      <c r="Y2421" s="52" t="n">
        <v>0</v>
      </c>
      <c r="Z2421" s="52" t="n">
        <v>0</v>
      </c>
      <c r="AA2421" s="52" t="n">
        <v>0</v>
      </c>
      <c r="AB2421" s="53" t="n">
        <v>0</v>
      </c>
      <c r="AC2421" s="52" t="n">
        <v>0</v>
      </c>
      <c r="AD2421" s="53" t="n">
        <v>0</v>
      </c>
      <c r="AE2421" s="52" t="n">
        <v>0</v>
      </c>
      <c r="AF2421" s="51" t="n">
        <v>0</v>
      </c>
      <c r="AG2421" s="48" t="n">
        <v>0</v>
      </c>
      <c r="AH2421" s="49" t="n">
        <v>0</v>
      </c>
      <c r="AI2421" s="49" t="n">
        <v>0</v>
      </c>
      <c r="AJ2421" s="50" t="n">
        <v>0</v>
      </c>
      <c r="AK2421" s="51" t="n">
        <v>0</v>
      </c>
      <c r="AL2421" s="52" t="n">
        <v>0</v>
      </c>
      <c r="AM2421" s="52" t="n">
        <v>0</v>
      </c>
      <c r="AN2421" s="52" t="n">
        <v>0</v>
      </c>
      <c r="AO2421" s="53" t="n">
        <v>0</v>
      </c>
      <c r="AP2421" s="52" t="n">
        <v>0</v>
      </c>
      <c r="AQ2421" s="53" t="n">
        <v>0</v>
      </c>
      <c r="AR2421" s="52" t="n">
        <v>0</v>
      </c>
      <c r="AS2421" s="51" t="n">
        <v>0</v>
      </c>
      <c r="AT2421" s="48" t="n">
        <v>0</v>
      </c>
      <c r="AU2421" s="49" t="n">
        <v>0</v>
      </c>
      <c r="AV2421" s="49" t="n">
        <v>0</v>
      </c>
      <c r="AW2421" s="50" t="n">
        <v>0</v>
      </c>
      <c r="AX2421" s="51" t="n">
        <v>0</v>
      </c>
      <c r="AY2421" s="52" t="n">
        <v>0</v>
      </c>
      <c r="AZ2421" s="52" t="n">
        <v>0</v>
      </c>
      <c r="BA2421" s="52" t="n">
        <v>0</v>
      </c>
      <c r="BB2421" s="53" t="n">
        <v>0</v>
      </c>
      <c r="BC2421" s="52" t="n">
        <v>0</v>
      </c>
      <c r="BD2421" s="53" t="n">
        <v>0</v>
      </c>
      <c r="BE2421" s="52" t="n">
        <v>0</v>
      </c>
      <c r="BF2421" s="51" t="n">
        <v>0</v>
      </c>
    </row>
    <row r="2422">
      <c r="A2422">
        <f>HYPERLINK("https://www.walmart.com/ip/198314685", "198314685")</f>
        <v/>
      </c>
      <c r="B2422" t="inlineStr">
        <is>
          <t>JenniWears Women's 3-Pack High Waist Control Top Reinforced Seamless Pantyhose</t>
        </is>
      </c>
      <c r="C2422" t="inlineStr">
        <is>
          <t>JWBLSPH6001-3pcs</t>
        </is>
      </c>
      <c r="D2422" t="inlineStr">
        <is>
          <t>Pantyhose &amp; Tights</t>
        </is>
      </c>
      <c r="E2422" t="inlineStr">
        <is>
          <t>JenniWears</t>
        </is>
      </c>
      <c r="F2422" t="inlineStr">
        <is>
          <t>Optimized,Valentine</t>
        </is>
      </c>
      <c r="G2422" s="48" t="n">
        <v>0</v>
      </c>
      <c r="H2422" s="49" t="n">
        <v>0</v>
      </c>
      <c r="I2422" s="49" t="n">
        <v>0</v>
      </c>
      <c r="J2422" s="50" t="n">
        <v>0</v>
      </c>
      <c r="K2422" s="51" t="n">
        <v>0</v>
      </c>
      <c r="L2422" s="52" t="n">
        <v>0</v>
      </c>
      <c r="M2422" s="52" t="n">
        <v>0</v>
      </c>
      <c r="N2422" s="52" t="n">
        <v>0</v>
      </c>
      <c r="O2422" s="53" t="n">
        <v>0</v>
      </c>
      <c r="P2422" s="52" t="n">
        <v>0</v>
      </c>
      <c r="Q2422" s="53" t="n">
        <v>0</v>
      </c>
      <c r="R2422" s="52" t="n">
        <v>0</v>
      </c>
      <c r="S2422" s="51" t="n">
        <v>0</v>
      </c>
      <c r="T2422" s="48" t="n">
        <v>0</v>
      </c>
      <c r="U2422" s="49" t="n">
        <v>0</v>
      </c>
      <c r="V2422" s="49" t="n">
        <v>0</v>
      </c>
      <c r="W2422" s="50" t="n">
        <v>0</v>
      </c>
      <c r="X2422" s="51" t="n">
        <v>0</v>
      </c>
      <c r="Y2422" s="52" t="n">
        <v>0</v>
      </c>
      <c r="Z2422" s="52" t="n">
        <v>0</v>
      </c>
      <c r="AA2422" s="52" t="n">
        <v>0</v>
      </c>
      <c r="AB2422" s="53" t="n">
        <v>0</v>
      </c>
      <c r="AC2422" s="52" t="n">
        <v>0</v>
      </c>
      <c r="AD2422" s="53" t="n">
        <v>0</v>
      </c>
      <c r="AE2422" s="52" t="n">
        <v>0</v>
      </c>
      <c r="AF2422" s="51" t="n">
        <v>0</v>
      </c>
      <c r="AG2422" s="48" t="n">
        <v>0</v>
      </c>
      <c r="AH2422" s="49" t="n">
        <v>0</v>
      </c>
      <c r="AI2422" s="49" t="n">
        <v>0</v>
      </c>
      <c r="AJ2422" s="50" t="n">
        <v>0</v>
      </c>
      <c r="AK2422" s="51" t="n">
        <v>0</v>
      </c>
      <c r="AL2422" s="52" t="n">
        <v>0</v>
      </c>
      <c r="AM2422" s="52" t="n">
        <v>0</v>
      </c>
      <c r="AN2422" s="52" t="n">
        <v>0</v>
      </c>
      <c r="AO2422" s="53" t="n">
        <v>0</v>
      </c>
      <c r="AP2422" s="52" t="n">
        <v>0</v>
      </c>
      <c r="AQ2422" s="53" t="n">
        <v>0</v>
      </c>
      <c r="AR2422" s="52" t="n">
        <v>0</v>
      </c>
      <c r="AS2422" s="51" t="n">
        <v>0</v>
      </c>
      <c r="AT2422" s="48" t="n">
        <v>0</v>
      </c>
      <c r="AU2422" s="49" t="n">
        <v>0</v>
      </c>
      <c r="AV2422" s="49" t="n">
        <v>0</v>
      </c>
      <c r="AW2422" s="50" t="n">
        <v>0</v>
      </c>
      <c r="AX2422" s="51" t="n">
        <v>0</v>
      </c>
      <c r="AY2422" s="52" t="n">
        <v>0</v>
      </c>
      <c r="AZ2422" s="52" t="n">
        <v>0</v>
      </c>
      <c r="BA2422" s="52" t="n">
        <v>0</v>
      </c>
      <c r="BB2422" s="53" t="n">
        <v>0</v>
      </c>
      <c r="BC2422" s="52" t="n">
        <v>0</v>
      </c>
      <c r="BD2422" s="53" t="n">
        <v>0</v>
      </c>
      <c r="BE2422" s="52" t="n">
        <v>0</v>
      </c>
      <c r="BF2422" s="51" t="n">
        <v>0</v>
      </c>
    </row>
    <row r="2423">
      <c r="A2423">
        <f>HYPERLINK("https://www.walmart.com/ip/198198597", "198198597")</f>
        <v/>
      </c>
      <c r="B2423" t="inlineStr">
        <is>
          <t>Deluxe Stylish Microplush Sleeved Fleece Blanket Soft Home Sofa Snuggie</t>
        </is>
      </c>
      <c r="C2423" t="inlineStr">
        <is>
          <t>k3000-black</t>
        </is>
      </c>
      <c r="D2423" t="inlineStr">
        <is>
          <t>Sleepwear Robes &amp; Bathrobes</t>
        </is>
      </c>
      <c r="E2423" t="inlineStr">
        <is>
          <t>NAPA</t>
        </is>
      </c>
      <c r="F2423" t="inlineStr">
        <is>
          <t>Fleece Blankets,Batch 1 - TR</t>
        </is>
      </c>
      <c r="G2423" s="48" t="n">
        <v>0</v>
      </c>
      <c r="H2423" s="49" t="n">
        <v>0</v>
      </c>
      <c r="I2423" s="49" t="n">
        <v>0</v>
      </c>
      <c r="J2423" s="50" t="n">
        <v>0</v>
      </c>
      <c r="K2423" s="51" t="n">
        <v>0</v>
      </c>
      <c r="L2423" s="52" t="n">
        <v>0</v>
      </c>
      <c r="M2423" s="52" t="n">
        <v>0</v>
      </c>
      <c r="N2423" s="52" t="n">
        <v>0</v>
      </c>
      <c r="O2423" s="53" t="n">
        <v>0</v>
      </c>
      <c r="P2423" s="52" t="n">
        <v>0</v>
      </c>
      <c r="Q2423" s="53" t="n">
        <v>0</v>
      </c>
      <c r="R2423" s="52" t="n">
        <v>0</v>
      </c>
      <c r="S2423" s="51" t="n">
        <v>0</v>
      </c>
      <c r="T2423" s="48" t="n">
        <v>0</v>
      </c>
      <c r="U2423" s="49" t="n">
        <v>0</v>
      </c>
      <c r="V2423" s="49" t="n">
        <v>0</v>
      </c>
      <c r="W2423" s="50" t="n">
        <v>0</v>
      </c>
      <c r="X2423" s="51" t="n">
        <v>0</v>
      </c>
      <c r="Y2423" s="52" t="n">
        <v>0</v>
      </c>
      <c r="Z2423" s="52" t="n">
        <v>0</v>
      </c>
      <c r="AA2423" s="52" t="n">
        <v>0</v>
      </c>
      <c r="AB2423" s="53" t="n">
        <v>0</v>
      </c>
      <c r="AC2423" s="52" t="n">
        <v>0</v>
      </c>
      <c r="AD2423" s="53" t="n">
        <v>0</v>
      </c>
      <c r="AE2423" s="52" t="n">
        <v>0</v>
      </c>
      <c r="AF2423" s="51" t="n">
        <v>0</v>
      </c>
      <c r="AG2423" s="48" t="n">
        <v>0</v>
      </c>
      <c r="AH2423" s="49" t="n">
        <v>0</v>
      </c>
      <c r="AI2423" s="49" t="n">
        <v>0</v>
      </c>
      <c r="AJ2423" s="50" t="n">
        <v>0</v>
      </c>
      <c r="AK2423" s="51" t="n">
        <v>0</v>
      </c>
      <c r="AL2423" s="52" t="n">
        <v>0</v>
      </c>
      <c r="AM2423" s="52" t="n">
        <v>0</v>
      </c>
      <c r="AN2423" s="52" t="n">
        <v>0</v>
      </c>
      <c r="AO2423" s="53" t="n">
        <v>0</v>
      </c>
      <c r="AP2423" s="52" t="n">
        <v>0</v>
      </c>
      <c r="AQ2423" s="53" t="n">
        <v>0</v>
      </c>
      <c r="AR2423" s="52" t="n">
        <v>0</v>
      </c>
      <c r="AS2423" s="51" t="n">
        <v>0</v>
      </c>
      <c r="AT2423" s="48" t="n">
        <v>0</v>
      </c>
      <c r="AU2423" s="49" t="n">
        <v>0</v>
      </c>
      <c r="AV2423" s="49" t="n">
        <v>0</v>
      </c>
      <c r="AW2423" s="50" t="n">
        <v>0</v>
      </c>
      <c r="AX2423" s="51" t="n">
        <v>0</v>
      </c>
      <c r="AY2423" s="52" t="n">
        <v>0</v>
      </c>
      <c r="AZ2423" s="52" t="n">
        <v>0</v>
      </c>
      <c r="BA2423" s="52" t="n">
        <v>0</v>
      </c>
      <c r="BB2423" s="53" t="n">
        <v>0</v>
      </c>
      <c r="BC2423" s="52" t="n">
        <v>0</v>
      </c>
      <c r="BD2423" s="53" t="n">
        <v>0</v>
      </c>
      <c r="BE2423" s="52" t="n">
        <v>0</v>
      </c>
      <c r="BF2423" s="51" t="n">
        <v>0</v>
      </c>
    </row>
    <row r="2424">
      <c r="A2424">
        <f>HYPERLINK("https://www.walmart.com/ip/1963727130", "1963727130")</f>
        <v/>
      </c>
      <c r="B2424" t="inlineStr">
        <is>
          <t>Women’s Plush Hoodie Sweatshirt Dress, Casual Pullover Sweater with Kangaroo Pocket, One Size</t>
        </is>
      </c>
      <c r="C2424" t="inlineStr">
        <is>
          <t>1CTHD531BK</t>
        </is>
      </c>
      <c r="D2424" t="inlineStr">
        <is>
          <t>Sweatshirts &amp; Hoodies</t>
        </is>
      </c>
      <c r="E2424" t="inlineStr">
        <is>
          <t>Catalonia</t>
        </is>
      </c>
      <c r="F2424" t="inlineStr">
        <is>
          <t>Batch 1 - TR</t>
        </is>
      </c>
      <c r="G2424" s="48" t="n">
        <v>0</v>
      </c>
      <c r="H2424" s="49" t="n">
        <v>0</v>
      </c>
      <c r="I2424" s="49" t="n">
        <v>0</v>
      </c>
      <c r="J2424" s="50" t="n">
        <v>0</v>
      </c>
      <c r="K2424" s="51" t="n">
        <v>0</v>
      </c>
      <c r="L2424" s="52" t="n">
        <v>0</v>
      </c>
      <c r="M2424" s="52" t="n">
        <v>0</v>
      </c>
      <c r="N2424" s="52" t="n">
        <v>0</v>
      </c>
      <c r="O2424" s="53" t="n">
        <v>0</v>
      </c>
      <c r="P2424" s="52" t="n">
        <v>0</v>
      </c>
      <c r="Q2424" s="53" t="n">
        <v>0</v>
      </c>
      <c r="R2424" s="52" t="n">
        <v>0</v>
      </c>
      <c r="S2424" s="51" t="n">
        <v>0</v>
      </c>
      <c r="T2424" s="48" t="n">
        <v>0</v>
      </c>
      <c r="U2424" s="49" t="n">
        <v>0</v>
      </c>
      <c r="V2424" s="49" t="n">
        <v>0</v>
      </c>
      <c r="W2424" s="50" t="n">
        <v>0</v>
      </c>
      <c r="X2424" s="51" t="n">
        <v>0</v>
      </c>
      <c r="Y2424" s="52" t="n">
        <v>0</v>
      </c>
      <c r="Z2424" s="52" t="n">
        <v>0</v>
      </c>
      <c r="AA2424" s="52" t="n">
        <v>0</v>
      </c>
      <c r="AB2424" s="53" t="n">
        <v>0</v>
      </c>
      <c r="AC2424" s="52" t="n">
        <v>0</v>
      </c>
      <c r="AD2424" s="53" t="n">
        <v>0</v>
      </c>
      <c r="AE2424" s="52" t="n">
        <v>0</v>
      </c>
      <c r="AF2424" s="51" t="n">
        <v>0</v>
      </c>
      <c r="AG2424" s="48" t="n">
        <v>0</v>
      </c>
      <c r="AH2424" s="49" t="n">
        <v>0</v>
      </c>
      <c r="AI2424" s="49" t="n">
        <v>0</v>
      </c>
      <c r="AJ2424" s="50" t="n">
        <v>0</v>
      </c>
      <c r="AK2424" s="51" t="n">
        <v>0</v>
      </c>
      <c r="AL2424" s="52" t="n">
        <v>0</v>
      </c>
      <c r="AM2424" s="52" t="n">
        <v>0</v>
      </c>
      <c r="AN2424" s="52" t="n">
        <v>0</v>
      </c>
      <c r="AO2424" s="53" t="n">
        <v>0</v>
      </c>
      <c r="AP2424" s="52" t="n">
        <v>0</v>
      </c>
      <c r="AQ2424" s="53" t="n">
        <v>0</v>
      </c>
      <c r="AR2424" s="52" t="n">
        <v>0</v>
      </c>
      <c r="AS2424" s="51" t="n">
        <v>0</v>
      </c>
      <c r="AT2424" s="48" t="n">
        <v>0</v>
      </c>
      <c r="AU2424" s="49" t="n">
        <v>0</v>
      </c>
      <c r="AV2424" s="49" t="n">
        <v>0</v>
      </c>
      <c r="AW2424" s="50" t="n">
        <v>0</v>
      </c>
      <c r="AX2424" s="51" t="n">
        <v>0</v>
      </c>
      <c r="AY2424" s="52" t="n">
        <v>0</v>
      </c>
      <c r="AZ2424" s="52" t="n">
        <v>0</v>
      </c>
      <c r="BA2424" s="52" t="n">
        <v>0</v>
      </c>
      <c r="BB2424" s="53" t="n">
        <v>0</v>
      </c>
      <c r="BC2424" s="52" t="n">
        <v>0</v>
      </c>
      <c r="BD2424" s="53" t="n">
        <v>0</v>
      </c>
      <c r="BE2424" s="52" t="n">
        <v>0</v>
      </c>
      <c r="BF2424" s="51" t="n">
        <v>0</v>
      </c>
    </row>
    <row r="2425">
      <c r="A2425">
        <f>HYPERLINK("https://www.walmart.com/ip/1981846072", "1981846072")</f>
        <v/>
      </c>
      <c r="B2425" t="inlineStr">
        <is>
          <t>Tirrinia 2 Bottle Wine Tote Carrier - Insulated &amp; Padded Versatile Cooler Bag for Travel, BYOB Restaurant, Wine Tasting, Party, Great Gift for Wine Lover, Purple</t>
        </is>
      </c>
      <c r="C2425" t="inlineStr">
        <is>
          <t>1TRWB221PP</t>
        </is>
      </c>
      <c r="D2425" t="inlineStr">
        <is>
          <t>Wine Totes, Bags &amp; Backpacks</t>
        </is>
      </c>
      <c r="E2425" t="inlineStr">
        <is>
          <t>Tirrinia</t>
        </is>
      </c>
      <c r="F2425" t="inlineStr">
        <is>
          <t>Wine,SEM,Batch 1 - TR</t>
        </is>
      </c>
      <c r="G2425" s="48" t="n">
        <v>0</v>
      </c>
      <c r="H2425" s="49" t="n">
        <v>0</v>
      </c>
      <c r="I2425" s="49" t="n">
        <v>0</v>
      </c>
      <c r="J2425" s="50" t="n">
        <v>0</v>
      </c>
      <c r="K2425" s="51" t="n">
        <v>10</v>
      </c>
      <c r="L2425" s="52" t="n">
        <v>5.07</v>
      </c>
      <c r="M2425" s="52" t="n">
        <v>17.99</v>
      </c>
      <c r="N2425" s="52" t="n">
        <v>3.55</v>
      </c>
      <c r="O2425" s="53" t="n">
        <v>0.0018</v>
      </c>
      <c r="P2425" s="52" t="n">
        <v>0.507</v>
      </c>
      <c r="Q2425" s="53" t="n">
        <v>0</v>
      </c>
      <c r="R2425" s="52" t="n">
        <v>0</v>
      </c>
      <c r="S2425" s="51" t="n">
        <v>5561</v>
      </c>
      <c r="T2425" s="48" t="n">
        <v>0</v>
      </c>
      <c r="U2425" s="49" t="n">
        <v>0</v>
      </c>
      <c r="V2425" s="49" t="n">
        <v>0</v>
      </c>
      <c r="W2425" s="50" t="n">
        <v>0</v>
      </c>
      <c r="X2425" s="51" t="n">
        <v>10</v>
      </c>
      <c r="Y2425" s="52" t="n">
        <v>5.1</v>
      </c>
      <c r="Z2425" s="52" t="n">
        <v>0</v>
      </c>
      <c r="AA2425" s="52" t="n">
        <v>0</v>
      </c>
      <c r="AB2425" s="53" t="n">
        <v>0.0023</v>
      </c>
      <c r="AC2425" s="52" t="n">
        <v>0.51</v>
      </c>
      <c r="AD2425" s="53" t="n">
        <v>0</v>
      </c>
      <c r="AE2425" s="52" t="n">
        <v>0</v>
      </c>
      <c r="AF2425" s="51" t="n">
        <v>4264</v>
      </c>
      <c r="AG2425" s="48" t="n">
        <v>0</v>
      </c>
      <c r="AH2425" s="49" t="n">
        <v>0</v>
      </c>
      <c r="AI2425" s="49" t="n">
        <v>0</v>
      </c>
      <c r="AJ2425" s="50" t="n">
        <v>0</v>
      </c>
      <c r="AK2425" s="51" t="n">
        <v>5</v>
      </c>
      <c r="AL2425" s="52" t="n">
        <v>2.48</v>
      </c>
      <c r="AM2425" s="52" t="n">
        <v>17.99</v>
      </c>
      <c r="AN2425" s="52" t="n">
        <v>7.25</v>
      </c>
      <c r="AO2425" s="53" t="n">
        <v>0.002</v>
      </c>
      <c r="AP2425" s="52" t="n">
        <v>0.496</v>
      </c>
      <c r="AQ2425" s="53" t="n">
        <v>0</v>
      </c>
      <c r="AR2425" s="52" t="n">
        <v>0</v>
      </c>
      <c r="AS2425" s="51" t="n">
        <v>2563</v>
      </c>
      <c r="AT2425" s="48" t="n">
        <v>0</v>
      </c>
      <c r="AU2425" s="49" t="n">
        <v>0</v>
      </c>
      <c r="AV2425" s="49" t="n">
        <v>0</v>
      </c>
      <c r="AW2425" s="50" t="n">
        <v>0</v>
      </c>
      <c r="AX2425" s="51" t="n">
        <v>7</v>
      </c>
      <c r="AY2425" s="52" t="n">
        <v>3.52</v>
      </c>
      <c r="AZ2425" s="52" t="n">
        <v>17.99</v>
      </c>
      <c r="BA2425" s="52" t="n">
        <v>5.11</v>
      </c>
      <c r="BB2425" s="53" t="n">
        <v>0.0021</v>
      </c>
      <c r="BC2425" s="52" t="n">
        <v>0.5028571428571429</v>
      </c>
      <c r="BD2425" s="53" t="n">
        <v>0</v>
      </c>
      <c r="BE2425" s="52" t="n">
        <v>0</v>
      </c>
      <c r="BF2425" s="51" t="n">
        <v>3357</v>
      </c>
    </row>
    <row r="2426">
      <c r="A2426">
        <f>HYPERLINK("https://www.walmart.com/ip/1966935073", "1966935073")</f>
        <v/>
      </c>
      <c r="B2426" t="inlineStr">
        <is>
          <t>Every Day is Christmas Glass Blown Ornaments Cute Hand Made Figurines Tree Decoration, Snowfalke</t>
        </is>
      </c>
      <c r="C2426" t="inlineStr">
        <is>
          <t>EDC-FIGURINE-SNOWFLAKE</t>
        </is>
      </c>
      <c r="D2426" t="inlineStr">
        <is>
          <t>Ornaments</t>
        </is>
      </c>
      <c r="E2426" t="inlineStr">
        <is>
          <t>Every Day is Christmas</t>
        </is>
      </c>
      <c r="G2426" s="48" t="n">
        <v>0</v>
      </c>
      <c r="H2426" s="49" t="n">
        <v>0</v>
      </c>
      <c r="I2426" s="49" t="n">
        <v>0</v>
      </c>
      <c r="J2426" s="50" t="n">
        <v>0</v>
      </c>
      <c r="K2426" s="51" t="n">
        <v>0</v>
      </c>
      <c r="L2426" s="52" t="n">
        <v>0</v>
      </c>
      <c r="M2426" s="52" t="n">
        <v>0</v>
      </c>
      <c r="N2426" s="52" t="n">
        <v>0</v>
      </c>
      <c r="O2426" s="53" t="n">
        <v>0</v>
      </c>
      <c r="P2426" s="52" t="n">
        <v>0</v>
      </c>
      <c r="Q2426" s="53" t="n">
        <v>0</v>
      </c>
      <c r="R2426" s="52" t="n">
        <v>0</v>
      </c>
      <c r="S2426" s="51" t="n">
        <v>0</v>
      </c>
      <c r="T2426" s="48" t="n">
        <v>0</v>
      </c>
      <c r="U2426" s="49" t="n">
        <v>0</v>
      </c>
      <c r="V2426" s="49" t="n">
        <v>0</v>
      </c>
      <c r="W2426" s="50" t="n">
        <v>0</v>
      </c>
      <c r="X2426" s="51" t="n">
        <v>0</v>
      </c>
      <c r="Y2426" s="52" t="n">
        <v>0</v>
      </c>
      <c r="Z2426" s="52" t="n">
        <v>0</v>
      </c>
      <c r="AA2426" s="52" t="n">
        <v>0</v>
      </c>
      <c r="AB2426" s="53" t="n">
        <v>0</v>
      </c>
      <c r="AC2426" s="52" t="n">
        <v>0</v>
      </c>
      <c r="AD2426" s="53" t="n">
        <v>0</v>
      </c>
      <c r="AE2426" s="52" t="n">
        <v>0</v>
      </c>
      <c r="AF2426" s="51" t="n">
        <v>0</v>
      </c>
      <c r="AG2426" s="48" t="n">
        <v>0</v>
      </c>
      <c r="AH2426" s="49" t="n">
        <v>0</v>
      </c>
      <c r="AI2426" s="49" t="n">
        <v>0</v>
      </c>
      <c r="AJ2426" s="50" t="n">
        <v>0</v>
      </c>
      <c r="AK2426" s="51" t="n">
        <v>0</v>
      </c>
      <c r="AL2426" s="52" t="n">
        <v>0</v>
      </c>
      <c r="AM2426" s="52" t="n">
        <v>0</v>
      </c>
      <c r="AN2426" s="52" t="n">
        <v>0</v>
      </c>
      <c r="AO2426" s="53" t="n">
        <v>0</v>
      </c>
      <c r="AP2426" s="52" t="n">
        <v>0</v>
      </c>
      <c r="AQ2426" s="53" t="n">
        <v>0</v>
      </c>
      <c r="AR2426" s="52" t="n">
        <v>0</v>
      </c>
      <c r="AS2426" s="51" t="n">
        <v>0</v>
      </c>
      <c r="AT2426" s="48" t="n">
        <v>0</v>
      </c>
      <c r="AU2426" s="49" t="n">
        <v>0</v>
      </c>
      <c r="AV2426" s="49" t="n">
        <v>0</v>
      </c>
      <c r="AW2426" s="50" t="n">
        <v>0</v>
      </c>
      <c r="AX2426" s="51" t="n">
        <v>0</v>
      </c>
      <c r="AY2426" s="52" t="n">
        <v>0</v>
      </c>
      <c r="AZ2426" s="52" t="n">
        <v>0</v>
      </c>
      <c r="BA2426" s="52" t="n">
        <v>0</v>
      </c>
      <c r="BB2426" s="53" t="n">
        <v>0</v>
      </c>
      <c r="BC2426" s="52" t="n">
        <v>0</v>
      </c>
      <c r="BD2426" s="53" t="n">
        <v>0</v>
      </c>
      <c r="BE2426" s="52" t="n">
        <v>0</v>
      </c>
      <c r="BF2426" s="51" t="n">
        <v>0</v>
      </c>
    </row>
    <row r="2427">
      <c r="A2427">
        <f>HYPERLINK("https://www.walmart.com/ip/196761263", "196761263")</f>
        <v/>
      </c>
      <c r="B2427" t="inlineStr">
        <is>
          <t>JenniWears® Women's Sexy Crotchless Suspender Pantyhose Stockings - Black</t>
        </is>
      </c>
      <c r="C2427" t="inlineStr">
        <is>
          <t>JWBLSPH2041</t>
        </is>
      </c>
      <c r="D2427" t="inlineStr">
        <is>
          <t>Pantyhose &amp; Tights</t>
        </is>
      </c>
      <c r="E2427" t="inlineStr">
        <is>
          <t>JenniWears</t>
        </is>
      </c>
      <c r="F2427" t="inlineStr">
        <is>
          <t>Valentine,WFS Item</t>
        </is>
      </c>
      <c r="G2427" s="48" t="n">
        <v>0</v>
      </c>
      <c r="H2427" s="49" t="n">
        <v>0</v>
      </c>
      <c r="I2427" s="49" t="n">
        <v>0</v>
      </c>
      <c r="J2427" s="50" t="n">
        <v>0</v>
      </c>
      <c r="K2427" s="51" t="n">
        <v>0</v>
      </c>
      <c r="L2427" s="52" t="n">
        <v>0</v>
      </c>
      <c r="M2427" s="52" t="n">
        <v>0</v>
      </c>
      <c r="N2427" s="52" t="n">
        <v>0</v>
      </c>
      <c r="O2427" s="53" t="n">
        <v>0</v>
      </c>
      <c r="P2427" s="52" t="n">
        <v>0</v>
      </c>
      <c r="Q2427" s="53" t="n">
        <v>0</v>
      </c>
      <c r="R2427" s="52" t="n">
        <v>0</v>
      </c>
      <c r="S2427" s="51" t="n">
        <v>0</v>
      </c>
      <c r="T2427" s="48" t="n">
        <v>0</v>
      </c>
      <c r="U2427" s="49" t="n">
        <v>0</v>
      </c>
      <c r="V2427" s="49" t="n">
        <v>0</v>
      </c>
      <c r="W2427" s="50" t="n">
        <v>0</v>
      </c>
      <c r="X2427" s="51" t="n">
        <v>0</v>
      </c>
      <c r="Y2427" s="52" t="n">
        <v>0</v>
      </c>
      <c r="Z2427" s="52" t="n">
        <v>0</v>
      </c>
      <c r="AA2427" s="52" t="n">
        <v>0</v>
      </c>
      <c r="AB2427" s="53" t="n">
        <v>0</v>
      </c>
      <c r="AC2427" s="52" t="n">
        <v>0</v>
      </c>
      <c r="AD2427" s="53" t="n">
        <v>0</v>
      </c>
      <c r="AE2427" s="52" t="n">
        <v>0</v>
      </c>
      <c r="AF2427" s="51" t="n">
        <v>0</v>
      </c>
      <c r="AG2427" s="48" t="n">
        <v>0</v>
      </c>
      <c r="AH2427" s="49" t="n">
        <v>0</v>
      </c>
      <c r="AI2427" s="49" t="n">
        <v>0</v>
      </c>
      <c r="AJ2427" s="50" t="n">
        <v>0</v>
      </c>
      <c r="AK2427" s="51" t="n">
        <v>0</v>
      </c>
      <c r="AL2427" s="52" t="n">
        <v>0</v>
      </c>
      <c r="AM2427" s="52" t="n">
        <v>0</v>
      </c>
      <c r="AN2427" s="52" t="n">
        <v>0</v>
      </c>
      <c r="AO2427" s="53" t="n">
        <v>0</v>
      </c>
      <c r="AP2427" s="52" t="n">
        <v>0</v>
      </c>
      <c r="AQ2427" s="53" t="n">
        <v>0</v>
      </c>
      <c r="AR2427" s="52" t="n">
        <v>0</v>
      </c>
      <c r="AS2427" s="51" t="n">
        <v>0</v>
      </c>
      <c r="AT2427" s="48" t="n">
        <v>0</v>
      </c>
      <c r="AU2427" s="49" t="n">
        <v>0</v>
      </c>
      <c r="AV2427" s="49" t="n">
        <v>0</v>
      </c>
      <c r="AW2427" s="50" t="n">
        <v>0</v>
      </c>
      <c r="AX2427" s="51" t="n">
        <v>0</v>
      </c>
      <c r="AY2427" s="52" t="n">
        <v>0</v>
      </c>
      <c r="AZ2427" s="52" t="n">
        <v>0</v>
      </c>
      <c r="BA2427" s="52" t="n">
        <v>0</v>
      </c>
      <c r="BB2427" s="53" t="n">
        <v>0</v>
      </c>
      <c r="BC2427" s="52" t="n">
        <v>0</v>
      </c>
      <c r="BD2427" s="53" t="n">
        <v>0</v>
      </c>
      <c r="BE2427" s="52" t="n">
        <v>0</v>
      </c>
      <c r="BF2427" s="51" t="n">
        <v>0</v>
      </c>
    </row>
    <row r="2428">
      <c r="A2428">
        <f>HYPERLINK("https://www.walmart.com/ip/1968056265", "1968056265")</f>
        <v/>
      </c>
      <c r="B2428" t="inlineStr">
        <is>
          <t>Tirrinia Insulated Lunch Box for Women Men, Leakproof Thermal Reusable Lunch Bag with 4 Pockets for Adult &amp; Kids, Lunch Bag Cooler Tote for Office Work Back to School, Camo</t>
        </is>
      </c>
      <c r="C2428" t="inlineStr">
        <is>
          <t>1TRLB702CAMO-T</t>
        </is>
      </c>
      <c r="D2428" t="inlineStr">
        <is>
          <t>Reusable Lunch Bags &amp; Boxes</t>
        </is>
      </c>
      <c r="E2428" t="inlineStr">
        <is>
          <t>Tirrinia</t>
        </is>
      </c>
      <c r="F2428" t="inlineStr">
        <is>
          <t>Q2-Target,Brand Camp VD,Lunch Bags,Batch 1 - TR</t>
        </is>
      </c>
      <c r="G2428" s="48" t="n">
        <v>0</v>
      </c>
      <c r="H2428" s="49" t="n">
        <v>0</v>
      </c>
      <c r="I2428" s="49" t="n">
        <v>0</v>
      </c>
      <c r="J2428" s="50" t="n">
        <v>0</v>
      </c>
      <c r="K2428" s="51" t="n">
        <v>0</v>
      </c>
      <c r="L2428" s="52" t="n">
        <v>0</v>
      </c>
      <c r="M2428" s="52" t="n">
        <v>0</v>
      </c>
      <c r="N2428" s="52" t="n">
        <v>0</v>
      </c>
      <c r="O2428" s="53" t="n">
        <v>0</v>
      </c>
      <c r="P2428" s="52" t="n">
        <v>0</v>
      </c>
      <c r="Q2428" s="53" t="n">
        <v>0</v>
      </c>
      <c r="R2428" s="52" t="n">
        <v>0</v>
      </c>
      <c r="S2428" s="51" t="n">
        <v>0</v>
      </c>
      <c r="T2428" s="48" t="n">
        <v>0</v>
      </c>
      <c r="U2428" s="49" t="n">
        <v>0</v>
      </c>
      <c r="V2428" s="49" t="n">
        <v>0</v>
      </c>
      <c r="W2428" s="50" t="n">
        <v>0</v>
      </c>
      <c r="X2428" s="51" t="n">
        <v>0</v>
      </c>
      <c r="Y2428" s="52" t="n">
        <v>0</v>
      </c>
      <c r="Z2428" s="52" t="n">
        <v>0</v>
      </c>
      <c r="AA2428" s="52" t="n">
        <v>0</v>
      </c>
      <c r="AB2428" s="53" t="n">
        <v>0</v>
      </c>
      <c r="AC2428" s="52" t="n">
        <v>0</v>
      </c>
      <c r="AD2428" s="53" t="n">
        <v>0</v>
      </c>
      <c r="AE2428" s="52" t="n">
        <v>0</v>
      </c>
      <c r="AF2428" s="51" t="n">
        <v>0</v>
      </c>
      <c r="AG2428" s="48" t="n">
        <v>0</v>
      </c>
      <c r="AH2428" s="49" t="n">
        <v>0</v>
      </c>
      <c r="AI2428" s="49" t="n">
        <v>0</v>
      </c>
      <c r="AJ2428" s="50" t="n">
        <v>0</v>
      </c>
      <c r="AK2428" s="51" t="n">
        <v>0</v>
      </c>
      <c r="AL2428" s="52" t="n">
        <v>0</v>
      </c>
      <c r="AM2428" s="52" t="n">
        <v>0</v>
      </c>
      <c r="AN2428" s="52" t="n">
        <v>0</v>
      </c>
      <c r="AO2428" s="53" t="n">
        <v>0</v>
      </c>
      <c r="AP2428" s="52" t="n">
        <v>0</v>
      </c>
      <c r="AQ2428" s="53" t="n">
        <v>0</v>
      </c>
      <c r="AR2428" s="52" t="n">
        <v>0</v>
      </c>
      <c r="AS2428" s="51" t="n">
        <v>0</v>
      </c>
      <c r="AT2428" s="48" t="n">
        <v>0</v>
      </c>
      <c r="AU2428" s="49" t="n">
        <v>0</v>
      </c>
      <c r="AV2428" s="49" t="n">
        <v>0</v>
      </c>
      <c r="AW2428" s="50" t="n">
        <v>0</v>
      </c>
      <c r="AX2428" s="51" t="n">
        <v>0</v>
      </c>
      <c r="AY2428" s="52" t="n">
        <v>0</v>
      </c>
      <c r="AZ2428" s="52" t="n">
        <v>0</v>
      </c>
      <c r="BA2428" s="52" t="n">
        <v>0</v>
      </c>
      <c r="BB2428" s="53" t="n">
        <v>0</v>
      </c>
      <c r="BC2428" s="52" t="n">
        <v>0</v>
      </c>
      <c r="BD2428" s="53" t="n">
        <v>0</v>
      </c>
      <c r="BE2428" s="52" t="n">
        <v>0</v>
      </c>
      <c r="BF2428" s="51" t="n">
        <v>0</v>
      </c>
    </row>
    <row r="2429">
      <c r="A2429">
        <f>HYPERLINK("https://www.walmart.com/ip/196942750", "196942750")</f>
        <v/>
      </c>
      <c r="B2429" s="5" t="inlineStr">
        <is>
          <t>https://www.walmart.com/ip/JenniWears-Women-Sexy-Fishnet-Suspender-Crotchless-Pantyhose-Stocking-2-Packs/196942750</t>
        </is>
      </c>
      <c r="C2429" t="inlineStr">
        <is>
          <t>JWBLSPH2012-2 Packs</t>
        </is>
      </c>
      <c r="G2429" s="48" t="n">
        <v>0</v>
      </c>
      <c r="H2429" s="49" t="n">
        <v>0</v>
      </c>
      <c r="I2429" s="49" t="n">
        <v>0</v>
      </c>
      <c r="J2429" s="50" t="n">
        <v>0</v>
      </c>
      <c r="K2429" s="51" t="n">
        <v>0</v>
      </c>
      <c r="L2429" s="52" t="n">
        <v>0</v>
      </c>
      <c r="M2429" s="52" t="n">
        <v>0</v>
      </c>
      <c r="N2429" s="52" t="n">
        <v>0</v>
      </c>
      <c r="O2429" s="53" t="n">
        <v>0</v>
      </c>
      <c r="P2429" s="52" t="n">
        <v>0</v>
      </c>
      <c r="Q2429" s="53" t="n">
        <v>0</v>
      </c>
      <c r="R2429" s="52" t="n">
        <v>0</v>
      </c>
      <c r="S2429" s="51" t="n">
        <v>0</v>
      </c>
      <c r="T2429" s="48" t="n">
        <v>0</v>
      </c>
      <c r="U2429" s="49" t="n">
        <v>0</v>
      </c>
      <c r="V2429" s="49" t="n">
        <v>0</v>
      </c>
      <c r="W2429" s="50" t="n">
        <v>0</v>
      </c>
      <c r="X2429" s="51" t="n">
        <v>0</v>
      </c>
      <c r="Y2429" s="52" t="n">
        <v>0</v>
      </c>
      <c r="Z2429" s="52" t="n">
        <v>0</v>
      </c>
      <c r="AA2429" s="52" t="n">
        <v>0</v>
      </c>
      <c r="AB2429" s="53" t="n">
        <v>0</v>
      </c>
      <c r="AC2429" s="52" t="n">
        <v>0</v>
      </c>
      <c r="AD2429" s="53" t="n">
        <v>0</v>
      </c>
      <c r="AE2429" s="52" t="n">
        <v>0</v>
      </c>
      <c r="AF2429" s="51" t="n">
        <v>0</v>
      </c>
      <c r="AG2429" s="48" t="n">
        <v>0</v>
      </c>
      <c r="AH2429" s="49" t="n">
        <v>0</v>
      </c>
      <c r="AI2429" s="49" t="n">
        <v>0</v>
      </c>
      <c r="AJ2429" s="50" t="n">
        <v>0</v>
      </c>
      <c r="AK2429" s="51" t="n">
        <v>0</v>
      </c>
      <c r="AL2429" s="52" t="n">
        <v>0</v>
      </c>
      <c r="AM2429" s="52" t="n">
        <v>0</v>
      </c>
      <c r="AN2429" s="52" t="n">
        <v>0</v>
      </c>
      <c r="AO2429" s="53" t="n">
        <v>0</v>
      </c>
      <c r="AP2429" s="52" t="n">
        <v>0</v>
      </c>
      <c r="AQ2429" s="53" t="n">
        <v>0</v>
      </c>
      <c r="AR2429" s="52" t="n">
        <v>0</v>
      </c>
      <c r="AS2429" s="51" t="n">
        <v>0</v>
      </c>
      <c r="AT2429" s="48" t="n">
        <v>0</v>
      </c>
      <c r="AU2429" s="49" t="n">
        <v>0</v>
      </c>
      <c r="AV2429" s="49" t="n">
        <v>0</v>
      </c>
      <c r="AW2429" s="50" t="n">
        <v>0</v>
      </c>
      <c r="AX2429" s="51" t="n">
        <v>0</v>
      </c>
      <c r="AY2429" s="52" t="n">
        <v>0</v>
      </c>
      <c r="AZ2429" s="52" t="n">
        <v>0</v>
      </c>
      <c r="BA2429" s="52" t="n">
        <v>0</v>
      </c>
      <c r="BB2429" s="53" t="n">
        <v>0</v>
      </c>
      <c r="BC2429" s="52" t="n">
        <v>0</v>
      </c>
      <c r="BD2429" s="53" t="n">
        <v>0</v>
      </c>
      <c r="BE2429" s="52" t="n">
        <v>0</v>
      </c>
      <c r="BF2429" s="51" t="n">
        <v>0</v>
      </c>
    </row>
    <row r="2430">
      <c r="A2430">
        <f>HYPERLINK("https://www.walmart.com/ip/196984130", "196984130")</f>
        <v/>
      </c>
      <c r="B2430" t="inlineStr">
        <is>
          <t>JenniWears Women Beileise Sexy Top Thigh High Stockings+ Garter Belt Suspender - 3 Packs</t>
        </is>
      </c>
      <c r="C2430" t="inlineStr">
        <is>
          <t>JWBLSPH2011-3pcs</t>
        </is>
      </c>
      <c r="D2430" t="inlineStr">
        <is>
          <t>Pantyhose &amp; Tights</t>
        </is>
      </c>
      <c r="E2430" t="inlineStr">
        <is>
          <t>JenniWears</t>
        </is>
      </c>
      <c r="F2430" t="inlineStr">
        <is>
          <t>Optimized,Valentine</t>
        </is>
      </c>
      <c r="G2430" s="48" t="n">
        <v>0</v>
      </c>
      <c r="H2430" s="49" t="n">
        <v>0</v>
      </c>
      <c r="I2430" s="49" t="n">
        <v>0</v>
      </c>
      <c r="J2430" s="50" t="n">
        <v>0</v>
      </c>
      <c r="K2430" s="51" t="n">
        <v>0</v>
      </c>
      <c r="L2430" s="52" t="n">
        <v>0</v>
      </c>
      <c r="M2430" s="52" t="n">
        <v>0</v>
      </c>
      <c r="N2430" s="52" t="n">
        <v>0</v>
      </c>
      <c r="O2430" s="53" t="n">
        <v>0</v>
      </c>
      <c r="P2430" s="52" t="n">
        <v>0</v>
      </c>
      <c r="Q2430" s="53" t="n">
        <v>0</v>
      </c>
      <c r="R2430" s="52" t="n">
        <v>0</v>
      </c>
      <c r="S2430" s="51" t="n">
        <v>0</v>
      </c>
      <c r="T2430" s="48" t="n">
        <v>0</v>
      </c>
      <c r="U2430" s="49" t="n">
        <v>0</v>
      </c>
      <c r="V2430" s="49" t="n">
        <v>0</v>
      </c>
      <c r="W2430" s="50" t="n">
        <v>0</v>
      </c>
      <c r="X2430" s="51" t="n">
        <v>0</v>
      </c>
      <c r="Y2430" s="52" t="n">
        <v>0</v>
      </c>
      <c r="Z2430" s="52" t="n">
        <v>0</v>
      </c>
      <c r="AA2430" s="52" t="n">
        <v>0</v>
      </c>
      <c r="AB2430" s="53" t="n">
        <v>0</v>
      </c>
      <c r="AC2430" s="52" t="n">
        <v>0</v>
      </c>
      <c r="AD2430" s="53" t="n">
        <v>0</v>
      </c>
      <c r="AE2430" s="52" t="n">
        <v>0</v>
      </c>
      <c r="AF2430" s="51" t="n">
        <v>0</v>
      </c>
      <c r="AG2430" s="48" t="n">
        <v>0</v>
      </c>
      <c r="AH2430" s="49" t="n">
        <v>0</v>
      </c>
      <c r="AI2430" s="49" t="n">
        <v>0</v>
      </c>
      <c r="AJ2430" s="50" t="n">
        <v>0</v>
      </c>
      <c r="AK2430" s="51" t="n">
        <v>0</v>
      </c>
      <c r="AL2430" s="52" t="n">
        <v>0</v>
      </c>
      <c r="AM2430" s="52" t="n">
        <v>0</v>
      </c>
      <c r="AN2430" s="52" t="n">
        <v>0</v>
      </c>
      <c r="AO2430" s="53" t="n">
        <v>0</v>
      </c>
      <c r="AP2430" s="52" t="n">
        <v>0</v>
      </c>
      <c r="AQ2430" s="53" t="n">
        <v>0</v>
      </c>
      <c r="AR2430" s="52" t="n">
        <v>0</v>
      </c>
      <c r="AS2430" s="51" t="n">
        <v>0</v>
      </c>
      <c r="AT2430" s="48" t="n">
        <v>0</v>
      </c>
      <c r="AU2430" s="49" t="n">
        <v>0</v>
      </c>
      <c r="AV2430" s="49" t="n">
        <v>0</v>
      </c>
      <c r="AW2430" s="50" t="n">
        <v>0</v>
      </c>
      <c r="AX2430" s="51" t="n">
        <v>0</v>
      </c>
      <c r="AY2430" s="52" t="n">
        <v>0</v>
      </c>
      <c r="AZ2430" s="52" t="n">
        <v>0</v>
      </c>
      <c r="BA2430" s="52" t="n">
        <v>0</v>
      </c>
      <c r="BB2430" s="53" t="n">
        <v>0</v>
      </c>
      <c r="BC2430" s="52" t="n">
        <v>0</v>
      </c>
      <c r="BD2430" s="53" t="n">
        <v>0</v>
      </c>
      <c r="BE2430" s="52" t="n">
        <v>0</v>
      </c>
      <c r="BF2430" s="51" t="n">
        <v>0</v>
      </c>
    </row>
    <row r="2431">
      <c r="A2431">
        <f>HYPERLINK("https://www.walmart.com/ip/197238314", "197238314")</f>
        <v/>
      </c>
      <c r="B2431" t="inlineStr">
        <is>
          <t>Target Lightweight Running Belt Waist Pack with Earphone Outlet - Outdoor Sweatproof Reflective Belt Waist Bag for iPhone 6S/6/6 PLUS Transparent Touch Screen Window, Universal Sports Waist Belt</t>
        </is>
      </c>
      <c r="C2431" t="inlineStr">
        <is>
          <t>TARGETWB01L-BL</t>
        </is>
      </c>
      <c r="D2431" t="inlineStr">
        <is>
          <t>Running Belts</t>
        </is>
      </c>
      <c r="E2431" t="inlineStr">
        <is>
          <t>Target</t>
        </is>
      </c>
      <c r="F2431" t="inlineStr">
        <is>
          <t>Batch 1 - TR</t>
        </is>
      </c>
      <c r="G2431" s="48" t="n">
        <v>0</v>
      </c>
      <c r="H2431" s="49" t="n">
        <v>0</v>
      </c>
      <c r="I2431" s="49" t="n">
        <v>0</v>
      </c>
      <c r="J2431" s="50" t="n">
        <v>0</v>
      </c>
      <c r="K2431" s="51" t="n">
        <v>0</v>
      </c>
      <c r="L2431" s="52" t="n">
        <v>0</v>
      </c>
      <c r="M2431" s="52" t="n">
        <v>0</v>
      </c>
      <c r="N2431" s="52" t="n">
        <v>0</v>
      </c>
      <c r="O2431" s="53" t="n">
        <v>0</v>
      </c>
      <c r="P2431" s="52" t="n">
        <v>0</v>
      </c>
      <c r="Q2431" s="53" t="n">
        <v>0</v>
      </c>
      <c r="R2431" s="52" t="n">
        <v>0</v>
      </c>
      <c r="S2431" s="51" t="n">
        <v>0</v>
      </c>
      <c r="T2431" s="48" t="n">
        <v>0</v>
      </c>
      <c r="U2431" s="49" t="n">
        <v>0</v>
      </c>
      <c r="V2431" s="49" t="n">
        <v>0</v>
      </c>
      <c r="W2431" s="50" t="n">
        <v>0</v>
      </c>
      <c r="X2431" s="51" t="n">
        <v>0</v>
      </c>
      <c r="Y2431" s="52" t="n">
        <v>0</v>
      </c>
      <c r="Z2431" s="52" t="n">
        <v>0</v>
      </c>
      <c r="AA2431" s="52" t="n">
        <v>0</v>
      </c>
      <c r="AB2431" s="53" t="n">
        <v>0</v>
      </c>
      <c r="AC2431" s="52" t="n">
        <v>0</v>
      </c>
      <c r="AD2431" s="53" t="n">
        <v>0</v>
      </c>
      <c r="AE2431" s="52" t="n">
        <v>0</v>
      </c>
      <c r="AF2431" s="51" t="n">
        <v>0</v>
      </c>
      <c r="AG2431" s="48" t="n">
        <v>0</v>
      </c>
      <c r="AH2431" s="49" t="n">
        <v>0</v>
      </c>
      <c r="AI2431" s="49" t="n">
        <v>0</v>
      </c>
      <c r="AJ2431" s="50" t="n">
        <v>0</v>
      </c>
      <c r="AK2431" s="51" t="n">
        <v>0</v>
      </c>
      <c r="AL2431" s="52" t="n">
        <v>0</v>
      </c>
      <c r="AM2431" s="52" t="n">
        <v>0</v>
      </c>
      <c r="AN2431" s="52" t="n">
        <v>0</v>
      </c>
      <c r="AO2431" s="53" t="n">
        <v>0</v>
      </c>
      <c r="AP2431" s="52" t="n">
        <v>0</v>
      </c>
      <c r="AQ2431" s="53" t="n">
        <v>0</v>
      </c>
      <c r="AR2431" s="52" t="n">
        <v>0</v>
      </c>
      <c r="AS2431" s="51" t="n">
        <v>0</v>
      </c>
      <c r="AT2431" s="48" t="n">
        <v>0</v>
      </c>
      <c r="AU2431" s="49" t="n">
        <v>0</v>
      </c>
      <c r="AV2431" s="49" t="n">
        <v>0</v>
      </c>
      <c r="AW2431" s="50" t="n">
        <v>0</v>
      </c>
      <c r="AX2431" s="51" t="n">
        <v>0</v>
      </c>
      <c r="AY2431" s="52" t="n">
        <v>0</v>
      </c>
      <c r="AZ2431" s="52" t="n">
        <v>0</v>
      </c>
      <c r="BA2431" s="52" t="n">
        <v>0</v>
      </c>
      <c r="BB2431" s="53" t="n">
        <v>0</v>
      </c>
      <c r="BC2431" s="52" t="n">
        <v>0</v>
      </c>
      <c r="BD2431" s="53" t="n">
        <v>0</v>
      </c>
      <c r="BE2431" s="52" t="n">
        <v>0</v>
      </c>
      <c r="BF2431" s="51" t="n">
        <v>0</v>
      </c>
    </row>
    <row r="2432">
      <c r="A2432">
        <f>HYPERLINK("https://www.walmart.com/ip/197385546", "197385546")</f>
        <v/>
      </c>
      <c r="B2432" t="inlineStr">
        <is>
          <t>KC Caps® Cotton Twill Deluxe Super Soft Mesh Adjustable Snapback Low Profile Trucker Baseball Cap</t>
        </is>
      </c>
      <c r="C2432" t="inlineStr">
        <is>
          <t>KCCAPSSZK641FG/ST</t>
        </is>
      </c>
      <c r="D2432" t="inlineStr">
        <is>
          <t>Hats</t>
        </is>
      </c>
      <c r="E2432" t="inlineStr">
        <is>
          <t>KC Caps</t>
        </is>
      </c>
      <c r="F2432" t="inlineStr">
        <is>
          <t>Optimized</t>
        </is>
      </c>
      <c r="G2432" s="48" t="n">
        <v>0</v>
      </c>
      <c r="H2432" s="49" t="n">
        <v>0</v>
      </c>
      <c r="I2432" s="49" t="n">
        <v>0</v>
      </c>
      <c r="J2432" s="50" t="n">
        <v>0</v>
      </c>
      <c r="K2432" s="51" t="n">
        <v>0</v>
      </c>
      <c r="L2432" s="52" t="n">
        <v>0</v>
      </c>
      <c r="M2432" s="52" t="n">
        <v>0</v>
      </c>
      <c r="N2432" s="52" t="n">
        <v>0</v>
      </c>
      <c r="O2432" s="53" t="n">
        <v>0</v>
      </c>
      <c r="P2432" s="52" t="n">
        <v>0</v>
      </c>
      <c r="Q2432" s="53" t="n">
        <v>0</v>
      </c>
      <c r="R2432" s="52" t="n">
        <v>0</v>
      </c>
      <c r="S2432" s="51" t="n">
        <v>0</v>
      </c>
      <c r="T2432" s="48" t="n">
        <v>0</v>
      </c>
      <c r="U2432" s="49" t="n">
        <v>0</v>
      </c>
      <c r="V2432" s="49" t="n">
        <v>0</v>
      </c>
      <c r="W2432" s="50" t="n">
        <v>0</v>
      </c>
      <c r="X2432" s="51" t="n">
        <v>0</v>
      </c>
      <c r="Y2432" s="52" t="n">
        <v>0</v>
      </c>
      <c r="Z2432" s="52" t="n">
        <v>0</v>
      </c>
      <c r="AA2432" s="52" t="n">
        <v>0</v>
      </c>
      <c r="AB2432" s="53" t="n">
        <v>0</v>
      </c>
      <c r="AC2432" s="52" t="n">
        <v>0</v>
      </c>
      <c r="AD2432" s="53" t="n">
        <v>0</v>
      </c>
      <c r="AE2432" s="52" t="n">
        <v>0</v>
      </c>
      <c r="AF2432" s="51" t="n">
        <v>0</v>
      </c>
      <c r="AG2432" s="48" t="n">
        <v>0</v>
      </c>
      <c r="AH2432" s="49" t="n">
        <v>0</v>
      </c>
      <c r="AI2432" s="49" t="n">
        <v>0</v>
      </c>
      <c r="AJ2432" s="50" t="n">
        <v>0</v>
      </c>
      <c r="AK2432" s="51" t="n">
        <v>0</v>
      </c>
      <c r="AL2432" s="52" t="n">
        <v>0</v>
      </c>
      <c r="AM2432" s="52" t="n">
        <v>0</v>
      </c>
      <c r="AN2432" s="52" t="n">
        <v>0</v>
      </c>
      <c r="AO2432" s="53" t="n">
        <v>0</v>
      </c>
      <c r="AP2432" s="52" t="n">
        <v>0</v>
      </c>
      <c r="AQ2432" s="53" t="n">
        <v>0</v>
      </c>
      <c r="AR2432" s="52" t="n">
        <v>0</v>
      </c>
      <c r="AS2432" s="51" t="n">
        <v>0</v>
      </c>
      <c r="AT2432" s="48" t="n">
        <v>0</v>
      </c>
      <c r="AU2432" s="49" t="n">
        <v>0</v>
      </c>
      <c r="AV2432" s="49" t="n">
        <v>0</v>
      </c>
      <c r="AW2432" s="50" t="n">
        <v>0</v>
      </c>
      <c r="AX2432" s="51" t="n">
        <v>0</v>
      </c>
      <c r="AY2432" s="52" t="n">
        <v>0</v>
      </c>
      <c r="AZ2432" s="52" t="n">
        <v>0</v>
      </c>
      <c r="BA2432" s="52" t="n">
        <v>0</v>
      </c>
      <c r="BB2432" s="53" t="n">
        <v>0</v>
      </c>
      <c r="BC2432" s="52" t="n">
        <v>0</v>
      </c>
      <c r="BD2432" s="53" t="n">
        <v>0</v>
      </c>
      <c r="BE2432" s="52" t="n">
        <v>0</v>
      </c>
      <c r="BF2432" s="51" t="n">
        <v>0</v>
      </c>
    </row>
    <row r="2433">
      <c r="A2433">
        <f>HYPERLINK("https://www.walmart.com/ip/1975142957", "1975142957")</f>
        <v/>
      </c>
      <c r="B2433" t="inlineStr">
        <is>
          <t>Hang Ten Basic Insulated Lunch Bag for Work, Thermal Reusable Office Lunch Box for Men, Women (Palm Trees)</t>
        </is>
      </c>
      <c r="C2433" t="inlineStr">
        <is>
          <t>HT-LUNCH-BASICBOX-GOODVIBES</t>
        </is>
      </c>
      <c r="D2433" t="inlineStr">
        <is>
          <t>Reusable Lunch Bags &amp; Boxes</t>
        </is>
      </c>
      <c r="E2433" t="inlineStr">
        <is>
          <t>HANG TEN</t>
        </is>
      </c>
      <c r="G2433" s="48" t="n">
        <v>0</v>
      </c>
      <c r="H2433" s="49" t="n">
        <v>0</v>
      </c>
      <c r="I2433" s="49" t="n">
        <v>0</v>
      </c>
      <c r="J2433" s="50" t="n">
        <v>0</v>
      </c>
      <c r="K2433" s="51" t="n">
        <v>0</v>
      </c>
      <c r="L2433" s="52" t="n">
        <v>0</v>
      </c>
      <c r="M2433" s="52" t="n">
        <v>0</v>
      </c>
      <c r="N2433" s="52" t="n">
        <v>0</v>
      </c>
      <c r="O2433" s="53" t="n">
        <v>0</v>
      </c>
      <c r="P2433" s="52" t="n">
        <v>0</v>
      </c>
      <c r="Q2433" s="53" t="n">
        <v>0</v>
      </c>
      <c r="R2433" s="52" t="n">
        <v>0</v>
      </c>
      <c r="S2433" s="51" t="n">
        <v>0</v>
      </c>
      <c r="T2433" s="48" t="n">
        <v>0</v>
      </c>
      <c r="U2433" s="49" t="n">
        <v>0</v>
      </c>
      <c r="V2433" s="49" t="n">
        <v>0</v>
      </c>
      <c r="W2433" s="50" t="n">
        <v>0</v>
      </c>
      <c r="X2433" s="51" t="n">
        <v>0</v>
      </c>
      <c r="Y2433" s="52" t="n">
        <v>0</v>
      </c>
      <c r="Z2433" s="52" t="n">
        <v>0</v>
      </c>
      <c r="AA2433" s="52" t="n">
        <v>0</v>
      </c>
      <c r="AB2433" s="53" t="n">
        <v>0</v>
      </c>
      <c r="AC2433" s="52" t="n">
        <v>0</v>
      </c>
      <c r="AD2433" s="53" t="n">
        <v>0</v>
      </c>
      <c r="AE2433" s="52" t="n">
        <v>0</v>
      </c>
      <c r="AF2433" s="51" t="n">
        <v>0</v>
      </c>
      <c r="AG2433" s="48" t="n">
        <v>0</v>
      </c>
      <c r="AH2433" s="49" t="n">
        <v>0</v>
      </c>
      <c r="AI2433" s="49" t="n">
        <v>0</v>
      </c>
      <c r="AJ2433" s="50" t="n">
        <v>0</v>
      </c>
      <c r="AK2433" s="51" t="n">
        <v>0</v>
      </c>
      <c r="AL2433" s="52" t="n">
        <v>0</v>
      </c>
      <c r="AM2433" s="52" t="n">
        <v>0</v>
      </c>
      <c r="AN2433" s="52" t="n">
        <v>0</v>
      </c>
      <c r="AO2433" s="53" t="n">
        <v>0</v>
      </c>
      <c r="AP2433" s="52" t="n">
        <v>0</v>
      </c>
      <c r="AQ2433" s="53" t="n">
        <v>0</v>
      </c>
      <c r="AR2433" s="52" t="n">
        <v>0</v>
      </c>
      <c r="AS2433" s="51" t="n">
        <v>0</v>
      </c>
      <c r="AT2433" s="48" t="n">
        <v>0</v>
      </c>
      <c r="AU2433" s="49" t="n">
        <v>0</v>
      </c>
      <c r="AV2433" s="49" t="n">
        <v>0</v>
      </c>
      <c r="AW2433" s="50" t="n">
        <v>0</v>
      </c>
      <c r="AX2433" s="51" t="n">
        <v>0</v>
      </c>
      <c r="AY2433" s="52" t="n">
        <v>0</v>
      </c>
      <c r="AZ2433" s="52" t="n">
        <v>0</v>
      </c>
      <c r="BA2433" s="52" t="n">
        <v>0</v>
      </c>
      <c r="BB2433" s="53" t="n">
        <v>0</v>
      </c>
      <c r="BC2433" s="52" t="n">
        <v>0</v>
      </c>
      <c r="BD2433" s="53" t="n">
        <v>0</v>
      </c>
      <c r="BE2433" s="52" t="n">
        <v>0</v>
      </c>
      <c r="BF2433" s="51" t="n">
        <v>0</v>
      </c>
    </row>
    <row r="2434">
      <c r="A2434">
        <f>HYPERLINK("https://www.walmart.com/ip/197627021", "197627021")</f>
        <v/>
      </c>
      <c r="B2434" t="inlineStr">
        <is>
          <t>JenniWears Women's Leopard Print Bikini Panty with Open Back Heart Detail, Medium</t>
        </is>
      </c>
      <c r="C2434" t="inlineStr">
        <is>
          <t>JWPT02LE-M</t>
        </is>
      </c>
      <c r="D2434" t="inlineStr">
        <is>
          <t>Panties</t>
        </is>
      </c>
      <c r="E2434" t="inlineStr">
        <is>
          <t>JenniWears</t>
        </is>
      </c>
      <c r="F2434" t="inlineStr">
        <is>
          <t>Optimized,Valentine</t>
        </is>
      </c>
      <c r="G2434" s="48" t="n">
        <v>0</v>
      </c>
      <c r="H2434" s="49" t="n">
        <v>0</v>
      </c>
      <c r="I2434" s="49" t="n">
        <v>0</v>
      </c>
      <c r="J2434" s="50" t="n">
        <v>0</v>
      </c>
      <c r="K2434" s="51" t="n">
        <v>0</v>
      </c>
      <c r="L2434" s="52" t="n">
        <v>0</v>
      </c>
      <c r="M2434" s="52" t="n">
        <v>0</v>
      </c>
      <c r="N2434" s="52" t="n">
        <v>0</v>
      </c>
      <c r="O2434" s="53" t="n">
        <v>0</v>
      </c>
      <c r="P2434" s="52" t="n">
        <v>0</v>
      </c>
      <c r="Q2434" s="53" t="n">
        <v>0</v>
      </c>
      <c r="R2434" s="52" t="n">
        <v>0</v>
      </c>
      <c r="S2434" s="51" t="n">
        <v>0</v>
      </c>
      <c r="T2434" s="48" t="n">
        <v>0</v>
      </c>
      <c r="U2434" s="49" t="n">
        <v>0</v>
      </c>
      <c r="V2434" s="49" t="n">
        <v>0</v>
      </c>
      <c r="W2434" s="50" t="n">
        <v>0</v>
      </c>
      <c r="X2434" s="51" t="n">
        <v>0</v>
      </c>
      <c r="Y2434" s="52" t="n">
        <v>0</v>
      </c>
      <c r="Z2434" s="52" t="n">
        <v>0</v>
      </c>
      <c r="AA2434" s="52" t="n">
        <v>0</v>
      </c>
      <c r="AB2434" s="53" t="n">
        <v>0</v>
      </c>
      <c r="AC2434" s="52" t="n">
        <v>0</v>
      </c>
      <c r="AD2434" s="53" t="n">
        <v>0</v>
      </c>
      <c r="AE2434" s="52" t="n">
        <v>0</v>
      </c>
      <c r="AF2434" s="51" t="n">
        <v>0</v>
      </c>
      <c r="AG2434" s="48" t="n">
        <v>0</v>
      </c>
      <c r="AH2434" s="49" t="n">
        <v>0</v>
      </c>
      <c r="AI2434" s="49" t="n">
        <v>0</v>
      </c>
      <c r="AJ2434" s="50" t="n">
        <v>0</v>
      </c>
      <c r="AK2434" s="51" t="n">
        <v>0</v>
      </c>
      <c r="AL2434" s="52" t="n">
        <v>0</v>
      </c>
      <c r="AM2434" s="52" t="n">
        <v>0</v>
      </c>
      <c r="AN2434" s="52" t="n">
        <v>0</v>
      </c>
      <c r="AO2434" s="53" t="n">
        <v>0</v>
      </c>
      <c r="AP2434" s="52" t="n">
        <v>0</v>
      </c>
      <c r="AQ2434" s="53" t="n">
        <v>0</v>
      </c>
      <c r="AR2434" s="52" t="n">
        <v>0</v>
      </c>
      <c r="AS2434" s="51" t="n">
        <v>0</v>
      </c>
      <c r="AT2434" s="48" t="n">
        <v>0</v>
      </c>
      <c r="AU2434" s="49" t="n">
        <v>0</v>
      </c>
      <c r="AV2434" s="49" t="n">
        <v>0</v>
      </c>
      <c r="AW2434" s="50" t="n">
        <v>0</v>
      </c>
      <c r="AX2434" s="51" t="n">
        <v>0</v>
      </c>
      <c r="AY2434" s="52" t="n">
        <v>0</v>
      </c>
      <c r="AZ2434" s="52" t="n">
        <v>0</v>
      </c>
      <c r="BA2434" s="52" t="n">
        <v>0</v>
      </c>
      <c r="BB2434" s="53" t="n">
        <v>0</v>
      </c>
      <c r="BC2434" s="52" t="n">
        <v>0</v>
      </c>
      <c r="BD2434" s="53" t="n">
        <v>0</v>
      </c>
      <c r="BE2434" s="52" t="n">
        <v>0</v>
      </c>
      <c r="BF2434" s="51" t="n">
        <v>0</v>
      </c>
    </row>
    <row r="2435">
      <c r="A2435">
        <f>HYPERLINK("https://www.walmart.com/ip/197763165", "197763165")</f>
        <v/>
      </c>
      <c r="B2435" t="inlineStr">
        <is>
          <t>JenniWears Women's Beileise  Sexy Net Pantyhose  Stockings Black Sheer Socks</t>
        </is>
      </c>
      <c r="C2435" t="inlineStr">
        <is>
          <t>JWBLSPH2085</t>
        </is>
      </c>
      <c r="D2435" t="inlineStr">
        <is>
          <t>Pantyhose &amp; Tights</t>
        </is>
      </c>
      <c r="E2435" t="inlineStr">
        <is>
          <t>JenniWears</t>
        </is>
      </c>
      <c r="F2435" t="inlineStr">
        <is>
          <t>Optimized,Valentine</t>
        </is>
      </c>
      <c r="G2435" s="48" t="n">
        <v>0</v>
      </c>
      <c r="H2435" s="49" t="n">
        <v>0</v>
      </c>
      <c r="I2435" s="49" t="n">
        <v>0</v>
      </c>
      <c r="J2435" s="50" t="n">
        <v>0</v>
      </c>
      <c r="K2435" s="51" t="n">
        <v>0</v>
      </c>
      <c r="L2435" s="52" t="n">
        <v>0</v>
      </c>
      <c r="M2435" s="52" t="n">
        <v>0</v>
      </c>
      <c r="N2435" s="52" t="n">
        <v>0</v>
      </c>
      <c r="O2435" s="53" t="n">
        <v>0</v>
      </c>
      <c r="P2435" s="52" t="n">
        <v>0</v>
      </c>
      <c r="Q2435" s="53" t="n">
        <v>0</v>
      </c>
      <c r="R2435" s="52" t="n">
        <v>0</v>
      </c>
      <c r="S2435" s="51" t="n">
        <v>0</v>
      </c>
      <c r="T2435" s="48" t="n">
        <v>0</v>
      </c>
      <c r="U2435" s="49" t="n">
        <v>0</v>
      </c>
      <c r="V2435" s="49" t="n">
        <v>0</v>
      </c>
      <c r="W2435" s="50" t="n">
        <v>0</v>
      </c>
      <c r="X2435" s="51" t="n">
        <v>0</v>
      </c>
      <c r="Y2435" s="52" t="n">
        <v>0</v>
      </c>
      <c r="Z2435" s="52" t="n">
        <v>0</v>
      </c>
      <c r="AA2435" s="52" t="n">
        <v>0</v>
      </c>
      <c r="AB2435" s="53" t="n">
        <v>0</v>
      </c>
      <c r="AC2435" s="52" t="n">
        <v>0</v>
      </c>
      <c r="AD2435" s="53" t="n">
        <v>0</v>
      </c>
      <c r="AE2435" s="52" t="n">
        <v>0</v>
      </c>
      <c r="AF2435" s="51" t="n">
        <v>0</v>
      </c>
      <c r="AG2435" s="48" t="n">
        <v>0</v>
      </c>
      <c r="AH2435" s="49" t="n">
        <v>0</v>
      </c>
      <c r="AI2435" s="49" t="n">
        <v>0</v>
      </c>
      <c r="AJ2435" s="50" t="n">
        <v>0</v>
      </c>
      <c r="AK2435" s="51" t="n">
        <v>0</v>
      </c>
      <c r="AL2435" s="52" t="n">
        <v>0</v>
      </c>
      <c r="AM2435" s="52" t="n">
        <v>0</v>
      </c>
      <c r="AN2435" s="52" t="n">
        <v>0</v>
      </c>
      <c r="AO2435" s="53" t="n">
        <v>0</v>
      </c>
      <c r="AP2435" s="52" t="n">
        <v>0</v>
      </c>
      <c r="AQ2435" s="53" t="n">
        <v>0</v>
      </c>
      <c r="AR2435" s="52" t="n">
        <v>0</v>
      </c>
      <c r="AS2435" s="51" t="n">
        <v>0</v>
      </c>
      <c r="AT2435" s="48" t="n">
        <v>0</v>
      </c>
      <c r="AU2435" s="49" t="n">
        <v>0</v>
      </c>
      <c r="AV2435" s="49" t="n">
        <v>0</v>
      </c>
      <c r="AW2435" s="50" t="n">
        <v>0</v>
      </c>
      <c r="AX2435" s="51" t="n">
        <v>0</v>
      </c>
      <c r="AY2435" s="52" t="n">
        <v>0</v>
      </c>
      <c r="AZ2435" s="52" t="n">
        <v>0</v>
      </c>
      <c r="BA2435" s="52" t="n">
        <v>0</v>
      </c>
      <c r="BB2435" s="53" t="n">
        <v>0</v>
      </c>
      <c r="BC2435" s="52" t="n">
        <v>0</v>
      </c>
      <c r="BD2435" s="53" t="n">
        <v>0</v>
      </c>
      <c r="BE2435" s="52" t="n">
        <v>0</v>
      </c>
      <c r="BF2435" s="51" t="n">
        <v>0</v>
      </c>
    </row>
    <row r="2436">
      <c r="A2436">
        <f>HYPERLINK("https://www.walmart.com/ip/197824713", "197824713")</f>
        <v/>
      </c>
      <c r="B2436" t="inlineStr">
        <is>
          <t>KC Caps Super Soft and Comfy Knit Beanie Winter Cap Pink</t>
        </is>
      </c>
      <c r="C2436" t="inlineStr">
        <is>
          <t>kc-w1600pk</t>
        </is>
      </c>
      <c r="D2436" t="inlineStr">
        <is>
          <t>Hats</t>
        </is>
      </c>
      <c r="E2436" t="inlineStr">
        <is>
          <t>KC Caps</t>
        </is>
      </c>
      <c r="F2436" t="inlineStr">
        <is>
          <t>Optimized</t>
        </is>
      </c>
      <c r="G2436" s="48" t="n">
        <v>0</v>
      </c>
      <c r="H2436" s="49" t="n">
        <v>0</v>
      </c>
      <c r="I2436" s="49" t="n">
        <v>0</v>
      </c>
      <c r="J2436" s="50" t="n">
        <v>0</v>
      </c>
      <c r="K2436" s="51" t="n">
        <v>0</v>
      </c>
      <c r="L2436" s="52" t="n">
        <v>0</v>
      </c>
      <c r="M2436" s="52" t="n">
        <v>0</v>
      </c>
      <c r="N2436" s="52" t="n">
        <v>0</v>
      </c>
      <c r="O2436" s="53" t="n">
        <v>0</v>
      </c>
      <c r="P2436" s="52" t="n">
        <v>0</v>
      </c>
      <c r="Q2436" s="53" t="n">
        <v>0</v>
      </c>
      <c r="R2436" s="52" t="n">
        <v>0</v>
      </c>
      <c r="S2436" s="51" t="n">
        <v>0</v>
      </c>
      <c r="T2436" s="48" t="n">
        <v>0</v>
      </c>
      <c r="U2436" s="49" t="n">
        <v>0</v>
      </c>
      <c r="V2436" s="49" t="n">
        <v>0</v>
      </c>
      <c r="W2436" s="50" t="n">
        <v>0</v>
      </c>
      <c r="X2436" s="51" t="n">
        <v>0</v>
      </c>
      <c r="Y2436" s="52" t="n">
        <v>0</v>
      </c>
      <c r="Z2436" s="52" t="n">
        <v>0</v>
      </c>
      <c r="AA2436" s="52" t="n">
        <v>0</v>
      </c>
      <c r="AB2436" s="53" t="n">
        <v>0</v>
      </c>
      <c r="AC2436" s="52" t="n">
        <v>0</v>
      </c>
      <c r="AD2436" s="53" t="n">
        <v>0</v>
      </c>
      <c r="AE2436" s="52" t="n">
        <v>0</v>
      </c>
      <c r="AF2436" s="51" t="n">
        <v>0</v>
      </c>
      <c r="AG2436" s="48" t="n">
        <v>0</v>
      </c>
      <c r="AH2436" s="49" t="n">
        <v>0</v>
      </c>
      <c r="AI2436" s="49" t="n">
        <v>0</v>
      </c>
      <c r="AJ2436" s="50" t="n">
        <v>0</v>
      </c>
      <c r="AK2436" s="51" t="n">
        <v>0</v>
      </c>
      <c r="AL2436" s="52" t="n">
        <v>0</v>
      </c>
      <c r="AM2436" s="52" t="n">
        <v>0</v>
      </c>
      <c r="AN2436" s="52" t="n">
        <v>0</v>
      </c>
      <c r="AO2436" s="53" t="n">
        <v>0</v>
      </c>
      <c r="AP2436" s="52" t="n">
        <v>0</v>
      </c>
      <c r="AQ2436" s="53" t="n">
        <v>0</v>
      </c>
      <c r="AR2436" s="52" t="n">
        <v>0</v>
      </c>
      <c r="AS2436" s="51" t="n">
        <v>0</v>
      </c>
      <c r="AT2436" s="48" t="n">
        <v>0</v>
      </c>
      <c r="AU2436" s="49" t="n">
        <v>0</v>
      </c>
      <c r="AV2436" s="49" t="n">
        <v>0</v>
      </c>
      <c r="AW2436" s="50" t="n">
        <v>0</v>
      </c>
      <c r="AX2436" s="51" t="n">
        <v>0</v>
      </c>
      <c r="AY2436" s="52" t="n">
        <v>0</v>
      </c>
      <c r="AZ2436" s="52" t="n">
        <v>0</v>
      </c>
      <c r="BA2436" s="52" t="n">
        <v>0</v>
      </c>
      <c r="BB2436" s="53" t="n">
        <v>0</v>
      </c>
      <c r="BC2436" s="52" t="n">
        <v>0</v>
      </c>
      <c r="BD2436" s="53" t="n">
        <v>0</v>
      </c>
      <c r="BE2436" s="52" t="n">
        <v>0</v>
      </c>
      <c r="BF2436" s="51" t="n">
        <v>0</v>
      </c>
    </row>
    <row r="2437">
      <c r="A2437">
        <f>HYPERLINK("https://www.walmart.com/ip/197840838", "197840838")</f>
        <v/>
      </c>
      <c r="B2437" t="inlineStr">
        <is>
          <t>Sexy Lingerie for Women with Black Open Crotch Suspender Bodystocking Lingerie by JenniWears</t>
        </is>
      </c>
      <c r="C2437" t="inlineStr">
        <is>
          <t>JWBS8803</t>
        </is>
      </c>
      <c r="D2437" t="inlineStr">
        <is>
          <t>Teddies &amp; Bodystockings</t>
        </is>
      </c>
      <c r="E2437" t="inlineStr">
        <is>
          <t>JenniWears</t>
        </is>
      </c>
      <c r="F2437" t="inlineStr">
        <is>
          <t>WFS,Valentine,WFS Item</t>
        </is>
      </c>
      <c r="G2437" s="48" t="n">
        <v>0</v>
      </c>
      <c r="H2437" s="49" t="n">
        <v>0</v>
      </c>
      <c r="I2437" s="49" t="n">
        <v>2</v>
      </c>
      <c r="J2437" s="50" t="n">
        <v>0</v>
      </c>
      <c r="K2437" s="51" t="n">
        <v>0</v>
      </c>
      <c r="L2437" s="52" t="n">
        <v>0</v>
      </c>
      <c r="M2437" s="52" t="n">
        <v>0</v>
      </c>
      <c r="N2437" s="52" t="n">
        <v>0</v>
      </c>
      <c r="O2437" s="53" t="n">
        <v>0</v>
      </c>
      <c r="P2437" s="52" t="n">
        <v>0</v>
      </c>
      <c r="Q2437" s="53" t="n">
        <v>0</v>
      </c>
      <c r="R2437" s="52" t="n">
        <v>0</v>
      </c>
      <c r="S2437" s="51" t="n">
        <v>0</v>
      </c>
      <c r="T2437" s="48" t="n">
        <v>0</v>
      </c>
      <c r="U2437" s="49" t="n">
        <v>0</v>
      </c>
      <c r="V2437" s="49" t="n">
        <v>4</v>
      </c>
      <c r="W2437" s="50" t="n">
        <v>0</v>
      </c>
      <c r="X2437" s="51" t="n">
        <v>0</v>
      </c>
      <c r="Y2437" s="52" t="n">
        <v>0</v>
      </c>
      <c r="Z2437" s="52" t="n">
        <v>0</v>
      </c>
      <c r="AA2437" s="52" t="n">
        <v>0</v>
      </c>
      <c r="AB2437" s="53" t="n">
        <v>0</v>
      </c>
      <c r="AC2437" s="52" t="n">
        <v>0</v>
      </c>
      <c r="AD2437" s="53" t="n">
        <v>0</v>
      </c>
      <c r="AE2437" s="52" t="n">
        <v>0</v>
      </c>
      <c r="AF2437" s="51" t="n">
        <v>0</v>
      </c>
      <c r="AG2437" s="48" t="n">
        <v>0</v>
      </c>
      <c r="AH2437" s="49" t="n">
        <v>0</v>
      </c>
      <c r="AI2437" s="49" t="n">
        <v>5</v>
      </c>
      <c r="AJ2437" s="50" t="n">
        <v>0</v>
      </c>
      <c r="AK2437" s="51" t="n">
        <v>0</v>
      </c>
      <c r="AL2437" s="52" t="n">
        <v>0</v>
      </c>
      <c r="AM2437" s="52" t="n">
        <v>0</v>
      </c>
      <c r="AN2437" s="52" t="n">
        <v>0</v>
      </c>
      <c r="AO2437" s="53" t="n">
        <v>0</v>
      </c>
      <c r="AP2437" s="52" t="n">
        <v>0</v>
      </c>
      <c r="AQ2437" s="53" t="n">
        <v>0</v>
      </c>
      <c r="AR2437" s="52" t="n">
        <v>0</v>
      </c>
      <c r="AS2437" s="51" t="n">
        <v>0</v>
      </c>
      <c r="AT2437" s="48" t="n">
        <v>7.99</v>
      </c>
      <c r="AU2437" s="49" t="n">
        <v>1</v>
      </c>
      <c r="AV2437" s="49" t="n">
        <v>6</v>
      </c>
      <c r="AW2437" s="50" t="n">
        <v>0.1666666666666667</v>
      </c>
      <c r="AX2437" s="51" t="n">
        <v>0</v>
      </c>
      <c r="AY2437" s="52" t="n">
        <v>0</v>
      </c>
      <c r="AZ2437" s="52" t="n">
        <v>0</v>
      </c>
      <c r="BA2437" s="52" t="n">
        <v>0</v>
      </c>
      <c r="BB2437" s="53" t="n">
        <v>0</v>
      </c>
      <c r="BC2437" s="52" t="n">
        <v>0</v>
      </c>
      <c r="BD2437" s="53" t="n">
        <v>0</v>
      </c>
      <c r="BE2437" s="52" t="n">
        <v>7.99</v>
      </c>
      <c r="BF2437" s="51" t="n">
        <v>0</v>
      </c>
    </row>
    <row r="2438">
      <c r="A2438">
        <f>HYPERLINK("https://www.walmart.com/ip/197908816", "197908816")</f>
        <v/>
      </c>
      <c r="B2438" t="inlineStr">
        <is>
          <t>Two-Piece Tankini Swimsuit for Women Open Back Swimwear Suits Bathing Set by Tirrinia</t>
        </is>
      </c>
      <c r="C2438" t="inlineStr">
        <is>
          <t>1TRSS005BK-L</t>
        </is>
      </c>
      <c r="D2438" t="inlineStr">
        <is>
          <t>Bikini &amp; Tankini Tops</t>
        </is>
      </c>
      <c r="E2438" t="inlineStr">
        <is>
          <t>Tirrinia</t>
        </is>
      </c>
      <c r="F2438" t="inlineStr">
        <is>
          <t>Optimized</t>
        </is>
      </c>
      <c r="G2438" s="48" t="n">
        <v>0</v>
      </c>
      <c r="H2438" s="49" t="n">
        <v>0</v>
      </c>
      <c r="I2438" s="49" t="n">
        <v>0</v>
      </c>
      <c r="J2438" s="50" t="n">
        <v>0</v>
      </c>
      <c r="K2438" s="51" t="n">
        <v>0</v>
      </c>
      <c r="L2438" s="52" t="n">
        <v>0</v>
      </c>
      <c r="M2438" s="52" t="n">
        <v>0</v>
      </c>
      <c r="N2438" s="52" t="n">
        <v>0</v>
      </c>
      <c r="O2438" s="53" t="n">
        <v>0</v>
      </c>
      <c r="P2438" s="52" t="n">
        <v>0</v>
      </c>
      <c r="Q2438" s="53" t="n">
        <v>0</v>
      </c>
      <c r="R2438" s="52" t="n">
        <v>0</v>
      </c>
      <c r="S2438" s="51" t="n">
        <v>0</v>
      </c>
      <c r="T2438" s="48" t="n">
        <v>0</v>
      </c>
      <c r="U2438" s="49" t="n">
        <v>0</v>
      </c>
      <c r="V2438" s="49" t="n">
        <v>0</v>
      </c>
      <c r="W2438" s="50" t="n">
        <v>0</v>
      </c>
      <c r="X2438" s="51" t="n">
        <v>0</v>
      </c>
      <c r="Y2438" s="52" t="n">
        <v>0</v>
      </c>
      <c r="Z2438" s="52" t="n">
        <v>0</v>
      </c>
      <c r="AA2438" s="52" t="n">
        <v>0</v>
      </c>
      <c r="AB2438" s="53" t="n">
        <v>0</v>
      </c>
      <c r="AC2438" s="52" t="n">
        <v>0</v>
      </c>
      <c r="AD2438" s="53" t="n">
        <v>0</v>
      </c>
      <c r="AE2438" s="52" t="n">
        <v>0</v>
      </c>
      <c r="AF2438" s="51" t="n">
        <v>0</v>
      </c>
      <c r="AG2438" s="48" t="n">
        <v>0</v>
      </c>
      <c r="AH2438" s="49" t="n">
        <v>0</v>
      </c>
      <c r="AI2438" s="49" t="n">
        <v>0</v>
      </c>
      <c r="AJ2438" s="50" t="n">
        <v>0</v>
      </c>
      <c r="AK2438" s="51" t="n">
        <v>0</v>
      </c>
      <c r="AL2438" s="52" t="n">
        <v>0</v>
      </c>
      <c r="AM2438" s="52" t="n">
        <v>0</v>
      </c>
      <c r="AN2438" s="52" t="n">
        <v>0</v>
      </c>
      <c r="AO2438" s="53" t="n">
        <v>0</v>
      </c>
      <c r="AP2438" s="52" t="n">
        <v>0</v>
      </c>
      <c r="AQ2438" s="53" t="n">
        <v>0</v>
      </c>
      <c r="AR2438" s="52" t="n">
        <v>0</v>
      </c>
      <c r="AS2438" s="51" t="n">
        <v>0</v>
      </c>
      <c r="AT2438" s="48" t="n">
        <v>0</v>
      </c>
      <c r="AU2438" s="49" t="n">
        <v>0</v>
      </c>
      <c r="AV2438" s="49" t="n">
        <v>0</v>
      </c>
      <c r="AW2438" s="50" t="n">
        <v>0</v>
      </c>
      <c r="AX2438" s="51" t="n">
        <v>0</v>
      </c>
      <c r="AY2438" s="52" t="n">
        <v>0</v>
      </c>
      <c r="AZ2438" s="52" t="n">
        <v>0</v>
      </c>
      <c r="BA2438" s="52" t="n">
        <v>0</v>
      </c>
      <c r="BB2438" s="53" t="n">
        <v>0</v>
      </c>
      <c r="BC2438" s="52" t="n">
        <v>0</v>
      </c>
      <c r="BD2438" s="53" t="n">
        <v>0</v>
      </c>
      <c r="BE2438" s="52" t="n">
        <v>0</v>
      </c>
      <c r="BF2438" s="51" t="n">
        <v>0</v>
      </c>
    </row>
    <row r="2439">
      <c r="A2439">
        <f>HYPERLINK("https://www.walmart.com/ip/198069787", "198069787")</f>
        <v/>
      </c>
      <c r="B2439" t="inlineStr">
        <is>
          <t>Sherpa Wearable Blanket with Sleeves &amp; Foot Pockets for Adult Women Men, Comfy Snuggle Wrap Sleeved Throw Blanket Robe, Gift Idea, Plaid</t>
        </is>
      </c>
      <c r="C2439" t="inlineStr">
        <is>
          <t>1CTSN310P2GN</t>
        </is>
      </c>
      <c r="D2439" t="inlineStr">
        <is>
          <t>Throws</t>
        </is>
      </c>
      <c r="E2439" t="inlineStr">
        <is>
          <t>Catalonia</t>
        </is>
      </c>
      <c r="F2439" t="inlineStr">
        <is>
          <t>Q2-Target,Optimized,WFS,Coupon_Discount,WFS Item</t>
        </is>
      </c>
      <c r="G2439" s="48" t="n">
        <v>0</v>
      </c>
      <c r="H2439" s="49" t="n">
        <v>0</v>
      </c>
      <c r="I2439" s="49" t="n">
        <v>0</v>
      </c>
      <c r="J2439" s="50" t="n">
        <v>0</v>
      </c>
      <c r="K2439" s="51" t="n">
        <v>0</v>
      </c>
      <c r="L2439" s="52" t="n">
        <v>0</v>
      </c>
      <c r="M2439" s="52" t="n">
        <v>0</v>
      </c>
      <c r="N2439" s="52" t="n">
        <v>0</v>
      </c>
      <c r="O2439" s="53" t="n">
        <v>0</v>
      </c>
      <c r="P2439" s="52" t="n">
        <v>0</v>
      </c>
      <c r="Q2439" s="53" t="n">
        <v>0</v>
      </c>
      <c r="R2439" s="52" t="n">
        <v>0</v>
      </c>
      <c r="S2439" s="51" t="n">
        <v>0</v>
      </c>
      <c r="T2439" s="48" t="n">
        <v>0</v>
      </c>
      <c r="U2439" s="49" t="n">
        <v>0</v>
      </c>
      <c r="V2439" s="49" t="n">
        <v>0</v>
      </c>
      <c r="W2439" s="50" t="n">
        <v>0</v>
      </c>
      <c r="X2439" s="51" t="n">
        <v>0</v>
      </c>
      <c r="Y2439" s="52" t="n">
        <v>0</v>
      </c>
      <c r="Z2439" s="52" t="n">
        <v>0</v>
      </c>
      <c r="AA2439" s="52" t="n">
        <v>0</v>
      </c>
      <c r="AB2439" s="53" t="n">
        <v>0</v>
      </c>
      <c r="AC2439" s="52" t="n">
        <v>0</v>
      </c>
      <c r="AD2439" s="53" t="n">
        <v>0</v>
      </c>
      <c r="AE2439" s="52" t="n">
        <v>0</v>
      </c>
      <c r="AF2439" s="51" t="n">
        <v>0</v>
      </c>
      <c r="AG2439" s="48" t="n">
        <v>0</v>
      </c>
      <c r="AH2439" s="49" t="n">
        <v>0</v>
      </c>
      <c r="AI2439" s="49" t="n">
        <v>0</v>
      </c>
      <c r="AJ2439" s="50" t="n">
        <v>0</v>
      </c>
      <c r="AK2439" s="51" t="n">
        <v>0</v>
      </c>
      <c r="AL2439" s="52" t="n">
        <v>0</v>
      </c>
      <c r="AM2439" s="52" t="n">
        <v>0</v>
      </c>
      <c r="AN2439" s="52" t="n">
        <v>0</v>
      </c>
      <c r="AO2439" s="53" t="n">
        <v>0</v>
      </c>
      <c r="AP2439" s="52" t="n">
        <v>0</v>
      </c>
      <c r="AQ2439" s="53" t="n">
        <v>0</v>
      </c>
      <c r="AR2439" s="52" t="n">
        <v>0</v>
      </c>
      <c r="AS2439" s="51" t="n">
        <v>0</v>
      </c>
      <c r="AT2439" s="48" t="n">
        <v>0</v>
      </c>
      <c r="AU2439" s="49" t="n">
        <v>0</v>
      </c>
      <c r="AV2439" s="49" t="n">
        <v>0</v>
      </c>
      <c r="AW2439" s="50" t="n">
        <v>0</v>
      </c>
      <c r="AX2439" s="51" t="n">
        <v>0</v>
      </c>
      <c r="AY2439" s="52" t="n">
        <v>0</v>
      </c>
      <c r="AZ2439" s="52" t="n">
        <v>0</v>
      </c>
      <c r="BA2439" s="52" t="n">
        <v>0</v>
      </c>
      <c r="BB2439" s="53" t="n">
        <v>0</v>
      </c>
      <c r="BC2439" s="52" t="n">
        <v>0</v>
      </c>
      <c r="BD2439" s="53" t="n">
        <v>0</v>
      </c>
      <c r="BE2439" s="52" t="n">
        <v>0</v>
      </c>
      <c r="BF2439" s="51" t="n">
        <v>0</v>
      </c>
    </row>
    <row r="2440">
      <c r="A2440">
        <f>HYPERLINK("https://www.walmart.com/ip/1981503804", "1981503804")</f>
        <v/>
      </c>
      <c r="B2440" t="inlineStr">
        <is>
          <t>Catalonia Knitted Throw Blanket for Bed,Sofa,Living Room,All Seasons Cozy Leisure Acrylic Lightweight Decorative Blanket with Fringe,Machine Washable,60×80 inches, Teal</t>
        </is>
      </c>
      <c r="C2440" t="inlineStr">
        <is>
          <t>1CTBN610TL</t>
        </is>
      </c>
      <c r="D2440" t="inlineStr">
        <is>
          <t>Throws</t>
        </is>
      </c>
      <c r="E2440" t="inlineStr">
        <is>
          <t>Catalonia</t>
        </is>
      </c>
      <c r="F2440" t="inlineStr">
        <is>
          <t>Batch 1 - TR</t>
        </is>
      </c>
      <c r="G2440" s="48" t="n">
        <v>0</v>
      </c>
      <c r="H2440" s="49" t="n">
        <v>0</v>
      </c>
      <c r="I2440" s="49" t="n">
        <v>0</v>
      </c>
      <c r="J2440" s="50" t="n">
        <v>0</v>
      </c>
      <c r="K2440" s="51" t="n">
        <v>0</v>
      </c>
      <c r="L2440" s="52" t="n">
        <v>0</v>
      </c>
      <c r="M2440" s="52" t="n">
        <v>0</v>
      </c>
      <c r="N2440" s="52" t="n">
        <v>0</v>
      </c>
      <c r="O2440" s="53" t="n">
        <v>0</v>
      </c>
      <c r="P2440" s="52" t="n">
        <v>0</v>
      </c>
      <c r="Q2440" s="53" t="n">
        <v>0</v>
      </c>
      <c r="R2440" s="52" t="n">
        <v>0</v>
      </c>
      <c r="S2440" s="51" t="n">
        <v>0</v>
      </c>
      <c r="T2440" s="48" t="n">
        <v>0</v>
      </c>
      <c r="U2440" s="49" t="n">
        <v>0</v>
      </c>
      <c r="V2440" s="49" t="n">
        <v>0</v>
      </c>
      <c r="W2440" s="50" t="n">
        <v>0</v>
      </c>
      <c r="X2440" s="51" t="n">
        <v>0</v>
      </c>
      <c r="Y2440" s="52" t="n">
        <v>0</v>
      </c>
      <c r="Z2440" s="52" t="n">
        <v>0</v>
      </c>
      <c r="AA2440" s="52" t="n">
        <v>0</v>
      </c>
      <c r="AB2440" s="53" t="n">
        <v>0</v>
      </c>
      <c r="AC2440" s="52" t="n">
        <v>0</v>
      </c>
      <c r="AD2440" s="53" t="n">
        <v>0</v>
      </c>
      <c r="AE2440" s="52" t="n">
        <v>0</v>
      </c>
      <c r="AF2440" s="51" t="n">
        <v>0</v>
      </c>
      <c r="AG2440" s="48" t="n">
        <v>0</v>
      </c>
      <c r="AH2440" s="49" t="n">
        <v>0</v>
      </c>
      <c r="AI2440" s="49" t="n">
        <v>0</v>
      </c>
      <c r="AJ2440" s="50" t="n">
        <v>0</v>
      </c>
      <c r="AK2440" s="51" t="n">
        <v>0</v>
      </c>
      <c r="AL2440" s="52" t="n">
        <v>0</v>
      </c>
      <c r="AM2440" s="52" t="n">
        <v>0</v>
      </c>
      <c r="AN2440" s="52" t="n">
        <v>0</v>
      </c>
      <c r="AO2440" s="53" t="n">
        <v>0</v>
      </c>
      <c r="AP2440" s="52" t="n">
        <v>0</v>
      </c>
      <c r="AQ2440" s="53" t="n">
        <v>0</v>
      </c>
      <c r="AR2440" s="52" t="n">
        <v>0</v>
      </c>
      <c r="AS2440" s="51" t="n">
        <v>0</v>
      </c>
      <c r="AT2440" s="48" t="n">
        <v>0</v>
      </c>
      <c r="AU2440" s="49" t="n">
        <v>0</v>
      </c>
      <c r="AV2440" s="49" t="n">
        <v>0</v>
      </c>
      <c r="AW2440" s="50" t="n">
        <v>0</v>
      </c>
      <c r="AX2440" s="51" t="n">
        <v>0</v>
      </c>
      <c r="AY2440" s="52" t="n">
        <v>0</v>
      </c>
      <c r="AZ2440" s="52" t="n">
        <v>0</v>
      </c>
      <c r="BA2440" s="52" t="n">
        <v>0</v>
      </c>
      <c r="BB2440" s="53" t="n">
        <v>0</v>
      </c>
      <c r="BC2440" s="52" t="n">
        <v>0</v>
      </c>
      <c r="BD2440" s="53" t="n">
        <v>0</v>
      </c>
      <c r="BE2440" s="52" t="n">
        <v>0</v>
      </c>
      <c r="BF2440" s="51" t="n">
        <v>0</v>
      </c>
    </row>
    <row r="2441">
      <c r="A2441">
        <f>HYPERLINK("https://www.walmart.com/ip/190744970", "190744970")</f>
        <v/>
      </c>
      <c r="B2441" t="inlineStr">
        <is>
          <t>JenniWears® Women's Stretch Mesh Bikini Panty with Open Back Heart Detail</t>
        </is>
      </c>
      <c r="C2441" t="inlineStr">
        <is>
          <t>JWPT02RD-XL</t>
        </is>
      </c>
      <c r="D2441" t="inlineStr">
        <is>
          <t>Panties</t>
        </is>
      </c>
      <c r="E2441" t="inlineStr">
        <is>
          <t>JenniWears</t>
        </is>
      </c>
      <c r="F2441" t="inlineStr">
        <is>
          <t>Valentine</t>
        </is>
      </c>
      <c r="G2441" s="48" t="n">
        <v>0</v>
      </c>
      <c r="H2441" s="49" t="n">
        <v>0</v>
      </c>
      <c r="I2441" s="49" t="n">
        <v>0</v>
      </c>
      <c r="J2441" s="50" t="n">
        <v>0</v>
      </c>
      <c r="K2441" s="51" t="n">
        <v>0</v>
      </c>
      <c r="L2441" s="52" t="n">
        <v>0</v>
      </c>
      <c r="M2441" s="52" t="n">
        <v>0</v>
      </c>
      <c r="N2441" s="52" t="n">
        <v>0</v>
      </c>
      <c r="O2441" s="53" t="n">
        <v>0</v>
      </c>
      <c r="P2441" s="52" t="n">
        <v>0</v>
      </c>
      <c r="Q2441" s="53" t="n">
        <v>0</v>
      </c>
      <c r="R2441" s="52" t="n">
        <v>0</v>
      </c>
      <c r="S2441" s="51" t="n">
        <v>0</v>
      </c>
      <c r="T2441" s="48" t="n">
        <v>0</v>
      </c>
      <c r="U2441" s="49" t="n">
        <v>0</v>
      </c>
      <c r="V2441" s="49" t="n">
        <v>0</v>
      </c>
      <c r="W2441" s="50" t="n">
        <v>0</v>
      </c>
      <c r="X2441" s="51" t="n">
        <v>0</v>
      </c>
      <c r="Y2441" s="52" t="n">
        <v>0</v>
      </c>
      <c r="Z2441" s="52" t="n">
        <v>0</v>
      </c>
      <c r="AA2441" s="52" t="n">
        <v>0</v>
      </c>
      <c r="AB2441" s="53" t="n">
        <v>0</v>
      </c>
      <c r="AC2441" s="52" t="n">
        <v>0</v>
      </c>
      <c r="AD2441" s="53" t="n">
        <v>0</v>
      </c>
      <c r="AE2441" s="52" t="n">
        <v>0</v>
      </c>
      <c r="AF2441" s="51" t="n">
        <v>0</v>
      </c>
      <c r="AG2441" s="48" t="n">
        <v>0</v>
      </c>
      <c r="AH2441" s="49" t="n">
        <v>0</v>
      </c>
      <c r="AI2441" s="49" t="n">
        <v>0</v>
      </c>
      <c r="AJ2441" s="50" t="n">
        <v>0</v>
      </c>
      <c r="AK2441" s="51" t="n">
        <v>0</v>
      </c>
      <c r="AL2441" s="52" t="n">
        <v>0</v>
      </c>
      <c r="AM2441" s="52" t="n">
        <v>0</v>
      </c>
      <c r="AN2441" s="52" t="n">
        <v>0</v>
      </c>
      <c r="AO2441" s="53" t="n">
        <v>0</v>
      </c>
      <c r="AP2441" s="52" t="n">
        <v>0</v>
      </c>
      <c r="AQ2441" s="53" t="n">
        <v>0</v>
      </c>
      <c r="AR2441" s="52" t="n">
        <v>0</v>
      </c>
      <c r="AS2441" s="51" t="n">
        <v>0</v>
      </c>
      <c r="AT2441" s="48" t="n">
        <v>0</v>
      </c>
      <c r="AU2441" s="49" t="n">
        <v>0</v>
      </c>
      <c r="AV2441" s="49" t="n">
        <v>0</v>
      </c>
      <c r="AW2441" s="50" t="n">
        <v>0</v>
      </c>
      <c r="AX2441" s="51" t="n">
        <v>0</v>
      </c>
      <c r="AY2441" s="52" t="n">
        <v>0</v>
      </c>
      <c r="AZ2441" s="52" t="n">
        <v>0</v>
      </c>
      <c r="BA2441" s="52" t="n">
        <v>0</v>
      </c>
      <c r="BB2441" s="53" t="n">
        <v>0</v>
      </c>
      <c r="BC2441" s="52" t="n">
        <v>0</v>
      </c>
      <c r="BD2441" s="53" t="n">
        <v>0</v>
      </c>
      <c r="BE2441" s="52" t="n">
        <v>0</v>
      </c>
      <c r="BF2441" s="51" t="n">
        <v>0</v>
      </c>
    </row>
    <row r="2442">
      <c r="A2442">
        <f>HYPERLINK("https://www.walmart.com/ip/999603406", "999603406")</f>
        <v/>
      </c>
      <c r="B2442" t="inlineStr">
        <is>
          <t>Tirrinia Insulated Lunch Bag for Women Men, Leakproof Thermal Reusable Lunch Box Tote for Adult &amp; Kids by Tirrinia, Lunch Cooler for Office Work, Black</t>
        </is>
      </c>
      <c r="C2442" t="inlineStr">
        <is>
          <t>1TRLB701P1BK</t>
        </is>
      </c>
      <c r="D2442" t="inlineStr">
        <is>
          <t>Reusable Lunch Bags &amp; Boxes</t>
        </is>
      </c>
      <c r="E2442" t="inlineStr">
        <is>
          <t>Tirrinia</t>
        </is>
      </c>
      <c r="F2442" t="inlineStr">
        <is>
          <t>Q2-Target,Brand Camp VD,Lunch Bag,Optimized,Lunch Bags</t>
        </is>
      </c>
      <c r="G2442" s="48" t="n">
        <v>0</v>
      </c>
      <c r="H2442" s="49" t="n">
        <v>0</v>
      </c>
      <c r="I2442" s="49" t="n">
        <v>0</v>
      </c>
      <c r="J2442" s="50" t="n">
        <v>0</v>
      </c>
      <c r="K2442" s="51" t="n">
        <v>0</v>
      </c>
      <c r="L2442" s="52" t="n">
        <v>0</v>
      </c>
      <c r="M2442" s="52" t="n">
        <v>0</v>
      </c>
      <c r="N2442" s="52" t="n">
        <v>0</v>
      </c>
      <c r="O2442" s="53" t="n">
        <v>0</v>
      </c>
      <c r="P2442" s="52" t="n">
        <v>0</v>
      </c>
      <c r="Q2442" s="53" t="n">
        <v>0</v>
      </c>
      <c r="R2442" s="52" t="n">
        <v>0</v>
      </c>
      <c r="S2442" s="51" t="n">
        <v>0</v>
      </c>
      <c r="T2442" s="48" t="n">
        <v>0</v>
      </c>
      <c r="U2442" s="49" t="n">
        <v>0</v>
      </c>
      <c r="V2442" s="49" t="n">
        <v>0</v>
      </c>
      <c r="W2442" s="50" t="n">
        <v>0</v>
      </c>
      <c r="X2442" s="51" t="n">
        <v>0</v>
      </c>
      <c r="Y2442" s="52" t="n">
        <v>0</v>
      </c>
      <c r="Z2442" s="52" t="n">
        <v>0</v>
      </c>
      <c r="AA2442" s="52" t="n">
        <v>0</v>
      </c>
      <c r="AB2442" s="53" t="n">
        <v>0</v>
      </c>
      <c r="AC2442" s="52" t="n">
        <v>0</v>
      </c>
      <c r="AD2442" s="53" t="n">
        <v>0</v>
      </c>
      <c r="AE2442" s="52" t="n">
        <v>0</v>
      </c>
      <c r="AF2442" s="51" t="n">
        <v>0</v>
      </c>
      <c r="AG2442" s="48" t="n">
        <v>0</v>
      </c>
      <c r="AH2442" s="49" t="n">
        <v>0</v>
      </c>
      <c r="AI2442" s="49" t="n">
        <v>0</v>
      </c>
      <c r="AJ2442" s="50" t="n">
        <v>0</v>
      </c>
      <c r="AK2442" s="51" t="n">
        <v>0</v>
      </c>
      <c r="AL2442" s="52" t="n">
        <v>0</v>
      </c>
      <c r="AM2442" s="52" t="n">
        <v>0</v>
      </c>
      <c r="AN2442" s="52" t="n">
        <v>0</v>
      </c>
      <c r="AO2442" s="53" t="n">
        <v>0</v>
      </c>
      <c r="AP2442" s="52" t="n">
        <v>0</v>
      </c>
      <c r="AQ2442" s="53" t="n">
        <v>0</v>
      </c>
      <c r="AR2442" s="52" t="n">
        <v>0</v>
      </c>
      <c r="AS2442" s="51" t="n">
        <v>0</v>
      </c>
      <c r="AT2442" s="48" t="n">
        <v>0</v>
      </c>
      <c r="AU2442" s="49" t="n">
        <v>0</v>
      </c>
      <c r="AV2442" s="49" t="n">
        <v>0</v>
      </c>
      <c r="AW2442" s="50" t="n">
        <v>0</v>
      </c>
      <c r="AX2442" s="51" t="n">
        <v>0</v>
      </c>
      <c r="AY2442" s="52" t="n">
        <v>0</v>
      </c>
      <c r="AZ2442" s="52" t="n">
        <v>0</v>
      </c>
      <c r="BA2442" s="52" t="n">
        <v>0</v>
      </c>
      <c r="BB2442" s="53" t="n">
        <v>0</v>
      </c>
      <c r="BC2442" s="52" t="n">
        <v>0</v>
      </c>
      <c r="BD2442" s="53" t="n">
        <v>0</v>
      </c>
      <c r="BE2442" s="52" t="n">
        <v>0</v>
      </c>
      <c r="BF2442" s="51" t="n">
        <v>0</v>
      </c>
    </row>
    <row r="2443">
      <c r="A2443">
        <f>HYPERLINK("https://www.walmart.com/ip/190285012", "190285012")</f>
        <v/>
      </c>
      <c r="B2443" t="inlineStr">
        <is>
          <t>Terra Faux Fur Pom Pom Beanie Hat Thick Slouchy Cable Knit Soft Warm Micro Fleece Lined Unisex Stretches to Fit Most</t>
        </is>
      </c>
      <c r="C2443" t="inlineStr">
        <is>
          <t>TERRAPPH01BL</t>
        </is>
      </c>
      <c r="D2443" t="inlineStr">
        <is>
          <t>Hats</t>
        </is>
      </c>
      <c r="E2443" t="inlineStr">
        <is>
          <t>Terra</t>
        </is>
      </c>
      <c r="F2443" t="inlineStr">
        <is>
          <t>Optimized</t>
        </is>
      </c>
      <c r="G2443" s="48" t="n">
        <v>0</v>
      </c>
      <c r="H2443" s="49" t="n">
        <v>0</v>
      </c>
      <c r="I2443" s="49" t="n">
        <v>0</v>
      </c>
      <c r="J2443" s="50" t="n">
        <v>0</v>
      </c>
      <c r="K2443" s="51" t="n">
        <v>0</v>
      </c>
      <c r="L2443" s="52" t="n">
        <v>0</v>
      </c>
      <c r="M2443" s="52" t="n">
        <v>0</v>
      </c>
      <c r="N2443" s="52" t="n">
        <v>0</v>
      </c>
      <c r="O2443" s="53" t="n">
        <v>0</v>
      </c>
      <c r="P2443" s="52" t="n">
        <v>0</v>
      </c>
      <c r="Q2443" s="53" t="n">
        <v>0</v>
      </c>
      <c r="R2443" s="52" t="n">
        <v>0</v>
      </c>
      <c r="S2443" s="51" t="n">
        <v>0</v>
      </c>
      <c r="T2443" s="48" t="n">
        <v>0</v>
      </c>
      <c r="U2443" s="49" t="n">
        <v>0</v>
      </c>
      <c r="V2443" s="49" t="n">
        <v>0</v>
      </c>
      <c r="W2443" s="50" t="n">
        <v>0</v>
      </c>
      <c r="X2443" s="51" t="n">
        <v>0</v>
      </c>
      <c r="Y2443" s="52" t="n">
        <v>0</v>
      </c>
      <c r="Z2443" s="52" t="n">
        <v>0</v>
      </c>
      <c r="AA2443" s="52" t="n">
        <v>0</v>
      </c>
      <c r="AB2443" s="53" t="n">
        <v>0</v>
      </c>
      <c r="AC2443" s="52" t="n">
        <v>0</v>
      </c>
      <c r="AD2443" s="53" t="n">
        <v>0</v>
      </c>
      <c r="AE2443" s="52" t="n">
        <v>0</v>
      </c>
      <c r="AF2443" s="51" t="n">
        <v>0</v>
      </c>
      <c r="AG2443" s="48" t="n">
        <v>0</v>
      </c>
      <c r="AH2443" s="49" t="n">
        <v>0</v>
      </c>
      <c r="AI2443" s="49" t="n">
        <v>0</v>
      </c>
      <c r="AJ2443" s="50" t="n">
        <v>0</v>
      </c>
      <c r="AK2443" s="51" t="n">
        <v>0</v>
      </c>
      <c r="AL2443" s="52" t="n">
        <v>0</v>
      </c>
      <c r="AM2443" s="52" t="n">
        <v>0</v>
      </c>
      <c r="AN2443" s="52" t="n">
        <v>0</v>
      </c>
      <c r="AO2443" s="53" t="n">
        <v>0</v>
      </c>
      <c r="AP2443" s="52" t="n">
        <v>0</v>
      </c>
      <c r="AQ2443" s="53" t="n">
        <v>0</v>
      </c>
      <c r="AR2443" s="52" t="n">
        <v>0</v>
      </c>
      <c r="AS2443" s="51" t="n">
        <v>0</v>
      </c>
      <c r="AT2443" s="48" t="n">
        <v>0</v>
      </c>
      <c r="AU2443" s="49" t="n">
        <v>0</v>
      </c>
      <c r="AV2443" s="49" t="n">
        <v>0</v>
      </c>
      <c r="AW2443" s="50" t="n">
        <v>0</v>
      </c>
      <c r="AX2443" s="51" t="n">
        <v>0</v>
      </c>
      <c r="AY2443" s="52" t="n">
        <v>0</v>
      </c>
      <c r="AZ2443" s="52" t="n">
        <v>0</v>
      </c>
      <c r="BA2443" s="52" t="n">
        <v>0</v>
      </c>
      <c r="BB2443" s="53" t="n">
        <v>0</v>
      </c>
      <c r="BC2443" s="52" t="n">
        <v>0</v>
      </c>
      <c r="BD2443" s="53" t="n">
        <v>0</v>
      </c>
      <c r="BE2443" s="52" t="n">
        <v>0</v>
      </c>
      <c r="BF2443" s="51" t="n">
        <v>0</v>
      </c>
    </row>
    <row r="2444">
      <c r="A2444">
        <f>HYPERLINK("https://www.walmart.com/ip/184302994", "184302994")</f>
        <v/>
      </c>
      <c r="B2444" t="inlineStr">
        <is>
          <t>Terra Outdoor Flexible Running Fuel Belt &amp; Fitness Workout Belt for Women and Men - Best Exercise Waist Pack - Sports Travel Money Belt - Fanny Pack Runner Safety Reflective Waist Belt with Pockets</t>
        </is>
      </c>
      <c r="C2444" t="inlineStr">
        <is>
          <t>TERRA-5NG-M</t>
        </is>
      </c>
      <c r="D2444" t="inlineStr">
        <is>
          <t>Running Belts</t>
        </is>
      </c>
      <c r="E2444" t="inlineStr">
        <is>
          <t>Terra</t>
        </is>
      </c>
      <c r="F2444" t="inlineStr">
        <is>
          <t>Optimized</t>
        </is>
      </c>
      <c r="G2444" s="48" t="n">
        <v>0</v>
      </c>
      <c r="H2444" s="49" t="n">
        <v>0</v>
      </c>
      <c r="I2444" s="49" t="n">
        <v>0</v>
      </c>
      <c r="J2444" s="50" t="n">
        <v>0</v>
      </c>
      <c r="K2444" s="51" t="n">
        <v>0</v>
      </c>
      <c r="L2444" s="52" t="n">
        <v>0</v>
      </c>
      <c r="M2444" s="52" t="n">
        <v>0</v>
      </c>
      <c r="N2444" s="52" t="n">
        <v>0</v>
      </c>
      <c r="O2444" s="53" t="n">
        <v>0</v>
      </c>
      <c r="P2444" s="52" t="n">
        <v>0</v>
      </c>
      <c r="Q2444" s="53" t="n">
        <v>0</v>
      </c>
      <c r="R2444" s="52" t="n">
        <v>0</v>
      </c>
      <c r="S2444" s="51" t="n">
        <v>0</v>
      </c>
      <c r="T2444" s="48" t="n">
        <v>0</v>
      </c>
      <c r="U2444" s="49" t="n">
        <v>0</v>
      </c>
      <c r="V2444" s="49" t="n">
        <v>0</v>
      </c>
      <c r="W2444" s="50" t="n">
        <v>0</v>
      </c>
      <c r="X2444" s="51" t="n">
        <v>0</v>
      </c>
      <c r="Y2444" s="52" t="n">
        <v>0</v>
      </c>
      <c r="Z2444" s="52" t="n">
        <v>0</v>
      </c>
      <c r="AA2444" s="52" t="n">
        <v>0</v>
      </c>
      <c r="AB2444" s="53" t="n">
        <v>0</v>
      </c>
      <c r="AC2444" s="52" t="n">
        <v>0</v>
      </c>
      <c r="AD2444" s="53" t="n">
        <v>0</v>
      </c>
      <c r="AE2444" s="52" t="n">
        <v>0</v>
      </c>
      <c r="AF2444" s="51" t="n">
        <v>0</v>
      </c>
      <c r="AG2444" s="48" t="n">
        <v>0</v>
      </c>
      <c r="AH2444" s="49" t="n">
        <v>0</v>
      </c>
      <c r="AI2444" s="49" t="n">
        <v>0</v>
      </c>
      <c r="AJ2444" s="50" t="n">
        <v>0</v>
      </c>
      <c r="AK2444" s="51" t="n">
        <v>0</v>
      </c>
      <c r="AL2444" s="52" t="n">
        <v>0</v>
      </c>
      <c r="AM2444" s="52" t="n">
        <v>0</v>
      </c>
      <c r="AN2444" s="52" t="n">
        <v>0</v>
      </c>
      <c r="AO2444" s="53" t="n">
        <v>0</v>
      </c>
      <c r="AP2444" s="52" t="n">
        <v>0</v>
      </c>
      <c r="AQ2444" s="53" t="n">
        <v>0</v>
      </c>
      <c r="AR2444" s="52" t="n">
        <v>0</v>
      </c>
      <c r="AS2444" s="51" t="n">
        <v>0</v>
      </c>
      <c r="AT2444" s="48" t="n">
        <v>0</v>
      </c>
      <c r="AU2444" s="49" t="n">
        <v>0</v>
      </c>
      <c r="AV2444" s="49" t="n">
        <v>0</v>
      </c>
      <c r="AW2444" s="50" t="n">
        <v>0</v>
      </c>
      <c r="AX2444" s="51" t="n">
        <v>0</v>
      </c>
      <c r="AY2444" s="52" t="n">
        <v>0</v>
      </c>
      <c r="AZ2444" s="52" t="n">
        <v>0</v>
      </c>
      <c r="BA2444" s="52" t="n">
        <v>0</v>
      </c>
      <c r="BB2444" s="53" t="n">
        <v>0</v>
      </c>
      <c r="BC2444" s="52" t="n">
        <v>0</v>
      </c>
      <c r="BD2444" s="53" t="n">
        <v>0</v>
      </c>
      <c r="BE2444" s="52" t="n">
        <v>0</v>
      </c>
      <c r="BF2444" s="51" t="n">
        <v>0</v>
      </c>
    </row>
    <row r="2445">
      <c r="A2445">
        <f>HYPERLINK("https://www.walmart.com/ip/184413030", "184413030")</f>
        <v/>
      </c>
      <c r="B2445" t="inlineStr">
        <is>
          <t>Tirrinia Floppy Straw Sun Hat for Women Striped Foldable Beach Cap with Wide Brim Tan</t>
        </is>
      </c>
      <c r="C2445" t="inlineStr">
        <is>
          <t>1TRSH371TN-TBCB</t>
        </is>
      </c>
      <c r="D2445" t="inlineStr">
        <is>
          <t>Hats</t>
        </is>
      </c>
      <c r="E2445" t="inlineStr">
        <is>
          <t>Tirrinia</t>
        </is>
      </c>
      <c r="F2445" t="inlineStr">
        <is>
          <t>WFS,WFS Item</t>
        </is>
      </c>
      <c r="G2445" s="48" t="n">
        <v>0</v>
      </c>
      <c r="H2445" s="49" t="n">
        <v>0</v>
      </c>
      <c r="I2445" s="49" t="n">
        <v>0</v>
      </c>
      <c r="J2445" s="50" t="n">
        <v>0</v>
      </c>
      <c r="K2445" s="51" t="n">
        <v>0</v>
      </c>
      <c r="L2445" s="52" t="n">
        <v>0</v>
      </c>
      <c r="M2445" s="52" t="n">
        <v>0</v>
      </c>
      <c r="N2445" s="52" t="n">
        <v>0</v>
      </c>
      <c r="O2445" s="53" t="n">
        <v>0</v>
      </c>
      <c r="P2445" s="52" t="n">
        <v>0</v>
      </c>
      <c r="Q2445" s="53" t="n">
        <v>0</v>
      </c>
      <c r="R2445" s="52" t="n">
        <v>0</v>
      </c>
      <c r="S2445" s="51" t="n">
        <v>0</v>
      </c>
      <c r="T2445" s="48" t="n">
        <v>0</v>
      </c>
      <c r="U2445" s="49" t="n">
        <v>0</v>
      </c>
      <c r="V2445" s="49" t="n">
        <v>0</v>
      </c>
      <c r="W2445" s="50" t="n">
        <v>0</v>
      </c>
      <c r="X2445" s="51" t="n">
        <v>0</v>
      </c>
      <c r="Y2445" s="52" t="n">
        <v>0</v>
      </c>
      <c r="Z2445" s="52" t="n">
        <v>0</v>
      </c>
      <c r="AA2445" s="52" t="n">
        <v>0</v>
      </c>
      <c r="AB2445" s="53" t="n">
        <v>0</v>
      </c>
      <c r="AC2445" s="52" t="n">
        <v>0</v>
      </c>
      <c r="AD2445" s="53" t="n">
        <v>0</v>
      </c>
      <c r="AE2445" s="52" t="n">
        <v>0</v>
      </c>
      <c r="AF2445" s="51" t="n">
        <v>0</v>
      </c>
      <c r="AG2445" s="48" t="n">
        <v>0</v>
      </c>
      <c r="AH2445" s="49" t="n">
        <v>0</v>
      </c>
      <c r="AI2445" s="49" t="n">
        <v>0</v>
      </c>
      <c r="AJ2445" s="50" t="n">
        <v>0</v>
      </c>
      <c r="AK2445" s="51" t="n">
        <v>0</v>
      </c>
      <c r="AL2445" s="52" t="n">
        <v>0</v>
      </c>
      <c r="AM2445" s="52" t="n">
        <v>0</v>
      </c>
      <c r="AN2445" s="52" t="n">
        <v>0</v>
      </c>
      <c r="AO2445" s="53" t="n">
        <v>0</v>
      </c>
      <c r="AP2445" s="52" t="n">
        <v>0</v>
      </c>
      <c r="AQ2445" s="53" t="n">
        <v>0</v>
      </c>
      <c r="AR2445" s="52" t="n">
        <v>0</v>
      </c>
      <c r="AS2445" s="51" t="n">
        <v>0</v>
      </c>
      <c r="AT2445" s="48" t="n">
        <v>0</v>
      </c>
      <c r="AU2445" s="49" t="n">
        <v>0</v>
      </c>
      <c r="AV2445" s="49" t="n">
        <v>0</v>
      </c>
      <c r="AW2445" s="50" t="n">
        <v>0</v>
      </c>
      <c r="AX2445" s="51" t="n">
        <v>0</v>
      </c>
      <c r="AY2445" s="52" t="n">
        <v>0</v>
      </c>
      <c r="AZ2445" s="52" t="n">
        <v>0</v>
      </c>
      <c r="BA2445" s="52" t="n">
        <v>0</v>
      </c>
      <c r="BB2445" s="53" t="n">
        <v>0</v>
      </c>
      <c r="BC2445" s="52" t="n">
        <v>0</v>
      </c>
      <c r="BD2445" s="53" t="n">
        <v>0</v>
      </c>
      <c r="BE2445" s="52" t="n">
        <v>0</v>
      </c>
      <c r="BF2445" s="51" t="n">
        <v>0</v>
      </c>
    </row>
    <row r="2446">
      <c r="A2446">
        <f>HYPERLINK("https://www.walmart.com/ip/184708422", "184708422")</f>
        <v/>
      </c>
      <c r="B2446" t="inlineStr">
        <is>
          <t>Deluxe Stylish Microplush Sleeved Fleece Blanket Soft Home Sofa Snuggie</t>
        </is>
      </c>
      <c r="C2446" t="inlineStr">
        <is>
          <t>k3000-cheetah</t>
        </is>
      </c>
      <c r="D2446" t="inlineStr">
        <is>
          <t>Throws</t>
        </is>
      </c>
      <c r="E2446" t="inlineStr">
        <is>
          <t>NAPA</t>
        </is>
      </c>
      <c r="F2446" t="inlineStr">
        <is>
          <t>Batch 1 - TR</t>
        </is>
      </c>
      <c r="G2446" s="48" t="n">
        <v>0</v>
      </c>
      <c r="H2446" s="49" t="n">
        <v>0</v>
      </c>
      <c r="I2446" s="49" t="n">
        <v>0</v>
      </c>
      <c r="J2446" s="50" t="n">
        <v>0</v>
      </c>
      <c r="K2446" s="51" t="n">
        <v>0</v>
      </c>
      <c r="L2446" s="52" t="n">
        <v>0</v>
      </c>
      <c r="M2446" s="52" t="n">
        <v>0</v>
      </c>
      <c r="N2446" s="52" t="n">
        <v>0</v>
      </c>
      <c r="O2446" s="53" t="n">
        <v>0</v>
      </c>
      <c r="P2446" s="52" t="n">
        <v>0</v>
      </c>
      <c r="Q2446" s="53" t="n">
        <v>0</v>
      </c>
      <c r="R2446" s="52" t="n">
        <v>0</v>
      </c>
      <c r="S2446" s="51" t="n">
        <v>0</v>
      </c>
      <c r="T2446" s="48" t="n">
        <v>0</v>
      </c>
      <c r="U2446" s="49" t="n">
        <v>0</v>
      </c>
      <c r="V2446" s="49" t="n">
        <v>0</v>
      </c>
      <c r="W2446" s="50" t="n">
        <v>0</v>
      </c>
      <c r="X2446" s="51" t="n">
        <v>0</v>
      </c>
      <c r="Y2446" s="52" t="n">
        <v>0</v>
      </c>
      <c r="Z2446" s="52" t="n">
        <v>0</v>
      </c>
      <c r="AA2446" s="52" t="n">
        <v>0</v>
      </c>
      <c r="AB2446" s="53" t="n">
        <v>0</v>
      </c>
      <c r="AC2446" s="52" t="n">
        <v>0</v>
      </c>
      <c r="AD2446" s="53" t="n">
        <v>0</v>
      </c>
      <c r="AE2446" s="52" t="n">
        <v>0</v>
      </c>
      <c r="AF2446" s="51" t="n">
        <v>0</v>
      </c>
      <c r="AG2446" s="48" t="n">
        <v>0</v>
      </c>
      <c r="AH2446" s="49" t="n">
        <v>0</v>
      </c>
      <c r="AI2446" s="49" t="n">
        <v>0</v>
      </c>
      <c r="AJ2446" s="50" t="n">
        <v>0</v>
      </c>
      <c r="AK2446" s="51" t="n">
        <v>0</v>
      </c>
      <c r="AL2446" s="52" t="n">
        <v>0</v>
      </c>
      <c r="AM2446" s="52" t="n">
        <v>0</v>
      </c>
      <c r="AN2446" s="52" t="n">
        <v>0</v>
      </c>
      <c r="AO2446" s="53" t="n">
        <v>0</v>
      </c>
      <c r="AP2446" s="52" t="n">
        <v>0</v>
      </c>
      <c r="AQ2446" s="53" t="n">
        <v>0</v>
      </c>
      <c r="AR2446" s="52" t="n">
        <v>0</v>
      </c>
      <c r="AS2446" s="51" t="n">
        <v>0</v>
      </c>
      <c r="AT2446" s="48" t="n">
        <v>0</v>
      </c>
      <c r="AU2446" s="49" t="n">
        <v>0</v>
      </c>
      <c r="AV2446" s="49" t="n">
        <v>0</v>
      </c>
      <c r="AW2446" s="50" t="n">
        <v>0</v>
      </c>
      <c r="AX2446" s="51" t="n">
        <v>0</v>
      </c>
      <c r="AY2446" s="52" t="n">
        <v>0</v>
      </c>
      <c r="AZ2446" s="52" t="n">
        <v>0</v>
      </c>
      <c r="BA2446" s="52" t="n">
        <v>0</v>
      </c>
      <c r="BB2446" s="53" t="n">
        <v>0</v>
      </c>
      <c r="BC2446" s="52" t="n">
        <v>0</v>
      </c>
      <c r="BD2446" s="53" t="n">
        <v>0</v>
      </c>
      <c r="BE2446" s="52" t="n">
        <v>0</v>
      </c>
      <c r="BF2446" s="51" t="n">
        <v>0</v>
      </c>
    </row>
    <row r="2447">
      <c r="A2447">
        <f>HYPERLINK("https://www.walmart.com/ip/1847913758", "1847913758")</f>
        <v/>
      </c>
      <c r="B2447" t="inlineStr">
        <is>
          <t>Unisex Hunting Fishing Cap Adjustable 3D Embroidery Baseball Hat with Air Mesh Back</t>
        </is>
      </c>
      <c r="C2447" t="inlineStr">
        <is>
          <t>1TRHT7180TREE-12pcs</t>
        </is>
      </c>
      <c r="D2447" t="inlineStr">
        <is>
          <t>Hats</t>
        </is>
      </c>
      <c r="E2447" t="inlineStr">
        <is>
          <t>Tirrinia</t>
        </is>
      </c>
      <c r="G2447" s="48" t="n">
        <v>0</v>
      </c>
      <c r="H2447" s="49" t="n">
        <v>0</v>
      </c>
      <c r="I2447" s="49" t="n">
        <v>0</v>
      </c>
      <c r="J2447" s="50" t="n">
        <v>0</v>
      </c>
      <c r="K2447" s="51" t="n">
        <v>0</v>
      </c>
      <c r="L2447" s="52" t="n">
        <v>0</v>
      </c>
      <c r="M2447" s="52" t="n">
        <v>0</v>
      </c>
      <c r="N2447" s="52" t="n">
        <v>0</v>
      </c>
      <c r="O2447" s="53" t="n">
        <v>0</v>
      </c>
      <c r="P2447" s="52" t="n">
        <v>0</v>
      </c>
      <c r="Q2447" s="53" t="n">
        <v>0</v>
      </c>
      <c r="R2447" s="52" t="n">
        <v>0</v>
      </c>
      <c r="S2447" s="51" t="n">
        <v>0</v>
      </c>
      <c r="T2447" s="48" t="n">
        <v>0</v>
      </c>
      <c r="U2447" s="49" t="n">
        <v>0</v>
      </c>
      <c r="V2447" s="49" t="n">
        <v>0</v>
      </c>
      <c r="W2447" s="50" t="n">
        <v>0</v>
      </c>
      <c r="X2447" s="51" t="n">
        <v>0</v>
      </c>
      <c r="Y2447" s="52" t="n">
        <v>0</v>
      </c>
      <c r="Z2447" s="52" t="n">
        <v>0</v>
      </c>
      <c r="AA2447" s="52" t="n">
        <v>0</v>
      </c>
      <c r="AB2447" s="53" t="n">
        <v>0</v>
      </c>
      <c r="AC2447" s="52" t="n">
        <v>0</v>
      </c>
      <c r="AD2447" s="53" t="n">
        <v>0</v>
      </c>
      <c r="AE2447" s="52" t="n">
        <v>0</v>
      </c>
      <c r="AF2447" s="51" t="n">
        <v>0</v>
      </c>
      <c r="AG2447" s="48" t="n">
        <v>0</v>
      </c>
      <c r="AH2447" s="49" t="n">
        <v>0</v>
      </c>
      <c r="AI2447" s="49" t="n">
        <v>0</v>
      </c>
      <c r="AJ2447" s="50" t="n">
        <v>0</v>
      </c>
      <c r="AK2447" s="51" t="n">
        <v>0</v>
      </c>
      <c r="AL2447" s="52" t="n">
        <v>0</v>
      </c>
      <c r="AM2447" s="52" t="n">
        <v>0</v>
      </c>
      <c r="AN2447" s="52" t="n">
        <v>0</v>
      </c>
      <c r="AO2447" s="53" t="n">
        <v>0</v>
      </c>
      <c r="AP2447" s="52" t="n">
        <v>0</v>
      </c>
      <c r="AQ2447" s="53" t="n">
        <v>0</v>
      </c>
      <c r="AR2447" s="52" t="n">
        <v>0</v>
      </c>
      <c r="AS2447" s="51" t="n">
        <v>0</v>
      </c>
      <c r="AT2447" s="48" t="n">
        <v>0</v>
      </c>
      <c r="AU2447" s="49" t="n">
        <v>0</v>
      </c>
      <c r="AV2447" s="49" t="n">
        <v>0</v>
      </c>
      <c r="AW2447" s="50" t="n">
        <v>0</v>
      </c>
      <c r="AX2447" s="51" t="n">
        <v>0</v>
      </c>
      <c r="AY2447" s="52" t="n">
        <v>0</v>
      </c>
      <c r="AZ2447" s="52" t="n">
        <v>0</v>
      </c>
      <c r="BA2447" s="52" t="n">
        <v>0</v>
      </c>
      <c r="BB2447" s="53" t="n">
        <v>0</v>
      </c>
      <c r="BC2447" s="52" t="n">
        <v>0</v>
      </c>
      <c r="BD2447" s="53" t="n">
        <v>0</v>
      </c>
      <c r="BE2447" s="52" t="n">
        <v>0</v>
      </c>
      <c r="BF2447" s="51" t="n">
        <v>0</v>
      </c>
    </row>
    <row r="2448">
      <c r="A2448">
        <f>HYPERLINK("https://www.walmart.com/ip/184833020", "184833020")</f>
        <v/>
      </c>
      <c r="B2448" t="inlineStr">
        <is>
          <t>Catalonia Adult Knitted Mermaid Tail Blanket with Anti-Slip Neck Strap Soft Snuggie Throw All Seasons Sleep Bag 66.5” x</t>
        </is>
      </c>
      <c r="C2448" t="inlineStr">
        <is>
          <t>1CTMM100BL</t>
        </is>
      </c>
      <c r="D2448" t="inlineStr">
        <is>
          <t>Throws</t>
        </is>
      </c>
      <c r="E2448" t="inlineStr">
        <is>
          <t>Catalonia</t>
        </is>
      </c>
      <c r="F2448" t="inlineStr">
        <is>
          <t>Optimized</t>
        </is>
      </c>
      <c r="G2448" s="48" t="n">
        <v>0</v>
      </c>
      <c r="H2448" s="49" t="n">
        <v>0</v>
      </c>
      <c r="I2448" s="49" t="n">
        <v>0</v>
      </c>
      <c r="J2448" s="50" t="n">
        <v>0</v>
      </c>
      <c r="K2448" s="51" t="n">
        <v>0</v>
      </c>
      <c r="L2448" s="52" t="n">
        <v>0</v>
      </c>
      <c r="M2448" s="52" t="n">
        <v>0</v>
      </c>
      <c r="N2448" s="52" t="n">
        <v>0</v>
      </c>
      <c r="O2448" s="53" t="n">
        <v>0</v>
      </c>
      <c r="P2448" s="52" t="n">
        <v>0</v>
      </c>
      <c r="Q2448" s="53" t="n">
        <v>0</v>
      </c>
      <c r="R2448" s="52" t="n">
        <v>0</v>
      </c>
      <c r="S2448" s="51" t="n">
        <v>0</v>
      </c>
      <c r="T2448" s="48" t="n">
        <v>0</v>
      </c>
      <c r="U2448" s="49" t="n">
        <v>0</v>
      </c>
      <c r="V2448" s="49" t="n">
        <v>0</v>
      </c>
      <c r="W2448" s="50" t="n">
        <v>0</v>
      </c>
      <c r="X2448" s="51" t="n">
        <v>0</v>
      </c>
      <c r="Y2448" s="52" t="n">
        <v>0</v>
      </c>
      <c r="Z2448" s="52" t="n">
        <v>0</v>
      </c>
      <c r="AA2448" s="52" t="n">
        <v>0</v>
      </c>
      <c r="AB2448" s="53" t="n">
        <v>0</v>
      </c>
      <c r="AC2448" s="52" t="n">
        <v>0</v>
      </c>
      <c r="AD2448" s="53" t="n">
        <v>0</v>
      </c>
      <c r="AE2448" s="52" t="n">
        <v>0</v>
      </c>
      <c r="AF2448" s="51" t="n">
        <v>0</v>
      </c>
      <c r="AG2448" s="48" t="n">
        <v>0</v>
      </c>
      <c r="AH2448" s="49" t="n">
        <v>0</v>
      </c>
      <c r="AI2448" s="49" t="n">
        <v>0</v>
      </c>
      <c r="AJ2448" s="50" t="n">
        <v>0</v>
      </c>
      <c r="AK2448" s="51" t="n">
        <v>0</v>
      </c>
      <c r="AL2448" s="52" t="n">
        <v>0</v>
      </c>
      <c r="AM2448" s="52" t="n">
        <v>0</v>
      </c>
      <c r="AN2448" s="52" t="n">
        <v>0</v>
      </c>
      <c r="AO2448" s="53" t="n">
        <v>0</v>
      </c>
      <c r="AP2448" s="52" t="n">
        <v>0</v>
      </c>
      <c r="AQ2448" s="53" t="n">
        <v>0</v>
      </c>
      <c r="AR2448" s="52" t="n">
        <v>0</v>
      </c>
      <c r="AS2448" s="51" t="n">
        <v>0</v>
      </c>
      <c r="AT2448" s="48" t="n">
        <v>0</v>
      </c>
      <c r="AU2448" s="49" t="n">
        <v>0</v>
      </c>
      <c r="AV2448" s="49" t="n">
        <v>0</v>
      </c>
      <c r="AW2448" s="50" t="n">
        <v>0</v>
      </c>
      <c r="AX2448" s="51" t="n">
        <v>0</v>
      </c>
      <c r="AY2448" s="52" t="n">
        <v>0</v>
      </c>
      <c r="AZ2448" s="52" t="n">
        <v>0</v>
      </c>
      <c r="BA2448" s="52" t="n">
        <v>0</v>
      </c>
      <c r="BB2448" s="53" t="n">
        <v>0</v>
      </c>
      <c r="BC2448" s="52" t="n">
        <v>0</v>
      </c>
      <c r="BD2448" s="53" t="n">
        <v>0</v>
      </c>
      <c r="BE2448" s="52" t="n">
        <v>0</v>
      </c>
      <c r="BF2448" s="51" t="n">
        <v>0</v>
      </c>
    </row>
    <row r="2449">
      <c r="A2449">
        <f>HYPERLINK("https://www.walmart.com/ip/184938055", "184938055")</f>
        <v/>
      </c>
      <c r="B2449" t="inlineStr">
        <is>
          <t>Vina 2-Bottle Wine Tote Carrier, Insulated Travel Wine Cooler Bag with Leather Handles, Grey</t>
        </is>
      </c>
      <c r="C2449" t="inlineStr">
        <is>
          <t>VINAWB007GY</t>
        </is>
      </c>
      <c r="D2449" t="inlineStr">
        <is>
          <t>Wine Totes, Bags &amp; Backpacks</t>
        </is>
      </c>
      <c r="E2449" t="inlineStr">
        <is>
          <t>Vina</t>
        </is>
      </c>
      <c r="F2449" t="inlineStr">
        <is>
          <t>Wine,Christmas,Optimized,Valentine</t>
        </is>
      </c>
      <c r="G2449" s="48" t="n">
        <v>0</v>
      </c>
      <c r="H2449" s="49" t="n">
        <v>0</v>
      </c>
      <c r="I2449" s="49" t="n">
        <v>0</v>
      </c>
      <c r="J2449" s="50" t="n">
        <v>0</v>
      </c>
      <c r="K2449" s="51" t="n">
        <v>0</v>
      </c>
      <c r="L2449" s="52" t="n">
        <v>0</v>
      </c>
      <c r="M2449" s="52" t="n">
        <v>0</v>
      </c>
      <c r="N2449" s="52" t="n">
        <v>0</v>
      </c>
      <c r="O2449" s="53" t="n">
        <v>0</v>
      </c>
      <c r="P2449" s="52" t="n">
        <v>0</v>
      </c>
      <c r="Q2449" s="53" t="n">
        <v>0</v>
      </c>
      <c r="R2449" s="52" t="n">
        <v>0</v>
      </c>
      <c r="S2449" s="51" t="n">
        <v>0</v>
      </c>
      <c r="T2449" s="48" t="n">
        <v>0</v>
      </c>
      <c r="U2449" s="49" t="n">
        <v>0</v>
      </c>
      <c r="V2449" s="49" t="n">
        <v>0</v>
      </c>
      <c r="W2449" s="50" t="n">
        <v>0</v>
      </c>
      <c r="X2449" s="51" t="n">
        <v>0</v>
      </c>
      <c r="Y2449" s="52" t="n">
        <v>0</v>
      </c>
      <c r="Z2449" s="52" t="n">
        <v>0</v>
      </c>
      <c r="AA2449" s="52" t="n">
        <v>0</v>
      </c>
      <c r="AB2449" s="53" t="n">
        <v>0</v>
      </c>
      <c r="AC2449" s="52" t="n">
        <v>0</v>
      </c>
      <c r="AD2449" s="53" t="n">
        <v>0</v>
      </c>
      <c r="AE2449" s="52" t="n">
        <v>0</v>
      </c>
      <c r="AF2449" s="51" t="n">
        <v>0</v>
      </c>
      <c r="AG2449" s="48" t="n">
        <v>0</v>
      </c>
      <c r="AH2449" s="49" t="n">
        <v>0</v>
      </c>
      <c r="AI2449" s="49" t="n">
        <v>0</v>
      </c>
      <c r="AJ2449" s="50" t="n">
        <v>0</v>
      </c>
      <c r="AK2449" s="51" t="n">
        <v>0</v>
      </c>
      <c r="AL2449" s="52" t="n">
        <v>0</v>
      </c>
      <c r="AM2449" s="52" t="n">
        <v>0</v>
      </c>
      <c r="AN2449" s="52" t="n">
        <v>0</v>
      </c>
      <c r="AO2449" s="53" t="n">
        <v>0</v>
      </c>
      <c r="AP2449" s="52" t="n">
        <v>0</v>
      </c>
      <c r="AQ2449" s="53" t="n">
        <v>0</v>
      </c>
      <c r="AR2449" s="52" t="n">
        <v>0</v>
      </c>
      <c r="AS2449" s="51" t="n">
        <v>0</v>
      </c>
      <c r="AT2449" s="48" t="n">
        <v>0</v>
      </c>
      <c r="AU2449" s="49" t="n">
        <v>0</v>
      </c>
      <c r="AV2449" s="49" t="n">
        <v>0</v>
      </c>
      <c r="AW2449" s="50" t="n">
        <v>0</v>
      </c>
      <c r="AX2449" s="51" t="n">
        <v>0</v>
      </c>
      <c r="AY2449" s="52" t="n">
        <v>0</v>
      </c>
      <c r="AZ2449" s="52" t="n">
        <v>0</v>
      </c>
      <c r="BA2449" s="52" t="n">
        <v>0</v>
      </c>
      <c r="BB2449" s="53" t="n">
        <v>0</v>
      </c>
      <c r="BC2449" s="52" t="n">
        <v>0</v>
      </c>
      <c r="BD2449" s="53" t="n">
        <v>0</v>
      </c>
      <c r="BE2449" s="52" t="n">
        <v>0</v>
      </c>
      <c r="BF2449" s="51" t="n">
        <v>0</v>
      </c>
    </row>
    <row r="2450">
      <c r="A2450">
        <f>HYPERLINK("https://www.walmart.com/ip/185246561", "185246561")</f>
        <v/>
      </c>
      <c r="B2450" t="inlineStr">
        <is>
          <t>Terra Faux Fur Pom Pom Beanie Hat Thick Slouchy Cable Knit Unisex Stretches to Fit Most</t>
        </is>
      </c>
      <c r="C2450" t="inlineStr">
        <is>
          <t>TERRAPPH02PP</t>
        </is>
      </c>
      <c r="D2450" t="inlineStr">
        <is>
          <t>Hats</t>
        </is>
      </c>
      <c r="E2450" t="inlineStr">
        <is>
          <t>Terra</t>
        </is>
      </c>
      <c r="F2450" t="inlineStr">
        <is>
          <t>Optimized</t>
        </is>
      </c>
      <c r="G2450" s="48" t="n">
        <v>0</v>
      </c>
      <c r="H2450" s="49" t="n">
        <v>0</v>
      </c>
      <c r="I2450" s="49" t="n">
        <v>0</v>
      </c>
      <c r="J2450" s="50" t="n">
        <v>0</v>
      </c>
      <c r="K2450" s="51" t="n">
        <v>0</v>
      </c>
      <c r="L2450" s="52" t="n">
        <v>0</v>
      </c>
      <c r="M2450" s="52" t="n">
        <v>0</v>
      </c>
      <c r="N2450" s="52" t="n">
        <v>0</v>
      </c>
      <c r="O2450" s="53" t="n">
        <v>0</v>
      </c>
      <c r="P2450" s="52" t="n">
        <v>0</v>
      </c>
      <c r="Q2450" s="53" t="n">
        <v>0</v>
      </c>
      <c r="R2450" s="52" t="n">
        <v>0</v>
      </c>
      <c r="S2450" s="51" t="n">
        <v>0</v>
      </c>
      <c r="T2450" s="48" t="n">
        <v>0</v>
      </c>
      <c r="U2450" s="49" t="n">
        <v>0</v>
      </c>
      <c r="V2450" s="49" t="n">
        <v>0</v>
      </c>
      <c r="W2450" s="50" t="n">
        <v>0</v>
      </c>
      <c r="X2450" s="51" t="n">
        <v>0</v>
      </c>
      <c r="Y2450" s="52" t="n">
        <v>0</v>
      </c>
      <c r="Z2450" s="52" t="n">
        <v>0</v>
      </c>
      <c r="AA2450" s="52" t="n">
        <v>0</v>
      </c>
      <c r="AB2450" s="53" t="n">
        <v>0</v>
      </c>
      <c r="AC2450" s="52" t="n">
        <v>0</v>
      </c>
      <c r="AD2450" s="53" t="n">
        <v>0</v>
      </c>
      <c r="AE2450" s="52" t="n">
        <v>0</v>
      </c>
      <c r="AF2450" s="51" t="n">
        <v>0</v>
      </c>
      <c r="AG2450" s="48" t="n">
        <v>0</v>
      </c>
      <c r="AH2450" s="49" t="n">
        <v>0</v>
      </c>
      <c r="AI2450" s="49" t="n">
        <v>0</v>
      </c>
      <c r="AJ2450" s="50" t="n">
        <v>0</v>
      </c>
      <c r="AK2450" s="51" t="n">
        <v>0</v>
      </c>
      <c r="AL2450" s="52" t="n">
        <v>0</v>
      </c>
      <c r="AM2450" s="52" t="n">
        <v>0</v>
      </c>
      <c r="AN2450" s="52" t="n">
        <v>0</v>
      </c>
      <c r="AO2450" s="53" t="n">
        <v>0</v>
      </c>
      <c r="AP2450" s="52" t="n">
        <v>0</v>
      </c>
      <c r="AQ2450" s="53" t="n">
        <v>0</v>
      </c>
      <c r="AR2450" s="52" t="n">
        <v>0</v>
      </c>
      <c r="AS2450" s="51" t="n">
        <v>0</v>
      </c>
      <c r="AT2450" s="48" t="n">
        <v>0</v>
      </c>
      <c r="AU2450" s="49" t="n">
        <v>0</v>
      </c>
      <c r="AV2450" s="49" t="n">
        <v>0</v>
      </c>
      <c r="AW2450" s="50" t="n">
        <v>0</v>
      </c>
      <c r="AX2450" s="51" t="n">
        <v>0</v>
      </c>
      <c r="AY2450" s="52" t="n">
        <v>0</v>
      </c>
      <c r="AZ2450" s="52" t="n">
        <v>0</v>
      </c>
      <c r="BA2450" s="52" t="n">
        <v>0</v>
      </c>
      <c r="BB2450" s="53" t="n">
        <v>0</v>
      </c>
      <c r="BC2450" s="52" t="n">
        <v>0</v>
      </c>
      <c r="BD2450" s="53" t="n">
        <v>0</v>
      </c>
      <c r="BE2450" s="52" t="n">
        <v>0</v>
      </c>
      <c r="BF2450" s="51" t="n">
        <v>0</v>
      </c>
    </row>
    <row r="2451">
      <c r="A2451">
        <f>HYPERLINK("https://www.walmart.com/ip/185265469", "185265469")</f>
        <v/>
      </c>
      <c r="B2451" t="inlineStr">
        <is>
          <t>JenniWears Women's Beileise Sexy Net Pantyhose Stockings Sheer Ultrathin Socks</t>
        </is>
      </c>
      <c r="C2451" t="inlineStr">
        <is>
          <t>JWBLSPH2086</t>
        </is>
      </c>
      <c r="D2451" t="inlineStr">
        <is>
          <t>Pantyhose &amp; Tights</t>
        </is>
      </c>
      <c r="E2451" t="inlineStr">
        <is>
          <t>JenniWears</t>
        </is>
      </c>
      <c r="F2451" t="inlineStr">
        <is>
          <t>Optimized,Valentine</t>
        </is>
      </c>
      <c r="G2451" s="48" t="n">
        <v>0</v>
      </c>
      <c r="H2451" s="49" t="n">
        <v>0</v>
      </c>
      <c r="I2451" s="49" t="n">
        <v>0</v>
      </c>
      <c r="J2451" s="50" t="n">
        <v>0</v>
      </c>
      <c r="K2451" s="51" t="n">
        <v>0</v>
      </c>
      <c r="L2451" s="52" t="n">
        <v>0</v>
      </c>
      <c r="M2451" s="52" t="n">
        <v>0</v>
      </c>
      <c r="N2451" s="52" t="n">
        <v>0</v>
      </c>
      <c r="O2451" s="53" t="n">
        <v>0</v>
      </c>
      <c r="P2451" s="52" t="n">
        <v>0</v>
      </c>
      <c r="Q2451" s="53" t="n">
        <v>0</v>
      </c>
      <c r="R2451" s="52" t="n">
        <v>0</v>
      </c>
      <c r="S2451" s="51" t="n">
        <v>0</v>
      </c>
      <c r="T2451" s="48" t="n">
        <v>0</v>
      </c>
      <c r="U2451" s="49" t="n">
        <v>0</v>
      </c>
      <c r="V2451" s="49" t="n">
        <v>0</v>
      </c>
      <c r="W2451" s="50" t="n">
        <v>0</v>
      </c>
      <c r="X2451" s="51" t="n">
        <v>0</v>
      </c>
      <c r="Y2451" s="52" t="n">
        <v>0</v>
      </c>
      <c r="Z2451" s="52" t="n">
        <v>0</v>
      </c>
      <c r="AA2451" s="52" t="n">
        <v>0</v>
      </c>
      <c r="AB2451" s="53" t="n">
        <v>0</v>
      </c>
      <c r="AC2451" s="52" t="n">
        <v>0</v>
      </c>
      <c r="AD2451" s="53" t="n">
        <v>0</v>
      </c>
      <c r="AE2451" s="52" t="n">
        <v>0</v>
      </c>
      <c r="AF2451" s="51" t="n">
        <v>0</v>
      </c>
      <c r="AG2451" s="48" t="n">
        <v>0</v>
      </c>
      <c r="AH2451" s="49" t="n">
        <v>0</v>
      </c>
      <c r="AI2451" s="49" t="n">
        <v>0</v>
      </c>
      <c r="AJ2451" s="50" t="n">
        <v>0</v>
      </c>
      <c r="AK2451" s="51" t="n">
        <v>0</v>
      </c>
      <c r="AL2451" s="52" t="n">
        <v>0</v>
      </c>
      <c r="AM2451" s="52" t="n">
        <v>0</v>
      </c>
      <c r="AN2451" s="52" t="n">
        <v>0</v>
      </c>
      <c r="AO2451" s="53" t="n">
        <v>0</v>
      </c>
      <c r="AP2451" s="52" t="n">
        <v>0</v>
      </c>
      <c r="AQ2451" s="53" t="n">
        <v>0</v>
      </c>
      <c r="AR2451" s="52" t="n">
        <v>0</v>
      </c>
      <c r="AS2451" s="51" t="n">
        <v>0</v>
      </c>
      <c r="AT2451" s="48" t="n">
        <v>0</v>
      </c>
      <c r="AU2451" s="49" t="n">
        <v>0</v>
      </c>
      <c r="AV2451" s="49" t="n">
        <v>0</v>
      </c>
      <c r="AW2451" s="50" t="n">
        <v>0</v>
      </c>
      <c r="AX2451" s="51" t="n">
        <v>0</v>
      </c>
      <c r="AY2451" s="52" t="n">
        <v>0</v>
      </c>
      <c r="AZ2451" s="52" t="n">
        <v>0</v>
      </c>
      <c r="BA2451" s="52" t="n">
        <v>0</v>
      </c>
      <c r="BB2451" s="53" t="n">
        <v>0</v>
      </c>
      <c r="BC2451" s="52" t="n">
        <v>0</v>
      </c>
      <c r="BD2451" s="53" t="n">
        <v>0</v>
      </c>
      <c r="BE2451" s="52" t="n">
        <v>0</v>
      </c>
      <c r="BF2451" s="51" t="n">
        <v>0</v>
      </c>
    </row>
    <row r="2452">
      <c r="A2452">
        <f>HYPERLINK("https://www.walmart.com/ip/185396814", "185396814")</f>
        <v/>
      </c>
      <c r="B2452" t="inlineStr">
        <is>
          <t>JenniWears Women Beileise Sexy Top Thigh High Stockings+ Garter Belt Suspender</t>
        </is>
      </c>
      <c r="C2452" t="inlineStr">
        <is>
          <t>JWBLSPH2011</t>
        </is>
      </c>
      <c r="D2452" t="inlineStr">
        <is>
          <t>Pantyhose &amp; Tights</t>
        </is>
      </c>
      <c r="E2452" t="inlineStr">
        <is>
          <t>JenniWears</t>
        </is>
      </c>
      <c r="F2452" t="inlineStr">
        <is>
          <t>Optimized,Valentine</t>
        </is>
      </c>
      <c r="G2452" s="48" t="n">
        <v>0</v>
      </c>
      <c r="H2452" s="49" t="n">
        <v>0</v>
      </c>
      <c r="I2452" s="49" t="n">
        <v>0</v>
      </c>
      <c r="J2452" s="50" t="n">
        <v>0</v>
      </c>
      <c r="K2452" s="51" t="n">
        <v>0</v>
      </c>
      <c r="L2452" s="52" t="n">
        <v>0</v>
      </c>
      <c r="M2452" s="52" t="n">
        <v>0</v>
      </c>
      <c r="N2452" s="52" t="n">
        <v>0</v>
      </c>
      <c r="O2452" s="53" t="n">
        <v>0</v>
      </c>
      <c r="P2452" s="52" t="n">
        <v>0</v>
      </c>
      <c r="Q2452" s="53" t="n">
        <v>0</v>
      </c>
      <c r="R2452" s="52" t="n">
        <v>0</v>
      </c>
      <c r="S2452" s="51" t="n">
        <v>0</v>
      </c>
      <c r="T2452" s="48" t="n">
        <v>0</v>
      </c>
      <c r="U2452" s="49" t="n">
        <v>0</v>
      </c>
      <c r="V2452" s="49" t="n">
        <v>0</v>
      </c>
      <c r="W2452" s="50" t="n">
        <v>0</v>
      </c>
      <c r="X2452" s="51" t="n">
        <v>0</v>
      </c>
      <c r="Y2452" s="52" t="n">
        <v>0</v>
      </c>
      <c r="Z2452" s="52" t="n">
        <v>0</v>
      </c>
      <c r="AA2452" s="52" t="n">
        <v>0</v>
      </c>
      <c r="AB2452" s="53" t="n">
        <v>0</v>
      </c>
      <c r="AC2452" s="52" t="n">
        <v>0</v>
      </c>
      <c r="AD2452" s="53" t="n">
        <v>0</v>
      </c>
      <c r="AE2452" s="52" t="n">
        <v>0</v>
      </c>
      <c r="AF2452" s="51" t="n">
        <v>0</v>
      </c>
      <c r="AG2452" s="48" t="n">
        <v>0</v>
      </c>
      <c r="AH2452" s="49" t="n">
        <v>0</v>
      </c>
      <c r="AI2452" s="49" t="n">
        <v>0</v>
      </c>
      <c r="AJ2452" s="50" t="n">
        <v>0</v>
      </c>
      <c r="AK2452" s="51" t="n">
        <v>0</v>
      </c>
      <c r="AL2452" s="52" t="n">
        <v>0</v>
      </c>
      <c r="AM2452" s="52" t="n">
        <v>0</v>
      </c>
      <c r="AN2452" s="52" t="n">
        <v>0</v>
      </c>
      <c r="AO2452" s="53" t="n">
        <v>0</v>
      </c>
      <c r="AP2452" s="52" t="n">
        <v>0</v>
      </c>
      <c r="AQ2452" s="53" t="n">
        <v>0</v>
      </c>
      <c r="AR2452" s="52" t="n">
        <v>0</v>
      </c>
      <c r="AS2452" s="51" t="n">
        <v>0</v>
      </c>
      <c r="AT2452" s="48" t="n">
        <v>0</v>
      </c>
      <c r="AU2452" s="49" t="n">
        <v>0</v>
      </c>
      <c r="AV2452" s="49" t="n">
        <v>0</v>
      </c>
      <c r="AW2452" s="50" t="n">
        <v>0</v>
      </c>
      <c r="AX2452" s="51" t="n">
        <v>0</v>
      </c>
      <c r="AY2452" s="52" t="n">
        <v>0</v>
      </c>
      <c r="AZ2452" s="52" t="n">
        <v>0</v>
      </c>
      <c r="BA2452" s="52" t="n">
        <v>0</v>
      </c>
      <c r="BB2452" s="53" t="n">
        <v>0</v>
      </c>
      <c r="BC2452" s="52" t="n">
        <v>0</v>
      </c>
      <c r="BD2452" s="53" t="n">
        <v>0</v>
      </c>
      <c r="BE2452" s="52" t="n">
        <v>0</v>
      </c>
      <c r="BF2452" s="51" t="n">
        <v>0</v>
      </c>
    </row>
    <row r="2453">
      <c r="A2453">
        <f>HYPERLINK("https://www.walmart.com/ip/1857465304", "1857465304")</f>
        <v/>
      </c>
      <c r="B2453" t="inlineStr">
        <is>
          <t>Tirrinia Men's Trout Ventilate Mesh Fish Embroidery Cap Fishing Hat Navy Blue</t>
        </is>
      </c>
      <c r="C2453" t="inlineStr">
        <is>
          <t>1TRHT7180BRKUP-12pcs</t>
        </is>
      </c>
      <c r="D2453" t="inlineStr">
        <is>
          <t>Hats</t>
        </is>
      </c>
      <c r="E2453" t="inlineStr">
        <is>
          <t>Tirrinia</t>
        </is>
      </c>
      <c r="G2453" s="48" t="n">
        <v>0</v>
      </c>
      <c r="H2453" s="49" t="n">
        <v>0</v>
      </c>
      <c r="I2453" s="49" t="n">
        <v>0</v>
      </c>
      <c r="J2453" s="50" t="n">
        <v>0</v>
      </c>
      <c r="K2453" s="51" t="n">
        <v>0</v>
      </c>
      <c r="L2453" s="52" t="n">
        <v>0</v>
      </c>
      <c r="M2453" s="52" t="n">
        <v>0</v>
      </c>
      <c r="N2453" s="52" t="n">
        <v>0</v>
      </c>
      <c r="O2453" s="53" t="n">
        <v>0</v>
      </c>
      <c r="P2453" s="52" t="n">
        <v>0</v>
      </c>
      <c r="Q2453" s="53" t="n">
        <v>0</v>
      </c>
      <c r="R2453" s="52" t="n">
        <v>0</v>
      </c>
      <c r="S2453" s="51" t="n">
        <v>0</v>
      </c>
      <c r="T2453" s="48" t="n">
        <v>0</v>
      </c>
      <c r="U2453" s="49" t="n">
        <v>0</v>
      </c>
      <c r="V2453" s="49" t="n">
        <v>0</v>
      </c>
      <c r="W2453" s="50" t="n">
        <v>0</v>
      </c>
      <c r="X2453" s="51" t="n">
        <v>0</v>
      </c>
      <c r="Y2453" s="52" t="n">
        <v>0</v>
      </c>
      <c r="Z2453" s="52" t="n">
        <v>0</v>
      </c>
      <c r="AA2453" s="52" t="n">
        <v>0</v>
      </c>
      <c r="AB2453" s="53" t="n">
        <v>0</v>
      </c>
      <c r="AC2453" s="52" t="n">
        <v>0</v>
      </c>
      <c r="AD2453" s="53" t="n">
        <v>0</v>
      </c>
      <c r="AE2453" s="52" t="n">
        <v>0</v>
      </c>
      <c r="AF2453" s="51" t="n">
        <v>0</v>
      </c>
      <c r="AG2453" s="48" t="n">
        <v>0</v>
      </c>
      <c r="AH2453" s="49" t="n">
        <v>0</v>
      </c>
      <c r="AI2453" s="49" t="n">
        <v>0</v>
      </c>
      <c r="AJ2453" s="50" t="n">
        <v>0</v>
      </c>
      <c r="AK2453" s="51" t="n">
        <v>0</v>
      </c>
      <c r="AL2453" s="52" t="n">
        <v>0</v>
      </c>
      <c r="AM2453" s="52" t="n">
        <v>0</v>
      </c>
      <c r="AN2453" s="52" t="n">
        <v>0</v>
      </c>
      <c r="AO2453" s="53" t="n">
        <v>0</v>
      </c>
      <c r="AP2453" s="52" t="n">
        <v>0</v>
      </c>
      <c r="AQ2453" s="53" t="n">
        <v>0</v>
      </c>
      <c r="AR2453" s="52" t="n">
        <v>0</v>
      </c>
      <c r="AS2453" s="51" t="n">
        <v>0</v>
      </c>
      <c r="AT2453" s="48" t="n">
        <v>0</v>
      </c>
      <c r="AU2453" s="49" t="n">
        <v>0</v>
      </c>
      <c r="AV2453" s="49" t="n">
        <v>0</v>
      </c>
      <c r="AW2453" s="50" t="n">
        <v>0</v>
      </c>
      <c r="AX2453" s="51" t="n">
        <v>0</v>
      </c>
      <c r="AY2453" s="52" t="n">
        <v>0</v>
      </c>
      <c r="AZ2453" s="52" t="n">
        <v>0</v>
      </c>
      <c r="BA2453" s="52" t="n">
        <v>0</v>
      </c>
      <c r="BB2453" s="53" t="n">
        <v>0</v>
      </c>
      <c r="BC2453" s="52" t="n">
        <v>0</v>
      </c>
      <c r="BD2453" s="53" t="n">
        <v>0</v>
      </c>
      <c r="BE2453" s="52" t="n">
        <v>0</v>
      </c>
      <c r="BF2453" s="51" t="n">
        <v>0</v>
      </c>
    </row>
    <row r="2454">
      <c r="A2454">
        <f>HYPERLINK("https://www.walmart.com/ip/185750230", "185750230")</f>
        <v/>
      </c>
      <c r="B2454" t="inlineStr">
        <is>
          <t>Terra Active Wrap- Stylish Running workout travel waist belt w/ hidden pocket</t>
        </is>
      </c>
      <c r="C2454" t="inlineStr">
        <is>
          <t>TERRA-5NG-L</t>
        </is>
      </c>
      <c r="D2454" t="inlineStr">
        <is>
          <t>Running Belts</t>
        </is>
      </c>
      <c r="E2454" t="inlineStr">
        <is>
          <t>Terra</t>
        </is>
      </c>
      <c r="F2454" t="inlineStr">
        <is>
          <t>Optimized</t>
        </is>
      </c>
      <c r="G2454" s="48" t="n">
        <v>0</v>
      </c>
      <c r="H2454" s="49" t="n">
        <v>0</v>
      </c>
      <c r="I2454" s="49" t="n">
        <v>0</v>
      </c>
      <c r="J2454" s="50" t="n">
        <v>0</v>
      </c>
      <c r="K2454" s="51" t="n">
        <v>0</v>
      </c>
      <c r="L2454" s="52" t="n">
        <v>0</v>
      </c>
      <c r="M2454" s="52" t="n">
        <v>0</v>
      </c>
      <c r="N2454" s="52" t="n">
        <v>0</v>
      </c>
      <c r="O2454" s="53" t="n">
        <v>0</v>
      </c>
      <c r="P2454" s="52" t="n">
        <v>0</v>
      </c>
      <c r="Q2454" s="53" t="n">
        <v>0</v>
      </c>
      <c r="R2454" s="52" t="n">
        <v>0</v>
      </c>
      <c r="S2454" s="51" t="n">
        <v>0</v>
      </c>
      <c r="T2454" s="48" t="n">
        <v>0</v>
      </c>
      <c r="U2454" s="49" t="n">
        <v>0</v>
      </c>
      <c r="V2454" s="49" t="n">
        <v>0</v>
      </c>
      <c r="W2454" s="50" t="n">
        <v>0</v>
      </c>
      <c r="X2454" s="51" t="n">
        <v>0</v>
      </c>
      <c r="Y2454" s="52" t="n">
        <v>0</v>
      </c>
      <c r="Z2454" s="52" t="n">
        <v>0</v>
      </c>
      <c r="AA2454" s="52" t="n">
        <v>0</v>
      </c>
      <c r="AB2454" s="53" t="n">
        <v>0</v>
      </c>
      <c r="AC2454" s="52" t="n">
        <v>0</v>
      </c>
      <c r="AD2454" s="53" t="n">
        <v>0</v>
      </c>
      <c r="AE2454" s="52" t="n">
        <v>0</v>
      </c>
      <c r="AF2454" s="51" t="n">
        <v>0</v>
      </c>
      <c r="AG2454" s="48" t="n">
        <v>0</v>
      </c>
      <c r="AH2454" s="49" t="n">
        <v>0</v>
      </c>
      <c r="AI2454" s="49" t="n">
        <v>0</v>
      </c>
      <c r="AJ2454" s="50" t="n">
        <v>0</v>
      </c>
      <c r="AK2454" s="51" t="n">
        <v>0</v>
      </c>
      <c r="AL2454" s="52" t="n">
        <v>0</v>
      </c>
      <c r="AM2454" s="52" t="n">
        <v>0</v>
      </c>
      <c r="AN2454" s="52" t="n">
        <v>0</v>
      </c>
      <c r="AO2454" s="53" t="n">
        <v>0</v>
      </c>
      <c r="AP2454" s="52" t="n">
        <v>0</v>
      </c>
      <c r="AQ2454" s="53" t="n">
        <v>0</v>
      </c>
      <c r="AR2454" s="52" t="n">
        <v>0</v>
      </c>
      <c r="AS2454" s="51" t="n">
        <v>0</v>
      </c>
      <c r="AT2454" s="48" t="n">
        <v>0</v>
      </c>
      <c r="AU2454" s="49" t="n">
        <v>0</v>
      </c>
      <c r="AV2454" s="49" t="n">
        <v>0</v>
      </c>
      <c r="AW2454" s="50" t="n">
        <v>0</v>
      </c>
      <c r="AX2454" s="51" t="n">
        <v>0</v>
      </c>
      <c r="AY2454" s="52" t="n">
        <v>0</v>
      </c>
      <c r="AZ2454" s="52" t="n">
        <v>0</v>
      </c>
      <c r="BA2454" s="52" t="n">
        <v>0</v>
      </c>
      <c r="BB2454" s="53" t="n">
        <v>0</v>
      </c>
      <c r="BC2454" s="52" t="n">
        <v>0</v>
      </c>
      <c r="BD2454" s="53" t="n">
        <v>0</v>
      </c>
      <c r="BE2454" s="52" t="n">
        <v>0</v>
      </c>
      <c r="BF2454" s="51" t="n">
        <v>0</v>
      </c>
    </row>
    <row r="2455">
      <c r="A2455">
        <f>HYPERLINK("https://www.walmart.com/ip/186176334", "186176334")</f>
        <v/>
      </c>
      <c r="B2455" t="inlineStr">
        <is>
          <t>KC Caps Pom Pom Toque Beanie</t>
        </is>
      </c>
      <c r="C2455" t="inlineStr">
        <is>
          <t>KCW1711BK</t>
        </is>
      </c>
      <c r="D2455" t="inlineStr">
        <is>
          <t>Hats</t>
        </is>
      </c>
      <c r="E2455" t="inlineStr">
        <is>
          <t>KC Caps</t>
        </is>
      </c>
      <c r="F2455" t="inlineStr">
        <is>
          <t>Optimized</t>
        </is>
      </c>
      <c r="G2455" s="48" t="n">
        <v>0</v>
      </c>
      <c r="H2455" s="49" t="n">
        <v>0</v>
      </c>
      <c r="I2455" s="49" t="n">
        <v>0</v>
      </c>
      <c r="J2455" s="50" t="n">
        <v>0</v>
      </c>
      <c r="K2455" s="51" t="n">
        <v>0</v>
      </c>
      <c r="L2455" s="52" t="n">
        <v>0</v>
      </c>
      <c r="M2455" s="52" t="n">
        <v>0</v>
      </c>
      <c r="N2455" s="52" t="n">
        <v>0</v>
      </c>
      <c r="O2455" s="53" t="n">
        <v>0</v>
      </c>
      <c r="P2455" s="52" t="n">
        <v>0</v>
      </c>
      <c r="Q2455" s="53" t="n">
        <v>0</v>
      </c>
      <c r="R2455" s="52" t="n">
        <v>0</v>
      </c>
      <c r="S2455" s="51" t="n">
        <v>0</v>
      </c>
      <c r="T2455" s="48" t="n">
        <v>0</v>
      </c>
      <c r="U2455" s="49" t="n">
        <v>0</v>
      </c>
      <c r="V2455" s="49" t="n">
        <v>0</v>
      </c>
      <c r="W2455" s="50" t="n">
        <v>0</v>
      </c>
      <c r="X2455" s="51" t="n">
        <v>0</v>
      </c>
      <c r="Y2455" s="52" t="n">
        <v>0</v>
      </c>
      <c r="Z2455" s="52" t="n">
        <v>0</v>
      </c>
      <c r="AA2455" s="52" t="n">
        <v>0</v>
      </c>
      <c r="AB2455" s="53" t="n">
        <v>0</v>
      </c>
      <c r="AC2455" s="52" t="n">
        <v>0</v>
      </c>
      <c r="AD2455" s="53" t="n">
        <v>0</v>
      </c>
      <c r="AE2455" s="52" t="n">
        <v>0</v>
      </c>
      <c r="AF2455" s="51" t="n">
        <v>0</v>
      </c>
      <c r="AG2455" s="48" t="n">
        <v>0</v>
      </c>
      <c r="AH2455" s="49" t="n">
        <v>0</v>
      </c>
      <c r="AI2455" s="49" t="n">
        <v>0</v>
      </c>
      <c r="AJ2455" s="50" t="n">
        <v>0</v>
      </c>
      <c r="AK2455" s="51" t="n">
        <v>0</v>
      </c>
      <c r="AL2455" s="52" t="n">
        <v>0</v>
      </c>
      <c r="AM2455" s="52" t="n">
        <v>0</v>
      </c>
      <c r="AN2455" s="52" t="n">
        <v>0</v>
      </c>
      <c r="AO2455" s="53" t="n">
        <v>0</v>
      </c>
      <c r="AP2455" s="52" t="n">
        <v>0</v>
      </c>
      <c r="AQ2455" s="53" t="n">
        <v>0</v>
      </c>
      <c r="AR2455" s="52" t="n">
        <v>0</v>
      </c>
      <c r="AS2455" s="51" t="n">
        <v>0</v>
      </c>
      <c r="AT2455" s="48" t="n">
        <v>0</v>
      </c>
      <c r="AU2455" s="49" t="n">
        <v>0</v>
      </c>
      <c r="AV2455" s="49" t="n">
        <v>0</v>
      </c>
      <c r="AW2455" s="50" t="n">
        <v>0</v>
      </c>
      <c r="AX2455" s="51" t="n">
        <v>0</v>
      </c>
      <c r="AY2455" s="52" t="n">
        <v>0</v>
      </c>
      <c r="AZ2455" s="52" t="n">
        <v>0</v>
      </c>
      <c r="BA2455" s="52" t="n">
        <v>0</v>
      </c>
      <c r="BB2455" s="53" t="n">
        <v>0</v>
      </c>
      <c r="BC2455" s="52" t="n">
        <v>0</v>
      </c>
      <c r="BD2455" s="53" t="n">
        <v>0</v>
      </c>
      <c r="BE2455" s="52" t="n">
        <v>0</v>
      </c>
      <c r="BF2455" s="51" t="n">
        <v>0</v>
      </c>
    </row>
    <row r="2456">
      <c r="A2456">
        <f>HYPERLINK("https://www.walmart.com/ip/186239116", "186239116")</f>
        <v/>
      </c>
      <c r="B2456" t="inlineStr">
        <is>
          <t>KC Caps Washed Denim Bucket Hat, Summer Fishing Hat for Women and Men, Grey</t>
        </is>
      </c>
      <c r="C2456" t="inlineStr">
        <is>
          <t>KC9120GR-M</t>
        </is>
      </c>
      <c r="D2456" t="inlineStr">
        <is>
          <t>Hats</t>
        </is>
      </c>
      <c r="E2456" t="inlineStr">
        <is>
          <t>KC Caps</t>
        </is>
      </c>
      <c r="F2456" t="inlineStr">
        <is>
          <t>Batch 1 - TR</t>
        </is>
      </c>
      <c r="G2456" s="48" t="n">
        <v>0</v>
      </c>
      <c r="H2456" s="49" t="n">
        <v>0</v>
      </c>
      <c r="I2456" s="49" t="n">
        <v>0</v>
      </c>
      <c r="J2456" s="50" t="n">
        <v>0</v>
      </c>
      <c r="K2456" s="51" t="n">
        <v>0</v>
      </c>
      <c r="L2456" s="52" t="n">
        <v>0</v>
      </c>
      <c r="M2456" s="52" t="n">
        <v>0</v>
      </c>
      <c r="N2456" s="52" t="n">
        <v>0</v>
      </c>
      <c r="O2456" s="53" t="n">
        <v>0</v>
      </c>
      <c r="P2456" s="52" t="n">
        <v>0</v>
      </c>
      <c r="Q2456" s="53" t="n">
        <v>0</v>
      </c>
      <c r="R2456" s="52" t="n">
        <v>0</v>
      </c>
      <c r="S2456" s="51" t="n">
        <v>0</v>
      </c>
      <c r="T2456" s="48" t="n">
        <v>0</v>
      </c>
      <c r="U2456" s="49" t="n">
        <v>0</v>
      </c>
      <c r="V2456" s="49" t="n">
        <v>0</v>
      </c>
      <c r="W2456" s="50" t="n">
        <v>0</v>
      </c>
      <c r="X2456" s="51" t="n">
        <v>0</v>
      </c>
      <c r="Y2456" s="52" t="n">
        <v>0</v>
      </c>
      <c r="Z2456" s="52" t="n">
        <v>0</v>
      </c>
      <c r="AA2456" s="52" t="n">
        <v>0</v>
      </c>
      <c r="AB2456" s="53" t="n">
        <v>0</v>
      </c>
      <c r="AC2456" s="52" t="n">
        <v>0</v>
      </c>
      <c r="AD2456" s="53" t="n">
        <v>0</v>
      </c>
      <c r="AE2456" s="52" t="n">
        <v>0</v>
      </c>
      <c r="AF2456" s="51" t="n">
        <v>0</v>
      </c>
      <c r="AG2456" s="48" t="n">
        <v>0</v>
      </c>
      <c r="AH2456" s="49" t="n">
        <v>0</v>
      </c>
      <c r="AI2456" s="49" t="n">
        <v>0</v>
      </c>
      <c r="AJ2456" s="50" t="n">
        <v>0</v>
      </c>
      <c r="AK2456" s="51" t="n">
        <v>0</v>
      </c>
      <c r="AL2456" s="52" t="n">
        <v>0</v>
      </c>
      <c r="AM2456" s="52" t="n">
        <v>0</v>
      </c>
      <c r="AN2456" s="52" t="n">
        <v>0</v>
      </c>
      <c r="AO2456" s="53" t="n">
        <v>0</v>
      </c>
      <c r="AP2456" s="52" t="n">
        <v>0</v>
      </c>
      <c r="AQ2456" s="53" t="n">
        <v>0</v>
      </c>
      <c r="AR2456" s="52" t="n">
        <v>0</v>
      </c>
      <c r="AS2456" s="51" t="n">
        <v>0</v>
      </c>
      <c r="AT2456" s="48" t="n">
        <v>0</v>
      </c>
      <c r="AU2456" s="49" t="n">
        <v>0</v>
      </c>
      <c r="AV2456" s="49" t="n">
        <v>0</v>
      </c>
      <c r="AW2456" s="50" t="n">
        <v>0</v>
      </c>
      <c r="AX2456" s="51" t="n">
        <v>0</v>
      </c>
      <c r="AY2456" s="52" t="n">
        <v>0</v>
      </c>
      <c r="AZ2456" s="52" t="n">
        <v>0</v>
      </c>
      <c r="BA2456" s="52" t="n">
        <v>0</v>
      </c>
      <c r="BB2456" s="53" t="n">
        <v>0</v>
      </c>
      <c r="BC2456" s="52" t="n">
        <v>0</v>
      </c>
      <c r="BD2456" s="53" t="n">
        <v>0</v>
      </c>
      <c r="BE2456" s="52" t="n">
        <v>0</v>
      </c>
      <c r="BF2456" s="51" t="n">
        <v>0</v>
      </c>
    </row>
    <row r="2457">
      <c r="A2457">
        <f>HYPERLINK("https://www.walmart.com/ip/1863202161", "1863202161")</f>
        <v/>
      </c>
      <c r="B2457" t="inlineStr">
        <is>
          <t>Catalonia Knitted Throw Blanket for Bed, Sofa, and Living Room, All Seasons Cozy Leisure Acrylic Lightweight Decorative Blanket with Fringe, Machine Washable, Yellow, 60'' × 80''</t>
        </is>
      </c>
      <c r="C2457" t="inlineStr">
        <is>
          <t>1CTBN610YL</t>
        </is>
      </c>
      <c r="D2457" t="inlineStr">
        <is>
          <t>Throws</t>
        </is>
      </c>
      <c r="E2457" t="inlineStr">
        <is>
          <t>Catalonia</t>
        </is>
      </c>
      <c r="F2457" t="inlineStr">
        <is>
          <t>Coupon_Discount,Batch 1 - TR</t>
        </is>
      </c>
      <c r="G2457" s="48" t="n">
        <v>0</v>
      </c>
      <c r="H2457" s="49" t="n">
        <v>0</v>
      </c>
      <c r="I2457" s="49" t="n">
        <v>0</v>
      </c>
      <c r="J2457" s="50" t="n">
        <v>0</v>
      </c>
      <c r="K2457" s="51" t="n">
        <v>0</v>
      </c>
      <c r="L2457" s="52" t="n">
        <v>0</v>
      </c>
      <c r="M2457" s="52" t="n">
        <v>0</v>
      </c>
      <c r="N2457" s="52" t="n">
        <v>0</v>
      </c>
      <c r="O2457" s="53" t="n">
        <v>0</v>
      </c>
      <c r="P2457" s="52" t="n">
        <v>0</v>
      </c>
      <c r="Q2457" s="53" t="n">
        <v>0</v>
      </c>
      <c r="R2457" s="52" t="n">
        <v>0</v>
      </c>
      <c r="S2457" s="51" t="n">
        <v>0</v>
      </c>
      <c r="T2457" s="48" t="n">
        <v>0</v>
      </c>
      <c r="U2457" s="49" t="n">
        <v>0</v>
      </c>
      <c r="V2457" s="49" t="n">
        <v>0</v>
      </c>
      <c r="W2457" s="50" t="n">
        <v>0</v>
      </c>
      <c r="X2457" s="51" t="n">
        <v>0</v>
      </c>
      <c r="Y2457" s="52" t="n">
        <v>0</v>
      </c>
      <c r="Z2457" s="52" t="n">
        <v>0</v>
      </c>
      <c r="AA2457" s="52" t="n">
        <v>0</v>
      </c>
      <c r="AB2457" s="53" t="n">
        <v>0</v>
      </c>
      <c r="AC2457" s="52" t="n">
        <v>0</v>
      </c>
      <c r="AD2457" s="53" t="n">
        <v>0</v>
      </c>
      <c r="AE2457" s="52" t="n">
        <v>0</v>
      </c>
      <c r="AF2457" s="51" t="n">
        <v>0</v>
      </c>
      <c r="AG2457" s="48" t="n">
        <v>0</v>
      </c>
      <c r="AH2457" s="49" t="n">
        <v>0</v>
      </c>
      <c r="AI2457" s="49" t="n">
        <v>0</v>
      </c>
      <c r="AJ2457" s="50" t="n">
        <v>0</v>
      </c>
      <c r="AK2457" s="51" t="n">
        <v>0</v>
      </c>
      <c r="AL2457" s="52" t="n">
        <v>0</v>
      </c>
      <c r="AM2457" s="52" t="n">
        <v>0</v>
      </c>
      <c r="AN2457" s="52" t="n">
        <v>0</v>
      </c>
      <c r="AO2457" s="53" t="n">
        <v>0</v>
      </c>
      <c r="AP2457" s="52" t="n">
        <v>0</v>
      </c>
      <c r="AQ2457" s="53" t="n">
        <v>0</v>
      </c>
      <c r="AR2457" s="52" t="n">
        <v>0</v>
      </c>
      <c r="AS2457" s="51" t="n">
        <v>0</v>
      </c>
      <c r="AT2457" s="48" t="n">
        <v>0</v>
      </c>
      <c r="AU2457" s="49" t="n">
        <v>0</v>
      </c>
      <c r="AV2457" s="49" t="n">
        <v>0</v>
      </c>
      <c r="AW2457" s="50" t="n">
        <v>0</v>
      </c>
      <c r="AX2457" s="51" t="n">
        <v>0</v>
      </c>
      <c r="AY2457" s="52" t="n">
        <v>0</v>
      </c>
      <c r="AZ2457" s="52" t="n">
        <v>0</v>
      </c>
      <c r="BA2457" s="52" t="n">
        <v>0</v>
      </c>
      <c r="BB2457" s="53" t="n">
        <v>0</v>
      </c>
      <c r="BC2457" s="52" t="n">
        <v>0</v>
      </c>
      <c r="BD2457" s="53" t="n">
        <v>0</v>
      </c>
      <c r="BE2457" s="52" t="n">
        <v>0</v>
      </c>
      <c r="BF2457" s="51" t="n">
        <v>0</v>
      </c>
    </row>
    <row r="2458">
      <c r="A2458">
        <f>HYPERLINK("https://www.walmart.com/ip/1863233294", "1863233294")</f>
        <v/>
      </c>
      <c r="B2458" t="inlineStr">
        <is>
          <t>Tirrinia Bamboo Christmas Tree Wooden Wine Rack Countertop, 6 Bottle Wine Holder Rack for Dining Tables, Kitchens, and Cabinets, DIY Wine Bottle Holder, Wine Holder for Furniture Decoration</t>
        </is>
      </c>
      <c r="C2458" t="inlineStr">
        <is>
          <t>1TRWR600</t>
        </is>
      </c>
      <c r="D2458" t="inlineStr">
        <is>
          <t>Wine Racks</t>
        </is>
      </c>
      <c r="E2458" t="inlineStr">
        <is>
          <t>Kato</t>
        </is>
      </c>
      <c r="F2458" t="inlineStr">
        <is>
          <t>Wine,Batch 1 - TR</t>
        </is>
      </c>
      <c r="G2458" s="48" t="n">
        <v>0</v>
      </c>
      <c r="H2458" s="49" t="n">
        <v>0</v>
      </c>
      <c r="I2458" s="49" t="n">
        <v>0</v>
      </c>
      <c r="J2458" s="50" t="n">
        <v>0</v>
      </c>
      <c r="K2458" s="51" t="n">
        <v>0</v>
      </c>
      <c r="L2458" s="52" t="n">
        <v>0</v>
      </c>
      <c r="M2458" s="52" t="n">
        <v>0</v>
      </c>
      <c r="N2458" s="52" t="n">
        <v>0</v>
      </c>
      <c r="O2458" s="53" t="n">
        <v>0</v>
      </c>
      <c r="P2458" s="52" t="n">
        <v>0</v>
      </c>
      <c r="Q2458" s="53" t="n">
        <v>0</v>
      </c>
      <c r="R2458" s="52" t="n">
        <v>0</v>
      </c>
      <c r="S2458" s="51" t="n">
        <v>0</v>
      </c>
      <c r="T2458" s="48" t="n">
        <v>0</v>
      </c>
      <c r="U2458" s="49" t="n">
        <v>0</v>
      </c>
      <c r="V2458" s="49" t="n">
        <v>0</v>
      </c>
      <c r="W2458" s="50" t="n">
        <v>0</v>
      </c>
      <c r="X2458" s="51" t="n">
        <v>0</v>
      </c>
      <c r="Y2458" s="52" t="n">
        <v>0</v>
      </c>
      <c r="Z2458" s="52" t="n">
        <v>0</v>
      </c>
      <c r="AA2458" s="52" t="n">
        <v>0</v>
      </c>
      <c r="AB2458" s="53" t="n">
        <v>0</v>
      </c>
      <c r="AC2458" s="52" t="n">
        <v>0</v>
      </c>
      <c r="AD2458" s="53" t="n">
        <v>0</v>
      </c>
      <c r="AE2458" s="52" t="n">
        <v>0</v>
      </c>
      <c r="AF2458" s="51" t="n">
        <v>0</v>
      </c>
      <c r="AG2458" s="48" t="n">
        <v>0</v>
      </c>
      <c r="AH2458" s="49" t="n">
        <v>0</v>
      </c>
      <c r="AI2458" s="49" t="n">
        <v>0</v>
      </c>
      <c r="AJ2458" s="50" t="n">
        <v>0</v>
      </c>
      <c r="AK2458" s="51" t="n">
        <v>0</v>
      </c>
      <c r="AL2458" s="52" t="n">
        <v>0</v>
      </c>
      <c r="AM2458" s="52" t="n">
        <v>0</v>
      </c>
      <c r="AN2458" s="52" t="n">
        <v>0</v>
      </c>
      <c r="AO2458" s="53" t="n">
        <v>0</v>
      </c>
      <c r="AP2458" s="52" t="n">
        <v>0</v>
      </c>
      <c r="AQ2458" s="53" t="n">
        <v>0</v>
      </c>
      <c r="AR2458" s="52" t="n">
        <v>0</v>
      </c>
      <c r="AS2458" s="51" t="n">
        <v>0</v>
      </c>
      <c r="AT2458" s="48" t="n">
        <v>0</v>
      </c>
      <c r="AU2458" s="49" t="n">
        <v>0</v>
      </c>
      <c r="AV2458" s="49" t="n">
        <v>0</v>
      </c>
      <c r="AW2458" s="50" t="n">
        <v>0</v>
      </c>
      <c r="AX2458" s="51" t="n">
        <v>0</v>
      </c>
      <c r="AY2458" s="52" t="n">
        <v>0</v>
      </c>
      <c r="AZ2458" s="52" t="n">
        <v>0</v>
      </c>
      <c r="BA2458" s="52" t="n">
        <v>0</v>
      </c>
      <c r="BB2458" s="53" t="n">
        <v>0</v>
      </c>
      <c r="BC2458" s="52" t="n">
        <v>0</v>
      </c>
      <c r="BD2458" s="53" t="n">
        <v>0</v>
      </c>
      <c r="BE2458" s="52" t="n">
        <v>0</v>
      </c>
      <c r="BF2458" s="51" t="n">
        <v>0</v>
      </c>
    </row>
    <row r="2459">
      <c r="A2459">
        <f>HYPERLINK("https://www.walmart.com/ip/186488087", "186488087")</f>
        <v/>
      </c>
      <c r="B2459" t="inlineStr">
        <is>
          <t>Terra Men's Boxer Briefs, Assorted Mens Underwear Boxer Briefs with Cotton Classic Stretch, Blue/Gray, 3-Pack</t>
        </is>
      </c>
      <c r="C2459" t="inlineStr">
        <is>
          <t>TERRABOXERSET2-M</t>
        </is>
      </c>
      <c r="D2459" t="inlineStr">
        <is>
          <t>Underpants</t>
        </is>
      </c>
      <c r="E2459" t="inlineStr">
        <is>
          <t>Terra</t>
        </is>
      </c>
      <c r="F2459" t="inlineStr">
        <is>
          <t>WFS,WFS Item</t>
        </is>
      </c>
      <c r="G2459" s="48" t="n">
        <v>0</v>
      </c>
      <c r="H2459" s="49" t="n">
        <v>0</v>
      </c>
      <c r="I2459" s="49" t="n">
        <v>0</v>
      </c>
      <c r="J2459" s="50" t="n">
        <v>0</v>
      </c>
      <c r="K2459" s="51" t="n">
        <v>0</v>
      </c>
      <c r="L2459" s="52" t="n">
        <v>0</v>
      </c>
      <c r="M2459" s="52" t="n">
        <v>0</v>
      </c>
      <c r="N2459" s="52" t="n">
        <v>0</v>
      </c>
      <c r="O2459" s="53" t="n">
        <v>0</v>
      </c>
      <c r="P2459" s="52" t="n">
        <v>0</v>
      </c>
      <c r="Q2459" s="53" t="n">
        <v>0</v>
      </c>
      <c r="R2459" s="52" t="n">
        <v>0</v>
      </c>
      <c r="S2459" s="51" t="n">
        <v>0</v>
      </c>
      <c r="T2459" s="48" t="n">
        <v>0</v>
      </c>
      <c r="U2459" s="49" t="n">
        <v>0</v>
      </c>
      <c r="V2459" s="49" t="n">
        <v>0</v>
      </c>
      <c r="W2459" s="50" t="n">
        <v>0</v>
      </c>
      <c r="X2459" s="51" t="n">
        <v>0</v>
      </c>
      <c r="Y2459" s="52" t="n">
        <v>0</v>
      </c>
      <c r="Z2459" s="52" t="n">
        <v>0</v>
      </c>
      <c r="AA2459" s="52" t="n">
        <v>0</v>
      </c>
      <c r="AB2459" s="53" t="n">
        <v>0</v>
      </c>
      <c r="AC2459" s="52" t="n">
        <v>0</v>
      </c>
      <c r="AD2459" s="53" t="n">
        <v>0</v>
      </c>
      <c r="AE2459" s="52" t="n">
        <v>0</v>
      </c>
      <c r="AF2459" s="51" t="n">
        <v>0</v>
      </c>
      <c r="AG2459" s="48" t="n">
        <v>0</v>
      </c>
      <c r="AH2459" s="49" t="n">
        <v>0</v>
      </c>
      <c r="AI2459" s="49" t="n">
        <v>0</v>
      </c>
      <c r="AJ2459" s="50" t="n">
        <v>0</v>
      </c>
      <c r="AK2459" s="51" t="n">
        <v>0</v>
      </c>
      <c r="AL2459" s="52" t="n">
        <v>0</v>
      </c>
      <c r="AM2459" s="52" t="n">
        <v>0</v>
      </c>
      <c r="AN2459" s="52" t="n">
        <v>0</v>
      </c>
      <c r="AO2459" s="53" t="n">
        <v>0</v>
      </c>
      <c r="AP2459" s="52" t="n">
        <v>0</v>
      </c>
      <c r="AQ2459" s="53" t="n">
        <v>0</v>
      </c>
      <c r="AR2459" s="52" t="n">
        <v>0</v>
      </c>
      <c r="AS2459" s="51" t="n">
        <v>0</v>
      </c>
      <c r="AT2459" s="48" t="n">
        <v>0</v>
      </c>
      <c r="AU2459" s="49" t="n">
        <v>0</v>
      </c>
      <c r="AV2459" s="49" t="n">
        <v>0</v>
      </c>
      <c r="AW2459" s="50" t="n">
        <v>0</v>
      </c>
      <c r="AX2459" s="51" t="n">
        <v>0</v>
      </c>
      <c r="AY2459" s="52" t="n">
        <v>0</v>
      </c>
      <c r="AZ2459" s="52" t="n">
        <v>0</v>
      </c>
      <c r="BA2459" s="52" t="n">
        <v>0</v>
      </c>
      <c r="BB2459" s="53" t="n">
        <v>0</v>
      </c>
      <c r="BC2459" s="52" t="n">
        <v>0</v>
      </c>
      <c r="BD2459" s="53" t="n">
        <v>0</v>
      </c>
      <c r="BE2459" s="52" t="n">
        <v>0</v>
      </c>
      <c r="BF2459" s="51" t="n">
        <v>0</v>
      </c>
    </row>
    <row r="2460">
      <c r="A2460">
        <f>HYPERLINK("https://www.walmart.com/ip/184309692", "184309692")</f>
        <v/>
      </c>
      <c r="B2460" t="inlineStr">
        <is>
          <t>Medium Pet Travel Backpack Carrier for Dogs Cat Animal Puppy, Breathable Mesh Net Removable Sherpa Bed Outdoor Carrier f</t>
        </is>
      </c>
      <c r="C2460" t="inlineStr">
        <is>
          <t>1WMPB200NV</t>
        </is>
      </c>
      <c r="D2460" t="inlineStr">
        <is>
          <t>Pet Carriers</t>
        </is>
      </c>
      <c r="E2460" t="inlineStr">
        <is>
          <t>Flyingstar</t>
        </is>
      </c>
      <c r="F2460" t="inlineStr">
        <is>
          <t>Batch 1 - TR</t>
        </is>
      </c>
      <c r="G2460" s="48" t="n">
        <v>0</v>
      </c>
      <c r="H2460" s="49" t="n">
        <v>0</v>
      </c>
      <c r="I2460" s="49" t="n">
        <v>0</v>
      </c>
      <c r="J2460" s="50" t="n">
        <v>0</v>
      </c>
      <c r="K2460" s="51" t="n">
        <v>0</v>
      </c>
      <c r="L2460" s="52" t="n">
        <v>0</v>
      </c>
      <c r="M2460" s="52" t="n">
        <v>0</v>
      </c>
      <c r="N2460" s="52" t="n">
        <v>0</v>
      </c>
      <c r="O2460" s="53" t="n">
        <v>0</v>
      </c>
      <c r="P2460" s="52" t="n">
        <v>0</v>
      </c>
      <c r="Q2460" s="53" t="n">
        <v>0</v>
      </c>
      <c r="R2460" s="52" t="n">
        <v>0</v>
      </c>
      <c r="S2460" s="51" t="n">
        <v>0</v>
      </c>
      <c r="T2460" s="48" t="n">
        <v>0</v>
      </c>
      <c r="U2460" s="49" t="n">
        <v>0</v>
      </c>
      <c r="V2460" s="49" t="n">
        <v>0</v>
      </c>
      <c r="W2460" s="50" t="n">
        <v>0</v>
      </c>
      <c r="X2460" s="51" t="n">
        <v>0</v>
      </c>
      <c r="Y2460" s="52" t="n">
        <v>0</v>
      </c>
      <c r="Z2460" s="52" t="n">
        <v>0</v>
      </c>
      <c r="AA2460" s="52" t="n">
        <v>0</v>
      </c>
      <c r="AB2460" s="53" t="n">
        <v>0</v>
      </c>
      <c r="AC2460" s="52" t="n">
        <v>0</v>
      </c>
      <c r="AD2460" s="53" t="n">
        <v>0</v>
      </c>
      <c r="AE2460" s="52" t="n">
        <v>0</v>
      </c>
      <c r="AF2460" s="51" t="n">
        <v>0</v>
      </c>
      <c r="AG2460" s="48" t="n">
        <v>0</v>
      </c>
      <c r="AH2460" s="49" t="n">
        <v>0</v>
      </c>
      <c r="AI2460" s="49" t="n">
        <v>0</v>
      </c>
      <c r="AJ2460" s="50" t="n">
        <v>0</v>
      </c>
      <c r="AK2460" s="51" t="n">
        <v>0</v>
      </c>
      <c r="AL2460" s="52" t="n">
        <v>0</v>
      </c>
      <c r="AM2460" s="52" t="n">
        <v>0</v>
      </c>
      <c r="AN2460" s="52" t="n">
        <v>0</v>
      </c>
      <c r="AO2460" s="53" t="n">
        <v>0</v>
      </c>
      <c r="AP2460" s="52" t="n">
        <v>0</v>
      </c>
      <c r="AQ2460" s="53" t="n">
        <v>0</v>
      </c>
      <c r="AR2460" s="52" t="n">
        <v>0</v>
      </c>
      <c r="AS2460" s="51" t="n">
        <v>0</v>
      </c>
      <c r="AT2460" s="48" t="n">
        <v>0</v>
      </c>
      <c r="AU2460" s="49" t="n">
        <v>0</v>
      </c>
      <c r="AV2460" s="49" t="n">
        <v>0</v>
      </c>
      <c r="AW2460" s="50" t="n">
        <v>0</v>
      </c>
      <c r="AX2460" s="51" t="n">
        <v>0</v>
      </c>
      <c r="AY2460" s="52" t="n">
        <v>0</v>
      </c>
      <c r="AZ2460" s="52" t="n">
        <v>0</v>
      </c>
      <c r="BA2460" s="52" t="n">
        <v>0</v>
      </c>
      <c r="BB2460" s="53" t="n">
        <v>0</v>
      </c>
      <c r="BC2460" s="52" t="n">
        <v>0</v>
      </c>
      <c r="BD2460" s="53" t="n">
        <v>0</v>
      </c>
      <c r="BE2460" s="52" t="n">
        <v>0</v>
      </c>
      <c r="BF2460" s="51" t="n">
        <v>0</v>
      </c>
    </row>
    <row r="2461">
      <c r="A2461">
        <f>HYPERLINK("https://www.walmart.com/ip/184239315", "184239315")</f>
        <v/>
      </c>
      <c r="B2461" t="inlineStr">
        <is>
          <t>Tirrina Unisex Outdoor Sun Protection Fishing Cap with Neck Flap Wide Brim Mesh Hat for Travel Camping Hiking Hunting</t>
        </is>
      </c>
      <c r="C2461" t="inlineStr">
        <is>
          <t>1WMSH910DIGIGN</t>
        </is>
      </c>
      <c r="D2461" t="inlineStr">
        <is>
          <t>Hats</t>
        </is>
      </c>
      <c r="E2461" t="inlineStr">
        <is>
          <t>Tirrinia</t>
        </is>
      </c>
      <c r="F2461" t="inlineStr">
        <is>
          <t>Optimized</t>
        </is>
      </c>
      <c r="G2461" s="48" t="n">
        <v>0</v>
      </c>
      <c r="H2461" s="49" t="n">
        <v>0</v>
      </c>
      <c r="I2461" s="49" t="n">
        <v>0</v>
      </c>
      <c r="J2461" s="50" t="n">
        <v>0</v>
      </c>
      <c r="K2461" s="51" t="n">
        <v>0</v>
      </c>
      <c r="L2461" s="52" t="n">
        <v>0</v>
      </c>
      <c r="M2461" s="52" t="n">
        <v>0</v>
      </c>
      <c r="N2461" s="52" t="n">
        <v>0</v>
      </c>
      <c r="O2461" s="53" t="n">
        <v>0</v>
      </c>
      <c r="P2461" s="52" t="n">
        <v>0</v>
      </c>
      <c r="Q2461" s="53" t="n">
        <v>0</v>
      </c>
      <c r="R2461" s="52" t="n">
        <v>0</v>
      </c>
      <c r="S2461" s="51" t="n">
        <v>0</v>
      </c>
      <c r="T2461" s="48" t="n">
        <v>0</v>
      </c>
      <c r="U2461" s="49" t="n">
        <v>0</v>
      </c>
      <c r="V2461" s="49" t="n">
        <v>0</v>
      </c>
      <c r="W2461" s="50" t="n">
        <v>0</v>
      </c>
      <c r="X2461" s="51" t="n">
        <v>0</v>
      </c>
      <c r="Y2461" s="52" t="n">
        <v>0</v>
      </c>
      <c r="Z2461" s="52" t="n">
        <v>0</v>
      </c>
      <c r="AA2461" s="52" t="n">
        <v>0</v>
      </c>
      <c r="AB2461" s="53" t="n">
        <v>0</v>
      </c>
      <c r="AC2461" s="52" t="n">
        <v>0</v>
      </c>
      <c r="AD2461" s="53" t="n">
        <v>0</v>
      </c>
      <c r="AE2461" s="52" t="n">
        <v>0</v>
      </c>
      <c r="AF2461" s="51" t="n">
        <v>0</v>
      </c>
      <c r="AG2461" s="48" t="n">
        <v>0</v>
      </c>
      <c r="AH2461" s="49" t="n">
        <v>0</v>
      </c>
      <c r="AI2461" s="49" t="n">
        <v>0</v>
      </c>
      <c r="AJ2461" s="50" t="n">
        <v>0</v>
      </c>
      <c r="AK2461" s="51" t="n">
        <v>0</v>
      </c>
      <c r="AL2461" s="52" t="n">
        <v>0</v>
      </c>
      <c r="AM2461" s="52" t="n">
        <v>0</v>
      </c>
      <c r="AN2461" s="52" t="n">
        <v>0</v>
      </c>
      <c r="AO2461" s="53" t="n">
        <v>0</v>
      </c>
      <c r="AP2461" s="52" t="n">
        <v>0</v>
      </c>
      <c r="AQ2461" s="53" t="n">
        <v>0</v>
      </c>
      <c r="AR2461" s="52" t="n">
        <v>0</v>
      </c>
      <c r="AS2461" s="51" t="n">
        <v>0</v>
      </c>
      <c r="AT2461" s="48" t="n">
        <v>0</v>
      </c>
      <c r="AU2461" s="49" t="n">
        <v>0</v>
      </c>
      <c r="AV2461" s="49" t="n">
        <v>0</v>
      </c>
      <c r="AW2461" s="50" t="n">
        <v>0</v>
      </c>
      <c r="AX2461" s="51" t="n">
        <v>0</v>
      </c>
      <c r="AY2461" s="52" t="n">
        <v>0</v>
      </c>
      <c r="AZ2461" s="52" t="n">
        <v>0</v>
      </c>
      <c r="BA2461" s="52" t="n">
        <v>0</v>
      </c>
      <c r="BB2461" s="53" t="n">
        <v>0</v>
      </c>
      <c r="BC2461" s="52" t="n">
        <v>0</v>
      </c>
      <c r="BD2461" s="53" t="n">
        <v>0</v>
      </c>
      <c r="BE2461" s="52" t="n">
        <v>0</v>
      </c>
      <c r="BF2461" s="51" t="n">
        <v>0</v>
      </c>
    </row>
    <row r="2462">
      <c r="A2462">
        <f>HYPERLINK("https://www.walmart.com/ip/186654469", "186654469")</f>
        <v/>
      </c>
      <c r="B2462" t="inlineStr">
        <is>
          <t>Solaris Winter Cable Knit Beanie Hats with Fur Pom Pom for Women Ski Cap</t>
        </is>
      </c>
      <c r="C2462" t="inlineStr">
        <is>
          <t>1SLPPH01GY</t>
        </is>
      </c>
      <c r="D2462" t="inlineStr">
        <is>
          <t>Hats</t>
        </is>
      </c>
      <c r="E2462" t="inlineStr">
        <is>
          <t>Solaris</t>
        </is>
      </c>
      <c r="F2462" t="inlineStr">
        <is>
          <t>Optimized</t>
        </is>
      </c>
      <c r="G2462" s="48" t="n">
        <v>0</v>
      </c>
      <c r="H2462" s="49" t="n">
        <v>0</v>
      </c>
      <c r="I2462" s="49" t="n">
        <v>0</v>
      </c>
      <c r="J2462" s="50" t="n">
        <v>0</v>
      </c>
      <c r="K2462" s="51" t="n">
        <v>0</v>
      </c>
      <c r="L2462" s="52" t="n">
        <v>0</v>
      </c>
      <c r="M2462" s="52" t="n">
        <v>0</v>
      </c>
      <c r="N2462" s="52" t="n">
        <v>0</v>
      </c>
      <c r="O2462" s="53" t="n">
        <v>0</v>
      </c>
      <c r="P2462" s="52" t="n">
        <v>0</v>
      </c>
      <c r="Q2462" s="53" t="n">
        <v>0</v>
      </c>
      <c r="R2462" s="52" t="n">
        <v>0</v>
      </c>
      <c r="S2462" s="51" t="n">
        <v>0</v>
      </c>
      <c r="T2462" s="48" t="n">
        <v>0</v>
      </c>
      <c r="U2462" s="49" t="n">
        <v>0</v>
      </c>
      <c r="V2462" s="49" t="n">
        <v>0</v>
      </c>
      <c r="W2462" s="50" t="n">
        <v>0</v>
      </c>
      <c r="X2462" s="51" t="n">
        <v>0</v>
      </c>
      <c r="Y2462" s="52" t="n">
        <v>0</v>
      </c>
      <c r="Z2462" s="52" t="n">
        <v>0</v>
      </c>
      <c r="AA2462" s="52" t="n">
        <v>0</v>
      </c>
      <c r="AB2462" s="53" t="n">
        <v>0</v>
      </c>
      <c r="AC2462" s="52" t="n">
        <v>0</v>
      </c>
      <c r="AD2462" s="53" t="n">
        <v>0</v>
      </c>
      <c r="AE2462" s="52" t="n">
        <v>0</v>
      </c>
      <c r="AF2462" s="51" t="n">
        <v>0</v>
      </c>
      <c r="AG2462" s="48" t="n">
        <v>0</v>
      </c>
      <c r="AH2462" s="49" t="n">
        <v>0</v>
      </c>
      <c r="AI2462" s="49" t="n">
        <v>0</v>
      </c>
      <c r="AJ2462" s="50" t="n">
        <v>0</v>
      </c>
      <c r="AK2462" s="51" t="n">
        <v>0</v>
      </c>
      <c r="AL2462" s="52" t="n">
        <v>0</v>
      </c>
      <c r="AM2462" s="52" t="n">
        <v>0</v>
      </c>
      <c r="AN2462" s="52" t="n">
        <v>0</v>
      </c>
      <c r="AO2462" s="53" t="n">
        <v>0</v>
      </c>
      <c r="AP2462" s="52" t="n">
        <v>0</v>
      </c>
      <c r="AQ2462" s="53" t="n">
        <v>0</v>
      </c>
      <c r="AR2462" s="52" t="n">
        <v>0</v>
      </c>
      <c r="AS2462" s="51" t="n">
        <v>0</v>
      </c>
      <c r="AT2462" s="48" t="n">
        <v>0</v>
      </c>
      <c r="AU2462" s="49" t="n">
        <v>0</v>
      </c>
      <c r="AV2462" s="49" t="n">
        <v>0</v>
      </c>
      <c r="AW2462" s="50" t="n">
        <v>0</v>
      </c>
      <c r="AX2462" s="51" t="n">
        <v>0</v>
      </c>
      <c r="AY2462" s="52" t="n">
        <v>0</v>
      </c>
      <c r="AZ2462" s="52" t="n">
        <v>0</v>
      </c>
      <c r="BA2462" s="52" t="n">
        <v>0</v>
      </c>
      <c r="BB2462" s="53" t="n">
        <v>0</v>
      </c>
      <c r="BC2462" s="52" t="n">
        <v>0</v>
      </c>
      <c r="BD2462" s="53" t="n">
        <v>0</v>
      </c>
      <c r="BE2462" s="52" t="n">
        <v>0</v>
      </c>
      <c r="BF2462" s="51" t="n">
        <v>0</v>
      </c>
    </row>
    <row r="2463">
      <c r="A2463">
        <f>HYPERLINK("https://www.walmart.com/ip/184202798", "184202798")</f>
        <v/>
      </c>
      <c r="B2463" t="inlineStr">
        <is>
          <t>Oversized Hoodie Blanket Sweatshirt,Super Soft Warm Comfortable Fleece Giant Pullover with Large Front Pocket,for Adults Men Women Teenagers Kids Wife Girlfriend</t>
        </is>
      </c>
      <c r="C2463" t="inlineStr">
        <is>
          <t>1WMHD300WN</t>
        </is>
      </c>
      <c r="D2463" t="inlineStr">
        <is>
          <t>Sweatshirts &amp; Hoodies</t>
        </is>
      </c>
      <c r="E2463" t="inlineStr">
        <is>
          <t>Flyingstar</t>
        </is>
      </c>
      <c r="F2463" t="inlineStr">
        <is>
          <t>Hoodie ForAdult,Optimized</t>
        </is>
      </c>
      <c r="G2463" s="48" t="n">
        <v>0</v>
      </c>
      <c r="H2463" s="49" t="n">
        <v>0</v>
      </c>
      <c r="I2463" s="49" t="n">
        <v>0</v>
      </c>
      <c r="J2463" s="50" t="n">
        <v>0</v>
      </c>
      <c r="K2463" s="51" t="n">
        <v>0</v>
      </c>
      <c r="L2463" s="52" t="n">
        <v>0</v>
      </c>
      <c r="M2463" s="52" t="n">
        <v>0</v>
      </c>
      <c r="N2463" s="52" t="n">
        <v>0</v>
      </c>
      <c r="O2463" s="53" t="n">
        <v>0</v>
      </c>
      <c r="P2463" s="52" t="n">
        <v>0</v>
      </c>
      <c r="Q2463" s="53" t="n">
        <v>0</v>
      </c>
      <c r="R2463" s="52" t="n">
        <v>0</v>
      </c>
      <c r="S2463" s="51" t="n">
        <v>0</v>
      </c>
      <c r="T2463" s="48" t="n">
        <v>0</v>
      </c>
      <c r="U2463" s="49" t="n">
        <v>0</v>
      </c>
      <c r="V2463" s="49" t="n">
        <v>0</v>
      </c>
      <c r="W2463" s="50" t="n">
        <v>0</v>
      </c>
      <c r="X2463" s="51" t="n">
        <v>0</v>
      </c>
      <c r="Y2463" s="52" t="n">
        <v>0</v>
      </c>
      <c r="Z2463" s="52" t="n">
        <v>0</v>
      </c>
      <c r="AA2463" s="52" t="n">
        <v>0</v>
      </c>
      <c r="AB2463" s="53" t="n">
        <v>0</v>
      </c>
      <c r="AC2463" s="52" t="n">
        <v>0</v>
      </c>
      <c r="AD2463" s="53" t="n">
        <v>0</v>
      </c>
      <c r="AE2463" s="52" t="n">
        <v>0</v>
      </c>
      <c r="AF2463" s="51" t="n">
        <v>0</v>
      </c>
      <c r="AG2463" s="48" t="n">
        <v>0</v>
      </c>
      <c r="AH2463" s="49" t="n">
        <v>0</v>
      </c>
      <c r="AI2463" s="49" t="n">
        <v>0</v>
      </c>
      <c r="AJ2463" s="50" t="n">
        <v>0</v>
      </c>
      <c r="AK2463" s="51" t="n">
        <v>0</v>
      </c>
      <c r="AL2463" s="52" t="n">
        <v>0</v>
      </c>
      <c r="AM2463" s="52" t="n">
        <v>0</v>
      </c>
      <c r="AN2463" s="52" t="n">
        <v>0</v>
      </c>
      <c r="AO2463" s="53" t="n">
        <v>0</v>
      </c>
      <c r="AP2463" s="52" t="n">
        <v>0</v>
      </c>
      <c r="AQ2463" s="53" t="n">
        <v>0</v>
      </c>
      <c r="AR2463" s="52" t="n">
        <v>0</v>
      </c>
      <c r="AS2463" s="51" t="n">
        <v>0</v>
      </c>
      <c r="AT2463" s="48" t="n">
        <v>0</v>
      </c>
      <c r="AU2463" s="49" t="n">
        <v>0</v>
      </c>
      <c r="AV2463" s="49" t="n">
        <v>0</v>
      </c>
      <c r="AW2463" s="50" t="n">
        <v>0</v>
      </c>
      <c r="AX2463" s="51" t="n">
        <v>0</v>
      </c>
      <c r="AY2463" s="52" t="n">
        <v>0</v>
      </c>
      <c r="AZ2463" s="52" t="n">
        <v>0</v>
      </c>
      <c r="BA2463" s="52" t="n">
        <v>0</v>
      </c>
      <c r="BB2463" s="53" t="n">
        <v>0</v>
      </c>
      <c r="BC2463" s="52" t="n">
        <v>0</v>
      </c>
      <c r="BD2463" s="53" t="n">
        <v>0</v>
      </c>
      <c r="BE2463" s="52" t="n">
        <v>0</v>
      </c>
      <c r="BF2463" s="51" t="n">
        <v>0</v>
      </c>
    </row>
    <row r="2464">
      <c r="A2464">
        <f>HYPERLINK("https://www.walmart.com/ip/1817809428", "1817809428")</f>
        <v/>
      </c>
      <c r="B2464" t="inlineStr">
        <is>
          <t>Tirrinia Men's Trout Ventilate Mesh Fish Embroidery Cap Fishing Hat Navy Blue</t>
        </is>
      </c>
      <c r="C2464" t="inlineStr">
        <is>
          <t>1TRHT7180CONTRY-TBCB</t>
        </is>
      </c>
      <c r="D2464" t="inlineStr">
        <is>
          <t>Hats</t>
        </is>
      </c>
      <c r="E2464" t="inlineStr">
        <is>
          <t>Tirrinia</t>
        </is>
      </c>
      <c r="F2464" t="inlineStr">
        <is>
          <t>Batch 1 - TR</t>
        </is>
      </c>
      <c r="G2464" s="48" t="n">
        <v>0</v>
      </c>
      <c r="H2464" s="49" t="n">
        <v>0</v>
      </c>
      <c r="I2464" s="49" t="n">
        <v>0</v>
      </c>
      <c r="J2464" s="50" t="n">
        <v>0</v>
      </c>
      <c r="K2464" s="51" t="n">
        <v>0</v>
      </c>
      <c r="L2464" s="52" t="n">
        <v>0</v>
      </c>
      <c r="M2464" s="52" t="n">
        <v>0</v>
      </c>
      <c r="N2464" s="52" t="n">
        <v>0</v>
      </c>
      <c r="O2464" s="53" t="n">
        <v>0</v>
      </c>
      <c r="P2464" s="52" t="n">
        <v>0</v>
      </c>
      <c r="Q2464" s="53" t="n">
        <v>0</v>
      </c>
      <c r="R2464" s="52" t="n">
        <v>0</v>
      </c>
      <c r="S2464" s="51" t="n">
        <v>0</v>
      </c>
      <c r="T2464" s="48" t="n">
        <v>0</v>
      </c>
      <c r="U2464" s="49" t="n">
        <v>0</v>
      </c>
      <c r="V2464" s="49" t="n">
        <v>0</v>
      </c>
      <c r="W2464" s="50" t="n">
        <v>0</v>
      </c>
      <c r="X2464" s="51" t="n">
        <v>0</v>
      </c>
      <c r="Y2464" s="52" t="n">
        <v>0</v>
      </c>
      <c r="Z2464" s="52" t="n">
        <v>0</v>
      </c>
      <c r="AA2464" s="52" t="n">
        <v>0</v>
      </c>
      <c r="AB2464" s="53" t="n">
        <v>0</v>
      </c>
      <c r="AC2464" s="52" t="n">
        <v>0</v>
      </c>
      <c r="AD2464" s="53" t="n">
        <v>0</v>
      </c>
      <c r="AE2464" s="52" t="n">
        <v>0</v>
      </c>
      <c r="AF2464" s="51" t="n">
        <v>0</v>
      </c>
      <c r="AG2464" s="48" t="n">
        <v>0</v>
      </c>
      <c r="AH2464" s="49" t="n">
        <v>0</v>
      </c>
      <c r="AI2464" s="49" t="n">
        <v>0</v>
      </c>
      <c r="AJ2464" s="50" t="n">
        <v>0</v>
      </c>
      <c r="AK2464" s="51" t="n">
        <v>0</v>
      </c>
      <c r="AL2464" s="52" t="n">
        <v>0</v>
      </c>
      <c r="AM2464" s="52" t="n">
        <v>0</v>
      </c>
      <c r="AN2464" s="52" t="n">
        <v>0</v>
      </c>
      <c r="AO2464" s="53" t="n">
        <v>0</v>
      </c>
      <c r="AP2464" s="52" t="n">
        <v>0</v>
      </c>
      <c r="AQ2464" s="53" t="n">
        <v>0</v>
      </c>
      <c r="AR2464" s="52" t="n">
        <v>0</v>
      </c>
      <c r="AS2464" s="51" t="n">
        <v>0</v>
      </c>
      <c r="AT2464" s="48" t="n">
        <v>0</v>
      </c>
      <c r="AU2464" s="49" t="n">
        <v>0</v>
      </c>
      <c r="AV2464" s="49" t="n">
        <v>0</v>
      </c>
      <c r="AW2464" s="50" t="n">
        <v>0</v>
      </c>
      <c r="AX2464" s="51" t="n">
        <v>0</v>
      </c>
      <c r="AY2464" s="52" t="n">
        <v>0</v>
      </c>
      <c r="AZ2464" s="52" t="n">
        <v>0</v>
      </c>
      <c r="BA2464" s="52" t="n">
        <v>0</v>
      </c>
      <c r="BB2464" s="53" t="n">
        <v>0</v>
      </c>
      <c r="BC2464" s="52" t="n">
        <v>0</v>
      </c>
      <c r="BD2464" s="53" t="n">
        <v>0</v>
      </c>
      <c r="BE2464" s="52" t="n">
        <v>0</v>
      </c>
      <c r="BF2464" s="51" t="n">
        <v>0</v>
      </c>
    </row>
    <row r="2465">
      <c r="A2465">
        <f>HYPERLINK("https://www.walmart.com/ip/181957073", "181957073")</f>
        <v/>
      </c>
      <c r="B2465" t="inlineStr">
        <is>
          <t>Deluxe Stylish Microplush Sleeved Fleece Blanket Soft Home Sofa Snuggie</t>
        </is>
      </c>
      <c r="C2465" t="inlineStr">
        <is>
          <t>k3000-wine</t>
        </is>
      </c>
      <c r="D2465" t="inlineStr">
        <is>
          <t>Throws</t>
        </is>
      </c>
      <c r="E2465" t="inlineStr">
        <is>
          <t>NAPA</t>
        </is>
      </c>
      <c r="F2465" t="inlineStr">
        <is>
          <t>Fleece Blankets,Batch 1 - TR</t>
        </is>
      </c>
      <c r="G2465" s="48" t="n">
        <v>0</v>
      </c>
      <c r="H2465" s="49" t="n">
        <v>0</v>
      </c>
      <c r="I2465" s="49" t="n">
        <v>0</v>
      </c>
      <c r="J2465" s="50" t="n">
        <v>0</v>
      </c>
      <c r="K2465" s="51" t="n">
        <v>0</v>
      </c>
      <c r="L2465" s="52" t="n">
        <v>0</v>
      </c>
      <c r="M2465" s="52" t="n">
        <v>0</v>
      </c>
      <c r="N2465" s="52" t="n">
        <v>0</v>
      </c>
      <c r="O2465" s="53" t="n">
        <v>0</v>
      </c>
      <c r="P2465" s="52" t="n">
        <v>0</v>
      </c>
      <c r="Q2465" s="53" t="n">
        <v>0</v>
      </c>
      <c r="R2465" s="52" t="n">
        <v>0</v>
      </c>
      <c r="S2465" s="51" t="n">
        <v>0</v>
      </c>
      <c r="T2465" s="48" t="n">
        <v>0</v>
      </c>
      <c r="U2465" s="49" t="n">
        <v>0</v>
      </c>
      <c r="V2465" s="49" t="n">
        <v>0</v>
      </c>
      <c r="W2465" s="50" t="n">
        <v>0</v>
      </c>
      <c r="X2465" s="51" t="n">
        <v>0</v>
      </c>
      <c r="Y2465" s="52" t="n">
        <v>0</v>
      </c>
      <c r="Z2465" s="52" t="n">
        <v>0</v>
      </c>
      <c r="AA2465" s="52" t="n">
        <v>0</v>
      </c>
      <c r="AB2465" s="53" t="n">
        <v>0</v>
      </c>
      <c r="AC2465" s="52" t="n">
        <v>0</v>
      </c>
      <c r="AD2465" s="53" t="n">
        <v>0</v>
      </c>
      <c r="AE2465" s="52" t="n">
        <v>0</v>
      </c>
      <c r="AF2465" s="51" t="n">
        <v>0</v>
      </c>
      <c r="AG2465" s="48" t="n">
        <v>0</v>
      </c>
      <c r="AH2465" s="49" t="n">
        <v>0</v>
      </c>
      <c r="AI2465" s="49" t="n">
        <v>0</v>
      </c>
      <c r="AJ2465" s="50" t="n">
        <v>0</v>
      </c>
      <c r="AK2465" s="51" t="n">
        <v>0</v>
      </c>
      <c r="AL2465" s="52" t="n">
        <v>0</v>
      </c>
      <c r="AM2465" s="52" t="n">
        <v>0</v>
      </c>
      <c r="AN2465" s="52" t="n">
        <v>0</v>
      </c>
      <c r="AO2465" s="53" t="n">
        <v>0</v>
      </c>
      <c r="AP2465" s="52" t="n">
        <v>0</v>
      </c>
      <c r="AQ2465" s="53" t="n">
        <v>0</v>
      </c>
      <c r="AR2465" s="52" t="n">
        <v>0</v>
      </c>
      <c r="AS2465" s="51" t="n">
        <v>0</v>
      </c>
      <c r="AT2465" s="48" t="n">
        <v>0</v>
      </c>
      <c r="AU2465" s="49" t="n">
        <v>0</v>
      </c>
      <c r="AV2465" s="49" t="n">
        <v>0</v>
      </c>
      <c r="AW2465" s="50" t="n">
        <v>0</v>
      </c>
      <c r="AX2465" s="51" t="n">
        <v>0</v>
      </c>
      <c r="AY2465" s="52" t="n">
        <v>0</v>
      </c>
      <c r="AZ2465" s="52" t="n">
        <v>0</v>
      </c>
      <c r="BA2465" s="52" t="n">
        <v>0</v>
      </c>
      <c r="BB2465" s="53" t="n">
        <v>0</v>
      </c>
      <c r="BC2465" s="52" t="n">
        <v>0</v>
      </c>
      <c r="BD2465" s="53" t="n">
        <v>0</v>
      </c>
      <c r="BE2465" s="52" t="n">
        <v>0</v>
      </c>
      <c r="BF2465" s="51" t="n">
        <v>0</v>
      </c>
    </row>
    <row r="2466">
      <c r="A2466">
        <f>HYPERLINK("https://www.walmart.com/ip/182072857", "182072857")</f>
        <v/>
      </c>
      <c r="B2466" t="inlineStr">
        <is>
          <t>Union Jack Blanket, UK Flag Sherpa Fleece Blanket | Super Soft, Warm, Reversible | for Couch Bed, Gift for British, 50X70 inches</t>
        </is>
      </c>
      <c r="C2466" t="inlineStr">
        <is>
          <t>1CTBF300UK2GY</t>
        </is>
      </c>
      <c r="D2466" t="inlineStr">
        <is>
          <t>Throws</t>
        </is>
      </c>
      <c r="E2466" t="inlineStr">
        <is>
          <t>Catalonia</t>
        </is>
      </c>
      <c r="F2466" t="inlineStr">
        <is>
          <t>WFS,cost-added,WFS Item,Fleece Blankets</t>
        </is>
      </c>
      <c r="G2466" s="48" t="n">
        <v>0</v>
      </c>
      <c r="H2466" s="49" t="n">
        <v>0</v>
      </c>
      <c r="I2466" s="49" t="n">
        <v>0</v>
      </c>
      <c r="J2466" s="50" t="n">
        <v>0</v>
      </c>
      <c r="K2466" s="51" t="n">
        <v>0</v>
      </c>
      <c r="L2466" s="52" t="n">
        <v>0</v>
      </c>
      <c r="M2466" s="52" t="n">
        <v>0</v>
      </c>
      <c r="N2466" s="52" t="n">
        <v>0</v>
      </c>
      <c r="O2466" s="53" t="n">
        <v>0</v>
      </c>
      <c r="P2466" s="52" t="n">
        <v>0</v>
      </c>
      <c r="Q2466" s="53" t="n">
        <v>0</v>
      </c>
      <c r="R2466" s="52" t="n">
        <v>0</v>
      </c>
      <c r="S2466" s="51" t="n">
        <v>0</v>
      </c>
      <c r="T2466" s="48" t="n">
        <v>0</v>
      </c>
      <c r="U2466" s="49" t="n">
        <v>0</v>
      </c>
      <c r="V2466" s="49" t="n">
        <v>0</v>
      </c>
      <c r="W2466" s="50" t="n">
        <v>0</v>
      </c>
      <c r="X2466" s="51" t="n">
        <v>0</v>
      </c>
      <c r="Y2466" s="52" t="n">
        <v>0</v>
      </c>
      <c r="Z2466" s="52" t="n">
        <v>0</v>
      </c>
      <c r="AA2466" s="52" t="n">
        <v>0</v>
      </c>
      <c r="AB2466" s="53" t="n">
        <v>0</v>
      </c>
      <c r="AC2466" s="52" t="n">
        <v>0</v>
      </c>
      <c r="AD2466" s="53" t="n">
        <v>0</v>
      </c>
      <c r="AE2466" s="52" t="n">
        <v>0</v>
      </c>
      <c r="AF2466" s="51" t="n">
        <v>0</v>
      </c>
      <c r="AG2466" s="48" t="n">
        <v>0</v>
      </c>
      <c r="AH2466" s="49" t="n">
        <v>0</v>
      </c>
      <c r="AI2466" s="49" t="n">
        <v>0</v>
      </c>
      <c r="AJ2466" s="50" t="n">
        <v>0</v>
      </c>
      <c r="AK2466" s="51" t="n">
        <v>0</v>
      </c>
      <c r="AL2466" s="52" t="n">
        <v>0</v>
      </c>
      <c r="AM2466" s="52" t="n">
        <v>0</v>
      </c>
      <c r="AN2466" s="52" t="n">
        <v>0</v>
      </c>
      <c r="AO2466" s="53" t="n">
        <v>0</v>
      </c>
      <c r="AP2466" s="52" t="n">
        <v>0</v>
      </c>
      <c r="AQ2466" s="53" t="n">
        <v>0</v>
      </c>
      <c r="AR2466" s="52" t="n">
        <v>0</v>
      </c>
      <c r="AS2466" s="51" t="n">
        <v>0</v>
      </c>
      <c r="AT2466" s="48" t="n">
        <v>0</v>
      </c>
      <c r="AU2466" s="49" t="n">
        <v>0</v>
      </c>
      <c r="AV2466" s="49" t="n">
        <v>0</v>
      </c>
      <c r="AW2466" s="50" t="n">
        <v>0</v>
      </c>
      <c r="AX2466" s="51" t="n">
        <v>0</v>
      </c>
      <c r="AY2466" s="52" t="n">
        <v>0</v>
      </c>
      <c r="AZ2466" s="52" t="n">
        <v>0</v>
      </c>
      <c r="BA2466" s="52" t="n">
        <v>0</v>
      </c>
      <c r="BB2466" s="53" t="n">
        <v>0</v>
      </c>
      <c r="BC2466" s="52" t="n">
        <v>0</v>
      </c>
      <c r="BD2466" s="53" t="n">
        <v>0</v>
      </c>
      <c r="BE2466" s="52" t="n">
        <v>0</v>
      </c>
      <c r="BF2466" s="51" t="n">
        <v>0</v>
      </c>
    </row>
    <row r="2467">
      <c r="A2467">
        <f>HYPERLINK("https://www.walmart.com/ip/182296744", "182296744")</f>
        <v/>
      </c>
      <c r="B2467" t="inlineStr">
        <is>
          <t>KC Caps® Unisex Cotton Baseball Cap Adjustable Plain Hat (21 Styles/Colors)</t>
        </is>
      </c>
      <c r="C2467" t="inlineStr">
        <is>
          <t>KC8010ROY</t>
        </is>
      </c>
      <c r="D2467" t="inlineStr">
        <is>
          <t>Hats</t>
        </is>
      </c>
      <c r="E2467" t="inlineStr">
        <is>
          <t>KC Caps</t>
        </is>
      </c>
      <c r="F2467" t="inlineStr">
        <is>
          <t>Optimized</t>
        </is>
      </c>
      <c r="G2467" s="48" t="n">
        <v>0</v>
      </c>
      <c r="H2467" s="49" t="n">
        <v>0</v>
      </c>
      <c r="I2467" s="49" t="n">
        <v>0</v>
      </c>
      <c r="J2467" s="50" t="n">
        <v>0</v>
      </c>
      <c r="K2467" s="51" t="n">
        <v>0</v>
      </c>
      <c r="L2467" s="52" t="n">
        <v>0</v>
      </c>
      <c r="M2467" s="52" t="n">
        <v>0</v>
      </c>
      <c r="N2467" s="52" t="n">
        <v>0</v>
      </c>
      <c r="O2467" s="53" t="n">
        <v>0</v>
      </c>
      <c r="P2467" s="52" t="n">
        <v>0</v>
      </c>
      <c r="Q2467" s="53" t="n">
        <v>0</v>
      </c>
      <c r="R2467" s="52" t="n">
        <v>0</v>
      </c>
      <c r="S2467" s="51" t="n">
        <v>0</v>
      </c>
      <c r="T2467" s="48" t="n">
        <v>0</v>
      </c>
      <c r="U2467" s="49" t="n">
        <v>0</v>
      </c>
      <c r="V2467" s="49" t="n">
        <v>0</v>
      </c>
      <c r="W2467" s="50" t="n">
        <v>0</v>
      </c>
      <c r="X2467" s="51" t="n">
        <v>0</v>
      </c>
      <c r="Y2467" s="52" t="n">
        <v>0</v>
      </c>
      <c r="Z2467" s="52" t="n">
        <v>0</v>
      </c>
      <c r="AA2467" s="52" t="n">
        <v>0</v>
      </c>
      <c r="AB2467" s="53" t="n">
        <v>0</v>
      </c>
      <c r="AC2467" s="52" t="n">
        <v>0</v>
      </c>
      <c r="AD2467" s="53" t="n">
        <v>0</v>
      </c>
      <c r="AE2467" s="52" t="n">
        <v>0</v>
      </c>
      <c r="AF2467" s="51" t="n">
        <v>0</v>
      </c>
      <c r="AG2467" s="48" t="n">
        <v>6.99</v>
      </c>
      <c r="AH2467" s="49" t="n">
        <v>1</v>
      </c>
      <c r="AI2467" s="49" t="n">
        <v>0</v>
      </c>
      <c r="AJ2467" s="50" t="n">
        <v>0</v>
      </c>
      <c r="AK2467" s="51" t="n">
        <v>0</v>
      </c>
      <c r="AL2467" s="52" t="n">
        <v>0</v>
      </c>
      <c r="AM2467" s="52" t="n">
        <v>0</v>
      </c>
      <c r="AN2467" s="52" t="n">
        <v>0</v>
      </c>
      <c r="AO2467" s="53" t="n">
        <v>0</v>
      </c>
      <c r="AP2467" s="52" t="n">
        <v>0</v>
      </c>
      <c r="AQ2467" s="53" t="n">
        <v>0</v>
      </c>
      <c r="AR2467" s="52" t="n">
        <v>6.99</v>
      </c>
      <c r="AS2467" s="51" t="n">
        <v>0</v>
      </c>
      <c r="AT2467" s="48" t="n">
        <v>0</v>
      </c>
      <c r="AU2467" s="49" t="n">
        <v>0</v>
      </c>
      <c r="AV2467" s="49" t="n">
        <v>0</v>
      </c>
      <c r="AW2467" s="50" t="n">
        <v>0</v>
      </c>
      <c r="AX2467" s="51" t="n">
        <v>0</v>
      </c>
      <c r="AY2467" s="52" t="n">
        <v>0</v>
      </c>
      <c r="AZ2467" s="52" t="n">
        <v>0</v>
      </c>
      <c r="BA2467" s="52" t="n">
        <v>0</v>
      </c>
      <c r="BB2467" s="53" t="n">
        <v>0</v>
      </c>
      <c r="BC2467" s="52" t="n">
        <v>0</v>
      </c>
      <c r="BD2467" s="53" t="n">
        <v>0</v>
      </c>
      <c r="BE2467" s="52" t="n">
        <v>0</v>
      </c>
      <c r="BF2467" s="51" t="n">
        <v>0</v>
      </c>
    </row>
    <row r="2468">
      <c r="A2468">
        <f>HYPERLINK("https://www.walmart.com/ip/182324726", "182324726")</f>
        <v/>
      </c>
      <c r="B2468" t="inlineStr">
        <is>
          <t>JenniWears Women's Beileise  Sexy Net Pantyhose  Stockings Black Sheer Socks - 3 Packs</t>
        </is>
      </c>
      <c r="C2468" t="inlineStr">
        <is>
          <t>JWBLSPH2085-3pcs</t>
        </is>
      </c>
      <c r="D2468" t="inlineStr">
        <is>
          <t>Pantyhose &amp; Tights</t>
        </is>
      </c>
      <c r="E2468" t="inlineStr">
        <is>
          <t>JenniWears</t>
        </is>
      </c>
      <c r="F2468" t="inlineStr">
        <is>
          <t>Optimized,Valentine</t>
        </is>
      </c>
      <c r="G2468" s="48" t="n">
        <v>0</v>
      </c>
      <c r="H2468" s="49" t="n">
        <v>0</v>
      </c>
      <c r="I2468" s="49" t="n">
        <v>0</v>
      </c>
      <c r="J2468" s="50" t="n">
        <v>0</v>
      </c>
      <c r="K2468" s="51" t="n">
        <v>0</v>
      </c>
      <c r="L2468" s="52" t="n">
        <v>0</v>
      </c>
      <c r="M2468" s="52" t="n">
        <v>0</v>
      </c>
      <c r="N2468" s="52" t="n">
        <v>0</v>
      </c>
      <c r="O2468" s="53" t="n">
        <v>0</v>
      </c>
      <c r="P2468" s="52" t="n">
        <v>0</v>
      </c>
      <c r="Q2468" s="53" t="n">
        <v>0</v>
      </c>
      <c r="R2468" s="52" t="n">
        <v>0</v>
      </c>
      <c r="S2468" s="51" t="n">
        <v>0</v>
      </c>
      <c r="T2468" s="48" t="n">
        <v>0</v>
      </c>
      <c r="U2468" s="49" t="n">
        <v>0</v>
      </c>
      <c r="V2468" s="49" t="n">
        <v>0</v>
      </c>
      <c r="W2468" s="50" t="n">
        <v>0</v>
      </c>
      <c r="X2468" s="51" t="n">
        <v>0</v>
      </c>
      <c r="Y2468" s="52" t="n">
        <v>0</v>
      </c>
      <c r="Z2468" s="52" t="n">
        <v>0</v>
      </c>
      <c r="AA2468" s="52" t="n">
        <v>0</v>
      </c>
      <c r="AB2468" s="53" t="n">
        <v>0</v>
      </c>
      <c r="AC2468" s="52" t="n">
        <v>0</v>
      </c>
      <c r="AD2468" s="53" t="n">
        <v>0</v>
      </c>
      <c r="AE2468" s="52" t="n">
        <v>0</v>
      </c>
      <c r="AF2468" s="51" t="n">
        <v>0</v>
      </c>
      <c r="AG2468" s="48" t="n">
        <v>0</v>
      </c>
      <c r="AH2468" s="49" t="n">
        <v>0</v>
      </c>
      <c r="AI2468" s="49" t="n">
        <v>0</v>
      </c>
      <c r="AJ2468" s="50" t="n">
        <v>0</v>
      </c>
      <c r="AK2468" s="51" t="n">
        <v>0</v>
      </c>
      <c r="AL2468" s="52" t="n">
        <v>0</v>
      </c>
      <c r="AM2468" s="52" t="n">
        <v>0</v>
      </c>
      <c r="AN2468" s="52" t="n">
        <v>0</v>
      </c>
      <c r="AO2468" s="53" t="n">
        <v>0</v>
      </c>
      <c r="AP2468" s="52" t="n">
        <v>0</v>
      </c>
      <c r="AQ2468" s="53" t="n">
        <v>0</v>
      </c>
      <c r="AR2468" s="52" t="n">
        <v>0</v>
      </c>
      <c r="AS2468" s="51" t="n">
        <v>0</v>
      </c>
      <c r="AT2468" s="48" t="n">
        <v>0</v>
      </c>
      <c r="AU2468" s="49" t="n">
        <v>0</v>
      </c>
      <c r="AV2468" s="49" t="n">
        <v>0</v>
      </c>
      <c r="AW2468" s="50" t="n">
        <v>0</v>
      </c>
      <c r="AX2468" s="51" t="n">
        <v>0</v>
      </c>
      <c r="AY2468" s="52" t="n">
        <v>0</v>
      </c>
      <c r="AZ2468" s="52" t="n">
        <v>0</v>
      </c>
      <c r="BA2468" s="52" t="n">
        <v>0</v>
      </c>
      <c r="BB2468" s="53" t="n">
        <v>0</v>
      </c>
      <c r="BC2468" s="52" t="n">
        <v>0</v>
      </c>
      <c r="BD2468" s="53" t="n">
        <v>0</v>
      </c>
      <c r="BE2468" s="52" t="n">
        <v>0</v>
      </c>
      <c r="BF2468" s="51" t="n">
        <v>0</v>
      </c>
    </row>
    <row r="2469">
      <c r="A2469">
        <f>HYPERLINK("https://www.walmart.com/ip/1824402854", "1824402854")</f>
        <v/>
      </c>
      <c r="B2469" t="inlineStr">
        <is>
          <t>Women’s Plush Hoodie Sweatshirt Dress, Casual Pullover Sweater with Kangaroo Pocket, One Size</t>
        </is>
      </c>
      <c r="C2469" t="inlineStr">
        <is>
          <t>1CTHD531GY</t>
        </is>
      </c>
      <c r="D2469" t="inlineStr">
        <is>
          <t>Sweatshirts &amp; Hoodies</t>
        </is>
      </c>
      <c r="E2469" t="inlineStr">
        <is>
          <t>Catalonia</t>
        </is>
      </c>
      <c r="F2469" t="inlineStr">
        <is>
          <t>Batch 1 - TR</t>
        </is>
      </c>
      <c r="G2469" s="48" t="n">
        <v>0</v>
      </c>
      <c r="H2469" s="49" t="n">
        <v>0</v>
      </c>
      <c r="I2469" s="49" t="n">
        <v>0</v>
      </c>
      <c r="J2469" s="50" t="n">
        <v>0</v>
      </c>
      <c r="K2469" s="51" t="n">
        <v>0</v>
      </c>
      <c r="L2469" s="52" t="n">
        <v>0</v>
      </c>
      <c r="M2469" s="52" t="n">
        <v>0</v>
      </c>
      <c r="N2469" s="52" t="n">
        <v>0</v>
      </c>
      <c r="O2469" s="53" t="n">
        <v>0</v>
      </c>
      <c r="P2469" s="52" t="n">
        <v>0</v>
      </c>
      <c r="Q2469" s="53" t="n">
        <v>0</v>
      </c>
      <c r="R2469" s="52" t="n">
        <v>0</v>
      </c>
      <c r="S2469" s="51" t="n">
        <v>0</v>
      </c>
      <c r="T2469" s="48" t="n">
        <v>0</v>
      </c>
      <c r="U2469" s="49" t="n">
        <v>0</v>
      </c>
      <c r="V2469" s="49" t="n">
        <v>0</v>
      </c>
      <c r="W2469" s="50" t="n">
        <v>0</v>
      </c>
      <c r="X2469" s="51" t="n">
        <v>0</v>
      </c>
      <c r="Y2469" s="52" t="n">
        <v>0</v>
      </c>
      <c r="Z2469" s="52" t="n">
        <v>0</v>
      </c>
      <c r="AA2469" s="52" t="n">
        <v>0</v>
      </c>
      <c r="AB2469" s="53" t="n">
        <v>0</v>
      </c>
      <c r="AC2469" s="52" t="n">
        <v>0</v>
      </c>
      <c r="AD2469" s="53" t="n">
        <v>0</v>
      </c>
      <c r="AE2469" s="52" t="n">
        <v>0</v>
      </c>
      <c r="AF2469" s="51" t="n">
        <v>0</v>
      </c>
      <c r="AG2469" s="48" t="n">
        <v>0</v>
      </c>
      <c r="AH2469" s="49" t="n">
        <v>0</v>
      </c>
      <c r="AI2469" s="49" t="n">
        <v>0</v>
      </c>
      <c r="AJ2469" s="50" t="n">
        <v>0</v>
      </c>
      <c r="AK2469" s="51" t="n">
        <v>0</v>
      </c>
      <c r="AL2469" s="52" t="n">
        <v>0</v>
      </c>
      <c r="AM2469" s="52" t="n">
        <v>0</v>
      </c>
      <c r="AN2469" s="52" t="n">
        <v>0</v>
      </c>
      <c r="AO2469" s="53" t="n">
        <v>0</v>
      </c>
      <c r="AP2469" s="52" t="n">
        <v>0</v>
      </c>
      <c r="AQ2469" s="53" t="n">
        <v>0</v>
      </c>
      <c r="AR2469" s="52" t="n">
        <v>0</v>
      </c>
      <c r="AS2469" s="51" t="n">
        <v>0</v>
      </c>
      <c r="AT2469" s="48" t="n">
        <v>0</v>
      </c>
      <c r="AU2469" s="49" t="n">
        <v>0</v>
      </c>
      <c r="AV2469" s="49" t="n">
        <v>0</v>
      </c>
      <c r="AW2469" s="50" t="n">
        <v>0</v>
      </c>
      <c r="AX2469" s="51" t="n">
        <v>0</v>
      </c>
      <c r="AY2469" s="52" t="n">
        <v>0</v>
      </c>
      <c r="AZ2469" s="52" t="n">
        <v>0</v>
      </c>
      <c r="BA2469" s="52" t="n">
        <v>0</v>
      </c>
      <c r="BB2469" s="53" t="n">
        <v>0</v>
      </c>
      <c r="BC2469" s="52" t="n">
        <v>0</v>
      </c>
      <c r="BD2469" s="53" t="n">
        <v>0</v>
      </c>
      <c r="BE2469" s="52" t="n">
        <v>0</v>
      </c>
      <c r="BF2469" s="51" t="n">
        <v>0</v>
      </c>
    </row>
    <row r="2470">
      <c r="A2470">
        <f>HYPERLINK("https://www.walmart.com/ip/182756136", "182756136")</f>
        <v/>
      </c>
      <c r="B2470" t="inlineStr">
        <is>
          <t>Fashion Ladies Beileise Sexy Crotchless Suspender Pantyhose Stockings Black - 3 Packs</t>
        </is>
      </c>
      <c r="C2470" t="inlineStr">
        <is>
          <t>JWBLSPH2041-3pcs</t>
        </is>
      </c>
      <c r="D2470" t="inlineStr">
        <is>
          <t>Pantyhose &amp; Tights</t>
        </is>
      </c>
      <c r="E2470" t="inlineStr">
        <is>
          <t>JenniWears</t>
        </is>
      </c>
      <c r="F2470" t="inlineStr">
        <is>
          <t>Optimized,Valentine</t>
        </is>
      </c>
      <c r="G2470" s="48" t="n">
        <v>0</v>
      </c>
      <c r="H2470" s="49" t="n">
        <v>0</v>
      </c>
      <c r="I2470" s="49" t="n">
        <v>0</v>
      </c>
      <c r="J2470" s="50" t="n">
        <v>0</v>
      </c>
      <c r="K2470" s="51" t="n">
        <v>0</v>
      </c>
      <c r="L2470" s="52" t="n">
        <v>0</v>
      </c>
      <c r="M2470" s="52" t="n">
        <v>0</v>
      </c>
      <c r="N2470" s="52" t="n">
        <v>0</v>
      </c>
      <c r="O2470" s="53" t="n">
        <v>0</v>
      </c>
      <c r="P2470" s="52" t="n">
        <v>0</v>
      </c>
      <c r="Q2470" s="53" t="n">
        <v>0</v>
      </c>
      <c r="R2470" s="52" t="n">
        <v>0</v>
      </c>
      <c r="S2470" s="51" t="n">
        <v>0</v>
      </c>
      <c r="T2470" s="48" t="n">
        <v>0</v>
      </c>
      <c r="U2470" s="49" t="n">
        <v>0</v>
      </c>
      <c r="V2470" s="49" t="n">
        <v>0</v>
      </c>
      <c r="W2470" s="50" t="n">
        <v>0</v>
      </c>
      <c r="X2470" s="51" t="n">
        <v>0</v>
      </c>
      <c r="Y2470" s="52" t="n">
        <v>0</v>
      </c>
      <c r="Z2470" s="52" t="n">
        <v>0</v>
      </c>
      <c r="AA2470" s="52" t="n">
        <v>0</v>
      </c>
      <c r="AB2470" s="53" t="n">
        <v>0</v>
      </c>
      <c r="AC2470" s="52" t="n">
        <v>0</v>
      </c>
      <c r="AD2470" s="53" t="n">
        <v>0</v>
      </c>
      <c r="AE2470" s="52" t="n">
        <v>0</v>
      </c>
      <c r="AF2470" s="51" t="n">
        <v>0</v>
      </c>
      <c r="AG2470" s="48" t="n">
        <v>0</v>
      </c>
      <c r="AH2470" s="49" t="n">
        <v>0</v>
      </c>
      <c r="AI2470" s="49" t="n">
        <v>0</v>
      </c>
      <c r="AJ2470" s="50" t="n">
        <v>0</v>
      </c>
      <c r="AK2470" s="51" t="n">
        <v>0</v>
      </c>
      <c r="AL2470" s="52" t="n">
        <v>0</v>
      </c>
      <c r="AM2470" s="52" t="n">
        <v>0</v>
      </c>
      <c r="AN2470" s="52" t="n">
        <v>0</v>
      </c>
      <c r="AO2470" s="53" t="n">
        <v>0</v>
      </c>
      <c r="AP2470" s="52" t="n">
        <v>0</v>
      </c>
      <c r="AQ2470" s="53" t="n">
        <v>0</v>
      </c>
      <c r="AR2470" s="52" t="n">
        <v>0</v>
      </c>
      <c r="AS2470" s="51" t="n">
        <v>0</v>
      </c>
      <c r="AT2470" s="48" t="n">
        <v>0</v>
      </c>
      <c r="AU2470" s="49" t="n">
        <v>0</v>
      </c>
      <c r="AV2470" s="49" t="n">
        <v>0</v>
      </c>
      <c r="AW2470" s="50" t="n">
        <v>0</v>
      </c>
      <c r="AX2470" s="51" t="n">
        <v>0</v>
      </c>
      <c r="AY2470" s="52" t="n">
        <v>0</v>
      </c>
      <c r="AZ2470" s="52" t="n">
        <v>0</v>
      </c>
      <c r="BA2470" s="52" t="n">
        <v>0</v>
      </c>
      <c r="BB2470" s="53" t="n">
        <v>0</v>
      </c>
      <c r="BC2470" s="52" t="n">
        <v>0</v>
      </c>
      <c r="BD2470" s="53" t="n">
        <v>0</v>
      </c>
      <c r="BE2470" s="52" t="n">
        <v>0</v>
      </c>
      <c r="BF2470" s="51" t="n">
        <v>0</v>
      </c>
    </row>
    <row r="2471">
      <c r="A2471">
        <f>HYPERLINK("https://www.walmart.com/ip/182862346", "182862346")</f>
        <v/>
      </c>
      <c r="B2471" t="inlineStr">
        <is>
          <t>KC Caps® Cotton Twill Deluxe Super Soft Mesh Adjustable Snapback Low Profile Trucker Baseball Cap</t>
        </is>
      </c>
      <c r="C2471" t="inlineStr">
        <is>
          <t>KCCAPSSZK641GY/ST</t>
        </is>
      </c>
      <c r="D2471" t="inlineStr">
        <is>
          <t>Hats</t>
        </is>
      </c>
      <c r="E2471" t="inlineStr">
        <is>
          <t>KC Caps</t>
        </is>
      </c>
      <c r="F2471" t="inlineStr">
        <is>
          <t>Optimized</t>
        </is>
      </c>
      <c r="G2471" s="48" t="n">
        <v>0</v>
      </c>
      <c r="H2471" s="49" t="n">
        <v>0</v>
      </c>
      <c r="I2471" s="49" t="n">
        <v>0</v>
      </c>
      <c r="J2471" s="50" t="n">
        <v>0</v>
      </c>
      <c r="K2471" s="51" t="n">
        <v>0</v>
      </c>
      <c r="L2471" s="52" t="n">
        <v>0</v>
      </c>
      <c r="M2471" s="52" t="n">
        <v>0</v>
      </c>
      <c r="N2471" s="52" t="n">
        <v>0</v>
      </c>
      <c r="O2471" s="53" t="n">
        <v>0</v>
      </c>
      <c r="P2471" s="52" t="n">
        <v>0</v>
      </c>
      <c r="Q2471" s="53" t="n">
        <v>0</v>
      </c>
      <c r="R2471" s="52" t="n">
        <v>0</v>
      </c>
      <c r="S2471" s="51" t="n">
        <v>0</v>
      </c>
      <c r="T2471" s="48" t="n">
        <v>0</v>
      </c>
      <c r="U2471" s="49" t="n">
        <v>0</v>
      </c>
      <c r="V2471" s="49" t="n">
        <v>0</v>
      </c>
      <c r="W2471" s="50" t="n">
        <v>0</v>
      </c>
      <c r="X2471" s="51" t="n">
        <v>0</v>
      </c>
      <c r="Y2471" s="52" t="n">
        <v>0</v>
      </c>
      <c r="Z2471" s="52" t="n">
        <v>0</v>
      </c>
      <c r="AA2471" s="52" t="n">
        <v>0</v>
      </c>
      <c r="AB2471" s="53" t="n">
        <v>0</v>
      </c>
      <c r="AC2471" s="52" t="n">
        <v>0</v>
      </c>
      <c r="AD2471" s="53" t="n">
        <v>0</v>
      </c>
      <c r="AE2471" s="52" t="n">
        <v>0</v>
      </c>
      <c r="AF2471" s="51" t="n">
        <v>0</v>
      </c>
      <c r="AG2471" s="48" t="n">
        <v>0</v>
      </c>
      <c r="AH2471" s="49" t="n">
        <v>0</v>
      </c>
      <c r="AI2471" s="49" t="n">
        <v>0</v>
      </c>
      <c r="AJ2471" s="50" t="n">
        <v>0</v>
      </c>
      <c r="AK2471" s="51" t="n">
        <v>0</v>
      </c>
      <c r="AL2471" s="52" t="n">
        <v>0</v>
      </c>
      <c r="AM2471" s="52" t="n">
        <v>0</v>
      </c>
      <c r="AN2471" s="52" t="n">
        <v>0</v>
      </c>
      <c r="AO2471" s="53" t="n">
        <v>0</v>
      </c>
      <c r="AP2471" s="52" t="n">
        <v>0</v>
      </c>
      <c r="AQ2471" s="53" t="n">
        <v>0</v>
      </c>
      <c r="AR2471" s="52" t="n">
        <v>0</v>
      </c>
      <c r="AS2471" s="51" t="n">
        <v>0</v>
      </c>
      <c r="AT2471" s="48" t="n">
        <v>0</v>
      </c>
      <c r="AU2471" s="49" t="n">
        <v>0</v>
      </c>
      <c r="AV2471" s="49" t="n">
        <v>0</v>
      </c>
      <c r="AW2471" s="50" t="n">
        <v>0</v>
      </c>
      <c r="AX2471" s="51" t="n">
        <v>0</v>
      </c>
      <c r="AY2471" s="52" t="n">
        <v>0</v>
      </c>
      <c r="AZ2471" s="52" t="n">
        <v>0</v>
      </c>
      <c r="BA2471" s="52" t="n">
        <v>0</v>
      </c>
      <c r="BB2471" s="53" t="n">
        <v>0</v>
      </c>
      <c r="BC2471" s="52" t="n">
        <v>0</v>
      </c>
      <c r="BD2471" s="53" t="n">
        <v>0</v>
      </c>
      <c r="BE2471" s="52" t="n">
        <v>0</v>
      </c>
      <c r="BF2471" s="51" t="n">
        <v>0</v>
      </c>
    </row>
    <row r="2472">
      <c r="A2472">
        <f>HYPERLINK("https://www.walmart.com/ip/1828821442", "1828821442")</f>
        <v/>
      </c>
      <c r="B2472" t="inlineStr">
        <is>
          <t>Catalonia Wearable Blanket Adult with Sleeves Arms,Soft Cozy Plush Fleece Wrap Throws Blanket Robe,One Size Fit All, Cow</t>
        </is>
      </c>
      <c r="C2472" t="inlineStr">
        <is>
          <t>1CTSN150DMT</t>
        </is>
      </c>
      <c r="D2472" t="inlineStr">
        <is>
          <t>Throws</t>
        </is>
      </c>
      <c r="E2472" t="inlineStr">
        <is>
          <t>Catalonia</t>
        </is>
      </c>
      <c r="F2472" t="inlineStr">
        <is>
          <t>Batch 1 - TR</t>
        </is>
      </c>
      <c r="G2472" s="48" t="n">
        <v>0</v>
      </c>
      <c r="H2472" s="49" t="n">
        <v>0</v>
      </c>
      <c r="I2472" s="49" t="n">
        <v>0</v>
      </c>
      <c r="J2472" s="50" t="n">
        <v>0</v>
      </c>
      <c r="K2472" s="51" t="n">
        <v>0</v>
      </c>
      <c r="L2472" s="52" t="n">
        <v>0</v>
      </c>
      <c r="M2472" s="52" t="n">
        <v>0</v>
      </c>
      <c r="N2472" s="52" t="n">
        <v>0</v>
      </c>
      <c r="O2472" s="53" t="n">
        <v>0</v>
      </c>
      <c r="P2472" s="52" t="n">
        <v>0</v>
      </c>
      <c r="Q2472" s="53" t="n">
        <v>0</v>
      </c>
      <c r="R2472" s="52" t="n">
        <v>0</v>
      </c>
      <c r="S2472" s="51" t="n">
        <v>0</v>
      </c>
      <c r="T2472" s="48" t="n">
        <v>0</v>
      </c>
      <c r="U2472" s="49" t="n">
        <v>0</v>
      </c>
      <c r="V2472" s="49" t="n">
        <v>0</v>
      </c>
      <c r="W2472" s="50" t="n">
        <v>0</v>
      </c>
      <c r="X2472" s="51" t="n">
        <v>0</v>
      </c>
      <c r="Y2472" s="52" t="n">
        <v>0</v>
      </c>
      <c r="Z2472" s="52" t="n">
        <v>0</v>
      </c>
      <c r="AA2472" s="52" t="n">
        <v>0</v>
      </c>
      <c r="AB2472" s="53" t="n">
        <v>0</v>
      </c>
      <c r="AC2472" s="52" t="n">
        <v>0</v>
      </c>
      <c r="AD2472" s="53" t="n">
        <v>0</v>
      </c>
      <c r="AE2472" s="52" t="n">
        <v>0</v>
      </c>
      <c r="AF2472" s="51" t="n">
        <v>0</v>
      </c>
      <c r="AG2472" s="48" t="n">
        <v>0</v>
      </c>
      <c r="AH2472" s="49" t="n">
        <v>0</v>
      </c>
      <c r="AI2472" s="49" t="n">
        <v>0</v>
      </c>
      <c r="AJ2472" s="50" t="n">
        <v>0</v>
      </c>
      <c r="AK2472" s="51" t="n">
        <v>0</v>
      </c>
      <c r="AL2472" s="52" t="n">
        <v>0</v>
      </c>
      <c r="AM2472" s="52" t="n">
        <v>0</v>
      </c>
      <c r="AN2472" s="52" t="n">
        <v>0</v>
      </c>
      <c r="AO2472" s="53" t="n">
        <v>0</v>
      </c>
      <c r="AP2472" s="52" t="n">
        <v>0</v>
      </c>
      <c r="AQ2472" s="53" t="n">
        <v>0</v>
      </c>
      <c r="AR2472" s="52" t="n">
        <v>0</v>
      </c>
      <c r="AS2472" s="51" t="n">
        <v>0</v>
      </c>
      <c r="AT2472" s="48" t="n">
        <v>0</v>
      </c>
      <c r="AU2472" s="49" t="n">
        <v>0</v>
      </c>
      <c r="AV2472" s="49" t="n">
        <v>0</v>
      </c>
      <c r="AW2472" s="50" t="n">
        <v>0</v>
      </c>
      <c r="AX2472" s="51" t="n">
        <v>0</v>
      </c>
      <c r="AY2472" s="52" t="n">
        <v>0</v>
      </c>
      <c r="AZ2472" s="52" t="n">
        <v>0</v>
      </c>
      <c r="BA2472" s="52" t="n">
        <v>0</v>
      </c>
      <c r="BB2472" s="53" t="n">
        <v>0</v>
      </c>
      <c r="BC2472" s="52" t="n">
        <v>0</v>
      </c>
      <c r="BD2472" s="53" t="n">
        <v>0</v>
      </c>
      <c r="BE2472" s="52" t="n">
        <v>0</v>
      </c>
      <c r="BF2472" s="51" t="n">
        <v>0</v>
      </c>
    </row>
    <row r="2473">
      <c r="A2473">
        <f>HYPERLINK("https://www.walmart.com/ip/183022929", "183022929")</f>
        <v/>
      </c>
      <c r="B2473" t="inlineStr">
        <is>
          <t>Terra Active Wrap- Stylish Running workout travel waist belt w/ hidden pocket</t>
        </is>
      </c>
      <c r="C2473" t="inlineStr">
        <is>
          <t>TERRA-3NG-M</t>
        </is>
      </c>
      <c r="D2473" t="inlineStr">
        <is>
          <t>Running Belts</t>
        </is>
      </c>
      <c r="E2473" t="inlineStr">
        <is>
          <t>Terra</t>
        </is>
      </c>
      <c r="F2473" t="inlineStr">
        <is>
          <t>Batch 1 - TR</t>
        </is>
      </c>
      <c r="G2473" s="48" t="n">
        <v>0</v>
      </c>
      <c r="H2473" s="49" t="n">
        <v>0</v>
      </c>
      <c r="I2473" s="49" t="n">
        <v>0</v>
      </c>
      <c r="J2473" s="50" t="n">
        <v>0</v>
      </c>
      <c r="K2473" s="51" t="n">
        <v>0</v>
      </c>
      <c r="L2473" s="52" t="n">
        <v>0</v>
      </c>
      <c r="M2473" s="52" t="n">
        <v>0</v>
      </c>
      <c r="N2473" s="52" t="n">
        <v>0</v>
      </c>
      <c r="O2473" s="53" t="n">
        <v>0</v>
      </c>
      <c r="P2473" s="52" t="n">
        <v>0</v>
      </c>
      <c r="Q2473" s="53" t="n">
        <v>0</v>
      </c>
      <c r="R2473" s="52" t="n">
        <v>0</v>
      </c>
      <c r="S2473" s="51" t="n">
        <v>0</v>
      </c>
      <c r="T2473" s="48" t="n">
        <v>0</v>
      </c>
      <c r="U2473" s="49" t="n">
        <v>0</v>
      </c>
      <c r="V2473" s="49" t="n">
        <v>0</v>
      </c>
      <c r="W2473" s="50" t="n">
        <v>0</v>
      </c>
      <c r="X2473" s="51" t="n">
        <v>0</v>
      </c>
      <c r="Y2473" s="52" t="n">
        <v>0</v>
      </c>
      <c r="Z2473" s="52" t="n">
        <v>0</v>
      </c>
      <c r="AA2473" s="52" t="n">
        <v>0</v>
      </c>
      <c r="AB2473" s="53" t="n">
        <v>0</v>
      </c>
      <c r="AC2473" s="52" t="n">
        <v>0</v>
      </c>
      <c r="AD2473" s="53" t="n">
        <v>0</v>
      </c>
      <c r="AE2473" s="52" t="n">
        <v>0</v>
      </c>
      <c r="AF2473" s="51" t="n">
        <v>0</v>
      </c>
      <c r="AG2473" s="48" t="n">
        <v>0</v>
      </c>
      <c r="AH2473" s="49" t="n">
        <v>0</v>
      </c>
      <c r="AI2473" s="49" t="n">
        <v>0</v>
      </c>
      <c r="AJ2473" s="50" t="n">
        <v>0</v>
      </c>
      <c r="AK2473" s="51" t="n">
        <v>0</v>
      </c>
      <c r="AL2473" s="52" t="n">
        <v>0</v>
      </c>
      <c r="AM2473" s="52" t="n">
        <v>0</v>
      </c>
      <c r="AN2473" s="52" t="n">
        <v>0</v>
      </c>
      <c r="AO2473" s="53" t="n">
        <v>0</v>
      </c>
      <c r="AP2473" s="52" t="n">
        <v>0</v>
      </c>
      <c r="AQ2473" s="53" t="n">
        <v>0</v>
      </c>
      <c r="AR2473" s="52" t="n">
        <v>0</v>
      </c>
      <c r="AS2473" s="51" t="n">
        <v>0</v>
      </c>
      <c r="AT2473" s="48" t="n">
        <v>0</v>
      </c>
      <c r="AU2473" s="49" t="n">
        <v>0</v>
      </c>
      <c r="AV2473" s="49" t="n">
        <v>0</v>
      </c>
      <c r="AW2473" s="50" t="n">
        <v>0</v>
      </c>
      <c r="AX2473" s="51" t="n">
        <v>0</v>
      </c>
      <c r="AY2473" s="52" t="n">
        <v>0</v>
      </c>
      <c r="AZ2473" s="52" t="n">
        <v>0</v>
      </c>
      <c r="BA2473" s="52" t="n">
        <v>0</v>
      </c>
      <c r="BB2473" s="53" t="n">
        <v>0</v>
      </c>
      <c r="BC2473" s="52" t="n">
        <v>0</v>
      </c>
      <c r="BD2473" s="53" t="n">
        <v>0</v>
      </c>
      <c r="BE2473" s="52" t="n">
        <v>0</v>
      </c>
      <c r="BF2473" s="51" t="n">
        <v>0</v>
      </c>
    </row>
    <row r="2474">
      <c r="A2474">
        <f>HYPERLINK("https://www.walmart.com/ip/183113730", "183113730")</f>
        <v/>
      </c>
      <c r="B2474" t="inlineStr">
        <is>
          <t>Runner Waist Pack - Hip Hug Running Fuel Belt with 2 Pockets - NO BOUNCE Runner's Fanny Pack - Storage Pouch Bag Runners</t>
        </is>
      </c>
      <c r="C2474" t="inlineStr">
        <is>
          <t>TERRA-3BL-L-ZJ</t>
        </is>
      </c>
      <c r="D2474" t="inlineStr">
        <is>
          <t>Fanny Packs</t>
        </is>
      </c>
      <c r="E2474" t="inlineStr">
        <is>
          <t>Terra</t>
        </is>
      </c>
      <c r="F2474" t="inlineStr">
        <is>
          <t>Batch 1 - TR</t>
        </is>
      </c>
      <c r="G2474" s="48" t="n">
        <v>0</v>
      </c>
      <c r="H2474" s="49" t="n">
        <v>0</v>
      </c>
      <c r="I2474" s="49" t="n">
        <v>0</v>
      </c>
      <c r="J2474" s="50" t="n">
        <v>0</v>
      </c>
      <c r="K2474" s="51" t="n">
        <v>0</v>
      </c>
      <c r="L2474" s="52" t="n">
        <v>0</v>
      </c>
      <c r="M2474" s="52" t="n">
        <v>0</v>
      </c>
      <c r="N2474" s="52" t="n">
        <v>0</v>
      </c>
      <c r="O2474" s="53" t="n">
        <v>0</v>
      </c>
      <c r="P2474" s="52" t="n">
        <v>0</v>
      </c>
      <c r="Q2474" s="53" t="n">
        <v>0</v>
      </c>
      <c r="R2474" s="52" t="n">
        <v>0</v>
      </c>
      <c r="S2474" s="51" t="n">
        <v>0</v>
      </c>
      <c r="T2474" s="48" t="n">
        <v>0</v>
      </c>
      <c r="U2474" s="49" t="n">
        <v>0</v>
      </c>
      <c r="V2474" s="49" t="n">
        <v>0</v>
      </c>
      <c r="W2474" s="50" t="n">
        <v>0</v>
      </c>
      <c r="X2474" s="51" t="n">
        <v>0</v>
      </c>
      <c r="Y2474" s="52" t="n">
        <v>0</v>
      </c>
      <c r="Z2474" s="52" t="n">
        <v>0</v>
      </c>
      <c r="AA2474" s="52" t="n">
        <v>0</v>
      </c>
      <c r="AB2474" s="53" t="n">
        <v>0</v>
      </c>
      <c r="AC2474" s="52" t="n">
        <v>0</v>
      </c>
      <c r="AD2474" s="53" t="n">
        <v>0</v>
      </c>
      <c r="AE2474" s="52" t="n">
        <v>0</v>
      </c>
      <c r="AF2474" s="51" t="n">
        <v>0</v>
      </c>
      <c r="AG2474" s="48" t="n">
        <v>0</v>
      </c>
      <c r="AH2474" s="49" t="n">
        <v>0</v>
      </c>
      <c r="AI2474" s="49" t="n">
        <v>0</v>
      </c>
      <c r="AJ2474" s="50" t="n">
        <v>0</v>
      </c>
      <c r="AK2474" s="51" t="n">
        <v>0</v>
      </c>
      <c r="AL2474" s="52" t="n">
        <v>0</v>
      </c>
      <c r="AM2474" s="52" t="n">
        <v>0</v>
      </c>
      <c r="AN2474" s="52" t="n">
        <v>0</v>
      </c>
      <c r="AO2474" s="53" t="n">
        <v>0</v>
      </c>
      <c r="AP2474" s="52" t="n">
        <v>0</v>
      </c>
      <c r="AQ2474" s="53" t="n">
        <v>0</v>
      </c>
      <c r="AR2474" s="52" t="n">
        <v>0</v>
      </c>
      <c r="AS2474" s="51" t="n">
        <v>0</v>
      </c>
      <c r="AT2474" s="48" t="n">
        <v>0</v>
      </c>
      <c r="AU2474" s="49" t="n">
        <v>0</v>
      </c>
      <c r="AV2474" s="49" t="n">
        <v>0</v>
      </c>
      <c r="AW2474" s="50" t="n">
        <v>0</v>
      </c>
      <c r="AX2474" s="51" t="n">
        <v>0</v>
      </c>
      <c r="AY2474" s="52" t="n">
        <v>0</v>
      </c>
      <c r="AZ2474" s="52" t="n">
        <v>0</v>
      </c>
      <c r="BA2474" s="52" t="n">
        <v>0</v>
      </c>
      <c r="BB2474" s="53" t="n">
        <v>0</v>
      </c>
      <c r="BC2474" s="52" t="n">
        <v>0</v>
      </c>
      <c r="BD2474" s="53" t="n">
        <v>0</v>
      </c>
      <c r="BE2474" s="52" t="n">
        <v>0</v>
      </c>
      <c r="BF2474" s="51" t="n">
        <v>0</v>
      </c>
    </row>
    <row r="2475">
      <c r="A2475">
        <f>HYPERLINK("https://www.walmart.com/ip/183134043", "183134043")</f>
        <v/>
      </c>
      <c r="B2475" t="inlineStr">
        <is>
          <t>Target® Slim Running Belts Adjustable Waist Pack Bag for iPhone 6s/plus Phone</t>
        </is>
      </c>
      <c r="C2475" t="inlineStr">
        <is>
          <t>TARGETWB01L-HP</t>
        </is>
      </c>
      <c r="D2475" t="inlineStr">
        <is>
          <t>Running Belts</t>
        </is>
      </c>
      <c r="E2475" t="inlineStr">
        <is>
          <t>Target</t>
        </is>
      </c>
      <c r="F2475" t="inlineStr">
        <is>
          <t>Optimized</t>
        </is>
      </c>
      <c r="G2475" s="48" t="n">
        <v>0</v>
      </c>
      <c r="H2475" s="49" t="n">
        <v>0</v>
      </c>
      <c r="I2475" s="49" t="n">
        <v>0</v>
      </c>
      <c r="J2475" s="50" t="n">
        <v>0</v>
      </c>
      <c r="K2475" s="51" t="n">
        <v>0</v>
      </c>
      <c r="L2475" s="52" t="n">
        <v>0</v>
      </c>
      <c r="M2475" s="52" t="n">
        <v>0</v>
      </c>
      <c r="N2475" s="52" t="n">
        <v>0</v>
      </c>
      <c r="O2475" s="53" t="n">
        <v>0</v>
      </c>
      <c r="P2475" s="52" t="n">
        <v>0</v>
      </c>
      <c r="Q2475" s="53" t="n">
        <v>0</v>
      </c>
      <c r="R2475" s="52" t="n">
        <v>0</v>
      </c>
      <c r="S2475" s="51" t="n">
        <v>0</v>
      </c>
      <c r="T2475" s="48" t="n">
        <v>0</v>
      </c>
      <c r="U2475" s="49" t="n">
        <v>0</v>
      </c>
      <c r="V2475" s="49" t="n">
        <v>0</v>
      </c>
      <c r="W2475" s="50" t="n">
        <v>0</v>
      </c>
      <c r="X2475" s="51" t="n">
        <v>0</v>
      </c>
      <c r="Y2475" s="52" t="n">
        <v>0</v>
      </c>
      <c r="Z2475" s="52" t="n">
        <v>0</v>
      </c>
      <c r="AA2475" s="52" t="n">
        <v>0</v>
      </c>
      <c r="AB2475" s="53" t="n">
        <v>0</v>
      </c>
      <c r="AC2475" s="52" t="n">
        <v>0</v>
      </c>
      <c r="AD2475" s="53" t="n">
        <v>0</v>
      </c>
      <c r="AE2475" s="52" t="n">
        <v>0</v>
      </c>
      <c r="AF2475" s="51" t="n">
        <v>0</v>
      </c>
      <c r="AG2475" s="48" t="n">
        <v>0</v>
      </c>
      <c r="AH2475" s="49" t="n">
        <v>0</v>
      </c>
      <c r="AI2475" s="49" t="n">
        <v>0</v>
      </c>
      <c r="AJ2475" s="50" t="n">
        <v>0</v>
      </c>
      <c r="AK2475" s="51" t="n">
        <v>0</v>
      </c>
      <c r="AL2475" s="52" t="n">
        <v>0</v>
      </c>
      <c r="AM2475" s="52" t="n">
        <v>0</v>
      </c>
      <c r="AN2475" s="52" t="n">
        <v>0</v>
      </c>
      <c r="AO2475" s="53" t="n">
        <v>0</v>
      </c>
      <c r="AP2475" s="52" t="n">
        <v>0</v>
      </c>
      <c r="AQ2475" s="53" t="n">
        <v>0</v>
      </c>
      <c r="AR2475" s="52" t="n">
        <v>0</v>
      </c>
      <c r="AS2475" s="51" t="n">
        <v>0</v>
      </c>
      <c r="AT2475" s="48" t="n">
        <v>0</v>
      </c>
      <c r="AU2475" s="49" t="n">
        <v>0</v>
      </c>
      <c r="AV2475" s="49" t="n">
        <v>0</v>
      </c>
      <c r="AW2475" s="50" t="n">
        <v>0</v>
      </c>
      <c r="AX2475" s="51" t="n">
        <v>0</v>
      </c>
      <c r="AY2475" s="52" t="n">
        <v>0</v>
      </c>
      <c r="AZ2475" s="52" t="n">
        <v>0</v>
      </c>
      <c r="BA2475" s="52" t="n">
        <v>0</v>
      </c>
      <c r="BB2475" s="53" t="n">
        <v>0</v>
      </c>
      <c r="BC2475" s="52" t="n">
        <v>0</v>
      </c>
      <c r="BD2475" s="53" t="n">
        <v>0</v>
      </c>
      <c r="BE2475" s="52" t="n">
        <v>0</v>
      </c>
      <c r="BF2475" s="51" t="n">
        <v>0</v>
      </c>
    </row>
    <row r="2476">
      <c r="A2476">
        <f>HYPERLINK("https://www.walmart.com/ip/183843207", "183843207")</f>
        <v/>
      </c>
      <c r="B2476" t="inlineStr">
        <is>
          <t>KC Caps® Unisex Cotton Baseball Cap Adjustable Plain Hat (21 Styles/Colors)</t>
        </is>
      </c>
      <c r="C2476" t="inlineStr">
        <is>
          <t>KC8010KKGN</t>
        </is>
      </c>
      <c r="D2476" t="inlineStr">
        <is>
          <t>Hats</t>
        </is>
      </c>
      <c r="E2476" t="inlineStr">
        <is>
          <t>KC Caps</t>
        </is>
      </c>
      <c r="F2476" t="inlineStr">
        <is>
          <t>Optimized</t>
        </is>
      </c>
      <c r="G2476" s="48" t="n">
        <v>0</v>
      </c>
      <c r="H2476" s="49" t="n">
        <v>0</v>
      </c>
      <c r="I2476" s="49" t="n">
        <v>0</v>
      </c>
      <c r="J2476" s="50" t="n">
        <v>0</v>
      </c>
      <c r="K2476" s="51" t="n">
        <v>0</v>
      </c>
      <c r="L2476" s="52" t="n">
        <v>0</v>
      </c>
      <c r="M2476" s="52" t="n">
        <v>0</v>
      </c>
      <c r="N2476" s="52" t="n">
        <v>0</v>
      </c>
      <c r="O2476" s="53" t="n">
        <v>0</v>
      </c>
      <c r="P2476" s="52" t="n">
        <v>0</v>
      </c>
      <c r="Q2476" s="53" t="n">
        <v>0</v>
      </c>
      <c r="R2476" s="52" t="n">
        <v>0</v>
      </c>
      <c r="S2476" s="51" t="n">
        <v>0</v>
      </c>
      <c r="T2476" s="48" t="n">
        <v>0</v>
      </c>
      <c r="U2476" s="49" t="n">
        <v>0</v>
      </c>
      <c r="V2476" s="49" t="n">
        <v>0</v>
      </c>
      <c r="W2476" s="50" t="n">
        <v>0</v>
      </c>
      <c r="X2476" s="51" t="n">
        <v>0</v>
      </c>
      <c r="Y2476" s="52" t="n">
        <v>0</v>
      </c>
      <c r="Z2476" s="52" t="n">
        <v>0</v>
      </c>
      <c r="AA2476" s="52" t="n">
        <v>0</v>
      </c>
      <c r="AB2476" s="53" t="n">
        <v>0</v>
      </c>
      <c r="AC2476" s="52" t="n">
        <v>0</v>
      </c>
      <c r="AD2476" s="53" t="n">
        <v>0</v>
      </c>
      <c r="AE2476" s="52" t="n">
        <v>0</v>
      </c>
      <c r="AF2476" s="51" t="n">
        <v>0</v>
      </c>
      <c r="AG2476" s="48" t="n">
        <v>7.99</v>
      </c>
      <c r="AH2476" s="49" t="n">
        <v>1</v>
      </c>
      <c r="AI2476" s="49" t="n">
        <v>0</v>
      </c>
      <c r="AJ2476" s="50" t="n">
        <v>0</v>
      </c>
      <c r="AK2476" s="51" t="n">
        <v>0</v>
      </c>
      <c r="AL2476" s="52" t="n">
        <v>0</v>
      </c>
      <c r="AM2476" s="52" t="n">
        <v>0</v>
      </c>
      <c r="AN2476" s="52" t="n">
        <v>0</v>
      </c>
      <c r="AO2476" s="53" t="n">
        <v>0</v>
      </c>
      <c r="AP2476" s="52" t="n">
        <v>0</v>
      </c>
      <c r="AQ2476" s="53" t="n">
        <v>0</v>
      </c>
      <c r="AR2476" s="52" t="n">
        <v>7.99</v>
      </c>
      <c r="AS2476" s="51" t="n">
        <v>0</v>
      </c>
      <c r="AT2476" s="48" t="n">
        <v>0</v>
      </c>
      <c r="AU2476" s="49" t="n">
        <v>0</v>
      </c>
      <c r="AV2476" s="49" t="n">
        <v>0</v>
      </c>
      <c r="AW2476" s="50" t="n">
        <v>0</v>
      </c>
      <c r="AX2476" s="51" t="n">
        <v>0</v>
      </c>
      <c r="AY2476" s="52" t="n">
        <v>0</v>
      </c>
      <c r="AZ2476" s="52" t="n">
        <v>0</v>
      </c>
      <c r="BA2476" s="52" t="n">
        <v>0</v>
      </c>
      <c r="BB2476" s="53" t="n">
        <v>0</v>
      </c>
      <c r="BC2476" s="52" t="n">
        <v>0</v>
      </c>
      <c r="BD2476" s="53" t="n">
        <v>0</v>
      </c>
      <c r="BE2476" s="52" t="n">
        <v>0</v>
      </c>
      <c r="BF2476" s="51" t="n">
        <v>0</v>
      </c>
    </row>
    <row r="2477">
      <c r="A2477">
        <f>HYPERLINK("https://www.walmart.com/ip/183866106", "183866106")</f>
        <v/>
      </c>
      <c r="B2477" t="inlineStr">
        <is>
          <t>Terra Faux Fur Pom Pom Beanie Hat Slouchy Solid Plain Knit Unisex Stretches to Fit Most</t>
        </is>
      </c>
      <c r="C2477" t="inlineStr">
        <is>
          <t>TERRAPPH03LATTE</t>
        </is>
      </c>
      <c r="D2477" t="inlineStr">
        <is>
          <t>Hats</t>
        </is>
      </c>
      <c r="E2477" t="inlineStr">
        <is>
          <t>Terra</t>
        </is>
      </c>
      <c r="F2477" t="inlineStr">
        <is>
          <t>Batch 1 - TR</t>
        </is>
      </c>
      <c r="G2477" s="48" t="n">
        <v>0</v>
      </c>
      <c r="H2477" s="49" t="n">
        <v>0</v>
      </c>
      <c r="I2477" s="49" t="n">
        <v>0</v>
      </c>
      <c r="J2477" s="50" t="n">
        <v>0</v>
      </c>
      <c r="K2477" s="51" t="n">
        <v>0</v>
      </c>
      <c r="L2477" s="52" t="n">
        <v>0</v>
      </c>
      <c r="M2477" s="52" t="n">
        <v>0</v>
      </c>
      <c r="N2477" s="52" t="n">
        <v>0</v>
      </c>
      <c r="O2477" s="53" t="n">
        <v>0</v>
      </c>
      <c r="P2477" s="52" t="n">
        <v>0</v>
      </c>
      <c r="Q2477" s="53" t="n">
        <v>0</v>
      </c>
      <c r="R2477" s="52" t="n">
        <v>0</v>
      </c>
      <c r="S2477" s="51" t="n">
        <v>0</v>
      </c>
      <c r="T2477" s="48" t="n">
        <v>0</v>
      </c>
      <c r="U2477" s="49" t="n">
        <v>0</v>
      </c>
      <c r="V2477" s="49" t="n">
        <v>0</v>
      </c>
      <c r="W2477" s="50" t="n">
        <v>0</v>
      </c>
      <c r="X2477" s="51" t="n">
        <v>0</v>
      </c>
      <c r="Y2477" s="52" t="n">
        <v>0</v>
      </c>
      <c r="Z2477" s="52" t="n">
        <v>0</v>
      </c>
      <c r="AA2477" s="52" t="n">
        <v>0</v>
      </c>
      <c r="AB2477" s="53" t="n">
        <v>0</v>
      </c>
      <c r="AC2477" s="52" t="n">
        <v>0</v>
      </c>
      <c r="AD2477" s="53" t="n">
        <v>0</v>
      </c>
      <c r="AE2477" s="52" t="n">
        <v>0</v>
      </c>
      <c r="AF2477" s="51" t="n">
        <v>0</v>
      </c>
      <c r="AG2477" s="48" t="n">
        <v>0</v>
      </c>
      <c r="AH2477" s="49" t="n">
        <v>0</v>
      </c>
      <c r="AI2477" s="49" t="n">
        <v>0</v>
      </c>
      <c r="AJ2477" s="50" t="n">
        <v>0</v>
      </c>
      <c r="AK2477" s="51" t="n">
        <v>0</v>
      </c>
      <c r="AL2477" s="52" t="n">
        <v>0</v>
      </c>
      <c r="AM2477" s="52" t="n">
        <v>0</v>
      </c>
      <c r="AN2477" s="52" t="n">
        <v>0</v>
      </c>
      <c r="AO2477" s="53" t="n">
        <v>0</v>
      </c>
      <c r="AP2477" s="52" t="n">
        <v>0</v>
      </c>
      <c r="AQ2477" s="53" t="n">
        <v>0</v>
      </c>
      <c r="AR2477" s="52" t="n">
        <v>0</v>
      </c>
      <c r="AS2477" s="51" t="n">
        <v>0</v>
      </c>
      <c r="AT2477" s="48" t="n">
        <v>0</v>
      </c>
      <c r="AU2477" s="49" t="n">
        <v>0</v>
      </c>
      <c r="AV2477" s="49" t="n">
        <v>0</v>
      </c>
      <c r="AW2477" s="50" t="n">
        <v>0</v>
      </c>
      <c r="AX2477" s="51" t="n">
        <v>0</v>
      </c>
      <c r="AY2477" s="52" t="n">
        <v>0</v>
      </c>
      <c r="AZ2477" s="52" t="n">
        <v>0</v>
      </c>
      <c r="BA2477" s="52" t="n">
        <v>0</v>
      </c>
      <c r="BB2477" s="53" t="n">
        <v>0</v>
      </c>
      <c r="BC2477" s="52" t="n">
        <v>0</v>
      </c>
      <c r="BD2477" s="53" t="n">
        <v>0</v>
      </c>
      <c r="BE2477" s="52" t="n">
        <v>0</v>
      </c>
      <c r="BF2477" s="51" t="n">
        <v>0</v>
      </c>
    </row>
    <row r="2478">
      <c r="A2478">
        <f>HYPERLINK("https://www.walmart.com/ip/1839020688", "1839020688")</f>
        <v/>
      </c>
      <c r="B2478" t="inlineStr">
        <is>
          <t>Catalonia Reversible Cooling Blanket, Lightweight Summer Comforter for Hot Sleepers, Silky Soft Summer Duvet Throw Size, 50x60 inches, Soft Breathable, Blue</t>
        </is>
      </c>
      <c r="C2478" t="inlineStr">
        <is>
          <t>1CTBQ100BL</t>
        </is>
      </c>
      <c r="D2478" t="inlineStr">
        <is>
          <t>Bed Blankets</t>
        </is>
      </c>
      <c r="E2478" t="inlineStr">
        <is>
          <t>Catalonia</t>
        </is>
      </c>
      <c r="F2478" t="inlineStr">
        <is>
          <t>Batch 1 - TR</t>
        </is>
      </c>
      <c r="G2478" s="48" t="n">
        <v>0</v>
      </c>
      <c r="H2478" s="49" t="n">
        <v>0</v>
      </c>
      <c r="I2478" s="49" t="n">
        <v>0</v>
      </c>
      <c r="J2478" s="50" t="n">
        <v>0</v>
      </c>
      <c r="K2478" s="51" t="n">
        <v>0</v>
      </c>
      <c r="L2478" s="52" t="n">
        <v>0</v>
      </c>
      <c r="M2478" s="52" t="n">
        <v>0</v>
      </c>
      <c r="N2478" s="52" t="n">
        <v>0</v>
      </c>
      <c r="O2478" s="53" t="n">
        <v>0</v>
      </c>
      <c r="P2478" s="52" t="n">
        <v>0</v>
      </c>
      <c r="Q2478" s="53" t="n">
        <v>0</v>
      </c>
      <c r="R2478" s="52" t="n">
        <v>0</v>
      </c>
      <c r="S2478" s="51" t="n">
        <v>0</v>
      </c>
      <c r="T2478" s="48" t="n">
        <v>0</v>
      </c>
      <c r="U2478" s="49" t="n">
        <v>0</v>
      </c>
      <c r="V2478" s="49" t="n">
        <v>0</v>
      </c>
      <c r="W2478" s="50" t="n">
        <v>0</v>
      </c>
      <c r="X2478" s="51" t="n">
        <v>0</v>
      </c>
      <c r="Y2478" s="52" t="n">
        <v>0</v>
      </c>
      <c r="Z2478" s="52" t="n">
        <v>0</v>
      </c>
      <c r="AA2478" s="52" t="n">
        <v>0</v>
      </c>
      <c r="AB2478" s="53" t="n">
        <v>0</v>
      </c>
      <c r="AC2478" s="52" t="n">
        <v>0</v>
      </c>
      <c r="AD2478" s="53" t="n">
        <v>0</v>
      </c>
      <c r="AE2478" s="52" t="n">
        <v>0</v>
      </c>
      <c r="AF2478" s="51" t="n">
        <v>0</v>
      </c>
      <c r="AG2478" s="48" t="n">
        <v>19.98</v>
      </c>
      <c r="AH2478" s="49" t="n">
        <v>1</v>
      </c>
      <c r="AI2478" s="49" t="n">
        <v>0</v>
      </c>
      <c r="AJ2478" s="50" t="n">
        <v>0</v>
      </c>
      <c r="AK2478" s="51" t="n">
        <v>0</v>
      </c>
      <c r="AL2478" s="52" t="n">
        <v>0</v>
      </c>
      <c r="AM2478" s="52" t="n">
        <v>0</v>
      </c>
      <c r="AN2478" s="52" t="n">
        <v>0</v>
      </c>
      <c r="AO2478" s="53" t="n">
        <v>0</v>
      </c>
      <c r="AP2478" s="52" t="n">
        <v>0</v>
      </c>
      <c r="AQ2478" s="53" t="n">
        <v>0</v>
      </c>
      <c r="AR2478" s="52" t="n">
        <v>19.98</v>
      </c>
      <c r="AS2478" s="51" t="n">
        <v>0</v>
      </c>
      <c r="AT2478" s="48" t="n">
        <v>0</v>
      </c>
      <c r="AU2478" s="49" t="n">
        <v>0</v>
      </c>
      <c r="AV2478" s="49" t="n">
        <v>0</v>
      </c>
      <c r="AW2478" s="50" t="n">
        <v>0</v>
      </c>
      <c r="AX2478" s="51" t="n">
        <v>0</v>
      </c>
      <c r="AY2478" s="52" t="n">
        <v>0</v>
      </c>
      <c r="AZ2478" s="52" t="n">
        <v>0</v>
      </c>
      <c r="BA2478" s="52" t="n">
        <v>0</v>
      </c>
      <c r="BB2478" s="53" t="n">
        <v>0</v>
      </c>
      <c r="BC2478" s="52" t="n">
        <v>0</v>
      </c>
      <c r="BD2478" s="53" t="n">
        <v>0</v>
      </c>
      <c r="BE2478" s="52" t="n">
        <v>0</v>
      </c>
      <c r="BF2478" s="51" t="n">
        <v>0</v>
      </c>
    </row>
    <row r="2479">
      <c r="A2479">
        <f>HYPERLINK("https://www.walmart.com/ip/190246992", "190246992")</f>
        <v/>
      </c>
      <c r="B2479" t="inlineStr">
        <is>
          <t>KC Caps Blank Cuff Hat Knit Beanie</t>
        </is>
      </c>
      <c r="C2479" t="inlineStr">
        <is>
          <t>KCW1720NV</t>
        </is>
      </c>
      <c r="D2479" t="inlineStr">
        <is>
          <t>Hats</t>
        </is>
      </c>
      <c r="E2479" t="inlineStr">
        <is>
          <t>KC Caps</t>
        </is>
      </c>
      <c r="F2479" t="inlineStr">
        <is>
          <t>Optimized</t>
        </is>
      </c>
      <c r="G2479" s="48" t="n">
        <v>0</v>
      </c>
      <c r="H2479" s="49" t="n">
        <v>0</v>
      </c>
      <c r="I2479" s="49" t="n">
        <v>0</v>
      </c>
      <c r="J2479" s="50" t="n">
        <v>0</v>
      </c>
      <c r="K2479" s="51" t="n">
        <v>0</v>
      </c>
      <c r="L2479" s="52" t="n">
        <v>0</v>
      </c>
      <c r="M2479" s="52" t="n">
        <v>0</v>
      </c>
      <c r="N2479" s="52" t="n">
        <v>0</v>
      </c>
      <c r="O2479" s="53" t="n">
        <v>0</v>
      </c>
      <c r="P2479" s="52" t="n">
        <v>0</v>
      </c>
      <c r="Q2479" s="53" t="n">
        <v>0</v>
      </c>
      <c r="R2479" s="52" t="n">
        <v>0</v>
      </c>
      <c r="S2479" s="51" t="n">
        <v>0</v>
      </c>
      <c r="T2479" s="48" t="n">
        <v>0</v>
      </c>
      <c r="U2479" s="49" t="n">
        <v>0</v>
      </c>
      <c r="V2479" s="49" t="n">
        <v>0</v>
      </c>
      <c r="W2479" s="50" t="n">
        <v>0</v>
      </c>
      <c r="X2479" s="51" t="n">
        <v>0</v>
      </c>
      <c r="Y2479" s="52" t="n">
        <v>0</v>
      </c>
      <c r="Z2479" s="52" t="n">
        <v>0</v>
      </c>
      <c r="AA2479" s="52" t="n">
        <v>0</v>
      </c>
      <c r="AB2479" s="53" t="n">
        <v>0</v>
      </c>
      <c r="AC2479" s="52" t="n">
        <v>0</v>
      </c>
      <c r="AD2479" s="53" t="n">
        <v>0</v>
      </c>
      <c r="AE2479" s="52" t="n">
        <v>0</v>
      </c>
      <c r="AF2479" s="51" t="n">
        <v>0</v>
      </c>
      <c r="AG2479" s="48" t="n">
        <v>0</v>
      </c>
      <c r="AH2479" s="49" t="n">
        <v>0</v>
      </c>
      <c r="AI2479" s="49" t="n">
        <v>0</v>
      </c>
      <c r="AJ2479" s="50" t="n">
        <v>0</v>
      </c>
      <c r="AK2479" s="51" t="n">
        <v>0</v>
      </c>
      <c r="AL2479" s="52" t="n">
        <v>0</v>
      </c>
      <c r="AM2479" s="52" t="n">
        <v>0</v>
      </c>
      <c r="AN2479" s="52" t="n">
        <v>0</v>
      </c>
      <c r="AO2479" s="53" t="n">
        <v>0</v>
      </c>
      <c r="AP2479" s="52" t="n">
        <v>0</v>
      </c>
      <c r="AQ2479" s="53" t="n">
        <v>0</v>
      </c>
      <c r="AR2479" s="52" t="n">
        <v>0</v>
      </c>
      <c r="AS2479" s="51" t="n">
        <v>0</v>
      </c>
      <c r="AT2479" s="48" t="n">
        <v>0</v>
      </c>
      <c r="AU2479" s="49" t="n">
        <v>0</v>
      </c>
      <c r="AV2479" s="49" t="n">
        <v>0</v>
      </c>
      <c r="AW2479" s="50" t="n">
        <v>0</v>
      </c>
      <c r="AX2479" s="51" t="n">
        <v>0</v>
      </c>
      <c r="AY2479" s="52" t="n">
        <v>0</v>
      </c>
      <c r="AZ2479" s="52" t="n">
        <v>0</v>
      </c>
      <c r="BA2479" s="52" t="n">
        <v>0</v>
      </c>
      <c r="BB2479" s="53" t="n">
        <v>0</v>
      </c>
      <c r="BC2479" s="52" t="n">
        <v>0</v>
      </c>
      <c r="BD2479" s="53" t="n">
        <v>0</v>
      </c>
      <c r="BE2479" s="52" t="n">
        <v>0</v>
      </c>
      <c r="BF2479" s="51" t="n">
        <v>0</v>
      </c>
    </row>
    <row r="2480">
      <c r="A2480">
        <f>HYPERLINK("https://www.walmart.com/ip/186555220", "186555220")</f>
        <v/>
      </c>
      <c r="B2480" t="inlineStr">
        <is>
          <t>KC Caps Men's Vintage Style Cotton Gatsby Ivy Newsboy Hat, Cap for Camping,Travelling, and Hiking, Large</t>
        </is>
      </c>
      <c r="C2480" t="inlineStr">
        <is>
          <t>KC 8080GATSBY-BL-L</t>
        </is>
      </c>
      <c r="D2480" t="inlineStr">
        <is>
          <t>Hats</t>
        </is>
      </c>
      <c r="E2480" t="inlineStr">
        <is>
          <t>KC Caps</t>
        </is>
      </c>
      <c r="F2480" t="inlineStr">
        <is>
          <t>Q2-Target,WFS,Hats,WFS Item</t>
        </is>
      </c>
      <c r="G2480" s="48" t="n">
        <v>0</v>
      </c>
      <c r="H2480" s="49" t="n">
        <v>0</v>
      </c>
      <c r="I2480" s="49" t="n">
        <v>0</v>
      </c>
      <c r="J2480" s="50" t="n">
        <v>0</v>
      </c>
      <c r="K2480" s="51" t="n">
        <v>0</v>
      </c>
      <c r="L2480" s="52" t="n">
        <v>0</v>
      </c>
      <c r="M2480" s="52" t="n">
        <v>0</v>
      </c>
      <c r="N2480" s="52" t="n">
        <v>0</v>
      </c>
      <c r="O2480" s="53" t="n">
        <v>0</v>
      </c>
      <c r="P2480" s="52" t="n">
        <v>0</v>
      </c>
      <c r="Q2480" s="53" t="n">
        <v>0</v>
      </c>
      <c r="R2480" s="52" t="n">
        <v>0</v>
      </c>
      <c r="S2480" s="51" t="n">
        <v>0</v>
      </c>
      <c r="T2480" s="48" t="n">
        <v>0</v>
      </c>
      <c r="U2480" s="49" t="n">
        <v>0</v>
      </c>
      <c r="V2480" s="49" t="n">
        <v>0</v>
      </c>
      <c r="W2480" s="50" t="n">
        <v>0</v>
      </c>
      <c r="X2480" s="51" t="n">
        <v>0</v>
      </c>
      <c r="Y2480" s="52" t="n">
        <v>0</v>
      </c>
      <c r="Z2480" s="52" t="n">
        <v>0</v>
      </c>
      <c r="AA2480" s="52" t="n">
        <v>0</v>
      </c>
      <c r="AB2480" s="53" t="n">
        <v>0</v>
      </c>
      <c r="AC2480" s="52" t="n">
        <v>0</v>
      </c>
      <c r="AD2480" s="53" t="n">
        <v>0</v>
      </c>
      <c r="AE2480" s="52" t="n">
        <v>0</v>
      </c>
      <c r="AF2480" s="51" t="n">
        <v>0</v>
      </c>
      <c r="AG2480" s="48" t="n">
        <v>0</v>
      </c>
      <c r="AH2480" s="49" t="n">
        <v>0</v>
      </c>
      <c r="AI2480" s="49" t="n">
        <v>0</v>
      </c>
      <c r="AJ2480" s="50" t="n">
        <v>0</v>
      </c>
      <c r="AK2480" s="51" t="n">
        <v>0</v>
      </c>
      <c r="AL2480" s="52" t="n">
        <v>0</v>
      </c>
      <c r="AM2480" s="52" t="n">
        <v>0</v>
      </c>
      <c r="AN2480" s="52" t="n">
        <v>0</v>
      </c>
      <c r="AO2480" s="53" t="n">
        <v>0</v>
      </c>
      <c r="AP2480" s="52" t="n">
        <v>0</v>
      </c>
      <c r="AQ2480" s="53" t="n">
        <v>0</v>
      </c>
      <c r="AR2480" s="52" t="n">
        <v>0</v>
      </c>
      <c r="AS2480" s="51" t="n">
        <v>0</v>
      </c>
      <c r="AT2480" s="48" t="n">
        <v>0</v>
      </c>
      <c r="AU2480" s="49" t="n">
        <v>0</v>
      </c>
      <c r="AV2480" s="49" t="n">
        <v>0</v>
      </c>
      <c r="AW2480" s="50" t="n">
        <v>0</v>
      </c>
      <c r="AX2480" s="51" t="n">
        <v>0</v>
      </c>
      <c r="AY2480" s="52" t="n">
        <v>0</v>
      </c>
      <c r="AZ2480" s="52" t="n">
        <v>0</v>
      </c>
      <c r="BA2480" s="52" t="n">
        <v>0</v>
      </c>
      <c r="BB2480" s="53" t="n">
        <v>0</v>
      </c>
      <c r="BC2480" s="52" t="n">
        <v>0</v>
      </c>
      <c r="BD2480" s="53" t="n">
        <v>0</v>
      </c>
      <c r="BE2480" s="52" t="n">
        <v>0</v>
      </c>
      <c r="BF2480" s="51" t="n">
        <v>0</v>
      </c>
    </row>
    <row r="2481">
      <c r="A2481">
        <f>HYPERLINK("https://www.walmart.com/ip/1882794861", "1882794861")</f>
        <v/>
      </c>
      <c r="B2481" t="inlineStr">
        <is>
          <t>Every Day is Christmas Glass Blown Ornaments 2022 Cute Hand Made Figurines Tree Decoration - 8.3cm glass set of 2 soccer ornament</t>
        </is>
      </c>
      <c r="C2481" t="inlineStr">
        <is>
          <t>EDC-FIGURINE-SOCCER</t>
        </is>
      </c>
      <c r="D2481" t="inlineStr">
        <is>
          <t>Ornaments</t>
        </is>
      </c>
      <c r="E2481" t="inlineStr">
        <is>
          <t>Every Day is Christmas</t>
        </is>
      </c>
      <c r="G2481" s="48" t="n">
        <v>0</v>
      </c>
      <c r="H2481" s="49" t="n">
        <v>0</v>
      </c>
      <c r="I2481" s="49" t="n">
        <v>0</v>
      </c>
      <c r="J2481" s="50" t="n">
        <v>0</v>
      </c>
      <c r="K2481" s="51" t="n">
        <v>0</v>
      </c>
      <c r="L2481" s="52" t="n">
        <v>0</v>
      </c>
      <c r="M2481" s="52" t="n">
        <v>0</v>
      </c>
      <c r="N2481" s="52" t="n">
        <v>0</v>
      </c>
      <c r="O2481" s="53" t="n">
        <v>0</v>
      </c>
      <c r="P2481" s="52" t="n">
        <v>0</v>
      </c>
      <c r="Q2481" s="53" t="n">
        <v>0</v>
      </c>
      <c r="R2481" s="52" t="n">
        <v>0</v>
      </c>
      <c r="S2481" s="51" t="n">
        <v>0</v>
      </c>
      <c r="T2481" s="48" t="n">
        <v>0</v>
      </c>
      <c r="U2481" s="49" t="n">
        <v>0</v>
      </c>
      <c r="V2481" s="49" t="n">
        <v>0</v>
      </c>
      <c r="W2481" s="50" t="n">
        <v>0</v>
      </c>
      <c r="X2481" s="51" t="n">
        <v>0</v>
      </c>
      <c r="Y2481" s="52" t="n">
        <v>0</v>
      </c>
      <c r="Z2481" s="52" t="n">
        <v>0</v>
      </c>
      <c r="AA2481" s="52" t="n">
        <v>0</v>
      </c>
      <c r="AB2481" s="53" t="n">
        <v>0</v>
      </c>
      <c r="AC2481" s="52" t="n">
        <v>0</v>
      </c>
      <c r="AD2481" s="53" t="n">
        <v>0</v>
      </c>
      <c r="AE2481" s="52" t="n">
        <v>0</v>
      </c>
      <c r="AF2481" s="51" t="n">
        <v>0</v>
      </c>
      <c r="AG2481" s="48" t="n">
        <v>0</v>
      </c>
      <c r="AH2481" s="49" t="n">
        <v>0</v>
      </c>
      <c r="AI2481" s="49" t="n">
        <v>0</v>
      </c>
      <c r="AJ2481" s="50" t="n">
        <v>0</v>
      </c>
      <c r="AK2481" s="51" t="n">
        <v>0</v>
      </c>
      <c r="AL2481" s="52" t="n">
        <v>0</v>
      </c>
      <c r="AM2481" s="52" t="n">
        <v>0</v>
      </c>
      <c r="AN2481" s="52" t="n">
        <v>0</v>
      </c>
      <c r="AO2481" s="53" t="n">
        <v>0</v>
      </c>
      <c r="AP2481" s="52" t="n">
        <v>0</v>
      </c>
      <c r="AQ2481" s="53" t="n">
        <v>0</v>
      </c>
      <c r="AR2481" s="52" t="n">
        <v>0</v>
      </c>
      <c r="AS2481" s="51" t="n">
        <v>0</v>
      </c>
      <c r="AT2481" s="48" t="n">
        <v>0</v>
      </c>
      <c r="AU2481" s="49" t="n">
        <v>0</v>
      </c>
      <c r="AV2481" s="49" t="n">
        <v>0</v>
      </c>
      <c r="AW2481" s="50" t="n">
        <v>0</v>
      </c>
      <c r="AX2481" s="51" t="n">
        <v>0</v>
      </c>
      <c r="AY2481" s="52" t="n">
        <v>0</v>
      </c>
      <c r="AZ2481" s="52" t="n">
        <v>0</v>
      </c>
      <c r="BA2481" s="52" t="n">
        <v>0</v>
      </c>
      <c r="BB2481" s="53" t="n">
        <v>0</v>
      </c>
      <c r="BC2481" s="52" t="n">
        <v>0</v>
      </c>
      <c r="BD2481" s="53" t="n">
        <v>0</v>
      </c>
      <c r="BE2481" s="52" t="n">
        <v>0</v>
      </c>
      <c r="BF2481" s="51" t="n">
        <v>0</v>
      </c>
    </row>
    <row r="2482">
      <c r="A2482">
        <f>HYPERLINK("https://www.walmart.com/ip/1892269532", "1892269532")</f>
        <v/>
      </c>
      <c r="B2482" t="inlineStr">
        <is>
          <t>Every Day is Christmas Glass Blown Ornaments Cute Hand Made Figurines Tree Decoration, Ambulance</t>
        </is>
      </c>
      <c r="C2482" t="inlineStr">
        <is>
          <t>EDC-FIGURINE-AMBULANCE</t>
        </is>
      </c>
      <c r="D2482" t="inlineStr">
        <is>
          <t>Ornaments</t>
        </is>
      </c>
      <c r="E2482" t="inlineStr">
        <is>
          <t>Every Day is Christmas</t>
        </is>
      </c>
      <c r="G2482" s="48" t="n">
        <v>0</v>
      </c>
      <c r="H2482" s="49" t="n">
        <v>0</v>
      </c>
      <c r="I2482" s="49" t="n">
        <v>0</v>
      </c>
      <c r="J2482" s="50" t="n">
        <v>0</v>
      </c>
      <c r="K2482" s="51" t="n">
        <v>0</v>
      </c>
      <c r="L2482" s="52" t="n">
        <v>0</v>
      </c>
      <c r="M2482" s="52" t="n">
        <v>0</v>
      </c>
      <c r="N2482" s="52" t="n">
        <v>0</v>
      </c>
      <c r="O2482" s="53" t="n">
        <v>0</v>
      </c>
      <c r="P2482" s="52" t="n">
        <v>0</v>
      </c>
      <c r="Q2482" s="53" t="n">
        <v>0</v>
      </c>
      <c r="R2482" s="52" t="n">
        <v>0</v>
      </c>
      <c r="S2482" s="51" t="n">
        <v>0</v>
      </c>
      <c r="T2482" s="48" t="n">
        <v>0</v>
      </c>
      <c r="U2482" s="49" t="n">
        <v>0</v>
      </c>
      <c r="V2482" s="49" t="n">
        <v>0</v>
      </c>
      <c r="W2482" s="50" t="n">
        <v>0</v>
      </c>
      <c r="X2482" s="51" t="n">
        <v>0</v>
      </c>
      <c r="Y2482" s="52" t="n">
        <v>0</v>
      </c>
      <c r="Z2482" s="52" t="n">
        <v>0</v>
      </c>
      <c r="AA2482" s="52" t="n">
        <v>0</v>
      </c>
      <c r="AB2482" s="53" t="n">
        <v>0</v>
      </c>
      <c r="AC2482" s="52" t="n">
        <v>0</v>
      </c>
      <c r="AD2482" s="53" t="n">
        <v>0</v>
      </c>
      <c r="AE2482" s="52" t="n">
        <v>0</v>
      </c>
      <c r="AF2482" s="51" t="n">
        <v>0</v>
      </c>
      <c r="AG2482" s="48" t="n">
        <v>0</v>
      </c>
      <c r="AH2482" s="49" t="n">
        <v>0</v>
      </c>
      <c r="AI2482" s="49" t="n">
        <v>0</v>
      </c>
      <c r="AJ2482" s="50" t="n">
        <v>0</v>
      </c>
      <c r="AK2482" s="51" t="n">
        <v>0</v>
      </c>
      <c r="AL2482" s="52" t="n">
        <v>0</v>
      </c>
      <c r="AM2482" s="52" t="n">
        <v>0</v>
      </c>
      <c r="AN2482" s="52" t="n">
        <v>0</v>
      </c>
      <c r="AO2482" s="53" t="n">
        <v>0</v>
      </c>
      <c r="AP2482" s="52" t="n">
        <v>0</v>
      </c>
      <c r="AQ2482" s="53" t="n">
        <v>0</v>
      </c>
      <c r="AR2482" s="52" t="n">
        <v>0</v>
      </c>
      <c r="AS2482" s="51" t="n">
        <v>0</v>
      </c>
      <c r="AT2482" s="48" t="n">
        <v>0</v>
      </c>
      <c r="AU2482" s="49" t="n">
        <v>0</v>
      </c>
      <c r="AV2482" s="49" t="n">
        <v>0</v>
      </c>
      <c r="AW2482" s="50" t="n">
        <v>0</v>
      </c>
      <c r="AX2482" s="51" t="n">
        <v>0</v>
      </c>
      <c r="AY2482" s="52" t="n">
        <v>0</v>
      </c>
      <c r="AZ2482" s="52" t="n">
        <v>0</v>
      </c>
      <c r="BA2482" s="52" t="n">
        <v>0</v>
      </c>
      <c r="BB2482" s="53" t="n">
        <v>0</v>
      </c>
      <c r="BC2482" s="52" t="n">
        <v>0</v>
      </c>
      <c r="BD2482" s="53" t="n">
        <v>0</v>
      </c>
      <c r="BE2482" s="52" t="n">
        <v>0</v>
      </c>
      <c r="BF2482" s="51" t="n">
        <v>0</v>
      </c>
    </row>
    <row r="2483">
      <c r="A2483">
        <f>HYPERLINK("https://www.walmart.com/ip/1891267767", "1891267767")</f>
        <v/>
      </c>
      <c r="B2483" t="inlineStr">
        <is>
          <t>Bucket Summer Mens Sun Hat Water Repel Mesh Net Light Weight UV Protection Outdoor Cap by Solaris</t>
        </is>
      </c>
      <c r="C2483" t="inlineStr">
        <is>
          <t>1SLSH191TN-12pcs</t>
        </is>
      </c>
      <c r="D2483" t="inlineStr">
        <is>
          <t>Hats</t>
        </is>
      </c>
      <c r="E2483" t="inlineStr">
        <is>
          <t>Solaris</t>
        </is>
      </c>
      <c r="F2483" t="inlineStr">
        <is>
          <t>Batch 1 - TR</t>
        </is>
      </c>
      <c r="G2483" s="48" t="n">
        <v>0</v>
      </c>
      <c r="H2483" s="49" t="n">
        <v>0</v>
      </c>
      <c r="I2483" s="49" t="n">
        <v>0</v>
      </c>
      <c r="J2483" s="50" t="n">
        <v>0</v>
      </c>
      <c r="K2483" s="51" t="n">
        <v>0</v>
      </c>
      <c r="L2483" s="52" t="n">
        <v>0</v>
      </c>
      <c r="M2483" s="52" t="n">
        <v>0</v>
      </c>
      <c r="N2483" s="52" t="n">
        <v>0</v>
      </c>
      <c r="O2483" s="53" t="n">
        <v>0</v>
      </c>
      <c r="P2483" s="52" t="n">
        <v>0</v>
      </c>
      <c r="Q2483" s="53" t="n">
        <v>0</v>
      </c>
      <c r="R2483" s="52" t="n">
        <v>0</v>
      </c>
      <c r="S2483" s="51" t="n">
        <v>0</v>
      </c>
      <c r="T2483" s="48" t="n">
        <v>0</v>
      </c>
      <c r="U2483" s="49" t="n">
        <v>0</v>
      </c>
      <c r="V2483" s="49" t="n">
        <v>0</v>
      </c>
      <c r="W2483" s="50" t="n">
        <v>0</v>
      </c>
      <c r="X2483" s="51" t="n">
        <v>0</v>
      </c>
      <c r="Y2483" s="52" t="n">
        <v>0</v>
      </c>
      <c r="Z2483" s="52" t="n">
        <v>0</v>
      </c>
      <c r="AA2483" s="52" t="n">
        <v>0</v>
      </c>
      <c r="AB2483" s="53" t="n">
        <v>0</v>
      </c>
      <c r="AC2483" s="52" t="n">
        <v>0</v>
      </c>
      <c r="AD2483" s="53" t="n">
        <v>0</v>
      </c>
      <c r="AE2483" s="52" t="n">
        <v>0</v>
      </c>
      <c r="AF2483" s="51" t="n">
        <v>0</v>
      </c>
      <c r="AG2483" s="48" t="n">
        <v>0</v>
      </c>
      <c r="AH2483" s="49" t="n">
        <v>0</v>
      </c>
      <c r="AI2483" s="49" t="n">
        <v>0</v>
      </c>
      <c r="AJ2483" s="50" t="n">
        <v>0</v>
      </c>
      <c r="AK2483" s="51" t="n">
        <v>0</v>
      </c>
      <c r="AL2483" s="52" t="n">
        <v>0</v>
      </c>
      <c r="AM2483" s="52" t="n">
        <v>0</v>
      </c>
      <c r="AN2483" s="52" t="n">
        <v>0</v>
      </c>
      <c r="AO2483" s="53" t="n">
        <v>0</v>
      </c>
      <c r="AP2483" s="52" t="n">
        <v>0</v>
      </c>
      <c r="AQ2483" s="53" t="n">
        <v>0</v>
      </c>
      <c r="AR2483" s="52" t="n">
        <v>0</v>
      </c>
      <c r="AS2483" s="51" t="n">
        <v>0</v>
      </c>
      <c r="AT2483" s="48" t="n">
        <v>0</v>
      </c>
      <c r="AU2483" s="49" t="n">
        <v>0</v>
      </c>
      <c r="AV2483" s="49" t="n">
        <v>0</v>
      </c>
      <c r="AW2483" s="50" t="n">
        <v>0</v>
      </c>
      <c r="AX2483" s="51" t="n">
        <v>0</v>
      </c>
      <c r="AY2483" s="52" t="n">
        <v>0</v>
      </c>
      <c r="AZ2483" s="52" t="n">
        <v>0</v>
      </c>
      <c r="BA2483" s="52" t="n">
        <v>0</v>
      </c>
      <c r="BB2483" s="53" t="n">
        <v>0</v>
      </c>
      <c r="BC2483" s="52" t="n">
        <v>0</v>
      </c>
      <c r="BD2483" s="53" t="n">
        <v>0</v>
      </c>
      <c r="BE2483" s="52" t="n">
        <v>0</v>
      </c>
      <c r="BF2483" s="51" t="n">
        <v>0</v>
      </c>
    </row>
    <row r="2484">
      <c r="A2484">
        <f>HYPERLINK("https://www.walmart.com/ip/1890457864", "1890457864")</f>
        <v/>
      </c>
      <c r="B2484" t="inlineStr">
        <is>
          <t>Every Day is Christmas Glass Blown Ornaments Cute Hand Made Figurines Tree Decoration, Bananas</t>
        </is>
      </c>
      <c r="C2484" t="inlineStr">
        <is>
          <t>EDC-FIGURINE-BANANAS</t>
        </is>
      </c>
      <c r="D2484" t="inlineStr">
        <is>
          <t>Ornaments</t>
        </is>
      </c>
      <c r="E2484" t="inlineStr">
        <is>
          <t>Every Day is Christmas</t>
        </is>
      </c>
      <c r="G2484" s="48" t="n">
        <v>0</v>
      </c>
      <c r="H2484" s="49" t="n">
        <v>0</v>
      </c>
      <c r="I2484" s="49" t="n">
        <v>0</v>
      </c>
      <c r="J2484" s="50" t="n">
        <v>0</v>
      </c>
      <c r="K2484" s="51" t="n">
        <v>0</v>
      </c>
      <c r="L2484" s="52" t="n">
        <v>0</v>
      </c>
      <c r="M2484" s="52" t="n">
        <v>0</v>
      </c>
      <c r="N2484" s="52" t="n">
        <v>0</v>
      </c>
      <c r="O2484" s="53" t="n">
        <v>0</v>
      </c>
      <c r="P2484" s="52" t="n">
        <v>0</v>
      </c>
      <c r="Q2484" s="53" t="n">
        <v>0</v>
      </c>
      <c r="R2484" s="52" t="n">
        <v>0</v>
      </c>
      <c r="S2484" s="51" t="n">
        <v>0</v>
      </c>
      <c r="T2484" s="48" t="n">
        <v>0</v>
      </c>
      <c r="U2484" s="49" t="n">
        <v>0</v>
      </c>
      <c r="V2484" s="49" t="n">
        <v>0</v>
      </c>
      <c r="W2484" s="50" t="n">
        <v>0</v>
      </c>
      <c r="X2484" s="51" t="n">
        <v>0</v>
      </c>
      <c r="Y2484" s="52" t="n">
        <v>0</v>
      </c>
      <c r="Z2484" s="52" t="n">
        <v>0</v>
      </c>
      <c r="AA2484" s="52" t="n">
        <v>0</v>
      </c>
      <c r="AB2484" s="53" t="n">
        <v>0</v>
      </c>
      <c r="AC2484" s="52" t="n">
        <v>0</v>
      </c>
      <c r="AD2484" s="53" t="n">
        <v>0</v>
      </c>
      <c r="AE2484" s="52" t="n">
        <v>0</v>
      </c>
      <c r="AF2484" s="51" t="n">
        <v>0</v>
      </c>
      <c r="AG2484" s="48" t="n">
        <v>0</v>
      </c>
      <c r="AH2484" s="49" t="n">
        <v>0</v>
      </c>
      <c r="AI2484" s="49" t="n">
        <v>0</v>
      </c>
      <c r="AJ2484" s="50" t="n">
        <v>0</v>
      </c>
      <c r="AK2484" s="51" t="n">
        <v>0</v>
      </c>
      <c r="AL2484" s="52" t="n">
        <v>0</v>
      </c>
      <c r="AM2484" s="52" t="n">
        <v>0</v>
      </c>
      <c r="AN2484" s="52" t="n">
        <v>0</v>
      </c>
      <c r="AO2484" s="53" t="n">
        <v>0</v>
      </c>
      <c r="AP2484" s="52" t="n">
        <v>0</v>
      </c>
      <c r="AQ2484" s="53" t="n">
        <v>0</v>
      </c>
      <c r="AR2484" s="52" t="n">
        <v>0</v>
      </c>
      <c r="AS2484" s="51" t="n">
        <v>0</v>
      </c>
      <c r="AT2484" s="48" t="n">
        <v>0</v>
      </c>
      <c r="AU2484" s="49" t="n">
        <v>0</v>
      </c>
      <c r="AV2484" s="49" t="n">
        <v>0</v>
      </c>
      <c r="AW2484" s="50" t="n">
        <v>0</v>
      </c>
      <c r="AX2484" s="51" t="n">
        <v>0</v>
      </c>
      <c r="AY2484" s="52" t="n">
        <v>0</v>
      </c>
      <c r="AZ2484" s="52" t="n">
        <v>0</v>
      </c>
      <c r="BA2484" s="52" t="n">
        <v>0</v>
      </c>
      <c r="BB2484" s="53" t="n">
        <v>0</v>
      </c>
      <c r="BC2484" s="52" t="n">
        <v>0</v>
      </c>
      <c r="BD2484" s="53" t="n">
        <v>0</v>
      </c>
      <c r="BE2484" s="52" t="n">
        <v>0</v>
      </c>
      <c r="BF2484" s="51" t="n">
        <v>0</v>
      </c>
    </row>
    <row r="2485">
      <c r="A2485">
        <f>HYPERLINK("https://www.walmart.com/ip/1890050294", "1890050294")</f>
        <v/>
      </c>
      <c r="B2485" t="inlineStr">
        <is>
          <t>Tirrinia Portable Picnic Table with 4 Wine Glasses Holder, Functional Bamboo Snack Tray Table -Foldable for Party, Picnic, Camping, Beach (15.7" x 12.5" x 7.5")</t>
        </is>
      </c>
      <c r="C2485" t="inlineStr">
        <is>
          <t>1TRPT400</t>
        </is>
      </c>
      <c r="D2485" t="inlineStr">
        <is>
          <t>Picnic Tables</t>
        </is>
      </c>
      <c r="E2485" t="inlineStr">
        <is>
          <t>Tirrinia</t>
        </is>
      </c>
      <c r="F2485" t="inlineStr">
        <is>
          <t>Wine,Batch 1 - TR</t>
        </is>
      </c>
      <c r="G2485" s="48" t="n">
        <v>0</v>
      </c>
      <c r="H2485" s="49" t="n">
        <v>0</v>
      </c>
      <c r="I2485" s="49" t="n">
        <v>0</v>
      </c>
      <c r="J2485" s="50" t="n">
        <v>0</v>
      </c>
      <c r="K2485" s="51" t="n">
        <v>0</v>
      </c>
      <c r="L2485" s="52" t="n">
        <v>0</v>
      </c>
      <c r="M2485" s="52" t="n">
        <v>0</v>
      </c>
      <c r="N2485" s="52" t="n">
        <v>0</v>
      </c>
      <c r="O2485" s="53" t="n">
        <v>0</v>
      </c>
      <c r="P2485" s="52" t="n">
        <v>0</v>
      </c>
      <c r="Q2485" s="53" t="n">
        <v>0</v>
      </c>
      <c r="R2485" s="52" t="n">
        <v>0</v>
      </c>
      <c r="S2485" s="51" t="n">
        <v>0</v>
      </c>
      <c r="T2485" s="48" t="n">
        <v>0</v>
      </c>
      <c r="U2485" s="49" t="n">
        <v>0</v>
      </c>
      <c r="V2485" s="49" t="n">
        <v>0</v>
      </c>
      <c r="W2485" s="50" t="n">
        <v>0</v>
      </c>
      <c r="X2485" s="51" t="n">
        <v>0</v>
      </c>
      <c r="Y2485" s="52" t="n">
        <v>0</v>
      </c>
      <c r="Z2485" s="52" t="n">
        <v>0</v>
      </c>
      <c r="AA2485" s="52" t="n">
        <v>0</v>
      </c>
      <c r="AB2485" s="53" t="n">
        <v>0</v>
      </c>
      <c r="AC2485" s="52" t="n">
        <v>0</v>
      </c>
      <c r="AD2485" s="53" t="n">
        <v>0</v>
      </c>
      <c r="AE2485" s="52" t="n">
        <v>0</v>
      </c>
      <c r="AF2485" s="51" t="n">
        <v>0</v>
      </c>
      <c r="AG2485" s="48" t="n">
        <v>0</v>
      </c>
      <c r="AH2485" s="49" t="n">
        <v>0</v>
      </c>
      <c r="AI2485" s="49" t="n">
        <v>0</v>
      </c>
      <c r="AJ2485" s="50" t="n">
        <v>0</v>
      </c>
      <c r="AK2485" s="51" t="n">
        <v>0</v>
      </c>
      <c r="AL2485" s="52" t="n">
        <v>0</v>
      </c>
      <c r="AM2485" s="52" t="n">
        <v>0</v>
      </c>
      <c r="AN2485" s="52" t="n">
        <v>0</v>
      </c>
      <c r="AO2485" s="53" t="n">
        <v>0</v>
      </c>
      <c r="AP2485" s="52" t="n">
        <v>0</v>
      </c>
      <c r="AQ2485" s="53" t="n">
        <v>0</v>
      </c>
      <c r="AR2485" s="52" t="n">
        <v>0</v>
      </c>
      <c r="AS2485" s="51" t="n">
        <v>0</v>
      </c>
      <c r="AT2485" s="48" t="n">
        <v>0</v>
      </c>
      <c r="AU2485" s="49" t="n">
        <v>0</v>
      </c>
      <c r="AV2485" s="49" t="n">
        <v>0</v>
      </c>
      <c r="AW2485" s="50" t="n">
        <v>0</v>
      </c>
      <c r="AX2485" s="51" t="n">
        <v>0</v>
      </c>
      <c r="AY2485" s="52" t="n">
        <v>0</v>
      </c>
      <c r="AZ2485" s="52" t="n">
        <v>0</v>
      </c>
      <c r="BA2485" s="52" t="n">
        <v>0</v>
      </c>
      <c r="BB2485" s="53" t="n">
        <v>0</v>
      </c>
      <c r="BC2485" s="52" t="n">
        <v>0</v>
      </c>
      <c r="BD2485" s="53" t="n">
        <v>0</v>
      </c>
      <c r="BE2485" s="52" t="n">
        <v>0</v>
      </c>
      <c r="BF2485" s="51" t="n">
        <v>0</v>
      </c>
    </row>
    <row r="2486">
      <c r="A2486">
        <f>HYPERLINK("https://www.walmart.com/ip/188993152", "188993152")</f>
        <v/>
      </c>
      <c r="B2486" t="inlineStr">
        <is>
          <t>Women’s Swim Bathing Suit Cover Up, Summer Chiffon Maxi Beach Dress Skirt</t>
        </is>
      </c>
      <c r="C2486" t="inlineStr">
        <is>
          <t>1WMDS100RD</t>
        </is>
      </c>
      <c r="D2486" t="inlineStr">
        <is>
          <t>Dresses</t>
        </is>
      </c>
      <c r="E2486" t="inlineStr">
        <is>
          <t>Flyingstar</t>
        </is>
      </c>
      <c r="F2486" t="inlineStr">
        <is>
          <t>Batch 1 - TR</t>
        </is>
      </c>
      <c r="G2486" s="48" t="n">
        <v>0</v>
      </c>
      <c r="H2486" s="49" t="n">
        <v>0</v>
      </c>
      <c r="I2486" s="49" t="n">
        <v>0</v>
      </c>
      <c r="J2486" s="50" t="n">
        <v>0</v>
      </c>
      <c r="K2486" s="51" t="n">
        <v>0</v>
      </c>
      <c r="L2486" s="52" t="n">
        <v>0</v>
      </c>
      <c r="M2486" s="52" t="n">
        <v>0</v>
      </c>
      <c r="N2486" s="52" t="n">
        <v>0</v>
      </c>
      <c r="O2486" s="53" t="n">
        <v>0</v>
      </c>
      <c r="P2486" s="52" t="n">
        <v>0</v>
      </c>
      <c r="Q2486" s="53" t="n">
        <v>0</v>
      </c>
      <c r="R2486" s="52" t="n">
        <v>0</v>
      </c>
      <c r="S2486" s="51" t="n">
        <v>0</v>
      </c>
      <c r="T2486" s="48" t="n">
        <v>0</v>
      </c>
      <c r="U2486" s="49" t="n">
        <v>0</v>
      </c>
      <c r="V2486" s="49" t="n">
        <v>0</v>
      </c>
      <c r="W2486" s="50" t="n">
        <v>0</v>
      </c>
      <c r="X2486" s="51" t="n">
        <v>0</v>
      </c>
      <c r="Y2486" s="52" t="n">
        <v>0</v>
      </c>
      <c r="Z2486" s="52" t="n">
        <v>0</v>
      </c>
      <c r="AA2486" s="52" t="n">
        <v>0</v>
      </c>
      <c r="AB2486" s="53" t="n">
        <v>0</v>
      </c>
      <c r="AC2486" s="52" t="n">
        <v>0</v>
      </c>
      <c r="AD2486" s="53" t="n">
        <v>0</v>
      </c>
      <c r="AE2486" s="52" t="n">
        <v>0</v>
      </c>
      <c r="AF2486" s="51" t="n">
        <v>0</v>
      </c>
      <c r="AG2486" s="48" t="n">
        <v>0</v>
      </c>
      <c r="AH2486" s="49" t="n">
        <v>0</v>
      </c>
      <c r="AI2486" s="49" t="n">
        <v>0</v>
      </c>
      <c r="AJ2486" s="50" t="n">
        <v>0</v>
      </c>
      <c r="AK2486" s="51" t="n">
        <v>0</v>
      </c>
      <c r="AL2486" s="52" t="n">
        <v>0</v>
      </c>
      <c r="AM2486" s="52" t="n">
        <v>0</v>
      </c>
      <c r="AN2486" s="52" t="n">
        <v>0</v>
      </c>
      <c r="AO2486" s="53" t="n">
        <v>0</v>
      </c>
      <c r="AP2486" s="52" t="n">
        <v>0</v>
      </c>
      <c r="AQ2486" s="53" t="n">
        <v>0</v>
      </c>
      <c r="AR2486" s="52" t="n">
        <v>0</v>
      </c>
      <c r="AS2486" s="51" t="n">
        <v>0</v>
      </c>
      <c r="AT2486" s="48" t="n">
        <v>0</v>
      </c>
      <c r="AU2486" s="49" t="n">
        <v>0</v>
      </c>
      <c r="AV2486" s="49" t="n">
        <v>0</v>
      </c>
      <c r="AW2486" s="50" t="n">
        <v>0</v>
      </c>
      <c r="AX2486" s="51" t="n">
        <v>0</v>
      </c>
      <c r="AY2486" s="52" t="n">
        <v>0</v>
      </c>
      <c r="AZ2486" s="52" t="n">
        <v>0</v>
      </c>
      <c r="BA2486" s="52" t="n">
        <v>0</v>
      </c>
      <c r="BB2486" s="53" t="n">
        <v>0</v>
      </c>
      <c r="BC2486" s="52" t="n">
        <v>0</v>
      </c>
      <c r="BD2486" s="53" t="n">
        <v>0</v>
      </c>
      <c r="BE2486" s="52" t="n">
        <v>0</v>
      </c>
      <c r="BF2486" s="51" t="n">
        <v>0</v>
      </c>
    </row>
    <row r="2487">
      <c r="A2487">
        <f>HYPERLINK("https://www.walmart.com/ip/188803915", "188803915")</f>
        <v/>
      </c>
      <c r="B2487" t="inlineStr">
        <is>
          <t>Kato Insulated Wine Carrier Bag - 4 Bottle Travel Padded Wine Carrying Cooler Tote with Handle and Shoulder Strap, Great Wine Lover Gift, Stripe</t>
        </is>
      </c>
      <c r="C2487" t="inlineStr">
        <is>
          <t>1KTWB420STR</t>
        </is>
      </c>
      <c r="D2487" t="inlineStr">
        <is>
          <t>Wine Totes, Bags &amp; Backpacks</t>
        </is>
      </c>
      <c r="E2487" t="inlineStr">
        <is>
          <t>Kato</t>
        </is>
      </c>
      <c r="F2487" t="inlineStr">
        <is>
          <t>Wine,Wine Bag Camp,Christmas,Wine WFS,Valentine,WFS Item</t>
        </is>
      </c>
      <c r="G2487" s="48" t="n">
        <v>0</v>
      </c>
      <c r="H2487" s="49" t="n">
        <v>0</v>
      </c>
      <c r="I2487" s="49" t="n">
        <v>0</v>
      </c>
      <c r="J2487" s="50" t="n">
        <v>0</v>
      </c>
      <c r="K2487" s="51" t="n">
        <v>0</v>
      </c>
      <c r="L2487" s="52" t="n">
        <v>0</v>
      </c>
      <c r="M2487" s="52" t="n">
        <v>0</v>
      </c>
      <c r="N2487" s="52" t="n">
        <v>0</v>
      </c>
      <c r="O2487" s="53" t="n">
        <v>0</v>
      </c>
      <c r="P2487" s="52" t="n">
        <v>0</v>
      </c>
      <c r="Q2487" s="53" t="n">
        <v>0</v>
      </c>
      <c r="R2487" s="52" t="n">
        <v>0</v>
      </c>
      <c r="S2487" s="51" t="n">
        <v>0</v>
      </c>
      <c r="T2487" s="48" t="n">
        <v>0</v>
      </c>
      <c r="U2487" s="49" t="n">
        <v>0</v>
      </c>
      <c r="V2487" s="49" t="n">
        <v>0</v>
      </c>
      <c r="W2487" s="50" t="n">
        <v>0</v>
      </c>
      <c r="X2487" s="51" t="n">
        <v>0</v>
      </c>
      <c r="Y2487" s="52" t="n">
        <v>0</v>
      </c>
      <c r="Z2487" s="52" t="n">
        <v>0</v>
      </c>
      <c r="AA2487" s="52" t="n">
        <v>0</v>
      </c>
      <c r="AB2487" s="53" t="n">
        <v>0</v>
      </c>
      <c r="AC2487" s="52" t="n">
        <v>0</v>
      </c>
      <c r="AD2487" s="53" t="n">
        <v>0</v>
      </c>
      <c r="AE2487" s="52" t="n">
        <v>0</v>
      </c>
      <c r="AF2487" s="51" t="n">
        <v>0</v>
      </c>
      <c r="AG2487" s="48" t="n">
        <v>0</v>
      </c>
      <c r="AH2487" s="49" t="n">
        <v>0</v>
      </c>
      <c r="AI2487" s="49" t="n">
        <v>0</v>
      </c>
      <c r="AJ2487" s="50" t="n">
        <v>0</v>
      </c>
      <c r="AK2487" s="51" t="n">
        <v>0</v>
      </c>
      <c r="AL2487" s="52" t="n">
        <v>0</v>
      </c>
      <c r="AM2487" s="52" t="n">
        <v>0</v>
      </c>
      <c r="AN2487" s="52" t="n">
        <v>0</v>
      </c>
      <c r="AO2487" s="53" t="n">
        <v>0</v>
      </c>
      <c r="AP2487" s="52" t="n">
        <v>0</v>
      </c>
      <c r="AQ2487" s="53" t="n">
        <v>0</v>
      </c>
      <c r="AR2487" s="52" t="n">
        <v>0</v>
      </c>
      <c r="AS2487" s="51" t="n">
        <v>0</v>
      </c>
      <c r="AT2487" s="48" t="n">
        <v>0</v>
      </c>
      <c r="AU2487" s="49" t="n">
        <v>0</v>
      </c>
      <c r="AV2487" s="49" t="n">
        <v>0</v>
      </c>
      <c r="AW2487" s="50" t="n">
        <v>0</v>
      </c>
      <c r="AX2487" s="51" t="n">
        <v>0</v>
      </c>
      <c r="AY2487" s="52" t="n">
        <v>0</v>
      </c>
      <c r="AZ2487" s="52" t="n">
        <v>0</v>
      </c>
      <c r="BA2487" s="52" t="n">
        <v>0</v>
      </c>
      <c r="BB2487" s="53" t="n">
        <v>0</v>
      </c>
      <c r="BC2487" s="52" t="n">
        <v>0</v>
      </c>
      <c r="BD2487" s="53" t="n">
        <v>0</v>
      </c>
      <c r="BE2487" s="52" t="n">
        <v>0</v>
      </c>
      <c r="BF2487" s="51" t="n">
        <v>0</v>
      </c>
    </row>
    <row r="2488">
      <c r="A2488">
        <f>HYPERLINK("https://www.walmart.com/ip/1892474200", "1892474200")</f>
        <v/>
      </c>
      <c r="B2488" t="inlineStr">
        <is>
          <t>Catalonia Sherpa Fleece Blanket for Bed, Super Soft  Plush Sofa Couch Throw Blanket, TV Bed Blanket, Comfy Cozy Fluffy Warm Comforter, Green Plaid, 60'' x 80''</t>
        </is>
      </c>
      <c r="C2488" t="inlineStr">
        <is>
          <t>1CTBF368PGN</t>
        </is>
      </c>
      <c r="D2488" t="inlineStr">
        <is>
          <t>Throws</t>
        </is>
      </c>
      <c r="E2488" t="inlineStr">
        <is>
          <t>Catalonia</t>
        </is>
      </c>
      <c r="F2488" t="inlineStr">
        <is>
          <t>Fleece Blankets,Batch 1 - TR</t>
        </is>
      </c>
      <c r="G2488" s="48" t="n">
        <v>0</v>
      </c>
      <c r="H2488" s="49" t="n">
        <v>0</v>
      </c>
      <c r="I2488" s="49" t="n">
        <v>0</v>
      </c>
      <c r="J2488" s="50" t="n">
        <v>0</v>
      </c>
      <c r="K2488" s="51" t="n">
        <v>0</v>
      </c>
      <c r="L2488" s="52" t="n">
        <v>0</v>
      </c>
      <c r="M2488" s="52" t="n">
        <v>0</v>
      </c>
      <c r="N2488" s="52" t="n">
        <v>0</v>
      </c>
      <c r="O2488" s="53" t="n">
        <v>0</v>
      </c>
      <c r="P2488" s="52" t="n">
        <v>0</v>
      </c>
      <c r="Q2488" s="53" t="n">
        <v>0</v>
      </c>
      <c r="R2488" s="52" t="n">
        <v>0</v>
      </c>
      <c r="S2488" s="51" t="n">
        <v>0</v>
      </c>
      <c r="T2488" s="48" t="n">
        <v>0</v>
      </c>
      <c r="U2488" s="49" t="n">
        <v>0</v>
      </c>
      <c r="V2488" s="49" t="n">
        <v>0</v>
      </c>
      <c r="W2488" s="50" t="n">
        <v>0</v>
      </c>
      <c r="X2488" s="51" t="n">
        <v>0</v>
      </c>
      <c r="Y2488" s="52" t="n">
        <v>0</v>
      </c>
      <c r="Z2488" s="52" t="n">
        <v>0</v>
      </c>
      <c r="AA2488" s="52" t="n">
        <v>0</v>
      </c>
      <c r="AB2488" s="53" t="n">
        <v>0</v>
      </c>
      <c r="AC2488" s="52" t="n">
        <v>0</v>
      </c>
      <c r="AD2488" s="53" t="n">
        <v>0</v>
      </c>
      <c r="AE2488" s="52" t="n">
        <v>0</v>
      </c>
      <c r="AF2488" s="51" t="n">
        <v>0</v>
      </c>
      <c r="AG2488" s="48" t="n">
        <v>0</v>
      </c>
      <c r="AH2488" s="49" t="n">
        <v>0</v>
      </c>
      <c r="AI2488" s="49" t="n">
        <v>0</v>
      </c>
      <c r="AJ2488" s="50" t="n">
        <v>0</v>
      </c>
      <c r="AK2488" s="51" t="n">
        <v>0</v>
      </c>
      <c r="AL2488" s="52" t="n">
        <v>0</v>
      </c>
      <c r="AM2488" s="52" t="n">
        <v>0</v>
      </c>
      <c r="AN2488" s="52" t="n">
        <v>0</v>
      </c>
      <c r="AO2488" s="53" t="n">
        <v>0</v>
      </c>
      <c r="AP2488" s="52" t="n">
        <v>0</v>
      </c>
      <c r="AQ2488" s="53" t="n">
        <v>0</v>
      </c>
      <c r="AR2488" s="52" t="n">
        <v>0</v>
      </c>
      <c r="AS2488" s="51" t="n">
        <v>0</v>
      </c>
      <c r="AT2488" s="48" t="n">
        <v>0</v>
      </c>
      <c r="AU2488" s="49" t="n">
        <v>0</v>
      </c>
      <c r="AV2488" s="49" t="n">
        <v>0</v>
      </c>
      <c r="AW2488" s="50" t="n">
        <v>0</v>
      </c>
      <c r="AX2488" s="51" t="n">
        <v>0</v>
      </c>
      <c r="AY2488" s="52" t="n">
        <v>0</v>
      </c>
      <c r="AZ2488" s="52" t="n">
        <v>0</v>
      </c>
      <c r="BA2488" s="52" t="n">
        <v>0</v>
      </c>
      <c r="BB2488" s="53" t="n">
        <v>0</v>
      </c>
      <c r="BC2488" s="52" t="n">
        <v>0</v>
      </c>
      <c r="BD2488" s="53" t="n">
        <v>0</v>
      </c>
      <c r="BE2488" s="52" t="n">
        <v>0</v>
      </c>
      <c r="BF2488" s="51" t="n">
        <v>0</v>
      </c>
    </row>
    <row r="2489">
      <c r="A2489">
        <f>HYPERLINK("https://www.walmart.com/ip/1887689590", "1887689590")</f>
        <v/>
      </c>
      <c r="B2489" t="inlineStr">
        <is>
          <t>Catalonia Waterproof Blanket for Couch, Reversible Washable Sofa Bed Coverlet Protector | Leak Proof, Comfortable | for People and Pets, 60" x 80", Grey/Taupe</t>
        </is>
      </c>
      <c r="C2489" t="inlineStr">
        <is>
          <t>1CTBW685GYTP</t>
        </is>
      </c>
      <c r="D2489" t="inlineStr">
        <is>
          <t>Throws</t>
        </is>
      </c>
      <c r="E2489" t="inlineStr">
        <is>
          <t>Catalonia</t>
        </is>
      </c>
      <c r="F2489" t="inlineStr">
        <is>
          <t>Wproof Blanket,Batch 1 - TR</t>
        </is>
      </c>
      <c r="G2489" s="48" t="n">
        <v>0</v>
      </c>
      <c r="H2489" s="49" t="n">
        <v>0</v>
      </c>
      <c r="I2489" s="49" t="n">
        <v>0</v>
      </c>
      <c r="J2489" s="50" t="n">
        <v>0</v>
      </c>
      <c r="K2489" s="51" t="n">
        <v>1</v>
      </c>
      <c r="L2489" s="52" t="n">
        <v>0.42</v>
      </c>
      <c r="M2489" s="52" t="n">
        <v>0</v>
      </c>
      <c r="N2489" s="52" t="n">
        <v>0</v>
      </c>
      <c r="O2489" s="53" t="n">
        <v>0.0042</v>
      </c>
      <c r="P2489" s="52" t="n">
        <v>0.42</v>
      </c>
      <c r="Q2489" s="53" t="n">
        <v>0</v>
      </c>
      <c r="R2489" s="52" t="n">
        <v>0</v>
      </c>
      <c r="S2489" s="51" t="n">
        <v>238</v>
      </c>
      <c r="T2489" s="48" t="n">
        <v>0</v>
      </c>
      <c r="U2489" s="49" t="n">
        <v>0</v>
      </c>
      <c r="V2489" s="49" t="n">
        <v>0</v>
      </c>
      <c r="W2489" s="50" t="n">
        <v>0</v>
      </c>
      <c r="X2489" s="51" t="n">
        <v>0</v>
      </c>
      <c r="Y2489" s="52" t="n">
        <v>0</v>
      </c>
      <c r="Z2489" s="52" t="n">
        <v>0</v>
      </c>
      <c r="AA2489" s="52" t="n">
        <v>0</v>
      </c>
      <c r="AB2489" s="53" t="n">
        <v>0</v>
      </c>
      <c r="AC2489" s="52" t="n">
        <v>0</v>
      </c>
      <c r="AD2489" s="53" t="n">
        <v>0</v>
      </c>
      <c r="AE2489" s="52" t="n">
        <v>0</v>
      </c>
      <c r="AF2489" s="51" t="n">
        <v>109</v>
      </c>
      <c r="AG2489" s="48" t="n">
        <v>0</v>
      </c>
      <c r="AH2489" s="49" t="n">
        <v>0</v>
      </c>
      <c r="AI2489" s="49" t="n">
        <v>0</v>
      </c>
      <c r="AJ2489" s="50" t="n">
        <v>0</v>
      </c>
      <c r="AK2489" s="51" t="n">
        <v>0</v>
      </c>
      <c r="AL2489" s="52" t="n">
        <v>0</v>
      </c>
      <c r="AM2489" s="52" t="n">
        <v>0</v>
      </c>
      <c r="AN2489" s="52" t="n">
        <v>0</v>
      </c>
      <c r="AO2489" s="53" t="n">
        <v>0</v>
      </c>
      <c r="AP2489" s="52" t="n">
        <v>0</v>
      </c>
      <c r="AQ2489" s="53" t="n">
        <v>0</v>
      </c>
      <c r="AR2489" s="52" t="n">
        <v>0</v>
      </c>
      <c r="AS2489" s="51" t="n">
        <v>0</v>
      </c>
      <c r="AT2489" s="48" t="n">
        <v>0</v>
      </c>
      <c r="AU2489" s="49" t="n">
        <v>0</v>
      </c>
      <c r="AV2489" s="49" t="n">
        <v>0</v>
      </c>
      <c r="AW2489" s="50" t="n">
        <v>0</v>
      </c>
      <c r="AX2489" s="51" t="n">
        <v>0</v>
      </c>
      <c r="AY2489" s="52" t="n">
        <v>0</v>
      </c>
      <c r="AZ2489" s="52" t="n">
        <v>0</v>
      </c>
      <c r="BA2489" s="52" t="n">
        <v>0</v>
      </c>
      <c r="BB2489" s="53" t="n">
        <v>0</v>
      </c>
      <c r="BC2489" s="52" t="n">
        <v>0</v>
      </c>
      <c r="BD2489" s="53" t="n">
        <v>0</v>
      </c>
      <c r="BE2489" s="52" t="n">
        <v>0</v>
      </c>
      <c r="BF2489" s="51" t="n">
        <v>32</v>
      </c>
    </row>
    <row r="2490">
      <c r="A2490">
        <f>HYPERLINK("https://www.walmart.com/ip/188442701", "188442701")</f>
        <v/>
      </c>
      <c r="B2490" t="inlineStr">
        <is>
          <t>Tirrinia Wooden Cutting Board, Kitchen Chopping Board Serving Platter with both sides handle, Extra Large 16" x 11.5"</t>
        </is>
      </c>
      <c r="C2490" t="inlineStr">
        <is>
          <t>VINABCB04</t>
        </is>
      </c>
      <c r="D2490" t="inlineStr">
        <is>
          <t>Cutting Boards &amp; Butcher Blocks</t>
        </is>
      </c>
      <c r="E2490" t="inlineStr">
        <is>
          <t>Tirrinia</t>
        </is>
      </c>
      <c r="F2490" t="inlineStr">
        <is>
          <t>Optimized</t>
        </is>
      </c>
      <c r="G2490" s="48" t="n">
        <v>0</v>
      </c>
      <c r="H2490" s="49" t="n">
        <v>0</v>
      </c>
      <c r="I2490" s="49" t="n">
        <v>0</v>
      </c>
      <c r="J2490" s="50" t="n">
        <v>0</v>
      </c>
      <c r="K2490" s="51" t="n">
        <v>0</v>
      </c>
      <c r="L2490" s="52" t="n">
        <v>0</v>
      </c>
      <c r="M2490" s="52" t="n">
        <v>0</v>
      </c>
      <c r="N2490" s="52" t="n">
        <v>0</v>
      </c>
      <c r="O2490" s="53" t="n">
        <v>0</v>
      </c>
      <c r="P2490" s="52" t="n">
        <v>0</v>
      </c>
      <c r="Q2490" s="53" t="n">
        <v>0</v>
      </c>
      <c r="R2490" s="52" t="n">
        <v>0</v>
      </c>
      <c r="S2490" s="51" t="n">
        <v>0</v>
      </c>
      <c r="T2490" s="48" t="n">
        <v>0</v>
      </c>
      <c r="U2490" s="49" t="n">
        <v>0</v>
      </c>
      <c r="V2490" s="49" t="n">
        <v>0</v>
      </c>
      <c r="W2490" s="50" t="n">
        <v>0</v>
      </c>
      <c r="X2490" s="51" t="n">
        <v>0</v>
      </c>
      <c r="Y2490" s="52" t="n">
        <v>0</v>
      </c>
      <c r="Z2490" s="52" t="n">
        <v>0</v>
      </c>
      <c r="AA2490" s="52" t="n">
        <v>0</v>
      </c>
      <c r="AB2490" s="53" t="n">
        <v>0</v>
      </c>
      <c r="AC2490" s="52" t="n">
        <v>0</v>
      </c>
      <c r="AD2490" s="53" t="n">
        <v>0</v>
      </c>
      <c r="AE2490" s="52" t="n">
        <v>0</v>
      </c>
      <c r="AF2490" s="51" t="n">
        <v>0</v>
      </c>
      <c r="AG2490" s="48" t="n">
        <v>0</v>
      </c>
      <c r="AH2490" s="49" t="n">
        <v>0</v>
      </c>
      <c r="AI2490" s="49" t="n">
        <v>0</v>
      </c>
      <c r="AJ2490" s="50" t="n">
        <v>0</v>
      </c>
      <c r="AK2490" s="51" t="n">
        <v>0</v>
      </c>
      <c r="AL2490" s="52" t="n">
        <v>0</v>
      </c>
      <c r="AM2490" s="52" t="n">
        <v>0</v>
      </c>
      <c r="AN2490" s="52" t="n">
        <v>0</v>
      </c>
      <c r="AO2490" s="53" t="n">
        <v>0</v>
      </c>
      <c r="AP2490" s="52" t="n">
        <v>0</v>
      </c>
      <c r="AQ2490" s="53" t="n">
        <v>0</v>
      </c>
      <c r="AR2490" s="52" t="n">
        <v>0</v>
      </c>
      <c r="AS2490" s="51" t="n">
        <v>0</v>
      </c>
      <c r="AT2490" s="48" t="n">
        <v>0</v>
      </c>
      <c r="AU2490" s="49" t="n">
        <v>0</v>
      </c>
      <c r="AV2490" s="49" t="n">
        <v>0</v>
      </c>
      <c r="AW2490" s="50" t="n">
        <v>0</v>
      </c>
      <c r="AX2490" s="51" t="n">
        <v>0</v>
      </c>
      <c r="AY2490" s="52" t="n">
        <v>0</v>
      </c>
      <c r="AZ2490" s="52" t="n">
        <v>0</v>
      </c>
      <c r="BA2490" s="52" t="n">
        <v>0</v>
      </c>
      <c r="BB2490" s="53" t="n">
        <v>0</v>
      </c>
      <c r="BC2490" s="52" t="n">
        <v>0</v>
      </c>
      <c r="BD2490" s="53" t="n">
        <v>0</v>
      </c>
      <c r="BE2490" s="52" t="n">
        <v>0</v>
      </c>
      <c r="BF2490" s="51" t="n">
        <v>0</v>
      </c>
    </row>
    <row r="2491">
      <c r="A2491">
        <f>HYPERLINK("https://www.walmart.com/ip/1884098981", "1884098981")</f>
        <v/>
      </c>
      <c r="B2491" t="inlineStr">
        <is>
          <t>Every Day is Christmas Glass Blown Ornaments Cute Hand Made Figurines Tree Decoration, Buddha</t>
        </is>
      </c>
      <c r="C2491" t="inlineStr">
        <is>
          <t>EDC-FIGURINE-BUDDHA</t>
        </is>
      </c>
      <c r="D2491" t="inlineStr">
        <is>
          <t>Ornaments</t>
        </is>
      </c>
      <c r="E2491" t="inlineStr">
        <is>
          <t>Every Day is Christmas</t>
        </is>
      </c>
      <c r="G2491" s="48" t="n">
        <v>0</v>
      </c>
      <c r="H2491" s="49" t="n">
        <v>0</v>
      </c>
      <c r="I2491" s="49" t="n">
        <v>0</v>
      </c>
      <c r="J2491" s="50" t="n">
        <v>0</v>
      </c>
      <c r="K2491" s="51" t="n">
        <v>0</v>
      </c>
      <c r="L2491" s="52" t="n">
        <v>0</v>
      </c>
      <c r="M2491" s="52" t="n">
        <v>0</v>
      </c>
      <c r="N2491" s="52" t="n">
        <v>0</v>
      </c>
      <c r="O2491" s="53" t="n">
        <v>0</v>
      </c>
      <c r="P2491" s="52" t="n">
        <v>0</v>
      </c>
      <c r="Q2491" s="53" t="n">
        <v>0</v>
      </c>
      <c r="R2491" s="52" t="n">
        <v>0</v>
      </c>
      <c r="S2491" s="51" t="n">
        <v>0</v>
      </c>
      <c r="T2491" s="48" t="n">
        <v>0</v>
      </c>
      <c r="U2491" s="49" t="n">
        <v>0</v>
      </c>
      <c r="V2491" s="49" t="n">
        <v>0</v>
      </c>
      <c r="W2491" s="50" t="n">
        <v>0</v>
      </c>
      <c r="X2491" s="51" t="n">
        <v>0</v>
      </c>
      <c r="Y2491" s="52" t="n">
        <v>0</v>
      </c>
      <c r="Z2491" s="52" t="n">
        <v>0</v>
      </c>
      <c r="AA2491" s="52" t="n">
        <v>0</v>
      </c>
      <c r="AB2491" s="53" t="n">
        <v>0</v>
      </c>
      <c r="AC2491" s="52" t="n">
        <v>0</v>
      </c>
      <c r="AD2491" s="53" t="n">
        <v>0</v>
      </c>
      <c r="AE2491" s="52" t="n">
        <v>0</v>
      </c>
      <c r="AF2491" s="51" t="n">
        <v>0</v>
      </c>
      <c r="AG2491" s="48" t="n">
        <v>0</v>
      </c>
      <c r="AH2491" s="49" t="n">
        <v>0</v>
      </c>
      <c r="AI2491" s="49" t="n">
        <v>0</v>
      </c>
      <c r="AJ2491" s="50" t="n">
        <v>0</v>
      </c>
      <c r="AK2491" s="51" t="n">
        <v>0</v>
      </c>
      <c r="AL2491" s="52" t="n">
        <v>0</v>
      </c>
      <c r="AM2491" s="52" t="n">
        <v>0</v>
      </c>
      <c r="AN2491" s="52" t="n">
        <v>0</v>
      </c>
      <c r="AO2491" s="53" t="n">
        <v>0</v>
      </c>
      <c r="AP2491" s="52" t="n">
        <v>0</v>
      </c>
      <c r="AQ2491" s="53" t="n">
        <v>0</v>
      </c>
      <c r="AR2491" s="52" t="n">
        <v>0</v>
      </c>
      <c r="AS2491" s="51" t="n">
        <v>0</v>
      </c>
      <c r="AT2491" s="48" t="n">
        <v>0</v>
      </c>
      <c r="AU2491" s="49" t="n">
        <v>0</v>
      </c>
      <c r="AV2491" s="49" t="n">
        <v>0</v>
      </c>
      <c r="AW2491" s="50" t="n">
        <v>0</v>
      </c>
      <c r="AX2491" s="51" t="n">
        <v>0</v>
      </c>
      <c r="AY2491" s="52" t="n">
        <v>0</v>
      </c>
      <c r="AZ2491" s="52" t="n">
        <v>0</v>
      </c>
      <c r="BA2491" s="52" t="n">
        <v>0</v>
      </c>
      <c r="BB2491" s="53" t="n">
        <v>0</v>
      </c>
      <c r="BC2491" s="52" t="n">
        <v>0</v>
      </c>
      <c r="BD2491" s="53" t="n">
        <v>0</v>
      </c>
      <c r="BE2491" s="52" t="n">
        <v>0</v>
      </c>
      <c r="BF2491" s="51" t="n">
        <v>0</v>
      </c>
    </row>
    <row r="2492">
      <c r="A2492">
        <f>HYPERLINK("https://www.walmart.com/ip/188347146", "188347146")</f>
        <v/>
      </c>
      <c r="B2492" t="inlineStr">
        <is>
          <t>Vina® 5 Pcs/set Deluxe Wine Bottle Opener Accessories Gift Set - Wine Bottle Opener, Wine Stopper, Wine Drip Ring, Wine Foil Cutter and Wine Pourer</t>
        </is>
      </c>
      <c r="C2492" t="inlineStr">
        <is>
          <t>VinaWO002BK</t>
        </is>
      </c>
      <c r="D2492" t="inlineStr">
        <is>
          <t>Corkscrews &amp; Wine Bottle Openers</t>
        </is>
      </c>
      <c r="E2492" t="inlineStr">
        <is>
          <t>Vina</t>
        </is>
      </c>
      <c r="F2492" t="inlineStr">
        <is>
          <t>Wine,Christmas</t>
        </is>
      </c>
      <c r="G2492" s="48" t="n">
        <v>0</v>
      </c>
      <c r="H2492" s="49" t="n">
        <v>0</v>
      </c>
      <c r="I2492" s="49" t="n">
        <v>0</v>
      </c>
      <c r="J2492" s="50" t="n">
        <v>0</v>
      </c>
      <c r="K2492" s="51" t="n">
        <v>0</v>
      </c>
      <c r="L2492" s="52" t="n">
        <v>0</v>
      </c>
      <c r="M2492" s="52" t="n">
        <v>0</v>
      </c>
      <c r="N2492" s="52" t="n">
        <v>0</v>
      </c>
      <c r="O2492" s="53" t="n">
        <v>0</v>
      </c>
      <c r="P2492" s="52" t="n">
        <v>0</v>
      </c>
      <c r="Q2492" s="53" t="n">
        <v>0</v>
      </c>
      <c r="R2492" s="52" t="n">
        <v>0</v>
      </c>
      <c r="S2492" s="51" t="n">
        <v>0</v>
      </c>
      <c r="T2492" s="48" t="n">
        <v>0</v>
      </c>
      <c r="U2492" s="49" t="n">
        <v>0</v>
      </c>
      <c r="V2492" s="49" t="n">
        <v>0</v>
      </c>
      <c r="W2492" s="50" t="n">
        <v>0</v>
      </c>
      <c r="X2492" s="51" t="n">
        <v>0</v>
      </c>
      <c r="Y2492" s="52" t="n">
        <v>0</v>
      </c>
      <c r="Z2492" s="52" t="n">
        <v>0</v>
      </c>
      <c r="AA2492" s="52" t="n">
        <v>0</v>
      </c>
      <c r="AB2492" s="53" t="n">
        <v>0</v>
      </c>
      <c r="AC2492" s="52" t="n">
        <v>0</v>
      </c>
      <c r="AD2492" s="53" t="n">
        <v>0</v>
      </c>
      <c r="AE2492" s="52" t="n">
        <v>0</v>
      </c>
      <c r="AF2492" s="51" t="n">
        <v>0</v>
      </c>
      <c r="AG2492" s="48" t="n">
        <v>0</v>
      </c>
      <c r="AH2492" s="49" t="n">
        <v>0</v>
      </c>
      <c r="AI2492" s="49" t="n">
        <v>0</v>
      </c>
      <c r="AJ2492" s="50" t="n">
        <v>0</v>
      </c>
      <c r="AK2492" s="51" t="n">
        <v>0</v>
      </c>
      <c r="AL2492" s="52" t="n">
        <v>0</v>
      </c>
      <c r="AM2492" s="52" t="n">
        <v>0</v>
      </c>
      <c r="AN2492" s="52" t="n">
        <v>0</v>
      </c>
      <c r="AO2492" s="53" t="n">
        <v>0</v>
      </c>
      <c r="AP2492" s="52" t="n">
        <v>0</v>
      </c>
      <c r="AQ2492" s="53" t="n">
        <v>0</v>
      </c>
      <c r="AR2492" s="52" t="n">
        <v>0</v>
      </c>
      <c r="AS2492" s="51" t="n">
        <v>0</v>
      </c>
      <c r="AT2492" s="48" t="n">
        <v>0</v>
      </c>
      <c r="AU2492" s="49" t="n">
        <v>0</v>
      </c>
      <c r="AV2492" s="49" t="n">
        <v>0</v>
      </c>
      <c r="AW2492" s="50" t="n">
        <v>0</v>
      </c>
      <c r="AX2492" s="51" t="n">
        <v>0</v>
      </c>
      <c r="AY2492" s="52" t="n">
        <v>0</v>
      </c>
      <c r="AZ2492" s="52" t="n">
        <v>0</v>
      </c>
      <c r="BA2492" s="52" t="n">
        <v>0</v>
      </c>
      <c r="BB2492" s="53" t="n">
        <v>0</v>
      </c>
      <c r="BC2492" s="52" t="n">
        <v>0</v>
      </c>
      <c r="BD2492" s="53" t="n">
        <v>0</v>
      </c>
      <c r="BE2492" s="52" t="n">
        <v>0</v>
      </c>
      <c r="BF2492" s="51" t="n">
        <v>0</v>
      </c>
    </row>
    <row r="2493">
      <c r="A2493">
        <f>HYPERLINK("https://www.walmart.com/ip/186842737", "186842737")</f>
        <v/>
      </c>
      <c r="B2493" t="inlineStr">
        <is>
          <t>Jennis Women Magic Scarf Multiple Style Soft Shawl Neck Warmer Head Wrap</t>
        </is>
      </c>
      <c r="C2493" t="inlineStr">
        <is>
          <t>MagicScarfBL</t>
        </is>
      </c>
      <c r="D2493" t="inlineStr">
        <is>
          <t>Scarves</t>
        </is>
      </c>
      <c r="E2493" t="inlineStr">
        <is>
          <t>JenniWears</t>
        </is>
      </c>
      <c r="F2493" t="inlineStr">
        <is>
          <t>Batch 1 - TR</t>
        </is>
      </c>
      <c r="G2493" s="48" t="n">
        <v>0</v>
      </c>
      <c r="H2493" s="49" t="n">
        <v>0</v>
      </c>
      <c r="I2493" s="49" t="n">
        <v>0</v>
      </c>
      <c r="J2493" s="50" t="n">
        <v>0</v>
      </c>
      <c r="K2493" s="51" t="n">
        <v>0</v>
      </c>
      <c r="L2493" s="52" t="n">
        <v>0</v>
      </c>
      <c r="M2493" s="52" t="n">
        <v>0</v>
      </c>
      <c r="N2493" s="52" t="n">
        <v>0</v>
      </c>
      <c r="O2493" s="53" t="n">
        <v>0</v>
      </c>
      <c r="P2493" s="52" t="n">
        <v>0</v>
      </c>
      <c r="Q2493" s="53" t="n">
        <v>0</v>
      </c>
      <c r="R2493" s="52" t="n">
        <v>0</v>
      </c>
      <c r="S2493" s="51" t="n">
        <v>0</v>
      </c>
      <c r="T2493" s="48" t="n">
        <v>0</v>
      </c>
      <c r="U2493" s="49" t="n">
        <v>0</v>
      </c>
      <c r="V2493" s="49" t="n">
        <v>0</v>
      </c>
      <c r="W2493" s="50" t="n">
        <v>0</v>
      </c>
      <c r="X2493" s="51" t="n">
        <v>0</v>
      </c>
      <c r="Y2493" s="52" t="n">
        <v>0</v>
      </c>
      <c r="Z2493" s="52" t="n">
        <v>0</v>
      </c>
      <c r="AA2493" s="52" t="n">
        <v>0</v>
      </c>
      <c r="AB2493" s="53" t="n">
        <v>0</v>
      </c>
      <c r="AC2493" s="52" t="n">
        <v>0</v>
      </c>
      <c r="AD2493" s="53" t="n">
        <v>0</v>
      </c>
      <c r="AE2493" s="52" t="n">
        <v>0</v>
      </c>
      <c r="AF2493" s="51" t="n">
        <v>0</v>
      </c>
      <c r="AG2493" s="48" t="n">
        <v>0</v>
      </c>
      <c r="AH2493" s="49" t="n">
        <v>0</v>
      </c>
      <c r="AI2493" s="49" t="n">
        <v>0</v>
      </c>
      <c r="AJ2493" s="50" t="n">
        <v>0</v>
      </c>
      <c r="AK2493" s="51" t="n">
        <v>0</v>
      </c>
      <c r="AL2493" s="52" t="n">
        <v>0</v>
      </c>
      <c r="AM2493" s="52" t="n">
        <v>0</v>
      </c>
      <c r="AN2493" s="52" t="n">
        <v>0</v>
      </c>
      <c r="AO2493" s="53" t="n">
        <v>0</v>
      </c>
      <c r="AP2493" s="52" t="n">
        <v>0</v>
      </c>
      <c r="AQ2493" s="53" t="n">
        <v>0</v>
      </c>
      <c r="AR2493" s="52" t="n">
        <v>0</v>
      </c>
      <c r="AS2493" s="51" t="n">
        <v>0</v>
      </c>
      <c r="AT2493" s="48" t="n">
        <v>0</v>
      </c>
      <c r="AU2493" s="49" t="n">
        <v>0</v>
      </c>
      <c r="AV2493" s="49" t="n">
        <v>0</v>
      </c>
      <c r="AW2493" s="50" t="n">
        <v>0</v>
      </c>
      <c r="AX2493" s="51" t="n">
        <v>0</v>
      </c>
      <c r="AY2493" s="52" t="n">
        <v>0</v>
      </c>
      <c r="AZ2493" s="52" t="n">
        <v>0</v>
      </c>
      <c r="BA2493" s="52" t="n">
        <v>0</v>
      </c>
      <c r="BB2493" s="53" t="n">
        <v>0</v>
      </c>
      <c r="BC2493" s="52" t="n">
        <v>0</v>
      </c>
      <c r="BD2493" s="53" t="n">
        <v>0</v>
      </c>
      <c r="BE2493" s="52" t="n">
        <v>0</v>
      </c>
      <c r="BF2493" s="51" t="n">
        <v>0</v>
      </c>
    </row>
    <row r="2494">
      <c r="A2494">
        <f>HYPERLINK("https://www.walmart.com/ip/188266088", "188266088")</f>
        <v/>
      </c>
      <c r="B2494" t="inlineStr">
        <is>
          <t>Fleece Blanket Wearable with Sleeves and Pocket, Micro Plush Warm Comfy Sleeved TV Throw Blanket Robe for Women and Men Multi-Colors 72”X55” by Catalonia</t>
        </is>
      </c>
      <c r="C2494" t="inlineStr">
        <is>
          <t>1CTSN110BK-ESGM</t>
        </is>
      </c>
      <c r="D2494" t="inlineStr">
        <is>
          <t>Throws</t>
        </is>
      </c>
      <c r="E2494" t="inlineStr">
        <is>
          <t>Catalonia</t>
        </is>
      </c>
      <c r="F2494" t="inlineStr">
        <is>
          <t>Fleece Blankets,Batch 1 - TR</t>
        </is>
      </c>
      <c r="G2494" s="48" t="n">
        <v>0</v>
      </c>
      <c r="H2494" s="49" t="n">
        <v>0</v>
      </c>
      <c r="I2494" s="49" t="n">
        <v>0</v>
      </c>
      <c r="J2494" s="50" t="n">
        <v>0</v>
      </c>
      <c r="K2494" s="51" t="n">
        <v>0</v>
      </c>
      <c r="L2494" s="52" t="n">
        <v>0</v>
      </c>
      <c r="M2494" s="52" t="n">
        <v>0</v>
      </c>
      <c r="N2494" s="52" t="n">
        <v>0</v>
      </c>
      <c r="O2494" s="53" t="n">
        <v>0</v>
      </c>
      <c r="P2494" s="52" t="n">
        <v>0</v>
      </c>
      <c r="Q2494" s="53" t="n">
        <v>0</v>
      </c>
      <c r="R2494" s="52" t="n">
        <v>0</v>
      </c>
      <c r="S2494" s="51" t="n">
        <v>0</v>
      </c>
      <c r="T2494" s="48" t="n">
        <v>0</v>
      </c>
      <c r="U2494" s="49" t="n">
        <v>0</v>
      </c>
      <c r="V2494" s="49" t="n">
        <v>0</v>
      </c>
      <c r="W2494" s="50" t="n">
        <v>0</v>
      </c>
      <c r="X2494" s="51" t="n">
        <v>0</v>
      </c>
      <c r="Y2494" s="52" t="n">
        <v>0</v>
      </c>
      <c r="Z2494" s="52" t="n">
        <v>0</v>
      </c>
      <c r="AA2494" s="52" t="n">
        <v>0</v>
      </c>
      <c r="AB2494" s="53" t="n">
        <v>0</v>
      </c>
      <c r="AC2494" s="52" t="n">
        <v>0</v>
      </c>
      <c r="AD2494" s="53" t="n">
        <v>0</v>
      </c>
      <c r="AE2494" s="52" t="n">
        <v>0</v>
      </c>
      <c r="AF2494" s="51" t="n">
        <v>0</v>
      </c>
      <c r="AG2494" s="48" t="n">
        <v>0</v>
      </c>
      <c r="AH2494" s="49" t="n">
        <v>0</v>
      </c>
      <c r="AI2494" s="49" t="n">
        <v>0</v>
      </c>
      <c r="AJ2494" s="50" t="n">
        <v>0</v>
      </c>
      <c r="AK2494" s="51" t="n">
        <v>0</v>
      </c>
      <c r="AL2494" s="52" t="n">
        <v>0</v>
      </c>
      <c r="AM2494" s="52" t="n">
        <v>0</v>
      </c>
      <c r="AN2494" s="52" t="n">
        <v>0</v>
      </c>
      <c r="AO2494" s="53" t="n">
        <v>0</v>
      </c>
      <c r="AP2494" s="52" t="n">
        <v>0</v>
      </c>
      <c r="AQ2494" s="53" t="n">
        <v>0</v>
      </c>
      <c r="AR2494" s="52" t="n">
        <v>0</v>
      </c>
      <c r="AS2494" s="51" t="n">
        <v>0</v>
      </c>
      <c r="AT2494" s="48" t="n">
        <v>0</v>
      </c>
      <c r="AU2494" s="49" t="n">
        <v>0</v>
      </c>
      <c r="AV2494" s="49" t="n">
        <v>0</v>
      </c>
      <c r="AW2494" s="50" t="n">
        <v>0</v>
      </c>
      <c r="AX2494" s="51" t="n">
        <v>0</v>
      </c>
      <c r="AY2494" s="52" t="n">
        <v>0</v>
      </c>
      <c r="AZ2494" s="52" t="n">
        <v>0</v>
      </c>
      <c r="BA2494" s="52" t="n">
        <v>0</v>
      </c>
      <c r="BB2494" s="53" t="n">
        <v>0</v>
      </c>
      <c r="BC2494" s="52" t="n">
        <v>0</v>
      </c>
      <c r="BD2494" s="53" t="n">
        <v>0</v>
      </c>
      <c r="BE2494" s="52" t="n">
        <v>0</v>
      </c>
      <c r="BF2494" s="51" t="n">
        <v>0</v>
      </c>
    </row>
    <row r="2495">
      <c r="A2495">
        <f>HYPERLINK("https://www.walmart.com/ip/188086751", "188086751")</f>
        <v/>
      </c>
      <c r="B2495" t="inlineStr">
        <is>
          <t>Sun Hat UV Protection Wide Brim Boonie Safari Fishing Cap Adjustable Drawstring</t>
        </is>
      </c>
      <c r="C2495" t="inlineStr">
        <is>
          <t>1WMSH911GN</t>
        </is>
      </c>
      <c r="D2495" t="inlineStr">
        <is>
          <t>Hats</t>
        </is>
      </c>
      <c r="E2495" t="inlineStr">
        <is>
          <t>Flyingstar</t>
        </is>
      </c>
      <c r="F2495" t="inlineStr">
        <is>
          <t>Optimized</t>
        </is>
      </c>
      <c r="G2495" s="48" t="n">
        <v>0</v>
      </c>
      <c r="H2495" s="49" t="n">
        <v>0</v>
      </c>
      <c r="I2495" s="49" t="n">
        <v>0</v>
      </c>
      <c r="J2495" s="50" t="n">
        <v>0</v>
      </c>
      <c r="K2495" s="51" t="n">
        <v>0</v>
      </c>
      <c r="L2495" s="52" t="n">
        <v>0</v>
      </c>
      <c r="M2495" s="52" t="n">
        <v>0</v>
      </c>
      <c r="N2495" s="52" t="n">
        <v>0</v>
      </c>
      <c r="O2495" s="53" t="n">
        <v>0</v>
      </c>
      <c r="P2495" s="52" t="n">
        <v>0</v>
      </c>
      <c r="Q2495" s="53" t="n">
        <v>0</v>
      </c>
      <c r="R2495" s="52" t="n">
        <v>0</v>
      </c>
      <c r="S2495" s="51" t="n">
        <v>0</v>
      </c>
      <c r="T2495" s="48" t="n">
        <v>0</v>
      </c>
      <c r="U2495" s="49" t="n">
        <v>0</v>
      </c>
      <c r="V2495" s="49" t="n">
        <v>0</v>
      </c>
      <c r="W2495" s="50" t="n">
        <v>0</v>
      </c>
      <c r="X2495" s="51" t="n">
        <v>0</v>
      </c>
      <c r="Y2495" s="52" t="n">
        <v>0</v>
      </c>
      <c r="Z2495" s="52" t="n">
        <v>0</v>
      </c>
      <c r="AA2495" s="52" t="n">
        <v>0</v>
      </c>
      <c r="AB2495" s="53" t="n">
        <v>0</v>
      </c>
      <c r="AC2495" s="52" t="n">
        <v>0</v>
      </c>
      <c r="AD2495" s="53" t="n">
        <v>0</v>
      </c>
      <c r="AE2495" s="52" t="n">
        <v>0</v>
      </c>
      <c r="AF2495" s="51" t="n">
        <v>0</v>
      </c>
      <c r="AG2495" s="48" t="n">
        <v>0</v>
      </c>
      <c r="AH2495" s="49" t="n">
        <v>0</v>
      </c>
      <c r="AI2495" s="49" t="n">
        <v>0</v>
      </c>
      <c r="AJ2495" s="50" t="n">
        <v>0</v>
      </c>
      <c r="AK2495" s="51" t="n">
        <v>0</v>
      </c>
      <c r="AL2495" s="52" t="n">
        <v>0</v>
      </c>
      <c r="AM2495" s="52" t="n">
        <v>0</v>
      </c>
      <c r="AN2495" s="52" t="n">
        <v>0</v>
      </c>
      <c r="AO2495" s="53" t="n">
        <v>0</v>
      </c>
      <c r="AP2495" s="52" t="n">
        <v>0</v>
      </c>
      <c r="AQ2495" s="53" t="n">
        <v>0</v>
      </c>
      <c r="AR2495" s="52" t="n">
        <v>0</v>
      </c>
      <c r="AS2495" s="51" t="n">
        <v>0</v>
      </c>
      <c r="AT2495" s="48" t="n">
        <v>0</v>
      </c>
      <c r="AU2495" s="49" t="n">
        <v>0</v>
      </c>
      <c r="AV2495" s="49" t="n">
        <v>0</v>
      </c>
      <c r="AW2495" s="50" t="n">
        <v>0</v>
      </c>
      <c r="AX2495" s="51" t="n">
        <v>0</v>
      </c>
      <c r="AY2495" s="52" t="n">
        <v>0</v>
      </c>
      <c r="AZ2495" s="52" t="n">
        <v>0</v>
      </c>
      <c r="BA2495" s="52" t="n">
        <v>0</v>
      </c>
      <c r="BB2495" s="53" t="n">
        <v>0</v>
      </c>
      <c r="BC2495" s="52" t="n">
        <v>0</v>
      </c>
      <c r="BD2495" s="53" t="n">
        <v>0</v>
      </c>
      <c r="BE2495" s="52" t="n">
        <v>0</v>
      </c>
      <c r="BF2495" s="51" t="n">
        <v>0</v>
      </c>
    </row>
    <row r="2496">
      <c r="A2496">
        <f>HYPERLINK("https://www.walmart.com/ip/187900886", "187900886")</f>
        <v/>
      </c>
      <c r="B2496" t="inlineStr">
        <is>
          <t>Terra Active Wrap- Stylish Running workout travel waist belt w/ hidden pocket</t>
        </is>
      </c>
      <c r="C2496" t="inlineStr">
        <is>
          <t>TERRA-3NG-L</t>
        </is>
      </c>
      <c r="D2496" t="inlineStr">
        <is>
          <t>Running Belts</t>
        </is>
      </c>
      <c r="E2496" t="inlineStr">
        <is>
          <t>Terra</t>
        </is>
      </c>
      <c r="F2496" t="inlineStr">
        <is>
          <t>Optimized</t>
        </is>
      </c>
      <c r="G2496" s="48" t="n">
        <v>0</v>
      </c>
      <c r="H2496" s="49" t="n">
        <v>0</v>
      </c>
      <c r="I2496" s="49" t="n">
        <v>0</v>
      </c>
      <c r="J2496" s="50" t="n">
        <v>0</v>
      </c>
      <c r="K2496" s="51" t="n">
        <v>0</v>
      </c>
      <c r="L2496" s="52" t="n">
        <v>0</v>
      </c>
      <c r="M2496" s="52" t="n">
        <v>0</v>
      </c>
      <c r="N2496" s="52" t="n">
        <v>0</v>
      </c>
      <c r="O2496" s="53" t="n">
        <v>0</v>
      </c>
      <c r="P2496" s="52" t="n">
        <v>0</v>
      </c>
      <c r="Q2496" s="53" t="n">
        <v>0</v>
      </c>
      <c r="R2496" s="52" t="n">
        <v>0</v>
      </c>
      <c r="S2496" s="51" t="n">
        <v>0</v>
      </c>
      <c r="T2496" s="48" t="n">
        <v>0</v>
      </c>
      <c r="U2496" s="49" t="n">
        <v>0</v>
      </c>
      <c r="V2496" s="49" t="n">
        <v>0</v>
      </c>
      <c r="W2496" s="50" t="n">
        <v>0</v>
      </c>
      <c r="X2496" s="51" t="n">
        <v>0</v>
      </c>
      <c r="Y2496" s="52" t="n">
        <v>0</v>
      </c>
      <c r="Z2496" s="52" t="n">
        <v>0</v>
      </c>
      <c r="AA2496" s="52" t="n">
        <v>0</v>
      </c>
      <c r="AB2496" s="53" t="n">
        <v>0</v>
      </c>
      <c r="AC2496" s="52" t="n">
        <v>0</v>
      </c>
      <c r="AD2496" s="53" t="n">
        <v>0</v>
      </c>
      <c r="AE2496" s="52" t="n">
        <v>0</v>
      </c>
      <c r="AF2496" s="51" t="n">
        <v>0</v>
      </c>
      <c r="AG2496" s="48" t="n">
        <v>0</v>
      </c>
      <c r="AH2496" s="49" t="n">
        <v>0</v>
      </c>
      <c r="AI2496" s="49" t="n">
        <v>0</v>
      </c>
      <c r="AJ2496" s="50" t="n">
        <v>0</v>
      </c>
      <c r="AK2496" s="51" t="n">
        <v>0</v>
      </c>
      <c r="AL2496" s="52" t="n">
        <v>0</v>
      </c>
      <c r="AM2496" s="52" t="n">
        <v>0</v>
      </c>
      <c r="AN2496" s="52" t="n">
        <v>0</v>
      </c>
      <c r="AO2496" s="53" t="n">
        <v>0</v>
      </c>
      <c r="AP2496" s="52" t="n">
        <v>0</v>
      </c>
      <c r="AQ2496" s="53" t="n">
        <v>0</v>
      </c>
      <c r="AR2496" s="52" t="n">
        <v>0</v>
      </c>
      <c r="AS2496" s="51" t="n">
        <v>0</v>
      </c>
      <c r="AT2496" s="48" t="n">
        <v>0</v>
      </c>
      <c r="AU2496" s="49" t="n">
        <v>0</v>
      </c>
      <c r="AV2496" s="49" t="n">
        <v>0</v>
      </c>
      <c r="AW2496" s="50" t="n">
        <v>0</v>
      </c>
      <c r="AX2496" s="51" t="n">
        <v>0</v>
      </c>
      <c r="AY2496" s="52" t="n">
        <v>0</v>
      </c>
      <c r="AZ2496" s="52" t="n">
        <v>0</v>
      </c>
      <c r="BA2496" s="52" t="n">
        <v>0</v>
      </c>
      <c r="BB2496" s="53" t="n">
        <v>0</v>
      </c>
      <c r="BC2496" s="52" t="n">
        <v>0</v>
      </c>
      <c r="BD2496" s="53" t="n">
        <v>0</v>
      </c>
      <c r="BE2496" s="52" t="n">
        <v>0</v>
      </c>
      <c r="BF2496" s="51" t="n">
        <v>0</v>
      </c>
    </row>
    <row r="2497">
      <c r="A2497">
        <f>HYPERLINK("https://www.walmart.com/ip/187889738", "187889738")</f>
        <v/>
      </c>
      <c r="B2497" t="inlineStr">
        <is>
          <t>Women's Plus Size Floral Lace Mesh Chemise Sleepwear and G-string</t>
        </is>
      </c>
      <c r="C2497" t="inlineStr">
        <is>
          <t>JWBD05WT-XL</t>
        </is>
      </c>
      <c r="D2497" t="inlineStr">
        <is>
          <t>Lingerie Sets</t>
        </is>
      </c>
      <c r="E2497" t="inlineStr">
        <is>
          <t>JenniWears</t>
        </is>
      </c>
      <c r="F2497" t="inlineStr">
        <is>
          <t>Optimized,Valentine</t>
        </is>
      </c>
      <c r="G2497" s="48" t="n">
        <v>0</v>
      </c>
      <c r="H2497" s="49" t="n">
        <v>0</v>
      </c>
      <c r="I2497" s="49" t="n">
        <v>0</v>
      </c>
      <c r="J2497" s="50" t="n">
        <v>0</v>
      </c>
      <c r="K2497" s="51" t="n">
        <v>0</v>
      </c>
      <c r="L2497" s="52" t="n">
        <v>0</v>
      </c>
      <c r="M2497" s="52" t="n">
        <v>0</v>
      </c>
      <c r="N2497" s="52" t="n">
        <v>0</v>
      </c>
      <c r="O2497" s="53" t="n">
        <v>0</v>
      </c>
      <c r="P2497" s="52" t="n">
        <v>0</v>
      </c>
      <c r="Q2497" s="53" t="n">
        <v>0</v>
      </c>
      <c r="R2497" s="52" t="n">
        <v>0</v>
      </c>
      <c r="S2497" s="51" t="n">
        <v>0</v>
      </c>
      <c r="T2497" s="48" t="n">
        <v>0</v>
      </c>
      <c r="U2497" s="49" t="n">
        <v>0</v>
      </c>
      <c r="V2497" s="49" t="n">
        <v>0</v>
      </c>
      <c r="W2497" s="50" t="n">
        <v>0</v>
      </c>
      <c r="X2497" s="51" t="n">
        <v>0</v>
      </c>
      <c r="Y2497" s="52" t="n">
        <v>0</v>
      </c>
      <c r="Z2497" s="52" t="n">
        <v>0</v>
      </c>
      <c r="AA2497" s="52" t="n">
        <v>0</v>
      </c>
      <c r="AB2497" s="53" t="n">
        <v>0</v>
      </c>
      <c r="AC2497" s="52" t="n">
        <v>0</v>
      </c>
      <c r="AD2497" s="53" t="n">
        <v>0</v>
      </c>
      <c r="AE2497" s="52" t="n">
        <v>0</v>
      </c>
      <c r="AF2497" s="51" t="n">
        <v>0</v>
      </c>
      <c r="AG2497" s="48" t="n">
        <v>0</v>
      </c>
      <c r="AH2497" s="49" t="n">
        <v>0</v>
      </c>
      <c r="AI2497" s="49" t="n">
        <v>0</v>
      </c>
      <c r="AJ2497" s="50" t="n">
        <v>0</v>
      </c>
      <c r="AK2497" s="51" t="n">
        <v>0</v>
      </c>
      <c r="AL2497" s="52" t="n">
        <v>0</v>
      </c>
      <c r="AM2497" s="52" t="n">
        <v>0</v>
      </c>
      <c r="AN2497" s="52" t="n">
        <v>0</v>
      </c>
      <c r="AO2497" s="53" t="n">
        <v>0</v>
      </c>
      <c r="AP2497" s="52" t="n">
        <v>0</v>
      </c>
      <c r="AQ2497" s="53" t="n">
        <v>0</v>
      </c>
      <c r="AR2497" s="52" t="n">
        <v>0</v>
      </c>
      <c r="AS2497" s="51" t="n">
        <v>0</v>
      </c>
      <c r="AT2497" s="48" t="n">
        <v>0</v>
      </c>
      <c r="AU2497" s="49" t="n">
        <v>0</v>
      </c>
      <c r="AV2497" s="49" t="n">
        <v>0</v>
      </c>
      <c r="AW2497" s="50" t="n">
        <v>0</v>
      </c>
      <c r="AX2497" s="51" t="n">
        <v>0</v>
      </c>
      <c r="AY2497" s="52" t="n">
        <v>0</v>
      </c>
      <c r="AZ2497" s="52" t="n">
        <v>0</v>
      </c>
      <c r="BA2497" s="52" t="n">
        <v>0</v>
      </c>
      <c r="BB2497" s="53" t="n">
        <v>0</v>
      </c>
      <c r="BC2497" s="52" t="n">
        <v>0</v>
      </c>
      <c r="BD2497" s="53" t="n">
        <v>0</v>
      </c>
      <c r="BE2497" s="52" t="n">
        <v>0</v>
      </c>
      <c r="BF2497" s="51" t="n">
        <v>0</v>
      </c>
    </row>
    <row r="2498">
      <c r="A2498">
        <f>HYPERLINK("https://www.walmart.com/ip/187616823", "187616823")</f>
        <v/>
      </c>
      <c r="B2498" t="inlineStr">
        <is>
          <t>Women's Poncho Cape, Sherpa Fleece Cloak Coat, Snuggly Hooded Wearable Blanket, Gift Idea for Adults and Teen Girls</t>
        </is>
      </c>
      <c r="C2498" t="inlineStr">
        <is>
          <t>1CTBC300PK</t>
        </is>
      </c>
      <c r="D2498" t="inlineStr">
        <is>
          <t>Throws</t>
        </is>
      </c>
      <c r="E2498" t="inlineStr">
        <is>
          <t>Catalonia</t>
        </is>
      </c>
      <c r="F2498" t="inlineStr">
        <is>
          <t>WFS,High AUR Items,WFS Item</t>
        </is>
      </c>
      <c r="G2498" s="48" t="n">
        <v>0</v>
      </c>
      <c r="H2498" s="49" t="n">
        <v>0</v>
      </c>
      <c r="I2498" s="49" t="n">
        <v>1</v>
      </c>
      <c r="J2498" s="50" t="n">
        <v>0</v>
      </c>
      <c r="K2498" s="51" t="n">
        <v>0</v>
      </c>
      <c r="L2498" s="52" t="n">
        <v>0</v>
      </c>
      <c r="M2498" s="52" t="n">
        <v>0</v>
      </c>
      <c r="N2498" s="52" t="n">
        <v>0</v>
      </c>
      <c r="O2498" s="53" t="n">
        <v>0</v>
      </c>
      <c r="P2498" s="52" t="n">
        <v>0</v>
      </c>
      <c r="Q2498" s="53" t="n">
        <v>0</v>
      </c>
      <c r="R2498" s="52" t="n">
        <v>0</v>
      </c>
      <c r="S2498" s="51" t="n">
        <v>0</v>
      </c>
      <c r="T2498" s="48" t="n">
        <v>0</v>
      </c>
      <c r="U2498" s="49" t="n">
        <v>0</v>
      </c>
      <c r="V2498" s="49" t="n">
        <v>1</v>
      </c>
      <c r="W2498" s="50" t="n">
        <v>0</v>
      </c>
      <c r="X2498" s="51" t="n">
        <v>0</v>
      </c>
      <c r="Y2498" s="52" t="n">
        <v>0</v>
      </c>
      <c r="Z2498" s="52" t="n">
        <v>0</v>
      </c>
      <c r="AA2498" s="52" t="n">
        <v>0</v>
      </c>
      <c r="AB2498" s="53" t="n">
        <v>0</v>
      </c>
      <c r="AC2498" s="52" t="n">
        <v>0</v>
      </c>
      <c r="AD2498" s="53" t="n">
        <v>0</v>
      </c>
      <c r="AE2498" s="52" t="n">
        <v>0</v>
      </c>
      <c r="AF2498" s="51" t="n">
        <v>0</v>
      </c>
      <c r="AG2498" s="48" t="n">
        <v>0</v>
      </c>
      <c r="AH2498" s="49" t="n">
        <v>0</v>
      </c>
      <c r="AI2498" s="49" t="n">
        <v>1</v>
      </c>
      <c r="AJ2498" s="50" t="n">
        <v>0</v>
      </c>
      <c r="AK2498" s="51" t="n">
        <v>0</v>
      </c>
      <c r="AL2498" s="52" t="n">
        <v>0</v>
      </c>
      <c r="AM2498" s="52" t="n">
        <v>0</v>
      </c>
      <c r="AN2498" s="52" t="n">
        <v>0</v>
      </c>
      <c r="AO2498" s="53" t="n">
        <v>0</v>
      </c>
      <c r="AP2498" s="52" t="n">
        <v>0</v>
      </c>
      <c r="AQ2498" s="53" t="n">
        <v>0</v>
      </c>
      <c r="AR2498" s="52" t="n">
        <v>0</v>
      </c>
      <c r="AS2498" s="51" t="n">
        <v>0</v>
      </c>
      <c r="AT2498" s="48" t="n">
        <v>0</v>
      </c>
      <c r="AU2498" s="49" t="n">
        <v>0</v>
      </c>
      <c r="AV2498" s="49" t="n">
        <v>1</v>
      </c>
      <c r="AW2498" s="50" t="n">
        <v>0</v>
      </c>
      <c r="AX2498" s="51" t="n">
        <v>0</v>
      </c>
      <c r="AY2498" s="52" t="n">
        <v>0</v>
      </c>
      <c r="AZ2498" s="52" t="n">
        <v>0</v>
      </c>
      <c r="BA2498" s="52" t="n">
        <v>0</v>
      </c>
      <c r="BB2498" s="53" t="n">
        <v>0</v>
      </c>
      <c r="BC2498" s="52" t="n">
        <v>0</v>
      </c>
      <c r="BD2498" s="53" t="n">
        <v>0</v>
      </c>
      <c r="BE2498" s="52" t="n">
        <v>0</v>
      </c>
      <c r="BF2498" s="51" t="n">
        <v>0</v>
      </c>
    </row>
    <row r="2499">
      <c r="A2499">
        <f>HYPERLINK("https://www.walmart.com/ip/189439981", "189439981")</f>
        <v/>
      </c>
      <c r="B2499" t="inlineStr">
        <is>
          <t>KC Caps Unisex Adjustable Snap Closure USA Flag Embroidered Unconstructed Cap Hat</t>
        </is>
      </c>
      <c r="C2499" t="inlineStr">
        <is>
          <t>kc-ae-6110-wt</t>
        </is>
      </c>
      <c r="D2499" t="inlineStr">
        <is>
          <t>Hats</t>
        </is>
      </c>
      <c r="E2499" t="inlineStr">
        <is>
          <t>KC Caps</t>
        </is>
      </c>
      <c r="F2499" t="inlineStr">
        <is>
          <t>Optimized,Hats</t>
        </is>
      </c>
      <c r="G2499" s="48" t="n">
        <v>0</v>
      </c>
      <c r="H2499" s="49" t="n">
        <v>0</v>
      </c>
      <c r="I2499" s="49" t="n">
        <v>0</v>
      </c>
      <c r="J2499" s="50" t="n">
        <v>0</v>
      </c>
      <c r="K2499" s="51" t="n">
        <v>0</v>
      </c>
      <c r="L2499" s="52" t="n">
        <v>0</v>
      </c>
      <c r="M2499" s="52" t="n">
        <v>0</v>
      </c>
      <c r="N2499" s="52" t="n">
        <v>0</v>
      </c>
      <c r="O2499" s="53" t="n">
        <v>0</v>
      </c>
      <c r="P2499" s="52" t="n">
        <v>0</v>
      </c>
      <c r="Q2499" s="53" t="n">
        <v>0</v>
      </c>
      <c r="R2499" s="52" t="n">
        <v>0</v>
      </c>
      <c r="S2499" s="51" t="n">
        <v>0</v>
      </c>
      <c r="T2499" s="48" t="n">
        <v>0</v>
      </c>
      <c r="U2499" s="49" t="n">
        <v>0</v>
      </c>
      <c r="V2499" s="49" t="n">
        <v>0</v>
      </c>
      <c r="W2499" s="50" t="n">
        <v>0</v>
      </c>
      <c r="X2499" s="51" t="n">
        <v>0</v>
      </c>
      <c r="Y2499" s="52" t="n">
        <v>0</v>
      </c>
      <c r="Z2499" s="52" t="n">
        <v>0</v>
      </c>
      <c r="AA2499" s="52" t="n">
        <v>0</v>
      </c>
      <c r="AB2499" s="53" t="n">
        <v>0</v>
      </c>
      <c r="AC2499" s="52" t="n">
        <v>0</v>
      </c>
      <c r="AD2499" s="53" t="n">
        <v>0</v>
      </c>
      <c r="AE2499" s="52" t="n">
        <v>0</v>
      </c>
      <c r="AF2499" s="51" t="n">
        <v>0</v>
      </c>
      <c r="AG2499" s="48" t="n">
        <v>0</v>
      </c>
      <c r="AH2499" s="49" t="n">
        <v>0</v>
      </c>
      <c r="AI2499" s="49" t="n">
        <v>0</v>
      </c>
      <c r="AJ2499" s="50" t="n">
        <v>0</v>
      </c>
      <c r="AK2499" s="51" t="n">
        <v>0</v>
      </c>
      <c r="AL2499" s="52" t="n">
        <v>0</v>
      </c>
      <c r="AM2499" s="52" t="n">
        <v>0</v>
      </c>
      <c r="AN2499" s="52" t="n">
        <v>0</v>
      </c>
      <c r="AO2499" s="53" t="n">
        <v>0</v>
      </c>
      <c r="AP2499" s="52" t="n">
        <v>0</v>
      </c>
      <c r="AQ2499" s="53" t="n">
        <v>0</v>
      </c>
      <c r="AR2499" s="52" t="n">
        <v>0</v>
      </c>
      <c r="AS2499" s="51" t="n">
        <v>0</v>
      </c>
      <c r="AT2499" s="48" t="n">
        <v>0</v>
      </c>
      <c r="AU2499" s="49" t="n">
        <v>0</v>
      </c>
      <c r="AV2499" s="49" t="n">
        <v>0</v>
      </c>
      <c r="AW2499" s="50" t="n">
        <v>0</v>
      </c>
      <c r="AX2499" s="51" t="n">
        <v>0</v>
      </c>
      <c r="AY2499" s="52" t="n">
        <v>0</v>
      </c>
      <c r="AZ2499" s="52" t="n">
        <v>0</v>
      </c>
      <c r="BA2499" s="52" t="n">
        <v>0</v>
      </c>
      <c r="BB2499" s="53" t="n">
        <v>0</v>
      </c>
      <c r="BC2499" s="52" t="n">
        <v>0</v>
      </c>
      <c r="BD2499" s="53" t="n">
        <v>0</v>
      </c>
      <c r="BE2499" s="52" t="n">
        <v>0</v>
      </c>
      <c r="BF2499" s="51" t="n">
        <v>0</v>
      </c>
    </row>
    <row r="2500">
      <c r="A2500">
        <f>HYPERLINK("https://www.walmart.com/ip/1875507073", "1875507073")</f>
        <v/>
      </c>
      <c r="B2500" t="inlineStr">
        <is>
          <t>Tirrinia Leakproof Thermal Bento Lunch Bag For Women, Heat-welded technology, Men And Kids, Heat-welded Technology, Medium, Green, 7.8/ 15 Cans</t>
        </is>
      </c>
      <c r="C2500" t="inlineStr">
        <is>
          <t>1TRLB702GN-N</t>
        </is>
      </c>
      <c r="D2500" t="inlineStr">
        <is>
          <t>Reusable Lunch Bags &amp; Boxes</t>
        </is>
      </c>
      <c r="E2500" t="inlineStr">
        <is>
          <t>Tirrinia</t>
        </is>
      </c>
      <c r="F2500" t="inlineStr">
        <is>
          <t>Q2-Target,Brand Camp VD,Lunch Bags,Batch 1 - TR</t>
        </is>
      </c>
      <c r="G2500" s="48" t="n">
        <v>0</v>
      </c>
      <c r="H2500" s="49" t="n">
        <v>0</v>
      </c>
      <c r="I2500" s="49" t="n">
        <v>2</v>
      </c>
      <c r="J2500" s="50" t="n">
        <v>0</v>
      </c>
      <c r="K2500" s="51" t="n">
        <v>0</v>
      </c>
      <c r="L2500" s="52" t="n">
        <v>0</v>
      </c>
      <c r="M2500" s="52" t="n">
        <v>0</v>
      </c>
      <c r="N2500" s="52" t="n">
        <v>0</v>
      </c>
      <c r="O2500" s="53" t="n">
        <v>0</v>
      </c>
      <c r="P2500" s="52" t="n">
        <v>0</v>
      </c>
      <c r="Q2500" s="53" t="n">
        <v>0</v>
      </c>
      <c r="R2500" s="52" t="n">
        <v>0</v>
      </c>
      <c r="S2500" s="51" t="n">
        <v>0</v>
      </c>
      <c r="T2500" s="48" t="n">
        <v>28.97</v>
      </c>
      <c r="U2500" s="49" t="n">
        <v>2</v>
      </c>
      <c r="V2500" s="49" t="n">
        <v>4</v>
      </c>
      <c r="W2500" s="50" t="n">
        <v>0.5</v>
      </c>
      <c r="X2500" s="51" t="n">
        <v>0</v>
      </c>
      <c r="Y2500" s="52" t="n">
        <v>0</v>
      </c>
      <c r="Z2500" s="52" t="n">
        <v>0</v>
      </c>
      <c r="AA2500" s="52" t="n">
        <v>0</v>
      </c>
      <c r="AB2500" s="53" t="n">
        <v>0</v>
      </c>
      <c r="AC2500" s="52" t="n">
        <v>0</v>
      </c>
      <c r="AD2500" s="53" t="n">
        <v>0</v>
      </c>
      <c r="AE2500" s="52" t="n">
        <v>14.485</v>
      </c>
      <c r="AF2500" s="51" t="n">
        <v>0</v>
      </c>
      <c r="AG2500" s="48" t="n">
        <v>0</v>
      </c>
      <c r="AH2500" s="49" t="n">
        <v>0</v>
      </c>
      <c r="AI2500" s="49" t="n">
        <v>0</v>
      </c>
      <c r="AJ2500" s="50" t="n">
        <v>0</v>
      </c>
      <c r="AK2500" s="51" t="n">
        <v>0</v>
      </c>
      <c r="AL2500" s="52" t="n">
        <v>0</v>
      </c>
      <c r="AM2500" s="52" t="n">
        <v>0</v>
      </c>
      <c r="AN2500" s="52" t="n">
        <v>0</v>
      </c>
      <c r="AO2500" s="53" t="n">
        <v>0</v>
      </c>
      <c r="AP2500" s="52" t="n">
        <v>0</v>
      </c>
      <c r="AQ2500" s="53" t="n">
        <v>0</v>
      </c>
      <c r="AR2500" s="52" t="n">
        <v>0</v>
      </c>
      <c r="AS2500" s="51" t="n">
        <v>0</v>
      </c>
      <c r="AT2500" s="48" t="n">
        <v>0</v>
      </c>
      <c r="AU2500" s="49" t="n">
        <v>0</v>
      </c>
      <c r="AV2500" s="49" t="n">
        <v>0</v>
      </c>
      <c r="AW2500" s="50" t="n">
        <v>0</v>
      </c>
      <c r="AX2500" s="51" t="n">
        <v>0</v>
      </c>
      <c r="AY2500" s="52" t="n">
        <v>0</v>
      </c>
      <c r="AZ2500" s="52" t="n">
        <v>0</v>
      </c>
      <c r="BA2500" s="52" t="n">
        <v>0</v>
      </c>
      <c r="BB2500" s="53" t="n">
        <v>0</v>
      </c>
      <c r="BC2500" s="52" t="n">
        <v>0</v>
      </c>
      <c r="BD2500" s="53" t="n">
        <v>0</v>
      </c>
      <c r="BE2500" s="52" t="n">
        <v>0</v>
      </c>
      <c r="BF2500" s="51" t="n">
        <v>0</v>
      </c>
    </row>
    <row r="2501">
      <c r="A2501">
        <f>HYPERLINK("https://www.walmart.com/ip/187281448", "187281448")</f>
        <v/>
      </c>
      <c r="B2501" t="inlineStr">
        <is>
          <t>KC Caps® Unisex Cotton Baseball Cap Adjustable Plain Hat (21 Styles/Colors)</t>
        </is>
      </c>
      <c r="C2501" t="inlineStr">
        <is>
          <t>KC8010OFFWTGN</t>
        </is>
      </c>
      <c r="D2501" t="inlineStr">
        <is>
          <t>Hats</t>
        </is>
      </c>
      <c r="E2501" t="inlineStr">
        <is>
          <t>KC Caps</t>
        </is>
      </c>
      <c r="F2501" t="inlineStr">
        <is>
          <t>Optimized</t>
        </is>
      </c>
      <c r="G2501" s="48" t="n">
        <v>0</v>
      </c>
      <c r="H2501" s="49" t="n">
        <v>0</v>
      </c>
      <c r="I2501" s="49" t="n">
        <v>0</v>
      </c>
      <c r="J2501" s="50" t="n">
        <v>0</v>
      </c>
      <c r="K2501" s="51" t="n">
        <v>0</v>
      </c>
      <c r="L2501" s="52" t="n">
        <v>0</v>
      </c>
      <c r="M2501" s="52" t="n">
        <v>0</v>
      </c>
      <c r="N2501" s="52" t="n">
        <v>0</v>
      </c>
      <c r="O2501" s="53" t="n">
        <v>0</v>
      </c>
      <c r="P2501" s="52" t="n">
        <v>0</v>
      </c>
      <c r="Q2501" s="53" t="n">
        <v>0</v>
      </c>
      <c r="R2501" s="52" t="n">
        <v>0</v>
      </c>
      <c r="S2501" s="51" t="n">
        <v>0</v>
      </c>
      <c r="T2501" s="48" t="n">
        <v>0</v>
      </c>
      <c r="U2501" s="49" t="n">
        <v>0</v>
      </c>
      <c r="V2501" s="49" t="n">
        <v>0</v>
      </c>
      <c r="W2501" s="50" t="n">
        <v>0</v>
      </c>
      <c r="X2501" s="51" t="n">
        <v>0</v>
      </c>
      <c r="Y2501" s="52" t="n">
        <v>0</v>
      </c>
      <c r="Z2501" s="52" t="n">
        <v>0</v>
      </c>
      <c r="AA2501" s="52" t="n">
        <v>0</v>
      </c>
      <c r="AB2501" s="53" t="n">
        <v>0</v>
      </c>
      <c r="AC2501" s="52" t="n">
        <v>0</v>
      </c>
      <c r="AD2501" s="53" t="n">
        <v>0</v>
      </c>
      <c r="AE2501" s="52" t="n">
        <v>0</v>
      </c>
      <c r="AF2501" s="51" t="n">
        <v>0</v>
      </c>
      <c r="AG2501" s="48" t="n">
        <v>0</v>
      </c>
      <c r="AH2501" s="49" t="n">
        <v>0</v>
      </c>
      <c r="AI2501" s="49" t="n">
        <v>0</v>
      </c>
      <c r="AJ2501" s="50" t="n">
        <v>0</v>
      </c>
      <c r="AK2501" s="51" t="n">
        <v>0</v>
      </c>
      <c r="AL2501" s="52" t="n">
        <v>0</v>
      </c>
      <c r="AM2501" s="52" t="n">
        <v>0</v>
      </c>
      <c r="AN2501" s="52" t="n">
        <v>0</v>
      </c>
      <c r="AO2501" s="53" t="n">
        <v>0</v>
      </c>
      <c r="AP2501" s="52" t="n">
        <v>0</v>
      </c>
      <c r="AQ2501" s="53" t="n">
        <v>0</v>
      </c>
      <c r="AR2501" s="52" t="n">
        <v>0</v>
      </c>
      <c r="AS2501" s="51" t="n">
        <v>0</v>
      </c>
      <c r="AT2501" s="48" t="n">
        <v>0</v>
      </c>
      <c r="AU2501" s="49" t="n">
        <v>0</v>
      </c>
      <c r="AV2501" s="49" t="n">
        <v>0</v>
      </c>
      <c r="AW2501" s="50" t="n">
        <v>0</v>
      </c>
      <c r="AX2501" s="51" t="n">
        <v>0</v>
      </c>
      <c r="AY2501" s="52" t="n">
        <v>0</v>
      </c>
      <c r="AZ2501" s="52" t="n">
        <v>0</v>
      </c>
      <c r="BA2501" s="52" t="n">
        <v>0</v>
      </c>
      <c r="BB2501" s="53" t="n">
        <v>0</v>
      </c>
      <c r="BC2501" s="52" t="n">
        <v>0</v>
      </c>
      <c r="BD2501" s="53" t="n">
        <v>0</v>
      </c>
      <c r="BE2501" s="52" t="n">
        <v>0</v>
      </c>
      <c r="BF2501" s="51" t="n">
        <v>0</v>
      </c>
    </row>
    <row r="2502">
      <c r="A2502">
        <f>HYPERLINK("https://www.walmart.com/ip/189604473", "189604473")</f>
        <v/>
      </c>
      <c r="B2502" t="inlineStr">
        <is>
          <t>Flyingstar Sherpa Throws Blanket, Fleece Soft Cozy Blanket Throws for Sofa Bed 50"x60"</t>
        </is>
      </c>
      <c r="C2502" t="inlineStr">
        <is>
          <t>1WMBF301MK-ESGM</t>
        </is>
      </c>
      <c r="D2502" t="inlineStr">
        <is>
          <t>Throws</t>
        </is>
      </c>
      <c r="E2502" t="inlineStr">
        <is>
          <t>Flyingstar</t>
        </is>
      </c>
      <c r="F2502" t="inlineStr">
        <is>
          <t>Optimized</t>
        </is>
      </c>
      <c r="G2502" s="48" t="n">
        <v>0</v>
      </c>
      <c r="H2502" s="49" t="n">
        <v>0</v>
      </c>
      <c r="I2502" s="49" t="n">
        <v>0</v>
      </c>
      <c r="J2502" s="50" t="n">
        <v>0</v>
      </c>
      <c r="K2502" s="51" t="n">
        <v>0</v>
      </c>
      <c r="L2502" s="52" t="n">
        <v>0</v>
      </c>
      <c r="M2502" s="52" t="n">
        <v>0</v>
      </c>
      <c r="N2502" s="52" t="n">
        <v>0</v>
      </c>
      <c r="O2502" s="53" t="n">
        <v>0</v>
      </c>
      <c r="P2502" s="52" t="n">
        <v>0</v>
      </c>
      <c r="Q2502" s="53" t="n">
        <v>0</v>
      </c>
      <c r="R2502" s="52" t="n">
        <v>0</v>
      </c>
      <c r="S2502" s="51" t="n">
        <v>0</v>
      </c>
      <c r="T2502" s="48" t="n">
        <v>0</v>
      </c>
      <c r="U2502" s="49" t="n">
        <v>0</v>
      </c>
      <c r="V2502" s="49" t="n">
        <v>0</v>
      </c>
      <c r="W2502" s="50" t="n">
        <v>0</v>
      </c>
      <c r="X2502" s="51" t="n">
        <v>0</v>
      </c>
      <c r="Y2502" s="52" t="n">
        <v>0</v>
      </c>
      <c r="Z2502" s="52" t="n">
        <v>0</v>
      </c>
      <c r="AA2502" s="52" t="n">
        <v>0</v>
      </c>
      <c r="AB2502" s="53" t="n">
        <v>0</v>
      </c>
      <c r="AC2502" s="52" t="n">
        <v>0</v>
      </c>
      <c r="AD2502" s="53" t="n">
        <v>0</v>
      </c>
      <c r="AE2502" s="52" t="n">
        <v>0</v>
      </c>
      <c r="AF2502" s="51" t="n">
        <v>0</v>
      </c>
      <c r="AG2502" s="48" t="n">
        <v>0</v>
      </c>
      <c r="AH2502" s="49" t="n">
        <v>0</v>
      </c>
      <c r="AI2502" s="49" t="n">
        <v>0</v>
      </c>
      <c r="AJ2502" s="50" t="n">
        <v>0</v>
      </c>
      <c r="AK2502" s="51" t="n">
        <v>0</v>
      </c>
      <c r="AL2502" s="52" t="n">
        <v>0</v>
      </c>
      <c r="AM2502" s="52" t="n">
        <v>0</v>
      </c>
      <c r="AN2502" s="52" t="n">
        <v>0</v>
      </c>
      <c r="AO2502" s="53" t="n">
        <v>0</v>
      </c>
      <c r="AP2502" s="52" t="n">
        <v>0</v>
      </c>
      <c r="AQ2502" s="53" t="n">
        <v>0</v>
      </c>
      <c r="AR2502" s="52" t="n">
        <v>0</v>
      </c>
      <c r="AS2502" s="51" t="n">
        <v>0</v>
      </c>
      <c r="AT2502" s="48" t="n">
        <v>0</v>
      </c>
      <c r="AU2502" s="49" t="n">
        <v>0</v>
      </c>
      <c r="AV2502" s="49" t="n">
        <v>0</v>
      </c>
      <c r="AW2502" s="50" t="n">
        <v>0</v>
      </c>
      <c r="AX2502" s="51" t="n">
        <v>0</v>
      </c>
      <c r="AY2502" s="52" t="n">
        <v>0</v>
      </c>
      <c r="AZ2502" s="52" t="n">
        <v>0</v>
      </c>
      <c r="BA2502" s="52" t="n">
        <v>0</v>
      </c>
      <c r="BB2502" s="53" t="n">
        <v>0</v>
      </c>
      <c r="BC2502" s="52" t="n">
        <v>0</v>
      </c>
      <c r="BD2502" s="53" t="n">
        <v>0</v>
      </c>
      <c r="BE2502" s="52" t="n">
        <v>0</v>
      </c>
      <c r="BF2502" s="51" t="n">
        <v>0</v>
      </c>
    </row>
    <row r="2503">
      <c r="A2503">
        <f>HYPERLINK("https://www.walmart.com/ip/1872426699", "1872426699")</f>
        <v/>
      </c>
      <c r="B2503" t="inlineStr">
        <is>
          <t>Bucket Summer Mens Sun Hat Water Repel Mesh Net Light Weight UV Protection Outdoor Cap by Solaris</t>
        </is>
      </c>
      <c r="C2503" t="inlineStr">
        <is>
          <t>1SLSH191GY-12pcs</t>
        </is>
      </c>
      <c r="D2503" t="inlineStr">
        <is>
          <t>Hats</t>
        </is>
      </c>
      <c r="E2503" t="inlineStr">
        <is>
          <t>Solaris</t>
        </is>
      </c>
      <c r="F2503" t="inlineStr">
        <is>
          <t>Batch 1 - TR</t>
        </is>
      </c>
      <c r="G2503" s="48" t="n">
        <v>0</v>
      </c>
      <c r="H2503" s="49" t="n">
        <v>0</v>
      </c>
      <c r="I2503" s="49" t="n">
        <v>0</v>
      </c>
      <c r="J2503" s="50" t="n">
        <v>0</v>
      </c>
      <c r="K2503" s="51" t="n">
        <v>0</v>
      </c>
      <c r="L2503" s="52" t="n">
        <v>0</v>
      </c>
      <c r="M2503" s="52" t="n">
        <v>0</v>
      </c>
      <c r="N2503" s="52" t="n">
        <v>0</v>
      </c>
      <c r="O2503" s="53" t="n">
        <v>0</v>
      </c>
      <c r="P2503" s="52" t="n">
        <v>0</v>
      </c>
      <c r="Q2503" s="53" t="n">
        <v>0</v>
      </c>
      <c r="R2503" s="52" t="n">
        <v>0</v>
      </c>
      <c r="S2503" s="51" t="n">
        <v>0</v>
      </c>
      <c r="T2503" s="48" t="n">
        <v>0</v>
      </c>
      <c r="U2503" s="49" t="n">
        <v>0</v>
      </c>
      <c r="V2503" s="49" t="n">
        <v>0</v>
      </c>
      <c r="W2503" s="50" t="n">
        <v>0</v>
      </c>
      <c r="X2503" s="51" t="n">
        <v>0</v>
      </c>
      <c r="Y2503" s="52" t="n">
        <v>0</v>
      </c>
      <c r="Z2503" s="52" t="n">
        <v>0</v>
      </c>
      <c r="AA2503" s="52" t="n">
        <v>0</v>
      </c>
      <c r="AB2503" s="53" t="n">
        <v>0</v>
      </c>
      <c r="AC2503" s="52" t="n">
        <v>0</v>
      </c>
      <c r="AD2503" s="53" t="n">
        <v>0</v>
      </c>
      <c r="AE2503" s="52" t="n">
        <v>0</v>
      </c>
      <c r="AF2503" s="51" t="n">
        <v>0</v>
      </c>
      <c r="AG2503" s="48" t="n">
        <v>0</v>
      </c>
      <c r="AH2503" s="49" t="n">
        <v>0</v>
      </c>
      <c r="AI2503" s="49" t="n">
        <v>0</v>
      </c>
      <c r="AJ2503" s="50" t="n">
        <v>0</v>
      </c>
      <c r="AK2503" s="51" t="n">
        <v>0</v>
      </c>
      <c r="AL2503" s="52" t="n">
        <v>0</v>
      </c>
      <c r="AM2503" s="52" t="n">
        <v>0</v>
      </c>
      <c r="AN2503" s="52" t="n">
        <v>0</v>
      </c>
      <c r="AO2503" s="53" t="n">
        <v>0</v>
      </c>
      <c r="AP2503" s="52" t="n">
        <v>0</v>
      </c>
      <c r="AQ2503" s="53" t="n">
        <v>0</v>
      </c>
      <c r="AR2503" s="52" t="n">
        <v>0</v>
      </c>
      <c r="AS2503" s="51" t="n">
        <v>0</v>
      </c>
      <c r="AT2503" s="48" t="n">
        <v>0</v>
      </c>
      <c r="AU2503" s="49" t="n">
        <v>0</v>
      </c>
      <c r="AV2503" s="49" t="n">
        <v>0</v>
      </c>
      <c r="AW2503" s="50" t="n">
        <v>0</v>
      </c>
      <c r="AX2503" s="51" t="n">
        <v>0</v>
      </c>
      <c r="AY2503" s="52" t="n">
        <v>0</v>
      </c>
      <c r="AZ2503" s="52" t="n">
        <v>0</v>
      </c>
      <c r="BA2503" s="52" t="n">
        <v>0</v>
      </c>
      <c r="BB2503" s="53" t="n">
        <v>0</v>
      </c>
      <c r="BC2503" s="52" t="n">
        <v>0</v>
      </c>
      <c r="BD2503" s="53" t="n">
        <v>0</v>
      </c>
      <c r="BE2503" s="52" t="n">
        <v>0</v>
      </c>
      <c r="BF2503" s="51" t="n">
        <v>0</v>
      </c>
    </row>
    <row r="2504">
      <c r="A2504">
        <f>HYPERLINK("https://www.walmart.com/ip/1871646207", "1871646207")</f>
        <v/>
      </c>
      <c r="B2504" t="inlineStr">
        <is>
          <t>Tirrinia Lunch Bags for Women Men, Cute Insulated Lunch Tote Bag for Girls, Fashionable Lunch Box for Adult Kids, Reusable Large Cooler Lunch Bag for School, Work, Office, Picnic | Gray Stripe</t>
        </is>
      </c>
      <c r="C2504" t="inlineStr">
        <is>
          <t>1WMLB707GYSTR</t>
        </is>
      </c>
      <c r="D2504" t="inlineStr">
        <is>
          <t>Reusable Lunch Bags &amp; Boxes</t>
        </is>
      </c>
      <c r="E2504" t="inlineStr">
        <is>
          <t>Tirrinia</t>
        </is>
      </c>
      <c r="F2504" t="inlineStr">
        <is>
          <t>Q2-Target,Brand Camp VD</t>
        </is>
      </c>
      <c r="G2504" s="48" t="n">
        <v>0</v>
      </c>
      <c r="H2504" s="49" t="n">
        <v>0</v>
      </c>
      <c r="I2504" s="49" t="n">
        <v>3</v>
      </c>
      <c r="J2504" s="50" t="n">
        <v>0</v>
      </c>
      <c r="K2504" s="51" t="n">
        <v>0</v>
      </c>
      <c r="L2504" s="52" t="n">
        <v>0</v>
      </c>
      <c r="M2504" s="52" t="n">
        <v>0</v>
      </c>
      <c r="N2504" s="52" t="n">
        <v>0</v>
      </c>
      <c r="O2504" s="53" t="n">
        <v>0</v>
      </c>
      <c r="P2504" s="52" t="n">
        <v>0</v>
      </c>
      <c r="Q2504" s="53" t="n">
        <v>0</v>
      </c>
      <c r="R2504" s="52" t="n">
        <v>0</v>
      </c>
      <c r="S2504" s="51" t="n">
        <v>0</v>
      </c>
      <c r="T2504" s="48" t="n">
        <v>0</v>
      </c>
      <c r="U2504" s="49" t="n">
        <v>0</v>
      </c>
      <c r="V2504" s="49" t="n">
        <v>0</v>
      </c>
      <c r="W2504" s="50" t="n">
        <v>0</v>
      </c>
      <c r="X2504" s="51" t="n">
        <v>0</v>
      </c>
      <c r="Y2504" s="52" t="n">
        <v>0</v>
      </c>
      <c r="Z2504" s="52" t="n">
        <v>0</v>
      </c>
      <c r="AA2504" s="52" t="n">
        <v>0</v>
      </c>
      <c r="AB2504" s="53" t="n">
        <v>0</v>
      </c>
      <c r="AC2504" s="52" t="n">
        <v>0</v>
      </c>
      <c r="AD2504" s="53" t="n">
        <v>0</v>
      </c>
      <c r="AE2504" s="52" t="n">
        <v>0</v>
      </c>
      <c r="AF2504" s="51" t="n">
        <v>0</v>
      </c>
      <c r="AG2504" s="48" t="n">
        <v>0</v>
      </c>
      <c r="AH2504" s="49" t="n">
        <v>0</v>
      </c>
      <c r="AI2504" s="49" t="n">
        <v>0</v>
      </c>
      <c r="AJ2504" s="50" t="n">
        <v>0</v>
      </c>
      <c r="AK2504" s="51" t="n">
        <v>0</v>
      </c>
      <c r="AL2504" s="52" t="n">
        <v>0</v>
      </c>
      <c r="AM2504" s="52" t="n">
        <v>0</v>
      </c>
      <c r="AN2504" s="52" t="n">
        <v>0</v>
      </c>
      <c r="AO2504" s="53" t="n">
        <v>0</v>
      </c>
      <c r="AP2504" s="52" t="n">
        <v>0</v>
      </c>
      <c r="AQ2504" s="53" t="n">
        <v>0</v>
      </c>
      <c r="AR2504" s="52" t="n">
        <v>0</v>
      </c>
      <c r="AS2504" s="51" t="n">
        <v>0</v>
      </c>
      <c r="AT2504" s="48" t="n">
        <v>0</v>
      </c>
      <c r="AU2504" s="49" t="n">
        <v>0</v>
      </c>
      <c r="AV2504" s="49" t="n">
        <v>2</v>
      </c>
      <c r="AW2504" s="50" t="n">
        <v>0</v>
      </c>
      <c r="AX2504" s="51" t="n">
        <v>0</v>
      </c>
      <c r="AY2504" s="52" t="n">
        <v>0</v>
      </c>
      <c r="AZ2504" s="52" t="n">
        <v>0</v>
      </c>
      <c r="BA2504" s="52" t="n">
        <v>0</v>
      </c>
      <c r="BB2504" s="53" t="n">
        <v>0</v>
      </c>
      <c r="BC2504" s="52" t="n">
        <v>0</v>
      </c>
      <c r="BD2504" s="53" t="n">
        <v>0</v>
      </c>
      <c r="BE2504" s="52" t="n">
        <v>0</v>
      </c>
      <c r="BF2504" s="51" t="n">
        <v>0</v>
      </c>
    </row>
    <row r="2505">
      <c r="A2505">
        <f>HYPERLINK("https://www.walmart.com/ip/187126912", "187126912")</f>
        <v/>
      </c>
      <c r="B2505" t="inlineStr">
        <is>
          <t>JenniWears® Women's Sexy Lingerie Lace Bra with Strappy Tulle Panty - Black</t>
        </is>
      </c>
      <c r="C2505" t="inlineStr">
        <is>
          <t>JWBASS03BK-M</t>
        </is>
      </c>
      <c r="D2505" t="inlineStr">
        <is>
          <t>Lingerie Sets</t>
        </is>
      </c>
      <c r="E2505" t="inlineStr">
        <is>
          <t>JenniWears</t>
        </is>
      </c>
      <c r="F2505" t="inlineStr">
        <is>
          <t>Valentine</t>
        </is>
      </c>
      <c r="G2505" s="48" t="n">
        <v>0</v>
      </c>
      <c r="H2505" s="49" t="n">
        <v>0</v>
      </c>
      <c r="I2505" s="49" t="n">
        <v>0</v>
      </c>
      <c r="J2505" s="50" t="n">
        <v>0</v>
      </c>
      <c r="K2505" s="51" t="n">
        <v>0</v>
      </c>
      <c r="L2505" s="52" t="n">
        <v>0</v>
      </c>
      <c r="M2505" s="52" t="n">
        <v>0</v>
      </c>
      <c r="N2505" s="52" t="n">
        <v>0</v>
      </c>
      <c r="O2505" s="53" t="n">
        <v>0</v>
      </c>
      <c r="P2505" s="52" t="n">
        <v>0</v>
      </c>
      <c r="Q2505" s="53" t="n">
        <v>0</v>
      </c>
      <c r="R2505" s="52" t="n">
        <v>0</v>
      </c>
      <c r="S2505" s="51" t="n">
        <v>0</v>
      </c>
      <c r="T2505" s="48" t="n">
        <v>0</v>
      </c>
      <c r="U2505" s="49" t="n">
        <v>0</v>
      </c>
      <c r="V2505" s="49" t="n">
        <v>0</v>
      </c>
      <c r="W2505" s="50" t="n">
        <v>0</v>
      </c>
      <c r="X2505" s="51" t="n">
        <v>0</v>
      </c>
      <c r="Y2505" s="52" t="n">
        <v>0</v>
      </c>
      <c r="Z2505" s="52" t="n">
        <v>0</v>
      </c>
      <c r="AA2505" s="52" t="n">
        <v>0</v>
      </c>
      <c r="AB2505" s="53" t="n">
        <v>0</v>
      </c>
      <c r="AC2505" s="52" t="n">
        <v>0</v>
      </c>
      <c r="AD2505" s="53" t="n">
        <v>0</v>
      </c>
      <c r="AE2505" s="52" t="n">
        <v>0</v>
      </c>
      <c r="AF2505" s="51" t="n">
        <v>0</v>
      </c>
      <c r="AG2505" s="48" t="n">
        <v>0</v>
      </c>
      <c r="AH2505" s="49" t="n">
        <v>0</v>
      </c>
      <c r="AI2505" s="49" t="n">
        <v>0</v>
      </c>
      <c r="AJ2505" s="50" t="n">
        <v>0</v>
      </c>
      <c r="AK2505" s="51" t="n">
        <v>0</v>
      </c>
      <c r="AL2505" s="52" t="n">
        <v>0</v>
      </c>
      <c r="AM2505" s="52" t="n">
        <v>0</v>
      </c>
      <c r="AN2505" s="52" t="n">
        <v>0</v>
      </c>
      <c r="AO2505" s="53" t="n">
        <v>0</v>
      </c>
      <c r="AP2505" s="52" t="n">
        <v>0</v>
      </c>
      <c r="AQ2505" s="53" t="n">
        <v>0</v>
      </c>
      <c r="AR2505" s="52" t="n">
        <v>0</v>
      </c>
      <c r="AS2505" s="51" t="n">
        <v>0</v>
      </c>
      <c r="AT2505" s="48" t="n">
        <v>0</v>
      </c>
      <c r="AU2505" s="49" t="n">
        <v>0</v>
      </c>
      <c r="AV2505" s="49" t="n">
        <v>0</v>
      </c>
      <c r="AW2505" s="50" t="n">
        <v>0</v>
      </c>
      <c r="AX2505" s="51" t="n">
        <v>0</v>
      </c>
      <c r="AY2505" s="52" t="n">
        <v>0</v>
      </c>
      <c r="AZ2505" s="52" t="n">
        <v>0</v>
      </c>
      <c r="BA2505" s="52" t="n">
        <v>0</v>
      </c>
      <c r="BB2505" s="53" t="n">
        <v>0</v>
      </c>
      <c r="BC2505" s="52" t="n">
        <v>0</v>
      </c>
      <c r="BD2505" s="53" t="n">
        <v>0</v>
      </c>
      <c r="BE2505" s="52" t="n">
        <v>0</v>
      </c>
      <c r="BF2505" s="51" t="n">
        <v>0</v>
      </c>
    </row>
    <row r="2506">
      <c r="A2506">
        <f>HYPERLINK("https://www.walmart.com/ip/186964556", "186964556")</f>
        <v/>
      </c>
      <c r="B2506" t="inlineStr">
        <is>
          <t>JenniWears® Women's Sexy Strappy Lace Mesh Chemise Lingerie with G-string</t>
        </is>
      </c>
      <c r="C2506" t="inlineStr">
        <is>
          <t>JWBD03BKRD-M</t>
        </is>
      </c>
      <c r="D2506" t="inlineStr">
        <is>
          <t>Lingerie Sets</t>
        </is>
      </c>
      <c r="E2506" t="inlineStr">
        <is>
          <t>JenniWears</t>
        </is>
      </c>
      <c r="F2506" t="inlineStr">
        <is>
          <t>Optimized,Valentine</t>
        </is>
      </c>
      <c r="G2506" s="48" t="n">
        <v>0</v>
      </c>
      <c r="H2506" s="49" t="n">
        <v>0</v>
      </c>
      <c r="I2506" s="49" t="n">
        <v>0</v>
      </c>
      <c r="J2506" s="50" t="n">
        <v>0</v>
      </c>
      <c r="K2506" s="51" t="n">
        <v>0</v>
      </c>
      <c r="L2506" s="52" t="n">
        <v>0</v>
      </c>
      <c r="M2506" s="52" t="n">
        <v>0</v>
      </c>
      <c r="N2506" s="52" t="n">
        <v>0</v>
      </c>
      <c r="O2506" s="53" t="n">
        <v>0</v>
      </c>
      <c r="P2506" s="52" t="n">
        <v>0</v>
      </c>
      <c r="Q2506" s="53" t="n">
        <v>0</v>
      </c>
      <c r="R2506" s="52" t="n">
        <v>0</v>
      </c>
      <c r="S2506" s="51" t="n">
        <v>0</v>
      </c>
      <c r="T2506" s="48" t="n">
        <v>0</v>
      </c>
      <c r="U2506" s="49" t="n">
        <v>0</v>
      </c>
      <c r="V2506" s="49" t="n">
        <v>0</v>
      </c>
      <c r="W2506" s="50" t="n">
        <v>0</v>
      </c>
      <c r="X2506" s="51" t="n">
        <v>0</v>
      </c>
      <c r="Y2506" s="52" t="n">
        <v>0</v>
      </c>
      <c r="Z2506" s="52" t="n">
        <v>0</v>
      </c>
      <c r="AA2506" s="52" t="n">
        <v>0</v>
      </c>
      <c r="AB2506" s="53" t="n">
        <v>0</v>
      </c>
      <c r="AC2506" s="52" t="n">
        <v>0</v>
      </c>
      <c r="AD2506" s="53" t="n">
        <v>0</v>
      </c>
      <c r="AE2506" s="52" t="n">
        <v>0</v>
      </c>
      <c r="AF2506" s="51" t="n">
        <v>0</v>
      </c>
      <c r="AG2506" s="48" t="n">
        <v>0</v>
      </c>
      <c r="AH2506" s="49" t="n">
        <v>0</v>
      </c>
      <c r="AI2506" s="49" t="n">
        <v>0</v>
      </c>
      <c r="AJ2506" s="50" t="n">
        <v>0</v>
      </c>
      <c r="AK2506" s="51" t="n">
        <v>0</v>
      </c>
      <c r="AL2506" s="52" t="n">
        <v>0</v>
      </c>
      <c r="AM2506" s="52" t="n">
        <v>0</v>
      </c>
      <c r="AN2506" s="52" t="n">
        <v>0</v>
      </c>
      <c r="AO2506" s="53" t="n">
        <v>0</v>
      </c>
      <c r="AP2506" s="52" t="n">
        <v>0</v>
      </c>
      <c r="AQ2506" s="53" t="n">
        <v>0</v>
      </c>
      <c r="AR2506" s="52" t="n">
        <v>0</v>
      </c>
      <c r="AS2506" s="51" t="n">
        <v>0</v>
      </c>
      <c r="AT2506" s="48" t="n">
        <v>0</v>
      </c>
      <c r="AU2506" s="49" t="n">
        <v>0</v>
      </c>
      <c r="AV2506" s="49" t="n">
        <v>0</v>
      </c>
      <c r="AW2506" s="50" t="n">
        <v>0</v>
      </c>
      <c r="AX2506" s="51" t="n">
        <v>0</v>
      </c>
      <c r="AY2506" s="52" t="n">
        <v>0</v>
      </c>
      <c r="AZ2506" s="52" t="n">
        <v>0</v>
      </c>
      <c r="BA2506" s="52" t="n">
        <v>0</v>
      </c>
      <c r="BB2506" s="53" t="n">
        <v>0</v>
      </c>
      <c r="BC2506" s="52" t="n">
        <v>0</v>
      </c>
      <c r="BD2506" s="53" t="n">
        <v>0</v>
      </c>
      <c r="BE2506" s="52" t="n">
        <v>0</v>
      </c>
      <c r="BF2506" s="51" t="n">
        <v>0</v>
      </c>
    </row>
    <row r="2507">
      <c r="A2507">
        <f>HYPERLINK("https://www.walmart.com/ip/186948574", "186948574")</f>
        <v/>
      </c>
      <c r="B2507" t="inlineStr">
        <is>
          <t>Catalonia Sherpa Throws Blanket, Super Soft Comfy Fluffy Fuzzy Fleece Plush Blanket for Sofa Couch Bed Reversible All Season for Adults Children 50”x60”, Dark Blue</t>
        </is>
      </c>
      <c r="C2507" t="inlineStr">
        <is>
          <t>1CTBF320DBL</t>
        </is>
      </c>
      <c r="D2507" t="inlineStr">
        <is>
          <t>Throws</t>
        </is>
      </c>
      <c r="E2507" t="inlineStr">
        <is>
          <t>Catalonia</t>
        </is>
      </c>
      <c r="F2507" t="inlineStr">
        <is>
          <t>Q2-Target,Optimized,WFS,Coupon_Discount,WFS Item</t>
        </is>
      </c>
      <c r="G2507" s="48" t="n">
        <v>0</v>
      </c>
      <c r="H2507" s="49" t="n">
        <v>0</v>
      </c>
      <c r="I2507" s="49" t="n">
        <v>0</v>
      </c>
      <c r="J2507" s="50" t="n">
        <v>0</v>
      </c>
      <c r="K2507" s="51" t="n">
        <v>0</v>
      </c>
      <c r="L2507" s="52" t="n">
        <v>0</v>
      </c>
      <c r="M2507" s="52" t="n">
        <v>0</v>
      </c>
      <c r="N2507" s="52" t="n">
        <v>0</v>
      </c>
      <c r="O2507" s="53" t="n">
        <v>0</v>
      </c>
      <c r="P2507" s="52" t="n">
        <v>0</v>
      </c>
      <c r="Q2507" s="53" t="n">
        <v>0</v>
      </c>
      <c r="R2507" s="52" t="n">
        <v>0</v>
      </c>
      <c r="S2507" s="51" t="n">
        <v>0</v>
      </c>
      <c r="T2507" s="48" t="n">
        <v>0</v>
      </c>
      <c r="U2507" s="49" t="n">
        <v>0</v>
      </c>
      <c r="V2507" s="49" t="n">
        <v>0</v>
      </c>
      <c r="W2507" s="50" t="n">
        <v>0</v>
      </c>
      <c r="X2507" s="51" t="n">
        <v>0</v>
      </c>
      <c r="Y2507" s="52" t="n">
        <v>0</v>
      </c>
      <c r="Z2507" s="52" t="n">
        <v>0</v>
      </c>
      <c r="AA2507" s="52" t="n">
        <v>0</v>
      </c>
      <c r="AB2507" s="53" t="n">
        <v>0</v>
      </c>
      <c r="AC2507" s="52" t="n">
        <v>0</v>
      </c>
      <c r="AD2507" s="53" t="n">
        <v>0</v>
      </c>
      <c r="AE2507" s="52" t="n">
        <v>0</v>
      </c>
      <c r="AF2507" s="51" t="n">
        <v>0</v>
      </c>
      <c r="AG2507" s="48" t="n">
        <v>0</v>
      </c>
      <c r="AH2507" s="49" t="n">
        <v>0</v>
      </c>
      <c r="AI2507" s="49" t="n">
        <v>0</v>
      </c>
      <c r="AJ2507" s="50" t="n">
        <v>0</v>
      </c>
      <c r="AK2507" s="51" t="n">
        <v>0</v>
      </c>
      <c r="AL2507" s="52" t="n">
        <v>0</v>
      </c>
      <c r="AM2507" s="52" t="n">
        <v>0</v>
      </c>
      <c r="AN2507" s="52" t="n">
        <v>0</v>
      </c>
      <c r="AO2507" s="53" t="n">
        <v>0</v>
      </c>
      <c r="AP2507" s="52" t="n">
        <v>0</v>
      </c>
      <c r="AQ2507" s="53" t="n">
        <v>0</v>
      </c>
      <c r="AR2507" s="52" t="n">
        <v>0</v>
      </c>
      <c r="AS2507" s="51" t="n">
        <v>0</v>
      </c>
      <c r="AT2507" s="48" t="n">
        <v>0</v>
      </c>
      <c r="AU2507" s="49" t="n">
        <v>0</v>
      </c>
      <c r="AV2507" s="49" t="n">
        <v>0</v>
      </c>
      <c r="AW2507" s="50" t="n">
        <v>0</v>
      </c>
      <c r="AX2507" s="51" t="n">
        <v>0</v>
      </c>
      <c r="AY2507" s="52" t="n">
        <v>0</v>
      </c>
      <c r="AZ2507" s="52" t="n">
        <v>0</v>
      </c>
      <c r="BA2507" s="52" t="n">
        <v>0</v>
      </c>
      <c r="BB2507" s="53" t="n">
        <v>0</v>
      </c>
      <c r="BC2507" s="52" t="n">
        <v>0</v>
      </c>
      <c r="BD2507" s="53" t="n">
        <v>0</v>
      </c>
      <c r="BE2507" s="52" t="n">
        <v>0</v>
      </c>
      <c r="BF2507" s="51" t="n">
        <v>0</v>
      </c>
    </row>
    <row r="2508">
      <c r="A2508">
        <f>HYPERLINK("https://www.walmart.com/ip/189801233", "189801233")</f>
        <v/>
      </c>
      <c r="B2508" t="inlineStr">
        <is>
          <t>KC Caps® Unisex Cotton Baseball Cap Adjustable Plain Hat (21 Styles/Colors)</t>
        </is>
      </c>
      <c r="C2508" t="inlineStr">
        <is>
          <t>KC8010RD</t>
        </is>
      </c>
      <c r="D2508" t="inlineStr">
        <is>
          <t>Hats</t>
        </is>
      </c>
      <c r="E2508" t="inlineStr">
        <is>
          <t>KC Caps</t>
        </is>
      </c>
      <c r="F2508" t="inlineStr">
        <is>
          <t>Optimized</t>
        </is>
      </c>
      <c r="G2508" s="48" t="n">
        <v>0</v>
      </c>
      <c r="H2508" s="49" t="n">
        <v>0</v>
      </c>
      <c r="I2508" s="49" t="n">
        <v>0</v>
      </c>
      <c r="J2508" s="50" t="n">
        <v>0</v>
      </c>
      <c r="K2508" s="51" t="n">
        <v>0</v>
      </c>
      <c r="L2508" s="52" t="n">
        <v>0</v>
      </c>
      <c r="M2508" s="52" t="n">
        <v>0</v>
      </c>
      <c r="N2508" s="52" t="n">
        <v>0</v>
      </c>
      <c r="O2508" s="53" t="n">
        <v>0</v>
      </c>
      <c r="P2508" s="52" t="n">
        <v>0</v>
      </c>
      <c r="Q2508" s="53" t="n">
        <v>0</v>
      </c>
      <c r="R2508" s="52" t="n">
        <v>0</v>
      </c>
      <c r="S2508" s="51" t="n">
        <v>0</v>
      </c>
      <c r="T2508" s="48" t="n">
        <v>0</v>
      </c>
      <c r="U2508" s="49" t="n">
        <v>0</v>
      </c>
      <c r="V2508" s="49" t="n">
        <v>0</v>
      </c>
      <c r="W2508" s="50" t="n">
        <v>0</v>
      </c>
      <c r="X2508" s="51" t="n">
        <v>0</v>
      </c>
      <c r="Y2508" s="52" t="n">
        <v>0</v>
      </c>
      <c r="Z2508" s="52" t="n">
        <v>0</v>
      </c>
      <c r="AA2508" s="52" t="n">
        <v>0</v>
      </c>
      <c r="AB2508" s="53" t="n">
        <v>0</v>
      </c>
      <c r="AC2508" s="52" t="n">
        <v>0</v>
      </c>
      <c r="AD2508" s="53" t="n">
        <v>0</v>
      </c>
      <c r="AE2508" s="52" t="n">
        <v>0</v>
      </c>
      <c r="AF2508" s="51" t="n">
        <v>0</v>
      </c>
      <c r="AG2508" s="48" t="n">
        <v>0</v>
      </c>
      <c r="AH2508" s="49" t="n">
        <v>0</v>
      </c>
      <c r="AI2508" s="49" t="n">
        <v>0</v>
      </c>
      <c r="AJ2508" s="50" t="n">
        <v>0</v>
      </c>
      <c r="AK2508" s="51" t="n">
        <v>0</v>
      </c>
      <c r="AL2508" s="52" t="n">
        <v>0</v>
      </c>
      <c r="AM2508" s="52" t="n">
        <v>0</v>
      </c>
      <c r="AN2508" s="52" t="n">
        <v>0</v>
      </c>
      <c r="AO2508" s="53" t="n">
        <v>0</v>
      </c>
      <c r="AP2508" s="52" t="n">
        <v>0</v>
      </c>
      <c r="AQ2508" s="53" t="n">
        <v>0</v>
      </c>
      <c r="AR2508" s="52" t="n">
        <v>0</v>
      </c>
      <c r="AS2508" s="51" t="n">
        <v>0</v>
      </c>
      <c r="AT2508" s="48" t="n">
        <v>0</v>
      </c>
      <c r="AU2508" s="49" t="n">
        <v>0</v>
      </c>
      <c r="AV2508" s="49" t="n">
        <v>0</v>
      </c>
      <c r="AW2508" s="50" t="n">
        <v>0</v>
      </c>
      <c r="AX2508" s="51" t="n">
        <v>0</v>
      </c>
      <c r="AY2508" s="52" t="n">
        <v>0</v>
      </c>
      <c r="AZ2508" s="52" t="n">
        <v>0</v>
      </c>
      <c r="BA2508" s="52" t="n">
        <v>0</v>
      </c>
      <c r="BB2508" s="53" t="n">
        <v>0</v>
      </c>
      <c r="BC2508" s="52" t="n">
        <v>0</v>
      </c>
      <c r="BD2508" s="53" t="n">
        <v>0</v>
      </c>
      <c r="BE2508" s="52" t="n">
        <v>0</v>
      </c>
      <c r="BF2508" s="51" t="n">
        <v>0</v>
      </c>
    </row>
    <row r="2509">
      <c r="A2509">
        <f>HYPERLINK("https://www.walmart.com/ip/189975805", "189975805")</f>
        <v/>
      </c>
      <c r="B2509" t="inlineStr">
        <is>
          <t>kc caps adjustable two tone heavy washed cotton twill low profile mesh retro cap</t>
        </is>
      </c>
      <c r="C2509" t="inlineStr">
        <is>
          <t>KCCAPSSZK641KH/ST</t>
        </is>
      </c>
      <c r="D2509" t="inlineStr">
        <is>
          <t>Hats</t>
        </is>
      </c>
      <c r="E2509" t="inlineStr">
        <is>
          <t>KC Caps</t>
        </is>
      </c>
      <c r="F2509" t="inlineStr">
        <is>
          <t>Optimized</t>
        </is>
      </c>
      <c r="G2509" s="48" t="n">
        <v>0</v>
      </c>
      <c r="H2509" s="49" t="n">
        <v>0</v>
      </c>
      <c r="I2509" s="49" t="n">
        <v>0</v>
      </c>
      <c r="J2509" s="50" t="n">
        <v>0</v>
      </c>
      <c r="K2509" s="51" t="n">
        <v>0</v>
      </c>
      <c r="L2509" s="52" t="n">
        <v>0</v>
      </c>
      <c r="M2509" s="52" t="n">
        <v>0</v>
      </c>
      <c r="N2509" s="52" t="n">
        <v>0</v>
      </c>
      <c r="O2509" s="53" t="n">
        <v>0</v>
      </c>
      <c r="P2509" s="52" t="n">
        <v>0</v>
      </c>
      <c r="Q2509" s="53" t="n">
        <v>0</v>
      </c>
      <c r="R2509" s="52" t="n">
        <v>0</v>
      </c>
      <c r="S2509" s="51" t="n">
        <v>0</v>
      </c>
      <c r="T2509" s="48" t="n">
        <v>0</v>
      </c>
      <c r="U2509" s="49" t="n">
        <v>0</v>
      </c>
      <c r="V2509" s="49" t="n">
        <v>0</v>
      </c>
      <c r="W2509" s="50" t="n">
        <v>0</v>
      </c>
      <c r="X2509" s="51" t="n">
        <v>0</v>
      </c>
      <c r="Y2509" s="52" t="n">
        <v>0</v>
      </c>
      <c r="Z2509" s="52" t="n">
        <v>0</v>
      </c>
      <c r="AA2509" s="52" t="n">
        <v>0</v>
      </c>
      <c r="AB2509" s="53" t="n">
        <v>0</v>
      </c>
      <c r="AC2509" s="52" t="n">
        <v>0</v>
      </c>
      <c r="AD2509" s="53" t="n">
        <v>0</v>
      </c>
      <c r="AE2509" s="52" t="n">
        <v>0</v>
      </c>
      <c r="AF2509" s="51" t="n">
        <v>0</v>
      </c>
      <c r="AG2509" s="48" t="n">
        <v>0</v>
      </c>
      <c r="AH2509" s="49" t="n">
        <v>0</v>
      </c>
      <c r="AI2509" s="49" t="n">
        <v>0</v>
      </c>
      <c r="AJ2509" s="50" t="n">
        <v>0</v>
      </c>
      <c r="AK2509" s="51" t="n">
        <v>0</v>
      </c>
      <c r="AL2509" s="52" t="n">
        <v>0</v>
      </c>
      <c r="AM2509" s="52" t="n">
        <v>0</v>
      </c>
      <c r="AN2509" s="52" t="n">
        <v>0</v>
      </c>
      <c r="AO2509" s="53" t="n">
        <v>0</v>
      </c>
      <c r="AP2509" s="52" t="n">
        <v>0</v>
      </c>
      <c r="AQ2509" s="53" t="n">
        <v>0</v>
      </c>
      <c r="AR2509" s="52" t="n">
        <v>0</v>
      </c>
      <c r="AS2509" s="51" t="n">
        <v>0</v>
      </c>
      <c r="AT2509" s="48" t="n">
        <v>0</v>
      </c>
      <c r="AU2509" s="49" t="n">
        <v>0</v>
      </c>
      <c r="AV2509" s="49" t="n">
        <v>0</v>
      </c>
      <c r="AW2509" s="50" t="n">
        <v>0</v>
      </c>
      <c r="AX2509" s="51" t="n">
        <v>0</v>
      </c>
      <c r="AY2509" s="52" t="n">
        <v>0</v>
      </c>
      <c r="AZ2509" s="52" t="n">
        <v>0</v>
      </c>
      <c r="BA2509" s="52" t="n">
        <v>0</v>
      </c>
      <c r="BB2509" s="53" t="n">
        <v>0</v>
      </c>
      <c r="BC2509" s="52" t="n">
        <v>0</v>
      </c>
      <c r="BD2509" s="53" t="n">
        <v>0</v>
      </c>
      <c r="BE2509" s="52" t="n">
        <v>0</v>
      </c>
      <c r="BF2509" s="51" t="n">
        <v>0</v>
      </c>
    </row>
    <row r="2510">
      <c r="A2510">
        <f>HYPERLINK("https://www.walmart.com/ip/1899841597", "1899841597")</f>
        <v/>
      </c>
      <c r="B2510" t="inlineStr">
        <is>
          <t>Tirrinia Insulated Lunch Box for Women Men, Leakproof Thermal Reusable Lunch Bag with 4 Pockets for Adult &amp; Kids, Lunch Bag Cooler Tote for Office Work Back to School, Camo</t>
        </is>
      </c>
      <c r="C2510" t="inlineStr">
        <is>
          <t>1TRLB702CAMO-N</t>
        </is>
      </c>
      <c r="D2510" t="inlineStr">
        <is>
          <t>Reusable Lunch Bags &amp; Boxes</t>
        </is>
      </c>
      <c r="E2510" t="inlineStr">
        <is>
          <t>Tirrinia</t>
        </is>
      </c>
      <c r="F2510" t="inlineStr">
        <is>
          <t>Q2-Target,Brand Camp VD,Lunch Bags,SEM,Batch 1 - TR</t>
        </is>
      </c>
      <c r="G2510" s="48" t="n">
        <v>0</v>
      </c>
      <c r="H2510" s="49" t="n">
        <v>0</v>
      </c>
      <c r="I2510" s="49" t="n">
        <v>0</v>
      </c>
      <c r="J2510" s="50" t="n">
        <v>0</v>
      </c>
      <c r="K2510" s="51" t="n">
        <v>0</v>
      </c>
      <c r="L2510" s="52" t="n">
        <v>0</v>
      </c>
      <c r="M2510" s="52" t="n">
        <v>0</v>
      </c>
      <c r="N2510" s="52" t="n">
        <v>0</v>
      </c>
      <c r="O2510" s="53" t="n">
        <v>0</v>
      </c>
      <c r="P2510" s="52" t="n">
        <v>0</v>
      </c>
      <c r="Q2510" s="53" t="n">
        <v>0</v>
      </c>
      <c r="R2510" s="52" t="n">
        <v>0</v>
      </c>
      <c r="S2510" s="51" t="n">
        <v>0</v>
      </c>
      <c r="T2510" s="48" t="n">
        <v>0</v>
      </c>
      <c r="U2510" s="49" t="n">
        <v>0</v>
      </c>
      <c r="V2510" s="49" t="n">
        <v>0</v>
      </c>
      <c r="W2510" s="50" t="n">
        <v>0</v>
      </c>
      <c r="X2510" s="51" t="n">
        <v>0</v>
      </c>
      <c r="Y2510" s="52" t="n">
        <v>0</v>
      </c>
      <c r="Z2510" s="52" t="n">
        <v>0</v>
      </c>
      <c r="AA2510" s="52" t="n">
        <v>0</v>
      </c>
      <c r="AB2510" s="53" t="n">
        <v>0</v>
      </c>
      <c r="AC2510" s="52" t="n">
        <v>0</v>
      </c>
      <c r="AD2510" s="53" t="n">
        <v>0</v>
      </c>
      <c r="AE2510" s="52" t="n">
        <v>0</v>
      </c>
      <c r="AF2510" s="51" t="n">
        <v>0</v>
      </c>
      <c r="AG2510" s="48" t="n">
        <v>0</v>
      </c>
      <c r="AH2510" s="49" t="n">
        <v>0</v>
      </c>
      <c r="AI2510" s="49" t="n">
        <v>0</v>
      </c>
      <c r="AJ2510" s="50" t="n">
        <v>0</v>
      </c>
      <c r="AK2510" s="51" t="n">
        <v>0</v>
      </c>
      <c r="AL2510" s="52" t="n">
        <v>0</v>
      </c>
      <c r="AM2510" s="52" t="n">
        <v>0</v>
      </c>
      <c r="AN2510" s="52" t="n">
        <v>0</v>
      </c>
      <c r="AO2510" s="53" t="n">
        <v>0</v>
      </c>
      <c r="AP2510" s="52" t="n">
        <v>0</v>
      </c>
      <c r="AQ2510" s="53" t="n">
        <v>0</v>
      </c>
      <c r="AR2510" s="52" t="n">
        <v>0</v>
      </c>
      <c r="AS2510" s="51" t="n">
        <v>0</v>
      </c>
      <c r="AT2510" s="48" t="n">
        <v>0</v>
      </c>
      <c r="AU2510" s="49" t="n">
        <v>0</v>
      </c>
      <c r="AV2510" s="49" t="n">
        <v>0</v>
      </c>
      <c r="AW2510" s="50" t="n">
        <v>0</v>
      </c>
      <c r="AX2510" s="51" t="n">
        <v>0</v>
      </c>
      <c r="AY2510" s="52" t="n">
        <v>0</v>
      </c>
      <c r="AZ2510" s="52" t="n">
        <v>0</v>
      </c>
      <c r="BA2510" s="52" t="n">
        <v>0</v>
      </c>
      <c r="BB2510" s="53" t="n">
        <v>0</v>
      </c>
      <c r="BC2510" s="52" t="n">
        <v>0</v>
      </c>
      <c r="BD2510" s="53" t="n">
        <v>0</v>
      </c>
      <c r="BE2510" s="52" t="n">
        <v>0</v>
      </c>
      <c r="BF2510" s="51" t="n">
        <v>0</v>
      </c>
    </row>
    <row r="2511">
      <c r="A2511">
        <f>HYPERLINK("https://www.walmart.com/ip/186885089", "186885089")</f>
        <v/>
      </c>
      <c r="B2511" t="inlineStr">
        <is>
          <t>Sherpa Fleece Throw Blanket, Cozy Fuzzy Jacquard Blanket for the Couch Bed | Fluffy Comfy Warm Heavy Throws | Comfort Caring Gift, 50x60 inches</t>
        </is>
      </c>
      <c r="C2511" t="inlineStr">
        <is>
          <t>1CTBF573HPSOLE</t>
        </is>
      </c>
      <c r="D2511" t="inlineStr">
        <is>
          <t>Throws</t>
        </is>
      </c>
      <c r="E2511" t="inlineStr">
        <is>
          <t>Catalonia</t>
        </is>
      </c>
      <c r="F2511" t="inlineStr">
        <is>
          <t>Q2-Target,Coupon_Discount,Batch 1 - TR</t>
        </is>
      </c>
      <c r="G2511" s="48" t="n">
        <v>0</v>
      </c>
      <c r="H2511" s="49" t="n">
        <v>0</v>
      </c>
      <c r="I2511" s="49" t="n">
        <v>0</v>
      </c>
      <c r="J2511" s="50" t="n">
        <v>0</v>
      </c>
      <c r="K2511" s="51" t="n">
        <v>0</v>
      </c>
      <c r="L2511" s="52" t="n">
        <v>0</v>
      </c>
      <c r="M2511" s="52" t="n">
        <v>0</v>
      </c>
      <c r="N2511" s="52" t="n">
        <v>0</v>
      </c>
      <c r="O2511" s="53" t="n">
        <v>0</v>
      </c>
      <c r="P2511" s="52" t="n">
        <v>0</v>
      </c>
      <c r="Q2511" s="53" t="n">
        <v>0</v>
      </c>
      <c r="R2511" s="52" t="n">
        <v>0</v>
      </c>
      <c r="S2511" s="51" t="n">
        <v>0</v>
      </c>
      <c r="T2511" s="48" t="n">
        <v>20.99</v>
      </c>
      <c r="U2511" s="49" t="n">
        <v>1</v>
      </c>
      <c r="V2511" s="49" t="n">
        <v>0</v>
      </c>
      <c r="W2511" s="50" t="n">
        <v>0</v>
      </c>
      <c r="X2511" s="51" t="n">
        <v>0</v>
      </c>
      <c r="Y2511" s="52" t="n">
        <v>0</v>
      </c>
      <c r="Z2511" s="52" t="n">
        <v>0</v>
      </c>
      <c r="AA2511" s="52" t="n">
        <v>0</v>
      </c>
      <c r="AB2511" s="53" t="n">
        <v>0</v>
      </c>
      <c r="AC2511" s="52" t="n">
        <v>0</v>
      </c>
      <c r="AD2511" s="53" t="n">
        <v>0</v>
      </c>
      <c r="AE2511" s="52" t="n">
        <v>20.99</v>
      </c>
      <c r="AF2511" s="51" t="n">
        <v>0</v>
      </c>
      <c r="AG2511" s="48" t="n">
        <v>0</v>
      </c>
      <c r="AH2511" s="49" t="n">
        <v>0</v>
      </c>
      <c r="AI2511" s="49" t="n">
        <v>0</v>
      </c>
      <c r="AJ2511" s="50" t="n">
        <v>0</v>
      </c>
      <c r="AK2511" s="51" t="n">
        <v>0</v>
      </c>
      <c r="AL2511" s="52" t="n">
        <v>0</v>
      </c>
      <c r="AM2511" s="52" t="n">
        <v>0</v>
      </c>
      <c r="AN2511" s="52" t="n">
        <v>0</v>
      </c>
      <c r="AO2511" s="53" t="n">
        <v>0</v>
      </c>
      <c r="AP2511" s="52" t="n">
        <v>0</v>
      </c>
      <c r="AQ2511" s="53" t="n">
        <v>0</v>
      </c>
      <c r="AR2511" s="52" t="n">
        <v>0</v>
      </c>
      <c r="AS2511" s="51" t="n">
        <v>0</v>
      </c>
      <c r="AT2511" s="48" t="n">
        <v>0</v>
      </c>
      <c r="AU2511" s="49" t="n">
        <v>0</v>
      </c>
      <c r="AV2511" s="49" t="n">
        <v>0</v>
      </c>
      <c r="AW2511" s="50" t="n">
        <v>0</v>
      </c>
      <c r="AX2511" s="51" t="n">
        <v>0</v>
      </c>
      <c r="AY2511" s="52" t="n">
        <v>0</v>
      </c>
      <c r="AZ2511" s="52" t="n">
        <v>0</v>
      </c>
      <c r="BA2511" s="52" t="n">
        <v>0</v>
      </c>
      <c r="BB2511" s="53" t="n">
        <v>0</v>
      </c>
      <c r="BC2511" s="52" t="n">
        <v>0</v>
      </c>
      <c r="BD2511" s="53" t="n">
        <v>0</v>
      </c>
      <c r="BE2511" s="52" t="n">
        <v>0</v>
      </c>
      <c r="BF2511" s="51" t="n">
        <v>0</v>
      </c>
    </row>
    <row r="2512">
      <c r="A2512">
        <f>HYPERLINK("https://www.walmart.com/ip/189157660", "189157660")</f>
        <v/>
      </c>
      <c r="B2512" t="inlineStr">
        <is>
          <t>JenniWears® Women's Stretch Mesh Bikini Panty with Open Back Heart Detail</t>
        </is>
      </c>
      <c r="C2512" t="inlineStr">
        <is>
          <t>JWPT02PK-2XL</t>
        </is>
      </c>
      <c r="D2512" t="inlineStr">
        <is>
          <t>Panties</t>
        </is>
      </c>
      <c r="E2512" t="inlineStr">
        <is>
          <t>JenniWears</t>
        </is>
      </c>
      <c r="F2512" t="inlineStr">
        <is>
          <t>Valentine</t>
        </is>
      </c>
      <c r="G2512" s="48" t="n">
        <v>0</v>
      </c>
      <c r="H2512" s="49" t="n">
        <v>0</v>
      </c>
      <c r="I2512" s="49" t="n">
        <v>0</v>
      </c>
      <c r="J2512" s="50" t="n">
        <v>0</v>
      </c>
      <c r="K2512" s="51" t="n">
        <v>0</v>
      </c>
      <c r="L2512" s="52" t="n">
        <v>0</v>
      </c>
      <c r="M2512" s="52" t="n">
        <v>0</v>
      </c>
      <c r="N2512" s="52" t="n">
        <v>0</v>
      </c>
      <c r="O2512" s="53" t="n">
        <v>0</v>
      </c>
      <c r="P2512" s="52" t="n">
        <v>0</v>
      </c>
      <c r="Q2512" s="53" t="n">
        <v>0</v>
      </c>
      <c r="R2512" s="52" t="n">
        <v>0</v>
      </c>
      <c r="S2512" s="51" t="n">
        <v>0</v>
      </c>
      <c r="T2512" s="48" t="n">
        <v>0</v>
      </c>
      <c r="U2512" s="49" t="n">
        <v>0</v>
      </c>
      <c r="V2512" s="49" t="n">
        <v>0</v>
      </c>
      <c r="W2512" s="50" t="n">
        <v>0</v>
      </c>
      <c r="X2512" s="51" t="n">
        <v>0</v>
      </c>
      <c r="Y2512" s="52" t="n">
        <v>0</v>
      </c>
      <c r="Z2512" s="52" t="n">
        <v>0</v>
      </c>
      <c r="AA2512" s="52" t="n">
        <v>0</v>
      </c>
      <c r="AB2512" s="53" t="n">
        <v>0</v>
      </c>
      <c r="AC2512" s="52" t="n">
        <v>0</v>
      </c>
      <c r="AD2512" s="53" t="n">
        <v>0</v>
      </c>
      <c r="AE2512" s="52" t="n">
        <v>0</v>
      </c>
      <c r="AF2512" s="51" t="n">
        <v>0</v>
      </c>
      <c r="AG2512" s="48" t="n">
        <v>0</v>
      </c>
      <c r="AH2512" s="49" t="n">
        <v>0</v>
      </c>
      <c r="AI2512" s="49" t="n">
        <v>0</v>
      </c>
      <c r="AJ2512" s="50" t="n">
        <v>0</v>
      </c>
      <c r="AK2512" s="51" t="n">
        <v>0</v>
      </c>
      <c r="AL2512" s="52" t="n">
        <v>0</v>
      </c>
      <c r="AM2512" s="52" t="n">
        <v>0</v>
      </c>
      <c r="AN2512" s="52" t="n">
        <v>0</v>
      </c>
      <c r="AO2512" s="53" t="n">
        <v>0</v>
      </c>
      <c r="AP2512" s="52" t="n">
        <v>0</v>
      </c>
      <c r="AQ2512" s="53" t="n">
        <v>0</v>
      </c>
      <c r="AR2512" s="52" t="n">
        <v>0</v>
      </c>
      <c r="AS2512" s="51" t="n">
        <v>0</v>
      </c>
      <c r="AT2512" s="48" t="n">
        <v>0</v>
      </c>
      <c r="AU2512" s="49" t="n">
        <v>0</v>
      </c>
      <c r="AV2512" s="49" t="n">
        <v>0</v>
      </c>
      <c r="AW2512" s="50" t="n">
        <v>0</v>
      </c>
      <c r="AX2512" s="51" t="n">
        <v>0</v>
      </c>
      <c r="AY2512" s="52" t="n">
        <v>0</v>
      </c>
      <c r="AZ2512" s="52" t="n">
        <v>0</v>
      </c>
      <c r="BA2512" s="52" t="n">
        <v>0</v>
      </c>
      <c r="BB2512" s="53" t="n">
        <v>0</v>
      </c>
      <c r="BC2512" s="52" t="n">
        <v>0</v>
      </c>
      <c r="BD2512" s="53" t="n">
        <v>0</v>
      </c>
      <c r="BE2512" s="52" t="n">
        <v>0</v>
      </c>
      <c r="BF2512" s="51" t="n">
        <v>0</v>
      </c>
    </row>
    <row r="2513">
      <c r="A2513">
        <f>HYPERLINK("https://www.walmart.com/ip/14531901789", "14531901789")</f>
        <v/>
      </c>
      <c r="B2513" t="inlineStr">
        <is>
          <t>Solaris Open Crotch Boyshort Panties Underwear Black Lace Lingerie Thong for Women with Ribbons Removable Garters 2XL</t>
        </is>
      </c>
      <c r="C2513" t="inlineStr">
        <is>
          <t>CCPT100BK-2XL-FS</t>
        </is>
      </c>
      <c r="D2513" t="inlineStr">
        <is>
          <t>Panties</t>
        </is>
      </c>
      <c r="E2513" t="inlineStr">
        <is>
          <t>Solaris</t>
        </is>
      </c>
      <c r="G2513" s="48" t="n">
        <v>-7.99</v>
      </c>
      <c r="H2513" s="49" t="n">
        <v>-1</v>
      </c>
      <c r="I2513" s="49" t="n">
        <v>0</v>
      </c>
      <c r="J2513" s="50" t="n">
        <v>0</v>
      </c>
      <c r="K2513" s="51" t="n">
        <v>0</v>
      </c>
      <c r="L2513" s="52" t="n">
        <v>0</v>
      </c>
      <c r="M2513" s="52" t="n">
        <v>0</v>
      </c>
      <c r="N2513" s="52" t="n">
        <v>0</v>
      </c>
      <c r="O2513" s="53" t="n">
        <v>0</v>
      </c>
      <c r="P2513" s="52" t="n">
        <v>0</v>
      </c>
      <c r="Q2513" s="53" t="n">
        <v>0</v>
      </c>
      <c r="R2513" s="52" t="n">
        <v>0</v>
      </c>
      <c r="S2513" s="51" t="n">
        <v>0</v>
      </c>
      <c r="T2513" s="48" t="n">
        <v>7.99</v>
      </c>
      <c r="U2513" s="49" t="n">
        <v>1</v>
      </c>
      <c r="V2513" s="49" t="n">
        <v>0</v>
      </c>
      <c r="W2513" s="50" t="n">
        <v>0</v>
      </c>
      <c r="X2513" s="51" t="n">
        <v>0</v>
      </c>
      <c r="Y2513" s="52" t="n">
        <v>0</v>
      </c>
      <c r="Z2513" s="52" t="n">
        <v>0</v>
      </c>
      <c r="AA2513" s="52" t="n">
        <v>0</v>
      </c>
      <c r="AB2513" s="53" t="n">
        <v>0</v>
      </c>
      <c r="AC2513" s="52" t="n">
        <v>0</v>
      </c>
      <c r="AD2513" s="53" t="n">
        <v>0</v>
      </c>
      <c r="AE2513" s="52" t="n">
        <v>7.99</v>
      </c>
      <c r="AF2513" s="51" t="n">
        <v>0</v>
      </c>
      <c r="AG2513" s="48" t="n">
        <v>0</v>
      </c>
      <c r="AH2513" s="49" t="n">
        <v>0</v>
      </c>
      <c r="AI2513" s="49" t="n">
        <v>0</v>
      </c>
      <c r="AJ2513" s="50" t="n">
        <v>0</v>
      </c>
      <c r="AK2513" s="51" t="n">
        <v>0</v>
      </c>
      <c r="AL2513" s="52" t="n">
        <v>0</v>
      </c>
      <c r="AM2513" s="52" t="n">
        <v>0</v>
      </c>
      <c r="AN2513" s="52" t="n">
        <v>0</v>
      </c>
      <c r="AO2513" s="53" t="n">
        <v>0</v>
      </c>
      <c r="AP2513" s="52" t="n">
        <v>0</v>
      </c>
      <c r="AQ2513" s="53" t="n">
        <v>0</v>
      </c>
      <c r="AR2513" s="52" t="n">
        <v>0</v>
      </c>
      <c r="AS2513" s="51" t="n">
        <v>0</v>
      </c>
      <c r="AT2513" s="48" t="n">
        <v>0</v>
      </c>
      <c r="AU2513" s="49" t="n">
        <v>0</v>
      </c>
      <c r="AV2513" s="49" t="n">
        <v>0</v>
      </c>
      <c r="AW2513" s="50" t="n">
        <v>0</v>
      </c>
      <c r="AX2513" s="51" t="n">
        <v>0</v>
      </c>
      <c r="AY2513" s="52" t="n">
        <v>0</v>
      </c>
      <c r="AZ2513" s="52" t="n">
        <v>0</v>
      </c>
      <c r="BA2513" s="52" t="n">
        <v>0</v>
      </c>
      <c r="BB2513" s="53" t="n">
        <v>0</v>
      </c>
      <c r="BC2513" s="52" t="n">
        <v>0</v>
      </c>
      <c r="BD2513" s="53" t="n">
        <v>0</v>
      </c>
      <c r="BE2513" s="52" t="n">
        <v>0</v>
      </c>
      <c r="BF2513" s="51" t="n">
        <v>0</v>
      </c>
    </row>
    <row r="2514">
      <c r="A2514">
        <f>HYPERLINK("https://www.walmart.com/ip/949073877", "949073877")</f>
        <v/>
      </c>
      <c r="B2514" t="inlineStr">
        <is>
          <t>Tirrinia Outdoor Wide Brim Sun Hats Blocking UV Protection Cap UPF 50+ Foldable Mesh Net for Finishing, Hiking, Camping</t>
        </is>
      </c>
      <c r="C2514" t="inlineStr">
        <is>
          <t>1TRSH911OL-TBCB</t>
        </is>
      </c>
      <c r="D2514" t="inlineStr">
        <is>
          <t>Hats</t>
        </is>
      </c>
      <c r="E2514" t="inlineStr">
        <is>
          <t>Tirrinia</t>
        </is>
      </c>
      <c r="F2514" t="inlineStr">
        <is>
          <t>Hats</t>
        </is>
      </c>
      <c r="G2514" s="48" t="n">
        <v>-17.99</v>
      </c>
      <c r="H2514" s="49" t="n">
        <v>-1</v>
      </c>
      <c r="I2514" s="49" t="n">
        <v>0</v>
      </c>
      <c r="J2514" s="50" t="n">
        <v>0</v>
      </c>
      <c r="K2514" s="51" t="n">
        <v>0</v>
      </c>
      <c r="L2514" s="52" t="n">
        <v>0</v>
      </c>
      <c r="M2514" s="52" t="n">
        <v>0</v>
      </c>
      <c r="N2514" s="52" t="n">
        <v>0</v>
      </c>
      <c r="O2514" s="53" t="n">
        <v>0</v>
      </c>
      <c r="P2514" s="52" t="n">
        <v>0</v>
      </c>
      <c r="Q2514" s="53" t="n">
        <v>0</v>
      </c>
      <c r="R2514" s="52" t="n">
        <v>0</v>
      </c>
      <c r="S2514" s="51" t="n">
        <v>0</v>
      </c>
      <c r="T2514" s="48" t="n">
        <v>17.99</v>
      </c>
      <c r="U2514" s="49" t="n">
        <v>1</v>
      </c>
      <c r="V2514" s="49" t="n">
        <v>0</v>
      </c>
      <c r="W2514" s="50" t="n">
        <v>0</v>
      </c>
      <c r="X2514" s="51" t="n">
        <v>0</v>
      </c>
      <c r="Y2514" s="52" t="n">
        <v>0</v>
      </c>
      <c r="Z2514" s="52" t="n">
        <v>0</v>
      </c>
      <c r="AA2514" s="52" t="n">
        <v>0</v>
      </c>
      <c r="AB2514" s="53" t="n">
        <v>0</v>
      </c>
      <c r="AC2514" s="52" t="n">
        <v>0</v>
      </c>
      <c r="AD2514" s="53" t="n">
        <v>0</v>
      </c>
      <c r="AE2514" s="52" t="n">
        <v>17.99</v>
      </c>
      <c r="AF2514" s="51" t="n">
        <v>0</v>
      </c>
      <c r="AG2514" s="48" t="n">
        <v>17.99</v>
      </c>
      <c r="AH2514" s="49" t="n">
        <v>1</v>
      </c>
      <c r="AI2514" s="49" t="n">
        <v>0</v>
      </c>
      <c r="AJ2514" s="50" t="n">
        <v>0</v>
      </c>
      <c r="AK2514" s="51" t="n">
        <v>0</v>
      </c>
      <c r="AL2514" s="52" t="n">
        <v>0</v>
      </c>
      <c r="AM2514" s="52" t="n">
        <v>0</v>
      </c>
      <c r="AN2514" s="52" t="n">
        <v>0</v>
      </c>
      <c r="AO2514" s="53" t="n">
        <v>0</v>
      </c>
      <c r="AP2514" s="52" t="n">
        <v>0</v>
      </c>
      <c r="AQ2514" s="53" t="n">
        <v>0</v>
      </c>
      <c r="AR2514" s="52" t="n">
        <v>17.99</v>
      </c>
      <c r="AS2514" s="51" t="n">
        <v>0</v>
      </c>
      <c r="AT2514" s="48" t="n">
        <v>0</v>
      </c>
      <c r="AU2514" s="49" t="n">
        <v>0</v>
      </c>
      <c r="AV2514" s="49" t="n">
        <v>0</v>
      </c>
      <c r="AW2514" s="50" t="n">
        <v>0</v>
      </c>
      <c r="AX2514" s="51" t="n">
        <v>0</v>
      </c>
      <c r="AY2514" s="52" t="n">
        <v>0</v>
      </c>
      <c r="AZ2514" s="52" t="n">
        <v>0</v>
      </c>
      <c r="BA2514" s="52" t="n">
        <v>0</v>
      </c>
      <c r="BB2514" s="53" t="n">
        <v>0</v>
      </c>
      <c r="BC2514" s="52" t="n">
        <v>0</v>
      </c>
      <c r="BD2514" s="53" t="n">
        <v>0</v>
      </c>
      <c r="BE2514" s="52" t="n">
        <v>0</v>
      </c>
      <c r="BF2514" s="51" t="n">
        <v>0</v>
      </c>
    </row>
    <row r="2515">
      <c r="A2515">
        <f>HYPERLINK("https://www.walmart.com/ip/270579221", "270579221")</f>
        <v/>
      </c>
      <c r="B2515" t="inlineStr">
        <is>
          <t>Tirrinia Sun Hat with Adjustable Drawstring for Women, Large Wide Brim Hat for Outdoor Fishing Hiking Hunting Boating Desert Hawaiian, Tan</t>
        </is>
      </c>
      <c r="C2515" t="inlineStr">
        <is>
          <t>1TRSH911TN-TBCB</t>
        </is>
      </c>
      <c r="D2515" t="inlineStr">
        <is>
          <t>Hats</t>
        </is>
      </c>
      <c r="E2515" t="inlineStr">
        <is>
          <t>Tirrinia</t>
        </is>
      </c>
      <c r="F2515" t="inlineStr">
        <is>
          <t>Q2-Target,Hats</t>
        </is>
      </c>
      <c r="G2515" s="48" t="n">
        <v>-17.99</v>
      </c>
      <c r="H2515" s="49" t="n">
        <v>-1</v>
      </c>
      <c r="I2515" s="49" t="n">
        <v>0</v>
      </c>
      <c r="J2515" s="50" t="n">
        <v>0</v>
      </c>
      <c r="K2515" s="51" t="n">
        <v>0</v>
      </c>
      <c r="L2515" s="52" t="n">
        <v>0</v>
      </c>
      <c r="M2515" s="52" t="n">
        <v>0</v>
      </c>
      <c r="N2515" s="52" t="n">
        <v>0</v>
      </c>
      <c r="O2515" s="53" t="n">
        <v>0</v>
      </c>
      <c r="P2515" s="52" t="n">
        <v>0</v>
      </c>
      <c r="Q2515" s="53" t="n">
        <v>0</v>
      </c>
      <c r="R2515" s="52" t="n">
        <v>0</v>
      </c>
      <c r="S2515" s="51" t="n">
        <v>0</v>
      </c>
      <c r="T2515" s="48" t="n">
        <v>0</v>
      </c>
      <c r="U2515" s="49" t="n">
        <v>0</v>
      </c>
      <c r="V2515" s="49" t="n">
        <v>0</v>
      </c>
      <c r="W2515" s="50" t="n">
        <v>0</v>
      </c>
      <c r="X2515" s="51" t="n">
        <v>0</v>
      </c>
      <c r="Y2515" s="52" t="n">
        <v>0</v>
      </c>
      <c r="Z2515" s="52" t="n">
        <v>0</v>
      </c>
      <c r="AA2515" s="52" t="n">
        <v>0</v>
      </c>
      <c r="AB2515" s="53" t="n">
        <v>0</v>
      </c>
      <c r="AC2515" s="52" t="n">
        <v>0</v>
      </c>
      <c r="AD2515" s="53" t="n">
        <v>0</v>
      </c>
      <c r="AE2515" s="52" t="n">
        <v>0</v>
      </c>
      <c r="AF2515" s="51" t="n">
        <v>0</v>
      </c>
      <c r="AG2515" s="48" t="n">
        <v>17.99</v>
      </c>
      <c r="AH2515" s="49" t="n">
        <v>1</v>
      </c>
      <c r="AI2515" s="49" t="n">
        <v>0</v>
      </c>
      <c r="AJ2515" s="50" t="n">
        <v>0</v>
      </c>
      <c r="AK2515" s="51" t="n">
        <v>0</v>
      </c>
      <c r="AL2515" s="52" t="n">
        <v>0</v>
      </c>
      <c r="AM2515" s="52" t="n">
        <v>0</v>
      </c>
      <c r="AN2515" s="52" t="n">
        <v>0</v>
      </c>
      <c r="AO2515" s="53" t="n">
        <v>0</v>
      </c>
      <c r="AP2515" s="52" t="n">
        <v>0</v>
      </c>
      <c r="AQ2515" s="53" t="n">
        <v>0</v>
      </c>
      <c r="AR2515" s="52" t="n">
        <v>17.99</v>
      </c>
      <c r="AS2515" s="51" t="n">
        <v>0</v>
      </c>
      <c r="AT2515" s="48" t="n">
        <v>0</v>
      </c>
      <c r="AU2515" s="49" t="n">
        <v>0</v>
      </c>
      <c r="AV2515" s="49" t="n">
        <v>0</v>
      </c>
      <c r="AW2515" s="50" t="n">
        <v>0</v>
      </c>
      <c r="AX2515" s="51" t="n">
        <v>0</v>
      </c>
      <c r="AY2515" s="52" t="n">
        <v>0</v>
      </c>
      <c r="AZ2515" s="52" t="n">
        <v>0</v>
      </c>
      <c r="BA2515" s="52" t="n">
        <v>0</v>
      </c>
      <c r="BB2515" s="53" t="n">
        <v>0</v>
      </c>
      <c r="BC2515" s="52" t="n">
        <v>0</v>
      </c>
      <c r="BD2515" s="53" t="n">
        <v>0</v>
      </c>
      <c r="BE2515" s="52" t="n">
        <v>0</v>
      </c>
      <c r="BF2515" s="51" t="n">
        <v>0</v>
      </c>
    </row>
    <row r="2516">
      <c r="A2516">
        <f>HYPERLINK("https://www.walmart.com/ip/10290901202", "10290901202")</f>
        <v/>
      </c>
      <c r="B2516" t="inlineStr">
        <is>
          <t>Wrangler Men’s Full Grain Genuine Leather 35mm Thick Casual Belt for Jeans, Pants - Brown, 32</t>
        </is>
      </c>
      <c r="C2516" t="inlineStr">
        <is>
          <t>WR-BELT-MENS-35MM-BROWN-32</t>
        </is>
      </c>
      <c r="D2516" t="inlineStr">
        <is>
          <t>Belts</t>
        </is>
      </c>
      <c r="E2516" t="inlineStr">
        <is>
          <t>Wrangler</t>
        </is>
      </c>
      <c r="F2516" t="inlineStr">
        <is>
          <t>Belts</t>
        </is>
      </c>
      <c r="G2516" s="48" t="n">
        <v>-19.99</v>
      </c>
      <c r="H2516" s="49" t="n">
        <v>-1</v>
      </c>
      <c r="I2516" s="49" t="n">
        <v>0</v>
      </c>
      <c r="J2516" s="50" t="n">
        <v>0</v>
      </c>
      <c r="K2516" s="51" t="n">
        <v>0</v>
      </c>
      <c r="L2516" s="52" t="n">
        <v>0</v>
      </c>
      <c r="M2516" s="52" t="n">
        <v>0</v>
      </c>
      <c r="N2516" s="52" t="n">
        <v>0</v>
      </c>
      <c r="O2516" s="53" t="n">
        <v>0</v>
      </c>
      <c r="P2516" s="52" t="n">
        <v>0</v>
      </c>
      <c r="Q2516" s="53" t="n">
        <v>0</v>
      </c>
      <c r="R2516" s="52" t="n">
        <v>0</v>
      </c>
      <c r="S2516" s="51" t="n">
        <v>0</v>
      </c>
      <c r="T2516" s="48" t="n">
        <v>0</v>
      </c>
      <c r="U2516" s="49" t="n">
        <v>0</v>
      </c>
      <c r="V2516" s="49" t="n">
        <v>0</v>
      </c>
      <c r="W2516" s="50" t="n">
        <v>0</v>
      </c>
      <c r="X2516" s="51" t="n">
        <v>0</v>
      </c>
      <c r="Y2516" s="52" t="n">
        <v>0</v>
      </c>
      <c r="Z2516" s="52" t="n">
        <v>0</v>
      </c>
      <c r="AA2516" s="52" t="n">
        <v>0</v>
      </c>
      <c r="AB2516" s="53" t="n">
        <v>0</v>
      </c>
      <c r="AC2516" s="52" t="n">
        <v>0</v>
      </c>
      <c r="AD2516" s="53" t="n">
        <v>0</v>
      </c>
      <c r="AE2516" s="52" t="n">
        <v>0</v>
      </c>
      <c r="AF2516" s="51" t="n">
        <v>0</v>
      </c>
      <c r="AG2516" s="48" t="n">
        <v>0</v>
      </c>
      <c r="AH2516" s="49" t="n">
        <v>0</v>
      </c>
      <c r="AI2516" s="49" t="n">
        <v>0</v>
      </c>
      <c r="AJ2516" s="50" t="n">
        <v>0</v>
      </c>
      <c r="AK2516" s="51" t="n">
        <v>0</v>
      </c>
      <c r="AL2516" s="52" t="n">
        <v>0</v>
      </c>
      <c r="AM2516" s="52" t="n">
        <v>0</v>
      </c>
      <c r="AN2516" s="52" t="n">
        <v>0</v>
      </c>
      <c r="AO2516" s="53" t="n">
        <v>0</v>
      </c>
      <c r="AP2516" s="52" t="n">
        <v>0</v>
      </c>
      <c r="AQ2516" s="53" t="n">
        <v>0</v>
      </c>
      <c r="AR2516" s="52" t="n">
        <v>0</v>
      </c>
      <c r="AS2516" s="51" t="n">
        <v>0</v>
      </c>
      <c r="AT2516" s="48" t="n">
        <v>19.99</v>
      </c>
      <c r="AU2516" s="49" t="n">
        <v>1</v>
      </c>
      <c r="AV2516" s="49" t="n">
        <v>4</v>
      </c>
      <c r="AW2516" s="50" t="n">
        <v>0.25</v>
      </c>
      <c r="AX2516" s="51" t="n">
        <v>0</v>
      </c>
      <c r="AY2516" s="52" t="n">
        <v>0</v>
      </c>
      <c r="AZ2516" s="52" t="n">
        <v>0</v>
      </c>
      <c r="BA2516" s="52" t="n">
        <v>0</v>
      </c>
      <c r="BB2516" s="53" t="n">
        <v>0</v>
      </c>
      <c r="BC2516" s="52" t="n">
        <v>0</v>
      </c>
      <c r="BD2516" s="53" t="n">
        <v>0</v>
      </c>
      <c r="BE2516" s="52" t="n">
        <v>19.99</v>
      </c>
      <c r="BF2516" s="51" t="n">
        <v>0</v>
      </c>
    </row>
    <row r="2517">
      <c r="A2517">
        <f>HYPERLINK("https://www.walmart.com/ip/10305512889", "10305512889")</f>
        <v/>
      </c>
      <c r="B2517" t="inlineStr">
        <is>
          <t>Wrangler Men’s Leather Country Casual Every Day Dress Belt for Jeans, Khakis Black 42</t>
        </is>
      </c>
      <c r="C2517" t="inlineStr">
        <is>
          <t>WR-BELT-MENS-COUNTRY-BLACK-42</t>
        </is>
      </c>
      <c r="D2517" t="inlineStr">
        <is>
          <t>Belts</t>
        </is>
      </c>
      <c r="E2517" t="inlineStr">
        <is>
          <t>Wrangler</t>
        </is>
      </c>
      <c r="F2517" t="inlineStr">
        <is>
          <t>Belts</t>
        </is>
      </c>
      <c r="G2517" s="48" t="n">
        <v>-19.99</v>
      </c>
      <c r="H2517" s="49" t="n">
        <v>-1</v>
      </c>
      <c r="I2517" s="49" t="n">
        <v>0</v>
      </c>
      <c r="J2517" s="50" t="n">
        <v>0</v>
      </c>
      <c r="K2517" s="51" t="n">
        <v>0</v>
      </c>
      <c r="L2517" s="52" t="n">
        <v>0</v>
      </c>
      <c r="M2517" s="52" t="n">
        <v>0</v>
      </c>
      <c r="N2517" s="52" t="n">
        <v>0</v>
      </c>
      <c r="O2517" s="53" t="n">
        <v>0</v>
      </c>
      <c r="P2517" s="52" t="n">
        <v>0</v>
      </c>
      <c r="Q2517" s="53" t="n">
        <v>0</v>
      </c>
      <c r="R2517" s="52" t="n">
        <v>0</v>
      </c>
      <c r="S2517" s="51" t="n">
        <v>0</v>
      </c>
      <c r="T2517" s="48" t="n">
        <v>0</v>
      </c>
      <c r="U2517" s="49" t="n">
        <v>0</v>
      </c>
      <c r="V2517" s="49" t="n">
        <v>0</v>
      </c>
      <c r="W2517" s="50" t="n">
        <v>0</v>
      </c>
      <c r="X2517" s="51" t="n">
        <v>0</v>
      </c>
      <c r="Y2517" s="52" t="n">
        <v>0</v>
      </c>
      <c r="Z2517" s="52" t="n">
        <v>0</v>
      </c>
      <c r="AA2517" s="52" t="n">
        <v>0</v>
      </c>
      <c r="AB2517" s="53" t="n">
        <v>0</v>
      </c>
      <c r="AC2517" s="52" t="n">
        <v>0</v>
      </c>
      <c r="AD2517" s="53" t="n">
        <v>0</v>
      </c>
      <c r="AE2517" s="52" t="n">
        <v>0</v>
      </c>
      <c r="AF2517" s="51" t="n">
        <v>0</v>
      </c>
      <c r="AG2517" s="48" t="n">
        <v>0</v>
      </c>
      <c r="AH2517" s="49" t="n">
        <v>0</v>
      </c>
      <c r="AI2517" s="49" t="n">
        <v>0</v>
      </c>
      <c r="AJ2517" s="50" t="n">
        <v>0</v>
      </c>
      <c r="AK2517" s="51" t="n">
        <v>0</v>
      </c>
      <c r="AL2517" s="52" t="n">
        <v>0</v>
      </c>
      <c r="AM2517" s="52" t="n">
        <v>0</v>
      </c>
      <c r="AN2517" s="52" t="n">
        <v>0</v>
      </c>
      <c r="AO2517" s="53" t="n">
        <v>0</v>
      </c>
      <c r="AP2517" s="52" t="n">
        <v>0</v>
      </c>
      <c r="AQ2517" s="53" t="n">
        <v>0</v>
      </c>
      <c r="AR2517" s="52" t="n">
        <v>0</v>
      </c>
      <c r="AS2517" s="51" t="n">
        <v>0</v>
      </c>
      <c r="AT2517" s="48" t="n">
        <v>39.98</v>
      </c>
      <c r="AU2517" s="49" t="n">
        <v>2</v>
      </c>
      <c r="AV2517" s="49" t="n">
        <v>0</v>
      </c>
      <c r="AW2517" s="50" t="n">
        <v>0</v>
      </c>
      <c r="AX2517" s="51" t="n">
        <v>0</v>
      </c>
      <c r="AY2517" s="52" t="n">
        <v>0</v>
      </c>
      <c r="AZ2517" s="52" t="n">
        <v>0</v>
      </c>
      <c r="BA2517" s="52" t="n">
        <v>0</v>
      </c>
      <c r="BB2517" s="53" t="n">
        <v>0</v>
      </c>
      <c r="BC2517" s="52" t="n">
        <v>0</v>
      </c>
      <c r="BD2517" s="53" t="n">
        <v>0</v>
      </c>
      <c r="BE2517" s="52" t="n">
        <v>19.99</v>
      </c>
      <c r="BF2517" s="51" t="n">
        <v>0</v>
      </c>
    </row>
    <row r="2518">
      <c r="A2518">
        <f>HYPERLINK("https://www.walmart.com/ip/545745830", "545745830")</f>
        <v/>
      </c>
      <c r="B2518" t="inlineStr">
        <is>
          <t>Solaris Women's Large Wide Brim Hat, UV Protection Sun Hat for Fishing, Gardening, Camping and Hiking, One Size, Green</t>
        </is>
      </c>
      <c r="C2518" t="inlineStr">
        <is>
          <t>1SLSH911-GN</t>
        </is>
      </c>
      <c r="D2518" t="inlineStr">
        <is>
          <t>Hats</t>
        </is>
      </c>
      <c r="E2518" t="inlineStr">
        <is>
          <t>Solaris</t>
        </is>
      </c>
      <c r="F2518" t="inlineStr">
        <is>
          <t>Q2-Target,Optimized,WFS,Hats,WFS Item</t>
        </is>
      </c>
      <c r="G2518" s="48" t="n">
        <v>-26.98</v>
      </c>
      <c r="H2518" s="49" t="n">
        <v>-1</v>
      </c>
      <c r="I2518" s="49" t="n">
        <v>0</v>
      </c>
      <c r="J2518" s="50" t="n">
        <v>0</v>
      </c>
      <c r="K2518" s="51" t="n">
        <v>0</v>
      </c>
      <c r="L2518" s="52" t="n">
        <v>0</v>
      </c>
      <c r="M2518" s="52" t="n">
        <v>0</v>
      </c>
      <c r="N2518" s="52" t="n">
        <v>0</v>
      </c>
      <c r="O2518" s="53" t="n">
        <v>0</v>
      </c>
      <c r="P2518" s="52" t="n">
        <v>0</v>
      </c>
      <c r="Q2518" s="53" t="n">
        <v>0</v>
      </c>
      <c r="R2518" s="52" t="n">
        <v>0</v>
      </c>
      <c r="S2518" s="51" t="n">
        <v>0</v>
      </c>
      <c r="T2518" s="48" t="n">
        <v>0</v>
      </c>
      <c r="U2518" s="49" t="n">
        <v>0</v>
      </c>
      <c r="V2518" s="49" t="n">
        <v>0</v>
      </c>
      <c r="W2518" s="50" t="n">
        <v>0</v>
      </c>
      <c r="X2518" s="51" t="n">
        <v>0</v>
      </c>
      <c r="Y2518" s="52" t="n">
        <v>0</v>
      </c>
      <c r="Z2518" s="52" t="n">
        <v>0</v>
      </c>
      <c r="AA2518" s="52" t="n">
        <v>0</v>
      </c>
      <c r="AB2518" s="53" t="n">
        <v>0</v>
      </c>
      <c r="AC2518" s="52" t="n">
        <v>0</v>
      </c>
      <c r="AD2518" s="53" t="n">
        <v>0</v>
      </c>
      <c r="AE2518" s="52" t="n">
        <v>0</v>
      </c>
      <c r="AF2518" s="51" t="n">
        <v>0</v>
      </c>
      <c r="AG2518" s="48" t="n">
        <v>0</v>
      </c>
      <c r="AH2518" s="49" t="n">
        <v>0</v>
      </c>
      <c r="AI2518" s="49" t="n">
        <v>0</v>
      </c>
      <c r="AJ2518" s="50" t="n">
        <v>0</v>
      </c>
      <c r="AK2518" s="51" t="n">
        <v>0</v>
      </c>
      <c r="AL2518" s="52" t="n">
        <v>0</v>
      </c>
      <c r="AM2518" s="52" t="n">
        <v>0</v>
      </c>
      <c r="AN2518" s="52" t="n">
        <v>0</v>
      </c>
      <c r="AO2518" s="53" t="n">
        <v>0</v>
      </c>
      <c r="AP2518" s="52" t="n">
        <v>0</v>
      </c>
      <c r="AQ2518" s="53" t="n">
        <v>0</v>
      </c>
      <c r="AR2518" s="52" t="n">
        <v>0</v>
      </c>
      <c r="AS2518" s="51" t="n">
        <v>0</v>
      </c>
      <c r="AT2518" s="48" t="n">
        <v>0</v>
      </c>
      <c r="AU2518" s="49" t="n">
        <v>0</v>
      </c>
      <c r="AV2518" s="49" t="n">
        <v>0</v>
      </c>
      <c r="AW2518" s="50" t="n">
        <v>0</v>
      </c>
      <c r="AX2518" s="51" t="n">
        <v>0</v>
      </c>
      <c r="AY2518" s="52" t="n">
        <v>0</v>
      </c>
      <c r="AZ2518" s="52" t="n">
        <v>0</v>
      </c>
      <c r="BA2518" s="52" t="n">
        <v>0</v>
      </c>
      <c r="BB2518" s="53" t="n">
        <v>0</v>
      </c>
      <c r="BC2518" s="52" t="n">
        <v>0</v>
      </c>
      <c r="BD2518" s="53" t="n">
        <v>0</v>
      </c>
      <c r="BE2518" s="52" t="n">
        <v>0</v>
      </c>
      <c r="BF2518" s="51" t="n">
        <v>0</v>
      </c>
    </row>
    <row r="2519">
      <c r="A2519">
        <f>HYPERLINK("https://www.walmart.com/ip/9505771386", "9505771386")</f>
        <v/>
      </c>
      <c r="B2519" t="inlineStr">
        <is>
          <t>Wrangler Yellowstone Sturdy Laptop Backpack for Travel, Hiking Backpack with Classic Logo, Water Resistant Casual Daypack, Padded Sleeve College Backpack for Notebook, Black Corduroy</t>
        </is>
      </c>
      <c r="C2519" t="inlineStr">
        <is>
          <t>WR-BACKPACK-16273-BLKCORD</t>
        </is>
      </c>
      <c r="D2519" t="inlineStr">
        <is>
          <t>Laptop Bags</t>
        </is>
      </c>
      <c r="E2519" t="inlineStr">
        <is>
          <t>Wrangler</t>
        </is>
      </c>
      <c r="F2519" t="inlineStr">
        <is>
          <t>Backpack</t>
        </is>
      </c>
      <c r="G2519" s="48" t="n">
        <v>-34.99</v>
      </c>
      <c r="H2519" s="49" t="n">
        <v>-1</v>
      </c>
      <c r="I2519" s="49" t="n">
        <v>0</v>
      </c>
      <c r="J2519" s="50" t="n">
        <v>0</v>
      </c>
      <c r="K2519" s="51" t="n">
        <v>0</v>
      </c>
      <c r="L2519" s="52" t="n">
        <v>0</v>
      </c>
      <c r="M2519" s="52" t="n">
        <v>0</v>
      </c>
      <c r="N2519" s="52" t="n">
        <v>0</v>
      </c>
      <c r="O2519" s="53" t="n">
        <v>0</v>
      </c>
      <c r="P2519" s="52" t="n">
        <v>0</v>
      </c>
      <c r="Q2519" s="53" t="n">
        <v>0</v>
      </c>
      <c r="R2519" s="52" t="n">
        <v>0</v>
      </c>
      <c r="S2519" s="51" t="n">
        <v>0</v>
      </c>
      <c r="T2519" s="48" t="n">
        <v>34.99</v>
      </c>
      <c r="U2519" s="49" t="n">
        <v>1</v>
      </c>
      <c r="V2519" s="49" t="n">
        <v>0</v>
      </c>
      <c r="W2519" s="50" t="n">
        <v>0</v>
      </c>
      <c r="X2519" s="51" t="n">
        <v>0</v>
      </c>
      <c r="Y2519" s="52" t="n">
        <v>0</v>
      </c>
      <c r="Z2519" s="52" t="n">
        <v>0</v>
      </c>
      <c r="AA2519" s="52" t="n">
        <v>0</v>
      </c>
      <c r="AB2519" s="53" t="n">
        <v>0</v>
      </c>
      <c r="AC2519" s="52" t="n">
        <v>0</v>
      </c>
      <c r="AD2519" s="53" t="n">
        <v>0</v>
      </c>
      <c r="AE2519" s="52" t="n">
        <v>34.99</v>
      </c>
      <c r="AF2519" s="51" t="n">
        <v>0</v>
      </c>
      <c r="AG2519" s="48" t="n">
        <v>0</v>
      </c>
      <c r="AH2519" s="49" t="n">
        <v>0</v>
      </c>
      <c r="AI2519" s="49" t="n">
        <v>0</v>
      </c>
      <c r="AJ2519" s="50" t="n">
        <v>0</v>
      </c>
      <c r="AK2519" s="51" t="n">
        <v>0</v>
      </c>
      <c r="AL2519" s="52" t="n">
        <v>0</v>
      </c>
      <c r="AM2519" s="52" t="n">
        <v>0</v>
      </c>
      <c r="AN2519" s="52" t="n">
        <v>0</v>
      </c>
      <c r="AO2519" s="53" t="n">
        <v>0</v>
      </c>
      <c r="AP2519" s="52" t="n">
        <v>0</v>
      </c>
      <c r="AQ2519" s="53" t="n">
        <v>0</v>
      </c>
      <c r="AR2519" s="52" t="n">
        <v>0</v>
      </c>
      <c r="AS2519" s="51" t="n">
        <v>0</v>
      </c>
      <c r="AT2519" s="48" t="n">
        <v>0</v>
      </c>
      <c r="AU2519" s="49" t="n">
        <v>0</v>
      </c>
      <c r="AV2519" s="49" t="n">
        <v>0</v>
      </c>
      <c r="AW2519" s="50" t="n">
        <v>0</v>
      </c>
      <c r="AX2519" s="51" t="n">
        <v>0</v>
      </c>
      <c r="AY2519" s="52" t="n">
        <v>0</v>
      </c>
      <c r="AZ2519" s="52" t="n">
        <v>0</v>
      </c>
      <c r="BA2519" s="52" t="n">
        <v>0</v>
      </c>
      <c r="BB2519" s="53" t="n">
        <v>0</v>
      </c>
      <c r="BC2519" s="52" t="n">
        <v>0</v>
      </c>
      <c r="BD2519" s="53" t="n">
        <v>0</v>
      </c>
      <c r="BE2519" s="52" t="n">
        <v>0</v>
      </c>
      <c r="BF2519" s="51" t="n">
        <v>0</v>
      </c>
    </row>
    <row r="2520">
      <c r="A2520">
        <f>HYPERLINK("https://www.walmart.com/ip/15386919433", "15386919433")</f>
        <v/>
      </c>
      <c r="B2520" t="inlineStr">
        <is>
          <t>Catalonia Swim Parka Kids with Hood, Lightweight Youth Surf Swim Jacket, Waterproof &amp; Warm Sherpa Lined Swim Coat for Boys Girls, Changing Poncho Robe for Pool Beach Stadium, Black, 5-9 Years</t>
        </is>
      </c>
      <c r="C2520" t="inlineStr">
        <is>
          <t>1CTPKR202BK-0</t>
        </is>
      </c>
      <c r="D2520" t="inlineStr">
        <is>
          <t>Swim Parkas</t>
        </is>
      </c>
      <c r="E2520" t="inlineStr">
        <is>
          <t>Catalonia</t>
        </is>
      </c>
      <c r="G2520" s="48" t="n">
        <v>-42.46</v>
      </c>
      <c r="H2520" s="49" t="n">
        <v>-1</v>
      </c>
      <c r="I2520" s="49" t="n">
        <v>0</v>
      </c>
      <c r="J2520" s="50" t="n">
        <v>0</v>
      </c>
      <c r="K2520" s="51" t="n">
        <v>0</v>
      </c>
      <c r="L2520" s="52" t="n">
        <v>0</v>
      </c>
      <c r="M2520" s="52" t="n">
        <v>0</v>
      </c>
      <c r="N2520" s="52" t="n">
        <v>0</v>
      </c>
      <c r="O2520" s="53" t="n">
        <v>0</v>
      </c>
      <c r="P2520" s="52" t="n">
        <v>0</v>
      </c>
      <c r="Q2520" s="53" t="n">
        <v>0</v>
      </c>
      <c r="R2520" s="52" t="n">
        <v>0</v>
      </c>
      <c r="S2520" s="51" t="n">
        <v>0</v>
      </c>
      <c r="T2520" s="48" t="n">
        <v>0</v>
      </c>
      <c r="U2520" s="49" t="n">
        <v>0</v>
      </c>
      <c r="V2520" s="49" t="n">
        <v>0</v>
      </c>
      <c r="W2520" s="50" t="n">
        <v>0</v>
      </c>
      <c r="X2520" s="51" t="n">
        <v>0</v>
      </c>
      <c r="Y2520" s="52" t="n">
        <v>0</v>
      </c>
      <c r="Z2520" s="52" t="n">
        <v>0</v>
      </c>
      <c r="AA2520" s="52" t="n">
        <v>0</v>
      </c>
      <c r="AB2520" s="53" t="n">
        <v>0</v>
      </c>
      <c r="AC2520" s="52" t="n">
        <v>0</v>
      </c>
      <c r="AD2520" s="53" t="n">
        <v>0</v>
      </c>
      <c r="AE2520" s="52" t="n">
        <v>0</v>
      </c>
      <c r="AF2520" s="51" t="n">
        <v>0</v>
      </c>
      <c r="AG2520" s="48" t="n">
        <v>0</v>
      </c>
      <c r="AH2520" s="49" t="n">
        <v>0</v>
      </c>
      <c r="AI2520" s="49" t="n">
        <v>0</v>
      </c>
      <c r="AJ2520" s="50" t="n">
        <v>0</v>
      </c>
      <c r="AK2520" s="51" t="n">
        <v>0</v>
      </c>
      <c r="AL2520" s="52" t="n">
        <v>0</v>
      </c>
      <c r="AM2520" s="52" t="n">
        <v>0</v>
      </c>
      <c r="AN2520" s="52" t="n">
        <v>0</v>
      </c>
      <c r="AO2520" s="53" t="n">
        <v>0</v>
      </c>
      <c r="AP2520" s="52" t="n">
        <v>0</v>
      </c>
      <c r="AQ2520" s="53" t="n">
        <v>0</v>
      </c>
      <c r="AR2520" s="52" t="n">
        <v>0</v>
      </c>
      <c r="AS2520" s="51" t="n">
        <v>0</v>
      </c>
      <c r="AT2520" s="48" t="n">
        <v>0</v>
      </c>
      <c r="AU2520" s="49" t="n">
        <v>0</v>
      </c>
      <c r="AV2520" s="49" t="n">
        <v>0</v>
      </c>
      <c r="AW2520" s="50" t="n">
        <v>0</v>
      </c>
      <c r="AX2520" s="51" t="n">
        <v>0</v>
      </c>
      <c r="AY2520" s="52" t="n">
        <v>0</v>
      </c>
      <c r="AZ2520" s="52" t="n">
        <v>0</v>
      </c>
      <c r="BA2520" s="52" t="n">
        <v>0</v>
      </c>
      <c r="BB2520" s="53" t="n">
        <v>0</v>
      </c>
      <c r="BC2520" s="52" t="n">
        <v>0</v>
      </c>
      <c r="BD2520" s="53" t="n">
        <v>0</v>
      </c>
      <c r="BE2520" s="52" t="n">
        <v>0</v>
      </c>
      <c r="BF2520" s="51" t="n">
        <v>0</v>
      </c>
    </row>
    <row r="2521">
      <c r="A2521">
        <f>HYPERLINK("https://www.walmart.com/ip/5851502515", "5851502515")</f>
        <v/>
      </c>
      <c r="B2521" t="inlineStr">
        <is>
          <t>Tirrinia Large Cooler Bag,48 Cans Insulated Leakproof Soft Ice Chest, Portable Beach Cooler with Heavy-Duty Handles for Picnic, Beach, Camping, Road Trips</t>
        </is>
      </c>
      <c r="C2521" t="inlineStr">
        <is>
          <t>1TRCB00148BK</t>
        </is>
      </c>
      <c r="D2521" t="inlineStr">
        <is>
          <t>Soft-Sided Coolers</t>
        </is>
      </c>
      <c r="E2521" t="inlineStr">
        <is>
          <t>Tirrinia</t>
        </is>
      </c>
      <c r="G2521" s="48" t="n">
        <v>-59.98</v>
      </c>
      <c r="H2521" s="49" t="n">
        <v>-2</v>
      </c>
      <c r="I2521" s="49" t="n">
        <v>0</v>
      </c>
      <c r="J2521" s="50" t="n">
        <v>0</v>
      </c>
      <c r="K2521" s="51" t="n">
        <v>0</v>
      </c>
      <c r="L2521" s="52" t="n">
        <v>0</v>
      </c>
      <c r="M2521" s="52" t="n">
        <v>0</v>
      </c>
      <c r="N2521" s="52" t="n">
        <v>0</v>
      </c>
      <c r="O2521" s="53" t="n">
        <v>0</v>
      </c>
      <c r="P2521" s="52" t="n">
        <v>0</v>
      </c>
      <c r="Q2521" s="53" t="n">
        <v>0</v>
      </c>
      <c r="R2521" s="52" t="n">
        <v>0</v>
      </c>
      <c r="S2521" s="51" t="n">
        <v>0</v>
      </c>
      <c r="T2521" s="48" t="n">
        <v>29.99</v>
      </c>
      <c r="U2521" s="49" t="n">
        <v>1</v>
      </c>
      <c r="V2521" s="49" t="n">
        <v>0</v>
      </c>
      <c r="W2521" s="50" t="n">
        <v>0</v>
      </c>
      <c r="X2521" s="51" t="n">
        <v>0</v>
      </c>
      <c r="Y2521" s="52" t="n">
        <v>0</v>
      </c>
      <c r="Z2521" s="52" t="n">
        <v>0</v>
      </c>
      <c r="AA2521" s="52" t="n">
        <v>0</v>
      </c>
      <c r="AB2521" s="53" t="n">
        <v>0</v>
      </c>
      <c r="AC2521" s="52" t="n">
        <v>0</v>
      </c>
      <c r="AD2521" s="53" t="n">
        <v>0</v>
      </c>
      <c r="AE2521" s="52" t="n">
        <v>29.99</v>
      </c>
      <c r="AF2521" s="51" t="n">
        <v>0</v>
      </c>
      <c r="AG2521" s="48" t="n">
        <v>0</v>
      </c>
      <c r="AH2521" s="49" t="n">
        <v>0</v>
      </c>
      <c r="AI2521" s="49" t="n">
        <v>0</v>
      </c>
      <c r="AJ2521" s="50" t="n">
        <v>0</v>
      </c>
      <c r="AK2521" s="51" t="n">
        <v>0</v>
      </c>
      <c r="AL2521" s="52" t="n">
        <v>0</v>
      </c>
      <c r="AM2521" s="52" t="n">
        <v>0</v>
      </c>
      <c r="AN2521" s="52" t="n">
        <v>0</v>
      </c>
      <c r="AO2521" s="53" t="n">
        <v>0</v>
      </c>
      <c r="AP2521" s="52" t="n">
        <v>0</v>
      </c>
      <c r="AQ2521" s="53" t="n">
        <v>0</v>
      </c>
      <c r="AR2521" s="52" t="n">
        <v>0</v>
      </c>
      <c r="AS2521" s="51" t="n">
        <v>0</v>
      </c>
      <c r="AT2521" s="48" t="n">
        <v>0</v>
      </c>
      <c r="AU2521" s="49" t="n">
        <v>0</v>
      </c>
      <c r="AV2521" s="49" t="n">
        <v>0</v>
      </c>
      <c r="AW2521" s="50" t="n">
        <v>0</v>
      </c>
      <c r="AX2521" s="51" t="n">
        <v>0</v>
      </c>
      <c r="AY2521" s="52" t="n">
        <v>0</v>
      </c>
      <c r="AZ2521" s="52" t="n">
        <v>0</v>
      </c>
      <c r="BA2521" s="52" t="n">
        <v>0</v>
      </c>
      <c r="BB2521" s="53" t="n">
        <v>0</v>
      </c>
      <c r="BC2521" s="52" t="n">
        <v>0</v>
      </c>
      <c r="BD2521" s="53" t="n">
        <v>0</v>
      </c>
      <c r="BE2521" s="52" t="n">
        <v>0</v>
      </c>
      <c r="BF2521" s="51" t="n">
        <v>0</v>
      </c>
    </row>
  </sheetData>
  <mergeCells count="4">
    <mergeCell ref="AT1:BF1"/>
    <mergeCell ref="AG1:AS1"/>
    <mergeCell ref="G1:S1"/>
    <mergeCell ref="T1:AF1"/>
  </mergeCells>
  <hyperlinks>
    <hyperlink xmlns:r="http://schemas.openxmlformats.org/officeDocument/2006/relationships" ref="C1128" r:id="rId1"/>
    <hyperlink xmlns:r="http://schemas.openxmlformats.org/officeDocument/2006/relationships" ref="C1946" r:id="rId2"/>
    <hyperlink xmlns:r="http://schemas.openxmlformats.org/officeDocument/2006/relationships" ref="C1990" r:id="rId3"/>
    <hyperlink xmlns:r="http://schemas.openxmlformats.org/officeDocument/2006/relationships" ref="C2429" r:id="rId4"/>
  </hyperlinks>
  <pageMargins left="0.7" right="0.7" top="0.75" bottom="0.75" header="0.3" footer="0.3"/>
</worksheet>
</file>

<file path=xl/worksheets/sheet10.xml><?xml version="1.0" encoding="utf-8"?>
<worksheet xmlns="http://schemas.openxmlformats.org/spreadsheetml/2006/main">
  <sheetPr>
    <outlinePr summaryBelow="1" summaryRight="1"/>
    <pageSetUpPr/>
  </sheetPr>
  <dimension ref="A1:BF2521"/>
  <sheetViews>
    <sheetView workbookViewId="0">
      <pane xSplit="1" ySplit="3" topLeftCell="B4" activePane="bottomRight" state="frozen"/>
      <selection pane="topRight" activeCell="A1" sqref="A1"/>
      <selection pane="bottomLeft" activeCell="A1" sqref="A1"/>
      <selection pane="bottomRight" activeCell="G2" sqref="G2:J3"/>
    </sheetView>
  </sheetViews>
  <sheetFormatPr baseColWidth="10" defaultColWidth="8.83203125" defaultRowHeight="15"/>
  <sheetData>
    <row r="1">
      <c r="A1" s="54" t="n"/>
      <c r="B1" s="54" t="n"/>
      <c r="C1" s="54" t="n"/>
      <c r="D1" s="54" t="n"/>
      <c r="E1" s="54" t="n"/>
      <c r="F1" s="54" t="n"/>
      <c r="G1" s="54" t="inlineStr">
        <is>
          <t>GMV</t>
        </is>
      </c>
      <c r="H1" s="55" t="n"/>
      <c r="I1" s="55" t="n"/>
      <c r="J1" s="56" t="n"/>
      <c r="K1" s="54" t="inlineStr">
        <is>
          <t>Units Sold</t>
        </is>
      </c>
      <c r="L1" s="55" t="n"/>
      <c r="M1" s="55" t="n"/>
      <c r="N1" s="56" t="n"/>
      <c r="O1" s="54" t="inlineStr">
        <is>
          <t>Page Views</t>
        </is>
      </c>
      <c r="P1" s="55" t="n"/>
      <c r="Q1" s="55" t="n"/>
      <c r="R1" s="56" t="n"/>
      <c r="S1" s="54" t="inlineStr">
        <is>
          <t>Conversion Rate</t>
        </is>
      </c>
      <c r="T1" s="55" t="n"/>
      <c r="U1" s="55" t="n"/>
      <c r="V1" s="56" t="n"/>
      <c r="W1" s="54" t="inlineStr">
        <is>
          <t>Ad Clicks</t>
        </is>
      </c>
      <c r="X1" s="55" t="n"/>
      <c r="Y1" s="55" t="n"/>
      <c r="Z1" s="56" t="n"/>
      <c r="AA1" s="54" t="inlineStr">
        <is>
          <t>Ad Spend</t>
        </is>
      </c>
      <c r="AB1" s="55" t="n"/>
      <c r="AC1" s="55" t="n"/>
      <c r="AD1" s="56" t="n"/>
      <c r="AE1" s="54" t="inlineStr">
        <is>
          <t>Ad Sales</t>
        </is>
      </c>
      <c r="AF1" s="55" t="n"/>
      <c r="AG1" s="55" t="n"/>
      <c r="AH1" s="56" t="n"/>
      <c r="AI1" s="54" t="inlineStr">
        <is>
          <t>ROAS</t>
        </is>
      </c>
      <c r="AJ1" s="55" t="n"/>
      <c r="AK1" s="55" t="n"/>
      <c r="AL1" s="56" t="n"/>
      <c r="AM1" s="54" t="inlineStr">
        <is>
          <t>CTR</t>
        </is>
      </c>
      <c r="AN1" s="55" t="n"/>
      <c r="AO1" s="55" t="n"/>
      <c r="AP1" s="56" t="n"/>
      <c r="AQ1" s="54" t="inlineStr">
        <is>
          <t>CPC</t>
        </is>
      </c>
      <c r="AR1" s="55" t="n"/>
      <c r="AS1" s="55" t="n"/>
      <c r="AT1" s="56" t="n"/>
      <c r="AU1" s="54" t="inlineStr">
        <is>
          <t>TACOS</t>
        </is>
      </c>
      <c r="AV1" s="55" t="n"/>
      <c r="AW1" s="55" t="n"/>
      <c r="AX1" s="56" t="n"/>
      <c r="AY1" s="54" t="inlineStr">
        <is>
          <t>AUR</t>
        </is>
      </c>
      <c r="AZ1" s="55" t="n"/>
      <c r="BA1" s="55" t="n"/>
      <c r="BB1" s="56" t="n"/>
      <c r="BC1" s="54" t="inlineStr">
        <is>
          <t>Impressions</t>
        </is>
      </c>
      <c r="BD1" s="55" t="n"/>
      <c r="BE1" s="55" t="n"/>
      <c r="BF1" s="56" t="n"/>
    </row>
    <row r="2">
      <c r="G2" s="13">
        <f>SUBTOTAL(9, G3:G2521)</f>
        <v/>
      </c>
      <c r="H2" s="13">
        <f>SUBTOTAL(9, H3:H2521)</f>
        <v/>
      </c>
      <c r="I2" s="13">
        <f>SUBTOTAL(9, I3:I2521)</f>
        <v/>
      </c>
      <c r="J2" s="13">
        <f>SUBTOTAL(9, J3:J2521)</f>
        <v/>
      </c>
      <c r="K2" s="45">
        <f>SUBTOTAL(9, K3:K2521)</f>
        <v/>
      </c>
      <c r="L2" s="45">
        <f>SUBTOTAL(9, L3:L2521)</f>
        <v/>
      </c>
      <c r="M2" s="45">
        <f>SUBTOTAL(9, M3:M2521)</f>
        <v/>
      </c>
      <c r="N2" s="45">
        <f>SUBTOTAL(9, N3:N2521)</f>
        <v/>
      </c>
      <c r="O2" s="45">
        <f>SUBTOTAL(9, O3:O2521)</f>
        <v/>
      </c>
      <c r="P2" s="45">
        <f>SUBTOTAL(9, P3:P2521)</f>
        <v/>
      </c>
      <c r="Q2" s="45">
        <f>SUBTOTAL(9, Q3:Q2521)</f>
        <v/>
      </c>
      <c r="R2" s="45">
        <f>SUBTOTAL(9, R3:R2521)</f>
        <v/>
      </c>
      <c r="S2" s="46">
        <f>K2/O2</f>
        <v/>
      </c>
      <c r="T2" s="46">
        <f>L2/P2</f>
        <v/>
      </c>
      <c r="U2" s="46">
        <f>M2/Q2</f>
        <v/>
      </c>
      <c r="V2" s="46">
        <f>N2/R2</f>
        <v/>
      </c>
      <c r="W2" s="47">
        <f>SUBTOTAL(9, W3:W2521)</f>
        <v/>
      </c>
      <c r="X2" s="47">
        <f>SUBTOTAL(9, X3:X2521)</f>
        <v/>
      </c>
      <c r="Y2" s="47">
        <f>SUBTOTAL(9, Y3:Y2521)</f>
        <v/>
      </c>
      <c r="Z2" s="47">
        <f>SUBTOTAL(9, Z3:Z2521)</f>
        <v/>
      </c>
      <c r="AA2" s="15">
        <f>SUBTOTAL(9, AA3:AA2521)</f>
        <v/>
      </c>
      <c r="AB2" s="15">
        <f>SUBTOTAL(9, AB3:AB2521)</f>
        <v/>
      </c>
      <c r="AC2" s="15">
        <f>SUBTOTAL(9, AC3:AC2521)</f>
        <v/>
      </c>
      <c r="AD2" s="15">
        <f>SUBTOTAL(9, AD3:AD2521)</f>
        <v/>
      </c>
      <c r="AE2" s="15">
        <f>SUBTOTAL(9, AE3:AE2521)</f>
        <v/>
      </c>
      <c r="AF2" s="15">
        <f>SUBTOTAL(9, AF3:AF2521)</f>
        <v/>
      </c>
      <c r="AG2" s="15">
        <f>SUBTOTAL(9, AG3:AG2521)</f>
        <v/>
      </c>
      <c r="AH2" s="15">
        <f>SUBTOTAL(9, AH3:AH2521)</f>
        <v/>
      </c>
      <c r="AI2" s="15">
        <f>AE2/AA2</f>
        <v/>
      </c>
      <c r="AJ2" s="15">
        <f>AF2/AB2</f>
        <v/>
      </c>
      <c r="AK2" s="15">
        <f>AG2/AC2</f>
        <v/>
      </c>
      <c r="AL2" s="15">
        <f>AH2/AD2</f>
        <v/>
      </c>
      <c r="AM2" s="16">
        <f>W2/BC2</f>
        <v/>
      </c>
      <c r="AN2" s="16">
        <f>X2/BD2</f>
        <v/>
      </c>
      <c r="AO2" s="16">
        <f>Y2/BE2</f>
        <v/>
      </c>
      <c r="AP2" s="16">
        <f>Z2/BF2</f>
        <v/>
      </c>
      <c r="AQ2" s="15">
        <f>AA2/W2</f>
        <v/>
      </c>
      <c r="AR2" s="15">
        <f>AB2/X2</f>
        <v/>
      </c>
      <c r="AS2" s="15">
        <f>AC2/Y2</f>
        <v/>
      </c>
      <c r="AT2" s="15">
        <f>AD2/Z2</f>
        <v/>
      </c>
      <c r="AU2" s="16">
        <f>AA2/G2</f>
        <v/>
      </c>
      <c r="AV2" s="16">
        <f>AB2/H2</f>
        <v/>
      </c>
      <c r="AW2" s="16">
        <f>AC2/I2</f>
        <v/>
      </c>
      <c r="AX2" s="16">
        <f>AD2/J2</f>
        <v/>
      </c>
      <c r="AY2" s="15">
        <f>SUBTOTAL(9, AY3:AY2521)</f>
        <v/>
      </c>
      <c r="AZ2" s="15">
        <f>SUBTOTAL(9, AZ3:AZ2521)</f>
        <v/>
      </c>
      <c r="BA2" s="15">
        <f>SUBTOTAL(9, BA3:BA2521)</f>
        <v/>
      </c>
      <c r="BB2" s="15">
        <f>SUBTOTAL(9, BB3:BB2521)</f>
        <v/>
      </c>
      <c r="BC2" s="47">
        <f>SUBTOTAL(9, BC3:BC2521)</f>
        <v/>
      </c>
      <c r="BD2" s="47">
        <f>SUBTOTAL(9, BD3:BD2521)</f>
        <v/>
      </c>
      <c r="BE2" s="47">
        <f>SUBTOTAL(9, BE3:BE2521)</f>
        <v/>
      </c>
      <c r="BF2" s="47">
        <f>SUBTOTAL(9, BF3:BF2521)</f>
        <v/>
      </c>
    </row>
    <row r="3" ht="64" customHeight="1">
      <c r="A3" s="6" t="inlineStr">
        <is>
          <t>Item Id</t>
        </is>
      </c>
      <c r="B3" s="6" t="inlineStr">
        <is>
          <t>Product Name</t>
        </is>
      </c>
      <c r="C3" s="6" t="inlineStr">
        <is>
          <t>SKU</t>
        </is>
      </c>
      <c r="D3" s="6" t="inlineStr">
        <is>
          <t>Product Type</t>
        </is>
      </c>
      <c r="E3" s="6" t="inlineStr">
        <is>
          <t>Brand</t>
        </is>
      </c>
      <c r="F3" s="6" t="inlineStr">
        <is>
          <t>Tags</t>
        </is>
      </c>
      <c r="G3" s="6" t="inlineStr">
        <is>
          <t>Week 19 (2025-05-05 - 2025-05-11)</t>
        </is>
      </c>
      <c r="H3" s="6" t="inlineStr">
        <is>
          <t>Week 18 (2025-04-28 - 2025-05-04)</t>
        </is>
      </c>
      <c r="I3" s="6" t="inlineStr">
        <is>
          <t>Week 17 (2025-04-21 - 2025-04-27)</t>
        </is>
      </c>
      <c r="J3" s="6" t="inlineStr">
        <is>
          <t>Week 16 (2025-04-14 - 2025-04-20)</t>
        </is>
      </c>
      <c r="K3" s="6" t="inlineStr">
        <is>
          <t>Week 19 (2025-05-05 - 2025-05-11)</t>
        </is>
      </c>
      <c r="L3" s="6" t="inlineStr">
        <is>
          <t>Week 18 (2025-04-28 - 2025-05-04)</t>
        </is>
      </c>
      <c r="M3" s="6" t="inlineStr">
        <is>
          <t>Week 17 (2025-04-21 - 2025-04-27)</t>
        </is>
      </c>
      <c r="N3" s="6" t="inlineStr">
        <is>
          <t>Week 16 (2025-04-14 - 2025-04-20)</t>
        </is>
      </c>
      <c r="O3" s="6" t="inlineStr">
        <is>
          <t>Week 19 (2025-05-05 - 2025-05-11)</t>
        </is>
      </c>
      <c r="P3" s="6" t="inlineStr">
        <is>
          <t>Week 18 (2025-04-28 - 2025-05-04)</t>
        </is>
      </c>
      <c r="Q3" s="6" t="inlineStr">
        <is>
          <t>Week 17 (2025-04-21 - 2025-04-27)</t>
        </is>
      </c>
      <c r="R3" s="6" t="inlineStr">
        <is>
          <t>Week 16 (2025-04-14 - 2025-04-20)</t>
        </is>
      </c>
      <c r="S3" s="6" t="inlineStr">
        <is>
          <t>Week 19 (2025-05-05 - 2025-05-11)</t>
        </is>
      </c>
      <c r="T3" s="6" t="inlineStr">
        <is>
          <t>Week 18 (2025-04-28 - 2025-05-04)</t>
        </is>
      </c>
      <c r="U3" s="6" t="inlineStr">
        <is>
          <t>Week 17 (2025-04-21 - 2025-04-27)</t>
        </is>
      </c>
      <c r="V3" s="6" t="inlineStr">
        <is>
          <t>Week 16 (2025-04-14 - 2025-04-20)</t>
        </is>
      </c>
      <c r="W3" s="6" t="inlineStr">
        <is>
          <t>Week 19 (2025-05-05 - 2025-05-11)</t>
        </is>
      </c>
      <c r="X3" s="6" t="inlineStr">
        <is>
          <t>Week 18 (2025-04-28 - 2025-05-04)</t>
        </is>
      </c>
      <c r="Y3" s="6" t="inlineStr">
        <is>
          <t>Week 17 (2025-04-21 - 2025-04-27)</t>
        </is>
      </c>
      <c r="Z3" s="6" t="inlineStr">
        <is>
          <t>Week 16 (2025-04-14 - 2025-04-20)</t>
        </is>
      </c>
      <c r="AA3" s="6" t="inlineStr">
        <is>
          <t>Week 19 (2025-05-05 - 2025-05-11)</t>
        </is>
      </c>
      <c r="AB3" s="6" t="inlineStr">
        <is>
          <t>Week 18 (2025-04-28 - 2025-05-04)</t>
        </is>
      </c>
      <c r="AC3" s="6" t="inlineStr">
        <is>
          <t>Week 17 (2025-04-21 - 2025-04-27)</t>
        </is>
      </c>
      <c r="AD3" s="6" t="inlineStr">
        <is>
          <t>Week 16 (2025-04-14 - 2025-04-20)</t>
        </is>
      </c>
      <c r="AE3" s="6" t="inlineStr">
        <is>
          <t>Week 19 (2025-05-05 - 2025-05-11)</t>
        </is>
      </c>
      <c r="AF3" s="6" t="inlineStr">
        <is>
          <t>Week 18 (2025-04-28 - 2025-05-04)</t>
        </is>
      </c>
      <c r="AG3" s="6" t="inlineStr">
        <is>
          <t>Week 17 (2025-04-21 - 2025-04-27)</t>
        </is>
      </c>
      <c r="AH3" s="6" t="inlineStr">
        <is>
          <t>Week 16 (2025-04-14 - 2025-04-20)</t>
        </is>
      </c>
      <c r="AI3" s="6" t="inlineStr">
        <is>
          <t>Week 19 (2025-05-05 - 2025-05-11)</t>
        </is>
      </c>
      <c r="AJ3" s="6" t="inlineStr">
        <is>
          <t>Week 18 (2025-04-28 - 2025-05-04)</t>
        </is>
      </c>
      <c r="AK3" s="6" t="inlineStr">
        <is>
          <t>Week 17 (2025-04-21 - 2025-04-27)</t>
        </is>
      </c>
      <c r="AL3" s="6" t="inlineStr">
        <is>
          <t>Week 16 (2025-04-14 - 2025-04-20)</t>
        </is>
      </c>
      <c r="AM3" s="6" t="inlineStr">
        <is>
          <t>Week 19 (2025-05-05 - 2025-05-11)</t>
        </is>
      </c>
      <c r="AN3" s="6" t="inlineStr">
        <is>
          <t>Week 18 (2025-04-28 - 2025-05-04)</t>
        </is>
      </c>
      <c r="AO3" s="6" t="inlineStr">
        <is>
          <t>Week 17 (2025-04-21 - 2025-04-27)</t>
        </is>
      </c>
      <c r="AP3" s="6" t="inlineStr">
        <is>
          <t>Week 16 (2025-04-14 - 2025-04-20)</t>
        </is>
      </c>
      <c r="AQ3" s="6" t="inlineStr">
        <is>
          <t>Week 19 (2025-05-05 - 2025-05-11)</t>
        </is>
      </c>
      <c r="AR3" s="6" t="inlineStr">
        <is>
          <t>Week 18 (2025-04-28 - 2025-05-04)</t>
        </is>
      </c>
      <c r="AS3" s="6" t="inlineStr">
        <is>
          <t>Week 17 (2025-04-21 - 2025-04-27)</t>
        </is>
      </c>
      <c r="AT3" s="6" t="inlineStr">
        <is>
          <t>Week 16 (2025-04-14 - 2025-04-20)</t>
        </is>
      </c>
      <c r="AU3" s="6" t="inlineStr">
        <is>
          <t>Week 19 (2025-05-05 - 2025-05-11)</t>
        </is>
      </c>
      <c r="AV3" s="6" t="inlineStr">
        <is>
          <t>Week 18 (2025-04-28 - 2025-05-04)</t>
        </is>
      </c>
      <c r="AW3" s="6" t="inlineStr">
        <is>
          <t>Week 17 (2025-04-21 - 2025-04-27)</t>
        </is>
      </c>
      <c r="AX3" s="6" t="inlineStr">
        <is>
          <t>Week 16 (2025-04-14 - 2025-04-20)</t>
        </is>
      </c>
      <c r="AY3" s="6" t="inlineStr">
        <is>
          <t>Week 19 (2025-05-05 - 2025-05-11)</t>
        </is>
      </c>
      <c r="AZ3" s="6" t="inlineStr">
        <is>
          <t>Week 18 (2025-04-28 - 2025-05-04)</t>
        </is>
      </c>
      <c r="BA3" s="6" t="inlineStr">
        <is>
          <t>Week 17 (2025-04-21 - 2025-04-27)</t>
        </is>
      </c>
      <c r="BB3" s="6" t="inlineStr">
        <is>
          <t>Week 16 (2025-04-14 - 2025-04-20)</t>
        </is>
      </c>
      <c r="BC3" s="6" t="inlineStr">
        <is>
          <t>Week 19 (2025-05-05 - 2025-05-11)</t>
        </is>
      </c>
      <c r="BD3" s="6" t="inlineStr">
        <is>
          <t>Week 18 (2025-04-28 - 2025-05-04)</t>
        </is>
      </c>
      <c r="BE3" s="6" t="inlineStr">
        <is>
          <t>Week 17 (2025-04-21 - 2025-04-27)</t>
        </is>
      </c>
      <c r="BF3" s="6" t="inlineStr">
        <is>
          <t>Week 16 (2025-04-14 - 2025-04-20)</t>
        </is>
      </c>
    </row>
    <row r="4">
      <c r="A4">
        <f>HYPERLINK("https://www.walmart.com/ip/621903168", "621903168")</f>
        <v/>
      </c>
      <c r="B4" t="inlineStr">
        <is>
          <t>Catalonia Fleece Wearable Blanket Poncho for Adult Women Men, Wrap Blanket Cape with Pocket | Warm, Soft, Cozy, Snuggly, Comfort Gift, No Sleeves | All-Season, Gift Idea</t>
        </is>
      </c>
      <c r="C4" t="inlineStr">
        <is>
          <t>1CTBP200PP</t>
        </is>
      </c>
      <c r="D4" t="inlineStr">
        <is>
          <t>Throws</t>
        </is>
      </c>
      <c r="E4" t="inlineStr">
        <is>
          <t>Catalonia</t>
        </is>
      </c>
      <c r="F4" t="inlineStr">
        <is>
          <t>Hero 5 Holidays,WFS,WFS Item</t>
        </is>
      </c>
      <c r="G4" s="48" t="n">
        <v>263.88</v>
      </c>
      <c r="H4" s="48" t="n">
        <v>109.95</v>
      </c>
      <c r="I4" s="48" t="n">
        <v>0</v>
      </c>
      <c r="J4" s="48" t="n">
        <v>65.97</v>
      </c>
      <c r="K4" s="49" t="n">
        <v>12</v>
      </c>
      <c r="L4" s="49" t="n">
        <v>5</v>
      </c>
      <c r="M4" s="49" t="n">
        <v>0</v>
      </c>
      <c r="N4" s="49" t="n">
        <v>3</v>
      </c>
      <c r="O4" s="49" t="n">
        <v>367</v>
      </c>
      <c r="P4" s="49" t="n">
        <v>493</v>
      </c>
      <c r="Q4" s="49" t="n">
        <v>154</v>
      </c>
      <c r="R4" s="49" t="n">
        <v>228</v>
      </c>
      <c r="S4" s="50" t="n">
        <v>0.0326975476839237</v>
      </c>
      <c r="T4" s="50" t="n">
        <v>0.0101419878296146</v>
      </c>
      <c r="U4" s="50" t="n">
        <v>0</v>
      </c>
      <c r="V4" s="50" t="n">
        <v>0.0131578947368421</v>
      </c>
      <c r="W4" s="51" t="n">
        <v>20</v>
      </c>
      <c r="X4" s="51" t="n">
        <v>9</v>
      </c>
      <c r="Y4" s="51" t="n">
        <v>0</v>
      </c>
      <c r="Z4" s="51" t="n">
        <v>16</v>
      </c>
      <c r="AA4" s="52" t="n">
        <v>5.57</v>
      </c>
      <c r="AB4" s="52" t="n">
        <v>2.52</v>
      </c>
      <c r="AC4" s="52" t="n">
        <v>0</v>
      </c>
      <c r="AD4" s="52" t="n">
        <v>4.5</v>
      </c>
      <c r="AE4" s="52" t="n">
        <v>21.99</v>
      </c>
      <c r="AF4" s="52" t="n">
        <v>89.98</v>
      </c>
      <c r="AG4" s="52" t="n">
        <v>0</v>
      </c>
      <c r="AH4" s="52" t="n">
        <v>0</v>
      </c>
      <c r="AI4" s="52" t="n">
        <v>3.95</v>
      </c>
      <c r="AJ4" s="52" t="n">
        <v>35.71</v>
      </c>
      <c r="AK4" s="52" t="n">
        <v>0</v>
      </c>
      <c r="AL4" s="52" t="n">
        <v>0</v>
      </c>
      <c r="AM4" s="53" t="n">
        <v>0.0094</v>
      </c>
      <c r="AN4" s="53" t="n">
        <v>0.0041</v>
      </c>
      <c r="AO4" s="53" t="n">
        <v>0</v>
      </c>
      <c r="AP4" s="53" t="n">
        <v>0.0105</v>
      </c>
      <c r="AQ4" s="52" t="n">
        <v>0.2785</v>
      </c>
      <c r="AR4" s="52" t="n">
        <v>0.28</v>
      </c>
      <c r="AS4" s="52" t="n">
        <v>0</v>
      </c>
      <c r="AT4" s="52" t="n">
        <v>0.28125</v>
      </c>
      <c r="AU4" s="53" t="n">
        <v>0.02110807943004396</v>
      </c>
      <c r="AV4" s="53" t="n">
        <v>0.02291950886766712</v>
      </c>
      <c r="AW4" s="53" t="n">
        <v>0</v>
      </c>
      <c r="AX4" s="53" t="n">
        <v>0.06821282401091405</v>
      </c>
      <c r="AY4" s="52" t="n">
        <v>21.99</v>
      </c>
      <c r="AZ4" s="52" t="n">
        <v>21.99</v>
      </c>
      <c r="BA4" s="52" t="n">
        <v>0</v>
      </c>
      <c r="BB4" s="52" t="n">
        <v>21.99</v>
      </c>
      <c r="BC4" s="51" t="n">
        <v>2118</v>
      </c>
      <c r="BD4" s="51" t="n">
        <v>2216</v>
      </c>
      <c r="BE4" s="51" t="n">
        <v>0</v>
      </c>
      <c r="BF4" s="51" t="n">
        <v>1520</v>
      </c>
    </row>
    <row r="5">
      <c r="A5">
        <f>HYPERLINK("https://www.walmart.com/ip/10286421989", "10286421989")</f>
        <v/>
      </c>
      <c r="B5" t="inlineStr">
        <is>
          <t>Wrangler Men’s Leather Country Casual Every Day Dress Belt for Jeans, Khakis Black 40</t>
        </is>
      </c>
      <c r="C5" t="inlineStr">
        <is>
          <t>WR-BELT-MENS-COUNTRY-BLACK-40</t>
        </is>
      </c>
      <c r="D5" t="inlineStr">
        <is>
          <t>Belts</t>
        </is>
      </c>
      <c r="E5" t="inlineStr">
        <is>
          <t>Wrangler</t>
        </is>
      </c>
      <c r="F5" t="inlineStr">
        <is>
          <t>Belts</t>
        </is>
      </c>
      <c r="G5" s="48" t="n">
        <v>159.92</v>
      </c>
      <c r="H5" s="48" t="n">
        <v>19.99</v>
      </c>
      <c r="I5" s="48" t="n">
        <v>59.97</v>
      </c>
      <c r="J5" s="48" t="n">
        <v>0</v>
      </c>
      <c r="K5" s="49" t="n">
        <v>8</v>
      </c>
      <c r="L5" s="49" t="n">
        <v>1</v>
      </c>
      <c r="M5" s="49" t="n">
        <v>3</v>
      </c>
      <c r="N5" s="49" t="n">
        <v>0</v>
      </c>
      <c r="O5" s="49" t="n">
        <v>6</v>
      </c>
      <c r="P5" s="49" t="n">
        <v>5</v>
      </c>
      <c r="Q5" s="49" t="n">
        <v>5</v>
      </c>
      <c r="R5" s="49" t="n">
        <v>4</v>
      </c>
      <c r="S5" s="50" t="n">
        <v>1.333333333333333</v>
      </c>
      <c r="T5" s="50" t="n">
        <v>0.2</v>
      </c>
      <c r="U5" s="50" t="n">
        <v>0.6</v>
      </c>
      <c r="V5" s="50" t="n">
        <v>0</v>
      </c>
      <c r="W5" s="51" t="n">
        <v>0</v>
      </c>
      <c r="X5" s="51" t="n">
        <v>0</v>
      </c>
      <c r="Y5" s="51" t="n">
        <v>0</v>
      </c>
      <c r="Z5" s="51" t="n">
        <v>0</v>
      </c>
      <c r="AA5" s="52" t="n">
        <v>0</v>
      </c>
      <c r="AB5" s="52" t="n">
        <v>0</v>
      </c>
      <c r="AC5" s="52" t="n">
        <v>0</v>
      </c>
      <c r="AD5" s="52" t="n">
        <v>0</v>
      </c>
      <c r="AE5" s="52" t="n">
        <v>0</v>
      </c>
      <c r="AF5" s="52" t="n">
        <v>0</v>
      </c>
      <c r="AG5" s="52" t="n">
        <v>0</v>
      </c>
      <c r="AH5" s="52" t="n">
        <v>0</v>
      </c>
      <c r="AI5" s="52" t="n">
        <v>0</v>
      </c>
      <c r="AJ5" s="52" t="n">
        <v>0</v>
      </c>
      <c r="AK5" s="52" t="n">
        <v>0</v>
      </c>
      <c r="AL5" s="52" t="n">
        <v>0</v>
      </c>
      <c r="AM5" s="53" t="n">
        <v>0</v>
      </c>
      <c r="AN5" s="53" t="n">
        <v>0</v>
      </c>
      <c r="AO5" s="53" t="n">
        <v>0</v>
      </c>
      <c r="AP5" s="53" t="n">
        <v>0</v>
      </c>
      <c r="AQ5" s="52" t="n">
        <v>0</v>
      </c>
      <c r="AR5" s="52" t="n">
        <v>0</v>
      </c>
      <c r="AS5" s="52" t="n">
        <v>0</v>
      </c>
      <c r="AT5" s="52" t="n">
        <v>0</v>
      </c>
      <c r="AU5" s="53" t="n">
        <v>0</v>
      </c>
      <c r="AV5" s="53" t="n">
        <v>0</v>
      </c>
      <c r="AW5" s="53" t="n">
        <v>0</v>
      </c>
      <c r="AX5" s="53" t="n">
        <v>0</v>
      </c>
      <c r="AY5" s="52" t="n">
        <v>19.99</v>
      </c>
      <c r="AZ5" s="52" t="n">
        <v>19.99</v>
      </c>
      <c r="BA5" s="52" t="n">
        <v>19.99</v>
      </c>
      <c r="BB5" s="52" t="n">
        <v>0</v>
      </c>
      <c r="BC5" s="51" t="n">
        <v>9</v>
      </c>
      <c r="BD5" s="51" t="n">
        <v>0</v>
      </c>
      <c r="BE5" s="51" t="n">
        <v>0</v>
      </c>
      <c r="BF5" s="51" t="n">
        <v>0</v>
      </c>
    </row>
    <row r="6">
      <c r="A6">
        <f>HYPERLINK("https://www.walmart.com/ip/606072192", "606072192")</f>
        <v/>
      </c>
      <c r="B6" t="inlineStr">
        <is>
          <t>Single Wine Cooler Bags - Insulated &amp; Padded Portable Wine Tote Carrier for Travel, BYOB Restaurant, Wine Tasting, Party, Great Gift for Wine Lover, Beige</t>
        </is>
      </c>
      <c r="C6" t="inlineStr">
        <is>
          <t>1WMWB101BG</t>
        </is>
      </c>
      <c r="D6" t="inlineStr">
        <is>
          <t>Wine Totes, Bags &amp; Backpacks</t>
        </is>
      </c>
      <c r="E6" t="inlineStr">
        <is>
          <t>Flyingstar</t>
        </is>
      </c>
      <c r="F6" t="inlineStr">
        <is>
          <t>Wine,Christmas,Optimized,Wine WFS,Valentine,SEM</t>
        </is>
      </c>
      <c r="G6" s="48" t="n">
        <v>143.88</v>
      </c>
      <c r="H6" s="48" t="n">
        <v>11.99</v>
      </c>
      <c r="I6" s="48" t="n">
        <v>23.98</v>
      </c>
      <c r="J6" s="48" t="n">
        <v>0</v>
      </c>
      <c r="K6" s="49" t="n">
        <v>12</v>
      </c>
      <c r="L6" s="49" t="n">
        <v>1</v>
      </c>
      <c r="M6" s="49" t="n">
        <v>2</v>
      </c>
      <c r="N6" s="49" t="n">
        <v>0</v>
      </c>
      <c r="O6" s="49" t="n">
        <v>4</v>
      </c>
      <c r="P6" s="49" t="n">
        <v>4</v>
      </c>
      <c r="Q6" s="49" t="n">
        <v>4</v>
      </c>
      <c r="R6" s="49" t="n">
        <v>4</v>
      </c>
      <c r="S6" s="50" t="n">
        <v>3</v>
      </c>
      <c r="T6" s="50" t="n">
        <v>0.25</v>
      </c>
      <c r="U6" s="50" t="n">
        <v>0.5</v>
      </c>
      <c r="V6" s="50" t="n">
        <v>0</v>
      </c>
      <c r="W6" s="51" t="n">
        <v>0</v>
      </c>
      <c r="X6" s="51" t="n">
        <v>0</v>
      </c>
      <c r="Y6" s="51" t="n">
        <v>0</v>
      </c>
      <c r="Z6" s="51" t="n">
        <v>0</v>
      </c>
      <c r="AA6" s="52" t="n">
        <v>0</v>
      </c>
      <c r="AB6" s="52" t="n">
        <v>0</v>
      </c>
      <c r="AC6" s="52" t="n">
        <v>0</v>
      </c>
      <c r="AD6" s="52" t="n">
        <v>0</v>
      </c>
      <c r="AE6" s="52" t="n">
        <v>0</v>
      </c>
      <c r="AF6" s="52" t="n">
        <v>0</v>
      </c>
      <c r="AG6" s="52" t="n">
        <v>0</v>
      </c>
      <c r="AH6" s="52" t="n">
        <v>0</v>
      </c>
      <c r="AI6" s="52" t="n">
        <v>0</v>
      </c>
      <c r="AJ6" s="52" t="n">
        <v>0</v>
      </c>
      <c r="AK6" s="52" t="n">
        <v>0</v>
      </c>
      <c r="AL6" s="52" t="n">
        <v>0</v>
      </c>
      <c r="AM6" s="53" t="n">
        <v>0</v>
      </c>
      <c r="AN6" s="53" t="n">
        <v>0</v>
      </c>
      <c r="AO6" s="53" t="n">
        <v>0</v>
      </c>
      <c r="AP6" s="53" t="n">
        <v>0</v>
      </c>
      <c r="AQ6" s="52" t="n">
        <v>0</v>
      </c>
      <c r="AR6" s="52" t="n">
        <v>0</v>
      </c>
      <c r="AS6" s="52" t="n">
        <v>0</v>
      </c>
      <c r="AT6" s="52" t="n">
        <v>0</v>
      </c>
      <c r="AU6" s="53" t="n">
        <v>0</v>
      </c>
      <c r="AV6" s="53" t="n">
        <v>0</v>
      </c>
      <c r="AW6" s="53" t="n">
        <v>0</v>
      </c>
      <c r="AX6" s="53" t="n">
        <v>0</v>
      </c>
      <c r="AY6" s="52" t="n">
        <v>11.99</v>
      </c>
      <c r="AZ6" s="52" t="n">
        <v>11.99</v>
      </c>
      <c r="BA6" s="52" t="n">
        <v>11.99</v>
      </c>
      <c r="BB6" s="52" t="n">
        <v>0</v>
      </c>
      <c r="BC6" s="51" t="n">
        <v>0</v>
      </c>
      <c r="BD6" s="51" t="n">
        <v>0</v>
      </c>
      <c r="BE6" s="51" t="n">
        <v>0</v>
      </c>
      <c r="BF6" s="51" t="n">
        <v>0</v>
      </c>
    </row>
    <row r="7">
      <c r="A7">
        <f>HYPERLINK("https://www.walmart.com/ip/775282043", "775282043")</f>
        <v/>
      </c>
      <c r="B7" t="inlineStr">
        <is>
          <t>Tirrinia Insulated Lunch Bag for Women, Men, and Kids, Leakproof Thermal Reusable Insulated Cooler Bag for Office, Work, Back to School, Medium, Charcoal, 8L, 10" X 7" X 7.7"</t>
        </is>
      </c>
      <c r="C7" t="inlineStr">
        <is>
          <t>1TRLB701CH-N</t>
        </is>
      </c>
      <c r="D7" t="inlineStr">
        <is>
          <t>Reusable Lunch Bags &amp; Boxes</t>
        </is>
      </c>
      <c r="E7" t="inlineStr">
        <is>
          <t>Tirrinia</t>
        </is>
      </c>
      <c r="F7" t="inlineStr">
        <is>
          <t>Q2-Target,Brand Camp VD,Lunch Bag,WFS,Lunch Bags,SEM,Wal-Exl-Price,WFS Item,AMZ Bestsellers</t>
        </is>
      </c>
      <c r="G7" s="48" t="n">
        <v>132.89</v>
      </c>
      <c r="H7" s="48" t="n">
        <v>357.93</v>
      </c>
      <c r="I7" s="48" t="n">
        <v>313.74</v>
      </c>
      <c r="J7" s="48" t="n">
        <v>938.1900000000001</v>
      </c>
      <c r="K7" s="49" t="n">
        <v>11</v>
      </c>
      <c r="L7" s="49" t="n">
        <v>29</v>
      </c>
      <c r="M7" s="49" t="n">
        <v>26</v>
      </c>
      <c r="N7" s="49" t="n">
        <v>74</v>
      </c>
      <c r="O7" s="49" t="n">
        <v>1065</v>
      </c>
      <c r="P7" s="49" t="n">
        <v>1221</v>
      </c>
      <c r="Q7" s="49" t="n">
        <v>1437</v>
      </c>
      <c r="R7" s="49" t="n">
        <v>1610</v>
      </c>
      <c r="S7" s="50" t="n">
        <v>0.01032863849765258</v>
      </c>
      <c r="T7" s="50" t="n">
        <v>0.02375102375102375</v>
      </c>
      <c r="U7" s="50" t="n">
        <v>0.01809324982602644</v>
      </c>
      <c r="V7" s="50" t="n">
        <v>0.04596273291925466</v>
      </c>
      <c r="W7" s="51" t="n">
        <v>0</v>
      </c>
      <c r="X7" s="51" t="n">
        <v>0</v>
      </c>
      <c r="Y7" s="51" t="n">
        <v>0</v>
      </c>
      <c r="Z7" s="51" t="n">
        <v>0</v>
      </c>
      <c r="AA7" s="52" t="n">
        <v>0</v>
      </c>
      <c r="AB7" s="52" t="n">
        <v>0</v>
      </c>
      <c r="AC7" s="52" t="n">
        <v>0</v>
      </c>
      <c r="AD7" s="52" t="n">
        <v>0</v>
      </c>
      <c r="AE7" s="52" t="n">
        <v>0</v>
      </c>
      <c r="AF7" s="52" t="n">
        <v>0</v>
      </c>
      <c r="AG7" s="52" t="n">
        <v>0</v>
      </c>
      <c r="AH7" s="52" t="n">
        <v>0</v>
      </c>
      <c r="AI7" s="52" t="n">
        <v>0</v>
      </c>
      <c r="AJ7" s="52" t="n">
        <v>0</v>
      </c>
      <c r="AK7" s="52" t="n">
        <v>0</v>
      </c>
      <c r="AL7" s="52" t="n">
        <v>0</v>
      </c>
      <c r="AM7" s="53" t="n">
        <v>0</v>
      </c>
      <c r="AN7" s="53" t="n">
        <v>0</v>
      </c>
      <c r="AO7" s="53" t="n">
        <v>0</v>
      </c>
      <c r="AP7" s="53" t="n">
        <v>0</v>
      </c>
      <c r="AQ7" s="52" t="n">
        <v>0</v>
      </c>
      <c r="AR7" s="52" t="n">
        <v>0</v>
      </c>
      <c r="AS7" s="52" t="n">
        <v>0</v>
      </c>
      <c r="AT7" s="52" t="n">
        <v>0</v>
      </c>
      <c r="AU7" s="53" t="n">
        <v>0</v>
      </c>
      <c r="AV7" s="53" t="n">
        <v>0</v>
      </c>
      <c r="AW7" s="53" t="n">
        <v>0</v>
      </c>
      <c r="AX7" s="53" t="n">
        <v>0</v>
      </c>
      <c r="AY7" s="52" t="n">
        <v>12.08090909090909</v>
      </c>
      <c r="AZ7" s="52" t="n">
        <v>12.34241379310345</v>
      </c>
      <c r="BA7" s="52" t="n">
        <v>12.06692307692308</v>
      </c>
      <c r="BB7" s="52" t="n">
        <v>12.67824324324324</v>
      </c>
      <c r="BC7" s="51" t="n">
        <v>0</v>
      </c>
      <c r="BD7" s="51" t="n">
        <v>0</v>
      </c>
      <c r="BE7" s="51" t="n">
        <v>0</v>
      </c>
      <c r="BF7" s="51" t="n">
        <v>0</v>
      </c>
    </row>
    <row r="8">
      <c r="A8">
        <f>HYPERLINK("https://www.walmart.com/ip/138121626", "138121626")</f>
        <v/>
      </c>
      <c r="B8" t="inlineStr">
        <is>
          <t>Realtree Unisex Hardwood Mesh Baseball Cap Outdoor Sports Embroidery Hunting Trucker Hat</t>
        </is>
      </c>
      <c r="C8" t="inlineStr">
        <is>
          <t>KC Caps HT01</t>
        </is>
      </c>
      <c r="D8" t="inlineStr">
        <is>
          <t>Hats</t>
        </is>
      </c>
      <c r="E8" t="inlineStr">
        <is>
          <t>KC Caps</t>
        </is>
      </c>
      <c r="F8" t="inlineStr">
        <is>
          <t>WFS,WFS Item</t>
        </is>
      </c>
      <c r="G8" s="48" t="n">
        <v>120</v>
      </c>
      <c r="H8" s="48" t="n">
        <v>0</v>
      </c>
      <c r="I8" s="48" t="n">
        <v>0</v>
      </c>
      <c r="J8" s="48" t="n">
        <v>0</v>
      </c>
      <c r="K8" s="49" t="n">
        <v>12</v>
      </c>
      <c r="L8" s="49" t="n">
        <v>0</v>
      </c>
      <c r="M8" s="49" t="n">
        <v>0</v>
      </c>
      <c r="N8" s="49" t="n">
        <v>0</v>
      </c>
      <c r="O8" s="49" t="n">
        <v>0</v>
      </c>
      <c r="P8" s="49" t="n">
        <v>0</v>
      </c>
      <c r="Q8" s="49" t="n">
        <v>0</v>
      </c>
      <c r="R8" s="49" t="n">
        <v>0</v>
      </c>
      <c r="S8" s="50" t="n">
        <v>0</v>
      </c>
      <c r="T8" s="50" t="n">
        <v>0</v>
      </c>
      <c r="U8" s="50" t="n">
        <v>0</v>
      </c>
      <c r="V8" s="50" t="n">
        <v>0</v>
      </c>
      <c r="W8" s="51" t="n">
        <v>0</v>
      </c>
      <c r="X8" s="51" t="n">
        <v>0</v>
      </c>
      <c r="Y8" s="51" t="n">
        <v>0</v>
      </c>
      <c r="Z8" s="51" t="n">
        <v>0</v>
      </c>
      <c r="AA8" s="52" t="n">
        <v>0</v>
      </c>
      <c r="AB8" s="52" t="n">
        <v>0</v>
      </c>
      <c r="AC8" s="52" t="n">
        <v>0</v>
      </c>
      <c r="AD8" s="52" t="n">
        <v>0</v>
      </c>
      <c r="AE8" s="52" t="n">
        <v>0</v>
      </c>
      <c r="AF8" s="52" t="n">
        <v>0</v>
      </c>
      <c r="AG8" s="52" t="n">
        <v>0</v>
      </c>
      <c r="AH8" s="52" t="n">
        <v>0</v>
      </c>
      <c r="AI8" s="52" t="n">
        <v>0</v>
      </c>
      <c r="AJ8" s="52" t="n">
        <v>0</v>
      </c>
      <c r="AK8" s="52" t="n">
        <v>0</v>
      </c>
      <c r="AL8" s="52" t="n">
        <v>0</v>
      </c>
      <c r="AM8" s="53" t="n">
        <v>0</v>
      </c>
      <c r="AN8" s="53" t="n">
        <v>0</v>
      </c>
      <c r="AO8" s="53" t="n">
        <v>0</v>
      </c>
      <c r="AP8" s="53" t="n">
        <v>0</v>
      </c>
      <c r="AQ8" s="52" t="n">
        <v>0</v>
      </c>
      <c r="AR8" s="52" t="n">
        <v>0</v>
      </c>
      <c r="AS8" s="52" t="n">
        <v>0</v>
      </c>
      <c r="AT8" s="52" t="n">
        <v>0</v>
      </c>
      <c r="AU8" s="53" t="n">
        <v>0</v>
      </c>
      <c r="AV8" s="53" t="n">
        <v>0</v>
      </c>
      <c r="AW8" s="53" t="n">
        <v>0</v>
      </c>
      <c r="AX8" s="53" t="n">
        <v>0</v>
      </c>
      <c r="AY8" s="52" t="n">
        <v>10</v>
      </c>
      <c r="AZ8" s="52" t="n">
        <v>0</v>
      </c>
      <c r="BA8" s="52" t="n">
        <v>0</v>
      </c>
      <c r="BB8" s="52" t="n">
        <v>0</v>
      </c>
      <c r="BC8" s="51" t="n">
        <v>0</v>
      </c>
      <c r="BD8" s="51" t="n">
        <v>0</v>
      </c>
      <c r="BE8" s="51" t="n">
        <v>0</v>
      </c>
      <c r="BF8" s="51" t="n">
        <v>0</v>
      </c>
    </row>
    <row r="9">
      <c r="A9">
        <f>HYPERLINK("https://www.walmart.com/ip/511031817", "511031817")</f>
        <v/>
      </c>
      <c r="B9" t="inlineStr">
        <is>
          <t>Catalonia Wearable Blanket for Adults, Women, Men, Poncho Fleece Blanket, Wrap Blanket Cape with Pocket, Warm, Soft, Cozy, Snuggly, Comfort Gift, No Sleeves, All Season, Grey</t>
        </is>
      </c>
      <c r="C9" t="inlineStr">
        <is>
          <t>1CTBP200GY</t>
        </is>
      </c>
      <c r="D9" t="inlineStr">
        <is>
          <t>Throws</t>
        </is>
      </c>
      <c r="E9" t="inlineStr">
        <is>
          <t>Catalonia</t>
        </is>
      </c>
      <c r="F9" t="inlineStr">
        <is>
          <t>Hero 5 Holidays,WFS,WFS Item</t>
        </is>
      </c>
      <c r="G9" s="48" t="n">
        <v>109.95</v>
      </c>
      <c r="H9" s="48" t="n">
        <v>0</v>
      </c>
      <c r="I9" s="48" t="n">
        <v>0</v>
      </c>
      <c r="J9" s="48" t="n">
        <v>87.95999999999999</v>
      </c>
      <c r="K9" s="49" t="n">
        <v>5</v>
      </c>
      <c r="L9" s="49" t="n">
        <v>0</v>
      </c>
      <c r="M9" s="49" t="n">
        <v>0</v>
      </c>
      <c r="N9" s="49" t="n">
        <v>4</v>
      </c>
      <c r="O9" s="49" t="n">
        <v>42</v>
      </c>
      <c r="P9" s="49" t="n">
        <v>24</v>
      </c>
      <c r="Q9" s="49" t="n">
        <v>25</v>
      </c>
      <c r="R9" s="49" t="n">
        <v>36</v>
      </c>
      <c r="S9" s="50" t="n">
        <v>0.119047619047619</v>
      </c>
      <c r="T9" s="50" t="n">
        <v>0</v>
      </c>
      <c r="U9" s="50" t="n">
        <v>0</v>
      </c>
      <c r="V9" s="50" t="n">
        <v>0.1111111111111111</v>
      </c>
      <c r="W9" s="51" t="n">
        <v>0</v>
      </c>
      <c r="X9" s="51" t="n">
        <v>0</v>
      </c>
      <c r="Y9" s="51" t="n">
        <v>0</v>
      </c>
      <c r="Z9" s="51" t="n">
        <v>0</v>
      </c>
      <c r="AA9" s="52" t="n">
        <v>0</v>
      </c>
      <c r="AB9" s="52" t="n">
        <v>0</v>
      </c>
      <c r="AC9" s="52" t="n">
        <v>0</v>
      </c>
      <c r="AD9" s="52" t="n">
        <v>0</v>
      </c>
      <c r="AE9" s="52" t="n">
        <v>0</v>
      </c>
      <c r="AF9" s="52" t="n">
        <v>0</v>
      </c>
      <c r="AG9" s="52" t="n">
        <v>0</v>
      </c>
      <c r="AH9" s="52" t="n">
        <v>0</v>
      </c>
      <c r="AI9" s="52" t="n">
        <v>0</v>
      </c>
      <c r="AJ9" s="52" t="n">
        <v>0</v>
      </c>
      <c r="AK9" s="52" t="n">
        <v>0</v>
      </c>
      <c r="AL9" s="52" t="n">
        <v>0</v>
      </c>
      <c r="AM9" s="53" t="n">
        <v>0</v>
      </c>
      <c r="AN9" s="53" t="n">
        <v>0</v>
      </c>
      <c r="AO9" s="53" t="n">
        <v>0</v>
      </c>
      <c r="AP9" s="53" t="n">
        <v>0</v>
      </c>
      <c r="AQ9" s="52" t="n">
        <v>0</v>
      </c>
      <c r="AR9" s="52" t="n">
        <v>0</v>
      </c>
      <c r="AS9" s="52" t="n">
        <v>0</v>
      </c>
      <c r="AT9" s="52" t="n">
        <v>0</v>
      </c>
      <c r="AU9" s="53" t="n">
        <v>0</v>
      </c>
      <c r="AV9" s="53" t="n">
        <v>0</v>
      </c>
      <c r="AW9" s="53" t="n">
        <v>0</v>
      </c>
      <c r="AX9" s="53" t="n">
        <v>0</v>
      </c>
      <c r="AY9" s="52" t="n">
        <v>21.99</v>
      </c>
      <c r="AZ9" s="52" t="n">
        <v>0</v>
      </c>
      <c r="BA9" s="52" t="n">
        <v>0</v>
      </c>
      <c r="BB9" s="52" t="n">
        <v>21.99</v>
      </c>
      <c r="BC9" s="51" t="n">
        <v>0</v>
      </c>
      <c r="BD9" s="51" t="n">
        <v>0</v>
      </c>
      <c r="BE9" s="51" t="n">
        <v>0</v>
      </c>
      <c r="BF9" s="51" t="n">
        <v>0</v>
      </c>
    </row>
    <row r="10">
      <c r="A10">
        <f>HYPERLINK("https://www.walmart.com/ip/10298168407", "10298168407")</f>
        <v/>
      </c>
      <c r="B10" t="inlineStr">
        <is>
          <t>Wrangler Men’s Leather Country Casual Every Day Dress Belt for Jeans, Khakis Brown 40</t>
        </is>
      </c>
      <c r="C10" t="inlineStr">
        <is>
          <t>WR-BELT-MENS-COUNTRY-BROWN-40</t>
        </is>
      </c>
      <c r="D10" t="inlineStr">
        <is>
          <t>Belts</t>
        </is>
      </c>
      <c r="E10" t="inlineStr">
        <is>
          <t>Wrangler</t>
        </is>
      </c>
      <c r="F10" t="inlineStr">
        <is>
          <t>Belts</t>
        </is>
      </c>
      <c r="G10" s="48" t="n">
        <v>99.95</v>
      </c>
      <c r="H10" s="48" t="n">
        <v>99.95</v>
      </c>
      <c r="I10" s="48" t="n">
        <v>139.93</v>
      </c>
      <c r="J10" s="48" t="n">
        <v>0</v>
      </c>
      <c r="K10" s="49" t="n">
        <v>5</v>
      </c>
      <c r="L10" s="49" t="n">
        <v>5</v>
      </c>
      <c r="M10" s="49" t="n">
        <v>7</v>
      </c>
      <c r="N10" s="49" t="n">
        <v>0</v>
      </c>
      <c r="O10" s="49" t="n">
        <v>56</v>
      </c>
      <c r="P10" s="49" t="n">
        <v>43</v>
      </c>
      <c r="Q10" s="49" t="n">
        <v>24</v>
      </c>
      <c r="R10" s="49" t="n">
        <v>13</v>
      </c>
      <c r="S10" s="50" t="n">
        <v>0.08928571428571429</v>
      </c>
      <c r="T10" s="50" t="n">
        <v>0.1162790697674419</v>
      </c>
      <c r="U10" s="50" t="n">
        <v>0.2916666666666667</v>
      </c>
      <c r="V10" s="50" t="n">
        <v>0</v>
      </c>
      <c r="W10" s="51" t="n">
        <v>37</v>
      </c>
      <c r="X10" s="51" t="n">
        <v>91</v>
      </c>
      <c r="Y10" s="51" t="n">
        <v>69</v>
      </c>
      <c r="Z10" s="51" t="n">
        <v>29</v>
      </c>
      <c r="AA10" s="52" t="n">
        <v>19.02</v>
      </c>
      <c r="AB10" s="52" t="n">
        <v>48.04</v>
      </c>
      <c r="AC10" s="52" t="n">
        <v>34.74</v>
      </c>
      <c r="AD10" s="52" t="n">
        <v>14.27</v>
      </c>
      <c r="AE10" s="52" t="n">
        <v>139.93</v>
      </c>
      <c r="AF10" s="52" t="n">
        <v>219.89</v>
      </c>
      <c r="AG10" s="52" t="n">
        <v>199.9</v>
      </c>
      <c r="AH10" s="52" t="n">
        <v>39.98</v>
      </c>
      <c r="AI10" s="52" t="n">
        <v>7.36</v>
      </c>
      <c r="AJ10" s="52" t="n">
        <v>4.58</v>
      </c>
      <c r="AK10" s="52" t="n">
        <v>5.75</v>
      </c>
      <c r="AL10" s="52" t="n">
        <v>2.8</v>
      </c>
      <c r="AM10" s="53" t="n">
        <v>0.0125</v>
      </c>
      <c r="AN10" s="53" t="n">
        <v>0.0146</v>
      </c>
      <c r="AO10" s="53" t="n">
        <v>0.0102</v>
      </c>
      <c r="AP10" s="53" t="n">
        <v>0.0074</v>
      </c>
      <c r="AQ10" s="52" t="n">
        <v>0.514054054054054</v>
      </c>
      <c r="AR10" s="52" t="n">
        <v>0.5279120879120879</v>
      </c>
      <c r="AS10" s="52" t="n">
        <v>0.5034782608695653</v>
      </c>
      <c r="AT10" s="52" t="n">
        <v>0.4920689655172414</v>
      </c>
      <c r="AU10" s="53" t="n">
        <v>0.1902951475737869</v>
      </c>
      <c r="AV10" s="53" t="n">
        <v>0.48064032016008</v>
      </c>
      <c r="AW10" s="53" t="n">
        <v>0.2482669906381762</v>
      </c>
      <c r="AX10" s="53" t="n">
        <v>0</v>
      </c>
      <c r="AY10" s="52" t="n">
        <v>19.99</v>
      </c>
      <c r="AZ10" s="52" t="n">
        <v>19.99</v>
      </c>
      <c r="BA10" s="52" t="n">
        <v>19.99</v>
      </c>
      <c r="BB10" s="52" t="n">
        <v>0</v>
      </c>
      <c r="BC10" s="51" t="n">
        <v>2970</v>
      </c>
      <c r="BD10" s="51" t="n">
        <v>6237</v>
      </c>
      <c r="BE10" s="51" t="n">
        <v>6767</v>
      </c>
      <c r="BF10" s="51" t="n">
        <v>3919</v>
      </c>
    </row>
    <row r="11">
      <c r="A11">
        <f>HYPERLINK("https://www.walmart.com/ip/111712195", "111712195")</f>
        <v/>
      </c>
      <c r="B11" t="inlineStr">
        <is>
          <t>Solaris Unisex Large Bill Flap Sun Hat Camping Hiking Hunting Fishing Cap</t>
        </is>
      </c>
      <c r="C11" t="inlineStr">
        <is>
          <t>1SLSH911TN</t>
        </is>
      </c>
      <c r="D11" t="inlineStr">
        <is>
          <t>Hats</t>
        </is>
      </c>
      <c r="E11" t="inlineStr">
        <is>
          <t>Solaris</t>
        </is>
      </c>
      <c r="F11" t="inlineStr">
        <is>
          <t>Q2-Target,Optimized,WFS,Hats,WFS Item</t>
        </is>
      </c>
      <c r="G11" s="48" t="n">
        <v>99.95</v>
      </c>
      <c r="H11" s="48" t="n">
        <v>19.99</v>
      </c>
      <c r="I11" s="48" t="n">
        <v>0</v>
      </c>
      <c r="J11" s="48" t="n">
        <v>0</v>
      </c>
      <c r="K11" s="49" t="n">
        <v>5</v>
      </c>
      <c r="L11" s="49" t="n">
        <v>1</v>
      </c>
      <c r="M11" s="49" t="n">
        <v>0</v>
      </c>
      <c r="N11" s="49" t="n">
        <v>0</v>
      </c>
      <c r="O11" s="49" t="n">
        <v>18</v>
      </c>
      <c r="P11" s="49" t="n">
        <v>13</v>
      </c>
      <c r="Q11" s="49" t="n">
        <v>8</v>
      </c>
      <c r="R11" s="49" t="n">
        <v>8</v>
      </c>
      <c r="S11" s="50" t="n">
        <v>0.2777777777777778</v>
      </c>
      <c r="T11" s="50" t="n">
        <v>0.07692307692307693</v>
      </c>
      <c r="U11" s="50" t="n">
        <v>0</v>
      </c>
      <c r="V11" s="50" t="n">
        <v>0</v>
      </c>
      <c r="W11" s="51" t="n">
        <v>0</v>
      </c>
      <c r="X11" s="51" t="n">
        <v>0</v>
      </c>
      <c r="Y11" s="51" t="n">
        <v>0</v>
      </c>
      <c r="Z11" s="51" t="n">
        <v>0</v>
      </c>
      <c r="AA11" s="52" t="n">
        <v>0</v>
      </c>
      <c r="AB11" s="52" t="n">
        <v>0</v>
      </c>
      <c r="AC11" s="52" t="n">
        <v>0</v>
      </c>
      <c r="AD11" s="52" t="n">
        <v>0</v>
      </c>
      <c r="AE11" s="52" t="n">
        <v>0</v>
      </c>
      <c r="AF11" s="52" t="n">
        <v>0</v>
      </c>
      <c r="AG11" s="52" t="n">
        <v>0</v>
      </c>
      <c r="AH11" s="52" t="n">
        <v>0</v>
      </c>
      <c r="AI11" s="52" t="n">
        <v>0</v>
      </c>
      <c r="AJ11" s="52" t="n">
        <v>0</v>
      </c>
      <c r="AK11" s="52" t="n">
        <v>0</v>
      </c>
      <c r="AL11" s="52" t="n">
        <v>0</v>
      </c>
      <c r="AM11" s="53" t="n">
        <v>0</v>
      </c>
      <c r="AN11" s="53" t="n">
        <v>0</v>
      </c>
      <c r="AO11" s="53" t="n">
        <v>0</v>
      </c>
      <c r="AP11" s="53" t="n">
        <v>0</v>
      </c>
      <c r="AQ11" s="52" t="n">
        <v>0</v>
      </c>
      <c r="AR11" s="52" t="n">
        <v>0</v>
      </c>
      <c r="AS11" s="52" t="n">
        <v>0</v>
      </c>
      <c r="AT11" s="52" t="n">
        <v>0</v>
      </c>
      <c r="AU11" s="53" t="n">
        <v>0</v>
      </c>
      <c r="AV11" s="53" t="n">
        <v>0</v>
      </c>
      <c r="AW11" s="53" t="n">
        <v>0</v>
      </c>
      <c r="AX11" s="53" t="n">
        <v>0</v>
      </c>
      <c r="AY11" s="52" t="n">
        <v>19.99</v>
      </c>
      <c r="AZ11" s="52" t="n">
        <v>19.99</v>
      </c>
      <c r="BA11" s="52" t="n">
        <v>0</v>
      </c>
      <c r="BB11" s="52" t="n">
        <v>0</v>
      </c>
      <c r="BC11" s="51" t="n">
        <v>0</v>
      </c>
      <c r="BD11" s="51" t="n">
        <v>0</v>
      </c>
      <c r="BE11" s="51" t="n">
        <v>0</v>
      </c>
      <c r="BF11" s="51" t="n">
        <v>0</v>
      </c>
    </row>
    <row r="12">
      <c r="A12">
        <f>HYPERLINK("https://www.walmart.com/ip/809495686", "809495686")</f>
        <v/>
      </c>
      <c r="B12" t="inlineStr">
        <is>
          <t>Kritter Planet Waterproof Dog Blanket for Couch, Washable Pet Couch Cover, Non-slip Bed Sofa Furniture Protector Mat, Navy, 80''x60''.</t>
        </is>
      </c>
      <c r="C12" t="inlineStr">
        <is>
          <t>1KPBW686NY</t>
        </is>
      </c>
      <c r="D12" t="inlineStr">
        <is>
          <t>Pet Blankets</t>
        </is>
      </c>
      <c r="E12" t="inlineStr">
        <is>
          <t>Kritter Planet</t>
        </is>
      </c>
      <c r="F12" t="inlineStr">
        <is>
          <t>Batch 1 - TR</t>
        </is>
      </c>
      <c r="G12" s="48" t="n">
        <v>99.95</v>
      </c>
      <c r="H12" s="48" t="n">
        <v>86.95</v>
      </c>
      <c r="I12" s="48" t="n">
        <v>66.95999999999999</v>
      </c>
      <c r="J12" s="48" t="n">
        <v>19.99</v>
      </c>
      <c r="K12" s="49" t="n">
        <v>5</v>
      </c>
      <c r="L12" s="49" t="n">
        <v>4</v>
      </c>
      <c r="M12" s="49" t="n">
        <v>3</v>
      </c>
      <c r="N12" s="49" t="n">
        <v>1</v>
      </c>
      <c r="O12" s="49" t="n">
        <v>18</v>
      </c>
      <c r="P12" s="49" t="n">
        <v>18</v>
      </c>
      <c r="Q12" s="49" t="n">
        <v>18</v>
      </c>
      <c r="R12" s="49" t="n">
        <v>12</v>
      </c>
      <c r="S12" s="50" t="n">
        <v>0.2777777777777778</v>
      </c>
      <c r="T12" s="50" t="n">
        <v>0.2222222222222222</v>
      </c>
      <c r="U12" s="50" t="n">
        <v>0.1666666666666667</v>
      </c>
      <c r="V12" s="50" t="n">
        <v>0.08333333333333333</v>
      </c>
      <c r="W12" s="51" t="n">
        <v>20</v>
      </c>
      <c r="X12" s="51" t="n">
        <v>24</v>
      </c>
      <c r="Y12" s="51" t="n">
        <v>27</v>
      </c>
      <c r="Z12" s="51" t="n">
        <v>23</v>
      </c>
      <c r="AA12" s="52" t="n">
        <v>6.2</v>
      </c>
      <c r="AB12" s="52" t="n">
        <v>7.390000000000001</v>
      </c>
      <c r="AC12" s="52" t="n">
        <v>8.050000000000001</v>
      </c>
      <c r="AD12" s="52" t="n">
        <v>7.04</v>
      </c>
      <c r="AE12" s="52" t="n">
        <v>0</v>
      </c>
      <c r="AF12" s="52" t="n">
        <v>39.98</v>
      </c>
      <c r="AG12" s="52" t="n">
        <v>39.98</v>
      </c>
      <c r="AH12" s="52" t="n">
        <v>25.99</v>
      </c>
      <c r="AI12" s="52" t="n">
        <v>0</v>
      </c>
      <c r="AJ12" s="52" t="n">
        <v>5.41</v>
      </c>
      <c r="AK12" s="52" t="n">
        <v>4.97</v>
      </c>
      <c r="AL12" s="52" t="n">
        <v>3.69</v>
      </c>
      <c r="AM12" s="53" t="n">
        <v>0.0053</v>
      </c>
      <c r="AN12" s="53" t="n">
        <v>0.0056</v>
      </c>
      <c r="AO12" s="53" t="n">
        <v>0.0055</v>
      </c>
      <c r="AP12" s="53" t="n">
        <v>0.0076</v>
      </c>
      <c r="AQ12" s="52" t="n">
        <v>0.31</v>
      </c>
      <c r="AR12" s="52" t="n">
        <v>0.3079166666666667</v>
      </c>
      <c r="AS12" s="52" t="n">
        <v>0.2981481481481482</v>
      </c>
      <c r="AT12" s="52" t="n">
        <v>0.3060869565217391</v>
      </c>
      <c r="AU12" s="53" t="n">
        <v>0.06203101550775388</v>
      </c>
      <c r="AV12" s="53" t="n">
        <v>0.08499137435307648</v>
      </c>
      <c r="AW12" s="53" t="n">
        <v>0.120221027479092</v>
      </c>
      <c r="AX12" s="53" t="n">
        <v>0.3521760880440221</v>
      </c>
      <c r="AY12" s="52" t="n">
        <v>19.99</v>
      </c>
      <c r="AZ12" s="52" t="n">
        <v>21.7375</v>
      </c>
      <c r="BA12" s="52" t="n">
        <v>22.32</v>
      </c>
      <c r="BB12" s="52" t="n">
        <v>19.99</v>
      </c>
      <c r="BC12" s="51" t="n">
        <v>3768</v>
      </c>
      <c r="BD12" s="51" t="n">
        <v>4292</v>
      </c>
      <c r="BE12" s="51" t="n">
        <v>4872</v>
      </c>
      <c r="BF12" s="51" t="n">
        <v>3013</v>
      </c>
    </row>
    <row r="13">
      <c r="A13">
        <f>HYPERLINK("https://www.walmart.com/ip/691452920", "691452920")</f>
        <v/>
      </c>
      <c r="B13" t="inlineStr">
        <is>
          <t>Solaris Sun Hat for Women Neck Flap Wide Brim UV Protection UPF 50+ Foldable Fishing Cap with 2 Replaceable Ribbon For Outdoor Camping,Travelling,Hiking,Silver Gray</t>
        </is>
      </c>
      <c r="C13" t="inlineStr">
        <is>
          <t>1SLSH922SL</t>
        </is>
      </c>
      <c r="D13" t="inlineStr">
        <is>
          <t>Hats</t>
        </is>
      </c>
      <c r="E13" t="inlineStr">
        <is>
          <t>Solaris</t>
        </is>
      </c>
      <c r="F13" t="inlineStr">
        <is>
          <t>Q2-Target,WFS,Hats,WFS Item</t>
        </is>
      </c>
      <c r="G13" s="48" t="n">
        <v>95.94</v>
      </c>
      <c r="H13" s="48" t="n">
        <v>79.95</v>
      </c>
      <c r="I13" s="48" t="n">
        <v>63.96</v>
      </c>
      <c r="J13" s="48" t="n">
        <v>47.97</v>
      </c>
      <c r="K13" s="49" t="n">
        <v>6</v>
      </c>
      <c r="L13" s="49" t="n">
        <v>5</v>
      </c>
      <c r="M13" s="49" t="n">
        <v>4</v>
      </c>
      <c r="N13" s="49" t="n">
        <v>3</v>
      </c>
      <c r="O13" s="49" t="n">
        <v>145</v>
      </c>
      <c r="P13" s="49" t="n">
        <v>129</v>
      </c>
      <c r="Q13" s="49" t="n">
        <v>82</v>
      </c>
      <c r="R13" s="49" t="n">
        <v>56</v>
      </c>
      <c r="S13" s="50" t="n">
        <v>0.04137931034482759</v>
      </c>
      <c r="T13" s="50" t="n">
        <v>0.03875968992248062</v>
      </c>
      <c r="U13" s="50" t="n">
        <v>0.04878048780487805</v>
      </c>
      <c r="V13" s="50" t="n">
        <v>0.05357142857142857</v>
      </c>
      <c r="W13" s="51" t="n">
        <v>62</v>
      </c>
      <c r="X13" s="51" t="n">
        <v>179</v>
      </c>
      <c r="Y13" s="51" t="n">
        <v>171</v>
      </c>
      <c r="Z13" s="51" t="n">
        <v>208</v>
      </c>
      <c r="AA13" s="52" t="n">
        <v>18.94</v>
      </c>
      <c r="AB13" s="52" t="n">
        <v>55.04</v>
      </c>
      <c r="AC13" s="52" t="n">
        <v>53.41</v>
      </c>
      <c r="AD13" s="52" t="n">
        <v>63.88</v>
      </c>
      <c r="AE13" s="52" t="n">
        <v>59.96</v>
      </c>
      <c r="AF13" s="52" t="n">
        <v>131.92</v>
      </c>
      <c r="AG13" s="52" t="n">
        <v>139.42</v>
      </c>
      <c r="AH13" s="52" t="n">
        <v>221.87</v>
      </c>
      <c r="AI13" s="52" t="n">
        <v>3.17</v>
      </c>
      <c r="AJ13" s="52" t="n">
        <v>2.4</v>
      </c>
      <c r="AK13" s="52" t="n">
        <v>2.61</v>
      </c>
      <c r="AL13" s="52" t="n">
        <v>3.47</v>
      </c>
      <c r="AM13" s="53" t="n">
        <v>0.0024</v>
      </c>
      <c r="AN13" s="53" t="n">
        <v>0.0023</v>
      </c>
      <c r="AO13" s="53" t="n">
        <v>0.0021</v>
      </c>
      <c r="AP13" s="53" t="n">
        <v>0.0036</v>
      </c>
      <c r="AQ13" s="52" t="n">
        <v>0.3054838709677419</v>
      </c>
      <c r="AR13" s="52" t="n">
        <v>0.3074860335195531</v>
      </c>
      <c r="AS13" s="52" t="n">
        <v>0.3123391812865497</v>
      </c>
      <c r="AT13" s="52" t="n">
        <v>0.3071153846153846</v>
      </c>
      <c r="AU13" s="53" t="n">
        <v>0.1974150510735876</v>
      </c>
      <c r="AV13" s="53" t="n">
        <v>0.6884302689180738</v>
      </c>
      <c r="AW13" s="53" t="n">
        <v>0.8350531582238898</v>
      </c>
      <c r="AX13" s="53" t="n">
        <v>1.331665624348551</v>
      </c>
      <c r="AY13" s="52" t="n">
        <v>15.99</v>
      </c>
      <c r="AZ13" s="52" t="n">
        <v>15.99</v>
      </c>
      <c r="BA13" s="52" t="n">
        <v>15.99</v>
      </c>
      <c r="BB13" s="52" t="n">
        <v>15.99</v>
      </c>
      <c r="BC13" s="51" t="n">
        <v>25405</v>
      </c>
      <c r="BD13" s="51" t="n">
        <v>78939</v>
      </c>
      <c r="BE13" s="51" t="n">
        <v>80986</v>
      </c>
      <c r="BF13" s="51" t="n">
        <v>57926</v>
      </c>
    </row>
    <row r="14">
      <c r="A14">
        <f>HYPERLINK("https://www.walmart.com/ip/15386869522", "15386869522")</f>
        <v/>
      </c>
      <c r="B14" t="inlineStr">
        <is>
          <t>Catalonia Swim Parka Kids with Hood, Lightweight Youth Surf Swim Jacket, Waterproof &amp; Warm Sherpa Lined Swim Coat for Boys Girls, Changing Poncho Robe for Pool Beach Stadium, Black, 9-13 Years</t>
        </is>
      </c>
      <c r="C14" t="inlineStr">
        <is>
          <t>1CTPKR202BK-1</t>
        </is>
      </c>
      <c r="D14" t="inlineStr">
        <is>
          <t>Swim Parkas</t>
        </is>
      </c>
      <c r="E14" t="inlineStr">
        <is>
          <t>Catalonia</t>
        </is>
      </c>
      <c r="G14" s="48" t="n">
        <v>91.98</v>
      </c>
      <c r="H14" s="48" t="n">
        <v>0</v>
      </c>
      <c r="I14" s="48" t="n">
        <v>0</v>
      </c>
      <c r="J14" s="48" t="n">
        <v>0</v>
      </c>
      <c r="K14" s="49" t="n">
        <v>2</v>
      </c>
      <c r="L14" s="49" t="n">
        <v>0</v>
      </c>
      <c r="M14" s="49" t="n">
        <v>0</v>
      </c>
      <c r="N14" s="49" t="n">
        <v>0</v>
      </c>
      <c r="O14" s="49" t="n">
        <v>0</v>
      </c>
      <c r="P14" s="49" t="n">
        <v>0</v>
      </c>
      <c r="Q14" s="49" t="n">
        <v>0</v>
      </c>
      <c r="R14" s="49" t="n">
        <v>0</v>
      </c>
      <c r="S14" s="50" t="n">
        <v>0</v>
      </c>
      <c r="T14" s="50" t="n">
        <v>0</v>
      </c>
      <c r="U14" s="50" t="n">
        <v>0</v>
      </c>
      <c r="V14" s="50" t="n">
        <v>0</v>
      </c>
      <c r="W14" s="51" t="n">
        <v>0</v>
      </c>
      <c r="X14" s="51" t="n">
        <v>0</v>
      </c>
      <c r="Y14" s="51" t="n">
        <v>0</v>
      </c>
      <c r="Z14" s="51" t="n">
        <v>0</v>
      </c>
      <c r="AA14" s="52" t="n">
        <v>0</v>
      </c>
      <c r="AB14" s="52" t="n">
        <v>0</v>
      </c>
      <c r="AC14" s="52" t="n">
        <v>0</v>
      </c>
      <c r="AD14" s="52" t="n">
        <v>0</v>
      </c>
      <c r="AE14" s="52" t="n">
        <v>0</v>
      </c>
      <c r="AF14" s="52" t="n">
        <v>0</v>
      </c>
      <c r="AG14" s="52" t="n">
        <v>0</v>
      </c>
      <c r="AH14" s="52" t="n">
        <v>0</v>
      </c>
      <c r="AI14" s="52" t="n">
        <v>0</v>
      </c>
      <c r="AJ14" s="52" t="n">
        <v>0</v>
      </c>
      <c r="AK14" s="52" t="n">
        <v>0</v>
      </c>
      <c r="AL14" s="52" t="n">
        <v>0</v>
      </c>
      <c r="AM14" s="53" t="n">
        <v>0</v>
      </c>
      <c r="AN14" s="53" t="n">
        <v>0</v>
      </c>
      <c r="AO14" s="53" t="n">
        <v>0</v>
      </c>
      <c r="AP14" s="53" t="n">
        <v>0</v>
      </c>
      <c r="AQ14" s="52" t="n">
        <v>0</v>
      </c>
      <c r="AR14" s="52" t="n">
        <v>0</v>
      </c>
      <c r="AS14" s="52" t="n">
        <v>0</v>
      </c>
      <c r="AT14" s="52" t="n">
        <v>0</v>
      </c>
      <c r="AU14" s="53" t="n">
        <v>0</v>
      </c>
      <c r="AV14" s="53" t="n">
        <v>0</v>
      </c>
      <c r="AW14" s="53" t="n">
        <v>0</v>
      </c>
      <c r="AX14" s="53" t="n">
        <v>0</v>
      </c>
      <c r="AY14" s="52" t="n">
        <v>45.99</v>
      </c>
      <c r="AZ14" s="52" t="n">
        <v>0</v>
      </c>
      <c r="BA14" s="52" t="n">
        <v>0</v>
      </c>
      <c r="BB14" s="52" t="n">
        <v>0</v>
      </c>
      <c r="BC14" s="51" t="n">
        <v>0</v>
      </c>
      <c r="BD14" s="51" t="n">
        <v>0</v>
      </c>
      <c r="BE14" s="51" t="n">
        <v>0</v>
      </c>
      <c r="BF14" s="51" t="n">
        <v>0</v>
      </c>
    </row>
    <row r="15">
      <c r="A15">
        <f>HYPERLINK("https://www.walmart.com/ip/206900049", "206900049")</f>
        <v/>
      </c>
      <c r="B15" t="inlineStr">
        <is>
          <t>Tirrinia 2 Bottle Wine Tote Carrier - Leakproof &amp; Insulated &amp; Padded Versatile Cooler Bag for Travel, BYOB Restaurant, Wine Tasting, Party, Great Christmas Gift for Wine Lover, Stripe</t>
        </is>
      </c>
      <c r="C15" t="inlineStr">
        <is>
          <t>1KTWB220STR</t>
        </is>
      </c>
      <c r="D15" t="inlineStr">
        <is>
          <t>Wine Totes, Bags &amp; Backpacks</t>
        </is>
      </c>
      <c r="E15" t="inlineStr">
        <is>
          <t>Tirrinia</t>
        </is>
      </c>
      <c r="F15" t="inlineStr">
        <is>
          <t>Wine,Wine Bag Camp,Christmas,Wine WFS,Valentine,WFS Item,AMZ Bestsellers</t>
        </is>
      </c>
      <c r="G15" s="48" t="n">
        <v>89.03</v>
      </c>
      <c r="H15" s="48" t="n">
        <v>83.95999999999999</v>
      </c>
      <c r="I15" s="48" t="n">
        <v>67.81999999999999</v>
      </c>
      <c r="J15" s="48" t="n">
        <v>0</v>
      </c>
      <c r="K15" s="49" t="n">
        <v>4</v>
      </c>
      <c r="L15" s="49" t="n">
        <v>4</v>
      </c>
      <c r="M15" s="49" t="n">
        <v>3</v>
      </c>
      <c r="N15" s="49" t="n">
        <v>0</v>
      </c>
      <c r="O15" s="49" t="n">
        <v>15</v>
      </c>
      <c r="P15" s="49" t="n">
        <v>6</v>
      </c>
      <c r="Q15" s="49" t="n">
        <v>0</v>
      </c>
      <c r="R15" s="49" t="n">
        <v>0</v>
      </c>
      <c r="S15" s="50" t="n">
        <v>0.2666666666666667</v>
      </c>
      <c r="T15" s="50" t="n">
        <v>0.6666666666666666</v>
      </c>
      <c r="U15" s="50" t="n">
        <v>0</v>
      </c>
      <c r="V15" s="50" t="n">
        <v>0</v>
      </c>
      <c r="W15" s="51" t="n">
        <v>13</v>
      </c>
      <c r="X15" s="51" t="n">
        <v>11</v>
      </c>
      <c r="Y15" s="51" t="n">
        <v>4</v>
      </c>
      <c r="Z15" s="51" t="n">
        <v>2</v>
      </c>
      <c r="AA15" s="52" t="n">
        <v>4.9</v>
      </c>
      <c r="AB15" s="52" t="n">
        <v>4.2</v>
      </c>
      <c r="AC15" s="52" t="n">
        <v>1.6</v>
      </c>
      <c r="AD15" s="52" t="n">
        <v>0.8</v>
      </c>
      <c r="AE15" s="52" t="n">
        <v>41.98</v>
      </c>
      <c r="AF15" s="52" t="n">
        <v>83.95999999999999</v>
      </c>
      <c r="AG15" s="52" t="n">
        <v>41.98</v>
      </c>
      <c r="AH15" s="52" t="n">
        <v>0</v>
      </c>
      <c r="AI15" s="52" t="n">
        <v>8.57</v>
      </c>
      <c r="AJ15" s="52" t="n">
        <v>19.99</v>
      </c>
      <c r="AK15" s="52" t="n">
        <v>26.24</v>
      </c>
      <c r="AL15" s="52" t="n">
        <v>0</v>
      </c>
      <c r="AM15" s="53" t="n">
        <v>0.0075</v>
      </c>
      <c r="AN15" s="53" t="n">
        <v>0.0064</v>
      </c>
      <c r="AO15" s="53" t="n">
        <v>0.0031</v>
      </c>
      <c r="AP15" s="53" t="n">
        <v>0.0019</v>
      </c>
      <c r="AQ15" s="52" t="n">
        <v>0.376923076923077</v>
      </c>
      <c r="AR15" s="52" t="n">
        <v>0.3818181818181818</v>
      </c>
      <c r="AS15" s="52" t="n">
        <v>0.4</v>
      </c>
      <c r="AT15" s="52" t="n">
        <v>0.4</v>
      </c>
      <c r="AU15" s="53" t="n">
        <v>0.0550376277659216</v>
      </c>
      <c r="AV15" s="53" t="n">
        <v>0.05002382086707956</v>
      </c>
      <c r="AW15" s="53" t="n">
        <v>0.02359186080802124</v>
      </c>
      <c r="AX15" s="53" t="n">
        <v>0</v>
      </c>
      <c r="AY15" s="52" t="n">
        <v>22.2575</v>
      </c>
      <c r="AZ15" s="52" t="n">
        <v>20.99</v>
      </c>
      <c r="BA15" s="52" t="n">
        <v>22.60666666666667</v>
      </c>
      <c r="BB15" s="52" t="n">
        <v>0</v>
      </c>
      <c r="BC15" s="51" t="n">
        <v>1740</v>
      </c>
      <c r="BD15" s="51" t="n">
        <v>1727</v>
      </c>
      <c r="BE15" s="51" t="n">
        <v>1296</v>
      </c>
      <c r="BF15" s="51" t="n">
        <v>1045</v>
      </c>
    </row>
    <row r="16">
      <c r="A16">
        <f>HYPERLINK("https://www.walmart.com/ip/5674861245", "5674861245")</f>
        <v/>
      </c>
      <c r="B16" t="inlineStr">
        <is>
          <t>Tirrinia Large Cooler Bag,48 Cans Insulated Leakproof Soft Ice Chest, Portable Beach Cooler with Heavy-Duty Handles for Picnic, Beach, Camping, Road Trips</t>
        </is>
      </c>
      <c r="C16" t="inlineStr">
        <is>
          <t>1TRCB00148GYBK</t>
        </is>
      </c>
      <c r="D16" t="inlineStr">
        <is>
          <t>Soft-Sided Coolers</t>
        </is>
      </c>
      <c r="E16" t="inlineStr">
        <is>
          <t>Tirrinia</t>
        </is>
      </c>
      <c r="G16" s="48" t="n">
        <v>82.34999999999999</v>
      </c>
      <c r="H16" s="48" t="n">
        <v>27.45</v>
      </c>
      <c r="I16" s="48" t="n">
        <v>0</v>
      </c>
      <c r="J16" s="48" t="n">
        <v>27.45</v>
      </c>
      <c r="K16" s="49" t="n">
        <v>3</v>
      </c>
      <c r="L16" s="49" t="n">
        <v>1</v>
      </c>
      <c r="M16" s="49" t="n">
        <v>0</v>
      </c>
      <c r="N16" s="49" t="n">
        <v>1</v>
      </c>
      <c r="O16" s="49" t="n">
        <v>21</v>
      </c>
      <c r="P16" s="49" t="n">
        <v>13</v>
      </c>
      <c r="Q16" s="49" t="n">
        <v>0</v>
      </c>
      <c r="R16" s="49" t="n">
        <v>0</v>
      </c>
      <c r="S16" s="50" t="n">
        <v>0.1428571428571428</v>
      </c>
      <c r="T16" s="50" t="n">
        <v>0.07692307692307693</v>
      </c>
      <c r="U16" s="50" t="n">
        <v>0</v>
      </c>
      <c r="V16" s="50" t="n">
        <v>0</v>
      </c>
      <c r="W16" s="51" t="n">
        <v>0</v>
      </c>
      <c r="X16" s="51" t="n">
        <v>0</v>
      </c>
      <c r="Y16" s="51" t="n">
        <v>0</v>
      </c>
      <c r="Z16" s="51" t="n">
        <v>0</v>
      </c>
      <c r="AA16" s="52" t="n">
        <v>0</v>
      </c>
      <c r="AB16" s="52" t="n">
        <v>0</v>
      </c>
      <c r="AC16" s="52" t="n">
        <v>0</v>
      </c>
      <c r="AD16" s="52" t="n">
        <v>0</v>
      </c>
      <c r="AE16" s="52" t="n">
        <v>0</v>
      </c>
      <c r="AF16" s="52" t="n">
        <v>0</v>
      </c>
      <c r="AG16" s="52" t="n">
        <v>0</v>
      </c>
      <c r="AH16" s="52" t="n">
        <v>0</v>
      </c>
      <c r="AI16" s="52" t="n">
        <v>0</v>
      </c>
      <c r="AJ16" s="52" t="n">
        <v>0</v>
      </c>
      <c r="AK16" s="52" t="n">
        <v>0</v>
      </c>
      <c r="AL16" s="52" t="n">
        <v>0</v>
      </c>
      <c r="AM16" s="53" t="n">
        <v>0</v>
      </c>
      <c r="AN16" s="53" t="n">
        <v>0</v>
      </c>
      <c r="AO16" s="53" t="n">
        <v>0</v>
      </c>
      <c r="AP16" s="53" t="n">
        <v>0</v>
      </c>
      <c r="AQ16" s="52" t="n">
        <v>0</v>
      </c>
      <c r="AR16" s="52" t="n">
        <v>0</v>
      </c>
      <c r="AS16" s="52" t="n">
        <v>0</v>
      </c>
      <c r="AT16" s="52" t="n">
        <v>0</v>
      </c>
      <c r="AU16" s="53" t="n">
        <v>0</v>
      </c>
      <c r="AV16" s="53" t="n">
        <v>0</v>
      </c>
      <c r="AW16" s="53" t="n">
        <v>0</v>
      </c>
      <c r="AX16" s="53" t="n">
        <v>0</v>
      </c>
      <c r="AY16" s="52" t="n">
        <v>27.45</v>
      </c>
      <c r="AZ16" s="52" t="n">
        <v>27.45</v>
      </c>
      <c r="BA16" s="52" t="n">
        <v>0</v>
      </c>
      <c r="BB16" s="52" t="n">
        <v>27.45</v>
      </c>
      <c r="BC16" s="51" t="n">
        <v>0</v>
      </c>
      <c r="BD16" s="51" t="n">
        <v>0</v>
      </c>
      <c r="BE16" s="51" t="n">
        <v>0</v>
      </c>
      <c r="BF16" s="51" t="n">
        <v>0</v>
      </c>
    </row>
    <row r="17">
      <c r="A17">
        <f>HYPERLINK("https://www.walmart.com/ip/991591501", "991591501")</f>
        <v/>
      </c>
      <c r="B17" t="inlineStr">
        <is>
          <t>Sun Blocker Sun Hats for Women Summer Beach Flap Hat Large Brim Packable Blue</t>
        </is>
      </c>
      <c r="C17" t="inlineStr">
        <is>
          <t>KC-S9201-BL</t>
        </is>
      </c>
      <c r="D17" t="inlineStr">
        <is>
          <t>Hats</t>
        </is>
      </c>
      <c r="E17" t="inlineStr">
        <is>
          <t>Sun Blocker</t>
        </is>
      </c>
      <c r="F17" t="inlineStr">
        <is>
          <t>Q2-Target,Hats,Batch 1 - TR</t>
        </is>
      </c>
      <c r="G17" s="48" t="n">
        <v>79.95</v>
      </c>
      <c r="H17" s="48" t="n">
        <v>0</v>
      </c>
      <c r="I17" s="48" t="n">
        <v>0</v>
      </c>
      <c r="J17" s="48" t="n">
        <v>0</v>
      </c>
      <c r="K17" s="49" t="n">
        <v>5</v>
      </c>
      <c r="L17" s="49" t="n">
        <v>0</v>
      </c>
      <c r="M17" s="49" t="n">
        <v>0</v>
      </c>
      <c r="N17" s="49" t="n">
        <v>0</v>
      </c>
      <c r="O17" s="49" t="n">
        <v>22</v>
      </c>
      <c r="P17" s="49" t="n">
        <v>12</v>
      </c>
      <c r="Q17" s="49" t="n">
        <v>11</v>
      </c>
      <c r="R17" s="49" t="n">
        <v>10</v>
      </c>
      <c r="S17" s="50" t="n">
        <v>0.2272727272727273</v>
      </c>
      <c r="T17" s="50" t="n">
        <v>0</v>
      </c>
      <c r="U17" s="50" t="n">
        <v>0</v>
      </c>
      <c r="V17" s="50" t="n">
        <v>0</v>
      </c>
      <c r="W17" s="51" t="n">
        <v>0</v>
      </c>
      <c r="X17" s="51" t="n">
        <v>0</v>
      </c>
      <c r="Y17" s="51" t="n">
        <v>0</v>
      </c>
      <c r="Z17" s="51" t="n">
        <v>0</v>
      </c>
      <c r="AA17" s="52" t="n">
        <v>0</v>
      </c>
      <c r="AB17" s="52" t="n">
        <v>0</v>
      </c>
      <c r="AC17" s="52" t="n">
        <v>0</v>
      </c>
      <c r="AD17" s="52" t="n">
        <v>0</v>
      </c>
      <c r="AE17" s="52" t="n">
        <v>0</v>
      </c>
      <c r="AF17" s="52" t="n">
        <v>0</v>
      </c>
      <c r="AG17" s="52" t="n">
        <v>0</v>
      </c>
      <c r="AH17" s="52" t="n">
        <v>0</v>
      </c>
      <c r="AI17" s="52" t="n">
        <v>0</v>
      </c>
      <c r="AJ17" s="52" t="n">
        <v>0</v>
      </c>
      <c r="AK17" s="52" t="n">
        <v>0</v>
      </c>
      <c r="AL17" s="52" t="n">
        <v>0</v>
      </c>
      <c r="AM17" s="53" t="n">
        <v>0</v>
      </c>
      <c r="AN17" s="53" t="n">
        <v>0</v>
      </c>
      <c r="AO17" s="53" t="n">
        <v>0</v>
      </c>
      <c r="AP17" s="53" t="n">
        <v>0</v>
      </c>
      <c r="AQ17" s="52" t="n">
        <v>0</v>
      </c>
      <c r="AR17" s="52" t="n">
        <v>0</v>
      </c>
      <c r="AS17" s="52" t="n">
        <v>0</v>
      </c>
      <c r="AT17" s="52" t="n">
        <v>0</v>
      </c>
      <c r="AU17" s="53" t="n">
        <v>0</v>
      </c>
      <c r="AV17" s="53" t="n">
        <v>0</v>
      </c>
      <c r="AW17" s="53" t="n">
        <v>0</v>
      </c>
      <c r="AX17" s="53" t="n">
        <v>0</v>
      </c>
      <c r="AY17" s="52" t="n">
        <v>15.99</v>
      </c>
      <c r="AZ17" s="52" t="n">
        <v>0</v>
      </c>
      <c r="BA17" s="52" t="n">
        <v>0</v>
      </c>
      <c r="BB17" s="52" t="n">
        <v>0</v>
      </c>
      <c r="BC17" s="51" t="n">
        <v>0</v>
      </c>
      <c r="BD17" s="51" t="n">
        <v>0</v>
      </c>
      <c r="BE17" s="51" t="n">
        <v>0</v>
      </c>
      <c r="BF17" s="51" t="n">
        <v>0</v>
      </c>
    </row>
    <row r="18">
      <c r="A18">
        <f>HYPERLINK("https://www.walmart.com/ip/489010795", "489010795")</f>
        <v/>
      </c>
      <c r="B18" t="inlineStr">
        <is>
          <t>Catalonia Surf Beach Changing Towel With Hood, Super Absorbent Microfiber Swim Robe Poncho for Men and Women, Bath Shower Pool, Black</t>
        </is>
      </c>
      <c r="C18" t="inlineStr">
        <is>
          <t>1CTBR102-BK</t>
        </is>
      </c>
      <c r="D18" t="inlineStr">
        <is>
          <t>Towels &amp; Washcloths</t>
        </is>
      </c>
      <c r="E18" t="inlineStr">
        <is>
          <t>Catalonia</t>
        </is>
      </c>
      <c r="G18" s="48" t="n">
        <v>74.97</v>
      </c>
      <c r="H18" s="48" t="n">
        <v>0</v>
      </c>
      <c r="I18" s="48" t="n">
        <v>0</v>
      </c>
      <c r="J18" s="48" t="n">
        <v>0</v>
      </c>
      <c r="K18" s="49" t="n">
        <v>3</v>
      </c>
      <c r="L18" s="49" t="n">
        <v>0</v>
      </c>
      <c r="M18" s="49" t="n">
        <v>0</v>
      </c>
      <c r="N18" s="49" t="n">
        <v>0</v>
      </c>
      <c r="O18" s="49" t="n">
        <v>0</v>
      </c>
      <c r="P18" s="49" t="n">
        <v>0</v>
      </c>
      <c r="Q18" s="49" t="n">
        <v>0</v>
      </c>
      <c r="R18" s="49" t="n">
        <v>0</v>
      </c>
      <c r="S18" s="50" t="n">
        <v>0</v>
      </c>
      <c r="T18" s="50" t="n">
        <v>0</v>
      </c>
      <c r="U18" s="50" t="n">
        <v>0</v>
      </c>
      <c r="V18" s="50" t="n">
        <v>0</v>
      </c>
      <c r="W18" s="51" t="n">
        <v>0</v>
      </c>
      <c r="X18" s="51" t="n">
        <v>0</v>
      </c>
      <c r="Y18" s="51" t="n">
        <v>0</v>
      </c>
      <c r="Z18" s="51" t="n">
        <v>0</v>
      </c>
      <c r="AA18" s="52" t="n">
        <v>0</v>
      </c>
      <c r="AB18" s="52" t="n">
        <v>0</v>
      </c>
      <c r="AC18" s="52" t="n">
        <v>0</v>
      </c>
      <c r="AD18" s="52" t="n">
        <v>0</v>
      </c>
      <c r="AE18" s="52" t="n">
        <v>0</v>
      </c>
      <c r="AF18" s="52" t="n">
        <v>0</v>
      </c>
      <c r="AG18" s="52" t="n">
        <v>0</v>
      </c>
      <c r="AH18" s="52" t="n">
        <v>0</v>
      </c>
      <c r="AI18" s="52" t="n">
        <v>0</v>
      </c>
      <c r="AJ18" s="52" t="n">
        <v>0</v>
      </c>
      <c r="AK18" s="52" t="n">
        <v>0</v>
      </c>
      <c r="AL18" s="52" t="n">
        <v>0</v>
      </c>
      <c r="AM18" s="53" t="n">
        <v>0</v>
      </c>
      <c r="AN18" s="53" t="n">
        <v>0</v>
      </c>
      <c r="AO18" s="53" t="n">
        <v>0</v>
      </c>
      <c r="AP18" s="53" t="n">
        <v>0</v>
      </c>
      <c r="AQ18" s="52" t="n">
        <v>0</v>
      </c>
      <c r="AR18" s="52" t="n">
        <v>0</v>
      </c>
      <c r="AS18" s="52" t="n">
        <v>0</v>
      </c>
      <c r="AT18" s="52" t="n">
        <v>0</v>
      </c>
      <c r="AU18" s="53" t="n">
        <v>0</v>
      </c>
      <c r="AV18" s="53" t="n">
        <v>0</v>
      </c>
      <c r="AW18" s="53" t="n">
        <v>0</v>
      </c>
      <c r="AX18" s="53" t="n">
        <v>0</v>
      </c>
      <c r="AY18" s="52" t="n">
        <v>24.99</v>
      </c>
      <c r="AZ18" s="52" t="n">
        <v>0</v>
      </c>
      <c r="BA18" s="52" t="n">
        <v>0</v>
      </c>
      <c r="BB18" s="52" t="n">
        <v>0</v>
      </c>
      <c r="BC18" s="51" t="n">
        <v>0</v>
      </c>
      <c r="BD18" s="51" t="n">
        <v>0</v>
      </c>
      <c r="BE18" s="51" t="n">
        <v>0</v>
      </c>
      <c r="BF18" s="51" t="n">
        <v>0</v>
      </c>
    </row>
    <row r="19">
      <c r="A19">
        <f>HYPERLINK("https://www.walmart.com/ip/630170738", "630170738")</f>
        <v/>
      </c>
      <c r="B19" t="inlineStr">
        <is>
          <t>Catalonia Surf Beach Changing Towel With Hood, Super Absorbent Microfiber Swim Robe Poncho for Men Women Bath Shower Pool, Navy</t>
        </is>
      </c>
      <c r="C19" t="inlineStr">
        <is>
          <t>1CTBR102-NY</t>
        </is>
      </c>
      <c r="D19" t="inlineStr">
        <is>
          <t>Towels &amp; Washcloths</t>
        </is>
      </c>
      <c r="E19" t="inlineStr">
        <is>
          <t>Catalonia</t>
        </is>
      </c>
      <c r="G19" s="48" t="n">
        <v>71.97</v>
      </c>
      <c r="H19" s="48" t="n">
        <v>47.98</v>
      </c>
      <c r="I19" s="48" t="n">
        <v>0</v>
      </c>
      <c r="J19" s="48" t="n">
        <v>23.99</v>
      </c>
      <c r="K19" s="49" t="n">
        <v>3</v>
      </c>
      <c r="L19" s="49" t="n">
        <v>2</v>
      </c>
      <c r="M19" s="49" t="n">
        <v>0</v>
      </c>
      <c r="N19" s="49" t="n">
        <v>1</v>
      </c>
      <c r="O19" s="49" t="n">
        <v>2</v>
      </c>
      <c r="P19" s="49" t="n">
        <v>4</v>
      </c>
      <c r="Q19" s="49" t="n">
        <v>1</v>
      </c>
      <c r="R19" s="49" t="n">
        <v>0</v>
      </c>
      <c r="S19" s="50" t="n">
        <v>1.5</v>
      </c>
      <c r="T19" s="50" t="n">
        <v>0.5</v>
      </c>
      <c r="U19" s="50" t="n">
        <v>0</v>
      </c>
      <c r="V19" s="50" t="n">
        <v>0</v>
      </c>
      <c r="W19" s="51" t="n">
        <v>0</v>
      </c>
      <c r="X19" s="51" t="n">
        <v>0</v>
      </c>
      <c r="Y19" s="51" t="n">
        <v>0</v>
      </c>
      <c r="Z19" s="51" t="n">
        <v>0</v>
      </c>
      <c r="AA19" s="52" t="n">
        <v>0</v>
      </c>
      <c r="AB19" s="52" t="n">
        <v>0</v>
      </c>
      <c r="AC19" s="52" t="n">
        <v>0</v>
      </c>
      <c r="AD19" s="52" t="n">
        <v>0</v>
      </c>
      <c r="AE19" s="52" t="n">
        <v>0</v>
      </c>
      <c r="AF19" s="52" t="n">
        <v>0</v>
      </c>
      <c r="AG19" s="52" t="n">
        <v>0</v>
      </c>
      <c r="AH19" s="52" t="n">
        <v>0</v>
      </c>
      <c r="AI19" s="52" t="n">
        <v>0</v>
      </c>
      <c r="AJ19" s="52" t="n">
        <v>0</v>
      </c>
      <c r="AK19" s="52" t="n">
        <v>0</v>
      </c>
      <c r="AL19" s="52" t="n">
        <v>0</v>
      </c>
      <c r="AM19" s="53" t="n">
        <v>0</v>
      </c>
      <c r="AN19" s="53" t="n">
        <v>0</v>
      </c>
      <c r="AO19" s="53" t="n">
        <v>0</v>
      </c>
      <c r="AP19" s="53" t="n">
        <v>0</v>
      </c>
      <c r="AQ19" s="52" t="n">
        <v>0</v>
      </c>
      <c r="AR19" s="52" t="n">
        <v>0</v>
      </c>
      <c r="AS19" s="52" t="n">
        <v>0</v>
      </c>
      <c r="AT19" s="52" t="n">
        <v>0</v>
      </c>
      <c r="AU19" s="53" t="n">
        <v>0</v>
      </c>
      <c r="AV19" s="53" t="n">
        <v>0</v>
      </c>
      <c r="AW19" s="53" t="n">
        <v>0</v>
      </c>
      <c r="AX19" s="53" t="n">
        <v>0</v>
      </c>
      <c r="AY19" s="52" t="n">
        <v>23.99</v>
      </c>
      <c r="AZ19" s="52" t="n">
        <v>23.99</v>
      </c>
      <c r="BA19" s="52" t="n">
        <v>0</v>
      </c>
      <c r="BB19" s="52" t="n">
        <v>23.99</v>
      </c>
      <c r="BC19" s="51" t="n">
        <v>0</v>
      </c>
      <c r="BD19" s="51" t="n">
        <v>0</v>
      </c>
      <c r="BE19" s="51" t="n">
        <v>0</v>
      </c>
      <c r="BF19" s="51" t="n">
        <v>0</v>
      </c>
    </row>
    <row r="20">
      <c r="A20">
        <f>HYPERLINK("https://www.walmart.com/ip/1324704566", "1324704566")</f>
        <v/>
      </c>
      <c r="B20" t="inlineStr">
        <is>
          <t>Tirrinia Wearable Blanket with Feet Pockets for Women and Men, Fleece Blanket with Zippered Front Pocket, Super Soft Lightweight Car Pillow, One Size Fits All, Dark blue</t>
        </is>
      </c>
      <c r="C20" t="inlineStr">
        <is>
          <t>1TRTB102DBL</t>
        </is>
      </c>
      <c r="D20" t="inlineStr">
        <is>
          <t>Throws</t>
        </is>
      </c>
      <c r="E20" t="inlineStr">
        <is>
          <t>Tirrinia</t>
        </is>
      </c>
      <c r="G20" s="48" t="n">
        <v>69.95999999999999</v>
      </c>
      <c r="H20" s="48" t="n">
        <v>33.98</v>
      </c>
      <c r="I20" s="48" t="n">
        <v>0</v>
      </c>
      <c r="J20" s="48" t="n">
        <v>-16.99</v>
      </c>
      <c r="K20" s="49" t="n">
        <v>4</v>
      </c>
      <c r="L20" s="49" t="n">
        <v>2</v>
      </c>
      <c r="M20" s="49" t="n">
        <v>0</v>
      </c>
      <c r="N20" s="49" t="n">
        <v>-1</v>
      </c>
      <c r="O20" s="49" t="n">
        <v>7</v>
      </c>
      <c r="P20" s="49" t="n">
        <v>5</v>
      </c>
      <c r="Q20" s="49" t="n">
        <v>0</v>
      </c>
      <c r="R20" s="49" t="n">
        <v>0</v>
      </c>
      <c r="S20" s="50" t="n">
        <v>0.5714285714285714</v>
      </c>
      <c r="T20" s="50" t="n">
        <v>0.4</v>
      </c>
      <c r="U20" s="50" t="n">
        <v>0</v>
      </c>
      <c r="V20" s="50" t="n">
        <v>0</v>
      </c>
      <c r="W20" s="51" t="n">
        <v>0</v>
      </c>
      <c r="X20" s="51" t="n">
        <v>0</v>
      </c>
      <c r="Y20" s="51" t="n">
        <v>0</v>
      </c>
      <c r="Z20" s="51" t="n">
        <v>0</v>
      </c>
      <c r="AA20" s="52" t="n">
        <v>0</v>
      </c>
      <c r="AB20" s="52" t="n">
        <v>0</v>
      </c>
      <c r="AC20" s="52" t="n">
        <v>0</v>
      </c>
      <c r="AD20" s="52" t="n">
        <v>0</v>
      </c>
      <c r="AE20" s="52" t="n">
        <v>0</v>
      </c>
      <c r="AF20" s="52" t="n">
        <v>0</v>
      </c>
      <c r="AG20" s="52" t="n">
        <v>0</v>
      </c>
      <c r="AH20" s="52" t="n">
        <v>0</v>
      </c>
      <c r="AI20" s="52" t="n">
        <v>0</v>
      </c>
      <c r="AJ20" s="52" t="n">
        <v>0</v>
      </c>
      <c r="AK20" s="52" t="n">
        <v>0</v>
      </c>
      <c r="AL20" s="52" t="n">
        <v>0</v>
      </c>
      <c r="AM20" s="53" t="n">
        <v>0</v>
      </c>
      <c r="AN20" s="53" t="n">
        <v>0</v>
      </c>
      <c r="AO20" s="53" t="n">
        <v>0</v>
      </c>
      <c r="AP20" s="53" t="n">
        <v>0</v>
      </c>
      <c r="AQ20" s="52" t="n">
        <v>0</v>
      </c>
      <c r="AR20" s="52" t="n">
        <v>0</v>
      </c>
      <c r="AS20" s="52" t="n">
        <v>0</v>
      </c>
      <c r="AT20" s="52" t="n">
        <v>0</v>
      </c>
      <c r="AU20" s="53" t="n">
        <v>0</v>
      </c>
      <c r="AV20" s="53" t="n">
        <v>0</v>
      </c>
      <c r="AW20" s="53" t="n">
        <v>0</v>
      </c>
      <c r="AX20" s="53" t="n">
        <v>0</v>
      </c>
      <c r="AY20" s="52" t="n">
        <v>17.49</v>
      </c>
      <c r="AZ20" s="52" t="n">
        <v>16.99</v>
      </c>
      <c r="BA20" s="52" t="n">
        <v>0</v>
      </c>
      <c r="BB20" s="52" t="n">
        <v>0</v>
      </c>
      <c r="BC20" s="51" t="n">
        <v>0</v>
      </c>
      <c r="BD20" s="51" t="n">
        <v>0</v>
      </c>
      <c r="BE20" s="51" t="n">
        <v>0</v>
      </c>
      <c r="BF20" s="51" t="n">
        <v>0</v>
      </c>
    </row>
    <row r="21">
      <c r="A21">
        <f>HYPERLINK("https://www.walmart.com/ip/537572511", "537572511")</f>
        <v/>
      </c>
      <c r="B21" t="inlineStr">
        <is>
          <t>Catalonia Surf Beach Changing Towel With Hood, Super Absorbent Microfiber Swim Robe Poncho for Men Women Bath Shower Pool,Gray</t>
        </is>
      </c>
      <c r="C21" t="inlineStr">
        <is>
          <t>1CTBR102-GY</t>
        </is>
      </c>
      <c r="D21" t="inlineStr">
        <is>
          <t>Towels &amp; Washcloths</t>
        </is>
      </c>
      <c r="E21" t="inlineStr">
        <is>
          <t>Catalonia</t>
        </is>
      </c>
      <c r="G21" s="48" t="n">
        <v>68.97</v>
      </c>
      <c r="H21" s="48" t="n">
        <v>22.99</v>
      </c>
      <c r="I21" s="48" t="n">
        <v>0</v>
      </c>
      <c r="J21" s="48" t="n">
        <v>74.52</v>
      </c>
      <c r="K21" s="49" t="n">
        <v>3</v>
      </c>
      <c r="L21" s="49" t="n">
        <v>1</v>
      </c>
      <c r="M21" s="49" t="n">
        <v>0</v>
      </c>
      <c r="N21" s="49" t="n">
        <v>3</v>
      </c>
      <c r="O21" s="49" t="n">
        <v>5</v>
      </c>
      <c r="P21" s="49" t="n">
        <v>6</v>
      </c>
      <c r="Q21" s="49" t="n">
        <v>4</v>
      </c>
      <c r="R21" s="49" t="n">
        <v>7</v>
      </c>
      <c r="S21" s="50" t="n">
        <v>0.6</v>
      </c>
      <c r="T21" s="50" t="n">
        <v>0.1666666666666667</v>
      </c>
      <c r="U21" s="50" t="n">
        <v>0</v>
      </c>
      <c r="V21" s="50" t="n">
        <v>0.4285714285714285</v>
      </c>
      <c r="W21" s="51" t="n">
        <v>11</v>
      </c>
      <c r="X21" s="51" t="n">
        <v>28</v>
      </c>
      <c r="Y21" s="51" t="n">
        <v>23</v>
      </c>
      <c r="Z21" s="51" t="n">
        <v>27</v>
      </c>
      <c r="AA21" s="52" t="n">
        <v>6.199999999999999</v>
      </c>
      <c r="AB21" s="52" t="n">
        <v>17.22</v>
      </c>
      <c r="AC21" s="52" t="n">
        <v>11.02</v>
      </c>
      <c r="AD21" s="52" t="n">
        <v>15.12</v>
      </c>
      <c r="AE21" s="52" t="n">
        <v>0</v>
      </c>
      <c r="AF21" s="52" t="n">
        <v>309.87</v>
      </c>
      <c r="AG21" s="52" t="n">
        <v>23.8</v>
      </c>
      <c r="AH21" s="52" t="n">
        <v>92.95999999999999</v>
      </c>
      <c r="AI21" s="52" t="n">
        <v>0</v>
      </c>
      <c r="AJ21" s="52" t="n">
        <v>17.99</v>
      </c>
      <c r="AK21" s="52" t="n">
        <v>2.16</v>
      </c>
      <c r="AL21" s="52" t="n">
        <v>6.15</v>
      </c>
      <c r="AM21" s="53" t="n">
        <v>0.0068</v>
      </c>
      <c r="AN21" s="53" t="n">
        <v>0.0112</v>
      </c>
      <c r="AO21" s="53" t="n">
        <v>0.008699999999999999</v>
      </c>
      <c r="AP21" s="53" t="n">
        <v>0.0113</v>
      </c>
      <c r="AQ21" s="52" t="n">
        <v>0.5636363636363636</v>
      </c>
      <c r="AR21" s="52" t="n">
        <v>0.615</v>
      </c>
      <c r="AS21" s="52" t="n">
        <v>0.4791304347826087</v>
      </c>
      <c r="AT21" s="52" t="n">
        <v>0.5600000000000001</v>
      </c>
      <c r="AU21" s="53" t="n">
        <v>0.0898941568798028</v>
      </c>
      <c r="AV21" s="53" t="n">
        <v>0.7490213136146151</v>
      </c>
      <c r="AW21" s="53" t="n">
        <v>0</v>
      </c>
      <c r="AX21" s="53" t="n">
        <v>0.2028985507246377</v>
      </c>
      <c r="AY21" s="52" t="n">
        <v>22.99</v>
      </c>
      <c r="AZ21" s="52" t="n">
        <v>22.99</v>
      </c>
      <c r="BA21" s="52" t="n">
        <v>0</v>
      </c>
      <c r="BB21" s="52" t="n">
        <v>24.84</v>
      </c>
      <c r="BC21" s="51" t="n">
        <v>1610</v>
      </c>
      <c r="BD21" s="51" t="n">
        <v>2501</v>
      </c>
      <c r="BE21" s="51" t="n">
        <v>2643</v>
      </c>
      <c r="BF21" s="51" t="n">
        <v>2394</v>
      </c>
    </row>
    <row r="22">
      <c r="A22">
        <f>HYPERLINK("https://www.walmart.com/ip/102593448", "102593448")</f>
        <v/>
      </c>
      <c r="B22" t="inlineStr">
        <is>
          <t>Tirrinia Insulated Lunch Bags for Women and Men, Leakproof Reusable Meal Prep Bento Box Insulated Cooler Bag with Dual Compartment, Black, 13L/ 22 Can</t>
        </is>
      </c>
      <c r="C22" t="inlineStr">
        <is>
          <t>1KTLB410BK</t>
        </is>
      </c>
      <c r="D22" t="inlineStr">
        <is>
          <t>Reusable Lunch Bags &amp; Boxes</t>
        </is>
      </c>
      <c r="E22" t="inlineStr">
        <is>
          <t>Tirrinia</t>
        </is>
      </c>
      <c r="F22" t="inlineStr">
        <is>
          <t>Q2-Target,Brand Camp VD,Lunch Bag,WFS,Lunch Bags,Wal-Exl-Price,WFS Item</t>
        </is>
      </c>
      <c r="G22" s="48" t="n">
        <v>66.95999999999999</v>
      </c>
      <c r="H22" s="48" t="n">
        <v>124.61</v>
      </c>
      <c r="I22" s="48" t="n">
        <v>79.95999999999999</v>
      </c>
      <c r="J22" s="48" t="n">
        <v>113.93</v>
      </c>
      <c r="K22" s="49" t="n">
        <v>3</v>
      </c>
      <c r="L22" s="49" t="n">
        <v>6</v>
      </c>
      <c r="M22" s="49" t="n">
        <v>4</v>
      </c>
      <c r="N22" s="49" t="n">
        <v>5</v>
      </c>
      <c r="O22" s="49" t="n">
        <v>50</v>
      </c>
      <c r="P22" s="49" t="n">
        <v>66</v>
      </c>
      <c r="Q22" s="49" t="n">
        <v>57</v>
      </c>
      <c r="R22" s="49" t="n">
        <v>59</v>
      </c>
      <c r="S22" s="50" t="n">
        <v>0.06</v>
      </c>
      <c r="T22" s="50" t="n">
        <v>0.09090909090909091</v>
      </c>
      <c r="U22" s="50" t="n">
        <v>0.07017543859649122</v>
      </c>
      <c r="V22" s="50" t="n">
        <v>0.0847457627118644</v>
      </c>
      <c r="W22" s="51" t="n">
        <v>0</v>
      </c>
      <c r="X22" s="51" t="n">
        <v>0</v>
      </c>
      <c r="Y22" s="51" t="n">
        <v>0</v>
      </c>
      <c r="Z22" s="51" t="n">
        <v>0</v>
      </c>
      <c r="AA22" s="52" t="n">
        <v>0</v>
      </c>
      <c r="AB22" s="52" t="n">
        <v>0</v>
      </c>
      <c r="AC22" s="52" t="n">
        <v>0</v>
      </c>
      <c r="AD22" s="52" t="n">
        <v>0</v>
      </c>
      <c r="AE22" s="52" t="n">
        <v>0</v>
      </c>
      <c r="AF22" s="52" t="n">
        <v>0</v>
      </c>
      <c r="AG22" s="52" t="n">
        <v>0</v>
      </c>
      <c r="AH22" s="52" t="n">
        <v>0</v>
      </c>
      <c r="AI22" s="52" t="n">
        <v>0</v>
      </c>
      <c r="AJ22" s="52" t="n">
        <v>0</v>
      </c>
      <c r="AK22" s="52" t="n">
        <v>0</v>
      </c>
      <c r="AL22" s="52" t="n">
        <v>0</v>
      </c>
      <c r="AM22" s="53" t="n">
        <v>0</v>
      </c>
      <c r="AN22" s="53" t="n">
        <v>0</v>
      </c>
      <c r="AO22" s="53" t="n">
        <v>0</v>
      </c>
      <c r="AP22" s="53" t="n">
        <v>0</v>
      </c>
      <c r="AQ22" s="52" t="n">
        <v>0</v>
      </c>
      <c r="AR22" s="52" t="n">
        <v>0</v>
      </c>
      <c r="AS22" s="52" t="n">
        <v>0</v>
      </c>
      <c r="AT22" s="52" t="n">
        <v>0</v>
      </c>
      <c r="AU22" s="53" t="n">
        <v>0</v>
      </c>
      <c r="AV22" s="53" t="n">
        <v>0</v>
      </c>
      <c r="AW22" s="53" t="n">
        <v>0</v>
      </c>
      <c r="AX22" s="53" t="n">
        <v>0</v>
      </c>
      <c r="AY22" s="52" t="n">
        <v>22.32</v>
      </c>
      <c r="AZ22" s="52" t="n">
        <v>20.76833333333333</v>
      </c>
      <c r="BA22" s="52" t="n">
        <v>19.99</v>
      </c>
      <c r="BB22" s="52" t="n">
        <v>22.786</v>
      </c>
      <c r="BC22" s="51" t="n">
        <v>0</v>
      </c>
      <c r="BD22" s="51" t="n">
        <v>0</v>
      </c>
      <c r="BE22" s="51" t="n">
        <v>0</v>
      </c>
      <c r="BF22" s="51" t="n">
        <v>0</v>
      </c>
    </row>
    <row r="23">
      <c r="A23">
        <f>HYPERLINK("https://www.walmart.com/ip/5276644453", "5276644453")</f>
        <v/>
      </c>
      <c r="B23" t="inlineStr">
        <is>
          <t>Catalonia Waterproof Blanket for Bed, Reversible Baby Pet Pee Proof Dog Blanket, Large Couch Sofa Cover Furniture Boat Mattress Protector, Grey, King Size 96" x 102".</t>
        </is>
      </c>
      <c r="C23" t="inlineStr">
        <is>
          <t>1CTBW20119LGDG</t>
        </is>
      </c>
      <c r="D23" t="inlineStr">
        <is>
          <t>Throws</t>
        </is>
      </c>
      <c r="E23" t="inlineStr">
        <is>
          <t>Catalonia</t>
        </is>
      </c>
      <c r="F23" t="inlineStr">
        <is>
          <t>Q2-Target,High AUR Items</t>
        </is>
      </c>
      <c r="G23" s="48" t="n">
        <v>65.98999999999999</v>
      </c>
      <c r="H23" s="48" t="n">
        <v>131.98</v>
      </c>
      <c r="I23" s="48" t="n">
        <v>0</v>
      </c>
      <c r="J23" s="48" t="n">
        <v>0</v>
      </c>
      <c r="K23" s="49" t="n">
        <v>1</v>
      </c>
      <c r="L23" s="49" t="n">
        <v>2</v>
      </c>
      <c r="M23" s="49" t="n">
        <v>0</v>
      </c>
      <c r="N23" s="49" t="n">
        <v>0</v>
      </c>
      <c r="O23" s="49" t="n">
        <v>0</v>
      </c>
      <c r="P23" s="49" t="n">
        <v>0</v>
      </c>
      <c r="Q23" s="49" t="n">
        <v>0</v>
      </c>
      <c r="R23" s="49" t="n">
        <v>0</v>
      </c>
      <c r="S23" s="50" t="n">
        <v>0</v>
      </c>
      <c r="T23" s="50" t="n">
        <v>0</v>
      </c>
      <c r="U23" s="50" t="n">
        <v>0</v>
      </c>
      <c r="V23" s="50" t="n">
        <v>0</v>
      </c>
      <c r="W23" s="51" t="n">
        <v>3</v>
      </c>
      <c r="X23" s="51" t="n">
        <v>2</v>
      </c>
      <c r="Y23" s="51" t="n">
        <v>0</v>
      </c>
      <c r="Z23" s="51" t="n">
        <v>1</v>
      </c>
      <c r="AA23" s="52" t="n">
        <v>0.8200000000000001</v>
      </c>
      <c r="AB23" s="52" t="n">
        <v>0.62</v>
      </c>
      <c r="AC23" s="52" t="n">
        <v>0</v>
      </c>
      <c r="AD23" s="52" t="n">
        <v>0.22</v>
      </c>
      <c r="AE23" s="52" t="n">
        <v>0</v>
      </c>
      <c r="AF23" s="52" t="n">
        <v>0</v>
      </c>
      <c r="AG23" s="52" t="n">
        <v>0</v>
      </c>
      <c r="AH23" s="52" t="n">
        <v>0</v>
      </c>
      <c r="AI23" s="52" t="n">
        <v>0</v>
      </c>
      <c r="AJ23" s="52" t="n">
        <v>0</v>
      </c>
      <c r="AK23" s="52" t="n">
        <v>0</v>
      </c>
      <c r="AL23" s="52" t="n">
        <v>0</v>
      </c>
      <c r="AM23" s="53" t="n">
        <v>0.0021</v>
      </c>
      <c r="AN23" s="53" t="n">
        <v>0.0007</v>
      </c>
      <c r="AO23" s="53" t="n">
        <v>0</v>
      </c>
      <c r="AP23" s="53" t="n">
        <v>0.0022</v>
      </c>
      <c r="AQ23" s="52" t="n">
        <v>0.2733333333333334</v>
      </c>
      <c r="AR23" s="52" t="n">
        <v>0.31</v>
      </c>
      <c r="AS23" s="52" t="n">
        <v>0</v>
      </c>
      <c r="AT23" s="52" t="n">
        <v>0.22</v>
      </c>
      <c r="AU23" s="53" t="n">
        <v>0.01242612517048038</v>
      </c>
      <c r="AV23" s="53" t="n">
        <v>0.004697681466888923</v>
      </c>
      <c r="AW23" s="53" t="n">
        <v>0</v>
      </c>
      <c r="AX23" s="53" t="n">
        <v>0</v>
      </c>
      <c r="AY23" s="52" t="n">
        <v>65.98999999999999</v>
      </c>
      <c r="AZ23" s="52" t="n">
        <v>65.98999999999999</v>
      </c>
      <c r="BA23" s="52" t="n">
        <v>0</v>
      </c>
      <c r="BB23" s="52" t="n">
        <v>0</v>
      </c>
      <c r="BC23" s="51" t="n">
        <v>1442</v>
      </c>
      <c r="BD23" s="51" t="n">
        <v>2833</v>
      </c>
      <c r="BE23" s="51" t="n">
        <v>0</v>
      </c>
      <c r="BF23" s="51" t="n">
        <v>455</v>
      </c>
    </row>
    <row r="24">
      <c r="A24">
        <f>HYPERLINK("https://www.walmart.com/ip/983813650", "983813650")</f>
        <v/>
      </c>
      <c r="B24" t="inlineStr">
        <is>
          <t>Sun Blocker Unisex Travel Sun Hat UPF 50+ Female Large Brim Beach Neck Flap Hat for Camping Gardening Travel, Tan</t>
        </is>
      </c>
      <c r="C24" t="inlineStr">
        <is>
          <t>KC-S9201-TN</t>
        </is>
      </c>
      <c r="D24" t="inlineStr">
        <is>
          <t>Hats</t>
        </is>
      </c>
      <c r="E24" t="inlineStr">
        <is>
          <t>Sun Blocker</t>
        </is>
      </c>
      <c r="F24" t="inlineStr">
        <is>
          <t>Q2-Target,Batch 1 - TR</t>
        </is>
      </c>
      <c r="G24" s="48" t="n">
        <v>63.96</v>
      </c>
      <c r="H24" s="48" t="n">
        <v>15.99</v>
      </c>
      <c r="I24" s="48" t="n">
        <v>22.98</v>
      </c>
      <c r="J24" s="48" t="n">
        <v>0</v>
      </c>
      <c r="K24" s="49" t="n">
        <v>4</v>
      </c>
      <c r="L24" s="49" t="n">
        <v>1</v>
      </c>
      <c r="M24" s="49" t="n">
        <v>1</v>
      </c>
      <c r="N24" s="49" t="n">
        <v>0</v>
      </c>
      <c r="O24" s="49" t="n">
        <v>12</v>
      </c>
      <c r="P24" s="49" t="n">
        <v>5</v>
      </c>
      <c r="Q24" s="49" t="n">
        <v>6</v>
      </c>
      <c r="R24" s="49" t="n">
        <v>6</v>
      </c>
      <c r="S24" s="50" t="n">
        <v>0.3333333333333333</v>
      </c>
      <c r="T24" s="50" t="n">
        <v>0.2</v>
      </c>
      <c r="U24" s="50" t="n">
        <v>0.1666666666666667</v>
      </c>
      <c r="V24" s="50" t="n">
        <v>0</v>
      </c>
      <c r="W24" s="51" t="n">
        <v>0</v>
      </c>
      <c r="X24" s="51" t="n">
        <v>0</v>
      </c>
      <c r="Y24" s="51" t="n">
        <v>0</v>
      </c>
      <c r="Z24" s="51" t="n">
        <v>0</v>
      </c>
      <c r="AA24" s="52" t="n">
        <v>0</v>
      </c>
      <c r="AB24" s="52" t="n">
        <v>0</v>
      </c>
      <c r="AC24" s="52" t="n">
        <v>0</v>
      </c>
      <c r="AD24" s="52" t="n">
        <v>0</v>
      </c>
      <c r="AE24" s="52" t="n">
        <v>0</v>
      </c>
      <c r="AF24" s="52" t="n">
        <v>0</v>
      </c>
      <c r="AG24" s="52" t="n">
        <v>0</v>
      </c>
      <c r="AH24" s="52" t="n">
        <v>0</v>
      </c>
      <c r="AI24" s="52" t="n">
        <v>0</v>
      </c>
      <c r="AJ24" s="52" t="n">
        <v>0</v>
      </c>
      <c r="AK24" s="52" t="n">
        <v>0</v>
      </c>
      <c r="AL24" s="52" t="n">
        <v>0</v>
      </c>
      <c r="AM24" s="53" t="n">
        <v>0</v>
      </c>
      <c r="AN24" s="53" t="n">
        <v>0</v>
      </c>
      <c r="AO24" s="53" t="n">
        <v>0</v>
      </c>
      <c r="AP24" s="53" t="n">
        <v>0</v>
      </c>
      <c r="AQ24" s="52" t="n">
        <v>0</v>
      </c>
      <c r="AR24" s="52" t="n">
        <v>0</v>
      </c>
      <c r="AS24" s="52" t="n">
        <v>0</v>
      </c>
      <c r="AT24" s="52" t="n">
        <v>0</v>
      </c>
      <c r="AU24" s="53" t="n">
        <v>0</v>
      </c>
      <c r="AV24" s="53" t="n">
        <v>0</v>
      </c>
      <c r="AW24" s="53" t="n">
        <v>0</v>
      </c>
      <c r="AX24" s="53" t="n">
        <v>0</v>
      </c>
      <c r="AY24" s="52" t="n">
        <v>15.99</v>
      </c>
      <c r="AZ24" s="52" t="n">
        <v>15.99</v>
      </c>
      <c r="BA24" s="52" t="n">
        <v>22.98</v>
      </c>
      <c r="BB24" s="52" t="n">
        <v>0</v>
      </c>
      <c r="BC24" s="51" t="n">
        <v>0</v>
      </c>
      <c r="BD24" s="51" t="n">
        <v>0</v>
      </c>
      <c r="BE24" s="51" t="n">
        <v>0</v>
      </c>
      <c r="BF24" s="51" t="n">
        <v>0</v>
      </c>
    </row>
    <row r="25">
      <c r="A25">
        <f>HYPERLINK("https://www.walmart.com/ip/607791061", "607791061")</f>
        <v/>
      </c>
      <c r="B25" t="inlineStr">
        <is>
          <t>Solaris Sun Hat for Women, Wide Brim Summer Beach Hat with Neck Flap, UPF 50+ Fishing Hat for Hiking, Gray</t>
        </is>
      </c>
      <c r="C25" t="inlineStr">
        <is>
          <t>KC-S9201-GY</t>
        </is>
      </c>
      <c r="D25" t="inlineStr">
        <is>
          <t>Hats</t>
        </is>
      </c>
      <c r="E25" t="inlineStr">
        <is>
          <t>Sun Blocker</t>
        </is>
      </c>
      <c r="F25" t="inlineStr">
        <is>
          <t>Q2-Target,Hats,Batch 1 - TR</t>
        </is>
      </c>
      <c r="G25" s="48" t="n">
        <v>63.96</v>
      </c>
      <c r="H25" s="48" t="n">
        <v>47.97</v>
      </c>
      <c r="I25" s="48" t="n">
        <v>47.97</v>
      </c>
      <c r="J25" s="48" t="n">
        <v>47.97</v>
      </c>
      <c r="K25" s="49" t="n">
        <v>4</v>
      </c>
      <c r="L25" s="49" t="n">
        <v>3</v>
      </c>
      <c r="M25" s="49" t="n">
        <v>3</v>
      </c>
      <c r="N25" s="49" t="n">
        <v>3</v>
      </c>
      <c r="O25" s="49" t="n">
        <v>143</v>
      </c>
      <c r="P25" s="49" t="n">
        <v>114</v>
      </c>
      <c r="Q25" s="49" t="n">
        <v>116</v>
      </c>
      <c r="R25" s="49" t="n">
        <v>72</v>
      </c>
      <c r="S25" s="50" t="n">
        <v>0.02797202797202797</v>
      </c>
      <c r="T25" s="50" t="n">
        <v>0.02631578947368421</v>
      </c>
      <c r="U25" s="50" t="n">
        <v>0.02586206896551724</v>
      </c>
      <c r="V25" s="50" t="n">
        <v>0.04166666666666666</v>
      </c>
      <c r="W25" s="51" t="n">
        <v>0</v>
      </c>
      <c r="X25" s="51" t="n">
        <v>0</v>
      </c>
      <c r="Y25" s="51" t="n">
        <v>0</v>
      </c>
      <c r="Z25" s="51" t="n">
        <v>0</v>
      </c>
      <c r="AA25" s="52" t="n">
        <v>0</v>
      </c>
      <c r="AB25" s="52" t="n">
        <v>0</v>
      </c>
      <c r="AC25" s="52" t="n">
        <v>0</v>
      </c>
      <c r="AD25" s="52" t="n">
        <v>0</v>
      </c>
      <c r="AE25" s="52" t="n">
        <v>0</v>
      </c>
      <c r="AF25" s="52" t="n">
        <v>0</v>
      </c>
      <c r="AG25" s="52" t="n">
        <v>0</v>
      </c>
      <c r="AH25" s="52" t="n">
        <v>0</v>
      </c>
      <c r="AI25" s="52" t="n">
        <v>0</v>
      </c>
      <c r="AJ25" s="52" t="n">
        <v>0</v>
      </c>
      <c r="AK25" s="52" t="n">
        <v>0</v>
      </c>
      <c r="AL25" s="52" t="n">
        <v>0</v>
      </c>
      <c r="AM25" s="53" t="n">
        <v>0</v>
      </c>
      <c r="AN25" s="53" t="n">
        <v>0</v>
      </c>
      <c r="AO25" s="53" t="n">
        <v>0</v>
      </c>
      <c r="AP25" s="53" t="n">
        <v>0</v>
      </c>
      <c r="AQ25" s="52" t="n">
        <v>0</v>
      </c>
      <c r="AR25" s="52" t="n">
        <v>0</v>
      </c>
      <c r="AS25" s="52" t="n">
        <v>0</v>
      </c>
      <c r="AT25" s="52" t="n">
        <v>0</v>
      </c>
      <c r="AU25" s="53" t="n">
        <v>0</v>
      </c>
      <c r="AV25" s="53" t="n">
        <v>0</v>
      </c>
      <c r="AW25" s="53" t="n">
        <v>0</v>
      </c>
      <c r="AX25" s="53" t="n">
        <v>0</v>
      </c>
      <c r="AY25" s="52" t="n">
        <v>15.99</v>
      </c>
      <c r="AZ25" s="52" t="n">
        <v>15.99</v>
      </c>
      <c r="BA25" s="52" t="n">
        <v>15.99</v>
      </c>
      <c r="BB25" s="52" t="n">
        <v>15.99</v>
      </c>
      <c r="BC25" s="51" t="n">
        <v>0</v>
      </c>
      <c r="BD25" s="51" t="n">
        <v>0</v>
      </c>
      <c r="BE25" s="51" t="n">
        <v>0</v>
      </c>
      <c r="BF25" s="51" t="n">
        <v>0</v>
      </c>
    </row>
    <row r="26">
      <c r="A26">
        <f>HYPERLINK("https://www.walmart.com/ip/942219918", "942219918")</f>
        <v/>
      </c>
      <c r="B26" t="inlineStr">
        <is>
          <t>Catalonia Flyingstar Mermaid Tail Blanket, Soft Flannel Fleece Blanket, All Seasons Sleeping Blanket for Kids, Rainbow Ombre Fish Scale Design Snuggle Blanket, 61" x 19"</t>
        </is>
      </c>
      <c r="C26" t="inlineStr">
        <is>
          <t>1WMMM500MUL</t>
        </is>
      </c>
      <c r="D26" t="inlineStr">
        <is>
          <t>Baby Blankets</t>
        </is>
      </c>
      <c r="E26" t="inlineStr">
        <is>
          <t>Flyingstar</t>
        </is>
      </c>
      <c r="F26" t="inlineStr">
        <is>
          <t>Baby days,Hero 5 Holidays,WFS,SEM,WFS Item</t>
        </is>
      </c>
      <c r="G26" s="48" t="n">
        <v>61.39</v>
      </c>
      <c r="H26" s="48" t="n">
        <v>18.99</v>
      </c>
      <c r="I26" s="48" t="n">
        <v>63.96</v>
      </c>
      <c r="J26" s="48" t="n">
        <v>18.99</v>
      </c>
      <c r="K26" s="49" t="n">
        <v>3</v>
      </c>
      <c r="L26" s="49" t="n">
        <v>1</v>
      </c>
      <c r="M26" s="49" t="n">
        <v>3</v>
      </c>
      <c r="N26" s="49" t="n">
        <v>1</v>
      </c>
      <c r="O26" s="49" t="n">
        <v>7</v>
      </c>
      <c r="P26" s="49" t="n">
        <v>7</v>
      </c>
      <c r="Q26" s="49" t="n">
        <v>7</v>
      </c>
      <c r="R26" s="49" t="n">
        <v>6</v>
      </c>
      <c r="S26" s="50" t="n">
        <v>0.4285714285714285</v>
      </c>
      <c r="T26" s="50" t="n">
        <v>0.1428571428571428</v>
      </c>
      <c r="U26" s="50" t="n">
        <v>0.4285714285714285</v>
      </c>
      <c r="V26" s="50" t="n">
        <v>0.1666666666666667</v>
      </c>
      <c r="W26" s="51" t="n">
        <v>24</v>
      </c>
      <c r="X26" s="51" t="n">
        <v>30</v>
      </c>
      <c r="Y26" s="51" t="n">
        <v>27</v>
      </c>
      <c r="Z26" s="51" t="n">
        <v>14</v>
      </c>
      <c r="AA26" s="52" t="n">
        <v>8.91</v>
      </c>
      <c r="AB26" s="52" t="n">
        <v>11.92</v>
      </c>
      <c r="AC26" s="52" t="n">
        <v>11.99</v>
      </c>
      <c r="AD26" s="52" t="n">
        <v>6.15</v>
      </c>
      <c r="AE26" s="52" t="n">
        <v>37.98</v>
      </c>
      <c r="AF26" s="52" t="n">
        <v>37.98</v>
      </c>
      <c r="AG26" s="52" t="n">
        <v>18.99</v>
      </c>
      <c r="AH26" s="52" t="n">
        <v>56.97</v>
      </c>
      <c r="AI26" s="52" t="n">
        <v>4.26</v>
      </c>
      <c r="AJ26" s="52" t="n">
        <v>3.19</v>
      </c>
      <c r="AK26" s="52" t="n">
        <v>1.58</v>
      </c>
      <c r="AL26" s="52" t="n">
        <v>9.26</v>
      </c>
      <c r="AM26" s="53" t="n">
        <v>0.0054</v>
      </c>
      <c r="AN26" s="53" t="n">
        <v>0.0054</v>
      </c>
      <c r="AO26" s="53" t="n">
        <v>0.0061</v>
      </c>
      <c r="AP26" s="53" t="n">
        <v>0.004</v>
      </c>
      <c r="AQ26" s="52" t="n">
        <v>0.37125</v>
      </c>
      <c r="AR26" s="52" t="n">
        <v>0.3973333333333334</v>
      </c>
      <c r="AS26" s="52" t="n">
        <v>0.4440740740740741</v>
      </c>
      <c r="AT26" s="52" t="n">
        <v>0.4392857142857143</v>
      </c>
      <c r="AU26" s="53" t="n">
        <v>0.1451376445675192</v>
      </c>
      <c r="AV26" s="53" t="n">
        <v>0.6276987888362298</v>
      </c>
      <c r="AW26" s="53" t="n">
        <v>0.1874609130706692</v>
      </c>
      <c r="AX26" s="53" t="n">
        <v>0.3238546603475514</v>
      </c>
      <c r="AY26" s="52" t="n">
        <v>20.46333333333333</v>
      </c>
      <c r="AZ26" s="52" t="n">
        <v>18.99</v>
      </c>
      <c r="BA26" s="52" t="n">
        <v>21.32</v>
      </c>
      <c r="BB26" s="52" t="n">
        <v>18.99</v>
      </c>
      <c r="BC26" s="51" t="n">
        <v>4441</v>
      </c>
      <c r="BD26" s="51" t="n">
        <v>5549</v>
      </c>
      <c r="BE26" s="51" t="n">
        <v>4407</v>
      </c>
      <c r="BF26" s="51" t="n">
        <v>3503</v>
      </c>
    </row>
    <row r="27">
      <c r="A27">
        <f>HYPERLINK("https://www.walmart.com/ip/5231363049", "5231363049")</f>
        <v/>
      </c>
      <c r="B27" t="inlineStr">
        <is>
          <t>Catalonia Waterproof Blanket for Couch, Reversible Sofa Bed Coverlet Protector, Leak Proof, Comfortable Blanket for People and Pets, Grey/Grey, 50" x 60"</t>
        </is>
      </c>
      <c r="C27" t="inlineStr">
        <is>
          <t>1CTBW565LGDG</t>
        </is>
      </c>
      <c r="D27" t="inlineStr">
        <is>
          <t>Throws</t>
        </is>
      </c>
      <c r="E27" t="inlineStr">
        <is>
          <t>Catalonia</t>
        </is>
      </c>
      <c r="G27" s="48" t="n">
        <v>59.98</v>
      </c>
      <c r="H27" s="48" t="n">
        <v>0</v>
      </c>
      <c r="I27" s="48" t="n">
        <v>0</v>
      </c>
      <c r="J27" s="48" t="n">
        <v>0</v>
      </c>
      <c r="K27" s="49" t="n">
        <v>2</v>
      </c>
      <c r="L27" s="49" t="n">
        <v>0</v>
      </c>
      <c r="M27" s="49" t="n">
        <v>0</v>
      </c>
      <c r="N27" s="49" t="n">
        <v>0</v>
      </c>
      <c r="O27" s="49" t="n">
        <v>0</v>
      </c>
      <c r="P27" s="49" t="n">
        <v>0</v>
      </c>
      <c r="Q27" s="49" t="n">
        <v>0</v>
      </c>
      <c r="R27" s="49" t="n">
        <v>0</v>
      </c>
      <c r="S27" s="50" t="n">
        <v>0</v>
      </c>
      <c r="T27" s="50" t="n">
        <v>0</v>
      </c>
      <c r="U27" s="50" t="n">
        <v>0</v>
      </c>
      <c r="V27" s="50" t="n">
        <v>0</v>
      </c>
      <c r="W27" s="51" t="n">
        <v>0</v>
      </c>
      <c r="X27" s="51" t="n">
        <v>0</v>
      </c>
      <c r="Y27" s="51" t="n">
        <v>0</v>
      </c>
      <c r="Z27" s="51" t="n">
        <v>0</v>
      </c>
      <c r="AA27" s="52" t="n">
        <v>0</v>
      </c>
      <c r="AB27" s="52" t="n">
        <v>0</v>
      </c>
      <c r="AC27" s="52" t="n">
        <v>0</v>
      </c>
      <c r="AD27" s="52" t="n">
        <v>0</v>
      </c>
      <c r="AE27" s="52" t="n">
        <v>0</v>
      </c>
      <c r="AF27" s="52" t="n">
        <v>0</v>
      </c>
      <c r="AG27" s="52" t="n">
        <v>0</v>
      </c>
      <c r="AH27" s="52" t="n">
        <v>0</v>
      </c>
      <c r="AI27" s="52" t="n">
        <v>0</v>
      </c>
      <c r="AJ27" s="52" t="n">
        <v>0</v>
      </c>
      <c r="AK27" s="52" t="n">
        <v>0</v>
      </c>
      <c r="AL27" s="52" t="n">
        <v>0</v>
      </c>
      <c r="AM27" s="53" t="n">
        <v>0</v>
      </c>
      <c r="AN27" s="53" t="n">
        <v>0</v>
      </c>
      <c r="AO27" s="53" t="n">
        <v>0</v>
      </c>
      <c r="AP27" s="53" t="n">
        <v>0</v>
      </c>
      <c r="AQ27" s="52" t="n">
        <v>0</v>
      </c>
      <c r="AR27" s="52" t="n">
        <v>0</v>
      </c>
      <c r="AS27" s="52" t="n">
        <v>0</v>
      </c>
      <c r="AT27" s="52" t="n">
        <v>0</v>
      </c>
      <c r="AU27" s="53" t="n">
        <v>0</v>
      </c>
      <c r="AV27" s="53" t="n">
        <v>0</v>
      </c>
      <c r="AW27" s="53" t="n">
        <v>0</v>
      </c>
      <c r="AX27" s="53" t="n">
        <v>0</v>
      </c>
      <c r="AY27" s="52" t="n">
        <v>29.99</v>
      </c>
      <c r="AZ27" s="52" t="n">
        <v>0</v>
      </c>
      <c r="BA27" s="52" t="n">
        <v>0</v>
      </c>
      <c r="BB27" s="52" t="n">
        <v>0</v>
      </c>
      <c r="BC27" s="51" t="n">
        <v>0</v>
      </c>
      <c r="BD27" s="51" t="n">
        <v>0</v>
      </c>
      <c r="BE27" s="51" t="n">
        <v>0</v>
      </c>
      <c r="BF27" s="51" t="n">
        <v>0</v>
      </c>
    </row>
    <row r="28">
      <c r="A28">
        <f>HYPERLINK("https://www.walmart.com/ip/631208819", "631208819")</f>
        <v/>
      </c>
      <c r="B28" t="inlineStr">
        <is>
          <t>Catalonia Waterproof Blanket for Baby, Pee Proof Pet Cover for Couch Bed, Reversible Sherpa Fleece Throws for Relaxing Traveling Camping, Gray/Tuape, 60" x 50".</t>
        </is>
      </c>
      <c r="C28" t="inlineStr">
        <is>
          <t>1CTBW561GYTP</t>
        </is>
      </c>
      <c r="D28" t="inlineStr">
        <is>
          <t>Throws</t>
        </is>
      </c>
      <c r="E28" t="inlineStr">
        <is>
          <t>Catalonia</t>
        </is>
      </c>
      <c r="F28" t="inlineStr">
        <is>
          <t>Q2-Target,Optimized,Wproof Blanket</t>
        </is>
      </c>
      <c r="G28" s="48" t="n">
        <v>59.98</v>
      </c>
      <c r="H28" s="48" t="n">
        <v>0</v>
      </c>
      <c r="I28" s="48" t="n">
        <v>0</v>
      </c>
      <c r="J28" s="48" t="n">
        <v>0</v>
      </c>
      <c r="K28" s="49" t="n">
        <v>2</v>
      </c>
      <c r="L28" s="49" t="n">
        <v>0</v>
      </c>
      <c r="M28" s="49" t="n">
        <v>0</v>
      </c>
      <c r="N28" s="49" t="n">
        <v>0</v>
      </c>
      <c r="O28" s="49" t="n">
        <v>7</v>
      </c>
      <c r="P28" s="49" t="n">
        <v>0</v>
      </c>
      <c r="Q28" s="49" t="n">
        <v>0</v>
      </c>
      <c r="R28" s="49" t="n">
        <v>0</v>
      </c>
      <c r="S28" s="50" t="n">
        <v>0.2857142857142857</v>
      </c>
      <c r="T28" s="50" t="n">
        <v>0</v>
      </c>
      <c r="U28" s="50" t="n">
        <v>0</v>
      </c>
      <c r="V28" s="50" t="n">
        <v>0</v>
      </c>
      <c r="W28" s="51" t="n">
        <v>16</v>
      </c>
      <c r="X28" s="51" t="n">
        <v>22</v>
      </c>
      <c r="Y28" s="51" t="n">
        <v>12</v>
      </c>
      <c r="Z28" s="51" t="n">
        <v>10</v>
      </c>
      <c r="AA28" s="52" t="n">
        <v>6.840000000000001</v>
      </c>
      <c r="AB28" s="52" t="n">
        <v>9.390000000000001</v>
      </c>
      <c r="AC28" s="52" t="n">
        <v>5</v>
      </c>
      <c r="AD28" s="52" t="n">
        <v>4.16</v>
      </c>
      <c r="AE28" s="52" t="n">
        <v>89.97</v>
      </c>
      <c r="AF28" s="52" t="n">
        <v>59.98</v>
      </c>
      <c r="AG28" s="52" t="n">
        <v>0</v>
      </c>
      <c r="AH28" s="52" t="n">
        <v>0</v>
      </c>
      <c r="AI28" s="52" t="n">
        <v>13.15</v>
      </c>
      <c r="AJ28" s="52" t="n">
        <v>6.39</v>
      </c>
      <c r="AK28" s="52" t="n">
        <v>0</v>
      </c>
      <c r="AL28" s="52" t="n">
        <v>0</v>
      </c>
      <c r="AM28" s="53" t="n">
        <v>0.005</v>
      </c>
      <c r="AN28" s="53" t="n">
        <v>0.0074</v>
      </c>
      <c r="AO28" s="53" t="n">
        <v>0.0057</v>
      </c>
      <c r="AP28" s="53" t="n">
        <v>0.0067</v>
      </c>
      <c r="AQ28" s="52" t="n">
        <v>0.4275</v>
      </c>
      <c r="AR28" s="52" t="n">
        <v>0.4268181818181818</v>
      </c>
      <c r="AS28" s="52" t="n">
        <v>0.4166666666666667</v>
      </c>
      <c r="AT28" s="52" t="n">
        <v>0.416</v>
      </c>
      <c r="AU28" s="53" t="n">
        <v>0.1140380126708903</v>
      </c>
      <c r="AV28" s="53" t="n">
        <v>0</v>
      </c>
      <c r="AW28" s="53" t="n">
        <v>0</v>
      </c>
      <c r="AX28" s="53" t="n">
        <v>0</v>
      </c>
      <c r="AY28" s="52" t="n">
        <v>29.99</v>
      </c>
      <c r="AZ28" s="52" t="n">
        <v>0</v>
      </c>
      <c r="BA28" s="52" t="n">
        <v>0</v>
      </c>
      <c r="BB28" s="52" t="n">
        <v>0</v>
      </c>
      <c r="BC28" s="51" t="n">
        <v>3192</v>
      </c>
      <c r="BD28" s="51" t="n">
        <v>2959</v>
      </c>
      <c r="BE28" s="51" t="n">
        <v>2094</v>
      </c>
      <c r="BF28" s="51" t="n">
        <v>1496</v>
      </c>
    </row>
    <row r="29">
      <c r="A29">
        <f>HYPERLINK("https://www.walmart.com/ip/10282916962", "10282916962")</f>
        <v/>
      </c>
      <c r="B29" t="inlineStr">
        <is>
          <t>Wrangler Men’s Leather Country Casual Every Day Dress Belt for Jeans, Khakis Brown 42</t>
        </is>
      </c>
      <c r="C29" t="inlineStr">
        <is>
          <t>WR-BELT-MENS-COUNTRY-BROWN-42</t>
        </is>
      </c>
      <c r="D29" t="inlineStr">
        <is>
          <t>Belts</t>
        </is>
      </c>
      <c r="E29" t="inlineStr">
        <is>
          <t>Wrangler</t>
        </is>
      </c>
      <c r="F29" t="inlineStr">
        <is>
          <t>Belts</t>
        </is>
      </c>
      <c r="G29" s="48" t="n">
        <v>59.97</v>
      </c>
      <c r="H29" s="48" t="n">
        <v>39.98</v>
      </c>
      <c r="I29" s="48" t="n">
        <v>0</v>
      </c>
      <c r="J29" s="48" t="n">
        <v>0</v>
      </c>
      <c r="K29" s="49" t="n">
        <v>3</v>
      </c>
      <c r="L29" s="49" t="n">
        <v>2</v>
      </c>
      <c r="M29" s="49" t="n">
        <v>0</v>
      </c>
      <c r="N29" s="49" t="n">
        <v>0</v>
      </c>
      <c r="O29" s="49" t="n">
        <v>3</v>
      </c>
      <c r="P29" s="49" t="n">
        <v>2</v>
      </c>
      <c r="Q29" s="49" t="n">
        <v>0</v>
      </c>
      <c r="R29" s="49" t="n">
        <v>0</v>
      </c>
      <c r="S29" s="50" t="n">
        <v>1</v>
      </c>
      <c r="T29" s="50" t="n">
        <v>1</v>
      </c>
      <c r="U29" s="50" t="n">
        <v>0</v>
      </c>
      <c r="V29" s="50" t="n">
        <v>0</v>
      </c>
      <c r="W29" s="51" t="n">
        <v>0</v>
      </c>
      <c r="X29" s="51" t="n">
        <v>0</v>
      </c>
      <c r="Y29" s="51" t="n">
        <v>0</v>
      </c>
      <c r="Z29" s="51" t="n">
        <v>0</v>
      </c>
      <c r="AA29" s="52" t="n">
        <v>0</v>
      </c>
      <c r="AB29" s="52" t="n">
        <v>0</v>
      </c>
      <c r="AC29" s="52" t="n">
        <v>0</v>
      </c>
      <c r="AD29" s="52" t="n">
        <v>0</v>
      </c>
      <c r="AE29" s="52" t="n">
        <v>0</v>
      </c>
      <c r="AF29" s="52" t="n">
        <v>0</v>
      </c>
      <c r="AG29" s="52" t="n">
        <v>0</v>
      </c>
      <c r="AH29" s="52" t="n">
        <v>0</v>
      </c>
      <c r="AI29" s="52" t="n">
        <v>0</v>
      </c>
      <c r="AJ29" s="52" t="n">
        <v>0</v>
      </c>
      <c r="AK29" s="52" t="n">
        <v>0</v>
      </c>
      <c r="AL29" s="52" t="n">
        <v>0</v>
      </c>
      <c r="AM29" s="53" t="n">
        <v>0</v>
      </c>
      <c r="AN29" s="53" t="n">
        <v>0</v>
      </c>
      <c r="AO29" s="53" t="n">
        <v>0</v>
      </c>
      <c r="AP29" s="53" t="n">
        <v>0</v>
      </c>
      <c r="AQ29" s="52" t="n">
        <v>0</v>
      </c>
      <c r="AR29" s="52" t="n">
        <v>0</v>
      </c>
      <c r="AS29" s="52" t="n">
        <v>0</v>
      </c>
      <c r="AT29" s="52" t="n">
        <v>0</v>
      </c>
      <c r="AU29" s="53" t="n">
        <v>0</v>
      </c>
      <c r="AV29" s="53" t="n">
        <v>0</v>
      </c>
      <c r="AW29" s="53" t="n">
        <v>0</v>
      </c>
      <c r="AX29" s="53" t="n">
        <v>0</v>
      </c>
      <c r="AY29" s="52" t="n">
        <v>19.99</v>
      </c>
      <c r="AZ29" s="52" t="n">
        <v>19.99</v>
      </c>
      <c r="BA29" s="52" t="n">
        <v>0</v>
      </c>
      <c r="BB29" s="52" t="n">
        <v>0</v>
      </c>
      <c r="BC29" s="51" t="n">
        <v>0</v>
      </c>
      <c r="BD29" s="51" t="n">
        <v>0</v>
      </c>
      <c r="BE29" s="51" t="n">
        <v>0</v>
      </c>
      <c r="BF29" s="51" t="n">
        <v>0</v>
      </c>
    </row>
    <row r="30">
      <c r="A30">
        <f>HYPERLINK("https://www.walmart.com/ip/1587778886", "1587778886")</f>
        <v/>
      </c>
      <c r="B30" t="inlineStr">
        <is>
          <t>Catalonia Waterproof Dog Blanket for Couch, Reversible Sofa and Bed Coverlet Protector, Leak Proof, Comfortable Blanket for People and Pets, Grey/Taupe, 80" x 90"</t>
        </is>
      </c>
      <c r="C30" t="inlineStr">
        <is>
          <t>1CTBW985GYTP</t>
        </is>
      </c>
      <c r="D30" t="inlineStr">
        <is>
          <t>Throws</t>
        </is>
      </c>
      <c r="E30" t="inlineStr">
        <is>
          <t>Catalonia</t>
        </is>
      </c>
      <c r="F30" t="inlineStr">
        <is>
          <t>High AUR Items,Wproof Blanket,Batch 1 - TR</t>
        </is>
      </c>
      <c r="G30" s="48" t="n">
        <v>53.99</v>
      </c>
      <c r="H30" s="48" t="n">
        <v>0</v>
      </c>
      <c r="I30" s="48" t="n">
        <v>0</v>
      </c>
      <c r="J30" s="48" t="n">
        <v>53.99</v>
      </c>
      <c r="K30" s="49" t="n">
        <v>1</v>
      </c>
      <c r="L30" s="49" t="n">
        <v>0</v>
      </c>
      <c r="M30" s="49" t="n">
        <v>0</v>
      </c>
      <c r="N30" s="49" t="n">
        <v>1</v>
      </c>
      <c r="O30" s="49" t="n">
        <v>0</v>
      </c>
      <c r="P30" s="49" t="n">
        <v>0</v>
      </c>
      <c r="Q30" s="49" t="n">
        <v>0</v>
      </c>
      <c r="R30" s="49" t="n">
        <v>0</v>
      </c>
      <c r="S30" s="50" t="n">
        <v>0</v>
      </c>
      <c r="T30" s="50" t="n">
        <v>0</v>
      </c>
      <c r="U30" s="50" t="n">
        <v>0</v>
      </c>
      <c r="V30" s="50" t="n">
        <v>0</v>
      </c>
      <c r="W30" s="51" t="n">
        <v>0</v>
      </c>
      <c r="X30" s="51" t="n">
        <v>0</v>
      </c>
      <c r="Y30" s="51" t="n">
        <v>0</v>
      </c>
      <c r="Z30" s="51" t="n">
        <v>0</v>
      </c>
      <c r="AA30" s="52" t="n">
        <v>0</v>
      </c>
      <c r="AB30" s="52" t="n">
        <v>0</v>
      </c>
      <c r="AC30" s="52" t="n">
        <v>0</v>
      </c>
      <c r="AD30" s="52" t="n">
        <v>0</v>
      </c>
      <c r="AE30" s="52" t="n">
        <v>0</v>
      </c>
      <c r="AF30" s="52" t="n">
        <v>0</v>
      </c>
      <c r="AG30" s="52" t="n">
        <v>0</v>
      </c>
      <c r="AH30" s="52" t="n">
        <v>0</v>
      </c>
      <c r="AI30" s="52" t="n">
        <v>0</v>
      </c>
      <c r="AJ30" s="52" t="n">
        <v>0</v>
      </c>
      <c r="AK30" s="52" t="n">
        <v>0</v>
      </c>
      <c r="AL30" s="52" t="n">
        <v>0</v>
      </c>
      <c r="AM30" s="53" t="n">
        <v>0</v>
      </c>
      <c r="AN30" s="53" t="n">
        <v>0</v>
      </c>
      <c r="AO30" s="53" t="n">
        <v>0</v>
      </c>
      <c r="AP30" s="53" t="n">
        <v>0</v>
      </c>
      <c r="AQ30" s="52" t="n">
        <v>0</v>
      </c>
      <c r="AR30" s="52" t="n">
        <v>0</v>
      </c>
      <c r="AS30" s="52" t="n">
        <v>0</v>
      </c>
      <c r="AT30" s="52" t="n">
        <v>0</v>
      </c>
      <c r="AU30" s="53" t="n">
        <v>0</v>
      </c>
      <c r="AV30" s="53" t="n">
        <v>0</v>
      </c>
      <c r="AW30" s="53" t="n">
        <v>0</v>
      </c>
      <c r="AX30" s="53" t="n">
        <v>0</v>
      </c>
      <c r="AY30" s="52" t="n">
        <v>53.99</v>
      </c>
      <c r="AZ30" s="52" t="n">
        <v>0</v>
      </c>
      <c r="BA30" s="52" t="n">
        <v>0</v>
      </c>
      <c r="BB30" s="52" t="n">
        <v>53.99</v>
      </c>
      <c r="BC30" s="51" t="n">
        <v>0</v>
      </c>
      <c r="BD30" s="51" t="n">
        <v>0</v>
      </c>
      <c r="BE30" s="51" t="n">
        <v>0</v>
      </c>
      <c r="BF30" s="51" t="n">
        <v>0</v>
      </c>
    </row>
    <row r="31">
      <c r="A31">
        <f>HYPERLINK("https://www.walmart.com/ip/768244496", "768244496")</f>
        <v/>
      </c>
      <c r="B31" t="inlineStr">
        <is>
          <t>Catalonia Hooded Wearable Blanket Poncho for Adult Women Men, Fleece Wrap Blanket Cape with Hood | Warm, Soft, Cozy, Snuggly | Comfort Gift, No Sleeves, Gray</t>
        </is>
      </c>
      <c r="C31" t="inlineStr">
        <is>
          <t>1CTBP120GY</t>
        </is>
      </c>
      <c r="D31" t="inlineStr">
        <is>
          <t>Throws</t>
        </is>
      </c>
      <c r="E31" t="inlineStr">
        <is>
          <t>Catalonia</t>
        </is>
      </c>
      <c r="F31" t="inlineStr">
        <is>
          <t>Hero 5 Holidays,WFS,Wal-Exl-Price,cost-added,WFS Item</t>
        </is>
      </c>
      <c r="G31" s="48" t="n">
        <v>53.98</v>
      </c>
      <c r="H31" s="48" t="n">
        <v>0</v>
      </c>
      <c r="I31" s="48" t="n">
        <v>0</v>
      </c>
      <c r="J31" s="48" t="n">
        <v>0</v>
      </c>
      <c r="K31" s="49" t="n">
        <v>2</v>
      </c>
      <c r="L31" s="49" t="n">
        <v>0</v>
      </c>
      <c r="M31" s="49" t="n">
        <v>0</v>
      </c>
      <c r="N31" s="49" t="n">
        <v>0</v>
      </c>
      <c r="O31" s="49" t="n">
        <v>6</v>
      </c>
      <c r="P31" s="49" t="n">
        <v>6</v>
      </c>
      <c r="Q31" s="49" t="n">
        <v>0</v>
      </c>
      <c r="R31" s="49" t="n">
        <v>6</v>
      </c>
      <c r="S31" s="50" t="n">
        <v>0.3333333333333333</v>
      </c>
      <c r="T31" s="50" t="n">
        <v>0</v>
      </c>
      <c r="U31" s="50" t="n">
        <v>0</v>
      </c>
      <c r="V31" s="50" t="n">
        <v>0</v>
      </c>
      <c r="W31" s="51" t="n">
        <v>13</v>
      </c>
      <c r="X31" s="51" t="n">
        <v>2</v>
      </c>
      <c r="Y31" s="51" t="n">
        <v>18</v>
      </c>
      <c r="Z31" s="51" t="n">
        <v>38</v>
      </c>
      <c r="AA31" s="52" t="n">
        <v>2.73</v>
      </c>
      <c r="AB31" s="52" t="n">
        <v>0.41</v>
      </c>
      <c r="AC31" s="52" t="n">
        <v>7.74</v>
      </c>
      <c r="AD31" s="52" t="n">
        <v>15.79</v>
      </c>
      <c r="AE31" s="52" t="n">
        <v>0</v>
      </c>
      <c r="AF31" s="52" t="n">
        <v>0</v>
      </c>
      <c r="AG31" s="52" t="n">
        <v>0</v>
      </c>
      <c r="AH31" s="52" t="n">
        <v>0</v>
      </c>
      <c r="AI31" s="52" t="n">
        <v>0</v>
      </c>
      <c r="AJ31" s="52" t="n">
        <v>0</v>
      </c>
      <c r="AK31" s="52" t="n">
        <v>0</v>
      </c>
      <c r="AL31" s="52" t="n">
        <v>0</v>
      </c>
      <c r="AM31" s="53" t="n">
        <v>0.0011</v>
      </c>
      <c r="AN31" s="53" t="n">
        <v>0.0002</v>
      </c>
      <c r="AO31" s="53" t="n">
        <v>0.0277</v>
      </c>
      <c r="AP31" s="53" t="n">
        <v>0.0089</v>
      </c>
      <c r="AQ31" s="52" t="n">
        <v>0.21</v>
      </c>
      <c r="AR31" s="52" t="n">
        <v>0.205</v>
      </c>
      <c r="AS31" s="52" t="n">
        <v>0.43</v>
      </c>
      <c r="AT31" s="52" t="n">
        <v>0.4155263157894737</v>
      </c>
      <c r="AU31" s="53" t="n">
        <v>0.05057428677287885</v>
      </c>
      <c r="AV31" s="53" t="n">
        <v>0</v>
      </c>
      <c r="AW31" s="53" t="n">
        <v>0</v>
      </c>
      <c r="AX31" s="53" t="n">
        <v>0</v>
      </c>
      <c r="AY31" s="52" t="n">
        <v>26.99</v>
      </c>
      <c r="AZ31" s="52" t="n">
        <v>0</v>
      </c>
      <c r="BA31" s="52" t="n">
        <v>0</v>
      </c>
      <c r="BB31" s="52" t="n">
        <v>0</v>
      </c>
      <c r="BC31" s="51" t="n">
        <v>11329</v>
      </c>
      <c r="BD31" s="51" t="n">
        <v>9297</v>
      </c>
      <c r="BE31" s="51" t="n">
        <v>649</v>
      </c>
      <c r="BF31" s="51" t="n">
        <v>4256</v>
      </c>
    </row>
    <row r="32">
      <c r="A32">
        <f>HYPERLINK("https://www.walmart.com/ip/1983560818", "1983560818")</f>
        <v/>
      </c>
      <c r="B32" t="inlineStr">
        <is>
          <t>Waterproof Blanket for Outdoors, Hooded Blanket Poncho | Windproof, Warm, Wearable, Portable | for Stadium, Picnics, Sports Events, Camping, Yoga, Beach, Outdoor Adventure, Black</t>
        </is>
      </c>
      <c r="C32" t="inlineStr">
        <is>
          <t>1CTBC200BKBK</t>
        </is>
      </c>
      <c r="D32" t="inlineStr">
        <is>
          <t>Throws</t>
        </is>
      </c>
      <c r="E32" t="inlineStr">
        <is>
          <t>Catalonia</t>
        </is>
      </c>
      <c r="F32" t="inlineStr">
        <is>
          <t>Q2-Target,Wproof Blanket</t>
        </is>
      </c>
      <c r="G32" s="48" t="n">
        <v>53.98</v>
      </c>
      <c r="H32" s="48" t="n">
        <v>-26.99</v>
      </c>
      <c r="I32" s="48" t="n">
        <v>53.98</v>
      </c>
      <c r="J32" s="48" t="n">
        <v>26.99</v>
      </c>
      <c r="K32" s="49" t="n">
        <v>2</v>
      </c>
      <c r="L32" s="49" t="n">
        <v>-1</v>
      </c>
      <c r="M32" s="49" t="n">
        <v>2</v>
      </c>
      <c r="N32" s="49" t="n">
        <v>1</v>
      </c>
      <c r="O32" s="49" t="n">
        <v>1</v>
      </c>
      <c r="P32" s="49" t="n">
        <v>3</v>
      </c>
      <c r="Q32" s="49" t="n">
        <v>5</v>
      </c>
      <c r="R32" s="49" t="n">
        <v>0</v>
      </c>
      <c r="S32" s="50" t="n">
        <v>2</v>
      </c>
      <c r="T32" s="50" t="n">
        <v>-0.3333333333333333</v>
      </c>
      <c r="U32" s="50" t="n">
        <v>0.4</v>
      </c>
      <c r="V32" s="50" t="n">
        <v>0</v>
      </c>
      <c r="W32" s="51" t="n">
        <v>6</v>
      </c>
      <c r="X32" s="51" t="n">
        <v>2</v>
      </c>
      <c r="Y32" s="51" t="n">
        <v>10</v>
      </c>
      <c r="Z32" s="51" t="n">
        <v>5</v>
      </c>
      <c r="AA32" s="52" t="n">
        <v>1.7</v>
      </c>
      <c r="AB32" s="52" t="n">
        <v>0.62</v>
      </c>
      <c r="AC32" s="52" t="n">
        <v>3.01</v>
      </c>
      <c r="AD32" s="52" t="n">
        <v>1.47</v>
      </c>
      <c r="AE32" s="52" t="n">
        <v>0</v>
      </c>
      <c r="AF32" s="52" t="n">
        <v>0</v>
      </c>
      <c r="AG32" s="52" t="n">
        <v>26.99</v>
      </c>
      <c r="AH32" s="52" t="n">
        <v>0</v>
      </c>
      <c r="AI32" s="52" t="n">
        <v>0</v>
      </c>
      <c r="AJ32" s="52" t="n">
        <v>0</v>
      </c>
      <c r="AK32" s="52" t="n">
        <v>8.970000000000001</v>
      </c>
      <c r="AL32" s="52" t="n">
        <v>0</v>
      </c>
      <c r="AM32" s="53" t="n">
        <v>0.0032</v>
      </c>
      <c r="AN32" s="53" t="n">
        <v>0.0011</v>
      </c>
      <c r="AO32" s="53" t="n">
        <v>0.006</v>
      </c>
      <c r="AP32" s="53" t="n">
        <v>0.0038</v>
      </c>
      <c r="AQ32" s="52" t="n">
        <v>0.2833333333333333</v>
      </c>
      <c r="AR32" s="52" t="n">
        <v>0.31</v>
      </c>
      <c r="AS32" s="52" t="n">
        <v>0.301</v>
      </c>
      <c r="AT32" s="52" t="n">
        <v>0.294</v>
      </c>
      <c r="AU32" s="53" t="n">
        <v>0.031493145609485</v>
      </c>
      <c r="AV32" s="53" t="n">
        <v>0</v>
      </c>
      <c r="AW32" s="53" t="n">
        <v>0.05576139310855873</v>
      </c>
      <c r="AX32" s="53" t="n">
        <v>0.05446461652463876</v>
      </c>
      <c r="AY32" s="52" t="n">
        <v>26.99</v>
      </c>
      <c r="AZ32" s="52" t="n">
        <v>0</v>
      </c>
      <c r="BA32" s="52" t="n">
        <v>26.99</v>
      </c>
      <c r="BB32" s="52" t="n">
        <v>26.99</v>
      </c>
      <c r="BC32" s="51" t="n">
        <v>1900</v>
      </c>
      <c r="BD32" s="51" t="n">
        <v>1837</v>
      </c>
      <c r="BE32" s="51" t="n">
        <v>1679</v>
      </c>
      <c r="BF32" s="51" t="n">
        <v>1299</v>
      </c>
    </row>
    <row r="33">
      <c r="A33">
        <f>HYPERLINK("https://www.walmart.com/ip/2582941898", "2582941898")</f>
        <v/>
      </c>
      <c r="B33" t="inlineStr">
        <is>
          <t>Sun Hat for Women Neck Flap Wide Brim UV Protection UPF 50+ Foldable Fishing Cap with 2 Replaceable Ribbon by Solaris</t>
        </is>
      </c>
      <c r="C33" t="inlineStr">
        <is>
          <t>1SLSH922PP</t>
        </is>
      </c>
      <c r="D33" t="inlineStr">
        <is>
          <t>Hats</t>
        </is>
      </c>
      <c r="E33" t="inlineStr">
        <is>
          <t>Solaris</t>
        </is>
      </c>
      <c r="F33" t="inlineStr">
        <is>
          <t>Hats</t>
        </is>
      </c>
      <c r="G33" s="48" t="n">
        <v>53.97</v>
      </c>
      <c r="H33" s="48" t="n">
        <v>17.99</v>
      </c>
      <c r="I33" s="48" t="n">
        <v>53.97</v>
      </c>
      <c r="J33" s="48" t="n">
        <v>0</v>
      </c>
      <c r="K33" s="49" t="n">
        <v>3</v>
      </c>
      <c r="L33" s="49" t="n">
        <v>1</v>
      </c>
      <c r="M33" s="49" t="n">
        <v>3</v>
      </c>
      <c r="N33" s="49" t="n">
        <v>0</v>
      </c>
      <c r="O33" s="49" t="n">
        <v>18</v>
      </c>
      <c r="P33" s="49" t="n">
        <v>9</v>
      </c>
      <c r="Q33" s="49" t="n">
        <v>17</v>
      </c>
      <c r="R33" s="49" t="n">
        <v>5</v>
      </c>
      <c r="S33" s="50" t="n">
        <v>0.1666666666666667</v>
      </c>
      <c r="T33" s="50" t="n">
        <v>0.1111111111111111</v>
      </c>
      <c r="U33" s="50" t="n">
        <v>0.1764705882352941</v>
      </c>
      <c r="V33" s="50" t="n">
        <v>0</v>
      </c>
      <c r="W33" s="51" t="n">
        <v>0</v>
      </c>
      <c r="X33" s="51" t="n">
        <v>0</v>
      </c>
      <c r="Y33" s="51" t="n">
        <v>0</v>
      </c>
      <c r="Z33" s="51" t="n">
        <v>0</v>
      </c>
      <c r="AA33" s="52" t="n">
        <v>0</v>
      </c>
      <c r="AB33" s="52" t="n">
        <v>0</v>
      </c>
      <c r="AC33" s="52" t="n">
        <v>0</v>
      </c>
      <c r="AD33" s="52" t="n">
        <v>0</v>
      </c>
      <c r="AE33" s="52" t="n">
        <v>0</v>
      </c>
      <c r="AF33" s="52" t="n">
        <v>0</v>
      </c>
      <c r="AG33" s="52" t="n">
        <v>0</v>
      </c>
      <c r="AH33" s="52" t="n">
        <v>0</v>
      </c>
      <c r="AI33" s="52" t="n">
        <v>0</v>
      </c>
      <c r="AJ33" s="52" t="n">
        <v>0</v>
      </c>
      <c r="AK33" s="52" t="n">
        <v>0</v>
      </c>
      <c r="AL33" s="52" t="n">
        <v>0</v>
      </c>
      <c r="AM33" s="53" t="n">
        <v>0</v>
      </c>
      <c r="AN33" s="53" t="n">
        <v>0</v>
      </c>
      <c r="AO33" s="53" t="n">
        <v>0</v>
      </c>
      <c r="AP33" s="53" t="n">
        <v>0</v>
      </c>
      <c r="AQ33" s="52" t="n">
        <v>0</v>
      </c>
      <c r="AR33" s="52" t="n">
        <v>0</v>
      </c>
      <c r="AS33" s="52" t="n">
        <v>0</v>
      </c>
      <c r="AT33" s="52" t="n">
        <v>0</v>
      </c>
      <c r="AU33" s="53" t="n">
        <v>0</v>
      </c>
      <c r="AV33" s="53" t="n">
        <v>0</v>
      </c>
      <c r="AW33" s="53" t="n">
        <v>0</v>
      </c>
      <c r="AX33" s="53" t="n">
        <v>0</v>
      </c>
      <c r="AY33" s="52" t="n">
        <v>17.99</v>
      </c>
      <c r="AZ33" s="52" t="n">
        <v>17.99</v>
      </c>
      <c r="BA33" s="52" t="n">
        <v>17.99</v>
      </c>
      <c r="BB33" s="52" t="n">
        <v>0</v>
      </c>
      <c r="BC33" s="51" t="n">
        <v>0</v>
      </c>
      <c r="BD33" s="51" t="n">
        <v>0</v>
      </c>
      <c r="BE33" s="51" t="n">
        <v>0</v>
      </c>
      <c r="BF33" s="51" t="n">
        <v>0</v>
      </c>
    </row>
    <row r="34">
      <c r="A34">
        <f>HYPERLINK("https://www.walmart.com/ip/537141265", "537141265")</f>
        <v/>
      </c>
      <c r="B34" t="inlineStr">
        <is>
          <t>Single Wine Cooler Bags - Insulated &amp; Padded Portable Wine Tote Carrier for Travel, BYOB Restaurant, Wine Tasting, Party, Great Gift for Wine Lover, Wine Stripe</t>
        </is>
      </c>
      <c r="C34" t="inlineStr">
        <is>
          <t>1WMWB101WNSTR</t>
        </is>
      </c>
      <c r="D34" t="inlineStr">
        <is>
          <t>Wine Totes, Bags &amp; Backpacks</t>
        </is>
      </c>
      <c r="E34" t="inlineStr">
        <is>
          <t>Flyingstar</t>
        </is>
      </c>
      <c r="F34" t="inlineStr">
        <is>
          <t>Wine,Christmas,Optimized,Valentine</t>
        </is>
      </c>
      <c r="G34" s="48" t="n">
        <v>47.96</v>
      </c>
      <c r="H34" s="48" t="n">
        <v>114.9</v>
      </c>
      <c r="I34" s="48" t="n">
        <v>0</v>
      </c>
      <c r="J34" s="48" t="n">
        <v>30.97</v>
      </c>
      <c r="K34" s="49" t="n">
        <v>4</v>
      </c>
      <c r="L34" s="49" t="n">
        <v>9</v>
      </c>
      <c r="M34" s="49" t="n">
        <v>0</v>
      </c>
      <c r="N34" s="49" t="n">
        <v>2</v>
      </c>
      <c r="O34" s="49" t="n">
        <v>20</v>
      </c>
      <c r="P34" s="49" t="n">
        <v>23</v>
      </c>
      <c r="Q34" s="49" t="n">
        <v>12</v>
      </c>
      <c r="R34" s="49" t="n">
        <v>6</v>
      </c>
      <c r="S34" s="50" t="n">
        <v>0.2</v>
      </c>
      <c r="T34" s="50" t="n">
        <v>0.391304347826087</v>
      </c>
      <c r="U34" s="50" t="n">
        <v>0</v>
      </c>
      <c r="V34" s="50" t="n">
        <v>0.3333333333333333</v>
      </c>
      <c r="W34" s="51" t="n">
        <v>23</v>
      </c>
      <c r="X34" s="51" t="n">
        <v>38</v>
      </c>
      <c r="Y34" s="51" t="n">
        <v>26</v>
      </c>
      <c r="Z34" s="51" t="n">
        <v>27</v>
      </c>
      <c r="AA34" s="52" t="n">
        <v>9.390000000000001</v>
      </c>
      <c r="AB34" s="52" t="n">
        <v>15.34</v>
      </c>
      <c r="AC34" s="52" t="n">
        <v>10.66</v>
      </c>
      <c r="AD34" s="52" t="n">
        <v>10.9</v>
      </c>
      <c r="AE34" s="52" t="n">
        <v>11.99</v>
      </c>
      <c r="AF34" s="52" t="n">
        <v>71.94</v>
      </c>
      <c r="AG34" s="52" t="n">
        <v>13.99</v>
      </c>
      <c r="AH34" s="52" t="n">
        <v>23.98</v>
      </c>
      <c r="AI34" s="52" t="n">
        <v>1.28</v>
      </c>
      <c r="AJ34" s="52" t="n">
        <v>4.69</v>
      </c>
      <c r="AK34" s="52" t="n">
        <v>1.31</v>
      </c>
      <c r="AL34" s="52" t="n">
        <v>2.2</v>
      </c>
      <c r="AM34" s="53" t="n">
        <v>0.0069</v>
      </c>
      <c r="AN34" s="53" t="n">
        <v>0.0051</v>
      </c>
      <c r="AO34" s="53" t="n">
        <v>0.0052</v>
      </c>
      <c r="AP34" s="53" t="n">
        <v>0.0062</v>
      </c>
      <c r="AQ34" s="52" t="n">
        <v>0.4082608695652174</v>
      </c>
      <c r="AR34" s="52" t="n">
        <v>0.4036842105263158</v>
      </c>
      <c r="AS34" s="52" t="n">
        <v>0.41</v>
      </c>
      <c r="AT34" s="52" t="n">
        <v>0.4037037037037037</v>
      </c>
      <c r="AU34" s="53" t="n">
        <v>0.1957881567973311</v>
      </c>
      <c r="AV34" s="53" t="n">
        <v>0.1335073977371627</v>
      </c>
      <c r="AW34" s="53" t="n">
        <v>0</v>
      </c>
      <c r="AX34" s="53" t="n">
        <v>0.3519535033903778</v>
      </c>
      <c r="AY34" s="52" t="n">
        <v>11.99</v>
      </c>
      <c r="AZ34" s="52" t="n">
        <v>12.76666666666667</v>
      </c>
      <c r="BA34" s="52" t="n">
        <v>0</v>
      </c>
      <c r="BB34" s="52" t="n">
        <v>15.485</v>
      </c>
      <c r="BC34" s="51" t="n">
        <v>3351</v>
      </c>
      <c r="BD34" s="51" t="n">
        <v>7476</v>
      </c>
      <c r="BE34" s="51" t="n">
        <v>4972</v>
      </c>
      <c r="BF34" s="51" t="n">
        <v>4332</v>
      </c>
    </row>
    <row r="35">
      <c r="A35">
        <f>HYPERLINK("https://www.walmart.com/ip/15393804349", "15393804349")</f>
        <v/>
      </c>
      <c r="B35" t="inlineStr">
        <is>
          <t>Catalonia Swim Parka Kids with Hood, Lightweight Youth Surf Swim Jacket, Waterproof &amp; Warm Sherpa Lined Swim Coat for Boys Girls, Changing Poncho Robe for Pool Beach Stadium, Blue, 9-13 Years</t>
        </is>
      </c>
      <c r="C35" t="inlineStr">
        <is>
          <t>1CTPKR202BL-1</t>
        </is>
      </c>
      <c r="D35" t="inlineStr">
        <is>
          <t>Swim Parkas</t>
        </is>
      </c>
      <c r="E35" t="inlineStr">
        <is>
          <t>Catalonia</t>
        </is>
      </c>
      <c r="G35" s="48" t="n">
        <v>45.99</v>
      </c>
      <c r="H35" s="48" t="n">
        <v>0</v>
      </c>
      <c r="I35" s="48" t="n">
        <v>0</v>
      </c>
      <c r="J35" s="48" t="n">
        <v>45.99</v>
      </c>
      <c r="K35" s="49" t="n">
        <v>1</v>
      </c>
      <c r="L35" s="49" t="n">
        <v>0</v>
      </c>
      <c r="M35" s="49" t="n">
        <v>0</v>
      </c>
      <c r="N35" s="49" t="n">
        <v>1</v>
      </c>
      <c r="O35" s="49" t="n">
        <v>0</v>
      </c>
      <c r="P35" s="49" t="n">
        <v>0</v>
      </c>
      <c r="Q35" s="49" t="n">
        <v>0</v>
      </c>
      <c r="R35" s="49" t="n">
        <v>0</v>
      </c>
      <c r="S35" s="50" t="n">
        <v>0</v>
      </c>
      <c r="T35" s="50" t="n">
        <v>0</v>
      </c>
      <c r="U35" s="50" t="n">
        <v>0</v>
      </c>
      <c r="V35" s="50" t="n">
        <v>0</v>
      </c>
      <c r="W35" s="51" t="n">
        <v>0</v>
      </c>
      <c r="X35" s="51" t="n">
        <v>0</v>
      </c>
      <c r="Y35" s="51" t="n">
        <v>0</v>
      </c>
      <c r="Z35" s="51" t="n">
        <v>0</v>
      </c>
      <c r="AA35" s="52" t="n">
        <v>0</v>
      </c>
      <c r="AB35" s="52" t="n">
        <v>0</v>
      </c>
      <c r="AC35" s="52" t="n">
        <v>0</v>
      </c>
      <c r="AD35" s="52" t="n">
        <v>0</v>
      </c>
      <c r="AE35" s="52" t="n">
        <v>0</v>
      </c>
      <c r="AF35" s="52" t="n">
        <v>0</v>
      </c>
      <c r="AG35" s="52" t="n">
        <v>0</v>
      </c>
      <c r="AH35" s="52" t="n">
        <v>0</v>
      </c>
      <c r="AI35" s="52" t="n">
        <v>0</v>
      </c>
      <c r="AJ35" s="52" t="n">
        <v>0</v>
      </c>
      <c r="AK35" s="52" t="n">
        <v>0</v>
      </c>
      <c r="AL35" s="52" t="n">
        <v>0</v>
      </c>
      <c r="AM35" s="53" t="n">
        <v>0</v>
      </c>
      <c r="AN35" s="53" t="n">
        <v>0</v>
      </c>
      <c r="AO35" s="53" t="n">
        <v>0</v>
      </c>
      <c r="AP35" s="53" t="n">
        <v>0</v>
      </c>
      <c r="AQ35" s="52" t="n">
        <v>0</v>
      </c>
      <c r="AR35" s="52" t="n">
        <v>0</v>
      </c>
      <c r="AS35" s="52" t="n">
        <v>0</v>
      </c>
      <c r="AT35" s="52" t="n">
        <v>0</v>
      </c>
      <c r="AU35" s="53" t="n">
        <v>0</v>
      </c>
      <c r="AV35" s="53" t="n">
        <v>0</v>
      </c>
      <c r="AW35" s="53" t="n">
        <v>0</v>
      </c>
      <c r="AX35" s="53" t="n">
        <v>0</v>
      </c>
      <c r="AY35" s="52" t="n">
        <v>45.99</v>
      </c>
      <c r="AZ35" s="52" t="n">
        <v>0</v>
      </c>
      <c r="BA35" s="52" t="n">
        <v>0</v>
      </c>
      <c r="BB35" s="52" t="n">
        <v>45.99</v>
      </c>
      <c r="BC35" s="51" t="n">
        <v>0</v>
      </c>
      <c r="BD35" s="51" t="n">
        <v>0</v>
      </c>
      <c r="BE35" s="51" t="n">
        <v>0</v>
      </c>
      <c r="BF35" s="51" t="n">
        <v>0</v>
      </c>
    </row>
    <row r="36">
      <c r="A36">
        <f>HYPERLINK("https://www.walmart.com/ip/327234960", "327234960")</f>
        <v/>
      </c>
      <c r="B36" t="inlineStr">
        <is>
          <t>Surf Poncho Changing Towel Robe for Adults Men Women, Hooded Wetsuit Change Poncho for Surfing Swimming Bathing, Water Absorbent, Oversized, Grey</t>
        </is>
      </c>
      <c r="C36" t="inlineStr">
        <is>
          <t>1CTBR100GY-ESCB</t>
        </is>
      </c>
      <c r="D36" t="inlineStr">
        <is>
          <t>Sleepwear Robes &amp; Bathrobes</t>
        </is>
      </c>
      <c r="E36" t="inlineStr">
        <is>
          <t>Catalonia</t>
        </is>
      </c>
      <c r="F36" t="inlineStr">
        <is>
          <t>Batch 1 - TR</t>
        </is>
      </c>
      <c r="G36" s="48" t="n">
        <v>45.98</v>
      </c>
      <c r="H36" s="48" t="n">
        <v>0</v>
      </c>
      <c r="I36" s="48" t="n">
        <v>0</v>
      </c>
      <c r="J36" s="48" t="n">
        <v>0</v>
      </c>
      <c r="K36" s="49" t="n">
        <v>2</v>
      </c>
      <c r="L36" s="49" t="n">
        <v>0</v>
      </c>
      <c r="M36" s="49" t="n">
        <v>0</v>
      </c>
      <c r="N36" s="49" t="n">
        <v>0</v>
      </c>
      <c r="O36" s="49" t="n">
        <v>0</v>
      </c>
      <c r="P36" s="49" t="n">
        <v>0</v>
      </c>
      <c r="Q36" s="49" t="n">
        <v>0</v>
      </c>
      <c r="R36" s="49" t="n">
        <v>0</v>
      </c>
      <c r="S36" s="50" t="n">
        <v>0</v>
      </c>
      <c r="T36" s="50" t="n">
        <v>0</v>
      </c>
      <c r="U36" s="50" t="n">
        <v>0</v>
      </c>
      <c r="V36" s="50" t="n">
        <v>0</v>
      </c>
      <c r="W36" s="51" t="n">
        <v>0</v>
      </c>
      <c r="X36" s="51" t="n">
        <v>0</v>
      </c>
      <c r="Y36" s="51" t="n">
        <v>0</v>
      </c>
      <c r="Z36" s="51" t="n">
        <v>0</v>
      </c>
      <c r="AA36" s="52" t="n">
        <v>0</v>
      </c>
      <c r="AB36" s="52" t="n">
        <v>0</v>
      </c>
      <c r="AC36" s="52" t="n">
        <v>0</v>
      </c>
      <c r="AD36" s="52" t="n">
        <v>0</v>
      </c>
      <c r="AE36" s="52" t="n">
        <v>0</v>
      </c>
      <c r="AF36" s="52" t="n">
        <v>0</v>
      </c>
      <c r="AG36" s="52" t="n">
        <v>0</v>
      </c>
      <c r="AH36" s="52" t="n">
        <v>0</v>
      </c>
      <c r="AI36" s="52" t="n">
        <v>0</v>
      </c>
      <c r="AJ36" s="52" t="n">
        <v>0</v>
      </c>
      <c r="AK36" s="52" t="n">
        <v>0</v>
      </c>
      <c r="AL36" s="52" t="n">
        <v>0</v>
      </c>
      <c r="AM36" s="53" t="n">
        <v>0</v>
      </c>
      <c r="AN36" s="53" t="n">
        <v>0</v>
      </c>
      <c r="AO36" s="53" t="n">
        <v>0</v>
      </c>
      <c r="AP36" s="53" t="n">
        <v>0</v>
      </c>
      <c r="AQ36" s="52" t="n">
        <v>0</v>
      </c>
      <c r="AR36" s="52" t="n">
        <v>0</v>
      </c>
      <c r="AS36" s="52" t="n">
        <v>0</v>
      </c>
      <c r="AT36" s="52" t="n">
        <v>0</v>
      </c>
      <c r="AU36" s="53" t="n">
        <v>0</v>
      </c>
      <c r="AV36" s="53" t="n">
        <v>0</v>
      </c>
      <c r="AW36" s="53" t="n">
        <v>0</v>
      </c>
      <c r="AX36" s="53" t="n">
        <v>0</v>
      </c>
      <c r="AY36" s="52" t="n">
        <v>22.99</v>
      </c>
      <c r="AZ36" s="52" t="n">
        <v>0</v>
      </c>
      <c r="BA36" s="52" t="n">
        <v>0</v>
      </c>
      <c r="BB36" s="52" t="n">
        <v>0</v>
      </c>
      <c r="BC36" s="51" t="n">
        <v>0</v>
      </c>
      <c r="BD36" s="51" t="n">
        <v>0</v>
      </c>
      <c r="BE36" s="51" t="n">
        <v>0</v>
      </c>
      <c r="BF36" s="51" t="n">
        <v>0</v>
      </c>
    </row>
    <row r="37">
      <c r="A37">
        <f>HYPERLINK("https://www.walmart.com/ip/3805601721", "3805601721")</f>
        <v/>
      </c>
      <c r="B37" t="inlineStr">
        <is>
          <t>Tirrinia Waterproof Outdoor Blanket with Sherpa Lining, Windproof, Triple-Layered, Warm, Comfy, and Foldable Fleece Blanket for Camping, Stadiums, and Pets, Black/Grey, Extra Large Size: 66'' x 90''</t>
        </is>
      </c>
      <c r="C37" t="inlineStr">
        <is>
          <t>1TRBW669BKGY</t>
        </is>
      </c>
      <c r="D37" t="inlineStr">
        <is>
          <t>Picnic Blankets &amp; Mats</t>
        </is>
      </c>
      <c r="E37" t="inlineStr">
        <is>
          <t>Tirrinia</t>
        </is>
      </c>
      <c r="F37" t="inlineStr">
        <is>
          <t>Q2-Target</t>
        </is>
      </c>
      <c r="G37" s="48" t="n">
        <v>44.99</v>
      </c>
      <c r="H37" s="48" t="n">
        <v>0</v>
      </c>
      <c r="I37" s="48" t="n">
        <v>0</v>
      </c>
      <c r="J37" s="48" t="n">
        <v>0</v>
      </c>
      <c r="K37" s="49" t="n">
        <v>1</v>
      </c>
      <c r="L37" s="49" t="n">
        <v>0</v>
      </c>
      <c r="M37" s="49" t="n">
        <v>0</v>
      </c>
      <c r="N37" s="49" t="n">
        <v>0</v>
      </c>
      <c r="O37" s="49" t="n">
        <v>0</v>
      </c>
      <c r="P37" s="49" t="n">
        <v>0</v>
      </c>
      <c r="Q37" s="49" t="n">
        <v>0</v>
      </c>
      <c r="R37" s="49" t="n">
        <v>0</v>
      </c>
      <c r="S37" s="50" t="n">
        <v>0</v>
      </c>
      <c r="T37" s="50" t="n">
        <v>0</v>
      </c>
      <c r="U37" s="50" t="n">
        <v>0</v>
      </c>
      <c r="V37" s="50" t="n">
        <v>0</v>
      </c>
      <c r="W37" s="51" t="n">
        <v>0</v>
      </c>
      <c r="X37" s="51" t="n">
        <v>0</v>
      </c>
      <c r="Y37" s="51" t="n">
        <v>0</v>
      </c>
      <c r="Z37" s="51" t="n">
        <v>0</v>
      </c>
      <c r="AA37" s="52" t="n">
        <v>0</v>
      </c>
      <c r="AB37" s="52" t="n">
        <v>0</v>
      </c>
      <c r="AC37" s="52" t="n">
        <v>0</v>
      </c>
      <c r="AD37" s="52" t="n">
        <v>0</v>
      </c>
      <c r="AE37" s="52" t="n">
        <v>0</v>
      </c>
      <c r="AF37" s="52" t="n">
        <v>0</v>
      </c>
      <c r="AG37" s="52" t="n">
        <v>0</v>
      </c>
      <c r="AH37" s="52" t="n">
        <v>0</v>
      </c>
      <c r="AI37" s="52" t="n">
        <v>0</v>
      </c>
      <c r="AJ37" s="52" t="n">
        <v>0</v>
      </c>
      <c r="AK37" s="52" t="n">
        <v>0</v>
      </c>
      <c r="AL37" s="52" t="n">
        <v>0</v>
      </c>
      <c r="AM37" s="53" t="n">
        <v>0</v>
      </c>
      <c r="AN37" s="53" t="n">
        <v>0</v>
      </c>
      <c r="AO37" s="53" t="n">
        <v>0</v>
      </c>
      <c r="AP37" s="53" t="n">
        <v>0</v>
      </c>
      <c r="AQ37" s="52" t="n">
        <v>0</v>
      </c>
      <c r="AR37" s="52" t="n">
        <v>0</v>
      </c>
      <c r="AS37" s="52" t="n">
        <v>0</v>
      </c>
      <c r="AT37" s="52" t="n">
        <v>0</v>
      </c>
      <c r="AU37" s="53" t="n">
        <v>0</v>
      </c>
      <c r="AV37" s="53" t="n">
        <v>0</v>
      </c>
      <c r="AW37" s="53" t="n">
        <v>0</v>
      </c>
      <c r="AX37" s="53" t="n">
        <v>0</v>
      </c>
      <c r="AY37" s="52" t="n">
        <v>44.99</v>
      </c>
      <c r="AZ37" s="52" t="n">
        <v>0</v>
      </c>
      <c r="BA37" s="52" t="n">
        <v>0</v>
      </c>
      <c r="BB37" s="52" t="n">
        <v>0</v>
      </c>
      <c r="BC37" s="51" t="n">
        <v>0</v>
      </c>
      <c r="BD37" s="51" t="n">
        <v>0</v>
      </c>
      <c r="BE37" s="51" t="n">
        <v>0</v>
      </c>
      <c r="BF37" s="51" t="n">
        <v>0</v>
      </c>
    </row>
    <row r="38">
      <c r="A38">
        <f>HYPERLINK("https://www.walmart.com/ip/153729474", "153729474")</f>
        <v/>
      </c>
      <c r="B38" t="inlineStr">
        <is>
          <t>Microplush Sherpa Blanket with Sleeves for Women and Men Brown</t>
        </is>
      </c>
      <c r="C38" t="inlineStr">
        <is>
          <t>1TNSN110BR-TPB</t>
        </is>
      </c>
      <c r="D38" t="inlineStr">
        <is>
          <t>Throws</t>
        </is>
      </c>
      <c r="E38" t="inlineStr">
        <is>
          <t>Terrania</t>
        </is>
      </c>
      <c r="G38" s="48" t="n">
        <v>42.99</v>
      </c>
      <c r="H38" s="48" t="n">
        <v>0</v>
      </c>
      <c r="I38" s="48" t="n">
        <v>0</v>
      </c>
      <c r="J38" s="48" t="n">
        <v>0</v>
      </c>
      <c r="K38" s="49" t="n">
        <v>1</v>
      </c>
      <c r="L38" s="49" t="n">
        <v>0</v>
      </c>
      <c r="M38" s="49" t="n">
        <v>0</v>
      </c>
      <c r="N38" s="49" t="n">
        <v>0</v>
      </c>
      <c r="O38" s="49" t="n">
        <v>0</v>
      </c>
      <c r="P38" s="49" t="n">
        <v>0</v>
      </c>
      <c r="Q38" s="49" t="n">
        <v>0</v>
      </c>
      <c r="R38" s="49" t="n">
        <v>0</v>
      </c>
      <c r="S38" s="50" t="n">
        <v>0</v>
      </c>
      <c r="T38" s="50" t="n">
        <v>0</v>
      </c>
      <c r="U38" s="50" t="n">
        <v>0</v>
      </c>
      <c r="V38" s="50" t="n">
        <v>0</v>
      </c>
      <c r="W38" s="51" t="n">
        <v>0</v>
      </c>
      <c r="X38" s="51" t="n">
        <v>0</v>
      </c>
      <c r="Y38" s="51" t="n">
        <v>0</v>
      </c>
      <c r="Z38" s="51" t="n">
        <v>0</v>
      </c>
      <c r="AA38" s="52" t="n">
        <v>0</v>
      </c>
      <c r="AB38" s="52" t="n">
        <v>0</v>
      </c>
      <c r="AC38" s="52" t="n">
        <v>0</v>
      </c>
      <c r="AD38" s="52" t="n">
        <v>0</v>
      </c>
      <c r="AE38" s="52" t="n">
        <v>0</v>
      </c>
      <c r="AF38" s="52" t="n">
        <v>0</v>
      </c>
      <c r="AG38" s="52" t="n">
        <v>0</v>
      </c>
      <c r="AH38" s="52" t="n">
        <v>0</v>
      </c>
      <c r="AI38" s="52" t="n">
        <v>0</v>
      </c>
      <c r="AJ38" s="52" t="n">
        <v>0</v>
      </c>
      <c r="AK38" s="52" t="n">
        <v>0</v>
      </c>
      <c r="AL38" s="52" t="n">
        <v>0</v>
      </c>
      <c r="AM38" s="53" t="n">
        <v>0</v>
      </c>
      <c r="AN38" s="53" t="n">
        <v>0</v>
      </c>
      <c r="AO38" s="53" t="n">
        <v>0</v>
      </c>
      <c r="AP38" s="53" t="n">
        <v>0</v>
      </c>
      <c r="AQ38" s="52" t="n">
        <v>0</v>
      </c>
      <c r="AR38" s="52" t="n">
        <v>0</v>
      </c>
      <c r="AS38" s="52" t="n">
        <v>0</v>
      </c>
      <c r="AT38" s="52" t="n">
        <v>0</v>
      </c>
      <c r="AU38" s="53" t="n">
        <v>0</v>
      </c>
      <c r="AV38" s="53" t="n">
        <v>0</v>
      </c>
      <c r="AW38" s="53" t="n">
        <v>0</v>
      </c>
      <c r="AX38" s="53" t="n">
        <v>0</v>
      </c>
      <c r="AY38" s="52" t="n">
        <v>42.99</v>
      </c>
      <c r="AZ38" s="52" t="n">
        <v>0</v>
      </c>
      <c r="BA38" s="52" t="n">
        <v>0</v>
      </c>
      <c r="BB38" s="52" t="n">
        <v>0</v>
      </c>
      <c r="BC38" s="51" t="n">
        <v>0</v>
      </c>
      <c r="BD38" s="51" t="n">
        <v>0</v>
      </c>
      <c r="BE38" s="51" t="n">
        <v>0</v>
      </c>
      <c r="BF38" s="51" t="n">
        <v>0</v>
      </c>
    </row>
    <row r="39">
      <c r="A39">
        <f>HYPERLINK("https://www.walmart.com/ip/683624021", "683624021")</f>
        <v/>
      </c>
      <c r="B39" t="inlineStr">
        <is>
          <t>Solaris Sun Hat for Women with Neck Flap, Wide Brim, UV Protection UPF 50+, Foldable Fishing Cap with 2 Replaceable Ribbons for Outdoor Camping, Traveling, and Hiking, White</t>
        </is>
      </c>
      <c r="C39" t="inlineStr">
        <is>
          <t>1SLSH922WH</t>
        </is>
      </c>
      <c r="D39" t="inlineStr">
        <is>
          <t>Hats</t>
        </is>
      </c>
      <c r="E39" t="inlineStr">
        <is>
          <t>Solaris</t>
        </is>
      </c>
      <c r="F39" t="inlineStr">
        <is>
          <t>Q2-Target,WFS,Hats,WFS Item</t>
        </is>
      </c>
      <c r="G39" s="48" t="n">
        <v>42.97</v>
      </c>
      <c r="H39" s="48" t="n">
        <v>0</v>
      </c>
      <c r="I39" s="48" t="n">
        <v>24.98</v>
      </c>
      <c r="J39" s="48" t="n">
        <v>71.95999999999999</v>
      </c>
      <c r="K39" s="49" t="n">
        <v>2</v>
      </c>
      <c r="L39" s="49" t="n">
        <v>0</v>
      </c>
      <c r="M39" s="49" t="n">
        <v>1</v>
      </c>
      <c r="N39" s="49" t="n">
        <v>4</v>
      </c>
      <c r="O39" s="49" t="n">
        <v>34</v>
      </c>
      <c r="P39" s="49" t="n">
        <v>30</v>
      </c>
      <c r="Q39" s="49" t="n">
        <v>13</v>
      </c>
      <c r="R39" s="49" t="n">
        <v>19</v>
      </c>
      <c r="S39" s="50" t="n">
        <v>0.05882352941176471</v>
      </c>
      <c r="T39" s="50" t="n">
        <v>0</v>
      </c>
      <c r="U39" s="50" t="n">
        <v>0.07692307692307693</v>
      </c>
      <c r="V39" s="50" t="n">
        <v>0.2105263157894737</v>
      </c>
      <c r="W39" s="51" t="n">
        <v>17</v>
      </c>
      <c r="X39" s="51" t="n">
        <v>0</v>
      </c>
      <c r="Y39" s="51" t="n">
        <v>0</v>
      </c>
      <c r="Z39" s="51" t="n">
        <v>0</v>
      </c>
      <c r="AA39" s="52" t="n">
        <v>6.81</v>
      </c>
      <c r="AB39" s="52" t="n">
        <v>0</v>
      </c>
      <c r="AC39" s="52" t="n">
        <v>0</v>
      </c>
      <c r="AD39" s="52" t="n">
        <v>0</v>
      </c>
      <c r="AE39" s="52" t="n">
        <v>33.98</v>
      </c>
      <c r="AF39" s="52" t="n">
        <v>0</v>
      </c>
      <c r="AG39" s="52" t="n">
        <v>0</v>
      </c>
      <c r="AH39" s="52" t="n">
        <v>0</v>
      </c>
      <c r="AI39" s="52" t="n">
        <v>4.99</v>
      </c>
      <c r="AJ39" s="52" t="n">
        <v>0</v>
      </c>
      <c r="AK39" s="52" t="n">
        <v>0</v>
      </c>
      <c r="AL39" s="52" t="n">
        <v>0</v>
      </c>
      <c r="AM39" s="53" t="n">
        <v>0.0016</v>
      </c>
      <c r="AN39" s="53" t="n">
        <v>0</v>
      </c>
      <c r="AO39" s="53" t="n">
        <v>0</v>
      </c>
      <c r="AP39" s="53" t="n">
        <v>0</v>
      </c>
      <c r="AQ39" s="52" t="n">
        <v>0.4005882352941177</v>
      </c>
      <c r="AR39" s="52" t="n">
        <v>0</v>
      </c>
      <c r="AS39" s="52" t="n">
        <v>0</v>
      </c>
      <c r="AT39" s="52" t="n">
        <v>0</v>
      </c>
      <c r="AU39" s="53" t="n">
        <v>0.1584826623225506</v>
      </c>
      <c r="AV39" s="53" t="n">
        <v>0</v>
      </c>
      <c r="AW39" s="53" t="n">
        <v>0</v>
      </c>
      <c r="AX39" s="53" t="n">
        <v>0</v>
      </c>
      <c r="AY39" s="52" t="n">
        <v>21.485</v>
      </c>
      <c r="AZ39" s="52" t="n">
        <v>0</v>
      </c>
      <c r="BA39" s="52" t="n">
        <v>24.98</v>
      </c>
      <c r="BB39" s="52" t="n">
        <v>17.99</v>
      </c>
      <c r="BC39" s="51" t="n">
        <v>10657</v>
      </c>
      <c r="BD39" s="51" t="n">
        <v>0</v>
      </c>
      <c r="BE39" s="51" t="n">
        <v>0</v>
      </c>
      <c r="BF39" s="51" t="n">
        <v>0</v>
      </c>
    </row>
    <row r="40">
      <c r="A40">
        <f>HYPERLINK("https://www.walmart.com/ip/265727425", "265727425")</f>
        <v/>
      </c>
      <c r="B40" t="inlineStr">
        <is>
          <t>Catalonia Red Black Checkered Sherpa Blanket, Buffalo Plaid Sherpa Throw Blanket, Reversible Super Soft Warm Comfy Fuzzy Snuggle Micro Fleece Plush Christmas Throws for Bedding Couch TV 60"x50"</t>
        </is>
      </c>
      <c r="C40" t="inlineStr">
        <is>
          <t>1CTBF562PRD</t>
        </is>
      </c>
      <c r="D40" t="inlineStr">
        <is>
          <t>Throws</t>
        </is>
      </c>
      <c r="E40" t="inlineStr">
        <is>
          <t>Catalonia</t>
        </is>
      </c>
      <c r="F40" t="inlineStr">
        <is>
          <t>Q2-Target,WFS,WFS Item</t>
        </is>
      </c>
      <c r="G40" s="48" t="n">
        <v>41.97</v>
      </c>
      <c r="H40" s="48" t="n">
        <v>13.99</v>
      </c>
      <c r="I40" s="48" t="n">
        <v>0</v>
      </c>
      <c r="J40" s="48" t="n">
        <v>0</v>
      </c>
      <c r="K40" s="49" t="n">
        <v>3</v>
      </c>
      <c r="L40" s="49" t="n">
        <v>1</v>
      </c>
      <c r="M40" s="49" t="n">
        <v>0</v>
      </c>
      <c r="N40" s="49" t="n">
        <v>0</v>
      </c>
      <c r="O40" s="49" t="n">
        <v>0</v>
      </c>
      <c r="P40" s="49" t="n">
        <v>0</v>
      </c>
      <c r="Q40" s="49" t="n">
        <v>0</v>
      </c>
      <c r="R40" s="49" t="n">
        <v>0</v>
      </c>
      <c r="S40" s="50" t="n">
        <v>0</v>
      </c>
      <c r="T40" s="50" t="n">
        <v>0</v>
      </c>
      <c r="U40" s="50" t="n">
        <v>0</v>
      </c>
      <c r="V40" s="50" t="n">
        <v>0</v>
      </c>
      <c r="W40" s="51" t="n">
        <v>0</v>
      </c>
      <c r="X40" s="51" t="n">
        <v>0</v>
      </c>
      <c r="Y40" s="51" t="n">
        <v>0</v>
      </c>
      <c r="Z40" s="51" t="n">
        <v>0</v>
      </c>
      <c r="AA40" s="52" t="n">
        <v>0</v>
      </c>
      <c r="AB40" s="52" t="n">
        <v>0</v>
      </c>
      <c r="AC40" s="52" t="n">
        <v>0</v>
      </c>
      <c r="AD40" s="52" t="n">
        <v>0</v>
      </c>
      <c r="AE40" s="52" t="n">
        <v>0</v>
      </c>
      <c r="AF40" s="52" t="n">
        <v>0</v>
      </c>
      <c r="AG40" s="52" t="n">
        <v>0</v>
      </c>
      <c r="AH40" s="52" t="n">
        <v>0</v>
      </c>
      <c r="AI40" s="52" t="n">
        <v>0</v>
      </c>
      <c r="AJ40" s="52" t="n">
        <v>0</v>
      </c>
      <c r="AK40" s="52" t="n">
        <v>0</v>
      </c>
      <c r="AL40" s="52" t="n">
        <v>0</v>
      </c>
      <c r="AM40" s="53" t="n">
        <v>0</v>
      </c>
      <c r="AN40" s="53" t="n">
        <v>0</v>
      </c>
      <c r="AO40" s="53" t="n">
        <v>0</v>
      </c>
      <c r="AP40" s="53" t="n">
        <v>0</v>
      </c>
      <c r="AQ40" s="52" t="n">
        <v>0</v>
      </c>
      <c r="AR40" s="52" t="n">
        <v>0</v>
      </c>
      <c r="AS40" s="52" t="n">
        <v>0</v>
      </c>
      <c r="AT40" s="52" t="n">
        <v>0</v>
      </c>
      <c r="AU40" s="53" t="n">
        <v>0</v>
      </c>
      <c r="AV40" s="53" t="n">
        <v>0</v>
      </c>
      <c r="AW40" s="53" t="n">
        <v>0</v>
      </c>
      <c r="AX40" s="53" t="n">
        <v>0</v>
      </c>
      <c r="AY40" s="52" t="n">
        <v>13.99</v>
      </c>
      <c r="AZ40" s="52" t="n">
        <v>13.99</v>
      </c>
      <c r="BA40" s="52" t="n">
        <v>0</v>
      </c>
      <c r="BB40" s="52" t="n">
        <v>0</v>
      </c>
      <c r="BC40" s="51" t="n">
        <v>0</v>
      </c>
      <c r="BD40" s="51" t="n">
        <v>0</v>
      </c>
      <c r="BE40" s="51" t="n">
        <v>0</v>
      </c>
      <c r="BF40" s="51" t="n">
        <v>0</v>
      </c>
    </row>
    <row r="41">
      <c r="A41">
        <f>HYPERLINK("https://www.walmart.com/ip/807759063", "807759063")</f>
        <v/>
      </c>
      <c r="B41" t="inlineStr">
        <is>
          <t>Flyingstar Wind and Waterproof Blanket, Sherpa Lining Fleece Blanket, Triple Layers Warm Comfy Foldable Blanket for Camping, Stadium, Picnics, Sports, Grass, Concerts, and Pets, Navy Blue/Grey, 59" X 80"</t>
        </is>
      </c>
      <c r="C41" t="inlineStr">
        <is>
          <t>1WMBW608NYGY-TBCB</t>
        </is>
      </c>
      <c r="D41" t="inlineStr">
        <is>
          <t>Picnic Blankets &amp; Mats</t>
        </is>
      </c>
      <c r="E41" t="inlineStr">
        <is>
          <t>Flyingstar</t>
        </is>
      </c>
      <c r="F41" t="inlineStr">
        <is>
          <t>Q2-Target,Optimized,WFS,WFS Item</t>
        </is>
      </c>
      <c r="G41" s="48" t="n">
        <v>39.99</v>
      </c>
      <c r="H41" s="48" t="n">
        <v>79.98</v>
      </c>
      <c r="I41" s="48" t="n">
        <v>36.99</v>
      </c>
      <c r="J41" s="48" t="n">
        <v>36.99</v>
      </c>
      <c r="K41" s="49" t="n">
        <v>1</v>
      </c>
      <c r="L41" s="49" t="n">
        <v>2</v>
      </c>
      <c r="M41" s="49" t="n">
        <v>1</v>
      </c>
      <c r="N41" s="49" t="n">
        <v>1</v>
      </c>
      <c r="O41" s="49" t="n">
        <v>24</v>
      </c>
      <c r="P41" s="49" t="n">
        <v>24</v>
      </c>
      <c r="Q41" s="49" t="n">
        <v>24</v>
      </c>
      <c r="R41" s="49" t="n">
        <v>28</v>
      </c>
      <c r="S41" s="50" t="n">
        <v>0.04166666666666666</v>
      </c>
      <c r="T41" s="50" t="n">
        <v>0.08333333333333333</v>
      </c>
      <c r="U41" s="50" t="n">
        <v>0.04166666666666666</v>
      </c>
      <c r="V41" s="50" t="n">
        <v>0.03571428571428571</v>
      </c>
      <c r="W41" s="51" t="n">
        <v>24</v>
      </c>
      <c r="X41" s="51" t="n">
        <v>35</v>
      </c>
      <c r="Y41" s="51" t="n">
        <v>29</v>
      </c>
      <c r="Z41" s="51" t="n">
        <v>34</v>
      </c>
      <c r="AA41" s="52" t="n">
        <v>8.059999999999999</v>
      </c>
      <c r="AB41" s="52" t="n">
        <v>13.69</v>
      </c>
      <c r="AC41" s="52" t="n">
        <v>11.65</v>
      </c>
      <c r="AD41" s="52" t="n">
        <v>13.02</v>
      </c>
      <c r="AE41" s="52" t="n">
        <v>39.99</v>
      </c>
      <c r="AF41" s="52" t="n">
        <v>39.99</v>
      </c>
      <c r="AG41" s="52" t="n">
        <v>36.99</v>
      </c>
      <c r="AH41" s="52" t="n">
        <v>64.98</v>
      </c>
      <c r="AI41" s="52" t="n">
        <v>4.96</v>
      </c>
      <c r="AJ41" s="52" t="n">
        <v>2.92</v>
      </c>
      <c r="AK41" s="52" t="n">
        <v>3.18</v>
      </c>
      <c r="AL41" s="52" t="n">
        <v>4.99</v>
      </c>
      <c r="AM41" s="53" t="n">
        <v>0.0017</v>
      </c>
      <c r="AN41" s="53" t="n">
        <v>0.0021</v>
      </c>
      <c r="AO41" s="53" t="n">
        <v>0.0021</v>
      </c>
      <c r="AP41" s="53" t="n">
        <v>0.0026</v>
      </c>
      <c r="AQ41" s="52" t="n">
        <v>0.3358333333333333</v>
      </c>
      <c r="AR41" s="52" t="n">
        <v>0.3911428571428572</v>
      </c>
      <c r="AS41" s="52" t="n">
        <v>0.4017241379310346</v>
      </c>
      <c r="AT41" s="52" t="n">
        <v>0.3829411764705882</v>
      </c>
      <c r="AU41" s="53" t="n">
        <v>0.2015503875968992</v>
      </c>
      <c r="AV41" s="53" t="n">
        <v>0.171167791947987</v>
      </c>
      <c r="AW41" s="53" t="n">
        <v>0.3149499864828332</v>
      </c>
      <c r="AX41" s="53" t="n">
        <v>0.3519870235198702</v>
      </c>
      <c r="AY41" s="52" t="n">
        <v>39.99</v>
      </c>
      <c r="AZ41" s="52" t="n">
        <v>39.99</v>
      </c>
      <c r="BA41" s="52" t="n">
        <v>36.99</v>
      </c>
      <c r="BB41" s="52" t="n">
        <v>36.99</v>
      </c>
      <c r="BC41" s="51" t="n">
        <v>14170</v>
      </c>
      <c r="BD41" s="51" t="n">
        <v>16664</v>
      </c>
      <c r="BE41" s="51" t="n">
        <v>14128</v>
      </c>
      <c r="BF41" s="51" t="n">
        <v>12838</v>
      </c>
    </row>
    <row r="42">
      <c r="A42">
        <f>HYPERLINK("https://www.walmart.com/ip/866228722", "866228722")</f>
        <v/>
      </c>
      <c r="B42" t="inlineStr">
        <is>
          <t>Catalonia Waterproof Blanket, Pee Proof Couch Sofa Bed Protector Cover for Baby, Super Cozy Plush Fleece Warm Sherpa Lining Throws and Blankets for Boating Camping, 60x80 inches, Taupe</t>
        </is>
      </c>
      <c r="C42" t="inlineStr">
        <is>
          <t>1CTBW682TPTP</t>
        </is>
      </c>
      <c r="D42" t="inlineStr">
        <is>
          <t>Throws</t>
        </is>
      </c>
      <c r="E42" t="inlineStr">
        <is>
          <t>Catalonia</t>
        </is>
      </c>
      <c r="F42" t="inlineStr">
        <is>
          <t>Q2-Target,High AUR Items,Wproof Blanket,Batch 1 - TR</t>
        </is>
      </c>
      <c r="G42" s="48" t="n">
        <v>39.99</v>
      </c>
      <c r="H42" s="48" t="n">
        <v>0</v>
      </c>
      <c r="I42" s="48" t="n">
        <v>0</v>
      </c>
      <c r="J42" s="48" t="n">
        <v>0</v>
      </c>
      <c r="K42" s="49" t="n">
        <v>1</v>
      </c>
      <c r="L42" s="49" t="n">
        <v>0</v>
      </c>
      <c r="M42" s="49" t="n">
        <v>0</v>
      </c>
      <c r="N42" s="49" t="n">
        <v>0</v>
      </c>
      <c r="O42" s="49" t="n">
        <v>0</v>
      </c>
      <c r="P42" s="49" t="n">
        <v>0</v>
      </c>
      <c r="Q42" s="49" t="n">
        <v>0</v>
      </c>
      <c r="R42" s="49" t="n">
        <v>0</v>
      </c>
      <c r="S42" s="50" t="n">
        <v>0</v>
      </c>
      <c r="T42" s="50" t="n">
        <v>0</v>
      </c>
      <c r="U42" s="50" t="n">
        <v>0</v>
      </c>
      <c r="V42" s="50" t="n">
        <v>0</v>
      </c>
      <c r="W42" s="51" t="n">
        <v>7</v>
      </c>
      <c r="X42" s="51" t="n">
        <v>2</v>
      </c>
      <c r="Y42" s="51" t="n">
        <v>2</v>
      </c>
      <c r="Z42" s="51" t="n">
        <v>0</v>
      </c>
      <c r="AA42" s="52" t="n">
        <v>3.4</v>
      </c>
      <c r="AB42" s="52" t="n">
        <v>1</v>
      </c>
      <c r="AC42" s="52" t="n">
        <v>1.04</v>
      </c>
      <c r="AD42" s="52" t="n">
        <v>0</v>
      </c>
      <c r="AE42" s="52" t="n">
        <v>0</v>
      </c>
      <c r="AF42" s="52" t="n">
        <v>0</v>
      </c>
      <c r="AG42" s="52" t="n">
        <v>0</v>
      </c>
      <c r="AH42" s="52" t="n">
        <v>0</v>
      </c>
      <c r="AI42" s="52" t="n">
        <v>0</v>
      </c>
      <c r="AJ42" s="52" t="n">
        <v>0</v>
      </c>
      <c r="AK42" s="52" t="n">
        <v>0</v>
      </c>
      <c r="AL42" s="52" t="n">
        <v>0</v>
      </c>
      <c r="AM42" s="53" t="n">
        <v>0.0031</v>
      </c>
      <c r="AN42" s="53" t="n">
        <v>0.0012</v>
      </c>
      <c r="AO42" s="53" t="n">
        <v>0.0014</v>
      </c>
      <c r="AP42" s="53" t="n">
        <v>0</v>
      </c>
      <c r="AQ42" s="52" t="n">
        <v>0.4857142857142858</v>
      </c>
      <c r="AR42" s="52" t="n">
        <v>0.5</v>
      </c>
      <c r="AS42" s="52" t="n">
        <v>0.52</v>
      </c>
      <c r="AT42" s="52" t="n">
        <v>0</v>
      </c>
      <c r="AU42" s="53" t="n">
        <v>0.08502125531382847</v>
      </c>
      <c r="AV42" s="53" t="n">
        <v>0</v>
      </c>
      <c r="AW42" s="53" t="n">
        <v>0</v>
      </c>
      <c r="AX42" s="53" t="n">
        <v>0</v>
      </c>
      <c r="AY42" s="52" t="n">
        <v>39.99</v>
      </c>
      <c r="AZ42" s="52" t="n">
        <v>0</v>
      </c>
      <c r="BA42" s="52" t="n">
        <v>0</v>
      </c>
      <c r="BB42" s="52" t="n">
        <v>0</v>
      </c>
      <c r="BC42" s="51" t="n">
        <v>2266</v>
      </c>
      <c r="BD42" s="51" t="n">
        <v>1687</v>
      </c>
      <c r="BE42" s="51" t="n">
        <v>1469</v>
      </c>
      <c r="BF42" s="51" t="n">
        <v>1364</v>
      </c>
    </row>
    <row r="43">
      <c r="A43">
        <f>HYPERLINK("https://www.walmart.com/ip/323669219", "323669219")</f>
        <v/>
      </c>
      <c r="B43" t="inlineStr">
        <is>
          <t>Tirrinia Wind and Waterproof Blanket, Sherpa Lining Fleece Blanket, Triple Layers Warm Comfy Foldable Blanket for Camping, Stadium, Picnics, Sports, Grass, Concerts and Pets, Navy Blue/Grey, 60'' x 80''</t>
        </is>
      </c>
      <c r="C43" t="inlineStr">
        <is>
          <t>1TRBW608NYGY-TBCB</t>
        </is>
      </c>
      <c r="D43" t="inlineStr">
        <is>
          <t>Picnic Blankets &amp; Mats</t>
        </is>
      </c>
      <c r="E43" t="inlineStr">
        <is>
          <t>Tirrinia</t>
        </is>
      </c>
      <c r="F43" t="inlineStr">
        <is>
          <t>Q2-Target,Optimized,High AUR Items</t>
        </is>
      </c>
      <c r="G43" s="48" t="n">
        <v>39.99</v>
      </c>
      <c r="H43" s="48" t="n">
        <v>0</v>
      </c>
      <c r="I43" s="48" t="n">
        <v>39.99</v>
      </c>
      <c r="J43" s="48" t="n">
        <v>0</v>
      </c>
      <c r="K43" s="49" t="n">
        <v>1</v>
      </c>
      <c r="L43" s="49" t="n">
        <v>0</v>
      </c>
      <c r="M43" s="49" t="n">
        <v>1</v>
      </c>
      <c r="N43" s="49" t="n">
        <v>0</v>
      </c>
      <c r="O43" s="49" t="n">
        <v>0</v>
      </c>
      <c r="P43" s="49" t="n">
        <v>0</v>
      </c>
      <c r="Q43" s="49" t="n">
        <v>0</v>
      </c>
      <c r="R43" s="49" t="n">
        <v>0</v>
      </c>
      <c r="S43" s="50" t="n">
        <v>0</v>
      </c>
      <c r="T43" s="50" t="n">
        <v>0</v>
      </c>
      <c r="U43" s="50" t="n">
        <v>0</v>
      </c>
      <c r="V43" s="50" t="n">
        <v>0</v>
      </c>
      <c r="W43" s="51" t="n">
        <v>0</v>
      </c>
      <c r="X43" s="51" t="n">
        <v>0</v>
      </c>
      <c r="Y43" s="51" t="n">
        <v>0</v>
      </c>
      <c r="Z43" s="51" t="n">
        <v>0</v>
      </c>
      <c r="AA43" s="52" t="n">
        <v>0</v>
      </c>
      <c r="AB43" s="52" t="n">
        <v>0</v>
      </c>
      <c r="AC43" s="52" t="n">
        <v>0</v>
      </c>
      <c r="AD43" s="52" t="n">
        <v>0</v>
      </c>
      <c r="AE43" s="52" t="n">
        <v>0</v>
      </c>
      <c r="AF43" s="52" t="n">
        <v>0</v>
      </c>
      <c r="AG43" s="52" t="n">
        <v>0</v>
      </c>
      <c r="AH43" s="52" t="n">
        <v>0</v>
      </c>
      <c r="AI43" s="52" t="n">
        <v>0</v>
      </c>
      <c r="AJ43" s="52" t="n">
        <v>0</v>
      </c>
      <c r="AK43" s="52" t="n">
        <v>0</v>
      </c>
      <c r="AL43" s="52" t="n">
        <v>0</v>
      </c>
      <c r="AM43" s="53" t="n">
        <v>0</v>
      </c>
      <c r="AN43" s="53" t="n">
        <v>0</v>
      </c>
      <c r="AO43" s="53" t="n">
        <v>0</v>
      </c>
      <c r="AP43" s="53" t="n">
        <v>0</v>
      </c>
      <c r="AQ43" s="52" t="n">
        <v>0</v>
      </c>
      <c r="AR43" s="52" t="n">
        <v>0</v>
      </c>
      <c r="AS43" s="52" t="n">
        <v>0</v>
      </c>
      <c r="AT43" s="52" t="n">
        <v>0</v>
      </c>
      <c r="AU43" s="53" t="n">
        <v>0</v>
      </c>
      <c r="AV43" s="53" t="n">
        <v>0</v>
      </c>
      <c r="AW43" s="53" t="n">
        <v>0</v>
      </c>
      <c r="AX43" s="53" t="n">
        <v>0</v>
      </c>
      <c r="AY43" s="52" t="n">
        <v>39.99</v>
      </c>
      <c r="AZ43" s="52" t="n">
        <v>0</v>
      </c>
      <c r="BA43" s="52" t="n">
        <v>39.99</v>
      </c>
      <c r="BB43" s="52" t="n">
        <v>0</v>
      </c>
      <c r="BC43" s="51" t="n">
        <v>0</v>
      </c>
      <c r="BD43" s="51" t="n">
        <v>0</v>
      </c>
      <c r="BE43" s="51" t="n">
        <v>0</v>
      </c>
      <c r="BF43" s="51" t="n">
        <v>0</v>
      </c>
    </row>
    <row r="44">
      <c r="A44">
        <f>HYPERLINK("https://www.walmart.com/ip/703963438", "703963438")</f>
        <v/>
      </c>
      <c r="B44" t="inlineStr">
        <is>
          <t>Tirrinia Outdoors Waterproof Throw Blanket, Stadium Windproof Sherpa Fleece Blanket for Traveling, Camping, Hiking, and Football, Machine Washable, Navy Blue, 60'' x 80''</t>
        </is>
      </c>
      <c r="C44" t="inlineStr">
        <is>
          <t>1TRBW608NYGY</t>
        </is>
      </c>
      <c r="D44" t="inlineStr">
        <is>
          <t>Throws</t>
        </is>
      </c>
      <c r="E44" t="inlineStr">
        <is>
          <t>Tirrinia</t>
        </is>
      </c>
      <c r="F44" t="inlineStr">
        <is>
          <t>Optimized,AMZ Bestsellers</t>
        </is>
      </c>
      <c r="G44" s="48" t="n">
        <v>39.99</v>
      </c>
      <c r="H44" s="48" t="n">
        <v>0</v>
      </c>
      <c r="I44" s="48" t="n">
        <v>0</v>
      </c>
      <c r="J44" s="48" t="n">
        <v>0</v>
      </c>
      <c r="K44" s="49" t="n">
        <v>1</v>
      </c>
      <c r="L44" s="49" t="n">
        <v>0</v>
      </c>
      <c r="M44" s="49" t="n">
        <v>0</v>
      </c>
      <c r="N44" s="49" t="n">
        <v>0</v>
      </c>
      <c r="O44" s="49" t="n">
        <v>5</v>
      </c>
      <c r="P44" s="49" t="n">
        <v>5</v>
      </c>
      <c r="Q44" s="49" t="n">
        <v>4</v>
      </c>
      <c r="R44" s="49" t="n">
        <v>0</v>
      </c>
      <c r="S44" s="50" t="n">
        <v>0.2</v>
      </c>
      <c r="T44" s="50" t="n">
        <v>0</v>
      </c>
      <c r="U44" s="50" t="n">
        <v>0</v>
      </c>
      <c r="V44" s="50" t="n">
        <v>0</v>
      </c>
      <c r="W44" s="51" t="n">
        <v>2</v>
      </c>
      <c r="X44" s="51" t="n">
        <v>9</v>
      </c>
      <c r="Y44" s="51" t="n">
        <v>0</v>
      </c>
      <c r="Z44" s="51" t="n">
        <v>1</v>
      </c>
      <c r="AA44" s="52" t="n">
        <v>0.9199999999999999</v>
      </c>
      <c r="AB44" s="52" t="n">
        <v>4.02</v>
      </c>
      <c r="AC44" s="52" t="n">
        <v>0</v>
      </c>
      <c r="AD44" s="52" t="n">
        <v>0.48</v>
      </c>
      <c r="AE44" s="52" t="n">
        <v>0</v>
      </c>
      <c r="AF44" s="52" t="n">
        <v>0</v>
      </c>
      <c r="AG44" s="52" t="n">
        <v>0</v>
      </c>
      <c r="AH44" s="52" t="n">
        <v>0</v>
      </c>
      <c r="AI44" s="52" t="n">
        <v>0</v>
      </c>
      <c r="AJ44" s="52" t="n">
        <v>0</v>
      </c>
      <c r="AK44" s="52" t="n">
        <v>0</v>
      </c>
      <c r="AL44" s="52" t="n">
        <v>0</v>
      </c>
      <c r="AM44" s="53" t="n">
        <v>0.0005999999999999999</v>
      </c>
      <c r="AN44" s="53" t="n">
        <v>0.0021</v>
      </c>
      <c r="AO44" s="53" t="n">
        <v>0</v>
      </c>
      <c r="AP44" s="53" t="n">
        <v>0.0019</v>
      </c>
      <c r="AQ44" s="52" t="n">
        <v>0.46</v>
      </c>
      <c r="AR44" s="52" t="n">
        <v>0.4466666666666666</v>
      </c>
      <c r="AS44" s="52" t="n">
        <v>0</v>
      </c>
      <c r="AT44" s="52" t="n">
        <v>0.48</v>
      </c>
      <c r="AU44" s="53" t="n">
        <v>0.02300575143785946</v>
      </c>
      <c r="AV44" s="53" t="n">
        <v>0</v>
      </c>
      <c r="AW44" s="53" t="n">
        <v>0</v>
      </c>
      <c r="AX44" s="53" t="n">
        <v>0</v>
      </c>
      <c r="AY44" s="52" t="n">
        <v>39.99</v>
      </c>
      <c r="AZ44" s="52" t="n">
        <v>0</v>
      </c>
      <c r="BA44" s="52" t="n">
        <v>0</v>
      </c>
      <c r="BB44" s="52" t="n">
        <v>0</v>
      </c>
      <c r="BC44" s="51" t="n">
        <v>3220</v>
      </c>
      <c r="BD44" s="51" t="n">
        <v>4245</v>
      </c>
      <c r="BE44" s="51" t="n">
        <v>0</v>
      </c>
      <c r="BF44" s="51" t="n">
        <v>525</v>
      </c>
    </row>
    <row r="45">
      <c r="A45">
        <f>HYPERLINK("https://www.walmart.com/ip/2709770044", "2709770044")</f>
        <v/>
      </c>
      <c r="B45" t="inlineStr">
        <is>
          <t>Wrangler Men’s Leather Country Casual Every Day Dress Belt for Jeans, Khakis Brown 38</t>
        </is>
      </c>
      <c r="C45" t="inlineStr">
        <is>
          <t>WR-BELT-MENS-COUNTRY-BROWN-38</t>
        </is>
      </c>
      <c r="D45" t="inlineStr">
        <is>
          <t>Belts</t>
        </is>
      </c>
      <c r="E45" t="inlineStr">
        <is>
          <t>Wrangler</t>
        </is>
      </c>
      <c r="F45" t="inlineStr">
        <is>
          <t>Belts</t>
        </is>
      </c>
      <c r="G45" s="48" t="n">
        <v>39.98</v>
      </c>
      <c r="H45" s="48" t="n">
        <v>-19.99</v>
      </c>
      <c r="I45" s="48" t="n">
        <v>19.99</v>
      </c>
      <c r="J45" s="48" t="n">
        <v>-19.99</v>
      </c>
      <c r="K45" s="49" t="n">
        <v>2</v>
      </c>
      <c r="L45" s="49" t="n">
        <v>-1</v>
      </c>
      <c r="M45" s="49" t="n">
        <v>1</v>
      </c>
      <c r="N45" s="49" t="n">
        <v>-1</v>
      </c>
      <c r="O45" s="49" t="n">
        <v>0</v>
      </c>
      <c r="P45" s="49" t="n">
        <v>0</v>
      </c>
      <c r="Q45" s="49" t="n">
        <v>0</v>
      </c>
      <c r="R45" s="49" t="n">
        <v>0</v>
      </c>
      <c r="S45" s="50" t="n">
        <v>0</v>
      </c>
      <c r="T45" s="50" t="n">
        <v>0</v>
      </c>
      <c r="U45" s="50" t="n">
        <v>0</v>
      </c>
      <c r="V45" s="50" t="n">
        <v>0</v>
      </c>
      <c r="W45" s="51" t="n">
        <v>0</v>
      </c>
      <c r="X45" s="51" t="n">
        <v>0</v>
      </c>
      <c r="Y45" s="51" t="n">
        <v>0</v>
      </c>
      <c r="Z45" s="51" t="n">
        <v>0</v>
      </c>
      <c r="AA45" s="52" t="n">
        <v>0</v>
      </c>
      <c r="AB45" s="52" t="n">
        <v>0</v>
      </c>
      <c r="AC45" s="52" t="n">
        <v>0</v>
      </c>
      <c r="AD45" s="52" t="n">
        <v>0</v>
      </c>
      <c r="AE45" s="52" t="n">
        <v>0</v>
      </c>
      <c r="AF45" s="52" t="n">
        <v>0</v>
      </c>
      <c r="AG45" s="52" t="n">
        <v>0</v>
      </c>
      <c r="AH45" s="52" t="n">
        <v>0</v>
      </c>
      <c r="AI45" s="52" t="n">
        <v>0</v>
      </c>
      <c r="AJ45" s="52" t="n">
        <v>0</v>
      </c>
      <c r="AK45" s="52" t="n">
        <v>0</v>
      </c>
      <c r="AL45" s="52" t="n">
        <v>0</v>
      </c>
      <c r="AM45" s="53" t="n">
        <v>0</v>
      </c>
      <c r="AN45" s="53" t="n">
        <v>0</v>
      </c>
      <c r="AO45" s="53" t="n">
        <v>0</v>
      </c>
      <c r="AP45" s="53" t="n">
        <v>0</v>
      </c>
      <c r="AQ45" s="52" t="n">
        <v>0</v>
      </c>
      <c r="AR45" s="52" t="n">
        <v>0</v>
      </c>
      <c r="AS45" s="52" t="n">
        <v>0</v>
      </c>
      <c r="AT45" s="52" t="n">
        <v>0</v>
      </c>
      <c r="AU45" s="53" t="n">
        <v>0</v>
      </c>
      <c r="AV45" s="53" t="n">
        <v>0</v>
      </c>
      <c r="AW45" s="53" t="n">
        <v>0</v>
      </c>
      <c r="AX45" s="53" t="n">
        <v>0</v>
      </c>
      <c r="AY45" s="52" t="n">
        <v>19.99</v>
      </c>
      <c r="AZ45" s="52" t="n">
        <v>0</v>
      </c>
      <c r="BA45" s="52" t="n">
        <v>19.99</v>
      </c>
      <c r="BB45" s="52" t="n">
        <v>0</v>
      </c>
      <c r="BC45" s="51" t="n">
        <v>0</v>
      </c>
      <c r="BD45" s="51" t="n">
        <v>0</v>
      </c>
      <c r="BE45" s="51" t="n">
        <v>0</v>
      </c>
      <c r="BF45" s="51" t="n">
        <v>0</v>
      </c>
    </row>
    <row r="46">
      <c r="A46">
        <f>HYPERLINK("https://www.walmart.com/ip/3532120861", "3532120861")</f>
        <v/>
      </c>
      <c r="B46" t="inlineStr">
        <is>
          <t>Wrangler Men’s Leather Country Casual Every Day Dress Belt for Jeans, Khakis Brown 36</t>
        </is>
      </c>
      <c r="C46" t="inlineStr">
        <is>
          <t>WR-BELT-MENS-COUNTRY-BROWN-36</t>
        </is>
      </c>
      <c r="D46" t="inlineStr">
        <is>
          <t>Belts</t>
        </is>
      </c>
      <c r="E46" t="inlineStr">
        <is>
          <t>Wrangler</t>
        </is>
      </c>
      <c r="F46" t="inlineStr">
        <is>
          <t>Belts</t>
        </is>
      </c>
      <c r="G46" s="48" t="n">
        <v>39.98</v>
      </c>
      <c r="H46" s="48" t="n">
        <v>19.99</v>
      </c>
      <c r="I46" s="48" t="n">
        <v>19.99</v>
      </c>
      <c r="J46" s="48" t="n">
        <v>0</v>
      </c>
      <c r="K46" s="49" t="n">
        <v>2</v>
      </c>
      <c r="L46" s="49" t="n">
        <v>1</v>
      </c>
      <c r="M46" s="49" t="n">
        <v>1</v>
      </c>
      <c r="N46" s="49" t="n">
        <v>0</v>
      </c>
      <c r="O46" s="49" t="n">
        <v>2</v>
      </c>
      <c r="P46" s="49" t="n">
        <v>2</v>
      </c>
      <c r="Q46" s="49" t="n">
        <v>3</v>
      </c>
      <c r="R46" s="49" t="n">
        <v>2</v>
      </c>
      <c r="S46" s="50" t="n">
        <v>1</v>
      </c>
      <c r="T46" s="50" t="n">
        <v>0.5</v>
      </c>
      <c r="U46" s="50" t="n">
        <v>0.3333333333333333</v>
      </c>
      <c r="V46" s="50" t="n">
        <v>0</v>
      </c>
      <c r="W46" s="51" t="n">
        <v>0</v>
      </c>
      <c r="X46" s="51" t="n">
        <v>0</v>
      </c>
      <c r="Y46" s="51" t="n">
        <v>0</v>
      </c>
      <c r="Z46" s="51" t="n">
        <v>0</v>
      </c>
      <c r="AA46" s="52" t="n">
        <v>0</v>
      </c>
      <c r="AB46" s="52" t="n">
        <v>0</v>
      </c>
      <c r="AC46" s="52" t="n">
        <v>0</v>
      </c>
      <c r="AD46" s="52" t="n">
        <v>0</v>
      </c>
      <c r="AE46" s="52" t="n">
        <v>0</v>
      </c>
      <c r="AF46" s="52" t="n">
        <v>0</v>
      </c>
      <c r="AG46" s="52" t="n">
        <v>0</v>
      </c>
      <c r="AH46" s="52" t="n">
        <v>0</v>
      </c>
      <c r="AI46" s="52" t="n">
        <v>0</v>
      </c>
      <c r="AJ46" s="52" t="n">
        <v>0</v>
      </c>
      <c r="AK46" s="52" t="n">
        <v>0</v>
      </c>
      <c r="AL46" s="52" t="n">
        <v>0</v>
      </c>
      <c r="AM46" s="53" t="n">
        <v>0</v>
      </c>
      <c r="AN46" s="53" t="n">
        <v>0</v>
      </c>
      <c r="AO46" s="53" t="n">
        <v>0</v>
      </c>
      <c r="AP46" s="53" t="n">
        <v>0</v>
      </c>
      <c r="AQ46" s="52" t="n">
        <v>0</v>
      </c>
      <c r="AR46" s="52" t="n">
        <v>0</v>
      </c>
      <c r="AS46" s="52" t="n">
        <v>0</v>
      </c>
      <c r="AT46" s="52" t="n">
        <v>0</v>
      </c>
      <c r="AU46" s="53" t="n">
        <v>0</v>
      </c>
      <c r="AV46" s="53" t="n">
        <v>0</v>
      </c>
      <c r="AW46" s="53" t="n">
        <v>0</v>
      </c>
      <c r="AX46" s="53" t="n">
        <v>0</v>
      </c>
      <c r="AY46" s="52" t="n">
        <v>19.99</v>
      </c>
      <c r="AZ46" s="52" t="n">
        <v>19.99</v>
      </c>
      <c r="BA46" s="52" t="n">
        <v>19.99</v>
      </c>
      <c r="BB46" s="52" t="n">
        <v>0</v>
      </c>
      <c r="BC46" s="51" t="n">
        <v>0</v>
      </c>
      <c r="BD46" s="51" t="n">
        <v>0</v>
      </c>
      <c r="BE46" s="51" t="n">
        <v>0</v>
      </c>
      <c r="BF46" s="51" t="n">
        <v>0</v>
      </c>
    </row>
    <row r="47">
      <c r="A47">
        <f>HYPERLINK("https://www.walmart.com/ip/10305562753", "10305562753")</f>
        <v/>
      </c>
      <c r="B47" t="inlineStr">
        <is>
          <t>Wrangler Men’s Full Grain Genuine Leather 35mm Thick Casual Belt for Jeans, Pants - Brown, 36</t>
        </is>
      </c>
      <c r="C47" t="inlineStr">
        <is>
          <t>WR-BELT-MENS-35MM-BROWN-36</t>
        </is>
      </c>
      <c r="D47" t="inlineStr">
        <is>
          <t>Belts</t>
        </is>
      </c>
      <c r="E47" t="inlineStr">
        <is>
          <t>Wrangler</t>
        </is>
      </c>
      <c r="F47" t="inlineStr">
        <is>
          <t>Belts</t>
        </is>
      </c>
      <c r="G47" s="48" t="n">
        <v>39.98</v>
      </c>
      <c r="H47" s="48" t="n">
        <v>0</v>
      </c>
      <c r="I47" s="48" t="n">
        <v>0</v>
      </c>
      <c r="J47" s="48" t="n">
        <v>19.99</v>
      </c>
      <c r="K47" s="49" t="n">
        <v>2</v>
      </c>
      <c r="L47" s="49" t="n">
        <v>0</v>
      </c>
      <c r="M47" s="49" t="n">
        <v>0</v>
      </c>
      <c r="N47" s="49" t="n">
        <v>1</v>
      </c>
      <c r="O47" s="49" t="n">
        <v>0</v>
      </c>
      <c r="P47" s="49" t="n">
        <v>0</v>
      </c>
      <c r="Q47" s="49" t="n">
        <v>0</v>
      </c>
      <c r="R47" s="49" t="n">
        <v>0</v>
      </c>
      <c r="S47" s="50" t="n">
        <v>0</v>
      </c>
      <c r="T47" s="50" t="n">
        <v>0</v>
      </c>
      <c r="U47" s="50" t="n">
        <v>0</v>
      </c>
      <c r="V47" s="50" t="n">
        <v>0</v>
      </c>
      <c r="W47" s="51" t="n">
        <v>0</v>
      </c>
      <c r="X47" s="51" t="n">
        <v>0</v>
      </c>
      <c r="Y47" s="51" t="n">
        <v>0</v>
      </c>
      <c r="Z47" s="51" t="n">
        <v>0</v>
      </c>
      <c r="AA47" s="52" t="n">
        <v>0</v>
      </c>
      <c r="AB47" s="52" t="n">
        <v>0</v>
      </c>
      <c r="AC47" s="52" t="n">
        <v>0</v>
      </c>
      <c r="AD47" s="52" t="n">
        <v>0</v>
      </c>
      <c r="AE47" s="52" t="n">
        <v>0</v>
      </c>
      <c r="AF47" s="52" t="n">
        <v>0</v>
      </c>
      <c r="AG47" s="52" t="n">
        <v>0</v>
      </c>
      <c r="AH47" s="52" t="n">
        <v>0</v>
      </c>
      <c r="AI47" s="52" t="n">
        <v>0</v>
      </c>
      <c r="AJ47" s="52" t="n">
        <v>0</v>
      </c>
      <c r="AK47" s="52" t="n">
        <v>0</v>
      </c>
      <c r="AL47" s="52" t="n">
        <v>0</v>
      </c>
      <c r="AM47" s="53" t="n">
        <v>0</v>
      </c>
      <c r="AN47" s="53" t="n">
        <v>0</v>
      </c>
      <c r="AO47" s="53" t="n">
        <v>0</v>
      </c>
      <c r="AP47" s="53" t="n">
        <v>0</v>
      </c>
      <c r="AQ47" s="52" t="n">
        <v>0</v>
      </c>
      <c r="AR47" s="52" t="n">
        <v>0</v>
      </c>
      <c r="AS47" s="52" t="n">
        <v>0</v>
      </c>
      <c r="AT47" s="52" t="n">
        <v>0</v>
      </c>
      <c r="AU47" s="53" t="n">
        <v>0</v>
      </c>
      <c r="AV47" s="53" t="n">
        <v>0</v>
      </c>
      <c r="AW47" s="53" t="n">
        <v>0</v>
      </c>
      <c r="AX47" s="53" t="n">
        <v>0</v>
      </c>
      <c r="AY47" s="52" t="n">
        <v>19.99</v>
      </c>
      <c r="AZ47" s="52" t="n">
        <v>0</v>
      </c>
      <c r="BA47" s="52" t="n">
        <v>0</v>
      </c>
      <c r="BB47" s="52" t="n">
        <v>19.99</v>
      </c>
      <c r="BC47" s="51" t="n">
        <v>0</v>
      </c>
      <c r="BD47" s="51" t="n">
        <v>0</v>
      </c>
      <c r="BE47" s="51" t="n">
        <v>0</v>
      </c>
      <c r="BF47" s="51" t="n">
        <v>0</v>
      </c>
    </row>
    <row r="48">
      <c r="A48">
        <f>HYPERLINK("https://www.walmart.com/ip/10303765497", "10303765497")</f>
        <v/>
      </c>
      <c r="B48" t="inlineStr">
        <is>
          <t>Wrangler Men’s Full Grain Genuine Leather 35mm Thick Casual Belt for Jeans, Pants - Light Brown, 34</t>
        </is>
      </c>
      <c r="C48" t="inlineStr">
        <is>
          <t>WR-BELT-MENS-35MM-LTBROWN-34</t>
        </is>
      </c>
      <c r="D48" t="inlineStr">
        <is>
          <t>Belts</t>
        </is>
      </c>
      <c r="E48" t="inlineStr">
        <is>
          <t>Wrangler</t>
        </is>
      </c>
      <c r="F48" t="inlineStr">
        <is>
          <t>Belts</t>
        </is>
      </c>
      <c r="G48" s="48" t="n">
        <v>39.98</v>
      </c>
      <c r="H48" s="48" t="n">
        <v>39.98</v>
      </c>
      <c r="I48" s="48" t="n">
        <v>0</v>
      </c>
      <c r="J48" s="48" t="n">
        <v>79.95999999999999</v>
      </c>
      <c r="K48" s="49" t="n">
        <v>2</v>
      </c>
      <c r="L48" s="49" t="n">
        <v>2</v>
      </c>
      <c r="M48" s="49" t="n">
        <v>0</v>
      </c>
      <c r="N48" s="49" t="n">
        <v>4</v>
      </c>
      <c r="O48" s="49" t="n">
        <v>19</v>
      </c>
      <c r="P48" s="49" t="n">
        <v>12</v>
      </c>
      <c r="Q48" s="49" t="n">
        <v>13</v>
      </c>
      <c r="R48" s="49" t="n">
        <v>14</v>
      </c>
      <c r="S48" s="50" t="n">
        <v>0.1052631578947368</v>
      </c>
      <c r="T48" s="50" t="n">
        <v>0.1666666666666667</v>
      </c>
      <c r="U48" s="50" t="n">
        <v>0</v>
      </c>
      <c r="V48" s="50" t="n">
        <v>0.2857142857142857</v>
      </c>
      <c r="W48" s="51" t="n">
        <v>15</v>
      </c>
      <c r="X48" s="51" t="n">
        <v>19</v>
      </c>
      <c r="Y48" s="51" t="n">
        <v>23</v>
      </c>
      <c r="Z48" s="51" t="n">
        <v>31</v>
      </c>
      <c r="AA48" s="52" t="n">
        <v>4.42</v>
      </c>
      <c r="AB48" s="52" t="n">
        <v>5.529999999999999</v>
      </c>
      <c r="AC48" s="52" t="n">
        <v>6.800000000000001</v>
      </c>
      <c r="AD48" s="52" t="n">
        <v>9.059999999999999</v>
      </c>
      <c r="AE48" s="52" t="n">
        <v>39.98</v>
      </c>
      <c r="AF48" s="52" t="n">
        <v>19.99</v>
      </c>
      <c r="AG48" s="52" t="n">
        <v>79.95999999999999</v>
      </c>
      <c r="AH48" s="52" t="n">
        <v>59.97</v>
      </c>
      <c r="AI48" s="52" t="n">
        <v>9.050000000000001</v>
      </c>
      <c r="AJ48" s="52" t="n">
        <v>3.61</v>
      </c>
      <c r="AK48" s="52" t="n">
        <v>11.76</v>
      </c>
      <c r="AL48" s="52" t="n">
        <v>6.62</v>
      </c>
      <c r="AM48" s="53" t="n">
        <v>0.015</v>
      </c>
      <c r="AN48" s="53" t="n">
        <v>0.0164</v>
      </c>
      <c r="AO48" s="53" t="n">
        <v>0.0157</v>
      </c>
      <c r="AP48" s="53" t="n">
        <v>0.0194</v>
      </c>
      <c r="AQ48" s="52" t="n">
        <v>0.2946666666666667</v>
      </c>
      <c r="AR48" s="52" t="n">
        <v>0.2910526315789473</v>
      </c>
      <c r="AS48" s="52" t="n">
        <v>0.2956521739130435</v>
      </c>
      <c r="AT48" s="52" t="n">
        <v>0.292258064516129</v>
      </c>
      <c r="AU48" s="53" t="n">
        <v>0.1105552776388194</v>
      </c>
      <c r="AV48" s="53" t="n">
        <v>0.1383191595797899</v>
      </c>
      <c r="AW48" s="53" t="n">
        <v>0</v>
      </c>
      <c r="AX48" s="53" t="n">
        <v>0.1133066533266633</v>
      </c>
      <c r="AY48" s="52" t="n">
        <v>19.99</v>
      </c>
      <c r="AZ48" s="52" t="n">
        <v>19.99</v>
      </c>
      <c r="BA48" s="52" t="n">
        <v>0</v>
      </c>
      <c r="BB48" s="52" t="n">
        <v>19.99</v>
      </c>
      <c r="BC48" s="51" t="n">
        <v>998</v>
      </c>
      <c r="BD48" s="51" t="n">
        <v>1156</v>
      </c>
      <c r="BE48" s="51" t="n">
        <v>1463</v>
      </c>
      <c r="BF48" s="51" t="n">
        <v>1601</v>
      </c>
    </row>
    <row r="49">
      <c r="A49">
        <f>HYPERLINK("https://www.walmart.com/ip/107158532", "107158532")</f>
        <v/>
      </c>
      <c r="B49" t="inlineStr">
        <is>
          <t>Catalonia Wearable Blanket with Sleeves and Pocket, Cozy Soft Fleece Micro Plush Wrap Adult Snuggie Blanket Robe for Women Men, Cheetah Pattern Makes a Great Gift for Holidays.</t>
        </is>
      </c>
      <c r="C49" t="inlineStr">
        <is>
          <t>1CTSN100CHEETAH</t>
        </is>
      </c>
      <c r="D49" t="inlineStr">
        <is>
          <t>Throws</t>
        </is>
      </c>
      <c r="E49" t="inlineStr">
        <is>
          <t>Catalonia</t>
        </is>
      </c>
      <c r="F49" t="inlineStr">
        <is>
          <t>WFS,WFS Item</t>
        </is>
      </c>
      <c r="G49" s="48" t="n">
        <v>39.98</v>
      </c>
      <c r="H49" s="48" t="n">
        <v>19.99</v>
      </c>
      <c r="I49" s="48" t="n">
        <v>0</v>
      </c>
      <c r="J49" s="48" t="n">
        <v>0</v>
      </c>
      <c r="K49" s="49" t="n">
        <v>2</v>
      </c>
      <c r="L49" s="49" t="n">
        <v>1</v>
      </c>
      <c r="M49" s="49" t="n">
        <v>0</v>
      </c>
      <c r="N49" s="49" t="n">
        <v>0</v>
      </c>
      <c r="O49" s="49" t="n">
        <v>12</v>
      </c>
      <c r="P49" s="49" t="n">
        <v>2</v>
      </c>
      <c r="Q49" s="49" t="n">
        <v>1</v>
      </c>
      <c r="R49" s="49" t="n">
        <v>6</v>
      </c>
      <c r="S49" s="50" t="n">
        <v>0.1666666666666667</v>
      </c>
      <c r="T49" s="50" t="n">
        <v>0.5</v>
      </c>
      <c r="U49" s="50" t="n">
        <v>0</v>
      </c>
      <c r="V49" s="50" t="n">
        <v>0</v>
      </c>
      <c r="W49" s="51" t="n">
        <v>0</v>
      </c>
      <c r="X49" s="51" t="n">
        <v>0</v>
      </c>
      <c r="Y49" s="51" t="n">
        <v>0</v>
      </c>
      <c r="Z49" s="51" t="n">
        <v>0</v>
      </c>
      <c r="AA49" s="52" t="n">
        <v>0</v>
      </c>
      <c r="AB49" s="52" t="n">
        <v>0</v>
      </c>
      <c r="AC49" s="52" t="n">
        <v>0</v>
      </c>
      <c r="AD49" s="52" t="n">
        <v>0</v>
      </c>
      <c r="AE49" s="52" t="n">
        <v>0</v>
      </c>
      <c r="AF49" s="52" t="n">
        <v>0</v>
      </c>
      <c r="AG49" s="52" t="n">
        <v>0</v>
      </c>
      <c r="AH49" s="52" t="n">
        <v>0</v>
      </c>
      <c r="AI49" s="52" t="n">
        <v>0</v>
      </c>
      <c r="AJ49" s="52" t="n">
        <v>0</v>
      </c>
      <c r="AK49" s="52" t="n">
        <v>0</v>
      </c>
      <c r="AL49" s="52" t="n">
        <v>0</v>
      </c>
      <c r="AM49" s="53" t="n">
        <v>0</v>
      </c>
      <c r="AN49" s="53" t="n">
        <v>0</v>
      </c>
      <c r="AO49" s="53" t="n">
        <v>0</v>
      </c>
      <c r="AP49" s="53" t="n">
        <v>0</v>
      </c>
      <c r="AQ49" s="52" t="n">
        <v>0</v>
      </c>
      <c r="AR49" s="52" t="n">
        <v>0</v>
      </c>
      <c r="AS49" s="52" t="n">
        <v>0</v>
      </c>
      <c r="AT49" s="52" t="n">
        <v>0</v>
      </c>
      <c r="AU49" s="53" t="n">
        <v>0</v>
      </c>
      <c r="AV49" s="53" t="n">
        <v>0</v>
      </c>
      <c r="AW49" s="53" t="n">
        <v>0</v>
      </c>
      <c r="AX49" s="53" t="n">
        <v>0</v>
      </c>
      <c r="AY49" s="52" t="n">
        <v>19.99</v>
      </c>
      <c r="AZ49" s="52" t="n">
        <v>19.99</v>
      </c>
      <c r="BA49" s="52" t="n">
        <v>0</v>
      </c>
      <c r="BB49" s="52" t="n">
        <v>0</v>
      </c>
      <c r="BC49" s="51" t="n">
        <v>0</v>
      </c>
      <c r="BD49" s="51" t="n">
        <v>0</v>
      </c>
      <c r="BE49" s="51" t="n">
        <v>0</v>
      </c>
      <c r="BF49" s="51" t="n">
        <v>0</v>
      </c>
    </row>
    <row r="50">
      <c r="A50">
        <f>HYPERLINK("https://www.walmart.com/ip/10298970245", "10298970245")</f>
        <v/>
      </c>
      <c r="B50" t="inlineStr">
        <is>
          <t>Wrangler Men’s Full Grain Genuine Leather 35mm Thick Casual Belt for Jeans, Pants - Black, 38</t>
        </is>
      </c>
      <c r="C50" t="inlineStr">
        <is>
          <t>WR-BELT-MENS-35MM-BLACK-38</t>
        </is>
      </c>
      <c r="D50" t="inlineStr">
        <is>
          <t>Belts</t>
        </is>
      </c>
      <c r="E50" t="inlineStr">
        <is>
          <t>Wrangler</t>
        </is>
      </c>
      <c r="F50" t="inlineStr">
        <is>
          <t>Belts</t>
        </is>
      </c>
      <c r="G50" s="48" t="n">
        <v>39.98</v>
      </c>
      <c r="H50" s="48" t="n">
        <v>0</v>
      </c>
      <c r="I50" s="48" t="n">
        <v>0</v>
      </c>
      <c r="J50" s="48" t="n">
        <v>-19.99</v>
      </c>
      <c r="K50" s="49" t="n">
        <v>2</v>
      </c>
      <c r="L50" s="49" t="n">
        <v>0</v>
      </c>
      <c r="M50" s="49" t="n">
        <v>0</v>
      </c>
      <c r="N50" s="49" t="n">
        <v>-1</v>
      </c>
      <c r="O50" s="49" t="n">
        <v>0</v>
      </c>
      <c r="P50" s="49" t="n">
        <v>0</v>
      </c>
      <c r="Q50" s="49" t="n">
        <v>0</v>
      </c>
      <c r="R50" s="49" t="n">
        <v>0</v>
      </c>
      <c r="S50" s="50" t="n">
        <v>0</v>
      </c>
      <c r="T50" s="50" t="n">
        <v>0</v>
      </c>
      <c r="U50" s="50" t="n">
        <v>0</v>
      </c>
      <c r="V50" s="50" t="n">
        <v>0</v>
      </c>
      <c r="W50" s="51" t="n">
        <v>0</v>
      </c>
      <c r="X50" s="51" t="n">
        <v>0</v>
      </c>
      <c r="Y50" s="51" t="n">
        <v>0</v>
      </c>
      <c r="Z50" s="51" t="n">
        <v>0</v>
      </c>
      <c r="AA50" s="52" t="n">
        <v>0</v>
      </c>
      <c r="AB50" s="52" t="n">
        <v>0</v>
      </c>
      <c r="AC50" s="52" t="n">
        <v>0</v>
      </c>
      <c r="AD50" s="52" t="n">
        <v>0</v>
      </c>
      <c r="AE50" s="52" t="n">
        <v>0</v>
      </c>
      <c r="AF50" s="52" t="n">
        <v>0</v>
      </c>
      <c r="AG50" s="52" t="n">
        <v>0</v>
      </c>
      <c r="AH50" s="52" t="n">
        <v>0</v>
      </c>
      <c r="AI50" s="52" t="n">
        <v>0</v>
      </c>
      <c r="AJ50" s="52" t="n">
        <v>0</v>
      </c>
      <c r="AK50" s="52" t="n">
        <v>0</v>
      </c>
      <c r="AL50" s="52" t="n">
        <v>0</v>
      </c>
      <c r="AM50" s="53" t="n">
        <v>0</v>
      </c>
      <c r="AN50" s="53" t="n">
        <v>0</v>
      </c>
      <c r="AO50" s="53" t="n">
        <v>0</v>
      </c>
      <c r="AP50" s="53" t="n">
        <v>0</v>
      </c>
      <c r="AQ50" s="52" t="n">
        <v>0</v>
      </c>
      <c r="AR50" s="52" t="n">
        <v>0</v>
      </c>
      <c r="AS50" s="52" t="n">
        <v>0</v>
      </c>
      <c r="AT50" s="52" t="n">
        <v>0</v>
      </c>
      <c r="AU50" s="53" t="n">
        <v>0</v>
      </c>
      <c r="AV50" s="53" t="n">
        <v>0</v>
      </c>
      <c r="AW50" s="53" t="n">
        <v>0</v>
      </c>
      <c r="AX50" s="53" t="n">
        <v>0</v>
      </c>
      <c r="AY50" s="52" t="n">
        <v>19.99</v>
      </c>
      <c r="AZ50" s="52" t="n">
        <v>0</v>
      </c>
      <c r="BA50" s="52" t="n">
        <v>0</v>
      </c>
      <c r="BB50" s="52" t="n">
        <v>0</v>
      </c>
      <c r="BC50" s="51" t="n">
        <v>0</v>
      </c>
      <c r="BD50" s="51" t="n">
        <v>0</v>
      </c>
      <c r="BE50" s="51" t="n">
        <v>0</v>
      </c>
      <c r="BF50" s="51" t="n">
        <v>0</v>
      </c>
    </row>
    <row r="51">
      <c r="A51">
        <f>HYPERLINK("https://www.walmart.com/ip/10298970243", "10298970243")</f>
        <v/>
      </c>
      <c r="B51" t="inlineStr">
        <is>
          <t>Wrangler Men’s Leather Country Casual Every Day Dress Belt for Jeans, Khakis Brown 32</t>
        </is>
      </c>
      <c r="C51" t="inlineStr">
        <is>
          <t>WR-BELT-MENS-COUNTRY-BROWN-32</t>
        </is>
      </c>
      <c r="D51" t="inlineStr">
        <is>
          <t>Belts</t>
        </is>
      </c>
      <c r="E51" t="inlineStr">
        <is>
          <t>Wrangler</t>
        </is>
      </c>
      <c r="F51" t="inlineStr">
        <is>
          <t>Belts</t>
        </is>
      </c>
      <c r="G51" s="48" t="n">
        <v>39.98</v>
      </c>
      <c r="H51" s="48" t="n">
        <v>0</v>
      </c>
      <c r="I51" s="48" t="n">
        <v>19.99</v>
      </c>
      <c r="J51" s="48" t="n">
        <v>0</v>
      </c>
      <c r="K51" s="49" t="n">
        <v>2</v>
      </c>
      <c r="L51" s="49" t="n">
        <v>0</v>
      </c>
      <c r="M51" s="49" t="n">
        <v>1</v>
      </c>
      <c r="N51" s="49" t="n">
        <v>0</v>
      </c>
      <c r="O51" s="49" t="n">
        <v>5</v>
      </c>
      <c r="P51" s="49" t="n">
        <v>0</v>
      </c>
      <c r="Q51" s="49" t="n">
        <v>0</v>
      </c>
      <c r="R51" s="49" t="n">
        <v>0</v>
      </c>
      <c r="S51" s="50" t="n">
        <v>0.4</v>
      </c>
      <c r="T51" s="50" t="n">
        <v>0</v>
      </c>
      <c r="U51" s="50" t="n">
        <v>0</v>
      </c>
      <c r="V51" s="50" t="n">
        <v>0</v>
      </c>
      <c r="W51" s="51" t="n">
        <v>29</v>
      </c>
      <c r="X51" s="51" t="n">
        <v>9</v>
      </c>
      <c r="Y51" s="51" t="n">
        <v>6</v>
      </c>
      <c r="Z51" s="51" t="n">
        <v>10</v>
      </c>
      <c r="AA51" s="52" t="n">
        <v>14.41</v>
      </c>
      <c r="AB51" s="52" t="n">
        <v>4.62</v>
      </c>
      <c r="AC51" s="52" t="n">
        <v>2.71</v>
      </c>
      <c r="AD51" s="52" t="n">
        <v>4.53</v>
      </c>
      <c r="AE51" s="52" t="n">
        <v>119.94</v>
      </c>
      <c r="AF51" s="52" t="n">
        <v>19.99</v>
      </c>
      <c r="AG51" s="52" t="n">
        <v>0</v>
      </c>
      <c r="AH51" s="52" t="n">
        <v>0</v>
      </c>
      <c r="AI51" s="52" t="n">
        <v>8.32</v>
      </c>
      <c r="AJ51" s="52" t="n">
        <v>4.33</v>
      </c>
      <c r="AK51" s="52" t="n">
        <v>0</v>
      </c>
      <c r="AL51" s="52" t="n">
        <v>0</v>
      </c>
      <c r="AM51" s="53" t="n">
        <v>0.0137</v>
      </c>
      <c r="AN51" s="53" t="n">
        <v>0.0067</v>
      </c>
      <c r="AO51" s="53" t="n">
        <v>0.0037</v>
      </c>
      <c r="AP51" s="53" t="n">
        <v>0.0065</v>
      </c>
      <c r="AQ51" s="52" t="n">
        <v>0.4968965517241379</v>
      </c>
      <c r="AR51" s="52" t="n">
        <v>0.5133333333333333</v>
      </c>
      <c r="AS51" s="52" t="n">
        <v>0.4516666666666667</v>
      </c>
      <c r="AT51" s="52" t="n">
        <v>0.453</v>
      </c>
      <c r="AU51" s="53" t="n">
        <v>0.3604302151075538</v>
      </c>
      <c r="AV51" s="53" t="n">
        <v>0</v>
      </c>
      <c r="AW51" s="53" t="n">
        <v>0.135567783891946</v>
      </c>
      <c r="AX51" s="53" t="n">
        <v>0</v>
      </c>
      <c r="AY51" s="52" t="n">
        <v>19.99</v>
      </c>
      <c r="AZ51" s="52" t="n">
        <v>0</v>
      </c>
      <c r="BA51" s="52" t="n">
        <v>19.99</v>
      </c>
      <c r="BB51" s="52" t="n">
        <v>0</v>
      </c>
      <c r="BC51" s="51" t="n">
        <v>2114</v>
      </c>
      <c r="BD51" s="51" t="n">
        <v>1342</v>
      </c>
      <c r="BE51" s="51" t="n">
        <v>1635</v>
      </c>
      <c r="BF51" s="51" t="n">
        <v>1542</v>
      </c>
    </row>
    <row r="52">
      <c r="A52">
        <f>HYPERLINK("https://www.walmart.com/ip/340135878", "340135878")</f>
        <v/>
      </c>
      <c r="B52" t="inlineStr">
        <is>
          <t>Beige Buffalo Plaid Decorative Throw TV Sherpa Blanket, Soft, Warm, Comfy, Plush Fleece for Bedding, Couch and Cabin, Gray Throw Blanket, 50" x 60".</t>
        </is>
      </c>
      <c r="C52" t="inlineStr">
        <is>
          <t>1CTBF569PBG</t>
        </is>
      </c>
      <c r="D52" t="inlineStr">
        <is>
          <t>Throws</t>
        </is>
      </c>
      <c r="E52" t="inlineStr">
        <is>
          <t>Catalonia</t>
        </is>
      </c>
      <c r="F52" t="inlineStr">
        <is>
          <t>Q2-Target,WFS,Coupon_Discount,WFS Item</t>
        </is>
      </c>
      <c r="G52" s="48" t="n">
        <v>39.98</v>
      </c>
      <c r="H52" s="48" t="n">
        <v>-14.99</v>
      </c>
      <c r="I52" s="48" t="n">
        <v>29.98</v>
      </c>
      <c r="J52" s="48" t="n">
        <v>14.99</v>
      </c>
      <c r="K52" s="49" t="n">
        <v>2</v>
      </c>
      <c r="L52" s="49" t="n">
        <v>-1</v>
      </c>
      <c r="M52" s="49" t="n">
        <v>2</v>
      </c>
      <c r="N52" s="49" t="n">
        <v>1</v>
      </c>
      <c r="O52" s="49" t="n">
        <v>11</v>
      </c>
      <c r="P52" s="49" t="n">
        <v>14</v>
      </c>
      <c r="Q52" s="49" t="n">
        <v>14</v>
      </c>
      <c r="R52" s="49" t="n">
        <v>6</v>
      </c>
      <c r="S52" s="50" t="n">
        <v>0.1818181818181818</v>
      </c>
      <c r="T52" s="50" t="n">
        <v>-0.07142857142857142</v>
      </c>
      <c r="U52" s="50" t="n">
        <v>0.1428571428571428</v>
      </c>
      <c r="V52" s="50" t="n">
        <v>0.1666666666666667</v>
      </c>
      <c r="W52" s="51" t="n">
        <v>8</v>
      </c>
      <c r="X52" s="51" t="n">
        <v>24</v>
      </c>
      <c r="Y52" s="51" t="n">
        <v>35</v>
      </c>
      <c r="Z52" s="51" t="n">
        <v>17</v>
      </c>
      <c r="AA52" s="52" t="n">
        <v>3.5</v>
      </c>
      <c r="AB52" s="52" t="n">
        <v>10.34</v>
      </c>
      <c r="AC52" s="52" t="n">
        <v>14.7</v>
      </c>
      <c r="AD52" s="52" t="n">
        <v>7.13</v>
      </c>
      <c r="AE52" s="52" t="n">
        <v>0</v>
      </c>
      <c r="AF52" s="52" t="n">
        <v>0</v>
      </c>
      <c r="AG52" s="52" t="n">
        <v>29.98</v>
      </c>
      <c r="AH52" s="52" t="n">
        <v>0</v>
      </c>
      <c r="AI52" s="52" t="n">
        <v>0</v>
      </c>
      <c r="AJ52" s="52" t="n">
        <v>0</v>
      </c>
      <c r="AK52" s="52" t="n">
        <v>2.04</v>
      </c>
      <c r="AL52" s="52" t="n">
        <v>0</v>
      </c>
      <c r="AM52" s="53" t="n">
        <v>0.0008</v>
      </c>
      <c r="AN52" s="53" t="n">
        <v>0.001</v>
      </c>
      <c r="AO52" s="53" t="n">
        <v>0.0016</v>
      </c>
      <c r="AP52" s="53" t="n">
        <v>0.0008</v>
      </c>
      <c r="AQ52" s="52" t="n">
        <v>0.4375</v>
      </c>
      <c r="AR52" s="52" t="n">
        <v>0.4308333333333333</v>
      </c>
      <c r="AS52" s="52" t="n">
        <v>0.42</v>
      </c>
      <c r="AT52" s="52" t="n">
        <v>0.4194117647058824</v>
      </c>
      <c r="AU52" s="53" t="n">
        <v>0.08754377188594298</v>
      </c>
      <c r="AV52" s="53" t="n">
        <v>0</v>
      </c>
      <c r="AW52" s="53" t="n">
        <v>0.4903268845897265</v>
      </c>
      <c r="AX52" s="53" t="n">
        <v>0.4756504336224149</v>
      </c>
      <c r="AY52" s="52" t="n">
        <v>19.99</v>
      </c>
      <c r="AZ52" s="52" t="n">
        <v>0</v>
      </c>
      <c r="BA52" s="52" t="n">
        <v>14.99</v>
      </c>
      <c r="BB52" s="52" t="n">
        <v>14.99</v>
      </c>
      <c r="BC52" s="51" t="n">
        <v>9485</v>
      </c>
      <c r="BD52" s="51" t="n">
        <v>22922</v>
      </c>
      <c r="BE52" s="51" t="n">
        <v>21937</v>
      </c>
      <c r="BF52" s="51" t="n">
        <v>20058</v>
      </c>
    </row>
    <row r="53">
      <c r="A53">
        <f>HYPERLINK("https://www.walmart.com/ip/1245439279", "1245439279")</f>
        <v/>
      </c>
      <c r="B53" t="inlineStr">
        <is>
          <t>Wrangler Men’s Leather Country Casual Every Day Dress Belt for Jeans, Khakis Brown 34</t>
        </is>
      </c>
      <c r="C53" t="inlineStr">
        <is>
          <t>WR-BELT-MENS-COUNTRY-BROWN-34</t>
        </is>
      </c>
      <c r="D53" t="inlineStr">
        <is>
          <t>Belts</t>
        </is>
      </c>
      <c r="E53" t="inlineStr">
        <is>
          <t>Wrangler</t>
        </is>
      </c>
      <c r="F53" t="inlineStr">
        <is>
          <t>Belts</t>
        </is>
      </c>
      <c r="G53" s="48" t="n">
        <v>39.98</v>
      </c>
      <c r="H53" s="48" t="n">
        <v>19.99</v>
      </c>
      <c r="I53" s="48" t="n">
        <v>0</v>
      </c>
      <c r="J53" s="48" t="n">
        <v>0</v>
      </c>
      <c r="K53" s="49" t="n">
        <v>2</v>
      </c>
      <c r="L53" s="49" t="n">
        <v>1</v>
      </c>
      <c r="M53" s="49" t="n">
        <v>0</v>
      </c>
      <c r="N53" s="49" t="n">
        <v>0</v>
      </c>
      <c r="O53" s="49" t="n">
        <v>0</v>
      </c>
      <c r="P53" s="49" t="n">
        <v>0</v>
      </c>
      <c r="Q53" s="49" t="n">
        <v>0</v>
      </c>
      <c r="R53" s="49" t="n">
        <v>0</v>
      </c>
      <c r="S53" s="50" t="n">
        <v>0</v>
      </c>
      <c r="T53" s="50" t="n">
        <v>0</v>
      </c>
      <c r="U53" s="50" t="n">
        <v>0</v>
      </c>
      <c r="V53" s="50" t="n">
        <v>0</v>
      </c>
      <c r="W53" s="51" t="n">
        <v>0</v>
      </c>
      <c r="X53" s="51" t="n">
        <v>0</v>
      </c>
      <c r="Y53" s="51" t="n">
        <v>0</v>
      </c>
      <c r="Z53" s="51" t="n">
        <v>0</v>
      </c>
      <c r="AA53" s="52" t="n">
        <v>0</v>
      </c>
      <c r="AB53" s="52" t="n">
        <v>0</v>
      </c>
      <c r="AC53" s="52" t="n">
        <v>0</v>
      </c>
      <c r="AD53" s="52" t="n">
        <v>0</v>
      </c>
      <c r="AE53" s="52" t="n">
        <v>0</v>
      </c>
      <c r="AF53" s="52" t="n">
        <v>0</v>
      </c>
      <c r="AG53" s="52" t="n">
        <v>0</v>
      </c>
      <c r="AH53" s="52" t="n">
        <v>0</v>
      </c>
      <c r="AI53" s="52" t="n">
        <v>0</v>
      </c>
      <c r="AJ53" s="52" t="n">
        <v>0</v>
      </c>
      <c r="AK53" s="52" t="n">
        <v>0</v>
      </c>
      <c r="AL53" s="52" t="n">
        <v>0</v>
      </c>
      <c r="AM53" s="53" t="n">
        <v>0</v>
      </c>
      <c r="AN53" s="53" t="n">
        <v>0</v>
      </c>
      <c r="AO53" s="53" t="n">
        <v>0</v>
      </c>
      <c r="AP53" s="53" t="n">
        <v>0</v>
      </c>
      <c r="AQ53" s="52" t="n">
        <v>0</v>
      </c>
      <c r="AR53" s="52" t="n">
        <v>0</v>
      </c>
      <c r="AS53" s="52" t="n">
        <v>0</v>
      </c>
      <c r="AT53" s="52" t="n">
        <v>0</v>
      </c>
      <c r="AU53" s="53" t="n">
        <v>0</v>
      </c>
      <c r="AV53" s="53" t="n">
        <v>0</v>
      </c>
      <c r="AW53" s="53" t="n">
        <v>0</v>
      </c>
      <c r="AX53" s="53" t="n">
        <v>0</v>
      </c>
      <c r="AY53" s="52" t="n">
        <v>19.99</v>
      </c>
      <c r="AZ53" s="52" t="n">
        <v>19.99</v>
      </c>
      <c r="BA53" s="52" t="n">
        <v>0</v>
      </c>
      <c r="BB53" s="52" t="n">
        <v>0</v>
      </c>
      <c r="BC53" s="51" t="n">
        <v>0</v>
      </c>
      <c r="BD53" s="51" t="n">
        <v>0</v>
      </c>
      <c r="BE53" s="51" t="n">
        <v>0</v>
      </c>
      <c r="BF53" s="51" t="n">
        <v>0</v>
      </c>
    </row>
    <row r="54">
      <c r="A54">
        <f>HYPERLINK("https://www.walmart.com/ip/2204516610", "2204516610")</f>
        <v/>
      </c>
      <c r="B54" t="inlineStr">
        <is>
          <t>Wrangler Men’s Leather Country Casual Every Day Belt for Jeans, Khakis Black 34</t>
        </is>
      </c>
      <c r="C54" t="inlineStr">
        <is>
          <t>WR-BELT-MENS-COUNTRY-BLACK-34</t>
        </is>
      </c>
      <c r="D54" t="inlineStr">
        <is>
          <t>Belts</t>
        </is>
      </c>
      <c r="E54" t="inlineStr">
        <is>
          <t>Wrangler</t>
        </is>
      </c>
      <c r="F54" t="inlineStr">
        <is>
          <t>Belts</t>
        </is>
      </c>
      <c r="G54" s="48" t="n">
        <v>39.98</v>
      </c>
      <c r="H54" s="48" t="n">
        <v>19.99</v>
      </c>
      <c r="I54" s="48" t="n">
        <v>0</v>
      </c>
      <c r="J54" s="48" t="n">
        <v>19.99</v>
      </c>
      <c r="K54" s="49" t="n">
        <v>2</v>
      </c>
      <c r="L54" s="49" t="n">
        <v>1</v>
      </c>
      <c r="M54" s="49" t="n">
        <v>0</v>
      </c>
      <c r="N54" s="49" t="n">
        <v>1</v>
      </c>
      <c r="O54" s="49" t="n">
        <v>4</v>
      </c>
      <c r="P54" s="49" t="n">
        <v>2</v>
      </c>
      <c r="Q54" s="49" t="n">
        <v>2</v>
      </c>
      <c r="R54" s="49" t="n">
        <v>6</v>
      </c>
      <c r="S54" s="50" t="n">
        <v>0.5</v>
      </c>
      <c r="T54" s="50" t="n">
        <v>0.5</v>
      </c>
      <c r="U54" s="50" t="n">
        <v>0</v>
      </c>
      <c r="V54" s="50" t="n">
        <v>0.1666666666666667</v>
      </c>
      <c r="W54" s="51" t="n">
        <v>0</v>
      </c>
      <c r="X54" s="51" t="n">
        <v>0</v>
      </c>
      <c r="Y54" s="51" t="n">
        <v>0</v>
      </c>
      <c r="Z54" s="51" t="n">
        <v>0</v>
      </c>
      <c r="AA54" s="52" t="n">
        <v>0</v>
      </c>
      <c r="AB54" s="52" t="n">
        <v>0</v>
      </c>
      <c r="AC54" s="52" t="n">
        <v>0</v>
      </c>
      <c r="AD54" s="52" t="n">
        <v>0</v>
      </c>
      <c r="AE54" s="52" t="n">
        <v>0</v>
      </c>
      <c r="AF54" s="52" t="n">
        <v>0</v>
      </c>
      <c r="AG54" s="52" t="n">
        <v>0</v>
      </c>
      <c r="AH54" s="52" t="n">
        <v>0</v>
      </c>
      <c r="AI54" s="52" t="n">
        <v>0</v>
      </c>
      <c r="AJ54" s="52" t="n">
        <v>0</v>
      </c>
      <c r="AK54" s="52" t="n">
        <v>0</v>
      </c>
      <c r="AL54" s="52" t="n">
        <v>0</v>
      </c>
      <c r="AM54" s="53" t="n">
        <v>0</v>
      </c>
      <c r="AN54" s="53" t="n">
        <v>0</v>
      </c>
      <c r="AO54" s="53" t="n">
        <v>0</v>
      </c>
      <c r="AP54" s="53" t="n">
        <v>0</v>
      </c>
      <c r="AQ54" s="52" t="n">
        <v>0</v>
      </c>
      <c r="AR54" s="52" t="n">
        <v>0</v>
      </c>
      <c r="AS54" s="52" t="n">
        <v>0</v>
      </c>
      <c r="AT54" s="52" t="n">
        <v>0</v>
      </c>
      <c r="AU54" s="53" t="n">
        <v>0</v>
      </c>
      <c r="AV54" s="53" t="n">
        <v>0</v>
      </c>
      <c r="AW54" s="53" t="n">
        <v>0</v>
      </c>
      <c r="AX54" s="53" t="n">
        <v>0</v>
      </c>
      <c r="AY54" s="52" t="n">
        <v>19.99</v>
      </c>
      <c r="AZ54" s="52" t="n">
        <v>19.99</v>
      </c>
      <c r="BA54" s="52" t="n">
        <v>0</v>
      </c>
      <c r="BB54" s="52" t="n">
        <v>19.99</v>
      </c>
      <c r="BC54" s="51" t="n">
        <v>0</v>
      </c>
      <c r="BD54" s="51" t="n">
        <v>0</v>
      </c>
      <c r="BE54" s="51" t="n">
        <v>0</v>
      </c>
      <c r="BF54" s="51" t="n">
        <v>0</v>
      </c>
    </row>
    <row r="55">
      <c r="A55">
        <f>HYPERLINK("https://www.walmart.com/ip/9531102601", "9531102601")</f>
        <v/>
      </c>
      <c r="B55" t="inlineStr">
        <is>
          <t>Wrangler Yellowstone Sturdy Laptop Backpack for Travel, Hiking Backpack with Classic Logo, Water Resistant Casual Daypack, Padded Sleeve College Backpack for Notebook, Out West</t>
        </is>
      </c>
      <c r="C55" t="inlineStr">
        <is>
          <t>WR-BACKPACK-16273-OUTWEST</t>
        </is>
      </c>
      <c r="D55" t="inlineStr">
        <is>
          <t>Backpacks</t>
        </is>
      </c>
      <c r="E55" t="inlineStr">
        <is>
          <t>Wrangler</t>
        </is>
      </c>
      <c r="F55" t="inlineStr">
        <is>
          <t>Backpack</t>
        </is>
      </c>
      <c r="G55" s="48" t="n">
        <v>38.99</v>
      </c>
      <c r="H55" s="48" t="n">
        <v>0</v>
      </c>
      <c r="I55" s="48" t="n">
        <v>0</v>
      </c>
      <c r="J55" s="48" t="n">
        <v>0</v>
      </c>
      <c r="K55" s="49" t="n">
        <v>1</v>
      </c>
      <c r="L55" s="49" t="n">
        <v>0</v>
      </c>
      <c r="M55" s="49" t="n">
        <v>0</v>
      </c>
      <c r="N55" s="49" t="n">
        <v>0</v>
      </c>
      <c r="O55" s="49" t="n">
        <v>0</v>
      </c>
      <c r="P55" s="49" t="n">
        <v>0</v>
      </c>
      <c r="Q55" s="49" t="n">
        <v>0</v>
      </c>
      <c r="R55" s="49" t="n">
        <v>0</v>
      </c>
      <c r="S55" s="50" t="n">
        <v>0</v>
      </c>
      <c r="T55" s="50" t="n">
        <v>0</v>
      </c>
      <c r="U55" s="50" t="n">
        <v>0</v>
      </c>
      <c r="V55" s="50" t="n">
        <v>0</v>
      </c>
      <c r="W55" s="51" t="n">
        <v>0</v>
      </c>
      <c r="X55" s="51" t="n">
        <v>0</v>
      </c>
      <c r="Y55" s="51" t="n">
        <v>0</v>
      </c>
      <c r="Z55" s="51" t="n">
        <v>0</v>
      </c>
      <c r="AA55" s="52" t="n">
        <v>0</v>
      </c>
      <c r="AB55" s="52" t="n">
        <v>0</v>
      </c>
      <c r="AC55" s="52" t="n">
        <v>0</v>
      </c>
      <c r="AD55" s="52" t="n">
        <v>0</v>
      </c>
      <c r="AE55" s="52" t="n">
        <v>0</v>
      </c>
      <c r="AF55" s="52" t="n">
        <v>0</v>
      </c>
      <c r="AG55" s="52" t="n">
        <v>0</v>
      </c>
      <c r="AH55" s="52" t="n">
        <v>0</v>
      </c>
      <c r="AI55" s="52" t="n">
        <v>0</v>
      </c>
      <c r="AJ55" s="52" t="n">
        <v>0</v>
      </c>
      <c r="AK55" s="52" t="n">
        <v>0</v>
      </c>
      <c r="AL55" s="52" t="n">
        <v>0</v>
      </c>
      <c r="AM55" s="53" t="n">
        <v>0</v>
      </c>
      <c r="AN55" s="53" t="n">
        <v>0</v>
      </c>
      <c r="AO55" s="53" t="n">
        <v>0</v>
      </c>
      <c r="AP55" s="53" t="n">
        <v>0</v>
      </c>
      <c r="AQ55" s="52" t="n">
        <v>0</v>
      </c>
      <c r="AR55" s="52" t="n">
        <v>0</v>
      </c>
      <c r="AS55" s="52" t="n">
        <v>0</v>
      </c>
      <c r="AT55" s="52" t="n">
        <v>0</v>
      </c>
      <c r="AU55" s="53" t="n">
        <v>0</v>
      </c>
      <c r="AV55" s="53" t="n">
        <v>0</v>
      </c>
      <c r="AW55" s="53" t="n">
        <v>0</v>
      </c>
      <c r="AX55" s="53" t="n">
        <v>0</v>
      </c>
      <c r="AY55" s="52" t="n">
        <v>38.99</v>
      </c>
      <c r="AZ55" s="52" t="n">
        <v>0</v>
      </c>
      <c r="BA55" s="52" t="n">
        <v>0</v>
      </c>
      <c r="BB55" s="52" t="n">
        <v>0</v>
      </c>
      <c r="BC55" s="51" t="n">
        <v>0</v>
      </c>
      <c r="BD55" s="51" t="n">
        <v>0</v>
      </c>
      <c r="BE55" s="51" t="n">
        <v>0</v>
      </c>
      <c r="BF55" s="51" t="n">
        <v>0</v>
      </c>
    </row>
    <row r="56">
      <c r="A56">
        <f>HYPERLINK("https://www.walmart.com/ip/208255234", "208255234")</f>
        <v/>
      </c>
      <c r="B56" t="inlineStr">
        <is>
          <t>Tirrinia Insulated Leakproof Lunch Bag, Adjustable Strap, Medium, 10" L x 7" W x 7.7" H</t>
        </is>
      </c>
      <c r="C56" t="inlineStr">
        <is>
          <t>1TRLB701DGY-N</t>
        </is>
      </c>
      <c r="D56" t="inlineStr">
        <is>
          <t>Reusable Lunch Bags &amp; Boxes</t>
        </is>
      </c>
      <c r="E56" t="inlineStr">
        <is>
          <t>Tirrinia</t>
        </is>
      </c>
      <c r="F56" t="inlineStr">
        <is>
          <t>Q2-Target,Brand Camp VD,Lunch Bag,Optimized,WFS,Lunch Bags,SEM,Wal-Exl-Price,WFS Item</t>
        </is>
      </c>
      <c r="G56" s="48" t="n">
        <v>38.97</v>
      </c>
      <c r="H56" s="48" t="n">
        <v>25.98</v>
      </c>
      <c r="I56" s="48" t="n">
        <v>-25.98</v>
      </c>
      <c r="J56" s="48" t="n">
        <v>27.52</v>
      </c>
      <c r="K56" s="49" t="n">
        <v>3</v>
      </c>
      <c r="L56" s="49" t="n">
        <v>2</v>
      </c>
      <c r="M56" s="49" t="n">
        <v>-2</v>
      </c>
      <c r="N56" s="49" t="n">
        <v>2</v>
      </c>
      <c r="O56" s="49" t="n">
        <v>95</v>
      </c>
      <c r="P56" s="49" t="n">
        <v>111</v>
      </c>
      <c r="Q56" s="49" t="n">
        <v>113</v>
      </c>
      <c r="R56" s="49" t="n">
        <v>161</v>
      </c>
      <c r="S56" s="50" t="n">
        <v>0.03157894736842105</v>
      </c>
      <c r="T56" s="50" t="n">
        <v>0.01801801801801802</v>
      </c>
      <c r="U56" s="50" t="n">
        <v>-0.01769911504424779</v>
      </c>
      <c r="V56" s="50" t="n">
        <v>0.0124223602484472</v>
      </c>
      <c r="W56" s="51" t="n">
        <v>0</v>
      </c>
      <c r="X56" s="51" t="n">
        <v>0</v>
      </c>
      <c r="Y56" s="51" t="n">
        <v>0</v>
      </c>
      <c r="Z56" s="51" t="n">
        <v>0</v>
      </c>
      <c r="AA56" s="52" t="n">
        <v>0</v>
      </c>
      <c r="AB56" s="52" t="n">
        <v>0</v>
      </c>
      <c r="AC56" s="52" t="n">
        <v>0</v>
      </c>
      <c r="AD56" s="52" t="n">
        <v>0</v>
      </c>
      <c r="AE56" s="52" t="n">
        <v>0</v>
      </c>
      <c r="AF56" s="52" t="n">
        <v>0</v>
      </c>
      <c r="AG56" s="52" t="n">
        <v>0</v>
      </c>
      <c r="AH56" s="52" t="n">
        <v>0</v>
      </c>
      <c r="AI56" s="52" t="n">
        <v>0</v>
      </c>
      <c r="AJ56" s="52" t="n">
        <v>0</v>
      </c>
      <c r="AK56" s="52" t="n">
        <v>0</v>
      </c>
      <c r="AL56" s="52" t="n">
        <v>0</v>
      </c>
      <c r="AM56" s="53" t="n">
        <v>0</v>
      </c>
      <c r="AN56" s="53" t="n">
        <v>0</v>
      </c>
      <c r="AO56" s="53" t="n">
        <v>0</v>
      </c>
      <c r="AP56" s="53" t="n">
        <v>0</v>
      </c>
      <c r="AQ56" s="52" t="n">
        <v>0</v>
      </c>
      <c r="AR56" s="52" t="n">
        <v>0</v>
      </c>
      <c r="AS56" s="52" t="n">
        <v>0</v>
      </c>
      <c r="AT56" s="52" t="n">
        <v>0</v>
      </c>
      <c r="AU56" s="53" t="n">
        <v>0</v>
      </c>
      <c r="AV56" s="53" t="n">
        <v>0</v>
      </c>
      <c r="AW56" s="53" t="n">
        <v>0</v>
      </c>
      <c r="AX56" s="53" t="n">
        <v>0</v>
      </c>
      <c r="AY56" s="52" t="n">
        <v>12.99</v>
      </c>
      <c r="AZ56" s="52" t="n">
        <v>12.99</v>
      </c>
      <c r="BA56" s="52" t="n">
        <v>0</v>
      </c>
      <c r="BB56" s="52" t="n">
        <v>13.76</v>
      </c>
      <c r="BC56" s="51" t="n">
        <v>0</v>
      </c>
      <c r="BD56" s="51" t="n">
        <v>0</v>
      </c>
      <c r="BE56" s="51" t="n">
        <v>0</v>
      </c>
      <c r="BF56" s="51" t="n">
        <v>0</v>
      </c>
    </row>
    <row r="57">
      <c r="A57">
        <f>HYPERLINK("https://www.walmart.com/ip/170996420", "170996420")</f>
        <v/>
      </c>
      <c r="B57" t="inlineStr">
        <is>
          <t>Tirrinia Single Wine Gift Tote Bag, Insulated Padded Thermal Wine Bottle Carrying Cooler Carrier for Travel, Picnic, Great Gift for Wine Lover, Brown Diamond</t>
        </is>
      </c>
      <c r="C57" t="inlineStr">
        <is>
          <t>1TRWB102BRDO</t>
        </is>
      </c>
      <c r="D57" t="inlineStr">
        <is>
          <t>Wine Totes, Bags &amp; Backpacks</t>
        </is>
      </c>
      <c r="E57" t="inlineStr">
        <is>
          <t>Tirrinia</t>
        </is>
      </c>
      <c r="G57" s="48" t="n">
        <v>38.97</v>
      </c>
      <c r="H57" s="48" t="n">
        <v>0</v>
      </c>
      <c r="I57" s="48" t="n">
        <v>0</v>
      </c>
      <c r="J57" s="48" t="n">
        <v>0</v>
      </c>
      <c r="K57" s="49" t="n">
        <v>3</v>
      </c>
      <c r="L57" s="49" t="n">
        <v>0</v>
      </c>
      <c r="M57" s="49" t="n">
        <v>0</v>
      </c>
      <c r="N57" s="49" t="n">
        <v>0</v>
      </c>
      <c r="O57" s="49" t="n">
        <v>4</v>
      </c>
      <c r="P57" s="49" t="n">
        <v>1</v>
      </c>
      <c r="Q57" s="49" t="n">
        <v>0</v>
      </c>
      <c r="R57" s="49" t="n">
        <v>0</v>
      </c>
      <c r="S57" s="50" t="n">
        <v>0.75</v>
      </c>
      <c r="T57" s="50" t="n">
        <v>0</v>
      </c>
      <c r="U57" s="50" t="n">
        <v>0</v>
      </c>
      <c r="V57" s="50" t="n">
        <v>0</v>
      </c>
      <c r="W57" s="51" t="n">
        <v>1</v>
      </c>
      <c r="X57" s="51" t="n">
        <v>1</v>
      </c>
      <c r="Y57" s="51" t="n">
        <v>0</v>
      </c>
      <c r="Z57" s="51" t="n">
        <v>1</v>
      </c>
      <c r="AA57" s="52" t="n">
        <v>0.22</v>
      </c>
      <c r="AB57" s="52" t="n">
        <v>0.41</v>
      </c>
      <c r="AC57" s="52" t="n">
        <v>0</v>
      </c>
      <c r="AD57" s="52" t="n">
        <v>0.41</v>
      </c>
      <c r="AE57" s="52" t="n">
        <v>0</v>
      </c>
      <c r="AF57" s="52" t="n">
        <v>0</v>
      </c>
      <c r="AG57" s="52" t="n">
        <v>0</v>
      </c>
      <c r="AH57" s="52" t="n">
        <v>0</v>
      </c>
      <c r="AI57" s="52" t="n">
        <v>0</v>
      </c>
      <c r="AJ57" s="52" t="n">
        <v>0</v>
      </c>
      <c r="AK57" s="52" t="n">
        <v>0</v>
      </c>
      <c r="AL57" s="52" t="n">
        <v>0</v>
      </c>
      <c r="AM57" s="53" t="n">
        <v>0.0008</v>
      </c>
      <c r="AN57" s="53" t="n">
        <v>0.0013</v>
      </c>
      <c r="AO57" s="53" t="n">
        <v>0</v>
      </c>
      <c r="AP57" s="53" t="n">
        <v>0.0012</v>
      </c>
      <c r="AQ57" s="52" t="n">
        <v>0.22</v>
      </c>
      <c r="AR57" s="52" t="n">
        <v>0.41</v>
      </c>
      <c r="AS57" s="52" t="n">
        <v>0</v>
      </c>
      <c r="AT57" s="52" t="n">
        <v>0.41</v>
      </c>
      <c r="AU57" s="53" t="n">
        <v>0.005645368231973313</v>
      </c>
      <c r="AV57" s="53" t="n">
        <v>0</v>
      </c>
      <c r="AW57" s="53" t="n">
        <v>0</v>
      </c>
      <c r="AX57" s="53" t="n">
        <v>0</v>
      </c>
      <c r="AY57" s="52" t="n">
        <v>12.99</v>
      </c>
      <c r="AZ57" s="52" t="n">
        <v>0</v>
      </c>
      <c r="BA57" s="52" t="n">
        <v>0</v>
      </c>
      <c r="BB57" s="52" t="n">
        <v>0</v>
      </c>
      <c r="BC57" s="51" t="n">
        <v>1180</v>
      </c>
      <c r="BD57" s="51" t="n">
        <v>786</v>
      </c>
      <c r="BE57" s="51" t="n">
        <v>873</v>
      </c>
      <c r="BF57" s="51" t="n">
        <v>838</v>
      </c>
    </row>
    <row r="58">
      <c r="A58">
        <f>HYPERLINK("https://www.walmart.com/ip/6044655190", "6044655190")</f>
        <v/>
      </c>
      <c r="B58" t="inlineStr">
        <is>
          <t>Tirrinia Waterproof Outdoor Blanket with Sherpa Lining, Insulated Waterproof Oxford &amp; Plush Sherpa, Foldable for Stadium Camping, Sports, Picnic, Grass, Concerts, Pet,60” x 80”</t>
        </is>
      </c>
      <c r="C58" t="inlineStr">
        <is>
          <t>1TRBW70168BKGY</t>
        </is>
      </c>
      <c r="D58" t="inlineStr">
        <is>
          <t>Picnic Blankets &amp; Mats</t>
        </is>
      </c>
      <c r="E58" t="inlineStr">
        <is>
          <t>Tirrinia</t>
        </is>
      </c>
      <c r="G58" s="48" t="n">
        <v>37.99</v>
      </c>
      <c r="H58" s="48" t="n">
        <v>0</v>
      </c>
      <c r="I58" s="48" t="n">
        <v>0</v>
      </c>
      <c r="J58" s="48" t="n">
        <v>0</v>
      </c>
      <c r="K58" s="49" t="n">
        <v>1</v>
      </c>
      <c r="L58" s="49" t="n">
        <v>0</v>
      </c>
      <c r="M58" s="49" t="n">
        <v>0</v>
      </c>
      <c r="N58" s="49" t="n">
        <v>0</v>
      </c>
      <c r="O58" s="49" t="n">
        <v>0</v>
      </c>
      <c r="P58" s="49" t="n">
        <v>0</v>
      </c>
      <c r="Q58" s="49" t="n">
        <v>0</v>
      </c>
      <c r="R58" s="49" t="n">
        <v>0</v>
      </c>
      <c r="S58" s="50" t="n">
        <v>0</v>
      </c>
      <c r="T58" s="50" t="n">
        <v>0</v>
      </c>
      <c r="U58" s="50" t="n">
        <v>0</v>
      </c>
      <c r="V58" s="50" t="n">
        <v>0</v>
      </c>
      <c r="W58" s="51" t="n">
        <v>5</v>
      </c>
      <c r="X58" s="51" t="n">
        <v>3</v>
      </c>
      <c r="Y58" s="51" t="n">
        <v>0</v>
      </c>
      <c r="Z58" s="51" t="n">
        <v>0</v>
      </c>
      <c r="AA58" s="52" t="n">
        <v>2.03</v>
      </c>
      <c r="AB58" s="52" t="n">
        <v>1.23</v>
      </c>
      <c r="AC58" s="52" t="n">
        <v>0</v>
      </c>
      <c r="AD58" s="52" t="n">
        <v>0</v>
      </c>
      <c r="AE58" s="52" t="n">
        <v>0</v>
      </c>
      <c r="AF58" s="52" t="n">
        <v>0</v>
      </c>
      <c r="AG58" s="52" t="n">
        <v>0</v>
      </c>
      <c r="AH58" s="52" t="n">
        <v>0</v>
      </c>
      <c r="AI58" s="52" t="n">
        <v>0</v>
      </c>
      <c r="AJ58" s="52" t="n">
        <v>0</v>
      </c>
      <c r="AK58" s="52" t="n">
        <v>0</v>
      </c>
      <c r="AL58" s="52" t="n">
        <v>0</v>
      </c>
      <c r="AM58" s="53" t="n">
        <v>0.001</v>
      </c>
      <c r="AN58" s="53" t="n">
        <v>0.0014</v>
      </c>
      <c r="AO58" s="53" t="n">
        <v>0</v>
      </c>
      <c r="AP58" s="53" t="n">
        <v>0</v>
      </c>
      <c r="AQ58" s="52" t="n">
        <v>0.406</v>
      </c>
      <c r="AR58" s="52" t="n">
        <v>0.41</v>
      </c>
      <c r="AS58" s="52" t="n">
        <v>0</v>
      </c>
      <c r="AT58" s="52" t="n">
        <v>0</v>
      </c>
      <c r="AU58" s="53" t="n">
        <v>0.05343511450381679</v>
      </c>
      <c r="AV58" s="53" t="n">
        <v>0</v>
      </c>
      <c r="AW58" s="53" t="n">
        <v>0</v>
      </c>
      <c r="AX58" s="53" t="n">
        <v>0</v>
      </c>
      <c r="AY58" s="52" t="n">
        <v>37.99</v>
      </c>
      <c r="AZ58" s="52" t="n">
        <v>0</v>
      </c>
      <c r="BA58" s="52" t="n">
        <v>0</v>
      </c>
      <c r="BB58" s="52" t="n">
        <v>0</v>
      </c>
      <c r="BC58" s="51" t="n">
        <v>4762</v>
      </c>
      <c r="BD58" s="51" t="n">
        <v>2121</v>
      </c>
      <c r="BE58" s="51" t="n">
        <v>0</v>
      </c>
      <c r="BF58" s="51" t="n">
        <v>0</v>
      </c>
    </row>
    <row r="59">
      <c r="A59">
        <f>HYPERLINK("https://www.walmart.com/ip/630587616", "630587616")</f>
        <v/>
      </c>
      <c r="B59" t="inlineStr">
        <is>
          <t>Tirrinia Insulated 2 Bottle Wine Tote Bag - Wine Tumbler Glass Cooler Carrier for BYOB Restaurants,  Wine Tasting, Travel, Park, Beach, Great Wine Lover Gift, Red Stripe</t>
        </is>
      </c>
      <c r="C59" t="inlineStr">
        <is>
          <t>1TRWB231RDSTR</t>
        </is>
      </c>
      <c r="D59" t="inlineStr">
        <is>
          <t>Wine Totes, Bags &amp; Backpacks</t>
        </is>
      </c>
      <c r="E59" t="inlineStr">
        <is>
          <t>Tirrinia</t>
        </is>
      </c>
      <c r="F59" t="inlineStr">
        <is>
          <t>Wine,Christmas,WFS,Wine WFS,Valentine,WFS Item</t>
        </is>
      </c>
      <c r="G59" s="48" t="n">
        <v>37.98</v>
      </c>
      <c r="H59" s="48" t="n">
        <v>0</v>
      </c>
      <c r="I59" s="48" t="n">
        <v>0</v>
      </c>
      <c r="J59" s="48" t="n">
        <v>0</v>
      </c>
      <c r="K59" s="49" t="n">
        <v>2</v>
      </c>
      <c r="L59" s="49" t="n">
        <v>0</v>
      </c>
      <c r="M59" s="49" t="n">
        <v>0</v>
      </c>
      <c r="N59" s="49" t="n">
        <v>0</v>
      </c>
      <c r="O59" s="49" t="n">
        <v>0</v>
      </c>
      <c r="P59" s="49" t="n">
        <v>0</v>
      </c>
      <c r="Q59" s="49" t="n">
        <v>0</v>
      </c>
      <c r="R59" s="49" t="n">
        <v>0</v>
      </c>
      <c r="S59" s="50" t="n">
        <v>0</v>
      </c>
      <c r="T59" s="50" t="n">
        <v>0</v>
      </c>
      <c r="U59" s="50" t="n">
        <v>0</v>
      </c>
      <c r="V59" s="50" t="n">
        <v>0</v>
      </c>
      <c r="W59" s="51" t="n">
        <v>36</v>
      </c>
      <c r="X59" s="51" t="n">
        <v>21</v>
      </c>
      <c r="Y59" s="51" t="n">
        <v>5</v>
      </c>
      <c r="Z59" s="51" t="n">
        <v>0</v>
      </c>
      <c r="AA59" s="52" t="n">
        <v>18.13</v>
      </c>
      <c r="AB59" s="52" t="n">
        <v>10.17</v>
      </c>
      <c r="AC59" s="52" t="n">
        <v>2.49</v>
      </c>
      <c r="AD59" s="52" t="n">
        <v>0</v>
      </c>
      <c r="AE59" s="52" t="n">
        <v>37.98</v>
      </c>
      <c r="AF59" s="52" t="n">
        <v>45.98</v>
      </c>
      <c r="AG59" s="52" t="n">
        <v>0</v>
      </c>
      <c r="AH59" s="52" t="n">
        <v>0</v>
      </c>
      <c r="AI59" s="52" t="n">
        <v>2.09</v>
      </c>
      <c r="AJ59" s="52" t="n">
        <v>4.52</v>
      </c>
      <c r="AK59" s="52" t="n">
        <v>0</v>
      </c>
      <c r="AL59" s="52" t="n">
        <v>0</v>
      </c>
      <c r="AM59" s="53" t="n">
        <v>0.0032</v>
      </c>
      <c r="AN59" s="53" t="n">
        <v>0.0035</v>
      </c>
      <c r="AO59" s="53" t="n">
        <v>0.0032</v>
      </c>
      <c r="AP59" s="53" t="n">
        <v>0</v>
      </c>
      <c r="AQ59" s="52" t="n">
        <v>0.5036111111111111</v>
      </c>
      <c r="AR59" s="52" t="n">
        <v>0.4842857142857142</v>
      </c>
      <c r="AS59" s="52" t="n">
        <v>0.4980000000000001</v>
      </c>
      <c r="AT59" s="52" t="n">
        <v>0</v>
      </c>
      <c r="AU59" s="53" t="n">
        <v>0.4773565034228541</v>
      </c>
      <c r="AV59" s="53" t="n">
        <v>0</v>
      </c>
      <c r="AW59" s="53" t="n">
        <v>0</v>
      </c>
      <c r="AX59" s="53" t="n">
        <v>0</v>
      </c>
      <c r="AY59" s="52" t="n">
        <v>18.99</v>
      </c>
      <c r="AZ59" s="52" t="n">
        <v>0</v>
      </c>
      <c r="BA59" s="52" t="n">
        <v>0</v>
      </c>
      <c r="BB59" s="52" t="n">
        <v>0</v>
      </c>
      <c r="BC59" s="51" t="n">
        <v>11297</v>
      </c>
      <c r="BD59" s="51" t="n">
        <v>5972</v>
      </c>
      <c r="BE59" s="51" t="n">
        <v>1587</v>
      </c>
      <c r="BF59" s="51" t="n">
        <v>1399</v>
      </c>
    </row>
    <row r="60">
      <c r="A60">
        <f>HYPERLINK("https://www.walmart.com/ip/1880841758", "1880841758")</f>
        <v/>
      </c>
      <c r="B60" t="inlineStr">
        <is>
          <t>Tirrinia Insulated Lunch Bag, Leakproof Thermal Bento Cooler Tote for Women and Men, Dual Compartment with Shoulder Strap, 10.2" x 7.5" x 9", Camo</t>
        </is>
      </c>
      <c r="C60" t="inlineStr">
        <is>
          <t>1TRLB601CAMO</t>
        </is>
      </c>
      <c r="D60" t="inlineStr">
        <is>
          <t>Reusable Lunch Bags &amp; Boxes</t>
        </is>
      </c>
      <c r="E60" t="inlineStr">
        <is>
          <t>Tirrinia</t>
        </is>
      </c>
      <c r="F60" t="inlineStr">
        <is>
          <t>Q2-Target,Brand Camp VD,Lunch Bags,SEM,Batch 1 - TR</t>
        </is>
      </c>
      <c r="G60" s="48" t="n">
        <v>37.98</v>
      </c>
      <c r="H60" s="48" t="n">
        <v>0</v>
      </c>
      <c r="I60" s="48" t="n">
        <v>0</v>
      </c>
      <c r="J60" s="48" t="n">
        <v>0</v>
      </c>
      <c r="K60" s="49" t="n">
        <v>2</v>
      </c>
      <c r="L60" s="49" t="n">
        <v>0</v>
      </c>
      <c r="M60" s="49" t="n">
        <v>0</v>
      </c>
      <c r="N60" s="49" t="n">
        <v>0</v>
      </c>
      <c r="O60" s="49" t="n">
        <v>6</v>
      </c>
      <c r="P60" s="49" t="n">
        <v>0</v>
      </c>
      <c r="Q60" s="49" t="n">
        <v>0</v>
      </c>
      <c r="R60" s="49" t="n">
        <v>0</v>
      </c>
      <c r="S60" s="50" t="n">
        <v>0.3333333333333333</v>
      </c>
      <c r="T60" s="50" t="n">
        <v>0</v>
      </c>
      <c r="U60" s="50" t="n">
        <v>0</v>
      </c>
      <c r="V60" s="50" t="n">
        <v>0</v>
      </c>
      <c r="W60" s="51" t="n">
        <v>0</v>
      </c>
      <c r="X60" s="51" t="n">
        <v>0</v>
      </c>
      <c r="Y60" s="51" t="n">
        <v>0</v>
      </c>
      <c r="Z60" s="51" t="n">
        <v>0</v>
      </c>
      <c r="AA60" s="52" t="n">
        <v>0</v>
      </c>
      <c r="AB60" s="52" t="n">
        <v>0</v>
      </c>
      <c r="AC60" s="52" t="n">
        <v>0</v>
      </c>
      <c r="AD60" s="52" t="n">
        <v>0</v>
      </c>
      <c r="AE60" s="52" t="n">
        <v>0</v>
      </c>
      <c r="AF60" s="52" t="n">
        <v>0</v>
      </c>
      <c r="AG60" s="52" t="n">
        <v>0</v>
      </c>
      <c r="AH60" s="52" t="n">
        <v>0</v>
      </c>
      <c r="AI60" s="52" t="n">
        <v>0</v>
      </c>
      <c r="AJ60" s="52" t="n">
        <v>0</v>
      </c>
      <c r="AK60" s="52" t="n">
        <v>0</v>
      </c>
      <c r="AL60" s="52" t="n">
        <v>0</v>
      </c>
      <c r="AM60" s="53" t="n">
        <v>0</v>
      </c>
      <c r="AN60" s="53" t="n">
        <v>0</v>
      </c>
      <c r="AO60" s="53" t="n">
        <v>0</v>
      </c>
      <c r="AP60" s="53" t="n">
        <v>0</v>
      </c>
      <c r="AQ60" s="52" t="n">
        <v>0</v>
      </c>
      <c r="AR60" s="52" t="n">
        <v>0</v>
      </c>
      <c r="AS60" s="52" t="n">
        <v>0</v>
      </c>
      <c r="AT60" s="52" t="n">
        <v>0</v>
      </c>
      <c r="AU60" s="53" t="n">
        <v>0</v>
      </c>
      <c r="AV60" s="53" t="n">
        <v>0</v>
      </c>
      <c r="AW60" s="53" t="n">
        <v>0</v>
      </c>
      <c r="AX60" s="53" t="n">
        <v>0</v>
      </c>
      <c r="AY60" s="52" t="n">
        <v>18.99</v>
      </c>
      <c r="AZ60" s="52" t="n">
        <v>0</v>
      </c>
      <c r="BA60" s="52" t="n">
        <v>0</v>
      </c>
      <c r="BB60" s="52" t="n">
        <v>0</v>
      </c>
      <c r="BC60" s="51" t="n">
        <v>0</v>
      </c>
      <c r="BD60" s="51" t="n">
        <v>0</v>
      </c>
      <c r="BE60" s="51" t="n">
        <v>0</v>
      </c>
      <c r="BF60" s="51" t="n">
        <v>0</v>
      </c>
    </row>
    <row r="61">
      <c r="A61">
        <f>HYPERLINK("https://www.walmart.com/ip/756075150", "756075150")</f>
        <v/>
      </c>
      <c r="B61" t="inlineStr">
        <is>
          <t>Solaris Sun Hats UV Protection Wide Brim Hat Unisex Adult Multicolor</t>
        </is>
      </c>
      <c r="C61" t="inlineStr">
        <is>
          <t>1SLSH910TN</t>
        </is>
      </c>
      <c r="D61" t="inlineStr">
        <is>
          <t>Hats</t>
        </is>
      </c>
      <c r="E61" t="inlineStr">
        <is>
          <t>Solaris</t>
        </is>
      </c>
      <c r="F61" t="inlineStr">
        <is>
          <t>Hats,Batch 1 - TR</t>
        </is>
      </c>
      <c r="G61" s="48" t="n">
        <v>36.98</v>
      </c>
      <c r="H61" s="48" t="n">
        <v>0</v>
      </c>
      <c r="I61" s="48" t="n">
        <v>36.98</v>
      </c>
      <c r="J61" s="48" t="n">
        <v>0</v>
      </c>
      <c r="K61" s="49" t="n">
        <v>2</v>
      </c>
      <c r="L61" s="49" t="n">
        <v>0</v>
      </c>
      <c r="M61" s="49" t="n">
        <v>2</v>
      </c>
      <c r="N61" s="49" t="n">
        <v>0</v>
      </c>
      <c r="O61" s="49" t="n">
        <v>0</v>
      </c>
      <c r="P61" s="49" t="n">
        <v>0</v>
      </c>
      <c r="Q61" s="49" t="n">
        <v>0</v>
      </c>
      <c r="R61" s="49" t="n">
        <v>0</v>
      </c>
      <c r="S61" s="50" t="n">
        <v>0</v>
      </c>
      <c r="T61" s="50" t="n">
        <v>0</v>
      </c>
      <c r="U61" s="50" t="n">
        <v>0</v>
      </c>
      <c r="V61" s="50" t="n">
        <v>0</v>
      </c>
      <c r="W61" s="51" t="n">
        <v>0</v>
      </c>
      <c r="X61" s="51" t="n">
        <v>0</v>
      </c>
      <c r="Y61" s="51" t="n">
        <v>0</v>
      </c>
      <c r="Z61" s="51" t="n">
        <v>0</v>
      </c>
      <c r="AA61" s="52" t="n">
        <v>0</v>
      </c>
      <c r="AB61" s="52" t="n">
        <v>0</v>
      </c>
      <c r="AC61" s="52" t="n">
        <v>0</v>
      </c>
      <c r="AD61" s="52" t="n">
        <v>0</v>
      </c>
      <c r="AE61" s="52" t="n">
        <v>0</v>
      </c>
      <c r="AF61" s="52" t="n">
        <v>0</v>
      </c>
      <c r="AG61" s="52" t="n">
        <v>0</v>
      </c>
      <c r="AH61" s="52" t="n">
        <v>0</v>
      </c>
      <c r="AI61" s="52" t="n">
        <v>0</v>
      </c>
      <c r="AJ61" s="52" t="n">
        <v>0</v>
      </c>
      <c r="AK61" s="52" t="n">
        <v>0</v>
      </c>
      <c r="AL61" s="52" t="n">
        <v>0</v>
      </c>
      <c r="AM61" s="53" t="n">
        <v>0</v>
      </c>
      <c r="AN61" s="53" t="n">
        <v>0</v>
      </c>
      <c r="AO61" s="53" t="n">
        <v>0</v>
      </c>
      <c r="AP61" s="53" t="n">
        <v>0</v>
      </c>
      <c r="AQ61" s="52" t="n">
        <v>0</v>
      </c>
      <c r="AR61" s="52" t="n">
        <v>0</v>
      </c>
      <c r="AS61" s="52" t="n">
        <v>0</v>
      </c>
      <c r="AT61" s="52" t="n">
        <v>0</v>
      </c>
      <c r="AU61" s="53" t="n">
        <v>0</v>
      </c>
      <c r="AV61" s="53" t="n">
        <v>0</v>
      </c>
      <c r="AW61" s="53" t="n">
        <v>0</v>
      </c>
      <c r="AX61" s="53" t="n">
        <v>0</v>
      </c>
      <c r="AY61" s="52" t="n">
        <v>18.49</v>
      </c>
      <c r="AZ61" s="52" t="n">
        <v>0</v>
      </c>
      <c r="BA61" s="52" t="n">
        <v>18.49</v>
      </c>
      <c r="BB61" s="52" t="n">
        <v>0</v>
      </c>
      <c r="BC61" s="51" t="n">
        <v>0</v>
      </c>
      <c r="BD61" s="51" t="n">
        <v>0</v>
      </c>
      <c r="BE61" s="51" t="n">
        <v>0</v>
      </c>
      <c r="BF61" s="51" t="n">
        <v>0</v>
      </c>
    </row>
    <row r="62">
      <c r="A62">
        <f>HYPERLINK("https://www.walmart.com/ip/697188346", "697188346")</f>
        <v/>
      </c>
      <c r="B62" t="inlineStr">
        <is>
          <t>Microplush Sherpa Blanket with Sleeves for Women and Men</t>
        </is>
      </c>
      <c r="C62" t="inlineStr">
        <is>
          <t>1TRSN410GY</t>
        </is>
      </c>
      <c r="D62" t="inlineStr">
        <is>
          <t>Throws</t>
        </is>
      </c>
      <c r="E62" t="inlineStr">
        <is>
          <t>Tirrinia</t>
        </is>
      </c>
      <c r="F62" t="inlineStr">
        <is>
          <t>WFS,WFS Item</t>
        </is>
      </c>
      <c r="G62" s="48" t="n">
        <v>35.99</v>
      </c>
      <c r="H62" s="48" t="n">
        <v>0</v>
      </c>
      <c r="I62" s="48" t="n">
        <v>0</v>
      </c>
      <c r="J62" s="48" t="n">
        <v>0</v>
      </c>
      <c r="K62" s="49" t="n">
        <v>1</v>
      </c>
      <c r="L62" s="49" t="n">
        <v>0</v>
      </c>
      <c r="M62" s="49" t="n">
        <v>0</v>
      </c>
      <c r="N62" s="49" t="n">
        <v>0</v>
      </c>
      <c r="O62" s="49" t="n">
        <v>0</v>
      </c>
      <c r="P62" s="49" t="n">
        <v>0</v>
      </c>
      <c r="Q62" s="49" t="n">
        <v>0</v>
      </c>
      <c r="R62" s="49" t="n">
        <v>0</v>
      </c>
      <c r="S62" s="50" t="n">
        <v>0</v>
      </c>
      <c r="T62" s="50" t="n">
        <v>0</v>
      </c>
      <c r="U62" s="50" t="n">
        <v>0</v>
      </c>
      <c r="V62" s="50" t="n">
        <v>0</v>
      </c>
      <c r="W62" s="51" t="n">
        <v>7</v>
      </c>
      <c r="X62" s="51" t="n">
        <v>6</v>
      </c>
      <c r="Y62" s="51" t="n">
        <v>0</v>
      </c>
      <c r="Z62" s="51" t="n">
        <v>0</v>
      </c>
      <c r="AA62" s="52" t="n">
        <v>3.19</v>
      </c>
      <c r="AB62" s="52" t="n">
        <v>2.94</v>
      </c>
      <c r="AC62" s="52" t="n">
        <v>0</v>
      </c>
      <c r="AD62" s="52" t="n">
        <v>0</v>
      </c>
      <c r="AE62" s="52" t="n">
        <v>52.98</v>
      </c>
      <c r="AF62" s="52" t="n">
        <v>0</v>
      </c>
      <c r="AG62" s="52" t="n">
        <v>0</v>
      </c>
      <c r="AH62" s="52" t="n">
        <v>0</v>
      </c>
      <c r="AI62" s="52" t="n">
        <v>16.61</v>
      </c>
      <c r="AJ62" s="52" t="n">
        <v>0</v>
      </c>
      <c r="AK62" s="52" t="n">
        <v>0</v>
      </c>
      <c r="AL62" s="52" t="n">
        <v>0</v>
      </c>
      <c r="AM62" s="53" t="n">
        <v>0.0034</v>
      </c>
      <c r="AN62" s="53" t="n">
        <v>0.0039</v>
      </c>
      <c r="AO62" s="53" t="n">
        <v>0</v>
      </c>
      <c r="AP62" s="53" t="n">
        <v>0</v>
      </c>
      <c r="AQ62" s="52" t="n">
        <v>0.4557142857142858</v>
      </c>
      <c r="AR62" s="52" t="n">
        <v>0.49</v>
      </c>
      <c r="AS62" s="52" t="n">
        <v>0</v>
      </c>
      <c r="AT62" s="52" t="n">
        <v>0</v>
      </c>
      <c r="AU62" s="53" t="n">
        <v>0.08863573214781885</v>
      </c>
      <c r="AV62" s="53" t="n">
        <v>0</v>
      </c>
      <c r="AW62" s="53" t="n">
        <v>0</v>
      </c>
      <c r="AX62" s="53" t="n">
        <v>0</v>
      </c>
      <c r="AY62" s="52" t="n">
        <v>35.99</v>
      </c>
      <c r="AZ62" s="52" t="n">
        <v>0</v>
      </c>
      <c r="BA62" s="52" t="n">
        <v>0</v>
      </c>
      <c r="BB62" s="52" t="n">
        <v>0</v>
      </c>
      <c r="BC62" s="51" t="n">
        <v>2070</v>
      </c>
      <c r="BD62" s="51" t="n">
        <v>1556</v>
      </c>
      <c r="BE62" s="51" t="n">
        <v>0</v>
      </c>
      <c r="BF62" s="51" t="n">
        <v>2</v>
      </c>
    </row>
    <row r="63">
      <c r="A63">
        <f>HYPERLINK("https://www.walmart.com/ip/1606747764", "1606747764")</f>
        <v/>
      </c>
      <c r="B63" t="inlineStr">
        <is>
          <t>Tirrinia 2 Bottle Wine Tote Carrier - Insulated &amp; Padded Versatile Cooler Bag for Travel, BYOB Restaurant, Wine Tasting, Party, Great Gift for Wine Lover, Red</t>
        </is>
      </c>
      <c r="C63" t="inlineStr">
        <is>
          <t>1TRWB221RD</t>
        </is>
      </c>
      <c r="D63" t="inlineStr">
        <is>
          <t>Wine Totes, Bags &amp; Backpacks</t>
        </is>
      </c>
      <c r="E63" t="inlineStr">
        <is>
          <t>Tirrinia</t>
        </is>
      </c>
      <c r="F63" t="inlineStr">
        <is>
          <t>Wine,SEM,Batch 1 - TR</t>
        </is>
      </c>
      <c r="G63" s="48" t="n">
        <v>35.98</v>
      </c>
      <c r="H63" s="48" t="n">
        <v>0</v>
      </c>
      <c r="I63" s="48" t="n">
        <v>17.99</v>
      </c>
      <c r="J63" s="48" t="n">
        <v>17.99</v>
      </c>
      <c r="K63" s="49" t="n">
        <v>2</v>
      </c>
      <c r="L63" s="49" t="n">
        <v>0</v>
      </c>
      <c r="M63" s="49" t="n">
        <v>1</v>
      </c>
      <c r="N63" s="49" t="n">
        <v>1</v>
      </c>
      <c r="O63" s="49" t="n">
        <v>0</v>
      </c>
      <c r="P63" s="49" t="n">
        <v>0</v>
      </c>
      <c r="Q63" s="49" t="n">
        <v>0</v>
      </c>
      <c r="R63" s="49" t="n">
        <v>1</v>
      </c>
      <c r="S63" s="50" t="n">
        <v>0</v>
      </c>
      <c r="T63" s="50" t="n">
        <v>0</v>
      </c>
      <c r="U63" s="50" t="n">
        <v>0</v>
      </c>
      <c r="V63" s="50" t="n">
        <v>1</v>
      </c>
      <c r="W63" s="51" t="n">
        <v>2</v>
      </c>
      <c r="X63" s="51" t="n">
        <v>0</v>
      </c>
      <c r="Y63" s="51" t="n">
        <v>2</v>
      </c>
      <c r="Z63" s="51" t="n">
        <v>1</v>
      </c>
      <c r="AA63" s="52" t="n">
        <v>0.8400000000000001</v>
      </c>
      <c r="AB63" s="52" t="n">
        <v>0</v>
      </c>
      <c r="AC63" s="52" t="n">
        <v>0.88</v>
      </c>
      <c r="AD63" s="52" t="n">
        <v>0.44</v>
      </c>
      <c r="AE63" s="52" t="n">
        <v>19.99</v>
      </c>
      <c r="AF63" s="52" t="n">
        <v>0</v>
      </c>
      <c r="AG63" s="52" t="n">
        <v>0</v>
      </c>
      <c r="AH63" s="52" t="n">
        <v>0</v>
      </c>
      <c r="AI63" s="52" t="n">
        <v>23.8</v>
      </c>
      <c r="AJ63" s="52" t="n">
        <v>0</v>
      </c>
      <c r="AK63" s="52" t="n">
        <v>0</v>
      </c>
      <c r="AL63" s="52" t="n">
        <v>0</v>
      </c>
      <c r="AM63" s="53" t="n">
        <v>0.0032</v>
      </c>
      <c r="AN63" s="53" t="n">
        <v>0</v>
      </c>
      <c r="AO63" s="53" t="n">
        <v>0.0023</v>
      </c>
      <c r="AP63" s="53" t="n">
        <v>0.0028</v>
      </c>
      <c r="AQ63" s="52" t="n">
        <v>0.42</v>
      </c>
      <c r="AR63" s="52" t="n">
        <v>0</v>
      </c>
      <c r="AS63" s="52" t="n">
        <v>0.44</v>
      </c>
      <c r="AT63" s="52" t="n">
        <v>0.44</v>
      </c>
      <c r="AU63" s="53" t="n">
        <v>0.02334630350194553</v>
      </c>
      <c r="AV63" s="53" t="n">
        <v>0</v>
      </c>
      <c r="AW63" s="53" t="n">
        <v>0.04891606448026682</v>
      </c>
      <c r="AX63" s="53" t="n">
        <v>0.02445803224013341</v>
      </c>
      <c r="AY63" s="52" t="n">
        <v>17.99</v>
      </c>
      <c r="AZ63" s="52" t="n">
        <v>0</v>
      </c>
      <c r="BA63" s="52" t="n">
        <v>17.99</v>
      </c>
      <c r="BB63" s="52" t="n">
        <v>17.99</v>
      </c>
      <c r="BC63" s="51" t="n">
        <v>622</v>
      </c>
      <c r="BD63" s="51" t="n">
        <v>356</v>
      </c>
      <c r="BE63" s="51" t="n">
        <v>878</v>
      </c>
      <c r="BF63" s="51" t="n">
        <v>362</v>
      </c>
    </row>
    <row r="64">
      <c r="A64">
        <f>HYPERLINK("https://www.walmart.com/ip/787385705", "787385705")</f>
        <v/>
      </c>
      <c r="B64" t="inlineStr">
        <is>
          <t>Tirrinia Insulated Lunch Bag for Women Men, 10L Leakproof Thermal Reusable Lunch Box for Adult Kids, Tall Meal Prep Lunch Cooler Tote for Office Work, Back to School, Large, Dark Grey</t>
        </is>
      </c>
      <c r="C64" t="inlineStr">
        <is>
          <t>1TRLB701DGY-T</t>
        </is>
      </c>
      <c r="D64" t="inlineStr">
        <is>
          <t>Reusable Lunch Bags &amp; Boxes</t>
        </is>
      </c>
      <c r="E64" t="inlineStr">
        <is>
          <t>Tirrinia</t>
        </is>
      </c>
      <c r="F64" t="inlineStr">
        <is>
          <t>Q2-Target,Brand Camp VD,Lunch Bag,WFS,Lunch Bags,SEM,WFS Item</t>
        </is>
      </c>
      <c r="G64" s="48" t="n">
        <v>34.97</v>
      </c>
      <c r="H64" s="48" t="n">
        <v>27.98</v>
      </c>
      <c r="I64" s="48" t="n">
        <v>41.97</v>
      </c>
      <c r="J64" s="48" t="n">
        <v>76.94</v>
      </c>
      <c r="K64" s="49" t="n">
        <v>2</v>
      </c>
      <c r="L64" s="49" t="n">
        <v>2</v>
      </c>
      <c r="M64" s="49" t="n">
        <v>3</v>
      </c>
      <c r="N64" s="49" t="n">
        <v>5</v>
      </c>
      <c r="O64" s="49" t="n">
        <v>94</v>
      </c>
      <c r="P64" s="49" t="n">
        <v>129</v>
      </c>
      <c r="Q64" s="49" t="n">
        <v>144</v>
      </c>
      <c r="R64" s="49" t="n">
        <v>157</v>
      </c>
      <c r="S64" s="50" t="n">
        <v>0.02127659574468085</v>
      </c>
      <c r="T64" s="50" t="n">
        <v>0.01550387596899225</v>
      </c>
      <c r="U64" s="50" t="n">
        <v>0.02083333333333333</v>
      </c>
      <c r="V64" s="50" t="n">
        <v>0.03184713375796178</v>
      </c>
      <c r="W64" s="51" t="n">
        <v>0</v>
      </c>
      <c r="X64" s="51" t="n">
        <v>0</v>
      </c>
      <c r="Y64" s="51" t="n">
        <v>0</v>
      </c>
      <c r="Z64" s="51" t="n">
        <v>0</v>
      </c>
      <c r="AA64" s="52" t="n">
        <v>0</v>
      </c>
      <c r="AB64" s="52" t="n">
        <v>0</v>
      </c>
      <c r="AC64" s="52" t="n">
        <v>0</v>
      </c>
      <c r="AD64" s="52" t="n">
        <v>0</v>
      </c>
      <c r="AE64" s="52" t="n">
        <v>0</v>
      </c>
      <c r="AF64" s="52" t="n">
        <v>0</v>
      </c>
      <c r="AG64" s="52" t="n">
        <v>0</v>
      </c>
      <c r="AH64" s="52" t="n">
        <v>0</v>
      </c>
      <c r="AI64" s="52" t="n">
        <v>0</v>
      </c>
      <c r="AJ64" s="52" t="n">
        <v>0</v>
      </c>
      <c r="AK64" s="52" t="n">
        <v>0</v>
      </c>
      <c r="AL64" s="52" t="n">
        <v>0</v>
      </c>
      <c r="AM64" s="53" t="n">
        <v>0</v>
      </c>
      <c r="AN64" s="53" t="n">
        <v>0</v>
      </c>
      <c r="AO64" s="53" t="n">
        <v>0</v>
      </c>
      <c r="AP64" s="53" t="n">
        <v>0</v>
      </c>
      <c r="AQ64" s="52" t="n">
        <v>0</v>
      </c>
      <c r="AR64" s="52" t="n">
        <v>0</v>
      </c>
      <c r="AS64" s="52" t="n">
        <v>0</v>
      </c>
      <c r="AT64" s="52" t="n">
        <v>0</v>
      </c>
      <c r="AU64" s="53" t="n">
        <v>0</v>
      </c>
      <c r="AV64" s="53" t="n">
        <v>0</v>
      </c>
      <c r="AW64" s="53" t="n">
        <v>0</v>
      </c>
      <c r="AX64" s="53" t="n">
        <v>0</v>
      </c>
      <c r="AY64" s="52" t="n">
        <v>17.485</v>
      </c>
      <c r="AZ64" s="52" t="n">
        <v>13.99</v>
      </c>
      <c r="BA64" s="52" t="n">
        <v>13.99</v>
      </c>
      <c r="BB64" s="52" t="n">
        <v>15.388</v>
      </c>
      <c r="BC64" s="51" t="n">
        <v>0</v>
      </c>
      <c r="BD64" s="51" t="n">
        <v>0</v>
      </c>
      <c r="BE64" s="51" t="n">
        <v>0</v>
      </c>
      <c r="BF64" s="51" t="n">
        <v>0</v>
      </c>
    </row>
    <row r="65">
      <c r="A65">
        <f>HYPERLINK("https://www.walmart.com/ip/5322547934", "5322547934")</f>
        <v/>
      </c>
      <c r="B65" t="inlineStr">
        <is>
          <t>Outdoor Wide Brim Sun Hats with Neck Flap Blocking UV Protection Cap by Solaris Unisex UPF 50+ Foldable Mesh Net for Fin</t>
        </is>
      </c>
      <c r="C65" t="inlineStr">
        <is>
          <t>1SLSH910CAMO-B</t>
        </is>
      </c>
      <c r="D65" t="inlineStr">
        <is>
          <t>Hats</t>
        </is>
      </c>
      <c r="E65" t="inlineStr">
        <is>
          <t>Solaris</t>
        </is>
      </c>
      <c r="G65" s="48" t="n">
        <v>33.98</v>
      </c>
      <c r="H65" s="48" t="n">
        <v>0</v>
      </c>
      <c r="I65" s="48" t="n">
        <v>0</v>
      </c>
      <c r="J65" s="48" t="n">
        <v>0</v>
      </c>
      <c r="K65" s="49" t="n">
        <v>2</v>
      </c>
      <c r="L65" s="49" t="n">
        <v>0</v>
      </c>
      <c r="M65" s="49" t="n">
        <v>0</v>
      </c>
      <c r="N65" s="49" t="n">
        <v>0</v>
      </c>
      <c r="O65" s="49" t="n">
        <v>2</v>
      </c>
      <c r="P65" s="49" t="n">
        <v>1</v>
      </c>
      <c r="Q65" s="49" t="n">
        <v>0</v>
      </c>
      <c r="R65" s="49" t="n">
        <v>0</v>
      </c>
      <c r="S65" s="50" t="n">
        <v>1</v>
      </c>
      <c r="T65" s="50" t="n">
        <v>0</v>
      </c>
      <c r="U65" s="50" t="n">
        <v>0</v>
      </c>
      <c r="V65" s="50" t="n">
        <v>0</v>
      </c>
      <c r="W65" s="51" t="n">
        <v>0</v>
      </c>
      <c r="X65" s="51" t="n">
        <v>0</v>
      </c>
      <c r="Y65" s="51" t="n">
        <v>0</v>
      </c>
      <c r="Z65" s="51" t="n">
        <v>0</v>
      </c>
      <c r="AA65" s="52" t="n">
        <v>0</v>
      </c>
      <c r="AB65" s="52" t="n">
        <v>0</v>
      </c>
      <c r="AC65" s="52" t="n">
        <v>0</v>
      </c>
      <c r="AD65" s="52" t="n">
        <v>0</v>
      </c>
      <c r="AE65" s="52" t="n">
        <v>0</v>
      </c>
      <c r="AF65" s="52" t="n">
        <v>0</v>
      </c>
      <c r="AG65" s="52" t="n">
        <v>0</v>
      </c>
      <c r="AH65" s="52" t="n">
        <v>0</v>
      </c>
      <c r="AI65" s="52" t="n">
        <v>0</v>
      </c>
      <c r="AJ65" s="52" t="n">
        <v>0</v>
      </c>
      <c r="AK65" s="52" t="n">
        <v>0</v>
      </c>
      <c r="AL65" s="52" t="n">
        <v>0</v>
      </c>
      <c r="AM65" s="53" t="n">
        <v>0</v>
      </c>
      <c r="AN65" s="53" t="n">
        <v>0</v>
      </c>
      <c r="AO65" s="53" t="n">
        <v>0</v>
      </c>
      <c r="AP65" s="53" t="n">
        <v>0</v>
      </c>
      <c r="AQ65" s="52" t="n">
        <v>0</v>
      </c>
      <c r="AR65" s="52" t="n">
        <v>0</v>
      </c>
      <c r="AS65" s="52" t="n">
        <v>0</v>
      </c>
      <c r="AT65" s="52" t="n">
        <v>0</v>
      </c>
      <c r="AU65" s="53" t="n">
        <v>0</v>
      </c>
      <c r="AV65" s="53" t="n">
        <v>0</v>
      </c>
      <c r="AW65" s="53" t="n">
        <v>0</v>
      </c>
      <c r="AX65" s="53" t="n">
        <v>0</v>
      </c>
      <c r="AY65" s="52" t="n">
        <v>16.99</v>
      </c>
      <c r="AZ65" s="52" t="n">
        <v>0</v>
      </c>
      <c r="BA65" s="52" t="n">
        <v>0</v>
      </c>
      <c r="BB65" s="52" t="n">
        <v>0</v>
      </c>
      <c r="BC65" s="51" t="n">
        <v>0</v>
      </c>
      <c r="BD65" s="51" t="n">
        <v>0</v>
      </c>
      <c r="BE65" s="51" t="n">
        <v>0</v>
      </c>
      <c r="BF65" s="51" t="n">
        <v>0</v>
      </c>
    </row>
    <row r="66">
      <c r="A66">
        <f>HYPERLINK("https://www.walmart.com/ip/724471437", "724471437")</f>
        <v/>
      </c>
      <c r="B66" t="inlineStr">
        <is>
          <t>Tirrinia Adult Insulated Lunch Bag Totes Best Thermos Cooler Container, Leakproof Expandable Reusable Lunch Box</t>
        </is>
      </c>
      <c r="C66" t="inlineStr">
        <is>
          <t>1TRCB106RD</t>
        </is>
      </c>
      <c r="D66" t="inlineStr">
        <is>
          <t>Reusable Lunch Bags &amp; Boxes</t>
        </is>
      </c>
      <c r="E66" t="inlineStr">
        <is>
          <t>Tirrinia</t>
        </is>
      </c>
      <c r="F66" t="inlineStr">
        <is>
          <t>Q2-Target,Brand Camp VD,Lunch Bag,WFS,Lunch Bags,WFS Item</t>
        </is>
      </c>
      <c r="G66" s="48" t="n">
        <v>32.97</v>
      </c>
      <c r="H66" s="48" t="n">
        <v>12.99</v>
      </c>
      <c r="I66" s="48" t="n">
        <v>12.99</v>
      </c>
      <c r="J66" s="48" t="n">
        <v>38.97</v>
      </c>
      <c r="K66" s="49" t="n">
        <v>2</v>
      </c>
      <c r="L66" s="49" t="n">
        <v>1</v>
      </c>
      <c r="M66" s="49" t="n">
        <v>1</v>
      </c>
      <c r="N66" s="49" t="n">
        <v>3</v>
      </c>
      <c r="O66" s="49" t="n">
        <v>28</v>
      </c>
      <c r="P66" s="49" t="n">
        <v>28</v>
      </c>
      <c r="Q66" s="49" t="n">
        <v>29</v>
      </c>
      <c r="R66" s="49" t="n">
        <v>34</v>
      </c>
      <c r="S66" s="50" t="n">
        <v>0.07142857142857142</v>
      </c>
      <c r="T66" s="50" t="n">
        <v>0.03571428571428571</v>
      </c>
      <c r="U66" s="50" t="n">
        <v>0.03448275862068965</v>
      </c>
      <c r="V66" s="50" t="n">
        <v>0.08823529411764706</v>
      </c>
      <c r="W66" s="51" t="n">
        <v>0</v>
      </c>
      <c r="X66" s="51" t="n">
        <v>0</v>
      </c>
      <c r="Y66" s="51" t="n">
        <v>0</v>
      </c>
      <c r="Z66" s="51" t="n">
        <v>0</v>
      </c>
      <c r="AA66" s="52" t="n">
        <v>0</v>
      </c>
      <c r="AB66" s="52" t="n">
        <v>0</v>
      </c>
      <c r="AC66" s="52" t="n">
        <v>0</v>
      </c>
      <c r="AD66" s="52" t="n">
        <v>0</v>
      </c>
      <c r="AE66" s="52" t="n">
        <v>0</v>
      </c>
      <c r="AF66" s="52" t="n">
        <v>0</v>
      </c>
      <c r="AG66" s="52" t="n">
        <v>0</v>
      </c>
      <c r="AH66" s="52" t="n">
        <v>0</v>
      </c>
      <c r="AI66" s="52" t="n">
        <v>0</v>
      </c>
      <c r="AJ66" s="52" t="n">
        <v>0</v>
      </c>
      <c r="AK66" s="52" t="n">
        <v>0</v>
      </c>
      <c r="AL66" s="52" t="n">
        <v>0</v>
      </c>
      <c r="AM66" s="53" t="n">
        <v>0</v>
      </c>
      <c r="AN66" s="53" t="n">
        <v>0</v>
      </c>
      <c r="AO66" s="53" t="n">
        <v>0</v>
      </c>
      <c r="AP66" s="53" t="n">
        <v>0</v>
      </c>
      <c r="AQ66" s="52" t="n">
        <v>0</v>
      </c>
      <c r="AR66" s="52" t="n">
        <v>0</v>
      </c>
      <c r="AS66" s="52" t="n">
        <v>0</v>
      </c>
      <c r="AT66" s="52" t="n">
        <v>0</v>
      </c>
      <c r="AU66" s="53" t="n">
        <v>0</v>
      </c>
      <c r="AV66" s="53" t="n">
        <v>0</v>
      </c>
      <c r="AW66" s="53" t="n">
        <v>0</v>
      </c>
      <c r="AX66" s="53" t="n">
        <v>0</v>
      </c>
      <c r="AY66" s="52" t="n">
        <v>16.485</v>
      </c>
      <c r="AZ66" s="52" t="n">
        <v>12.99</v>
      </c>
      <c r="BA66" s="52" t="n">
        <v>12.99</v>
      </c>
      <c r="BB66" s="52" t="n">
        <v>12.99</v>
      </c>
      <c r="BC66" s="51" t="n">
        <v>0</v>
      </c>
      <c r="BD66" s="51" t="n">
        <v>0</v>
      </c>
      <c r="BE66" s="51" t="n">
        <v>0</v>
      </c>
      <c r="BF66" s="51" t="n">
        <v>0</v>
      </c>
    </row>
    <row r="67">
      <c r="A67">
        <f>HYPERLINK("https://www.walmart.com/ip/5734394641", "5734394641")</f>
        <v/>
      </c>
      <c r="B67" t="inlineStr">
        <is>
          <t>Tirrinia Mesh Beach Bag with Cooler Compartment, Extra Large Totes for Beach Travel, Functional Fashion Beach Bag for Women</t>
        </is>
      </c>
      <c r="C67" t="inlineStr">
        <is>
          <t>1TRCB00112BK</t>
        </is>
      </c>
      <c r="D67" t="inlineStr">
        <is>
          <t>Handbags</t>
        </is>
      </c>
      <c r="E67" t="inlineStr">
        <is>
          <t>Tirrinia</t>
        </is>
      </c>
      <c r="G67" s="48" t="n">
        <v>31.99</v>
      </c>
      <c r="H67" s="48" t="n">
        <v>0</v>
      </c>
      <c r="I67" s="48" t="n">
        <v>0</v>
      </c>
      <c r="J67" s="48" t="n">
        <v>0</v>
      </c>
      <c r="K67" s="49" t="n">
        <v>1</v>
      </c>
      <c r="L67" s="49" t="n">
        <v>0</v>
      </c>
      <c r="M67" s="49" t="n">
        <v>0</v>
      </c>
      <c r="N67" s="49" t="n">
        <v>0</v>
      </c>
      <c r="O67" s="49" t="n">
        <v>0</v>
      </c>
      <c r="P67" s="49" t="n">
        <v>0</v>
      </c>
      <c r="Q67" s="49" t="n">
        <v>0</v>
      </c>
      <c r="R67" s="49" t="n">
        <v>0</v>
      </c>
      <c r="S67" s="50" t="n">
        <v>0</v>
      </c>
      <c r="T67" s="50" t="n">
        <v>0</v>
      </c>
      <c r="U67" s="50" t="n">
        <v>0</v>
      </c>
      <c r="V67" s="50" t="n">
        <v>0</v>
      </c>
      <c r="W67" s="51" t="n">
        <v>0</v>
      </c>
      <c r="X67" s="51" t="n">
        <v>0</v>
      </c>
      <c r="Y67" s="51" t="n">
        <v>0</v>
      </c>
      <c r="Z67" s="51" t="n">
        <v>0</v>
      </c>
      <c r="AA67" s="52" t="n">
        <v>0</v>
      </c>
      <c r="AB67" s="52" t="n">
        <v>0</v>
      </c>
      <c r="AC67" s="52" t="n">
        <v>0</v>
      </c>
      <c r="AD67" s="52" t="n">
        <v>0</v>
      </c>
      <c r="AE67" s="52" t="n">
        <v>0</v>
      </c>
      <c r="AF67" s="52" t="n">
        <v>0</v>
      </c>
      <c r="AG67" s="52" t="n">
        <v>0</v>
      </c>
      <c r="AH67" s="52" t="n">
        <v>0</v>
      </c>
      <c r="AI67" s="52" t="n">
        <v>0</v>
      </c>
      <c r="AJ67" s="52" t="n">
        <v>0</v>
      </c>
      <c r="AK67" s="52" t="n">
        <v>0</v>
      </c>
      <c r="AL67" s="52" t="n">
        <v>0</v>
      </c>
      <c r="AM67" s="53" t="n">
        <v>0</v>
      </c>
      <c r="AN67" s="53" t="n">
        <v>0</v>
      </c>
      <c r="AO67" s="53" t="n">
        <v>0</v>
      </c>
      <c r="AP67" s="53" t="n">
        <v>0</v>
      </c>
      <c r="AQ67" s="52" t="n">
        <v>0</v>
      </c>
      <c r="AR67" s="52" t="n">
        <v>0</v>
      </c>
      <c r="AS67" s="52" t="n">
        <v>0</v>
      </c>
      <c r="AT67" s="52" t="n">
        <v>0</v>
      </c>
      <c r="AU67" s="53" t="n">
        <v>0</v>
      </c>
      <c r="AV67" s="53" t="n">
        <v>0</v>
      </c>
      <c r="AW67" s="53" t="n">
        <v>0</v>
      </c>
      <c r="AX67" s="53" t="n">
        <v>0</v>
      </c>
      <c r="AY67" s="52" t="n">
        <v>31.99</v>
      </c>
      <c r="AZ67" s="52" t="n">
        <v>0</v>
      </c>
      <c r="BA67" s="52" t="n">
        <v>0</v>
      </c>
      <c r="BB67" s="52" t="n">
        <v>0</v>
      </c>
      <c r="BC67" s="51" t="n">
        <v>0</v>
      </c>
      <c r="BD67" s="51" t="n">
        <v>0</v>
      </c>
      <c r="BE67" s="51" t="n">
        <v>0</v>
      </c>
      <c r="BF67" s="51" t="n">
        <v>0</v>
      </c>
    </row>
    <row r="68">
      <c r="A68">
        <f>HYPERLINK("https://www.walmart.com/ip/566409020", "566409020")</f>
        <v/>
      </c>
      <c r="B68" t="inlineStr">
        <is>
          <t>Lightweight Queen Bedspread Quilt Set for Summer and Spring,Bedding Coverlet - Quilt and Pillow Shams</t>
        </is>
      </c>
      <c r="C68" t="inlineStr">
        <is>
          <t>1CTBQ203QF-GYWT</t>
        </is>
      </c>
      <c r="D68" t="inlineStr">
        <is>
          <t>Bedding Sets</t>
        </is>
      </c>
      <c r="E68" t="inlineStr">
        <is>
          <t>Catalonia</t>
        </is>
      </c>
      <c r="F68" t="inlineStr">
        <is>
          <t>Optimized,WFS,Quilt_Vinay,WFS Item</t>
        </is>
      </c>
      <c r="G68" s="48" t="n">
        <v>31.98</v>
      </c>
      <c r="H68" s="48" t="n">
        <v>0</v>
      </c>
      <c r="I68" s="48" t="n">
        <v>0</v>
      </c>
      <c r="J68" s="48" t="n">
        <v>0</v>
      </c>
      <c r="K68" s="49" t="n">
        <v>1</v>
      </c>
      <c r="L68" s="49" t="n">
        <v>0</v>
      </c>
      <c r="M68" s="49" t="n">
        <v>0</v>
      </c>
      <c r="N68" s="49" t="n">
        <v>0</v>
      </c>
      <c r="O68" s="49" t="n">
        <v>0</v>
      </c>
      <c r="P68" s="49" t="n">
        <v>0</v>
      </c>
      <c r="Q68" s="49" t="n">
        <v>0</v>
      </c>
      <c r="R68" s="49" t="n">
        <v>0</v>
      </c>
      <c r="S68" s="50" t="n">
        <v>0</v>
      </c>
      <c r="T68" s="50" t="n">
        <v>0</v>
      </c>
      <c r="U68" s="50" t="n">
        <v>0</v>
      </c>
      <c r="V68" s="50" t="n">
        <v>0</v>
      </c>
      <c r="W68" s="51" t="n">
        <v>0</v>
      </c>
      <c r="X68" s="51" t="n">
        <v>0</v>
      </c>
      <c r="Y68" s="51" t="n">
        <v>0</v>
      </c>
      <c r="Z68" s="51" t="n">
        <v>0</v>
      </c>
      <c r="AA68" s="52" t="n">
        <v>0</v>
      </c>
      <c r="AB68" s="52" t="n">
        <v>0</v>
      </c>
      <c r="AC68" s="52" t="n">
        <v>0</v>
      </c>
      <c r="AD68" s="52" t="n">
        <v>0</v>
      </c>
      <c r="AE68" s="52" t="n">
        <v>0</v>
      </c>
      <c r="AF68" s="52" t="n">
        <v>0</v>
      </c>
      <c r="AG68" s="52" t="n">
        <v>0</v>
      </c>
      <c r="AH68" s="52" t="n">
        <v>0</v>
      </c>
      <c r="AI68" s="52" t="n">
        <v>0</v>
      </c>
      <c r="AJ68" s="52" t="n">
        <v>0</v>
      </c>
      <c r="AK68" s="52" t="n">
        <v>0</v>
      </c>
      <c r="AL68" s="52" t="n">
        <v>0</v>
      </c>
      <c r="AM68" s="53" t="n">
        <v>0</v>
      </c>
      <c r="AN68" s="53" t="n">
        <v>0</v>
      </c>
      <c r="AO68" s="53" t="n">
        <v>0</v>
      </c>
      <c r="AP68" s="53" t="n">
        <v>0</v>
      </c>
      <c r="AQ68" s="52" t="n">
        <v>0</v>
      </c>
      <c r="AR68" s="52" t="n">
        <v>0</v>
      </c>
      <c r="AS68" s="52" t="n">
        <v>0</v>
      </c>
      <c r="AT68" s="52" t="n">
        <v>0</v>
      </c>
      <c r="AU68" s="53" t="n">
        <v>0</v>
      </c>
      <c r="AV68" s="53" t="n">
        <v>0</v>
      </c>
      <c r="AW68" s="53" t="n">
        <v>0</v>
      </c>
      <c r="AX68" s="53" t="n">
        <v>0</v>
      </c>
      <c r="AY68" s="52" t="n">
        <v>31.98</v>
      </c>
      <c r="AZ68" s="52" t="n">
        <v>0</v>
      </c>
      <c r="BA68" s="52" t="n">
        <v>0</v>
      </c>
      <c r="BB68" s="52" t="n">
        <v>0</v>
      </c>
      <c r="BC68" s="51" t="n">
        <v>0</v>
      </c>
      <c r="BD68" s="51" t="n">
        <v>0</v>
      </c>
      <c r="BE68" s="51" t="n">
        <v>0</v>
      </c>
      <c r="BF68" s="51" t="n">
        <v>0</v>
      </c>
    </row>
    <row r="69">
      <c r="A69">
        <f>HYPERLINK("https://www.walmart.com/ip/660673214", "660673214")</f>
        <v/>
      </c>
      <c r="B69" t="inlineStr">
        <is>
          <t>Sun Blocker Women's Travel Sun Hat UPF 50+ Large Brim Beach Neck Flap Hat Purple</t>
        </is>
      </c>
      <c r="C69" t="inlineStr">
        <is>
          <t>KC-S9201-PP</t>
        </is>
      </c>
      <c r="D69" t="inlineStr">
        <is>
          <t>Hats</t>
        </is>
      </c>
      <c r="E69" t="inlineStr">
        <is>
          <t>Sun Blocker</t>
        </is>
      </c>
      <c r="F69" t="inlineStr">
        <is>
          <t>Q2-Target,Hats,Batch 1 - TR</t>
        </is>
      </c>
      <c r="G69" s="48" t="n">
        <v>31.98</v>
      </c>
      <c r="H69" s="48" t="n">
        <v>15.99</v>
      </c>
      <c r="I69" s="48" t="n">
        <v>0</v>
      </c>
      <c r="J69" s="48" t="n">
        <v>0</v>
      </c>
      <c r="K69" s="49" t="n">
        <v>2</v>
      </c>
      <c r="L69" s="49" t="n">
        <v>1</v>
      </c>
      <c r="M69" s="49" t="n">
        <v>0</v>
      </c>
      <c r="N69" s="49" t="n">
        <v>0</v>
      </c>
      <c r="O69" s="49" t="n">
        <v>5</v>
      </c>
      <c r="P69" s="49" t="n">
        <v>5</v>
      </c>
      <c r="Q69" s="49" t="n">
        <v>3</v>
      </c>
      <c r="R69" s="49" t="n">
        <v>4</v>
      </c>
      <c r="S69" s="50" t="n">
        <v>0.4</v>
      </c>
      <c r="T69" s="50" t="n">
        <v>0.2</v>
      </c>
      <c r="U69" s="50" t="n">
        <v>0</v>
      </c>
      <c r="V69" s="50" t="n">
        <v>0</v>
      </c>
      <c r="W69" s="51" t="n">
        <v>0</v>
      </c>
      <c r="X69" s="51" t="n">
        <v>0</v>
      </c>
      <c r="Y69" s="51" t="n">
        <v>0</v>
      </c>
      <c r="Z69" s="51" t="n">
        <v>0</v>
      </c>
      <c r="AA69" s="52" t="n">
        <v>0</v>
      </c>
      <c r="AB69" s="52" t="n">
        <v>0</v>
      </c>
      <c r="AC69" s="52" t="n">
        <v>0</v>
      </c>
      <c r="AD69" s="52" t="n">
        <v>0</v>
      </c>
      <c r="AE69" s="52" t="n">
        <v>0</v>
      </c>
      <c r="AF69" s="52" t="n">
        <v>0</v>
      </c>
      <c r="AG69" s="52" t="n">
        <v>0</v>
      </c>
      <c r="AH69" s="52" t="n">
        <v>0</v>
      </c>
      <c r="AI69" s="52" t="n">
        <v>0</v>
      </c>
      <c r="AJ69" s="52" t="n">
        <v>0</v>
      </c>
      <c r="AK69" s="52" t="n">
        <v>0</v>
      </c>
      <c r="AL69" s="52" t="n">
        <v>0</v>
      </c>
      <c r="AM69" s="53" t="n">
        <v>0</v>
      </c>
      <c r="AN69" s="53" t="n">
        <v>0</v>
      </c>
      <c r="AO69" s="53" t="n">
        <v>0</v>
      </c>
      <c r="AP69" s="53" t="n">
        <v>0</v>
      </c>
      <c r="AQ69" s="52" t="n">
        <v>0</v>
      </c>
      <c r="AR69" s="52" t="n">
        <v>0</v>
      </c>
      <c r="AS69" s="52" t="n">
        <v>0</v>
      </c>
      <c r="AT69" s="52" t="n">
        <v>0</v>
      </c>
      <c r="AU69" s="53" t="n">
        <v>0</v>
      </c>
      <c r="AV69" s="53" t="n">
        <v>0</v>
      </c>
      <c r="AW69" s="53" t="n">
        <v>0</v>
      </c>
      <c r="AX69" s="53" t="n">
        <v>0</v>
      </c>
      <c r="AY69" s="52" t="n">
        <v>15.99</v>
      </c>
      <c r="AZ69" s="52" t="n">
        <v>15.99</v>
      </c>
      <c r="BA69" s="52" t="n">
        <v>0</v>
      </c>
      <c r="BB69" s="52" t="n">
        <v>0</v>
      </c>
      <c r="BC69" s="51" t="n">
        <v>0</v>
      </c>
      <c r="BD69" s="51" t="n">
        <v>0</v>
      </c>
      <c r="BE69" s="51" t="n">
        <v>0</v>
      </c>
      <c r="BF69" s="51" t="n">
        <v>0</v>
      </c>
    </row>
    <row r="70">
      <c r="A70">
        <f>HYPERLINK("https://www.walmart.com/ip/364974733", "364974733")</f>
        <v/>
      </c>
      <c r="B70" t="inlineStr">
        <is>
          <t>Pawsse Waterproof Pet Blanket, Pee Urine Proof Dog Blanket Cover for Couch Bed Furniture Protector, Liquid Proof Blanket for Small Medium Dogs, 50” x 30”,  Lt Gray/Dk Gray</t>
        </is>
      </c>
      <c r="C70" t="inlineStr">
        <is>
          <t>1PSBW351LGDG</t>
        </is>
      </c>
      <c r="D70" t="inlineStr">
        <is>
          <t>Pet Blankets</t>
        </is>
      </c>
      <c r="E70" t="inlineStr">
        <is>
          <t>Pawsse</t>
        </is>
      </c>
      <c r="F70" t="inlineStr">
        <is>
          <t>Batch 1 - TR</t>
        </is>
      </c>
      <c r="G70" s="48" t="n">
        <v>31.98</v>
      </c>
      <c r="H70" s="48" t="n">
        <v>0</v>
      </c>
      <c r="I70" s="48" t="n">
        <v>47.97</v>
      </c>
      <c r="J70" s="48" t="n">
        <v>15.99</v>
      </c>
      <c r="K70" s="49" t="n">
        <v>2</v>
      </c>
      <c r="L70" s="49" t="n">
        <v>0</v>
      </c>
      <c r="M70" s="49" t="n">
        <v>3</v>
      </c>
      <c r="N70" s="49" t="n">
        <v>1</v>
      </c>
      <c r="O70" s="49" t="n">
        <v>4</v>
      </c>
      <c r="P70" s="49" t="n">
        <v>4</v>
      </c>
      <c r="Q70" s="49" t="n">
        <v>8</v>
      </c>
      <c r="R70" s="49" t="n">
        <v>3</v>
      </c>
      <c r="S70" s="50" t="n">
        <v>0.5</v>
      </c>
      <c r="T70" s="50" t="n">
        <v>0</v>
      </c>
      <c r="U70" s="50" t="n">
        <v>0.375</v>
      </c>
      <c r="V70" s="50" t="n">
        <v>0.3333333333333333</v>
      </c>
      <c r="W70" s="51" t="n">
        <v>0</v>
      </c>
      <c r="X70" s="51" t="n">
        <v>0</v>
      </c>
      <c r="Y70" s="51" t="n">
        <v>0</v>
      </c>
      <c r="Z70" s="51" t="n">
        <v>0</v>
      </c>
      <c r="AA70" s="52" t="n">
        <v>0</v>
      </c>
      <c r="AB70" s="52" t="n">
        <v>0</v>
      </c>
      <c r="AC70" s="52" t="n">
        <v>0</v>
      </c>
      <c r="AD70" s="52" t="n">
        <v>0</v>
      </c>
      <c r="AE70" s="52" t="n">
        <v>0</v>
      </c>
      <c r="AF70" s="52" t="n">
        <v>0</v>
      </c>
      <c r="AG70" s="52" t="n">
        <v>0</v>
      </c>
      <c r="AH70" s="52" t="n">
        <v>0</v>
      </c>
      <c r="AI70" s="52" t="n">
        <v>0</v>
      </c>
      <c r="AJ70" s="52" t="n">
        <v>0</v>
      </c>
      <c r="AK70" s="52" t="n">
        <v>0</v>
      </c>
      <c r="AL70" s="52" t="n">
        <v>0</v>
      </c>
      <c r="AM70" s="53" t="n">
        <v>0</v>
      </c>
      <c r="AN70" s="53" t="n">
        <v>0</v>
      </c>
      <c r="AO70" s="53" t="n">
        <v>0</v>
      </c>
      <c r="AP70" s="53" t="n">
        <v>0</v>
      </c>
      <c r="AQ70" s="52" t="n">
        <v>0</v>
      </c>
      <c r="AR70" s="52" t="n">
        <v>0</v>
      </c>
      <c r="AS70" s="52" t="n">
        <v>0</v>
      </c>
      <c r="AT70" s="52" t="n">
        <v>0</v>
      </c>
      <c r="AU70" s="53" t="n">
        <v>0</v>
      </c>
      <c r="AV70" s="53" t="n">
        <v>0</v>
      </c>
      <c r="AW70" s="53" t="n">
        <v>0</v>
      </c>
      <c r="AX70" s="53" t="n">
        <v>0</v>
      </c>
      <c r="AY70" s="52" t="n">
        <v>15.99</v>
      </c>
      <c r="AZ70" s="52" t="n">
        <v>0</v>
      </c>
      <c r="BA70" s="52" t="n">
        <v>15.99</v>
      </c>
      <c r="BB70" s="52" t="n">
        <v>15.99</v>
      </c>
      <c r="BC70" s="51" t="n">
        <v>0</v>
      </c>
      <c r="BD70" s="51" t="n">
        <v>0</v>
      </c>
      <c r="BE70" s="51" t="n">
        <v>0</v>
      </c>
      <c r="BF70" s="51" t="n">
        <v>0</v>
      </c>
    </row>
    <row r="71">
      <c r="A71">
        <f>HYPERLINK("https://www.walmart.com/ip/127000472", "127000472")</f>
        <v/>
      </c>
      <c r="B71" t="inlineStr">
        <is>
          <t>Men's Sun Hat with Neck Flap, Wide Brim Fishing Safari Hiking Hat, UPF 50+ Protection, Adjustable Chin Strap</t>
        </is>
      </c>
      <c r="C71" t="inlineStr">
        <is>
          <t>1SlSH923TN</t>
        </is>
      </c>
      <c r="D71" t="inlineStr">
        <is>
          <t>Hats</t>
        </is>
      </c>
      <c r="E71" t="inlineStr">
        <is>
          <t>Solaris</t>
        </is>
      </c>
      <c r="F71" t="inlineStr">
        <is>
          <t>Q2-Target,WFS</t>
        </is>
      </c>
      <c r="G71" s="48" t="n">
        <v>31.98</v>
      </c>
      <c r="H71" s="48" t="n">
        <v>134.91</v>
      </c>
      <c r="I71" s="48" t="n">
        <v>38.97</v>
      </c>
      <c r="J71" s="48" t="n">
        <v>15.99</v>
      </c>
      <c r="K71" s="49" t="n">
        <v>2</v>
      </c>
      <c r="L71" s="49" t="n">
        <v>8</v>
      </c>
      <c r="M71" s="49" t="n">
        <v>2</v>
      </c>
      <c r="N71" s="49" t="n">
        <v>1</v>
      </c>
      <c r="O71" s="49" t="n">
        <v>58</v>
      </c>
      <c r="P71" s="49" t="n">
        <v>46</v>
      </c>
      <c r="Q71" s="49" t="n">
        <v>37</v>
      </c>
      <c r="R71" s="49" t="n">
        <v>27</v>
      </c>
      <c r="S71" s="50" t="n">
        <v>0.03448275862068965</v>
      </c>
      <c r="T71" s="50" t="n">
        <v>0.1739130434782609</v>
      </c>
      <c r="U71" s="50" t="n">
        <v>0.05405405405405406</v>
      </c>
      <c r="V71" s="50" t="n">
        <v>0.03703703703703703</v>
      </c>
      <c r="W71" s="51" t="n">
        <v>93</v>
      </c>
      <c r="X71" s="51" t="n">
        <v>71</v>
      </c>
      <c r="Y71" s="51" t="n">
        <v>74</v>
      </c>
      <c r="Z71" s="51" t="n">
        <v>58</v>
      </c>
      <c r="AA71" s="52" t="n">
        <v>28.86</v>
      </c>
      <c r="AB71" s="52" t="n">
        <v>22.09</v>
      </c>
      <c r="AC71" s="52" t="n">
        <v>23.09</v>
      </c>
      <c r="AD71" s="52" t="n">
        <v>18.16</v>
      </c>
      <c r="AE71" s="52" t="n">
        <v>43.97</v>
      </c>
      <c r="AF71" s="52" t="n">
        <v>155.9</v>
      </c>
      <c r="AG71" s="52" t="n">
        <v>97.93999999999998</v>
      </c>
      <c r="AH71" s="52" t="n">
        <v>81.94999999999999</v>
      </c>
      <c r="AI71" s="52" t="n">
        <v>1.52</v>
      </c>
      <c r="AJ71" s="52" t="n">
        <v>7.06</v>
      </c>
      <c r="AK71" s="52" t="n">
        <v>4.24</v>
      </c>
      <c r="AL71" s="52" t="n">
        <v>4.51</v>
      </c>
      <c r="AM71" s="53" t="n">
        <v>0.0031</v>
      </c>
      <c r="AN71" s="53" t="n">
        <v>0.0024</v>
      </c>
      <c r="AO71" s="53" t="n">
        <v>0.0024</v>
      </c>
      <c r="AP71" s="53" t="n">
        <v>0.0026</v>
      </c>
      <c r="AQ71" s="52" t="n">
        <v>0.3103225806451613</v>
      </c>
      <c r="AR71" s="52" t="n">
        <v>0.3111267605633803</v>
      </c>
      <c r="AS71" s="52" t="n">
        <v>0.312027027027027</v>
      </c>
      <c r="AT71" s="52" t="n">
        <v>0.3131034482758621</v>
      </c>
      <c r="AU71" s="53" t="n">
        <v>0.9024390243902439</v>
      </c>
      <c r="AV71" s="53" t="n">
        <v>0.1637387888221778</v>
      </c>
      <c r="AW71" s="53" t="n">
        <v>0.59250705671029</v>
      </c>
      <c r="AX71" s="53" t="n">
        <v>1.135709818636648</v>
      </c>
      <c r="AY71" s="52" t="n">
        <v>15.99</v>
      </c>
      <c r="AZ71" s="52" t="n">
        <v>16.86375</v>
      </c>
      <c r="BA71" s="52" t="n">
        <v>19.485</v>
      </c>
      <c r="BB71" s="52" t="n">
        <v>15.99</v>
      </c>
      <c r="BC71" s="51" t="n">
        <v>29653</v>
      </c>
      <c r="BD71" s="51" t="n">
        <v>29652</v>
      </c>
      <c r="BE71" s="51" t="n">
        <v>30445</v>
      </c>
      <c r="BF71" s="51" t="n">
        <v>22079</v>
      </c>
    </row>
    <row r="72">
      <c r="A72">
        <f>HYPERLINK("https://www.walmart.com/ip/563387065", "563387065")</f>
        <v/>
      </c>
      <c r="B72" t="inlineStr">
        <is>
          <t>Pawsse Waterproof Pet Blanket, Pee Urine Proof Dog Blanket Cover for Couch Bed Furniture Protector, Liquid Proof Blanket for Small Medium Dogs, 50” x 30”, Gray/Tuape</t>
        </is>
      </c>
      <c r="C72" t="inlineStr">
        <is>
          <t>1PSBW351GYTP</t>
        </is>
      </c>
      <c r="D72" t="inlineStr">
        <is>
          <t>Pet Blankets</t>
        </is>
      </c>
      <c r="E72" t="inlineStr">
        <is>
          <t>Pawsse</t>
        </is>
      </c>
      <c r="F72" t="inlineStr">
        <is>
          <t>Q2-Target,Batch 1 - TR</t>
        </is>
      </c>
      <c r="G72" s="48" t="n">
        <v>31.98</v>
      </c>
      <c r="H72" s="48" t="n">
        <v>47.97</v>
      </c>
      <c r="I72" s="48" t="n">
        <v>70.95</v>
      </c>
      <c r="J72" s="48" t="n">
        <v>102.93</v>
      </c>
      <c r="K72" s="49" t="n">
        <v>2</v>
      </c>
      <c r="L72" s="49" t="n">
        <v>3</v>
      </c>
      <c r="M72" s="49" t="n">
        <v>4</v>
      </c>
      <c r="N72" s="49" t="n">
        <v>6</v>
      </c>
      <c r="O72" s="49" t="n">
        <v>30</v>
      </c>
      <c r="P72" s="49" t="n">
        <v>30</v>
      </c>
      <c r="Q72" s="49" t="n">
        <v>29</v>
      </c>
      <c r="R72" s="49" t="n">
        <v>19</v>
      </c>
      <c r="S72" s="50" t="n">
        <v>0.06666666666666667</v>
      </c>
      <c r="T72" s="50" t="n">
        <v>0.1</v>
      </c>
      <c r="U72" s="50" t="n">
        <v>0.1379310344827586</v>
      </c>
      <c r="V72" s="50" t="n">
        <v>0.3157894736842105</v>
      </c>
      <c r="W72" s="51" t="n">
        <v>50</v>
      </c>
      <c r="X72" s="51" t="n">
        <v>55</v>
      </c>
      <c r="Y72" s="51" t="n">
        <v>71</v>
      </c>
      <c r="Z72" s="51" t="n">
        <v>83</v>
      </c>
      <c r="AA72" s="52" t="n">
        <v>21.61</v>
      </c>
      <c r="AB72" s="52" t="n">
        <v>24.76</v>
      </c>
      <c r="AC72" s="52" t="n">
        <v>32.28</v>
      </c>
      <c r="AD72" s="52" t="n">
        <v>37.98</v>
      </c>
      <c r="AE72" s="52" t="n">
        <v>57.97</v>
      </c>
      <c r="AF72" s="52" t="n">
        <v>47.97</v>
      </c>
      <c r="AG72" s="52" t="n">
        <v>121.93</v>
      </c>
      <c r="AH72" s="52" t="n">
        <v>111.93</v>
      </c>
      <c r="AI72" s="52" t="n">
        <v>2.68</v>
      </c>
      <c r="AJ72" s="52" t="n">
        <v>1.94</v>
      </c>
      <c r="AK72" s="52" t="n">
        <v>3.78</v>
      </c>
      <c r="AL72" s="52" t="n">
        <v>2.95</v>
      </c>
      <c r="AM72" s="53" t="n">
        <v>0.0106</v>
      </c>
      <c r="AN72" s="53" t="n">
        <v>0.0097</v>
      </c>
      <c r="AO72" s="53" t="n">
        <v>0.0113</v>
      </c>
      <c r="AP72" s="53" t="n">
        <v>0.0137</v>
      </c>
      <c r="AQ72" s="52" t="n">
        <v>0.4322</v>
      </c>
      <c r="AR72" s="52" t="n">
        <v>0.4501818181818181</v>
      </c>
      <c r="AS72" s="52" t="n">
        <v>0.4546478873239437</v>
      </c>
      <c r="AT72" s="52" t="n">
        <v>0.4575903614457832</v>
      </c>
      <c r="AU72" s="53" t="n">
        <v>0.6757348342714196</v>
      </c>
      <c r="AV72" s="53" t="n">
        <v>0.5161559307900772</v>
      </c>
      <c r="AW72" s="53" t="n">
        <v>0.454968287526427</v>
      </c>
      <c r="AX72" s="53" t="n">
        <v>0.3689886330515885</v>
      </c>
      <c r="AY72" s="52" t="n">
        <v>15.99</v>
      </c>
      <c r="AZ72" s="52" t="n">
        <v>15.99</v>
      </c>
      <c r="BA72" s="52" t="n">
        <v>17.7375</v>
      </c>
      <c r="BB72" s="52" t="n">
        <v>17.155</v>
      </c>
      <c r="BC72" s="51" t="n">
        <v>4734</v>
      </c>
      <c r="BD72" s="51" t="n">
        <v>5680</v>
      </c>
      <c r="BE72" s="51" t="n">
        <v>6297</v>
      </c>
      <c r="BF72" s="51" t="n">
        <v>6051</v>
      </c>
    </row>
    <row r="73">
      <c r="A73">
        <f>HYPERLINK("https://www.walmart.com/ip/873609379", "873609379")</f>
        <v/>
      </c>
      <c r="B73" t="inlineStr">
        <is>
          <t>Fleece Blanket Wearable with Sleeves &amp; Foot pockets for Men and Women, Micro Plush Wrap Sleeved Throw Blanket Robe Multi-Colors 75”x53” by Catalonia</t>
        </is>
      </c>
      <c r="C73" t="inlineStr">
        <is>
          <t>1CTSN101BR</t>
        </is>
      </c>
      <c r="D73" t="inlineStr">
        <is>
          <t>Throws</t>
        </is>
      </c>
      <c r="E73" t="inlineStr">
        <is>
          <t>Catalonia</t>
        </is>
      </c>
      <c r="F73" t="inlineStr">
        <is>
          <t>Q2-Target,WFS,Coupon_Discount,WFS Item</t>
        </is>
      </c>
      <c r="G73" s="48" t="n">
        <v>30.98</v>
      </c>
      <c r="H73" s="48" t="n">
        <v>23.99</v>
      </c>
      <c r="I73" s="48" t="n">
        <v>0</v>
      </c>
      <c r="J73" s="48" t="n">
        <v>0</v>
      </c>
      <c r="K73" s="49" t="n">
        <v>1</v>
      </c>
      <c r="L73" s="49" t="n">
        <v>1</v>
      </c>
      <c r="M73" s="49" t="n">
        <v>0</v>
      </c>
      <c r="N73" s="49" t="n">
        <v>0</v>
      </c>
      <c r="O73" s="49" t="n">
        <v>0</v>
      </c>
      <c r="P73" s="49" t="n">
        <v>0</v>
      </c>
      <c r="Q73" s="49" t="n">
        <v>0</v>
      </c>
      <c r="R73" s="49" t="n">
        <v>0</v>
      </c>
      <c r="S73" s="50" t="n">
        <v>0</v>
      </c>
      <c r="T73" s="50" t="n">
        <v>0</v>
      </c>
      <c r="U73" s="50" t="n">
        <v>0</v>
      </c>
      <c r="V73" s="50" t="n">
        <v>0</v>
      </c>
      <c r="W73" s="51" t="n">
        <v>4</v>
      </c>
      <c r="X73" s="51" t="n">
        <v>5</v>
      </c>
      <c r="Y73" s="51" t="n">
        <v>3</v>
      </c>
      <c r="Z73" s="51" t="n">
        <v>5</v>
      </c>
      <c r="AA73" s="52" t="n">
        <v>1.76</v>
      </c>
      <c r="AB73" s="52" t="n">
        <v>1.85</v>
      </c>
      <c r="AC73" s="52" t="n">
        <v>1.32</v>
      </c>
      <c r="AD73" s="52" t="n">
        <v>2.2</v>
      </c>
      <c r="AE73" s="52" t="n">
        <v>0</v>
      </c>
      <c r="AF73" s="52" t="n">
        <v>23.99</v>
      </c>
      <c r="AG73" s="52" t="n">
        <v>0</v>
      </c>
      <c r="AH73" s="52" t="n">
        <v>0</v>
      </c>
      <c r="AI73" s="52" t="n">
        <v>0</v>
      </c>
      <c r="AJ73" s="52" t="n">
        <v>12.97</v>
      </c>
      <c r="AK73" s="52" t="n">
        <v>0</v>
      </c>
      <c r="AL73" s="52" t="n">
        <v>0</v>
      </c>
      <c r="AM73" s="53" t="n">
        <v>0.0021</v>
      </c>
      <c r="AN73" s="53" t="n">
        <v>0.0044</v>
      </c>
      <c r="AO73" s="53" t="n">
        <v>0.0033</v>
      </c>
      <c r="AP73" s="53" t="n">
        <v>0.0017</v>
      </c>
      <c r="AQ73" s="52" t="n">
        <v>0.44</v>
      </c>
      <c r="AR73" s="52" t="n">
        <v>0.37</v>
      </c>
      <c r="AS73" s="52" t="n">
        <v>0.44</v>
      </c>
      <c r="AT73" s="52" t="n">
        <v>0.4400000000000001</v>
      </c>
      <c r="AU73" s="53" t="n">
        <v>0.05681084570690768</v>
      </c>
      <c r="AV73" s="53" t="n">
        <v>0.07711546477699041</v>
      </c>
      <c r="AW73" s="53" t="n">
        <v>0</v>
      </c>
      <c r="AX73" s="53" t="n">
        <v>0</v>
      </c>
      <c r="AY73" s="52" t="n">
        <v>30.98</v>
      </c>
      <c r="AZ73" s="52" t="n">
        <v>23.99</v>
      </c>
      <c r="BA73" s="52" t="n">
        <v>0</v>
      </c>
      <c r="BB73" s="52" t="n">
        <v>0</v>
      </c>
      <c r="BC73" s="51" t="n">
        <v>1892</v>
      </c>
      <c r="BD73" s="51" t="n">
        <v>1138</v>
      </c>
      <c r="BE73" s="51" t="n">
        <v>912</v>
      </c>
      <c r="BF73" s="51" t="n">
        <v>2980</v>
      </c>
    </row>
    <row r="74">
      <c r="A74">
        <f>HYPERLINK("https://www.walmart.com/ip/908265210", "908265210")</f>
        <v/>
      </c>
      <c r="B74" t="inlineStr">
        <is>
          <t>Tirrinia Waterproof Outdoor Blanket with Sherpa Lining, Windproof Triple Layers Warm Comfy Foldable for Camping  Stadium, Sports, Picnic, Grass, Concerts, Pet, 51''X 59'',Light Grey</t>
        </is>
      </c>
      <c r="C74" t="inlineStr">
        <is>
          <t>1TRBW506LGDG-CDCB</t>
        </is>
      </c>
      <c r="D74" t="inlineStr">
        <is>
          <t>Picnic Blankets &amp; Mats</t>
        </is>
      </c>
      <c r="E74" t="inlineStr">
        <is>
          <t>Tirrinia</t>
        </is>
      </c>
      <c r="F74" t="inlineStr">
        <is>
          <t>Optimized,SEM</t>
        </is>
      </c>
      <c r="G74" s="48" t="n">
        <v>29.99</v>
      </c>
      <c r="H74" s="48" t="n">
        <v>29.99</v>
      </c>
      <c r="I74" s="48" t="n">
        <v>27.99</v>
      </c>
      <c r="J74" s="48" t="n">
        <v>27.99</v>
      </c>
      <c r="K74" s="49" t="n">
        <v>1</v>
      </c>
      <c r="L74" s="49" t="n">
        <v>1</v>
      </c>
      <c r="M74" s="49" t="n">
        <v>1</v>
      </c>
      <c r="N74" s="49" t="n">
        <v>1</v>
      </c>
      <c r="O74" s="49" t="n">
        <v>4</v>
      </c>
      <c r="P74" s="49" t="n">
        <v>6</v>
      </c>
      <c r="Q74" s="49" t="n">
        <v>5</v>
      </c>
      <c r="R74" s="49" t="n">
        <v>7</v>
      </c>
      <c r="S74" s="50" t="n">
        <v>0.25</v>
      </c>
      <c r="T74" s="50" t="n">
        <v>0.1666666666666667</v>
      </c>
      <c r="U74" s="50" t="n">
        <v>0.2</v>
      </c>
      <c r="V74" s="50" t="n">
        <v>0.1428571428571428</v>
      </c>
      <c r="W74" s="51" t="n">
        <v>6</v>
      </c>
      <c r="X74" s="51" t="n">
        <v>11</v>
      </c>
      <c r="Y74" s="51" t="n">
        <v>10</v>
      </c>
      <c r="Z74" s="51" t="n">
        <v>42</v>
      </c>
      <c r="AA74" s="52" t="n">
        <v>2.03</v>
      </c>
      <c r="AB74" s="52" t="n">
        <v>5.17</v>
      </c>
      <c r="AC74" s="52" t="n">
        <v>4.13</v>
      </c>
      <c r="AD74" s="52" t="n">
        <v>17.81</v>
      </c>
      <c r="AE74" s="52" t="n">
        <v>0</v>
      </c>
      <c r="AF74" s="52" t="n">
        <v>0</v>
      </c>
      <c r="AG74" s="52" t="n">
        <v>27.99</v>
      </c>
      <c r="AH74" s="52" t="n">
        <v>25.99</v>
      </c>
      <c r="AI74" s="52" t="n">
        <v>0</v>
      </c>
      <c r="AJ74" s="52" t="n">
        <v>0</v>
      </c>
      <c r="AK74" s="52" t="n">
        <v>6.78</v>
      </c>
      <c r="AL74" s="52" t="n">
        <v>1.46</v>
      </c>
      <c r="AM74" s="53" t="n">
        <v>0.0028</v>
      </c>
      <c r="AN74" s="53" t="n">
        <v>0.0032</v>
      </c>
      <c r="AO74" s="53" t="n">
        <v>0.0028</v>
      </c>
      <c r="AP74" s="53" t="n">
        <v>0.0045</v>
      </c>
      <c r="AQ74" s="52" t="n">
        <v>0.3383333333333333</v>
      </c>
      <c r="AR74" s="52" t="n">
        <v>0.47</v>
      </c>
      <c r="AS74" s="52" t="n">
        <v>0.413</v>
      </c>
      <c r="AT74" s="52" t="n">
        <v>0.4240476190476191</v>
      </c>
      <c r="AU74" s="53" t="n">
        <v>0.06768922974324774</v>
      </c>
      <c r="AV74" s="53" t="n">
        <v>0.1723907969323108</v>
      </c>
      <c r="AW74" s="53" t="n">
        <v>0.1475526973919257</v>
      </c>
      <c r="AX74" s="53" t="n">
        <v>0.6362986780993213</v>
      </c>
      <c r="AY74" s="52" t="n">
        <v>29.99</v>
      </c>
      <c r="AZ74" s="52" t="n">
        <v>29.99</v>
      </c>
      <c r="BA74" s="52" t="n">
        <v>27.99</v>
      </c>
      <c r="BB74" s="52" t="n">
        <v>27.99</v>
      </c>
      <c r="BC74" s="51" t="n">
        <v>2175</v>
      </c>
      <c r="BD74" s="51" t="n">
        <v>3392</v>
      </c>
      <c r="BE74" s="51" t="n">
        <v>3575</v>
      </c>
      <c r="BF74" s="51" t="n">
        <v>9285</v>
      </c>
    </row>
    <row r="75">
      <c r="A75">
        <f>HYPERLINK("https://www.walmart.com/ip/1339831181", "1339831181")</f>
        <v/>
      </c>
      <c r="B75" t="inlineStr">
        <is>
          <t>Tirrinia Waterproof Outdoor Blanket with Sherpa Lining, Windproof Triple Layers Warm Comfy Foldable for Camping Stadium, Sports, Picnic, Grass, Concerts, Machine Washable, Dark Green/Grey, Pet, 51''X 59''.</t>
        </is>
      </c>
      <c r="C75" t="inlineStr">
        <is>
          <t>1TRBW506GNBK</t>
        </is>
      </c>
      <c r="D75" t="inlineStr">
        <is>
          <t>Picnic Blankets &amp; Mats</t>
        </is>
      </c>
      <c r="E75" t="inlineStr">
        <is>
          <t>Tirrinia</t>
        </is>
      </c>
      <c r="F75" t="inlineStr">
        <is>
          <t>Q2-Target,Batch 1 - TR</t>
        </is>
      </c>
      <c r="G75" s="48" t="n">
        <v>29.99</v>
      </c>
      <c r="H75" s="48" t="n">
        <v>0</v>
      </c>
      <c r="I75" s="48" t="n">
        <v>0</v>
      </c>
      <c r="J75" s="48" t="n">
        <v>27.99</v>
      </c>
      <c r="K75" s="49" t="n">
        <v>1</v>
      </c>
      <c r="L75" s="49" t="n">
        <v>0</v>
      </c>
      <c r="M75" s="49" t="n">
        <v>0</v>
      </c>
      <c r="N75" s="49" t="n">
        <v>1</v>
      </c>
      <c r="O75" s="49" t="n">
        <v>5</v>
      </c>
      <c r="P75" s="49" t="n">
        <v>1</v>
      </c>
      <c r="Q75" s="49" t="n">
        <v>0</v>
      </c>
      <c r="R75" s="49" t="n">
        <v>0</v>
      </c>
      <c r="S75" s="50" t="n">
        <v>0.2</v>
      </c>
      <c r="T75" s="50" t="n">
        <v>0</v>
      </c>
      <c r="U75" s="50" t="n">
        <v>0</v>
      </c>
      <c r="V75" s="50" t="n">
        <v>0</v>
      </c>
      <c r="W75" s="51" t="n">
        <v>21</v>
      </c>
      <c r="X75" s="51" t="n">
        <v>13</v>
      </c>
      <c r="Y75" s="51" t="n">
        <v>0</v>
      </c>
      <c r="Z75" s="51" t="n">
        <v>4</v>
      </c>
      <c r="AA75" s="52" t="n">
        <v>8.75</v>
      </c>
      <c r="AB75" s="52" t="n">
        <v>5.5</v>
      </c>
      <c r="AC75" s="52" t="n">
        <v>0</v>
      </c>
      <c r="AD75" s="52" t="n">
        <v>1.3</v>
      </c>
      <c r="AE75" s="52" t="n">
        <v>0</v>
      </c>
      <c r="AF75" s="52" t="n">
        <v>0</v>
      </c>
      <c r="AG75" s="52" t="n">
        <v>0</v>
      </c>
      <c r="AH75" s="52" t="n">
        <v>0</v>
      </c>
      <c r="AI75" s="52" t="n">
        <v>0</v>
      </c>
      <c r="AJ75" s="52" t="n">
        <v>0</v>
      </c>
      <c r="AK75" s="52" t="n">
        <v>0</v>
      </c>
      <c r="AL75" s="52" t="n">
        <v>0</v>
      </c>
      <c r="AM75" s="53" t="n">
        <v>0.0028</v>
      </c>
      <c r="AN75" s="53" t="n">
        <v>0.0022</v>
      </c>
      <c r="AO75" s="53" t="n">
        <v>0</v>
      </c>
      <c r="AP75" s="53" t="n">
        <v>0.0026</v>
      </c>
      <c r="AQ75" s="52" t="n">
        <v>0.4166666666666667</v>
      </c>
      <c r="AR75" s="52" t="n">
        <v>0.4230769230769231</v>
      </c>
      <c r="AS75" s="52" t="n">
        <v>0</v>
      </c>
      <c r="AT75" s="52" t="n">
        <v>0.325</v>
      </c>
      <c r="AU75" s="53" t="n">
        <v>0.2917639213071024</v>
      </c>
      <c r="AV75" s="53" t="n">
        <v>0</v>
      </c>
      <c r="AW75" s="53" t="n">
        <v>0</v>
      </c>
      <c r="AX75" s="53" t="n">
        <v>0.04644515898535192</v>
      </c>
      <c r="AY75" s="52" t="n">
        <v>29.99</v>
      </c>
      <c r="AZ75" s="52" t="n">
        <v>0</v>
      </c>
      <c r="BA75" s="52" t="n">
        <v>0</v>
      </c>
      <c r="BB75" s="52" t="n">
        <v>27.99</v>
      </c>
      <c r="BC75" s="51" t="n">
        <v>7473</v>
      </c>
      <c r="BD75" s="51" t="n">
        <v>5944</v>
      </c>
      <c r="BE75" s="51" t="n">
        <v>0</v>
      </c>
      <c r="BF75" s="51" t="n">
        <v>1548</v>
      </c>
    </row>
    <row r="76">
      <c r="A76">
        <f>HYPERLINK("https://www.walmart.com/ip/889442605", "889442605")</f>
        <v/>
      </c>
      <c r="B76" t="inlineStr">
        <is>
          <t>Catalonia Waterproof Blanket for Baby, Pee Proof Pet Cover for Couch Bed, Reversible Sherpa Fleece Throws for Relaxing Traveling Camping, 60"x50", Buffale Red/Tuape</t>
        </is>
      </c>
      <c r="C76" t="inlineStr">
        <is>
          <t>1CTBW561BRTP</t>
        </is>
      </c>
      <c r="D76" t="inlineStr">
        <is>
          <t>Throws</t>
        </is>
      </c>
      <c r="E76" t="inlineStr">
        <is>
          <t>Catalonia</t>
        </is>
      </c>
      <c r="F76" t="inlineStr">
        <is>
          <t>Q2-Target,Optimized,Wproof Blanket</t>
        </is>
      </c>
      <c r="G76" s="48" t="n">
        <v>29.99</v>
      </c>
      <c r="H76" s="48" t="n">
        <v>0</v>
      </c>
      <c r="I76" s="48" t="n">
        <v>0</v>
      </c>
      <c r="J76" s="48" t="n">
        <v>0</v>
      </c>
      <c r="K76" s="49" t="n">
        <v>1</v>
      </c>
      <c r="L76" s="49" t="n">
        <v>0</v>
      </c>
      <c r="M76" s="49" t="n">
        <v>0</v>
      </c>
      <c r="N76" s="49" t="n">
        <v>0</v>
      </c>
      <c r="O76" s="49" t="n">
        <v>0</v>
      </c>
      <c r="P76" s="49" t="n">
        <v>0</v>
      </c>
      <c r="Q76" s="49" t="n">
        <v>0</v>
      </c>
      <c r="R76" s="49" t="n">
        <v>0</v>
      </c>
      <c r="S76" s="50" t="n">
        <v>0</v>
      </c>
      <c r="T76" s="50" t="n">
        <v>0</v>
      </c>
      <c r="U76" s="50" t="n">
        <v>0</v>
      </c>
      <c r="V76" s="50" t="n">
        <v>0</v>
      </c>
      <c r="W76" s="51" t="n">
        <v>0</v>
      </c>
      <c r="X76" s="51" t="n">
        <v>0</v>
      </c>
      <c r="Y76" s="51" t="n">
        <v>0</v>
      </c>
      <c r="Z76" s="51" t="n">
        <v>0</v>
      </c>
      <c r="AA76" s="52" t="n">
        <v>0</v>
      </c>
      <c r="AB76" s="52" t="n">
        <v>0</v>
      </c>
      <c r="AC76" s="52" t="n">
        <v>0</v>
      </c>
      <c r="AD76" s="52" t="n">
        <v>0</v>
      </c>
      <c r="AE76" s="52" t="n">
        <v>0</v>
      </c>
      <c r="AF76" s="52" t="n">
        <v>0</v>
      </c>
      <c r="AG76" s="52" t="n">
        <v>0</v>
      </c>
      <c r="AH76" s="52" t="n">
        <v>0</v>
      </c>
      <c r="AI76" s="52" t="n">
        <v>0</v>
      </c>
      <c r="AJ76" s="52" t="n">
        <v>0</v>
      </c>
      <c r="AK76" s="52" t="n">
        <v>0</v>
      </c>
      <c r="AL76" s="52" t="n">
        <v>0</v>
      </c>
      <c r="AM76" s="53" t="n">
        <v>0</v>
      </c>
      <c r="AN76" s="53" t="n">
        <v>0</v>
      </c>
      <c r="AO76" s="53" t="n">
        <v>0</v>
      </c>
      <c r="AP76" s="53" t="n">
        <v>0</v>
      </c>
      <c r="AQ76" s="52" t="n">
        <v>0</v>
      </c>
      <c r="AR76" s="52" t="n">
        <v>0</v>
      </c>
      <c r="AS76" s="52" t="n">
        <v>0</v>
      </c>
      <c r="AT76" s="52" t="n">
        <v>0</v>
      </c>
      <c r="AU76" s="53" t="n">
        <v>0</v>
      </c>
      <c r="AV76" s="53" t="n">
        <v>0</v>
      </c>
      <c r="AW76" s="53" t="n">
        <v>0</v>
      </c>
      <c r="AX76" s="53" t="n">
        <v>0</v>
      </c>
      <c r="AY76" s="52" t="n">
        <v>29.99</v>
      </c>
      <c r="AZ76" s="52" t="n">
        <v>0</v>
      </c>
      <c r="BA76" s="52" t="n">
        <v>0</v>
      </c>
      <c r="BB76" s="52" t="n">
        <v>0</v>
      </c>
      <c r="BC76" s="51" t="n">
        <v>96</v>
      </c>
      <c r="BD76" s="51" t="n">
        <v>98</v>
      </c>
      <c r="BE76" s="51" t="n">
        <v>0</v>
      </c>
      <c r="BF76" s="51" t="n">
        <v>44</v>
      </c>
    </row>
    <row r="77">
      <c r="A77">
        <f>HYPERLINK("https://www.walmart.com/ip/15438174665", "15438174665")</f>
        <v/>
      </c>
      <c r="B77" t="inlineStr">
        <is>
          <t>Wrangler Men’s Bifold Wallet Genuine Leather, RFID Blocking, Casual Everyday 10-20 Cards Purse with AirTag Holder, Gift for Him</t>
        </is>
      </c>
      <c r="C77" t="inlineStr">
        <is>
          <t>WR-WALLET-59007-BROWN</t>
        </is>
      </c>
      <c r="D77" t="inlineStr">
        <is>
          <t>Wallets</t>
        </is>
      </c>
      <c r="E77" t="inlineStr">
        <is>
          <t>Wrangler</t>
        </is>
      </c>
      <c r="G77" s="48" t="n">
        <v>29.99</v>
      </c>
      <c r="H77" s="48" t="n">
        <v>29.99</v>
      </c>
      <c r="I77" s="48" t="n">
        <v>29.99</v>
      </c>
      <c r="J77" s="48" t="n">
        <v>59.98</v>
      </c>
      <c r="K77" s="49" t="n">
        <v>1</v>
      </c>
      <c r="L77" s="49" t="n">
        <v>1</v>
      </c>
      <c r="M77" s="49" t="n">
        <v>1</v>
      </c>
      <c r="N77" s="49" t="n">
        <v>2</v>
      </c>
      <c r="O77" s="49" t="n">
        <v>2</v>
      </c>
      <c r="P77" s="49" t="n">
        <v>2</v>
      </c>
      <c r="Q77" s="49" t="n">
        <v>2</v>
      </c>
      <c r="R77" s="49" t="n">
        <v>3</v>
      </c>
      <c r="S77" s="50" t="n">
        <v>0.5</v>
      </c>
      <c r="T77" s="50" t="n">
        <v>0.5</v>
      </c>
      <c r="U77" s="50" t="n">
        <v>0.5</v>
      </c>
      <c r="V77" s="50" t="n">
        <v>0.6666666666666666</v>
      </c>
      <c r="W77" s="51" t="n">
        <v>0</v>
      </c>
      <c r="X77" s="51" t="n">
        <v>0</v>
      </c>
      <c r="Y77" s="51" t="n">
        <v>0</v>
      </c>
      <c r="Z77" s="51" t="n">
        <v>0</v>
      </c>
      <c r="AA77" s="52" t="n">
        <v>0</v>
      </c>
      <c r="AB77" s="52" t="n">
        <v>0</v>
      </c>
      <c r="AC77" s="52" t="n">
        <v>0</v>
      </c>
      <c r="AD77" s="52" t="n">
        <v>0</v>
      </c>
      <c r="AE77" s="52" t="n">
        <v>0</v>
      </c>
      <c r="AF77" s="52" t="n">
        <v>0</v>
      </c>
      <c r="AG77" s="52" t="n">
        <v>0</v>
      </c>
      <c r="AH77" s="52" t="n">
        <v>0</v>
      </c>
      <c r="AI77" s="52" t="n">
        <v>0</v>
      </c>
      <c r="AJ77" s="52" t="n">
        <v>0</v>
      </c>
      <c r="AK77" s="52" t="n">
        <v>0</v>
      </c>
      <c r="AL77" s="52" t="n">
        <v>0</v>
      </c>
      <c r="AM77" s="53" t="n">
        <v>0</v>
      </c>
      <c r="AN77" s="53" t="n">
        <v>0</v>
      </c>
      <c r="AO77" s="53" t="n">
        <v>0</v>
      </c>
      <c r="AP77" s="53" t="n">
        <v>0</v>
      </c>
      <c r="AQ77" s="52" t="n">
        <v>0</v>
      </c>
      <c r="AR77" s="52" t="n">
        <v>0</v>
      </c>
      <c r="AS77" s="52" t="n">
        <v>0</v>
      </c>
      <c r="AT77" s="52" t="n">
        <v>0</v>
      </c>
      <c r="AU77" s="53" t="n">
        <v>0</v>
      </c>
      <c r="AV77" s="53" t="n">
        <v>0</v>
      </c>
      <c r="AW77" s="53" t="n">
        <v>0</v>
      </c>
      <c r="AX77" s="53" t="n">
        <v>0</v>
      </c>
      <c r="AY77" s="52" t="n">
        <v>29.99</v>
      </c>
      <c r="AZ77" s="52" t="n">
        <v>29.99</v>
      </c>
      <c r="BA77" s="52" t="n">
        <v>29.99</v>
      </c>
      <c r="BB77" s="52" t="n">
        <v>29.99</v>
      </c>
      <c r="BC77" s="51" t="n">
        <v>0</v>
      </c>
      <c r="BD77" s="51" t="n">
        <v>0</v>
      </c>
      <c r="BE77" s="51" t="n">
        <v>0</v>
      </c>
      <c r="BF77" s="51" t="n">
        <v>0</v>
      </c>
    </row>
    <row r="78">
      <c r="A78">
        <f>HYPERLINK("https://www.walmart.com/ip/5595944476", "5595944476")</f>
        <v/>
      </c>
      <c r="B78" t="inlineStr">
        <is>
          <t>Tirrinia Large Cooler Bag,48 Cans Insulated Leakproof Soft Ice Chest, Portable Beach Cooler with Heavy-Duty Handles for Picnic, Beach, Camping, Road Trips</t>
        </is>
      </c>
      <c r="C78" t="inlineStr">
        <is>
          <t>1TRCB00148GNBK</t>
        </is>
      </c>
      <c r="D78" t="inlineStr">
        <is>
          <t>Soft-Sided Coolers</t>
        </is>
      </c>
      <c r="E78" t="inlineStr">
        <is>
          <t>Tirrinia</t>
        </is>
      </c>
      <c r="G78" s="48" t="n">
        <v>29.99</v>
      </c>
      <c r="H78" s="48" t="n">
        <v>29.99</v>
      </c>
      <c r="I78" s="48" t="n">
        <v>29.99</v>
      </c>
      <c r="J78" s="48" t="n">
        <v>0</v>
      </c>
      <c r="K78" s="49" t="n">
        <v>1</v>
      </c>
      <c r="L78" s="49" t="n">
        <v>1</v>
      </c>
      <c r="M78" s="49" t="n">
        <v>1</v>
      </c>
      <c r="N78" s="49" t="n">
        <v>0</v>
      </c>
      <c r="O78" s="49" t="n">
        <v>0</v>
      </c>
      <c r="P78" s="49" t="n">
        <v>0</v>
      </c>
      <c r="Q78" s="49" t="n">
        <v>0</v>
      </c>
      <c r="R78" s="49" t="n">
        <v>0</v>
      </c>
      <c r="S78" s="50" t="n">
        <v>0</v>
      </c>
      <c r="T78" s="50" t="n">
        <v>0</v>
      </c>
      <c r="U78" s="50" t="n">
        <v>0</v>
      </c>
      <c r="V78" s="50" t="n">
        <v>0</v>
      </c>
      <c r="W78" s="51" t="n">
        <v>0</v>
      </c>
      <c r="X78" s="51" t="n">
        <v>0</v>
      </c>
      <c r="Y78" s="51" t="n">
        <v>0</v>
      </c>
      <c r="Z78" s="51" t="n">
        <v>0</v>
      </c>
      <c r="AA78" s="52" t="n">
        <v>0</v>
      </c>
      <c r="AB78" s="52" t="n">
        <v>0</v>
      </c>
      <c r="AC78" s="52" t="n">
        <v>0</v>
      </c>
      <c r="AD78" s="52" t="n">
        <v>0</v>
      </c>
      <c r="AE78" s="52" t="n">
        <v>0</v>
      </c>
      <c r="AF78" s="52" t="n">
        <v>0</v>
      </c>
      <c r="AG78" s="52" t="n">
        <v>0</v>
      </c>
      <c r="AH78" s="52" t="n">
        <v>0</v>
      </c>
      <c r="AI78" s="52" t="n">
        <v>0</v>
      </c>
      <c r="AJ78" s="52" t="n">
        <v>0</v>
      </c>
      <c r="AK78" s="52" t="n">
        <v>0</v>
      </c>
      <c r="AL78" s="52" t="n">
        <v>0</v>
      </c>
      <c r="AM78" s="53" t="n">
        <v>0</v>
      </c>
      <c r="AN78" s="53" t="n">
        <v>0</v>
      </c>
      <c r="AO78" s="53" t="n">
        <v>0</v>
      </c>
      <c r="AP78" s="53" t="n">
        <v>0</v>
      </c>
      <c r="AQ78" s="52" t="n">
        <v>0</v>
      </c>
      <c r="AR78" s="52" t="n">
        <v>0</v>
      </c>
      <c r="AS78" s="52" t="n">
        <v>0</v>
      </c>
      <c r="AT78" s="52" t="n">
        <v>0</v>
      </c>
      <c r="AU78" s="53" t="n">
        <v>0</v>
      </c>
      <c r="AV78" s="53" t="n">
        <v>0</v>
      </c>
      <c r="AW78" s="53" t="n">
        <v>0</v>
      </c>
      <c r="AX78" s="53" t="n">
        <v>0</v>
      </c>
      <c r="AY78" s="52" t="n">
        <v>29.99</v>
      </c>
      <c r="AZ78" s="52" t="n">
        <v>29.99</v>
      </c>
      <c r="BA78" s="52" t="n">
        <v>29.99</v>
      </c>
      <c r="BB78" s="52" t="n">
        <v>0</v>
      </c>
      <c r="BC78" s="51" t="n">
        <v>0</v>
      </c>
      <c r="BD78" s="51" t="n">
        <v>0</v>
      </c>
      <c r="BE78" s="51" t="n">
        <v>0</v>
      </c>
      <c r="BF78" s="51" t="n">
        <v>0</v>
      </c>
    </row>
    <row r="79">
      <c r="A79">
        <f>HYPERLINK("https://www.walmart.com/ip/260397586", "260397586")</f>
        <v/>
      </c>
      <c r="B79" t="inlineStr">
        <is>
          <t>Premium Plush Fleece Snuggie Blanket Reversible Soft Sherpa Waterproof Throws</t>
        </is>
      </c>
      <c r="C79" t="inlineStr">
        <is>
          <t>1CTBW561LGDG</t>
        </is>
      </c>
      <c r="D79" t="inlineStr">
        <is>
          <t>Throws</t>
        </is>
      </c>
      <c r="E79" t="inlineStr">
        <is>
          <t>Catalonia</t>
        </is>
      </c>
      <c r="F79" t="inlineStr">
        <is>
          <t>Optimized,Wproof Blanket</t>
        </is>
      </c>
      <c r="G79" s="48" t="n">
        <v>29.99</v>
      </c>
      <c r="H79" s="48" t="n">
        <v>29.99</v>
      </c>
      <c r="I79" s="48" t="n">
        <v>66.97</v>
      </c>
      <c r="J79" s="48" t="n">
        <v>0</v>
      </c>
      <c r="K79" s="49" t="n">
        <v>1</v>
      </c>
      <c r="L79" s="49" t="n">
        <v>1</v>
      </c>
      <c r="M79" s="49" t="n">
        <v>2</v>
      </c>
      <c r="N79" s="49" t="n">
        <v>0</v>
      </c>
      <c r="O79" s="49" t="n">
        <v>8</v>
      </c>
      <c r="P79" s="49" t="n">
        <v>6</v>
      </c>
      <c r="Q79" s="49" t="n">
        <v>6</v>
      </c>
      <c r="R79" s="49" t="n">
        <v>6</v>
      </c>
      <c r="S79" s="50" t="n">
        <v>0.125</v>
      </c>
      <c r="T79" s="50" t="n">
        <v>0.1666666666666667</v>
      </c>
      <c r="U79" s="50" t="n">
        <v>0.3333333333333333</v>
      </c>
      <c r="V79" s="50" t="n">
        <v>0</v>
      </c>
      <c r="W79" s="51" t="n">
        <v>6</v>
      </c>
      <c r="X79" s="51" t="n">
        <v>6</v>
      </c>
      <c r="Y79" s="51" t="n">
        <v>8</v>
      </c>
      <c r="Z79" s="51" t="n">
        <v>6</v>
      </c>
      <c r="AA79" s="52" t="n">
        <v>2.88</v>
      </c>
      <c r="AB79" s="52" t="n">
        <v>2.86</v>
      </c>
      <c r="AC79" s="52" t="n">
        <v>3.38</v>
      </c>
      <c r="AD79" s="52" t="n">
        <v>2.22</v>
      </c>
      <c r="AE79" s="52" t="n">
        <v>0</v>
      </c>
      <c r="AF79" s="52" t="n">
        <v>29.99</v>
      </c>
      <c r="AG79" s="52" t="n">
        <v>0</v>
      </c>
      <c r="AH79" s="52" t="n">
        <v>0</v>
      </c>
      <c r="AI79" s="52" t="n">
        <v>0</v>
      </c>
      <c r="AJ79" s="52" t="n">
        <v>10.49</v>
      </c>
      <c r="AK79" s="52" t="n">
        <v>0</v>
      </c>
      <c r="AL79" s="52" t="n">
        <v>0</v>
      </c>
      <c r="AM79" s="53" t="n">
        <v>0.0005</v>
      </c>
      <c r="AN79" s="53" t="n">
        <v>0.0005</v>
      </c>
      <c r="AO79" s="53" t="n">
        <v>0.0005999999999999999</v>
      </c>
      <c r="AP79" s="53" t="n">
        <v>0.0005</v>
      </c>
      <c r="AQ79" s="52" t="n">
        <v>0.48</v>
      </c>
      <c r="AR79" s="52" t="n">
        <v>0.4766666666666666</v>
      </c>
      <c r="AS79" s="52" t="n">
        <v>0.4225</v>
      </c>
      <c r="AT79" s="52" t="n">
        <v>0.3699999999999999</v>
      </c>
      <c r="AU79" s="53" t="n">
        <v>0.09603201067022341</v>
      </c>
      <c r="AV79" s="53" t="n">
        <v>0.09536512170723574</v>
      </c>
      <c r="AW79" s="53" t="n">
        <v>0.05047035986262505</v>
      </c>
      <c r="AX79" s="53" t="n">
        <v>0</v>
      </c>
      <c r="AY79" s="52" t="n">
        <v>29.99</v>
      </c>
      <c r="AZ79" s="52" t="n">
        <v>29.99</v>
      </c>
      <c r="BA79" s="52" t="n">
        <v>33.485</v>
      </c>
      <c r="BB79" s="52" t="n">
        <v>0</v>
      </c>
      <c r="BC79" s="51" t="n">
        <v>12726</v>
      </c>
      <c r="BD79" s="51" t="n">
        <v>11160</v>
      </c>
      <c r="BE79" s="51" t="n">
        <v>13796</v>
      </c>
      <c r="BF79" s="51" t="n">
        <v>12918</v>
      </c>
    </row>
    <row r="80">
      <c r="A80">
        <f>HYPERLINK("https://www.walmart.com/ip/346915715", "346915715")</f>
        <v/>
      </c>
      <c r="B80" t="inlineStr">
        <is>
          <t>Kato Outdoors Waterproof Throw Blanket, Stadium Windproof Sherpa Fleece Blanket For Traveling, Camping, Hiking, and Football, Machine Washable, Red Plaid, 51'' x 59''</t>
        </is>
      </c>
      <c r="C80" t="inlineStr">
        <is>
          <t>1KTBW506PRD</t>
        </is>
      </c>
      <c r="D80" t="inlineStr">
        <is>
          <t>Throws</t>
        </is>
      </c>
      <c r="E80" t="inlineStr">
        <is>
          <t>Kato</t>
        </is>
      </c>
      <c r="F80" t="inlineStr">
        <is>
          <t>Optimized</t>
        </is>
      </c>
      <c r="G80" s="48" t="n">
        <v>29.99</v>
      </c>
      <c r="H80" s="48" t="n">
        <v>0</v>
      </c>
      <c r="I80" s="48" t="n">
        <v>26.99</v>
      </c>
      <c r="J80" s="48" t="n">
        <v>60.97</v>
      </c>
      <c r="K80" s="49" t="n">
        <v>1</v>
      </c>
      <c r="L80" s="49" t="n">
        <v>0</v>
      </c>
      <c r="M80" s="49" t="n">
        <v>1</v>
      </c>
      <c r="N80" s="49" t="n">
        <v>2</v>
      </c>
      <c r="O80" s="49" t="n">
        <v>7</v>
      </c>
      <c r="P80" s="49" t="n">
        <v>6</v>
      </c>
      <c r="Q80" s="49" t="n">
        <v>7</v>
      </c>
      <c r="R80" s="49" t="n">
        <v>5</v>
      </c>
      <c r="S80" s="50" t="n">
        <v>0.1428571428571428</v>
      </c>
      <c r="T80" s="50" t="n">
        <v>0</v>
      </c>
      <c r="U80" s="50" t="n">
        <v>0.1428571428571428</v>
      </c>
      <c r="V80" s="50" t="n">
        <v>0.4</v>
      </c>
      <c r="W80" s="51" t="n">
        <v>11</v>
      </c>
      <c r="X80" s="51" t="n">
        <v>9</v>
      </c>
      <c r="Y80" s="51" t="n">
        <v>20</v>
      </c>
      <c r="Z80" s="51" t="n">
        <v>11</v>
      </c>
      <c r="AA80" s="52" t="n">
        <v>2.31</v>
      </c>
      <c r="AB80" s="52" t="n">
        <v>1.89</v>
      </c>
      <c r="AC80" s="52" t="n">
        <v>4.17</v>
      </c>
      <c r="AD80" s="52" t="n">
        <v>2.3</v>
      </c>
      <c r="AE80" s="52" t="n">
        <v>29.99</v>
      </c>
      <c r="AF80" s="52" t="n">
        <v>0</v>
      </c>
      <c r="AG80" s="52" t="n">
        <v>0</v>
      </c>
      <c r="AH80" s="52" t="n">
        <v>26.99</v>
      </c>
      <c r="AI80" s="52" t="n">
        <v>12.98</v>
      </c>
      <c r="AJ80" s="52" t="n">
        <v>0</v>
      </c>
      <c r="AK80" s="52" t="n">
        <v>0</v>
      </c>
      <c r="AL80" s="52" t="n">
        <v>11.73</v>
      </c>
      <c r="AM80" s="53" t="n">
        <v>0.0059</v>
      </c>
      <c r="AN80" s="53" t="n">
        <v>0.0048</v>
      </c>
      <c r="AO80" s="53" t="n">
        <v>0.0066</v>
      </c>
      <c r="AP80" s="53" t="n">
        <v>0.0059</v>
      </c>
      <c r="AQ80" s="52" t="n">
        <v>0.21</v>
      </c>
      <c r="AR80" s="52" t="n">
        <v>0.21</v>
      </c>
      <c r="AS80" s="52" t="n">
        <v>0.2085</v>
      </c>
      <c r="AT80" s="52" t="n">
        <v>0.2090909090909091</v>
      </c>
      <c r="AU80" s="53" t="n">
        <v>0.07702567522507503</v>
      </c>
      <c r="AV80" s="53" t="n">
        <v>0</v>
      </c>
      <c r="AW80" s="53" t="n">
        <v>0.1545016672841793</v>
      </c>
      <c r="AX80" s="53" t="n">
        <v>0.03772347055929146</v>
      </c>
      <c r="AY80" s="52" t="n">
        <v>29.99</v>
      </c>
      <c r="AZ80" s="52" t="n">
        <v>0</v>
      </c>
      <c r="BA80" s="52" t="n">
        <v>26.99</v>
      </c>
      <c r="BB80" s="52" t="n">
        <v>30.485</v>
      </c>
      <c r="BC80" s="51" t="n">
        <v>1869</v>
      </c>
      <c r="BD80" s="51" t="n">
        <v>1858</v>
      </c>
      <c r="BE80" s="51" t="n">
        <v>3037</v>
      </c>
      <c r="BF80" s="51" t="n">
        <v>1867</v>
      </c>
    </row>
    <row r="81">
      <c r="A81">
        <f>HYPERLINK("https://www.walmart.com/ip/5232716740", "5232716740")</f>
        <v/>
      </c>
      <c r="B81" t="inlineStr">
        <is>
          <t>Catalonia Waterproof Blanket for Couch, Reversible Washable Sofa Bed Coverlet Protector | Leak Proof, Comfortable | for People and Pets, 50" x 60", Grey/Taupe</t>
        </is>
      </c>
      <c r="C81" t="inlineStr">
        <is>
          <t>1CTBW565GYTP</t>
        </is>
      </c>
      <c r="D81" t="inlineStr">
        <is>
          <t>Throws</t>
        </is>
      </c>
      <c r="E81" t="inlineStr">
        <is>
          <t>Catalonia</t>
        </is>
      </c>
      <c r="G81" s="48" t="n">
        <v>29.99</v>
      </c>
      <c r="H81" s="48" t="n">
        <v>0</v>
      </c>
      <c r="I81" s="48" t="n">
        <v>0</v>
      </c>
      <c r="J81" s="48" t="n">
        <v>29.99</v>
      </c>
      <c r="K81" s="49" t="n">
        <v>1</v>
      </c>
      <c r="L81" s="49" t="n">
        <v>0</v>
      </c>
      <c r="M81" s="49" t="n">
        <v>0</v>
      </c>
      <c r="N81" s="49" t="n">
        <v>1</v>
      </c>
      <c r="O81" s="49" t="n">
        <v>3</v>
      </c>
      <c r="P81" s="49" t="n">
        <v>2</v>
      </c>
      <c r="Q81" s="49" t="n">
        <v>0</v>
      </c>
      <c r="R81" s="49" t="n">
        <v>0</v>
      </c>
      <c r="S81" s="50" t="n">
        <v>0.3333333333333333</v>
      </c>
      <c r="T81" s="50" t="n">
        <v>0</v>
      </c>
      <c r="U81" s="50" t="n">
        <v>0</v>
      </c>
      <c r="V81" s="50" t="n">
        <v>0</v>
      </c>
      <c r="W81" s="51" t="n">
        <v>0</v>
      </c>
      <c r="X81" s="51" t="n">
        <v>0</v>
      </c>
      <c r="Y81" s="51" t="n">
        <v>0</v>
      </c>
      <c r="Z81" s="51" t="n">
        <v>0</v>
      </c>
      <c r="AA81" s="52" t="n">
        <v>0</v>
      </c>
      <c r="AB81" s="52" t="n">
        <v>0</v>
      </c>
      <c r="AC81" s="52" t="n">
        <v>0</v>
      </c>
      <c r="AD81" s="52" t="n">
        <v>0</v>
      </c>
      <c r="AE81" s="52" t="n">
        <v>0</v>
      </c>
      <c r="AF81" s="52" t="n">
        <v>0</v>
      </c>
      <c r="AG81" s="52" t="n">
        <v>0</v>
      </c>
      <c r="AH81" s="52" t="n">
        <v>0</v>
      </c>
      <c r="AI81" s="52" t="n">
        <v>0</v>
      </c>
      <c r="AJ81" s="52" t="n">
        <v>0</v>
      </c>
      <c r="AK81" s="52" t="n">
        <v>0</v>
      </c>
      <c r="AL81" s="52" t="n">
        <v>0</v>
      </c>
      <c r="AM81" s="53" t="n">
        <v>0</v>
      </c>
      <c r="AN81" s="53" t="n">
        <v>0</v>
      </c>
      <c r="AO81" s="53" t="n">
        <v>0</v>
      </c>
      <c r="AP81" s="53" t="n">
        <v>0</v>
      </c>
      <c r="AQ81" s="52" t="n">
        <v>0</v>
      </c>
      <c r="AR81" s="52" t="n">
        <v>0</v>
      </c>
      <c r="AS81" s="52" t="n">
        <v>0</v>
      </c>
      <c r="AT81" s="52" t="n">
        <v>0</v>
      </c>
      <c r="AU81" s="53" t="n">
        <v>0</v>
      </c>
      <c r="AV81" s="53" t="n">
        <v>0</v>
      </c>
      <c r="AW81" s="53" t="n">
        <v>0</v>
      </c>
      <c r="AX81" s="53" t="n">
        <v>0</v>
      </c>
      <c r="AY81" s="52" t="n">
        <v>29.99</v>
      </c>
      <c r="AZ81" s="52" t="n">
        <v>0</v>
      </c>
      <c r="BA81" s="52" t="n">
        <v>0</v>
      </c>
      <c r="BB81" s="52" t="n">
        <v>29.99</v>
      </c>
      <c r="BC81" s="51" t="n">
        <v>0</v>
      </c>
      <c r="BD81" s="51" t="n">
        <v>0</v>
      </c>
      <c r="BE81" s="51" t="n">
        <v>0</v>
      </c>
      <c r="BF81" s="51" t="n">
        <v>0</v>
      </c>
    </row>
    <row r="82">
      <c r="A82">
        <f>HYPERLINK("https://www.walmart.com/ip/604345466", "604345466")</f>
        <v/>
      </c>
      <c r="B82" t="inlineStr">
        <is>
          <t>Tirrinia Small Insulated Lunch Bag for Adult &amp; Kids, Splash Proof Portable Reusable Thermal Lunch Box Cooler Tote for Student Back to School, Black</t>
        </is>
      </c>
      <c r="C82" t="inlineStr">
        <is>
          <t>1TRLB100BK</t>
        </is>
      </c>
      <c r="D82" t="inlineStr">
        <is>
          <t>Reusable Lunch Bags &amp; Boxes</t>
        </is>
      </c>
      <c r="E82" t="inlineStr">
        <is>
          <t>Tirrinia</t>
        </is>
      </c>
      <c r="F82" t="inlineStr">
        <is>
          <t>Q2-Target,Lunch Bag,Optimized,Lunch Bags,SEM,Wal-Exl-Price</t>
        </is>
      </c>
      <c r="G82" s="48" t="n">
        <v>29.98</v>
      </c>
      <c r="H82" s="48" t="n">
        <v>14.99</v>
      </c>
      <c r="I82" s="48" t="n">
        <v>44.97</v>
      </c>
      <c r="J82" s="48" t="n">
        <v>14.99</v>
      </c>
      <c r="K82" s="49" t="n">
        <v>2</v>
      </c>
      <c r="L82" s="49" t="n">
        <v>1</v>
      </c>
      <c r="M82" s="49" t="n">
        <v>3</v>
      </c>
      <c r="N82" s="49" t="n">
        <v>1</v>
      </c>
      <c r="O82" s="49" t="n">
        <v>9</v>
      </c>
      <c r="P82" s="49" t="n">
        <v>18</v>
      </c>
      <c r="Q82" s="49" t="n">
        <v>15</v>
      </c>
      <c r="R82" s="49" t="n">
        <v>11</v>
      </c>
      <c r="S82" s="50" t="n">
        <v>0.2222222222222222</v>
      </c>
      <c r="T82" s="50" t="n">
        <v>0.05555555555555555</v>
      </c>
      <c r="U82" s="50" t="n">
        <v>0.2</v>
      </c>
      <c r="V82" s="50" t="n">
        <v>0.09090909090909091</v>
      </c>
      <c r="W82" s="51" t="n">
        <v>0</v>
      </c>
      <c r="X82" s="51" t="n">
        <v>0</v>
      </c>
      <c r="Y82" s="51" t="n">
        <v>0</v>
      </c>
      <c r="Z82" s="51" t="n">
        <v>0</v>
      </c>
      <c r="AA82" s="52" t="n">
        <v>0</v>
      </c>
      <c r="AB82" s="52" t="n">
        <v>0</v>
      </c>
      <c r="AC82" s="52" t="n">
        <v>0</v>
      </c>
      <c r="AD82" s="52" t="n">
        <v>0</v>
      </c>
      <c r="AE82" s="52" t="n">
        <v>0</v>
      </c>
      <c r="AF82" s="52" t="n">
        <v>0</v>
      </c>
      <c r="AG82" s="52" t="n">
        <v>0</v>
      </c>
      <c r="AH82" s="52" t="n">
        <v>0</v>
      </c>
      <c r="AI82" s="52" t="n">
        <v>0</v>
      </c>
      <c r="AJ82" s="52" t="n">
        <v>0</v>
      </c>
      <c r="AK82" s="52" t="n">
        <v>0</v>
      </c>
      <c r="AL82" s="52" t="n">
        <v>0</v>
      </c>
      <c r="AM82" s="53" t="n">
        <v>0</v>
      </c>
      <c r="AN82" s="53" t="n">
        <v>0</v>
      </c>
      <c r="AO82" s="53" t="n">
        <v>0</v>
      </c>
      <c r="AP82" s="53" t="n">
        <v>0</v>
      </c>
      <c r="AQ82" s="52" t="n">
        <v>0</v>
      </c>
      <c r="AR82" s="52" t="n">
        <v>0</v>
      </c>
      <c r="AS82" s="52" t="n">
        <v>0</v>
      </c>
      <c r="AT82" s="52" t="n">
        <v>0</v>
      </c>
      <c r="AU82" s="53" t="n">
        <v>0</v>
      </c>
      <c r="AV82" s="53" t="n">
        <v>0</v>
      </c>
      <c r="AW82" s="53" t="n">
        <v>0</v>
      </c>
      <c r="AX82" s="53" t="n">
        <v>0</v>
      </c>
      <c r="AY82" s="52" t="n">
        <v>14.99</v>
      </c>
      <c r="AZ82" s="52" t="n">
        <v>14.99</v>
      </c>
      <c r="BA82" s="52" t="n">
        <v>14.99</v>
      </c>
      <c r="BB82" s="52" t="n">
        <v>14.99</v>
      </c>
      <c r="BC82" s="51" t="n">
        <v>0</v>
      </c>
      <c r="BD82" s="51" t="n">
        <v>0</v>
      </c>
      <c r="BE82" s="51" t="n">
        <v>0</v>
      </c>
      <c r="BF82" s="51" t="n">
        <v>0</v>
      </c>
    </row>
    <row r="83">
      <c r="A83">
        <f>HYPERLINK("https://www.walmart.com/ip/129119638", "129119638")</f>
        <v/>
      </c>
      <c r="B83" t="inlineStr">
        <is>
          <t>Tirrinia Insulated Lunch Bag for Women, Men, and Kids, Leakproof Thermal Reusable Insulated Cooler Bag for Office, Work, Back to School, Medium, Dark Blue, 8L, 10" X 7" X 7.7"</t>
        </is>
      </c>
      <c r="C83" t="inlineStr">
        <is>
          <t>1TRLB701DBL-N</t>
        </is>
      </c>
      <c r="D83" t="inlineStr">
        <is>
          <t>Reusable Lunch Bags &amp; Boxes</t>
        </is>
      </c>
      <c r="E83" t="inlineStr">
        <is>
          <t>Tirrinia</t>
        </is>
      </c>
      <c r="F83" t="inlineStr">
        <is>
          <t>Q2-Target,Brand Camp VD,Lunch Bag,WFS,Lunch Bags,SEM,WFS Item</t>
        </is>
      </c>
      <c r="G83" s="48" t="n">
        <v>29.98</v>
      </c>
      <c r="H83" s="48" t="n">
        <v>0</v>
      </c>
      <c r="I83" s="48" t="n">
        <v>0</v>
      </c>
      <c r="J83" s="48" t="n">
        <v>14.99</v>
      </c>
      <c r="K83" s="49" t="n">
        <v>2</v>
      </c>
      <c r="L83" s="49" t="n">
        <v>0</v>
      </c>
      <c r="M83" s="49" t="n">
        <v>0</v>
      </c>
      <c r="N83" s="49" t="n">
        <v>1</v>
      </c>
      <c r="O83" s="49" t="n">
        <v>75</v>
      </c>
      <c r="P83" s="49" t="n">
        <v>73</v>
      </c>
      <c r="Q83" s="49" t="n">
        <v>87</v>
      </c>
      <c r="R83" s="49" t="n">
        <v>99</v>
      </c>
      <c r="S83" s="50" t="n">
        <v>0.02666666666666667</v>
      </c>
      <c r="T83" s="50" t="n">
        <v>0</v>
      </c>
      <c r="U83" s="50" t="n">
        <v>0</v>
      </c>
      <c r="V83" s="50" t="n">
        <v>0.0101010101010101</v>
      </c>
      <c r="W83" s="51" t="n">
        <v>0</v>
      </c>
      <c r="X83" s="51" t="n">
        <v>0</v>
      </c>
      <c r="Y83" s="51" t="n">
        <v>0</v>
      </c>
      <c r="Z83" s="51" t="n">
        <v>0</v>
      </c>
      <c r="AA83" s="52" t="n">
        <v>0</v>
      </c>
      <c r="AB83" s="52" t="n">
        <v>0</v>
      </c>
      <c r="AC83" s="52" t="n">
        <v>0</v>
      </c>
      <c r="AD83" s="52" t="n">
        <v>0</v>
      </c>
      <c r="AE83" s="52" t="n">
        <v>0</v>
      </c>
      <c r="AF83" s="52" t="n">
        <v>0</v>
      </c>
      <c r="AG83" s="52" t="n">
        <v>0</v>
      </c>
      <c r="AH83" s="52" t="n">
        <v>0</v>
      </c>
      <c r="AI83" s="52" t="n">
        <v>0</v>
      </c>
      <c r="AJ83" s="52" t="n">
        <v>0</v>
      </c>
      <c r="AK83" s="52" t="n">
        <v>0</v>
      </c>
      <c r="AL83" s="52" t="n">
        <v>0</v>
      </c>
      <c r="AM83" s="53" t="n">
        <v>0</v>
      </c>
      <c r="AN83" s="53" t="n">
        <v>0</v>
      </c>
      <c r="AO83" s="53" t="n">
        <v>0</v>
      </c>
      <c r="AP83" s="53" t="n">
        <v>0</v>
      </c>
      <c r="AQ83" s="52" t="n">
        <v>0</v>
      </c>
      <c r="AR83" s="52" t="n">
        <v>0</v>
      </c>
      <c r="AS83" s="52" t="n">
        <v>0</v>
      </c>
      <c r="AT83" s="52" t="n">
        <v>0</v>
      </c>
      <c r="AU83" s="53" t="n">
        <v>0</v>
      </c>
      <c r="AV83" s="53" t="n">
        <v>0</v>
      </c>
      <c r="AW83" s="53" t="n">
        <v>0</v>
      </c>
      <c r="AX83" s="53" t="n">
        <v>0</v>
      </c>
      <c r="AY83" s="52" t="n">
        <v>14.99</v>
      </c>
      <c r="AZ83" s="52" t="n">
        <v>0</v>
      </c>
      <c r="BA83" s="52" t="n">
        <v>0</v>
      </c>
      <c r="BB83" s="52" t="n">
        <v>14.99</v>
      </c>
      <c r="BC83" s="51" t="n">
        <v>0</v>
      </c>
      <c r="BD83" s="51" t="n">
        <v>0</v>
      </c>
      <c r="BE83" s="51" t="n">
        <v>0</v>
      </c>
      <c r="BF83" s="51" t="n">
        <v>0</v>
      </c>
    </row>
    <row r="84">
      <c r="A84">
        <f>HYPERLINK("https://www.walmart.com/ip/238219006", "238219006")</f>
        <v/>
      </c>
      <c r="B84" t="inlineStr">
        <is>
          <t>Flyingstar Lunch Bag for Women, Men and Kids, Insulated Lunch Tote for Work, School and Picnic, Fashionable Cooler Bag, Black Dot, Medium Size</t>
        </is>
      </c>
      <c r="C84" t="inlineStr">
        <is>
          <t>1WMLB704BKDOT</t>
        </is>
      </c>
      <c r="D84" t="inlineStr">
        <is>
          <t>Reusable Lunch Bags &amp; Boxes</t>
        </is>
      </c>
      <c r="E84" t="inlineStr">
        <is>
          <t>Flyingstar</t>
        </is>
      </c>
      <c r="F84" t="inlineStr">
        <is>
          <t>Q2-Target,Lunch Bag,WFS,Lunch Bags,WFS Item</t>
        </is>
      </c>
      <c r="G84" s="48" t="n">
        <v>29.97</v>
      </c>
      <c r="H84" s="48" t="n">
        <v>19.98</v>
      </c>
      <c r="I84" s="48" t="n">
        <v>0</v>
      </c>
      <c r="J84" s="48" t="n">
        <v>19.98</v>
      </c>
      <c r="K84" s="49" t="n">
        <v>3</v>
      </c>
      <c r="L84" s="49" t="n">
        <v>2</v>
      </c>
      <c r="M84" s="49" t="n">
        <v>0</v>
      </c>
      <c r="N84" s="49" t="n">
        <v>2</v>
      </c>
      <c r="O84" s="49" t="n">
        <v>26</v>
      </c>
      <c r="P84" s="49" t="n">
        <v>31</v>
      </c>
      <c r="Q84" s="49" t="n">
        <v>40</v>
      </c>
      <c r="R84" s="49" t="n">
        <v>42</v>
      </c>
      <c r="S84" s="50" t="n">
        <v>0.1153846153846154</v>
      </c>
      <c r="T84" s="50" t="n">
        <v>0.06451612903225806</v>
      </c>
      <c r="U84" s="50" t="n">
        <v>0</v>
      </c>
      <c r="V84" s="50" t="n">
        <v>0.04761904761904762</v>
      </c>
      <c r="W84" s="51" t="n">
        <v>0</v>
      </c>
      <c r="X84" s="51" t="n">
        <v>0</v>
      </c>
      <c r="Y84" s="51" t="n">
        <v>0</v>
      </c>
      <c r="Z84" s="51" t="n">
        <v>0</v>
      </c>
      <c r="AA84" s="52" t="n">
        <v>0</v>
      </c>
      <c r="AB84" s="52" t="n">
        <v>0</v>
      </c>
      <c r="AC84" s="52" t="n">
        <v>0</v>
      </c>
      <c r="AD84" s="52" t="n">
        <v>0</v>
      </c>
      <c r="AE84" s="52" t="n">
        <v>0</v>
      </c>
      <c r="AF84" s="52" t="n">
        <v>0</v>
      </c>
      <c r="AG84" s="52" t="n">
        <v>0</v>
      </c>
      <c r="AH84" s="52" t="n">
        <v>0</v>
      </c>
      <c r="AI84" s="52" t="n">
        <v>0</v>
      </c>
      <c r="AJ84" s="52" t="n">
        <v>0</v>
      </c>
      <c r="AK84" s="52" t="n">
        <v>0</v>
      </c>
      <c r="AL84" s="52" t="n">
        <v>0</v>
      </c>
      <c r="AM84" s="53" t="n">
        <v>0</v>
      </c>
      <c r="AN84" s="53" t="n">
        <v>0</v>
      </c>
      <c r="AO84" s="53" t="n">
        <v>0</v>
      </c>
      <c r="AP84" s="53" t="n">
        <v>0</v>
      </c>
      <c r="AQ84" s="52" t="n">
        <v>0</v>
      </c>
      <c r="AR84" s="52" t="n">
        <v>0</v>
      </c>
      <c r="AS84" s="52" t="n">
        <v>0</v>
      </c>
      <c r="AT84" s="52" t="n">
        <v>0</v>
      </c>
      <c r="AU84" s="53" t="n">
        <v>0</v>
      </c>
      <c r="AV84" s="53" t="n">
        <v>0</v>
      </c>
      <c r="AW84" s="53" t="n">
        <v>0</v>
      </c>
      <c r="AX84" s="53" t="n">
        <v>0</v>
      </c>
      <c r="AY84" s="52" t="n">
        <v>9.99</v>
      </c>
      <c r="AZ84" s="52" t="n">
        <v>9.99</v>
      </c>
      <c r="BA84" s="52" t="n">
        <v>0</v>
      </c>
      <c r="BB84" s="52" t="n">
        <v>9.99</v>
      </c>
      <c r="BC84" s="51" t="n">
        <v>0</v>
      </c>
      <c r="BD84" s="51" t="n">
        <v>0</v>
      </c>
      <c r="BE84" s="51" t="n">
        <v>0</v>
      </c>
      <c r="BF84" s="51" t="n">
        <v>0</v>
      </c>
    </row>
    <row r="85">
      <c r="A85">
        <f>HYPERLINK("https://www.walmart.com/ip/709728605", "709728605")</f>
        <v/>
      </c>
      <c r="B85" t="inlineStr">
        <is>
          <t>Flyingstar Surf Towel Robe, Quick Dry Beach Wetsuit Changing / Bath Robe Poncho for Surfing Swimming Bathing Unisex</t>
        </is>
      </c>
      <c r="C85" t="inlineStr">
        <is>
          <t>1WMBR101-BK</t>
        </is>
      </c>
      <c r="D85" t="inlineStr">
        <is>
          <t>Sleepwear Robes &amp; Bathrobes</t>
        </is>
      </c>
      <c r="E85" t="inlineStr">
        <is>
          <t>Flyingstar</t>
        </is>
      </c>
      <c r="F85" t="inlineStr">
        <is>
          <t>Optimized</t>
        </is>
      </c>
      <c r="G85" s="48" t="n">
        <v>29.96</v>
      </c>
      <c r="H85" s="48" t="n">
        <v>0</v>
      </c>
      <c r="I85" s="48" t="n">
        <v>0</v>
      </c>
      <c r="J85" s="48" t="n">
        <v>0</v>
      </c>
      <c r="K85" s="49" t="n">
        <v>2</v>
      </c>
      <c r="L85" s="49" t="n">
        <v>0</v>
      </c>
      <c r="M85" s="49" t="n">
        <v>0</v>
      </c>
      <c r="N85" s="49" t="n">
        <v>0</v>
      </c>
      <c r="O85" s="49" t="n">
        <v>0</v>
      </c>
      <c r="P85" s="49" t="n">
        <v>0</v>
      </c>
      <c r="Q85" s="49" t="n">
        <v>0</v>
      </c>
      <c r="R85" s="49" t="n">
        <v>0</v>
      </c>
      <c r="S85" s="50" t="n">
        <v>0</v>
      </c>
      <c r="T85" s="50" t="n">
        <v>0</v>
      </c>
      <c r="U85" s="50" t="n">
        <v>0</v>
      </c>
      <c r="V85" s="50" t="n">
        <v>0</v>
      </c>
      <c r="W85" s="51" t="n">
        <v>0</v>
      </c>
      <c r="X85" s="51" t="n">
        <v>0</v>
      </c>
      <c r="Y85" s="51" t="n">
        <v>0</v>
      </c>
      <c r="Z85" s="51" t="n">
        <v>0</v>
      </c>
      <c r="AA85" s="52" t="n">
        <v>0</v>
      </c>
      <c r="AB85" s="52" t="n">
        <v>0</v>
      </c>
      <c r="AC85" s="52" t="n">
        <v>0</v>
      </c>
      <c r="AD85" s="52" t="n">
        <v>0</v>
      </c>
      <c r="AE85" s="52" t="n">
        <v>0</v>
      </c>
      <c r="AF85" s="52" t="n">
        <v>0</v>
      </c>
      <c r="AG85" s="52" t="n">
        <v>0</v>
      </c>
      <c r="AH85" s="52" t="n">
        <v>0</v>
      </c>
      <c r="AI85" s="52" t="n">
        <v>0</v>
      </c>
      <c r="AJ85" s="52" t="n">
        <v>0</v>
      </c>
      <c r="AK85" s="52" t="n">
        <v>0</v>
      </c>
      <c r="AL85" s="52" t="n">
        <v>0</v>
      </c>
      <c r="AM85" s="53" t="n">
        <v>0</v>
      </c>
      <c r="AN85" s="53" t="n">
        <v>0</v>
      </c>
      <c r="AO85" s="53" t="n">
        <v>0</v>
      </c>
      <c r="AP85" s="53" t="n">
        <v>0</v>
      </c>
      <c r="AQ85" s="52" t="n">
        <v>0</v>
      </c>
      <c r="AR85" s="52" t="n">
        <v>0</v>
      </c>
      <c r="AS85" s="52" t="n">
        <v>0</v>
      </c>
      <c r="AT85" s="52" t="n">
        <v>0</v>
      </c>
      <c r="AU85" s="53" t="n">
        <v>0</v>
      </c>
      <c r="AV85" s="53" t="n">
        <v>0</v>
      </c>
      <c r="AW85" s="53" t="n">
        <v>0</v>
      </c>
      <c r="AX85" s="53" t="n">
        <v>0</v>
      </c>
      <c r="AY85" s="52" t="n">
        <v>14.98</v>
      </c>
      <c r="AZ85" s="52" t="n">
        <v>0</v>
      </c>
      <c r="BA85" s="52" t="n">
        <v>0</v>
      </c>
      <c r="BB85" s="52" t="n">
        <v>0</v>
      </c>
      <c r="BC85" s="51" t="n">
        <v>0</v>
      </c>
      <c r="BD85" s="51" t="n">
        <v>0</v>
      </c>
      <c r="BE85" s="51" t="n">
        <v>0</v>
      </c>
      <c r="BF85" s="51" t="n">
        <v>0</v>
      </c>
    </row>
    <row r="86">
      <c r="A86">
        <f>HYPERLINK("https://www.walmart.com/ip/535137364", "535137364")</f>
        <v/>
      </c>
      <c r="B86" t="inlineStr">
        <is>
          <t>Napa Plush  Throw Blanket Dark Blue, Twin 60"x90", Striped Reversible Velvet Luxury Fleece Warm Bed Couch Blanket, Super Soft and Cozy</t>
        </is>
      </c>
      <c r="C86" t="inlineStr">
        <is>
          <t>K8030TW-DBL</t>
        </is>
      </c>
      <c r="D86" t="inlineStr">
        <is>
          <t>Throws</t>
        </is>
      </c>
      <c r="E86" t="inlineStr">
        <is>
          <t>NAPA</t>
        </is>
      </c>
      <c r="F86" t="inlineStr">
        <is>
          <t>Optimized,Coupon_Discount,cost-added</t>
        </is>
      </c>
      <c r="G86" s="48" t="n">
        <v>29.96</v>
      </c>
      <c r="H86" s="48" t="n">
        <v>0</v>
      </c>
      <c r="I86" s="48" t="n">
        <v>0</v>
      </c>
      <c r="J86" s="48" t="n">
        <v>0</v>
      </c>
      <c r="K86" s="49" t="n">
        <v>2</v>
      </c>
      <c r="L86" s="49" t="n">
        <v>0</v>
      </c>
      <c r="M86" s="49" t="n">
        <v>0</v>
      </c>
      <c r="N86" s="49" t="n">
        <v>0</v>
      </c>
      <c r="O86" s="49" t="n">
        <v>0</v>
      </c>
      <c r="P86" s="49" t="n">
        <v>0</v>
      </c>
      <c r="Q86" s="49" t="n">
        <v>0</v>
      </c>
      <c r="R86" s="49" t="n">
        <v>0</v>
      </c>
      <c r="S86" s="50" t="n">
        <v>0</v>
      </c>
      <c r="T86" s="50" t="n">
        <v>0</v>
      </c>
      <c r="U86" s="50" t="n">
        <v>0</v>
      </c>
      <c r="V86" s="50" t="n">
        <v>0</v>
      </c>
      <c r="W86" s="51" t="n">
        <v>0</v>
      </c>
      <c r="X86" s="51" t="n">
        <v>0</v>
      </c>
      <c r="Y86" s="51" t="n">
        <v>0</v>
      </c>
      <c r="Z86" s="51" t="n">
        <v>0</v>
      </c>
      <c r="AA86" s="52" t="n">
        <v>0</v>
      </c>
      <c r="AB86" s="52" t="n">
        <v>0</v>
      </c>
      <c r="AC86" s="52" t="n">
        <v>0</v>
      </c>
      <c r="AD86" s="52" t="n">
        <v>0</v>
      </c>
      <c r="AE86" s="52" t="n">
        <v>0</v>
      </c>
      <c r="AF86" s="52" t="n">
        <v>0</v>
      </c>
      <c r="AG86" s="52" t="n">
        <v>0</v>
      </c>
      <c r="AH86" s="52" t="n">
        <v>0</v>
      </c>
      <c r="AI86" s="52" t="n">
        <v>0</v>
      </c>
      <c r="AJ86" s="52" t="n">
        <v>0</v>
      </c>
      <c r="AK86" s="52" t="n">
        <v>0</v>
      </c>
      <c r="AL86" s="52" t="n">
        <v>0</v>
      </c>
      <c r="AM86" s="53" t="n">
        <v>0</v>
      </c>
      <c r="AN86" s="53" t="n">
        <v>0</v>
      </c>
      <c r="AO86" s="53" t="n">
        <v>0</v>
      </c>
      <c r="AP86" s="53" t="n">
        <v>0</v>
      </c>
      <c r="AQ86" s="52" t="n">
        <v>0</v>
      </c>
      <c r="AR86" s="52" t="n">
        <v>0</v>
      </c>
      <c r="AS86" s="52" t="n">
        <v>0</v>
      </c>
      <c r="AT86" s="52" t="n">
        <v>0</v>
      </c>
      <c r="AU86" s="53" t="n">
        <v>0</v>
      </c>
      <c r="AV86" s="53" t="n">
        <v>0</v>
      </c>
      <c r="AW86" s="53" t="n">
        <v>0</v>
      </c>
      <c r="AX86" s="53" t="n">
        <v>0</v>
      </c>
      <c r="AY86" s="52" t="n">
        <v>14.98</v>
      </c>
      <c r="AZ86" s="52" t="n">
        <v>0</v>
      </c>
      <c r="BA86" s="52" t="n">
        <v>0</v>
      </c>
      <c r="BB86" s="52" t="n">
        <v>0</v>
      </c>
      <c r="BC86" s="51" t="n">
        <v>0</v>
      </c>
      <c r="BD86" s="51" t="n">
        <v>0</v>
      </c>
      <c r="BE86" s="51" t="n">
        <v>0</v>
      </c>
      <c r="BF86" s="51" t="n">
        <v>0</v>
      </c>
    </row>
    <row r="87">
      <c r="A87">
        <f>HYPERLINK("https://www.walmart.com/ip/191373832", "191373832")</f>
        <v/>
      </c>
      <c r="B87" t="inlineStr">
        <is>
          <t>Kato 6 Bottle Wine Cooler Bag, Leak-Proof Insulated Wine Carrier for Travel, Picnic &amp;amp; Camping, Gray</t>
        </is>
      </c>
      <c r="C87" t="inlineStr">
        <is>
          <t>1KTWB610GY</t>
        </is>
      </c>
      <c r="D87" t="inlineStr">
        <is>
          <t>Wine Totes, Bags &amp; Backpacks</t>
        </is>
      </c>
      <c r="E87" t="inlineStr">
        <is>
          <t>Kato</t>
        </is>
      </c>
      <c r="G87" s="48" t="n">
        <v>28.98</v>
      </c>
      <c r="H87" s="48" t="n">
        <v>0</v>
      </c>
      <c r="I87" s="48" t="n">
        <v>0</v>
      </c>
      <c r="J87" s="48" t="n">
        <v>21.99</v>
      </c>
      <c r="K87" s="49" t="n">
        <v>1</v>
      </c>
      <c r="L87" s="49" t="n">
        <v>0</v>
      </c>
      <c r="M87" s="49" t="n">
        <v>0</v>
      </c>
      <c r="N87" s="49" t="n">
        <v>1</v>
      </c>
      <c r="O87" s="49" t="n">
        <v>0</v>
      </c>
      <c r="P87" s="49" t="n">
        <v>0</v>
      </c>
      <c r="Q87" s="49" t="n">
        <v>0</v>
      </c>
      <c r="R87" s="49" t="n">
        <v>0</v>
      </c>
      <c r="S87" s="50" t="n">
        <v>0</v>
      </c>
      <c r="T87" s="50" t="n">
        <v>0</v>
      </c>
      <c r="U87" s="50" t="n">
        <v>0</v>
      </c>
      <c r="V87" s="50" t="n">
        <v>0</v>
      </c>
      <c r="W87" s="51" t="n">
        <v>1</v>
      </c>
      <c r="X87" s="51" t="n">
        <v>1</v>
      </c>
      <c r="Y87" s="51" t="n">
        <v>1</v>
      </c>
      <c r="Z87" s="51" t="n">
        <v>0</v>
      </c>
      <c r="AA87" s="52" t="n">
        <v>0.4</v>
      </c>
      <c r="AB87" s="52" t="n">
        <v>0.44</v>
      </c>
      <c r="AC87" s="52" t="n">
        <v>0.4</v>
      </c>
      <c r="AD87" s="52" t="n">
        <v>0</v>
      </c>
      <c r="AE87" s="52" t="n">
        <v>21.99</v>
      </c>
      <c r="AF87" s="52" t="n">
        <v>0</v>
      </c>
      <c r="AG87" s="52" t="n">
        <v>0</v>
      </c>
      <c r="AH87" s="52" t="n">
        <v>0</v>
      </c>
      <c r="AI87" s="52" t="n">
        <v>54.97</v>
      </c>
      <c r="AJ87" s="52" t="n">
        <v>0</v>
      </c>
      <c r="AK87" s="52" t="n">
        <v>0</v>
      </c>
      <c r="AL87" s="52" t="n">
        <v>0</v>
      </c>
      <c r="AM87" s="53" t="n">
        <v>0.0005</v>
      </c>
      <c r="AN87" s="53" t="n">
        <v>0.0005999999999999999</v>
      </c>
      <c r="AO87" s="53" t="n">
        <v>0.0009</v>
      </c>
      <c r="AP87" s="53" t="n">
        <v>0</v>
      </c>
      <c r="AQ87" s="52" t="n">
        <v>0.4</v>
      </c>
      <c r="AR87" s="52" t="n">
        <v>0.44</v>
      </c>
      <c r="AS87" s="52" t="n">
        <v>0.4</v>
      </c>
      <c r="AT87" s="52" t="n">
        <v>0</v>
      </c>
      <c r="AU87" s="53" t="n">
        <v>0.01380262249827467</v>
      </c>
      <c r="AV87" s="53" t="n">
        <v>0</v>
      </c>
      <c r="AW87" s="53" t="n">
        <v>0</v>
      </c>
      <c r="AX87" s="53" t="n">
        <v>0</v>
      </c>
      <c r="AY87" s="52" t="n">
        <v>28.98</v>
      </c>
      <c r="AZ87" s="52" t="n">
        <v>0</v>
      </c>
      <c r="BA87" s="52" t="n">
        <v>0</v>
      </c>
      <c r="BB87" s="52" t="n">
        <v>21.99</v>
      </c>
      <c r="BC87" s="51" t="n">
        <v>1877</v>
      </c>
      <c r="BD87" s="51" t="n">
        <v>1746</v>
      </c>
      <c r="BE87" s="51" t="n">
        <v>1129</v>
      </c>
      <c r="BF87" s="51" t="n">
        <v>867</v>
      </c>
    </row>
    <row r="88">
      <c r="A88">
        <f>HYPERLINK("https://www.walmart.com/ip/5791519141", "5791519141")</f>
        <v/>
      </c>
      <c r="B88" t="inlineStr">
        <is>
          <t>Tirrinia  Camping Cooler Bag Insulated w/ Shoulder Strap and Bottle Opener 20 Cans Portable Ice Chest for Camping Hiking Picnic Beach</t>
        </is>
      </c>
      <c r="C88" t="inlineStr">
        <is>
          <t>1TRCB00120GNBK</t>
        </is>
      </c>
      <c r="D88" t="inlineStr">
        <is>
          <t>Soft-Sided Coolers</t>
        </is>
      </c>
      <c r="E88" t="inlineStr">
        <is>
          <t>Tirrinia</t>
        </is>
      </c>
      <c r="G88" s="48" t="n">
        <v>28.98</v>
      </c>
      <c r="H88" s="48" t="n">
        <v>0</v>
      </c>
      <c r="I88" s="48" t="n">
        <v>21.99</v>
      </c>
      <c r="J88" s="48" t="n">
        <v>0</v>
      </c>
      <c r="K88" s="49" t="n">
        <v>1</v>
      </c>
      <c r="L88" s="49" t="n">
        <v>0</v>
      </c>
      <c r="M88" s="49" t="n">
        <v>1</v>
      </c>
      <c r="N88" s="49" t="n">
        <v>0</v>
      </c>
      <c r="O88" s="49" t="n">
        <v>0</v>
      </c>
      <c r="P88" s="49" t="n">
        <v>0</v>
      </c>
      <c r="Q88" s="49" t="n">
        <v>0</v>
      </c>
      <c r="R88" s="49" t="n">
        <v>0</v>
      </c>
      <c r="S88" s="50" t="n">
        <v>0</v>
      </c>
      <c r="T88" s="50" t="n">
        <v>0</v>
      </c>
      <c r="U88" s="50" t="n">
        <v>0</v>
      </c>
      <c r="V88" s="50" t="n">
        <v>0</v>
      </c>
      <c r="W88" s="51" t="n">
        <v>0</v>
      </c>
      <c r="X88" s="51" t="n">
        <v>0</v>
      </c>
      <c r="Y88" s="51" t="n">
        <v>0</v>
      </c>
      <c r="Z88" s="51" t="n">
        <v>0</v>
      </c>
      <c r="AA88" s="52" t="n">
        <v>0</v>
      </c>
      <c r="AB88" s="52" t="n">
        <v>0</v>
      </c>
      <c r="AC88" s="52" t="n">
        <v>0</v>
      </c>
      <c r="AD88" s="52" t="n">
        <v>0</v>
      </c>
      <c r="AE88" s="52" t="n">
        <v>0</v>
      </c>
      <c r="AF88" s="52" t="n">
        <v>0</v>
      </c>
      <c r="AG88" s="52" t="n">
        <v>0</v>
      </c>
      <c r="AH88" s="52" t="n">
        <v>0</v>
      </c>
      <c r="AI88" s="52" t="n">
        <v>0</v>
      </c>
      <c r="AJ88" s="52" t="n">
        <v>0</v>
      </c>
      <c r="AK88" s="52" t="n">
        <v>0</v>
      </c>
      <c r="AL88" s="52" t="n">
        <v>0</v>
      </c>
      <c r="AM88" s="53" t="n">
        <v>0</v>
      </c>
      <c r="AN88" s="53" t="n">
        <v>0</v>
      </c>
      <c r="AO88" s="53" t="n">
        <v>0</v>
      </c>
      <c r="AP88" s="53" t="n">
        <v>0</v>
      </c>
      <c r="AQ88" s="52" t="n">
        <v>0</v>
      </c>
      <c r="AR88" s="52" t="n">
        <v>0</v>
      </c>
      <c r="AS88" s="52" t="n">
        <v>0</v>
      </c>
      <c r="AT88" s="52" t="n">
        <v>0</v>
      </c>
      <c r="AU88" s="53" t="n">
        <v>0</v>
      </c>
      <c r="AV88" s="53" t="n">
        <v>0</v>
      </c>
      <c r="AW88" s="53" t="n">
        <v>0</v>
      </c>
      <c r="AX88" s="53" t="n">
        <v>0</v>
      </c>
      <c r="AY88" s="52" t="n">
        <v>28.98</v>
      </c>
      <c r="AZ88" s="52" t="n">
        <v>0</v>
      </c>
      <c r="BA88" s="52" t="n">
        <v>21.99</v>
      </c>
      <c r="BB88" s="52" t="n">
        <v>0</v>
      </c>
      <c r="BC88" s="51" t="n">
        <v>0</v>
      </c>
      <c r="BD88" s="51" t="n">
        <v>0</v>
      </c>
      <c r="BE88" s="51" t="n">
        <v>0</v>
      </c>
      <c r="BF88" s="51" t="n">
        <v>0</v>
      </c>
    </row>
    <row r="89">
      <c r="A89">
        <f>HYPERLINK("https://www.walmart.com/ip/448077121", "448077121")</f>
        <v/>
      </c>
      <c r="B89" t="inlineStr">
        <is>
          <t>Flyingstar Waterproof Fleece Blanket, Wearable Windproof Hooded Blanket Poncho for Sports, Stadium, Camping, Beach, Picnic, Car or Pet Friendly Use, Black/Black</t>
        </is>
      </c>
      <c r="C89" t="inlineStr">
        <is>
          <t>1WMBC200BKBK</t>
        </is>
      </c>
      <c r="D89" t="inlineStr">
        <is>
          <t>Picnic Blankets &amp; Mats</t>
        </is>
      </c>
      <c r="E89" t="inlineStr">
        <is>
          <t>Flyingstar</t>
        </is>
      </c>
      <c r="F89" t="inlineStr">
        <is>
          <t>Q2-Target,Optimized,WFS,Beach Robe Camp,WFS Item</t>
        </is>
      </c>
      <c r="G89" s="48" t="n">
        <v>26.99</v>
      </c>
      <c r="H89" s="48" t="n">
        <v>0</v>
      </c>
      <c r="I89" s="48" t="n">
        <v>53.98</v>
      </c>
      <c r="J89" s="48" t="n">
        <v>0</v>
      </c>
      <c r="K89" s="49" t="n">
        <v>1</v>
      </c>
      <c r="L89" s="49" t="n">
        <v>0</v>
      </c>
      <c r="M89" s="49" t="n">
        <v>2</v>
      </c>
      <c r="N89" s="49" t="n">
        <v>0</v>
      </c>
      <c r="O89" s="49" t="n">
        <v>6</v>
      </c>
      <c r="P89" s="49" t="n">
        <v>4</v>
      </c>
      <c r="Q89" s="49" t="n">
        <v>5</v>
      </c>
      <c r="R89" s="49" t="n">
        <v>2</v>
      </c>
      <c r="S89" s="50" t="n">
        <v>0.1666666666666667</v>
      </c>
      <c r="T89" s="50" t="n">
        <v>0</v>
      </c>
      <c r="U89" s="50" t="n">
        <v>0.4</v>
      </c>
      <c r="V89" s="50" t="n">
        <v>0</v>
      </c>
      <c r="W89" s="51" t="n">
        <v>2</v>
      </c>
      <c r="X89" s="51" t="n">
        <v>1</v>
      </c>
      <c r="Y89" s="51" t="n">
        <v>0</v>
      </c>
      <c r="Z89" s="51" t="n">
        <v>1</v>
      </c>
      <c r="AA89" s="52" t="n">
        <v>0.8100000000000001</v>
      </c>
      <c r="AB89" s="52" t="n">
        <v>0.41</v>
      </c>
      <c r="AC89" s="52" t="n">
        <v>0</v>
      </c>
      <c r="AD89" s="52" t="n">
        <v>0.41</v>
      </c>
      <c r="AE89" s="52" t="n">
        <v>26.99</v>
      </c>
      <c r="AF89" s="52" t="n">
        <v>26.99</v>
      </c>
      <c r="AG89" s="52" t="n">
        <v>0</v>
      </c>
      <c r="AH89" s="52" t="n">
        <v>0</v>
      </c>
      <c r="AI89" s="52" t="n">
        <v>33.32</v>
      </c>
      <c r="AJ89" s="52" t="n">
        <v>65.83</v>
      </c>
      <c r="AK89" s="52" t="n">
        <v>0</v>
      </c>
      <c r="AL89" s="52" t="n">
        <v>0</v>
      </c>
      <c r="AM89" s="53" t="n">
        <v>0.0011</v>
      </c>
      <c r="AN89" s="53" t="n">
        <v>0.0005999999999999999</v>
      </c>
      <c r="AO89" s="53" t="n">
        <v>0</v>
      </c>
      <c r="AP89" s="53" t="n">
        <v>0.0004</v>
      </c>
      <c r="AQ89" s="52" t="n">
        <v>0.405</v>
      </c>
      <c r="AR89" s="52" t="n">
        <v>0.41</v>
      </c>
      <c r="AS89" s="52" t="n">
        <v>0</v>
      </c>
      <c r="AT89" s="52" t="n">
        <v>0.41</v>
      </c>
      <c r="AU89" s="53" t="n">
        <v>0.03001111522786217</v>
      </c>
      <c r="AV89" s="53" t="n">
        <v>0</v>
      </c>
      <c r="AW89" s="53" t="n">
        <v>0</v>
      </c>
      <c r="AX89" s="53" t="n">
        <v>0</v>
      </c>
      <c r="AY89" s="52" t="n">
        <v>26.99</v>
      </c>
      <c r="AZ89" s="52" t="n">
        <v>0</v>
      </c>
      <c r="BA89" s="52" t="n">
        <v>26.99</v>
      </c>
      <c r="BB89" s="52" t="n">
        <v>0</v>
      </c>
      <c r="BC89" s="51" t="n">
        <v>1846</v>
      </c>
      <c r="BD89" s="51" t="n">
        <v>1589</v>
      </c>
      <c r="BE89" s="51" t="n">
        <v>1856</v>
      </c>
      <c r="BF89" s="51" t="n">
        <v>2459</v>
      </c>
    </row>
    <row r="90">
      <c r="A90">
        <f>HYPERLINK("https://www.walmart.com/ip/3213812554", "3213812554")</f>
        <v/>
      </c>
      <c r="B90" t="inlineStr">
        <is>
          <t>Catalonia Waterproof Fleece Blanket for Outdoors, Hooded Blanket Poncho | Windproof, Warm, Wearable, Portable | for Stadium, Picnics, School Sporting Events, Camping, Beach, Outdoor Adventure</t>
        </is>
      </c>
      <c r="C90" t="inlineStr">
        <is>
          <t>1CTBC200BALLBL</t>
        </is>
      </c>
      <c r="D90" t="inlineStr">
        <is>
          <t>Throws</t>
        </is>
      </c>
      <c r="E90" t="inlineStr">
        <is>
          <t>Catalonia</t>
        </is>
      </c>
      <c r="F90" t="inlineStr">
        <is>
          <t>Q2-Target,Wproof Blanket</t>
        </is>
      </c>
      <c r="G90" s="48" t="n">
        <v>26.99</v>
      </c>
      <c r="H90" s="48" t="n">
        <v>0</v>
      </c>
      <c r="I90" s="48" t="n">
        <v>0</v>
      </c>
      <c r="J90" s="48" t="n">
        <v>0</v>
      </c>
      <c r="K90" s="49" t="n">
        <v>1</v>
      </c>
      <c r="L90" s="49" t="n">
        <v>0</v>
      </c>
      <c r="M90" s="49" t="n">
        <v>0</v>
      </c>
      <c r="N90" s="49" t="n">
        <v>0</v>
      </c>
      <c r="O90" s="49" t="n">
        <v>0</v>
      </c>
      <c r="P90" s="49" t="n">
        <v>0</v>
      </c>
      <c r="Q90" s="49" t="n">
        <v>0</v>
      </c>
      <c r="R90" s="49" t="n">
        <v>0</v>
      </c>
      <c r="S90" s="50" t="n">
        <v>0</v>
      </c>
      <c r="T90" s="50" t="n">
        <v>0</v>
      </c>
      <c r="U90" s="50" t="n">
        <v>0</v>
      </c>
      <c r="V90" s="50" t="n">
        <v>0</v>
      </c>
      <c r="W90" s="51" t="n">
        <v>0</v>
      </c>
      <c r="X90" s="51" t="n">
        <v>0</v>
      </c>
      <c r="Y90" s="51" t="n">
        <v>0</v>
      </c>
      <c r="Z90" s="51" t="n">
        <v>0</v>
      </c>
      <c r="AA90" s="52" t="n">
        <v>0</v>
      </c>
      <c r="AB90" s="52" t="n">
        <v>0</v>
      </c>
      <c r="AC90" s="52" t="n">
        <v>0</v>
      </c>
      <c r="AD90" s="52" t="n">
        <v>0</v>
      </c>
      <c r="AE90" s="52" t="n">
        <v>0</v>
      </c>
      <c r="AF90" s="52" t="n">
        <v>0</v>
      </c>
      <c r="AG90" s="52" t="n">
        <v>0</v>
      </c>
      <c r="AH90" s="52" t="n">
        <v>0</v>
      </c>
      <c r="AI90" s="52" t="n">
        <v>0</v>
      </c>
      <c r="AJ90" s="52" t="n">
        <v>0</v>
      </c>
      <c r="AK90" s="52" t="n">
        <v>0</v>
      </c>
      <c r="AL90" s="52" t="n">
        <v>0</v>
      </c>
      <c r="AM90" s="53" t="n">
        <v>0</v>
      </c>
      <c r="AN90" s="53" t="n">
        <v>0</v>
      </c>
      <c r="AO90" s="53" t="n">
        <v>0</v>
      </c>
      <c r="AP90" s="53" t="n">
        <v>0</v>
      </c>
      <c r="AQ90" s="52" t="n">
        <v>0</v>
      </c>
      <c r="AR90" s="52" t="n">
        <v>0</v>
      </c>
      <c r="AS90" s="52" t="n">
        <v>0</v>
      </c>
      <c r="AT90" s="52" t="n">
        <v>0</v>
      </c>
      <c r="AU90" s="53" t="n">
        <v>0</v>
      </c>
      <c r="AV90" s="53" t="n">
        <v>0</v>
      </c>
      <c r="AW90" s="53" t="n">
        <v>0</v>
      </c>
      <c r="AX90" s="53" t="n">
        <v>0</v>
      </c>
      <c r="AY90" s="52" t="n">
        <v>26.99</v>
      </c>
      <c r="AZ90" s="52" t="n">
        <v>0</v>
      </c>
      <c r="BA90" s="52" t="n">
        <v>0</v>
      </c>
      <c r="BB90" s="52" t="n">
        <v>0</v>
      </c>
      <c r="BC90" s="51" t="n">
        <v>0</v>
      </c>
      <c r="BD90" s="51" t="n">
        <v>0</v>
      </c>
      <c r="BE90" s="51" t="n">
        <v>0</v>
      </c>
      <c r="BF90" s="51" t="n">
        <v>0</v>
      </c>
    </row>
    <row r="91">
      <c r="A91">
        <f>HYPERLINK("https://www.walmart.com/ip/3081948362", "3081948362")</f>
        <v/>
      </c>
      <c r="B91" t="inlineStr">
        <is>
          <t>Outdoor Wide Brim Sun Hats Blocking UV Protection Cap UPF 50+ Foldable Mesh Net for Finishing, Hiking, Camping by Solari</t>
        </is>
      </c>
      <c r="C91" t="inlineStr">
        <is>
          <t>1SLSH912GN</t>
        </is>
      </c>
      <c r="D91" t="inlineStr">
        <is>
          <t>Hats</t>
        </is>
      </c>
      <c r="E91" t="inlineStr">
        <is>
          <t>Solaris</t>
        </is>
      </c>
      <c r="G91" s="48" t="n">
        <v>26.97</v>
      </c>
      <c r="H91" s="48" t="n">
        <v>8.99</v>
      </c>
      <c r="I91" s="48" t="n">
        <v>0</v>
      </c>
      <c r="J91" s="48" t="n">
        <v>0</v>
      </c>
      <c r="K91" s="49" t="n">
        <v>3</v>
      </c>
      <c r="L91" s="49" t="n">
        <v>1</v>
      </c>
      <c r="M91" s="49" t="n">
        <v>0</v>
      </c>
      <c r="N91" s="49" t="n">
        <v>0</v>
      </c>
      <c r="O91" s="49" t="n">
        <v>3</v>
      </c>
      <c r="P91" s="49" t="n">
        <v>0</v>
      </c>
      <c r="Q91" s="49" t="n">
        <v>0</v>
      </c>
      <c r="R91" s="49" t="n">
        <v>0</v>
      </c>
      <c r="S91" s="50" t="n">
        <v>1</v>
      </c>
      <c r="T91" s="50" t="n">
        <v>0</v>
      </c>
      <c r="U91" s="50" t="n">
        <v>0</v>
      </c>
      <c r="V91" s="50" t="n">
        <v>0</v>
      </c>
      <c r="W91" s="51" t="n">
        <v>0</v>
      </c>
      <c r="X91" s="51" t="n">
        <v>0</v>
      </c>
      <c r="Y91" s="51" t="n">
        <v>0</v>
      </c>
      <c r="Z91" s="51" t="n">
        <v>0</v>
      </c>
      <c r="AA91" s="52" t="n">
        <v>0</v>
      </c>
      <c r="AB91" s="52" t="n">
        <v>0</v>
      </c>
      <c r="AC91" s="52" t="n">
        <v>0</v>
      </c>
      <c r="AD91" s="52" t="n">
        <v>0</v>
      </c>
      <c r="AE91" s="52" t="n">
        <v>0</v>
      </c>
      <c r="AF91" s="52" t="n">
        <v>0</v>
      </c>
      <c r="AG91" s="52" t="n">
        <v>0</v>
      </c>
      <c r="AH91" s="52" t="n">
        <v>0</v>
      </c>
      <c r="AI91" s="52" t="n">
        <v>0</v>
      </c>
      <c r="AJ91" s="52" t="n">
        <v>0</v>
      </c>
      <c r="AK91" s="52" t="n">
        <v>0</v>
      </c>
      <c r="AL91" s="52" t="n">
        <v>0</v>
      </c>
      <c r="AM91" s="53" t="n">
        <v>0</v>
      </c>
      <c r="AN91" s="53" t="n">
        <v>0</v>
      </c>
      <c r="AO91" s="53" t="n">
        <v>0</v>
      </c>
      <c r="AP91" s="53" t="n">
        <v>0</v>
      </c>
      <c r="AQ91" s="52" t="n">
        <v>0</v>
      </c>
      <c r="AR91" s="52" t="n">
        <v>0</v>
      </c>
      <c r="AS91" s="52" t="n">
        <v>0</v>
      </c>
      <c r="AT91" s="52" t="n">
        <v>0</v>
      </c>
      <c r="AU91" s="53" t="n">
        <v>0</v>
      </c>
      <c r="AV91" s="53" t="n">
        <v>0</v>
      </c>
      <c r="AW91" s="53" t="n">
        <v>0</v>
      </c>
      <c r="AX91" s="53" t="n">
        <v>0</v>
      </c>
      <c r="AY91" s="52" t="n">
        <v>8.99</v>
      </c>
      <c r="AZ91" s="52" t="n">
        <v>8.99</v>
      </c>
      <c r="BA91" s="52" t="n">
        <v>0</v>
      </c>
      <c r="BB91" s="52" t="n">
        <v>0</v>
      </c>
      <c r="BC91" s="51" t="n">
        <v>0</v>
      </c>
      <c r="BD91" s="51" t="n">
        <v>0</v>
      </c>
      <c r="BE91" s="51" t="n">
        <v>0</v>
      </c>
      <c r="BF91" s="51" t="n">
        <v>0</v>
      </c>
    </row>
    <row r="92">
      <c r="A92">
        <f>HYPERLINK("https://www.walmart.com/ip/244456244", "244456244")</f>
        <v/>
      </c>
      <c r="B92" t="inlineStr">
        <is>
          <t>Pawsse Waterproof Pet Snuggle Blanket, Dog Puppy Cat Fleece Sherpa Throws Cushion Mat for Car Seat Furniture Protector Cover Medium 50"x60"</t>
        </is>
      </c>
      <c r="C92" t="inlineStr">
        <is>
          <t>1PSBW561GYTP</t>
        </is>
      </c>
      <c r="D92" t="inlineStr">
        <is>
          <t>Pet Blankets</t>
        </is>
      </c>
      <c r="E92" t="inlineStr">
        <is>
          <t>Pawsse</t>
        </is>
      </c>
      <c r="F92" t="inlineStr">
        <is>
          <t>Batch 1 - TR</t>
        </is>
      </c>
      <c r="G92" s="48" t="n">
        <v>25.99</v>
      </c>
      <c r="H92" s="48" t="n">
        <v>0</v>
      </c>
      <c r="I92" s="48" t="n">
        <v>0</v>
      </c>
      <c r="J92" s="48" t="n">
        <v>0</v>
      </c>
      <c r="K92" s="49" t="n">
        <v>1</v>
      </c>
      <c r="L92" s="49" t="n">
        <v>0</v>
      </c>
      <c r="M92" s="49" t="n">
        <v>0</v>
      </c>
      <c r="N92" s="49" t="n">
        <v>0</v>
      </c>
      <c r="O92" s="49" t="n">
        <v>12</v>
      </c>
      <c r="P92" s="49" t="n">
        <v>2</v>
      </c>
      <c r="Q92" s="49" t="n">
        <v>0</v>
      </c>
      <c r="R92" s="49" t="n">
        <v>5</v>
      </c>
      <c r="S92" s="50" t="n">
        <v>0.08333333333333333</v>
      </c>
      <c r="T92" s="50" t="n">
        <v>0</v>
      </c>
      <c r="U92" s="50" t="n">
        <v>0</v>
      </c>
      <c r="V92" s="50" t="n">
        <v>0</v>
      </c>
      <c r="W92" s="51" t="n">
        <v>0</v>
      </c>
      <c r="X92" s="51" t="n">
        <v>0</v>
      </c>
      <c r="Y92" s="51" t="n">
        <v>0</v>
      </c>
      <c r="Z92" s="51" t="n">
        <v>0</v>
      </c>
      <c r="AA92" s="52" t="n">
        <v>0</v>
      </c>
      <c r="AB92" s="52" t="n">
        <v>0</v>
      </c>
      <c r="AC92" s="52" t="n">
        <v>0</v>
      </c>
      <c r="AD92" s="52" t="n">
        <v>0</v>
      </c>
      <c r="AE92" s="52" t="n">
        <v>0</v>
      </c>
      <c r="AF92" s="52" t="n">
        <v>0</v>
      </c>
      <c r="AG92" s="52" t="n">
        <v>0</v>
      </c>
      <c r="AH92" s="52" t="n">
        <v>0</v>
      </c>
      <c r="AI92" s="52" t="n">
        <v>0</v>
      </c>
      <c r="AJ92" s="52" t="n">
        <v>0</v>
      </c>
      <c r="AK92" s="52" t="n">
        <v>0</v>
      </c>
      <c r="AL92" s="52" t="n">
        <v>0</v>
      </c>
      <c r="AM92" s="53" t="n">
        <v>0</v>
      </c>
      <c r="AN92" s="53" t="n">
        <v>0</v>
      </c>
      <c r="AO92" s="53" t="n">
        <v>0</v>
      </c>
      <c r="AP92" s="53" t="n">
        <v>0</v>
      </c>
      <c r="AQ92" s="52" t="n">
        <v>0</v>
      </c>
      <c r="AR92" s="52" t="n">
        <v>0</v>
      </c>
      <c r="AS92" s="52" t="n">
        <v>0</v>
      </c>
      <c r="AT92" s="52" t="n">
        <v>0</v>
      </c>
      <c r="AU92" s="53" t="n">
        <v>0</v>
      </c>
      <c r="AV92" s="53" t="n">
        <v>0</v>
      </c>
      <c r="AW92" s="53" t="n">
        <v>0</v>
      </c>
      <c r="AX92" s="53" t="n">
        <v>0</v>
      </c>
      <c r="AY92" s="52" t="n">
        <v>25.99</v>
      </c>
      <c r="AZ92" s="52" t="n">
        <v>0</v>
      </c>
      <c r="BA92" s="52" t="n">
        <v>0</v>
      </c>
      <c r="BB92" s="52" t="n">
        <v>0</v>
      </c>
      <c r="BC92" s="51" t="n">
        <v>0</v>
      </c>
      <c r="BD92" s="51" t="n">
        <v>0</v>
      </c>
      <c r="BE92" s="51" t="n">
        <v>0</v>
      </c>
      <c r="BF92" s="51" t="n">
        <v>0</v>
      </c>
    </row>
    <row r="93">
      <c r="A93">
        <f>HYPERLINK("https://www.walmart.com/ip/736926147", "736926147")</f>
        <v/>
      </c>
      <c r="B93" t="inlineStr">
        <is>
          <t>Kritter Planet Waterproof Dog Blanket for Couch, Washable Pet Couch Cover, Non-slip Bed Sofa Furniture Protector Mat, Latte, 80''x60''.</t>
        </is>
      </c>
      <c r="C93" t="inlineStr">
        <is>
          <t>1KPBW686LT</t>
        </is>
      </c>
      <c r="D93" t="inlineStr">
        <is>
          <t>Pet Blankets</t>
        </is>
      </c>
      <c r="E93" t="inlineStr">
        <is>
          <t>Kritter Planet</t>
        </is>
      </c>
      <c r="F93" t="inlineStr">
        <is>
          <t>Q2-Target,SEM,Batch 1 - TR</t>
        </is>
      </c>
      <c r="G93" s="48" t="n">
        <v>25.99</v>
      </c>
      <c r="H93" s="48" t="n">
        <v>77.97</v>
      </c>
      <c r="I93" s="48" t="n">
        <v>51.98</v>
      </c>
      <c r="J93" s="48" t="n">
        <v>77.97</v>
      </c>
      <c r="K93" s="49" t="n">
        <v>1</v>
      </c>
      <c r="L93" s="49" t="n">
        <v>3</v>
      </c>
      <c r="M93" s="49" t="n">
        <v>2</v>
      </c>
      <c r="N93" s="49" t="n">
        <v>3</v>
      </c>
      <c r="O93" s="49" t="n">
        <v>12</v>
      </c>
      <c r="P93" s="49" t="n">
        <v>13</v>
      </c>
      <c r="Q93" s="49" t="n">
        <v>16</v>
      </c>
      <c r="R93" s="49" t="n">
        <v>22</v>
      </c>
      <c r="S93" s="50" t="n">
        <v>0.08333333333333333</v>
      </c>
      <c r="T93" s="50" t="n">
        <v>0.2307692307692308</v>
      </c>
      <c r="U93" s="50" t="n">
        <v>0.125</v>
      </c>
      <c r="V93" s="50" t="n">
        <v>0.1363636363636364</v>
      </c>
      <c r="W93" s="51" t="n">
        <v>20</v>
      </c>
      <c r="X93" s="51" t="n">
        <v>20</v>
      </c>
      <c r="Y93" s="51" t="n">
        <v>21</v>
      </c>
      <c r="Z93" s="51" t="n">
        <v>9</v>
      </c>
      <c r="AA93" s="52" t="n">
        <v>6.62</v>
      </c>
      <c r="AB93" s="52" t="n">
        <v>6.5</v>
      </c>
      <c r="AC93" s="52" t="n">
        <v>6.88</v>
      </c>
      <c r="AD93" s="52" t="n">
        <v>2.9</v>
      </c>
      <c r="AE93" s="52" t="n">
        <v>89.95999999999999</v>
      </c>
      <c r="AF93" s="52" t="n">
        <v>51.98</v>
      </c>
      <c r="AG93" s="52" t="n">
        <v>23.99</v>
      </c>
      <c r="AH93" s="52" t="n">
        <v>73.97</v>
      </c>
      <c r="AI93" s="52" t="n">
        <v>13.59</v>
      </c>
      <c r="AJ93" s="52" t="n">
        <v>8</v>
      </c>
      <c r="AK93" s="52" t="n">
        <v>3.49</v>
      </c>
      <c r="AL93" s="52" t="n">
        <v>25.51</v>
      </c>
      <c r="AM93" s="53" t="n">
        <v>0.0057</v>
      </c>
      <c r="AN93" s="53" t="n">
        <v>0.0048</v>
      </c>
      <c r="AO93" s="53" t="n">
        <v>0.0048</v>
      </c>
      <c r="AP93" s="53" t="n">
        <v>0.0033</v>
      </c>
      <c r="AQ93" s="52" t="n">
        <v>0.331</v>
      </c>
      <c r="AR93" s="52" t="n">
        <v>0.325</v>
      </c>
      <c r="AS93" s="52" t="n">
        <v>0.3276190476190476</v>
      </c>
      <c r="AT93" s="52" t="n">
        <v>0.3222222222222222</v>
      </c>
      <c r="AU93" s="53" t="n">
        <v>0.2547133512889573</v>
      </c>
      <c r="AV93" s="53" t="n">
        <v>0.08336539694754393</v>
      </c>
      <c r="AW93" s="53" t="n">
        <v>0.1323585994613313</v>
      </c>
      <c r="AX93" s="53" t="n">
        <v>0.03719379248428883</v>
      </c>
      <c r="AY93" s="52" t="n">
        <v>25.99</v>
      </c>
      <c r="AZ93" s="52" t="n">
        <v>25.99</v>
      </c>
      <c r="BA93" s="52" t="n">
        <v>25.99</v>
      </c>
      <c r="BB93" s="52" t="n">
        <v>25.99</v>
      </c>
      <c r="BC93" s="51" t="n">
        <v>3527</v>
      </c>
      <c r="BD93" s="51" t="n">
        <v>4205</v>
      </c>
      <c r="BE93" s="51" t="n">
        <v>4346</v>
      </c>
      <c r="BF93" s="51" t="n">
        <v>2758</v>
      </c>
    </row>
    <row r="94">
      <c r="A94">
        <f>HYPERLINK("https://www.walmart.com/ip/950464832", "950464832")</f>
        <v/>
      </c>
      <c r="B94" t="inlineStr">
        <is>
          <t>Catalonia Sherpa Fleece Blanket, Super Soft Plush Cheetah Print 60x80 inches for Bed, Sofa, Couch Throw, Comfy Cozy Fluffy Warm Comforter, Caring Gift</t>
        </is>
      </c>
      <c r="C94" t="inlineStr">
        <is>
          <t>1CTBF368CHEETAH</t>
        </is>
      </c>
      <c r="D94" t="inlineStr">
        <is>
          <t>Throws</t>
        </is>
      </c>
      <c r="E94" t="inlineStr">
        <is>
          <t>Catalonia</t>
        </is>
      </c>
      <c r="F94" t="inlineStr">
        <is>
          <t>Q2-Target,Optimized,WFS,Coupon_Discount,WFS Item,Fleece Blankets</t>
        </is>
      </c>
      <c r="G94" s="48" t="n">
        <v>24.99</v>
      </c>
      <c r="H94" s="48" t="n">
        <v>0</v>
      </c>
      <c r="I94" s="48" t="n">
        <v>0</v>
      </c>
      <c r="J94" s="48" t="n">
        <v>0</v>
      </c>
      <c r="K94" s="49" t="n">
        <v>1</v>
      </c>
      <c r="L94" s="49" t="n">
        <v>0</v>
      </c>
      <c r="M94" s="49" t="n">
        <v>0</v>
      </c>
      <c r="N94" s="49" t="n">
        <v>0</v>
      </c>
      <c r="O94" s="49" t="n">
        <v>0</v>
      </c>
      <c r="P94" s="49" t="n">
        <v>0</v>
      </c>
      <c r="Q94" s="49" t="n">
        <v>0</v>
      </c>
      <c r="R94" s="49" t="n">
        <v>0</v>
      </c>
      <c r="S94" s="50" t="n">
        <v>0</v>
      </c>
      <c r="T94" s="50" t="n">
        <v>0</v>
      </c>
      <c r="U94" s="50" t="n">
        <v>0</v>
      </c>
      <c r="V94" s="50" t="n">
        <v>0</v>
      </c>
      <c r="W94" s="51" t="n">
        <v>0</v>
      </c>
      <c r="X94" s="51" t="n">
        <v>0</v>
      </c>
      <c r="Y94" s="51" t="n">
        <v>0</v>
      </c>
      <c r="Z94" s="51" t="n">
        <v>0</v>
      </c>
      <c r="AA94" s="52" t="n">
        <v>0</v>
      </c>
      <c r="AB94" s="52" t="n">
        <v>0</v>
      </c>
      <c r="AC94" s="52" t="n">
        <v>0</v>
      </c>
      <c r="AD94" s="52" t="n">
        <v>0</v>
      </c>
      <c r="AE94" s="52" t="n">
        <v>0</v>
      </c>
      <c r="AF94" s="52" t="n">
        <v>0</v>
      </c>
      <c r="AG94" s="52" t="n">
        <v>0</v>
      </c>
      <c r="AH94" s="52" t="n">
        <v>0</v>
      </c>
      <c r="AI94" s="52" t="n">
        <v>0</v>
      </c>
      <c r="AJ94" s="52" t="n">
        <v>0</v>
      </c>
      <c r="AK94" s="52" t="n">
        <v>0</v>
      </c>
      <c r="AL94" s="52" t="n">
        <v>0</v>
      </c>
      <c r="AM94" s="53" t="n">
        <v>0</v>
      </c>
      <c r="AN94" s="53" t="n">
        <v>0</v>
      </c>
      <c r="AO94" s="53" t="n">
        <v>0</v>
      </c>
      <c r="AP94" s="53" t="n">
        <v>0</v>
      </c>
      <c r="AQ94" s="52" t="n">
        <v>0</v>
      </c>
      <c r="AR94" s="52" t="n">
        <v>0</v>
      </c>
      <c r="AS94" s="52" t="n">
        <v>0</v>
      </c>
      <c r="AT94" s="52" t="n">
        <v>0</v>
      </c>
      <c r="AU94" s="53" t="n">
        <v>0</v>
      </c>
      <c r="AV94" s="53" t="n">
        <v>0</v>
      </c>
      <c r="AW94" s="53" t="n">
        <v>0</v>
      </c>
      <c r="AX94" s="53" t="n">
        <v>0</v>
      </c>
      <c r="AY94" s="52" t="n">
        <v>24.99</v>
      </c>
      <c r="AZ94" s="52" t="n">
        <v>0</v>
      </c>
      <c r="BA94" s="52" t="n">
        <v>0</v>
      </c>
      <c r="BB94" s="52" t="n">
        <v>0</v>
      </c>
      <c r="BC94" s="51" t="n">
        <v>0</v>
      </c>
      <c r="BD94" s="51" t="n">
        <v>0</v>
      </c>
      <c r="BE94" s="51" t="n">
        <v>0</v>
      </c>
      <c r="BF94" s="51" t="n">
        <v>0</v>
      </c>
    </row>
    <row r="95">
      <c r="A95">
        <f>HYPERLINK("https://www.walmart.com/ip/643661221", "643661221")</f>
        <v/>
      </c>
      <c r="B95" t="inlineStr">
        <is>
          <t>Kato 4 Glass and 2 Wine Bottle Holder, Wine Glass Hanging Drying Stand Organizer on Countertop with Free Corkscrew, Wine Rack, Bamboo</t>
        </is>
      </c>
      <c r="C95" t="inlineStr">
        <is>
          <t>1KTBR100</t>
        </is>
      </c>
      <c r="D95" t="inlineStr">
        <is>
          <t>Wine Racks</t>
        </is>
      </c>
      <c r="E95" t="inlineStr">
        <is>
          <t>Kato</t>
        </is>
      </c>
      <c r="F95" t="inlineStr">
        <is>
          <t>Wine,Q2-Target,Christmas,Optimized,Wine WFS,Valentine</t>
        </is>
      </c>
      <c r="G95" s="48" t="n">
        <v>24.99</v>
      </c>
      <c r="H95" s="48" t="n">
        <v>0</v>
      </c>
      <c r="I95" s="48" t="n">
        <v>0</v>
      </c>
      <c r="J95" s="48" t="n">
        <v>0</v>
      </c>
      <c r="K95" s="49" t="n">
        <v>1</v>
      </c>
      <c r="L95" s="49" t="n">
        <v>0</v>
      </c>
      <c r="M95" s="49" t="n">
        <v>0</v>
      </c>
      <c r="N95" s="49" t="n">
        <v>0</v>
      </c>
      <c r="O95" s="49" t="n">
        <v>7</v>
      </c>
      <c r="P95" s="49" t="n">
        <v>4</v>
      </c>
      <c r="Q95" s="49" t="n">
        <v>3</v>
      </c>
      <c r="R95" s="49" t="n">
        <v>4</v>
      </c>
      <c r="S95" s="50" t="n">
        <v>0.1428571428571428</v>
      </c>
      <c r="T95" s="50" t="n">
        <v>0</v>
      </c>
      <c r="U95" s="50" t="n">
        <v>0</v>
      </c>
      <c r="V95" s="50" t="n">
        <v>0</v>
      </c>
      <c r="W95" s="51" t="n">
        <v>0</v>
      </c>
      <c r="X95" s="51" t="n">
        <v>0</v>
      </c>
      <c r="Y95" s="51" t="n">
        <v>0</v>
      </c>
      <c r="Z95" s="51" t="n">
        <v>0</v>
      </c>
      <c r="AA95" s="52" t="n">
        <v>0</v>
      </c>
      <c r="AB95" s="52" t="n">
        <v>0</v>
      </c>
      <c r="AC95" s="52" t="n">
        <v>0</v>
      </c>
      <c r="AD95" s="52" t="n">
        <v>0</v>
      </c>
      <c r="AE95" s="52" t="n">
        <v>0</v>
      </c>
      <c r="AF95" s="52" t="n">
        <v>0</v>
      </c>
      <c r="AG95" s="52" t="n">
        <v>0</v>
      </c>
      <c r="AH95" s="52" t="n">
        <v>0</v>
      </c>
      <c r="AI95" s="52" t="n">
        <v>0</v>
      </c>
      <c r="AJ95" s="52" t="n">
        <v>0</v>
      </c>
      <c r="AK95" s="52" t="n">
        <v>0</v>
      </c>
      <c r="AL95" s="52" t="n">
        <v>0</v>
      </c>
      <c r="AM95" s="53" t="n">
        <v>0</v>
      </c>
      <c r="AN95" s="53" t="n">
        <v>0</v>
      </c>
      <c r="AO95" s="53" t="n">
        <v>0</v>
      </c>
      <c r="AP95" s="53" t="n">
        <v>0</v>
      </c>
      <c r="AQ95" s="52" t="n">
        <v>0</v>
      </c>
      <c r="AR95" s="52" t="n">
        <v>0</v>
      </c>
      <c r="AS95" s="52" t="n">
        <v>0</v>
      </c>
      <c r="AT95" s="52" t="n">
        <v>0</v>
      </c>
      <c r="AU95" s="53" t="n">
        <v>0</v>
      </c>
      <c r="AV95" s="53" t="n">
        <v>0</v>
      </c>
      <c r="AW95" s="53" t="n">
        <v>0</v>
      </c>
      <c r="AX95" s="53" t="n">
        <v>0</v>
      </c>
      <c r="AY95" s="52" t="n">
        <v>24.99</v>
      </c>
      <c r="AZ95" s="52" t="n">
        <v>0</v>
      </c>
      <c r="BA95" s="52" t="n">
        <v>0</v>
      </c>
      <c r="BB95" s="52" t="n">
        <v>0</v>
      </c>
      <c r="BC95" s="51" t="n">
        <v>0</v>
      </c>
      <c r="BD95" s="51" t="n">
        <v>0</v>
      </c>
      <c r="BE95" s="51" t="n">
        <v>0</v>
      </c>
      <c r="BF95" s="51" t="n">
        <v>0</v>
      </c>
    </row>
    <row r="96">
      <c r="A96">
        <f>HYPERLINK("https://www.walmart.com/ip/410899457", "410899457")</f>
        <v/>
      </c>
      <c r="B96" t="inlineStr">
        <is>
          <t>Sun Blocker Outdoor Sun Protection Cap with Neck Flap and Wide Brim, Sun Hat for Men and Women for Baseball, Backpacking, Cycling, Hiking, Garden, Hunting, and Camping, Gray</t>
        </is>
      </c>
      <c r="C96" t="inlineStr">
        <is>
          <t>KC-S9155-GY</t>
        </is>
      </c>
      <c r="D96" t="inlineStr">
        <is>
          <t>Hats</t>
        </is>
      </c>
      <c r="E96" t="inlineStr">
        <is>
          <t>Sun Blocker</t>
        </is>
      </c>
      <c r="F96" t="inlineStr">
        <is>
          <t>Q2-Target,Hats</t>
        </is>
      </c>
      <c r="G96" s="48" t="n">
        <v>24.98</v>
      </c>
      <c r="H96" s="48" t="n">
        <v>0</v>
      </c>
      <c r="I96" s="48" t="n">
        <v>0</v>
      </c>
      <c r="J96" s="48" t="n">
        <v>0</v>
      </c>
      <c r="K96" s="49" t="n">
        <v>1</v>
      </c>
      <c r="L96" s="49" t="n">
        <v>0</v>
      </c>
      <c r="M96" s="49" t="n">
        <v>0</v>
      </c>
      <c r="N96" s="49" t="n">
        <v>0</v>
      </c>
      <c r="O96" s="49" t="n">
        <v>0</v>
      </c>
      <c r="P96" s="49" t="n">
        <v>0</v>
      </c>
      <c r="Q96" s="49" t="n">
        <v>0</v>
      </c>
      <c r="R96" s="49" t="n">
        <v>0</v>
      </c>
      <c r="S96" s="50" t="n">
        <v>0</v>
      </c>
      <c r="T96" s="50" t="n">
        <v>0</v>
      </c>
      <c r="U96" s="50" t="n">
        <v>0</v>
      </c>
      <c r="V96" s="50" t="n">
        <v>0</v>
      </c>
      <c r="W96" s="51" t="n">
        <v>0</v>
      </c>
      <c r="X96" s="51" t="n">
        <v>0</v>
      </c>
      <c r="Y96" s="51" t="n">
        <v>0</v>
      </c>
      <c r="Z96" s="51" t="n">
        <v>0</v>
      </c>
      <c r="AA96" s="52" t="n">
        <v>0</v>
      </c>
      <c r="AB96" s="52" t="n">
        <v>0</v>
      </c>
      <c r="AC96" s="52" t="n">
        <v>0</v>
      </c>
      <c r="AD96" s="52" t="n">
        <v>0</v>
      </c>
      <c r="AE96" s="52" t="n">
        <v>0</v>
      </c>
      <c r="AF96" s="52" t="n">
        <v>0</v>
      </c>
      <c r="AG96" s="52" t="n">
        <v>0</v>
      </c>
      <c r="AH96" s="52" t="n">
        <v>0</v>
      </c>
      <c r="AI96" s="52" t="n">
        <v>0</v>
      </c>
      <c r="AJ96" s="52" t="n">
        <v>0</v>
      </c>
      <c r="AK96" s="52" t="n">
        <v>0</v>
      </c>
      <c r="AL96" s="52" t="n">
        <v>0</v>
      </c>
      <c r="AM96" s="53" t="n">
        <v>0</v>
      </c>
      <c r="AN96" s="53" t="n">
        <v>0</v>
      </c>
      <c r="AO96" s="53" t="n">
        <v>0</v>
      </c>
      <c r="AP96" s="53" t="n">
        <v>0</v>
      </c>
      <c r="AQ96" s="52" t="n">
        <v>0</v>
      </c>
      <c r="AR96" s="52" t="n">
        <v>0</v>
      </c>
      <c r="AS96" s="52" t="n">
        <v>0</v>
      </c>
      <c r="AT96" s="52" t="n">
        <v>0</v>
      </c>
      <c r="AU96" s="53" t="n">
        <v>0</v>
      </c>
      <c r="AV96" s="53" t="n">
        <v>0</v>
      </c>
      <c r="AW96" s="53" t="n">
        <v>0</v>
      </c>
      <c r="AX96" s="53" t="n">
        <v>0</v>
      </c>
      <c r="AY96" s="52" t="n">
        <v>24.98</v>
      </c>
      <c r="AZ96" s="52" t="n">
        <v>0</v>
      </c>
      <c r="BA96" s="52" t="n">
        <v>0</v>
      </c>
      <c r="BB96" s="52" t="n">
        <v>0</v>
      </c>
      <c r="BC96" s="51" t="n">
        <v>0</v>
      </c>
      <c r="BD96" s="51" t="n">
        <v>0</v>
      </c>
      <c r="BE96" s="51" t="n">
        <v>0</v>
      </c>
      <c r="BF96" s="51" t="n">
        <v>0</v>
      </c>
    </row>
    <row r="97">
      <c r="A97">
        <f>HYPERLINK("https://www.walmart.com/ip/849129071", "849129071")</f>
        <v/>
      </c>
      <c r="B97" t="inlineStr">
        <is>
          <t>Kritter Planet Waterproof Dog Blanket for Couch, Washable Pet Couch Cover, Non-slip Bed Sofa Furniture Protector Mat, Gray, 60''x80''.</t>
        </is>
      </c>
      <c r="C97" t="inlineStr">
        <is>
          <t>1KPBW686GY</t>
        </is>
      </c>
      <c r="D97" t="inlineStr">
        <is>
          <t>Pet Blankets</t>
        </is>
      </c>
      <c r="E97" t="inlineStr">
        <is>
          <t>Kritter Planet</t>
        </is>
      </c>
      <c r="F97" t="inlineStr">
        <is>
          <t>Q2-Target,Optimized</t>
        </is>
      </c>
      <c r="G97" s="48" t="n">
        <v>23.99</v>
      </c>
      <c r="H97" s="48" t="n">
        <v>23.99</v>
      </c>
      <c r="I97" s="48" t="n">
        <v>24.99</v>
      </c>
      <c r="J97" s="48" t="n">
        <v>23.99</v>
      </c>
      <c r="K97" s="49" t="n">
        <v>1</v>
      </c>
      <c r="L97" s="49" t="n">
        <v>1</v>
      </c>
      <c r="M97" s="49" t="n">
        <v>1</v>
      </c>
      <c r="N97" s="49" t="n">
        <v>1</v>
      </c>
      <c r="O97" s="49" t="n">
        <v>10</v>
      </c>
      <c r="P97" s="49" t="n">
        <v>9</v>
      </c>
      <c r="Q97" s="49" t="n">
        <v>12</v>
      </c>
      <c r="R97" s="49" t="n">
        <v>11</v>
      </c>
      <c r="S97" s="50" t="n">
        <v>0.1</v>
      </c>
      <c r="T97" s="50" t="n">
        <v>0.1111111111111111</v>
      </c>
      <c r="U97" s="50" t="n">
        <v>0.08333333333333333</v>
      </c>
      <c r="V97" s="50" t="n">
        <v>0.09090909090909091</v>
      </c>
      <c r="W97" s="51" t="n">
        <v>4</v>
      </c>
      <c r="X97" s="51" t="n">
        <v>6</v>
      </c>
      <c r="Y97" s="51" t="n">
        <v>2</v>
      </c>
      <c r="Z97" s="51" t="n">
        <v>4</v>
      </c>
      <c r="AA97" s="52" t="n">
        <v>0.84</v>
      </c>
      <c r="AB97" s="52" t="n">
        <v>1.26</v>
      </c>
      <c r="AC97" s="52" t="n">
        <v>0.42</v>
      </c>
      <c r="AD97" s="52" t="n">
        <v>0.84</v>
      </c>
      <c r="AE97" s="52" t="n">
        <v>0</v>
      </c>
      <c r="AF97" s="52" t="n">
        <v>14.99</v>
      </c>
      <c r="AG97" s="52" t="n">
        <v>0</v>
      </c>
      <c r="AH97" s="52" t="n">
        <v>0</v>
      </c>
      <c r="AI97" s="52" t="n">
        <v>0</v>
      </c>
      <c r="AJ97" s="52" t="n">
        <v>11.9</v>
      </c>
      <c r="AK97" s="52" t="n">
        <v>0</v>
      </c>
      <c r="AL97" s="52" t="n">
        <v>0</v>
      </c>
      <c r="AM97" s="53" t="n">
        <v>0.0022</v>
      </c>
      <c r="AN97" s="53" t="n">
        <v>0.0023</v>
      </c>
      <c r="AO97" s="53" t="n">
        <v>0.0005999999999999999</v>
      </c>
      <c r="AP97" s="53" t="n">
        <v>0.002</v>
      </c>
      <c r="AQ97" s="52" t="n">
        <v>0.21</v>
      </c>
      <c r="AR97" s="52" t="n">
        <v>0.21</v>
      </c>
      <c r="AS97" s="52" t="n">
        <v>0.21</v>
      </c>
      <c r="AT97" s="52" t="n">
        <v>0.21</v>
      </c>
      <c r="AU97" s="53" t="n">
        <v>0.03501458941225511</v>
      </c>
      <c r="AV97" s="53" t="n">
        <v>0.05252188411838266</v>
      </c>
      <c r="AW97" s="53" t="n">
        <v>0.01680672268907563</v>
      </c>
      <c r="AX97" s="53" t="n">
        <v>0.03501458941225511</v>
      </c>
      <c r="AY97" s="52" t="n">
        <v>23.99</v>
      </c>
      <c r="AZ97" s="52" t="n">
        <v>23.99</v>
      </c>
      <c r="BA97" s="52" t="n">
        <v>24.99</v>
      </c>
      <c r="BB97" s="52" t="n">
        <v>23.99</v>
      </c>
      <c r="BC97" s="51" t="n">
        <v>1807</v>
      </c>
      <c r="BD97" s="51" t="n">
        <v>2643</v>
      </c>
      <c r="BE97" s="51" t="n">
        <v>3607</v>
      </c>
      <c r="BF97" s="51" t="n">
        <v>1993</v>
      </c>
    </row>
    <row r="98">
      <c r="A98">
        <f>HYPERLINK("https://www.walmart.com/ip/2066581075", "2066581075")</f>
        <v/>
      </c>
      <c r="B98" t="inlineStr">
        <is>
          <t>Tirrinia Wearable Fleece Blanket for Women and Men, Super-Soft Microplush TV Blanket, Adult Wrap, Full Body Robe for Lounge Couch, Dalmation, 73" x 51"</t>
        </is>
      </c>
      <c r="C98" t="inlineStr">
        <is>
          <t>1TRSN100DMT-TBCB</t>
        </is>
      </c>
      <c r="D98" t="inlineStr">
        <is>
          <t>Throws</t>
        </is>
      </c>
      <c r="E98" t="inlineStr">
        <is>
          <t>Tirrinia</t>
        </is>
      </c>
      <c r="F98" t="inlineStr">
        <is>
          <t>Q2-Target,Coupon_Discount,Fleece Blankets</t>
        </is>
      </c>
      <c r="G98" s="48" t="n">
        <v>23.99</v>
      </c>
      <c r="H98" s="48" t="n">
        <v>0</v>
      </c>
      <c r="I98" s="48" t="n">
        <v>0</v>
      </c>
      <c r="J98" s="48" t="n">
        <v>0</v>
      </c>
      <c r="K98" s="49" t="n">
        <v>1</v>
      </c>
      <c r="L98" s="49" t="n">
        <v>0</v>
      </c>
      <c r="M98" s="49" t="n">
        <v>0</v>
      </c>
      <c r="N98" s="49" t="n">
        <v>0</v>
      </c>
      <c r="O98" s="49" t="n">
        <v>0</v>
      </c>
      <c r="P98" s="49" t="n">
        <v>0</v>
      </c>
      <c r="Q98" s="49" t="n">
        <v>0</v>
      </c>
      <c r="R98" s="49" t="n">
        <v>0</v>
      </c>
      <c r="S98" s="50" t="n">
        <v>0</v>
      </c>
      <c r="T98" s="50" t="n">
        <v>0</v>
      </c>
      <c r="U98" s="50" t="n">
        <v>0</v>
      </c>
      <c r="V98" s="50" t="n">
        <v>0</v>
      </c>
      <c r="W98" s="51" t="n">
        <v>0</v>
      </c>
      <c r="X98" s="51" t="n">
        <v>0</v>
      </c>
      <c r="Y98" s="51" t="n">
        <v>0</v>
      </c>
      <c r="Z98" s="51" t="n">
        <v>0</v>
      </c>
      <c r="AA98" s="52" t="n">
        <v>0</v>
      </c>
      <c r="AB98" s="52" t="n">
        <v>0</v>
      </c>
      <c r="AC98" s="52" t="n">
        <v>0</v>
      </c>
      <c r="AD98" s="52" t="n">
        <v>0</v>
      </c>
      <c r="AE98" s="52" t="n">
        <v>0</v>
      </c>
      <c r="AF98" s="52" t="n">
        <v>0</v>
      </c>
      <c r="AG98" s="52" t="n">
        <v>0</v>
      </c>
      <c r="AH98" s="52" t="n">
        <v>0</v>
      </c>
      <c r="AI98" s="52" t="n">
        <v>0</v>
      </c>
      <c r="AJ98" s="52" t="n">
        <v>0</v>
      </c>
      <c r="AK98" s="52" t="n">
        <v>0</v>
      </c>
      <c r="AL98" s="52" t="n">
        <v>0</v>
      </c>
      <c r="AM98" s="53" t="n">
        <v>0</v>
      </c>
      <c r="AN98" s="53" t="n">
        <v>0</v>
      </c>
      <c r="AO98" s="53" t="n">
        <v>0</v>
      </c>
      <c r="AP98" s="53" t="n">
        <v>0</v>
      </c>
      <c r="AQ98" s="52" t="n">
        <v>0</v>
      </c>
      <c r="AR98" s="52" t="n">
        <v>0</v>
      </c>
      <c r="AS98" s="52" t="n">
        <v>0</v>
      </c>
      <c r="AT98" s="52" t="n">
        <v>0</v>
      </c>
      <c r="AU98" s="53" t="n">
        <v>0</v>
      </c>
      <c r="AV98" s="53" t="n">
        <v>0</v>
      </c>
      <c r="AW98" s="53" t="n">
        <v>0</v>
      </c>
      <c r="AX98" s="53" t="n">
        <v>0</v>
      </c>
      <c r="AY98" s="52" t="n">
        <v>23.99</v>
      </c>
      <c r="AZ98" s="52" t="n">
        <v>0</v>
      </c>
      <c r="BA98" s="52" t="n">
        <v>0</v>
      </c>
      <c r="BB98" s="52" t="n">
        <v>0</v>
      </c>
      <c r="BC98" s="51" t="n">
        <v>0</v>
      </c>
      <c r="BD98" s="51" t="n">
        <v>0</v>
      </c>
      <c r="BE98" s="51" t="n">
        <v>0</v>
      </c>
      <c r="BF98" s="51" t="n">
        <v>0</v>
      </c>
    </row>
    <row r="99">
      <c r="A99">
        <f>HYPERLINK("https://www.walmart.com/ip/5691251411", "5691251411")</f>
        <v/>
      </c>
      <c r="B99" t="inlineStr">
        <is>
          <t>Tirrinia Insulated Cooler Bag-24 Cans Portable Collapsible Soft Sided Ice Chest, Leak-Proof with Zipper Cooler Box for Beach, Drink, Travel, Camping, Picnic</t>
        </is>
      </c>
      <c r="C99" t="inlineStr">
        <is>
          <t>1TRCB00324GYBK</t>
        </is>
      </c>
      <c r="D99" t="inlineStr">
        <is>
          <t>Soft-Sided Coolers</t>
        </is>
      </c>
      <c r="E99" t="inlineStr">
        <is>
          <t>Tirrinia</t>
        </is>
      </c>
      <c r="G99" s="48" t="n">
        <v>22.99</v>
      </c>
      <c r="H99" s="48" t="n">
        <v>22.99</v>
      </c>
      <c r="I99" s="48" t="n">
        <v>0</v>
      </c>
      <c r="J99" s="48" t="n">
        <v>0</v>
      </c>
      <c r="K99" s="49" t="n">
        <v>1</v>
      </c>
      <c r="L99" s="49" t="n">
        <v>1</v>
      </c>
      <c r="M99" s="49" t="n">
        <v>0</v>
      </c>
      <c r="N99" s="49" t="n">
        <v>0</v>
      </c>
      <c r="O99" s="49" t="n">
        <v>0</v>
      </c>
      <c r="P99" s="49" t="n">
        <v>0</v>
      </c>
      <c r="Q99" s="49" t="n">
        <v>0</v>
      </c>
      <c r="R99" s="49" t="n">
        <v>0</v>
      </c>
      <c r="S99" s="50" t="n">
        <v>0</v>
      </c>
      <c r="T99" s="50" t="n">
        <v>0</v>
      </c>
      <c r="U99" s="50" t="n">
        <v>0</v>
      </c>
      <c r="V99" s="50" t="n">
        <v>0</v>
      </c>
      <c r="W99" s="51" t="n">
        <v>0</v>
      </c>
      <c r="X99" s="51" t="n">
        <v>0</v>
      </c>
      <c r="Y99" s="51" t="n">
        <v>0</v>
      </c>
      <c r="Z99" s="51" t="n">
        <v>0</v>
      </c>
      <c r="AA99" s="52" t="n">
        <v>0</v>
      </c>
      <c r="AB99" s="52" t="n">
        <v>0</v>
      </c>
      <c r="AC99" s="52" t="n">
        <v>0</v>
      </c>
      <c r="AD99" s="52" t="n">
        <v>0</v>
      </c>
      <c r="AE99" s="52" t="n">
        <v>0</v>
      </c>
      <c r="AF99" s="52" t="n">
        <v>0</v>
      </c>
      <c r="AG99" s="52" t="n">
        <v>0</v>
      </c>
      <c r="AH99" s="52" t="n">
        <v>0</v>
      </c>
      <c r="AI99" s="52" t="n">
        <v>0</v>
      </c>
      <c r="AJ99" s="52" t="n">
        <v>0</v>
      </c>
      <c r="AK99" s="52" t="n">
        <v>0</v>
      </c>
      <c r="AL99" s="52" t="n">
        <v>0</v>
      </c>
      <c r="AM99" s="53" t="n">
        <v>0</v>
      </c>
      <c r="AN99" s="53" t="n">
        <v>0</v>
      </c>
      <c r="AO99" s="53" t="n">
        <v>0</v>
      </c>
      <c r="AP99" s="53" t="n">
        <v>0</v>
      </c>
      <c r="AQ99" s="52" t="n">
        <v>0</v>
      </c>
      <c r="AR99" s="52" t="n">
        <v>0</v>
      </c>
      <c r="AS99" s="52" t="n">
        <v>0</v>
      </c>
      <c r="AT99" s="52" t="n">
        <v>0</v>
      </c>
      <c r="AU99" s="53" t="n">
        <v>0</v>
      </c>
      <c r="AV99" s="53" t="n">
        <v>0</v>
      </c>
      <c r="AW99" s="53" t="n">
        <v>0</v>
      </c>
      <c r="AX99" s="53" t="n">
        <v>0</v>
      </c>
      <c r="AY99" s="52" t="n">
        <v>22.99</v>
      </c>
      <c r="AZ99" s="52" t="n">
        <v>22.99</v>
      </c>
      <c r="BA99" s="52" t="n">
        <v>0</v>
      </c>
      <c r="BB99" s="52" t="n">
        <v>0</v>
      </c>
      <c r="BC99" s="51" t="n">
        <v>0</v>
      </c>
      <c r="BD99" s="51" t="n">
        <v>0</v>
      </c>
      <c r="BE99" s="51" t="n">
        <v>0</v>
      </c>
      <c r="BF99" s="51" t="n">
        <v>0</v>
      </c>
    </row>
    <row r="100">
      <c r="A100">
        <f>HYPERLINK("https://www.walmart.com/ip/310981723", "310981723")</f>
        <v/>
      </c>
      <c r="B100" t="inlineStr">
        <is>
          <t>Kato Insulated Wine Carrier Bag - 4 Bottle Travel Padded Wine Carrying Cooler Tote with Handle and Shoulder Strap, Great Gift for Wine Lover, Gray</t>
        </is>
      </c>
      <c r="C100" t="inlineStr">
        <is>
          <t>1KTWB420GY</t>
        </is>
      </c>
      <c r="D100" t="inlineStr">
        <is>
          <t>Wine Totes, Bags &amp; Backpacks</t>
        </is>
      </c>
      <c r="E100" t="inlineStr">
        <is>
          <t>Kato</t>
        </is>
      </c>
      <c r="F100" t="inlineStr">
        <is>
          <t>Wine,Christmas,Wine WFS,Valentine,WFS Item,Lily Brand Camp</t>
        </is>
      </c>
      <c r="G100" s="48" t="n">
        <v>22.99</v>
      </c>
      <c r="H100" s="48" t="n">
        <v>22.99</v>
      </c>
      <c r="I100" s="48" t="n">
        <v>0</v>
      </c>
      <c r="J100" s="48" t="n">
        <v>0</v>
      </c>
      <c r="K100" s="49" t="n">
        <v>1</v>
      </c>
      <c r="L100" s="49" t="n">
        <v>1</v>
      </c>
      <c r="M100" s="49" t="n">
        <v>0</v>
      </c>
      <c r="N100" s="49" t="n">
        <v>0</v>
      </c>
      <c r="O100" s="49" t="n">
        <v>0</v>
      </c>
      <c r="P100" s="49" t="n">
        <v>0</v>
      </c>
      <c r="Q100" s="49" t="n">
        <v>0</v>
      </c>
      <c r="R100" s="49" t="n">
        <v>0</v>
      </c>
      <c r="S100" s="50" t="n">
        <v>0</v>
      </c>
      <c r="T100" s="50" t="n">
        <v>0</v>
      </c>
      <c r="U100" s="50" t="n">
        <v>0</v>
      </c>
      <c r="V100" s="50" t="n">
        <v>0</v>
      </c>
      <c r="W100" s="51" t="n">
        <v>3</v>
      </c>
      <c r="X100" s="51" t="n">
        <v>0</v>
      </c>
      <c r="Y100" s="51" t="n">
        <v>0</v>
      </c>
      <c r="Z100" s="51" t="n">
        <v>2</v>
      </c>
      <c r="AA100" s="52" t="n">
        <v>1.33</v>
      </c>
      <c r="AB100" s="52" t="n">
        <v>0</v>
      </c>
      <c r="AC100" s="52" t="n">
        <v>0</v>
      </c>
      <c r="AD100" s="52" t="n">
        <v>0.9</v>
      </c>
      <c r="AE100" s="52" t="n">
        <v>0</v>
      </c>
      <c r="AF100" s="52" t="n">
        <v>0</v>
      </c>
      <c r="AG100" s="52" t="n">
        <v>0</v>
      </c>
      <c r="AH100" s="52" t="n">
        <v>0</v>
      </c>
      <c r="AI100" s="52" t="n">
        <v>0</v>
      </c>
      <c r="AJ100" s="52" t="n">
        <v>0</v>
      </c>
      <c r="AK100" s="52" t="n">
        <v>0</v>
      </c>
      <c r="AL100" s="52" t="n">
        <v>0</v>
      </c>
      <c r="AM100" s="53" t="n">
        <v>0.0033</v>
      </c>
      <c r="AN100" s="53" t="n">
        <v>0</v>
      </c>
      <c r="AO100" s="53" t="n">
        <v>0</v>
      </c>
      <c r="AP100" s="53" t="n">
        <v>0.0044</v>
      </c>
      <c r="AQ100" s="52" t="n">
        <v>0.4433333333333334</v>
      </c>
      <c r="AR100" s="52" t="n">
        <v>0</v>
      </c>
      <c r="AS100" s="52" t="n">
        <v>0</v>
      </c>
      <c r="AT100" s="52" t="n">
        <v>0.45</v>
      </c>
      <c r="AU100" s="53" t="n">
        <v>0.0578512396694215</v>
      </c>
      <c r="AV100" s="53" t="n">
        <v>0</v>
      </c>
      <c r="AW100" s="53" t="n">
        <v>0</v>
      </c>
      <c r="AX100" s="53" t="n">
        <v>0</v>
      </c>
      <c r="AY100" s="52" t="n">
        <v>22.99</v>
      </c>
      <c r="AZ100" s="52" t="n">
        <v>22.99</v>
      </c>
      <c r="BA100" s="52" t="n">
        <v>0</v>
      </c>
      <c r="BB100" s="52" t="n">
        <v>0</v>
      </c>
      <c r="BC100" s="51" t="n">
        <v>920</v>
      </c>
      <c r="BD100" s="51" t="n">
        <v>297</v>
      </c>
      <c r="BE100" s="51" t="n">
        <v>360</v>
      </c>
      <c r="BF100" s="51" t="n">
        <v>451</v>
      </c>
    </row>
    <row r="101">
      <c r="A101">
        <f>HYPERLINK("https://www.walmart.com/ip/5594586798", "5594586798")</f>
        <v/>
      </c>
      <c r="B101" t="inlineStr">
        <is>
          <t>Tirrinia Insulated Cooler Bag-24 Cans Portable Collapsible Soft Sided Ice Chest, Leak-Proof with Zipper Cooler Box for Beach, Drink, Travel, Camping, Picnic</t>
        </is>
      </c>
      <c r="C101" t="inlineStr">
        <is>
          <t>1TRCB00324BK</t>
        </is>
      </c>
      <c r="D101" t="inlineStr">
        <is>
          <t>Soft-Sided Coolers</t>
        </is>
      </c>
      <c r="E101" t="inlineStr">
        <is>
          <t>Tirrinia</t>
        </is>
      </c>
      <c r="G101" s="48" t="n">
        <v>22.99</v>
      </c>
      <c r="H101" s="48" t="n">
        <v>0</v>
      </c>
      <c r="I101" s="48" t="n">
        <v>0</v>
      </c>
      <c r="J101" s="48" t="n">
        <v>22.99</v>
      </c>
      <c r="K101" s="49" t="n">
        <v>1</v>
      </c>
      <c r="L101" s="49" t="n">
        <v>0</v>
      </c>
      <c r="M101" s="49" t="n">
        <v>0</v>
      </c>
      <c r="N101" s="49" t="n">
        <v>1</v>
      </c>
      <c r="O101" s="49" t="n">
        <v>0</v>
      </c>
      <c r="P101" s="49" t="n">
        <v>0</v>
      </c>
      <c r="Q101" s="49" t="n">
        <v>0</v>
      </c>
      <c r="R101" s="49" t="n">
        <v>0</v>
      </c>
      <c r="S101" s="50" t="n">
        <v>0</v>
      </c>
      <c r="T101" s="50" t="n">
        <v>0</v>
      </c>
      <c r="U101" s="50" t="n">
        <v>0</v>
      </c>
      <c r="V101" s="50" t="n">
        <v>0</v>
      </c>
      <c r="W101" s="51" t="n">
        <v>0</v>
      </c>
      <c r="X101" s="51" t="n">
        <v>0</v>
      </c>
      <c r="Y101" s="51" t="n">
        <v>0</v>
      </c>
      <c r="Z101" s="51" t="n">
        <v>0</v>
      </c>
      <c r="AA101" s="52" t="n">
        <v>0</v>
      </c>
      <c r="AB101" s="52" t="n">
        <v>0</v>
      </c>
      <c r="AC101" s="52" t="n">
        <v>0</v>
      </c>
      <c r="AD101" s="52" t="n">
        <v>0</v>
      </c>
      <c r="AE101" s="52" t="n">
        <v>0</v>
      </c>
      <c r="AF101" s="52" t="n">
        <v>0</v>
      </c>
      <c r="AG101" s="52" t="n">
        <v>0</v>
      </c>
      <c r="AH101" s="52" t="n">
        <v>0</v>
      </c>
      <c r="AI101" s="52" t="n">
        <v>0</v>
      </c>
      <c r="AJ101" s="52" t="n">
        <v>0</v>
      </c>
      <c r="AK101" s="52" t="n">
        <v>0</v>
      </c>
      <c r="AL101" s="52" t="n">
        <v>0</v>
      </c>
      <c r="AM101" s="53" t="n">
        <v>0</v>
      </c>
      <c r="AN101" s="53" t="n">
        <v>0</v>
      </c>
      <c r="AO101" s="53" t="n">
        <v>0</v>
      </c>
      <c r="AP101" s="53" t="n">
        <v>0</v>
      </c>
      <c r="AQ101" s="52" t="n">
        <v>0</v>
      </c>
      <c r="AR101" s="52" t="n">
        <v>0</v>
      </c>
      <c r="AS101" s="52" t="n">
        <v>0</v>
      </c>
      <c r="AT101" s="52" t="n">
        <v>0</v>
      </c>
      <c r="AU101" s="53" t="n">
        <v>0</v>
      </c>
      <c r="AV101" s="53" t="n">
        <v>0</v>
      </c>
      <c r="AW101" s="53" t="n">
        <v>0</v>
      </c>
      <c r="AX101" s="53" t="n">
        <v>0</v>
      </c>
      <c r="AY101" s="52" t="n">
        <v>22.99</v>
      </c>
      <c r="AZ101" s="52" t="n">
        <v>0</v>
      </c>
      <c r="BA101" s="52" t="n">
        <v>0</v>
      </c>
      <c r="BB101" s="52" t="n">
        <v>22.99</v>
      </c>
      <c r="BC101" s="51" t="n">
        <v>0</v>
      </c>
      <c r="BD101" s="51" t="n">
        <v>0</v>
      </c>
      <c r="BE101" s="51" t="n">
        <v>0</v>
      </c>
      <c r="BF101" s="51" t="n">
        <v>0</v>
      </c>
    </row>
    <row r="102">
      <c r="A102">
        <f>HYPERLINK("https://www.walmart.com/ip/1189650495", "1189650495")</f>
        <v/>
      </c>
      <c r="B102" t="inlineStr">
        <is>
          <t>Tirrinia Indoor/Outdoor Blanket, Foldable Picnic Blanket, Waterproof Blanket for Sand and Grass picnics, Green Camouflage, 50" x 60"</t>
        </is>
      </c>
      <c r="C102" t="inlineStr">
        <is>
          <t>1TRBW00156GNCAMO</t>
        </is>
      </c>
      <c r="D102" t="inlineStr">
        <is>
          <t>Picnic Blankets &amp; Mats</t>
        </is>
      </c>
      <c r="E102" t="inlineStr">
        <is>
          <t>Tirrinia</t>
        </is>
      </c>
      <c r="F102" t="inlineStr">
        <is>
          <t>Wproof Blanket</t>
        </is>
      </c>
      <c r="G102" s="48" t="n">
        <v>22.99</v>
      </c>
      <c r="H102" s="48" t="n">
        <v>0</v>
      </c>
      <c r="I102" s="48" t="n">
        <v>0</v>
      </c>
      <c r="J102" s="48" t="n">
        <v>0</v>
      </c>
      <c r="K102" s="49" t="n">
        <v>1</v>
      </c>
      <c r="L102" s="49" t="n">
        <v>0</v>
      </c>
      <c r="M102" s="49" t="n">
        <v>0</v>
      </c>
      <c r="N102" s="49" t="n">
        <v>0</v>
      </c>
      <c r="O102" s="49" t="n">
        <v>0</v>
      </c>
      <c r="P102" s="49" t="n">
        <v>0</v>
      </c>
      <c r="Q102" s="49" t="n">
        <v>0</v>
      </c>
      <c r="R102" s="49" t="n">
        <v>0</v>
      </c>
      <c r="S102" s="50" t="n">
        <v>0</v>
      </c>
      <c r="T102" s="50" t="n">
        <v>0</v>
      </c>
      <c r="U102" s="50" t="n">
        <v>0</v>
      </c>
      <c r="V102" s="50" t="n">
        <v>0</v>
      </c>
      <c r="W102" s="51" t="n">
        <v>0</v>
      </c>
      <c r="X102" s="51" t="n">
        <v>0</v>
      </c>
      <c r="Y102" s="51" t="n">
        <v>0</v>
      </c>
      <c r="Z102" s="51" t="n">
        <v>0</v>
      </c>
      <c r="AA102" s="52" t="n">
        <v>0</v>
      </c>
      <c r="AB102" s="52" t="n">
        <v>0</v>
      </c>
      <c r="AC102" s="52" t="n">
        <v>0</v>
      </c>
      <c r="AD102" s="52" t="n">
        <v>0</v>
      </c>
      <c r="AE102" s="52" t="n">
        <v>0</v>
      </c>
      <c r="AF102" s="52" t="n">
        <v>0</v>
      </c>
      <c r="AG102" s="52" t="n">
        <v>0</v>
      </c>
      <c r="AH102" s="52" t="n">
        <v>0</v>
      </c>
      <c r="AI102" s="52" t="n">
        <v>0</v>
      </c>
      <c r="AJ102" s="52" t="n">
        <v>0</v>
      </c>
      <c r="AK102" s="52" t="n">
        <v>0</v>
      </c>
      <c r="AL102" s="52" t="n">
        <v>0</v>
      </c>
      <c r="AM102" s="53" t="n">
        <v>0</v>
      </c>
      <c r="AN102" s="53" t="n">
        <v>0</v>
      </c>
      <c r="AO102" s="53" t="n">
        <v>0</v>
      </c>
      <c r="AP102" s="53" t="n">
        <v>0</v>
      </c>
      <c r="AQ102" s="52" t="n">
        <v>0</v>
      </c>
      <c r="AR102" s="52" t="n">
        <v>0</v>
      </c>
      <c r="AS102" s="52" t="n">
        <v>0</v>
      </c>
      <c r="AT102" s="52" t="n">
        <v>0</v>
      </c>
      <c r="AU102" s="53" t="n">
        <v>0</v>
      </c>
      <c r="AV102" s="53" t="n">
        <v>0</v>
      </c>
      <c r="AW102" s="53" t="n">
        <v>0</v>
      </c>
      <c r="AX102" s="53" t="n">
        <v>0</v>
      </c>
      <c r="AY102" s="52" t="n">
        <v>22.99</v>
      </c>
      <c r="AZ102" s="52" t="n">
        <v>0</v>
      </c>
      <c r="BA102" s="52" t="n">
        <v>0</v>
      </c>
      <c r="BB102" s="52" t="n">
        <v>0</v>
      </c>
      <c r="BC102" s="51" t="n">
        <v>0</v>
      </c>
      <c r="BD102" s="51" t="n">
        <v>0</v>
      </c>
      <c r="BE102" s="51" t="n">
        <v>0</v>
      </c>
      <c r="BF102" s="51" t="n">
        <v>0</v>
      </c>
    </row>
    <row r="103">
      <c r="A103">
        <f>HYPERLINK("https://www.walmart.com/ip/5508918359", "5508918359")</f>
        <v/>
      </c>
      <c r="B103" t="inlineStr">
        <is>
          <t>Tirrinia Large Insulated Cooler Bag Outdoor Leakproof Cooler Tote Portable Freezer Bag with Adjustable Shoulder Strap for Picnic, Beach</t>
        </is>
      </c>
      <c r="C103" t="inlineStr">
        <is>
          <t>1TRCB00224BK</t>
        </is>
      </c>
      <c r="D103" t="inlineStr">
        <is>
          <t>Soft-Sided Coolers</t>
        </is>
      </c>
      <c r="E103" t="inlineStr">
        <is>
          <t>Tirrinia</t>
        </is>
      </c>
      <c r="G103" s="48" t="n">
        <v>21.99</v>
      </c>
      <c r="H103" s="48" t="n">
        <v>0</v>
      </c>
      <c r="I103" s="48" t="n">
        <v>0</v>
      </c>
      <c r="J103" s="48" t="n">
        <v>0</v>
      </c>
      <c r="K103" s="49" t="n">
        <v>1</v>
      </c>
      <c r="L103" s="49" t="n">
        <v>0</v>
      </c>
      <c r="M103" s="49" t="n">
        <v>0</v>
      </c>
      <c r="N103" s="49" t="n">
        <v>0</v>
      </c>
      <c r="O103" s="49" t="n">
        <v>0</v>
      </c>
      <c r="P103" s="49" t="n">
        <v>0</v>
      </c>
      <c r="Q103" s="49" t="n">
        <v>0</v>
      </c>
      <c r="R103" s="49" t="n">
        <v>0</v>
      </c>
      <c r="S103" s="50" t="n">
        <v>0</v>
      </c>
      <c r="T103" s="50" t="n">
        <v>0</v>
      </c>
      <c r="U103" s="50" t="n">
        <v>0</v>
      </c>
      <c r="V103" s="50" t="n">
        <v>0</v>
      </c>
      <c r="W103" s="51" t="n">
        <v>0</v>
      </c>
      <c r="X103" s="51" t="n">
        <v>0</v>
      </c>
      <c r="Y103" s="51" t="n">
        <v>0</v>
      </c>
      <c r="Z103" s="51" t="n">
        <v>0</v>
      </c>
      <c r="AA103" s="52" t="n">
        <v>0</v>
      </c>
      <c r="AB103" s="52" t="n">
        <v>0</v>
      </c>
      <c r="AC103" s="52" t="n">
        <v>0</v>
      </c>
      <c r="AD103" s="52" t="n">
        <v>0</v>
      </c>
      <c r="AE103" s="52" t="n">
        <v>0</v>
      </c>
      <c r="AF103" s="52" t="n">
        <v>0</v>
      </c>
      <c r="AG103" s="52" t="n">
        <v>0</v>
      </c>
      <c r="AH103" s="52" t="n">
        <v>0</v>
      </c>
      <c r="AI103" s="52" t="n">
        <v>0</v>
      </c>
      <c r="AJ103" s="52" t="n">
        <v>0</v>
      </c>
      <c r="AK103" s="52" t="n">
        <v>0</v>
      </c>
      <c r="AL103" s="52" t="n">
        <v>0</v>
      </c>
      <c r="AM103" s="53" t="n">
        <v>0</v>
      </c>
      <c r="AN103" s="53" t="n">
        <v>0</v>
      </c>
      <c r="AO103" s="53" t="n">
        <v>0</v>
      </c>
      <c r="AP103" s="53" t="n">
        <v>0</v>
      </c>
      <c r="AQ103" s="52" t="n">
        <v>0</v>
      </c>
      <c r="AR103" s="52" t="n">
        <v>0</v>
      </c>
      <c r="AS103" s="52" t="n">
        <v>0</v>
      </c>
      <c r="AT103" s="52" t="n">
        <v>0</v>
      </c>
      <c r="AU103" s="53" t="n">
        <v>0</v>
      </c>
      <c r="AV103" s="53" t="n">
        <v>0</v>
      </c>
      <c r="AW103" s="53" t="n">
        <v>0</v>
      </c>
      <c r="AX103" s="53" t="n">
        <v>0</v>
      </c>
      <c r="AY103" s="52" t="n">
        <v>21.99</v>
      </c>
      <c r="AZ103" s="52" t="n">
        <v>0</v>
      </c>
      <c r="BA103" s="52" t="n">
        <v>0</v>
      </c>
      <c r="BB103" s="52" t="n">
        <v>0</v>
      </c>
      <c r="BC103" s="51" t="n">
        <v>0</v>
      </c>
      <c r="BD103" s="51" t="n">
        <v>0</v>
      </c>
      <c r="BE103" s="51" t="n">
        <v>0</v>
      </c>
      <c r="BF103" s="51" t="n">
        <v>0</v>
      </c>
    </row>
    <row r="104">
      <c r="A104">
        <f>HYPERLINK("https://www.walmart.com/ip/474235521", "474235521")</f>
        <v/>
      </c>
      <c r="B104" t="inlineStr">
        <is>
          <t>6 Bottle Wine Carrier,  Insulated and Padded Wine Carrying Cooler Tote Bag with Handle and Adjustable Shoulder Strap for Travel or Picnic, Wine Lover Gift, Oliver, 8.6" x 7.1" x 12.5".</t>
        </is>
      </c>
      <c r="C104" t="inlineStr">
        <is>
          <t>1TRWB620OL</t>
        </is>
      </c>
      <c r="D104" t="inlineStr">
        <is>
          <t>Wine Totes, Bags &amp; Backpacks</t>
        </is>
      </c>
      <c r="E104" t="inlineStr">
        <is>
          <t>Tirrinia</t>
        </is>
      </c>
      <c r="F104" t="inlineStr">
        <is>
          <t>Wine,Christmas,WFS,Wine WFS,Valentine,WFS Item,Lily Brand Camp</t>
        </is>
      </c>
      <c r="G104" s="48" t="n">
        <v>21.99</v>
      </c>
      <c r="H104" s="48" t="n">
        <v>0</v>
      </c>
      <c r="I104" s="48" t="n">
        <v>0</v>
      </c>
      <c r="J104" s="48" t="n">
        <v>0</v>
      </c>
      <c r="K104" s="49" t="n">
        <v>1</v>
      </c>
      <c r="L104" s="49" t="n">
        <v>0</v>
      </c>
      <c r="M104" s="49" t="n">
        <v>0</v>
      </c>
      <c r="N104" s="49" t="n">
        <v>0</v>
      </c>
      <c r="O104" s="49" t="n">
        <v>0</v>
      </c>
      <c r="P104" s="49" t="n">
        <v>0</v>
      </c>
      <c r="Q104" s="49" t="n">
        <v>0</v>
      </c>
      <c r="R104" s="49" t="n">
        <v>0</v>
      </c>
      <c r="S104" s="50" t="n">
        <v>0</v>
      </c>
      <c r="T104" s="50" t="n">
        <v>0</v>
      </c>
      <c r="U104" s="50" t="n">
        <v>0</v>
      </c>
      <c r="V104" s="50" t="n">
        <v>0</v>
      </c>
      <c r="W104" s="51" t="n">
        <v>3</v>
      </c>
      <c r="X104" s="51" t="n">
        <v>2</v>
      </c>
      <c r="Y104" s="51" t="n">
        <v>0</v>
      </c>
      <c r="Z104" s="51" t="n">
        <v>0</v>
      </c>
      <c r="AA104" s="52" t="n">
        <v>1.2</v>
      </c>
      <c r="AB104" s="52" t="n">
        <v>0.8</v>
      </c>
      <c r="AC104" s="52" t="n">
        <v>0</v>
      </c>
      <c r="AD104" s="52" t="n">
        <v>0</v>
      </c>
      <c r="AE104" s="52" t="n">
        <v>21.99</v>
      </c>
      <c r="AF104" s="52" t="n">
        <v>0</v>
      </c>
      <c r="AG104" s="52" t="n">
        <v>0</v>
      </c>
      <c r="AH104" s="52" t="n">
        <v>0</v>
      </c>
      <c r="AI104" s="52" t="n">
        <v>18.32</v>
      </c>
      <c r="AJ104" s="52" t="n">
        <v>0</v>
      </c>
      <c r="AK104" s="52" t="n">
        <v>0</v>
      </c>
      <c r="AL104" s="52" t="n">
        <v>0</v>
      </c>
      <c r="AM104" s="53" t="n">
        <v>0.0005999999999999999</v>
      </c>
      <c r="AN104" s="53" t="n">
        <v>0.0005</v>
      </c>
      <c r="AO104" s="53" t="n">
        <v>0</v>
      </c>
      <c r="AP104" s="53" t="n">
        <v>0</v>
      </c>
      <c r="AQ104" s="52" t="n">
        <v>0.4000000000000001</v>
      </c>
      <c r="AR104" s="52" t="n">
        <v>0.4</v>
      </c>
      <c r="AS104" s="52" t="n">
        <v>0</v>
      </c>
      <c r="AT104" s="52" t="n">
        <v>0</v>
      </c>
      <c r="AU104" s="53" t="n">
        <v>0.05457025920873125</v>
      </c>
      <c r="AV104" s="53" t="n">
        <v>0</v>
      </c>
      <c r="AW104" s="53" t="n">
        <v>0</v>
      </c>
      <c r="AX104" s="53" t="n">
        <v>0</v>
      </c>
      <c r="AY104" s="52" t="n">
        <v>21.99</v>
      </c>
      <c r="AZ104" s="52" t="n">
        <v>0</v>
      </c>
      <c r="BA104" s="52" t="n">
        <v>0</v>
      </c>
      <c r="BB104" s="52" t="n">
        <v>0</v>
      </c>
      <c r="BC104" s="51" t="n">
        <v>4809</v>
      </c>
      <c r="BD104" s="51" t="n">
        <v>4293</v>
      </c>
      <c r="BE104" s="51" t="n">
        <v>2953</v>
      </c>
      <c r="BF104" s="51" t="n">
        <v>2896</v>
      </c>
    </row>
    <row r="105">
      <c r="A105">
        <f>HYPERLINK("https://www.walmart.com/ip/1815222738", "1815222738")</f>
        <v/>
      </c>
      <c r="B105" t="inlineStr">
        <is>
          <t>Tirrinia Insulated Cooler Toto Lunch Bag, Thermos Organizer Container, Camo, 8.5" x 4" x 9.5"</t>
        </is>
      </c>
      <c r="C105" t="inlineStr">
        <is>
          <t>1TRLB100CAMO</t>
        </is>
      </c>
      <c r="D105" t="inlineStr">
        <is>
          <t>Reusable Lunch Bags &amp; Boxes</t>
        </is>
      </c>
      <c r="E105" t="inlineStr">
        <is>
          <t>Tirrinia</t>
        </is>
      </c>
      <c r="F105" t="inlineStr">
        <is>
          <t>Q2-Target,Brand Camp VD,SEM,Batch 1 - TR</t>
        </is>
      </c>
      <c r="G105" s="48" t="n">
        <v>21.98</v>
      </c>
      <c r="H105" s="48" t="n">
        <v>-10.99</v>
      </c>
      <c r="I105" s="48" t="n">
        <v>21.98</v>
      </c>
      <c r="J105" s="48" t="n">
        <v>21.98</v>
      </c>
      <c r="K105" s="49" t="n">
        <v>2</v>
      </c>
      <c r="L105" s="49" t="n">
        <v>-1</v>
      </c>
      <c r="M105" s="49" t="n">
        <v>2</v>
      </c>
      <c r="N105" s="49" t="n">
        <v>2</v>
      </c>
      <c r="O105" s="49" t="n">
        <v>10</v>
      </c>
      <c r="P105" s="49" t="n">
        <v>12</v>
      </c>
      <c r="Q105" s="49" t="n">
        <v>14</v>
      </c>
      <c r="R105" s="49" t="n">
        <v>12</v>
      </c>
      <c r="S105" s="50" t="n">
        <v>0.2</v>
      </c>
      <c r="T105" s="50" t="n">
        <v>-0.08333333333333333</v>
      </c>
      <c r="U105" s="50" t="n">
        <v>0.1428571428571428</v>
      </c>
      <c r="V105" s="50" t="n">
        <v>0.1666666666666667</v>
      </c>
      <c r="W105" s="51" t="n">
        <v>0</v>
      </c>
      <c r="X105" s="51" t="n">
        <v>0</v>
      </c>
      <c r="Y105" s="51" t="n">
        <v>0</v>
      </c>
      <c r="Z105" s="51" t="n">
        <v>0</v>
      </c>
      <c r="AA105" s="52" t="n">
        <v>0</v>
      </c>
      <c r="AB105" s="52" t="n">
        <v>0</v>
      </c>
      <c r="AC105" s="52" t="n">
        <v>0</v>
      </c>
      <c r="AD105" s="52" t="n">
        <v>0</v>
      </c>
      <c r="AE105" s="52" t="n">
        <v>0</v>
      </c>
      <c r="AF105" s="52" t="n">
        <v>0</v>
      </c>
      <c r="AG105" s="52" t="n">
        <v>0</v>
      </c>
      <c r="AH105" s="52" t="n">
        <v>0</v>
      </c>
      <c r="AI105" s="52" t="n">
        <v>0</v>
      </c>
      <c r="AJ105" s="52" t="n">
        <v>0</v>
      </c>
      <c r="AK105" s="52" t="n">
        <v>0</v>
      </c>
      <c r="AL105" s="52" t="n">
        <v>0</v>
      </c>
      <c r="AM105" s="53" t="n">
        <v>0</v>
      </c>
      <c r="AN105" s="53" t="n">
        <v>0</v>
      </c>
      <c r="AO105" s="53" t="n">
        <v>0</v>
      </c>
      <c r="AP105" s="53" t="n">
        <v>0</v>
      </c>
      <c r="AQ105" s="52" t="n">
        <v>0</v>
      </c>
      <c r="AR105" s="52" t="n">
        <v>0</v>
      </c>
      <c r="AS105" s="52" t="n">
        <v>0</v>
      </c>
      <c r="AT105" s="52" t="n">
        <v>0</v>
      </c>
      <c r="AU105" s="53" t="n">
        <v>0</v>
      </c>
      <c r="AV105" s="53" t="n">
        <v>0</v>
      </c>
      <c r="AW105" s="53" t="n">
        <v>0</v>
      </c>
      <c r="AX105" s="53" t="n">
        <v>0</v>
      </c>
      <c r="AY105" s="52" t="n">
        <v>10.99</v>
      </c>
      <c r="AZ105" s="52" t="n">
        <v>0</v>
      </c>
      <c r="BA105" s="52" t="n">
        <v>10.99</v>
      </c>
      <c r="BB105" s="52" t="n">
        <v>10.99</v>
      </c>
      <c r="BC105" s="51" t="n">
        <v>0</v>
      </c>
      <c r="BD105" s="51" t="n">
        <v>0</v>
      </c>
      <c r="BE105" s="51" t="n">
        <v>0</v>
      </c>
      <c r="BF105" s="51" t="n">
        <v>0</v>
      </c>
    </row>
    <row r="106">
      <c r="A106">
        <f>HYPERLINK("https://www.walmart.com/ip/634503661", "634503661")</f>
        <v/>
      </c>
      <c r="B106" t="inlineStr">
        <is>
          <t>Kato 9 Cans Small Insulated Lunch Bag, Mini Thermal Portable Cooler Lunch Box Tote with Dual Zipper Closure for Student Men and Women, Back to School</t>
        </is>
      </c>
      <c r="C106" t="inlineStr">
        <is>
          <t>1KTLB100GN</t>
        </is>
      </c>
      <c r="D106" t="inlineStr">
        <is>
          <t>Reusable Lunch Bags &amp; Boxes</t>
        </is>
      </c>
      <c r="E106" t="inlineStr">
        <is>
          <t>Kato</t>
        </is>
      </c>
      <c r="F106" t="inlineStr">
        <is>
          <t>Q2-Target,Lunch Bag,Optimized,Lunch Bags,SEM</t>
        </is>
      </c>
      <c r="G106" s="48" t="n">
        <v>21.98</v>
      </c>
      <c r="H106" s="48" t="n">
        <v>0</v>
      </c>
      <c r="I106" s="48" t="n">
        <v>0</v>
      </c>
      <c r="J106" s="48" t="n">
        <v>0</v>
      </c>
      <c r="K106" s="49" t="n">
        <v>2</v>
      </c>
      <c r="L106" s="49" t="n">
        <v>0</v>
      </c>
      <c r="M106" s="49" t="n">
        <v>0</v>
      </c>
      <c r="N106" s="49" t="n">
        <v>0</v>
      </c>
      <c r="O106" s="49" t="n">
        <v>0</v>
      </c>
      <c r="P106" s="49" t="n">
        <v>0</v>
      </c>
      <c r="Q106" s="49" t="n">
        <v>0</v>
      </c>
      <c r="R106" s="49" t="n">
        <v>3</v>
      </c>
      <c r="S106" s="50" t="n">
        <v>0</v>
      </c>
      <c r="T106" s="50" t="n">
        <v>0</v>
      </c>
      <c r="U106" s="50" t="n">
        <v>0</v>
      </c>
      <c r="V106" s="50" t="n">
        <v>0</v>
      </c>
      <c r="W106" s="51" t="n">
        <v>0</v>
      </c>
      <c r="X106" s="51" t="n">
        <v>0</v>
      </c>
      <c r="Y106" s="51" t="n">
        <v>0</v>
      </c>
      <c r="Z106" s="51" t="n">
        <v>0</v>
      </c>
      <c r="AA106" s="52" t="n">
        <v>0</v>
      </c>
      <c r="AB106" s="52" t="n">
        <v>0</v>
      </c>
      <c r="AC106" s="52" t="n">
        <v>0</v>
      </c>
      <c r="AD106" s="52" t="n">
        <v>0</v>
      </c>
      <c r="AE106" s="52" t="n">
        <v>0</v>
      </c>
      <c r="AF106" s="52" t="n">
        <v>0</v>
      </c>
      <c r="AG106" s="52" t="n">
        <v>0</v>
      </c>
      <c r="AH106" s="52" t="n">
        <v>0</v>
      </c>
      <c r="AI106" s="52" t="n">
        <v>0</v>
      </c>
      <c r="AJ106" s="52" t="n">
        <v>0</v>
      </c>
      <c r="AK106" s="52" t="n">
        <v>0</v>
      </c>
      <c r="AL106" s="52" t="n">
        <v>0</v>
      </c>
      <c r="AM106" s="53" t="n">
        <v>0</v>
      </c>
      <c r="AN106" s="53" t="n">
        <v>0</v>
      </c>
      <c r="AO106" s="53" t="n">
        <v>0</v>
      </c>
      <c r="AP106" s="53" t="n">
        <v>0</v>
      </c>
      <c r="AQ106" s="52" t="n">
        <v>0</v>
      </c>
      <c r="AR106" s="52" t="n">
        <v>0</v>
      </c>
      <c r="AS106" s="52" t="n">
        <v>0</v>
      </c>
      <c r="AT106" s="52" t="n">
        <v>0</v>
      </c>
      <c r="AU106" s="53" t="n">
        <v>0</v>
      </c>
      <c r="AV106" s="53" t="n">
        <v>0</v>
      </c>
      <c r="AW106" s="53" t="n">
        <v>0</v>
      </c>
      <c r="AX106" s="53" t="n">
        <v>0</v>
      </c>
      <c r="AY106" s="52" t="n">
        <v>10.99</v>
      </c>
      <c r="AZ106" s="52" t="n">
        <v>0</v>
      </c>
      <c r="BA106" s="52" t="n">
        <v>0</v>
      </c>
      <c r="BB106" s="52" t="n">
        <v>0</v>
      </c>
      <c r="BC106" s="51" t="n">
        <v>0</v>
      </c>
      <c r="BD106" s="51" t="n">
        <v>0</v>
      </c>
      <c r="BE106" s="51" t="n">
        <v>0</v>
      </c>
      <c r="BF106" s="51" t="n">
        <v>0</v>
      </c>
    </row>
    <row r="107">
      <c r="A107">
        <f>HYPERLINK("https://www.walmart.com/ip/2062415654", "2062415654")</f>
        <v/>
      </c>
      <c r="B107" t="inlineStr">
        <is>
          <t>Tirrinia Insulated Lunch Box for Women | Lunch Bags for Women, Girls, Teens | Cute Yellow Reusable Thermal Lunch Tote Purse Cooler for Kids, School, Work, Office, Adult | Fits 10 Cans (Yellow Lemon)</t>
        </is>
      </c>
      <c r="C107" t="inlineStr">
        <is>
          <t>1WMLB706YLLEM</t>
        </is>
      </c>
      <c r="D107" t="inlineStr">
        <is>
          <t>Reusable Lunch Bags &amp; Boxes</t>
        </is>
      </c>
      <c r="E107" t="inlineStr">
        <is>
          <t>Tirrinia</t>
        </is>
      </c>
      <c r="F107" t="inlineStr">
        <is>
          <t>Q2-Target,Brand Camp VD</t>
        </is>
      </c>
      <c r="G107" s="48" t="n">
        <v>21.98</v>
      </c>
      <c r="H107" s="48" t="n">
        <v>0</v>
      </c>
      <c r="I107" s="48" t="n">
        <v>21.98</v>
      </c>
      <c r="J107" s="48" t="n">
        <v>0</v>
      </c>
      <c r="K107" s="49" t="n">
        <v>2</v>
      </c>
      <c r="L107" s="49" t="n">
        <v>0</v>
      </c>
      <c r="M107" s="49" t="n">
        <v>2</v>
      </c>
      <c r="N107" s="49" t="n">
        <v>0</v>
      </c>
      <c r="O107" s="49" t="n">
        <v>3</v>
      </c>
      <c r="P107" s="49" t="n">
        <v>0</v>
      </c>
      <c r="Q107" s="49" t="n">
        <v>4</v>
      </c>
      <c r="R107" s="49" t="n">
        <v>4</v>
      </c>
      <c r="S107" s="50" t="n">
        <v>0.6666666666666666</v>
      </c>
      <c r="T107" s="50" t="n">
        <v>0</v>
      </c>
      <c r="U107" s="50" t="n">
        <v>0.5</v>
      </c>
      <c r="V107" s="50" t="n">
        <v>0</v>
      </c>
      <c r="W107" s="51" t="n">
        <v>0</v>
      </c>
      <c r="X107" s="51" t="n">
        <v>0</v>
      </c>
      <c r="Y107" s="51" t="n">
        <v>0</v>
      </c>
      <c r="Z107" s="51" t="n">
        <v>0</v>
      </c>
      <c r="AA107" s="52" t="n">
        <v>0</v>
      </c>
      <c r="AB107" s="52" t="n">
        <v>0</v>
      </c>
      <c r="AC107" s="52" t="n">
        <v>0</v>
      </c>
      <c r="AD107" s="52" t="n">
        <v>0</v>
      </c>
      <c r="AE107" s="52" t="n">
        <v>0</v>
      </c>
      <c r="AF107" s="52" t="n">
        <v>0</v>
      </c>
      <c r="AG107" s="52" t="n">
        <v>0</v>
      </c>
      <c r="AH107" s="52" t="n">
        <v>0</v>
      </c>
      <c r="AI107" s="52" t="n">
        <v>0</v>
      </c>
      <c r="AJ107" s="52" t="n">
        <v>0</v>
      </c>
      <c r="AK107" s="52" t="n">
        <v>0</v>
      </c>
      <c r="AL107" s="52" t="n">
        <v>0</v>
      </c>
      <c r="AM107" s="53" t="n">
        <v>0</v>
      </c>
      <c r="AN107" s="53" t="n">
        <v>0</v>
      </c>
      <c r="AO107" s="53" t="n">
        <v>0</v>
      </c>
      <c r="AP107" s="53" t="n">
        <v>0</v>
      </c>
      <c r="AQ107" s="52" t="n">
        <v>0</v>
      </c>
      <c r="AR107" s="52" t="n">
        <v>0</v>
      </c>
      <c r="AS107" s="52" t="n">
        <v>0</v>
      </c>
      <c r="AT107" s="52" t="n">
        <v>0</v>
      </c>
      <c r="AU107" s="53" t="n">
        <v>0</v>
      </c>
      <c r="AV107" s="53" t="n">
        <v>0</v>
      </c>
      <c r="AW107" s="53" t="n">
        <v>0</v>
      </c>
      <c r="AX107" s="53" t="n">
        <v>0</v>
      </c>
      <c r="AY107" s="52" t="n">
        <v>10.99</v>
      </c>
      <c r="AZ107" s="52" t="n">
        <v>0</v>
      </c>
      <c r="BA107" s="52" t="n">
        <v>10.99</v>
      </c>
      <c r="BB107" s="52" t="n">
        <v>0</v>
      </c>
      <c r="BC107" s="51" t="n">
        <v>0</v>
      </c>
      <c r="BD107" s="51" t="n">
        <v>0</v>
      </c>
      <c r="BE107" s="51" t="n">
        <v>0</v>
      </c>
      <c r="BF107" s="51" t="n">
        <v>0</v>
      </c>
    </row>
    <row r="108">
      <c r="A108">
        <f>HYPERLINK("https://www.walmart.com/ip/819492779", "819492779")</f>
        <v/>
      </c>
      <c r="B108" t="inlineStr">
        <is>
          <t>Catalonia Reversible Sherpa Throw Blanket, Super Soft Fluffy Blanket for Couch,  Fuzzy Comfy Warm Throws, Comfort Caring Gift, 50x60 inches, Aqua</t>
        </is>
      </c>
      <c r="C108" t="inlineStr">
        <is>
          <t>1CTBF578AQ</t>
        </is>
      </c>
      <c r="D108" t="inlineStr">
        <is>
          <t>Throws</t>
        </is>
      </c>
      <c r="E108" t="inlineStr">
        <is>
          <t>Catalonia</t>
        </is>
      </c>
      <c r="F108" t="inlineStr">
        <is>
          <t>Q2-Target,WFS,Coupon_Discount,SeePriceInCart,WFS Item</t>
        </is>
      </c>
      <c r="G108" s="48" t="n">
        <v>20.99</v>
      </c>
      <c r="H108" s="48" t="n">
        <v>104.95</v>
      </c>
      <c r="I108" s="48" t="n">
        <v>20.99</v>
      </c>
      <c r="J108" s="48" t="n">
        <v>24.99</v>
      </c>
      <c r="K108" s="49" t="n">
        <v>1</v>
      </c>
      <c r="L108" s="49" t="n">
        <v>5</v>
      </c>
      <c r="M108" s="49" t="n">
        <v>1</v>
      </c>
      <c r="N108" s="49" t="n">
        <v>1</v>
      </c>
      <c r="O108" s="49" t="n">
        <v>142</v>
      </c>
      <c r="P108" s="49" t="n">
        <v>556</v>
      </c>
      <c r="Q108" s="49" t="n">
        <v>591</v>
      </c>
      <c r="R108" s="49" t="n">
        <v>583</v>
      </c>
      <c r="S108" s="50" t="n">
        <v>0.007042253521126761</v>
      </c>
      <c r="T108" s="50" t="n">
        <v>0.008992805755395683</v>
      </c>
      <c r="U108" s="50" t="n">
        <v>0.001692047377326565</v>
      </c>
      <c r="V108" s="50" t="n">
        <v>0.001715265866209262</v>
      </c>
      <c r="W108" s="51" t="n">
        <v>49</v>
      </c>
      <c r="X108" s="51" t="n">
        <v>39</v>
      </c>
      <c r="Y108" s="51" t="n">
        <v>0</v>
      </c>
      <c r="Z108" s="51" t="n">
        <v>26</v>
      </c>
      <c r="AA108" s="52" t="n">
        <v>10.93</v>
      </c>
      <c r="AB108" s="52" t="n">
        <v>10.18</v>
      </c>
      <c r="AC108" s="52" t="n">
        <v>0</v>
      </c>
      <c r="AD108" s="52" t="n">
        <v>6.83</v>
      </c>
      <c r="AE108" s="52" t="n">
        <v>20.99</v>
      </c>
      <c r="AF108" s="52" t="n">
        <v>20.99</v>
      </c>
      <c r="AG108" s="52" t="n">
        <v>0</v>
      </c>
      <c r="AH108" s="52" t="n">
        <v>0</v>
      </c>
      <c r="AI108" s="52" t="n">
        <v>1.92</v>
      </c>
      <c r="AJ108" s="52" t="n">
        <v>2.06</v>
      </c>
      <c r="AK108" s="52" t="n">
        <v>0</v>
      </c>
      <c r="AL108" s="52" t="n">
        <v>0</v>
      </c>
      <c r="AM108" s="53" t="n">
        <v>0.0011</v>
      </c>
      <c r="AN108" s="53" t="n">
        <v>0.0009</v>
      </c>
      <c r="AO108" s="53" t="n">
        <v>0</v>
      </c>
      <c r="AP108" s="53" t="n">
        <v>0.0022</v>
      </c>
      <c r="AQ108" s="52" t="n">
        <v>0.2230612244897959</v>
      </c>
      <c r="AR108" s="52" t="n">
        <v>0.261025641025641</v>
      </c>
      <c r="AS108" s="52" t="n">
        <v>0</v>
      </c>
      <c r="AT108" s="52" t="n">
        <v>0.2626923076923077</v>
      </c>
      <c r="AU108" s="53" t="n">
        <v>0.5207241543592187</v>
      </c>
      <c r="AV108" s="53" t="n">
        <v>0.09699857074797522</v>
      </c>
      <c r="AW108" s="53" t="n">
        <v>0</v>
      </c>
      <c r="AX108" s="53" t="n">
        <v>0.2733093237294918</v>
      </c>
      <c r="AY108" s="52" t="n">
        <v>20.99</v>
      </c>
      <c r="AZ108" s="52" t="n">
        <v>20.99</v>
      </c>
      <c r="BA108" s="52" t="n">
        <v>20.99</v>
      </c>
      <c r="BB108" s="52" t="n">
        <v>24.99</v>
      </c>
      <c r="BC108" s="51" t="n">
        <v>45335</v>
      </c>
      <c r="BD108" s="51" t="n">
        <v>42465</v>
      </c>
      <c r="BE108" s="51" t="n">
        <v>0</v>
      </c>
      <c r="BF108" s="51" t="n">
        <v>11839</v>
      </c>
    </row>
    <row r="109">
      <c r="A109">
        <f>HYPERLINK("https://www.walmart.com/ip/429541623", "429541623")</f>
        <v/>
      </c>
      <c r="B109" t="inlineStr">
        <is>
          <t>Tirrinia Surf Beach Changing Towel With Hood, Absorbent Microfiber Robe Poncho, Men &amp; Women, Pink</t>
        </is>
      </c>
      <c r="C109" t="inlineStr">
        <is>
          <t>1TRBR100-PB</t>
        </is>
      </c>
      <c r="D109" t="inlineStr">
        <is>
          <t>Towels &amp; Washcloths</t>
        </is>
      </c>
      <c r="E109" t="inlineStr">
        <is>
          <t>Tirrinia</t>
        </is>
      </c>
      <c r="G109" s="48" t="n">
        <v>19.99</v>
      </c>
      <c r="H109" s="48" t="n">
        <v>0</v>
      </c>
      <c r="I109" s="48" t="n">
        <v>0</v>
      </c>
      <c r="J109" s="48" t="n">
        <v>0</v>
      </c>
      <c r="K109" s="49" t="n">
        <v>1</v>
      </c>
      <c r="L109" s="49" t="n">
        <v>0</v>
      </c>
      <c r="M109" s="49" t="n">
        <v>0</v>
      </c>
      <c r="N109" s="49" t="n">
        <v>0</v>
      </c>
      <c r="O109" s="49" t="n">
        <v>0</v>
      </c>
      <c r="P109" s="49" t="n">
        <v>0</v>
      </c>
      <c r="Q109" s="49" t="n">
        <v>0</v>
      </c>
      <c r="R109" s="49" t="n">
        <v>0</v>
      </c>
      <c r="S109" s="50" t="n">
        <v>0</v>
      </c>
      <c r="T109" s="50" t="n">
        <v>0</v>
      </c>
      <c r="U109" s="50" t="n">
        <v>0</v>
      </c>
      <c r="V109" s="50" t="n">
        <v>0</v>
      </c>
      <c r="W109" s="51" t="n">
        <v>0</v>
      </c>
      <c r="X109" s="51" t="n">
        <v>0</v>
      </c>
      <c r="Y109" s="51" t="n">
        <v>0</v>
      </c>
      <c r="Z109" s="51" t="n">
        <v>0</v>
      </c>
      <c r="AA109" s="52" t="n">
        <v>0</v>
      </c>
      <c r="AB109" s="52" t="n">
        <v>0</v>
      </c>
      <c r="AC109" s="52" t="n">
        <v>0</v>
      </c>
      <c r="AD109" s="52" t="n">
        <v>0</v>
      </c>
      <c r="AE109" s="52" t="n">
        <v>0</v>
      </c>
      <c r="AF109" s="52" t="n">
        <v>0</v>
      </c>
      <c r="AG109" s="52" t="n">
        <v>0</v>
      </c>
      <c r="AH109" s="52" t="n">
        <v>0</v>
      </c>
      <c r="AI109" s="52" t="n">
        <v>0</v>
      </c>
      <c r="AJ109" s="52" t="n">
        <v>0</v>
      </c>
      <c r="AK109" s="52" t="n">
        <v>0</v>
      </c>
      <c r="AL109" s="52" t="n">
        <v>0</v>
      </c>
      <c r="AM109" s="53" t="n">
        <v>0</v>
      </c>
      <c r="AN109" s="53" t="n">
        <v>0</v>
      </c>
      <c r="AO109" s="53" t="n">
        <v>0</v>
      </c>
      <c r="AP109" s="53" t="n">
        <v>0</v>
      </c>
      <c r="AQ109" s="52" t="n">
        <v>0</v>
      </c>
      <c r="AR109" s="52" t="n">
        <v>0</v>
      </c>
      <c r="AS109" s="52" t="n">
        <v>0</v>
      </c>
      <c r="AT109" s="52" t="n">
        <v>0</v>
      </c>
      <c r="AU109" s="53" t="n">
        <v>0</v>
      </c>
      <c r="AV109" s="53" t="n">
        <v>0</v>
      </c>
      <c r="AW109" s="53" t="n">
        <v>0</v>
      </c>
      <c r="AX109" s="53" t="n">
        <v>0</v>
      </c>
      <c r="AY109" s="52" t="n">
        <v>19.99</v>
      </c>
      <c r="AZ109" s="52" t="n">
        <v>0</v>
      </c>
      <c r="BA109" s="52" t="n">
        <v>0</v>
      </c>
      <c r="BB109" s="52" t="n">
        <v>0</v>
      </c>
      <c r="BC109" s="51" t="n">
        <v>0</v>
      </c>
      <c r="BD109" s="51" t="n">
        <v>0</v>
      </c>
      <c r="BE109" s="51" t="n">
        <v>0</v>
      </c>
      <c r="BF109" s="51" t="n">
        <v>0</v>
      </c>
    </row>
    <row r="110">
      <c r="A110">
        <f>HYPERLINK("https://www.walmart.com/ip/10279411640", "10279411640")</f>
        <v/>
      </c>
      <c r="B110" t="inlineStr">
        <is>
          <t>Wrangler Men’s Leather Country Casual Every Day Dress Belt for Jeans, Khakis Light Brown 40</t>
        </is>
      </c>
      <c r="C110" t="inlineStr">
        <is>
          <t>WR-BELT-MENS-COUNTRY-LTBROWN-40</t>
        </is>
      </c>
      <c r="D110" t="inlineStr">
        <is>
          <t>Belts</t>
        </is>
      </c>
      <c r="E110" t="inlineStr">
        <is>
          <t>Wrangler</t>
        </is>
      </c>
      <c r="F110" t="inlineStr">
        <is>
          <t>Belts</t>
        </is>
      </c>
      <c r="G110" s="48" t="n">
        <v>19.99</v>
      </c>
      <c r="H110" s="48" t="n">
        <v>19.99</v>
      </c>
      <c r="I110" s="48" t="n">
        <v>0</v>
      </c>
      <c r="J110" s="48" t="n">
        <v>0</v>
      </c>
      <c r="K110" s="49" t="n">
        <v>1</v>
      </c>
      <c r="L110" s="49" t="n">
        <v>1</v>
      </c>
      <c r="M110" s="49" t="n">
        <v>0</v>
      </c>
      <c r="N110" s="49" t="n">
        <v>0</v>
      </c>
      <c r="O110" s="49" t="n">
        <v>0</v>
      </c>
      <c r="P110" s="49" t="n">
        <v>0</v>
      </c>
      <c r="Q110" s="49" t="n">
        <v>0</v>
      </c>
      <c r="R110" s="49" t="n">
        <v>0</v>
      </c>
      <c r="S110" s="50" t="n">
        <v>0</v>
      </c>
      <c r="T110" s="50" t="n">
        <v>0</v>
      </c>
      <c r="U110" s="50" t="n">
        <v>0</v>
      </c>
      <c r="V110" s="50" t="n">
        <v>0</v>
      </c>
      <c r="W110" s="51" t="n">
        <v>0</v>
      </c>
      <c r="X110" s="51" t="n">
        <v>0</v>
      </c>
      <c r="Y110" s="51" t="n">
        <v>0</v>
      </c>
      <c r="Z110" s="51" t="n">
        <v>0</v>
      </c>
      <c r="AA110" s="52" t="n">
        <v>0</v>
      </c>
      <c r="AB110" s="52" t="n">
        <v>0</v>
      </c>
      <c r="AC110" s="52" t="n">
        <v>0</v>
      </c>
      <c r="AD110" s="52" t="n">
        <v>0</v>
      </c>
      <c r="AE110" s="52" t="n">
        <v>0</v>
      </c>
      <c r="AF110" s="52" t="n">
        <v>0</v>
      </c>
      <c r="AG110" s="52" t="n">
        <v>0</v>
      </c>
      <c r="AH110" s="52" t="n">
        <v>0</v>
      </c>
      <c r="AI110" s="52" t="n">
        <v>0</v>
      </c>
      <c r="AJ110" s="52" t="n">
        <v>0</v>
      </c>
      <c r="AK110" s="52" t="n">
        <v>0</v>
      </c>
      <c r="AL110" s="52" t="n">
        <v>0</v>
      </c>
      <c r="AM110" s="53" t="n">
        <v>0</v>
      </c>
      <c r="AN110" s="53" t="n">
        <v>0</v>
      </c>
      <c r="AO110" s="53" t="n">
        <v>0</v>
      </c>
      <c r="AP110" s="53" t="n">
        <v>0</v>
      </c>
      <c r="AQ110" s="52" t="n">
        <v>0</v>
      </c>
      <c r="AR110" s="52" t="n">
        <v>0</v>
      </c>
      <c r="AS110" s="52" t="n">
        <v>0</v>
      </c>
      <c r="AT110" s="52" t="n">
        <v>0</v>
      </c>
      <c r="AU110" s="53" t="n">
        <v>0</v>
      </c>
      <c r="AV110" s="53" t="n">
        <v>0</v>
      </c>
      <c r="AW110" s="53" t="n">
        <v>0</v>
      </c>
      <c r="AX110" s="53" t="n">
        <v>0</v>
      </c>
      <c r="AY110" s="52" t="n">
        <v>19.99</v>
      </c>
      <c r="AZ110" s="52" t="n">
        <v>19.99</v>
      </c>
      <c r="BA110" s="52" t="n">
        <v>0</v>
      </c>
      <c r="BB110" s="52" t="n">
        <v>0</v>
      </c>
      <c r="BC110" s="51" t="n">
        <v>0</v>
      </c>
      <c r="BD110" s="51" t="n">
        <v>0</v>
      </c>
      <c r="BE110" s="51" t="n">
        <v>0</v>
      </c>
      <c r="BF110" s="51" t="n">
        <v>0</v>
      </c>
    </row>
    <row r="111">
      <c r="A111">
        <f>HYPERLINK("https://www.walmart.com/ip/10299774309", "10299774309")</f>
        <v/>
      </c>
      <c r="B111" t="inlineStr">
        <is>
          <t>Wrangler Men’s Full Grain Genuine Leather 35mm Thick Casual Belt for Jeans, Pants - Brown, 40</t>
        </is>
      </c>
      <c r="C111" t="inlineStr">
        <is>
          <t>WR-BELT-MENS-35MM-BROWN-40</t>
        </is>
      </c>
      <c r="D111" t="inlineStr">
        <is>
          <t>Belts</t>
        </is>
      </c>
      <c r="E111" t="inlineStr">
        <is>
          <t>Wrangler</t>
        </is>
      </c>
      <c r="F111" t="inlineStr">
        <is>
          <t>Belts</t>
        </is>
      </c>
      <c r="G111" s="48" t="n">
        <v>19.99</v>
      </c>
      <c r="H111" s="48" t="n">
        <v>19.99</v>
      </c>
      <c r="I111" s="48" t="n">
        <v>19.99</v>
      </c>
      <c r="J111" s="48" t="n">
        <v>0</v>
      </c>
      <c r="K111" s="49" t="n">
        <v>1</v>
      </c>
      <c r="L111" s="49" t="n">
        <v>1</v>
      </c>
      <c r="M111" s="49" t="n">
        <v>1</v>
      </c>
      <c r="N111" s="49" t="n">
        <v>0</v>
      </c>
      <c r="O111" s="49" t="n">
        <v>0</v>
      </c>
      <c r="P111" s="49" t="n">
        <v>0</v>
      </c>
      <c r="Q111" s="49" t="n">
        <v>0</v>
      </c>
      <c r="R111" s="49" t="n">
        <v>0</v>
      </c>
      <c r="S111" s="50" t="n">
        <v>0</v>
      </c>
      <c r="T111" s="50" t="n">
        <v>0</v>
      </c>
      <c r="U111" s="50" t="n">
        <v>0</v>
      </c>
      <c r="V111" s="50" t="n">
        <v>0</v>
      </c>
      <c r="W111" s="51" t="n">
        <v>0</v>
      </c>
      <c r="X111" s="51" t="n">
        <v>0</v>
      </c>
      <c r="Y111" s="51" t="n">
        <v>0</v>
      </c>
      <c r="Z111" s="51" t="n">
        <v>0</v>
      </c>
      <c r="AA111" s="52" t="n">
        <v>0</v>
      </c>
      <c r="AB111" s="52" t="n">
        <v>0</v>
      </c>
      <c r="AC111" s="52" t="n">
        <v>0</v>
      </c>
      <c r="AD111" s="52" t="n">
        <v>0</v>
      </c>
      <c r="AE111" s="52" t="n">
        <v>0</v>
      </c>
      <c r="AF111" s="52" t="n">
        <v>0</v>
      </c>
      <c r="AG111" s="52" t="n">
        <v>0</v>
      </c>
      <c r="AH111" s="52" t="n">
        <v>0</v>
      </c>
      <c r="AI111" s="52" t="n">
        <v>0</v>
      </c>
      <c r="AJ111" s="52" t="n">
        <v>0</v>
      </c>
      <c r="AK111" s="52" t="n">
        <v>0</v>
      </c>
      <c r="AL111" s="52" t="n">
        <v>0</v>
      </c>
      <c r="AM111" s="53" t="n">
        <v>0</v>
      </c>
      <c r="AN111" s="53" t="n">
        <v>0</v>
      </c>
      <c r="AO111" s="53" t="n">
        <v>0</v>
      </c>
      <c r="AP111" s="53" t="n">
        <v>0</v>
      </c>
      <c r="AQ111" s="52" t="n">
        <v>0</v>
      </c>
      <c r="AR111" s="52" t="n">
        <v>0</v>
      </c>
      <c r="AS111" s="52" t="n">
        <v>0</v>
      </c>
      <c r="AT111" s="52" t="n">
        <v>0</v>
      </c>
      <c r="AU111" s="53" t="n">
        <v>0</v>
      </c>
      <c r="AV111" s="53" t="n">
        <v>0</v>
      </c>
      <c r="AW111" s="53" t="n">
        <v>0</v>
      </c>
      <c r="AX111" s="53" t="n">
        <v>0</v>
      </c>
      <c r="AY111" s="52" t="n">
        <v>19.99</v>
      </c>
      <c r="AZ111" s="52" t="n">
        <v>19.99</v>
      </c>
      <c r="BA111" s="52" t="n">
        <v>19.99</v>
      </c>
      <c r="BB111" s="52" t="n">
        <v>0</v>
      </c>
      <c r="BC111" s="51" t="n">
        <v>0</v>
      </c>
      <c r="BD111" s="51" t="n">
        <v>0</v>
      </c>
      <c r="BE111" s="51" t="n">
        <v>0</v>
      </c>
      <c r="BF111" s="51" t="n">
        <v>0</v>
      </c>
    </row>
    <row r="112">
      <c r="A112">
        <f>HYPERLINK("https://www.walmart.com/ip/15460768310", "15460768310")</f>
        <v/>
      </c>
      <c r="B112" t="inlineStr">
        <is>
          <t>Wrangler Men’s Leather Embossed Logo Casual Every Day Belt for Jeans, Khakis Brown</t>
        </is>
      </c>
      <c r="C112" t="inlineStr">
        <is>
          <t>WR-BELT-MENS-EMBOSSED-BROWN-38</t>
        </is>
      </c>
      <c r="D112" t="inlineStr">
        <is>
          <t>Belts</t>
        </is>
      </c>
      <c r="E112" t="inlineStr">
        <is>
          <t>Wrangler</t>
        </is>
      </c>
      <c r="G112" s="48" t="n">
        <v>19.99</v>
      </c>
      <c r="H112" s="48" t="n">
        <v>0</v>
      </c>
      <c r="I112" s="48" t="n">
        <v>0</v>
      </c>
      <c r="J112" s="48" t="n">
        <v>0</v>
      </c>
      <c r="K112" s="49" t="n">
        <v>1</v>
      </c>
      <c r="L112" s="49" t="n">
        <v>0</v>
      </c>
      <c r="M112" s="49" t="n">
        <v>0</v>
      </c>
      <c r="N112" s="49" t="n">
        <v>0</v>
      </c>
      <c r="O112" s="49" t="n">
        <v>0</v>
      </c>
      <c r="P112" s="49" t="n">
        <v>0</v>
      </c>
      <c r="Q112" s="49" t="n">
        <v>0</v>
      </c>
      <c r="R112" s="49" t="n">
        <v>0</v>
      </c>
      <c r="S112" s="50" t="n">
        <v>0</v>
      </c>
      <c r="T112" s="50" t="n">
        <v>0</v>
      </c>
      <c r="U112" s="50" t="n">
        <v>0</v>
      </c>
      <c r="V112" s="50" t="n">
        <v>0</v>
      </c>
      <c r="W112" s="51" t="n">
        <v>0</v>
      </c>
      <c r="X112" s="51" t="n">
        <v>0</v>
      </c>
      <c r="Y112" s="51" t="n">
        <v>0</v>
      </c>
      <c r="Z112" s="51" t="n">
        <v>0</v>
      </c>
      <c r="AA112" s="52" t="n">
        <v>0</v>
      </c>
      <c r="AB112" s="52" t="n">
        <v>0</v>
      </c>
      <c r="AC112" s="52" t="n">
        <v>0</v>
      </c>
      <c r="AD112" s="52" t="n">
        <v>0</v>
      </c>
      <c r="AE112" s="52" t="n">
        <v>0</v>
      </c>
      <c r="AF112" s="52" t="n">
        <v>0</v>
      </c>
      <c r="AG112" s="52" t="n">
        <v>0</v>
      </c>
      <c r="AH112" s="52" t="n">
        <v>0</v>
      </c>
      <c r="AI112" s="52" t="n">
        <v>0</v>
      </c>
      <c r="AJ112" s="52" t="n">
        <v>0</v>
      </c>
      <c r="AK112" s="52" t="n">
        <v>0</v>
      </c>
      <c r="AL112" s="52" t="n">
        <v>0</v>
      </c>
      <c r="AM112" s="53" t="n">
        <v>0</v>
      </c>
      <c r="AN112" s="53" t="n">
        <v>0</v>
      </c>
      <c r="AO112" s="53" t="n">
        <v>0</v>
      </c>
      <c r="AP112" s="53" t="n">
        <v>0</v>
      </c>
      <c r="AQ112" s="52" t="n">
        <v>0</v>
      </c>
      <c r="AR112" s="52" t="n">
        <v>0</v>
      </c>
      <c r="AS112" s="52" t="n">
        <v>0</v>
      </c>
      <c r="AT112" s="52" t="n">
        <v>0</v>
      </c>
      <c r="AU112" s="53" t="n">
        <v>0</v>
      </c>
      <c r="AV112" s="53" t="n">
        <v>0</v>
      </c>
      <c r="AW112" s="53" t="n">
        <v>0</v>
      </c>
      <c r="AX112" s="53" t="n">
        <v>0</v>
      </c>
      <c r="AY112" s="52" t="n">
        <v>19.99</v>
      </c>
      <c r="AZ112" s="52" t="n">
        <v>0</v>
      </c>
      <c r="BA112" s="52" t="n">
        <v>0</v>
      </c>
      <c r="BB112" s="52" t="n">
        <v>0</v>
      </c>
      <c r="BC112" s="51" t="n">
        <v>0</v>
      </c>
      <c r="BD112" s="51" t="n">
        <v>0</v>
      </c>
      <c r="BE112" s="51" t="n">
        <v>0</v>
      </c>
      <c r="BF112" s="51" t="n">
        <v>0</v>
      </c>
    </row>
    <row r="113">
      <c r="A113">
        <f>HYPERLINK("https://www.walmart.com/ip/10291700385", "10291700385")</f>
        <v/>
      </c>
      <c r="B113" t="inlineStr">
        <is>
          <t>Wrangler Men’s Full Grain Genuine Leather 35mm Thick Casual Belt for Jeans, Pants - Black, 36</t>
        </is>
      </c>
      <c r="C113" t="inlineStr">
        <is>
          <t>WR-BELT-MENS-35MM-BLACK-36</t>
        </is>
      </c>
      <c r="D113" t="inlineStr">
        <is>
          <t>Belts</t>
        </is>
      </c>
      <c r="E113" t="inlineStr">
        <is>
          <t>Wrangler</t>
        </is>
      </c>
      <c r="F113" t="inlineStr">
        <is>
          <t>Belts</t>
        </is>
      </c>
      <c r="G113" s="48" t="n">
        <v>19.99</v>
      </c>
      <c r="H113" s="48" t="n">
        <v>19.99</v>
      </c>
      <c r="I113" s="48" t="n">
        <v>0</v>
      </c>
      <c r="J113" s="48" t="n">
        <v>19.99</v>
      </c>
      <c r="K113" s="49" t="n">
        <v>1</v>
      </c>
      <c r="L113" s="49" t="n">
        <v>1</v>
      </c>
      <c r="M113" s="49" t="n">
        <v>0</v>
      </c>
      <c r="N113" s="49" t="n">
        <v>1</v>
      </c>
      <c r="O113" s="49" t="n">
        <v>1</v>
      </c>
      <c r="P113" s="49" t="n">
        <v>0</v>
      </c>
      <c r="Q113" s="49" t="n">
        <v>0</v>
      </c>
      <c r="R113" s="49" t="n">
        <v>0</v>
      </c>
      <c r="S113" s="50" t="n">
        <v>1</v>
      </c>
      <c r="T113" s="50" t="n">
        <v>0</v>
      </c>
      <c r="U113" s="50" t="n">
        <v>0</v>
      </c>
      <c r="V113" s="50" t="n">
        <v>0</v>
      </c>
      <c r="W113" s="51" t="n">
        <v>0</v>
      </c>
      <c r="X113" s="51" t="n">
        <v>0</v>
      </c>
      <c r="Y113" s="51" t="n">
        <v>0</v>
      </c>
      <c r="Z113" s="51" t="n">
        <v>0</v>
      </c>
      <c r="AA113" s="52" t="n">
        <v>0</v>
      </c>
      <c r="AB113" s="52" t="n">
        <v>0</v>
      </c>
      <c r="AC113" s="52" t="n">
        <v>0</v>
      </c>
      <c r="AD113" s="52" t="n">
        <v>0</v>
      </c>
      <c r="AE113" s="52" t="n">
        <v>0</v>
      </c>
      <c r="AF113" s="52" t="n">
        <v>0</v>
      </c>
      <c r="AG113" s="52" t="n">
        <v>0</v>
      </c>
      <c r="AH113" s="52" t="n">
        <v>0</v>
      </c>
      <c r="AI113" s="52" t="n">
        <v>0</v>
      </c>
      <c r="AJ113" s="52" t="n">
        <v>0</v>
      </c>
      <c r="AK113" s="52" t="n">
        <v>0</v>
      </c>
      <c r="AL113" s="52" t="n">
        <v>0</v>
      </c>
      <c r="AM113" s="53" t="n">
        <v>0</v>
      </c>
      <c r="AN113" s="53" t="n">
        <v>0</v>
      </c>
      <c r="AO113" s="53" t="n">
        <v>0</v>
      </c>
      <c r="AP113" s="53" t="n">
        <v>0</v>
      </c>
      <c r="AQ113" s="52" t="n">
        <v>0</v>
      </c>
      <c r="AR113" s="52" t="n">
        <v>0</v>
      </c>
      <c r="AS113" s="52" t="n">
        <v>0</v>
      </c>
      <c r="AT113" s="52" t="n">
        <v>0</v>
      </c>
      <c r="AU113" s="53" t="n">
        <v>0</v>
      </c>
      <c r="AV113" s="53" t="n">
        <v>0</v>
      </c>
      <c r="AW113" s="53" t="n">
        <v>0</v>
      </c>
      <c r="AX113" s="53" t="n">
        <v>0</v>
      </c>
      <c r="AY113" s="52" t="n">
        <v>19.99</v>
      </c>
      <c r="AZ113" s="52" t="n">
        <v>19.99</v>
      </c>
      <c r="BA113" s="52" t="n">
        <v>0</v>
      </c>
      <c r="BB113" s="52" t="n">
        <v>19.99</v>
      </c>
      <c r="BC113" s="51" t="n">
        <v>0</v>
      </c>
      <c r="BD113" s="51" t="n">
        <v>0</v>
      </c>
      <c r="BE113" s="51" t="n">
        <v>0</v>
      </c>
      <c r="BF113" s="51" t="n">
        <v>0</v>
      </c>
    </row>
    <row r="114">
      <c r="A114">
        <f>HYPERLINK("https://www.walmart.com/ip/10294163517", "10294163517")</f>
        <v/>
      </c>
      <c r="B114" t="inlineStr">
        <is>
          <t>Wrangler Men’s Leather Country Casual Every Day Dress Belt for Jeans, Khakis Black 32</t>
        </is>
      </c>
      <c r="C114" t="inlineStr">
        <is>
          <t>WR-BELT-MENS-COUNTRY-BLACK-32</t>
        </is>
      </c>
      <c r="D114" t="inlineStr">
        <is>
          <t>Belts</t>
        </is>
      </c>
      <c r="E114" t="inlineStr">
        <is>
          <t>Wrangler</t>
        </is>
      </c>
      <c r="F114" t="inlineStr">
        <is>
          <t>Belts</t>
        </is>
      </c>
      <c r="G114" s="48" t="n">
        <v>19.99</v>
      </c>
      <c r="H114" s="48" t="n">
        <v>39.98</v>
      </c>
      <c r="I114" s="48" t="n">
        <v>19.99</v>
      </c>
      <c r="J114" s="48" t="n">
        <v>0</v>
      </c>
      <c r="K114" s="49" t="n">
        <v>1</v>
      </c>
      <c r="L114" s="49" t="n">
        <v>2</v>
      </c>
      <c r="M114" s="49" t="n">
        <v>1</v>
      </c>
      <c r="N114" s="49" t="n">
        <v>0</v>
      </c>
      <c r="O114" s="49" t="n">
        <v>6</v>
      </c>
      <c r="P114" s="49" t="n">
        <v>6</v>
      </c>
      <c r="Q114" s="49" t="n">
        <v>1</v>
      </c>
      <c r="R114" s="49" t="n">
        <v>0</v>
      </c>
      <c r="S114" s="50" t="n">
        <v>0.1666666666666667</v>
      </c>
      <c r="T114" s="50" t="n">
        <v>0.3333333333333333</v>
      </c>
      <c r="U114" s="50" t="n">
        <v>1</v>
      </c>
      <c r="V114" s="50" t="n">
        <v>0</v>
      </c>
      <c r="W114" s="51" t="n">
        <v>0</v>
      </c>
      <c r="X114" s="51" t="n">
        <v>0</v>
      </c>
      <c r="Y114" s="51" t="n">
        <v>0</v>
      </c>
      <c r="Z114" s="51" t="n">
        <v>0</v>
      </c>
      <c r="AA114" s="52" t="n">
        <v>0</v>
      </c>
      <c r="AB114" s="52" t="n">
        <v>0</v>
      </c>
      <c r="AC114" s="52" t="n">
        <v>0</v>
      </c>
      <c r="AD114" s="52" t="n">
        <v>0</v>
      </c>
      <c r="AE114" s="52" t="n">
        <v>0</v>
      </c>
      <c r="AF114" s="52" t="n">
        <v>0</v>
      </c>
      <c r="AG114" s="52" t="n">
        <v>0</v>
      </c>
      <c r="AH114" s="52" t="n">
        <v>0</v>
      </c>
      <c r="AI114" s="52" t="n">
        <v>0</v>
      </c>
      <c r="AJ114" s="52" t="n">
        <v>0</v>
      </c>
      <c r="AK114" s="52" t="n">
        <v>0</v>
      </c>
      <c r="AL114" s="52" t="n">
        <v>0</v>
      </c>
      <c r="AM114" s="53" t="n">
        <v>0</v>
      </c>
      <c r="AN114" s="53" t="n">
        <v>0</v>
      </c>
      <c r="AO114" s="53" t="n">
        <v>0</v>
      </c>
      <c r="AP114" s="53" t="n">
        <v>0</v>
      </c>
      <c r="AQ114" s="52" t="n">
        <v>0</v>
      </c>
      <c r="AR114" s="52" t="n">
        <v>0</v>
      </c>
      <c r="AS114" s="52" t="n">
        <v>0</v>
      </c>
      <c r="AT114" s="52" t="n">
        <v>0</v>
      </c>
      <c r="AU114" s="53" t="n">
        <v>0</v>
      </c>
      <c r="AV114" s="53" t="n">
        <v>0</v>
      </c>
      <c r="AW114" s="53" t="n">
        <v>0</v>
      </c>
      <c r="AX114" s="53" t="n">
        <v>0</v>
      </c>
      <c r="AY114" s="52" t="n">
        <v>19.99</v>
      </c>
      <c r="AZ114" s="52" t="n">
        <v>19.99</v>
      </c>
      <c r="BA114" s="52" t="n">
        <v>19.99</v>
      </c>
      <c r="BB114" s="52" t="n">
        <v>0</v>
      </c>
      <c r="BC114" s="51" t="n">
        <v>0</v>
      </c>
      <c r="BD114" s="51" t="n">
        <v>0</v>
      </c>
      <c r="BE114" s="51" t="n">
        <v>0</v>
      </c>
      <c r="BF114" s="51" t="n">
        <v>0</v>
      </c>
    </row>
    <row r="115">
      <c r="A115">
        <f>HYPERLINK("https://www.walmart.com/ip/127358445", "127358445")</f>
        <v/>
      </c>
      <c r="B115" t="inlineStr">
        <is>
          <t>Solaris Unisex Large Bill Flap Sun Hat Camping Hiking Hunting Fishing Cap</t>
        </is>
      </c>
      <c r="C115" t="inlineStr">
        <is>
          <t>1SLSH911OL</t>
        </is>
      </c>
      <c r="D115" t="inlineStr">
        <is>
          <t>Hats</t>
        </is>
      </c>
      <c r="E115" t="inlineStr">
        <is>
          <t>Solaris</t>
        </is>
      </c>
      <c r="F115" t="inlineStr">
        <is>
          <t>Q2-Target,Hats,Batch 1 - TR</t>
        </is>
      </c>
      <c r="G115" s="48" t="n">
        <v>19.99</v>
      </c>
      <c r="H115" s="48" t="n">
        <v>0</v>
      </c>
      <c r="I115" s="48" t="n">
        <v>0</v>
      </c>
      <c r="J115" s="48" t="n">
        <v>0</v>
      </c>
      <c r="K115" s="49" t="n">
        <v>1</v>
      </c>
      <c r="L115" s="49" t="n">
        <v>0</v>
      </c>
      <c r="M115" s="49" t="n">
        <v>0</v>
      </c>
      <c r="N115" s="49" t="n">
        <v>0</v>
      </c>
      <c r="O115" s="49" t="n">
        <v>4</v>
      </c>
      <c r="P115" s="49" t="n">
        <v>2</v>
      </c>
      <c r="Q115" s="49" t="n">
        <v>2</v>
      </c>
      <c r="R115" s="49" t="n">
        <v>4</v>
      </c>
      <c r="S115" s="50" t="n">
        <v>0.25</v>
      </c>
      <c r="T115" s="50" t="n">
        <v>0</v>
      </c>
      <c r="U115" s="50" t="n">
        <v>0</v>
      </c>
      <c r="V115" s="50" t="n">
        <v>0</v>
      </c>
      <c r="W115" s="51" t="n">
        <v>0</v>
      </c>
      <c r="X115" s="51" t="n">
        <v>0</v>
      </c>
      <c r="Y115" s="51" t="n">
        <v>0</v>
      </c>
      <c r="Z115" s="51" t="n">
        <v>0</v>
      </c>
      <c r="AA115" s="52" t="n">
        <v>0</v>
      </c>
      <c r="AB115" s="52" t="n">
        <v>0</v>
      </c>
      <c r="AC115" s="52" t="n">
        <v>0</v>
      </c>
      <c r="AD115" s="52" t="n">
        <v>0</v>
      </c>
      <c r="AE115" s="52" t="n">
        <v>0</v>
      </c>
      <c r="AF115" s="52" t="n">
        <v>0</v>
      </c>
      <c r="AG115" s="52" t="n">
        <v>0</v>
      </c>
      <c r="AH115" s="52" t="n">
        <v>0</v>
      </c>
      <c r="AI115" s="52" t="n">
        <v>0</v>
      </c>
      <c r="AJ115" s="52" t="n">
        <v>0</v>
      </c>
      <c r="AK115" s="52" t="n">
        <v>0</v>
      </c>
      <c r="AL115" s="52" t="n">
        <v>0</v>
      </c>
      <c r="AM115" s="53" t="n">
        <v>0</v>
      </c>
      <c r="AN115" s="53" t="n">
        <v>0</v>
      </c>
      <c r="AO115" s="53" t="n">
        <v>0</v>
      </c>
      <c r="AP115" s="53" t="n">
        <v>0</v>
      </c>
      <c r="AQ115" s="52" t="n">
        <v>0</v>
      </c>
      <c r="AR115" s="52" t="n">
        <v>0</v>
      </c>
      <c r="AS115" s="52" t="n">
        <v>0</v>
      </c>
      <c r="AT115" s="52" t="n">
        <v>0</v>
      </c>
      <c r="AU115" s="53" t="n">
        <v>0</v>
      </c>
      <c r="AV115" s="53" t="n">
        <v>0</v>
      </c>
      <c r="AW115" s="53" t="n">
        <v>0</v>
      </c>
      <c r="AX115" s="53" t="n">
        <v>0</v>
      </c>
      <c r="AY115" s="52" t="n">
        <v>19.99</v>
      </c>
      <c r="AZ115" s="52" t="n">
        <v>0</v>
      </c>
      <c r="BA115" s="52" t="n">
        <v>0</v>
      </c>
      <c r="BB115" s="52" t="n">
        <v>0</v>
      </c>
      <c r="BC115" s="51" t="n">
        <v>0</v>
      </c>
      <c r="BD115" s="51" t="n">
        <v>0</v>
      </c>
      <c r="BE115" s="51" t="n">
        <v>0</v>
      </c>
      <c r="BF115" s="51" t="n">
        <v>0</v>
      </c>
    </row>
    <row r="116">
      <c r="A116">
        <f>HYPERLINK("https://www.walmart.com/ip/10298018192", "10298018192")</f>
        <v/>
      </c>
      <c r="B116" t="inlineStr">
        <is>
          <t>Wrangler Men’s Leather Country Casual Every Day Dress Belt for Jeans, Khakis Brown 44</t>
        </is>
      </c>
      <c r="C116" t="inlineStr">
        <is>
          <t>WR-BELT-MENS-COUNTRY-BROWN-44</t>
        </is>
      </c>
      <c r="D116" t="inlineStr">
        <is>
          <t>Belts</t>
        </is>
      </c>
      <c r="E116" t="inlineStr">
        <is>
          <t>Wrangler</t>
        </is>
      </c>
      <c r="F116" t="inlineStr">
        <is>
          <t>Belts</t>
        </is>
      </c>
      <c r="G116" s="48" t="n">
        <v>19.99</v>
      </c>
      <c r="H116" s="48" t="n">
        <v>19.99</v>
      </c>
      <c r="I116" s="48" t="n">
        <v>19.99</v>
      </c>
      <c r="J116" s="48" t="n">
        <v>0</v>
      </c>
      <c r="K116" s="49" t="n">
        <v>1</v>
      </c>
      <c r="L116" s="49" t="n">
        <v>1</v>
      </c>
      <c r="M116" s="49" t="n">
        <v>1</v>
      </c>
      <c r="N116" s="49" t="n">
        <v>0</v>
      </c>
      <c r="O116" s="49" t="n">
        <v>0</v>
      </c>
      <c r="P116" s="49" t="n">
        <v>0</v>
      </c>
      <c r="Q116" s="49" t="n">
        <v>0</v>
      </c>
      <c r="R116" s="49" t="n">
        <v>0</v>
      </c>
      <c r="S116" s="50" t="n">
        <v>0</v>
      </c>
      <c r="T116" s="50" t="n">
        <v>0</v>
      </c>
      <c r="U116" s="50" t="n">
        <v>0</v>
      </c>
      <c r="V116" s="50" t="n">
        <v>0</v>
      </c>
      <c r="W116" s="51" t="n">
        <v>0</v>
      </c>
      <c r="X116" s="51" t="n">
        <v>0</v>
      </c>
      <c r="Y116" s="51" t="n">
        <v>0</v>
      </c>
      <c r="Z116" s="51" t="n">
        <v>0</v>
      </c>
      <c r="AA116" s="52" t="n">
        <v>0</v>
      </c>
      <c r="AB116" s="52" t="n">
        <v>0</v>
      </c>
      <c r="AC116" s="52" t="n">
        <v>0</v>
      </c>
      <c r="AD116" s="52" t="n">
        <v>0</v>
      </c>
      <c r="AE116" s="52" t="n">
        <v>0</v>
      </c>
      <c r="AF116" s="52" t="n">
        <v>0</v>
      </c>
      <c r="AG116" s="52" t="n">
        <v>0</v>
      </c>
      <c r="AH116" s="52" t="n">
        <v>0</v>
      </c>
      <c r="AI116" s="52" t="n">
        <v>0</v>
      </c>
      <c r="AJ116" s="52" t="n">
        <v>0</v>
      </c>
      <c r="AK116" s="52" t="n">
        <v>0</v>
      </c>
      <c r="AL116" s="52" t="n">
        <v>0</v>
      </c>
      <c r="AM116" s="53" t="n">
        <v>0</v>
      </c>
      <c r="AN116" s="53" t="n">
        <v>0</v>
      </c>
      <c r="AO116" s="53" t="n">
        <v>0</v>
      </c>
      <c r="AP116" s="53" t="n">
        <v>0</v>
      </c>
      <c r="AQ116" s="52" t="n">
        <v>0</v>
      </c>
      <c r="AR116" s="52" t="n">
        <v>0</v>
      </c>
      <c r="AS116" s="52" t="n">
        <v>0</v>
      </c>
      <c r="AT116" s="52" t="n">
        <v>0</v>
      </c>
      <c r="AU116" s="53" t="n">
        <v>0</v>
      </c>
      <c r="AV116" s="53" t="n">
        <v>0</v>
      </c>
      <c r="AW116" s="53" t="n">
        <v>0</v>
      </c>
      <c r="AX116" s="53" t="n">
        <v>0</v>
      </c>
      <c r="AY116" s="52" t="n">
        <v>19.99</v>
      </c>
      <c r="AZ116" s="52" t="n">
        <v>19.99</v>
      </c>
      <c r="BA116" s="52" t="n">
        <v>19.99</v>
      </c>
      <c r="BB116" s="52" t="n">
        <v>0</v>
      </c>
      <c r="BC116" s="51" t="n">
        <v>0</v>
      </c>
      <c r="BD116" s="51" t="n">
        <v>0</v>
      </c>
      <c r="BE116" s="51" t="n">
        <v>0</v>
      </c>
      <c r="BF116" s="51" t="n">
        <v>0</v>
      </c>
    </row>
    <row r="117">
      <c r="A117">
        <f>HYPERLINK("https://www.walmart.com/ip/10298068829", "10298068829")</f>
        <v/>
      </c>
      <c r="B117" t="inlineStr">
        <is>
          <t>Wrangler Men’s Leather Country Casual Every Day Belt for Jeans, Khakis Black 44</t>
        </is>
      </c>
      <c r="C117" t="inlineStr">
        <is>
          <t>WR-BELT-MENS-COUNTRY-BLACK-44</t>
        </is>
      </c>
      <c r="D117" t="inlineStr">
        <is>
          <t>Belts</t>
        </is>
      </c>
      <c r="E117" t="inlineStr">
        <is>
          <t>Wrangler</t>
        </is>
      </c>
      <c r="F117" t="inlineStr">
        <is>
          <t>Belts</t>
        </is>
      </c>
      <c r="G117" s="48" t="n">
        <v>19.99</v>
      </c>
      <c r="H117" s="48" t="n">
        <v>79.95999999999999</v>
      </c>
      <c r="I117" s="48" t="n">
        <v>39.98</v>
      </c>
      <c r="J117" s="48" t="n">
        <v>59.97</v>
      </c>
      <c r="K117" s="49" t="n">
        <v>0</v>
      </c>
      <c r="L117" s="49" t="n">
        <v>4</v>
      </c>
      <c r="M117" s="49" t="n">
        <v>2</v>
      </c>
      <c r="N117" s="49" t="n">
        <v>3</v>
      </c>
      <c r="O117" s="49" t="n">
        <v>4</v>
      </c>
      <c r="P117" s="49" t="n">
        <v>3</v>
      </c>
      <c r="Q117" s="49" t="n">
        <v>4</v>
      </c>
      <c r="R117" s="49" t="n">
        <v>1</v>
      </c>
      <c r="S117" s="50" t="n">
        <v>0</v>
      </c>
      <c r="T117" s="50" t="n">
        <v>1.333333333333333</v>
      </c>
      <c r="U117" s="50" t="n">
        <v>0.5</v>
      </c>
      <c r="V117" s="50" t="n">
        <v>3</v>
      </c>
      <c r="W117" s="51" t="n">
        <v>0</v>
      </c>
      <c r="X117" s="51" t="n">
        <v>0</v>
      </c>
      <c r="Y117" s="51" t="n">
        <v>0</v>
      </c>
      <c r="Z117" s="51" t="n">
        <v>0</v>
      </c>
      <c r="AA117" s="52" t="n">
        <v>0</v>
      </c>
      <c r="AB117" s="52" t="n">
        <v>0</v>
      </c>
      <c r="AC117" s="52" t="n">
        <v>0</v>
      </c>
      <c r="AD117" s="52" t="n">
        <v>0</v>
      </c>
      <c r="AE117" s="52" t="n">
        <v>0</v>
      </c>
      <c r="AF117" s="52" t="n">
        <v>0</v>
      </c>
      <c r="AG117" s="52" t="n">
        <v>0</v>
      </c>
      <c r="AH117" s="52" t="n">
        <v>0</v>
      </c>
      <c r="AI117" s="52" t="n">
        <v>0</v>
      </c>
      <c r="AJ117" s="52" t="n">
        <v>0</v>
      </c>
      <c r="AK117" s="52" t="n">
        <v>0</v>
      </c>
      <c r="AL117" s="52" t="n">
        <v>0</v>
      </c>
      <c r="AM117" s="53" t="n">
        <v>0</v>
      </c>
      <c r="AN117" s="53" t="n">
        <v>0</v>
      </c>
      <c r="AO117" s="53" t="n">
        <v>0</v>
      </c>
      <c r="AP117" s="53" t="n">
        <v>0</v>
      </c>
      <c r="AQ117" s="52" t="n">
        <v>0</v>
      </c>
      <c r="AR117" s="52" t="n">
        <v>0</v>
      </c>
      <c r="AS117" s="52" t="n">
        <v>0</v>
      </c>
      <c r="AT117" s="52" t="n">
        <v>0</v>
      </c>
      <c r="AU117" s="53" t="n">
        <v>0</v>
      </c>
      <c r="AV117" s="53" t="n">
        <v>0</v>
      </c>
      <c r="AW117" s="53" t="n">
        <v>0</v>
      </c>
      <c r="AX117" s="53" t="n">
        <v>0</v>
      </c>
      <c r="AY117" s="52" t="n">
        <v>0</v>
      </c>
      <c r="AZ117" s="52" t="n">
        <v>19.99</v>
      </c>
      <c r="BA117" s="52" t="n">
        <v>19.99</v>
      </c>
      <c r="BB117" s="52" t="n">
        <v>19.99</v>
      </c>
      <c r="BC117" s="51" t="n">
        <v>0</v>
      </c>
      <c r="BD117" s="51" t="n">
        <v>0</v>
      </c>
      <c r="BE117" s="51" t="n">
        <v>0</v>
      </c>
      <c r="BF117" s="51" t="n">
        <v>0</v>
      </c>
    </row>
    <row r="118">
      <c r="A118">
        <f>HYPERLINK("https://www.walmart.com/ip/10261422163", "10261422163")</f>
        <v/>
      </c>
      <c r="B118" t="inlineStr">
        <is>
          <t>Wrangler Men’s Leather Country Casual Every Day Dress Belt for Jeans, Khakis Light Brown 34</t>
        </is>
      </c>
      <c r="C118" t="inlineStr">
        <is>
          <t>WR-BELT-MENS-COUNTRY-LTBROWN-34</t>
        </is>
      </c>
      <c r="D118" t="inlineStr">
        <is>
          <t>Belts</t>
        </is>
      </c>
      <c r="E118" t="inlineStr">
        <is>
          <t>Wrangler</t>
        </is>
      </c>
      <c r="F118" t="inlineStr">
        <is>
          <t>Belts</t>
        </is>
      </c>
      <c r="G118" s="48" t="n">
        <v>19.99</v>
      </c>
      <c r="H118" s="48" t="n">
        <v>0</v>
      </c>
      <c r="I118" s="48" t="n">
        <v>19.99</v>
      </c>
      <c r="J118" s="48" t="n">
        <v>0</v>
      </c>
      <c r="K118" s="49" t="n">
        <v>1</v>
      </c>
      <c r="L118" s="49" t="n">
        <v>0</v>
      </c>
      <c r="M118" s="49" t="n">
        <v>1</v>
      </c>
      <c r="N118" s="49" t="n">
        <v>0</v>
      </c>
      <c r="O118" s="49" t="n">
        <v>0</v>
      </c>
      <c r="P118" s="49" t="n">
        <v>1</v>
      </c>
      <c r="Q118" s="49" t="n">
        <v>4</v>
      </c>
      <c r="R118" s="49" t="n">
        <v>4</v>
      </c>
      <c r="S118" s="50" t="n">
        <v>0</v>
      </c>
      <c r="T118" s="50" t="n">
        <v>0</v>
      </c>
      <c r="U118" s="50" t="n">
        <v>0.25</v>
      </c>
      <c r="V118" s="50" t="n">
        <v>0</v>
      </c>
      <c r="W118" s="51" t="n">
        <v>0</v>
      </c>
      <c r="X118" s="51" t="n">
        <v>0</v>
      </c>
      <c r="Y118" s="51" t="n">
        <v>2</v>
      </c>
      <c r="Z118" s="51" t="n">
        <v>6</v>
      </c>
      <c r="AA118" s="52" t="n">
        <v>0</v>
      </c>
      <c r="AB118" s="52" t="n">
        <v>0</v>
      </c>
      <c r="AC118" s="52" t="n">
        <v>0.61</v>
      </c>
      <c r="AD118" s="52" t="n">
        <v>2.14</v>
      </c>
      <c r="AE118" s="52" t="n">
        <v>0</v>
      </c>
      <c r="AF118" s="52" t="n">
        <v>0</v>
      </c>
      <c r="AG118" s="52" t="n">
        <v>19.99</v>
      </c>
      <c r="AH118" s="52" t="n">
        <v>0</v>
      </c>
      <c r="AI118" s="52" t="n">
        <v>0</v>
      </c>
      <c r="AJ118" s="52" t="n">
        <v>0</v>
      </c>
      <c r="AK118" s="52" t="n">
        <v>32.77</v>
      </c>
      <c r="AL118" s="52" t="n">
        <v>0</v>
      </c>
      <c r="AM118" s="53" t="n">
        <v>0</v>
      </c>
      <c r="AN118" s="53" t="n">
        <v>0</v>
      </c>
      <c r="AO118" s="53" t="n">
        <v>0.0022</v>
      </c>
      <c r="AP118" s="53" t="n">
        <v>0.0109</v>
      </c>
      <c r="AQ118" s="52" t="n">
        <v>0</v>
      </c>
      <c r="AR118" s="52" t="n">
        <v>0</v>
      </c>
      <c r="AS118" s="52" t="n">
        <v>0.305</v>
      </c>
      <c r="AT118" s="52" t="n">
        <v>0.3566666666666667</v>
      </c>
      <c r="AU118" s="53" t="n">
        <v>0</v>
      </c>
      <c r="AV118" s="53" t="n">
        <v>0</v>
      </c>
      <c r="AW118" s="53" t="n">
        <v>0.03051525762881441</v>
      </c>
      <c r="AX118" s="53" t="n">
        <v>0</v>
      </c>
      <c r="AY118" s="52" t="n">
        <v>19.99</v>
      </c>
      <c r="AZ118" s="52" t="n">
        <v>0</v>
      </c>
      <c r="BA118" s="52" t="n">
        <v>19.99</v>
      </c>
      <c r="BB118" s="52" t="n">
        <v>0</v>
      </c>
      <c r="BC118" s="51" t="n">
        <v>207</v>
      </c>
      <c r="BD118" s="51" t="n">
        <v>537</v>
      </c>
      <c r="BE118" s="51" t="n">
        <v>893</v>
      </c>
      <c r="BF118" s="51" t="n">
        <v>549</v>
      </c>
    </row>
    <row r="119">
      <c r="A119">
        <f>HYPERLINK("https://www.walmart.com/ip/276368017", "276368017")</f>
        <v/>
      </c>
      <c r="B119" t="inlineStr">
        <is>
          <t>Tirrinia 2 Bottle Wine Tote Carrier - Insulated and Padded Versatile Cooler Bag for Travel, BYOB Restaurant, Wine Tasting, Party, Great Gift for Wine Lover, Dark Blue, 8.5" x 3.8" x 14".</t>
        </is>
      </c>
      <c r="C119" t="inlineStr">
        <is>
          <t>1TRWB221DBL</t>
        </is>
      </c>
      <c r="D119" t="inlineStr">
        <is>
          <t>Wine Totes, Bags &amp; Backpacks</t>
        </is>
      </c>
      <c r="E119" t="inlineStr">
        <is>
          <t>Tirrinia</t>
        </is>
      </c>
      <c r="F119" t="inlineStr">
        <is>
          <t>Wine,Christmas,Optimized,Valentine</t>
        </is>
      </c>
      <c r="G119" s="48" t="n">
        <v>19.99</v>
      </c>
      <c r="H119" s="48" t="n">
        <v>0</v>
      </c>
      <c r="I119" s="48" t="n">
        <v>0</v>
      </c>
      <c r="J119" s="48" t="n">
        <v>0</v>
      </c>
      <c r="K119" s="49" t="n">
        <v>1</v>
      </c>
      <c r="L119" s="49" t="n">
        <v>0</v>
      </c>
      <c r="M119" s="49" t="n">
        <v>0</v>
      </c>
      <c r="N119" s="49" t="n">
        <v>0</v>
      </c>
      <c r="O119" s="49" t="n">
        <v>0</v>
      </c>
      <c r="P119" s="49" t="n">
        <v>0</v>
      </c>
      <c r="Q119" s="49" t="n">
        <v>0</v>
      </c>
      <c r="R119" s="49" t="n">
        <v>0</v>
      </c>
      <c r="S119" s="50" t="n">
        <v>0</v>
      </c>
      <c r="T119" s="50" t="n">
        <v>0</v>
      </c>
      <c r="U119" s="50" t="n">
        <v>0</v>
      </c>
      <c r="V119" s="50" t="n">
        <v>0</v>
      </c>
      <c r="W119" s="51" t="n">
        <v>0</v>
      </c>
      <c r="X119" s="51" t="n">
        <v>1</v>
      </c>
      <c r="Y119" s="51" t="n">
        <v>0</v>
      </c>
      <c r="Z119" s="51" t="n">
        <v>0</v>
      </c>
      <c r="AA119" s="52" t="n">
        <v>0</v>
      </c>
      <c r="AB119" s="52" t="n">
        <v>0.4</v>
      </c>
      <c r="AC119" s="52" t="n">
        <v>0</v>
      </c>
      <c r="AD119" s="52" t="n">
        <v>0</v>
      </c>
      <c r="AE119" s="52" t="n">
        <v>0</v>
      </c>
      <c r="AF119" s="52" t="n">
        <v>17.99</v>
      </c>
      <c r="AG119" s="52" t="n">
        <v>0</v>
      </c>
      <c r="AH119" s="52" t="n">
        <v>0</v>
      </c>
      <c r="AI119" s="52" t="n">
        <v>0</v>
      </c>
      <c r="AJ119" s="52" t="n">
        <v>44.97</v>
      </c>
      <c r="AK119" s="52" t="n">
        <v>0</v>
      </c>
      <c r="AL119" s="52" t="n">
        <v>0</v>
      </c>
      <c r="AM119" s="53" t="n">
        <v>0</v>
      </c>
      <c r="AN119" s="53" t="n">
        <v>0.0025</v>
      </c>
      <c r="AO119" s="53" t="n">
        <v>0</v>
      </c>
      <c r="AP119" s="53" t="n">
        <v>0</v>
      </c>
      <c r="AQ119" s="52" t="n">
        <v>0</v>
      </c>
      <c r="AR119" s="52" t="n">
        <v>0.4</v>
      </c>
      <c r="AS119" s="52" t="n">
        <v>0</v>
      </c>
      <c r="AT119" s="52" t="n">
        <v>0</v>
      </c>
      <c r="AU119" s="53" t="n">
        <v>0</v>
      </c>
      <c r="AV119" s="53" t="n">
        <v>0</v>
      </c>
      <c r="AW119" s="53" t="n">
        <v>0</v>
      </c>
      <c r="AX119" s="53" t="n">
        <v>0</v>
      </c>
      <c r="AY119" s="52" t="n">
        <v>19.99</v>
      </c>
      <c r="AZ119" s="52" t="n">
        <v>0</v>
      </c>
      <c r="BA119" s="52" t="n">
        <v>0</v>
      </c>
      <c r="BB119" s="52" t="n">
        <v>0</v>
      </c>
      <c r="BC119" s="51" t="n">
        <v>1157</v>
      </c>
      <c r="BD119" s="51" t="n">
        <v>394</v>
      </c>
      <c r="BE119" s="51" t="n">
        <v>452</v>
      </c>
      <c r="BF119" s="51" t="n">
        <v>317</v>
      </c>
    </row>
    <row r="120">
      <c r="A120">
        <f>HYPERLINK("https://www.walmart.com/ip/1882729772", "1882729772")</f>
        <v/>
      </c>
      <c r="B120" t="inlineStr">
        <is>
          <t>Wrangler Men’s Leather Embossed Logo Casual Every Day Belt for Jeans, Khakis Brown</t>
        </is>
      </c>
      <c r="C120" t="inlineStr">
        <is>
          <t>WR-BELT-MENS-EMBOSSED-BROWN-36</t>
        </is>
      </c>
      <c r="D120" t="inlineStr">
        <is>
          <t>Belts</t>
        </is>
      </c>
      <c r="E120" t="inlineStr">
        <is>
          <t>Wrangler</t>
        </is>
      </c>
      <c r="G120" s="48" t="n">
        <v>19.99</v>
      </c>
      <c r="H120" s="48" t="n">
        <v>0</v>
      </c>
      <c r="I120" s="48" t="n">
        <v>0</v>
      </c>
      <c r="J120" s="48" t="n">
        <v>0</v>
      </c>
      <c r="K120" s="49" t="n">
        <v>1</v>
      </c>
      <c r="L120" s="49" t="n">
        <v>0</v>
      </c>
      <c r="M120" s="49" t="n">
        <v>0</v>
      </c>
      <c r="N120" s="49" t="n">
        <v>0</v>
      </c>
      <c r="O120" s="49" t="n">
        <v>0</v>
      </c>
      <c r="P120" s="49" t="n">
        <v>0</v>
      </c>
      <c r="Q120" s="49" t="n">
        <v>0</v>
      </c>
      <c r="R120" s="49" t="n">
        <v>0</v>
      </c>
      <c r="S120" s="50" t="n">
        <v>0</v>
      </c>
      <c r="T120" s="50" t="n">
        <v>0</v>
      </c>
      <c r="U120" s="50" t="n">
        <v>0</v>
      </c>
      <c r="V120" s="50" t="n">
        <v>0</v>
      </c>
      <c r="W120" s="51" t="n">
        <v>0</v>
      </c>
      <c r="X120" s="51" t="n">
        <v>0</v>
      </c>
      <c r="Y120" s="51" t="n">
        <v>0</v>
      </c>
      <c r="Z120" s="51" t="n">
        <v>0</v>
      </c>
      <c r="AA120" s="52" t="n">
        <v>0</v>
      </c>
      <c r="AB120" s="52" t="n">
        <v>0</v>
      </c>
      <c r="AC120" s="52" t="n">
        <v>0</v>
      </c>
      <c r="AD120" s="52" t="n">
        <v>0</v>
      </c>
      <c r="AE120" s="52" t="n">
        <v>0</v>
      </c>
      <c r="AF120" s="52" t="n">
        <v>0</v>
      </c>
      <c r="AG120" s="52" t="n">
        <v>0</v>
      </c>
      <c r="AH120" s="52" t="n">
        <v>0</v>
      </c>
      <c r="AI120" s="52" t="n">
        <v>0</v>
      </c>
      <c r="AJ120" s="52" t="n">
        <v>0</v>
      </c>
      <c r="AK120" s="52" t="n">
        <v>0</v>
      </c>
      <c r="AL120" s="52" t="n">
        <v>0</v>
      </c>
      <c r="AM120" s="53" t="n">
        <v>0</v>
      </c>
      <c r="AN120" s="53" t="n">
        <v>0</v>
      </c>
      <c r="AO120" s="53" t="n">
        <v>0</v>
      </c>
      <c r="AP120" s="53" t="n">
        <v>0</v>
      </c>
      <c r="AQ120" s="52" t="n">
        <v>0</v>
      </c>
      <c r="AR120" s="52" t="n">
        <v>0</v>
      </c>
      <c r="AS120" s="52" t="n">
        <v>0</v>
      </c>
      <c r="AT120" s="52" t="n">
        <v>0</v>
      </c>
      <c r="AU120" s="53" t="n">
        <v>0</v>
      </c>
      <c r="AV120" s="53" t="n">
        <v>0</v>
      </c>
      <c r="AW120" s="53" t="n">
        <v>0</v>
      </c>
      <c r="AX120" s="53" t="n">
        <v>0</v>
      </c>
      <c r="AY120" s="52" t="n">
        <v>19.99</v>
      </c>
      <c r="AZ120" s="52" t="n">
        <v>0</v>
      </c>
      <c r="BA120" s="52" t="n">
        <v>0</v>
      </c>
      <c r="BB120" s="52" t="n">
        <v>0</v>
      </c>
      <c r="BC120" s="51" t="n">
        <v>0</v>
      </c>
      <c r="BD120" s="51" t="n">
        <v>0</v>
      </c>
      <c r="BE120" s="51" t="n">
        <v>0</v>
      </c>
      <c r="BF120" s="51" t="n">
        <v>0</v>
      </c>
    </row>
    <row r="121">
      <c r="A121">
        <f>HYPERLINK("https://www.walmart.com/ip/3238174835", "3238174835")</f>
        <v/>
      </c>
      <c r="B121" t="inlineStr">
        <is>
          <t>Solaris Women Ponytail Sun Hat for Hiking Fishing Gardening Outdoor UV Protection Safari Cap, Breathable Mesh and Ponytail Hole Opening, Olive</t>
        </is>
      </c>
      <c r="C121" t="inlineStr">
        <is>
          <t>1SLSH912OL</t>
        </is>
      </c>
      <c r="D121" t="inlineStr">
        <is>
          <t>Hats</t>
        </is>
      </c>
      <c r="E121" t="inlineStr">
        <is>
          <t>Solaris</t>
        </is>
      </c>
      <c r="F121" t="inlineStr">
        <is>
          <t>Q2-Target,Hats</t>
        </is>
      </c>
      <c r="G121" s="48" t="n">
        <v>19.98</v>
      </c>
      <c r="H121" s="48" t="n">
        <v>0</v>
      </c>
      <c r="I121" s="48" t="n">
        <v>0</v>
      </c>
      <c r="J121" s="48" t="n">
        <v>9.99</v>
      </c>
      <c r="K121" s="49" t="n">
        <v>2</v>
      </c>
      <c r="L121" s="49" t="n">
        <v>0</v>
      </c>
      <c r="M121" s="49" t="n">
        <v>0</v>
      </c>
      <c r="N121" s="49" t="n">
        <v>1</v>
      </c>
      <c r="O121" s="49" t="n">
        <v>5</v>
      </c>
      <c r="P121" s="49" t="n">
        <v>2</v>
      </c>
      <c r="Q121" s="49" t="n">
        <v>0</v>
      </c>
      <c r="R121" s="49" t="n">
        <v>0</v>
      </c>
      <c r="S121" s="50" t="n">
        <v>0.4</v>
      </c>
      <c r="T121" s="50" t="n">
        <v>0</v>
      </c>
      <c r="U121" s="50" t="n">
        <v>0</v>
      </c>
      <c r="V121" s="50" t="n">
        <v>0</v>
      </c>
      <c r="W121" s="51" t="n">
        <v>0</v>
      </c>
      <c r="X121" s="51" t="n">
        <v>0</v>
      </c>
      <c r="Y121" s="51" t="n">
        <v>0</v>
      </c>
      <c r="Z121" s="51" t="n">
        <v>0</v>
      </c>
      <c r="AA121" s="52" t="n">
        <v>0</v>
      </c>
      <c r="AB121" s="52" t="n">
        <v>0</v>
      </c>
      <c r="AC121" s="52" t="n">
        <v>0</v>
      </c>
      <c r="AD121" s="52" t="n">
        <v>0</v>
      </c>
      <c r="AE121" s="52" t="n">
        <v>0</v>
      </c>
      <c r="AF121" s="52" t="n">
        <v>0</v>
      </c>
      <c r="AG121" s="52" t="n">
        <v>0</v>
      </c>
      <c r="AH121" s="52" t="n">
        <v>0</v>
      </c>
      <c r="AI121" s="52" t="n">
        <v>0</v>
      </c>
      <c r="AJ121" s="52" t="n">
        <v>0</v>
      </c>
      <c r="AK121" s="52" t="n">
        <v>0</v>
      </c>
      <c r="AL121" s="52" t="n">
        <v>0</v>
      </c>
      <c r="AM121" s="53" t="n">
        <v>0</v>
      </c>
      <c r="AN121" s="53" t="n">
        <v>0</v>
      </c>
      <c r="AO121" s="53" t="n">
        <v>0</v>
      </c>
      <c r="AP121" s="53" t="n">
        <v>0</v>
      </c>
      <c r="AQ121" s="52" t="n">
        <v>0</v>
      </c>
      <c r="AR121" s="52" t="n">
        <v>0</v>
      </c>
      <c r="AS121" s="52" t="n">
        <v>0</v>
      </c>
      <c r="AT121" s="52" t="n">
        <v>0</v>
      </c>
      <c r="AU121" s="53" t="n">
        <v>0</v>
      </c>
      <c r="AV121" s="53" t="n">
        <v>0</v>
      </c>
      <c r="AW121" s="53" t="n">
        <v>0</v>
      </c>
      <c r="AX121" s="53" t="n">
        <v>0</v>
      </c>
      <c r="AY121" s="52" t="n">
        <v>9.99</v>
      </c>
      <c r="AZ121" s="52" t="n">
        <v>0</v>
      </c>
      <c r="BA121" s="52" t="n">
        <v>0</v>
      </c>
      <c r="BB121" s="52" t="n">
        <v>9.99</v>
      </c>
      <c r="BC121" s="51" t="n">
        <v>0</v>
      </c>
      <c r="BD121" s="51" t="n">
        <v>0</v>
      </c>
      <c r="BE121" s="51" t="n">
        <v>0</v>
      </c>
      <c r="BF121" s="51" t="n">
        <v>0</v>
      </c>
    </row>
    <row r="122">
      <c r="A122">
        <f>HYPERLINK("https://www.walmart.com/ip/1023440539", "1023440539")</f>
        <v/>
      </c>
      <c r="B122" t="inlineStr">
        <is>
          <t>Tirrinia Insulated Lunch Bag, Leakproof Thermal Bento Cooler Tote for Women and Men, Dual Compartment with Shoulder Strap, 10.2" x 7.5" x 9", Gray</t>
        </is>
      </c>
      <c r="C122" t="inlineStr">
        <is>
          <t>1TRLB601GY</t>
        </is>
      </c>
      <c r="D122" t="inlineStr">
        <is>
          <t>Reusable Lunch Bags &amp; Boxes</t>
        </is>
      </c>
      <c r="E122" t="inlineStr">
        <is>
          <t>Tirrinia</t>
        </is>
      </c>
      <c r="F122" t="inlineStr">
        <is>
          <t>Q2-Target</t>
        </is>
      </c>
      <c r="G122" s="48" t="n">
        <v>18.99</v>
      </c>
      <c r="H122" s="48" t="n">
        <v>0</v>
      </c>
      <c r="I122" s="48" t="n">
        <v>0</v>
      </c>
      <c r="J122" s="48" t="n">
        <v>0</v>
      </c>
      <c r="K122" s="49" t="n">
        <v>1</v>
      </c>
      <c r="L122" s="49" t="n">
        <v>0</v>
      </c>
      <c r="M122" s="49" t="n">
        <v>0</v>
      </c>
      <c r="N122" s="49" t="n">
        <v>0</v>
      </c>
      <c r="O122" s="49" t="n">
        <v>0</v>
      </c>
      <c r="P122" s="49" t="n">
        <v>0</v>
      </c>
      <c r="Q122" s="49" t="n">
        <v>0</v>
      </c>
      <c r="R122" s="49" t="n">
        <v>0</v>
      </c>
      <c r="S122" s="50" t="n">
        <v>0</v>
      </c>
      <c r="T122" s="50" t="n">
        <v>0</v>
      </c>
      <c r="U122" s="50" t="n">
        <v>0</v>
      </c>
      <c r="V122" s="50" t="n">
        <v>0</v>
      </c>
      <c r="W122" s="51" t="n">
        <v>0</v>
      </c>
      <c r="X122" s="51" t="n">
        <v>0</v>
      </c>
      <c r="Y122" s="51" t="n">
        <v>0</v>
      </c>
      <c r="Z122" s="51" t="n">
        <v>0</v>
      </c>
      <c r="AA122" s="52" t="n">
        <v>0</v>
      </c>
      <c r="AB122" s="52" t="n">
        <v>0</v>
      </c>
      <c r="AC122" s="52" t="n">
        <v>0</v>
      </c>
      <c r="AD122" s="52" t="n">
        <v>0</v>
      </c>
      <c r="AE122" s="52" t="n">
        <v>0</v>
      </c>
      <c r="AF122" s="52" t="n">
        <v>0</v>
      </c>
      <c r="AG122" s="52" t="n">
        <v>0</v>
      </c>
      <c r="AH122" s="52" t="n">
        <v>0</v>
      </c>
      <c r="AI122" s="52" t="n">
        <v>0</v>
      </c>
      <c r="AJ122" s="52" t="n">
        <v>0</v>
      </c>
      <c r="AK122" s="52" t="n">
        <v>0</v>
      </c>
      <c r="AL122" s="52" t="n">
        <v>0</v>
      </c>
      <c r="AM122" s="53" t="n">
        <v>0</v>
      </c>
      <c r="AN122" s="53" t="n">
        <v>0</v>
      </c>
      <c r="AO122" s="53" t="n">
        <v>0</v>
      </c>
      <c r="AP122" s="53" t="n">
        <v>0</v>
      </c>
      <c r="AQ122" s="52" t="n">
        <v>0</v>
      </c>
      <c r="AR122" s="52" t="n">
        <v>0</v>
      </c>
      <c r="AS122" s="52" t="n">
        <v>0</v>
      </c>
      <c r="AT122" s="52" t="n">
        <v>0</v>
      </c>
      <c r="AU122" s="53" t="n">
        <v>0</v>
      </c>
      <c r="AV122" s="53" t="n">
        <v>0</v>
      </c>
      <c r="AW122" s="53" t="n">
        <v>0</v>
      </c>
      <c r="AX122" s="53" t="n">
        <v>0</v>
      </c>
      <c r="AY122" s="52" t="n">
        <v>18.99</v>
      </c>
      <c r="AZ122" s="52" t="n">
        <v>0</v>
      </c>
      <c r="BA122" s="52" t="n">
        <v>0</v>
      </c>
      <c r="BB122" s="52" t="n">
        <v>0</v>
      </c>
      <c r="BC122" s="51" t="n">
        <v>0</v>
      </c>
      <c r="BD122" s="51" t="n">
        <v>0</v>
      </c>
      <c r="BE122" s="51" t="n">
        <v>0</v>
      </c>
      <c r="BF122" s="51" t="n">
        <v>0</v>
      </c>
    </row>
    <row r="123">
      <c r="A123">
        <f>HYPERLINK("https://www.walmart.com/ip/945718003", "945718003")</f>
        <v/>
      </c>
      <c r="B123" t="inlineStr">
        <is>
          <t>Solaris Sun Hat for Women, Wide Brim Summer Beach Hat with Neck Flap, UPF 50+ Fishing Hat for Hiking, Blue</t>
        </is>
      </c>
      <c r="C123" t="inlineStr">
        <is>
          <t>1SLSH921BL</t>
        </is>
      </c>
      <c r="D123" t="inlineStr">
        <is>
          <t>Hats</t>
        </is>
      </c>
      <c r="E123" t="inlineStr">
        <is>
          <t>Solaris</t>
        </is>
      </c>
      <c r="F123" t="inlineStr">
        <is>
          <t>Q2-Target,Hats,Batch 1 - TR</t>
        </is>
      </c>
      <c r="G123" s="48" t="n">
        <v>18.99</v>
      </c>
      <c r="H123" s="48" t="n">
        <v>18.99</v>
      </c>
      <c r="I123" s="48" t="n">
        <v>0</v>
      </c>
      <c r="J123" s="48" t="n">
        <v>0</v>
      </c>
      <c r="K123" s="49" t="n">
        <v>1</v>
      </c>
      <c r="L123" s="49" t="n">
        <v>1</v>
      </c>
      <c r="M123" s="49" t="n">
        <v>0</v>
      </c>
      <c r="N123" s="49" t="n">
        <v>0</v>
      </c>
      <c r="O123" s="49" t="n">
        <v>3</v>
      </c>
      <c r="P123" s="49" t="n">
        <v>3</v>
      </c>
      <c r="Q123" s="49" t="n">
        <v>4</v>
      </c>
      <c r="R123" s="49" t="n">
        <v>4</v>
      </c>
      <c r="S123" s="50" t="n">
        <v>0.3333333333333333</v>
      </c>
      <c r="T123" s="50" t="n">
        <v>0.3333333333333333</v>
      </c>
      <c r="U123" s="50" t="n">
        <v>0</v>
      </c>
      <c r="V123" s="50" t="n">
        <v>0</v>
      </c>
      <c r="W123" s="51" t="n">
        <v>0</v>
      </c>
      <c r="X123" s="51" t="n">
        <v>0</v>
      </c>
      <c r="Y123" s="51" t="n">
        <v>0</v>
      </c>
      <c r="Z123" s="51" t="n">
        <v>0</v>
      </c>
      <c r="AA123" s="52" t="n">
        <v>0</v>
      </c>
      <c r="AB123" s="52" t="n">
        <v>0</v>
      </c>
      <c r="AC123" s="52" t="n">
        <v>0</v>
      </c>
      <c r="AD123" s="52" t="n">
        <v>0</v>
      </c>
      <c r="AE123" s="52" t="n">
        <v>0</v>
      </c>
      <c r="AF123" s="52" t="n">
        <v>0</v>
      </c>
      <c r="AG123" s="52" t="n">
        <v>0</v>
      </c>
      <c r="AH123" s="52" t="n">
        <v>0</v>
      </c>
      <c r="AI123" s="52" t="n">
        <v>0</v>
      </c>
      <c r="AJ123" s="52" t="n">
        <v>0</v>
      </c>
      <c r="AK123" s="52" t="n">
        <v>0</v>
      </c>
      <c r="AL123" s="52" t="n">
        <v>0</v>
      </c>
      <c r="AM123" s="53" t="n">
        <v>0</v>
      </c>
      <c r="AN123" s="53" t="n">
        <v>0</v>
      </c>
      <c r="AO123" s="53" t="n">
        <v>0</v>
      </c>
      <c r="AP123" s="53" t="n">
        <v>0</v>
      </c>
      <c r="AQ123" s="52" t="n">
        <v>0</v>
      </c>
      <c r="AR123" s="52" t="n">
        <v>0</v>
      </c>
      <c r="AS123" s="52" t="n">
        <v>0</v>
      </c>
      <c r="AT123" s="52" t="n">
        <v>0</v>
      </c>
      <c r="AU123" s="53" t="n">
        <v>0</v>
      </c>
      <c r="AV123" s="53" t="n">
        <v>0</v>
      </c>
      <c r="AW123" s="53" t="n">
        <v>0</v>
      </c>
      <c r="AX123" s="53" t="n">
        <v>0</v>
      </c>
      <c r="AY123" s="52" t="n">
        <v>18.99</v>
      </c>
      <c r="AZ123" s="52" t="n">
        <v>18.99</v>
      </c>
      <c r="BA123" s="52" t="n">
        <v>0</v>
      </c>
      <c r="BB123" s="52" t="n">
        <v>0</v>
      </c>
      <c r="BC123" s="51" t="n">
        <v>0</v>
      </c>
      <c r="BD123" s="51" t="n">
        <v>0</v>
      </c>
      <c r="BE123" s="51" t="n">
        <v>0</v>
      </c>
      <c r="BF123" s="51" t="n">
        <v>0</v>
      </c>
    </row>
    <row r="124">
      <c r="A124">
        <f>HYPERLINK("https://www.walmart.com/ip/904345997", "904345997")</f>
        <v/>
      </c>
      <c r="B124" t="inlineStr">
        <is>
          <t>Catalonia Mermaid Tail Fleece Blanket, Soft Flannel All Seasons Bed Blanket for Kids, Adults, Rainbow Ombre Fish Scale Design Snuggle Blanket, Ideal Gift for Holidays, 61" x 19"</t>
        </is>
      </c>
      <c r="C124" t="inlineStr">
        <is>
          <t>1WMMM500PK</t>
        </is>
      </c>
      <c r="D124" t="inlineStr">
        <is>
          <t>Throws</t>
        </is>
      </c>
      <c r="E124" t="inlineStr">
        <is>
          <t>Flyingstar</t>
        </is>
      </c>
      <c r="F124" t="inlineStr">
        <is>
          <t>Q2-Target,Baby days,Optimized,Hero 5 Holidays,WFS,WFS Item</t>
        </is>
      </c>
      <c r="G124" s="48" t="n">
        <v>18.99</v>
      </c>
      <c r="H124" s="48" t="n">
        <v>18.99</v>
      </c>
      <c r="I124" s="48" t="n">
        <v>0</v>
      </c>
      <c r="J124" s="48" t="n">
        <v>0</v>
      </c>
      <c r="K124" s="49" t="n">
        <v>1</v>
      </c>
      <c r="L124" s="49" t="n">
        <v>1</v>
      </c>
      <c r="M124" s="49" t="n">
        <v>0</v>
      </c>
      <c r="N124" s="49" t="n">
        <v>0</v>
      </c>
      <c r="O124" s="49" t="n">
        <v>14</v>
      </c>
      <c r="P124" s="49" t="n">
        <v>13</v>
      </c>
      <c r="Q124" s="49" t="n">
        <v>11</v>
      </c>
      <c r="R124" s="49" t="n">
        <v>6</v>
      </c>
      <c r="S124" s="50" t="n">
        <v>0.07142857142857142</v>
      </c>
      <c r="T124" s="50" t="n">
        <v>0.07692307692307693</v>
      </c>
      <c r="U124" s="50" t="n">
        <v>0</v>
      </c>
      <c r="V124" s="50" t="n">
        <v>0</v>
      </c>
      <c r="W124" s="51" t="n">
        <v>4</v>
      </c>
      <c r="X124" s="51" t="n">
        <v>9</v>
      </c>
      <c r="Y124" s="51" t="n">
        <v>0</v>
      </c>
      <c r="Z124" s="51" t="n">
        <v>0</v>
      </c>
      <c r="AA124" s="52" t="n">
        <v>0.8200000000000001</v>
      </c>
      <c r="AB124" s="52" t="n">
        <v>1.82</v>
      </c>
      <c r="AC124" s="52" t="n">
        <v>0</v>
      </c>
      <c r="AD124" s="52" t="n">
        <v>0</v>
      </c>
      <c r="AE124" s="52" t="n">
        <v>18.99</v>
      </c>
      <c r="AF124" s="52" t="n">
        <v>0</v>
      </c>
      <c r="AG124" s="52" t="n">
        <v>0</v>
      </c>
      <c r="AH124" s="52" t="n">
        <v>0</v>
      </c>
      <c r="AI124" s="52" t="n">
        <v>23.16</v>
      </c>
      <c r="AJ124" s="52" t="n">
        <v>0</v>
      </c>
      <c r="AK124" s="52" t="n">
        <v>0</v>
      </c>
      <c r="AL124" s="52" t="n">
        <v>0</v>
      </c>
      <c r="AM124" s="53" t="n">
        <v>0.0014</v>
      </c>
      <c r="AN124" s="53" t="n">
        <v>0.003</v>
      </c>
      <c r="AO124" s="53" t="n">
        <v>0</v>
      </c>
      <c r="AP124" s="53" t="n">
        <v>0</v>
      </c>
      <c r="AQ124" s="52" t="n">
        <v>0.205</v>
      </c>
      <c r="AR124" s="52" t="n">
        <v>0.2022222222222222</v>
      </c>
      <c r="AS124" s="52" t="n">
        <v>0</v>
      </c>
      <c r="AT124" s="52" t="n">
        <v>0</v>
      </c>
      <c r="AU124" s="53" t="n">
        <v>0.04318062137967352</v>
      </c>
      <c r="AV124" s="53" t="n">
        <v>0.09583991574512903</v>
      </c>
      <c r="AW124" s="53" t="n">
        <v>0</v>
      </c>
      <c r="AX124" s="53" t="n">
        <v>0</v>
      </c>
      <c r="AY124" s="52" t="n">
        <v>18.99</v>
      </c>
      <c r="AZ124" s="52" t="n">
        <v>18.99</v>
      </c>
      <c r="BA124" s="52" t="n">
        <v>0</v>
      </c>
      <c r="BB124" s="52" t="n">
        <v>0</v>
      </c>
      <c r="BC124" s="51" t="n">
        <v>2928</v>
      </c>
      <c r="BD124" s="51" t="n">
        <v>2969</v>
      </c>
      <c r="BE124" s="51" t="n">
        <v>0</v>
      </c>
      <c r="BF124" s="51" t="n">
        <v>239</v>
      </c>
    </row>
    <row r="125">
      <c r="A125">
        <f>HYPERLINK("https://www.walmart.com/ip/1881428781", "1881428781")</f>
        <v/>
      </c>
      <c r="B125" t="inlineStr">
        <is>
          <t>Tirrinia Insulated Lunch Bag, Leakproof Thermal Bento Cooler Tote for Women and Men, Dual Compartment with Shoulder Strap, 10.2" x 7.5" x 9", Green</t>
        </is>
      </c>
      <c r="C125" t="inlineStr">
        <is>
          <t>1TRLB601GN</t>
        </is>
      </c>
      <c r="D125" t="inlineStr">
        <is>
          <t>Reusable Lunch Bags &amp; Boxes</t>
        </is>
      </c>
      <c r="E125" t="inlineStr">
        <is>
          <t>Tirrinia</t>
        </is>
      </c>
      <c r="F125" t="inlineStr">
        <is>
          <t>Q2-Target,Brand Camp VD,Lunch Bags,SEM,Batch 1 - TR</t>
        </is>
      </c>
      <c r="G125" s="48" t="n">
        <v>18.99</v>
      </c>
      <c r="H125" s="48" t="n">
        <v>0</v>
      </c>
      <c r="I125" s="48" t="n">
        <v>0</v>
      </c>
      <c r="J125" s="48" t="n">
        <v>0</v>
      </c>
      <c r="K125" s="49" t="n">
        <v>1</v>
      </c>
      <c r="L125" s="49" t="n">
        <v>0</v>
      </c>
      <c r="M125" s="49" t="n">
        <v>0</v>
      </c>
      <c r="N125" s="49" t="n">
        <v>0</v>
      </c>
      <c r="O125" s="49" t="n">
        <v>0</v>
      </c>
      <c r="P125" s="49" t="n">
        <v>0</v>
      </c>
      <c r="Q125" s="49" t="n">
        <v>1</v>
      </c>
      <c r="R125" s="49" t="n">
        <v>0</v>
      </c>
      <c r="S125" s="50" t="n">
        <v>0</v>
      </c>
      <c r="T125" s="50" t="n">
        <v>0</v>
      </c>
      <c r="U125" s="50" t="n">
        <v>0</v>
      </c>
      <c r="V125" s="50" t="n">
        <v>0</v>
      </c>
      <c r="W125" s="51" t="n">
        <v>0</v>
      </c>
      <c r="X125" s="51" t="n">
        <v>0</v>
      </c>
      <c r="Y125" s="51" t="n">
        <v>0</v>
      </c>
      <c r="Z125" s="51" t="n">
        <v>0</v>
      </c>
      <c r="AA125" s="52" t="n">
        <v>0</v>
      </c>
      <c r="AB125" s="52" t="n">
        <v>0</v>
      </c>
      <c r="AC125" s="52" t="n">
        <v>0</v>
      </c>
      <c r="AD125" s="52" t="n">
        <v>0</v>
      </c>
      <c r="AE125" s="52" t="n">
        <v>0</v>
      </c>
      <c r="AF125" s="52" t="n">
        <v>0</v>
      </c>
      <c r="AG125" s="52" t="n">
        <v>0</v>
      </c>
      <c r="AH125" s="52" t="n">
        <v>0</v>
      </c>
      <c r="AI125" s="52" t="n">
        <v>0</v>
      </c>
      <c r="AJ125" s="52" t="n">
        <v>0</v>
      </c>
      <c r="AK125" s="52" t="n">
        <v>0</v>
      </c>
      <c r="AL125" s="52" t="n">
        <v>0</v>
      </c>
      <c r="AM125" s="53" t="n">
        <v>0</v>
      </c>
      <c r="AN125" s="53" t="n">
        <v>0</v>
      </c>
      <c r="AO125" s="53" t="n">
        <v>0</v>
      </c>
      <c r="AP125" s="53" t="n">
        <v>0</v>
      </c>
      <c r="AQ125" s="52" t="n">
        <v>0</v>
      </c>
      <c r="AR125" s="52" t="n">
        <v>0</v>
      </c>
      <c r="AS125" s="52" t="n">
        <v>0</v>
      </c>
      <c r="AT125" s="52" t="n">
        <v>0</v>
      </c>
      <c r="AU125" s="53" t="n">
        <v>0</v>
      </c>
      <c r="AV125" s="53" t="n">
        <v>0</v>
      </c>
      <c r="AW125" s="53" t="n">
        <v>0</v>
      </c>
      <c r="AX125" s="53" t="n">
        <v>0</v>
      </c>
      <c r="AY125" s="52" t="n">
        <v>18.99</v>
      </c>
      <c r="AZ125" s="52" t="n">
        <v>0</v>
      </c>
      <c r="BA125" s="52" t="n">
        <v>0</v>
      </c>
      <c r="BB125" s="52" t="n">
        <v>0</v>
      </c>
      <c r="BC125" s="51" t="n">
        <v>0</v>
      </c>
      <c r="BD125" s="51" t="n">
        <v>0</v>
      </c>
      <c r="BE125" s="51" t="n">
        <v>0</v>
      </c>
      <c r="BF125" s="51" t="n">
        <v>0</v>
      </c>
    </row>
    <row r="126">
      <c r="A126">
        <f>HYPERLINK("https://www.walmart.com/ip/295672837", "295672837")</f>
        <v/>
      </c>
      <c r="B126" t="inlineStr">
        <is>
          <t>Tirrinia Insulated Lunch Bag, Leakproof Thermal Bento Cooler Tote for Women and Men, Dual Compartment with Shoulder Strap, 10.2" x 7.5" x 9", Dark Blue</t>
        </is>
      </c>
      <c r="C126" t="inlineStr">
        <is>
          <t>1TRLB601DB</t>
        </is>
      </c>
      <c r="D126" t="inlineStr">
        <is>
          <t>Reusable Lunch Bags &amp; Boxes</t>
        </is>
      </c>
      <c r="E126" t="inlineStr">
        <is>
          <t>Tirrinia</t>
        </is>
      </c>
      <c r="F126" t="inlineStr">
        <is>
          <t>Q2-Target,Brand Camp VD,Lunch Bag,WFS,Lunch Bags,SEM,WFS Item</t>
        </is>
      </c>
      <c r="G126" s="48" t="n">
        <v>18.99</v>
      </c>
      <c r="H126" s="48" t="n">
        <v>0</v>
      </c>
      <c r="I126" s="48" t="n">
        <v>0</v>
      </c>
      <c r="J126" s="48" t="n">
        <v>0</v>
      </c>
      <c r="K126" s="49" t="n">
        <v>1</v>
      </c>
      <c r="L126" s="49" t="n">
        <v>0</v>
      </c>
      <c r="M126" s="49" t="n">
        <v>0</v>
      </c>
      <c r="N126" s="49" t="n">
        <v>0</v>
      </c>
      <c r="O126" s="49" t="n">
        <v>0</v>
      </c>
      <c r="P126" s="49" t="n">
        <v>0</v>
      </c>
      <c r="Q126" s="49" t="n">
        <v>0</v>
      </c>
      <c r="R126" s="49" t="n">
        <v>0</v>
      </c>
      <c r="S126" s="50" t="n">
        <v>0</v>
      </c>
      <c r="T126" s="50" t="n">
        <v>0</v>
      </c>
      <c r="U126" s="50" t="n">
        <v>0</v>
      </c>
      <c r="V126" s="50" t="n">
        <v>0</v>
      </c>
      <c r="W126" s="51" t="n">
        <v>0</v>
      </c>
      <c r="X126" s="51" t="n">
        <v>0</v>
      </c>
      <c r="Y126" s="51" t="n">
        <v>0</v>
      </c>
      <c r="Z126" s="51" t="n">
        <v>0</v>
      </c>
      <c r="AA126" s="52" t="n">
        <v>0</v>
      </c>
      <c r="AB126" s="52" t="n">
        <v>0</v>
      </c>
      <c r="AC126" s="52" t="n">
        <v>0</v>
      </c>
      <c r="AD126" s="52" t="n">
        <v>0</v>
      </c>
      <c r="AE126" s="52" t="n">
        <v>0</v>
      </c>
      <c r="AF126" s="52" t="n">
        <v>0</v>
      </c>
      <c r="AG126" s="52" t="n">
        <v>0</v>
      </c>
      <c r="AH126" s="52" t="n">
        <v>0</v>
      </c>
      <c r="AI126" s="52" t="n">
        <v>0</v>
      </c>
      <c r="AJ126" s="52" t="n">
        <v>0</v>
      </c>
      <c r="AK126" s="52" t="n">
        <v>0</v>
      </c>
      <c r="AL126" s="52" t="n">
        <v>0</v>
      </c>
      <c r="AM126" s="53" t="n">
        <v>0</v>
      </c>
      <c r="AN126" s="53" t="n">
        <v>0</v>
      </c>
      <c r="AO126" s="53" t="n">
        <v>0</v>
      </c>
      <c r="AP126" s="53" t="n">
        <v>0</v>
      </c>
      <c r="AQ126" s="52" t="n">
        <v>0</v>
      </c>
      <c r="AR126" s="52" t="n">
        <v>0</v>
      </c>
      <c r="AS126" s="52" t="n">
        <v>0</v>
      </c>
      <c r="AT126" s="52" t="n">
        <v>0</v>
      </c>
      <c r="AU126" s="53" t="n">
        <v>0</v>
      </c>
      <c r="AV126" s="53" t="n">
        <v>0</v>
      </c>
      <c r="AW126" s="53" t="n">
        <v>0</v>
      </c>
      <c r="AX126" s="53" t="n">
        <v>0</v>
      </c>
      <c r="AY126" s="52" t="n">
        <v>18.99</v>
      </c>
      <c r="AZ126" s="52" t="n">
        <v>0</v>
      </c>
      <c r="BA126" s="52" t="n">
        <v>0</v>
      </c>
      <c r="BB126" s="52" t="n">
        <v>0</v>
      </c>
      <c r="BC126" s="51" t="n">
        <v>0</v>
      </c>
      <c r="BD126" s="51" t="n">
        <v>0</v>
      </c>
      <c r="BE126" s="51" t="n">
        <v>0</v>
      </c>
      <c r="BF126" s="51" t="n">
        <v>0</v>
      </c>
    </row>
    <row r="127">
      <c r="A127">
        <f>HYPERLINK("https://www.walmart.com/ip/263284201", "263284201")</f>
        <v/>
      </c>
      <c r="B127" t="inlineStr">
        <is>
          <t>Sun Hat for Women Neck Flap Wide Brim UV Protection UPF 50+ Foldable Fishing Cap with 2 Replaceable Ribbon by Solaris</t>
        </is>
      </c>
      <c r="C127" t="inlineStr">
        <is>
          <t>1SLSH922PK</t>
        </is>
      </c>
      <c r="D127" t="inlineStr">
        <is>
          <t>Hats</t>
        </is>
      </c>
      <c r="E127" t="inlineStr">
        <is>
          <t>Solaris</t>
        </is>
      </c>
      <c r="F127" t="inlineStr">
        <is>
          <t>Hats,Batch 1 - TR</t>
        </is>
      </c>
      <c r="G127" s="48" t="n">
        <v>18.49</v>
      </c>
      <c r="H127" s="48" t="n">
        <v>-18.49</v>
      </c>
      <c r="I127" s="48" t="n">
        <v>18.49</v>
      </c>
      <c r="J127" s="48" t="n">
        <v>0</v>
      </c>
      <c r="K127" s="49" t="n">
        <v>1</v>
      </c>
      <c r="L127" s="49" t="n">
        <v>-1</v>
      </c>
      <c r="M127" s="49" t="n">
        <v>1</v>
      </c>
      <c r="N127" s="49" t="n">
        <v>0</v>
      </c>
      <c r="O127" s="49" t="n">
        <v>5</v>
      </c>
      <c r="P127" s="49" t="n">
        <v>7</v>
      </c>
      <c r="Q127" s="49" t="n">
        <v>3</v>
      </c>
      <c r="R127" s="49" t="n">
        <v>0</v>
      </c>
      <c r="S127" s="50" t="n">
        <v>0.2</v>
      </c>
      <c r="T127" s="50" t="n">
        <v>-0.1428571428571428</v>
      </c>
      <c r="U127" s="50" t="n">
        <v>0.3333333333333333</v>
      </c>
      <c r="V127" s="50" t="n">
        <v>0</v>
      </c>
      <c r="W127" s="51" t="n">
        <v>0</v>
      </c>
      <c r="X127" s="51" t="n">
        <v>0</v>
      </c>
      <c r="Y127" s="51" t="n">
        <v>0</v>
      </c>
      <c r="Z127" s="51" t="n">
        <v>0</v>
      </c>
      <c r="AA127" s="52" t="n">
        <v>0</v>
      </c>
      <c r="AB127" s="52" t="n">
        <v>0</v>
      </c>
      <c r="AC127" s="52" t="n">
        <v>0</v>
      </c>
      <c r="AD127" s="52" t="n">
        <v>0</v>
      </c>
      <c r="AE127" s="52" t="n">
        <v>0</v>
      </c>
      <c r="AF127" s="52" t="n">
        <v>0</v>
      </c>
      <c r="AG127" s="52" t="n">
        <v>0</v>
      </c>
      <c r="AH127" s="52" t="n">
        <v>0</v>
      </c>
      <c r="AI127" s="52" t="n">
        <v>0</v>
      </c>
      <c r="AJ127" s="52" t="n">
        <v>0</v>
      </c>
      <c r="AK127" s="52" t="n">
        <v>0</v>
      </c>
      <c r="AL127" s="52" t="n">
        <v>0</v>
      </c>
      <c r="AM127" s="53" t="n">
        <v>0</v>
      </c>
      <c r="AN127" s="53" t="n">
        <v>0</v>
      </c>
      <c r="AO127" s="53" t="n">
        <v>0</v>
      </c>
      <c r="AP127" s="53" t="n">
        <v>0</v>
      </c>
      <c r="AQ127" s="52" t="n">
        <v>0</v>
      </c>
      <c r="AR127" s="52" t="n">
        <v>0</v>
      </c>
      <c r="AS127" s="52" t="n">
        <v>0</v>
      </c>
      <c r="AT127" s="52" t="n">
        <v>0</v>
      </c>
      <c r="AU127" s="53" t="n">
        <v>0</v>
      </c>
      <c r="AV127" s="53" t="n">
        <v>0</v>
      </c>
      <c r="AW127" s="53" t="n">
        <v>0</v>
      </c>
      <c r="AX127" s="53" t="n">
        <v>0</v>
      </c>
      <c r="AY127" s="52" t="n">
        <v>18.49</v>
      </c>
      <c r="AZ127" s="52" t="n">
        <v>0</v>
      </c>
      <c r="BA127" s="52" t="n">
        <v>18.49</v>
      </c>
      <c r="BB127" s="52" t="n">
        <v>0</v>
      </c>
      <c r="BC127" s="51" t="n">
        <v>0</v>
      </c>
      <c r="BD127" s="51" t="n">
        <v>0</v>
      </c>
      <c r="BE127" s="51" t="n">
        <v>0</v>
      </c>
      <c r="BF127" s="51" t="n">
        <v>0</v>
      </c>
    </row>
    <row r="128">
      <c r="A128">
        <f>HYPERLINK("https://www.walmart.com/ip/980576375", "980576375")</f>
        <v/>
      </c>
      <c r="B128" t="inlineStr">
        <is>
          <t>Large Dog Blanket, Super Soft Fluffy Sherpa Fleece Dog Couch Blankets and Throws for Large Medium  Small Dogs Puppy Doggy Pet Cats, Blue</t>
        </is>
      </c>
      <c r="C128" t="inlineStr">
        <is>
          <t>1PSBF560BLLT</t>
        </is>
      </c>
      <c r="D128" t="inlineStr">
        <is>
          <t>Pet Blankets</t>
        </is>
      </c>
      <c r="E128" t="inlineStr">
        <is>
          <t>Pawsse</t>
        </is>
      </c>
      <c r="F128" t="inlineStr">
        <is>
          <t>Q2-Target,Optimized,WFS,SEM,WFS Item</t>
        </is>
      </c>
      <c r="G128" s="48" t="n">
        <v>17.99</v>
      </c>
      <c r="H128" s="48" t="n">
        <v>0</v>
      </c>
      <c r="I128" s="48" t="n">
        <v>0</v>
      </c>
      <c r="J128" s="48" t="n">
        <v>0</v>
      </c>
      <c r="K128" s="49" t="n">
        <v>1</v>
      </c>
      <c r="L128" s="49" t="n">
        <v>0</v>
      </c>
      <c r="M128" s="49" t="n">
        <v>0</v>
      </c>
      <c r="N128" s="49" t="n">
        <v>0</v>
      </c>
      <c r="O128" s="49" t="n">
        <v>0</v>
      </c>
      <c r="P128" s="49" t="n">
        <v>0</v>
      </c>
      <c r="Q128" s="49" t="n">
        <v>0</v>
      </c>
      <c r="R128" s="49" t="n">
        <v>0</v>
      </c>
      <c r="S128" s="50" t="n">
        <v>0</v>
      </c>
      <c r="T128" s="50" t="n">
        <v>0</v>
      </c>
      <c r="U128" s="50" t="n">
        <v>0</v>
      </c>
      <c r="V128" s="50" t="n">
        <v>0</v>
      </c>
      <c r="W128" s="51" t="n">
        <v>0</v>
      </c>
      <c r="X128" s="51" t="n">
        <v>0</v>
      </c>
      <c r="Y128" s="51" t="n">
        <v>0</v>
      </c>
      <c r="Z128" s="51" t="n">
        <v>0</v>
      </c>
      <c r="AA128" s="52" t="n">
        <v>0</v>
      </c>
      <c r="AB128" s="52" t="n">
        <v>0</v>
      </c>
      <c r="AC128" s="52" t="n">
        <v>0</v>
      </c>
      <c r="AD128" s="52" t="n">
        <v>0</v>
      </c>
      <c r="AE128" s="52" t="n">
        <v>0</v>
      </c>
      <c r="AF128" s="52" t="n">
        <v>0</v>
      </c>
      <c r="AG128" s="52" t="n">
        <v>0</v>
      </c>
      <c r="AH128" s="52" t="n">
        <v>0</v>
      </c>
      <c r="AI128" s="52" t="n">
        <v>0</v>
      </c>
      <c r="AJ128" s="52" t="n">
        <v>0</v>
      </c>
      <c r="AK128" s="52" t="n">
        <v>0</v>
      </c>
      <c r="AL128" s="52" t="n">
        <v>0</v>
      </c>
      <c r="AM128" s="53" t="n">
        <v>0</v>
      </c>
      <c r="AN128" s="53" t="n">
        <v>0</v>
      </c>
      <c r="AO128" s="53" t="n">
        <v>0</v>
      </c>
      <c r="AP128" s="53" t="n">
        <v>0</v>
      </c>
      <c r="AQ128" s="52" t="n">
        <v>0</v>
      </c>
      <c r="AR128" s="52" t="n">
        <v>0</v>
      </c>
      <c r="AS128" s="52" t="n">
        <v>0</v>
      </c>
      <c r="AT128" s="52" t="n">
        <v>0</v>
      </c>
      <c r="AU128" s="53" t="n">
        <v>0</v>
      </c>
      <c r="AV128" s="53" t="n">
        <v>0</v>
      </c>
      <c r="AW128" s="53" t="n">
        <v>0</v>
      </c>
      <c r="AX128" s="53" t="n">
        <v>0</v>
      </c>
      <c r="AY128" s="52" t="n">
        <v>17.99</v>
      </c>
      <c r="AZ128" s="52" t="n">
        <v>0</v>
      </c>
      <c r="BA128" s="52" t="n">
        <v>0</v>
      </c>
      <c r="BB128" s="52" t="n">
        <v>0</v>
      </c>
      <c r="BC128" s="51" t="n">
        <v>0</v>
      </c>
      <c r="BD128" s="51" t="n">
        <v>0</v>
      </c>
      <c r="BE128" s="51" t="n">
        <v>0</v>
      </c>
      <c r="BF128" s="51" t="n">
        <v>0</v>
      </c>
    </row>
    <row r="129">
      <c r="A129">
        <f>HYPERLINK("https://www.walmart.com/ip/2293955752", "2293955752")</f>
        <v/>
      </c>
      <c r="B129" t="inlineStr">
        <is>
          <t>Tirrinia Insulated Lunch Bag for Women and Men, Double-Layer Leak-Proof Reusable Lunch Box with 4 Pockets, Large Double Layer, 17L, Black, 9.85" x 8.72" x 10.63"</t>
        </is>
      </c>
      <c r="C129" t="inlineStr">
        <is>
          <t>1TRLB701BK-D</t>
        </is>
      </c>
      <c r="D129" t="inlineStr">
        <is>
          <t>Reusable Lunch Bags &amp; Boxes</t>
        </is>
      </c>
      <c r="E129" t="inlineStr">
        <is>
          <t>Tirrinia</t>
        </is>
      </c>
      <c r="F129" t="inlineStr">
        <is>
          <t>Q2-Target</t>
        </is>
      </c>
      <c r="G129" s="48" t="n">
        <v>17.99</v>
      </c>
      <c r="H129" s="48" t="n">
        <v>0</v>
      </c>
      <c r="I129" s="48" t="n">
        <v>0</v>
      </c>
      <c r="J129" s="48" t="n">
        <v>35.98</v>
      </c>
      <c r="K129" s="49" t="n">
        <v>1</v>
      </c>
      <c r="L129" s="49" t="n">
        <v>0</v>
      </c>
      <c r="M129" s="49" t="n">
        <v>0</v>
      </c>
      <c r="N129" s="49" t="n">
        <v>2</v>
      </c>
      <c r="O129" s="49" t="n">
        <v>2</v>
      </c>
      <c r="P129" s="49" t="n">
        <v>5</v>
      </c>
      <c r="Q129" s="49" t="n">
        <v>2</v>
      </c>
      <c r="R129" s="49" t="n">
        <v>0</v>
      </c>
      <c r="S129" s="50" t="n">
        <v>0.5</v>
      </c>
      <c r="T129" s="50" t="n">
        <v>0</v>
      </c>
      <c r="U129" s="50" t="n">
        <v>0</v>
      </c>
      <c r="V129" s="50" t="n">
        <v>0</v>
      </c>
      <c r="W129" s="51" t="n">
        <v>0</v>
      </c>
      <c r="X129" s="51" t="n">
        <v>0</v>
      </c>
      <c r="Y129" s="51" t="n">
        <v>0</v>
      </c>
      <c r="Z129" s="51" t="n">
        <v>0</v>
      </c>
      <c r="AA129" s="52" t="n">
        <v>0</v>
      </c>
      <c r="AB129" s="52" t="n">
        <v>0</v>
      </c>
      <c r="AC129" s="52" t="n">
        <v>0</v>
      </c>
      <c r="AD129" s="52" t="n">
        <v>0</v>
      </c>
      <c r="AE129" s="52" t="n">
        <v>0</v>
      </c>
      <c r="AF129" s="52" t="n">
        <v>0</v>
      </c>
      <c r="AG129" s="52" t="n">
        <v>0</v>
      </c>
      <c r="AH129" s="52" t="n">
        <v>0</v>
      </c>
      <c r="AI129" s="52" t="n">
        <v>0</v>
      </c>
      <c r="AJ129" s="52" t="n">
        <v>0</v>
      </c>
      <c r="AK129" s="52" t="n">
        <v>0</v>
      </c>
      <c r="AL129" s="52" t="n">
        <v>0</v>
      </c>
      <c r="AM129" s="53" t="n">
        <v>0</v>
      </c>
      <c r="AN129" s="53" t="n">
        <v>0</v>
      </c>
      <c r="AO129" s="53" t="n">
        <v>0</v>
      </c>
      <c r="AP129" s="53" t="n">
        <v>0</v>
      </c>
      <c r="AQ129" s="52" t="n">
        <v>0</v>
      </c>
      <c r="AR129" s="52" t="n">
        <v>0</v>
      </c>
      <c r="AS129" s="52" t="n">
        <v>0</v>
      </c>
      <c r="AT129" s="52" t="n">
        <v>0</v>
      </c>
      <c r="AU129" s="53" t="n">
        <v>0</v>
      </c>
      <c r="AV129" s="53" t="n">
        <v>0</v>
      </c>
      <c r="AW129" s="53" t="n">
        <v>0</v>
      </c>
      <c r="AX129" s="53" t="n">
        <v>0</v>
      </c>
      <c r="AY129" s="52" t="n">
        <v>17.99</v>
      </c>
      <c r="AZ129" s="52" t="n">
        <v>0</v>
      </c>
      <c r="BA129" s="52" t="n">
        <v>0</v>
      </c>
      <c r="BB129" s="52" t="n">
        <v>17.99</v>
      </c>
      <c r="BC129" s="51" t="n">
        <v>0</v>
      </c>
      <c r="BD129" s="51" t="n">
        <v>0</v>
      </c>
      <c r="BE129" s="51" t="n">
        <v>0</v>
      </c>
      <c r="BF129" s="51" t="n">
        <v>0</v>
      </c>
    </row>
    <row r="130">
      <c r="A130">
        <f>HYPERLINK("https://www.walmart.com/ip/3383613008", "3383613008")</f>
        <v/>
      </c>
      <c r="B130" t="inlineStr">
        <is>
          <t>Sun Blocker Unisex Travel Sun Hat UPF 50+ Female Large Brim Beach Neck Flap Hat for Camping Gardening Travel, White</t>
        </is>
      </c>
      <c r="C130" t="inlineStr">
        <is>
          <t>KC-S9201-WH</t>
        </is>
      </c>
      <c r="D130" t="inlineStr">
        <is>
          <t>Hats</t>
        </is>
      </c>
      <c r="E130" t="inlineStr">
        <is>
          <t>Sun Blocker</t>
        </is>
      </c>
      <c r="F130" t="inlineStr">
        <is>
          <t>Q2-Target,Hats</t>
        </is>
      </c>
      <c r="G130" s="48" t="n">
        <v>17.99</v>
      </c>
      <c r="H130" s="48" t="n">
        <v>0</v>
      </c>
      <c r="I130" s="48" t="n">
        <v>35.98</v>
      </c>
      <c r="J130" s="48" t="n">
        <v>0</v>
      </c>
      <c r="K130" s="49" t="n">
        <v>1</v>
      </c>
      <c r="L130" s="49" t="n">
        <v>0</v>
      </c>
      <c r="M130" s="49" t="n">
        <v>2</v>
      </c>
      <c r="N130" s="49" t="n">
        <v>0</v>
      </c>
      <c r="O130" s="49" t="n">
        <v>10</v>
      </c>
      <c r="P130" s="49" t="n">
        <v>10</v>
      </c>
      <c r="Q130" s="49" t="n">
        <v>14</v>
      </c>
      <c r="R130" s="49" t="n">
        <v>4</v>
      </c>
      <c r="S130" s="50" t="n">
        <v>0.1</v>
      </c>
      <c r="T130" s="50" t="n">
        <v>0</v>
      </c>
      <c r="U130" s="50" t="n">
        <v>0.1428571428571428</v>
      </c>
      <c r="V130" s="50" t="n">
        <v>0</v>
      </c>
      <c r="W130" s="51" t="n">
        <v>0</v>
      </c>
      <c r="X130" s="51" t="n">
        <v>0</v>
      </c>
      <c r="Y130" s="51" t="n">
        <v>0</v>
      </c>
      <c r="Z130" s="51" t="n">
        <v>0</v>
      </c>
      <c r="AA130" s="52" t="n">
        <v>0</v>
      </c>
      <c r="AB130" s="52" t="n">
        <v>0</v>
      </c>
      <c r="AC130" s="52" t="n">
        <v>0</v>
      </c>
      <c r="AD130" s="52" t="n">
        <v>0</v>
      </c>
      <c r="AE130" s="52" t="n">
        <v>0</v>
      </c>
      <c r="AF130" s="52" t="n">
        <v>0</v>
      </c>
      <c r="AG130" s="52" t="n">
        <v>0</v>
      </c>
      <c r="AH130" s="52" t="n">
        <v>0</v>
      </c>
      <c r="AI130" s="52" t="n">
        <v>0</v>
      </c>
      <c r="AJ130" s="52" t="n">
        <v>0</v>
      </c>
      <c r="AK130" s="52" t="n">
        <v>0</v>
      </c>
      <c r="AL130" s="52" t="n">
        <v>0</v>
      </c>
      <c r="AM130" s="53" t="n">
        <v>0</v>
      </c>
      <c r="AN130" s="53" t="n">
        <v>0</v>
      </c>
      <c r="AO130" s="53" t="n">
        <v>0</v>
      </c>
      <c r="AP130" s="53" t="n">
        <v>0</v>
      </c>
      <c r="AQ130" s="52" t="n">
        <v>0</v>
      </c>
      <c r="AR130" s="52" t="n">
        <v>0</v>
      </c>
      <c r="AS130" s="52" t="n">
        <v>0</v>
      </c>
      <c r="AT130" s="52" t="n">
        <v>0</v>
      </c>
      <c r="AU130" s="53" t="n">
        <v>0</v>
      </c>
      <c r="AV130" s="53" t="n">
        <v>0</v>
      </c>
      <c r="AW130" s="53" t="n">
        <v>0</v>
      </c>
      <c r="AX130" s="53" t="n">
        <v>0</v>
      </c>
      <c r="AY130" s="52" t="n">
        <v>17.99</v>
      </c>
      <c r="AZ130" s="52" t="n">
        <v>0</v>
      </c>
      <c r="BA130" s="52" t="n">
        <v>17.99</v>
      </c>
      <c r="BB130" s="52" t="n">
        <v>0</v>
      </c>
      <c r="BC130" s="51" t="n">
        <v>0</v>
      </c>
      <c r="BD130" s="51" t="n">
        <v>0</v>
      </c>
      <c r="BE130" s="51" t="n">
        <v>0</v>
      </c>
      <c r="BF130" s="51" t="n">
        <v>0</v>
      </c>
    </row>
    <row r="131">
      <c r="A131">
        <f>HYPERLINK("https://www.walmart.com/ip/536768084", "536768084")</f>
        <v/>
      </c>
      <c r="B131" t="inlineStr">
        <is>
          <t>Solaris Men's Sun Hat with Neck Flap, Wide Brim Fishing Safari Hiking Hat, UPF 50+ Protection, Adjustable Chin Strap, Gray</t>
        </is>
      </c>
      <c r="C131" t="inlineStr">
        <is>
          <t>1SLSH923GY</t>
        </is>
      </c>
      <c r="D131" t="inlineStr">
        <is>
          <t>Hats</t>
        </is>
      </c>
      <c r="E131" t="inlineStr">
        <is>
          <t>Solaris</t>
        </is>
      </c>
      <c r="F131" t="inlineStr">
        <is>
          <t>Q2-Target,WFS,Hats,WFS Item</t>
        </is>
      </c>
      <c r="G131" s="48" t="n">
        <v>17.99</v>
      </c>
      <c r="H131" s="48" t="n">
        <v>42.97</v>
      </c>
      <c r="I131" s="48" t="n">
        <v>53.97</v>
      </c>
      <c r="J131" s="48" t="n">
        <v>24.98</v>
      </c>
      <c r="K131" s="49" t="n">
        <v>1</v>
      </c>
      <c r="L131" s="49" t="n">
        <v>2</v>
      </c>
      <c r="M131" s="49" t="n">
        <v>3</v>
      </c>
      <c r="N131" s="49" t="n">
        <v>1</v>
      </c>
      <c r="O131" s="49" t="n">
        <v>66</v>
      </c>
      <c r="P131" s="49" t="n">
        <v>51</v>
      </c>
      <c r="Q131" s="49" t="n">
        <v>50</v>
      </c>
      <c r="R131" s="49" t="n">
        <v>42</v>
      </c>
      <c r="S131" s="50" t="n">
        <v>0.01515151515151515</v>
      </c>
      <c r="T131" s="50" t="n">
        <v>0.0392156862745098</v>
      </c>
      <c r="U131" s="50" t="n">
        <v>0.06</v>
      </c>
      <c r="V131" s="50" t="n">
        <v>0.02380952380952381</v>
      </c>
      <c r="W131" s="51" t="n">
        <v>0</v>
      </c>
      <c r="X131" s="51" t="n">
        <v>0</v>
      </c>
      <c r="Y131" s="51" t="n">
        <v>0</v>
      </c>
      <c r="Z131" s="51" t="n">
        <v>0</v>
      </c>
      <c r="AA131" s="52" t="n">
        <v>0</v>
      </c>
      <c r="AB131" s="52" t="n">
        <v>0</v>
      </c>
      <c r="AC131" s="52" t="n">
        <v>0</v>
      </c>
      <c r="AD131" s="52" t="n">
        <v>0</v>
      </c>
      <c r="AE131" s="52" t="n">
        <v>0</v>
      </c>
      <c r="AF131" s="52" t="n">
        <v>0</v>
      </c>
      <c r="AG131" s="52" t="n">
        <v>0</v>
      </c>
      <c r="AH131" s="52" t="n">
        <v>0</v>
      </c>
      <c r="AI131" s="52" t="n">
        <v>0</v>
      </c>
      <c r="AJ131" s="52" t="n">
        <v>0</v>
      </c>
      <c r="AK131" s="52" t="n">
        <v>0</v>
      </c>
      <c r="AL131" s="52" t="n">
        <v>0</v>
      </c>
      <c r="AM131" s="53" t="n">
        <v>0</v>
      </c>
      <c r="AN131" s="53" t="n">
        <v>0</v>
      </c>
      <c r="AO131" s="53" t="n">
        <v>0</v>
      </c>
      <c r="AP131" s="53" t="n">
        <v>0</v>
      </c>
      <c r="AQ131" s="52" t="n">
        <v>0</v>
      </c>
      <c r="AR131" s="52" t="n">
        <v>0</v>
      </c>
      <c r="AS131" s="52" t="n">
        <v>0</v>
      </c>
      <c r="AT131" s="52" t="n">
        <v>0</v>
      </c>
      <c r="AU131" s="53" t="n">
        <v>0</v>
      </c>
      <c r="AV131" s="53" t="n">
        <v>0</v>
      </c>
      <c r="AW131" s="53" t="n">
        <v>0</v>
      </c>
      <c r="AX131" s="53" t="n">
        <v>0</v>
      </c>
      <c r="AY131" s="52" t="n">
        <v>17.99</v>
      </c>
      <c r="AZ131" s="52" t="n">
        <v>21.485</v>
      </c>
      <c r="BA131" s="52" t="n">
        <v>17.99</v>
      </c>
      <c r="BB131" s="52" t="n">
        <v>24.98</v>
      </c>
      <c r="BC131" s="51" t="n">
        <v>0</v>
      </c>
      <c r="BD131" s="51" t="n">
        <v>0</v>
      </c>
      <c r="BE131" s="51" t="n">
        <v>0</v>
      </c>
      <c r="BF131" s="51" t="n">
        <v>0</v>
      </c>
    </row>
    <row r="132">
      <c r="A132">
        <f>HYPERLINK("https://www.walmart.com/ip/2836368661", "2836368661")</f>
        <v/>
      </c>
      <c r="B132" t="inlineStr">
        <is>
          <t>Tirrinia Sun Hat with Adjustable Drawstring for Women, Large Wide Brim Hat for Outdoor Fishing Hiking Hunting Boating Desert Hawaiian, Green</t>
        </is>
      </c>
      <c r="C132" t="inlineStr">
        <is>
          <t>1TRSH911GN-TBCB</t>
        </is>
      </c>
      <c r="D132" t="inlineStr">
        <is>
          <t>Hats</t>
        </is>
      </c>
      <c r="E132" t="inlineStr">
        <is>
          <t>Tirrinia</t>
        </is>
      </c>
      <c r="F132" t="inlineStr">
        <is>
          <t>Hats</t>
        </is>
      </c>
      <c r="G132" s="48" t="n">
        <v>17.99</v>
      </c>
      <c r="H132" s="48" t="n">
        <v>0</v>
      </c>
      <c r="I132" s="48" t="n">
        <v>0</v>
      </c>
      <c r="J132" s="48" t="n">
        <v>0</v>
      </c>
      <c r="K132" s="49" t="n">
        <v>1</v>
      </c>
      <c r="L132" s="49" t="n">
        <v>0</v>
      </c>
      <c r="M132" s="49" t="n">
        <v>0</v>
      </c>
      <c r="N132" s="49" t="n">
        <v>0</v>
      </c>
      <c r="O132" s="49" t="n">
        <v>0</v>
      </c>
      <c r="P132" s="49" t="n">
        <v>0</v>
      </c>
      <c r="Q132" s="49" t="n">
        <v>0</v>
      </c>
      <c r="R132" s="49" t="n">
        <v>0</v>
      </c>
      <c r="S132" s="50" t="n">
        <v>0</v>
      </c>
      <c r="T132" s="50" t="n">
        <v>0</v>
      </c>
      <c r="U132" s="50" t="n">
        <v>0</v>
      </c>
      <c r="V132" s="50" t="n">
        <v>0</v>
      </c>
      <c r="W132" s="51" t="n">
        <v>0</v>
      </c>
      <c r="X132" s="51" t="n">
        <v>0</v>
      </c>
      <c r="Y132" s="51" t="n">
        <v>0</v>
      </c>
      <c r="Z132" s="51" t="n">
        <v>0</v>
      </c>
      <c r="AA132" s="52" t="n">
        <v>0</v>
      </c>
      <c r="AB132" s="52" t="n">
        <v>0</v>
      </c>
      <c r="AC132" s="52" t="n">
        <v>0</v>
      </c>
      <c r="AD132" s="52" t="n">
        <v>0</v>
      </c>
      <c r="AE132" s="52" t="n">
        <v>0</v>
      </c>
      <c r="AF132" s="52" t="n">
        <v>0</v>
      </c>
      <c r="AG132" s="52" t="n">
        <v>0</v>
      </c>
      <c r="AH132" s="52" t="n">
        <v>0</v>
      </c>
      <c r="AI132" s="52" t="n">
        <v>0</v>
      </c>
      <c r="AJ132" s="52" t="n">
        <v>0</v>
      </c>
      <c r="AK132" s="52" t="n">
        <v>0</v>
      </c>
      <c r="AL132" s="52" t="n">
        <v>0</v>
      </c>
      <c r="AM132" s="53" t="n">
        <v>0</v>
      </c>
      <c r="AN132" s="53" t="n">
        <v>0</v>
      </c>
      <c r="AO132" s="53" t="n">
        <v>0</v>
      </c>
      <c r="AP132" s="53" t="n">
        <v>0</v>
      </c>
      <c r="AQ132" s="52" t="n">
        <v>0</v>
      </c>
      <c r="AR132" s="52" t="n">
        <v>0</v>
      </c>
      <c r="AS132" s="52" t="n">
        <v>0</v>
      </c>
      <c r="AT132" s="52" t="n">
        <v>0</v>
      </c>
      <c r="AU132" s="53" t="n">
        <v>0</v>
      </c>
      <c r="AV132" s="53" t="n">
        <v>0</v>
      </c>
      <c r="AW132" s="53" t="n">
        <v>0</v>
      </c>
      <c r="AX132" s="53" t="n">
        <v>0</v>
      </c>
      <c r="AY132" s="52" t="n">
        <v>17.99</v>
      </c>
      <c r="AZ132" s="52" t="n">
        <v>0</v>
      </c>
      <c r="BA132" s="52" t="n">
        <v>0</v>
      </c>
      <c r="BB132" s="52" t="n">
        <v>0</v>
      </c>
      <c r="BC132" s="51" t="n">
        <v>0</v>
      </c>
      <c r="BD132" s="51" t="n">
        <v>0</v>
      </c>
      <c r="BE132" s="51" t="n">
        <v>0</v>
      </c>
      <c r="BF132" s="51" t="n">
        <v>0</v>
      </c>
    </row>
    <row r="133">
      <c r="A133">
        <f>HYPERLINK("https://www.walmart.com/ip/856027355", "856027355")</f>
        <v/>
      </c>
      <c r="B133" t="inlineStr">
        <is>
          <t>Catalonia Kids Mermaid Tail Blanket,Super Soft Plush Flannel Sleeping Snuggle Blanket for Girls,Rainbow Ombre,Fish Scale Pattern,Gift Idea</t>
        </is>
      </c>
      <c r="C133" t="inlineStr">
        <is>
          <t>1CTMM500PK</t>
        </is>
      </c>
      <c r="D133" t="inlineStr">
        <is>
          <t>Throws</t>
        </is>
      </c>
      <c r="E133" t="inlineStr">
        <is>
          <t>Catalonia</t>
        </is>
      </c>
      <c r="F133" t="inlineStr">
        <is>
          <t>Q2-Target,Baby days,Optimized,WFS,WFS Item</t>
        </is>
      </c>
      <c r="G133" s="48" t="n">
        <v>17.99</v>
      </c>
      <c r="H133" s="48" t="n">
        <v>53.97</v>
      </c>
      <c r="I133" s="48" t="n">
        <v>53.97</v>
      </c>
      <c r="J133" s="48" t="n">
        <v>125.93</v>
      </c>
      <c r="K133" s="49" t="n">
        <v>1</v>
      </c>
      <c r="L133" s="49" t="n">
        <v>3</v>
      </c>
      <c r="M133" s="49" t="n">
        <v>3</v>
      </c>
      <c r="N133" s="49" t="n">
        <v>7</v>
      </c>
      <c r="O133" s="49" t="n">
        <v>25</v>
      </c>
      <c r="P133" s="49" t="n">
        <v>39</v>
      </c>
      <c r="Q133" s="49" t="n">
        <v>34</v>
      </c>
      <c r="R133" s="49" t="n">
        <v>56</v>
      </c>
      <c r="S133" s="50" t="n">
        <v>0.04</v>
      </c>
      <c r="T133" s="50" t="n">
        <v>0.07692307692307693</v>
      </c>
      <c r="U133" s="50" t="n">
        <v>0.08823529411764706</v>
      </c>
      <c r="V133" s="50" t="n">
        <v>0.125</v>
      </c>
      <c r="W133" s="51" t="n">
        <v>16</v>
      </c>
      <c r="X133" s="51" t="n">
        <v>23</v>
      </c>
      <c r="Y133" s="51" t="n">
        <v>15</v>
      </c>
      <c r="Z133" s="51" t="n">
        <v>22</v>
      </c>
      <c r="AA133" s="52" t="n">
        <v>3.95</v>
      </c>
      <c r="AB133" s="52" t="n">
        <v>5.68</v>
      </c>
      <c r="AC133" s="52" t="n">
        <v>4.82</v>
      </c>
      <c r="AD133" s="52" t="n">
        <v>6.31</v>
      </c>
      <c r="AE133" s="52" t="n">
        <v>17.99</v>
      </c>
      <c r="AF133" s="52" t="n">
        <v>38.98</v>
      </c>
      <c r="AG133" s="52" t="n">
        <v>0</v>
      </c>
      <c r="AH133" s="52" t="n">
        <v>17.99</v>
      </c>
      <c r="AI133" s="52" t="n">
        <v>4.55</v>
      </c>
      <c r="AJ133" s="52" t="n">
        <v>6.86</v>
      </c>
      <c r="AK133" s="52" t="n">
        <v>0</v>
      </c>
      <c r="AL133" s="52" t="n">
        <v>2.85</v>
      </c>
      <c r="AM133" s="53" t="n">
        <v>0.0041</v>
      </c>
      <c r="AN133" s="53" t="n">
        <v>0.0044</v>
      </c>
      <c r="AO133" s="53" t="n">
        <v>0.0543</v>
      </c>
      <c r="AP133" s="53" t="n">
        <v>0.0094</v>
      </c>
      <c r="AQ133" s="52" t="n">
        <v>0.246875</v>
      </c>
      <c r="AR133" s="52" t="n">
        <v>0.2469565217391304</v>
      </c>
      <c r="AS133" s="52" t="n">
        <v>0.3213333333333334</v>
      </c>
      <c r="AT133" s="52" t="n">
        <v>0.2868181818181818</v>
      </c>
      <c r="AU133" s="53" t="n">
        <v>0.2195664257921068</v>
      </c>
      <c r="AV133" s="53" t="n">
        <v>0.1052436538817862</v>
      </c>
      <c r="AW133" s="53" t="n">
        <v>0.0893088753010932</v>
      </c>
      <c r="AX133" s="53" t="n">
        <v>0.05010720241403954</v>
      </c>
      <c r="AY133" s="52" t="n">
        <v>17.99</v>
      </c>
      <c r="AZ133" s="52" t="n">
        <v>17.99</v>
      </c>
      <c r="BA133" s="52" t="n">
        <v>17.99</v>
      </c>
      <c r="BB133" s="52" t="n">
        <v>17.99</v>
      </c>
      <c r="BC133" s="51" t="n">
        <v>3914</v>
      </c>
      <c r="BD133" s="51" t="n">
        <v>5229</v>
      </c>
      <c r="BE133" s="51" t="n">
        <v>276</v>
      </c>
      <c r="BF133" s="51" t="n">
        <v>2344</v>
      </c>
    </row>
    <row r="134">
      <c r="A134">
        <f>HYPERLINK("https://www.walmart.com/ip/121165611", "121165611")</f>
        <v/>
      </c>
      <c r="B134" t="inlineStr">
        <is>
          <t>Tirrinia Insulated Lunch Bag, Leakproof Thermal Bento Lunch Bag For Women, Men And Kids, 8 Cans, Black, 10"L x 6.5"W x 2.3"H</t>
        </is>
      </c>
      <c r="C134" t="inlineStr">
        <is>
          <t>1KTLB600BK</t>
        </is>
      </c>
      <c r="D134" t="inlineStr">
        <is>
          <t>Reusable Lunch Bags &amp; Boxes</t>
        </is>
      </c>
      <c r="E134" t="inlineStr">
        <is>
          <t>Tirrinia</t>
        </is>
      </c>
      <c r="F134" t="inlineStr">
        <is>
          <t>Q2-Target,Lunch Bag,WFS,Lunch Bags,SEM,WFS Item,AMZ Bestsellers</t>
        </is>
      </c>
      <c r="G134" s="48" t="n">
        <v>16.99</v>
      </c>
      <c r="H134" s="48" t="n">
        <v>0</v>
      </c>
      <c r="I134" s="48" t="n">
        <v>0</v>
      </c>
      <c r="J134" s="48" t="n">
        <v>16.99</v>
      </c>
      <c r="K134" s="49" t="n">
        <v>1</v>
      </c>
      <c r="L134" s="49" t="n">
        <v>0</v>
      </c>
      <c r="M134" s="49" t="n">
        <v>0</v>
      </c>
      <c r="N134" s="49" t="n">
        <v>1</v>
      </c>
      <c r="O134" s="49" t="n">
        <v>23</v>
      </c>
      <c r="P134" s="49" t="n">
        <v>24</v>
      </c>
      <c r="Q134" s="49" t="n">
        <v>21</v>
      </c>
      <c r="R134" s="49" t="n">
        <v>21</v>
      </c>
      <c r="S134" s="50" t="n">
        <v>0.04347826086956522</v>
      </c>
      <c r="T134" s="50" t="n">
        <v>0</v>
      </c>
      <c r="U134" s="50" t="n">
        <v>0</v>
      </c>
      <c r="V134" s="50" t="n">
        <v>0.04761904761904762</v>
      </c>
      <c r="W134" s="51" t="n">
        <v>0</v>
      </c>
      <c r="X134" s="51" t="n">
        <v>0</v>
      </c>
      <c r="Y134" s="51" t="n">
        <v>0</v>
      </c>
      <c r="Z134" s="51" t="n">
        <v>0</v>
      </c>
      <c r="AA134" s="52" t="n">
        <v>0</v>
      </c>
      <c r="AB134" s="52" t="n">
        <v>0</v>
      </c>
      <c r="AC134" s="52" t="n">
        <v>0</v>
      </c>
      <c r="AD134" s="52" t="n">
        <v>0</v>
      </c>
      <c r="AE134" s="52" t="n">
        <v>0</v>
      </c>
      <c r="AF134" s="52" t="n">
        <v>0</v>
      </c>
      <c r="AG134" s="52" t="n">
        <v>0</v>
      </c>
      <c r="AH134" s="52" t="n">
        <v>0</v>
      </c>
      <c r="AI134" s="52" t="n">
        <v>0</v>
      </c>
      <c r="AJ134" s="52" t="n">
        <v>0</v>
      </c>
      <c r="AK134" s="52" t="n">
        <v>0</v>
      </c>
      <c r="AL134" s="52" t="n">
        <v>0</v>
      </c>
      <c r="AM134" s="53" t="n">
        <v>0</v>
      </c>
      <c r="AN134" s="53" t="n">
        <v>0</v>
      </c>
      <c r="AO134" s="53" t="n">
        <v>0</v>
      </c>
      <c r="AP134" s="53" t="n">
        <v>0</v>
      </c>
      <c r="AQ134" s="52" t="n">
        <v>0</v>
      </c>
      <c r="AR134" s="52" t="n">
        <v>0</v>
      </c>
      <c r="AS134" s="52" t="n">
        <v>0</v>
      </c>
      <c r="AT134" s="52" t="n">
        <v>0</v>
      </c>
      <c r="AU134" s="53" t="n">
        <v>0</v>
      </c>
      <c r="AV134" s="53" t="n">
        <v>0</v>
      </c>
      <c r="AW134" s="53" t="n">
        <v>0</v>
      </c>
      <c r="AX134" s="53" t="n">
        <v>0</v>
      </c>
      <c r="AY134" s="52" t="n">
        <v>16.99</v>
      </c>
      <c r="AZ134" s="52" t="n">
        <v>0</v>
      </c>
      <c r="BA134" s="52" t="n">
        <v>0</v>
      </c>
      <c r="BB134" s="52" t="n">
        <v>16.99</v>
      </c>
      <c r="BC134" s="51" t="n">
        <v>0</v>
      </c>
      <c r="BD134" s="51" t="n">
        <v>0</v>
      </c>
      <c r="BE134" s="51" t="n">
        <v>0</v>
      </c>
      <c r="BF134" s="51" t="n">
        <v>0</v>
      </c>
    </row>
    <row r="135">
      <c r="A135">
        <f>HYPERLINK("https://www.walmart.com/ip/436991822", "436991822")</f>
        <v/>
      </c>
      <c r="B135" t="inlineStr">
        <is>
          <t>Solaris Sun Hat For Women Wide Brim Summer Beach Hat With Neck Flap, UPF 50+ Fishing Hat For Outdoor Hiking, Camping,Travelling, One Size, Pink</t>
        </is>
      </c>
      <c r="C135" t="inlineStr">
        <is>
          <t>1SLSH921PK</t>
        </is>
      </c>
      <c r="D135" t="inlineStr">
        <is>
          <t>Hats</t>
        </is>
      </c>
      <c r="E135" t="inlineStr">
        <is>
          <t>Solaris</t>
        </is>
      </c>
      <c r="F135" t="inlineStr">
        <is>
          <t>Q2-Target,WFS,Hats,WFS Item</t>
        </is>
      </c>
      <c r="G135" s="48" t="n">
        <v>16.99</v>
      </c>
      <c r="H135" s="48" t="n">
        <v>16.99</v>
      </c>
      <c r="I135" s="48" t="n">
        <v>0</v>
      </c>
      <c r="J135" s="48" t="n">
        <v>0</v>
      </c>
      <c r="K135" s="49" t="n">
        <v>1</v>
      </c>
      <c r="L135" s="49" t="n">
        <v>1</v>
      </c>
      <c r="M135" s="49" t="n">
        <v>0</v>
      </c>
      <c r="N135" s="49" t="n">
        <v>0</v>
      </c>
      <c r="O135" s="49" t="n">
        <v>5</v>
      </c>
      <c r="P135" s="49" t="n">
        <v>2</v>
      </c>
      <c r="Q135" s="49" t="n">
        <v>0</v>
      </c>
      <c r="R135" s="49" t="n">
        <v>0</v>
      </c>
      <c r="S135" s="50" t="n">
        <v>0.2</v>
      </c>
      <c r="T135" s="50" t="n">
        <v>0.5</v>
      </c>
      <c r="U135" s="50" t="n">
        <v>0</v>
      </c>
      <c r="V135" s="50" t="n">
        <v>0</v>
      </c>
      <c r="W135" s="51" t="n">
        <v>1</v>
      </c>
      <c r="X135" s="51" t="n">
        <v>0</v>
      </c>
      <c r="Y135" s="51" t="n">
        <v>0</v>
      </c>
      <c r="Z135" s="51" t="n">
        <v>0</v>
      </c>
      <c r="AA135" s="52" t="n">
        <v>0.31</v>
      </c>
      <c r="AB135" s="52" t="n">
        <v>0</v>
      </c>
      <c r="AC135" s="52" t="n">
        <v>0</v>
      </c>
      <c r="AD135" s="52" t="n">
        <v>0</v>
      </c>
      <c r="AE135" s="52" t="n">
        <v>0</v>
      </c>
      <c r="AF135" s="52" t="n">
        <v>0</v>
      </c>
      <c r="AG135" s="52" t="n">
        <v>0</v>
      </c>
      <c r="AH135" s="52" t="n">
        <v>0</v>
      </c>
      <c r="AI135" s="52" t="n">
        <v>0</v>
      </c>
      <c r="AJ135" s="52" t="n">
        <v>0</v>
      </c>
      <c r="AK135" s="52" t="n">
        <v>0</v>
      </c>
      <c r="AL135" s="52" t="n">
        <v>0</v>
      </c>
      <c r="AM135" s="53" t="n">
        <v>0.0005</v>
      </c>
      <c r="AN135" s="53" t="n">
        <v>0</v>
      </c>
      <c r="AO135" s="53" t="n">
        <v>0</v>
      </c>
      <c r="AP135" s="53" t="n">
        <v>0</v>
      </c>
      <c r="AQ135" s="52" t="n">
        <v>0.31</v>
      </c>
      <c r="AR135" s="52" t="n">
        <v>0</v>
      </c>
      <c r="AS135" s="52" t="n">
        <v>0</v>
      </c>
      <c r="AT135" s="52" t="n">
        <v>0</v>
      </c>
      <c r="AU135" s="53" t="n">
        <v>0.01824602707474985</v>
      </c>
      <c r="AV135" s="53" t="n">
        <v>0</v>
      </c>
      <c r="AW135" s="53" t="n">
        <v>0</v>
      </c>
      <c r="AX135" s="53" t="n">
        <v>0</v>
      </c>
      <c r="AY135" s="52" t="n">
        <v>16.99</v>
      </c>
      <c r="AZ135" s="52" t="n">
        <v>16.99</v>
      </c>
      <c r="BA135" s="52" t="n">
        <v>0</v>
      </c>
      <c r="BB135" s="52" t="n">
        <v>0</v>
      </c>
      <c r="BC135" s="51" t="n">
        <v>2174</v>
      </c>
      <c r="BD135" s="51" t="n">
        <v>0</v>
      </c>
      <c r="BE135" s="51" t="n">
        <v>0</v>
      </c>
      <c r="BF135" s="51" t="n">
        <v>0</v>
      </c>
    </row>
    <row r="136">
      <c r="A136">
        <f>HYPERLINK("https://www.walmart.com/ip/681069331", "681069331")</f>
        <v/>
      </c>
      <c r="B136" t="inlineStr">
        <is>
          <t>Tirrinia Insulated Lunch Bag, Leakproof Thermal Bento Lunch Bag For Women, Men And Kids, 8 Cans, Black &amp; Purple, 10"L x 6.5"W x 6"H</t>
        </is>
      </c>
      <c r="C136" t="inlineStr">
        <is>
          <t>1KTLB600BKPP</t>
        </is>
      </c>
      <c r="D136" t="inlineStr">
        <is>
          <t>Reusable Lunch Bags &amp; Boxes</t>
        </is>
      </c>
      <c r="E136" t="inlineStr">
        <is>
          <t>Tirrinia</t>
        </is>
      </c>
      <c r="F136" t="inlineStr">
        <is>
          <t>Q2-Target,Brand Camp VD,Lunch Bag,WFS,Lunch Bags,SEM,Wal-Exl-Price,WFS Item</t>
        </is>
      </c>
      <c r="G136" s="48" t="n">
        <v>16.99</v>
      </c>
      <c r="H136" s="48" t="n">
        <v>-16.99</v>
      </c>
      <c r="I136" s="48" t="n">
        <v>-16.99</v>
      </c>
      <c r="J136" s="48" t="n">
        <v>16.99</v>
      </c>
      <c r="K136" s="49" t="n">
        <v>1</v>
      </c>
      <c r="L136" s="49" t="n">
        <v>-1</v>
      </c>
      <c r="M136" s="49" t="n">
        <v>-1</v>
      </c>
      <c r="N136" s="49" t="n">
        <v>1</v>
      </c>
      <c r="O136" s="49" t="n">
        <v>7</v>
      </c>
      <c r="P136" s="49" t="n">
        <v>7</v>
      </c>
      <c r="Q136" s="49" t="n">
        <v>13</v>
      </c>
      <c r="R136" s="49" t="n">
        <v>15</v>
      </c>
      <c r="S136" s="50" t="n">
        <v>0.1428571428571428</v>
      </c>
      <c r="T136" s="50" t="n">
        <v>-0.1428571428571428</v>
      </c>
      <c r="U136" s="50" t="n">
        <v>-0.07692307692307693</v>
      </c>
      <c r="V136" s="50" t="n">
        <v>0.06666666666666667</v>
      </c>
      <c r="W136" s="51" t="n">
        <v>0</v>
      </c>
      <c r="X136" s="51" t="n">
        <v>0</v>
      </c>
      <c r="Y136" s="51" t="n">
        <v>0</v>
      </c>
      <c r="Z136" s="51" t="n">
        <v>0</v>
      </c>
      <c r="AA136" s="52" t="n">
        <v>0</v>
      </c>
      <c r="AB136" s="52" t="n">
        <v>0</v>
      </c>
      <c r="AC136" s="52" t="n">
        <v>0</v>
      </c>
      <c r="AD136" s="52" t="n">
        <v>0</v>
      </c>
      <c r="AE136" s="52" t="n">
        <v>0</v>
      </c>
      <c r="AF136" s="52" t="n">
        <v>0</v>
      </c>
      <c r="AG136" s="52" t="n">
        <v>0</v>
      </c>
      <c r="AH136" s="52" t="n">
        <v>0</v>
      </c>
      <c r="AI136" s="52" t="n">
        <v>0</v>
      </c>
      <c r="AJ136" s="52" t="n">
        <v>0</v>
      </c>
      <c r="AK136" s="52" t="n">
        <v>0</v>
      </c>
      <c r="AL136" s="52" t="n">
        <v>0</v>
      </c>
      <c r="AM136" s="53" t="n">
        <v>0</v>
      </c>
      <c r="AN136" s="53" t="n">
        <v>0</v>
      </c>
      <c r="AO136" s="53" t="n">
        <v>0</v>
      </c>
      <c r="AP136" s="53" t="n">
        <v>0</v>
      </c>
      <c r="AQ136" s="52" t="n">
        <v>0</v>
      </c>
      <c r="AR136" s="52" t="n">
        <v>0</v>
      </c>
      <c r="AS136" s="52" t="n">
        <v>0</v>
      </c>
      <c r="AT136" s="52" t="n">
        <v>0</v>
      </c>
      <c r="AU136" s="53" t="n">
        <v>0</v>
      </c>
      <c r="AV136" s="53" t="n">
        <v>0</v>
      </c>
      <c r="AW136" s="53" t="n">
        <v>0</v>
      </c>
      <c r="AX136" s="53" t="n">
        <v>0</v>
      </c>
      <c r="AY136" s="52" t="n">
        <v>16.99</v>
      </c>
      <c r="AZ136" s="52" t="n">
        <v>0</v>
      </c>
      <c r="BA136" s="52" t="n">
        <v>0</v>
      </c>
      <c r="BB136" s="52" t="n">
        <v>16.99</v>
      </c>
      <c r="BC136" s="51" t="n">
        <v>0</v>
      </c>
      <c r="BD136" s="51" t="n">
        <v>0</v>
      </c>
      <c r="BE136" s="51" t="n">
        <v>0</v>
      </c>
      <c r="BF136" s="51" t="n">
        <v>0</v>
      </c>
    </row>
    <row r="137">
      <c r="A137">
        <f>HYPERLINK("https://www.walmart.com/ip/192337997", "192337997")</f>
        <v/>
      </c>
      <c r="B137" t="inlineStr">
        <is>
          <t>Solaris Sun Hats UV Protection Wide Brim Hat Unisex Adult Multicolor</t>
        </is>
      </c>
      <c r="C137" t="inlineStr">
        <is>
          <t>1SLSH910OL</t>
        </is>
      </c>
      <c r="D137" t="inlineStr">
        <is>
          <t>Hats</t>
        </is>
      </c>
      <c r="E137" t="inlineStr">
        <is>
          <t>Solaris</t>
        </is>
      </c>
      <c r="F137" t="inlineStr">
        <is>
          <t>Hats,SEM,Batch 1 - TR</t>
        </is>
      </c>
      <c r="G137" s="48" t="n">
        <v>15.99</v>
      </c>
      <c r="H137" s="48" t="n">
        <v>0</v>
      </c>
      <c r="I137" s="48" t="n">
        <v>22.98</v>
      </c>
      <c r="J137" s="48" t="n">
        <v>0</v>
      </c>
      <c r="K137" s="49" t="n">
        <v>1</v>
      </c>
      <c r="L137" s="49" t="n">
        <v>0</v>
      </c>
      <c r="M137" s="49" t="n">
        <v>1</v>
      </c>
      <c r="N137" s="49" t="n">
        <v>0</v>
      </c>
      <c r="O137" s="49" t="n">
        <v>0</v>
      </c>
      <c r="P137" s="49" t="n">
        <v>0</v>
      </c>
      <c r="Q137" s="49" t="n">
        <v>0</v>
      </c>
      <c r="R137" s="49" t="n">
        <v>0</v>
      </c>
      <c r="S137" s="50" t="n">
        <v>0</v>
      </c>
      <c r="T137" s="50" t="n">
        <v>0</v>
      </c>
      <c r="U137" s="50" t="n">
        <v>0</v>
      </c>
      <c r="V137" s="50" t="n">
        <v>0</v>
      </c>
      <c r="W137" s="51" t="n">
        <v>0</v>
      </c>
      <c r="X137" s="51" t="n">
        <v>0</v>
      </c>
      <c r="Y137" s="51" t="n">
        <v>0</v>
      </c>
      <c r="Z137" s="51" t="n">
        <v>0</v>
      </c>
      <c r="AA137" s="52" t="n">
        <v>0</v>
      </c>
      <c r="AB137" s="52" t="n">
        <v>0</v>
      </c>
      <c r="AC137" s="52" t="n">
        <v>0</v>
      </c>
      <c r="AD137" s="52" t="n">
        <v>0</v>
      </c>
      <c r="AE137" s="52" t="n">
        <v>0</v>
      </c>
      <c r="AF137" s="52" t="n">
        <v>0</v>
      </c>
      <c r="AG137" s="52" t="n">
        <v>0</v>
      </c>
      <c r="AH137" s="52" t="n">
        <v>0</v>
      </c>
      <c r="AI137" s="52" t="n">
        <v>0</v>
      </c>
      <c r="AJ137" s="52" t="n">
        <v>0</v>
      </c>
      <c r="AK137" s="52" t="n">
        <v>0</v>
      </c>
      <c r="AL137" s="52" t="n">
        <v>0</v>
      </c>
      <c r="AM137" s="53" t="n">
        <v>0</v>
      </c>
      <c r="AN137" s="53" t="n">
        <v>0</v>
      </c>
      <c r="AO137" s="53" t="n">
        <v>0</v>
      </c>
      <c r="AP137" s="53" t="n">
        <v>0</v>
      </c>
      <c r="AQ137" s="52" t="n">
        <v>0</v>
      </c>
      <c r="AR137" s="52" t="n">
        <v>0</v>
      </c>
      <c r="AS137" s="52" t="n">
        <v>0</v>
      </c>
      <c r="AT137" s="52" t="n">
        <v>0</v>
      </c>
      <c r="AU137" s="53" t="n">
        <v>0</v>
      </c>
      <c r="AV137" s="53" t="n">
        <v>0</v>
      </c>
      <c r="AW137" s="53" t="n">
        <v>0</v>
      </c>
      <c r="AX137" s="53" t="n">
        <v>0</v>
      </c>
      <c r="AY137" s="52" t="n">
        <v>15.99</v>
      </c>
      <c r="AZ137" s="52" t="n">
        <v>0</v>
      </c>
      <c r="BA137" s="52" t="n">
        <v>22.98</v>
      </c>
      <c r="BB137" s="52" t="n">
        <v>0</v>
      </c>
      <c r="BC137" s="51" t="n">
        <v>0</v>
      </c>
      <c r="BD137" s="51" t="n">
        <v>0</v>
      </c>
      <c r="BE137" s="51" t="n">
        <v>0</v>
      </c>
      <c r="BF137" s="51" t="n">
        <v>0</v>
      </c>
    </row>
    <row r="138">
      <c r="A138">
        <f>HYPERLINK("https://www.walmart.com/ip/1161160219", "1161160219")</f>
        <v/>
      </c>
      <c r="B138" t="inlineStr">
        <is>
          <t>TirriniaInsulated Lunch Bag for Women Men, Leakproof Thermal Reusable Lunch Box for Adult &amp; Kids, Lunch Cooler Tote for Office Work Back to School, Camo</t>
        </is>
      </c>
      <c r="C138" t="inlineStr">
        <is>
          <t>1TRLB701CAMO-N</t>
        </is>
      </c>
      <c r="D138" t="inlineStr">
        <is>
          <t>Reusable Lunch Bags &amp; Boxes</t>
        </is>
      </c>
      <c r="E138" t="inlineStr">
        <is>
          <t>Tirrinia</t>
        </is>
      </c>
      <c r="F138" t="inlineStr">
        <is>
          <t>Q2-Target,Brand Camp VD,Lunch Bags,Batch 1 - TR</t>
        </is>
      </c>
      <c r="G138" s="48" t="n">
        <v>15.99</v>
      </c>
      <c r="H138" s="48" t="n">
        <v>15.99</v>
      </c>
      <c r="I138" s="48" t="n">
        <v>0</v>
      </c>
      <c r="J138" s="48" t="n">
        <v>47.97</v>
      </c>
      <c r="K138" s="49" t="n">
        <v>1</v>
      </c>
      <c r="L138" s="49" t="n">
        <v>1</v>
      </c>
      <c r="M138" s="49" t="n">
        <v>0</v>
      </c>
      <c r="N138" s="49" t="n">
        <v>3</v>
      </c>
      <c r="O138" s="49" t="n">
        <v>22</v>
      </c>
      <c r="P138" s="49" t="n">
        <v>40</v>
      </c>
      <c r="Q138" s="49" t="n">
        <v>39</v>
      </c>
      <c r="R138" s="49" t="n">
        <v>57</v>
      </c>
      <c r="S138" s="50" t="n">
        <v>0.04545454545454546</v>
      </c>
      <c r="T138" s="50" t="n">
        <v>0.025</v>
      </c>
      <c r="U138" s="50" t="n">
        <v>0</v>
      </c>
      <c r="V138" s="50" t="n">
        <v>0.05263157894736842</v>
      </c>
      <c r="W138" s="51" t="n">
        <v>0</v>
      </c>
      <c r="X138" s="51" t="n">
        <v>0</v>
      </c>
      <c r="Y138" s="51" t="n">
        <v>0</v>
      </c>
      <c r="Z138" s="51" t="n">
        <v>0</v>
      </c>
      <c r="AA138" s="52" t="n">
        <v>0</v>
      </c>
      <c r="AB138" s="52" t="n">
        <v>0</v>
      </c>
      <c r="AC138" s="52" t="n">
        <v>0</v>
      </c>
      <c r="AD138" s="52" t="n">
        <v>0</v>
      </c>
      <c r="AE138" s="52" t="n">
        <v>0</v>
      </c>
      <c r="AF138" s="52" t="n">
        <v>0</v>
      </c>
      <c r="AG138" s="52" t="n">
        <v>0</v>
      </c>
      <c r="AH138" s="52" t="n">
        <v>0</v>
      </c>
      <c r="AI138" s="52" t="n">
        <v>0</v>
      </c>
      <c r="AJ138" s="52" t="n">
        <v>0</v>
      </c>
      <c r="AK138" s="52" t="n">
        <v>0</v>
      </c>
      <c r="AL138" s="52" t="n">
        <v>0</v>
      </c>
      <c r="AM138" s="53" t="n">
        <v>0</v>
      </c>
      <c r="AN138" s="53" t="n">
        <v>0</v>
      </c>
      <c r="AO138" s="53" t="n">
        <v>0</v>
      </c>
      <c r="AP138" s="53" t="n">
        <v>0</v>
      </c>
      <c r="AQ138" s="52" t="n">
        <v>0</v>
      </c>
      <c r="AR138" s="52" t="n">
        <v>0</v>
      </c>
      <c r="AS138" s="52" t="n">
        <v>0</v>
      </c>
      <c r="AT138" s="52" t="n">
        <v>0</v>
      </c>
      <c r="AU138" s="53" t="n">
        <v>0</v>
      </c>
      <c r="AV138" s="53" t="n">
        <v>0</v>
      </c>
      <c r="AW138" s="53" t="n">
        <v>0</v>
      </c>
      <c r="AX138" s="53" t="n">
        <v>0</v>
      </c>
      <c r="AY138" s="52" t="n">
        <v>15.99</v>
      </c>
      <c r="AZ138" s="52" t="n">
        <v>15.99</v>
      </c>
      <c r="BA138" s="52" t="n">
        <v>0</v>
      </c>
      <c r="BB138" s="52" t="n">
        <v>15.99</v>
      </c>
      <c r="BC138" s="51" t="n">
        <v>0</v>
      </c>
      <c r="BD138" s="51" t="n">
        <v>0</v>
      </c>
      <c r="BE138" s="51" t="n">
        <v>0</v>
      </c>
      <c r="BF138" s="51" t="n">
        <v>0</v>
      </c>
    </row>
    <row r="139">
      <c r="A139">
        <f>HYPERLINK("https://www.walmart.com/ip/124908512", "124908512")</f>
        <v/>
      </c>
      <c r="B139" t="inlineStr">
        <is>
          <t>Sun Blocker Women’s Large Brim UV Protection Fishing Hat, Neck Flap Hat, Silver</t>
        </is>
      </c>
      <c r="C139" t="inlineStr">
        <is>
          <t>KC-S9202-SL</t>
        </is>
      </c>
      <c r="D139" t="inlineStr">
        <is>
          <t>Hats</t>
        </is>
      </c>
      <c r="E139" t="inlineStr">
        <is>
          <t>Sun Blocker</t>
        </is>
      </c>
      <c r="F139" t="inlineStr">
        <is>
          <t>Hats,Batch 1 - TR</t>
        </is>
      </c>
      <c r="G139" s="48" t="n">
        <v>15.99</v>
      </c>
      <c r="H139" s="48" t="n">
        <v>0</v>
      </c>
      <c r="I139" s="48" t="n">
        <v>15.99</v>
      </c>
      <c r="J139" s="48" t="n">
        <v>0</v>
      </c>
      <c r="K139" s="49" t="n">
        <v>1</v>
      </c>
      <c r="L139" s="49" t="n">
        <v>0</v>
      </c>
      <c r="M139" s="49" t="n">
        <v>1</v>
      </c>
      <c r="N139" s="49" t="n">
        <v>0</v>
      </c>
      <c r="O139" s="49" t="n">
        <v>1</v>
      </c>
      <c r="P139" s="49" t="n">
        <v>1</v>
      </c>
      <c r="Q139" s="49" t="n">
        <v>0</v>
      </c>
      <c r="R139" s="49" t="n">
        <v>0</v>
      </c>
      <c r="S139" s="50" t="n">
        <v>1</v>
      </c>
      <c r="T139" s="50" t="n">
        <v>0</v>
      </c>
      <c r="U139" s="50" t="n">
        <v>0</v>
      </c>
      <c r="V139" s="50" t="n">
        <v>0</v>
      </c>
      <c r="W139" s="51" t="n">
        <v>0</v>
      </c>
      <c r="X139" s="51" t="n">
        <v>0</v>
      </c>
      <c r="Y139" s="51" t="n">
        <v>0</v>
      </c>
      <c r="Z139" s="51" t="n">
        <v>0</v>
      </c>
      <c r="AA139" s="52" t="n">
        <v>0</v>
      </c>
      <c r="AB139" s="52" t="n">
        <v>0</v>
      </c>
      <c r="AC139" s="52" t="n">
        <v>0</v>
      </c>
      <c r="AD139" s="52" t="n">
        <v>0</v>
      </c>
      <c r="AE139" s="52" t="n">
        <v>0</v>
      </c>
      <c r="AF139" s="52" t="n">
        <v>0</v>
      </c>
      <c r="AG139" s="52" t="n">
        <v>0</v>
      </c>
      <c r="AH139" s="52" t="n">
        <v>0</v>
      </c>
      <c r="AI139" s="52" t="n">
        <v>0</v>
      </c>
      <c r="AJ139" s="52" t="n">
        <v>0</v>
      </c>
      <c r="AK139" s="52" t="n">
        <v>0</v>
      </c>
      <c r="AL139" s="52" t="n">
        <v>0</v>
      </c>
      <c r="AM139" s="53" t="n">
        <v>0</v>
      </c>
      <c r="AN139" s="53" t="n">
        <v>0</v>
      </c>
      <c r="AO139" s="53" t="n">
        <v>0</v>
      </c>
      <c r="AP139" s="53" t="n">
        <v>0</v>
      </c>
      <c r="AQ139" s="52" t="n">
        <v>0</v>
      </c>
      <c r="AR139" s="52" t="n">
        <v>0</v>
      </c>
      <c r="AS139" s="52" t="n">
        <v>0</v>
      </c>
      <c r="AT139" s="52" t="n">
        <v>0</v>
      </c>
      <c r="AU139" s="53" t="n">
        <v>0</v>
      </c>
      <c r="AV139" s="53" t="n">
        <v>0</v>
      </c>
      <c r="AW139" s="53" t="n">
        <v>0</v>
      </c>
      <c r="AX139" s="53" t="n">
        <v>0</v>
      </c>
      <c r="AY139" s="52" t="n">
        <v>15.99</v>
      </c>
      <c r="AZ139" s="52" t="n">
        <v>0</v>
      </c>
      <c r="BA139" s="52" t="n">
        <v>15.99</v>
      </c>
      <c r="BB139" s="52" t="n">
        <v>0</v>
      </c>
      <c r="BC139" s="51" t="n">
        <v>0</v>
      </c>
      <c r="BD139" s="51" t="n">
        <v>0</v>
      </c>
      <c r="BE139" s="51" t="n">
        <v>0</v>
      </c>
      <c r="BF139" s="51" t="n">
        <v>0</v>
      </c>
    </row>
    <row r="140">
      <c r="A140">
        <f>HYPERLINK("https://www.walmart.com/ip/1923398427", "1923398427")</f>
        <v/>
      </c>
      <c r="B140" t="inlineStr">
        <is>
          <t>Tirrinia Large Insulated Lunch Tote Bag for Women,Waterproof Oxford Cloth Leakproof Cooler Bag,Shopping Food Grocery Bags for Work Beach, Pink Melon</t>
        </is>
      </c>
      <c r="C140" t="inlineStr">
        <is>
          <t>1TRCB800PKMEL</t>
        </is>
      </c>
      <c r="D140" t="inlineStr">
        <is>
          <t>Reusable Lunch Bags &amp; Boxes</t>
        </is>
      </c>
      <c r="E140" t="inlineStr">
        <is>
          <t>Tirrinia</t>
        </is>
      </c>
      <c r="F140" t="inlineStr">
        <is>
          <t>Q2-Target,Batch 1 - TR</t>
        </is>
      </c>
      <c r="G140" s="48" t="n">
        <v>15.99</v>
      </c>
      <c r="H140" s="48" t="n">
        <v>0</v>
      </c>
      <c r="I140" s="48" t="n">
        <v>0</v>
      </c>
      <c r="J140" s="48" t="n">
        <v>0</v>
      </c>
      <c r="K140" s="49" t="n">
        <v>1</v>
      </c>
      <c r="L140" s="49" t="n">
        <v>0</v>
      </c>
      <c r="M140" s="49" t="n">
        <v>0</v>
      </c>
      <c r="N140" s="49" t="n">
        <v>0</v>
      </c>
      <c r="O140" s="49" t="n">
        <v>3</v>
      </c>
      <c r="P140" s="49" t="n">
        <v>0</v>
      </c>
      <c r="Q140" s="49" t="n">
        <v>3</v>
      </c>
      <c r="R140" s="49" t="n">
        <v>2</v>
      </c>
      <c r="S140" s="50" t="n">
        <v>0.3333333333333333</v>
      </c>
      <c r="T140" s="50" t="n">
        <v>0</v>
      </c>
      <c r="U140" s="50" t="n">
        <v>0</v>
      </c>
      <c r="V140" s="50" t="n">
        <v>0</v>
      </c>
      <c r="W140" s="51" t="n">
        <v>0</v>
      </c>
      <c r="X140" s="51" t="n">
        <v>0</v>
      </c>
      <c r="Y140" s="51" t="n">
        <v>0</v>
      </c>
      <c r="Z140" s="51" t="n">
        <v>0</v>
      </c>
      <c r="AA140" s="52" t="n">
        <v>0</v>
      </c>
      <c r="AB140" s="52" t="n">
        <v>0</v>
      </c>
      <c r="AC140" s="52" t="n">
        <v>0</v>
      </c>
      <c r="AD140" s="52" t="n">
        <v>0</v>
      </c>
      <c r="AE140" s="52" t="n">
        <v>0</v>
      </c>
      <c r="AF140" s="52" t="n">
        <v>0</v>
      </c>
      <c r="AG140" s="52" t="n">
        <v>0</v>
      </c>
      <c r="AH140" s="52" t="n">
        <v>0</v>
      </c>
      <c r="AI140" s="52" t="n">
        <v>0</v>
      </c>
      <c r="AJ140" s="52" t="n">
        <v>0</v>
      </c>
      <c r="AK140" s="52" t="n">
        <v>0</v>
      </c>
      <c r="AL140" s="52" t="n">
        <v>0</v>
      </c>
      <c r="AM140" s="53" t="n">
        <v>0</v>
      </c>
      <c r="AN140" s="53" t="n">
        <v>0</v>
      </c>
      <c r="AO140" s="53" t="n">
        <v>0</v>
      </c>
      <c r="AP140" s="53" t="n">
        <v>0</v>
      </c>
      <c r="AQ140" s="52" t="n">
        <v>0</v>
      </c>
      <c r="AR140" s="52" t="n">
        <v>0</v>
      </c>
      <c r="AS140" s="52" t="n">
        <v>0</v>
      </c>
      <c r="AT140" s="52" t="n">
        <v>0</v>
      </c>
      <c r="AU140" s="53" t="n">
        <v>0</v>
      </c>
      <c r="AV140" s="53" t="n">
        <v>0</v>
      </c>
      <c r="AW140" s="53" t="n">
        <v>0</v>
      </c>
      <c r="AX140" s="53" t="n">
        <v>0</v>
      </c>
      <c r="AY140" s="52" t="n">
        <v>15.99</v>
      </c>
      <c r="AZ140" s="52" t="n">
        <v>0</v>
      </c>
      <c r="BA140" s="52" t="n">
        <v>0</v>
      </c>
      <c r="BB140" s="52" t="n">
        <v>0</v>
      </c>
      <c r="BC140" s="51" t="n">
        <v>0</v>
      </c>
      <c r="BD140" s="51" t="n">
        <v>0</v>
      </c>
      <c r="BE140" s="51" t="n">
        <v>0</v>
      </c>
      <c r="BF140" s="51" t="n">
        <v>0</v>
      </c>
    </row>
    <row r="141">
      <c r="A141">
        <f>HYPERLINK("https://www.walmart.com/ip/685992579", "685992579")</f>
        <v/>
      </c>
      <c r="B141" t="inlineStr">
        <is>
          <t>Sun Hat for Women Wide Brim Summer Beach Hat with Neck Flap, UPF 50+ Fishing Hat for Hiking Beach, Purple</t>
        </is>
      </c>
      <c r="C141" t="inlineStr">
        <is>
          <t>1SLSH921PP</t>
        </is>
      </c>
      <c r="D141" t="inlineStr">
        <is>
          <t>Hats</t>
        </is>
      </c>
      <c r="E141" t="inlineStr">
        <is>
          <t>Solaris</t>
        </is>
      </c>
      <c r="F141" t="inlineStr">
        <is>
          <t>Q2-Target,Hats,Batch 1 - TR</t>
        </is>
      </c>
      <c r="G141" s="48" t="n">
        <v>15.99</v>
      </c>
      <c r="H141" s="48" t="n">
        <v>47.97</v>
      </c>
      <c r="I141" s="48" t="n">
        <v>15.99</v>
      </c>
      <c r="J141" s="48" t="n">
        <v>0</v>
      </c>
      <c r="K141" s="49" t="n">
        <v>1</v>
      </c>
      <c r="L141" s="49" t="n">
        <v>3</v>
      </c>
      <c r="M141" s="49" t="n">
        <v>1</v>
      </c>
      <c r="N141" s="49" t="n">
        <v>0</v>
      </c>
      <c r="O141" s="49" t="n">
        <v>25</v>
      </c>
      <c r="P141" s="49" t="n">
        <v>9</v>
      </c>
      <c r="Q141" s="49" t="n">
        <v>2</v>
      </c>
      <c r="R141" s="49" t="n">
        <v>3</v>
      </c>
      <c r="S141" s="50" t="n">
        <v>0.04</v>
      </c>
      <c r="T141" s="50" t="n">
        <v>0.3333333333333333</v>
      </c>
      <c r="U141" s="50" t="n">
        <v>0.5</v>
      </c>
      <c r="V141" s="50" t="n">
        <v>0</v>
      </c>
      <c r="W141" s="51" t="n">
        <v>54</v>
      </c>
      <c r="X141" s="51" t="n">
        <v>0</v>
      </c>
      <c r="Y141" s="51" t="n">
        <v>0</v>
      </c>
      <c r="Z141" s="51" t="n">
        <v>0</v>
      </c>
      <c r="AA141" s="52" t="n">
        <v>22.81</v>
      </c>
      <c r="AB141" s="52" t="n">
        <v>0</v>
      </c>
      <c r="AC141" s="52" t="n">
        <v>0</v>
      </c>
      <c r="AD141" s="52" t="n">
        <v>0</v>
      </c>
      <c r="AE141" s="52" t="n">
        <v>33.98</v>
      </c>
      <c r="AF141" s="52" t="n">
        <v>0</v>
      </c>
      <c r="AG141" s="52" t="n">
        <v>0</v>
      </c>
      <c r="AH141" s="52" t="n">
        <v>0</v>
      </c>
      <c r="AI141" s="52" t="n">
        <v>1.49</v>
      </c>
      <c r="AJ141" s="52" t="n">
        <v>0</v>
      </c>
      <c r="AK141" s="52" t="n">
        <v>0</v>
      </c>
      <c r="AL141" s="52" t="n">
        <v>0</v>
      </c>
      <c r="AM141" s="53" t="n">
        <v>0.0027</v>
      </c>
      <c r="AN141" s="53" t="n">
        <v>0</v>
      </c>
      <c r="AO141" s="53" t="n">
        <v>0</v>
      </c>
      <c r="AP141" s="53" t="n">
        <v>0</v>
      </c>
      <c r="AQ141" s="52" t="n">
        <v>0.4224074074074074</v>
      </c>
      <c r="AR141" s="52" t="n">
        <v>0</v>
      </c>
      <c r="AS141" s="52" t="n">
        <v>0</v>
      </c>
      <c r="AT141" s="52" t="n">
        <v>0</v>
      </c>
      <c r="AU141" s="53" t="n">
        <v>1.426516572858036</v>
      </c>
      <c r="AV141" s="53" t="n">
        <v>0</v>
      </c>
      <c r="AW141" s="53" t="n">
        <v>0</v>
      </c>
      <c r="AX141" s="53" t="n">
        <v>0</v>
      </c>
      <c r="AY141" s="52" t="n">
        <v>15.99</v>
      </c>
      <c r="AZ141" s="52" t="n">
        <v>15.99</v>
      </c>
      <c r="BA141" s="52" t="n">
        <v>15.99</v>
      </c>
      <c r="BB141" s="52" t="n">
        <v>0</v>
      </c>
      <c r="BC141" s="51" t="n">
        <v>20266</v>
      </c>
      <c r="BD141" s="51" t="n">
        <v>0</v>
      </c>
      <c r="BE141" s="51" t="n">
        <v>0</v>
      </c>
      <c r="BF141" s="51" t="n">
        <v>0</v>
      </c>
    </row>
    <row r="142">
      <c r="A142">
        <f>HYPERLINK("https://www.walmart.com/ip/799046318", "799046318")</f>
        <v/>
      </c>
      <c r="B142" t="inlineStr">
        <is>
          <t>Sun Blocker Women's Sun Hat  Wide Brim Flap Cap with Floral Ribbon for Beach Gardening Hiking Fishing Safari UPF 50+ White</t>
        </is>
      </c>
      <c r="C142" t="inlineStr">
        <is>
          <t>KC-S9202-WT</t>
        </is>
      </c>
      <c r="D142" t="inlineStr">
        <is>
          <t>Hats</t>
        </is>
      </c>
      <c r="E142" t="inlineStr">
        <is>
          <t>Sun Blocker</t>
        </is>
      </c>
      <c r="F142" t="inlineStr">
        <is>
          <t>Hats,Batch 1 - TR</t>
        </is>
      </c>
      <c r="G142" s="48" t="n">
        <v>15.99</v>
      </c>
      <c r="H142" s="48" t="n">
        <v>0</v>
      </c>
      <c r="I142" s="48" t="n">
        <v>0</v>
      </c>
      <c r="J142" s="48" t="n">
        <v>0</v>
      </c>
      <c r="K142" s="49" t="n">
        <v>1</v>
      </c>
      <c r="L142" s="49" t="n">
        <v>0</v>
      </c>
      <c r="M142" s="49" t="n">
        <v>0</v>
      </c>
      <c r="N142" s="49" t="n">
        <v>0</v>
      </c>
      <c r="O142" s="49" t="n">
        <v>3</v>
      </c>
      <c r="P142" s="49" t="n">
        <v>2</v>
      </c>
      <c r="Q142" s="49" t="n">
        <v>0</v>
      </c>
      <c r="R142" s="49" t="n">
        <v>0</v>
      </c>
      <c r="S142" s="50" t="n">
        <v>0.3333333333333333</v>
      </c>
      <c r="T142" s="50" t="n">
        <v>0</v>
      </c>
      <c r="U142" s="50" t="n">
        <v>0</v>
      </c>
      <c r="V142" s="50" t="n">
        <v>0</v>
      </c>
      <c r="W142" s="51" t="n">
        <v>0</v>
      </c>
      <c r="X142" s="51" t="n">
        <v>0</v>
      </c>
      <c r="Y142" s="51" t="n">
        <v>0</v>
      </c>
      <c r="Z142" s="51" t="n">
        <v>0</v>
      </c>
      <c r="AA142" s="52" t="n">
        <v>0</v>
      </c>
      <c r="AB142" s="52" t="n">
        <v>0</v>
      </c>
      <c r="AC142" s="52" t="n">
        <v>0</v>
      </c>
      <c r="AD142" s="52" t="n">
        <v>0</v>
      </c>
      <c r="AE142" s="52" t="n">
        <v>0</v>
      </c>
      <c r="AF142" s="52" t="n">
        <v>0</v>
      </c>
      <c r="AG142" s="52" t="n">
        <v>0</v>
      </c>
      <c r="AH142" s="52" t="n">
        <v>0</v>
      </c>
      <c r="AI142" s="52" t="n">
        <v>0</v>
      </c>
      <c r="AJ142" s="52" t="n">
        <v>0</v>
      </c>
      <c r="AK142" s="52" t="n">
        <v>0</v>
      </c>
      <c r="AL142" s="52" t="n">
        <v>0</v>
      </c>
      <c r="AM142" s="53" t="n">
        <v>0</v>
      </c>
      <c r="AN142" s="53" t="n">
        <v>0</v>
      </c>
      <c r="AO142" s="53" t="n">
        <v>0</v>
      </c>
      <c r="AP142" s="53" t="n">
        <v>0</v>
      </c>
      <c r="AQ142" s="52" t="n">
        <v>0</v>
      </c>
      <c r="AR142" s="52" t="n">
        <v>0</v>
      </c>
      <c r="AS142" s="52" t="n">
        <v>0</v>
      </c>
      <c r="AT142" s="52" t="n">
        <v>0</v>
      </c>
      <c r="AU142" s="53" t="n">
        <v>0</v>
      </c>
      <c r="AV142" s="53" t="n">
        <v>0</v>
      </c>
      <c r="AW142" s="53" t="n">
        <v>0</v>
      </c>
      <c r="AX142" s="53" t="n">
        <v>0</v>
      </c>
      <c r="AY142" s="52" t="n">
        <v>15.99</v>
      </c>
      <c r="AZ142" s="52" t="n">
        <v>0</v>
      </c>
      <c r="BA142" s="52" t="n">
        <v>0</v>
      </c>
      <c r="BB142" s="52" t="n">
        <v>0</v>
      </c>
      <c r="BC142" s="51" t="n">
        <v>0</v>
      </c>
      <c r="BD142" s="51" t="n">
        <v>0</v>
      </c>
      <c r="BE142" s="51" t="n">
        <v>0</v>
      </c>
      <c r="BF142" s="51" t="n">
        <v>0</v>
      </c>
    </row>
    <row r="143">
      <c r="A143">
        <f>HYPERLINK("https://www.walmart.com/ip/1358389098", "1358389098")</f>
        <v/>
      </c>
      <c r="B143" t="inlineStr">
        <is>
          <t>Sun Blocker Women's Sun Hat  Wide Brim Flap Cap with Floral Ribbon for Beach Gardening Hiking Fishing Safari UPF 50+ Purple</t>
        </is>
      </c>
      <c r="C143" t="inlineStr">
        <is>
          <t>KC-S9202-PP</t>
        </is>
      </c>
      <c r="D143" t="inlineStr">
        <is>
          <t>Hats</t>
        </is>
      </c>
      <c r="E143" t="inlineStr">
        <is>
          <t>Sun Blocker</t>
        </is>
      </c>
      <c r="G143" s="48" t="n">
        <v>15.99</v>
      </c>
      <c r="H143" s="48" t="n">
        <v>31.98</v>
      </c>
      <c r="I143" s="48" t="n">
        <v>0</v>
      </c>
      <c r="J143" s="48" t="n">
        <v>15.99</v>
      </c>
      <c r="K143" s="49" t="n">
        <v>1</v>
      </c>
      <c r="L143" s="49" t="n">
        <v>2</v>
      </c>
      <c r="M143" s="49" t="n">
        <v>0</v>
      </c>
      <c r="N143" s="49" t="n">
        <v>1</v>
      </c>
      <c r="O143" s="49" t="n">
        <v>4</v>
      </c>
      <c r="P143" s="49" t="n">
        <v>2</v>
      </c>
      <c r="Q143" s="49" t="n">
        <v>0</v>
      </c>
      <c r="R143" s="49" t="n">
        <v>0</v>
      </c>
      <c r="S143" s="50" t="n">
        <v>0.25</v>
      </c>
      <c r="T143" s="50" t="n">
        <v>1</v>
      </c>
      <c r="U143" s="50" t="n">
        <v>0</v>
      </c>
      <c r="V143" s="50" t="n">
        <v>0</v>
      </c>
      <c r="W143" s="51" t="n">
        <v>0</v>
      </c>
      <c r="X143" s="51" t="n">
        <v>0</v>
      </c>
      <c r="Y143" s="51" t="n">
        <v>0</v>
      </c>
      <c r="Z143" s="51" t="n">
        <v>0</v>
      </c>
      <c r="AA143" s="52" t="n">
        <v>0</v>
      </c>
      <c r="AB143" s="52" t="n">
        <v>0</v>
      </c>
      <c r="AC143" s="52" t="n">
        <v>0</v>
      </c>
      <c r="AD143" s="52" t="n">
        <v>0</v>
      </c>
      <c r="AE143" s="52" t="n">
        <v>0</v>
      </c>
      <c r="AF143" s="52" t="n">
        <v>0</v>
      </c>
      <c r="AG143" s="52" t="n">
        <v>0</v>
      </c>
      <c r="AH143" s="52" t="n">
        <v>0</v>
      </c>
      <c r="AI143" s="52" t="n">
        <v>0</v>
      </c>
      <c r="AJ143" s="52" t="n">
        <v>0</v>
      </c>
      <c r="AK143" s="52" t="n">
        <v>0</v>
      </c>
      <c r="AL143" s="52" t="n">
        <v>0</v>
      </c>
      <c r="AM143" s="53" t="n">
        <v>0</v>
      </c>
      <c r="AN143" s="53" t="n">
        <v>0</v>
      </c>
      <c r="AO143" s="53" t="n">
        <v>0</v>
      </c>
      <c r="AP143" s="53" t="n">
        <v>0</v>
      </c>
      <c r="AQ143" s="52" t="n">
        <v>0</v>
      </c>
      <c r="AR143" s="52" t="n">
        <v>0</v>
      </c>
      <c r="AS143" s="52" t="n">
        <v>0</v>
      </c>
      <c r="AT143" s="52" t="n">
        <v>0</v>
      </c>
      <c r="AU143" s="53" t="n">
        <v>0</v>
      </c>
      <c r="AV143" s="53" t="n">
        <v>0</v>
      </c>
      <c r="AW143" s="53" t="n">
        <v>0</v>
      </c>
      <c r="AX143" s="53" t="n">
        <v>0</v>
      </c>
      <c r="AY143" s="52" t="n">
        <v>15.99</v>
      </c>
      <c r="AZ143" s="52" t="n">
        <v>15.99</v>
      </c>
      <c r="BA143" s="52" t="n">
        <v>0</v>
      </c>
      <c r="BB143" s="52" t="n">
        <v>15.99</v>
      </c>
      <c r="BC143" s="51" t="n">
        <v>0</v>
      </c>
      <c r="BD143" s="51" t="n">
        <v>0</v>
      </c>
      <c r="BE143" s="51" t="n">
        <v>0</v>
      </c>
      <c r="BF143" s="51" t="n">
        <v>0</v>
      </c>
    </row>
    <row r="144">
      <c r="A144">
        <f>HYPERLINK("https://www.walmart.com/ip/945087727", "945087727")</f>
        <v/>
      </c>
      <c r="B144" t="inlineStr">
        <is>
          <t>Tirrinia Blaze Orange Hunting Neon Basics Cap Low Profile Tangerine Safety Baseball Hat with Adjustable Closure</t>
        </is>
      </c>
      <c r="C144" t="inlineStr">
        <is>
          <t>1TRHT8120OR</t>
        </is>
      </c>
      <c r="D144" t="inlineStr">
        <is>
          <t>Hats</t>
        </is>
      </c>
      <c r="E144" t="inlineStr">
        <is>
          <t>Tirrinia</t>
        </is>
      </c>
      <c r="F144" t="inlineStr">
        <is>
          <t>Optimized,WFS,Hats,WFS Item</t>
        </is>
      </c>
      <c r="G144" s="48" t="n">
        <v>15.98</v>
      </c>
      <c r="H144" s="48" t="n">
        <v>0</v>
      </c>
      <c r="I144" s="48" t="n">
        <v>20.28</v>
      </c>
      <c r="J144" s="48" t="n">
        <v>0</v>
      </c>
      <c r="K144" s="49" t="n">
        <v>1</v>
      </c>
      <c r="L144" s="49" t="n">
        <v>0</v>
      </c>
      <c r="M144" s="49" t="n">
        <v>1</v>
      </c>
      <c r="N144" s="49" t="n">
        <v>0</v>
      </c>
      <c r="O144" s="49" t="n">
        <v>0</v>
      </c>
      <c r="P144" s="49" t="n">
        <v>0</v>
      </c>
      <c r="Q144" s="49" t="n">
        <v>0</v>
      </c>
      <c r="R144" s="49" t="n">
        <v>0</v>
      </c>
      <c r="S144" s="50" t="n">
        <v>0</v>
      </c>
      <c r="T144" s="50" t="n">
        <v>0</v>
      </c>
      <c r="U144" s="50" t="n">
        <v>0</v>
      </c>
      <c r="V144" s="50" t="n">
        <v>0</v>
      </c>
      <c r="W144" s="51" t="n">
        <v>5</v>
      </c>
      <c r="X144" s="51" t="n">
        <v>6</v>
      </c>
      <c r="Y144" s="51" t="n">
        <v>12</v>
      </c>
      <c r="Z144" s="51" t="n">
        <v>9</v>
      </c>
      <c r="AA144" s="52" t="n">
        <v>1.55</v>
      </c>
      <c r="AB144" s="52" t="n">
        <v>1.86</v>
      </c>
      <c r="AC144" s="52" t="n">
        <v>3.48</v>
      </c>
      <c r="AD144" s="52" t="n">
        <v>2.51</v>
      </c>
      <c r="AE144" s="52" t="n">
        <v>15.98</v>
      </c>
      <c r="AF144" s="52" t="n">
        <v>0</v>
      </c>
      <c r="AG144" s="52" t="n">
        <v>15.98</v>
      </c>
      <c r="AH144" s="52" t="n">
        <v>0</v>
      </c>
      <c r="AI144" s="52" t="n">
        <v>10.31</v>
      </c>
      <c r="AJ144" s="52" t="n">
        <v>0</v>
      </c>
      <c r="AK144" s="52" t="n">
        <v>4.59</v>
      </c>
      <c r="AL144" s="52" t="n">
        <v>0</v>
      </c>
      <c r="AM144" s="53" t="n">
        <v>0.0081</v>
      </c>
      <c r="AN144" s="53" t="n">
        <v>0.0059</v>
      </c>
      <c r="AO144" s="53" t="n">
        <v>0.0107</v>
      </c>
      <c r="AP144" s="53" t="n">
        <v>0.0102</v>
      </c>
      <c r="AQ144" s="52" t="n">
        <v>0.3099999999999999</v>
      </c>
      <c r="AR144" s="52" t="n">
        <v>0.31</v>
      </c>
      <c r="AS144" s="52" t="n">
        <v>0.29</v>
      </c>
      <c r="AT144" s="52" t="n">
        <v>0.2788888888888889</v>
      </c>
      <c r="AU144" s="53" t="n">
        <v>0.09699624530663328</v>
      </c>
      <c r="AV144" s="53" t="n">
        <v>0</v>
      </c>
      <c r="AW144" s="53" t="n">
        <v>0.1715976331360947</v>
      </c>
      <c r="AX144" s="53" t="n">
        <v>0</v>
      </c>
      <c r="AY144" s="52" t="n">
        <v>15.98</v>
      </c>
      <c r="AZ144" s="52" t="n">
        <v>0</v>
      </c>
      <c r="BA144" s="52" t="n">
        <v>20.28</v>
      </c>
      <c r="BB144" s="52" t="n">
        <v>0</v>
      </c>
      <c r="BC144" s="51" t="n">
        <v>615</v>
      </c>
      <c r="BD144" s="51" t="n">
        <v>1023</v>
      </c>
      <c r="BE144" s="51" t="n">
        <v>1118</v>
      </c>
      <c r="BF144" s="51" t="n">
        <v>880</v>
      </c>
    </row>
    <row r="145">
      <c r="A145">
        <f>HYPERLINK("https://www.walmart.com/ip/328068898", "328068898")</f>
        <v/>
      </c>
      <c r="B145" t="inlineStr">
        <is>
          <t>Insulated Expandable Lunch Bags Tote Thermal Cooler Leak Proof Travel Container Food Case for Adults Adjustable Shoulder</t>
        </is>
      </c>
      <c r="C145" t="inlineStr">
        <is>
          <t>1KTLB110BL</t>
        </is>
      </c>
      <c r="D145" t="inlineStr">
        <is>
          <t>Reusable Lunch Bags &amp; Boxes</t>
        </is>
      </c>
      <c r="E145" t="inlineStr">
        <is>
          <t>Kato</t>
        </is>
      </c>
      <c r="F145" t="inlineStr">
        <is>
          <t>Lunch Bag,SEM</t>
        </is>
      </c>
      <c r="G145" s="48" t="n">
        <v>14.99</v>
      </c>
      <c r="H145" s="48" t="n">
        <v>0</v>
      </c>
      <c r="I145" s="48" t="n">
        <v>0</v>
      </c>
      <c r="J145" s="48" t="n">
        <v>0</v>
      </c>
      <c r="K145" s="49" t="n">
        <v>1</v>
      </c>
      <c r="L145" s="49" t="n">
        <v>0</v>
      </c>
      <c r="M145" s="49" t="n">
        <v>0</v>
      </c>
      <c r="N145" s="49" t="n">
        <v>0</v>
      </c>
      <c r="O145" s="49" t="n">
        <v>0</v>
      </c>
      <c r="P145" s="49" t="n">
        <v>0</v>
      </c>
      <c r="Q145" s="49" t="n">
        <v>0</v>
      </c>
      <c r="R145" s="49" t="n">
        <v>0</v>
      </c>
      <c r="S145" s="50" t="n">
        <v>0</v>
      </c>
      <c r="T145" s="50" t="n">
        <v>0</v>
      </c>
      <c r="U145" s="50" t="n">
        <v>0</v>
      </c>
      <c r="V145" s="50" t="n">
        <v>0</v>
      </c>
      <c r="W145" s="51" t="n">
        <v>0</v>
      </c>
      <c r="X145" s="51" t="n">
        <v>0</v>
      </c>
      <c r="Y145" s="51" t="n">
        <v>0</v>
      </c>
      <c r="Z145" s="51" t="n">
        <v>0</v>
      </c>
      <c r="AA145" s="52" t="n">
        <v>0</v>
      </c>
      <c r="AB145" s="52" t="n">
        <v>0</v>
      </c>
      <c r="AC145" s="52" t="n">
        <v>0</v>
      </c>
      <c r="AD145" s="52" t="n">
        <v>0</v>
      </c>
      <c r="AE145" s="52" t="n">
        <v>0</v>
      </c>
      <c r="AF145" s="52" t="n">
        <v>0</v>
      </c>
      <c r="AG145" s="52" t="n">
        <v>0</v>
      </c>
      <c r="AH145" s="52" t="n">
        <v>0</v>
      </c>
      <c r="AI145" s="52" t="n">
        <v>0</v>
      </c>
      <c r="AJ145" s="52" t="n">
        <v>0</v>
      </c>
      <c r="AK145" s="52" t="n">
        <v>0</v>
      </c>
      <c r="AL145" s="52" t="n">
        <v>0</v>
      </c>
      <c r="AM145" s="53" t="n">
        <v>0</v>
      </c>
      <c r="AN145" s="53" t="n">
        <v>0</v>
      </c>
      <c r="AO145" s="53" t="n">
        <v>0</v>
      </c>
      <c r="AP145" s="53" t="n">
        <v>0</v>
      </c>
      <c r="AQ145" s="52" t="n">
        <v>0</v>
      </c>
      <c r="AR145" s="52" t="n">
        <v>0</v>
      </c>
      <c r="AS145" s="52" t="n">
        <v>0</v>
      </c>
      <c r="AT145" s="52" t="n">
        <v>0</v>
      </c>
      <c r="AU145" s="53" t="n">
        <v>0</v>
      </c>
      <c r="AV145" s="53" t="n">
        <v>0</v>
      </c>
      <c r="AW145" s="53" t="n">
        <v>0</v>
      </c>
      <c r="AX145" s="53" t="n">
        <v>0</v>
      </c>
      <c r="AY145" s="52" t="n">
        <v>14.99</v>
      </c>
      <c r="AZ145" s="52" t="n">
        <v>0</v>
      </c>
      <c r="BA145" s="52" t="n">
        <v>0</v>
      </c>
      <c r="BB145" s="52" t="n">
        <v>0</v>
      </c>
      <c r="BC145" s="51" t="n">
        <v>0</v>
      </c>
      <c r="BD145" s="51" t="n">
        <v>0</v>
      </c>
      <c r="BE145" s="51" t="n">
        <v>0</v>
      </c>
      <c r="BF145" s="51" t="n">
        <v>0</v>
      </c>
    </row>
    <row r="146">
      <c r="A146">
        <f>HYPERLINK("https://www.walmart.com/ip/1899414496", "1899414496")</f>
        <v/>
      </c>
      <c r="B146" t="inlineStr">
        <is>
          <t>Tirrinia Large Insulated Lunch Tote Bag for Women,Waterproof Oxford Cloth Leakproof Cooler Bag,Shopping Food Grocery Bags for Work Beach, Blue Leaf</t>
        </is>
      </c>
      <c r="C146" t="inlineStr">
        <is>
          <t>1TRCB800AQLEA</t>
        </is>
      </c>
      <c r="D146" t="inlineStr">
        <is>
          <t>Reusable Lunch Bags &amp; Boxes</t>
        </is>
      </c>
      <c r="E146" t="inlineStr">
        <is>
          <t>Tirrinia</t>
        </is>
      </c>
      <c r="F146" t="inlineStr">
        <is>
          <t>SEM,Batch 1 - TR</t>
        </is>
      </c>
      <c r="G146" s="48" t="n">
        <v>14.99</v>
      </c>
      <c r="H146" s="48" t="n">
        <v>0</v>
      </c>
      <c r="I146" s="48" t="n">
        <v>0</v>
      </c>
      <c r="J146" s="48" t="n">
        <v>0</v>
      </c>
      <c r="K146" s="49" t="n">
        <v>1</v>
      </c>
      <c r="L146" s="49" t="n">
        <v>0</v>
      </c>
      <c r="M146" s="49" t="n">
        <v>0</v>
      </c>
      <c r="N146" s="49" t="n">
        <v>0</v>
      </c>
      <c r="O146" s="49" t="n">
        <v>0</v>
      </c>
      <c r="P146" s="49" t="n">
        <v>0</v>
      </c>
      <c r="Q146" s="49" t="n">
        <v>0</v>
      </c>
      <c r="R146" s="49" t="n">
        <v>0</v>
      </c>
      <c r="S146" s="50" t="n">
        <v>0</v>
      </c>
      <c r="T146" s="50" t="n">
        <v>0</v>
      </c>
      <c r="U146" s="50" t="n">
        <v>0</v>
      </c>
      <c r="V146" s="50" t="n">
        <v>0</v>
      </c>
      <c r="W146" s="51" t="n">
        <v>0</v>
      </c>
      <c r="X146" s="51" t="n">
        <v>0</v>
      </c>
      <c r="Y146" s="51" t="n">
        <v>0</v>
      </c>
      <c r="Z146" s="51" t="n">
        <v>0</v>
      </c>
      <c r="AA146" s="52" t="n">
        <v>0</v>
      </c>
      <c r="AB146" s="52" t="n">
        <v>0</v>
      </c>
      <c r="AC146" s="52" t="n">
        <v>0</v>
      </c>
      <c r="AD146" s="52" t="n">
        <v>0</v>
      </c>
      <c r="AE146" s="52" t="n">
        <v>0</v>
      </c>
      <c r="AF146" s="52" t="n">
        <v>0</v>
      </c>
      <c r="AG146" s="52" t="n">
        <v>0</v>
      </c>
      <c r="AH146" s="52" t="n">
        <v>0</v>
      </c>
      <c r="AI146" s="52" t="n">
        <v>0</v>
      </c>
      <c r="AJ146" s="52" t="n">
        <v>0</v>
      </c>
      <c r="AK146" s="52" t="n">
        <v>0</v>
      </c>
      <c r="AL146" s="52" t="n">
        <v>0</v>
      </c>
      <c r="AM146" s="53" t="n">
        <v>0</v>
      </c>
      <c r="AN146" s="53" t="n">
        <v>0</v>
      </c>
      <c r="AO146" s="53" t="n">
        <v>0</v>
      </c>
      <c r="AP146" s="53" t="n">
        <v>0</v>
      </c>
      <c r="AQ146" s="52" t="n">
        <v>0</v>
      </c>
      <c r="AR146" s="52" t="n">
        <v>0</v>
      </c>
      <c r="AS146" s="52" t="n">
        <v>0</v>
      </c>
      <c r="AT146" s="52" t="n">
        <v>0</v>
      </c>
      <c r="AU146" s="53" t="n">
        <v>0</v>
      </c>
      <c r="AV146" s="53" t="n">
        <v>0</v>
      </c>
      <c r="AW146" s="53" t="n">
        <v>0</v>
      </c>
      <c r="AX146" s="53" t="n">
        <v>0</v>
      </c>
      <c r="AY146" s="52" t="n">
        <v>14.99</v>
      </c>
      <c r="AZ146" s="52" t="n">
        <v>0</v>
      </c>
      <c r="BA146" s="52" t="n">
        <v>0</v>
      </c>
      <c r="BB146" s="52" t="n">
        <v>0</v>
      </c>
      <c r="BC146" s="51" t="n">
        <v>0</v>
      </c>
      <c r="BD146" s="51" t="n">
        <v>0</v>
      </c>
      <c r="BE146" s="51" t="n">
        <v>0</v>
      </c>
      <c r="BF146" s="51" t="n">
        <v>0</v>
      </c>
    </row>
    <row r="147">
      <c r="A147">
        <f>HYPERLINK("https://www.walmart.com/ip/923196431", "923196431")</f>
        <v/>
      </c>
      <c r="B147" t="inlineStr">
        <is>
          <t>Tirrinia Insulated Lunch Bag for Women and Men, Leakproof Thermal Reusable Lunch Box, Tall Meal Prep Lunch Cooler Tote, Large, 10L, Dark Blue, 10” x 8.5” x 9.3”.</t>
        </is>
      </c>
      <c r="C147" t="inlineStr">
        <is>
          <t>1TRLB701DBL-T</t>
        </is>
      </c>
      <c r="D147" t="inlineStr">
        <is>
          <t>Reusable Lunch Bags &amp; Boxes</t>
        </is>
      </c>
      <c r="E147" t="inlineStr">
        <is>
          <t>Tirrinia</t>
        </is>
      </c>
      <c r="F147" t="inlineStr">
        <is>
          <t>Q2-Target,Brand Camp VD,Lunch Bag,WFS,Lunch Bags,SEM,WFS Item</t>
        </is>
      </c>
      <c r="G147" s="48" t="n">
        <v>13.99</v>
      </c>
      <c r="H147" s="48" t="n">
        <v>167.88</v>
      </c>
      <c r="I147" s="48" t="n">
        <v>13.99</v>
      </c>
      <c r="J147" s="48" t="n">
        <v>13.99</v>
      </c>
      <c r="K147" s="49" t="n">
        <v>1</v>
      </c>
      <c r="L147" s="49" t="n">
        <v>12</v>
      </c>
      <c r="M147" s="49" t="n">
        <v>1</v>
      </c>
      <c r="N147" s="49" t="n">
        <v>1</v>
      </c>
      <c r="O147" s="49" t="n">
        <v>4</v>
      </c>
      <c r="P147" s="49" t="n">
        <v>4</v>
      </c>
      <c r="Q147" s="49" t="n">
        <v>0</v>
      </c>
      <c r="R147" s="49" t="n">
        <v>0</v>
      </c>
      <c r="S147" s="50" t="n">
        <v>0.25</v>
      </c>
      <c r="T147" s="50" t="n">
        <v>3</v>
      </c>
      <c r="U147" s="50" t="n">
        <v>0</v>
      </c>
      <c r="V147" s="50" t="n">
        <v>0</v>
      </c>
      <c r="W147" s="51" t="n">
        <v>0</v>
      </c>
      <c r="X147" s="51" t="n">
        <v>0</v>
      </c>
      <c r="Y147" s="51" t="n">
        <v>0</v>
      </c>
      <c r="Z147" s="51" t="n">
        <v>0</v>
      </c>
      <c r="AA147" s="52" t="n">
        <v>0</v>
      </c>
      <c r="AB147" s="52" t="n">
        <v>0</v>
      </c>
      <c r="AC147" s="52" t="n">
        <v>0</v>
      </c>
      <c r="AD147" s="52" t="n">
        <v>0</v>
      </c>
      <c r="AE147" s="52" t="n">
        <v>0</v>
      </c>
      <c r="AF147" s="52" t="n">
        <v>0</v>
      </c>
      <c r="AG147" s="52" t="n">
        <v>0</v>
      </c>
      <c r="AH147" s="52" t="n">
        <v>0</v>
      </c>
      <c r="AI147" s="52" t="n">
        <v>0</v>
      </c>
      <c r="AJ147" s="52" t="n">
        <v>0</v>
      </c>
      <c r="AK147" s="52" t="n">
        <v>0</v>
      </c>
      <c r="AL147" s="52" t="n">
        <v>0</v>
      </c>
      <c r="AM147" s="53" t="n">
        <v>0</v>
      </c>
      <c r="AN147" s="53" t="n">
        <v>0</v>
      </c>
      <c r="AO147" s="53" t="n">
        <v>0</v>
      </c>
      <c r="AP147" s="53" t="n">
        <v>0</v>
      </c>
      <c r="AQ147" s="52" t="n">
        <v>0</v>
      </c>
      <c r="AR147" s="52" t="n">
        <v>0</v>
      </c>
      <c r="AS147" s="52" t="n">
        <v>0</v>
      </c>
      <c r="AT147" s="52" t="n">
        <v>0</v>
      </c>
      <c r="AU147" s="53" t="n">
        <v>0</v>
      </c>
      <c r="AV147" s="53" t="n">
        <v>0</v>
      </c>
      <c r="AW147" s="53" t="n">
        <v>0</v>
      </c>
      <c r="AX147" s="53" t="n">
        <v>0</v>
      </c>
      <c r="AY147" s="52" t="n">
        <v>13.99</v>
      </c>
      <c r="AZ147" s="52" t="n">
        <v>13.99</v>
      </c>
      <c r="BA147" s="52" t="n">
        <v>13.99</v>
      </c>
      <c r="BB147" s="52" t="n">
        <v>13.99</v>
      </c>
      <c r="BC147" s="51" t="n">
        <v>0</v>
      </c>
      <c r="BD147" s="51" t="n">
        <v>0</v>
      </c>
      <c r="BE147" s="51" t="n">
        <v>0</v>
      </c>
      <c r="BF147" s="51" t="n">
        <v>0</v>
      </c>
    </row>
    <row r="148">
      <c r="A148">
        <f>HYPERLINK("https://www.walmart.com/ip/1722087404", "1722087404")</f>
        <v/>
      </c>
      <c r="B148" t="inlineStr">
        <is>
          <t>Tirrinia Insulated Lunch Bag for Women Men, Leakproof Thermal Reusable Lunch Box for Adult &amp; Kids, Lunch Cooler Tote for Office Work Back to School,Large size, Camo</t>
        </is>
      </c>
      <c r="C148" t="inlineStr">
        <is>
          <t>1TRLB701CAMO-T</t>
        </is>
      </c>
      <c r="D148" t="inlineStr">
        <is>
          <t>Reusable Lunch Bags &amp; Boxes</t>
        </is>
      </c>
      <c r="E148" t="inlineStr">
        <is>
          <t>Tirrinia</t>
        </is>
      </c>
      <c r="F148" t="inlineStr">
        <is>
          <t>Q2-Target,Brand Camp VD,Lunch Bags,Batch 1 - TR</t>
        </is>
      </c>
      <c r="G148" s="48" t="n">
        <v>13.99</v>
      </c>
      <c r="H148" s="48" t="n">
        <v>18.99</v>
      </c>
      <c r="I148" s="48" t="n">
        <v>0</v>
      </c>
      <c r="J148" s="48" t="n">
        <v>18.99</v>
      </c>
      <c r="K148" s="49" t="n">
        <v>1</v>
      </c>
      <c r="L148" s="49" t="n">
        <v>1</v>
      </c>
      <c r="M148" s="49" t="n">
        <v>0</v>
      </c>
      <c r="N148" s="49" t="n">
        <v>1</v>
      </c>
      <c r="O148" s="49" t="n">
        <v>10</v>
      </c>
      <c r="P148" s="49" t="n">
        <v>12</v>
      </c>
      <c r="Q148" s="49" t="n">
        <v>4</v>
      </c>
      <c r="R148" s="49" t="n">
        <v>23</v>
      </c>
      <c r="S148" s="50" t="n">
        <v>0.1</v>
      </c>
      <c r="T148" s="50" t="n">
        <v>0.08333333333333333</v>
      </c>
      <c r="U148" s="50" t="n">
        <v>0</v>
      </c>
      <c r="V148" s="50" t="n">
        <v>0.04347826086956522</v>
      </c>
      <c r="W148" s="51" t="n">
        <v>0</v>
      </c>
      <c r="X148" s="51" t="n">
        <v>0</v>
      </c>
      <c r="Y148" s="51" t="n">
        <v>0</v>
      </c>
      <c r="Z148" s="51" t="n">
        <v>0</v>
      </c>
      <c r="AA148" s="52" t="n">
        <v>0</v>
      </c>
      <c r="AB148" s="52" t="n">
        <v>0</v>
      </c>
      <c r="AC148" s="52" t="n">
        <v>0</v>
      </c>
      <c r="AD148" s="52" t="n">
        <v>0</v>
      </c>
      <c r="AE148" s="52" t="n">
        <v>0</v>
      </c>
      <c r="AF148" s="52" t="n">
        <v>0</v>
      </c>
      <c r="AG148" s="52" t="n">
        <v>0</v>
      </c>
      <c r="AH148" s="52" t="n">
        <v>0</v>
      </c>
      <c r="AI148" s="52" t="n">
        <v>0</v>
      </c>
      <c r="AJ148" s="52" t="n">
        <v>0</v>
      </c>
      <c r="AK148" s="52" t="n">
        <v>0</v>
      </c>
      <c r="AL148" s="52" t="n">
        <v>0</v>
      </c>
      <c r="AM148" s="53" t="n">
        <v>0</v>
      </c>
      <c r="AN148" s="53" t="n">
        <v>0</v>
      </c>
      <c r="AO148" s="53" t="n">
        <v>0</v>
      </c>
      <c r="AP148" s="53" t="n">
        <v>0</v>
      </c>
      <c r="AQ148" s="52" t="n">
        <v>0</v>
      </c>
      <c r="AR148" s="52" t="n">
        <v>0</v>
      </c>
      <c r="AS148" s="52" t="n">
        <v>0</v>
      </c>
      <c r="AT148" s="52" t="n">
        <v>0</v>
      </c>
      <c r="AU148" s="53" t="n">
        <v>0</v>
      </c>
      <c r="AV148" s="53" t="n">
        <v>0</v>
      </c>
      <c r="AW148" s="53" t="n">
        <v>0</v>
      </c>
      <c r="AX148" s="53" t="n">
        <v>0</v>
      </c>
      <c r="AY148" s="52" t="n">
        <v>13.99</v>
      </c>
      <c r="AZ148" s="52" t="n">
        <v>18.99</v>
      </c>
      <c r="BA148" s="52" t="n">
        <v>0</v>
      </c>
      <c r="BB148" s="52" t="n">
        <v>18.99</v>
      </c>
      <c r="BC148" s="51" t="n">
        <v>0</v>
      </c>
      <c r="BD148" s="51" t="n">
        <v>0</v>
      </c>
      <c r="BE148" s="51" t="n">
        <v>0</v>
      </c>
      <c r="BF148" s="51" t="n">
        <v>0</v>
      </c>
    </row>
    <row r="149">
      <c r="A149">
        <f>HYPERLINK("https://www.walmart.com/ip/405691402", "405691402")</f>
        <v/>
      </c>
      <c r="B149" t="inlineStr">
        <is>
          <t>Tirrinia Insulated Single Bottle Wine Gift Bags for Travel and Picnic, Padded Champagne Carrying Wine Bags for gifts, Blue Stripe Wine Bag</t>
        </is>
      </c>
      <c r="C149" t="inlineStr">
        <is>
          <t>1TRWB101STR</t>
        </is>
      </c>
      <c r="D149" t="inlineStr">
        <is>
          <t>Wine Totes, Bags &amp; Backpacks</t>
        </is>
      </c>
      <c r="E149" t="inlineStr">
        <is>
          <t>Tirrinia</t>
        </is>
      </c>
      <c r="F149" t="inlineStr">
        <is>
          <t>Wine,Wine Bag Camp,Christmas,WFS,Wine WFS,Valentine,SEM,WFS Item</t>
        </is>
      </c>
      <c r="G149" s="48" t="n">
        <v>13.99</v>
      </c>
      <c r="H149" s="48" t="n">
        <v>41.97</v>
      </c>
      <c r="I149" s="48" t="n">
        <v>0</v>
      </c>
      <c r="J149" s="48" t="n">
        <v>0</v>
      </c>
      <c r="K149" s="49" t="n">
        <v>1</v>
      </c>
      <c r="L149" s="49" t="n">
        <v>3</v>
      </c>
      <c r="M149" s="49" t="n">
        <v>0</v>
      </c>
      <c r="N149" s="49" t="n">
        <v>0</v>
      </c>
      <c r="O149" s="49" t="n">
        <v>0</v>
      </c>
      <c r="P149" s="49" t="n">
        <v>0</v>
      </c>
      <c r="Q149" s="49" t="n">
        <v>0</v>
      </c>
      <c r="R149" s="49" t="n">
        <v>0</v>
      </c>
      <c r="S149" s="50" t="n">
        <v>0</v>
      </c>
      <c r="T149" s="50" t="n">
        <v>0</v>
      </c>
      <c r="U149" s="50" t="n">
        <v>0</v>
      </c>
      <c r="V149" s="50" t="n">
        <v>0</v>
      </c>
      <c r="W149" s="51" t="n">
        <v>0</v>
      </c>
      <c r="X149" s="51" t="n">
        <v>0</v>
      </c>
      <c r="Y149" s="51" t="n">
        <v>0</v>
      </c>
      <c r="Z149" s="51" t="n">
        <v>0</v>
      </c>
      <c r="AA149" s="52" t="n">
        <v>0</v>
      </c>
      <c r="AB149" s="52" t="n">
        <v>0</v>
      </c>
      <c r="AC149" s="52" t="n">
        <v>0</v>
      </c>
      <c r="AD149" s="52" t="n">
        <v>0</v>
      </c>
      <c r="AE149" s="52" t="n">
        <v>0</v>
      </c>
      <c r="AF149" s="52" t="n">
        <v>0</v>
      </c>
      <c r="AG149" s="52" t="n">
        <v>0</v>
      </c>
      <c r="AH149" s="52" t="n">
        <v>0</v>
      </c>
      <c r="AI149" s="52" t="n">
        <v>0</v>
      </c>
      <c r="AJ149" s="52" t="n">
        <v>0</v>
      </c>
      <c r="AK149" s="52" t="n">
        <v>0</v>
      </c>
      <c r="AL149" s="52" t="n">
        <v>0</v>
      </c>
      <c r="AM149" s="53" t="n">
        <v>0</v>
      </c>
      <c r="AN149" s="53" t="n">
        <v>0</v>
      </c>
      <c r="AO149" s="53" t="n">
        <v>0</v>
      </c>
      <c r="AP149" s="53" t="n">
        <v>0</v>
      </c>
      <c r="AQ149" s="52" t="n">
        <v>0</v>
      </c>
      <c r="AR149" s="52" t="n">
        <v>0</v>
      </c>
      <c r="AS149" s="52" t="n">
        <v>0</v>
      </c>
      <c r="AT149" s="52" t="n">
        <v>0</v>
      </c>
      <c r="AU149" s="53" t="n">
        <v>0</v>
      </c>
      <c r="AV149" s="53" t="n">
        <v>0</v>
      </c>
      <c r="AW149" s="53" t="n">
        <v>0</v>
      </c>
      <c r="AX149" s="53" t="n">
        <v>0</v>
      </c>
      <c r="AY149" s="52" t="n">
        <v>13.99</v>
      </c>
      <c r="AZ149" s="52" t="n">
        <v>13.99</v>
      </c>
      <c r="BA149" s="52" t="n">
        <v>0</v>
      </c>
      <c r="BB149" s="52" t="n">
        <v>0</v>
      </c>
      <c r="BC149" s="51" t="n">
        <v>0</v>
      </c>
      <c r="BD149" s="51" t="n">
        <v>0</v>
      </c>
      <c r="BE149" s="51" t="n">
        <v>0</v>
      </c>
      <c r="BF149" s="51" t="n">
        <v>0</v>
      </c>
    </row>
    <row r="150">
      <c r="A150">
        <f>HYPERLINK("https://www.walmart.com/ip/712152551", "712152551")</f>
        <v/>
      </c>
      <c r="B150" t="inlineStr">
        <is>
          <t>Sun Blocker Women's Sun Hat  Wide Brim Flap Cap with Floral Ribbon for Beach Gardening Hiking Fishing Safari UPF 50+ Pink</t>
        </is>
      </c>
      <c r="C150" t="inlineStr">
        <is>
          <t>KC-S9202-PK</t>
        </is>
      </c>
      <c r="D150" t="inlineStr">
        <is>
          <t>Hats</t>
        </is>
      </c>
      <c r="E150" t="inlineStr">
        <is>
          <t>Sun Blocker</t>
        </is>
      </c>
      <c r="F150" t="inlineStr">
        <is>
          <t>Hats,Batch 1 - TR</t>
        </is>
      </c>
      <c r="G150" s="48" t="n">
        <v>12.99</v>
      </c>
      <c r="H150" s="48" t="n">
        <v>0</v>
      </c>
      <c r="I150" s="48" t="n">
        <v>0</v>
      </c>
      <c r="J150" s="48" t="n">
        <v>0</v>
      </c>
      <c r="K150" s="49" t="n">
        <v>1</v>
      </c>
      <c r="L150" s="49" t="n">
        <v>0</v>
      </c>
      <c r="M150" s="49" t="n">
        <v>0</v>
      </c>
      <c r="N150" s="49" t="n">
        <v>0</v>
      </c>
      <c r="O150" s="49" t="n">
        <v>0</v>
      </c>
      <c r="P150" s="49" t="n">
        <v>0</v>
      </c>
      <c r="Q150" s="49" t="n">
        <v>0</v>
      </c>
      <c r="R150" s="49" t="n">
        <v>0</v>
      </c>
      <c r="S150" s="50" t="n">
        <v>0</v>
      </c>
      <c r="T150" s="50" t="n">
        <v>0</v>
      </c>
      <c r="U150" s="50" t="n">
        <v>0</v>
      </c>
      <c r="V150" s="50" t="n">
        <v>0</v>
      </c>
      <c r="W150" s="51" t="n">
        <v>0</v>
      </c>
      <c r="X150" s="51" t="n">
        <v>0</v>
      </c>
      <c r="Y150" s="51" t="n">
        <v>0</v>
      </c>
      <c r="Z150" s="51" t="n">
        <v>0</v>
      </c>
      <c r="AA150" s="52" t="n">
        <v>0</v>
      </c>
      <c r="AB150" s="52" t="n">
        <v>0</v>
      </c>
      <c r="AC150" s="52" t="n">
        <v>0</v>
      </c>
      <c r="AD150" s="52" t="n">
        <v>0</v>
      </c>
      <c r="AE150" s="52" t="n">
        <v>0</v>
      </c>
      <c r="AF150" s="52" t="n">
        <v>0</v>
      </c>
      <c r="AG150" s="52" t="n">
        <v>0</v>
      </c>
      <c r="AH150" s="52" t="n">
        <v>0</v>
      </c>
      <c r="AI150" s="52" t="n">
        <v>0</v>
      </c>
      <c r="AJ150" s="52" t="n">
        <v>0</v>
      </c>
      <c r="AK150" s="52" t="n">
        <v>0</v>
      </c>
      <c r="AL150" s="52" t="n">
        <v>0</v>
      </c>
      <c r="AM150" s="53" t="n">
        <v>0</v>
      </c>
      <c r="AN150" s="53" t="n">
        <v>0</v>
      </c>
      <c r="AO150" s="53" t="n">
        <v>0</v>
      </c>
      <c r="AP150" s="53" t="n">
        <v>0</v>
      </c>
      <c r="AQ150" s="52" t="n">
        <v>0</v>
      </c>
      <c r="AR150" s="52" t="n">
        <v>0</v>
      </c>
      <c r="AS150" s="52" t="n">
        <v>0</v>
      </c>
      <c r="AT150" s="52" t="n">
        <v>0</v>
      </c>
      <c r="AU150" s="53" t="n">
        <v>0</v>
      </c>
      <c r="AV150" s="53" t="n">
        <v>0</v>
      </c>
      <c r="AW150" s="53" t="n">
        <v>0</v>
      </c>
      <c r="AX150" s="53" t="n">
        <v>0</v>
      </c>
      <c r="AY150" s="52" t="n">
        <v>12.99</v>
      </c>
      <c r="AZ150" s="52" t="n">
        <v>0</v>
      </c>
      <c r="BA150" s="52" t="n">
        <v>0</v>
      </c>
      <c r="BB150" s="52" t="n">
        <v>0</v>
      </c>
      <c r="BC150" s="51" t="n">
        <v>0</v>
      </c>
      <c r="BD150" s="51" t="n">
        <v>0</v>
      </c>
      <c r="BE150" s="51" t="n">
        <v>0</v>
      </c>
      <c r="BF150" s="51" t="n">
        <v>0</v>
      </c>
    </row>
    <row r="151">
      <c r="A151">
        <f>HYPERLINK("https://www.walmart.com/ip/116656995", "116656995")</f>
        <v/>
      </c>
      <c r="B151" t="inlineStr">
        <is>
          <t>Tirrinia Insulated Lunch Bag for Women, Men, and Kids, Leakproof Thermal Reusable Insulated Cooler Bag for Office, Work, Back to School, Medium, Red, 7.8L, 10" X 7" X 7.7"</t>
        </is>
      </c>
      <c r="C151" t="inlineStr">
        <is>
          <t>1TRLB702RD-N</t>
        </is>
      </c>
      <c r="D151" t="inlineStr">
        <is>
          <t>Reusable Lunch Bags &amp; Boxes</t>
        </is>
      </c>
      <c r="E151" t="inlineStr">
        <is>
          <t>Tirrinia</t>
        </is>
      </c>
      <c r="F151" t="inlineStr">
        <is>
          <t>Q2-Target,Brand Camp VD,Lunch Bag,SEM</t>
        </is>
      </c>
      <c r="G151" s="48" t="n">
        <v>12.99</v>
      </c>
      <c r="H151" s="48" t="n">
        <v>0</v>
      </c>
      <c r="I151" s="48" t="n">
        <v>0</v>
      </c>
      <c r="J151" s="48" t="n">
        <v>0</v>
      </c>
      <c r="K151" s="49" t="n">
        <v>1</v>
      </c>
      <c r="L151" s="49" t="n">
        <v>0</v>
      </c>
      <c r="M151" s="49" t="n">
        <v>0</v>
      </c>
      <c r="N151" s="49" t="n">
        <v>0</v>
      </c>
      <c r="O151" s="49" t="n">
        <v>0</v>
      </c>
      <c r="P151" s="49" t="n">
        <v>0</v>
      </c>
      <c r="Q151" s="49" t="n">
        <v>0</v>
      </c>
      <c r="R151" s="49" t="n">
        <v>0</v>
      </c>
      <c r="S151" s="50" t="n">
        <v>0</v>
      </c>
      <c r="T151" s="50" t="n">
        <v>0</v>
      </c>
      <c r="U151" s="50" t="n">
        <v>0</v>
      </c>
      <c r="V151" s="50" t="n">
        <v>0</v>
      </c>
      <c r="W151" s="51" t="n">
        <v>0</v>
      </c>
      <c r="X151" s="51" t="n">
        <v>0</v>
      </c>
      <c r="Y151" s="51" t="n">
        <v>0</v>
      </c>
      <c r="Z151" s="51" t="n">
        <v>0</v>
      </c>
      <c r="AA151" s="52" t="n">
        <v>0</v>
      </c>
      <c r="AB151" s="52" t="n">
        <v>0</v>
      </c>
      <c r="AC151" s="52" t="n">
        <v>0</v>
      </c>
      <c r="AD151" s="52" t="n">
        <v>0</v>
      </c>
      <c r="AE151" s="52" t="n">
        <v>0</v>
      </c>
      <c r="AF151" s="52" t="n">
        <v>0</v>
      </c>
      <c r="AG151" s="52" t="n">
        <v>0</v>
      </c>
      <c r="AH151" s="52" t="n">
        <v>0</v>
      </c>
      <c r="AI151" s="52" t="n">
        <v>0</v>
      </c>
      <c r="AJ151" s="52" t="n">
        <v>0</v>
      </c>
      <c r="AK151" s="52" t="n">
        <v>0</v>
      </c>
      <c r="AL151" s="52" t="n">
        <v>0</v>
      </c>
      <c r="AM151" s="53" t="n">
        <v>0</v>
      </c>
      <c r="AN151" s="53" t="n">
        <v>0</v>
      </c>
      <c r="AO151" s="53" t="n">
        <v>0</v>
      </c>
      <c r="AP151" s="53" t="n">
        <v>0</v>
      </c>
      <c r="AQ151" s="52" t="n">
        <v>0</v>
      </c>
      <c r="AR151" s="52" t="n">
        <v>0</v>
      </c>
      <c r="AS151" s="52" t="n">
        <v>0</v>
      </c>
      <c r="AT151" s="52" t="n">
        <v>0</v>
      </c>
      <c r="AU151" s="53" t="n">
        <v>0</v>
      </c>
      <c r="AV151" s="53" t="n">
        <v>0</v>
      </c>
      <c r="AW151" s="53" t="n">
        <v>0</v>
      </c>
      <c r="AX151" s="53" t="n">
        <v>0</v>
      </c>
      <c r="AY151" s="52" t="n">
        <v>12.99</v>
      </c>
      <c r="AZ151" s="52" t="n">
        <v>0</v>
      </c>
      <c r="BA151" s="52" t="n">
        <v>0</v>
      </c>
      <c r="BB151" s="52" t="n">
        <v>0</v>
      </c>
      <c r="BC151" s="51" t="n">
        <v>0</v>
      </c>
      <c r="BD151" s="51" t="n">
        <v>0</v>
      </c>
      <c r="BE151" s="51" t="n">
        <v>0</v>
      </c>
      <c r="BF151" s="51" t="n">
        <v>0</v>
      </c>
    </row>
    <row r="152">
      <c r="A152">
        <f>HYPERLINK("https://www.walmart.com/ip/1806715755", "1806715755")</f>
        <v/>
      </c>
      <c r="B152" t="inlineStr">
        <is>
          <t>Tirrinia Large Insulated Lunch Tote Bag for Women,Waterproof Oxford Cloth Leakproof Cooler Bag,Shopping Food Grocery Bags for Work Beach, Navy Diamond</t>
        </is>
      </c>
      <c r="C152" t="inlineStr">
        <is>
          <t>1TRCB800NYDIA</t>
        </is>
      </c>
      <c r="D152" t="inlineStr">
        <is>
          <t>Reusable Lunch Bags &amp; Boxes</t>
        </is>
      </c>
      <c r="E152" t="inlineStr">
        <is>
          <t>Tirrinia</t>
        </is>
      </c>
      <c r="F152" t="inlineStr">
        <is>
          <t>Batch 1 - TR</t>
        </is>
      </c>
      <c r="G152" s="48" t="n">
        <v>12.99</v>
      </c>
      <c r="H152" s="48" t="n">
        <v>0</v>
      </c>
      <c r="I152" s="48" t="n">
        <v>0</v>
      </c>
      <c r="J152" s="48" t="n">
        <v>0</v>
      </c>
      <c r="K152" s="49" t="n">
        <v>1</v>
      </c>
      <c r="L152" s="49" t="n">
        <v>0</v>
      </c>
      <c r="M152" s="49" t="n">
        <v>0</v>
      </c>
      <c r="N152" s="49" t="n">
        <v>0</v>
      </c>
      <c r="O152" s="49" t="n">
        <v>5</v>
      </c>
      <c r="P152" s="49" t="n">
        <v>4</v>
      </c>
      <c r="Q152" s="49" t="n">
        <v>1</v>
      </c>
      <c r="R152" s="49" t="n">
        <v>2</v>
      </c>
      <c r="S152" s="50" t="n">
        <v>0.2</v>
      </c>
      <c r="T152" s="50" t="n">
        <v>0</v>
      </c>
      <c r="U152" s="50" t="n">
        <v>0</v>
      </c>
      <c r="V152" s="50" t="n">
        <v>0</v>
      </c>
      <c r="W152" s="51" t="n">
        <v>0</v>
      </c>
      <c r="X152" s="51" t="n">
        <v>0</v>
      </c>
      <c r="Y152" s="51" t="n">
        <v>0</v>
      </c>
      <c r="Z152" s="51" t="n">
        <v>0</v>
      </c>
      <c r="AA152" s="52" t="n">
        <v>0</v>
      </c>
      <c r="AB152" s="52" t="n">
        <v>0</v>
      </c>
      <c r="AC152" s="52" t="n">
        <v>0</v>
      </c>
      <c r="AD152" s="52" t="n">
        <v>0</v>
      </c>
      <c r="AE152" s="52" t="n">
        <v>0</v>
      </c>
      <c r="AF152" s="52" t="n">
        <v>0</v>
      </c>
      <c r="AG152" s="52" t="n">
        <v>0</v>
      </c>
      <c r="AH152" s="52" t="n">
        <v>0</v>
      </c>
      <c r="AI152" s="52" t="n">
        <v>0</v>
      </c>
      <c r="AJ152" s="52" t="n">
        <v>0</v>
      </c>
      <c r="AK152" s="52" t="n">
        <v>0</v>
      </c>
      <c r="AL152" s="52" t="n">
        <v>0</v>
      </c>
      <c r="AM152" s="53" t="n">
        <v>0</v>
      </c>
      <c r="AN152" s="53" t="n">
        <v>0</v>
      </c>
      <c r="AO152" s="53" t="n">
        <v>0</v>
      </c>
      <c r="AP152" s="53" t="n">
        <v>0</v>
      </c>
      <c r="AQ152" s="52" t="n">
        <v>0</v>
      </c>
      <c r="AR152" s="52" t="n">
        <v>0</v>
      </c>
      <c r="AS152" s="52" t="n">
        <v>0</v>
      </c>
      <c r="AT152" s="52" t="n">
        <v>0</v>
      </c>
      <c r="AU152" s="53" t="n">
        <v>0</v>
      </c>
      <c r="AV152" s="53" t="n">
        <v>0</v>
      </c>
      <c r="AW152" s="53" t="n">
        <v>0</v>
      </c>
      <c r="AX152" s="53" t="n">
        <v>0</v>
      </c>
      <c r="AY152" s="52" t="n">
        <v>12.99</v>
      </c>
      <c r="AZ152" s="52" t="n">
        <v>0</v>
      </c>
      <c r="BA152" s="52" t="n">
        <v>0</v>
      </c>
      <c r="BB152" s="52" t="n">
        <v>0</v>
      </c>
      <c r="BC152" s="51" t="n">
        <v>0</v>
      </c>
      <c r="BD152" s="51" t="n">
        <v>0</v>
      </c>
      <c r="BE152" s="51" t="n">
        <v>0</v>
      </c>
      <c r="BF152" s="51" t="n">
        <v>0</v>
      </c>
    </row>
    <row r="153">
      <c r="A153">
        <f>HYPERLINK("https://www.walmart.com/ip/658014935", "658014935")</f>
        <v/>
      </c>
      <c r="B153" t="inlineStr">
        <is>
          <t>Tirrinia Insulated Lunch Bag for Women and Men, Double-Layer Leak-Proof Reusable Lunch Box with 4 Pockets, Large-Sized, 10L, Charcoal, 10” x 8.5” x 9.3".</t>
        </is>
      </c>
      <c r="C153" t="inlineStr">
        <is>
          <t>1TRLB701CH-T</t>
        </is>
      </c>
      <c r="D153" t="inlineStr">
        <is>
          <t>Reusable Lunch Bags &amp; Boxes</t>
        </is>
      </c>
      <c r="E153" t="inlineStr">
        <is>
          <t>Tirrinia</t>
        </is>
      </c>
      <c r="F153" t="inlineStr">
        <is>
          <t>Q2-Target,Brand Camp VD,Lunch Bag,WFS,Lunch Bags,WFS Item</t>
        </is>
      </c>
      <c r="G153" s="48" t="n">
        <v>12.45</v>
      </c>
      <c r="H153" s="48" t="n">
        <v>0</v>
      </c>
      <c r="I153" s="48" t="n">
        <v>0</v>
      </c>
      <c r="J153" s="48" t="n">
        <v>0</v>
      </c>
      <c r="K153" s="49" t="n">
        <v>1</v>
      </c>
      <c r="L153" s="49" t="n">
        <v>0</v>
      </c>
      <c r="M153" s="49" t="n">
        <v>0</v>
      </c>
      <c r="N153" s="49" t="n">
        <v>0</v>
      </c>
      <c r="O153" s="49" t="n">
        <v>1</v>
      </c>
      <c r="P153" s="49" t="n">
        <v>0</v>
      </c>
      <c r="Q153" s="49" t="n">
        <v>0</v>
      </c>
      <c r="R153" s="49" t="n">
        <v>0</v>
      </c>
      <c r="S153" s="50" t="n">
        <v>1</v>
      </c>
      <c r="T153" s="50" t="n">
        <v>0</v>
      </c>
      <c r="U153" s="50" t="n">
        <v>0</v>
      </c>
      <c r="V153" s="50" t="n">
        <v>0</v>
      </c>
      <c r="W153" s="51" t="n">
        <v>0</v>
      </c>
      <c r="X153" s="51" t="n">
        <v>0</v>
      </c>
      <c r="Y153" s="51" t="n">
        <v>0</v>
      </c>
      <c r="Z153" s="51" t="n">
        <v>0</v>
      </c>
      <c r="AA153" s="52" t="n">
        <v>0</v>
      </c>
      <c r="AB153" s="52" t="n">
        <v>0</v>
      </c>
      <c r="AC153" s="52" t="n">
        <v>0</v>
      </c>
      <c r="AD153" s="52" t="n">
        <v>0</v>
      </c>
      <c r="AE153" s="52" t="n">
        <v>0</v>
      </c>
      <c r="AF153" s="52" t="n">
        <v>0</v>
      </c>
      <c r="AG153" s="52" t="n">
        <v>0</v>
      </c>
      <c r="AH153" s="52" t="n">
        <v>0</v>
      </c>
      <c r="AI153" s="52" t="n">
        <v>0</v>
      </c>
      <c r="AJ153" s="52" t="n">
        <v>0</v>
      </c>
      <c r="AK153" s="52" t="n">
        <v>0</v>
      </c>
      <c r="AL153" s="52" t="n">
        <v>0</v>
      </c>
      <c r="AM153" s="53" t="n">
        <v>0</v>
      </c>
      <c r="AN153" s="53" t="n">
        <v>0</v>
      </c>
      <c r="AO153" s="53" t="n">
        <v>0</v>
      </c>
      <c r="AP153" s="53" t="n">
        <v>0</v>
      </c>
      <c r="AQ153" s="52" t="n">
        <v>0</v>
      </c>
      <c r="AR153" s="52" t="n">
        <v>0</v>
      </c>
      <c r="AS153" s="52" t="n">
        <v>0</v>
      </c>
      <c r="AT153" s="52" t="n">
        <v>0</v>
      </c>
      <c r="AU153" s="53" t="n">
        <v>0</v>
      </c>
      <c r="AV153" s="53" t="n">
        <v>0</v>
      </c>
      <c r="AW153" s="53" t="n">
        <v>0</v>
      </c>
      <c r="AX153" s="53" t="n">
        <v>0</v>
      </c>
      <c r="AY153" s="52" t="n">
        <v>12.45</v>
      </c>
      <c r="AZ153" s="52" t="n">
        <v>0</v>
      </c>
      <c r="BA153" s="52" t="n">
        <v>0</v>
      </c>
      <c r="BB153" s="52" t="n">
        <v>0</v>
      </c>
      <c r="BC153" s="51" t="n">
        <v>0</v>
      </c>
      <c r="BD153" s="51" t="n">
        <v>0</v>
      </c>
      <c r="BE153" s="51" t="n">
        <v>0</v>
      </c>
      <c r="BF153" s="51" t="n">
        <v>0</v>
      </c>
    </row>
    <row r="154">
      <c r="A154">
        <f>HYPERLINK("https://www.walmart.com/ip/3958613295", "3958613295")</f>
        <v/>
      </c>
      <c r="B154" t="inlineStr">
        <is>
          <t>Tirrinia Insulated Lunch Box for Women | Lunch Bags for Women, Girls, Teens | Cute Blue Reusable Thermal Lunch Tote Purse Cooler for Kids, School, Work, Office, Adult | Fits 10 Cans (Navy Diamond)</t>
        </is>
      </c>
      <c r="C154" t="inlineStr">
        <is>
          <t>1WMLB706NYDIA</t>
        </is>
      </c>
      <c r="D154" t="inlineStr">
        <is>
          <t>Reusable Lunch Bags &amp; Boxes</t>
        </is>
      </c>
      <c r="E154" t="inlineStr">
        <is>
          <t>Tirrinia</t>
        </is>
      </c>
      <c r="F154" t="inlineStr">
        <is>
          <t>Q2-Target,Brand Camp VD</t>
        </is>
      </c>
      <c r="G154" s="48" t="n">
        <v>11.99</v>
      </c>
      <c r="H154" s="48" t="n">
        <v>0</v>
      </c>
      <c r="I154" s="48" t="n">
        <v>35.97</v>
      </c>
      <c r="J154" s="48" t="n">
        <v>0</v>
      </c>
      <c r="K154" s="49" t="n">
        <v>1</v>
      </c>
      <c r="L154" s="49" t="n">
        <v>0</v>
      </c>
      <c r="M154" s="49" t="n">
        <v>3</v>
      </c>
      <c r="N154" s="49" t="n">
        <v>0</v>
      </c>
      <c r="O154" s="49" t="n">
        <v>0</v>
      </c>
      <c r="P154" s="49" t="n">
        <v>0</v>
      </c>
      <c r="Q154" s="49" t="n">
        <v>0</v>
      </c>
      <c r="R154" s="49" t="n">
        <v>0</v>
      </c>
      <c r="S154" s="50" t="n">
        <v>0</v>
      </c>
      <c r="T154" s="50" t="n">
        <v>0</v>
      </c>
      <c r="U154" s="50" t="n">
        <v>0</v>
      </c>
      <c r="V154" s="50" t="n">
        <v>0</v>
      </c>
      <c r="W154" s="51" t="n">
        <v>0</v>
      </c>
      <c r="X154" s="51" t="n">
        <v>0</v>
      </c>
      <c r="Y154" s="51" t="n">
        <v>0</v>
      </c>
      <c r="Z154" s="51" t="n">
        <v>0</v>
      </c>
      <c r="AA154" s="52" t="n">
        <v>0</v>
      </c>
      <c r="AB154" s="52" t="n">
        <v>0</v>
      </c>
      <c r="AC154" s="52" t="n">
        <v>0</v>
      </c>
      <c r="AD154" s="52" t="n">
        <v>0</v>
      </c>
      <c r="AE154" s="52" t="n">
        <v>0</v>
      </c>
      <c r="AF154" s="52" t="n">
        <v>0</v>
      </c>
      <c r="AG154" s="52" t="n">
        <v>0</v>
      </c>
      <c r="AH154" s="52" t="n">
        <v>0</v>
      </c>
      <c r="AI154" s="52" t="n">
        <v>0</v>
      </c>
      <c r="AJ154" s="52" t="n">
        <v>0</v>
      </c>
      <c r="AK154" s="52" t="n">
        <v>0</v>
      </c>
      <c r="AL154" s="52" t="n">
        <v>0</v>
      </c>
      <c r="AM154" s="53" t="n">
        <v>0</v>
      </c>
      <c r="AN154" s="53" t="n">
        <v>0</v>
      </c>
      <c r="AO154" s="53" t="n">
        <v>0</v>
      </c>
      <c r="AP154" s="53" t="n">
        <v>0</v>
      </c>
      <c r="AQ154" s="52" t="n">
        <v>0</v>
      </c>
      <c r="AR154" s="52" t="n">
        <v>0</v>
      </c>
      <c r="AS154" s="52" t="n">
        <v>0</v>
      </c>
      <c r="AT154" s="52" t="n">
        <v>0</v>
      </c>
      <c r="AU154" s="53" t="n">
        <v>0</v>
      </c>
      <c r="AV154" s="53" t="n">
        <v>0</v>
      </c>
      <c r="AW154" s="53" t="n">
        <v>0</v>
      </c>
      <c r="AX154" s="53" t="n">
        <v>0</v>
      </c>
      <c r="AY154" s="52" t="n">
        <v>11.99</v>
      </c>
      <c r="AZ154" s="52" t="n">
        <v>0</v>
      </c>
      <c r="BA154" s="52" t="n">
        <v>11.99</v>
      </c>
      <c r="BB154" s="52" t="n">
        <v>0</v>
      </c>
      <c r="BC154" s="51" t="n">
        <v>0</v>
      </c>
      <c r="BD154" s="51" t="n">
        <v>0</v>
      </c>
      <c r="BE154" s="51" t="n">
        <v>0</v>
      </c>
      <c r="BF154" s="51" t="n">
        <v>0</v>
      </c>
    </row>
    <row r="155">
      <c r="A155">
        <f>HYPERLINK("https://www.walmart.com/ip/861900554", "861900554")</f>
        <v/>
      </c>
      <c r="B155" t="inlineStr">
        <is>
          <t>Tirrinia Insulated Lunch Bag for Women Men, Leakproof Thermal Reusable Lunch Box with 4 Pockets for Adult Kids, Lunch Bag Cooler Tote for Office Work, Back to School, Dark Blue</t>
        </is>
      </c>
      <c r="C155" t="inlineStr">
        <is>
          <t>1TRLB702DBL-N</t>
        </is>
      </c>
      <c r="D155" t="inlineStr">
        <is>
          <t>Reusable Lunch Bags &amp; Boxes</t>
        </is>
      </c>
      <c r="E155" t="inlineStr">
        <is>
          <t>Tirrinia</t>
        </is>
      </c>
      <c r="F155" t="inlineStr">
        <is>
          <t>Q2-Target,Brand Camp VD,Lunch Bag,WFS,SEM,WFS Item</t>
        </is>
      </c>
      <c r="G155" s="48" t="n">
        <v>11.99</v>
      </c>
      <c r="H155" s="48" t="n">
        <v>0</v>
      </c>
      <c r="I155" s="48" t="n">
        <v>11.99</v>
      </c>
      <c r="J155" s="48" t="n">
        <v>0</v>
      </c>
      <c r="K155" s="49" t="n">
        <v>1</v>
      </c>
      <c r="L155" s="49" t="n">
        <v>0</v>
      </c>
      <c r="M155" s="49" t="n">
        <v>1</v>
      </c>
      <c r="N155" s="49" t="n">
        <v>0</v>
      </c>
      <c r="O155" s="49" t="n">
        <v>0</v>
      </c>
      <c r="P155" s="49" t="n">
        <v>0</v>
      </c>
      <c r="Q155" s="49" t="n">
        <v>3</v>
      </c>
      <c r="R155" s="49" t="n">
        <v>0</v>
      </c>
      <c r="S155" s="50" t="n">
        <v>0</v>
      </c>
      <c r="T155" s="50" t="n">
        <v>0</v>
      </c>
      <c r="U155" s="50" t="n">
        <v>0.3333333333333333</v>
      </c>
      <c r="V155" s="50" t="n">
        <v>0</v>
      </c>
      <c r="W155" s="51" t="n">
        <v>0</v>
      </c>
      <c r="X155" s="51" t="n">
        <v>0</v>
      </c>
      <c r="Y155" s="51" t="n">
        <v>0</v>
      </c>
      <c r="Z155" s="51" t="n">
        <v>0</v>
      </c>
      <c r="AA155" s="52" t="n">
        <v>0</v>
      </c>
      <c r="AB155" s="52" t="n">
        <v>0</v>
      </c>
      <c r="AC155" s="52" t="n">
        <v>0</v>
      </c>
      <c r="AD155" s="52" t="n">
        <v>0</v>
      </c>
      <c r="AE155" s="52" t="n">
        <v>0</v>
      </c>
      <c r="AF155" s="52" t="n">
        <v>0</v>
      </c>
      <c r="AG155" s="52" t="n">
        <v>0</v>
      </c>
      <c r="AH155" s="52" t="n">
        <v>0</v>
      </c>
      <c r="AI155" s="52" t="n">
        <v>0</v>
      </c>
      <c r="AJ155" s="52" t="n">
        <v>0</v>
      </c>
      <c r="AK155" s="52" t="n">
        <v>0</v>
      </c>
      <c r="AL155" s="52" t="n">
        <v>0</v>
      </c>
      <c r="AM155" s="53" t="n">
        <v>0</v>
      </c>
      <c r="AN155" s="53" t="n">
        <v>0</v>
      </c>
      <c r="AO155" s="53" t="n">
        <v>0</v>
      </c>
      <c r="AP155" s="53" t="n">
        <v>0</v>
      </c>
      <c r="AQ155" s="52" t="n">
        <v>0</v>
      </c>
      <c r="AR155" s="52" t="n">
        <v>0</v>
      </c>
      <c r="AS155" s="52" t="n">
        <v>0</v>
      </c>
      <c r="AT155" s="52" t="n">
        <v>0</v>
      </c>
      <c r="AU155" s="53" t="n">
        <v>0</v>
      </c>
      <c r="AV155" s="53" t="n">
        <v>0</v>
      </c>
      <c r="AW155" s="53" t="n">
        <v>0</v>
      </c>
      <c r="AX155" s="53" t="n">
        <v>0</v>
      </c>
      <c r="AY155" s="52" t="n">
        <v>11.99</v>
      </c>
      <c r="AZ155" s="52" t="n">
        <v>0</v>
      </c>
      <c r="BA155" s="52" t="n">
        <v>11.99</v>
      </c>
      <c r="BB155" s="52" t="n">
        <v>0</v>
      </c>
      <c r="BC155" s="51" t="n">
        <v>0</v>
      </c>
      <c r="BD155" s="51" t="n">
        <v>0</v>
      </c>
      <c r="BE155" s="51" t="n">
        <v>0</v>
      </c>
      <c r="BF155" s="51" t="n">
        <v>0</v>
      </c>
    </row>
    <row r="156">
      <c r="A156">
        <f>HYPERLINK("https://www.walmart.com/ip/131869749", "131869749")</f>
        <v/>
      </c>
      <c r="B156" t="inlineStr">
        <is>
          <t>Tirrinia Small Insulated Lunch Bag for Adult&amp;Kids,Splash Proof Mini Portable Reusable Thermal Lunch Box Cooler Tote for Student Back to School,Black &amp; Dark Blue</t>
        </is>
      </c>
      <c r="C156" t="inlineStr">
        <is>
          <t>1TRLB100BKDB</t>
        </is>
      </c>
      <c r="D156" t="inlineStr">
        <is>
          <t>Reusable Lunch Bags &amp; Boxes</t>
        </is>
      </c>
      <c r="E156" t="inlineStr">
        <is>
          <t>Tirrinia</t>
        </is>
      </c>
      <c r="F156" t="inlineStr">
        <is>
          <t>Lunch Bag,Lunch Bags</t>
        </is>
      </c>
      <c r="G156" s="48" t="n">
        <v>11.99</v>
      </c>
      <c r="H156" s="48" t="n">
        <v>0</v>
      </c>
      <c r="I156" s="48" t="n">
        <v>11.99</v>
      </c>
      <c r="J156" s="48" t="n">
        <v>11.99</v>
      </c>
      <c r="K156" s="49" t="n">
        <v>1</v>
      </c>
      <c r="L156" s="49" t="n">
        <v>0</v>
      </c>
      <c r="M156" s="49" t="n">
        <v>1</v>
      </c>
      <c r="N156" s="49" t="n">
        <v>1</v>
      </c>
      <c r="O156" s="49" t="n">
        <v>3</v>
      </c>
      <c r="P156" s="49" t="n">
        <v>10</v>
      </c>
      <c r="Q156" s="49" t="n">
        <v>14</v>
      </c>
      <c r="R156" s="49" t="n">
        <v>9</v>
      </c>
      <c r="S156" s="50" t="n">
        <v>0.3333333333333333</v>
      </c>
      <c r="T156" s="50" t="n">
        <v>0</v>
      </c>
      <c r="U156" s="50" t="n">
        <v>0.07142857142857142</v>
      </c>
      <c r="V156" s="50" t="n">
        <v>0.1111111111111111</v>
      </c>
      <c r="W156" s="51" t="n">
        <v>0</v>
      </c>
      <c r="X156" s="51" t="n">
        <v>0</v>
      </c>
      <c r="Y156" s="51" t="n">
        <v>0</v>
      </c>
      <c r="Z156" s="51" t="n">
        <v>0</v>
      </c>
      <c r="AA156" s="52" t="n">
        <v>0</v>
      </c>
      <c r="AB156" s="52" t="n">
        <v>0</v>
      </c>
      <c r="AC156" s="52" t="n">
        <v>0</v>
      </c>
      <c r="AD156" s="52" t="n">
        <v>0</v>
      </c>
      <c r="AE156" s="52" t="n">
        <v>0</v>
      </c>
      <c r="AF156" s="52" t="n">
        <v>0</v>
      </c>
      <c r="AG156" s="52" t="n">
        <v>0</v>
      </c>
      <c r="AH156" s="52" t="n">
        <v>0</v>
      </c>
      <c r="AI156" s="52" t="n">
        <v>0</v>
      </c>
      <c r="AJ156" s="52" t="n">
        <v>0</v>
      </c>
      <c r="AK156" s="52" t="n">
        <v>0</v>
      </c>
      <c r="AL156" s="52" t="n">
        <v>0</v>
      </c>
      <c r="AM156" s="53" t="n">
        <v>0</v>
      </c>
      <c r="AN156" s="53" t="n">
        <v>0</v>
      </c>
      <c r="AO156" s="53" t="n">
        <v>0</v>
      </c>
      <c r="AP156" s="53" t="n">
        <v>0</v>
      </c>
      <c r="AQ156" s="52" t="n">
        <v>0</v>
      </c>
      <c r="AR156" s="52" t="n">
        <v>0</v>
      </c>
      <c r="AS156" s="52" t="n">
        <v>0</v>
      </c>
      <c r="AT156" s="52" t="n">
        <v>0</v>
      </c>
      <c r="AU156" s="53" t="n">
        <v>0</v>
      </c>
      <c r="AV156" s="53" t="n">
        <v>0</v>
      </c>
      <c r="AW156" s="53" t="n">
        <v>0</v>
      </c>
      <c r="AX156" s="53" t="n">
        <v>0</v>
      </c>
      <c r="AY156" s="52" t="n">
        <v>11.99</v>
      </c>
      <c r="AZ156" s="52" t="n">
        <v>0</v>
      </c>
      <c r="BA156" s="52" t="n">
        <v>11.99</v>
      </c>
      <c r="BB156" s="52" t="n">
        <v>11.99</v>
      </c>
      <c r="BC156" s="51" t="n">
        <v>0</v>
      </c>
      <c r="BD156" s="51" t="n">
        <v>0</v>
      </c>
      <c r="BE156" s="51" t="n">
        <v>0</v>
      </c>
      <c r="BF156" s="51" t="n">
        <v>0</v>
      </c>
    </row>
    <row r="157">
      <c r="A157">
        <f>HYPERLINK("https://www.walmart.com/ip/641453139", "641453139")</f>
        <v/>
      </c>
      <c r="B157" t="inlineStr">
        <is>
          <t>Kato Insulated Lunch Bags for Students, Women, and Men, Mini Thermal Portable Cooler Box Tote with Dual Zipper Closure, Blue, 9 Cans Capacity, 8.5" x 9.5" x 3.8"</t>
        </is>
      </c>
      <c r="C157" t="inlineStr">
        <is>
          <t>1KTLB100BL</t>
        </is>
      </c>
      <c r="D157" t="inlineStr">
        <is>
          <t>Reusable Lunch Bags &amp; Boxes</t>
        </is>
      </c>
      <c r="E157" t="inlineStr">
        <is>
          <t>Kato</t>
        </is>
      </c>
      <c r="F157" t="inlineStr">
        <is>
          <t>Q2-Target,Lunch Bag,Optimized,Lunch Bags,SEM</t>
        </is>
      </c>
      <c r="G157" s="48" t="n">
        <v>10.99</v>
      </c>
      <c r="H157" s="48" t="n">
        <v>32.97</v>
      </c>
      <c r="I157" s="48" t="n">
        <v>0</v>
      </c>
      <c r="J157" s="48" t="n">
        <v>32.97</v>
      </c>
      <c r="K157" s="49" t="n">
        <v>1</v>
      </c>
      <c r="L157" s="49" t="n">
        <v>3</v>
      </c>
      <c r="M157" s="49" t="n">
        <v>0</v>
      </c>
      <c r="N157" s="49" t="n">
        <v>3</v>
      </c>
      <c r="O157" s="49" t="n">
        <v>18</v>
      </c>
      <c r="P157" s="49" t="n">
        <v>15</v>
      </c>
      <c r="Q157" s="49" t="n">
        <v>13</v>
      </c>
      <c r="R157" s="49" t="n">
        <v>18</v>
      </c>
      <c r="S157" s="50" t="n">
        <v>0.05555555555555555</v>
      </c>
      <c r="T157" s="50" t="n">
        <v>0.2</v>
      </c>
      <c r="U157" s="50" t="n">
        <v>0</v>
      </c>
      <c r="V157" s="50" t="n">
        <v>0.1666666666666667</v>
      </c>
      <c r="W157" s="51" t="n">
        <v>0</v>
      </c>
      <c r="X157" s="51" t="n">
        <v>0</v>
      </c>
      <c r="Y157" s="51" t="n">
        <v>0</v>
      </c>
      <c r="Z157" s="51" t="n">
        <v>0</v>
      </c>
      <c r="AA157" s="52" t="n">
        <v>0</v>
      </c>
      <c r="AB157" s="52" t="n">
        <v>0</v>
      </c>
      <c r="AC157" s="52" t="n">
        <v>0</v>
      </c>
      <c r="AD157" s="52" t="n">
        <v>0</v>
      </c>
      <c r="AE157" s="52" t="n">
        <v>0</v>
      </c>
      <c r="AF157" s="52" t="n">
        <v>0</v>
      </c>
      <c r="AG157" s="52" t="n">
        <v>0</v>
      </c>
      <c r="AH157" s="52" t="n">
        <v>0</v>
      </c>
      <c r="AI157" s="52" t="n">
        <v>0</v>
      </c>
      <c r="AJ157" s="52" t="n">
        <v>0</v>
      </c>
      <c r="AK157" s="52" t="n">
        <v>0</v>
      </c>
      <c r="AL157" s="52" t="n">
        <v>0</v>
      </c>
      <c r="AM157" s="53" t="n">
        <v>0</v>
      </c>
      <c r="AN157" s="53" t="n">
        <v>0</v>
      </c>
      <c r="AO157" s="53" t="n">
        <v>0</v>
      </c>
      <c r="AP157" s="53" t="n">
        <v>0</v>
      </c>
      <c r="AQ157" s="52" t="n">
        <v>0</v>
      </c>
      <c r="AR157" s="52" t="n">
        <v>0</v>
      </c>
      <c r="AS157" s="52" t="n">
        <v>0</v>
      </c>
      <c r="AT157" s="52" t="n">
        <v>0</v>
      </c>
      <c r="AU157" s="53" t="n">
        <v>0</v>
      </c>
      <c r="AV157" s="53" t="n">
        <v>0</v>
      </c>
      <c r="AW157" s="53" t="n">
        <v>0</v>
      </c>
      <c r="AX157" s="53" t="n">
        <v>0</v>
      </c>
      <c r="AY157" s="52" t="n">
        <v>10.99</v>
      </c>
      <c r="AZ157" s="52" t="n">
        <v>10.99</v>
      </c>
      <c r="BA157" s="52" t="n">
        <v>0</v>
      </c>
      <c r="BB157" s="52" t="n">
        <v>10.99</v>
      </c>
      <c r="BC157" s="51" t="n">
        <v>0</v>
      </c>
      <c r="BD157" s="51" t="n">
        <v>0</v>
      </c>
      <c r="BE157" s="51" t="n">
        <v>0</v>
      </c>
      <c r="BF157" s="51" t="n">
        <v>0</v>
      </c>
    </row>
    <row r="158">
      <c r="A158">
        <f>HYPERLINK("https://www.walmart.com/ip/786403253", "786403253")</f>
        <v/>
      </c>
      <c r="B158" t="inlineStr">
        <is>
          <t>Tirrinia Small Insulated Lunch Bag for Adult&amp;Kids,Splash Proof Mini Portable Reusable Thermal Lunch Box Cooler Tote for Student Back to School,Dark Blue</t>
        </is>
      </c>
      <c r="C158" t="inlineStr">
        <is>
          <t>1TRLB100DB</t>
        </is>
      </c>
      <c r="D158" t="inlineStr">
        <is>
          <t>Reusable Lunch Bags &amp; Boxes</t>
        </is>
      </c>
      <c r="E158" t="inlineStr">
        <is>
          <t>Tirrinia</t>
        </is>
      </c>
      <c r="F158" t="inlineStr">
        <is>
          <t>Q2-Target,Lunch Bag,SEM</t>
        </is>
      </c>
      <c r="G158" s="48" t="n">
        <v>10.99</v>
      </c>
      <c r="H158" s="48" t="n">
        <v>65.94</v>
      </c>
      <c r="I158" s="48" t="n">
        <v>21.98</v>
      </c>
      <c r="J158" s="48" t="n">
        <v>32.97</v>
      </c>
      <c r="K158" s="49" t="n">
        <v>1</v>
      </c>
      <c r="L158" s="49" t="n">
        <v>6</v>
      </c>
      <c r="M158" s="49" t="n">
        <v>2</v>
      </c>
      <c r="N158" s="49" t="n">
        <v>3</v>
      </c>
      <c r="O158" s="49" t="n">
        <v>8</v>
      </c>
      <c r="P158" s="49" t="n">
        <v>16</v>
      </c>
      <c r="Q158" s="49" t="n">
        <v>12</v>
      </c>
      <c r="R158" s="49" t="n">
        <v>4</v>
      </c>
      <c r="S158" s="50" t="n">
        <v>0.125</v>
      </c>
      <c r="T158" s="50" t="n">
        <v>0.375</v>
      </c>
      <c r="U158" s="50" t="n">
        <v>0.1666666666666667</v>
      </c>
      <c r="V158" s="50" t="n">
        <v>0.75</v>
      </c>
      <c r="W158" s="51" t="n">
        <v>0</v>
      </c>
      <c r="X158" s="51" t="n">
        <v>0</v>
      </c>
      <c r="Y158" s="51" t="n">
        <v>0</v>
      </c>
      <c r="Z158" s="51" t="n">
        <v>0</v>
      </c>
      <c r="AA158" s="52" t="n">
        <v>0</v>
      </c>
      <c r="AB158" s="52" t="n">
        <v>0</v>
      </c>
      <c r="AC158" s="52" t="n">
        <v>0</v>
      </c>
      <c r="AD158" s="52" t="n">
        <v>0</v>
      </c>
      <c r="AE158" s="52" t="n">
        <v>0</v>
      </c>
      <c r="AF158" s="52" t="n">
        <v>0</v>
      </c>
      <c r="AG158" s="52" t="n">
        <v>0</v>
      </c>
      <c r="AH158" s="52" t="n">
        <v>0</v>
      </c>
      <c r="AI158" s="52" t="n">
        <v>0</v>
      </c>
      <c r="AJ158" s="52" t="n">
        <v>0</v>
      </c>
      <c r="AK158" s="52" t="n">
        <v>0</v>
      </c>
      <c r="AL158" s="52" t="n">
        <v>0</v>
      </c>
      <c r="AM158" s="53" t="n">
        <v>0</v>
      </c>
      <c r="AN158" s="53" t="n">
        <v>0</v>
      </c>
      <c r="AO158" s="53" t="n">
        <v>0</v>
      </c>
      <c r="AP158" s="53" t="n">
        <v>0</v>
      </c>
      <c r="AQ158" s="52" t="n">
        <v>0</v>
      </c>
      <c r="AR158" s="52" t="n">
        <v>0</v>
      </c>
      <c r="AS158" s="52" t="n">
        <v>0</v>
      </c>
      <c r="AT158" s="52" t="n">
        <v>0</v>
      </c>
      <c r="AU158" s="53" t="n">
        <v>0</v>
      </c>
      <c r="AV158" s="53" t="n">
        <v>0</v>
      </c>
      <c r="AW158" s="53" t="n">
        <v>0</v>
      </c>
      <c r="AX158" s="53" t="n">
        <v>0</v>
      </c>
      <c r="AY158" s="52" t="n">
        <v>10.99</v>
      </c>
      <c r="AZ158" s="52" t="n">
        <v>10.99</v>
      </c>
      <c r="BA158" s="52" t="n">
        <v>10.99</v>
      </c>
      <c r="BB158" s="52" t="n">
        <v>10.99</v>
      </c>
      <c r="BC158" s="51" t="n">
        <v>0</v>
      </c>
      <c r="BD158" s="51" t="n">
        <v>0</v>
      </c>
      <c r="BE158" s="51" t="n">
        <v>0</v>
      </c>
      <c r="BF158" s="51" t="n">
        <v>0</v>
      </c>
    </row>
    <row r="159">
      <c r="A159">
        <f>HYPERLINK("https://www.walmart.com/ip/1960805917", "1960805917")</f>
        <v/>
      </c>
      <c r="B159" t="inlineStr">
        <is>
          <t>Tirrinia Insulated Lunch Box for Women | Lunch Bags for Women, Girls, Teens | Cute Pink Reusable Thermal Lunch Tote Purse Cooler for Kids, School, Work, Office, Adult | Fits 10 Cans (Pink Watermelon)</t>
        </is>
      </c>
      <c r="C159" t="inlineStr">
        <is>
          <t>1WMLB706PKMEL</t>
        </is>
      </c>
      <c r="D159" t="inlineStr">
        <is>
          <t>Reusable Lunch Bags &amp; Boxes</t>
        </is>
      </c>
      <c r="E159" t="inlineStr">
        <is>
          <t>Tirrinia</t>
        </is>
      </c>
      <c r="F159" t="inlineStr">
        <is>
          <t>Q2-Target,Brand Camp VD</t>
        </is>
      </c>
      <c r="G159" s="48" t="n">
        <v>10.99</v>
      </c>
      <c r="H159" s="48" t="n">
        <v>0</v>
      </c>
      <c r="I159" s="48" t="n">
        <v>21.98</v>
      </c>
      <c r="J159" s="48" t="n">
        <v>21.98</v>
      </c>
      <c r="K159" s="49" t="n">
        <v>1</v>
      </c>
      <c r="L159" s="49" t="n">
        <v>0</v>
      </c>
      <c r="M159" s="49" t="n">
        <v>2</v>
      </c>
      <c r="N159" s="49" t="n">
        <v>2</v>
      </c>
      <c r="O159" s="49" t="n">
        <v>26</v>
      </c>
      <c r="P159" s="49" t="n">
        <v>25</v>
      </c>
      <c r="Q159" s="49" t="n">
        <v>39</v>
      </c>
      <c r="R159" s="49" t="n">
        <v>54</v>
      </c>
      <c r="S159" s="50" t="n">
        <v>0.03846153846153846</v>
      </c>
      <c r="T159" s="50" t="n">
        <v>0</v>
      </c>
      <c r="U159" s="50" t="n">
        <v>0.05128205128205128</v>
      </c>
      <c r="V159" s="50" t="n">
        <v>0.03703703703703703</v>
      </c>
      <c r="W159" s="51" t="n">
        <v>0</v>
      </c>
      <c r="X159" s="51" t="n">
        <v>0</v>
      </c>
      <c r="Y159" s="51" t="n">
        <v>0</v>
      </c>
      <c r="Z159" s="51" t="n">
        <v>0</v>
      </c>
      <c r="AA159" s="52" t="n">
        <v>0</v>
      </c>
      <c r="AB159" s="52" t="n">
        <v>0</v>
      </c>
      <c r="AC159" s="52" t="n">
        <v>0</v>
      </c>
      <c r="AD159" s="52" t="n">
        <v>0</v>
      </c>
      <c r="AE159" s="52" t="n">
        <v>0</v>
      </c>
      <c r="AF159" s="52" t="n">
        <v>0</v>
      </c>
      <c r="AG159" s="52" t="n">
        <v>0</v>
      </c>
      <c r="AH159" s="52" t="n">
        <v>0</v>
      </c>
      <c r="AI159" s="52" t="n">
        <v>0</v>
      </c>
      <c r="AJ159" s="52" t="n">
        <v>0</v>
      </c>
      <c r="AK159" s="52" t="n">
        <v>0</v>
      </c>
      <c r="AL159" s="52" t="n">
        <v>0</v>
      </c>
      <c r="AM159" s="53" t="n">
        <v>0</v>
      </c>
      <c r="AN159" s="53" t="n">
        <v>0</v>
      </c>
      <c r="AO159" s="53" t="n">
        <v>0</v>
      </c>
      <c r="AP159" s="53" t="n">
        <v>0</v>
      </c>
      <c r="AQ159" s="52" t="n">
        <v>0</v>
      </c>
      <c r="AR159" s="52" t="n">
        <v>0</v>
      </c>
      <c r="AS159" s="52" t="n">
        <v>0</v>
      </c>
      <c r="AT159" s="52" t="n">
        <v>0</v>
      </c>
      <c r="AU159" s="53" t="n">
        <v>0</v>
      </c>
      <c r="AV159" s="53" t="n">
        <v>0</v>
      </c>
      <c r="AW159" s="53" t="n">
        <v>0</v>
      </c>
      <c r="AX159" s="53" t="n">
        <v>0</v>
      </c>
      <c r="AY159" s="52" t="n">
        <v>10.99</v>
      </c>
      <c r="AZ159" s="52" t="n">
        <v>0</v>
      </c>
      <c r="BA159" s="52" t="n">
        <v>10.99</v>
      </c>
      <c r="BB159" s="52" t="n">
        <v>10.99</v>
      </c>
      <c r="BC159" s="51" t="n">
        <v>0</v>
      </c>
      <c r="BD159" s="51" t="n">
        <v>0</v>
      </c>
      <c r="BE159" s="51" t="n">
        <v>0</v>
      </c>
      <c r="BF159" s="51" t="n">
        <v>0</v>
      </c>
    </row>
    <row r="160">
      <c r="A160">
        <f>HYPERLINK("https://www.walmart.com/ip/509023872", "509023872")</f>
        <v/>
      </c>
      <c r="B160" t="inlineStr">
        <is>
          <t>Tirrinia Small Portable Reusable Thermal Insulated Lunch Bag To Keep Your Snacks,Drinks And Meals At A Consistent Temperature For Adult Kids,Charcoal</t>
        </is>
      </c>
      <c r="C160" t="inlineStr">
        <is>
          <t>1TRLB100CH</t>
        </is>
      </c>
      <c r="D160" t="inlineStr">
        <is>
          <t>Reusable Lunch Bags &amp; Boxes</t>
        </is>
      </c>
      <c r="E160" t="inlineStr">
        <is>
          <t>Tirrinia</t>
        </is>
      </c>
      <c r="F160" t="inlineStr">
        <is>
          <t>Q2-Target,Brand Camp VD,Lunch Bag,Optimized,Lunch Bags,SEM</t>
        </is>
      </c>
      <c r="G160" s="48" t="n">
        <v>10.99</v>
      </c>
      <c r="H160" s="48" t="n">
        <v>0</v>
      </c>
      <c r="I160" s="48" t="n">
        <v>58.95</v>
      </c>
      <c r="J160" s="48" t="n">
        <v>12.99</v>
      </c>
      <c r="K160" s="49" t="n">
        <v>1</v>
      </c>
      <c r="L160" s="49" t="n">
        <v>0</v>
      </c>
      <c r="M160" s="49" t="n">
        <v>4</v>
      </c>
      <c r="N160" s="49" t="n">
        <v>1</v>
      </c>
      <c r="O160" s="49" t="n">
        <v>69</v>
      </c>
      <c r="P160" s="49" t="n">
        <v>58</v>
      </c>
      <c r="Q160" s="49" t="n">
        <v>73</v>
      </c>
      <c r="R160" s="49" t="n">
        <v>64</v>
      </c>
      <c r="S160" s="50" t="n">
        <v>0.01449275362318841</v>
      </c>
      <c r="T160" s="50" t="n">
        <v>0</v>
      </c>
      <c r="U160" s="50" t="n">
        <v>0.0547945205479452</v>
      </c>
      <c r="V160" s="50" t="n">
        <v>0.015625</v>
      </c>
      <c r="W160" s="51" t="n">
        <v>0</v>
      </c>
      <c r="X160" s="51" t="n">
        <v>0</v>
      </c>
      <c r="Y160" s="51" t="n">
        <v>0</v>
      </c>
      <c r="Z160" s="51" t="n">
        <v>0</v>
      </c>
      <c r="AA160" s="52" t="n">
        <v>0</v>
      </c>
      <c r="AB160" s="52" t="n">
        <v>0</v>
      </c>
      <c r="AC160" s="52" t="n">
        <v>0</v>
      </c>
      <c r="AD160" s="52" t="n">
        <v>0</v>
      </c>
      <c r="AE160" s="52" t="n">
        <v>0</v>
      </c>
      <c r="AF160" s="52" t="n">
        <v>0</v>
      </c>
      <c r="AG160" s="52" t="n">
        <v>0</v>
      </c>
      <c r="AH160" s="52" t="n">
        <v>0</v>
      </c>
      <c r="AI160" s="52" t="n">
        <v>0</v>
      </c>
      <c r="AJ160" s="52" t="n">
        <v>0</v>
      </c>
      <c r="AK160" s="52" t="n">
        <v>0</v>
      </c>
      <c r="AL160" s="52" t="n">
        <v>0</v>
      </c>
      <c r="AM160" s="53" t="n">
        <v>0</v>
      </c>
      <c r="AN160" s="53" t="n">
        <v>0</v>
      </c>
      <c r="AO160" s="53" t="n">
        <v>0</v>
      </c>
      <c r="AP160" s="53" t="n">
        <v>0</v>
      </c>
      <c r="AQ160" s="52" t="n">
        <v>0</v>
      </c>
      <c r="AR160" s="52" t="n">
        <v>0</v>
      </c>
      <c r="AS160" s="52" t="n">
        <v>0</v>
      </c>
      <c r="AT160" s="52" t="n">
        <v>0</v>
      </c>
      <c r="AU160" s="53" t="n">
        <v>0</v>
      </c>
      <c r="AV160" s="53" t="n">
        <v>0</v>
      </c>
      <c r="AW160" s="53" t="n">
        <v>0</v>
      </c>
      <c r="AX160" s="53" t="n">
        <v>0</v>
      </c>
      <c r="AY160" s="52" t="n">
        <v>10.99</v>
      </c>
      <c r="AZ160" s="52" t="n">
        <v>0</v>
      </c>
      <c r="BA160" s="52" t="n">
        <v>14.7375</v>
      </c>
      <c r="BB160" s="52" t="n">
        <v>12.99</v>
      </c>
      <c r="BC160" s="51" t="n">
        <v>0</v>
      </c>
      <c r="BD160" s="51" t="n">
        <v>0</v>
      </c>
      <c r="BE160" s="51" t="n">
        <v>0</v>
      </c>
      <c r="BF160" s="51" t="n">
        <v>0</v>
      </c>
    </row>
    <row r="161">
      <c r="A161">
        <f>HYPERLINK("https://www.walmart.com/ip/838748281", "838748281")</f>
        <v/>
      </c>
      <c r="B161" t="inlineStr">
        <is>
          <t>Tirrinia Small Insulated Lunch Bag for Adult&amp;Kids,Splash Proof Mini Portable Reusable Thermal Lunch Box Cooler Tote for Student Back to School,Black &amp; Grey</t>
        </is>
      </c>
      <c r="C161" t="inlineStr">
        <is>
          <t>1TRLB100BKGY</t>
        </is>
      </c>
      <c r="D161" t="inlineStr">
        <is>
          <t>Reusable Lunch Bags &amp; Boxes</t>
        </is>
      </c>
      <c r="E161" t="inlineStr">
        <is>
          <t>Tirrinia</t>
        </is>
      </c>
      <c r="F161" t="inlineStr">
        <is>
          <t>Lunch Bag,Lunch Bags</t>
        </is>
      </c>
      <c r="G161" s="48" t="n">
        <v>10.99</v>
      </c>
      <c r="H161" s="48" t="n">
        <v>87.92</v>
      </c>
      <c r="I161" s="48" t="n">
        <v>21.98</v>
      </c>
      <c r="J161" s="48" t="n">
        <v>21.98</v>
      </c>
      <c r="K161" s="49" t="n">
        <v>1</v>
      </c>
      <c r="L161" s="49" t="n">
        <v>8</v>
      </c>
      <c r="M161" s="49" t="n">
        <v>2</v>
      </c>
      <c r="N161" s="49" t="n">
        <v>2</v>
      </c>
      <c r="O161" s="49" t="n">
        <v>6</v>
      </c>
      <c r="P161" s="49" t="n">
        <v>23</v>
      </c>
      <c r="Q161" s="49" t="n">
        <v>17</v>
      </c>
      <c r="R161" s="49" t="n">
        <v>8</v>
      </c>
      <c r="S161" s="50" t="n">
        <v>0.1666666666666667</v>
      </c>
      <c r="T161" s="50" t="n">
        <v>0.3478260869565217</v>
      </c>
      <c r="U161" s="50" t="n">
        <v>0.1176470588235294</v>
      </c>
      <c r="V161" s="50" t="n">
        <v>0.25</v>
      </c>
      <c r="W161" s="51" t="n">
        <v>0</v>
      </c>
      <c r="X161" s="51" t="n">
        <v>0</v>
      </c>
      <c r="Y161" s="51" t="n">
        <v>0</v>
      </c>
      <c r="Z161" s="51" t="n">
        <v>0</v>
      </c>
      <c r="AA161" s="52" t="n">
        <v>0</v>
      </c>
      <c r="AB161" s="52" t="n">
        <v>0</v>
      </c>
      <c r="AC161" s="52" t="n">
        <v>0</v>
      </c>
      <c r="AD161" s="52" t="n">
        <v>0</v>
      </c>
      <c r="AE161" s="52" t="n">
        <v>0</v>
      </c>
      <c r="AF161" s="52" t="n">
        <v>0</v>
      </c>
      <c r="AG161" s="52" t="n">
        <v>0</v>
      </c>
      <c r="AH161" s="52" t="n">
        <v>0</v>
      </c>
      <c r="AI161" s="52" t="n">
        <v>0</v>
      </c>
      <c r="AJ161" s="52" t="n">
        <v>0</v>
      </c>
      <c r="AK161" s="52" t="n">
        <v>0</v>
      </c>
      <c r="AL161" s="52" t="n">
        <v>0</v>
      </c>
      <c r="AM161" s="53" t="n">
        <v>0</v>
      </c>
      <c r="AN161" s="53" t="n">
        <v>0</v>
      </c>
      <c r="AO161" s="53" t="n">
        <v>0</v>
      </c>
      <c r="AP161" s="53" t="n">
        <v>0</v>
      </c>
      <c r="AQ161" s="52" t="n">
        <v>0</v>
      </c>
      <c r="AR161" s="52" t="n">
        <v>0</v>
      </c>
      <c r="AS161" s="52" t="n">
        <v>0</v>
      </c>
      <c r="AT161" s="52" t="n">
        <v>0</v>
      </c>
      <c r="AU161" s="53" t="n">
        <v>0</v>
      </c>
      <c r="AV161" s="53" t="n">
        <v>0</v>
      </c>
      <c r="AW161" s="53" t="n">
        <v>0</v>
      </c>
      <c r="AX161" s="53" t="n">
        <v>0</v>
      </c>
      <c r="AY161" s="52" t="n">
        <v>10.99</v>
      </c>
      <c r="AZ161" s="52" t="n">
        <v>10.99</v>
      </c>
      <c r="BA161" s="52" t="n">
        <v>10.99</v>
      </c>
      <c r="BB161" s="52" t="n">
        <v>10.99</v>
      </c>
      <c r="BC161" s="51" t="n">
        <v>0</v>
      </c>
      <c r="BD161" s="51" t="n">
        <v>0</v>
      </c>
      <c r="BE161" s="51" t="n">
        <v>0</v>
      </c>
      <c r="BF161" s="51" t="n">
        <v>0</v>
      </c>
    </row>
    <row r="162">
      <c r="A162">
        <f>HYPERLINK("https://www.walmart.com/ip/3062581289", "3062581289")</f>
        <v/>
      </c>
      <c r="B162" t="inlineStr">
        <is>
          <t>Tirrinia Insulated Lunch Box for Women | Lunch Bags for Women, Girls, Teens | Cute Grey Reusable Thermal Lunch Tote Purse Cooler for Kids, School, Work, Office, Adult | Fits 10 Cans (Gray Stripe)</t>
        </is>
      </c>
      <c r="C162" t="inlineStr">
        <is>
          <t>1WMLB706GYSTR</t>
        </is>
      </c>
      <c r="D162" t="inlineStr">
        <is>
          <t>Reusable Lunch Bags &amp; Boxes</t>
        </is>
      </c>
      <c r="E162" t="inlineStr">
        <is>
          <t>Tirrinia</t>
        </is>
      </c>
      <c r="F162" t="inlineStr">
        <is>
          <t>Q2-Target,Brand Camp VD</t>
        </is>
      </c>
      <c r="G162" s="48" t="n">
        <v>9.99</v>
      </c>
      <c r="H162" s="48" t="n">
        <v>29.97</v>
      </c>
      <c r="I162" s="48" t="n">
        <v>69.93000000000001</v>
      </c>
      <c r="J162" s="48" t="n">
        <v>0</v>
      </c>
      <c r="K162" s="49" t="n">
        <v>1</v>
      </c>
      <c r="L162" s="49" t="n">
        <v>3</v>
      </c>
      <c r="M162" s="49" t="n">
        <v>7</v>
      </c>
      <c r="N162" s="49" t="n">
        <v>0</v>
      </c>
      <c r="O162" s="49" t="n">
        <v>16</v>
      </c>
      <c r="P162" s="49" t="n">
        <v>16</v>
      </c>
      <c r="Q162" s="49" t="n">
        <v>10</v>
      </c>
      <c r="R162" s="49" t="n">
        <v>2</v>
      </c>
      <c r="S162" s="50" t="n">
        <v>0.0625</v>
      </c>
      <c r="T162" s="50" t="n">
        <v>0.1875</v>
      </c>
      <c r="U162" s="50" t="n">
        <v>0.7</v>
      </c>
      <c r="V162" s="50" t="n">
        <v>0</v>
      </c>
      <c r="W162" s="51" t="n">
        <v>0</v>
      </c>
      <c r="X162" s="51" t="n">
        <v>0</v>
      </c>
      <c r="Y162" s="51" t="n">
        <v>0</v>
      </c>
      <c r="Z162" s="51" t="n">
        <v>0</v>
      </c>
      <c r="AA162" s="52" t="n">
        <v>0</v>
      </c>
      <c r="AB162" s="52" t="n">
        <v>0</v>
      </c>
      <c r="AC162" s="52" t="n">
        <v>0</v>
      </c>
      <c r="AD162" s="52" t="n">
        <v>0</v>
      </c>
      <c r="AE162" s="52" t="n">
        <v>0</v>
      </c>
      <c r="AF162" s="52" t="n">
        <v>0</v>
      </c>
      <c r="AG162" s="52" t="n">
        <v>0</v>
      </c>
      <c r="AH162" s="52" t="n">
        <v>0</v>
      </c>
      <c r="AI162" s="52" t="n">
        <v>0</v>
      </c>
      <c r="AJ162" s="52" t="n">
        <v>0</v>
      </c>
      <c r="AK162" s="52" t="n">
        <v>0</v>
      </c>
      <c r="AL162" s="52" t="n">
        <v>0</v>
      </c>
      <c r="AM162" s="53" t="n">
        <v>0</v>
      </c>
      <c r="AN162" s="53" t="n">
        <v>0</v>
      </c>
      <c r="AO162" s="53" t="n">
        <v>0</v>
      </c>
      <c r="AP162" s="53" t="n">
        <v>0</v>
      </c>
      <c r="AQ162" s="52" t="n">
        <v>0</v>
      </c>
      <c r="AR162" s="52" t="n">
        <v>0</v>
      </c>
      <c r="AS162" s="52" t="n">
        <v>0</v>
      </c>
      <c r="AT162" s="52" t="n">
        <v>0</v>
      </c>
      <c r="AU162" s="53" t="n">
        <v>0</v>
      </c>
      <c r="AV162" s="53" t="n">
        <v>0</v>
      </c>
      <c r="AW162" s="53" t="n">
        <v>0</v>
      </c>
      <c r="AX162" s="53" t="n">
        <v>0</v>
      </c>
      <c r="AY162" s="52" t="n">
        <v>9.99</v>
      </c>
      <c r="AZ162" s="52" t="n">
        <v>9.99</v>
      </c>
      <c r="BA162" s="52" t="n">
        <v>9.99</v>
      </c>
      <c r="BB162" s="52" t="n">
        <v>0</v>
      </c>
      <c r="BC162" s="51" t="n">
        <v>0</v>
      </c>
      <c r="BD162" s="51" t="n">
        <v>0</v>
      </c>
      <c r="BE162" s="51" t="n">
        <v>0</v>
      </c>
      <c r="BF162" s="51" t="n">
        <v>0</v>
      </c>
    </row>
    <row r="163">
      <c r="A163">
        <f>HYPERLINK("https://www.walmart.com/ip/857437937", "857437937")</f>
        <v/>
      </c>
      <c r="B163" t="inlineStr">
        <is>
          <t>Tirrinia  Womens Wide Brim Bucket Hats UPF 50+ Outdoor Gardening Sun Caps Khaki</t>
        </is>
      </c>
      <c r="C163" t="inlineStr">
        <is>
          <t>1TRSH189KK-TBCB</t>
        </is>
      </c>
      <c r="D163" t="inlineStr">
        <is>
          <t>Hats</t>
        </is>
      </c>
      <c r="E163" t="inlineStr">
        <is>
          <t>Tirrinia</t>
        </is>
      </c>
      <c r="F163" t="inlineStr">
        <is>
          <t>Batch 1 - TR</t>
        </is>
      </c>
      <c r="G163" s="48" t="n">
        <v>9.99</v>
      </c>
      <c r="H163" s="48" t="n">
        <v>9.99</v>
      </c>
      <c r="I163" s="48" t="n">
        <v>0</v>
      </c>
      <c r="J163" s="48" t="n">
        <v>0</v>
      </c>
      <c r="K163" s="49" t="n">
        <v>1</v>
      </c>
      <c r="L163" s="49" t="n">
        <v>1</v>
      </c>
      <c r="M163" s="49" t="n">
        <v>0</v>
      </c>
      <c r="N163" s="49" t="n">
        <v>0</v>
      </c>
      <c r="O163" s="49" t="n">
        <v>0</v>
      </c>
      <c r="P163" s="49" t="n">
        <v>0</v>
      </c>
      <c r="Q163" s="49" t="n">
        <v>0</v>
      </c>
      <c r="R163" s="49" t="n">
        <v>0</v>
      </c>
      <c r="S163" s="50" t="n">
        <v>0</v>
      </c>
      <c r="T163" s="50" t="n">
        <v>0</v>
      </c>
      <c r="U163" s="50" t="n">
        <v>0</v>
      </c>
      <c r="V163" s="50" t="n">
        <v>0</v>
      </c>
      <c r="W163" s="51" t="n">
        <v>0</v>
      </c>
      <c r="X163" s="51" t="n">
        <v>0</v>
      </c>
      <c r="Y163" s="51" t="n">
        <v>0</v>
      </c>
      <c r="Z163" s="51" t="n">
        <v>0</v>
      </c>
      <c r="AA163" s="52" t="n">
        <v>0</v>
      </c>
      <c r="AB163" s="52" t="n">
        <v>0</v>
      </c>
      <c r="AC163" s="52" t="n">
        <v>0</v>
      </c>
      <c r="AD163" s="52" t="n">
        <v>0</v>
      </c>
      <c r="AE163" s="52" t="n">
        <v>0</v>
      </c>
      <c r="AF163" s="52" t="n">
        <v>0</v>
      </c>
      <c r="AG163" s="52" t="n">
        <v>0</v>
      </c>
      <c r="AH163" s="52" t="n">
        <v>0</v>
      </c>
      <c r="AI163" s="52" t="n">
        <v>0</v>
      </c>
      <c r="AJ163" s="52" t="n">
        <v>0</v>
      </c>
      <c r="AK163" s="52" t="n">
        <v>0</v>
      </c>
      <c r="AL163" s="52" t="n">
        <v>0</v>
      </c>
      <c r="AM163" s="53" t="n">
        <v>0</v>
      </c>
      <c r="AN163" s="53" t="n">
        <v>0</v>
      </c>
      <c r="AO163" s="53" t="n">
        <v>0</v>
      </c>
      <c r="AP163" s="53" t="n">
        <v>0</v>
      </c>
      <c r="AQ163" s="52" t="n">
        <v>0</v>
      </c>
      <c r="AR163" s="52" t="n">
        <v>0</v>
      </c>
      <c r="AS163" s="52" t="n">
        <v>0</v>
      </c>
      <c r="AT163" s="52" t="n">
        <v>0</v>
      </c>
      <c r="AU163" s="53" t="n">
        <v>0</v>
      </c>
      <c r="AV163" s="53" t="n">
        <v>0</v>
      </c>
      <c r="AW163" s="53" t="n">
        <v>0</v>
      </c>
      <c r="AX163" s="53" t="n">
        <v>0</v>
      </c>
      <c r="AY163" s="52" t="n">
        <v>9.99</v>
      </c>
      <c r="AZ163" s="52" t="n">
        <v>9.99</v>
      </c>
      <c r="BA163" s="52" t="n">
        <v>0</v>
      </c>
      <c r="BB163" s="52" t="n">
        <v>0</v>
      </c>
      <c r="BC163" s="51" t="n">
        <v>0</v>
      </c>
      <c r="BD163" s="51" t="n">
        <v>0</v>
      </c>
      <c r="BE163" s="51" t="n">
        <v>0</v>
      </c>
      <c r="BF163" s="51" t="n">
        <v>0</v>
      </c>
    </row>
    <row r="164">
      <c r="A164">
        <f>HYPERLINK("https://www.walmart.com/ip/752540737", "752540737")</f>
        <v/>
      </c>
      <c r="B164" t="inlineStr">
        <is>
          <t>Tirrinia Bucket Hats for Women with Hawaii Flower Print | UPF 50+ Sun Protection Cap for Garden, Beach, Travel</t>
        </is>
      </c>
      <c r="C164" t="inlineStr">
        <is>
          <t>1TRSH9200FGR-TBGM</t>
        </is>
      </c>
      <c r="D164" t="inlineStr">
        <is>
          <t>Hats</t>
        </is>
      </c>
      <c r="E164" t="inlineStr">
        <is>
          <t>Tirrinia</t>
        </is>
      </c>
      <c r="F164" t="inlineStr">
        <is>
          <t>Batch 1 - TR</t>
        </is>
      </c>
      <c r="G164" s="48" t="n">
        <v>9.99</v>
      </c>
      <c r="H164" s="48" t="n">
        <v>0</v>
      </c>
      <c r="I164" s="48" t="n">
        <v>0</v>
      </c>
      <c r="J164" s="48" t="n">
        <v>0</v>
      </c>
      <c r="K164" s="49" t="n">
        <v>1</v>
      </c>
      <c r="L164" s="49" t="n">
        <v>0</v>
      </c>
      <c r="M164" s="49" t="n">
        <v>0</v>
      </c>
      <c r="N164" s="49" t="n">
        <v>0</v>
      </c>
      <c r="O164" s="49" t="n">
        <v>0</v>
      </c>
      <c r="P164" s="49" t="n">
        <v>0</v>
      </c>
      <c r="Q164" s="49" t="n">
        <v>0</v>
      </c>
      <c r="R164" s="49" t="n">
        <v>0</v>
      </c>
      <c r="S164" s="50" t="n">
        <v>0</v>
      </c>
      <c r="T164" s="50" t="n">
        <v>0</v>
      </c>
      <c r="U164" s="50" t="n">
        <v>0</v>
      </c>
      <c r="V164" s="50" t="n">
        <v>0</v>
      </c>
      <c r="W164" s="51" t="n">
        <v>0</v>
      </c>
      <c r="X164" s="51" t="n">
        <v>0</v>
      </c>
      <c r="Y164" s="51" t="n">
        <v>0</v>
      </c>
      <c r="Z164" s="51" t="n">
        <v>0</v>
      </c>
      <c r="AA164" s="52" t="n">
        <v>0</v>
      </c>
      <c r="AB164" s="52" t="n">
        <v>0</v>
      </c>
      <c r="AC164" s="52" t="n">
        <v>0</v>
      </c>
      <c r="AD164" s="52" t="n">
        <v>0</v>
      </c>
      <c r="AE164" s="52" t="n">
        <v>0</v>
      </c>
      <c r="AF164" s="52" t="n">
        <v>0</v>
      </c>
      <c r="AG164" s="52" t="n">
        <v>0</v>
      </c>
      <c r="AH164" s="52" t="n">
        <v>0</v>
      </c>
      <c r="AI164" s="52" t="n">
        <v>0</v>
      </c>
      <c r="AJ164" s="52" t="n">
        <v>0</v>
      </c>
      <c r="AK164" s="52" t="n">
        <v>0</v>
      </c>
      <c r="AL164" s="52" t="n">
        <v>0</v>
      </c>
      <c r="AM164" s="53" t="n">
        <v>0</v>
      </c>
      <c r="AN164" s="53" t="n">
        <v>0</v>
      </c>
      <c r="AO164" s="53" t="n">
        <v>0</v>
      </c>
      <c r="AP164" s="53" t="n">
        <v>0</v>
      </c>
      <c r="AQ164" s="52" t="n">
        <v>0</v>
      </c>
      <c r="AR164" s="52" t="n">
        <v>0</v>
      </c>
      <c r="AS164" s="52" t="n">
        <v>0</v>
      </c>
      <c r="AT164" s="52" t="n">
        <v>0</v>
      </c>
      <c r="AU164" s="53" t="n">
        <v>0</v>
      </c>
      <c r="AV164" s="53" t="n">
        <v>0</v>
      </c>
      <c r="AW164" s="53" t="n">
        <v>0</v>
      </c>
      <c r="AX164" s="53" t="n">
        <v>0</v>
      </c>
      <c r="AY164" s="52" t="n">
        <v>9.99</v>
      </c>
      <c r="AZ164" s="52" t="n">
        <v>0</v>
      </c>
      <c r="BA164" s="52" t="n">
        <v>0</v>
      </c>
      <c r="BB164" s="52" t="n">
        <v>0</v>
      </c>
      <c r="BC164" s="51" t="n">
        <v>0</v>
      </c>
      <c r="BD164" s="51" t="n">
        <v>0</v>
      </c>
      <c r="BE164" s="51" t="n">
        <v>0</v>
      </c>
      <c r="BF164" s="51" t="n">
        <v>0</v>
      </c>
    </row>
    <row r="165">
      <c r="A165">
        <f>HYPERLINK("https://www.walmart.com/ip/838734473", "838734473")</f>
        <v/>
      </c>
      <c r="B165" t="inlineStr">
        <is>
          <t>Solaris Men's Sun Protection Hat, Wide Brim Hat with Removable Bill Neck Flap for Men Women, Beige</t>
        </is>
      </c>
      <c r="C165" t="inlineStr">
        <is>
          <t>1SLSH382BE</t>
        </is>
      </c>
      <c r="D165" t="inlineStr">
        <is>
          <t>Hats</t>
        </is>
      </c>
      <c r="E165" t="inlineStr">
        <is>
          <t>Solaris</t>
        </is>
      </c>
      <c r="F165" t="inlineStr">
        <is>
          <t>Q2-Target,Optimized,Hats</t>
        </is>
      </c>
      <c r="G165" s="48" t="n">
        <v>9.99</v>
      </c>
      <c r="H165" s="48" t="n">
        <v>9.99</v>
      </c>
      <c r="I165" s="48" t="n">
        <v>9.99</v>
      </c>
      <c r="J165" s="48" t="n">
        <v>0</v>
      </c>
      <c r="K165" s="49" t="n">
        <v>1</v>
      </c>
      <c r="L165" s="49" t="n">
        <v>1</v>
      </c>
      <c r="M165" s="49" t="n">
        <v>1</v>
      </c>
      <c r="N165" s="49" t="n">
        <v>0</v>
      </c>
      <c r="O165" s="49" t="n">
        <v>4</v>
      </c>
      <c r="P165" s="49" t="n">
        <v>3</v>
      </c>
      <c r="Q165" s="49" t="n">
        <v>2</v>
      </c>
      <c r="R165" s="49" t="n">
        <v>1</v>
      </c>
      <c r="S165" s="50" t="n">
        <v>0.25</v>
      </c>
      <c r="T165" s="50" t="n">
        <v>0.3333333333333333</v>
      </c>
      <c r="U165" s="50" t="n">
        <v>0.5</v>
      </c>
      <c r="V165" s="50" t="n">
        <v>0</v>
      </c>
      <c r="W165" s="51" t="n">
        <v>0</v>
      </c>
      <c r="X165" s="51" t="n">
        <v>0</v>
      </c>
      <c r="Y165" s="51" t="n">
        <v>0</v>
      </c>
      <c r="Z165" s="51" t="n">
        <v>0</v>
      </c>
      <c r="AA165" s="52" t="n">
        <v>0</v>
      </c>
      <c r="AB165" s="52" t="n">
        <v>0</v>
      </c>
      <c r="AC165" s="52" t="n">
        <v>0</v>
      </c>
      <c r="AD165" s="52" t="n">
        <v>0</v>
      </c>
      <c r="AE165" s="52" t="n">
        <v>0</v>
      </c>
      <c r="AF165" s="52" t="n">
        <v>0</v>
      </c>
      <c r="AG165" s="52" t="n">
        <v>0</v>
      </c>
      <c r="AH165" s="52" t="n">
        <v>0</v>
      </c>
      <c r="AI165" s="52" t="n">
        <v>0</v>
      </c>
      <c r="AJ165" s="52" t="n">
        <v>0</v>
      </c>
      <c r="AK165" s="52" t="n">
        <v>0</v>
      </c>
      <c r="AL165" s="52" t="n">
        <v>0</v>
      </c>
      <c r="AM165" s="53" t="n">
        <v>0</v>
      </c>
      <c r="AN165" s="53" t="n">
        <v>0</v>
      </c>
      <c r="AO165" s="53" t="n">
        <v>0</v>
      </c>
      <c r="AP165" s="53" t="n">
        <v>0</v>
      </c>
      <c r="AQ165" s="52" t="n">
        <v>0</v>
      </c>
      <c r="AR165" s="52" t="n">
        <v>0</v>
      </c>
      <c r="AS165" s="52" t="n">
        <v>0</v>
      </c>
      <c r="AT165" s="52" t="n">
        <v>0</v>
      </c>
      <c r="AU165" s="53" t="n">
        <v>0</v>
      </c>
      <c r="AV165" s="53" t="n">
        <v>0</v>
      </c>
      <c r="AW165" s="53" t="n">
        <v>0</v>
      </c>
      <c r="AX165" s="53" t="n">
        <v>0</v>
      </c>
      <c r="AY165" s="52" t="n">
        <v>9.99</v>
      </c>
      <c r="AZ165" s="52" t="n">
        <v>9.99</v>
      </c>
      <c r="BA165" s="52" t="n">
        <v>9.99</v>
      </c>
      <c r="BB165" s="52" t="n">
        <v>0</v>
      </c>
      <c r="BC165" s="51" t="n">
        <v>0</v>
      </c>
      <c r="BD165" s="51" t="n">
        <v>0</v>
      </c>
      <c r="BE165" s="51" t="n">
        <v>0</v>
      </c>
      <c r="BF165" s="51" t="n">
        <v>0</v>
      </c>
    </row>
    <row r="166">
      <c r="A166">
        <f>HYPERLINK("https://www.walmart.com/ip/166343585", "166343585")</f>
        <v/>
      </c>
      <c r="B166" t="inlineStr">
        <is>
          <t>Terra Women's Reversible Sun Hat - UPF 50+, Floppy Hat for Summer Beach and Hiking, Foldable Wide Brim Cap</t>
        </is>
      </c>
      <c r="C166" t="inlineStr">
        <is>
          <t>TERRACAP-F069-RED</t>
        </is>
      </c>
      <c r="D166" t="inlineStr">
        <is>
          <t>Hats</t>
        </is>
      </c>
      <c r="E166" t="inlineStr">
        <is>
          <t>Terra</t>
        </is>
      </c>
      <c r="F166" t="inlineStr">
        <is>
          <t>Q2-Target,Hats,Batch 1 - TR</t>
        </is>
      </c>
      <c r="G166" s="48" t="n">
        <v>9.99</v>
      </c>
      <c r="H166" s="48" t="n">
        <v>0</v>
      </c>
      <c r="I166" s="48" t="n">
        <v>0</v>
      </c>
      <c r="J166" s="48" t="n">
        <v>0</v>
      </c>
      <c r="K166" s="49" t="n">
        <v>1</v>
      </c>
      <c r="L166" s="49" t="n">
        <v>0</v>
      </c>
      <c r="M166" s="49" t="n">
        <v>0</v>
      </c>
      <c r="N166" s="49" t="n">
        <v>0</v>
      </c>
      <c r="O166" s="49" t="n">
        <v>0</v>
      </c>
      <c r="P166" s="49" t="n">
        <v>0</v>
      </c>
      <c r="Q166" s="49" t="n">
        <v>0</v>
      </c>
      <c r="R166" s="49" t="n">
        <v>0</v>
      </c>
      <c r="S166" s="50" t="n">
        <v>0</v>
      </c>
      <c r="T166" s="50" t="n">
        <v>0</v>
      </c>
      <c r="U166" s="50" t="n">
        <v>0</v>
      </c>
      <c r="V166" s="50" t="n">
        <v>0</v>
      </c>
      <c r="W166" s="51" t="n">
        <v>0</v>
      </c>
      <c r="X166" s="51" t="n">
        <v>0</v>
      </c>
      <c r="Y166" s="51" t="n">
        <v>0</v>
      </c>
      <c r="Z166" s="51" t="n">
        <v>0</v>
      </c>
      <c r="AA166" s="52" t="n">
        <v>0</v>
      </c>
      <c r="AB166" s="52" t="n">
        <v>0</v>
      </c>
      <c r="AC166" s="52" t="n">
        <v>0</v>
      </c>
      <c r="AD166" s="52" t="n">
        <v>0</v>
      </c>
      <c r="AE166" s="52" t="n">
        <v>0</v>
      </c>
      <c r="AF166" s="52" t="n">
        <v>0</v>
      </c>
      <c r="AG166" s="52" t="n">
        <v>0</v>
      </c>
      <c r="AH166" s="52" t="n">
        <v>0</v>
      </c>
      <c r="AI166" s="52" t="n">
        <v>0</v>
      </c>
      <c r="AJ166" s="52" t="n">
        <v>0</v>
      </c>
      <c r="AK166" s="52" t="n">
        <v>0</v>
      </c>
      <c r="AL166" s="52" t="n">
        <v>0</v>
      </c>
      <c r="AM166" s="53" t="n">
        <v>0</v>
      </c>
      <c r="AN166" s="53" t="n">
        <v>0</v>
      </c>
      <c r="AO166" s="53" t="n">
        <v>0</v>
      </c>
      <c r="AP166" s="53" t="n">
        <v>0</v>
      </c>
      <c r="AQ166" s="52" t="n">
        <v>0</v>
      </c>
      <c r="AR166" s="52" t="n">
        <v>0</v>
      </c>
      <c r="AS166" s="52" t="n">
        <v>0</v>
      </c>
      <c r="AT166" s="52" t="n">
        <v>0</v>
      </c>
      <c r="AU166" s="53" t="n">
        <v>0</v>
      </c>
      <c r="AV166" s="53" t="n">
        <v>0</v>
      </c>
      <c r="AW166" s="53" t="n">
        <v>0</v>
      </c>
      <c r="AX166" s="53" t="n">
        <v>0</v>
      </c>
      <c r="AY166" s="52" t="n">
        <v>9.99</v>
      </c>
      <c r="AZ166" s="52" t="n">
        <v>0</v>
      </c>
      <c r="BA166" s="52" t="n">
        <v>0</v>
      </c>
      <c r="BB166" s="52" t="n">
        <v>0</v>
      </c>
      <c r="BC166" s="51" t="n">
        <v>0</v>
      </c>
      <c r="BD166" s="51" t="n">
        <v>0</v>
      </c>
      <c r="BE166" s="51" t="n">
        <v>0</v>
      </c>
      <c r="BF166" s="51" t="n">
        <v>0</v>
      </c>
    </row>
    <row r="167">
      <c r="A167">
        <f>HYPERLINK("https://www.walmart.com/ip/3686611392", "3686611392")</f>
        <v/>
      </c>
      <c r="B167" t="inlineStr">
        <is>
          <t>Tirrinia Lunch Bag for Women, Men and Kids, Cute Insulated Lunch Tote Bag, Reusable Large Cooler Lunch Bag for School, Work, Office, Picnic, 10 Cans, Medium, Blue Stripe</t>
        </is>
      </c>
      <c r="C167" t="inlineStr">
        <is>
          <t>1WMLB706BLSTR</t>
        </is>
      </c>
      <c r="D167" t="inlineStr">
        <is>
          <t>Reusable Lunch Bags &amp; Boxes</t>
        </is>
      </c>
      <c r="E167" t="inlineStr">
        <is>
          <t>Tirrinia</t>
        </is>
      </c>
      <c r="F167" t="inlineStr">
        <is>
          <t>Q2-Target,Brand Camp VD</t>
        </is>
      </c>
      <c r="G167" s="48" t="n">
        <v>9.99</v>
      </c>
      <c r="H167" s="48" t="n">
        <v>9.99</v>
      </c>
      <c r="I167" s="48" t="n">
        <v>59.94</v>
      </c>
      <c r="J167" s="48" t="n">
        <v>9.99</v>
      </c>
      <c r="K167" s="49" t="n">
        <v>1</v>
      </c>
      <c r="L167" s="49" t="n">
        <v>1</v>
      </c>
      <c r="M167" s="49" t="n">
        <v>6</v>
      </c>
      <c r="N167" s="49" t="n">
        <v>1</v>
      </c>
      <c r="O167" s="49" t="n">
        <v>21</v>
      </c>
      <c r="P167" s="49" t="n">
        <v>16</v>
      </c>
      <c r="Q167" s="49" t="n">
        <v>16</v>
      </c>
      <c r="R167" s="49" t="n">
        <v>27</v>
      </c>
      <c r="S167" s="50" t="n">
        <v>0.04761904761904762</v>
      </c>
      <c r="T167" s="50" t="n">
        <v>0.0625</v>
      </c>
      <c r="U167" s="50" t="n">
        <v>0.375</v>
      </c>
      <c r="V167" s="50" t="n">
        <v>0.03703703703703703</v>
      </c>
      <c r="W167" s="51" t="n">
        <v>0</v>
      </c>
      <c r="X167" s="51" t="n">
        <v>0</v>
      </c>
      <c r="Y167" s="51" t="n">
        <v>0</v>
      </c>
      <c r="Z167" s="51" t="n">
        <v>0</v>
      </c>
      <c r="AA167" s="52" t="n">
        <v>0</v>
      </c>
      <c r="AB167" s="52" t="n">
        <v>0</v>
      </c>
      <c r="AC167" s="52" t="n">
        <v>0</v>
      </c>
      <c r="AD167" s="52" t="n">
        <v>0</v>
      </c>
      <c r="AE167" s="52" t="n">
        <v>0</v>
      </c>
      <c r="AF167" s="52" t="n">
        <v>0</v>
      </c>
      <c r="AG167" s="52" t="n">
        <v>0</v>
      </c>
      <c r="AH167" s="52" t="n">
        <v>0</v>
      </c>
      <c r="AI167" s="52" t="n">
        <v>0</v>
      </c>
      <c r="AJ167" s="52" t="n">
        <v>0</v>
      </c>
      <c r="AK167" s="52" t="n">
        <v>0</v>
      </c>
      <c r="AL167" s="52" t="n">
        <v>0</v>
      </c>
      <c r="AM167" s="53" t="n">
        <v>0</v>
      </c>
      <c r="AN167" s="53" t="n">
        <v>0</v>
      </c>
      <c r="AO167" s="53" t="n">
        <v>0</v>
      </c>
      <c r="AP167" s="53" t="n">
        <v>0</v>
      </c>
      <c r="AQ167" s="52" t="n">
        <v>0</v>
      </c>
      <c r="AR167" s="52" t="n">
        <v>0</v>
      </c>
      <c r="AS167" s="52" t="n">
        <v>0</v>
      </c>
      <c r="AT167" s="52" t="n">
        <v>0</v>
      </c>
      <c r="AU167" s="53" t="n">
        <v>0</v>
      </c>
      <c r="AV167" s="53" t="n">
        <v>0</v>
      </c>
      <c r="AW167" s="53" t="n">
        <v>0</v>
      </c>
      <c r="AX167" s="53" t="n">
        <v>0</v>
      </c>
      <c r="AY167" s="52" t="n">
        <v>9.99</v>
      </c>
      <c r="AZ167" s="52" t="n">
        <v>9.99</v>
      </c>
      <c r="BA167" s="52" t="n">
        <v>9.99</v>
      </c>
      <c r="BB167" s="52" t="n">
        <v>9.99</v>
      </c>
      <c r="BC167" s="51" t="n">
        <v>0</v>
      </c>
      <c r="BD167" s="51" t="n">
        <v>0</v>
      </c>
      <c r="BE167" s="51" t="n">
        <v>0</v>
      </c>
      <c r="BF167" s="51" t="n">
        <v>0</v>
      </c>
    </row>
    <row r="168">
      <c r="A168">
        <f>HYPERLINK("https://www.walmart.com/ip/383430144", "383430144")</f>
        <v/>
      </c>
      <c r="B168" t="inlineStr">
        <is>
          <t>Summer Outdoor UV Protection Sun Hats Unisex Caps Wide Brim Removable Crown Mesh Net Adjustable Drawstring</t>
        </is>
      </c>
      <c r="C168" t="inlineStr">
        <is>
          <t>1TRSH895NV-TBCB</t>
        </is>
      </c>
      <c r="D168" t="inlineStr">
        <is>
          <t>Hats</t>
        </is>
      </c>
      <c r="E168" t="inlineStr">
        <is>
          <t>Tirrinia</t>
        </is>
      </c>
      <c r="F168" t="inlineStr">
        <is>
          <t>Hats,Batch 1 - TR</t>
        </is>
      </c>
      <c r="G168" s="48" t="n">
        <v>9.99</v>
      </c>
      <c r="H168" s="48" t="n">
        <v>0</v>
      </c>
      <c r="I168" s="48" t="n">
        <v>0</v>
      </c>
      <c r="J168" s="48" t="n">
        <v>0</v>
      </c>
      <c r="K168" s="49" t="n">
        <v>1</v>
      </c>
      <c r="L168" s="49" t="n">
        <v>0</v>
      </c>
      <c r="M168" s="49" t="n">
        <v>0</v>
      </c>
      <c r="N168" s="49" t="n">
        <v>0</v>
      </c>
      <c r="O168" s="49" t="n">
        <v>0</v>
      </c>
      <c r="P168" s="49" t="n">
        <v>0</v>
      </c>
      <c r="Q168" s="49" t="n">
        <v>0</v>
      </c>
      <c r="R168" s="49" t="n">
        <v>0</v>
      </c>
      <c r="S168" s="50" t="n">
        <v>0</v>
      </c>
      <c r="T168" s="50" t="n">
        <v>0</v>
      </c>
      <c r="U168" s="50" t="n">
        <v>0</v>
      </c>
      <c r="V168" s="50" t="n">
        <v>0</v>
      </c>
      <c r="W168" s="51" t="n">
        <v>0</v>
      </c>
      <c r="X168" s="51" t="n">
        <v>0</v>
      </c>
      <c r="Y168" s="51" t="n">
        <v>0</v>
      </c>
      <c r="Z168" s="51" t="n">
        <v>0</v>
      </c>
      <c r="AA168" s="52" t="n">
        <v>0</v>
      </c>
      <c r="AB168" s="52" t="n">
        <v>0</v>
      </c>
      <c r="AC168" s="52" t="n">
        <v>0</v>
      </c>
      <c r="AD168" s="52" t="n">
        <v>0</v>
      </c>
      <c r="AE168" s="52" t="n">
        <v>0</v>
      </c>
      <c r="AF168" s="52" t="n">
        <v>0</v>
      </c>
      <c r="AG168" s="52" t="n">
        <v>0</v>
      </c>
      <c r="AH168" s="52" t="n">
        <v>0</v>
      </c>
      <c r="AI168" s="52" t="n">
        <v>0</v>
      </c>
      <c r="AJ168" s="52" t="n">
        <v>0</v>
      </c>
      <c r="AK168" s="52" t="n">
        <v>0</v>
      </c>
      <c r="AL168" s="52" t="n">
        <v>0</v>
      </c>
      <c r="AM168" s="53" t="n">
        <v>0</v>
      </c>
      <c r="AN168" s="53" t="n">
        <v>0</v>
      </c>
      <c r="AO168" s="53" t="n">
        <v>0</v>
      </c>
      <c r="AP168" s="53" t="n">
        <v>0</v>
      </c>
      <c r="AQ168" s="52" t="n">
        <v>0</v>
      </c>
      <c r="AR168" s="52" t="n">
        <v>0</v>
      </c>
      <c r="AS168" s="52" t="n">
        <v>0</v>
      </c>
      <c r="AT168" s="52" t="n">
        <v>0</v>
      </c>
      <c r="AU168" s="53" t="n">
        <v>0</v>
      </c>
      <c r="AV168" s="53" t="n">
        <v>0</v>
      </c>
      <c r="AW168" s="53" t="n">
        <v>0</v>
      </c>
      <c r="AX168" s="53" t="n">
        <v>0</v>
      </c>
      <c r="AY168" s="52" t="n">
        <v>9.99</v>
      </c>
      <c r="AZ168" s="52" t="n">
        <v>0</v>
      </c>
      <c r="BA168" s="52" t="n">
        <v>0</v>
      </c>
      <c r="BB168" s="52" t="n">
        <v>0</v>
      </c>
      <c r="BC168" s="51" t="n">
        <v>0</v>
      </c>
      <c r="BD168" s="51" t="n">
        <v>0</v>
      </c>
      <c r="BE168" s="51" t="n">
        <v>0</v>
      </c>
      <c r="BF168" s="51" t="n">
        <v>0</v>
      </c>
    </row>
    <row r="169">
      <c r="A169">
        <f>HYPERLINK("https://www.walmart.com/ip/671647846", "671647846")</f>
        <v/>
      </c>
      <c r="B169" t="inlineStr">
        <is>
          <t>Sun Blocker Sun Hat for women, Canvas Reversible Bucket Hat, UV Sun Protection UPF 50+, Double Sided Outdoor Safari Travel Beach Golf Cap, Pink Flower</t>
        </is>
      </c>
      <c r="C169" t="inlineStr">
        <is>
          <t>KC-S9200FLW-PK</t>
        </is>
      </c>
      <c r="D169" t="inlineStr">
        <is>
          <t>Hats</t>
        </is>
      </c>
      <c r="E169" t="inlineStr">
        <is>
          <t>Sun Blocker</t>
        </is>
      </c>
      <c r="F169" t="inlineStr">
        <is>
          <t>Batch 1 - TR</t>
        </is>
      </c>
      <c r="G169" s="48" t="n">
        <v>9.99</v>
      </c>
      <c r="H169" s="48" t="n">
        <v>-9.99</v>
      </c>
      <c r="I169" s="48" t="n">
        <v>9.99</v>
      </c>
      <c r="J169" s="48" t="n">
        <v>0</v>
      </c>
      <c r="K169" s="49" t="n">
        <v>1</v>
      </c>
      <c r="L169" s="49" t="n">
        <v>-1</v>
      </c>
      <c r="M169" s="49" t="n">
        <v>1</v>
      </c>
      <c r="N169" s="49" t="n">
        <v>0</v>
      </c>
      <c r="O169" s="49" t="n">
        <v>12</v>
      </c>
      <c r="P169" s="49" t="n">
        <v>0</v>
      </c>
      <c r="Q169" s="49" t="n">
        <v>0</v>
      </c>
      <c r="R169" s="49" t="n">
        <v>0</v>
      </c>
      <c r="S169" s="50" t="n">
        <v>0.08333333333333333</v>
      </c>
      <c r="T169" s="50" t="n">
        <v>0</v>
      </c>
      <c r="U169" s="50" t="n">
        <v>0</v>
      </c>
      <c r="V169" s="50" t="n">
        <v>0</v>
      </c>
      <c r="W169" s="51" t="n">
        <v>33</v>
      </c>
      <c r="X169" s="51" t="n">
        <v>0</v>
      </c>
      <c r="Y169" s="51" t="n">
        <v>0</v>
      </c>
      <c r="Z169" s="51" t="n">
        <v>0</v>
      </c>
      <c r="AA169" s="52" t="n">
        <v>10.11</v>
      </c>
      <c r="AB169" s="52" t="n">
        <v>0</v>
      </c>
      <c r="AC169" s="52" t="n">
        <v>0</v>
      </c>
      <c r="AD169" s="52" t="n">
        <v>0</v>
      </c>
      <c r="AE169" s="52" t="n">
        <v>19.98</v>
      </c>
      <c r="AF169" s="52" t="n">
        <v>0</v>
      </c>
      <c r="AG169" s="52" t="n">
        <v>0</v>
      </c>
      <c r="AH169" s="52" t="n">
        <v>0</v>
      </c>
      <c r="AI169" s="52" t="n">
        <v>1.98</v>
      </c>
      <c r="AJ169" s="52" t="n">
        <v>0</v>
      </c>
      <c r="AK169" s="52" t="n">
        <v>0</v>
      </c>
      <c r="AL169" s="52" t="n">
        <v>0</v>
      </c>
      <c r="AM169" s="53" t="n">
        <v>0.003</v>
      </c>
      <c r="AN169" s="53" t="n">
        <v>0</v>
      </c>
      <c r="AO169" s="53" t="n">
        <v>0</v>
      </c>
      <c r="AP169" s="53" t="n">
        <v>0</v>
      </c>
      <c r="AQ169" s="52" t="n">
        <v>0.3063636363636364</v>
      </c>
      <c r="AR169" s="52" t="n">
        <v>0</v>
      </c>
      <c r="AS169" s="52" t="n">
        <v>0</v>
      </c>
      <c r="AT169" s="52" t="n">
        <v>0</v>
      </c>
      <c r="AU169" s="53" t="n">
        <v>1.012012012012012</v>
      </c>
      <c r="AV169" s="53" t="n">
        <v>0</v>
      </c>
      <c r="AW169" s="53" t="n">
        <v>0</v>
      </c>
      <c r="AX169" s="53" t="n">
        <v>0</v>
      </c>
      <c r="AY169" s="52" t="n">
        <v>9.99</v>
      </c>
      <c r="AZ169" s="52" t="n">
        <v>0</v>
      </c>
      <c r="BA169" s="52" t="n">
        <v>9.99</v>
      </c>
      <c r="BB169" s="52" t="n">
        <v>0</v>
      </c>
      <c r="BC169" s="51" t="n">
        <v>10982</v>
      </c>
      <c r="BD169" s="51" t="n">
        <v>0</v>
      </c>
      <c r="BE169" s="51" t="n">
        <v>0</v>
      </c>
      <c r="BF169" s="51" t="n">
        <v>0</v>
      </c>
    </row>
    <row r="170">
      <c r="A170">
        <f>HYPERLINK("https://www.walmart.com/ip/364605040", "364605040")</f>
        <v/>
      </c>
      <c r="B170" t="inlineStr">
        <is>
          <t>Terra Outdoor Summer Sun Hat for Women, UPF 50+ Fold Up Wide Brim Bucket Hat, Green</t>
        </is>
      </c>
      <c r="C170" t="inlineStr">
        <is>
          <t>TERRACAP-F057-GRN</t>
        </is>
      </c>
      <c r="D170" t="inlineStr">
        <is>
          <t>Hats</t>
        </is>
      </c>
      <c r="E170" t="inlineStr">
        <is>
          <t>Terra</t>
        </is>
      </c>
      <c r="F170" t="inlineStr">
        <is>
          <t>Hats,ST Patrick Day</t>
        </is>
      </c>
      <c r="G170" s="48" t="n">
        <v>7.99</v>
      </c>
      <c r="H170" s="48" t="n">
        <v>7.99</v>
      </c>
      <c r="I170" s="48" t="n">
        <v>0</v>
      </c>
      <c r="J170" s="48" t="n">
        <v>0</v>
      </c>
      <c r="K170" s="49" t="n">
        <v>1</v>
      </c>
      <c r="L170" s="49" t="n">
        <v>1</v>
      </c>
      <c r="M170" s="49" t="n">
        <v>0</v>
      </c>
      <c r="N170" s="49" t="n">
        <v>0</v>
      </c>
      <c r="O170" s="49" t="n">
        <v>4</v>
      </c>
      <c r="P170" s="49" t="n">
        <v>0</v>
      </c>
      <c r="Q170" s="49" t="n">
        <v>0</v>
      </c>
      <c r="R170" s="49" t="n">
        <v>0</v>
      </c>
      <c r="S170" s="50" t="n">
        <v>0.25</v>
      </c>
      <c r="T170" s="50" t="n">
        <v>0</v>
      </c>
      <c r="U170" s="50" t="n">
        <v>0</v>
      </c>
      <c r="V170" s="50" t="n">
        <v>0</v>
      </c>
      <c r="W170" s="51" t="n">
        <v>0</v>
      </c>
      <c r="X170" s="51" t="n">
        <v>0</v>
      </c>
      <c r="Y170" s="51" t="n">
        <v>0</v>
      </c>
      <c r="Z170" s="51" t="n">
        <v>0</v>
      </c>
      <c r="AA170" s="52" t="n">
        <v>0</v>
      </c>
      <c r="AB170" s="52" t="n">
        <v>0</v>
      </c>
      <c r="AC170" s="52" t="n">
        <v>0</v>
      </c>
      <c r="AD170" s="52" t="n">
        <v>0</v>
      </c>
      <c r="AE170" s="52" t="n">
        <v>0</v>
      </c>
      <c r="AF170" s="52" t="n">
        <v>0</v>
      </c>
      <c r="AG170" s="52" t="n">
        <v>0</v>
      </c>
      <c r="AH170" s="52" t="n">
        <v>0</v>
      </c>
      <c r="AI170" s="52" t="n">
        <v>0</v>
      </c>
      <c r="AJ170" s="52" t="n">
        <v>0</v>
      </c>
      <c r="AK170" s="52" t="n">
        <v>0</v>
      </c>
      <c r="AL170" s="52" t="n">
        <v>0</v>
      </c>
      <c r="AM170" s="53" t="n">
        <v>0</v>
      </c>
      <c r="AN170" s="53" t="n">
        <v>0</v>
      </c>
      <c r="AO170" s="53" t="n">
        <v>0</v>
      </c>
      <c r="AP170" s="53" t="n">
        <v>0</v>
      </c>
      <c r="AQ170" s="52" t="n">
        <v>0</v>
      </c>
      <c r="AR170" s="52" t="n">
        <v>0</v>
      </c>
      <c r="AS170" s="52" t="n">
        <v>0</v>
      </c>
      <c r="AT170" s="52" t="n">
        <v>0</v>
      </c>
      <c r="AU170" s="53" t="n">
        <v>0</v>
      </c>
      <c r="AV170" s="53" t="n">
        <v>0</v>
      </c>
      <c r="AW170" s="53" t="n">
        <v>0</v>
      </c>
      <c r="AX170" s="53" t="n">
        <v>0</v>
      </c>
      <c r="AY170" s="52" t="n">
        <v>7.99</v>
      </c>
      <c r="AZ170" s="52" t="n">
        <v>7.99</v>
      </c>
      <c r="BA170" s="52" t="n">
        <v>0</v>
      </c>
      <c r="BB170" s="52" t="n">
        <v>0</v>
      </c>
      <c r="BC170" s="51" t="n">
        <v>0</v>
      </c>
      <c r="BD170" s="51" t="n">
        <v>0</v>
      </c>
      <c r="BE170" s="51" t="n">
        <v>0</v>
      </c>
      <c r="BF170" s="51" t="n">
        <v>0</v>
      </c>
    </row>
    <row r="171">
      <c r="A171">
        <f>HYPERLINK("https://www.walmart.com/ip/541525796", "541525796")</f>
        <v/>
      </c>
      <c r="B171" t="inlineStr">
        <is>
          <t>Terra Sun Hat for Women Summer Beach UPF 50+ Wide Brim Bucket, Beige</t>
        </is>
      </c>
      <c r="C171" t="inlineStr">
        <is>
          <t>TERRACAP-F065-BEI</t>
        </is>
      </c>
      <c r="D171" t="inlineStr">
        <is>
          <t>Hats</t>
        </is>
      </c>
      <c r="E171" t="inlineStr">
        <is>
          <t>Terra</t>
        </is>
      </c>
      <c r="F171" t="inlineStr">
        <is>
          <t>Optimized</t>
        </is>
      </c>
      <c r="G171" s="48" t="n">
        <v>7.99</v>
      </c>
      <c r="H171" s="48" t="n">
        <v>0</v>
      </c>
      <c r="I171" s="48" t="n">
        <v>0</v>
      </c>
      <c r="J171" s="48" t="n">
        <v>0</v>
      </c>
      <c r="K171" s="49" t="n">
        <v>1</v>
      </c>
      <c r="L171" s="49" t="n">
        <v>0</v>
      </c>
      <c r="M171" s="49" t="n">
        <v>0</v>
      </c>
      <c r="N171" s="49" t="n">
        <v>0</v>
      </c>
      <c r="O171" s="49" t="n">
        <v>0</v>
      </c>
      <c r="P171" s="49" t="n">
        <v>0</v>
      </c>
      <c r="Q171" s="49" t="n">
        <v>0</v>
      </c>
      <c r="R171" s="49" t="n">
        <v>0</v>
      </c>
      <c r="S171" s="50" t="n">
        <v>0</v>
      </c>
      <c r="T171" s="50" t="n">
        <v>0</v>
      </c>
      <c r="U171" s="50" t="n">
        <v>0</v>
      </c>
      <c r="V171" s="50" t="n">
        <v>0</v>
      </c>
      <c r="W171" s="51" t="n">
        <v>0</v>
      </c>
      <c r="X171" s="51" t="n">
        <v>0</v>
      </c>
      <c r="Y171" s="51" t="n">
        <v>0</v>
      </c>
      <c r="Z171" s="51" t="n">
        <v>0</v>
      </c>
      <c r="AA171" s="52" t="n">
        <v>0</v>
      </c>
      <c r="AB171" s="52" t="n">
        <v>0</v>
      </c>
      <c r="AC171" s="52" t="n">
        <v>0</v>
      </c>
      <c r="AD171" s="52" t="n">
        <v>0</v>
      </c>
      <c r="AE171" s="52" t="n">
        <v>0</v>
      </c>
      <c r="AF171" s="52" t="n">
        <v>0</v>
      </c>
      <c r="AG171" s="52" t="n">
        <v>0</v>
      </c>
      <c r="AH171" s="52" t="n">
        <v>0</v>
      </c>
      <c r="AI171" s="52" t="n">
        <v>0</v>
      </c>
      <c r="AJ171" s="52" t="n">
        <v>0</v>
      </c>
      <c r="AK171" s="52" t="n">
        <v>0</v>
      </c>
      <c r="AL171" s="52" t="n">
        <v>0</v>
      </c>
      <c r="AM171" s="53" t="n">
        <v>0</v>
      </c>
      <c r="AN171" s="53" t="n">
        <v>0</v>
      </c>
      <c r="AO171" s="53" t="n">
        <v>0</v>
      </c>
      <c r="AP171" s="53" t="n">
        <v>0</v>
      </c>
      <c r="AQ171" s="52" t="n">
        <v>0</v>
      </c>
      <c r="AR171" s="52" t="n">
        <v>0</v>
      </c>
      <c r="AS171" s="52" t="n">
        <v>0</v>
      </c>
      <c r="AT171" s="52" t="n">
        <v>0</v>
      </c>
      <c r="AU171" s="53" t="n">
        <v>0</v>
      </c>
      <c r="AV171" s="53" t="n">
        <v>0</v>
      </c>
      <c r="AW171" s="53" t="n">
        <v>0</v>
      </c>
      <c r="AX171" s="53" t="n">
        <v>0</v>
      </c>
      <c r="AY171" s="52" t="n">
        <v>7.99</v>
      </c>
      <c r="AZ171" s="52" t="n">
        <v>0</v>
      </c>
      <c r="BA171" s="52" t="n">
        <v>0</v>
      </c>
      <c r="BB171" s="52" t="n">
        <v>0</v>
      </c>
      <c r="BC171" s="51" t="n">
        <v>0</v>
      </c>
      <c r="BD171" s="51" t="n">
        <v>0</v>
      </c>
      <c r="BE171" s="51" t="n">
        <v>0</v>
      </c>
      <c r="BF171" s="51" t="n">
        <v>0</v>
      </c>
    </row>
    <row r="172">
      <c r="A172">
        <f>HYPERLINK("https://www.walmart.com/ip/188467913", "188467913")</f>
        <v/>
      </c>
      <c r="B172" t="inlineStr">
        <is>
          <t>Terra Sun Hat for Women Summer Beach UPF 50+ Wide Brim Bucket, Tan Zebra</t>
        </is>
      </c>
      <c r="C172" t="inlineStr">
        <is>
          <t>TERRACAP-F065-TAN</t>
        </is>
      </c>
      <c r="D172" t="inlineStr">
        <is>
          <t>Hats</t>
        </is>
      </c>
      <c r="E172" t="inlineStr">
        <is>
          <t>Terra</t>
        </is>
      </c>
      <c r="F172" t="inlineStr">
        <is>
          <t>Optimized,Hats</t>
        </is>
      </c>
      <c r="G172" s="48" t="n">
        <v>7.99</v>
      </c>
      <c r="H172" s="48" t="n">
        <v>0</v>
      </c>
      <c r="I172" s="48" t="n">
        <v>0</v>
      </c>
      <c r="J172" s="48" t="n">
        <v>0</v>
      </c>
      <c r="K172" s="49" t="n">
        <v>1</v>
      </c>
      <c r="L172" s="49" t="n">
        <v>0</v>
      </c>
      <c r="M172" s="49" t="n">
        <v>0</v>
      </c>
      <c r="N172" s="49" t="n">
        <v>0</v>
      </c>
      <c r="O172" s="49" t="n">
        <v>0</v>
      </c>
      <c r="P172" s="49" t="n">
        <v>0</v>
      </c>
      <c r="Q172" s="49" t="n">
        <v>0</v>
      </c>
      <c r="R172" s="49" t="n">
        <v>0</v>
      </c>
      <c r="S172" s="50" t="n">
        <v>0</v>
      </c>
      <c r="T172" s="50" t="n">
        <v>0</v>
      </c>
      <c r="U172" s="50" t="n">
        <v>0</v>
      </c>
      <c r="V172" s="50" t="n">
        <v>0</v>
      </c>
      <c r="W172" s="51" t="n">
        <v>0</v>
      </c>
      <c r="X172" s="51" t="n">
        <v>0</v>
      </c>
      <c r="Y172" s="51" t="n">
        <v>0</v>
      </c>
      <c r="Z172" s="51" t="n">
        <v>0</v>
      </c>
      <c r="AA172" s="52" t="n">
        <v>0</v>
      </c>
      <c r="AB172" s="52" t="n">
        <v>0</v>
      </c>
      <c r="AC172" s="52" t="n">
        <v>0</v>
      </c>
      <c r="AD172" s="52" t="n">
        <v>0</v>
      </c>
      <c r="AE172" s="52" t="n">
        <v>0</v>
      </c>
      <c r="AF172" s="52" t="n">
        <v>0</v>
      </c>
      <c r="AG172" s="52" t="n">
        <v>0</v>
      </c>
      <c r="AH172" s="52" t="n">
        <v>0</v>
      </c>
      <c r="AI172" s="52" t="n">
        <v>0</v>
      </c>
      <c r="AJ172" s="52" t="n">
        <v>0</v>
      </c>
      <c r="AK172" s="52" t="n">
        <v>0</v>
      </c>
      <c r="AL172" s="52" t="n">
        <v>0</v>
      </c>
      <c r="AM172" s="53" t="n">
        <v>0</v>
      </c>
      <c r="AN172" s="53" t="n">
        <v>0</v>
      </c>
      <c r="AO172" s="53" t="n">
        <v>0</v>
      </c>
      <c r="AP172" s="53" t="n">
        <v>0</v>
      </c>
      <c r="AQ172" s="52" t="n">
        <v>0</v>
      </c>
      <c r="AR172" s="52" t="n">
        <v>0</v>
      </c>
      <c r="AS172" s="52" t="n">
        <v>0</v>
      </c>
      <c r="AT172" s="52" t="n">
        <v>0</v>
      </c>
      <c r="AU172" s="53" t="n">
        <v>0</v>
      </c>
      <c r="AV172" s="53" t="n">
        <v>0</v>
      </c>
      <c r="AW172" s="53" t="n">
        <v>0</v>
      </c>
      <c r="AX172" s="53" t="n">
        <v>0</v>
      </c>
      <c r="AY172" s="52" t="n">
        <v>7.99</v>
      </c>
      <c r="AZ172" s="52" t="n">
        <v>0</v>
      </c>
      <c r="BA172" s="52" t="n">
        <v>0</v>
      </c>
      <c r="BB172" s="52" t="n">
        <v>0</v>
      </c>
      <c r="BC172" s="51" t="n">
        <v>0</v>
      </c>
      <c r="BD172" s="51" t="n">
        <v>0</v>
      </c>
      <c r="BE172" s="51" t="n">
        <v>0</v>
      </c>
      <c r="BF172" s="51" t="n">
        <v>0</v>
      </c>
    </row>
    <row r="173">
      <c r="A173">
        <f>HYPERLINK("https://www.walmart.com/ip/158342906", "158342906")</f>
        <v/>
      </c>
      <c r="B173" t="inlineStr">
        <is>
          <t>JenniWears Women's Sexy Crotchless Suspender Pantyhose Stockings Black Sheer Socks</t>
        </is>
      </c>
      <c r="C173" t="inlineStr">
        <is>
          <t>JWBLSPH6001</t>
        </is>
      </c>
      <c r="D173" t="inlineStr">
        <is>
          <t>Pantyhose &amp; Tights</t>
        </is>
      </c>
      <c r="E173" t="inlineStr">
        <is>
          <t>JenniWears</t>
        </is>
      </c>
      <c r="F173" t="inlineStr">
        <is>
          <t>Optimized,Valentine</t>
        </is>
      </c>
      <c r="G173" s="48" t="n">
        <v>7.98</v>
      </c>
      <c r="H173" s="48" t="n">
        <v>0</v>
      </c>
      <c r="I173" s="48" t="n">
        <v>0</v>
      </c>
      <c r="J173" s="48" t="n">
        <v>0</v>
      </c>
      <c r="K173" s="49" t="n">
        <v>1</v>
      </c>
      <c r="L173" s="49" t="n">
        <v>0</v>
      </c>
      <c r="M173" s="49" t="n">
        <v>0</v>
      </c>
      <c r="N173" s="49" t="n">
        <v>0</v>
      </c>
      <c r="O173" s="49" t="n">
        <v>0</v>
      </c>
      <c r="P173" s="49" t="n">
        <v>0</v>
      </c>
      <c r="Q173" s="49" t="n">
        <v>0</v>
      </c>
      <c r="R173" s="49" t="n">
        <v>0</v>
      </c>
      <c r="S173" s="50" t="n">
        <v>0</v>
      </c>
      <c r="T173" s="50" t="n">
        <v>0</v>
      </c>
      <c r="U173" s="50" t="n">
        <v>0</v>
      </c>
      <c r="V173" s="50" t="n">
        <v>0</v>
      </c>
      <c r="W173" s="51" t="n">
        <v>0</v>
      </c>
      <c r="X173" s="51" t="n">
        <v>0</v>
      </c>
      <c r="Y173" s="51" t="n">
        <v>0</v>
      </c>
      <c r="Z173" s="51" t="n">
        <v>0</v>
      </c>
      <c r="AA173" s="52" t="n">
        <v>0</v>
      </c>
      <c r="AB173" s="52" t="n">
        <v>0</v>
      </c>
      <c r="AC173" s="52" t="n">
        <v>0</v>
      </c>
      <c r="AD173" s="52" t="n">
        <v>0</v>
      </c>
      <c r="AE173" s="52" t="n">
        <v>0</v>
      </c>
      <c r="AF173" s="52" t="n">
        <v>0</v>
      </c>
      <c r="AG173" s="52" t="n">
        <v>0</v>
      </c>
      <c r="AH173" s="52" t="n">
        <v>0</v>
      </c>
      <c r="AI173" s="52" t="n">
        <v>0</v>
      </c>
      <c r="AJ173" s="52" t="n">
        <v>0</v>
      </c>
      <c r="AK173" s="52" t="n">
        <v>0</v>
      </c>
      <c r="AL173" s="52" t="n">
        <v>0</v>
      </c>
      <c r="AM173" s="53" t="n">
        <v>0</v>
      </c>
      <c r="AN173" s="53" t="n">
        <v>0</v>
      </c>
      <c r="AO173" s="53" t="n">
        <v>0</v>
      </c>
      <c r="AP173" s="53" t="n">
        <v>0</v>
      </c>
      <c r="AQ173" s="52" t="n">
        <v>0</v>
      </c>
      <c r="AR173" s="52" t="n">
        <v>0</v>
      </c>
      <c r="AS173" s="52" t="n">
        <v>0</v>
      </c>
      <c r="AT173" s="52" t="n">
        <v>0</v>
      </c>
      <c r="AU173" s="53" t="n">
        <v>0</v>
      </c>
      <c r="AV173" s="53" t="n">
        <v>0</v>
      </c>
      <c r="AW173" s="53" t="n">
        <v>0</v>
      </c>
      <c r="AX173" s="53" t="n">
        <v>0</v>
      </c>
      <c r="AY173" s="52" t="n">
        <v>7.98</v>
      </c>
      <c r="AZ173" s="52" t="n">
        <v>0</v>
      </c>
      <c r="BA173" s="52" t="n">
        <v>0</v>
      </c>
      <c r="BB173" s="52" t="n">
        <v>0</v>
      </c>
      <c r="BC173" s="51" t="n">
        <v>0</v>
      </c>
      <c r="BD173" s="51" t="n">
        <v>0</v>
      </c>
      <c r="BE173" s="51" t="n">
        <v>0</v>
      </c>
      <c r="BF173" s="51" t="n">
        <v>0</v>
      </c>
    </row>
    <row r="174">
      <c r="A174">
        <f>HYPERLINK("https://www.walmart.com/ip/123766588", "123766588")</f>
        <v/>
      </c>
      <c r="B174" t="inlineStr">
        <is>
          <t>Terra Active Wrap- Stylish Running workout travel waist belt w/ hidden pocket</t>
        </is>
      </c>
      <c r="C174" t="inlineStr">
        <is>
          <t>TERRA-3PK-M</t>
        </is>
      </c>
      <c r="D174" t="inlineStr">
        <is>
          <t>Running Belts</t>
        </is>
      </c>
      <c r="E174" t="inlineStr">
        <is>
          <t>Terra</t>
        </is>
      </c>
      <c r="F174" t="inlineStr">
        <is>
          <t>Optimized</t>
        </is>
      </c>
      <c r="G174" s="48" t="n">
        <v>7.98</v>
      </c>
      <c r="H174" s="48" t="n">
        <v>0</v>
      </c>
      <c r="I174" s="48" t="n">
        <v>0</v>
      </c>
      <c r="J174" s="48" t="n">
        <v>0</v>
      </c>
      <c r="K174" s="49" t="n">
        <v>1</v>
      </c>
      <c r="L174" s="49" t="n">
        <v>0</v>
      </c>
      <c r="M174" s="49" t="n">
        <v>0</v>
      </c>
      <c r="N174" s="49" t="n">
        <v>0</v>
      </c>
      <c r="O174" s="49" t="n">
        <v>0</v>
      </c>
      <c r="P174" s="49" t="n">
        <v>0</v>
      </c>
      <c r="Q174" s="49" t="n">
        <v>0</v>
      </c>
      <c r="R174" s="49" t="n">
        <v>0</v>
      </c>
      <c r="S174" s="50" t="n">
        <v>0</v>
      </c>
      <c r="T174" s="50" t="n">
        <v>0</v>
      </c>
      <c r="U174" s="50" t="n">
        <v>0</v>
      </c>
      <c r="V174" s="50" t="n">
        <v>0</v>
      </c>
      <c r="W174" s="51" t="n">
        <v>0</v>
      </c>
      <c r="X174" s="51" t="n">
        <v>0</v>
      </c>
      <c r="Y174" s="51" t="n">
        <v>0</v>
      </c>
      <c r="Z174" s="51" t="n">
        <v>0</v>
      </c>
      <c r="AA174" s="52" t="n">
        <v>0</v>
      </c>
      <c r="AB174" s="52" t="n">
        <v>0</v>
      </c>
      <c r="AC174" s="52" t="n">
        <v>0</v>
      </c>
      <c r="AD174" s="52" t="n">
        <v>0</v>
      </c>
      <c r="AE174" s="52" t="n">
        <v>0</v>
      </c>
      <c r="AF174" s="52" t="n">
        <v>0</v>
      </c>
      <c r="AG174" s="52" t="n">
        <v>0</v>
      </c>
      <c r="AH174" s="52" t="n">
        <v>0</v>
      </c>
      <c r="AI174" s="52" t="n">
        <v>0</v>
      </c>
      <c r="AJ174" s="52" t="n">
        <v>0</v>
      </c>
      <c r="AK174" s="52" t="n">
        <v>0</v>
      </c>
      <c r="AL174" s="52" t="n">
        <v>0</v>
      </c>
      <c r="AM174" s="53" t="n">
        <v>0</v>
      </c>
      <c r="AN174" s="53" t="n">
        <v>0</v>
      </c>
      <c r="AO174" s="53" t="n">
        <v>0</v>
      </c>
      <c r="AP174" s="53" t="n">
        <v>0</v>
      </c>
      <c r="AQ174" s="52" t="n">
        <v>0</v>
      </c>
      <c r="AR174" s="52" t="n">
        <v>0</v>
      </c>
      <c r="AS174" s="52" t="n">
        <v>0</v>
      </c>
      <c r="AT174" s="52" t="n">
        <v>0</v>
      </c>
      <c r="AU174" s="53" t="n">
        <v>0</v>
      </c>
      <c r="AV174" s="53" t="n">
        <v>0</v>
      </c>
      <c r="AW174" s="53" t="n">
        <v>0</v>
      </c>
      <c r="AX174" s="53" t="n">
        <v>0</v>
      </c>
      <c r="AY174" s="52" t="n">
        <v>7.98</v>
      </c>
      <c r="AZ174" s="52" t="n">
        <v>0</v>
      </c>
      <c r="BA174" s="52" t="n">
        <v>0</v>
      </c>
      <c r="BB174" s="52" t="n">
        <v>0</v>
      </c>
      <c r="BC174" s="51" t="n">
        <v>0</v>
      </c>
      <c r="BD174" s="51" t="n">
        <v>0</v>
      </c>
      <c r="BE174" s="51" t="n">
        <v>0</v>
      </c>
      <c r="BF174" s="51" t="n">
        <v>0</v>
      </c>
    </row>
    <row r="175">
      <c r="A175">
        <f>HYPERLINK("https://www.walmart.com/ip/748370321", "748370321")</f>
        <v/>
      </c>
      <c r="B175" t="inlineStr">
        <is>
          <t>Tirrinia Insulated Wine Tumbler, Rose Gold</t>
        </is>
      </c>
      <c r="C175" t="inlineStr">
        <is>
          <t>1TRWT120RG</t>
        </is>
      </c>
      <c r="D175" t="inlineStr">
        <is>
          <t>Tumblers</t>
        </is>
      </c>
      <c r="E175" t="inlineStr">
        <is>
          <t>Tirrinia</t>
        </is>
      </c>
      <c r="F175" t="inlineStr">
        <is>
          <t>Wine,Christmas,Optimized,Valentine</t>
        </is>
      </c>
      <c r="G175" s="48" t="n">
        <v>7.98</v>
      </c>
      <c r="H175" s="48" t="n">
        <v>7.98</v>
      </c>
      <c r="I175" s="48" t="n">
        <v>7.98</v>
      </c>
      <c r="J175" s="48" t="n">
        <v>0</v>
      </c>
      <c r="K175" s="49" t="n">
        <v>1</v>
      </c>
      <c r="L175" s="49" t="n">
        <v>1</v>
      </c>
      <c r="M175" s="49" t="n">
        <v>1</v>
      </c>
      <c r="N175" s="49" t="n">
        <v>0</v>
      </c>
      <c r="O175" s="49" t="n">
        <v>5</v>
      </c>
      <c r="P175" s="49" t="n">
        <v>6</v>
      </c>
      <c r="Q175" s="49" t="n">
        <v>0</v>
      </c>
      <c r="R175" s="49" t="n">
        <v>0</v>
      </c>
      <c r="S175" s="50" t="n">
        <v>0.2</v>
      </c>
      <c r="T175" s="50" t="n">
        <v>0.1666666666666667</v>
      </c>
      <c r="U175" s="50" t="n">
        <v>0</v>
      </c>
      <c r="V175" s="50" t="n">
        <v>0</v>
      </c>
      <c r="W175" s="51" t="n">
        <v>0</v>
      </c>
      <c r="X175" s="51" t="n">
        <v>0</v>
      </c>
      <c r="Y175" s="51" t="n">
        <v>0</v>
      </c>
      <c r="Z175" s="51" t="n">
        <v>0</v>
      </c>
      <c r="AA175" s="52" t="n">
        <v>0</v>
      </c>
      <c r="AB175" s="52" t="n">
        <v>0</v>
      </c>
      <c r="AC175" s="52" t="n">
        <v>0</v>
      </c>
      <c r="AD175" s="52" t="n">
        <v>0</v>
      </c>
      <c r="AE175" s="52" t="n">
        <v>0</v>
      </c>
      <c r="AF175" s="52" t="n">
        <v>0</v>
      </c>
      <c r="AG175" s="52" t="n">
        <v>0</v>
      </c>
      <c r="AH175" s="52" t="n">
        <v>0</v>
      </c>
      <c r="AI175" s="52" t="n">
        <v>0</v>
      </c>
      <c r="AJ175" s="52" t="n">
        <v>0</v>
      </c>
      <c r="AK175" s="52" t="n">
        <v>0</v>
      </c>
      <c r="AL175" s="52" t="n">
        <v>0</v>
      </c>
      <c r="AM175" s="53" t="n">
        <v>0</v>
      </c>
      <c r="AN175" s="53" t="n">
        <v>0</v>
      </c>
      <c r="AO175" s="53" t="n">
        <v>0</v>
      </c>
      <c r="AP175" s="53" t="n">
        <v>0</v>
      </c>
      <c r="AQ175" s="52" t="n">
        <v>0</v>
      </c>
      <c r="AR175" s="52" t="n">
        <v>0</v>
      </c>
      <c r="AS175" s="52" t="n">
        <v>0</v>
      </c>
      <c r="AT175" s="52" t="n">
        <v>0</v>
      </c>
      <c r="AU175" s="53" t="n">
        <v>0</v>
      </c>
      <c r="AV175" s="53" t="n">
        <v>0</v>
      </c>
      <c r="AW175" s="53" t="n">
        <v>0</v>
      </c>
      <c r="AX175" s="53" t="n">
        <v>0</v>
      </c>
      <c r="AY175" s="52" t="n">
        <v>7.98</v>
      </c>
      <c r="AZ175" s="52" t="n">
        <v>7.98</v>
      </c>
      <c r="BA175" s="52" t="n">
        <v>7.98</v>
      </c>
      <c r="BB175" s="52" t="n">
        <v>0</v>
      </c>
      <c r="BC175" s="51" t="n">
        <v>0</v>
      </c>
      <c r="BD175" s="51" t="n">
        <v>0</v>
      </c>
      <c r="BE175" s="51" t="n">
        <v>0</v>
      </c>
      <c r="BF175" s="51" t="n">
        <v>0</v>
      </c>
    </row>
    <row r="176">
      <c r="A176">
        <f>HYPERLINK("https://www.walmart.com/ip/311195176", "311195176")</f>
        <v/>
      </c>
      <c r="B176" t="inlineStr">
        <is>
          <t>100% Polar Fleece Skull Cap Warm and Cozy Beanie</t>
        </is>
      </c>
      <c r="C176" t="inlineStr">
        <is>
          <t>1SLW1810BK-FSCB</t>
        </is>
      </c>
      <c r="D176" t="inlineStr">
        <is>
          <t>Hats</t>
        </is>
      </c>
      <c r="E176" t="inlineStr">
        <is>
          <t>Solaris</t>
        </is>
      </c>
      <c r="F176" t="inlineStr">
        <is>
          <t>Optimized</t>
        </is>
      </c>
      <c r="G176" s="48" t="n">
        <v>5.98</v>
      </c>
      <c r="H176" s="48" t="n">
        <v>0</v>
      </c>
      <c r="I176" s="48" t="n">
        <v>0</v>
      </c>
      <c r="J176" s="48" t="n">
        <v>0</v>
      </c>
      <c r="K176" s="49" t="n">
        <v>1</v>
      </c>
      <c r="L176" s="49" t="n">
        <v>0</v>
      </c>
      <c r="M176" s="49" t="n">
        <v>0</v>
      </c>
      <c r="N176" s="49" t="n">
        <v>0</v>
      </c>
      <c r="O176" s="49" t="n">
        <v>0</v>
      </c>
      <c r="P176" s="49" t="n">
        <v>0</v>
      </c>
      <c r="Q176" s="49" t="n">
        <v>0</v>
      </c>
      <c r="R176" s="49" t="n">
        <v>0</v>
      </c>
      <c r="S176" s="50" t="n">
        <v>0</v>
      </c>
      <c r="T176" s="50" t="n">
        <v>0</v>
      </c>
      <c r="U176" s="50" t="n">
        <v>0</v>
      </c>
      <c r="V176" s="50" t="n">
        <v>0</v>
      </c>
      <c r="W176" s="51" t="n">
        <v>0</v>
      </c>
      <c r="X176" s="51" t="n">
        <v>0</v>
      </c>
      <c r="Y176" s="51" t="n">
        <v>0</v>
      </c>
      <c r="Z176" s="51" t="n">
        <v>0</v>
      </c>
      <c r="AA176" s="52" t="n">
        <v>0</v>
      </c>
      <c r="AB176" s="52" t="n">
        <v>0</v>
      </c>
      <c r="AC176" s="52" t="n">
        <v>0</v>
      </c>
      <c r="AD176" s="52" t="n">
        <v>0</v>
      </c>
      <c r="AE176" s="52" t="n">
        <v>0</v>
      </c>
      <c r="AF176" s="52" t="n">
        <v>0</v>
      </c>
      <c r="AG176" s="52" t="n">
        <v>0</v>
      </c>
      <c r="AH176" s="52" t="n">
        <v>0</v>
      </c>
      <c r="AI176" s="52" t="n">
        <v>0</v>
      </c>
      <c r="AJ176" s="52" t="n">
        <v>0</v>
      </c>
      <c r="AK176" s="52" t="n">
        <v>0</v>
      </c>
      <c r="AL176" s="52" t="n">
        <v>0</v>
      </c>
      <c r="AM176" s="53" t="n">
        <v>0</v>
      </c>
      <c r="AN176" s="53" t="n">
        <v>0</v>
      </c>
      <c r="AO176" s="53" t="n">
        <v>0</v>
      </c>
      <c r="AP176" s="53" t="n">
        <v>0</v>
      </c>
      <c r="AQ176" s="52" t="n">
        <v>0</v>
      </c>
      <c r="AR176" s="52" t="n">
        <v>0</v>
      </c>
      <c r="AS176" s="52" t="n">
        <v>0</v>
      </c>
      <c r="AT176" s="52" t="n">
        <v>0</v>
      </c>
      <c r="AU176" s="53" t="n">
        <v>0</v>
      </c>
      <c r="AV176" s="53" t="n">
        <v>0</v>
      </c>
      <c r="AW176" s="53" t="n">
        <v>0</v>
      </c>
      <c r="AX176" s="53" t="n">
        <v>0</v>
      </c>
      <c r="AY176" s="52" t="n">
        <v>5.98</v>
      </c>
      <c r="AZ176" s="52" t="n">
        <v>0</v>
      </c>
      <c r="BA176" s="52" t="n">
        <v>0</v>
      </c>
      <c r="BB176" s="52" t="n">
        <v>0</v>
      </c>
      <c r="BC176" s="51" t="n">
        <v>0</v>
      </c>
      <c r="BD176" s="51" t="n">
        <v>0</v>
      </c>
      <c r="BE176" s="51" t="n">
        <v>0</v>
      </c>
      <c r="BF176" s="51" t="n">
        <v>0</v>
      </c>
    </row>
    <row r="177">
      <c r="A177">
        <f>HYPERLINK("https://www.walmart.com/ip/5513752876", "5513752876")</f>
        <v/>
      </c>
      <c r="B177" t="inlineStr">
        <is>
          <t>Insulated Cooler Bag, Leakproof Soft Cooler tote bag, Collapsible Waterproof Grocery Thermal Bag, Gift Ideas for Picnic</t>
        </is>
      </c>
      <c r="C177" t="inlineStr">
        <is>
          <t>1SLCB00124STR</t>
        </is>
      </c>
      <c r="D177" t="inlineStr">
        <is>
          <t>Soft-Sided Coolers</t>
        </is>
      </c>
      <c r="E177" t="inlineStr">
        <is>
          <t>Solaris</t>
        </is>
      </c>
      <c r="G177" s="48" t="n">
        <v>0</v>
      </c>
      <c r="H177" s="48" t="n">
        <v>0</v>
      </c>
      <c r="I177" s="48" t="n">
        <v>0</v>
      </c>
      <c r="J177" s="48" t="n">
        <v>0</v>
      </c>
      <c r="K177" s="49" t="n">
        <v>0</v>
      </c>
      <c r="L177" s="49" t="n">
        <v>0</v>
      </c>
      <c r="M177" s="49" t="n">
        <v>0</v>
      </c>
      <c r="N177" s="49" t="n">
        <v>0</v>
      </c>
      <c r="O177" s="49" t="n">
        <v>0</v>
      </c>
      <c r="P177" s="49" t="n">
        <v>0</v>
      </c>
      <c r="Q177" s="49" t="n">
        <v>0</v>
      </c>
      <c r="R177" s="49" t="n">
        <v>0</v>
      </c>
      <c r="S177" s="50" t="n">
        <v>0</v>
      </c>
      <c r="T177" s="50" t="n">
        <v>0</v>
      </c>
      <c r="U177" s="50" t="n">
        <v>0</v>
      </c>
      <c r="V177" s="50" t="n">
        <v>0</v>
      </c>
      <c r="W177" s="51" t="n">
        <v>0</v>
      </c>
      <c r="X177" s="51" t="n">
        <v>0</v>
      </c>
      <c r="Y177" s="51" t="n">
        <v>0</v>
      </c>
      <c r="Z177" s="51" t="n">
        <v>0</v>
      </c>
      <c r="AA177" s="52" t="n">
        <v>0</v>
      </c>
      <c r="AB177" s="52" t="n">
        <v>0</v>
      </c>
      <c r="AC177" s="52" t="n">
        <v>0</v>
      </c>
      <c r="AD177" s="52" t="n">
        <v>0</v>
      </c>
      <c r="AE177" s="52" t="n">
        <v>0</v>
      </c>
      <c r="AF177" s="52" t="n">
        <v>0</v>
      </c>
      <c r="AG177" s="52" t="n">
        <v>0</v>
      </c>
      <c r="AH177" s="52" t="n">
        <v>0</v>
      </c>
      <c r="AI177" s="52" t="n">
        <v>0</v>
      </c>
      <c r="AJ177" s="52" t="n">
        <v>0</v>
      </c>
      <c r="AK177" s="52" t="n">
        <v>0</v>
      </c>
      <c r="AL177" s="52" t="n">
        <v>0</v>
      </c>
      <c r="AM177" s="53" t="n">
        <v>0</v>
      </c>
      <c r="AN177" s="53" t="n">
        <v>0</v>
      </c>
      <c r="AO177" s="53" t="n">
        <v>0</v>
      </c>
      <c r="AP177" s="53" t="n">
        <v>0</v>
      </c>
      <c r="AQ177" s="52" t="n">
        <v>0</v>
      </c>
      <c r="AR177" s="52" t="n">
        <v>0</v>
      </c>
      <c r="AS177" s="52" t="n">
        <v>0</v>
      </c>
      <c r="AT177" s="52" t="n">
        <v>0</v>
      </c>
      <c r="AU177" s="53" t="n">
        <v>0</v>
      </c>
      <c r="AV177" s="53" t="n">
        <v>0</v>
      </c>
      <c r="AW177" s="53" t="n">
        <v>0</v>
      </c>
      <c r="AX177" s="53" t="n">
        <v>0</v>
      </c>
      <c r="AY177" s="52" t="n">
        <v>0</v>
      </c>
      <c r="AZ177" s="52" t="n">
        <v>0</v>
      </c>
      <c r="BA177" s="52" t="n">
        <v>0</v>
      </c>
      <c r="BB177" s="52" t="n">
        <v>0</v>
      </c>
      <c r="BC177" s="51" t="n">
        <v>0</v>
      </c>
      <c r="BD177" s="51" t="n">
        <v>0</v>
      </c>
      <c r="BE177" s="51" t="n">
        <v>0</v>
      </c>
      <c r="BF177" s="51" t="n">
        <v>0</v>
      </c>
    </row>
    <row r="178">
      <c r="A178">
        <f>HYPERLINK("https://www.walmart.com/ip/616466620", "616466620")</f>
        <v/>
      </c>
      <c r="B178" t="inlineStr">
        <is>
          <t>Tirrinia Buffalo Plaid Fleece Blanket, Super Soft Warm Comfy Flannel Fleece for Bedding, Couch Cabin Throw, Decorative Blankets, Black &amp; Grey, TV Throw Measures 50" x 60"</t>
        </is>
      </c>
      <c r="C178" t="inlineStr">
        <is>
          <t>1TRBF576PBK</t>
        </is>
      </c>
      <c r="D178" t="inlineStr">
        <is>
          <t>Throws</t>
        </is>
      </c>
      <c r="E178" t="inlineStr">
        <is>
          <t>Tirrinia</t>
        </is>
      </c>
      <c r="F178" t="inlineStr">
        <is>
          <t>Q2-Target,WFS,Coupon_Discount,SeePriceInCart,WFS Item,Fleece Blankets</t>
        </is>
      </c>
      <c r="G178" s="48" t="n">
        <v>0</v>
      </c>
      <c r="H178" s="48" t="n">
        <v>0</v>
      </c>
      <c r="I178" s="48" t="n">
        <v>0</v>
      </c>
      <c r="J178" s="48" t="n">
        <v>0</v>
      </c>
      <c r="K178" s="49" t="n">
        <v>0</v>
      </c>
      <c r="L178" s="49" t="n">
        <v>0</v>
      </c>
      <c r="M178" s="49" t="n">
        <v>0</v>
      </c>
      <c r="N178" s="49" t="n">
        <v>0</v>
      </c>
      <c r="O178" s="49" t="n">
        <v>0</v>
      </c>
      <c r="P178" s="49" t="n">
        <v>0</v>
      </c>
      <c r="Q178" s="49" t="n">
        <v>0</v>
      </c>
      <c r="R178" s="49" t="n">
        <v>0</v>
      </c>
      <c r="S178" s="50" t="n">
        <v>0</v>
      </c>
      <c r="T178" s="50" t="n">
        <v>0</v>
      </c>
      <c r="U178" s="50" t="n">
        <v>0</v>
      </c>
      <c r="V178" s="50" t="n">
        <v>0</v>
      </c>
      <c r="W178" s="51" t="n">
        <v>0</v>
      </c>
      <c r="X178" s="51" t="n">
        <v>0</v>
      </c>
      <c r="Y178" s="51" t="n">
        <v>0</v>
      </c>
      <c r="Z178" s="51" t="n">
        <v>0</v>
      </c>
      <c r="AA178" s="52" t="n">
        <v>0</v>
      </c>
      <c r="AB178" s="52" t="n">
        <v>0</v>
      </c>
      <c r="AC178" s="52" t="n">
        <v>0</v>
      </c>
      <c r="AD178" s="52" t="n">
        <v>0</v>
      </c>
      <c r="AE178" s="52" t="n">
        <v>0</v>
      </c>
      <c r="AF178" s="52" t="n">
        <v>0</v>
      </c>
      <c r="AG178" s="52" t="n">
        <v>0</v>
      </c>
      <c r="AH178" s="52" t="n">
        <v>0</v>
      </c>
      <c r="AI178" s="52" t="n">
        <v>0</v>
      </c>
      <c r="AJ178" s="52" t="n">
        <v>0</v>
      </c>
      <c r="AK178" s="52" t="n">
        <v>0</v>
      </c>
      <c r="AL178" s="52" t="n">
        <v>0</v>
      </c>
      <c r="AM178" s="53" t="n">
        <v>0</v>
      </c>
      <c r="AN178" s="53" t="n">
        <v>0</v>
      </c>
      <c r="AO178" s="53" t="n">
        <v>0</v>
      </c>
      <c r="AP178" s="53" t="n">
        <v>0</v>
      </c>
      <c r="AQ178" s="52" t="n">
        <v>0</v>
      </c>
      <c r="AR178" s="52" t="n">
        <v>0</v>
      </c>
      <c r="AS178" s="52" t="n">
        <v>0</v>
      </c>
      <c r="AT178" s="52" t="n">
        <v>0</v>
      </c>
      <c r="AU178" s="53" t="n">
        <v>0</v>
      </c>
      <c r="AV178" s="53" t="n">
        <v>0</v>
      </c>
      <c r="AW178" s="53" t="n">
        <v>0</v>
      </c>
      <c r="AX178" s="53" t="n">
        <v>0</v>
      </c>
      <c r="AY178" s="52" t="n">
        <v>0</v>
      </c>
      <c r="AZ178" s="52" t="n">
        <v>0</v>
      </c>
      <c r="BA178" s="52" t="n">
        <v>0</v>
      </c>
      <c r="BB178" s="52" t="n">
        <v>0</v>
      </c>
      <c r="BC178" s="51" t="n">
        <v>0</v>
      </c>
      <c r="BD178" s="51" t="n">
        <v>0</v>
      </c>
      <c r="BE178" s="51" t="n">
        <v>0</v>
      </c>
      <c r="BF178" s="51" t="n">
        <v>0</v>
      </c>
    </row>
    <row r="179">
      <c r="A179">
        <f>HYPERLINK("https://www.walmart.com/ip/5514470056", "5514470056")</f>
        <v/>
      </c>
      <c r="B179" t="inlineStr">
        <is>
          <t>Tirrinia Toiletry Bag for Men Water-Resistant Organizer Kit for Shaving Products and Toiletries Accessories, Room Essentials</t>
        </is>
      </c>
      <c r="C179" t="inlineStr">
        <is>
          <t>1TRTTB001BK</t>
        </is>
      </c>
      <c r="D179" t="inlineStr">
        <is>
          <t>Toiletry Kits &amp; Bags</t>
        </is>
      </c>
      <c r="E179" t="inlineStr">
        <is>
          <t>Tirrinia</t>
        </is>
      </c>
      <c r="G179" s="48" t="n">
        <v>0</v>
      </c>
      <c r="H179" s="48" t="n">
        <v>0</v>
      </c>
      <c r="I179" s="48" t="n">
        <v>0</v>
      </c>
      <c r="J179" s="48" t="n">
        <v>18</v>
      </c>
      <c r="K179" s="49" t="n">
        <v>0</v>
      </c>
      <c r="L179" s="49" t="n">
        <v>0</v>
      </c>
      <c r="M179" s="49" t="n">
        <v>0</v>
      </c>
      <c r="N179" s="49" t="n">
        <v>1</v>
      </c>
      <c r="O179" s="49" t="n">
        <v>0</v>
      </c>
      <c r="P179" s="49" t="n">
        <v>0</v>
      </c>
      <c r="Q179" s="49" t="n">
        <v>0</v>
      </c>
      <c r="R179" s="49" t="n">
        <v>0</v>
      </c>
      <c r="S179" s="50" t="n">
        <v>0</v>
      </c>
      <c r="T179" s="50" t="n">
        <v>0</v>
      </c>
      <c r="U179" s="50" t="n">
        <v>0</v>
      </c>
      <c r="V179" s="50" t="n">
        <v>0</v>
      </c>
      <c r="W179" s="51" t="n">
        <v>0</v>
      </c>
      <c r="X179" s="51" t="n">
        <v>0</v>
      </c>
      <c r="Y179" s="51" t="n">
        <v>0</v>
      </c>
      <c r="Z179" s="51" t="n">
        <v>0</v>
      </c>
      <c r="AA179" s="52" t="n">
        <v>0</v>
      </c>
      <c r="AB179" s="52" t="n">
        <v>0</v>
      </c>
      <c r="AC179" s="52" t="n">
        <v>0</v>
      </c>
      <c r="AD179" s="52" t="n">
        <v>0</v>
      </c>
      <c r="AE179" s="52" t="n">
        <v>0</v>
      </c>
      <c r="AF179" s="52" t="n">
        <v>0</v>
      </c>
      <c r="AG179" s="52" t="n">
        <v>0</v>
      </c>
      <c r="AH179" s="52" t="n">
        <v>0</v>
      </c>
      <c r="AI179" s="52" t="n">
        <v>0</v>
      </c>
      <c r="AJ179" s="52" t="n">
        <v>0</v>
      </c>
      <c r="AK179" s="52" t="n">
        <v>0</v>
      </c>
      <c r="AL179" s="52" t="n">
        <v>0</v>
      </c>
      <c r="AM179" s="53" t="n">
        <v>0</v>
      </c>
      <c r="AN179" s="53" t="n">
        <v>0</v>
      </c>
      <c r="AO179" s="53" t="n">
        <v>0</v>
      </c>
      <c r="AP179" s="53" t="n">
        <v>0</v>
      </c>
      <c r="AQ179" s="52" t="n">
        <v>0</v>
      </c>
      <c r="AR179" s="52" t="n">
        <v>0</v>
      </c>
      <c r="AS179" s="52" t="n">
        <v>0</v>
      </c>
      <c r="AT179" s="52" t="n">
        <v>0</v>
      </c>
      <c r="AU179" s="53" t="n">
        <v>0</v>
      </c>
      <c r="AV179" s="53" t="n">
        <v>0</v>
      </c>
      <c r="AW179" s="53" t="n">
        <v>0</v>
      </c>
      <c r="AX179" s="53" t="n">
        <v>0</v>
      </c>
      <c r="AY179" s="52" t="n">
        <v>0</v>
      </c>
      <c r="AZ179" s="52" t="n">
        <v>0</v>
      </c>
      <c r="BA179" s="52" t="n">
        <v>0</v>
      </c>
      <c r="BB179" s="52" t="n">
        <v>18</v>
      </c>
      <c r="BC179" s="51" t="n">
        <v>0</v>
      </c>
      <c r="BD179" s="51" t="n">
        <v>0</v>
      </c>
      <c r="BE179" s="51" t="n">
        <v>0</v>
      </c>
      <c r="BF179" s="51" t="n">
        <v>0</v>
      </c>
    </row>
    <row r="180">
      <c r="A180">
        <f>HYPERLINK("https://www.walmart.com/ip/618417622", "618417622")</f>
        <v/>
      </c>
      <c r="B180" t="inlineStr">
        <is>
          <t>Tirrinia Single Wine Gift Tote Bag, Insulated Padded Thermal Wine Bottle Carrying Cooler Carrier for Travel, Picnic, Great Gift for Wine Lover, Dark Blue</t>
        </is>
      </c>
      <c r="C180" t="inlineStr">
        <is>
          <t>1TRWB102DBL</t>
        </is>
      </c>
      <c r="D180" t="inlineStr">
        <is>
          <t>Wine Totes, Bags &amp; Backpacks</t>
        </is>
      </c>
      <c r="E180" t="inlineStr">
        <is>
          <t>Tirrinia</t>
        </is>
      </c>
      <c r="G180" s="48" t="n">
        <v>0</v>
      </c>
      <c r="H180" s="48" t="n">
        <v>0</v>
      </c>
      <c r="I180" s="48" t="n">
        <v>11.99</v>
      </c>
      <c r="J180" s="48" t="n">
        <v>11.99</v>
      </c>
      <c r="K180" s="49" t="n">
        <v>0</v>
      </c>
      <c r="L180" s="49" t="n">
        <v>0</v>
      </c>
      <c r="M180" s="49" t="n">
        <v>1</v>
      </c>
      <c r="N180" s="49" t="n">
        <v>1</v>
      </c>
      <c r="O180" s="49" t="n">
        <v>0</v>
      </c>
      <c r="P180" s="49" t="n">
        <v>0</v>
      </c>
      <c r="Q180" s="49" t="n">
        <v>0</v>
      </c>
      <c r="R180" s="49" t="n">
        <v>0</v>
      </c>
      <c r="S180" s="50" t="n">
        <v>0</v>
      </c>
      <c r="T180" s="50" t="n">
        <v>0</v>
      </c>
      <c r="U180" s="50" t="n">
        <v>0</v>
      </c>
      <c r="V180" s="50" t="n">
        <v>0</v>
      </c>
      <c r="W180" s="51" t="n">
        <v>7</v>
      </c>
      <c r="X180" s="51" t="n">
        <v>4</v>
      </c>
      <c r="Y180" s="51" t="n">
        <v>2</v>
      </c>
      <c r="Z180" s="51" t="n">
        <v>1</v>
      </c>
      <c r="AA180" s="52" t="n">
        <v>2.96</v>
      </c>
      <c r="AB180" s="52" t="n">
        <v>1.49</v>
      </c>
      <c r="AC180" s="52" t="n">
        <v>0.79</v>
      </c>
      <c r="AD180" s="52" t="n">
        <v>0.44</v>
      </c>
      <c r="AE180" s="52" t="n">
        <v>0</v>
      </c>
      <c r="AF180" s="52" t="n">
        <v>0</v>
      </c>
      <c r="AG180" s="52" t="n">
        <v>11.99</v>
      </c>
      <c r="AH180" s="52" t="n">
        <v>0</v>
      </c>
      <c r="AI180" s="52" t="n">
        <v>0</v>
      </c>
      <c r="AJ180" s="52" t="n">
        <v>0</v>
      </c>
      <c r="AK180" s="52" t="n">
        <v>15.18</v>
      </c>
      <c r="AL180" s="52" t="n">
        <v>0</v>
      </c>
      <c r="AM180" s="53" t="n">
        <v>0.0031</v>
      </c>
      <c r="AN180" s="53" t="n">
        <v>0.0031</v>
      </c>
      <c r="AO180" s="53" t="n">
        <v>0.0028</v>
      </c>
      <c r="AP180" s="53" t="n">
        <v>0.0012</v>
      </c>
      <c r="AQ180" s="52" t="n">
        <v>0.4228571428571429</v>
      </c>
      <c r="AR180" s="52" t="n">
        <v>0.3725</v>
      </c>
      <c r="AS180" s="52" t="n">
        <v>0.395</v>
      </c>
      <c r="AT180" s="52" t="n">
        <v>0.44</v>
      </c>
      <c r="AU180" s="53" t="n">
        <v>0</v>
      </c>
      <c r="AV180" s="53" t="n">
        <v>0</v>
      </c>
      <c r="AW180" s="53" t="n">
        <v>0.06588824020016681</v>
      </c>
      <c r="AX180" s="53" t="n">
        <v>0.03669724770642202</v>
      </c>
      <c r="AY180" s="52" t="n">
        <v>0</v>
      </c>
      <c r="AZ180" s="52" t="n">
        <v>0</v>
      </c>
      <c r="BA180" s="52" t="n">
        <v>11.99</v>
      </c>
      <c r="BB180" s="52" t="n">
        <v>11.99</v>
      </c>
      <c r="BC180" s="51" t="n">
        <v>2280</v>
      </c>
      <c r="BD180" s="51" t="n">
        <v>1292</v>
      </c>
      <c r="BE180" s="51" t="n">
        <v>718</v>
      </c>
      <c r="BF180" s="51" t="n">
        <v>865</v>
      </c>
    </row>
    <row r="181">
      <c r="A181">
        <f>HYPERLINK("https://www.walmart.com/ip/617000595", "617000595")</f>
        <v/>
      </c>
      <c r="B181" t="inlineStr">
        <is>
          <t>Tirrinia Insulated Lunch Bag for Women, Men and Kids, Leakproof Thermal Reusable Insulated Cooler Bag for Office Work and Back to School, Black and Blue</t>
        </is>
      </c>
      <c r="C181" t="inlineStr">
        <is>
          <t>1KTLB600BKBL</t>
        </is>
      </c>
      <c r="D181" t="inlineStr">
        <is>
          <t>Reusable Lunch Bags &amp; Boxes</t>
        </is>
      </c>
      <c r="E181" t="inlineStr">
        <is>
          <t>Tirrinia</t>
        </is>
      </c>
      <c r="F181" t="inlineStr">
        <is>
          <t>Q2-Target,Brand Camp VD,Lunch Bag,Optimized,WFS,Lunch Bags,SEM,WFS Item</t>
        </is>
      </c>
      <c r="G181" s="48" t="n">
        <v>0</v>
      </c>
      <c r="H181" s="48" t="n">
        <v>0</v>
      </c>
      <c r="I181" s="48" t="n">
        <v>0</v>
      </c>
      <c r="J181" s="48" t="n">
        <v>0</v>
      </c>
      <c r="K181" s="49" t="n">
        <v>0</v>
      </c>
      <c r="L181" s="49" t="n">
        <v>0</v>
      </c>
      <c r="M181" s="49" t="n">
        <v>0</v>
      </c>
      <c r="N181" s="49" t="n">
        <v>0</v>
      </c>
      <c r="O181" s="49" t="n">
        <v>0</v>
      </c>
      <c r="P181" s="49" t="n">
        <v>0</v>
      </c>
      <c r="Q181" s="49" t="n">
        <v>0</v>
      </c>
      <c r="R181" s="49" t="n">
        <v>0</v>
      </c>
      <c r="S181" s="50" t="n">
        <v>0</v>
      </c>
      <c r="T181" s="50" t="n">
        <v>0</v>
      </c>
      <c r="U181" s="50" t="n">
        <v>0</v>
      </c>
      <c r="V181" s="50" t="n">
        <v>0</v>
      </c>
      <c r="W181" s="51" t="n">
        <v>0</v>
      </c>
      <c r="X181" s="51" t="n">
        <v>0</v>
      </c>
      <c r="Y181" s="51" t="n">
        <v>0</v>
      </c>
      <c r="Z181" s="51" t="n">
        <v>0</v>
      </c>
      <c r="AA181" s="52" t="n">
        <v>0</v>
      </c>
      <c r="AB181" s="52" t="n">
        <v>0</v>
      </c>
      <c r="AC181" s="52" t="n">
        <v>0</v>
      </c>
      <c r="AD181" s="52" t="n">
        <v>0</v>
      </c>
      <c r="AE181" s="52" t="n">
        <v>0</v>
      </c>
      <c r="AF181" s="52" t="n">
        <v>0</v>
      </c>
      <c r="AG181" s="52" t="n">
        <v>0</v>
      </c>
      <c r="AH181" s="52" t="n">
        <v>0</v>
      </c>
      <c r="AI181" s="52" t="n">
        <v>0</v>
      </c>
      <c r="AJ181" s="52" t="n">
        <v>0</v>
      </c>
      <c r="AK181" s="52" t="n">
        <v>0</v>
      </c>
      <c r="AL181" s="52" t="n">
        <v>0</v>
      </c>
      <c r="AM181" s="53" t="n">
        <v>0</v>
      </c>
      <c r="AN181" s="53" t="n">
        <v>0</v>
      </c>
      <c r="AO181" s="53" t="n">
        <v>0</v>
      </c>
      <c r="AP181" s="53" t="n">
        <v>0</v>
      </c>
      <c r="AQ181" s="52" t="n">
        <v>0</v>
      </c>
      <c r="AR181" s="52" t="n">
        <v>0</v>
      </c>
      <c r="AS181" s="52" t="n">
        <v>0</v>
      </c>
      <c r="AT181" s="52" t="n">
        <v>0</v>
      </c>
      <c r="AU181" s="53" t="n">
        <v>0</v>
      </c>
      <c r="AV181" s="53" t="n">
        <v>0</v>
      </c>
      <c r="AW181" s="53" t="n">
        <v>0</v>
      </c>
      <c r="AX181" s="53" t="n">
        <v>0</v>
      </c>
      <c r="AY181" s="52" t="n">
        <v>0</v>
      </c>
      <c r="AZ181" s="52" t="n">
        <v>0</v>
      </c>
      <c r="BA181" s="52" t="n">
        <v>0</v>
      </c>
      <c r="BB181" s="52" t="n">
        <v>0</v>
      </c>
      <c r="BC181" s="51" t="n">
        <v>0</v>
      </c>
      <c r="BD181" s="51" t="n">
        <v>0</v>
      </c>
      <c r="BE181" s="51" t="n">
        <v>0</v>
      </c>
      <c r="BF181" s="51" t="n">
        <v>0</v>
      </c>
    </row>
    <row r="182">
      <c r="A182">
        <f>HYPERLINK("https://www.walmart.com/ip/617807629", "617807629")</f>
        <v/>
      </c>
      <c r="B182" t="inlineStr">
        <is>
          <t>Flyingstar Faux Shearling Oversized Wearable Blanket, Hooded Blanket Sweatshirt for Women and Men, Black</t>
        </is>
      </c>
      <c r="C182" t="inlineStr">
        <is>
          <t>1WMHD300BK</t>
        </is>
      </c>
      <c r="D182" t="inlineStr">
        <is>
          <t>Sweatshirts &amp; Hoodies</t>
        </is>
      </c>
      <c r="E182" t="inlineStr">
        <is>
          <t>Flyingstar</t>
        </is>
      </c>
      <c r="F182" t="inlineStr">
        <is>
          <t>Hoodie ForAdult,Optimized,WFS,WFS Item</t>
        </is>
      </c>
      <c r="G182" s="48" t="n">
        <v>0</v>
      </c>
      <c r="H182" s="48" t="n">
        <v>0</v>
      </c>
      <c r="I182" s="48" t="n">
        <v>0</v>
      </c>
      <c r="J182" s="48" t="n">
        <v>0</v>
      </c>
      <c r="K182" s="49" t="n">
        <v>0</v>
      </c>
      <c r="L182" s="49" t="n">
        <v>0</v>
      </c>
      <c r="M182" s="49" t="n">
        <v>0</v>
      </c>
      <c r="N182" s="49" t="n">
        <v>0</v>
      </c>
      <c r="O182" s="49" t="n">
        <v>0</v>
      </c>
      <c r="P182" s="49" t="n">
        <v>0</v>
      </c>
      <c r="Q182" s="49" t="n">
        <v>0</v>
      </c>
      <c r="R182" s="49" t="n">
        <v>0</v>
      </c>
      <c r="S182" s="50" t="n">
        <v>0</v>
      </c>
      <c r="T182" s="50" t="n">
        <v>0</v>
      </c>
      <c r="U182" s="50" t="n">
        <v>0</v>
      </c>
      <c r="V182" s="50" t="n">
        <v>0</v>
      </c>
      <c r="W182" s="51" t="n">
        <v>0</v>
      </c>
      <c r="X182" s="51" t="n">
        <v>0</v>
      </c>
      <c r="Y182" s="51" t="n">
        <v>0</v>
      </c>
      <c r="Z182" s="51" t="n">
        <v>0</v>
      </c>
      <c r="AA182" s="52" t="n">
        <v>0</v>
      </c>
      <c r="AB182" s="52" t="n">
        <v>0</v>
      </c>
      <c r="AC182" s="52" t="n">
        <v>0</v>
      </c>
      <c r="AD182" s="52" t="n">
        <v>0</v>
      </c>
      <c r="AE182" s="52" t="n">
        <v>0</v>
      </c>
      <c r="AF182" s="52" t="n">
        <v>0</v>
      </c>
      <c r="AG182" s="52" t="n">
        <v>0</v>
      </c>
      <c r="AH182" s="52" t="n">
        <v>0</v>
      </c>
      <c r="AI182" s="52" t="n">
        <v>0</v>
      </c>
      <c r="AJ182" s="52" t="n">
        <v>0</v>
      </c>
      <c r="AK182" s="52" t="n">
        <v>0</v>
      </c>
      <c r="AL182" s="52" t="n">
        <v>0</v>
      </c>
      <c r="AM182" s="53" t="n">
        <v>0</v>
      </c>
      <c r="AN182" s="53" t="n">
        <v>0</v>
      </c>
      <c r="AO182" s="53" t="n">
        <v>0</v>
      </c>
      <c r="AP182" s="53" t="n">
        <v>0</v>
      </c>
      <c r="AQ182" s="52" t="n">
        <v>0</v>
      </c>
      <c r="AR182" s="52" t="n">
        <v>0</v>
      </c>
      <c r="AS182" s="52" t="n">
        <v>0</v>
      </c>
      <c r="AT182" s="52" t="n">
        <v>0</v>
      </c>
      <c r="AU182" s="53" t="n">
        <v>0</v>
      </c>
      <c r="AV182" s="53" t="n">
        <v>0</v>
      </c>
      <c r="AW182" s="53" t="n">
        <v>0</v>
      </c>
      <c r="AX182" s="53" t="n">
        <v>0</v>
      </c>
      <c r="AY182" s="52" t="n">
        <v>0</v>
      </c>
      <c r="AZ182" s="52" t="n">
        <v>0</v>
      </c>
      <c r="BA182" s="52" t="n">
        <v>0</v>
      </c>
      <c r="BB182" s="52" t="n">
        <v>0</v>
      </c>
      <c r="BC182" s="51" t="n">
        <v>0</v>
      </c>
      <c r="BD182" s="51" t="n">
        <v>0</v>
      </c>
      <c r="BE182" s="51" t="n">
        <v>0</v>
      </c>
      <c r="BF182" s="51" t="n">
        <v>0</v>
      </c>
    </row>
    <row r="183">
      <c r="A183">
        <f>HYPERLINK("https://www.walmart.com/ip/618025979", "618025979")</f>
        <v/>
      </c>
      <c r="B183" t="inlineStr">
        <is>
          <t>Napa Plush  Throw Blanket Mocha, Twin 60"x90", Striped Reversible Velvet Luxury Fleece Warm Bed Couch Blanket, Super Soft and Cozy</t>
        </is>
      </c>
      <c r="C183" t="inlineStr">
        <is>
          <t>K8030TW-MOC</t>
        </is>
      </c>
      <c r="D183" t="inlineStr">
        <is>
          <t>Throws</t>
        </is>
      </c>
      <c r="E183" t="inlineStr">
        <is>
          <t>NAPA</t>
        </is>
      </c>
      <c r="F183" t="inlineStr">
        <is>
          <t>Optimized</t>
        </is>
      </c>
      <c r="G183" s="48" t="n">
        <v>0</v>
      </c>
      <c r="H183" s="48" t="n">
        <v>0</v>
      </c>
      <c r="I183" s="48" t="n">
        <v>0</v>
      </c>
      <c r="J183" s="48" t="n">
        <v>0</v>
      </c>
      <c r="K183" s="49" t="n">
        <v>0</v>
      </c>
      <c r="L183" s="49" t="n">
        <v>0</v>
      </c>
      <c r="M183" s="49" t="n">
        <v>0</v>
      </c>
      <c r="N183" s="49" t="n">
        <v>0</v>
      </c>
      <c r="O183" s="49" t="n">
        <v>0</v>
      </c>
      <c r="P183" s="49" t="n">
        <v>0</v>
      </c>
      <c r="Q183" s="49" t="n">
        <v>0</v>
      </c>
      <c r="R183" s="49" t="n">
        <v>0</v>
      </c>
      <c r="S183" s="50" t="n">
        <v>0</v>
      </c>
      <c r="T183" s="50" t="n">
        <v>0</v>
      </c>
      <c r="U183" s="50" t="n">
        <v>0</v>
      </c>
      <c r="V183" s="50" t="n">
        <v>0</v>
      </c>
      <c r="W183" s="51" t="n">
        <v>0</v>
      </c>
      <c r="X183" s="51" t="n">
        <v>0</v>
      </c>
      <c r="Y183" s="51" t="n">
        <v>0</v>
      </c>
      <c r="Z183" s="51" t="n">
        <v>0</v>
      </c>
      <c r="AA183" s="52" t="n">
        <v>0</v>
      </c>
      <c r="AB183" s="52" t="n">
        <v>0</v>
      </c>
      <c r="AC183" s="52" t="n">
        <v>0</v>
      </c>
      <c r="AD183" s="52" t="n">
        <v>0</v>
      </c>
      <c r="AE183" s="52" t="n">
        <v>0</v>
      </c>
      <c r="AF183" s="52" t="n">
        <v>0</v>
      </c>
      <c r="AG183" s="52" t="n">
        <v>0</v>
      </c>
      <c r="AH183" s="52" t="n">
        <v>0</v>
      </c>
      <c r="AI183" s="52" t="n">
        <v>0</v>
      </c>
      <c r="AJ183" s="52" t="n">
        <v>0</v>
      </c>
      <c r="AK183" s="52" t="n">
        <v>0</v>
      </c>
      <c r="AL183" s="52" t="n">
        <v>0</v>
      </c>
      <c r="AM183" s="53" t="n">
        <v>0</v>
      </c>
      <c r="AN183" s="53" t="n">
        <v>0</v>
      </c>
      <c r="AO183" s="53" t="n">
        <v>0</v>
      </c>
      <c r="AP183" s="53" t="n">
        <v>0</v>
      </c>
      <c r="AQ183" s="52" t="n">
        <v>0</v>
      </c>
      <c r="AR183" s="52" t="n">
        <v>0</v>
      </c>
      <c r="AS183" s="52" t="n">
        <v>0</v>
      </c>
      <c r="AT183" s="52" t="n">
        <v>0</v>
      </c>
      <c r="AU183" s="53" t="n">
        <v>0</v>
      </c>
      <c r="AV183" s="53" t="n">
        <v>0</v>
      </c>
      <c r="AW183" s="53" t="n">
        <v>0</v>
      </c>
      <c r="AX183" s="53" t="n">
        <v>0</v>
      </c>
      <c r="AY183" s="52" t="n">
        <v>0</v>
      </c>
      <c r="AZ183" s="52" t="n">
        <v>0</v>
      </c>
      <c r="BA183" s="52" t="n">
        <v>0</v>
      </c>
      <c r="BB183" s="52" t="n">
        <v>0</v>
      </c>
      <c r="BC183" s="51" t="n">
        <v>0</v>
      </c>
      <c r="BD183" s="51" t="n">
        <v>0</v>
      </c>
      <c r="BE183" s="51" t="n">
        <v>0</v>
      </c>
      <c r="BF183" s="51" t="n">
        <v>0</v>
      </c>
    </row>
    <row r="184">
      <c r="A184">
        <f>HYPERLINK("https://www.walmart.com/ip/5518297090", "5518297090")</f>
        <v/>
      </c>
      <c r="B184" t="inlineStr">
        <is>
          <t>American Flag Sherpa Throw Blanket Polar Fleece, Super Cozy Warm TV Blankets for Bed or Couch Reversible 50" x 60"</t>
        </is>
      </c>
      <c r="C184" t="inlineStr">
        <is>
          <t>1TRBF300USA5</t>
        </is>
      </c>
      <c r="D184" t="inlineStr">
        <is>
          <t>Throws</t>
        </is>
      </c>
      <c r="E184" t="inlineStr">
        <is>
          <t>Tirrinia</t>
        </is>
      </c>
      <c r="G184" s="48" t="n">
        <v>0</v>
      </c>
      <c r="H184" s="48" t="n">
        <v>0</v>
      </c>
      <c r="I184" s="48" t="n">
        <v>0</v>
      </c>
      <c r="J184" s="48" t="n">
        <v>0</v>
      </c>
      <c r="K184" s="49" t="n">
        <v>0</v>
      </c>
      <c r="L184" s="49" t="n">
        <v>0</v>
      </c>
      <c r="M184" s="49" t="n">
        <v>0</v>
      </c>
      <c r="N184" s="49" t="n">
        <v>0</v>
      </c>
      <c r="O184" s="49" t="n">
        <v>0</v>
      </c>
      <c r="P184" s="49" t="n">
        <v>0</v>
      </c>
      <c r="Q184" s="49" t="n">
        <v>0</v>
      </c>
      <c r="R184" s="49" t="n">
        <v>0</v>
      </c>
      <c r="S184" s="50" t="n">
        <v>0</v>
      </c>
      <c r="T184" s="50" t="n">
        <v>0</v>
      </c>
      <c r="U184" s="50" t="n">
        <v>0</v>
      </c>
      <c r="V184" s="50" t="n">
        <v>0</v>
      </c>
      <c r="W184" s="51" t="n">
        <v>0</v>
      </c>
      <c r="X184" s="51" t="n">
        <v>0</v>
      </c>
      <c r="Y184" s="51" t="n">
        <v>0</v>
      </c>
      <c r="Z184" s="51" t="n">
        <v>0</v>
      </c>
      <c r="AA184" s="52" t="n">
        <v>0</v>
      </c>
      <c r="AB184" s="52" t="n">
        <v>0</v>
      </c>
      <c r="AC184" s="52" t="n">
        <v>0</v>
      </c>
      <c r="AD184" s="52" t="n">
        <v>0</v>
      </c>
      <c r="AE184" s="52" t="n">
        <v>0</v>
      </c>
      <c r="AF184" s="52" t="n">
        <v>0</v>
      </c>
      <c r="AG184" s="52" t="n">
        <v>0</v>
      </c>
      <c r="AH184" s="52" t="n">
        <v>0</v>
      </c>
      <c r="AI184" s="52" t="n">
        <v>0</v>
      </c>
      <c r="AJ184" s="52" t="n">
        <v>0</v>
      </c>
      <c r="AK184" s="52" t="n">
        <v>0</v>
      </c>
      <c r="AL184" s="52" t="n">
        <v>0</v>
      </c>
      <c r="AM184" s="53" t="n">
        <v>0</v>
      </c>
      <c r="AN184" s="53" t="n">
        <v>0</v>
      </c>
      <c r="AO184" s="53" t="n">
        <v>0</v>
      </c>
      <c r="AP184" s="53" t="n">
        <v>0</v>
      </c>
      <c r="AQ184" s="52" t="n">
        <v>0</v>
      </c>
      <c r="AR184" s="52" t="n">
        <v>0</v>
      </c>
      <c r="AS184" s="52" t="n">
        <v>0</v>
      </c>
      <c r="AT184" s="52" t="n">
        <v>0</v>
      </c>
      <c r="AU184" s="53" t="n">
        <v>0</v>
      </c>
      <c r="AV184" s="53" t="n">
        <v>0</v>
      </c>
      <c r="AW184" s="53" t="n">
        <v>0</v>
      </c>
      <c r="AX184" s="53" t="n">
        <v>0</v>
      </c>
      <c r="AY184" s="52" t="n">
        <v>0</v>
      </c>
      <c r="AZ184" s="52" t="n">
        <v>0</v>
      </c>
      <c r="BA184" s="52" t="n">
        <v>0</v>
      </c>
      <c r="BB184" s="52" t="n">
        <v>0</v>
      </c>
      <c r="BC184" s="51" t="n">
        <v>0</v>
      </c>
      <c r="BD184" s="51" t="n">
        <v>0</v>
      </c>
      <c r="BE184" s="51" t="n">
        <v>0</v>
      </c>
      <c r="BF184" s="51" t="n">
        <v>0</v>
      </c>
    </row>
    <row r="185">
      <c r="A185">
        <f>HYPERLINK("https://www.walmart.com/ip/5505967232", "5505967232")</f>
        <v/>
      </c>
      <c r="B185" t="inlineStr">
        <is>
          <t>Insulated Cooler Bag, Leakproof Soft Cooler tote bag, Collapsible Waterproof Grocery Thermal Bag, Gift Ideas for Picnic</t>
        </is>
      </c>
      <c r="C185" t="inlineStr">
        <is>
          <t>1SLCB00124BK</t>
        </is>
      </c>
      <c r="D185" t="inlineStr">
        <is>
          <t>Thermocoolers</t>
        </is>
      </c>
      <c r="E185" t="inlineStr">
        <is>
          <t>Solaris</t>
        </is>
      </c>
      <c r="G185" s="48" t="n">
        <v>0</v>
      </c>
      <c r="H185" s="48" t="n">
        <v>0</v>
      </c>
      <c r="I185" s="48" t="n">
        <v>0</v>
      </c>
      <c r="J185" s="48" t="n">
        <v>0</v>
      </c>
      <c r="K185" s="49" t="n">
        <v>0</v>
      </c>
      <c r="L185" s="49" t="n">
        <v>0</v>
      </c>
      <c r="M185" s="49" t="n">
        <v>0</v>
      </c>
      <c r="N185" s="49" t="n">
        <v>0</v>
      </c>
      <c r="O185" s="49" t="n">
        <v>0</v>
      </c>
      <c r="P185" s="49" t="n">
        <v>0</v>
      </c>
      <c r="Q185" s="49" t="n">
        <v>0</v>
      </c>
      <c r="R185" s="49" t="n">
        <v>0</v>
      </c>
      <c r="S185" s="50" t="n">
        <v>0</v>
      </c>
      <c r="T185" s="50" t="n">
        <v>0</v>
      </c>
      <c r="U185" s="50" t="n">
        <v>0</v>
      </c>
      <c r="V185" s="50" t="n">
        <v>0</v>
      </c>
      <c r="W185" s="51" t="n">
        <v>0</v>
      </c>
      <c r="X185" s="51" t="n">
        <v>0</v>
      </c>
      <c r="Y185" s="51" t="n">
        <v>0</v>
      </c>
      <c r="Z185" s="51" t="n">
        <v>0</v>
      </c>
      <c r="AA185" s="52" t="n">
        <v>0</v>
      </c>
      <c r="AB185" s="52" t="n">
        <v>0</v>
      </c>
      <c r="AC185" s="52" t="n">
        <v>0</v>
      </c>
      <c r="AD185" s="52" t="n">
        <v>0</v>
      </c>
      <c r="AE185" s="52" t="n">
        <v>0</v>
      </c>
      <c r="AF185" s="52" t="n">
        <v>0</v>
      </c>
      <c r="AG185" s="52" t="n">
        <v>0</v>
      </c>
      <c r="AH185" s="52" t="n">
        <v>0</v>
      </c>
      <c r="AI185" s="52" t="n">
        <v>0</v>
      </c>
      <c r="AJ185" s="52" t="n">
        <v>0</v>
      </c>
      <c r="AK185" s="52" t="n">
        <v>0</v>
      </c>
      <c r="AL185" s="52" t="n">
        <v>0</v>
      </c>
      <c r="AM185" s="53" t="n">
        <v>0</v>
      </c>
      <c r="AN185" s="53" t="n">
        <v>0</v>
      </c>
      <c r="AO185" s="53" t="n">
        <v>0</v>
      </c>
      <c r="AP185" s="53" t="n">
        <v>0</v>
      </c>
      <c r="AQ185" s="52" t="n">
        <v>0</v>
      </c>
      <c r="AR185" s="52" t="n">
        <v>0</v>
      </c>
      <c r="AS185" s="52" t="n">
        <v>0</v>
      </c>
      <c r="AT185" s="52" t="n">
        <v>0</v>
      </c>
      <c r="AU185" s="53" t="n">
        <v>0</v>
      </c>
      <c r="AV185" s="53" t="n">
        <v>0</v>
      </c>
      <c r="AW185" s="53" t="n">
        <v>0</v>
      </c>
      <c r="AX185" s="53" t="n">
        <v>0</v>
      </c>
      <c r="AY185" s="52" t="n">
        <v>0</v>
      </c>
      <c r="AZ185" s="52" t="n">
        <v>0</v>
      </c>
      <c r="BA185" s="52" t="n">
        <v>0</v>
      </c>
      <c r="BB185" s="52" t="n">
        <v>0</v>
      </c>
      <c r="BC185" s="51" t="n">
        <v>0</v>
      </c>
      <c r="BD185" s="51" t="n">
        <v>0</v>
      </c>
      <c r="BE185" s="51" t="n">
        <v>0</v>
      </c>
      <c r="BF185" s="51" t="n">
        <v>0</v>
      </c>
    </row>
    <row r="186">
      <c r="A186">
        <f>HYPERLINK("https://www.walmart.com/ip/618608855", "618608855")</f>
        <v/>
      </c>
      <c r="B186" t="inlineStr">
        <is>
          <t>Jennis Women's Sexy Net Pantyhose Stockings Sheer Ultrathin Socks - 2 Packs</t>
        </is>
      </c>
      <c r="C186" t="inlineStr">
        <is>
          <t>JWBLSPH2086-2 Packs</t>
        </is>
      </c>
      <c r="D186" t="inlineStr">
        <is>
          <t>Pantyhose &amp; Tights</t>
        </is>
      </c>
      <c r="E186" t="inlineStr">
        <is>
          <t>JenniWears</t>
        </is>
      </c>
      <c r="F186" t="inlineStr">
        <is>
          <t>Optimized,Valentine</t>
        </is>
      </c>
      <c r="G186" s="48" t="n">
        <v>0</v>
      </c>
      <c r="H186" s="48" t="n">
        <v>0</v>
      </c>
      <c r="I186" s="48" t="n">
        <v>0</v>
      </c>
      <c r="J186" s="48" t="n">
        <v>0</v>
      </c>
      <c r="K186" s="49" t="n">
        <v>0</v>
      </c>
      <c r="L186" s="49" t="n">
        <v>0</v>
      </c>
      <c r="M186" s="49" t="n">
        <v>0</v>
      </c>
      <c r="N186" s="49" t="n">
        <v>0</v>
      </c>
      <c r="O186" s="49" t="n">
        <v>0</v>
      </c>
      <c r="P186" s="49" t="n">
        <v>0</v>
      </c>
      <c r="Q186" s="49" t="n">
        <v>0</v>
      </c>
      <c r="R186" s="49" t="n">
        <v>0</v>
      </c>
      <c r="S186" s="50" t="n">
        <v>0</v>
      </c>
      <c r="T186" s="50" t="n">
        <v>0</v>
      </c>
      <c r="U186" s="50" t="n">
        <v>0</v>
      </c>
      <c r="V186" s="50" t="n">
        <v>0</v>
      </c>
      <c r="W186" s="51" t="n">
        <v>0</v>
      </c>
      <c r="X186" s="51" t="n">
        <v>0</v>
      </c>
      <c r="Y186" s="51" t="n">
        <v>0</v>
      </c>
      <c r="Z186" s="51" t="n">
        <v>0</v>
      </c>
      <c r="AA186" s="52" t="n">
        <v>0</v>
      </c>
      <c r="AB186" s="52" t="n">
        <v>0</v>
      </c>
      <c r="AC186" s="52" t="n">
        <v>0</v>
      </c>
      <c r="AD186" s="52" t="n">
        <v>0</v>
      </c>
      <c r="AE186" s="52" t="n">
        <v>0</v>
      </c>
      <c r="AF186" s="52" t="n">
        <v>0</v>
      </c>
      <c r="AG186" s="52" t="n">
        <v>0</v>
      </c>
      <c r="AH186" s="52" t="n">
        <v>0</v>
      </c>
      <c r="AI186" s="52" t="n">
        <v>0</v>
      </c>
      <c r="AJ186" s="52" t="n">
        <v>0</v>
      </c>
      <c r="AK186" s="52" t="n">
        <v>0</v>
      </c>
      <c r="AL186" s="52" t="n">
        <v>0</v>
      </c>
      <c r="AM186" s="53" t="n">
        <v>0</v>
      </c>
      <c r="AN186" s="53" t="n">
        <v>0</v>
      </c>
      <c r="AO186" s="53" t="n">
        <v>0</v>
      </c>
      <c r="AP186" s="53" t="n">
        <v>0</v>
      </c>
      <c r="AQ186" s="52" t="n">
        <v>0</v>
      </c>
      <c r="AR186" s="52" t="n">
        <v>0</v>
      </c>
      <c r="AS186" s="52" t="n">
        <v>0</v>
      </c>
      <c r="AT186" s="52" t="n">
        <v>0</v>
      </c>
      <c r="AU186" s="53" t="n">
        <v>0</v>
      </c>
      <c r="AV186" s="53" t="n">
        <v>0</v>
      </c>
      <c r="AW186" s="53" t="n">
        <v>0</v>
      </c>
      <c r="AX186" s="53" t="n">
        <v>0</v>
      </c>
      <c r="AY186" s="52" t="n">
        <v>0</v>
      </c>
      <c r="AZ186" s="52" t="n">
        <v>0</v>
      </c>
      <c r="BA186" s="52" t="n">
        <v>0</v>
      </c>
      <c r="BB186" s="52" t="n">
        <v>0</v>
      </c>
      <c r="BC186" s="51" t="n">
        <v>0</v>
      </c>
      <c r="BD186" s="51" t="n">
        <v>0</v>
      </c>
      <c r="BE186" s="51" t="n">
        <v>0</v>
      </c>
      <c r="BF186" s="51" t="n">
        <v>0</v>
      </c>
    </row>
    <row r="187">
      <c r="A187">
        <f>HYPERLINK("https://www.walmart.com/ip/550319306", "550319306")</f>
        <v/>
      </c>
      <c r="B187" t="inlineStr">
        <is>
          <t>Solaris Winter Cable Knit Beanie Hats with Fur Pom Pom for Women Ski Cap</t>
        </is>
      </c>
      <c r="C187" t="inlineStr">
        <is>
          <t>1SLPPH01BL</t>
        </is>
      </c>
      <c r="D187" t="inlineStr">
        <is>
          <t>Hats</t>
        </is>
      </c>
      <c r="E187" t="inlineStr">
        <is>
          <t>Solaris</t>
        </is>
      </c>
      <c r="F187" t="inlineStr">
        <is>
          <t>Batch 1 - TR</t>
        </is>
      </c>
      <c r="G187" s="48" t="n">
        <v>0</v>
      </c>
      <c r="H187" s="48" t="n">
        <v>0</v>
      </c>
      <c r="I187" s="48" t="n">
        <v>0</v>
      </c>
      <c r="J187" s="48" t="n">
        <v>0</v>
      </c>
      <c r="K187" s="49" t="n">
        <v>0</v>
      </c>
      <c r="L187" s="49" t="n">
        <v>0</v>
      </c>
      <c r="M187" s="49" t="n">
        <v>0</v>
      </c>
      <c r="N187" s="49" t="n">
        <v>0</v>
      </c>
      <c r="O187" s="49" t="n">
        <v>0</v>
      </c>
      <c r="P187" s="49" t="n">
        <v>0</v>
      </c>
      <c r="Q187" s="49" t="n">
        <v>0</v>
      </c>
      <c r="R187" s="49" t="n">
        <v>0</v>
      </c>
      <c r="S187" s="50" t="n">
        <v>0</v>
      </c>
      <c r="T187" s="50" t="n">
        <v>0</v>
      </c>
      <c r="U187" s="50" t="n">
        <v>0</v>
      </c>
      <c r="V187" s="50" t="n">
        <v>0</v>
      </c>
      <c r="W187" s="51" t="n">
        <v>0</v>
      </c>
      <c r="X187" s="51" t="n">
        <v>0</v>
      </c>
      <c r="Y187" s="51" t="n">
        <v>0</v>
      </c>
      <c r="Z187" s="51" t="n">
        <v>0</v>
      </c>
      <c r="AA187" s="52" t="n">
        <v>0</v>
      </c>
      <c r="AB187" s="52" t="n">
        <v>0</v>
      </c>
      <c r="AC187" s="52" t="n">
        <v>0</v>
      </c>
      <c r="AD187" s="52" t="n">
        <v>0</v>
      </c>
      <c r="AE187" s="52" t="n">
        <v>0</v>
      </c>
      <c r="AF187" s="52" t="n">
        <v>0</v>
      </c>
      <c r="AG187" s="52" t="n">
        <v>0</v>
      </c>
      <c r="AH187" s="52" t="n">
        <v>0</v>
      </c>
      <c r="AI187" s="52" t="n">
        <v>0</v>
      </c>
      <c r="AJ187" s="52" t="n">
        <v>0</v>
      </c>
      <c r="AK187" s="52" t="n">
        <v>0</v>
      </c>
      <c r="AL187" s="52" t="n">
        <v>0</v>
      </c>
      <c r="AM187" s="53" t="n">
        <v>0</v>
      </c>
      <c r="AN187" s="53" t="n">
        <v>0</v>
      </c>
      <c r="AO187" s="53" t="n">
        <v>0</v>
      </c>
      <c r="AP187" s="53" t="n">
        <v>0</v>
      </c>
      <c r="AQ187" s="52" t="n">
        <v>0</v>
      </c>
      <c r="AR187" s="52" t="n">
        <v>0</v>
      </c>
      <c r="AS187" s="52" t="n">
        <v>0</v>
      </c>
      <c r="AT187" s="52" t="n">
        <v>0</v>
      </c>
      <c r="AU187" s="53" t="n">
        <v>0</v>
      </c>
      <c r="AV187" s="53" t="n">
        <v>0</v>
      </c>
      <c r="AW187" s="53" t="n">
        <v>0</v>
      </c>
      <c r="AX187" s="53" t="n">
        <v>0</v>
      </c>
      <c r="AY187" s="52" t="n">
        <v>0</v>
      </c>
      <c r="AZ187" s="52" t="n">
        <v>0</v>
      </c>
      <c r="BA187" s="52" t="n">
        <v>0</v>
      </c>
      <c r="BB187" s="52" t="n">
        <v>0</v>
      </c>
      <c r="BC187" s="51" t="n">
        <v>0</v>
      </c>
      <c r="BD187" s="51" t="n">
        <v>0</v>
      </c>
      <c r="BE187" s="51" t="n">
        <v>0</v>
      </c>
      <c r="BF187" s="51" t="n">
        <v>0</v>
      </c>
    </row>
    <row r="188">
      <c r="A188">
        <f>HYPERLINK("https://www.walmart.com/ip/550143832", "550143832")</f>
        <v/>
      </c>
      <c r="B188" t="inlineStr">
        <is>
          <t>Tirrinia Sun Blocker Unisex Sun Hat with Neck Flap and Wide Brim for Outdoor Camping, Hiking, Hunting, and Fishing, Sun Hat for Men and Women, Tan</t>
        </is>
      </c>
      <c r="C188" t="inlineStr">
        <is>
          <t>1TRSH910TN-TBCB</t>
        </is>
      </c>
      <c r="D188" t="inlineStr">
        <is>
          <t>Hats</t>
        </is>
      </c>
      <c r="E188" t="inlineStr">
        <is>
          <t>Tirrinia</t>
        </is>
      </c>
      <c r="F188" t="inlineStr">
        <is>
          <t>Hats,Batch 1 - TR</t>
        </is>
      </c>
      <c r="G188" s="48" t="n">
        <v>0</v>
      </c>
      <c r="H188" s="48" t="n">
        <v>15.99</v>
      </c>
      <c r="I188" s="48" t="n">
        <v>0</v>
      </c>
      <c r="J188" s="48" t="n">
        <v>0</v>
      </c>
      <c r="K188" s="49" t="n">
        <v>0</v>
      </c>
      <c r="L188" s="49" t="n">
        <v>1</v>
      </c>
      <c r="M188" s="49" t="n">
        <v>0</v>
      </c>
      <c r="N188" s="49" t="n">
        <v>0</v>
      </c>
      <c r="O188" s="49" t="n">
        <v>0</v>
      </c>
      <c r="P188" s="49" t="n">
        <v>0</v>
      </c>
      <c r="Q188" s="49" t="n">
        <v>0</v>
      </c>
      <c r="R188" s="49" t="n">
        <v>0</v>
      </c>
      <c r="S188" s="50" t="n">
        <v>0</v>
      </c>
      <c r="T188" s="50" t="n">
        <v>0</v>
      </c>
      <c r="U188" s="50" t="n">
        <v>0</v>
      </c>
      <c r="V188" s="50" t="n">
        <v>0</v>
      </c>
      <c r="W188" s="51" t="n">
        <v>2</v>
      </c>
      <c r="X188" s="51" t="n">
        <v>0</v>
      </c>
      <c r="Y188" s="51" t="n">
        <v>0</v>
      </c>
      <c r="Z188" s="51" t="n">
        <v>0</v>
      </c>
      <c r="AA188" s="52" t="n">
        <v>0.62</v>
      </c>
      <c r="AB188" s="52" t="n">
        <v>0</v>
      </c>
      <c r="AC188" s="52" t="n">
        <v>0</v>
      </c>
      <c r="AD188" s="52" t="n">
        <v>0</v>
      </c>
      <c r="AE188" s="52" t="n">
        <v>0</v>
      </c>
      <c r="AF188" s="52" t="n">
        <v>0</v>
      </c>
      <c r="AG188" s="52" t="n">
        <v>0</v>
      </c>
      <c r="AH188" s="52" t="n">
        <v>0</v>
      </c>
      <c r="AI188" s="52" t="n">
        <v>0</v>
      </c>
      <c r="AJ188" s="52" t="n">
        <v>0</v>
      </c>
      <c r="AK188" s="52" t="n">
        <v>0</v>
      </c>
      <c r="AL188" s="52" t="n">
        <v>0</v>
      </c>
      <c r="AM188" s="53" t="n">
        <v>0.0003</v>
      </c>
      <c r="AN188" s="53" t="n">
        <v>0</v>
      </c>
      <c r="AO188" s="53" t="n">
        <v>0</v>
      </c>
      <c r="AP188" s="53" t="n">
        <v>0</v>
      </c>
      <c r="AQ188" s="52" t="n">
        <v>0.31</v>
      </c>
      <c r="AR188" s="52" t="n">
        <v>0</v>
      </c>
      <c r="AS188" s="52" t="n">
        <v>0</v>
      </c>
      <c r="AT188" s="52" t="n">
        <v>0</v>
      </c>
      <c r="AU188" s="53" t="n">
        <v>0</v>
      </c>
      <c r="AV188" s="53" t="n">
        <v>0</v>
      </c>
      <c r="AW188" s="53" t="n">
        <v>0</v>
      </c>
      <c r="AX188" s="53" t="n">
        <v>0</v>
      </c>
      <c r="AY188" s="52" t="n">
        <v>0</v>
      </c>
      <c r="AZ188" s="52" t="n">
        <v>15.99</v>
      </c>
      <c r="BA188" s="52" t="n">
        <v>0</v>
      </c>
      <c r="BB188" s="52" t="n">
        <v>0</v>
      </c>
      <c r="BC188" s="51" t="n">
        <v>6042</v>
      </c>
      <c r="BD188" s="51" t="n">
        <v>0</v>
      </c>
      <c r="BE188" s="51" t="n">
        <v>0</v>
      </c>
      <c r="BF188" s="51" t="n">
        <v>0</v>
      </c>
    </row>
    <row r="189">
      <c r="A189">
        <f>HYPERLINK("https://www.walmart.com/ip/5500120560", "5500120560")</f>
        <v/>
      </c>
      <c r="B189" t="inlineStr">
        <is>
          <t>Solaris Surf Poncho Changing Towel Robe for Women Men, Lightweight Changing Robe with Packable Bags, Water Absorbent Wetsuit Beach Hoode Towel for Surfing Swimming</t>
        </is>
      </c>
      <c r="C189" t="inlineStr">
        <is>
          <t>1SLBR103-BK</t>
        </is>
      </c>
      <c r="D189" t="inlineStr">
        <is>
          <t>Towels &amp; Washcloths</t>
        </is>
      </c>
      <c r="E189" t="inlineStr">
        <is>
          <t>Solaris</t>
        </is>
      </c>
      <c r="G189" s="48" t="n">
        <v>0</v>
      </c>
      <c r="H189" s="48" t="n">
        <v>0</v>
      </c>
      <c r="I189" s="48" t="n">
        <v>0</v>
      </c>
      <c r="J189" s="48" t="n">
        <v>0</v>
      </c>
      <c r="K189" s="49" t="n">
        <v>0</v>
      </c>
      <c r="L189" s="49" t="n">
        <v>0</v>
      </c>
      <c r="M189" s="49" t="n">
        <v>0</v>
      </c>
      <c r="N189" s="49" t="n">
        <v>0</v>
      </c>
      <c r="O189" s="49" t="n">
        <v>0</v>
      </c>
      <c r="P189" s="49" t="n">
        <v>0</v>
      </c>
      <c r="Q189" s="49" t="n">
        <v>0</v>
      </c>
      <c r="R189" s="49" t="n">
        <v>0</v>
      </c>
      <c r="S189" s="50" t="n">
        <v>0</v>
      </c>
      <c r="T189" s="50" t="n">
        <v>0</v>
      </c>
      <c r="U189" s="50" t="n">
        <v>0</v>
      </c>
      <c r="V189" s="50" t="n">
        <v>0</v>
      </c>
      <c r="W189" s="51" t="n">
        <v>0</v>
      </c>
      <c r="X189" s="51" t="n">
        <v>0</v>
      </c>
      <c r="Y189" s="51" t="n">
        <v>0</v>
      </c>
      <c r="Z189" s="51" t="n">
        <v>0</v>
      </c>
      <c r="AA189" s="52" t="n">
        <v>0</v>
      </c>
      <c r="AB189" s="52" t="n">
        <v>0</v>
      </c>
      <c r="AC189" s="52" t="n">
        <v>0</v>
      </c>
      <c r="AD189" s="52" t="n">
        <v>0</v>
      </c>
      <c r="AE189" s="52" t="n">
        <v>0</v>
      </c>
      <c r="AF189" s="52" t="n">
        <v>0</v>
      </c>
      <c r="AG189" s="52" t="n">
        <v>0</v>
      </c>
      <c r="AH189" s="52" t="n">
        <v>0</v>
      </c>
      <c r="AI189" s="52" t="n">
        <v>0</v>
      </c>
      <c r="AJ189" s="52" t="n">
        <v>0</v>
      </c>
      <c r="AK189" s="52" t="n">
        <v>0</v>
      </c>
      <c r="AL189" s="52" t="n">
        <v>0</v>
      </c>
      <c r="AM189" s="53" t="n">
        <v>0</v>
      </c>
      <c r="AN189" s="53" t="n">
        <v>0</v>
      </c>
      <c r="AO189" s="53" t="n">
        <v>0</v>
      </c>
      <c r="AP189" s="53" t="n">
        <v>0</v>
      </c>
      <c r="AQ189" s="52" t="n">
        <v>0</v>
      </c>
      <c r="AR189" s="52" t="n">
        <v>0</v>
      </c>
      <c r="AS189" s="52" t="n">
        <v>0</v>
      </c>
      <c r="AT189" s="52" t="n">
        <v>0</v>
      </c>
      <c r="AU189" s="53" t="n">
        <v>0</v>
      </c>
      <c r="AV189" s="53" t="n">
        <v>0</v>
      </c>
      <c r="AW189" s="53" t="n">
        <v>0</v>
      </c>
      <c r="AX189" s="53" t="n">
        <v>0</v>
      </c>
      <c r="AY189" s="52" t="n">
        <v>0</v>
      </c>
      <c r="AZ189" s="52" t="n">
        <v>0</v>
      </c>
      <c r="BA189" s="52" t="n">
        <v>0</v>
      </c>
      <c r="BB189" s="52" t="n">
        <v>0</v>
      </c>
      <c r="BC189" s="51" t="n">
        <v>0</v>
      </c>
      <c r="BD189" s="51" t="n">
        <v>0</v>
      </c>
      <c r="BE189" s="51" t="n">
        <v>0</v>
      </c>
      <c r="BF189" s="51" t="n">
        <v>0</v>
      </c>
    </row>
    <row r="190">
      <c r="A190">
        <f>HYPERLINK("https://www.walmart.com/ip/549985566", "549985566")</f>
        <v/>
      </c>
      <c r="B190" t="inlineStr">
        <is>
          <t>Sherpa Slipper Socks for Women,Winter Indoor Home Non Skid Booties</t>
        </is>
      </c>
      <c r="C190" t="inlineStr">
        <is>
          <t>1CTST200WN-2</t>
        </is>
      </c>
      <c r="D190" t="inlineStr">
        <is>
          <t>Socks</t>
        </is>
      </c>
      <c r="E190" t="inlineStr">
        <is>
          <t>Catalonia</t>
        </is>
      </c>
      <c r="F190" t="inlineStr">
        <is>
          <t>WFS,WFS Item</t>
        </is>
      </c>
      <c r="G190" s="48" t="n">
        <v>0</v>
      </c>
      <c r="H190" s="48" t="n">
        <v>0</v>
      </c>
      <c r="I190" s="48" t="n">
        <v>0</v>
      </c>
      <c r="J190" s="48" t="n">
        <v>0</v>
      </c>
      <c r="K190" s="49" t="n">
        <v>0</v>
      </c>
      <c r="L190" s="49" t="n">
        <v>0</v>
      </c>
      <c r="M190" s="49" t="n">
        <v>0</v>
      </c>
      <c r="N190" s="49" t="n">
        <v>0</v>
      </c>
      <c r="O190" s="49" t="n">
        <v>0</v>
      </c>
      <c r="P190" s="49" t="n">
        <v>0</v>
      </c>
      <c r="Q190" s="49" t="n">
        <v>0</v>
      </c>
      <c r="R190" s="49" t="n">
        <v>0</v>
      </c>
      <c r="S190" s="50" t="n">
        <v>0</v>
      </c>
      <c r="T190" s="50" t="n">
        <v>0</v>
      </c>
      <c r="U190" s="50" t="n">
        <v>0</v>
      </c>
      <c r="V190" s="50" t="n">
        <v>0</v>
      </c>
      <c r="W190" s="51" t="n">
        <v>0</v>
      </c>
      <c r="X190" s="51" t="n">
        <v>0</v>
      </c>
      <c r="Y190" s="51" t="n">
        <v>0</v>
      </c>
      <c r="Z190" s="51" t="n">
        <v>0</v>
      </c>
      <c r="AA190" s="52" t="n">
        <v>0</v>
      </c>
      <c r="AB190" s="52" t="n">
        <v>0</v>
      </c>
      <c r="AC190" s="52" t="n">
        <v>0</v>
      </c>
      <c r="AD190" s="52" t="n">
        <v>0</v>
      </c>
      <c r="AE190" s="52" t="n">
        <v>0</v>
      </c>
      <c r="AF190" s="52" t="n">
        <v>0</v>
      </c>
      <c r="AG190" s="52" t="n">
        <v>0</v>
      </c>
      <c r="AH190" s="52" t="n">
        <v>0</v>
      </c>
      <c r="AI190" s="52" t="n">
        <v>0</v>
      </c>
      <c r="AJ190" s="52" t="n">
        <v>0</v>
      </c>
      <c r="AK190" s="52" t="n">
        <v>0</v>
      </c>
      <c r="AL190" s="52" t="n">
        <v>0</v>
      </c>
      <c r="AM190" s="53" t="n">
        <v>0</v>
      </c>
      <c r="AN190" s="53" t="n">
        <v>0</v>
      </c>
      <c r="AO190" s="53" t="n">
        <v>0</v>
      </c>
      <c r="AP190" s="53" t="n">
        <v>0</v>
      </c>
      <c r="AQ190" s="52" t="n">
        <v>0</v>
      </c>
      <c r="AR190" s="52" t="n">
        <v>0</v>
      </c>
      <c r="AS190" s="52" t="n">
        <v>0</v>
      </c>
      <c r="AT190" s="52" t="n">
        <v>0</v>
      </c>
      <c r="AU190" s="53" t="n">
        <v>0</v>
      </c>
      <c r="AV190" s="53" t="n">
        <v>0</v>
      </c>
      <c r="AW190" s="53" t="n">
        <v>0</v>
      </c>
      <c r="AX190" s="53" t="n">
        <v>0</v>
      </c>
      <c r="AY190" s="52" t="n">
        <v>0</v>
      </c>
      <c r="AZ190" s="52" t="n">
        <v>0</v>
      </c>
      <c r="BA190" s="52" t="n">
        <v>0</v>
      </c>
      <c r="BB190" s="52" t="n">
        <v>0</v>
      </c>
      <c r="BC190" s="51" t="n">
        <v>0</v>
      </c>
      <c r="BD190" s="51" t="n">
        <v>0</v>
      </c>
      <c r="BE190" s="51" t="n">
        <v>0</v>
      </c>
      <c r="BF190" s="51" t="n">
        <v>0</v>
      </c>
    </row>
    <row r="191">
      <c r="A191">
        <f>HYPERLINK("https://www.walmart.com/ip/618925662", "618925662")</f>
        <v/>
      </c>
      <c r="B191" t="inlineStr">
        <is>
          <t>Catalonia Sherpa Fleece Throw Blanket, Super Soft TV Throw for Bed; Plush Sofa Couch Throw, Comfy-Cozy, Fluffy, Warm Comforter, Caring Gift, Purple, 60" x 80"</t>
        </is>
      </c>
      <c r="C191" t="inlineStr">
        <is>
          <t>1CTBF368PP</t>
        </is>
      </c>
      <c r="D191" t="inlineStr">
        <is>
          <t>Throws</t>
        </is>
      </c>
      <c r="E191" t="inlineStr">
        <is>
          <t>Catalonia</t>
        </is>
      </c>
      <c r="F191" t="inlineStr">
        <is>
          <t>Q2-Target,Optimized,WFS,Coupon_Discount,WFS Item,Fleece Blankets</t>
        </is>
      </c>
      <c r="G191" s="48" t="n">
        <v>0</v>
      </c>
      <c r="H191" s="48" t="n">
        <v>0</v>
      </c>
      <c r="I191" s="48" t="n">
        <v>0</v>
      </c>
      <c r="J191" s="48" t="n">
        <v>0</v>
      </c>
      <c r="K191" s="49" t="n">
        <v>0</v>
      </c>
      <c r="L191" s="49" t="n">
        <v>0</v>
      </c>
      <c r="M191" s="49" t="n">
        <v>0</v>
      </c>
      <c r="N191" s="49" t="n">
        <v>0</v>
      </c>
      <c r="O191" s="49" t="n">
        <v>0</v>
      </c>
      <c r="P191" s="49" t="n">
        <v>0</v>
      </c>
      <c r="Q191" s="49" t="n">
        <v>0</v>
      </c>
      <c r="R191" s="49" t="n">
        <v>0</v>
      </c>
      <c r="S191" s="50" t="n">
        <v>0</v>
      </c>
      <c r="T191" s="50" t="n">
        <v>0</v>
      </c>
      <c r="U191" s="50" t="n">
        <v>0</v>
      </c>
      <c r="V191" s="50" t="n">
        <v>0</v>
      </c>
      <c r="W191" s="51" t="n">
        <v>0</v>
      </c>
      <c r="X191" s="51" t="n">
        <v>0</v>
      </c>
      <c r="Y191" s="51" t="n">
        <v>0</v>
      </c>
      <c r="Z191" s="51" t="n">
        <v>0</v>
      </c>
      <c r="AA191" s="52" t="n">
        <v>0</v>
      </c>
      <c r="AB191" s="52" t="n">
        <v>0</v>
      </c>
      <c r="AC191" s="52" t="n">
        <v>0</v>
      </c>
      <c r="AD191" s="52" t="n">
        <v>0</v>
      </c>
      <c r="AE191" s="52" t="n">
        <v>0</v>
      </c>
      <c r="AF191" s="52" t="n">
        <v>0</v>
      </c>
      <c r="AG191" s="52" t="n">
        <v>0</v>
      </c>
      <c r="AH191" s="52" t="n">
        <v>0</v>
      </c>
      <c r="AI191" s="52" t="n">
        <v>0</v>
      </c>
      <c r="AJ191" s="52" t="n">
        <v>0</v>
      </c>
      <c r="AK191" s="52" t="n">
        <v>0</v>
      </c>
      <c r="AL191" s="52" t="n">
        <v>0</v>
      </c>
      <c r="AM191" s="53" t="n">
        <v>0</v>
      </c>
      <c r="AN191" s="53" t="n">
        <v>0</v>
      </c>
      <c r="AO191" s="53" t="n">
        <v>0</v>
      </c>
      <c r="AP191" s="53" t="n">
        <v>0</v>
      </c>
      <c r="AQ191" s="52" t="n">
        <v>0</v>
      </c>
      <c r="AR191" s="52" t="n">
        <v>0</v>
      </c>
      <c r="AS191" s="52" t="n">
        <v>0</v>
      </c>
      <c r="AT191" s="52" t="n">
        <v>0</v>
      </c>
      <c r="AU191" s="53" t="n">
        <v>0</v>
      </c>
      <c r="AV191" s="53" t="n">
        <v>0</v>
      </c>
      <c r="AW191" s="53" t="n">
        <v>0</v>
      </c>
      <c r="AX191" s="53" t="n">
        <v>0</v>
      </c>
      <c r="AY191" s="52" t="n">
        <v>0</v>
      </c>
      <c r="AZ191" s="52" t="n">
        <v>0</v>
      </c>
      <c r="BA191" s="52" t="n">
        <v>0</v>
      </c>
      <c r="BB191" s="52" t="n">
        <v>0</v>
      </c>
      <c r="BC191" s="51" t="n">
        <v>0</v>
      </c>
      <c r="BD191" s="51" t="n">
        <v>0</v>
      </c>
      <c r="BE191" s="51" t="n">
        <v>0</v>
      </c>
      <c r="BF191" s="51" t="n">
        <v>0</v>
      </c>
    </row>
    <row r="192">
      <c r="A192">
        <f>HYPERLINK("https://www.walmart.com/ip/5495967250", "5495967250")</f>
        <v/>
      </c>
      <c r="B192" t="inlineStr">
        <is>
          <t>Catalonia Plush Fleece Blanket Couch Throw Christmas Theme Shu Velveteen Lambswool Reversible Warm Super Soft 61” x 50“</t>
        </is>
      </c>
      <c r="C192" t="inlineStr">
        <is>
          <t>1CTBF600FRUITPIE</t>
        </is>
      </c>
      <c r="D192" t="inlineStr">
        <is>
          <t>Throws</t>
        </is>
      </c>
      <c r="E192" t="inlineStr">
        <is>
          <t>Catalonia</t>
        </is>
      </c>
      <c r="G192" s="48" t="n">
        <v>0</v>
      </c>
      <c r="H192" s="48" t="n">
        <v>0</v>
      </c>
      <c r="I192" s="48" t="n">
        <v>0</v>
      </c>
      <c r="J192" s="48" t="n">
        <v>0</v>
      </c>
      <c r="K192" s="49" t="n">
        <v>0</v>
      </c>
      <c r="L192" s="49" t="n">
        <v>0</v>
      </c>
      <c r="M192" s="49" t="n">
        <v>0</v>
      </c>
      <c r="N192" s="49" t="n">
        <v>0</v>
      </c>
      <c r="O192" s="49" t="n">
        <v>0</v>
      </c>
      <c r="P192" s="49" t="n">
        <v>0</v>
      </c>
      <c r="Q192" s="49" t="n">
        <v>0</v>
      </c>
      <c r="R192" s="49" t="n">
        <v>0</v>
      </c>
      <c r="S192" s="50" t="n">
        <v>0</v>
      </c>
      <c r="T192" s="50" t="n">
        <v>0</v>
      </c>
      <c r="U192" s="50" t="n">
        <v>0</v>
      </c>
      <c r="V192" s="50" t="n">
        <v>0</v>
      </c>
      <c r="W192" s="51" t="n">
        <v>0</v>
      </c>
      <c r="X192" s="51" t="n">
        <v>0</v>
      </c>
      <c r="Y192" s="51" t="n">
        <v>0</v>
      </c>
      <c r="Z192" s="51" t="n">
        <v>0</v>
      </c>
      <c r="AA192" s="52" t="n">
        <v>0</v>
      </c>
      <c r="AB192" s="52" t="n">
        <v>0</v>
      </c>
      <c r="AC192" s="52" t="n">
        <v>0</v>
      </c>
      <c r="AD192" s="52" t="n">
        <v>0</v>
      </c>
      <c r="AE192" s="52" t="n">
        <v>0</v>
      </c>
      <c r="AF192" s="52" t="n">
        <v>0</v>
      </c>
      <c r="AG192" s="52" t="n">
        <v>0</v>
      </c>
      <c r="AH192" s="52" t="n">
        <v>0</v>
      </c>
      <c r="AI192" s="52" t="n">
        <v>0</v>
      </c>
      <c r="AJ192" s="52" t="n">
        <v>0</v>
      </c>
      <c r="AK192" s="52" t="n">
        <v>0</v>
      </c>
      <c r="AL192" s="52" t="n">
        <v>0</v>
      </c>
      <c r="AM192" s="53" t="n">
        <v>0</v>
      </c>
      <c r="AN192" s="53" t="n">
        <v>0</v>
      </c>
      <c r="AO192" s="53" t="n">
        <v>0</v>
      </c>
      <c r="AP192" s="53" t="n">
        <v>0</v>
      </c>
      <c r="AQ192" s="52" t="n">
        <v>0</v>
      </c>
      <c r="AR192" s="52" t="n">
        <v>0</v>
      </c>
      <c r="AS192" s="52" t="n">
        <v>0</v>
      </c>
      <c r="AT192" s="52" t="n">
        <v>0</v>
      </c>
      <c r="AU192" s="53" t="n">
        <v>0</v>
      </c>
      <c r="AV192" s="53" t="n">
        <v>0</v>
      </c>
      <c r="AW192" s="53" t="n">
        <v>0</v>
      </c>
      <c r="AX192" s="53" t="n">
        <v>0</v>
      </c>
      <c r="AY192" s="52" t="n">
        <v>0</v>
      </c>
      <c r="AZ192" s="52" t="n">
        <v>0</v>
      </c>
      <c r="BA192" s="52" t="n">
        <v>0</v>
      </c>
      <c r="BB192" s="52" t="n">
        <v>0</v>
      </c>
      <c r="BC192" s="51" t="n">
        <v>0</v>
      </c>
      <c r="BD192" s="51" t="n">
        <v>0</v>
      </c>
      <c r="BE192" s="51" t="n">
        <v>0</v>
      </c>
      <c r="BF192" s="51" t="n">
        <v>0</v>
      </c>
    </row>
    <row r="193">
      <c r="A193">
        <f>HYPERLINK("https://www.walmart.com/ip/551700085", "551700085")</f>
        <v/>
      </c>
      <c r="B193" t="inlineStr">
        <is>
          <t>Tirrinia Insulated Lunch Bag for Women Men, Leakproof Thermal Reusable Lunch Box Tote for Adult &amp; Kids by Tirrinia, Lunch Cooler for Office Work, Teal</t>
        </is>
      </c>
      <c r="C193" t="inlineStr">
        <is>
          <t>1WMLB701P1TL</t>
        </is>
      </c>
      <c r="D193" t="inlineStr">
        <is>
          <t>Reusable Lunch Bags &amp; Boxes</t>
        </is>
      </c>
      <c r="E193" t="inlineStr">
        <is>
          <t>Flyingstar</t>
        </is>
      </c>
      <c r="F193" t="inlineStr">
        <is>
          <t>Q2-Target,Lunch Bag,Lunch Bags,SEM</t>
        </is>
      </c>
      <c r="G193" s="48" t="n">
        <v>0</v>
      </c>
      <c r="H193" s="48" t="n">
        <v>0</v>
      </c>
      <c r="I193" s="48" t="n">
        <v>0</v>
      </c>
      <c r="J193" s="48" t="n">
        <v>0</v>
      </c>
      <c r="K193" s="49" t="n">
        <v>0</v>
      </c>
      <c r="L193" s="49" t="n">
        <v>0</v>
      </c>
      <c r="M193" s="49" t="n">
        <v>0</v>
      </c>
      <c r="N193" s="49" t="n">
        <v>0</v>
      </c>
      <c r="O193" s="49" t="n">
        <v>0</v>
      </c>
      <c r="P193" s="49" t="n">
        <v>0</v>
      </c>
      <c r="Q193" s="49" t="n">
        <v>0</v>
      </c>
      <c r="R193" s="49" t="n">
        <v>0</v>
      </c>
      <c r="S193" s="50" t="n">
        <v>0</v>
      </c>
      <c r="T193" s="50" t="n">
        <v>0</v>
      </c>
      <c r="U193" s="50" t="n">
        <v>0</v>
      </c>
      <c r="V193" s="50" t="n">
        <v>0</v>
      </c>
      <c r="W193" s="51" t="n">
        <v>0</v>
      </c>
      <c r="X193" s="51" t="n">
        <v>0</v>
      </c>
      <c r="Y193" s="51" t="n">
        <v>0</v>
      </c>
      <c r="Z193" s="51" t="n">
        <v>0</v>
      </c>
      <c r="AA193" s="52" t="n">
        <v>0</v>
      </c>
      <c r="AB193" s="52" t="n">
        <v>0</v>
      </c>
      <c r="AC193" s="52" t="n">
        <v>0</v>
      </c>
      <c r="AD193" s="52" t="n">
        <v>0</v>
      </c>
      <c r="AE193" s="52" t="n">
        <v>0</v>
      </c>
      <c r="AF193" s="52" t="n">
        <v>0</v>
      </c>
      <c r="AG193" s="52" t="n">
        <v>0</v>
      </c>
      <c r="AH193" s="52" t="n">
        <v>0</v>
      </c>
      <c r="AI193" s="52" t="n">
        <v>0</v>
      </c>
      <c r="AJ193" s="52" t="n">
        <v>0</v>
      </c>
      <c r="AK193" s="52" t="n">
        <v>0</v>
      </c>
      <c r="AL193" s="52" t="n">
        <v>0</v>
      </c>
      <c r="AM193" s="53" t="n">
        <v>0</v>
      </c>
      <c r="AN193" s="53" t="n">
        <v>0</v>
      </c>
      <c r="AO193" s="53" t="n">
        <v>0</v>
      </c>
      <c r="AP193" s="53" t="n">
        <v>0</v>
      </c>
      <c r="AQ193" s="52" t="n">
        <v>0</v>
      </c>
      <c r="AR193" s="52" t="n">
        <v>0</v>
      </c>
      <c r="AS193" s="52" t="n">
        <v>0</v>
      </c>
      <c r="AT193" s="52" t="n">
        <v>0</v>
      </c>
      <c r="AU193" s="53" t="n">
        <v>0</v>
      </c>
      <c r="AV193" s="53" t="n">
        <v>0</v>
      </c>
      <c r="AW193" s="53" t="n">
        <v>0</v>
      </c>
      <c r="AX193" s="53" t="n">
        <v>0</v>
      </c>
      <c r="AY193" s="52" t="n">
        <v>0</v>
      </c>
      <c r="AZ193" s="52" t="n">
        <v>0</v>
      </c>
      <c r="BA193" s="52" t="n">
        <v>0</v>
      </c>
      <c r="BB193" s="52" t="n">
        <v>0</v>
      </c>
      <c r="BC193" s="51" t="n">
        <v>0</v>
      </c>
      <c r="BD193" s="51" t="n">
        <v>0</v>
      </c>
      <c r="BE193" s="51" t="n">
        <v>0</v>
      </c>
      <c r="BF193" s="51" t="n">
        <v>0</v>
      </c>
    </row>
    <row r="194">
      <c r="A194">
        <f>HYPERLINK("https://www.walmart.com/ip/597594664", "597594664")</f>
        <v/>
      </c>
      <c r="B194" t="inlineStr">
        <is>
          <t>Tirrinia Stemless Insulated Wine Tumbler with Lid, Stainless Steel Double Walled Metal Wine and Champagne Tumbler, Rose Gold, 12oz, 2-Pack</t>
        </is>
      </c>
      <c r="C194" t="inlineStr">
        <is>
          <t>1WMWT120RG -2PK</t>
        </is>
      </c>
      <c r="D194" t="inlineStr">
        <is>
          <t>Tumblers</t>
        </is>
      </c>
      <c r="E194" t="inlineStr">
        <is>
          <t>Flyingstar</t>
        </is>
      </c>
      <c r="F194" t="inlineStr">
        <is>
          <t>Wine,Christmas,Wine WFS,Valentine</t>
        </is>
      </c>
      <c r="G194" s="48" t="n">
        <v>0</v>
      </c>
      <c r="H194" s="48" t="n">
        <v>0</v>
      </c>
      <c r="I194" s="48" t="n">
        <v>0</v>
      </c>
      <c r="J194" s="48" t="n">
        <v>0</v>
      </c>
      <c r="K194" s="49" t="n">
        <v>0</v>
      </c>
      <c r="L194" s="49" t="n">
        <v>0</v>
      </c>
      <c r="M194" s="49" t="n">
        <v>0</v>
      </c>
      <c r="N194" s="49" t="n">
        <v>0</v>
      </c>
      <c r="O194" s="49" t="n">
        <v>0</v>
      </c>
      <c r="P194" s="49" t="n">
        <v>0</v>
      </c>
      <c r="Q194" s="49" t="n">
        <v>0</v>
      </c>
      <c r="R194" s="49" t="n">
        <v>0</v>
      </c>
      <c r="S194" s="50" t="n">
        <v>0</v>
      </c>
      <c r="T194" s="50" t="n">
        <v>0</v>
      </c>
      <c r="U194" s="50" t="n">
        <v>0</v>
      </c>
      <c r="V194" s="50" t="n">
        <v>0</v>
      </c>
      <c r="W194" s="51" t="n">
        <v>0</v>
      </c>
      <c r="X194" s="51" t="n">
        <v>0</v>
      </c>
      <c r="Y194" s="51" t="n">
        <v>0</v>
      </c>
      <c r="Z194" s="51" t="n">
        <v>0</v>
      </c>
      <c r="AA194" s="52" t="n">
        <v>0</v>
      </c>
      <c r="AB194" s="52" t="n">
        <v>0</v>
      </c>
      <c r="AC194" s="52" t="n">
        <v>0</v>
      </c>
      <c r="AD194" s="52" t="n">
        <v>0</v>
      </c>
      <c r="AE194" s="52" t="n">
        <v>0</v>
      </c>
      <c r="AF194" s="52" t="n">
        <v>0</v>
      </c>
      <c r="AG194" s="52" t="n">
        <v>0</v>
      </c>
      <c r="AH194" s="52" t="n">
        <v>0</v>
      </c>
      <c r="AI194" s="52" t="n">
        <v>0</v>
      </c>
      <c r="AJ194" s="52" t="n">
        <v>0</v>
      </c>
      <c r="AK194" s="52" t="n">
        <v>0</v>
      </c>
      <c r="AL194" s="52" t="n">
        <v>0</v>
      </c>
      <c r="AM194" s="53" t="n">
        <v>0</v>
      </c>
      <c r="AN194" s="53" t="n">
        <v>0</v>
      </c>
      <c r="AO194" s="53" t="n">
        <v>0</v>
      </c>
      <c r="AP194" s="53" t="n">
        <v>0</v>
      </c>
      <c r="AQ194" s="52" t="n">
        <v>0</v>
      </c>
      <c r="AR194" s="52" t="n">
        <v>0</v>
      </c>
      <c r="AS194" s="52" t="n">
        <v>0</v>
      </c>
      <c r="AT194" s="52" t="n">
        <v>0</v>
      </c>
      <c r="AU194" s="53" t="n">
        <v>0</v>
      </c>
      <c r="AV194" s="53" t="n">
        <v>0</v>
      </c>
      <c r="AW194" s="53" t="n">
        <v>0</v>
      </c>
      <c r="AX194" s="53" t="n">
        <v>0</v>
      </c>
      <c r="AY194" s="52" t="n">
        <v>0</v>
      </c>
      <c r="AZ194" s="52" t="n">
        <v>0</v>
      </c>
      <c r="BA194" s="52" t="n">
        <v>0</v>
      </c>
      <c r="BB194" s="52" t="n">
        <v>0</v>
      </c>
      <c r="BC194" s="51" t="n">
        <v>0</v>
      </c>
      <c r="BD194" s="51" t="n">
        <v>0</v>
      </c>
      <c r="BE194" s="51" t="n">
        <v>0</v>
      </c>
      <c r="BF194" s="51" t="n">
        <v>0</v>
      </c>
    </row>
    <row r="195">
      <c r="A195">
        <f>HYPERLINK("https://www.walmart.com/ip/551967690", "551967690")</f>
        <v/>
      </c>
      <c r="B195" t="inlineStr">
        <is>
          <t>Tirrinia Insulated Lunch Box for Women Men, Leakproof Thermal Reusable Lunch Bag with 2 Zipper Pockets for Adult &amp; Kids, Lunch Bag Cooler Tote for Office Work, Green Orange</t>
        </is>
      </c>
      <c r="C195" t="inlineStr">
        <is>
          <t>1TRLB705GNOR</t>
        </is>
      </c>
      <c r="D195" t="inlineStr">
        <is>
          <t>Reusable Lunch Bags &amp; Boxes</t>
        </is>
      </c>
      <c r="E195" t="inlineStr">
        <is>
          <t>Tirrinia</t>
        </is>
      </c>
      <c r="F195" t="inlineStr">
        <is>
          <t>Brand Camp VD,Lunch Bag,WFS,Lunch Bags,SEM,WFS Item,ST Patrick Day</t>
        </is>
      </c>
      <c r="G195" s="48" t="n">
        <v>0</v>
      </c>
      <c r="H195" s="48" t="n">
        <v>0</v>
      </c>
      <c r="I195" s="48" t="n">
        <v>38.94</v>
      </c>
      <c r="J195" s="48" t="n">
        <v>0</v>
      </c>
      <c r="K195" s="49" t="n">
        <v>0</v>
      </c>
      <c r="L195" s="49" t="n">
        <v>0</v>
      </c>
      <c r="M195" s="49" t="n">
        <v>3</v>
      </c>
      <c r="N195" s="49" t="n">
        <v>0</v>
      </c>
      <c r="O195" s="49" t="n">
        <v>0</v>
      </c>
      <c r="P195" s="49" t="n">
        <v>0</v>
      </c>
      <c r="Q195" s="49" t="n">
        <v>0</v>
      </c>
      <c r="R195" s="49" t="n">
        <v>0</v>
      </c>
      <c r="S195" s="50" t="n">
        <v>0</v>
      </c>
      <c r="T195" s="50" t="n">
        <v>0</v>
      </c>
      <c r="U195" s="50" t="n">
        <v>0</v>
      </c>
      <c r="V195" s="50" t="n">
        <v>0</v>
      </c>
      <c r="W195" s="51" t="n">
        <v>0</v>
      </c>
      <c r="X195" s="51" t="n">
        <v>0</v>
      </c>
      <c r="Y195" s="51" t="n">
        <v>0</v>
      </c>
      <c r="Z195" s="51" t="n">
        <v>0</v>
      </c>
      <c r="AA195" s="52" t="n">
        <v>0</v>
      </c>
      <c r="AB195" s="52" t="n">
        <v>0</v>
      </c>
      <c r="AC195" s="52" t="n">
        <v>0</v>
      </c>
      <c r="AD195" s="52" t="n">
        <v>0</v>
      </c>
      <c r="AE195" s="52" t="n">
        <v>0</v>
      </c>
      <c r="AF195" s="52" t="n">
        <v>0</v>
      </c>
      <c r="AG195" s="52" t="n">
        <v>0</v>
      </c>
      <c r="AH195" s="52" t="n">
        <v>0</v>
      </c>
      <c r="AI195" s="52" t="n">
        <v>0</v>
      </c>
      <c r="AJ195" s="52" t="n">
        <v>0</v>
      </c>
      <c r="AK195" s="52" t="n">
        <v>0</v>
      </c>
      <c r="AL195" s="52" t="n">
        <v>0</v>
      </c>
      <c r="AM195" s="53" t="n">
        <v>0</v>
      </c>
      <c r="AN195" s="53" t="n">
        <v>0</v>
      </c>
      <c r="AO195" s="53" t="n">
        <v>0</v>
      </c>
      <c r="AP195" s="53" t="n">
        <v>0</v>
      </c>
      <c r="AQ195" s="52" t="n">
        <v>0</v>
      </c>
      <c r="AR195" s="52" t="n">
        <v>0</v>
      </c>
      <c r="AS195" s="52" t="n">
        <v>0</v>
      </c>
      <c r="AT195" s="52" t="n">
        <v>0</v>
      </c>
      <c r="AU195" s="53" t="n">
        <v>0</v>
      </c>
      <c r="AV195" s="53" t="n">
        <v>0</v>
      </c>
      <c r="AW195" s="53" t="n">
        <v>0</v>
      </c>
      <c r="AX195" s="53" t="n">
        <v>0</v>
      </c>
      <c r="AY195" s="52" t="n">
        <v>0</v>
      </c>
      <c r="AZ195" s="52" t="n">
        <v>0</v>
      </c>
      <c r="BA195" s="52" t="n">
        <v>12.98</v>
      </c>
      <c r="BB195" s="52" t="n">
        <v>0</v>
      </c>
      <c r="BC195" s="51" t="n">
        <v>0</v>
      </c>
      <c r="BD195" s="51" t="n">
        <v>0</v>
      </c>
      <c r="BE195" s="51" t="n">
        <v>0</v>
      </c>
      <c r="BF195" s="51" t="n">
        <v>0</v>
      </c>
    </row>
    <row r="196">
      <c r="A196">
        <f>HYPERLINK("https://www.walmart.com/ip/551981396", "551981396")</f>
        <v/>
      </c>
      <c r="B196" t="inlineStr">
        <is>
          <t>Fleece Blanket Wearable with Sleeves &amp; Foot pockets for Men and Women, Micro Plush Wrap Sleeved Throw Blanket Robe Multi-Colors 75”x53” by Catalonia</t>
        </is>
      </c>
      <c r="C196" t="inlineStr">
        <is>
          <t>1CTSN101LG</t>
        </is>
      </c>
      <c r="D196" t="inlineStr">
        <is>
          <t>Throws</t>
        </is>
      </c>
      <c r="E196" t="inlineStr">
        <is>
          <t>Catalonia</t>
        </is>
      </c>
      <c r="F196" t="inlineStr">
        <is>
          <t>WFS,Coupon_Discount,WFS Item,Fleece Blankets</t>
        </is>
      </c>
      <c r="G196" s="48" t="n">
        <v>0</v>
      </c>
      <c r="H196" s="48" t="n">
        <v>0</v>
      </c>
      <c r="I196" s="48" t="n">
        <v>0</v>
      </c>
      <c r="J196" s="48" t="n">
        <v>0</v>
      </c>
      <c r="K196" s="49" t="n">
        <v>0</v>
      </c>
      <c r="L196" s="49" t="n">
        <v>0</v>
      </c>
      <c r="M196" s="49" t="n">
        <v>0</v>
      </c>
      <c r="N196" s="49" t="n">
        <v>0</v>
      </c>
      <c r="O196" s="49" t="n">
        <v>0</v>
      </c>
      <c r="P196" s="49" t="n">
        <v>0</v>
      </c>
      <c r="Q196" s="49" t="n">
        <v>0</v>
      </c>
      <c r="R196" s="49" t="n">
        <v>0</v>
      </c>
      <c r="S196" s="50" t="n">
        <v>0</v>
      </c>
      <c r="T196" s="50" t="n">
        <v>0</v>
      </c>
      <c r="U196" s="50" t="n">
        <v>0</v>
      </c>
      <c r="V196" s="50" t="n">
        <v>0</v>
      </c>
      <c r="W196" s="51" t="n">
        <v>0</v>
      </c>
      <c r="X196" s="51" t="n">
        <v>0</v>
      </c>
      <c r="Y196" s="51" t="n">
        <v>0</v>
      </c>
      <c r="Z196" s="51" t="n">
        <v>0</v>
      </c>
      <c r="AA196" s="52" t="n">
        <v>0</v>
      </c>
      <c r="AB196" s="52" t="n">
        <v>0</v>
      </c>
      <c r="AC196" s="52" t="n">
        <v>0</v>
      </c>
      <c r="AD196" s="52" t="n">
        <v>0</v>
      </c>
      <c r="AE196" s="52" t="n">
        <v>0</v>
      </c>
      <c r="AF196" s="52" t="n">
        <v>0</v>
      </c>
      <c r="AG196" s="52" t="n">
        <v>0</v>
      </c>
      <c r="AH196" s="52" t="n">
        <v>0</v>
      </c>
      <c r="AI196" s="52" t="n">
        <v>0</v>
      </c>
      <c r="AJ196" s="52" t="n">
        <v>0</v>
      </c>
      <c r="AK196" s="52" t="n">
        <v>0</v>
      </c>
      <c r="AL196" s="52" t="n">
        <v>0</v>
      </c>
      <c r="AM196" s="53" t="n">
        <v>0</v>
      </c>
      <c r="AN196" s="53" t="n">
        <v>0</v>
      </c>
      <c r="AO196" s="53" t="n">
        <v>0</v>
      </c>
      <c r="AP196" s="53" t="n">
        <v>0</v>
      </c>
      <c r="AQ196" s="52" t="n">
        <v>0</v>
      </c>
      <c r="AR196" s="52" t="n">
        <v>0</v>
      </c>
      <c r="AS196" s="52" t="n">
        <v>0</v>
      </c>
      <c r="AT196" s="52" t="n">
        <v>0</v>
      </c>
      <c r="AU196" s="53" t="n">
        <v>0</v>
      </c>
      <c r="AV196" s="53" t="n">
        <v>0</v>
      </c>
      <c r="AW196" s="53" t="n">
        <v>0</v>
      </c>
      <c r="AX196" s="53" t="n">
        <v>0</v>
      </c>
      <c r="AY196" s="52" t="n">
        <v>0</v>
      </c>
      <c r="AZ196" s="52" t="n">
        <v>0</v>
      </c>
      <c r="BA196" s="52" t="n">
        <v>0</v>
      </c>
      <c r="BB196" s="52" t="n">
        <v>0</v>
      </c>
      <c r="BC196" s="51" t="n">
        <v>0</v>
      </c>
      <c r="BD196" s="51" t="n">
        <v>0</v>
      </c>
      <c r="BE196" s="51" t="n">
        <v>0</v>
      </c>
      <c r="BF196" s="51" t="n">
        <v>0</v>
      </c>
    </row>
    <row r="197">
      <c r="A197">
        <f>HYPERLINK("https://www.walmart.com/ip/561712246", "561712246")</f>
        <v/>
      </c>
      <c r="B197" t="inlineStr">
        <is>
          <t>Dickies Basic Insulated Lunch Bag for Work, Thermal Reusable Office Lunch Box for Men, Women (Purple)</t>
        </is>
      </c>
      <c r="C197" t="inlineStr">
        <is>
          <t>DK-LUNCH-BASICBOX-GREYCAMO</t>
        </is>
      </c>
      <c r="D197" t="inlineStr">
        <is>
          <t>Reusable Lunch Bags &amp; Boxes</t>
        </is>
      </c>
      <c r="E197" t="inlineStr">
        <is>
          <t>Dickies</t>
        </is>
      </c>
      <c r="G197" s="48" t="n">
        <v>0</v>
      </c>
      <c r="H197" s="48" t="n">
        <v>0</v>
      </c>
      <c r="I197" s="48" t="n">
        <v>0</v>
      </c>
      <c r="J197" s="48" t="n">
        <v>0</v>
      </c>
      <c r="K197" s="49" t="n">
        <v>0</v>
      </c>
      <c r="L197" s="49" t="n">
        <v>0</v>
      </c>
      <c r="M197" s="49" t="n">
        <v>0</v>
      </c>
      <c r="N197" s="49" t="n">
        <v>0</v>
      </c>
      <c r="O197" s="49" t="n">
        <v>0</v>
      </c>
      <c r="P197" s="49" t="n">
        <v>0</v>
      </c>
      <c r="Q197" s="49" t="n">
        <v>0</v>
      </c>
      <c r="R197" s="49" t="n">
        <v>0</v>
      </c>
      <c r="S197" s="50" t="n">
        <v>0</v>
      </c>
      <c r="T197" s="50" t="n">
        <v>0</v>
      </c>
      <c r="U197" s="50" t="n">
        <v>0</v>
      </c>
      <c r="V197" s="50" t="n">
        <v>0</v>
      </c>
      <c r="W197" s="51" t="n">
        <v>0</v>
      </c>
      <c r="X197" s="51" t="n">
        <v>0</v>
      </c>
      <c r="Y197" s="51" t="n">
        <v>0</v>
      </c>
      <c r="Z197" s="51" t="n">
        <v>0</v>
      </c>
      <c r="AA197" s="52" t="n">
        <v>0</v>
      </c>
      <c r="AB197" s="52" t="n">
        <v>0</v>
      </c>
      <c r="AC197" s="52" t="n">
        <v>0</v>
      </c>
      <c r="AD197" s="52" t="n">
        <v>0</v>
      </c>
      <c r="AE197" s="52" t="n">
        <v>0</v>
      </c>
      <c r="AF197" s="52" t="n">
        <v>0</v>
      </c>
      <c r="AG197" s="52" t="n">
        <v>0</v>
      </c>
      <c r="AH197" s="52" t="n">
        <v>0</v>
      </c>
      <c r="AI197" s="52" t="n">
        <v>0</v>
      </c>
      <c r="AJ197" s="52" t="n">
        <v>0</v>
      </c>
      <c r="AK197" s="52" t="n">
        <v>0</v>
      </c>
      <c r="AL197" s="52" t="n">
        <v>0</v>
      </c>
      <c r="AM197" s="53" t="n">
        <v>0</v>
      </c>
      <c r="AN197" s="53" t="n">
        <v>0</v>
      </c>
      <c r="AO197" s="53" t="n">
        <v>0</v>
      </c>
      <c r="AP197" s="53" t="n">
        <v>0</v>
      </c>
      <c r="AQ197" s="52" t="n">
        <v>0</v>
      </c>
      <c r="AR197" s="52" t="n">
        <v>0</v>
      </c>
      <c r="AS197" s="52" t="n">
        <v>0</v>
      </c>
      <c r="AT197" s="52" t="n">
        <v>0</v>
      </c>
      <c r="AU197" s="53" t="n">
        <v>0</v>
      </c>
      <c r="AV197" s="53" t="n">
        <v>0</v>
      </c>
      <c r="AW197" s="53" t="n">
        <v>0</v>
      </c>
      <c r="AX197" s="53" t="n">
        <v>0</v>
      </c>
      <c r="AY197" s="52" t="n">
        <v>0</v>
      </c>
      <c r="AZ197" s="52" t="n">
        <v>0</v>
      </c>
      <c r="BA197" s="52" t="n">
        <v>0</v>
      </c>
      <c r="BB197" s="52" t="n">
        <v>0</v>
      </c>
      <c r="BC197" s="51" t="n">
        <v>0</v>
      </c>
      <c r="BD197" s="51" t="n">
        <v>0</v>
      </c>
      <c r="BE197" s="51" t="n">
        <v>0</v>
      </c>
      <c r="BF197" s="51" t="n">
        <v>0</v>
      </c>
    </row>
    <row r="198">
      <c r="A198">
        <f>HYPERLINK("https://www.walmart.com/ip/5609831109", "5609831109")</f>
        <v/>
      </c>
      <c r="B198" t="inlineStr">
        <is>
          <t>Tirrinia  Camping Cooler Bag Insulated w/ Shoulder Strap and Bottle Opener 20 Cans Portable Ice Chest for Camping Hiking Picnic Beach</t>
        </is>
      </c>
      <c r="C198" t="inlineStr">
        <is>
          <t>1TRCB00130BK</t>
        </is>
      </c>
      <c r="D198" t="inlineStr">
        <is>
          <t>Soft-Sided Coolers</t>
        </is>
      </c>
      <c r="E198" t="inlineStr">
        <is>
          <t>Tirrinia</t>
        </is>
      </c>
      <c r="G198" s="48" t="n">
        <v>0</v>
      </c>
      <c r="H198" s="48" t="n">
        <v>21.99</v>
      </c>
      <c r="I198" s="48" t="n">
        <v>0</v>
      </c>
      <c r="J198" s="48" t="n">
        <v>0</v>
      </c>
      <c r="K198" s="49" t="n">
        <v>0</v>
      </c>
      <c r="L198" s="49" t="n">
        <v>1</v>
      </c>
      <c r="M198" s="49" t="n">
        <v>0</v>
      </c>
      <c r="N198" s="49" t="n">
        <v>0</v>
      </c>
      <c r="O198" s="49" t="n">
        <v>0</v>
      </c>
      <c r="P198" s="49" t="n">
        <v>0</v>
      </c>
      <c r="Q198" s="49" t="n">
        <v>0</v>
      </c>
      <c r="R198" s="49" t="n">
        <v>0</v>
      </c>
      <c r="S198" s="50" t="n">
        <v>0</v>
      </c>
      <c r="T198" s="50" t="n">
        <v>0</v>
      </c>
      <c r="U198" s="50" t="n">
        <v>0</v>
      </c>
      <c r="V198" s="50" t="n">
        <v>0</v>
      </c>
      <c r="W198" s="51" t="n">
        <v>0</v>
      </c>
      <c r="X198" s="51" t="n">
        <v>0</v>
      </c>
      <c r="Y198" s="51" t="n">
        <v>0</v>
      </c>
      <c r="Z198" s="51" t="n">
        <v>0</v>
      </c>
      <c r="AA198" s="52" t="n">
        <v>0</v>
      </c>
      <c r="AB198" s="52" t="n">
        <v>0</v>
      </c>
      <c r="AC198" s="52" t="n">
        <v>0</v>
      </c>
      <c r="AD198" s="52" t="n">
        <v>0</v>
      </c>
      <c r="AE198" s="52" t="n">
        <v>0</v>
      </c>
      <c r="AF198" s="52" t="n">
        <v>0</v>
      </c>
      <c r="AG198" s="52" t="n">
        <v>0</v>
      </c>
      <c r="AH198" s="52" t="n">
        <v>0</v>
      </c>
      <c r="AI198" s="52" t="n">
        <v>0</v>
      </c>
      <c r="AJ198" s="52" t="n">
        <v>0</v>
      </c>
      <c r="AK198" s="52" t="n">
        <v>0</v>
      </c>
      <c r="AL198" s="52" t="n">
        <v>0</v>
      </c>
      <c r="AM198" s="53" t="n">
        <v>0</v>
      </c>
      <c r="AN198" s="53" t="n">
        <v>0</v>
      </c>
      <c r="AO198" s="53" t="n">
        <v>0</v>
      </c>
      <c r="AP198" s="53" t="n">
        <v>0</v>
      </c>
      <c r="AQ198" s="52" t="n">
        <v>0</v>
      </c>
      <c r="AR198" s="52" t="n">
        <v>0</v>
      </c>
      <c r="AS198" s="52" t="n">
        <v>0</v>
      </c>
      <c r="AT198" s="52" t="n">
        <v>0</v>
      </c>
      <c r="AU198" s="53" t="n">
        <v>0</v>
      </c>
      <c r="AV198" s="53" t="n">
        <v>0</v>
      </c>
      <c r="AW198" s="53" t="n">
        <v>0</v>
      </c>
      <c r="AX198" s="53" t="n">
        <v>0</v>
      </c>
      <c r="AY198" s="52" t="n">
        <v>0</v>
      </c>
      <c r="AZ198" s="52" t="n">
        <v>21.99</v>
      </c>
      <c r="BA198" s="52" t="n">
        <v>0</v>
      </c>
      <c r="BB198" s="52" t="n">
        <v>0</v>
      </c>
      <c r="BC198" s="51" t="n">
        <v>0</v>
      </c>
      <c r="BD198" s="51" t="n">
        <v>0</v>
      </c>
      <c r="BE198" s="51" t="n">
        <v>0</v>
      </c>
      <c r="BF198" s="51" t="n">
        <v>0</v>
      </c>
    </row>
    <row r="199">
      <c r="A199">
        <f>HYPERLINK("https://www.walmart.com/ip/5606433843", "5606433843")</f>
        <v/>
      </c>
      <c r="B199" t="inlineStr">
        <is>
          <t>Tirrinia  Camping Cooler Bag Insulated w/ Shoulder Strap and Bottle Opener 20 Cans Portable Ice Chest for Camping Hiking Picnic Beach Black</t>
        </is>
      </c>
      <c r="C199" t="inlineStr">
        <is>
          <t>1TRCB00120BK</t>
        </is>
      </c>
      <c r="D199" t="inlineStr">
        <is>
          <t>Soft-Sided Coolers</t>
        </is>
      </c>
      <c r="E199" t="inlineStr">
        <is>
          <t>Tirrinia</t>
        </is>
      </c>
      <c r="G199" s="48" t="n">
        <v>0</v>
      </c>
      <c r="H199" s="48" t="n">
        <v>24.99</v>
      </c>
      <c r="I199" s="48" t="n">
        <v>0</v>
      </c>
      <c r="J199" s="48" t="n">
        <v>0</v>
      </c>
      <c r="K199" s="49" t="n">
        <v>0</v>
      </c>
      <c r="L199" s="49" t="n">
        <v>1</v>
      </c>
      <c r="M199" s="49" t="n">
        <v>0</v>
      </c>
      <c r="N199" s="49" t="n">
        <v>0</v>
      </c>
      <c r="O199" s="49" t="n">
        <v>0</v>
      </c>
      <c r="P199" s="49" t="n">
        <v>0</v>
      </c>
      <c r="Q199" s="49" t="n">
        <v>0</v>
      </c>
      <c r="R199" s="49" t="n">
        <v>0</v>
      </c>
      <c r="S199" s="50" t="n">
        <v>0</v>
      </c>
      <c r="T199" s="50" t="n">
        <v>0</v>
      </c>
      <c r="U199" s="50" t="n">
        <v>0</v>
      </c>
      <c r="V199" s="50" t="n">
        <v>0</v>
      </c>
      <c r="W199" s="51" t="n">
        <v>0</v>
      </c>
      <c r="X199" s="51" t="n">
        <v>0</v>
      </c>
      <c r="Y199" s="51" t="n">
        <v>0</v>
      </c>
      <c r="Z199" s="51" t="n">
        <v>0</v>
      </c>
      <c r="AA199" s="52" t="n">
        <v>0</v>
      </c>
      <c r="AB199" s="52" t="n">
        <v>0</v>
      </c>
      <c r="AC199" s="52" t="n">
        <v>0</v>
      </c>
      <c r="AD199" s="52" t="n">
        <v>0</v>
      </c>
      <c r="AE199" s="52" t="n">
        <v>0</v>
      </c>
      <c r="AF199" s="52" t="n">
        <v>0</v>
      </c>
      <c r="AG199" s="52" t="n">
        <v>0</v>
      </c>
      <c r="AH199" s="52" t="n">
        <v>0</v>
      </c>
      <c r="AI199" s="52" t="n">
        <v>0</v>
      </c>
      <c r="AJ199" s="52" t="n">
        <v>0</v>
      </c>
      <c r="AK199" s="52" t="n">
        <v>0</v>
      </c>
      <c r="AL199" s="52" t="n">
        <v>0</v>
      </c>
      <c r="AM199" s="53" t="n">
        <v>0</v>
      </c>
      <c r="AN199" s="53" t="n">
        <v>0</v>
      </c>
      <c r="AO199" s="53" t="n">
        <v>0</v>
      </c>
      <c r="AP199" s="53" t="n">
        <v>0</v>
      </c>
      <c r="AQ199" s="52" t="n">
        <v>0</v>
      </c>
      <c r="AR199" s="52" t="n">
        <v>0</v>
      </c>
      <c r="AS199" s="52" t="n">
        <v>0</v>
      </c>
      <c r="AT199" s="52" t="n">
        <v>0</v>
      </c>
      <c r="AU199" s="53" t="n">
        <v>0</v>
      </c>
      <c r="AV199" s="53" t="n">
        <v>0</v>
      </c>
      <c r="AW199" s="53" t="n">
        <v>0</v>
      </c>
      <c r="AX199" s="53" t="n">
        <v>0</v>
      </c>
      <c r="AY199" s="52" t="n">
        <v>0</v>
      </c>
      <c r="AZ199" s="52" t="n">
        <v>24.99</v>
      </c>
      <c r="BA199" s="52" t="n">
        <v>0</v>
      </c>
      <c r="BB199" s="52" t="n">
        <v>0</v>
      </c>
      <c r="BC199" s="51" t="n">
        <v>0</v>
      </c>
      <c r="BD199" s="51" t="n">
        <v>0</v>
      </c>
      <c r="BE199" s="51" t="n">
        <v>0</v>
      </c>
      <c r="BF199" s="51" t="n">
        <v>0</v>
      </c>
    </row>
    <row r="200">
      <c r="A200">
        <f>HYPERLINK("https://www.walmart.com/ip/560042875", "560042875")</f>
        <v/>
      </c>
      <c r="B200" t="inlineStr">
        <is>
          <t>Women’s Swim Bathing Suit Cover Up, Summer Chiffon Backless Beach Dress Skirt</t>
        </is>
      </c>
      <c r="C200" t="inlineStr">
        <is>
          <t>1WMDS110PP</t>
        </is>
      </c>
      <c r="D200" t="inlineStr">
        <is>
          <t>Dresses</t>
        </is>
      </c>
      <c r="E200" t="inlineStr">
        <is>
          <t>Flyingstar</t>
        </is>
      </c>
      <c r="F200" t="inlineStr">
        <is>
          <t>Optimized</t>
        </is>
      </c>
      <c r="G200" s="48" t="n">
        <v>0</v>
      </c>
      <c r="H200" s="48" t="n">
        <v>0</v>
      </c>
      <c r="I200" s="48" t="n">
        <v>0</v>
      </c>
      <c r="J200" s="48" t="n">
        <v>0</v>
      </c>
      <c r="K200" s="49" t="n">
        <v>0</v>
      </c>
      <c r="L200" s="49" t="n">
        <v>0</v>
      </c>
      <c r="M200" s="49" t="n">
        <v>0</v>
      </c>
      <c r="N200" s="49" t="n">
        <v>0</v>
      </c>
      <c r="O200" s="49" t="n">
        <v>0</v>
      </c>
      <c r="P200" s="49" t="n">
        <v>0</v>
      </c>
      <c r="Q200" s="49" t="n">
        <v>0</v>
      </c>
      <c r="R200" s="49" t="n">
        <v>0</v>
      </c>
      <c r="S200" s="50" t="n">
        <v>0</v>
      </c>
      <c r="T200" s="50" t="n">
        <v>0</v>
      </c>
      <c r="U200" s="50" t="n">
        <v>0</v>
      </c>
      <c r="V200" s="50" t="n">
        <v>0</v>
      </c>
      <c r="W200" s="51" t="n">
        <v>0</v>
      </c>
      <c r="X200" s="51" t="n">
        <v>0</v>
      </c>
      <c r="Y200" s="51" t="n">
        <v>0</v>
      </c>
      <c r="Z200" s="51" t="n">
        <v>0</v>
      </c>
      <c r="AA200" s="52" t="n">
        <v>0</v>
      </c>
      <c r="AB200" s="52" t="n">
        <v>0</v>
      </c>
      <c r="AC200" s="52" t="n">
        <v>0</v>
      </c>
      <c r="AD200" s="52" t="n">
        <v>0</v>
      </c>
      <c r="AE200" s="52" t="n">
        <v>0</v>
      </c>
      <c r="AF200" s="52" t="n">
        <v>0</v>
      </c>
      <c r="AG200" s="52" t="n">
        <v>0</v>
      </c>
      <c r="AH200" s="52" t="n">
        <v>0</v>
      </c>
      <c r="AI200" s="52" t="n">
        <v>0</v>
      </c>
      <c r="AJ200" s="52" t="n">
        <v>0</v>
      </c>
      <c r="AK200" s="52" t="n">
        <v>0</v>
      </c>
      <c r="AL200" s="52" t="n">
        <v>0</v>
      </c>
      <c r="AM200" s="53" t="n">
        <v>0</v>
      </c>
      <c r="AN200" s="53" t="n">
        <v>0</v>
      </c>
      <c r="AO200" s="53" t="n">
        <v>0</v>
      </c>
      <c r="AP200" s="53" t="n">
        <v>0</v>
      </c>
      <c r="AQ200" s="52" t="n">
        <v>0</v>
      </c>
      <c r="AR200" s="52" t="n">
        <v>0</v>
      </c>
      <c r="AS200" s="52" t="n">
        <v>0</v>
      </c>
      <c r="AT200" s="52" t="n">
        <v>0</v>
      </c>
      <c r="AU200" s="53" t="n">
        <v>0</v>
      </c>
      <c r="AV200" s="53" t="n">
        <v>0</v>
      </c>
      <c r="AW200" s="53" t="n">
        <v>0</v>
      </c>
      <c r="AX200" s="53" t="n">
        <v>0</v>
      </c>
      <c r="AY200" s="52" t="n">
        <v>0</v>
      </c>
      <c r="AZ200" s="52" t="n">
        <v>0</v>
      </c>
      <c r="BA200" s="52" t="n">
        <v>0</v>
      </c>
      <c r="BB200" s="52" t="n">
        <v>0</v>
      </c>
      <c r="BC200" s="51" t="n">
        <v>0</v>
      </c>
      <c r="BD200" s="51" t="n">
        <v>0</v>
      </c>
      <c r="BE200" s="51" t="n">
        <v>0</v>
      </c>
      <c r="BF200" s="51" t="n">
        <v>0</v>
      </c>
    </row>
    <row r="201">
      <c r="A201">
        <f>HYPERLINK("https://www.walmart.com/ip/6129116557", "6129116557")</f>
        <v/>
      </c>
      <c r="B201" t="inlineStr">
        <is>
          <t>Cute Child Cotton Hooded Poncho Towels Mermaid Cartoon Changing Robe Swimmer Outdoor Beach 23” x 52” By Tirrinia</t>
        </is>
      </c>
      <c r="C201" t="inlineStr">
        <is>
          <t>1TRBR203MUL</t>
        </is>
      </c>
      <c r="D201" t="inlineStr">
        <is>
          <t>Towels &amp; Washcloths</t>
        </is>
      </c>
      <c r="E201" t="inlineStr">
        <is>
          <t>Tirrinia</t>
        </is>
      </c>
      <c r="G201" s="48" t="n">
        <v>0</v>
      </c>
      <c r="H201" s="48" t="n">
        <v>0</v>
      </c>
      <c r="I201" s="48" t="n">
        <v>0</v>
      </c>
      <c r="J201" s="48" t="n">
        <v>17.99</v>
      </c>
      <c r="K201" s="49" t="n">
        <v>0</v>
      </c>
      <c r="L201" s="49" t="n">
        <v>0</v>
      </c>
      <c r="M201" s="49" t="n">
        <v>0</v>
      </c>
      <c r="N201" s="49" t="n">
        <v>1</v>
      </c>
      <c r="O201" s="49" t="n">
        <v>0</v>
      </c>
      <c r="P201" s="49" t="n">
        <v>0</v>
      </c>
      <c r="Q201" s="49" t="n">
        <v>0</v>
      </c>
      <c r="R201" s="49" t="n">
        <v>0</v>
      </c>
      <c r="S201" s="50" t="n">
        <v>0</v>
      </c>
      <c r="T201" s="50" t="n">
        <v>0</v>
      </c>
      <c r="U201" s="50" t="n">
        <v>0</v>
      </c>
      <c r="V201" s="50" t="n">
        <v>0</v>
      </c>
      <c r="W201" s="51" t="n">
        <v>0</v>
      </c>
      <c r="X201" s="51" t="n">
        <v>0</v>
      </c>
      <c r="Y201" s="51" t="n">
        <v>0</v>
      </c>
      <c r="Z201" s="51" t="n">
        <v>0</v>
      </c>
      <c r="AA201" s="52" t="n">
        <v>0</v>
      </c>
      <c r="AB201" s="52" t="n">
        <v>0</v>
      </c>
      <c r="AC201" s="52" t="n">
        <v>0</v>
      </c>
      <c r="AD201" s="52" t="n">
        <v>0</v>
      </c>
      <c r="AE201" s="52" t="n">
        <v>0</v>
      </c>
      <c r="AF201" s="52" t="n">
        <v>0</v>
      </c>
      <c r="AG201" s="52" t="n">
        <v>0</v>
      </c>
      <c r="AH201" s="52" t="n">
        <v>0</v>
      </c>
      <c r="AI201" s="52" t="n">
        <v>0</v>
      </c>
      <c r="AJ201" s="52" t="n">
        <v>0</v>
      </c>
      <c r="AK201" s="52" t="n">
        <v>0</v>
      </c>
      <c r="AL201" s="52" t="n">
        <v>0</v>
      </c>
      <c r="AM201" s="53" t="n">
        <v>0</v>
      </c>
      <c r="AN201" s="53" t="n">
        <v>0</v>
      </c>
      <c r="AO201" s="53" t="n">
        <v>0</v>
      </c>
      <c r="AP201" s="53" t="n">
        <v>0</v>
      </c>
      <c r="AQ201" s="52" t="n">
        <v>0</v>
      </c>
      <c r="AR201" s="52" t="n">
        <v>0</v>
      </c>
      <c r="AS201" s="52" t="n">
        <v>0</v>
      </c>
      <c r="AT201" s="52" t="n">
        <v>0</v>
      </c>
      <c r="AU201" s="53" t="n">
        <v>0</v>
      </c>
      <c r="AV201" s="53" t="n">
        <v>0</v>
      </c>
      <c r="AW201" s="53" t="n">
        <v>0</v>
      </c>
      <c r="AX201" s="53" t="n">
        <v>0</v>
      </c>
      <c r="AY201" s="52" t="n">
        <v>0</v>
      </c>
      <c r="AZ201" s="52" t="n">
        <v>0</v>
      </c>
      <c r="BA201" s="52" t="n">
        <v>0</v>
      </c>
      <c r="BB201" s="52" t="n">
        <v>17.99</v>
      </c>
      <c r="BC201" s="51" t="n">
        <v>0</v>
      </c>
      <c r="BD201" s="51" t="n">
        <v>0</v>
      </c>
      <c r="BE201" s="51" t="n">
        <v>0</v>
      </c>
      <c r="BF201" s="51" t="n">
        <v>0</v>
      </c>
    </row>
    <row r="202">
      <c r="A202">
        <f>HYPERLINK("https://www.walmart.com/ip/5600420592", "5600420592")</f>
        <v/>
      </c>
      <c r="B202" t="inlineStr">
        <is>
          <t>Tirrinia Bamboo Wine Picnic Table, Ideal Wine Lover Gift, Large Folding Portable Outdoor Snack &amp; Cheese Tray with 4 Wine Glasses Holder for Concerts at Park or Party, Beach</t>
        </is>
      </c>
      <c r="C202" t="inlineStr">
        <is>
          <t>1TRPT402</t>
        </is>
      </c>
      <c r="D202" t="inlineStr">
        <is>
          <t>Wine Racks</t>
        </is>
      </c>
      <c r="E202" t="inlineStr">
        <is>
          <t>Tirrinia</t>
        </is>
      </c>
      <c r="G202" s="48" t="n">
        <v>0</v>
      </c>
      <c r="H202" s="48" t="n">
        <v>0</v>
      </c>
      <c r="I202" s="48" t="n">
        <v>0</v>
      </c>
      <c r="J202" s="48" t="n">
        <v>0</v>
      </c>
      <c r="K202" s="49" t="n">
        <v>0</v>
      </c>
      <c r="L202" s="49" t="n">
        <v>0</v>
      </c>
      <c r="M202" s="49" t="n">
        <v>0</v>
      </c>
      <c r="N202" s="49" t="n">
        <v>0</v>
      </c>
      <c r="O202" s="49" t="n">
        <v>0</v>
      </c>
      <c r="P202" s="49" t="n">
        <v>0</v>
      </c>
      <c r="Q202" s="49" t="n">
        <v>0</v>
      </c>
      <c r="R202" s="49" t="n">
        <v>0</v>
      </c>
      <c r="S202" s="50" t="n">
        <v>0</v>
      </c>
      <c r="T202" s="50" t="n">
        <v>0</v>
      </c>
      <c r="U202" s="50" t="n">
        <v>0</v>
      </c>
      <c r="V202" s="50" t="n">
        <v>0</v>
      </c>
      <c r="W202" s="51" t="n">
        <v>0</v>
      </c>
      <c r="X202" s="51" t="n">
        <v>0</v>
      </c>
      <c r="Y202" s="51" t="n">
        <v>0</v>
      </c>
      <c r="Z202" s="51" t="n">
        <v>0</v>
      </c>
      <c r="AA202" s="52" t="n">
        <v>0</v>
      </c>
      <c r="AB202" s="52" t="n">
        <v>0</v>
      </c>
      <c r="AC202" s="52" t="n">
        <v>0</v>
      </c>
      <c r="AD202" s="52" t="n">
        <v>0</v>
      </c>
      <c r="AE202" s="52" t="n">
        <v>0</v>
      </c>
      <c r="AF202" s="52" t="n">
        <v>0</v>
      </c>
      <c r="AG202" s="52" t="n">
        <v>0</v>
      </c>
      <c r="AH202" s="52" t="n">
        <v>0</v>
      </c>
      <c r="AI202" s="52" t="n">
        <v>0</v>
      </c>
      <c r="AJ202" s="52" t="n">
        <v>0</v>
      </c>
      <c r="AK202" s="52" t="n">
        <v>0</v>
      </c>
      <c r="AL202" s="52" t="n">
        <v>0</v>
      </c>
      <c r="AM202" s="53" t="n">
        <v>0</v>
      </c>
      <c r="AN202" s="53" t="n">
        <v>0</v>
      </c>
      <c r="AO202" s="53" t="n">
        <v>0</v>
      </c>
      <c r="AP202" s="53" t="n">
        <v>0</v>
      </c>
      <c r="AQ202" s="52" t="n">
        <v>0</v>
      </c>
      <c r="AR202" s="52" t="n">
        <v>0</v>
      </c>
      <c r="AS202" s="52" t="n">
        <v>0</v>
      </c>
      <c r="AT202" s="52" t="n">
        <v>0</v>
      </c>
      <c r="AU202" s="53" t="n">
        <v>0</v>
      </c>
      <c r="AV202" s="53" t="n">
        <v>0</v>
      </c>
      <c r="AW202" s="53" t="n">
        <v>0</v>
      </c>
      <c r="AX202" s="53" t="n">
        <v>0</v>
      </c>
      <c r="AY202" s="52" t="n">
        <v>0</v>
      </c>
      <c r="AZ202" s="52" t="n">
        <v>0</v>
      </c>
      <c r="BA202" s="52" t="n">
        <v>0</v>
      </c>
      <c r="BB202" s="52" t="n">
        <v>0</v>
      </c>
      <c r="BC202" s="51" t="n">
        <v>0</v>
      </c>
      <c r="BD202" s="51" t="n">
        <v>0</v>
      </c>
      <c r="BE202" s="51" t="n">
        <v>0</v>
      </c>
      <c r="BF202" s="51" t="n">
        <v>0</v>
      </c>
    </row>
    <row r="203">
      <c r="A203">
        <f>HYPERLINK("https://www.walmart.com/ip/559993924", "559993924")</f>
        <v/>
      </c>
      <c r="B203" t="inlineStr">
        <is>
          <t>Catalonia Coral Fleece Throw Blanket for Couch, All Seasons Lightweight Soft Cozy Throws for Home Living Room Decoration, 50'' x 60'', Blue</t>
        </is>
      </c>
      <c r="C203" t="inlineStr">
        <is>
          <t>1CTBF577BL</t>
        </is>
      </c>
      <c r="D203" t="inlineStr">
        <is>
          <t>Throws</t>
        </is>
      </c>
      <c r="E203" t="inlineStr">
        <is>
          <t>Catalonia</t>
        </is>
      </c>
      <c r="F203" t="inlineStr">
        <is>
          <t>Q2-Target,WFS,Coupon_Discount,cost-added,WFS Item</t>
        </is>
      </c>
      <c r="G203" s="48" t="n">
        <v>0</v>
      </c>
      <c r="H203" s="48" t="n">
        <v>0</v>
      </c>
      <c r="I203" s="48" t="n">
        <v>0</v>
      </c>
      <c r="J203" s="48" t="n">
        <v>0</v>
      </c>
      <c r="K203" s="49" t="n">
        <v>0</v>
      </c>
      <c r="L203" s="49" t="n">
        <v>0</v>
      </c>
      <c r="M203" s="49" t="n">
        <v>0</v>
      </c>
      <c r="N203" s="49" t="n">
        <v>0</v>
      </c>
      <c r="O203" s="49" t="n">
        <v>0</v>
      </c>
      <c r="P203" s="49" t="n">
        <v>0</v>
      </c>
      <c r="Q203" s="49" t="n">
        <v>0</v>
      </c>
      <c r="R203" s="49" t="n">
        <v>0</v>
      </c>
      <c r="S203" s="50" t="n">
        <v>0</v>
      </c>
      <c r="T203" s="50" t="n">
        <v>0</v>
      </c>
      <c r="U203" s="50" t="n">
        <v>0</v>
      </c>
      <c r="V203" s="50" t="n">
        <v>0</v>
      </c>
      <c r="W203" s="51" t="n">
        <v>0</v>
      </c>
      <c r="X203" s="51" t="n">
        <v>0</v>
      </c>
      <c r="Y203" s="51" t="n">
        <v>0</v>
      </c>
      <c r="Z203" s="51" t="n">
        <v>0</v>
      </c>
      <c r="AA203" s="52" t="n">
        <v>0</v>
      </c>
      <c r="AB203" s="52" t="n">
        <v>0</v>
      </c>
      <c r="AC203" s="52" t="n">
        <v>0</v>
      </c>
      <c r="AD203" s="52" t="n">
        <v>0</v>
      </c>
      <c r="AE203" s="52" t="n">
        <v>0</v>
      </c>
      <c r="AF203" s="52" t="n">
        <v>0</v>
      </c>
      <c r="AG203" s="52" t="n">
        <v>0</v>
      </c>
      <c r="AH203" s="52" t="n">
        <v>0</v>
      </c>
      <c r="AI203" s="52" t="n">
        <v>0</v>
      </c>
      <c r="AJ203" s="52" t="n">
        <v>0</v>
      </c>
      <c r="AK203" s="52" t="n">
        <v>0</v>
      </c>
      <c r="AL203" s="52" t="n">
        <v>0</v>
      </c>
      <c r="AM203" s="53" t="n">
        <v>0</v>
      </c>
      <c r="AN203" s="53" t="n">
        <v>0</v>
      </c>
      <c r="AO203" s="53" t="n">
        <v>0</v>
      </c>
      <c r="AP203" s="53" t="n">
        <v>0</v>
      </c>
      <c r="AQ203" s="52" t="n">
        <v>0</v>
      </c>
      <c r="AR203" s="52" t="n">
        <v>0</v>
      </c>
      <c r="AS203" s="52" t="n">
        <v>0</v>
      </c>
      <c r="AT203" s="52" t="n">
        <v>0</v>
      </c>
      <c r="AU203" s="53" t="n">
        <v>0</v>
      </c>
      <c r="AV203" s="53" t="n">
        <v>0</v>
      </c>
      <c r="AW203" s="53" t="n">
        <v>0</v>
      </c>
      <c r="AX203" s="53" t="n">
        <v>0</v>
      </c>
      <c r="AY203" s="52" t="n">
        <v>0</v>
      </c>
      <c r="AZ203" s="52" t="n">
        <v>0</v>
      </c>
      <c r="BA203" s="52" t="n">
        <v>0</v>
      </c>
      <c r="BB203" s="52" t="n">
        <v>0</v>
      </c>
      <c r="BC203" s="51" t="n">
        <v>0</v>
      </c>
      <c r="BD203" s="51" t="n">
        <v>0</v>
      </c>
      <c r="BE203" s="51" t="n">
        <v>0</v>
      </c>
      <c r="BF203" s="51" t="n">
        <v>0</v>
      </c>
    </row>
    <row r="204">
      <c r="A204">
        <f>HYPERLINK("https://www.walmart.com/ip/6129366271", "6129366271")</f>
        <v/>
      </c>
      <c r="B204" t="inlineStr">
        <is>
          <t>Tirrinia Surf Poncho Changing Towel Summer Swim Robe with Hood, Portable Dressing Room, Stylish &amp; Multi-Functional for Surfing Beach Adult Men Women</t>
        </is>
      </c>
      <c r="C204" t="inlineStr">
        <is>
          <t>1TRBR131BK-4</t>
        </is>
      </c>
      <c r="D204" t="inlineStr">
        <is>
          <t>default</t>
        </is>
      </c>
      <c r="E204" t="inlineStr">
        <is>
          <t>Tirrinia</t>
        </is>
      </c>
      <c r="G204" s="48" t="n">
        <v>0</v>
      </c>
      <c r="H204" s="48" t="n">
        <v>0</v>
      </c>
      <c r="I204" s="48" t="n">
        <v>0</v>
      </c>
      <c r="J204" s="48" t="n">
        <v>0</v>
      </c>
      <c r="K204" s="49" t="n">
        <v>0</v>
      </c>
      <c r="L204" s="49" t="n">
        <v>0</v>
      </c>
      <c r="M204" s="49" t="n">
        <v>0</v>
      </c>
      <c r="N204" s="49" t="n">
        <v>0</v>
      </c>
      <c r="O204" s="49" t="n">
        <v>0</v>
      </c>
      <c r="P204" s="49" t="n">
        <v>0</v>
      </c>
      <c r="Q204" s="49" t="n">
        <v>0</v>
      </c>
      <c r="R204" s="49" t="n">
        <v>0</v>
      </c>
      <c r="S204" s="50" t="n">
        <v>0</v>
      </c>
      <c r="T204" s="50" t="n">
        <v>0</v>
      </c>
      <c r="U204" s="50" t="n">
        <v>0</v>
      </c>
      <c r="V204" s="50" t="n">
        <v>0</v>
      </c>
      <c r="W204" s="51" t="n">
        <v>0</v>
      </c>
      <c r="X204" s="51" t="n">
        <v>0</v>
      </c>
      <c r="Y204" s="51" t="n">
        <v>0</v>
      </c>
      <c r="Z204" s="51" t="n">
        <v>0</v>
      </c>
      <c r="AA204" s="52" t="n">
        <v>0</v>
      </c>
      <c r="AB204" s="52" t="n">
        <v>0</v>
      </c>
      <c r="AC204" s="52" t="n">
        <v>0</v>
      </c>
      <c r="AD204" s="52" t="n">
        <v>0</v>
      </c>
      <c r="AE204" s="52" t="n">
        <v>0</v>
      </c>
      <c r="AF204" s="52" t="n">
        <v>0</v>
      </c>
      <c r="AG204" s="52" t="n">
        <v>0</v>
      </c>
      <c r="AH204" s="52" t="n">
        <v>0</v>
      </c>
      <c r="AI204" s="52" t="n">
        <v>0</v>
      </c>
      <c r="AJ204" s="52" t="n">
        <v>0</v>
      </c>
      <c r="AK204" s="52" t="n">
        <v>0</v>
      </c>
      <c r="AL204" s="52" t="n">
        <v>0</v>
      </c>
      <c r="AM204" s="53" t="n">
        <v>0</v>
      </c>
      <c r="AN204" s="53" t="n">
        <v>0</v>
      </c>
      <c r="AO204" s="53" t="n">
        <v>0</v>
      </c>
      <c r="AP204" s="53" t="n">
        <v>0</v>
      </c>
      <c r="AQ204" s="52" t="n">
        <v>0</v>
      </c>
      <c r="AR204" s="52" t="n">
        <v>0</v>
      </c>
      <c r="AS204" s="52" t="n">
        <v>0</v>
      </c>
      <c r="AT204" s="52" t="n">
        <v>0</v>
      </c>
      <c r="AU204" s="53" t="n">
        <v>0</v>
      </c>
      <c r="AV204" s="53" t="n">
        <v>0</v>
      </c>
      <c r="AW204" s="53" t="n">
        <v>0</v>
      </c>
      <c r="AX204" s="53" t="n">
        <v>0</v>
      </c>
      <c r="AY204" s="52" t="n">
        <v>0</v>
      </c>
      <c r="AZ204" s="52" t="n">
        <v>0</v>
      </c>
      <c r="BA204" s="52" t="n">
        <v>0</v>
      </c>
      <c r="BB204" s="52" t="n">
        <v>0</v>
      </c>
      <c r="BC204" s="51" t="n">
        <v>0</v>
      </c>
      <c r="BD204" s="51" t="n">
        <v>0</v>
      </c>
      <c r="BE204" s="51" t="n">
        <v>0</v>
      </c>
      <c r="BF204" s="51" t="n">
        <v>0</v>
      </c>
    </row>
    <row r="205">
      <c r="A205">
        <f>HYPERLINK("https://www.walmart.com/ip/613444135", "613444135")</f>
        <v/>
      </c>
      <c r="B205" t="inlineStr">
        <is>
          <t>Red Green Plaid Decorative Throw TV Sherpa Blanket, Soft, Warm, Comfy, Plush Fleece for Bedding, Couch and Cabin, Red Blue Buffalo Throw Blanket, 50"" x 60"".</t>
        </is>
      </c>
      <c r="C205" t="inlineStr">
        <is>
          <t>1CTBF569PRD</t>
        </is>
      </c>
      <c r="D205" t="inlineStr">
        <is>
          <t>Throws</t>
        </is>
      </c>
      <c r="E205" t="inlineStr">
        <is>
          <t>Catalonia</t>
        </is>
      </c>
      <c r="F205" t="inlineStr">
        <is>
          <t>Q2-Target,WFS,Valentine,Coupon_Discount,WFS Item</t>
        </is>
      </c>
      <c r="G205" s="48" t="n">
        <v>0</v>
      </c>
      <c r="H205" s="48" t="n">
        <v>0</v>
      </c>
      <c r="I205" s="48" t="n">
        <v>0</v>
      </c>
      <c r="J205" s="48" t="n">
        <v>0</v>
      </c>
      <c r="K205" s="49" t="n">
        <v>0</v>
      </c>
      <c r="L205" s="49" t="n">
        <v>0</v>
      </c>
      <c r="M205" s="49" t="n">
        <v>0</v>
      </c>
      <c r="N205" s="49" t="n">
        <v>0</v>
      </c>
      <c r="O205" s="49" t="n">
        <v>0</v>
      </c>
      <c r="P205" s="49" t="n">
        <v>0</v>
      </c>
      <c r="Q205" s="49" t="n">
        <v>0</v>
      </c>
      <c r="R205" s="49" t="n">
        <v>0</v>
      </c>
      <c r="S205" s="50" t="n">
        <v>0</v>
      </c>
      <c r="T205" s="50" t="n">
        <v>0</v>
      </c>
      <c r="U205" s="50" t="n">
        <v>0</v>
      </c>
      <c r="V205" s="50" t="n">
        <v>0</v>
      </c>
      <c r="W205" s="51" t="n">
        <v>0</v>
      </c>
      <c r="X205" s="51" t="n">
        <v>0</v>
      </c>
      <c r="Y205" s="51" t="n">
        <v>0</v>
      </c>
      <c r="Z205" s="51" t="n">
        <v>0</v>
      </c>
      <c r="AA205" s="52" t="n">
        <v>0</v>
      </c>
      <c r="AB205" s="52" t="n">
        <v>0</v>
      </c>
      <c r="AC205" s="52" t="n">
        <v>0</v>
      </c>
      <c r="AD205" s="52" t="n">
        <v>0</v>
      </c>
      <c r="AE205" s="52" t="n">
        <v>0</v>
      </c>
      <c r="AF205" s="52" t="n">
        <v>0</v>
      </c>
      <c r="AG205" s="52" t="n">
        <v>0</v>
      </c>
      <c r="AH205" s="52" t="n">
        <v>0</v>
      </c>
      <c r="AI205" s="52" t="n">
        <v>0</v>
      </c>
      <c r="AJ205" s="52" t="n">
        <v>0</v>
      </c>
      <c r="AK205" s="52" t="n">
        <v>0</v>
      </c>
      <c r="AL205" s="52" t="n">
        <v>0</v>
      </c>
      <c r="AM205" s="53" t="n">
        <v>0</v>
      </c>
      <c r="AN205" s="53" t="n">
        <v>0</v>
      </c>
      <c r="AO205" s="53" t="n">
        <v>0</v>
      </c>
      <c r="AP205" s="53" t="n">
        <v>0</v>
      </c>
      <c r="AQ205" s="52" t="n">
        <v>0</v>
      </c>
      <c r="AR205" s="52" t="n">
        <v>0</v>
      </c>
      <c r="AS205" s="52" t="n">
        <v>0</v>
      </c>
      <c r="AT205" s="52" t="n">
        <v>0</v>
      </c>
      <c r="AU205" s="53" t="n">
        <v>0</v>
      </c>
      <c r="AV205" s="53" t="n">
        <v>0</v>
      </c>
      <c r="AW205" s="53" t="n">
        <v>0</v>
      </c>
      <c r="AX205" s="53" t="n">
        <v>0</v>
      </c>
      <c r="AY205" s="52" t="n">
        <v>0</v>
      </c>
      <c r="AZ205" s="52" t="n">
        <v>0</v>
      </c>
      <c r="BA205" s="52" t="n">
        <v>0</v>
      </c>
      <c r="BB205" s="52" t="n">
        <v>0</v>
      </c>
      <c r="BC205" s="51" t="n">
        <v>0</v>
      </c>
      <c r="BD205" s="51" t="n">
        <v>0</v>
      </c>
      <c r="BE205" s="51" t="n">
        <v>0</v>
      </c>
      <c r="BF205" s="51" t="n">
        <v>0</v>
      </c>
    </row>
    <row r="206">
      <c r="A206">
        <f>HYPERLINK("https://www.walmart.com/ip/557499884", "557499884")</f>
        <v/>
      </c>
      <c r="B206" t="inlineStr">
        <is>
          <t>Tirrinia Beach Elements Cotton Towels &amp; Washcloths, Surf boy</t>
        </is>
      </c>
      <c r="C206" t="inlineStr">
        <is>
          <t>1TRBR200-SF01</t>
        </is>
      </c>
      <c r="D206" t="inlineStr">
        <is>
          <t>Towels &amp; Washcloths</t>
        </is>
      </c>
      <c r="E206" t="inlineStr">
        <is>
          <t>Tirrinia</t>
        </is>
      </c>
      <c r="F206" t="inlineStr">
        <is>
          <t>Baby days,Optimized,Beach Robe Camp,SEM</t>
        </is>
      </c>
      <c r="G206" s="48" t="n">
        <v>0</v>
      </c>
      <c r="H206" s="48" t="n">
        <v>-14.99</v>
      </c>
      <c r="I206" s="48" t="n">
        <v>14.99</v>
      </c>
      <c r="J206" s="48" t="n">
        <v>0</v>
      </c>
      <c r="K206" s="49" t="n">
        <v>0</v>
      </c>
      <c r="L206" s="49" t="n">
        <v>-1</v>
      </c>
      <c r="M206" s="49" t="n">
        <v>1</v>
      </c>
      <c r="N206" s="49" t="n">
        <v>0</v>
      </c>
      <c r="O206" s="49" t="n">
        <v>0</v>
      </c>
      <c r="P206" s="49" t="n">
        <v>0</v>
      </c>
      <c r="Q206" s="49" t="n">
        <v>0</v>
      </c>
      <c r="R206" s="49" t="n">
        <v>0</v>
      </c>
      <c r="S206" s="50" t="n">
        <v>0</v>
      </c>
      <c r="T206" s="50" t="n">
        <v>0</v>
      </c>
      <c r="U206" s="50" t="n">
        <v>0</v>
      </c>
      <c r="V206" s="50" t="n">
        <v>0</v>
      </c>
      <c r="W206" s="51" t="n">
        <v>0</v>
      </c>
      <c r="X206" s="51" t="n">
        <v>0</v>
      </c>
      <c r="Y206" s="51" t="n">
        <v>0</v>
      </c>
      <c r="Z206" s="51" t="n">
        <v>0</v>
      </c>
      <c r="AA206" s="52" t="n">
        <v>0</v>
      </c>
      <c r="AB206" s="52" t="n">
        <v>0</v>
      </c>
      <c r="AC206" s="52" t="n">
        <v>0</v>
      </c>
      <c r="AD206" s="52" t="n">
        <v>0</v>
      </c>
      <c r="AE206" s="52" t="n">
        <v>0</v>
      </c>
      <c r="AF206" s="52" t="n">
        <v>0</v>
      </c>
      <c r="AG206" s="52" t="n">
        <v>0</v>
      </c>
      <c r="AH206" s="52" t="n">
        <v>0</v>
      </c>
      <c r="AI206" s="52" t="n">
        <v>0</v>
      </c>
      <c r="AJ206" s="52" t="n">
        <v>0</v>
      </c>
      <c r="AK206" s="52" t="n">
        <v>0</v>
      </c>
      <c r="AL206" s="52" t="n">
        <v>0</v>
      </c>
      <c r="AM206" s="53" t="n">
        <v>0</v>
      </c>
      <c r="AN206" s="53" t="n">
        <v>0</v>
      </c>
      <c r="AO206" s="53" t="n">
        <v>0</v>
      </c>
      <c r="AP206" s="53" t="n">
        <v>0</v>
      </c>
      <c r="AQ206" s="52" t="n">
        <v>0</v>
      </c>
      <c r="AR206" s="52" t="n">
        <v>0</v>
      </c>
      <c r="AS206" s="52" t="n">
        <v>0</v>
      </c>
      <c r="AT206" s="52" t="n">
        <v>0</v>
      </c>
      <c r="AU206" s="53" t="n">
        <v>0</v>
      </c>
      <c r="AV206" s="53" t="n">
        <v>0</v>
      </c>
      <c r="AW206" s="53" t="n">
        <v>0</v>
      </c>
      <c r="AX206" s="53" t="n">
        <v>0</v>
      </c>
      <c r="AY206" s="52" t="n">
        <v>0</v>
      </c>
      <c r="AZ206" s="52" t="n">
        <v>0</v>
      </c>
      <c r="BA206" s="52" t="n">
        <v>14.99</v>
      </c>
      <c r="BB206" s="52" t="n">
        <v>0</v>
      </c>
      <c r="BC206" s="51" t="n">
        <v>0</v>
      </c>
      <c r="BD206" s="51" t="n">
        <v>0</v>
      </c>
      <c r="BE206" s="51" t="n">
        <v>0</v>
      </c>
      <c r="BF206" s="51" t="n">
        <v>0</v>
      </c>
    </row>
    <row r="207">
      <c r="A207">
        <f>HYPERLINK("https://www.walmart.com/ip/614230216", "614230216")</f>
        <v/>
      </c>
      <c r="B207" t="inlineStr">
        <is>
          <t>Jennis Women's Sexy Lace Nightgown Sleepwear Bathrobe 2 Piece Set ( XXXL=US 12-14 )</t>
        </is>
      </c>
      <c r="C207" t="inlineStr">
        <is>
          <t>JWRS02RD-3XL</t>
        </is>
      </c>
      <c r="D207" t="inlineStr">
        <is>
          <t>Nightgowns &amp; Sleepshirts</t>
        </is>
      </c>
      <c r="E207" t="inlineStr">
        <is>
          <t>JenniWears</t>
        </is>
      </c>
      <c r="F207" t="inlineStr">
        <is>
          <t>Optimized,Valentine,Bathrobe</t>
        </is>
      </c>
      <c r="G207" s="48" t="n">
        <v>0</v>
      </c>
      <c r="H207" s="48" t="n">
        <v>0</v>
      </c>
      <c r="I207" s="48" t="n">
        <v>0</v>
      </c>
      <c r="J207" s="48" t="n">
        <v>0</v>
      </c>
      <c r="K207" s="49" t="n">
        <v>0</v>
      </c>
      <c r="L207" s="49" t="n">
        <v>0</v>
      </c>
      <c r="M207" s="49" t="n">
        <v>0</v>
      </c>
      <c r="N207" s="49" t="n">
        <v>0</v>
      </c>
      <c r="O207" s="49" t="n">
        <v>0</v>
      </c>
      <c r="P207" s="49" t="n">
        <v>0</v>
      </c>
      <c r="Q207" s="49" t="n">
        <v>0</v>
      </c>
      <c r="R207" s="49" t="n">
        <v>0</v>
      </c>
      <c r="S207" s="50" t="n">
        <v>0</v>
      </c>
      <c r="T207" s="50" t="n">
        <v>0</v>
      </c>
      <c r="U207" s="50" t="n">
        <v>0</v>
      </c>
      <c r="V207" s="50" t="n">
        <v>0</v>
      </c>
      <c r="W207" s="51" t="n">
        <v>0</v>
      </c>
      <c r="X207" s="51" t="n">
        <v>0</v>
      </c>
      <c r="Y207" s="51" t="n">
        <v>0</v>
      </c>
      <c r="Z207" s="51" t="n">
        <v>0</v>
      </c>
      <c r="AA207" s="52" t="n">
        <v>0</v>
      </c>
      <c r="AB207" s="52" t="n">
        <v>0</v>
      </c>
      <c r="AC207" s="52" t="n">
        <v>0</v>
      </c>
      <c r="AD207" s="52" t="n">
        <v>0</v>
      </c>
      <c r="AE207" s="52" t="n">
        <v>0</v>
      </c>
      <c r="AF207" s="52" t="n">
        <v>0</v>
      </c>
      <c r="AG207" s="52" t="n">
        <v>0</v>
      </c>
      <c r="AH207" s="52" t="n">
        <v>0</v>
      </c>
      <c r="AI207" s="52" t="n">
        <v>0</v>
      </c>
      <c r="AJ207" s="52" t="n">
        <v>0</v>
      </c>
      <c r="AK207" s="52" t="n">
        <v>0</v>
      </c>
      <c r="AL207" s="52" t="n">
        <v>0</v>
      </c>
      <c r="AM207" s="53" t="n">
        <v>0</v>
      </c>
      <c r="AN207" s="53" t="n">
        <v>0</v>
      </c>
      <c r="AO207" s="53" t="n">
        <v>0</v>
      </c>
      <c r="AP207" s="53" t="n">
        <v>0</v>
      </c>
      <c r="AQ207" s="52" t="n">
        <v>0</v>
      </c>
      <c r="AR207" s="52" t="n">
        <v>0</v>
      </c>
      <c r="AS207" s="52" t="n">
        <v>0</v>
      </c>
      <c r="AT207" s="52" t="n">
        <v>0</v>
      </c>
      <c r="AU207" s="53" t="n">
        <v>0</v>
      </c>
      <c r="AV207" s="53" t="n">
        <v>0</v>
      </c>
      <c r="AW207" s="53" t="n">
        <v>0</v>
      </c>
      <c r="AX207" s="53" t="n">
        <v>0</v>
      </c>
      <c r="AY207" s="52" t="n">
        <v>0</v>
      </c>
      <c r="AZ207" s="52" t="n">
        <v>0</v>
      </c>
      <c r="BA207" s="52" t="n">
        <v>0</v>
      </c>
      <c r="BB207" s="52" t="n">
        <v>0</v>
      </c>
      <c r="BC207" s="51" t="n">
        <v>0</v>
      </c>
      <c r="BD207" s="51" t="n">
        <v>0</v>
      </c>
      <c r="BE207" s="51" t="n">
        <v>0</v>
      </c>
      <c r="BF207" s="51" t="n">
        <v>0</v>
      </c>
    </row>
    <row r="208">
      <c r="A208">
        <f>HYPERLINK("https://www.walmart.com/ip/556839284", "556839284")</f>
        <v/>
      </c>
      <c r="B208" t="inlineStr">
        <is>
          <t>Flyingstar Woman Sweatshirt Dress, Casual Ladies Pullover, Juniors Hoodie Dress with Kangaroo Pocket, One Size, Black</t>
        </is>
      </c>
      <c r="C208" t="inlineStr">
        <is>
          <t>1WMHD530S1BK</t>
        </is>
      </c>
      <c r="D208" t="inlineStr">
        <is>
          <t>Sweatshirts &amp; Hoodies</t>
        </is>
      </c>
      <c r="E208" t="inlineStr">
        <is>
          <t>Flyingstar</t>
        </is>
      </c>
      <c r="F208" t="inlineStr">
        <is>
          <t>Hoodie ForAdult,Optimized</t>
        </is>
      </c>
      <c r="G208" s="48" t="n">
        <v>0</v>
      </c>
      <c r="H208" s="48" t="n">
        <v>0</v>
      </c>
      <c r="I208" s="48" t="n">
        <v>0</v>
      </c>
      <c r="J208" s="48" t="n">
        <v>0</v>
      </c>
      <c r="K208" s="49" t="n">
        <v>0</v>
      </c>
      <c r="L208" s="49" t="n">
        <v>0</v>
      </c>
      <c r="M208" s="49" t="n">
        <v>0</v>
      </c>
      <c r="N208" s="49" t="n">
        <v>0</v>
      </c>
      <c r="O208" s="49" t="n">
        <v>0</v>
      </c>
      <c r="P208" s="49" t="n">
        <v>0</v>
      </c>
      <c r="Q208" s="49" t="n">
        <v>0</v>
      </c>
      <c r="R208" s="49" t="n">
        <v>0</v>
      </c>
      <c r="S208" s="50" t="n">
        <v>0</v>
      </c>
      <c r="T208" s="50" t="n">
        <v>0</v>
      </c>
      <c r="U208" s="50" t="n">
        <v>0</v>
      </c>
      <c r="V208" s="50" t="n">
        <v>0</v>
      </c>
      <c r="W208" s="51" t="n">
        <v>0</v>
      </c>
      <c r="X208" s="51" t="n">
        <v>0</v>
      </c>
      <c r="Y208" s="51" t="n">
        <v>0</v>
      </c>
      <c r="Z208" s="51" t="n">
        <v>0</v>
      </c>
      <c r="AA208" s="52" t="n">
        <v>0</v>
      </c>
      <c r="AB208" s="52" t="n">
        <v>0</v>
      </c>
      <c r="AC208" s="52" t="n">
        <v>0</v>
      </c>
      <c r="AD208" s="52" t="n">
        <v>0</v>
      </c>
      <c r="AE208" s="52" t="n">
        <v>0</v>
      </c>
      <c r="AF208" s="52" t="n">
        <v>0</v>
      </c>
      <c r="AG208" s="52" t="n">
        <v>0</v>
      </c>
      <c r="AH208" s="52" t="n">
        <v>0</v>
      </c>
      <c r="AI208" s="52" t="n">
        <v>0</v>
      </c>
      <c r="AJ208" s="52" t="n">
        <v>0</v>
      </c>
      <c r="AK208" s="52" t="n">
        <v>0</v>
      </c>
      <c r="AL208" s="52" t="n">
        <v>0</v>
      </c>
      <c r="AM208" s="53" t="n">
        <v>0</v>
      </c>
      <c r="AN208" s="53" t="n">
        <v>0</v>
      </c>
      <c r="AO208" s="53" t="n">
        <v>0</v>
      </c>
      <c r="AP208" s="53" t="n">
        <v>0</v>
      </c>
      <c r="AQ208" s="52" t="n">
        <v>0</v>
      </c>
      <c r="AR208" s="52" t="n">
        <v>0</v>
      </c>
      <c r="AS208" s="52" t="n">
        <v>0</v>
      </c>
      <c r="AT208" s="52" t="n">
        <v>0</v>
      </c>
      <c r="AU208" s="53" t="n">
        <v>0</v>
      </c>
      <c r="AV208" s="53" t="n">
        <v>0</v>
      </c>
      <c r="AW208" s="53" t="n">
        <v>0</v>
      </c>
      <c r="AX208" s="53" t="n">
        <v>0</v>
      </c>
      <c r="AY208" s="52" t="n">
        <v>0</v>
      </c>
      <c r="AZ208" s="52" t="n">
        <v>0</v>
      </c>
      <c r="BA208" s="52" t="n">
        <v>0</v>
      </c>
      <c r="BB208" s="52" t="n">
        <v>0</v>
      </c>
      <c r="BC208" s="51" t="n">
        <v>0</v>
      </c>
      <c r="BD208" s="51" t="n">
        <v>0</v>
      </c>
      <c r="BE208" s="51" t="n">
        <v>0</v>
      </c>
      <c r="BF208" s="51" t="n">
        <v>0</v>
      </c>
    </row>
    <row r="209">
      <c r="A209">
        <f>HYPERLINK("https://www.walmart.com/ip/556234919", "556234919")</f>
        <v/>
      </c>
      <c r="B209" t="inlineStr">
        <is>
          <t>Catalonia Fleece Wearable Blanket Poncho for Adult Women Men, Wrap Blanket Cape with Pocket | Warm, Soft, Cozy, Snuggly, Comfort Gift, No Sleeves | All-Season, Gift Idea</t>
        </is>
      </c>
      <c r="C209" t="inlineStr">
        <is>
          <t>1CTBP200WN</t>
        </is>
      </c>
      <c r="D209" t="inlineStr">
        <is>
          <t>Throws</t>
        </is>
      </c>
      <c r="E209" t="inlineStr">
        <is>
          <t>Catalonia</t>
        </is>
      </c>
      <c r="F209" t="inlineStr">
        <is>
          <t>Hero 5 Holidays,WFS,WFS Item</t>
        </is>
      </c>
      <c r="G209" s="48" t="n">
        <v>0</v>
      </c>
      <c r="H209" s="48" t="n">
        <v>0</v>
      </c>
      <c r="I209" s="48" t="n">
        <v>0</v>
      </c>
      <c r="J209" s="48" t="n">
        <v>0</v>
      </c>
      <c r="K209" s="49" t="n">
        <v>0</v>
      </c>
      <c r="L209" s="49" t="n">
        <v>0</v>
      </c>
      <c r="M209" s="49" t="n">
        <v>0</v>
      </c>
      <c r="N209" s="49" t="n">
        <v>0</v>
      </c>
      <c r="O209" s="49" t="n">
        <v>0</v>
      </c>
      <c r="P209" s="49" t="n">
        <v>0</v>
      </c>
      <c r="Q209" s="49" t="n">
        <v>0</v>
      </c>
      <c r="R209" s="49" t="n">
        <v>0</v>
      </c>
      <c r="S209" s="50" t="n">
        <v>0</v>
      </c>
      <c r="T209" s="50" t="n">
        <v>0</v>
      </c>
      <c r="U209" s="50" t="n">
        <v>0</v>
      </c>
      <c r="V209" s="50" t="n">
        <v>0</v>
      </c>
      <c r="W209" s="51" t="n">
        <v>0</v>
      </c>
      <c r="X209" s="51" t="n">
        <v>0</v>
      </c>
      <c r="Y209" s="51" t="n">
        <v>0</v>
      </c>
      <c r="Z209" s="51" t="n">
        <v>0</v>
      </c>
      <c r="AA209" s="52" t="n">
        <v>0</v>
      </c>
      <c r="AB209" s="52" t="n">
        <v>0</v>
      </c>
      <c r="AC209" s="52" t="n">
        <v>0</v>
      </c>
      <c r="AD209" s="52" t="n">
        <v>0</v>
      </c>
      <c r="AE209" s="52" t="n">
        <v>0</v>
      </c>
      <c r="AF209" s="52" t="n">
        <v>0</v>
      </c>
      <c r="AG209" s="52" t="n">
        <v>0</v>
      </c>
      <c r="AH209" s="52" t="n">
        <v>0</v>
      </c>
      <c r="AI209" s="52" t="n">
        <v>0</v>
      </c>
      <c r="AJ209" s="52" t="n">
        <v>0</v>
      </c>
      <c r="AK209" s="52" t="n">
        <v>0</v>
      </c>
      <c r="AL209" s="52" t="n">
        <v>0</v>
      </c>
      <c r="AM209" s="53" t="n">
        <v>0</v>
      </c>
      <c r="AN209" s="53" t="n">
        <v>0</v>
      </c>
      <c r="AO209" s="53" t="n">
        <v>0</v>
      </c>
      <c r="AP209" s="53" t="n">
        <v>0</v>
      </c>
      <c r="AQ209" s="52" t="n">
        <v>0</v>
      </c>
      <c r="AR209" s="52" t="n">
        <v>0</v>
      </c>
      <c r="AS209" s="52" t="n">
        <v>0</v>
      </c>
      <c r="AT209" s="52" t="n">
        <v>0</v>
      </c>
      <c r="AU209" s="53" t="n">
        <v>0</v>
      </c>
      <c r="AV209" s="53" t="n">
        <v>0</v>
      </c>
      <c r="AW209" s="53" t="n">
        <v>0</v>
      </c>
      <c r="AX209" s="53" t="n">
        <v>0</v>
      </c>
      <c r="AY209" s="52" t="n">
        <v>0</v>
      </c>
      <c r="AZ209" s="52" t="n">
        <v>0</v>
      </c>
      <c r="BA209" s="52" t="n">
        <v>0</v>
      </c>
      <c r="BB209" s="52" t="n">
        <v>0</v>
      </c>
      <c r="BC209" s="51" t="n">
        <v>0</v>
      </c>
      <c r="BD209" s="51" t="n">
        <v>0</v>
      </c>
      <c r="BE209" s="51" t="n">
        <v>0</v>
      </c>
      <c r="BF209" s="51" t="n">
        <v>0</v>
      </c>
    </row>
    <row r="210">
      <c r="A210">
        <f>HYPERLINK("https://www.walmart.com/ip/5562298567", "5562298567")</f>
        <v/>
      </c>
      <c r="B210" t="inlineStr">
        <is>
          <t>Tirrinia Surf Poncho Changing Towel Summer Swim Robe with Hood, Portable Dressing Room, Stylish &amp; Multi-Functional for Surfing Beach Adult Men Women</t>
        </is>
      </c>
      <c r="C210" t="inlineStr">
        <is>
          <t>1TRBR131GL-2</t>
        </is>
      </c>
      <c r="D210" t="inlineStr">
        <is>
          <t>default</t>
        </is>
      </c>
      <c r="E210" t="inlineStr">
        <is>
          <t>Tirrinia</t>
        </is>
      </c>
      <c r="G210" s="48" t="n">
        <v>0</v>
      </c>
      <c r="H210" s="48" t="n">
        <v>0</v>
      </c>
      <c r="I210" s="48" t="n">
        <v>0</v>
      </c>
      <c r="J210" s="48" t="n">
        <v>0</v>
      </c>
      <c r="K210" s="49" t="n">
        <v>0</v>
      </c>
      <c r="L210" s="49" t="n">
        <v>0</v>
      </c>
      <c r="M210" s="49" t="n">
        <v>0</v>
      </c>
      <c r="N210" s="49" t="n">
        <v>0</v>
      </c>
      <c r="O210" s="49" t="n">
        <v>0</v>
      </c>
      <c r="P210" s="49" t="n">
        <v>0</v>
      </c>
      <c r="Q210" s="49" t="n">
        <v>0</v>
      </c>
      <c r="R210" s="49" t="n">
        <v>0</v>
      </c>
      <c r="S210" s="50" t="n">
        <v>0</v>
      </c>
      <c r="T210" s="50" t="n">
        <v>0</v>
      </c>
      <c r="U210" s="50" t="n">
        <v>0</v>
      </c>
      <c r="V210" s="50" t="n">
        <v>0</v>
      </c>
      <c r="W210" s="51" t="n">
        <v>0</v>
      </c>
      <c r="X210" s="51" t="n">
        <v>0</v>
      </c>
      <c r="Y210" s="51" t="n">
        <v>0</v>
      </c>
      <c r="Z210" s="51" t="n">
        <v>0</v>
      </c>
      <c r="AA210" s="52" t="n">
        <v>0</v>
      </c>
      <c r="AB210" s="52" t="n">
        <v>0</v>
      </c>
      <c r="AC210" s="52" t="n">
        <v>0</v>
      </c>
      <c r="AD210" s="52" t="n">
        <v>0</v>
      </c>
      <c r="AE210" s="52" t="n">
        <v>0</v>
      </c>
      <c r="AF210" s="52" t="n">
        <v>0</v>
      </c>
      <c r="AG210" s="52" t="n">
        <v>0</v>
      </c>
      <c r="AH210" s="52" t="n">
        <v>0</v>
      </c>
      <c r="AI210" s="52" t="n">
        <v>0</v>
      </c>
      <c r="AJ210" s="52" t="n">
        <v>0</v>
      </c>
      <c r="AK210" s="52" t="n">
        <v>0</v>
      </c>
      <c r="AL210" s="52" t="n">
        <v>0</v>
      </c>
      <c r="AM210" s="53" t="n">
        <v>0</v>
      </c>
      <c r="AN210" s="53" t="n">
        <v>0</v>
      </c>
      <c r="AO210" s="53" t="n">
        <v>0</v>
      </c>
      <c r="AP210" s="53" t="n">
        <v>0</v>
      </c>
      <c r="AQ210" s="52" t="n">
        <v>0</v>
      </c>
      <c r="AR210" s="52" t="n">
        <v>0</v>
      </c>
      <c r="AS210" s="52" t="n">
        <v>0</v>
      </c>
      <c r="AT210" s="52" t="n">
        <v>0</v>
      </c>
      <c r="AU210" s="53" t="n">
        <v>0</v>
      </c>
      <c r="AV210" s="53" t="n">
        <v>0</v>
      </c>
      <c r="AW210" s="53" t="n">
        <v>0</v>
      </c>
      <c r="AX210" s="53" t="n">
        <v>0</v>
      </c>
      <c r="AY210" s="52" t="n">
        <v>0</v>
      </c>
      <c r="AZ210" s="52" t="n">
        <v>0</v>
      </c>
      <c r="BA210" s="52" t="n">
        <v>0</v>
      </c>
      <c r="BB210" s="52" t="n">
        <v>0</v>
      </c>
      <c r="BC210" s="51" t="n">
        <v>0</v>
      </c>
      <c r="BD210" s="51" t="n">
        <v>0</v>
      </c>
      <c r="BE210" s="51" t="n">
        <v>0</v>
      </c>
      <c r="BF210" s="51" t="n">
        <v>0</v>
      </c>
    </row>
    <row r="211">
      <c r="A211">
        <f>HYPERLINK("https://www.walmart.com/ip/614508217", "614508217")</f>
        <v/>
      </c>
      <c r="B211" t="inlineStr">
        <is>
          <t>Wearable Blanket with Sleeves and Kangaroo Pocket for Adult Soft Warm Comfy Throws Wrap Robe Blanket in Green.</t>
        </is>
      </c>
      <c r="C211" t="inlineStr">
        <is>
          <t>1CTSN200GN</t>
        </is>
      </c>
      <c r="D211" t="inlineStr">
        <is>
          <t>Throws</t>
        </is>
      </c>
      <c r="E211" t="inlineStr">
        <is>
          <t>Catalonia</t>
        </is>
      </c>
      <c r="F211" t="inlineStr">
        <is>
          <t>WFS,Coupon_Discount,WFS Item,ST Patrick Day</t>
        </is>
      </c>
      <c r="G211" s="48" t="n">
        <v>0</v>
      </c>
      <c r="H211" s="48" t="n">
        <v>0</v>
      </c>
      <c r="I211" s="48" t="n">
        <v>0</v>
      </c>
      <c r="J211" s="48" t="n">
        <v>0</v>
      </c>
      <c r="K211" s="49" t="n">
        <v>0</v>
      </c>
      <c r="L211" s="49" t="n">
        <v>0</v>
      </c>
      <c r="M211" s="49" t="n">
        <v>0</v>
      </c>
      <c r="N211" s="49" t="n">
        <v>0</v>
      </c>
      <c r="O211" s="49" t="n">
        <v>0</v>
      </c>
      <c r="P211" s="49" t="n">
        <v>0</v>
      </c>
      <c r="Q211" s="49" t="n">
        <v>0</v>
      </c>
      <c r="R211" s="49" t="n">
        <v>0</v>
      </c>
      <c r="S211" s="50" t="n">
        <v>0</v>
      </c>
      <c r="T211" s="50" t="n">
        <v>0</v>
      </c>
      <c r="U211" s="50" t="n">
        <v>0</v>
      </c>
      <c r="V211" s="50" t="n">
        <v>0</v>
      </c>
      <c r="W211" s="51" t="n">
        <v>0</v>
      </c>
      <c r="X211" s="51" t="n">
        <v>0</v>
      </c>
      <c r="Y211" s="51" t="n">
        <v>0</v>
      </c>
      <c r="Z211" s="51" t="n">
        <v>0</v>
      </c>
      <c r="AA211" s="52" t="n">
        <v>0</v>
      </c>
      <c r="AB211" s="52" t="n">
        <v>0</v>
      </c>
      <c r="AC211" s="52" t="n">
        <v>0</v>
      </c>
      <c r="AD211" s="52" t="n">
        <v>0</v>
      </c>
      <c r="AE211" s="52" t="n">
        <v>0</v>
      </c>
      <c r="AF211" s="52" t="n">
        <v>0</v>
      </c>
      <c r="AG211" s="52" t="n">
        <v>0</v>
      </c>
      <c r="AH211" s="52" t="n">
        <v>0</v>
      </c>
      <c r="AI211" s="52" t="n">
        <v>0</v>
      </c>
      <c r="AJ211" s="52" t="n">
        <v>0</v>
      </c>
      <c r="AK211" s="52" t="n">
        <v>0</v>
      </c>
      <c r="AL211" s="52" t="n">
        <v>0</v>
      </c>
      <c r="AM211" s="53" t="n">
        <v>0</v>
      </c>
      <c r="AN211" s="53" t="n">
        <v>0</v>
      </c>
      <c r="AO211" s="53" t="n">
        <v>0</v>
      </c>
      <c r="AP211" s="53" t="n">
        <v>0</v>
      </c>
      <c r="AQ211" s="52" t="n">
        <v>0</v>
      </c>
      <c r="AR211" s="52" t="n">
        <v>0</v>
      </c>
      <c r="AS211" s="52" t="n">
        <v>0</v>
      </c>
      <c r="AT211" s="52" t="n">
        <v>0</v>
      </c>
      <c r="AU211" s="53" t="n">
        <v>0</v>
      </c>
      <c r="AV211" s="53" t="n">
        <v>0</v>
      </c>
      <c r="AW211" s="53" t="n">
        <v>0</v>
      </c>
      <c r="AX211" s="53" t="n">
        <v>0</v>
      </c>
      <c r="AY211" s="52" t="n">
        <v>0</v>
      </c>
      <c r="AZ211" s="52" t="n">
        <v>0</v>
      </c>
      <c r="BA211" s="52" t="n">
        <v>0</v>
      </c>
      <c r="BB211" s="52" t="n">
        <v>0</v>
      </c>
      <c r="BC211" s="51" t="n">
        <v>0</v>
      </c>
      <c r="BD211" s="51" t="n">
        <v>0</v>
      </c>
      <c r="BE211" s="51" t="n">
        <v>0</v>
      </c>
      <c r="BF211" s="51" t="n">
        <v>0</v>
      </c>
    </row>
    <row r="212">
      <c r="A212">
        <f>HYPERLINK("https://www.walmart.com/ip/614520723", "614520723")</f>
        <v/>
      </c>
      <c r="B212" t="inlineStr">
        <is>
          <t>Catalonia Wearable Fleece Blanket with Sleeves and Kangaroo Pocket for Adults, Soft, Warm, Comfy Throws Wrap Robe Blanket in Gray</t>
        </is>
      </c>
      <c r="C212" t="inlineStr">
        <is>
          <t>1CTSN200GY</t>
        </is>
      </c>
      <c r="D212" t="inlineStr">
        <is>
          <t>Throws</t>
        </is>
      </c>
      <c r="E212" t="inlineStr">
        <is>
          <t>Catalonia</t>
        </is>
      </c>
      <c r="F212" t="inlineStr">
        <is>
          <t>Q2-Target,WFS,Coupon_Discount,WFS Item</t>
        </is>
      </c>
      <c r="G212" s="48" t="n">
        <v>0</v>
      </c>
      <c r="H212" s="48" t="n">
        <v>0</v>
      </c>
      <c r="I212" s="48" t="n">
        <v>0</v>
      </c>
      <c r="J212" s="48" t="n">
        <v>0</v>
      </c>
      <c r="K212" s="49" t="n">
        <v>0</v>
      </c>
      <c r="L212" s="49" t="n">
        <v>0</v>
      </c>
      <c r="M212" s="49" t="n">
        <v>0</v>
      </c>
      <c r="N212" s="49" t="n">
        <v>0</v>
      </c>
      <c r="O212" s="49" t="n">
        <v>0</v>
      </c>
      <c r="P212" s="49" t="n">
        <v>0</v>
      </c>
      <c r="Q212" s="49" t="n">
        <v>0</v>
      </c>
      <c r="R212" s="49" t="n">
        <v>0</v>
      </c>
      <c r="S212" s="50" t="n">
        <v>0</v>
      </c>
      <c r="T212" s="50" t="n">
        <v>0</v>
      </c>
      <c r="U212" s="50" t="n">
        <v>0</v>
      </c>
      <c r="V212" s="50" t="n">
        <v>0</v>
      </c>
      <c r="W212" s="51" t="n">
        <v>0</v>
      </c>
      <c r="X212" s="51" t="n">
        <v>0</v>
      </c>
      <c r="Y212" s="51" t="n">
        <v>0</v>
      </c>
      <c r="Z212" s="51" t="n">
        <v>0</v>
      </c>
      <c r="AA212" s="52" t="n">
        <v>0</v>
      </c>
      <c r="AB212" s="52" t="n">
        <v>0</v>
      </c>
      <c r="AC212" s="52" t="n">
        <v>0</v>
      </c>
      <c r="AD212" s="52" t="n">
        <v>0</v>
      </c>
      <c r="AE212" s="52" t="n">
        <v>0</v>
      </c>
      <c r="AF212" s="52" t="n">
        <v>0</v>
      </c>
      <c r="AG212" s="52" t="n">
        <v>0</v>
      </c>
      <c r="AH212" s="52" t="n">
        <v>0</v>
      </c>
      <c r="AI212" s="52" t="n">
        <v>0</v>
      </c>
      <c r="AJ212" s="52" t="n">
        <v>0</v>
      </c>
      <c r="AK212" s="52" t="n">
        <v>0</v>
      </c>
      <c r="AL212" s="52" t="n">
        <v>0</v>
      </c>
      <c r="AM212" s="53" t="n">
        <v>0</v>
      </c>
      <c r="AN212" s="53" t="n">
        <v>0</v>
      </c>
      <c r="AO212" s="53" t="n">
        <v>0</v>
      </c>
      <c r="AP212" s="53" t="n">
        <v>0</v>
      </c>
      <c r="AQ212" s="52" t="n">
        <v>0</v>
      </c>
      <c r="AR212" s="52" t="n">
        <v>0</v>
      </c>
      <c r="AS212" s="52" t="n">
        <v>0</v>
      </c>
      <c r="AT212" s="52" t="n">
        <v>0</v>
      </c>
      <c r="AU212" s="53" t="n">
        <v>0</v>
      </c>
      <c r="AV212" s="53" t="n">
        <v>0</v>
      </c>
      <c r="AW212" s="53" t="n">
        <v>0</v>
      </c>
      <c r="AX212" s="53" t="n">
        <v>0</v>
      </c>
      <c r="AY212" s="52" t="n">
        <v>0</v>
      </c>
      <c r="AZ212" s="52" t="n">
        <v>0</v>
      </c>
      <c r="BA212" s="52" t="n">
        <v>0</v>
      </c>
      <c r="BB212" s="52" t="n">
        <v>0</v>
      </c>
      <c r="BC212" s="51" t="n">
        <v>0</v>
      </c>
      <c r="BD212" s="51" t="n">
        <v>0</v>
      </c>
      <c r="BE212" s="51" t="n">
        <v>0</v>
      </c>
      <c r="BF212" s="51" t="n">
        <v>0</v>
      </c>
    </row>
    <row r="213">
      <c r="A213">
        <f>HYPERLINK("https://www.walmart.com/ip/554846099", "554846099")</f>
        <v/>
      </c>
      <c r="B213" t="inlineStr">
        <is>
          <t>Wine Tote Bag with Hidden Dispenser, Insulated Large Wine Carrying Carrier Set with Wine Bladder, Perfect Wine Gift for Byob, Movie Theater, Concert, Sport Events, Pool &amp; Beach</t>
        </is>
      </c>
      <c r="C213" t="inlineStr">
        <is>
          <t>1TRWT100GY</t>
        </is>
      </c>
      <c r="D213" t="inlineStr">
        <is>
          <t>Wine Totes, Bags &amp; Backpacks</t>
        </is>
      </c>
      <c r="E213" t="inlineStr">
        <is>
          <t>Tirrinia</t>
        </is>
      </c>
      <c r="F213" t="inlineStr">
        <is>
          <t>Wine,Optimized,Wine WFS</t>
        </is>
      </c>
      <c r="G213" s="48" t="n">
        <v>0</v>
      </c>
      <c r="H213" s="48" t="n">
        <v>0</v>
      </c>
      <c r="I213" s="48" t="n">
        <v>0</v>
      </c>
      <c r="J213" s="48" t="n">
        <v>0</v>
      </c>
      <c r="K213" s="49" t="n">
        <v>0</v>
      </c>
      <c r="L213" s="49" t="n">
        <v>0</v>
      </c>
      <c r="M213" s="49" t="n">
        <v>0</v>
      </c>
      <c r="N213" s="49" t="n">
        <v>0</v>
      </c>
      <c r="O213" s="49" t="n">
        <v>0</v>
      </c>
      <c r="P213" s="49" t="n">
        <v>0</v>
      </c>
      <c r="Q213" s="49" t="n">
        <v>0</v>
      </c>
      <c r="R213" s="49" t="n">
        <v>0</v>
      </c>
      <c r="S213" s="50" t="n">
        <v>0</v>
      </c>
      <c r="T213" s="50" t="n">
        <v>0</v>
      </c>
      <c r="U213" s="50" t="n">
        <v>0</v>
      </c>
      <c r="V213" s="50" t="n">
        <v>0</v>
      </c>
      <c r="W213" s="51" t="n">
        <v>0</v>
      </c>
      <c r="X213" s="51" t="n">
        <v>0</v>
      </c>
      <c r="Y213" s="51" t="n">
        <v>0</v>
      </c>
      <c r="Z213" s="51" t="n">
        <v>0</v>
      </c>
      <c r="AA213" s="52" t="n">
        <v>0</v>
      </c>
      <c r="AB213" s="52" t="n">
        <v>0</v>
      </c>
      <c r="AC213" s="52" t="n">
        <v>0</v>
      </c>
      <c r="AD213" s="52" t="n">
        <v>0</v>
      </c>
      <c r="AE213" s="52" t="n">
        <v>0</v>
      </c>
      <c r="AF213" s="52" t="n">
        <v>0</v>
      </c>
      <c r="AG213" s="52" t="n">
        <v>0</v>
      </c>
      <c r="AH213" s="52" t="n">
        <v>0</v>
      </c>
      <c r="AI213" s="52" t="n">
        <v>0</v>
      </c>
      <c r="AJ213" s="52" t="n">
        <v>0</v>
      </c>
      <c r="AK213" s="52" t="n">
        <v>0</v>
      </c>
      <c r="AL213" s="52" t="n">
        <v>0</v>
      </c>
      <c r="AM213" s="53" t="n">
        <v>0</v>
      </c>
      <c r="AN213" s="53" t="n">
        <v>0</v>
      </c>
      <c r="AO213" s="53" t="n">
        <v>0</v>
      </c>
      <c r="AP213" s="53" t="n">
        <v>0</v>
      </c>
      <c r="AQ213" s="52" t="n">
        <v>0</v>
      </c>
      <c r="AR213" s="52" t="n">
        <v>0</v>
      </c>
      <c r="AS213" s="52" t="n">
        <v>0</v>
      </c>
      <c r="AT213" s="52" t="n">
        <v>0</v>
      </c>
      <c r="AU213" s="53" t="n">
        <v>0</v>
      </c>
      <c r="AV213" s="53" t="n">
        <v>0</v>
      </c>
      <c r="AW213" s="53" t="n">
        <v>0</v>
      </c>
      <c r="AX213" s="53" t="n">
        <v>0</v>
      </c>
      <c r="AY213" s="52" t="n">
        <v>0</v>
      </c>
      <c r="AZ213" s="52" t="n">
        <v>0</v>
      </c>
      <c r="BA213" s="52" t="n">
        <v>0</v>
      </c>
      <c r="BB213" s="52" t="n">
        <v>0</v>
      </c>
      <c r="BC213" s="51" t="n">
        <v>0</v>
      </c>
      <c r="BD213" s="51" t="n">
        <v>0</v>
      </c>
      <c r="BE213" s="51" t="n">
        <v>0</v>
      </c>
      <c r="BF213" s="51" t="n">
        <v>0</v>
      </c>
    </row>
    <row r="214">
      <c r="A214">
        <f>HYPERLINK("https://www.walmart.com/ip/554495477", "554495477")</f>
        <v/>
      </c>
      <c r="B214" t="inlineStr">
        <is>
          <t>Flyingstar Surf Beach Changing Towel With Hood, Absorbent Microfiber Robe Poncho, Men &amp; Women,Grey</t>
        </is>
      </c>
      <c r="C214" t="inlineStr">
        <is>
          <t>1WMBR102-GY</t>
        </is>
      </c>
      <c r="D214" t="inlineStr">
        <is>
          <t>default</t>
        </is>
      </c>
      <c r="E214" t="inlineStr">
        <is>
          <t>Flyingstar</t>
        </is>
      </c>
      <c r="F214" t="inlineStr">
        <is>
          <t>Batch 1 - TR</t>
        </is>
      </c>
      <c r="G214" s="48" t="n">
        <v>0</v>
      </c>
      <c r="H214" s="48" t="n">
        <v>0</v>
      </c>
      <c r="I214" s="48" t="n">
        <v>0</v>
      </c>
      <c r="J214" s="48" t="n">
        <v>22.99</v>
      </c>
      <c r="K214" s="49" t="n">
        <v>0</v>
      </c>
      <c r="L214" s="49" t="n">
        <v>0</v>
      </c>
      <c r="M214" s="49" t="n">
        <v>0</v>
      </c>
      <c r="N214" s="49" t="n">
        <v>1</v>
      </c>
      <c r="O214" s="49" t="n">
        <v>0</v>
      </c>
      <c r="P214" s="49" t="n">
        <v>0</v>
      </c>
      <c r="Q214" s="49" t="n">
        <v>0</v>
      </c>
      <c r="R214" s="49" t="n">
        <v>0</v>
      </c>
      <c r="S214" s="50" t="n">
        <v>0</v>
      </c>
      <c r="T214" s="50" t="n">
        <v>0</v>
      </c>
      <c r="U214" s="50" t="n">
        <v>0</v>
      </c>
      <c r="V214" s="50" t="n">
        <v>0</v>
      </c>
      <c r="W214" s="51" t="n">
        <v>0</v>
      </c>
      <c r="X214" s="51" t="n">
        <v>0</v>
      </c>
      <c r="Y214" s="51" t="n">
        <v>0</v>
      </c>
      <c r="Z214" s="51" t="n">
        <v>0</v>
      </c>
      <c r="AA214" s="52" t="n">
        <v>0</v>
      </c>
      <c r="AB214" s="52" t="n">
        <v>0</v>
      </c>
      <c r="AC214" s="52" t="n">
        <v>0</v>
      </c>
      <c r="AD214" s="52" t="n">
        <v>0</v>
      </c>
      <c r="AE214" s="52" t="n">
        <v>0</v>
      </c>
      <c r="AF214" s="52" t="n">
        <v>0</v>
      </c>
      <c r="AG214" s="52" t="n">
        <v>0</v>
      </c>
      <c r="AH214" s="52" t="n">
        <v>0</v>
      </c>
      <c r="AI214" s="52" t="n">
        <v>0</v>
      </c>
      <c r="AJ214" s="52" t="n">
        <v>0</v>
      </c>
      <c r="AK214" s="52" t="n">
        <v>0</v>
      </c>
      <c r="AL214" s="52" t="n">
        <v>0</v>
      </c>
      <c r="AM214" s="53" t="n">
        <v>0</v>
      </c>
      <c r="AN214" s="53" t="n">
        <v>0</v>
      </c>
      <c r="AO214" s="53" t="n">
        <v>0</v>
      </c>
      <c r="AP214" s="53" t="n">
        <v>0</v>
      </c>
      <c r="AQ214" s="52" t="n">
        <v>0</v>
      </c>
      <c r="AR214" s="52" t="n">
        <v>0</v>
      </c>
      <c r="AS214" s="52" t="n">
        <v>0</v>
      </c>
      <c r="AT214" s="52" t="n">
        <v>0</v>
      </c>
      <c r="AU214" s="53" t="n">
        <v>0</v>
      </c>
      <c r="AV214" s="53" t="n">
        <v>0</v>
      </c>
      <c r="AW214" s="53" t="n">
        <v>0</v>
      </c>
      <c r="AX214" s="53" t="n">
        <v>0</v>
      </c>
      <c r="AY214" s="52" t="n">
        <v>0</v>
      </c>
      <c r="AZ214" s="52" t="n">
        <v>0</v>
      </c>
      <c r="BA214" s="52" t="n">
        <v>0</v>
      </c>
      <c r="BB214" s="52" t="n">
        <v>22.99</v>
      </c>
      <c r="BC214" s="51" t="n">
        <v>0</v>
      </c>
      <c r="BD214" s="51" t="n">
        <v>0</v>
      </c>
      <c r="BE214" s="51" t="n">
        <v>0</v>
      </c>
      <c r="BF214" s="51" t="n">
        <v>0</v>
      </c>
    </row>
    <row r="215">
      <c r="A215">
        <f>HYPERLINK("https://www.walmart.com/ip/554090745", "554090745")</f>
        <v/>
      </c>
      <c r="B215" t="inlineStr">
        <is>
          <t>Tirrinia Portable Travel Blanket Airplane Office 4 in 1 Premium Fleece Poncho Blanket Folable with Pocket and Built-in Bag-Great for Airplane Car Train Travel Camping, 60"x40", Gray</t>
        </is>
      </c>
      <c r="C215" t="inlineStr">
        <is>
          <t>1TRTB100GY</t>
        </is>
      </c>
      <c r="D215" t="inlineStr">
        <is>
          <t>Throws</t>
        </is>
      </c>
      <c r="E215" t="inlineStr">
        <is>
          <t>Tirrinia</t>
        </is>
      </c>
      <c r="F215" t="inlineStr">
        <is>
          <t>Optimized,WFS,Coupon_Discount,WFS Item</t>
        </is>
      </c>
      <c r="G215" s="48" t="n">
        <v>0</v>
      </c>
      <c r="H215" s="48" t="n">
        <v>0</v>
      </c>
      <c r="I215" s="48" t="n">
        <v>20.99</v>
      </c>
      <c r="J215" s="48" t="n">
        <v>0</v>
      </c>
      <c r="K215" s="49" t="n">
        <v>0</v>
      </c>
      <c r="L215" s="49" t="n">
        <v>0</v>
      </c>
      <c r="M215" s="49" t="n">
        <v>1</v>
      </c>
      <c r="N215" s="49" t="n">
        <v>0</v>
      </c>
      <c r="O215" s="49" t="n">
        <v>0</v>
      </c>
      <c r="P215" s="49" t="n">
        <v>0</v>
      </c>
      <c r="Q215" s="49" t="n">
        <v>0</v>
      </c>
      <c r="R215" s="49" t="n">
        <v>0</v>
      </c>
      <c r="S215" s="50" t="n">
        <v>0</v>
      </c>
      <c r="T215" s="50" t="n">
        <v>0</v>
      </c>
      <c r="U215" s="50" t="n">
        <v>0</v>
      </c>
      <c r="V215" s="50" t="n">
        <v>0</v>
      </c>
      <c r="W215" s="51" t="n">
        <v>0</v>
      </c>
      <c r="X215" s="51" t="n">
        <v>0</v>
      </c>
      <c r="Y215" s="51" t="n">
        <v>0</v>
      </c>
      <c r="Z215" s="51" t="n">
        <v>0</v>
      </c>
      <c r="AA215" s="52" t="n">
        <v>0</v>
      </c>
      <c r="AB215" s="52" t="n">
        <v>0</v>
      </c>
      <c r="AC215" s="52" t="n">
        <v>0</v>
      </c>
      <c r="AD215" s="52" t="n">
        <v>0</v>
      </c>
      <c r="AE215" s="52" t="n">
        <v>0</v>
      </c>
      <c r="AF215" s="52" t="n">
        <v>0</v>
      </c>
      <c r="AG215" s="52" t="n">
        <v>0</v>
      </c>
      <c r="AH215" s="52" t="n">
        <v>0</v>
      </c>
      <c r="AI215" s="52" t="n">
        <v>0</v>
      </c>
      <c r="AJ215" s="52" t="n">
        <v>0</v>
      </c>
      <c r="AK215" s="52" t="n">
        <v>0</v>
      </c>
      <c r="AL215" s="52" t="n">
        <v>0</v>
      </c>
      <c r="AM215" s="53" t="n">
        <v>0</v>
      </c>
      <c r="AN215" s="53" t="n">
        <v>0</v>
      </c>
      <c r="AO215" s="53" t="n">
        <v>0</v>
      </c>
      <c r="AP215" s="53" t="n">
        <v>0</v>
      </c>
      <c r="AQ215" s="52" t="n">
        <v>0</v>
      </c>
      <c r="AR215" s="52" t="n">
        <v>0</v>
      </c>
      <c r="AS215" s="52" t="n">
        <v>0</v>
      </c>
      <c r="AT215" s="52" t="n">
        <v>0</v>
      </c>
      <c r="AU215" s="53" t="n">
        <v>0</v>
      </c>
      <c r="AV215" s="53" t="n">
        <v>0</v>
      </c>
      <c r="AW215" s="53" t="n">
        <v>0</v>
      </c>
      <c r="AX215" s="53" t="n">
        <v>0</v>
      </c>
      <c r="AY215" s="52" t="n">
        <v>0</v>
      </c>
      <c r="AZ215" s="52" t="n">
        <v>0</v>
      </c>
      <c r="BA215" s="52" t="n">
        <v>20.99</v>
      </c>
      <c r="BB215" s="52" t="n">
        <v>0</v>
      </c>
      <c r="BC215" s="51" t="n">
        <v>0</v>
      </c>
      <c r="BD215" s="51" t="n">
        <v>0</v>
      </c>
      <c r="BE215" s="51" t="n">
        <v>0</v>
      </c>
      <c r="BF215" s="51" t="n">
        <v>0</v>
      </c>
    </row>
    <row r="216">
      <c r="A216">
        <f>HYPERLINK("https://www.walmart.com/ip/5537696486", "5537696486")</f>
        <v/>
      </c>
      <c r="B216" t="inlineStr">
        <is>
          <t>Solaris Kids Sun Hat UPF50+ Sun Protection, Large Mesh Super Breathable Travel Beach Play Bucket Hats for Girs Boys Teenagers</t>
        </is>
      </c>
      <c r="C216" t="inlineStr">
        <is>
          <t>1SLSH925TN</t>
        </is>
      </c>
      <c r="D216" t="inlineStr">
        <is>
          <t>Hats</t>
        </is>
      </c>
      <c r="E216" t="inlineStr">
        <is>
          <t>Solaris</t>
        </is>
      </c>
      <c r="G216" s="48" t="n">
        <v>0</v>
      </c>
      <c r="H216" s="48" t="n">
        <v>0</v>
      </c>
      <c r="I216" s="48" t="n">
        <v>0</v>
      </c>
      <c r="J216" s="48" t="n">
        <v>0</v>
      </c>
      <c r="K216" s="49" t="n">
        <v>0</v>
      </c>
      <c r="L216" s="49" t="n">
        <v>0</v>
      </c>
      <c r="M216" s="49" t="n">
        <v>0</v>
      </c>
      <c r="N216" s="49" t="n">
        <v>0</v>
      </c>
      <c r="O216" s="49" t="n">
        <v>0</v>
      </c>
      <c r="P216" s="49" t="n">
        <v>0</v>
      </c>
      <c r="Q216" s="49" t="n">
        <v>0</v>
      </c>
      <c r="R216" s="49" t="n">
        <v>0</v>
      </c>
      <c r="S216" s="50" t="n">
        <v>0</v>
      </c>
      <c r="T216" s="50" t="n">
        <v>0</v>
      </c>
      <c r="U216" s="50" t="n">
        <v>0</v>
      </c>
      <c r="V216" s="50" t="n">
        <v>0</v>
      </c>
      <c r="W216" s="51" t="n">
        <v>0</v>
      </c>
      <c r="X216" s="51" t="n">
        <v>0</v>
      </c>
      <c r="Y216" s="51" t="n">
        <v>0</v>
      </c>
      <c r="Z216" s="51" t="n">
        <v>0</v>
      </c>
      <c r="AA216" s="52" t="n">
        <v>0</v>
      </c>
      <c r="AB216" s="52" t="n">
        <v>0</v>
      </c>
      <c r="AC216" s="52" t="n">
        <v>0</v>
      </c>
      <c r="AD216" s="52" t="n">
        <v>0</v>
      </c>
      <c r="AE216" s="52" t="n">
        <v>0</v>
      </c>
      <c r="AF216" s="52" t="n">
        <v>0</v>
      </c>
      <c r="AG216" s="52" t="n">
        <v>0</v>
      </c>
      <c r="AH216" s="52" t="n">
        <v>0</v>
      </c>
      <c r="AI216" s="52" t="n">
        <v>0</v>
      </c>
      <c r="AJ216" s="52" t="n">
        <v>0</v>
      </c>
      <c r="AK216" s="52" t="n">
        <v>0</v>
      </c>
      <c r="AL216" s="52" t="n">
        <v>0</v>
      </c>
      <c r="AM216" s="53" t="n">
        <v>0</v>
      </c>
      <c r="AN216" s="53" t="n">
        <v>0</v>
      </c>
      <c r="AO216" s="53" t="n">
        <v>0</v>
      </c>
      <c r="AP216" s="53" t="n">
        <v>0</v>
      </c>
      <c r="AQ216" s="52" t="n">
        <v>0</v>
      </c>
      <c r="AR216" s="52" t="n">
        <v>0</v>
      </c>
      <c r="AS216" s="52" t="n">
        <v>0</v>
      </c>
      <c r="AT216" s="52" t="n">
        <v>0</v>
      </c>
      <c r="AU216" s="53" t="n">
        <v>0</v>
      </c>
      <c r="AV216" s="53" t="n">
        <v>0</v>
      </c>
      <c r="AW216" s="53" t="n">
        <v>0</v>
      </c>
      <c r="AX216" s="53" t="n">
        <v>0</v>
      </c>
      <c r="AY216" s="52" t="n">
        <v>0</v>
      </c>
      <c r="AZ216" s="52" t="n">
        <v>0</v>
      </c>
      <c r="BA216" s="52" t="n">
        <v>0</v>
      </c>
      <c r="BB216" s="52" t="n">
        <v>0</v>
      </c>
      <c r="BC216" s="51" t="n">
        <v>0</v>
      </c>
      <c r="BD216" s="51" t="n">
        <v>0</v>
      </c>
      <c r="BE216" s="51" t="n">
        <v>0</v>
      </c>
      <c r="BF216" s="51" t="n">
        <v>0</v>
      </c>
    </row>
    <row r="217">
      <c r="A217">
        <f>HYPERLINK("https://www.walmart.com/ip/5536189949", "5536189949")</f>
        <v/>
      </c>
      <c r="B217" t="inlineStr">
        <is>
          <t>Solaris Kids Sun Hat UPF50+ Sun Protection, Large Mesh Super Breathable Travel Beach Play Bucket Hats for Girs Boys Teenagers</t>
        </is>
      </c>
      <c r="C217" t="inlineStr">
        <is>
          <t>1SLSH925GY</t>
        </is>
      </c>
      <c r="D217" t="inlineStr">
        <is>
          <t>Hats</t>
        </is>
      </c>
      <c r="E217" t="inlineStr">
        <is>
          <t>Solaris</t>
        </is>
      </c>
      <c r="G217" s="48" t="n">
        <v>0</v>
      </c>
      <c r="H217" s="48" t="n">
        <v>0</v>
      </c>
      <c r="I217" s="48" t="n">
        <v>0</v>
      </c>
      <c r="J217" s="48" t="n">
        <v>0</v>
      </c>
      <c r="K217" s="49" t="n">
        <v>0</v>
      </c>
      <c r="L217" s="49" t="n">
        <v>0</v>
      </c>
      <c r="M217" s="49" t="n">
        <v>0</v>
      </c>
      <c r="N217" s="49" t="n">
        <v>0</v>
      </c>
      <c r="O217" s="49" t="n">
        <v>0</v>
      </c>
      <c r="P217" s="49" t="n">
        <v>0</v>
      </c>
      <c r="Q217" s="49" t="n">
        <v>0</v>
      </c>
      <c r="R217" s="49" t="n">
        <v>0</v>
      </c>
      <c r="S217" s="50" t="n">
        <v>0</v>
      </c>
      <c r="T217" s="50" t="n">
        <v>0</v>
      </c>
      <c r="U217" s="50" t="n">
        <v>0</v>
      </c>
      <c r="V217" s="50" t="n">
        <v>0</v>
      </c>
      <c r="W217" s="51" t="n">
        <v>0</v>
      </c>
      <c r="X217" s="51" t="n">
        <v>0</v>
      </c>
      <c r="Y217" s="51" t="n">
        <v>0</v>
      </c>
      <c r="Z217" s="51" t="n">
        <v>0</v>
      </c>
      <c r="AA217" s="52" t="n">
        <v>0</v>
      </c>
      <c r="AB217" s="52" t="n">
        <v>0</v>
      </c>
      <c r="AC217" s="52" t="n">
        <v>0</v>
      </c>
      <c r="AD217" s="52" t="n">
        <v>0</v>
      </c>
      <c r="AE217" s="52" t="n">
        <v>0</v>
      </c>
      <c r="AF217" s="52" t="n">
        <v>0</v>
      </c>
      <c r="AG217" s="52" t="n">
        <v>0</v>
      </c>
      <c r="AH217" s="52" t="n">
        <v>0</v>
      </c>
      <c r="AI217" s="52" t="n">
        <v>0</v>
      </c>
      <c r="AJ217" s="52" t="n">
        <v>0</v>
      </c>
      <c r="AK217" s="52" t="n">
        <v>0</v>
      </c>
      <c r="AL217" s="52" t="n">
        <v>0</v>
      </c>
      <c r="AM217" s="53" t="n">
        <v>0</v>
      </c>
      <c r="AN217" s="53" t="n">
        <v>0</v>
      </c>
      <c r="AO217" s="53" t="n">
        <v>0</v>
      </c>
      <c r="AP217" s="53" t="n">
        <v>0</v>
      </c>
      <c r="AQ217" s="52" t="n">
        <v>0</v>
      </c>
      <c r="AR217" s="52" t="n">
        <v>0</v>
      </c>
      <c r="AS217" s="52" t="n">
        <v>0</v>
      </c>
      <c r="AT217" s="52" t="n">
        <v>0</v>
      </c>
      <c r="AU217" s="53" t="n">
        <v>0</v>
      </c>
      <c r="AV217" s="53" t="n">
        <v>0</v>
      </c>
      <c r="AW217" s="53" t="n">
        <v>0</v>
      </c>
      <c r="AX217" s="53" t="n">
        <v>0</v>
      </c>
      <c r="AY217" s="52" t="n">
        <v>0</v>
      </c>
      <c r="AZ217" s="52" t="n">
        <v>0</v>
      </c>
      <c r="BA217" s="52" t="n">
        <v>0</v>
      </c>
      <c r="BB217" s="52" t="n">
        <v>0</v>
      </c>
      <c r="BC217" s="51" t="n">
        <v>0</v>
      </c>
      <c r="BD217" s="51" t="n">
        <v>0</v>
      </c>
      <c r="BE217" s="51" t="n">
        <v>0</v>
      </c>
      <c r="BF217" s="51" t="n">
        <v>0</v>
      </c>
    </row>
    <row r="218">
      <c r="A218">
        <f>HYPERLINK("https://www.walmart.com/ip/5493422988", "5493422988")</f>
        <v/>
      </c>
      <c r="B218" t="inlineStr">
        <is>
          <t>Catalonia Plush Fleece Blanket Couch Throw Christmas Theme Shu Velveteen Lambswool Reversible Warm Super Soft 61” x 50“</t>
        </is>
      </c>
      <c r="C218" t="inlineStr">
        <is>
          <t>1CTBF600NAAN</t>
        </is>
      </c>
      <c r="D218" t="inlineStr">
        <is>
          <t>Throws</t>
        </is>
      </c>
      <c r="E218" t="inlineStr">
        <is>
          <t>Catalonia</t>
        </is>
      </c>
      <c r="G218" s="48" t="n">
        <v>0</v>
      </c>
      <c r="H218" s="48" t="n">
        <v>0</v>
      </c>
      <c r="I218" s="48" t="n">
        <v>0</v>
      </c>
      <c r="J218" s="48" t="n">
        <v>0</v>
      </c>
      <c r="K218" s="49" t="n">
        <v>0</v>
      </c>
      <c r="L218" s="49" t="n">
        <v>0</v>
      </c>
      <c r="M218" s="49" t="n">
        <v>0</v>
      </c>
      <c r="N218" s="49" t="n">
        <v>0</v>
      </c>
      <c r="O218" s="49" t="n">
        <v>0</v>
      </c>
      <c r="P218" s="49" t="n">
        <v>0</v>
      </c>
      <c r="Q218" s="49" t="n">
        <v>0</v>
      </c>
      <c r="R218" s="49" t="n">
        <v>0</v>
      </c>
      <c r="S218" s="50" t="n">
        <v>0</v>
      </c>
      <c r="T218" s="50" t="n">
        <v>0</v>
      </c>
      <c r="U218" s="50" t="n">
        <v>0</v>
      </c>
      <c r="V218" s="50" t="n">
        <v>0</v>
      </c>
      <c r="W218" s="51" t="n">
        <v>0</v>
      </c>
      <c r="X218" s="51" t="n">
        <v>0</v>
      </c>
      <c r="Y218" s="51" t="n">
        <v>0</v>
      </c>
      <c r="Z218" s="51" t="n">
        <v>0</v>
      </c>
      <c r="AA218" s="52" t="n">
        <v>0</v>
      </c>
      <c r="AB218" s="52" t="n">
        <v>0</v>
      </c>
      <c r="AC218" s="52" t="n">
        <v>0</v>
      </c>
      <c r="AD218" s="52" t="n">
        <v>0</v>
      </c>
      <c r="AE218" s="52" t="n">
        <v>0</v>
      </c>
      <c r="AF218" s="52" t="n">
        <v>0</v>
      </c>
      <c r="AG218" s="52" t="n">
        <v>0</v>
      </c>
      <c r="AH218" s="52" t="n">
        <v>0</v>
      </c>
      <c r="AI218" s="52" t="n">
        <v>0</v>
      </c>
      <c r="AJ218" s="52" t="n">
        <v>0</v>
      </c>
      <c r="AK218" s="52" t="n">
        <v>0</v>
      </c>
      <c r="AL218" s="52" t="n">
        <v>0</v>
      </c>
      <c r="AM218" s="53" t="n">
        <v>0</v>
      </c>
      <c r="AN218" s="53" t="n">
        <v>0</v>
      </c>
      <c r="AO218" s="53" t="n">
        <v>0</v>
      </c>
      <c r="AP218" s="53" t="n">
        <v>0</v>
      </c>
      <c r="AQ218" s="52" t="n">
        <v>0</v>
      </c>
      <c r="AR218" s="52" t="n">
        <v>0</v>
      </c>
      <c r="AS218" s="52" t="n">
        <v>0</v>
      </c>
      <c r="AT218" s="52" t="n">
        <v>0</v>
      </c>
      <c r="AU218" s="53" t="n">
        <v>0</v>
      </c>
      <c r="AV218" s="53" t="n">
        <v>0</v>
      </c>
      <c r="AW218" s="53" t="n">
        <v>0</v>
      </c>
      <c r="AX218" s="53" t="n">
        <v>0</v>
      </c>
      <c r="AY218" s="52" t="n">
        <v>0</v>
      </c>
      <c r="AZ218" s="52" t="n">
        <v>0</v>
      </c>
      <c r="BA218" s="52" t="n">
        <v>0</v>
      </c>
      <c r="BB218" s="52" t="n">
        <v>0</v>
      </c>
      <c r="BC218" s="51" t="n">
        <v>0</v>
      </c>
      <c r="BD218" s="51" t="n">
        <v>0</v>
      </c>
      <c r="BE218" s="51" t="n">
        <v>0</v>
      </c>
      <c r="BF218" s="51" t="n">
        <v>0</v>
      </c>
    </row>
    <row r="219">
      <c r="A219">
        <f>HYPERLINK("https://www.walmart.com/ip/5524926141", "5524926141")</f>
        <v/>
      </c>
      <c r="B219" t="inlineStr">
        <is>
          <t>Solaris Kids Sun Hat UPF50+ Sun Protection, Large Mesh Super Breathable Travel Beach Play Bucket Hats for Girs Boys Teenagers</t>
        </is>
      </c>
      <c r="C219" t="inlineStr">
        <is>
          <t>1SLSH925DIGIGN</t>
        </is>
      </c>
      <c r="D219" t="inlineStr">
        <is>
          <t>Hats</t>
        </is>
      </c>
      <c r="E219" t="inlineStr">
        <is>
          <t>Solaris</t>
        </is>
      </c>
      <c r="G219" s="48" t="n">
        <v>0</v>
      </c>
      <c r="H219" s="48" t="n">
        <v>0</v>
      </c>
      <c r="I219" s="48" t="n">
        <v>0</v>
      </c>
      <c r="J219" s="48" t="n">
        <v>0</v>
      </c>
      <c r="K219" s="49" t="n">
        <v>0</v>
      </c>
      <c r="L219" s="49" t="n">
        <v>0</v>
      </c>
      <c r="M219" s="49" t="n">
        <v>0</v>
      </c>
      <c r="N219" s="49" t="n">
        <v>0</v>
      </c>
      <c r="O219" s="49" t="n">
        <v>0</v>
      </c>
      <c r="P219" s="49" t="n">
        <v>0</v>
      </c>
      <c r="Q219" s="49" t="n">
        <v>0</v>
      </c>
      <c r="R219" s="49" t="n">
        <v>0</v>
      </c>
      <c r="S219" s="50" t="n">
        <v>0</v>
      </c>
      <c r="T219" s="50" t="n">
        <v>0</v>
      </c>
      <c r="U219" s="50" t="n">
        <v>0</v>
      </c>
      <c r="V219" s="50" t="n">
        <v>0</v>
      </c>
      <c r="W219" s="51" t="n">
        <v>0</v>
      </c>
      <c r="X219" s="51" t="n">
        <v>0</v>
      </c>
      <c r="Y219" s="51" t="n">
        <v>0</v>
      </c>
      <c r="Z219" s="51" t="n">
        <v>0</v>
      </c>
      <c r="AA219" s="52" t="n">
        <v>0</v>
      </c>
      <c r="AB219" s="52" t="n">
        <v>0</v>
      </c>
      <c r="AC219" s="52" t="n">
        <v>0</v>
      </c>
      <c r="AD219" s="52" t="n">
        <v>0</v>
      </c>
      <c r="AE219" s="52" t="n">
        <v>0</v>
      </c>
      <c r="AF219" s="52" t="n">
        <v>0</v>
      </c>
      <c r="AG219" s="52" t="n">
        <v>0</v>
      </c>
      <c r="AH219" s="52" t="n">
        <v>0</v>
      </c>
      <c r="AI219" s="52" t="n">
        <v>0</v>
      </c>
      <c r="AJ219" s="52" t="n">
        <v>0</v>
      </c>
      <c r="AK219" s="52" t="n">
        <v>0</v>
      </c>
      <c r="AL219" s="52" t="n">
        <v>0</v>
      </c>
      <c r="AM219" s="53" t="n">
        <v>0</v>
      </c>
      <c r="AN219" s="53" t="n">
        <v>0</v>
      </c>
      <c r="AO219" s="53" t="n">
        <v>0</v>
      </c>
      <c r="AP219" s="53" t="n">
        <v>0</v>
      </c>
      <c r="AQ219" s="52" t="n">
        <v>0</v>
      </c>
      <c r="AR219" s="52" t="n">
        <v>0</v>
      </c>
      <c r="AS219" s="52" t="n">
        <v>0</v>
      </c>
      <c r="AT219" s="52" t="n">
        <v>0</v>
      </c>
      <c r="AU219" s="53" t="n">
        <v>0</v>
      </c>
      <c r="AV219" s="53" t="n">
        <v>0</v>
      </c>
      <c r="AW219" s="53" t="n">
        <v>0</v>
      </c>
      <c r="AX219" s="53" t="n">
        <v>0</v>
      </c>
      <c r="AY219" s="52" t="n">
        <v>0</v>
      </c>
      <c r="AZ219" s="52" t="n">
        <v>0</v>
      </c>
      <c r="BA219" s="52" t="n">
        <v>0</v>
      </c>
      <c r="BB219" s="52" t="n">
        <v>0</v>
      </c>
      <c r="BC219" s="51" t="n">
        <v>0</v>
      </c>
      <c r="BD219" s="51" t="n">
        <v>0</v>
      </c>
      <c r="BE219" s="51" t="n">
        <v>0</v>
      </c>
      <c r="BF219" s="51" t="n">
        <v>0</v>
      </c>
    </row>
    <row r="220">
      <c r="A220">
        <f>HYPERLINK("https://www.walmart.com/ip/615365342", "615365342")</f>
        <v/>
      </c>
      <c r="B220" t="inlineStr">
        <is>
          <t>Flyingstar Wine Tote Carrier, 2-Bottle Insulated Versatile Cooler Bag for Travel and BYOB, Wine Gift Bag, Black Stripe</t>
        </is>
      </c>
      <c r="C220" t="inlineStr">
        <is>
          <t>1WMWB221BKSTR</t>
        </is>
      </c>
      <c r="D220" t="inlineStr">
        <is>
          <t>Wine Totes, Bags &amp; Backpacks</t>
        </is>
      </c>
      <c r="E220" t="inlineStr">
        <is>
          <t>Flyingstar</t>
        </is>
      </c>
      <c r="F220" t="inlineStr">
        <is>
          <t>Wine,Christmas,Valentine</t>
        </is>
      </c>
      <c r="G220" s="48" t="n">
        <v>0</v>
      </c>
      <c r="H220" s="48" t="n">
        <v>0</v>
      </c>
      <c r="I220" s="48" t="n">
        <v>0</v>
      </c>
      <c r="J220" s="48" t="n">
        <v>0</v>
      </c>
      <c r="K220" s="49" t="n">
        <v>0</v>
      </c>
      <c r="L220" s="49" t="n">
        <v>0</v>
      </c>
      <c r="M220" s="49" t="n">
        <v>0</v>
      </c>
      <c r="N220" s="49" t="n">
        <v>0</v>
      </c>
      <c r="O220" s="49" t="n">
        <v>0</v>
      </c>
      <c r="P220" s="49" t="n">
        <v>0</v>
      </c>
      <c r="Q220" s="49" t="n">
        <v>0</v>
      </c>
      <c r="R220" s="49" t="n">
        <v>0</v>
      </c>
      <c r="S220" s="50" t="n">
        <v>0</v>
      </c>
      <c r="T220" s="50" t="n">
        <v>0</v>
      </c>
      <c r="U220" s="50" t="n">
        <v>0</v>
      </c>
      <c r="V220" s="50" t="n">
        <v>0</v>
      </c>
      <c r="W220" s="51" t="n">
        <v>0</v>
      </c>
      <c r="X220" s="51" t="n">
        <v>0</v>
      </c>
      <c r="Y220" s="51" t="n">
        <v>0</v>
      </c>
      <c r="Z220" s="51" t="n">
        <v>0</v>
      </c>
      <c r="AA220" s="52" t="n">
        <v>0</v>
      </c>
      <c r="AB220" s="52" t="n">
        <v>0</v>
      </c>
      <c r="AC220" s="52" t="n">
        <v>0</v>
      </c>
      <c r="AD220" s="52" t="n">
        <v>0</v>
      </c>
      <c r="AE220" s="52" t="n">
        <v>0</v>
      </c>
      <c r="AF220" s="52" t="n">
        <v>0</v>
      </c>
      <c r="AG220" s="52" t="n">
        <v>0</v>
      </c>
      <c r="AH220" s="52" t="n">
        <v>0</v>
      </c>
      <c r="AI220" s="52" t="n">
        <v>0</v>
      </c>
      <c r="AJ220" s="52" t="n">
        <v>0</v>
      </c>
      <c r="AK220" s="52" t="n">
        <v>0</v>
      </c>
      <c r="AL220" s="52" t="n">
        <v>0</v>
      </c>
      <c r="AM220" s="53" t="n">
        <v>0</v>
      </c>
      <c r="AN220" s="53" t="n">
        <v>0</v>
      </c>
      <c r="AO220" s="53" t="n">
        <v>0</v>
      </c>
      <c r="AP220" s="53" t="n">
        <v>0</v>
      </c>
      <c r="AQ220" s="52" t="n">
        <v>0</v>
      </c>
      <c r="AR220" s="52" t="n">
        <v>0</v>
      </c>
      <c r="AS220" s="52" t="n">
        <v>0</v>
      </c>
      <c r="AT220" s="52" t="n">
        <v>0</v>
      </c>
      <c r="AU220" s="53" t="n">
        <v>0</v>
      </c>
      <c r="AV220" s="53" t="n">
        <v>0</v>
      </c>
      <c r="AW220" s="53" t="n">
        <v>0</v>
      </c>
      <c r="AX220" s="53" t="n">
        <v>0</v>
      </c>
      <c r="AY220" s="52" t="n">
        <v>0</v>
      </c>
      <c r="AZ220" s="52" t="n">
        <v>0</v>
      </c>
      <c r="BA220" s="52" t="n">
        <v>0</v>
      </c>
      <c r="BB220" s="52" t="n">
        <v>0</v>
      </c>
      <c r="BC220" s="51" t="n">
        <v>0</v>
      </c>
      <c r="BD220" s="51" t="n">
        <v>0</v>
      </c>
      <c r="BE220" s="51" t="n">
        <v>0</v>
      </c>
      <c r="BF220" s="51" t="n">
        <v>0</v>
      </c>
    </row>
    <row r="221">
      <c r="A221">
        <f>HYPERLINK("https://www.walmart.com/ip/6163367974", "6163367974")</f>
        <v/>
      </c>
      <c r="B221" t="inlineStr">
        <is>
          <t>Tirrinia Comfort All-Season Robe, Ultra-Smooth Womens Robe, Breathable,Luxury for Everyday Indulgence, Skin-friendly</t>
        </is>
      </c>
      <c r="C221" t="inlineStr">
        <is>
          <t>1TRRB505PK-3</t>
        </is>
      </c>
      <c r="D221" t="inlineStr">
        <is>
          <t>Sleepwear Robes &amp; Bathrobes</t>
        </is>
      </c>
      <c r="E221" t="inlineStr">
        <is>
          <t>Tirrinia</t>
        </is>
      </c>
      <c r="G221" s="48" t="n">
        <v>0</v>
      </c>
      <c r="H221" s="48" t="n">
        <v>0</v>
      </c>
      <c r="I221" s="48" t="n">
        <v>0</v>
      </c>
      <c r="J221" s="48" t="n">
        <v>0</v>
      </c>
      <c r="K221" s="49" t="n">
        <v>0</v>
      </c>
      <c r="L221" s="49" t="n">
        <v>0</v>
      </c>
      <c r="M221" s="49" t="n">
        <v>0</v>
      </c>
      <c r="N221" s="49" t="n">
        <v>0</v>
      </c>
      <c r="O221" s="49" t="n">
        <v>0</v>
      </c>
      <c r="P221" s="49" t="n">
        <v>0</v>
      </c>
      <c r="Q221" s="49" t="n">
        <v>0</v>
      </c>
      <c r="R221" s="49" t="n">
        <v>0</v>
      </c>
      <c r="S221" s="50" t="n">
        <v>0</v>
      </c>
      <c r="T221" s="50" t="n">
        <v>0</v>
      </c>
      <c r="U221" s="50" t="n">
        <v>0</v>
      </c>
      <c r="V221" s="50" t="n">
        <v>0</v>
      </c>
      <c r="W221" s="51" t="n">
        <v>0</v>
      </c>
      <c r="X221" s="51" t="n">
        <v>0</v>
      </c>
      <c r="Y221" s="51" t="n">
        <v>0</v>
      </c>
      <c r="Z221" s="51" t="n">
        <v>0</v>
      </c>
      <c r="AA221" s="52" t="n">
        <v>0</v>
      </c>
      <c r="AB221" s="52" t="n">
        <v>0</v>
      </c>
      <c r="AC221" s="52" t="n">
        <v>0</v>
      </c>
      <c r="AD221" s="52" t="n">
        <v>0</v>
      </c>
      <c r="AE221" s="52" t="n">
        <v>0</v>
      </c>
      <c r="AF221" s="52" t="n">
        <v>0</v>
      </c>
      <c r="AG221" s="52" t="n">
        <v>0</v>
      </c>
      <c r="AH221" s="52" t="n">
        <v>0</v>
      </c>
      <c r="AI221" s="52" t="n">
        <v>0</v>
      </c>
      <c r="AJ221" s="52" t="n">
        <v>0</v>
      </c>
      <c r="AK221" s="52" t="n">
        <v>0</v>
      </c>
      <c r="AL221" s="52" t="n">
        <v>0</v>
      </c>
      <c r="AM221" s="53" t="n">
        <v>0</v>
      </c>
      <c r="AN221" s="53" t="n">
        <v>0</v>
      </c>
      <c r="AO221" s="53" t="n">
        <v>0</v>
      </c>
      <c r="AP221" s="53" t="n">
        <v>0</v>
      </c>
      <c r="AQ221" s="52" t="n">
        <v>0</v>
      </c>
      <c r="AR221" s="52" t="n">
        <v>0</v>
      </c>
      <c r="AS221" s="52" t="n">
        <v>0</v>
      </c>
      <c r="AT221" s="52" t="n">
        <v>0</v>
      </c>
      <c r="AU221" s="53" t="n">
        <v>0</v>
      </c>
      <c r="AV221" s="53" t="n">
        <v>0</v>
      </c>
      <c r="AW221" s="53" t="n">
        <v>0</v>
      </c>
      <c r="AX221" s="53" t="n">
        <v>0</v>
      </c>
      <c r="AY221" s="52" t="n">
        <v>0</v>
      </c>
      <c r="AZ221" s="52" t="n">
        <v>0</v>
      </c>
      <c r="BA221" s="52" t="n">
        <v>0</v>
      </c>
      <c r="BB221" s="52" t="n">
        <v>0</v>
      </c>
      <c r="BC221" s="51" t="n">
        <v>0</v>
      </c>
      <c r="BD221" s="51" t="n">
        <v>0</v>
      </c>
      <c r="BE221" s="51" t="n">
        <v>0</v>
      </c>
      <c r="BF221" s="51" t="n">
        <v>0</v>
      </c>
    </row>
    <row r="222">
      <c r="A222">
        <f>HYPERLINK("https://www.walmart.com/ip/5532545199", "5532545199")</f>
        <v/>
      </c>
      <c r="B222" t="inlineStr">
        <is>
          <t>Tirrinia  Camping Cooler Bag Insulated w/ Shoulder Strap and Bottle Opener 20 Cans Portable Ice Chest for Camping Hiking Picnic Beach</t>
        </is>
      </c>
      <c r="C222" t="inlineStr">
        <is>
          <t>1TRCB00120GYBK</t>
        </is>
      </c>
      <c r="D222" t="inlineStr">
        <is>
          <t>Thermocoolers</t>
        </is>
      </c>
      <c r="E222" t="inlineStr">
        <is>
          <t>Tirrinia</t>
        </is>
      </c>
      <c r="G222" s="48" t="n">
        <v>0</v>
      </c>
      <c r="H222" s="48" t="n">
        <v>74.97</v>
      </c>
      <c r="I222" s="48" t="n">
        <v>31.98</v>
      </c>
      <c r="J222" s="48" t="n">
        <v>31.98</v>
      </c>
      <c r="K222" s="49" t="n">
        <v>0</v>
      </c>
      <c r="L222" s="49" t="n">
        <v>3</v>
      </c>
      <c r="M222" s="49" t="n">
        <v>1</v>
      </c>
      <c r="N222" s="49" t="n">
        <v>1</v>
      </c>
      <c r="O222" s="49" t="n">
        <v>21</v>
      </c>
      <c r="P222" s="49" t="n">
        <v>22</v>
      </c>
      <c r="Q222" s="49" t="n">
        <v>16</v>
      </c>
      <c r="R222" s="49" t="n">
        <v>13</v>
      </c>
      <c r="S222" s="50" t="n">
        <v>0</v>
      </c>
      <c r="T222" s="50" t="n">
        <v>0.1363636363636364</v>
      </c>
      <c r="U222" s="50" t="n">
        <v>0.0625</v>
      </c>
      <c r="V222" s="50" t="n">
        <v>0.07692307692307693</v>
      </c>
      <c r="W222" s="51" t="n">
        <v>0</v>
      </c>
      <c r="X222" s="51" t="n">
        <v>0</v>
      </c>
      <c r="Y222" s="51" t="n">
        <v>0</v>
      </c>
      <c r="Z222" s="51" t="n">
        <v>0</v>
      </c>
      <c r="AA222" s="52" t="n">
        <v>0</v>
      </c>
      <c r="AB222" s="52" t="n">
        <v>0</v>
      </c>
      <c r="AC222" s="52" t="n">
        <v>0</v>
      </c>
      <c r="AD222" s="52" t="n">
        <v>0</v>
      </c>
      <c r="AE222" s="52" t="n">
        <v>0</v>
      </c>
      <c r="AF222" s="52" t="n">
        <v>0</v>
      </c>
      <c r="AG222" s="52" t="n">
        <v>0</v>
      </c>
      <c r="AH222" s="52" t="n">
        <v>0</v>
      </c>
      <c r="AI222" s="52" t="n">
        <v>0</v>
      </c>
      <c r="AJ222" s="52" t="n">
        <v>0</v>
      </c>
      <c r="AK222" s="52" t="n">
        <v>0</v>
      </c>
      <c r="AL222" s="52" t="n">
        <v>0</v>
      </c>
      <c r="AM222" s="53" t="n">
        <v>0</v>
      </c>
      <c r="AN222" s="53" t="n">
        <v>0</v>
      </c>
      <c r="AO222" s="53" t="n">
        <v>0</v>
      </c>
      <c r="AP222" s="53" t="n">
        <v>0</v>
      </c>
      <c r="AQ222" s="52" t="n">
        <v>0</v>
      </c>
      <c r="AR222" s="52" t="n">
        <v>0</v>
      </c>
      <c r="AS222" s="52" t="n">
        <v>0</v>
      </c>
      <c r="AT222" s="52" t="n">
        <v>0</v>
      </c>
      <c r="AU222" s="53" t="n">
        <v>0</v>
      </c>
      <c r="AV222" s="53" t="n">
        <v>0</v>
      </c>
      <c r="AW222" s="53" t="n">
        <v>0</v>
      </c>
      <c r="AX222" s="53" t="n">
        <v>0</v>
      </c>
      <c r="AY222" s="52" t="n">
        <v>0</v>
      </c>
      <c r="AZ222" s="52" t="n">
        <v>24.99</v>
      </c>
      <c r="BA222" s="52" t="n">
        <v>31.98</v>
      </c>
      <c r="BB222" s="52" t="n">
        <v>31.98</v>
      </c>
      <c r="BC222" s="51" t="n">
        <v>0</v>
      </c>
      <c r="BD222" s="51" t="n">
        <v>0</v>
      </c>
      <c r="BE222" s="51" t="n">
        <v>0</v>
      </c>
      <c r="BF222" s="51" t="n">
        <v>0</v>
      </c>
    </row>
    <row r="223">
      <c r="A223">
        <f>HYPERLINK("https://www.walmart.com/ip/5466618061", "5466618061")</f>
        <v/>
      </c>
      <c r="B223" t="inlineStr">
        <is>
          <t>Tirrinia UV Protection Outdoor Hat Unisex Foldable Neck Flap Mesh Nets with Adjustable Drawstring</t>
        </is>
      </c>
      <c r="C223" t="inlineStr">
        <is>
          <t>1TRSH923CAMO-C</t>
        </is>
      </c>
      <c r="D223" t="inlineStr">
        <is>
          <t>Hats</t>
        </is>
      </c>
      <c r="E223" t="inlineStr">
        <is>
          <t>Tirrinia</t>
        </is>
      </c>
      <c r="G223" s="48" t="n">
        <v>0</v>
      </c>
      <c r="H223" s="48" t="n">
        <v>0</v>
      </c>
      <c r="I223" s="48" t="n">
        <v>0</v>
      </c>
      <c r="J223" s="48" t="n">
        <v>0</v>
      </c>
      <c r="K223" s="49" t="n">
        <v>0</v>
      </c>
      <c r="L223" s="49" t="n">
        <v>0</v>
      </c>
      <c r="M223" s="49" t="n">
        <v>0</v>
      </c>
      <c r="N223" s="49" t="n">
        <v>0</v>
      </c>
      <c r="O223" s="49" t="n">
        <v>0</v>
      </c>
      <c r="P223" s="49" t="n">
        <v>0</v>
      </c>
      <c r="Q223" s="49" t="n">
        <v>0</v>
      </c>
      <c r="R223" s="49" t="n">
        <v>0</v>
      </c>
      <c r="S223" s="50" t="n">
        <v>0</v>
      </c>
      <c r="T223" s="50" t="n">
        <v>0</v>
      </c>
      <c r="U223" s="50" t="n">
        <v>0</v>
      </c>
      <c r="V223" s="50" t="n">
        <v>0</v>
      </c>
      <c r="W223" s="51" t="n">
        <v>0</v>
      </c>
      <c r="X223" s="51" t="n">
        <v>0</v>
      </c>
      <c r="Y223" s="51" t="n">
        <v>0</v>
      </c>
      <c r="Z223" s="51" t="n">
        <v>0</v>
      </c>
      <c r="AA223" s="52" t="n">
        <v>0</v>
      </c>
      <c r="AB223" s="52" t="n">
        <v>0</v>
      </c>
      <c r="AC223" s="52" t="n">
        <v>0</v>
      </c>
      <c r="AD223" s="52" t="n">
        <v>0</v>
      </c>
      <c r="AE223" s="52" t="n">
        <v>0</v>
      </c>
      <c r="AF223" s="52" t="n">
        <v>0</v>
      </c>
      <c r="AG223" s="52" t="n">
        <v>0</v>
      </c>
      <c r="AH223" s="52" t="n">
        <v>0</v>
      </c>
      <c r="AI223" s="52" t="n">
        <v>0</v>
      </c>
      <c r="AJ223" s="52" t="n">
        <v>0</v>
      </c>
      <c r="AK223" s="52" t="n">
        <v>0</v>
      </c>
      <c r="AL223" s="52" t="n">
        <v>0</v>
      </c>
      <c r="AM223" s="53" t="n">
        <v>0</v>
      </c>
      <c r="AN223" s="53" t="n">
        <v>0</v>
      </c>
      <c r="AO223" s="53" t="n">
        <v>0</v>
      </c>
      <c r="AP223" s="53" t="n">
        <v>0</v>
      </c>
      <c r="AQ223" s="52" t="n">
        <v>0</v>
      </c>
      <c r="AR223" s="52" t="n">
        <v>0</v>
      </c>
      <c r="AS223" s="52" t="n">
        <v>0</v>
      </c>
      <c r="AT223" s="52" t="n">
        <v>0</v>
      </c>
      <c r="AU223" s="53" t="n">
        <v>0</v>
      </c>
      <c r="AV223" s="53" t="n">
        <v>0</v>
      </c>
      <c r="AW223" s="53" t="n">
        <v>0</v>
      </c>
      <c r="AX223" s="53" t="n">
        <v>0</v>
      </c>
      <c r="AY223" s="52" t="n">
        <v>0</v>
      </c>
      <c r="AZ223" s="52" t="n">
        <v>0</v>
      </c>
      <c r="BA223" s="52" t="n">
        <v>0</v>
      </c>
      <c r="BB223" s="52" t="n">
        <v>0</v>
      </c>
      <c r="BC223" s="51" t="n">
        <v>0</v>
      </c>
      <c r="BD223" s="51" t="n">
        <v>0</v>
      </c>
      <c r="BE223" s="51" t="n">
        <v>0</v>
      </c>
      <c r="BF223" s="51" t="n">
        <v>0</v>
      </c>
    </row>
    <row r="224">
      <c r="A224">
        <f>HYPERLINK("https://www.walmart.com/ip/549091363", "549091363")</f>
        <v/>
      </c>
      <c r="B224" t="inlineStr">
        <is>
          <t>Tirrinia Insulated Lunch Bag for Women Men, Leakproof Thermal Reusable Lunch Box for Adult, Kids, Student, Lunch Cooler Tote for Office Work, Back to School, Medium, Red</t>
        </is>
      </c>
      <c r="C224" t="inlineStr">
        <is>
          <t>1TRLB701RD-N</t>
        </is>
      </c>
      <c r="D224" t="inlineStr">
        <is>
          <t>Reusable Lunch Bags &amp; Boxes</t>
        </is>
      </c>
      <c r="E224" t="inlineStr">
        <is>
          <t>Tirrinia</t>
        </is>
      </c>
      <c r="F224" t="inlineStr">
        <is>
          <t>Q2-Target,Brand Camp VD,Lunch Bag,WFS,Lunch Bags,SEM,WFS Item</t>
        </is>
      </c>
      <c r="G224" s="48" t="n">
        <v>0</v>
      </c>
      <c r="H224" s="48" t="n">
        <v>0</v>
      </c>
      <c r="I224" s="48" t="n">
        <v>0</v>
      </c>
      <c r="J224" s="48" t="n">
        <v>0</v>
      </c>
      <c r="K224" s="49" t="n">
        <v>0</v>
      </c>
      <c r="L224" s="49" t="n">
        <v>0</v>
      </c>
      <c r="M224" s="49" t="n">
        <v>0</v>
      </c>
      <c r="N224" s="49" t="n">
        <v>0</v>
      </c>
      <c r="O224" s="49" t="n">
        <v>1</v>
      </c>
      <c r="P224" s="49" t="n">
        <v>6</v>
      </c>
      <c r="Q224" s="49" t="n">
        <v>5</v>
      </c>
      <c r="R224" s="49" t="n">
        <v>14</v>
      </c>
      <c r="S224" s="50" t="n">
        <v>0</v>
      </c>
      <c r="T224" s="50" t="n">
        <v>0</v>
      </c>
      <c r="U224" s="50" t="n">
        <v>0</v>
      </c>
      <c r="V224" s="50" t="n">
        <v>0</v>
      </c>
      <c r="W224" s="51" t="n">
        <v>0</v>
      </c>
      <c r="X224" s="51" t="n">
        <v>0</v>
      </c>
      <c r="Y224" s="51" t="n">
        <v>0</v>
      </c>
      <c r="Z224" s="51" t="n">
        <v>0</v>
      </c>
      <c r="AA224" s="52" t="n">
        <v>0</v>
      </c>
      <c r="AB224" s="52" t="n">
        <v>0</v>
      </c>
      <c r="AC224" s="52" t="n">
        <v>0</v>
      </c>
      <c r="AD224" s="52" t="n">
        <v>0</v>
      </c>
      <c r="AE224" s="52" t="n">
        <v>0</v>
      </c>
      <c r="AF224" s="52" t="n">
        <v>0</v>
      </c>
      <c r="AG224" s="52" t="n">
        <v>0</v>
      </c>
      <c r="AH224" s="52" t="n">
        <v>0</v>
      </c>
      <c r="AI224" s="52" t="n">
        <v>0</v>
      </c>
      <c r="AJ224" s="52" t="n">
        <v>0</v>
      </c>
      <c r="AK224" s="52" t="n">
        <v>0</v>
      </c>
      <c r="AL224" s="52" t="n">
        <v>0</v>
      </c>
      <c r="AM224" s="53" t="n">
        <v>0</v>
      </c>
      <c r="AN224" s="53" t="n">
        <v>0</v>
      </c>
      <c r="AO224" s="53" t="n">
        <v>0</v>
      </c>
      <c r="AP224" s="53" t="n">
        <v>0</v>
      </c>
      <c r="AQ224" s="52" t="n">
        <v>0</v>
      </c>
      <c r="AR224" s="52" t="n">
        <v>0</v>
      </c>
      <c r="AS224" s="52" t="n">
        <v>0</v>
      </c>
      <c r="AT224" s="52" t="n">
        <v>0</v>
      </c>
      <c r="AU224" s="53" t="n">
        <v>0</v>
      </c>
      <c r="AV224" s="53" t="n">
        <v>0</v>
      </c>
      <c r="AW224" s="53" t="n">
        <v>0</v>
      </c>
      <c r="AX224" s="53" t="n">
        <v>0</v>
      </c>
      <c r="AY224" s="52" t="n">
        <v>0</v>
      </c>
      <c r="AZ224" s="52" t="n">
        <v>0</v>
      </c>
      <c r="BA224" s="52" t="n">
        <v>0</v>
      </c>
      <c r="BB224" s="52" t="n">
        <v>0</v>
      </c>
      <c r="BC224" s="51" t="n">
        <v>0</v>
      </c>
      <c r="BD224" s="51" t="n">
        <v>0</v>
      </c>
      <c r="BE224" s="51" t="n">
        <v>0</v>
      </c>
      <c r="BF224" s="51" t="n">
        <v>0</v>
      </c>
    </row>
    <row r="225">
      <c r="A225">
        <f>HYPERLINK("https://www.walmart.com/ip/623777316", "623777316")</f>
        <v/>
      </c>
      <c r="B225" t="inlineStr">
        <is>
          <t>Pawsse Water Resistant Dog Blanket, Premium Pet Puppy Cat Sherpa Throws Cushion Mat for Car Seat Furniture Protector Cover Large 80” x 60” Brown</t>
        </is>
      </c>
      <c r="C225" t="inlineStr">
        <is>
          <t>1PSBW681BNTP</t>
        </is>
      </c>
      <c r="D225" t="inlineStr">
        <is>
          <t>Pet Blankets</t>
        </is>
      </c>
      <c r="E225" t="inlineStr">
        <is>
          <t>Pawsse</t>
        </is>
      </c>
      <c r="F225" t="inlineStr">
        <is>
          <t>Q2-Target,Batch 1 - TR</t>
        </is>
      </c>
      <c r="G225" s="48" t="n">
        <v>0</v>
      </c>
      <c r="H225" s="48" t="n">
        <v>0</v>
      </c>
      <c r="I225" s="48" t="n">
        <v>0</v>
      </c>
      <c r="J225" s="48" t="n">
        <v>36.99</v>
      </c>
      <c r="K225" s="49" t="n">
        <v>0</v>
      </c>
      <c r="L225" s="49" t="n">
        <v>0</v>
      </c>
      <c r="M225" s="49" t="n">
        <v>0</v>
      </c>
      <c r="N225" s="49" t="n">
        <v>1</v>
      </c>
      <c r="O225" s="49" t="n">
        <v>0</v>
      </c>
      <c r="P225" s="49" t="n">
        <v>0</v>
      </c>
      <c r="Q225" s="49" t="n">
        <v>0</v>
      </c>
      <c r="R225" s="49" t="n">
        <v>0</v>
      </c>
      <c r="S225" s="50" t="n">
        <v>0</v>
      </c>
      <c r="T225" s="50" t="n">
        <v>0</v>
      </c>
      <c r="U225" s="50" t="n">
        <v>0</v>
      </c>
      <c r="V225" s="50" t="n">
        <v>0</v>
      </c>
      <c r="W225" s="51" t="n">
        <v>3</v>
      </c>
      <c r="X225" s="51" t="n">
        <v>3</v>
      </c>
      <c r="Y225" s="51" t="n">
        <v>1</v>
      </c>
      <c r="Z225" s="51" t="n">
        <v>4</v>
      </c>
      <c r="AA225" s="52" t="n">
        <v>1.33</v>
      </c>
      <c r="AB225" s="52" t="n">
        <v>1.18</v>
      </c>
      <c r="AC225" s="52" t="n">
        <v>0.41</v>
      </c>
      <c r="AD225" s="52" t="n">
        <v>1.73</v>
      </c>
      <c r="AE225" s="52" t="n">
        <v>0</v>
      </c>
      <c r="AF225" s="52" t="n">
        <v>0</v>
      </c>
      <c r="AG225" s="52" t="n">
        <v>0</v>
      </c>
      <c r="AH225" s="52" t="n">
        <v>0</v>
      </c>
      <c r="AI225" s="52" t="n">
        <v>0</v>
      </c>
      <c r="AJ225" s="52" t="n">
        <v>0</v>
      </c>
      <c r="AK225" s="52" t="n">
        <v>0</v>
      </c>
      <c r="AL225" s="52" t="n">
        <v>0</v>
      </c>
      <c r="AM225" s="53" t="n">
        <v>0.0022</v>
      </c>
      <c r="AN225" s="53" t="n">
        <v>0.0016</v>
      </c>
      <c r="AO225" s="53" t="n">
        <v>0.0007</v>
      </c>
      <c r="AP225" s="53" t="n">
        <v>0.0038</v>
      </c>
      <c r="AQ225" s="52" t="n">
        <v>0.4433333333333334</v>
      </c>
      <c r="AR225" s="52" t="n">
        <v>0.3933333333333334</v>
      </c>
      <c r="AS225" s="52" t="n">
        <v>0.41</v>
      </c>
      <c r="AT225" s="52" t="n">
        <v>0.4325</v>
      </c>
      <c r="AU225" s="53" t="n">
        <v>0</v>
      </c>
      <c r="AV225" s="53" t="n">
        <v>0</v>
      </c>
      <c r="AW225" s="53" t="n">
        <v>0</v>
      </c>
      <c r="AX225" s="53" t="n">
        <v>0.04676939713436064</v>
      </c>
      <c r="AY225" s="52" t="n">
        <v>0</v>
      </c>
      <c r="AZ225" s="52" t="n">
        <v>0</v>
      </c>
      <c r="BA225" s="52" t="n">
        <v>0</v>
      </c>
      <c r="BB225" s="52" t="n">
        <v>36.99</v>
      </c>
      <c r="BC225" s="51" t="n">
        <v>1375</v>
      </c>
      <c r="BD225" s="51" t="n">
        <v>1903</v>
      </c>
      <c r="BE225" s="51" t="n">
        <v>1432</v>
      </c>
      <c r="BF225" s="51" t="n">
        <v>1051</v>
      </c>
    </row>
    <row r="226">
      <c r="A226">
        <f>HYPERLINK("https://www.walmart.com/ip/620836851", "620836851")</f>
        <v/>
      </c>
      <c r="B226" t="inlineStr">
        <is>
          <t>Flyingstar Insulated Lunch Bag for Women Men, Leakproof Thermal Reusable Lunch Box Tote for Adult &amp; Kids Lunch Cooler for Office Work, Red</t>
        </is>
      </c>
      <c r="C226" t="inlineStr">
        <is>
          <t>1WMLB701P1RD</t>
        </is>
      </c>
      <c r="D226" t="inlineStr">
        <is>
          <t>Reusable Lunch Bags &amp; Boxes</t>
        </is>
      </c>
      <c r="E226" t="inlineStr">
        <is>
          <t>Flyingstar</t>
        </is>
      </c>
      <c r="F226" t="inlineStr">
        <is>
          <t>Q2-Target,Lunch Bag,Lunch Bags</t>
        </is>
      </c>
      <c r="G226" s="48" t="n">
        <v>0</v>
      </c>
      <c r="H226" s="48" t="n">
        <v>0</v>
      </c>
      <c r="I226" s="48" t="n">
        <v>0</v>
      </c>
      <c r="J226" s="48" t="n">
        <v>0</v>
      </c>
      <c r="K226" s="49" t="n">
        <v>0</v>
      </c>
      <c r="L226" s="49" t="n">
        <v>0</v>
      </c>
      <c r="M226" s="49" t="n">
        <v>0</v>
      </c>
      <c r="N226" s="49" t="n">
        <v>0</v>
      </c>
      <c r="O226" s="49" t="n">
        <v>0</v>
      </c>
      <c r="P226" s="49" t="n">
        <v>0</v>
      </c>
      <c r="Q226" s="49" t="n">
        <v>0</v>
      </c>
      <c r="R226" s="49" t="n">
        <v>0</v>
      </c>
      <c r="S226" s="50" t="n">
        <v>0</v>
      </c>
      <c r="T226" s="50" t="n">
        <v>0</v>
      </c>
      <c r="U226" s="50" t="n">
        <v>0</v>
      </c>
      <c r="V226" s="50" t="n">
        <v>0</v>
      </c>
      <c r="W226" s="51" t="n">
        <v>0</v>
      </c>
      <c r="X226" s="51" t="n">
        <v>0</v>
      </c>
      <c r="Y226" s="51" t="n">
        <v>0</v>
      </c>
      <c r="Z226" s="51" t="n">
        <v>0</v>
      </c>
      <c r="AA226" s="52" t="n">
        <v>0</v>
      </c>
      <c r="AB226" s="52" t="n">
        <v>0</v>
      </c>
      <c r="AC226" s="52" t="n">
        <v>0</v>
      </c>
      <c r="AD226" s="52" t="n">
        <v>0</v>
      </c>
      <c r="AE226" s="52" t="n">
        <v>0</v>
      </c>
      <c r="AF226" s="52" t="n">
        <v>0</v>
      </c>
      <c r="AG226" s="52" t="n">
        <v>0</v>
      </c>
      <c r="AH226" s="52" t="n">
        <v>0</v>
      </c>
      <c r="AI226" s="52" t="n">
        <v>0</v>
      </c>
      <c r="AJ226" s="52" t="n">
        <v>0</v>
      </c>
      <c r="AK226" s="52" t="n">
        <v>0</v>
      </c>
      <c r="AL226" s="52" t="n">
        <v>0</v>
      </c>
      <c r="AM226" s="53" t="n">
        <v>0</v>
      </c>
      <c r="AN226" s="53" t="n">
        <v>0</v>
      </c>
      <c r="AO226" s="53" t="n">
        <v>0</v>
      </c>
      <c r="AP226" s="53" t="n">
        <v>0</v>
      </c>
      <c r="AQ226" s="52" t="n">
        <v>0</v>
      </c>
      <c r="AR226" s="52" t="n">
        <v>0</v>
      </c>
      <c r="AS226" s="52" t="n">
        <v>0</v>
      </c>
      <c r="AT226" s="52" t="n">
        <v>0</v>
      </c>
      <c r="AU226" s="53" t="n">
        <v>0</v>
      </c>
      <c r="AV226" s="53" t="n">
        <v>0</v>
      </c>
      <c r="AW226" s="53" t="n">
        <v>0</v>
      </c>
      <c r="AX226" s="53" t="n">
        <v>0</v>
      </c>
      <c r="AY226" s="52" t="n">
        <v>0</v>
      </c>
      <c r="AZ226" s="52" t="n">
        <v>0</v>
      </c>
      <c r="BA226" s="52" t="n">
        <v>0</v>
      </c>
      <c r="BB226" s="52" t="n">
        <v>0</v>
      </c>
      <c r="BC226" s="51" t="n">
        <v>0</v>
      </c>
      <c r="BD226" s="51" t="n">
        <v>0</v>
      </c>
      <c r="BE226" s="51" t="n">
        <v>0</v>
      </c>
      <c r="BF226" s="51" t="n">
        <v>0</v>
      </c>
    </row>
    <row r="227">
      <c r="A227">
        <f>HYPERLINK("https://www.walmart.com/ip/537851876", "537851876")</f>
        <v/>
      </c>
      <c r="B227" t="inlineStr">
        <is>
          <t>Catalonia Long Kinky Curly Lace Front Wigs,L Part Heat Resistance Synthetic Brazilian Hair Wig for African American Black Women 20"</t>
        </is>
      </c>
      <c r="C227" t="inlineStr">
        <is>
          <t>1CTWIG941-1B-ESCB</t>
        </is>
      </c>
      <c r="D227" t="inlineStr">
        <is>
          <t>Wigs &amp; Toupees</t>
        </is>
      </c>
      <c r="E227" t="inlineStr">
        <is>
          <t>Catalonia</t>
        </is>
      </c>
      <c r="G227" s="48" t="n">
        <v>0</v>
      </c>
      <c r="H227" s="48" t="n">
        <v>0</v>
      </c>
      <c r="I227" s="48" t="n">
        <v>0</v>
      </c>
      <c r="J227" s="48" t="n">
        <v>0</v>
      </c>
      <c r="K227" s="49" t="n">
        <v>0</v>
      </c>
      <c r="L227" s="49" t="n">
        <v>0</v>
      </c>
      <c r="M227" s="49" t="n">
        <v>0</v>
      </c>
      <c r="N227" s="49" t="n">
        <v>0</v>
      </c>
      <c r="O227" s="49" t="n">
        <v>0</v>
      </c>
      <c r="P227" s="49" t="n">
        <v>0</v>
      </c>
      <c r="Q227" s="49" t="n">
        <v>0</v>
      </c>
      <c r="R227" s="49" t="n">
        <v>0</v>
      </c>
      <c r="S227" s="50" t="n">
        <v>0</v>
      </c>
      <c r="T227" s="50" t="n">
        <v>0</v>
      </c>
      <c r="U227" s="50" t="n">
        <v>0</v>
      </c>
      <c r="V227" s="50" t="n">
        <v>0</v>
      </c>
      <c r="W227" s="51" t="n">
        <v>0</v>
      </c>
      <c r="X227" s="51" t="n">
        <v>0</v>
      </c>
      <c r="Y227" s="51" t="n">
        <v>0</v>
      </c>
      <c r="Z227" s="51" t="n">
        <v>0</v>
      </c>
      <c r="AA227" s="52" t="n">
        <v>0</v>
      </c>
      <c r="AB227" s="52" t="n">
        <v>0</v>
      </c>
      <c r="AC227" s="52" t="n">
        <v>0</v>
      </c>
      <c r="AD227" s="52" t="n">
        <v>0</v>
      </c>
      <c r="AE227" s="52" t="n">
        <v>0</v>
      </c>
      <c r="AF227" s="52" t="n">
        <v>0</v>
      </c>
      <c r="AG227" s="52" t="n">
        <v>0</v>
      </c>
      <c r="AH227" s="52" t="n">
        <v>0</v>
      </c>
      <c r="AI227" s="52" t="n">
        <v>0</v>
      </c>
      <c r="AJ227" s="52" t="n">
        <v>0</v>
      </c>
      <c r="AK227" s="52" t="n">
        <v>0</v>
      </c>
      <c r="AL227" s="52" t="n">
        <v>0</v>
      </c>
      <c r="AM227" s="53" t="n">
        <v>0</v>
      </c>
      <c r="AN227" s="53" t="n">
        <v>0</v>
      </c>
      <c r="AO227" s="53" t="n">
        <v>0</v>
      </c>
      <c r="AP227" s="53" t="n">
        <v>0</v>
      </c>
      <c r="AQ227" s="52" t="n">
        <v>0</v>
      </c>
      <c r="AR227" s="52" t="n">
        <v>0</v>
      </c>
      <c r="AS227" s="52" t="n">
        <v>0</v>
      </c>
      <c r="AT227" s="52" t="n">
        <v>0</v>
      </c>
      <c r="AU227" s="53" t="n">
        <v>0</v>
      </c>
      <c r="AV227" s="53" t="n">
        <v>0</v>
      </c>
      <c r="AW227" s="53" t="n">
        <v>0</v>
      </c>
      <c r="AX227" s="53" t="n">
        <v>0</v>
      </c>
      <c r="AY227" s="52" t="n">
        <v>0</v>
      </c>
      <c r="AZ227" s="52" t="n">
        <v>0</v>
      </c>
      <c r="BA227" s="52" t="n">
        <v>0</v>
      </c>
      <c r="BB227" s="52" t="n">
        <v>0</v>
      </c>
      <c r="BC227" s="51" t="n">
        <v>0</v>
      </c>
      <c r="BD227" s="51" t="n">
        <v>0</v>
      </c>
      <c r="BE227" s="51" t="n">
        <v>0</v>
      </c>
      <c r="BF227" s="51" t="n">
        <v>0</v>
      </c>
    </row>
    <row r="228">
      <c r="A228">
        <f>HYPERLINK("https://www.walmart.com/ip/537782764", "537782764")</f>
        <v/>
      </c>
      <c r="B228" t="inlineStr">
        <is>
          <t>Tirrinia Super Soft Fluffy Sherpa Christmas Throw Blanket, 50" x 60", Snow Man Pattern, Grey</t>
        </is>
      </c>
      <c r="C228" t="inlineStr">
        <is>
          <t>1TRBF571SM-TBCB</t>
        </is>
      </c>
      <c r="D228" t="inlineStr">
        <is>
          <t>Throws</t>
        </is>
      </c>
      <c r="E228" t="inlineStr">
        <is>
          <t>Tirrinia</t>
        </is>
      </c>
      <c r="F228" t="inlineStr">
        <is>
          <t>Christmas,Optimized</t>
        </is>
      </c>
      <c r="G228" s="48" t="n">
        <v>0</v>
      </c>
      <c r="H228" s="48" t="n">
        <v>0</v>
      </c>
      <c r="I228" s="48" t="n">
        <v>0</v>
      </c>
      <c r="J228" s="48" t="n">
        <v>0</v>
      </c>
      <c r="K228" s="49" t="n">
        <v>0</v>
      </c>
      <c r="L228" s="49" t="n">
        <v>0</v>
      </c>
      <c r="M228" s="49" t="n">
        <v>0</v>
      </c>
      <c r="N228" s="49" t="n">
        <v>0</v>
      </c>
      <c r="O228" s="49" t="n">
        <v>0</v>
      </c>
      <c r="P228" s="49" t="n">
        <v>0</v>
      </c>
      <c r="Q228" s="49" t="n">
        <v>0</v>
      </c>
      <c r="R228" s="49" t="n">
        <v>0</v>
      </c>
      <c r="S228" s="50" t="n">
        <v>0</v>
      </c>
      <c r="T228" s="50" t="n">
        <v>0</v>
      </c>
      <c r="U228" s="50" t="n">
        <v>0</v>
      </c>
      <c r="V228" s="50" t="n">
        <v>0</v>
      </c>
      <c r="W228" s="51" t="n">
        <v>0</v>
      </c>
      <c r="X228" s="51" t="n">
        <v>0</v>
      </c>
      <c r="Y228" s="51" t="n">
        <v>0</v>
      </c>
      <c r="Z228" s="51" t="n">
        <v>0</v>
      </c>
      <c r="AA228" s="52" t="n">
        <v>0</v>
      </c>
      <c r="AB228" s="52" t="n">
        <v>0</v>
      </c>
      <c r="AC228" s="52" t="n">
        <v>0</v>
      </c>
      <c r="AD228" s="52" t="n">
        <v>0</v>
      </c>
      <c r="AE228" s="52" t="n">
        <v>0</v>
      </c>
      <c r="AF228" s="52" t="n">
        <v>0</v>
      </c>
      <c r="AG228" s="52" t="n">
        <v>0</v>
      </c>
      <c r="AH228" s="52" t="n">
        <v>0</v>
      </c>
      <c r="AI228" s="52" t="n">
        <v>0</v>
      </c>
      <c r="AJ228" s="52" t="n">
        <v>0</v>
      </c>
      <c r="AK228" s="52" t="n">
        <v>0</v>
      </c>
      <c r="AL228" s="52" t="n">
        <v>0</v>
      </c>
      <c r="AM228" s="53" t="n">
        <v>0</v>
      </c>
      <c r="AN228" s="53" t="n">
        <v>0</v>
      </c>
      <c r="AO228" s="53" t="n">
        <v>0</v>
      </c>
      <c r="AP228" s="53" t="n">
        <v>0</v>
      </c>
      <c r="AQ228" s="52" t="n">
        <v>0</v>
      </c>
      <c r="AR228" s="52" t="n">
        <v>0</v>
      </c>
      <c r="AS228" s="52" t="n">
        <v>0</v>
      </c>
      <c r="AT228" s="52" t="n">
        <v>0</v>
      </c>
      <c r="AU228" s="53" t="n">
        <v>0</v>
      </c>
      <c r="AV228" s="53" t="n">
        <v>0</v>
      </c>
      <c r="AW228" s="53" t="n">
        <v>0</v>
      </c>
      <c r="AX228" s="53" t="n">
        <v>0</v>
      </c>
      <c r="AY228" s="52" t="n">
        <v>0</v>
      </c>
      <c r="AZ228" s="52" t="n">
        <v>0</v>
      </c>
      <c r="BA228" s="52" t="n">
        <v>0</v>
      </c>
      <c r="BB228" s="52" t="n">
        <v>0</v>
      </c>
      <c r="BC228" s="51" t="n">
        <v>0</v>
      </c>
      <c r="BD228" s="51" t="n">
        <v>0</v>
      </c>
      <c r="BE228" s="51" t="n">
        <v>0</v>
      </c>
      <c r="BF228" s="51" t="n">
        <v>0</v>
      </c>
    </row>
    <row r="229">
      <c r="A229">
        <f>HYPERLINK("https://www.walmart.com/ip/537700757", "537700757")</f>
        <v/>
      </c>
      <c r="B229" t="inlineStr">
        <is>
          <t>Bucket Sun Hat Cute Cap for Women Fashion Fold-up Brim Packable Summer Beach by Solaris</t>
        </is>
      </c>
      <c r="C229" t="inlineStr">
        <is>
          <t>1SLSH189CM</t>
        </is>
      </c>
      <c r="D229" t="inlineStr">
        <is>
          <t>Hats</t>
        </is>
      </c>
      <c r="E229" t="inlineStr">
        <is>
          <t>Solaris</t>
        </is>
      </c>
      <c r="F229" t="inlineStr">
        <is>
          <t>Hats,Batch 1 - TR</t>
        </is>
      </c>
      <c r="G229" s="48" t="n">
        <v>0</v>
      </c>
      <c r="H229" s="48" t="n">
        <v>0</v>
      </c>
      <c r="I229" s="48" t="n">
        <v>0</v>
      </c>
      <c r="J229" s="48" t="n">
        <v>0</v>
      </c>
      <c r="K229" s="49" t="n">
        <v>0</v>
      </c>
      <c r="L229" s="49" t="n">
        <v>0</v>
      </c>
      <c r="M229" s="49" t="n">
        <v>0</v>
      </c>
      <c r="N229" s="49" t="n">
        <v>0</v>
      </c>
      <c r="O229" s="49" t="n">
        <v>0</v>
      </c>
      <c r="P229" s="49" t="n">
        <v>0</v>
      </c>
      <c r="Q229" s="49" t="n">
        <v>0</v>
      </c>
      <c r="R229" s="49" t="n">
        <v>0</v>
      </c>
      <c r="S229" s="50" t="n">
        <v>0</v>
      </c>
      <c r="T229" s="50" t="n">
        <v>0</v>
      </c>
      <c r="U229" s="50" t="n">
        <v>0</v>
      </c>
      <c r="V229" s="50" t="n">
        <v>0</v>
      </c>
      <c r="W229" s="51" t="n">
        <v>0</v>
      </c>
      <c r="X229" s="51" t="n">
        <v>0</v>
      </c>
      <c r="Y229" s="51" t="n">
        <v>0</v>
      </c>
      <c r="Z229" s="51" t="n">
        <v>0</v>
      </c>
      <c r="AA229" s="52" t="n">
        <v>0</v>
      </c>
      <c r="AB229" s="52" t="n">
        <v>0</v>
      </c>
      <c r="AC229" s="52" t="n">
        <v>0</v>
      </c>
      <c r="AD229" s="52" t="n">
        <v>0</v>
      </c>
      <c r="AE229" s="52" t="n">
        <v>0</v>
      </c>
      <c r="AF229" s="52" t="n">
        <v>0</v>
      </c>
      <c r="AG229" s="52" t="n">
        <v>0</v>
      </c>
      <c r="AH229" s="52" t="n">
        <v>0</v>
      </c>
      <c r="AI229" s="52" t="n">
        <v>0</v>
      </c>
      <c r="AJ229" s="52" t="n">
        <v>0</v>
      </c>
      <c r="AK229" s="52" t="n">
        <v>0</v>
      </c>
      <c r="AL229" s="52" t="n">
        <v>0</v>
      </c>
      <c r="AM229" s="53" t="n">
        <v>0</v>
      </c>
      <c r="AN229" s="53" t="n">
        <v>0</v>
      </c>
      <c r="AO229" s="53" t="n">
        <v>0</v>
      </c>
      <c r="AP229" s="53" t="n">
        <v>0</v>
      </c>
      <c r="AQ229" s="52" t="n">
        <v>0</v>
      </c>
      <c r="AR229" s="52" t="n">
        <v>0</v>
      </c>
      <c r="AS229" s="52" t="n">
        <v>0</v>
      </c>
      <c r="AT229" s="52" t="n">
        <v>0</v>
      </c>
      <c r="AU229" s="53" t="n">
        <v>0</v>
      </c>
      <c r="AV229" s="53" t="n">
        <v>0</v>
      </c>
      <c r="AW229" s="53" t="n">
        <v>0</v>
      </c>
      <c r="AX229" s="53" t="n">
        <v>0</v>
      </c>
      <c r="AY229" s="52" t="n">
        <v>0</v>
      </c>
      <c r="AZ229" s="52" t="n">
        <v>0</v>
      </c>
      <c r="BA229" s="52" t="n">
        <v>0</v>
      </c>
      <c r="BB229" s="52" t="n">
        <v>0</v>
      </c>
      <c r="BC229" s="51" t="n">
        <v>0</v>
      </c>
      <c r="BD229" s="51" t="n">
        <v>0</v>
      </c>
      <c r="BE229" s="51" t="n">
        <v>0</v>
      </c>
      <c r="BF229" s="51" t="n">
        <v>0</v>
      </c>
    </row>
    <row r="230">
      <c r="A230">
        <f>HYPERLINK("https://www.walmart.com/ip/5376149814", "5376149814")</f>
        <v/>
      </c>
      <c r="B230" t="inlineStr">
        <is>
          <t>Tirrinia Golf Cooler Bag - Golf Accessories Small 5 Cans Insulated Cooler Sleeve with Storage Pocket</t>
        </is>
      </c>
      <c r="C230" t="inlineStr">
        <is>
          <t>1TRCB00205GY</t>
        </is>
      </c>
      <c r="D230" t="inlineStr">
        <is>
          <t>Thermocoolers</t>
        </is>
      </c>
      <c r="E230" t="inlineStr">
        <is>
          <t>Tirrinia</t>
        </is>
      </c>
      <c r="G230" s="48" t="n">
        <v>0</v>
      </c>
      <c r="H230" s="48" t="n">
        <v>0</v>
      </c>
      <c r="I230" s="48" t="n">
        <v>0</v>
      </c>
      <c r="J230" s="48" t="n">
        <v>0</v>
      </c>
      <c r="K230" s="49" t="n">
        <v>0</v>
      </c>
      <c r="L230" s="49" t="n">
        <v>0</v>
      </c>
      <c r="M230" s="49" t="n">
        <v>0</v>
      </c>
      <c r="N230" s="49" t="n">
        <v>0</v>
      </c>
      <c r="O230" s="49" t="n">
        <v>0</v>
      </c>
      <c r="P230" s="49" t="n">
        <v>0</v>
      </c>
      <c r="Q230" s="49" t="n">
        <v>0</v>
      </c>
      <c r="R230" s="49" t="n">
        <v>0</v>
      </c>
      <c r="S230" s="50" t="n">
        <v>0</v>
      </c>
      <c r="T230" s="50" t="n">
        <v>0</v>
      </c>
      <c r="U230" s="50" t="n">
        <v>0</v>
      </c>
      <c r="V230" s="50" t="n">
        <v>0</v>
      </c>
      <c r="W230" s="51" t="n">
        <v>0</v>
      </c>
      <c r="X230" s="51" t="n">
        <v>0</v>
      </c>
      <c r="Y230" s="51" t="n">
        <v>0</v>
      </c>
      <c r="Z230" s="51" t="n">
        <v>0</v>
      </c>
      <c r="AA230" s="52" t="n">
        <v>0</v>
      </c>
      <c r="AB230" s="52" t="n">
        <v>0</v>
      </c>
      <c r="AC230" s="52" t="n">
        <v>0</v>
      </c>
      <c r="AD230" s="52" t="n">
        <v>0</v>
      </c>
      <c r="AE230" s="52" t="n">
        <v>0</v>
      </c>
      <c r="AF230" s="52" t="n">
        <v>0</v>
      </c>
      <c r="AG230" s="52" t="n">
        <v>0</v>
      </c>
      <c r="AH230" s="52" t="n">
        <v>0</v>
      </c>
      <c r="AI230" s="52" t="n">
        <v>0</v>
      </c>
      <c r="AJ230" s="52" t="n">
        <v>0</v>
      </c>
      <c r="AK230" s="52" t="n">
        <v>0</v>
      </c>
      <c r="AL230" s="52" t="n">
        <v>0</v>
      </c>
      <c r="AM230" s="53" t="n">
        <v>0</v>
      </c>
      <c r="AN230" s="53" t="n">
        <v>0</v>
      </c>
      <c r="AO230" s="53" t="n">
        <v>0</v>
      </c>
      <c r="AP230" s="53" t="n">
        <v>0</v>
      </c>
      <c r="AQ230" s="52" t="n">
        <v>0</v>
      </c>
      <c r="AR230" s="52" t="n">
        <v>0</v>
      </c>
      <c r="AS230" s="52" t="n">
        <v>0</v>
      </c>
      <c r="AT230" s="52" t="n">
        <v>0</v>
      </c>
      <c r="AU230" s="53" t="n">
        <v>0</v>
      </c>
      <c r="AV230" s="53" t="n">
        <v>0</v>
      </c>
      <c r="AW230" s="53" t="n">
        <v>0</v>
      </c>
      <c r="AX230" s="53" t="n">
        <v>0</v>
      </c>
      <c r="AY230" s="52" t="n">
        <v>0</v>
      </c>
      <c r="AZ230" s="52" t="n">
        <v>0</v>
      </c>
      <c r="BA230" s="52" t="n">
        <v>0</v>
      </c>
      <c r="BB230" s="52" t="n">
        <v>0</v>
      </c>
      <c r="BC230" s="51" t="n">
        <v>0</v>
      </c>
      <c r="BD230" s="51" t="n">
        <v>0</v>
      </c>
      <c r="BE230" s="51" t="n">
        <v>0</v>
      </c>
      <c r="BF230" s="51" t="n">
        <v>0</v>
      </c>
    </row>
    <row r="231">
      <c r="A231">
        <f>HYPERLINK("https://www.walmart.com/ip/621860932", "621860932")</f>
        <v/>
      </c>
      <c r="B231" t="inlineStr">
        <is>
          <t>Sun Blocker Sun Hat women Canvas Reversible Bucket Hat UV Sun Protection UPF 50+ Double Sided Outdoor Safari Travel Beach Golf Cap, Floral Blue</t>
        </is>
      </c>
      <c r="C231" t="inlineStr">
        <is>
          <t>KC-S9200FLW-BL</t>
        </is>
      </c>
      <c r="D231" t="inlineStr">
        <is>
          <t>Hats</t>
        </is>
      </c>
      <c r="E231" t="inlineStr">
        <is>
          <t>Sun Blocker</t>
        </is>
      </c>
      <c r="F231" t="inlineStr">
        <is>
          <t>Batch 1 - TR</t>
        </is>
      </c>
      <c r="G231" s="48" t="n">
        <v>0</v>
      </c>
      <c r="H231" s="48" t="n">
        <v>0</v>
      </c>
      <c r="I231" s="48" t="n">
        <v>9.99</v>
      </c>
      <c r="J231" s="48" t="n">
        <v>0</v>
      </c>
      <c r="K231" s="49" t="n">
        <v>0</v>
      </c>
      <c r="L231" s="49" t="n">
        <v>0</v>
      </c>
      <c r="M231" s="49" t="n">
        <v>1</v>
      </c>
      <c r="N231" s="49" t="n">
        <v>0</v>
      </c>
      <c r="O231" s="49" t="n">
        <v>0</v>
      </c>
      <c r="P231" s="49" t="n">
        <v>0</v>
      </c>
      <c r="Q231" s="49" t="n">
        <v>4</v>
      </c>
      <c r="R231" s="49" t="n">
        <v>1</v>
      </c>
      <c r="S231" s="50" t="n">
        <v>0</v>
      </c>
      <c r="T231" s="50" t="n">
        <v>0</v>
      </c>
      <c r="U231" s="50" t="n">
        <v>0.25</v>
      </c>
      <c r="V231" s="50" t="n">
        <v>0</v>
      </c>
      <c r="W231" s="51" t="n">
        <v>0</v>
      </c>
      <c r="X231" s="51" t="n">
        <v>0</v>
      </c>
      <c r="Y231" s="51" t="n">
        <v>0</v>
      </c>
      <c r="Z231" s="51" t="n">
        <v>0</v>
      </c>
      <c r="AA231" s="52" t="n">
        <v>0</v>
      </c>
      <c r="AB231" s="52" t="n">
        <v>0</v>
      </c>
      <c r="AC231" s="52" t="n">
        <v>0</v>
      </c>
      <c r="AD231" s="52" t="n">
        <v>0</v>
      </c>
      <c r="AE231" s="52" t="n">
        <v>0</v>
      </c>
      <c r="AF231" s="52" t="n">
        <v>0</v>
      </c>
      <c r="AG231" s="52" t="n">
        <v>0</v>
      </c>
      <c r="AH231" s="52" t="n">
        <v>0</v>
      </c>
      <c r="AI231" s="52" t="n">
        <v>0</v>
      </c>
      <c r="AJ231" s="52" t="n">
        <v>0</v>
      </c>
      <c r="AK231" s="52" t="n">
        <v>0</v>
      </c>
      <c r="AL231" s="52" t="n">
        <v>0</v>
      </c>
      <c r="AM231" s="53" t="n">
        <v>0</v>
      </c>
      <c r="AN231" s="53" t="n">
        <v>0</v>
      </c>
      <c r="AO231" s="53" t="n">
        <v>0</v>
      </c>
      <c r="AP231" s="53" t="n">
        <v>0</v>
      </c>
      <c r="AQ231" s="52" t="n">
        <v>0</v>
      </c>
      <c r="AR231" s="52" t="n">
        <v>0</v>
      </c>
      <c r="AS231" s="52" t="n">
        <v>0</v>
      </c>
      <c r="AT231" s="52" t="n">
        <v>0</v>
      </c>
      <c r="AU231" s="53" t="n">
        <v>0</v>
      </c>
      <c r="AV231" s="53" t="n">
        <v>0</v>
      </c>
      <c r="AW231" s="53" t="n">
        <v>0</v>
      </c>
      <c r="AX231" s="53" t="n">
        <v>0</v>
      </c>
      <c r="AY231" s="52" t="n">
        <v>0</v>
      </c>
      <c r="AZ231" s="52" t="n">
        <v>0</v>
      </c>
      <c r="BA231" s="52" t="n">
        <v>9.99</v>
      </c>
      <c r="BB231" s="52" t="n">
        <v>0</v>
      </c>
      <c r="BC231" s="51" t="n">
        <v>0</v>
      </c>
      <c r="BD231" s="51" t="n">
        <v>0</v>
      </c>
      <c r="BE231" s="51" t="n">
        <v>0</v>
      </c>
      <c r="BF231" s="51" t="n">
        <v>0</v>
      </c>
    </row>
    <row r="232">
      <c r="A232">
        <f>HYPERLINK("https://www.walmart.com/ip/621862689", "621862689")</f>
        <v/>
      </c>
      <c r="B232" t="inlineStr">
        <is>
          <t>Catalonia Plaid Sherpa Throw Blanket 50" x 60", for Couch and Bed, Super Soft Reversible, Comfy Caring Gift</t>
        </is>
      </c>
      <c r="C232" t="inlineStr">
        <is>
          <t>1CTBF565PPK</t>
        </is>
      </c>
      <c r="D232" t="inlineStr">
        <is>
          <t>Throws</t>
        </is>
      </c>
      <c r="E232" t="inlineStr">
        <is>
          <t>Catalonia</t>
        </is>
      </c>
      <c r="F232" t="inlineStr">
        <is>
          <t>Optimized,WFS,Coupon_Discount,WFS Item</t>
        </is>
      </c>
      <c r="G232" s="48" t="n">
        <v>0</v>
      </c>
      <c r="H232" s="48" t="n">
        <v>0</v>
      </c>
      <c r="I232" s="48" t="n">
        <v>0</v>
      </c>
      <c r="J232" s="48" t="n">
        <v>0</v>
      </c>
      <c r="K232" s="49" t="n">
        <v>0</v>
      </c>
      <c r="L232" s="49" t="n">
        <v>0</v>
      </c>
      <c r="M232" s="49" t="n">
        <v>0</v>
      </c>
      <c r="N232" s="49" t="n">
        <v>0</v>
      </c>
      <c r="O232" s="49" t="n">
        <v>0</v>
      </c>
      <c r="P232" s="49" t="n">
        <v>0</v>
      </c>
      <c r="Q232" s="49" t="n">
        <v>0</v>
      </c>
      <c r="R232" s="49" t="n">
        <v>0</v>
      </c>
      <c r="S232" s="50" t="n">
        <v>0</v>
      </c>
      <c r="T232" s="50" t="n">
        <v>0</v>
      </c>
      <c r="U232" s="50" t="n">
        <v>0</v>
      </c>
      <c r="V232" s="50" t="n">
        <v>0</v>
      </c>
      <c r="W232" s="51" t="n">
        <v>0</v>
      </c>
      <c r="X232" s="51" t="n">
        <v>0</v>
      </c>
      <c r="Y232" s="51" t="n">
        <v>0</v>
      </c>
      <c r="Z232" s="51" t="n">
        <v>0</v>
      </c>
      <c r="AA232" s="52" t="n">
        <v>0</v>
      </c>
      <c r="AB232" s="52" t="n">
        <v>0</v>
      </c>
      <c r="AC232" s="52" t="n">
        <v>0</v>
      </c>
      <c r="AD232" s="52" t="n">
        <v>0</v>
      </c>
      <c r="AE232" s="52" t="n">
        <v>0</v>
      </c>
      <c r="AF232" s="52" t="n">
        <v>0</v>
      </c>
      <c r="AG232" s="52" t="n">
        <v>0</v>
      </c>
      <c r="AH232" s="52" t="n">
        <v>0</v>
      </c>
      <c r="AI232" s="52" t="n">
        <v>0</v>
      </c>
      <c r="AJ232" s="52" t="n">
        <v>0</v>
      </c>
      <c r="AK232" s="52" t="n">
        <v>0</v>
      </c>
      <c r="AL232" s="52" t="n">
        <v>0</v>
      </c>
      <c r="AM232" s="53" t="n">
        <v>0</v>
      </c>
      <c r="AN232" s="53" t="n">
        <v>0</v>
      </c>
      <c r="AO232" s="53" t="n">
        <v>0</v>
      </c>
      <c r="AP232" s="53" t="n">
        <v>0</v>
      </c>
      <c r="AQ232" s="52" t="n">
        <v>0</v>
      </c>
      <c r="AR232" s="52" t="n">
        <v>0</v>
      </c>
      <c r="AS232" s="52" t="n">
        <v>0</v>
      </c>
      <c r="AT232" s="52" t="n">
        <v>0</v>
      </c>
      <c r="AU232" s="53" t="n">
        <v>0</v>
      </c>
      <c r="AV232" s="53" t="n">
        <v>0</v>
      </c>
      <c r="AW232" s="53" t="n">
        <v>0</v>
      </c>
      <c r="AX232" s="53" t="n">
        <v>0</v>
      </c>
      <c r="AY232" s="52" t="n">
        <v>0</v>
      </c>
      <c r="AZ232" s="52" t="n">
        <v>0</v>
      </c>
      <c r="BA232" s="52" t="n">
        <v>0</v>
      </c>
      <c r="BB232" s="52" t="n">
        <v>0</v>
      </c>
      <c r="BC232" s="51" t="n">
        <v>0</v>
      </c>
      <c r="BD232" s="51" t="n">
        <v>0</v>
      </c>
      <c r="BE232" s="51" t="n">
        <v>0</v>
      </c>
      <c r="BF232" s="51" t="n">
        <v>0</v>
      </c>
    </row>
    <row r="233">
      <c r="A233">
        <f>HYPERLINK("https://www.walmart.com/ip/622124362", "622124362")</f>
        <v/>
      </c>
      <c r="B233" t="inlineStr">
        <is>
          <t>Catalonia Sherpa Fleece Blanket for Bed, Super Soft  Plush Sofa Couch Throw Blanket, TV Bed Blanket, Comfy Cozy Fluffy Warm Comforter, Caring Gift(Wine, 60x80 inches)</t>
        </is>
      </c>
      <c r="C233" t="inlineStr">
        <is>
          <t>1CTBF368WN</t>
        </is>
      </c>
      <c r="D233" t="inlineStr">
        <is>
          <t>Throws</t>
        </is>
      </c>
      <c r="E233" t="inlineStr">
        <is>
          <t>Catalonia</t>
        </is>
      </c>
      <c r="F233" t="inlineStr">
        <is>
          <t>WFS,WFS Item,Fleece Blankets</t>
        </is>
      </c>
      <c r="G233" s="48" t="n">
        <v>0</v>
      </c>
      <c r="H233" s="48" t="n">
        <v>0</v>
      </c>
      <c r="I233" s="48" t="n">
        <v>0</v>
      </c>
      <c r="J233" s="48" t="n">
        <v>0</v>
      </c>
      <c r="K233" s="49" t="n">
        <v>0</v>
      </c>
      <c r="L233" s="49" t="n">
        <v>0</v>
      </c>
      <c r="M233" s="49" t="n">
        <v>0</v>
      </c>
      <c r="N233" s="49" t="n">
        <v>0</v>
      </c>
      <c r="O233" s="49" t="n">
        <v>0</v>
      </c>
      <c r="P233" s="49" t="n">
        <v>0</v>
      </c>
      <c r="Q233" s="49" t="n">
        <v>0</v>
      </c>
      <c r="R233" s="49" t="n">
        <v>0</v>
      </c>
      <c r="S233" s="50" t="n">
        <v>0</v>
      </c>
      <c r="T233" s="50" t="n">
        <v>0</v>
      </c>
      <c r="U233" s="50" t="n">
        <v>0</v>
      </c>
      <c r="V233" s="50" t="n">
        <v>0</v>
      </c>
      <c r="W233" s="51" t="n">
        <v>0</v>
      </c>
      <c r="X233" s="51" t="n">
        <v>0</v>
      </c>
      <c r="Y233" s="51" t="n">
        <v>0</v>
      </c>
      <c r="Z233" s="51" t="n">
        <v>0</v>
      </c>
      <c r="AA233" s="52" t="n">
        <v>0</v>
      </c>
      <c r="AB233" s="52" t="n">
        <v>0</v>
      </c>
      <c r="AC233" s="52" t="n">
        <v>0</v>
      </c>
      <c r="AD233" s="52" t="n">
        <v>0</v>
      </c>
      <c r="AE233" s="52" t="n">
        <v>0</v>
      </c>
      <c r="AF233" s="52" t="n">
        <v>0</v>
      </c>
      <c r="AG233" s="52" t="n">
        <v>0</v>
      </c>
      <c r="AH233" s="52" t="n">
        <v>0</v>
      </c>
      <c r="AI233" s="52" t="n">
        <v>0</v>
      </c>
      <c r="AJ233" s="52" t="n">
        <v>0</v>
      </c>
      <c r="AK233" s="52" t="n">
        <v>0</v>
      </c>
      <c r="AL233" s="52" t="n">
        <v>0</v>
      </c>
      <c r="AM233" s="53" t="n">
        <v>0</v>
      </c>
      <c r="AN233" s="53" t="n">
        <v>0</v>
      </c>
      <c r="AO233" s="53" t="n">
        <v>0</v>
      </c>
      <c r="AP233" s="53" t="n">
        <v>0</v>
      </c>
      <c r="AQ233" s="52" t="n">
        <v>0</v>
      </c>
      <c r="AR233" s="52" t="n">
        <v>0</v>
      </c>
      <c r="AS233" s="52" t="n">
        <v>0</v>
      </c>
      <c r="AT233" s="52" t="n">
        <v>0</v>
      </c>
      <c r="AU233" s="53" t="n">
        <v>0</v>
      </c>
      <c r="AV233" s="53" t="n">
        <v>0</v>
      </c>
      <c r="AW233" s="53" t="n">
        <v>0</v>
      </c>
      <c r="AX233" s="53" t="n">
        <v>0</v>
      </c>
      <c r="AY233" s="52" t="n">
        <v>0</v>
      </c>
      <c r="AZ233" s="52" t="n">
        <v>0</v>
      </c>
      <c r="BA233" s="52" t="n">
        <v>0</v>
      </c>
      <c r="BB233" s="52" t="n">
        <v>0</v>
      </c>
      <c r="BC233" s="51" t="n">
        <v>0</v>
      </c>
      <c r="BD233" s="51" t="n">
        <v>0</v>
      </c>
      <c r="BE233" s="51" t="n">
        <v>0</v>
      </c>
      <c r="BF233" s="51" t="n">
        <v>0</v>
      </c>
    </row>
    <row r="234">
      <c r="A234">
        <f>HYPERLINK("https://www.walmart.com/ip/537523593", "537523593")</f>
        <v/>
      </c>
      <c r="B234" t="inlineStr">
        <is>
          <t>Catalonia Mermaid Tail Blanket, Super Soft Blanket Sherpa Lined Knit with Non-slip Neck Strap, Fleece Blanket for Adult Women or Teen Girls, Pink, 67'' x 22.5''</t>
        </is>
      </c>
      <c r="C234" t="inlineStr">
        <is>
          <t>1CTMM300PK</t>
        </is>
      </c>
      <c r="D234" t="inlineStr">
        <is>
          <t>Throws</t>
        </is>
      </c>
      <c r="E234" t="inlineStr">
        <is>
          <t>Catalonia</t>
        </is>
      </c>
      <c r="F234" t="inlineStr">
        <is>
          <t>WFS,WFS Item</t>
        </is>
      </c>
      <c r="G234" s="48" t="n">
        <v>0</v>
      </c>
      <c r="H234" s="48" t="n">
        <v>0</v>
      </c>
      <c r="I234" s="48" t="n">
        <v>0</v>
      </c>
      <c r="J234" s="48" t="n">
        <v>0</v>
      </c>
      <c r="K234" s="49" t="n">
        <v>0</v>
      </c>
      <c r="L234" s="49" t="n">
        <v>0</v>
      </c>
      <c r="M234" s="49" t="n">
        <v>0</v>
      </c>
      <c r="N234" s="49" t="n">
        <v>0</v>
      </c>
      <c r="O234" s="49" t="n">
        <v>0</v>
      </c>
      <c r="P234" s="49" t="n">
        <v>0</v>
      </c>
      <c r="Q234" s="49" t="n">
        <v>0</v>
      </c>
      <c r="R234" s="49" t="n">
        <v>0</v>
      </c>
      <c r="S234" s="50" t="n">
        <v>0</v>
      </c>
      <c r="T234" s="50" t="n">
        <v>0</v>
      </c>
      <c r="U234" s="50" t="n">
        <v>0</v>
      </c>
      <c r="V234" s="50" t="n">
        <v>0</v>
      </c>
      <c r="W234" s="51" t="n">
        <v>0</v>
      </c>
      <c r="X234" s="51" t="n">
        <v>0</v>
      </c>
      <c r="Y234" s="51" t="n">
        <v>0</v>
      </c>
      <c r="Z234" s="51" t="n">
        <v>0</v>
      </c>
      <c r="AA234" s="52" t="n">
        <v>0</v>
      </c>
      <c r="AB234" s="52" t="n">
        <v>0</v>
      </c>
      <c r="AC234" s="52" t="n">
        <v>0</v>
      </c>
      <c r="AD234" s="52" t="n">
        <v>0</v>
      </c>
      <c r="AE234" s="52" t="n">
        <v>0</v>
      </c>
      <c r="AF234" s="52" t="n">
        <v>0</v>
      </c>
      <c r="AG234" s="52" t="n">
        <v>0</v>
      </c>
      <c r="AH234" s="52" t="n">
        <v>0</v>
      </c>
      <c r="AI234" s="52" t="n">
        <v>0</v>
      </c>
      <c r="AJ234" s="52" t="n">
        <v>0</v>
      </c>
      <c r="AK234" s="52" t="n">
        <v>0</v>
      </c>
      <c r="AL234" s="52" t="n">
        <v>0</v>
      </c>
      <c r="AM234" s="53" t="n">
        <v>0</v>
      </c>
      <c r="AN234" s="53" t="n">
        <v>0</v>
      </c>
      <c r="AO234" s="53" t="n">
        <v>0</v>
      </c>
      <c r="AP234" s="53" t="n">
        <v>0</v>
      </c>
      <c r="AQ234" s="52" t="n">
        <v>0</v>
      </c>
      <c r="AR234" s="52" t="n">
        <v>0</v>
      </c>
      <c r="AS234" s="52" t="n">
        <v>0</v>
      </c>
      <c r="AT234" s="52" t="n">
        <v>0</v>
      </c>
      <c r="AU234" s="53" t="n">
        <v>0</v>
      </c>
      <c r="AV234" s="53" t="n">
        <v>0</v>
      </c>
      <c r="AW234" s="53" t="n">
        <v>0</v>
      </c>
      <c r="AX234" s="53" t="n">
        <v>0</v>
      </c>
      <c r="AY234" s="52" t="n">
        <v>0</v>
      </c>
      <c r="AZ234" s="52" t="n">
        <v>0</v>
      </c>
      <c r="BA234" s="52" t="n">
        <v>0</v>
      </c>
      <c r="BB234" s="52" t="n">
        <v>0</v>
      </c>
      <c r="BC234" s="51" t="n">
        <v>0</v>
      </c>
      <c r="BD234" s="51" t="n">
        <v>0</v>
      </c>
      <c r="BE234" s="51" t="n">
        <v>0</v>
      </c>
      <c r="BF234" s="51" t="n">
        <v>0</v>
      </c>
    </row>
    <row r="235">
      <c r="A235">
        <f>HYPERLINK("https://www.walmart.com/ip/5374435927", "5374435927")</f>
        <v/>
      </c>
      <c r="B235" t="inlineStr">
        <is>
          <t>Solaris Surf Poncho Changing Towel Robe for Women Men, Lightweight Changing Robe with Packable Bags, Water Absorbent Wetsuit Beach Hoode Towel for Surfing Swimming</t>
        </is>
      </c>
      <c r="C235" t="inlineStr">
        <is>
          <t>1SLBR103-GY</t>
        </is>
      </c>
      <c r="D235" t="inlineStr">
        <is>
          <t>Towels &amp; Washcloths</t>
        </is>
      </c>
      <c r="E235" t="inlineStr">
        <is>
          <t>Solaris</t>
        </is>
      </c>
      <c r="G235" s="48" t="n">
        <v>0</v>
      </c>
      <c r="H235" s="48" t="n">
        <v>21.99</v>
      </c>
      <c r="I235" s="48" t="n">
        <v>0</v>
      </c>
      <c r="J235" s="48" t="n">
        <v>0</v>
      </c>
      <c r="K235" s="49" t="n">
        <v>0</v>
      </c>
      <c r="L235" s="49" t="n">
        <v>1</v>
      </c>
      <c r="M235" s="49" t="n">
        <v>0</v>
      </c>
      <c r="N235" s="49" t="n">
        <v>0</v>
      </c>
      <c r="O235" s="49" t="n">
        <v>0</v>
      </c>
      <c r="P235" s="49" t="n">
        <v>0</v>
      </c>
      <c r="Q235" s="49" t="n">
        <v>0</v>
      </c>
      <c r="R235" s="49" t="n">
        <v>0</v>
      </c>
      <c r="S235" s="50" t="n">
        <v>0</v>
      </c>
      <c r="T235" s="50" t="n">
        <v>0</v>
      </c>
      <c r="U235" s="50" t="n">
        <v>0</v>
      </c>
      <c r="V235" s="50" t="n">
        <v>0</v>
      </c>
      <c r="W235" s="51" t="n">
        <v>0</v>
      </c>
      <c r="X235" s="51" t="n">
        <v>0</v>
      </c>
      <c r="Y235" s="51" t="n">
        <v>0</v>
      </c>
      <c r="Z235" s="51" t="n">
        <v>0</v>
      </c>
      <c r="AA235" s="52" t="n">
        <v>0</v>
      </c>
      <c r="AB235" s="52" t="n">
        <v>0</v>
      </c>
      <c r="AC235" s="52" t="n">
        <v>0</v>
      </c>
      <c r="AD235" s="52" t="n">
        <v>0</v>
      </c>
      <c r="AE235" s="52" t="n">
        <v>0</v>
      </c>
      <c r="AF235" s="52" t="n">
        <v>0</v>
      </c>
      <c r="AG235" s="52" t="n">
        <v>0</v>
      </c>
      <c r="AH235" s="52" t="n">
        <v>0</v>
      </c>
      <c r="AI235" s="52" t="n">
        <v>0</v>
      </c>
      <c r="AJ235" s="52" t="n">
        <v>0</v>
      </c>
      <c r="AK235" s="52" t="n">
        <v>0</v>
      </c>
      <c r="AL235" s="52" t="n">
        <v>0</v>
      </c>
      <c r="AM235" s="53" t="n">
        <v>0</v>
      </c>
      <c r="AN235" s="53" t="n">
        <v>0</v>
      </c>
      <c r="AO235" s="53" t="n">
        <v>0</v>
      </c>
      <c r="AP235" s="53" t="n">
        <v>0</v>
      </c>
      <c r="AQ235" s="52" t="n">
        <v>0</v>
      </c>
      <c r="AR235" s="52" t="n">
        <v>0</v>
      </c>
      <c r="AS235" s="52" t="n">
        <v>0</v>
      </c>
      <c r="AT235" s="52" t="n">
        <v>0</v>
      </c>
      <c r="AU235" s="53" t="n">
        <v>0</v>
      </c>
      <c r="AV235" s="53" t="n">
        <v>0</v>
      </c>
      <c r="AW235" s="53" t="n">
        <v>0</v>
      </c>
      <c r="AX235" s="53" t="n">
        <v>0</v>
      </c>
      <c r="AY235" s="52" t="n">
        <v>0</v>
      </c>
      <c r="AZ235" s="52" t="n">
        <v>21.99</v>
      </c>
      <c r="BA235" s="52" t="n">
        <v>0</v>
      </c>
      <c r="BB235" s="52" t="n">
        <v>0</v>
      </c>
      <c r="BC235" s="51" t="n">
        <v>0</v>
      </c>
      <c r="BD235" s="51" t="n">
        <v>0</v>
      </c>
      <c r="BE235" s="51" t="n">
        <v>0</v>
      </c>
      <c r="BF235" s="51" t="n">
        <v>0</v>
      </c>
    </row>
    <row r="236">
      <c r="A236">
        <f>HYPERLINK("https://www.walmart.com/ip/5373928874", "5373928874")</f>
        <v/>
      </c>
      <c r="B236" t="inlineStr">
        <is>
          <t>Tirrinia Golf Cooler Bag - Golf Accessories Small 5 Cans Insulated Cooler Sleeve with Storage Pocket</t>
        </is>
      </c>
      <c r="C236" t="inlineStr">
        <is>
          <t>1TRCB00205BK</t>
        </is>
      </c>
      <c r="D236" t="inlineStr">
        <is>
          <t>Thermocoolers</t>
        </is>
      </c>
      <c r="E236" t="inlineStr">
        <is>
          <t>Tirrinia</t>
        </is>
      </c>
      <c r="G236" s="48" t="n">
        <v>0</v>
      </c>
      <c r="H236" s="48" t="n">
        <v>0</v>
      </c>
      <c r="I236" s="48" t="n">
        <v>0</v>
      </c>
      <c r="J236" s="48" t="n">
        <v>0</v>
      </c>
      <c r="K236" s="49" t="n">
        <v>0</v>
      </c>
      <c r="L236" s="49" t="n">
        <v>0</v>
      </c>
      <c r="M236" s="49" t="n">
        <v>0</v>
      </c>
      <c r="N236" s="49" t="n">
        <v>0</v>
      </c>
      <c r="O236" s="49" t="n">
        <v>0</v>
      </c>
      <c r="P236" s="49" t="n">
        <v>0</v>
      </c>
      <c r="Q236" s="49" t="n">
        <v>0</v>
      </c>
      <c r="R236" s="49" t="n">
        <v>0</v>
      </c>
      <c r="S236" s="50" t="n">
        <v>0</v>
      </c>
      <c r="T236" s="50" t="n">
        <v>0</v>
      </c>
      <c r="U236" s="50" t="n">
        <v>0</v>
      </c>
      <c r="V236" s="50" t="n">
        <v>0</v>
      </c>
      <c r="W236" s="51" t="n">
        <v>0</v>
      </c>
      <c r="X236" s="51" t="n">
        <v>0</v>
      </c>
      <c r="Y236" s="51" t="n">
        <v>0</v>
      </c>
      <c r="Z236" s="51" t="n">
        <v>0</v>
      </c>
      <c r="AA236" s="52" t="n">
        <v>0</v>
      </c>
      <c r="AB236" s="52" t="n">
        <v>0</v>
      </c>
      <c r="AC236" s="52" t="n">
        <v>0</v>
      </c>
      <c r="AD236" s="52" t="n">
        <v>0</v>
      </c>
      <c r="AE236" s="52" t="n">
        <v>0</v>
      </c>
      <c r="AF236" s="52" t="n">
        <v>0</v>
      </c>
      <c r="AG236" s="52" t="n">
        <v>0</v>
      </c>
      <c r="AH236" s="52" t="n">
        <v>0</v>
      </c>
      <c r="AI236" s="52" t="n">
        <v>0</v>
      </c>
      <c r="AJ236" s="52" t="n">
        <v>0</v>
      </c>
      <c r="AK236" s="52" t="n">
        <v>0</v>
      </c>
      <c r="AL236" s="52" t="n">
        <v>0</v>
      </c>
      <c r="AM236" s="53" t="n">
        <v>0</v>
      </c>
      <c r="AN236" s="53" t="n">
        <v>0</v>
      </c>
      <c r="AO236" s="53" t="n">
        <v>0</v>
      </c>
      <c r="AP236" s="53" t="n">
        <v>0</v>
      </c>
      <c r="AQ236" s="52" t="n">
        <v>0</v>
      </c>
      <c r="AR236" s="52" t="n">
        <v>0</v>
      </c>
      <c r="AS236" s="52" t="n">
        <v>0</v>
      </c>
      <c r="AT236" s="52" t="n">
        <v>0</v>
      </c>
      <c r="AU236" s="53" t="n">
        <v>0</v>
      </c>
      <c r="AV236" s="53" t="n">
        <v>0</v>
      </c>
      <c r="AW236" s="53" t="n">
        <v>0</v>
      </c>
      <c r="AX236" s="53" t="n">
        <v>0</v>
      </c>
      <c r="AY236" s="52" t="n">
        <v>0</v>
      </c>
      <c r="AZ236" s="52" t="n">
        <v>0</v>
      </c>
      <c r="BA236" s="52" t="n">
        <v>0</v>
      </c>
      <c r="BB236" s="52" t="n">
        <v>0</v>
      </c>
      <c r="BC236" s="51" t="n">
        <v>0</v>
      </c>
      <c r="BD236" s="51" t="n">
        <v>0</v>
      </c>
      <c r="BE236" s="51" t="n">
        <v>0</v>
      </c>
      <c r="BF236" s="51" t="n">
        <v>0</v>
      </c>
    </row>
    <row r="237">
      <c r="A237">
        <f>HYPERLINK("https://www.walmart.com/ip/537345676", "537345676")</f>
        <v/>
      </c>
      <c r="B237" t="inlineStr">
        <is>
          <t>Catalonia Sherpa Wearable Blanket Poncho for Adult Women Men, Wrap Blanket Cape with Pocket, Warm, Soft, Cozy, Snuggly, Comfort Gift, No Sleeves, Cheetah</t>
        </is>
      </c>
      <c r="C237" t="inlineStr">
        <is>
          <t>1CTBP110CHEETAH</t>
        </is>
      </c>
      <c r="D237" t="inlineStr">
        <is>
          <t>Throws</t>
        </is>
      </c>
      <c r="E237" t="inlineStr">
        <is>
          <t>Catalonia</t>
        </is>
      </c>
      <c r="F237" t="inlineStr">
        <is>
          <t>Hero 5 Holidays,Coupon_Discount,Batch 1 - TR</t>
        </is>
      </c>
      <c r="G237" s="48" t="n">
        <v>0</v>
      </c>
      <c r="H237" s="48" t="n">
        <v>0</v>
      </c>
      <c r="I237" s="48" t="n">
        <v>0</v>
      </c>
      <c r="J237" s="48" t="n">
        <v>0</v>
      </c>
      <c r="K237" s="49" t="n">
        <v>0</v>
      </c>
      <c r="L237" s="49" t="n">
        <v>0</v>
      </c>
      <c r="M237" s="49" t="n">
        <v>0</v>
      </c>
      <c r="N237" s="49" t="n">
        <v>0</v>
      </c>
      <c r="O237" s="49" t="n">
        <v>0</v>
      </c>
      <c r="P237" s="49" t="n">
        <v>0</v>
      </c>
      <c r="Q237" s="49" t="n">
        <v>0</v>
      </c>
      <c r="R237" s="49" t="n">
        <v>0</v>
      </c>
      <c r="S237" s="50" t="n">
        <v>0</v>
      </c>
      <c r="T237" s="50" t="n">
        <v>0</v>
      </c>
      <c r="U237" s="50" t="n">
        <v>0</v>
      </c>
      <c r="V237" s="50" t="n">
        <v>0</v>
      </c>
      <c r="W237" s="51" t="n">
        <v>0</v>
      </c>
      <c r="X237" s="51" t="n">
        <v>0</v>
      </c>
      <c r="Y237" s="51" t="n">
        <v>0</v>
      </c>
      <c r="Z237" s="51" t="n">
        <v>0</v>
      </c>
      <c r="AA237" s="52" t="n">
        <v>0</v>
      </c>
      <c r="AB237" s="52" t="n">
        <v>0</v>
      </c>
      <c r="AC237" s="52" t="n">
        <v>0</v>
      </c>
      <c r="AD237" s="52" t="n">
        <v>0</v>
      </c>
      <c r="AE237" s="52" t="n">
        <v>0</v>
      </c>
      <c r="AF237" s="52" t="n">
        <v>0</v>
      </c>
      <c r="AG237" s="52" t="n">
        <v>0</v>
      </c>
      <c r="AH237" s="52" t="n">
        <v>0</v>
      </c>
      <c r="AI237" s="52" t="n">
        <v>0</v>
      </c>
      <c r="AJ237" s="52" t="n">
        <v>0</v>
      </c>
      <c r="AK237" s="52" t="n">
        <v>0</v>
      </c>
      <c r="AL237" s="52" t="n">
        <v>0</v>
      </c>
      <c r="AM237" s="53" t="n">
        <v>0</v>
      </c>
      <c r="AN237" s="53" t="n">
        <v>0</v>
      </c>
      <c r="AO237" s="53" t="n">
        <v>0</v>
      </c>
      <c r="AP237" s="53" t="n">
        <v>0</v>
      </c>
      <c r="AQ237" s="52" t="n">
        <v>0</v>
      </c>
      <c r="AR237" s="52" t="n">
        <v>0</v>
      </c>
      <c r="AS237" s="52" t="n">
        <v>0</v>
      </c>
      <c r="AT237" s="52" t="n">
        <v>0</v>
      </c>
      <c r="AU237" s="53" t="n">
        <v>0</v>
      </c>
      <c r="AV237" s="53" t="n">
        <v>0</v>
      </c>
      <c r="AW237" s="53" t="n">
        <v>0</v>
      </c>
      <c r="AX237" s="53" t="n">
        <v>0</v>
      </c>
      <c r="AY237" s="52" t="n">
        <v>0</v>
      </c>
      <c r="AZ237" s="52" t="n">
        <v>0</v>
      </c>
      <c r="BA237" s="52" t="n">
        <v>0</v>
      </c>
      <c r="BB237" s="52" t="n">
        <v>0</v>
      </c>
      <c r="BC237" s="51" t="n">
        <v>2</v>
      </c>
      <c r="BD237" s="51" t="n">
        <v>0</v>
      </c>
      <c r="BE237" s="51" t="n">
        <v>0</v>
      </c>
      <c r="BF237" s="51" t="n">
        <v>0</v>
      </c>
    </row>
    <row r="238">
      <c r="A238">
        <f>HYPERLINK("https://www.walmart.com/ip/624075240", "624075240")</f>
        <v/>
      </c>
      <c r="B238" t="inlineStr">
        <is>
          <t>Tirrinia Insulated 4 Bottle Wine Carrier Tote Cooler Bag for Travel Picnic Padded Champagne Glass Carrying Case Leather</t>
        </is>
      </c>
      <c r="C238" t="inlineStr">
        <is>
          <t>1WMWB421STR</t>
        </is>
      </c>
      <c r="D238" t="inlineStr">
        <is>
          <t>Wine Totes, Bags &amp; Backpacks</t>
        </is>
      </c>
      <c r="E238" t="inlineStr">
        <is>
          <t>Flyingstar</t>
        </is>
      </c>
      <c r="F238" t="inlineStr">
        <is>
          <t>Wine,Christmas,Optimized,Valentine,SEM</t>
        </is>
      </c>
      <c r="G238" s="48" t="n">
        <v>0</v>
      </c>
      <c r="H238" s="48" t="n">
        <v>0</v>
      </c>
      <c r="I238" s="48" t="n">
        <v>0</v>
      </c>
      <c r="J238" s="48" t="n">
        <v>0</v>
      </c>
      <c r="K238" s="49" t="n">
        <v>0</v>
      </c>
      <c r="L238" s="49" t="n">
        <v>0</v>
      </c>
      <c r="M238" s="49" t="n">
        <v>0</v>
      </c>
      <c r="N238" s="49" t="n">
        <v>0</v>
      </c>
      <c r="O238" s="49" t="n">
        <v>0</v>
      </c>
      <c r="P238" s="49" t="n">
        <v>0</v>
      </c>
      <c r="Q238" s="49" t="n">
        <v>0</v>
      </c>
      <c r="R238" s="49" t="n">
        <v>0</v>
      </c>
      <c r="S238" s="50" t="n">
        <v>0</v>
      </c>
      <c r="T238" s="50" t="n">
        <v>0</v>
      </c>
      <c r="U238" s="50" t="n">
        <v>0</v>
      </c>
      <c r="V238" s="50" t="n">
        <v>0</v>
      </c>
      <c r="W238" s="51" t="n">
        <v>0</v>
      </c>
      <c r="X238" s="51" t="n">
        <v>0</v>
      </c>
      <c r="Y238" s="51" t="n">
        <v>0</v>
      </c>
      <c r="Z238" s="51" t="n">
        <v>0</v>
      </c>
      <c r="AA238" s="52" t="n">
        <v>0</v>
      </c>
      <c r="AB238" s="52" t="n">
        <v>0</v>
      </c>
      <c r="AC238" s="52" t="n">
        <v>0</v>
      </c>
      <c r="AD238" s="52" t="n">
        <v>0</v>
      </c>
      <c r="AE238" s="52" t="n">
        <v>0</v>
      </c>
      <c r="AF238" s="52" t="n">
        <v>0</v>
      </c>
      <c r="AG238" s="52" t="n">
        <v>0</v>
      </c>
      <c r="AH238" s="52" t="n">
        <v>0</v>
      </c>
      <c r="AI238" s="52" t="n">
        <v>0</v>
      </c>
      <c r="AJ238" s="52" t="n">
        <v>0</v>
      </c>
      <c r="AK238" s="52" t="n">
        <v>0</v>
      </c>
      <c r="AL238" s="52" t="n">
        <v>0</v>
      </c>
      <c r="AM238" s="53" t="n">
        <v>0</v>
      </c>
      <c r="AN238" s="53" t="n">
        <v>0</v>
      </c>
      <c r="AO238" s="53" t="n">
        <v>0</v>
      </c>
      <c r="AP238" s="53" t="n">
        <v>0</v>
      </c>
      <c r="AQ238" s="52" t="n">
        <v>0</v>
      </c>
      <c r="AR238" s="52" t="n">
        <v>0</v>
      </c>
      <c r="AS238" s="52" t="n">
        <v>0</v>
      </c>
      <c r="AT238" s="52" t="n">
        <v>0</v>
      </c>
      <c r="AU238" s="53" t="n">
        <v>0</v>
      </c>
      <c r="AV238" s="53" t="n">
        <v>0</v>
      </c>
      <c r="AW238" s="53" t="n">
        <v>0</v>
      </c>
      <c r="AX238" s="53" t="n">
        <v>0</v>
      </c>
      <c r="AY238" s="52" t="n">
        <v>0</v>
      </c>
      <c r="AZ238" s="52" t="n">
        <v>0</v>
      </c>
      <c r="BA238" s="52" t="n">
        <v>0</v>
      </c>
      <c r="BB238" s="52" t="n">
        <v>0</v>
      </c>
      <c r="BC238" s="51" t="n">
        <v>0</v>
      </c>
      <c r="BD238" s="51" t="n">
        <v>0</v>
      </c>
      <c r="BE238" s="51" t="n">
        <v>0</v>
      </c>
      <c r="BF238" s="51" t="n">
        <v>0</v>
      </c>
    </row>
    <row r="239">
      <c r="A239">
        <f>HYPERLINK("https://www.walmart.com/ip/5384805046", "5384805046")</f>
        <v/>
      </c>
      <c r="B239" t="inlineStr">
        <is>
          <t>PEANUTS Womens 100% Cotton Family Matching Pajamas Holiday Festive Nightwear Sleepwear 2-Piece Sets for Christmas Gifts (Black Plaid, M)</t>
        </is>
      </c>
      <c r="C239" t="inlineStr">
        <is>
          <t>PEA-PJS-FAMILY-WOMEN-BLACKPLAID-M</t>
        </is>
      </c>
      <c r="D239" t="inlineStr">
        <is>
          <t>Pajamas</t>
        </is>
      </c>
      <c r="E239" t="inlineStr">
        <is>
          <t>Peanuts</t>
        </is>
      </c>
      <c r="G239" s="48" t="n">
        <v>0</v>
      </c>
      <c r="H239" s="48" t="n">
        <v>0</v>
      </c>
      <c r="I239" s="48" t="n">
        <v>0</v>
      </c>
      <c r="J239" s="48" t="n">
        <v>0</v>
      </c>
      <c r="K239" s="49" t="n">
        <v>0</v>
      </c>
      <c r="L239" s="49" t="n">
        <v>0</v>
      </c>
      <c r="M239" s="49" t="n">
        <v>0</v>
      </c>
      <c r="N239" s="49" t="n">
        <v>0</v>
      </c>
      <c r="O239" s="49" t="n">
        <v>0</v>
      </c>
      <c r="P239" s="49" t="n">
        <v>0</v>
      </c>
      <c r="Q239" s="49" t="n">
        <v>0</v>
      </c>
      <c r="R239" s="49" t="n">
        <v>0</v>
      </c>
      <c r="S239" s="50" t="n">
        <v>0</v>
      </c>
      <c r="T239" s="50" t="n">
        <v>0</v>
      </c>
      <c r="U239" s="50" t="n">
        <v>0</v>
      </c>
      <c r="V239" s="50" t="n">
        <v>0</v>
      </c>
      <c r="W239" s="51" t="n">
        <v>0</v>
      </c>
      <c r="X239" s="51" t="n">
        <v>0</v>
      </c>
      <c r="Y239" s="51" t="n">
        <v>0</v>
      </c>
      <c r="Z239" s="51" t="n">
        <v>0</v>
      </c>
      <c r="AA239" s="52" t="n">
        <v>0</v>
      </c>
      <c r="AB239" s="52" t="n">
        <v>0</v>
      </c>
      <c r="AC239" s="52" t="n">
        <v>0</v>
      </c>
      <c r="AD239" s="52" t="n">
        <v>0</v>
      </c>
      <c r="AE239" s="52" t="n">
        <v>0</v>
      </c>
      <c r="AF239" s="52" t="n">
        <v>0</v>
      </c>
      <c r="AG239" s="52" t="n">
        <v>0</v>
      </c>
      <c r="AH239" s="52" t="n">
        <v>0</v>
      </c>
      <c r="AI239" s="52" t="n">
        <v>0</v>
      </c>
      <c r="AJ239" s="52" t="n">
        <v>0</v>
      </c>
      <c r="AK239" s="52" t="n">
        <v>0</v>
      </c>
      <c r="AL239" s="52" t="n">
        <v>0</v>
      </c>
      <c r="AM239" s="53" t="n">
        <v>0</v>
      </c>
      <c r="AN239" s="53" t="n">
        <v>0</v>
      </c>
      <c r="AO239" s="53" t="n">
        <v>0</v>
      </c>
      <c r="AP239" s="53" t="n">
        <v>0</v>
      </c>
      <c r="AQ239" s="52" t="n">
        <v>0</v>
      </c>
      <c r="AR239" s="52" t="n">
        <v>0</v>
      </c>
      <c r="AS239" s="52" t="n">
        <v>0</v>
      </c>
      <c r="AT239" s="52" t="n">
        <v>0</v>
      </c>
      <c r="AU239" s="53" t="n">
        <v>0</v>
      </c>
      <c r="AV239" s="53" t="n">
        <v>0</v>
      </c>
      <c r="AW239" s="53" t="n">
        <v>0</v>
      </c>
      <c r="AX239" s="53" t="n">
        <v>0</v>
      </c>
      <c r="AY239" s="52" t="n">
        <v>0</v>
      </c>
      <c r="AZ239" s="52" t="n">
        <v>0</v>
      </c>
      <c r="BA239" s="52" t="n">
        <v>0</v>
      </c>
      <c r="BB239" s="52" t="n">
        <v>0</v>
      </c>
      <c r="BC239" s="51" t="n">
        <v>0</v>
      </c>
      <c r="BD239" s="51" t="n">
        <v>0</v>
      </c>
      <c r="BE239" s="51" t="n">
        <v>0</v>
      </c>
      <c r="BF239" s="51" t="n">
        <v>0</v>
      </c>
    </row>
    <row r="240">
      <c r="A240">
        <f>HYPERLINK("https://www.walmart.com/ip/626311869", "626311869")</f>
        <v/>
      </c>
      <c r="B240" t="inlineStr">
        <is>
          <t>Kato 9 Cans Small Insulated Lunch Bag, Mini Thermal Portable Cooler Lunch Box Tote with Dual Zipper Closure for Student Men and Women, Back to School, Black</t>
        </is>
      </c>
      <c r="C240" t="inlineStr">
        <is>
          <t>1KTLB100BK-CB</t>
        </is>
      </c>
      <c r="D240" t="inlineStr">
        <is>
          <t>Reusable Lunch Bags &amp; Boxes</t>
        </is>
      </c>
      <c r="E240" t="inlineStr">
        <is>
          <t>Kato</t>
        </is>
      </c>
      <c r="F240" t="inlineStr">
        <is>
          <t>Q2-Target,Lunch Bag,Lunch Bags</t>
        </is>
      </c>
      <c r="G240" s="48" t="n">
        <v>0</v>
      </c>
      <c r="H240" s="48" t="n">
        <v>0</v>
      </c>
      <c r="I240" s="48" t="n">
        <v>0</v>
      </c>
      <c r="J240" s="48" t="n">
        <v>14.99</v>
      </c>
      <c r="K240" s="49" t="n">
        <v>0</v>
      </c>
      <c r="L240" s="49" t="n">
        <v>0</v>
      </c>
      <c r="M240" s="49" t="n">
        <v>0</v>
      </c>
      <c r="N240" s="49" t="n">
        <v>1</v>
      </c>
      <c r="O240" s="49" t="n">
        <v>3</v>
      </c>
      <c r="P240" s="49" t="n">
        <v>2</v>
      </c>
      <c r="Q240" s="49" t="n">
        <v>2</v>
      </c>
      <c r="R240" s="49" t="n">
        <v>2</v>
      </c>
      <c r="S240" s="50" t="n">
        <v>0</v>
      </c>
      <c r="T240" s="50" t="n">
        <v>0</v>
      </c>
      <c r="U240" s="50" t="n">
        <v>0</v>
      </c>
      <c r="V240" s="50" t="n">
        <v>0.5</v>
      </c>
      <c r="W240" s="51" t="n">
        <v>0</v>
      </c>
      <c r="X240" s="51" t="n">
        <v>0</v>
      </c>
      <c r="Y240" s="51" t="n">
        <v>0</v>
      </c>
      <c r="Z240" s="51" t="n">
        <v>0</v>
      </c>
      <c r="AA240" s="52" t="n">
        <v>0</v>
      </c>
      <c r="AB240" s="52" t="n">
        <v>0</v>
      </c>
      <c r="AC240" s="52" t="n">
        <v>0</v>
      </c>
      <c r="AD240" s="52" t="n">
        <v>0</v>
      </c>
      <c r="AE240" s="52" t="n">
        <v>0</v>
      </c>
      <c r="AF240" s="52" t="n">
        <v>0</v>
      </c>
      <c r="AG240" s="52" t="n">
        <v>0</v>
      </c>
      <c r="AH240" s="52" t="n">
        <v>0</v>
      </c>
      <c r="AI240" s="52" t="n">
        <v>0</v>
      </c>
      <c r="AJ240" s="52" t="n">
        <v>0</v>
      </c>
      <c r="AK240" s="52" t="n">
        <v>0</v>
      </c>
      <c r="AL240" s="52" t="n">
        <v>0</v>
      </c>
      <c r="AM240" s="53" t="n">
        <v>0</v>
      </c>
      <c r="AN240" s="53" t="n">
        <v>0</v>
      </c>
      <c r="AO240" s="53" t="n">
        <v>0</v>
      </c>
      <c r="AP240" s="53" t="n">
        <v>0</v>
      </c>
      <c r="AQ240" s="52" t="n">
        <v>0</v>
      </c>
      <c r="AR240" s="52" t="n">
        <v>0</v>
      </c>
      <c r="AS240" s="52" t="n">
        <v>0</v>
      </c>
      <c r="AT240" s="52" t="n">
        <v>0</v>
      </c>
      <c r="AU240" s="53" t="n">
        <v>0</v>
      </c>
      <c r="AV240" s="53" t="n">
        <v>0</v>
      </c>
      <c r="AW240" s="53" t="n">
        <v>0</v>
      </c>
      <c r="AX240" s="53" t="n">
        <v>0</v>
      </c>
      <c r="AY240" s="52" t="n">
        <v>0</v>
      </c>
      <c r="AZ240" s="52" t="n">
        <v>0</v>
      </c>
      <c r="BA240" s="52" t="n">
        <v>0</v>
      </c>
      <c r="BB240" s="52" t="n">
        <v>14.99</v>
      </c>
      <c r="BC240" s="51" t="n">
        <v>0</v>
      </c>
      <c r="BD240" s="51" t="n">
        <v>0</v>
      </c>
      <c r="BE240" s="51" t="n">
        <v>0</v>
      </c>
      <c r="BF240" s="51" t="n">
        <v>0</v>
      </c>
    </row>
    <row r="241">
      <c r="A241">
        <f>HYPERLINK("https://www.walmart.com/ip/5371175429", "5371175429")</f>
        <v/>
      </c>
      <c r="B241" t="inlineStr">
        <is>
          <t>Tirrinia Large Insulated Cooler Bag Outdoor Leakproof Cooler Tote Portable Freezer Bag with Adjustable Shoulder Strap for Picnic, Beach</t>
        </is>
      </c>
      <c r="C241" t="inlineStr">
        <is>
          <t>1TRCB00224BLCAMO</t>
        </is>
      </c>
      <c r="D241" t="inlineStr">
        <is>
          <t>Soft-Sided Coolers</t>
        </is>
      </c>
      <c r="E241" t="inlineStr">
        <is>
          <t>Tirrinia</t>
        </is>
      </c>
      <c r="G241" s="48" t="n">
        <v>0</v>
      </c>
      <c r="H241" s="48" t="n">
        <v>0</v>
      </c>
      <c r="I241" s="48" t="n">
        <v>0</v>
      </c>
      <c r="J241" s="48" t="n">
        <v>0</v>
      </c>
      <c r="K241" s="49" t="n">
        <v>0</v>
      </c>
      <c r="L241" s="49" t="n">
        <v>0</v>
      </c>
      <c r="M241" s="49" t="n">
        <v>0</v>
      </c>
      <c r="N241" s="49" t="n">
        <v>0</v>
      </c>
      <c r="O241" s="49" t="n">
        <v>0</v>
      </c>
      <c r="P241" s="49" t="n">
        <v>0</v>
      </c>
      <c r="Q241" s="49" t="n">
        <v>0</v>
      </c>
      <c r="R241" s="49" t="n">
        <v>0</v>
      </c>
      <c r="S241" s="50" t="n">
        <v>0</v>
      </c>
      <c r="T241" s="50" t="n">
        <v>0</v>
      </c>
      <c r="U241" s="50" t="n">
        <v>0</v>
      </c>
      <c r="V241" s="50" t="n">
        <v>0</v>
      </c>
      <c r="W241" s="51" t="n">
        <v>0</v>
      </c>
      <c r="X241" s="51" t="n">
        <v>0</v>
      </c>
      <c r="Y241" s="51" t="n">
        <v>0</v>
      </c>
      <c r="Z241" s="51" t="n">
        <v>0</v>
      </c>
      <c r="AA241" s="52" t="n">
        <v>0</v>
      </c>
      <c r="AB241" s="52" t="n">
        <v>0</v>
      </c>
      <c r="AC241" s="52" t="n">
        <v>0</v>
      </c>
      <c r="AD241" s="52" t="n">
        <v>0</v>
      </c>
      <c r="AE241" s="52" t="n">
        <v>0</v>
      </c>
      <c r="AF241" s="52" t="n">
        <v>0</v>
      </c>
      <c r="AG241" s="52" t="n">
        <v>0</v>
      </c>
      <c r="AH241" s="52" t="n">
        <v>0</v>
      </c>
      <c r="AI241" s="52" t="n">
        <v>0</v>
      </c>
      <c r="AJ241" s="52" t="n">
        <v>0</v>
      </c>
      <c r="AK241" s="52" t="n">
        <v>0</v>
      </c>
      <c r="AL241" s="52" t="n">
        <v>0</v>
      </c>
      <c r="AM241" s="53" t="n">
        <v>0</v>
      </c>
      <c r="AN241" s="53" t="n">
        <v>0</v>
      </c>
      <c r="AO241" s="53" t="n">
        <v>0</v>
      </c>
      <c r="AP241" s="53" t="n">
        <v>0</v>
      </c>
      <c r="AQ241" s="52" t="n">
        <v>0</v>
      </c>
      <c r="AR241" s="52" t="n">
        <v>0</v>
      </c>
      <c r="AS241" s="52" t="n">
        <v>0</v>
      </c>
      <c r="AT241" s="52" t="n">
        <v>0</v>
      </c>
      <c r="AU241" s="53" t="n">
        <v>0</v>
      </c>
      <c r="AV241" s="53" t="n">
        <v>0</v>
      </c>
      <c r="AW241" s="53" t="n">
        <v>0</v>
      </c>
      <c r="AX241" s="53" t="n">
        <v>0</v>
      </c>
      <c r="AY241" s="52" t="n">
        <v>0</v>
      </c>
      <c r="AZ241" s="52" t="n">
        <v>0</v>
      </c>
      <c r="BA241" s="52" t="n">
        <v>0</v>
      </c>
      <c r="BB241" s="52" t="n">
        <v>0</v>
      </c>
      <c r="BC241" s="51" t="n">
        <v>0</v>
      </c>
      <c r="BD241" s="51" t="n">
        <v>0</v>
      </c>
      <c r="BE241" s="51" t="n">
        <v>0</v>
      </c>
      <c r="BF241" s="51" t="n">
        <v>0</v>
      </c>
    </row>
    <row r="242">
      <c r="A242">
        <f>HYPERLINK("https://www.walmart.com/ip/626873993", "626873993")</f>
        <v/>
      </c>
      <c r="B242" t="inlineStr">
        <is>
          <t>Wine Tote Bag with Hidden Dispenser, Insulated Large Wine Carrying Carrier Set with Wine Bladder, Perfect Wine Gift for Byob, Movie Theater, Concert, Sport Events, Pool &amp; Beach</t>
        </is>
      </c>
      <c r="C242" t="inlineStr">
        <is>
          <t>1TRWT100STR</t>
        </is>
      </c>
      <c r="D242" t="inlineStr">
        <is>
          <t>Wine Totes, Bags &amp; Backpacks</t>
        </is>
      </c>
      <c r="E242" t="inlineStr">
        <is>
          <t>Tirrinia</t>
        </is>
      </c>
      <c r="F242" t="inlineStr">
        <is>
          <t>Wine,Optimized</t>
        </is>
      </c>
      <c r="G242" s="48" t="n">
        <v>0</v>
      </c>
      <c r="H242" s="48" t="n">
        <v>0</v>
      </c>
      <c r="I242" s="48" t="n">
        <v>0</v>
      </c>
      <c r="J242" s="48" t="n">
        <v>0</v>
      </c>
      <c r="K242" s="49" t="n">
        <v>0</v>
      </c>
      <c r="L242" s="49" t="n">
        <v>0</v>
      </c>
      <c r="M242" s="49" t="n">
        <v>0</v>
      </c>
      <c r="N242" s="49" t="n">
        <v>0</v>
      </c>
      <c r="O242" s="49" t="n">
        <v>0</v>
      </c>
      <c r="P242" s="49" t="n">
        <v>0</v>
      </c>
      <c r="Q242" s="49" t="n">
        <v>0</v>
      </c>
      <c r="R242" s="49" t="n">
        <v>0</v>
      </c>
      <c r="S242" s="50" t="n">
        <v>0</v>
      </c>
      <c r="T242" s="50" t="n">
        <v>0</v>
      </c>
      <c r="U242" s="50" t="n">
        <v>0</v>
      </c>
      <c r="V242" s="50" t="n">
        <v>0</v>
      </c>
      <c r="W242" s="51" t="n">
        <v>0</v>
      </c>
      <c r="X242" s="51" t="n">
        <v>0</v>
      </c>
      <c r="Y242" s="51" t="n">
        <v>0</v>
      </c>
      <c r="Z242" s="51" t="n">
        <v>0</v>
      </c>
      <c r="AA242" s="52" t="n">
        <v>0</v>
      </c>
      <c r="AB242" s="52" t="n">
        <v>0</v>
      </c>
      <c r="AC242" s="52" t="n">
        <v>0</v>
      </c>
      <c r="AD242" s="52" t="n">
        <v>0</v>
      </c>
      <c r="AE242" s="52" t="n">
        <v>0</v>
      </c>
      <c r="AF242" s="52" t="n">
        <v>0</v>
      </c>
      <c r="AG242" s="52" t="n">
        <v>0</v>
      </c>
      <c r="AH242" s="52" t="n">
        <v>0</v>
      </c>
      <c r="AI242" s="52" t="n">
        <v>0</v>
      </c>
      <c r="AJ242" s="52" t="n">
        <v>0</v>
      </c>
      <c r="AK242" s="52" t="n">
        <v>0</v>
      </c>
      <c r="AL242" s="52" t="n">
        <v>0</v>
      </c>
      <c r="AM242" s="53" t="n">
        <v>0</v>
      </c>
      <c r="AN242" s="53" t="n">
        <v>0</v>
      </c>
      <c r="AO242" s="53" t="n">
        <v>0</v>
      </c>
      <c r="AP242" s="53" t="n">
        <v>0</v>
      </c>
      <c r="AQ242" s="52" t="n">
        <v>0</v>
      </c>
      <c r="AR242" s="52" t="n">
        <v>0</v>
      </c>
      <c r="AS242" s="52" t="n">
        <v>0</v>
      </c>
      <c r="AT242" s="52" t="n">
        <v>0</v>
      </c>
      <c r="AU242" s="53" t="n">
        <v>0</v>
      </c>
      <c r="AV242" s="53" t="n">
        <v>0</v>
      </c>
      <c r="AW242" s="53" t="n">
        <v>0</v>
      </c>
      <c r="AX242" s="53" t="n">
        <v>0</v>
      </c>
      <c r="AY242" s="52" t="n">
        <v>0</v>
      </c>
      <c r="AZ242" s="52" t="n">
        <v>0</v>
      </c>
      <c r="BA242" s="52" t="n">
        <v>0</v>
      </c>
      <c r="BB242" s="52" t="n">
        <v>0</v>
      </c>
      <c r="BC242" s="51" t="n">
        <v>0</v>
      </c>
      <c r="BD242" s="51" t="n">
        <v>0</v>
      </c>
      <c r="BE242" s="51" t="n">
        <v>0</v>
      </c>
      <c r="BF242" s="51" t="n">
        <v>0</v>
      </c>
    </row>
    <row r="243">
      <c r="A243">
        <f>HYPERLINK("https://www.walmart.com/ip/627401477", "627401477")</f>
        <v/>
      </c>
      <c r="B243" t="inlineStr">
        <is>
          <t>Tirrinia Extra-Large Waterproof Picnic Blanket, Portable Beach Mat for Family, USA Stars, 70'' x 80''</t>
        </is>
      </c>
      <c r="C243" t="inlineStr">
        <is>
          <t>1TRBW781USA</t>
        </is>
      </c>
      <c r="D243" t="inlineStr">
        <is>
          <t>Picnic Blankets &amp; Mats</t>
        </is>
      </c>
      <c r="E243" t="inlineStr">
        <is>
          <t>Tirrinia</t>
        </is>
      </c>
      <c r="F243" t="inlineStr">
        <is>
          <t>WFS,WFS Item</t>
        </is>
      </c>
      <c r="G243" s="48" t="n">
        <v>0</v>
      </c>
      <c r="H243" s="48" t="n">
        <v>0</v>
      </c>
      <c r="I243" s="48" t="n">
        <v>0</v>
      </c>
      <c r="J243" s="48" t="n">
        <v>19.99</v>
      </c>
      <c r="K243" s="49" t="n">
        <v>0</v>
      </c>
      <c r="L243" s="49" t="n">
        <v>0</v>
      </c>
      <c r="M243" s="49" t="n">
        <v>0</v>
      </c>
      <c r="N243" s="49" t="n">
        <v>1</v>
      </c>
      <c r="O243" s="49" t="n">
        <v>0</v>
      </c>
      <c r="P243" s="49" t="n">
        <v>0</v>
      </c>
      <c r="Q243" s="49" t="n">
        <v>0</v>
      </c>
      <c r="R243" s="49" t="n">
        <v>0</v>
      </c>
      <c r="S243" s="50" t="n">
        <v>0</v>
      </c>
      <c r="T243" s="50" t="n">
        <v>0</v>
      </c>
      <c r="U243" s="50" t="n">
        <v>0</v>
      </c>
      <c r="V243" s="50" t="n">
        <v>0</v>
      </c>
      <c r="W243" s="51" t="n">
        <v>0</v>
      </c>
      <c r="X243" s="51" t="n">
        <v>0</v>
      </c>
      <c r="Y243" s="51" t="n">
        <v>0</v>
      </c>
      <c r="Z243" s="51" t="n">
        <v>0</v>
      </c>
      <c r="AA243" s="52" t="n">
        <v>0</v>
      </c>
      <c r="AB243" s="52" t="n">
        <v>0</v>
      </c>
      <c r="AC243" s="52" t="n">
        <v>0</v>
      </c>
      <c r="AD243" s="52" t="n">
        <v>0</v>
      </c>
      <c r="AE243" s="52" t="n">
        <v>0</v>
      </c>
      <c r="AF243" s="52" t="n">
        <v>0</v>
      </c>
      <c r="AG243" s="52" t="n">
        <v>0</v>
      </c>
      <c r="AH243" s="52" t="n">
        <v>0</v>
      </c>
      <c r="AI243" s="52" t="n">
        <v>0</v>
      </c>
      <c r="AJ243" s="52" t="n">
        <v>0</v>
      </c>
      <c r="AK243" s="52" t="n">
        <v>0</v>
      </c>
      <c r="AL243" s="52" t="n">
        <v>0</v>
      </c>
      <c r="AM243" s="53" t="n">
        <v>0</v>
      </c>
      <c r="AN243" s="53" t="n">
        <v>0</v>
      </c>
      <c r="AO243" s="53" t="n">
        <v>0</v>
      </c>
      <c r="AP243" s="53" t="n">
        <v>0</v>
      </c>
      <c r="AQ243" s="52" t="n">
        <v>0</v>
      </c>
      <c r="AR243" s="52" t="n">
        <v>0</v>
      </c>
      <c r="AS243" s="52" t="n">
        <v>0</v>
      </c>
      <c r="AT243" s="52" t="n">
        <v>0</v>
      </c>
      <c r="AU243" s="53" t="n">
        <v>0</v>
      </c>
      <c r="AV243" s="53" t="n">
        <v>0</v>
      </c>
      <c r="AW243" s="53" t="n">
        <v>0</v>
      </c>
      <c r="AX243" s="53" t="n">
        <v>0</v>
      </c>
      <c r="AY243" s="52" t="n">
        <v>0</v>
      </c>
      <c r="AZ243" s="52" t="n">
        <v>0</v>
      </c>
      <c r="BA243" s="52" t="n">
        <v>0</v>
      </c>
      <c r="BB243" s="52" t="n">
        <v>19.99</v>
      </c>
      <c r="BC243" s="51" t="n">
        <v>0</v>
      </c>
      <c r="BD243" s="51" t="n">
        <v>0</v>
      </c>
      <c r="BE243" s="51" t="n">
        <v>0</v>
      </c>
      <c r="BF243" s="51" t="n">
        <v>0</v>
      </c>
    </row>
    <row r="244">
      <c r="A244">
        <f>HYPERLINK("https://www.walmart.com/ip/536999791", "536999791")</f>
        <v/>
      </c>
      <c r="B244" t="inlineStr">
        <is>
          <t>Sun Blocker Adventure hat UPF 50+ rated Outdoor hat Wide brim with Back flap</t>
        </is>
      </c>
      <c r="C244" t="inlineStr">
        <is>
          <t>kc-s9150-pk</t>
        </is>
      </c>
      <c r="D244" t="inlineStr">
        <is>
          <t>Hats</t>
        </is>
      </c>
      <c r="E244" t="inlineStr">
        <is>
          <t>Sun Blocker</t>
        </is>
      </c>
      <c r="F244" t="inlineStr">
        <is>
          <t>Optimized</t>
        </is>
      </c>
      <c r="G244" s="48" t="n">
        <v>0</v>
      </c>
      <c r="H244" s="48" t="n">
        <v>0</v>
      </c>
      <c r="I244" s="48" t="n">
        <v>0</v>
      </c>
      <c r="J244" s="48" t="n">
        <v>0</v>
      </c>
      <c r="K244" s="49" t="n">
        <v>0</v>
      </c>
      <c r="L244" s="49" t="n">
        <v>0</v>
      </c>
      <c r="M244" s="49" t="n">
        <v>0</v>
      </c>
      <c r="N244" s="49" t="n">
        <v>0</v>
      </c>
      <c r="O244" s="49" t="n">
        <v>0</v>
      </c>
      <c r="P244" s="49" t="n">
        <v>0</v>
      </c>
      <c r="Q244" s="49" t="n">
        <v>0</v>
      </c>
      <c r="R244" s="49" t="n">
        <v>0</v>
      </c>
      <c r="S244" s="50" t="n">
        <v>0</v>
      </c>
      <c r="T244" s="50" t="n">
        <v>0</v>
      </c>
      <c r="U244" s="50" t="n">
        <v>0</v>
      </c>
      <c r="V244" s="50" t="n">
        <v>0</v>
      </c>
      <c r="W244" s="51" t="n">
        <v>0</v>
      </c>
      <c r="X244" s="51" t="n">
        <v>0</v>
      </c>
      <c r="Y244" s="51" t="n">
        <v>0</v>
      </c>
      <c r="Z244" s="51" t="n">
        <v>0</v>
      </c>
      <c r="AA244" s="52" t="n">
        <v>0</v>
      </c>
      <c r="AB244" s="52" t="n">
        <v>0</v>
      </c>
      <c r="AC244" s="52" t="n">
        <v>0</v>
      </c>
      <c r="AD244" s="52" t="n">
        <v>0</v>
      </c>
      <c r="AE244" s="52" t="n">
        <v>0</v>
      </c>
      <c r="AF244" s="52" t="n">
        <v>0</v>
      </c>
      <c r="AG244" s="52" t="n">
        <v>0</v>
      </c>
      <c r="AH244" s="52" t="n">
        <v>0</v>
      </c>
      <c r="AI244" s="52" t="n">
        <v>0</v>
      </c>
      <c r="AJ244" s="52" t="n">
        <v>0</v>
      </c>
      <c r="AK244" s="52" t="n">
        <v>0</v>
      </c>
      <c r="AL244" s="52" t="n">
        <v>0</v>
      </c>
      <c r="AM244" s="53" t="n">
        <v>0</v>
      </c>
      <c r="AN244" s="53" t="n">
        <v>0</v>
      </c>
      <c r="AO244" s="53" t="n">
        <v>0</v>
      </c>
      <c r="AP244" s="53" t="n">
        <v>0</v>
      </c>
      <c r="AQ244" s="52" t="n">
        <v>0</v>
      </c>
      <c r="AR244" s="52" t="n">
        <v>0</v>
      </c>
      <c r="AS244" s="52" t="n">
        <v>0</v>
      </c>
      <c r="AT244" s="52" t="n">
        <v>0</v>
      </c>
      <c r="AU244" s="53" t="n">
        <v>0</v>
      </c>
      <c r="AV244" s="53" t="n">
        <v>0</v>
      </c>
      <c r="AW244" s="53" t="n">
        <v>0</v>
      </c>
      <c r="AX244" s="53" t="n">
        <v>0</v>
      </c>
      <c r="AY244" s="52" t="n">
        <v>0</v>
      </c>
      <c r="AZ244" s="52" t="n">
        <v>0</v>
      </c>
      <c r="BA244" s="52" t="n">
        <v>0</v>
      </c>
      <c r="BB244" s="52" t="n">
        <v>0</v>
      </c>
      <c r="BC244" s="51" t="n">
        <v>0</v>
      </c>
      <c r="BD244" s="51" t="n">
        <v>0</v>
      </c>
      <c r="BE244" s="51" t="n">
        <v>0</v>
      </c>
      <c r="BF244" s="51" t="n">
        <v>0</v>
      </c>
    </row>
    <row r="245">
      <c r="A245">
        <f>HYPERLINK("https://www.walmart.com/ip/5368827247", "5368827247")</f>
        <v/>
      </c>
      <c r="B245" t="inlineStr">
        <is>
          <t>Solaris Surf Poncho Changing Towel Robe for Women Men, Lightweight Changing Robe with Packable Bags, Water Absorbent Wetsuit Beach Hoode Towel for Surfing Swimming</t>
        </is>
      </c>
      <c r="C245" t="inlineStr">
        <is>
          <t>1SLBR103-PB</t>
        </is>
      </c>
      <c r="D245" t="inlineStr">
        <is>
          <t>Towels &amp; Washcloths</t>
        </is>
      </c>
      <c r="E245" t="inlineStr">
        <is>
          <t>Solaris</t>
        </is>
      </c>
      <c r="G245" s="48" t="n">
        <v>0</v>
      </c>
      <c r="H245" s="48" t="n">
        <v>0</v>
      </c>
      <c r="I245" s="48" t="n">
        <v>0</v>
      </c>
      <c r="J245" s="48" t="n">
        <v>0</v>
      </c>
      <c r="K245" s="49" t="n">
        <v>0</v>
      </c>
      <c r="L245" s="49" t="n">
        <v>0</v>
      </c>
      <c r="M245" s="49" t="n">
        <v>0</v>
      </c>
      <c r="N245" s="49" t="n">
        <v>0</v>
      </c>
      <c r="O245" s="49" t="n">
        <v>0</v>
      </c>
      <c r="P245" s="49" t="n">
        <v>0</v>
      </c>
      <c r="Q245" s="49" t="n">
        <v>0</v>
      </c>
      <c r="R245" s="49" t="n">
        <v>0</v>
      </c>
      <c r="S245" s="50" t="n">
        <v>0</v>
      </c>
      <c r="T245" s="50" t="n">
        <v>0</v>
      </c>
      <c r="U245" s="50" t="n">
        <v>0</v>
      </c>
      <c r="V245" s="50" t="n">
        <v>0</v>
      </c>
      <c r="W245" s="51" t="n">
        <v>0</v>
      </c>
      <c r="X245" s="51" t="n">
        <v>0</v>
      </c>
      <c r="Y245" s="51" t="n">
        <v>0</v>
      </c>
      <c r="Z245" s="51" t="n">
        <v>0</v>
      </c>
      <c r="AA245" s="52" t="n">
        <v>0</v>
      </c>
      <c r="AB245" s="52" t="n">
        <v>0</v>
      </c>
      <c r="AC245" s="52" t="n">
        <v>0</v>
      </c>
      <c r="AD245" s="52" t="n">
        <v>0</v>
      </c>
      <c r="AE245" s="52" t="n">
        <v>0</v>
      </c>
      <c r="AF245" s="52" t="n">
        <v>0</v>
      </c>
      <c r="AG245" s="52" t="n">
        <v>0</v>
      </c>
      <c r="AH245" s="52" t="n">
        <v>0</v>
      </c>
      <c r="AI245" s="52" t="n">
        <v>0</v>
      </c>
      <c r="AJ245" s="52" t="n">
        <v>0</v>
      </c>
      <c r="AK245" s="52" t="n">
        <v>0</v>
      </c>
      <c r="AL245" s="52" t="n">
        <v>0</v>
      </c>
      <c r="AM245" s="53" t="n">
        <v>0</v>
      </c>
      <c r="AN245" s="53" t="n">
        <v>0</v>
      </c>
      <c r="AO245" s="53" t="n">
        <v>0</v>
      </c>
      <c r="AP245" s="53" t="n">
        <v>0</v>
      </c>
      <c r="AQ245" s="52" t="n">
        <v>0</v>
      </c>
      <c r="AR245" s="52" t="n">
        <v>0</v>
      </c>
      <c r="AS245" s="52" t="n">
        <v>0</v>
      </c>
      <c r="AT245" s="52" t="n">
        <v>0</v>
      </c>
      <c r="AU245" s="53" t="n">
        <v>0</v>
      </c>
      <c r="AV245" s="53" t="n">
        <v>0</v>
      </c>
      <c r="AW245" s="53" t="n">
        <v>0</v>
      </c>
      <c r="AX245" s="53" t="n">
        <v>0</v>
      </c>
      <c r="AY245" s="52" t="n">
        <v>0</v>
      </c>
      <c r="AZ245" s="52" t="n">
        <v>0</v>
      </c>
      <c r="BA245" s="52" t="n">
        <v>0</v>
      </c>
      <c r="BB245" s="52" t="n">
        <v>0</v>
      </c>
      <c r="BC245" s="51" t="n">
        <v>0</v>
      </c>
      <c r="BD245" s="51" t="n">
        <v>0</v>
      </c>
      <c r="BE245" s="51" t="n">
        <v>0</v>
      </c>
      <c r="BF245" s="51" t="n">
        <v>0</v>
      </c>
    </row>
    <row r="246">
      <c r="A246">
        <f>HYPERLINK("https://www.walmart.com/ip/627759443", "627759443")</f>
        <v/>
      </c>
      <c r="B246" t="inlineStr">
        <is>
          <t>Insulated Lunch Box for Women Men, Leakproof Thermal Reusable Lunch Bag with 2 Zipper Pockets for Adult &amp; Kids, Lunch Bag Cooler Tote for Office Work</t>
        </is>
      </c>
      <c r="C246" t="inlineStr">
        <is>
          <t>1WMLB705BKGY</t>
        </is>
      </c>
      <c r="D246" t="inlineStr">
        <is>
          <t>Reusable Lunch Bags &amp; Boxes</t>
        </is>
      </c>
      <c r="E246" t="inlineStr">
        <is>
          <t>Flyingstar</t>
        </is>
      </c>
      <c r="F246" t="inlineStr">
        <is>
          <t>Lunch Bag</t>
        </is>
      </c>
      <c r="G246" s="48" t="n">
        <v>0</v>
      </c>
      <c r="H246" s="48" t="n">
        <v>0</v>
      </c>
      <c r="I246" s="48" t="n">
        <v>0</v>
      </c>
      <c r="J246" s="48" t="n">
        <v>0</v>
      </c>
      <c r="K246" s="49" t="n">
        <v>0</v>
      </c>
      <c r="L246" s="49" t="n">
        <v>0</v>
      </c>
      <c r="M246" s="49" t="n">
        <v>0</v>
      </c>
      <c r="N246" s="49" t="n">
        <v>0</v>
      </c>
      <c r="O246" s="49" t="n">
        <v>0</v>
      </c>
      <c r="P246" s="49" t="n">
        <v>0</v>
      </c>
      <c r="Q246" s="49" t="n">
        <v>0</v>
      </c>
      <c r="R246" s="49" t="n">
        <v>0</v>
      </c>
      <c r="S246" s="50" t="n">
        <v>0</v>
      </c>
      <c r="T246" s="50" t="n">
        <v>0</v>
      </c>
      <c r="U246" s="50" t="n">
        <v>0</v>
      </c>
      <c r="V246" s="50" t="n">
        <v>0</v>
      </c>
      <c r="W246" s="51" t="n">
        <v>0</v>
      </c>
      <c r="X246" s="51" t="n">
        <v>0</v>
      </c>
      <c r="Y246" s="51" t="n">
        <v>0</v>
      </c>
      <c r="Z246" s="51" t="n">
        <v>0</v>
      </c>
      <c r="AA246" s="52" t="n">
        <v>0</v>
      </c>
      <c r="AB246" s="52" t="n">
        <v>0</v>
      </c>
      <c r="AC246" s="52" t="n">
        <v>0</v>
      </c>
      <c r="AD246" s="52" t="n">
        <v>0</v>
      </c>
      <c r="AE246" s="52" t="n">
        <v>0</v>
      </c>
      <c r="AF246" s="52" t="n">
        <v>0</v>
      </c>
      <c r="AG246" s="52" t="n">
        <v>0</v>
      </c>
      <c r="AH246" s="52" t="n">
        <v>0</v>
      </c>
      <c r="AI246" s="52" t="n">
        <v>0</v>
      </c>
      <c r="AJ246" s="52" t="n">
        <v>0</v>
      </c>
      <c r="AK246" s="52" t="n">
        <v>0</v>
      </c>
      <c r="AL246" s="52" t="n">
        <v>0</v>
      </c>
      <c r="AM246" s="53" t="n">
        <v>0</v>
      </c>
      <c r="AN246" s="53" t="n">
        <v>0</v>
      </c>
      <c r="AO246" s="53" t="n">
        <v>0</v>
      </c>
      <c r="AP246" s="53" t="n">
        <v>0</v>
      </c>
      <c r="AQ246" s="52" t="n">
        <v>0</v>
      </c>
      <c r="AR246" s="52" t="n">
        <v>0</v>
      </c>
      <c r="AS246" s="52" t="n">
        <v>0</v>
      </c>
      <c r="AT246" s="52" t="n">
        <v>0</v>
      </c>
      <c r="AU246" s="53" t="n">
        <v>0</v>
      </c>
      <c r="AV246" s="53" t="n">
        <v>0</v>
      </c>
      <c r="AW246" s="53" t="n">
        <v>0</v>
      </c>
      <c r="AX246" s="53" t="n">
        <v>0</v>
      </c>
      <c r="AY246" s="52" t="n">
        <v>0</v>
      </c>
      <c r="AZ246" s="52" t="n">
        <v>0</v>
      </c>
      <c r="BA246" s="52" t="n">
        <v>0</v>
      </c>
      <c r="BB246" s="52" t="n">
        <v>0</v>
      </c>
      <c r="BC246" s="51" t="n">
        <v>0</v>
      </c>
      <c r="BD246" s="51" t="n">
        <v>0</v>
      </c>
      <c r="BE246" s="51" t="n">
        <v>0</v>
      </c>
      <c r="BF246" s="51" t="n">
        <v>0</v>
      </c>
    </row>
    <row r="247">
      <c r="A247">
        <f>HYPERLINK("https://www.walmart.com/ip/536649546", "536649546")</f>
        <v/>
      </c>
      <c r="B247" t="inlineStr">
        <is>
          <t>Catalonia Snuggie Tails Toddlers Blanket Kids Sleep Bag Warm Plush Super Soft for Baby Children Teen Boy Girl</t>
        </is>
      </c>
      <c r="C247" t="inlineStr">
        <is>
          <t>1WMMM200NM</t>
        </is>
      </c>
      <c r="D247" t="inlineStr">
        <is>
          <t>Bed Blankets</t>
        </is>
      </c>
      <c r="E247" t="inlineStr">
        <is>
          <t>Flyingstar</t>
        </is>
      </c>
      <c r="F247" t="inlineStr">
        <is>
          <t>Baby days,Optimized</t>
        </is>
      </c>
      <c r="G247" s="48" t="n">
        <v>0</v>
      </c>
      <c r="H247" s="48" t="n">
        <v>0</v>
      </c>
      <c r="I247" s="48" t="n">
        <v>0</v>
      </c>
      <c r="J247" s="48" t="n">
        <v>0</v>
      </c>
      <c r="K247" s="49" t="n">
        <v>0</v>
      </c>
      <c r="L247" s="49" t="n">
        <v>0</v>
      </c>
      <c r="M247" s="49" t="n">
        <v>0</v>
      </c>
      <c r="N247" s="49" t="n">
        <v>0</v>
      </c>
      <c r="O247" s="49" t="n">
        <v>0</v>
      </c>
      <c r="P247" s="49" t="n">
        <v>0</v>
      </c>
      <c r="Q247" s="49" t="n">
        <v>0</v>
      </c>
      <c r="R247" s="49" t="n">
        <v>0</v>
      </c>
      <c r="S247" s="50" t="n">
        <v>0</v>
      </c>
      <c r="T247" s="50" t="n">
        <v>0</v>
      </c>
      <c r="U247" s="50" t="n">
        <v>0</v>
      </c>
      <c r="V247" s="50" t="n">
        <v>0</v>
      </c>
      <c r="W247" s="51" t="n">
        <v>0</v>
      </c>
      <c r="X247" s="51" t="n">
        <v>0</v>
      </c>
      <c r="Y247" s="51" t="n">
        <v>0</v>
      </c>
      <c r="Z247" s="51" t="n">
        <v>0</v>
      </c>
      <c r="AA247" s="52" t="n">
        <v>0</v>
      </c>
      <c r="AB247" s="52" t="n">
        <v>0</v>
      </c>
      <c r="AC247" s="52" t="n">
        <v>0</v>
      </c>
      <c r="AD247" s="52" t="n">
        <v>0</v>
      </c>
      <c r="AE247" s="52" t="n">
        <v>0</v>
      </c>
      <c r="AF247" s="52" t="n">
        <v>0</v>
      </c>
      <c r="AG247" s="52" t="n">
        <v>0</v>
      </c>
      <c r="AH247" s="52" t="n">
        <v>0</v>
      </c>
      <c r="AI247" s="52" t="n">
        <v>0</v>
      </c>
      <c r="AJ247" s="52" t="n">
        <v>0</v>
      </c>
      <c r="AK247" s="52" t="n">
        <v>0</v>
      </c>
      <c r="AL247" s="52" t="n">
        <v>0</v>
      </c>
      <c r="AM247" s="53" t="n">
        <v>0</v>
      </c>
      <c r="AN247" s="53" t="n">
        <v>0</v>
      </c>
      <c r="AO247" s="53" t="n">
        <v>0</v>
      </c>
      <c r="AP247" s="53" t="n">
        <v>0</v>
      </c>
      <c r="AQ247" s="52" t="n">
        <v>0</v>
      </c>
      <c r="AR247" s="52" t="n">
        <v>0</v>
      </c>
      <c r="AS247" s="52" t="n">
        <v>0</v>
      </c>
      <c r="AT247" s="52" t="n">
        <v>0</v>
      </c>
      <c r="AU247" s="53" t="n">
        <v>0</v>
      </c>
      <c r="AV247" s="53" t="n">
        <v>0</v>
      </c>
      <c r="AW247" s="53" t="n">
        <v>0</v>
      </c>
      <c r="AX247" s="53" t="n">
        <v>0</v>
      </c>
      <c r="AY247" s="52" t="n">
        <v>0</v>
      </c>
      <c r="AZ247" s="52" t="n">
        <v>0</v>
      </c>
      <c r="BA247" s="52" t="n">
        <v>0</v>
      </c>
      <c r="BB247" s="52" t="n">
        <v>0</v>
      </c>
      <c r="BC247" s="51" t="n">
        <v>0</v>
      </c>
      <c r="BD247" s="51" t="n">
        <v>0</v>
      </c>
      <c r="BE247" s="51" t="n">
        <v>0</v>
      </c>
      <c r="BF247" s="51" t="n">
        <v>0</v>
      </c>
    </row>
    <row r="248">
      <c r="A248">
        <f>HYPERLINK("https://www.walmart.com/ip/5364892569", "5364892569")</f>
        <v/>
      </c>
      <c r="B248" t="inlineStr">
        <is>
          <t>Tirrinia Large Insulated Cooler Bag Outdoor Leakproof Cooler Tote Portable Freezer Bag with Adjustable Shoulder Strap for Picnic, Beach</t>
        </is>
      </c>
      <c r="C248" t="inlineStr">
        <is>
          <t>1TRCB00224GNCAMO</t>
        </is>
      </c>
      <c r="D248" t="inlineStr">
        <is>
          <t>Thermocoolers</t>
        </is>
      </c>
      <c r="E248" t="inlineStr">
        <is>
          <t>Tirrinia</t>
        </is>
      </c>
      <c r="G248" s="48" t="n">
        <v>0</v>
      </c>
      <c r="H248" s="48" t="n">
        <v>0</v>
      </c>
      <c r="I248" s="48" t="n">
        <v>0</v>
      </c>
      <c r="J248" s="48" t="n">
        <v>0</v>
      </c>
      <c r="K248" s="49" t="n">
        <v>0</v>
      </c>
      <c r="L248" s="49" t="n">
        <v>0</v>
      </c>
      <c r="M248" s="49" t="n">
        <v>0</v>
      </c>
      <c r="N248" s="49" t="n">
        <v>0</v>
      </c>
      <c r="O248" s="49" t="n">
        <v>0</v>
      </c>
      <c r="P248" s="49" t="n">
        <v>0</v>
      </c>
      <c r="Q248" s="49" t="n">
        <v>0</v>
      </c>
      <c r="R248" s="49" t="n">
        <v>0</v>
      </c>
      <c r="S248" s="50" t="n">
        <v>0</v>
      </c>
      <c r="T248" s="50" t="n">
        <v>0</v>
      </c>
      <c r="U248" s="50" t="n">
        <v>0</v>
      </c>
      <c r="V248" s="50" t="n">
        <v>0</v>
      </c>
      <c r="W248" s="51" t="n">
        <v>0</v>
      </c>
      <c r="X248" s="51" t="n">
        <v>0</v>
      </c>
      <c r="Y248" s="51" t="n">
        <v>0</v>
      </c>
      <c r="Z248" s="51" t="n">
        <v>0</v>
      </c>
      <c r="AA248" s="52" t="n">
        <v>0</v>
      </c>
      <c r="AB248" s="52" t="n">
        <v>0</v>
      </c>
      <c r="AC248" s="52" t="n">
        <v>0</v>
      </c>
      <c r="AD248" s="52" t="n">
        <v>0</v>
      </c>
      <c r="AE248" s="52" t="n">
        <v>0</v>
      </c>
      <c r="AF248" s="52" t="n">
        <v>0</v>
      </c>
      <c r="AG248" s="52" t="n">
        <v>0</v>
      </c>
      <c r="AH248" s="52" t="n">
        <v>0</v>
      </c>
      <c r="AI248" s="52" t="n">
        <v>0</v>
      </c>
      <c r="AJ248" s="52" t="n">
        <v>0</v>
      </c>
      <c r="AK248" s="52" t="n">
        <v>0</v>
      </c>
      <c r="AL248" s="52" t="n">
        <v>0</v>
      </c>
      <c r="AM248" s="53" t="n">
        <v>0</v>
      </c>
      <c r="AN248" s="53" t="n">
        <v>0</v>
      </c>
      <c r="AO248" s="53" t="n">
        <v>0</v>
      </c>
      <c r="AP248" s="53" t="n">
        <v>0</v>
      </c>
      <c r="AQ248" s="52" t="n">
        <v>0</v>
      </c>
      <c r="AR248" s="52" t="n">
        <v>0</v>
      </c>
      <c r="AS248" s="52" t="n">
        <v>0</v>
      </c>
      <c r="AT248" s="52" t="n">
        <v>0</v>
      </c>
      <c r="AU248" s="53" t="n">
        <v>0</v>
      </c>
      <c r="AV248" s="53" t="n">
        <v>0</v>
      </c>
      <c r="AW248" s="53" t="n">
        <v>0</v>
      </c>
      <c r="AX248" s="53" t="n">
        <v>0</v>
      </c>
      <c r="AY248" s="52" t="n">
        <v>0</v>
      </c>
      <c r="AZ248" s="52" t="n">
        <v>0</v>
      </c>
      <c r="BA248" s="52" t="n">
        <v>0</v>
      </c>
      <c r="BB248" s="52" t="n">
        <v>0</v>
      </c>
      <c r="BC248" s="51" t="n">
        <v>0</v>
      </c>
      <c r="BD248" s="51" t="n">
        <v>0</v>
      </c>
      <c r="BE248" s="51" t="n">
        <v>0</v>
      </c>
      <c r="BF248" s="51" t="n">
        <v>0</v>
      </c>
    </row>
    <row r="249">
      <c r="A249">
        <f>HYPERLINK("https://www.walmart.com/ip/535930770", "535930770")</f>
        <v/>
      </c>
      <c r="B249" t="inlineStr">
        <is>
          <t>Medium Pet Travel Backpack Carrier for Dogs Cat Animal Puppy, Breathable Mesh Net Removable Sherpa Bed Outdoor Carrier f</t>
        </is>
      </c>
      <c r="C249" t="inlineStr">
        <is>
          <t>1WMPB200GN</t>
        </is>
      </c>
      <c r="D249" t="inlineStr">
        <is>
          <t>Pet Carriers</t>
        </is>
      </c>
      <c r="E249" t="inlineStr">
        <is>
          <t>Flyingstar</t>
        </is>
      </c>
      <c r="G249" s="48" t="n">
        <v>0</v>
      </c>
      <c r="H249" s="48" t="n">
        <v>0</v>
      </c>
      <c r="I249" s="48" t="n">
        <v>0</v>
      </c>
      <c r="J249" s="48" t="n">
        <v>0</v>
      </c>
      <c r="K249" s="49" t="n">
        <v>0</v>
      </c>
      <c r="L249" s="49" t="n">
        <v>0</v>
      </c>
      <c r="M249" s="49" t="n">
        <v>0</v>
      </c>
      <c r="N249" s="49" t="n">
        <v>0</v>
      </c>
      <c r="O249" s="49" t="n">
        <v>0</v>
      </c>
      <c r="P249" s="49" t="n">
        <v>0</v>
      </c>
      <c r="Q249" s="49" t="n">
        <v>0</v>
      </c>
      <c r="R249" s="49" t="n">
        <v>0</v>
      </c>
      <c r="S249" s="50" t="n">
        <v>0</v>
      </c>
      <c r="T249" s="50" t="n">
        <v>0</v>
      </c>
      <c r="U249" s="50" t="n">
        <v>0</v>
      </c>
      <c r="V249" s="50" t="n">
        <v>0</v>
      </c>
      <c r="W249" s="51" t="n">
        <v>0</v>
      </c>
      <c r="X249" s="51" t="n">
        <v>0</v>
      </c>
      <c r="Y249" s="51" t="n">
        <v>0</v>
      </c>
      <c r="Z249" s="51" t="n">
        <v>0</v>
      </c>
      <c r="AA249" s="52" t="n">
        <v>0</v>
      </c>
      <c r="AB249" s="52" t="n">
        <v>0</v>
      </c>
      <c r="AC249" s="52" t="n">
        <v>0</v>
      </c>
      <c r="AD249" s="52" t="n">
        <v>0</v>
      </c>
      <c r="AE249" s="52" t="n">
        <v>0</v>
      </c>
      <c r="AF249" s="52" t="n">
        <v>0</v>
      </c>
      <c r="AG249" s="52" t="n">
        <v>0</v>
      </c>
      <c r="AH249" s="52" t="n">
        <v>0</v>
      </c>
      <c r="AI249" s="52" t="n">
        <v>0</v>
      </c>
      <c r="AJ249" s="52" t="n">
        <v>0</v>
      </c>
      <c r="AK249" s="52" t="n">
        <v>0</v>
      </c>
      <c r="AL249" s="52" t="n">
        <v>0</v>
      </c>
      <c r="AM249" s="53" t="n">
        <v>0</v>
      </c>
      <c r="AN249" s="53" t="n">
        <v>0</v>
      </c>
      <c r="AO249" s="53" t="n">
        <v>0</v>
      </c>
      <c r="AP249" s="53" t="n">
        <v>0</v>
      </c>
      <c r="AQ249" s="52" t="n">
        <v>0</v>
      </c>
      <c r="AR249" s="52" t="n">
        <v>0</v>
      </c>
      <c r="AS249" s="52" t="n">
        <v>0</v>
      </c>
      <c r="AT249" s="52" t="n">
        <v>0</v>
      </c>
      <c r="AU249" s="53" t="n">
        <v>0</v>
      </c>
      <c r="AV249" s="53" t="n">
        <v>0</v>
      </c>
      <c r="AW249" s="53" t="n">
        <v>0</v>
      </c>
      <c r="AX249" s="53" t="n">
        <v>0</v>
      </c>
      <c r="AY249" s="52" t="n">
        <v>0</v>
      </c>
      <c r="AZ249" s="52" t="n">
        <v>0</v>
      </c>
      <c r="BA249" s="52" t="n">
        <v>0</v>
      </c>
      <c r="BB249" s="52" t="n">
        <v>0</v>
      </c>
      <c r="BC249" s="51" t="n">
        <v>0</v>
      </c>
      <c r="BD249" s="51" t="n">
        <v>0</v>
      </c>
      <c r="BE249" s="51" t="n">
        <v>0</v>
      </c>
      <c r="BF249" s="51" t="n">
        <v>0</v>
      </c>
    </row>
    <row r="250">
      <c r="A250">
        <f>HYPERLINK("https://www.walmart.com/ip/6281619506", "6281619506")</f>
        <v/>
      </c>
      <c r="B250" t="inlineStr">
        <is>
          <t>Tirrinia Lightweight Beach Poncho Towel with Hood for Adult Quick Dry Travel Surfer Pool Camping Beach Accessories Vacation Essential Summer</t>
        </is>
      </c>
      <c r="C250" t="inlineStr">
        <is>
          <t>1TRBC201STARFISH</t>
        </is>
      </c>
      <c r="D250" t="inlineStr">
        <is>
          <t>Towels &amp; Washcloths</t>
        </is>
      </c>
      <c r="E250" t="inlineStr">
        <is>
          <t>Tirrinia</t>
        </is>
      </c>
      <c r="G250" s="48" t="n">
        <v>0</v>
      </c>
      <c r="H250" s="48" t="n">
        <v>0</v>
      </c>
      <c r="I250" s="48" t="n">
        <v>0</v>
      </c>
      <c r="J250" s="48" t="n">
        <v>0</v>
      </c>
      <c r="K250" s="49" t="n">
        <v>0</v>
      </c>
      <c r="L250" s="49" t="n">
        <v>0</v>
      </c>
      <c r="M250" s="49" t="n">
        <v>0</v>
      </c>
      <c r="N250" s="49" t="n">
        <v>0</v>
      </c>
      <c r="O250" s="49" t="n">
        <v>0</v>
      </c>
      <c r="P250" s="49" t="n">
        <v>0</v>
      </c>
      <c r="Q250" s="49" t="n">
        <v>0</v>
      </c>
      <c r="R250" s="49" t="n">
        <v>0</v>
      </c>
      <c r="S250" s="50" t="n">
        <v>0</v>
      </c>
      <c r="T250" s="50" t="n">
        <v>0</v>
      </c>
      <c r="U250" s="50" t="n">
        <v>0</v>
      </c>
      <c r="V250" s="50" t="n">
        <v>0</v>
      </c>
      <c r="W250" s="51" t="n">
        <v>0</v>
      </c>
      <c r="X250" s="51" t="n">
        <v>0</v>
      </c>
      <c r="Y250" s="51" t="n">
        <v>0</v>
      </c>
      <c r="Z250" s="51" t="n">
        <v>0</v>
      </c>
      <c r="AA250" s="52" t="n">
        <v>0</v>
      </c>
      <c r="AB250" s="52" t="n">
        <v>0</v>
      </c>
      <c r="AC250" s="52" t="n">
        <v>0</v>
      </c>
      <c r="AD250" s="52" t="n">
        <v>0</v>
      </c>
      <c r="AE250" s="52" t="n">
        <v>0</v>
      </c>
      <c r="AF250" s="52" t="n">
        <v>0</v>
      </c>
      <c r="AG250" s="52" t="n">
        <v>0</v>
      </c>
      <c r="AH250" s="52" t="n">
        <v>0</v>
      </c>
      <c r="AI250" s="52" t="n">
        <v>0</v>
      </c>
      <c r="AJ250" s="52" t="n">
        <v>0</v>
      </c>
      <c r="AK250" s="52" t="n">
        <v>0</v>
      </c>
      <c r="AL250" s="52" t="n">
        <v>0</v>
      </c>
      <c r="AM250" s="53" t="n">
        <v>0</v>
      </c>
      <c r="AN250" s="53" t="n">
        <v>0</v>
      </c>
      <c r="AO250" s="53" t="n">
        <v>0</v>
      </c>
      <c r="AP250" s="53" t="n">
        <v>0</v>
      </c>
      <c r="AQ250" s="52" t="n">
        <v>0</v>
      </c>
      <c r="AR250" s="52" t="n">
        <v>0</v>
      </c>
      <c r="AS250" s="52" t="n">
        <v>0</v>
      </c>
      <c r="AT250" s="52" t="n">
        <v>0</v>
      </c>
      <c r="AU250" s="53" t="n">
        <v>0</v>
      </c>
      <c r="AV250" s="53" t="n">
        <v>0</v>
      </c>
      <c r="AW250" s="53" t="n">
        <v>0</v>
      </c>
      <c r="AX250" s="53" t="n">
        <v>0</v>
      </c>
      <c r="AY250" s="52" t="n">
        <v>0</v>
      </c>
      <c r="AZ250" s="52" t="n">
        <v>0</v>
      </c>
      <c r="BA250" s="52" t="n">
        <v>0</v>
      </c>
      <c r="BB250" s="52" t="n">
        <v>0</v>
      </c>
      <c r="BC250" s="51" t="n">
        <v>0</v>
      </c>
      <c r="BD250" s="51" t="n">
        <v>0</v>
      </c>
      <c r="BE250" s="51" t="n">
        <v>0</v>
      </c>
      <c r="BF250" s="51" t="n">
        <v>0</v>
      </c>
    </row>
    <row r="251">
      <c r="A251">
        <f>HYPERLINK("https://www.walmart.com/ip/535341508", "535341508")</f>
        <v/>
      </c>
      <c r="B251" t="inlineStr">
        <is>
          <t>100% Polar Fleece Skull Cap Warm and Cozy Beanie</t>
        </is>
      </c>
      <c r="C251" t="inlineStr">
        <is>
          <t>1SLW1810NV-FSCB</t>
        </is>
      </c>
      <c r="D251" t="inlineStr">
        <is>
          <t>Hats</t>
        </is>
      </c>
      <c r="E251" t="inlineStr">
        <is>
          <t>Solaris</t>
        </is>
      </c>
      <c r="F251" t="inlineStr">
        <is>
          <t>Optimized</t>
        </is>
      </c>
      <c r="G251" s="48" t="n">
        <v>0</v>
      </c>
      <c r="H251" s="48" t="n">
        <v>0</v>
      </c>
      <c r="I251" s="48" t="n">
        <v>0</v>
      </c>
      <c r="J251" s="48" t="n">
        <v>0</v>
      </c>
      <c r="K251" s="49" t="n">
        <v>0</v>
      </c>
      <c r="L251" s="49" t="n">
        <v>0</v>
      </c>
      <c r="M251" s="49" t="n">
        <v>0</v>
      </c>
      <c r="N251" s="49" t="n">
        <v>0</v>
      </c>
      <c r="O251" s="49" t="n">
        <v>0</v>
      </c>
      <c r="P251" s="49" t="n">
        <v>0</v>
      </c>
      <c r="Q251" s="49" t="n">
        <v>0</v>
      </c>
      <c r="R251" s="49" t="n">
        <v>0</v>
      </c>
      <c r="S251" s="50" t="n">
        <v>0</v>
      </c>
      <c r="T251" s="50" t="n">
        <v>0</v>
      </c>
      <c r="U251" s="50" t="n">
        <v>0</v>
      </c>
      <c r="V251" s="50" t="n">
        <v>0</v>
      </c>
      <c r="W251" s="51" t="n">
        <v>0</v>
      </c>
      <c r="X251" s="51" t="n">
        <v>0</v>
      </c>
      <c r="Y251" s="51" t="n">
        <v>0</v>
      </c>
      <c r="Z251" s="51" t="n">
        <v>0</v>
      </c>
      <c r="AA251" s="52" t="n">
        <v>0</v>
      </c>
      <c r="AB251" s="52" t="n">
        <v>0</v>
      </c>
      <c r="AC251" s="52" t="n">
        <v>0</v>
      </c>
      <c r="AD251" s="52" t="n">
        <v>0</v>
      </c>
      <c r="AE251" s="52" t="n">
        <v>0</v>
      </c>
      <c r="AF251" s="52" t="n">
        <v>0</v>
      </c>
      <c r="AG251" s="52" t="n">
        <v>0</v>
      </c>
      <c r="AH251" s="52" t="n">
        <v>0</v>
      </c>
      <c r="AI251" s="52" t="n">
        <v>0</v>
      </c>
      <c r="AJ251" s="52" t="n">
        <v>0</v>
      </c>
      <c r="AK251" s="52" t="n">
        <v>0</v>
      </c>
      <c r="AL251" s="52" t="n">
        <v>0</v>
      </c>
      <c r="AM251" s="53" t="n">
        <v>0</v>
      </c>
      <c r="AN251" s="53" t="n">
        <v>0</v>
      </c>
      <c r="AO251" s="53" t="n">
        <v>0</v>
      </c>
      <c r="AP251" s="53" t="n">
        <v>0</v>
      </c>
      <c r="AQ251" s="52" t="n">
        <v>0</v>
      </c>
      <c r="AR251" s="52" t="n">
        <v>0</v>
      </c>
      <c r="AS251" s="52" t="n">
        <v>0</v>
      </c>
      <c r="AT251" s="52" t="n">
        <v>0</v>
      </c>
      <c r="AU251" s="53" t="n">
        <v>0</v>
      </c>
      <c r="AV251" s="53" t="n">
        <v>0</v>
      </c>
      <c r="AW251" s="53" t="n">
        <v>0</v>
      </c>
      <c r="AX251" s="53" t="n">
        <v>0</v>
      </c>
      <c r="AY251" s="52" t="n">
        <v>0</v>
      </c>
      <c r="AZ251" s="52" t="n">
        <v>0</v>
      </c>
      <c r="BA251" s="52" t="n">
        <v>0</v>
      </c>
      <c r="BB251" s="52" t="n">
        <v>0</v>
      </c>
      <c r="BC251" s="51" t="n">
        <v>0</v>
      </c>
      <c r="BD251" s="51" t="n">
        <v>0</v>
      </c>
      <c r="BE251" s="51" t="n">
        <v>0</v>
      </c>
      <c r="BF251" s="51" t="n">
        <v>0</v>
      </c>
    </row>
    <row r="252">
      <c r="A252">
        <f>HYPERLINK("https://www.walmart.com/ip/538275788", "538275788")</f>
        <v/>
      </c>
      <c r="B252" t="inlineStr">
        <is>
          <t>NAPA Sherpa Throw Blanket Snow 50" x 70", Plush Bed Throw TV Decorative Fluffy</t>
        </is>
      </c>
      <c r="C252" t="inlineStr">
        <is>
          <t>K8022-LBL</t>
        </is>
      </c>
      <c r="D252" t="inlineStr">
        <is>
          <t>Throws</t>
        </is>
      </c>
      <c r="E252" t="inlineStr">
        <is>
          <t>NAPA</t>
        </is>
      </c>
      <c r="F252" t="inlineStr">
        <is>
          <t>Optimized</t>
        </is>
      </c>
      <c r="G252" s="48" t="n">
        <v>0</v>
      </c>
      <c r="H252" s="48" t="n">
        <v>0</v>
      </c>
      <c r="I252" s="48" t="n">
        <v>0</v>
      </c>
      <c r="J252" s="48" t="n">
        <v>0</v>
      </c>
      <c r="K252" s="49" t="n">
        <v>0</v>
      </c>
      <c r="L252" s="49" t="n">
        <v>0</v>
      </c>
      <c r="M252" s="49" t="n">
        <v>0</v>
      </c>
      <c r="N252" s="49" t="n">
        <v>0</v>
      </c>
      <c r="O252" s="49" t="n">
        <v>0</v>
      </c>
      <c r="P252" s="49" t="n">
        <v>0</v>
      </c>
      <c r="Q252" s="49" t="n">
        <v>0</v>
      </c>
      <c r="R252" s="49" t="n">
        <v>0</v>
      </c>
      <c r="S252" s="50" t="n">
        <v>0</v>
      </c>
      <c r="T252" s="50" t="n">
        <v>0</v>
      </c>
      <c r="U252" s="50" t="n">
        <v>0</v>
      </c>
      <c r="V252" s="50" t="n">
        <v>0</v>
      </c>
      <c r="W252" s="51" t="n">
        <v>0</v>
      </c>
      <c r="X252" s="51" t="n">
        <v>0</v>
      </c>
      <c r="Y252" s="51" t="n">
        <v>0</v>
      </c>
      <c r="Z252" s="51" t="n">
        <v>0</v>
      </c>
      <c r="AA252" s="52" t="n">
        <v>0</v>
      </c>
      <c r="AB252" s="52" t="n">
        <v>0</v>
      </c>
      <c r="AC252" s="52" t="n">
        <v>0</v>
      </c>
      <c r="AD252" s="52" t="n">
        <v>0</v>
      </c>
      <c r="AE252" s="52" t="n">
        <v>0</v>
      </c>
      <c r="AF252" s="52" t="n">
        <v>0</v>
      </c>
      <c r="AG252" s="52" t="n">
        <v>0</v>
      </c>
      <c r="AH252" s="52" t="n">
        <v>0</v>
      </c>
      <c r="AI252" s="52" t="n">
        <v>0</v>
      </c>
      <c r="AJ252" s="52" t="n">
        <v>0</v>
      </c>
      <c r="AK252" s="52" t="n">
        <v>0</v>
      </c>
      <c r="AL252" s="52" t="n">
        <v>0</v>
      </c>
      <c r="AM252" s="53" t="n">
        <v>0</v>
      </c>
      <c r="AN252" s="53" t="n">
        <v>0</v>
      </c>
      <c r="AO252" s="53" t="n">
        <v>0</v>
      </c>
      <c r="AP252" s="53" t="n">
        <v>0</v>
      </c>
      <c r="AQ252" s="52" t="n">
        <v>0</v>
      </c>
      <c r="AR252" s="52" t="n">
        <v>0</v>
      </c>
      <c r="AS252" s="52" t="n">
        <v>0</v>
      </c>
      <c r="AT252" s="52" t="n">
        <v>0</v>
      </c>
      <c r="AU252" s="53" t="n">
        <v>0</v>
      </c>
      <c r="AV252" s="53" t="n">
        <v>0</v>
      </c>
      <c r="AW252" s="53" t="n">
        <v>0</v>
      </c>
      <c r="AX252" s="53" t="n">
        <v>0</v>
      </c>
      <c r="AY252" s="52" t="n">
        <v>0</v>
      </c>
      <c r="AZ252" s="52" t="n">
        <v>0</v>
      </c>
      <c r="BA252" s="52" t="n">
        <v>0</v>
      </c>
      <c r="BB252" s="52" t="n">
        <v>0</v>
      </c>
      <c r="BC252" s="51" t="n">
        <v>0</v>
      </c>
      <c r="BD252" s="51" t="n">
        <v>0</v>
      </c>
      <c r="BE252" s="51" t="n">
        <v>0</v>
      </c>
      <c r="BF252" s="51" t="n">
        <v>0</v>
      </c>
    </row>
    <row r="253">
      <c r="A253">
        <f>HYPERLINK("https://www.walmart.com/ip/539257939", "539257939")</f>
        <v/>
      </c>
      <c r="B253" t="inlineStr">
        <is>
          <t>Microplush Sherpa Blanket with Sleeves for Women and Men</t>
        </is>
      </c>
      <c r="C253" t="inlineStr">
        <is>
          <t>1TRSN410P2RD-UPC</t>
        </is>
      </c>
      <c r="D253" t="inlineStr">
        <is>
          <t>Throws</t>
        </is>
      </c>
      <c r="E253" t="inlineStr">
        <is>
          <t>Tirrinia</t>
        </is>
      </c>
      <c r="F253" t="inlineStr">
        <is>
          <t>Optimized</t>
        </is>
      </c>
      <c r="G253" s="48" t="n">
        <v>0</v>
      </c>
      <c r="H253" s="48" t="n">
        <v>0</v>
      </c>
      <c r="I253" s="48" t="n">
        <v>0</v>
      </c>
      <c r="J253" s="48" t="n">
        <v>0</v>
      </c>
      <c r="K253" s="49" t="n">
        <v>0</v>
      </c>
      <c r="L253" s="49" t="n">
        <v>0</v>
      </c>
      <c r="M253" s="49" t="n">
        <v>0</v>
      </c>
      <c r="N253" s="49" t="n">
        <v>0</v>
      </c>
      <c r="O253" s="49" t="n">
        <v>0</v>
      </c>
      <c r="P253" s="49" t="n">
        <v>0</v>
      </c>
      <c r="Q253" s="49" t="n">
        <v>0</v>
      </c>
      <c r="R253" s="49" t="n">
        <v>0</v>
      </c>
      <c r="S253" s="50" t="n">
        <v>0</v>
      </c>
      <c r="T253" s="50" t="n">
        <v>0</v>
      </c>
      <c r="U253" s="50" t="n">
        <v>0</v>
      </c>
      <c r="V253" s="50" t="n">
        <v>0</v>
      </c>
      <c r="W253" s="51" t="n">
        <v>0</v>
      </c>
      <c r="X253" s="51" t="n">
        <v>0</v>
      </c>
      <c r="Y253" s="51" t="n">
        <v>0</v>
      </c>
      <c r="Z253" s="51" t="n">
        <v>0</v>
      </c>
      <c r="AA253" s="52" t="n">
        <v>0</v>
      </c>
      <c r="AB253" s="52" t="n">
        <v>0</v>
      </c>
      <c r="AC253" s="52" t="n">
        <v>0</v>
      </c>
      <c r="AD253" s="52" t="n">
        <v>0</v>
      </c>
      <c r="AE253" s="52" t="n">
        <v>0</v>
      </c>
      <c r="AF253" s="52" t="n">
        <v>0</v>
      </c>
      <c r="AG253" s="52" t="n">
        <v>0</v>
      </c>
      <c r="AH253" s="52" t="n">
        <v>0</v>
      </c>
      <c r="AI253" s="52" t="n">
        <v>0</v>
      </c>
      <c r="AJ253" s="52" t="n">
        <v>0</v>
      </c>
      <c r="AK253" s="52" t="n">
        <v>0</v>
      </c>
      <c r="AL253" s="52" t="n">
        <v>0</v>
      </c>
      <c r="AM253" s="53" t="n">
        <v>0</v>
      </c>
      <c r="AN253" s="53" t="n">
        <v>0</v>
      </c>
      <c r="AO253" s="53" t="n">
        <v>0</v>
      </c>
      <c r="AP253" s="53" t="n">
        <v>0</v>
      </c>
      <c r="AQ253" s="52" t="n">
        <v>0</v>
      </c>
      <c r="AR253" s="52" t="n">
        <v>0</v>
      </c>
      <c r="AS253" s="52" t="n">
        <v>0</v>
      </c>
      <c r="AT253" s="52" t="n">
        <v>0</v>
      </c>
      <c r="AU253" s="53" t="n">
        <v>0</v>
      </c>
      <c r="AV253" s="53" t="n">
        <v>0</v>
      </c>
      <c r="AW253" s="53" t="n">
        <v>0</v>
      </c>
      <c r="AX253" s="53" t="n">
        <v>0</v>
      </c>
      <c r="AY253" s="52" t="n">
        <v>0</v>
      </c>
      <c r="AZ253" s="52" t="n">
        <v>0</v>
      </c>
      <c r="BA253" s="52" t="n">
        <v>0</v>
      </c>
      <c r="BB253" s="52" t="n">
        <v>0</v>
      </c>
      <c r="BC253" s="51" t="n">
        <v>0</v>
      </c>
      <c r="BD253" s="51" t="n">
        <v>0</v>
      </c>
      <c r="BE253" s="51" t="n">
        <v>0</v>
      </c>
      <c r="BF253" s="51" t="n">
        <v>0</v>
      </c>
    </row>
    <row r="254">
      <c r="A254">
        <f>HYPERLINK("https://www.walmart.com/ip/548162405", "548162405")</f>
        <v/>
      </c>
      <c r="B254" t="inlineStr">
        <is>
          <t>Pawsse Waterproof Pet Snuggle Blanket, Dog Puppy Cat Fleece Sherpa Throws Cushion Mat for Car Seat Furniture Protector Cover Medium 50"x60"</t>
        </is>
      </c>
      <c r="C254" t="inlineStr">
        <is>
          <t>1PSBW561BRTP</t>
        </is>
      </c>
      <c r="D254" t="inlineStr">
        <is>
          <t>Pet Blankets</t>
        </is>
      </c>
      <c r="E254" t="inlineStr">
        <is>
          <t>Pawsse</t>
        </is>
      </c>
      <c r="F254" t="inlineStr">
        <is>
          <t>Q2-Target,Optimized</t>
        </is>
      </c>
      <c r="G254" s="48" t="n">
        <v>0</v>
      </c>
      <c r="H254" s="48" t="n">
        <v>51.98</v>
      </c>
      <c r="I254" s="48" t="n">
        <v>0</v>
      </c>
      <c r="J254" s="48" t="n">
        <v>0</v>
      </c>
      <c r="K254" s="49" t="n">
        <v>0</v>
      </c>
      <c r="L254" s="49" t="n">
        <v>2</v>
      </c>
      <c r="M254" s="49" t="n">
        <v>0</v>
      </c>
      <c r="N254" s="49" t="n">
        <v>0</v>
      </c>
      <c r="O254" s="49" t="n">
        <v>2</v>
      </c>
      <c r="P254" s="49" t="n">
        <v>6</v>
      </c>
      <c r="Q254" s="49" t="n">
        <v>1</v>
      </c>
      <c r="R254" s="49" t="n">
        <v>0</v>
      </c>
      <c r="S254" s="50" t="n">
        <v>0</v>
      </c>
      <c r="T254" s="50" t="n">
        <v>0.3333333333333333</v>
      </c>
      <c r="U254" s="50" t="n">
        <v>0</v>
      </c>
      <c r="V254" s="50" t="n">
        <v>0</v>
      </c>
      <c r="W254" s="51" t="n">
        <v>0</v>
      </c>
      <c r="X254" s="51" t="n">
        <v>0</v>
      </c>
      <c r="Y254" s="51" t="n">
        <v>0</v>
      </c>
      <c r="Z254" s="51" t="n">
        <v>0</v>
      </c>
      <c r="AA254" s="52" t="n">
        <v>0</v>
      </c>
      <c r="AB254" s="52" t="n">
        <v>0</v>
      </c>
      <c r="AC254" s="52" t="n">
        <v>0</v>
      </c>
      <c r="AD254" s="52" t="n">
        <v>0</v>
      </c>
      <c r="AE254" s="52" t="n">
        <v>0</v>
      </c>
      <c r="AF254" s="52" t="n">
        <v>0</v>
      </c>
      <c r="AG254" s="52" t="n">
        <v>0</v>
      </c>
      <c r="AH254" s="52" t="n">
        <v>0</v>
      </c>
      <c r="AI254" s="52" t="n">
        <v>0</v>
      </c>
      <c r="AJ254" s="52" t="n">
        <v>0</v>
      </c>
      <c r="AK254" s="52" t="n">
        <v>0</v>
      </c>
      <c r="AL254" s="52" t="n">
        <v>0</v>
      </c>
      <c r="AM254" s="53" t="n">
        <v>0</v>
      </c>
      <c r="AN254" s="53" t="n">
        <v>0</v>
      </c>
      <c r="AO254" s="53" t="n">
        <v>0</v>
      </c>
      <c r="AP254" s="53" t="n">
        <v>0</v>
      </c>
      <c r="AQ254" s="52" t="n">
        <v>0</v>
      </c>
      <c r="AR254" s="52" t="n">
        <v>0</v>
      </c>
      <c r="AS254" s="52" t="n">
        <v>0</v>
      </c>
      <c r="AT254" s="52" t="n">
        <v>0</v>
      </c>
      <c r="AU254" s="53" t="n">
        <v>0</v>
      </c>
      <c r="AV254" s="53" t="n">
        <v>0</v>
      </c>
      <c r="AW254" s="53" t="n">
        <v>0</v>
      </c>
      <c r="AX254" s="53" t="n">
        <v>0</v>
      </c>
      <c r="AY254" s="52" t="n">
        <v>0</v>
      </c>
      <c r="AZ254" s="52" t="n">
        <v>25.99</v>
      </c>
      <c r="BA254" s="52" t="n">
        <v>0</v>
      </c>
      <c r="BB254" s="52" t="n">
        <v>0</v>
      </c>
      <c r="BC254" s="51" t="n">
        <v>348</v>
      </c>
      <c r="BD254" s="51" t="n">
        <v>504</v>
      </c>
      <c r="BE254" s="51" t="n">
        <v>562</v>
      </c>
      <c r="BF254" s="51" t="n">
        <v>406</v>
      </c>
    </row>
    <row r="255">
      <c r="A255">
        <f>HYPERLINK("https://www.walmart.com/ip/545152348", "545152348")</f>
        <v/>
      </c>
      <c r="B255" t="inlineStr">
        <is>
          <t>Catalonia Mermaid Tail Fleece Blanket, Mermaid Blankets for Beds, Super Soft Coral Plush Snuggle Sleeping Bag for Teen Girls, Green, 60'' x 21''</t>
        </is>
      </c>
      <c r="C255" t="inlineStr">
        <is>
          <t>1CTMP100GN</t>
        </is>
      </c>
      <c r="D255" t="inlineStr">
        <is>
          <t>Mermaid Tails</t>
        </is>
      </c>
      <c r="E255" t="inlineStr">
        <is>
          <t>Catalonia</t>
        </is>
      </c>
      <c r="F255" t="inlineStr">
        <is>
          <t>Baby days,WFS,Coupon_Discount,WFS Item</t>
        </is>
      </c>
      <c r="G255" s="48" t="n">
        <v>0</v>
      </c>
      <c r="H255" s="48" t="n">
        <v>0</v>
      </c>
      <c r="I255" s="48" t="n">
        <v>0</v>
      </c>
      <c r="J255" s="48" t="n">
        <v>0</v>
      </c>
      <c r="K255" s="49" t="n">
        <v>0</v>
      </c>
      <c r="L255" s="49" t="n">
        <v>0</v>
      </c>
      <c r="M255" s="49" t="n">
        <v>0</v>
      </c>
      <c r="N255" s="49" t="n">
        <v>0</v>
      </c>
      <c r="O255" s="49" t="n">
        <v>0</v>
      </c>
      <c r="P255" s="49" t="n">
        <v>0</v>
      </c>
      <c r="Q255" s="49" t="n">
        <v>0</v>
      </c>
      <c r="R255" s="49" t="n">
        <v>0</v>
      </c>
      <c r="S255" s="50" t="n">
        <v>0</v>
      </c>
      <c r="T255" s="50" t="n">
        <v>0</v>
      </c>
      <c r="U255" s="50" t="n">
        <v>0</v>
      </c>
      <c r="V255" s="50" t="n">
        <v>0</v>
      </c>
      <c r="W255" s="51" t="n">
        <v>0</v>
      </c>
      <c r="X255" s="51" t="n">
        <v>0</v>
      </c>
      <c r="Y255" s="51" t="n">
        <v>0</v>
      </c>
      <c r="Z255" s="51" t="n">
        <v>0</v>
      </c>
      <c r="AA255" s="52" t="n">
        <v>0</v>
      </c>
      <c r="AB255" s="52" t="n">
        <v>0</v>
      </c>
      <c r="AC255" s="52" t="n">
        <v>0</v>
      </c>
      <c r="AD255" s="52" t="n">
        <v>0</v>
      </c>
      <c r="AE255" s="52" t="n">
        <v>0</v>
      </c>
      <c r="AF255" s="52" t="n">
        <v>0</v>
      </c>
      <c r="AG255" s="52" t="n">
        <v>0</v>
      </c>
      <c r="AH255" s="52" t="n">
        <v>0</v>
      </c>
      <c r="AI255" s="52" t="n">
        <v>0</v>
      </c>
      <c r="AJ255" s="52" t="n">
        <v>0</v>
      </c>
      <c r="AK255" s="52" t="n">
        <v>0</v>
      </c>
      <c r="AL255" s="52" t="n">
        <v>0</v>
      </c>
      <c r="AM255" s="53" t="n">
        <v>0</v>
      </c>
      <c r="AN255" s="53" t="n">
        <v>0</v>
      </c>
      <c r="AO255" s="53" t="n">
        <v>0</v>
      </c>
      <c r="AP255" s="53" t="n">
        <v>0</v>
      </c>
      <c r="AQ255" s="52" t="n">
        <v>0</v>
      </c>
      <c r="AR255" s="52" t="n">
        <v>0</v>
      </c>
      <c r="AS255" s="52" t="n">
        <v>0</v>
      </c>
      <c r="AT255" s="52" t="n">
        <v>0</v>
      </c>
      <c r="AU255" s="53" t="n">
        <v>0</v>
      </c>
      <c r="AV255" s="53" t="n">
        <v>0</v>
      </c>
      <c r="AW255" s="53" t="n">
        <v>0</v>
      </c>
      <c r="AX255" s="53" t="n">
        <v>0</v>
      </c>
      <c r="AY255" s="52" t="n">
        <v>0</v>
      </c>
      <c r="AZ255" s="52" t="n">
        <v>0</v>
      </c>
      <c r="BA255" s="52" t="n">
        <v>0</v>
      </c>
      <c r="BB255" s="52" t="n">
        <v>0</v>
      </c>
      <c r="BC255" s="51" t="n">
        <v>0</v>
      </c>
      <c r="BD255" s="51" t="n">
        <v>0</v>
      </c>
      <c r="BE255" s="51" t="n">
        <v>0</v>
      </c>
      <c r="BF255" s="51" t="n">
        <v>0</v>
      </c>
    </row>
    <row r="256">
      <c r="A256">
        <f>HYPERLINK("https://www.walmart.com/ip/5478273129", "5478273129")</f>
        <v/>
      </c>
      <c r="B256" t="inlineStr">
        <is>
          <t>Tirrinia Large Insulated Lunch Bag for Men and Women, Adult Double-Layer Leakproof Reusable Grocery Bag, Office, Travel, Work Lunch Cooler Tote</t>
        </is>
      </c>
      <c r="C256" t="inlineStr">
        <is>
          <t>1TRLB708BK-D</t>
        </is>
      </c>
      <c r="D256" t="inlineStr">
        <is>
          <t>Reusable Lunch Bags &amp; Boxes</t>
        </is>
      </c>
      <c r="E256" t="inlineStr">
        <is>
          <t>Tirrinia</t>
        </is>
      </c>
      <c r="G256" s="48" t="n">
        <v>0</v>
      </c>
      <c r="H256" s="48" t="n">
        <v>17.99</v>
      </c>
      <c r="I256" s="48" t="n">
        <v>24.98</v>
      </c>
      <c r="J256" s="48" t="n">
        <v>0</v>
      </c>
      <c r="K256" s="49" t="n">
        <v>0</v>
      </c>
      <c r="L256" s="49" t="n">
        <v>1</v>
      </c>
      <c r="M256" s="49" t="n">
        <v>1</v>
      </c>
      <c r="N256" s="49" t="n">
        <v>0</v>
      </c>
      <c r="O256" s="49" t="n">
        <v>0</v>
      </c>
      <c r="P256" s="49" t="n">
        <v>1</v>
      </c>
      <c r="Q256" s="49" t="n">
        <v>5</v>
      </c>
      <c r="R256" s="49" t="n">
        <v>0</v>
      </c>
      <c r="S256" s="50" t="n">
        <v>0</v>
      </c>
      <c r="T256" s="50" t="n">
        <v>1</v>
      </c>
      <c r="U256" s="50" t="n">
        <v>0.2</v>
      </c>
      <c r="V256" s="50" t="n">
        <v>0</v>
      </c>
      <c r="W256" s="51" t="n">
        <v>0</v>
      </c>
      <c r="X256" s="51" t="n">
        <v>0</v>
      </c>
      <c r="Y256" s="51" t="n">
        <v>0</v>
      </c>
      <c r="Z256" s="51" t="n">
        <v>0</v>
      </c>
      <c r="AA256" s="52" t="n">
        <v>0</v>
      </c>
      <c r="AB256" s="52" t="n">
        <v>0</v>
      </c>
      <c r="AC256" s="52" t="n">
        <v>0</v>
      </c>
      <c r="AD256" s="52" t="n">
        <v>0</v>
      </c>
      <c r="AE256" s="52" t="n">
        <v>0</v>
      </c>
      <c r="AF256" s="52" t="n">
        <v>0</v>
      </c>
      <c r="AG256" s="52" t="n">
        <v>0</v>
      </c>
      <c r="AH256" s="52" t="n">
        <v>0</v>
      </c>
      <c r="AI256" s="52" t="n">
        <v>0</v>
      </c>
      <c r="AJ256" s="52" t="n">
        <v>0</v>
      </c>
      <c r="AK256" s="52" t="n">
        <v>0</v>
      </c>
      <c r="AL256" s="52" t="n">
        <v>0</v>
      </c>
      <c r="AM256" s="53" t="n">
        <v>0</v>
      </c>
      <c r="AN256" s="53" t="n">
        <v>0</v>
      </c>
      <c r="AO256" s="53" t="n">
        <v>0</v>
      </c>
      <c r="AP256" s="53" t="n">
        <v>0</v>
      </c>
      <c r="AQ256" s="52" t="n">
        <v>0</v>
      </c>
      <c r="AR256" s="52" t="n">
        <v>0</v>
      </c>
      <c r="AS256" s="52" t="n">
        <v>0</v>
      </c>
      <c r="AT256" s="52" t="n">
        <v>0</v>
      </c>
      <c r="AU256" s="53" t="n">
        <v>0</v>
      </c>
      <c r="AV256" s="53" t="n">
        <v>0</v>
      </c>
      <c r="AW256" s="53" t="n">
        <v>0</v>
      </c>
      <c r="AX256" s="53" t="n">
        <v>0</v>
      </c>
      <c r="AY256" s="52" t="n">
        <v>0</v>
      </c>
      <c r="AZ256" s="52" t="n">
        <v>17.99</v>
      </c>
      <c r="BA256" s="52" t="n">
        <v>24.98</v>
      </c>
      <c r="BB256" s="52" t="n">
        <v>0</v>
      </c>
      <c r="BC256" s="51" t="n">
        <v>0</v>
      </c>
      <c r="BD256" s="51" t="n">
        <v>0</v>
      </c>
      <c r="BE256" s="51" t="n">
        <v>0</v>
      </c>
      <c r="BF256" s="51" t="n">
        <v>0</v>
      </c>
    </row>
    <row r="257">
      <c r="A257">
        <f>HYPERLINK("https://www.walmart.com/ip/547741708", "547741708")</f>
        <v/>
      </c>
      <c r="B257" t="inlineStr">
        <is>
          <t>UV Protection Fishing Hat, Wide Brim Sun Hats for Men Women Cooling Hat</t>
        </is>
      </c>
      <c r="C257" t="inlineStr">
        <is>
          <t>1WMCH100OL</t>
        </is>
      </c>
      <c r="D257" t="inlineStr">
        <is>
          <t>Hats</t>
        </is>
      </c>
      <c r="E257" t="inlineStr">
        <is>
          <t>Flyingstar</t>
        </is>
      </c>
      <c r="F257" t="inlineStr">
        <is>
          <t>Optimized,Hats</t>
        </is>
      </c>
      <c r="G257" s="48" t="n">
        <v>0</v>
      </c>
      <c r="H257" s="48" t="n">
        <v>0</v>
      </c>
      <c r="I257" s="48" t="n">
        <v>0</v>
      </c>
      <c r="J257" s="48" t="n">
        <v>0</v>
      </c>
      <c r="K257" s="49" t="n">
        <v>0</v>
      </c>
      <c r="L257" s="49" t="n">
        <v>0</v>
      </c>
      <c r="M257" s="49" t="n">
        <v>0</v>
      </c>
      <c r="N257" s="49" t="n">
        <v>0</v>
      </c>
      <c r="O257" s="49" t="n">
        <v>0</v>
      </c>
      <c r="P257" s="49" t="n">
        <v>0</v>
      </c>
      <c r="Q257" s="49" t="n">
        <v>0</v>
      </c>
      <c r="R257" s="49" t="n">
        <v>0</v>
      </c>
      <c r="S257" s="50" t="n">
        <v>0</v>
      </c>
      <c r="T257" s="50" t="n">
        <v>0</v>
      </c>
      <c r="U257" s="50" t="n">
        <v>0</v>
      </c>
      <c r="V257" s="50" t="n">
        <v>0</v>
      </c>
      <c r="W257" s="51" t="n">
        <v>0</v>
      </c>
      <c r="X257" s="51" t="n">
        <v>0</v>
      </c>
      <c r="Y257" s="51" t="n">
        <v>0</v>
      </c>
      <c r="Z257" s="51" t="n">
        <v>0</v>
      </c>
      <c r="AA257" s="52" t="n">
        <v>0</v>
      </c>
      <c r="AB257" s="52" t="n">
        <v>0</v>
      </c>
      <c r="AC257" s="52" t="n">
        <v>0</v>
      </c>
      <c r="AD257" s="52" t="n">
        <v>0</v>
      </c>
      <c r="AE257" s="52" t="n">
        <v>0</v>
      </c>
      <c r="AF257" s="52" t="n">
        <v>0</v>
      </c>
      <c r="AG257" s="52" t="n">
        <v>0</v>
      </c>
      <c r="AH257" s="52" t="n">
        <v>0</v>
      </c>
      <c r="AI257" s="52" t="n">
        <v>0</v>
      </c>
      <c r="AJ257" s="52" t="n">
        <v>0</v>
      </c>
      <c r="AK257" s="52" t="n">
        <v>0</v>
      </c>
      <c r="AL257" s="52" t="n">
        <v>0</v>
      </c>
      <c r="AM257" s="53" t="n">
        <v>0</v>
      </c>
      <c r="AN257" s="53" t="n">
        <v>0</v>
      </c>
      <c r="AO257" s="53" t="n">
        <v>0</v>
      </c>
      <c r="AP257" s="53" t="n">
        <v>0</v>
      </c>
      <c r="AQ257" s="52" t="n">
        <v>0</v>
      </c>
      <c r="AR257" s="52" t="n">
        <v>0</v>
      </c>
      <c r="AS257" s="52" t="n">
        <v>0</v>
      </c>
      <c r="AT257" s="52" t="n">
        <v>0</v>
      </c>
      <c r="AU257" s="53" t="n">
        <v>0</v>
      </c>
      <c r="AV257" s="53" t="n">
        <v>0</v>
      </c>
      <c r="AW257" s="53" t="n">
        <v>0</v>
      </c>
      <c r="AX257" s="53" t="n">
        <v>0</v>
      </c>
      <c r="AY257" s="52" t="n">
        <v>0</v>
      </c>
      <c r="AZ257" s="52" t="n">
        <v>0</v>
      </c>
      <c r="BA257" s="52" t="n">
        <v>0</v>
      </c>
      <c r="BB257" s="52" t="n">
        <v>0</v>
      </c>
      <c r="BC257" s="51" t="n">
        <v>0</v>
      </c>
      <c r="BD257" s="51" t="n">
        <v>0</v>
      </c>
      <c r="BE257" s="51" t="n">
        <v>0</v>
      </c>
      <c r="BF257" s="51" t="n">
        <v>0</v>
      </c>
    </row>
    <row r="258">
      <c r="A258">
        <f>HYPERLINK("https://www.walmart.com/ip/547576637", "547576637")</f>
        <v/>
      </c>
      <c r="B258" t="inlineStr">
        <is>
          <t>Tirrinia Insulated 2 Bottle Wine Carrier Tote Cooler Bag for Travel Picnic Padded Champagne Glass</t>
        </is>
      </c>
      <c r="C258" t="inlineStr">
        <is>
          <t>1TRWB231BLSTR</t>
        </is>
      </c>
      <c r="D258" t="inlineStr">
        <is>
          <t>Wine Totes, Bags &amp; Backpacks</t>
        </is>
      </c>
      <c r="E258" t="inlineStr">
        <is>
          <t>Tirrinia</t>
        </is>
      </c>
      <c r="F258" t="inlineStr">
        <is>
          <t>Wine,Wine Bag Camp,Christmas,WFS,Wine WFS,Valentine,WFS Item</t>
        </is>
      </c>
      <c r="G258" s="48" t="n">
        <v>0</v>
      </c>
      <c r="H258" s="48" t="n">
        <v>0</v>
      </c>
      <c r="I258" s="48" t="n">
        <v>0</v>
      </c>
      <c r="J258" s="48" t="n">
        <v>0</v>
      </c>
      <c r="K258" s="49" t="n">
        <v>0</v>
      </c>
      <c r="L258" s="49" t="n">
        <v>0</v>
      </c>
      <c r="M258" s="49" t="n">
        <v>0</v>
      </c>
      <c r="N258" s="49" t="n">
        <v>0</v>
      </c>
      <c r="O258" s="49" t="n">
        <v>0</v>
      </c>
      <c r="P258" s="49" t="n">
        <v>0</v>
      </c>
      <c r="Q258" s="49" t="n">
        <v>0</v>
      </c>
      <c r="R258" s="49" t="n">
        <v>0</v>
      </c>
      <c r="S258" s="50" t="n">
        <v>0</v>
      </c>
      <c r="T258" s="50" t="n">
        <v>0</v>
      </c>
      <c r="U258" s="50" t="n">
        <v>0</v>
      </c>
      <c r="V258" s="50" t="n">
        <v>0</v>
      </c>
      <c r="W258" s="51" t="n">
        <v>0</v>
      </c>
      <c r="X258" s="51" t="n">
        <v>0</v>
      </c>
      <c r="Y258" s="51" t="n">
        <v>0</v>
      </c>
      <c r="Z258" s="51" t="n">
        <v>0</v>
      </c>
      <c r="AA258" s="52" t="n">
        <v>0</v>
      </c>
      <c r="AB258" s="52" t="n">
        <v>0</v>
      </c>
      <c r="AC258" s="52" t="n">
        <v>0</v>
      </c>
      <c r="AD258" s="52" t="n">
        <v>0</v>
      </c>
      <c r="AE258" s="52" t="n">
        <v>0</v>
      </c>
      <c r="AF258" s="52" t="n">
        <v>0</v>
      </c>
      <c r="AG258" s="52" t="n">
        <v>0</v>
      </c>
      <c r="AH258" s="52" t="n">
        <v>0</v>
      </c>
      <c r="AI258" s="52" t="n">
        <v>0</v>
      </c>
      <c r="AJ258" s="52" t="n">
        <v>0</v>
      </c>
      <c r="AK258" s="52" t="n">
        <v>0</v>
      </c>
      <c r="AL258" s="52" t="n">
        <v>0</v>
      </c>
      <c r="AM258" s="53" t="n">
        <v>0</v>
      </c>
      <c r="AN258" s="53" t="n">
        <v>0</v>
      </c>
      <c r="AO258" s="53" t="n">
        <v>0</v>
      </c>
      <c r="AP258" s="53" t="n">
        <v>0</v>
      </c>
      <c r="AQ258" s="52" t="n">
        <v>0</v>
      </c>
      <c r="AR258" s="52" t="n">
        <v>0</v>
      </c>
      <c r="AS258" s="52" t="n">
        <v>0</v>
      </c>
      <c r="AT258" s="52" t="n">
        <v>0</v>
      </c>
      <c r="AU258" s="53" t="n">
        <v>0</v>
      </c>
      <c r="AV258" s="53" t="n">
        <v>0</v>
      </c>
      <c r="AW258" s="53" t="n">
        <v>0</v>
      </c>
      <c r="AX258" s="53" t="n">
        <v>0</v>
      </c>
      <c r="AY258" s="52" t="n">
        <v>0</v>
      </c>
      <c r="AZ258" s="52" t="n">
        <v>0</v>
      </c>
      <c r="BA258" s="52" t="n">
        <v>0</v>
      </c>
      <c r="BB258" s="52" t="n">
        <v>0</v>
      </c>
      <c r="BC258" s="51" t="n">
        <v>559</v>
      </c>
      <c r="BD258" s="51" t="n">
        <v>489</v>
      </c>
      <c r="BE258" s="51" t="n">
        <v>511</v>
      </c>
      <c r="BF258" s="51" t="n">
        <v>453</v>
      </c>
    </row>
    <row r="259">
      <c r="A259">
        <f>HYPERLINK("https://www.walmart.com/ip/5470711911", "5470711911")</f>
        <v/>
      </c>
      <c r="B259" t="inlineStr">
        <is>
          <t>Tirrinia Large Insulated Lunch Bag for Men and Women, Adult Double-Layer Leakproof Reusable Grocery Bag, Office, Travel, Work Lunch Cooler Tote Charcoal</t>
        </is>
      </c>
      <c r="C259" t="inlineStr">
        <is>
          <t>1TRLB708CH-D</t>
        </is>
      </c>
      <c r="D259" t="inlineStr">
        <is>
          <t>Reusable Lunch Bags &amp; Boxes</t>
        </is>
      </c>
      <c r="E259" t="inlineStr">
        <is>
          <t>Tirrinia</t>
        </is>
      </c>
      <c r="G259" s="48" t="n">
        <v>0</v>
      </c>
      <c r="H259" s="48" t="n">
        <v>0</v>
      </c>
      <c r="I259" s="48" t="n">
        <v>0</v>
      </c>
      <c r="J259" s="48" t="n">
        <v>0</v>
      </c>
      <c r="K259" s="49" t="n">
        <v>0</v>
      </c>
      <c r="L259" s="49" t="n">
        <v>0</v>
      </c>
      <c r="M259" s="49" t="n">
        <v>0</v>
      </c>
      <c r="N259" s="49" t="n">
        <v>0</v>
      </c>
      <c r="O259" s="49" t="n">
        <v>0</v>
      </c>
      <c r="P259" s="49" t="n">
        <v>0</v>
      </c>
      <c r="Q259" s="49" t="n">
        <v>0</v>
      </c>
      <c r="R259" s="49" t="n">
        <v>0</v>
      </c>
      <c r="S259" s="50" t="n">
        <v>0</v>
      </c>
      <c r="T259" s="50" t="n">
        <v>0</v>
      </c>
      <c r="U259" s="50" t="n">
        <v>0</v>
      </c>
      <c r="V259" s="50" t="n">
        <v>0</v>
      </c>
      <c r="W259" s="51" t="n">
        <v>0</v>
      </c>
      <c r="X259" s="51" t="n">
        <v>0</v>
      </c>
      <c r="Y259" s="51" t="n">
        <v>0</v>
      </c>
      <c r="Z259" s="51" t="n">
        <v>0</v>
      </c>
      <c r="AA259" s="52" t="n">
        <v>0</v>
      </c>
      <c r="AB259" s="52" t="n">
        <v>0</v>
      </c>
      <c r="AC259" s="52" t="n">
        <v>0</v>
      </c>
      <c r="AD259" s="52" t="n">
        <v>0</v>
      </c>
      <c r="AE259" s="52" t="n">
        <v>0</v>
      </c>
      <c r="AF259" s="52" t="n">
        <v>0</v>
      </c>
      <c r="AG259" s="52" t="n">
        <v>0</v>
      </c>
      <c r="AH259" s="52" t="n">
        <v>0</v>
      </c>
      <c r="AI259" s="52" t="n">
        <v>0</v>
      </c>
      <c r="AJ259" s="52" t="n">
        <v>0</v>
      </c>
      <c r="AK259" s="52" t="n">
        <v>0</v>
      </c>
      <c r="AL259" s="52" t="n">
        <v>0</v>
      </c>
      <c r="AM259" s="53" t="n">
        <v>0</v>
      </c>
      <c r="AN259" s="53" t="n">
        <v>0</v>
      </c>
      <c r="AO259" s="53" t="n">
        <v>0</v>
      </c>
      <c r="AP259" s="53" t="n">
        <v>0</v>
      </c>
      <c r="AQ259" s="52" t="n">
        <v>0</v>
      </c>
      <c r="AR259" s="52" t="n">
        <v>0</v>
      </c>
      <c r="AS259" s="52" t="n">
        <v>0</v>
      </c>
      <c r="AT259" s="52" t="n">
        <v>0</v>
      </c>
      <c r="AU259" s="53" t="n">
        <v>0</v>
      </c>
      <c r="AV259" s="53" t="n">
        <v>0</v>
      </c>
      <c r="AW259" s="53" t="n">
        <v>0</v>
      </c>
      <c r="AX259" s="53" t="n">
        <v>0</v>
      </c>
      <c r="AY259" s="52" t="n">
        <v>0</v>
      </c>
      <c r="AZ259" s="52" t="n">
        <v>0</v>
      </c>
      <c r="BA259" s="52" t="n">
        <v>0</v>
      </c>
      <c r="BB259" s="52" t="n">
        <v>0</v>
      </c>
      <c r="BC259" s="51" t="n">
        <v>0</v>
      </c>
      <c r="BD259" s="51" t="n">
        <v>0</v>
      </c>
      <c r="BE259" s="51" t="n">
        <v>0</v>
      </c>
      <c r="BF259" s="51" t="n">
        <v>0</v>
      </c>
    </row>
    <row r="260">
      <c r="A260">
        <f>HYPERLINK("https://www.walmart.com/ip/5466654409", "5466654409")</f>
        <v/>
      </c>
      <c r="B260" t="inlineStr">
        <is>
          <t>Outdoor Wide Brim Sun Hats Blocking UV Protection Cap UPF 50+ Foldable Mesh Net for Finishing, Hiking, Camping by Solari</t>
        </is>
      </c>
      <c r="C260" t="inlineStr">
        <is>
          <t>1SLSH912CAMO-A</t>
        </is>
      </c>
      <c r="D260" t="inlineStr">
        <is>
          <t>Hats</t>
        </is>
      </c>
      <c r="E260" t="inlineStr">
        <is>
          <t>Solaris</t>
        </is>
      </c>
      <c r="G260" s="48" t="n">
        <v>0</v>
      </c>
      <c r="H260" s="48" t="n">
        <v>0</v>
      </c>
      <c r="I260" s="48" t="n">
        <v>0</v>
      </c>
      <c r="J260" s="48" t="n">
        <v>0</v>
      </c>
      <c r="K260" s="49" t="n">
        <v>0</v>
      </c>
      <c r="L260" s="49" t="n">
        <v>0</v>
      </c>
      <c r="M260" s="49" t="n">
        <v>0</v>
      </c>
      <c r="N260" s="49" t="n">
        <v>0</v>
      </c>
      <c r="O260" s="49" t="n">
        <v>0</v>
      </c>
      <c r="P260" s="49" t="n">
        <v>0</v>
      </c>
      <c r="Q260" s="49" t="n">
        <v>0</v>
      </c>
      <c r="R260" s="49" t="n">
        <v>0</v>
      </c>
      <c r="S260" s="50" t="n">
        <v>0</v>
      </c>
      <c r="T260" s="50" t="n">
        <v>0</v>
      </c>
      <c r="U260" s="50" t="n">
        <v>0</v>
      </c>
      <c r="V260" s="50" t="n">
        <v>0</v>
      </c>
      <c r="W260" s="51" t="n">
        <v>0</v>
      </c>
      <c r="X260" s="51" t="n">
        <v>0</v>
      </c>
      <c r="Y260" s="51" t="n">
        <v>0</v>
      </c>
      <c r="Z260" s="51" t="n">
        <v>0</v>
      </c>
      <c r="AA260" s="52" t="n">
        <v>0</v>
      </c>
      <c r="AB260" s="52" t="n">
        <v>0</v>
      </c>
      <c r="AC260" s="52" t="n">
        <v>0</v>
      </c>
      <c r="AD260" s="52" t="n">
        <v>0</v>
      </c>
      <c r="AE260" s="52" t="n">
        <v>0</v>
      </c>
      <c r="AF260" s="52" t="n">
        <v>0</v>
      </c>
      <c r="AG260" s="52" t="n">
        <v>0</v>
      </c>
      <c r="AH260" s="52" t="n">
        <v>0</v>
      </c>
      <c r="AI260" s="52" t="n">
        <v>0</v>
      </c>
      <c r="AJ260" s="52" t="n">
        <v>0</v>
      </c>
      <c r="AK260" s="52" t="n">
        <v>0</v>
      </c>
      <c r="AL260" s="52" t="n">
        <v>0</v>
      </c>
      <c r="AM260" s="53" t="n">
        <v>0</v>
      </c>
      <c r="AN260" s="53" t="n">
        <v>0</v>
      </c>
      <c r="AO260" s="53" t="n">
        <v>0</v>
      </c>
      <c r="AP260" s="53" t="n">
        <v>0</v>
      </c>
      <c r="AQ260" s="52" t="n">
        <v>0</v>
      </c>
      <c r="AR260" s="52" t="n">
        <v>0</v>
      </c>
      <c r="AS260" s="52" t="n">
        <v>0</v>
      </c>
      <c r="AT260" s="52" t="n">
        <v>0</v>
      </c>
      <c r="AU260" s="53" t="n">
        <v>0</v>
      </c>
      <c r="AV260" s="53" t="n">
        <v>0</v>
      </c>
      <c r="AW260" s="53" t="n">
        <v>0</v>
      </c>
      <c r="AX260" s="53" t="n">
        <v>0</v>
      </c>
      <c r="AY260" s="52" t="n">
        <v>0</v>
      </c>
      <c r="AZ260" s="52" t="n">
        <v>0</v>
      </c>
      <c r="BA260" s="52" t="n">
        <v>0</v>
      </c>
      <c r="BB260" s="52" t="n">
        <v>0</v>
      </c>
      <c r="BC260" s="51" t="n">
        <v>0</v>
      </c>
      <c r="BD260" s="51" t="n">
        <v>0</v>
      </c>
      <c r="BE260" s="51" t="n">
        <v>0</v>
      </c>
      <c r="BF260" s="51" t="n">
        <v>0</v>
      </c>
    </row>
    <row r="261">
      <c r="A261">
        <f>HYPERLINK("https://www.walmart.com/ip/563122764", "563122764")</f>
        <v/>
      </c>
      <c r="B261" t="inlineStr">
        <is>
          <t>Sherpa Throw Blanket Fleece, Super Cozy Warm TV Blankets for Bed or Couch Reversible 50" x 60"</t>
        </is>
      </c>
      <c r="C261" t="inlineStr">
        <is>
          <t>1TNBF300BL-TPB</t>
        </is>
      </c>
      <c r="D261" t="inlineStr">
        <is>
          <t>Throws</t>
        </is>
      </c>
      <c r="E261" t="inlineStr">
        <is>
          <t>Tirrinia</t>
        </is>
      </c>
      <c r="G261" s="48" t="n">
        <v>0</v>
      </c>
      <c r="H261" s="48" t="n">
        <v>0</v>
      </c>
      <c r="I261" s="48" t="n">
        <v>0</v>
      </c>
      <c r="J261" s="48" t="n">
        <v>0</v>
      </c>
      <c r="K261" s="49" t="n">
        <v>0</v>
      </c>
      <c r="L261" s="49" t="n">
        <v>0</v>
      </c>
      <c r="M261" s="49" t="n">
        <v>0</v>
      </c>
      <c r="N261" s="49" t="n">
        <v>0</v>
      </c>
      <c r="O261" s="49" t="n">
        <v>0</v>
      </c>
      <c r="P261" s="49" t="n">
        <v>0</v>
      </c>
      <c r="Q261" s="49" t="n">
        <v>0</v>
      </c>
      <c r="R261" s="49" t="n">
        <v>0</v>
      </c>
      <c r="S261" s="50" t="n">
        <v>0</v>
      </c>
      <c r="T261" s="50" t="n">
        <v>0</v>
      </c>
      <c r="U261" s="50" t="n">
        <v>0</v>
      </c>
      <c r="V261" s="50" t="n">
        <v>0</v>
      </c>
      <c r="W261" s="51" t="n">
        <v>0</v>
      </c>
      <c r="X261" s="51" t="n">
        <v>0</v>
      </c>
      <c r="Y261" s="51" t="n">
        <v>0</v>
      </c>
      <c r="Z261" s="51" t="n">
        <v>0</v>
      </c>
      <c r="AA261" s="52" t="n">
        <v>0</v>
      </c>
      <c r="AB261" s="52" t="n">
        <v>0</v>
      </c>
      <c r="AC261" s="52" t="n">
        <v>0</v>
      </c>
      <c r="AD261" s="52" t="n">
        <v>0</v>
      </c>
      <c r="AE261" s="52" t="n">
        <v>0</v>
      </c>
      <c r="AF261" s="52" t="n">
        <v>0</v>
      </c>
      <c r="AG261" s="52" t="n">
        <v>0</v>
      </c>
      <c r="AH261" s="52" t="n">
        <v>0</v>
      </c>
      <c r="AI261" s="52" t="n">
        <v>0</v>
      </c>
      <c r="AJ261" s="52" t="n">
        <v>0</v>
      </c>
      <c r="AK261" s="52" t="n">
        <v>0</v>
      </c>
      <c r="AL261" s="52" t="n">
        <v>0</v>
      </c>
      <c r="AM261" s="53" t="n">
        <v>0</v>
      </c>
      <c r="AN261" s="53" t="n">
        <v>0</v>
      </c>
      <c r="AO261" s="53" t="n">
        <v>0</v>
      </c>
      <c r="AP261" s="53" t="n">
        <v>0</v>
      </c>
      <c r="AQ261" s="52" t="n">
        <v>0</v>
      </c>
      <c r="AR261" s="52" t="n">
        <v>0</v>
      </c>
      <c r="AS261" s="52" t="n">
        <v>0</v>
      </c>
      <c r="AT261" s="52" t="n">
        <v>0</v>
      </c>
      <c r="AU261" s="53" t="n">
        <v>0</v>
      </c>
      <c r="AV261" s="53" t="n">
        <v>0</v>
      </c>
      <c r="AW261" s="53" t="n">
        <v>0</v>
      </c>
      <c r="AX261" s="53" t="n">
        <v>0</v>
      </c>
      <c r="AY261" s="52" t="n">
        <v>0</v>
      </c>
      <c r="AZ261" s="52" t="n">
        <v>0</v>
      </c>
      <c r="BA261" s="52" t="n">
        <v>0</v>
      </c>
      <c r="BB261" s="52" t="n">
        <v>0</v>
      </c>
      <c r="BC261" s="51" t="n">
        <v>0</v>
      </c>
      <c r="BD261" s="51" t="n">
        <v>0</v>
      </c>
      <c r="BE261" s="51" t="n">
        <v>0</v>
      </c>
      <c r="BF261" s="51" t="n">
        <v>0</v>
      </c>
    </row>
    <row r="262">
      <c r="A262">
        <f>HYPERLINK("https://www.walmart.com/ip/619536116", "619536116")</f>
        <v/>
      </c>
      <c r="B262" t="inlineStr">
        <is>
          <t>Catalonia Waterproof Pee Proof Blanket, Couch, Sofa and Bed Protector Cover for Baby, Super Cozy Plush Fleece Warm Sherpa Lining, Throw Blanket for Boating and Camping, Lt Gray/Dk Gray, 80" x 90"</t>
        </is>
      </c>
      <c r="C262" t="inlineStr">
        <is>
          <t>1CTBW981LGDG</t>
        </is>
      </c>
      <c r="D262" t="inlineStr">
        <is>
          <t>Throws</t>
        </is>
      </c>
      <c r="E262" t="inlineStr">
        <is>
          <t>Catalonia</t>
        </is>
      </c>
      <c r="F262" t="inlineStr">
        <is>
          <t>Optimized,WFS,SEM,WFS Item</t>
        </is>
      </c>
      <c r="G262" s="48" t="n">
        <v>0</v>
      </c>
      <c r="H262" s="48" t="n">
        <v>0</v>
      </c>
      <c r="I262" s="48" t="n">
        <v>0</v>
      </c>
      <c r="J262" s="48" t="n">
        <v>0</v>
      </c>
      <c r="K262" s="49" t="n">
        <v>0</v>
      </c>
      <c r="L262" s="49" t="n">
        <v>0</v>
      </c>
      <c r="M262" s="49" t="n">
        <v>0</v>
      </c>
      <c r="N262" s="49" t="n">
        <v>0</v>
      </c>
      <c r="O262" s="49" t="n">
        <v>0</v>
      </c>
      <c r="P262" s="49" t="n">
        <v>0</v>
      </c>
      <c r="Q262" s="49" t="n">
        <v>0</v>
      </c>
      <c r="R262" s="49" t="n">
        <v>0</v>
      </c>
      <c r="S262" s="50" t="n">
        <v>0</v>
      </c>
      <c r="T262" s="50" t="n">
        <v>0</v>
      </c>
      <c r="U262" s="50" t="n">
        <v>0</v>
      </c>
      <c r="V262" s="50" t="n">
        <v>0</v>
      </c>
      <c r="W262" s="51" t="n">
        <v>0</v>
      </c>
      <c r="X262" s="51" t="n">
        <v>0</v>
      </c>
      <c r="Y262" s="51" t="n">
        <v>0</v>
      </c>
      <c r="Z262" s="51" t="n">
        <v>0</v>
      </c>
      <c r="AA262" s="52" t="n">
        <v>0</v>
      </c>
      <c r="AB262" s="52" t="n">
        <v>0</v>
      </c>
      <c r="AC262" s="52" t="n">
        <v>0</v>
      </c>
      <c r="AD262" s="52" t="n">
        <v>0</v>
      </c>
      <c r="AE262" s="52" t="n">
        <v>0</v>
      </c>
      <c r="AF262" s="52" t="n">
        <v>0</v>
      </c>
      <c r="AG262" s="52" t="n">
        <v>0</v>
      </c>
      <c r="AH262" s="52" t="n">
        <v>0</v>
      </c>
      <c r="AI262" s="52" t="n">
        <v>0</v>
      </c>
      <c r="AJ262" s="52" t="n">
        <v>0</v>
      </c>
      <c r="AK262" s="52" t="n">
        <v>0</v>
      </c>
      <c r="AL262" s="52" t="n">
        <v>0</v>
      </c>
      <c r="AM262" s="53" t="n">
        <v>0</v>
      </c>
      <c r="AN262" s="53" t="n">
        <v>0</v>
      </c>
      <c r="AO262" s="53" t="n">
        <v>0</v>
      </c>
      <c r="AP262" s="53" t="n">
        <v>0</v>
      </c>
      <c r="AQ262" s="52" t="n">
        <v>0</v>
      </c>
      <c r="AR262" s="52" t="n">
        <v>0</v>
      </c>
      <c r="AS262" s="52" t="n">
        <v>0</v>
      </c>
      <c r="AT262" s="52" t="n">
        <v>0</v>
      </c>
      <c r="AU262" s="53" t="n">
        <v>0</v>
      </c>
      <c r="AV262" s="53" t="n">
        <v>0</v>
      </c>
      <c r="AW262" s="53" t="n">
        <v>0</v>
      </c>
      <c r="AX262" s="53" t="n">
        <v>0</v>
      </c>
      <c r="AY262" s="52" t="n">
        <v>0</v>
      </c>
      <c r="AZ262" s="52" t="n">
        <v>0</v>
      </c>
      <c r="BA262" s="52" t="n">
        <v>0</v>
      </c>
      <c r="BB262" s="52" t="n">
        <v>0</v>
      </c>
      <c r="BC262" s="51" t="n">
        <v>0</v>
      </c>
      <c r="BD262" s="51" t="n">
        <v>0</v>
      </c>
      <c r="BE262" s="51" t="n">
        <v>0</v>
      </c>
      <c r="BF262" s="51" t="n">
        <v>0</v>
      </c>
    </row>
    <row r="263">
      <c r="A263">
        <f>HYPERLINK("https://www.walmart.com/ip/546302367", "546302367")</f>
        <v/>
      </c>
      <c r="B263" t="inlineStr">
        <is>
          <t>Catalonia Reversible Sherpa Throw Blanket, Super Soft Fluffy Blanket for Couch,  Fuzzy Comfy Warm Throws, Comfort Caring Gift, 50x60 inches, Purple</t>
        </is>
      </c>
      <c r="C263" t="inlineStr">
        <is>
          <t>1CTBF578PP</t>
        </is>
      </c>
      <c r="D263" t="inlineStr">
        <is>
          <t>Throws</t>
        </is>
      </c>
      <c r="E263" t="inlineStr">
        <is>
          <t>Catalonia</t>
        </is>
      </c>
      <c r="F263" t="inlineStr">
        <is>
          <t>Q2-Target,WFS,WFS Item</t>
        </is>
      </c>
      <c r="G263" s="48" t="n">
        <v>0</v>
      </c>
      <c r="H263" s="48" t="n">
        <v>0</v>
      </c>
      <c r="I263" s="48" t="n">
        <v>0</v>
      </c>
      <c r="J263" s="48" t="n">
        <v>0</v>
      </c>
      <c r="K263" s="49" t="n">
        <v>0</v>
      </c>
      <c r="L263" s="49" t="n">
        <v>0</v>
      </c>
      <c r="M263" s="49" t="n">
        <v>0</v>
      </c>
      <c r="N263" s="49" t="n">
        <v>0</v>
      </c>
      <c r="O263" s="49" t="n">
        <v>0</v>
      </c>
      <c r="P263" s="49" t="n">
        <v>0</v>
      </c>
      <c r="Q263" s="49" t="n">
        <v>0</v>
      </c>
      <c r="R263" s="49" t="n">
        <v>0</v>
      </c>
      <c r="S263" s="50" t="n">
        <v>0</v>
      </c>
      <c r="T263" s="50" t="n">
        <v>0</v>
      </c>
      <c r="U263" s="50" t="n">
        <v>0</v>
      </c>
      <c r="V263" s="50" t="n">
        <v>0</v>
      </c>
      <c r="W263" s="51" t="n">
        <v>0</v>
      </c>
      <c r="X263" s="51" t="n">
        <v>0</v>
      </c>
      <c r="Y263" s="51" t="n">
        <v>0</v>
      </c>
      <c r="Z263" s="51" t="n">
        <v>0</v>
      </c>
      <c r="AA263" s="52" t="n">
        <v>0</v>
      </c>
      <c r="AB263" s="52" t="n">
        <v>0</v>
      </c>
      <c r="AC263" s="52" t="n">
        <v>0</v>
      </c>
      <c r="AD263" s="52" t="n">
        <v>0</v>
      </c>
      <c r="AE263" s="52" t="n">
        <v>0</v>
      </c>
      <c r="AF263" s="52" t="n">
        <v>0</v>
      </c>
      <c r="AG263" s="52" t="n">
        <v>0</v>
      </c>
      <c r="AH263" s="52" t="n">
        <v>0</v>
      </c>
      <c r="AI263" s="52" t="n">
        <v>0</v>
      </c>
      <c r="AJ263" s="52" t="n">
        <v>0</v>
      </c>
      <c r="AK263" s="52" t="n">
        <v>0</v>
      </c>
      <c r="AL263" s="52" t="n">
        <v>0</v>
      </c>
      <c r="AM263" s="53" t="n">
        <v>0</v>
      </c>
      <c r="AN263" s="53" t="n">
        <v>0</v>
      </c>
      <c r="AO263" s="53" t="n">
        <v>0</v>
      </c>
      <c r="AP263" s="53" t="n">
        <v>0</v>
      </c>
      <c r="AQ263" s="52" t="n">
        <v>0</v>
      </c>
      <c r="AR263" s="52" t="n">
        <v>0</v>
      </c>
      <c r="AS263" s="52" t="n">
        <v>0</v>
      </c>
      <c r="AT263" s="52" t="n">
        <v>0</v>
      </c>
      <c r="AU263" s="53" t="n">
        <v>0</v>
      </c>
      <c r="AV263" s="53" t="n">
        <v>0</v>
      </c>
      <c r="AW263" s="53" t="n">
        <v>0</v>
      </c>
      <c r="AX263" s="53" t="n">
        <v>0</v>
      </c>
      <c r="AY263" s="52" t="n">
        <v>0</v>
      </c>
      <c r="AZ263" s="52" t="n">
        <v>0</v>
      </c>
      <c r="BA263" s="52" t="n">
        <v>0</v>
      </c>
      <c r="BB263" s="52" t="n">
        <v>0</v>
      </c>
      <c r="BC263" s="51" t="n">
        <v>0</v>
      </c>
      <c r="BD263" s="51" t="n">
        <v>0</v>
      </c>
      <c r="BE263" s="51" t="n">
        <v>0</v>
      </c>
      <c r="BF263" s="51" t="n">
        <v>0</v>
      </c>
    </row>
    <row r="264">
      <c r="A264">
        <f>HYPERLINK("https://www.walmart.com/ip/5462074610", "5462074610")</f>
        <v/>
      </c>
      <c r="B264" t="inlineStr">
        <is>
          <t>Solaris Unisex Large Bill Flap Sun Hat Camping Hiking Hunting Fishing Cap</t>
        </is>
      </c>
      <c r="C264" t="inlineStr">
        <is>
          <t>1SLSH911CAMO-C</t>
        </is>
      </c>
      <c r="D264" t="inlineStr">
        <is>
          <t>Hats</t>
        </is>
      </c>
      <c r="E264" t="inlineStr">
        <is>
          <t>Solaris</t>
        </is>
      </c>
      <c r="G264" s="48" t="n">
        <v>0</v>
      </c>
      <c r="H264" s="48" t="n">
        <v>0</v>
      </c>
      <c r="I264" s="48" t="n">
        <v>0</v>
      </c>
      <c r="J264" s="48" t="n">
        <v>0</v>
      </c>
      <c r="K264" s="49" t="n">
        <v>0</v>
      </c>
      <c r="L264" s="49" t="n">
        <v>0</v>
      </c>
      <c r="M264" s="49" t="n">
        <v>0</v>
      </c>
      <c r="N264" s="49" t="n">
        <v>0</v>
      </c>
      <c r="O264" s="49" t="n">
        <v>0</v>
      </c>
      <c r="P264" s="49" t="n">
        <v>0</v>
      </c>
      <c r="Q264" s="49" t="n">
        <v>0</v>
      </c>
      <c r="R264" s="49" t="n">
        <v>0</v>
      </c>
      <c r="S264" s="50" t="n">
        <v>0</v>
      </c>
      <c r="T264" s="50" t="n">
        <v>0</v>
      </c>
      <c r="U264" s="50" t="n">
        <v>0</v>
      </c>
      <c r="V264" s="50" t="n">
        <v>0</v>
      </c>
      <c r="W264" s="51" t="n">
        <v>0</v>
      </c>
      <c r="X264" s="51" t="n">
        <v>0</v>
      </c>
      <c r="Y264" s="51" t="n">
        <v>0</v>
      </c>
      <c r="Z264" s="51" t="n">
        <v>0</v>
      </c>
      <c r="AA264" s="52" t="n">
        <v>0</v>
      </c>
      <c r="AB264" s="52" t="n">
        <v>0</v>
      </c>
      <c r="AC264" s="52" t="n">
        <v>0</v>
      </c>
      <c r="AD264" s="52" t="n">
        <v>0</v>
      </c>
      <c r="AE264" s="52" t="n">
        <v>0</v>
      </c>
      <c r="AF264" s="52" t="n">
        <v>0</v>
      </c>
      <c r="AG264" s="52" t="n">
        <v>0</v>
      </c>
      <c r="AH264" s="52" t="n">
        <v>0</v>
      </c>
      <c r="AI264" s="52" t="n">
        <v>0</v>
      </c>
      <c r="AJ264" s="52" t="n">
        <v>0</v>
      </c>
      <c r="AK264" s="52" t="n">
        <v>0</v>
      </c>
      <c r="AL264" s="52" t="n">
        <v>0</v>
      </c>
      <c r="AM264" s="53" t="n">
        <v>0</v>
      </c>
      <c r="AN264" s="53" t="n">
        <v>0</v>
      </c>
      <c r="AO264" s="53" t="n">
        <v>0</v>
      </c>
      <c r="AP264" s="53" t="n">
        <v>0</v>
      </c>
      <c r="AQ264" s="52" t="n">
        <v>0</v>
      </c>
      <c r="AR264" s="52" t="n">
        <v>0</v>
      </c>
      <c r="AS264" s="52" t="n">
        <v>0</v>
      </c>
      <c r="AT264" s="52" t="n">
        <v>0</v>
      </c>
      <c r="AU264" s="53" t="n">
        <v>0</v>
      </c>
      <c r="AV264" s="53" t="n">
        <v>0</v>
      </c>
      <c r="AW264" s="53" t="n">
        <v>0</v>
      </c>
      <c r="AX264" s="53" t="n">
        <v>0</v>
      </c>
      <c r="AY264" s="52" t="n">
        <v>0</v>
      </c>
      <c r="AZ264" s="52" t="n">
        <v>0</v>
      </c>
      <c r="BA264" s="52" t="n">
        <v>0</v>
      </c>
      <c r="BB264" s="52" t="n">
        <v>0</v>
      </c>
      <c r="BC264" s="51" t="n">
        <v>0</v>
      </c>
      <c r="BD264" s="51" t="n">
        <v>0</v>
      </c>
      <c r="BE264" s="51" t="n">
        <v>0</v>
      </c>
      <c r="BF264" s="51" t="n">
        <v>0</v>
      </c>
    </row>
    <row r="265">
      <c r="A265">
        <f>HYPERLINK("https://www.walmart.com/ip/545848684", "545848684")</f>
        <v/>
      </c>
      <c r="B265" t="inlineStr">
        <is>
          <t>Sherpa Slipper Socks for Women,Winter Indoor Home Non Skid Booties</t>
        </is>
      </c>
      <c r="C265" t="inlineStr">
        <is>
          <t>1CTST200DBL-2</t>
        </is>
      </c>
      <c r="D265" t="inlineStr">
        <is>
          <t>Socks</t>
        </is>
      </c>
      <c r="E265" t="inlineStr">
        <is>
          <t>Catalonia</t>
        </is>
      </c>
      <c r="F265" t="inlineStr">
        <is>
          <t>WFS,WFS Item</t>
        </is>
      </c>
      <c r="G265" s="48" t="n">
        <v>0</v>
      </c>
      <c r="H265" s="48" t="n">
        <v>0</v>
      </c>
      <c r="I265" s="48" t="n">
        <v>0</v>
      </c>
      <c r="J265" s="48" t="n">
        <v>0</v>
      </c>
      <c r="K265" s="49" t="n">
        <v>0</v>
      </c>
      <c r="L265" s="49" t="n">
        <v>0</v>
      </c>
      <c r="M265" s="49" t="n">
        <v>0</v>
      </c>
      <c r="N265" s="49" t="n">
        <v>0</v>
      </c>
      <c r="O265" s="49" t="n">
        <v>0</v>
      </c>
      <c r="P265" s="49" t="n">
        <v>0</v>
      </c>
      <c r="Q265" s="49" t="n">
        <v>0</v>
      </c>
      <c r="R265" s="49" t="n">
        <v>0</v>
      </c>
      <c r="S265" s="50" t="n">
        <v>0</v>
      </c>
      <c r="T265" s="50" t="n">
        <v>0</v>
      </c>
      <c r="U265" s="50" t="n">
        <v>0</v>
      </c>
      <c r="V265" s="50" t="n">
        <v>0</v>
      </c>
      <c r="W265" s="51" t="n">
        <v>0</v>
      </c>
      <c r="X265" s="51" t="n">
        <v>0</v>
      </c>
      <c r="Y265" s="51" t="n">
        <v>0</v>
      </c>
      <c r="Z265" s="51" t="n">
        <v>0</v>
      </c>
      <c r="AA265" s="52" t="n">
        <v>0</v>
      </c>
      <c r="AB265" s="52" t="n">
        <v>0</v>
      </c>
      <c r="AC265" s="52" t="n">
        <v>0</v>
      </c>
      <c r="AD265" s="52" t="n">
        <v>0</v>
      </c>
      <c r="AE265" s="52" t="n">
        <v>0</v>
      </c>
      <c r="AF265" s="52" t="n">
        <v>0</v>
      </c>
      <c r="AG265" s="52" t="n">
        <v>0</v>
      </c>
      <c r="AH265" s="52" t="n">
        <v>0</v>
      </c>
      <c r="AI265" s="52" t="n">
        <v>0</v>
      </c>
      <c r="AJ265" s="52" t="n">
        <v>0</v>
      </c>
      <c r="AK265" s="52" t="n">
        <v>0</v>
      </c>
      <c r="AL265" s="52" t="n">
        <v>0</v>
      </c>
      <c r="AM265" s="53" t="n">
        <v>0</v>
      </c>
      <c r="AN265" s="53" t="n">
        <v>0</v>
      </c>
      <c r="AO265" s="53" t="n">
        <v>0</v>
      </c>
      <c r="AP265" s="53" t="n">
        <v>0</v>
      </c>
      <c r="AQ265" s="52" t="n">
        <v>0</v>
      </c>
      <c r="AR265" s="52" t="n">
        <v>0</v>
      </c>
      <c r="AS265" s="52" t="n">
        <v>0</v>
      </c>
      <c r="AT265" s="52" t="n">
        <v>0</v>
      </c>
      <c r="AU265" s="53" t="n">
        <v>0</v>
      </c>
      <c r="AV265" s="53" t="n">
        <v>0</v>
      </c>
      <c r="AW265" s="53" t="n">
        <v>0</v>
      </c>
      <c r="AX265" s="53" t="n">
        <v>0</v>
      </c>
      <c r="AY265" s="52" t="n">
        <v>0</v>
      </c>
      <c r="AZ265" s="52" t="n">
        <v>0</v>
      </c>
      <c r="BA265" s="52" t="n">
        <v>0</v>
      </c>
      <c r="BB265" s="52" t="n">
        <v>0</v>
      </c>
      <c r="BC265" s="51" t="n">
        <v>0</v>
      </c>
      <c r="BD265" s="51" t="n">
        <v>0</v>
      </c>
      <c r="BE265" s="51" t="n">
        <v>0</v>
      </c>
      <c r="BF265" s="51" t="n">
        <v>0</v>
      </c>
    </row>
    <row r="266">
      <c r="A266">
        <f>HYPERLINK("https://www.walmart.com/ip/5455200650", "5455200650")</f>
        <v/>
      </c>
      <c r="B266" t="inlineStr">
        <is>
          <t>Solaris Unisex Large Bill Flap Sun Hat Camping Hiking Hunting Fishing Cap</t>
        </is>
      </c>
      <c r="C266" t="inlineStr">
        <is>
          <t>1SLSH911CAMO-B</t>
        </is>
      </c>
      <c r="D266" t="inlineStr">
        <is>
          <t>Hats</t>
        </is>
      </c>
      <c r="E266" t="inlineStr">
        <is>
          <t>Solaris</t>
        </is>
      </c>
      <c r="G266" s="48" t="n">
        <v>0</v>
      </c>
      <c r="H266" s="48" t="n">
        <v>0</v>
      </c>
      <c r="I266" s="48" t="n">
        <v>0</v>
      </c>
      <c r="J266" s="48" t="n">
        <v>0</v>
      </c>
      <c r="K266" s="49" t="n">
        <v>0</v>
      </c>
      <c r="L266" s="49" t="n">
        <v>0</v>
      </c>
      <c r="M266" s="49" t="n">
        <v>0</v>
      </c>
      <c r="N266" s="49" t="n">
        <v>0</v>
      </c>
      <c r="O266" s="49" t="n">
        <v>0</v>
      </c>
      <c r="P266" s="49" t="n">
        <v>0</v>
      </c>
      <c r="Q266" s="49" t="n">
        <v>0</v>
      </c>
      <c r="R266" s="49" t="n">
        <v>0</v>
      </c>
      <c r="S266" s="50" t="n">
        <v>0</v>
      </c>
      <c r="T266" s="50" t="n">
        <v>0</v>
      </c>
      <c r="U266" s="50" t="n">
        <v>0</v>
      </c>
      <c r="V266" s="50" t="n">
        <v>0</v>
      </c>
      <c r="W266" s="51" t="n">
        <v>0</v>
      </c>
      <c r="X266" s="51" t="n">
        <v>0</v>
      </c>
      <c r="Y266" s="51" t="n">
        <v>0</v>
      </c>
      <c r="Z266" s="51" t="n">
        <v>0</v>
      </c>
      <c r="AA266" s="52" t="n">
        <v>0</v>
      </c>
      <c r="AB266" s="52" t="n">
        <v>0</v>
      </c>
      <c r="AC266" s="52" t="n">
        <v>0</v>
      </c>
      <c r="AD266" s="52" t="n">
        <v>0</v>
      </c>
      <c r="AE266" s="52" t="n">
        <v>0</v>
      </c>
      <c r="AF266" s="52" t="n">
        <v>0</v>
      </c>
      <c r="AG266" s="52" t="n">
        <v>0</v>
      </c>
      <c r="AH266" s="52" t="n">
        <v>0</v>
      </c>
      <c r="AI266" s="52" t="n">
        <v>0</v>
      </c>
      <c r="AJ266" s="52" t="n">
        <v>0</v>
      </c>
      <c r="AK266" s="52" t="n">
        <v>0</v>
      </c>
      <c r="AL266" s="52" t="n">
        <v>0</v>
      </c>
      <c r="AM266" s="53" t="n">
        <v>0</v>
      </c>
      <c r="AN266" s="53" t="n">
        <v>0</v>
      </c>
      <c r="AO266" s="53" t="n">
        <v>0</v>
      </c>
      <c r="AP266" s="53" t="n">
        <v>0</v>
      </c>
      <c r="AQ266" s="52" t="n">
        <v>0</v>
      </c>
      <c r="AR266" s="52" t="n">
        <v>0</v>
      </c>
      <c r="AS266" s="52" t="n">
        <v>0</v>
      </c>
      <c r="AT266" s="52" t="n">
        <v>0</v>
      </c>
      <c r="AU266" s="53" t="n">
        <v>0</v>
      </c>
      <c r="AV266" s="53" t="n">
        <v>0</v>
      </c>
      <c r="AW266" s="53" t="n">
        <v>0</v>
      </c>
      <c r="AX266" s="53" t="n">
        <v>0</v>
      </c>
      <c r="AY266" s="52" t="n">
        <v>0</v>
      </c>
      <c r="AZ266" s="52" t="n">
        <v>0</v>
      </c>
      <c r="BA266" s="52" t="n">
        <v>0</v>
      </c>
      <c r="BB266" s="52" t="n">
        <v>0</v>
      </c>
      <c r="BC266" s="51" t="n">
        <v>0</v>
      </c>
      <c r="BD266" s="51" t="n">
        <v>0</v>
      </c>
      <c r="BE266" s="51" t="n">
        <v>0</v>
      </c>
      <c r="BF266" s="51" t="n">
        <v>0</v>
      </c>
    </row>
    <row r="267">
      <c r="A267">
        <f>HYPERLINK("https://www.walmart.com/ip/5452371930", "5452371930")</f>
        <v/>
      </c>
      <c r="B267" t="inlineStr">
        <is>
          <t>Outdoor Wide Brim Sun Hats with Neck Flap Blocking UV Protection Cap by Solaris Unisex UPF 50+ Foldable Mesh Net for Fin</t>
        </is>
      </c>
      <c r="C267" t="inlineStr">
        <is>
          <t>1SLSH910CAMO-C</t>
        </is>
      </c>
      <c r="D267" t="inlineStr">
        <is>
          <t>Hats</t>
        </is>
      </c>
      <c r="E267" t="inlineStr">
        <is>
          <t>Solaris</t>
        </is>
      </c>
      <c r="G267" s="48" t="n">
        <v>0</v>
      </c>
      <c r="H267" s="48" t="n">
        <v>0</v>
      </c>
      <c r="I267" s="48" t="n">
        <v>0</v>
      </c>
      <c r="J267" s="48" t="n">
        <v>0</v>
      </c>
      <c r="K267" s="49" t="n">
        <v>0</v>
      </c>
      <c r="L267" s="49" t="n">
        <v>0</v>
      </c>
      <c r="M267" s="49" t="n">
        <v>0</v>
      </c>
      <c r="N267" s="49" t="n">
        <v>0</v>
      </c>
      <c r="O267" s="49" t="n">
        <v>0</v>
      </c>
      <c r="P267" s="49" t="n">
        <v>0</v>
      </c>
      <c r="Q267" s="49" t="n">
        <v>0</v>
      </c>
      <c r="R267" s="49" t="n">
        <v>0</v>
      </c>
      <c r="S267" s="50" t="n">
        <v>0</v>
      </c>
      <c r="T267" s="50" t="n">
        <v>0</v>
      </c>
      <c r="U267" s="50" t="n">
        <v>0</v>
      </c>
      <c r="V267" s="50" t="n">
        <v>0</v>
      </c>
      <c r="W267" s="51" t="n">
        <v>0</v>
      </c>
      <c r="X267" s="51" t="n">
        <v>0</v>
      </c>
      <c r="Y267" s="51" t="n">
        <v>0</v>
      </c>
      <c r="Z267" s="51" t="n">
        <v>0</v>
      </c>
      <c r="AA267" s="52" t="n">
        <v>0</v>
      </c>
      <c r="AB267" s="52" t="n">
        <v>0</v>
      </c>
      <c r="AC267" s="52" t="n">
        <v>0</v>
      </c>
      <c r="AD267" s="52" t="n">
        <v>0</v>
      </c>
      <c r="AE267" s="52" t="n">
        <v>0</v>
      </c>
      <c r="AF267" s="52" t="n">
        <v>0</v>
      </c>
      <c r="AG267" s="52" t="n">
        <v>0</v>
      </c>
      <c r="AH267" s="52" t="n">
        <v>0</v>
      </c>
      <c r="AI267" s="52" t="n">
        <v>0</v>
      </c>
      <c r="AJ267" s="52" t="n">
        <v>0</v>
      </c>
      <c r="AK267" s="52" t="n">
        <v>0</v>
      </c>
      <c r="AL267" s="52" t="n">
        <v>0</v>
      </c>
      <c r="AM267" s="53" t="n">
        <v>0</v>
      </c>
      <c r="AN267" s="53" t="n">
        <v>0</v>
      </c>
      <c r="AO267" s="53" t="n">
        <v>0</v>
      </c>
      <c r="AP267" s="53" t="n">
        <v>0</v>
      </c>
      <c r="AQ267" s="52" t="n">
        <v>0</v>
      </c>
      <c r="AR267" s="52" t="n">
        <v>0</v>
      </c>
      <c r="AS267" s="52" t="n">
        <v>0</v>
      </c>
      <c r="AT267" s="52" t="n">
        <v>0</v>
      </c>
      <c r="AU267" s="53" t="n">
        <v>0</v>
      </c>
      <c r="AV267" s="53" t="n">
        <v>0</v>
      </c>
      <c r="AW267" s="53" t="n">
        <v>0</v>
      </c>
      <c r="AX267" s="53" t="n">
        <v>0</v>
      </c>
      <c r="AY267" s="52" t="n">
        <v>0</v>
      </c>
      <c r="AZ267" s="52" t="n">
        <v>0</v>
      </c>
      <c r="BA267" s="52" t="n">
        <v>0</v>
      </c>
      <c r="BB267" s="52" t="n">
        <v>0</v>
      </c>
      <c r="BC267" s="51" t="n">
        <v>0</v>
      </c>
      <c r="BD267" s="51" t="n">
        <v>0</v>
      </c>
      <c r="BE267" s="51" t="n">
        <v>0</v>
      </c>
      <c r="BF267" s="51" t="n">
        <v>0</v>
      </c>
    </row>
    <row r="268">
      <c r="A268">
        <f>HYPERLINK("https://www.walmart.com/ip/544975182", "544975182")</f>
        <v/>
      </c>
      <c r="B268" t="inlineStr">
        <is>
          <t>Sun Blocker UV Protection Hat, Unisex Wide Brim, Large Bill, Neck Flap, Mesh Nets, Adjustable Drawstring, Gray</t>
        </is>
      </c>
      <c r="C268" t="inlineStr">
        <is>
          <t>KC-S9152-GY</t>
        </is>
      </c>
      <c r="D268" t="inlineStr">
        <is>
          <t>Hats</t>
        </is>
      </c>
      <c r="E268" t="inlineStr">
        <is>
          <t>Tirrinia</t>
        </is>
      </c>
      <c r="F268" t="inlineStr">
        <is>
          <t>WFS,Hats,WFS Item</t>
        </is>
      </c>
      <c r="G268" s="48" t="n">
        <v>0</v>
      </c>
      <c r="H268" s="48" t="n">
        <v>0</v>
      </c>
      <c r="I268" s="48" t="n">
        <v>0</v>
      </c>
      <c r="J268" s="48" t="n">
        <v>0</v>
      </c>
      <c r="K268" s="49" t="n">
        <v>0</v>
      </c>
      <c r="L268" s="49" t="n">
        <v>0</v>
      </c>
      <c r="M268" s="49" t="n">
        <v>0</v>
      </c>
      <c r="N268" s="49" t="n">
        <v>0</v>
      </c>
      <c r="O268" s="49" t="n">
        <v>0</v>
      </c>
      <c r="P268" s="49" t="n">
        <v>0</v>
      </c>
      <c r="Q268" s="49" t="n">
        <v>0</v>
      </c>
      <c r="R268" s="49" t="n">
        <v>0</v>
      </c>
      <c r="S268" s="50" t="n">
        <v>0</v>
      </c>
      <c r="T268" s="50" t="n">
        <v>0</v>
      </c>
      <c r="U268" s="50" t="n">
        <v>0</v>
      </c>
      <c r="V268" s="50" t="n">
        <v>0</v>
      </c>
      <c r="W268" s="51" t="n">
        <v>0</v>
      </c>
      <c r="X268" s="51" t="n">
        <v>0</v>
      </c>
      <c r="Y268" s="51" t="n">
        <v>0</v>
      </c>
      <c r="Z268" s="51" t="n">
        <v>0</v>
      </c>
      <c r="AA268" s="52" t="n">
        <v>0</v>
      </c>
      <c r="AB268" s="52" t="n">
        <v>0</v>
      </c>
      <c r="AC268" s="52" t="n">
        <v>0</v>
      </c>
      <c r="AD268" s="52" t="n">
        <v>0</v>
      </c>
      <c r="AE268" s="52" t="n">
        <v>0</v>
      </c>
      <c r="AF268" s="52" t="n">
        <v>0</v>
      </c>
      <c r="AG268" s="52" t="n">
        <v>0</v>
      </c>
      <c r="AH268" s="52" t="n">
        <v>0</v>
      </c>
      <c r="AI268" s="52" t="n">
        <v>0</v>
      </c>
      <c r="AJ268" s="52" t="n">
        <v>0</v>
      </c>
      <c r="AK268" s="52" t="n">
        <v>0</v>
      </c>
      <c r="AL268" s="52" t="n">
        <v>0</v>
      </c>
      <c r="AM268" s="53" t="n">
        <v>0</v>
      </c>
      <c r="AN268" s="53" t="n">
        <v>0</v>
      </c>
      <c r="AO268" s="53" t="n">
        <v>0</v>
      </c>
      <c r="AP268" s="53" t="n">
        <v>0</v>
      </c>
      <c r="AQ268" s="52" t="n">
        <v>0</v>
      </c>
      <c r="AR268" s="52" t="n">
        <v>0</v>
      </c>
      <c r="AS268" s="52" t="n">
        <v>0</v>
      </c>
      <c r="AT268" s="52" t="n">
        <v>0</v>
      </c>
      <c r="AU268" s="53" t="n">
        <v>0</v>
      </c>
      <c r="AV268" s="53" t="n">
        <v>0</v>
      </c>
      <c r="AW268" s="53" t="n">
        <v>0</v>
      </c>
      <c r="AX268" s="53" t="n">
        <v>0</v>
      </c>
      <c r="AY268" s="52" t="n">
        <v>0</v>
      </c>
      <c r="AZ268" s="52" t="n">
        <v>0</v>
      </c>
      <c r="BA268" s="52" t="n">
        <v>0</v>
      </c>
      <c r="BB268" s="52" t="n">
        <v>0</v>
      </c>
      <c r="BC268" s="51" t="n">
        <v>0</v>
      </c>
      <c r="BD268" s="51" t="n">
        <v>0</v>
      </c>
      <c r="BE268" s="51" t="n">
        <v>0</v>
      </c>
      <c r="BF268" s="51" t="n">
        <v>0</v>
      </c>
    </row>
    <row r="269">
      <c r="A269">
        <f>HYPERLINK("https://www.walmart.com/ip/620436100", "620436100")</f>
        <v/>
      </c>
      <c r="B269" t="inlineStr">
        <is>
          <t>Jennis  8in1 Stylish Ladies Magic Scarf Shawl Woolly Charcoal Fiber Head Wrap</t>
        </is>
      </c>
      <c r="C269" t="inlineStr">
        <is>
          <t>MagicScarfLilac</t>
        </is>
      </c>
      <c r="D269" t="inlineStr">
        <is>
          <t>Scarves</t>
        </is>
      </c>
      <c r="E269" t="inlineStr">
        <is>
          <t>JenniWears</t>
        </is>
      </c>
      <c r="F269" t="inlineStr">
        <is>
          <t>Optimized,SEM</t>
        </is>
      </c>
      <c r="G269" s="48" t="n">
        <v>0</v>
      </c>
      <c r="H269" s="48" t="n">
        <v>0</v>
      </c>
      <c r="I269" s="48" t="n">
        <v>0</v>
      </c>
      <c r="J269" s="48" t="n">
        <v>0</v>
      </c>
      <c r="K269" s="49" t="n">
        <v>0</v>
      </c>
      <c r="L269" s="49" t="n">
        <v>0</v>
      </c>
      <c r="M269" s="49" t="n">
        <v>0</v>
      </c>
      <c r="N269" s="49" t="n">
        <v>0</v>
      </c>
      <c r="O269" s="49" t="n">
        <v>0</v>
      </c>
      <c r="P269" s="49" t="n">
        <v>0</v>
      </c>
      <c r="Q269" s="49" t="n">
        <v>0</v>
      </c>
      <c r="R269" s="49" t="n">
        <v>0</v>
      </c>
      <c r="S269" s="50" t="n">
        <v>0</v>
      </c>
      <c r="T269" s="50" t="n">
        <v>0</v>
      </c>
      <c r="U269" s="50" t="n">
        <v>0</v>
      </c>
      <c r="V269" s="50" t="n">
        <v>0</v>
      </c>
      <c r="W269" s="51" t="n">
        <v>0</v>
      </c>
      <c r="X269" s="51" t="n">
        <v>0</v>
      </c>
      <c r="Y269" s="51" t="n">
        <v>0</v>
      </c>
      <c r="Z269" s="51" t="n">
        <v>0</v>
      </c>
      <c r="AA269" s="52" t="n">
        <v>0</v>
      </c>
      <c r="AB269" s="52" t="n">
        <v>0</v>
      </c>
      <c r="AC269" s="52" t="n">
        <v>0</v>
      </c>
      <c r="AD269" s="52" t="n">
        <v>0</v>
      </c>
      <c r="AE269" s="52" t="n">
        <v>0</v>
      </c>
      <c r="AF269" s="52" t="n">
        <v>0</v>
      </c>
      <c r="AG269" s="52" t="n">
        <v>0</v>
      </c>
      <c r="AH269" s="52" t="n">
        <v>0</v>
      </c>
      <c r="AI269" s="52" t="n">
        <v>0</v>
      </c>
      <c r="AJ269" s="52" t="n">
        <v>0</v>
      </c>
      <c r="AK269" s="52" t="n">
        <v>0</v>
      </c>
      <c r="AL269" s="52" t="n">
        <v>0</v>
      </c>
      <c r="AM269" s="53" t="n">
        <v>0</v>
      </c>
      <c r="AN269" s="53" t="n">
        <v>0</v>
      </c>
      <c r="AO269" s="53" t="n">
        <v>0</v>
      </c>
      <c r="AP269" s="53" t="n">
        <v>0</v>
      </c>
      <c r="AQ269" s="52" t="n">
        <v>0</v>
      </c>
      <c r="AR269" s="52" t="n">
        <v>0</v>
      </c>
      <c r="AS269" s="52" t="n">
        <v>0</v>
      </c>
      <c r="AT269" s="52" t="n">
        <v>0</v>
      </c>
      <c r="AU269" s="53" t="n">
        <v>0</v>
      </c>
      <c r="AV269" s="53" t="n">
        <v>0</v>
      </c>
      <c r="AW269" s="53" t="n">
        <v>0</v>
      </c>
      <c r="AX269" s="53" t="n">
        <v>0</v>
      </c>
      <c r="AY269" s="52" t="n">
        <v>0</v>
      </c>
      <c r="AZ269" s="52" t="n">
        <v>0</v>
      </c>
      <c r="BA269" s="52" t="n">
        <v>0</v>
      </c>
      <c r="BB269" s="52" t="n">
        <v>0</v>
      </c>
      <c r="BC269" s="51" t="n">
        <v>0</v>
      </c>
      <c r="BD269" s="51" t="n">
        <v>0</v>
      </c>
      <c r="BE269" s="51" t="n">
        <v>0</v>
      </c>
      <c r="BF269" s="51" t="n">
        <v>0</v>
      </c>
    </row>
    <row r="270">
      <c r="A270">
        <f>HYPERLINK("https://www.walmart.com/ip/544771597", "544771597")</f>
        <v/>
      </c>
      <c r="B270" t="inlineStr">
        <is>
          <t>E27 9W LED Bulb Corn Lights 2800-3200K Warm White Light Lamp Super Bright (100w brightness) 810-900lm 58-SMD 2835 (AC 100~240V)</t>
        </is>
      </c>
      <c r="C270" t="inlineStr">
        <is>
          <t>ST-HZT-1006X-WWT</t>
        </is>
      </c>
      <c r="D270" t="inlineStr">
        <is>
          <t>Light Bulbs</t>
        </is>
      </c>
      <c r="E270" t="inlineStr">
        <is>
          <t>Surjtech</t>
        </is>
      </c>
      <c r="F270" t="inlineStr">
        <is>
          <t>Optimized</t>
        </is>
      </c>
      <c r="G270" s="48" t="n">
        <v>0</v>
      </c>
      <c r="H270" s="48" t="n">
        <v>0</v>
      </c>
      <c r="I270" s="48" t="n">
        <v>0</v>
      </c>
      <c r="J270" s="48" t="n">
        <v>0</v>
      </c>
      <c r="K270" s="49" t="n">
        <v>0</v>
      </c>
      <c r="L270" s="49" t="n">
        <v>0</v>
      </c>
      <c r="M270" s="49" t="n">
        <v>0</v>
      </c>
      <c r="N270" s="49" t="n">
        <v>0</v>
      </c>
      <c r="O270" s="49" t="n">
        <v>0</v>
      </c>
      <c r="P270" s="49" t="n">
        <v>0</v>
      </c>
      <c r="Q270" s="49" t="n">
        <v>0</v>
      </c>
      <c r="R270" s="49" t="n">
        <v>0</v>
      </c>
      <c r="S270" s="50" t="n">
        <v>0</v>
      </c>
      <c r="T270" s="50" t="n">
        <v>0</v>
      </c>
      <c r="U270" s="50" t="n">
        <v>0</v>
      </c>
      <c r="V270" s="50" t="n">
        <v>0</v>
      </c>
      <c r="W270" s="51" t="n">
        <v>0</v>
      </c>
      <c r="X270" s="51" t="n">
        <v>0</v>
      </c>
      <c r="Y270" s="51" t="n">
        <v>0</v>
      </c>
      <c r="Z270" s="51" t="n">
        <v>0</v>
      </c>
      <c r="AA270" s="52" t="n">
        <v>0</v>
      </c>
      <c r="AB270" s="52" t="n">
        <v>0</v>
      </c>
      <c r="AC270" s="52" t="n">
        <v>0</v>
      </c>
      <c r="AD270" s="52" t="n">
        <v>0</v>
      </c>
      <c r="AE270" s="52" t="n">
        <v>0</v>
      </c>
      <c r="AF270" s="52" t="n">
        <v>0</v>
      </c>
      <c r="AG270" s="52" t="n">
        <v>0</v>
      </c>
      <c r="AH270" s="52" t="n">
        <v>0</v>
      </c>
      <c r="AI270" s="52" t="n">
        <v>0</v>
      </c>
      <c r="AJ270" s="52" t="n">
        <v>0</v>
      </c>
      <c r="AK270" s="52" t="n">
        <v>0</v>
      </c>
      <c r="AL270" s="52" t="n">
        <v>0</v>
      </c>
      <c r="AM270" s="53" t="n">
        <v>0</v>
      </c>
      <c r="AN270" s="53" t="n">
        <v>0</v>
      </c>
      <c r="AO270" s="53" t="n">
        <v>0</v>
      </c>
      <c r="AP270" s="53" t="n">
        <v>0</v>
      </c>
      <c r="AQ270" s="52" t="n">
        <v>0</v>
      </c>
      <c r="AR270" s="52" t="n">
        <v>0</v>
      </c>
      <c r="AS270" s="52" t="n">
        <v>0</v>
      </c>
      <c r="AT270" s="52" t="n">
        <v>0</v>
      </c>
      <c r="AU270" s="53" t="n">
        <v>0</v>
      </c>
      <c r="AV270" s="53" t="n">
        <v>0</v>
      </c>
      <c r="AW270" s="53" t="n">
        <v>0</v>
      </c>
      <c r="AX270" s="53" t="n">
        <v>0</v>
      </c>
      <c r="AY270" s="52" t="n">
        <v>0</v>
      </c>
      <c r="AZ270" s="52" t="n">
        <v>0</v>
      </c>
      <c r="BA270" s="52" t="n">
        <v>0</v>
      </c>
      <c r="BB270" s="52" t="n">
        <v>0</v>
      </c>
      <c r="BC270" s="51" t="n">
        <v>0</v>
      </c>
      <c r="BD270" s="51" t="n">
        <v>0</v>
      </c>
      <c r="BE270" s="51" t="n">
        <v>0</v>
      </c>
      <c r="BF270" s="51" t="n">
        <v>0</v>
      </c>
    </row>
    <row r="271">
      <c r="A271">
        <f>HYPERLINK("https://www.walmart.com/ip/5440208933", "5440208933")</f>
        <v/>
      </c>
      <c r="B271" t="inlineStr">
        <is>
          <t>Solaris Unisex Large Bill Flap Sun Hat Camping Hiking Hunting Fishing Cap</t>
        </is>
      </c>
      <c r="C271" t="inlineStr">
        <is>
          <t>1SLSH911DIGIGN</t>
        </is>
      </c>
      <c r="D271" t="inlineStr">
        <is>
          <t>Hats</t>
        </is>
      </c>
      <c r="E271" t="inlineStr">
        <is>
          <t>Solaris</t>
        </is>
      </c>
      <c r="G271" s="48" t="n">
        <v>0</v>
      </c>
      <c r="H271" s="48" t="n">
        <v>0</v>
      </c>
      <c r="I271" s="48" t="n">
        <v>0</v>
      </c>
      <c r="J271" s="48" t="n">
        <v>0</v>
      </c>
      <c r="K271" s="49" t="n">
        <v>0</v>
      </c>
      <c r="L271" s="49" t="n">
        <v>0</v>
      </c>
      <c r="M271" s="49" t="n">
        <v>0</v>
      </c>
      <c r="N271" s="49" t="n">
        <v>0</v>
      </c>
      <c r="O271" s="49" t="n">
        <v>0</v>
      </c>
      <c r="P271" s="49" t="n">
        <v>0</v>
      </c>
      <c r="Q271" s="49" t="n">
        <v>0</v>
      </c>
      <c r="R271" s="49" t="n">
        <v>0</v>
      </c>
      <c r="S271" s="50" t="n">
        <v>0</v>
      </c>
      <c r="T271" s="50" t="n">
        <v>0</v>
      </c>
      <c r="U271" s="50" t="n">
        <v>0</v>
      </c>
      <c r="V271" s="50" t="n">
        <v>0</v>
      </c>
      <c r="W271" s="51" t="n">
        <v>0</v>
      </c>
      <c r="X271" s="51" t="n">
        <v>0</v>
      </c>
      <c r="Y271" s="51" t="n">
        <v>0</v>
      </c>
      <c r="Z271" s="51" t="n">
        <v>0</v>
      </c>
      <c r="AA271" s="52" t="n">
        <v>0</v>
      </c>
      <c r="AB271" s="52" t="n">
        <v>0</v>
      </c>
      <c r="AC271" s="52" t="n">
        <v>0</v>
      </c>
      <c r="AD271" s="52" t="n">
        <v>0</v>
      </c>
      <c r="AE271" s="52" t="n">
        <v>0</v>
      </c>
      <c r="AF271" s="52" t="n">
        <v>0</v>
      </c>
      <c r="AG271" s="52" t="n">
        <v>0</v>
      </c>
      <c r="AH271" s="52" t="n">
        <v>0</v>
      </c>
      <c r="AI271" s="52" t="n">
        <v>0</v>
      </c>
      <c r="AJ271" s="52" t="n">
        <v>0</v>
      </c>
      <c r="AK271" s="52" t="n">
        <v>0</v>
      </c>
      <c r="AL271" s="52" t="n">
        <v>0</v>
      </c>
      <c r="AM271" s="53" t="n">
        <v>0</v>
      </c>
      <c r="AN271" s="53" t="n">
        <v>0</v>
      </c>
      <c r="AO271" s="53" t="n">
        <v>0</v>
      </c>
      <c r="AP271" s="53" t="n">
        <v>0</v>
      </c>
      <c r="AQ271" s="52" t="n">
        <v>0</v>
      </c>
      <c r="AR271" s="52" t="n">
        <v>0</v>
      </c>
      <c r="AS271" s="52" t="n">
        <v>0</v>
      </c>
      <c r="AT271" s="52" t="n">
        <v>0</v>
      </c>
      <c r="AU271" s="53" t="n">
        <v>0</v>
      </c>
      <c r="AV271" s="53" t="n">
        <v>0</v>
      </c>
      <c r="AW271" s="53" t="n">
        <v>0</v>
      </c>
      <c r="AX271" s="53" t="n">
        <v>0</v>
      </c>
      <c r="AY271" s="52" t="n">
        <v>0</v>
      </c>
      <c r="AZ271" s="52" t="n">
        <v>0</v>
      </c>
      <c r="BA271" s="52" t="n">
        <v>0</v>
      </c>
      <c r="BB271" s="52" t="n">
        <v>0</v>
      </c>
      <c r="BC271" s="51" t="n">
        <v>0</v>
      </c>
      <c r="BD271" s="51" t="n">
        <v>0</v>
      </c>
      <c r="BE271" s="51" t="n">
        <v>0</v>
      </c>
      <c r="BF271" s="51" t="n">
        <v>0</v>
      </c>
    </row>
    <row r="272">
      <c r="A272">
        <f>HYPERLINK("https://www.walmart.com/ip/619585970", "619585970")</f>
        <v/>
      </c>
      <c r="B272" t="inlineStr">
        <is>
          <t>Wearable Lounging Blanket, Super Soft Warm Cozy Reversible Fuzzy, Extra Soft for Sofa Warm Blanket, Lightweight, Red Plaid, 55" X 71".</t>
        </is>
      </c>
      <c r="C272" t="inlineStr">
        <is>
          <t>1CTSN201PRD</t>
        </is>
      </c>
      <c r="D272" t="inlineStr">
        <is>
          <t>Throws</t>
        </is>
      </c>
      <c r="E272" t="inlineStr">
        <is>
          <t>Catalonia</t>
        </is>
      </c>
      <c r="F272" t="inlineStr">
        <is>
          <t>Q2-Target,WFS,Coupon_Discount,WFS Item</t>
        </is>
      </c>
      <c r="G272" s="48" t="n">
        <v>0</v>
      </c>
      <c r="H272" s="48" t="n">
        <v>0</v>
      </c>
      <c r="I272" s="48" t="n">
        <v>0</v>
      </c>
      <c r="J272" s="48" t="n">
        <v>0</v>
      </c>
      <c r="K272" s="49" t="n">
        <v>0</v>
      </c>
      <c r="L272" s="49" t="n">
        <v>0</v>
      </c>
      <c r="M272" s="49" t="n">
        <v>0</v>
      </c>
      <c r="N272" s="49" t="n">
        <v>0</v>
      </c>
      <c r="O272" s="49" t="n">
        <v>0</v>
      </c>
      <c r="P272" s="49" t="n">
        <v>0</v>
      </c>
      <c r="Q272" s="49" t="n">
        <v>0</v>
      </c>
      <c r="R272" s="49" t="n">
        <v>0</v>
      </c>
      <c r="S272" s="50" t="n">
        <v>0</v>
      </c>
      <c r="T272" s="50" t="n">
        <v>0</v>
      </c>
      <c r="U272" s="50" t="n">
        <v>0</v>
      </c>
      <c r="V272" s="50" t="n">
        <v>0</v>
      </c>
      <c r="W272" s="51" t="n">
        <v>0</v>
      </c>
      <c r="X272" s="51" t="n">
        <v>0</v>
      </c>
      <c r="Y272" s="51" t="n">
        <v>0</v>
      </c>
      <c r="Z272" s="51" t="n">
        <v>0</v>
      </c>
      <c r="AA272" s="52" t="n">
        <v>0</v>
      </c>
      <c r="AB272" s="52" t="n">
        <v>0</v>
      </c>
      <c r="AC272" s="52" t="n">
        <v>0</v>
      </c>
      <c r="AD272" s="52" t="n">
        <v>0</v>
      </c>
      <c r="AE272" s="52" t="n">
        <v>0</v>
      </c>
      <c r="AF272" s="52" t="n">
        <v>0</v>
      </c>
      <c r="AG272" s="52" t="n">
        <v>0</v>
      </c>
      <c r="AH272" s="52" t="n">
        <v>0</v>
      </c>
      <c r="AI272" s="52" t="n">
        <v>0</v>
      </c>
      <c r="AJ272" s="52" t="n">
        <v>0</v>
      </c>
      <c r="AK272" s="52" t="n">
        <v>0</v>
      </c>
      <c r="AL272" s="52" t="n">
        <v>0</v>
      </c>
      <c r="AM272" s="53" t="n">
        <v>0</v>
      </c>
      <c r="AN272" s="53" t="n">
        <v>0</v>
      </c>
      <c r="AO272" s="53" t="n">
        <v>0</v>
      </c>
      <c r="AP272" s="53" t="n">
        <v>0</v>
      </c>
      <c r="AQ272" s="52" t="n">
        <v>0</v>
      </c>
      <c r="AR272" s="52" t="n">
        <v>0</v>
      </c>
      <c r="AS272" s="52" t="n">
        <v>0</v>
      </c>
      <c r="AT272" s="52" t="n">
        <v>0</v>
      </c>
      <c r="AU272" s="53" t="n">
        <v>0</v>
      </c>
      <c r="AV272" s="53" t="n">
        <v>0</v>
      </c>
      <c r="AW272" s="53" t="n">
        <v>0</v>
      </c>
      <c r="AX272" s="53" t="n">
        <v>0</v>
      </c>
      <c r="AY272" s="52" t="n">
        <v>0</v>
      </c>
      <c r="AZ272" s="52" t="n">
        <v>0</v>
      </c>
      <c r="BA272" s="52" t="n">
        <v>0</v>
      </c>
      <c r="BB272" s="52" t="n">
        <v>0</v>
      </c>
      <c r="BC272" s="51" t="n">
        <v>0</v>
      </c>
      <c r="BD272" s="51" t="n">
        <v>0</v>
      </c>
      <c r="BE272" s="51" t="n">
        <v>0</v>
      </c>
      <c r="BF272" s="51" t="n">
        <v>0</v>
      </c>
    </row>
    <row r="273">
      <c r="A273">
        <f>HYPERLINK("https://www.walmart.com/ip/544009988", "544009988")</f>
        <v/>
      </c>
      <c r="B273" t="inlineStr">
        <is>
          <t>Oversized Hooded Poncho Cape, Casual Hoodie Sweatshirt, Batwing Coat Pullover | Light Weight, Cozy, Comfortable, Roomy | for Adults Women Men Teens</t>
        </is>
      </c>
      <c r="C273" t="inlineStr">
        <is>
          <t>1WMHD540S1GN</t>
        </is>
      </c>
      <c r="D273" t="inlineStr">
        <is>
          <t>Sweatshirts &amp; Hoodies</t>
        </is>
      </c>
      <c r="E273" t="inlineStr">
        <is>
          <t>Flyingstar</t>
        </is>
      </c>
      <c r="F273" t="inlineStr">
        <is>
          <t>Hoodie ForAdult,Optimized</t>
        </is>
      </c>
      <c r="G273" s="48" t="n">
        <v>0</v>
      </c>
      <c r="H273" s="48" t="n">
        <v>0</v>
      </c>
      <c r="I273" s="48" t="n">
        <v>0</v>
      </c>
      <c r="J273" s="48" t="n">
        <v>0</v>
      </c>
      <c r="K273" s="49" t="n">
        <v>0</v>
      </c>
      <c r="L273" s="49" t="n">
        <v>0</v>
      </c>
      <c r="M273" s="49" t="n">
        <v>0</v>
      </c>
      <c r="N273" s="49" t="n">
        <v>0</v>
      </c>
      <c r="O273" s="49" t="n">
        <v>0</v>
      </c>
      <c r="P273" s="49" t="n">
        <v>0</v>
      </c>
      <c r="Q273" s="49" t="n">
        <v>0</v>
      </c>
      <c r="R273" s="49" t="n">
        <v>0</v>
      </c>
      <c r="S273" s="50" t="n">
        <v>0</v>
      </c>
      <c r="T273" s="50" t="n">
        <v>0</v>
      </c>
      <c r="U273" s="50" t="n">
        <v>0</v>
      </c>
      <c r="V273" s="50" t="n">
        <v>0</v>
      </c>
      <c r="W273" s="51" t="n">
        <v>0</v>
      </c>
      <c r="X273" s="51" t="n">
        <v>0</v>
      </c>
      <c r="Y273" s="51" t="n">
        <v>0</v>
      </c>
      <c r="Z273" s="51" t="n">
        <v>0</v>
      </c>
      <c r="AA273" s="52" t="n">
        <v>0</v>
      </c>
      <c r="AB273" s="52" t="n">
        <v>0</v>
      </c>
      <c r="AC273" s="52" t="n">
        <v>0</v>
      </c>
      <c r="AD273" s="52" t="n">
        <v>0</v>
      </c>
      <c r="AE273" s="52" t="n">
        <v>0</v>
      </c>
      <c r="AF273" s="52" t="n">
        <v>0</v>
      </c>
      <c r="AG273" s="52" t="n">
        <v>0</v>
      </c>
      <c r="AH273" s="52" t="n">
        <v>0</v>
      </c>
      <c r="AI273" s="52" t="n">
        <v>0</v>
      </c>
      <c r="AJ273" s="52" t="n">
        <v>0</v>
      </c>
      <c r="AK273" s="52" t="n">
        <v>0</v>
      </c>
      <c r="AL273" s="52" t="n">
        <v>0</v>
      </c>
      <c r="AM273" s="53" t="n">
        <v>0</v>
      </c>
      <c r="AN273" s="53" t="n">
        <v>0</v>
      </c>
      <c r="AO273" s="53" t="n">
        <v>0</v>
      </c>
      <c r="AP273" s="53" t="n">
        <v>0</v>
      </c>
      <c r="AQ273" s="52" t="n">
        <v>0</v>
      </c>
      <c r="AR273" s="52" t="n">
        <v>0</v>
      </c>
      <c r="AS273" s="52" t="n">
        <v>0</v>
      </c>
      <c r="AT273" s="52" t="n">
        <v>0</v>
      </c>
      <c r="AU273" s="53" t="n">
        <v>0</v>
      </c>
      <c r="AV273" s="53" t="n">
        <v>0</v>
      </c>
      <c r="AW273" s="53" t="n">
        <v>0</v>
      </c>
      <c r="AX273" s="53" t="n">
        <v>0</v>
      </c>
      <c r="AY273" s="52" t="n">
        <v>0</v>
      </c>
      <c r="AZ273" s="52" t="n">
        <v>0</v>
      </c>
      <c r="BA273" s="52" t="n">
        <v>0</v>
      </c>
      <c r="BB273" s="52" t="n">
        <v>0</v>
      </c>
      <c r="BC273" s="51" t="n">
        <v>0</v>
      </c>
      <c r="BD273" s="51" t="n">
        <v>0</v>
      </c>
      <c r="BE273" s="51" t="n">
        <v>0</v>
      </c>
      <c r="BF273" s="51" t="n">
        <v>0</v>
      </c>
    </row>
    <row r="274">
      <c r="A274">
        <f>HYPERLINK("https://www.walmart.com/ip/543537506", "543537506")</f>
        <v/>
      </c>
      <c r="B274" t="inlineStr">
        <is>
          <t>Catalonia Sherpa Wearable Blanket Poncho for Adult Women Men, Wrap Blanket Cape with Pocket, Warm, Soft, Cozy, Snuggly, Comfort Gift, No Sleeves, Plaid Buffalo Christmas</t>
        </is>
      </c>
      <c r="C274" t="inlineStr">
        <is>
          <t>1CTBP110P2RD</t>
        </is>
      </c>
      <c r="D274" t="inlineStr">
        <is>
          <t>Throws</t>
        </is>
      </c>
      <c r="E274" t="inlineStr">
        <is>
          <t>Catalonia</t>
        </is>
      </c>
      <c r="F274" t="inlineStr">
        <is>
          <t>Q2-Target,Hero 5 Holidays,Coupon_Discount,Batch 1 - TR</t>
        </is>
      </c>
      <c r="G274" s="48" t="n">
        <v>0</v>
      </c>
      <c r="H274" s="48" t="n">
        <v>0</v>
      </c>
      <c r="I274" s="48" t="n">
        <v>-32.99</v>
      </c>
      <c r="J274" s="48" t="n">
        <v>0</v>
      </c>
      <c r="K274" s="49" t="n">
        <v>0</v>
      </c>
      <c r="L274" s="49" t="n">
        <v>0</v>
      </c>
      <c r="M274" s="49" t="n">
        <v>-1</v>
      </c>
      <c r="N274" s="49" t="n">
        <v>0</v>
      </c>
      <c r="O274" s="49" t="n">
        <v>0</v>
      </c>
      <c r="P274" s="49" t="n">
        <v>0</v>
      </c>
      <c r="Q274" s="49" t="n">
        <v>0</v>
      </c>
      <c r="R274" s="49" t="n">
        <v>0</v>
      </c>
      <c r="S274" s="50" t="n">
        <v>0</v>
      </c>
      <c r="T274" s="50" t="n">
        <v>0</v>
      </c>
      <c r="U274" s="50" t="n">
        <v>0</v>
      </c>
      <c r="V274" s="50" t="n">
        <v>0</v>
      </c>
      <c r="W274" s="51" t="n">
        <v>0</v>
      </c>
      <c r="X274" s="51" t="n">
        <v>0</v>
      </c>
      <c r="Y274" s="51" t="n">
        <v>0</v>
      </c>
      <c r="Z274" s="51" t="n">
        <v>0</v>
      </c>
      <c r="AA274" s="52" t="n">
        <v>0</v>
      </c>
      <c r="AB274" s="52" t="n">
        <v>0</v>
      </c>
      <c r="AC274" s="52" t="n">
        <v>0</v>
      </c>
      <c r="AD274" s="52" t="n">
        <v>0</v>
      </c>
      <c r="AE274" s="52" t="n">
        <v>0</v>
      </c>
      <c r="AF274" s="52" t="n">
        <v>0</v>
      </c>
      <c r="AG274" s="52" t="n">
        <v>0</v>
      </c>
      <c r="AH274" s="52" t="n">
        <v>0</v>
      </c>
      <c r="AI274" s="52" t="n">
        <v>0</v>
      </c>
      <c r="AJ274" s="52" t="n">
        <v>0</v>
      </c>
      <c r="AK274" s="52" t="n">
        <v>0</v>
      </c>
      <c r="AL274" s="52" t="n">
        <v>0</v>
      </c>
      <c r="AM274" s="53" t="n">
        <v>0</v>
      </c>
      <c r="AN274" s="53" t="n">
        <v>0</v>
      </c>
      <c r="AO274" s="53" t="n">
        <v>0</v>
      </c>
      <c r="AP274" s="53" t="n">
        <v>0</v>
      </c>
      <c r="AQ274" s="52" t="n">
        <v>0</v>
      </c>
      <c r="AR274" s="52" t="n">
        <v>0</v>
      </c>
      <c r="AS274" s="52" t="n">
        <v>0</v>
      </c>
      <c r="AT274" s="52" t="n">
        <v>0</v>
      </c>
      <c r="AU274" s="53" t="n">
        <v>0</v>
      </c>
      <c r="AV274" s="53" t="n">
        <v>0</v>
      </c>
      <c r="AW274" s="53" t="n">
        <v>0</v>
      </c>
      <c r="AX274" s="53" t="n">
        <v>0</v>
      </c>
      <c r="AY274" s="52" t="n">
        <v>0</v>
      </c>
      <c r="AZ274" s="52" t="n">
        <v>0</v>
      </c>
      <c r="BA274" s="52" t="n">
        <v>0</v>
      </c>
      <c r="BB274" s="52" t="n">
        <v>0</v>
      </c>
      <c r="BC274" s="51" t="n">
        <v>0</v>
      </c>
      <c r="BD274" s="51" t="n">
        <v>0</v>
      </c>
      <c r="BE274" s="51" t="n">
        <v>0</v>
      </c>
      <c r="BF274" s="51" t="n">
        <v>0</v>
      </c>
    </row>
    <row r="275">
      <c r="A275">
        <f>HYPERLINK("https://www.walmart.com/ip/543036914", "543036914")</f>
        <v/>
      </c>
      <c r="B275" t="inlineStr">
        <is>
          <t>Tirrinia Super-Soft Fuzzy Plush Throw Reversible Sherpa Fleece Blanket, 50" x 60", Zebra Pattern</t>
        </is>
      </c>
      <c r="C275" t="inlineStr">
        <is>
          <t>1TRBF300ZEBRA-TBCB</t>
        </is>
      </c>
      <c r="D275" t="inlineStr">
        <is>
          <t>Throws</t>
        </is>
      </c>
      <c r="E275" t="inlineStr">
        <is>
          <t>Tirrinia</t>
        </is>
      </c>
      <c r="F275" t="inlineStr">
        <is>
          <t>Optimized</t>
        </is>
      </c>
      <c r="G275" s="48" t="n">
        <v>0</v>
      </c>
      <c r="H275" s="48" t="n">
        <v>0</v>
      </c>
      <c r="I275" s="48" t="n">
        <v>0</v>
      </c>
      <c r="J275" s="48" t="n">
        <v>0</v>
      </c>
      <c r="K275" s="49" t="n">
        <v>0</v>
      </c>
      <c r="L275" s="49" t="n">
        <v>0</v>
      </c>
      <c r="M275" s="49" t="n">
        <v>0</v>
      </c>
      <c r="N275" s="49" t="n">
        <v>0</v>
      </c>
      <c r="O275" s="49" t="n">
        <v>0</v>
      </c>
      <c r="P275" s="49" t="n">
        <v>0</v>
      </c>
      <c r="Q275" s="49" t="n">
        <v>0</v>
      </c>
      <c r="R275" s="49" t="n">
        <v>0</v>
      </c>
      <c r="S275" s="50" t="n">
        <v>0</v>
      </c>
      <c r="T275" s="50" t="n">
        <v>0</v>
      </c>
      <c r="U275" s="50" t="n">
        <v>0</v>
      </c>
      <c r="V275" s="50" t="n">
        <v>0</v>
      </c>
      <c r="W275" s="51" t="n">
        <v>0</v>
      </c>
      <c r="X275" s="51" t="n">
        <v>0</v>
      </c>
      <c r="Y275" s="51" t="n">
        <v>0</v>
      </c>
      <c r="Z275" s="51" t="n">
        <v>0</v>
      </c>
      <c r="AA275" s="52" t="n">
        <v>0</v>
      </c>
      <c r="AB275" s="52" t="n">
        <v>0</v>
      </c>
      <c r="AC275" s="52" t="n">
        <v>0</v>
      </c>
      <c r="AD275" s="52" t="n">
        <v>0</v>
      </c>
      <c r="AE275" s="52" t="n">
        <v>0</v>
      </c>
      <c r="AF275" s="52" t="n">
        <v>0</v>
      </c>
      <c r="AG275" s="52" t="n">
        <v>0</v>
      </c>
      <c r="AH275" s="52" t="n">
        <v>0</v>
      </c>
      <c r="AI275" s="52" t="n">
        <v>0</v>
      </c>
      <c r="AJ275" s="52" t="n">
        <v>0</v>
      </c>
      <c r="AK275" s="52" t="n">
        <v>0</v>
      </c>
      <c r="AL275" s="52" t="n">
        <v>0</v>
      </c>
      <c r="AM275" s="53" t="n">
        <v>0</v>
      </c>
      <c r="AN275" s="53" t="n">
        <v>0</v>
      </c>
      <c r="AO275" s="53" t="n">
        <v>0</v>
      </c>
      <c r="AP275" s="53" t="n">
        <v>0</v>
      </c>
      <c r="AQ275" s="52" t="n">
        <v>0</v>
      </c>
      <c r="AR275" s="52" t="n">
        <v>0</v>
      </c>
      <c r="AS275" s="52" t="n">
        <v>0</v>
      </c>
      <c r="AT275" s="52" t="n">
        <v>0</v>
      </c>
      <c r="AU275" s="53" t="n">
        <v>0</v>
      </c>
      <c r="AV275" s="53" t="n">
        <v>0</v>
      </c>
      <c r="AW275" s="53" t="n">
        <v>0</v>
      </c>
      <c r="AX275" s="53" t="n">
        <v>0</v>
      </c>
      <c r="AY275" s="52" t="n">
        <v>0</v>
      </c>
      <c r="AZ275" s="52" t="n">
        <v>0</v>
      </c>
      <c r="BA275" s="52" t="n">
        <v>0</v>
      </c>
      <c r="BB275" s="52" t="n">
        <v>0</v>
      </c>
      <c r="BC275" s="51" t="n">
        <v>0</v>
      </c>
      <c r="BD275" s="51" t="n">
        <v>0</v>
      </c>
      <c r="BE275" s="51" t="n">
        <v>0</v>
      </c>
      <c r="BF275" s="51" t="n">
        <v>0</v>
      </c>
    </row>
    <row r="276">
      <c r="A276">
        <f>HYPERLINK("https://www.walmart.com/ip/543033530", "543033530")</f>
        <v/>
      </c>
      <c r="B276" t="inlineStr">
        <is>
          <t>Knit Beanie Hat for Women and Men, Faux Fuzzy Pom Pom Winter Ski Skullies Cap, Bronze</t>
        </is>
      </c>
      <c r="C276" t="inlineStr">
        <is>
          <t>1SLPPH03LATTE</t>
        </is>
      </c>
      <c r="D276" t="inlineStr">
        <is>
          <t>Hats</t>
        </is>
      </c>
      <c r="E276" t="inlineStr">
        <is>
          <t>Solaris</t>
        </is>
      </c>
      <c r="F276" t="inlineStr">
        <is>
          <t>Q2-Target,Batch 1 - TR</t>
        </is>
      </c>
      <c r="G276" s="48" t="n">
        <v>0</v>
      </c>
      <c r="H276" s="48" t="n">
        <v>0</v>
      </c>
      <c r="I276" s="48" t="n">
        <v>0</v>
      </c>
      <c r="J276" s="48" t="n">
        <v>0</v>
      </c>
      <c r="K276" s="49" t="n">
        <v>0</v>
      </c>
      <c r="L276" s="49" t="n">
        <v>0</v>
      </c>
      <c r="M276" s="49" t="n">
        <v>0</v>
      </c>
      <c r="N276" s="49" t="n">
        <v>0</v>
      </c>
      <c r="O276" s="49" t="n">
        <v>0</v>
      </c>
      <c r="P276" s="49" t="n">
        <v>0</v>
      </c>
      <c r="Q276" s="49" t="n">
        <v>0</v>
      </c>
      <c r="R276" s="49" t="n">
        <v>0</v>
      </c>
      <c r="S276" s="50" t="n">
        <v>0</v>
      </c>
      <c r="T276" s="50" t="n">
        <v>0</v>
      </c>
      <c r="U276" s="50" t="n">
        <v>0</v>
      </c>
      <c r="V276" s="50" t="n">
        <v>0</v>
      </c>
      <c r="W276" s="51" t="n">
        <v>0</v>
      </c>
      <c r="X276" s="51" t="n">
        <v>0</v>
      </c>
      <c r="Y276" s="51" t="n">
        <v>0</v>
      </c>
      <c r="Z276" s="51" t="n">
        <v>0</v>
      </c>
      <c r="AA276" s="52" t="n">
        <v>0</v>
      </c>
      <c r="AB276" s="52" t="n">
        <v>0</v>
      </c>
      <c r="AC276" s="52" t="n">
        <v>0</v>
      </c>
      <c r="AD276" s="52" t="n">
        <v>0</v>
      </c>
      <c r="AE276" s="52" t="n">
        <v>0</v>
      </c>
      <c r="AF276" s="52" t="n">
        <v>0</v>
      </c>
      <c r="AG276" s="52" t="n">
        <v>0</v>
      </c>
      <c r="AH276" s="52" t="n">
        <v>0</v>
      </c>
      <c r="AI276" s="52" t="n">
        <v>0</v>
      </c>
      <c r="AJ276" s="52" t="n">
        <v>0</v>
      </c>
      <c r="AK276" s="52" t="n">
        <v>0</v>
      </c>
      <c r="AL276" s="52" t="n">
        <v>0</v>
      </c>
      <c r="AM276" s="53" t="n">
        <v>0</v>
      </c>
      <c r="AN276" s="53" t="n">
        <v>0</v>
      </c>
      <c r="AO276" s="53" t="n">
        <v>0</v>
      </c>
      <c r="AP276" s="53" t="n">
        <v>0</v>
      </c>
      <c r="AQ276" s="52" t="n">
        <v>0</v>
      </c>
      <c r="AR276" s="52" t="n">
        <v>0</v>
      </c>
      <c r="AS276" s="52" t="n">
        <v>0</v>
      </c>
      <c r="AT276" s="52" t="n">
        <v>0</v>
      </c>
      <c r="AU276" s="53" t="n">
        <v>0</v>
      </c>
      <c r="AV276" s="53" t="n">
        <v>0</v>
      </c>
      <c r="AW276" s="53" t="n">
        <v>0</v>
      </c>
      <c r="AX276" s="53" t="n">
        <v>0</v>
      </c>
      <c r="AY276" s="52" t="n">
        <v>0</v>
      </c>
      <c r="AZ276" s="52" t="n">
        <v>0</v>
      </c>
      <c r="BA276" s="52" t="n">
        <v>0</v>
      </c>
      <c r="BB276" s="52" t="n">
        <v>0</v>
      </c>
      <c r="BC276" s="51" t="n">
        <v>0</v>
      </c>
      <c r="BD276" s="51" t="n">
        <v>0</v>
      </c>
      <c r="BE276" s="51" t="n">
        <v>0</v>
      </c>
      <c r="BF276" s="51" t="n">
        <v>0</v>
      </c>
    </row>
    <row r="277">
      <c r="A277">
        <f>HYPERLINK("https://www.walmart.com/ip/542705229", "542705229")</f>
        <v/>
      </c>
      <c r="B277" t="inlineStr">
        <is>
          <t>Flyingstar Blanket with Sleeves and Pocket, Wearable Throws Blanket, Robe for Women and Men 73” x 51” Gray</t>
        </is>
      </c>
      <c r="C277" t="inlineStr">
        <is>
          <t>1WMSN100GY-ESGM</t>
        </is>
      </c>
      <c r="D277" t="inlineStr">
        <is>
          <t>Throws</t>
        </is>
      </c>
      <c r="E277" t="inlineStr">
        <is>
          <t>Flyingstar</t>
        </is>
      </c>
      <c r="F277" t="inlineStr">
        <is>
          <t>Batch 1 - TR</t>
        </is>
      </c>
      <c r="G277" s="48" t="n">
        <v>0</v>
      </c>
      <c r="H277" s="48" t="n">
        <v>0</v>
      </c>
      <c r="I277" s="48" t="n">
        <v>0</v>
      </c>
      <c r="J277" s="48" t="n">
        <v>0</v>
      </c>
      <c r="K277" s="49" t="n">
        <v>0</v>
      </c>
      <c r="L277" s="49" t="n">
        <v>0</v>
      </c>
      <c r="M277" s="49" t="n">
        <v>0</v>
      </c>
      <c r="N277" s="49" t="n">
        <v>0</v>
      </c>
      <c r="O277" s="49" t="n">
        <v>0</v>
      </c>
      <c r="P277" s="49" t="n">
        <v>0</v>
      </c>
      <c r="Q277" s="49" t="n">
        <v>0</v>
      </c>
      <c r="R277" s="49" t="n">
        <v>0</v>
      </c>
      <c r="S277" s="50" t="n">
        <v>0</v>
      </c>
      <c r="T277" s="50" t="n">
        <v>0</v>
      </c>
      <c r="U277" s="50" t="n">
        <v>0</v>
      </c>
      <c r="V277" s="50" t="n">
        <v>0</v>
      </c>
      <c r="W277" s="51" t="n">
        <v>0</v>
      </c>
      <c r="X277" s="51" t="n">
        <v>0</v>
      </c>
      <c r="Y277" s="51" t="n">
        <v>0</v>
      </c>
      <c r="Z277" s="51" t="n">
        <v>0</v>
      </c>
      <c r="AA277" s="52" t="n">
        <v>0</v>
      </c>
      <c r="AB277" s="52" t="n">
        <v>0</v>
      </c>
      <c r="AC277" s="52" t="n">
        <v>0</v>
      </c>
      <c r="AD277" s="52" t="n">
        <v>0</v>
      </c>
      <c r="AE277" s="52" t="n">
        <v>0</v>
      </c>
      <c r="AF277" s="52" t="n">
        <v>0</v>
      </c>
      <c r="AG277" s="52" t="n">
        <v>0</v>
      </c>
      <c r="AH277" s="52" t="n">
        <v>0</v>
      </c>
      <c r="AI277" s="52" t="n">
        <v>0</v>
      </c>
      <c r="AJ277" s="52" t="n">
        <v>0</v>
      </c>
      <c r="AK277" s="52" t="n">
        <v>0</v>
      </c>
      <c r="AL277" s="52" t="n">
        <v>0</v>
      </c>
      <c r="AM277" s="53" t="n">
        <v>0</v>
      </c>
      <c r="AN277" s="53" t="n">
        <v>0</v>
      </c>
      <c r="AO277" s="53" t="n">
        <v>0</v>
      </c>
      <c r="AP277" s="53" t="n">
        <v>0</v>
      </c>
      <c r="AQ277" s="52" t="n">
        <v>0</v>
      </c>
      <c r="AR277" s="52" t="n">
        <v>0</v>
      </c>
      <c r="AS277" s="52" t="n">
        <v>0</v>
      </c>
      <c r="AT277" s="52" t="n">
        <v>0</v>
      </c>
      <c r="AU277" s="53" t="n">
        <v>0</v>
      </c>
      <c r="AV277" s="53" t="n">
        <v>0</v>
      </c>
      <c r="AW277" s="53" t="n">
        <v>0</v>
      </c>
      <c r="AX277" s="53" t="n">
        <v>0</v>
      </c>
      <c r="AY277" s="52" t="n">
        <v>0</v>
      </c>
      <c r="AZ277" s="52" t="n">
        <v>0</v>
      </c>
      <c r="BA277" s="52" t="n">
        <v>0</v>
      </c>
      <c r="BB277" s="52" t="n">
        <v>0</v>
      </c>
      <c r="BC277" s="51" t="n">
        <v>0</v>
      </c>
      <c r="BD277" s="51" t="n">
        <v>0</v>
      </c>
      <c r="BE277" s="51" t="n">
        <v>0</v>
      </c>
      <c r="BF277" s="51" t="n">
        <v>0</v>
      </c>
    </row>
    <row r="278">
      <c r="A278">
        <f>HYPERLINK("https://www.walmart.com/ip/619650652", "619650652")</f>
        <v/>
      </c>
      <c r="B278" t="inlineStr">
        <is>
          <t>Tirrinia Insulated Wine Carrier Tote - Travel Padded 2 Bottle Wine/ Champagne Cooler Bag with Handle and Adjustable Shoulder Strap, Great Wine Lover Gift, Olive</t>
        </is>
      </c>
      <c r="C278" t="inlineStr">
        <is>
          <t>1TRWB211OL</t>
        </is>
      </c>
      <c r="D278" t="inlineStr">
        <is>
          <t>Wine Totes, Bags &amp; Backpacks</t>
        </is>
      </c>
      <c r="E278" t="inlineStr">
        <is>
          <t>Tirrinia</t>
        </is>
      </c>
      <c r="F278" t="inlineStr">
        <is>
          <t>Wine,Christmas,Valentine,Lily Brand Camp</t>
        </is>
      </c>
      <c r="G278" s="48" t="n">
        <v>0</v>
      </c>
      <c r="H278" s="48" t="n">
        <v>0</v>
      </c>
      <c r="I278" s="48" t="n">
        <v>0</v>
      </c>
      <c r="J278" s="48" t="n">
        <v>0</v>
      </c>
      <c r="K278" s="49" t="n">
        <v>0</v>
      </c>
      <c r="L278" s="49" t="n">
        <v>0</v>
      </c>
      <c r="M278" s="49" t="n">
        <v>0</v>
      </c>
      <c r="N278" s="49" t="n">
        <v>0</v>
      </c>
      <c r="O278" s="49" t="n">
        <v>0</v>
      </c>
      <c r="P278" s="49" t="n">
        <v>0</v>
      </c>
      <c r="Q278" s="49" t="n">
        <v>0</v>
      </c>
      <c r="R278" s="49" t="n">
        <v>0</v>
      </c>
      <c r="S278" s="50" t="n">
        <v>0</v>
      </c>
      <c r="T278" s="50" t="n">
        <v>0</v>
      </c>
      <c r="U278" s="50" t="n">
        <v>0</v>
      </c>
      <c r="V278" s="50" t="n">
        <v>0</v>
      </c>
      <c r="W278" s="51" t="n">
        <v>0</v>
      </c>
      <c r="X278" s="51" t="n">
        <v>0</v>
      </c>
      <c r="Y278" s="51" t="n">
        <v>0</v>
      </c>
      <c r="Z278" s="51" t="n">
        <v>0</v>
      </c>
      <c r="AA278" s="52" t="n">
        <v>0</v>
      </c>
      <c r="AB278" s="52" t="n">
        <v>0</v>
      </c>
      <c r="AC278" s="52" t="n">
        <v>0</v>
      </c>
      <c r="AD278" s="52" t="n">
        <v>0</v>
      </c>
      <c r="AE278" s="52" t="n">
        <v>0</v>
      </c>
      <c r="AF278" s="52" t="n">
        <v>0</v>
      </c>
      <c r="AG278" s="52" t="n">
        <v>0</v>
      </c>
      <c r="AH278" s="52" t="n">
        <v>0</v>
      </c>
      <c r="AI278" s="52" t="n">
        <v>0</v>
      </c>
      <c r="AJ278" s="52" t="n">
        <v>0</v>
      </c>
      <c r="AK278" s="52" t="n">
        <v>0</v>
      </c>
      <c r="AL278" s="52" t="n">
        <v>0</v>
      </c>
      <c r="AM278" s="53" t="n">
        <v>0</v>
      </c>
      <c r="AN278" s="53" t="n">
        <v>0</v>
      </c>
      <c r="AO278" s="53" t="n">
        <v>0</v>
      </c>
      <c r="AP278" s="53" t="n">
        <v>0</v>
      </c>
      <c r="AQ278" s="52" t="n">
        <v>0</v>
      </c>
      <c r="AR278" s="52" t="n">
        <v>0</v>
      </c>
      <c r="AS278" s="52" t="n">
        <v>0</v>
      </c>
      <c r="AT278" s="52" t="n">
        <v>0</v>
      </c>
      <c r="AU278" s="53" t="n">
        <v>0</v>
      </c>
      <c r="AV278" s="53" t="n">
        <v>0</v>
      </c>
      <c r="AW278" s="53" t="n">
        <v>0</v>
      </c>
      <c r="AX278" s="53" t="n">
        <v>0</v>
      </c>
      <c r="AY278" s="52" t="n">
        <v>0</v>
      </c>
      <c r="AZ278" s="52" t="n">
        <v>0</v>
      </c>
      <c r="BA278" s="52" t="n">
        <v>0</v>
      </c>
      <c r="BB278" s="52" t="n">
        <v>0</v>
      </c>
      <c r="BC278" s="51" t="n">
        <v>0</v>
      </c>
      <c r="BD278" s="51" t="n">
        <v>0</v>
      </c>
      <c r="BE278" s="51" t="n">
        <v>0</v>
      </c>
      <c r="BF278" s="51" t="n">
        <v>0</v>
      </c>
    </row>
    <row r="279">
      <c r="A279">
        <f>HYPERLINK("https://www.walmart.com/ip/541337350", "541337350")</f>
        <v/>
      </c>
      <c r="B279" t="inlineStr">
        <is>
          <t>Hang Ten Basic Insulated Lunch Bag for Work, Thermal Reusable Office Lunch Box for Men, Women (Palm Trees)</t>
        </is>
      </c>
      <c r="C279" t="inlineStr">
        <is>
          <t>HT-LUNCH-BASICBOX-PALMTREES</t>
        </is>
      </c>
      <c r="D279" t="inlineStr">
        <is>
          <t>Reusable Lunch Bags &amp; Boxes</t>
        </is>
      </c>
      <c r="E279" t="inlineStr">
        <is>
          <t>HANG TEN</t>
        </is>
      </c>
      <c r="G279" s="48" t="n">
        <v>0</v>
      </c>
      <c r="H279" s="48" t="n">
        <v>0</v>
      </c>
      <c r="I279" s="48" t="n">
        <v>0</v>
      </c>
      <c r="J279" s="48" t="n">
        <v>0</v>
      </c>
      <c r="K279" s="49" t="n">
        <v>0</v>
      </c>
      <c r="L279" s="49" t="n">
        <v>0</v>
      </c>
      <c r="M279" s="49" t="n">
        <v>0</v>
      </c>
      <c r="N279" s="49" t="n">
        <v>0</v>
      </c>
      <c r="O279" s="49" t="n">
        <v>0</v>
      </c>
      <c r="P279" s="49" t="n">
        <v>0</v>
      </c>
      <c r="Q279" s="49" t="n">
        <v>0</v>
      </c>
      <c r="R279" s="49" t="n">
        <v>0</v>
      </c>
      <c r="S279" s="50" t="n">
        <v>0</v>
      </c>
      <c r="T279" s="50" t="n">
        <v>0</v>
      </c>
      <c r="U279" s="50" t="n">
        <v>0</v>
      </c>
      <c r="V279" s="50" t="n">
        <v>0</v>
      </c>
      <c r="W279" s="51" t="n">
        <v>0</v>
      </c>
      <c r="X279" s="51" t="n">
        <v>0</v>
      </c>
      <c r="Y279" s="51" t="n">
        <v>0</v>
      </c>
      <c r="Z279" s="51" t="n">
        <v>0</v>
      </c>
      <c r="AA279" s="52" t="n">
        <v>0</v>
      </c>
      <c r="AB279" s="52" t="n">
        <v>0</v>
      </c>
      <c r="AC279" s="52" t="n">
        <v>0</v>
      </c>
      <c r="AD279" s="52" t="n">
        <v>0</v>
      </c>
      <c r="AE279" s="52" t="n">
        <v>0</v>
      </c>
      <c r="AF279" s="52" t="n">
        <v>0</v>
      </c>
      <c r="AG279" s="52" t="n">
        <v>0</v>
      </c>
      <c r="AH279" s="52" t="n">
        <v>0</v>
      </c>
      <c r="AI279" s="52" t="n">
        <v>0</v>
      </c>
      <c r="AJ279" s="52" t="n">
        <v>0</v>
      </c>
      <c r="AK279" s="52" t="n">
        <v>0</v>
      </c>
      <c r="AL279" s="52" t="n">
        <v>0</v>
      </c>
      <c r="AM279" s="53" t="n">
        <v>0</v>
      </c>
      <c r="AN279" s="53" t="n">
        <v>0</v>
      </c>
      <c r="AO279" s="53" t="n">
        <v>0</v>
      </c>
      <c r="AP279" s="53" t="n">
        <v>0</v>
      </c>
      <c r="AQ279" s="52" t="n">
        <v>0</v>
      </c>
      <c r="AR279" s="52" t="n">
        <v>0</v>
      </c>
      <c r="AS279" s="52" t="n">
        <v>0</v>
      </c>
      <c r="AT279" s="52" t="n">
        <v>0</v>
      </c>
      <c r="AU279" s="53" t="n">
        <v>0</v>
      </c>
      <c r="AV279" s="53" t="n">
        <v>0</v>
      </c>
      <c r="AW279" s="53" t="n">
        <v>0</v>
      </c>
      <c r="AX279" s="53" t="n">
        <v>0</v>
      </c>
      <c r="AY279" s="52" t="n">
        <v>0</v>
      </c>
      <c r="AZ279" s="52" t="n">
        <v>0</v>
      </c>
      <c r="BA279" s="52" t="n">
        <v>0</v>
      </c>
      <c r="BB279" s="52" t="n">
        <v>0</v>
      </c>
      <c r="BC279" s="51" t="n">
        <v>0</v>
      </c>
      <c r="BD279" s="51" t="n">
        <v>0</v>
      </c>
      <c r="BE279" s="51" t="n">
        <v>0</v>
      </c>
      <c r="BF279" s="51" t="n">
        <v>0</v>
      </c>
    </row>
    <row r="280">
      <c r="A280">
        <f>HYPERLINK("https://www.walmart.com/ip/540052747", "540052747")</f>
        <v/>
      </c>
      <c r="B280" t="inlineStr">
        <is>
          <t>Tirrinia Single Wine Cooler Bags - Insulated &amp; Padded Portable Wine Tote Carrier for Travel, BYOB Restaurant, Wine Tasting, Party, Great Christmas Gift for Wine Lover, Wine Stripe</t>
        </is>
      </c>
      <c r="C280" t="inlineStr">
        <is>
          <t>1TRWB101WNSTR</t>
        </is>
      </c>
      <c r="D280" t="inlineStr">
        <is>
          <t>Wine Totes, Bags &amp; Backpacks</t>
        </is>
      </c>
      <c r="E280" t="inlineStr">
        <is>
          <t>Tirrinia</t>
        </is>
      </c>
      <c r="F280" t="inlineStr">
        <is>
          <t>Wine,Christmas,WFS,Wine WFS,Valentine,SEM,WFS Item</t>
        </is>
      </c>
      <c r="G280" s="48" t="n">
        <v>0</v>
      </c>
      <c r="H280" s="48" t="n">
        <v>0</v>
      </c>
      <c r="I280" s="48" t="n">
        <v>0</v>
      </c>
      <c r="J280" s="48" t="n">
        <v>0</v>
      </c>
      <c r="K280" s="49" t="n">
        <v>0</v>
      </c>
      <c r="L280" s="49" t="n">
        <v>0</v>
      </c>
      <c r="M280" s="49" t="n">
        <v>0</v>
      </c>
      <c r="N280" s="49" t="n">
        <v>0</v>
      </c>
      <c r="O280" s="49" t="n">
        <v>0</v>
      </c>
      <c r="P280" s="49" t="n">
        <v>0</v>
      </c>
      <c r="Q280" s="49" t="n">
        <v>0</v>
      </c>
      <c r="R280" s="49" t="n">
        <v>0</v>
      </c>
      <c r="S280" s="50" t="n">
        <v>0</v>
      </c>
      <c r="T280" s="50" t="n">
        <v>0</v>
      </c>
      <c r="U280" s="50" t="n">
        <v>0</v>
      </c>
      <c r="V280" s="50" t="n">
        <v>0</v>
      </c>
      <c r="W280" s="51" t="n">
        <v>0</v>
      </c>
      <c r="X280" s="51" t="n">
        <v>0</v>
      </c>
      <c r="Y280" s="51" t="n">
        <v>0</v>
      </c>
      <c r="Z280" s="51" t="n">
        <v>0</v>
      </c>
      <c r="AA280" s="52" t="n">
        <v>0</v>
      </c>
      <c r="AB280" s="52" t="n">
        <v>0</v>
      </c>
      <c r="AC280" s="52" t="n">
        <v>0</v>
      </c>
      <c r="AD280" s="52" t="n">
        <v>0</v>
      </c>
      <c r="AE280" s="52" t="n">
        <v>0</v>
      </c>
      <c r="AF280" s="52" t="n">
        <v>0</v>
      </c>
      <c r="AG280" s="52" t="n">
        <v>0</v>
      </c>
      <c r="AH280" s="52" t="n">
        <v>0</v>
      </c>
      <c r="AI280" s="52" t="n">
        <v>0</v>
      </c>
      <c r="AJ280" s="52" t="n">
        <v>0</v>
      </c>
      <c r="AK280" s="52" t="n">
        <v>0</v>
      </c>
      <c r="AL280" s="52" t="n">
        <v>0</v>
      </c>
      <c r="AM280" s="53" t="n">
        <v>0</v>
      </c>
      <c r="AN280" s="53" t="n">
        <v>0</v>
      </c>
      <c r="AO280" s="53" t="n">
        <v>0</v>
      </c>
      <c r="AP280" s="53" t="n">
        <v>0</v>
      </c>
      <c r="AQ280" s="52" t="n">
        <v>0</v>
      </c>
      <c r="AR280" s="52" t="n">
        <v>0</v>
      </c>
      <c r="AS280" s="52" t="n">
        <v>0</v>
      </c>
      <c r="AT280" s="52" t="n">
        <v>0</v>
      </c>
      <c r="AU280" s="53" t="n">
        <v>0</v>
      </c>
      <c r="AV280" s="53" t="n">
        <v>0</v>
      </c>
      <c r="AW280" s="53" t="n">
        <v>0</v>
      </c>
      <c r="AX280" s="53" t="n">
        <v>0</v>
      </c>
      <c r="AY280" s="52" t="n">
        <v>0</v>
      </c>
      <c r="AZ280" s="52" t="n">
        <v>0</v>
      </c>
      <c r="BA280" s="52" t="n">
        <v>0</v>
      </c>
      <c r="BB280" s="52" t="n">
        <v>0</v>
      </c>
      <c r="BC280" s="51" t="n">
        <v>0</v>
      </c>
      <c r="BD280" s="51" t="n">
        <v>0</v>
      </c>
      <c r="BE280" s="51" t="n">
        <v>0</v>
      </c>
      <c r="BF280" s="51" t="n">
        <v>0</v>
      </c>
    </row>
    <row r="281">
      <c r="A281">
        <f>HYPERLINK("https://www.walmart.com/ip/620011733", "620011733")</f>
        <v/>
      </c>
      <c r="B281" t="inlineStr">
        <is>
          <t>Tirrinia Insulated Wine Tumbler, Black</t>
        </is>
      </c>
      <c r="C281" t="inlineStr">
        <is>
          <t>1TRWT120BK</t>
        </is>
      </c>
      <c r="D281" t="inlineStr">
        <is>
          <t>Tumblers</t>
        </is>
      </c>
      <c r="E281" t="inlineStr">
        <is>
          <t>Tirrinia</t>
        </is>
      </c>
      <c r="F281" t="inlineStr">
        <is>
          <t>Wine,Christmas,Optimized,Valentine</t>
        </is>
      </c>
      <c r="G281" s="48" t="n">
        <v>0</v>
      </c>
      <c r="H281" s="48" t="n">
        <v>0</v>
      </c>
      <c r="I281" s="48" t="n">
        <v>0</v>
      </c>
      <c r="J281" s="48" t="n">
        <v>0</v>
      </c>
      <c r="K281" s="49" t="n">
        <v>0</v>
      </c>
      <c r="L281" s="49" t="n">
        <v>0</v>
      </c>
      <c r="M281" s="49" t="n">
        <v>0</v>
      </c>
      <c r="N281" s="49" t="n">
        <v>0</v>
      </c>
      <c r="O281" s="49" t="n">
        <v>0</v>
      </c>
      <c r="P281" s="49" t="n">
        <v>0</v>
      </c>
      <c r="Q281" s="49" t="n">
        <v>0</v>
      </c>
      <c r="R281" s="49" t="n">
        <v>0</v>
      </c>
      <c r="S281" s="50" t="n">
        <v>0</v>
      </c>
      <c r="T281" s="50" t="n">
        <v>0</v>
      </c>
      <c r="U281" s="50" t="n">
        <v>0</v>
      </c>
      <c r="V281" s="50" t="n">
        <v>0</v>
      </c>
      <c r="W281" s="51" t="n">
        <v>0</v>
      </c>
      <c r="X281" s="51" t="n">
        <v>0</v>
      </c>
      <c r="Y281" s="51" t="n">
        <v>0</v>
      </c>
      <c r="Z281" s="51" t="n">
        <v>0</v>
      </c>
      <c r="AA281" s="52" t="n">
        <v>0</v>
      </c>
      <c r="AB281" s="52" t="n">
        <v>0</v>
      </c>
      <c r="AC281" s="52" t="n">
        <v>0</v>
      </c>
      <c r="AD281" s="52" t="n">
        <v>0</v>
      </c>
      <c r="AE281" s="52" t="n">
        <v>0</v>
      </c>
      <c r="AF281" s="52" t="n">
        <v>0</v>
      </c>
      <c r="AG281" s="52" t="n">
        <v>0</v>
      </c>
      <c r="AH281" s="52" t="n">
        <v>0</v>
      </c>
      <c r="AI281" s="52" t="n">
        <v>0</v>
      </c>
      <c r="AJ281" s="52" t="n">
        <v>0</v>
      </c>
      <c r="AK281" s="52" t="n">
        <v>0</v>
      </c>
      <c r="AL281" s="52" t="n">
        <v>0</v>
      </c>
      <c r="AM281" s="53" t="n">
        <v>0</v>
      </c>
      <c r="AN281" s="53" t="n">
        <v>0</v>
      </c>
      <c r="AO281" s="53" t="n">
        <v>0</v>
      </c>
      <c r="AP281" s="53" t="n">
        <v>0</v>
      </c>
      <c r="AQ281" s="52" t="n">
        <v>0</v>
      </c>
      <c r="AR281" s="52" t="n">
        <v>0</v>
      </c>
      <c r="AS281" s="52" t="n">
        <v>0</v>
      </c>
      <c r="AT281" s="52" t="n">
        <v>0</v>
      </c>
      <c r="AU281" s="53" t="n">
        <v>0</v>
      </c>
      <c r="AV281" s="53" t="n">
        <v>0</v>
      </c>
      <c r="AW281" s="53" t="n">
        <v>0</v>
      </c>
      <c r="AX281" s="53" t="n">
        <v>0</v>
      </c>
      <c r="AY281" s="52" t="n">
        <v>0</v>
      </c>
      <c r="AZ281" s="52" t="n">
        <v>0</v>
      </c>
      <c r="BA281" s="52" t="n">
        <v>0</v>
      </c>
      <c r="BB281" s="52" t="n">
        <v>0</v>
      </c>
      <c r="BC281" s="51" t="n">
        <v>0</v>
      </c>
      <c r="BD281" s="51" t="n">
        <v>0</v>
      </c>
      <c r="BE281" s="51" t="n">
        <v>0</v>
      </c>
      <c r="BF281" s="51" t="n">
        <v>0</v>
      </c>
    </row>
    <row r="282">
      <c r="A282">
        <f>HYPERLINK("https://www.walmart.com/ip/563027004", "563027004")</f>
        <v/>
      </c>
      <c r="B282" t="inlineStr">
        <is>
          <t>sun blocker women's sun hat upf 50+ bucket cap packable outdoor travel hat</t>
        </is>
      </c>
      <c r="C282" t="inlineStr">
        <is>
          <t>KC-S9200-PK</t>
        </is>
      </c>
      <c r="D282" t="inlineStr">
        <is>
          <t>Hats</t>
        </is>
      </c>
      <c r="E282" t="inlineStr">
        <is>
          <t>Sun Blocker</t>
        </is>
      </c>
      <c r="F282" t="inlineStr">
        <is>
          <t>Batch 1 - TR</t>
        </is>
      </c>
      <c r="G282" s="48" t="n">
        <v>0</v>
      </c>
      <c r="H282" s="48" t="n">
        <v>0</v>
      </c>
      <c r="I282" s="48" t="n">
        <v>0</v>
      </c>
      <c r="J282" s="48" t="n">
        <v>0</v>
      </c>
      <c r="K282" s="49" t="n">
        <v>0</v>
      </c>
      <c r="L282" s="49" t="n">
        <v>0</v>
      </c>
      <c r="M282" s="49" t="n">
        <v>0</v>
      </c>
      <c r="N282" s="49" t="n">
        <v>0</v>
      </c>
      <c r="O282" s="49" t="n">
        <v>0</v>
      </c>
      <c r="P282" s="49" t="n">
        <v>0</v>
      </c>
      <c r="Q282" s="49" t="n">
        <v>0</v>
      </c>
      <c r="R282" s="49" t="n">
        <v>0</v>
      </c>
      <c r="S282" s="50" t="n">
        <v>0</v>
      </c>
      <c r="T282" s="50" t="n">
        <v>0</v>
      </c>
      <c r="U282" s="50" t="n">
        <v>0</v>
      </c>
      <c r="V282" s="50" t="n">
        <v>0</v>
      </c>
      <c r="W282" s="51" t="n">
        <v>0</v>
      </c>
      <c r="X282" s="51" t="n">
        <v>0</v>
      </c>
      <c r="Y282" s="51" t="n">
        <v>0</v>
      </c>
      <c r="Z282" s="51" t="n">
        <v>0</v>
      </c>
      <c r="AA282" s="52" t="n">
        <v>0</v>
      </c>
      <c r="AB282" s="52" t="n">
        <v>0</v>
      </c>
      <c r="AC282" s="52" t="n">
        <v>0</v>
      </c>
      <c r="AD282" s="52" t="n">
        <v>0</v>
      </c>
      <c r="AE282" s="52" t="n">
        <v>0</v>
      </c>
      <c r="AF282" s="52" t="n">
        <v>0</v>
      </c>
      <c r="AG282" s="52" t="n">
        <v>0</v>
      </c>
      <c r="AH282" s="52" t="n">
        <v>0</v>
      </c>
      <c r="AI282" s="52" t="n">
        <v>0</v>
      </c>
      <c r="AJ282" s="52" t="n">
        <v>0</v>
      </c>
      <c r="AK282" s="52" t="n">
        <v>0</v>
      </c>
      <c r="AL282" s="52" t="n">
        <v>0</v>
      </c>
      <c r="AM282" s="53" t="n">
        <v>0</v>
      </c>
      <c r="AN282" s="53" t="n">
        <v>0</v>
      </c>
      <c r="AO282" s="53" t="n">
        <v>0</v>
      </c>
      <c r="AP282" s="53" t="n">
        <v>0</v>
      </c>
      <c r="AQ282" s="52" t="n">
        <v>0</v>
      </c>
      <c r="AR282" s="52" t="n">
        <v>0</v>
      </c>
      <c r="AS282" s="52" t="n">
        <v>0</v>
      </c>
      <c r="AT282" s="52" t="n">
        <v>0</v>
      </c>
      <c r="AU282" s="53" t="n">
        <v>0</v>
      </c>
      <c r="AV282" s="53" t="n">
        <v>0</v>
      </c>
      <c r="AW282" s="53" t="n">
        <v>0</v>
      </c>
      <c r="AX282" s="53" t="n">
        <v>0</v>
      </c>
      <c r="AY282" s="52" t="n">
        <v>0</v>
      </c>
      <c r="AZ282" s="52" t="n">
        <v>0</v>
      </c>
      <c r="BA282" s="52" t="n">
        <v>0</v>
      </c>
      <c r="BB282" s="52" t="n">
        <v>0</v>
      </c>
      <c r="BC282" s="51" t="n">
        <v>0</v>
      </c>
      <c r="BD282" s="51" t="n">
        <v>0</v>
      </c>
      <c r="BE282" s="51" t="n">
        <v>0</v>
      </c>
      <c r="BF282" s="51" t="n">
        <v>0</v>
      </c>
    </row>
    <row r="283">
      <c r="A283">
        <f>HYPERLINK("https://www.walmart.com/ip/565270499", "565270499")</f>
        <v/>
      </c>
      <c r="B283" t="inlineStr">
        <is>
          <t>Hang Ten Basic Insulated Lunch Bag for Work, Thermal Reusable Office Lunch Box for Men, Women (Palm Trees)</t>
        </is>
      </c>
      <c r="C283" t="inlineStr">
        <is>
          <t>HT-LUNCH-BASICBOX-ISLANDRAINBOW</t>
        </is>
      </c>
      <c r="D283" t="inlineStr">
        <is>
          <t>Reusable Lunch Bags &amp; Boxes</t>
        </is>
      </c>
      <c r="E283" t="inlineStr">
        <is>
          <t>HANG TEN</t>
        </is>
      </c>
      <c r="G283" s="48" t="n">
        <v>0</v>
      </c>
      <c r="H283" s="48" t="n">
        <v>0</v>
      </c>
      <c r="I283" s="48" t="n">
        <v>0</v>
      </c>
      <c r="J283" s="48" t="n">
        <v>0</v>
      </c>
      <c r="K283" s="49" t="n">
        <v>0</v>
      </c>
      <c r="L283" s="49" t="n">
        <v>0</v>
      </c>
      <c r="M283" s="49" t="n">
        <v>0</v>
      </c>
      <c r="N283" s="49" t="n">
        <v>0</v>
      </c>
      <c r="O283" s="49" t="n">
        <v>0</v>
      </c>
      <c r="P283" s="49" t="n">
        <v>0</v>
      </c>
      <c r="Q283" s="49" t="n">
        <v>0</v>
      </c>
      <c r="R283" s="49" t="n">
        <v>0</v>
      </c>
      <c r="S283" s="50" t="n">
        <v>0</v>
      </c>
      <c r="T283" s="50" t="n">
        <v>0</v>
      </c>
      <c r="U283" s="50" t="n">
        <v>0</v>
      </c>
      <c r="V283" s="50" t="n">
        <v>0</v>
      </c>
      <c r="W283" s="51" t="n">
        <v>0</v>
      </c>
      <c r="X283" s="51" t="n">
        <v>0</v>
      </c>
      <c r="Y283" s="51" t="n">
        <v>0</v>
      </c>
      <c r="Z283" s="51" t="n">
        <v>0</v>
      </c>
      <c r="AA283" s="52" t="n">
        <v>0</v>
      </c>
      <c r="AB283" s="52" t="n">
        <v>0</v>
      </c>
      <c r="AC283" s="52" t="n">
        <v>0</v>
      </c>
      <c r="AD283" s="52" t="n">
        <v>0</v>
      </c>
      <c r="AE283" s="52" t="n">
        <v>0</v>
      </c>
      <c r="AF283" s="52" t="n">
        <v>0</v>
      </c>
      <c r="AG283" s="52" t="n">
        <v>0</v>
      </c>
      <c r="AH283" s="52" t="n">
        <v>0</v>
      </c>
      <c r="AI283" s="52" t="n">
        <v>0</v>
      </c>
      <c r="AJ283" s="52" t="n">
        <v>0</v>
      </c>
      <c r="AK283" s="52" t="n">
        <v>0</v>
      </c>
      <c r="AL283" s="52" t="n">
        <v>0</v>
      </c>
      <c r="AM283" s="53" t="n">
        <v>0</v>
      </c>
      <c r="AN283" s="53" t="n">
        <v>0</v>
      </c>
      <c r="AO283" s="53" t="n">
        <v>0</v>
      </c>
      <c r="AP283" s="53" t="n">
        <v>0</v>
      </c>
      <c r="AQ283" s="52" t="n">
        <v>0</v>
      </c>
      <c r="AR283" s="52" t="n">
        <v>0</v>
      </c>
      <c r="AS283" s="52" t="n">
        <v>0</v>
      </c>
      <c r="AT283" s="52" t="n">
        <v>0</v>
      </c>
      <c r="AU283" s="53" t="n">
        <v>0</v>
      </c>
      <c r="AV283" s="53" t="n">
        <v>0</v>
      </c>
      <c r="AW283" s="53" t="n">
        <v>0</v>
      </c>
      <c r="AX283" s="53" t="n">
        <v>0</v>
      </c>
      <c r="AY283" s="52" t="n">
        <v>0</v>
      </c>
      <c r="AZ283" s="52" t="n">
        <v>0</v>
      </c>
      <c r="BA283" s="52" t="n">
        <v>0</v>
      </c>
      <c r="BB283" s="52" t="n">
        <v>0</v>
      </c>
      <c r="BC283" s="51" t="n">
        <v>0</v>
      </c>
      <c r="BD283" s="51" t="n">
        <v>0</v>
      </c>
      <c r="BE283" s="51" t="n">
        <v>0</v>
      </c>
      <c r="BF283" s="51" t="n">
        <v>0</v>
      </c>
    </row>
    <row r="284">
      <c r="A284">
        <f>HYPERLINK("https://www.walmart.com/ip/612596634", "612596634")</f>
        <v/>
      </c>
      <c r="B284" t="inlineStr">
        <is>
          <t>Tirrinia 2 Bottle Wine Tote Carrier - Insulated &amp; Padded Versatile Cooler Bag for Travel, BYOB Restaurant, Wine Tasting, Party, Great Gift for Wine Lover, Black Stripe</t>
        </is>
      </c>
      <c r="C284" t="inlineStr">
        <is>
          <t>1TRWB221BKSTR</t>
        </is>
      </c>
      <c r="D284" t="inlineStr">
        <is>
          <t>Wine Totes, Bags &amp; Backpacks</t>
        </is>
      </c>
      <c r="E284" t="inlineStr">
        <is>
          <t>Tirrinia</t>
        </is>
      </c>
      <c r="F284" t="inlineStr">
        <is>
          <t>Wine,Wine Bag Camp,Christmas,WFS,Wine WFS,Valentine,SEM,WFS Item</t>
        </is>
      </c>
      <c r="G284" s="48" t="n">
        <v>0</v>
      </c>
      <c r="H284" s="48" t="n">
        <v>0</v>
      </c>
      <c r="I284" s="48" t="n">
        <v>0</v>
      </c>
      <c r="J284" s="48" t="n">
        <v>0</v>
      </c>
      <c r="K284" s="49" t="n">
        <v>0</v>
      </c>
      <c r="L284" s="49" t="n">
        <v>0</v>
      </c>
      <c r="M284" s="49" t="n">
        <v>0</v>
      </c>
      <c r="N284" s="49" t="n">
        <v>0</v>
      </c>
      <c r="O284" s="49" t="n">
        <v>0</v>
      </c>
      <c r="P284" s="49" t="n">
        <v>0</v>
      </c>
      <c r="Q284" s="49" t="n">
        <v>0</v>
      </c>
      <c r="R284" s="49" t="n">
        <v>0</v>
      </c>
      <c r="S284" s="50" t="n">
        <v>0</v>
      </c>
      <c r="T284" s="50" t="n">
        <v>0</v>
      </c>
      <c r="U284" s="50" t="n">
        <v>0</v>
      </c>
      <c r="V284" s="50" t="n">
        <v>0</v>
      </c>
      <c r="W284" s="51" t="n">
        <v>1</v>
      </c>
      <c r="X284" s="51" t="n">
        <v>0</v>
      </c>
      <c r="Y284" s="51" t="n">
        <v>1</v>
      </c>
      <c r="Z284" s="51" t="n">
        <v>2</v>
      </c>
      <c r="AA284" s="52" t="n">
        <v>0.4</v>
      </c>
      <c r="AB284" s="52" t="n">
        <v>0</v>
      </c>
      <c r="AC284" s="52" t="n">
        <v>0.4</v>
      </c>
      <c r="AD284" s="52" t="n">
        <v>0.8</v>
      </c>
      <c r="AE284" s="52" t="n">
        <v>0</v>
      </c>
      <c r="AF284" s="52" t="n">
        <v>0</v>
      </c>
      <c r="AG284" s="52" t="n">
        <v>0</v>
      </c>
      <c r="AH284" s="52" t="n">
        <v>0</v>
      </c>
      <c r="AI284" s="52" t="n">
        <v>0</v>
      </c>
      <c r="AJ284" s="52" t="n">
        <v>0</v>
      </c>
      <c r="AK284" s="52" t="n">
        <v>0</v>
      </c>
      <c r="AL284" s="52" t="n">
        <v>0</v>
      </c>
      <c r="AM284" s="53" t="n">
        <v>0.0012</v>
      </c>
      <c r="AN284" s="53" t="n">
        <v>0</v>
      </c>
      <c r="AO284" s="53" t="n">
        <v>0.001</v>
      </c>
      <c r="AP284" s="53" t="n">
        <v>0.0018</v>
      </c>
      <c r="AQ284" s="52" t="n">
        <v>0.4</v>
      </c>
      <c r="AR284" s="52" t="n">
        <v>0</v>
      </c>
      <c r="AS284" s="52" t="n">
        <v>0.4</v>
      </c>
      <c r="AT284" s="52" t="n">
        <v>0.4</v>
      </c>
      <c r="AU284" s="53" t="n">
        <v>0</v>
      </c>
      <c r="AV284" s="53" t="n">
        <v>0</v>
      </c>
      <c r="AW284" s="53" t="n">
        <v>0</v>
      </c>
      <c r="AX284" s="53" t="n">
        <v>0</v>
      </c>
      <c r="AY284" s="52" t="n">
        <v>0</v>
      </c>
      <c r="AZ284" s="52" t="n">
        <v>0</v>
      </c>
      <c r="BA284" s="52" t="n">
        <v>0</v>
      </c>
      <c r="BB284" s="52" t="n">
        <v>0</v>
      </c>
      <c r="BC284" s="51" t="n">
        <v>833</v>
      </c>
      <c r="BD284" s="51" t="n">
        <v>1149</v>
      </c>
      <c r="BE284" s="51" t="n">
        <v>997</v>
      </c>
      <c r="BF284" s="51" t="n">
        <v>1130</v>
      </c>
    </row>
    <row r="285">
      <c r="A285">
        <f>HYPERLINK("https://www.walmart.com/ip/5808778267", "5808778267")</f>
        <v/>
      </c>
      <c r="B285" t="inlineStr">
        <is>
          <t>Catalonia Cooling Blanket for Hot Sleepers, Summer Bed Blanket for Warm Night Sweat, Cool Sofa Throw Blanket for Hot Flashes, Soft Thin Lightweight Blanket for Adults Kids</t>
        </is>
      </c>
      <c r="C285" t="inlineStr">
        <is>
          <t>1CTBQ10199GN</t>
        </is>
      </c>
      <c r="D285" t="inlineStr">
        <is>
          <t>Throws</t>
        </is>
      </c>
      <c r="E285" t="inlineStr">
        <is>
          <t>Catalonia</t>
        </is>
      </c>
      <c r="G285" s="48" t="n">
        <v>0</v>
      </c>
      <c r="H285" s="48" t="n">
        <v>0</v>
      </c>
      <c r="I285" s="48" t="n">
        <v>0</v>
      </c>
      <c r="J285" s="48" t="n">
        <v>0</v>
      </c>
      <c r="K285" s="49" t="n">
        <v>0</v>
      </c>
      <c r="L285" s="49" t="n">
        <v>0</v>
      </c>
      <c r="M285" s="49" t="n">
        <v>0</v>
      </c>
      <c r="N285" s="49" t="n">
        <v>0</v>
      </c>
      <c r="O285" s="49" t="n">
        <v>0</v>
      </c>
      <c r="P285" s="49" t="n">
        <v>0</v>
      </c>
      <c r="Q285" s="49" t="n">
        <v>0</v>
      </c>
      <c r="R285" s="49" t="n">
        <v>0</v>
      </c>
      <c r="S285" s="50" t="n">
        <v>0</v>
      </c>
      <c r="T285" s="50" t="n">
        <v>0</v>
      </c>
      <c r="U285" s="50" t="n">
        <v>0</v>
      </c>
      <c r="V285" s="50" t="n">
        <v>0</v>
      </c>
      <c r="W285" s="51" t="n">
        <v>0</v>
      </c>
      <c r="X285" s="51" t="n">
        <v>0</v>
      </c>
      <c r="Y285" s="51" t="n">
        <v>0</v>
      </c>
      <c r="Z285" s="51" t="n">
        <v>0</v>
      </c>
      <c r="AA285" s="52" t="n">
        <v>0</v>
      </c>
      <c r="AB285" s="52" t="n">
        <v>0</v>
      </c>
      <c r="AC285" s="52" t="n">
        <v>0</v>
      </c>
      <c r="AD285" s="52" t="n">
        <v>0</v>
      </c>
      <c r="AE285" s="52" t="n">
        <v>0</v>
      </c>
      <c r="AF285" s="52" t="n">
        <v>0</v>
      </c>
      <c r="AG285" s="52" t="n">
        <v>0</v>
      </c>
      <c r="AH285" s="52" t="n">
        <v>0</v>
      </c>
      <c r="AI285" s="52" t="n">
        <v>0</v>
      </c>
      <c r="AJ285" s="52" t="n">
        <v>0</v>
      </c>
      <c r="AK285" s="52" t="n">
        <v>0</v>
      </c>
      <c r="AL285" s="52" t="n">
        <v>0</v>
      </c>
      <c r="AM285" s="53" t="n">
        <v>0</v>
      </c>
      <c r="AN285" s="53" t="n">
        <v>0</v>
      </c>
      <c r="AO285" s="53" t="n">
        <v>0</v>
      </c>
      <c r="AP285" s="53" t="n">
        <v>0</v>
      </c>
      <c r="AQ285" s="52" t="n">
        <v>0</v>
      </c>
      <c r="AR285" s="52" t="n">
        <v>0</v>
      </c>
      <c r="AS285" s="52" t="n">
        <v>0</v>
      </c>
      <c r="AT285" s="52" t="n">
        <v>0</v>
      </c>
      <c r="AU285" s="53" t="n">
        <v>0</v>
      </c>
      <c r="AV285" s="53" t="n">
        <v>0</v>
      </c>
      <c r="AW285" s="53" t="n">
        <v>0</v>
      </c>
      <c r="AX285" s="53" t="n">
        <v>0</v>
      </c>
      <c r="AY285" s="52" t="n">
        <v>0</v>
      </c>
      <c r="AZ285" s="52" t="n">
        <v>0</v>
      </c>
      <c r="BA285" s="52" t="n">
        <v>0</v>
      </c>
      <c r="BB285" s="52" t="n">
        <v>0</v>
      </c>
      <c r="BC285" s="51" t="n">
        <v>0</v>
      </c>
      <c r="BD285" s="51" t="n">
        <v>0</v>
      </c>
      <c r="BE285" s="51" t="n">
        <v>0</v>
      </c>
      <c r="BF285" s="51" t="n">
        <v>0</v>
      </c>
    </row>
    <row r="286">
      <c r="A286">
        <f>HYPERLINK("https://www.walmart.com/ip/584823468", "584823468")</f>
        <v/>
      </c>
      <c r="B286" t="inlineStr">
        <is>
          <t>Tirrinia Insulated Lunch Bag for Women w/ Leather Handle, Reusable Tote Bag for Men, Fashionable Cooler Lunch Box for Working/Picnic, Black</t>
        </is>
      </c>
      <c r="C286" t="inlineStr">
        <is>
          <t>1WMLB704BK</t>
        </is>
      </c>
      <c r="D286" t="inlineStr">
        <is>
          <t>Reusable Lunch Bags &amp; Boxes</t>
        </is>
      </c>
      <c r="E286" t="inlineStr">
        <is>
          <t>Flyingstar</t>
        </is>
      </c>
      <c r="F286" t="inlineStr">
        <is>
          <t>Q2-Target,Lunch Bag,WFS,WFS Item</t>
        </is>
      </c>
      <c r="G286" s="48" t="n">
        <v>0</v>
      </c>
      <c r="H286" s="48" t="n">
        <v>0</v>
      </c>
      <c r="I286" s="48" t="n">
        <v>0</v>
      </c>
      <c r="J286" s="48" t="n">
        <v>0</v>
      </c>
      <c r="K286" s="49" t="n">
        <v>0</v>
      </c>
      <c r="L286" s="49" t="n">
        <v>0</v>
      </c>
      <c r="M286" s="49" t="n">
        <v>0</v>
      </c>
      <c r="N286" s="49" t="n">
        <v>0</v>
      </c>
      <c r="O286" s="49" t="n">
        <v>0</v>
      </c>
      <c r="P286" s="49" t="n">
        <v>0</v>
      </c>
      <c r="Q286" s="49" t="n">
        <v>3</v>
      </c>
      <c r="R286" s="49" t="n">
        <v>2</v>
      </c>
      <c r="S286" s="50" t="n">
        <v>0</v>
      </c>
      <c r="T286" s="50" t="n">
        <v>0</v>
      </c>
      <c r="U286" s="50" t="n">
        <v>0</v>
      </c>
      <c r="V286" s="50" t="n">
        <v>0</v>
      </c>
      <c r="W286" s="51" t="n">
        <v>0</v>
      </c>
      <c r="X286" s="51" t="n">
        <v>0</v>
      </c>
      <c r="Y286" s="51" t="n">
        <v>0</v>
      </c>
      <c r="Z286" s="51" t="n">
        <v>0</v>
      </c>
      <c r="AA286" s="52" t="n">
        <v>0</v>
      </c>
      <c r="AB286" s="52" t="n">
        <v>0</v>
      </c>
      <c r="AC286" s="52" t="n">
        <v>0</v>
      </c>
      <c r="AD286" s="52" t="n">
        <v>0</v>
      </c>
      <c r="AE286" s="52" t="n">
        <v>0</v>
      </c>
      <c r="AF286" s="52" t="n">
        <v>0</v>
      </c>
      <c r="AG286" s="52" t="n">
        <v>0</v>
      </c>
      <c r="AH286" s="52" t="n">
        <v>0</v>
      </c>
      <c r="AI286" s="52" t="n">
        <v>0</v>
      </c>
      <c r="AJ286" s="52" t="n">
        <v>0</v>
      </c>
      <c r="AK286" s="52" t="n">
        <v>0</v>
      </c>
      <c r="AL286" s="52" t="n">
        <v>0</v>
      </c>
      <c r="AM286" s="53" t="n">
        <v>0</v>
      </c>
      <c r="AN286" s="53" t="n">
        <v>0</v>
      </c>
      <c r="AO286" s="53" t="n">
        <v>0</v>
      </c>
      <c r="AP286" s="53" t="n">
        <v>0</v>
      </c>
      <c r="AQ286" s="52" t="n">
        <v>0</v>
      </c>
      <c r="AR286" s="52" t="n">
        <v>0</v>
      </c>
      <c r="AS286" s="52" t="n">
        <v>0</v>
      </c>
      <c r="AT286" s="52" t="n">
        <v>0</v>
      </c>
      <c r="AU286" s="53" t="n">
        <v>0</v>
      </c>
      <c r="AV286" s="53" t="n">
        <v>0</v>
      </c>
      <c r="AW286" s="53" t="n">
        <v>0</v>
      </c>
      <c r="AX286" s="53" t="n">
        <v>0</v>
      </c>
      <c r="AY286" s="52" t="n">
        <v>0</v>
      </c>
      <c r="AZ286" s="52" t="n">
        <v>0</v>
      </c>
      <c r="BA286" s="52" t="n">
        <v>0</v>
      </c>
      <c r="BB286" s="52" t="n">
        <v>0</v>
      </c>
      <c r="BC286" s="51" t="n">
        <v>0</v>
      </c>
      <c r="BD286" s="51" t="n">
        <v>0</v>
      </c>
      <c r="BE286" s="51" t="n">
        <v>0</v>
      </c>
      <c r="BF286" s="51" t="n">
        <v>0</v>
      </c>
    </row>
    <row r="287">
      <c r="A287">
        <f>HYPERLINK("https://www.walmart.com/ip/5845089214", "5845089214")</f>
        <v/>
      </c>
      <c r="B287" t="inlineStr">
        <is>
          <t>Tirrinia Lightweight Beach Poncho Towel with Hood for Adult Quick Dry Travel Surfer Pool Camping Beach Accessories Vacation Essential Summer</t>
        </is>
      </c>
      <c r="C287" t="inlineStr">
        <is>
          <t>1TRBC201SURFBOARD</t>
        </is>
      </c>
      <c r="D287" t="inlineStr">
        <is>
          <t>Towels &amp; Washcloths</t>
        </is>
      </c>
      <c r="E287" t="inlineStr">
        <is>
          <t>Tirrinia</t>
        </is>
      </c>
      <c r="G287" s="48" t="n">
        <v>0</v>
      </c>
      <c r="H287" s="48" t="n">
        <v>0</v>
      </c>
      <c r="I287" s="48" t="n">
        <v>0</v>
      </c>
      <c r="J287" s="48" t="n">
        <v>0</v>
      </c>
      <c r="K287" s="49" t="n">
        <v>0</v>
      </c>
      <c r="L287" s="49" t="n">
        <v>0</v>
      </c>
      <c r="M287" s="49" t="n">
        <v>0</v>
      </c>
      <c r="N287" s="49" t="n">
        <v>0</v>
      </c>
      <c r="O287" s="49" t="n">
        <v>0</v>
      </c>
      <c r="P287" s="49" t="n">
        <v>0</v>
      </c>
      <c r="Q287" s="49" t="n">
        <v>0</v>
      </c>
      <c r="R287" s="49" t="n">
        <v>0</v>
      </c>
      <c r="S287" s="50" t="n">
        <v>0</v>
      </c>
      <c r="T287" s="50" t="n">
        <v>0</v>
      </c>
      <c r="U287" s="50" t="n">
        <v>0</v>
      </c>
      <c r="V287" s="50" t="n">
        <v>0</v>
      </c>
      <c r="W287" s="51" t="n">
        <v>0</v>
      </c>
      <c r="X287" s="51" t="n">
        <v>0</v>
      </c>
      <c r="Y287" s="51" t="n">
        <v>0</v>
      </c>
      <c r="Z287" s="51" t="n">
        <v>0</v>
      </c>
      <c r="AA287" s="52" t="n">
        <v>0</v>
      </c>
      <c r="AB287" s="52" t="n">
        <v>0</v>
      </c>
      <c r="AC287" s="52" t="n">
        <v>0</v>
      </c>
      <c r="AD287" s="52" t="n">
        <v>0</v>
      </c>
      <c r="AE287" s="52" t="n">
        <v>0</v>
      </c>
      <c r="AF287" s="52" t="n">
        <v>0</v>
      </c>
      <c r="AG287" s="52" t="n">
        <v>0</v>
      </c>
      <c r="AH287" s="52" t="n">
        <v>0</v>
      </c>
      <c r="AI287" s="52" t="n">
        <v>0</v>
      </c>
      <c r="AJ287" s="52" t="n">
        <v>0</v>
      </c>
      <c r="AK287" s="52" t="n">
        <v>0</v>
      </c>
      <c r="AL287" s="52" t="n">
        <v>0</v>
      </c>
      <c r="AM287" s="53" t="n">
        <v>0</v>
      </c>
      <c r="AN287" s="53" t="n">
        <v>0</v>
      </c>
      <c r="AO287" s="53" t="n">
        <v>0</v>
      </c>
      <c r="AP287" s="53" t="n">
        <v>0</v>
      </c>
      <c r="AQ287" s="52" t="n">
        <v>0</v>
      </c>
      <c r="AR287" s="52" t="n">
        <v>0</v>
      </c>
      <c r="AS287" s="52" t="n">
        <v>0</v>
      </c>
      <c r="AT287" s="52" t="n">
        <v>0</v>
      </c>
      <c r="AU287" s="53" t="n">
        <v>0</v>
      </c>
      <c r="AV287" s="53" t="n">
        <v>0</v>
      </c>
      <c r="AW287" s="53" t="n">
        <v>0</v>
      </c>
      <c r="AX287" s="53" t="n">
        <v>0</v>
      </c>
      <c r="AY287" s="52" t="n">
        <v>0</v>
      </c>
      <c r="AZ287" s="52" t="n">
        <v>0</v>
      </c>
      <c r="BA287" s="52" t="n">
        <v>0</v>
      </c>
      <c r="BB287" s="52" t="n">
        <v>0</v>
      </c>
      <c r="BC287" s="51" t="n">
        <v>0</v>
      </c>
      <c r="BD287" s="51" t="n">
        <v>0</v>
      </c>
      <c r="BE287" s="51" t="n">
        <v>0</v>
      </c>
      <c r="BF287" s="51" t="n">
        <v>0</v>
      </c>
    </row>
    <row r="288">
      <c r="A288">
        <f>HYPERLINK("https://www.walmart.com/ip/604881836", "604881836")</f>
        <v/>
      </c>
      <c r="B288" t="inlineStr">
        <is>
          <t>Catalonia Sherpa Slipper Socks for Women &amp; Teen, Winter Indoor Non-Skid House Booties 11 Colors</t>
        </is>
      </c>
      <c r="C288" t="inlineStr">
        <is>
          <t>1CTST200RD-2</t>
        </is>
      </c>
      <c r="D288" t="inlineStr">
        <is>
          <t>Socks</t>
        </is>
      </c>
      <c r="E288" t="inlineStr">
        <is>
          <t>Catalonia</t>
        </is>
      </c>
      <c r="F288" t="inlineStr">
        <is>
          <t>WFS,WFS Item</t>
        </is>
      </c>
      <c r="G288" s="48" t="n">
        <v>0</v>
      </c>
      <c r="H288" s="48" t="n">
        <v>0</v>
      </c>
      <c r="I288" s="48" t="n">
        <v>0</v>
      </c>
      <c r="J288" s="48" t="n">
        <v>0</v>
      </c>
      <c r="K288" s="49" t="n">
        <v>0</v>
      </c>
      <c r="L288" s="49" t="n">
        <v>0</v>
      </c>
      <c r="M288" s="49" t="n">
        <v>0</v>
      </c>
      <c r="N288" s="49" t="n">
        <v>0</v>
      </c>
      <c r="O288" s="49" t="n">
        <v>0</v>
      </c>
      <c r="P288" s="49" t="n">
        <v>0</v>
      </c>
      <c r="Q288" s="49" t="n">
        <v>0</v>
      </c>
      <c r="R288" s="49" t="n">
        <v>0</v>
      </c>
      <c r="S288" s="50" t="n">
        <v>0</v>
      </c>
      <c r="T288" s="50" t="n">
        <v>0</v>
      </c>
      <c r="U288" s="50" t="n">
        <v>0</v>
      </c>
      <c r="V288" s="50" t="n">
        <v>0</v>
      </c>
      <c r="W288" s="51" t="n">
        <v>0</v>
      </c>
      <c r="X288" s="51" t="n">
        <v>0</v>
      </c>
      <c r="Y288" s="51" t="n">
        <v>0</v>
      </c>
      <c r="Z288" s="51" t="n">
        <v>0</v>
      </c>
      <c r="AA288" s="52" t="n">
        <v>0</v>
      </c>
      <c r="AB288" s="52" t="n">
        <v>0</v>
      </c>
      <c r="AC288" s="52" t="n">
        <v>0</v>
      </c>
      <c r="AD288" s="52" t="n">
        <v>0</v>
      </c>
      <c r="AE288" s="52" t="n">
        <v>0</v>
      </c>
      <c r="AF288" s="52" t="n">
        <v>0</v>
      </c>
      <c r="AG288" s="52" t="n">
        <v>0</v>
      </c>
      <c r="AH288" s="52" t="n">
        <v>0</v>
      </c>
      <c r="AI288" s="52" t="n">
        <v>0</v>
      </c>
      <c r="AJ288" s="52" t="n">
        <v>0</v>
      </c>
      <c r="AK288" s="52" t="n">
        <v>0</v>
      </c>
      <c r="AL288" s="52" t="n">
        <v>0</v>
      </c>
      <c r="AM288" s="53" t="n">
        <v>0</v>
      </c>
      <c r="AN288" s="53" t="n">
        <v>0</v>
      </c>
      <c r="AO288" s="53" t="n">
        <v>0</v>
      </c>
      <c r="AP288" s="53" t="n">
        <v>0</v>
      </c>
      <c r="AQ288" s="52" t="n">
        <v>0</v>
      </c>
      <c r="AR288" s="52" t="n">
        <v>0</v>
      </c>
      <c r="AS288" s="52" t="n">
        <v>0</v>
      </c>
      <c r="AT288" s="52" t="n">
        <v>0</v>
      </c>
      <c r="AU288" s="53" t="n">
        <v>0</v>
      </c>
      <c r="AV288" s="53" t="n">
        <v>0</v>
      </c>
      <c r="AW288" s="53" t="n">
        <v>0</v>
      </c>
      <c r="AX288" s="53" t="n">
        <v>0</v>
      </c>
      <c r="AY288" s="52" t="n">
        <v>0</v>
      </c>
      <c r="AZ288" s="52" t="n">
        <v>0</v>
      </c>
      <c r="BA288" s="52" t="n">
        <v>0</v>
      </c>
      <c r="BB288" s="52" t="n">
        <v>0</v>
      </c>
      <c r="BC288" s="51" t="n">
        <v>0</v>
      </c>
      <c r="BD288" s="51" t="n">
        <v>0</v>
      </c>
      <c r="BE288" s="51" t="n">
        <v>0</v>
      </c>
      <c r="BF288" s="51" t="n">
        <v>0</v>
      </c>
    </row>
    <row r="289">
      <c r="A289">
        <f>HYPERLINK("https://www.walmart.com/ip/584375905", "584375905")</f>
        <v/>
      </c>
      <c r="B289" t="inlineStr">
        <is>
          <t>Youth Reflective Knit Beanie Hat For Sports Warm</t>
        </is>
      </c>
      <c r="C289" t="inlineStr">
        <is>
          <t>1SLBN01OR-FSCB</t>
        </is>
      </c>
      <c r="D289" t="inlineStr">
        <is>
          <t>Hats</t>
        </is>
      </c>
      <c r="E289" t="inlineStr">
        <is>
          <t>Solaris</t>
        </is>
      </c>
      <c r="F289" t="inlineStr">
        <is>
          <t>Optimized</t>
        </is>
      </c>
      <c r="G289" s="48" t="n">
        <v>0</v>
      </c>
      <c r="H289" s="48" t="n">
        <v>0</v>
      </c>
      <c r="I289" s="48" t="n">
        <v>0</v>
      </c>
      <c r="J289" s="48" t="n">
        <v>0</v>
      </c>
      <c r="K289" s="49" t="n">
        <v>0</v>
      </c>
      <c r="L289" s="49" t="n">
        <v>0</v>
      </c>
      <c r="M289" s="49" t="n">
        <v>0</v>
      </c>
      <c r="N289" s="49" t="n">
        <v>0</v>
      </c>
      <c r="O289" s="49" t="n">
        <v>0</v>
      </c>
      <c r="P289" s="49" t="n">
        <v>0</v>
      </c>
      <c r="Q289" s="49" t="n">
        <v>0</v>
      </c>
      <c r="R289" s="49" t="n">
        <v>0</v>
      </c>
      <c r="S289" s="50" t="n">
        <v>0</v>
      </c>
      <c r="T289" s="50" t="n">
        <v>0</v>
      </c>
      <c r="U289" s="50" t="n">
        <v>0</v>
      </c>
      <c r="V289" s="50" t="n">
        <v>0</v>
      </c>
      <c r="W289" s="51" t="n">
        <v>0</v>
      </c>
      <c r="X289" s="51" t="n">
        <v>0</v>
      </c>
      <c r="Y289" s="51" t="n">
        <v>0</v>
      </c>
      <c r="Z289" s="51" t="n">
        <v>0</v>
      </c>
      <c r="AA289" s="52" t="n">
        <v>0</v>
      </c>
      <c r="AB289" s="52" t="n">
        <v>0</v>
      </c>
      <c r="AC289" s="52" t="n">
        <v>0</v>
      </c>
      <c r="AD289" s="52" t="n">
        <v>0</v>
      </c>
      <c r="AE289" s="52" t="n">
        <v>0</v>
      </c>
      <c r="AF289" s="52" t="n">
        <v>0</v>
      </c>
      <c r="AG289" s="52" t="n">
        <v>0</v>
      </c>
      <c r="AH289" s="52" t="n">
        <v>0</v>
      </c>
      <c r="AI289" s="52" t="n">
        <v>0</v>
      </c>
      <c r="AJ289" s="52" t="n">
        <v>0</v>
      </c>
      <c r="AK289" s="52" t="n">
        <v>0</v>
      </c>
      <c r="AL289" s="52" t="n">
        <v>0</v>
      </c>
      <c r="AM289" s="53" t="n">
        <v>0</v>
      </c>
      <c r="AN289" s="53" t="n">
        <v>0</v>
      </c>
      <c r="AO289" s="53" t="n">
        <v>0</v>
      </c>
      <c r="AP289" s="53" t="n">
        <v>0</v>
      </c>
      <c r="AQ289" s="52" t="n">
        <v>0</v>
      </c>
      <c r="AR289" s="52" t="n">
        <v>0</v>
      </c>
      <c r="AS289" s="52" t="n">
        <v>0</v>
      </c>
      <c r="AT289" s="52" t="n">
        <v>0</v>
      </c>
      <c r="AU289" s="53" t="n">
        <v>0</v>
      </c>
      <c r="AV289" s="53" t="n">
        <v>0</v>
      </c>
      <c r="AW289" s="53" t="n">
        <v>0</v>
      </c>
      <c r="AX289" s="53" t="n">
        <v>0</v>
      </c>
      <c r="AY289" s="52" t="n">
        <v>0</v>
      </c>
      <c r="AZ289" s="52" t="n">
        <v>0</v>
      </c>
      <c r="BA289" s="52" t="n">
        <v>0</v>
      </c>
      <c r="BB289" s="52" t="n">
        <v>0</v>
      </c>
      <c r="BC289" s="51" t="n">
        <v>0</v>
      </c>
      <c r="BD289" s="51" t="n">
        <v>0</v>
      </c>
      <c r="BE289" s="51" t="n">
        <v>0</v>
      </c>
      <c r="BF289" s="51" t="n">
        <v>0</v>
      </c>
    </row>
    <row r="290">
      <c r="A290">
        <f>HYPERLINK("https://www.walmart.com/ip/584070242", "584070242")</f>
        <v/>
      </c>
      <c r="B290" t="inlineStr">
        <is>
          <t>undefined</t>
        </is>
      </c>
      <c r="C290" t="inlineStr">
        <is>
          <t>1CTWIG001-F427-ESCB</t>
        </is>
      </c>
      <c r="G290" s="48" t="n">
        <v>0</v>
      </c>
      <c r="H290" s="48" t="n">
        <v>0</v>
      </c>
      <c r="I290" s="48" t="n">
        <v>0</v>
      </c>
      <c r="J290" s="48" t="n">
        <v>0</v>
      </c>
      <c r="K290" s="49" t="n">
        <v>0</v>
      </c>
      <c r="L290" s="49" t="n">
        <v>0</v>
      </c>
      <c r="M290" s="49" t="n">
        <v>0</v>
      </c>
      <c r="N290" s="49" t="n">
        <v>0</v>
      </c>
      <c r="O290" s="49" t="n">
        <v>0</v>
      </c>
      <c r="P290" s="49" t="n">
        <v>0</v>
      </c>
      <c r="Q290" s="49" t="n">
        <v>0</v>
      </c>
      <c r="R290" s="49" t="n">
        <v>0</v>
      </c>
      <c r="S290" s="50" t="n">
        <v>0</v>
      </c>
      <c r="T290" s="50" t="n">
        <v>0</v>
      </c>
      <c r="U290" s="50" t="n">
        <v>0</v>
      </c>
      <c r="V290" s="50" t="n">
        <v>0</v>
      </c>
      <c r="W290" s="51" t="n">
        <v>0</v>
      </c>
      <c r="X290" s="51" t="n">
        <v>0</v>
      </c>
      <c r="Y290" s="51" t="n">
        <v>0</v>
      </c>
      <c r="Z290" s="51" t="n">
        <v>0</v>
      </c>
      <c r="AA290" s="52" t="n">
        <v>0</v>
      </c>
      <c r="AB290" s="52" t="n">
        <v>0</v>
      </c>
      <c r="AC290" s="52" t="n">
        <v>0</v>
      </c>
      <c r="AD290" s="52" t="n">
        <v>0</v>
      </c>
      <c r="AE290" s="52" t="n">
        <v>0</v>
      </c>
      <c r="AF290" s="52" t="n">
        <v>0</v>
      </c>
      <c r="AG290" s="52" t="n">
        <v>0</v>
      </c>
      <c r="AH290" s="52" t="n">
        <v>0</v>
      </c>
      <c r="AI290" s="52" t="n">
        <v>0</v>
      </c>
      <c r="AJ290" s="52" t="n">
        <v>0</v>
      </c>
      <c r="AK290" s="52" t="n">
        <v>0</v>
      </c>
      <c r="AL290" s="52" t="n">
        <v>0</v>
      </c>
      <c r="AM290" s="53" t="n">
        <v>0</v>
      </c>
      <c r="AN290" s="53" t="n">
        <v>0</v>
      </c>
      <c r="AO290" s="53" t="n">
        <v>0</v>
      </c>
      <c r="AP290" s="53" t="n">
        <v>0</v>
      </c>
      <c r="AQ290" s="52" t="n">
        <v>0</v>
      </c>
      <c r="AR290" s="52" t="n">
        <v>0</v>
      </c>
      <c r="AS290" s="52" t="n">
        <v>0</v>
      </c>
      <c r="AT290" s="52" t="n">
        <v>0</v>
      </c>
      <c r="AU290" s="53" t="n">
        <v>0</v>
      </c>
      <c r="AV290" s="53" t="n">
        <v>0</v>
      </c>
      <c r="AW290" s="53" t="n">
        <v>0</v>
      </c>
      <c r="AX290" s="53" t="n">
        <v>0</v>
      </c>
      <c r="AY290" s="52" t="n">
        <v>0</v>
      </c>
      <c r="AZ290" s="52" t="n">
        <v>0</v>
      </c>
      <c r="BA290" s="52" t="n">
        <v>0</v>
      </c>
      <c r="BB290" s="52" t="n">
        <v>0</v>
      </c>
      <c r="BC290" s="51" t="n">
        <v>0</v>
      </c>
      <c r="BD290" s="51" t="n">
        <v>0</v>
      </c>
      <c r="BE290" s="51" t="n">
        <v>0</v>
      </c>
      <c r="BF290" s="51" t="n">
        <v>0</v>
      </c>
    </row>
    <row r="291">
      <c r="A291">
        <f>HYPERLINK("https://www.walmart.com/ip/5839249780", "5839249780")</f>
        <v/>
      </c>
      <c r="B291" t="inlineStr">
        <is>
          <t>Tirrinia Comfort All-Season Robe, Ultra-Smooth Womens Robe, Breathable,Luxury for Everyday Indulgence, Skin-friendly</t>
        </is>
      </c>
      <c r="C291" t="inlineStr">
        <is>
          <t>1TRRB505GY-3</t>
        </is>
      </c>
      <c r="D291" t="inlineStr">
        <is>
          <t>Sleepwear Robes &amp; Bathrobes</t>
        </is>
      </c>
      <c r="E291" t="inlineStr">
        <is>
          <t>Tirrinia</t>
        </is>
      </c>
      <c r="G291" s="48" t="n">
        <v>0</v>
      </c>
      <c r="H291" s="48" t="n">
        <v>0</v>
      </c>
      <c r="I291" s="48" t="n">
        <v>0</v>
      </c>
      <c r="J291" s="48" t="n">
        <v>0</v>
      </c>
      <c r="K291" s="49" t="n">
        <v>0</v>
      </c>
      <c r="L291" s="49" t="n">
        <v>0</v>
      </c>
      <c r="M291" s="49" t="n">
        <v>0</v>
      </c>
      <c r="N291" s="49" t="n">
        <v>0</v>
      </c>
      <c r="O291" s="49" t="n">
        <v>0</v>
      </c>
      <c r="P291" s="49" t="n">
        <v>0</v>
      </c>
      <c r="Q291" s="49" t="n">
        <v>0</v>
      </c>
      <c r="R291" s="49" t="n">
        <v>0</v>
      </c>
      <c r="S291" s="50" t="n">
        <v>0</v>
      </c>
      <c r="T291" s="50" t="n">
        <v>0</v>
      </c>
      <c r="U291" s="50" t="n">
        <v>0</v>
      </c>
      <c r="V291" s="50" t="n">
        <v>0</v>
      </c>
      <c r="W291" s="51" t="n">
        <v>0</v>
      </c>
      <c r="X291" s="51" t="n">
        <v>0</v>
      </c>
      <c r="Y291" s="51" t="n">
        <v>0</v>
      </c>
      <c r="Z291" s="51" t="n">
        <v>0</v>
      </c>
      <c r="AA291" s="52" t="n">
        <v>0</v>
      </c>
      <c r="AB291" s="52" t="n">
        <v>0</v>
      </c>
      <c r="AC291" s="52" t="n">
        <v>0</v>
      </c>
      <c r="AD291" s="52" t="n">
        <v>0</v>
      </c>
      <c r="AE291" s="52" t="n">
        <v>0</v>
      </c>
      <c r="AF291" s="52" t="n">
        <v>0</v>
      </c>
      <c r="AG291" s="52" t="n">
        <v>0</v>
      </c>
      <c r="AH291" s="52" t="n">
        <v>0</v>
      </c>
      <c r="AI291" s="52" t="n">
        <v>0</v>
      </c>
      <c r="AJ291" s="52" t="n">
        <v>0</v>
      </c>
      <c r="AK291" s="52" t="n">
        <v>0</v>
      </c>
      <c r="AL291" s="52" t="n">
        <v>0</v>
      </c>
      <c r="AM291" s="53" t="n">
        <v>0</v>
      </c>
      <c r="AN291" s="53" t="n">
        <v>0</v>
      </c>
      <c r="AO291" s="53" t="n">
        <v>0</v>
      </c>
      <c r="AP291" s="53" t="n">
        <v>0</v>
      </c>
      <c r="AQ291" s="52" t="n">
        <v>0</v>
      </c>
      <c r="AR291" s="52" t="n">
        <v>0</v>
      </c>
      <c r="AS291" s="52" t="n">
        <v>0</v>
      </c>
      <c r="AT291" s="52" t="n">
        <v>0</v>
      </c>
      <c r="AU291" s="53" t="n">
        <v>0</v>
      </c>
      <c r="AV291" s="53" t="n">
        <v>0</v>
      </c>
      <c r="AW291" s="53" t="n">
        <v>0</v>
      </c>
      <c r="AX291" s="53" t="n">
        <v>0</v>
      </c>
      <c r="AY291" s="52" t="n">
        <v>0</v>
      </c>
      <c r="AZ291" s="52" t="n">
        <v>0</v>
      </c>
      <c r="BA291" s="52" t="n">
        <v>0</v>
      </c>
      <c r="BB291" s="52" t="n">
        <v>0</v>
      </c>
      <c r="BC291" s="51" t="n">
        <v>0</v>
      </c>
      <c r="BD291" s="51" t="n">
        <v>0</v>
      </c>
      <c r="BE291" s="51" t="n">
        <v>0</v>
      </c>
      <c r="BF291" s="51" t="n">
        <v>0</v>
      </c>
    </row>
    <row r="292">
      <c r="A292">
        <f>HYPERLINK("https://www.walmart.com/ip/583345529", "583345529")</f>
        <v/>
      </c>
      <c r="B292" t="inlineStr">
        <is>
          <t>Sherpa Slipper Socks for Women,Winter Indoor Home Non Skid Booties</t>
        </is>
      </c>
      <c r="C292" t="inlineStr">
        <is>
          <t>1CTST200GY-2</t>
        </is>
      </c>
      <c r="D292" t="inlineStr">
        <is>
          <t>Socks</t>
        </is>
      </c>
      <c r="E292" t="inlineStr">
        <is>
          <t>Catalonia</t>
        </is>
      </c>
      <c r="F292" t="inlineStr">
        <is>
          <t>WFS</t>
        </is>
      </c>
      <c r="G292" s="48" t="n">
        <v>0</v>
      </c>
      <c r="H292" s="48" t="n">
        <v>0</v>
      </c>
      <c r="I292" s="48" t="n">
        <v>0</v>
      </c>
      <c r="J292" s="48" t="n">
        <v>0</v>
      </c>
      <c r="K292" s="49" t="n">
        <v>0</v>
      </c>
      <c r="L292" s="49" t="n">
        <v>0</v>
      </c>
      <c r="M292" s="49" t="n">
        <v>0</v>
      </c>
      <c r="N292" s="49" t="n">
        <v>0</v>
      </c>
      <c r="O292" s="49" t="n">
        <v>0</v>
      </c>
      <c r="P292" s="49" t="n">
        <v>0</v>
      </c>
      <c r="Q292" s="49" t="n">
        <v>0</v>
      </c>
      <c r="R292" s="49" t="n">
        <v>0</v>
      </c>
      <c r="S292" s="50" t="n">
        <v>0</v>
      </c>
      <c r="T292" s="50" t="n">
        <v>0</v>
      </c>
      <c r="U292" s="50" t="n">
        <v>0</v>
      </c>
      <c r="V292" s="50" t="n">
        <v>0</v>
      </c>
      <c r="W292" s="51" t="n">
        <v>0</v>
      </c>
      <c r="X292" s="51" t="n">
        <v>0</v>
      </c>
      <c r="Y292" s="51" t="n">
        <v>0</v>
      </c>
      <c r="Z292" s="51" t="n">
        <v>0</v>
      </c>
      <c r="AA292" s="52" t="n">
        <v>0</v>
      </c>
      <c r="AB292" s="52" t="n">
        <v>0</v>
      </c>
      <c r="AC292" s="52" t="n">
        <v>0</v>
      </c>
      <c r="AD292" s="52" t="n">
        <v>0</v>
      </c>
      <c r="AE292" s="52" t="n">
        <v>0</v>
      </c>
      <c r="AF292" s="52" t="n">
        <v>0</v>
      </c>
      <c r="AG292" s="52" t="n">
        <v>0</v>
      </c>
      <c r="AH292" s="52" t="n">
        <v>0</v>
      </c>
      <c r="AI292" s="52" t="n">
        <v>0</v>
      </c>
      <c r="AJ292" s="52" t="n">
        <v>0</v>
      </c>
      <c r="AK292" s="52" t="n">
        <v>0</v>
      </c>
      <c r="AL292" s="52" t="n">
        <v>0</v>
      </c>
      <c r="AM292" s="53" t="n">
        <v>0</v>
      </c>
      <c r="AN292" s="53" t="n">
        <v>0</v>
      </c>
      <c r="AO292" s="53" t="n">
        <v>0</v>
      </c>
      <c r="AP292" s="53" t="n">
        <v>0</v>
      </c>
      <c r="AQ292" s="52" t="n">
        <v>0</v>
      </c>
      <c r="AR292" s="52" t="n">
        <v>0</v>
      </c>
      <c r="AS292" s="52" t="n">
        <v>0</v>
      </c>
      <c r="AT292" s="52" t="n">
        <v>0</v>
      </c>
      <c r="AU292" s="53" t="n">
        <v>0</v>
      </c>
      <c r="AV292" s="53" t="n">
        <v>0</v>
      </c>
      <c r="AW292" s="53" t="n">
        <v>0</v>
      </c>
      <c r="AX292" s="53" t="n">
        <v>0</v>
      </c>
      <c r="AY292" s="52" t="n">
        <v>0</v>
      </c>
      <c r="AZ292" s="52" t="n">
        <v>0</v>
      </c>
      <c r="BA292" s="52" t="n">
        <v>0</v>
      </c>
      <c r="BB292" s="52" t="n">
        <v>0</v>
      </c>
      <c r="BC292" s="51" t="n">
        <v>0</v>
      </c>
      <c r="BD292" s="51" t="n">
        <v>0</v>
      </c>
      <c r="BE292" s="51" t="n">
        <v>0</v>
      </c>
      <c r="BF292" s="51" t="n">
        <v>0</v>
      </c>
    </row>
    <row r="293">
      <c r="A293">
        <f>HYPERLINK("https://www.walmart.com/ip/605603462", "605603462")</f>
        <v/>
      </c>
      <c r="B293" t="inlineStr">
        <is>
          <t>Catalonia Wearable TV Blanket with Sleeves Arms &amp; Feet pockets for Adult Micro Plush Fleece Large Wrap Throw Robe 75 x 5</t>
        </is>
      </c>
      <c r="C293" t="inlineStr">
        <is>
          <t>1CTSN101ZEBRA</t>
        </is>
      </c>
      <c r="D293" t="inlineStr">
        <is>
          <t>Throws</t>
        </is>
      </c>
      <c r="E293" t="inlineStr">
        <is>
          <t>Catalonia</t>
        </is>
      </c>
      <c r="F293" t="inlineStr">
        <is>
          <t>WFS,WFS Item,Fleece Blankets</t>
        </is>
      </c>
      <c r="G293" s="48" t="n">
        <v>0</v>
      </c>
      <c r="H293" s="48" t="n">
        <v>0</v>
      </c>
      <c r="I293" s="48" t="n">
        <v>0</v>
      </c>
      <c r="J293" s="48" t="n">
        <v>0</v>
      </c>
      <c r="K293" s="49" t="n">
        <v>0</v>
      </c>
      <c r="L293" s="49" t="n">
        <v>0</v>
      </c>
      <c r="M293" s="49" t="n">
        <v>0</v>
      </c>
      <c r="N293" s="49" t="n">
        <v>0</v>
      </c>
      <c r="O293" s="49" t="n">
        <v>0</v>
      </c>
      <c r="P293" s="49" t="n">
        <v>0</v>
      </c>
      <c r="Q293" s="49" t="n">
        <v>0</v>
      </c>
      <c r="R293" s="49" t="n">
        <v>0</v>
      </c>
      <c r="S293" s="50" t="n">
        <v>0</v>
      </c>
      <c r="T293" s="50" t="n">
        <v>0</v>
      </c>
      <c r="U293" s="50" t="n">
        <v>0</v>
      </c>
      <c r="V293" s="50" t="n">
        <v>0</v>
      </c>
      <c r="W293" s="51" t="n">
        <v>0</v>
      </c>
      <c r="X293" s="51" t="n">
        <v>0</v>
      </c>
      <c r="Y293" s="51" t="n">
        <v>0</v>
      </c>
      <c r="Z293" s="51" t="n">
        <v>0</v>
      </c>
      <c r="AA293" s="52" t="n">
        <v>0</v>
      </c>
      <c r="AB293" s="52" t="n">
        <v>0</v>
      </c>
      <c r="AC293" s="52" t="n">
        <v>0</v>
      </c>
      <c r="AD293" s="52" t="n">
        <v>0</v>
      </c>
      <c r="AE293" s="52" t="n">
        <v>0</v>
      </c>
      <c r="AF293" s="52" t="n">
        <v>0</v>
      </c>
      <c r="AG293" s="52" t="n">
        <v>0</v>
      </c>
      <c r="AH293" s="52" t="n">
        <v>0</v>
      </c>
      <c r="AI293" s="52" t="n">
        <v>0</v>
      </c>
      <c r="AJ293" s="52" t="n">
        <v>0</v>
      </c>
      <c r="AK293" s="52" t="n">
        <v>0</v>
      </c>
      <c r="AL293" s="52" t="n">
        <v>0</v>
      </c>
      <c r="AM293" s="53" t="n">
        <v>0</v>
      </c>
      <c r="AN293" s="53" t="n">
        <v>0</v>
      </c>
      <c r="AO293" s="53" t="n">
        <v>0</v>
      </c>
      <c r="AP293" s="53" t="n">
        <v>0</v>
      </c>
      <c r="AQ293" s="52" t="n">
        <v>0</v>
      </c>
      <c r="AR293" s="52" t="n">
        <v>0</v>
      </c>
      <c r="AS293" s="52" t="n">
        <v>0</v>
      </c>
      <c r="AT293" s="52" t="n">
        <v>0</v>
      </c>
      <c r="AU293" s="53" t="n">
        <v>0</v>
      </c>
      <c r="AV293" s="53" t="n">
        <v>0</v>
      </c>
      <c r="AW293" s="53" t="n">
        <v>0</v>
      </c>
      <c r="AX293" s="53" t="n">
        <v>0</v>
      </c>
      <c r="AY293" s="52" t="n">
        <v>0</v>
      </c>
      <c r="AZ293" s="52" t="n">
        <v>0</v>
      </c>
      <c r="BA293" s="52" t="n">
        <v>0</v>
      </c>
      <c r="BB293" s="52" t="n">
        <v>0</v>
      </c>
      <c r="BC293" s="51" t="n">
        <v>0</v>
      </c>
      <c r="BD293" s="51" t="n">
        <v>0</v>
      </c>
      <c r="BE293" s="51" t="n">
        <v>0</v>
      </c>
      <c r="BF293" s="51" t="n">
        <v>0</v>
      </c>
    </row>
    <row r="294">
      <c r="A294">
        <f>HYPERLINK("https://www.walmart.com/ip/5832412138", "5832412138")</f>
        <v/>
      </c>
      <c r="B294" t="inlineStr">
        <is>
          <t>Tirrinia Insulated Cooler Bag-24 Cans Portable Collapsible Soft Sided Ice Chest, Leak-Proof with Zipper Cooler Box for Beach, Drink, Travel, Camping, Picnic</t>
        </is>
      </c>
      <c r="C294" t="inlineStr">
        <is>
          <t>1TRCB00324GNBK</t>
        </is>
      </c>
      <c r="D294" t="inlineStr">
        <is>
          <t>Soft-Sided Coolers</t>
        </is>
      </c>
      <c r="E294" t="inlineStr">
        <is>
          <t>Tirrinia</t>
        </is>
      </c>
      <c r="G294" s="48" t="n">
        <v>0</v>
      </c>
      <c r="H294" s="48" t="n">
        <v>0</v>
      </c>
      <c r="I294" s="48" t="n">
        <v>0</v>
      </c>
      <c r="J294" s="48" t="n">
        <v>0</v>
      </c>
      <c r="K294" s="49" t="n">
        <v>0</v>
      </c>
      <c r="L294" s="49" t="n">
        <v>0</v>
      </c>
      <c r="M294" s="49" t="n">
        <v>0</v>
      </c>
      <c r="N294" s="49" t="n">
        <v>0</v>
      </c>
      <c r="O294" s="49" t="n">
        <v>0</v>
      </c>
      <c r="P294" s="49" t="n">
        <v>0</v>
      </c>
      <c r="Q294" s="49" t="n">
        <v>0</v>
      </c>
      <c r="R294" s="49" t="n">
        <v>0</v>
      </c>
      <c r="S294" s="50" t="n">
        <v>0</v>
      </c>
      <c r="T294" s="50" t="n">
        <v>0</v>
      </c>
      <c r="U294" s="50" t="n">
        <v>0</v>
      </c>
      <c r="V294" s="50" t="n">
        <v>0</v>
      </c>
      <c r="W294" s="51" t="n">
        <v>0</v>
      </c>
      <c r="X294" s="51" t="n">
        <v>0</v>
      </c>
      <c r="Y294" s="51" t="n">
        <v>0</v>
      </c>
      <c r="Z294" s="51" t="n">
        <v>0</v>
      </c>
      <c r="AA294" s="52" t="n">
        <v>0</v>
      </c>
      <c r="AB294" s="52" t="n">
        <v>0</v>
      </c>
      <c r="AC294" s="52" t="n">
        <v>0</v>
      </c>
      <c r="AD294" s="52" t="n">
        <v>0</v>
      </c>
      <c r="AE294" s="52" t="n">
        <v>0</v>
      </c>
      <c r="AF294" s="52" t="n">
        <v>0</v>
      </c>
      <c r="AG294" s="52" t="n">
        <v>0</v>
      </c>
      <c r="AH294" s="52" t="n">
        <v>0</v>
      </c>
      <c r="AI294" s="52" t="n">
        <v>0</v>
      </c>
      <c r="AJ294" s="52" t="n">
        <v>0</v>
      </c>
      <c r="AK294" s="52" t="n">
        <v>0</v>
      </c>
      <c r="AL294" s="52" t="n">
        <v>0</v>
      </c>
      <c r="AM294" s="53" t="n">
        <v>0</v>
      </c>
      <c r="AN294" s="53" t="n">
        <v>0</v>
      </c>
      <c r="AO294" s="53" t="n">
        <v>0</v>
      </c>
      <c r="AP294" s="53" t="n">
        <v>0</v>
      </c>
      <c r="AQ294" s="52" t="n">
        <v>0</v>
      </c>
      <c r="AR294" s="52" t="n">
        <v>0</v>
      </c>
      <c r="AS294" s="52" t="n">
        <v>0</v>
      </c>
      <c r="AT294" s="52" t="n">
        <v>0</v>
      </c>
      <c r="AU294" s="53" t="n">
        <v>0</v>
      </c>
      <c r="AV294" s="53" t="n">
        <v>0</v>
      </c>
      <c r="AW294" s="53" t="n">
        <v>0</v>
      </c>
      <c r="AX294" s="53" t="n">
        <v>0</v>
      </c>
      <c r="AY294" s="52" t="n">
        <v>0</v>
      </c>
      <c r="AZ294" s="52" t="n">
        <v>0</v>
      </c>
      <c r="BA294" s="52" t="n">
        <v>0</v>
      </c>
      <c r="BB294" s="52" t="n">
        <v>0</v>
      </c>
      <c r="BC294" s="51" t="n">
        <v>0</v>
      </c>
      <c r="BD294" s="51" t="n">
        <v>0</v>
      </c>
      <c r="BE294" s="51" t="n">
        <v>0</v>
      </c>
      <c r="BF294" s="51" t="n">
        <v>0</v>
      </c>
    </row>
    <row r="295">
      <c r="A295">
        <f>HYPERLINK("https://www.walmart.com/ip/583079518", "583079518")</f>
        <v/>
      </c>
      <c r="B295" t="inlineStr">
        <is>
          <t>Tirrinia Insulated Lunch Bag for Women, Men, and Kids, Leakproof Thermal Reusable Insulated Cooler Bag for Office, Work, Back to School, Medium, Black, 8L, 10" X 8.5" X 9.3"</t>
        </is>
      </c>
      <c r="C295" t="inlineStr">
        <is>
          <t>1TRLB702BK-T</t>
        </is>
      </c>
      <c r="D295" t="inlineStr">
        <is>
          <t>Reusable Lunch Bags &amp; Boxes</t>
        </is>
      </c>
      <c r="E295" t="inlineStr">
        <is>
          <t>Tirrinia</t>
        </is>
      </c>
      <c r="F295" t="inlineStr">
        <is>
          <t>Q2-Target,Brand Camp VD,Lunch Bag,Lunch Bags,SEM,WFS Item</t>
        </is>
      </c>
      <c r="G295" s="48" t="n">
        <v>0</v>
      </c>
      <c r="H295" s="48" t="n">
        <v>0</v>
      </c>
      <c r="I295" s="48" t="n">
        <v>12.99</v>
      </c>
      <c r="J295" s="48" t="n">
        <v>25.98</v>
      </c>
      <c r="K295" s="49" t="n">
        <v>0</v>
      </c>
      <c r="L295" s="49" t="n">
        <v>0</v>
      </c>
      <c r="M295" s="49" t="n">
        <v>1</v>
      </c>
      <c r="N295" s="49" t="n">
        <v>2</v>
      </c>
      <c r="O295" s="49" t="n">
        <v>7</v>
      </c>
      <c r="P295" s="49" t="n">
        <v>7</v>
      </c>
      <c r="Q295" s="49" t="n">
        <v>7</v>
      </c>
      <c r="R295" s="49" t="n">
        <v>7</v>
      </c>
      <c r="S295" s="50" t="n">
        <v>0</v>
      </c>
      <c r="T295" s="50" t="n">
        <v>0</v>
      </c>
      <c r="U295" s="50" t="n">
        <v>0.1428571428571428</v>
      </c>
      <c r="V295" s="50" t="n">
        <v>0.2857142857142857</v>
      </c>
      <c r="W295" s="51" t="n">
        <v>0</v>
      </c>
      <c r="X295" s="51" t="n">
        <v>0</v>
      </c>
      <c r="Y295" s="51" t="n">
        <v>0</v>
      </c>
      <c r="Z295" s="51" t="n">
        <v>0</v>
      </c>
      <c r="AA295" s="52" t="n">
        <v>0</v>
      </c>
      <c r="AB295" s="52" t="n">
        <v>0</v>
      </c>
      <c r="AC295" s="52" t="n">
        <v>0</v>
      </c>
      <c r="AD295" s="52" t="n">
        <v>0</v>
      </c>
      <c r="AE295" s="52" t="n">
        <v>0</v>
      </c>
      <c r="AF295" s="52" t="n">
        <v>0</v>
      </c>
      <c r="AG295" s="52" t="n">
        <v>0</v>
      </c>
      <c r="AH295" s="52" t="n">
        <v>0</v>
      </c>
      <c r="AI295" s="52" t="n">
        <v>0</v>
      </c>
      <c r="AJ295" s="52" t="n">
        <v>0</v>
      </c>
      <c r="AK295" s="52" t="n">
        <v>0</v>
      </c>
      <c r="AL295" s="52" t="n">
        <v>0</v>
      </c>
      <c r="AM295" s="53" t="n">
        <v>0</v>
      </c>
      <c r="AN295" s="53" t="n">
        <v>0</v>
      </c>
      <c r="AO295" s="53" t="n">
        <v>0</v>
      </c>
      <c r="AP295" s="53" t="n">
        <v>0</v>
      </c>
      <c r="AQ295" s="52" t="n">
        <v>0</v>
      </c>
      <c r="AR295" s="52" t="n">
        <v>0</v>
      </c>
      <c r="AS295" s="52" t="n">
        <v>0</v>
      </c>
      <c r="AT295" s="52" t="n">
        <v>0</v>
      </c>
      <c r="AU295" s="53" t="n">
        <v>0</v>
      </c>
      <c r="AV295" s="53" t="n">
        <v>0</v>
      </c>
      <c r="AW295" s="53" t="n">
        <v>0</v>
      </c>
      <c r="AX295" s="53" t="n">
        <v>0</v>
      </c>
      <c r="AY295" s="52" t="n">
        <v>0</v>
      </c>
      <c r="AZ295" s="52" t="n">
        <v>0</v>
      </c>
      <c r="BA295" s="52" t="n">
        <v>12.99</v>
      </c>
      <c r="BB295" s="52" t="n">
        <v>12.99</v>
      </c>
      <c r="BC295" s="51" t="n">
        <v>0</v>
      </c>
      <c r="BD295" s="51" t="n">
        <v>0</v>
      </c>
      <c r="BE295" s="51" t="n">
        <v>0</v>
      </c>
      <c r="BF295" s="51" t="n">
        <v>0</v>
      </c>
    </row>
    <row r="296">
      <c r="A296">
        <f>HYPERLINK("https://www.walmart.com/ip/581851318", "581851318")</f>
        <v/>
      </c>
      <c r="B296" t="inlineStr">
        <is>
          <t>KC Caps Sports Unisex Plain Golf Flex Sandwich Baseball Cap, Fitted Cotton Bill Hat, White</t>
        </is>
      </c>
      <c r="C296" t="inlineStr">
        <is>
          <t>KC Caps 8313 white</t>
        </is>
      </c>
      <c r="D296" t="inlineStr">
        <is>
          <t>Golf Hats</t>
        </is>
      </c>
      <c r="E296" t="inlineStr">
        <is>
          <t>KC Caps</t>
        </is>
      </c>
      <c r="F296" t="inlineStr">
        <is>
          <t>Optimized</t>
        </is>
      </c>
      <c r="G296" s="48" t="n">
        <v>0</v>
      </c>
      <c r="H296" s="48" t="n">
        <v>0</v>
      </c>
      <c r="I296" s="48" t="n">
        <v>0</v>
      </c>
      <c r="J296" s="48" t="n">
        <v>0</v>
      </c>
      <c r="K296" s="49" t="n">
        <v>0</v>
      </c>
      <c r="L296" s="49" t="n">
        <v>0</v>
      </c>
      <c r="M296" s="49" t="n">
        <v>0</v>
      </c>
      <c r="N296" s="49" t="n">
        <v>0</v>
      </c>
      <c r="O296" s="49" t="n">
        <v>0</v>
      </c>
      <c r="P296" s="49" t="n">
        <v>0</v>
      </c>
      <c r="Q296" s="49" t="n">
        <v>0</v>
      </c>
      <c r="R296" s="49" t="n">
        <v>0</v>
      </c>
      <c r="S296" s="50" t="n">
        <v>0</v>
      </c>
      <c r="T296" s="50" t="n">
        <v>0</v>
      </c>
      <c r="U296" s="50" t="n">
        <v>0</v>
      </c>
      <c r="V296" s="50" t="n">
        <v>0</v>
      </c>
      <c r="W296" s="51" t="n">
        <v>0</v>
      </c>
      <c r="X296" s="51" t="n">
        <v>0</v>
      </c>
      <c r="Y296" s="51" t="n">
        <v>0</v>
      </c>
      <c r="Z296" s="51" t="n">
        <v>0</v>
      </c>
      <c r="AA296" s="52" t="n">
        <v>0</v>
      </c>
      <c r="AB296" s="52" t="n">
        <v>0</v>
      </c>
      <c r="AC296" s="52" t="n">
        <v>0</v>
      </c>
      <c r="AD296" s="52" t="n">
        <v>0</v>
      </c>
      <c r="AE296" s="52" t="n">
        <v>0</v>
      </c>
      <c r="AF296" s="52" t="n">
        <v>0</v>
      </c>
      <c r="AG296" s="52" t="n">
        <v>0</v>
      </c>
      <c r="AH296" s="52" t="n">
        <v>0</v>
      </c>
      <c r="AI296" s="52" t="n">
        <v>0</v>
      </c>
      <c r="AJ296" s="52" t="n">
        <v>0</v>
      </c>
      <c r="AK296" s="52" t="n">
        <v>0</v>
      </c>
      <c r="AL296" s="52" t="n">
        <v>0</v>
      </c>
      <c r="AM296" s="53" t="n">
        <v>0</v>
      </c>
      <c r="AN296" s="53" t="n">
        <v>0</v>
      </c>
      <c r="AO296" s="53" t="n">
        <v>0</v>
      </c>
      <c r="AP296" s="53" t="n">
        <v>0</v>
      </c>
      <c r="AQ296" s="52" t="n">
        <v>0</v>
      </c>
      <c r="AR296" s="52" t="n">
        <v>0</v>
      </c>
      <c r="AS296" s="52" t="n">
        <v>0</v>
      </c>
      <c r="AT296" s="52" t="n">
        <v>0</v>
      </c>
      <c r="AU296" s="53" t="n">
        <v>0</v>
      </c>
      <c r="AV296" s="53" t="n">
        <v>0</v>
      </c>
      <c r="AW296" s="53" t="n">
        <v>0</v>
      </c>
      <c r="AX296" s="53" t="n">
        <v>0</v>
      </c>
      <c r="AY296" s="52" t="n">
        <v>0</v>
      </c>
      <c r="AZ296" s="52" t="n">
        <v>0</v>
      </c>
      <c r="BA296" s="52" t="n">
        <v>0</v>
      </c>
      <c r="BB296" s="52" t="n">
        <v>0</v>
      </c>
      <c r="BC296" s="51" t="n">
        <v>0</v>
      </c>
      <c r="BD296" s="51" t="n">
        <v>0</v>
      </c>
      <c r="BE296" s="51" t="n">
        <v>0</v>
      </c>
      <c r="BF296" s="51" t="n">
        <v>0</v>
      </c>
    </row>
    <row r="297">
      <c r="A297">
        <f>HYPERLINK("https://www.walmart.com/ip/5815896188", "5815896188")</f>
        <v/>
      </c>
      <c r="B297" t="inlineStr">
        <is>
          <t>Tirrinia Surf Poncho Changing Towel Summer Swim Robe with Hood, Portable Dressing Room, Stylish &amp; Multi-Functional for Surfing Beach Adult Men Women</t>
        </is>
      </c>
      <c r="C297" t="inlineStr">
        <is>
          <t>1TRBR131GL-4</t>
        </is>
      </c>
      <c r="D297" t="inlineStr">
        <is>
          <t>Sleepwear Robes &amp; Bathrobes</t>
        </is>
      </c>
      <c r="E297" t="inlineStr">
        <is>
          <t>Tirrinia</t>
        </is>
      </c>
      <c r="G297" s="48" t="n">
        <v>0</v>
      </c>
      <c r="H297" s="48" t="n">
        <v>0</v>
      </c>
      <c r="I297" s="48" t="n">
        <v>0</v>
      </c>
      <c r="J297" s="48" t="n">
        <v>0</v>
      </c>
      <c r="K297" s="49" t="n">
        <v>0</v>
      </c>
      <c r="L297" s="49" t="n">
        <v>0</v>
      </c>
      <c r="M297" s="49" t="n">
        <v>0</v>
      </c>
      <c r="N297" s="49" t="n">
        <v>0</v>
      </c>
      <c r="O297" s="49" t="n">
        <v>0</v>
      </c>
      <c r="P297" s="49" t="n">
        <v>0</v>
      </c>
      <c r="Q297" s="49" t="n">
        <v>0</v>
      </c>
      <c r="R297" s="49" t="n">
        <v>0</v>
      </c>
      <c r="S297" s="50" t="n">
        <v>0</v>
      </c>
      <c r="T297" s="50" t="n">
        <v>0</v>
      </c>
      <c r="U297" s="50" t="n">
        <v>0</v>
      </c>
      <c r="V297" s="50" t="n">
        <v>0</v>
      </c>
      <c r="W297" s="51" t="n">
        <v>0</v>
      </c>
      <c r="X297" s="51" t="n">
        <v>0</v>
      </c>
      <c r="Y297" s="51" t="n">
        <v>0</v>
      </c>
      <c r="Z297" s="51" t="n">
        <v>0</v>
      </c>
      <c r="AA297" s="52" t="n">
        <v>0</v>
      </c>
      <c r="AB297" s="52" t="n">
        <v>0</v>
      </c>
      <c r="AC297" s="52" t="n">
        <v>0</v>
      </c>
      <c r="AD297" s="52" t="n">
        <v>0</v>
      </c>
      <c r="AE297" s="52" t="n">
        <v>0</v>
      </c>
      <c r="AF297" s="52" t="n">
        <v>0</v>
      </c>
      <c r="AG297" s="52" t="n">
        <v>0</v>
      </c>
      <c r="AH297" s="52" t="n">
        <v>0</v>
      </c>
      <c r="AI297" s="52" t="n">
        <v>0</v>
      </c>
      <c r="AJ297" s="52" t="n">
        <v>0</v>
      </c>
      <c r="AK297" s="52" t="n">
        <v>0</v>
      </c>
      <c r="AL297" s="52" t="n">
        <v>0</v>
      </c>
      <c r="AM297" s="53" t="n">
        <v>0</v>
      </c>
      <c r="AN297" s="53" t="n">
        <v>0</v>
      </c>
      <c r="AO297" s="53" t="n">
        <v>0</v>
      </c>
      <c r="AP297" s="53" t="n">
        <v>0</v>
      </c>
      <c r="AQ297" s="52" t="n">
        <v>0</v>
      </c>
      <c r="AR297" s="52" t="n">
        <v>0</v>
      </c>
      <c r="AS297" s="52" t="n">
        <v>0</v>
      </c>
      <c r="AT297" s="52" t="n">
        <v>0</v>
      </c>
      <c r="AU297" s="53" t="n">
        <v>0</v>
      </c>
      <c r="AV297" s="53" t="n">
        <v>0</v>
      </c>
      <c r="AW297" s="53" t="n">
        <v>0</v>
      </c>
      <c r="AX297" s="53" t="n">
        <v>0</v>
      </c>
      <c r="AY297" s="52" t="n">
        <v>0</v>
      </c>
      <c r="AZ297" s="52" t="n">
        <v>0</v>
      </c>
      <c r="BA297" s="52" t="n">
        <v>0</v>
      </c>
      <c r="BB297" s="52" t="n">
        <v>0</v>
      </c>
      <c r="BC297" s="51" t="n">
        <v>0</v>
      </c>
      <c r="BD297" s="51" t="n">
        <v>0</v>
      </c>
      <c r="BE297" s="51" t="n">
        <v>0</v>
      </c>
      <c r="BF297" s="51" t="n">
        <v>0</v>
      </c>
    </row>
    <row r="298">
      <c r="A298">
        <f>HYPERLINK("https://www.walmart.com/ip/5805406459", "5805406459")</f>
        <v/>
      </c>
      <c r="B298" t="inlineStr">
        <is>
          <t>Kato Expandable Insulated Lunch Bag, Leakproof Lunch Cooler Tote for All Ages, Black</t>
        </is>
      </c>
      <c r="C298" t="inlineStr">
        <is>
          <t>1TRLB110CAMO</t>
        </is>
      </c>
      <c r="D298" t="inlineStr">
        <is>
          <t>Reusable Lunch Bags &amp; Boxes</t>
        </is>
      </c>
      <c r="E298" t="inlineStr">
        <is>
          <t>Kato</t>
        </is>
      </c>
      <c r="G298" s="48" t="n">
        <v>0</v>
      </c>
      <c r="H298" s="48" t="n">
        <v>0</v>
      </c>
      <c r="I298" s="48" t="n">
        <v>0</v>
      </c>
      <c r="J298" s="48" t="n">
        <v>0</v>
      </c>
      <c r="K298" s="49" t="n">
        <v>0</v>
      </c>
      <c r="L298" s="49" t="n">
        <v>0</v>
      </c>
      <c r="M298" s="49" t="n">
        <v>0</v>
      </c>
      <c r="N298" s="49" t="n">
        <v>0</v>
      </c>
      <c r="O298" s="49" t="n">
        <v>0</v>
      </c>
      <c r="P298" s="49" t="n">
        <v>0</v>
      </c>
      <c r="Q298" s="49" t="n">
        <v>0</v>
      </c>
      <c r="R298" s="49" t="n">
        <v>0</v>
      </c>
      <c r="S298" s="50" t="n">
        <v>0</v>
      </c>
      <c r="T298" s="50" t="n">
        <v>0</v>
      </c>
      <c r="U298" s="50" t="n">
        <v>0</v>
      </c>
      <c r="V298" s="50" t="n">
        <v>0</v>
      </c>
      <c r="W298" s="51" t="n">
        <v>0</v>
      </c>
      <c r="X298" s="51" t="n">
        <v>0</v>
      </c>
      <c r="Y298" s="51" t="n">
        <v>0</v>
      </c>
      <c r="Z298" s="51" t="n">
        <v>0</v>
      </c>
      <c r="AA298" s="52" t="n">
        <v>0</v>
      </c>
      <c r="AB298" s="52" t="n">
        <v>0</v>
      </c>
      <c r="AC298" s="52" t="n">
        <v>0</v>
      </c>
      <c r="AD298" s="52" t="n">
        <v>0</v>
      </c>
      <c r="AE298" s="52" t="n">
        <v>0</v>
      </c>
      <c r="AF298" s="52" t="n">
        <v>0</v>
      </c>
      <c r="AG298" s="52" t="n">
        <v>0</v>
      </c>
      <c r="AH298" s="52" t="n">
        <v>0</v>
      </c>
      <c r="AI298" s="52" t="n">
        <v>0</v>
      </c>
      <c r="AJ298" s="52" t="n">
        <v>0</v>
      </c>
      <c r="AK298" s="52" t="n">
        <v>0</v>
      </c>
      <c r="AL298" s="52" t="n">
        <v>0</v>
      </c>
      <c r="AM298" s="53" t="n">
        <v>0</v>
      </c>
      <c r="AN298" s="53" t="n">
        <v>0</v>
      </c>
      <c r="AO298" s="53" t="n">
        <v>0</v>
      </c>
      <c r="AP298" s="53" t="n">
        <v>0</v>
      </c>
      <c r="AQ298" s="52" t="n">
        <v>0</v>
      </c>
      <c r="AR298" s="52" t="n">
        <v>0</v>
      </c>
      <c r="AS298" s="52" t="n">
        <v>0</v>
      </c>
      <c r="AT298" s="52" t="n">
        <v>0</v>
      </c>
      <c r="AU298" s="53" t="n">
        <v>0</v>
      </c>
      <c r="AV298" s="53" t="n">
        <v>0</v>
      </c>
      <c r="AW298" s="53" t="n">
        <v>0</v>
      </c>
      <c r="AX298" s="53" t="n">
        <v>0</v>
      </c>
      <c r="AY298" s="52" t="n">
        <v>0</v>
      </c>
      <c r="AZ298" s="52" t="n">
        <v>0</v>
      </c>
      <c r="BA298" s="52" t="n">
        <v>0</v>
      </c>
      <c r="BB298" s="52" t="n">
        <v>0</v>
      </c>
      <c r="BC298" s="51" t="n">
        <v>0</v>
      </c>
      <c r="BD298" s="51" t="n">
        <v>0</v>
      </c>
      <c r="BE298" s="51" t="n">
        <v>0</v>
      </c>
      <c r="BF298" s="51" t="n">
        <v>0</v>
      </c>
    </row>
    <row r="299">
      <c r="A299">
        <f>HYPERLINK("https://www.walmart.com/ip/603656059", "603656059")</f>
        <v/>
      </c>
      <c r="B299" t="inlineStr">
        <is>
          <t>Solaris Sun Hats UV Protection Wide Brim Hat Unisex Adult Multicolor</t>
        </is>
      </c>
      <c r="C299" t="inlineStr">
        <is>
          <t>1SLSH910GY</t>
        </is>
      </c>
      <c r="D299" t="inlineStr">
        <is>
          <t>Hats</t>
        </is>
      </c>
      <c r="E299" t="inlineStr">
        <is>
          <t>Solaris</t>
        </is>
      </c>
      <c r="F299" t="inlineStr">
        <is>
          <t>WFS,Hats,SEM,WFS Item</t>
        </is>
      </c>
      <c r="G299" s="48" t="n">
        <v>0</v>
      </c>
      <c r="H299" s="48" t="n">
        <v>0</v>
      </c>
      <c r="I299" s="48" t="n">
        <v>17.99</v>
      </c>
      <c r="J299" s="48" t="n">
        <v>0</v>
      </c>
      <c r="K299" s="49" t="n">
        <v>0</v>
      </c>
      <c r="L299" s="49" t="n">
        <v>0</v>
      </c>
      <c r="M299" s="49" t="n">
        <v>1</v>
      </c>
      <c r="N299" s="49" t="n">
        <v>0</v>
      </c>
      <c r="O299" s="49" t="n">
        <v>0</v>
      </c>
      <c r="P299" s="49" t="n">
        <v>0</v>
      </c>
      <c r="Q299" s="49" t="n">
        <v>0</v>
      </c>
      <c r="R299" s="49" t="n">
        <v>0</v>
      </c>
      <c r="S299" s="50" t="n">
        <v>0</v>
      </c>
      <c r="T299" s="50" t="n">
        <v>0</v>
      </c>
      <c r="U299" s="50" t="n">
        <v>0</v>
      </c>
      <c r="V299" s="50" t="n">
        <v>0</v>
      </c>
      <c r="W299" s="51" t="n">
        <v>2</v>
      </c>
      <c r="X299" s="51" t="n">
        <v>0</v>
      </c>
      <c r="Y299" s="51" t="n">
        <v>0</v>
      </c>
      <c r="Z299" s="51" t="n">
        <v>0</v>
      </c>
      <c r="AA299" s="52" t="n">
        <v>0.62</v>
      </c>
      <c r="AB299" s="52" t="n">
        <v>0</v>
      </c>
      <c r="AC299" s="52" t="n">
        <v>0</v>
      </c>
      <c r="AD299" s="52" t="n">
        <v>0</v>
      </c>
      <c r="AE299" s="52" t="n">
        <v>0</v>
      </c>
      <c r="AF299" s="52" t="n">
        <v>0</v>
      </c>
      <c r="AG299" s="52" t="n">
        <v>0</v>
      </c>
      <c r="AH299" s="52" t="n">
        <v>0</v>
      </c>
      <c r="AI299" s="52" t="n">
        <v>0</v>
      </c>
      <c r="AJ299" s="52" t="n">
        <v>0</v>
      </c>
      <c r="AK299" s="52" t="n">
        <v>0</v>
      </c>
      <c r="AL299" s="52" t="n">
        <v>0</v>
      </c>
      <c r="AM299" s="53" t="n">
        <v>0.0029</v>
      </c>
      <c r="AN299" s="53" t="n">
        <v>0</v>
      </c>
      <c r="AO299" s="53" t="n">
        <v>0</v>
      </c>
      <c r="AP299" s="53" t="n">
        <v>0</v>
      </c>
      <c r="AQ299" s="52" t="n">
        <v>0.31</v>
      </c>
      <c r="AR299" s="52" t="n">
        <v>0</v>
      </c>
      <c r="AS299" s="52" t="n">
        <v>0</v>
      </c>
      <c r="AT299" s="52" t="n">
        <v>0</v>
      </c>
      <c r="AU299" s="53" t="n">
        <v>0</v>
      </c>
      <c r="AV299" s="53" t="n">
        <v>0</v>
      </c>
      <c r="AW299" s="53" t="n">
        <v>0</v>
      </c>
      <c r="AX299" s="53" t="n">
        <v>0</v>
      </c>
      <c r="AY299" s="52" t="n">
        <v>0</v>
      </c>
      <c r="AZ299" s="52" t="n">
        <v>0</v>
      </c>
      <c r="BA299" s="52" t="n">
        <v>17.99</v>
      </c>
      <c r="BB299" s="52" t="n">
        <v>0</v>
      </c>
      <c r="BC299" s="51" t="n">
        <v>682</v>
      </c>
      <c r="BD299" s="51" t="n">
        <v>0</v>
      </c>
      <c r="BE299" s="51" t="n">
        <v>0</v>
      </c>
      <c r="BF299" s="51" t="n">
        <v>0</v>
      </c>
    </row>
    <row r="300">
      <c r="A300">
        <f>HYPERLINK("https://www.walmart.com/ip/5803699350", "5803699350")</f>
        <v/>
      </c>
      <c r="B300" t="inlineStr">
        <is>
          <t>Tirrinia Beach Lounge Chair Cover, Portable Chaise Beach Towel, Sunbathing for Beach Pool Patio Garden Courtyard Outdoor Trips, 31 x 73 inch Navy</t>
        </is>
      </c>
      <c r="C300" t="inlineStr">
        <is>
          <t>1TRBM20237NY</t>
        </is>
      </c>
      <c r="D300" t="inlineStr">
        <is>
          <t>Patio Furniture Covers</t>
        </is>
      </c>
      <c r="E300" t="inlineStr">
        <is>
          <t>Tirrinia</t>
        </is>
      </c>
      <c r="G300" s="48" t="n">
        <v>0</v>
      </c>
      <c r="H300" s="48" t="n">
        <v>0</v>
      </c>
      <c r="I300" s="48" t="n">
        <v>27.99</v>
      </c>
      <c r="J300" s="48" t="n">
        <v>0</v>
      </c>
      <c r="K300" s="49" t="n">
        <v>0</v>
      </c>
      <c r="L300" s="49" t="n">
        <v>0</v>
      </c>
      <c r="M300" s="49" t="n">
        <v>1</v>
      </c>
      <c r="N300" s="49" t="n">
        <v>0</v>
      </c>
      <c r="O300" s="49" t="n">
        <v>0</v>
      </c>
      <c r="P300" s="49" t="n">
        <v>0</v>
      </c>
      <c r="Q300" s="49" t="n">
        <v>0</v>
      </c>
      <c r="R300" s="49" t="n">
        <v>0</v>
      </c>
      <c r="S300" s="50" t="n">
        <v>0</v>
      </c>
      <c r="T300" s="50" t="n">
        <v>0</v>
      </c>
      <c r="U300" s="50" t="n">
        <v>0</v>
      </c>
      <c r="V300" s="50" t="n">
        <v>0</v>
      </c>
      <c r="W300" s="51" t="n">
        <v>0</v>
      </c>
      <c r="X300" s="51" t="n">
        <v>0</v>
      </c>
      <c r="Y300" s="51" t="n">
        <v>0</v>
      </c>
      <c r="Z300" s="51" t="n">
        <v>0</v>
      </c>
      <c r="AA300" s="52" t="n">
        <v>0</v>
      </c>
      <c r="AB300" s="52" t="n">
        <v>0</v>
      </c>
      <c r="AC300" s="52" t="n">
        <v>0</v>
      </c>
      <c r="AD300" s="52" t="n">
        <v>0</v>
      </c>
      <c r="AE300" s="52" t="n">
        <v>0</v>
      </c>
      <c r="AF300" s="52" t="n">
        <v>0</v>
      </c>
      <c r="AG300" s="52" t="n">
        <v>0</v>
      </c>
      <c r="AH300" s="52" t="n">
        <v>0</v>
      </c>
      <c r="AI300" s="52" t="n">
        <v>0</v>
      </c>
      <c r="AJ300" s="52" t="n">
        <v>0</v>
      </c>
      <c r="AK300" s="52" t="n">
        <v>0</v>
      </c>
      <c r="AL300" s="52" t="n">
        <v>0</v>
      </c>
      <c r="AM300" s="53" t="n">
        <v>0</v>
      </c>
      <c r="AN300" s="53" t="n">
        <v>0</v>
      </c>
      <c r="AO300" s="53" t="n">
        <v>0</v>
      </c>
      <c r="AP300" s="53" t="n">
        <v>0</v>
      </c>
      <c r="AQ300" s="52" t="n">
        <v>0</v>
      </c>
      <c r="AR300" s="52" t="n">
        <v>0</v>
      </c>
      <c r="AS300" s="52" t="n">
        <v>0</v>
      </c>
      <c r="AT300" s="52" t="n">
        <v>0</v>
      </c>
      <c r="AU300" s="53" t="n">
        <v>0</v>
      </c>
      <c r="AV300" s="53" t="n">
        <v>0</v>
      </c>
      <c r="AW300" s="53" t="n">
        <v>0</v>
      </c>
      <c r="AX300" s="53" t="n">
        <v>0</v>
      </c>
      <c r="AY300" s="52" t="n">
        <v>0</v>
      </c>
      <c r="AZ300" s="52" t="n">
        <v>0</v>
      </c>
      <c r="BA300" s="52" t="n">
        <v>27.99</v>
      </c>
      <c r="BB300" s="52" t="n">
        <v>0</v>
      </c>
      <c r="BC300" s="51" t="n">
        <v>0</v>
      </c>
      <c r="BD300" s="51" t="n">
        <v>0</v>
      </c>
      <c r="BE300" s="51" t="n">
        <v>0</v>
      </c>
      <c r="BF300" s="51" t="n">
        <v>0</v>
      </c>
    </row>
    <row r="301">
      <c r="A301">
        <f>HYPERLINK("https://www.walmart.com/ip/5801714843", "5801714843")</f>
        <v/>
      </c>
      <c r="B301" t="inlineStr">
        <is>
          <t>Tirrinia Camping Cooler Bag Insulated w/ Shoulder Strap and Bottle Opener 20 Cans Portable Ice Chest for Camping Hiking Picnic Beach</t>
        </is>
      </c>
      <c r="C301" t="inlineStr">
        <is>
          <t>1TRCB00136BK</t>
        </is>
      </c>
      <c r="D301" t="inlineStr">
        <is>
          <t>Picnic Baskets &amp; Bags</t>
        </is>
      </c>
      <c r="E301" t="inlineStr">
        <is>
          <t>Tirrinia</t>
        </is>
      </c>
      <c r="G301" s="48" t="n">
        <v>0</v>
      </c>
      <c r="H301" s="48" t="n">
        <v>26.99</v>
      </c>
      <c r="I301" s="48" t="n">
        <v>0</v>
      </c>
      <c r="J301" s="48" t="n">
        <v>0</v>
      </c>
      <c r="K301" s="49" t="n">
        <v>0</v>
      </c>
      <c r="L301" s="49" t="n">
        <v>1</v>
      </c>
      <c r="M301" s="49" t="n">
        <v>0</v>
      </c>
      <c r="N301" s="49" t="n">
        <v>0</v>
      </c>
      <c r="O301" s="49" t="n">
        <v>0</v>
      </c>
      <c r="P301" s="49" t="n">
        <v>0</v>
      </c>
      <c r="Q301" s="49" t="n">
        <v>0</v>
      </c>
      <c r="R301" s="49" t="n">
        <v>0</v>
      </c>
      <c r="S301" s="50" t="n">
        <v>0</v>
      </c>
      <c r="T301" s="50" t="n">
        <v>0</v>
      </c>
      <c r="U301" s="50" t="n">
        <v>0</v>
      </c>
      <c r="V301" s="50" t="n">
        <v>0</v>
      </c>
      <c r="W301" s="51" t="n">
        <v>0</v>
      </c>
      <c r="X301" s="51" t="n">
        <v>0</v>
      </c>
      <c r="Y301" s="51" t="n">
        <v>0</v>
      </c>
      <c r="Z301" s="51" t="n">
        <v>0</v>
      </c>
      <c r="AA301" s="52" t="n">
        <v>0</v>
      </c>
      <c r="AB301" s="52" t="n">
        <v>0</v>
      </c>
      <c r="AC301" s="52" t="n">
        <v>0</v>
      </c>
      <c r="AD301" s="52" t="n">
        <v>0</v>
      </c>
      <c r="AE301" s="52" t="n">
        <v>0</v>
      </c>
      <c r="AF301" s="52" t="n">
        <v>0</v>
      </c>
      <c r="AG301" s="52" t="n">
        <v>0</v>
      </c>
      <c r="AH301" s="52" t="n">
        <v>0</v>
      </c>
      <c r="AI301" s="52" t="n">
        <v>0</v>
      </c>
      <c r="AJ301" s="52" t="n">
        <v>0</v>
      </c>
      <c r="AK301" s="52" t="n">
        <v>0</v>
      </c>
      <c r="AL301" s="52" t="n">
        <v>0</v>
      </c>
      <c r="AM301" s="53" t="n">
        <v>0</v>
      </c>
      <c r="AN301" s="53" t="n">
        <v>0</v>
      </c>
      <c r="AO301" s="53" t="n">
        <v>0</v>
      </c>
      <c r="AP301" s="53" t="n">
        <v>0</v>
      </c>
      <c r="AQ301" s="52" t="n">
        <v>0</v>
      </c>
      <c r="AR301" s="52" t="n">
        <v>0</v>
      </c>
      <c r="AS301" s="52" t="n">
        <v>0</v>
      </c>
      <c r="AT301" s="52" t="n">
        <v>0</v>
      </c>
      <c r="AU301" s="53" t="n">
        <v>0</v>
      </c>
      <c r="AV301" s="53" t="n">
        <v>0</v>
      </c>
      <c r="AW301" s="53" t="n">
        <v>0</v>
      </c>
      <c r="AX301" s="53" t="n">
        <v>0</v>
      </c>
      <c r="AY301" s="52" t="n">
        <v>0</v>
      </c>
      <c r="AZ301" s="52" t="n">
        <v>26.99</v>
      </c>
      <c r="BA301" s="52" t="n">
        <v>0</v>
      </c>
      <c r="BB301" s="52" t="n">
        <v>0</v>
      </c>
      <c r="BC301" s="51" t="n">
        <v>0</v>
      </c>
      <c r="BD301" s="51" t="n">
        <v>0</v>
      </c>
      <c r="BE301" s="51" t="n">
        <v>0</v>
      </c>
      <c r="BF301" s="51" t="n">
        <v>0</v>
      </c>
    </row>
    <row r="302">
      <c r="A302">
        <f>HYPERLINK("https://www.walmart.com/ip/6061252889", "6061252889")</f>
        <v/>
      </c>
      <c r="B302" t="inlineStr">
        <is>
          <t>Tirrinia Waterproof Outdoor Blanket with Sherpa Lining, Insulated Waterproof Oxford &amp; Plush Sherpa, Foldable for Stadium Camping, Sports, Picnic, Grass, Concerts, Pet,60” x 80”</t>
        </is>
      </c>
      <c r="C302" t="inlineStr">
        <is>
          <t>1TRBW70168NYGY</t>
        </is>
      </c>
      <c r="D302" t="inlineStr">
        <is>
          <t>Picnic Blankets &amp; Mats</t>
        </is>
      </c>
      <c r="E302" t="inlineStr">
        <is>
          <t>Tirrinia</t>
        </is>
      </c>
      <c r="G302" s="48" t="n">
        <v>0</v>
      </c>
      <c r="H302" s="48" t="n">
        <v>0</v>
      </c>
      <c r="I302" s="48" t="n">
        <v>0</v>
      </c>
      <c r="J302" s="48" t="n">
        <v>0</v>
      </c>
      <c r="K302" s="49" t="n">
        <v>0</v>
      </c>
      <c r="L302" s="49" t="n">
        <v>0</v>
      </c>
      <c r="M302" s="49" t="n">
        <v>0</v>
      </c>
      <c r="N302" s="49" t="n">
        <v>0</v>
      </c>
      <c r="O302" s="49" t="n">
        <v>0</v>
      </c>
      <c r="P302" s="49" t="n">
        <v>0</v>
      </c>
      <c r="Q302" s="49" t="n">
        <v>0</v>
      </c>
      <c r="R302" s="49" t="n">
        <v>0</v>
      </c>
      <c r="S302" s="50" t="n">
        <v>0</v>
      </c>
      <c r="T302" s="50" t="n">
        <v>0</v>
      </c>
      <c r="U302" s="50" t="n">
        <v>0</v>
      </c>
      <c r="V302" s="50" t="n">
        <v>0</v>
      </c>
      <c r="W302" s="51" t="n">
        <v>1</v>
      </c>
      <c r="X302" s="51" t="n">
        <v>0</v>
      </c>
      <c r="Y302" s="51" t="n">
        <v>0</v>
      </c>
      <c r="Z302" s="51" t="n">
        <v>0</v>
      </c>
      <c r="AA302" s="52" t="n">
        <v>0.43</v>
      </c>
      <c r="AB302" s="52" t="n">
        <v>0</v>
      </c>
      <c r="AC302" s="52" t="n">
        <v>0</v>
      </c>
      <c r="AD302" s="52" t="n">
        <v>0</v>
      </c>
      <c r="AE302" s="52" t="n">
        <v>0</v>
      </c>
      <c r="AF302" s="52" t="n">
        <v>0</v>
      </c>
      <c r="AG302" s="52" t="n">
        <v>0</v>
      </c>
      <c r="AH302" s="52" t="n">
        <v>0</v>
      </c>
      <c r="AI302" s="52" t="n">
        <v>0</v>
      </c>
      <c r="AJ302" s="52" t="n">
        <v>0</v>
      </c>
      <c r="AK302" s="52" t="n">
        <v>0</v>
      </c>
      <c r="AL302" s="52" t="n">
        <v>0</v>
      </c>
      <c r="AM302" s="53" t="n">
        <v>0.0019</v>
      </c>
      <c r="AN302" s="53" t="n">
        <v>0</v>
      </c>
      <c r="AO302" s="53" t="n">
        <v>0</v>
      </c>
      <c r="AP302" s="53" t="n">
        <v>0</v>
      </c>
      <c r="AQ302" s="52" t="n">
        <v>0.43</v>
      </c>
      <c r="AR302" s="52" t="n">
        <v>0</v>
      </c>
      <c r="AS302" s="52" t="n">
        <v>0</v>
      </c>
      <c r="AT302" s="52" t="n">
        <v>0</v>
      </c>
      <c r="AU302" s="53" t="n">
        <v>0</v>
      </c>
      <c r="AV302" s="53" t="n">
        <v>0</v>
      </c>
      <c r="AW302" s="53" t="n">
        <v>0</v>
      </c>
      <c r="AX302" s="53" t="n">
        <v>0</v>
      </c>
      <c r="AY302" s="52" t="n">
        <v>0</v>
      </c>
      <c r="AZ302" s="52" t="n">
        <v>0</v>
      </c>
      <c r="BA302" s="52" t="n">
        <v>0</v>
      </c>
      <c r="BB302" s="52" t="n">
        <v>0</v>
      </c>
      <c r="BC302" s="51" t="n">
        <v>518</v>
      </c>
      <c r="BD302" s="51" t="n">
        <v>771</v>
      </c>
      <c r="BE302" s="51" t="n">
        <v>0</v>
      </c>
      <c r="BF302" s="51" t="n">
        <v>0</v>
      </c>
    </row>
    <row r="303">
      <c r="A303">
        <f>HYPERLINK("https://www.walmart.com/ip/5798977265", "5798977265")</f>
        <v/>
      </c>
      <c r="B303" t="inlineStr">
        <is>
          <t>Catalonia Cooling Blanket for Hot Sleepers, Summer Bed Blanket for Warm Night Sweat, Cool Sofa Throw Blanket for Hot Flashes, Soft Thin Lightweight Blanket for Adults Kids</t>
        </is>
      </c>
      <c r="C303" t="inlineStr">
        <is>
          <t>1CTBQ10119GY</t>
        </is>
      </c>
      <c r="D303" t="inlineStr">
        <is>
          <t>Throws</t>
        </is>
      </c>
      <c r="E303" t="inlineStr">
        <is>
          <t>Catalonia</t>
        </is>
      </c>
      <c r="G303" s="48" t="n">
        <v>0</v>
      </c>
      <c r="H303" s="48" t="n">
        <v>0</v>
      </c>
      <c r="I303" s="48" t="n">
        <v>0</v>
      </c>
      <c r="J303" s="48" t="n">
        <v>0</v>
      </c>
      <c r="K303" s="49" t="n">
        <v>0</v>
      </c>
      <c r="L303" s="49" t="n">
        <v>0</v>
      </c>
      <c r="M303" s="49" t="n">
        <v>0</v>
      </c>
      <c r="N303" s="49" t="n">
        <v>0</v>
      </c>
      <c r="O303" s="49" t="n">
        <v>0</v>
      </c>
      <c r="P303" s="49" t="n">
        <v>0</v>
      </c>
      <c r="Q303" s="49" t="n">
        <v>0</v>
      </c>
      <c r="R303" s="49" t="n">
        <v>0</v>
      </c>
      <c r="S303" s="50" t="n">
        <v>0</v>
      </c>
      <c r="T303" s="50" t="n">
        <v>0</v>
      </c>
      <c r="U303" s="50" t="n">
        <v>0</v>
      </c>
      <c r="V303" s="50" t="n">
        <v>0</v>
      </c>
      <c r="W303" s="51" t="n">
        <v>0</v>
      </c>
      <c r="X303" s="51" t="n">
        <v>0</v>
      </c>
      <c r="Y303" s="51" t="n">
        <v>0</v>
      </c>
      <c r="Z303" s="51" t="n">
        <v>0</v>
      </c>
      <c r="AA303" s="52" t="n">
        <v>0</v>
      </c>
      <c r="AB303" s="52" t="n">
        <v>0</v>
      </c>
      <c r="AC303" s="52" t="n">
        <v>0</v>
      </c>
      <c r="AD303" s="52" t="n">
        <v>0</v>
      </c>
      <c r="AE303" s="52" t="n">
        <v>0</v>
      </c>
      <c r="AF303" s="52" t="n">
        <v>0</v>
      </c>
      <c r="AG303" s="52" t="n">
        <v>0</v>
      </c>
      <c r="AH303" s="52" t="n">
        <v>0</v>
      </c>
      <c r="AI303" s="52" t="n">
        <v>0</v>
      </c>
      <c r="AJ303" s="52" t="n">
        <v>0</v>
      </c>
      <c r="AK303" s="52" t="n">
        <v>0</v>
      </c>
      <c r="AL303" s="52" t="n">
        <v>0</v>
      </c>
      <c r="AM303" s="53" t="n">
        <v>0</v>
      </c>
      <c r="AN303" s="53" t="n">
        <v>0</v>
      </c>
      <c r="AO303" s="53" t="n">
        <v>0</v>
      </c>
      <c r="AP303" s="53" t="n">
        <v>0</v>
      </c>
      <c r="AQ303" s="52" t="n">
        <v>0</v>
      </c>
      <c r="AR303" s="52" t="n">
        <v>0</v>
      </c>
      <c r="AS303" s="52" t="n">
        <v>0</v>
      </c>
      <c r="AT303" s="52" t="n">
        <v>0</v>
      </c>
      <c r="AU303" s="53" t="n">
        <v>0</v>
      </c>
      <c r="AV303" s="53" t="n">
        <v>0</v>
      </c>
      <c r="AW303" s="53" t="n">
        <v>0</v>
      </c>
      <c r="AX303" s="53" t="n">
        <v>0</v>
      </c>
      <c r="AY303" s="52" t="n">
        <v>0</v>
      </c>
      <c r="AZ303" s="52" t="n">
        <v>0</v>
      </c>
      <c r="BA303" s="52" t="n">
        <v>0</v>
      </c>
      <c r="BB303" s="52" t="n">
        <v>0</v>
      </c>
      <c r="BC303" s="51" t="n">
        <v>0</v>
      </c>
      <c r="BD303" s="51" t="n">
        <v>0</v>
      </c>
      <c r="BE303" s="51" t="n">
        <v>0</v>
      </c>
      <c r="BF303" s="51" t="n">
        <v>0</v>
      </c>
    </row>
    <row r="304">
      <c r="A304">
        <f>HYPERLINK("https://www.walmart.com/ip/579846094", "579846094")</f>
        <v/>
      </c>
      <c r="B304" t="inlineStr">
        <is>
          <t>Tirrinia Super Cozy Fleece Plush Patriotic Throw Blanket For Bed Or Couch, 50" x 60", USA Flag</t>
        </is>
      </c>
      <c r="C304" t="inlineStr">
        <is>
          <t>1TRBF300USA4-TBCB01</t>
        </is>
      </c>
      <c r="D304" t="inlineStr">
        <is>
          <t>Throws</t>
        </is>
      </c>
      <c r="E304" t="inlineStr">
        <is>
          <t>Tirrinia</t>
        </is>
      </c>
      <c r="F304" t="inlineStr">
        <is>
          <t>Optimized</t>
        </is>
      </c>
      <c r="G304" s="48" t="n">
        <v>0</v>
      </c>
      <c r="H304" s="48" t="n">
        <v>0</v>
      </c>
      <c r="I304" s="48" t="n">
        <v>0</v>
      </c>
      <c r="J304" s="48" t="n">
        <v>0</v>
      </c>
      <c r="K304" s="49" t="n">
        <v>0</v>
      </c>
      <c r="L304" s="49" t="n">
        <v>0</v>
      </c>
      <c r="M304" s="49" t="n">
        <v>0</v>
      </c>
      <c r="N304" s="49" t="n">
        <v>0</v>
      </c>
      <c r="O304" s="49" t="n">
        <v>0</v>
      </c>
      <c r="P304" s="49" t="n">
        <v>0</v>
      </c>
      <c r="Q304" s="49" t="n">
        <v>0</v>
      </c>
      <c r="R304" s="49" t="n">
        <v>0</v>
      </c>
      <c r="S304" s="50" t="n">
        <v>0</v>
      </c>
      <c r="T304" s="50" t="n">
        <v>0</v>
      </c>
      <c r="U304" s="50" t="n">
        <v>0</v>
      </c>
      <c r="V304" s="50" t="n">
        <v>0</v>
      </c>
      <c r="W304" s="51" t="n">
        <v>0</v>
      </c>
      <c r="X304" s="51" t="n">
        <v>0</v>
      </c>
      <c r="Y304" s="51" t="n">
        <v>0</v>
      </c>
      <c r="Z304" s="51" t="n">
        <v>0</v>
      </c>
      <c r="AA304" s="52" t="n">
        <v>0</v>
      </c>
      <c r="AB304" s="52" t="n">
        <v>0</v>
      </c>
      <c r="AC304" s="52" t="n">
        <v>0</v>
      </c>
      <c r="AD304" s="52" t="n">
        <v>0</v>
      </c>
      <c r="AE304" s="52" t="n">
        <v>0</v>
      </c>
      <c r="AF304" s="52" t="n">
        <v>0</v>
      </c>
      <c r="AG304" s="52" t="n">
        <v>0</v>
      </c>
      <c r="AH304" s="52" t="n">
        <v>0</v>
      </c>
      <c r="AI304" s="52" t="n">
        <v>0</v>
      </c>
      <c r="AJ304" s="52" t="n">
        <v>0</v>
      </c>
      <c r="AK304" s="52" t="n">
        <v>0</v>
      </c>
      <c r="AL304" s="52" t="n">
        <v>0</v>
      </c>
      <c r="AM304" s="53" t="n">
        <v>0</v>
      </c>
      <c r="AN304" s="53" t="n">
        <v>0</v>
      </c>
      <c r="AO304" s="53" t="n">
        <v>0</v>
      </c>
      <c r="AP304" s="53" t="n">
        <v>0</v>
      </c>
      <c r="AQ304" s="52" t="n">
        <v>0</v>
      </c>
      <c r="AR304" s="52" t="n">
        <v>0</v>
      </c>
      <c r="AS304" s="52" t="n">
        <v>0</v>
      </c>
      <c r="AT304" s="52" t="n">
        <v>0</v>
      </c>
      <c r="AU304" s="53" t="n">
        <v>0</v>
      </c>
      <c r="AV304" s="53" t="n">
        <v>0</v>
      </c>
      <c r="AW304" s="53" t="n">
        <v>0</v>
      </c>
      <c r="AX304" s="53" t="n">
        <v>0</v>
      </c>
      <c r="AY304" s="52" t="n">
        <v>0</v>
      </c>
      <c r="AZ304" s="52" t="n">
        <v>0</v>
      </c>
      <c r="BA304" s="52" t="n">
        <v>0</v>
      </c>
      <c r="BB304" s="52" t="n">
        <v>0</v>
      </c>
      <c r="BC304" s="51" t="n">
        <v>0</v>
      </c>
      <c r="BD304" s="51" t="n">
        <v>0</v>
      </c>
      <c r="BE304" s="51" t="n">
        <v>0</v>
      </c>
      <c r="BF304" s="51" t="n">
        <v>0</v>
      </c>
    </row>
    <row r="305">
      <c r="A305">
        <f>HYPERLINK("https://www.walmart.com/ip/5798048545", "5798048545")</f>
        <v/>
      </c>
      <c r="B305" t="inlineStr">
        <is>
          <t>Catalonia Cooling Blanket for Hot Sleepers, Summer Bed Blanket for Warm Night Sweat, Cool Sofa Throw Blanket for Hot Flashes, Soft Thin Lightweight Blanket for Adults Kids</t>
        </is>
      </c>
      <c r="C305" t="inlineStr">
        <is>
          <t>1CTBQ10119BL</t>
        </is>
      </c>
      <c r="D305" t="inlineStr">
        <is>
          <t>Throws</t>
        </is>
      </c>
      <c r="E305" t="inlineStr">
        <is>
          <t>Catalonia</t>
        </is>
      </c>
      <c r="G305" s="48" t="n">
        <v>0</v>
      </c>
      <c r="H305" s="48" t="n">
        <v>0</v>
      </c>
      <c r="I305" s="48" t="n">
        <v>0</v>
      </c>
      <c r="J305" s="48" t="n">
        <v>0</v>
      </c>
      <c r="K305" s="49" t="n">
        <v>0</v>
      </c>
      <c r="L305" s="49" t="n">
        <v>0</v>
      </c>
      <c r="M305" s="49" t="n">
        <v>0</v>
      </c>
      <c r="N305" s="49" t="n">
        <v>0</v>
      </c>
      <c r="O305" s="49" t="n">
        <v>0</v>
      </c>
      <c r="P305" s="49" t="n">
        <v>0</v>
      </c>
      <c r="Q305" s="49" t="n">
        <v>0</v>
      </c>
      <c r="R305" s="49" t="n">
        <v>0</v>
      </c>
      <c r="S305" s="50" t="n">
        <v>0</v>
      </c>
      <c r="T305" s="50" t="n">
        <v>0</v>
      </c>
      <c r="U305" s="50" t="n">
        <v>0</v>
      </c>
      <c r="V305" s="50" t="n">
        <v>0</v>
      </c>
      <c r="W305" s="51" t="n">
        <v>0</v>
      </c>
      <c r="X305" s="51" t="n">
        <v>0</v>
      </c>
      <c r="Y305" s="51" t="n">
        <v>0</v>
      </c>
      <c r="Z305" s="51" t="n">
        <v>0</v>
      </c>
      <c r="AA305" s="52" t="n">
        <v>0</v>
      </c>
      <c r="AB305" s="52" t="n">
        <v>0</v>
      </c>
      <c r="AC305" s="52" t="n">
        <v>0</v>
      </c>
      <c r="AD305" s="52" t="n">
        <v>0</v>
      </c>
      <c r="AE305" s="52" t="n">
        <v>0</v>
      </c>
      <c r="AF305" s="52" t="n">
        <v>0</v>
      </c>
      <c r="AG305" s="52" t="n">
        <v>0</v>
      </c>
      <c r="AH305" s="52" t="n">
        <v>0</v>
      </c>
      <c r="AI305" s="52" t="n">
        <v>0</v>
      </c>
      <c r="AJ305" s="52" t="n">
        <v>0</v>
      </c>
      <c r="AK305" s="52" t="n">
        <v>0</v>
      </c>
      <c r="AL305" s="52" t="n">
        <v>0</v>
      </c>
      <c r="AM305" s="53" t="n">
        <v>0</v>
      </c>
      <c r="AN305" s="53" t="n">
        <v>0</v>
      </c>
      <c r="AO305" s="53" t="n">
        <v>0</v>
      </c>
      <c r="AP305" s="53" t="n">
        <v>0</v>
      </c>
      <c r="AQ305" s="52" t="n">
        <v>0</v>
      </c>
      <c r="AR305" s="52" t="n">
        <v>0</v>
      </c>
      <c r="AS305" s="52" t="n">
        <v>0</v>
      </c>
      <c r="AT305" s="52" t="n">
        <v>0</v>
      </c>
      <c r="AU305" s="53" t="n">
        <v>0</v>
      </c>
      <c r="AV305" s="53" t="n">
        <v>0</v>
      </c>
      <c r="AW305" s="53" t="n">
        <v>0</v>
      </c>
      <c r="AX305" s="53" t="n">
        <v>0</v>
      </c>
      <c r="AY305" s="52" t="n">
        <v>0</v>
      </c>
      <c r="AZ305" s="52" t="n">
        <v>0</v>
      </c>
      <c r="BA305" s="52" t="n">
        <v>0</v>
      </c>
      <c r="BB305" s="52" t="n">
        <v>0</v>
      </c>
      <c r="BC305" s="51" t="n">
        <v>0</v>
      </c>
      <c r="BD305" s="51" t="n">
        <v>0</v>
      </c>
      <c r="BE305" s="51" t="n">
        <v>0</v>
      </c>
      <c r="BF305" s="51" t="n">
        <v>0</v>
      </c>
    </row>
    <row r="306">
      <c r="A306">
        <f>HYPERLINK("https://www.walmart.com/ip/606850559", "606850559")</f>
        <v/>
      </c>
      <c r="B306" t="inlineStr">
        <is>
          <t>KC Caps Men's Deluxe Washed Chino Cotton Surplus Cap</t>
        </is>
      </c>
      <c r="C306" t="inlineStr">
        <is>
          <t>8320-Olive</t>
        </is>
      </c>
      <c r="D306" t="inlineStr">
        <is>
          <t>Hats</t>
        </is>
      </c>
      <c r="E306" t="inlineStr">
        <is>
          <t>KC Caps</t>
        </is>
      </c>
      <c r="F306" t="inlineStr">
        <is>
          <t>Optimized</t>
        </is>
      </c>
      <c r="G306" s="48" t="n">
        <v>0</v>
      </c>
      <c r="H306" s="48" t="n">
        <v>0</v>
      </c>
      <c r="I306" s="48" t="n">
        <v>0</v>
      </c>
      <c r="J306" s="48" t="n">
        <v>0</v>
      </c>
      <c r="K306" s="49" t="n">
        <v>0</v>
      </c>
      <c r="L306" s="49" t="n">
        <v>0</v>
      </c>
      <c r="M306" s="49" t="n">
        <v>0</v>
      </c>
      <c r="N306" s="49" t="n">
        <v>0</v>
      </c>
      <c r="O306" s="49" t="n">
        <v>0</v>
      </c>
      <c r="P306" s="49" t="n">
        <v>0</v>
      </c>
      <c r="Q306" s="49" t="n">
        <v>0</v>
      </c>
      <c r="R306" s="49" t="n">
        <v>0</v>
      </c>
      <c r="S306" s="50" t="n">
        <v>0</v>
      </c>
      <c r="T306" s="50" t="n">
        <v>0</v>
      </c>
      <c r="U306" s="50" t="n">
        <v>0</v>
      </c>
      <c r="V306" s="50" t="n">
        <v>0</v>
      </c>
      <c r="W306" s="51" t="n">
        <v>0</v>
      </c>
      <c r="X306" s="51" t="n">
        <v>0</v>
      </c>
      <c r="Y306" s="51" t="n">
        <v>0</v>
      </c>
      <c r="Z306" s="51" t="n">
        <v>0</v>
      </c>
      <c r="AA306" s="52" t="n">
        <v>0</v>
      </c>
      <c r="AB306" s="52" t="n">
        <v>0</v>
      </c>
      <c r="AC306" s="52" t="n">
        <v>0</v>
      </c>
      <c r="AD306" s="52" t="n">
        <v>0</v>
      </c>
      <c r="AE306" s="52" t="n">
        <v>0</v>
      </c>
      <c r="AF306" s="52" t="n">
        <v>0</v>
      </c>
      <c r="AG306" s="52" t="n">
        <v>0</v>
      </c>
      <c r="AH306" s="52" t="n">
        <v>0</v>
      </c>
      <c r="AI306" s="52" t="n">
        <v>0</v>
      </c>
      <c r="AJ306" s="52" t="n">
        <v>0</v>
      </c>
      <c r="AK306" s="52" t="n">
        <v>0</v>
      </c>
      <c r="AL306" s="52" t="n">
        <v>0</v>
      </c>
      <c r="AM306" s="53" t="n">
        <v>0</v>
      </c>
      <c r="AN306" s="53" t="n">
        <v>0</v>
      </c>
      <c r="AO306" s="53" t="n">
        <v>0</v>
      </c>
      <c r="AP306" s="53" t="n">
        <v>0</v>
      </c>
      <c r="AQ306" s="52" t="n">
        <v>0</v>
      </c>
      <c r="AR306" s="52" t="n">
        <v>0</v>
      </c>
      <c r="AS306" s="52" t="n">
        <v>0</v>
      </c>
      <c r="AT306" s="52" t="n">
        <v>0</v>
      </c>
      <c r="AU306" s="53" t="n">
        <v>0</v>
      </c>
      <c r="AV306" s="53" t="n">
        <v>0</v>
      </c>
      <c r="AW306" s="53" t="n">
        <v>0</v>
      </c>
      <c r="AX306" s="53" t="n">
        <v>0</v>
      </c>
      <c r="AY306" s="52" t="n">
        <v>0</v>
      </c>
      <c r="AZ306" s="52" t="n">
        <v>0</v>
      </c>
      <c r="BA306" s="52" t="n">
        <v>0</v>
      </c>
      <c r="BB306" s="52" t="n">
        <v>0</v>
      </c>
      <c r="BC306" s="51" t="n">
        <v>0</v>
      </c>
      <c r="BD306" s="51" t="n">
        <v>0</v>
      </c>
      <c r="BE306" s="51" t="n">
        <v>0</v>
      </c>
      <c r="BF306" s="51" t="n">
        <v>0</v>
      </c>
    </row>
    <row r="307">
      <c r="A307">
        <f>HYPERLINK("https://www.walmart.com/ip/5796843752", "5796843752")</f>
        <v/>
      </c>
      <c r="B307" t="inlineStr">
        <is>
          <t>Tirrinia Surf Poncho Changing Towel, Lightweight Surf Hooded Beach Towel Quick Dry, Portable Dressing Room for Surfing Beach Pool Summer Camping Adult Women Men Gift Shark</t>
        </is>
      </c>
      <c r="C307" t="inlineStr">
        <is>
          <t>1TRBR101SURFBOARD</t>
        </is>
      </c>
      <c r="D307" t="inlineStr">
        <is>
          <t>Sleepwear Robes &amp; Bathrobes</t>
        </is>
      </c>
      <c r="E307" t="inlineStr">
        <is>
          <t>Tirrinia</t>
        </is>
      </c>
      <c r="G307" s="48" t="n">
        <v>0</v>
      </c>
      <c r="H307" s="48" t="n">
        <v>0</v>
      </c>
      <c r="I307" s="48" t="n">
        <v>0</v>
      </c>
      <c r="J307" s="48" t="n">
        <v>0</v>
      </c>
      <c r="K307" s="49" t="n">
        <v>0</v>
      </c>
      <c r="L307" s="49" t="n">
        <v>0</v>
      </c>
      <c r="M307" s="49" t="n">
        <v>0</v>
      </c>
      <c r="N307" s="49" t="n">
        <v>0</v>
      </c>
      <c r="O307" s="49" t="n">
        <v>0</v>
      </c>
      <c r="P307" s="49" t="n">
        <v>0</v>
      </c>
      <c r="Q307" s="49" t="n">
        <v>0</v>
      </c>
      <c r="R307" s="49" t="n">
        <v>0</v>
      </c>
      <c r="S307" s="50" t="n">
        <v>0</v>
      </c>
      <c r="T307" s="50" t="n">
        <v>0</v>
      </c>
      <c r="U307" s="50" t="n">
        <v>0</v>
      </c>
      <c r="V307" s="50" t="n">
        <v>0</v>
      </c>
      <c r="W307" s="51" t="n">
        <v>0</v>
      </c>
      <c r="X307" s="51" t="n">
        <v>0</v>
      </c>
      <c r="Y307" s="51" t="n">
        <v>0</v>
      </c>
      <c r="Z307" s="51" t="n">
        <v>0</v>
      </c>
      <c r="AA307" s="52" t="n">
        <v>0</v>
      </c>
      <c r="AB307" s="52" t="n">
        <v>0</v>
      </c>
      <c r="AC307" s="52" t="n">
        <v>0</v>
      </c>
      <c r="AD307" s="52" t="n">
        <v>0</v>
      </c>
      <c r="AE307" s="52" t="n">
        <v>0</v>
      </c>
      <c r="AF307" s="52" t="n">
        <v>0</v>
      </c>
      <c r="AG307" s="52" t="n">
        <v>0</v>
      </c>
      <c r="AH307" s="52" t="n">
        <v>0</v>
      </c>
      <c r="AI307" s="52" t="n">
        <v>0</v>
      </c>
      <c r="AJ307" s="52" t="n">
        <v>0</v>
      </c>
      <c r="AK307" s="52" t="n">
        <v>0</v>
      </c>
      <c r="AL307" s="52" t="n">
        <v>0</v>
      </c>
      <c r="AM307" s="53" t="n">
        <v>0</v>
      </c>
      <c r="AN307" s="53" t="n">
        <v>0</v>
      </c>
      <c r="AO307" s="53" t="n">
        <v>0</v>
      </c>
      <c r="AP307" s="53" t="n">
        <v>0</v>
      </c>
      <c r="AQ307" s="52" t="n">
        <v>0</v>
      </c>
      <c r="AR307" s="52" t="n">
        <v>0</v>
      </c>
      <c r="AS307" s="52" t="n">
        <v>0</v>
      </c>
      <c r="AT307" s="52" t="n">
        <v>0</v>
      </c>
      <c r="AU307" s="53" t="n">
        <v>0</v>
      </c>
      <c r="AV307" s="53" t="n">
        <v>0</v>
      </c>
      <c r="AW307" s="53" t="n">
        <v>0</v>
      </c>
      <c r="AX307" s="53" t="n">
        <v>0</v>
      </c>
      <c r="AY307" s="52" t="n">
        <v>0</v>
      </c>
      <c r="AZ307" s="52" t="n">
        <v>0</v>
      </c>
      <c r="BA307" s="52" t="n">
        <v>0</v>
      </c>
      <c r="BB307" s="52" t="n">
        <v>0</v>
      </c>
      <c r="BC307" s="51" t="n">
        <v>0</v>
      </c>
      <c r="BD307" s="51" t="n">
        <v>0</v>
      </c>
      <c r="BE307" s="51" t="n">
        <v>0</v>
      </c>
      <c r="BF307" s="51" t="n">
        <v>0</v>
      </c>
    </row>
    <row r="308">
      <c r="A308">
        <f>HYPERLINK("https://www.walmart.com/ip/5796843750", "5796843750")</f>
        <v/>
      </c>
      <c r="B308" t="inlineStr">
        <is>
          <t>Tirrinia Surf Poncho Changing Towel, Lightweight Surf Hooded Beach Towel Quick Dry, Portable Dressing Room for Surfing Beach Pool Summer Camping Adult Women Men Gift Shark</t>
        </is>
      </c>
      <c r="C308" t="inlineStr">
        <is>
          <t>1TRBR101PLUMBLOSSOM</t>
        </is>
      </c>
      <c r="D308" t="inlineStr">
        <is>
          <t>Sleepwear Robes &amp; Bathrobes</t>
        </is>
      </c>
      <c r="E308" t="inlineStr">
        <is>
          <t>Tirrinia</t>
        </is>
      </c>
      <c r="G308" s="48" t="n">
        <v>0</v>
      </c>
      <c r="H308" s="48" t="n">
        <v>0</v>
      </c>
      <c r="I308" s="48" t="n">
        <v>0</v>
      </c>
      <c r="J308" s="48" t="n">
        <v>0</v>
      </c>
      <c r="K308" s="49" t="n">
        <v>0</v>
      </c>
      <c r="L308" s="49" t="n">
        <v>0</v>
      </c>
      <c r="M308" s="49" t="n">
        <v>0</v>
      </c>
      <c r="N308" s="49" t="n">
        <v>0</v>
      </c>
      <c r="O308" s="49" t="n">
        <v>0</v>
      </c>
      <c r="P308" s="49" t="n">
        <v>0</v>
      </c>
      <c r="Q308" s="49" t="n">
        <v>0</v>
      </c>
      <c r="R308" s="49" t="n">
        <v>0</v>
      </c>
      <c r="S308" s="50" t="n">
        <v>0</v>
      </c>
      <c r="T308" s="50" t="n">
        <v>0</v>
      </c>
      <c r="U308" s="50" t="n">
        <v>0</v>
      </c>
      <c r="V308" s="50" t="n">
        <v>0</v>
      </c>
      <c r="W308" s="51" t="n">
        <v>0</v>
      </c>
      <c r="X308" s="51" t="n">
        <v>0</v>
      </c>
      <c r="Y308" s="51" t="n">
        <v>0</v>
      </c>
      <c r="Z308" s="51" t="n">
        <v>0</v>
      </c>
      <c r="AA308" s="52" t="n">
        <v>0</v>
      </c>
      <c r="AB308" s="52" t="n">
        <v>0</v>
      </c>
      <c r="AC308" s="52" t="n">
        <v>0</v>
      </c>
      <c r="AD308" s="52" t="n">
        <v>0</v>
      </c>
      <c r="AE308" s="52" t="n">
        <v>0</v>
      </c>
      <c r="AF308" s="52" t="n">
        <v>0</v>
      </c>
      <c r="AG308" s="52" t="n">
        <v>0</v>
      </c>
      <c r="AH308" s="52" t="n">
        <v>0</v>
      </c>
      <c r="AI308" s="52" t="n">
        <v>0</v>
      </c>
      <c r="AJ308" s="52" t="n">
        <v>0</v>
      </c>
      <c r="AK308" s="52" t="n">
        <v>0</v>
      </c>
      <c r="AL308" s="52" t="n">
        <v>0</v>
      </c>
      <c r="AM308" s="53" t="n">
        <v>0</v>
      </c>
      <c r="AN308" s="53" t="n">
        <v>0</v>
      </c>
      <c r="AO308" s="53" t="n">
        <v>0</v>
      </c>
      <c r="AP308" s="53" t="n">
        <v>0</v>
      </c>
      <c r="AQ308" s="52" t="n">
        <v>0</v>
      </c>
      <c r="AR308" s="52" t="n">
        <v>0</v>
      </c>
      <c r="AS308" s="52" t="n">
        <v>0</v>
      </c>
      <c r="AT308" s="52" t="n">
        <v>0</v>
      </c>
      <c r="AU308" s="53" t="n">
        <v>0</v>
      </c>
      <c r="AV308" s="53" t="n">
        <v>0</v>
      </c>
      <c r="AW308" s="53" t="n">
        <v>0</v>
      </c>
      <c r="AX308" s="53" t="n">
        <v>0</v>
      </c>
      <c r="AY308" s="52" t="n">
        <v>0</v>
      </c>
      <c r="AZ308" s="52" t="n">
        <v>0</v>
      </c>
      <c r="BA308" s="52" t="n">
        <v>0</v>
      </c>
      <c r="BB308" s="52" t="n">
        <v>0</v>
      </c>
      <c r="BC308" s="51" t="n">
        <v>0</v>
      </c>
      <c r="BD308" s="51" t="n">
        <v>0</v>
      </c>
      <c r="BE308" s="51" t="n">
        <v>0</v>
      </c>
      <c r="BF308" s="51" t="n">
        <v>0</v>
      </c>
    </row>
    <row r="309">
      <c r="A309">
        <f>HYPERLINK("https://www.walmart.com/ip/608391601", "608391601")</f>
        <v/>
      </c>
      <c r="B309" t="inlineStr">
        <is>
          <t>Luxury Sherpa Knit Throw Blanket 50" x 60", Home Decorative Blanket for Sofa Couch Chair All Season TV Blanket | Super Soft, Warm, Waffle Weave Knit | Catalonia series by Tirrinia</t>
        </is>
      </c>
      <c r="C309" t="inlineStr">
        <is>
          <t>1TRBN300PK-TBCB</t>
        </is>
      </c>
      <c r="D309" t="inlineStr">
        <is>
          <t>Throws</t>
        </is>
      </c>
      <c r="E309" t="inlineStr">
        <is>
          <t>Tirrinia</t>
        </is>
      </c>
      <c r="F309" t="inlineStr">
        <is>
          <t>Batch 1 - TR</t>
        </is>
      </c>
      <c r="G309" s="48" t="n">
        <v>0</v>
      </c>
      <c r="H309" s="48" t="n">
        <v>0</v>
      </c>
      <c r="I309" s="48" t="n">
        <v>0</v>
      </c>
      <c r="J309" s="48" t="n">
        <v>0</v>
      </c>
      <c r="K309" s="49" t="n">
        <v>0</v>
      </c>
      <c r="L309" s="49" t="n">
        <v>0</v>
      </c>
      <c r="M309" s="49" t="n">
        <v>0</v>
      </c>
      <c r="N309" s="49" t="n">
        <v>0</v>
      </c>
      <c r="O309" s="49" t="n">
        <v>0</v>
      </c>
      <c r="P309" s="49" t="n">
        <v>0</v>
      </c>
      <c r="Q309" s="49" t="n">
        <v>0</v>
      </c>
      <c r="R309" s="49" t="n">
        <v>0</v>
      </c>
      <c r="S309" s="50" t="n">
        <v>0</v>
      </c>
      <c r="T309" s="50" t="n">
        <v>0</v>
      </c>
      <c r="U309" s="50" t="n">
        <v>0</v>
      </c>
      <c r="V309" s="50" t="n">
        <v>0</v>
      </c>
      <c r="W309" s="51" t="n">
        <v>0</v>
      </c>
      <c r="X309" s="51" t="n">
        <v>0</v>
      </c>
      <c r="Y309" s="51" t="n">
        <v>0</v>
      </c>
      <c r="Z309" s="51" t="n">
        <v>0</v>
      </c>
      <c r="AA309" s="52" t="n">
        <v>0</v>
      </c>
      <c r="AB309" s="52" t="n">
        <v>0</v>
      </c>
      <c r="AC309" s="52" t="n">
        <v>0</v>
      </c>
      <c r="AD309" s="52" t="n">
        <v>0</v>
      </c>
      <c r="AE309" s="52" t="n">
        <v>0</v>
      </c>
      <c r="AF309" s="52" t="n">
        <v>0</v>
      </c>
      <c r="AG309" s="52" t="n">
        <v>0</v>
      </c>
      <c r="AH309" s="52" t="n">
        <v>0</v>
      </c>
      <c r="AI309" s="52" t="n">
        <v>0</v>
      </c>
      <c r="AJ309" s="52" t="n">
        <v>0</v>
      </c>
      <c r="AK309" s="52" t="n">
        <v>0</v>
      </c>
      <c r="AL309" s="52" t="n">
        <v>0</v>
      </c>
      <c r="AM309" s="53" t="n">
        <v>0</v>
      </c>
      <c r="AN309" s="53" t="n">
        <v>0</v>
      </c>
      <c r="AO309" s="53" t="n">
        <v>0</v>
      </c>
      <c r="AP309" s="53" t="n">
        <v>0</v>
      </c>
      <c r="AQ309" s="52" t="n">
        <v>0</v>
      </c>
      <c r="AR309" s="52" t="n">
        <v>0</v>
      </c>
      <c r="AS309" s="52" t="n">
        <v>0</v>
      </c>
      <c r="AT309" s="52" t="n">
        <v>0</v>
      </c>
      <c r="AU309" s="53" t="n">
        <v>0</v>
      </c>
      <c r="AV309" s="53" t="n">
        <v>0</v>
      </c>
      <c r="AW309" s="53" t="n">
        <v>0</v>
      </c>
      <c r="AX309" s="53" t="n">
        <v>0</v>
      </c>
      <c r="AY309" s="52" t="n">
        <v>0</v>
      </c>
      <c r="AZ309" s="52" t="n">
        <v>0</v>
      </c>
      <c r="BA309" s="52" t="n">
        <v>0</v>
      </c>
      <c r="BB309" s="52" t="n">
        <v>0</v>
      </c>
      <c r="BC309" s="51" t="n">
        <v>0</v>
      </c>
      <c r="BD309" s="51" t="n">
        <v>0</v>
      </c>
      <c r="BE309" s="51" t="n">
        <v>0</v>
      </c>
      <c r="BF309" s="51" t="n">
        <v>0</v>
      </c>
    </row>
    <row r="310">
      <c r="A310">
        <f>HYPERLINK("https://www.walmart.com/ip/579257155", "579257155")</f>
        <v/>
      </c>
      <c r="B310" t="inlineStr">
        <is>
          <t>Tirrinia Wine Cooler bag - 3 Bottle Travel Insulated Padded Wine Carrier Tote Bag with Handle and Adjustable Shoulder Strap</t>
        </is>
      </c>
      <c r="C310" t="inlineStr">
        <is>
          <t>1WMWB310KK</t>
        </is>
      </c>
      <c r="D310" t="inlineStr">
        <is>
          <t>Wine Totes, Bags &amp; Backpacks</t>
        </is>
      </c>
      <c r="E310" t="inlineStr">
        <is>
          <t>Flyingstar</t>
        </is>
      </c>
      <c r="F310" t="inlineStr">
        <is>
          <t>Wine,Christmas,Valentine</t>
        </is>
      </c>
      <c r="G310" s="48" t="n">
        <v>0</v>
      </c>
      <c r="H310" s="48" t="n">
        <v>0</v>
      </c>
      <c r="I310" s="48" t="n">
        <v>0</v>
      </c>
      <c r="J310" s="48" t="n">
        <v>0</v>
      </c>
      <c r="K310" s="49" t="n">
        <v>0</v>
      </c>
      <c r="L310" s="49" t="n">
        <v>0</v>
      </c>
      <c r="M310" s="49" t="n">
        <v>0</v>
      </c>
      <c r="N310" s="49" t="n">
        <v>0</v>
      </c>
      <c r="O310" s="49" t="n">
        <v>0</v>
      </c>
      <c r="P310" s="49" t="n">
        <v>0</v>
      </c>
      <c r="Q310" s="49" t="n">
        <v>0</v>
      </c>
      <c r="R310" s="49" t="n">
        <v>0</v>
      </c>
      <c r="S310" s="50" t="n">
        <v>0</v>
      </c>
      <c r="T310" s="50" t="n">
        <v>0</v>
      </c>
      <c r="U310" s="50" t="n">
        <v>0</v>
      </c>
      <c r="V310" s="50" t="n">
        <v>0</v>
      </c>
      <c r="W310" s="51" t="n">
        <v>0</v>
      </c>
      <c r="X310" s="51" t="n">
        <v>0</v>
      </c>
      <c r="Y310" s="51" t="n">
        <v>0</v>
      </c>
      <c r="Z310" s="51" t="n">
        <v>0</v>
      </c>
      <c r="AA310" s="52" t="n">
        <v>0</v>
      </c>
      <c r="AB310" s="52" t="n">
        <v>0</v>
      </c>
      <c r="AC310" s="52" t="n">
        <v>0</v>
      </c>
      <c r="AD310" s="52" t="n">
        <v>0</v>
      </c>
      <c r="AE310" s="52" t="n">
        <v>0</v>
      </c>
      <c r="AF310" s="52" t="n">
        <v>0</v>
      </c>
      <c r="AG310" s="52" t="n">
        <v>0</v>
      </c>
      <c r="AH310" s="52" t="n">
        <v>0</v>
      </c>
      <c r="AI310" s="52" t="n">
        <v>0</v>
      </c>
      <c r="AJ310" s="52" t="n">
        <v>0</v>
      </c>
      <c r="AK310" s="52" t="n">
        <v>0</v>
      </c>
      <c r="AL310" s="52" t="n">
        <v>0</v>
      </c>
      <c r="AM310" s="53" t="n">
        <v>0</v>
      </c>
      <c r="AN310" s="53" t="n">
        <v>0</v>
      </c>
      <c r="AO310" s="53" t="n">
        <v>0</v>
      </c>
      <c r="AP310" s="53" t="n">
        <v>0</v>
      </c>
      <c r="AQ310" s="52" t="n">
        <v>0</v>
      </c>
      <c r="AR310" s="52" t="n">
        <v>0</v>
      </c>
      <c r="AS310" s="52" t="n">
        <v>0</v>
      </c>
      <c r="AT310" s="52" t="n">
        <v>0</v>
      </c>
      <c r="AU310" s="53" t="n">
        <v>0</v>
      </c>
      <c r="AV310" s="53" t="n">
        <v>0</v>
      </c>
      <c r="AW310" s="53" t="n">
        <v>0</v>
      </c>
      <c r="AX310" s="53" t="n">
        <v>0</v>
      </c>
      <c r="AY310" s="52" t="n">
        <v>0</v>
      </c>
      <c r="AZ310" s="52" t="n">
        <v>0</v>
      </c>
      <c r="BA310" s="52" t="n">
        <v>0</v>
      </c>
      <c r="BB310" s="52" t="n">
        <v>0</v>
      </c>
      <c r="BC310" s="51" t="n">
        <v>0</v>
      </c>
      <c r="BD310" s="51" t="n">
        <v>0</v>
      </c>
      <c r="BE310" s="51" t="n">
        <v>0</v>
      </c>
      <c r="BF310" s="51" t="n">
        <v>0</v>
      </c>
    </row>
    <row r="311">
      <c r="A311">
        <f>HYPERLINK("https://www.walmart.com/ip/579226676", "579226676")</f>
        <v/>
      </c>
      <c r="B311" t="inlineStr">
        <is>
          <t>Women's Sun Hat with Wide Brim Neck Flap, Fishing Safari Hat for Outdoor Hiking Camping Gardening Lawn Field Work</t>
        </is>
      </c>
      <c r="C311" t="inlineStr">
        <is>
          <t>1TRSH910GY-TBCB01</t>
        </is>
      </c>
      <c r="D311" t="inlineStr">
        <is>
          <t>Hats</t>
        </is>
      </c>
      <c r="E311" t="inlineStr">
        <is>
          <t>Tirrinia</t>
        </is>
      </c>
      <c r="F311" t="inlineStr">
        <is>
          <t>Q2-Target,Batch 1 - TR</t>
        </is>
      </c>
      <c r="G311" s="48" t="n">
        <v>0</v>
      </c>
      <c r="H311" s="48" t="n">
        <v>0</v>
      </c>
      <c r="I311" s="48" t="n">
        <v>0</v>
      </c>
      <c r="J311" s="48" t="n">
        <v>0</v>
      </c>
      <c r="K311" s="49" t="n">
        <v>0</v>
      </c>
      <c r="L311" s="49" t="n">
        <v>0</v>
      </c>
      <c r="M311" s="49" t="n">
        <v>0</v>
      </c>
      <c r="N311" s="49" t="n">
        <v>0</v>
      </c>
      <c r="O311" s="49" t="n">
        <v>0</v>
      </c>
      <c r="P311" s="49" t="n">
        <v>0</v>
      </c>
      <c r="Q311" s="49" t="n">
        <v>0</v>
      </c>
      <c r="R311" s="49" t="n">
        <v>0</v>
      </c>
      <c r="S311" s="50" t="n">
        <v>0</v>
      </c>
      <c r="T311" s="50" t="n">
        <v>0</v>
      </c>
      <c r="U311" s="50" t="n">
        <v>0</v>
      </c>
      <c r="V311" s="50" t="n">
        <v>0</v>
      </c>
      <c r="W311" s="51" t="n">
        <v>0</v>
      </c>
      <c r="X311" s="51" t="n">
        <v>0</v>
      </c>
      <c r="Y311" s="51" t="n">
        <v>0</v>
      </c>
      <c r="Z311" s="51" t="n">
        <v>0</v>
      </c>
      <c r="AA311" s="52" t="n">
        <v>0</v>
      </c>
      <c r="AB311" s="52" t="n">
        <v>0</v>
      </c>
      <c r="AC311" s="52" t="n">
        <v>0</v>
      </c>
      <c r="AD311" s="52" t="n">
        <v>0</v>
      </c>
      <c r="AE311" s="52" t="n">
        <v>0</v>
      </c>
      <c r="AF311" s="52" t="n">
        <v>0</v>
      </c>
      <c r="AG311" s="52" t="n">
        <v>0</v>
      </c>
      <c r="AH311" s="52" t="n">
        <v>0</v>
      </c>
      <c r="AI311" s="52" t="n">
        <v>0</v>
      </c>
      <c r="AJ311" s="52" t="n">
        <v>0</v>
      </c>
      <c r="AK311" s="52" t="n">
        <v>0</v>
      </c>
      <c r="AL311" s="52" t="n">
        <v>0</v>
      </c>
      <c r="AM311" s="53" t="n">
        <v>0</v>
      </c>
      <c r="AN311" s="53" t="n">
        <v>0</v>
      </c>
      <c r="AO311" s="53" t="n">
        <v>0</v>
      </c>
      <c r="AP311" s="53" t="n">
        <v>0</v>
      </c>
      <c r="AQ311" s="52" t="n">
        <v>0</v>
      </c>
      <c r="AR311" s="52" t="n">
        <v>0</v>
      </c>
      <c r="AS311" s="52" t="n">
        <v>0</v>
      </c>
      <c r="AT311" s="52" t="n">
        <v>0</v>
      </c>
      <c r="AU311" s="53" t="n">
        <v>0</v>
      </c>
      <c r="AV311" s="53" t="n">
        <v>0</v>
      </c>
      <c r="AW311" s="53" t="n">
        <v>0</v>
      </c>
      <c r="AX311" s="53" t="n">
        <v>0</v>
      </c>
      <c r="AY311" s="52" t="n">
        <v>0</v>
      </c>
      <c r="AZ311" s="52" t="n">
        <v>0</v>
      </c>
      <c r="BA311" s="52" t="n">
        <v>0</v>
      </c>
      <c r="BB311" s="52" t="n">
        <v>0</v>
      </c>
      <c r="BC311" s="51" t="n">
        <v>0</v>
      </c>
      <c r="BD311" s="51" t="n">
        <v>0</v>
      </c>
      <c r="BE311" s="51" t="n">
        <v>0</v>
      </c>
      <c r="BF311" s="51" t="n">
        <v>0</v>
      </c>
    </row>
    <row r="312">
      <c r="A312">
        <f>HYPERLINK("https://www.walmart.com/ip/585543013", "585543013")</f>
        <v/>
      </c>
      <c r="B312" t="inlineStr">
        <is>
          <t>Silky Straight Synthetic Black Wig with Bangs for Women,Heat Resistant Natural Looking Long Hair Full Head Wig for Ameri</t>
        </is>
      </c>
      <c r="C312" t="inlineStr">
        <is>
          <t>1CTWIG491-1B-ESCB</t>
        </is>
      </c>
      <c r="D312" t="inlineStr">
        <is>
          <t>Wigs &amp; Toupees</t>
        </is>
      </c>
      <c r="E312" t="inlineStr">
        <is>
          <t>Catalonia</t>
        </is>
      </c>
      <c r="F312" t="inlineStr">
        <is>
          <t>Batch 1 - TR</t>
        </is>
      </c>
      <c r="G312" s="48" t="n">
        <v>0</v>
      </c>
      <c r="H312" s="48" t="n">
        <v>0</v>
      </c>
      <c r="I312" s="48" t="n">
        <v>0</v>
      </c>
      <c r="J312" s="48" t="n">
        <v>0</v>
      </c>
      <c r="K312" s="49" t="n">
        <v>0</v>
      </c>
      <c r="L312" s="49" t="n">
        <v>0</v>
      </c>
      <c r="M312" s="49" t="n">
        <v>0</v>
      </c>
      <c r="N312" s="49" t="n">
        <v>0</v>
      </c>
      <c r="O312" s="49" t="n">
        <v>0</v>
      </c>
      <c r="P312" s="49" t="n">
        <v>0</v>
      </c>
      <c r="Q312" s="49" t="n">
        <v>0</v>
      </c>
      <c r="R312" s="49" t="n">
        <v>0</v>
      </c>
      <c r="S312" s="50" t="n">
        <v>0</v>
      </c>
      <c r="T312" s="50" t="n">
        <v>0</v>
      </c>
      <c r="U312" s="50" t="n">
        <v>0</v>
      </c>
      <c r="V312" s="50" t="n">
        <v>0</v>
      </c>
      <c r="W312" s="51" t="n">
        <v>0</v>
      </c>
      <c r="X312" s="51" t="n">
        <v>0</v>
      </c>
      <c r="Y312" s="51" t="n">
        <v>0</v>
      </c>
      <c r="Z312" s="51" t="n">
        <v>0</v>
      </c>
      <c r="AA312" s="52" t="n">
        <v>0</v>
      </c>
      <c r="AB312" s="52" t="n">
        <v>0</v>
      </c>
      <c r="AC312" s="52" t="n">
        <v>0</v>
      </c>
      <c r="AD312" s="52" t="n">
        <v>0</v>
      </c>
      <c r="AE312" s="52" t="n">
        <v>0</v>
      </c>
      <c r="AF312" s="52" t="n">
        <v>0</v>
      </c>
      <c r="AG312" s="52" t="n">
        <v>0</v>
      </c>
      <c r="AH312" s="52" t="n">
        <v>0</v>
      </c>
      <c r="AI312" s="52" t="n">
        <v>0</v>
      </c>
      <c r="AJ312" s="52" t="n">
        <v>0</v>
      </c>
      <c r="AK312" s="52" t="n">
        <v>0</v>
      </c>
      <c r="AL312" s="52" t="n">
        <v>0</v>
      </c>
      <c r="AM312" s="53" t="n">
        <v>0</v>
      </c>
      <c r="AN312" s="53" t="n">
        <v>0</v>
      </c>
      <c r="AO312" s="53" t="n">
        <v>0</v>
      </c>
      <c r="AP312" s="53" t="n">
        <v>0</v>
      </c>
      <c r="AQ312" s="52" t="n">
        <v>0</v>
      </c>
      <c r="AR312" s="52" t="n">
        <v>0</v>
      </c>
      <c r="AS312" s="52" t="n">
        <v>0</v>
      </c>
      <c r="AT312" s="52" t="n">
        <v>0</v>
      </c>
      <c r="AU312" s="53" t="n">
        <v>0</v>
      </c>
      <c r="AV312" s="53" t="n">
        <v>0</v>
      </c>
      <c r="AW312" s="53" t="n">
        <v>0</v>
      </c>
      <c r="AX312" s="53" t="n">
        <v>0</v>
      </c>
      <c r="AY312" s="52" t="n">
        <v>0</v>
      </c>
      <c r="AZ312" s="52" t="n">
        <v>0</v>
      </c>
      <c r="BA312" s="52" t="n">
        <v>0</v>
      </c>
      <c r="BB312" s="52" t="n">
        <v>0</v>
      </c>
      <c r="BC312" s="51" t="n">
        <v>0</v>
      </c>
      <c r="BD312" s="51" t="n">
        <v>0</v>
      </c>
      <c r="BE312" s="51" t="n">
        <v>0</v>
      </c>
      <c r="BF312" s="51" t="n">
        <v>0</v>
      </c>
    </row>
    <row r="313">
      <c r="A313">
        <f>HYPERLINK("https://www.walmart.com/ip/603539915", "603539915")</f>
        <v/>
      </c>
      <c r="B313" t="inlineStr">
        <is>
          <t>Catalonia Mermaid Tail Fleece Blanket, Soft Flannel All Seasons Bed Blanket for Kids, Adults, Shiny Rainbow Ombre, Fish Scale Design Snuggle Blanket, Ideal Gift for Holidays, 61" x 20"</t>
        </is>
      </c>
      <c r="C313" t="inlineStr">
        <is>
          <t>1CTMM501PK</t>
        </is>
      </c>
      <c r="D313" t="inlineStr">
        <is>
          <t>Throws</t>
        </is>
      </c>
      <c r="E313" t="inlineStr">
        <is>
          <t>Catalonia</t>
        </is>
      </c>
      <c r="F313" t="inlineStr">
        <is>
          <t>Q2-Target,Baby days,WFS,WFS Item</t>
        </is>
      </c>
      <c r="G313" s="48" t="n">
        <v>0</v>
      </c>
      <c r="H313" s="48" t="n">
        <v>20.99</v>
      </c>
      <c r="I313" s="48" t="n">
        <v>0</v>
      </c>
      <c r="J313" s="48" t="n">
        <v>0</v>
      </c>
      <c r="K313" s="49" t="n">
        <v>0</v>
      </c>
      <c r="L313" s="49" t="n">
        <v>1</v>
      </c>
      <c r="M313" s="49" t="n">
        <v>0</v>
      </c>
      <c r="N313" s="49" t="n">
        <v>0</v>
      </c>
      <c r="O313" s="49" t="n">
        <v>0</v>
      </c>
      <c r="P313" s="49" t="n">
        <v>0</v>
      </c>
      <c r="Q313" s="49" t="n">
        <v>0</v>
      </c>
      <c r="R313" s="49" t="n">
        <v>0</v>
      </c>
      <c r="S313" s="50" t="n">
        <v>0</v>
      </c>
      <c r="T313" s="50" t="n">
        <v>0</v>
      </c>
      <c r="U313" s="50" t="n">
        <v>0</v>
      </c>
      <c r="V313" s="50" t="n">
        <v>0</v>
      </c>
      <c r="W313" s="51" t="n">
        <v>0</v>
      </c>
      <c r="X313" s="51" t="n">
        <v>0</v>
      </c>
      <c r="Y313" s="51" t="n">
        <v>0</v>
      </c>
      <c r="Z313" s="51" t="n">
        <v>0</v>
      </c>
      <c r="AA313" s="52" t="n">
        <v>0</v>
      </c>
      <c r="AB313" s="52" t="n">
        <v>0</v>
      </c>
      <c r="AC313" s="52" t="n">
        <v>0</v>
      </c>
      <c r="AD313" s="52" t="n">
        <v>0</v>
      </c>
      <c r="AE313" s="52" t="n">
        <v>0</v>
      </c>
      <c r="AF313" s="52" t="n">
        <v>0</v>
      </c>
      <c r="AG313" s="52" t="n">
        <v>0</v>
      </c>
      <c r="AH313" s="52" t="n">
        <v>0</v>
      </c>
      <c r="AI313" s="52" t="n">
        <v>0</v>
      </c>
      <c r="AJ313" s="52" t="n">
        <v>0</v>
      </c>
      <c r="AK313" s="52" t="n">
        <v>0</v>
      </c>
      <c r="AL313" s="52" t="n">
        <v>0</v>
      </c>
      <c r="AM313" s="53" t="n">
        <v>0</v>
      </c>
      <c r="AN313" s="53" t="n">
        <v>0</v>
      </c>
      <c r="AO313" s="53" t="n">
        <v>0</v>
      </c>
      <c r="AP313" s="53" t="n">
        <v>0</v>
      </c>
      <c r="AQ313" s="52" t="n">
        <v>0</v>
      </c>
      <c r="AR313" s="52" t="n">
        <v>0</v>
      </c>
      <c r="AS313" s="52" t="n">
        <v>0</v>
      </c>
      <c r="AT313" s="52" t="n">
        <v>0</v>
      </c>
      <c r="AU313" s="53" t="n">
        <v>0</v>
      </c>
      <c r="AV313" s="53" t="n">
        <v>0</v>
      </c>
      <c r="AW313" s="53" t="n">
        <v>0</v>
      </c>
      <c r="AX313" s="53" t="n">
        <v>0</v>
      </c>
      <c r="AY313" s="52" t="n">
        <v>0</v>
      </c>
      <c r="AZ313" s="52" t="n">
        <v>20.99</v>
      </c>
      <c r="BA313" s="52" t="n">
        <v>0</v>
      </c>
      <c r="BB313" s="52" t="n">
        <v>0</v>
      </c>
      <c r="BC313" s="51" t="n">
        <v>0</v>
      </c>
      <c r="BD313" s="51" t="n">
        <v>0</v>
      </c>
      <c r="BE313" s="51" t="n">
        <v>0</v>
      </c>
      <c r="BF313" s="51" t="n">
        <v>0</v>
      </c>
    </row>
    <row r="314">
      <c r="A314">
        <f>HYPERLINK("https://www.walmart.com/ip/609276653", "609276653")</f>
        <v/>
      </c>
      <c r="B314" t="inlineStr">
        <is>
          <t>Terra Men Boxer Brief Underwear Best 3 Pack Most Comfortable Cotton Trunk Short</t>
        </is>
      </c>
      <c r="C314" t="inlineStr">
        <is>
          <t>TERRA-BOXER10-L</t>
        </is>
      </c>
      <c r="D314" t="inlineStr">
        <is>
          <t>Underpants</t>
        </is>
      </c>
      <c r="E314" t="inlineStr">
        <is>
          <t>Terra</t>
        </is>
      </c>
      <c r="F314" t="inlineStr">
        <is>
          <t>Batch 1 - TR</t>
        </is>
      </c>
      <c r="G314" s="48" t="n">
        <v>0</v>
      </c>
      <c r="H314" s="48" t="n">
        <v>0</v>
      </c>
      <c r="I314" s="48" t="n">
        <v>0</v>
      </c>
      <c r="J314" s="48" t="n">
        <v>0</v>
      </c>
      <c r="K314" s="49" t="n">
        <v>0</v>
      </c>
      <c r="L314" s="49" t="n">
        <v>0</v>
      </c>
      <c r="M314" s="49" t="n">
        <v>0</v>
      </c>
      <c r="N314" s="49" t="n">
        <v>0</v>
      </c>
      <c r="O314" s="49" t="n">
        <v>0</v>
      </c>
      <c r="P314" s="49" t="n">
        <v>0</v>
      </c>
      <c r="Q314" s="49" t="n">
        <v>0</v>
      </c>
      <c r="R314" s="49" t="n">
        <v>0</v>
      </c>
      <c r="S314" s="50" t="n">
        <v>0</v>
      </c>
      <c r="T314" s="50" t="n">
        <v>0</v>
      </c>
      <c r="U314" s="50" t="n">
        <v>0</v>
      </c>
      <c r="V314" s="50" t="n">
        <v>0</v>
      </c>
      <c r="W314" s="51" t="n">
        <v>0</v>
      </c>
      <c r="X314" s="51" t="n">
        <v>0</v>
      </c>
      <c r="Y314" s="51" t="n">
        <v>0</v>
      </c>
      <c r="Z314" s="51" t="n">
        <v>0</v>
      </c>
      <c r="AA314" s="52" t="n">
        <v>0</v>
      </c>
      <c r="AB314" s="52" t="n">
        <v>0</v>
      </c>
      <c r="AC314" s="52" t="n">
        <v>0</v>
      </c>
      <c r="AD314" s="52" t="n">
        <v>0</v>
      </c>
      <c r="AE314" s="52" t="n">
        <v>0</v>
      </c>
      <c r="AF314" s="52" t="n">
        <v>0</v>
      </c>
      <c r="AG314" s="52" t="n">
        <v>0</v>
      </c>
      <c r="AH314" s="52" t="n">
        <v>0</v>
      </c>
      <c r="AI314" s="52" t="n">
        <v>0</v>
      </c>
      <c r="AJ314" s="52" t="n">
        <v>0</v>
      </c>
      <c r="AK314" s="52" t="n">
        <v>0</v>
      </c>
      <c r="AL314" s="52" t="n">
        <v>0</v>
      </c>
      <c r="AM314" s="53" t="n">
        <v>0</v>
      </c>
      <c r="AN314" s="53" t="n">
        <v>0</v>
      </c>
      <c r="AO314" s="53" t="n">
        <v>0</v>
      </c>
      <c r="AP314" s="53" t="n">
        <v>0</v>
      </c>
      <c r="AQ314" s="52" t="n">
        <v>0</v>
      </c>
      <c r="AR314" s="52" t="n">
        <v>0</v>
      </c>
      <c r="AS314" s="52" t="n">
        <v>0</v>
      </c>
      <c r="AT314" s="52" t="n">
        <v>0</v>
      </c>
      <c r="AU314" s="53" t="n">
        <v>0</v>
      </c>
      <c r="AV314" s="53" t="n">
        <v>0</v>
      </c>
      <c r="AW314" s="53" t="n">
        <v>0</v>
      </c>
      <c r="AX314" s="53" t="n">
        <v>0</v>
      </c>
      <c r="AY314" s="52" t="n">
        <v>0</v>
      </c>
      <c r="AZ314" s="52" t="n">
        <v>0</v>
      </c>
      <c r="BA314" s="52" t="n">
        <v>0</v>
      </c>
      <c r="BB314" s="52" t="n">
        <v>0</v>
      </c>
      <c r="BC314" s="51" t="n">
        <v>0</v>
      </c>
      <c r="BD314" s="51" t="n">
        <v>0</v>
      </c>
      <c r="BE314" s="51" t="n">
        <v>0</v>
      </c>
      <c r="BF314" s="51" t="n">
        <v>0</v>
      </c>
    </row>
    <row r="315">
      <c r="A315">
        <f>HYPERLINK("https://www.walmart.com/ip/600633477", "600633477")</f>
        <v/>
      </c>
      <c r="B315" t="inlineStr">
        <is>
          <t>Fleece Blanket Wearable with Sleeves &amp; Foot pockets for Men and Women, Micro Plush Wrap Sleeved Throw Blanket Robe Multi-Colors 75”x53” by Catalonia</t>
        </is>
      </c>
      <c r="C315" t="inlineStr">
        <is>
          <t>1CTSN101GN</t>
        </is>
      </c>
      <c r="D315" t="inlineStr">
        <is>
          <t>Throws</t>
        </is>
      </c>
      <c r="E315" t="inlineStr">
        <is>
          <t>Catalonia</t>
        </is>
      </c>
      <c r="F315" t="inlineStr">
        <is>
          <t>WFS,Coupon_Discount,WFS Item,Fleece Blankets</t>
        </is>
      </c>
      <c r="G315" s="48" t="n">
        <v>0</v>
      </c>
      <c r="H315" s="48" t="n">
        <v>0</v>
      </c>
      <c r="I315" s="48" t="n">
        <v>0</v>
      </c>
      <c r="J315" s="48" t="n">
        <v>0</v>
      </c>
      <c r="K315" s="49" t="n">
        <v>0</v>
      </c>
      <c r="L315" s="49" t="n">
        <v>0</v>
      </c>
      <c r="M315" s="49" t="n">
        <v>0</v>
      </c>
      <c r="N315" s="49" t="n">
        <v>0</v>
      </c>
      <c r="O315" s="49" t="n">
        <v>0</v>
      </c>
      <c r="P315" s="49" t="n">
        <v>0</v>
      </c>
      <c r="Q315" s="49" t="n">
        <v>0</v>
      </c>
      <c r="R315" s="49" t="n">
        <v>0</v>
      </c>
      <c r="S315" s="50" t="n">
        <v>0</v>
      </c>
      <c r="T315" s="50" t="n">
        <v>0</v>
      </c>
      <c r="U315" s="50" t="n">
        <v>0</v>
      </c>
      <c r="V315" s="50" t="n">
        <v>0</v>
      </c>
      <c r="W315" s="51" t="n">
        <v>0</v>
      </c>
      <c r="X315" s="51" t="n">
        <v>0</v>
      </c>
      <c r="Y315" s="51" t="n">
        <v>0</v>
      </c>
      <c r="Z315" s="51" t="n">
        <v>0</v>
      </c>
      <c r="AA315" s="52" t="n">
        <v>0</v>
      </c>
      <c r="AB315" s="52" t="n">
        <v>0</v>
      </c>
      <c r="AC315" s="52" t="n">
        <v>0</v>
      </c>
      <c r="AD315" s="52" t="n">
        <v>0</v>
      </c>
      <c r="AE315" s="52" t="n">
        <v>0</v>
      </c>
      <c r="AF315" s="52" t="n">
        <v>0</v>
      </c>
      <c r="AG315" s="52" t="n">
        <v>0</v>
      </c>
      <c r="AH315" s="52" t="n">
        <v>0</v>
      </c>
      <c r="AI315" s="52" t="n">
        <v>0</v>
      </c>
      <c r="AJ315" s="52" t="n">
        <v>0</v>
      </c>
      <c r="AK315" s="52" t="n">
        <v>0</v>
      </c>
      <c r="AL315" s="52" t="n">
        <v>0</v>
      </c>
      <c r="AM315" s="53" t="n">
        <v>0</v>
      </c>
      <c r="AN315" s="53" t="n">
        <v>0</v>
      </c>
      <c r="AO315" s="53" t="n">
        <v>0</v>
      </c>
      <c r="AP315" s="53" t="n">
        <v>0</v>
      </c>
      <c r="AQ315" s="52" t="n">
        <v>0</v>
      </c>
      <c r="AR315" s="52" t="n">
        <v>0</v>
      </c>
      <c r="AS315" s="52" t="n">
        <v>0</v>
      </c>
      <c r="AT315" s="52" t="n">
        <v>0</v>
      </c>
      <c r="AU315" s="53" t="n">
        <v>0</v>
      </c>
      <c r="AV315" s="53" t="n">
        <v>0</v>
      </c>
      <c r="AW315" s="53" t="n">
        <v>0</v>
      </c>
      <c r="AX315" s="53" t="n">
        <v>0</v>
      </c>
      <c r="AY315" s="52" t="n">
        <v>0</v>
      </c>
      <c r="AZ315" s="52" t="n">
        <v>0</v>
      </c>
      <c r="BA315" s="52" t="n">
        <v>0</v>
      </c>
      <c r="BB315" s="52" t="n">
        <v>0</v>
      </c>
      <c r="BC315" s="51" t="n">
        <v>0</v>
      </c>
      <c r="BD315" s="51" t="n">
        <v>0</v>
      </c>
      <c r="BE315" s="51" t="n">
        <v>0</v>
      </c>
      <c r="BF315" s="51" t="n">
        <v>0</v>
      </c>
    </row>
    <row r="316">
      <c r="A316">
        <f>HYPERLINK("https://www.walmart.com/ip/598197106", "598197106")</f>
        <v/>
      </c>
      <c r="B316" t="inlineStr">
        <is>
          <t>Terra Boxer Briefs Mens 3 Pack Underwear Elastic Waistband Solid New Classic Fit</t>
        </is>
      </c>
      <c r="C316" t="inlineStr">
        <is>
          <t>TERRA-BOXER6-M</t>
        </is>
      </c>
      <c r="D316" t="inlineStr">
        <is>
          <t>Underpants</t>
        </is>
      </c>
      <c r="E316" t="inlineStr">
        <is>
          <t>Terra</t>
        </is>
      </c>
      <c r="F316" t="inlineStr">
        <is>
          <t>Batch 1 - TR</t>
        </is>
      </c>
      <c r="G316" s="48" t="n">
        <v>0</v>
      </c>
      <c r="H316" s="48" t="n">
        <v>0</v>
      </c>
      <c r="I316" s="48" t="n">
        <v>0</v>
      </c>
      <c r="J316" s="48" t="n">
        <v>0</v>
      </c>
      <c r="K316" s="49" t="n">
        <v>0</v>
      </c>
      <c r="L316" s="49" t="n">
        <v>0</v>
      </c>
      <c r="M316" s="49" t="n">
        <v>0</v>
      </c>
      <c r="N316" s="49" t="n">
        <v>0</v>
      </c>
      <c r="O316" s="49" t="n">
        <v>0</v>
      </c>
      <c r="P316" s="49" t="n">
        <v>0</v>
      </c>
      <c r="Q316" s="49" t="n">
        <v>0</v>
      </c>
      <c r="R316" s="49" t="n">
        <v>0</v>
      </c>
      <c r="S316" s="50" t="n">
        <v>0</v>
      </c>
      <c r="T316" s="50" t="n">
        <v>0</v>
      </c>
      <c r="U316" s="50" t="n">
        <v>0</v>
      </c>
      <c r="V316" s="50" t="n">
        <v>0</v>
      </c>
      <c r="W316" s="51" t="n">
        <v>0</v>
      </c>
      <c r="X316" s="51" t="n">
        <v>0</v>
      </c>
      <c r="Y316" s="51" t="n">
        <v>0</v>
      </c>
      <c r="Z316" s="51" t="n">
        <v>0</v>
      </c>
      <c r="AA316" s="52" t="n">
        <v>0</v>
      </c>
      <c r="AB316" s="52" t="n">
        <v>0</v>
      </c>
      <c r="AC316" s="52" t="n">
        <v>0</v>
      </c>
      <c r="AD316" s="52" t="n">
        <v>0</v>
      </c>
      <c r="AE316" s="52" t="n">
        <v>0</v>
      </c>
      <c r="AF316" s="52" t="n">
        <v>0</v>
      </c>
      <c r="AG316" s="52" t="n">
        <v>0</v>
      </c>
      <c r="AH316" s="52" t="n">
        <v>0</v>
      </c>
      <c r="AI316" s="52" t="n">
        <v>0</v>
      </c>
      <c r="AJ316" s="52" t="n">
        <v>0</v>
      </c>
      <c r="AK316" s="52" t="n">
        <v>0</v>
      </c>
      <c r="AL316" s="52" t="n">
        <v>0</v>
      </c>
      <c r="AM316" s="53" t="n">
        <v>0</v>
      </c>
      <c r="AN316" s="53" t="n">
        <v>0</v>
      </c>
      <c r="AO316" s="53" t="n">
        <v>0</v>
      </c>
      <c r="AP316" s="53" t="n">
        <v>0</v>
      </c>
      <c r="AQ316" s="52" t="n">
        <v>0</v>
      </c>
      <c r="AR316" s="52" t="n">
        <v>0</v>
      </c>
      <c r="AS316" s="52" t="n">
        <v>0</v>
      </c>
      <c r="AT316" s="52" t="n">
        <v>0</v>
      </c>
      <c r="AU316" s="53" t="n">
        <v>0</v>
      </c>
      <c r="AV316" s="53" t="n">
        <v>0</v>
      </c>
      <c r="AW316" s="53" t="n">
        <v>0</v>
      </c>
      <c r="AX316" s="53" t="n">
        <v>0</v>
      </c>
      <c r="AY316" s="52" t="n">
        <v>0</v>
      </c>
      <c r="AZ316" s="52" t="n">
        <v>0</v>
      </c>
      <c r="BA316" s="52" t="n">
        <v>0</v>
      </c>
      <c r="BB316" s="52" t="n">
        <v>0</v>
      </c>
      <c r="BC316" s="51" t="n">
        <v>0</v>
      </c>
      <c r="BD316" s="51" t="n">
        <v>0</v>
      </c>
      <c r="BE316" s="51" t="n">
        <v>0</v>
      </c>
      <c r="BF316" s="51" t="n">
        <v>0</v>
      </c>
    </row>
    <row r="317">
      <c r="A317">
        <f>HYPERLINK("https://www.walmart.com/ip/595649723", "595649723")</f>
        <v/>
      </c>
      <c r="B317" t="inlineStr">
        <is>
          <t>Two Pieces Double up Tankini Swimsuit for Women Bathing Suits Set by Tirrinia</t>
        </is>
      </c>
      <c r="C317" t="inlineStr">
        <is>
          <t>1TRSS002WH-M</t>
        </is>
      </c>
      <c r="D317" t="inlineStr">
        <is>
          <t>Swimsuit Sets</t>
        </is>
      </c>
      <c r="E317" t="inlineStr">
        <is>
          <t>Tirrinia</t>
        </is>
      </c>
      <c r="F317" t="inlineStr">
        <is>
          <t>Batch 1 - TR</t>
        </is>
      </c>
      <c r="G317" s="48" t="n">
        <v>0</v>
      </c>
      <c r="H317" s="48" t="n">
        <v>0</v>
      </c>
      <c r="I317" s="48" t="n">
        <v>0</v>
      </c>
      <c r="J317" s="48" t="n">
        <v>0</v>
      </c>
      <c r="K317" s="49" t="n">
        <v>0</v>
      </c>
      <c r="L317" s="49" t="n">
        <v>0</v>
      </c>
      <c r="M317" s="49" t="n">
        <v>0</v>
      </c>
      <c r="N317" s="49" t="n">
        <v>0</v>
      </c>
      <c r="O317" s="49" t="n">
        <v>0</v>
      </c>
      <c r="P317" s="49" t="n">
        <v>0</v>
      </c>
      <c r="Q317" s="49" t="n">
        <v>0</v>
      </c>
      <c r="R317" s="49" t="n">
        <v>0</v>
      </c>
      <c r="S317" s="50" t="n">
        <v>0</v>
      </c>
      <c r="T317" s="50" t="n">
        <v>0</v>
      </c>
      <c r="U317" s="50" t="n">
        <v>0</v>
      </c>
      <c r="V317" s="50" t="n">
        <v>0</v>
      </c>
      <c r="W317" s="51" t="n">
        <v>0</v>
      </c>
      <c r="X317" s="51" t="n">
        <v>0</v>
      </c>
      <c r="Y317" s="51" t="n">
        <v>0</v>
      </c>
      <c r="Z317" s="51" t="n">
        <v>0</v>
      </c>
      <c r="AA317" s="52" t="n">
        <v>0</v>
      </c>
      <c r="AB317" s="52" t="n">
        <v>0</v>
      </c>
      <c r="AC317" s="52" t="n">
        <v>0</v>
      </c>
      <c r="AD317" s="52" t="n">
        <v>0</v>
      </c>
      <c r="AE317" s="52" t="n">
        <v>0</v>
      </c>
      <c r="AF317" s="52" t="n">
        <v>0</v>
      </c>
      <c r="AG317" s="52" t="n">
        <v>0</v>
      </c>
      <c r="AH317" s="52" t="n">
        <v>0</v>
      </c>
      <c r="AI317" s="52" t="n">
        <v>0</v>
      </c>
      <c r="AJ317" s="52" t="n">
        <v>0</v>
      </c>
      <c r="AK317" s="52" t="n">
        <v>0</v>
      </c>
      <c r="AL317" s="52" t="n">
        <v>0</v>
      </c>
      <c r="AM317" s="53" t="n">
        <v>0</v>
      </c>
      <c r="AN317" s="53" t="n">
        <v>0</v>
      </c>
      <c r="AO317" s="53" t="n">
        <v>0</v>
      </c>
      <c r="AP317" s="53" t="n">
        <v>0</v>
      </c>
      <c r="AQ317" s="52" t="n">
        <v>0</v>
      </c>
      <c r="AR317" s="52" t="n">
        <v>0</v>
      </c>
      <c r="AS317" s="52" t="n">
        <v>0</v>
      </c>
      <c r="AT317" s="52" t="n">
        <v>0</v>
      </c>
      <c r="AU317" s="53" t="n">
        <v>0</v>
      </c>
      <c r="AV317" s="53" t="n">
        <v>0</v>
      </c>
      <c r="AW317" s="53" t="n">
        <v>0</v>
      </c>
      <c r="AX317" s="53" t="n">
        <v>0</v>
      </c>
      <c r="AY317" s="52" t="n">
        <v>0</v>
      </c>
      <c r="AZ317" s="52" t="n">
        <v>0</v>
      </c>
      <c r="BA317" s="52" t="n">
        <v>0</v>
      </c>
      <c r="BB317" s="52" t="n">
        <v>0</v>
      </c>
      <c r="BC317" s="51" t="n">
        <v>0</v>
      </c>
      <c r="BD317" s="51" t="n">
        <v>0</v>
      </c>
      <c r="BE317" s="51" t="n">
        <v>0</v>
      </c>
      <c r="BF317" s="51" t="n">
        <v>0</v>
      </c>
    </row>
    <row r="318">
      <c r="A318">
        <f>HYPERLINK("https://www.walmart.com/ip/595323966", "595323966")</f>
        <v/>
      </c>
      <c r="B318" t="inlineStr">
        <is>
          <t>Tirrinia Insulated Thermocooler Wine Carrier Bag, 3-Bottle Wine Tote Bag with Handle and Adjustable Shoulder Strap for Travel, Party and Christmas, Gray</t>
        </is>
      </c>
      <c r="C318" t="inlineStr">
        <is>
          <t>1KTWB300GY-SC</t>
        </is>
      </c>
      <c r="D318" t="inlineStr">
        <is>
          <t>Wine Totes, Bags &amp; Backpacks</t>
        </is>
      </c>
      <c r="E318" t="inlineStr">
        <is>
          <t>Tirrinia</t>
        </is>
      </c>
      <c r="F318" t="inlineStr">
        <is>
          <t>Wine,Christmas,Optimized,Valentine,Lily Brand Camp</t>
        </is>
      </c>
      <c r="G318" s="48" t="n">
        <v>0</v>
      </c>
      <c r="H318" s="48" t="n">
        <v>0</v>
      </c>
      <c r="I318" s="48" t="n">
        <v>0</v>
      </c>
      <c r="J318" s="48" t="n">
        <v>0</v>
      </c>
      <c r="K318" s="49" t="n">
        <v>0</v>
      </c>
      <c r="L318" s="49" t="n">
        <v>0</v>
      </c>
      <c r="M318" s="49" t="n">
        <v>0</v>
      </c>
      <c r="N318" s="49" t="n">
        <v>0</v>
      </c>
      <c r="O318" s="49" t="n">
        <v>0</v>
      </c>
      <c r="P318" s="49" t="n">
        <v>0</v>
      </c>
      <c r="Q318" s="49" t="n">
        <v>0</v>
      </c>
      <c r="R318" s="49" t="n">
        <v>0</v>
      </c>
      <c r="S318" s="50" t="n">
        <v>0</v>
      </c>
      <c r="T318" s="50" t="n">
        <v>0</v>
      </c>
      <c r="U318" s="50" t="n">
        <v>0</v>
      </c>
      <c r="V318" s="50" t="n">
        <v>0</v>
      </c>
      <c r="W318" s="51" t="n">
        <v>0</v>
      </c>
      <c r="X318" s="51" t="n">
        <v>0</v>
      </c>
      <c r="Y318" s="51" t="n">
        <v>0</v>
      </c>
      <c r="Z318" s="51" t="n">
        <v>0</v>
      </c>
      <c r="AA318" s="52" t="n">
        <v>0</v>
      </c>
      <c r="AB318" s="52" t="n">
        <v>0</v>
      </c>
      <c r="AC318" s="52" t="n">
        <v>0</v>
      </c>
      <c r="AD318" s="52" t="n">
        <v>0</v>
      </c>
      <c r="AE318" s="52" t="n">
        <v>0</v>
      </c>
      <c r="AF318" s="52" t="n">
        <v>0</v>
      </c>
      <c r="AG318" s="52" t="n">
        <v>0</v>
      </c>
      <c r="AH318" s="52" t="n">
        <v>0</v>
      </c>
      <c r="AI318" s="52" t="n">
        <v>0</v>
      </c>
      <c r="AJ318" s="52" t="n">
        <v>0</v>
      </c>
      <c r="AK318" s="52" t="n">
        <v>0</v>
      </c>
      <c r="AL318" s="52" t="n">
        <v>0</v>
      </c>
      <c r="AM318" s="53" t="n">
        <v>0</v>
      </c>
      <c r="AN318" s="53" t="n">
        <v>0</v>
      </c>
      <c r="AO318" s="53" t="n">
        <v>0</v>
      </c>
      <c r="AP318" s="53" t="n">
        <v>0</v>
      </c>
      <c r="AQ318" s="52" t="n">
        <v>0</v>
      </c>
      <c r="AR318" s="52" t="n">
        <v>0</v>
      </c>
      <c r="AS318" s="52" t="n">
        <v>0</v>
      </c>
      <c r="AT318" s="52" t="n">
        <v>0</v>
      </c>
      <c r="AU318" s="53" t="n">
        <v>0</v>
      </c>
      <c r="AV318" s="53" t="n">
        <v>0</v>
      </c>
      <c r="AW318" s="53" t="n">
        <v>0</v>
      </c>
      <c r="AX318" s="53" t="n">
        <v>0</v>
      </c>
      <c r="AY318" s="52" t="n">
        <v>0</v>
      </c>
      <c r="AZ318" s="52" t="n">
        <v>0</v>
      </c>
      <c r="BA318" s="52" t="n">
        <v>0</v>
      </c>
      <c r="BB318" s="52" t="n">
        <v>0</v>
      </c>
      <c r="BC318" s="51" t="n">
        <v>0</v>
      </c>
      <c r="BD318" s="51" t="n">
        <v>0</v>
      </c>
      <c r="BE318" s="51" t="n">
        <v>0</v>
      </c>
      <c r="BF318" s="51" t="n">
        <v>0</v>
      </c>
    </row>
    <row r="319">
      <c r="A319">
        <f>HYPERLINK("https://www.walmart.com/ip/5982782258", "5982782258")</f>
        <v/>
      </c>
      <c r="B319" t="inlineStr">
        <is>
          <t>Wrangler Men’s Full Grain Genuine Leather 35mm Thick Casual Belt for Jeans, Pants - Brown, 42</t>
        </is>
      </c>
      <c r="C319" t="inlineStr">
        <is>
          <t>WR-BELT-MENS-35MM-BROWN-42</t>
        </is>
      </c>
      <c r="D319" t="inlineStr">
        <is>
          <t>Belts</t>
        </is>
      </c>
      <c r="E319" t="inlineStr">
        <is>
          <t>Wrangler</t>
        </is>
      </c>
      <c r="G319" s="48" t="n">
        <v>0</v>
      </c>
      <c r="H319" s="48" t="n">
        <v>0</v>
      </c>
      <c r="I319" s="48" t="n">
        <v>19.99</v>
      </c>
      <c r="J319" s="48" t="n">
        <v>0</v>
      </c>
      <c r="K319" s="49" t="n">
        <v>0</v>
      </c>
      <c r="L319" s="49" t="n">
        <v>0</v>
      </c>
      <c r="M319" s="49" t="n">
        <v>1</v>
      </c>
      <c r="N319" s="49" t="n">
        <v>0</v>
      </c>
      <c r="O319" s="49" t="n">
        <v>0</v>
      </c>
      <c r="P319" s="49" t="n">
        <v>0</v>
      </c>
      <c r="Q319" s="49" t="n">
        <v>0</v>
      </c>
      <c r="R319" s="49" t="n">
        <v>0</v>
      </c>
      <c r="S319" s="50" t="n">
        <v>0</v>
      </c>
      <c r="T319" s="50" t="n">
        <v>0</v>
      </c>
      <c r="U319" s="50" t="n">
        <v>0</v>
      </c>
      <c r="V319" s="50" t="n">
        <v>0</v>
      </c>
      <c r="W319" s="51" t="n">
        <v>0</v>
      </c>
      <c r="X319" s="51" t="n">
        <v>0</v>
      </c>
      <c r="Y319" s="51" t="n">
        <v>0</v>
      </c>
      <c r="Z319" s="51" t="n">
        <v>0</v>
      </c>
      <c r="AA319" s="52" t="n">
        <v>0</v>
      </c>
      <c r="AB319" s="52" t="n">
        <v>0</v>
      </c>
      <c r="AC319" s="52" t="n">
        <v>0</v>
      </c>
      <c r="AD319" s="52" t="n">
        <v>0</v>
      </c>
      <c r="AE319" s="52" t="n">
        <v>0</v>
      </c>
      <c r="AF319" s="52" t="n">
        <v>0</v>
      </c>
      <c r="AG319" s="52" t="n">
        <v>0</v>
      </c>
      <c r="AH319" s="52" t="n">
        <v>0</v>
      </c>
      <c r="AI319" s="52" t="n">
        <v>0</v>
      </c>
      <c r="AJ319" s="52" t="n">
        <v>0</v>
      </c>
      <c r="AK319" s="52" t="n">
        <v>0</v>
      </c>
      <c r="AL319" s="52" t="n">
        <v>0</v>
      </c>
      <c r="AM319" s="53" t="n">
        <v>0</v>
      </c>
      <c r="AN319" s="53" t="n">
        <v>0</v>
      </c>
      <c r="AO319" s="53" t="n">
        <v>0</v>
      </c>
      <c r="AP319" s="53" t="n">
        <v>0</v>
      </c>
      <c r="AQ319" s="52" t="n">
        <v>0</v>
      </c>
      <c r="AR319" s="52" t="n">
        <v>0</v>
      </c>
      <c r="AS319" s="52" t="n">
        <v>0</v>
      </c>
      <c r="AT319" s="52" t="n">
        <v>0</v>
      </c>
      <c r="AU319" s="53" t="n">
        <v>0</v>
      </c>
      <c r="AV319" s="53" t="n">
        <v>0</v>
      </c>
      <c r="AW319" s="53" t="n">
        <v>0</v>
      </c>
      <c r="AX319" s="53" t="n">
        <v>0</v>
      </c>
      <c r="AY319" s="52" t="n">
        <v>0</v>
      </c>
      <c r="AZ319" s="52" t="n">
        <v>0</v>
      </c>
      <c r="BA319" s="52" t="n">
        <v>19.99</v>
      </c>
      <c r="BB319" s="52" t="n">
        <v>0</v>
      </c>
      <c r="BC319" s="51" t="n">
        <v>0</v>
      </c>
      <c r="BD319" s="51" t="n">
        <v>0</v>
      </c>
      <c r="BE319" s="51" t="n">
        <v>0</v>
      </c>
      <c r="BF319" s="51" t="n">
        <v>0</v>
      </c>
    </row>
    <row r="320">
      <c r="A320">
        <f>HYPERLINK("https://www.walmart.com/ip/595303714", "595303714")</f>
        <v/>
      </c>
      <c r="B320" t="inlineStr">
        <is>
          <t>Catalonia Sherpa Throw Blanket, Super Soft Fluffy Fuzzy Comfy Velvet Plush Fleece TV Blankets and Throws for Sofa, Couch, and Bed, Melange Grey, 50” x 60”</t>
        </is>
      </c>
      <c r="C320" t="inlineStr">
        <is>
          <t>1CTBF321LG</t>
        </is>
      </c>
      <c r="D320" t="inlineStr">
        <is>
          <t>Throws</t>
        </is>
      </c>
      <c r="E320" t="inlineStr">
        <is>
          <t>Catalonia</t>
        </is>
      </c>
      <c r="F320" t="inlineStr">
        <is>
          <t>Q2-Target,WFS,Coupon_Discount,WFS Item</t>
        </is>
      </c>
      <c r="G320" s="48" t="n">
        <v>0</v>
      </c>
      <c r="H320" s="48" t="n">
        <v>0</v>
      </c>
      <c r="I320" s="48" t="n">
        <v>0</v>
      </c>
      <c r="J320" s="48" t="n">
        <v>0</v>
      </c>
      <c r="K320" s="49" t="n">
        <v>0</v>
      </c>
      <c r="L320" s="49" t="n">
        <v>0</v>
      </c>
      <c r="M320" s="49" t="n">
        <v>0</v>
      </c>
      <c r="N320" s="49" t="n">
        <v>0</v>
      </c>
      <c r="O320" s="49" t="n">
        <v>0</v>
      </c>
      <c r="P320" s="49" t="n">
        <v>0</v>
      </c>
      <c r="Q320" s="49" t="n">
        <v>0</v>
      </c>
      <c r="R320" s="49" t="n">
        <v>0</v>
      </c>
      <c r="S320" s="50" t="n">
        <v>0</v>
      </c>
      <c r="T320" s="50" t="n">
        <v>0</v>
      </c>
      <c r="U320" s="50" t="n">
        <v>0</v>
      </c>
      <c r="V320" s="50" t="n">
        <v>0</v>
      </c>
      <c r="W320" s="51" t="n">
        <v>0</v>
      </c>
      <c r="X320" s="51" t="n">
        <v>0</v>
      </c>
      <c r="Y320" s="51" t="n">
        <v>0</v>
      </c>
      <c r="Z320" s="51" t="n">
        <v>0</v>
      </c>
      <c r="AA320" s="52" t="n">
        <v>0</v>
      </c>
      <c r="AB320" s="52" t="n">
        <v>0</v>
      </c>
      <c r="AC320" s="52" t="n">
        <v>0</v>
      </c>
      <c r="AD320" s="52" t="n">
        <v>0</v>
      </c>
      <c r="AE320" s="52" t="n">
        <v>0</v>
      </c>
      <c r="AF320" s="52" t="n">
        <v>0</v>
      </c>
      <c r="AG320" s="52" t="n">
        <v>0</v>
      </c>
      <c r="AH320" s="52" t="n">
        <v>0</v>
      </c>
      <c r="AI320" s="52" t="n">
        <v>0</v>
      </c>
      <c r="AJ320" s="52" t="n">
        <v>0</v>
      </c>
      <c r="AK320" s="52" t="n">
        <v>0</v>
      </c>
      <c r="AL320" s="52" t="n">
        <v>0</v>
      </c>
      <c r="AM320" s="53" t="n">
        <v>0</v>
      </c>
      <c r="AN320" s="53" t="n">
        <v>0</v>
      </c>
      <c r="AO320" s="53" t="n">
        <v>0</v>
      </c>
      <c r="AP320" s="53" t="n">
        <v>0</v>
      </c>
      <c r="AQ320" s="52" t="n">
        <v>0</v>
      </c>
      <c r="AR320" s="52" t="n">
        <v>0</v>
      </c>
      <c r="AS320" s="52" t="n">
        <v>0</v>
      </c>
      <c r="AT320" s="52" t="n">
        <v>0</v>
      </c>
      <c r="AU320" s="53" t="n">
        <v>0</v>
      </c>
      <c r="AV320" s="53" t="n">
        <v>0</v>
      </c>
      <c r="AW320" s="53" t="n">
        <v>0</v>
      </c>
      <c r="AX320" s="53" t="n">
        <v>0</v>
      </c>
      <c r="AY320" s="52" t="n">
        <v>0</v>
      </c>
      <c r="AZ320" s="52" t="n">
        <v>0</v>
      </c>
      <c r="BA320" s="52" t="n">
        <v>0</v>
      </c>
      <c r="BB320" s="52" t="n">
        <v>0</v>
      </c>
      <c r="BC320" s="51" t="n">
        <v>0</v>
      </c>
      <c r="BD320" s="51" t="n">
        <v>0</v>
      </c>
      <c r="BE320" s="51" t="n">
        <v>0</v>
      </c>
      <c r="BF320" s="51" t="n">
        <v>0</v>
      </c>
    </row>
    <row r="321">
      <c r="A321">
        <f>HYPERLINK("https://www.walmart.com/ip/599159682", "599159682")</f>
        <v/>
      </c>
      <c r="B321" t="inlineStr">
        <is>
          <t>Tirrinia Stemless Insulated Wine Tumbler with Lid, Single Stainless Steel Double Walled Metal Reusable Wine and Champagne Tumbler for Camping, Travel and Outdoor, Rainbow, 12oz</t>
        </is>
      </c>
      <c r="C321" t="inlineStr">
        <is>
          <t>1TRWT120RB</t>
        </is>
      </c>
      <c r="D321" t="inlineStr">
        <is>
          <t>Tumblers</t>
        </is>
      </c>
      <c r="E321" t="inlineStr">
        <is>
          <t>Tirrinia</t>
        </is>
      </c>
      <c r="F321" t="inlineStr">
        <is>
          <t>Wine,Christmas,Optimized,Valentine</t>
        </is>
      </c>
      <c r="G321" s="48" t="n">
        <v>0</v>
      </c>
      <c r="H321" s="48" t="n">
        <v>7.98</v>
      </c>
      <c r="I321" s="48" t="n">
        <v>0</v>
      </c>
      <c r="J321" s="48" t="n">
        <v>0</v>
      </c>
      <c r="K321" s="49" t="n">
        <v>0</v>
      </c>
      <c r="L321" s="49" t="n">
        <v>1</v>
      </c>
      <c r="M321" s="49" t="n">
        <v>0</v>
      </c>
      <c r="N321" s="49" t="n">
        <v>0</v>
      </c>
      <c r="O321" s="49" t="n">
        <v>0</v>
      </c>
      <c r="P321" s="49" t="n">
        <v>0</v>
      </c>
      <c r="Q321" s="49" t="n">
        <v>0</v>
      </c>
      <c r="R321" s="49" t="n">
        <v>0</v>
      </c>
      <c r="S321" s="50" t="n">
        <v>0</v>
      </c>
      <c r="T321" s="50" t="n">
        <v>0</v>
      </c>
      <c r="U321" s="50" t="n">
        <v>0</v>
      </c>
      <c r="V321" s="50" t="n">
        <v>0</v>
      </c>
      <c r="W321" s="51" t="n">
        <v>0</v>
      </c>
      <c r="X321" s="51" t="n">
        <v>0</v>
      </c>
      <c r="Y321" s="51" t="n">
        <v>0</v>
      </c>
      <c r="Z321" s="51" t="n">
        <v>0</v>
      </c>
      <c r="AA321" s="52" t="n">
        <v>0</v>
      </c>
      <c r="AB321" s="52" t="n">
        <v>0</v>
      </c>
      <c r="AC321" s="52" t="n">
        <v>0</v>
      </c>
      <c r="AD321" s="52" t="n">
        <v>0</v>
      </c>
      <c r="AE321" s="52" t="n">
        <v>0</v>
      </c>
      <c r="AF321" s="52" t="n">
        <v>0</v>
      </c>
      <c r="AG321" s="52" t="n">
        <v>0</v>
      </c>
      <c r="AH321" s="52" t="n">
        <v>0</v>
      </c>
      <c r="AI321" s="52" t="n">
        <v>0</v>
      </c>
      <c r="AJ321" s="52" t="n">
        <v>0</v>
      </c>
      <c r="AK321" s="52" t="n">
        <v>0</v>
      </c>
      <c r="AL321" s="52" t="n">
        <v>0</v>
      </c>
      <c r="AM321" s="53" t="n">
        <v>0</v>
      </c>
      <c r="AN321" s="53" t="n">
        <v>0</v>
      </c>
      <c r="AO321" s="53" t="n">
        <v>0</v>
      </c>
      <c r="AP321" s="53" t="n">
        <v>0</v>
      </c>
      <c r="AQ321" s="52" t="n">
        <v>0</v>
      </c>
      <c r="AR321" s="52" t="n">
        <v>0</v>
      </c>
      <c r="AS321" s="52" t="n">
        <v>0</v>
      </c>
      <c r="AT321" s="52" t="n">
        <v>0</v>
      </c>
      <c r="AU321" s="53" t="n">
        <v>0</v>
      </c>
      <c r="AV321" s="53" t="n">
        <v>0</v>
      </c>
      <c r="AW321" s="53" t="n">
        <v>0</v>
      </c>
      <c r="AX321" s="53" t="n">
        <v>0</v>
      </c>
      <c r="AY321" s="52" t="n">
        <v>0</v>
      </c>
      <c r="AZ321" s="52" t="n">
        <v>7.98</v>
      </c>
      <c r="BA321" s="52" t="n">
        <v>0</v>
      </c>
      <c r="BB321" s="52" t="n">
        <v>0</v>
      </c>
      <c r="BC321" s="51" t="n">
        <v>0</v>
      </c>
      <c r="BD321" s="51" t="n">
        <v>0</v>
      </c>
      <c r="BE321" s="51" t="n">
        <v>0</v>
      </c>
      <c r="BF321" s="51" t="n">
        <v>0</v>
      </c>
    </row>
    <row r="322">
      <c r="A322">
        <f>HYPERLINK("https://www.walmart.com/ip/594302699", "594302699")</f>
        <v/>
      </c>
      <c r="B322" t="inlineStr">
        <is>
          <t>Runner Waist Pack - Hip Hug Running Fuel Belt with 2 Pockets - NO BOUNCE Runner's Fanny Pack - Storage Pouch Bag Runners</t>
        </is>
      </c>
      <c r="C322" t="inlineStr">
        <is>
          <t>TERRA-3BK-L-ZJ</t>
        </is>
      </c>
      <c r="D322" t="inlineStr">
        <is>
          <t>Fanny Packs</t>
        </is>
      </c>
      <c r="E322" t="inlineStr">
        <is>
          <t>Terra</t>
        </is>
      </c>
      <c r="F322" t="inlineStr">
        <is>
          <t>Batch 1 - TR</t>
        </is>
      </c>
      <c r="G322" s="48" t="n">
        <v>0</v>
      </c>
      <c r="H322" s="48" t="n">
        <v>0</v>
      </c>
      <c r="I322" s="48" t="n">
        <v>0</v>
      </c>
      <c r="J322" s="48" t="n">
        <v>0</v>
      </c>
      <c r="K322" s="49" t="n">
        <v>0</v>
      </c>
      <c r="L322" s="49" t="n">
        <v>0</v>
      </c>
      <c r="M322" s="49" t="n">
        <v>0</v>
      </c>
      <c r="N322" s="49" t="n">
        <v>0</v>
      </c>
      <c r="O322" s="49" t="n">
        <v>0</v>
      </c>
      <c r="P322" s="49" t="n">
        <v>0</v>
      </c>
      <c r="Q322" s="49" t="n">
        <v>0</v>
      </c>
      <c r="R322" s="49" t="n">
        <v>0</v>
      </c>
      <c r="S322" s="50" t="n">
        <v>0</v>
      </c>
      <c r="T322" s="50" t="n">
        <v>0</v>
      </c>
      <c r="U322" s="50" t="n">
        <v>0</v>
      </c>
      <c r="V322" s="50" t="n">
        <v>0</v>
      </c>
      <c r="W322" s="51" t="n">
        <v>0</v>
      </c>
      <c r="X322" s="51" t="n">
        <v>0</v>
      </c>
      <c r="Y322" s="51" t="n">
        <v>0</v>
      </c>
      <c r="Z322" s="51" t="n">
        <v>0</v>
      </c>
      <c r="AA322" s="52" t="n">
        <v>0</v>
      </c>
      <c r="AB322" s="52" t="n">
        <v>0</v>
      </c>
      <c r="AC322" s="52" t="n">
        <v>0</v>
      </c>
      <c r="AD322" s="52" t="n">
        <v>0</v>
      </c>
      <c r="AE322" s="52" t="n">
        <v>0</v>
      </c>
      <c r="AF322" s="52" t="n">
        <v>0</v>
      </c>
      <c r="AG322" s="52" t="n">
        <v>0</v>
      </c>
      <c r="AH322" s="52" t="n">
        <v>0</v>
      </c>
      <c r="AI322" s="52" t="n">
        <v>0</v>
      </c>
      <c r="AJ322" s="52" t="n">
        <v>0</v>
      </c>
      <c r="AK322" s="52" t="n">
        <v>0</v>
      </c>
      <c r="AL322" s="52" t="n">
        <v>0</v>
      </c>
      <c r="AM322" s="53" t="n">
        <v>0</v>
      </c>
      <c r="AN322" s="53" t="n">
        <v>0</v>
      </c>
      <c r="AO322" s="53" t="n">
        <v>0</v>
      </c>
      <c r="AP322" s="53" t="n">
        <v>0</v>
      </c>
      <c r="AQ322" s="52" t="n">
        <v>0</v>
      </c>
      <c r="AR322" s="52" t="n">
        <v>0</v>
      </c>
      <c r="AS322" s="52" t="n">
        <v>0</v>
      </c>
      <c r="AT322" s="52" t="n">
        <v>0</v>
      </c>
      <c r="AU322" s="53" t="n">
        <v>0</v>
      </c>
      <c r="AV322" s="53" t="n">
        <v>0</v>
      </c>
      <c r="AW322" s="53" t="n">
        <v>0</v>
      </c>
      <c r="AX322" s="53" t="n">
        <v>0</v>
      </c>
      <c r="AY322" s="52" t="n">
        <v>0</v>
      </c>
      <c r="AZ322" s="52" t="n">
        <v>0</v>
      </c>
      <c r="BA322" s="52" t="n">
        <v>0</v>
      </c>
      <c r="BB322" s="52" t="n">
        <v>0</v>
      </c>
      <c r="BC322" s="51" t="n">
        <v>0</v>
      </c>
      <c r="BD322" s="51" t="n">
        <v>0</v>
      </c>
      <c r="BE322" s="51" t="n">
        <v>0</v>
      </c>
      <c r="BF322" s="51" t="n">
        <v>0</v>
      </c>
    </row>
    <row r="323">
      <c r="A323">
        <f>HYPERLINK("https://www.walmart.com/ip/594250068", "594250068")</f>
        <v/>
      </c>
      <c r="B323" t="inlineStr">
        <is>
          <t>Pawsse Waterproof Pet Snuggle Blanket, Dog Puppy Cat Fleece Sherpa Throws Cushion Mat for Car Seat Furniture Protector Cover Medium 50"x60"</t>
        </is>
      </c>
      <c r="C323" t="inlineStr">
        <is>
          <t>1PSBW561LGDG</t>
        </is>
      </c>
      <c r="D323" t="inlineStr">
        <is>
          <t>Pet Blankets</t>
        </is>
      </c>
      <c r="E323" t="inlineStr">
        <is>
          <t>Pawsse</t>
        </is>
      </c>
      <c r="F323" t="inlineStr">
        <is>
          <t>Optimized</t>
        </is>
      </c>
      <c r="G323" s="48" t="n">
        <v>0</v>
      </c>
      <c r="H323" s="48" t="n">
        <v>0</v>
      </c>
      <c r="I323" s="48" t="n">
        <v>0</v>
      </c>
      <c r="J323" s="48" t="n">
        <v>0</v>
      </c>
      <c r="K323" s="49" t="n">
        <v>0</v>
      </c>
      <c r="L323" s="49" t="n">
        <v>0</v>
      </c>
      <c r="M323" s="49" t="n">
        <v>0</v>
      </c>
      <c r="N323" s="49" t="n">
        <v>0</v>
      </c>
      <c r="O323" s="49" t="n">
        <v>0</v>
      </c>
      <c r="P323" s="49" t="n">
        <v>0</v>
      </c>
      <c r="Q323" s="49" t="n">
        <v>0</v>
      </c>
      <c r="R323" s="49" t="n">
        <v>0</v>
      </c>
      <c r="S323" s="50" t="n">
        <v>0</v>
      </c>
      <c r="T323" s="50" t="n">
        <v>0</v>
      </c>
      <c r="U323" s="50" t="n">
        <v>0</v>
      </c>
      <c r="V323" s="50" t="n">
        <v>0</v>
      </c>
      <c r="W323" s="51" t="n">
        <v>0</v>
      </c>
      <c r="X323" s="51" t="n">
        <v>0</v>
      </c>
      <c r="Y323" s="51" t="n">
        <v>0</v>
      </c>
      <c r="Z323" s="51" t="n">
        <v>0</v>
      </c>
      <c r="AA323" s="52" t="n">
        <v>0</v>
      </c>
      <c r="AB323" s="52" t="n">
        <v>0</v>
      </c>
      <c r="AC323" s="52" t="n">
        <v>0</v>
      </c>
      <c r="AD323" s="52" t="n">
        <v>0</v>
      </c>
      <c r="AE323" s="52" t="n">
        <v>0</v>
      </c>
      <c r="AF323" s="52" t="n">
        <v>0</v>
      </c>
      <c r="AG323" s="52" t="n">
        <v>0</v>
      </c>
      <c r="AH323" s="52" t="n">
        <v>0</v>
      </c>
      <c r="AI323" s="52" t="n">
        <v>0</v>
      </c>
      <c r="AJ323" s="52" t="n">
        <v>0</v>
      </c>
      <c r="AK323" s="52" t="n">
        <v>0</v>
      </c>
      <c r="AL323" s="52" t="n">
        <v>0</v>
      </c>
      <c r="AM323" s="53" t="n">
        <v>0</v>
      </c>
      <c r="AN323" s="53" t="n">
        <v>0</v>
      </c>
      <c r="AO323" s="53" t="n">
        <v>0</v>
      </c>
      <c r="AP323" s="53" t="n">
        <v>0</v>
      </c>
      <c r="AQ323" s="52" t="n">
        <v>0</v>
      </c>
      <c r="AR323" s="52" t="n">
        <v>0</v>
      </c>
      <c r="AS323" s="52" t="n">
        <v>0</v>
      </c>
      <c r="AT323" s="52" t="n">
        <v>0</v>
      </c>
      <c r="AU323" s="53" t="n">
        <v>0</v>
      </c>
      <c r="AV323" s="53" t="n">
        <v>0</v>
      </c>
      <c r="AW323" s="53" t="n">
        <v>0</v>
      </c>
      <c r="AX323" s="53" t="n">
        <v>0</v>
      </c>
      <c r="AY323" s="52" t="n">
        <v>0</v>
      </c>
      <c r="AZ323" s="52" t="n">
        <v>0</v>
      </c>
      <c r="BA323" s="52" t="n">
        <v>0</v>
      </c>
      <c r="BB323" s="52" t="n">
        <v>0</v>
      </c>
      <c r="BC323" s="51" t="n">
        <v>0</v>
      </c>
      <c r="BD323" s="51" t="n">
        <v>0</v>
      </c>
      <c r="BE323" s="51" t="n">
        <v>0</v>
      </c>
      <c r="BF323" s="51" t="n">
        <v>0</v>
      </c>
    </row>
    <row r="324">
      <c r="A324">
        <f>HYPERLINK("https://www.walmart.com/ip/599654251", "599654251")</f>
        <v/>
      </c>
      <c r="B324" t="inlineStr">
        <is>
          <t>Terra Boxer Briefs Mens 3 Pack Underwear Elastic Waistband Solid New Classic Fit</t>
        </is>
      </c>
      <c r="C324" t="inlineStr">
        <is>
          <t>TERRA-BOXER7-L</t>
        </is>
      </c>
      <c r="D324" t="inlineStr">
        <is>
          <t>Underpants</t>
        </is>
      </c>
      <c r="E324" t="inlineStr">
        <is>
          <t>Terra</t>
        </is>
      </c>
      <c r="F324" t="inlineStr">
        <is>
          <t>Batch 1 - TR</t>
        </is>
      </c>
      <c r="G324" s="48" t="n">
        <v>0</v>
      </c>
      <c r="H324" s="48" t="n">
        <v>0</v>
      </c>
      <c r="I324" s="48" t="n">
        <v>0</v>
      </c>
      <c r="J324" s="48" t="n">
        <v>0</v>
      </c>
      <c r="K324" s="49" t="n">
        <v>0</v>
      </c>
      <c r="L324" s="49" t="n">
        <v>0</v>
      </c>
      <c r="M324" s="49" t="n">
        <v>0</v>
      </c>
      <c r="N324" s="49" t="n">
        <v>0</v>
      </c>
      <c r="O324" s="49" t="n">
        <v>0</v>
      </c>
      <c r="P324" s="49" t="n">
        <v>0</v>
      </c>
      <c r="Q324" s="49" t="n">
        <v>0</v>
      </c>
      <c r="R324" s="49" t="n">
        <v>0</v>
      </c>
      <c r="S324" s="50" t="n">
        <v>0</v>
      </c>
      <c r="T324" s="50" t="n">
        <v>0</v>
      </c>
      <c r="U324" s="50" t="n">
        <v>0</v>
      </c>
      <c r="V324" s="50" t="n">
        <v>0</v>
      </c>
      <c r="W324" s="51" t="n">
        <v>0</v>
      </c>
      <c r="X324" s="51" t="n">
        <v>0</v>
      </c>
      <c r="Y324" s="51" t="n">
        <v>0</v>
      </c>
      <c r="Z324" s="51" t="n">
        <v>0</v>
      </c>
      <c r="AA324" s="52" t="n">
        <v>0</v>
      </c>
      <c r="AB324" s="52" t="n">
        <v>0</v>
      </c>
      <c r="AC324" s="52" t="n">
        <v>0</v>
      </c>
      <c r="AD324" s="52" t="n">
        <v>0</v>
      </c>
      <c r="AE324" s="52" t="n">
        <v>0</v>
      </c>
      <c r="AF324" s="52" t="n">
        <v>0</v>
      </c>
      <c r="AG324" s="52" t="n">
        <v>0</v>
      </c>
      <c r="AH324" s="52" t="n">
        <v>0</v>
      </c>
      <c r="AI324" s="52" t="n">
        <v>0</v>
      </c>
      <c r="AJ324" s="52" t="n">
        <v>0</v>
      </c>
      <c r="AK324" s="52" t="n">
        <v>0</v>
      </c>
      <c r="AL324" s="52" t="n">
        <v>0</v>
      </c>
      <c r="AM324" s="53" t="n">
        <v>0</v>
      </c>
      <c r="AN324" s="53" t="n">
        <v>0</v>
      </c>
      <c r="AO324" s="53" t="n">
        <v>0</v>
      </c>
      <c r="AP324" s="53" t="n">
        <v>0</v>
      </c>
      <c r="AQ324" s="52" t="n">
        <v>0</v>
      </c>
      <c r="AR324" s="52" t="n">
        <v>0</v>
      </c>
      <c r="AS324" s="52" t="n">
        <v>0</v>
      </c>
      <c r="AT324" s="52" t="n">
        <v>0</v>
      </c>
      <c r="AU324" s="53" t="n">
        <v>0</v>
      </c>
      <c r="AV324" s="53" t="n">
        <v>0</v>
      </c>
      <c r="AW324" s="53" t="n">
        <v>0</v>
      </c>
      <c r="AX324" s="53" t="n">
        <v>0</v>
      </c>
      <c r="AY324" s="52" t="n">
        <v>0</v>
      </c>
      <c r="AZ324" s="52" t="n">
        <v>0</v>
      </c>
      <c r="BA324" s="52" t="n">
        <v>0</v>
      </c>
      <c r="BB324" s="52" t="n">
        <v>0</v>
      </c>
      <c r="BC324" s="51" t="n">
        <v>0</v>
      </c>
      <c r="BD324" s="51" t="n">
        <v>0</v>
      </c>
      <c r="BE324" s="51" t="n">
        <v>0</v>
      </c>
      <c r="BF324" s="51" t="n">
        <v>0</v>
      </c>
    </row>
    <row r="325">
      <c r="A325">
        <f>HYPERLINK("https://www.walmart.com/ip/600412098", "600412098")</f>
        <v/>
      </c>
      <c r="B325" t="inlineStr">
        <is>
          <t>Ski Gloves, Winter Warm 3M Insulation Waterproof Snow Gloves for Skiing, Snowboarding, Motorcycling,Cycling, Outdoor Sports, Gifts for Men, Size Run Small</t>
        </is>
      </c>
      <c r="C325" t="inlineStr">
        <is>
          <t>1SLWG300PKXL</t>
        </is>
      </c>
      <c r="D325" t="inlineStr">
        <is>
          <t>Gloves &amp; Mittens</t>
        </is>
      </c>
      <c r="E325" t="inlineStr">
        <is>
          <t>Solaris</t>
        </is>
      </c>
      <c r="F325" t="inlineStr">
        <is>
          <t>Gloves</t>
        </is>
      </c>
      <c r="G325" s="48" t="n">
        <v>0</v>
      </c>
      <c r="H325" s="48" t="n">
        <v>0</v>
      </c>
      <c r="I325" s="48" t="n">
        <v>0</v>
      </c>
      <c r="J325" s="48" t="n">
        <v>0</v>
      </c>
      <c r="K325" s="49" t="n">
        <v>0</v>
      </c>
      <c r="L325" s="49" t="n">
        <v>0</v>
      </c>
      <c r="M325" s="49" t="n">
        <v>0</v>
      </c>
      <c r="N325" s="49" t="n">
        <v>0</v>
      </c>
      <c r="O325" s="49" t="n">
        <v>0</v>
      </c>
      <c r="P325" s="49" t="n">
        <v>0</v>
      </c>
      <c r="Q325" s="49" t="n">
        <v>0</v>
      </c>
      <c r="R325" s="49" t="n">
        <v>0</v>
      </c>
      <c r="S325" s="50" t="n">
        <v>0</v>
      </c>
      <c r="T325" s="50" t="n">
        <v>0</v>
      </c>
      <c r="U325" s="50" t="n">
        <v>0</v>
      </c>
      <c r="V325" s="50" t="n">
        <v>0</v>
      </c>
      <c r="W325" s="51" t="n">
        <v>0</v>
      </c>
      <c r="X325" s="51" t="n">
        <v>0</v>
      </c>
      <c r="Y325" s="51" t="n">
        <v>0</v>
      </c>
      <c r="Z325" s="51" t="n">
        <v>0</v>
      </c>
      <c r="AA325" s="52" t="n">
        <v>0</v>
      </c>
      <c r="AB325" s="52" t="n">
        <v>0</v>
      </c>
      <c r="AC325" s="52" t="n">
        <v>0</v>
      </c>
      <c r="AD325" s="52" t="n">
        <v>0</v>
      </c>
      <c r="AE325" s="52" t="n">
        <v>0</v>
      </c>
      <c r="AF325" s="52" t="n">
        <v>0</v>
      </c>
      <c r="AG325" s="52" t="n">
        <v>0</v>
      </c>
      <c r="AH325" s="52" t="n">
        <v>0</v>
      </c>
      <c r="AI325" s="52" t="n">
        <v>0</v>
      </c>
      <c r="AJ325" s="52" t="n">
        <v>0</v>
      </c>
      <c r="AK325" s="52" t="n">
        <v>0</v>
      </c>
      <c r="AL325" s="52" t="n">
        <v>0</v>
      </c>
      <c r="AM325" s="53" t="n">
        <v>0</v>
      </c>
      <c r="AN325" s="53" t="n">
        <v>0</v>
      </c>
      <c r="AO325" s="53" t="n">
        <v>0</v>
      </c>
      <c r="AP325" s="53" t="n">
        <v>0</v>
      </c>
      <c r="AQ325" s="52" t="n">
        <v>0</v>
      </c>
      <c r="AR325" s="52" t="n">
        <v>0</v>
      </c>
      <c r="AS325" s="52" t="n">
        <v>0</v>
      </c>
      <c r="AT325" s="52" t="n">
        <v>0</v>
      </c>
      <c r="AU325" s="53" t="n">
        <v>0</v>
      </c>
      <c r="AV325" s="53" t="n">
        <v>0</v>
      </c>
      <c r="AW325" s="53" t="n">
        <v>0</v>
      </c>
      <c r="AX325" s="53" t="n">
        <v>0</v>
      </c>
      <c r="AY325" s="52" t="n">
        <v>0</v>
      </c>
      <c r="AZ325" s="52" t="n">
        <v>0</v>
      </c>
      <c r="BA325" s="52" t="n">
        <v>0</v>
      </c>
      <c r="BB325" s="52" t="n">
        <v>0</v>
      </c>
      <c r="BC325" s="51" t="n">
        <v>0</v>
      </c>
      <c r="BD325" s="51" t="n">
        <v>0</v>
      </c>
      <c r="BE325" s="51" t="n">
        <v>0</v>
      </c>
      <c r="BF325" s="51" t="n">
        <v>0</v>
      </c>
    </row>
    <row r="326">
      <c r="A326">
        <f>HYPERLINK("https://www.walmart.com/ip/592822483", "592822483")</f>
        <v/>
      </c>
      <c r="B326" t="inlineStr">
        <is>
          <t>Catalonia Sherpa Throws Blanket, Super Soft Comfy Fluffy Fuzzy Fleece Plush Blanket for Sofa Couch Bed Reversible All Season for Adults Children 50”x60”, Chevron Black</t>
        </is>
      </c>
      <c r="C326" t="inlineStr">
        <is>
          <t>1CTBF320BK</t>
        </is>
      </c>
      <c r="D326" t="inlineStr">
        <is>
          <t>Throws</t>
        </is>
      </c>
      <c r="E326" t="inlineStr">
        <is>
          <t>Catalonia</t>
        </is>
      </c>
      <c r="F326" t="inlineStr">
        <is>
          <t>Q2-Target,Optimized,Coupon_Discount</t>
        </is>
      </c>
      <c r="G326" s="48" t="n">
        <v>0</v>
      </c>
      <c r="H326" s="48" t="n">
        <v>0</v>
      </c>
      <c r="I326" s="48" t="n">
        <v>0</v>
      </c>
      <c r="J326" s="48" t="n">
        <v>0</v>
      </c>
      <c r="K326" s="49" t="n">
        <v>0</v>
      </c>
      <c r="L326" s="49" t="n">
        <v>0</v>
      </c>
      <c r="M326" s="49" t="n">
        <v>0</v>
      </c>
      <c r="N326" s="49" t="n">
        <v>0</v>
      </c>
      <c r="O326" s="49" t="n">
        <v>0</v>
      </c>
      <c r="P326" s="49" t="n">
        <v>0</v>
      </c>
      <c r="Q326" s="49" t="n">
        <v>0</v>
      </c>
      <c r="R326" s="49" t="n">
        <v>0</v>
      </c>
      <c r="S326" s="50" t="n">
        <v>0</v>
      </c>
      <c r="T326" s="50" t="n">
        <v>0</v>
      </c>
      <c r="U326" s="50" t="n">
        <v>0</v>
      </c>
      <c r="V326" s="50" t="n">
        <v>0</v>
      </c>
      <c r="W326" s="51" t="n">
        <v>0</v>
      </c>
      <c r="X326" s="51" t="n">
        <v>0</v>
      </c>
      <c r="Y326" s="51" t="n">
        <v>0</v>
      </c>
      <c r="Z326" s="51" t="n">
        <v>0</v>
      </c>
      <c r="AA326" s="52" t="n">
        <v>0</v>
      </c>
      <c r="AB326" s="52" t="n">
        <v>0</v>
      </c>
      <c r="AC326" s="52" t="n">
        <v>0</v>
      </c>
      <c r="AD326" s="52" t="n">
        <v>0</v>
      </c>
      <c r="AE326" s="52" t="n">
        <v>0</v>
      </c>
      <c r="AF326" s="52" t="n">
        <v>0</v>
      </c>
      <c r="AG326" s="52" t="n">
        <v>0</v>
      </c>
      <c r="AH326" s="52" t="n">
        <v>0</v>
      </c>
      <c r="AI326" s="52" t="n">
        <v>0</v>
      </c>
      <c r="AJ326" s="52" t="n">
        <v>0</v>
      </c>
      <c r="AK326" s="52" t="n">
        <v>0</v>
      </c>
      <c r="AL326" s="52" t="n">
        <v>0</v>
      </c>
      <c r="AM326" s="53" t="n">
        <v>0</v>
      </c>
      <c r="AN326" s="53" t="n">
        <v>0</v>
      </c>
      <c r="AO326" s="53" t="n">
        <v>0</v>
      </c>
      <c r="AP326" s="53" t="n">
        <v>0</v>
      </c>
      <c r="AQ326" s="52" t="n">
        <v>0</v>
      </c>
      <c r="AR326" s="52" t="n">
        <v>0</v>
      </c>
      <c r="AS326" s="52" t="n">
        <v>0</v>
      </c>
      <c r="AT326" s="52" t="n">
        <v>0</v>
      </c>
      <c r="AU326" s="53" t="n">
        <v>0</v>
      </c>
      <c r="AV326" s="53" t="n">
        <v>0</v>
      </c>
      <c r="AW326" s="53" t="n">
        <v>0</v>
      </c>
      <c r="AX326" s="53" t="n">
        <v>0</v>
      </c>
      <c r="AY326" s="52" t="n">
        <v>0</v>
      </c>
      <c r="AZ326" s="52" t="n">
        <v>0</v>
      </c>
      <c r="BA326" s="52" t="n">
        <v>0</v>
      </c>
      <c r="BB326" s="52" t="n">
        <v>0</v>
      </c>
      <c r="BC326" s="51" t="n">
        <v>0</v>
      </c>
      <c r="BD326" s="51" t="n">
        <v>0</v>
      </c>
      <c r="BE326" s="51" t="n">
        <v>0</v>
      </c>
      <c r="BF326" s="51" t="n">
        <v>0</v>
      </c>
    </row>
    <row r="327">
      <c r="A327">
        <f>HYPERLINK("https://www.walmart.com/ip/591670037", "591670037")</f>
        <v/>
      </c>
      <c r="B327" t="inlineStr">
        <is>
          <t>KC Caps® Men Women Baseball Cap Snapback Hip-Hop Golf Bboy Caps Green Camo Black</t>
        </is>
      </c>
      <c r="C327" t="inlineStr">
        <is>
          <t>KC Caps 7040 Green CamoBlack-K</t>
        </is>
      </c>
      <c r="D327" t="inlineStr">
        <is>
          <t>Golf Hats</t>
        </is>
      </c>
      <c r="E327" t="inlineStr">
        <is>
          <t>KC Caps</t>
        </is>
      </c>
      <c r="F327" t="inlineStr">
        <is>
          <t>Optimized,ST Patrick Day</t>
        </is>
      </c>
      <c r="G327" s="48" t="n">
        <v>0</v>
      </c>
      <c r="H327" s="48" t="n">
        <v>0</v>
      </c>
      <c r="I327" s="48" t="n">
        <v>0</v>
      </c>
      <c r="J327" s="48" t="n">
        <v>0</v>
      </c>
      <c r="K327" s="49" t="n">
        <v>0</v>
      </c>
      <c r="L327" s="49" t="n">
        <v>0</v>
      </c>
      <c r="M327" s="49" t="n">
        <v>0</v>
      </c>
      <c r="N327" s="49" t="n">
        <v>0</v>
      </c>
      <c r="O327" s="49" t="n">
        <v>0</v>
      </c>
      <c r="P327" s="49" t="n">
        <v>0</v>
      </c>
      <c r="Q327" s="49" t="n">
        <v>0</v>
      </c>
      <c r="R327" s="49" t="n">
        <v>0</v>
      </c>
      <c r="S327" s="50" t="n">
        <v>0</v>
      </c>
      <c r="T327" s="50" t="n">
        <v>0</v>
      </c>
      <c r="U327" s="50" t="n">
        <v>0</v>
      </c>
      <c r="V327" s="50" t="n">
        <v>0</v>
      </c>
      <c r="W327" s="51" t="n">
        <v>0</v>
      </c>
      <c r="X327" s="51" t="n">
        <v>0</v>
      </c>
      <c r="Y327" s="51" t="n">
        <v>0</v>
      </c>
      <c r="Z327" s="51" t="n">
        <v>0</v>
      </c>
      <c r="AA327" s="52" t="n">
        <v>0</v>
      </c>
      <c r="AB327" s="52" t="n">
        <v>0</v>
      </c>
      <c r="AC327" s="52" t="n">
        <v>0</v>
      </c>
      <c r="AD327" s="52" t="n">
        <v>0</v>
      </c>
      <c r="AE327" s="52" t="n">
        <v>0</v>
      </c>
      <c r="AF327" s="52" t="n">
        <v>0</v>
      </c>
      <c r="AG327" s="52" t="n">
        <v>0</v>
      </c>
      <c r="AH327" s="52" t="n">
        <v>0</v>
      </c>
      <c r="AI327" s="52" t="n">
        <v>0</v>
      </c>
      <c r="AJ327" s="52" t="n">
        <v>0</v>
      </c>
      <c r="AK327" s="52" t="n">
        <v>0</v>
      </c>
      <c r="AL327" s="52" t="n">
        <v>0</v>
      </c>
      <c r="AM327" s="53" t="n">
        <v>0</v>
      </c>
      <c r="AN327" s="53" t="n">
        <v>0</v>
      </c>
      <c r="AO327" s="53" t="n">
        <v>0</v>
      </c>
      <c r="AP327" s="53" t="n">
        <v>0</v>
      </c>
      <c r="AQ327" s="52" t="n">
        <v>0</v>
      </c>
      <c r="AR327" s="52" t="n">
        <v>0</v>
      </c>
      <c r="AS327" s="52" t="n">
        <v>0</v>
      </c>
      <c r="AT327" s="52" t="n">
        <v>0</v>
      </c>
      <c r="AU327" s="53" t="n">
        <v>0</v>
      </c>
      <c r="AV327" s="53" t="n">
        <v>0</v>
      </c>
      <c r="AW327" s="53" t="n">
        <v>0</v>
      </c>
      <c r="AX327" s="53" t="n">
        <v>0</v>
      </c>
      <c r="AY327" s="52" t="n">
        <v>0</v>
      </c>
      <c r="AZ327" s="52" t="n">
        <v>0</v>
      </c>
      <c r="BA327" s="52" t="n">
        <v>0</v>
      </c>
      <c r="BB327" s="52" t="n">
        <v>0</v>
      </c>
      <c r="BC327" s="51" t="n">
        <v>0</v>
      </c>
      <c r="BD327" s="51" t="n">
        <v>0</v>
      </c>
      <c r="BE327" s="51" t="n">
        <v>0</v>
      </c>
      <c r="BF327" s="51" t="n">
        <v>0</v>
      </c>
    </row>
    <row r="328">
      <c r="A328">
        <f>HYPERLINK("https://www.walmart.com/ip/591035469", "591035469")</f>
        <v/>
      </c>
      <c r="B328" t="inlineStr">
        <is>
          <t>Catalonia Fleece Wearable Blanket Poncho for Adult Women and Men, Wrap Blanket Cape with Pocket, Warm, Soft, Cozy, Snuggly, Comfort Gift, No Sleeves,  All-Season, Grey</t>
        </is>
      </c>
      <c r="C328" t="inlineStr">
        <is>
          <t>1CTBP100GY</t>
        </is>
      </c>
      <c r="D328" t="inlineStr">
        <is>
          <t>Throws</t>
        </is>
      </c>
      <c r="E328" t="inlineStr">
        <is>
          <t>Catalonia</t>
        </is>
      </c>
      <c r="F328" t="inlineStr">
        <is>
          <t>Hero 5 Holidays,WFS,WFS Item</t>
        </is>
      </c>
      <c r="G328" s="48" t="n">
        <v>0</v>
      </c>
      <c r="H328" s="48" t="n">
        <v>23.99</v>
      </c>
      <c r="I328" s="48" t="n">
        <v>0</v>
      </c>
      <c r="J328" s="48" t="n">
        <v>0</v>
      </c>
      <c r="K328" s="49" t="n">
        <v>0</v>
      </c>
      <c r="L328" s="49" t="n">
        <v>1</v>
      </c>
      <c r="M328" s="49" t="n">
        <v>0</v>
      </c>
      <c r="N328" s="49" t="n">
        <v>0</v>
      </c>
      <c r="O328" s="49" t="n">
        <v>0</v>
      </c>
      <c r="P328" s="49" t="n">
        <v>0</v>
      </c>
      <c r="Q328" s="49" t="n">
        <v>0</v>
      </c>
      <c r="R328" s="49" t="n">
        <v>0</v>
      </c>
      <c r="S328" s="50" t="n">
        <v>0</v>
      </c>
      <c r="T328" s="50" t="n">
        <v>0</v>
      </c>
      <c r="U328" s="50" t="n">
        <v>0</v>
      </c>
      <c r="V328" s="50" t="n">
        <v>0</v>
      </c>
      <c r="W328" s="51" t="n">
        <v>0</v>
      </c>
      <c r="X328" s="51" t="n">
        <v>0</v>
      </c>
      <c r="Y328" s="51" t="n">
        <v>0</v>
      </c>
      <c r="Z328" s="51" t="n">
        <v>0</v>
      </c>
      <c r="AA328" s="52" t="n">
        <v>0</v>
      </c>
      <c r="AB328" s="52" t="n">
        <v>0</v>
      </c>
      <c r="AC328" s="52" t="n">
        <v>0</v>
      </c>
      <c r="AD328" s="52" t="n">
        <v>0</v>
      </c>
      <c r="AE328" s="52" t="n">
        <v>0</v>
      </c>
      <c r="AF328" s="52" t="n">
        <v>0</v>
      </c>
      <c r="AG328" s="52" t="n">
        <v>0</v>
      </c>
      <c r="AH328" s="52" t="n">
        <v>0</v>
      </c>
      <c r="AI328" s="52" t="n">
        <v>0</v>
      </c>
      <c r="AJ328" s="52" t="n">
        <v>0</v>
      </c>
      <c r="AK328" s="52" t="n">
        <v>0</v>
      </c>
      <c r="AL328" s="52" t="n">
        <v>0</v>
      </c>
      <c r="AM328" s="53" t="n">
        <v>0</v>
      </c>
      <c r="AN328" s="53" t="n">
        <v>0</v>
      </c>
      <c r="AO328" s="53" t="n">
        <v>0</v>
      </c>
      <c r="AP328" s="53" t="n">
        <v>0</v>
      </c>
      <c r="AQ328" s="52" t="n">
        <v>0</v>
      </c>
      <c r="AR328" s="52" t="n">
        <v>0</v>
      </c>
      <c r="AS328" s="52" t="n">
        <v>0</v>
      </c>
      <c r="AT328" s="52" t="n">
        <v>0</v>
      </c>
      <c r="AU328" s="53" t="n">
        <v>0</v>
      </c>
      <c r="AV328" s="53" t="n">
        <v>0</v>
      </c>
      <c r="AW328" s="53" t="n">
        <v>0</v>
      </c>
      <c r="AX328" s="53" t="n">
        <v>0</v>
      </c>
      <c r="AY328" s="52" t="n">
        <v>0</v>
      </c>
      <c r="AZ328" s="52" t="n">
        <v>23.99</v>
      </c>
      <c r="BA328" s="52" t="n">
        <v>0</v>
      </c>
      <c r="BB328" s="52" t="n">
        <v>0</v>
      </c>
      <c r="BC328" s="51" t="n">
        <v>0</v>
      </c>
      <c r="BD328" s="51" t="n">
        <v>0</v>
      </c>
      <c r="BE328" s="51" t="n">
        <v>0</v>
      </c>
      <c r="BF328" s="51" t="n">
        <v>0</v>
      </c>
    </row>
    <row r="329">
      <c r="A329">
        <f>HYPERLINK("https://www.walmart.com/ip/587208547", "587208547")</f>
        <v/>
      </c>
      <c r="B329" t="inlineStr">
        <is>
          <t>Flyingstar Casual Cropped Oversized Hoodie for Women, Black Crop Top Sweatshirt, 3/4 Sleeve, One Size</t>
        </is>
      </c>
      <c r="C329" t="inlineStr">
        <is>
          <t>1WMHD520S1BK</t>
        </is>
      </c>
      <c r="D329" t="inlineStr">
        <is>
          <t>Sweatshirts &amp; Hoodies</t>
        </is>
      </c>
      <c r="E329" t="inlineStr">
        <is>
          <t>Flyingstar</t>
        </is>
      </c>
      <c r="F329" t="inlineStr">
        <is>
          <t>Hoodie ForAdult,Optimized</t>
        </is>
      </c>
      <c r="G329" s="48" t="n">
        <v>0</v>
      </c>
      <c r="H329" s="48" t="n">
        <v>0</v>
      </c>
      <c r="I329" s="48" t="n">
        <v>0</v>
      </c>
      <c r="J329" s="48" t="n">
        <v>0</v>
      </c>
      <c r="K329" s="49" t="n">
        <v>0</v>
      </c>
      <c r="L329" s="49" t="n">
        <v>0</v>
      </c>
      <c r="M329" s="49" t="n">
        <v>0</v>
      </c>
      <c r="N329" s="49" t="n">
        <v>0</v>
      </c>
      <c r="O329" s="49" t="n">
        <v>0</v>
      </c>
      <c r="P329" s="49" t="n">
        <v>0</v>
      </c>
      <c r="Q329" s="49" t="n">
        <v>0</v>
      </c>
      <c r="R329" s="49" t="n">
        <v>0</v>
      </c>
      <c r="S329" s="50" t="n">
        <v>0</v>
      </c>
      <c r="T329" s="50" t="n">
        <v>0</v>
      </c>
      <c r="U329" s="50" t="n">
        <v>0</v>
      </c>
      <c r="V329" s="50" t="n">
        <v>0</v>
      </c>
      <c r="W329" s="51" t="n">
        <v>0</v>
      </c>
      <c r="X329" s="51" t="n">
        <v>0</v>
      </c>
      <c r="Y329" s="51" t="n">
        <v>0</v>
      </c>
      <c r="Z329" s="51" t="n">
        <v>0</v>
      </c>
      <c r="AA329" s="52" t="n">
        <v>0</v>
      </c>
      <c r="AB329" s="52" t="n">
        <v>0</v>
      </c>
      <c r="AC329" s="52" t="n">
        <v>0</v>
      </c>
      <c r="AD329" s="52" t="n">
        <v>0</v>
      </c>
      <c r="AE329" s="52" t="n">
        <v>0</v>
      </c>
      <c r="AF329" s="52" t="n">
        <v>0</v>
      </c>
      <c r="AG329" s="52" t="n">
        <v>0</v>
      </c>
      <c r="AH329" s="52" t="n">
        <v>0</v>
      </c>
      <c r="AI329" s="52" t="n">
        <v>0</v>
      </c>
      <c r="AJ329" s="52" t="n">
        <v>0</v>
      </c>
      <c r="AK329" s="52" t="n">
        <v>0</v>
      </c>
      <c r="AL329" s="52" t="n">
        <v>0</v>
      </c>
      <c r="AM329" s="53" t="n">
        <v>0</v>
      </c>
      <c r="AN329" s="53" t="n">
        <v>0</v>
      </c>
      <c r="AO329" s="53" t="n">
        <v>0</v>
      </c>
      <c r="AP329" s="53" t="n">
        <v>0</v>
      </c>
      <c r="AQ329" s="52" t="n">
        <v>0</v>
      </c>
      <c r="AR329" s="52" t="n">
        <v>0</v>
      </c>
      <c r="AS329" s="52" t="n">
        <v>0</v>
      </c>
      <c r="AT329" s="52" t="n">
        <v>0</v>
      </c>
      <c r="AU329" s="53" t="n">
        <v>0</v>
      </c>
      <c r="AV329" s="53" t="n">
        <v>0</v>
      </c>
      <c r="AW329" s="53" t="n">
        <v>0</v>
      </c>
      <c r="AX329" s="53" t="n">
        <v>0</v>
      </c>
      <c r="AY329" s="52" t="n">
        <v>0</v>
      </c>
      <c r="AZ329" s="52" t="n">
        <v>0</v>
      </c>
      <c r="BA329" s="52" t="n">
        <v>0</v>
      </c>
      <c r="BB329" s="52" t="n">
        <v>0</v>
      </c>
      <c r="BC329" s="51" t="n">
        <v>0</v>
      </c>
      <c r="BD329" s="51" t="n">
        <v>0</v>
      </c>
      <c r="BE329" s="51" t="n">
        <v>0</v>
      </c>
      <c r="BF329" s="51" t="n">
        <v>0</v>
      </c>
    </row>
    <row r="330">
      <c r="A330">
        <f>HYPERLINK("https://www.walmart.com/ip/590537663", "590537663")</f>
        <v/>
      </c>
      <c r="B330" t="inlineStr">
        <is>
          <t>Catalonia Wearable TV Blanket with Sleeves Arms &amp; Feet pockets for Adult Micro Plush Fleece Large Wrap Throw Robe 75 x 5</t>
        </is>
      </c>
      <c r="C330" t="inlineStr">
        <is>
          <t>1CTSN310P2RD</t>
        </is>
      </c>
      <c r="D330" t="inlineStr">
        <is>
          <t>Throws</t>
        </is>
      </c>
      <c r="E330" t="inlineStr">
        <is>
          <t>Catalonia</t>
        </is>
      </c>
      <c r="F330" t="inlineStr">
        <is>
          <t>Optimized,WFS,WFS Item</t>
        </is>
      </c>
      <c r="G330" s="48" t="n">
        <v>0</v>
      </c>
      <c r="H330" s="48" t="n">
        <v>0</v>
      </c>
      <c r="I330" s="48" t="n">
        <v>0</v>
      </c>
      <c r="J330" s="48" t="n">
        <v>0</v>
      </c>
      <c r="K330" s="49" t="n">
        <v>0</v>
      </c>
      <c r="L330" s="49" t="n">
        <v>0</v>
      </c>
      <c r="M330" s="49" t="n">
        <v>0</v>
      </c>
      <c r="N330" s="49" t="n">
        <v>0</v>
      </c>
      <c r="O330" s="49" t="n">
        <v>0</v>
      </c>
      <c r="P330" s="49" t="n">
        <v>0</v>
      </c>
      <c r="Q330" s="49" t="n">
        <v>0</v>
      </c>
      <c r="R330" s="49" t="n">
        <v>0</v>
      </c>
      <c r="S330" s="50" t="n">
        <v>0</v>
      </c>
      <c r="T330" s="50" t="n">
        <v>0</v>
      </c>
      <c r="U330" s="50" t="n">
        <v>0</v>
      </c>
      <c r="V330" s="50" t="n">
        <v>0</v>
      </c>
      <c r="W330" s="51" t="n">
        <v>0</v>
      </c>
      <c r="X330" s="51" t="n">
        <v>0</v>
      </c>
      <c r="Y330" s="51" t="n">
        <v>0</v>
      </c>
      <c r="Z330" s="51" t="n">
        <v>0</v>
      </c>
      <c r="AA330" s="52" t="n">
        <v>0</v>
      </c>
      <c r="AB330" s="52" t="n">
        <v>0</v>
      </c>
      <c r="AC330" s="52" t="n">
        <v>0</v>
      </c>
      <c r="AD330" s="52" t="n">
        <v>0</v>
      </c>
      <c r="AE330" s="52" t="n">
        <v>0</v>
      </c>
      <c r="AF330" s="52" t="n">
        <v>0</v>
      </c>
      <c r="AG330" s="52" t="n">
        <v>0</v>
      </c>
      <c r="AH330" s="52" t="n">
        <v>0</v>
      </c>
      <c r="AI330" s="52" t="n">
        <v>0</v>
      </c>
      <c r="AJ330" s="52" t="n">
        <v>0</v>
      </c>
      <c r="AK330" s="52" t="n">
        <v>0</v>
      </c>
      <c r="AL330" s="52" t="n">
        <v>0</v>
      </c>
      <c r="AM330" s="53" t="n">
        <v>0</v>
      </c>
      <c r="AN330" s="53" t="n">
        <v>0</v>
      </c>
      <c r="AO330" s="53" t="n">
        <v>0</v>
      </c>
      <c r="AP330" s="53" t="n">
        <v>0</v>
      </c>
      <c r="AQ330" s="52" t="n">
        <v>0</v>
      </c>
      <c r="AR330" s="52" t="n">
        <v>0</v>
      </c>
      <c r="AS330" s="52" t="n">
        <v>0</v>
      </c>
      <c r="AT330" s="52" t="n">
        <v>0</v>
      </c>
      <c r="AU330" s="53" t="n">
        <v>0</v>
      </c>
      <c r="AV330" s="53" t="n">
        <v>0</v>
      </c>
      <c r="AW330" s="53" t="n">
        <v>0</v>
      </c>
      <c r="AX330" s="53" t="n">
        <v>0</v>
      </c>
      <c r="AY330" s="52" t="n">
        <v>0</v>
      </c>
      <c r="AZ330" s="52" t="n">
        <v>0</v>
      </c>
      <c r="BA330" s="52" t="n">
        <v>0</v>
      </c>
      <c r="BB330" s="52" t="n">
        <v>0</v>
      </c>
      <c r="BC330" s="51" t="n">
        <v>0</v>
      </c>
      <c r="BD330" s="51" t="n">
        <v>0</v>
      </c>
      <c r="BE330" s="51" t="n">
        <v>0</v>
      </c>
      <c r="BF330" s="51" t="n">
        <v>0</v>
      </c>
    </row>
    <row r="331">
      <c r="A331">
        <f>HYPERLINK("https://www.walmart.com/ip/600885402", "600885402")</f>
        <v/>
      </c>
      <c r="B331" t="inlineStr">
        <is>
          <t>Tirrinia Super Comfy Soft Cozy Patriotic US Flag Knitted Throw Blanket, 50" x 60"</t>
        </is>
      </c>
      <c r="C331" t="inlineStr">
        <is>
          <t>1TRBN506-USA-TBCB</t>
        </is>
      </c>
      <c r="D331" t="inlineStr">
        <is>
          <t>Throws</t>
        </is>
      </c>
      <c r="E331" t="inlineStr">
        <is>
          <t>Tirrinia</t>
        </is>
      </c>
      <c r="F331" t="inlineStr">
        <is>
          <t>Optimized</t>
        </is>
      </c>
      <c r="G331" s="48" t="n">
        <v>0</v>
      </c>
      <c r="H331" s="48" t="n">
        <v>0</v>
      </c>
      <c r="I331" s="48" t="n">
        <v>0</v>
      </c>
      <c r="J331" s="48" t="n">
        <v>0</v>
      </c>
      <c r="K331" s="49" t="n">
        <v>0</v>
      </c>
      <c r="L331" s="49" t="n">
        <v>0</v>
      </c>
      <c r="M331" s="49" t="n">
        <v>0</v>
      </c>
      <c r="N331" s="49" t="n">
        <v>0</v>
      </c>
      <c r="O331" s="49" t="n">
        <v>0</v>
      </c>
      <c r="P331" s="49" t="n">
        <v>0</v>
      </c>
      <c r="Q331" s="49" t="n">
        <v>0</v>
      </c>
      <c r="R331" s="49" t="n">
        <v>0</v>
      </c>
      <c r="S331" s="50" t="n">
        <v>0</v>
      </c>
      <c r="T331" s="50" t="n">
        <v>0</v>
      </c>
      <c r="U331" s="50" t="n">
        <v>0</v>
      </c>
      <c r="V331" s="50" t="n">
        <v>0</v>
      </c>
      <c r="W331" s="51" t="n">
        <v>0</v>
      </c>
      <c r="X331" s="51" t="n">
        <v>0</v>
      </c>
      <c r="Y331" s="51" t="n">
        <v>0</v>
      </c>
      <c r="Z331" s="51" t="n">
        <v>0</v>
      </c>
      <c r="AA331" s="52" t="n">
        <v>0</v>
      </c>
      <c r="AB331" s="52" t="n">
        <v>0</v>
      </c>
      <c r="AC331" s="52" t="n">
        <v>0</v>
      </c>
      <c r="AD331" s="52" t="n">
        <v>0</v>
      </c>
      <c r="AE331" s="52" t="n">
        <v>0</v>
      </c>
      <c r="AF331" s="52" t="n">
        <v>0</v>
      </c>
      <c r="AG331" s="52" t="n">
        <v>0</v>
      </c>
      <c r="AH331" s="52" t="n">
        <v>0</v>
      </c>
      <c r="AI331" s="52" t="n">
        <v>0</v>
      </c>
      <c r="AJ331" s="52" t="n">
        <v>0</v>
      </c>
      <c r="AK331" s="52" t="n">
        <v>0</v>
      </c>
      <c r="AL331" s="52" t="n">
        <v>0</v>
      </c>
      <c r="AM331" s="53" t="n">
        <v>0</v>
      </c>
      <c r="AN331" s="53" t="n">
        <v>0</v>
      </c>
      <c r="AO331" s="53" t="n">
        <v>0</v>
      </c>
      <c r="AP331" s="53" t="n">
        <v>0</v>
      </c>
      <c r="AQ331" s="52" t="n">
        <v>0</v>
      </c>
      <c r="AR331" s="52" t="n">
        <v>0</v>
      </c>
      <c r="AS331" s="52" t="n">
        <v>0</v>
      </c>
      <c r="AT331" s="52" t="n">
        <v>0</v>
      </c>
      <c r="AU331" s="53" t="n">
        <v>0</v>
      </c>
      <c r="AV331" s="53" t="n">
        <v>0</v>
      </c>
      <c r="AW331" s="53" t="n">
        <v>0</v>
      </c>
      <c r="AX331" s="53" t="n">
        <v>0</v>
      </c>
      <c r="AY331" s="52" t="n">
        <v>0</v>
      </c>
      <c r="AZ331" s="52" t="n">
        <v>0</v>
      </c>
      <c r="BA331" s="52" t="n">
        <v>0</v>
      </c>
      <c r="BB331" s="52" t="n">
        <v>0</v>
      </c>
      <c r="BC331" s="51" t="n">
        <v>0</v>
      </c>
      <c r="BD331" s="51" t="n">
        <v>0</v>
      </c>
      <c r="BE331" s="51" t="n">
        <v>0</v>
      </c>
      <c r="BF331" s="51" t="n">
        <v>0</v>
      </c>
    </row>
    <row r="332">
      <c r="A332">
        <f>HYPERLINK("https://www.walmart.com/ip/601376420", "601376420")</f>
        <v/>
      </c>
      <c r="B332" t="inlineStr">
        <is>
          <t>Catalonia Wearable Blanket with Sleeves and Pocket, Cozy Soft Fleece Micro Plush Wrap Adult Blanket Robe for Women Men, Makes a Great Gift for Holidays, Purple, 73" x 51”</t>
        </is>
      </c>
      <c r="C332" t="inlineStr">
        <is>
          <t>1CTSN100PP</t>
        </is>
      </c>
      <c r="D332" t="inlineStr">
        <is>
          <t>Throws</t>
        </is>
      </c>
      <c r="E332" t="inlineStr">
        <is>
          <t>Catalonia</t>
        </is>
      </c>
      <c r="F332" t="inlineStr">
        <is>
          <t>Q2-Target,WFS,Coupon_Discount,WFS Item</t>
        </is>
      </c>
      <c r="G332" s="48" t="n">
        <v>0</v>
      </c>
      <c r="H332" s="48" t="n">
        <v>0</v>
      </c>
      <c r="I332" s="48" t="n">
        <v>21.99</v>
      </c>
      <c r="J332" s="48" t="n">
        <v>0</v>
      </c>
      <c r="K332" s="49" t="n">
        <v>0</v>
      </c>
      <c r="L332" s="49" t="n">
        <v>0</v>
      </c>
      <c r="M332" s="49" t="n">
        <v>1</v>
      </c>
      <c r="N332" s="49" t="n">
        <v>0</v>
      </c>
      <c r="O332" s="49" t="n">
        <v>0</v>
      </c>
      <c r="P332" s="49" t="n">
        <v>0</v>
      </c>
      <c r="Q332" s="49" t="n">
        <v>0</v>
      </c>
      <c r="R332" s="49" t="n">
        <v>0</v>
      </c>
      <c r="S332" s="50" t="n">
        <v>0</v>
      </c>
      <c r="T332" s="50" t="n">
        <v>0</v>
      </c>
      <c r="U332" s="50" t="n">
        <v>0</v>
      </c>
      <c r="V332" s="50" t="n">
        <v>0</v>
      </c>
      <c r="W332" s="51" t="n">
        <v>0</v>
      </c>
      <c r="X332" s="51" t="n">
        <v>0</v>
      </c>
      <c r="Y332" s="51" t="n">
        <v>0</v>
      </c>
      <c r="Z332" s="51" t="n">
        <v>0</v>
      </c>
      <c r="AA332" s="52" t="n">
        <v>0</v>
      </c>
      <c r="AB332" s="52" t="n">
        <v>0</v>
      </c>
      <c r="AC332" s="52" t="n">
        <v>0</v>
      </c>
      <c r="AD332" s="52" t="n">
        <v>0</v>
      </c>
      <c r="AE332" s="52" t="n">
        <v>0</v>
      </c>
      <c r="AF332" s="52" t="n">
        <v>0</v>
      </c>
      <c r="AG332" s="52" t="n">
        <v>0</v>
      </c>
      <c r="AH332" s="52" t="n">
        <v>0</v>
      </c>
      <c r="AI332" s="52" t="n">
        <v>0</v>
      </c>
      <c r="AJ332" s="52" t="n">
        <v>0</v>
      </c>
      <c r="AK332" s="52" t="n">
        <v>0</v>
      </c>
      <c r="AL332" s="52" t="n">
        <v>0</v>
      </c>
      <c r="AM332" s="53" t="n">
        <v>0</v>
      </c>
      <c r="AN332" s="53" t="n">
        <v>0</v>
      </c>
      <c r="AO332" s="53" t="n">
        <v>0</v>
      </c>
      <c r="AP332" s="53" t="n">
        <v>0</v>
      </c>
      <c r="AQ332" s="52" t="n">
        <v>0</v>
      </c>
      <c r="AR332" s="52" t="n">
        <v>0</v>
      </c>
      <c r="AS332" s="52" t="n">
        <v>0</v>
      </c>
      <c r="AT332" s="52" t="n">
        <v>0</v>
      </c>
      <c r="AU332" s="53" t="n">
        <v>0</v>
      </c>
      <c r="AV332" s="53" t="n">
        <v>0</v>
      </c>
      <c r="AW332" s="53" t="n">
        <v>0</v>
      </c>
      <c r="AX332" s="53" t="n">
        <v>0</v>
      </c>
      <c r="AY332" s="52" t="n">
        <v>0</v>
      </c>
      <c r="AZ332" s="52" t="n">
        <v>0</v>
      </c>
      <c r="BA332" s="52" t="n">
        <v>21.99</v>
      </c>
      <c r="BB332" s="52" t="n">
        <v>0</v>
      </c>
      <c r="BC332" s="51" t="n">
        <v>0</v>
      </c>
      <c r="BD332" s="51" t="n">
        <v>0</v>
      </c>
      <c r="BE332" s="51" t="n">
        <v>0</v>
      </c>
      <c r="BF332" s="51" t="n">
        <v>0</v>
      </c>
    </row>
    <row r="333">
      <c r="A333">
        <f>HYPERLINK("https://www.walmart.com/ip/601951158", "601951158")</f>
        <v/>
      </c>
      <c r="B333" t="inlineStr">
        <is>
          <t>Catalonia Fleece Wearable Blanket Poncho for Adult Women Men, Wrap Blanket Cape with Pocket | Warm, Soft, Cozy, Snuggly, Comfort Gift, Wrap Blanket Cape with Hood, Gift Idea, Cheetah</t>
        </is>
      </c>
      <c r="C333" t="inlineStr">
        <is>
          <t>1CTBP120CHEETAH</t>
        </is>
      </c>
      <c r="D333" t="inlineStr">
        <is>
          <t>Throws</t>
        </is>
      </c>
      <c r="E333" t="inlineStr">
        <is>
          <t>Catalonia</t>
        </is>
      </c>
      <c r="F333" t="inlineStr">
        <is>
          <t>Q2-Target,Hero 5 Holidays,WFS,cost-added,WFS Item</t>
        </is>
      </c>
      <c r="G333" s="48" t="n">
        <v>0</v>
      </c>
      <c r="H333" s="48" t="n">
        <v>0</v>
      </c>
      <c r="I333" s="48" t="n">
        <v>0</v>
      </c>
      <c r="J333" s="48" t="n">
        <v>0</v>
      </c>
      <c r="K333" s="49" t="n">
        <v>0</v>
      </c>
      <c r="L333" s="49" t="n">
        <v>0</v>
      </c>
      <c r="M333" s="49" t="n">
        <v>0</v>
      </c>
      <c r="N333" s="49" t="n">
        <v>0</v>
      </c>
      <c r="O333" s="49" t="n">
        <v>0</v>
      </c>
      <c r="P333" s="49" t="n">
        <v>0</v>
      </c>
      <c r="Q333" s="49" t="n">
        <v>0</v>
      </c>
      <c r="R333" s="49" t="n">
        <v>0</v>
      </c>
      <c r="S333" s="50" t="n">
        <v>0</v>
      </c>
      <c r="T333" s="50" t="n">
        <v>0</v>
      </c>
      <c r="U333" s="50" t="n">
        <v>0</v>
      </c>
      <c r="V333" s="50" t="n">
        <v>0</v>
      </c>
      <c r="W333" s="51" t="n">
        <v>0</v>
      </c>
      <c r="X333" s="51" t="n">
        <v>0</v>
      </c>
      <c r="Y333" s="51" t="n">
        <v>0</v>
      </c>
      <c r="Z333" s="51" t="n">
        <v>0</v>
      </c>
      <c r="AA333" s="52" t="n">
        <v>0</v>
      </c>
      <c r="AB333" s="52" t="n">
        <v>0</v>
      </c>
      <c r="AC333" s="52" t="n">
        <v>0</v>
      </c>
      <c r="AD333" s="52" t="n">
        <v>0</v>
      </c>
      <c r="AE333" s="52" t="n">
        <v>0</v>
      </c>
      <c r="AF333" s="52" t="n">
        <v>0</v>
      </c>
      <c r="AG333" s="52" t="n">
        <v>0</v>
      </c>
      <c r="AH333" s="52" t="n">
        <v>0</v>
      </c>
      <c r="AI333" s="52" t="n">
        <v>0</v>
      </c>
      <c r="AJ333" s="52" t="n">
        <v>0</v>
      </c>
      <c r="AK333" s="52" t="n">
        <v>0</v>
      </c>
      <c r="AL333" s="52" t="n">
        <v>0</v>
      </c>
      <c r="AM333" s="53" t="n">
        <v>0</v>
      </c>
      <c r="AN333" s="53" t="n">
        <v>0</v>
      </c>
      <c r="AO333" s="53" t="n">
        <v>0</v>
      </c>
      <c r="AP333" s="53" t="n">
        <v>0</v>
      </c>
      <c r="AQ333" s="52" t="n">
        <v>0</v>
      </c>
      <c r="AR333" s="52" t="n">
        <v>0</v>
      </c>
      <c r="AS333" s="52" t="n">
        <v>0</v>
      </c>
      <c r="AT333" s="52" t="n">
        <v>0</v>
      </c>
      <c r="AU333" s="53" t="n">
        <v>0</v>
      </c>
      <c r="AV333" s="53" t="n">
        <v>0</v>
      </c>
      <c r="AW333" s="53" t="n">
        <v>0</v>
      </c>
      <c r="AX333" s="53" t="n">
        <v>0</v>
      </c>
      <c r="AY333" s="52" t="n">
        <v>0</v>
      </c>
      <c r="AZ333" s="52" t="n">
        <v>0</v>
      </c>
      <c r="BA333" s="52" t="n">
        <v>0</v>
      </c>
      <c r="BB333" s="52" t="n">
        <v>0</v>
      </c>
      <c r="BC333" s="51" t="n">
        <v>0</v>
      </c>
      <c r="BD333" s="51" t="n">
        <v>0</v>
      </c>
      <c r="BE333" s="51" t="n">
        <v>0</v>
      </c>
      <c r="BF333" s="51" t="n">
        <v>0</v>
      </c>
    </row>
    <row r="334">
      <c r="A334">
        <f>HYPERLINK("https://www.walmart.com/ip/590343293", "590343293")</f>
        <v/>
      </c>
      <c r="B334" t="inlineStr">
        <is>
          <t>JenniWears 2 Women Beileise Sexy Top Thigh High Stockings+ Garter Belt Suspender</t>
        </is>
      </c>
      <c r="C334" t="inlineStr">
        <is>
          <t>JWBLSPH2011-2 Packs</t>
        </is>
      </c>
      <c r="D334" t="inlineStr">
        <is>
          <t>Pantyhose &amp; Tights</t>
        </is>
      </c>
      <c r="E334" t="inlineStr">
        <is>
          <t>JenniWears</t>
        </is>
      </c>
      <c r="F334" t="inlineStr">
        <is>
          <t>Valentine</t>
        </is>
      </c>
      <c r="G334" s="48" t="n">
        <v>0</v>
      </c>
      <c r="H334" s="48" t="n">
        <v>0</v>
      </c>
      <c r="I334" s="48" t="n">
        <v>0</v>
      </c>
      <c r="J334" s="48" t="n">
        <v>0</v>
      </c>
      <c r="K334" s="49" t="n">
        <v>0</v>
      </c>
      <c r="L334" s="49" t="n">
        <v>0</v>
      </c>
      <c r="M334" s="49" t="n">
        <v>0</v>
      </c>
      <c r="N334" s="49" t="n">
        <v>0</v>
      </c>
      <c r="O334" s="49" t="n">
        <v>0</v>
      </c>
      <c r="P334" s="49" t="n">
        <v>0</v>
      </c>
      <c r="Q334" s="49" t="n">
        <v>0</v>
      </c>
      <c r="R334" s="49" t="n">
        <v>0</v>
      </c>
      <c r="S334" s="50" t="n">
        <v>0</v>
      </c>
      <c r="T334" s="50" t="n">
        <v>0</v>
      </c>
      <c r="U334" s="50" t="n">
        <v>0</v>
      </c>
      <c r="V334" s="50" t="n">
        <v>0</v>
      </c>
      <c r="W334" s="51" t="n">
        <v>0</v>
      </c>
      <c r="X334" s="51" t="n">
        <v>0</v>
      </c>
      <c r="Y334" s="51" t="n">
        <v>0</v>
      </c>
      <c r="Z334" s="51" t="n">
        <v>0</v>
      </c>
      <c r="AA334" s="52" t="n">
        <v>0</v>
      </c>
      <c r="AB334" s="52" t="n">
        <v>0</v>
      </c>
      <c r="AC334" s="52" t="n">
        <v>0</v>
      </c>
      <c r="AD334" s="52" t="n">
        <v>0</v>
      </c>
      <c r="AE334" s="52" t="n">
        <v>0</v>
      </c>
      <c r="AF334" s="52" t="n">
        <v>0</v>
      </c>
      <c r="AG334" s="52" t="n">
        <v>0</v>
      </c>
      <c r="AH334" s="52" t="n">
        <v>0</v>
      </c>
      <c r="AI334" s="52" t="n">
        <v>0</v>
      </c>
      <c r="AJ334" s="52" t="n">
        <v>0</v>
      </c>
      <c r="AK334" s="52" t="n">
        <v>0</v>
      </c>
      <c r="AL334" s="52" t="n">
        <v>0</v>
      </c>
      <c r="AM334" s="53" t="n">
        <v>0</v>
      </c>
      <c r="AN334" s="53" t="n">
        <v>0</v>
      </c>
      <c r="AO334" s="53" t="n">
        <v>0</v>
      </c>
      <c r="AP334" s="53" t="n">
        <v>0</v>
      </c>
      <c r="AQ334" s="52" t="n">
        <v>0</v>
      </c>
      <c r="AR334" s="52" t="n">
        <v>0</v>
      </c>
      <c r="AS334" s="52" t="n">
        <v>0</v>
      </c>
      <c r="AT334" s="52" t="n">
        <v>0</v>
      </c>
      <c r="AU334" s="53" t="n">
        <v>0</v>
      </c>
      <c r="AV334" s="53" t="n">
        <v>0</v>
      </c>
      <c r="AW334" s="53" t="n">
        <v>0</v>
      </c>
      <c r="AX334" s="53" t="n">
        <v>0</v>
      </c>
      <c r="AY334" s="52" t="n">
        <v>0</v>
      </c>
      <c r="AZ334" s="52" t="n">
        <v>0</v>
      </c>
      <c r="BA334" s="52" t="n">
        <v>0</v>
      </c>
      <c r="BB334" s="52" t="n">
        <v>0</v>
      </c>
      <c r="BC334" s="51" t="n">
        <v>0</v>
      </c>
      <c r="BD334" s="51" t="n">
        <v>0</v>
      </c>
      <c r="BE334" s="51" t="n">
        <v>0</v>
      </c>
      <c r="BF334" s="51" t="n">
        <v>0</v>
      </c>
    </row>
    <row r="335">
      <c r="A335">
        <f>HYPERLINK("https://www.walmart.com/ip/602025223", "602025223")</f>
        <v/>
      </c>
      <c r="B335" t="inlineStr">
        <is>
          <t>Catalonia Sherpa Reversible Print Patriotic American Flag Blanket 60"x50" Plush Super Soft Warm Polar Fleece Throws for Couch, Sofa, Bed</t>
        </is>
      </c>
      <c r="C335" t="inlineStr">
        <is>
          <t>1CTBF300USA</t>
        </is>
      </c>
      <c r="D335" t="inlineStr">
        <is>
          <t>Throws</t>
        </is>
      </c>
      <c r="E335" t="inlineStr">
        <is>
          <t>Catalonia</t>
        </is>
      </c>
      <c r="F335" t="inlineStr">
        <is>
          <t>Optimized,WFS,WFS Item</t>
        </is>
      </c>
      <c r="G335" s="48" t="n">
        <v>0</v>
      </c>
      <c r="H335" s="48" t="n">
        <v>0</v>
      </c>
      <c r="I335" s="48" t="n">
        <v>0</v>
      </c>
      <c r="J335" s="48" t="n">
        <v>0</v>
      </c>
      <c r="K335" s="49" t="n">
        <v>0</v>
      </c>
      <c r="L335" s="49" t="n">
        <v>0</v>
      </c>
      <c r="M335" s="49" t="n">
        <v>0</v>
      </c>
      <c r="N335" s="49" t="n">
        <v>0</v>
      </c>
      <c r="O335" s="49" t="n">
        <v>0</v>
      </c>
      <c r="P335" s="49" t="n">
        <v>0</v>
      </c>
      <c r="Q335" s="49" t="n">
        <v>0</v>
      </c>
      <c r="R335" s="49" t="n">
        <v>0</v>
      </c>
      <c r="S335" s="50" t="n">
        <v>0</v>
      </c>
      <c r="T335" s="50" t="n">
        <v>0</v>
      </c>
      <c r="U335" s="50" t="n">
        <v>0</v>
      </c>
      <c r="V335" s="50" t="n">
        <v>0</v>
      </c>
      <c r="W335" s="51" t="n">
        <v>0</v>
      </c>
      <c r="X335" s="51" t="n">
        <v>0</v>
      </c>
      <c r="Y335" s="51" t="n">
        <v>0</v>
      </c>
      <c r="Z335" s="51" t="n">
        <v>0</v>
      </c>
      <c r="AA335" s="52" t="n">
        <v>0</v>
      </c>
      <c r="AB335" s="52" t="n">
        <v>0</v>
      </c>
      <c r="AC335" s="52" t="n">
        <v>0</v>
      </c>
      <c r="AD335" s="52" t="n">
        <v>0</v>
      </c>
      <c r="AE335" s="52" t="n">
        <v>0</v>
      </c>
      <c r="AF335" s="52" t="n">
        <v>0</v>
      </c>
      <c r="AG335" s="52" t="n">
        <v>0</v>
      </c>
      <c r="AH335" s="52" t="n">
        <v>0</v>
      </c>
      <c r="AI335" s="52" t="n">
        <v>0</v>
      </c>
      <c r="AJ335" s="52" t="n">
        <v>0</v>
      </c>
      <c r="AK335" s="52" t="n">
        <v>0</v>
      </c>
      <c r="AL335" s="52" t="n">
        <v>0</v>
      </c>
      <c r="AM335" s="53" t="n">
        <v>0</v>
      </c>
      <c r="AN335" s="53" t="n">
        <v>0</v>
      </c>
      <c r="AO335" s="53" t="n">
        <v>0</v>
      </c>
      <c r="AP335" s="53" t="n">
        <v>0</v>
      </c>
      <c r="AQ335" s="52" t="n">
        <v>0</v>
      </c>
      <c r="AR335" s="52" t="n">
        <v>0</v>
      </c>
      <c r="AS335" s="52" t="n">
        <v>0</v>
      </c>
      <c r="AT335" s="52" t="n">
        <v>0</v>
      </c>
      <c r="AU335" s="53" t="n">
        <v>0</v>
      </c>
      <c r="AV335" s="53" t="n">
        <v>0</v>
      </c>
      <c r="AW335" s="53" t="n">
        <v>0</v>
      </c>
      <c r="AX335" s="53" t="n">
        <v>0</v>
      </c>
      <c r="AY335" s="52" t="n">
        <v>0</v>
      </c>
      <c r="AZ335" s="52" t="n">
        <v>0</v>
      </c>
      <c r="BA335" s="52" t="n">
        <v>0</v>
      </c>
      <c r="BB335" s="52" t="n">
        <v>0</v>
      </c>
      <c r="BC335" s="51" t="n">
        <v>0</v>
      </c>
      <c r="BD335" s="51" t="n">
        <v>0</v>
      </c>
      <c r="BE335" s="51" t="n">
        <v>0</v>
      </c>
      <c r="BF335" s="51" t="n">
        <v>0</v>
      </c>
    </row>
    <row r="336">
      <c r="A336">
        <f>HYPERLINK("https://www.walmart.com/ip/589680078", "589680078")</f>
        <v/>
      </c>
      <c r="B336" t="inlineStr">
        <is>
          <t>Jennis 8in1 Stylish Ladies Magic Scarf Shawl Woolly Charcoal Fiber Head Wrap</t>
        </is>
      </c>
      <c r="C336" t="inlineStr">
        <is>
          <t>MagicScarfClaret</t>
        </is>
      </c>
      <c r="D336" t="inlineStr">
        <is>
          <t>Scarves</t>
        </is>
      </c>
      <c r="E336" t="inlineStr">
        <is>
          <t>JenniWears</t>
        </is>
      </c>
      <c r="F336" t="inlineStr">
        <is>
          <t>Optimized</t>
        </is>
      </c>
      <c r="G336" s="48" t="n">
        <v>0</v>
      </c>
      <c r="H336" s="48" t="n">
        <v>0</v>
      </c>
      <c r="I336" s="48" t="n">
        <v>0</v>
      </c>
      <c r="J336" s="48" t="n">
        <v>0</v>
      </c>
      <c r="K336" s="49" t="n">
        <v>0</v>
      </c>
      <c r="L336" s="49" t="n">
        <v>0</v>
      </c>
      <c r="M336" s="49" t="n">
        <v>0</v>
      </c>
      <c r="N336" s="49" t="n">
        <v>0</v>
      </c>
      <c r="O336" s="49" t="n">
        <v>0</v>
      </c>
      <c r="P336" s="49" t="n">
        <v>0</v>
      </c>
      <c r="Q336" s="49" t="n">
        <v>0</v>
      </c>
      <c r="R336" s="49" t="n">
        <v>0</v>
      </c>
      <c r="S336" s="50" t="n">
        <v>0</v>
      </c>
      <c r="T336" s="50" t="n">
        <v>0</v>
      </c>
      <c r="U336" s="50" t="n">
        <v>0</v>
      </c>
      <c r="V336" s="50" t="n">
        <v>0</v>
      </c>
      <c r="W336" s="51" t="n">
        <v>0</v>
      </c>
      <c r="X336" s="51" t="n">
        <v>0</v>
      </c>
      <c r="Y336" s="51" t="n">
        <v>0</v>
      </c>
      <c r="Z336" s="51" t="n">
        <v>0</v>
      </c>
      <c r="AA336" s="52" t="n">
        <v>0</v>
      </c>
      <c r="AB336" s="52" t="n">
        <v>0</v>
      </c>
      <c r="AC336" s="52" t="n">
        <v>0</v>
      </c>
      <c r="AD336" s="52" t="n">
        <v>0</v>
      </c>
      <c r="AE336" s="52" t="n">
        <v>0</v>
      </c>
      <c r="AF336" s="52" t="n">
        <v>0</v>
      </c>
      <c r="AG336" s="52" t="n">
        <v>0</v>
      </c>
      <c r="AH336" s="52" t="n">
        <v>0</v>
      </c>
      <c r="AI336" s="52" t="n">
        <v>0</v>
      </c>
      <c r="AJ336" s="52" t="n">
        <v>0</v>
      </c>
      <c r="AK336" s="52" t="n">
        <v>0</v>
      </c>
      <c r="AL336" s="52" t="n">
        <v>0</v>
      </c>
      <c r="AM336" s="53" t="n">
        <v>0</v>
      </c>
      <c r="AN336" s="53" t="n">
        <v>0</v>
      </c>
      <c r="AO336" s="53" t="n">
        <v>0</v>
      </c>
      <c r="AP336" s="53" t="n">
        <v>0</v>
      </c>
      <c r="AQ336" s="52" t="n">
        <v>0</v>
      </c>
      <c r="AR336" s="52" t="n">
        <v>0</v>
      </c>
      <c r="AS336" s="52" t="n">
        <v>0</v>
      </c>
      <c r="AT336" s="52" t="n">
        <v>0</v>
      </c>
      <c r="AU336" s="53" t="n">
        <v>0</v>
      </c>
      <c r="AV336" s="53" t="n">
        <v>0</v>
      </c>
      <c r="AW336" s="53" t="n">
        <v>0</v>
      </c>
      <c r="AX336" s="53" t="n">
        <v>0</v>
      </c>
      <c r="AY336" s="52" t="n">
        <v>0</v>
      </c>
      <c r="AZ336" s="52" t="n">
        <v>0</v>
      </c>
      <c r="BA336" s="52" t="n">
        <v>0</v>
      </c>
      <c r="BB336" s="52" t="n">
        <v>0</v>
      </c>
      <c r="BC336" s="51" t="n">
        <v>0</v>
      </c>
      <c r="BD336" s="51" t="n">
        <v>0</v>
      </c>
      <c r="BE336" s="51" t="n">
        <v>0</v>
      </c>
      <c r="BF336" s="51" t="n">
        <v>0</v>
      </c>
    </row>
    <row r="337">
      <c r="A337">
        <f>HYPERLINK("https://www.walmart.com/ip/6029516944", "6029516944")</f>
        <v/>
      </c>
      <c r="B337" t="inlineStr">
        <is>
          <t>Tirrinia Mesh Beach Bag with Cooler Compartment, Extra Large Totes for Beach Travel, Functional Fashion Beach Bag for Women</t>
        </is>
      </c>
      <c r="C337" t="inlineStr">
        <is>
          <t>1TRCB00112AQ</t>
        </is>
      </c>
      <c r="D337" t="inlineStr">
        <is>
          <t>Handbags</t>
        </is>
      </c>
      <c r="E337" t="inlineStr">
        <is>
          <t>Tirrinia</t>
        </is>
      </c>
      <c r="G337" s="48" t="n">
        <v>0</v>
      </c>
      <c r="H337" s="48" t="n">
        <v>0</v>
      </c>
      <c r="I337" s="48" t="n">
        <v>0</v>
      </c>
      <c r="J337" s="48" t="n">
        <v>0</v>
      </c>
      <c r="K337" s="49" t="n">
        <v>0</v>
      </c>
      <c r="L337" s="49" t="n">
        <v>0</v>
      </c>
      <c r="M337" s="49" t="n">
        <v>0</v>
      </c>
      <c r="N337" s="49" t="n">
        <v>0</v>
      </c>
      <c r="O337" s="49" t="n">
        <v>0</v>
      </c>
      <c r="P337" s="49" t="n">
        <v>0</v>
      </c>
      <c r="Q337" s="49" t="n">
        <v>0</v>
      </c>
      <c r="R337" s="49" t="n">
        <v>0</v>
      </c>
      <c r="S337" s="50" t="n">
        <v>0</v>
      </c>
      <c r="T337" s="50" t="n">
        <v>0</v>
      </c>
      <c r="U337" s="50" t="n">
        <v>0</v>
      </c>
      <c r="V337" s="50" t="n">
        <v>0</v>
      </c>
      <c r="W337" s="51" t="n">
        <v>0</v>
      </c>
      <c r="X337" s="51" t="n">
        <v>0</v>
      </c>
      <c r="Y337" s="51" t="n">
        <v>0</v>
      </c>
      <c r="Z337" s="51" t="n">
        <v>0</v>
      </c>
      <c r="AA337" s="52" t="n">
        <v>0</v>
      </c>
      <c r="AB337" s="52" t="n">
        <v>0</v>
      </c>
      <c r="AC337" s="52" t="n">
        <v>0</v>
      </c>
      <c r="AD337" s="52" t="n">
        <v>0</v>
      </c>
      <c r="AE337" s="52" t="n">
        <v>0</v>
      </c>
      <c r="AF337" s="52" t="n">
        <v>0</v>
      </c>
      <c r="AG337" s="52" t="n">
        <v>0</v>
      </c>
      <c r="AH337" s="52" t="n">
        <v>0</v>
      </c>
      <c r="AI337" s="52" t="n">
        <v>0</v>
      </c>
      <c r="AJ337" s="52" t="n">
        <v>0</v>
      </c>
      <c r="AK337" s="52" t="n">
        <v>0</v>
      </c>
      <c r="AL337" s="52" t="n">
        <v>0</v>
      </c>
      <c r="AM337" s="53" t="n">
        <v>0</v>
      </c>
      <c r="AN337" s="53" t="n">
        <v>0</v>
      </c>
      <c r="AO337" s="53" t="n">
        <v>0</v>
      </c>
      <c r="AP337" s="53" t="n">
        <v>0</v>
      </c>
      <c r="AQ337" s="52" t="n">
        <v>0</v>
      </c>
      <c r="AR337" s="52" t="n">
        <v>0</v>
      </c>
      <c r="AS337" s="52" t="n">
        <v>0</v>
      </c>
      <c r="AT337" s="52" t="n">
        <v>0</v>
      </c>
      <c r="AU337" s="53" t="n">
        <v>0</v>
      </c>
      <c r="AV337" s="53" t="n">
        <v>0</v>
      </c>
      <c r="AW337" s="53" t="n">
        <v>0</v>
      </c>
      <c r="AX337" s="53" t="n">
        <v>0</v>
      </c>
      <c r="AY337" s="52" t="n">
        <v>0</v>
      </c>
      <c r="AZ337" s="52" t="n">
        <v>0</v>
      </c>
      <c r="BA337" s="52" t="n">
        <v>0</v>
      </c>
      <c r="BB337" s="52" t="n">
        <v>0</v>
      </c>
      <c r="BC337" s="51" t="n">
        <v>0</v>
      </c>
      <c r="BD337" s="51" t="n">
        <v>0</v>
      </c>
      <c r="BE337" s="51" t="n">
        <v>0</v>
      </c>
      <c r="BF337" s="51" t="n">
        <v>0</v>
      </c>
    </row>
    <row r="338">
      <c r="A338">
        <f>HYPERLINK("https://www.walmart.com/ip/603198106", "603198106")</f>
        <v/>
      </c>
      <c r="B338" t="inlineStr">
        <is>
          <t>Two Pieces Double up Tankini Swimsuit for Women Bathing Suits Set by Tirrinia</t>
        </is>
      </c>
      <c r="C338" t="inlineStr">
        <is>
          <t>1TRSS002WH-XL</t>
        </is>
      </c>
      <c r="D338" t="inlineStr">
        <is>
          <t>Swimsuit Sets</t>
        </is>
      </c>
      <c r="E338" t="inlineStr">
        <is>
          <t>Tirrinia</t>
        </is>
      </c>
      <c r="F338" t="inlineStr">
        <is>
          <t>Batch 1 - TR</t>
        </is>
      </c>
      <c r="G338" s="48" t="n">
        <v>0</v>
      </c>
      <c r="H338" s="48" t="n">
        <v>0</v>
      </c>
      <c r="I338" s="48" t="n">
        <v>0</v>
      </c>
      <c r="J338" s="48" t="n">
        <v>0</v>
      </c>
      <c r="K338" s="49" t="n">
        <v>0</v>
      </c>
      <c r="L338" s="49" t="n">
        <v>0</v>
      </c>
      <c r="M338" s="49" t="n">
        <v>0</v>
      </c>
      <c r="N338" s="49" t="n">
        <v>0</v>
      </c>
      <c r="O338" s="49" t="n">
        <v>0</v>
      </c>
      <c r="P338" s="49" t="n">
        <v>0</v>
      </c>
      <c r="Q338" s="49" t="n">
        <v>0</v>
      </c>
      <c r="R338" s="49" t="n">
        <v>0</v>
      </c>
      <c r="S338" s="50" t="n">
        <v>0</v>
      </c>
      <c r="T338" s="50" t="n">
        <v>0</v>
      </c>
      <c r="U338" s="50" t="n">
        <v>0</v>
      </c>
      <c r="V338" s="50" t="n">
        <v>0</v>
      </c>
      <c r="W338" s="51" t="n">
        <v>0</v>
      </c>
      <c r="X338" s="51" t="n">
        <v>0</v>
      </c>
      <c r="Y338" s="51" t="n">
        <v>0</v>
      </c>
      <c r="Z338" s="51" t="n">
        <v>0</v>
      </c>
      <c r="AA338" s="52" t="n">
        <v>0</v>
      </c>
      <c r="AB338" s="52" t="n">
        <v>0</v>
      </c>
      <c r="AC338" s="52" t="n">
        <v>0</v>
      </c>
      <c r="AD338" s="52" t="n">
        <v>0</v>
      </c>
      <c r="AE338" s="52" t="n">
        <v>0</v>
      </c>
      <c r="AF338" s="52" t="n">
        <v>0</v>
      </c>
      <c r="AG338" s="52" t="n">
        <v>0</v>
      </c>
      <c r="AH338" s="52" t="n">
        <v>0</v>
      </c>
      <c r="AI338" s="52" t="n">
        <v>0</v>
      </c>
      <c r="AJ338" s="52" t="n">
        <v>0</v>
      </c>
      <c r="AK338" s="52" t="n">
        <v>0</v>
      </c>
      <c r="AL338" s="52" t="n">
        <v>0</v>
      </c>
      <c r="AM338" s="53" t="n">
        <v>0</v>
      </c>
      <c r="AN338" s="53" t="n">
        <v>0</v>
      </c>
      <c r="AO338" s="53" t="n">
        <v>0</v>
      </c>
      <c r="AP338" s="53" t="n">
        <v>0</v>
      </c>
      <c r="AQ338" s="52" t="n">
        <v>0</v>
      </c>
      <c r="AR338" s="52" t="n">
        <v>0</v>
      </c>
      <c r="AS338" s="52" t="n">
        <v>0</v>
      </c>
      <c r="AT338" s="52" t="n">
        <v>0</v>
      </c>
      <c r="AU338" s="53" t="n">
        <v>0</v>
      </c>
      <c r="AV338" s="53" t="n">
        <v>0</v>
      </c>
      <c r="AW338" s="53" t="n">
        <v>0</v>
      </c>
      <c r="AX338" s="53" t="n">
        <v>0</v>
      </c>
      <c r="AY338" s="52" t="n">
        <v>0</v>
      </c>
      <c r="AZ338" s="52" t="n">
        <v>0</v>
      </c>
      <c r="BA338" s="52" t="n">
        <v>0</v>
      </c>
      <c r="BB338" s="52" t="n">
        <v>0</v>
      </c>
      <c r="BC338" s="51" t="n">
        <v>0</v>
      </c>
      <c r="BD338" s="51" t="n">
        <v>0</v>
      </c>
      <c r="BE338" s="51" t="n">
        <v>0</v>
      </c>
      <c r="BF338" s="51" t="n">
        <v>0</v>
      </c>
    </row>
    <row r="339">
      <c r="A339">
        <f>HYPERLINK("https://www.walmart.com/ip/588732180", "588732180")</f>
        <v/>
      </c>
      <c r="B339" t="inlineStr">
        <is>
          <t>Flyingstar Surf Towel Robe, Quick Dry Beach Wetsuit Changing / Bath Robe Poncho for Surfing, Swimming and Bathing Unisex, Pink</t>
        </is>
      </c>
      <c r="C339" t="inlineStr">
        <is>
          <t>1WMBR100-PB</t>
        </is>
      </c>
      <c r="D339" t="inlineStr">
        <is>
          <t>Towels &amp; Washcloths</t>
        </is>
      </c>
      <c r="E339" t="inlineStr">
        <is>
          <t>Flyingstar</t>
        </is>
      </c>
      <c r="F339" t="inlineStr">
        <is>
          <t>Optimized,Beach Robe Camp</t>
        </is>
      </c>
      <c r="G339" s="48" t="n">
        <v>0</v>
      </c>
      <c r="H339" s="48" t="n">
        <v>0</v>
      </c>
      <c r="I339" s="48" t="n">
        <v>0</v>
      </c>
      <c r="J339" s="48" t="n">
        <v>0</v>
      </c>
      <c r="K339" s="49" t="n">
        <v>0</v>
      </c>
      <c r="L339" s="49" t="n">
        <v>0</v>
      </c>
      <c r="M339" s="49" t="n">
        <v>0</v>
      </c>
      <c r="N339" s="49" t="n">
        <v>0</v>
      </c>
      <c r="O339" s="49" t="n">
        <v>0</v>
      </c>
      <c r="P339" s="49" t="n">
        <v>0</v>
      </c>
      <c r="Q339" s="49" t="n">
        <v>0</v>
      </c>
      <c r="R339" s="49" t="n">
        <v>0</v>
      </c>
      <c r="S339" s="50" t="n">
        <v>0</v>
      </c>
      <c r="T339" s="50" t="n">
        <v>0</v>
      </c>
      <c r="U339" s="50" t="n">
        <v>0</v>
      </c>
      <c r="V339" s="50" t="n">
        <v>0</v>
      </c>
      <c r="W339" s="51" t="n">
        <v>0</v>
      </c>
      <c r="X339" s="51" t="n">
        <v>0</v>
      </c>
      <c r="Y339" s="51" t="n">
        <v>0</v>
      </c>
      <c r="Z339" s="51" t="n">
        <v>0</v>
      </c>
      <c r="AA339" s="52" t="n">
        <v>0</v>
      </c>
      <c r="AB339" s="52" t="n">
        <v>0</v>
      </c>
      <c r="AC339" s="52" t="n">
        <v>0</v>
      </c>
      <c r="AD339" s="52" t="n">
        <v>0</v>
      </c>
      <c r="AE339" s="52" t="n">
        <v>0</v>
      </c>
      <c r="AF339" s="52" t="n">
        <v>0</v>
      </c>
      <c r="AG339" s="52" t="n">
        <v>0</v>
      </c>
      <c r="AH339" s="52" t="n">
        <v>0</v>
      </c>
      <c r="AI339" s="52" t="n">
        <v>0</v>
      </c>
      <c r="AJ339" s="52" t="n">
        <v>0</v>
      </c>
      <c r="AK339" s="52" t="n">
        <v>0</v>
      </c>
      <c r="AL339" s="52" t="n">
        <v>0</v>
      </c>
      <c r="AM339" s="53" t="n">
        <v>0</v>
      </c>
      <c r="AN339" s="53" t="n">
        <v>0</v>
      </c>
      <c r="AO339" s="53" t="n">
        <v>0</v>
      </c>
      <c r="AP339" s="53" t="n">
        <v>0</v>
      </c>
      <c r="AQ339" s="52" t="n">
        <v>0</v>
      </c>
      <c r="AR339" s="52" t="n">
        <v>0</v>
      </c>
      <c r="AS339" s="52" t="n">
        <v>0</v>
      </c>
      <c r="AT339" s="52" t="n">
        <v>0</v>
      </c>
      <c r="AU339" s="53" t="n">
        <v>0</v>
      </c>
      <c r="AV339" s="53" t="n">
        <v>0</v>
      </c>
      <c r="AW339" s="53" t="n">
        <v>0</v>
      </c>
      <c r="AX339" s="53" t="n">
        <v>0</v>
      </c>
      <c r="AY339" s="52" t="n">
        <v>0</v>
      </c>
      <c r="AZ339" s="52" t="n">
        <v>0</v>
      </c>
      <c r="BA339" s="52" t="n">
        <v>0</v>
      </c>
      <c r="BB339" s="52" t="n">
        <v>0</v>
      </c>
      <c r="BC339" s="51" t="n">
        <v>0</v>
      </c>
      <c r="BD339" s="51" t="n">
        <v>0</v>
      </c>
      <c r="BE339" s="51" t="n">
        <v>0</v>
      </c>
      <c r="BF339" s="51" t="n">
        <v>0</v>
      </c>
    </row>
    <row r="340">
      <c r="A340">
        <f>HYPERLINK("https://www.walmart.com/ip/588720049", "588720049")</f>
        <v/>
      </c>
      <c r="B340" t="inlineStr">
        <is>
          <t>Tirrinia Super Soft Plush Christmas Fleece Throw Blanket, Sherpa, Grey Buffalo Plaid, 50" x 60"</t>
        </is>
      </c>
      <c r="C340" t="inlineStr">
        <is>
          <t>1TRBF569PGY-TBCB</t>
        </is>
      </c>
      <c r="D340" t="inlineStr">
        <is>
          <t>Throws</t>
        </is>
      </c>
      <c r="E340" t="inlineStr">
        <is>
          <t>Tirrinia</t>
        </is>
      </c>
      <c r="F340" t="inlineStr">
        <is>
          <t>Optimized,Coupon_Discount</t>
        </is>
      </c>
      <c r="G340" s="48" t="n">
        <v>0</v>
      </c>
      <c r="H340" s="48" t="n">
        <v>16.99</v>
      </c>
      <c r="I340" s="48" t="n">
        <v>0</v>
      </c>
      <c r="J340" s="48" t="n">
        <v>0</v>
      </c>
      <c r="K340" s="49" t="n">
        <v>0</v>
      </c>
      <c r="L340" s="49" t="n">
        <v>1</v>
      </c>
      <c r="M340" s="49" t="n">
        <v>0</v>
      </c>
      <c r="N340" s="49" t="n">
        <v>0</v>
      </c>
      <c r="O340" s="49" t="n">
        <v>0</v>
      </c>
      <c r="P340" s="49" t="n">
        <v>0</v>
      </c>
      <c r="Q340" s="49" t="n">
        <v>0</v>
      </c>
      <c r="R340" s="49" t="n">
        <v>0</v>
      </c>
      <c r="S340" s="50" t="n">
        <v>0</v>
      </c>
      <c r="T340" s="50" t="n">
        <v>0</v>
      </c>
      <c r="U340" s="50" t="n">
        <v>0</v>
      </c>
      <c r="V340" s="50" t="n">
        <v>0</v>
      </c>
      <c r="W340" s="51" t="n">
        <v>0</v>
      </c>
      <c r="X340" s="51" t="n">
        <v>0</v>
      </c>
      <c r="Y340" s="51" t="n">
        <v>0</v>
      </c>
      <c r="Z340" s="51" t="n">
        <v>0</v>
      </c>
      <c r="AA340" s="52" t="n">
        <v>0</v>
      </c>
      <c r="AB340" s="52" t="n">
        <v>0</v>
      </c>
      <c r="AC340" s="52" t="n">
        <v>0</v>
      </c>
      <c r="AD340" s="52" t="n">
        <v>0</v>
      </c>
      <c r="AE340" s="52" t="n">
        <v>0</v>
      </c>
      <c r="AF340" s="52" t="n">
        <v>0</v>
      </c>
      <c r="AG340" s="52" t="n">
        <v>0</v>
      </c>
      <c r="AH340" s="52" t="n">
        <v>0</v>
      </c>
      <c r="AI340" s="52" t="n">
        <v>0</v>
      </c>
      <c r="AJ340" s="52" t="n">
        <v>0</v>
      </c>
      <c r="AK340" s="52" t="n">
        <v>0</v>
      </c>
      <c r="AL340" s="52" t="n">
        <v>0</v>
      </c>
      <c r="AM340" s="53" t="n">
        <v>0</v>
      </c>
      <c r="AN340" s="53" t="n">
        <v>0</v>
      </c>
      <c r="AO340" s="53" t="n">
        <v>0</v>
      </c>
      <c r="AP340" s="53" t="n">
        <v>0</v>
      </c>
      <c r="AQ340" s="52" t="n">
        <v>0</v>
      </c>
      <c r="AR340" s="52" t="n">
        <v>0</v>
      </c>
      <c r="AS340" s="52" t="n">
        <v>0</v>
      </c>
      <c r="AT340" s="52" t="n">
        <v>0</v>
      </c>
      <c r="AU340" s="53" t="n">
        <v>0</v>
      </c>
      <c r="AV340" s="53" t="n">
        <v>0</v>
      </c>
      <c r="AW340" s="53" t="n">
        <v>0</v>
      </c>
      <c r="AX340" s="53" t="n">
        <v>0</v>
      </c>
      <c r="AY340" s="52" t="n">
        <v>0</v>
      </c>
      <c r="AZ340" s="52" t="n">
        <v>16.99</v>
      </c>
      <c r="BA340" s="52" t="n">
        <v>0</v>
      </c>
      <c r="BB340" s="52" t="n">
        <v>0</v>
      </c>
      <c r="BC340" s="51" t="n">
        <v>0</v>
      </c>
      <c r="BD340" s="51" t="n">
        <v>0</v>
      </c>
      <c r="BE340" s="51" t="n">
        <v>0</v>
      </c>
      <c r="BF340" s="51" t="n">
        <v>0</v>
      </c>
    </row>
    <row r="341">
      <c r="A341">
        <f>HYPERLINK("https://www.walmart.com/ip/588250967", "588250967")</f>
        <v/>
      </c>
      <c r="B341" t="inlineStr">
        <is>
          <t>Flyingstar Blanket with Sleeves and Pocket, Wearable Throws Blanket, Robe for Women and Men 73” x 51” Black</t>
        </is>
      </c>
      <c r="C341" t="inlineStr">
        <is>
          <t>1WMSN100BK-ESGM</t>
        </is>
      </c>
      <c r="D341" t="inlineStr">
        <is>
          <t>Throws</t>
        </is>
      </c>
      <c r="E341" t="inlineStr">
        <is>
          <t>Flyingstar</t>
        </is>
      </c>
      <c r="F341" t="inlineStr">
        <is>
          <t>Batch 1 - TR</t>
        </is>
      </c>
      <c r="G341" s="48" t="n">
        <v>0</v>
      </c>
      <c r="H341" s="48" t="n">
        <v>0</v>
      </c>
      <c r="I341" s="48" t="n">
        <v>0</v>
      </c>
      <c r="J341" s="48" t="n">
        <v>0</v>
      </c>
      <c r="K341" s="49" t="n">
        <v>0</v>
      </c>
      <c r="L341" s="49" t="n">
        <v>0</v>
      </c>
      <c r="M341" s="49" t="n">
        <v>0</v>
      </c>
      <c r="N341" s="49" t="n">
        <v>0</v>
      </c>
      <c r="O341" s="49" t="n">
        <v>0</v>
      </c>
      <c r="P341" s="49" t="n">
        <v>0</v>
      </c>
      <c r="Q341" s="49" t="n">
        <v>0</v>
      </c>
      <c r="R341" s="49" t="n">
        <v>0</v>
      </c>
      <c r="S341" s="50" t="n">
        <v>0</v>
      </c>
      <c r="T341" s="50" t="n">
        <v>0</v>
      </c>
      <c r="U341" s="50" t="n">
        <v>0</v>
      </c>
      <c r="V341" s="50" t="n">
        <v>0</v>
      </c>
      <c r="W341" s="51" t="n">
        <v>0</v>
      </c>
      <c r="X341" s="51" t="n">
        <v>0</v>
      </c>
      <c r="Y341" s="51" t="n">
        <v>0</v>
      </c>
      <c r="Z341" s="51" t="n">
        <v>0</v>
      </c>
      <c r="AA341" s="52" t="n">
        <v>0</v>
      </c>
      <c r="AB341" s="52" t="n">
        <v>0</v>
      </c>
      <c r="AC341" s="52" t="n">
        <v>0</v>
      </c>
      <c r="AD341" s="52" t="n">
        <v>0</v>
      </c>
      <c r="AE341" s="52" t="n">
        <v>0</v>
      </c>
      <c r="AF341" s="52" t="n">
        <v>0</v>
      </c>
      <c r="AG341" s="52" t="n">
        <v>0</v>
      </c>
      <c r="AH341" s="52" t="n">
        <v>0</v>
      </c>
      <c r="AI341" s="52" t="n">
        <v>0</v>
      </c>
      <c r="AJ341" s="52" t="n">
        <v>0</v>
      </c>
      <c r="AK341" s="52" t="n">
        <v>0</v>
      </c>
      <c r="AL341" s="52" t="n">
        <v>0</v>
      </c>
      <c r="AM341" s="53" t="n">
        <v>0</v>
      </c>
      <c r="AN341" s="53" t="n">
        <v>0</v>
      </c>
      <c r="AO341" s="53" t="n">
        <v>0</v>
      </c>
      <c r="AP341" s="53" t="n">
        <v>0</v>
      </c>
      <c r="AQ341" s="52" t="n">
        <v>0</v>
      </c>
      <c r="AR341" s="52" t="n">
        <v>0</v>
      </c>
      <c r="AS341" s="52" t="n">
        <v>0</v>
      </c>
      <c r="AT341" s="52" t="n">
        <v>0</v>
      </c>
      <c r="AU341" s="53" t="n">
        <v>0</v>
      </c>
      <c r="AV341" s="53" t="n">
        <v>0</v>
      </c>
      <c r="AW341" s="53" t="n">
        <v>0</v>
      </c>
      <c r="AX341" s="53" t="n">
        <v>0</v>
      </c>
      <c r="AY341" s="52" t="n">
        <v>0</v>
      </c>
      <c r="AZ341" s="52" t="n">
        <v>0</v>
      </c>
      <c r="BA341" s="52" t="n">
        <v>0</v>
      </c>
      <c r="BB341" s="52" t="n">
        <v>0</v>
      </c>
      <c r="BC341" s="51" t="n">
        <v>0</v>
      </c>
      <c r="BD341" s="51" t="n">
        <v>0</v>
      </c>
      <c r="BE341" s="51" t="n">
        <v>0</v>
      </c>
      <c r="BF341" s="51" t="n">
        <v>0</v>
      </c>
    </row>
    <row r="342">
      <c r="A342">
        <f>HYPERLINK("https://www.walmart.com/ip/608669736", "608669736")</f>
        <v/>
      </c>
      <c r="B342" t="inlineStr">
        <is>
          <t>Catalonia Oversized Hoodie Blanket with Zipper, Wearable Sherpa Sweatshirt Pullover, Soft Warm Comfortable Jacket for Adults Men Women, Pink</t>
        </is>
      </c>
      <c r="C342" t="inlineStr">
        <is>
          <t>1CTHD220PK</t>
        </is>
      </c>
      <c r="D342" t="inlineStr">
        <is>
          <t>Throws</t>
        </is>
      </c>
      <c r="E342" t="inlineStr">
        <is>
          <t>Catalonia</t>
        </is>
      </c>
      <c r="F342" t="inlineStr">
        <is>
          <t>Hoodie ForAdult,Optimized,Coupon_Discount</t>
        </is>
      </c>
      <c r="G342" s="48" t="n">
        <v>0</v>
      </c>
      <c r="H342" s="48" t="n">
        <v>0</v>
      </c>
      <c r="I342" s="48" t="n">
        <v>0</v>
      </c>
      <c r="J342" s="48" t="n">
        <v>0</v>
      </c>
      <c r="K342" s="49" t="n">
        <v>0</v>
      </c>
      <c r="L342" s="49" t="n">
        <v>0</v>
      </c>
      <c r="M342" s="49" t="n">
        <v>0</v>
      </c>
      <c r="N342" s="49" t="n">
        <v>0</v>
      </c>
      <c r="O342" s="49" t="n">
        <v>0</v>
      </c>
      <c r="P342" s="49" t="n">
        <v>0</v>
      </c>
      <c r="Q342" s="49" t="n">
        <v>0</v>
      </c>
      <c r="R342" s="49" t="n">
        <v>0</v>
      </c>
      <c r="S342" s="50" t="n">
        <v>0</v>
      </c>
      <c r="T342" s="50" t="n">
        <v>0</v>
      </c>
      <c r="U342" s="50" t="n">
        <v>0</v>
      </c>
      <c r="V342" s="50" t="n">
        <v>0</v>
      </c>
      <c r="W342" s="51" t="n">
        <v>0</v>
      </c>
      <c r="X342" s="51" t="n">
        <v>0</v>
      </c>
      <c r="Y342" s="51" t="n">
        <v>0</v>
      </c>
      <c r="Z342" s="51" t="n">
        <v>0</v>
      </c>
      <c r="AA342" s="52" t="n">
        <v>0</v>
      </c>
      <c r="AB342" s="52" t="n">
        <v>0</v>
      </c>
      <c r="AC342" s="52" t="n">
        <v>0</v>
      </c>
      <c r="AD342" s="52" t="n">
        <v>0</v>
      </c>
      <c r="AE342" s="52" t="n">
        <v>0</v>
      </c>
      <c r="AF342" s="52" t="n">
        <v>0</v>
      </c>
      <c r="AG342" s="52" t="n">
        <v>0</v>
      </c>
      <c r="AH342" s="52" t="n">
        <v>0</v>
      </c>
      <c r="AI342" s="52" t="n">
        <v>0</v>
      </c>
      <c r="AJ342" s="52" t="n">
        <v>0</v>
      </c>
      <c r="AK342" s="52" t="n">
        <v>0</v>
      </c>
      <c r="AL342" s="52" t="n">
        <v>0</v>
      </c>
      <c r="AM342" s="53" t="n">
        <v>0</v>
      </c>
      <c r="AN342" s="53" t="n">
        <v>0</v>
      </c>
      <c r="AO342" s="53" t="n">
        <v>0</v>
      </c>
      <c r="AP342" s="53" t="n">
        <v>0</v>
      </c>
      <c r="AQ342" s="52" t="n">
        <v>0</v>
      </c>
      <c r="AR342" s="52" t="n">
        <v>0</v>
      </c>
      <c r="AS342" s="52" t="n">
        <v>0</v>
      </c>
      <c r="AT342" s="52" t="n">
        <v>0</v>
      </c>
      <c r="AU342" s="53" t="n">
        <v>0</v>
      </c>
      <c r="AV342" s="53" t="n">
        <v>0</v>
      </c>
      <c r="AW342" s="53" t="n">
        <v>0</v>
      </c>
      <c r="AX342" s="53" t="n">
        <v>0</v>
      </c>
      <c r="AY342" s="52" t="n">
        <v>0</v>
      </c>
      <c r="AZ342" s="52" t="n">
        <v>0</v>
      </c>
      <c r="BA342" s="52" t="n">
        <v>0</v>
      </c>
      <c r="BB342" s="52" t="n">
        <v>0</v>
      </c>
      <c r="BC342" s="51" t="n">
        <v>0</v>
      </c>
      <c r="BD342" s="51" t="n">
        <v>0</v>
      </c>
      <c r="BE342" s="51" t="n">
        <v>0</v>
      </c>
      <c r="BF342" s="51" t="n">
        <v>0</v>
      </c>
    </row>
    <row r="343">
      <c r="A343">
        <f>HYPERLINK("https://www.walmart.com/ip/5790944672", "5790944672")</f>
        <v/>
      </c>
      <c r="B343" t="inlineStr">
        <is>
          <t>Catalonia Cooling Blanket for Hot Sleepers, Summer Bed Blanket for Warm Night Sweat, Cool Sofa Throw Blanket for Hot Flashes, Soft Thin Lightweight Blanket for Adults Kids</t>
        </is>
      </c>
      <c r="C343" t="inlineStr">
        <is>
          <t>1CTBQ10199GY</t>
        </is>
      </c>
      <c r="D343" t="inlineStr">
        <is>
          <t>Throws</t>
        </is>
      </c>
      <c r="E343" t="inlineStr">
        <is>
          <t>Catalonia</t>
        </is>
      </c>
      <c r="G343" s="48" t="n">
        <v>0</v>
      </c>
      <c r="H343" s="48" t="n">
        <v>0</v>
      </c>
      <c r="I343" s="48" t="n">
        <v>0</v>
      </c>
      <c r="J343" s="48" t="n">
        <v>0</v>
      </c>
      <c r="K343" s="49" t="n">
        <v>0</v>
      </c>
      <c r="L343" s="49" t="n">
        <v>0</v>
      </c>
      <c r="M343" s="49" t="n">
        <v>0</v>
      </c>
      <c r="N343" s="49" t="n">
        <v>0</v>
      </c>
      <c r="O343" s="49" t="n">
        <v>0</v>
      </c>
      <c r="P343" s="49" t="n">
        <v>0</v>
      </c>
      <c r="Q343" s="49" t="n">
        <v>0</v>
      </c>
      <c r="R343" s="49" t="n">
        <v>0</v>
      </c>
      <c r="S343" s="50" t="n">
        <v>0</v>
      </c>
      <c r="T343" s="50" t="n">
        <v>0</v>
      </c>
      <c r="U343" s="50" t="n">
        <v>0</v>
      </c>
      <c r="V343" s="50" t="n">
        <v>0</v>
      </c>
      <c r="W343" s="51" t="n">
        <v>0</v>
      </c>
      <c r="X343" s="51" t="n">
        <v>0</v>
      </c>
      <c r="Y343" s="51" t="n">
        <v>0</v>
      </c>
      <c r="Z343" s="51" t="n">
        <v>0</v>
      </c>
      <c r="AA343" s="52" t="n">
        <v>0</v>
      </c>
      <c r="AB343" s="52" t="n">
        <v>0</v>
      </c>
      <c r="AC343" s="52" t="n">
        <v>0</v>
      </c>
      <c r="AD343" s="52" t="n">
        <v>0</v>
      </c>
      <c r="AE343" s="52" t="n">
        <v>0</v>
      </c>
      <c r="AF343" s="52" t="n">
        <v>0</v>
      </c>
      <c r="AG343" s="52" t="n">
        <v>0</v>
      </c>
      <c r="AH343" s="52" t="n">
        <v>0</v>
      </c>
      <c r="AI343" s="52" t="n">
        <v>0</v>
      </c>
      <c r="AJ343" s="52" t="n">
        <v>0</v>
      </c>
      <c r="AK343" s="52" t="n">
        <v>0</v>
      </c>
      <c r="AL343" s="52" t="n">
        <v>0</v>
      </c>
      <c r="AM343" s="53" t="n">
        <v>0</v>
      </c>
      <c r="AN343" s="53" t="n">
        <v>0</v>
      </c>
      <c r="AO343" s="53" t="n">
        <v>0</v>
      </c>
      <c r="AP343" s="53" t="n">
        <v>0</v>
      </c>
      <c r="AQ343" s="52" t="n">
        <v>0</v>
      </c>
      <c r="AR343" s="52" t="n">
        <v>0</v>
      </c>
      <c r="AS343" s="52" t="n">
        <v>0</v>
      </c>
      <c r="AT343" s="52" t="n">
        <v>0</v>
      </c>
      <c r="AU343" s="53" t="n">
        <v>0</v>
      </c>
      <c r="AV343" s="53" t="n">
        <v>0</v>
      </c>
      <c r="AW343" s="53" t="n">
        <v>0</v>
      </c>
      <c r="AX343" s="53" t="n">
        <v>0</v>
      </c>
      <c r="AY343" s="52" t="n">
        <v>0</v>
      </c>
      <c r="AZ343" s="52" t="n">
        <v>0</v>
      </c>
      <c r="BA343" s="52" t="n">
        <v>0</v>
      </c>
      <c r="BB343" s="52" t="n">
        <v>0</v>
      </c>
      <c r="BC343" s="51" t="n">
        <v>0</v>
      </c>
      <c r="BD343" s="51" t="n">
        <v>0</v>
      </c>
      <c r="BE343" s="51" t="n">
        <v>0</v>
      </c>
      <c r="BF343" s="51" t="n">
        <v>0</v>
      </c>
    </row>
    <row r="344">
      <c r="A344">
        <f>HYPERLINK("https://www.walmart.com/ip/6125451748", "6125451748")</f>
        <v/>
      </c>
      <c r="B344" t="inlineStr">
        <is>
          <t>Tirrinia Surf Poncho Changing Towel, Lightweight Surf Hooded Beach Towel Quick Dry, Portable Dressing Room for Surfing Beach Pool Summer Camping Adult Women Men Gift Shark</t>
        </is>
      </c>
      <c r="C344" t="inlineStr">
        <is>
          <t>1TRBR101SHARK</t>
        </is>
      </c>
      <c r="D344" t="inlineStr">
        <is>
          <t>Sleepwear Robes &amp; Bathrobes</t>
        </is>
      </c>
      <c r="E344" t="inlineStr">
        <is>
          <t>Tirrinia</t>
        </is>
      </c>
      <c r="G344" s="48" t="n">
        <v>0</v>
      </c>
      <c r="H344" s="48" t="n">
        <v>0</v>
      </c>
      <c r="I344" s="48" t="n">
        <v>0</v>
      </c>
      <c r="J344" s="48" t="n">
        <v>0</v>
      </c>
      <c r="K344" s="49" t="n">
        <v>0</v>
      </c>
      <c r="L344" s="49" t="n">
        <v>0</v>
      </c>
      <c r="M344" s="49" t="n">
        <v>0</v>
      </c>
      <c r="N344" s="49" t="n">
        <v>0</v>
      </c>
      <c r="O344" s="49" t="n">
        <v>0</v>
      </c>
      <c r="P344" s="49" t="n">
        <v>0</v>
      </c>
      <c r="Q344" s="49" t="n">
        <v>0</v>
      </c>
      <c r="R344" s="49" t="n">
        <v>0</v>
      </c>
      <c r="S344" s="50" t="n">
        <v>0</v>
      </c>
      <c r="T344" s="50" t="n">
        <v>0</v>
      </c>
      <c r="U344" s="50" t="n">
        <v>0</v>
      </c>
      <c r="V344" s="50" t="n">
        <v>0</v>
      </c>
      <c r="W344" s="51" t="n">
        <v>0</v>
      </c>
      <c r="X344" s="51" t="n">
        <v>0</v>
      </c>
      <c r="Y344" s="51" t="n">
        <v>0</v>
      </c>
      <c r="Z344" s="51" t="n">
        <v>0</v>
      </c>
      <c r="AA344" s="52" t="n">
        <v>0</v>
      </c>
      <c r="AB344" s="52" t="n">
        <v>0</v>
      </c>
      <c r="AC344" s="52" t="n">
        <v>0</v>
      </c>
      <c r="AD344" s="52" t="n">
        <v>0</v>
      </c>
      <c r="AE344" s="52" t="n">
        <v>0</v>
      </c>
      <c r="AF344" s="52" t="n">
        <v>0</v>
      </c>
      <c r="AG344" s="52" t="n">
        <v>0</v>
      </c>
      <c r="AH344" s="52" t="n">
        <v>0</v>
      </c>
      <c r="AI344" s="52" t="n">
        <v>0</v>
      </c>
      <c r="AJ344" s="52" t="n">
        <v>0</v>
      </c>
      <c r="AK344" s="52" t="n">
        <v>0</v>
      </c>
      <c r="AL344" s="52" t="n">
        <v>0</v>
      </c>
      <c r="AM344" s="53" t="n">
        <v>0</v>
      </c>
      <c r="AN344" s="53" t="n">
        <v>0</v>
      </c>
      <c r="AO344" s="53" t="n">
        <v>0</v>
      </c>
      <c r="AP344" s="53" t="n">
        <v>0</v>
      </c>
      <c r="AQ344" s="52" t="n">
        <v>0</v>
      </c>
      <c r="AR344" s="52" t="n">
        <v>0</v>
      </c>
      <c r="AS344" s="52" t="n">
        <v>0</v>
      </c>
      <c r="AT344" s="52" t="n">
        <v>0</v>
      </c>
      <c r="AU344" s="53" t="n">
        <v>0</v>
      </c>
      <c r="AV344" s="53" t="n">
        <v>0</v>
      </c>
      <c r="AW344" s="53" t="n">
        <v>0</v>
      </c>
      <c r="AX344" s="53" t="n">
        <v>0</v>
      </c>
      <c r="AY344" s="52" t="n">
        <v>0</v>
      </c>
      <c r="AZ344" s="52" t="n">
        <v>0</v>
      </c>
      <c r="BA344" s="52" t="n">
        <v>0</v>
      </c>
      <c r="BB344" s="52" t="n">
        <v>0</v>
      </c>
      <c r="BC344" s="51" t="n">
        <v>0</v>
      </c>
      <c r="BD344" s="51" t="n">
        <v>0</v>
      </c>
      <c r="BE344" s="51" t="n">
        <v>0</v>
      </c>
      <c r="BF344" s="51" t="n">
        <v>0</v>
      </c>
    </row>
    <row r="345">
      <c r="A345">
        <f>HYPERLINK("https://www.walmart.com/ip/6115651218", "6115651218")</f>
        <v/>
      </c>
      <c r="B345" t="inlineStr">
        <is>
          <t>Catalonia Cooling Blanket for Hot Sleepers, Summer Bed Blanket for Warm Night Sweat, Cool Sofa Throw Blanket for Hot Flashes, Soft Thin Lightweight Blanket for Adults Kids</t>
        </is>
      </c>
      <c r="C345" t="inlineStr">
        <is>
          <t>1CTBQ10199PP</t>
        </is>
      </c>
      <c r="D345" t="inlineStr">
        <is>
          <t>Throws</t>
        </is>
      </c>
      <c r="E345" t="inlineStr">
        <is>
          <t>Catalonia</t>
        </is>
      </c>
      <c r="G345" s="48" t="n">
        <v>0</v>
      </c>
      <c r="H345" s="48" t="n">
        <v>0</v>
      </c>
      <c r="I345" s="48" t="n">
        <v>0</v>
      </c>
      <c r="J345" s="48" t="n">
        <v>0</v>
      </c>
      <c r="K345" s="49" t="n">
        <v>0</v>
      </c>
      <c r="L345" s="49" t="n">
        <v>0</v>
      </c>
      <c r="M345" s="49" t="n">
        <v>0</v>
      </c>
      <c r="N345" s="49" t="n">
        <v>0</v>
      </c>
      <c r="O345" s="49" t="n">
        <v>0</v>
      </c>
      <c r="P345" s="49" t="n">
        <v>0</v>
      </c>
      <c r="Q345" s="49" t="n">
        <v>0</v>
      </c>
      <c r="R345" s="49" t="n">
        <v>0</v>
      </c>
      <c r="S345" s="50" t="n">
        <v>0</v>
      </c>
      <c r="T345" s="50" t="n">
        <v>0</v>
      </c>
      <c r="U345" s="50" t="n">
        <v>0</v>
      </c>
      <c r="V345" s="50" t="n">
        <v>0</v>
      </c>
      <c r="W345" s="51" t="n">
        <v>0</v>
      </c>
      <c r="X345" s="51" t="n">
        <v>0</v>
      </c>
      <c r="Y345" s="51" t="n">
        <v>0</v>
      </c>
      <c r="Z345" s="51" t="n">
        <v>0</v>
      </c>
      <c r="AA345" s="52" t="n">
        <v>0</v>
      </c>
      <c r="AB345" s="52" t="n">
        <v>0</v>
      </c>
      <c r="AC345" s="52" t="n">
        <v>0</v>
      </c>
      <c r="AD345" s="52" t="n">
        <v>0</v>
      </c>
      <c r="AE345" s="52" t="n">
        <v>0</v>
      </c>
      <c r="AF345" s="52" t="n">
        <v>0</v>
      </c>
      <c r="AG345" s="52" t="n">
        <v>0</v>
      </c>
      <c r="AH345" s="52" t="n">
        <v>0</v>
      </c>
      <c r="AI345" s="52" t="n">
        <v>0</v>
      </c>
      <c r="AJ345" s="52" t="n">
        <v>0</v>
      </c>
      <c r="AK345" s="52" t="n">
        <v>0</v>
      </c>
      <c r="AL345" s="52" t="n">
        <v>0</v>
      </c>
      <c r="AM345" s="53" t="n">
        <v>0</v>
      </c>
      <c r="AN345" s="53" t="n">
        <v>0</v>
      </c>
      <c r="AO345" s="53" t="n">
        <v>0</v>
      </c>
      <c r="AP345" s="53" t="n">
        <v>0</v>
      </c>
      <c r="AQ345" s="52" t="n">
        <v>0</v>
      </c>
      <c r="AR345" s="52" t="n">
        <v>0</v>
      </c>
      <c r="AS345" s="52" t="n">
        <v>0</v>
      </c>
      <c r="AT345" s="52" t="n">
        <v>0</v>
      </c>
      <c r="AU345" s="53" t="n">
        <v>0</v>
      </c>
      <c r="AV345" s="53" t="n">
        <v>0</v>
      </c>
      <c r="AW345" s="53" t="n">
        <v>0</v>
      </c>
      <c r="AX345" s="53" t="n">
        <v>0</v>
      </c>
      <c r="AY345" s="52" t="n">
        <v>0</v>
      </c>
      <c r="AZ345" s="52" t="n">
        <v>0</v>
      </c>
      <c r="BA345" s="52" t="n">
        <v>0</v>
      </c>
      <c r="BB345" s="52" t="n">
        <v>0</v>
      </c>
      <c r="BC345" s="51" t="n">
        <v>0</v>
      </c>
      <c r="BD345" s="51" t="n">
        <v>0</v>
      </c>
      <c r="BE345" s="51" t="n">
        <v>0</v>
      </c>
      <c r="BF345" s="51" t="n">
        <v>0</v>
      </c>
    </row>
    <row r="346">
      <c r="A346">
        <f>HYPERLINK("https://www.walmart.com/ip/569150441", "569150441")</f>
        <v/>
      </c>
      <c r="B346" t="inlineStr">
        <is>
          <t>Wrangler Slim Genuine Leather AirTag Wallet for Men - Bifold RFID Blocking Design with Hidden AirTag Holder</t>
        </is>
      </c>
      <c r="C346" t="inlineStr">
        <is>
          <t>WR-WA49008COGOS</t>
        </is>
      </c>
      <c r="D346" t="inlineStr">
        <is>
          <t>Wallets</t>
        </is>
      </c>
      <c r="E346" t="inlineStr">
        <is>
          <t>Wrangler</t>
        </is>
      </c>
      <c r="G346" s="48" t="n">
        <v>0</v>
      </c>
      <c r="H346" s="48" t="n">
        <v>0</v>
      </c>
      <c r="I346" s="48" t="n">
        <v>0</v>
      </c>
      <c r="J346" s="48" t="n">
        <v>0</v>
      </c>
      <c r="K346" s="49" t="n">
        <v>0</v>
      </c>
      <c r="L346" s="49" t="n">
        <v>0</v>
      </c>
      <c r="M346" s="49" t="n">
        <v>0</v>
      </c>
      <c r="N346" s="49" t="n">
        <v>0</v>
      </c>
      <c r="O346" s="49" t="n">
        <v>0</v>
      </c>
      <c r="P346" s="49" t="n">
        <v>0</v>
      </c>
      <c r="Q346" s="49" t="n">
        <v>0</v>
      </c>
      <c r="R346" s="49" t="n">
        <v>0</v>
      </c>
      <c r="S346" s="50" t="n">
        <v>0</v>
      </c>
      <c r="T346" s="50" t="n">
        <v>0</v>
      </c>
      <c r="U346" s="50" t="n">
        <v>0</v>
      </c>
      <c r="V346" s="50" t="n">
        <v>0</v>
      </c>
      <c r="W346" s="51" t="n">
        <v>0</v>
      </c>
      <c r="X346" s="51" t="n">
        <v>0</v>
      </c>
      <c r="Y346" s="51" t="n">
        <v>0</v>
      </c>
      <c r="Z346" s="51" t="n">
        <v>0</v>
      </c>
      <c r="AA346" s="52" t="n">
        <v>0</v>
      </c>
      <c r="AB346" s="52" t="n">
        <v>0</v>
      </c>
      <c r="AC346" s="52" t="n">
        <v>0</v>
      </c>
      <c r="AD346" s="52" t="n">
        <v>0</v>
      </c>
      <c r="AE346" s="52" t="n">
        <v>0</v>
      </c>
      <c r="AF346" s="52" t="n">
        <v>0</v>
      </c>
      <c r="AG346" s="52" t="n">
        <v>0</v>
      </c>
      <c r="AH346" s="52" t="n">
        <v>0</v>
      </c>
      <c r="AI346" s="52" t="n">
        <v>0</v>
      </c>
      <c r="AJ346" s="52" t="n">
        <v>0</v>
      </c>
      <c r="AK346" s="52" t="n">
        <v>0</v>
      </c>
      <c r="AL346" s="52" t="n">
        <v>0</v>
      </c>
      <c r="AM346" s="53" t="n">
        <v>0</v>
      </c>
      <c r="AN346" s="53" t="n">
        <v>0</v>
      </c>
      <c r="AO346" s="53" t="n">
        <v>0</v>
      </c>
      <c r="AP346" s="53" t="n">
        <v>0</v>
      </c>
      <c r="AQ346" s="52" t="n">
        <v>0</v>
      </c>
      <c r="AR346" s="52" t="n">
        <v>0</v>
      </c>
      <c r="AS346" s="52" t="n">
        <v>0</v>
      </c>
      <c r="AT346" s="52" t="n">
        <v>0</v>
      </c>
      <c r="AU346" s="53" t="n">
        <v>0</v>
      </c>
      <c r="AV346" s="53" t="n">
        <v>0</v>
      </c>
      <c r="AW346" s="53" t="n">
        <v>0</v>
      </c>
      <c r="AX346" s="53" t="n">
        <v>0</v>
      </c>
      <c r="AY346" s="52" t="n">
        <v>0</v>
      </c>
      <c r="AZ346" s="52" t="n">
        <v>0</v>
      </c>
      <c r="BA346" s="52" t="n">
        <v>0</v>
      </c>
      <c r="BB346" s="52" t="n">
        <v>0</v>
      </c>
      <c r="BC346" s="51" t="n">
        <v>0</v>
      </c>
      <c r="BD346" s="51" t="n">
        <v>0</v>
      </c>
      <c r="BE346" s="51" t="n">
        <v>0</v>
      </c>
      <c r="BF346" s="51" t="n">
        <v>0</v>
      </c>
    </row>
    <row r="347">
      <c r="A347">
        <f>HYPERLINK("https://www.walmart.com/ip/6108672925", "6108672925")</f>
        <v/>
      </c>
      <c r="B347" t="inlineStr">
        <is>
          <t>Catalonia Cooling Blanket for Hot Sleepers, Summer Bed Blanket for Warm Night Sweat, Cool Sofa Throw Blanket for Hot Flashes, Soft Thin Lightweight Blanket for Adults Kids</t>
        </is>
      </c>
      <c r="C347" t="inlineStr">
        <is>
          <t>1CTBQ10169PP</t>
        </is>
      </c>
      <c r="D347" t="inlineStr">
        <is>
          <t>Throws</t>
        </is>
      </c>
      <c r="E347" t="inlineStr">
        <is>
          <t>Catalonia</t>
        </is>
      </c>
      <c r="G347" s="48" t="n">
        <v>0</v>
      </c>
      <c r="H347" s="48" t="n">
        <v>0</v>
      </c>
      <c r="I347" s="48" t="n">
        <v>0</v>
      </c>
      <c r="J347" s="48" t="n">
        <v>0</v>
      </c>
      <c r="K347" s="49" t="n">
        <v>0</v>
      </c>
      <c r="L347" s="49" t="n">
        <v>0</v>
      </c>
      <c r="M347" s="49" t="n">
        <v>0</v>
      </c>
      <c r="N347" s="49" t="n">
        <v>0</v>
      </c>
      <c r="O347" s="49" t="n">
        <v>0</v>
      </c>
      <c r="P347" s="49" t="n">
        <v>0</v>
      </c>
      <c r="Q347" s="49" t="n">
        <v>0</v>
      </c>
      <c r="R347" s="49" t="n">
        <v>0</v>
      </c>
      <c r="S347" s="50" t="n">
        <v>0</v>
      </c>
      <c r="T347" s="50" t="n">
        <v>0</v>
      </c>
      <c r="U347" s="50" t="n">
        <v>0</v>
      </c>
      <c r="V347" s="50" t="n">
        <v>0</v>
      </c>
      <c r="W347" s="51" t="n">
        <v>0</v>
      </c>
      <c r="X347" s="51" t="n">
        <v>0</v>
      </c>
      <c r="Y347" s="51" t="n">
        <v>0</v>
      </c>
      <c r="Z347" s="51" t="n">
        <v>0</v>
      </c>
      <c r="AA347" s="52" t="n">
        <v>0</v>
      </c>
      <c r="AB347" s="52" t="n">
        <v>0</v>
      </c>
      <c r="AC347" s="52" t="n">
        <v>0</v>
      </c>
      <c r="AD347" s="52" t="n">
        <v>0</v>
      </c>
      <c r="AE347" s="52" t="n">
        <v>0</v>
      </c>
      <c r="AF347" s="52" t="n">
        <v>0</v>
      </c>
      <c r="AG347" s="52" t="n">
        <v>0</v>
      </c>
      <c r="AH347" s="52" t="n">
        <v>0</v>
      </c>
      <c r="AI347" s="52" t="n">
        <v>0</v>
      </c>
      <c r="AJ347" s="52" t="n">
        <v>0</v>
      </c>
      <c r="AK347" s="52" t="n">
        <v>0</v>
      </c>
      <c r="AL347" s="52" t="n">
        <v>0</v>
      </c>
      <c r="AM347" s="53" t="n">
        <v>0</v>
      </c>
      <c r="AN347" s="53" t="n">
        <v>0</v>
      </c>
      <c r="AO347" s="53" t="n">
        <v>0</v>
      </c>
      <c r="AP347" s="53" t="n">
        <v>0</v>
      </c>
      <c r="AQ347" s="52" t="n">
        <v>0</v>
      </c>
      <c r="AR347" s="52" t="n">
        <v>0</v>
      </c>
      <c r="AS347" s="52" t="n">
        <v>0</v>
      </c>
      <c r="AT347" s="52" t="n">
        <v>0</v>
      </c>
      <c r="AU347" s="53" t="n">
        <v>0</v>
      </c>
      <c r="AV347" s="53" t="n">
        <v>0</v>
      </c>
      <c r="AW347" s="53" t="n">
        <v>0</v>
      </c>
      <c r="AX347" s="53" t="n">
        <v>0</v>
      </c>
      <c r="AY347" s="52" t="n">
        <v>0</v>
      </c>
      <c r="AZ347" s="52" t="n">
        <v>0</v>
      </c>
      <c r="BA347" s="52" t="n">
        <v>0</v>
      </c>
      <c r="BB347" s="52" t="n">
        <v>0</v>
      </c>
      <c r="BC347" s="51" t="n">
        <v>0</v>
      </c>
      <c r="BD347" s="51" t="n">
        <v>0</v>
      </c>
      <c r="BE347" s="51" t="n">
        <v>0</v>
      </c>
      <c r="BF347" s="51" t="n">
        <v>0</v>
      </c>
    </row>
    <row r="348">
      <c r="A348">
        <f>HYPERLINK("https://www.walmart.com/ip/568941794", "568941794")</f>
        <v/>
      </c>
      <c r="B348" t="inlineStr">
        <is>
          <t>Solaris Women Floppy Sun Beach Hats with Wide Brim Straw Edge Summer UV Protection Foldable Gardening Hiking Cap, Tan</t>
        </is>
      </c>
      <c r="C348" t="inlineStr">
        <is>
          <t>1SLSH371TN</t>
        </is>
      </c>
      <c r="D348" t="inlineStr">
        <is>
          <t>Hats</t>
        </is>
      </c>
      <c r="E348" t="inlineStr">
        <is>
          <t>Solaris</t>
        </is>
      </c>
      <c r="F348" t="inlineStr">
        <is>
          <t>Batch 1 - TR</t>
        </is>
      </c>
      <c r="G348" s="48" t="n">
        <v>0</v>
      </c>
      <c r="H348" s="48" t="n">
        <v>0</v>
      </c>
      <c r="I348" s="48" t="n">
        <v>0</v>
      </c>
      <c r="J348" s="48" t="n">
        <v>0</v>
      </c>
      <c r="K348" s="49" t="n">
        <v>0</v>
      </c>
      <c r="L348" s="49" t="n">
        <v>0</v>
      </c>
      <c r="M348" s="49" t="n">
        <v>0</v>
      </c>
      <c r="N348" s="49" t="n">
        <v>0</v>
      </c>
      <c r="O348" s="49" t="n">
        <v>0</v>
      </c>
      <c r="P348" s="49" t="n">
        <v>0</v>
      </c>
      <c r="Q348" s="49" t="n">
        <v>0</v>
      </c>
      <c r="R348" s="49" t="n">
        <v>0</v>
      </c>
      <c r="S348" s="50" t="n">
        <v>0</v>
      </c>
      <c r="T348" s="50" t="n">
        <v>0</v>
      </c>
      <c r="U348" s="50" t="n">
        <v>0</v>
      </c>
      <c r="V348" s="50" t="n">
        <v>0</v>
      </c>
      <c r="W348" s="51" t="n">
        <v>0</v>
      </c>
      <c r="X348" s="51" t="n">
        <v>0</v>
      </c>
      <c r="Y348" s="51" t="n">
        <v>0</v>
      </c>
      <c r="Z348" s="51" t="n">
        <v>0</v>
      </c>
      <c r="AA348" s="52" t="n">
        <v>0</v>
      </c>
      <c r="AB348" s="52" t="n">
        <v>0</v>
      </c>
      <c r="AC348" s="52" t="n">
        <v>0</v>
      </c>
      <c r="AD348" s="52" t="n">
        <v>0</v>
      </c>
      <c r="AE348" s="52" t="n">
        <v>0</v>
      </c>
      <c r="AF348" s="52" t="n">
        <v>0</v>
      </c>
      <c r="AG348" s="52" t="n">
        <v>0</v>
      </c>
      <c r="AH348" s="52" t="n">
        <v>0</v>
      </c>
      <c r="AI348" s="52" t="n">
        <v>0</v>
      </c>
      <c r="AJ348" s="52" t="n">
        <v>0</v>
      </c>
      <c r="AK348" s="52" t="n">
        <v>0</v>
      </c>
      <c r="AL348" s="52" t="n">
        <v>0</v>
      </c>
      <c r="AM348" s="53" t="n">
        <v>0</v>
      </c>
      <c r="AN348" s="53" t="n">
        <v>0</v>
      </c>
      <c r="AO348" s="53" t="n">
        <v>0</v>
      </c>
      <c r="AP348" s="53" t="n">
        <v>0</v>
      </c>
      <c r="AQ348" s="52" t="n">
        <v>0</v>
      </c>
      <c r="AR348" s="52" t="n">
        <v>0</v>
      </c>
      <c r="AS348" s="52" t="n">
        <v>0</v>
      </c>
      <c r="AT348" s="52" t="n">
        <v>0</v>
      </c>
      <c r="AU348" s="53" t="n">
        <v>0</v>
      </c>
      <c r="AV348" s="53" t="n">
        <v>0</v>
      </c>
      <c r="AW348" s="53" t="n">
        <v>0</v>
      </c>
      <c r="AX348" s="53" t="n">
        <v>0</v>
      </c>
      <c r="AY348" s="52" t="n">
        <v>0</v>
      </c>
      <c r="AZ348" s="52" t="n">
        <v>0</v>
      </c>
      <c r="BA348" s="52" t="n">
        <v>0</v>
      </c>
      <c r="BB348" s="52" t="n">
        <v>0</v>
      </c>
      <c r="BC348" s="51" t="n">
        <v>0</v>
      </c>
      <c r="BD348" s="51" t="n">
        <v>0</v>
      </c>
      <c r="BE348" s="51" t="n">
        <v>0</v>
      </c>
      <c r="BF348" s="51" t="n">
        <v>0</v>
      </c>
    </row>
    <row r="349">
      <c r="A349">
        <f>HYPERLINK("https://www.walmart.com/ip/568915147", "568915147")</f>
        <v/>
      </c>
      <c r="B349" t="inlineStr">
        <is>
          <t>Solaris Men Winter Ski Snow Gloves with Breathable Face Mask The Warmest 3M Insulation Waterproof Outdoor Snowboard Mitt</t>
        </is>
      </c>
      <c r="C349" t="inlineStr">
        <is>
          <t>1SLWG301GYBK-M</t>
        </is>
      </c>
      <c r="D349" t="inlineStr">
        <is>
          <t>Gloves &amp; Mittens</t>
        </is>
      </c>
      <c r="E349" t="inlineStr">
        <is>
          <t>Solaris</t>
        </is>
      </c>
      <c r="F349" t="inlineStr">
        <is>
          <t>Gloves,WFS,WFS Item</t>
        </is>
      </c>
      <c r="G349" s="48" t="n">
        <v>0</v>
      </c>
      <c r="H349" s="48" t="n">
        <v>0</v>
      </c>
      <c r="I349" s="48" t="n">
        <v>0</v>
      </c>
      <c r="J349" s="48" t="n">
        <v>0</v>
      </c>
      <c r="K349" s="49" t="n">
        <v>0</v>
      </c>
      <c r="L349" s="49" t="n">
        <v>0</v>
      </c>
      <c r="M349" s="49" t="n">
        <v>0</v>
      </c>
      <c r="N349" s="49" t="n">
        <v>0</v>
      </c>
      <c r="O349" s="49" t="n">
        <v>0</v>
      </c>
      <c r="P349" s="49" t="n">
        <v>0</v>
      </c>
      <c r="Q349" s="49" t="n">
        <v>0</v>
      </c>
      <c r="R349" s="49" t="n">
        <v>0</v>
      </c>
      <c r="S349" s="50" t="n">
        <v>0</v>
      </c>
      <c r="T349" s="50" t="n">
        <v>0</v>
      </c>
      <c r="U349" s="50" t="n">
        <v>0</v>
      </c>
      <c r="V349" s="50" t="n">
        <v>0</v>
      </c>
      <c r="W349" s="51" t="n">
        <v>0</v>
      </c>
      <c r="X349" s="51" t="n">
        <v>0</v>
      </c>
      <c r="Y349" s="51" t="n">
        <v>0</v>
      </c>
      <c r="Z349" s="51" t="n">
        <v>0</v>
      </c>
      <c r="AA349" s="52" t="n">
        <v>0</v>
      </c>
      <c r="AB349" s="52" t="n">
        <v>0</v>
      </c>
      <c r="AC349" s="52" t="n">
        <v>0</v>
      </c>
      <c r="AD349" s="52" t="n">
        <v>0</v>
      </c>
      <c r="AE349" s="52" t="n">
        <v>0</v>
      </c>
      <c r="AF349" s="52" t="n">
        <v>0</v>
      </c>
      <c r="AG349" s="52" t="n">
        <v>0</v>
      </c>
      <c r="AH349" s="52" t="n">
        <v>0</v>
      </c>
      <c r="AI349" s="52" t="n">
        <v>0</v>
      </c>
      <c r="AJ349" s="52" t="n">
        <v>0</v>
      </c>
      <c r="AK349" s="52" t="n">
        <v>0</v>
      </c>
      <c r="AL349" s="52" t="n">
        <v>0</v>
      </c>
      <c r="AM349" s="53" t="n">
        <v>0</v>
      </c>
      <c r="AN349" s="53" t="n">
        <v>0</v>
      </c>
      <c r="AO349" s="53" t="n">
        <v>0</v>
      </c>
      <c r="AP349" s="53" t="n">
        <v>0</v>
      </c>
      <c r="AQ349" s="52" t="n">
        <v>0</v>
      </c>
      <c r="AR349" s="52" t="n">
        <v>0</v>
      </c>
      <c r="AS349" s="52" t="n">
        <v>0</v>
      </c>
      <c r="AT349" s="52" t="n">
        <v>0</v>
      </c>
      <c r="AU349" s="53" t="n">
        <v>0</v>
      </c>
      <c r="AV349" s="53" t="n">
        <v>0</v>
      </c>
      <c r="AW349" s="53" t="n">
        <v>0</v>
      </c>
      <c r="AX349" s="53" t="n">
        <v>0</v>
      </c>
      <c r="AY349" s="52" t="n">
        <v>0</v>
      </c>
      <c r="AZ349" s="52" t="n">
        <v>0</v>
      </c>
      <c r="BA349" s="52" t="n">
        <v>0</v>
      </c>
      <c r="BB349" s="52" t="n">
        <v>0</v>
      </c>
      <c r="BC349" s="51" t="n">
        <v>0</v>
      </c>
      <c r="BD349" s="51" t="n">
        <v>0</v>
      </c>
      <c r="BE349" s="51" t="n">
        <v>0</v>
      </c>
      <c r="BF349" s="51" t="n">
        <v>0</v>
      </c>
    </row>
    <row r="350">
      <c r="A350">
        <f>HYPERLINK("https://www.walmart.com/ip/568894069", "568894069")</f>
        <v/>
      </c>
      <c r="B350" t="inlineStr">
        <is>
          <t>Tirrinia Waterproof Outdoor Blanket with Sherpa Lining,Windproof Triple Layers Warm Comfy Foldable for Camping Stadium,Sports,Picnic,Grass,Concerts,Pet,51''X 59'',Navy Blue</t>
        </is>
      </c>
      <c r="C350" t="inlineStr">
        <is>
          <t>1TRBW506NYGY-CD</t>
        </is>
      </c>
      <c r="D350" t="inlineStr">
        <is>
          <t>Throws</t>
        </is>
      </c>
      <c r="E350" t="inlineStr">
        <is>
          <t>Tirrinia</t>
        </is>
      </c>
      <c r="F350" t="inlineStr">
        <is>
          <t>Q2-Target,Batch 1 - TR</t>
        </is>
      </c>
      <c r="G350" s="48" t="n">
        <v>0</v>
      </c>
      <c r="H350" s="48" t="n">
        <v>0</v>
      </c>
      <c r="I350" s="48" t="n">
        <v>0</v>
      </c>
      <c r="J350" s="48" t="n">
        <v>34.98</v>
      </c>
      <c r="K350" s="49" t="n">
        <v>0</v>
      </c>
      <c r="L350" s="49" t="n">
        <v>0</v>
      </c>
      <c r="M350" s="49" t="n">
        <v>0</v>
      </c>
      <c r="N350" s="49" t="n">
        <v>1</v>
      </c>
      <c r="O350" s="49" t="n">
        <v>4</v>
      </c>
      <c r="P350" s="49" t="n">
        <v>2</v>
      </c>
      <c r="Q350" s="49" t="n">
        <v>4</v>
      </c>
      <c r="R350" s="49" t="n">
        <v>6</v>
      </c>
      <c r="S350" s="50" t="n">
        <v>0</v>
      </c>
      <c r="T350" s="50" t="n">
        <v>0</v>
      </c>
      <c r="U350" s="50" t="n">
        <v>0</v>
      </c>
      <c r="V350" s="50" t="n">
        <v>0.1666666666666667</v>
      </c>
      <c r="W350" s="51" t="n">
        <v>0</v>
      </c>
      <c r="X350" s="51" t="n">
        <v>0</v>
      </c>
      <c r="Y350" s="51" t="n">
        <v>0</v>
      </c>
      <c r="Z350" s="51" t="n">
        <v>0</v>
      </c>
      <c r="AA350" s="52" t="n">
        <v>0</v>
      </c>
      <c r="AB350" s="52" t="n">
        <v>0</v>
      </c>
      <c r="AC350" s="52" t="n">
        <v>0</v>
      </c>
      <c r="AD350" s="52" t="n">
        <v>0</v>
      </c>
      <c r="AE350" s="52" t="n">
        <v>0</v>
      </c>
      <c r="AF350" s="52" t="n">
        <v>0</v>
      </c>
      <c r="AG350" s="52" t="n">
        <v>0</v>
      </c>
      <c r="AH350" s="52" t="n">
        <v>0</v>
      </c>
      <c r="AI350" s="52" t="n">
        <v>0</v>
      </c>
      <c r="AJ350" s="52" t="n">
        <v>0</v>
      </c>
      <c r="AK350" s="52" t="n">
        <v>0</v>
      </c>
      <c r="AL350" s="52" t="n">
        <v>0</v>
      </c>
      <c r="AM350" s="53" t="n">
        <v>0</v>
      </c>
      <c r="AN350" s="53" t="n">
        <v>0</v>
      </c>
      <c r="AO350" s="53" t="n">
        <v>0</v>
      </c>
      <c r="AP350" s="53" t="n">
        <v>0</v>
      </c>
      <c r="AQ350" s="52" t="n">
        <v>0</v>
      </c>
      <c r="AR350" s="52" t="n">
        <v>0</v>
      </c>
      <c r="AS350" s="52" t="n">
        <v>0</v>
      </c>
      <c r="AT350" s="52" t="n">
        <v>0</v>
      </c>
      <c r="AU350" s="53" t="n">
        <v>0</v>
      </c>
      <c r="AV350" s="53" t="n">
        <v>0</v>
      </c>
      <c r="AW350" s="53" t="n">
        <v>0</v>
      </c>
      <c r="AX350" s="53" t="n">
        <v>0</v>
      </c>
      <c r="AY350" s="52" t="n">
        <v>0</v>
      </c>
      <c r="AZ350" s="52" t="n">
        <v>0</v>
      </c>
      <c r="BA350" s="52" t="n">
        <v>0</v>
      </c>
      <c r="BB350" s="52" t="n">
        <v>34.98</v>
      </c>
      <c r="BC350" s="51" t="n">
        <v>373</v>
      </c>
      <c r="BD350" s="51" t="n">
        <v>574</v>
      </c>
      <c r="BE350" s="51" t="n">
        <v>0</v>
      </c>
      <c r="BF350" s="51" t="n">
        <v>317</v>
      </c>
    </row>
    <row r="351">
      <c r="A351">
        <f>HYPERLINK("https://www.walmart.com/ip/568672180", "568672180")</f>
        <v/>
      </c>
      <c r="B351" t="inlineStr">
        <is>
          <t>Kritter Planet Waterproof Dog Blanket for Couch, Washable Pet Couch Cover, Non-slip Bed Sofa Furniture Protector Mat, 60''x50'', Navy</t>
        </is>
      </c>
      <c r="C351" t="inlineStr">
        <is>
          <t>1KPBW566NY</t>
        </is>
      </c>
      <c r="D351" t="inlineStr">
        <is>
          <t>Pet Blankets</t>
        </is>
      </c>
      <c r="E351" t="inlineStr">
        <is>
          <t>Kritter Planet</t>
        </is>
      </c>
      <c r="F351" t="inlineStr">
        <is>
          <t>SEM,Batch 1 - TR</t>
        </is>
      </c>
      <c r="G351" s="48" t="n">
        <v>0</v>
      </c>
      <c r="H351" s="48" t="n">
        <v>0</v>
      </c>
      <c r="I351" s="48" t="n">
        <v>19.99</v>
      </c>
      <c r="J351" s="48" t="n">
        <v>0</v>
      </c>
      <c r="K351" s="49" t="n">
        <v>0</v>
      </c>
      <c r="L351" s="49" t="n">
        <v>0</v>
      </c>
      <c r="M351" s="49" t="n">
        <v>1</v>
      </c>
      <c r="N351" s="49" t="n">
        <v>0</v>
      </c>
      <c r="O351" s="49" t="n">
        <v>0</v>
      </c>
      <c r="P351" s="49" t="n">
        <v>0</v>
      </c>
      <c r="Q351" s="49" t="n">
        <v>0</v>
      </c>
      <c r="R351" s="49" t="n">
        <v>0</v>
      </c>
      <c r="S351" s="50" t="n">
        <v>0</v>
      </c>
      <c r="T351" s="50" t="n">
        <v>0</v>
      </c>
      <c r="U351" s="50" t="n">
        <v>0</v>
      </c>
      <c r="V351" s="50" t="n">
        <v>0</v>
      </c>
      <c r="W351" s="51" t="n">
        <v>8</v>
      </c>
      <c r="X351" s="51" t="n">
        <v>8</v>
      </c>
      <c r="Y351" s="51" t="n">
        <v>11</v>
      </c>
      <c r="Z351" s="51" t="n">
        <v>7</v>
      </c>
      <c r="AA351" s="52" t="n">
        <v>3.25</v>
      </c>
      <c r="AB351" s="52" t="n">
        <v>3.06</v>
      </c>
      <c r="AC351" s="52" t="n">
        <v>4.77</v>
      </c>
      <c r="AD351" s="52" t="n">
        <v>3.05</v>
      </c>
      <c r="AE351" s="52" t="n">
        <v>0</v>
      </c>
      <c r="AF351" s="52" t="n">
        <v>0</v>
      </c>
      <c r="AG351" s="52" t="n">
        <v>19.99</v>
      </c>
      <c r="AH351" s="52" t="n">
        <v>0</v>
      </c>
      <c r="AI351" s="52" t="n">
        <v>0</v>
      </c>
      <c r="AJ351" s="52" t="n">
        <v>0</v>
      </c>
      <c r="AK351" s="52" t="n">
        <v>4.19</v>
      </c>
      <c r="AL351" s="52" t="n">
        <v>0</v>
      </c>
      <c r="AM351" s="53" t="n">
        <v>0.0009</v>
      </c>
      <c r="AN351" s="53" t="n">
        <v>0.0008</v>
      </c>
      <c r="AO351" s="53" t="n">
        <v>0.0011</v>
      </c>
      <c r="AP351" s="53" t="n">
        <v>0.0009</v>
      </c>
      <c r="AQ351" s="52" t="n">
        <v>0.40625</v>
      </c>
      <c r="AR351" s="52" t="n">
        <v>0.3825000000000001</v>
      </c>
      <c r="AS351" s="52" t="n">
        <v>0.4336363636363636</v>
      </c>
      <c r="AT351" s="52" t="n">
        <v>0.4357142857142857</v>
      </c>
      <c r="AU351" s="53" t="n">
        <v>0</v>
      </c>
      <c r="AV351" s="53" t="n">
        <v>0</v>
      </c>
      <c r="AW351" s="53" t="n">
        <v>0.2386193096548274</v>
      </c>
      <c r="AX351" s="53" t="n">
        <v>0</v>
      </c>
      <c r="AY351" s="52" t="n">
        <v>0</v>
      </c>
      <c r="AZ351" s="52" t="n">
        <v>0</v>
      </c>
      <c r="BA351" s="52" t="n">
        <v>19.99</v>
      </c>
      <c r="BB351" s="52" t="n">
        <v>0</v>
      </c>
      <c r="BC351" s="51" t="n">
        <v>8675</v>
      </c>
      <c r="BD351" s="51" t="n">
        <v>10027</v>
      </c>
      <c r="BE351" s="51" t="n">
        <v>9773</v>
      </c>
      <c r="BF351" s="51" t="n">
        <v>7698</v>
      </c>
    </row>
    <row r="352">
      <c r="A352">
        <f>HYPERLINK("https://www.walmart.com/ip/6109704781", "6109704781")</f>
        <v/>
      </c>
      <c r="B352" t="inlineStr">
        <is>
          <t>Catalonia Cooling Blanket for Hot Sleepers, Summer Bed Blanket for Warm Night Sweat, Cool Sofa Throw Blanket for Hot Flashes, Soft Thin Lightweight Blanket for Adults Kids</t>
        </is>
      </c>
      <c r="C352" t="inlineStr">
        <is>
          <t>1CTBQ10157GN</t>
        </is>
      </c>
      <c r="D352" t="inlineStr">
        <is>
          <t>Throws</t>
        </is>
      </c>
      <c r="E352" t="inlineStr">
        <is>
          <t>Catalonia</t>
        </is>
      </c>
      <c r="G352" s="48" t="n">
        <v>0</v>
      </c>
      <c r="H352" s="48" t="n">
        <v>0</v>
      </c>
      <c r="I352" s="48" t="n">
        <v>0</v>
      </c>
      <c r="J352" s="48" t="n">
        <v>0</v>
      </c>
      <c r="K352" s="49" t="n">
        <v>0</v>
      </c>
      <c r="L352" s="49" t="n">
        <v>0</v>
      </c>
      <c r="M352" s="49" t="n">
        <v>0</v>
      </c>
      <c r="N352" s="49" t="n">
        <v>0</v>
      </c>
      <c r="O352" s="49" t="n">
        <v>0</v>
      </c>
      <c r="P352" s="49" t="n">
        <v>0</v>
      </c>
      <c r="Q352" s="49" t="n">
        <v>0</v>
      </c>
      <c r="R352" s="49" t="n">
        <v>0</v>
      </c>
      <c r="S352" s="50" t="n">
        <v>0</v>
      </c>
      <c r="T352" s="50" t="n">
        <v>0</v>
      </c>
      <c r="U352" s="50" t="n">
        <v>0</v>
      </c>
      <c r="V352" s="50" t="n">
        <v>0</v>
      </c>
      <c r="W352" s="51" t="n">
        <v>0</v>
      </c>
      <c r="X352" s="51" t="n">
        <v>0</v>
      </c>
      <c r="Y352" s="51" t="n">
        <v>0</v>
      </c>
      <c r="Z352" s="51" t="n">
        <v>0</v>
      </c>
      <c r="AA352" s="52" t="n">
        <v>0</v>
      </c>
      <c r="AB352" s="52" t="n">
        <v>0</v>
      </c>
      <c r="AC352" s="52" t="n">
        <v>0</v>
      </c>
      <c r="AD352" s="52" t="n">
        <v>0</v>
      </c>
      <c r="AE352" s="52" t="n">
        <v>0</v>
      </c>
      <c r="AF352" s="52" t="n">
        <v>0</v>
      </c>
      <c r="AG352" s="52" t="n">
        <v>0</v>
      </c>
      <c r="AH352" s="52" t="n">
        <v>0</v>
      </c>
      <c r="AI352" s="52" t="n">
        <v>0</v>
      </c>
      <c r="AJ352" s="52" t="n">
        <v>0</v>
      </c>
      <c r="AK352" s="52" t="n">
        <v>0</v>
      </c>
      <c r="AL352" s="52" t="n">
        <v>0</v>
      </c>
      <c r="AM352" s="53" t="n">
        <v>0</v>
      </c>
      <c r="AN352" s="53" t="n">
        <v>0</v>
      </c>
      <c r="AO352" s="53" t="n">
        <v>0</v>
      </c>
      <c r="AP352" s="53" t="n">
        <v>0</v>
      </c>
      <c r="AQ352" s="52" t="n">
        <v>0</v>
      </c>
      <c r="AR352" s="52" t="n">
        <v>0</v>
      </c>
      <c r="AS352" s="52" t="n">
        <v>0</v>
      </c>
      <c r="AT352" s="52" t="n">
        <v>0</v>
      </c>
      <c r="AU352" s="53" t="n">
        <v>0</v>
      </c>
      <c r="AV352" s="53" t="n">
        <v>0</v>
      </c>
      <c r="AW352" s="53" t="n">
        <v>0</v>
      </c>
      <c r="AX352" s="53" t="n">
        <v>0</v>
      </c>
      <c r="AY352" s="52" t="n">
        <v>0</v>
      </c>
      <c r="AZ352" s="52" t="n">
        <v>0</v>
      </c>
      <c r="BA352" s="52" t="n">
        <v>0</v>
      </c>
      <c r="BB352" s="52" t="n">
        <v>0</v>
      </c>
      <c r="BC352" s="51" t="n">
        <v>0</v>
      </c>
      <c r="BD352" s="51" t="n">
        <v>0</v>
      </c>
      <c r="BE352" s="51" t="n">
        <v>0</v>
      </c>
      <c r="BF352" s="51" t="n">
        <v>0</v>
      </c>
    </row>
    <row r="353">
      <c r="A353">
        <f>HYPERLINK("https://www.walmart.com/ip/611098775", "611098775")</f>
        <v/>
      </c>
      <c r="B353" t="inlineStr">
        <is>
          <t>Terra Mens Baseball Cap Hat Red Line Crossing Pattern Printed Flat Bill Buckle</t>
        </is>
      </c>
      <c r="C353" t="inlineStr">
        <is>
          <t>TERRACAP-B001</t>
        </is>
      </c>
      <c r="D353" t="inlineStr">
        <is>
          <t>Hats</t>
        </is>
      </c>
      <c r="E353" t="inlineStr">
        <is>
          <t>Terra</t>
        </is>
      </c>
      <c r="F353" t="inlineStr">
        <is>
          <t>Optimized</t>
        </is>
      </c>
      <c r="G353" s="48" t="n">
        <v>0</v>
      </c>
      <c r="H353" s="48" t="n">
        <v>0</v>
      </c>
      <c r="I353" s="48" t="n">
        <v>0</v>
      </c>
      <c r="J353" s="48" t="n">
        <v>0</v>
      </c>
      <c r="K353" s="49" t="n">
        <v>0</v>
      </c>
      <c r="L353" s="49" t="n">
        <v>0</v>
      </c>
      <c r="M353" s="49" t="n">
        <v>0</v>
      </c>
      <c r="N353" s="49" t="n">
        <v>0</v>
      </c>
      <c r="O353" s="49" t="n">
        <v>0</v>
      </c>
      <c r="P353" s="49" t="n">
        <v>0</v>
      </c>
      <c r="Q353" s="49" t="n">
        <v>0</v>
      </c>
      <c r="R353" s="49" t="n">
        <v>0</v>
      </c>
      <c r="S353" s="50" t="n">
        <v>0</v>
      </c>
      <c r="T353" s="50" t="n">
        <v>0</v>
      </c>
      <c r="U353" s="50" t="n">
        <v>0</v>
      </c>
      <c r="V353" s="50" t="n">
        <v>0</v>
      </c>
      <c r="W353" s="51" t="n">
        <v>0</v>
      </c>
      <c r="X353" s="51" t="n">
        <v>0</v>
      </c>
      <c r="Y353" s="51" t="n">
        <v>0</v>
      </c>
      <c r="Z353" s="51" t="n">
        <v>0</v>
      </c>
      <c r="AA353" s="52" t="n">
        <v>0</v>
      </c>
      <c r="AB353" s="52" t="n">
        <v>0</v>
      </c>
      <c r="AC353" s="52" t="n">
        <v>0</v>
      </c>
      <c r="AD353" s="52" t="n">
        <v>0</v>
      </c>
      <c r="AE353" s="52" t="n">
        <v>0</v>
      </c>
      <c r="AF353" s="52" t="n">
        <v>0</v>
      </c>
      <c r="AG353" s="52" t="n">
        <v>0</v>
      </c>
      <c r="AH353" s="52" t="n">
        <v>0</v>
      </c>
      <c r="AI353" s="52" t="n">
        <v>0</v>
      </c>
      <c r="AJ353" s="52" t="n">
        <v>0</v>
      </c>
      <c r="AK353" s="52" t="n">
        <v>0</v>
      </c>
      <c r="AL353" s="52" t="n">
        <v>0</v>
      </c>
      <c r="AM353" s="53" t="n">
        <v>0</v>
      </c>
      <c r="AN353" s="53" t="n">
        <v>0</v>
      </c>
      <c r="AO353" s="53" t="n">
        <v>0</v>
      </c>
      <c r="AP353" s="53" t="n">
        <v>0</v>
      </c>
      <c r="AQ353" s="52" t="n">
        <v>0</v>
      </c>
      <c r="AR353" s="52" t="n">
        <v>0</v>
      </c>
      <c r="AS353" s="52" t="n">
        <v>0</v>
      </c>
      <c r="AT353" s="52" t="n">
        <v>0</v>
      </c>
      <c r="AU353" s="53" t="n">
        <v>0</v>
      </c>
      <c r="AV353" s="53" t="n">
        <v>0</v>
      </c>
      <c r="AW353" s="53" t="n">
        <v>0</v>
      </c>
      <c r="AX353" s="53" t="n">
        <v>0</v>
      </c>
      <c r="AY353" s="52" t="n">
        <v>0</v>
      </c>
      <c r="AZ353" s="52" t="n">
        <v>0</v>
      </c>
      <c r="BA353" s="52" t="n">
        <v>0</v>
      </c>
      <c r="BB353" s="52" t="n">
        <v>0</v>
      </c>
      <c r="BC353" s="51" t="n">
        <v>0</v>
      </c>
      <c r="BD353" s="51" t="n">
        <v>0</v>
      </c>
      <c r="BE353" s="51" t="n">
        <v>0</v>
      </c>
      <c r="BF353" s="51" t="n">
        <v>0</v>
      </c>
    </row>
    <row r="354">
      <c r="A354">
        <f>HYPERLINK("https://www.walmart.com/ip/5681022436", "5681022436")</f>
        <v/>
      </c>
      <c r="B354" t="inlineStr">
        <is>
          <t>Tirrinia Camping Cooler Bag Insulated w/ Shoulder Strap and Bottle Opener 20 Cans Portable Ice Chest for Camping Hiking Picnic Beach</t>
        </is>
      </c>
      <c r="C354" t="inlineStr">
        <is>
          <t>1TRCB00136GYBK</t>
        </is>
      </c>
      <c r="D354" t="inlineStr">
        <is>
          <t>Soft-Sided Coolers</t>
        </is>
      </c>
      <c r="E354" t="inlineStr">
        <is>
          <t>Tirrinia</t>
        </is>
      </c>
      <c r="G354" s="48" t="n">
        <v>0</v>
      </c>
      <c r="H354" s="48" t="n">
        <v>0</v>
      </c>
      <c r="I354" s="48" t="n">
        <v>0</v>
      </c>
      <c r="J354" s="48" t="n">
        <v>0</v>
      </c>
      <c r="K354" s="49" t="n">
        <v>0</v>
      </c>
      <c r="L354" s="49" t="n">
        <v>0</v>
      </c>
      <c r="M354" s="49" t="n">
        <v>0</v>
      </c>
      <c r="N354" s="49" t="n">
        <v>0</v>
      </c>
      <c r="O354" s="49" t="n">
        <v>0</v>
      </c>
      <c r="P354" s="49" t="n">
        <v>2</v>
      </c>
      <c r="Q354" s="49" t="n">
        <v>1</v>
      </c>
      <c r="R354" s="49" t="n">
        <v>3</v>
      </c>
      <c r="S354" s="50" t="n">
        <v>0</v>
      </c>
      <c r="T354" s="50" t="n">
        <v>0</v>
      </c>
      <c r="U354" s="50" t="n">
        <v>0</v>
      </c>
      <c r="V354" s="50" t="n">
        <v>0</v>
      </c>
      <c r="W354" s="51" t="n">
        <v>0</v>
      </c>
      <c r="X354" s="51" t="n">
        <v>0</v>
      </c>
      <c r="Y354" s="51" t="n">
        <v>0</v>
      </c>
      <c r="Z354" s="51" t="n">
        <v>0</v>
      </c>
      <c r="AA354" s="52" t="n">
        <v>0</v>
      </c>
      <c r="AB354" s="52" t="n">
        <v>0</v>
      </c>
      <c r="AC354" s="52" t="n">
        <v>0</v>
      </c>
      <c r="AD354" s="52" t="n">
        <v>0</v>
      </c>
      <c r="AE354" s="52" t="n">
        <v>0</v>
      </c>
      <c r="AF354" s="52" t="n">
        <v>0</v>
      </c>
      <c r="AG354" s="52" t="n">
        <v>0</v>
      </c>
      <c r="AH354" s="52" t="n">
        <v>0</v>
      </c>
      <c r="AI354" s="52" t="n">
        <v>0</v>
      </c>
      <c r="AJ354" s="52" t="n">
        <v>0</v>
      </c>
      <c r="AK354" s="52" t="n">
        <v>0</v>
      </c>
      <c r="AL354" s="52" t="n">
        <v>0</v>
      </c>
      <c r="AM354" s="53" t="n">
        <v>0</v>
      </c>
      <c r="AN354" s="53" t="n">
        <v>0</v>
      </c>
      <c r="AO354" s="53" t="n">
        <v>0</v>
      </c>
      <c r="AP354" s="53" t="n">
        <v>0</v>
      </c>
      <c r="AQ354" s="52" t="n">
        <v>0</v>
      </c>
      <c r="AR354" s="52" t="n">
        <v>0</v>
      </c>
      <c r="AS354" s="52" t="n">
        <v>0</v>
      </c>
      <c r="AT354" s="52" t="n">
        <v>0</v>
      </c>
      <c r="AU354" s="53" t="n">
        <v>0</v>
      </c>
      <c r="AV354" s="53" t="n">
        <v>0</v>
      </c>
      <c r="AW354" s="53" t="n">
        <v>0</v>
      </c>
      <c r="AX354" s="53" t="n">
        <v>0</v>
      </c>
      <c r="AY354" s="52" t="n">
        <v>0</v>
      </c>
      <c r="AZ354" s="52" t="n">
        <v>0</v>
      </c>
      <c r="BA354" s="52" t="n">
        <v>0</v>
      </c>
      <c r="BB354" s="52" t="n">
        <v>0</v>
      </c>
      <c r="BC354" s="51" t="n">
        <v>0</v>
      </c>
      <c r="BD354" s="51" t="n">
        <v>0</v>
      </c>
      <c r="BE354" s="51" t="n">
        <v>0</v>
      </c>
      <c r="BF354" s="51" t="n">
        <v>0</v>
      </c>
    </row>
    <row r="355">
      <c r="A355">
        <f>HYPERLINK("https://www.walmart.com/ip/611208551", "611208551")</f>
        <v/>
      </c>
      <c r="B355" t="inlineStr">
        <is>
          <t>Tirrinia Men's Reversible Hunting Beanie, Blaze Orange, Forest Camo</t>
        </is>
      </c>
      <c r="C355" t="inlineStr">
        <is>
          <t>1TRHT1740-TBCB</t>
        </is>
      </c>
      <c r="D355" t="inlineStr">
        <is>
          <t>Hats</t>
        </is>
      </c>
      <c r="E355" t="inlineStr">
        <is>
          <t>Tirrinia</t>
        </is>
      </c>
      <c r="F355" t="inlineStr">
        <is>
          <t>Optimized</t>
        </is>
      </c>
      <c r="G355" s="48" t="n">
        <v>0</v>
      </c>
      <c r="H355" s="48" t="n">
        <v>0</v>
      </c>
      <c r="I355" s="48" t="n">
        <v>0</v>
      </c>
      <c r="J355" s="48" t="n">
        <v>0</v>
      </c>
      <c r="K355" s="49" t="n">
        <v>0</v>
      </c>
      <c r="L355" s="49" t="n">
        <v>0</v>
      </c>
      <c r="M355" s="49" t="n">
        <v>0</v>
      </c>
      <c r="N355" s="49" t="n">
        <v>0</v>
      </c>
      <c r="O355" s="49" t="n">
        <v>0</v>
      </c>
      <c r="P355" s="49" t="n">
        <v>0</v>
      </c>
      <c r="Q355" s="49" t="n">
        <v>0</v>
      </c>
      <c r="R355" s="49" t="n">
        <v>0</v>
      </c>
      <c r="S355" s="50" t="n">
        <v>0</v>
      </c>
      <c r="T355" s="50" t="n">
        <v>0</v>
      </c>
      <c r="U355" s="50" t="n">
        <v>0</v>
      </c>
      <c r="V355" s="50" t="n">
        <v>0</v>
      </c>
      <c r="W355" s="51" t="n">
        <v>0</v>
      </c>
      <c r="X355" s="51" t="n">
        <v>0</v>
      </c>
      <c r="Y355" s="51" t="n">
        <v>0</v>
      </c>
      <c r="Z355" s="51" t="n">
        <v>0</v>
      </c>
      <c r="AA355" s="52" t="n">
        <v>0</v>
      </c>
      <c r="AB355" s="52" t="n">
        <v>0</v>
      </c>
      <c r="AC355" s="52" t="n">
        <v>0</v>
      </c>
      <c r="AD355" s="52" t="n">
        <v>0</v>
      </c>
      <c r="AE355" s="52" t="n">
        <v>0</v>
      </c>
      <c r="AF355" s="52" t="n">
        <v>0</v>
      </c>
      <c r="AG355" s="52" t="n">
        <v>0</v>
      </c>
      <c r="AH355" s="52" t="n">
        <v>0</v>
      </c>
      <c r="AI355" s="52" t="n">
        <v>0</v>
      </c>
      <c r="AJ355" s="52" t="n">
        <v>0</v>
      </c>
      <c r="AK355" s="52" t="n">
        <v>0</v>
      </c>
      <c r="AL355" s="52" t="n">
        <v>0</v>
      </c>
      <c r="AM355" s="53" t="n">
        <v>0</v>
      </c>
      <c r="AN355" s="53" t="n">
        <v>0</v>
      </c>
      <c r="AO355" s="53" t="n">
        <v>0</v>
      </c>
      <c r="AP355" s="53" t="n">
        <v>0</v>
      </c>
      <c r="AQ355" s="52" t="n">
        <v>0</v>
      </c>
      <c r="AR355" s="52" t="n">
        <v>0</v>
      </c>
      <c r="AS355" s="52" t="n">
        <v>0</v>
      </c>
      <c r="AT355" s="52" t="n">
        <v>0</v>
      </c>
      <c r="AU355" s="53" t="n">
        <v>0</v>
      </c>
      <c r="AV355" s="53" t="n">
        <v>0</v>
      </c>
      <c r="AW355" s="53" t="n">
        <v>0</v>
      </c>
      <c r="AX355" s="53" t="n">
        <v>0</v>
      </c>
      <c r="AY355" s="52" t="n">
        <v>0</v>
      </c>
      <c r="AZ355" s="52" t="n">
        <v>0</v>
      </c>
      <c r="BA355" s="52" t="n">
        <v>0</v>
      </c>
      <c r="BB355" s="52" t="n">
        <v>0</v>
      </c>
      <c r="BC355" s="51" t="n">
        <v>0</v>
      </c>
      <c r="BD355" s="51" t="n">
        <v>0</v>
      </c>
      <c r="BE355" s="51" t="n">
        <v>0</v>
      </c>
      <c r="BF355" s="51" t="n">
        <v>0</v>
      </c>
    </row>
    <row r="356">
      <c r="A356">
        <f>HYPERLINK("https://www.walmart.com/ip/6112612258", "6112612258")</f>
        <v/>
      </c>
      <c r="B356" t="inlineStr">
        <is>
          <t>Solaris Microfiber Beach Towel, 40”x71” Personalized Beach Towels for Adult Women, Sand-Resistant, Quick-Dry Soft Lightweight Compact Camping Towel, Ideal Travel Pool Beach Gifts</t>
        </is>
      </c>
      <c r="C356" t="inlineStr">
        <is>
          <t>1SLBM20147PHONE</t>
        </is>
      </c>
      <c r="D356" t="inlineStr">
        <is>
          <t>Towels &amp; Washcloths</t>
        </is>
      </c>
      <c r="E356" t="inlineStr">
        <is>
          <t>Solaris</t>
        </is>
      </c>
      <c r="G356" s="48" t="n">
        <v>0</v>
      </c>
      <c r="H356" s="48" t="n">
        <v>0</v>
      </c>
      <c r="I356" s="48" t="n">
        <v>0</v>
      </c>
      <c r="J356" s="48" t="n">
        <v>0</v>
      </c>
      <c r="K356" s="49" t="n">
        <v>0</v>
      </c>
      <c r="L356" s="49" t="n">
        <v>0</v>
      </c>
      <c r="M356" s="49" t="n">
        <v>0</v>
      </c>
      <c r="N356" s="49" t="n">
        <v>0</v>
      </c>
      <c r="O356" s="49" t="n">
        <v>0</v>
      </c>
      <c r="P356" s="49" t="n">
        <v>0</v>
      </c>
      <c r="Q356" s="49" t="n">
        <v>0</v>
      </c>
      <c r="R356" s="49" t="n">
        <v>0</v>
      </c>
      <c r="S356" s="50" t="n">
        <v>0</v>
      </c>
      <c r="T356" s="50" t="n">
        <v>0</v>
      </c>
      <c r="U356" s="50" t="n">
        <v>0</v>
      </c>
      <c r="V356" s="50" t="n">
        <v>0</v>
      </c>
      <c r="W356" s="51" t="n">
        <v>0</v>
      </c>
      <c r="X356" s="51" t="n">
        <v>0</v>
      </c>
      <c r="Y356" s="51" t="n">
        <v>0</v>
      </c>
      <c r="Z356" s="51" t="n">
        <v>0</v>
      </c>
      <c r="AA356" s="52" t="n">
        <v>0</v>
      </c>
      <c r="AB356" s="52" t="n">
        <v>0</v>
      </c>
      <c r="AC356" s="52" t="n">
        <v>0</v>
      </c>
      <c r="AD356" s="52" t="n">
        <v>0</v>
      </c>
      <c r="AE356" s="52" t="n">
        <v>0</v>
      </c>
      <c r="AF356" s="52" t="n">
        <v>0</v>
      </c>
      <c r="AG356" s="52" t="n">
        <v>0</v>
      </c>
      <c r="AH356" s="52" t="n">
        <v>0</v>
      </c>
      <c r="AI356" s="52" t="n">
        <v>0</v>
      </c>
      <c r="AJ356" s="52" t="n">
        <v>0</v>
      </c>
      <c r="AK356" s="52" t="n">
        <v>0</v>
      </c>
      <c r="AL356" s="52" t="n">
        <v>0</v>
      </c>
      <c r="AM356" s="53" t="n">
        <v>0</v>
      </c>
      <c r="AN356" s="53" t="n">
        <v>0</v>
      </c>
      <c r="AO356" s="53" t="n">
        <v>0</v>
      </c>
      <c r="AP356" s="53" t="n">
        <v>0</v>
      </c>
      <c r="AQ356" s="52" t="n">
        <v>0</v>
      </c>
      <c r="AR356" s="52" t="n">
        <v>0</v>
      </c>
      <c r="AS356" s="52" t="n">
        <v>0</v>
      </c>
      <c r="AT356" s="52" t="n">
        <v>0</v>
      </c>
      <c r="AU356" s="53" t="n">
        <v>0</v>
      </c>
      <c r="AV356" s="53" t="n">
        <v>0</v>
      </c>
      <c r="AW356" s="53" t="n">
        <v>0</v>
      </c>
      <c r="AX356" s="53" t="n">
        <v>0</v>
      </c>
      <c r="AY356" s="52" t="n">
        <v>0</v>
      </c>
      <c r="AZ356" s="52" t="n">
        <v>0</v>
      </c>
      <c r="BA356" s="52" t="n">
        <v>0</v>
      </c>
      <c r="BB356" s="52" t="n">
        <v>0</v>
      </c>
      <c r="BC356" s="51" t="n">
        <v>0</v>
      </c>
      <c r="BD356" s="51" t="n">
        <v>0</v>
      </c>
      <c r="BE356" s="51" t="n">
        <v>0</v>
      </c>
      <c r="BF356" s="51" t="n">
        <v>0</v>
      </c>
    </row>
    <row r="357">
      <c r="A357">
        <f>HYPERLINK("https://www.walmart.com/ip/567389230", "567389230")</f>
        <v/>
      </c>
      <c r="B357" t="inlineStr">
        <is>
          <t>Women’s Swim Bathing Suit Cover Up, Summer Chiffon Backless Beach Dress Skirt</t>
        </is>
      </c>
      <c r="C357" t="inlineStr">
        <is>
          <t>1WMDS110ND</t>
        </is>
      </c>
      <c r="D357" t="inlineStr">
        <is>
          <t>Dresses</t>
        </is>
      </c>
      <c r="E357" t="inlineStr">
        <is>
          <t>Flyingstar</t>
        </is>
      </c>
      <c r="F357" t="inlineStr">
        <is>
          <t>Optimized</t>
        </is>
      </c>
      <c r="G357" s="48" t="n">
        <v>0</v>
      </c>
      <c r="H357" s="48" t="n">
        <v>0</v>
      </c>
      <c r="I357" s="48" t="n">
        <v>0</v>
      </c>
      <c r="J357" s="48" t="n">
        <v>0</v>
      </c>
      <c r="K357" s="49" t="n">
        <v>0</v>
      </c>
      <c r="L357" s="49" t="n">
        <v>0</v>
      </c>
      <c r="M357" s="49" t="n">
        <v>0</v>
      </c>
      <c r="N357" s="49" t="n">
        <v>0</v>
      </c>
      <c r="O357" s="49" t="n">
        <v>0</v>
      </c>
      <c r="P357" s="49" t="n">
        <v>0</v>
      </c>
      <c r="Q357" s="49" t="n">
        <v>0</v>
      </c>
      <c r="R357" s="49" t="n">
        <v>0</v>
      </c>
      <c r="S357" s="50" t="n">
        <v>0</v>
      </c>
      <c r="T357" s="50" t="n">
        <v>0</v>
      </c>
      <c r="U357" s="50" t="n">
        <v>0</v>
      </c>
      <c r="V357" s="50" t="n">
        <v>0</v>
      </c>
      <c r="W357" s="51" t="n">
        <v>0</v>
      </c>
      <c r="X357" s="51" t="n">
        <v>0</v>
      </c>
      <c r="Y357" s="51" t="n">
        <v>0</v>
      </c>
      <c r="Z357" s="51" t="n">
        <v>0</v>
      </c>
      <c r="AA357" s="52" t="n">
        <v>0</v>
      </c>
      <c r="AB357" s="52" t="n">
        <v>0</v>
      </c>
      <c r="AC357" s="52" t="n">
        <v>0</v>
      </c>
      <c r="AD357" s="52" t="n">
        <v>0</v>
      </c>
      <c r="AE357" s="52" t="n">
        <v>0</v>
      </c>
      <c r="AF357" s="52" t="n">
        <v>0</v>
      </c>
      <c r="AG357" s="52" t="n">
        <v>0</v>
      </c>
      <c r="AH357" s="52" t="n">
        <v>0</v>
      </c>
      <c r="AI357" s="52" t="n">
        <v>0</v>
      </c>
      <c r="AJ357" s="52" t="n">
        <v>0</v>
      </c>
      <c r="AK357" s="52" t="n">
        <v>0</v>
      </c>
      <c r="AL357" s="52" t="n">
        <v>0</v>
      </c>
      <c r="AM357" s="53" t="n">
        <v>0</v>
      </c>
      <c r="AN357" s="53" t="n">
        <v>0</v>
      </c>
      <c r="AO357" s="53" t="n">
        <v>0</v>
      </c>
      <c r="AP357" s="53" t="n">
        <v>0</v>
      </c>
      <c r="AQ357" s="52" t="n">
        <v>0</v>
      </c>
      <c r="AR357" s="52" t="n">
        <v>0</v>
      </c>
      <c r="AS357" s="52" t="n">
        <v>0</v>
      </c>
      <c r="AT357" s="52" t="n">
        <v>0</v>
      </c>
      <c r="AU357" s="53" t="n">
        <v>0</v>
      </c>
      <c r="AV357" s="53" t="n">
        <v>0</v>
      </c>
      <c r="AW357" s="53" t="n">
        <v>0</v>
      </c>
      <c r="AX357" s="53" t="n">
        <v>0</v>
      </c>
      <c r="AY357" s="52" t="n">
        <v>0</v>
      </c>
      <c r="AZ357" s="52" t="n">
        <v>0</v>
      </c>
      <c r="BA357" s="52" t="n">
        <v>0</v>
      </c>
      <c r="BB357" s="52" t="n">
        <v>0</v>
      </c>
      <c r="BC357" s="51" t="n">
        <v>0</v>
      </c>
      <c r="BD357" s="51" t="n">
        <v>0</v>
      </c>
      <c r="BE357" s="51" t="n">
        <v>0</v>
      </c>
      <c r="BF357" s="51" t="n">
        <v>0</v>
      </c>
    </row>
    <row r="358">
      <c r="A358">
        <f>HYPERLINK("https://www.walmart.com/ip/5673458705", "5673458705")</f>
        <v/>
      </c>
      <c r="B358" t="inlineStr">
        <is>
          <t>Tirrinia  Camping Cooler Bag Insulated w/ Shoulder Strap and Bottle Opener 20 Cans Portable Ice Chest for Camping Hiking Picnic Beach</t>
        </is>
      </c>
      <c r="C358" t="inlineStr">
        <is>
          <t>1TRCB00130GYBK</t>
        </is>
      </c>
      <c r="D358" t="inlineStr">
        <is>
          <t>Soft-Sided Coolers</t>
        </is>
      </c>
      <c r="E358" t="inlineStr">
        <is>
          <t>Tirrinia</t>
        </is>
      </c>
      <c r="G358" s="48" t="n">
        <v>0</v>
      </c>
      <c r="H358" s="48" t="n">
        <v>0</v>
      </c>
      <c r="I358" s="48" t="n">
        <v>0</v>
      </c>
      <c r="J358" s="48" t="n">
        <v>0</v>
      </c>
      <c r="K358" s="49" t="n">
        <v>0</v>
      </c>
      <c r="L358" s="49" t="n">
        <v>0</v>
      </c>
      <c r="M358" s="49" t="n">
        <v>0</v>
      </c>
      <c r="N358" s="49" t="n">
        <v>0</v>
      </c>
      <c r="O358" s="49" t="n">
        <v>0</v>
      </c>
      <c r="P358" s="49" t="n">
        <v>0</v>
      </c>
      <c r="Q358" s="49" t="n">
        <v>0</v>
      </c>
      <c r="R358" s="49" t="n">
        <v>0</v>
      </c>
      <c r="S358" s="50" t="n">
        <v>0</v>
      </c>
      <c r="T358" s="50" t="n">
        <v>0</v>
      </c>
      <c r="U358" s="50" t="n">
        <v>0</v>
      </c>
      <c r="V358" s="50" t="n">
        <v>0</v>
      </c>
      <c r="W358" s="51" t="n">
        <v>0</v>
      </c>
      <c r="X358" s="51" t="n">
        <v>0</v>
      </c>
      <c r="Y358" s="51" t="n">
        <v>0</v>
      </c>
      <c r="Z358" s="51" t="n">
        <v>0</v>
      </c>
      <c r="AA358" s="52" t="n">
        <v>0</v>
      </c>
      <c r="AB358" s="52" t="n">
        <v>0</v>
      </c>
      <c r="AC358" s="52" t="n">
        <v>0</v>
      </c>
      <c r="AD358" s="52" t="n">
        <v>0</v>
      </c>
      <c r="AE358" s="52" t="n">
        <v>0</v>
      </c>
      <c r="AF358" s="52" t="n">
        <v>0</v>
      </c>
      <c r="AG358" s="52" t="n">
        <v>0</v>
      </c>
      <c r="AH358" s="52" t="n">
        <v>0</v>
      </c>
      <c r="AI358" s="52" t="n">
        <v>0</v>
      </c>
      <c r="AJ358" s="52" t="n">
        <v>0</v>
      </c>
      <c r="AK358" s="52" t="n">
        <v>0</v>
      </c>
      <c r="AL358" s="52" t="n">
        <v>0</v>
      </c>
      <c r="AM358" s="53" t="n">
        <v>0</v>
      </c>
      <c r="AN358" s="53" t="n">
        <v>0</v>
      </c>
      <c r="AO358" s="53" t="n">
        <v>0</v>
      </c>
      <c r="AP358" s="53" t="n">
        <v>0</v>
      </c>
      <c r="AQ358" s="52" t="n">
        <v>0</v>
      </c>
      <c r="AR358" s="52" t="n">
        <v>0</v>
      </c>
      <c r="AS358" s="52" t="n">
        <v>0</v>
      </c>
      <c r="AT358" s="52" t="n">
        <v>0</v>
      </c>
      <c r="AU358" s="53" t="n">
        <v>0</v>
      </c>
      <c r="AV358" s="53" t="n">
        <v>0</v>
      </c>
      <c r="AW358" s="53" t="n">
        <v>0</v>
      </c>
      <c r="AX358" s="53" t="n">
        <v>0</v>
      </c>
      <c r="AY358" s="52" t="n">
        <v>0</v>
      </c>
      <c r="AZ358" s="52" t="n">
        <v>0</v>
      </c>
      <c r="BA358" s="52" t="n">
        <v>0</v>
      </c>
      <c r="BB358" s="52" t="n">
        <v>0</v>
      </c>
      <c r="BC358" s="51" t="n">
        <v>0</v>
      </c>
      <c r="BD358" s="51" t="n">
        <v>0</v>
      </c>
      <c r="BE358" s="51" t="n">
        <v>0</v>
      </c>
      <c r="BF358" s="51" t="n">
        <v>0</v>
      </c>
    </row>
    <row r="359">
      <c r="A359">
        <f>HYPERLINK("https://www.walmart.com/ip/569409923", "569409923")</f>
        <v/>
      </c>
      <c r="B359" t="inlineStr">
        <is>
          <t>Super Soft Sherpa Throw Blanket Plaid 50" x 60" Reversible Fuzzy Micro Plush All Season Fleece TV Blanket for Bed or Couch Red</t>
        </is>
      </c>
      <c r="C359" t="inlineStr">
        <is>
          <t>1TRBF562PRD-TBCB</t>
        </is>
      </c>
      <c r="D359" t="inlineStr">
        <is>
          <t>Throws</t>
        </is>
      </c>
      <c r="E359" t="inlineStr">
        <is>
          <t>Tirrinia</t>
        </is>
      </c>
      <c r="F359" t="inlineStr">
        <is>
          <t>Q2-Target,Optimized,Coupon_Discount</t>
        </is>
      </c>
      <c r="G359" s="48" t="n">
        <v>0</v>
      </c>
      <c r="H359" s="48" t="n">
        <v>0</v>
      </c>
      <c r="I359" s="48" t="n">
        <v>0</v>
      </c>
      <c r="J359" s="48" t="n">
        <v>0</v>
      </c>
      <c r="K359" s="49" t="n">
        <v>0</v>
      </c>
      <c r="L359" s="49" t="n">
        <v>0</v>
      </c>
      <c r="M359" s="49" t="n">
        <v>0</v>
      </c>
      <c r="N359" s="49" t="n">
        <v>0</v>
      </c>
      <c r="O359" s="49" t="n">
        <v>0</v>
      </c>
      <c r="P359" s="49" t="n">
        <v>0</v>
      </c>
      <c r="Q359" s="49" t="n">
        <v>0</v>
      </c>
      <c r="R359" s="49" t="n">
        <v>0</v>
      </c>
      <c r="S359" s="50" t="n">
        <v>0</v>
      </c>
      <c r="T359" s="50" t="n">
        <v>0</v>
      </c>
      <c r="U359" s="50" t="n">
        <v>0</v>
      </c>
      <c r="V359" s="50" t="n">
        <v>0</v>
      </c>
      <c r="W359" s="51" t="n">
        <v>0</v>
      </c>
      <c r="X359" s="51" t="n">
        <v>0</v>
      </c>
      <c r="Y359" s="51" t="n">
        <v>0</v>
      </c>
      <c r="Z359" s="51" t="n">
        <v>0</v>
      </c>
      <c r="AA359" s="52" t="n">
        <v>0</v>
      </c>
      <c r="AB359" s="52" t="n">
        <v>0</v>
      </c>
      <c r="AC359" s="52" t="n">
        <v>0</v>
      </c>
      <c r="AD359" s="52" t="n">
        <v>0</v>
      </c>
      <c r="AE359" s="52" t="n">
        <v>0</v>
      </c>
      <c r="AF359" s="52" t="n">
        <v>0</v>
      </c>
      <c r="AG359" s="52" t="n">
        <v>0</v>
      </c>
      <c r="AH359" s="52" t="n">
        <v>0</v>
      </c>
      <c r="AI359" s="52" t="n">
        <v>0</v>
      </c>
      <c r="AJ359" s="52" t="n">
        <v>0</v>
      </c>
      <c r="AK359" s="52" t="n">
        <v>0</v>
      </c>
      <c r="AL359" s="52" t="n">
        <v>0</v>
      </c>
      <c r="AM359" s="53" t="n">
        <v>0</v>
      </c>
      <c r="AN359" s="53" t="n">
        <v>0</v>
      </c>
      <c r="AO359" s="53" t="n">
        <v>0</v>
      </c>
      <c r="AP359" s="53" t="n">
        <v>0</v>
      </c>
      <c r="AQ359" s="52" t="n">
        <v>0</v>
      </c>
      <c r="AR359" s="52" t="n">
        <v>0</v>
      </c>
      <c r="AS359" s="52" t="n">
        <v>0</v>
      </c>
      <c r="AT359" s="52" t="n">
        <v>0</v>
      </c>
      <c r="AU359" s="53" t="n">
        <v>0</v>
      </c>
      <c r="AV359" s="53" t="n">
        <v>0</v>
      </c>
      <c r="AW359" s="53" t="n">
        <v>0</v>
      </c>
      <c r="AX359" s="53" t="n">
        <v>0</v>
      </c>
      <c r="AY359" s="52" t="n">
        <v>0</v>
      </c>
      <c r="AZ359" s="52" t="n">
        <v>0</v>
      </c>
      <c r="BA359" s="52" t="n">
        <v>0</v>
      </c>
      <c r="BB359" s="52" t="n">
        <v>0</v>
      </c>
      <c r="BC359" s="51" t="n">
        <v>0</v>
      </c>
      <c r="BD359" s="51" t="n">
        <v>0</v>
      </c>
      <c r="BE359" s="51" t="n">
        <v>0</v>
      </c>
      <c r="BF359" s="51" t="n">
        <v>0</v>
      </c>
    </row>
    <row r="360">
      <c r="A360">
        <f>HYPERLINK("https://www.walmart.com/ip/6116767703", "6116767703")</f>
        <v/>
      </c>
      <c r="B360" t="inlineStr">
        <is>
          <t>Solaris Microfiber Beach Towel, 40”x71” Personalized Beach Towels for Adult Women, Sand-Resistant, Quick-Dry Soft Lightweight Compact Camping Towel, Ideal Travel Pool Beach Gifts</t>
        </is>
      </c>
      <c r="C360" t="inlineStr">
        <is>
          <t>1SLBM20147TOTEM</t>
        </is>
      </c>
      <c r="D360" t="inlineStr">
        <is>
          <t>Towels &amp; Washcloths</t>
        </is>
      </c>
      <c r="E360" t="inlineStr">
        <is>
          <t>Solaris</t>
        </is>
      </c>
      <c r="G360" s="48" t="n">
        <v>0</v>
      </c>
      <c r="H360" s="48" t="n">
        <v>0</v>
      </c>
      <c r="I360" s="48" t="n">
        <v>0</v>
      </c>
      <c r="J360" s="48" t="n">
        <v>0</v>
      </c>
      <c r="K360" s="49" t="n">
        <v>0</v>
      </c>
      <c r="L360" s="49" t="n">
        <v>0</v>
      </c>
      <c r="M360" s="49" t="n">
        <v>0</v>
      </c>
      <c r="N360" s="49" t="n">
        <v>0</v>
      </c>
      <c r="O360" s="49" t="n">
        <v>0</v>
      </c>
      <c r="P360" s="49" t="n">
        <v>0</v>
      </c>
      <c r="Q360" s="49" t="n">
        <v>0</v>
      </c>
      <c r="R360" s="49" t="n">
        <v>0</v>
      </c>
      <c r="S360" s="50" t="n">
        <v>0</v>
      </c>
      <c r="T360" s="50" t="n">
        <v>0</v>
      </c>
      <c r="U360" s="50" t="n">
        <v>0</v>
      </c>
      <c r="V360" s="50" t="n">
        <v>0</v>
      </c>
      <c r="W360" s="51" t="n">
        <v>0</v>
      </c>
      <c r="X360" s="51" t="n">
        <v>0</v>
      </c>
      <c r="Y360" s="51" t="n">
        <v>0</v>
      </c>
      <c r="Z360" s="51" t="n">
        <v>0</v>
      </c>
      <c r="AA360" s="52" t="n">
        <v>0</v>
      </c>
      <c r="AB360" s="52" t="n">
        <v>0</v>
      </c>
      <c r="AC360" s="52" t="n">
        <v>0</v>
      </c>
      <c r="AD360" s="52" t="n">
        <v>0</v>
      </c>
      <c r="AE360" s="52" t="n">
        <v>0</v>
      </c>
      <c r="AF360" s="52" t="n">
        <v>0</v>
      </c>
      <c r="AG360" s="52" t="n">
        <v>0</v>
      </c>
      <c r="AH360" s="52" t="n">
        <v>0</v>
      </c>
      <c r="AI360" s="52" t="n">
        <v>0</v>
      </c>
      <c r="AJ360" s="52" t="n">
        <v>0</v>
      </c>
      <c r="AK360" s="52" t="n">
        <v>0</v>
      </c>
      <c r="AL360" s="52" t="n">
        <v>0</v>
      </c>
      <c r="AM360" s="53" t="n">
        <v>0</v>
      </c>
      <c r="AN360" s="53" t="n">
        <v>0</v>
      </c>
      <c r="AO360" s="53" t="n">
        <v>0</v>
      </c>
      <c r="AP360" s="53" t="n">
        <v>0</v>
      </c>
      <c r="AQ360" s="52" t="n">
        <v>0</v>
      </c>
      <c r="AR360" s="52" t="n">
        <v>0</v>
      </c>
      <c r="AS360" s="52" t="n">
        <v>0</v>
      </c>
      <c r="AT360" s="52" t="n">
        <v>0</v>
      </c>
      <c r="AU360" s="53" t="n">
        <v>0</v>
      </c>
      <c r="AV360" s="53" t="n">
        <v>0</v>
      </c>
      <c r="AW360" s="53" t="n">
        <v>0</v>
      </c>
      <c r="AX360" s="53" t="n">
        <v>0</v>
      </c>
      <c r="AY360" s="52" t="n">
        <v>0</v>
      </c>
      <c r="AZ360" s="52" t="n">
        <v>0</v>
      </c>
      <c r="BA360" s="52" t="n">
        <v>0</v>
      </c>
      <c r="BB360" s="52" t="n">
        <v>0</v>
      </c>
      <c r="BC360" s="51" t="n">
        <v>0</v>
      </c>
      <c r="BD360" s="51" t="n">
        <v>0</v>
      </c>
      <c r="BE360" s="51" t="n">
        <v>0</v>
      </c>
      <c r="BF360" s="51" t="n">
        <v>0</v>
      </c>
    </row>
    <row r="361">
      <c r="A361">
        <f>HYPERLINK("https://www.walmart.com/ip/567261259", "567261259")</f>
        <v/>
      </c>
      <c r="B361" t="inlineStr">
        <is>
          <t>Tirrinia Wine Cooler bag - 3 Bottle Travel Insulated Padded Wine Carrier Tote Bag with Handle and Adjustable Shoulder Strap</t>
        </is>
      </c>
      <c r="C361" t="inlineStr">
        <is>
          <t>1WMWB310BKSTR</t>
        </is>
      </c>
      <c r="D361" t="inlineStr">
        <is>
          <t>Wine Totes, Bags &amp; Backpacks</t>
        </is>
      </c>
      <c r="E361" t="inlineStr">
        <is>
          <t>Flyingstar</t>
        </is>
      </c>
      <c r="F361" t="inlineStr">
        <is>
          <t>Wine,Christmas,Valentine</t>
        </is>
      </c>
      <c r="G361" s="48" t="n">
        <v>0</v>
      </c>
      <c r="H361" s="48" t="n">
        <v>0</v>
      </c>
      <c r="I361" s="48" t="n">
        <v>0</v>
      </c>
      <c r="J361" s="48" t="n">
        <v>0</v>
      </c>
      <c r="K361" s="49" t="n">
        <v>0</v>
      </c>
      <c r="L361" s="49" t="n">
        <v>0</v>
      </c>
      <c r="M361" s="49" t="n">
        <v>0</v>
      </c>
      <c r="N361" s="49" t="n">
        <v>0</v>
      </c>
      <c r="O361" s="49" t="n">
        <v>0</v>
      </c>
      <c r="P361" s="49" t="n">
        <v>0</v>
      </c>
      <c r="Q361" s="49" t="n">
        <v>0</v>
      </c>
      <c r="R361" s="49" t="n">
        <v>0</v>
      </c>
      <c r="S361" s="50" t="n">
        <v>0</v>
      </c>
      <c r="T361" s="50" t="n">
        <v>0</v>
      </c>
      <c r="U361" s="50" t="n">
        <v>0</v>
      </c>
      <c r="V361" s="50" t="n">
        <v>0</v>
      </c>
      <c r="W361" s="51" t="n">
        <v>0</v>
      </c>
      <c r="X361" s="51" t="n">
        <v>0</v>
      </c>
      <c r="Y361" s="51" t="n">
        <v>0</v>
      </c>
      <c r="Z361" s="51" t="n">
        <v>0</v>
      </c>
      <c r="AA361" s="52" t="n">
        <v>0</v>
      </c>
      <c r="AB361" s="52" t="n">
        <v>0</v>
      </c>
      <c r="AC361" s="52" t="n">
        <v>0</v>
      </c>
      <c r="AD361" s="52" t="n">
        <v>0</v>
      </c>
      <c r="AE361" s="52" t="n">
        <v>0</v>
      </c>
      <c r="AF361" s="52" t="n">
        <v>0</v>
      </c>
      <c r="AG361" s="52" t="n">
        <v>0</v>
      </c>
      <c r="AH361" s="52" t="n">
        <v>0</v>
      </c>
      <c r="AI361" s="52" t="n">
        <v>0</v>
      </c>
      <c r="AJ361" s="52" t="n">
        <v>0</v>
      </c>
      <c r="AK361" s="52" t="n">
        <v>0</v>
      </c>
      <c r="AL361" s="52" t="n">
        <v>0</v>
      </c>
      <c r="AM361" s="53" t="n">
        <v>0</v>
      </c>
      <c r="AN361" s="53" t="n">
        <v>0</v>
      </c>
      <c r="AO361" s="53" t="n">
        <v>0</v>
      </c>
      <c r="AP361" s="53" t="n">
        <v>0</v>
      </c>
      <c r="AQ361" s="52" t="n">
        <v>0</v>
      </c>
      <c r="AR361" s="52" t="n">
        <v>0</v>
      </c>
      <c r="AS361" s="52" t="n">
        <v>0</v>
      </c>
      <c r="AT361" s="52" t="n">
        <v>0</v>
      </c>
      <c r="AU361" s="53" t="n">
        <v>0</v>
      </c>
      <c r="AV361" s="53" t="n">
        <v>0</v>
      </c>
      <c r="AW361" s="53" t="n">
        <v>0</v>
      </c>
      <c r="AX361" s="53" t="n">
        <v>0</v>
      </c>
      <c r="AY361" s="52" t="n">
        <v>0</v>
      </c>
      <c r="AZ361" s="52" t="n">
        <v>0</v>
      </c>
      <c r="BA361" s="52" t="n">
        <v>0</v>
      </c>
      <c r="BB361" s="52" t="n">
        <v>0</v>
      </c>
      <c r="BC361" s="51" t="n">
        <v>0</v>
      </c>
      <c r="BD361" s="51" t="n">
        <v>0</v>
      </c>
      <c r="BE361" s="51" t="n">
        <v>0</v>
      </c>
      <c r="BF361" s="51" t="n">
        <v>0</v>
      </c>
    </row>
    <row r="362">
      <c r="A362">
        <f>HYPERLINK("https://www.walmart.com/ip/6117611260", "6117611260")</f>
        <v/>
      </c>
      <c r="B362" t="inlineStr">
        <is>
          <t>Tirrinia 4-in-1 Travel Blanket Luxurious Premium Micro Fleece Lightweight 40” x 60” Grey</t>
        </is>
      </c>
      <c r="C362" t="inlineStr">
        <is>
          <t>1TRTB103FP</t>
        </is>
      </c>
      <c r="D362" t="inlineStr">
        <is>
          <t>Throws</t>
        </is>
      </c>
      <c r="E362" t="inlineStr">
        <is>
          <t>Tirrinia</t>
        </is>
      </c>
      <c r="G362" s="48" t="n">
        <v>0</v>
      </c>
      <c r="H362" s="48" t="n">
        <v>0</v>
      </c>
      <c r="I362" s="48" t="n">
        <v>0</v>
      </c>
      <c r="J362" s="48" t="n">
        <v>0</v>
      </c>
      <c r="K362" s="49" t="n">
        <v>0</v>
      </c>
      <c r="L362" s="49" t="n">
        <v>0</v>
      </c>
      <c r="M362" s="49" t="n">
        <v>0</v>
      </c>
      <c r="N362" s="49" t="n">
        <v>0</v>
      </c>
      <c r="O362" s="49" t="n">
        <v>0</v>
      </c>
      <c r="P362" s="49" t="n">
        <v>0</v>
      </c>
      <c r="Q362" s="49" t="n">
        <v>0</v>
      </c>
      <c r="R362" s="49" t="n">
        <v>0</v>
      </c>
      <c r="S362" s="50" t="n">
        <v>0</v>
      </c>
      <c r="T362" s="50" t="n">
        <v>0</v>
      </c>
      <c r="U362" s="50" t="n">
        <v>0</v>
      </c>
      <c r="V362" s="50" t="n">
        <v>0</v>
      </c>
      <c r="W362" s="51" t="n">
        <v>0</v>
      </c>
      <c r="X362" s="51" t="n">
        <v>0</v>
      </c>
      <c r="Y362" s="51" t="n">
        <v>0</v>
      </c>
      <c r="Z362" s="51" t="n">
        <v>0</v>
      </c>
      <c r="AA362" s="52" t="n">
        <v>0</v>
      </c>
      <c r="AB362" s="52" t="n">
        <v>0</v>
      </c>
      <c r="AC362" s="52" t="n">
        <v>0</v>
      </c>
      <c r="AD362" s="52" t="n">
        <v>0</v>
      </c>
      <c r="AE362" s="52" t="n">
        <v>0</v>
      </c>
      <c r="AF362" s="52" t="n">
        <v>0</v>
      </c>
      <c r="AG362" s="52" t="n">
        <v>0</v>
      </c>
      <c r="AH362" s="52" t="n">
        <v>0</v>
      </c>
      <c r="AI362" s="52" t="n">
        <v>0</v>
      </c>
      <c r="AJ362" s="52" t="n">
        <v>0</v>
      </c>
      <c r="AK362" s="52" t="n">
        <v>0</v>
      </c>
      <c r="AL362" s="52" t="n">
        <v>0</v>
      </c>
      <c r="AM362" s="53" t="n">
        <v>0</v>
      </c>
      <c r="AN362" s="53" t="n">
        <v>0</v>
      </c>
      <c r="AO362" s="53" t="n">
        <v>0</v>
      </c>
      <c r="AP362" s="53" t="n">
        <v>0</v>
      </c>
      <c r="AQ362" s="52" t="n">
        <v>0</v>
      </c>
      <c r="AR362" s="52" t="n">
        <v>0</v>
      </c>
      <c r="AS362" s="52" t="n">
        <v>0</v>
      </c>
      <c r="AT362" s="52" t="n">
        <v>0</v>
      </c>
      <c r="AU362" s="53" t="n">
        <v>0</v>
      </c>
      <c r="AV362" s="53" t="n">
        <v>0</v>
      </c>
      <c r="AW362" s="53" t="n">
        <v>0</v>
      </c>
      <c r="AX362" s="53" t="n">
        <v>0</v>
      </c>
      <c r="AY362" s="52" t="n">
        <v>0</v>
      </c>
      <c r="AZ362" s="52" t="n">
        <v>0</v>
      </c>
      <c r="BA362" s="52" t="n">
        <v>0</v>
      </c>
      <c r="BB362" s="52" t="n">
        <v>0</v>
      </c>
      <c r="BC362" s="51" t="n">
        <v>0</v>
      </c>
      <c r="BD362" s="51" t="n">
        <v>0</v>
      </c>
      <c r="BE362" s="51" t="n">
        <v>0</v>
      </c>
      <c r="BF362" s="51" t="n">
        <v>0</v>
      </c>
    </row>
    <row r="363">
      <c r="A363">
        <f>HYPERLINK("https://www.walmart.com/ip/6117850950", "6117850950")</f>
        <v/>
      </c>
      <c r="B363" t="inlineStr">
        <is>
          <t>Catalonia Cooling Blanket for Hot Sleepers, Summer Bed Blanket for Warm Night Sweat, Cool Sofa Throw Blanket for Hot Flashes, Soft Thin Lightweight Blanket for Adults Kids</t>
        </is>
      </c>
      <c r="C363" t="inlineStr">
        <is>
          <t>1CTBQ10169GN</t>
        </is>
      </c>
      <c r="D363" t="inlineStr">
        <is>
          <t>Throws</t>
        </is>
      </c>
      <c r="E363" t="inlineStr">
        <is>
          <t>Catalonia</t>
        </is>
      </c>
      <c r="G363" s="48" t="n">
        <v>0</v>
      </c>
      <c r="H363" s="48" t="n">
        <v>0</v>
      </c>
      <c r="I363" s="48" t="n">
        <v>0</v>
      </c>
      <c r="J363" s="48" t="n">
        <v>0</v>
      </c>
      <c r="K363" s="49" t="n">
        <v>0</v>
      </c>
      <c r="L363" s="49" t="n">
        <v>0</v>
      </c>
      <c r="M363" s="49" t="n">
        <v>0</v>
      </c>
      <c r="N363" s="49" t="n">
        <v>0</v>
      </c>
      <c r="O363" s="49" t="n">
        <v>0</v>
      </c>
      <c r="P363" s="49" t="n">
        <v>0</v>
      </c>
      <c r="Q363" s="49" t="n">
        <v>0</v>
      </c>
      <c r="R363" s="49" t="n">
        <v>0</v>
      </c>
      <c r="S363" s="50" t="n">
        <v>0</v>
      </c>
      <c r="T363" s="50" t="n">
        <v>0</v>
      </c>
      <c r="U363" s="50" t="n">
        <v>0</v>
      </c>
      <c r="V363" s="50" t="n">
        <v>0</v>
      </c>
      <c r="W363" s="51" t="n">
        <v>0</v>
      </c>
      <c r="X363" s="51" t="n">
        <v>0</v>
      </c>
      <c r="Y363" s="51" t="n">
        <v>0</v>
      </c>
      <c r="Z363" s="51" t="n">
        <v>0</v>
      </c>
      <c r="AA363" s="52" t="n">
        <v>0</v>
      </c>
      <c r="AB363" s="52" t="n">
        <v>0</v>
      </c>
      <c r="AC363" s="52" t="n">
        <v>0</v>
      </c>
      <c r="AD363" s="52" t="n">
        <v>0</v>
      </c>
      <c r="AE363" s="52" t="n">
        <v>0</v>
      </c>
      <c r="AF363" s="52" t="n">
        <v>0</v>
      </c>
      <c r="AG363" s="52" t="n">
        <v>0</v>
      </c>
      <c r="AH363" s="52" t="n">
        <v>0</v>
      </c>
      <c r="AI363" s="52" t="n">
        <v>0</v>
      </c>
      <c r="AJ363" s="52" t="n">
        <v>0</v>
      </c>
      <c r="AK363" s="52" t="n">
        <v>0</v>
      </c>
      <c r="AL363" s="52" t="n">
        <v>0</v>
      </c>
      <c r="AM363" s="53" t="n">
        <v>0</v>
      </c>
      <c r="AN363" s="53" t="n">
        <v>0</v>
      </c>
      <c r="AO363" s="53" t="n">
        <v>0</v>
      </c>
      <c r="AP363" s="53" t="n">
        <v>0</v>
      </c>
      <c r="AQ363" s="52" t="n">
        <v>0</v>
      </c>
      <c r="AR363" s="52" t="n">
        <v>0</v>
      </c>
      <c r="AS363" s="52" t="n">
        <v>0</v>
      </c>
      <c r="AT363" s="52" t="n">
        <v>0</v>
      </c>
      <c r="AU363" s="53" t="n">
        <v>0</v>
      </c>
      <c r="AV363" s="53" t="n">
        <v>0</v>
      </c>
      <c r="AW363" s="53" t="n">
        <v>0</v>
      </c>
      <c r="AX363" s="53" t="n">
        <v>0</v>
      </c>
      <c r="AY363" s="52" t="n">
        <v>0</v>
      </c>
      <c r="AZ363" s="52" t="n">
        <v>0</v>
      </c>
      <c r="BA363" s="52" t="n">
        <v>0</v>
      </c>
      <c r="BB363" s="52" t="n">
        <v>0</v>
      </c>
      <c r="BC363" s="51" t="n">
        <v>0</v>
      </c>
      <c r="BD363" s="51" t="n">
        <v>0</v>
      </c>
      <c r="BE363" s="51" t="n">
        <v>0</v>
      </c>
      <c r="BF363" s="51" t="n">
        <v>0</v>
      </c>
    </row>
    <row r="364">
      <c r="A364">
        <f>HYPERLINK("https://www.walmart.com/ip/567101250", "567101250")</f>
        <v/>
      </c>
      <c r="B364" t="inlineStr">
        <is>
          <t>Tirrinia Insulated Wine Carrier - 3 Bottle Travel Wine Carry Cooler Tote Bag with Handle and Adjustable Shoulder Strap + Free Corkscrew, Gray</t>
        </is>
      </c>
      <c r="C364" t="inlineStr">
        <is>
          <t>1KTWB300GY</t>
        </is>
      </c>
      <c r="D364" t="inlineStr">
        <is>
          <t>Wine Totes, Bags &amp; Backpacks</t>
        </is>
      </c>
      <c r="E364" t="inlineStr">
        <is>
          <t>Tirrinia</t>
        </is>
      </c>
      <c r="F364" t="inlineStr">
        <is>
          <t>Wine,SEM,Lily Brand Camp</t>
        </is>
      </c>
      <c r="G364" s="48" t="n">
        <v>0</v>
      </c>
      <c r="H364" s="48" t="n">
        <v>0</v>
      </c>
      <c r="I364" s="48" t="n">
        <v>0</v>
      </c>
      <c r="J364" s="48" t="n">
        <v>0</v>
      </c>
      <c r="K364" s="49" t="n">
        <v>0</v>
      </c>
      <c r="L364" s="49" t="n">
        <v>0</v>
      </c>
      <c r="M364" s="49" t="n">
        <v>0</v>
      </c>
      <c r="N364" s="49" t="n">
        <v>0</v>
      </c>
      <c r="O364" s="49" t="n">
        <v>0</v>
      </c>
      <c r="P364" s="49" t="n">
        <v>0</v>
      </c>
      <c r="Q364" s="49" t="n">
        <v>0</v>
      </c>
      <c r="R364" s="49" t="n">
        <v>0</v>
      </c>
      <c r="S364" s="50" t="n">
        <v>0</v>
      </c>
      <c r="T364" s="50" t="n">
        <v>0</v>
      </c>
      <c r="U364" s="50" t="n">
        <v>0</v>
      </c>
      <c r="V364" s="50" t="n">
        <v>0</v>
      </c>
      <c r="W364" s="51" t="n">
        <v>0</v>
      </c>
      <c r="X364" s="51" t="n">
        <v>0</v>
      </c>
      <c r="Y364" s="51" t="n">
        <v>0</v>
      </c>
      <c r="Z364" s="51" t="n">
        <v>0</v>
      </c>
      <c r="AA364" s="52" t="n">
        <v>0</v>
      </c>
      <c r="AB364" s="52" t="n">
        <v>0</v>
      </c>
      <c r="AC364" s="52" t="n">
        <v>0</v>
      </c>
      <c r="AD364" s="52" t="n">
        <v>0</v>
      </c>
      <c r="AE364" s="52" t="n">
        <v>0</v>
      </c>
      <c r="AF364" s="52" t="n">
        <v>0</v>
      </c>
      <c r="AG364" s="52" t="n">
        <v>0</v>
      </c>
      <c r="AH364" s="52" t="n">
        <v>0</v>
      </c>
      <c r="AI364" s="52" t="n">
        <v>0</v>
      </c>
      <c r="AJ364" s="52" t="n">
        <v>0</v>
      </c>
      <c r="AK364" s="52" t="n">
        <v>0</v>
      </c>
      <c r="AL364" s="52" t="n">
        <v>0</v>
      </c>
      <c r="AM364" s="53" t="n">
        <v>0</v>
      </c>
      <c r="AN364" s="53" t="n">
        <v>0</v>
      </c>
      <c r="AO364" s="53" t="n">
        <v>0</v>
      </c>
      <c r="AP364" s="53" t="n">
        <v>0</v>
      </c>
      <c r="AQ364" s="52" t="n">
        <v>0</v>
      </c>
      <c r="AR364" s="52" t="n">
        <v>0</v>
      </c>
      <c r="AS364" s="52" t="n">
        <v>0</v>
      </c>
      <c r="AT364" s="52" t="n">
        <v>0</v>
      </c>
      <c r="AU364" s="53" t="n">
        <v>0</v>
      </c>
      <c r="AV364" s="53" t="n">
        <v>0</v>
      </c>
      <c r="AW364" s="53" t="n">
        <v>0</v>
      </c>
      <c r="AX364" s="53" t="n">
        <v>0</v>
      </c>
      <c r="AY364" s="52" t="n">
        <v>0</v>
      </c>
      <c r="AZ364" s="52" t="n">
        <v>0</v>
      </c>
      <c r="BA364" s="52" t="n">
        <v>0</v>
      </c>
      <c r="BB364" s="52" t="n">
        <v>0</v>
      </c>
      <c r="BC364" s="51" t="n">
        <v>0</v>
      </c>
      <c r="BD364" s="51" t="n">
        <v>0</v>
      </c>
      <c r="BE364" s="51" t="n">
        <v>0</v>
      </c>
      <c r="BF364" s="51" t="n">
        <v>0</v>
      </c>
    </row>
    <row r="365">
      <c r="A365">
        <f>HYPERLINK("https://www.walmart.com/ip/6120910723", "6120910723")</f>
        <v/>
      </c>
      <c r="B365" t="inlineStr">
        <is>
          <t>Tirrinia Surf Poncho Changing Towel, Lightweight Surf Hooded Beach Towel Quick Dry, Portable Dressing Room for Surfing Beach Pool Summer Camping Adult Women Men Gift Shark</t>
        </is>
      </c>
      <c r="C365" t="inlineStr">
        <is>
          <t>1TRBR101STARFISH</t>
        </is>
      </c>
      <c r="D365" t="inlineStr">
        <is>
          <t>Sleepwear Robes &amp; Bathrobes</t>
        </is>
      </c>
      <c r="E365" t="inlineStr">
        <is>
          <t>Tirrinia</t>
        </is>
      </c>
      <c r="G365" s="48" t="n">
        <v>0</v>
      </c>
      <c r="H365" s="48" t="n">
        <v>0</v>
      </c>
      <c r="I365" s="48" t="n">
        <v>0</v>
      </c>
      <c r="J365" s="48" t="n">
        <v>0</v>
      </c>
      <c r="K365" s="49" t="n">
        <v>0</v>
      </c>
      <c r="L365" s="49" t="n">
        <v>0</v>
      </c>
      <c r="M365" s="49" t="n">
        <v>0</v>
      </c>
      <c r="N365" s="49" t="n">
        <v>0</v>
      </c>
      <c r="O365" s="49" t="n">
        <v>0</v>
      </c>
      <c r="P365" s="49" t="n">
        <v>0</v>
      </c>
      <c r="Q365" s="49" t="n">
        <v>0</v>
      </c>
      <c r="R365" s="49" t="n">
        <v>0</v>
      </c>
      <c r="S365" s="50" t="n">
        <v>0</v>
      </c>
      <c r="T365" s="50" t="n">
        <v>0</v>
      </c>
      <c r="U365" s="50" t="n">
        <v>0</v>
      </c>
      <c r="V365" s="50" t="n">
        <v>0</v>
      </c>
      <c r="W365" s="51" t="n">
        <v>0</v>
      </c>
      <c r="X365" s="51" t="n">
        <v>0</v>
      </c>
      <c r="Y365" s="51" t="n">
        <v>0</v>
      </c>
      <c r="Z365" s="51" t="n">
        <v>0</v>
      </c>
      <c r="AA365" s="52" t="n">
        <v>0</v>
      </c>
      <c r="AB365" s="52" t="n">
        <v>0</v>
      </c>
      <c r="AC365" s="52" t="n">
        <v>0</v>
      </c>
      <c r="AD365" s="52" t="n">
        <v>0</v>
      </c>
      <c r="AE365" s="52" t="n">
        <v>0</v>
      </c>
      <c r="AF365" s="52" t="n">
        <v>0</v>
      </c>
      <c r="AG365" s="52" t="n">
        <v>0</v>
      </c>
      <c r="AH365" s="52" t="n">
        <v>0</v>
      </c>
      <c r="AI365" s="52" t="n">
        <v>0</v>
      </c>
      <c r="AJ365" s="52" t="n">
        <v>0</v>
      </c>
      <c r="AK365" s="52" t="n">
        <v>0</v>
      </c>
      <c r="AL365" s="52" t="n">
        <v>0</v>
      </c>
      <c r="AM365" s="53" t="n">
        <v>0</v>
      </c>
      <c r="AN365" s="53" t="n">
        <v>0</v>
      </c>
      <c r="AO365" s="53" t="n">
        <v>0</v>
      </c>
      <c r="AP365" s="53" t="n">
        <v>0</v>
      </c>
      <c r="AQ365" s="52" t="n">
        <v>0</v>
      </c>
      <c r="AR365" s="52" t="n">
        <v>0</v>
      </c>
      <c r="AS365" s="52" t="n">
        <v>0</v>
      </c>
      <c r="AT365" s="52" t="n">
        <v>0</v>
      </c>
      <c r="AU365" s="53" t="n">
        <v>0</v>
      </c>
      <c r="AV365" s="53" t="n">
        <v>0</v>
      </c>
      <c r="AW365" s="53" t="n">
        <v>0</v>
      </c>
      <c r="AX365" s="53" t="n">
        <v>0</v>
      </c>
      <c r="AY365" s="52" t="n">
        <v>0</v>
      </c>
      <c r="AZ365" s="52" t="n">
        <v>0</v>
      </c>
      <c r="BA365" s="52" t="n">
        <v>0</v>
      </c>
      <c r="BB365" s="52" t="n">
        <v>0</v>
      </c>
      <c r="BC365" s="51" t="n">
        <v>0</v>
      </c>
      <c r="BD365" s="51" t="n">
        <v>0</v>
      </c>
      <c r="BE365" s="51" t="n">
        <v>0</v>
      </c>
      <c r="BF365" s="51" t="n">
        <v>0</v>
      </c>
    </row>
    <row r="366">
      <c r="A366">
        <f>HYPERLINK("https://www.walmart.com/ip/6121103620", "6121103620")</f>
        <v/>
      </c>
      <c r="B366" t="inlineStr">
        <is>
          <t>Catalonia Cooling Blanket for Hot Sleepers, Summer Bed Blanket for Warm Night Sweat, Cool Sofa Throw Blanket for Hot Flashes, Soft Thin Lightweight Blanket for Adults Kids</t>
        </is>
      </c>
      <c r="C366" t="inlineStr">
        <is>
          <t>1CTBQ10157GY</t>
        </is>
      </c>
      <c r="D366" t="inlineStr">
        <is>
          <t>Throws</t>
        </is>
      </c>
      <c r="E366" t="inlineStr">
        <is>
          <t>Catalonia</t>
        </is>
      </c>
      <c r="G366" s="48" t="n">
        <v>0</v>
      </c>
      <c r="H366" s="48" t="n">
        <v>0</v>
      </c>
      <c r="I366" s="48" t="n">
        <v>0</v>
      </c>
      <c r="J366" s="48" t="n">
        <v>0</v>
      </c>
      <c r="K366" s="49" t="n">
        <v>0</v>
      </c>
      <c r="L366" s="49" t="n">
        <v>0</v>
      </c>
      <c r="M366" s="49" t="n">
        <v>0</v>
      </c>
      <c r="N366" s="49" t="n">
        <v>0</v>
      </c>
      <c r="O366" s="49" t="n">
        <v>0</v>
      </c>
      <c r="P366" s="49" t="n">
        <v>0</v>
      </c>
      <c r="Q366" s="49" t="n">
        <v>0</v>
      </c>
      <c r="R366" s="49" t="n">
        <v>0</v>
      </c>
      <c r="S366" s="50" t="n">
        <v>0</v>
      </c>
      <c r="T366" s="50" t="n">
        <v>0</v>
      </c>
      <c r="U366" s="50" t="n">
        <v>0</v>
      </c>
      <c r="V366" s="50" t="n">
        <v>0</v>
      </c>
      <c r="W366" s="51" t="n">
        <v>0</v>
      </c>
      <c r="X366" s="51" t="n">
        <v>0</v>
      </c>
      <c r="Y366" s="51" t="n">
        <v>0</v>
      </c>
      <c r="Z366" s="51" t="n">
        <v>0</v>
      </c>
      <c r="AA366" s="52" t="n">
        <v>0</v>
      </c>
      <c r="AB366" s="52" t="n">
        <v>0</v>
      </c>
      <c r="AC366" s="52" t="n">
        <v>0</v>
      </c>
      <c r="AD366" s="52" t="n">
        <v>0</v>
      </c>
      <c r="AE366" s="52" t="n">
        <v>0</v>
      </c>
      <c r="AF366" s="52" t="n">
        <v>0</v>
      </c>
      <c r="AG366" s="52" t="n">
        <v>0</v>
      </c>
      <c r="AH366" s="52" t="n">
        <v>0</v>
      </c>
      <c r="AI366" s="52" t="n">
        <v>0</v>
      </c>
      <c r="AJ366" s="52" t="n">
        <v>0</v>
      </c>
      <c r="AK366" s="52" t="n">
        <v>0</v>
      </c>
      <c r="AL366" s="52" t="n">
        <v>0</v>
      </c>
      <c r="AM366" s="53" t="n">
        <v>0</v>
      </c>
      <c r="AN366" s="53" t="n">
        <v>0</v>
      </c>
      <c r="AO366" s="53" t="n">
        <v>0</v>
      </c>
      <c r="AP366" s="53" t="n">
        <v>0</v>
      </c>
      <c r="AQ366" s="52" t="n">
        <v>0</v>
      </c>
      <c r="AR366" s="52" t="n">
        <v>0</v>
      </c>
      <c r="AS366" s="52" t="n">
        <v>0</v>
      </c>
      <c r="AT366" s="52" t="n">
        <v>0</v>
      </c>
      <c r="AU366" s="53" t="n">
        <v>0</v>
      </c>
      <c r="AV366" s="53" t="n">
        <v>0</v>
      </c>
      <c r="AW366" s="53" t="n">
        <v>0</v>
      </c>
      <c r="AX366" s="53" t="n">
        <v>0</v>
      </c>
      <c r="AY366" s="52" t="n">
        <v>0</v>
      </c>
      <c r="AZ366" s="52" t="n">
        <v>0</v>
      </c>
      <c r="BA366" s="52" t="n">
        <v>0</v>
      </c>
      <c r="BB366" s="52" t="n">
        <v>0</v>
      </c>
      <c r="BC366" s="51" t="n">
        <v>0</v>
      </c>
      <c r="BD366" s="51" t="n">
        <v>0</v>
      </c>
      <c r="BE366" s="51" t="n">
        <v>0</v>
      </c>
      <c r="BF366" s="51" t="n">
        <v>0</v>
      </c>
    </row>
    <row r="367">
      <c r="A367">
        <f>HYPERLINK("https://www.walmart.com/ip/596579613", "596579613")</f>
        <v/>
      </c>
      <c r="B367" t="inlineStr">
        <is>
          <t>Tirrinia Men's Sun Hat with Wide Brim Neck Flap, Fishing Safari Hat for Outdoor Hiking Camping, Green</t>
        </is>
      </c>
      <c r="C367" t="inlineStr">
        <is>
          <t>1TRSH910GN-TBCB</t>
        </is>
      </c>
      <c r="D367" t="inlineStr">
        <is>
          <t>Hats</t>
        </is>
      </c>
      <c r="E367" t="inlineStr">
        <is>
          <t>Tirrinia</t>
        </is>
      </c>
      <c r="F367" t="inlineStr">
        <is>
          <t>Hats</t>
        </is>
      </c>
      <c r="G367" s="48" t="n">
        <v>0</v>
      </c>
      <c r="H367" s="48" t="n">
        <v>0</v>
      </c>
      <c r="I367" s="48" t="n">
        <v>0</v>
      </c>
      <c r="J367" s="48" t="n">
        <v>15.99</v>
      </c>
      <c r="K367" s="49" t="n">
        <v>0</v>
      </c>
      <c r="L367" s="49" t="n">
        <v>0</v>
      </c>
      <c r="M367" s="49" t="n">
        <v>0</v>
      </c>
      <c r="N367" s="49" t="n">
        <v>1</v>
      </c>
      <c r="O367" s="49" t="n">
        <v>0</v>
      </c>
      <c r="P367" s="49" t="n">
        <v>0</v>
      </c>
      <c r="Q367" s="49" t="n">
        <v>0</v>
      </c>
      <c r="R367" s="49" t="n">
        <v>0</v>
      </c>
      <c r="S367" s="50" t="n">
        <v>0</v>
      </c>
      <c r="T367" s="50" t="n">
        <v>0</v>
      </c>
      <c r="U367" s="50" t="n">
        <v>0</v>
      </c>
      <c r="V367" s="50" t="n">
        <v>0</v>
      </c>
      <c r="W367" s="51" t="n">
        <v>0</v>
      </c>
      <c r="X367" s="51" t="n">
        <v>0</v>
      </c>
      <c r="Y367" s="51" t="n">
        <v>0</v>
      </c>
      <c r="Z367" s="51" t="n">
        <v>0</v>
      </c>
      <c r="AA367" s="52" t="n">
        <v>0</v>
      </c>
      <c r="AB367" s="52" t="n">
        <v>0</v>
      </c>
      <c r="AC367" s="52" t="n">
        <v>0</v>
      </c>
      <c r="AD367" s="52" t="n">
        <v>0</v>
      </c>
      <c r="AE367" s="52" t="n">
        <v>0</v>
      </c>
      <c r="AF367" s="52" t="n">
        <v>0</v>
      </c>
      <c r="AG367" s="52" t="n">
        <v>0</v>
      </c>
      <c r="AH367" s="52" t="n">
        <v>0</v>
      </c>
      <c r="AI367" s="52" t="n">
        <v>0</v>
      </c>
      <c r="AJ367" s="52" t="n">
        <v>0</v>
      </c>
      <c r="AK367" s="52" t="n">
        <v>0</v>
      </c>
      <c r="AL367" s="52" t="n">
        <v>0</v>
      </c>
      <c r="AM367" s="53" t="n">
        <v>0</v>
      </c>
      <c r="AN367" s="53" t="n">
        <v>0</v>
      </c>
      <c r="AO367" s="53" t="n">
        <v>0</v>
      </c>
      <c r="AP367" s="53" t="n">
        <v>0</v>
      </c>
      <c r="AQ367" s="52" t="n">
        <v>0</v>
      </c>
      <c r="AR367" s="52" t="n">
        <v>0</v>
      </c>
      <c r="AS367" s="52" t="n">
        <v>0</v>
      </c>
      <c r="AT367" s="52" t="n">
        <v>0</v>
      </c>
      <c r="AU367" s="53" t="n">
        <v>0</v>
      </c>
      <c r="AV367" s="53" t="n">
        <v>0</v>
      </c>
      <c r="AW367" s="53" t="n">
        <v>0</v>
      </c>
      <c r="AX367" s="53" t="n">
        <v>0</v>
      </c>
      <c r="AY367" s="52" t="n">
        <v>0</v>
      </c>
      <c r="AZ367" s="52" t="n">
        <v>0</v>
      </c>
      <c r="BA367" s="52" t="n">
        <v>0</v>
      </c>
      <c r="BB367" s="52" t="n">
        <v>15.99</v>
      </c>
      <c r="BC367" s="51" t="n">
        <v>989</v>
      </c>
      <c r="BD367" s="51" t="n">
        <v>0</v>
      </c>
      <c r="BE367" s="51" t="n">
        <v>0</v>
      </c>
      <c r="BF367" s="51" t="n">
        <v>0</v>
      </c>
    </row>
    <row r="368">
      <c r="A368">
        <f>HYPERLINK("https://www.walmart.com/ip/565155576", "565155576")</f>
        <v/>
      </c>
      <c r="B368" t="inlineStr">
        <is>
          <t>Tirrinia Neon Hunting Orange Safety Cap Closure</t>
        </is>
      </c>
      <c r="C368" t="inlineStr">
        <is>
          <t>1TRHT7121BK-TBCB</t>
        </is>
      </c>
      <c r="D368" t="inlineStr">
        <is>
          <t>Hats</t>
        </is>
      </c>
      <c r="E368" t="inlineStr">
        <is>
          <t>Tirrinia</t>
        </is>
      </c>
      <c r="F368" t="inlineStr">
        <is>
          <t>Batch 1 - TR</t>
        </is>
      </c>
      <c r="G368" s="48" t="n">
        <v>0</v>
      </c>
      <c r="H368" s="48" t="n">
        <v>0</v>
      </c>
      <c r="I368" s="48" t="n">
        <v>0</v>
      </c>
      <c r="J368" s="48" t="n">
        <v>0</v>
      </c>
      <c r="K368" s="49" t="n">
        <v>0</v>
      </c>
      <c r="L368" s="49" t="n">
        <v>0</v>
      </c>
      <c r="M368" s="49" t="n">
        <v>0</v>
      </c>
      <c r="N368" s="49" t="n">
        <v>0</v>
      </c>
      <c r="O368" s="49" t="n">
        <v>0</v>
      </c>
      <c r="P368" s="49" t="n">
        <v>0</v>
      </c>
      <c r="Q368" s="49" t="n">
        <v>0</v>
      </c>
      <c r="R368" s="49" t="n">
        <v>0</v>
      </c>
      <c r="S368" s="50" t="n">
        <v>0</v>
      </c>
      <c r="T368" s="50" t="n">
        <v>0</v>
      </c>
      <c r="U368" s="50" t="n">
        <v>0</v>
      </c>
      <c r="V368" s="50" t="n">
        <v>0</v>
      </c>
      <c r="W368" s="51" t="n">
        <v>0</v>
      </c>
      <c r="X368" s="51" t="n">
        <v>0</v>
      </c>
      <c r="Y368" s="51" t="n">
        <v>0</v>
      </c>
      <c r="Z368" s="51" t="n">
        <v>0</v>
      </c>
      <c r="AA368" s="52" t="n">
        <v>0</v>
      </c>
      <c r="AB368" s="52" t="n">
        <v>0</v>
      </c>
      <c r="AC368" s="52" t="n">
        <v>0</v>
      </c>
      <c r="AD368" s="52" t="n">
        <v>0</v>
      </c>
      <c r="AE368" s="52" t="n">
        <v>0</v>
      </c>
      <c r="AF368" s="52" t="n">
        <v>0</v>
      </c>
      <c r="AG368" s="52" t="n">
        <v>0</v>
      </c>
      <c r="AH368" s="52" t="n">
        <v>0</v>
      </c>
      <c r="AI368" s="52" t="n">
        <v>0</v>
      </c>
      <c r="AJ368" s="52" t="n">
        <v>0</v>
      </c>
      <c r="AK368" s="52" t="n">
        <v>0</v>
      </c>
      <c r="AL368" s="52" t="n">
        <v>0</v>
      </c>
      <c r="AM368" s="53" t="n">
        <v>0</v>
      </c>
      <c r="AN368" s="53" t="n">
        <v>0</v>
      </c>
      <c r="AO368" s="53" t="n">
        <v>0</v>
      </c>
      <c r="AP368" s="53" t="n">
        <v>0</v>
      </c>
      <c r="AQ368" s="52" t="n">
        <v>0</v>
      </c>
      <c r="AR368" s="52" t="n">
        <v>0</v>
      </c>
      <c r="AS368" s="52" t="n">
        <v>0</v>
      </c>
      <c r="AT368" s="52" t="n">
        <v>0</v>
      </c>
      <c r="AU368" s="53" t="n">
        <v>0</v>
      </c>
      <c r="AV368" s="53" t="n">
        <v>0</v>
      </c>
      <c r="AW368" s="53" t="n">
        <v>0</v>
      </c>
      <c r="AX368" s="53" t="n">
        <v>0</v>
      </c>
      <c r="AY368" s="52" t="n">
        <v>0</v>
      </c>
      <c r="AZ368" s="52" t="n">
        <v>0</v>
      </c>
      <c r="BA368" s="52" t="n">
        <v>0</v>
      </c>
      <c r="BB368" s="52" t="n">
        <v>0</v>
      </c>
      <c r="BC368" s="51" t="n">
        <v>0</v>
      </c>
      <c r="BD368" s="51" t="n">
        <v>0</v>
      </c>
      <c r="BE368" s="51" t="n">
        <v>0</v>
      </c>
      <c r="BF368" s="51" t="n">
        <v>0</v>
      </c>
    </row>
    <row r="369">
      <c r="A369">
        <f>HYPERLINK("https://www.walmart.com/ip/6123409250", "6123409250")</f>
        <v/>
      </c>
      <c r="B369" t="inlineStr">
        <is>
          <t>Solaris Microfiber Beach Towel, 40”x71” Personalized Beach Towels for Adult Women, Sand-Resistant, Quick-Dry Soft Lightweight Compact Camping Towel, Ideal Travel Pool Beach Gifts</t>
        </is>
      </c>
      <c r="C369" t="inlineStr">
        <is>
          <t>1SLBM20147CHOCOLATE</t>
        </is>
      </c>
      <c r="D369" t="inlineStr">
        <is>
          <t>Towels &amp; Washcloths</t>
        </is>
      </c>
      <c r="E369" t="inlineStr">
        <is>
          <t>Solaris</t>
        </is>
      </c>
      <c r="G369" s="48" t="n">
        <v>0</v>
      </c>
      <c r="H369" s="48" t="n">
        <v>0</v>
      </c>
      <c r="I369" s="48" t="n">
        <v>0</v>
      </c>
      <c r="J369" s="48" t="n">
        <v>0</v>
      </c>
      <c r="K369" s="49" t="n">
        <v>0</v>
      </c>
      <c r="L369" s="49" t="n">
        <v>0</v>
      </c>
      <c r="M369" s="49" t="n">
        <v>0</v>
      </c>
      <c r="N369" s="49" t="n">
        <v>0</v>
      </c>
      <c r="O369" s="49" t="n">
        <v>0</v>
      </c>
      <c r="P369" s="49" t="n">
        <v>0</v>
      </c>
      <c r="Q369" s="49" t="n">
        <v>0</v>
      </c>
      <c r="R369" s="49" t="n">
        <v>0</v>
      </c>
      <c r="S369" s="50" t="n">
        <v>0</v>
      </c>
      <c r="T369" s="50" t="n">
        <v>0</v>
      </c>
      <c r="U369" s="50" t="n">
        <v>0</v>
      </c>
      <c r="V369" s="50" t="n">
        <v>0</v>
      </c>
      <c r="W369" s="51" t="n">
        <v>0</v>
      </c>
      <c r="X369" s="51" t="n">
        <v>0</v>
      </c>
      <c r="Y369" s="51" t="n">
        <v>0</v>
      </c>
      <c r="Z369" s="51" t="n">
        <v>0</v>
      </c>
      <c r="AA369" s="52" t="n">
        <v>0</v>
      </c>
      <c r="AB369" s="52" t="n">
        <v>0</v>
      </c>
      <c r="AC369" s="52" t="n">
        <v>0</v>
      </c>
      <c r="AD369" s="52" t="n">
        <v>0</v>
      </c>
      <c r="AE369" s="52" t="n">
        <v>0</v>
      </c>
      <c r="AF369" s="52" t="n">
        <v>0</v>
      </c>
      <c r="AG369" s="52" t="n">
        <v>0</v>
      </c>
      <c r="AH369" s="52" t="n">
        <v>0</v>
      </c>
      <c r="AI369" s="52" t="n">
        <v>0</v>
      </c>
      <c r="AJ369" s="52" t="n">
        <v>0</v>
      </c>
      <c r="AK369" s="52" t="n">
        <v>0</v>
      </c>
      <c r="AL369" s="52" t="n">
        <v>0</v>
      </c>
      <c r="AM369" s="53" t="n">
        <v>0</v>
      </c>
      <c r="AN369" s="53" t="n">
        <v>0</v>
      </c>
      <c r="AO369" s="53" t="n">
        <v>0</v>
      </c>
      <c r="AP369" s="53" t="n">
        <v>0</v>
      </c>
      <c r="AQ369" s="52" t="n">
        <v>0</v>
      </c>
      <c r="AR369" s="52" t="n">
        <v>0</v>
      </c>
      <c r="AS369" s="52" t="n">
        <v>0</v>
      </c>
      <c r="AT369" s="52" t="n">
        <v>0</v>
      </c>
      <c r="AU369" s="53" t="n">
        <v>0</v>
      </c>
      <c r="AV369" s="53" t="n">
        <v>0</v>
      </c>
      <c r="AW369" s="53" t="n">
        <v>0</v>
      </c>
      <c r="AX369" s="53" t="n">
        <v>0</v>
      </c>
      <c r="AY369" s="52" t="n">
        <v>0</v>
      </c>
      <c r="AZ369" s="52" t="n">
        <v>0</v>
      </c>
      <c r="BA369" s="52" t="n">
        <v>0</v>
      </c>
      <c r="BB369" s="52" t="n">
        <v>0</v>
      </c>
      <c r="BC369" s="51" t="n">
        <v>0</v>
      </c>
      <c r="BD369" s="51" t="n">
        <v>0</v>
      </c>
      <c r="BE369" s="51" t="n">
        <v>0</v>
      </c>
      <c r="BF369" s="51" t="n">
        <v>0</v>
      </c>
    </row>
    <row r="370">
      <c r="A370">
        <f>HYPERLINK("https://www.walmart.com/ip/563978241", "563978241")</f>
        <v/>
      </c>
      <c r="B370" t="inlineStr">
        <is>
          <t>Catalonia Sherpa Fleece Throw Blanket, Soft Plush Couch Blanket, TV Bed Blanket, Comfy Warm Heavy Throws, Comfort Caring Gift, 50" x 60"</t>
        </is>
      </c>
      <c r="C370" t="inlineStr">
        <is>
          <t>1CTBF300CHEETAH</t>
        </is>
      </c>
      <c r="D370" t="inlineStr">
        <is>
          <t>Throws</t>
        </is>
      </c>
      <c r="E370" t="inlineStr">
        <is>
          <t>Catalonia</t>
        </is>
      </c>
      <c r="F370" t="inlineStr">
        <is>
          <t>WFS,Coupon_Discount,WFS Item</t>
        </is>
      </c>
      <c r="G370" s="48" t="n">
        <v>0</v>
      </c>
      <c r="H370" s="48" t="n">
        <v>0</v>
      </c>
      <c r="I370" s="48" t="n">
        <v>0</v>
      </c>
      <c r="J370" s="48" t="n">
        <v>0</v>
      </c>
      <c r="K370" s="49" t="n">
        <v>0</v>
      </c>
      <c r="L370" s="49" t="n">
        <v>0</v>
      </c>
      <c r="M370" s="49" t="n">
        <v>0</v>
      </c>
      <c r="N370" s="49" t="n">
        <v>0</v>
      </c>
      <c r="O370" s="49" t="n">
        <v>0</v>
      </c>
      <c r="P370" s="49" t="n">
        <v>0</v>
      </c>
      <c r="Q370" s="49" t="n">
        <v>0</v>
      </c>
      <c r="R370" s="49" t="n">
        <v>0</v>
      </c>
      <c r="S370" s="50" t="n">
        <v>0</v>
      </c>
      <c r="T370" s="50" t="n">
        <v>0</v>
      </c>
      <c r="U370" s="50" t="n">
        <v>0</v>
      </c>
      <c r="V370" s="50" t="n">
        <v>0</v>
      </c>
      <c r="W370" s="51" t="n">
        <v>0</v>
      </c>
      <c r="X370" s="51" t="n">
        <v>0</v>
      </c>
      <c r="Y370" s="51" t="n">
        <v>0</v>
      </c>
      <c r="Z370" s="51" t="n">
        <v>0</v>
      </c>
      <c r="AA370" s="52" t="n">
        <v>0</v>
      </c>
      <c r="AB370" s="52" t="n">
        <v>0</v>
      </c>
      <c r="AC370" s="52" t="n">
        <v>0</v>
      </c>
      <c r="AD370" s="52" t="n">
        <v>0</v>
      </c>
      <c r="AE370" s="52" t="n">
        <v>0</v>
      </c>
      <c r="AF370" s="52" t="n">
        <v>0</v>
      </c>
      <c r="AG370" s="52" t="n">
        <v>0</v>
      </c>
      <c r="AH370" s="52" t="n">
        <v>0</v>
      </c>
      <c r="AI370" s="52" t="n">
        <v>0</v>
      </c>
      <c r="AJ370" s="52" t="n">
        <v>0</v>
      </c>
      <c r="AK370" s="52" t="n">
        <v>0</v>
      </c>
      <c r="AL370" s="52" t="n">
        <v>0</v>
      </c>
      <c r="AM370" s="53" t="n">
        <v>0</v>
      </c>
      <c r="AN370" s="53" t="n">
        <v>0</v>
      </c>
      <c r="AO370" s="53" t="n">
        <v>0</v>
      </c>
      <c r="AP370" s="53" t="n">
        <v>0</v>
      </c>
      <c r="AQ370" s="52" t="n">
        <v>0</v>
      </c>
      <c r="AR370" s="52" t="n">
        <v>0</v>
      </c>
      <c r="AS370" s="52" t="n">
        <v>0</v>
      </c>
      <c r="AT370" s="52" t="n">
        <v>0</v>
      </c>
      <c r="AU370" s="53" t="n">
        <v>0</v>
      </c>
      <c r="AV370" s="53" t="n">
        <v>0</v>
      </c>
      <c r="AW370" s="53" t="n">
        <v>0</v>
      </c>
      <c r="AX370" s="53" t="n">
        <v>0</v>
      </c>
      <c r="AY370" s="52" t="n">
        <v>0</v>
      </c>
      <c r="AZ370" s="52" t="n">
        <v>0</v>
      </c>
      <c r="BA370" s="52" t="n">
        <v>0</v>
      </c>
      <c r="BB370" s="52" t="n">
        <v>0</v>
      </c>
      <c r="BC370" s="51" t="n">
        <v>0</v>
      </c>
      <c r="BD370" s="51" t="n">
        <v>0</v>
      </c>
      <c r="BE370" s="51" t="n">
        <v>0</v>
      </c>
      <c r="BF370" s="51" t="n">
        <v>0</v>
      </c>
    </row>
    <row r="371">
      <c r="A371">
        <f>HYPERLINK("https://www.walmart.com/ip/6125451747", "6125451747")</f>
        <v/>
      </c>
      <c r="B371" t="inlineStr">
        <is>
          <t>Tirrinia 4-in-1 Travel Blanket Luxurious Premium Micro Fleece Lightweight 40” x 60” Grey</t>
        </is>
      </c>
      <c r="C371" t="inlineStr">
        <is>
          <t>1TRTB103GY</t>
        </is>
      </c>
      <c r="D371" t="inlineStr">
        <is>
          <t>Other Travel Accessories</t>
        </is>
      </c>
      <c r="E371" t="inlineStr">
        <is>
          <t>Tirrinia</t>
        </is>
      </c>
      <c r="G371" s="48" t="n">
        <v>0</v>
      </c>
      <c r="H371" s="48" t="n">
        <v>0</v>
      </c>
      <c r="I371" s="48" t="n">
        <v>0</v>
      </c>
      <c r="J371" s="48" t="n">
        <v>0</v>
      </c>
      <c r="K371" s="49" t="n">
        <v>0</v>
      </c>
      <c r="L371" s="49" t="n">
        <v>0</v>
      </c>
      <c r="M371" s="49" t="n">
        <v>0</v>
      </c>
      <c r="N371" s="49" t="n">
        <v>0</v>
      </c>
      <c r="O371" s="49" t="n">
        <v>0</v>
      </c>
      <c r="P371" s="49" t="n">
        <v>0</v>
      </c>
      <c r="Q371" s="49" t="n">
        <v>0</v>
      </c>
      <c r="R371" s="49" t="n">
        <v>0</v>
      </c>
      <c r="S371" s="50" t="n">
        <v>0</v>
      </c>
      <c r="T371" s="50" t="n">
        <v>0</v>
      </c>
      <c r="U371" s="50" t="n">
        <v>0</v>
      </c>
      <c r="V371" s="50" t="n">
        <v>0</v>
      </c>
      <c r="W371" s="51" t="n">
        <v>0</v>
      </c>
      <c r="X371" s="51" t="n">
        <v>0</v>
      </c>
      <c r="Y371" s="51" t="n">
        <v>0</v>
      </c>
      <c r="Z371" s="51" t="n">
        <v>0</v>
      </c>
      <c r="AA371" s="52" t="n">
        <v>0</v>
      </c>
      <c r="AB371" s="52" t="n">
        <v>0</v>
      </c>
      <c r="AC371" s="52" t="n">
        <v>0</v>
      </c>
      <c r="AD371" s="52" t="n">
        <v>0</v>
      </c>
      <c r="AE371" s="52" t="n">
        <v>0</v>
      </c>
      <c r="AF371" s="52" t="n">
        <v>0</v>
      </c>
      <c r="AG371" s="52" t="n">
        <v>0</v>
      </c>
      <c r="AH371" s="52" t="n">
        <v>0</v>
      </c>
      <c r="AI371" s="52" t="n">
        <v>0</v>
      </c>
      <c r="AJ371" s="52" t="n">
        <v>0</v>
      </c>
      <c r="AK371" s="52" t="n">
        <v>0</v>
      </c>
      <c r="AL371" s="52" t="n">
        <v>0</v>
      </c>
      <c r="AM371" s="53" t="n">
        <v>0</v>
      </c>
      <c r="AN371" s="53" t="n">
        <v>0</v>
      </c>
      <c r="AO371" s="53" t="n">
        <v>0</v>
      </c>
      <c r="AP371" s="53" t="n">
        <v>0</v>
      </c>
      <c r="AQ371" s="52" t="n">
        <v>0</v>
      </c>
      <c r="AR371" s="52" t="n">
        <v>0</v>
      </c>
      <c r="AS371" s="52" t="n">
        <v>0</v>
      </c>
      <c r="AT371" s="52" t="n">
        <v>0</v>
      </c>
      <c r="AU371" s="53" t="n">
        <v>0</v>
      </c>
      <c r="AV371" s="53" t="n">
        <v>0</v>
      </c>
      <c r="AW371" s="53" t="n">
        <v>0</v>
      </c>
      <c r="AX371" s="53" t="n">
        <v>0</v>
      </c>
      <c r="AY371" s="52" t="n">
        <v>0</v>
      </c>
      <c r="AZ371" s="52" t="n">
        <v>0</v>
      </c>
      <c r="BA371" s="52" t="n">
        <v>0</v>
      </c>
      <c r="BB371" s="52" t="n">
        <v>0</v>
      </c>
      <c r="BC371" s="51" t="n">
        <v>0</v>
      </c>
      <c r="BD371" s="51" t="n">
        <v>0</v>
      </c>
      <c r="BE371" s="51" t="n">
        <v>0</v>
      </c>
      <c r="BF371" s="51" t="n">
        <v>0</v>
      </c>
    </row>
    <row r="372">
      <c r="A372">
        <f>HYPERLINK("https://www.walmart.com/ip/5691606649", "5691606649")</f>
        <v/>
      </c>
      <c r="B372" t="inlineStr">
        <is>
          <t>Solaris Kids Sun Hat UPF50+ Sun Protection, Large Mesh Super Breathable Travel Beach Play Bucket Hats for Girs Boys Teenagers</t>
        </is>
      </c>
      <c r="C372" t="inlineStr">
        <is>
          <t>1SLSH925OL</t>
        </is>
      </c>
      <c r="D372" t="inlineStr">
        <is>
          <t>Hats</t>
        </is>
      </c>
      <c r="E372" t="inlineStr">
        <is>
          <t>Solaris</t>
        </is>
      </c>
      <c r="G372" s="48" t="n">
        <v>0</v>
      </c>
      <c r="H372" s="48" t="n">
        <v>0</v>
      </c>
      <c r="I372" s="48" t="n">
        <v>0</v>
      </c>
      <c r="J372" s="48" t="n">
        <v>0</v>
      </c>
      <c r="K372" s="49" t="n">
        <v>0</v>
      </c>
      <c r="L372" s="49" t="n">
        <v>0</v>
      </c>
      <c r="M372" s="49" t="n">
        <v>0</v>
      </c>
      <c r="N372" s="49" t="n">
        <v>0</v>
      </c>
      <c r="O372" s="49" t="n">
        <v>0</v>
      </c>
      <c r="P372" s="49" t="n">
        <v>0</v>
      </c>
      <c r="Q372" s="49" t="n">
        <v>0</v>
      </c>
      <c r="R372" s="49" t="n">
        <v>0</v>
      </c>
      <c r="S372" s="50" t="n">
        <v>0</v>
      </c>
      <c r="T372" s="50" t="n">
        <v>0</v>
      </c>
      <c r="U372" s="50" t="n">
        <v>0</v>
      </c>
      <c r="V372" s="50" t="n">
        <v>0</v>
      </c>
      <c r="W372" s="51" t="n">
        <v>0</v>
      </c>
      <c r="X372" s="51" t="n">
        <v>0</v>
      </c>
      <c r="Y372" s="51" t="n">
        <v>0</v>
      </c>
      <c r="Z372" s="51" t="n">
        <v>0</v>
      </c>
      <c r="AA372" s="52" t="n">
        <v>0</v>
      </c>
      <c r="AB372" s="52" t="n">
        <v>0</v>
      </c>
      <c r="AC372" s="52" t="n">
        <v>0</v>
      </c>
      <c r="AD372" s="52" t="n">
        <v>0</v>
      </c>
      <c r="AE372" s="52" t="n">
        <v>0</v>
      </c>
      <c r="AF372" s="52" t="n">
        <v>0</v>
      </c>
      <c r="AG372" s="52" t="n">
        <v>0</v>
      </c>
      <c r="AH372" s="52" t="n">
        <v>0</v>
      </c>
      <c r="AI372" s="52" t="n">
        <v>0</v>
      </c>
      <c r="AJ372" s="52" t="n">
        <v>0</v>
      </c>
      <c r="AK372" s="52" t="n">
        <v>0</v>
      </c>
      <c r="AL372" s="52" t="n">
        <v>0</v>
      </c>
      <c r="AM372" s="53" t="n">
        <v>0</v>
      </c>
      <c r="AN372" s="53" t="n">
        <v>0</v>
      </c>
      <c r="AO372" s="53" t="n">
        <v>0</v>
      </c>
      <c r="AP372" s="53" t="n">
        <v>0</v>
      </c>
      <c r="AQ372" s="52" t="n">
        <v>0</v>
      </c>
      <c r="AR372" s="52" t="n">
        <v>0</v>
      </c>
      <c r="AS372" s="52" t="n">
        <v>0</v>
      </c>
      <c r="AT372" s="52" t="n">
        <v>0</v>
      </c>
      <c r="AU372" s="53" t="n">
        <v>0</v>
      </c>
      <c r="AV372" s="53" t="n">
        <v>0</v>
      </c>
      <c r="AW372" s="53" t="n">
        <v>0</v>
      </c>
      <c r="AX372" s="53" t="n">
        <v>0</v>
      </c>
      <c r="AY372" s="52" t="n">
        <v>0</v>
      </c>
      <c r="AZ372" s="52" t="n">
        <v>0</v>
      </c>
      <c r="BA372" s="52" t="n">
        <v>0</v>
      </c>
      <c r="BB372" s="52" t="n">
        <v>0</v>
      </c>
      <c r="BC372" s="51" t="n">
        <v>0</v>
      </c>
      <c r="BD372" s="51" t="n">
        <v>0</v>
      </c>
      <c r="BE372" s="51" t="n">
        <v>0</v>
      </c>
      <c r="BF372" s="51" t="n">
        <v>0</v>
      </c>
    </row>
    <row r="373">
      <c r="A373">
        <f>HYPERLINK("https://www.walmart.com/ip/569808871", "569808871")</f>
        <v/>
      </c>
      <c r="B373" t="inlineStr">
        <is>
          <t>Pawsse Microfleece Snuggle Pet Blanket, Plush Sherpa Cat Blanket, Dog Throw Blanket Cushion Mat for Small Animals, Large Size, Brown, 60'' x 49''</t>
        </is>
      </c>
      <c r="C373" t="inlineStr">
        <is>
          <t>1PSBF560BRLT</t>
        </is>
      </c>
      <c r="D373" t="inlineStr">
        <is>
          <t>Pet Blankets</t>
        </is>
      </c>
      <c r="E373" t="inlineStr">
        <is>
          <t>Pawsse</t>
        </is>
      </c>
      <c r="F373" t="inlineStr">
        <is>
          <t>WFS,WFS Item</t>
        </is>
      </c>
      <c r="G373" s="48" t="n">
        <v>0</v>
      </c>
      <c r="H373" s="48" t="n">
        <v>0</v>
      </c>
      <c r="I373" s="48" t="n">
        <v>0</v>
      </c>
      <c r="J373" s="48" t="n">
        <v>0</v>
      </c>
      <c r="K373" s="49" t="n">
        <v>0</v>
      </c>
      <c r="L373" s="49" t="n">
        <v>0</v>
      </c>
      <c r="M373" s="49" t="n">
        <v>0</v>
      </c>
      <c r="N373" s="49" t="n">
        <v>0</v>
      </c>
      <c r="O373" s="49" t="n">
        <v>0</v>
      </c>
      <c r="P373" s="49" t="n">
        <v>0</v>
      </c>
      <c r="Q373" s="49" t="n">
        <v>0</v>
      </c>
      <c r="R373" s="49" t="n">
        <v>0</v>
      </c>
      <c r="S373" s="50" t="n">
        <v>0</v>
      </c>
      <c r="T373" s="50" t="n">
        <v>0</v>
      </c>
      <c r="U373" s="50" t="n">
        <v>0</v>
      </c>
      <c r="V373" s="50" t="n">
        <v>0</v>
      </c>
      <c r="W373" s="51" t="n">
        <v>0</v>
      </c>
      <c r="X373" s="51" t="n">
        <v>0</v>
      </c>
      <c r="Y373" s="51" t="n">
        <v>0</v>
      </c>
      <c r="Z373" s="51" t="n">
        <v>0</v>
      </c>
      <c r="AA373" s="52" t="n">
        <v>0</v>
      </c>
      <c r="AB373" s="52" t="n">
        <v>0</v>
      </c>
      <c r="AC373" s="52" t="n">
        <v>0</v>
      </c>
      <c r="AD373" s="52" t="n">
        <v>0</v>
      </c>
      <c r="AE373" s="52" t="n">
        <v>0</v>
      </c>
      <c r="AF373" s="52" t="n">
        <v>0</v>
      </c>
      <c r="AG373" s="52" t="n">
        <v>0</v>
      </c>
      <c r="AH373" s="52" t="n">
        <v>0</v>
      </c>
      <c r="AI373" s="52" t="n">
        <v>0</v>
      </c>
      <c r="AJ373" s="52" t="n">
        <v>0</v>
      </c>
      <c r="AK373" s="52" t="n">
        <v>0</v>
      </c>
      <c r="AL373" s="52" t="n">
        <v>0</v>
      </c>
      <c r="AM373" s="53" t="n">
        <v>0</v>
      </c>
      <c r="AN373" s="53" t="n">
        <v>0</v>
      </c>
      <c r="AO373" s="53" t="n">
        <v>0</v>
      </c>
      <c r="AP373" s="53" t="n">
        <v>0</v>
      </c>
      <c r="AQ373" s="52" t="n">
        <v>0</v>
      </c>
      <c r="AR373" s="52" t="n">
        <v>0</v>
      </c>
      <c r="AS373" s="52" t="n">
        <v>0</v>
      </c>
      <c r="AT373" s="52" t="n">
        <v>0</v>
      </c>
      <c r="AU373" s="53" t="n">
        <v>0</v>
      </c>
      <c r="AV373" s="53" t="n">
        <v>0</v>
      </c>
      <c r="AW373" s="53" t="n">
        <v>0</v>
      </c>
      <c r="AX373" s="53" t="n">
        <v>0</v>
      </c>
      <c r="AY373" s="52" t="n">
        <v>0</v>
      </c>
      <c r="AZ373" s="52" t="n">
        <v>0</v>
      </c>
      <c r="BA373" s="52" t="n">
        <v>0</v>
      </c>
      <c r="BB373" s="52" t="n">
        <v>0</v>
      </c>
      <c r="BC373" s="51" t="n">
        <v>0</v>
      </c>
      <c r="BD373" s="51" t="n">
        <v>0</v>
      </c>
      <c r="BE373" s="51" t="n">
        <v>0</v>
      </c>
      <c r="BF373" s="51" t="n">
        <v>0</v>
      </c>
    </row>
    <row r="374">
      <c r="A374">
        <f>HYPERLINK("https://www.walmart.com/ip/5789793931", "5789793931")</f>
        <v/>
      </c>
      <c r="B374" t="inlineStr">
        <is>
          <t>Catalonia Cooling Blanket for Hot Sleepers, Summer Bed Blanket for Warm Night Sweat, Cool Sofa Throw Blanket for Hot Flashes, Soft Thin Lightweight Blanket for Adults Kids</t>
        </is>
      </c>
      <c r="C374" t="inlineStr">
        <is>
          <t>1CTBQ10169BL</t>
        </is>
      </c>
      <c r="D374" t="inlineStr">
        <is>
          <t>Throws</t>
        </is>
      </c>
      <c r="E374" t="inlineStr">
        <is>
          <t>Catalonia</t>
        </is>
      </c>
      <c r="G374" s="48" t="n">
        <v>0</v>
      </c>
      <c r="H374" s="48" t="n">
        <v>0</v>
      </c>
      <c r="I374" s="48" t="n">
        <v>0</v>
      </c>
      <c r="J374" s="48" t="n">
        <v>0</v>
      </c>
      <c r="K374" s="49" t="n">
        <v>0</v>
      </c>
      <c r="L374" s="49" t="n">
        <v>0</v>
      </c>
      <c r="M374" s="49" t="n">
        <v>0</v>
      </c>
      <c r="N374" s="49" t="n">
        <v>0</v>
      </c>
      <c r="O374" s="49" t="n">
        <v>0</v>
      </c>
      <c r="P374" s="49" t="n">
        <v>0</v>
      </c>
      <c r="Q374" s="49" t="n">
        <v>0</v>
      </c>
      <c r="R374" s="49" t="n">
        <v>0</v>
      </c>
      <c r="S374" s="50" t="n">
        <v>0</v>
      </c>
      <c r="T374" s="50" t="n">
        <v>0</v>
      </c>
      <c r="U374" s="50" t="n">
        <v>0</v>
      </c>
      <c r="V374" s="50" t="n">
        <v>0</v>
      </c>
      <c r="W374" s="51" t="n">
        <v>0</v>
      </c>
      <c r="X374" s="51" t="n">
        <v>0</v>
      </c>
      <c r="Y374" s="51" t="n">
        <v>0</v>
      </c>
      <c r="Z374" s="51" t="n">
        <v>0</v>
      </c>
      <c r="AA374" s="52" t="n">
        <v>0</v>
      </c>
      <c r="AB374" s="52" t="n">
        <v>0</v>
      </c>
      <c r="AC374" s="52" t="n">
        <v>0</v>
      </c>
      <c r="AD374" s="52" t="n">
        <v>0</v>
      </c>
      <c r="AE374" s="52" t="n">
        <v>0</v>
      </c>
      <c r="AF374" s="52" t="n">
        <v>0</v>
      </c>
      <c r="AG374" s="52" t="n">
        <v>0</v>
      </c>
      <c r="AH374" s="52" t="n">
        <v>0</v>
      </c>
      <c r="AI374" s="52" t="n">
        <v>0</v>
      </c>
      <c r="AJ374" s="52" t="n">
        <v>0</v>
      </c>
      <c r="AK374" s="52" t="n">
        <v>0</v>
      </c>
      <c r="AL374" s="52" t="n">
        <v>0</v>
      </c>
      <c r="AM374" s="53" t="n">
        <v>0</v>
      </c>
      <c r="AN374" s="53" t="n">
        <v>0</v>
      </c>
      <c r="AO374" s="53" t="n">
        <v>0</v>
      </c>
      <c r="AP374" s="53" t="n">
        <v>0</v>
      </c>
      <c r="AQ374" s="52" t="n">
        <v>0</v>
      </c>
      <c r="AR374" s="52" t="n">
        <v>0</v>
      </c>
      <c r="AS374" s="52" t="n">
        <v>0</v>
      </c>
      <c r="AT374" s="52" t="n">
        <v>0</v>
      </c>
      <c r="AU374" s="53" t="n">
        <v>0</v>
      </c>
      <c r="AV374" s="53" t="n">
        <v>0</v>
      </c>
      <c r="AW374" s="53" t="n">
        <v>0</v>
      </c>
      <c r="AX374" s="53" t="n">
        <v>0</v>
      </c>
      <c r="AY374" s="52" t="n">
        <v>0</v>
      </c>
      <c r="AZ374" s="52" t="n">
        <v>0</v>
      </c>
      <c r="BA374" s="52" t="n">
        <v>0</v>
      </c>
      <c r="BB374" s="52" t="n">
        <v>0</v>
      </c>
      <c r="BC374" s="51" t="n">
        <v>0</v>
      </c>
      <c r="BD374" s="51" t="n">
        <v>0</v>
      </c>
      <c r="BE374" s="51" t="n">
        <v>0</v>
      </c>
      <c r="BF374" s="51" t="n">
        <v>0</v>
      </c>
    </row>
    <row r="375">
      <c r="A375">
        <f>HYPERLINK("https://www.walmart.com/ip/574476832", "574476832")</f>
        <v/>
      </c>
      <c r="B375" t="inlineStr">
        <is>
          <t>Catalonia Wearable TV Blanket with Sleeves Arms Warm Micro Plush Sherpa Fleece for Adult Large Wrap Throw Robe 72 x 55”</t>
        </is>
      </c>
      <c r="C375" t="inlineStr">
        <is>
          <t>1CTSN110PK</t>
        </is>
      </c>
      <c r="D375" t="inlineStr">
        <is>
          <t>Throws</t>
        </is>
      </c>
      <c r="E375" t="inlineStr">
        <is>
          <t>Catalonia</t>
        </is>
      </c>
      <c r="F375" t="inlineStr">
        <is>
          <t>WFS,WFS Item</t>
        </is>
      </c>
      <c r="G375" s="48" t="n">
        <v>0</v>
      </c>
      <c r="H375" s="48" t="n">
        <v>0</v>
      </c>
      <c r="I375" s="48" t="n">
        <v>0</v>
      </c>
      <c r="J375" s="48" t="n">
        <v>0</v>
      </c>
      <c r="K375" s="49" t="n">
        <v>0</v>
      </c>
      <c r="L375" s="49" t="n">
        <v>0</v>
      </c>
      <c r="M375" s="49" t="n">
        <v>0</v>
      </c>
      <c r="N375" s="49" t="n">
        <v>0</v>
      </c>
      <c r="O375" s="49" t="n">
        <v>0</v>
      </c>
      <c r="P375" s="49" t="n">
        <v>0</v>
      </c>
      <c r="Q375" s="49" t="n">
        <v>0</v>
      </c>
      <c r="R375" s="49" t="n">
        <v>0</v>
      </c>
      <c r="S375" s="50" t="n">
        <v>0</v>
      </c>
      <c r="T375" s="50" t="n">
        <v>0</v>
      </c>
      <c r="U375" s="50" t="n">
        <v>0</v>
      </c>
      <c r="V375" s="50" t="n">
        <v>0</v>
      </c>
      <c r="W375" s="51" t="n">
        <v>0</v>
      </c>
      <c r="X375" s="51" t="n">
        <v>0</v>
      </c>
      <c r="Y375" s="51" t="n">
        <v>0</v>
      </c>
      <c r="Z375" s="51" t="n">
        <v>0</v>
      </c>
      <c r="AA375" s="52" t="n">
        <v>0</v>
      </c>
      <c r="AB375" s="52" t="n">
        <v>0</v>
      </c>
      <c r="AC375" s="52" t="n">
        <v>0</v>
      </c>
      <c r="AD375" s="52" t="n">
        <v>0</v>
      </c>
      <c r="AE375" s="52" t="n">
        <v>0</v>
      </c>
      <c r="AF375" s="52" t="n">
        <v>0</v>
      </c>
      <c r="AG375" s="52" t="n">
        <v>0</v>
      </c>
      <c r="AH375" s="52" t="n">
        <v>0</v>
      </c>
      <c r="AI375" s="52" t="n">
        <v>0</v>
      </c>
      <c r="AJ375" s="52" t="n">
        <v>0</v>
      </c>
      <c r="AK375" s="52" t="n">
        <v>0</v>
      </c>
      <c r="AL375" s="52" t="n">
        <v>0</v>
      </c>
      <c r="AM375" s="53" t="n">
        <v>0</v>
      </c>
      <c r="AN375" s="53" t="n">
        <v>0</v>
      </c>
      <c r="AO375" s="53" t="n">
        <v>0</v>
      </c>
      <c r="AP375" s="53" t="n">
        <v>0</v>
      </c>
      <c r="AQ375" s="52" t="n">
        <v>0</v>
      </c>
      <c r="AR375" s="52" t="n">
        <v>0</v>
      </c>
      <c r="AS375" s="52" t="n">
        <v>0</v>
      </c>
      <c r="AT375" s="52" t="n">
        <v>0</v>
      </c>
      <c r="AU375" s="53" t="n">
        <v>0</v>
      </c>
      <c r="AV375" s="53" t="n">
        <v>0</v>
      </c>
      <c r="AW375" s="53" t="n">
        <v>0</v>
      </c>
      <c r="AX375" s="53" t="n">
        <v>0</v>
      </c>
      <c r="AY375" s="52" t="n">
        <v>0</v>
      </c>
      <c r="AZ375" s="52" t="n">
        <v>0</v>
      </c>
      <c r="BA375" s="52" t="n">
        <v>0</v>
      </c>
      <c r="BB375" s="52" t="n">
        <v>0</v>
      </c>
      <c r="BC375" s="51" t="n">
        <v>0</v>
      </c>
      <c r="BD375" s="51" t="n">
        <v>0</v>
      </c>
      <c r="BE375" s="51" t="n">
        <v>0</v>
      </c>
      <c r="BF375" s="51" t="n">
        <v>0</v>
      </c>
    </row>
    <row r="376">
      <c r="A376">
        <f>HYPERLINK("https://www.walmart.com/ip/5788717054", "5788717054")</f>
        <v/>
      </c>
      <c r="B376" t="inlineStr">
        <is>
          <t>Tirrinia Camping Cooler Bag Insulated w/ Shoulder Strap and Bottle Opener 20 Cans Portable Ice Chest for Camping Hiking Picnic Beach</t>
        </is>
      </c>
      <c r="C376" t="inlineStr">
        <is>
          <t>1TRCB00136GNBK</t>
        </is>
      </c>
      <c r="D376" t="inlineStr">
        <is>
          <t>Soft-Sided Coolers</t>
        </is>
      </c>
      <c r="E376" t="inlineStr">
        <is>
          <t>Tirrinia</t>
        </is>
      </c>
      <c r="G376" s="48" t="n">
        <v>0</v>
      </c>
      <c r="H376" s="48" t="n">
        <v>0</v>
      </c>
      <c r="I376" s="48" t="n">
        <v>0</v>
      </c>
      <c r="J376" s="48" t="n">
        <v>0</v>
      </c>
      <c r="K376" s="49" t="n">
        <v>0</v>
      </c>
      <c r="L376" s="49" t="n">
        <v>0</v>
      </c>
      <c r="M376" s="49" t="n">
        <v>0</v>
      </c>
      <c r="N376" s="49" t="n">
        <v>0</v>
      </c>
      <c r="O376" s="49" t="n">
        <v>0</v>
      </c>
      <c r="P376" s="49" t="n">
        <v>0</v>
      </c>
      <c r="Q376" s="49" t="n">
        <v>0</v>
      </c>
      <c r="R376" s="49" t="n">
        <v>0</v>
      </c>
      <c r="S376" s="50" t="n">
        <v>0</v>
      </c>
      <c r="T376" s="50" t="n">
        <v>0</v>
      </c>
      <c r="U376" s="50" t="n">
        <v>0</v>
      </c>
      <c r="V376" s="50" t="n">
        <v>0</v>
      </c>
      <c r="W376" s="51" t="n">
        <v>0</v>
      </c>
      <c r="X376" s="51" t="n">
        <v>0</v>
      </c>
      <c r="Y376" s="51" t="n">
        <v>0</v>
      </c>
      <c r="Z376" s="51" t="n">
        <v>0</v>
      </c>
      <c r="AA376" s="52" t="n">
        <v>0</v>
      </c>
      <c r="AB376" s="52" t="n">
        <v>0</v>
      </c>
      <c r="AC376" s="52" t="n">
        <v>0</v>
      </c>
      <c r="AD376" s="52" t="n">
        <v>0</v>
      </c>
      <c r="AE376" s="52" t="n">
        <v>0</v>
      </c>
      <c r="AF376" s="52" t="n">
        <v>0</v>
      </c>
      <c r="AG376" s="52" t="n">
        <v>0</v>
      </c>
      <c r="AH376" s="52" t="n">
        <v>0</v>
      </c>
      <c r="AI376" s="52" t="n">
        <v>0</v>
      </c>
      <c r="AJ376" s="52" t="n">
        <v>0</v>
      </c>
      <c r="AK376" s="52" t="n">
        <v>0</v>
      </c>
      <c r="AL376" s="52" t="n">
        <v>0</v>
      </c>
      <c r="AM376" s="53" t="n">
        <v>0</v>
      </c>
      <c r="AN376" s="53" t="n">
        <v>0</v>
      </c>
      <c r="AO376" s="53" t="n">
        <v>0</v>
      </c>
      <c r="AP376" s="53" t="n">
        <v>0</v>
      </c>
      <c r="AQ376" s="52" t="n">
        <v>0</v>
      </c>
      <c r="AR376" s="52" t="n">
        <v>0</v>
      </c>
      <c r="AS376" s="52" t="n">
        <v>0</v>
      </c>
      <c r="AT376" s="52" t="n">
        <v>0</v>
      </c>
      <c r="AU376" s="53" t="n">
        <v>0</v>
      </c>
      <c r="AV376" s="53" t="n">
        <v>0</v>
      </c>
      <c r="AW376" s="53" t="n">
        <v>0</v>
      </c>
      <c r="AX376" s="53" t="n">
        <v>0</v>
      </c>
      <c r="AY376" s="52" t="n">
        <v>0</v>
      </c>
      <c r="AZ376" s="52" t="n">
        <v>0</v>
      </c>
      <c r="BA376" s="52" t="n">
        <v>0</v>
      </c>
      <c r="BB376" s="52" t="n">
        <v>0</v>
      </c>
      <c r="BC376" s="51" t="n">
        <v>0</v>
      </c>
      <c r="BD376" s="51" t="n">
        <v>0</v>
      </c>
      <c r="BE376" s="51" t="n">
        <v>0</v>
      </c>
      <c r="BF376" s="51" t="n">
        <v>0</v>
      </c>
    </row>
    <row r="377">
      <c r="A377">
        <f>HYPERLINK("https://www.walmart.com/ip/5785712928", "5785712928")</f>
        <v/>
      </c>
      <c r="B377" t="inlineStr">
        <is>
          <t>Tirrinia  Camping Cooler Bag Insulated w/ Shoulder Strap and Bottle Opener 20 Cans Portable Ice Chest for Camping Hiking Picnic Beach</t>
        </is>
      </c>
      <c r="C377" t="inlineStr">
        <is>
          <t>1TRCB00130GNBK</t>
        </is>
      </c>
      <c r="D377" t="inlineStr">
        <is>
          <t>Soft-Sided Coolers</t>
        </is>
      </c>
      <c r="E377" t="inlineStr">
        <is>
          <t>Tirrinia</t>
        </is>
      </c>
      <c r="G377" s="48" t="n">
        <v>0</v>
      </c>
      <c r="H377" s="48" t="n">
        <v>0</v>
      </c>
      <c r="I377" s="48" t="n">
        <v>0</v>
      </c>
      <c r="J377" s="48" t="n">
        <v>0</v>
      </c>
      <c r="K377" s="49" t="n">
        <v>0</v>
      </c>
      <c r="L377" s="49" t="n">
        <v>0</v>
      </c>
      <c r="M377" s="49" t="n">
        <v>0</v>
      </c>
      <c r="N377" s="49" t="n">
        <v>0</v>
      </c>
      <c r="O377" s="49" t="n">
        <v>0</v>
      </c>
      <c r="P377" s="49" t="n">
        <v>0</v>
      </c>
      <c r="Q377" s="49" t="n">
        <v>0</v>
      </c>
      <c r="R377" s="49" t="n">
        <v>0</v>
      </c>
      <c r="S377" s="50" t="n">
        <v>0</v>
      </c>
      <c r="T377" s="50" t="n">
        <v>0</v>
      </c>
      <c r="U377" s="50" t="n">
        <v>0</v>
      </c>
      <c r="V377" s="50" t="n">
        <v>0</v>
      </c>
      <c r="W377" s="51" t="n">
        <v>0</v>
      </c>
      <c r="X377" s="51" t="n">
        <v>0</v>
      </c>
      <c r="Y377" s="51" t="n">
        <v>0</v>
      </c>
      <c r="Z377" s="51" t="n">
        <v>0</v>
      </c>
      <c r="AA377" s="52" t="n">
        <v>0</v>
      </c>
      <c r="AB377" s="52" t="n">
        <v>0</v>
      </c>
      <c r="AC377" s="52" t="n">
        <v>0</v>
      </c>
      <c r="AD377" s="52" t="n">
        <v>0</v>
      </c>
      <c r="AE377" s="52" t="n">
        <v>0</v>
      </c>
      <c r="AF377" s="52" t="n">
        <v>0</v>
      </c>
      <c r="AG377" s="52" t="n">
        <v>0</v>
      </c>
      <c r="AH377" s="52" t="n">
        <v>0</v>
      </c>
      <c r="AI377" s="52" t="n">
        <v>0</v>
      </c>
      <c r="AJ377" s="52" t="n">
        <v>0</v>
      </c>
      <c r="AK377" s="52" t="n">
        <v>0</v>
      </c>
      <c r="AL377" s="52" t="n">
        <v>0</v>
      </c>
      <c r="AM377" s="53" t="n">
        <v>0</v>
      </c>
      <c r="AN377" s="53" t="n">
        <v>0</v>
      </c>
      <c r="AO377" s="53" t="n">
        <v>0</v>
      </c>
      <c r="AP377" s="53" t="n">
        <v>0</v>
      </c>
      <c r="AQ377" s="52" t="n">
        <v>0</v>
      </c>
      <c r="AR377" s="52" t="n">
        <v>0</v>
      </c>
      <c r="AS377" s="52" t="n">
        <v>0</v>
      </c>
      <c r="AT377" s="52" t="n">
        <v>0</v>
      </c>
      <c r="AU377" s="53" t="n">
        <v>0</v>
      </c>
      <c r="AV377" s="53" t="n">
        <v>0</v>
      </c>
      <c r="AW377" s="53" t="n">
        <v>0</v>
      </c>
      <c r="AX377" s="53" t="n">
        <v>0</v>
      </c>
      <c r="AY377" s="52" t="n">
        <v>0</v>
      </c>
      <c r="AZ377" s="52" t="n">
        <v>0</v>
      </c>
      <c r="BA377" s="52" t="n">
        <v>0</v>
      </c>
      <c r="BB377" s="52" t="n">
        <v>0</v>
      </c>
      <c r="BC377" s="51" t="n">
        <v>0</v>
      </c>
      <c r="BD377" s="51" t="n">
        <v>0</v>
      </c>
      <c r="BE377" s="51" t="n">
        <v>0</v>
      </c>
      <c r="BF377" s="51" t="n">
        <v>0</v>
      </c>
    </row>
    <row r="378">
      <c r="A378">
        <f>HYPERLINK("https://www.walmart.com/ip/5785662459", "5785662459")</f>
        <v/>
      </c>
      <c r="B378" t="inlineStr">
        <is>
          <t>Kato Expandable Insulated Lunch Bag, Leakproof Lunch Cooler Tote for All Ages, Black</t>
        </is>
      </c>
      <c r="C378" t="inlineStr">
        <is>
          <t>1TRLB110DB</t>
        </is>
      </c>
      <c r="D378" t="inlineStr">
        <is>
          <t>Reusable Lunch Bags &amp; Boxes</t>
        </is>
      </c>
      <c r="E378" t="inlineStr">
        <is>
          <t>Kato</t>
        </is>
      </c>
      <c r="G378" s="48" t="n">
        <v>0</v>
      </c>
      <c r="H378" s="48" t="n">
        <v>0</v>
      </c>
      <c r="I378" s="48" t="n">
        <v>16.99</v>
      </c>
      <c r="J378" s="48" t="n">
        <v>0</v>
      </c>
      <c r="K378" s="49" t="n">
        <v>0</v>
      </c>
      <c r="L378" s="49" t="n">
        <v>0</v>
      </c>
      <c r="M378" s="49" t="n">
        <v>1</v>
      </c>
      <c r="N378" s="49" t="n">
        <v>0</v>
      </c>
      <c r="O378" s="49" t="n">
        <v>0</v>
      </c>
      <c r="P378" s="49" t="n">
        <v>0</v>
      </c>
      <c r="Q378" s="49" t="n">
        <v>0</v>
      </c>
      <c r="R378" s="49" t="n">
        <v>0</v>
      </c>
      <c r="S378" s="50" t="n">
        <v>0</v>
      </c>
      <c r="T378" s="50" t="n">
        <v>0</v>
      </c>
      <c r="U378" s="50" t="n">
        <v>0</v>
      </c>
      <c r="V378" s="50" t="n">
        <v>0</v>
      </c>
      <c r="W378" s="51" t="n">
        <v>0</v>
      </c>
      <c r="X378" s="51" t="n">
        <v>0</v>
      </c>
      <c r="Y378" s="51" t="n">
        <v>0</v>
      </c>
      <c r="Z378" s="51" t="n">
        <v>0</v>
      </c>
      <c r="AA378" s="52" t="n">
        <v>0</v>
      </c>
      <c r="AB378" s="52" t="n">
        <v>0</v>
      </c>
      <c r="AC378" s="52" t="n">
        <v>0</v>
      </c>
      <c r="AD378" s="52" t="n">
        <v>0</v>
      </c>
      <c r="AE378" s="52" t="n">
        <v>0</v>
      </c>
      <c r="AF378" s="52" t="n">
        <v>0</v>
      </c>
      <c r="AG378" s="52" t="n">
        <v>0</v>
      </c>
      <c r="AH378" s="52" t="n">
        <v>0</v>
      </c>
      <c r="AI378" s="52" t="n">
        <v>0</v>
      </c>
      <c r="AJ378" s="52" t="n">
        <v>0</v>
      </c>
      <c r="AK378" s="52" t="n">
        <v>0</v>
      </c>
      <c r="AL378" s="52" t="n">
        <v>0</v>
      </c>
      <c r="AM378" s="53" t="n">
        <v>0</v>
      </c>
      <c r="AN378" s="53" t="n">
        <v>0</v>
      </c>
      <c r="AO378" s="53" t="n">
        <v>0</v>
      </c>
      <c r="AP378" s="53" t="n">
        <v>0</v>
      </c>
      <c r="AQ378" s="52" t="n">
        <v>0</v>
      </c>
      <c r="AR378" s="52" t="n">
        <v>0</v>
      </c>
      <c r="AS378" s="52" t="n">
        <v>0</v>
      </c>
      <c r="AT378" s="52" t="n">
        <v>0</v>
      </c>
      <c r="AU378" s="53" t="n">
        <v>0</v>
      </c>
      <c r="AV378" s="53" t="n">
        <v>0</v>
      </c>
      <c r="AW378" s="53" t="n">
        <v>0</v>
      </c>
      <c r="AX378" s="53" t="n">
        <v>0</v>
      </c>
      <c r="AY378" s="52" t="n">
        <v>0</v>
      </c>
      <c r="AZ378" s="52" t="n">
        <v>0</v>
      </c>
      <c r="BA378" s="52" t="n">
        <v>16.99</v>
      </c>
      <c r="BB378" s="52" t="n">
        <v>0</v>
      </c>
      <c r="BC378" s="51" t="n">
        <v>0</v>
      </c>
      <c r="BD378" s="51" t="n">
        <v>0</v>
      </c>
      <c r="BE378" s="51" t="n">
        <v>0</v>
      </c>
      <c r="BF378" s="51" t="n">
        <v>0</v>
      </c>
    </row>
    <row r="379">
      <c r="A379">
        <f>HYPERLINK("https://www.walmart.com/ip/578444591", "578444591")</f>
        <v/>
      </c>
      <c r="B379" t="inlineStr">
        <is>
          <t>Catalonia Fleece Wearable Blanket Poncho for Adult Women Men, Wrap Blanket Cape with Pocket | Warm, Soft, Cozy, Snuggly, Comfort Gift, No Sleeves | All-Season, Aqua</t>
        </is>
      </c>
      <c r="C379" t="inlineStr">
        <is>
          <t>1CTBP100AQ</t>
        </is>
      </c>
      <c r="D379" t="inlineStr">
        <is>
          <t>Throws</t>
        </is>
      </c>
      <c r="E379" t="inlineStr">
        <is>
          <t>Catalonia</t>
        </is>
      </c>
      <c r="F379" t="inlineStr">
        <is>
          <t>Hero 5 Holidays,WFS,Coupon_Discount,WFS Item</t>
        </is>
      </c>
      <c r="G379" s="48" t="n">
        <v>0</v>
      </c>
      <c r="H379" s="48" t="n">
        <v>0</v>
      </c>
      <c r="I379" s="48" t="n">
        <v>0</v>
      </c>
      <c r="J379" s="48" t="n">
        <v>0</v>
      </c>
      <c r="K379" s="49" t="n">
        <v>0</v>
      </c>
      <c r="L379" s="49" t="n">
        <v>0</v>
      </c>
      <c r="M379" s="49" t="n">
        <v>0</v>
      </c>
      <c r="N379" s="49" t="n">
        <v>0</v>
      </c>
      <c r="O379" s="49" t="n">
        <v>0</v>
      </c>
      <c r="P379" s="49" t="n">
        <v>0</v>
      </c>
      <c r="Q379" s="49" t="n">
        <v>0</v>
      </c>
      <c r="R379" s="49" t="n">
        <v>0</v>
      </c>
      <c r="S379" s="50" t="n">
        <v>0</v>
      </c>
      <c r="T379" s="50" t="n">
        <v>0</v>
      </c>
      <c r="U379" s="50" t="n">
        <v>0</v>
      </c>
      <c r="V379" s="50" t="n">
        <v>0</v>
      </c>
      <c r="W379" s="51" t="n">
        <v>0</v>
      </c>
      <c r="X379" s="51" t="n">
        <v>0</v>
      </c>
      <c r="Y379" s="51" t="n">
        <v>0</v>
      </c>
      <c r="Z379" s="51" t="n">
        <v>0</v>
      </c>
      <c r="AA379" s="52" t="n">
        <v>0</v>
      </c>
      <c r="AB379" s="52" t="n">
        <v>0</v>
      </c>
      <c r="AC379" s="52" t="n">
        <v>0</v>
      </c>
      <c r="AD379" s="52" t="n">
        <v>0</v>
      </c>
      <c r="AE379" s="52" t="n">
        <v>0</v>
      </c>
      <c r="AF379" s="52" t="n">
        <v>0</v>
      </c>
      <c r="AG379" s="52" t="n">
        <v>0</v>
      </c>
      <c r="AH379" s="52" t="n">
        <v>0</v>
      </c>
      <c r="AI379" s="52" t="n">
        <v>0</v>
      </c>
      <c r="AJ379" s="52" t="n">
        <v>0</v>
      </c>
      <c r="AK379" s="52" t="n">
        <v>0</v>
      </c>
      <c r="AL379" s="52" t="n">
        <v>0</v>
      </c>
      <c r="AM379" s="53" t="n">
        <v>0</v>
      </c>
      <c r="AN379" s="53" t="n">
        <v>0</v>
      </c>
      <c r="AO379" s="53" t="n">
        <v>0</v>
      </c>
      <c r="AP379" s="53" t="n">
        <v>0</v>
      </c>
      <c r="AQ379" s="52" t="n">
        <v>0</v>
      </c>
      <c r="AR379" s="52" t="n">
        <v>0</v>
      </c>
      <c r="AS379" s="52" t="n">
        <v>0</v>
      </c>
      <c r="AT379" s="52" t="n">
        <v>0</v>
      </c>
      <c r="AU379" s="53" t="n">
        <v>0</v>
      </c>
      <c r="AV379" s="53" t="n">
        <v>0</v>
      </c>
      <c r="AW379" s="53" t="n">
        <v>0</v>
      </c>
      <c r="AX379" s="53" t="n">
        <v>0</v>
      </c>
      <c r="AY379" s="52" t="n">
        <v>0</v>
      </c>
      <c r="AZ379" s="52" t="n">
        <v>0</v>
      </c>
      <c r="BA379" s="52" t="n">
        <v>0</v>
      </c>
      <c r="BB379" s="52" t="n">
        <v>0</v>
      </c>
      <c r="BC379" s="51" t="n">
        <v>0</v>
      </c>
      <c r="BD379" s="51" t="n">
        <v>0</v>
      </c>
      <c r="BE379" s="51" t="n">
        <v>0</v>
      </c>
      <c r="BF379" s="51" t="n">
        <v>0</v>
      </c>
    </row>
    <row r="380">
      <c r="A380">
        <f>HYPERLINK("https://www.walmart.com/ip/577043830", "577043830")</f>
        <v/>
      </c>
      <c r="B380" t="inlineStr">
        <is>
          <t>Sherpa Slipper Socks for Women,Winter Indoor Home Non Skid Booties</t>
        </is>
      </c>
      <c r="C380" t="inlineStr">
        <is>
          <t>1CTST200BL-2</t>
        </is>
      </c>
      <c r="D380" t="inlineStr">
        <is>
          <t>Socks</t>
        </is>
      </c>
      <c r="E380" t="inlineStr">
        <is>
          <t>Catalonia</t>
        </is>
      </c>
      <c r="F380" t="inlineStr">
        <is>
          <t>WFS,WFS Item</t>
        </is>
      </c>
      <c r="G380" s="48" t="n">
        <v>0</v>
      </c>
      <c r="H380" s="48" t="n">
        <v>0</v>
      </c>
      <c r="I380" s="48" t="n">
        <v>0</v>
      </c>
      <c r="J380" s="48" t="n">
        <v>0</v>
      </c>
      <c r="K380" s="49" t="n">
        <v>0</v>
      </c>
      <c r="L380" s="49" t="n">
        <v>0</v>
      </c>
      <c r="M380" s="49" t="n">
        <v>0</v>
      </c>
      <c r="N380" s="49" t="n">
        <v>0</v>
      </c>
      <c r="O380" s="49" t="n">
        <v>0</v>
      </c>
      <c r="P380" s="49" t="n">
        <v>0</v>
      </c>
      <c r="Q380" s="49" t="n">
        <v>0</v>
      </c>
      <c r="R380" s="49" t="n">
        <v>0</v>
      </c>
      <c r="S380" s="50" t="n">
        <v>0</v>
      </c>
      <c r="T380" s="50" t="n">
        <v>0</v>
      </c>
      <c r="U380" s="50" t="n">
        <v>0</v>
      </c>
      <c r="V380" s="50" t="n">
        <v>0</v>
      </c>
      <c r="W380" s="51" t="n">
        <v>0</v>
      </c>
      <c r="X380" s="51" t="n">
        <v>0</v>
      </c>
      <c r="Y380" s="51" t="n">
        <v>0</v>
      </c>
      <c r="Z380" s="51" t="n">
        <v>0</v>
      </c>
      <c r="AA380" s="52" t="n">
        <v>0</v>
      </c>
      <c r="AB380" s="52" t="n">
        <v>0</v>
      </c>
      <c r="AC380" s="52" t="n">
        <v>0</v>
      </c>
      <c r="AD380" s="52" t="n">
        <v>0</v>
      </c>
      <c r="AE380" s="52" t="n">
        <v>0</v>
      </c>
      <c r="AF380" s="52" t="n">
        <v>0</v>
      </c>
      <c r="AG380" s="52" t="n">
        <v>0</v>
      </c>
      <c r="AH380" s="52" t="n">
        <v>0</v>
      </c>
      <c r="AI380" s="52" t="n">
        <v>0</v>
      </c>
      <c r="AJ380" s="52" t="n">
        <v>0</v>
      </c>
      <c r="AK380" s="52" t="n">
        <v>0</v>
      </c>
      <c r="AL380" s="52" t="n">
        <v>0</v>
      </c>
      <c r="AM380" s="53" t="n">
        <v>0</v>
      </c>
      <c r="AN380" s="53" t="n">
        <v>0</v>
      </c>
      <c r="AO380" s="53" t="n">
        <v>0</v>
      </c>
      <c r="AP380" s="53" t="n">
        <v>0</v>
      </c>
      <c r="AQ380" s="52" t="n">
        <v>0</v>
      </c>
      <c r="AR380" s="52" t="n">
        <v>0</v>
      </c>
      <c r="AS380" s="52" t="n">
        <v>0</v>
      </c>
      <c r="AT380" s="52" t="n">
        <v>0</v>
      </c>
      <c r="AU380" s="53" t="n">
        <v>0</v>
      </c>
      <c r="AV380" s="53" t="n">
        <v>0</v>
      </c>
      <c r="AW380" s="53" t="n">
        <v>0</v>
      </c>
      <c r="AX380" s="53" t="n">
        <v>0</v>
      </c>
      <c r="AY380" s="52" t="n">
        <v>0</v>
      </c>
      <c r="AZ380" s="52" t="n">
        <v>0</v>
      </c>
      <c r="BA380" s="52" t="n">
        <v>0</v>
      </c>
      <c r="BB380" s="52" t="n">
        <v>0</v>
      </c>
      <c r="BC380" s="51" t="n">
        <v>0</v>
      </c>
      <c r="BD380" s="51" t="n">
        <v>0</v>
      </c>
      <c r="BE380" s="51" t="n">
        <v>0</v>
      </c>
      <c r="BF380" s="51" t="n">
        <v>0</v>
      </c>
    </row>
    <row r="381">
      <c r="A381">
        <f>HYPERLINK("https://www.walmart.com/ip/575577386", "575577386")</f>
        <v/>
      </c>
      <c r="B381" t="inlineStr">
        <is>
          <t>Catalonia Unisex Sherpa Wearable Blanket with Sleeves and Foot Pockets for Adults, Pink</t>
        </is>
      </c>
      <c r="C381" t="inlineStr">
        <is>
          <t>1CTSN310PK</t>
        </is>
      </c>
      <c r="D381" t="inlineStr">
        <is>
          <t>Throws</t>
        </is>
      </c>
      <c r="E381" t="inlineStr">
        <is>
          <t>Catalonia</t>
        </is>
      </c>
      <c r="F381" t="inlineStr">
        <is>
          <t>Optimized,WFS,Coupon_Discount,WFS Item</t>
        </is>
      </c>
      <c r="G381" s="48" t="n">
        <v>0</v>
      </c>
      <c r="H381" s="48" t="n">
        <v>0</v>
      </c>
      <c r="I381" s="48" t="n">
        <v>0</v>
      </c>
      <c r="J381" s="48" t="n">
        <v>0</v>
      </c>
      <c r="K381" s="49" t="n">
        <v>0</v>
      </c>
      <c r="L381" s="49" t="n">
        <v>0</v>
      </c>
      <c r="M381" s="49" t="n">
        <v>0</v>
      </c>
      <c r="N381" s="49" t="n">
        <v>0</v>
      </c>
      <c r="O381" s="49" t="n">
        <v>0</v>
      </c>
      <c r="P381" s="49" t="n">
        <v>0</v>
      </c>
      <c r="Q381" s="49" t="n">
        <v>0</v>
      </c>
      <c r="R381" s="49" t="n">
        <v>0</v>
      </c>
      <c r="S381" s="50" t="n">
        <v>0</v>
      </c>
      <c r="T381" s="50" t="n">
        <v>0</v>
      </c>
      <c r="U381" s="50" t="n">
        <v>0</v>
      </c>
      <c r="V381" s="50" t="n">
        <v>0</v>
      </c>
      <c r="W381" s="51" t="n">
        <v>0</v>
      </c>
      <c r="X381" s="51" t="n">
        <v>0</v>
      </c>
      <c r="Y381" s="51" t="n">
        <v>0</v>
      </c>
      <c r="Z381" s="51" t="n">
        <v>0</v>
      </c>
      <c r="AA381" s="52" t="n">
        <v>0</v>
      </c>
      <c r="AB381" s="52" t="n">
        <v>0</v>
      </c>
      <c r="AC381" s="52" t="n">
        <v>0</v>
      </c>
      <c r="AD381" s="52" t="n">
        <v>0</v>
      </c>
      <c r="AE381" s="52" t="n">
        <v>0</v>
      </c>
      <c r="AF381" s="52" t="n">
        <v>0</v>
      </c>
      <c r="AG381" s="52" t="n">
        <v>0</v>
      </c>
      <c r="AH381" s="52" t="n">
        <v>0</v>
      </c>
      <c r="AI381" s="52" t="n">
        <v>0</v>
      </c>
      <c r="AJ381" s="52" t="n">
        <v>0</v>
      </c>
      <c r="AK381" s="52" t="n">
        <v>0</v>
      </c>
      <c r="AL381" s="52" t="n">
        <v>0</v>
      </c>
      <c r="AM381" s="53" t="n">
        <v>0</v>
      </c>
      <c r="AN381" s="53" t="n">
        <v>0</v>
      </c>
      <c r="AO381" s="53" t="n">
        <v>0</v>
      </c>
      <c r="AP381" s="53" t="n">
        <v>0</v>
      </c>
      <c r="AQ381" s="52" t="n">
        <v>0</v>
      </c>
      <c r="AR381" s="52" t="n">
        <v>0</v>
      </c>
      <c r="AS381" s="52" t="n">
        <v>0</v>
      </c>
      <c r="AT381" s="52" t="n">
        <v>0</v>
      </c>
      <c r="AU381" s="53" t="n">
        <v>0</v>
      </c>
      <c r="AV381" s="53" t="n">
        <v>0</v>
      </c>
      <c r="AW381" s="53" t="n">
        <v>0</v>
      </c>
      <c r="AX381" s="53" t="n">
        <v>0</v>
      </c>
      <c r="AY381" s="52" t="n">
        <v>0</v>
      </c>
      <c r="AZ381" s="52" t="n">
        <v>0</v>
      </c>
      <c r="BA381" s="52" t="n">
        <v>0</v>
      </c>
      <c r="BB381" s="52" t="n">
        <v>0</v>
      </c>
      <c r="BC381" s="51" t="n">
        <v>0</v>
      </c>
      <c r="BD381" s="51" t="n">
        <v>0</v>
      </c>
      <c r="BE381" s="51" t="n">
        <v>0</v>
      </c>
      <c r="BF381" s="51" t="n">
        <v>0</v>
      </c>
    </row>
    <row r="382">
      <c r="A382">
        <f>HYPERLINK("https://www.walmart.com/ip/609433845", "609433845")</f>
        <v/>
      </c>
      <c r="B382" t="inlineStr">
        <is>
          <t>Tirrinia Portable Travel Blanket Airplane Office 4 in 1 Premium Mink Fleece Poncho Blanket Folable with Pocket and Built-in Bag-Great for Airplane Car Train Travel Camping, 60"x40", Light Grey</t>
        </is>
      </c>
      <c r="C382" t="inlineStr">
        <is>
          <t>1TRTB100LG</t>
        </is>
      </c>
      <c r="D382" t="inlineStr">
        <is>
          <t>Throws</t>
        </is>
      </c>
      <c r="E382" t="inlineStr">
        <is>
          <t>Tirrinia</t>
        </is>
      </c>
      <c r="F382" t="inlineStr">
        <is>
          <t>WFS,SEM,WFS Item</t>
        </is>
      </c>
      <c r="G382" s="48" t="n">
        <v>0</v>
      </c>
      <c r="H382" s="48" t="n">
        <v>0</v>
      </c>
      <c r="I382" s="48" t="n">
        <v>0</v>
      </c>
      <c r="J382" s="48" t="n">
        <v>0</v>
      </c>
      <c r="K382" s="49" t="n">
        <v>0</v>
      </c>
      <c r="L382" s="49" t="n">
        <v>0</v>
      </c>
      <c r="M382" s="49" t="n">
        <v>0</v>
      </c>
      <c r="N382" s="49" t="n">
        <v>0</v>
      </c>
      <c r="O382" s="49" t="n">
        <v>0</v>
      </c>
      <c r="P382" s="49" t="n">
        <v>0</v>
      </c>
      <c r="Q382" s="49" t="n">
        <v>0</v>
      </c>
      <c r="R382" s="49" t="n">
        <v>0</v>
      </c>
      <c r="S382" s="50" t="n">
        <v>0</v>
      </c>
      <c r="T382" s="50" t="n">
        <v>0</v>
      </c>
      <c r="U382" s="50" t="n">
        <v>0</v>
      </c>
      <c r="V382" s="50" t="n">
        <v>0</v>
      </c>
      <c r="W382" s="51" t="n">
        <v>0</v>
      </c>
      <c r="X382" s="51" t="n">
        <v>0</v>
      </c>
      <c r="Y382" s="51" t="n">
        <v>0</v>
      </c>
      <c r="Z382" s="51" t="n">
        <v>0</v>
      </c>
      <c r="AA382" s="52" t="n">
        <v>0</v>
      </c>
      <c r="AB382" s="52" t="n">
        <v>0</v>
      </c>
      <c r="AC382" s="52" t="n">
        <v>0</v>
      </c>
      <c r="AD382" s="52" t="n">
        <v>0</v>
      </c>
      <c r="AE382" s="52" t="n">
        <v>0</v>
      </c>
      <c r="AF382" s="52" t="n">
        <v>0</v>
      </c>
      <c r="AG382" s="52" t="n">
        <v>0</v>
      </c>
      <c r="AH382" s="52" t="n">
        <v>0</v>
      </c>
      <c r="AI382" s="52" t="n">
        <v>0</v>
      </c>
      <c r="AJ382" s="52" t="n">
        <v>0</v>
      </c>
      <c r="AK382" s="52" t="n">
        <v>0</v>
      </c>
      <c r="AL382" s="52" t="n">
        <v>0</v>
      </c>
      <c r="AM382" s="53" t="n">
        <v>0</v>
      </c>
      <c r="AN382" s="53" t="n">
        <v>0</v>
      </c>
      <c r="AO382" s="53" t="n">
        <v>0</v>
      </c>
      <c r="AP382" s="53" t="n">
        <v>0</v>
      </c>
      <c r="AQ382" s="52" t="n">
        <v>0</v>
      </c>
      <c r="AR382" s="52" t="n">
        <v>0</v>
      </c>
      <c r="AS382" s="52" t="n">
        <v>0</v>
      </c>
      <c r="AT382" s="52" t="n">
        <v>0</v>
      </c>
      <c r="AU382" s="53" t="n">
        <v>0</v>
      </c>
      <c r="AV382" s="53" t="n">
        <v>0</v>
      </c>
      <c r="AW382" s="53" t="n">
        <v>0</v>
      </c>
      <c r="AX382" s="53" t="n">
        <v>0</v>
      </c>
      <c r="AY382" s="52" t="n">
        <v>0</v>
      </c>
      <c r="AZ382" s="52" t="n">
        <v>0</v>
      </c>
      <c r="BA382" s="52" t="n">
        <v>0</v>
      </c>
      <c r="BB382" s="52" t="n">
        <v>0</v>
      </c>
      <c r="BC382" s="51" t="n">
        <v>0</v>
      </c>
      <c r="BD382" s="51" t="n">
        <v>0</v>
      </c>
      <c r="BE382" s="51" t="n">
        <v>0</v>
      </c>
      <c r="BF382" s="51" t="n">
        <v>0</v>
      </c>
    </row>
    <row r="383">
      <c r="A383">
        <f>HYPERLINK("https://www.walmart.com/ip/575429772", "575429772")</f>
        <v/>
      </c>
      <c r="B383" t="inlineStr">
        <is>
          <t>Catalonia Oversized Hoodie Blanket with Zipper, Wearable Sherpa Sweatshirt Pullover, Soft Warm Comfortable Jacket for Adults Men Women, Purple</t>
        </is>
      </c>
      <c r="C383" t="inlineStr">
        <is>
          <t>1CTHD220PP</t>
        </is>
      </c>
      <c r="D383" t="inlineStr">
        <is>
          <t>Throws</t>
        </is>
      </c>
      <c r="E383" t="inlineStr">
        <is>
          <t>Catalonia</t>
        </is>
      </c>
      <c r="F383" t="inlineStr">
        <is>
          <t>Hoodie ForAdult,WFS,Coupon_Discount,WFS Item</t>
        </is>
      </c>
      <c r="G383" s="48" t="n">
        <v>0</v>
      </c>
      <c r="H383" s="48" t="n">
        <v>0</v>
      </c>
      <c r="I383" s="48" t="n">
        <v>0</v>
      </c>
      <c r="J383" s="48" t="n">
        <v>0</v>
      </c>
      <c r="K383" s="49" t="n">
        <v>0</v>
      </c>
      <c r="L383" s="49" t="n">
        <v>0</v>
      </c>
      <c r="M383" s="49" t="n">
        <v>0</v>
      </c>
      <c r="N383" s="49" t="n">
        <v>0</v>
      </c>
      <c r="O383" s="49" t="n">
        <v>0</v>
      </c>
      <c r="P383" s="49" t="n">
        <v>0</v>
      </c>
      <c r="Q383" s="49" t="n">
        <v>0</v>
      </c>
      <c r="R383" s="49" t="n">
        <v>0</v>
      </c>
      <c r="S383" s="50" t="n">
        <v>0</v>
      </c>
      <c r="T383" s="50" t="n">
        <v>0</v>
      </c>
      <c r="U383" s="50" t="n">
        <v>0</v>
      </c>
      <c r="V383" s="50" t="n">
        <v>0</v>
      </c>
      <c r="W383" s="51" t="n">
        <v>0</v>
      </c>
      <c r="X383" s="51" t="n">
        <v>0</v>
      </c>
      <c r="Y383" s="51" t="n">
        <v>0</v>
      </c>
      <c r="Z383" s="51" t="n">
        <v>0</v>
      </c>
      <c r="AA383" s="52" t="n">
        <v>0</v>
      </c>
      <c r="AB383" s="52" t="n">
        <v>0</v>
      </c>
      <c r="AC383" s="52" t="n">
        <v>0</v>
      </c>
      <c r="AD383" s="52" t="n">
        <v>0</v>
      </c>
      <c r="AE383" s="52" t="n">
        <v>0</v>
      </c>
      <c r="AF383" s="52" t="n">
        <v>0</v>
      </c>
      <c r="AG383" s="52" t="n">
        <v>0</v>
      </c>
      <c r="AH383" s="52" t="n">
        <v>0</v>
      </c>
      <c r="AI383" s="52" t="n">
        <v>0</v>
      </c>
      <c r="AJ383" s="52" t="n">
        <v>0</v>
      </c>
      <c r="AK383" s="52" t="n">
        <v>0</v>
      </c>
      <c r="AL383" s="52" t="n">
        <v>0</v>
      </c>
      <c r="AM383" s="53" t="n">
        <v>0</v>
      </c>
      <c r="AN383" s="53" t="n">
        <v>0</v>
      </c>
      <c r="AO383" s="53" t="n">
        <v>0</v>
      </c>
      <c r="AP383" s="53" t="n">
        <v>0</v>
      </c>
      <c r="AQ383" s="52" t="n">
        <v>0</v>
      </c>
      <c r="AR383" s="52" t="n">
        <v>0</v>
      </c>
      <c r="AS383" s="52" t="n">
        <v>0</v>
      </c>
      <c r="AT383" s="52" t="n">
        <v>0</v>
      </c>
      <c r="AU383" s="53" t="n">
        <v>0</v>
      </c>
      <c r="AV383" s="53" t="n">
        <v>0</v>
      </c>
      <c r="AW383" s="53" t="n">
        <v>0</v>
      </c>
      <c r="AX383" s="53" t="n">
        <v>0</v>
      </c>
      <c r="AY383" s="52" t="n">
        <v>0</v>
      </c>
      <c r="AZ383" s="52" t="n">
        <v>0</v>
      </c>
      <c r="BA383" s="52" t="n">
        <v>0</v>
      </c>
      <c r="BB383" s="52" t="n">
        <v>0</v>
      </c>
      <c r="BC383" s="51" t="n">
        <v>0</v>
      </c>
      <c r="BD383" s="51" t="n">
        <v>0</v>
      </c>
      <c r="BE383" s="51" t="n">
        <v>0</v>
      </c>
      <c r="BF383" s="51" t="n">
        <v>0</v>
      </c>
    </row>
    <row r="384">
      <c r="A384">
        <f>HYPERLINK("https://www.walmart.com/ip/575137724", "575137724")</f>
        <v/>
      </c>
      <c r="B384" t="inlineStr">
        <is>
          <t>Tirrinia Women's Tankini Swimsuit Flyaway Swimdress Top, 2-Piece Bathing Suits, Pink, Small</t>
        </is>
      </c>
      <c r="C384" t="inlineStr">
        <is>
          <t>1TRSS006PK-M</t>
        </is>
      </c>
      <c r="D384" t="inlineStr">
        <is>
          <t>Swimsuit Sets</t>
        </is>
      </c>
      <c r="E384" t="inlineStr">
        <is>
          <t>Tirrinia</t>
        </is>
      </c>
      <c r="G384" s="48" t="n">
        <v>0</v>
      </c>
      <c r="H384" s="48" t="n">
        <v>0</v>
      </c>
      <c r="I384" s="48" t="n">
        <v>0</v>
      </c>
      <c r="J384" s="48" t="n">
        <v>0</v>
      </c>
      <c r="K384" s="49" t="n">
        <v>0</v>
      </c>
      <c r="L384" s="49" t="n">
        <v>0</v>
      </c>
      <c r="M384" s="49" t="n">
        <v>0</v>
      </c>
      <c r="N384" s="49" t="n">
        <v>0</v>
      </c>
      <c r="O384" s="49" t="n">
        <v>0</v>
      </c>
      <c r="P384" s="49" t="n">
        <v>0</v>
      </c>
      <c r="Q384" s="49" t="n">
        <v>0</v>
      </c>
      <c r="R384" s="49" t="n">
        <v>0</v>
      </c>
      <c r="S384" s="50" t="n">
        <v>0</v>
      </c>
      <c r="T384" s="50" t="n">
        <v>0</v>
      </c>
      <c r="U384" s="50" t="n">
        <v>0</v>
      </c>
      <c r="V384" s="50" t="n">
        <v>0</v>
      </c>
      <c r="W384" s="51" t="n">
        <v>0</v>
      </c>
      <c r="X384" s="51" t="n">
        <v>0</v>
      </c>
      <c r="Y384" s="51" t="n">
        <v>0</v>
      </c>
      <c r="Z384" s="51" t="n">
        <v>0</v>
      </c>
      <c r="AA384" s="52" t="n">
        <v>0</v>
      </c>
      <c r="AB384" s="52" t="n">
        <v>0</v>
      </c>
      <c r="AC384" s="52" t="n">
        <v>0</v>
      </c>
      <c r="AD384" s="52" t="n">
        <v>0</v>
      </c>
      <c r="AE384" s="52" t="n">
        <v>0</v>
      </c>
      <c r="AF384" s="52" t="n">
        <v>0</v>
      </c>
      <c r="AG384" s="52" t="n">
        <v>0</v>
      </c>
      <c r="AH384" s="52" t="n">
        <v>0</v>
      </c>
      <c r="AI384" s="52" t="n">
        <v>0</v>
      </c>
      <c r="AJ384" s="52" t="n">
        <v>0</v>
      </c>
      <c r="AK384" s="52" t="n">
        <v>0</v>
      </c>
      <c r="AL384" s="52" t="n">
        <v>0</v>
      </c>
      <c r="AM384" s="53" t="n">
        <v>0</v>
      </c>
      <c r="AN384" s="53" t="n">
        <v>0</v>
      </c>
      <c r="AO384" s="53" t="n">
        <v>0</v>
      </c>
      <c r="AP384" s="53" t="n">
        <v>0</v>
      </c>
      <c r="AQ384" s="52" t="n">
        <v>0</v>
      </c>
      <c r="AR384" s="52" t="n">
        <v>0</v>
      </c>
      <c r="AS384" s="52" t="n">
        <v>0</v>
      </c>
      <c r="AT384" s="52" t="n">
        <v>0</v>
      </c>
      <c r="AU384" s="53" t="n">
        <v>0</v>
      </c>
      <c r="AV384" s="53" t="n">
        <v>0</v>
      </c>
      <c r="AW384" s="53" t="n">
        <v>0</v>
      </c>
      <c r="AX384" s="53" t="n">
        <v>0</v>
      </c>
      <c r="AY384" s="52" t="n">
        <v>0</v>
      </c>
      <c r="AZ384" s="52" t="n">
        <v>0</v>
      </c>
      <c r="BA384" s="52" t="n">
        <v>0</v>
      </c>
      <c r="BB384" s="52" t="n">
        <v>0</v>
      </c>
      <c r="BC384" s="51" t="n">
        <v>0</v>
      </c>
      <c r="BD384" s="51" t="n">
        <v>0</v>
      </c>
      <c r="BE384" s="51" t="n">
        <v>0</v>
      </c>
      <c r="BF384" s="51" t="n">
        <v>0</v>
      </c>
    </row>
    <row r="385">
      <c r="A385">
        <f>HYPERLINK("https://www.walmart.com/ip/6099861551", "6099861551")</f>
        <v/>
      </c>
      <c r="B385" t="inlineStr">
        <is>
          <t>Catalonia Cooling Blanket for Hot Sleepers, Summer Bed Blanket for Warm Night Sweat, Cool Sofa Throw Blanket for Hot Flashes, Soft Thin Lightweight Blanket for Adults Kids</t>
        </is>
      </c>
      <c r="C385" t="inlineStr">
        <is>
          <t>1CTBQ10119PP</t>
        </is>
      </c>
      <c r="D385" t="inlineStr">
        <is>
          <t>Throws</t>
        </is>
      </c>
      <c r="E385" t="inlineStr">
        <is>
          <t>Catalonia</t>
        </is>
      </c>
      <c r="G385" s="48" t="n">
        <v>0</v>
      </c>
      <c r="H385" s="48" t="n">
        <v>0</v>
      </c>
      <c r="I385" s="48" t="n">
        <v>0</v>
      </c>
      <c r="J385" s="48" t="n">
        <v>0</v>
      </c>
      <c r="K385" s="49" t="n">
        <v>0</v>
      </c>
      <c r="L385" s="49" t="n">
        <v>0</v>
      </c>
      <c r="M385" s="49" t="n">
        <v>0</v>
      </c>
      <c r="N385" s="49" t="n">
        <v>0</v>
      </c>
      <c r="O385" s="49" t="n">
        <v>0</v>
      </c>
      <c r="P385" s="49" t="n">
        <v>0</v>
      </c>
      <c r="Q385" s="49" t="n">
        <v>0</v>
      </c>
      <c r="R385" s="49" t="n">
        <v>0</v>
      </c>
      <c r="S385" s="50" t="n">
        <v>0</v>
      </c>
      <c r="T385" s="50" t="n">
        <v>0</v>
      </c>
      <c r="U385" s="50" t="n">
        <v>0</v>
      </c>
      <c r="V385" s="50" t="n">
        <v>0</v>
      </c>
      <c r="W385" s="51" t="n">
        <v>0</v>
      </c>
      <c r="X385" s="51" t="n">
        <v>0</v>
      </c>
      <c r="Y385" s="51" t="n">
        <v>0</v>
      </c>
      <c r="Z385" s="51" t="n">
        <v>0</v>
      </c>
      <c r="AA385" s="52" t="n">
        <v>0</v>
      </c>
      <c r="AB385" s="52" t="n">
        <v>0</v>
      </c>
      <c r="AC385" s="52" t="n">
        <v>0</v>
      </c>
      <c r="AD385" s="52" t="n">
        <v>0</v>
      </c>
      <c r="AE385" s="52" t="n">
        <v>0</v>
      </c>
      <c r="AF385" s="52" t="n">
        <v>0</v>
      </c>
      <c r="AG385" s="52" t="n">
        <v>0</v>
      </c>
      <c r="AH385" s="52" t="n">
        <v>0</v>
      </c>
      <c r="AI385" s="52" t="n">
        <v>0</v>
      </c>
      <c r="AJ385" s="52" t="n">
        <v>0</v>
      </c>
      <c r="AK385" s="52" t="n">
        <v>0</v>
      </c>
      <c r="AL385" s="52" t="n">
        <v>0</v>
      </c>
      <c r="AM385" s="53" t="n">
        <v>0</v>
      </c>
      <c r="AN385" s="53" t="n">
        <v>0</v>
      </c>
      <c r="AO385" s="53" t="n">
        <v>0</v>
      </c>
      <c r="AP385" s="53" t="n">
        <v>0</v>
      </c>
      <c r="AQ385" s="52" t="n">
        <v>0</v>
      </c>
      <c r="AR385" s="52" t="n">
        <v>0</v>
      </c>
      <c r="AS385" s="52" t="n">
        <v>0</v>
      </c>
      <c r="AT385" s="52" t="n">
        <v>0</v>
      </c>
      <c r="AU385" s="53" t="n">
        <v>0</v>
      </c>
      <c r="AV385" s="53" t="n">
        <v>0</v>
      </c>
      <c r="AW385" s="53" t="n">
        <v>0</v>
      </c>
      <c r="AX385" s="53" t="n">
        <v>0</v>
      </c>
      <c r="AY385" s="52" t="n">
        <v>0</v>
      </c>
      <c r="AZ385" s="52" t="n">
        <v>0</v>
      </c>
      <c r="BA385" s="52" t="n">
        <v>0</v>
      </c>
      <c r="BB385" s="52" t="n">
        <v>0</v>
      </c>
      <c r="BC385" s="51" t="n">
        <v>0</v>
      </c>
      <c r="BD385" s="51" t="n">
        <v>0</v>
      </c>
      <c r="BE385" s="51" t="n">
        <v>0</v>
      </c>
      <c r="BF385" s="51" t="n">
        <v>0</v>
      </c>
    </row>
    <row r="386">
      <c r="A386">
        <f>HYPERLINK("https://www.walmart.com/ip/574683747", "574683747")</f>
        <v/>
      </c>
      <c r="B386" t="inlineStr">
        <is>
          <t>Flyingstar 3 Bottle Insulated Wine Carrier, Travel Wine Cooler Tote Bag, Gray</t>
        </is>
      </c>
      <c r="C386" t="inlineStr">
        <is>
          <t>1WMWB310GY</t>
        </is>
      </c>
      <c r="D386" t="inlineStr">
        <is>
          <t>Wine Totes, Bags &amp; Backpacks</t>
        </is>
      </c>
      <c r="E386" t="inlineStr">
        <is>
          <t>Flyingstar</t>
        </is>
      </c>
      <c r="F386" t="inlineStr">
        <is>
          <t>Wine,Christmas,Optimized,Valentine</t>
        </is>
      </c>
      <c r="G386" s="48" t="n">
        <v>0</v>
      </c>
      <c r="H386" s="48" t="n">
        <v>0</v>
      </c>
      <c r="I386" s="48" t="n">
        <v>0</v>
      </c>
      <c r="J386" s="48" t="n">
        <v>0</v>
      </c>
      <c r="K386" s="49" t="n">
        <v>0</v>
      </c>
      <c r="L386" s="49" t="n">
        <v>0</v>
      </c>
      <c r="M386" s="49" t="n">
        <v>0</v>
      </c>
      <c r="N386" s="49" t="n">
        <v>0</v>
      </c>
      <c r="O386" s="49" t="n">
        <v>0</v>
      </c>
      <c r="P386" s="49" t="n">
        <v>0</v>
      </c>
      <c r="Q386" s="49" t="n">
        <v>0</v>
      </c>
      <c r="R386" s="49" t="n">
        <v>0</v>
      </c>
      <c r="S386" s="50" t="n">
        <v>0</v>
      </c>
      <c r="T386" s="50" t="n">
        <v>0</v>
      </c>
      <c r="U386" s="50" t="n">
        <v>0</v>
      </c>
      <c r="V386" s="50" t="n">
        <v>0</v>
      </c>
      <c r="W386" s="51" t="n">
        <v>0</v>
      </c>
      <c r="X386" s="51" t="n">
        <v>0</v>
      </c>
      <c r="Y386" s="51" t="n">
        <v>0</v>
      </c>
      <c r="Z386" s="51" t="n">
        <v>0</v>
      </c>
      <c r="AA386" s="52" t="n">
        <v>0</v>
      </c>
      <c r="AB386" s="52" t="n">
        <v>0</v>
      </c>
      <c r="AC386" s="52" t="n">
        <v>0</v>
      </c>
      <c r="AD386" s="52" t="n">
        <v>0</v>
      </c>
      <c r="AE386" s="52" t="n">
        <v>0</v>
      </c>
      <c r="AF386" s="52" t="n">
        <v>0</v>
      </c>
      <c r="AG386" s="52" t="n">
        <v>0</v>
      </c>
      <c r="AH386" s="52" t="n">
        <v>0</v>
      </c>
      <c r="AI386" s="52" t="n">
        <v>0</v>
      </c>
      <c r="AJ386" s="52" t="n">
        <v>0</v>
      </c>
      <c r="AK386" s="52" t="n">
        <v>0</v>
      </c>
      <c r="AL386" s="52" t="n">
        <v>0</v>
      </c>
      <c r="AM386" s="53" t="n">
        <v>0</v>
      </c>
      <c r="AN386" s="53" t="n">
        <v>0</v>
      </c>
      <c r="AO386" s="53" t="n">
        <v>0</v>
      </c>
      <c r="AP386" s="53" t="n">
        <v>0</v>
      </c>
      <c r="AQ386" s="52" t="n">
        <v>0</v>
      </c>
      <c r="AR386" s="52" t="n">
        <v>0</v>
      </c>
      <c r="AS386" s="52" t="n">
        <v>0</v>
      </c>
      <c r="AT386" s="52" t="n">
        <v>0</v>
      </c>
      <c r="AU386" s="53" t="n">
        <v>0</v>
      </c>
      <c r="AV386" s="53" t="n">
        <v>0</v>
      </c>
      <c r="AW386" s="53" t="n">
        <v>0</v>
      </c>
      <c r="AX386" s="53" t="n">
        <v>0</v>
      </c>
      <c r="AY386" s="52" t="n">
        <v>0</v>
      </c>
      <c r="AZ386" s="52" t="n">
        <v>0</v>
      </c>
      <c r="BA386" s="52" t="n">
        <v>0</v>
      </c>
      <c r="BB386" s="52" t="n">
        <v>0</v>
      </c>
      <c r="BC386" s="51" t="n">
        <v>0</v>
      </c>
      <c r="BD386" s="51" t="n">
        <v>0</v>
      </c>
      <c r="BE386" s="51" t="n">
        <v>0</v>
      </c>
      <c r="BF386" s="51" t="n">
        <v>0</v>
      </c>
    </row>
    <row r="387">
      <c r="A387">
        <f>HYPERLINK("https://www.walmart.com/ip/574579169", "574579169")</f>
        <v/>
      </c>
      <c r="B387" t="inlineStr">
        <is>
          <t>Women Floppy Sun Beach Hats w/ Wide Brim Straw Edge Summer UV Protection Foldable Gardening Hiking Cap by Solaris</t>
        </is>
      </c>
      <c r="C387" t="inlineStr">
        <is>
          <t>1SLSH371NV</t>
        </is>
      </c>
      <c r="D387" t="inlineStr">
        <is>
          <t>Hats</t>
        </is>
      </c>
      <c r="E387" t="inlineStr">
        <is>
          <t>Solaris</t>
        </is>
      </c>
      <c r="F387" t="inlineStr">
        <is>
          <t>Batch 1 - TR</t>
        </is>
      </c>
      <c r="G387" s="48" t="n">
        <v>0</v>
      </c>
      <c r="H387" s="48" t="n">
        <v>0</v>
      </c>
      <c r="I387" s="48" t="n">
        <v>0</v>
      </c>
      <c r="J387" s="48" t="n">
        <v>0</v>
      </c>
      <c r="K387" s="49" t="n">
        <v>0</v>
      </c>
      <c r="L387" s="49" t="n">
        <v>0</v>
      </c>
      <c r="M387" s="49" t="n">
        <v>0</v>
      </c>
      <c r="N387" s="49" t="n">
        <v>0</v>
      </c>
      <c r="O387" s="49" t="n">
        <v>0</v>
      </c>
      <c r="P387" s="49" t="n">
        <v>0</v>
      </c>
      <c r="Q387" s="49" t="n">
        <v>0</v>
      </c>
      <c r="R387" s="49" t="n">
        <v>0</v>
      </c>
      <c r="S387" s="50" t="n">
        <v>0</v>
      </c>
      <c r="T387" s="50" t="n">
        <v>0</v>
      </c>
      <c r="U387" s="50" t="n">
        <v>0</v>
      </c>
      <c r="V387" s="50" t="n">
        <v>0</v>
      </c>
      <c r="W387" s="51" t="n">
        <v>0</v>
      </c>
      <c r="X387" s="51" t="n">
        <v>0</v>
      </c>
      <c r="Y387" s="51" t="n">
        <v>0</v>
      </c>
      <c r="Z387" s="51" t="n">
        <v>0</v>
      </c>
      <c r="AA387" s="52" t="n">
        <v>0</v>
      </c>
      <c r="AB387" s="52" t="n">
        <v>0</v>
      </c>
      <c r="AC387" s="52" t="n">
        <v>0</v>
      </c>
      <c r="AD387" s="52" t="n">
        <v>0</v>
      </c>
      <c r="AE387" s="52" t="n">
        <v>0</v>
      </c>
      <c r="AF387" s="52" t="n">
        <v>0</v>
      </c>
      <c r="AG387" s="52" t="n">
        <v>0</v>
      </c>
      <c r="AH387" s="52" t="n">
        <v>0</v>
      </c>
      <c r="AI387" s="52" t="n">
        <v>0</v>
      </c>
      <c r="AJ387" s="52" t="n">
        <v>0</v>
      </c>
      <c r="AK387" s="52" t="n">
        <v>0</v>
      </c>
      <c r="AL387" s="52" t="n">
        <v>0</v>
      </c>
      <c r="AM387" s="53" t="n">
        <v>0</v>
      </c>
      <c r="AN387" s="53" t="n">
        <v>0</v>
      </c>
      <c r="AO387" s="53" t="n">
        <v>0</v>
      </c>
      <c r="AP387" s="53" t="n">
        <v>0</v>
      </c>
      <c r="AQ387" s="52" t="n">
        <v>0</v>
      </c>
      <c r="AR387" s="52" t="n">
        <v>0</v>
      </c>
      <c r="AS387" s="52" t="n">
        <v>0</v>
      </c>
      <c r="AT387" s="52" t="n">
        <v>0</v>
      </c>
      <c r="AU387" s="53" t="n">
        <v>0</v>
      </c>
      <c r="AV387" s="53" t="n">
        <v>0</v>
      </c>
      <c r="AW387" s="53" t="n">
        <v>0</v>
      </c>
      <c r="AX387" s="53" t="n">
        <v>0</v>
      </c>
      <c r="AY387" s="52" t="n">
        <v>0</v>
      </c>
      <c r="AZ387" s="52" t="n">
        <v>0</v>
      </c>
      <c r="BA387" s="52" t="n">
        <v>0</v>
      </c>
      <c r="BB387" s="52" t="n">
        <v>0</v>
      </c>
      <c r="BC387" s="51" t="n">
        <v>0</v>
      </c>
      <c r="BD387" s="51" t="n">
        <v>0</v>
      </c>
      <c r="BE387" s="51" t="n">
        <v>0</v>
      </c>
      <c r="BF387" s="51" t="n">
        <v>0</v>
      </c>
    </row>
    <row r="388">
      <c r="A388">
        <f>HYPERLINK("https://www.walmart.com/ip/6100858060", "6100858060")</f>
        <v/>
      </c>
      <c r="B388" t="inlineStr">
        <is>
          <t>Catalonia Cooling Blanket for Hot Sleepers, Summer Bed Blanket for Warm Night Sweat, Cool Sofa Throw Blanket for Hot Flashes, Soft Thin Lightweight Blanket for Adults Kids</t>
        </is>
      </c>
      <c r="C388" t="inlineStr">
        <is>
          <t>1CTBQ10169GY</t>
        </is>
      </c>
      <c r="D388" t="inlineStr">
        <is>
          <t>Throws</t>
        </is>
      </c>
      <c r="E388" t="inlineStr">
        <is>
          <t>Catalonia</t>
        </is>
      </c>
      <c r="F388" t="inlineStr">
        <is>
          <t>High AUR Items</t>
        </is>
      </c>
      <c r="G388" s="48" t="n">
        <v>0</v>
      </c>
      <c r="H388" s="48" t="n">
        <v>0</v>
      </c>
      <c r="I388" s="48" t="n">
        <v>0</v>
      </c>
      <c r="J388" s="48" t="n">
        <v>0</v>
      </c>
      <c r="K388" s="49" t="n">
        <v>0</v>
      </c>
      <c r="L388" s="49" t="n">
        <v>0</v>
      </c>
      <c r="M388" s="49" t="n">
        <v>0</v>
      </c>
      <c r="N388" s="49" t="n">
        <v>0</v>
      </c>
      <c r="O388" s="49" t="n">
        <v>0</v>
      </c>
      <c r="P388" s="49" t="n">
        <v>0</v>
      </c>
      <c r="Q388" s="49" t="n">
        <v>0</v>
      </c>
      <c r="R388" s="49" t="n">
        <v>0</v>
      </c>
      <c r="S388" s="50" t="n">
        <v>0</v>
      </c>
      <c r="T388" s="50" t="n">
        <v>0</v>
      </c>
      <c r="U388" s="50" t="n">
        <v>0</v>
      </c>
      <c r="V388" s="50" t="n">
        <v>0</v>
      </c>
      <c r="W388" s="51" t="n">
        <v>0</v>
      </c>
      <c r="X388" s="51" t="n">
        <v>0</v>
      </c>
      <c r="Y388" s="51" t="n">
        <v>0</v>
      </c>
      <c r="Z388" s="51" t="n">
        <v>0</v>
      </c>
      <c r="AA388" s="52" t="n">
        <v>0</v>
      </c>
      <c r="AB388" s="52" t="n">
        <v>0</v>
      </c>
      <c r="AC388" s="52" t="n">
        <v>0</v>
      </c>
      <c r="AD388" s="52" t="n">
        <v>0</v>
      </c>
      <c r="AE388" s="52" t="n">
        <v>0</v>
      </c>
      <c r="AF388" s="52" t="n">
        <v>0</v>
      </c>
      <c r="AG388" s="52" t="n">
        <v>0</v>
      </c>
      <c r="AH388" s="52" t="n">
        <v>0</v>
      </c>
      <c r="AI388" s="52" t="n">
        <v>0</v>
      </c>
      <c r="AJ388" s="52" t="n">
        <v>0</v>
      </c>
      <c r="AK388" s="52" t="n">
        <v>0</v>
      </c>
      <c r="AL388" s="52" t="n">
        <v>0</v>
      </c>
      <c r="AM388" s="53" t="n">
        <v>0</v>
      </c>
      <c r="AN388" s="53" t="n">
        <v>0</v>
      </c>
      <c r="AO388" s="53" t="n">
        <v>0</v>
      </c>
      <c r="AP388" s="53" t="n">
        <v>0</v>
      </c>
      <c r="AQ388" s="52" t="n">
        <v>0</v>
      </c>
      <c r="AR388" s="52" t="n">
        <v>0</v>
      </c>
      <c r="AS388" s="52" t="n">
        <v>0</v>
      </c>
      <c r="AT388" s="52" t="n">
        <v>0</v>
      </c>
      <c r="AU388" s="53" t="n">
        <v>0</v>
      </c>
      <c r="AV388" s="53" t="n">
        <v>0</v>
      </c>
      <c r="AW388" s="53" t="n">
        <v>0</v>
      </c>
      <c r="AX388" s="53" t="n">
        <v>0</v>
      </c>
      <c r="AY388" s="52" t="n">
        <v>0</v>
      </c>
      <c r="AZ388" s="52" t="n">
        <v>0</v>
      </c>
      <c r="BA388" s="52" t="n">
        <v>0</v>
      </c>
      <c r="BB388" s="52" t="n">
        <v>0</v>
      </c>
      <c r="BC388" s="51" t="n">
        <v>0</v>
      </c>
      <c r="BD388" s="51" t="n">
        <v>0</v>
      </c>
      <c r="BE388" s="51" t="n">
        <v>0</v>
      </c>
      <c r="BF388" s="51" t="n">
        <v>0</v>
      </c>
    </row>
    <row r="389">
      <c r="A389">
        <f>HYPERLINK("https://www.walmart.com/ip/570357815", "570357815")</f>
        <v/>
      </c>
      <c r="B389" t="inlineStr">
        <is>
          <t>Flyingstar Unisex Bath Towelling Robe in Navy Blue, Perfect for Surf and Swim, Quick Dry</t>
        </is>
      </c>
      <c r="C389" t="inlineStr">
        <is>
          <t>1WMBR100-NY</t>
        </is>
      </c>
      <c r="D389" t="inlineStr">
        <is>
          <t>default</t>
        </is>
      </c>
      <c r="E389" t="inlineStr">
        <is>
          <t>Flyingstar</t>
        </is>
      </c>
      <c r="F389" t="inlineStr">
        <is>
          <t>Optimized,Beach Robe Camp</t>
        </is>
      </c>
      <c r="G389" s="48" t="n">
        <v>0</v>
      </c>
      <c r="H389" s="48" t="n">
        <v>0</v>
      </c>
      <c r="I389" s="48" t="n">
        <v>0</v>
      </c>
      <c r="J389" s="48" t="n">
        <v>0</v>
      </c>
      <c r="K389" s="49" t="n">
        <v>0</v>
      </c>
      <c r="L389" s="49" t="n">
        <v>0</v>
      </c>
      <c r="M389" s="49" t="n">
        <v>0</v>
      </c>
      <c r="N389" s="49" t="n">
        <v>0</v>
      </c>
      <c r="O389" s="49" t="n">
        <v>0</v>
      </c>
      <c r="P389" s="49" t="n">
        <v>0</v>
      </c>
      <c r="Q389" s="49" t="n">
        <v>0</v>
      </c>
      <c r="R389" s="49" t="n">
        <v>0</v>
      </c>
      <c r="S389" s="50" t="n">
        <v>0</v>
      </c>
      <c r="T389" s="50" t="n">
        <v>0</v>
      </c>
      <c r="U389" s="50" t="n">
        <v>0</v>
      </c>
      <c r="V389" s="50" t="n">
        <v>0</v>
      </c>
      <c r="W389" s="51" t="n">
        <v>0</v>
      </c>
      <c r="X389" s="51" t="n">
        <v>0</v>
      </c>
      <c r="Y389" s="51" t="n">
        <v>0</v>
      </c>
      <c r="Z389" s="51" t="n">
        <v>0</v>
      </c>
      <c r="AA389" s="52" t="n">
        <v>0</v>
      </c>
      <c r="AB389" s="52" t="n">
        <v>0</v>
      </c>
      <c r="AC389" s="52" t="n">
        <v>0</v>
      </c>
      <c r="AD389" s="52" t="n">
        <v>0</v>
      </c>
      <c r="AE389" s="52" t="n">
        <v>0</v>
      </c>
      <c r="AF389" s="52" t="n">
        <v>0</v>
      </c>
      <c r="AG389" s="52" t="n">
        <v>0</v>
      </c>
      <c r="AH389" s="52" t="n">
        <v>0</v>
      </c>
      <c r="AI389" s="52" t="n">
        <v>0</v>
      </c>
      <c r="AJ389" s="52" t="n">
        <v>0</v>
      </c>
      <c r="AK389" s="52" t="n">
        <v>0</v>
      </c>
      <c r="AL389" s="52" t="n">
        <v>0</v>
      </c>
      <c r="AM389" s="53" t="n">
        <v>0</v>
      </c>
      <c r="AN389" s="53" t="n">
        <v>0</v>
      </c>
      <c r="AO389" s="53" t="n">
        <v>0</v>
      </c>
      <c r="AP389" s="53" t="n">
        <v>0</v>
      </c>
      <c r="AQ389" s="52" t="n">
        <v>0</v>
      </c>
      <c r="AR389" s="52" t="n">
        <v>0</v>
      </c>
      <c r="AS389" s="52" t="n">
        <v>0</v>
      </c>
      <c r="AT389" s="52" t="n">
        <v>0</v>
      </c>
      <c r="AU389" s="53" t="n">
        <v>0</v>
      </c>
      <c r="AV389" s="53" t="n">
        <v>0</v>
      </c>
      <c r="AW389" s="53" t="n">
        <v>0</v>
      </c>
      <c r="AX389" s="53" t="n">
        <v>0</v>
      </c>
      <c r="AY389" s="52" t="n">
        <v>0</v>
      </c>
      <c r="AZ389" s="52" t="n">
        <v>0</v>
      </c>
      <c r="BA389" s="52" t="n">
        <v>0</v>
      </c>
      <c r="BB389" s="52" t="n">
        <v>0</v>
      </c>
      <c r="BC389" s="51" t="n">
        <v>0</v>
      </c>
      <c r="BD389" s="51" t="n">
        <v>0</v>
      </c>
      <c r="BE389" s="51" t="n">
        <v>0</v>
      </c>
      <c r="BF389" s="51" t="n">
        <v>0</v>
      </c>
    </row>
    <row r="390">
      <c r="A390">
        <f>HYPERLINK("https://www.walmart.com/ip/573362008", "573362008")</f>
        <v/>
      </c>
      <c r="B390" t="inlineStr">
        <is>
          <t>Tirrinia Men's Pro Hunting Hat Buck Embroidery Adjustable Mesh Back Cap, Velcro Snapback Hat, Camo</t>
        </is>
      </c>
      <c r="C390" t="inlineStr">
        <is>
          <t>1TRHT01BUCK-TBCB</t>
        </is>
      </c>
      <c r="D390" t="inlineStr">
        <is>
          <t>Hats</t>
        </is>
      </c>
      <c r="E390" t="inlineStr">
        <is>
          <t>Tirrinia</t>
        </is>
      </c>
      <c r="F390" t="inlineStr">
        <is>
          <t>Batch 1 - TR</t>
        </is>
      </c>
      <c r="G390" s="48" t="n">
        <v>0</v>
      </c>
      <c r="H390" s="48" t="n">
        <v>0</v>
      </c>
      <c r="I390" s="48" t="n">
        <v>0</v>
      </c>
      <c r="J390" s="48" t="n">
        <v>0</v>
      </c>
      <c r="K390" s="49" t="n">
        <v>0</v>
      </c>
      <c r="L390" s="49" t="n">
        <v>0</v>
      </c>
      <c r="M390" s="49" t="n">
        <v>0</v>
      </c>
      <c r="N390" s="49" t="n">
        <v>0</v>
      </c>
      <c r="O390" s="49" t="n">
        <v>0</v>
      </c>
      <c r="P390" s="49" t="n">
        <v>0</v>
      </c>
      <c r="Q390" s="49" t="n">
        <v>0</v>
      </c>
      <c r="R390" s="49" t="n">
        <v>0</v>
      </c>
      <c r="S390" s="50" t="n">
        <v>0</v>
      </c>
      <c r="T390" s="50" t="n">
        <v>0</v>
      </c>
      <c r="U390" s="50" t="n">
        <v>0</v>
      </c>
      <c r="V390" s="50" t="n">
        <v>0</v>
      </c>
      <c r="W390" s="51" t="n">
        <v>0</v>
      </c>
      <c r="X390" s="51" t="n">
        <v>0</v>
      </c>
      <c r="Y390" s="51" t="n">
        <v>0</v>
      </c>
      <c r="Z390" s="51" t="n">
        <v>0</v>
      </c>
      <c r="AA390" s="52" t="n">
        <v>0</v>
      </c>
      <c r="AB390" s="52" t="n">
        <v>0</v>
      </c>
      <c r="AC390" s="52" t="n">
        <v>0</v>
      </c>
      <c r="AD390" s="52" t="n">
        <v>0</v>
      </c>
      <c r="AE390" s="52" t="n">
        <v>0</v>
      </c>
      <c r="AF390" s="52" t="n">
        <v>0</v>
      </c>
      <c r="AG390" s="52" t="n">
        <v>0</v>
      </c>
      <c r="AH390" s="52" t="n">
        <v>0</v>
      </c>
      <c r="AI390" s="52" t="n">
        <v>0</v>
      </c>
      <c r="AJ390" s="52" t="n">
        <v>0</v>
      </c>
      <c r="AK390" s="52" t="n">
        <v>0</v>
      </c>
      <c r="AL390" s="52" t="n">
        <v>0</v>
      </c>
      <c r="AM390" s="53" t="n">
        <v>0</v>
      </c>
      <c r="AN390" s="53" t="n">
        <v>0</v>
      </c>
      <c r="AO390" s="53" t="n">
        <v>0</v>
      </c>
      <c r="AP390" s="53" t="n">
        <v>0</v>
      </c>
      <c r="AQ390" s="52" t="n">
        <v>0</v>
      </c>
      <c r="AR390" s="52" t="n">
        <v>0</v>
      </c>
      <c r="AS390" s="52" t="n">
        <v>0</v>
      </c>
      <c r="AT390" s="52" t="n">
        <v>0</v>
      </c>
      <c r="AU390" s="53" t="n">
        <v>0</v>
      </c>
      <c r="AV390" s="53" t="n">
        <v>0</v>
      </c>
      <c r="AW390" s="53" t="n">
        <v>0</v>
      </c>
      <c r="AX390" s="53" t="n">
        <v>0</v>
      </c>
      <c r="AY390" s="52" t="n">
        <v>0</v>
      </c>
      <c r="AZ390" s="52" t="n">
        <v>0</v>
      </c>
      <c r="BA390" s="52" t="n">
        <v>0</v>
      </c>
      <c r="BB390" s="52" t="n">
        <v>0</v>
      </c>
      <c r="BC390" s="51" t="n">
        <v>0</v>
      </c>
      <c r="BD390" s="51" t="n">
        <v>0</v>
      </c>
      <c r="BE390" s="51" t="n">
        <v>0</v>
      </c>
      <c r="BF390" s="51" t="n">
        <v>0</v>
      </c>
    </row>
    <row r="391">
      <c r="A391">
        <f>HYPERLINK("https://www.walmart.com/ip/573207745", "573207745")</f>
        <v/>
      </c>
      <c r="B391" t="inlineStr">
        <is>
          <t>JenniWears® Women V Neck Babydoll Strap Lingerie Lace Chemise Teddy Outfits</t>
        </is>
      </c>
      <c r="C391" t="inlineStr">
        <is>
          <t>JWBD011PP-3XL</t>
        </is>
      </c>
      <c r="D391" t="inlineStr">
        <is>
          <t>Lingerie Sets</t>
        </is>
      </c>
      <c r="E391" t="inlineStr">
        <is>
          <t>JenniWears</t>
        </is>
      </c>
      <c r="F391" t="inlineStr">
        <is>
          <t>Optimized,Valentine</t>
        </is>
      </c>
      <c r="G391" s="48" t="n">
        <v>0</v>
      </c>
      <c r="H391" s="48" t="n">
        <v>0</v>
      </c>
      <c r="I391" s="48" t="n">
        <v>0</v>
      </c>
      <c r="J391" s="48" t="n">
        <v>0</v>
      </c>
      <c r="K391" s="49" t="n">
        <v>0</v>
      </c>
      <c r="L391" s="49" t="n">
        <v>0</v>
      </c>
      <c r="M391" s="49" t="n">
        <v>0</v>
      </c>
      <c r="N391" s="49" t="n">
        <v>0</v>
      </c>
      <c r="O391" s="49" t="n">
        <v>0</v>
      </c>
      <c r="P391" s="49" t="n">
        <v>0</v>
      </c>
      <c r="Q391" s="49" t="n">
        <v>0</v>
      </c>
      <c r="R391" s="49" t="n">
        <v>0</v>
      </c>
      <c r="S391" s="50" t="n">
        <v>0</v>
      </c>
      <c r="T391" s="50" t="n">
        <v>0</v>
      </c>
      <c r="U391" s="50" t="n">
        <v>0</v>
      </c>
      <c r="V391" s="50" t="n">
        <v>0</v>
      </c>
      <c r="W391" s="51" t="n">
        <v>0</v>
      </c>
      <c r="X391" s="51" t="n">
        <v>0</v>
      </c>
      <c r="Y391" s="51" t="n">
        <v>0</v>
      </c>
      <c r="Z391" s="51" t="n">
        <v>0</v>
      </c>
      <c r="AA391" s="52" t="n">
        <v>0</v>
      </c>
      <c r="AB391" s="52" t="n">
        <v>0</v>
      </c>
      <c r="AC391" s="52" t="n">
        <v>0</v>
      </c>
      <c r="AD391" s="52" t="n">
        <v>0</v>
      </c>
      <c r="AE391" s="52" t="n">
        <v>0</v>
      </c>
      <c r="AF391" s="52" t="n">
        <v>0</v>
      </c>
      <c r="AG391" s="52" t="n">
        <v>0</v>
      </c>
      <c r="AH391" s="52" t="n">
        <v>0</v>
      </c>
      <c r="AI391" s="52" t="n">
        <v>0</v>
      </c>
      <c r="AJ391" s="52" t="n">
        <v>0</v>
      </c>
      <c r="AK391" s="52" t="n">
        <v>0</v>
      </c>
      <c r="AL391" s="52" t="n">
        <v>0</v>
      </c>
      <c r="AM391" s="53" t="n">
        <v>0</v>
      </c>
      <c r="AN391" s="53" t="n">
        <v>0</v>
      </c>
      <c r="AO391" s="53" t="n">
        <v>0</v>
      </c>
      <c r="AP391" s="53" t="n">
        <v>0</v>
      </c>
      <c r="AQ391" s="52" t="n">
        <v>0</v>
      </c>
      <c r="AR391" s="52" t="n">
        <v>0</v>
      </c>
      <c r="AS391" s="52" t="n">
        <v>0</v>
      </c>
      <c r="AT391" s="52" t="n">
        <v>0</v>
      </c>
      <c r="AU391" s="53" t="n">
        <v>0</v>
      </c>
      <c r="AV391" s="53" t="n">
        <v>0</v>
      </c>
      <c r="AW391" s="53" t="n">
        <v>0</v>
      </c>
      <c r="AX391" s="53" t="n">
        <v>0</v>
      </c>
      <c r="AY391" s="52" t="n">
        <v>0</v>
      </c>
      <c r="AZ391" s="52" t="n">
        <v>0</v>
      </c>
      <c r="BA391" s="52" t="n">
        <v>0</v>
      </c>
      <c r="BB391" s="52" t="n">
        <v>0</v>
      </c>
      <c r="BC391" s="51" t="n">
        <v>0</v>
      </c>
      <c r="BD391" s="51" t="n">
        <v>0</v>
      </c>
      <c r="BE391" s="51" t="n">
        <v>0</v>
      </c>
      <c r="BF391" s="51" t="n">
        <v>0</v>
      </c>
    </row>
    <row r="392">
      <c r="A392">
        <f>HYPERLINK("https://www.walmart.com/ip/5729771065", "5729771065")</f>
        <v/>
      </c>
      <c r="B392" t="inlineStr">
        <is>
          <t>Tirrinia Surf Poncho Changing Towel Summer Swim Robe with Hood, Portable Dressing Room, Stylish &amp; Multi-Functional for Surfing Beach Adult Men Women</t>
        </is>
      </c>
      <c r="C392" t="inlineStr">
        <is>
          <t>1TRBR131BK-2</t>
        </is>
      </c>
      <c r="D392" t="inlineStr">
        <is>
          <t>Towels &amp; Washcloths</t>
        </is>
      </c>
      <c r="E392" t="inlineStr">
        <is>
          <t>Tirrinia</t>
        </is>
      </c>
      <c r="G392" s="48" t="n">
        <v>0</v>
      </c>
      <c r="H392" s="48" t="n">
        <v>0</v>
      </c>
      <c r="I392" s="48" t="n">
        <v>0</v>
      </c>
      <c r="J392" s="48" t="n">
        <v>0</v>
      </c>
      <c r="K392" s="49" t="n">
        <v>0</v>
      </c>
      <c r="L392" s="49" t="n">
        <v>0</v>
      </c>
      <c r="M392" s="49" t="n">
        <v>0</v>
      </c>
      <c r="N392" s="49" t="n">
        <v>0</v>
      </c>
      <c r="O392" s="49" t="n">
        <v>0</v>
      </c>
      <c r="P392" s="49" t="n">
        <v>0</v>
      </c>
      <c r="Q392" s="49" t="n">
        <v>0</v>
      </c>
      <c r="R392" s="49" t="n">
        <v>0</v>
      </c>
      <c r="S392" s="50" t="n">
        <v>0</v>
      </c>
      <c r="T392" s="50" t="n">
        <v>0</v>
      </c>
      <c r="U392" s="50" t="n">
        <v>0</v>
      </c>
      <c r="V392" s="50" t="n">
        <v>0</v>
      </c>
      <c r="W392" s="51" t="n">
        <v>0</v>
      </c>
      <c r="X392" s="51" t="n">
        <v>0</v>
      </c>
      <c r="Y392" s="51" t="n">
        <v>0</v>
      </c>
      <c r="Z392" s="51" t="n">
        <v>0</v>
      </c>
      <c r="AA392" s="52" t="n">
        <v>0</v>
      </c>
      <c r="AB392" s="52" t="n">
        <v>0</v>
      </c>
      <c r="AC392" s="52" t="n">
        <v>0</v>
      </c>
      <c r="AD392" s="52" t="n">
        <v>0</v>
      </c>
      <c r="AE392" s="52" t="n">
        <v>0</v>
      </c>
      <c r="AF392" s="52" t="n">
        <v>0</v>
      </c>
      <c r="AG392" s="52" t="n">
        <v>0</v>
      </c>
      <c r="AH392" s="52" t="n">
        <v>0</v>
      </c>
      <c r="AI392" s="52" t="n">
        <v>0</v>
      </c>
      <c r="AJ392" s="52" t="n">
        <v>0</v>
      </c>
      <c r="AK392" s="52" t="n">
        <v>0</v>
      </c>
      <c r="AL392" s="52" t="n">
        <v>0</v>
      </c>
      <c r="AM392" s="53" t="n">
        <v>0</v>
      </c>
      <c r="AN392" s="53" t="n">
        <v>0</v>
      </c>
      <c r="AO392" s="53" t="n">
        <v>0</v>
      </c>
      <c r="AP392" s="53" t="n">
        <v>0</v>
      </c>
      <c r="AQ392" s="52" t="n">
        <v>0</v>
      </c>
      <c r="AR392" s="52" t="n">
        <v>0</v>
      </c>
      <c r="AS392" s="52" t="n">
        <v>0</v>
      </c>
      <c r="AT392" s="52" t="n">
        <v>0</v>
      </c>
      <c r="AU392" s="53" t="n">
        <v>0</v>
      </c>
      <c r="AV392" s="53" t="n">
        <v>0</v>
      </c>
      <c r="AW392" s="53" t="n">
        <v>0</v>
      </c>
      <c r="AX392" s="53" t="n">
        <v>0</v>
      </c>
      <c r="AY392" s="52" t="n">
        <v>0</v>
      </c>
      <c r="AZ392" s="52" t="n">
        <v>0</v>
      </c>
      <c r="BA392" s="52" t="n">
        <v>0</v>
      </c>
      <c r="BB392" s="52" t="n">
        <v>0</v>
      </c>
      <c r="BC392" s="51" t="n">
        <v>0</v>
      </c>
      <c r="BD392" s="51" t="n">
        <v>0</v>
      </c>
      <c r="BE392" s="51" t="n">
        <v>0</v>
      </c>
      <c r="BF392" s="51" t="n">
        <v>0</v>
      </c>
    </row>
    <row r="393">
      <c r="A393">
        <f>HYPERLINK("https://www.walmart.com/ip/6105217432", "6105217432")</f>
        <v/>
      </c>
      <c r="B393" t="inlineStr">
        <is>
          <t>Catalonia Cooling Blanket for Hot Sleepers, Summer Bed Blanket for Warm Night Sweat, Cool Sofa Throw Blanket for Hot Flashes, Soft Thin Lightweight Blanket for Adults Kids</t>
        </is>
      </c>
      <c r="C393" t="inlineStr">
        <is>
          <t>1CTBQ10119GN</t>
        </is>
      </c>
      <c r="D393" t="inlineStr">
        <is>
          <t>Throws</t>
        </is>
      </c>
      <c r="E393" t="inlineStr">
        <is>
          <t>Catalonia</t>
        </is>
      </c>
      <c r="G393" s="48" t="n">
        <v>0</v>
      </c>
      <c r="H393" s="48" t="n">
        <v>0</v>
      </c>
      <c r="I393" s="48" t="n">
        <v>0</v>
      </c>
      <c r="J393" s="48" t="n">
        <v>0</v>
      </c>
      <c r="K393" s="49" t="n">
        <v>0</v>
      </c>
      <c r="L393" s="49" t="n">
        <v>0</v>
      </c>
      <c r="M393" s="49" t="n">
        <v>0</v>
      </c>
      <c r="N393" s="49" t="n">
        <v>0</v>
      </c>
      <c r="O393" s="49" t="n">
        <v>0</v>
      </c>
      <c r="P393" s="49" t="n">
        <v>0</v>
      </c>
      <c r="Q393" s="49" t="n">
        <v>0</v>
      </c>
      <c r="R393" s="49" t="n">
        <v>0</v>
      </c>
      <c r="S393" s="50" t="n">
        <v>0</v>
      </c>
      <c r="T393" s="50" t="n">
        <v>0</v>
      </c>
      <c r="U393" s="50" t="n">
        <v>0</v>
      </c>
      <c r="V393" s="50" t="n">
        <v>0</v>
      </c>
      <c r="W393" s="51" t="n">
        <v>0</v>
      </c>
      <c r="X393" s="51" t="n">
        <v>0</v>
      </c>
      <c r="Y393" s="51" t="n">
        <v>0</v>
      </c>
      <c r="Z393" s="51" t="n">
        <v>0</v>
      </c>
      <c r="AA393" s="52" t="n">
        <v>0</v>
      </c>
      <c r="AB393" s="52" t="n">
        <v>0</v>
      </c>
      <c r="AC393" s="52" t="n">
        <v>0</v>
      </c>
      <c r="AD393" s="52" t="n">
        <v>0</v>
      </c>
      <c r="AE393" s="52" t="n">
        <v>0</v>
      </c>
      <c r="AF393" s="52" t="n">
        <v>0</v>
      </c>
      <c r="AG393" s="52" t="n">
        <v>0</v>
      </c>
      <c r="AH393" s="52" t="n">
        <v>0</v>
      </c>
      <c r="AI393" s="52" t="n">
        <v>0</v>
      </c>
      <c r="AJ393" s="52" t="n">
        <v>0</v>
      </c>
      <c r="AK393" s="52" t="n">
        <v>0</v>
      </c>
      <c r="AL393" s="52" t="n">
        <v>0</v>
      </c>
      <c r="AM393" s="53" t="n">
        <v>0</v>
      </c>
      <c r="AN393" s="53" t="n">
        <v>0</v>
      </c>
      <c r="AO393" s="53" t="n">
        <v>0</v>
      </c>
      <c r="AP393" s="53" t="n">
        <v>0</v>
      </c>
      <c r="AQ393" s="52" t="n">
        <v>0</v>
      </c>
      <c r="AR393" s="52" t="n">
        <v>0</v>
      </c>
      <c r="AS393" s="52" t="n">
        <v>0</v>
      </c>
      <c r="AT393" s="52" t="n">
        <v>0</v>
      </c>
      <c r="AU393" s="53" t="n">
        <v>0</v>
      </c>
      <c r="AV393" s="53" t="n">
        <v>0</v>
      </c>
      <c r="AW393" s="53" t="n">
        <v>0</v>
      </c>
      <c r="AX393" s="53" t="n">
        <v>0</v>
      </c>
      <c r="AY393" s="52" t="n">
        <v>0</v>
      </c>
      <c r="AZ393" s="52" t="n">
        <v>0</v>
      </c>
      <c r="BA393" s="52" t="n">
        <v>0</v>
      </c>
      <c r="BB393" s="52" t="n">
        <v>0</v>
      </c>
      <c r="BC393" s="51" t="n">
        <v>0</v>
      </c>
      <c r="BD393" s="51" t="n">
        <v>0</v>
      </c>
      <c r="BE393" s="51" t="n">
        <v>0</v>
      </c>
      <c r="BF393" s="51" t="n">
        <v>0</v>
      </c>
    </row>
    <row r="394">
      <c r="A394">
        <f>HYPERLINK("https://www.walmart.com/ip/572950679", "572950679")</f>
        <v/>
      </c>
      <c r="B394" t="inlineStr">
        <is>
          <t>Flyingstar Surf Towel Robe, Quick Dry Beach Wetsuit Changing Bath Robe Poncho for Surfing, Swimming</t>
        </is>
      </c>
      <c r="C394" t="inlineStr">
        <is>
          <t>1WMBR100-GY</t>
        </is>
      </c>
      <c r="D394" t="inlineStr">
        <is>
          <t>Sleepwear Robes &amp; Bathrobes</t>
        </is>
      </c>
      <c r="E394" t="inlineStr">
        <is>
          <t>Flyingstar</t>
        </is>
      </c>
      <c r="F394" t="inlineStr">
        <is>
          <t>Optimized,Beach Robe Camp</t>
        </is>
      </c>
      <c r="G394" s="48" t="n">
        <v>0</v>
      </c>
      <c r="H394" s="48" t="n">
        <v>0</v>
      </c>
      <c r="I394" s="48" t="n">
        <v>0</v>
      </c>
      <c r="J394" s="48" t="n">
        <v>0</v>
      </c>
      <c r="K394" s="49" t="n">
        <v>0</v>
      </c>
      <c r="L394" s="49" t="n">
        <v>0</v>
      </c>
      <c r="M394" s="49" t="n">
        <v>0</v>
      </c>
      <c r="N394" s="49" t="n">
        <v>0</v>
      </c>
      <c r="O394" s="49" t="n">
        <v>0</v>
      </c>
      <c r="P394" s="49" t="n">
        <v>0</v>
      </c>
      <c r="Q394" s="49" t="n">
        <v>0</v>
      </c>
      <c r="R394" s="49" t="n">
        <v>0</v>
      </c>
      <c r="S394" s="50" t="n">
        <v>0</v>
      </c>
      <c r="T394" s="50" t="n">
        <v>0</v>
      </c>
      <c r="U394" s="50" t="n">
        <v>0</v>
      </c>
      <c r="V394" s="50" t="n">
        <v>0</v>
      </c>
      <c r="W394" s="51" t="n">
        <v>0</v>
      </c>
      <c r="X394" s="51" t="n">
        <v>0</v>
      </c>
      <c r="Y394" s="51" t="n">
        <v>0</v>
      </c>
      <c r="Z394" s="51" t="n">
        <v>0</v>
      </c>
      <c r="AA394" s="52" t="n">
        <v>0</v>
      </c>
      <c r="AB394" s="52" t="n">
        <v>0</v>
      </c>
      <c r="AC394" s="52" t="n">
        <v>0</v>
      </c>
      <c r="AD394" s="52" t="n">
        <v>0</v>
      </c>
      <c r="AE394" s="52" t="n">
        <v>0</v>
      </c>
      <c r="AF394" s="52" t="n">
        <v>0</v>
      </c>
      <c r="AG394" s="52" t="n">
        <v>0</v>
      </c>
      <c r="AH394" s="52" t="n">
        <v>0</v>
      </c>
      <c r="AI394" s="52" t="n">
        <v>0</v>
      </c>
      <c r="AJ394" s="52" t="n">
        <v>0</v>
      </c>
      <c r="AK394" s="52" t="n">
        <v>0</v>
      </c>
      <c r="AL394" s="52" t="n">
        <v>0</v>
      </c>
      <c r="AM394" s="53" t="n">
        <v>0</v>
      </c>
      <c r="AN394" s="53" t="n">
        <v>0</v>
      </c>
      <c r="AO394" s="53" t="n">
        <v>0</v>
      </c>
      <c r="AP394" s="53" t="n">
        <v>0</v>
      </c>
      <c r="AQ394" s="52" t="n">
        <v>0</v>
      </c>
      <c r="AR394" s="52" t="n">
        <v>0</v>
      </c>
      <c r="AS394" s="52" t="n">
        <v>0</v>
      </c>
      <c r="AT394" s="52" t="n">
        <v>0</v>
      </c>
      <c r="AU394" s="53" t="n">
        <v>0</v>
      </c>
      <c r="AV394" s="53" t="n">
        <v>0</v>
      </c>
      <c r="AW394" s="53" t="n">
        <v>0</v>
      </c>
      <c r="AX394" s="53" t="n">
        <v>0</v>
      </c>
      <c r="AY394" s="52" t="n">
        <v>0</v>
      </c>
      <c r="AZ394" s="52" t="n">
        <v>0</v>
      </c>
      <c r="BA394" s="52" t="n">
        <v>0</v>
      </c>
      <c r="BB394" s="52" t="n">
        <v>0</v>
      </c>
      <c r="BC394" s="51" t="n">
        <v>0</v>
      </c>
      <c r="BD394" s="51" t="n">
        <v>0</v>
      </c>
      <c r="BE394" s="51" t="n">
        <v>0</v>
      </c>
      <c r="BF394" s="51" t="n">
        <v>0</v>
      </c>
    </row>
    <row r="395">
      <c r="A395">
        <f>HYPERLINK("https://www.walmart.com/ip/610849196", "610849196")</f>
        <v/>
      </c>
      <c r="B395" t="inlineStr">
        <is>
          <t>Catalonia Hooded Wearable Blanket Poncho for Adult Women Men, Fleece Wrap Blanket Cape with Hood | Warm, Soft, Cozy, Snuggly | Comfort Gift, No Sleeves, Red Checker</t>
        </is>
      </c>
      <c r="C395" t="inlineStr">
        <is>
          <t>1CTBP120P2RD</t>
        </is>
      </c>
      <c r="D395" t="inlineStr">
        <is>
          <t>Throws</t>
        </is>
      </c>
      <c r="E395" t="inlineStr">
        <is>
          <t>Catalonia</t>
        </is>
      </c>
      <c r="F395" t="inlineStr">
        <is>
          <t>Optimized,Hero 5 Holidays,WFS Item</t>
        </is>
      </c>
      <c r="G395" s="48" t="n">
        <v>0</v>
      </c>
      <c r="H395" s="48" t="n">
        <v>0</v>
      </c>
      <c r="I395" s="48" t="n">
        <v>0</v>
      </c>
      <c r="J395" s="48" t="n">
        <v>-25.99</v>
      </c>
      <c r="K395" s="49" t="n">
        <v>0</v>
      </c>
      <c r="L395" s="49" t="n">
        <v>0</v>
      </c>
      <c r="M395" s="49" t="n">
        <v>0</v>
      </c>
      <c r="N395" s="49" t="n">
        <v>-1</v>
      </c>
      <c r="O395" s="49" t="n">
        <v>0</v>
      </c>
      <c r="P395" s="49" t="n">
        <v>0</v>
      </c>
      <c r="Q395" s="49" t="n">
        <v>0</v>
      </c>
      <c r="R395" s="49" t="n">
        <v>0</v>
      </c>
      <c r="S395" s="50" t="n">
        <v>0</v>
      </c>
      <c r="T395" s="50" t="n">
        <v>0</v>
      </c>
      <c r="U395" s="50" t="n">
        <v>0</v>
      </c>
      <c r="V395" s="50" t="n">
        <v>0</v>
      </c>
      <c r="W395" s="51" t="n">
        <v>0</v>
      </c>
      <c r="X395" s="51" t="n">
        <v>0</v>
      </c>
      <c r="Y395" s="51" t="n">
        <v>0</v>
      </c>
      <c r="Z395" s="51" t="n">
        <v>0</v>
      </c>
      <c r="AA395" s="52" t="n">
        <v>0</v>
      </c>
      <c r="AB395" s="52" t="n">
        <v>0</v>
      </c>
      <c r="AC395" s="52" t="n">
        <v>0</v>
      </c>
      <c r="AD395" s="52" t="n">
        <v>0</v>
      </c>
      <c r="AE395" s="52" t="n">
        <v>0</v>
      </c>
      <c r="AF395" s="52" t="n">
        <v>0</v>
      </c>
      <c r="AG395" s="52" t="n">
        <v>0</v>
      </c>
      <c r="AH395" s="52" t="n">
        <v>0</v>
      </c>
      <c r="AI395" s="52" t="n">
        <v>0</v>
      </c>
      <c r="AJ395" s="52" t="n">
        <v>0</v>
      </c>
      <c r="AK395" s="52" t="n">
        <v>0</v>
      </c>
      <c r="AL395" s="52" t="n">
        <v>0</v>
      </c>
      <c r="AM395" s="53" t="n">
        <v>0</v>
      </c>
      <c r="AN395" s="53" t="n">
        <v>0</v>
      </c>
      <c r="AO395" s="53" t="n">
        <v>0</v>
      </c>
      <c r="AP395" s="53" t="n">
        <v>0</v>
      </c>
      <c r="AQ395" s="52" t="n">
        <v>0</v>
      </c>
      <c r="AR395" s="52" t="n">
        <v>0</v>
      </c>
      <c r="AS395" s="52" t="n">
        <v>0</v>
      </c>
      <c r="AT395" s="52" t="n">
        <v>0</v>
      </c>
      <c r="AU395" s="53" t="n">
        <v>0</v>
      </c>
      <c r="AV395" s="53" t="n">
        <v>0</v>
      </c>
      <c r="AW395" s="53" t="n">
        <v>0</v>
      </c>
      <c r="AX395" s="53" t="n">
        <v>0</v>
      </c>
      <c r="AY395" s="52" t="n">
        <v>0</v>
      </c>
      <c r="AZ395" s="52" t="n">
        <v>0</v>
      </c>
      <c r="BA395" s="52" t="n">
        <v>0</v>
      </c>
      <c r="BB395" s="52" t="n">
        <v>0</v>
      </c>
      <c r="BC395" s="51" t="n">
        <v>0</v>
      </c>
      <c r="BD395" s="51" t="n">
        <v>0</v>
      </c>
      <c r="BE395" s="51" t="n">
        <v>0</v>
      </c>
      <c r="BF395" s="51" t="n">
        <v>0</v>
      </c>
    </row>
    <row r="396">
      <c r="A396">
        <f>HYPERLINK("https://www.walmart.com/ip/572657418", "572657418")</f>
        <v/>
      </c>
      <c r="B396" t="inlineStr">
        <is>
          <t>Tirrinia Bucket Hats for Women with Hawaii Flower Print | UPF 50+ Sun Protection Cap for Garden, Beach, Travel</t>
        </is>
      </c>
      <c r="C396" t="inlineStr">
        <is>
          <t>1TRSH9200FBL-TBCB</t>
        </is>
      </c>
      <c r="D396" t="inlineStr">
        <is>
          <t>Hats</t>
        </is>
      </c>
      <c r="E396" t="inlineStr">
        <is>
          <t>Tirrinia</t>
        </is>
      </c>
      <c r="F396" t="inlineStr">
        <is>
          <t>Hats,Batch 1 - TR</t>
        </is>
      </c>
      <c r="G396" s="48" t="n">
        <v>0</v>
      </c>
      <c r="H396" s="48" t="n">
        <v>0</v>
      </c>
      <c r="I396" s="48" t="n">
        <v>0</v>
      </c>
      <c r="J396" s="48" t="n">
        <v>0</v>
      </c>
      <c r="K396" s="49" t="n">
        <v>0</v>
      </c>
      <c r="L396" s="49" t="n">
        <v>0</v>
      </c>
      <c r="M396" s="49" t="n">
        <v>0</v>
      </c>
      <c r="N396" s="49" t="n">
        <v>0</v>
      </c>
      <c r="O396" s="49" t="n">
        <v>0</v>
      </c>
      <c r="P396" s="49" t="n">
        <v>0</v>
      </c>
      <c r="Q396" s="49" t="n">
        <v>0</v>
      </c>
      <c r="R396" s="49" t="n">
        <v>0</v>
      </c>
      <c r="S396" s="50" t="n">
        <v>0</v>
      </c>
      <c r="T396" s="50" t="n">
        <v>0</v>
      </c>
      <c r="U396" s="50" t="n">
        <v>0</v>
      </c>
      <c r="V396" s="50" t="n">
        <v>0</v>
      </c>
      <c r="W396" s="51" t="n">
        <v>0</v>
      </c>
      <c r="X396" s="51" t="n">
        <v>0</v>
      </c>
      <c r="Y396" s="51" t="n">
        <v>0</v>
      </c>
      <c r="Z396" s="51" t="n">
        <v>0</v>
      </c>
      <c r="AA396" s="52" t="n">
        <v>0</v>
      </c>
      <c r="AB396" s="52" t="n">
        <v>0</v>
      </c>
      <c r="AC396" s="52" t="n">
        <v>0</v>
      </c>
      <c r="AD396" s="52" t="n">
        <v>0</v>
      </c>
      <c r="AE396" s="52" t="n">
        <v>0</v>
      </c>
      <c r="AF396" s="52" t="n">
        <v>0</v>
      </c>
      <c r="AG396" s="52" t="n">
        <v>0</v>
      </c>
      <c r="AH396" s="52" t="n">
        <v>0</v>
      </c>
      <c r="AI396" s="52" t="n">
        <v>0</v>
      </c>
      <c r="AJ396" s="52" t="n">
        <v>0</v>
      </c>
      <c r="AK396" s="52" t="n">
        <v>0</v>
      </c>
      <c r="AL396" s="52" t="n">
        <v>0</v>
      </c>
      <c r="AM396" s="53" t="n">
        <v>0</v>
      </c>
      <c r="AN396" s="53" t="n">
        <v>0</v>
      </c>
      <c r="AO396" s="53" t="n">
        <v>0</v>
      </c>
      <c r="AP396" s="53" t="n">
        <v>0</v>
      </c>
      <c r="AQ396" s="52" t="n">
        <v>0</v>
      </c>
      <c r="AR396" s="52" t="n">
        <v>0</v>
      </c>
      <c r="AS396" s="52" t="n">
        <v>0</v>
      </c>
      <c r="AT396" s="52" t="n">
        <v>0</v>
      </c>
      <c r="AU396" s="53" t="n">
        <v>0</v>
      </c>
      <c r="AV396" s="53" t="n">
        <v>0</v>
      </c>
      <c r="AW396" s="53" t="n">
        <v>0</v>
      </c>
      <c r="AX396" s="53" t="n">
        <v>0</v>
      </c>
      <c r="AY396" s="52" t="n">
        <v>0</v>
      </c>
      <c r="AZ396" s="52" t="n">
        <v>0</v>
      </c>
      <c r="BA396" s="52" t="n">
        <v>0</v>
      </c>
      <c r="BB396" s="52" t="n">
        <v>0</v>
      </c>
      <c r="BC396" s="51" t="n">
        <v>0</v>
      </c>
      <c r="BD396" s="51" t="n">
        <v>0</v>
      </c>
      <c r="BE396" s="51" t="n">
        <v>0</v>
      </c>
      <c r="BF396" s="51" t="n">
        <v>0</v>
      </c>
    </row>
    <row r="397">
      <c r="A397">
        <f>HYPERLINK("https://www.walmart.com/ip/572643742", "572643742")</f>
        <v/>
      </c>
      <c r="B397" t="inlineStr">
        <is>
          <t>Oversized Hoodie Blanket Sweatshirt,Super Soft Warm Comfortable Fleece Giant Pullover with Large Front Pocket,for Adults Men Women Teenagers Kids Wife Girlfriend</t>
        </is>
      </c>
      <c r="C397" t="inlineStr">
        <is>
          <t>1CTHD300PP-UPC</t>
        </is>
      </c>
      <c r="D397" t="inlineStr">
        <is>
          <t>Sweatshirts &amp; Hoodies</t>
        </is>
      </c>
      <c r="E397" t="inlineStr">
        <is>
          <t>Catalonia</t>
        </is>
      </c>
      <c r="F397" t="inlineStr">
        <is>
          <t>Hoodie ForAdult,Optimized,Coupon_Discount</t>
        </is>
      </c>
      <c r="G397" s="48" t="n">
        <v>0</v>
      </c>
      <c r="H397" s="48" t="n">
        <v>0</v>
      </c>
      <c r="I397" s="48" t="n">
        <v>0</v>
      </c>
      <c r="J397" s="48" t="n">
        <v>0</v>
      </c>
      <c r="K397" s="49" t="n">
        <v>0</v>
      </c>
      <c r="L397" s="49" t="n">
        <v>0</v>
      </c>
      <c r="M397" s="49" t="n">
        <v>0</v>
      </c>
      <c r="N397" s="49" t="n">
        <v>0</v>
      </c>
      <c r="O397" s="49" t="n">
        <v>0</v>
      </c>
      <c r="P397" s="49" t="n">
        <v>0</v>
      </c>
      <c r="Q397" s="49" t="n">
        <v>0</v>
      </c>
      <c r="R397" s="49" t="n">
        <v>0</v>
      </c>
      <c r="S397" s="50" t="n">
        <v>0</v>
      </c>
      <c r="T397" s="50" t="n">
        <v>0</v>
      </c>
      <c r="U397" s="50" t="n">
        <v>0</v>
      </c>
      <c r="V397" s="50" t="n">
        <v>0</v>
      </c>
      <c r="W397" s="51" t="n">
        <v>0</v>
      </c>
      <c r="X397" s="51" t="n">
        <v>0</v>
      </c>
      <c r="Y397" s="51" t="n">
        <v>0</v>
      </c>
      <c r="Z397" s="51" t="n">
        <v>0</v>
      </c>
      <c r="AA397" s="52" t="n">
        <v>0</v>
      </c>
      <c r="AB397" s="52" t="n">
        <v>0</v>
      </c>
      <c r="AC397" s="52" t="n">
        <v>0</v>
      </c>
      <c r="AD397" s="52" t="n">
        <v>0</v>
      </c>
      <c r="AE397" s="52" t="n">
        <v>0</v>
      </c>
      <c r="AF397" s="52" t="n">
        <v>0</v>
      </c>
      <c r="AG397" s="52" t="n">
        <v>0</v>
      </c>
      <c r="AH397" s="52" t="n">
        <v>0</v>
      </c>
      <c r="AI397" s="52" t="n">
        <v>0</v>
      </c>
      <c r="AJ397" s="52" t="n">
        <v>0</v>
      </c>
      <c r="AK397" s="52" t="n">
        <v>0</v>
      </c>
      <c r="AL397" s="52" t="n">
        <v>0</v>
      </c>
      <c r="AM397" s="53" t="n">
        <v>0</v>
      </c>
      <c r="AN397" s="53" t="n">
        <v>0</v>
      </c>
      <c r="AO397" s="53" t="n">
        <v>0</v>
      </c>
      <c r="AP397" s="53" t="n">
        <v>0</v>
      </c>
      <c r="AQ397" s="52" t="n">
        <v>0</v>
      </c>
      <c r="AR397" s="52" t="n">
        <v>0</v>
      </c>
      <c r="AS397" s="52" t="n">
        <v>0</v>
      </c>
      <c r="AT397" s="52" t="n">
        <v>0</v>
      </c>
      <c r="AU397" s="53" t="n">
        <v>0</v>
      </c>
      <c r="AV397" s="53" t="n">
        <v>0</v>
      </c>
      <c r="AW397" s="53" t="n">
        <v>0</v>
      </c>
      <c r="AX397" s="53" t="n">
        <v>0</v>
      </c>
      <c r="AY397" s="52" t="n">
        <v>0</v>
      </c>
      <c r="AZ397" s="52" t="n">
        <v>0</v>
      </c>
      <c r="BA397" s="52" t="n">
        <v>0</v>
      </c>
      <c r="BB397" s="52" t="n">
        <v>0</v>
      </c>
      <c r="BC397" s="51" t="n">
        <v>0</v>
      </c>
      <c r="BD397" s="51" t="n">
        <v>0</v>
      </c>
      <c r="BE397" s="51" t="n">
        <v>0</v>
      </c>
      <c r="BF397" s="51" t="n">
        <v>0</v>
      </c>
    </row>
    <row r="398">
      <c r="A398">
        <f>HYPERLINK("https://www.walmart.com/ip/6108555323", "6108555323")</f>
        <v/>
      </c>
      <c r="B398" t="inlineStr">
        <is>
          <t>Catalonia Cooling Blanket for Hot Sleepers, Summer Bed Blanket for Warm Night Sweat, Cool Sofa Throw Blanket for Hot Flashes, Soft Thin Lightweight Blanket for Adults Kids</t>
        </is>
      </c>
      <c r="C398" t="inlineStr">
        <is>
          <t>1CTBQ10157PP</t>
        </is>
      </c>
      <c r="D398" t="inlineStr">
        <is>
          <t>Throws</t>
        </is>
      </c>
      <c r="E398" t="inlineStr">
        <is>
          <t>Catalonia</t>
        </is>
      </c>
      <c r="G398" s="48" t="n">
        <v>0</v>
      </c>
      <c r="H398" s="48" t="n">
        <v>0</v>
      </c>
      <c r="I398" s="48" t="n">
        <v>0</v>
      </c>
      <c r="J398" s="48" t="n">
        <v>0</v>
      </c>
      <c r="K398" s="49" t="n">
        <v>0</v>
      </c>
      <c r="L398" s="49" t="n">
        <v>0</v>
      </c>
      <c r="M398" s="49" t="n">
        <v>0</v>
      </c>
      <c r="N398" s="49" t="n">
        <v>0</v>
      </c>
      <c r="O398" s="49" t="n">
        <v>0</v>
      </c>
      <c r="P398" s="49" t="n">
        <v>0</v>
      </c>
      <c r="Q398" s="49" t="n">
        <v>0</v>
      </c>
      <c r="R398" s="49" t="n">
        <v>0</v>
      </c>
      <c r="S398" s="50" t="n">
        <v>0</v>
      </c>
      <c r="T398" s="50" t="n">
        <v>0</v>
      </c>
      <c r="U398" s="50" t="n">
        <v>0</v>
      </c>
      <c r="V398" s="50" t="n">
        <v>0</v>
      </c>
      <c r="W398" s="51" t="n">
        <v>0</v>
      </c>
      <c r="X398" s="51" t="n">
        <v>0</v>
      </c>
      <c r="Y398" s="51" t="n">
        <v>0</v>
      </c>
      <c r="Z398" s="51" t="n">
        <v>0</v>
      </c>
      <c r="AA398" s="52" t="n">
        <v>0</v>
      </c>
      <c r="AB398" s="52" t="n">
        <v>0</v>
      </c>
      <c r="AC398" s="52" t="n">
        <v>0</v>
      </c>
      <c r="AD398" s="52" t="n">
        <v>0</v>
      </c>
      <c r="AE398" s="52" t="n">
        <v>0</v>
      </c>
      <c r="AF398" s="52" t="n">
        <v>0</v>
      </c>
      <c r="AG398" s="52" t="n">
        <v>0</v>
      </c>
      <c r="AH398" s="52" t="n">
        <v>0</v>
      </c>
      <c r="AI398" s="52" t="n">
        <v>0</v>
      </c>
      <c r="AJ398" s="52" t="n">
        <v>0</v>
      </c>
      <c r="AK398" s="52" t="n">
        <v>0</v>
      </c>
      <c r="AL398" s="52" t="n">
        <v>0</v>
      </c>
      <c r="AM398" s="53" t="n">
        <v>0</v>
      </c>
      <c r="AN398" s="53" t="n">
        <v>0</v>
      </c>
      <c r="AO398" s="53" t="n">
        <v>0</v>
      </c>
      <c r="AP398" s="53" t="n">
        <v>0</v>
      </c>
      <c r="AQ398" s="52" t="n">
        <v>0</v>
      </c>
      <c r="AR398" s="52" t="n">
        <v>0</v>
      </c>
      <c r="AS398" s="52" t="n">
        <v>0</v>
      </c>
      <c r="AT398" s="52" t="n">
        <v>0</v>
      </c>
      <c r="AU398" s="53" t="n">
        <v>0</v>
      </c>
      <c r="AV398" s="53" t="n">
        <v>0</v>
      </c>
      <c r="AW398" s="53" t="n">
        <v>0</v>
      </c>
      <c r="AX398" s="53" t="n">
        <v>0</v>
      </c>
      <c r="AY398" s="52" t="n">
        <v>0</v>
      </c>
      <c r="AZ398" s="52" t="n">
        <v>0</v>
      </c>
      <c r="BA398" s="52" t="n">
        <v>0</v>
      </c>
      <c r="BB398" s="52" t="n">
        <v>0</v>
      </c>
      <c r="BC398" s="51" t="n">
        <v>0</v>
      </c>
      <c r="BD398" s="51" t="n">
        <v>0</v>
      </c>
      <c r="BE398" s="51" t="n">
        <v>0</v>
      </c>
      <c r="BF398" s="51" t="n">
        <v>0</v>
      </c>
    </row>
    <row r="399">
      <c r="A399">
        <f>HYPERLINK("https://www.walmart.com/ip/6108672448", "6108672448")</f>
        <v/>
      </c>
      <c r="B399" t="inlineStr">
        <is>
          <t>Catalonia Cooling Blanket for Hot Sleepers, Summer Bed Blanket for Warm Night Sweat, Cool Sofa Throw Blanket for Hot Flashes, Soft Thin Lightweight Blanket for Adults Kids</t>
        </is>
      </c>
      <c r="C399" t="inlineStr">
        <is>
          <t>1CTBQ10157BL</t>
        </is>
      </c>
      <c r="D399" t="inlineStr">
        <is>
          <t>Throws</t>
        </is>
      </c>
      <c r="E399" t="inlineStr">
        <is>
          <t>Catalonia</t>
        </is>
      </c>
      <c r="G399" s="48" t="n">
        <v>0</v>
      </c>
      <c r="H399" s="48" t="n">
        <v>0</v>
      </c>
      <c r="I399" s="48" t="n">
        <v>0</v>
      </c>
      <c r="J399" s="48" t="n">
        <v>0</v>
      </c>
      <c r="K399" s="49" t="n">
        <v>0</v>
      </c>
      <c r="L399" s="49" t="n">
        <v>0</v>
      </c>
      <c r="M399" s="49" t="n">
        <v>0</v>
      </c>
      <c r="N399" s="49" t="n">
        <v>0</v>
      </c>
      <c r="O399" s="49" t="n">
        <v>0</v>
      </c>
      <c r="P399" s="49" t="n">
        <v>0</v>
      </c>
      <c r="Q399" s="49" t="n">
        <v>0</v>
      </c>
      <c r="R399" s="49" t="n">
        <v>0</v>
      </c>
      <c r="S399" s="50" t="n">
        <v>0</v>
      </c>
      <c r="T399" s="50" t="n">
        <v>0</v>
      </c>
      <c r="U399" s="50" t="n">
        <v>0</v>
      </c>
      <c r="V399" s="50" t="n">
        <v>0</v>
      </c>
      <c r="W399" s="51" t="n">
        <v>0</v>
      </c>
      <c r="X399" s="51" t="n">
        <v>0</v>
      </c>
      <c r="Y399" s="51" t="n">
        <v>0</v>
      </c>
      <c r="Z399" s="51" t="n">
        <v>0</v>
      </c>
      <c r="AA399" s="52" t="n">
        <v>0</v>
      </c>
      <c r="AB399" s="52" t="n">
        <v>0</v>
      </c>
      <c r="AC399" s="52" t="n">
        <v>0</v>
      </c>
      <c r="AD399" s="52" t="n">
        <v>0</v>
      </c>
      <c r="AE399" s="52" t="n">
        <v>0</v>
      </c>
      <c r="AF399" s="52" t="n">
        <v>0</v>
      </c>
      <c r="AG399" s="52" t="n">
        <v>0</v>
      </c>
      <c r="AH399" s="52" t="n">
        <v>0</v>
      </c>
      <c r="AI399" s="52" t="n">
        <v>0</v>
      </c>
      <c r="AJ399" s="52" t="n">
        <v>0</v>
      </c>
      <c r="AK399" s="52" t="n">
        <v>0</v>
      </c>
      <c r="AL399" s="52" t="n">
        <v>0</v>
      </c>
      <c r="AM399" s="53" t="n">
        <v>0</v>
      </c>
      <c r="AN399" s="53" t="n">
        <v>0</v>
      </c>
      <c r="AO399" s="53" t="n">
        <v>0</v>
      </c>
      <c r="AP399" s="53" t="n">
        <v>0</v>
      </c>
      <c r="AQ399" s="52" t="n">
        <v>0</v>
      </c>
      <c r="AR399" s="52" t="n">
        <v>0</v>
      </c>
      <c r="AS399" s="52" t="n">
        <v>0</v>
      </c>
      <c r="AT399" s="52" t="n">
        <v>0</v>
      </c>
      <c r="AU399" s="53" t="n">
        <v>0</v>
      </c>
      <c r="AV399" s="53" t="n">
        <v>0</v>
      </c>
      <c r="AW399" s="53" t="n">
        <v>0</v>
      </c>
      <c r="AX399" s="53" t="n">
        <v>0</v>
      </c>
      <c r="AY399" s="52" t="n">
        <v>0</v>
      </c>
      <c r="AZ399" s="52" t="n">
        <v>0</v>
      </c>
      <c r="BA399" s="52" t="n">
        <v>0</v>
      </c>
      <c r="BB399" s="52" t="n">
        <v>0</v>
      </c>
      <c r="BC399" s="51" t="n">
        <v>0</v>
      </c>
      <c r="BD399" s="51" t="n">
        <v>0</v>
      </c>
      <c r="BE399" s="51" t="n">
        <v>0</v>
      </c>
      <c r="BF399" s="51" t="n">
        <v>0</v>
      </c>
    </row>
    <row r="400">
      <c r="A400">
        <f>HYPERLINK("https://www.walmart.com/ip/6108672454", "6108672454")</f>
        <v/>
      </c>
      <c r="B400" t="inlineStr">
        <is>
          <t>Catalonia Cooling Blanket for Hot Sleepers, Summer Bed Blanket for Warm Night Sweat, Cool Sofa Throw Blanket for Hot Flashes, Soft Thin Lightweight Blanket for Adults Kids</t>
        </is>
      </c>
      <c r="C400" t="inlineStr">
        <is>
          <t>1CTBQ10199BL</t>
        </is>
      </c>
      <c r="D400" t="inlineStr">
        <is>
          <t>Throws</t>
        </is>
      </c>
      <c r="E400" t="inlineStr">
        <is>
          <t>Catalonia</t>
        </is>
      </c>
      <c r="G400" s="48" t="n">
        <v>0</v>
      </c>
      <c r="H400" s="48" t="n">
        <v>0</v>
      </c>
      <c r="I400" s="48" t="n">
        <v>0</v>
      </c>
      <c r="J400" s="48" t="n">
        <v>0</v>
      </c>
      <c r="K400" s="49" t="n">
        <v>0</v>
      </c>
      <c r="L400" s="49" t="n">
        <v>0</v>
      </c>
      <c r="M400" s="49" t="n">
        <v>0</v>
      </c>
      <c r="N400" s="49" t="n">
        <v>0</v>
      </c>
      <c r="O400" s="49" t="n">
        <v>0</v>
      </c>
      <c r="P400" s="49" t="n">
        <v>0</v>
      </c>
      <c r="Q400" s="49" t="n">
        <v>0</v>
      </c>
      <c r="R400" s="49" t="n">
        <v>0</v>
      </c>
      <c r="S400" s="50" t="n">
        <v>0</v>
      </c>
      <c r="T400" s="50" t="n">
        <v>0</v>
      </c>
      <c r="U400" s="50" t="n">
        <v>0</v>
      </c>
      <c r="V400" s="50" t="n">
        <v>0</v>
      </c>
      <c r="W400" s="51" t="n">
        <v>0</v>
      </c>
      <c r="X400" s="51" t="n">
        <v>0</v>
      </c>
      <c r="Y400" s="51" t="n">
        <v>0</v>
      </c>
      <c r="Z400" s="51" t="n">
        <v>0</v>
      </c>
      <c r="AA400" s="52" t="n">
        <v>0</v>
      </c>
      <c r="AB400" s="52" t="n">
        <v>0</v>
      </c>
      <c r="AC400" s="52" t="n">
        <v>0</v>
      </c>
      <c r="AD400" s="52" t="n">
        <v>0</v>
      </c>
      <c r="AE400" s="52" t="n">
        <v>0</v>
      </c>
      <c r="AF400" s="52" t="n">
        <v>0</v>
      </c>
      <c r="AG400" s="52" t="n">
        <v>0</v>
      </c>
      <c r="AH400" s="52" t="n">
        <v>0</v>
      </c>
      <c r="AI400" s="52" t="n">
        <v>0</v>
      </c>
      <c r="AJ400" s="52" t="n">
        <v>0</v>
      </c>
      <c r="AK400" s="52" t="n">
        <v>0</v>
      </c>
      <c r="AL400" s="52" t="n">
        <v>0</v>
      </c>
      <c r="AM400" s="53" t="n">
        <v>0</v>
      </c>
      <c r="AN400" s="53" t="n">
        <v>0</v>
      </c>
      <c r="AO400" s="53" t="n">
        <v>0</v>
      </c>
      <c r="AP400" s="53" t="n">
        <v>0</v>
      </c>
      <c r="AQ400" s="52" t="n">
        <v>0</v>
      </c>
      <c r="AR400" s="52" t="n">
        <v>0</v>
      </c>
      <c r="AS400" s="52" t="n">
        <v>0</v>
      </c>
      <c r="AT400" s="52" t="n">
        <v>0</v>
      </c>
      <c r="AU400" s="53" t="n">
        <v>0</v>
      </c>
      <c r="AV400" s="53" t="n">
        <v>0</v>
      </c>
      <c r="AW400" s="53" t="n">
        <v>0</v>
      </c>
      <c r="AX400" s="53" t="n">
        <v>0</v>
      </c>
      <c r="AY400" s="52" t="n">
        <v>0</v>
      </c>
      <c r="AZ400" s="52" t="n">
        <v>0</v>
      </c>
      <c r="BA400" s="52" t="n">
        <v>0</v>
      </c>
      <c r="BB400" s="52" t="n">
        <v>0</v>
      </c>
      <c r="BC400" s="51" t="n">
        <v>0</v>
      </c>
      <c r="BD400" s="51" t="n">
        <v>0</v>
      </c>
      <c r="BE400" s="51" t="n">
        <v>0</v>
      </c>
      <c r="BF400" s="51" t="n">
        <v>0</v>
      </c>
    </row>
    <row r="401">
      <c r="A401">
        <f>HYPERLINK("https://www.walmart.com/ip/571512638", "571512638")</f>
        <v/>
      </c>
      <c r="B401" t="inlineStr">
        <is>
          <t>Oversized Hooded Poncho Cape, Casual Hoodie Sweatshirt, Batwing Coat Pullover | Light Weight, Cozy, Comfortable, Roomy | for Adults Women Men Teens</t>
        </is>
      </c>
      <c r="C401" t="inlineStr">
        <is>
          <t>1CTHD542BL</t>
        </is>
      </c>
      <c r="D401" t="inlineStr">
        <is>
          <t>Sweatshirts &amp; Hoodies</t>
        </is>
      </c>
      <c r="E401" t="inlineStr">
        <is>
          <t>Catalonia</t>
        </is>
      </c>
      <c r="F401" t="inlineStr">
        <is>
          <t>Hoodie ForAdult,Optimized</t>
        </is>
      </c>
      <c r="G401" s="48" t="n">
        <v>0</v>
      </c>
      <c r="H401" s="48" t="n">
        <v>0</v>
      </c>
      <c r="I401" s="48" t="n">
        <v>0</v>
      </c>
      <c r="J401" s="48" t="n">
        <v>0</v>
      </c>
      <c r="K401" s="49" t="n">
        <v>0</v>
      </c>
      <c r="L401" s="49" t="n">
        <v>0</v>
      </c>
      <c r="M401" s="49" t="n">
        <v>0</v>
      </c>
      <c r="N401" s="49" t="n">
        <v>0</v>
      </c>
      <c r="O401" s="49" t="n">
        <v>0</v>
      </c>
      <c r="P401" s="49" t="n">
        <v>0</v>
      </c>
      <c r="Q401" s="49" t="n">
        <v>0</v>
      </c>
      <c r="R401" s="49" t="n">
        <v>0</v>
      </c>
      <c r="S401" s="50" t="n">
        <v>0</v>
      </c>
      <c r="T401" s="50" t="n">
        <v>0</v>
      </c>
      <c r="U401" s="50" t="n">
        <v>0</v>
      </c>
      <c r="V401" s="50" t="n">
        <v>0</v>
      </c>
      <c r="W401" s="51" t="n">
        <v>0</v>
      </c>
      <c r="X401" s="51" t="n">
        <v>0</v>
      </c>
      <c r="Y401" s="51" t="n">
        <v>0</v>
      </c>
      <c r="Z401" s="51" t="n">
        <v>0</v>
      </c>
      <c r="AA401" s="52" t="n">
        <v>0</v>
      </c>
      <c r="AB401" s="52" t="n">
        <v>0</v>
      </c>
      <c r="AC401" s="52" t="n">
        <v>0</v>
      </c>
      <c r="AD401" s="52" t="n">
        <v>0</v>
      </c>
      <c r="AE401" s="52" t="n">
        <v>0</v>
      </c>
      <c r="AF401" s="52" t="n">
        <v>0</v>
      </c>
      <c r="AG401" s="52" t="n">
        <v>0</v>
      </c>
      <c r="AH401" s="52" t="n">
        <v>0</v>
      </c>
      <c r="AI401" s="52" t="n">
        <v>0</v>
      </c>
      <c r="AJ401" s="52" t="n">
        <v>0</v>
      </c>
      <c r="AK401" s="52" t="n">
        <v>0</v>
      </c>
      <c r="AL401" s="52" t="n">
        <v>0</v>
      </c>
      <c r="AM401" s="53" t="n">
        <v>0</v>
      </c>
      <c r="AN401" s="53" t="n">
        <v>0</v>
      </c>
      <c r="AO401" s="53" t="n">
        <v>0</v>
      </c>
      <c r="AP401" s="53" t="n">
        <v>0</v>
      </c>
      <c r="AQ401" s="52" t="n">
        <v>0</v>
      </c>
      <c r="AR401" s="52" t="n">
        <v>0</v>
      </c>
      <c r="AS401" s="52" t="n">
        <v>0</v>
      </c>
      <c r="AT401" s="52" t="n">
        <v>0</v>
      </c>
      <c r="AU401" s="53" t="n">
        <v>0</v>
      </c>
      <c r="AV401" s="53" t="n">
        <v>0</v>
      </c>
      <c r="AW401" s="53" t="n">
        <v>0</v>
      </c>
      <c r="AX401" s="53" t="n">
        <v>0</v>
      </c>
      <c r="AY401" s="52" t="n">
        <v>0</v>
      </c>
      <c r="AZ401" s="52" t="n">
        <v>0</v>
      </c>
      <c r="BA401" s="52" t="n">
        <v>0</v>
      </c>
      <c r="BB401" s="52" t="n">
        <v>0</v>
      </c>
      <c r="BC401" s="51" t="n">
        <v>0</v>
      </c>
      <c r="BD401" s="51" t="n">
        <v>0</v>
      </c>
      <c r="BE401" s="51" t="n">
        <v>0</v>
      </c>
      <c r="BF401" s="51" t="n">
        <v>0</v>
      </c>
    </row>
    <row r="402">
      <c r="A402">
        <f>HYPERLINK("https://www.walmart.com/ip/-", "-")</f>
        <v/>
      </c>
      <c r="B402" t="inlineStr">
        <is>
          <t>Tirrinia Outdoors Waterproof Throw Blanket, 51x 59 Sherpa Fleece Stadium Windproof Mat for Travel, Navy Blue</t>
        </is>
      </c>
      <c r="C402" t="inlineStr">
        <is>
          <t>1TRBW506NYGY-CDGM</t>
        </is>
      </c>
      <c r="G402" s="48" t="n">
        <v>0</v>
      </c>
      <c r="H402" s="48" t="n">
        <v>0</v>
      </c>
      <c r="I402" s="48" t="n">
        <v>0</v>
      </c>
      <c r="J402" s="48" t="n">
        <v>0</v>
      </c>
      <c r="K402" s="49" t="n">
        <v>0</v>
      </c>
      <c r="L402" s="49" t="n">
        <v>0</v>
      </c>
      <c r="M402" s="49" t="n">
        <v>0</v>
      </c>
      <c r="N402" s="49" t="n">
        <v>0</v>
      </c>
      <c r="O402" s="49" t="n">
        <v>0</v>
      </c>
      <c r="P402" s="49" t="n">
        <v>0</v>
      </c>
      <c r="Q402" s="49" t="n">
        <v>0</v>
      </c>
      <c r="R402" s="49" t="n">
        <v>0</v>
      </c>
      <c r="S402" s="50" t="n">
        <v>0</v>
      </c>
      <c r="T402" s="50" t="n">
        <v>0</v>
      </c>
      <c r="U402" s="50" t="n">
        <v>0</v>
      </c>
      <c r="V402" s="50" t="n">
        <v>0</v>
      </c>
      <c r="W402" s="51" t="n">
        <v>0</v>
      </c>
      <c r="X402" s="51" t="n">
        <v>0</v>
      </c>
      <c r="Y402" s="51" t="n">
        <v>0</v>
      </c>
      <c r="Z402" s="51" t="n">
        <v>0</v>
      </c>
      <c r="AA402" s="52" t="n">
        <v>0</v>
      </c>
      <c r="AB402" s="52" t="n">
        <v>0</v>
      </c>
      <c r="AC402" s="52" t="n">
        <v>0</v>
      </c>
      <c r="AD402" s="52" t="n">
        <v>0</v>
      </c>
      <c r="AE402" s="52" t="n">
        <v>0</v>
      </c>
      <c r="AF402" s="52" t="n">
        <v>0</v>
      </c>
      <c r="AG402" s="52" t="n">
        <v>0</v>
      </c>
      <c r="AH402" s="52" t="n">
        <v>0</v>
      </c>
      <c r="AI402" s="52" t="n">
        <v>0</v>
      </c>
      <c r="AJ402" s="52" t="n">
        <v>0</v>
      </c>
      <c r="AK402" s="52" t="n">
        <v>0</v>
      </c>
      <c r="AL402" s="52" t="n">
        <v>0</v>
      </c>
      <c r="AM402" s="53" t="n">
        <v>0</v>
      </c>
      <c r="AN402" s="53" t="n">
        <v>0</v>
      </c>
      <c r="AO402" s="53" t="n">
        <v>0</v>
      </c>
      <c r="AP402" s="53" t="n">
        <v>0</v>
      </c>
      <c r="AQ402" s="52" t="n">
        <v>0</v>
      </c>
      <c r="AR402" s="52" t="n">
        <v>0</v>
      </c>
      <c r="AS402" s="52" t="n">
        <v>0</v>
      </c>
      <c r="AT402" s="52" t="n">
        <v>0</v>
      </c>
      <c r="AU402" s="53" t="n">
        <v>0</v>
      </c>
      <c r="AV402" s="53" t="n">
        <v>0</v>
      </c>
      <c r="AW402" s="53" t="n">
        <v>0</v>
      </c>
      <c r="AX402" s="53" t="n">
        <v>0</v>
      </c>
      <c r="AY402" s="52" t="n">
        <v>0</v>
      </c>
      <c r="AZ402" s="52" t="n">
        <v>0</v>
      </c>
      <c r="BA402" s="52" t="n">
        <v>0</v>
      </c>
      <c r="BB402" s="52" t="n">
        <v>0</v>
      </c>
      <c r="BC402" s="51" t="n">
        <v>0</v>
      </c>
      <c r="BD402" s="51" t="n">
        <v>0</v>
      </c>
      <c r="BE402" s="51" t="n">
        <v>0</v>
      </c>
      <c r="BF402" s="51" t="n">
        <v>0</v>
      </c>
    </row>
    <row r="403">
      <c r="A403">
        <f>HYPERLINK("https://www.walmart.com/ip/518895262", "518895262")</f>
        <v/>
      </c>
      <c r="B403" t="inlineStr">
        <is>
          <t>Women's Sherpa Bathrobe, Soft Warm Fleece Long Robe, Shawl Collar, Comfy, Full Length</t>
        </is>
      </c>
      <c r="C403" t="inlineStr">
        <is>
          <t>1CTRB510BL-01</t>
        </is>
      </c>
      <c r="D403" t="inlineStr">
        <is>
          <t>Sleepwear Robes &amp; Bathrobes</t>
        </is>
      </c>
      <c r="E403" t="inlineStr">
        <is>
          <t>Catalonia</t>
        </is>
      </c>
      <c r="F403" t="inlineStr">
        <is>
          <t>WFS,Bathrobe,WFS Item</t>
        </is>
      </c>
      <c r="G403" s="48" t="n">
        <v>0</v>
      </c>
      <c r="H403" s="48" t="n">
        <v>0</v>
      </c>
      <c r="I403" s="48" t="n">
        <v>0</v>
      </c>
      <c r="J403" s="48" t="n">
        <v>0</v>
      </c>
      <c r="K403" s="49" t="n">
        <v>0</v>
      </c>
      <c r="L403" s="49" t="n">
        <v>0</v>
      </c>
      <c r="M403" s="49" t="n">
        <v>0</v>
      </c>
      <c r="N403" s="49" t="n">
        <v>0</v>
      </c>
      <c r="O403" s="49" t="n">
        <v>0</v>
      </c>
      <c r="P403" s="49" t="n">
        <v>0</v>
      </c>
      <c r="Q403" s="49" t="n">
        <v>0</v>
      </c>
      <c r="R403" s="49" t="n">
        <v>0</v>
      </c>
      <c r="S403" s="50" t="n">
        <v>0</v>
      </c>
      <c r="T403" s="50" t="n">
        <v>0</v>
      </c>
      <c r="U403" s="50" t="n">
        <v>0</v>
      </c>
      <c r="V403" s="50" t="n">
        <v>0</v>
      </c>
      <c r="W403" s="51" t="n">
        <v>0</v>
      </c>
      <c r="X403" s="51" t="n">
        <v>0</v>
      </c>
      <c r="Y403" s="51" t="n">
        <v>0</v>
      </c>
      <c r="Z403" s="51" t="n">
        <v>0</v>
      </c>
      <c r="AA403" s="52" t="n">
        <v>0</v>
      </c>
      <c r="AB403" s="52" t="n">
        <v>0</v>
      </c>
      <c r="AC403" s="52" t="n">
        <v>0</v>
      </c>
      <c r="AD403" s="52" t="n">
        <v>0</v>
      </c>
      <c r="AE403" s="52" t="n">
        <v>0</v>
      </c>
      <c r="AF403" s="52" t="n">
        <v>0</v>
      </c>
      <c r="AG403" s="52" t="n">
        <v>0</v>
      </c>
      <c r="AH403" s="52" t="n">
        <v>0</v>
      </c>
      <c r="AI403" s="52" t="n">
        <v>0</v>
      </c>
      <c r="AJ403" s="52" t="n">
        <v>0</v>
      </c>
      <c r="AK403" s="52" t="n">
        <v>0</v>
      </c>
      <c r="AL403" s="52" t="n">
        <v>0</v>
      </c>
      <c r="AM403" s="53" t="n">
        <v>0</v>
      </c>
      <c r="AN403" s="53" t="n">
        <v>0</v>
      </c>
      <c r="AO403" s="53" t="n">
        <v>0</v>
      </c>
      <c r="AP403" s="53" t="n">
        <v>0</v>
      </c>
      <c r="AQ403" s="52" t="n">
        <v>0</v>
      </c>
      <c r="AR403" s="52" t="n">
        <v>0</v>
      </c>
      <c r="AS403" s="52" t="n">
        <v>0</v>
      </c>
      <c r="AT403" s="52" t="n">
        <v>0</v>
      </c>
      <c r="AU403" s="53" t="n">
        <v>0</v>
      </c>
      <c r="AV403" s="53" t="n">
        <v>0</v>
      </c>
      <c r="AW403" s="53" t="n">
        <v>0</v>
      </c>
      <c r="AX403" s="53" t="n">
        <v>0</v>
      </c>
      <c r="AY403" s="52" t="n">
        <v>0</v>
      </c>
      <c r="AZ403" s="52" t="n">
        <v>0</v>
      </c>
      <c r="BA403" s="52" t="n">
        <v>0</v>
      </c>
      <c r="BB403" s="52" t="n">
        <v>0</v>
      </c>
      <c r="BC403" s="51" t="n">
        <v>0</v>
      </c>
      <c r="BD403" s="51" t="n">
        <v>0</v>
      </c>
      <c r="BE403" s="51" t="n">
        <v>0</v>
      </c>
      <c r="BF403" s="51" t="n">
        <v>0</v>
      </c>
    </row>
    <row r="404">
      <c r="A404">
        <f>HYPERLINK("https://www.walmart.com/ip/535105838", "535105838")</f>
        <v/>
      </c>
      <c r="B404" t="inlineStr">
        <is>
          <t>Explorer® 17"x 9" x11" Multicam Military Tactical MOLLE Backpack B3-ML</t>
        </is>
      </c>
      <c r="C404" t="inlineStr">
        <is>
          <t>EXPLORER-B3-ML</t>
        </is>
      </c>
      <c r="D404" t="inlineStr">
        <is>
          <t>Backpacking Backpacks</t>
        </is>
      </c>
      <c r="E404" t="inlineStr">
        <is>
          <t>Explorer</t>
        </is>
      </c>
      <c r="G404" s="48" t="n">
        <v>0</v>
      </c>
      <c r="H404" s="48" t="n">
        <v>0</v>
      </c>
      <c r="I404" s="48" t="n">
        <v>0</v>
      </c>
      <c r="J404" s="48" t="n">
        <v>0</v>
      </c>
      <c r="K404" s="49" t="n">
        <v>0</v>
      </c>
      <c r="L404" s="49" t="n">
        <v>0</v>
      </c>
      <c r="M404" s="49" t="n">
        <v>0</v>
      </c>
      <c r="N404" s="49" t="n">
        <v>0</v>
      </c>
      <c r="O404" s="49" t="n">
        <v>0</v>
      </c>
      <c r="P404" s="49" t="n">
        <v>0</v>
      </c>
      <c r="Q404" s="49" t="n">
        <v>0</v>
      </c>
      <c r="R404" s="49" t="n">
        <v>0</v>
      </c>
      <c r="S404" s="50" t="n">
        <v>0</v>
      </c>
      <c r="T404" s="50" t="n">
        <v>0</v>
      </c>
      <c r="U404" s="50" t="n">
        <v>0</v>
      </c>
      <c r="V404" s="50" t="n">
        <v>0</v>
      </c>
      <c r="W404" s="51" t="n">
        <v>0</v>
      </c>
      <c r="X404" s="51" t="n">
        <v>0</v>
      </c>
      <c r="Y404" s="51" t="n">
        <v>0</v>
      </c>
      <c r="Z404" s="51" t="n">
        <v>0</v>
      </c>
      <c r="AA404" s="52" t="n">
        <v>0</v>
      </c>
      <c r="AB404" s="52" t="n">
        <v>0</v>
      </c>
      <c r="AC404" s="52" t="n">
        <v>0</v>
      </c>
      <c r="AD404" s="52" t="n">
        <v>0</v>
      </c>
      <c r="AE404" s="52" t="n">
        <v>0</v>
      </c>
      <c r="AF404" s="52" t="n">
        <v>0</v>
      </c>
      <c r="AG404" s="52" t="n">
        <v>0</v>
      </c>
      <c r="AH404" s="52" t="n">
        <v>0</v>
      </c>
      <c r="AI404" s="52" t="n">
        <v>0</v>
      </c>
      <c r="AJ404" s="52" t="n">
        <v>0</v>
      </c>
      <c r="AK404" s="52" t="n">
        <v>0</v>
      </c>
      <c r="AL404" s="52" t="n">
        <v>0</v>
      </c>
      <c r="AM404" s="53" t="n">
        <v>0</v>
      </c>
      <c r="AN404" s="53" t="n">
        <v>0</v>
      </c>
      <c r="AO404" s="53" t="n">
        <v>0</v>
      </c>
      <c r="AP404" s="53" t="n">
        <v>0</v>
      </c>
      <c r="AQ404" s="52" t="n">
        <v>0</v>
      </c>
      <c r="AR404" s="52" t="n">
        <v>0</v>
      </c>
      <c r="AS404" s="52" t="n">
        <v>0</v>
      </c>
      <c r="AT404" s="52" t="n">
        <v>0</v>
      </c>
      <c r="AU404" s="53" t="n">
        <v>0</v>
      </c>
      <c r="AV404" s="53" t="n">
        <v>0</v>
      </c>
      <c r="AW404" s="53" t="n">
        <v>0</v>
      </c>
      <c r="AX404" s="53" t="n">
        <v>0</v>
      </c>
      <c r="AY404" s="52" t="n">
        <v>0</v>
      </c>
      <c r="AZ404" s="52" t="n">
        <v>0</v>
      </c>
      <c r="BA404" s="52" t="n">
        <v>0</v>
      </c>
      <c r="BB404" s="52" t="n">
        <v>0</v>
      </c>
      <c r="BC404" s="51" t="n">
        <v>0</v>
      </c>
      <c r="BD404" s="51" t="n">
        <v>0</v>
      </c>
      <c r="BE404" s="51" t="n">
        <v>0</v>
      </c>
      <c r="BF404" s="51" t="n">
        <v>0</v>
      </c>
    </row>
    <row r="405">
      <c r="A405">
        <f>HYPERLINK("https://www.walmart.com/ip/441047812", "441047812")</f>
        <v/>
      </c>
      <c r="B405" t="inlineStr">
        <is>
          <t>Oversized Hoodie Blanket Sweatshirt Sherpa</t>
        </is>
      </c>
      <c r="C405" t="inlineStr">
        <is>
          <t>1CTOSH400CAT-BK</t>
        </is>
      </c>
      <c r="D405" t="inlineStr">
        <is>
          <t>Sweatshirts &amp; Hoodies</t>
        </is>
      </c>
      <c r="E405" t="inlineStr">
        <is>
          <t>Catalonia</t>
        </is>
      </c>
      <c r="F405" t="inlineStr">
        <is>
          <t>Hoodie ForAdult,Optimized</t>
        </is>
      </c>
      <c r="G405" s="48" t="n">
        <v>0</v>
      </c>
      <c r="H405" s="48" t="n">
        <v>0</v>
      </c>
      <c r="I405" s="48" t="n">
        <v>0</v>
      </c>
      <c r="J405" s="48" t="n">
        <v>0</v>
      </c>
      <c r="K405" s="49" t="n">
        <v>0</v>
      </c>
      <c r="L405" s="49" t="n">
        <v>0</v>
      </c>
      <c r="M405" s="49" t="n">
        <v>0</v>
      </c>
      <c r="N405" s="49" t="n">
        <v>0</v>
      </c>
      <c r="O405" s="49" t="n">
        <v>0</v>
      </c>
      <c r="P405" s="49" t="n">
        <v>0</v>
      </c>
      <c r="Q405" s="49" t="n">
        <v>0</v>
      </c>
      <c r="R405" s="49" t="n">
        <v>0</v>
      </c>
      <c r="S405" s="50" t="n">
        <v>0</v>
      </c>
      <c r="T405" s="50" t="n">
        <v>0</v>
      </c>
      <c r="U405" s="50" t="n">
        <v>0</v>
      </c>
      <c r="V405" s="50" t="n">
        <v>0</v>
      </c>
      <c r="W405" s="51" t="n">
        <v>0</v>
      </c>
      <c r="X405" s="51" t="n">
        <v>0</v>
      </c>
      <c r="Y405" s="51" t="n">
        <v>0</v>
      </c>
      <c r="Z405" s="51" t="n">
        <v>0</v>
      </c>
      <c r="AA405" s="52" t="n">
        <v>0</v>
      </c>
      <c r="AB405" s="52" t="n">
        <v>0</v>
      </c>
      <c r="AC405" s="52" t="n">
        <v>0</v>
      </c>
      <c r="AD405" s="52" t="n">
        <v>0</v>
      </c>
      <c r="AE405" s="52" t="n">
        <v>0</v>
      </c>
      <c r="AF405" s="52" t="n">
        <v>0</v>
      </c>
      <c r="AG405" s="52" t="n">
        <v>0</v>
      </c>
      <c r="AH405" s="52" t="n">
        <v>0</v>
      </c>
      <c r="AI405" s="52" t="n">
        <v>0</v>
      </c>
      <c r="AJ405" s="52" t="n">
        <v>0</v>
      </c>
      <c r="AK405" s="52" t="n">
        <v>0</v>
      </c>
      <c r="AL405" s="52" t="n">
        <v>0</v>
      </c>
      <c r="AM405" s="53" t="n">
        <v>0</v>
      </c>
      <c r="AN405" s="53" t="n">
        <v>0</v>
      </c>
      <c r="AO405" s="53" t="n">
        <v>0</v>
      </c>
      <c r="AP405" s="53" t="n">
        <v>0</v>
      </c>
      <c r="AQ405" s="52" t="n">
        <v>0</v>
      </c>
      <c r="AR405" s="52" t="n">
        <v>0</v>
      </c>
      <c r="AS405" s="52" t="n">
        <v>0</v>
      </c>
      <c r="AT405" s="52" t="n">
        <v>0</v>
      </c>
      <c r="AU405" s="53" t="n">
        <v>0</v>
      </c>
      <c r="AV405" s="53" t="n">
        <v>0</v>
      </c>
      <c r="AW405" s="53" t="n">
        <v>0</v>
      </c>
      <c r="AX405" s="53" t="n">
        <v>0</v>
      </c>
      <c r="AY405" s="52" t="n">
        <v>0</v>
      </c>
      <c r="AZ405" s="52" t="n">
        <v>0</v>
      </c>
      <c r="BA405" s="52" t="n">
        <v>0</v>
      </c>
      <c r="BB405" s="52" t="n">
        <v>0</v>
      </c>
      <c r="BC405" s="51" t="n">
        <v>0</v>
      </c>
      <c r="BD405" s="51" t="n">
        <v>0</v>
      </c>
      <c r="BE405" s="51" t="n">
        <v>0</v>
      </c>
      <c r="BF405" s="51" t="n">
        <v>0</v>
      </c>
    </row>
    <row r="406">
      <c r="A406">
        <f>HYPERLINK("https://www.walmart.com/ip/428818238", "428818238")</f>
        <v/>
      </c>
      <c r="B406" t="inlineStr">
        <is>
          <t>Tirrinia  Womens Wide Brim Bucket Hats UPF 50+ Outdoor Gardening Sun Caps Cream</t>
        </is>
      </c>
      <c r="C406" t="inlineStr">
        <is>
          <t>1TRSH189CM-TBCB</t>
        </is>
      </c>
      <c r="D406" t="inlineStr">
        <is>
          <t>Hats</t>
        </is>
      </c>
      <c r="E406" t="inlineStr">
        <is>
          <t>Tirrinia</t>
        </is>
      </c>
      <c r="F406" t="inlineStr">
        <is>
          <t>Hats,Batch 1 - TR</t>
        </is>
      </c>
      <c r="G406" s="48" t="n">
        <v>0</v>
      </c>
      <c r="H406" s="48" t="n">
        <v>0</v>
      </c>
      <c r="I406" s="48" t="n">
        <v>0</v>
      </c>
      <c r="J406" s="48" t="n">
        <v>0</v>
      </c>
      <c r="K406" s="49" t="n">
        <v>0</v>
      </c>
      <c r="L406" s="49" t="n">
        <v>0</v>
      </c>
      <c r="M406" s="49" t="n">
        <v>0</v>
      </c>
      <c r="N406" s="49" t="n">
        <v>0</v>
      </c>
      <c r="O406" s="49" t="n">
        <v>0</v>
      </c>
      <c r="P406" s="49" t="n">
        <v>0</v>
      </c>
      <c r="Q406" s="49" t="n">
        <v>0</v>
      </c>
      <c r="R406" s="49" t="n">
        <v>0</v>
      </c>
      <c r="S406" s="50" t="n">
        <v>0</v>
      </c>
      <c r="T406" s="50" t="n">
        <v>0</v>
      </c>
      <c r="U406" s="50" t="n">
        <v>0</v>
      </c>
      <c r="V406" s="50" t="n">
        <v>0</v>
      </c>
      <c r="W406" s="51" t="n">
        <v>0</v>
      </c>
      <c r="X406" s="51" t="n">
        <v>0</v>
      </c>
      <c r="Y406" s="51" t="n">
        <v>0</v>
      </c>
      <c r="Z406" s="51" t="n">
        <v>0</v>
      </c>
      <c r="AA406" s="52" t="n">
        <v>0</v>
      </c>
      <c r="AB406" s="52" t="n">
        <v>0</v>
      </c>
      <c r="AC406" s="52" t="n">
        <v>0</v>
      </c>
      <c r="AD406" s="52" t="n">
        <v>0</v>
      </c>
      <c r="AE406" s="52" t="n">
        <v>0</v>
      </c>
      <c r="AF406" s="52" t="n">
        <v>0</v>
      </c>
      <c r="AG406" s="52" t="n">
        <v>0</v>
      </c>
      <c r="AH406" s="52" t="n">
        <v>0</v>
      </c>
      <c r="AI406" s="52" t="n">
        <v>0</v>
      </c>
      <c r="AJ406" s="52" t="n">
        <v>0</v>
      </c>
      <c r="AK406" s="52" t="n">
        <v>0</v>
      </c>
      <c r="AL406" s="52" t="n">
        <v>0</v>
      </c>
      <c r="AM406" s="53" t="n">
        <v>0</v>
      </c>
      <c r="AN406" s="53" t="n">
        <v>0</v>
      </c>
      <c r="AO406" s="53" t="n">
        <v>0</v>
      </c>
      <c r="AP406" s="53" t="n">
        <v>0</v>
      </c>
      <c r="AQ406" s="52" t="n">
        <v>0</v>
      </c>
      <c r="AR406" s="52" t="n">
        <v>0</v>
      </c>
      <c r="AS406" s="52" t="n">
        <v>0</v>
      </c>
      <c r="AT406" s="52" t="n">
        <v>0</v>
      </c>
      <c r="AU406" s="53" t="n">
        <v>0</v>
      </c>
      <c r="AV406" s="53" t="n">
        <v>0</v>
      </c>
      <c r="AW406" s="53" t="n">
        <v>0</v>
      </c>
      <c r="AX406" s="53" t="n">
        <v>0</v>
      </c>
      <c r="AY406" s="52" t="n">
        <v>0</v>
      </c>
      <c r="AZ406" s="52" t="n">
        <v>0</v>
      </c>
      <c r="BA406" s="52" t="n">
        <v>0</v>
      </c>
      <c r="BB406" s="52" t="n">
        <v>0</v>
      </c>
      <c r="BC406" s="51" t="n">
        <v>0</v>
      </c>
      <c r="BD406" s="51" t="n">
        <v>0</v>
      </c>
      <c r="BE406" s="51" t="n">
        <v>0</v>
      </c>
      <c r="BF406" s="51" t="n">
        <v>0</v>
      </c>
    </row>
    <row r="407">
      <c r="A407">
        <f>HYPERLINK("https://www.walmart.com/ip/429298427", "429298427")</f>
        <v/>
      </c>
      <c r="B407" t="inlineStr">
        <is>
          <t>Tirrinia Super Soft Fluffy Hooded Robe Long Plush Fuzzy Bathrobe for Women with Hood Sherpa Lined, Machine Washable, Cheetah</t>
        </is>
      </c>
      <c r="C407" t="inlineStr">
        <is>
          <t>1TRRB100CHEETAH</t>
        </is>
      </c>
      <c r="D407" t="inlineStr">
        <is>
          <t>Sleepwear Robes &amp; Bathrobes</t>
        </is>
      </c>
      <c r="E407" t="inlineStr">
        <is>
          <t>Tirrinia</t>
        </is>
      </c>
      <c r="F407" t="inlineStr">
        <is>
          <t>WFS,Bathrobe,Coupon_Discount,WFS Item</t>
        </is>
      </c>
      <c r="G407" s="48" t="n">
        <v>0</v>
      </c>
      <c r="H407" s="48" t="n">
        <v>0</v>
      </c>
      <c r="I407" s="48" t="n">
        <v>0</v>
      </c>
      <c r="J407" s="48" t="n">
        <v>0</v>
      </c>
      <c r="K407" s="49" t="n">
        <v>0</v>
      </c>
      <c r="L407" s="49" t="n">
        <v>0</v>
      </c>
      <c r="M407" s="49" t="n">
        <v>0</v>
      </c>
      <c r="N407" s="49" t="n">
        <v>0</v>
      </c>
      <c r="O407" s="49" t="n">
        <v>0</v>
      </c>
      <c r="P407" s="49" t="n">
        <v>0</v>
      </c>
      <c r="Q407" s="49" t="n">
        <v>0</v>
      </c>
      <c r="R407" s="49" t="n">
        <v>0</v>
      </c>
      <c r="S407" s="50" t="n">
        <v>0</v>
      </c>
      <c r="T407" s="50" t="n">
        <v>0</v>
      </c>
      <c r="U407" s="50" t="n">
        <v>0</v>
      </c>
      <c r="V407" s="50" t="n">
        <v>0</v>
      </c>
      <c r="W407" s="51" t="n">
        <v>0</v>
      </c>
      <c r="X407" s="51" t="n">
        <v>0</v>
      </c>
      <c r="Y407" s="51" t="n">
        <v>0</v>
      </c>
      <c r="Z407" s="51" t="n">
        <v>0</v>
      </c>
      <c r="AA407" s="52" t="n">
        <v>0</v>
      </c>
      <c r="AB407" s="52" t="n">
        <v>0</v>
      </c>
      <c r="AC407" s="52" t="n">
        <v>0</v>
      </c>
      <c r="AD407" s="52" t="n">
        <v>0</v>
      </c>
      <c r="AE407" s="52" t="n">
        <v>0</v>
      </c>
      <c r="AF407" s="52" t="n">
        <v>0</v>
      </c>
      <c r="AG407" s="52" t="n">
        <v>0</v>
      </c>
      <c r="AH407" s="52" t="n">
        <v>0</v>
      </c>
      <c r="AI407" s="52" t="n">
        <v>0</v>
      </c>
      <c r="AJ407" s="52" t="n">
        <v>0</v>
      </c>
      <c r="AK407" s="52" t="n">
        <v>0</v>
      </c>
      <c r="AL407" s="52" t="n">
        <v>0</v>
      </c>
      <c r="AM407" s="53" t="n">
        <v>0</v>
      </c>
      <c r="AN407" s="53" t="n">
        <v>0</v>
      </c>
      <c r="AO407" s="53" t="n">
        <v>0</v>
      </c>
      <c r="AP407" s="53" t="n">
        <v>0</v>
      </c>
      <c r="AQ407" s="52" t="n">
        <v>0</v>
      </c>
      <c r="AR407" s="52" t="n">
        <v>0</v>
      </c>
      <c r="AS407" s="52" t="n">
        <v>0</v>
      </c>
      <c r="AT407" s="52" t="n">
        <v>0</v>
      </c>
      <c r="AU407" s="53" t="n">
        <v>0</v>
      </c>
      <c r="AV407" s="53" t="n">
        <v>0</v>
      </c>
      <c r="AW407" s="53" t="n">
        <v>0</v>
      </c>
      <c r="AX407" s="53" t="n">
        <v>0</v>
      </c>
      <c r="AY407" s="52" t="n">
        <v>0</v>
      </c>
      <c r="AZ407" s="52" t="n">
        <v>0</v>
      </c>
      <c r="BA407" s="52" t="n">
        <v>0</v>
      </c>
      <c r="BB407" s="52" t="n">
        <v>0</v>
      </c>
      <c r="BC407" s="51" t="n">
        <v>0</v>
      </c>
      <c r="BD407" s="51" t="n">
        <v>0</v>
      </c>
      <c r="BE407" s="51" t="n">
        <v>0</v>
      </c>
      <c r="BF407" s="51" t="n">
        <v>0</v>
      </c>
    </row>
    <row r="408">
      <c r="A408">
        <f>HYPERLINK("https://www.walmart.com/ip/429617165", "429617165")</f>
        <v/>
      </c>
      <c r="B408" t="inlineStr">
        <is>
          <t>Catalonia Sherpa Fleece Blanket for Bed, Super Soft Fleece Plush Sofa Couch Throw Blanket, TV Bed Blanket, Comfy Cozy Fluffy Warm Comforter, Caring Gift(Camel,60x80 inches)</t>
        </is>
      </c>
      <c r="C408" t="inlineStr">
        <is>
          <t>1CTBF368CA</t>
        </is>
      </c>
      <c r="D408" t="inlineStr">
        <is>
          <t>Throws</t>
        </is>
      </c>
      <c r="E408" t="inlineStr">
        <is>
          <t>Catalonia</t>
        </is>
      </c>
      <c r="F408" t="inlineStr">
        <is>
          <t>WFS,WFS Item,Fleece Blankets</t>
        </is>
      </c>
      <c r="G408" s="48" t="n">
        <v>0</v>
      </c>
      <c r="H408" s="48" t="n">
        <v>0</v>
      </c>
      <c r="I408" s="48" t="n">
        <v>0</v>
      </c>
      <c r="J408" s="48" t="n">
        <v>0</v>
      </c>
      <c r="K408" s="49" t="n">
        <v>0</v>
      </c>
      <c r="L408" s="49" t="n">
        <v>0</v>
      </c>
      <c r="M408" s="49" t="n">
        <v>0</v>
      </c>
      <c r="N408" s="49" t="n">
        <v>0</v>
      </c>
      <c r="O408" s="49" t="n">
        <v>0</v>
      </c>
      <c r="P408" s="49" t="n">
        <v>0</v>
      </c>
      <c r="Q408" s="49" t="n">
        <v>0</v>
      </c>
      <c r="R408" s="49" t="n">
        <v>0</v>
      </c>
      <c r="S408" s="50" t="n">
        <v>0</v>
      </c>
      <c r="T408" s="50" t="n">
        <v>0</v>
      </c>
      <c r="U408" s="50" t="n">
        <v>0</v>
      </c>
      <c r="V408" s="50" t="n">
        <v>0</v>
      </c>
      <c r="W408" s="51" t="n">
        <v>13</v>
      </c>
      <c r="X408" s="51" t="n">
        <v>9</v>
      </c>
      <c r="Y408" s="51" t="n">
        <v>5</v>
      </c>
      <c r="Z408" s="51" t="n">
        <v>6</v>
      </c>
      <c r="AA408" s="52" t="n">
        <v>5.720000000000001</v>
      </c>
      <c r="AB408" s="52" t="n">
        <v>3.94</v>
      </c>
      <c r="AC408" s="52" t="n">
        <v>2.2</v>
      </c>
      <c r="AD408" s="52" t="n">
        <v>2.64</v>
      </c>
      <c r="AE408" s="52" t="n">
        <v>24.99</v>
      </c>
      <c r="AF408" s="52" t="n">
        <v>0</v>
      </c>
      <c r="AG408" s="52" t="n">
        <v>0</v>
      </c>
      <c r="AH408" s="52" t="n">
        <v>21.99</v>
      </c>
      <c r="AI408" s="52" t="n">
        <v>4.37</v>
      </c>
      <c r="AJ408" s="52" t="n">
        <v>0</v>
      </c>
      <c r="AK408" s="52" t="n">
        <v>0</v>
      </c>
      <c r="AL408" s="52" t="n">
        <v>8.33</v>
      </c>
      <c r="AM408" s="53" t="n">
        <v>0.0015</v>
      </c>
      <c r="AN408" s="53" t="n">
        <v>0.0012</v>
      </c>
      <c r="AO408" s="53" t="n">
        <v>0.0008</v>
      </c>
      <c r="AP408" s="53" t="n">
        <v>0.001</v>
      </c>
      <c r="AQ408" s="52" t="n">
        <v>0.4400000000000001</v>
      </c>
      <c r="AR408" s="52" t="n">
        <v>0.4377777777777778</v>
      </c>
      <c r="AS408" s="52" t="n">
        <v>0.4400000000000001</v>
      </c>
      <c r="AT408" s="52" t="n">
        <v>0.44</v>
      </c>
      <c r="AU408" s="53" t="n">
        <v>0</v>
      </c>
      <c r="AV408" s="53" t="n">
        <v>0</v>
      </c>
      <c r="AW408" s="53" t="n">
        <v>0</v>
      </c>
      <c r="AX408" s="53" t="n">
        <v>0</v>
      </c>
      <c r="AY408" s="52" t="n">
        <v>0</v>
      </c>
      <c r="AZ408" s="52" t="n">
        <v>0</v>
      </c>
      <c r="BA408" s="52" t="n">
        <v>0</v>
      </c>
      <c r="BB408" s="52" t="n">
        <v>0</v>
      </c>
      <c r="BC408" s="51" t="n">
        <v>8497</v>
      </c>
      <c r="BD408" s="51" t="n">
        <v>7592</v>
      </c>
      <c r="BE408" s="51" t="n">
        <v>6127</v>
      </c>
      <c r="BF408" s="51" t="n">
        <v>5937</v>
      </c>
    </row>
    <row r="409">
      <c r="A409">
        <f>HYPERLINK("https://www.walmart.com/ip/429846144", "429846144")</f>
        <v/>
      </c>
      <c r="B409" t="inlineStr">
        <is>
          <t>Unisex Hunting Cap Orange Polyester Embroidery Animal Outdoor Wildlife Sport Cap</t>
        </is>
      </c>
      <c r="C409" t="inlineStr">
        <is>
          <t>KC Caps ht22</t>
        </is>
      </c>
      <c r="D409" t="inlineStr">
        <is>
          <t>Hats</t>
        </is>
      </c>
      <c r="E409" t="inlineStr">
        <is>
          <t>KC Caps</t>
        </is>
      </c>
      <c r="F409" t="inlineStr">
        <is>
          <t>Optimized</t>
        </is>
      </c>
      <c r="G409" s="48" t="n">
        <v>0</v>
      </c>
      <c r="H409" s="48" t="n">
        <v>0</v>
      </c>
      <c r="I409" s="48" t="n">
        <v>0</v>
      </c>
      <c r="J409" s="48" t="n">
        <v>0</v>
      </c>
      <c r="K409" s="49" t="n">
        <v>0</v>
      </c>
      <c r="L409" s="49" t="n">
        <v>0</v>
      </c>
      <c r="M409" s="49" t="n">
        <v>0</v>
      </c>
      <c r="N409" s="49" t="n">
        <v>0</v>
      </c>
      <c r="O409" s="49" t="n">
        <v>0</v>
      </c>
      <c r="P409" s="49" t="n">
        <v>0</v>
      </c>
      <c r="Q409" s="49" t="n">
        <v>0</v>
      </c>
      <c r="R409" s="49" t="n">
        <v>0</v>
      </c>
      <c r="S409" s="50" t="n">
        <v>0</v>
      </c>
      <c r="T409" s="50" t="n">
        <v>0</v>
      </c>
      <c r="U409" s="50" t="n">
        <v>0</v>
      </c>
      <c r="V409" s="50" t="n">
        <v>0</v>
      </c>
      <c r="W409" s="51" t="n">
        <v>0</v>
      </c>
      <c r="X409" s="51" t="n">
        <v>0</v>
      </c>
      <c r="Y409" s="51" t="n">
        <v>0</v>
      </c>
      <c r="Z409" s="51" t="n">
        <v>0</v>
      </c>
      <c r="AA409" s="52" t="n">
        <v>0</v>
      </c>
      <c r="AB409" s="52" t="n">
        <v>0</v>
      </c>
      <c r="AC409" s="52" t="n">
        <v>0</v>
      </c>
      <c r="AD409" s="52" t="n">
        <v>0</v>
      </c>
      <c r="AE409" s="52" t="n">
        <v>0</v>
      </c>
      <c r="AF409" s="52" t="n">
        <v>0</v>
      </c>
      <c r="AG409" s="52" t="n">
        <v>0</v>
      </c>
      <c r="AH409" s="52" t="n">
        <v>0</v>
      </c>
      <c r="AI409" s="52" t="n">
        <v>0</v>
      </c>
      <c r="AJ409" s="52" t="n">
        <v>0</v>
      </c>
      <c r="AK409" s="52" t="n">
        <v>0</v>
      </c>
      <c r="AL409" s="52" t="n">
        <v>0</v>
      </c>
      <c r="AM409" s="53" t="n">
        <v>0</v>
      </c>
      <c r="AN409" s="53" t="n">
        <v>0</v>
      </c>
      <c r="AO409" s="53" t="n">
        <v>0</v>
      </c>
      <c r="AP409" s="53" t="n">
        <v>0</v>
      </c>
      <c r="AQ409" s="52" t="n">
        <v>0</v>
      </c>
      <c r="AR409" s="52" t="n">
        <v>0</v>
      </c>
      <c r="AS409" s="52" t="n">
        <v>0</v>
      </c>
      <c r="AT409" s="52" t="n">
        <v>0</v>
      </c>
      <c r="AU409" s="53" t="n">
        <v>0</v>
      </c>
      <c r="AV409" s="53" t="n">
        <v>0</v>
      </c>
      <c r="AW409" s="53" t="n">
        <v>0</v>
      </c>
      <c r="AX409" s="53" t="n">
        <v>0</v>
      </c>
      <c r="AY409" s="52" t="n">
        <v>0</v>
      </c>
      <c r="AZ409" s="52" t="n">
        <v>0</v>
      </c>
      <c r="BA409" s="52" t="n">
        <v>0</v>
      </c>
      <c r="BB409" s="52" t="n">
        <v>0</v>
      </c>
      <c r="BC409" s="51" t="n">
        <v>0</v>
      </c>
      <c r="BD409" s="51" t="n">
        <v>0</v>
      </c>
      <c r="BE409" s="51" t="n">
        <v>0</v>
      </c>
      <c r="BF409" s="51" t="n">
        <v>0</v>
      </c>
    </row>
    <row r="410">
      <c r="A410">
        <f>HYPERLINK("https://www.walmart.com/ip/431339580", "431339580")</f>
        <v/>
      </c>
      <c r="B410" t="inlineStr">
        <is>
          <t>Catalonia Hooded Wearable Cape with Hood Blanket Poncho for Adult Women Men, Fleece Wrap | Warm, Soft, Cozy, Snuggly | Comfort Gift, No Sleeves</t>
        </is>
      </c>
      <c r="C410" t="inlineStr">
        <is>
          <t>1CTBP120PP</t>
        </is>
      </c>
      <c r="D410" t="inlineStr">
        <is>
          <t>Throws</t>
        </is>
      </c>
      <c r="E410" t="inlineStr">
        <is>
          <t>Catalonia</t>
        </is>
      </c>
      <c r="F410" t="inlineStr">
        <is>
          <t>Optimized,Hero 5 Holidays,WFS,WFS Item</t>
        </is>
      </c>
      <c r="G410" s="48" t="n">
        <v>0</v>
      </c>
      <c r="H410" s="48" t="n">
        <v>25.99</v>
      </c>
      <c r="I410" s="48" t="n">
        <v>0</v>
      </c>
      <c r="J410" s="48" t="n">
        <v>25.99</v>
      </c>
      <c r="K410" s="49" t="n">
        <v>0</v>
      </c>
      <c r="L410" s="49" t="n">
        <v>1</v>
      </c>
      <c r="M410" s="49" t="n">
        <v>0</v>
      </c>
      <c r="N410" s="49" t="n">
        <v>1</v>
      </c>
      <c r="O410" s="49" t="n">
        <v>15</v>
      </c>
      <c r="P410" s="49" t="n">
        <v>12</v>
      </c>
      <c r="Q410" s="49" t="n">
        <v>3</v>
      </c>
      <c r="R410" s="49" t="n">
        <v>6</v>
      </c>
      <c r="S410" s="50" t="n">
        <v>0</v>
      </c>
      <c r="T410" s="50" t="n">
        <v>0.08333333333333333</v>
      </c>
      <c r="U410" s="50" t="n">
        <v>0</v>
      </c>
      <c r="V410" s="50" t="n">
        <v>0.1666666666666667</v>
      </c>
      <c r="W410" s="51" t="n">
        <v>0</v>
      </c>
      <c r="X410" s="51" t="n">
        <v>0</v>
      </c>
      <c r="Y410" s="51" t="n">
        <v>0</v>
      </c>
      <c r="Z410" s="51" t="n">
        <v>0</v>
      </c>
      <c r="AA410" s="52" t="n">
        <v>0</v>
      </c>
      <c r="AB410" s="52" t="n">
        <v>0</v>
      </c>
      <c r="AC410" s="52" t="n">
        <v>0</v>
      </c>
      <c r="AD410" s="52" t="n">
        <v>0</v>
      </c>
      <c r="AE410" s="52" t="n">
        <v>0</v>
      </c>
      <c r="AF410" s="52" t="n">
        <v>0</v>
      </c>
      <c r="AG410" s="52" t="n">
        <v>0</v>
      </c>
      <c r="AH410" s="52" t="n">
        <v>0</v>
      </c>
      <c r="AI410" s="52" t="n">
        <v>0</v>
      </c>
      <c r="AJ410" s="52" t="n">
        <v>0</v>
      </c>
      <c r="AK410" s="52" t="n">
        <v>0</v>
      </c>
      <c r="AL410" s="52" t="n">
        <v>0</v>
      </c>
      <c r="AM410" s="53" t="n">
        <v>0</v>
      </c>
      <c r="AN410" s="53" t="n">
        <v>0</v>
      </c>
      <c r="AO410" s="53" t="n">
        <v>0</v>
      </c>
      <c r="AP410" s="53" t="n">
        <v>0</v>
      </c>
      <c r="AQ410" s="52" t="n">
        <v>0</v>
      </c>
      <c r="AR410" s="52" t="n">
        <v>0</v>
      </c>
      <c r="AS410" s="52" t="n">
        <v>0</v>
      </c>
      <c r="AT410" s="52" t="n">
        <v>0</v>
      </c>
      <c r="AU410" s="53" t="n">
        <v>0</v>
      </c>
      <c r="AV410" s="53" t="n">
        <v>0</v>
      </c>
      <c r="AW410" s="53" t="n">
        <v>0</v>
      </c>
      <c r="AX410" s="53" t="n">
        <v>0</v>
      </c>
      <c r="AY410" s="52" t="n">
        <v>0</v>
      </c>
      <c r="AZ410" s="52" t="n">
        <v>25.99</v>
      </c>
      <c r="BA410" s="52" t="n">
        <v>0</v>
      </c>
      <c r="BB410" s="52" t="n">
        <v>25.99</v>
      </c>
      <c r="BC410" s="51" t="n">
        <v>0</v>
      </c>
      <c r="BD410" s="51" t="n">
        <v>0</v>
      </c>
      <c r="BE410" s="51" t="n">
        <v>0</v>
      </c>
      <c r="BF410" s="51" t="n">
        <v>0</v>
      </c>
    </row>
    <row r="411">
      <c r="A411">
        <f>HYPERLINK("https://www.walmart.com/ip/431661217", "431661217")</f>
        <v/>
      </c>
      <c r="B411" t="inlineStr">
        <is>
          <t>Jennis Women's Sexy See-through Lingerie Lace Fishnet Suspender</t>
        </is>
      </c>
      <c r="C411" t="inlineStr">
        <is>
          <t>JWBD01BKPP-3XL</t>
        </is>
      </c>
      <c r="D411" t="inlineStr">
        <is>
          <t>Teddies &amp; Bodystockings</t>
        </is>
      </c>
      <c r="E411" t="inlineStr">
        <is>
          <t>Jennis</t>
        </is>
      </c>
      <c r="F411" t="inlineStr">
        <is>
          <t>Valentine</t>
        </is>
      </c>
      <c r="G411" s="48" t="n">
        <v>0</v>
      </c>
      <c r="H411" s="48" t="n">
        <v>0</v>
      </c>
      <c r="I411" s="48" t="n">
        <v>0</v>
      </c>
      <c r="J411" s="48" t="n">
        <v>0</v>
      </c>
      <c r="K411" s="49" t="n">
        <v>0</v>
      </c>
      <c r="L411" s="49" t="n">
        <v>0</v>
      </c>
      <c r="M411" s="49" t="n">
        <v>0</v>
      </c>
      <c r="N411" s="49" t="n">
        <v>0</v>
      </c>
      <c r="O411" s="49" t="n">
        <v>0</v>
      </c>
      <c r="P411" s="49" t="n">
        <v>0</v>
      </c>
      <c r="Q411" s="49" t="n">
        <v>0</v>
      </c>
      <c r="R411" s="49" t="n">
        <v>0</v>
      </c>
      <c r="S411" s="50" t="n">
        <v>0</v>
      </c>
      <c r="T411" s="50" t="n">
        <v>0</v>
      </c>
      <c r="U411" s="50" t="n">
        <v>0</v>
      </c>
      <c r="V411" s="50" t="n">
        <v>0</v>
      </c>
      <c r="W411" s="51" t="n">
        <v>0</v>
      </c>
      <c r="X411" s="51" t="n">
        <v>0</v>
      </c>
      <c r="Y411" s="51" t="n">
        <v>0</v>
      </c>
      <c r="Z411" s="51" t="n">
        <v>0</v>
      </c>
      <c r="AA411" s="52" t="n">
        <v>0</v>
      </c>
      <c r="AB411" s="52" t="n">
        <v>0</v>
      </c>
      <c r="AC411" s="52" t="n">
        <v>0</v>
      </c>
      <c r="AD411" s="52" t="n">
        <v>0</v>
      </c>
      <c r="AE411" s="52" t="n">
        <v>0</v>
      </c>
      <c r="AF411" s="52" t="n">
        <v>0</v>
      </c>
      <c r="AG411" s="52" t="n">
        <v>0</v>
      </c>
      <c r="AH411" s="52" t="n">
        <v>0</v>
      </c>
      <c r="AI411" s="52" t="n">
        <v>0</v>
      </c>
      <c r="AJ411" s="52" t="n">
        <v>0</v>
      </c>
      <c r="AK411" s="52" t="n">
        <v>0</v>
      </c>
      <c r="AL411" s="52" t="n">
        <v>0</v>
      </c>
      <c r="AM411" s="53" t="n">
        <v>0</v>
      </c>
      <c r="AN411" s="53" t="n">
        <v>0</v>
      </c>
      <c r="AO411" s="53" t="n">
        <v>0</v>
      </c>
      <c r="AP411" s="53" t="n">
        <v>0</v>
      </c>
      <c r="AQ411" s="52" t="n">
        <v>0</v>
      </c>
      <c r="AR411" s="52" t="n">
        <v>0</v>
      </c>
      <c r="AS411" s="52" t="n">
        <v>0</v>
      </c>
      <c r="AT411" s="52" t="n">
        <v>0</v>
      </c>
      <c r="AU411" s="53" t="n">
        <v>0</v>
      </c>
      <c r="AV411" s="53" t="n">
        <v>0</v>
      </c>
      <c r="AW411" s="53" t="n">
        <v>0</v>
      </c>
      <c r="AX411" s="53" t="n">
        <v>0</v>
      </c>
      <c r="AY411" s="52" t="n">
        <v>0</v>
      </c>
      <c r="AZ411" s="52" t="n">
        <v>0</v>
      </c>
      <c r="BA411" s="52" t="n">
        <v>0</v>
      </c>
      <c r="BB411" s="52" t="n">
        <v>0</v>
      </c>
      <c r="BC411" s="51" t="n">
        <v>0</v>
      </c>
      <c r="BD411" s="51" t="n">
        <v>0</v>
      </c>
      <c r="BE411" s="51" t="n">
        <v>0</v>
      </c>
      <c r="BF411" s="51" t="n">
        <v>0</v>
      </c>
    </row>
    <row r="412">
      <c r="A412">
        <f>HYPERLINK("https://www.walmart.com/ip/431906531", "431906531")</f>
        <v/>
      </c>
      <c r="B412" t="inlineStr">
        <is>
          <t>Jennis Halloween, Masquerades, Carnivals LED Necktie Light Up Tie LED Glow Dark,Upgrade USB Rechargeable Luminous Novelty Necktie Unisex LED Tie for Party Costume Men Women Boys</t>
        </is>
      </c>
      <c r="C412" t="inlineStr">
        <is>
          <t>LEDTIE02-RD</t>
        </is>
      </c>
      <c r="D412" t="inlineStr">
        <is>
          <t>Neckties</t>
        </is>
      </c>
      <c r="E412" t="inlineStr">
        <is>
          <t>JenniWears</t>
        </is>
      </c>
      <c r="F412" t="inlineStr">
        <is>
          <t>Optimized,Halloween</t>
        </is>
      </c>
      <c r="G412" s="48" t="n">
        <v>0</v>
      </c>
      <c r="H412" s="48" t="n">
        <v>0</v>
      </c>
      <c r="I412" s="48" t="n">
        <v>0</v>
      </c>
      <c r="J412" s="48" t="n">
        <v>0</v>
      </c>
      <c r="K412" s="49" t="n">
        <v>0</v>
      </c>
      <c r="L412" s="49" t="n">
        <v>0</v>
      </c>
      <c r="M412" s="49" t="n">
        <v>0</v>
      </c>
      <c r="N412" s="49" t="n">
        <v>0</v>
      </c>
      <c r="O412" s="49" t="n">
        <v>0</v>
      </c>
      <c r="P412" s="49" t="n">
        <v>0</v>
      </c>
      <c r="Q412" s="49" t="n">
        <v>0</v>
      </c>
      <c r="R412" s="49" t="n">
        <v>0</v>
      </c>
      <c r="S412" s="50" t="n">
        <v>0</v>
      </c>
      <c r="T412" s="50" t="n">
        <v>0</v>
      </c>
      <c r="U412" s="50" t="n">
        <v>0</v>
      </c>
      <c r="V412" s="50" t="n">
        <v>0</v>
      </c>
      <c r="W412" s="51" t="n">
        <v>0</v>
      </c>
      <c r="X412" s="51" t="n">
        <v>0</v>
      </c>
      <c r="Y412" s="51" t="n">
        <v>0</v>
      </c>
      <c r="Z412" s="51" t="n">
        <v>0</v>
      </c>
      <c r="AA412" s="52" t="n">
        <v>0</v>
      </c>
      <c r="AB412" s="52" t="n">
        <v>0</v>
      </c>
      <c r="AC412" s="52" t="n">
        <v>0</v>
      </c>
      <c r="AD412" s="52" t="n">
        <v>0</v>
      </c>
      <c r="AE412" s="52" t="n">
        <v>0</v>
      </c>
      <c r="AF412" s="52" t="n">
        <v>0</v>
      </c>
      <c r="AG412" s="52" t="n">
        <v>0</v>
      </c>
      <c r="AH412" s="52" t="n">
        <v>0</v>
      </c>
      <c r="AI412" s="52" t="n">
        <v>0</v>
      </c>
      <c r="AJ412" s="52" t="n">
        <v>0</v>
      </c>
      <c r="AK412" s="52" t="n">
        <v>0</v>
      </c>
      <c r="AL412" s="52" t="n">
        <v>0</v>
      </c>
      <c r="AM412" s="53" t="n">
        <v>0</v>
      </c>
      <c r="AN412" s="53" t="n">
        <v>0</v>
      </c>
      <c r="AO412" s="53" t="n">
        <v>0</v>
      </c>
      <c r="AP412" s="53" t="n">
        <v>0</v>
      </c>
      <c r="AQ412" s="52" t="n">
        <v>0</v>
      </c>
      <c r="AR412" s="52" t="n">
        <v>0</v>
      </c>
      <c r="AS412" s="52" t="n">
        <v>0</v>
      </c>
      <c r="AT412" s="52" t="n">
        <v>0</v>
      </c>
      <c r="AU412" s="53" t="n">
        <v>0</v>
      </c>
      <c r="AV412" s="53" t="n">
        <v>0</v>
      </c>
      <c r="AW412" s="53" t="n">
        <v>0</v>
      </c>
      <c r="AX412" s="53" t="n">
        <v>0</v>
      </c>
      <c r="AY412" s="52" t="n">
        <v>0</v>
      </c>
      <c r="AZ412" s="52" t="n">
        <v>0</v>
      </c>
      <c r="BA412" s="52" t="n">
        <v>0</v>
      </c>
      <c r="BB412" s="52" t="n">
        <v>0</v>
      </c>
      <c r="BC412" s="51" t="n">
        <v>0</v>
      </c>
      <c r="BD412" s="51" t="n">
        <v>0</v>
      </c>
      <c r="BE412" s="51" t="n">
        <v>0</v>
      </c>
      <c r="BF412" s="51" t="n">
        <v>0</v>
      </c>
    </row>
    <row r="413">
      <c r="A413">
        <f>HYPERLINK("https://www.walmart.com/ip/431930800", "431930800")</f>
        <v/>
      </c>
      <c r="B413" t="inlineStr">
        <is>
          <t>Tirrinia Large Insulated Lunch Bag,10L Leakproof Thermal Reusable Lunch Box for Adult,Kids, Student,Tall Meal Prep Lunch Cooler Tote with 4 Pockets for Office Work, Back to School</t>
        </is>
      </c>
      <c r="C413" t="inlineStr">
        <is>
          <t>1TRLB702CH-T</t>
        </is>
      </c>
      <c r="D413" t="inlineStr">
        <is>
          <t>Reusable Lunch Bags &amp; Boxes</t>
        </is>
      </c>
      <c r="E413" t="inlineStr">
        <is>
          <t>Tirrinia</t>
        </is>
      </c>
      <c r="F413" t="inlineStr">
        <is>
          <t>Q2-Target,Brand Camp VD,Lunch Bag,Lunch Bags,SEM</t>
        </is>
      </c>
      <c r="G413" s="48" t="n">
        <v>0</v>
      </c>
      <c r="H413" s="48" t="n">
        <v>0</v>
      </c>
      <c r="I413" s="48" t="n">
        <v>0</v>
      </c>
      <c r="J413" s="48" t="n">
        <v>0</v>
      </c>
      <c r="K413" s="49" t="n">
        <v>0</v>
      </c>
      <c r="L413" s="49" t="n">
        <v>0</v>
      </c>
      <c r="M413" s="49" t="n">
        <v>0</v>
      </c>
      <c r="N413" s="49" t="n">
        <v>0</v>
      </c>
      <c r="O413" s="49" t="n">
        <v>0</v>
      </c>
      <c r="P413" s="49" t="n">
        <v>0</v>
      </c>
      <c r="Q413" s="49" t="n">
        <v>0</v>
      </c>
      <c r="R413" s="49" t="n">
        <v>0</v>
      </c>
      <c r="S413" s="50" t="n">
        <v>0</v>
      </c>
      <c r="T413" s="50" t="n">
        <v>0</v>
      </c>
      <c r="U413" s="50" t="n">
        <v>0</v>
      </c>
      <c r="V413" s="50" t="n">
        <v>0</v>
      </c>
      <c r="W413" s="51" t="n">
        <v>0</v>
      </c>
      <c r="X413" s="51" t="n">
        <v>0</v>
      </c>
      <c r="Y413" s="51" t="n">
        <v>0</v>
      </c>
      <c r="Z413" s="51" t="n">
        <v>0</v>
      </c>
      <c r="AA413" s="52" t="n">
        <v>0</v>
      </c>
      <c r="AB413" s="52" t="n">
        <v>0</v>
      </c>
      <c r="AC413" s="52" t="n">
        <v>0</v>
      </c>
      <c r="AD413" s="52" t="n">
        <v>0</v>
      </c>
      <c r="AE413" s="52" t="n">
        <v>0</v>
      </c>
      <c r="AF413" s="52" t="n">
        <v>0</v>
      </c>
      <c r="AG413" s="52" t="n">
        <v>0</v>
      </c>
      <c r="AH413" s="52" t="n">
        <v>0</v>
      </c>
      <c r="AI413" s="52" t="n">
        <v>0</v>
      </c>
      <c r="AJ413" s="52" t="n">
        <v>0</v>
      </c>
      <c r="AK413" s="52" t="n">
        <v>0</v>
      </c>
      <c r="AL413" s="52" t="n">
        <v>0</v>
      </c>
      <c r="AM413" s="53" t="n">
        <v>0</v>
      </c>
      <c r="AN413" s="53" t="n">
        <v>0</v>
      </c>
      <c r="AO413" s="53" t="n">
        <v>0</v>
      </c>
      <c r="AP413" s="53" t="n">
        <v>0</v>
      </c>
      <c r="AQ413" s="52" t="n">
        <v>0</v>
      </c>
      <c r="AR413" s="52" t="n">
        <v>0</v>
      </c>
      <c r="AS413" s="52" t="n">
        <v>0</v>
      </c>
      <c r="AT413" s="52" t="n">
        <v>0</v>
      </c>
      <c r="AU413" s="53" t="n">
        <v>0</v>
      </c>
      <c r="AV413" s="53" t="n">
        <v>0</v>
      </c>
      <c r="AW413" s="53" t="n">
        <v>0</v>
      </c>
      <c r="AX413" s="53" t="n">
        <v>0</v>
      </c>
      <c r="AY413" s="52" t="n">
        <v>0</v>
      </c>
      <c r="AZ413" s="52" t="n">
        <v>0</v>
      </c>
      <c r="BA413" s="52" t="n">
        <v>0</v>
      </c>
      <c r="BB413" s="52" t="n">
        <v>0</v>
      </c>
      <c r="BC413" s="51" t="n">
        <v>0</v>
      </c>
      <c r="BD413" s="51" t="n">
        <v>0</v>
      </c>
      <c r="BE413" s="51" t="n">
        <v>0</v>
      </c>
      <c r="BF413" s="51" t="n">
        <v>0</v>
      </c>
    </row>
    <row r="414">
      <c r="A414">
        <f>HYPERLINK("https://www.walmart.com/ip/432191290", "432191290")</f>
        <v/>
      </c>
      <c r="B414" t="inlineStr">
        <is>
          <t>Flyingstar Sherpa Throws Blanket, Fleece Soft Cozy Blanket Throws for Sofa Bed 50"x60"</t>
        </is>
      </c>
      <c r="C414" t="inlineStr">
        <is>
          <t>1WMBF573ZEBRA</t>
        </is>
      </c>
      <c r="D414" t="inlineStr">
        <is>
          <t>Throws</t>
        </is>
      </c>
      <c r="E414" t="inlineStr">
        <is>
          <t>Flyingstar</t>
        </is>
      </c>
      <c r="F414" t="inlineStr">
        <is>
          <t>Optimized</t>
        </is>
      </c>
      <c r="G414" s="48" t="n">
        <v>0</v>
      </c>
      <c r="H414" s="48" t="n">
        <v>0</v>
      </c>
      <c r="I414" s="48" t="n">
        <v>0</v>
      </c>
      <c r="J414" s="48" t="n">
        <v>0</v>
      </c>
      <c r="K414" s="49" t="n">
        <v>0</v>
      </c>
      <c r="L414" s="49" t="n">
        <v>0</v>
      </c>
      <c r="M414" s="49" t="n">
        <v>0</v>
      </c>
      <c r="N414" s="49" t="n">
        <v>0</v>
      </c>
      <c r="O414" s="49" t="n">
        <v>0</v>
      </c>
      <c r="P414" s="49" t="n">
        <v>0</v>
      </c>
      <c r="Q414" s="49" t="n">
        <v>0</v>
      </c>
      <c r="R414" s="49" t="n">
        <v>0</v>
      </c>
      <c r="S414" s="50" t="n">
        <v>0</v>
      </c>
      <c r="T414" s="50" t="n">
        <v>0</v>
      </c>
      <c r="U414" s="50" t="n">
        <v>0</v>
      </c>
      <c r="V414" s="50" t="n">
        <v>0</v>
      </c>
      <c r="W414" s="51" t="n">
        <v>0</v>
      </c>
      <c r="X414" s="51" t="n">
        <v>0</v>
      </c>
      <c r="Y414" s="51" t="n">
        <v>0</v>
      </c>
      <c r="Z414" s="51" t="n">
        <v>0</v>
      </c>
      <c r="AA414" s="52" t="n">
        <v>0</v>
      </c>
      <c r="AB414" s="52" t="n">
        <v>0</v>
      </c>
      <c r="AC414" s="52" t="n">
        <v>0</v>
      </c>
      <c r="AD414" s="52" t="n">
        <v>0</v>
      </c>
      <c r="AE414" s="52" t="n">
        <v>0</v>
      </c>
      <c r="AF414" s="52" t="n">
        <v>0</v>
      </c>
      <c r="AG414" s="52" t="n">
        <v>0</v>
      </c>
      <c r="AH414" s="52" t="n">
        <v>0</v>
      </c>
      <c r="AI414" s="52" t="n">
        <v>0</v>
      </c>
      <c r="AJ414" s="52" t="n">
        <v>0</v>
      </c>
      <c r="AK414" s="52" t="n">
        <v>0</v>
      </c>
      <c r="AL414" s="52" t="n">
        <v>0</v>
      </c>
      <c r="AM414" s="53" t="n">
        <v>0</v>
      </c>
      <c r="AN414" s="53" t="n">
        <v>0</v>
      </c>
      <c r="AO414" s="53" t="n">
        <v>0</v>
      </c>
      <c r="AP414" s="53" t="n">
        <v>0</v>
      </c>
      <c r="AQ414" s="52" t="n">
        <v>0</v>
      </c>
      <c r="AR414" s="52" t="n">
        <v>0</v>
      </c>
      <c r="AS414" s="52" t="n">
        <v>0</v>
      </c>
      <c r="AT414" s="52" t="n">
        <v>0</v>
      </c>
      <c r="AU414" s="53" t="n">
        <v>0</v>
      </c>
      <c r="AV414" s="53" t="n">
        <v>0</v>
      </c>
      <c r="AW414" s="53" t="n">
        <v>0</v>
      </c>
      <c r="AX414" s="53" t="n">
        <v>0</v>
      </c>
      <c r="AY414" s="52" t="n">
        <v>0</v>
      </c>
      <c r="AZ414" s="52" t="n">
        <v>0</v>
      </c>
      <c r="BA414" s="52" t="n">
        <v>0</v>
      </c>
      <c r="BB414" s="52" t="n">
        <v>0</v>
      </c>
      <c r="BC414" s="51" t="n">
        <v>0</v>
      </c>
      <c r="BD414" s="51" t="n">
        <v>0</v>
      </c>
      <c r="BE414" s="51" t="n">
        <v>0</v>
      </c>
      <c r="BF414" s="51" t="n">
        <v>0</v>
      </c>
    </row>
    <row r="415">
      <c r="A415">
        <f>HYPERLINK("https://www.walmart.com/ip/432348972", "432348972")</f>
        <v/>
      </c>
      <c r="B415" t="inlineStr">
        <is>
          <t>Tirrinia Leakproof Thermal Reusable Insulated Lunch Bag for Men with Leather Handle,Olive</t>
        </is>
      </c>
      <c r="C415" t="inlineStr">
        <is>
          <t>1TRLB702P1KK</t>
        </is>
      </c>
      <c r="D415" t="inlineStr">
        <is>
          <t>Reusable Lunch Bags &amp; Boxes</t>
        </is>
      </c>
      <c r="E415" t="inlineStr">
        <is>
          <t>Tirrinia</t>
        </is>
      </c>
      <c r="F415" t="inlineStr">
        <is>
          <t>Brand Camp VD</t>
        </is>
      </c>
      <c r="G415" s="48" t="n">
        <v>0</v>
      </c>
      <c r="H415" s="48" t="n">
        <v>0</v>
      </c>
      <c r="I415" s="48" t="n">
        <v>0</v>
      </c>
      <c r="J415" s="48" t="n">
        <v>0</v>
      </c>
      <c r="K415" s="49" t="n">
        <v>0</v>
      </c>
      <c r="L415" s="49" t="n">
        <v>0</v>
      </c>
      <c r="M415" s="49" t="n">
        <v>0</v>
      </c>
      <c r="N415" s="49" t="n">
        <v>0</v>
      </c>
      <c r="O415" s="49" t="n">
        <v>0</v>
      </c>
      <c r="P415" s="49" t="n">
        <v>0</v>
      </c>
      <c r="Q415" s="49" t="n">
        <v>0</v>
      </c>
      <c r="R415" s="49" t="n">
        <v>0</v>
      </c>
      <c r="S415" s="50" t="n">
        <v>0</v>
      </c>
      <c r="T415" s="50" t="n">
        <v>0</v>
      </c>
      <c r="U415" s="50" t="n">
        <v>0</v>
      </c>
      <c r="V415" s="50" t="n">
        <v>0</v>
      </c>
      <c r="W415" s="51" t="n">
        <v>0</v>
      </c>
      <c r="X415" s="51" t="n">
        <v>0</v>
      </c>
      <c r="Y415" s="51" t="n">
        <v>0</v>
      </c>
      <c r="Z415" s="51" t="n">
        <v>0</v>
      </c>
      <c r="AA415" s="52" t="n">
        <v>0</v>
      </c>
      <c r="AB415" s="52" t="n">
        <v>0</v>
      </c>
      <c r="AC415" s="52" t="n">
        <v>0</v>
      </c>
      <c r="AD415" s="52" t="n">
        <v>0</v>
      </c>
      <c r="AE415" s="52" t="n">
        <v>0</v>
      </c>
      <c r="AF415" s="52" t="n">
        <v>0</v>
      </c>
      <c r="AG415" s="52" t="n">
        <v>0</v>
      </c>
      <c r="AH415" s="52" t="n">
        <v>0</v>
      </c>
      <c r="AI415" s="52" t="n">
        <v>0</v>
      </c>
      <c r="AJ415" s="52" t="n">
        <v>0</v>
      </c>
      <c r="AK415" s="52" t="n">
        <v>0</v>
      </c>
      <c r="AL415" s="52" t="n">
        <v>0</v>
      </c>
      <c r="AM415" s="53" t="n">
        <v>0</v>
      </c>
      <c r="AN415" s="53" t="n">
        <v>0</v>
      </c>
      <c r="AO415" s="53" t="n">
        <v>0</v>
      </c>
      <c r="AP415" s="53" t="n">
        <v>0</v>
      </c>
      <c r="AQ415" s="52" t="n">
        <v>0</v>
      </c>
      <c r="AR415" s="52" t="n">
        <v>0</v>
      </c>
      <c r="AS415" s="52" t="n">
        <v>0</v>
      </c>
      <c r="AT415" s="52" t="n">
        <v>0</v>
      </c>
      <c r="AU415" s="53" t="n">
        <v>0</v>
      </c>
      <c r="AV415" s="53" t="n">
        <v>0</v>
      </c>
      <c r="AW415" s="53" t="n">
        <v>0</v>
      </c>
      <c r="AX415" s="53" t="n">
        <v>0</v>
      </c>
      <c r="AY415" s="52" t="n">
        <v>0</v>
      </c>
      <c r="AZ415" s="52" t="n">
        <v>0</v>
      </c>
      <c r="BA415" s="52" t="n">
        <v>0</v>
      </c>
      <c r="BB415" s="52" t="n">
        <v>0</v>
      </c>
      <c r="BC415" s="51" t="n">
        <v>0</v>
      </c>
      <c r="BD415" s="51" t="n">
        <v>0</v>
      </c>
      <c r="BE415" s="51" t="n">
        <v>0</v>
      </c>
      <c r="BF415" s="51" t="n">
        <v>0</v>
      </c>
    </row>
    <row r="416">
      <c r="A416">
        <f>HYPERLINK("https://www.walmart.com/ip/433337760", "433337760")</f>
        <v/>
      </c>
      <c r="B416" t="inlineStr">
        <is>
          <t>Tirrinia 2 Bottle Wine Tote Carrier - Insulated &amp; Padded Versatile Cooler Bag for Travel, BYOB Restaurant, Wine Tasting, Party, Great Gift for Wine Lover, Gray</t>
        </is>
      </c>
      <c r="C416" t="inlineStr">
        <is>
          <t>1TRWB221GY</t>
        </is>
      </c>
      <c r="D416" t="inlineStr">
        <is>
          <t>Wine Totes, Bags &amp; Backpacks</t>
        </is>
      </c>
      <c r="E416" t="inlineStr">
        <is>
          <t>Tirrinia</t>
        </is>
      </c>
      <c r="G416" s="48" t="n">
        <v>0</v>
      </c>
      <c r="H416" s="48" t="n">
        <v>0</v>
      </c>
      <c r="I416" s="48" t="n">
        <v>17.99</v>
      </c>
      <c r="J416" s="48" t="n">
        <v>0</v>
      </c>
      <c r="K416" s="49" t="n">
        <v>0</v>
      </c>
      <c r="L416" s="49" t="n">
        <v>0</v>
      </c>
      <c r="M416" s="49" t="n">
        <v>1</v>
      </c>
      <c r="N416" s="49" t="n">
        <v>0</v>
      </c>
      <c r="O416" s="49" t="n">
        <v>0</v>
      </c>
      <c r="P416" s="49" t="n">
        <v>0</v>
      </c>
      <c r="Q416" s="49" t="n">
        <v>0</v>
      </c>
      <c r="R416" s="49" t="n">
        <v>0</v>
      </c>
      <c r="S416" s="50" t="n">
        <v>0</v>
      </c>
      <c r="T416" s="50" t="n">
        <v>0</v>
      </c>
      <c r="U416" s="50" t="n">
        <v>0</v>
      </c>
      <c r="V416" s="50" t="n">
        <v>0</v>
      </c>
      <c r="W416" s="51" t="n">
        <v>0</v>
      </c>
      <c r="X416" s="51" t="n">
        <v>1</v>
      </c>
      <c r="Y416" s="51" t="n">
        <v>0</v>
      </c>
      <c r="Z416" s="51" t="n">
        <v>0</v>
      </c>
      <c r="AA416" s="52" t="n">
        <v>0</v>
      </c>
      <c r="AB416" s="52" t="n">
        <v>0.31</v>
      </c>
      <c r="AC416" s="52" t="n">
        <v>0</v>
      </c>
      <c r="AD416" s="52" t="n">
        <v>0</v>
      </c>
      <c r="AE416" s="52" t="n">
        <v>0</v>
      </c>
      <c r="AF416" s="52" t="n">
        <v>0</v>
      </c>
      <c r="AG416" s="52" t="n">
        <v>0</v>
      </c>
      <c r="AH416" s="52" t="n">
        <v>0</v>
      </c>
      <c r="AI416" s="52" t="n">
        <v>0</v>
      </c>
      <c r="AJ416" s="52" t="n">
        <v>0</v>
      </c>
      <c r="AK416" s="52" t="n">
        <v>0</v>
      </c>
      <c r="AL416" s="52" t="n">
        <v>0</v>
      </c>
      <c r="AM416" s="53" t="n">
        <v>0</v>
      </c>
      <c r="AN416" s="53" t="n">
        <v>0.0018</v>
      </c>
      <c r="AO416" s="53" t="n">
        <v>0</v>
      </c>
      <c r="AP416" s="53" t="n">
        <v>0</v>
      </c>
      <c r="AQ416" s="52" t="n">
        <v>0</v>
      </c>
      <c r="AR416" s="52" t="n">
        <v>0.31</v>
      </c>
      <c r="AS416" s="52" t="n">
        <v>0</v>
      </c>
      <c r="AT416" s="52" t="n">
        <v>0</v>
      </c>
      <c r="AU416" s="53" t="n">
        <v>0</v>
      </c>
      <c r="AV416" s="53" t="n">
        <v>0</v>
      </c>
      <c r="AW416" s="53" t="n">
        <v>0</v>
      </c>
      <c r="AX416" s="53" t="n">
        <v>0</v>
      </c>
      <c r="AY416" s="52" t="n">
        <v>0</v>
      </c>
      <c r="AZ416" s="52" t="n">
        <v>0</v>
      </c>
      <c r="BA416" s="52" t="n">
        <v>17.99</v>
      </c>
      <c r="BB416" s="52" t="n">
        <v>0</v>
      </c>
      <c r="BC416" s="51" t="n">
        <v>1121</v>
      </c>
      <c r="BD416" s="51" t="n">
        <v>560</v>
      </c>
      <c r="BE416" s="51" t="n">
        <v>382</v>
      </c>
      <c r="BF416" s="51" t="n">
        <v>453</v>
      </c>
    </row>
    <row r="417">
      <c r="A417">
        <f>HYPERLINK("https://www.walmart.com/ip/436517515", "436517515")</f>
        <v/>
      </c>
      <c r="B417" t="inlineStr">
        <is>
          <t>Catalonia Women’s Sherpa Hoodie Sweatshirt Dress, Casual Snuggle Wearable Blanket Pullover Sweater with Kangaroo Pocket, Warm and Soft, Gift for Her, Wine</t>
        </is>
      </c>
      <c r="C417" t="inlineStr">
        <is>
          <t>1CTHD532WN</t>
        </is>
      </c>
      <c r="D417" t="inlineStr">
        <is>
          <t>Sweatshirts &amp; Hoodies</t>
        </is>
      </c>
      <c r="E417" t="inlineStr">
        <is>
          <t>Catalonia</t>
        </is>
      </c>
      <c r="F417" t="inlineStr">
        <is>
          <t>Hoodie ForAdult,Optimized</t>
        </is>
      </c>
      <c r="G417" s="48" t="n">
        <v>0</v>
      </c>
      <c r="H417" s="48" t="n">
        <v>0</v>
      </c>
      <c r="I417" s="48" t="n">
        <v>0</v>
      </c>
      <c r="J417" s="48" t="n">
        <v>0</v>
      </c>
      <c r="K417" s="49" t="n">
        <v>0</v>
      </c>
      <c r="L417" s="49" t="n">
        <v>0</v>
      </c>
      <c r="M417" s="49" t="n">
        <v>0</v>
      </c>
      <c r="N417" s="49" t="n">
        <v>0</v>
      </c>
      <c r="O417" s="49" t="n">
        <v>0</v>
      </c>
      <c r="P417" s="49" t="n">
        <v>0</v>
      </c>
      <c r="Q417" s="49" t="n">
        <v>0</v>
      </c>
      <c r="R417" s="49" t="n">
        <v>0</v>
      </c>
      <c r="S417" s="50" t="n">
        <v>0</v>
      </c>
      <c r="T417" s="50" t="n">
        <v>0</v>
      </c>
      <c r="U417" s="50" t="n">
        <v>0</v>
      </c>
      <c r="V417" s="50" t="n">
        <v>0</v>
      </c>
      <c r="W417" s="51" t="n">
        <v>17</v>
      </c>
      <c r="X417" s="51" t="n">
        <v>0</v>
      </c>
      <c r="Y417" s="51" t="n">
        <v>0</v>
      </c>
      <c r="Z417" s="51" t="n">
        <v>0</v>
      </c>
      <c r="AA417" s="52" t="n">
        <v>6.949999999999999</v>
      </c>
      <c r="AB417" s="52" t="n">
        <v>0</v>
      </c>
      <c r="AC417" s="52" t="n">
        <v>0</v>
      </c>
      <c r="AD417" s="52" t="n">
        <v>0</v>
      </c>
      <c r="AE417" s="52" t="n">
        <v>0</v>
      </c>
      <c r="AF417" s="52" t="n">
        <v>0</v>
      </c>
      <c r="AG417" s="52" t="n">
        <v>0</v>
      </c>
      <c r="AH417" s="52" t="n">
        <v>0</v>
      </c>
      <c r="AI417" s="52" t="n">
        <v>0</v>
      </c>
      <c r="AJ417" s="52" t="n">
        <v>0</v>
      </c>
      <c r="AK417" s="52" t="n">
        <v>0</v>
      </c>
      <c r="AL417" s="52" t="n">
        <v>0</v>
      </c>
      <c r="AM417" s="53" t="n">
        <v>0.0026</v>
      </c>
      <c r="AN417" s="53" t="n">
        <v>0</v>
      </c>
      <c r="AO417" s="53" t="n">
        <v>0</v>
      </c>
      <c r="AP417" s="53" t="n">
        <v>0</v>
      </c>
      <c r="AQ417" s="52" t="n">
        <v>0.4088235294117646</v>
      </c>
      <c r="AR417" s="52" t="n">
        <v>0</v>
      </c>
      <c r="AS417" s="52" t="n">
        <v>0</v>
      </c>
      <c r="AT417" s="52" t="n">
        <v>0</v>
      </c>
      <c r="AU417" s="53" t="n">
        <v>0</v>
      </c>
      <c r="AV417" s="53" t="n">
        <v>0</v>
      </c>
      <c r="AW417" s="53" t="n">
        <v>0</v>
      </c>
      <c r="AX417" s="53" t="n">
        <v>0</v>
      </c>
      <c r="AY417" s="52" t="n">
        <v>0</v>
      </c>
      <c r="AZ417" s="52" t="n">
        <v>0</v>
      </c>
      <c r="BA417" s="52" t="n">
        <v>0</v>
      </c>
      <c r="BB417" s="52" t="n">
        <v>0</v>
      </c>
      <c r="BC417" s="51" t="n">
        <v>6587</v>
      </c>
      <c r="BD417" s="51" t="n">
        <v>0</v>
      </c>
      <c r="BE417" s="51" t="n">
        <v>0</v>
      </c>
      <c r="BF417" s="51" t="n">
        <v>0</v>
      </c>
    </row>
    <row r="418">
      <c r="A418">
        <f>HYPERLINK("https://www.walmart.com/ip/436825676", "436825676")</f>
        <v/>
      </c>
      <c r="B418" t="inlineStr">
        <is>
          <t>Oversized Hoodie Blanket Sweatshirt,Super Soft Warm Comfortable Fleece Giant Pullover with Large Front Pocket,for Adults Men Women Teenagers Kids Wife Girlfriend</t>
        </is>
      </c>
      <c r="C418" t="inlineStr">
        <is>
          <t>1CTHD300LBL-UPC</t>
        </is>
      </c>
      <c r="D418" t="inlineStr">
        <is>
          <t>Sweatshirts &amp; Hoodies</t>
        </is>
      </c>
      <c r="E418" t="inlineStr">
        <is>
          <t>Catalonia</t>
        </is>
      </c>
      <c r="F418" t="inlineStr">
        <is>
          <t>Hoodie ForAdult,Optimized</t>
        </is>
      </c>
      <c r="G418" s="48" t="n">
        <v>0</v>
      </c>
      <c r="H418" s="48" t="n">
        <v>0</v>
      </c>
      <c r="I418" s="48" t="n">
        <v>0</v>
      </c>
      <c r="J418" s="48" t="n">
        <v>0</v>
      </c>
      <c r="K418" s="49" t="n">
        <v>0</v>
      </c>
      <c r="L418" s="49" t="n">
        <v>0</v>
      </c>
      <c r="M418" s="49" t="n">
        <v>0</v>
      </c>
      <c r="N418" s="49" t="n">
        <v>0</v>
      </c>
      <c r="O418" s="49" t="n">
        <v>0</v>
      </c>
      <c r="P418" s="49" t="n">
        <v>0</v>
      </c>
      <c r="Q418" s="49" t="n">
        <v>0</v>
      </c>
      <c r="R418" s="49" t="n">
        <v>0</v>
      </c>
      <c r="S418" s="50" t="n">
        <v>0</v>
      </c>
      <c r="T418" s="50" t="n">
        <v>0</v>
      </c>
      <c r="U418" s="50" t="n">
        <v>0</v>
      </c>
      <c r="V418" s="50" t="n">
        <v>0</v>
      </c>
      <c r="W418" s="51" t="n">
        <v>0</v>
      </c>
      <c r="X418" s="51" t="n">
        <v>0</v>
      </c>
      <c r="Y418" s="51" t="n">
        <v>0</v>
      </c>
      <c r="Z418" s="51" t="n">
        <v>0</v>
      </c>
      <c r="AA418" s="52" t="n">
        <v>0</v>
      </c>
      <c r="AB418" s="52" t="n">
        <v>0</v>
      </c>
      <c r="AC418" s="52" t="n">
        <v>0</v>
      </c>
      <c r="AD418" s="52" t="n">
        <v>0</v>
      </c>
      <c r="AE418" s="52" t="n">
        <v>0</v>
      </c>
      <c r="AF418" s="52" t="n">
        <v>0</v>
      </c>
      <c r="AG418" s="52" t="n">
        <v>0</v>
      </c>
      <c r="AH418" s="52" t="n">
        <v>0</v>
      </c>
      <c r="AI418" s="52" t="n">
        <v>0</v>
      </c>
      <c r="AJ418" s="52" t="n">
        <v>0</v>
      </c>
      <c r="AK418" s="52" t="n">
        <v>0</v>
      </c>
      <c r="AL418" s="52" t="n">
        <v>0</v>
      </c>
      <c r="AM418" s="53" t="n">
        <v>0</v>
      </c>
      <c r="AN418" s="53" t="n">
        <v>0</v>
      </c>
      <c r="AO418" s="53" t="n">
        <v>0</v>
      </c>
      <c r="AP418" s="53" t="n">
        <v>0</v>
      </c>
      <c r="AQ418" s="52" t="n">
        <v>0</v>
      </c>
      <c r="AR418" s="52" t="n">
        <v>0</v>
      </c>
      <c r="AS418" s="52" t="n">
        <v>0</v>
      </c>
      <c r="AT418" s="52" t="n">
        <v>0</v>
      </c>
      <c r="AU418" s="53" t="n">
        <v>0</v>
      </c>
      <c r="AV418" s="53" t="n">
        <v>0</v>
      </c>
      <c r="AW418" s="53" t="n">
        <v>0</v>
      </c>
      <c r="AX418" s="53" t="n">
        <v>0</v>
      </c>
      <c r="AY418" s="52" t="n">
        <v>0</v>
      </c>
      <c r="AZ418" s="52" t="n">
        <v>0</v>
      </c>
      <c r="BA418" s="52" t="n">
        <v>0</v>
      </c>
      <c r="BB418" s="52" t="n">
        <v>0</v>
      </c>
      <c r="BC418" s="51" t="n">
        <v>0</v>
      </c>
      <c r="BD418" s="51" t="n">
        <v>0</v>
      </c>
      <c r="BE418" s="51" t="n">
        <v>0</v>
      </c>
      <c r="BF418" s="51" t="n">
        <v>0</v>
      </c>
    </row>
    <row r="419">
      <c r="A419">
        <f>HYPERLINK("https://www.walmart.com/ip/438272084", "438272084")</f>
        <v/>
      </c>
      <c r="B419" t="inlineStr">
        <is>
          <t>Tirrinia  Womens Wide Brim Bucket Hats UPF 50+ Outdoor Gardening Sun Caps Dark Grey</t>
        </is>
      </c>
      <c r="C419" t="inlineStr">
        <is>
          <t>1TRSH189DG-TBCB</t>
        </is>
      </c>
      <c r="D419" t="inlineStr">
        <is>
          <t>Hats</t>
        </is>
      </c>
      <c r="E419" t="inlineStr">
        <is>
          <t>Tirrinia</t>
        </is>
      </c>
      <c r="F419" t="inlineStr">
        <is>
          <t>Batch 1 - TR</t>
        </is>
      </c>
      <c r="G419" s="48" t="n">
        <v>0</v>
      </c>
      <c r="H419" s="48" t="n">
        <v>0</v>
      </c>
      <c r="I419" s="48" t="n">
        <v>0</v>
      </c>
      <c r="J419" s="48" t="n">
        <v>0</v>
      </c>
      <c r="K419" s="49" t="n">
        <v>0</v>
      </c>
      <c r="L419" s="49" t="n">
        <v>0</v>
      </c>
      <c r="M419" s="49" t="n">
        <v>0</v>
      </c>
      <c r="N419" s="49" t="n">
        <v>0</v>
      </c>
      <c r="O419" s="49" t="n">
        <v>0</v>
      </c>
      <c r="P419" s="49" t="n">
        <v>0</v>
      </c>
      <c r="Q419" s="49" t="n">
        <v>0</v>
      </c>
      <c r="R419" s="49" t="n">
        <v>0</v>
      </c>
      <c r="S419" s="50" t="n">
        <v>0</v>
      </c>
      <c r="T419" s="50" t="n">
        <v>0</v>
      </c>
      <c r="U419" s="50" t="n">
        <v>0</v>
      </c>
      <c r="V419" s="50" t="n">
        <v>0</v>
      </c>
      <c r="W419" s="51" t="n">
        <v>0</v>
      </c>
      <c r="X419" s="51" t="n">
        <v>0</v>
      </c>
      <c r="Y419" s="51" t="n">
        <v>0</v>
      </c>
      <c r="Z419" s="51" t="n">
        <v>0</v>
      </c>
      <c r="AA419" s="52" t="n">
        <v>0</v>
      </c>
      <c r="AB419" s="52" t="n">
        <v>0</v>
      </c>
      <c r="AC419" s="52" t="n">
        <v>0</v>
      </c>
      <c r="AD419" s="52" t="n">
        <v>0</v>
      </c>
      <c r="AE419" s="52" t="n">
        <v>0</v>
      </c>
      <c r="AF419" s="52" t="n">
        <v>0</v>
      </c>
      <c r="AG419" s="52" t="n">
        <v>0</v>
      </c>
      <c r="AH419" s="52" t="n">
        <v>0</v>
      </c>
      <c r="AI419" s="52" t="n">
        <v>0</v>
      </c>
      <c r="AJ419" s="52" t="n">
        <v>0</v>
      </c>
      <c r="AK419" s="52" t="n">
        <v>0</v>
      </c>
      <c r="AL419" s="52" t="n">
        <v>0</v>
      </c>
      <c r="AM419" s="53" t="n">
        <v>0</v>
      </c>
      <c r="AN419" s="53" t="n">
        <v>0</v>
      </c>
      <c r="AO419" s="53" t="n">
        <v>0</v>
      </c>
      <c r="AP419" s="53" t="n">
        <v>0</v>
      </c>
      <c r="AQ419" s="52" t="n">
        <v>0</v>
      </c>
      <c r="AR419" s="52" t="n">
        <v>0</v>
      </c>
      <c r="AS419" s="52" t="n">
        <v>0</v>
      </c>
      <c r="AT419" s="52" t="n">
        <v>0</v>
      </c>
      <c r="AU419" s="53" t="n">
        <v>0</v>
      </c>
      <c r="AV419" s="53" t="n">
        <v>0</v>
      </c>
      <c r="AW419" s="53" t="n">
        <v>0</v>
      </c>
      <c r="AX419" s="53" t="n">
        <v>0</v>
      </c>
      <c r="AY419" s="52" t="n">
        <v>0</v>
      </c>
      <c r="AZ419" s="52" t="n">
        <v>0</v>
      </c>
      <c r="BA419" s="52" t="n">
        <v>0</v>
      </c>
      <c r="BB419" s="52" t="n">
        <v>0</v>
      </c>
      <c r="BC419" s="51" t="n">
        <v>0</v>
      </c>
      <c r="BD419" s="51" t="n">
        <v>0</v>
      </c>
      <c r="BE419" s="51" t="n">
        <v>0</v>
      </c>
      <c r="BF419" s="51" t="n">
        <v>0</v>
      </c>
    </row>
    <row r="420">
      <c r="A420">
        <f>HYPERLINK("https://www.walmart.com/ip/439886700", "439886700")</f>
        <v/>
      </c>
      <c r="B420" t="inlineStr">
        <is>
          <t>Tirrinia Insulated Lunch Bag, Leakproof Thermal Bento Lunch Box Tote for Women, Men and Kids, Adults Work Office Cooler Bag, Charcoal, 10.2" x 7.5" x 9".</t>
        </is>
      </c>
      <c r="C420" t="inlineStr">
        <is>
          <t>1KTLB600CH</t>
        </is>
      </c>
      <c r="D420" t="inlineStr">
        <is>
          <t>Reusable Lunch Bags &amp; Boxes</t>
        </is>
      </c>
      <c r="E420" t="inlineStr">
        <is>
          <t>Tirrinia</t>
        </is>
      </c>
      <c r="F420" t="inlineStr">
        <is>
          <t>Q2-Target,Brand Camp VD,Lunch Bag,Optimized,WFS,Lunch Bags,SEM,WFS Item</t>
        </is>
      </c>
      <c r="G420" s="48" t="n">
        <v>0</v>
      </c>
      <c r="H420" s="48" t="n">
        <v>0</v>
      </c>
      <c r="I420" s="48" t="n">
        <v>0</v>
      </c>
      <c r="J420" s="48" t="n">
        <v>23.98</v>
      </c>
      <c r="K420" s="49" t="n">
        <v>0</v>
      </c>
      <c r="L420" s="49" t="n">
        <v>0</v>
      </c>
      <c r="M420" s="49" t="n">
        <v>0</v>
      </c>
      <c r="N420" s="49" t="n">
        <v>1</v>
      </c>
      <c r="O420" s="49" t="n">
        <v>6</v>
      </c>
      <c r="P420" s="49" t="n">
        <v>7</v>
      </c>
      <c r="Q420" s="49" t="n">
        <v>7</v>
      </c>
      <c r="R420" s="49" t="n">
        <v>6</v>
      </c>
      <c r="S420" s="50" t="n">
        <v>0</v>
      </c>
      <c r="T420" s="50" t="n">
        <v>0</v>
      </c>
      <c r="U420" s="50" t="n">
        <v>0</v>
      </c>
      <c r="V420" s="50" t="n">
        <v>0.1666666666666667</v>
      </c>
      <c r="W420" s="51" t="n">
        <v>0</v>
      </c>
      <c r="X420" s="51" t="n">
        <v>0</v>
      </c>
      <c r="Y420" s="51" t="n">
        <v>0</v>
      </c>
      <c r="Z420" s="51" t="n">
        <v>0</v>
      </c>
      <c r="AA420" s="52" t="n">
        <v>0</v>
      </c>
      <c r="AB420" s="52" t="n">
        <v>0</v>
      </c>
      <c r="AC420" s="52" t="n">
        <v>0</v>
      </c>
      <c r="AD420" s="52" t="n">
        <v>0</v>
      </c>
      <c r="AE420" s="52" t="n">
        <v>0</v>
      </c>
      <c r="AF420" s="52" t="n">
        <v>0</v>
      </c>
      <c r="AG420" s="52" t="n">
        <v>0</v>
      </c>
      <c r="AH420" s="52" t="n">
        <v>0</v>
      </c>
      <c r="AI420" s="52" t="n">
        <v>0</v>
      </c>
      <c r="AJ420" s="52" t="n">
        <v>0</v>
      </c>
      <c r="AK420" s="52" t="n">
        <v>0</v>
      </c>
      <c r="AL420" s="52" t="n">
        <v>0</v>
      </c>
      <c r="AM420" s="53" t="n">
        <v>0</v>
      </c>
      <c r="AN420" s="53" t="n">
        <v>0</v>
      </c>
      <c r="AO420" s="53" t="n">
        <v>0</v>
      </c>
      <c r="AP420" s="53" t="n">
        <v>0</v>
      </c>
      <c r="AQ420" s="52" t="n">
        <v>0</v>
      </c>
      <c r="AR420" s="52" t="n">
        <v>0</v>
      </c>
      <c r="AS420" s="52" t="n">
        <v>0</v>
      </c>
      <c r="AT420" s="52" t="n">
        <v>0</v>
      </c>
      <c r="AU420" s="53" t="n">
        <v>0</v>
      </c>
      <c r="AV420" s="53" t="n">
        <v>0</v>
      </c>
      <c r="AW420" s="53" t="n">
        <v>0</v>
      </c>
      <c r="AX420" s="53" t="n">
        <v>0</v>
      </c>
      <c r="AY420" s="52" t="n">
        <v>0</v>
      </c>
      <c r="AZ420" s="52" t="n">
        <v>0</v>
      </c>
      <c r="BA420" s="52" t="n">
        <v>0</v>
      </c>
      <c r="BB420" s="52" t="n">
        <v>23.98</v>
      </c>
      <c r="BC420" s="51" t="n">
        <v>0</v>
      </c>
      <c r="BD420" s="51" t="n">
        <v>0</v>
      </c>
      <c r="BE420" s="51" t="n">
        <v>0</v>
      </c>
      <c r="BF420" s="51" t="n">
        <v>0</v>
      </c>
    </row>
    <row r="421">
      <c r="A421">
        <f>HYPERLINK("https://www.walmart.com/ip/428103444", "428103444")</f>
        <v/>
      </c>
      <c r="B421" t="inlineStr">
        <is>
          <t>Sherpa Wearable Blanket for Adult Women and Men, Super Soft Comfy Warm Plush Throw with Sleeves TV Blanket Wrap Robe Cover for Lounge Chair Couch 72" x 55" Blue</t>
        </is>
      </c>
      <c r="C421" t="inlineStr">
        <is>
          <t>1TNSN110BL-TPB</t>
        </is>
      </c>
      <c r="D421" t="inlineStr">
        <is>
          <t>Throws</t>
        </is>
      </c>
      <c r="E421" t="inlineStr">
        <is>
          <t>Terrania</t>
        </is>
      </c>
      <c r="F421" t="inlineStr">
        <is>
          <t>WFS,WFS Item</t>
        </is>
      </c>
      <c r="G421" s="48" t="n">
        <v>0</v>
      </c>
      <c r="H421" s="48" t="n">
        <v>0</v>
      </c>
      <c r="I421" s="48" t="n">
        <v>0</v>
      </c>
      <c r="J421" s="48" t="n">
        <v>0</v>
      </c>
      <c r="K421" s="49" t="n">
        <v>0</v>
      </c>
      <c r="L421" s="49" t="n">
        <v>0</v>
      </c>
      <c r="M421" s="49" t="n">
        <v>0</v>
      </c>
      <c r="N421" s="49" t="n">
        <v>0</v>
      </c>
      <c r="O421" s="49" t="n">
        <v>0</v>
      </c>
      <c r="P421" s="49" t="n">
        <v>0</v>
      </c>
      <c r="Q421" s="49" t="n">
        <v>0</v>
      </c>
      <c r="R421" s="49" t="n">
        <v>0</v>
      </c>
      <c r="S421" s="50" t="n">
        <v>0</v>
      </c>
      <c r="T421" s="50" t="n">
        <v>0</v>
      </c>
      <c r="U421" s="50" t="n">
        <v>0</v>
      </c>
      <c r="V421" s="50" t="n">
        <v>0</v>
      </c>
      <c r="W421" s="51" t="n">
        <v>0</v>
      </c>
      <c r="X421" s="51" t="n">
        <v>0</v>
      </c>
      <c r="Y421" s="51" t="n">
        <v>0</v>
      </c>
      <c r="Z421" s="51" t="n">
        <v>0</v>
      </c>
      <c r="AA421" s="52" t="n">
        <v>0</v>
      </c>
      <c r="AB421" s="52" t="n">
        <v>0</v>
      </c>
      <c r="AC421" s="52" t="n">
        <v>0</v>
      </c>
      <c r="AD421" s="52" t="n">
        <v>0</v>
      </c>
      <c r="AE421" s="52" t="n">
        <v>0</v>
      </c>
      <c r="AF421" s="52" t="n">
        <v>0</v>
      </c>
      <c r="AG421" s="52" t="n">
        <v>0</v>
      </c>
      <c r="AH421" s="52" t="n">
        <v>0</v>
      </c>
      <c r="AI421" s="52" t="n">
        <v>0</v>
      </c>
      <c r="AJ421" s="52" t="n">
        <v>0</v>
      </c>
      <c r="AK421" s="52" t="n">
        <v>0</v>
      </c>
      <c r="AL421" s="52" t="n">
        <v>0</v>
      </c>
      <c r="AM421" s="53" t="n">
        <v>0</v>
      </c>
      <c r="AN421" s="53" t="n">
        <v>0</v>
      </c>
      <c r="AO421" s="53" t="n">
        <v>0</v>
      </c>
      <c r="AP421" s="53" t="n">
        <v>0</v>
      </c>
      <c r="AQ421" s="52" t="n">
        <v>0</v>
      </c>
      <c r="AR421" s="52" t="n">
        <v>0</v>
      </c>
      <c r="AS421" s="52" t="n">
        <v>0</v>
      </c>
      <c r="AT421" s="52" t="n">
        <v>0</v>
      </c>
      <c r="AU421" s="53" t="n">
        <v>0</v>
      </c>
      <c r="AV421" s="53" t="n">
        <v>0</v>
      </c>
      <c r="AW421" s="53" t="n">
        <v>0</v>
      </c>
      <c r="AX421" s="53" t="n">
        <v>0</v>
      </c>
      <c r="AY421" s="52" t="n">
        <v>0</v>
      </c>
      <c r="AZ421" s="52" t="n">
        <v>0</v>
      </c>
      <c r="BA421" s="52" t="n">
        <v>0</v>
      </c>
      <c r="BB421" s="52" t="n">
        <v>0</v>
      </c>
      <c r="BC421" s="51" t="n">
        <v>0</v>
      </c>
      <c r="BD421" s="51" t="n">
        <v>0</v>
      </c>
      <c r="BE421" s="51" t="n">
        <v>0</v>
      </c>
      <c r="BF421" s="51" t="n">
        <v>0</v>
      </c>
    </row>
    <row r="422">
      <c r="A422">
        <f>HYPERLINK("https://www.walmart.com/ip/425263143", "425263143")</f>
        <v/>
      </c>
      <c r="B422" t="inlineStr">
        <is>
          <t>Kato 9 Cans Small Insulated Lunch Bag, Mini Thermal Portable Cooler Lunch Box Tote with Dual Zipper Closure for Student Men and Women, Back to School</t>
        </is>
      </c>
      <c r="C422" t="inlineStr">
        <is>
          <t>1KTLB100RD</t>
        </is>
      </c>
      <c r="D422" t="inlineStr">
        <is>
          <t>Reusable Lunch Bags &amp; Boxes</t>
        </is>
      </c>
      <c r="E422" t="inlineStr">
        <is>
          <t>Kato</t>
        </is>
      </c>
      <c r="F422" t="inlineStr">
        <is>
          <t>Q2-Target,Lunch Bag,Lunch Bags</t>
        </is>
      </c>
      <c r="G422" s="48" t="n">
        <v>0</v>
      </c>
      <c r="H422" s="48" t="n">
        <v>0</v>
      </c>
      <c r="I422" s="48" t="n">
        <v>0</v>
      </c>
      <c r="J422" s="48" t="n">
        <v>0</v>
      </c>
      <c r="K422" s="49" t="n">
        <v>0</v>
      </c>
      <c r="L422" s="49" t="n">
        <v>0</v>
      </c>
      <c r="M422" s="49" t="n">
        <v>0</v>
      </c>
      <c r="N422" s="49" t="n">
        <v>0</v>
      </c>
      <c r="O422" s="49" t="n">
        <v>0</v>
      </c>
      <c r="P422" s="49" t="n">
        <v>0</v>
      </c>
      <c r="Q422" s="49" t="n">
        <v>0</v>
      </c>
      <c r="R422" s="49" t="n">
        <v>0</v>
      </c>
      <c r="S422" s="50" t="n">
        <v>0</v>
      </c>
      <c r="T422" s="50" t="n">
        <v>0</v>
      </c>
      <c r="U422" s="50" t="n">
        <v>0</v>
      </c>
      <c r="V422" s="50" t="n">
        <v>0</v>
      </c>
      <c r="W422" s="51" t="n">
        <v>0</v>
      </c>
      <c r="X422" s="51" t="n">
        <v>0</v>
      </c>
      <c r="Y422" s="51" t="n">
        <v>0</v>
      </c>
      <c r="Z422" s="51" t="n">
        <v>0</v>
      </c>
      <c r="AA422" s="52" t="n">
        <v>0</v>
      </c>
      <c r="AB422" s="52" t="n">
        <v>0</v>
      </c>
      <c r="AC422" s="52" t="n">
        <v>0</v>
      </c>
      <c r="AD422" s="52" t="n">
        <v>0</v>
      </c>
      <c r="AE422" s="52" t="n">
        <v>0</v>
      </c>
      <c r="AF422" s="52" t="n">
        <v>0</v>
      </c>
      <c r="AG422" s="52" t="n">
        <v>0</v>
      </c>
      <c r="AH422" s="52" t="n">
        <v>0</v>
      </c>
      <c r="AI422" s="52" t="n">
        <v>0</v>
      </c>
      <c r="AJ422" s="52" t="n">
        <v>0</v>
      </c>
      <c r="AK422" s="52" t="n">
        <v>0</v>
      </c>
      <c r="AL422" s="52" t="n">
        <v>0</v>
      </c>
      <c r="AM422" s="53" t="n">
        <v>0</v>
      </c>
      <c r="AN422" s="53" t="n">
        <v>0</v>
      </c>
      <c r="AO422" s="53" t="n">
        <v>0</v>
      </c>
      <c r="AP422" s="53" t="n">
        <v>0</v>
      </c>
      <c r="AQ422" s="52" t="n">
        <v>0</v>
      </c>
      <c r="AR422" s="52" t="n">
        <v>0</v>
      </c>
      <c r="AS422" s="52" t="n">
        <v>0</v>
      </c>
      <c r="AT422" s="52" t="n">
        <v>0</v>
      </c>
      <c r="AU422" s="53" t="n">
        <v>0</v>
      </c>
      <c r="AV422" s="53" t="n">
        <v>0</v>
      </c>
      <c r="AW422" s="53" t="n">
        <v>0</v>
      </c>
      <c r="AX422" s="53" t="n">
        <v>0</v>
      </c>
      <c r="AY422" s="52" t="n">
        <v>0</v>
      </c>
      <c r="AZ422" s="52" t="n">
        <v>0</v>
      </c>
      <c r="BA422" s="52" t="n">
        <v>0</v>
      </c>
      <c r="BB422" s="52" t="n">
        <v>0</v>
      </c>
      <c r="BC422" s="51" t="n">
        <v>0</v>
      </c>
      <c r="BD422" s="51" t="n">
        <v>0</v>
      </c>
      <c r="BE422" s="51" t="n">
        <v>0</v>
      </c>
      <c r="BF422" s="51" t="n">
        <v>0</v>
      </c>
    </row>
    <row r="423">
      <c r="A423">
        <f>HYPERLINK("https://www.walmart.com/ip/424789136", "424789136")</f>
        <v/>
      </c>
      <c r="B423" t="inlineStr">
        <is>
          <t>Houndstooth Sherpa Fleece Throw Blanket, Cozy Fuzzy Jacquard Blanket for the Couch Bed | Fluffy Comfy Warm Heavy Throws | Comfort Caring Gift, 50x60 inches</t>
        </is>
      </c>
      <c r="C423" t="inlineStr">
        <is>
          <t>1CTBF573BKDENTE</t>
        </is>
      </c>
      <c r="D423" t="inlineStr">
        <is>
          <t>Throws</t>
        </is>
      </c>
      <c r="E423" t="inlineStr">
        <is>
          <t>Catalonia</t>
        </is>
      </c>
      <c r="F423" t="inlineStr">
        <is>
          <t>Q2-Target,Optimized</t>
        </is>
      </c>
      <c r="G423" s="48" t="n">
        <v>0</v>
      </c>
      <c r="H423" s="48" t="n">
        <v>0</v>
      </c>
      <c r="I423" s="48" t="n">
        <v>0</v>
      </c>
      <c r="J423" s="48" t="n">
        <v>0</v>
      </c>
      <c r="K423" s="49" t="n">
        <v>0</v>
      </c>
      <c r="L423" s="49" t="n">
        <v>0</v>
      </c>
      <c r="M423" s="49" t="n">
        <v>0</v>
      </c>
      <c r="N423" s="49" t="n">
        <v>0</v>
      </c>
      <c r="O423" s="49" t="n">
        <v>0</v>
      </c>
      <c r="P423" s="49" t="n">
        <v>0</v>
      </c>
      <c r="Q423" s="49" t="n">
        <v>0</v>
      </c>
      <c r="R423" s="49" t="n">
        <v>0</v>
      </c>
      <c r="S423" s="50" t="n">
        <v>0</v>
      </c>
      <c r="T423" s="50" t="n">
        <v>0</v>
      </c>
      <c r="U423" s="50" t="n">
        <v>0</v>
      </c>
      <c r="V423" s="50" t="n">
        <v>0</v>
      </c>
      <c r="W423" s="51" t="n">
        <v>0</v>
      </c>
      <c r="X423" s="51" t="n">
        <v>0</v>
      </c>
      <c r="Y423" s="51" t="n">
        <v>0</v>
      </c>
      <c r="Z423" s="51" t="n">
        <v>0</v>
      </c>
      <c r="AA423" s="52" t="n">
        <v>0</v>
      </c>
      <c r="AB423" s="52" t="n">
        <v>0</v>
      </c>
      <c r="AC423" s="52" t="n">
        <v>0</v>
      </c>
      <c r="AD423" s="52" t="n">
        <v>0</v>
      </c>
      <c r="AE423" s="52" t="n">
        <v>0</v>
      </c>
      <c r="AF423" s="52" t="n">
        <v>0</v>
      </c>
      <c r="AG423" s="52" t="n">
        <v>0</v>
      </c>
      <c r="AH423" s="52" t="n">
        <v>0</v>
      </c>
      <c r="AI423" s="52" t="n">
        <v>0</v>
      </c>
      <c r="AJ423" s="52" t="n">
        <v>0</v>
      </c>
      <c r="AK423" s="52" t="n">
        <v>0</v>
      </c>
      <c r="AL423" s="52" t="n">
        <v>0</v>
      </c>
      <c r="AM423" s="53" t="n">
        <v>0</v>
      </c>
      <c r="AN423" s="53" t="n">
        <v>0</v>
      </c>
      <c r="AO423" s="53" t="n">
        <v>0</v>
      </c>
      <c r="AP423" s="53" t="n">
        <v>0</v>
      </c>
      <c r="AQ423" s="52" t="n">
        <v>0</v>
      </c>
      <c r="AR423" s="52" t="n">
        <v>0</v>
      </c>
      <c r="AS423" s="52" t="n">
        <v>0</v>
      </c>
      <c r="AT423" s="52" t="n">
        <v>0</v>
      </c>
      <c r="AU423" s="53" t="n">
        <v>0</v>
      </c>
      <c r="AV423" s="53" t="n">
        <v>0</v>
      </c>
      <c r="AW423" s="53" t="n">
        <v>0</v>
      </c>
      <c r="AX423" s="53" t="n">
        <v>0</v>
      </c>
      <c r="AY423" s="52" t="n">
        <v>0</v>
      </c>
      <c r="AZ423" s="52" t="n">
        <v>0</v>
      </c>
      <c r="BA423" s="52" t="n">
        <v>0</v>
      </c>
      <c r="BB423" s="52" t="n">
        <v>0</v>
      </c>
      <c r="BC423" s="51" t="n">
        <v>0</v>
      </c>
      <c r="BD423" s="51" t="n">
        <v>0</v>
      </c>
      <c r="BE423" s="51" t="n">
        <v>0</v>
      </c>
      <c r="BF423" s="51" t="n">
        <v>0</v>
      </c>
    </row>
    <row r="424">
      <c r="A424">
        <f>HYPERLINK("https://www.walmart.com/ip/420029764", "420029764")</f>
        <v/>
      </c>
      <c r="B424" t="inlineStr">
        <is>
          <t>Catalonia Sherpa Wearable Blanket Poncho for Adult Women Men, Wrap Blanket Cape with Pocket, Warm, Soft, Cozy, Snuggly, Comfort Gift, No Sleeves, Purple</t>
        </is>
      </c>
      <c r="C424" t="inlineStr">
        <is>
          <t>1CTBP110PP</t>
        </is>
      </c>
      <c r="D424" t="inlineStr">
        <is>
          <t>Throws</t>
        </is>
      </c>
      <c r="E424" t="inlineStr">
        <is>
          <t>Catalonia</t>
        </is>
      </c>
      <c r="F424" t="inlineStr">
        <is>
          <t>Hero 5 Holidays,Batch 1 - TR</t>
        </is>
      </c>
      <c r="G424" s="48" t="n">
        <v>0</v>
      </c>
      <c r="H424" s="48" t="n">
        <v>0</v>
      </c>
      <c r="I424" s="48" t="n">
        <v>0</v>
      </c>
      <c r="J424" s="48" t="n">
        <v>0</v>
      </c>
      <c r="K424" s="49" t="n">
        <v>0</v>
      </c>
      <c r="L424" s="49" t="n">
        <v>0</v>
      </c>
      <c r="M424" s="49" t="n">
        <v>0</v>
      </c>
      <c r="N424" s="49" t="n">
        <v>0</v>
      </c>
      <c r="O424" s="49" t="n">
        <v>0</v>
      </c>
      <c r="P424" s="49" t="n">
        <v>0</v>
      </c>
      <c r="Q424" s="49" t="n">
        <v>0</v>
      </c>
      <c r="R424" s="49" t="n">
        <v>0</v>
      </c>
      <c r="S424" s="50" t="n">
        <v>0</v>
      </c>
      <c r="T424" s="50" t="n">
        <v>0</v>
      </c>
      <c r="U424" s="50" t="n">
        <v>0</v>
      </c>
      <c r="V424" s="50" t="n">
        <v>0</v>
      </c>
      <c r="W424" s="51" t="n">
        <v>0</v>
      </c>
      <c r="X424" s="51" t="n">
        <v>0</v>
      </c>
      <c r="Y424" s="51" t="n">
        <v>0</v>
      </c>
      <c r="Z424" s="51" t="n">
        <v>0</v>
      </c>
      <c r="AA424" s="52" t="n">
        <v>0</v>
      </c>
      <c r="AB424" s="52" t="n">
        <v>0</v>
      </c>
      <c r="AC424" s="52" t="n">
        <v>0</v>
      </c>
      <c r="AD424" s="52" t="n">
        <v>0</v>
      </c>
      <c r="AE424" s="52" t="n">
        <v>0</v>
      </c>
      <c r="AF424" s="52" t="n">
        <v>0</v>
      </c>
      <c r="AG424" s="52" t="n">
        <v>0</v>
      </c>
      <c r="AH424" s="52" t="n">
        <v>0</v>
      </c>
      <c r="AI424" s="52" t="n">
        <v>0</v>
      </c>
      <c r="AJ424" s="52" t="n">
        <v>0</v>
      </c>
      <c r="AK424" s="52" t="n">
        <v>0</v>
      </c>
      <c r="AL424" s="52" t="n">
        <v>0</v>
      </c>
      <c r="AM424" s="53" t="n">
        <v>0</v>
      </c>
      <c r="AN424" s="53" t="n">
        <v>0</v>
      </c>
      <c r="AO424" s="53" t="n">
        <v>0</v>
      </c>
      <c r="AP424" s="53" t="n">
        <v>0</v>
      </c>
      <c r="AQ424" s="52" t="n">
        <v>0</v>
      </c>
      <c r="AR424" s="52" t="n">
        <v>0</v>
      </c>
      <c r="AS424" s="52" t="n">
        <v>0</v>
      </c>
      <c r="AT424" s="52" t="n">
        <v>0</v>
      </c>
      <c r="AU424" s="53" t="n">
        <v>0</v>
      </c>
      <c r="AV424" s="53" t="n">
        <v>0</v>
      </c>
      <c r="AW424" s="53" t="n">
        <v>0</v>
      </c>
      <c r="AX424" s="53" t="n">
        <v>0</v>
      </c>
      <c r="AY424" s="52" t="n">
        <v>0</v>
      </c>
      <c r="AZ424" s="52" t="n">
        <v>0</v>
      </c>
      <c r="BA424" s="52" t="n">
        <v>0</v>
      </c>
      <c r="BB424" s="52" t="n">
        <v>0</v>
      </c>
      <c r="BC424" s="51" t="n">
        <v>1</v>
      </c>
      <c r="BD424" s="51" t="n">
        <v>0</v>
      </c>
      <c r="BE424" s="51" t="n">
        <v>0</v>
      </c>
      <c r="BF424" s="51" t="n">
        <v>0</v>
      </c>
    </row>
    <row r="425">
      <c r="A425">
        <f>HYPERLINK("https://www.walmart.com/ip/416219452", "416219452")</f>
        <v/>
      </c>
      <c r="B425" t="inlineStr">
        <is>
          <t>Jennis 2 Women's Beileise  Sexy Net Pantyhose  Stockings Black Sheer Socks</t>
        </is>
      </c>
      <c r="C425" t="inlineStr">
        <is>
          <t>JWBLSPH2085-2 Packs</t>
        </is>
      </c>
      <c r="D425" t="inlineStr">
        <is>
          <t>Pantyhose &amp; Tights</t>
        </is>
      </c>
      <c r="E425" t="inlineStr">
        <is>
          <t>JenniWears</t>
        </is>
      </c>
      <c r="F425" t="inlineStr">
        <is>
          <t>Optimized,Valentine</t>
        </is>
      </c>
      <c r="G425" s="48" t="n">
        <v>0</v>
      </c>
      <c r="H425" s="48" t="n">
        <v>0</v>
      </c>
      <c r="I425" s="48" t="n">
        <v>0</v>
      </c>
      <c r="J425" s="48" t="n">
        <v>0</v>
      </c>
      <c r="K425" s="49" t="n">
        <v>0</v>
      </c>
      <c r="L425" s="49" t="n">
        <v>0</v>
      </c>
      <c r="M425" s="49" t="n">
        <v>0</v>
      </c>
      <c r="N425" s="49" t="n">
        <v>0</v>
      </c>
      <c r="O425" s="49" t="n">
        <v>0</v>
      </c>
      <c r="P425" s="49" t="n">
        <v>0</v>
      </c>
      <c r="Q425" s="49" t="n">
        <v>0</v>
      </c>
      <c r="R425" s="49" t="n">
        <v>0</v>
      </c>
      <c r="S425" s="50" t="n">
        <v>0</v>
      </c>
      <c r="T425" s="50" t="n">
        <v>0</v>
      </c>
      <c r="U425" s="50" t="n">
        <v>0</v>
      </c>
      <c r="V425" s="50" t="n">
        <v>0</v>
      </c>
      <c r="W425" s="51" t="n">
        <v>0</v>
      </c>
      <c r="X425" s="51" t="n">
        <v>0</v>
      </c>
      <c r="Y425" s="51" t="n">
        <v>0</v>
      </c>
      <c r="Z425" s="51" t="n">
        <v>0</v>
      </c>
      <c r="AA425" s="52" t="n">
        <v>0</v>
      </c>
      <c r="AB425" s="52" t="n">
        <v>0</v>
      </c>
      <c r="AC425" s="52" t="n">
        <v>0</v>
      </c>
      <c r="AD425" s="52" t="n">
        <v>0</v>
      </c>
      <c r="AE425" s="52" t="n">
        <v>0</v>
      </c>
      <c r="AF425" s="52" t="n">
        <v>0</v>
      </c>
      <c r="AG425" s="52" t="n">
        <v>0</v>
      </c>
      <c r="AH425" s="52" t="n">
        <v>0</v>
      </c>
      <c r="AI425" s="52" t="n">
        <v>0</v>
      </c>
      <c r="AJ425" s="52" t="n">
        <v>0</v>
      </c>
      <c r="AK425" s="52" t="n">
        <v>0</v>
      </c>
      <c r="AL425" s="52" t="n">
        <v>0</v>
      </c>
      <c r="AM425" s="53" t="n">
        <v>0</v>
      </c>
      <c r="AN425" s="53" t="n">
        <v>0</v>
      </c>
      <c r="AO425" s="53" t="n">
        <v>0</v>
      </c>
      <c r="AP425" s="53" t="n">
        <v>0</v>
      </c>
      <c r="AQ425" s="52" t="n">
        <v>0</v>
      </c>
      <c r="AR425" s="52" t="n">
        <v>0</v>
      </c>
      <c r="AS425" s="52" t="n">
        <v>0</v>
      </c>
      <c r="AT425" s="52" t="n">
        <v>0</v>
      </c>
      <c r="AU425" s="53" t="n">
        <v>0</v>
      </c>
      <c r="AV425" s="53" t="n">
        <v>0</v>
      </c>
      <c r="AW425" s="53" t="n">
        <v>0</v>
      </c>
      <c r="AX425" s="53" t="n">
        <v>0</v>
      </c>
      <c r="AY425" s="52" t="n">
        <v>0</v>
      </c>
      <c r="AZ425" s="52" t="n">
        <v>0</v>
      </c>
      <c r="BA425" s="52" t="n">
        <v>0</v>
      </c>
      <c r="BB425" s="52" t="n">
        <v>0</v>
      </c>
      <c r="BC425" s="51" t="n">
        <v>0</v>
      </c>
      <c r="BD425" s="51" t="n">
        <v>0</v>
      </c>
      <c r="BE425" s="51" t="n">
        <v>0</v>
      </c>
      <c r="BF425" s="51" t="n">
        <v>0</v>
      </c>
    </row>
    <row r="426">
      <c r="A426">
        <f>HYPERLINK("https://www.walmart.com/ip/417731551", "417731551")</f>
        <v/>
      </c>
      <c r="B426" t="inlineStr">
        <is>
          <t>Women's High Waist Yoga Pants Workout Running Capri Legging Inner Pocket</t>
        </is>
      </c>
      <c r="C426" t="inlineStr">
        <is>
          <t>1TRYP102PK-XXL</t>
        </is>
      </c>
      <c r="D426" t="inlineStr">
        <is>
          <t>Leggings</t>
        </is>
      </c>
      <c r="E426" t="inlineStr">
        <is>
          <t>Tirrinia</t>
        </is>
      </c>
      <c r="F426" t="inlineStr">
        <is>
          <t>Optimized</t>
        </is>
      </c>
      <c r="G426" s="48" t="n">
        <v>0</v>
      </c>
      <c r="H426" s="48" t="n">
        <v>0</v>
      </c>
      <c r="I426" s="48" t="n">
        <v>0</v>
      </c>
      <c r="J426" s="48" t="n">
        <v>0</v>
      </c>
      <c r="K426" s="49" t="n">
        <v>0</v>
      </c>
      <c r="L426" s="49" t="n">
        <v>0</v>
      </c>
      <c r="M426" s="49" t="n">
        <v>0</v>
      </c>
      <c r="N426" s="49" t="n">
        <v>0</v>
      </c>
      <c r="O426" s="49" t="n">
        <v>0</v>
      </c>
      <c r="P426" s="49" t="n">
        <v>0</v>
      </c>
      <c r="Q426" s="49" t="n">
        <v>0</v>
      </c>
      <c r="R426" s="49" t="n">
        <v>0</v>
      </c>
      <c r="S426" s="50" t="n">
        <v>0</v>
      </c>
      <c r="T426" s="50" t="n">
        <v>0</v>
      </c>
      <c r="U426" s="50" t="n">
        <v>0</v>
      </c>
      <c r="V426" s="50" t="n">
        <v>0</v>
      </c>
      <c r="W426" s="51" t="n">
        <v>0</v>
      </c>
      <c r="X426" s="51" t="n">
        <v>0</v>
      </c>
      <c r="Y426" s="51" t="n">
        <v>0</v>
      </c>
      <c r="Z426" s="51" t="n">
        <v>0</v>
      </c>
      <c r="AA426" s="52" t="n">
        <v>0</v>
      </c>
      <c r="AB426" s="52" t="n">
        <v>0</v>
      </c>
      <c r="AC426" s="52" t="n">
        <v>0</v>
      </c>
      <c r="AD426" s="52" t="n">
        <v>0</v>
      </c>
      <c r="AE426" s="52" t="n">
        <v>0</v>
      </c>
      <c r="AF426" s="52" t="n">
        <v>0</v>
      </c>
      <c r="AG426" s="52" t="n">
        <v>0</v>
      </c>
      <c r="AH426" s="52" t="n">
        <v>0</v>
      </c>
      <c r="AI426" s="52" t="n">
        <v>0</v>
      </c>
      <c r="AJ426" s="52" t="n">
        <v>0</v>
      </c>
      <c r="AK426" s="52" t="n">
        <v>0</v>
      </c>
      <c r="AL426" s="52" t="n">
        <v>0</v>
      </c>
      <c r="AM426" s="53" t="n">
        <v>0</v>
      </c>
      <c r="AN426" s="53" t="n">
        <v>0</v>
      </c>
      <c r="AO426" s="53" t="n">
        <v>0</v>
      </c>
      <c r="AP426" s="53" t="n">
        <v>0</v>
      </c>
      <c r="AQ426" s="52" t="n">
        <v>0</v>
      </c>
      <c r="AR426" s="52" t="n">
        <v>0</v>
      </c>
      <c r="AS426" s="52" t="n">
        <v>0</v>
      </c>
      <c r="AT426" s="52" t="n">
        <v>0</v>
      </c>
      <c r="AU426" s="53" t="n">
        <v>0</v>
      </c>
      <c r="AV426" s="53" t="n">
        <v>0</v>
      </c>
      <c r="AW426" s="53" t="n">
        <v>0</v>
      </c>
      <c r="AX426" s="53" t="n">
        <v>0</v>
      </c>
      <c r="AY426" s="52" t="n">
        <v>0</v>
      </c>
      <c r="AZ426" s="52" t="n">
        <v>0</v>
      </c>
      <c r="BA426" s="52" t="n">
        <v>0</v>
      </c>
      <c r="BB426" s="52" t="n">
        <v>0</v>
      </c>
      <c r="BC426" s="51" t="n">
        <v>0</v>
      </c>
      <c r="BD426" s="51" t="n">
        <v>0</v>
      </c>
      <c r="BE426" s="51" t="n">
        <v>0</v>
      </c>
      <c r="BF426" s="51" t="n">
        <v>0</v>
      </c>
    </row>
    <row r="427">
      <c r="A427">
        <f>HYPERLINK("https://www.walmart.com/ip/419347891", "419347891")</f>
        <v/>
      </c>
      <c r="B427" t="inlineStr">
        <is>
          <t>Flyingstar Lunch Bag for Women Men, Insulated Lunch Tote for Working/School/Picnic Fashionable Cooler Bag</t>
        </is>
      </c>
      <c r="C427" t="inlineStr">
        <is>
          <t>1WMLB704DBL</t>
        </is>
      </c>
      <c r="D427" t="inlineStr">
        <is>
          <t>Reusable Lunch Bags &amp; Boxes</t>
        </is>
      </c>
      <c r="E427" t="inlineStr">
        <is>
          <t>Flyingstar</t>
        </is>
      </c>
      <c r="F427" t="inlineStr">
        <is>
          <t>Q2-Target,Lunch Bag</t>
        </is>
      </c>
      <c r="G427" s="48" t="n">
        <v>0</v>
      </c>
      <c r="H427" s="48" t="n">
        <v>0</v>
      </c>
      <c r="I427" s="48" t="n">
        <v>10.09</v>
      </c>
      <c r="J427" s="48" t="n">
        <v>0</v>
      </c>
      <c r="K427" s="49" t="n">
        <v>0</v>
      </c>
      <c r="L427" s="49" t="n">
        <v>0</v>
      </c>
      <c r="M427" s="49" t="n">
        <v>1</v>
      </c>
      <c r="N427" s="49" t="n">
        <v>0</v>
      </c>
      <c r="O427" s="49" t="n">
        <v>0</v>
      </c>
      <c r="P427" s="49" t="n">
        <v>2</v>
      </c>
      <c r="Q427" s="49" t="n">
        <v>5</v>
      </c>
      <c r="R427" s="49" t="n">
        <v>0</v>
      </c>
      <c r="S427" s="50" t="n">
        <v>0</v>
      </c>
      <c r="T427" s="50" t="n">
        <v>0</v>
      </c>
      <c r="U427" s="50" t="n">
        <v>0.2</v>
      </c>
      <c r="V427" s="50" t="n">
        <v>0</v>
      </c>
      <c r="W427" s="51" t="n">
        <v>0</v>
      </c>
      <c r="X427" s="51" t="n">
        <v>0</v>
      </c>
      <c r="Y427" s="51" t="n">
        <v>0</v>
      </c>
      <c r="Z427" s="51" t="n">
        <v>0</v>
      </c>
      <c r="AA427" s="52" t="n">
        <v>0</v>
      </c>
      <c r="AB427" s="52" t="n">
        <v>0</v>
      </c>
      <c r="AC427" s="52" t="n">
        <v>0</v>
      </c>
      <c r="AD427" s="52" t="n">
        <v>0</v>
      </c>
      <c r="AE427" s="52" t="n">
        <v>0</v>
      </c>
      <c r="AF427" s="52" t="n">
        <v>0</v>
      </c>
      <c r="AG427" s="52" t="n">
        <v>0</v>
      </c>
      <c r="AH427" s="52" t="n">
        <v>0</v>
      </c>
      <c r="AI427" s="52" t="n">
        <v>0</v>
      </c>
      <c r="AJ427" s="52" t="n">
        <v>0</v>
      </c>
      <c r="AK427" s="52" t="n">
        <v>0</v>
      </c>
      <c r="AL427" s="52" t="n">
        <v>0</v>
      </c>
      <c r="AM427" s="53" t="n">
        <v>0</v>
      </c>
      <c r="AN427" s="53" t="n">
        <v>0</v>
      </c>
      <c r="AO427" s="53" t="n">
        <v>0</v>
      </c>
      <c r="AP427" s="53" t="n">
        <v>0</v>
      </c>
      <c r="AQ427" s="52" t="n">
        <v>0</v>
      </c>
      <c r="AR427" s="52" t="n">
        <v>0</v>
      </c>
      <c r="AS427" s="52" t="n">
        <v>0</v>
      </c>
      <c r="AT427" s="52" t="n">
        <v>0</v>
      </c>
      <c r="AU427" s="53" t="n">
        <v>0</v>
      </c>
      <c r="AV427" s="53" t="n">
        <v>0</v>
      </c>
      <c r="AW427" s="53" t="n">
        <v>0</v>
      </c>
      <c r="AX427" s="53" t="n">
        <v>0</v>
      </c>
      <c r="AY427" s="52" t="n">
        <v>0</v>
      </c>
      <c r="AZ427" s="52" t="n">
        <v>0</v>
      </c>
      <c r="BA427" s="52" t="n">
        <v>10.09</v>
      </c>
      <c r="BB427" s="52" t="n">
        <v>0</v>
      </c>
      <c r="BC427" s="51" t="n">
        <v>0</v>
      </c>
      <c r="BD427" s="51" t="n">
        <v>0</v>
      </c>
      <c r="BE427" s="51" t="n">
        <v>0</v>
      </c>
      <c r="BF427" s="51" t="n">
        <v>0</v>
      </c>
    </row>
    <row r="428">
      <c r="A428">
        <f>HYPERLINK("https://www.walmart.com/ip/419531015", "419531015")</f>
        <v/>
      </c>
      <c r="B428" t="inlineStr">
        <is>
          <t>Tirrinia Insulated Lunch Bag for Women Men, Leakproof Thermal Reusable Lunch Box for Adult &amp; Kids, Lunch Cooler Tote for Office Work Back to School, Olive</t>
        </is>
      </c>
      <c r="C428" t="inlineStr">
        <is>
          <t>1TRLB701P1OL</t>
        </is>
      </c>
      <c r="D428" t="inlineStr">
        <is>
          <t>Reusable Lunch Bags &amp; Boxes</t>
        </is>
      </c>
      <c r="E428" t="inlineStr">
        <is>
          <t>Tirrinia</t>
        </is>
      </c>
      <c r="F428" t="inlineStr">
        <is>
          <t>Q2-Target,Brand Camp VD,Lunch Bag,Optimized,Lunch Bags,SEM</t>
        </is>
      </c>
      <c r="G428" s="48" t="n">
        <v>0</v>
      </c>
      <c r="H428" s="48" t="n">
        <v>0</v>
      </c>
      <c r="I428" s="48" t="n">
        <v>0</v>
      </c>
      <c r="J428" s="48" t="n">
        <v>0</v>
      </c>
      <c r="K428" s="49" t="n">
        <v>0</v>
      </c>
      <c r="L428" s="49" t="n">
        <v>0</v>
      </c>
      <c r="M428" s="49" t="n">
        <v>0</v>
      </c>
      <c r="N428" s="49" t="n">
        <v>0</v>
      </c>
      <c r="O428" s="49" t="n">
        <v>0</v>
      </c>
      <c r="P428" s="49" t="n">
        <v>0</v>
      </c>
      <c r="Q428" s="49" t="n">
        <v>0</v>
      </c>
      <c r="R428" s="49" t="n">
        <v>0</v>
      </c>
      <c r="S428" s="50" t="n">
        <v>0</v>
      </c>
      <c r="T428" s="50" t="n">
        <v>0</v>
      </c>
      <c r="U428" s="50" t="n">
        <v>0</v>
      </c>
      <c r="V428" s="50" t="n">
        <v>0</v>
      </c>
      <c r="W428" s="51" t="n">
        <v>0</v>
      </c>
      <c r="X428" s="51" t="n">
        <v>0</v>
      </c>
      <c r="Y428" s="51" t="n">
        <v>0</v>
      </c>
      <c r="Z428" s="51" t="n">
        <v>0</v>
      </c>
      <c r="AA428" s="52" t="n">
        <v>0</v>
      </c>
      <c r="AB428" s="52" t="n">
        <v>0</v>
      </c>
      <c r="AC428" s="52" t="n">
        <v>0</v>
      </c>
      <c r="AD428" s="52" t="n">
        <v>0</v>
      </c>
      <c r="AE428" s="52" t="n">
        <v>0</v>
      </c>
      <c r="AF428" s="52" t="n">
        <v>0</v>
      </c>
      <c r="AG428" s="52" t="n">
        <v>0</v>
      </c>
      <c r="AH428" s="52" t="n">
        <v>0</v>
      </c>
      <c r="AI428" s="52" t="n">
        <v>0</v>
      </c>
      <c r="AJ428" s="52" t="n">
        <v>0</v>
      </c>
      <c r="AK428" s="52" t="n">
        <v>0</v>
      </c>
      <c r="AL428" s="52" t="n">
        <v>0</v>
      </c>
      <c r="AM428" s="53" t="n">
        <v>0</v>
      </c>
      <c r="AN428" s="53" t="n">
        <v>0</v>
      </c>
      <c r="AO428" s="53" t="n">
        <v>0</v>
      </c>
      <c r="AP428" s="53" t="n">
        <v>0</v>
      </c>
      <c r="AQ428" s="52" t="n">
        <v>0</v>
      </c>
      <c r="AR428" s="52" t="n">
        <v>0</v>
      </c>
      <c r="AS428" s="52" t="n">
        <v>0</v>
      </c>
      <c r="AT428" s="52" t="n">
        <v>0</v>
      </c>
      <c r="AU428" s="53" t="n">
        <v>0</v>
      </c>
      <c r="AV428" s="53" t="n">
        <v>0</v>
      </c>
      <c r="AW428" s="53" t="n">
        <v>0</v>
      </c>
      <c r="AX428" s="53" t="n">
        <v>0</v>
      </c>
      <c r="AY428" s="52" t="n">
        <v>0</v>
      </c>
      <c r="AZ428" s="52" t="n">
        <v>0</v>
      </c>
      <c r="BA428" s="52" t="n">
        <v>0</v>
      </c>
      <c r="BB428" s="52" t="n">
        <v>0</v>
      </c>
      <c r="BC428" s="51" t="n">
        <v>0</v>
      </c>
      <c r="BD428" s="51" t="n">
        <v>0</v>
      </c>
      <c r="BE428" s="51" t="n">
        <v>0</v>
      </c>
      <c r="BF428" s="51" t="n">
        <v>0</v>
      </c>
    </row>
    <row r="429">
      <c r="A429">
        <f>HYPERLINK("https://www.walmart.com/ip/419706539", "419706539")</f>
        <v/>
      </c>
      <c r="B429" t="inlineStr">
        <is>
          <t>Tirrinia Insulated 2 Bottle Wine Tote Bag - Wine Tumbler Glass Cooler Carrier for BYOB Restaurants,  Wine Tasting, Travel, Park, Beach, Great Wine Lover Gift, White Flower</t>
        </is>
      </c>
      <c r="C429" t="inlineStr">
        <is>
          <t>1TRWB231WTFL</t>
        </is>
      </c>
      <c r="D429" t="inlineStr">
        <is>
          <t>Wine Totes, Bags &amp; Backpacks</t>
        </is>
      </c>
      <c r="E429" t="inlineStr">
        <is>
          <t>Tirrinia</t>
        </is>
      </c>
      <c r="F429" t="inlineStr">
        <is>
          <t>Wine,Christmas,WFS,Wine WFS,Valentine,WFS Item</t>
        </is>
      </c>
      <c r="G429" s="48" t="n">
        <v>0</v>
      </c>
      <c r="H429" s="48" t="n">
        <v>0</v>
      </c>
      <c r="I429" s="48" t="n">
        <v>0</v>
      </c>
      <c r="J429" s="48" t="n">
        <v>0</v>
      </c>
      <c r="K429" s="49" t="n">
        <v>0</v>
      </c>
      <c r="L429" s="49" t="n">
        <v>0</v>
      </c>
      <c r="M429" s="49" t="n">
        <v>0</v>
      </c>
      <c r="N429" s="49" t="n">
        <v>0</v>
      </c>
      <c r="O429" s="49" t="n">
        <v>0</v>
      </c>
      <c r="P429" s="49" t="n">
        <v>0</v>
      </c>
      <c r="Q429" s="49" t="n">
        <v>0</v>
      </c>
      <c r="R429" s="49" t="n">
        <v>0</v>
      </c>
      <c r="S429" s="50" t="n">
        <v>0</v>
      </c>
      <c r="T429" s="50" t="n">
        <v>0</v>
      </c>
      <c r="U429" s="50" t="n">
        <v>0</v>
      </c>
      <c r="V429" s="50" t="n">
        <v>0</v>
      </c>
      <c r="W429" s="51" t="n">
        <v>9</v>
      </c>
      <c r="X429" s="51" t="n">
        <v>8</v>
      </c>
      <c r="Y429" s="51" t="n">
        <v>8</v>
      </c>
      <c r="Z429" s="51" t="n">
        <v>4</v>
      </c>
      <c r="AA429" s="52" t="n">
        <v>3.92</v>
      </c>
      <c r="AB429" s="52" t="n">
        <v>3.44</v>
      </c>
      <c r="AC429" s="52" t="n">
        <v>3.31</v>
      </c>
      <c r="AD429" s="52" t="n">
        <v>1.72</v>
      </c>
      <c r="AE429" s="52" t="n">
        <v>0</v>
      </c>
      <c r="AF429" s="52" t="n">
        <v>0</v>
      </c>
      <c r="AG429" s="52" t="n">
        <v>0</v>
      </c>
      <c r="AH429" s="52" t="n">
        <v>0</v>
      </c>
      <c r="AI429" s="52" t="n">
        <v>0</v>
      </c>
      <c r="AJ429" s="52" t="n">
        <v>0</v>
      </c>
      <c r="AK429" s="52" t="n">
        <v>0</v>
      </c>
      <c r="AL429" s="52" t="n">
        <v>0</v>
      </c>
      <c r="AM429" s="53" t="n">
        <v>0.0036</v>
      </c>
      <c r="AN429" s="53" t="n">
        <v>0.0043</v>
      </c>
      <c r="AO429" s="53" t="n">
        <v>0.0054</v>
      </c>
      <c r="AP429" s="53" t="n">
        <v>0.004</v>
      </c>
      <c r="AQ429" s="52" t="n">
        <v>0.4355555555555555</v>
      </c>
      <c r="AR429" s="52" t="n">
        <v>0.43</v>
      </c>
      <c r="AS429" s="52" t="n">
        <v>0.41375</v>
      </c>
      <c r="AT429" s="52" t="n">
        <v>0.43</v>
      </c>
      <c r="AU429" s="53" t="n">
        <v>0</v>
      </c>
      <c r="AV429" s="53" t="n">
        <v>0</v>
      </c>
      <c r="AW429" s="53" t="n">
        <v>0</v>
      </c>
      <c r="AX429" s="53" t="n">
        <v>0</v>
      </c>
      <c r="AY429" s="52" t="n">
        <v>0</v>
      </c>
      <c r="AZ429" s="52" t="n">
        <v>0</v>
      </c>
      <c r="BA429" s="52" t="n">
        <v>0</v>
      </c>
      <c r="BB429" s="52" t="n">
        <v>0</v>
      </c>
      <c r="BC429" s="51" t="n">
        <v>2492</v>
      </c>
      <c r="BD429" s="51" t="n">
        <v>1869</v>
      </c>
      <c r="BE429" s="51" t="n">
        <v>1476</v>
      </c>
      <c r="BF429" s="51" t="n">
        <v>1006</v>
      </c>
    </row>
    <row r="430">
      <c r="A430">
        <f>HYPERLINK("https://www.walmart.com/ip/419719505", "419719505")</f>
        <v/>
      </c>
      <c r="B430" t="inlineStr">
        <is>
          <t>Catalonia Throw Blanket, Super Soft Plush Blanket, Sofa Couch Fleece Blanket, TV Bed Blanket, Comfy Cozy Fluffy Warm, Christmas Theme Throws, Holiday Gift Blanket 50x60 inch - Reindeer</t>
        </is>
      </c>
      <c r="C430" t="inlineStr">
        <is>
          <t>1CTBF571XMAS</t>
        </is>
      </c>
      <c r="D430" t="inlineStr">
        <is>
          <t>Throws</t>
        </is>
      </c>
      <c r="E430" t="inlineStr">
        <is>
          <t>Catalonia</t>
        </is>
      </c>
      <c r="F430" t="inlineStr">
        <is>
          <t>Q2-Target,Christmas,Optimized,Hero 5 Holidays,WFS Item</t>
        </is>
      </c>
      <c r="G430" s="48" t="n">
        <v>0</v>
      </c>
      <c r="H430" s="48" t="n">
        <v>0</v>
      </c>
      <c r="I430" s="48" t="n">
        <v>0</v>
      </c>
      <c r="J430" s="48" t="n">
        <v>0</v>
      </c>
      <c r="K430" s="49" t="n">
        <v>0</v>
      </c>
      <c r="L430" s="49" t="n">
        <v>0</v>
      </c>
      <c r="M430" s="49" t="n">
        <v>0</v>
      </c>
      <c r="N430" s="49" t="n">
        <v>0</v>
      </c>
      <c r="O430" s="49" t="n">
        <v>0</v>
      </c>
      <c r="P430" s="49" t="n">
        <v>0</v>
      </c>
      <c r="Q430" s="49" t="n">
        <v>0</v>
      </c>
      <c r="R430" s="49" t="n">
        <v>0</v>
      </c>
      <c r="S430" s="50" t="n">
        <v>0</v>
      </c>
      <c r="T430" s="50" t="n">
        <v>0</v>
      </c>
      <c r="U430" s="50" t="n">
        <v>0</v>
      </c>
      <c r="V430" s="50" t="n">
        <v>0</v>
      </c>
      <c r="W430" s="51" t="n">
        <v>0</v>
      </c>
      <c r="X430" s="51" t="n">
        <v>0</v>
      </c>
      <c r="Y430" s="51" t="n">
        <v>0</v>
      </c>
      <c r="Z430" s="51" t="n">
        <v>0</v>
      </c>
      <c r="AA430" s="52" t="n">
        <v>0</v>
      </c>
      <c r="AB430" s="52" t="n">
        <v>0</v>
      </c>
      <c r="AC430" s="52" t="n">
        <v>0</v>
      </c>
      <c r="AD430" s="52" t="n">
        <v>0</v>
      </c>
      <c r="AE430" s="52" t="n">
        <v>0</v>
      </c>
      <c r="AF430" s="52" t="n">
        <v>0</v>
      </c>
      <c r="AG430" s="52" t="n">
        <v>0</v>
      </c>
      <c r="AH430" s="52" t="n">
        <v>0</v>
      </c>
      <c r="AI430" s="52" t="n">
        <v>0</v>
      </c>
      <c r="AJ430" s="52" t="n">
        <v>0</v>
      </c>
      <c r="AK430" s="52" t="n">
        <v>0</v>
      </c>
      <c r="AL430" s="52" t="n">
        <v>0</v>
      </c>
      <c r="AM430" s="53" t="n">
        <v>0</v>
      </c>
      <c r="AN430" s="53" t="n">
        <v>0</v>
      </c>
      <c r="AO430" s="53" t="n">
        <v>0</v>
      </c>
      <c r="AP430" s="53" t="n">
        <v>0</v>
      </c>
      <c r="AQ430" s="52" t="n">
        <v>0</v>
      </c>
      <c r="AR430" s="52" t="n">
        <v>0</v>
      </c>
      <c r="AS430" s="52" t="n">
        <v>0</v>
      </c>
      <c r="AT430" s="52" t="n">
        <v>0</v>
      </c>
      <c r="AU430" s="53" t="n">
        <v>0</v>
      </c>
      <c r="AV430" s="53" t="n">
        <v>0</v>
      </c>
      <c r="AW430" s="53" t="n">
        <v>0</v>
      </c>
      <c r="AX430" s="53" t="n">
        <v>0</v>
      </c>
      <c r="AY430" s="52" t="n">
        <v>0</v>
      </c>
      <c r="AZ430" s="52" t="n">
        <v>0</v>
      </c>
      <c r="BA430" s="52" t="n">
        <v>0</v>
      </c>
      <c r="BB430" s="52" t="n">
        <v>0</v>
      </c>
      <c r="BC430" s="51" t="n">
        <v>0</v>
      </c>
      <c r="BD430" s="51" t="n">
        <v>0</v>
      </c>
      <c r="BE430" s="51" t="n">
        <v>0</v>
      </c>
      <c r="BF430" s="51" t="n">
        <v>0</v>
      </c>
    </row>
    <row r="431">
      <c r="A431">
        <f>HYPERLINK("https://www.walmart.com/ip/420710678", "420710678")</f>
        <v/>
      </c>
      <c r="B431" t="inlineStr">
        <is>
          <t>Tirrinia Large Insulated Picnic Basket and Foldable Grocery Bag, 28L Leakproof Collapsible Portable Cooler Basket Set with Aluminium Handle for Travel, Shopping and Camping, Black</t>
        </is>
      </c>
      <c r="C431" t="inlineStr">
        <is>
          <t>1TRPB100-BK</t>
        </is>
      </c>
      <c r="D431" t="inlineStr">
        <is>
          <t>Picnic Baskets &amp; Bags</t>
        </is>
      </c>
      <c r="E431" t="inlineStr">
        <is>
          <t>Tirrinia</t>
        </is>
      </c>
      <c r="F431" t="inlineStr">
        <is>
          <t>Batch 1 - TR</t>
        </is>
      </c>
      <c r="G431" s="48" t="n">
        <v>0</v>
      </c>
      <c r="H431" s="48" t="n">
        <v>0</v>
      </c>
      <c r="I431" s="48" t="n">
        <v>0</v>
      </c>
      <c r="J431" s="48" t="n">
        <v>0</v>
      </c>
      <c r="K431" s="49" t="n">
        <v>0</v>
      </c>
      <c r="L431" s="49" t="n">
        <v>0</v>
      </c>
      <c r="M431" s="49" t="n">
        <v>0</v>
      </c>
      <c r="N431" s="49" t="n">
        <v>0</v>
      </c>
      <c r="O431" s="49" t="n">
        <v>0</v>
      </c>
      <c r="P431" s="49" t="n">
        <v>0</v>
      </c>
      <c r="Q431" s="49" t="n">
        <v>0</v>
      </c>
      <c r="R431" s="49" t="n">
        <v>0</v>
      </c>
      <c r="S431" s="50" t="n">
        <v>0</v>
      </c>
      <c r="T431" s="50" t="n">
        <v>0</v>
      </c>
      <c r="U431" s="50" t="n">
        <v>0</v>
      </c>
      <c r="V431" s="50" t="n">
        <v>0</v>
      </c>
      <c r="W431" s="51" t="n">
        <v>0</v>
      </c>
      <c r="X431" s="51" t="n">
        <v>0</v>
      </c>
      <c r="Y431" s="51" t="n">
        <v>0</v>
      </c>
      <c r="Z431" s="51" t="n">
        <v>0</v>
      </c>
      <c r="AA431" s="52" t="n">
        <v>0</v>
      </c>
      <c r="AB431" s="52" t="n">
        <v>0</v>
      </c>
      <c r="AC431" s="52" t="n">
        <v>0</v>
      </c>
      <c r="AD431" s="52" t="n">
        <v>0</v>
      </c>
      <c r="AE431" s="52" t="n">
        <v>0</v>
      </c>
      <c r="AF431" s="52" t="n">
        <v>0</v>
      </c>
      <c r="AG431" s="52" t="n">
        <v>0</v>
      </c>
      <c r="AH431" s="52" t="n">
        <v>0</v>
      </c>
      <c r="AI431" s="52" t="n">
        <v>0</v>
      </c>
      <c r="AJ431" s="52" t="n">
        <v>0</v>
      </c>
      <c r="AK431" s="52" t="n">
        <v>0</v>
      </c>
      <c r="AL431" s="52" t="n">
        <v>0</v>
      </c>
      <c r="AM431" s="53" t="n">
        <v>0</v>
      </c>
      <c r="AN431" s="53" t="n">
        <v>0</v>
      </c>
      <c r="AO431" s="53" t="n">
        <v>0</v>
      </c>
      <c r="AP431" s="53" t="n">
        <v>0</v>
      </c>
      <c r="AQ431" s="52" t="n">
        <v>0</v>
      </c>
      <c r="AR431" s="52" t="n">
        <v>0</v>
      </c>
      <c r="AS431" s="52" t="n">
        <v>0</v>
      </c>
      <c r="AT431" s="52" t="n">
        <v>0</v>
      </c>
      <c r="AU431" s="53" t="n">
        <v>0</v>
      </c>
      <c r="AV431" s="53" t="n">
        <v>0</v>
      </c>
      <c r="AW431" s="53" t="n">
        <v>0</v>
      </c>
      <c r="AX431" s="53" t="n">
        <v>0</v>
      </c>
      <c r="AY431" s="52" t="n">
        <v>0</v>
      </c>
      <c r="AZ431" s="52" t="n">
        <v>0</v>
      </c>
      <c r="BA431" s="52" t="n">
        <v>0</v>
      </c>
      <c r="BB431" s="52" t="n">
        <v>0</v>
      </c>
      <c r="BC431" s="51" t="n">
        <v>0</v>
      </c>
      <c r="BD431" s="51" t="n">
        <v>0</v>
      </c>
      <c r="BE431" s="51" t="n">
        <v>0</v>
      </c>
      <c r="BF431" s="51" t="n">
        <v>0</v>
      </c>
    </row>
    <row r="432">
      <c r="A432">
        <f>HYPERLINK("https://www.walmart.com/ip/423160152", "423160152")</f>
        <v/>
      </c>
      <c r="B432" t="inlineStr">
        <is>
          <t>Catalonia Women’s Sherpa Hoodie Sweatshirt Dress, Casual Snuggle Wearable Blanket Pullover Sweater with Kangaroo Pocket, Warm and Soft, Gift for Her, Blue</t>
        </is>
      </c>
      <c r="C432" t="inlineStr">
        <is>
          <t>1CTHD532BL</t>
        </is>
      </c>
      <c r="D432" t="inlineStr">
        <is>
          <t>Sweatshirts &amp; Hoodies</t>
        </is>
      </c>
      <c r="E432" t="inlineStr">
        <is>
          <t>Catalonia</t>
        </is>
      </c>
      <c r="F432" t="inlineStr">
        <is>
          <t>Hoodie ForAdult,Optimized</t>
        </is>
      </c>
      <c r="G432" s="48" t="n">
        <v>0</v>
      </c>
      <c r="H432" s="48" t="n">
        <v>0</v>
      </c>
      <c r="I432" s="48" t="n">
        <v>0</v>
      </c>
      <c r="J432" s="48" t="n">
        <v>0</v>
      </c>
      <c r="K432" s="49" t="n">
        <v>0</v>
      </c>
      <c r="L432" s="49" t="n">
        <v>0</v>
      </c>
      <c r="M432" s="49" t="n">
        <v>0</v>
      </c>
      <c r="N432" s="49" t="n">
        <v>0</v>
      </c>
      <c r="O432" s="49" t="n">
        <v>0</v>
      </c>
      <c r="P432" s="49" t="n">
        <v>0</v>
      </c>
      <c r="Q432" s="49" t="n">
        <v>0</v>
      </c>
      <c r="R432" s="49" t="n">
        <v>0</v>
      </c>
      <c r="S432" s="50" t="n">
        <v>0</v>
      </c>
      <c r="T432" s="50" t="n">
        <v>0</v>
      </c>
      <c r="U432" s="50" t="n">
        <v>0</v>
      </c>
      <c r="V432" s="50" t="n">
        <v>0</v>
      </c>
      <c r="W432" s="51" t="n">
        <v>0</v>
      </c>
      <c r="X432" s="51" t="n">
        <v>0</v>
      </c>
      <c r="Y432" s="51" t="n">
        <v>0</v>
      </c>
      <c r="Z432" s="51" t="n">
        <v>0</v>
      </c>
      <c r="AA432" s="52" t="n">
        <v>0</v>
      </c>
      <c r="AB432" s="52" t="n">
        <v>0</v>
      </c>
      <c r="AC432" s="52" t="n">
        <v>0</v>
      </c>
      <c r="AD432" s="52" t="n">
        <v>0</v>
      </c>
      <c r="AE432" s="52" t="n">
        <v>0</v>
      </c>
      <c r="AF432" s="52" t="n">
        <v>0</v>
      </c>
      <c r="AG432" s="52" t="n">
        <v>0</v>
      </c>
      <c r="AH432" s="52" t="n">
        <v>0</v>
      </c>
      <c r="AI432" s="52" t="n">
        <v>0</v>
      </c>
      <c r="AJ432" s="52" t="n">
        <v>0</v>
      </c>
      <c r="AK432" s="52" t="n">
        <v>0</v>
      </c>
      <c r="AL432" s="52" t="n">
        <v>0</v>
      </c>
      <c r="AM432" s="53" t="n">
        <v>0</v>
      </c>
      <c r="AN432" s="53" t="n">
        <v>0</v>
      </c>
      <c r="AO432" s="53" t="n">
        <v>0</v>
      </c>
      <c r="AP432" s="53" t="n">
        <v>0</v>
      </c>
      <c r="AQ432" s="52" t="n">
        <v>0</v>
      </c>
      <c r="AR432" s="52" t="n">
        <v>0</v>
      </c>
      <c r="AS432" s="52" t="n">
        <v>0</v>
      </c>
      <c r="AT432" s="52" t="n">
        <v>0</v>
      </c>
      <c r="AU432" s="53" t="n">
        <v>0</v>
      </c>
      <c r="AV432" s="53" t="n">
        <v>0</v>
      </c>
      <c r="AW432" s="53" t="n">
        <v>0</v>
      </c>
      <c r="AX432" s="53" t="n">
        <v>0</v>
      </c>
      <c r="AY432" s="52" t="n">
        <v>0</v>
      </c>
      <c r="AZ432" s="52" t="n">
        <v>0</v>
      </c>
      <c r="BA432" s="52" t="n">
        <v>0</v>
      </c>
      <c r="BB432" s="52" t="n">
        <v>0</v>
      </c>
      <c r="BC432" s="51" t="n">
        <v>0</v>
      </c>
      <c r="BD432" s="51" t="n">
        <v>0</v>
      </c>
      <c r="BE432" s="51" t="n">
        <v>0</v>
      </c>
      <c r="BF432" s="51" t="n">
        <v>0</v>
      </c>
    </row>
    <row r="433">
      <c r="A433">
        <f>HYPERLINK("https://www.walmart.com/ip/420785641", "420785641")</f>
        <v/>
      </c>
      <c r="B433" t="inlineStr">
        <is>
          <t>Solaris Womens Bucket Hat UV Sun Protection Lightweight Packable Summer Travel Beach Cap,Green</t>
        </is>
      </c>
      <c r="C433" t="inlineStr">
        <is>
          <t>1SLSH189-GRN</t>
        </is>
      </c>
      <c r="D433" t="inlineStr">
        <is>
          <t>Hats</t>
        </is>
      </c>
      <c r="E433" t="inlineStr">
        <is>
          <t>Solaris</t>
        </is>
      </c>
      <c r="F433" t="inlineStr">
        <is>
          <t>Q2-Target,Hats,Batch 1 - TR</t>
        </is>
      </c>
      <c r="G433" s="48" t="n">
        <v>0</v>
      </c>
      <c r="H433" s="48" t="n">
        <v>0</v>
      </c>
      <c r="I433" s="48" t="n">
        <v>0</v>
      </c>
      <c r="J433" s="48" t="n">
        <v>0</v>
      </c>
      <c r="K433" s="49" t="n">
        <v>0</v>
      </c>
      <c r="L433" s="49" t="n">
        <v>0</v>
      </c>
      <c r="M433" s="49" t="n">
        <v>0</v>
      </c>
      <c r="N433" s="49" t="n">
        <v>0</v>
      </c>
      <c r="O433" s="49" t="n">
        <v>0</v>
      </c>
      <c r="P433" s="49" t="n">
        <v>0</v>
      </c>
      <c r="Q433" s="49" t="n">
        <v>0</v>
      </c>
      <c r="R433" s="49" t="n">
        <v>0</v>
      </c>
      <c r="S433" s="50" t="n">
        <v>0</v>
      </c>
      <c r="T433" s="50" t="n">
        <v>0</v>
      </c>
      <c r="U433" s="50" t="n">
        <v>0</v>
      </c>
      <c r="V433" s="50" t="n">
        <v>0</v>
      </c>
      <c r="W433" s="51" t="n">
        <v>0</v>
      </c>
      <c r="X433" s="51" t="n">
        <v>0</v>
      </c>
      <c r="Y433" s="51" t="n">
        <v>0</v>
      </c>
      <c r="Z433" s="51" t="n">
        <v>0</v>
      </c>
      <c r="AA433" s="52" t="n">
        <v>0</v>
      </c>
      <c r="AB433" s="52" t="n">
        <v>0</v>
      </c>
      <c r="AC433" s="52" t="n">
        <v>0</v>
      </c>
      <c r="AD433" s="52" t="n">
        <v>0</v>
      </c>
      <c r="AE433" s="52" t="n">
        <v>0</v>
      </c>
      <c r="AF433" s="52" t="n">
        <v>0</v>
      </c>
      <c r="AG433" s="52" t="n">
        <v>0</v>
      </c>
      <c r="AH433" s="52" t="n">
        <v>0</v>
      </c>
      <c r="AI433" s="52" t="n">
        <v>0</v>
      </c>
      <c r="AJ433" s="52" t="n">
        <v>0</v>
      </c>
      <c r="AK433" s="52" t="n">
        <v>0</v>
      </c>
      <c r="AL433" s="52" t="n">
        <v>0</v>
      </c>
      <c r="AM433" s="53" t="n">
        <v>0</v>
      </c>
      <c r="AN433" s="53" t="n">
        <v>0</v>
      </c>
      <c r="AO433" s="53" t="n">
        <v>0</v>
      </c>
      <c r="AP433" s="53" t="n">
        <v>0</v>
      </c>
      <c r="AQ433" s="52" t="n">
        <v>0</v>
      </c>
      <c r="AR433" s="52" t="n">
        <v>0</v>
      </c>
      <c r="AS433" s="52" t="n">
        <v>0</v>
      </c>
      <c r="AT433" s="52" t="n">
        <v>0</v>
      </c>
      <c r="AU433" s="53" t="n">
        <v>0</v>
      </c>
      <c r="AV433" s="53" t="n">
        <v>0</v>
      </c>
      <c r="AW433" s="53" t="n">
        <v>0</v>
      </c>
      <c r="AX433" s="53" t="n">
        <v>0</v>
      </c>
      <c r="AY433" s="52" t="n">
        <v>0</v>
      </c>
      <c r="AZ433" s="52" t="n">
        <v>0</v>
      </c>
      <c r="BA433" s="52" t="n">
        <v>0</v>
      </c>
      <c r="BB433" s="52" t="n">
        <v>0</v>
      </c>
      <c r="BC433" s="51" t="n">
        <v>0</v>
      </c>
      <c r="BD433" s="51" t="n">
        <v>0</v>
      </c>
      <c r="BE433" s="51" t="n">
        <v>0</v>
      </c>
      <c r="BF433" s="51" t="n">
        <v>0</v>
      </c>
    </row>
    <row r="434">
      <c r="A434">
        <f>HYPERLINK("https://www.walmart.com/ip/421303790", "421303790")</f>
        <v/>
      </c>
      <c r="B434" t="inlineStr">
        <is>
          <t>Catalonia Hooded Blanket Poncho | Wearable Blanket Wrap with Hand Pockets | Comfy Sherpa Fleece Throw Cape for Children and Adults, Christmas Thanksgiving Mother Gift, Cheetah</t>
        </is>
      </c>
      <c r="C434" t="inlineStr">
        <is>
          <t>1CTBC100CHEETAH</t>
        </is>
      </c>
      <c r="D434" t="inlineStr">
        <is>
          <t>Throws</t>
        </is>
      </c>
      <c r="E434" t="inlineStr">
        <is>
          <t>Catalonia</t>
        </is>
      </c>
      <c r="F434" t="inlineStr">
        <is>
          <t>Batch 1 - TR</t>
        </is>
      </c>
      <c r="G434" s="48" t="n">
        <v>0</v>
      </c>
      <c r="H434" s="48" t="n">
        <v>0</v>
      </c>
      <c r="I434" s="48" t="n">
        <v>0</v>
      </c>
      <c r="J434" s="48" t="n">
        <v>0</v>
      </c>
      <c r="K434" s="49" t="n">
        <v>0</v>
      </c>
      <c r="L434" s="49" t="n">
        <v>0</v>
      </c>
      <c r="M434" s="49" t="n">
        <v>0</v>
      </c>
      <c r="N434" s="49" t="n">
        <v>0</v>
      </c>
      <c r="O434" s="49" t="n">
        <v>0</v>
      </c>
      <c r="P434" s="49" t="n">
        <v>0</v>
      </c>
      <c r="Q434" s="49" t="n">
        <v>0</v>
      </c>
      <c r="R434" s="49" t="n">
        <v>0</v>
      </c>
      <c r="S434" s="50" t="n">
        <v>0</v>
      </c>
      <c r="T434" s="50" t="n">
        <v>0</v>
      </c>
      <c r="U434" s="50" t="n">
        <v>0</v>
      </c>
      <c r="V434" s="50" t="n">
        <v>0</v>
      </c>
      <c r="W434" s="51" t="n">
        <v>0</v>
      </c>
      <c r="X434" s="51" t="n">
        <v>0</v>
      </c>
      <c r="Y434" s="51" t="n">
        <v>0</v>
      </c>
      <c r="Z434" s="51" t="n">
        <v>0</v>
      </c>
      <c r="AA434" s="52" t="n">
        <v>0</v>
      </c>
      <c r="AB434" s="52" t="n">
        <v>0</v>
      </c>
      <c r="AC434" s="52" t="n">
        <v>0</v>
      </c>
      <c r="AD434" s="52" t="n">
        <v>0</v>
      </c>
      <c r="AE434" s="52" t="n">
        <v>0</v>
      </c>
      <c r="AF434" s="52" t="n">
        <v>0</v>
      </c>
      <c r="AG434" s="52" t="n">
        <v>0</v>
      </c>
      <c r="AH434" s="52" t="n">
        <v>0</v>
      </c>
      <c r="AI434" s="52" t="n">
        <v>0</v>
      </c>
      <c r="AJ434" s="52" t="n">
        <v>0</v>
      </c>
      <c r="AK434" s="52" t="n">
        <v>0</v>
      </c>
      <c r="AL434" s="52" t="n">
        <v>0</v>
      </c>
      <c r="AM434" s="53" t="n">
        <v>0</v>
      </c>
      <c r="AN434" s="53" t="n">
        <v>0</v>
      </c>
      <c r="AO434" s="53" t="n">
        <v>0</v>
      </c>
      <c r="AP434" s="53" t="n">
        <v>0</v>
      </c>
      <c r="AQ434" s="52" t="n">
        <v>0</v>
      </c>
      <c r="AR434" s="52" t="n">
        <v>0</v>
      </c>
      <c r="AS434" s="52" t="n">
        <v>0</v>
      </c>
      <c r="AT434" s="52" t="n">
        <v>0</v>
      </c>
      <c r="AU434" s="53" t="n">
        <v>0</v>
      </c>
      <c r="AV434" s="53" t="n">
        <v>0</v>
      </c>
      <c r="AW434" s="53" t="n">
        <v>0</v>
      </c>
      <c r="AX434" s="53" t="n">
        <v>0</v>
      </c>
      <c r="AY434" s="52" t="n">
        <v>0</v>
      </c>
      <c r="AZ434" s="52" t="n">
        <v>0</v>
      </c>
      <c r="BA434" s="52" t="n">
        <v>0</v>
      </c>
      <c r="BB434" s="52" t="n">
        <v>0</v>
      </c>
      <c r="BC434" s="51" t="n">
        <v>0</v>
      </c>
      <c r="BD434" s="51" t="n">
        <v>0</v>
      </c>
      <c r="BE434" s="51" t="n">
        <v>0</v>
      </c>
      <c r="BF434" s="51" t="n">
        <v>0</v>
      </c>
    </row>
    <row r="435">
      <c r="A435">
        <f>HYPERLINK("https://www.walmart.com/ip/422306406", "422306406")</f>
        <v/>
      </c>
      <c r="B435" t="inlineStr">
        <is>
          <t>Flyingstar Insulated Lunch Bag for Women Men, Leakproof Thermal Reusable Lunch Box Tote for Adult &amp; Kids Lunch Cooler for Office Work, Purple</t>
        </is>
      </c>
      <c r="C435" t="inlineStr">
        <is>
          <t>1WMLB701P1PP</t>
        </is>
      </c>
      <c r="D435" t="inlineStr">
        <is>
          <t>Reusable Lunch Bags &amp; Boxes</t>
        </is>
      </c>
      <c r="E435" t="inlineStr">
        <is>
          <t>Flyingstar</t>
        </is>
      </c>
      <c r="F435" t="inlineStr">
        <is>
          <t>Q2-Target,Lunch Bag,Optimized,Lunch Bags,SEM</t>
        </is>
      </c>
      <c r="G435" s="48" t="n">
        <v>0</v>
      </c>
      <c r="H435" s="48" t="n">
        <v>0</v>
      </c>
      <c r="I435" s="48" t="n">
        <v>0</v>
      </c>
      <c r="J435" s="48" t="n">
        <v>0</v>
      </c>
      <c r="K435" s="49" t="n">
        <v>0</v>
      </c>
      <c r="L435" s="49" t="n">
        <v>0</v>
      </c>
      <c r="M435" s="49" t="n">
        <v>0</v>
      </c>
      <c r="N435" s="49" t="n">
        <v>0</v>
      </c>
      <c r="O435" s="49" t="n">
        <v>0</v>
      </c>
      <c r="P435" s="49" t="n">
        <v>0</v>
      </c>
      <c r="Q435" s="49" t="n">
        <v>0</v>
      </c>
      <c r="R435" s="49" t="n">
        <v>0</v>
      </c>
      <c r="S435" s="50" t="n">
        <v>0</v>
      </c>
      <c r="T435" s="50" t="n">
        <v>0</v>
      </c>
      <c r="U435" s="50" t="n">
        <v>0</v>
      </c>
      <c r="V435" s="50" t="n">
        <v>0</v>
      </c>
      <c r="W435" s="51" t="n">
        <v>0</v>
      </c>
      <c r="X435" s="51" t="n">
        <v>0</v>
      </c>
      <c r="Y435" s="51" t="n">
        <v>0</v>
      </c>
      <c r="Z435" s="51" t="n">
        <v>0</v>
      </c>
      <c r="AA435" s="52" t="n">
        <v>0</v>
      </c>
      <c r="AB435" s="52" t="n">
        <v>0</v>
      </c>
      <c r="AC435" s="52" t="n">
        <v>0</v>
      </c>
      <c r="AD435" s="52" t="n">
        <v>0</v>
      </c>
      <c r="AE435" s="52" t="n">
        <v>0</v>
      </c>
      <c r="AF435" s="52" t="n">
        <v>0</v>
      </c>
      <c r="AG435" s="52" t="n">
        <v>0</v>
      </c>
      <c r="AH435" s="52" t="n">
        <v>0</v>
      </c>
      <c r="AI435" s="52" t="n">
        <v>0</v>
      </c>
      <c r="AJ435" s="52" t="n">
        <v>0</v>
      </c>
      <c r="AK435" s="52" t="n">
        <v>0</v>
      </c>
      <c r="AL435" s="52" t="n">
        <v>0</v>
      </c>
      <c r="AM435" s="53" t="n">
        <v>0</v>
      </c>
      <c r="AN435" s="53" t="n">
        <v>0</v>
      </c>
      <c r="AO435" s="53" t="n">
        <v>0</v>
      </c>
      <c r="AP435" s="53" t="n">
        <v>0</v>
      </c>
      <c r="AQ435" s="52" t="n">
        <v>0</v>
      </c>
      <c r="AR435" s="52" t="n">
        <v>0</v>
      </c>
      <c r="AS435" s="52" t="n">
        <v>0</v>
      </c>
      <c r="AT435" s="52" t="n">
        <v>0</v>
      </c>
      <c r="AU435" s="53" t="n">
        <v>0</v>
      </c>
      <c r="AV435" s="53" t="n">
        <v>0</v>
      </c>
      <c r="AW435" s="53" t="n">
        <v>0</v>
      </c>
      <c r="AX435" s="53" t="n">
        <v>0</v>
      </c>
      <c r="AY435" s="52" t="n">
        <v>0</v>
      </c>
      <c r="AZ435" s="52" t="n">
        <v>0</v>
      </c>
      <c r="BA435" s="52" t="n">
        <v>0</v>
      </c>
      <c r="BB435" s="52" t="n">
        <v>0</v>
      </c>
      <c r="BC435" s="51" t="n">
        <v>0</v>
      </c>
      <c r="BD435" s="51" t="n">
        <v>0</v>
      </c>
      <c r="BE435" s="51" t="n">
        <v>0</v>
      </c>
      <c r="BF435" s="51" t="n">
        <v>0</v>
      </c>
    </row>
    <row r="436">
      <c r="A436">
        <f>HYPERLINK("https://www.walmart.com/ip/422542354", "422542354")</f>
        <v/>
      </c>
      <c r="B436" t="inlineStr">
        <is>
          <t>Oversized Hooded Poncho Cape, Casual Hoodie Sweatshirt, Batwing Coat Pullover | Light Weight, Cozy, Comfortable, Roomy | for Adults Women Men Teens</t>
        </is>
      </c>
      <c r="C436" t="inlineStr">
        <is>
          <t>1CTHD542DBL</t>
        </is>
      </c>
      <c r="D436" t="inlineStr">
        <is>
          <t>Sweatshirts &amp; Hoodies</t>
        </is>
      </c>
      <c r="E436" t="inlineStr">
        <is>
          <t>Catalonia</t>
        </is>
      </c>
      <c r="F436" t="inlineStr">
        <is>
          <t>Hoodie ForAdult,Optimized,Coupon_Discount</t>
        </is>
      </c>
      <c r="G436" s="48" t="n">
        <v>0</v>
      </c>
      <c r="H436" s="48" t="n">
        <v>0</v>
      </c>
      <c r="I436" s="48" t="n">
        <v>0</v>
      </c>
      <c r="J436" s="48" t="n">
        <v>0</v>
      </c>
      <c r="K436" s="49" t="n">
        <v>0</v>
      </c>
      <c r="L436" s="49" t="n">
        <v>0</v>
      </c>
      <c r="M436" s="49" t="n">
        <v>0</v>
      </c>
      <c r="N436" s="49" t="n">
        <v>0</v>
      </c>
      <c r="O436" s="49" t="n">
        <v>0</v>
      </c>
      <c r="P436" s="49" t="n">
        <v>0</v>
      </c>
      <c r="Q436" s="49" t="n">
        <v>0</v>
      </c>
      <c r="R436" s="49" t="n">
        <v>0</v>
      </c>
      <c r="S436" s="50" t="n">
        <v>0</v>
      </c>
      <c r="T436" s="50" t="n">
        <v>0</v>
      </c>
      <c r="U436" s="50" t="n">
        <v>0</v>
      </c>
      <c r="V436" s="50" t="n">
        <v>0</v>
      </c>
      <c r="W436" s="51" t="n">
        <v>0</v>
      </c>
      <c r="X436" s="51" t="n">
        <v>0</v>
      </c>
      <c r="Y436" s="51" t="n">
        <v>0</v>
      </c>
      <c r="Z436" s="51" t="n">
        <v>0</v>
      </c>
      <c r="AA436" s="52" t="n">
        <v>0</v>
      </c>
      <c r="AB436" s="52" t="n">
        <v>0</v>
      </c>
      <c r="AC436" s="52" t="n">
        <v>0</v>
      </c>
      <c r="AD436" s="52" t="n">
        <v>0</v>
      </c>
      <c r="AE436" s="52" t="n">
        <v>0</v>
      </c>
      <c r="AF436" s="52" t="n">
        <v>0</v>
      </c>
      <c r="AG436" s="52" t="n">
        <v>0</v>
      </c>
      <c r="AH436" s="52" t="n">
        <v>0</v>
      </c>
      <c r="AI436" s="52" t="n">
        <v>0</v>
      </c>
      <c r="AJ436" s="52" t="n">
        <v>0</v>
      </c>
      <c r="AK436" s="52" t="n">
        <v>0</v>
      </c>
      <c r="AL436" s="52" t="n">
        <v>0</v>
      </c>
      <c r="AM436" s="53" t="n">
        <v>0</v>
      </c>
      <c r="AN436" s="53" t="n">
        <v>0</v>
      </c>
      <c r="AO436" s="53" t="n">
        <v>0</v>
      </c>
      <c r="AP436" s="53" t="n">
        <v>0</v>
      </c>
      <c r="AQ436" s="52" t="n">
        <v>0</v>
      </c>
      <c r="AR436" s="52" t="n">
        <v>0</v>
      </c>
      <c r="AS436" s="52" t="n">
        <v>0</v>
      </c>
      <c r="AT436" s="52" t="n">
        <v>0</v>
      </c>
      <c r="AU436" s="53" t="n">
        <v>0</v>
      </c>
      <c r="AV436" s="53" t="n">
        <v>0</v>
      </c>
      <c r="AW436" s="53" t="n">
        <v>0</v>
      </c>
      <c r="AX436" s="53" t="n">
        <v>0</v>
      </c>
      <c r="AY436" s="52" t="n">
        <v>0</v>
      </c>
      <c r="AZ436" s="52" t="n">
        <v>0</v>
      </c>
      <c r="BA436" s="52" t="n">
        <v>0</v>
      </c>
      <c r="BB436" s="52" t="n">
        <v>0</v>
      </c>
      <c r="BC436" s="51" t="n">
        <v>0</v>
      </c>
      <c r="BD436" s="51" t="n">
        <v>0</v>
      </c>
      <c r="BE436" s="51" t="n">
        <v>0</v>
      </c>
      <c r="BF436" s="51" t="n">
        <v>0</v>
      </c>
    </row>
    <row r="437">
      <c r="A437">
        <f>HYPERLINK("https://www.walmart.com/ip/422826563", "422826563")</f>
        <v/>
      </c>
      <c r="B437" t="inlineStr">
        <is>
          <t>Catalonia Sherpa Throw Blanket, Reversible Cozy Waffle Pattern Knitted Blanket Throw for Couch Bed 60"x50"</t>
        </is>
      </c>
      <c r="C437" t="inlineStr">
        <is>
          <t>1CTBN300PK</t>
        </is>
      </c>
      <c r="D437" t="inlineStr">
        <is>
          <t>Throws</t>
        </is>
      </c>
      <c r="E437" t="inlineStr">
        <is>
          <t>Catalonia</t>
        </is>
      </c>
      <c r="F437" t="inlineStr">
        <is>
          <t>Q2-Target,Coupon_Discount,Batch 1 - TR</t>
        </is>
      </c>
      <c r="G437" s="48" t="n">
        <v>0</v>
      </c>
      <c r="H437" s="48" t="n">
        <v>0</v>
      </c>
      <c r="I437" s="48" t="n">
        <v>0</v>
      </c>
      <c r="J437" s="48" t="n">
        <v>0</v>
      </c>
      <c r="K437" s="49" t="n">
        <v>0</v>
      </c>
      <c r="L437" s="49" t="n">
        <v>0</v>
      </c>
      <c r="M437" s="49" t="n">
        <v>0</v>
      </c>
      <c r="N437" s="49" t="n">
        <v>0</v>
      </c>
      <c r="O437" s="49" t="n">
        <v>0</v>
      </c>
      <c r="P437" s="49" t="n">
        <v>0</v>
      </c>
      <c r="Q437" s="49" t="n">
        <v>0</v>
      </c>
      <c r="R437" s="49" t="n">
        <v>0</v>
      </c>
      <c r="S437" s="50" t="n">
        <v>0</v>
      </c>
      <c r="T437" s="50" t="n">
        <v>0</v>
      </c>
      <c r="U437" s="50" t="n">
        <v>0</v>
      </c>
      <c r="V437" s="50" t="n">
        <v>0</v>
      </c>
      <c r="W437" s="51" t="n">
        <v>0</v>
      </c>
      <c r="X437" s="51" t="n">
        <v>0</v>
      </c>
      <c r="Y437" s="51" t="n">
        <v>0</v>
      </c>
      <c r="Z437" s="51" t="n">
        <v>0</v>
      </c>
      <c r="AA437" s="52" t="n">
        <v>0</v>
      </c>
      <c r="AB437" s="52" t="n">
        <v>0</v>
      </c>
      <c r="AC437" s="52" t="n">
        <v>0</v>
      </c>
      <c r="AD437" s="52" t="n">
        <v>0</v>
      </c>
      <c r="AE437" s="52" t="n">
        <v>0</v>
      </c>
      <c r="AF437" s="52" t="n">
        <v>0</v>
      </c>
      <c r="AG437" s="52" t="n">
        <v>0</v>
      </c>
      <c r="AH437" s="52" t="n">
        <v>0</v>
      </c>
      <c r="AI437" s="52" t="n">
        <v>0</v>
      </c>
      <c r="AJ437" s="52" t="n">
        <v>0</v>
      </c>
      <c r="AK437" s="52" t="n">
        <v>0</v>
      </c>
      <c r="AL437" s="52" t="n">
        <v>0</v>
      </c>
      <c r="AM437" s="53" t="n">
        <v>0</v>
      </c>
      <c r="AN437" s="53" t="n">
        <v>0</v>
      </c>
      <c r="AO437" s="53" t="n">
        <v>0</v>
      </c>
      <c r="AP437" s="53" t="n">
        <v>0</v>
      </c>
      <c r="AQ437" s="52" t="n">
        <v>0</v>
      </c>
      <c r="AR437" s="52" t="n">
        <v>0</v>
      </c>
      <c r="AS437" s="52" t="n">
        <v>0</v>
      </c>
      <c r="AT437" s="52" t="n">
        <v>0</v>
      </c>
      <c r="AU437" s="53" t="n">
        <v>0</v>
      </c>
      <c r="AV437" s="53" t="n">
        <v>0</v>
      </c>
      <c r="AW437" s="53" t="n">
        <v>0</v>
      </c>
      <c r="AX437" s="53" t="n">
        <v>0</v>
      </c>
      <c r="AY437" s="52" t="n">
        <v>0</v>
      </c>
      <c r="AZ437" s="52" t="n">
        <v>0</v>
      </c>
      <c r="BA437" s="52" t="n">
        <v>0</v>
      </c>
      <c r="BB437" s="52" t="n">
        <v>0</v>
      </c>
      <c r="BC437" s="51" t="n">
        <v>0</v>
      </c>
      <c r="BD437" s="51" t="n">
        <v>0</v>
      </c>
      <c r="BE437" s="51" t="n">
        <v>0</v>
      </c>
      <c r="BF437" s="51" t="n">
        <v>0</v>
      </c>
    </row>
    <row r="438">
      <c r="A438">
        <f>HYPERLINK("https://www.walmart.com/ip/422946607", "422946607")</f>
        <v/>
      </c>
      <c r="B438" t="inlineStr">
        <is>
          <t>JenniWears Women Sexy Lace Boyshort Panty Plus Size Stretch Mesh Briefs Lingerie Underwear Sleepwear White</t>
        </is>
      </c>
      <c r="C438" t="inlineStr">
        <is>
          <t>JWPT05WT-3XL</t>
        </is>
      </c>
      <c r="D438" t="inlineStr">
        <is>
          <t>Panties</t>
        </is>
      </c>
      <c r="E438" t="inlineStr">
        <is>
          <t>JenniWears</t>
        </is>
      </c>
      <c r="F438" t="inlineStr">
        <is>
          <t>Batch 1 - TR</t>
        </is>
      </c>
      <c r="G438" s="48" t="n">
        <v>0</v>
      </c>
      <c r="H438" s="48" t="n">
        <v>0</v>
      </c>
      <c r="I438" s="48" t="n">
        <v>0</v>
      </c>
      <c r="J438" s="48" t="n">
        <v>0</v>
      </c>
      <c r="K438" s="49" t="n">
        <v>0</v>
      </c>
      <c r="L438" s="49" t="n">
        <v>0</v>
      </c>
      <c r="M438" s="49" t="n">
        <v>0</v>
      </c>
      <c r="N438" s="49" t="n">
        <v>0</v>
      </c>
      <c r="O438" s="49" t="n">
        <v>0</v>
      </c>
      <c r="P438" s="49" t="n">
        <v>0</v>
      </c>
      <c r="Q438" s="49" t="n">
        <v>0</v>
      </c>
      <c r="R438" s="49" t="n">
        <v>0</v>
      </c>
      <c r="S438" s="50" t="n">
        <v>0</v>
      </c>
      <c r="T438" s="50" t="n">
        <v>0</v>
      </c>
      <c r="U438" s="50" t="n">
        <v>0</v>
      </c>
      <c r="V438" s="50" t="n">
        <v>0</v>
      </c>
      <c r="W438" s="51" t="n">
        <v>0</v>
      </c>
      <c r="X438" s="51" t="n">
        <v>0</v>
      </c>
      <c r="Y438" s="51" t="n">
        <v>0</v>
      </c>
      <c r="Z438" s="51" t="n">
        <v>0</v>
      </c>
      <c r="AA438" s="52" t="n">
        <v>0</v>
      </c>
      <c r="AB438" s="52" t="n">
        <v>0</v>
      </c>
      <c r="AC438" s="52" t="n">
        <v>0</v>
      </c>
      <c r="AD438" s="52" t="n">
        <v>0</v>
      </c>
      <c r="AE438" s="52" t="n">
        <v>0</v>
      </c>
      <c r="AF438" s="52" t="n">
        <v>0</v>
      </c>
      <c r="AG438" s="52" t="n">
        <v>0</v>
      </c>
      <c r="AH438" s="52" t="n">
        <v>0</v>
      </c>
      <c r="AI438" s="52" t="n">
        <v>0</v>
      </c>
      <c r="AJ438" s="52" t="n">
        <v>0</v>
      </c>
      <c r="AK438" s="52" t="n">
        <v>0</v>
      </c>
      <c r="AL438" s="52" t="n">
        <v>0</v>
      </c>
      <c r="AM438" s="53" t="n">
        <v>0</v>
      </c>
      <c r="AN438" s="53" t="n">
        <v>0</v>
      </c>
      <c r="AO438" s="53" t="n">
        <v>0</v>
      </c>
      <c r="AP438" s="53" t="n">
        <v>0</v>
      </c>
      <c r="AQ438" s="52" t="n">
        <v>0</v>
      </c>
      <c r="AR438" s="52" t="n">
        <v>0</v>
      </c>
      <c r="AS438" s="52" t="n">
        <v>0</v>
      </c>
      <c r="AT438" s="52" t="n">
        <v>0</v>
      </c>
      <c r="AU438" s="53" t="n">
        <v>0</v>
      </c>
      <c r="AV438" s="53" t="n">
        <v>0</v>
      </c>
      <c r="AW438" s="53" t="n">
        <v>0</v>
      </c>
      <c r="AX438" s="53" t="n">
        <v>0</v>
      </c>
      <c r="AY438" s="52" t="n">
        <v>0</v>
      </c>
      <c r="AZ438" s="52" t="n">
        <v>0</v>
      </c>
      <c r="BA438" s="52" t="n">
        <v>0</v>
      </c>
      <c r="BB438" s="52" t="n">
        <v>0</v>
      </c>
      <c r="BC438" s="51" t="n">
        <v>0</v>
      </c>
      <c r="BD438" s="51" t="n">
        <v>0</v>
      </c>
      <c r="BE438" s="51" t="n">
        <v>0</v>
      </c>
      <c r="BF438" s="51" t="n">
        <v>0</v>
      </c>
    </row>
    <row r="439">
      <c r="A439">
        <f>HYPERLINK("https://www.walmart.com/ip/440878931", "440878931")</f>
        <v/>
      </c>
      <c r="B439" t="inlineStr">
        <is>
          <t>Catalonia Sherpa Blanket for Bed, Super Soft Fleece Plush Sofa Couch Throw Blanket, TV Bed Blanket, Comfy Cozy Fluffy Warm Comforter, Caring Gift(Grey,60x80 inches)</t>
        </is>
      </c>
      <c r="C439" t="inlineStr">
        <is>
          <t>1CTBF368GY</t>
        </is>
      </c>
      <c r="D439" t="inlineStr">
        <is>
          <t>Throws</t>
        </is>
      </c>
      <c r="E439" t="inlineStr">
        <is>
          <t>Catalonia</t>
        </is>
      </c>
      <c r="F439" t="inlineStr">
        <is>
          <t>WFS,WFS Item</t>
        </is>
      </c>
      <c r="G439" s="48" t="n">
        <v>0</v>
      </c>
      <c r="H439" s="48" t="n">
        <v>0</v>
      </c>
      <c r="I439" s="48" t="n">
        <v>0</v>
      </c>
      <c r="J439" s="48" t="n">
        <v>0</v>
      </c>
      <c r="K439" s="49" t="n">
        <v>0</v>
      </c>
      <c r="L439" s="49" t="n">
        <v>0</v>
      </c>
      <c r="M439" s="49" t="n">
        <v>0</v>
      </c>
      <c r="N439" s="49" t="n">
        <v>0</v>
      </c>
      <c r="O439" s="49" t="n">
        <v>0</v>
      </c>
      <c r="P439" s="49" t="n">
        <v>0</v>
      </c>
      <c r="Q439" s="49" t="n">
        <v>0</v>
      </c>
      <c r="R439" s="49" t="n">
        <v>0</v>
      </c>
      <c r="S439" s="50" t="n">
        <v>0</v>
      </c>
      <c r="T439" s="50" t="n">
        <v>0</v>
      </c>
      <c r="U439" s="50" t="n">
        <v>0</v>
      </c>
      <c r="V439" s="50" t="n">
        <v>0</v>
      </c>
      <c r="W439" s="51" t="n">
        <v>0</v>
      </c>
      <c r="X439" s="51" t="n">
        <v>0</v>
      </c>
      <c r="Y439" s="51" t="n">
        <v>0</v>
      </c>
      <c r="Z439" s="51" t="n">
        <v>0</v>
      </c>
      <c r="AA439" s="52" t="n">
        <v>0</v>
      </c>
      <c r="AB439" s="52" t="n">
        <v>0</v>
      </c>
      <c r="AC439" s="52" t="n">
        <v>0</v>
      </c>
      <c r="AD439" s="52" t="n">
        <v>0</v>
      </c>
      <c r="AE439" s="52" t="n">
        <v>0</v>
      </c>
      <c r="AF439" s="52" t="n">
        <v>0</v>
      </c>
      <c r="AG439" s="52" t="n">
        <v>0</v>
      </c>
      <c r="AH439" s="52" t="n">
        <v>0</v>
      </c>
      <c r="AI439" s="52" t="n">
        <v>0</v>
      </c>
      <c r="AJ439" s="52" t="n">
        <v>0</v>
      </c>
      <c r="AK439" s="52" t="n">
        <v>0</v>
      </c>
      <c r="AL439" s="52" t="n">
        <v>0</v>
      </c>
      <c r="AM439" s="53" t="n">
        <v>0</v>
      </c>
      <c r="AN439" s="53" t="n">
        <v>0</v>
      </c>
      <c r="AO439" s="53" t="n">
        <v>0</v>
      </c>
      <c r="AP439" s="53" t="n">
        <v>0</v>
      </c>
      <c r="AQ439" s="52" t="n">
        <v>0</v>
      </c>
      <c r="AR439" s="52" t="n">
        <v>0</v>
      </c>
      <c r="AS439" s="52" t="n">
        <v>0</v>
      </c>
      <c r="AT439" s="52" t="n">
        <v>0</v>
      </c>
      <c r="AU439" s="53" t="n">
        <v>0</v>
      </c>
      <c r="AV439" s="53" t="n">
        <v>0</v>
      </c>
      <c r="AW439" s="53" t="n">
        <v>0</v>
      </c>
      <c r="AX439" s="53" t="n">
        <v>0</v>
      </c>
      <c r="AY439" s="52" t="n">
        <v>0</v>
      </c>
      <c r="AZ439" s="52" t="n">
        <v>0</v>
      </c>
      <c r="BA439" s="52" t="n">
        <v>0</v>
      </c>
      <c r="BB439" s="52" t="n">
        <v>0</v>
      </c>
      <c r="BC439" s="51" t="n">
        <v>0</v>
      </c>
      <c r="BD439" s="51" t="n">
        <v>0</v>
      </c>
      <c r="BE439" s="51" t="n">
        <v>0</v>
      </c>
      <c r="BF439" s="51" t="n">
        <v>0</v>
      </c>
    </row>
    <row r="440">
      <c r="A440">
        <f>HYPERLINK("https://www.walmart.com/ip/441329120", "441329120")</f>
        <v/>
      </c>
      <c r="B440" t="inlineStr">
        <is>
          <t>Tirrinia Warm Comfy Foldable Waterproof Outdoor Blanket For Camping, 59'' X 80'', Black/Grey</t>
        </is>
      </c>
      <c r="C440" t="inlineStr">
        <is>
          <t>1TRBW608BKGY-TBCB</t>
        </is>
      </c>
      <c r="D440" t="inlineStr">
        <is>
          <t>Bed Blankets</t>
        </is>
      </c>
      <c r="E440" t="inlineStr">
        <is>
          <t>Tirrinia</t>
        </is>
      </c>
      <c r="F440" t="inlineStr">
        <is>
          <t>Q2-Target,Optimized</t>
        </is>
      </c>
      <c r="G440" s="48" t="n">
        <v>0</v>
      </c>
      <c r="H440" s="48" t="n">
        <v>39.99</v>
      </c>
      <c r="I440" s="48" t="n">
        <v>0</v>
      </c>
      <c r="J440" s="48" t="n">
        <v>0</v>
      </c>
      <c r="K440" s="49" t="n">
        <v>0</v>
      </c>
      <c r="L440" s="49" t="n">
        <v>1</v>
      </c>
      <c r="M440" s="49" t="n">
        <v>0</v>
      </c>
      <c r="N440" s="49" t="n">
        <v>0</v>
      </c>
      <c r="O440" s="49" t="n">
        <v>0</v>
      </c>
      <c r="P440" s="49" t="n">
        <v>0</v>
      </c>
      <c r="Q440" s="49" t="n">
        <v>0</v>
      </c>
      <c r="R440" s="49" t="n">
        <v>0</v>
      </c>
      <c r="S440" s="50" t="n">
        <v>0</v>
      </c>
      <c r="T440" s="50" t="n">
        <v>0</v>
      </c>
      <c r="U440" s="50" t="n">
        <v>0</v>
      </c>
      <c r="V440" s="50" t="n">
        <v>0</v>
      </c>
      <c r="W440" s="51" t="n">
        <v>0</v>
      </c>
      <c r="X440" s="51" t="n">
        <v>0</v>
      </c>
      <c r="Y440" s="51" t="n">
        <v>0</v>
      </c>
      <c r="Z440" s="51" t="n">
        <v>0</v>
      </c>
      <c r="AA440" s="52" t="n">
        <v>0</v>
      </c>
      <c r="AB440" s="52" t="n">
        <v>0</v>
      </c>
      <c r="AC440" s="52" t="n">
        <v>0</v>
      </c>
      <c r="AD440" s="52" t="n">
        <v>0</v>
      </c>
      <c r="AE440" s="52" t="n">
        <v>0</v>
      </c>
      <c r="AF440" s="52" t="n">
        <v>0</v>
      </c>
      <c r="AG440" s="52" t="n">
        <v>0</v>
      </c>
      <c r="AH440" s="52" t="n">
        <v>0</v>
      </c>
      <c r="AI440" s="52" t="n">
        <v>0</v>
      </c>
      <c r="AJ440" s="52" t="n">
        <v>0</v>
      </c>
      <c r="AK440" s="52" t="n">
        <v>0</v>
      </c>
      <c r="AL440" s="52" t="n">
        <v>0</v>
      </c>
      <c r="AM440" s="53" t="n">
        <v>0</v>
      </c>
      <c r="AN440" s="53" t="n">
        <v>0</v>
      </c>
      <c r="AO440" s="53" t="n">
        <v>0</v>
      </c>
      <c r="AP440" s="53" t="n">
        <v>0</v>
      </c>
      <c r="AQ440" s="52" t="n">
        <v>0</v>
      </c>
      <c r="AR440" s="52" t="n">
        <v>0</v>
      </c>
      <c r="AS440" s="52" t="n">
        <v>0</v>
      </c>
      <c r="AT440" s="52" t="n">
        <v>0</v>
      </c>
      <c r="AU440" s="53" t="n">
        <v>0</v>
      </c>
      <c r="AV440" s="53" t="n">
        <v>0</v>
      </c>
      <c r="AW440" s="53" t="n">
        <v>0</v>
      </c>
      <c r="AX440" s="53" t="n">
        <v>0</v>
      </c>
      <c r="AY440" s="52" t="n">
        <v>0</v>
      </c>
      <c r="AZ440" s="52" t="n">
        <v>39.99</v>
      </c>
      <c r="BA440" s="52" t="n">
        <v>0</v>
      </c>
      <c r="BB440" s="52" t="n">
        <v>0</v>
      </c>
      <c r="BC440" s="51" t="n">
        <v>0</v>
      </c>
      <c r="BD440" s="51" t="n">
        <v>0</v>
      </c>
      <c r="BE440" s="51" t="n">
        <v>0</v>
      </c>
      <c r="BF440" s="51" t="n">
        <v>0</v>
      </c>
    </row>
    <row r="441">
      <c r="A441">
        <f>HYPERLINK("https://www.walmart.com/ip/415701197", "415701197")</f>
        <v/>
      </c>
      <c r="B441" t="inlineStr">
        <is>
          <t>Solaris Sun Hats UV Protection Wide Brim Hat Unisex Adult Multicolor</t>
        </is>
      </c>
      <c r="C441" t="inlineStr">
        <is>
          <t>1SLSH910GN</t>
        </is>
      </c>
      <c r="D441" t="inlineStr">
        <is>
          <t>Hats</t>
        </is>
      </c>
      <c r="E441" t="inlineStr">
        <is>
          <t>Solaris</t>
        </is>
      </c>
      <c r="F441" t="inlineStr">
        <is>
          <t>Hats,Batch 1 - TR</t>
        </is>
      </c>
      <c r="G441" s="48" t="n">
        <v>0</v>
      </c>
      <c r="H441" s="48" t="n">
        <v>0</v>
      </c>
      <c r="I441" s="48" t="n">
        <v>0</v>
      </c>
      <c r="J441" s="48" t="n">
        <v>0</v>
      </c>
      <c r="K441" s="49" t="n">
        <v>0</v>
      </c>
      <c r="L441" s="49" t="n">
        <v>0</v>
      </c>
      <c r="M441" s="49" t="n">
        <v>0</v>
      </c>
      <c r="N441" s="49" t="n">
        <v>0</v>
      </c>
      <c r="O441" s="49" t="n">
        <v>0</v>
      </c>
      <c r="P441" s="49" t="n">
        <v>0</v>
      </c>
      <c r="Q441" s="49" t="n">
        <v>0</v>
      </c>
      <c r="R441" s="49" t="n">
        <v>0</v>
      </c>
      <c r="S441" s="50" t="n">
        <v>0</v>
      </c>
      <c r="T441" s="50" t="n">
        <v>0</v>
      </c>
      <c r="U441" s="50" t="n">
        <v>0</v>
      </c>
      <c r="V441" s="50" t="n">
        <v>0</v>
      </c>
      <c r="W441" s="51" t="n">
        <v>0</v>
      </c>
      <c r="X441" s="51" t="n">
        <v>0</v>
      </c>
      <c r="Y441" s="51" t="n">
        <v>0</v>
      </c>
      <c r="Z441" s="51" t="n">
        <v>0</v>
      </c>
      <c r="AA441" s="52" t="n">
        <v>0</v>
      </c>
      <c r="AB441" s="52" t="n">
        <v>0</v>
      </c>
      <c r="AC441" s="52" t="n">
        <v>0</v>
      </c>
      <c r="AD441" s="52" t="n">
        <v>0</v>
      </c>
      <c r="AE441" s="52" t="n">
        <v>0</v>
      </c>
      <c r="AF441" s="52" t="n">
        <v>0</v>
      </c>
      <c r="AG441" s="52" t="n">
        <v>0</v>
      </c>
      <c r="AH441" s="52" t="n">
        <v>0</v>
      </c>
      <c r="AI441" s="52" t="n">
        <v>0</v>
      </c>
      <c r="AJ441" s="52" t="n">
        <v>0</v>
      </c>
      <c r="AK441" s="52" t="n">
        <v>0</v>
      </c>
      <c r="AL441" s="52" t="n">
        <v>0</v>
      </c>
      <c r="AM441" s="53" t="n">
        <v>0</v>
      </c>
      <c r="AN441" s="53" t="n">
        <v>0</v>
      </c>
      <c r="AO441" s="53" t="n">
        <v>0</v>
      </c>
      <c r="AP441" s="53" t="n">
        <v>0</v>
      </c>
      <c r="AQ441" s="52" t="n">
        <v>0</v>
      </c>
      <c r="AR441" s="52" t="n">
        <v>0</v>
      </c>
      <c r="AS441" s="52" t="n">
        <v>0</v>
      </c>
      <c r="AT441" s="52" t="n">
        <v>0</v>
      </c>
      <c r="AU441" s="53" t="n">
        <v>0</v>
      </c>
      <c r="AV441" s="53" t="n">
        <v>0</v>
      </c>
      <c r="AW441" s="53" t="n">
        <v>0</v>
      </c>
      <c r="AX441" s="53" t="n">
        <v>0</v>
      </c>
      <c r="AY441" s="52" t="n">
        <v>0</v>
      </c>
      <c r="AZ441" s="52" t="n">
        <v>0</v>
      </c>
      <c r="BA441" s="52" t="n">
        <v>0</v>
      </c>
      <c r="BB441" s="52" t="n">
        <v>0</v>
      </c>
      <c r="BC441" s="51" t="n">
        <v>0</v>
      </c>
      <c r="BD441" s="51" t="n">
        <v>0</v>
      </c>
      <c r="BE441" s="51" t="n">
        <v>0</v>
      </c>
      <c r="BF441" s="51" t="n">
        <v>0</v>
      </c>
    </row>
    <row r="442">
      <c r="A442">
        <f>HYPERLINK("https://www.walmart.com/ip/442936605", "442936605")</f>
        <v/>
      </c>
      <c r="B442" t="inlineStr">
        <is>
          <t>Womens Sun Hats Summer Reversible UPF 50+ Beach, Hiking Hat, Foldable Floppy Wide Brim Cap</t>
        </is>
      </c>
      <c r="C442" t="inlineStr">
        <is>
          <t>TERRACAP-F069-BLU</t>
        </is>
      </c>
      <c r="D442" t="inlineStr">
        <is>
          <t>Hats</t>
        </is>
      </c>
      <c r="E442" t="inlineStr">
        <is>
          <t>Terra</t>
        </is>
      </c>
      <c r="F442" t="inlineStr">
        <is>
          <t>Hats,Batch 1 - TR</t>
        </is>
      </c>
      <c r="G442" s="48" t="n">
        <v>0</v>
      </c>
      <c r="H442" s="48" t="n">
        <v>0</v>
      </c>
      <c r="I442" s="48" t="n">
        <v>0</v>
      </c>
      <c r="J442" s="48" t="n">
        <v>0</v>
      </c>
      <c r="K442" s="49" t="n">
        <v>0</v>
      </c>
      <c r="L442" s="49" t="n">
        <v>0</v>
      </c>
      <c r="M442" s="49" t="n">
        <v>0</v>
      </c>
      <c r="N442" s="49" t="n">
        <v>0</v>
      </c>
      <c r="O442" s="49" t="n">
        <v>0</v>
      </c>
      <c r="P442" s="49" t="n">
        <v>0</v>
      </c>
      <c r="Q442" s="49" t="n">
        <v>0</v>
      </c>
      <c r="R442" s="49" t="n">
        <v>0</v>
      </c>
      <c r="S442" s="50" t="n">
        <v>0</v>
      </c>
      <c r="T442" s="50" t="n">
        <v>0</v>
      </c>
      <c r="U442" s="50" t="n">
        <v>0</v>
      </c>
      <c r="V442" s="50" t="n">
        <v>0</v>
      </c>
      <c r="W442" s="51" t="n">
        <v>0</v>
      </c>
      <c r="X442" s="51" t="n">
        <v>0</v>
      </c>
      <c r="Y442" s="51" t="n">
        <v>0</v>
      </c>
      <c r="Z442" s="51" t="n">
        <v>0</v>
      </c>
      <c r="AA442" s="52" t="n">
        <v>0</v>
      </c>
      <c r="AB442" s="52" t="n">
        <v>0</v>
      </c>
      <c r="AC442" s="52" t="n">
        <v>0</v>
      </c>
      <c r="AD442" s="52" t="n">
        <v>0</v>
      </c>
      <c r="AE442" s="52" t="n">
        <v>0</v>
      </c>
      <c r="AF442" s="52" t="n">
        <v>0</v>
      </c>
      <c r="AG442" s="52" t="n">
        <v>0</v>
      </c>
      <c r="AH442" s="52" t="n">
        <v>0</v>
      </c>
      <c r="AI442" s="52" t="n">
        <v>0</v>
      </c>
      <c r="AJ442" s="52" t="n">
        <v>0</v>
      </c>
      <c r="AK442" s="52" t="n">
        <v>0</v>
      </c>
      <c r="AL442" s="52" t="n">
        <v>0</v>
      </c>
      <c r="AM442" s="53" t="n">
        <v>0</v>
      </c>
      <c r="AN442" s="53" t="n">
        <v>0</v>
      </c>
      <c r="AO442" s="53" t="n">
        <v>0</v>
      </c>
      <c r="AP442" s="53" t="n">
        <v>0</v>
      </c>
      <c r="AQ442" s="52" t="n">
        <v>0</v>
      </c>
      <c r="AR442" s="52" t="n">
        <v>0</v>
      </c>
      <c r="AS442" s="52" t="n">
        <v>0</v>
      </c>
      <c r="AT442" s="52" t="n">
        <v>0</v>
      </c>
      <c r="AU442" s="53" t="n">
        <v>0</v>
      </c>
      <c r="AV442" s="53" t="n">
        <v>0</v>
      </c>
      <c r="AW442" s="53" t="n">
        <v>0</v>
      </c>
      <c r="AX442" s="53" t="n">
        <v>0</v>
      </c>
      <c r="AY442" s="52" t="n">
        <v>0</v>
      </c>
      <c r="AZ442" s="52" t="n">
        <v>0</v>
      </c>
      <c r="BA442" s="52" t="n">
        <v>0</v>
      </c>
      <c r="BB442" s="52" t="n">
        <v>0</v>
      </c>
      <c r="BC442" s="51" t="n">
        <v>0</v>
      </c>
      <c r="BD442" s="51" t="n">
        <v>0</v>
      </c>
      <c r="BE442" s="51" t="n">
        <v>0</v>
      </c>
      <c r="BF442" s="51" t="n">
        <v>0</v>
      </c>
    </row>
    <row r="443">
      <c r="A443">
        <f>HYPERLINK("https://www.walmart.com/ip/451338028", "451338028")</f>
        <v/>
      </c>
      <c r="B443" t="inlineStr">
        <is>
          <t>Terra Men Boxer Brief Underwear Best 3 Pack Most Comfortable Cotton Trunk Short</t>
        </is>
      </c>
      <c r="C443" t="inlineStr">
        <is>
          <t>TERRA-BOXER11-M</t>
        </is>
      </c>
      <c r="D443" t="inlineStr">
        <is>
          <t>Underpants</t>
        </is>
      </c>
      <c r="E443" t="inlineStr">
        <is>
          <t>Terra</t>
        </is>
      </c>
      <c r="F443" t="inlineStr">
        <is>
          <t>Batch 1 - TR</t>
        </is>
      </c>
      <c r="G443" s="48" t="n">
        <v>0</v>
      </c>
      <c r="H443" s="48" t="n">
        <v>0</v>
      </c>
      <c r="I443" s="48" t="n">
        <v>0</v>
      </c>
      <c r="J443" s="48" t="n">
        <v>0</v>
      </c>
      <c r="K443" s="49" t="n">
        <v>0</v>
      </c>
      <c r="L443" s="49" t="n">
        <v>0</v>
      </c>
      <c r="M443" s="49" t="n">
        <v>0</v>
      </c>
      <c r="N443" s="49" t="n">
        <v>0</v>
      </c>
      <c r="O443" s="49" t="n">
        <v>0</v>
      </c>
      <c r="P443" s="49" t="n">
        <v>0</v>
      </c>
      <c r="Q443" s="49" t="n">
        <v>0</v>
      </c>
      <c r="R443" s="49" t="n">
        <v>0</v>
      </c>
      <c r="S443" s="50" t="n">
        <v>0</v>
      </c>
      <c r="T443" s="50" t="n">
        <v>0</v>
      </c>
      <c r="U443" s="50" t="n">
        <v>0</v>
      </c>
      <c r="V443" s="50" t="n">
        <v>0</v>
      </c>
      <c r="W443" s="51" t="n">
        <v>0</v>
      </c>
      <c r="X443" s="51" t="n">
        <v>0</v>
      </c>
      <c r="Y443" s="51" t="n">
        <v>0</v>
      </c>
      <c r="Z443" s="51" t="n">
        <v>0</v>
      </c>
      <c r="AA443" s="52" t="n">
        <v>0</v>
      </c>
      <c r="AB443" s="52" t="n">
        <v>0</v>
      </c>
      <c r="AC443" s="52" t="n">
        <v>0</v>
      </c>
      <c r="AD443" s="52" t="n">
        <v>0</v>
      </c>
      <c r="AE443" s="52" t="n">
        <v>0</v>
      </c>
      <c r="AF443" s="52" t="n">
        <v>0</v>
      </c>
      <c r="AG443" s="52" t="n">
        <v>0</v>
      </c>
      <c r="AH443" s="52" t="n">
        <v>0</v>
      </c>
      <c r="AI443" s="52" t="n">
        <v>0</v>
      </c>
      <c r="AJ443" s="52" t="n">
        <v>0</v>
      </c>
      <c r="AK443" s="52" t="n">
        <v>0</v>
      </c>
      <c r="AL443" s="52" t="n">
        <v>0</v>
      </c>
      <c r="AM443" s="53" t="n">
        <v>0</v>
      </c>
      <c r="AN443" s="53" t="n">
        <v>0</v>
      </c>
      <c r="AO443" s="53" t="n">
        <v>0</v>
      </c>
      <c r="AP443" s="53" t="n">
        <v>0</v>
      </c>
      <c r="AQ443" s="52" t="n">
        <v>0</v>
      </c>
      <c r="AR443" s="52" t="n">
        <v>0</v>
      </c>
      <c r="AS443" s="52" t="n">
        <v>0</v>
      </c>
      <c r="AT443" s="52" t="n">
        <v>0</v>
      </c>
      <c r="AU443" s="53" t="n">
        <v>0</v>
      </c>
      <c r="AV443" s="53" t="n">
        <v>0</v>
      </c>
      <c r="AW443" s="53" t="n">
        <v>0</v>
      </c>
      <c r="AX443" s="53" t="n">
        <v>0</v>
      </c>
      <c r="AY443" s="52" t="n">
        <v>0</v>
      </c>
      <c r="AZ443" s="52" t="n">
        <v>0</v>
      </c>
      <c r="BA443" s="52" t="n">
        <v>0</v>
      </c>
      <c r="BB443" s="52" t="n">
        <v>0</v>
      </c>
      <c r="BC443" s="51" t="n">
        <v>0</v>
      </c>
      <c r="BD443" s="51" t="n">
        <v>0</v>
      </c>
      <c r="BE443" s="51" t="n">
        <v>0</v>
      </c>
      <c r="BF443" s="51" t="n">
        <v>0</v>
      </c>
    </row>
    <row r="444">
      <c r="A444">
        <f>HYPERLINK("https://www.walmart.com/ip/453616413", "453616413")</f>
        <v/>
      </c>
      <c r="B444" t="inlineStr">
        <is>
          <t>Sherpa Wearable Blanket with Sleeves &amp; Foot Pockets for Adult Women Men, Comfy Snuggle Wrap Sleeved Throw Blanket Robe, Cow Print, Gift Idea</t>
        </is>
      </c>
      <c r="C444" t="inlineStr">
        <is>
          <t>1CTSN310DMT</t>
        </is>
      </c>
      <c r="D444" t="inlineStr">
        <is>
          <t>Throws</t>
        </is>
      </c>
      <c r="E444" t="inlineStr">
        <is>
          <t>Catalonia</t>
        </is>
      </c>
      <c r="F444" t="inlineStr">
        <is>
          <t>Optimized,Coupon_Discount</t>
        </is>
      </c>
      <c r="G444" s="48" t="n">
        <v>0</v>
      </c>
      <c r="H444" s="48" t="n">
        <v>0</v>
      </c>
      <c r="I444" s="48" t="n">
        <v>0</v>
      </c>
      <c r="J444" s="48" t="n">
        <v>0</v>
      </c>
      <c r="K444" s="49" t="n">
        <v>0</v>
      </c>
      <c r="L444" s="49" t="n">
        <v>0</v>
      </c>
      <c r="M444" s="49" t="n">
        <v>0</v>
      </c>
      <c r="N444" s="49" t="n">
        <v>0</v>
      </c>
      <c r="O444" s="49" t="n">
        <v>0</v>
      </c>
      <c r="P444" s="49" t="n">
        <v>0</v>
      </c>
      <c r="Q444" s="49" t="n">
        <v>0</v>
      </c>
      <c r="R444" s="49" t="n">
        <v>0</v>
      </c>
      <c r="S444" s="50" t="n">
        <v>0</v>
      </c>
      <c r="T444" s="50" t="n">
        <v>0</v>
      </c>
      <c r="U444" s="50" t="n">
        <v>0</v>
      </c>
      <c r="V444" s="50" t="n">
        <v>0</v>
      </c>
      <c r="W444" s="51" t="n">
        <v>0</v>
      </c>
      <c r="X444" s="51" t="n">
        <v>0</v>
      </c>
      <c r="Y444" s="51" t="n">
        <v>0</v>
      </c>
      <c r="Z444" s="51" t="n">
        <v>0</v>
      </c>
      <c r="AA444" s="52" t="n">
        <v>0</v>
      </c>
      <c r="AB444" s="52" t="n">
        <v>0</v>
      </c>
      <c r="AC444" s="52" t="n">
        <v>0</v>
      </c>
      <c r="AD444" s="52" t="n">
        <v>0</v>
      </c>
      <c r="AE444" s="52" t="n">
        <v>0</v>
      </c>
      <c r="AF444" s="52" t="n">
        <v>0</v>
      </c>
      <c r="AG444" s="52" t="n">
        <v>0</v>
      </c>
      <c r="AH444" s="52" t="n">
        <v>0</v>
      </c>
      <c r="AI444" s="52" t="n">
        <v>0</v>
      </c>
      <c r="AJ444" s="52" t="n">
        <v>0</v>
      </c>
      <c r="AK444" s="52" t="n">
        <v>0</v>
      </c>
      <c r="AL444" s="52" t="n">
        <v>0</v>
      </c>
      <c r="AM444" s="53" t="n">
        <v>0</v>
      </c>
      <c r="AN444" s="53" t="n">
        <v>0</v>
      </c>
      <c r="AO444" s="53" t="n">
        <v>0</v>
      </c>
      <c r="AP444" s="53" t="n">
        <v>0</v>
      </c>
      <c r="AQ444" s="52" t="n">
        <v>0</v>
      </c>
      <c r="AR444" s="52" t="n">
        <v>0</v>
      </c>
      <c r="AS444" s="52" t="n">
        <v>0</v>
      </c>
      <c r="AT444" s="52" t="n">
        <v>0</v>
      </c>
      <c r="AU444" s="53" t="n">
        <v>0</v>
      </c>
      <c r="AV444" s="53" t="n">
        <v>0</v>
      </c>
      <c r="AW444" s="53" t="n">
        <v>0</v>
      </c>
      <c r="AX444" s="53" t="n">
        <v>0</v>
      </c>
      <c r="AY444" s="52" t="n">
        <v>0</v>
      </c>
      <c r="AZ444" s="52" t="n">
        <v>0</v>
      </c>
      <c r="BA444" s="52" t="n">
        <v>0</v>
      </c>
      <c r="BB444" s="52" t="n">
        <v>0</v>
      </c>
      <c r="BC444" s="51" t="n">
        <v>0</v>
      </c>
      <c r="BD444" s="51" t="n">
        <v>0</v>
      </c>
      <c r="BE444" s="51" t="n">
        <v>0</v>
      </c>
      <c r="BF444" s="51" t="n">
        <v>0</v>
      </c>
    </row>
    <row r="445">
      <c r="A445">
        <f>HYPERLINK("https://www.walmart.com/ip/453756272", "453756272")</f>
        <v/>
      </c>
      <c r="B445" t="inlineStr">
        <is>
          <t>Catalonia Sherpa Throw Blanket, Reversible Cozy Waffle Pattern Knitted Blanket Throw for Couch Bed 60"x50"</t>
        </is>
      </c>
      <c r="C445" t="inlineStr">
        <is>
          <t>1CTBN300BL</t>
        </is>
      </c>
      <c r="D445" t="inlineStr">
        <is>
          <t>Throws</t>
        </is>
      </c>
      <c r="E445" t="inlineStr">
        <is>
          <t>Catalonia</t>
        </is>
      </c>
      <c r="F445" t="inlineStr">
        <is>
          <t>Q2-Target,WFS,Coupon_Discount,WFS Item</t>
        </is>
      </c>
      <c r="G445" s="48" t="n">
        <v>0</v>
      </c>
      <c r="H445" s="48" t="n">
        <v>0</v>
      </c>
      <c r="I445" s="48" t="n">
        <v>0</v>
      </c>
      <c r="J445" s="48" t="n">
        <v>0</v>
      </c>
      <c r="K445" s="49" t="n">
        <v>0</v>
      </c>
      <c r="L445" s="49" t="n">
        <v>0</v>
      </c>
      <c r="M445" s="49" t="n">
        <v>0</v>
      </c>
      <c r="N445" s="49" t="n">
        <v>0</v>
      </c>
      <c r="O445" s="49" t="n">
        <v>0</v>
      </c>
      <c r="P445" s="49" t="n">
        <v>0</v>
      </c>
      <c r="Q445" s="49" t="n">
        <v>0</v>
      </c>
      <c r="R445" s="49" t="n">
        <v>0</v>
      </c>
      <c r="S445" s="50" t="n">
        <v>0</v>
      </c>
      <c r="T445" s="50" t="n">
        <v>0</v>
      </c>
      <c r="U445" s="50" t="n">
        <v>0</v>
      </c>
      <c r="V445" s="50" t="n">
        <v>0</v>
      </c>
      <c r="W445" s="51" t="n">
        <v>0</v>
      </c>
      <c r="X445" s="51" t="n">
        <v>0</v>
      </c>
      <c r="Y445" s="51" t="n">
        <v>0</v>
      </c>
      <c r="Z445" s="51" t="n">
        <v>0</v>
      </c>
      <c r="AA445" s="52" t="n">
        <v>0</v>
      </c>
      <c r="AB445" s="52" t="n">
        <v>0</v>
      </c>
      <c r="AC445" s="52" t="n">
        <v>0</v>
      </c>
      <c r="AD445" s="52" t="n">
        <v>0</v>
      </c>
      <c r="AE445" s="52" t="n">
        <v>0</v>
      </c>
      <c r="AF445" s="52" t="n">
        <v>0</v>
      </c>
      <c r="AG445" s="52" t="n">
        <v>0</v>
      </c>
      <c r="AH445" s="52" t="n">
        <v>0</v>
      </c>
      <c r="AI445" s="52" t="n">
        <v>0</v>
      </c>
      <c r="AJ445" s="52" t="n">
        <v>0</v>
      </c>
      <c r="AK445" s="52" t="n">
        <v>0</v>
      </c>
      <c r="AL445" s="52" t="n">
        <v>0</v>
      </c>
      <c r="AM445" s="53" t="n">
        <v>0</v>
      </c>
      <c r="AN445" s="53" t="n">
        <v>0</v>
      </c>
      <c r="AO445" s="53" t="n">
        <v>0</v>
      </c>
      <c r="AP445" s="53" t="n">
        <v>0</v>
      </c>
      <c r="AQ445" s="52" t="n">
        <v>0</v>
      </c>
      <c r="AR445" s="52" t="n">
        <v>0</v>
      </c>
      <c r="AS445" s="52" t="n">
        <v>0</v>
      </c>
      <c r="AT445" s="52" t="n">
        <v>0</v>
      </c>
      <c r="AU445" s="53" t="n">
        <v>0</v>
      </c>
      <c r="AV445" s="53" t="n">
        <v>0</v>
      </c>
      <c r="AW445" s="53" t="n">
        <v>0</v>
      </c>
      <c r="AX445" s="53" t="n">
        <v>0</v>
      </c>
      <c r="AY445" s="52" t="n">
        <v>0</v>
      </c>
      <c r="AZ445" s="52" t="n">
        <v>0</v>
      </c>
      <c r="BA445" s="52" t="n">
        <v>0</v>
      </c>
      <c r="BB445" s="52" t="n">
        <v>0</v>
      </c>
      <c r="BC445" s="51" t="n">
        <v>0</v>
      </c>
      <c r="BD445" s="51" t="n">
        <v>0</v>
      </c>
      <c r="BE445" s="51" t="n">
        <v>0</v>
      </c>
      <c r="BF445" s="51" t="n">
        <v>0</v>
      </c>
    </row>
    <row r="446">
      <c r="A446">
        <f>HYPERLINK("https://www.walmart.com/ip/453956213", "453956213")</f>
        <v/>
      </c>
      <c r="B446" t="inlineStr">
        <is>
          <t>Catalonia Silky Soft Sherpa Throw Micro Plush Fleece Brown Blanket 50"x60", Flannel Chevron for Couch Sofa TV Bed, Reversible, Comfy, Fuzzy</t>
        </is>
      </c>
      <c r="C446" t="inlineStr">
        <is>
          <t>1CTBF560BR</t>
        </is>
      </c>
      <c r="D446" t="inlineStr">
        <is>
          <t>Throws</t>
        </is>
      </c>
      <c r="E446" t="inlineStr">
        <is>
          <t>Catalonia</t>
        </is>
      </c>
      <c r="F446" t="inlineStr">
        <is>
          <t>Q2-Target,Optimized,WFS,Coupon_Discount,WFS Item</t>
        </is>
      </c>
      <c r="G446" s="48" t="n">
        <v>0</v>
      </c>
      <c r="H446" s="48" t="n">
        <v>0</v>
      </c>
      <c r="I446" s="48" t="n">
        <v>0</v>
      </c>
      <c r="J446" s="48" t="n">
        <v>0</v>
      </c>
      <c r="K446" s="49" t="n">
        <v>0</v>
      </c>
      <c r="L446" s="49" t="n">
        <v>0</v>
      </c>
      <c r="M446" s="49" t="n">
        <v>0</v>
      </c>
      <c r="N446" s="49" t="n">
        <v>0</v>
      </c>
      <c r="O446" s="49" t="n">
        <v>0</v>
      </c>
      <c r="P446" s="49" t="n">
        <v>0</v>
      </c>
      <c r="Q446" s="49" t="n">
        <v>0</v>
      </c>
      <c r="R446" s="49" t="n">
        <v>0</v>
      </c>
      <c r="S446" s="50" t="n">
        <v>0</v>
      </c>
      <c r="T446" s="50" t="n">
        <v>0</v>
      </c>
      <c r="U446" s="50" t="n">
        <v>0</v>
      </c>
      <c r="V446" s="50" t="n">
        <v>0</v>
      </c>
      <c r="W446" s="51" t="n">
        <v>0</v>
      </c>
      <c r="X446" s="51" t="n">
        <v>0</v>
      </c>
      <c r="Y446" s="51" t="n">
        <v>0</v>
      </c>
      <c r="Z446" s="51" t="n">
        <v>0</v>
      </c>
      <c r="AA446" s="52" t="n">
        <v>0</v>
      </c>
      <c r="AB446" s="52" t="n">
        <v>0</v>
      </c>
      <c r="AC446" s="52" t="n">
        <v>0</v>
      </c>
      <c r="AD446" s="52" t="n">
        <v>0</v>
      </c>
      <c r="AE446" s="52" t="n">
        <v>0</v>
      </c>
      <c r="AF446" s="52" t="n">
        <v>0</v>
      </c>
      <c r="AG446" s="52" t="n">
        <v>0</v>
      </c>
      <c r="AH446" s="52" t="n">
        <v>0</v>
      </c>
      <c r="AI446" s="52" t="n">
        <v>0</v>
      </c>
      <c r="AJ446" s="52" t="n">
        <v>0</v>
      </c>
      <c r="AK446" s="52" t="n">
        <v>0</v>
      </c>
      <c r="AL446" s="52" t="n">
        <v>0</v>
      </c>
      <c r="AM446" s="53" t="n">
        <v>0</v>
      </c>
      <c r="AN446" s="53" t="n">
        <v>0</v>
      </c>
      <c r="AO446" s="53" t="n">
        <v>0</v>
      </c>
      <c r="AP446" s="53" t="n">
        <v>0</v>
      </c>
      <c r="AQ446" s="52" t="n">
        <v>0</v>
      </c>
      <c r="AR446" s="52" t="n">
        <v>0</v>
      </c>
      <c r="AS446" s="52" t="n">
        <v>0</v>
      </c>
      <c r="AT446" s="52" t="n">
        <v>0</v>
      </c>
      <c r="AU446" s="53" t="n">
        <v>0</v>
      </c>
      <c r="AV446" s="53" t="n">
        <v>0</v>
      </c>
      <c r="AW446" s="53" t="n">
        <v>0</v>
      </c>
      <c r="AX446" s="53" t="n">
        <v>0</v>
      </c>
      <c r="AY446" s="52" t="n">
        <v>0</v>
      </c>
      <c r="AZ446" s="52" t="n">
        <v>0</v>
      </c>
      <c r="BA446" s="52" t="n">
        <v>0</v>
      </c>
      <c r="BB446" s="52" t="n">
        <v>0</v>
      </c>
      <c r="BC446" s="51" t="n">
        <v>0</v>
      </c>
      <c r="BD446" s="51" t="n">
        <v>0</v>
      </c>
      <c r="BE446" s="51" t="n">
        <v>0</v>
      </c>
      <c r="BF446" s="51" t="n">
        <v>0</v>
      </c>
    </row>
    <row r="447">
      <c r="A447">
        <f>HYPERLINK("https://www.walmart.com/ip/454804063", "454804063")</f>
        <v/>
      </c>
      <c r="B447" t="inlineStr">
        <is>
          <t>Flyingstar Women's Ponytail Sun Hat for Hiking Gardening Safari, Breathable Mesh and Ponytail Hole Opening, Gray</t>
        </is>
      </c>
      <c r="C447" t="inlineStr">
        <is>
          <t>1WMSH912GY</t>
        </is>
      </c>
      <c r="D447" t="inlineStr">
        <is>
          <t>Hats</t>
        </is>
      </c>
      <c r="E447" t="inlineStr">
        <is>
          <t>Flyingstar</t>
        </is>
      </c>
      <c r="F447" t="inlineStr">
        <is>
          <t>Optimized</t>
        </is>
      </c>
      <c r="G447" s="48" t="n">
        <v>0</v>
      </c>
      <c r="H447" s="48" t="n">
        <v>0</v>
      </c>
      <c r="I447" s="48" t="n">
        <v>0</v>
      </c>
      <c r="J447" s="48" t="n">
        <v>0</v>
      </c>
      <c r="K447" s="49" t="n">
        <v>0</v>
      </c>
      <c r="L447" s="49" t="n">
        <v>0</v>
      </c>
      <c r="M447" s="49" t="n">
        <v>0</v>
      </c>
      <c r="N447" s="49" t="n">
        <v>0</v>
      </c>
      <c r="O447" s="49" t="n">
        <v>0</v>
      </c>
      <c r="P447" s="49" t="n">
        <v>0</v>
      </c>
      <c r="Q447" s="49" t="n">
        <v>0</v>
      </c>
      <c r="R447" s="49" t="n">
        <v>0</v>
      </c>
      <c r="S447" s="50" t="n">
        <v>0</v>
      </c>
      <c r="T447" s="50" t="n">
        <v>0</v>
      </c>
      <c r="U447" s="50" t="n">
        <v>0</v>
      </c>
      <c r="V447" s="50" t="n">
        <v>0</v>
      </c>
      <c r="W447" s="51" t="n">
        <v>0</v>
      </c>
      <c r="X447" s="51" t="n">
        <v>0</v>
      </c>
      <c r="Y447" s="51" t="n">
        <v>0</v>
      </c>
      <c r="Z447" s="51" t="n">
        <v>0</v>
      </c>
      <c r="AA447" s="52" t="n">
        <v>0</v>
      </c>
      <c r="AB447" s="52" t="n">
        <v>0</v>
      </c>
      <c r="AC447" s="52" t="n">
        <v>0</v>
      </c>
      <c r="AD447" s="52" t="n">
        <v>0</v>
      </c>
      <c r="AE447" s="52" t="n">
        <v>0</v>
      </c>
      <c r="AF447" s="52" t="n">
        <v>0</v>
      </c>
      <c r="AG447" s="52" t="n">
        <v>0</v>
      </c>
      <c r="AH447" s="52" t="n">
        <v>0</v>
      </c>
      <c r="AI447" s="52" t="n">
        <v>0</v>
      </c>
      <c r="AJ447" s="52" t="n">
        <v>0</v>
      </c>
      <c r="AK447" s="52" t="n">
        <v>0</v>
      </c>
      <c r="AL447" s="52" t="n">
        <v>0</v>
      </c>
      <c r="AM447" s="53" t="n">
        <v>0</v>
      </c>
      <c r="AN447" s="53" t="n">
        <v>0</v>
      </c>
      <c r="AO447" s="53" t="n">
        <v>0</v>
      </c>
      <c r="AP447" s="53" t="n">
        <v>0</v>
      </c>
      <c r="AQ447" s="52" t="n">
        <v>0</v>
      </c>
      <c r="AR447" s="52" t="n">
        <v>0</v>
      </c>
      <c r="AS447" s="52" t="n">
        <v>0</v>
      </c>
      <c r="AT447" s="52" t="n">
        <v>0</v>
      </c>
      <c r="AU447" s="53" t="n">
        <v>0</v>
      </c>
      <c r="AV447" s="53" t="n">
        <v>0</v>
      </c>
      <c r="AW447" s="53" t="n">
        <v>0</v>
      </c>
      <c r="AX447" s="53" t="n">
        <v>0</v>
      </c>
      <c r="AY447" s="52" t="n">
        <v>0</v>
      </c>
      <c r="AZ447" s="52" t="n">
        <v>0</v>
      </c>
      <c r="BA447" s="52" t="n">
        <v>0</v>
      </c>
      <c r="BB447" s="52" t="n">
        <v>0</v>
      </c>
      <c r="BC447" s="51" t="n">
        <v>0</v>
      </c>
      <c r="BD447" s="51" t="n">
        <v>0</v>
      </c>
      <c r="BE447" s="51" t="n">
        <v>0</v>
      </c>
      <c r="BF447" s="51" t="n">
        <v>0</v>
      </c>
    </row>
    <row r="448">
      <c r="A448">
        <f>HYPERLINK("https://www.walmart.com/ip/455309147", "455309147")</f>
        <v/>
      </c>
      <c r="B448" t="inlineStr">
        <is>
          <t>Flyingstar Insulated Lunch Bag, Reusable Tote Bag for Women &amp; Men &amp; Kids, Fashionable Large Cooler Lunch Bag for Working/School/Picnic</t>
        </is>
      </c>
      <c r="C448" t="inlineStr">
        <is>
          <t>1WMLB703PKDOT</t>
        </is>
      </c>
      <c r="D448" t="inlineStr">
        <is>
          <t>Reusable Lunch Bags &amp; Boxes</t>
        </is>
      </c>
      <c r="E448" t="inlineStr">
        <is>
          <t>Flyingstar</t>
        </is>
      </c>
      <c r="F448" t="inlineStr">
        <is>
          <t>Lunch Bag,Optimized,Lunch Bags,WFS Item</t>
        </is>
      </c>
      <c r="G448" s="48" t="n">
        <v>0</v>
      </c>
      <c r="H448" s="48" t="n">
        <v>0</v>
      </c>
      <c r="I448" s="48" t="n">
        <v>0</v>
      </c>
      <c r="J448" s="48" t="n">
        <v>0</v>
      </c>
      <c r="K448" s="49" t="n">
        <v>0</v>
      </c>
      <c r="L448" s="49" t="n">
        <v>0</v>
      </c>
      <c r="M448" s="49" t="n">
        <v>0</v>
      </c>
      <c r="N448" s="49" t="n">
        <v>0</v>
      </c>
      <c r="O448" s="49" t="n">
        <v>0</v>
      </c>
      <c r="P448" s="49" t="n">
        <v>0</v>
      </c>
      <c r="Q448" s="49" t="n">
        <v>0</v>
      </c>
      <c r="R448" s="49" t="n">
        <v>0</v>
      </c>
      <c r="S448" s="50" t="n">
        <v>0</v>
      </c>
      <c r="T448" s="50" t="n">
        <v>0</v>
      </c>
      <c r="U448" s="50" t="n">
        <v>0</v>
      </c>
      <c r="V448" s="50" t="n">
        <v>0</v>
      </c>
      <c r="W448" s="51" t="n">
        <v>0</v>
      </c>
      <c r="X448" s="51" t="n">
        <v>0</v>
      </c>
      <c r="Y448" s="51" t="n">
        <v>0</v>
      </c>
      <c r="Z448" s="51" t="n">
        <v>0</v>
      </c>
      <c r="AA448" s="52" t="n">
        <v>0</v>
      </c>
      <c r="AB448" s="52" t="n">
        <v>0</v>
      </c>
      <c r="AC448" s="52" t="n">
        <v>0</v>
      </c>
      <c r="AD448" s="52" t="n">
        <v>0</v>
      </c>
      <c r="AE448" s="52" t="n">
        <v>0</v>
      </c>
      <c r="AF448" s="52" t="n">
        <v>0</v>
      </c>
      <c r="AG448" s="52" t="n">
        <v>0</v>
      </c>
      <c r="AH448" s="52" t="n">
        <v>0</v>
      </c>
      <c r="AI448" s="52" t="n">
        <v>0</v>
      </c>
      <c r="AJ448" s="52" t="n">
        <v>0</v>
      </c>
      <c r="AK448" s="52" t="n">
        <v>0</v>
      </c>
      <c r="AL448" s="52" t="n">
        <v>0</v>
      </c>
      <c r="AM448" s="53" t="n">
        <v>0</v>
      </c>
      <c r="AN448" s="53" t="n">
        <v>0</v>
      </c>
      <c r="AO448" s="53" t="n">
        <v>0</v>
      </c>
      <c r="AP448" s="53" t="n">
        <v>0</v>
      </c>
      <c r="AQ448" s="52" t="n">
        <v>0</v>
      </c>
      <c r="AR448" s="52" t="n">
        <v>0</v>
      </c>
      <c r="AS448" s="52" t="n">
        <v>0</v>
      </c>
      <c r="AT448" s="52" t="n">
        <v>0</v>
      </c>
      <c r="AU448" s="53" t="n">
        <v>0</v>
      </c>
      <c r="AV448" s="53" t="n">
        <v>0</v>
      </c>
      <c r="AW448" s="53" t="n">
        <v>0</v>
      </c>
      <c r="AX448" s="53" t="n">
        <v>0</v>
      </c>
      <c r="AY448" s="52" t="n">
        <v>0</v>
      </c>
      <c r="AZ448" s="52" t="n">
        <v>0</v>
      </c>
      <c r="BA448" s="52" t="n">
        <v>0</v>
      </c>
      <c r="BB448" s="52" t="n">
        <v>0</v>
      </c>
      <c r="BC448" s="51" t="n">
        <v>0</v>
      </c>
      <c r="BD448" s="51" t="n">
        <v>0</v>
      </c>
      <c r="BE448" s="51" t="n">
        <v>0</v>
      </c>
      <c r="BF448" s="51" t="n">
        <v>0</v>
      </c>
    </row>
    <row r="449">
      <c r="A449">
        <f>HYPERLINK("https://www.walmart.com/ip/457872944", "457872944")</f>
        <v/>
      </c>
      <c r="B449" t="inlineStr">
        <is>
          <t>Two Pieces Tankini Swimsuit for Women Shoulder Strap Swimwear Bikini Bottom Bathing Suits Set by Tirrinia</t>
        </is>
      </c>
      <c r="C449" t="inlineStr">
        <is>
          <t>1SLSS006BKBK-M</t>
        </is>
      </c>
      <c r="D449" t="inlineStr">
        <is>
          <t>Swimsuit Sets</t>
        </is>
      </c>
      <c r="E449" t="inlineStr">
        <is>
          <t>Solaris</t>
        </is>
      </c>
      <c r="F449" t="inlineStr">
        <is>
          <t>Optimized</t>
        </is>
      </c>
      <c r="G449" s="48" t="n">
        <v>0</v>
      </c>
      <c r="H449" s="48" t="n">
        <v>0</v>
      </c>
      <c r="I449" s="48" t="n">
        <v>0</v>
      </c>
      <c r="J449" s="48" t="n">
        <v>0</v>
      </c>
      <c r="K449" s="49" t="n">
        <v>0</v>
      </c>
      <c r="L449" s="49" t="n">
        <v>0</v>
      </c>
      <c r="M449" s="49" t="n">
        <v>0</v>
      </c>
      <c r="N449" s="49" t="n">
        <v>0</v>
      </c>
      <c r="O449" s="49" t="n">
        <v>0</v>
      </c>
      <c r="P449" s="49" t="n">
        <v>0</v>
      </c>
      <c r="Q449" s="49" t="n">
        <v>0</v>
      </c>
      <c r="R449" s="49" t="n">
        <v>0</v>
      </c>
      <c r="S449" s="50" t="n">
        <v>0</v>
      </c>
      <c r="T449" s="50" t="n">
        <v>0</v>
      </c>
      <c r="U449" s="50" t="n">
        <v>0</v>
      </c>
      <c r="V449" s="50" t="n">
        <v>0</v>
      </c>
      <c r="W449" s="51" t="n">
        <v>0</v>
      </c>
      <c r="X449" s="51" t="n">
        <v>0</v>
      </c>
      <c r="Y449" s="51" t="n">
        <v>0</v>
      </c>
      <c r="Z449" s="51" t="n">
        <v>0</v>
      </c>
      <c r="AA449" s="52" t="n">
        <v>0</v>
      </c>
      <c r="AB449" s="52" t="n">
        <v>0</v>
      </c>
      <c r="AC449" s="52" t="n">
        <v>0</v>
      </c>
      <c r="AD449" s="52" t="n">
        <v>0</v>
      </c>
      <c r="AE449" s="52" t="n">
        <v>0</v>
      </c>
      <c r="AF449" s="52" t="n">
        <v>0</v>
      </c>
      <c r="AG449" s="52" t="n">
        <v>0</v>
      </c>
      <c r="AH449" s="52" t="n">
        <v>0</v>
      </c>
      <c r="AI449" s="52" t="n">
        <v>0</v>
      </c>
      <c r="AJ449" s="52" t="n">
        <v>0</v>
      </c>
      <c r="AK449" s="52" t="n">
        <v>0</v>
      </c>
      <c r="AL449" s="52" t="n">
        <v>0</v>
      </c>
      <c r="AM449" s="53" t="n">
        <v>0</v>
      </c>
      <c r="AN449" s="53" t="n">
        <v>0</v>
      </c>
      <c r="AO449" s="53" t="n">
        <v>0</v>
      </c>
      <c r="AP449" s="53" t="n">
        <v>0</v>
      </c>
      <c r="AQ449" s="52" t="n">
        <v>0</v>
      </c>
      <c r="AR449" s="52" t="n">
        <v>0</v>
      </c>
      <c r="AS449" s="52" t="n">
        <v>0</v>
      </c>
      <c r="AT449" s="52" t="n">
        <v>0</v>
      </c>
      <c r="AU449" s="53" t="n">
        <v>0</v>
      </c>
      <c r="AV449" s="53" t="n">
        <v>0</v>
      </c>
      <c r="AW449" s="53" t="n">
        <v>0</v>
      </c>
      <c r="AX449" s="53" t="n">
        <v>0</v>
      </c>
      <c r="AY449" s="52" t="n">
        <v>0</v>
      </c>
      <c r="AZ449" s="52" t="n">
        <v>0</v>
      </c>
      <c r="BA449" s="52" t="n">
        <v>0</v>
      </c>
      <c r="BB449" s="52" t="n">
        <v>0</v>
      </c>
      <c r="BC449" s="51" t="n">
        <v>0</v>
      </c>
      <c r="BD449" s="51" t="n">
        <v>0</v>
      </c>
      <c r="BE449" s="51" t="n">
        <v>0</v>
      </c>
      <c r="BF449" s="51" t="n">
        <v>0</v>
      </c>
    </row>
    <row r="450">
      <c r="A450">
        <f>HYPERLINK("https://www.walmart.com/ip/458546927", "458546927")</f>
        <v/>
      </c>
      <c r="B450" t="inlineStr">
        <is>
          <t>Women's Poncho with Cheetah Faux Fur Collar, Fleece Cloak Coat, Soft Warm Snuggly  Cape, Gift Idea for Adults and Teen Girls</t>
        </is>
      </c>
      <c r="C450" t="inlineStr">
        <is>
          <t>1CTBC301BK</t>
        </is>
      </c>
      <c r="D450" t="inlineStr">
        <is>
          <t>default</t>
        </is>
      </c>
      <c r="E450" t="inlineStr">
        <is>
          <t>Catalonia</t>
        </is>
      </c>
      <c r="F450" t="inlineStr">
        <is>
          <t>Batch 1 - TR</t>
        </is>
      </c>
      <c r="G450" s="48" t="n">
        <v>0</v>
      </c>
      <c r="H450" s="48" t="n">
        <v>0</v>
      </c>
      <c r="I450" s="48" t="n">
        <v>0</v>
      </c>
      <c r="J450" s="48" t="n">
        <v>0</v>
      </c>
      <c r="K450" s="49" t="n">
        <v>0</v>
      </c>
      <c r="L450" s="49" t="n">
        <v>0</v>
      </c>
      <c r="M450" s="49" t="n">
        <v>0</v>
      </c>
      <c r="N450" s="49" t="n">
        <v>0</v>
      </c>
      <c r="O450" s="49" t="n">
        <v>0</v>
      </c>
      <c r="P450" s="49" t="n">
        <v>0</v>
      </c>
      <c r="Q450" s="49" t="n">
        <v>0</v>
      </c>
      <c r="R450" s="49" t="n">
        <v>0</v>
      </c>
      <c r="S450" s="50" t="n">
        <v>0</v>
      </c>
      <c r="T450" s="50" t="n">
        <v>0</v>
      </c>
      <c r="U450" s="50" t="n">
        <v>0</v>
      </c>
      <c r="V450" s="50" t="n">
        <v>0</v>
      </c>
      <c r="W450" s="51" t="n">
        <v>0</v>
      </c>
      <c r="X450" s="51" t="n">
        <v>0</v>
      </c>
      <c r="Y450" s="51" t="n">
        <v>0</v>
      </c>
      <c r="Z450" s="51" t="n">
        <v>0</v>
      </c>
      <c r="AA450" s="52" t="n">
        <v>0</v>
      </c>
      <c r="AB450" s="52" t="n">
        <v>0</v>
      </c>
      <c r="AC450" s="52" t="n">
        <v>0</v>
      </c>
      <c r="AD450" s="52" t="n">
        <v>0</v>
      </c>
      <c r="AE450" s="52" t="n">
        <v>0</v>
      </c>
      <c r="AF450" s="52" t="n">
        <v>0</v>
      </c>
      <c r="AG450" s="52" t="n">
        <v>0</v>
      </c>
      <c r="AH450" s="52" t="n">
        <v>0</v>
      </c>
      <c r="AI450" s="52" t="n">
        <v>0</v>
      </c>
      <c r="AJ450" s="52" t="n">
        <v>0</v>
      </c>
      <c r="AK450" s="52" t="n">
        <v>0</v>
      </c>
      <c r="AL450" s="52" t="n">
        <v>0</v>
      </c>
      <c r="AM450" s="53" t="n">
        <v>0</v>
      </c>
      <c r="AN450" s="53" t="n">
        <v>0</v>
      </c>
      <c r="AO450" s="53" t="n">
        <v>0</v>
      </c>
      <c r="AP450" s="53" t="n">
        <v>0</v>
      </c>
      <c r="AQ450" s="52" t="n">
        <v>0</v>
      </c>
      <c r="AR450" s="52" t="n">
        <v>0</v>
      </c>
      <c r="AS450" s="52" t="n">
        <v>0</v>
      </c>
      <c r="AT450" s="52" t="n">
        <v>0</v>
      </c>
      <c r="AU450" s="53" t="n">
        <v>0</v>
      </c>
      <c r="AV450" s="53" t="n">
        <v>0</v>
      </c>
      <c r="AW450" s="53" t="n">
        <v>0</v>
      </c>
      <c r="AX450" s="53" t="n">
        <v>0</v>
      </c>
      <c r="AY450" s="52" t="n">
        <v>0</v>
      </c>
      <c r="AZ450" s="52" t="n">
        <v>0</v>
      </c>
      <c r="BA450" s="52" t="n">
        <v>0</v>
      </c>
      <c r="BB450" s="52" t="n">
        <v>0</v>
      </c>
      <c r="BC450" s="51" t="n">
        <v>0</v>
      </c>
      <c r="BD450" s="51" t="n">
        <v>0</v>
      </c>
      <c r="BE450" s="51" t="n">
        <v>0</v>
      </c>
      <c r="BF450" s="51" t="n">
        <v>0</v>
      </c>
    </row>
    <row r="451">
      <c r="A451">
        <f>HYPERLINK("https://www.walmart.com/ip/459166422", "459166422")</f>
        <v/>
      </c>
      <c r="B451" t="inlineStr">
        <is>
          <t>Catalonia Sherpa Adult Wearable Blanket with Sleeves &amp;amp; Foot Pockets for Women &amp;amp; Men, Black Wearable Throw Blanket</t>
        </is>
      </c>
      <c r="C451" t="inlineStr">
        <is>
          <t>1CTSN310BK</t>
        </is>
      </c>
      <c r="D451" t="inlineStr">
        <is>
          <t>Throws</t>
        </is>
      </c>
      <c r="E451" t="inlineStr">
        <is>
          <t>Catalonia</t>
        </is>
      </c>
      <c r="F451" t="inlineStr">
        <is>
          <t>Optimized,WFS,WFS Item</t>
        </is>
      </c>
      <c r="G451" s="48" t="n">
        <v>0</v>
      </c>
      <c r="H451" s="48" t="n">
        <v>0</v>
      </c>
      <c r="I451" s="48" t="n">
        <v>0</v>
      </c>
      <c r="J451" s="48" t="n">
        <v>0</v>
      </c>
      <c r="K451" s="49" t="n">
        <v>0</v>
      </c>
      <c r="L451" s="49" t="n">
        <v>0</v>
      </c>
      <c r="M451" s="49" t="n">
        <v>0</v>
      </c>
      <c r="N451" s="49" t="n">
        <v>0</v>
      </c>
      <c r="O451" s="49" t="n">
        <v>0</v>
      </c>
      <c r="P451" s="49" t="n">
        <v>0</v>
      </c>
      <c r="Q451" s="49" t="n">
        <v>0</v>
      </c>
      <c r="R451" s="49" t="n">
        <v>0</v>
      </c>
      <c r="S451" s="50" t="n">
        <v>0</v>
      </c>
      <c r="T451" s="50" t="n">
        <v>0</v>
      </c>
      <c r="U451" s="50" t="n">
        <v>0</v>
      </c>
      <c r="V451" s="50" t="n">
        <v>0</v>
      </c>
      <c r="W451" s="51" t="n">
        <v>0</v>
      </c>
      <c r="X451" s="51" t="n">
        <v>0</v>
      </c>
      <c r="Y451" s="51" t="n">
        <v>0</v>
      </c>
      <c r="Z451" s="51" t="n">
        <v>0</v>
      </c>
      <c r="AA451" s="52" t="n">
        <v>0</v>
      </c>
      <c r="AB451" s="52" t="n">
        <v>0</v>
      </c>
      <c r="AC451" s="52" t="n">
        <v>0</v>
      </c>
      <c r="AD451" s="52" t="n">
        <v>0</v>
      </c>
      <c r="AE451" s="52" t="n">
        <v>0</v>
      </c>
      <c r="AF451" s="52" t="n">
        <v>0</v>
      </c>
      <c r="AG451" s="52" t="n">
        <v>0</v>
      </c>
      <c r="AH451" s="52" t="n">
        <v>0</v>
      </c>
      <c r="AI451" s="52" t="n">
        <v>0</v>
      </c>
      <c r="AJ451" s="52" t="n">
        <v>0</v>
      </c>
      <c r="AK451" s="52" t="n">
        <v>0</v>
      </c>
      <c r="AL451" s="52" t="n">
        <v>0</v>
      </c>
      <c r="AM451" s="53" t="n">
        <v>0</v>
      </c>
      <c r="AN451" s="53" t="n">
        <v>0</v>
      </c>
      <c r="AO451" s="53" t="n">
        <v>0</v>
      </c>
      <c r="AP451" s="53" t="n">
        <v>0</v>
      </c>
      <c r="AQ451" s="52" t="n">
        <v>0</v>
      </c>
      <c r="AR451" s="52" t="n">
        <v>0</v>
      </c>
      <c r="AS451" s="52" t="n">
        <v>0</v>
      </c>
      <c r="AT451" s="52" t="n">
        <v>0</v>
      </c>
      <c r="AU451" s="53" t="n">
        <v>0</v>
      </c>
      <c r="AV451" s="53" t="n">
        <v>0</v>
      </c>
      <c r="AW451" s="53" t="n">
        <v>0</v>
      </c>
      <c r="AX451" s="53" t="n">
        <v>0</v>
      </c>
      <c r="AY451" s="52" t="n">
        <v>0</v>
      </c>
      <c r="AZ451" s="52" t="n">
        <v>0</v>
      </c>
      <c r="BA451" s="52" t="n">
        <v>0</v>
      </c>
      <c r="BB451" s="52" t="n">
        <v>0</v>
      </c>
      <c r="BC451" s="51" t="n">
        <v>0</v>
      </c>
      <c r="BD451" s="51" t="n">
        <v>0</v>
      </c>
      <c r="BE451" s="51" t="n">
        <v>0</v>
      </c>
      <c r="BF451" s="51" t="n">
        <v>0</v>
      </c>
    </row>
    <row r="452">
      <c r="A452">
        <f>HYPERLINK("https://www.walmart.com/ip/459502324", "459502324")</f>
        <v/>
      </c>
      <c r="B452" t="inlineStr">
        <is>
          <t>Solaris Women's Tankini Swimsuit, Two-Piece Swimwear Bikini Set, Summer Bathing Suits, Large, Black/White</t>
        </is>
      </c>
      <c r="C452" t="inlineStr">
        <is>
          <t>1SLSS006BKWH-L</t>
        </is>
      </c>
      <c r="D452" t="inlineStr">
        <is>
          <t>Swimsuit Sets</t>
        </is>
      </c>
      <c r="E452" t="inlineStr">
        <is>
          <t>Solaris</t>
        </is>
      </c>
      <c r="F452" t="inlineStr">
        <is>
          <t>Optimized</t>
        </is>
      </c>
      <c r="G452" s="48" t="n">
        <v>0</v>
      </c>
      <c r="H452" s="48" t="n">
        <v>0</v>
      </c>
      <c r="I452" s="48" t="n">
        <v>0</v>
      </c>
      <c r="J452" s="48" t="n">
        <v>0</v>
      </c>
      <c r="K452" s="49" t="n">
        <v>0</v>
      </c>
      <c r="L452" s="49" t="n">
        <v>0</v>
      </c>
      <c r="M452" s="49" t="n">
        <v>0</v>
      </c>
      <c r="N452" s="49" t="n">
        <v>0</v>
      </c>
      <c r="O452" s="49" t="n">
        <v>0</v>
      </c>
      <c r="P452" s="49" t="n">
        <v>0</v>
      </c>
      <c r="Q452" s="49" t="n">
        <v>0</v>
      </c>
      <c r="R452" s="49" t="n">
        <v>0</v>
      </c>
      <c r="S452" s="50" t="n">
        <v>0</v>
      </c>
      <c r="T452" s="50" t="n">
        <v>0</v>
      </c>
      <c r="U452" s="50" t="n">
        <v>0</v>
      </c>
      <c r="V452" s="50" t="n">
        <v>0</v>
      </c>
      <c r="W452" s="51" t="n">
        <v>0</v>
      </c>
      <c r="X452" s="51" t="n">
        <v>0</v>
      </c>
      <c r="Y452" s="51" t="n">
        <v>0</v>
      </c>
      <c r="Z452" s="51" t="n">
        <v>0</v>
      </c>
      <c r="AA452" s="52" t="n">
        <v>0</v>
      </c>
      <c r="AB452" s="52" t="n">
        <v>0</v>
      </c>
      <c r="AC452" s="52" t="n">
        <v>0</v>
      </c>
      <c r="AD452" s="52" t="n">
        <v>0</v>
      </c>
      <c r="AE452" s="52" t="n">
        <v>0</v>
      </c>
      <c r="AF452" s="52" t="n">
        <v>0</v>
      </c>
      <c r="AG452" s="52" t="n">
        <v>0</v>
      </c>
      <c r="AH452" s="52" t="n">
        <v>0</v>
      </c>
      <c r="AI452" s="52" t="n">
        <v>0</v>
      </c>
      <c r="AJ452" s="52" t="n">
        <v>0</v>
      </c>
      <c r="AK452" s="52" t="n">
        <v>0</v>
      </c>
      <c r="AL452" s="52" t="n">
        <v>0</v>
      </c>
      <c r="AM452" s="53" t="n">
        <v>0</v>
      </c>
      <c r="AN452" s="53" t="n">
        <v>0</v>
      </c>
      <c r="AO452" s="53" t="n">
        <v>0</v>
      </c>
      <c r="AP452" s="53" t="n">
        <v>0</v>
      </c>
      <c r="AQ452" s="52" t="n">
        <v>0</v>
      </c>
      <c r="AR452" s="52" t="n">
        <v>0</v>
      </c>
      <c r="AS452" s="52" t="n">
        <v>0</v>
      </c>
      <c r="AT452" s="52" t="n">
        <v>0</v>
      </c>
      <c r="AU452" s="53" t="n">
        <v>0</v>
      </c>
      <c r="AV452" s="53" t="n">
        <v>0</v>
      </c>
      <c r="AW452" s="53" t="n">
        <v>0</v>
      </c>
      <c r="AX452" s="53" t="n">
        <v>0</v>
      </c>
      <c r="AY452" s="52" t="n">
        <v>0</v>
      </c>
      <c r="AZ452" s="52" t="n">
        <v>0</v>
      </c>
      <c r="BA452" s="52" t="n">
        <v>0</v>
      </c>
      <c r="BB452" s="52" t="n">
        <v>0</v>
      </c>
      <c r="BC452" s="51" t="n">
        <v>0</v>
      </c>
      <c r="BD452" s="51" t="n">
        <v>0</v>
      </c>
      <c r="BE452" s="51" t="n">
        <v>0</v>
      </c>
      <c r="BF452" s="51" t="n">
        <v>0</v>
      </c>
    </row>
    <row r="453">
      <c r="A453">
        <f>HYPERLINK("https://www.walmart.com/ip/459543614", "459543614")</f>
        <v/>
      </c>
      <c r="B453" t="inlineStr">
        <is>
          <t>Tirrinia Insulated 2 Bottle Wine Carrier Tote Cooler Bag for Travel Picnic Padded Champagne Glass</t>
        </is>
      </c>
      <c r="C453" t="inlineStr">
        <is>
          <t>1WMWB231KK</t>
        </is>
      </c>
      <c r="D453" t="inlineStr">
        <is>
          <t>Wine Totes, Bags &amp; Backpacks</t>
        </is>
      </c>
      <c r="E453" t="inlineStr">
        <is>
          <t>Flyingstar</t>
        </is>
      </c>
      <c r="F453" t="inlineStr">
        <is>
          <t>Wine,Christmas,Valentine</t>
        </is>
      </c>
      <c r="G453" s="48" t="n">
        <v>0</v>
      </c>
      <c r="H453" s="48" t="n">
        <v>0</v>
      </c>
      <c r="I453" s="48" t="n">
        <v>0</v>
      </c>
      <c r="J453" s="48" t="n">
        <v>0</v>
      </c>
      <c r="K453" s="49" t="n">
        <v>0</v>
      </c>
      <c r="L453" s="49" t="n">
        <v>0</v>
      </c>
      <c r="M453" s="49" t="n">
        <v>0</v>
      </c>
      <c r="N453" s="49" t="n">
        <v>0</v>
      </c>
      <c r="O453" s="49" t="n">
        <v>0</v>
      </c>
      <c r="P453" s="49" t="n">
        <v>0</v>
      </c>
      <c r="Q453" s="49" t="n">
        <v>0</v>
      </c>
      <c r="R453" s="49" t="n">
        <v>0</v>
      </c>
      <c r="S453" s="50" t="n">
        <v>0</v>
      </c>
      <c r="T453" s="50" t="n">
        <v>0</v>
      </c>
      <c r="U453" s="50" t="n">
        <v>0</v>
      </c>
      <c r="V453" s="50" t="n">
        <v>0</v>
      </c>
      <c r="W453" s="51" t="n">
        <v>0</v>
      </c>
      <c r="X453" s="51" t="n">
        <v>0</v>
      </c>
      <c r="Y453" s="51" t="n">
        <v>0</v>
      </c>
      <c r="Z453" s="51" t="n">
        <v>0</v>
      </c>
      <c r="AA453" s="52" t="n">
        <v>0</v>
      </c>
      <c r="AB453" s="52" t="n">
        <v>0</v>
      </c>
      <c r="AC453" s="52" t="n">
        <v>0</v>
      </c>
      <c r="AD453" s="52" t="n">
        <v>0</v>
      </c>
      <c r="AE453" s="52" t="n">
        <v>0</v>
      </c>
      <c r="AF453" s="52" t="n">
        <v>0</v>
      </c>
      <c r="AG453" s="52" t="n">
        <v>0</v>
      </c>
      <c r="AH453" s="52" t="n">
        <v>0</v>
      </c>
      <c r="AI453" s="52" t="n">
        <v>0</v>
      </c>
      <c r="AJ453" s="52" t="n">
        <v>0</v>
      </c>
      <c r="AK453" s="52" t="n">
        <v>0</v>
      </c>
      <c r="AL453" s="52" t="n">
        <v>0</v>
      </c>
      <c r="AM453" s="53" t="n">
        <v>0</v>
      </c>
      <c r="AN453" s="53" t="n">
        <v>0</v>
      </c>
      <c r="AO453" s="53" t="n">
        <v>0</v>
      </c>
      <c r="AP453" s="53" t="n">
        <v>0</v>
      </c>
      <c r="AQ453" s="52" t="n">
        <v>0</v>
      </c>
      <c r="AR453" s="52" t="n">
        <v>0</v>
      </c>
      <c r="AS453" s="52" t="n">
        <v>0</v>
      </c>
      <c r="AT453" s="52" t="n">
        <v>0</v>
      </c>
      <c r="AU453" s="53" t="n">
        <v>0</v>
      </c>
      <c r="AV453" s="53" t="n">
        <v>0</v>
      </c>
      <c r="AW453" s="53" t="n">
        <v>0</v>
      </c>
      <c r="AX453" s="53" t="n">
        <v>0</v>
      </c>
      <c r="AY453" s="52" t="n">
        <v>0</v>
      </c>
      <c r="AZ453" s="52" t="n">
        <v>0</v>
      </c>
      <c r="BA453" s="52" t="n">
        <v>0</v>
      </c>
      <c r="BB453" s="52" t="n">
        <v>0</v>
      </c>
      <c r="BC453" s="51" t="n">
        <v>0</v>
      </c>
      <c r="BD453" s="51" t="n">
        <v>0</v>
      </c>
      <c r="BE453" s="51" t="n">
        <v>0</v>
      </c>
      <c r="BF453" s="51" t="n">
        <v>0</v>
      </c>
    </row>
    <row r="454">
      <c r="A454">
        <f>HYPERLINK("https://www.walmart.com/ip/460208535", "460208535")</f>
        <v/>
      </c>
      <c r="B454" t="inlineStr">
        <is>
          <t>Solaris Winter Cable Knit Beanie Hats with Fur Pom Pom for Women Ski Cap multi color</t>
        </is>
      </c>
      <c r="C454" t="inlineStr">
        <is>
          <t>1SLWH200MUL</t>
        </is>
      </c>
      <c r="D454" t="inlineStr">
        <is>
          <t>Hats</t>
        </is>
      </c>
      <c r="E454" t="inlineStr">
        <is>
          <t>Solaris</t>
        </is>
      </c>
      <c r="F454" t="inlineStr">
        <is>
          <t>Batch 1 - TR</t>
        </is>
      </c>
      <c r="G454" s="48" t="n">
        <v>0</v>
      </c>
      <c r="H454" s="48" t="n">
        <v>0</v>
      </c>
      <c r="I454" s="48" t="n">
        <v>0</v>
      </c>
      <c r="J454" s="48" t="n">
        <v>0</v>
      </c>
      <c r="K454" s="49" t="n">
        <v>0</v>
      </c>
      <c r="L454" s="49" t="n">
        <v>0</v>
      </c>
      <c r="M454" s="49" t="n">
        <v>0</v>
      </c>
      <c r="N454" s="49" t="n">
        <v>0</v>
      </c>
      <c r="O454" s="49" t="n">
        <v>0</v>
      </c>
      <c r="P454" s="49" t="n">
        <v>0</v>
      </c>
      <c r="Q454" s="49" t="n">
        <v>0</v>
      </c>
      <c r="R454" s="49" t="n">
        <v>0</v>
      </c>
      <c r="S454" s="50" t="n">
        <v>0</v>
      </c>
      <c r="T454" s="50" t="n">
        <v>0</v>
      </c>
      <c r="U454" s="50" t="n">
        <v>0</v>
      </c>
      <c r="V454" s="50" t="n">
        <v>0</v>
      </c>
      <c r="W454" s="51" t="n">
        <v>0</v>
      </c>
      <c r="X454" s="51" t="n">
        <v>0</v>
      </c>
      <c r="Y454" s="51" t="n">
        <v>0</v>
      </c>
      <c r="Z454" s="51" t="n">
        <v>0</v>
      </c>
      <c r="AA454" s="52" t="n">
        <v>0</v>
      </c>
      <c r="AB454" s="52" t="n">
        <v>0</v>
      </c>
      <c r="AC454" s="52" t="n">
        <v>0</v>
      </c>
      <c r="AD454" s="52" t="n">
        <v>0</v>
      </c>
      <c r="AE454" s="52" t="n">
        <v>0</v>
      </c>
      <c r="AF454" s="52" t="n">
        <v>0</v>
      </c>
      <c r="AG454" s="52" t="n">
        <v>0</v>
      </c>
      <c r="AH454" s="52" t="n">
        <v>0</v>
      </c>
      <c r="AI454" s="52" t="n">
        <v>0</v>
      </c>
      <c r="AJ454" s="52" t="n">
        <v>0</v>
      </c>
      <c r="AK454" s="52" t="n">
        <v>0</v>
      </c>
      <c r="AL454" s="52" t="n">
        <v>0</v>
      </c>
      <c r="AM454" s="53" t="n">
        <v>0</v>
      </c>
      <c r="AN454" s="53" t="n">
        <v>0</v>
      </c>
      <c r="AO454" s="53" t="n">
        <v>0</v>
      </c>
      <c r="AP454" s="53" t="n">
        <v>0</v>
      </c>
      <c r="AQ454" s="52" t="n">
        <v>0</v>
      </c>
      <c r="AR454" s="52" t="n">
        <v>0</v>
      </c>
      <c r="AS454" s="52" t="n">
        <v>0</v>
      </c>
      <c r="AT454" s="52" t="n">
        <v>0</v>
      </c>
      <c r="AU454" s="53" t="n">
        <v>0</v>
      </c>
      <c r="AV454" s="53" t="n">
        <v>0</v>
      </c>
      <c r="AW454" s="53" t="n">
        <v>0</v>
      </c>
      <c r="AX454" s="53" t="n">
        <v>0</v>
      </c>
      <c r="AY454" s="52" t="n">
        <v>0</v>
      </c>
      <c r="AZ454" s="52" t="n">
        <v>0</v>
      </c>
      <c r="BA454" s="52" t="n">
        <v>0</v>
      </c>
      <c r="BB454" s="52" t="n">
        <v>0</v>
      </c>
      <c r="BC454" s="51" t="n">
        <v>0</v>
      </c>
      <c r="BD454" s="51" t="n">
        <v>0</v>
      </c>
      <c r="BE454" s="51" t="n">
        <v>0</v>
      </c>
      <c r="BF454" s="51" t="n">
        <v>0</v>
      </c>
    </row>
    <row r="455">
      <c r="A455">
        <f>HYPERLINK("https://www.walmart.com/ip/460351771", "460351771")</f>
        <v/>
      </c>
      <c r="B455" t="inlineStr">
        <is>
          <t>Women's Sherpa Bathrobe, Soft Warm Fleece Long Robe, Shawl Collar, Comfy, Full Length</t>
        </is>
      </c>
      <c r="C455" t="inlineStr">
        <is>
          <t>1CTRB510WN-01</t>
        </is>
      </c>
      <c r="D455" t="inlineStr">
        <is>
          <t>Sleepwear Robes &amp; Bathrobes</t>
        </is>
      </c>
      <c r="E455" t="inlineStr">
        <is>
          <t>Catalonia</t>
        </is>
      </c>
      <c r="F455" t="inlineStr">
        <is>
          <t>Optimized,Bathrobe,WFS Item</t>
        </is>
      </c>
      <c r="G455" s="48" t="n">
        <v>0</v>
      </c>
      <c r="H455" s="48" t="n">
        <v>0</v>
      </c>
      <c r="I455" s="48" t="n">
        <v>0</v>
      </c>
      <c r="J455" s="48" t="n">
        <v>0</v>
      </c>
      <c r="K455" s="49" t="n">
        <v>0</v>
      </c>
      <c r="L455" s="49" t="n">
        <v>0</v>
      </c>
      <c r="M455" s="49" t="n">
        <v>0</v>
      </c>
      <c r="N455" s="49" t="n">
        <v>0</v>
      </c>
      <c r="O455" s="49" t="n">
        <v>0</v>
      </c>
      <c r="P455" s="49" t="n">
        <v>0</v>
      </c>
      <c r="Q455" s="49" t="n">
        <v>0</v>
      </c>
      <c r="R455" s="49" t="n">
        <v>0</v>
      </c>
      <c r="S455" s="50" t="n">
        <v>0</v>
      </c>
      <c r="T455" s="50" t="n">
        <v>0</v>
      </c>
      <c r="U455" s="50" t="n">
        <v>0</v>
      </c>
      <c r="V455" s="50" t="n">
        <v>0</v>
      </c>
      <c r="W455" s="51" t="n">
        <v>0</v>
      </c>
      <c r="X455" s="51" t="n">
        <v>0</v>
      </c>
      <c r="Y455" s="51" t="n">
        <v>0</v>
      </c>
      <c r="Z455" s="51" t="n">
        <v>0</v>
      </c>
      <c r="AA455" s="52" t="n">
        <v>0</v>
      </c>
      <c r="AB455" s="52" t="n">
        <v>0</v>
      </c>
      <c r="AC455" s="52" t="n">
        <v>0</v>
      </c>
      <c r="AD455" s="52" t="n">
        <v>0</v>
      </c>
      <c r="AE455" s="52" t="n">
        <v>0</v>
      </c>
      <c r="AF455" s="52" t="n">
        <v>0</v>
      </c>
      <c r="AG455" s="52" t="n">
        <v>0</v>
      </c>
      <c r="AH455" s="52" t="n">
        <v>0</v>
      </c>
      <c r="AI455" s="52" t="n">
        <v>0</v>
      </c>
      <c r="AJ455" s="52" t="n">
        <v>0</v>
      </c>
      <c r="AK455" s="52" t="n">
        <v>0</v>
      </c>
      <c r="AL455" s="52" t="n">
        <v>0</v>
      </c>
      <c r="AM455" s="53" t="n">
        <v>0</v>
      </c>
      <c r="AN455" s="53" t="n">
        <v>0</v>
      </c>
      <c r="AO455" s="53" t="n">
        <v>0</v>
      </c>
      <c r="AP455" s="53" t="n">
        <v>0</v>
      </c>
      <c r="AQ455" s="52" t="n">
        <v>0</v>
      </c>
      <c r="AR455" s="52" t="n">
        <v>0</v>
      </c>
      <c r="AS455" s="52" t="n">
        <v>0</v>
      </c>
      <c r="AT455" s="52" t="n">
        <v>0</v>
      </c>
      <c r="AU455" s="53" t="n">
        <v>0</v>
      </c>
      <c r="AV455" s="53" t="n">
        <v>0</v>
      </c>
      <c r="AW455" s="53" t="n">
        <v>0</v>
      </c>
      <c r="AX455" s="53" t="n">
        <v>0</v>
      </c>
      <c r="AY455" s="52" t="n">
        <v>0</v>
      </c>
      <c r="AZ455" s="52" t="n">
        <v>0</v>
      </c>
      <c r="BA455" s="52" t="n">
        <v>0</v>
      </c>
      <c r="BB455" s="52" t="n">
        <v>0</v>
      </c>
      <c r="BC455" s="51" t="n">
        <v>0</v>
      </c>
      <c r="BD455" s="51" t="n">
        <v>0</v>
      </c>
      <c r="BE455" s="51" t="n">
        <v>0</v>
      </c>
      <c r="BF455" s="51" t="n">
        <v>0</v>
      </c>
    </row>
    <row r="456">
      <c r="A456">
        <f>HYPERLINK("https://www.walmart.com/ip/460411151", "460411151")</f>
        <v/>
      </c>
      <c r="B456" t="inlineStr">
        <is>
          <t>Solaris Youth Tulle Tutu, 3-Layered Princess Girls Skirt for Ballet, Dress Up Costume Party, and Running, Light Purple</t>
        </is>
      </c>
      <c r="C456" t="inlineStr">
        <is>
          <t>SLTUTULP</t>
        </is>
      </c>
      <c r="D456" t="inlineStr">
        <is>
          <t>Skirts</t>
        </is>
      </c>
      <c r="E456" t="inlineStr">
        <is>
          <t>Solaris</t>
        </is>
      </c>
      <c r="F456" t="inlineStr">
        <is>
          <t>Optimized</t>
        </is>
      </c>
      <c r="G456" s="48" t="n">
        <v>0</v>
      </c>
      <c r="H456" s="48" t="n">
        <v>0</v>
      </c>
      <c r="I456" s="48" t="n">
        <v>0</v>
      </c>
      <c r="J456" s="48" t="n">
        <v>0</v>
      </c>
      <c r="K456" s="49" t="n">
        <v>0</v>
      </c>
      <c r="L456" s="49" t="n">
        <v>0</v>
      </c>
      <c r="M456" s="49" t="n">
        <v>0</v>
      </c>
      <c r="N456" s="49" t="n">
        <v>0</v>
      </c>
      <c r="O456" s="49" t="n">
        <v>0</v>
      </c>
      <c r="P456" s="49" t="n">
        <v>0</v>
      </c>
      <c r="Q456" s="49" t="n">
        <v>0</v>
      </c>
      <c r="R456" s="49" t="n">
        <v>0</v>
      </c>
      <c r="S456" s="50" t="n">
        <v>0</v>
      </c>
      <c r="T456" s="50" t="n">
        <v>0</v>
      </c>
      <c r="U456" s="50" t="n">
        <v>0</v>
      </c>
      <c r="V456" s="50" t="n">
        <v>0</v>
      </c>
      <c r="W456" s="51" t="n">
        <v>0</v>
      </c>
      <c r="X456" s="51" t="n">
        <v>0</v>
      </c>
      <c r="Y456" s="51" t="n">
        <v>0</v>
      </c>
      <c r="Z456" s="51" t="n">
        <v>0</v>
      </c>
      <c r="AA456" s="52" t="n">
        <v>0</v>
      </c>
      <c r="AB456" s="52" t="n">
        <v>0</v>
      </c>
      <c r="AC456" s="52" t="n">
        <v>0</v>
      </c>
      <c r="AD456" s="52" t="n">
        <v>0</v>
      </c>
      <c r="AE456" s="52" t="n">
        <v>0</v>
      </c>
      <c r="AF456" s="52" t="n">
        <v>0</v>
      </c>
      <c r="AG456" s="52" t="n">
        <v>0</v>
      </c>
      <c r="AH456" s="52" t="n">
        <v>0</v>
      </c>
      <c r="AI456" s="52" t="n">
        <v>0</v>
      </c>
      <c r="AJ456" s="52" t="n">
        <v>0</v>
      </c>
      <c r="AK456" s="52" t="n">
        <v>0</v>
      </c>
      <c r="AL456" s="52" t="n">
        <v>0</v>
      </c>
      <c r="AM456" s="53" t="n">
        <v>0</v>
      </c>
      <c r="AN456" s="53" t="n">
        <v>0</v>
      </c>
      <c r="AO456" s="53" t="n">
        <v>0</v>
      </c>
      <c r="AP456" s="53" t="n">
        <v>0</v>
      </c>
      <c r="AQ456" s="52" t="n">
        <v>0</v>
      </c>
      <c r="AR456" s="52" t="n">
        <v>0</v>
      </c>
      <c r="AS456" s="52" t="n">
        <v>0</v>
      </c>
      <c r="AT456" s="52" t="n">
        <v>0</v>
      </c>
      <c r="AU456" s="53" t="n">
        <v>0</v>
      </c>
      <c r="AV456" s="53" t="n">
        <v>0</v>
      </c>
      <c r="AW456" s="53" t="n">
        <v>0</v>
      </c>
      <c r="AX456" s="53" t="n">
        <v>0</v>
      </c>
      <c r="AY456" s="52" t="n">
        <v>0</v>
      </c>
      <c r="AZ456" s="52" t="n">
        <v>0</v>
      </c>
      <c r="BA456" s="52" t="n">
        <v>0</v>
      </c>
      <c r="BB456" s="52" t="n">
        <v>0</v>
      </c>
      <c r="BC456" s="51" t="n">
        <v>0</v>
      </c>
      <c r="BD456" s="51" t="n">
        <v>0</v>
      </c>
      <c r="BE456" s="51" t="n">
        <v>0</v>
      </c>
      <c r="BF456" s="51" t="n">
        <v>0</v>
      </c>
    </row>
    <row r="457">
      <c r="A457">
        <f>HYPERLINK("https://www.walmart.com/ip/461924334", "461924334")</f>
        <v/>
      </c>
      <c r="B457" t="inlineStr">
        <is>
          <t>home comforts blanket Blanket with Sleeves, Super Soft Wearable TV Blanket Robe Fleece for Adults 73 x 51”| Cozy Warm, Lightweigh</t>
        </is>
      </c>
      <c r="C457" t="inlineStr">
        <is>
          <t>1TRSN100AQ-TBCB</t>
        </is>
      </c>
      <c r="D457" t="inlineStr">
        <is>
          <t>Throws</t>
        </is>
      </c>
      <c r="E457" t="inlineStr">
        <is>
          <t>Tirrinia</t>
        </is>
      </c>
      <c r="F457" t="inlineStr">
        <is>
          <t>Fleece Blankets</t>
        </is>
      </c>
      <c r="G457" s="48" t="n">
        <v>0</v>
      </c>
      <c r="H457" s="48" t="n">
        <v>0</v>
      </c>
      <c r="I457" s="48" t="n">
        <v>0</v>
      </c>
      <c r="J457" s="48" t="n">
        <v>0</v>
      </c>
      <c r="K457" s="49" t="n">
        <v>0</v>
      </c>
      <c r="L457" s="49" t="n">
        <v>0</v>
      </c>
      <c r="M457" s="49" t="n">
        <v>0</v>
      </c>
      <c r="N457" s="49" t="n">
        <v>0</v>
      </c>
      <c r="O457" s="49" t="n">
        <v>0</v>
      </c>
      <c r="P457" s="49" t="n">
        <v>0</v>
      </c>
      <c r="Q457" s="49" t="n">
        <v>0</v>
      </c>
      <c r="R457" s="49" t="n">
        <v>0</v>
      </c>
      <c r="S457" s="50" t="n">
        <v>0</v>
      </c>
      <c r="T457" s="50" t="n">
        <v>0</v>
      </c>
      <c r="U457" s="50" t="n">
        <v>0</v>
      </c>
      <c r="V457" s="50" t="n">
        <v>0</v>
      </c>
      <c r="W457" s="51" t="n">
        <v>0</v>
      </c>
      <c r="X457" s="51" t="n">
        <v>0</v>
      </c>
      <c r="Y457" s="51" t="n">
        <v>0</v>
      </c>
      <c r="Z457" s="51" t="n">
        <v>0</v>
      </c>
      <c r="AA457" s="52" t="n">
        <v>0</v>
      </c>
      <c r="AB457" s="52" t="n">
        <v>0</v>
      </c>
      <c r="AC457" s="52" t="n">
        <v>0</v>
      </c>
      <c r="AD457" s="52" t="n">
        <v>0</v>
      </c>
      <c r="AE457" s="52" t="n">
        <v>0</v>
      </c>
      <c r="AF457" s="52" t="n">
        <v>0</v>
      </c>
      <c r="AG457" s="52" t="n">
        <v>0</v>
      </c>
      <c r="AH457" s="52" t="n">
        <v>0</v>
      </c>
      <c r="AI457" s="52" t="n">
        <v>0</v>
      </c>
      <c r="AJ457" s="52" t="n">
        <v>0</v>
      </c>
      <c r="AK457" s="52" t="n">
        <v>0</v>
      </c>
      <c r="AL457" s="52" t="n">
        <v>0</v>
      </c>
      <c r="AM457" s="53" t="n">
        <v>0</v>
      </c>
      <c r="AN457" s="53" t="n">
        <v>0</v>
      </c>
      <c r="AO457" s="53" t="n">
        <v>0</v>
      </c>
      <c r="AP457" s="53" t="n">
        <v>0</v>
      </c>
      <c r="AQ457" s="52" t="n">
        <v>0</v>
      </c>
      <c r="AR457" s="52" t="n">
        <v>0</v>
      </c>
      <c r="AS457" s="52" t="n">
        <v>0</v>
      </c>
      <c r="AT457" s="52" t="n">
        <v>0</v>
      </c>
      <c r="AU457" s="53" t="n">
        <v>0</v>
      </c>
      <c r="AV457" s="53" t="n">
        <v>0</v>
      </c>
      <c r="AW457" s="53" t="n">
        <v>0</v>
      </c>
      <c r="AX457" s="53" t="n">
        <v>0</v>
      </c>
      <c r="AY457" s="52" t="n">
        <v>0</v>
      </c>
      <c r="AZ457" s="52" t="n">
        <v>0</v>
      </c>
      <c r="BA457" s="52" t="n">
        <v>0</v>
      </c>
      <c r="BB457" s="52" t="n">
        <v>0</v>
      </c>
      <c r="BC457" s="51" t="n">
        <v>0</v>
      </c>
      <c r="BD457" s="51" t="n">
        <v>0</v>
      </c>
      <c r="BE457" s="51" t="n">
        <v>0</v>
      </c>
      <c r="BF457" s="51" t="n">
        <v>0</v>
      </c>
    </row>
    <row r="458">
      <c r="A458">
        <f>HYPERLINK("https://www.walmart.com/ip/451336189", "451336189")</f>
        <v/>
      </c>
      <c r="B458" t="inlineStr">
        <is>
          <t>Catalonia Mermaid Tail Blanket, Adult Mermaid Blanket with Anti-Slip Neck Strap, Silky Hand Knitted Sleeping Blanket for Adults All Season Sleeping Bag Multi-Colors 66.5"x22.5" Grey</t>
        </is>
      </c>
      <c r="C458" t="inlineStr">
        <is>
          <t>1CTMM100GY</t>
        </is>
      </c>
      <c r="D458" t="inlineStr">
        <is>
          <t>Throws</t>
        </is>
      </c>
      <c r="E458" t="inlineStr">
        <is>
          <t>Catalonia</t>
        </is>
      </c>
      <c r="F458" t="inlineStr">
        <is>
          <t>Optimized</t>
        </is>
      </c>
      <c r="G458" s="48" t="n">
        <v>0</v>
      </c>
      <c r="H458" s="48" t="n">
        <v>0</v>
      </c>
      <c r="I458" s="48" t="n">
        <v>0</v>
      </c>
      <c r="J458" s="48" t="n">
        <v>0</v>
      </c>
      <c r="K458" s="49" t="n">
        <v>0</v>
      </c>
      <c r="L458" s="49" t="n">
        <v>0</v>
      </c>
      <c r="M458" s="49" t="n">
        <v>0</v>
      </c>
      <c r="N458" s="49" t="n">
        <v>0</v>
      </c>
      <c r="O458" s="49" t="n">
        <v>0</v>
      </c>
      <c r="P458" s="49" t="n">
        <v>0</v>
      </c>
      <c r="Q458" s="49" t="n">
        <v>0</v>
      </c>
      <c r="R458" s="49" t="n">
        <v>0</v>
      </c>
      <c r="S458" s="50" t="n">
        <v>0</v>
      </c>
      <c r="T458" s="50" t="n">
        <v>0</v>
      </c>
      <c r="U458" s="50" t="n">
        <v>0</v>
      </c>
      <c r="V458" s="50" t="n">
        <v>0</v>
      </c>
      <c r="W458" s="51" t="n">
        <v>0</v>
      </c>
      <c r="X458" s="51" t="n">
        <v>0</v>
      </c>
      <c r="Y458" s="51" t="n">
        <v>0</v>
      </c>
      <c r="Z458" s="51" t="n">
        <v>0</v>
      </c>
      <c r="AA458" s="52" t="n">
        <v>0</v>
      </c>
      <c r="AB458" s="52" t="n">
        <v>0</v>
      </c>
      <c r="AC458" s="52" t="n">
        <v>0</v>
      </c>
      <c r="AD458" s="52" t="n">
        <v>0</v>
      </c>
      <c r="AE458" s="52" t="n">
        <v>0</v>
      </c>
      <c r="AF458" s="52" t="n">
        <v>0</v>
      </c>
      <c r="AG458" s="52" t="n">
        <v>0</v>
      </c>
      <c r="AH458" s="52" t="n">
        <v>0</v>
      </c>
      <c r="AI458" s="52" t="n">
        <v>0</v>
      </c>
      <c r="AJ458" s="52" t="n">
        <v>0</v>
      </c>
      <c r="AK458" s="52" t="n">
        <v>0</v>
      </c>
      <c r="AL458" s="52" t="n">
        <v>0</v>
      </c>
      <c r="AM458" s="53" t="n">
        <v>0</v>
      </c>
      <c r="AN458" s="53" t="n">
        <v>0</v>
      </c>
      <c r="AO458" s="53" t="n">
        <v>0</v>
      </c>
      <c r="AP458" s="53" t="n">
        <v>0</v>
      </c>
      <c r="AQ458" s="52" t="n">
        <v>0</v>
      </c>
      <c r="AR458" s="52" t="n">
        <v>0</v>
      </c>
      <c r="AS458" s="52" t="n">
        <v>0</v>
      </c>
      <c r="AT458" s="52" t="n">
        <v>0</v>
      </c>
      <c r="AU458" s="53" t="n">
        <v>0</v>
      </c>
      <c r="AV458" s="53" t="n">
        <v>0</v>
      </c>
      <c r="AW458" s="53" t="n">
        <v>0</v>
      </c>
      <c r="AX458" s="53" t="n">
        <v>0</v>
      </c>
      <c r="AY458" s="52" t="n">
        <v>0</v>
      </c>
      <c r="AZ458" s="52" t="n">
        <v>0</v>
      </c>
      <c r="BA458" s="52" t="n">
        <v>0</v>
      </c>
      <c r="BB458" s="52" t="n">
        <v>0</v>
      </c>
      <c r="BC458" s="51" t="n">
        <v>0</v>
      </c>
      <c r="BD458" s="51" t="n">
        <v>0</v>
      </c>
      <c r="BE458" s="51" t="n">
        <v>0</v>
      </c>
      <c r="BF458" s="51" t="n">
        <v>0</v>
      </c>
    </row>
    <row r="459">
      <c r="A459">
        <f>HYPERLINK("https://www.walmart.com/ip/451132022", "451132022")</f>
        <v/>
      </c>
      <c r="B459" t="inlineStr">
        <is>
          <t>Two Pieces Tankini Swimsuit for Women Shoulder Strap Swimwear Bikini Bottom Bathing Suits Set by Tirrinia</t>
        </is>
      </c>
      <c r="C459" t="inlineStr">
        <is>
          <t>1TRSS006BKWH-M</t>
        </is>
      </c>
      <c r="D459" t="inlineStr">
        <is>
          <t>Swimsuit Sets</t>
        </is>
      </c>
      <c r="E459" t="inlineStr">
        <is>
          <t>Tirrinia</t>
        </is>
      </c>
      <c r="F459" t="inlineStr">
        <is>
          <t>Batch 1 - TR</t>
        </is>
      </c>
      <c r="G459" s="48" t="n">
        <v>0</v>
      </c>
      <c r="H459" s="48" t="n">
        <v>0</v>
      </c>
      <c r="I459" s="48" t="n">
        <v>0</v>
      </c>
      <c r="J459" s="48" t="n">
        <v>0</v>
      </c>
      <c r="K459" s="49" t="n">
        <v>0</v>
      </c>
      <c r="L459" s="49" t="n">
        <v>0</v>
      </c>
      <c r="M459" s="49" t="n">
        <v>0</v>
      </c>
      <c r="N459" s="49" t="n">
        <v>0</v>
      </c>
      <c r="O459" s="49" t="n">
        <v>0</v>
      </c>
      <c r="P459" s="49" t="n">
        <v>0</v>
      </c>
      <c r="Q459" s="49" t="n">
        <v>0</v>
      </c>
      <c r="R459" s="49" t="n">
        <v>0</v>
      </c>
      <c r="S459" s="50" t="n">
        <v>0</v>
      </c>
      <c r="T459" s="50" t="n">
        <v>0</v>
      </c>
      <c r="U459" s="50" t="n">
        <v>0</v>
      </c>
      <c r="V459" s="50" t="n">
        <v>0</v>
      </c>
      <c r="W459" s="51" t="n">
        <v>0</v>
      </c>
      <c r="X459" s="51" t="n">
        <v>0</v>
      </c>
      <c r="Y459" s="51" t="n">
        <v>0</v>
      </c>
      <c r="Z459" s="51" t="n">
        <v>0</v>
      </c>
      <c r="AA459" s="52" t="n">
        <v>0</v>
      </c>
      <c r="AB459" s="52" t="n">
        <v>0</v>
      </c>
      <c r="AC459" s="52" t="n">
        <v>0</v>
      </c>
      <c r="AD459" s="52" t="n">
        <v>0</v>
      </c>
      <c r="AE459" s="52" t="n">
        <v>0</v>
      </c>
      <c r="AF459" s="52" t="n">
        <v>0</v>
      </c>
      <c r="AG459" s="52" t="n">
        <v>0</v>
      </c>
      <c r="AH459" s="52" t="n">
        <v>0</v>
      </c>
      <c r="AI459" s="52" t="n">
        <v>0</v>
      </c>
      <c r="AJ459" s="52" t="n">
        <v>0</v>
      </c>
      <c r="AK459" s="52" t="n">
        <v>0</v>
      </c>
      <c r="AL459" s="52" t="n">
        <v>0</v>
      </c>
      <c r="AM459" s="53" t="n">
        <v>0</v>
      </c>
      <c r="AN459" s="53" t="n">
        <v>0</v>
      </c>
      <c r="AO459" s="53" t="n">
        <v>0</v>
      </c>
      <c r="AP459" s="53" t="n">
        <v>0</v>
      </c>
      <c r="AQ459" s="52" t="n">
        <v>0</v>
      </c>
      <c r="AR459" s="52" t="n">
        <v>0</v>
      </c>
      <c r="AS459" s="52" t="n">
        <v>0</v>
      </c>
      <c r="AT459" s="52" t="n">
        <v>0</v>
      </c>
      <c r="AU459" s="53" t="n">
        <v>0</v>
      </c>
      <c r="AV459" s="53" t="n">
        <v>0</v>
      </c>
      <c r="AW459" s="53" t="n">
        <v>0</v>
      </c>
      <c r="AX459" s="53" t="n">
        <v>0</v>
      </c>
      <c r="AY459" s="52" t="n">
        <v>0</v>
      </c>
      <c r="AZ459" s="52" t="n">
        <v>0</v>
      </c>
      <c r="BA459" s="52" t="n">
        <v>0</v>
      </c>
      <c r="BB459" s="52" t="n">
        <v>0</v>
      </c>
      <c r="BC459" s="51" t="n">
        <v>0</v>
      </c>
      <c r="BD459" s="51" t="n">
        <v>0</v>
      </c>
      <c r="BE459" s="51" t="n">
        <v>0</v>
      </c>
      <c r="BF459" s="51" t="n">
        <v>0</v>
      </c>
    </row>
    <row r="460">
      <c r="A460">
        <f>HYPERLINK("https://www.walmart.com/ip/450511260", "450511260")</f>
        <v/>
      </c>
      <c r="B460" t="inlineStr">
        <is>
          <t>Tirrinia Large Adult Insulated Lunch Bag Tote Cooler Container, Charcoal</t>
        </is>
      </c>
      <c r="C460" t="inlineStr">
        <is>
          <t>1KTLB410CH</t>
        </is>
      </c>
      <c r="D460" t="inlineStr">
        <is>
          <t>Reusable Lunch Bags &amp; Boxes</t>
        </is>
      </c>
      <c r="E460" t="inlineStr">
        <is>
          <t>Tirrinia</t>
        </is>
      </c>
      <c r="F460" t="inlineStr">
        <is>
          <t>Q2-Target,Lunch Bag,WFS,Lunch Bags,SEM,WFS Item</t>
        </is>
      </c>
      <c r="G460" s="48" t="n">
        <v>0</v>
      </c>
      <c r="H460" s="48" t="n">
        <v>59.97</v>
      </c>
      <c r="I460" s="48" t="n">
        <v>0</v>
      </c>
      <c r="J460" s="48" t="n">
        <v>0</v>
      </c>
      <c r="K460" s="49" t="n">
        <v>0</v>
      </c>
      <c r="L460" s="49" t="n">
        <v>3</v>
      </c>
      <c r="M460" s="49" t="n">
        <v>0</v>
      </c>
      <c r="N460" s="49" t="n">
        <v>0</v>
      </c>
      <c r="O460" s="49" t="n">
        <v>0</v>
      </c>
      <c r="P460" s="49" t="n">
        <v>12</v>
      </c>
      <c r="Q460" s="49" t="n">
        <v>0</v>
      </c>
      <c r="R460" s="49" t="n">
        <v>0</v>
      </c>
      <c r="S460" s="50" t="n">
        <v>0</v>
      </c>
      <c r="T460" s="50" t="n">
        <v>0.25</v>
      </c>
      <c r="U460" s="50" t="n">
        <v>0</v>
      </c>
      <c r="V460" s="50" t="n">
        <v>0</v>
      </c>
      <c r="W460" s="51" t="n">
        <v>0</v>
      </c>
      <c r="X460" s="51" t="n">
        <v>0</v>
      </c>
      <c r="Y460" s="51" t="n">
        <v>0</v>
      </c>
      <c r="Z460" s="51" t="n">
        <v>0</v>
      </c>
      <c r="AA460" s="52" t="n">
        <v>0</v>
      </c>
      <c r="AB460" s="52" t="n">
        <v>0</v>
      </c>
      <c r="AC460" s="52" t="n">
        <v>0</v>
      </c>
      <c r="AD460" s="52" t="n">
        <v>0</v>
      </c>
      <c r="AE460" s="52" t="n">
        <v>0</v>
      </c>
      <c r="AF460" s="52" t="n">
        <v>0</v>
      </c>
      <c r="AG460" s="52" t="n">
        <v>0</v>
      </c>
      <c r="AH460" s="52" t="n">
        <v>0</v>
      </c>
      <c r="AI460" s="52" t="n">
        <v>0</v>
      </c>
      <c r="AJ460" s="52" t="n">
        <v>0</v>
      </c>
      <c r="AK460" s="52" t="n">
        <v>0</v>
      </c>
      <c r="AL460" s="52" t="n">
        <v>0</v>
      </c>
      <c r="AM460" s="53" t="n">
        <v>0</v>
      </c>
      <c r="AN460" s="53" t="n">
        <v>0</v>
      </c>
      <c r="AO460" s="53" t="n">
        <v>0</v>
      </c>
      <c r="AP460" s="53" t="n">
        <v>0</v>
      </c>
      <c r="AQ460" s="52" t="n">
        <v>0</v>
      </c>
      <c r="AR460" s="52" t="n">
        <v>0</v>
      </c>
      <c r="AS460" s="52" t="n">
        <v>0</v>
      </c>
      <c r="AT460" s="52" t="n">
        <v>0</v>
      </c>
      <c r="AU460" s="53" t="n">
        <v>0</v>
      </c>
      <c r="AV460" s="53" t="n">
        <v>0</v>
      </c>
      <c r="AW460" s="53" t="n">
        <v>0</v>
      </c>
      <c r="AX460" s="53" t="n">
        <v>0</v>
      </c>
      <c r="AY460" s="52" t="n">
        <v>0</v>
      </c>
      <c r="AZ460" s="52" t="n">
        <v>19.99</v>
      </c>
      <c r="BA460" s="52" t="n">
        <v>0</v>
      </c>
      <c r="BB460" s="52" t="n">
        <v>0</v>
      </c>
      <c r="BC460" s="51" t="n">
        <v>0</v>
      </c>
      <c r="BD460" s="51" t="n">
        <v>0</v>
      </c>
      <c r="BE460" s="51" t="n">
        <v>0</v>
      </c>
      <c r="BF460" s="51" t="n">
        <v>0</v>
      </c>
    </row>
    <row r="461">
      <c r="A461">
        <f>HYPERLINK("https://www.walmart.com/ip/446170712", "446170712")</f>
        <v/>
      </c>
      <c r="B461" t="inlineStr">
        <is>
          <t>Tirrinia Insulated 2 Bottle Wine Carrier Tote Cooler Bag for Travel Picnic Padded Champagne Glass</t>
        </is>
      </c>
      <c r="C461" t="inlineStr">
        <is>
          <t>1WMWB230CH</t>
        </is>
      </c>
      <c r="D461" t="inlineStr">
        <is>
          <t>Wine Totes, Bags &amp; Backpacks</t>
        </is>
      </c>
      <c r="E461" t="inlineStr">
        <is>
          <t>Flyingstar</t>
        </is>
      </c>
      <c r="F461" t="inlineStr">
        <is>
          <t>Wine,Christmas,Optimized,Valentine</t>
        </is>
      </c>
      <c r="G461" s="48" t="n">
        <v>0</v>
      </c>
      <c r="H461" s="48" t="n">
        <v>0</v>
      </c>
      <c r="I461" s="48" t="n">
        <v>0</v>
      </c>
      <c r="J461" s="48" t="n">
        <v>0</v>
      </c>
      <c r="K461" s="49" t="n">
        <v>0</v>
      </c>
      <c r="L461" s="49" t="n">
        <v>0</v>
      </c>
      <c r="M461" s="49" t="n">
        <v>0</v>
      </c>
      <c r="N461" s="49" t="n">
        <v>0</v>
      </c>
      <c r="O461" s="49" t="n">
        <v>0</v>
      </c>
      <c r="P461" s="49" t="n">
        <v>0</v>
      </c>
      <c r="Q461" s="49" t="n">
        <v>0</v>
      </c>
      <c r="R461" s="49" t="n">
        <v>0</v>
      </c>
      <c r="S461" s="50" t="n">
        <v>0</v>
      </c>
      <c r="T461" s="50" t="n">
        <v>0</v>
      </c>
      <c r="U461" s="50" t="n">
        <v>0</v>
      </c>
      <c r="V461" s="50" t="n">
        <v>0</v>
      </c>
      <c r="W461" s="51" t="n">
        <v>0</v>
      </c>
      <c r="X461" s="51" t="n">
        <v>0</v>
      </c>
      <c r="Y461" s="51" t="n">
        <v>0</v>
      </c>
      <c r="Z461" s="51" t="n">
        <v>0</v>
      </c>
      <c r="AA461" s="52" t="n">
        <v>0</v>
      </c>
      <c r="AB461" s="52" t="n">
        <v>0</v>
      </c>
      <c r="AC461" s="52" t="n">
        <v>0</v>
      </c>
      <c r="AD461" s="52" t="n">
        <v>0</v>
      </c>
      <c r="AE461" s="52" t="n">
        <v>0</v>
      </c>
      <c r="AF461" s="52" t="n">
        <v>0</v>
      </c>
      <c r="AG461" s="52" t="n">
        <v>0</v>
      </c>
      <c r="AH461" s="52" t="n">
        <v>0</v>
      </c>
      <c r="AI461" s="52" t="n">
        <v>0</v>
      </c>
      <c r="AJ461" s="52" t="n">
        <v>0</v>
      </c>
      <c r="AK461" s="52" t="n">
        <v>0</v>
      </c>
      <c r="AL461" s="52" t="n">
        <v>0</v>
      </c>
      <c r="AM461" s="53" t="n">
        <v>0</v>
      </c>
      <c r="AN461" s="53" t="n">
        <v>0</v>
      </c>
      <c r="AO461" s="53" t="n">
        <v>0</v>
      </c>
      <c r="AP461" s="53" t="n">
        <v>0</v>
      </c>
      <c r="AQ461" s="52" t="n">
        <v>0</v>
      </c>
      <c r="AR461" s="52" t="n">
        <v>0</v>
      </c>
      <c r="AS461" s="52" t="n">
        <v>0</v>
      </c>
      <c r="AT461" s="52" t="n">
        <v>0</v>
      </c>
      <c r="AU461" s="53" t="n">
        <v>0</v>
      </c>
      <c r="AV461" s="53" t="n">
        <v>0</v>
      </c>
      <c r="AW461" s="53" t="n">
        <v>0</v>
      </c>
      <c r="AX461" s="53" t="n">
        <v>0</v>
      </c>
      <c r="AY461" s="52" t="n">
        <v>0</v>
      </c>
      <c r="AZ461" s="52" t="n">
        <v>0</v>
      </c>
      <c r="BA461" s="52" t="n">
        <v>0</v>
      </c>
      <c r="BB461" s="52" t="n">
        <v>0</v>
      </c>
      <c r="BC461" s="51" t="n">
        <v>0</v>
      </c>
      <c r="BD461" s="51" t="n">
        <v>0</v>
      </c>
      <c r="BE461" s="51" t="n">
        <v>0</v>
      </c>
      <c r="BF461" s="51" t="n">
        <v>0</v>
      </c>
    </row>
    <row r="462">
      <c r="A462">
        <f>HYPERLINK("https://www.walmart.com/ip/443053567", "443053567")</f>
        <v/>
      </c>
      <c r="B462" t="inlineStr">
        <is>
          <t>Catalonia Waterproof Blanket, Pee Proof Couch Sofa Bed Protector Cover for Baby, Super Cozy Plush Fleece Warm Sherpa Lining Throws and Blankets for Boating Camping, Grey, 60" x 80"</t>
        </is>
      </c>
      <c r="C462" t="inlineStr">
        <is>
          <t>1CTBW682LGDG</t>
        </is>
      </c>
      <c r="D462" t="inlineStr">
        <is>
          <t>Throws</t>
        </is>
      </c>
      <c r="E462" t="inlineStr">
        <is>
          <t>Catalonia</t>
        </is>
      </c>
      <c r="F462" t="inlineStr">
        <is>
          <t>Q2-Target,High AUR Items,Wproof Blanket,Batch 1 - TR</t>
        </is>
      </c>
      <c r="G462" s="48" t="n">
        <v>0</v>
      </c>
      <c r="H462" s="48" t="n">
        <v>0</v>
      </c>
      <c r="I462" s="48" t="n">
        <v>0</v>
      </c>
      <c r="J462" s="48" t="n">
        <v>0</v>
      </c>
      <c r="K462" s="49" t="n">
        <v>0</v>
      </c>
      <c r="L462" s="49" t="n">
        <v>0</v>
      </c>
      <c r="M462" s="49" t="n">
        <v>0</v>
      </c>
      <c r="N462" s="49" t="n">
        <v>0</v>
      </c>
      <c r="O462" s="49" t="n">
        <v>0</v>
      </c>
      <c r="P462" s="49" t="n">
        <v>0</v>
      </c>
      <c r="Q462" s="49" t="n">
        <v>0</v>
      </c>
      <c r="R462" s="49" t="n">
        <v>0</v>
      </c>
      <c r="S462" s="50" t="n">
        <v>0</v>
      </c>
      <c r="T462" s="50" t="n">
        <v>0</v>
      </c>
      <c r="U462" s="50" t="n">
        <v>0</v>
      </c>
      <c r="V462" s="50" t="n">
        <v>0</v>
      </c>
      <c r="W462" s="51" t="n">
        <v>2</v>
      </c>
      <c r="X462" s="51" t="n">
        <v>2</v>
      </c>
      <c r="Y462" s="51" t="n">
        <v>0</v>
      </c>
      <c r="Z462" s="51" t="n">
        <v>2</v>
      </c>
      <c r="AA462" s="52" t="n">
        <v>0.61</v>
      </c>
      <c r="AB462" s="52" t="n">
        <v>0.8100000000000001</v>
      </c>
      <c r="AC462" s="52" t="n">
        <v>0</v>
      </c>
      <c r="AD462" s="52" t="n">
        <v>0.67</v>
      </c>
      <c r="AE462" s="52" t="n">
        <v>0</v>
      </c>
      <c r="AF462" s="52" t="n">
        <v>0</v>
      </c>
      <c r="AG462" s="52" t="n">
        <v>0</v>
      </c>
      <c r="AH462" s="52" t="n">
        <v>0</v>
      </c>
      <c r="AI462" s="52" t="n">
        <v>0</v>
      </c>
      <c r="AJ462" s="52" t="n">
        <v>0</v>
      </c>
      <c r="AK462" s="52" t="n">
        <v>0</v>
      </c>
      <c r="AL462" s="52" t="n">
        <v>0</v>
      </c>
      <c r="AM462" s="53" t="n">
        <v>0.0018</v>
      </c>
      <c r="AN462" s="53" t="n">
        <v>0.0019</v>
      </c>
      <c r="AO462" s="53" t="n">
        <v>0</v>
      </c>
      <c r="AP462" s="53" t="n">
        <v>0.0018</v>
      </c>
      <c r="AQ462" s="52" t="n">
        <v>0.305</v>
      </c>
      <c r="AR462" s="52" t="n">
        <v>0.405</v>
      </c>
      <c r="AS462" s="52" t="n">
        <v>0</v>
      </c>
      <c r="AT462" s="52" t="n">
        <v>0.335</v>
      </c>
      <c r="AU462" s="53" t="n">
        <v>0</v>
      </c>
      <c r="AV462" s="53" t="n">
        <v>0</v>
      </c>
      <c r="AW462" s="53" t="n">
        <v>0</v>
      </c>
      <c r="AX462" s="53" t="n">
        <v>0</v>
      </c>
      <c r="AY462" s="52" t="n">
        <v>0</v>
      </c>
      <c r="AZ462" s="52" t="n">
        <v>0</v>
      </c>
      <c r="BA462" s="52" t="n">
        <v>0</v>
      </c>
      <c r="BB462" s="52" t="n">
        <v>0</v>
      </c>
      <c r="BC462" s="51" t="n">
        <v>1134</v>
      </c>
      <c r="BD462" s="51" t="n">
        <v>1047</v>
      </c>
      <c r="BE462" s="51" t="n">
        <v>1281</v>
      </c>
      <c r="BF462" s="51" t="n">
        <v>1142</v>
      </c>
    </row>
    <row r="463">
      <c r="A463">
        <f>HYPERLINK("https://www.walmart.com/ip/443518733", "443518733")</f>
        <v/>
      </c>
      <c r="B463" t="inlineStr">
        <is>
          <t>Tirrinia Sherpa Wearable Blanket Ultra Soft Comfy Warm Plush Full Body Throw with Sleeves, Reading Wrap TV Blankets Robe Cover for Adult Grandma Women and Men, Camel</t>
        </is>
      </c>
      <c r="C463" t="inlineStr">
        <is>
          <t>1TRSN110CA</t>
        </is>
      </c>
      <c r="D463" t="inlineStr">
        <is>
          <t>Throws</t>
        </is>
      </c>
      <c r="E463" t="inlineStr">
        <is>
          <t>Tirrinia</t>
        </is>
      </c>
      <c r="F463" t="inlineStr">
        <is>
          <t>WFS,Coupon_Discount,WFS Item</t>
        </is>
      </c>
      <c r="G463" s="48" t="n">
        <v>0</v>
      </c>
      <c r="H463" s="48" t="n">
        <v>0</v>
      </c>
      <c r="I463" s="48" t="n">
        <v>0</v>
      </c>
      <c r="J463" s="48" t="n">
        <v>0</v>
      </c>
      <c r="K463" s="49" t="n">
        <v>0</v>
      </c>
      <c r="L463" s="49" t="n">
        <v>0</v>
      </c>
      <c r="M463" s="49" t="n">
        <v>0</v>
      </c>
      <c r="N463" s="49" t="n">
        <v>0</v>
      </c>
      <c r="O463" s="49" t="n">
        <v>0</v>
      </c>
      <c r="P463" s="49" t="n">
        <v>0</v>
      </c>
      <c r="Q463" s="49" t="n">
        <v>0</v>
      </c>
      <c r="R463" s="49" t="n">
        <v>0</v>
      </c>
      <c r="S463" s="50" t="n">
        <v>0</v>
      </c>
      <c r="T463" s="50" t="n">
        <v>0</v>
      </c>
      <c r="U463" s="50" t="n">
        <v>0</v>
      </c>
      <c r="V463" s="50" t="n">
        <v>0</v>
      </c>
      <c r="W463" s="51" t="n">
        <v>0</v>
      </c>
      <c r="X463" s="51" t="n">
        <v>0</v>
      </c>
      <c r="Y463" s="51" t="n">
        <v>0</v>
      </c>
      <c r="Z463" s="51" t="n">
        <v>0</v>
      </c>
      <c r="AA463" s="52" t="n">
        <v>0</v>
      </c>
      <c r="AB463" s="52" t="n">
        <v>0</v>
      </c>
      <c r="AC463" s="52" t="n">
        <v>0</v>
      </c>
      <c r="AD463" s="52" t="n">
        <v>0</v>
      </c>
      <c r="AE463" s="52" t="n">
        <v>0</v>
      </c>
      <c r="AF463" s="52" t="n">
        <v>0</v>
      </c>
      <c r="AG463" s="52" t="n">
        <v>0</v>
      </c>
      <c r="AH463" s="52" t="n">
        <v>0</v>
      </c>
      <c r="AI463" s="52" t="n">
        <v>0</v>
      </c>
      <c r="AJ463" s="52" t="n">
        <v>0</v>
      </c>
      <c r="AK463" s="52" t="n">
        <v>0</v>
      </c>
      <c r="AL463" s="52" t="n">
        <v>0</v>
      </c>
      <c r="AM463" s="53" t="n">
        <v>0</v>
      </c>
      <c r="AN463" s="53" t="n">
        <v>0</v>
      </c>
      <c r="AO463" s="53" t="n">
        <v>0</v>
      </c>
      <c r="AP463" s="53" t="n">
        <v>0</v>
      </c>
      <c r="AQ463" s="52" t="n">
        <v>0</v>
      </c>
      <c r="AR463" s="52" t="n">
        <v>0</v>
      </c>
      <c r="AS463" s="52" t="n">
        <v>0</v>
      </c>
      <c r="AT463" s="52" t="n">
        <v>0</v>
      </c>
      <c r="AU463" s="53" t="n">
        <v>0</v>
      </c>
      <c r="AV463" s="53" t="n">
        <v>0</v>
      </c>
      <c r="AW463" s="53" t="n">
        <v>0</v>
      </c>
      <c r="AX463" s="53" t="n">
        <v>0</v>
      </c>
      <c r="AY463" s="52" t="n">
        <v>0</v>
      </c>
      <c r="AZ463" s="52" t="n">
        <v>0</v>
      </c>
      <c r="BA463" s="52" t="n">
        <v>0</v>
      </c>
      <c r="BB463" s="52" t="n">
        <v>0</v>
      </c>
      <c r="BC463" s="51" t="n">
        <v>0</v>
      </c>
      <c r="BD463" s="51" t="n">
        <v>0</v>
      </c>
      <c r="BE463" s="51" t="n">
        <v>0</v>
      </c>
      <c r="BF463" s="51" t="n">
        <v>0</v>
      </c>
    </row>
    <row r="464">
      <c r="A464">
        <f>HYPERLINK("https://www.walmart.com/ip/444384518", "444384518")</f>
        <v/>
      </c>
      <c r="B464" t="inlineStr">
        <is>
          <t>KC Caps Men's Deluxe Washed Chino Cotton Surplus Cap</t>
        </is>
      </c>
      <c r="C464" t="inlineStr">
        <is>
          <t>8320-Kahaki</t>
        </is>
      </c>
      <c r="D464" t="inlineStr">
        <is>
          <t>Hats</t>
        </is>
      </c>
      <c r="E464" t="inlineStr">
        <is>
          <t>KC Caps</t>
        </is>
      </c>
      <c r="F464" t="inlineStr">
        <is>
          <t>Optimized</t>
        </is>
      </c>
      <c r="G464" s="48" t="n">
        <v>0</v>
      </c>
      <c r="H464" s="48" t="n">
        <v>0</v>
      </c>
      <c r="I464" s="48" t="n">
        <v>0</v>
      </c>
      <c r="J464" s="48" t="n">
        <v>0</v>
      </c>
      <c r="K464" s="49" t="n">
        <v>0</v>
      </c>
      <c r="L464" s="49" t="n">
        <v>0</v>
      </c>
      <c r="M464" s="49" t="n">
        <v>0</v>
      </c>
      <c r="N464" s="49" t="n">
        <v>0</v>
      </c>
      <c r="O464" s="49" t="n">
        <v>0</v>
      </c>
      <c r="P464" s="49" t="n">
        <v>0</v>
      </c>
      <c r="Q464" s="49" t="n">
        <v>0</v>
      </c>
      <c r="R464" s="49" t="n">
        <v>0</v>
      </c>
      <c r="S464" s="50" t="n">
        <v>0</v>
      </c>
      <c r="T464" s="50" t="n">
        <v>0</v>
      </c>
      <c r="U464" s="50" t="n">
        <v>0</v>
      </c>
      <c r="V464" s="50" t="n">
        <v>0</v>
      </c>
      <c r="W464" s="51" t="n">
        <v>0</v>
      </c>
      <c r="X464" s="51" t="n">
        <v>0</v>
      </c>
      <c r="Y464" s="51" t="n">
        <v>0</v>
      </c>
      <c r="Z464" s="51" t="n">
        <v>0</v>
      </c>
      <c r="AA464" s="52" t="n">
        <v>0</v>
      </c>
      <c r="AB464" s="52" t="n">
        <v>0</v>
      </c>
      <c r="AC464" s="52" t="n">
        <v>0</v>
      </c>
      <c r="AD464" s="52" t="n">
        <v>0</v>
      </c>
      <c r="AE464" s="52" t="n">
        <v>0</v>
      </c>
      <c r="AF464" s="52" t="n">
        <v>0</v>
      </c>
      <c r="AG464" s="52" t="n">
        <v>0</v>
      </c>
      <c r="AH464" s="52" t="n">
        <v>0</v>
      </c>
      <c r="AI464" s="52" t="n">
        <v>0</v>
      </c>
      <c r="AJ464" s="52" t="n">
        <v>0</v>
      </c>
      <c r="AK464" s="52" t="n">
        <v>0</v>
      </c>
      <c r="AL464" s="52" t="n">
        <v>0</v>
      </c>
      <c r="AM464" s="53" t="n">
        <v>0</v>
      </c>
      <c r="AN464" s="53" t="n">
        <v>0</v>
      </c>
      <c r="AO464" s="53" t="n">
        <v>0</v>
      </c>
      <c r="AP464" s="53" t="n">
        <v>0</v>
      </c>
      <c r="AQ464" s="52" t="n">
        <v>0</v>
      </c>
      <c r="AR464" s="52" t="n">
        <v>0</v>
      </c>
      <c r="AS464" s="52" t="n">
        <v>0</v>
      </c>
      <c r="AT464" s="52" t="n">
        <v>0</v>
      </c>
      <c r="AU464" s="53" t="n">
        <v>0</v>
      </c>
      <c r="AV464" s="53" t="n">
        <v>0</v>
      </c>
      <c r="AW464" s="53" t="n">
        <v>0</v>
      </c>
      <c r="AX464" s="53" t="n">
        <v>0</v>
      </c>
      <c r="AY464" s="52" t="n">
        <v>0</v>
      </c>
      <c r="AZ464" s="52" t="n">
        <v>0</v>
      </c>
      <c r="BA464" s="52" t="n">
        <v>0</v>
      </c>
      <c r="BB464" s="52" t="n">
        <v>0</v>
      </c>
      <c r="BC464" s="51" t="n">
        <v>0</v>
      </c>
      <c r="BD464" s="51" t="n">
        <v>0</v>
      </c>
      <c r="BE464" s="51" t="n">
        <v>0</v>
      </c>
      <c r="BF464" s="51" t="n">
        <v>0</v>
      </c>
    </row>
    <row r="465">
      <c r="A465">
        <f>HYPERLINK("https://www.walmart.com/ip/445268146", "445268146")</f>
        <v/>
      </c>
      <c r="B465" t="inlineStr">
        <is>
          <t>Women’s Swim Bathing Suit Cover Up, Summer Chiffon Maxi Beach Dress Skirt</t>
        </is>
      </c>
      <c r="C465" t="inlineStr">
        <is>
          <t>1WMDS100BK</t>
        </is>
      </c>
      <c r="D465" t="inlineStr">
        <is>
          <t>Dresses</t>
        </is>
      </c>
      <c r="E465" t="inlineStr">
        <is>
          <t>Flyingstar</t>
        </is>
      </c>
      <c r="F465" t="inlineStr">
        <is>
          <t>Batch 1 - TR</t>
        </is>
      </c>
      <c r="G465" s="48" t="n">
        <v>0</v>
      </c>
      <c r="H465" s="48" t="n">
        <v>0</v>
      </c>
      <c r="I465" s="48" t="n">
        <v>0</v>
      </c>
      <c r="J465" s="48" t="n">
        <v>0</v>
      </c>
      <c r="K465" s="49" t="n">
        <v>0</v>
      </c>
      <c r="L465" s="49" t="n">
        <v>0</v>
      </c>
      <c r="M465" s="49" t="n">
        <v>0</v>
      </c>
      <c r="N465" s="49" t="n">
        <v>0</v>
      </c>
      <c r="O465" s="49" t="n">
        <v>0</v>
      </c>
      <c r="P465" s="49" t="n">
        <v>0</v>
      </c>
      <c r="Q465" s="49" t="n">
        <v>0</v>
      </c>
      <c r="R465" s="49" t="n">
        <v>0</v>
      </c>
      <c r="S465" s="50" t="n">
        <v>0</v>
      </c>
      <c r="T465" s="50" t="n">
        <v>0</v>
      </c>
      <c r="U465" s="50" t="n">
        <v>0</v>
      </c>
      <c r="V465" s="50" t="n">
        <v>0</v>
      </c>
      <c r="W465" s="51" t="n">
        <v>0</v>
      </c>
      <c r="X465" s="51" t="n">
        <v>0</v>
      </c>
      <c r="Y465" s="51" t="n">
        <v>0</v>
      </c>
      <c r="Z465" s="51" t="n">
        <v>0</v>
      </c>
      <c r="AA465" s="52" t="n">
        <v>0</v>
      </c>
      <c r="AB465" s="52" t="n">
        <v>0</v>
      </c>
      <c r="AC465" s="52" t="n">
        <v>0</v>
      </c>
      <c r="AD465" s="52" t="n">
        <v>0</v>
      </c>
      <c r="AE465" s="52" t="n">
        <v>0</v>
      </c>
      <c r="AF465" s="52" t="n">
        <v>0</v>
      </c>
      <c r="AG465" s="52" t="n">
        <v>0</v>
      </c>
      <c r="AH465" s="52" t="n">
        <v>0</v>
      </c>
      <c r="AI465" s="52" t="n">
        <v>0</v>
      </c>
      <c r="AJ465" s="52" t="n">
        <v>0</v>
      </c>
      <c r="AK465" s="52" t="n">
        <v>0</v>
      </c>
      <c r="AL465" s="52" t="n">
        <v>0</v>
      </c>
      <c r="AM465" s="53" t="n">
        <v>0</v>
      </c>
      <c r="AN465" s="53" t="n">
        <v>0</v>
      </c>
      <c r="AO465" s="53" t="n">
        <v>0</v>
      </c>
      <c r="AP465" s="53" t="n">
        <v>0</v>
      </c>
      <c r="AQ465" s="52" t="n">
        <v>0</v>
      </c>
      <c r="AR465" s="52" t="n">
        <v>0</v>
      </c>
      <c r="AS465" s="52" t="n">
        <v>0</v>
      </c>
      <c r="AT465" s="52" t="n">
        <v>0</v>
      </c>
      <c r="AU465" s="53" t="n">
        <v>0</v>
      </c>
      <c r="AV465" s="53" t="n">
        <v>0</v>
      </c>
      <c r="AW465" s="53" t="n">
        <v>0</v>
      </c>
      <c r="AX465" s="53" t="n">
        <v>0</v>
      </c>
      <c r="AY465" s="52" t="n">
        <v>0</v>
      </c>
      <c r="AZ465" s="52" t="n">
        <v>0</v>
      </c>
      <c r="BA465" s="52" t="n">
        <v>0</v>
      </c>
      <c r="BB465" s="52" t="n">
        <v>0</v>
      </c>
      <c r="BC465" s="51" t="n">
        <v>0</v>
      </c>
      <c r="BD465" s="51" t="n">
        <v>0</v>
      </c>
      <c r="BE465" s="51" t="n">
        <v>0</v>
      </c>
      <c r="BF465" s="51" t="n">
        <v>0</v>
      </c>
    </row>
    <row r="466">
      <c r="A466">
        <f>HYPERLINK("https://www.walmart.com/ip/445400019", "445400019")</f>
        <v/>
      </c>
      <c r="B466" t="inlineStr">
        <is>
          <t>Women’s Swim Bathing Suit Cover Up, Summer Chiffon Backless Beach Dress Skirt</t>
        </is>
      </c>
      <c r="C466" t="inlineStr">
        <is>
          <t>1WMDS110BL</t>
        </is>
      </c>
      <c r="D466" t="inlineStr">
        <is>
          <t>Dresses</t>
        </is>
      </c>
      <c r="E466" t="inlineStr">
        <is>
          <t>Flyingstar</t>
        </is>
      </c>
      <c r="F466" t="inlineStr">
        <is>
          <t>Optimized</t>
        </is>
      </c>
      <c r="G466" s="48" t="n">
        <v>0</v>
      </c>
      <c r="H466" s="48" t="n">
        <v>0</v>
      </c>
      <c r="I466" s="48" t="n">
        <v>0</v>
      </c>
      <c r="J466" s="48" t="n">
        <v>0</v>
      </c>
      <c r="K466" s="49" t="n">
        <v>0</v>
      </c>
      <c r="L466" s="49" t="n">
        <v>0</v>
      </c>
      <c r="M466" s="49" t="n">
        <v>0</v>
      </c>
      <c r="N466" s="49" t="n">
        <v>0</v>
      </c>
      <c r="O466" s="49" t="n">
        <v>0</v>
      </c>
      <c r="P466" s="49" t="n">
        <v>0</v>
      </c>
      <c r="Q466" s="49" t="n">
        <v>0</v>
      </c>
      <c r="R466" s="49" t="n">
        <v>0</v>
      </c>
      <c r="S466" s="50" t="n">
        <v>0</v>
      </c>
      <c r="T466" s="50" t="n">
        <v>0</v>
      </c>
      <c r="U466" s="50" t="n">
        <v>0</v>
      </c>
      <c r="V466" s="50" t="n">
        <v>0</v>
      </c>
      <c r="W466" s="51" t="n">
        <v>0</v>
      </c>
      <c r="X466" s="51" t="n">
        <v>0</v>
      </c>
      <c r="Y466" s="51" t="n">
        <v>0</v>
      </c>
      <c r="Z466" s="51" t="n">
        <v>0</v>
      </c>
      <c r="AA466" s="52" t="n">
        <v>0</v>
      </c>
      <c r="AB466" s="52" t="n">
        <v>0</v>
      </c>
      <c r="AC466" s="52" t="n">
        <v>0</v>
      </c>
      <c r="AD466" s="52" t="n">
        <v>0</v>
      </c>
      <c r="AE466" s="52" t="n">
        <v>0</v>
      </c>
      <c r="AF466" s="52" t="n">
        <v>0</v>
      </c>
      <c r="AG466" s="52" t="n">
        <v>0</v>
      </c>
      <c r="AH466" s="52" t="n">
        <v>0</v>
      </c>
      <c r="AI466" s="52" t="n">
        <v>0</v>
      </c>
      <c r="AJ466" s="52" t="n">
        <v>0</v>
      </c>
      <c r="AK466" s="52" t="n">
        <v>0</v>
      </c>
      <c r="AL466" s="52" t="n">
        <v>0</v>
      </c>
      <c r="AM466" s="53" t="n">
        <v>0</v>
      </c>
      <c r="AN466" s="53" t="n">
        <v>0</v>
      </c>
      <c r="AO466" s="53" t="n">
        <v>0</v>
      </c>
      <c r="AP466" s="53" t="n">
        <v>0</v>
      </c>
      <c r="AQ466" s="52" t="n">
        <v>0</v>
      </c>
      <c r="AR466" s="52" t="n">
        <v>0</v>
      </c>
      <c r="AS466" s="52" t="n">
        <v>0</v>
      </c>
      <c r="AT466" s="52" t="n">
        <v>0</v>
      </c>
      <c r="AU466" s="53" t="n">
        <v>0</v>
      </c>
      <c r="AV466" s="53" t="n">
        <v>0</v>
      </c>
      <c r="AW466" s="53" t="n">
        <v>0</v>
      </c>
      <c r="AX466" s="53" t="n">
        <v>0</v>
      </c>
      <c r="AY466" s="52" t="n">
        <v>0</v>
      </c>
      <c r="AZ466" s="52" t="n">
        <v>0</v>
      </c>
      <c r="BA466" s="52" t="n">
        <v>0</v>
      </c>
      <c r="BB466" s="52" t="n">
        <v>0</v>
      </c>
      <c r="BC466" s="51" t="n">
        <v>0</v>
      </c>
      <c r="BD466" s="51" t="n">
        <v>0</v>
      </c>
      <c r="BE466" s="51" t="n">
        <v>0</v>
      </c>
      <c r="BF466" s="51" t="n">
        <v>0</v>
      </c>
    </row>
    <row r="467">
      <c r="A467">
        <f>HYPERLINK("https://www.walmart.com/ip/445550072", "445550072")</f>
        <v/>
      </c>
      <c r="B467" t="inlineStr">
        <is>
          <t>Catalonia Coral Fleece Throw Blanket for Couch, All Seasons Lightweight Soft Cozy Throws for Home Living Room Decoration, Brown, 50'' x 60''.</t>
        </is>
      </c>
      <c r="C467" t="inlineStr">
        <is>
          <t>1CTBF577BR</t>
        </is>
      </c>
      <c r="D467" t="inlineStr">
        <is>
          <t>Throws</t>
        </is>
      </c>
      <c r="E467" t="inlineStr">
        <is>
          <t>Catalonia</t>
        </is>
      </c>
      <c r="F467" t="inlineStr">
        <is>
          <t>Q2-Target,WFS,Coupon_Discount,SeePriceInCart,cost-added,WFS Item</t>
        </is>
      </c>
      <c r="G467" s="48" t="n">
        <v>0</v>
      </c>
      <c r="H467" s="48" t="n">
        <v>0</v>
      </c>
      <c r="I467" s="48" t="n">
        <v>0</v>
      </c>
      <c r="J467" s="48" t="n">
        <v>0</v>
      </c>
      <c r="K467" s="49" t="n">
        <v>0</v>
      </c>
      <c r="L467" s="49" t="n">
        <v>0</v>
      </c>
      <c r="M467" s="49" t="n">
        <v>0</v>
      </c>
      <c r="N467" s="49" t="n">
        <v>0</v>
      </c>
      <c r="O467" s="49" t="n">
        <v>0</v>
      </c>
      <c r="P467" s="49" t="n">
        <v>0</v>
      </c>
      <c r="Q467" s="49" t="n">
        <v>0</v>
      </c>
      <c r="R467" s="49" t="n">
        <v>0</v>
      </c>
      <c r="S467" s="50" t="n">
        <v>0</v>
      </c>
      <c r="T467" s="50" t="n">
        <v>0</v>
      </c>
      <c r="U467" s="50" t="n">
        <v>0</v>
      </c>
      <c r="V467" s="50" t="n">
        <v>0</v>
      </c>
      <c r="W467" s="51" t="n">
        <v>0</v>
      </c>
      <c r="X467" s="51" t="n">
        <v>0</v>
      </c>
      <c r="Y467" s="51" t="n">
        <v>0</v>
      </c>
      <c r="Z467" s="51" t="n">
        <v>0</v>
      </c>
      <c r="AA467" s="52" t="n">
        <v>0</v>
      </c>
      <c r="AB467" s="52" t="n">
        <v>0</v>
      </c>
      <c r="AC467" s="52" t="n">
        <v>0</v>
      </c>
      <c r="AD467" s="52" t="n">
        <v>0</v>
      </c>
      <c r="AE467" s="52" t="n">
        <v>0</v>
      </c>
      <c r="AF467" s="52" t="n">
        <v>0</v>
      </c>
      <c r="AG467" s="52" t="n">
        <v>0</v>
      </c>
      <c r="AH467" s="52" t="n">
        <v>0</v>
      </c>
      <c r="AI467" s="52" t="n">
        <v>0</v>
      </c>
      <c r="AJ467" s="52" t="n">
        <v>0</v>
      </c>
      <c r="AK467" s="52" t="n">
        <v>0</v>
      </c>
      <c r="AL467" s="52" t="n">
        <v>0</v>
      </c>
      <c r="AM467" s="53" t="n">
        <v>0</v>
      </c>
      <c r="AN467" s="53" t="n">
        <v>0</v>
      </c>
      <c r="AO467" s="53" t="n">
        <v>0</v>
      </c>
      <c r="AP467" s="53" t="n">
        <v>0</v>
      </c>
      <c r="AQ467" s="52" t="n">
        <v>0</v>
      </c>
      <c r="AR467" s="52" t="n">
        <v>0</v>
      </c>
      <c r="AS467" s="52" t="n">
        <v>0</v>
      </c>
      <c r="AT467" s="52" t="n">
        <v>0</v>
      </c>
      <c r="AU467" s="53" t="n">
        <v>0</v>
      </c>
      <c r="AV467" s="53" t="n">
        <v>0</v>
      </c>
      <c r="AW467" s="53" t="n">
        <v>0</v>
      </c>
      <c r="AX467" s="53" t="n">
        <v>0</v>
      </c>
      <c r="AY467" s="52" t="n">
        <v>0</v>
      </c>
      <c r="AZ467" s="52" t="n">
        <v>0</v>
      </c>
      <c r="BA467" s="52" t="n">
        <v>0</v>
      </c>
      <c r="BB467" s="52" t="n">
        <v>0</v>
      </c>
      <c r="BC467" s="51" t="n">
        <v>0</v>
      </c>
      <c r="BD467" s="51" t="n">
        <v>0</v>
      </c>
      <c r="BE467" s="51" t="n">
        <v>0</v>
      </c>
      <c r="BF467" s="51" t="n">
        <v>0</v>
      </c>
    </row>
    <row r="468">
      <c r="A468">
        <f>HYPERLINK("https://www.walmart.com/ip/447066728", "447066728")</f>
        <v/>
      </c>
      <c r="B468" t="inlineStr">
        <is>
          <t>Napa Plush Cashmere Throw Blanket Dark Grey, Striped Reversible Velvet Luxury Fleece Warm Bed Couch Blanket, Super Soft and Cozy,  90" X 90" Queen/Full.</t>
        </is>
      </c>
      <c r="C468" t="inlineStr">
        <is>
          <t>K8030QF-DGY</t>
        </is>
      </c>
      <c r="D468" t="inlineStr">
        <is>
          <t>Throws</t>
        </is>
      </c>
      <c r="E468" t="inlineStr">
        <is>
          <t>NAPA</t>
        </is>
      </c>
      <c r="F468" t="inlineStr">
        <is>
          <t>Q2-Target,Optimized</t>
        </is>
      </c>
      <c r="G468" s="48" t="n">
        <v>0</v>
      </c>
      <c r="H468" s="48" t="n">
        <v>29.96</v>
      </c>
      <c r="I468" s="48" t="n">
        <v>0</v>
      </c>
      <c r="J468" s="48" t="n">
        <v>14.98</v>
      </c>
      <c r="K468" s="49" t="n">
        <v>0</v>
      </c>
      <c r="L468" s="49" t="n">
        <v>2</v>
      </c>
      <c r="M468" s="49" t="n">
        <v>0</v>
      </c>
      <c r="N468" s="49" t="n">
        <v>1</v>
      </c>
      <c r="O468" s="49" t="n">
        <v>0</v>
      </c>
      <c r="P468" s="49" t="n">
        <v>0</v>
      </c>
      <c r="Q468" s="49" t="n">
        <v>0</v>
      </c>
      <c r="R468" s="49" t="n">
        <v>0</v>
      </c>
      <c r="S468" s="50" t="n">
        <v>0</v>
      </c>
      <c r="T468" s="50" t="n">
        <v>0</v>
      </c>
      <c r="U468" s="50" t="n">
        <v>0</v>
      </c>
      <c r="V468" s="50" t="n">
        <v>0</v>
      </c>
      <c r="W468" s="51" t="n">
        <v>0</v>
      </c>
      <c r="X468" s="51" t="n">
        <v>0</v>
      </c>
      <c r="Y468" s="51" t="n">
        <v>0</v>
      </c>
      <c r="Z468" s="51" t="n">
        <v>0</v>
      </c>
      <c r="AA468" s="52" t="n">
        <v>0</v>
      </c>
      <c r="AB468" s="52" t="n">
        <v>0</v>
      </c>
      <c r="AC468" s="52" t="n">
        <v>0</v>
      </c>
      <c r="AD468" s="52" t="n">
        <v>0</v>
      </c>
      <c r="AE468" s="52" t="n">
        <v>0</v>
      </c>
      <c r="AF468" s="52" t="n">
        <v>0</v>
      </c>
      <c r="AG468" s="52" t="n">
        <v>0</v>
      </c>
      <c r="AH468" s="52" t="n">
        <v>0</v>
      </c>
      <c r="AI468" s="52" t="n">
        <v>0</v>
      </c>
      <c r="AJ468" s="52" t="n">
        <v>0</v>
      </c>
      <c r="AK468" s="52" t="n">
        <v>0</v>
      </c>
      <c r="AL468" s="52" t="n">
        <v>0</v>
      </c>
      <c r="AM468" s="53" t="n">
        <v>0</v>
      </c>
      <c r="AN468" s="53" t="n">
        <v>0</v>
      </c>
      <c r="AO468" s="53" t="n">
        <v>0</v>
      </c>
      <c r="AP468" s="53" t="n">
        <v>0</v>
      </c>
      <c r="AQ468" s="52" t="n">
        <v>0</v>
      </c>
      <c r="AR468" s="52" t="n">
        <v>0</v>
      </c>
      <c r="AS468" s="52" t="n">
        <v>0</v>
      </c>
      <c r="AT468" s="52" t="n">
        <v>0</v>
      </c>
      <c r="AU468" s="53" t="n">
        <v>0</v>
      </c>
      <c r="AV468" s="53" t="n">
        <v>0</v>
      </c>
      <c r="AW468" s="53" t="n">
        <v>0</v>
      </c>
      <c r="AX468" s="53" t="n">
        <v>0</v>
      </c>
      <c r="AY468" s="52" t="n">
        <v>0</v>
      </c>
      <c r="AZ468" s="52" t="n">
        <v>14.98</v>
      </c>
      <c r="BA468" s="52" t="n">
        <v>0</v>
      </c>
      <c r="BB468" s="52" t="n">
        <v>14.98</v>
      </c>
      <c r="BC468" s="51" t="n">
        <v>0</v>
      </c>
      <c r="BD468" s="51" t="n">
        <v>0</v>
      </c>
      <c r="BE468" s="51" t="n">
        <v>0</v>
      </c>
      <c r="BF468" s="51" t="n">
        <v>0</v>
      </c>
    </row>
    <row r="469">
      <c r="A469">
        <f>HYPERLINK("https://www.walmart.com/ip/449823068", "449823068")</f>
        <v/>
      </c>
      <c r="B469" t="inlineStr">
        <is>
          <t>Flyingstar Waterproof Outdoor Blanket with Sherpa Lining 59''X 80'', Triple Layers Warm Comfy Foldable for Camping Stadium, Sports, Picnic, Grass, Concerts, Pet</t>
        </is>
      </c>
      <c r="C469" t="inlineStr">
        <is>
          <t>1WMBW608BKGY-TBCB</t>
        </is>
      </c>
      <c r="D469" t="inlineStr">
        <is>
          <t>Picnic Blankets &amp; Mats</t>
        </is>
      </c>
      <c r="E469" t="inlineStr">
        <is>
          <t>Flyingstar</t>
        </is>
      </c>
      <c r="F469" t="inlineStr">
        <is>
          <t>Q2-Target,Optimized,WFS,WFS Item</t>
        </is>
      </c>
      <c r="G469" s="48" t="n">
        <v>0</v>
      </c>
      <c r="H469" s="48" t="n">
        <v>0</v>
      </c>
      <c r="I469" s="48" t="n">
        <v>0</v>
      </c>
      <c r="J469" s="48" t="n">
        <v>0</v>
      </c>
      <c r="K469" s="49" t="n">
        <v>0</v>
      </c>
      <c r="L469" s="49" t="n">
        <v>0</v>
      </c>
      <c r="M469" s="49" t="n">
        <v>0</v>
      </c>
      <c r="N469" s="49" t="n">
        <v>0</v>
      </c>
      <c r="O469" s="49" t="n">
        <v>0</v>
      </c>
      <c r="P469" s="49" t="n">
        <v>0</v>
      </c>
      <c r="Q469" s="49" t="n">
        <v>4</v>
      </c>
      <c r="R469" s="49" t="n">
        <v>5</v>
      </c>
      <c r="S469" s="50" t="n">
        <v>0</v>
      </c>
      <c r="T469" s="50" t="n">
        <v>0</v>
      </c>
      <c r="U469" s="50" t="n">
        <v>0</v>
      </c>
      <c r="V469" s="50" t="n">
        <v>0</v>
      </c>
      <c r="W469" s="51" t="n">
        <v>0</v>
      </c>
      <c r="X469" s="51" t="n">
        <v>0</v>
      </c>
      <c r="Y469" s="51" t="n">
        <v>0</v>
      </c>
      <c r="Z469" s="51" t="n">
        <v>0</v>
      </c>
      <c r="AA469" s="52" t="n">
        <v>0</v>
      </c>
      <c r="AB469" s="52" t="n">
        <v>0</v>
      </c>
      <c r="AC469" s="52" t="n">
        <v>0</v>
      </c>
      <c r="AD469" s="52" t="n">
        <v>0</v>
      </c>
      <c r="AE469" s="52" t="n">
        <v>0</v>
      </c>
      <c r="AF469" s="52" t="n">
        <v>0</v>
      </c>
      <c r="AG469" s="52" t="n">
        <v>0</v>
      </c>
      <c r="AH469" s="52" t="n">
        <v>0</v>
      </c>
      <c r="AI469" s="52" t="n">
        <v>0</v>
      </c>
      <c r="AJ469" s="52" t="n">
        <v>0</v>
      </c>
      <c r="AK469" s="52" t="n">
        <v>0</v>
      </c>
      <c r="AL469" s="52" t="n">
        <v>0</v>
      </c>
      <c r="AM469" s="53" t="n">
        <v>0</v>
      </c>
      <c r="AN469" s="53" t="n">
        <v>0</v>
      </c>
      <c r="AO469" s="53" t="n">
        <v>0</v>
      </c>
      <c r="AP469" s="53" t="n">
        <v>0</v>
      </c>
      <c r="AQ469" s="52" t="n">
        <v>0</v>
      </c>
      <c r="AR469" s="52" t="n">
        <v>0</v>
      </c>
      <c r="AS469" s="52" t="n">
        <v>0</v>
      </c>
      <c r="AT469" s="52" t="n">
        <v>0</v>
      </c>
      <c r="AU469" s="53" t="n">
        <v>0</v>
      </c>
      <c r="AV469" s="53" t="n">
        <v>0</v>
      </c>
      <c r="AW469" s="53" t="n">
        <v>0</v>
      </c>
      <c r="AX469" s="53" t="n">
        <v>0</v>
      </c>
      <c r="AY469" s="52" t="n">
        <v>0</v>
      </c>
      <c r="AZ469" s="52" t="n">
        <v>0</v>
      </c>
      <c r="BA469" s="52" t="n">
        <v>0</v>
      </c>
      <c r="BB469" s="52" t="n">
        <v>0</v>
      </c>
      <c r="BC469" s="51" t="n">
        <v>0</v>
      </c>
      <c r="BD469" s="51" t="n">
        <v>0</v>
      </c>
      <c r="BE469" s="51" t="n">
        <v>0</v>
      </c>
      <c r="BF469" s="51" t="n">
        <v>0</v>
      </c>
    </row>
    <row r="470">
      <c r="A470">
        <f>HYPERLINK("https://www.walmart.com/ip/447116159", "447116159")</f>
        <v/>
      </c>
      <c r="B470" t="inlineStr">
        <is>
          <t>Sun Hat UV Protection Wide Brim Boonie Safari Fishing Cap Adjustable Drawstring</t>
        </is>
      </c>
      <c r="C470" t="inlineStr">
        <is>
          <t>1WMSH911TN</t>
        </is>
      </c>
      <c r="D470" t="inlineStr">
        <is>
          <t>Hats</t>
        </is>
      </c>
      <c r="E470" t="inlineStr">
        <is>
          <t>Flyingstar</t>
        </is>
      </c>
      <c r="F470" t="inlineStr">
        <is>
          <t>Optimized</t>
        </is>
      </c>
      <c r="G470" s="48" t="n">
        <v>0</v>
      </c>
      <c r="H470" s="48" t="n">
        <v>0</v>
      </c>
      <c r="I470" s="48" t="n">
        <v>0</v>
      </c>
      <c r="J470" s="48" t="n">
        <v>0</v>
      </c>
      <c r="K470" s="49" t="n">
        <v>0</v>
      </c>
      <c r="L470" s="49" t="n">
        <v>0</v>
      </c>
      <c r="M470" s="49" t="n">
        <v>0</v>
      </c>
      <c r="N470" s="49" t="n">
        <v>0</v>
      </c>
      <c r="O470" s="49" t="n">
        <v>0</v>
      </c>
      <c r="P470" s="49" t="n">
        <v>0</v>
      </c>
      <c r="Q470" s="49" t="n">
        <v>0</v>
      </c>
      <c r="R470" s="49" t="n">
        <v>0</v>
      </c>
      <c r="S470" s="50" t="n">
        <v>0</v>
      </c>
      <c r="T470" s="50" t="n">
        <v>0</v>
      </c>
      <c r="U470" s="50" t="n">
        <v>0</v>
      </c>
      <c r="V470" s="50" t="n">
        <v>0</v>
      </c>
      <c r="W470" s="51" t="n">
        <v>0</v>
      </c>
      <c r="X470" s="51" t="n">
        <v>0</v>
      </c>
      <c r="Y470" s="51" t="n">
        <v>0</v>
      </c>
      <c r="Z470" s="51" t="n">
        <v>0</v>
      </c>
      <c r="AA470" s="52" t="n">
        <v>0</v>
      </c>
      <c r="AB470" s="52" t="n">
        <v>0</v>
      </c>
      <c r="AC470" s="52" t="n">
        <v>0</v>
      </c>
      <c r="AD470" s="52" t="n">
        <v>0</v>
      </c>
      <c r="AE470" s="52" t="n">
        <v>0</v>
      </c>
      <c r="AF470" s="52" t="n">
        <v>0</v>
      </c>
      <c r="AG470" s="52" t="n">
        <v>0</v>
      </c>
      <c r="AH470" s="52" t="n">
        <v>0</v>
      </c>
      <c r="AI470" s="52" t="n">
        <v>0</v>
      </c>
      <c r="AJ470" s="52" t="n">
        <v>0</v>
      </c>
      <c r="AK470" s="52" t="n">
        <v>0</v>
      </c>
      <c r="AL470" s="52" t="n">
        <v>0</v>
      </c>
      <c r="AM470" s="53" t="n">
        <v>0</v>
      </c>
      <c r="AN470" s="53" t="n">
        <v>0</v>
      </c>
      <c r="AO470" s="53" t="n">
        <v>0</v>
      </c>
      <c r="AP470" s="53" t="n">
        <v>0</v>
      </c>
      <c r="AQ470" s="52" t="n">
        <v>0</v>
      </c>
      <c r="AR470" s="52" t="n">
        <v>0</v>
      </c>
      <c r="AS470" s="52" t="n">
        <v>0</v>
      </c>
      <c r="AT470" s="52" t="n">
        <v>0</v>
      </c>
      <c r="AU470" s="53" t="n">
        <v>0</v>
      </c>
      <c r="AV470" s="53" t="n">
        <v>0</v>
      </c>
      <c r="AW470" s="53" t="n">
        <v>0</v>
      </c>
      <c r="AX470" s="53" t="n">
        <v>0</v>
      </c>
      <c r="AY470" s="52" t="n">
        <v>0</v>
      </c>
      <c r="AZ470" s="52" t="n">
        <v>0</v>
      </c>
      <c r="BA470" s="52" t="n">
        <v>0</v>
      </c>
      <c r="BB470" s="52" t="n">
        <v>0</v>
      </c>
      <c r="BC470" s="51" t="n">
        <v>0</v>
      </c>
      <c r="BD470" s="51" t="n">
        <v>0</v>
      </c>
      <c r="BE470" s="51" t="n">
        <v>0</v>
      </c>
      <c r="BF470" s="51" t="n">
        <v>0</v>
      </c>
    </row>
    <row r="471">
      <c r="A471">
        <f>HYPERLINK("https://www.walmart.com/ip/447669349", "447669349")</f>
        <v/>
      </c>
      <c r="B471" t="inlineStr">
        <is>
          <t>Tirrinia Single Wine Tote Bag, Insulated Padded Thermal Wine Bottle Carrying Cooler Carrier for Travel, Picnic, Perfect Gift for Wine Lover, Blue</t>
        </is>
      </c>
      <c r="C471" t="inlineStr">
        <is>
          <t>1KTWB100BL</t>
        </is>
      </c>
      <c r="D471" t="inlineStr">
        <is>
          <t>Wine Totes, Bags &amp; Backpacks</t>
        </is>
      </c>
      <c r="E471" t="inlineStr">
        <is>
          <t>Tirrinia</t>
        </is>
      </c>
      <c r="F471" t="inlineStr">
        <is>
          <t>Wine,Christmas,Valentine,SEM</t>
        </is>
      </c>
      <c r="G471" s="48" t="n">
        <v>0</v>
      </c>
      <c r="H471" s="48" t="n">
        <v>0</v>
      </c>
      <c r="I471" s="48" t="n">
        <v>0</v>
      </c>
      <c r="J471" s="48" t="n">
        <v>0</v>
      </c>
      <c r="K471" s="49" t="n">
        <v>0</v>
      </c>
      <c r="L471" s="49" t="n">
        <v>0</v>
      </c>
      <c r="M471" s="49" t="n">
        <v>0</v>
      </c>
      <c r="N471" s="49" t="n">
        <v>0</v>
      </c>
      <c r="O471" s="49" t="n">
        <v>0</v>
      </c>
      <c r="P471" s="49" t="n">
        <v>0</v>
      </c>
      <c r="Q471" s="49" t="n">
        <v>0</v>
      </c>
      <c r="R471" s="49" t="n">
        <v>0</v>
      </c>
      <c r="S471" s="50" t="n">
        <v>0</v>
      </c>
      <c r="T471" s="50" t="n">
        <v>0</v>
      </c>
      <c r="U471" s="50" t="n">
        <v>0</v>
      </c>
      <c r="V471" s="50" t="n">
        <v>0</v>
      </c>
      <c r="W471" s="51" t="n">
        <v>0</v>
      </c>
      <c r="X471" s="51" t="n">
        <v>0</v>
      </c>
      <c r="Y471" s="51" t="n">
        <v>0</v>
      </c>
      <c r="Z471" s="51" t="n">
        <v>0</v>
      </c>
      <c r="AA471" s="52" t="n">
        <v>0</v>
      </c>
      <c r="AB471" s="52" t="n">
        <v>0</v>
      </c>
      <c r="AC471" s="52" t="n">
        <v>0</v>
      </c>
      <c r="AD471" s="52" t="n">
        <v>0</v>
      </c>
      <c r="AE471" s="52" t="n">
        <v>0</v>
      </c>
      <c r="AF471" s="52" t="n">
        <v>0</v>
      </c>
      <c r="AG471" s="52" t="n">
        <v>0</v>
      </c>
      <c r="AH471" s="52" t="n">
        <v>0</v>
      </c>
      <c r="AI471" s="52" t="n">
        <v>0</v>
      </c>
      <c r="AJ471" s="52" t="n">
        <v>0</v>
      </c>
      <c r="AK471" s="52" t="n">
        <v>0</v>
      </c>
      <c r="AL471" s="52" t="n">
        <v>0</v>
      </c>
      <c r="AM471" s="53" t="n">
        <v>0</v>
      </c>
      <c r="AN471" s="53" t="n">
        <v>0</v>
      </c>
      <c r="AO471" s="53" t="n">
        <v>0</v>
      </c>
      <c r="AP471" s="53" t="n">
        <v>0</v>
      </c>
      <c r="AQ471" s="52" t="n">
        <v>0</v>
      </c>
      <c r="AR471" s="52" t="n">
        <v>0</v>
      </c>
      <c r="AS471" s="52" t="n">
        <v>0</v>
      </c>
      <c r="AT471" s="52" t="n">
        <v>0</v>
      </c>
      <c r="AU471" s="53" t="n">
        <v>0</v>
      </c>
      <c r="AV471" s="53" t="n">
        <v>0</v>
      </c>
      <c r="AW471" s="53" t="n">
        <v>0</v>
      </c>
      <c r="AX471" s="53" t="n">
        <v>0</v>
      </c>
      <c r="AY471" s="52" t="n">
        <v>0</v>
      </c>
      <c r="AZ471" s="52" t="n">
        <v>0</v>
      </c>
      <c r="BA471" s="52" t="n">
        <v>0</v>
      </c>
      <c r="BB471" s="52" t="n">
        <v>0</v>
      </c>
      <c r="BC471" s="51" t="n">
        <v>0</v>
      </c>
      <c r="BD471" s="51" t="n">
        <v>0</v>
      </c>
      <c r="BE471" s="51" t="n">
        <v>0</v>
      </c>
      <c r="BF471" s="51" t="n">
        <v>0</v>
      </c>
    </row>
    <row r="472">
      <c r="A472">
        <f>HYPERLINK("https://www.walmart.com/ip/447798492", "447798492")</f>
        <v/>
      </c>
      <c r="B472" t="inlineStr">
        <is>
          <t>Pawsse Dog Fleece Blanket, Sherpa Pet Blanket, Snuggle Dog Blanket Cushion Mat for Puppy, Small Animals, Cat Banket, Brown, 45'' x 30''</t>
        </is>
      </c>
      <c r="C472" t="inlineStr">
        <is>
          <t>1PSBF345BRLT</t>
        </is>
      </c>
      <c r="D472" t="inlineStr">
        <is>
          <t>Pet Blankets</t>
        </is>
      </c>
      <c r="E472" t="inlineStr">
        <is>
          <t>Pawsse</t>
        </is>
      </c>
      <c r="F472" t="inlineStr">
        <is>
          <t>Q2-Target,WFS,WFS Item</t>
        </is>
      </c>
      <c r="G472" s="48" t="n">
        <v>0</v>
      </c>
      <c r="H472" s="48" t="n">
        <v>0</v>
      </c>
      <c r="I472" s="48" t="n">
        <v>0</v>
      </c>
      <c r="J472" s="48" t="n">
        <v>0</v>
      </c>
      <c r="K472" s="49" t="n">
        <v>0</v>
      </c>
      <c r="L472" s="49" t="n">
        <v>0</v>
      </c>
      <c r="M472" s="49" t="n">
        <v>0</v>
      </c>
      <c r="N472" s="49" t="n">
        <v>0</v>
      </c>
      <c r="O472" s="49" t="n">
        <v>0</v>
      </c>
      <c r="P472" s="49" t="n">
        <v>0</v>
      </c>
      <c r="Q472" s="49" t="n">
        <v>0</v>
      </c>
      <c r="R472" s="49" t="n">
        <v>0</v>
      </c>
      <c r="S472" s="50" t="n">
        <v>0</v>
      </c>
      <c r="T472" s="50" t="n">
        <v>0</v>
      </c>
      <c r="U472" s="50" t="n">
        <v>0</v>
      </c>
      <c r="V472" s="50" t="n">
        <v>0</v>
      </c>
      <c r="W472" s="51" t="n">
        <v>0</v>
      </c>
      <c r="X472" s="51" t="n">
        <v>0</v>
      </c>
      <c r="Y472" s="51" t="n">
        <v>0</v>
      </c>
      <c r="Z472" s="51" t="n">
        <v>0</v>
      </c>
      <c r="AA472" s="52" t="n">
        <v>0</v>
      </c>
      <c r="AB472" s="52" t="n">
        <v>0</v>
      </c>
      <c r="AC472" s="52" t="n">
        <v>0</v>
      </c>
      <c r="AD472" s="52" t="n">
        <v>0</v>
      </c>
      <c r="AE472" s="52" t="n">
        <v>0</v>
      </c>
      <c r="AF472" s="52" t="n">
        <v>0</v>
      </c>
      <c r="AG472" s="52" t="n">
        <v>0</v>
      </c>
      <c r="AH472" s="52" t="n">
        <v>0</v>
      </c>
      <c r="AI472" s="52" t="n">
        <v>0</v>
      </c>
      <c r="AJ472" s="52" t="n">
        <v>0</v>
      </c>
      <c r="AK472" s="52" t="n">
        <v>0</v>
      </c>
      <c r="AL472" s="52" t="n">
        <v>0</v>
      </c>
      <c r="AM472" s="53" t="n">
        <v>0</v>
      </c>
      <c r="AN472" s="53" t="n">
        <v>0</v>
      </c>
      <c r="AO472" s="53" t="n">
        <v>0</v>
      </c>
      <c r="AP472" s="53" t="n">
        <v>0</v>
      </c>
      <c r="AQ472" s="52" t="n">
        <v>0</v>
      </c>
      <c r="AR472" s="52" t="n">
        <v>0</v>
      </c>
      <c r="AS472" s="52" t="n">
        <v>0</v>
      </c>
      <c r="AT472" s="52" t="n">
        <v>0</v>
      </c>
      <c r="AU472" s="53" t="n">
        <v>0</v>
      </c>
      <c r="AV472" s="53" t="n">
        <v>0</v>
      </c>
      <c r="AW472" s="53" t="n">
        <v>0</v>
      </c>
      <c r="AX472" s="53" t="n">
        <v>0</v>
      </c>
      <c r="AY472" s="52" t="n">
        <v>0</v>
      </c>
      <c r="AZ472" s="52" t="n">
        <v>0</v>
      </c>
      <c r="BA472" s="52" t="n">
        <v>0</v>
      </c>
      <c r="BB472" s="52" t="n">
        <v>0</v>
      </c>
      <c r="BC472" s="51" t="n">
        <v>0</v>
      </c>
      <c r="BD472" s="51" t="n">
        <v>0</v>
      </c>
      <c r="BE472" s="51" t="n">
        <v>0</v>
      </c>
      <c r="BF472" s="51" t="n">
        <v>0</v>
      </c>
    </row>
    <row r="473">
      <c r="A473">
        <f>HYPERLINK("https://www.walmart.com/ip/448131416", "448131416")</f>
        <v/>
      </c>
      <c r="B473" t="inlineStr">
        <is>
          <t>"Knit Beanie Hat for Women and Men, Faux Fuzzy Pom Pom Winter Ski Skullies Cap, Beige "</t>
        </is>
      </c>
      <c r="C473" t="inlineStr">
        <is>
          <t>1SLPPH03WT</t>
        </is>
      </c>
      <c r="D473" t="inlineStr">
        <is>
          <t>Hats</t>
        </is>
      </c>
      <c r="E473" t="inlineStr">
        <is>
          <t>Solaris</t>
        </is>
      </c>
      <c r="F473" t="inlineStr">
        <is>
          <t>Batch 1 - TR</t>
        </is>
      </c>
      <c r="G473" s="48" t="n">
        <v>0</v>
      </c>
      <c r="H473" s="48" t="n">
        <v>0</v>
      </c>
      <c r="I473" s="48" t="n">
        <v>0</v>
      </c>
      <c r="J473" s="48" t="n">
        <v>0</v>
      </c>
      <c r="K473" s="49" t="n">
        <v>0</v>
      </c>
      <c r="L473" s="49" t="n">
        <v>0</v>
      </c>
      <c r="M473" s="49" t="n">
        <v>0</v>
      </c>
      <c r="N473" s="49" t="n">
        <v>0</v>
      </c>
      <c r="O473" s="49" t="n">
        <v>0</v>
      </c>
      <c r="P473" s="49" t="n">
        <v>0</v>
      </c>
      <c r="Q473" s="49" t="n">
        <v>0</v>
      </c>
      <c r="R473" s="49" t="n">
        <v>0</v>
      </c>
      <c r="S473" s="50" t="n">
        <v>0</v>
      </c>
      <c r="T473" s="50" t="n">
        <v>0</v>
      </c>
      <c r="U473" s="50" t="n">
        <v>0</v>
      </c>
      <c r="V473" s="50" t="n">
        <v>0</v>
      </c>
      <c r="W473" s="51" t="n">
        <v>0</v>
      </c>
      <c r="X473" s="51" t="n">
        <v>0</v>
      </c>
      <c r="Y473" s="51" t="n">
        <v>0</v>
      </c>
      <c r="Z473" s="51" t="n">
        <v>0</v>
      </c>
      <c r="AA473" s="52" t="n">
        <v>0</v>
      </c>
      <c r="AB473" s="52" t="n">
        <v>0</v>
      </c>
      <c r="AC473" s="52" t="n">
        <v>0</v>
      </c>
      <c r="AD473" s="52" t="n">
        <v>0</v>
      </c>
      <c r="AE473" s="52" t="n">
        <v>0</v>
      </c>
      <c r="AF473" s="52" t="n">
        <v>0</v>
      </c>
      <c r="AG473" s="52" t="n">
        <v>0</v>
      </c>
      <c r="AH473" s="52" t="n">
        <v>0</v>
      </c>
      <c r="AI473" s="52" t="n">
        <v>0</v>
      </c>
      <c r="AJ473" s="52" t="n">
        <v>0</v>
      </c>
      <c r="AK473" s="52" t="n">
        <v>0</v>
      </c>
      <c r="AL473" s="52" t="n">
        <v>0</v>
      </c>
      <c r="AM473" s="53" t="n">
        <v>0</v>
      </c>
      <c r="AN473" s="53" t="n">
        <v>0</v>
      </c>
      <c r="AO473" s="53" t="n">
        <v>0</v>
      </c>
      <c r="AP473" s="53" t="n">
        <v>0</v>
      </c>
      <c r="AQ473" s="52" t="n">
        <v>0</v>
      </c>
      <c r="AR473" s="52" t="n">
        <v>0</v>
      </c>
      <c r="AS473" s="52" t="n">
        <v>0</v>
      </c>
      <c r="AT473" s="52" t="n">
        <v>0</v>
      </c>
      <c r="AU473" s="53" t="n">
        <v>0</v>
      </c>
      <c r="AV473" s="53" t="n">
        <v>0</v>
      </c>
      <c r="AW473" s="53" t="n">
        <v>0</v>
      </c>
      <c r="AX473" s="53" t="n">
        <v>0</v>
      </c>
      <c r="AY473" s="52" t="n">
        <v>0</v>
      </c>
      <c r="AZ473" s="52" t="n">
        <v>0</v>
      </c>
      <c r="BA473" s="52" t="n">
        <v>0</v>
      </c>
      <c r="BB473" s="52" t="n">
        <v>0</v>
      </c>
      <c r="BC473" s="51" t="n">
        <v>0</v>
      </c>
      <c r="BD473" s="51" t="n">
        <v>0</v>
      </c>
      <c r="BE473" s="51" t="n">
        <v>0</v>
      </c>
      <c r="BF473" s="51" t="n">
        <v>0</v>
      </c>
    </row>
    <row r="474">
      <c r="A474">
        <f>HYPERLINK("https://www.walmart.com/ip/448140558", "448140558")</f>
        <v/>
      </c>
      <c r="B474" t="inlineStr">
        <is>
          <t>Youth Reflective Knit Beanie Hat For Sports Warm</t>
        </is>
      </c>
      <c r="C474" t="inlineStr">
        <is>
          <t>1SLBN02DR-FSCB</t>
        </is>
      </c>
      <c r="D474" t="inlineStr">
        <is>
          <t>Hats</t>
        </is>
      </c>
      <c r="E474" t="inlineStr">
        <is>
          <t>Solaris</t>
        </is>
      </c>
      <c r="F474" t="inlineStr">
        <is>
          <t>Optimized</t>
        </is>
      </c>
      <c r="G474" s="48" t="n">
        <v>0</v>
      </c>
      <c r="H474" s="48" t="n">
        <v>0</v>
      </c>
      <c r="I474" s="48" t="n">
        <v>0</v>
      </c>
      <c r="J474" s="48" t="n">
        <v>0</v>
      </c>
      <c r="K474" s="49" t="n">
        <v>0</v>
      </c>
      <c r="L474" s="49" t="n">
        <v>0</v>
      </c>
      <c r="M474" s="49" t="n">
        <v>0</v>
      </c>
      <c r="N474" s="49" t="n">
        <v>0</v>
      </c>
      <c r="O474" s="49" t="n">
        <v>0</v>
      </c>
      <c r="P474" s="49" t="n">
        <v>0</v>
      </c>
      <c r="Q474" s="49" t="n">
        <v>0</v>
      </c>
      <c r="R474" s="49" t="n">
        <v>0</v>
      </c>
      <c r="S474" s="50" t="n">
        <v>0</v>
      </c>
      <c r="T474" s="50" t="n">
        <v>0</v>
      </c>
      <c r="U474" s="50" t="n">
        <v>0</v>
      </c>
      <c r="V474" s="50" t="n">
        <v>0</v>
      </c>
      <c r="W474" s="51" t="n">
        <v>0</v>
      </c>
      <c r="X474" s="51" t="n">
        <v>0</v>
      </c>
      <c r="Y474" s="51" t="n">
        <v>0</v>
      </c>
      <c r="Z474" s="51" t="n">
        <v>0</v>
      </c>
      <c r="AA474" s="52" t="n">
        <v>0</v>
      </c>
      <c r="AB474" s="52" t="n">
        <v>0</v>
      </c>
      <c r="AC474" s="52" t="n">
        <v>0</v>
      </c>
      <c r="AD474" s="52" t="n">
        <v>0</v>
      </c>
      <c r="AE474" s="52" t="n">
        <v>0</v>
      </c>
      <c r="AF474" s="52" t="n">
        <v>0</v>
      </c>
      <c r="AG474" s="52" t="n">
        <v>0</v>
      </c>
      <c r="AH474" s="52" t="n">
        <v>0</v>
      </c>
      <c r="AI474" s="52" t="n">
        <v>0</v>
      </c>
      <c r="AJ474" s="52" t="n">
        <v>0</v>
      </c>
      <c r="AK474" s="52" t="n">
        <v>0</v>
      </c>
      <c r="AL474" s="52" t="n">
        <v>0</v>
      </c>
      <c r="AM474" s="53" t="n">
        <v>0</v>
      </c>
      <c r="AN474" s="53" t="n">
        <v>0</v>
      </c>
      <c r="AO474" s="53" t="n">
        <v>0</v>
      </c>
      <c r="AP474" s="53" t="n">
        <v>0</v>
      </c>
      <c r="AQ474" s="52" t="n">
        <v>0</v>
      </c>
      <c r="AR474" s="52" t="n">
        <v>0</v>
      </c>
      <c r="AS474" s="52" t="n">
        <v>0</v>
      </c>
      <c r="AT474" s="52" t="n">
        <v>0</v>
      </c>
      <c r="AU474" s="53" t="n">
        <v>0</v>
      </c>
      <c r="AV474" s="53" t="n">
        <v>0</v>
      </c>
      <c r="AW474" s="53" t="n">
        <v>0</v>
      </c>
      <c r="AX474" s="53" t="n">
        <v>0</v>
      </c>
      <c r="AY474" s="52" t="n">
        <v>0</v>
      </c>
      <c r="AZ474" s="52" t="n">
        <v>0</v>
      </c>
      <c r="BA474" s="52" t="n">
        <v>0</v>
      </c>
      <c r="BB474" s="52" t="n">
        <v>0</v>
      </c>
      <c r="BC474" s="51" t="n">
        <v>0</v>
      </c>
      <c r="BD474" s="51" t="n">
        <v>0</v>
      </c>
      <c r="BE474" s="51" t="n">
        <v>0</v>
      </c>
      <c r="BF474" s="51" t="n">
        <v>0</v>
      </c>
    </row>
    <row r="475">
      <c r="A475">
        <f>HYPERLINK("https://www.walmart.com/ip/448385210", "448385210")</f>
        <v/>
      </c>
      <c r="B475" t="inlineStr">
        <is>
          <t>Sherpa Slipper Socks for Women,Winter Indoor Home Non Skid Booties</t>
        </is>
      </c>
      <c r="C475" t="inlineStr">
        <is>
          <t>1CTST200BL-1</t>
        </is>
      </c>
      <c r="D475" t="inlineStr">
        <is>
          <t>Socks</t>
        </is>
      </c>
      <c r="E475" t="inlineStr">
        <is>
          <t>Catalonia</t>
        </is>
      </c>
      <c r="F475" t="inlineStr">
        <is>
          <t>WFS,WFS Item</t>
        </is>
      </c>
      <c r="G475" s="48" t="n">
        <v>0</v>
      </c>
      <c r="H475" s="48" t="n">
        <v>0</v>
      </c>
      <c r="I475" s="48" t="n">
        <v>0</v>
      </c>
      <c r="J475" s="48" t="n">
        <v>0</v>
      </c>
      <c r="K475" s="49" t="n">
        <v>0</v>
      </c>
      <c r="L475" s="49" t="n">
        <v>0</v>
      </c>
      <c r="M475" s="49" t="n">
        <v>0</v>
      </c>
      <c r="N475" s="49" t="n">
        <v>0</v>
      </c>
      <c r="O475" s="49" t="n">
        <v>0</v>
      </c>
      <c r="P475" s="49" t="n">
        <v>0</v>
      </c>
      <c r="Q475" s="49" t="n">
        <v>0</v>
      </c>
      <c r="R475" s="49" t="n">
        <v>0</v>
      </c>
      <c r="S475" s="50" t="n">
        <v>0</v>
      </c>
      <c r="T475" s="50" t="n">
        <v>0</v>
      </c>
      <c r="U475" s="50" t="n">
        <v>0</v>
      </c>
      <c r="V475" s="50" t="n">
        <v>0</v>
      </c>
      <c r="W475" s="51" t="n">
        <v>0</v>
      </c>
      <c r="X475" s="51" t="n">
        <v>0</v>
      </c>
      <c r="Y475" s="51" t="n">
        <v>0</v>
      </c>
      <c r="Z475" s="51" t="n">
        <v>0</v>
      </c>
      <c r="AA475" s="52" t="n">
        <v>0</v>
      </c>
      <c r="AB475" s="52" t="n">
        <v>0</v>
      </c>
      <c r="AC475" s="52" t="n">
        <v>0</v>
      </c>
      <c r="AD475" s="52" t="n">
        <v>0</v>
      </c>
      <c r="AE475" s="52" t="n">
        <v>0</v>
      </c>
      <c r="AF475" s="52" t="n">
        <v>0</v>
      </c>
      <c r="AG475" s="52" t="n">
        <v>0</v>
      </c>
      <c r="AH475" s="52" t="n">
        <v>0</v>
      </c>
      <c r="AI475" s="52" t="n">
        <v>0</v>
      </c>
      <c r="AJ475" s="52" t="n">
        <v>0</v>
      </c>
      <c r="AK475" s="52" t="n">
        <v>0</v>
      </c>
      <c r="AL475" s="52" t="n">
        <v>0</v>
      </c>
      <c r="AM475" s="53" t="n">
        <v>0</v>
      </c>
      <c r="AN475" s="53" t="n">
        <v>0</v>
      </c>
      <c r="AO475" s="53" t="n">
        <v>0</v>
      </c>
      <c r="AP475" s="53" t="n">
        <v>0</v>
      </c>
      <c r="AQ475" s="52" t="n">
        <v>0</v>
      </c>
      <c r="AR475" s="52" t="n">
        <v>0</v>
      </c>
      <c r="AS475" s="52" t="n">
        <v>0</v>
      </c>
      <c r="AT475" s="52" t="n">
        <v>0</v>
      </c>
      <c r="AU475" s="53" t="n">
        <v>0</v>
      </c>
      <c r="AV475" s="53" t="n">
        <v>0</v>
      </c>
      <c r="AW475" s="53" t="n">
        <v>0</v>
      </c>
      <c r="AX475" s="53" t="n">
        <v>0</v>
      </c>
      <c r="AY475" s="52" t="n">
        <v>0</v>
      </c>
      <c r="AZ475" s="52" t="n">
        <v>0</v>
      </c>
      <c r="BA475" s="52" t="n">
        <v>0</v>
      </c>
      <c r="BB475" s="52" t="n">
        <v>0</v>
      </c>
      <c r="BC475" s="51" t="n">
        <v>0</v>
      </c>
      <c r="BD475" s="51" t="n">
        <v>0</v>
      </c>
      <c r="BE475" s="51" t="n">
        <v>0</v>
      </c>
      <c r="BF475" s="51" t="n">
        <v>0</v>
      </c>
    </row>
    <row r="476">
      <c r="A476">
        <f>HYPERLINK("https://www.walmart.com/ip/415885291", "415885291")</f>
        <v/>
      </c>
      <c r="B476" t="inlineStr">
        <is>
          <t>undefined</t>
        </is>
      </c>
      <c r="C476" t="inlineStr">
        <is>
          <t>1CTWIG001-F1B30-ESCB</t>
        </is>
      </c>
      <c r="G476" s="48" t="n">
        <v>0</v>
      </c>
      <c r="H476" s="48" t="n">
        <v>0</v>
      </c>
      <c r="I476" s="48" t="n">
        <v>0</v>
      </c>
      <c r="J476" s="48" t="n">
        <v>0</v>
      </c>
      <c r="K476" s="49" t="n">
        <v>0</v>
      </c>
      <c r="L476" s="49" t="n">
        <v>0</v>
      </c>
      <c r="M476" s="49" t="n">
        <v>0</v>
      </c>
      <c r="N476" s="49" t="n">
        <v>0</v>
      </c>
      <c r="O476" s="49" t="n">
        <v>0</v>
      </c>
      <c r="P476" s="49" t="n">
        <v>0</v>
      </c>
      <c r="Q476" s="49" t="n">
        <v>0</v>
      </c>
      <c r="R476" s="49" t="n">
        <v>0</v>
      </c>
      <c r="S476" s="50" t="n">
        <v>0</v>
      </c>
      <c r="T476" s="50" t="n">
        <v>0</v>
      </c>
      <c r="U476" s="50" t="n">
        <v>0</v>
      </c>
      <c r="V476" s="50" t="n">
        <v>0</v>
      </c>
      <c r="W476" s="51" t="n">
        <v>0</v>
      </c>
      <c r="X476" s="51" t="n">
        <v>0</v>
      </c>
      <c r="Y476" s="51" t="n">
        <v>0</v>
      </c>
      <c r="Z476" s="51" t="n">
        <v>0</v>
      </c>
      <c r="AA476" s="52" t="n">
        <v>0</v>
      </c>
      <c r="AB476" s="52" t="n">
        <v>0</v>
      </c>
      <c r="AC476" s="52" t="n">
        <v>0</v>
      </c>
      <c r="AD476" s="52" t="n">
        <v>0</v>
      </c>
      <c r="AE476" s="52" t="n">
        <v>0</v>
      </c>
      <c r="AF476" s="52" t="n">
        <v>0</v>
      </c>
      <c r="AG476" s="52" t="n">
        <v>0</v>
      </c>
      <c r="AH476" s="52" t="n">
        <v>0</v>
      </c>
      <c r="AI476" s="52" t="n">
        <v>0</v>
      </c>
      <c r="AJ476" s="52" t="n">
        <v>0</v>
      </c>
      <c r="AK476" s="52" t="n">
        <v>0</v>
      </c>
      <c r="AL476" s="52" t="n">
        <v>0</v>
      </c>
      <c r="AM476" s="53" t="n">
        <v>0</v>
      </c>
      <c r="AN476" s="53" t="n">
        <v>0</v>
      </c>
      <c r="AO476" s="53" t="n">
        <v>0</v>
      </c>
      <c r="AP476" s="53" t="n">
        <v>0</v>
      </c>
      <c r="AQ476" s="52" t="n">
        <v>0</v>
      </c>
      <c r="AR476" s="52" t="n">
        <v>0</v>
      </c>
      <c r="AS476" s="52" t="n">
        <v>0</v>
      </c>
      <c r="AT476" s="52" t="n">
        <v>0</v>
      </c>
      <c r="AU476" s="53" t="n">
        <v>0</v>
      </c>
      <c r="AV476" s="53" t="n">
        <v>0</v>
      </c>
      <c r="AW476" s="53" t="n">
        <v>0</v>
      </c>
      <c r="AX476" s="53" t="n">
        <v>0</v>
      </c>
      <c r="AY476" s="52" t="n">
        <v>0</v>
      </c>
      <c r="AZ476" s="52" t="n">
        <v>0</v>
      </c>
      <c r="BA476" s="52" t="n">
        <v>0</v>
      </c>
      <c r="BB476" s="52" t="n">
        <v>0</v>
      </c>
      <c r="BC476" s="51" t="n">
        <v>0</v>
      </c>
      <c r="BD476" s="51" t="n">
        <v>0</v>
      </c>
      <c r="BE476" s="51" t="n">
        <v>0</v>
      </c>
      <c r="BF476" s="51" t="n">
        <v>0</v>
      </c>
    </row>
    <row r="477">
      <c r="A477">
        <f>HYPERLINK("https://www.walmart.com/ip/415450878", "415450878")</f>
        <v/>
      </c>
      <c r="B477" t="inlineStr">
        <is>
          <t>Catalonia Red/White Buffalo Plaid, Sherpa Fleece Blanket, Two-Sided, Comfy Fluffy Throw 60" x 50"</t>
        </is>
      </c>
      <c r="C477" t="inlineStr">
        <is>
          <t>1CTBF572RD</t>
        </is>
      </c>
      <c r="D477" t="inlineStr">
        <is>
          <t>Throws</t>
        </is>
      </c>
      <c r="E477" t="inlineStr">
        <is>
          <t>Catalonia</t>
        </is>
      </c>
      <c r="F477" t="inlineStr">
        <is>
          <t>Christmas,Optimized,WFS,Coupon_Discount,WFS Item,Fleece Blankets</t>
        </is>
      </c>
      <c r="G477" s="48" t="n">
        <v>0</v>
      </c>
      <c r="H477" s="48" t="n">
        <v>0</v>
      </c>
      <c r="I477" s="48" t="n">
        <v>0</v>
      </c>
      <c r="J477" s="48" t="n">
        <v>0</v>
      </c>
      <c r="K477" s="49" t="n">
        <v>0</v>
      </c>
      <c r="L477" s="49" t="n">
        <v>0</v>
      </c>
      <c r="M477" s="49" t="n">
        <v>0</v>
      </c>
      <c r="N477" s="49" t="n">
        <v>0</v>
      </c>
      <c r="O477" s="49" t="n">
        <v>0</v>
      </c>
      <c r="P477" s="49" t="n">
        <v>0</v>
      </c>
      <c r="Q477" s="49" t="n">
        <v>0</v>
      </c>
      <c r="R477" s="49" t="n">
        <v>0</v>
      </c>
      <c r="S477" s="50" t="n">
        <v>0</v>
      </c>
      <c r="T477" s="50" t="n">
        <v>0</v>
      </c>
      <c r="U477" s="50" t="n">
        <v>0</v>
      </c>
      <c r="V477" s="50" t="n">
        <v>0</v>
      </c>
      <c r="W477" s="51" t="n">
        <v>0</v>
      </c>
      <c r="X477" s="51" t="n">
        <v>0</v>
      </c>
      <c r="Y477" s="51" t="n">
        <v>0</v>
      </c>
      <c r="Z477" s="51" t="n">
        <v>0</v>
      </c>
      <c r="AA477" s="52" t="n">
        <v>0</v>
      </c>
      <c r="AB477" s="52" t="n">
        <v>0</v>
      </c>
      <c r="AC477" s="52" t="n">
        <v>0</v>
      </c>
      <c r="AD477" s="52" t="n">
        <v>0</v>
      </c>
      <c r="AE477" s="52" t="n">
        <v>0</v>
      </c>
      <c r="AF477" s="52" t="n">
        <v>0</v>
      </c>
      <c r="AG477" s="52" t="n">
        <v>0</v>
      </c>
      <c r="AH477" s="52" t="n">
        <v>0</v>
      </c>
      <c r="AI477" s="52" t="n">
        <v>0</v>
      </c>
      <c r="AJ477" s="52" t="n">
        <v>0</v>
      </c>
      <c r="AK477" s="52" t="n">
        <v>0</v>
      </c>
      <c r="AL477" s="52" t="n">
        <v>0</v>
      </c>
      <c r="AM477" s="53" t="n">
        <v>0</v>
      </c>
      <c r="AN477" s="53" t="n">
        <v>0</v>
      </c>
      <c r="AO477" s="53" t="n">
        <v>0</v>
      </c>
      <c r="AP477" s="53" t="n">
        <v>0</v>
      </c>
      <c r="AQ477" s="52" t="n">
        <v>0</v>
      </c>
      <c r="AR477" s="52" t="n">
        <v>0</v>
      </c>
      <c r="AS477" s="52" t="n">
        <v>0</v>
      </c>
      <c r="AT477" s="52" t="n">
        <v>0</v>
      </c>
      <c r="AU477" s="53" t="n">
        <v>0</v>
      </c>
      <c r="AV477" s="53" t="n">
        <v>0</v>
      </c>
      <c r="AW477" s="53" t="n">
        <v>0</v>
      </c>
      <c r="AX477" s="53" t="n">
        <v>0</v>
      </c>
      <c r="AY477" s="52" t="n">
        <v>0</v>
      </c>
      <c r="AZ477" s="52" t="n">
        <v>0</v>
      </c>
      <c r="BA477" s="52" t="n">
        <v>0</v>
      </c>
      <c r="BB477" s="52" t="n">
        <v>0</v>
      </c>
      <c r="BC477" s="51" t="n">
        <v>0</v>
      </c>
      <c r="BD477" s="51" t="n">
        <v>0</v>
      </c>
      <c r="BE477" s="51" t="n">
        <v>0</v>
      </c>
      <c r="BF477" s="51" t="n">
        <v>0</v>
      </c>
    </row>
    <row r="478">
      <c r="A478">
        <f>HYPERLINK("https://www.walmart.com/ip/463165756", "463165756")</f>
        <v/>
      </c>
      <c r="B478" t="inlineStr">
        <is>
          <t>Flyingstar Insulated Lunch Bag for Women Men, Leakproof Thermal Reusable Lunch Box Tote for Adult &amp; Kids Lunch Cooler for Office Work, Light Grey</t>
        </is>
      </c>
      <c r="C478" t="inlineStr">
        <is>
          <t>1WMLB701P1LGY</t>
        </is>
      </c>
      <c r="D478" t="inlineStr">
        <is>
          <t>Reusable Lunch Bags &amp; Boxes</t>
        </is>
      </c>
      <c r="E478" t="inlineStr">
        <is>
          <t>Flyingstar</t>
        </is>
      </c>
      <c r="F478" t="inlineStr">
        <is>
          <t>Q2-Target,Lunch Bag</t>
        </is>
      </c>
      <c r="G478" s="48" t="n">
        <v>0</v>
      </c>
      <c r="H478" s="48" t="n">
        <v>0</v>
      </c>
      <c r="I478" s="48" t="n">
        <v>0</v>
      </c>
      <c r="J478" s="48" t="n">
        <v>0</v>
      </c>
      <c r="K478" s="49" t="n">
        <v>0</v>
      </c>
      <c r="L478" s="49" t="n">
        <v>0</v>
      </c>
      <c r="M478" s="49" t="n">
        <v>0</v>
      </c>
      <c r="N478" s="49" t="n">
        <v>0</v>
      </c>
      <c r="O478" s="49" t="n">
        <v>0</v>
      </c>
      <c r="P478" s="49" t="n">
        <v>0</v>
      </c>
      <c r="Q478" s="49" t="n">
        <v>0</v>
      </c>
      <c r="R478" s="49" t="n">
        <v>0</v>
      </c>
      <c r="S478" s="50" t="n">
        <v>0</v>
      </c>
      <c r="T478" s="50" t="n">
        <v>0</v>
      </c>
      <c r="U478" s="50" t="n">
        <v>0</v>
      </c>
      <c r="V478" s="50" t="n">
        <v>0</v>
      </c>
      <c r="W478" s="51" t="n">
        <v>0</v>
      </c>
      <c r="X478" s="51" t="n">
        <v>0</v>
      </c>
      <c r="Y478" s="51" t="n">
        <v>0</v>
      </c>
      <c r="Z478" s="51" t="n">
        <v>0</v>
      </c>
      <c r="AA478" s="52" t="n">
        <v>0</v>
      </c>
      <c r="AB478" s="52" t="n">
        <v>0</v>
      </c>
      <c r="AC478" s="52" t="n">
        <v>0</v>
      </c>
      <c r="AD478" s="52" t="n">
        <v>0</v>
      </c>
      <c r="AE478" s="52" t="n">
        <v>0</v>
      </c>
      <c r="AF478" s="52" t="n">
        <v>0</v>
      </c>
      <c r="AG478" s="52" t="n">
        <v>0</v>
      </c>
      <c r="AH478" s="52" t="n">
        <v>0</v>
      </c>
      <c r="AI478" s="52" t="n">
        <v>0</v>
      </c>
      <c r="AJ478" s="52" t="n">
        <v>0</v>
      </c>
      <c r="AK478" s="52" t="n">
        <v>0</v>
      </c>
      <c r="AL478" s="52" t="n">
        <v>0</v>
      </c>
      <c r="AM478" s="53" t="n">
        <v>0</v>
      </c>
      <c r="AN478" s="53" t="n">
        <v>0</v>
      </c>
      <c r="AO478" s="53" t="n">
        <v>0</v>
      </c>
      <c r="AP478" s="53" t="n">
        <v>0</v>
      </c>
      <c r="AQ478" s="52" t="n">
        <v>0</v>
      </c>
      <c r="AR478" s="52" t="n">
        <v>0</v>
      </c>
      <c r="AS478" s="52" t="n">
        <v>0</v>
      </c>
      <c r="AT478" s="52" t="n">
        <v>0</v>
      </c>
      <c r="AU478" s="53" t="n">
        <v>0</v>
      </c>
      <c r="AV478" s="53" t="n">
        <v>0</v>
      </c>
      <c r="AW478" s="53" t="n">
        <v>0</v>
      </c>
      <c r="AX478" s="53" t="n">
        <v>0</v>
      </c>
      <c r="AY478" s="52" t="n">
        <v>0</v>
      </c>
      <c r="AZ478" s="52" t="n">
        <v>0</v>
      </c>
      <c r="BA478" s="52" t="n">
        <v>0</v>
      </c>
      <c r="BB478" s="52" t="n">
        <v>0</v>
      </c>
      <c r="BC478" s="51" t="n">
        <v>0</v>
      </c>
      <c r="BD478" s="51" t="n">
        <v>0</v>
      </c>
      <c r="BE478" s="51" t="n">
        <v>0</v>
      </c>
      <c r="BF478" s="51" t="n">
        <v>0</v>
      </c>
    </row>
    <row r="479">
      <c r="A479">
        <f>HYPERLINK("https://www.walmart.com/ip/391372266", "391372266")</f>
        <v/>
      </c>
      <c r="B479" t="inlineStr">
        <is>
          <t>Kato Single Wine Tote Bag, Insulated Padded Thermal Wine Bottle Carrying Cooler Carrier for Travel, Picnic, Perfect Gift for Wine Lover, Black</t>
        </is>
      </c>
      <c r="C479" t="inlineStr">
        <is>
          <t>1KTWB100BKCK</t>
        </is>
      </c>
      <c r="D479" t="inlineStr">
        <is>
          <t>Wine Totes, Bags &amp; Backpacks</t>
        </is>
      </c>
      <c r="E479" t="inlineStr">
        <is>
          <t>Tirrinia</t>
        </is>
      </c>
      <c r="F479" t="inlineStr">
        <is>
          <t>Wine,Christmas,Wine WFS,Valentine</t>
        </is>
      </c>
      <c r="G479" s="48" t="n">
        <v>0</v>
      </c>
      <c r="H479" s="48" t="n">
        <v>9.99</v>
      </c>
      <c r="I479" s="48" t="n">
        <v>0</v>
      </c>
      <c r="J479" s="48" t="n">
        <v>0</v>
      </c>
      <c r="K479" s="49" t="n">
        <v>0</v>
      </c>
      <c r="L479" s="49" t="n">
        <v>1</v>
      </c>
      <c r="M479" s="49" t="n">
        <v>0</v>
      </c>
      <c r="N479" s="49" t="n">
        <v>0</v>
      </c>
      <c r="O479" s="49" t="n">
        <v>0</v>
      </c>
      <c r="P479" s="49" t="n">
        <v>0</v>
      </c>
      <c r="Q479" s="49" t="n">
        <v>0</v>
      </c>
      <c r="R479" s="49" t="n">
        <v>0</v>
      </c>
      <c r="S479" s="50" t="n">
        <v>0</v>
      </c>
      <c r="T479" s="50" t="n">
        <v>0</v>
      </c>
      <c r="U479" s="50" t="n">
        <v>0</v>
      </c>
      <c r="V479" s="50" t="n">
        <v>0</v>
      </c>
      <c r="W479" s="51" t="n">
        <v>0</v>
      </c>
      <c r="X479" s="51" t="n">
        <v>0</v>
      </c>
      <c r="Y479" s="51" t="n">
        <v>0</v>
      </c>
      <c r="Z479" s="51" t="n">
        <v>0</v>
      </c>
      <c r="AA479" s="52" t="n">
        <v>0</v>
      </c>
      <c r="AB479" s="52" t="n">
        <v>0</v>
      </c>
      <c r="AC479" s="52" t="n">
        <v>0</v>
      </c>
      <c r="AD479" s="52" t="n">
        <v>0</v>
      </c>
      <c r="AE479" s="52" t="n">
        <v>0</v>
      </c>
      <c r="AF479" s="52" t="n">
        <v>0</v>
      </c>
      <c r="AG479" s="52" t="n">
        <v>0</v>
      </c>
      <c r="AH479" s="52" t="n">
        <v>0</v>
      </c>
      <c r="AI479" s="52" t="n">
        <v>0</v>
      </c>
      <c r="AJ479" s="52" t="n">
        <v>0</v>
      </c>
      <c r="AK479" s="52" t="n">
        <v>0</v>
      </c>
      <c r="AL479" s="52" t="n">
        <v>0</v>
      </c>
      <c r="AM479" s="53" t="n">
        <v>0</v>
      </c>
      <c r="AN479" s="53" t="n">
        <v>0</v>
      </c>
      <c r="AO479" s="53" t="n">
        <v>0</v>
      </c>
      <c r="AP479" s="53" t="n">
        <v>0</v>
      </c>
      <c r="AQ479" s="52" t="n">
        <v>0</v>
      </c>
      <c r="AR479" s="52" t="n">
        <v>0</v>
      </c>
      <c r="AS479" s="52" t="n">
        <v>0</v>
      </c>
      <c r="AT479" s="52" t="n">
        <v>0</v>
      </c>
      <c r="AU479" s="53" t="n">
        <v>0</v>
      </c>
      <c r="AV479" s="53" t="n">
        <v>0</v>
      </c>
      <c r="AW479" s="53" t="n">
        <v>0</v>
      </c>
      <c r="AX479" s="53" t="n">
        <v>0</v>
      </c>
      <c r="AY479" s="52" t="n">
        <v>0</v>
      </c>
      <c r="AZ479" s="52" t="n">
        <v>9.99</v>
      </c>
      <c r="BA479" s="52" t="n">
        <v>0</v>
      </c>
      <c r="BB479" s="52" t="n">
        <v>0</v>
      </c>
      <c r="BC479" s="51" t="n">
        <v>0</v>
      </c>
      <c r="BD479" s="51" t="n">
        <v>0</v>
      </c>
      <c r="BE479" s="51" t="n">
        <v>0</v>
      </c>
      <c r="BF479" s="51" t="n">
        <v>0</v>
      </c>
    </row>
    <row r="480">
      <c r="A480">
        <f>HYPERLINK("https://www.walmart.com/ip/382529532", "382529532")</f>
        <v/>
      </c>
      <c r="B480" t="inlineStr">
        <is>
          <t>Ski Gloves 3M Waterproof Insulated Winter Snow Mittens Gloves for Women &amp; Men Winter Sports</t>
        </is>
      </c>
      <c r="C480" t="inlineStr">
        <is>
          <t>1SLWG300BLM</t>
        </is>
      </c>
      <c r="D480" t="inlineStr">
        <is>
          <t>Gloves &amp; Mittens</t>
        </is>
      </c>
      <c r="E480" t="inlineStr">
        <is>
          <t>Solaris</t>
        </is>
      </c>
      <c r="F480" t="inlineStr">
        <is>
          <t>WFS,WFS Item</t>
        </is>
      </c>
      <c r="G480" s="48" t="n">
        <v>0</v>
      </c>
      <c r="H480" s="48" t="n">
        <v>0</v>
      </c>
      <c r="I480" s="48" t="n">
        <v>0</v>
      </c>
      <c r="J480" s="48" t="n">
        <v>0</v>
      </c>
      <c r="K480" s="49" t="n">
        <v>0</v>
      </c>
      <c r="L480" s="49" t="n">
        <v>0</v>
      </c>
      <c r="M480" s="49" t="n">
        <v>0</v>
      </c>
      <c r="N480" s="49" t="n">
        <v>0</v>
      </c>
      <c r="O480" s="49" t="n">
        <v>0</v>
      </c>
      <c r="P480" s="49" t="n">
        <v>0</v>
      </c>
      <c r="Q480" s="49" t="n">
        <v>0</v>
      </c>
      <c r="R480" s="49" t="n">
        <v>0</v>
      </c>
      <c r="S480" s="50" t="n">
        <v>0</v>
      </c>
      <c r="T480" s="50" t="n">
        <v>0</v>
      </c>
      <c r="U480" s="50" t="n">
        <v>0</v>
      </c>
      <c r="V480" s="50" t="n">
        <v>0</v>
      </c>
      <c r="W480" s="51" t="n">
        <v>0</v>
      </c>
      <c r="X480" s="51" t="n">
        <v>0</v>
      </c>
      <c r="Y480" s="51" t="n">
        <v>0</v>
      </c>
      <c r="Z480" s="51" t="n">
        <v>0</v>
      </c>
      <c r="AA480" s="52" t="n">
        <v>0</v>
      </c>
      <c r="AB480" s="52" t="n">
        <v>0</v>
      </c>
      <c r="AC480" s="52" t="n">
        <v>0</v>
      </c>
      <c r="AD480" s="52" t="n">
        <v>0</v>
      </c>
      <c r="AE480" s="52" t="n">
        <v>0</v>
      </c>
      <c r="AF480" s="52" t="n">
        <v>0</v>
      </c>
      <c r="AG480" s="52" t="n">
        <v>0</v>
      </c>
      <c r="AH480" s="52" t="n">
        <v>0</v>
      </c>
      <c r="AI480" s="52" t="n">
        <v>0</v>
      </c>
      <c r="AJ480" s="52" t="n">
        <v>0</v>
      </c>
      <c r="AK480" s="52" t="n">
        <v>0</v>
      </c>
      <c r="AL480" s="52" t="n">
        <v>0</v>
      </c>
      <c r="AM480" s="53" t="n">
        <v>0</v>
      </c>
      <c r="AN480" s="53" t="n">
        <v>0</v>
      </c>
      <c r="AO480" s="53" t="n">
        <v>0</v>
      </c>
      <c r="AP480" s="53" t="n">
        <v>0</v>
      </c>
      <c r="AQ480" s="52" t="n">
        <v>0</v>
      </c>
      <c r="AR480" s="52" t="n">
        <v>0</v>
      </c>
      <c r="AS480" s="52" t="n">
        <v>0</v>
      </c>
      <c r="AT480" s="52" t="n">
        <v>0</v>
      </c>
      <c r="AU480" s="53" t="n">
        <v>0</v>
      </c>
      <c r="AV480" s="53" t="n">
        <v>0</v>
      </c>
      <c r="AW480" s="53" t="n">
        <v>0</v>
      </c>
      <c r="AX480" s="53" t="n">
        <v>0</v>
      </c>
      <c r="AY480" s="52" t="n">
        <v>0</v>
      </c>
      <c r="AZ480" s="52" t="n">
        <v>0</v>
      </c>
      <c r="BA480" s="52" t="n">
        <v>0</v>
      </c>
      <c r="BB480" s="52" t="n">
        <v>0</v>
      </c>
      <c r="BC480" s="51" t="n">
        <v>0</v>
      </c>
      <c r="BD480" s="51" t="n">
        <v>0</v>
      </c>
      <c r="BE480" s="51" t="n">
        <v>0</v>
      </c>
      <c r="BF480" s="51" t="n">
        <v>0</v>
      </c>
    </row>
    <row r="481">
      <c r="A481">
        <f>HYPERLINK("https://www.walmart.com/ip/382586947", "382586947")</f>
        <v/>
      </c>
      <c r="B481" t="inlineStr">
        <is>
          <t>Women Floppy Sun Beach Hats w/ Bow Wide Brim Summer UV Protection Foldable Gardening Hiking Cap by Solaris Navy</t>
        </is>
      </c>
      <c r="C481" t="inlineStr">
        <is>
          <t>1SLSH260NV</t>
        </is>
      </c>
      <c r="D481" t="inlineStr">
        <is>
          <t>Hats</t>
        </is>
      </c>
      <c r="E481" t="inlineStr">
        <is>
          <t>Solaris</t>
        </is>
      </c>
      <c r="F481" t="inlineStr">
        <is>
          <t>Hats,Batch 1 - TR</t>
        </is>
      </c>
      <c r="G481" s="48" t="n">
        <v>0</v>
      </c>
      <c r="H481" s="48" t="n">
        <v>0</v>
      </c>
      <c r="I481" s="48" t="n">
        <v>0</v>
      </c>
      <c r="J481" s="48" t="n">
        <v>0</v>
      </c>
      <c r="K481" s="49" t="n">
        <v>0</v>
      </c>
      <c r="L481" s="49" t="n">
        <v>0</v>
      </c>
      <c r="M481" s="49" t="n">
        <v>0</v>
      </c>
      <c r="N481" s="49" t="n">
        <v>0</v>
      </c>
      <c r="O481" s="49" t="n">
        <v>0</v>
      </c>
      <c r="P481" s="49" t="n">
        <v>0</v>
      </c>
      <c r="Q481" s="49" t="n">
        <v>0</v>
      </c>
      <c r="R481" s="49" t="n">
        <v>0</v>
      </c>
      <c r="S481" s="50" t="n">
        <v>0</v>
      </c>
      <c r="T481" s="50" t="n">
        <v>0</v>
      </c>
      <c r="U481" s="50" t="n">
        <v>0</v>
      </c>
      <c r="V481" s="50" t="n">
        <v>0</v>
      </c>
      <c r="W481" s="51" t="n">
        <v>0</v>
      </c>
      <c r="X481" s="51" t="n">
        <v>0</v>
      </c>
      <c r="Y481" s="51" t="n">
        <v>0</v>
      </c>
      <c r="Z481" s="51" t="n">
        <v>0</v>
      </c>
      <c r="AA481" s="52" t="n">
        <v>0</v>
      </c>
      <c r="AB481" s="52" t="n">
        <v>0</v>
      </c>
      <c r="AC481" s="52" t="n">
        <v>0</v>
      </c>
      <c r="AD481" s="52" t="n">
        <v>0</v>
      </c>
      <c r="AE481" s="52" t="n">
        <v>0</v>
      </c>
      <c r="AF481" s="52" t="n">
        <v>0</v>
      </c>
      <c r="AG481" s="52" t="n">
        <v>0</v>
      </c>
      <c r="AH481" s="52" t="n">
        <v>0</v>
      </c>
      <c r="AI481" s="52" t="n">
        <v>0</v>
      </c>
      <c r="AJ481" s="52" t="n">
        <v>0</v>
      </c>
      <c r="AK481" s="52" t="n">
        <v>0</v>
      </c>
      <c r="AL481" s="52" t="n">
        <v>0</v>
      </c>
      <c r="AM481" s="53" t="n">
        <v>0</v>
      </c>
      <c r="AN481" s="53" t="n">
        <v>0</v>
      </c>
      <c r="AO481" s="53" t="n">
        <v>0</v>
      </c>
      <c r="AP481" s="53" t="n">
        <v>0</v>
      </c>
      <c r="AQ481" s="52" t="n">
        <v>0</v>
      </c>
      <c r="AR481" s="52" t="n">
        <v>0</v>
      </c>
      <c r="AS481" s="52" t="n">
        <v>0</v>
      </c>
      <c r="AT481" s="52" t="n">
        <v>0</v>
      </c>
      <c r="AU481" s="53" t="n">
        <v>0</v>
      </c>
      <c r="AV481" s="53" t="n">
        <v>0</v>
      </c>
      <c r="AW481" s="53" t="n">
        <v>0</v>
      </c>
      <c r="AX481" s="53" t="n">
        <v>0</v>
      </c>
      <c r="AY481" s="52" t="n">
        <v>0</v>
      </c>
      <c r="AZ481" s="52" t="n">
        <v>0</v>
      </c>
      <c r="BA481" s="52" t="n">
        <v>0</v>
      </c>
      <c r="BB481" s="52" t="n">
        <v>0</v>
      </c>
      <c r="BC481" s="51" t="n">
        <v>0</v>
      </c>
      <c r="BD481" s="51" t="n">
        <v>0</v>
      </c>
      <c r="BE481" s="51" t="n">
        <v>0</v>
      </c>
      <c r="BF481" s="51" t="n">
        <v>0</v>
      </c>
    </row>
    <row r="482">
      <c r="A482">
        <f>HYPERLINK("https://www.walmart.com/ip/383358003", "383358003")</f>
        <v/>
      </c>
      <c r="B482" t="inlineStr">
        <is>
          <t>Flyingstar Lunch Bag for Women Men, Insulated Lunch Tote for Working/School/Picnic Fashionable Cooler Bag</t>
        </is>
      </c>
      <c r="C482" t="inlineStr">
        <is>
          <t>1WMLB704PP</t>
        </is>
      </c>
      <c r="D482" t="inlineStr">
        <is>
          <t>Reusable Lunch Bags &amp; Boxes</t>
        </is>
      </c>
      <c r="E482" t="inlineStr">
        <is>
          <t>Flyingstar</t>
        </is>
      </c>
      <c r="F482" t="inlineStr">
        <is>
          <t>Q2-Target,Lunch Bag</t>
        </is>
      </c>
      <c r="G482" s="48" t="n">
        <v>0</v>
      </c>
      <c r="H482" s="48" t="n">
        <v>0</v>
      </c>
      <c r="I482" s="48" t="n">
        <v>0</v>
      </c>
      <c r="J482" s="48" t="n">
        <v>0</v>
      </c>
      <c r="K482" s="49" t="n">
        <v>0</v>
      </c>
      <c r="L482" s="49" t="n">
        <v>0</v>
      </c>
      <c r="M482" s="49" t="n">
        <v>0</v>
      </c>
      <c r="N482" s="49" t="n">
        <v>0</v>
      </c>
      <c r="O482" s="49" t="n">
        <v>0</v>
      </c>
      <c r="P482" s="49" t="n">
        <v>0</v>
      </c>
      <c r="Q482" s="49" t="n">
        <v>0</v>
      </c>
      <c r="R482" s="49" t="n">
        <v>0</v>
      </c>
      <c r="S482" s="50" t="n">
        <v>0</v>
      </c>
      <c r="T482" s="50" t="n">
        <v>0</v>
      </c>
      <c r="U482" s="50" t="n">
        <v>0</v>
      </c>
      <c r="V482" s="50" t="n">
        <v>0</v>
      </c>
      <c r="W482" s="51" t="n">
        <v>0</v>
      </c>
      <c r="X482" s="51" t="n">
        <v>0</v>
      </c>
      <c r="Y482" s="51" t="n">
        <v>0</v>
      </c>
      <c r="Z482" s="51" t="n">
        <v>0</v>
      </c>
      <c r="AA482" s="52" t="n">
        <v>0</v>
      </c>
      <c r="AB482" s="52" t="n">
        <v>0</v>
      </c>
      <c r="AC482" s="52" t="n">
        <v>0</v>
      </c>
      <c r="AD482" s="52" t="n">
        <v>0</v>
      </c>
      <c r="AE482" s="52" t="n">
        <v>0</v>
      </c>
      <c r="AF482" s="52" t="n">
        <v>0</v>
      </c>
      <c r="AG482" s="52" t="n">
        <v>0</v>
      </c>
      <c r="AH482" s="52" t="n">
        <v>0</v>
      </c>
      <c r="AI482" s="52" t="n">
        <v>0</v>
      </c>
      <c r="AJ482" s="52" t="n">
        <v>0</v>
      </c>
      <c r="AK482" s="52" t="n">
        <v>0</v>
      </c>
      <c r="AL482" s="52" t="n">
        <v>0</v>
      </c>
      <c r="AM482" s="53" t="n">
        <v>0</v>
      </c>
      <c r="AN482" s="53" t="n">
        <v>0</v>
      </c>
      <c r="AO482" s="53" t="n">
        <v>0</v>
      </c>
      <c r="AP482" s="53" t="n">
        <v>0</v>
      </c>
      <c r="AQ482" s="52" t="n">
        <v>0</v>
      </c>
      <c r="AR482" s="52" t="n">
        <v>0</v>
      </c>
      <c r="AS482" s="52" t="n">
        <v>0</v>
      </c>
      <c r="AT482" s="52" t="n">
        <v>0</v>
      </c>
      <c r="AU482" s="53" t="n">
        <v>0</v>
      </c>
      <c r="AV482" s="53" t="n">
        <v>0</v>
      </c>
      <c r="AW482" s="53" t="n">
        <v>0</v>
      </c>
      <c r="AX482" s="53" t="n">
        <v>0</v>
      </c>
      <c r="AY482" s="52" t="n">
        <v>0</v>
      </c>
      <c r="AZ482" s="52" t="n">
        <v>0</v>
      </c>
      <c r="BA482" s="52" t="n">
        <v>0</v>
      </c>
      <c r="BB482" s="52" t="n">
        <v>0</v>
      </c>
      <c r="BC482" s="51" t="n">
        <v>0</v>
      </c>
      <c r="BD482" s="51" t="n">
        <v>0</v>
      </c>
      <c r="BE482" s="51" t="n">
        <v>0</v>
      </c>
      <c r="BF482" s="51" t="n">
        <v>0</v>
      </c>
    </row>
    <row r="483">
      <c r="A483">
        <f>HYPERLINK("https://www.walmart.com/ip/383776855", "383776855")</f>
        <v/>
      </c>
      <c r="B483" t="inlineStr">
        <is>
          <t>Tirrinia Super Soft Fluffy Hooded Robe Long Plush Fuzzy Bathrobe for Women with Hood Sherpa Lined, Machine Washable, Black</t>
        </is>
      </c>
      <c r="C483" t="inlineStr">
        <is>
          <t>1TRRB100BK</t>
        </is>
      </c>
      <c r="D483" t="inlineStr">
        <is>
          <t>Sleepwear Robes &amp; Bathrobes</t>
        </is>
      </c>
      <c r="E483" t="inlineStr">
        <is>
          <t>Tirrinia</t>
        </is>
      </c>
      <c r="F483" t="inlineStr">
        <is>
          <t>WFS,Bathrobe,Coupon_Discount,WFS Item</t>
        </is>
      </c>
      <c r="G483" s="48" t="n">
        <v>0</v>
      </c>
      <c r="H483" s="48" t="n">
        <v>0</v>
      </c>
      <c r="I483" s="48" t="n">
        <v>0</v>
      </c>
      <c r="J483" s="48" t="n">
        <v>0</v>
      </c>
      <c r="K483" s="49" t="n">
        <v>0</v>
      </c>
      <c r="L483" s="49" t="n">
        <v>0</v>
      </c>
      <c r="M483" s="49" t="n">
        <v>0</v>
      </c>
      <c r="N483" s="49" t="n">
        <v>0</v>
      </c>
      <c r="O483" s="49" t="n">
        <v>0</v>
      </c>
      <c r="P483" s="49" t="n">
        <v>0</v>
      </c>
      <c r="Q483" s="49" t="n">
        <v>0</v>
      </c>
      <c r="R483" s="49" t="n">
        <v>0</v>
      </c>
      <c r="S483" s="50" t="n">
        <v>0</v>
      </c>
      <c r="T483" s="50" t="n">
        <v>0</v>
      </c>
      <c r="U483" s="50" t="n">
        <v>0</v>
      </c>
      <c r="V483" s="50" t="n">
        <v>0</v>
      </c>
      <c r="W483" s="51" t="n">
        <v>0</v>
      </c>
      <c r="X483" s="51" t="n">
        <v>0</v>
      </c>
      <c r="Y483" s="51" t="n">
        <v>0</v>
      </c>
      <c r="Z483" s="51" t="n">
        <v>0</v>
      </c>
      <c r="AA483" s="52" t="n">
        <v>0</v>
      </c>
      <c r="AB483" s="52" t="n">
        <v>0</v>
      </c>
      <c r="AC483" s="52" t="n">
        <v>0</v>
      </c>
      <c r="AD483" s="52" t="n">
        <v>0</v>
      </c>
      <c r="AE483" s="52" t="n">
        <v>0</v>
      </c>
      <c r="AF483" s="52" t="n">
        <v>0</v>
      </c>
      <c r="AG483" s="52" t="n">
        <v>0</v>
      </c>
      <c r="AH483" s="52" t="n">
        <v>0</v>
      </c>
      <c r="AI483" s="52" t="n">
        <v>0</v>
      </c>
      <c r="AJ483" s="52" t="n">
        <v>0</v>
      </c>
      <c r="AK483" s="52" t="n">
        <v>0</v>
      </c>
      <c r="AL483" s="52" t="n">
        <v>0</v>
      </c>
      <c r="AM483" s="53" t="n">
        <v>0</v>
      </c>
      <c r="AN483" s="53" t="n">
        <v>0</v>
      </c>
      <c r="AO483" s="53" t="n">
        <v>0</v>
      </c>
      <c r="AP483" s="53" t="n">
        <v>0</v>
      </c>
      <c r="AQ483" s="52" t="n">
        <v>0</v>
      </c>
      <c r="AR483" s="52" t="n">
        <v>0</v>
      </c>
      <c r="AS483" s="52" t="n">
        <v>0</v>
      </c>
      <c r="AT483" s="52" t="n">
        <v>0</v>
      </c>
      <c r="AU483" s="53" t="n">
        <v>0</v>
      </c>
      <c r="AV483" s="53" t="n">
        <v>0</v>
      </c>
      <c r="AW483" s="53" t="n">
        <v>0</v>
      </c>
      <c r="AX483" s="53" t="n">
        <v>0</v>
      </c>
      <c r="AY483" s="52" t="n">
        <v>0</v>
      </c>
      <c r="AZ483" s="52" t="n">
        <v>0</v>
      </c>
      <c r="BA483" s="52" t="n">
        <v>0</v>
      </c>
      <c r="BB483" s="52" t="n">
        <v>0</v>
      </c>
      <c r="BC483" s="51" t="n">
        <v>0</v>
      </c>
      <c r="BD483" s="51" t="n">
        <v>0</v>
      </c>
      <c r="BE483" s="51" t="n">
        <v>0</v>
      </c>
      <c r="BF483" s="51" t="n">
        <v>0</v>
      </c>
    </row>
    <row r="484">
      <c r="A484">
        <f>HYPERLINK("https://www.walmart.com/ip/383928733", "383928733")</f>
        <v/>
      </c>
      <c r="B484" t="inlineStr">
        <is>
          <t>Sherpa Throw Blanket Fleece, Super Cozy Warm TV Blankets for Bed or Couch Reversible 50" x 60"</t>
        </is>
      </c>
      <c r="C484" t="inlineStr">
        <is>
          <t>1TNBF300BK-TPB</t>
        </is>
      </c>
      <c r="D484" t="inlineStr">
        <is>
          <t>Throws</t>
        </is>
      </c>
      <c r="E484" t="inlineStr">
        <is>
          <t>Tirrinia</t>
        </is>
      </c>
      <c r="G484" s="48" t="n">
        <v>0</v>
      </c>
      <c r="H484" s="48" t="n">
        <v>0</v>
      </c>
      <c r="I484" s="48" t="n">
        <v>0</v>
      </c>
      <c r="J484" s="48" t="n">
        <v>0</v>
      </c>
      <c r="K484" s="49" t="n">
        <v>0</v>
      </c>
      <c r="L484" s="49" t="n">
        <v>0</v>
      </c>
      <c r="M484" s="49" t="n">
        <v>0</v>
      </c>
      <c r="N484" s="49" t="n">
        <v>0</v>
      </c>
      <c r="O484" s="49" t="n">
        <v>0</v>
      </c>
      <c r="P484" s="49" t="n">
        <v>0</v>
      </c>
      <c r="Q484" s="49" t="n">
        <v>0</v>
      </c>
      <c r="R484" s="49" t="n">
        <v>0</v>
      </c>
      <c r="S484" s="50" t="n">
        <v>0</v>
      </c>
      <c r="T484" s="50" t="n">
        <v>0</v>
      </c>
      <c r="U484" s="50" t="n">
        <v>0</v>
      </c>
      <c r="V484" s="50" t="n">
        <v>0</v>
      </c>
      <c r="W484" s="51" t="n">
        <v>0</v>
      </c>
      <c r="X484" s="51" t="n">
        <v>0</v>
      </c>
      <c r="Y484" s="51" t="n">
        <v>0</v>
      </c>
      <c r="Z484" s="51" t="n">
        <v>0</v>
      </c>
      <c r="AA484" s="52" t="n">
        <v>0</v>
      </c>
      <c r="AB484" s="52" t="n">
        <v>0</v>
      </c>
      <c r="AC484" s="52" t="n">
        <v>0</v>
      </c>
      <c r="AD484" s="52" t="n">
        <v>0</v>
      </c>
      <c r="AE484" s="52" t="n">
        <v>0</v>
      </c>
      <c r="AF484" s="52" t="n">
        <v>0</v>
      </c>
      <c r="AG484" s="52" t="n">
        <v>0</v>
      </c>
      <c r="AH484" s="52" t="n">
        <v>0</v>
      </c>
      <c r="AI484" s="52" t="n">
        <v>0</v>
      </c>
      <c r="AJ484" s="52" t="n">
        <v>0</v>
      </c>
      <c r="AK484" s="52" t="n">
        <v>0</v>
      </c>
      <c r="AL484" s="52" t="n">
        <v>0</v>
      </c>
      <c r="AM484" s="53" t="n">
        <v>0</v>
      </c>
      <c r="AN484" s="53" t="n">
        <v>0</v>
      </c>
      <c r="AO484" s="53" t="n">
        <v>0</v>
      </c>
      <c r="AP484" s="53" t="n">
        <v>0</v>
      </c>
      <c r="AQ484" s="52" t="n">
        <v>0</v>
      </c>
      <c r="AR484" s="52" t="n">
        <v>0</v>
      </c>
      <c r="AS484" s="52" t="n">
        <v>0</v>
      </c>
      <c r="AT484" s="52" t="n">
        <v>0</v>
      </c>
      <c r="AU484" s="53" t="n">
        <v>0</v>
      </c>
      <c r="AV484" s="53" t="n">
        <v>0</v>
      </c>
      <c r="AW484" s="53" t="n">
        <v>0</v>
      </c>
      <c r="AX484" s="53" t="n">
        <v>0</v>
      </c>
      <c r="AY484" s="52" t="n">
        <v>0</v>
      </c>
      <c r="AZ484" s="52" t="n">
        <v>0</v>
      </c>
      <c r="BA484" s="52" t="n">
        <v>0</v>
      </c>
      <c r="BB484" s="52" t="n">
        <v>0</v>
      </c>
      <c r="BC484" s="51" t="n">
        <v>0</v>
      </c>
      <c r="BD484" s="51" t="n">
        <v>0</v>
      </c>
      <c r="BE484" s="51" t="n">
        <v>0</v>
      </c>
      <c r="BF484" s="51" t="n">
        <v>0</v>
      </c>
    </row>
    <row r="485">
      <c r="A485">
        <f>HYPERLINK("https://www.walmart.com/ip/384645923", "384645923")</f>
        <v/>
      </c>
      <c r="B485" t="inlineStr">
        <is>
          <t>Catalonia Waterproof Blanket, Pee-Proof Couch, Sofa, and Bed Protector Cover for Baby and Pets, Super Cozy Plush Fleece Warm Sherpa Lining Throws and Blankets for Boating and Camping, Wine/Taupe, Extra Large 80'' x 90''</t>
        </is>
      </c>
      <c r="C485" t="inlineStr">
        <is>
          <t>1CTBW981WNTP</t>
        </is>
      </c>
      <c r="D485" t="inlineStr">
        <is>
          <t>Throws</t>
        </is>
      </c>
      <c r="E485" t="inlineStr">
        <is>
          <t>Catalonia</t>
        </is>
      </c>
      <c r="F485" t="inlineStr">
        <is>
          <t>High AUR Items,Wproof Blanket,Batch 1 - TR</t>
        </is>
      </c>
      <c r="G485" s="48" t="n">
        <v>0</v>
      </c>
      <c r="H485" s="48" t="n">
        <v>0</v>
      </c>
      <c r="I485" s="48" t="n">
        <v>0</v>
      </c>
      <c r="J485" s="48" t="n">
        <v>0</v>
      </c>
      <c r="K485" s="49" t="n">
        <v>0</v>
      </c>
      <c r="L485" s="49" t="n">
        <v>0</v>
      </c>
      <c r="M485" s="49" t="n">
        <v>0</v>
      </c>
      <c r="N485" s="49" t="n">
        <v>0</v>
      </c>
      <c r="O485" s="49" t="n">
        <v>0</v>
      </c>
      <c r="P485" s="49" t="n">
        <v>0</v>
      </c>
      <c r="Q485" s="49" t="n">
        <v>0</v>
      </c>
      <c r="R485" s="49" t="n">
        <v>0</v>
      </c>
      <c r="S485" s="50" t="n">
        <v>0</v>
      </c>
      <c r="T485" s="50" t="n">
        <v>0</v>
      </c>
      <c r="U485" s="50" t="n">
        <v>0</v>
      </c>
      <c r="V485" s="50" t="n">
        <v>0</v>
      </c>
      <c r="W485" s="51" t="n">
        <v>0</v>
      </c>
      <c r="X485" s="51" t="n">
        <v>0</v>
      </c>
      <c r="Y485" s="51" t="n">
        <v>0</v>
      </c>
      <c r="Z485" s="51" t="n">
        <v>0</v>
      </c>
      <c r="AA485" s="52" t="n">
        <v>0</v>
      </c>
      <c r="AB485" s="52" t="n">
        <v>0</v>
      </c>
      <c r="AC485" s="52" t="n">
        <v>0</v>
      </c>
      <c r="AD485" s="52" t="n">
        <v>0</v>
      </c>
      <c r="AE485" s="52" t="n">
        <v>0</v>
      </c>
      <c r="AF485" s="52" t="n">
        <v>0</v>
      </c>
      <c r="AG485" s="52" t="n">
        <v>0</v>
      </c>
      <c r="AH485" s="52" t="n">
        <v>0</v>
      </c>
      <c r="AI485" s="52" t="n">
        <v>0</v>
      </c>
      <c r="AJ485" s="52" t="n">
        <v>0</v>
      </c>
      <c r="AK485" s="52" t="n">
        <v>0</v>
      </c>
      <c r="AL485" s="52" t="n">
        <v>0</v>
      </c>
      <c r="AM485" s="53" t="n">
        <v>0</v>
      </c>
      <c r="AN485" s="53" t="n">
        <v>0</v>
      </c>
      <c r="AO485" s="53" t="n">
        <v>0</v>
      </c>
      <c r="AP485" s="53" t="n">
        <v>0</v>
      </c>
      <c r="AQ485" s="52" t="n">
        <v>0</v>
      </c>
      <c r="AR485" s="52" t="n">
        <v>0</v>
      </c>
      <c r="AS485" s="52" t="n">
        <v>0</v>
      </c>
      <c r="AT485" s="52" t="n">
        <v>0</v>
      </c>
      <c r="AU485" s="53" t="n">
        <v>0</v>
      </c>
      <c r="AV485" s="53" t="n">
        <v>0</v>
      </c>
      <c r="AW485" s="53" t="n">
        <v>0</v>
      </c>
      <c r="AX485" s="53" t="n">
        <v>0</v>
      </c>
      <c r="AY485" s="52" t="n">
        <v>0</v>
      </c>
      <c r="AZ485" s="52" t="n">
        <v>0</v>
      </c>
      <c r="BA485" s="52" t="n">
        <v>0</v>
      </c>
      <c r="BB485" s="52" t="n">
        <v>0</v>
      </c>
      <c r="BC485" s="51" t="n">
        <v>0</v>
      </c>
      <c r="BD485" s="51" t="n">
        <v>0</v>
      </c>
      <c r="BE485" s="51" t="n">
        <v>0</v>
      </c>
      <c r="BF485" s="51" t="n">
        <v>0</v>
      </c>
    </row>
    <row r="486">
      <c r="A486">
        <f>HYPERLINK("https://www.walmart.com/ip/385094315", "385094315")</f>
        <v/>
      </c>
      <c r="B486" t="inlineStr">
        <is>
          <t>Catalonia Wearable Blanket with Sleeves and Pocket, Cozy Soft Fleece Micro Plush Wrap Adult Blanket Robe for Women Men, Red Dot Pattern Makes a Great Gift for Holidays.</t>
        </is>
      </c>
      <c r="C486" t="inlineStr">
        <is>
          <t>1CTSN100RDDOT</t>
        </is>
      </c>
      <c r="D486" t="inlineStr">
        <is>
          <t>Throws</t>
        </is>
      </c>
      <c r="E486" t="inlineStr">
        <is>
          <t>Catalonia</t>
        </is>
      </c>
      <c r="F486" t="inlineStr">
        <is>
          <t>WFS,WFS Item</t>
        </is>
      </c>
      <c r="G486" s="48" t="n">
        <v>0</v>
      </c>
      <c r="H486" s="48" t="n">
        <v>0</v>
      </c>
      <c r="I486" s="48" t="n">
        <v>0</v>
      </c>
      <c r="J486" s="48" t="n">
        <v>0</v>
      </c>
      <c r="K486" s="49" t="n">
        <v>0</v>
      </c>
      <c r="L486" s="49" t="n">
        <v>0</v>
      </c>
      <c r="M486" s="49" t="n">
        <v>0</v>
      </c>
      <c r="N486" s="49" t="n">
        <v>0</v>
      </c>
      <c r="O486" s="49" t="n">
        <v>0</v>
      </c>
      <c r="P486" s="49" t="n">
        <v>0</v>
      </c>
      <c r="Q486" s="49" t="n">
        <v>0</v>
      </c>
      <c r="R486" s="49" t="n">
        <v>0</v>
      </c>
      <c r="S486" s="50" t="n">
        <v>0</v>
      </c>
      <c r="T486" s="50" t="n">
        <v>0</v>
      </c>
      <c r="U486" s="50" t="n">
        <v>0</v>
      </c>
      <c r="V486" s="50" t="n">
        <v>0</v>
      </c>
      <c r="W486" s="51" t="n">
        <v>0</v>
      </c>
      <c r="X486" s="51" t="n">
        <v>0</v>
      </c>
      <c r="Y486" s="51" t="n">
        <v>0</v>
      </c>
      <c r="Z486" s="51" t="n">
        <v>0</v>
      </c>
      <c r="AA486" s="52" t="n">
        <v>0</v>
      </c>
      <c r="AB486" s="52" t="n">
        <v>0</v>
      </c>
      <c r="AC486" s="52" t="n">
        <v>0</v>
      </c>
      <c r="AD486" s="52" t="n">
        <v>0</v>
      </c>
      <c r="AE486" s="52" t="n">
        <v>0</v>
      </c>
      <c r="AF486" s="52" t="n">
        <v>0</v>
      </c>
      <c r="AG486" s="52" t="n">
        <v>0</v>
      </c>
      <c r="AH486" s="52" t="n">
        <v>0</v>
      </c>
      <c r="AI486" s="52" t="n">
        <v>0</v>
      </c>
      <c r="AJ486" s="52" t="n">
        <v>0</v>
      </c>
      <c r="AK486" s="52" t="n">
        <v>0</v>
      </c>
      <c r="AL486" s="52" t="n">
        <v>0</v>
      </c>
      <c r="AM486" s="53" t="n">
        <v>0</v>
      </c>
      <c r="AN486" s="53" t="n">
        <v>0</v>
      </c>
      <c r="AO486" s="53" t="n">
        <v>0</v>
      </c>
      <c r="AP486" s="53" t="n">
        <v>0</v>
      </c>
      <c r="AQ486" s="52" t="n">
        <v>0</v>
      </c>
      <c r="AR486" s="52" t="n">
        <v>0</v>
      </c>
      <c r="AS486" s="52" t="n">
        <v>0</v>
      </c>
      <c r="AT486" s="52" t="n">
        <v>0</v>
      </c>
      <c r="AU486" s="53" t="n">
        <v>0</v>
      </c>
      <c r="AV486" s="53" t="n">
        <v>0</v>
      </c>
      <c r="AW486" s="53" t="n">
        <v>0</v>
      </c>
      <c r="AX486" s="53" t="n">
        <v>0</v>
      </c>
      <c r="AY486" s="52" t="n">
        <v>0</v>
      </c>
      <c r="AZ486" s="52" t="n">
        <v>0</v>
      </c>
      <c r="BA486" s="52" t="n">
        <v>0</v>
      </c>
      <c r="BB486" s="52" t="n">
        <v>0</v>
      </c>
      <c r="BC486" s="51" t="n">
        <v>0</v>
      </c>
      <c r="BD486" s="51" t="n">
        <v>0</v>
      </c>
      <c r="BE486" s="51" t="n">
        <v>0</v>
      </c>
      <c r="BF486" s="51" t="n">
        <v>0</v>
      </c>
    </row>
    <row r="487">
      <c r="A487">
        <f>HYPERLINK("https://www.walmart.com/ip/386484169", "386484169")</f>
        <v/>
      </c>
      <c r="B487" t="inlineStr">
        <is>
          <t>Pawsse Waterproof Dog Blanket for Bed, Pee Proof Pet Blankets for Couch Sofa Cover, Reversible Furniture Protector Sherpa Cushion Mat for Small to Medium Large Dog, Large, Camel/Tuape, 60"" x 80""</t>
        </is>
      </c>
      <c r="C487" t="inlineStr">
        <is>
          <t>1PSBW681TPTP</t>
        </is>
      </c>
      <c r="D487" t="inlineStr">
        <is>
          <t>Pet Blankets</t>
        </is>
      </c>
      <c r="E487" t="inlineStr">
        <is>
          <t>Pawsse</t>
        </is>
      </c>
      <c r="F487" t="inlineStr">
        <is>
          <t>WFS,High AUR Items,Wproof Blanket,WFS Item</t>
        </is>
      </c>
      <c r="G487" s="48" t="n">
        <v>0</v>
      </c>
      <c r="H487" s="48" t="n">
        <v>0</v>
      </c>
      <c r="I487" s="48" t="n">
        <v>0</v>
      </c>
      <c r="J487" s="48" t="n">
        <v>0</v>
      </c>
      <c r="K487" s="49" t="n">
        <v>0</v>
      </c>
      <c r="L487" s="49" t="n">
        <v>0</v>
      </c>
      <c r="M487" s="49" t="n">
        <v>0</v>
      </c>
      <c r="N487" s="49" t="n">
        <v>0</v>
      </c>
      <c r="O487" s="49" t="n">
        <v>0</v>
      </c>
      <c r="P487" s="49" t="n">
        <v>0</v>
      </c>
      <c r="Q487" s="49" t="n">
        <v>4</v>
      </c>
      <c r="R487" s="49" t="n">
        <v>7</v>
      </c>
      <c r="S487" s="50" t="n">
        <v>0</v>
      </c>
      <c r="T487" s="50" t="n">
        <v>0</v>
      </c>
      <c r="U487" s="50" t="n">
        <v>0</v>
      </c>
      <c r="V487" s="50" t="n">
        <v>0</v>
      </c>
      <c r="W487" s="51" t="n">
        <v>2</v>
      </c>
      <c r="X487" s="51" t="n">
        <v>4</v>
      </c>
      <c r="Y487" s="51" t="n">
        <v>5</v>
      </c>
      <c r="Z487" s="51" t="n">
        <v>8</v>
      </c>
      <c r="AA487" s="52" t="n">
        <v>0.65</v>
      </c>
      <c r="AB487" s="52" t="n">
        <v>1.74</v>
      </c>
      <c r="AC487" s="52" t="n">
        <v>2.21</v>
      </c>
      <c r="AD487" s="52" t="n">
        <v>3.46</v>
      </c>
      <c r="AE487" s="52" t="n">
        <v>0</v>
      </c>
      <c r="AF487" s="52" t="n">
        <v>0</v>
      </c>
      <c r="AG487" s="52" t="n">
        <v>0</v>
      </c>
      <c r="AH487" s="52" t="n">
        <v>36.99</v>
      </c>
      <c r="AI487" s="52" t="n">
        <v>0</v>
      </c>
      <c r="AJ487" s="52" t="n">
        <v>0</v>
      </c>
      <c r="AK487" s="52" t="n">
        <v>0</v>
      </c>
      <c r="AL487" s="52" t="n">
        <v>10.69</v>
      </c>
      <c r="AM487" s="53" t="n">
        <v>0.0007</v>
      </c>
      <c r="AN487" s="53" t="n">
        <v>0.0008</v>
      </c>
      <c r="AO487" s="53" t="n">
        <v>0.0007</v>
      </c>
      <c r="AP487" s="53" t="n">
        <v>0.0014</v>
      </c>
      <c r="AQ487" s="52" t="n">
        <v>0.325</v>
      </c>
      <c r="AR487" s="52" t="n">
        <v>0.435</v>
      </c>
      <c r="AS487" s="52" t="n">
        <v>0.442</v>
      </c>
      <c r="AT487" s="52" t="n">
        <v>0.4325</v>
      </c>
      <c r="AU487" s="53" t="n">
        <v>0</v>
      </c>
      <c r="AV487" s="53" t="n">
        <v>0</v>
      </c>
      <c r="AW487" s="53" t="n">
        <v>0</v>
      </c>
      <c r="AX487" s="53" t="n">
        <v>0</v>
      </c>
      <c r="AY487" s="52" t="n">
        <v>0</v>
      </c>
      <c r="AZ487" s="52" t="n">
        <v>0</v>
      </c>
      <c r="BA487" s="52" t="n">
        <v>0</v>
      </c>
      <c r="BB487" s="52" t="n">
        <v>0</v>
      </c>
      <c r="BC487" s="51" t="n">
        <v>2792</v>
      </c>
      <c r="BD487" s="51" t="n">
        <v>5097</v>
      </c>
      <c r="BE487" s="51" t="n">
        <v>7478</v>
      </c>
      <c r="BF487" s="51" t="n">
        <v>5601</v>
      </c>
    </row>
    <row r="488">
      <c r="A488">
        <f>HYPERLINK("https://www.walmart.com/ip/388398607", "388398607")</f>
        <v/>
      </c>
      <c r="B488" t="inlineStr">
        <is>
          <t>Solaris Women’s Floppy Sun Hat, Wide Brim for Summer Beach UV Protection, Foldable for Gardening and Hiking, Black</t>
        </is>
      </c>
      <c r="C488" t="inlineStr">
        <is>
          <t>1SLSH101BK</t>
        </is>
      </c>
      <c r="D488" t="inlineStr">
        <is>
          <t>Hats</t>
        </is>
      </c>
      <c r="E488" t="inlineStr">
        <is>
          <t>Solaris</t>
        </is>
      </c>
      <c r="F488" t="inlineStr">
        <is>
          <t>Hats,Batch 1 - TR</t>
        </is>
      </c>
      <c r="G488" s="48" t="n">
        <v>0</v>
      </c>
      <c r="H488" s="48" t="n">
        <v>0</v>
      </c>
      <c r="I488" s="48" t="n">
        <v>0</v>
      </c>
      <c r="J488" s="48" t="n">
        <v>0</v>
      </c>
      <c r="K488" s="49" t="n">
        <v>0</v>
      </c>
      <c r="L488" s="49" t="n">
        <v>0</v>
      </c>
      <c r="M488" s="49" t="n">
        <v>0</v>
      </c>
      <c r="N488" s="49" t="n">
        <v>0</v>
      </c>
      <c r="O488" s="49" t="n">
        <v>0</v>
      </c>
      <c r="P488" s="49" t="n">
        <v>0</v>
      </c>
      <c r="Q488" s="49" t="n">
        <v>0</v>
      </c>
      <c r="R488" s="49" t="n">
        <v>0</v>
      </c>
      <c r="S488" s="50" t="n">
        <v>0</v>
      </c>
      <c r="T488" s="50" t="n">
        <v>0</v>
      </c>
      <c r="U488" s="50" t="n">
        <v>0</v>
      </c>
      <c r="V488" s="50" t="n">
        <v>0</v>
      </c>
      <c r="W488" s="51" t="n">
        <v>0</v>
      </c>
      <c r="X488" s="51" t="n">
        <v>0</v>
      </c>
      <c r="Y488" s="51" t="n">
        <v>0</v>
      </c>
      <c r="Z488" s="51" t="n">
        <v>0</v>
      </c>
      <c r="AA488" s="52" t="n">
        <v>0</v>
      </c>
      <c r="AB488" s="52" t="n">
        <v>0</v>
      </c>
      <c r="AC488" s="52" t="n">
        <v>0</v>
      </c>
      <c r="AD488" s="52" t="n">
        <v>0</v>
      </c>
      <c r="AE488" s="52" t="n">
        <v>0</v>
      </c>
      <c r="AF488" s="52" t="n">
        <v>0</v>
      </c>
      <c r="AG488" s="52" t="n">
        <v>0</v>
      </c>
      <c r="AH488" s="52" t="n">
        <v>0</v>
      </c>
      <c r="AI488" s="52" t="n">
        <v>0</v>
      </c>
      <c r="AJ488" s="52" t="n">
        <v>0</v>
      </c>
      <c r="AK488" s="52" t="n">
        <v>0</v>
      </c>
      <c r="AL488" s="52" t="n">
        <v>0</v>
      </c>
      <c r="AM488" s="53" t="n">
        <v>0</v>
      </c>
      <c r="AN488" s="53" t="n">
        <v>0</v>
      </c>
      <c r="AO488" s="53" t="n">
        <v>0</v>
      </c>
      <c r="AP488" s="53" t="n">
        <v>0</v>
      </c>
      <c r="AQ488" s="52" t="n">
        <v>0</v>
      </c>
      <c r="AR488" s="52" t="n">
        <v>0</v>
      </c>
      <c r="AS488" s="52" t="n">
        <v>0</v>
      </c>
      <c r="AT488" s="52" t="n">
        <v>0</v>
      </c>
      <c r="AU488" s="53" t="n">
        <v>0</v>
      </c>
      <c r="AV488" s="53" t="n">
        <v>0</v>
      </c>
      <c r="AW488" s="53" t="n">
        <v>0</v>
      </c>
      <c r="AX488" s="53" t="n">
        <v>0</v>
      </c>
      <c r="AY488" s="52" t="n">
        <v>0</v>
      </c>
      <c r="AZ488" s="52" t="n">
        <v>0</v>
      </c>
      <c r="BA488" s="52" t="n">
        <v>0</v>
      </c>
      <c r="BB488" s="52" t="n">
        <v>0</v>
      </c>
      <c r="BC488" s="51" t="n">
        <v>0</v>
      </c>
      <c r="BD488" s="51" t="n">
        <v>0</v>
      </c>
      <c r="BE488" s="51" t="n">
        <v>0</v>
      </c>
      <c r="BF488" s="51" t="n">
        <v>0</v>
      </c>
    </row>
    <row r="489">
      <c r="A489">
        <f>HYPERLINK("https://www.walmart.com/ip/388479260", "388479260")</f>
        <v/>
      </c>
      <c r="B489" t="inlineStr">
        <is>
          <t>Flyingstar Wearable Blanket with Sleeves and Pocket, Fleece Micro Plush Throws Blanket, Robe for Women and Men 73” x 51” Purple</t>
        </is>
      </c>
      <c r="C489" t="inlineStr">
        <is>
          <t>1WMSN100AQ</t>
        </is>
      </c>
      <c r="D489" t="inlineStr">
        <is>
          <t>Throws</t>
        </is>
      </c>
      <c r="E489" t="inlineStr">
        <is>
          <t>Flyingstar</t>
        </is>
      </c>
      <c r="F489" t="inlineStr">
        <is>
          <t>Optimized</t>
        </is>
      </c>
      <c r="G489" s="48" t="n">
        <v>0</v>
      </c>
      <c r="H489" s="48" t="n">
        <v>0</v>
      </c>
      <c r="I489" s="48" t="n">
        <v>0</v>
      </c>
      <c r="J489" s="48" t="n">
        <v>0</v>
      </c>
      <c r="K489" s="49" t="n">
        <v>0</v>
      </c>
      <c r="L489" s="49" t="n">
        <v>0</v>
      </c>
      <c r="M489" s="49" t="n">
        <v>0</v>
      </c>
      <c r="N489" s="49" t="n">
        <v>0</v>
      </c>
      <c r="O489" s="49" t="n">
        <v>0</v>
      </c>
      <c r="P489" s="49" t="n">
        <v>0</v>
      </c>
      <c r="Q489" s="49" t="n">
        <v>0</v>
      </c>
      <c r="R489" s="49" t="n">
        <v>0</v>
      </c>
      <c r="S489" s="50" t="n">
        <v>0</v>
      </c>
      <c r="T489" s="50" t="n">
        <v>0</v>
      </c>
      <c r="U489" s="50" t="n">
        <v>0</v>
      </c>
      <c r="V489" s="50" t="n">
        <v>0</v>
      </c>
      <c r="W489" s="51" t="n">
        <v>0</v>
      </c>
      <c r="X489" s="51" t="n">
        <v>0</v>
      </c>
      <c r="Y489" s="51" t="n">
        <v>0</v>
      </c>
      <c r="Z489" s="51" t="n">
        <v>0</v>
      </c>
      <c r="AA489" s="52" t="n">
        <v>0</v>
      </c>
      <c r="AB489" s="52" t="n">
        <v>0</v>
      </c>
      <c r="AC489" s="52" t="n">
        <v>0</v>
      </c>
      <c r="AD489" s="52" t="n">
        <v>0</v>
      </c>
      <c r="AE489" s="52" t="n">
        <v>0</v>
      </c>
      <c r="AF489" s="52" t="n">
        <v>0</v>
      </c>
      <c r="AG489" s="52" t="n">
        <v>0</v>
      </c>
      <c r="AH489" s="52" t="n">
        <v>0</v>
      </c>
      <c r="AI489" s="52" t="n">
        <v>0</v>
      </c>
      <c r="AJ489" s="52" t="n">
        <v>0</v>
      </c>
      <c r="AK489" s="52" t="n">
        <v>0</v>
      </c>
      <c r="AL489" s="52" t="n">
        <v>0</v>
      </c>
      <c r="AM489" s="53" t="n">
        <v>0</v>
      </c>
      <c r="AN489" s="53" t="n">
        <v>0</v>
      </c>
      <c r="AO489" s="53" t="n">
        <v>0</v>
      </c>
      <c r="AP489" s="53" t="n">
        <v>0</v>
      </c>
      <c r="AQ489" s="52" t="n">
        <v>0</v>
      </c>
      <c r="AR489" s="52" t="n">
        <v>0</v>
      </c>
      <c r="AS489" s="52" t="n">
        <v>0</v>
      </c>
      <c r="AT489" s="52" t="n">
        <v>0</v>
      </c>
      <c r="AU489" s="53" t="n">
        <v>0</v>
      </c>
      <c r="AV489" s="53" t="n">
        <v>0</v>
      </c>
      <c r="AW489" s="53" t="n">
        <v>0</v>
      </c>
      <c r="AX489" s="53" t="n">
        <v>0</v>
      </c>
      <c r="AY489" s="52" t="n">
        <v>0</v>
      </c>
      <c r="AZ489" s="52" t="n">
        <v>0</v>
      </c>
      <c r="BA489" s="52" t="n">
        <v>0</v>
      </c>
      <c r="BB489" s="52" t="n">
        <v>0</v>
      </c>
      <c r="BC489" s="51" t="n">
        <v>0</v>
      </c>
      <c r="BD489" s="51" t="n">
        <v>0</v>
      </c>
      <c r="BE489" s="51" t="n">
        <v>0</v>
      </c>
      <c r="BF489" s="51" t="n">
        <v>0</v>
      </c>
    </row>
    <row r="490">
      <c r="A490">
        <f>HYPERLINK("https://www.walmart.com/ip/3885741609", "3885741609")</f>
        <v/>
      </c>
      <c r="B490" t="inlineStr">
        <is>
          <t>Kato Outdoors Waterproof Throw Blanket, Windproof Sherpa Fleece Blanket for Boat, Traveling, Camping, Hiking, and Football, Machine Washable, Navy/Grey, 66'' x 90''</t>
        </is>
      </c>
      <c r="C490" t="inlineStr">
        <is>
          <t>1KTBW669NYGY</t>
        </is>
      </c>
      <c r="D490" t="inlineStr">
        <is>
          <t>Throws</t>
        </is>
      </c>
      <c r="E490" t="inlineStr">
        <is>
          <t>Kato</t>
        </is>
      </c>
      <c r="F490" t="inlineStr">
        <is>
          <t>Q2-Target</t>
        </is>
      </c>
      <c r="G490" s="48" t="n">
        <v>0</v>
      </c>
      <c r="H490" s="48" t="n">
        <v>0</v>
      </c>
      <c r="I490" s="48" t="n">
        <v>0</v>
      </c>
      <c r="J490" s="48" t="n">
        <v>0</v>
      </c>
      <c r="K490" s="49" t="n">
        <v>0</v>
      </c>
      <c r="L490" s="49" t="n">
        <v>0</v>
      </c>
      <c r="M490" s="49" t="n">
        <v>0</v>
      </c>
      <c r="N490" s="49" t="n">
        <v>0</v>
      </c>
      <c r="O490" s="49" t="n">
        <v>0</v>
      </c>
      <c r="P490" s="49" t="n">
        <v>0</v>
      </c>
      <c r="Q490" s="49" t="n">
        <v>0</v>
      </c>
      <c r="R490" s="49" t="n">
        <v>0</v>
      </c>
      <c r="S490" s="50" t="n">
        <v>0</v>
      </c>
      <c r="T490" s="50" t="n">
        <v>0</v>
      </c>
      <c r="U490" s="50" t="n">
        <v>0</v>
      </c>
      <c r="V490" s="50" t="n">
        <v>0</v>
      </c>
      <c r="W490" s="51" t="n">
        <v>0</v>
      </c>
      <c r="X490" s="51" t="n">
        <v>3</v>
      </c>
      <c r="Y490" s="51" t="n">
        <v>0</v>
      </c>
      <c r="Z490" s="51" t="n">
        <v>0</v>
      </c>
      <c r="AA490" s="52" t="n">
        <v>0</v>
      </c>
      <c r="AB490" s="52" t="n">
        <v>0.71</v>
      </c>
      <c r="AC490" s="52" t="n">
        <v>0</v>
      </c>
      <c r="AD490" s="52" t="n">
        <v>0</v>
      </c>
      <c r="AE490" s="52" t="n">
        <v>0</v>
      </c>
      <c r="AF490" s="52" t="n">
        <v>0</v>
      </c>
      <c r="AG490" s="52" t="n">
        <v>0</v>
      </c>
      <c r="AH490" s="52" t="n">
        <v>0</v>
      </c>
      <c r="AI490" s="52" t="n">
        <v>0</v>
      </c>
      <c r="AJ490" s="52" t="n">
        <v>0</v>
      </c>
      <c r="AK490" s="52" t="n">
        <v>0</v>
      </c>
      <c r="AL490" s="52" t="n">
        <v>0</v>
      </c>
      <c r="AM490" s="53" t="n">
        <v>0</v>
      </c>
      <c r="AN490" s="53" t="n">
        <v>0.0055</v>
      </c>
      <c r="AO490" s="53" t="n">
        <v>0</v>
      </c>
      <c r="AP490" s="53" t="n">
        <v>0</v>
      </c>
      <c r="AQ490" s="52" t="n">
        <v>0</v>
      </c>
      <c r="AR490" s="52" t="n">
        <v>0.2366666666666667</v>
      </c>
      <c r="AS490" s="52" t="n">
        <v>0</v>
      </c>
      <c r="AT490" s="52" t="n">
        <v>0</v>
      </c>
      <c r="AU490" s="53" t="n">
        <v>0</v>
      </c>
      <c r="AV490" s="53" t="n">
        <v>0</v>
      </c>
      <c r="AW490" s="53" t="n">
        <v>0</v>
      </c>
      <c r="AX490" s="53" t="n">
        <v>0</v>
      </c>
      <c r="AY490" s="52" t="n">
        <v>0</v>
      </c>
      <c r="AZ490" s="52" t="n">
        <v>0</v>
      </c>
      <c r="BA490" s="52" t="n">
        <v>0</v>
      </c>
      <c r="BB490" s="52" t="n">
        <v>0</v>
      </c>
      <c r="BC490" s="51" t="n">
        <v>112</v>
      </c>
      <c r="BD490" s="51" t="n">
        <v>546</v>
      </c>
      <c r="BE490" s="51" t="n">
        <v>0</v>
      </c>
      <c r="BF490" s="51" t="n">
        <v>33</v>
      </c>
    </row>
    <row r="491">
      <c r="A491">
        <f>HYPERLINK("https://www.walmart.com/ip/389368673", "389368673")</f>
        <v/>
      </c>
      <c r="B491" t="inlineStr">
        <is>
          <t>Cute Child Cotton Hooded Poncho Towels Mermaid Cartoon Changing Robe Swimmer Outdoor Beach 23” x 52” By Tirrinia</t>
        </is>
      </c>
      <c r="C491" t="inlineStr">
        <is>
          <t>1TRBR200-MM01</t>
        </is>
      </c>
      <c r="D491" t="inlineStr">
        <is>
          <t>Towels &amp; Washcloths</t>
        </is>
      </c>
      <c r="E491" t="inlineStr">
        <is>
          <t>Tirrinia</t>
        </is>
      </c>
      <c r="F491" t="inlineStr">
        <is>
          <t>Q2-Target,Baby days,Beach Robe Camp</t>
        </is>
      </c>
      <c r="G491" s="48" t="n">
        <v>0</v>
      </c>
      <c r="H491" s="48" t="n">
        <v>0</v>
      </c>
      <c r="I491" s="48" t="n">
        <v>0</v>
      </c>
      <c r="J491" s="48" t="n">
        <v>0</v>
      </c>
      <c r="K491" s="49" t="n">
        <v>0</v>
      </c>
      <c r="L491" s="49" t="n">
        <v>0</v>
      </c>
      <c r="M491" s="49" t="n">
        <v>0</v>
      </c>
      <c r="N491" s="49" t="n">
        <v>0</v>
      </c>
      <c r="O491" s="49" t="n">
        <v>0</v>
      </c>
      <c r="P491" s="49" t="n">
        <v>0</v>
      </c>
      <c r="Q491" s="49" t="n">
        <v>0</v>
      </c>
      <c r="R491" s="49" t="n">
        <v>0</v>
      </c>
      <c r="S491" s="50" t="n">
        <v>0</v>
      </c>
      <c r="T491" s="50" t="n">
        <v>0</v>
      </c>
      <c r="U491" s="50" t="n">
        <v>0</v>
      </c>
      <c r="V491" s="50" t="n">
        <v>0</v>
      </c>
      <c r="W491" s="51" t="n">
        <v>0</v>
      </c>
      <c r="X491" s="51" t="n">
        <v>0</v>
      </c>
      <c r="Y491" s="51" t="n">
        <v>0</v>
      </c>
      <c r="Z491" s="51" t="n">
        <v>0</v>
      </c>
      <c r="AA491" s="52" t="n">
        <v>0</v>
      </c>
      <c r="AB491" s="52" t="n">
        <v>0</v>
      </c>
      <c r="AC491" s="52" t="n">
        <v>0</v>
      </c>
      <c r="AD491" s="52" t="n">
        <v>0</v>
      </c>
      <c r="AE491" s="52" t="n">
        <v>0</v>
      </c>
      <c r="AF491" s="52" t="n">
        <v>0</v>
      </c>
      <c r="AG491" s="52" t="n">
        <v>0</v>
      </c>
      <c r="AH491" s="52" t="n">
        <v>0</v>
      </c>
      <c r="AI491" s="52" t="n">
        <v>0</v>
      </c>
      <c r="AJ491" s="52" t="n">
        <v>0</v>
      </c>
      <c r="AK491" s="52" t="n">
        <v>0</v>
      </c>
      <c r="AL491" s="52" t="n">
        <v>0</v>
      </c>
      <c r="AM491" s="53" t="n">
        <v>0</v>
      </c>
      <c r="AN491" s="53" t="n">
        <v>0</v>
      </c>
      <c r="AO491" s="53" t="n">
        <v>0</v>
      </c>
      <c r="AP491" s="53" t="n">
        <v>0</v>
      </c>
      <c r="AQ491" s="52" t="n">
        <v>0</v>
      </c>
      <c r="AR491" s="52" t="n">
        <v>0</v>
      </c>
      <c r="AS491" s="52" t="n">
        <v>0</v>
      </c>
      <c r="AT491" s="52" t="n">
        <v>0</v>
      </c>
      <c r="AU491" s="53" t="n">
        <v>0</v>
      </c>
      <c r="AV491" s="53" t="n">
        <v>0</v>
      </c>
      <c r="AW491" s="53" t="n">
        <v>0</v>
      </c>
      <c r="AX491" s="53" t="n">
        <v>0</v>
      </c>
      <c r="AY491" s="52" t="n">
        <v>0</v>
      </c>
      <c r="AZ491" s="52" t="n">
        <v>0</v>
      </c>
      <c r="BA491" s="52" t="n">
        <v>0</v>
      </c>
      <c r="BB491" s="52" t="n">
        <v>0</v>
      </c>
      <c r="BC491" s="51" t="n">
        <v>0</v>
      </c>
      <c r="BD491" s="51" t="n">
        <v>0</v>
      </c>
      <c r="BE491" s="51" t="n">
        <v>0</v>
      </c>
      <c r="BF491" s="51" t="n">
        <v>0</v>
      </c>
    </row>
    <row r="492">
      <c r="A492">
        <f>HYPERLINK("https://www.walmart.com/ip/389899458", "389899458")</f>
        <v/>
      </c>
      <c r="B492" t="inlineStr">
        <is>
          <t>Catalonia Fleece Wearable Blanket Poncho for Adult Women Men, Wrap Blanket Cape with Pocket | Warm, Soft, Cozy, Snuggly, Comfort Gift, No Sleeves | All-Season, Gift Idea</t>
        </is>
      </c>
      <c r="C492" t="inlineStr">
        <is>
          <t>1CTBP200PK</t>
        </is>
      </c>
      <c r="D492" t="inlineStr">
        <is>
          <t>Throws</t>
        </is>
      </c>
      <c r="E492" t="inlineStr">
        <is>
          <t>Catalonia</t>
        </is>
      </c>
      <c r="F492" t="inlineStr">
        <is>
          <t>Q2-Target,Hero 5 Holidays,WFS,WFS Item</t>
        </is>
      </c>
      <c r="G492" s="48" t="n">
        <v>0</v>
      </c>
      <c r="H492" s="48" t="n">
        <v>0</v>
      </c>
      <c r="I492" s="48" t="n">
        <v>0</v>
      </c>
      <c r="J492" s="48" t="n">
        <v>0</v>
      </c>
      <c r="K492" s="49" t="n">
        <v>0</v>
      </c>
      <c r="L492" s="49" t="n">
        <v>0</v>
      </c>
      <c r="M492" s="49" t="n">
        <v>0</v>
      </c>
      <c r="N492" s="49" t="n">
        <v>0</v>
      </c>
      <c r="O492" s="49" t="n">
        <v>0</v>
      </c>
      <c r="P492" s="49" t="n">
        <v>0</v>
      </c>
      <c r="Q492" s="49" t="n">
        <v>0</v>
      </c>
      <c r="R492" s="49" t="n">
        <v>0</v>
      </c>
      <c r="S492" s="50" t="n">
        <v>0</v>
      </c>
      <c r="T492" s="50" t="n">
        <v>0</v>
      </c>
      <c r="U492" s="50" t="n">
        <v>0</v>
      </c>
      <c r="V492" s="50" t="n">
        <v>0</v>
      </c>
      <c r="W492" s="51" t="n">
        <v>0</v>
      </c>
      <c r="X492" s="51" t="n">
        <v>0</v>
      </c>
      <c r="Y492" s="51" t="n">
        <v>0</v>
      </c>
      <c r="Z492" s="51" t="n">
        <v>0</v>
      </c>
      <c r="AA492" s="52" t="n">
        <v>0</v>
      </c>
      <c r="AB492" s="52" t="n">
        <v>0</v>
      </c>
      <c r="AC492" s="52" t="n">
        <v>0</v>
      </c>
      <c r="AD492" s="52" t="n">
        <v>0</v>
      </c>
      <c r="AE492" s="52" t="n">
        <v>0</v>
      </c>
      <c r="AF492" s="52" t="n">
        <v>0</v>
      </c>
      <c r="AG492" s="52" t="n">
        <v>0</v>
      </c>
      <c r="AH492" s="52" t="n">
        <v>0</v>
      </c>
      <c r="AI492" s="52" t="n">
        <v>0</v>
      </c>
      <c r="AJ492" s="52" t="n">
        <v>0</v>
      </c>
      <c r="AK492" s="52" t="n">
        <v>0</v>
      </c>
      <c r="AL492" s="52" t="n">
        <v>0</v>
      </c>
      <c r="AM492" s="53" t="n">
        <v>0</v>
      </c>
      <c r="AN492" s="53" t="n">
        <v>0</v>
      </c>
      <c r="AO492" s="53" t="n">
        <v>0</v>
      </c>
      <c r="AP492" s="53" t="n">
        <v>0</v>
      </c>
      <c r="AQ492" s="52" t="n">
        <v>0</v>
      </c>
      <c r="AR492" s="52" t="n">
        <v>0</v>
      </c>
      <c r="AS492" s="52" t="n">
        <v>0</v>
      </c>
      <c r="AT492" s="52" t="n">
        <v>0</v>
      </c>
      <c r="AU492" s="53" t="n">
        <v>0</v>
      </c>
      <c r="AV492" s="53" t="n">
        <v>0</v>
      </c>
      <c r="AW492" s="53" t="n">
        <v>0</v>
      </c>
      <c r="AX492" s="53" t="n">
        <v>0</v>
      </c>
      <c r="AY492" s="52" t="n">
        <v>0</v>
      </c>
      <c r="AZ492" s="52" t="n">
        <v>0</v>
      </c>
      <c r="BA492" s="52" t="n">
        <v>0</v>
      </c>
      <c r="BB492" s="52" t="n">
        <v>0</v>
      </c>
      <c r="BC492" s="51" t="n">
        <v>0</v>
      </c>
      <c r="BD492" s="51" t="n">
        <v>0</v>
      </c>
      <c r="BE492" s="51" t="n">
        <v>0</v>
      </c>
      <c r="BF492" s="51" t="n">
        <v>0</v>
      </c>
    </row>
    <row r="493">
      <c r="A493">
        <f>HYPERLINK("https://www.walmart.com/ip/390468618", "390468618")</f>
        <v/>
      </c>
      <c r="B493" t="inlineStr">
        <is>
          <t>KC Caps® Sports Unisex plain Golf Flex Sandwich Baseball Cap Fitted Cotton</t>
        </is>
      </c>
      <c r="C493" t="inlineStr">
        <is>
          <t>KC Caps 8313 putty</t>
        </is>
      </c>
      <c r="D493" t="inlineStr">
        <is>
          <t>Golf Hats</t>
        </is>
      </c>
      <c r="E493" t="inlineStr">
        <is>
          <t>KC Caps</t>
        </is>
      </c>
      <c r="F493" t="inlineStr">
        <is>
          <t>Optimized</t>
        </is>
      </c>
      <c r="G493" s="48" t="n">
        <v>0</v>
      </c>
      <c r="H493" s="48" t="n">
        <v>0</v>
      </c>
      <c r="I493" s="48" t="n">
        <v>0</v>
      </c>
      <c r="J493" s="48" t="n">
        <v>0</v>
      </c>
      <c r="K493" s="49" t="n">
        <v>0</v>
      </c>
      <c r="L493" s="49" t="n">
        <v>0</v>
      </c>
      <c r="M493" s="49" t="n">
        <v>0</v>
      </c>
      <c r="N493" s="49" t="n">
        <v>0</v>
      </c>
      <c r="O493" s="49" t="n">
        <v>0</v>
      </c>
      <c r="P493" s="49" t="n">
        <v>0</v>
      </c>
      <c r="Q493" s="49" t="n">
        <v>0</v>
      </c>
      <c r="R493" s="49" t="n">
        <v>0</v>
      </c>
      <c r="S493" s="50" t="n">
        <v>0</v>
      </c>
      <c r="T493" s="50" t="n">
        <v>0</v>
      </c>
      <c r="U493" s="50" t="n">
        <v>0</v>
      </c>
      <c r="V493" s="50" t="n">
        <v>0</v>
      </c>
      <c r="W493" s="51" t="n">
        <v>0</v>
      </c>
      <c r="X493" s="51" t="n">
        <v>0</v>
      </c>
      <c r="Y493" s="51" t="n">
        <v>0</v>
      </c>
      <c r="Z493" s="51" t="n">
        <v>0</v>
      </c>
      <c r="AA493" s="52" t="n">
        <v>0</v>
      </c>
      <c r="AB493" s="52" t="n">
        <v>0</v>
      </c>
      <c r="AC493" s="52" t="n">
        <v>0</v>
      </c>
      <c r="AD493" s="52" t="n">
        <v>0</v>
      </c>
      <c r="AE493" s="52" t="n">
        <v>0</v>
      </c>
      <c r="AF493" s="52" t="n">
        <v>0</v>
      </c>
      <c r="AG493" s="52" t="n">
        <v>0</v>
      </c>
      <c r="AH493" s="52" t="n">
        <v>0</v>
      </c>
      <c r="AI493" s="52" t="n">
        <v>0</v>
      </c>
      <c r="AJ493" s="52" t="n">
        <v>0</v>
      </c>
      <c r="AK493" s="52" t="n">
        <v>0</v>
      </c>
      <c r="AL493" s="52" t="n">
        <v>0</v>
      </c>
      <c r="AM493" s="53" t="n">
        <v>0</v>
      </c>
      <c r="AN493" s="53" t="n">
        <v>0</v>
      </c>
      <c r="AO493" s="53" t="n">
        <v>0</v>
      </c>
      <c r="AP493" s="53" t="n">
        <v>0</v>
      </c>
      <c r="AQ493" s="52" t="n">
        <v>0</v>
      </c>
      <c r="AR493" s="52" t="n">
        <v>0</v>
      </c>
      <c r="AS493" s="52" t="n">
        <v>0</v>
      </c>
      <c r="AT493" s="52" t="n">
        <v>0</v>
      </c>
      <c r="AU493" s="53" t="n">
        <v>0</v>
      </c>
      <c r="AV493" s="53" t="n">
        <v>0</v>
      </c>
      <c r="AW493" s="53" t="n">
        <v>0</v>
      </c>
      <c r="AX493" s="53" t="n">
        <v>0</v>
      </c>
      <c r="AY493" s="52" t="n">
        <v>0</v>
      </c>
      <c r="AZ493" s="52" t="n">
        <v>0</v>
      </c>
      <c r="BA493" s="52" t="n">
        <v>0</v>
      </c>
      <c r="BB493" s="52" t="n">
        <v>0</v>
      </c>
      <c r="BC493" s="51" t="n">
        <v>0</v>
      </c>
      <c r="BD493" s="51" t="n">
        <v>0</v>
      </c>
      <c r="BE493" s="51" t="n">
        <v>0</v>
      </c>
      <c r="BF493" s="51" t="n">
        <v>0</v>
      </c>
    </row>
    <row r="494">
      <c r="A494">
        <f>HYPERLINK("https://www.walmart.com/ip/390487835", "390487835")</f>
        <v/>
      </c>
      <c r="B494" t="inlineStr">
        <is>
          <t>Catalonia Queen Size Quilt Set, Lightweight Bedspread for Summer and Spring, 3 Pieces Bedding Coverlet, 1 Quilt and 2 Pillow Shams, Latte Froest Pattern, 90’’ x 96’’</t>
        </is>
      </c>
      <c r="C494" t="inlineStr">
        <is>
          <t>1CTBQ202QF-LTWT</t>
        </is>
      </c>
      <c r="D494" t="inlineStr">
        <is>
          <t>Bedding Sets</t>
        </is>
      </c>
      <c r="E494" t="inlineStr">
        <is>
          <t>Catalonia</t>
        </is>
      </c>
      <c r="F494" t="inlineStr">
        <is>
          <t>Optimized</t>
        </is>
      </c>
      <c r="G494" s="48" t="n">
        <v>0</v>
      </c>
      <c r="H494" s="48" t="n">
        <v>0</v>
      </c>
      <c r="I494" s="48" t="n">
        <v>22.99</v>
      </c>
      <c r="J494" s="48" t="n">
        <v>0</v>
      </c>
      <c r="K494" s="49" t="n">
        <v>0</v>
      </c>
      <c r="L494" s="49" t="n">
        <v>0</v>
      </c>
      <c r="M494" s="49" t="n">
        <v>1</v>
      </c>
      <c r="N494" s="49" t="n">
        <v>0</v>
      </c>
      <c r="O494" s="49" t="n">
        <v>3</v>
      </c>
      <c r="P494" s="49" t="n">
        <v>3</v>
      </c>
      <c r="Q494" s="49" t="n">
        <v>0</v>
      </c>
      <c r="R494" s="49" t="n">
        <v>1</v>
      </c>
      <c r="S494" s="50" t="n">
        <v>0</v>
      </c>
      <c r="T494" s="50" t="n">
        <v>0</v>
      </c>
      <c r="U494" s="50" t="n">
        <v>0</v>
      </c>
      <c r="V494" s="50" t="n">
        <v>0</v>
      </c>
      <c r="W494" s="51" t="n">
        <v>0</v>
      </c>
      <c r="X494" s="51" t="n">
        <v>0</v>
      </c>
      <c r="Y494" s="51" t="n">
        <v>0</v>
      </c>
      <c r="Z494" s="51" t="n">
        <v>0</v>
      </c>
      <c r="AA494" s="52" t="n">
        <v>0</v>
      </c>
      <c r="AB494" s="52" t="n">
        <v>0</v>
      </c>
      <c r="AC494" s="52" t="n">
        <v>0</v>
      </c>
      <c r="AD494" s="52" t="n">
        <v>0</v>
      </c>
      <c r="AE494" s="52" t="n">
        <v>0</v>
      </c>
      <c r="AF494" s="52" t="n">
        <v>0</v>
      </c>
      <c r="AG494" s="52" t="n">
        <v>0</v>
      </c>
      <c r="AH494" s="52" t="n">
        <v>0</v>
      </c>
      <c r="AI494" s="52" t="n">
        <v>0</v>
      </c>
      <c r="AJ494" s="52" t="n">
        <v>0</v>
      </c>
      <c r="AK494" s="52" t="n">
        <v>0</v>
      </c>
      <c r="AL494" s="52" t="n">
        <v>0</v>
      </c>
      <c r="AM494" s="53" t="n">
        <v>0</v>
      </c>
      <c r="AN494" s="53" t="n">
        <v>0</v>
      </c>
      <c r="AO494" s="53" t="n">
        <v>0</v>
      </c>
      <c r="AP494" s="53" t="n">
        <v>0</v>
      </c>
      <c r="AQ494" s="52" t="n">
        <v>0</v>
      </c>
      <c r="AR494" s="52" t="n">
        <v>0</v>
      </c>
      <c r="AS494" s="52" t="n">
        <v>0</v>
      </c>
      <c r="AT494" s="52" t="n">
        <v>0</v>
      </c>
      <c r="AU494" s="53" t="n">
        <v>0</v>
      </c>
      <c r="AV494" s="53" t="n">
        <v>0</v>
      </c>
      <c r="AW494" s="53" t="n">
        <v>0</v>
      </c>
      <c r="AX494" s="53" t="n">
        <v>0</v>
      </c>
      <c r="AY494" s="52" t="n">
        <v>0</v>
      </c>
      <c r="AZ494" s="52" t="n">
        <v>0</v>
      </c>
      <c r="BA494" s="52" t="n">
        <v>22.99</v>
      </c>
      <c r="BB494" s="52" t="n">
        <v>0</v>
      </c>
      <c r="BC494" s="51" t="n">
        <v>0</v>
      </c>
      <c r="BD494" s="51" t="n">
        <v>0</v>
      </c>
      <c r="BE494" s="51" t="n">
        <v>0</v>
      </c>
      <c r="BF494" s="51" t="n">
        <v>0</v>
      </c>
    </row>
    <row r="495">
      <c r="A495">
        <f>HYPERLINK("https://www.walmart.com/ip/381059827", "381059827")</f>
        <v/>
      </c>
      <c r="B495" t="inlineStr">
        <is>
          <t>Flyingstar Insulated Lunch Bag, Reusable Tote Bag for Women &amp; Men &amp; Kids, Fashionable Large Cooler Lunch Bag for Working/School/Picnic</t>
        </is>
      </c>
      <c r="C495" t="inlineStr">
        <is>
          <t>1WMLB703BRFL</t>
        </is>
      </c>
      <c r="D495" t="inlineStr">
        <is>
          <t>Reusable Lunch Bags &amp; Boxes</t>
        </is>
      </c>
      <c r="E495" t="inlineStr">
        <is>
          <t>Flyingstar</t>
        </is>
      </c>
      <c r="F495" t="inlineStr">
        <is>
          <t>Lunch Bag,Optimized,Lunch Bags</t>
        </is>
      </c>
      <c r="G495" s="48" t="n">
        <v>0</v>
      </c>
      <c r="H495" s="48" t="n">
        <v>0</v>
      </c>
      <c r="I495" s="48" t="n">
        <v>0</v>
      </c>
      <c r="J495" s="48" t="n">
        <v>0</v>
      </c>
      <c r="K495" s="49" t="n">
        <v>0</v>
      </c>
      <c r="L495" s="49" t="n">
        <v>0</v>
      </c>
      <c r="M495" s="49" t="n">
        <v>0</v>
      </c>
      <c r="N495" s="49" t="n">
        <v>0</v>
      </c>
      <c r="O495" s="49" t="n">
        <v>0</v>
      </c>
      <c r="P495" s="49" t="n">
        <v>0</v>
      </c>
      <c r="Q495" s="49" t="n">
        <v>0</v>
      </c>
      <c r="R495" s="49" t="n">
        <v>0</v>
      </c>
      <c r="S495" s="50" t="n">
        <v>0</v>
      </c>
      <c r="T495" s="50" t="n">
        <v>0</v>
      </c>
      <c r="U495" s="50" t="n">
        <v>0</v>
      </c>
      <c r="V495" s="50" t="n">
        <v>0</v>
      </c>
      <c r="W495" s="51" t="n">
        <v>0</v>
      </c>
      <c r="X495" s="51" t="n">
        <v>0</v>
      </c>
      <c r="Y495" s="51" t="n">
        <v>0</v>
      </c>
      <c r="Z495" s="51" t="n">
        <v>0</v>
      </c>
      <c r="AA495" s="52" t="n">
        <v>0</v>
      </c>
      <c r="AB495" s="52" t="n">
        <v>0</v>
      </c>
      <c r="AC495" s="52" t="n">
        <v>0</v>
      </c>
      <c r="AD495" s="52" t="n">
        <v>0</v>
      </c>
      <c r="AE495" s="52" t="n">
        <v>0</v>
      </c>
      <c r="AF495" s="52" t="n">
        <v>0</v>
      </c>
      <c r="AG495" s="52" t="n">
        <v>0</v>
      </c>
      <c r="AH495" s="52" t="n">
        <v>0</v>
      </c>
      <c r="AI495" s="52" t="n">
        <v>0</v>
      </c>
      <c r="AJ495" s="52" t="n">
        <v>0</v>
      </c>
      <c r="AK495" s="52" t="n">
        <v>0</v>
      </c>
      <c r="AL495" s="52" t="n">
        <v>0</v>
      </c>
      <c r="AM495" s="53" t="n">
        <v>0</v>
      </c>
      <c r="AN495" s="53" t="n">
        <v>0</v>
      </c>
      <c r="AO495" s="53" t="n">
        <v>0</v>
      </c>
      <c r="AP495" s="53" t="n">
        <v>0</v>
      </c>
      <c r="AQ495" s="52" t="n">
        <v>0</v>
      </c>
      <c r="AR495" s="52" t="n">
        <v>0</v>
      </c>
      <c r="AS495" s="52" t="n">
        <v>0</v>
      </c>
      <c r="AT495" s="52" t="n">
        <v>0</v>
      </c>
      <c r="AU495" s="53" t="n">
        <v>0</v>
      </c>
      <c r="AV495" s="53" t="n">
        <v>0</v>
      </c>
      <c r="AW495" s="53" t="n">
        <v>0</v>
      </c>
      <c r="AX495" s="53" t="n">
        <v>0</v>
      </c>
      <c r="AY495" s="52" t="n">
        <v>0</v>
      </c>
      <c r="AZ495" s="52" t="n">
        <v>0</v>
      </c>
      <c r="BA495" s="52" t="n">
        <v>0</v>
      </c>
      <c r="BB495" s="52" t="n">
        <v>0</v>
      </c>
      <c r="BC495" s="51" t="n">
        <v>0</v>
      </c>
      <c r="BD495" s="51" t="n">
        <v>0</v>
      </c>
      <c r="BE495" s="51" t="n">
        <v>0</v>
      </c>
      <c r="BF495" s="51" t="n">
        <v>0</v>
      </c>
    </row>
    <row r="496">
      <c r="A496">
        <f>HYPERLINK("https://www.walmart.com/ip/380829482", "380829482")</f>
        <v/>
      </c>
      <c r="B496" t="inlineStr">
        <is>
          <t>7 Piece Wine Opener set, Wine Enthusiast Accessory Gift Set Includes: Rabbit Corkscrew, Foil Cutter, Aerator Pourer</t>
        </is>
      </c>
      <c r="C496" t="inlineStr">
        <is>
          <t>1KTWO700BK2</t>
        </is>
      </c>
      <c r="D496" t="inlineStr">
        <is>
          <t>Corkscrews &amp; Wine Bottle Openers</t>
        </is>
      </c>
      <c r="E496" t="inlineStr">
        <is>
          <t>Kato</t>
        </is>
      </c>
      <c r="F496" t="inlineStr">
        <is>
          <t>Wine,Christmas,Optimized,Valentine</t>
        </is>
      </c>
      <c r="G496" s="48" t="n">
        <v>0</v>
      </c>
      <c r="H496" s="48" t="n">
        <v>0</v>
      </c>
      <c r="I496" s="48" t="n">
        <v>0</v>
      </c>
      <c r="J496" s="48" t="n">
        <v>0</v>
      </c>
      <c r="K496" s="49" t="n">
        <v>0</v>
      </c>
      <c r="L496" s="49" t="n">
        <v>0</v>
      </c>
      <c r="M496" s="49" t="n">
        <v>0</v>
      </c>
      <c r="N496" s="49" t="n">
        <v>0</v>
      </c>
      <c r="O496" s="49" t="n">
        <v>0</v>
      </c>
      <c r="P496" s="49" t="n">
        <v>0</v>
      </c>
      <c r="Q496" s="49" t="n">
        <v>0</v>
      </c>
      <c r="R496" s="49" t="n">
        <v>0</v>
      </c>
      <c r="S496" s="50" t="n">
        <v>0</v>
      </c>
      <c r="T496" s="50" t="n">
        <v>0</v>
      </c>
      <c r="U496" s="50" t="n">
        <v>0</v>
      </c>
      <c r="V496" s="50" t="n">
        <v>0</v>
      </c>
      <c r="W496" s="51" t="n">
        <v>0</v>
      </c>
      <c r="X496" s="51" t="n">
        <v>0</v>
      </c>
      <c r="Y496" s="51" t="n">
        <v>0</v>
      </c>
      <c r="Z496" s="51" t="n">
        <v>0</v>
      </c>
      <c r="AA496" s="52" t="n">
        <v>0</v>
      </c>
      <c r="AB496" s="52" t="n">
        <v>0</v>
      </c>
      <c r="AC496" s="52" t="n">
        <v>0</v>
      </c>
      <c r="AD496" s="52" t="n">
        <v>0</v>
      </c>
      <c r="AE496" s="52" t="n">
        <v>0</v>
      </c>
      <c r="AF496" s="52" t="n">
        <v>0</v>
      </c>
      <c r="AG496" s="52" t="n">
        <v>0</v>
      </c>
      <c r="AH496" s="52" t="n">
        <v>0</v>
      </c>
      <c r="AI496" s="52" t="n">
        <v>0</v>
      </c>
      <c r="AJ496" s="52" t="n">
        <v>0</v>
      </c>
      <c r="AK496" s="52" t="n">
        <v>0</v>
      </c>
      <c r="AL496" s="52" t="n">
        <v>0</v>
      </c>
      <c r="AM496" s="53" t="n">
        <v>0</v>
      </c>
      <c r="AN496" s="53" t="n">
        <v>0</v>
      </c>
      <c r="AO496" s="53" t="n">
        <v>0</v>
      </c>
      <c r="AP496" s="53" t="n">
        <v>0</v>
      </c>
      <c r="AQ496" s="52" t="n">
        <v>0</v>
      </c>
      <c r="AR496" s="52" t="n">
        <v>0</v>
      </c>
      <c r="AS496" s="52" t="n">
        <v>0</v>
      </c>
      <c r="AT496" s="52" t="n">
        <v>0</v>
      </c>
      <c r="AU496" s="53" t="n">
        <v>0</v>
      </c>
      <c r="AV496" s="53" t="n">
        <v>0</v>
      </c>
      <c r="AW496" s="53" t="n">
        <v>0</v>
      </c>
      <c r="AX496" s="53" t="n">
        <v>0</v>
      </c>
      <c r="AY496" s="52" t="n">
        <v>0</v>
      </c>
      <c r="AZ496" s="52" t="n">
        <v>0</v>
      </c>
      <c r="BA496" s="52" t="n">
        <v>0</v>
      </c>
      <c r="BB496" s="52" t="n">
        <v>0</v>
      </c>
      <c r="BC496" s="51" t="n">
        <v>0</v>
      </c>
      <c r="BD496" s="51" t="n">
        <v>0</v>
      </c>
      <c r="BE496" s="51" t="n">
        <v>0</v>
      </c>
      <c r="BF496" s="51" t="n">
        <v>0</v>
      </c>
    </row>
    <row r="497">
      <c r="A497">
        <f>HYPERLINK("https://www.walmart.com/ip/380108659", "380108659")</f>
        <v/>
      </c>
      <c r="B497" t="inlineStr">
        <is>
          <t>Sherpa Blanket, Throw Blanket, Sherpa Blanket Super Soft Warm Fuzzy Snowflake Blanket Reversible for Family 60"x50" by Catalonia</t>
        </is>
      </c>
      <c r="C497" t="inlineStr">
        <is>
          <t>1CTBF390RD</t>
        </is>
      </c>
      <c r="D497" t="inlineStr">
        <is>
          <t>Throws</t>
        </is>
      </c>
      <c r="E497" t="inlineStr">
        <is>
          <t>Catalonia</t>
        </is>
      </c>
      <c r="F497" t="inlineStr">
        <is>
          <t>Batch 1 - TR</t>
        </is>
      </c>
      <c r="G497" s="48" t="n">
        <v>0</v>
      </c>
      <c r="H497" s="48" t="n">
        <v>0</v>
      </c>
      <c r="I497" s="48" t="n">
        <v>0</v>
      </c>
      <c r="J497" s="48" t="n">
        <v>0</v>
      </c>
      <c r="K497" s="49" t="n">
        <v>0</v>
      </c>
      <c r="L497" s="49" t="n">
        <v>0</v>
      </c>
      <c r="M497" s="49" t="n">
        <v>0</v>
      </c>
      <c r="N497" s="49" t="n">
        <v>0</v>
      </c>
      <c r="O497" s="49" t="n">
        <v>0</v>
      </c>
      <c r="P497" s="49" t="n">
        <v>0</v>
      </c>
      <c r="Q497" s="49" t="n">
        <v>0</v>
      </c>
      <c r="R497" s="49" t="n">
        <v>0</v>
      </c>
      <c r="S497" s="50" t="n">
        <v>0</v>
      </c>
      <c r="T497" s="50" t="n">
        <v>0</v>
      </c>
      <c r="U497" s="50" t="n">
        <v>0</v>
      </c>
      <c r="V497" s="50" t="n">
        <v>0</v>
      </c>
      <c r="W497" s="51" t="n">
        <v>0</v>
      </c>
      <c r="X497" s="51" t="n">
        <v>0</v>
      </c>
      <c r="Y497" s="51" t="n">
        <v>0</v>
      </c>
      <c r="Z497" s="51" t="n">
        <v>0</v>
      </c>
      <c r="AA497" s="52" t="n">
        <v>0</v>
      </c>
      <c r="AB497" s="52" t="n">
        <v>0</v>
      </c>
      <c r="AC497" s="52" t="n">
        <v>0</v>
      </c>
      <c r="AD497" s="52" t="n">
        <v>0</v>
      </c>
      <c r="AE497" s="52" t="n">
        <v>0</v>
      </c>
      <c r="AF497" s="52" t="n">
        <v>0</v>
      </c>
      <c r="AG497" s="52" t="n">
        <v>0</v>
      </c>
      <c r="AH497" s="52" t="n">
        <v>0</v>
      </c>
      <c r="AI497" s="52" t="n">
        <v>0</v>
      </c>
      <c r="AJ497" s="52" t="n">
        <v>0</v>
      </c>
      <c r="AK497" s="52" t="n">
        <v>0</v>
      </c>
      <c r="AL497" s="52" t="n">
        <v>0</v>
      </c>
      <c r="AM497" s="53" t="n">
        <v>0</v>
      </c>
      <c r="AN497" s="53" t="n">
        <v>0</v>
      </c>
      <c r="AO497" s="53" t="n">
        <v>0</v>
      </c>
      <c r="AP497" s="53" t="n">
        <v>0</v>
      </c>
      <c r="AQ497" s="52" t="n">
        <v>0</v>
      </c>
      <c r="AR497" s="52" t="n">
        <v>0</v>
      </c>
      <c r="AS497" s="52" t="n">
        <v>0</v>
      </c>
      <c r="AT497" s="52" t="n">
        <v>0</v>
      </c>
      <c r="AU497" s="53" t="n">
        <v>0</v>
      </c>
      <c r="AV497" s="53" t="n">
        <v>0</v>
      </c>
      <c r="AW497" s="53" t="n">
        <v>0</v>
      </c>
      <c r="AX497" s="53" t="n">
        <v>0</v>
      </c>
      <c r="AY497" s="52" t="n">
        <v>0</v>
      </c>
      <c r="AZ497" s="52" t="n">
        <v>0</v>
      </c>
      <c r="BA497" s="52" t="n">
        <v>0</v>
      </c>
      <c r="BB497" s="52" t="n">
        <v>0</v>
      </c>
      <c r="BC497" s="51" t="n">
        <v>0</v>
      </c>
      <c r="BD497" s="51" t="n">
        <v>0</v>
      </c>
      <c r="BE497" s="51" t="n">
        <v>0</v>
      </c>
      <c r="BF497" s="51" t="n">
        <v>0</v>
      </c>
    </row>
    <row r="498">
      <c r="A498">
        <f>HYPERLINK("https://www.walmart.com/ip/3783505054", "3783505054")</f>
        <v/>
      </c>
      <c r="B498" t="inlineStr">
        <is>
          <t>Tirrinia Corduroy Backpack Classic Travel Rucksack for Both Men and Women</t>
        </is>
      </c>
      <c r="C498" t="inlineStr">
        <is>
          <t>1TRBPK001OR</t>
        </is>
      </c>
      <c r="D498" t="inlineStr">
        <is>
          <t>Backpacks</t>
        </is>
      </c>
      <c r="E498" t="inlineStr">
        <is>
          <t>Tirrinia</t>
        </is>
      </c>
      <c r="G498" s="48" t="n">
        <v>0</v>
      </c>
      <c r="H498" s="48" t="n">
        <v>0</v>
      </c>
      <c r="I498" s="48" t="n">
        <v>0</v>
      </c>
      <c r="J498" s="48" t="n">
        <v>0</v>
      </c>
      <c r="K498" s="49" t="n">
        <v>0</v>
      </c>
      <c r="L498" s="49" t="n">
        <v>0</v>
      </c>
      <c r="M498" s="49" t="n">
        <v>0</v>
      </c>
      <c r="N498" s="49" t="n">
        <v>0</v>
      </c>
      <c r="O498" s="49" t="n">
        <v>0</v>
      </c>
      <c r="P498" s="49" t="n">
        <v>0</v>
      </c>
      <c r="Q498" s="49" t="n">
        <v>0</v>
      </c>
      <c r="R498" s="49" t="n">
        <v>0</v>
      </c>
      <c r="S498" s="50" t="n">
        <v>0</v>
      </c>
      <c r="T498" s="50" t="n">
        <v>0</v>
      </c>
      <c r="U498" s="50" t="n">
        <v>0</v>
      </c>
      <c r="V498" s="50" t="n">
        <v>0</v>
      </c>
      <c r="W498" s="51" t="n">
        <v>0</v>
      </c>
      <c r="X498" s="51" t="n">
        <v>0</v>
      </c>
      <c r="Y498" s="51" t="n">
        <v>0</v>
      </c>
      <c r="Z498" s="51" t="n">
        <v>0</v>
      </c>
      <c r="AA498" s="52" t="n">
        <v>0</v>
      </c>
      <c r="AB498" s="52" t="n">
        <v>0</v>
      </c>
      <c r="AC498" s="52" t="n">
        <v>0</v>
      </c>
      <c r="AD498" s="52" t="n">
        <v>0</v>
      </c>
      <c r="AE498" s="52" t="n">
        <v>0</v>
      </c>
      <c r="AF498" s="52" t="n">
        <v>0</v>
      </c>
      <c r="AG498" s="52" t="n">
        <v>0</v>
      </c>
      <c r="AH498" s="52" t="n">
        <v>0</v>
      </c>
      <c r="AI498" s="52" t="n">
        <v>0</v>
      </c>
      <c r="AJ498" s="52" t="n">
        <v>0</v>
      </c>
      <c r="AK498" s="52" t="n">
        <v>0</v>
      </c>
      <c r="AL498" s="52" t="n">
        <v>0</v>
      </c>
      <c r="AM498" s="53" t="n">
        <v>0</v>
      </c>
      <c r="AN498" s="53" t="n">
        <v>0</v>
      </c>
      <c r="AO498" s="53" t="n">
        <v>0</v>
      </c>
      <c r="AP498" s="53" t="n">
        <v>0</v>
      </c>
      <c r="AQ498" s="52" t="n">
        <v>0</v>
      </c>
      <c r="AR498" s="52" t="n">
        <v>0</v>
      </c>
      <c r="AS498" s="52" t="n">
        <v>0</v>
      </c>
      <c r="AT498" s="52" t="n">
        <v>0</v>
      </c>
      <c r="AU498" s="53" t="n">
        <v>0</v>
      </c>
      <c r="AV498" s="53" t="n">
        <v>0</v>
      </c>
      <c r="AW498" s="53" t="n">
        <v>0</v>
      </c>
      <c r="AX498" s="53" t="n">
        <v>0</v>
      </c>
      <c r="AY498" s="52" t="n">
        <v>0</v>
      </c>
      <c r="AZ498" s="52" t="n">
        <v>0</v>
      </c>
      <c r="BA498" s="52" t="n">
        <v>0</v>
      </c>
      <c r="BB498" s="52" t="n">
        <v>0</v>
      </c>
      <c r="BC498" s="51" t="n">
        <v>0</v>
      </c>
      <c r="BD498" s="51" t="n">
        <v>0</v>
      </c>
      <c r="BE498" s="51" t="n">
        <v>0</v>
      </c>
      <c r="BF498" s="51" t="n">
        <v>0</v>
      </c>
    </row>
    <row r="499">
      <c r="A499">
        <f>HYPERLINK("https://www.walmart.com/ip/372688321", "372688321")</f>
        <v/>
      </c>
      <c r="B499" t="inlineStr">
        <is>
          <t>Microplush Sherpa Blanket with Sleeves for Women and Men</t>
        </is>
      </c>
      <c r="C499" t="inlineStr">
        <is>
          <t>1TRSN410BL</t>
        </is>
      </c>
      <c r="D499" t="inlineStr">
        <is>
          <t>Throws</t>
        </is>
      </c>
      <c r="E499" t="inlineStr">
        <is>
          <t>Tirrinia</t>
        </is>
      </c>
      <c r="F499" t="inlineStr">
        <is>
          <t>WFS,WFS Item</t>
        </is>
      </c>
      <c r="G499" s="48" t="n">
        <v>0</v>
      </c>
      <c r="H499" s="48" t="n">
        <v>0</v>
      </c>
      <c r="I499" s="48" t="n">
        <v>0</v>
      </c>
      <c r="J499" s="48" t="n">
        <v>0</v>
      </c>
      <c r="K499" s="49" t="n">
        <v>0</v>
      </c>
      <c r="L499" s="49" t="n">
        <v>0</v>
      </c>
      <c r="M499" s="49" t="n">
        <v>0</v>
      </c>
      <c r="N499" s="49" t="n">
        <v>0</v>
      </c>
      <c r="O499" s="49" t="n">
        <v>0</v>
      </c>
      <c r="P499" s="49" t="n">
        <v>0</v>
      </c>
      <c r="Q499" s="49" t="n">
        <v>0</v>
      </c>
      <c r="R499" s="49" t="n">
        <v>0</v>
      </c>
      <c r="S499" s="50" t="n">
        <v>0</v>
      </c>
      <c r="T499" s="50" t="n">
        <v>0</v>
      </c>
      <c r="U499" s="50" t="n">
        <v>0</v>
      </c>
      <c r="V499" s="50" t="n">
        <v>0</v>
      </c>
      <c r="W499" s="51" t="n">
        <v>0</v>
      </c>
      <c r="X499" s="51" t="n">
        <v>0</v>
      </c>
      <c r="Y499" s="51" t="n">
        <v>0</v>
      </c>
      <c r="Z499" s="51" t="n">
        <v>0</v>
      </c>
      <c r="AA499" s="52" t="n">
        <v>0</v>
      </c>
      <c r="AB499" s="52" t="n">
        <v>0</v>
      </c>
      <c r="AC499" s="52" t="n">
        <v>0</v>
      </c>
      <c r="AD499" s="52" t="n">
        <v>0</v>
      </c>
      <c r="AE499" s="52" t="n">
        <v>0</v>
      </c>
      <c r="AF499" s="52" t="n">
        <v>0</v>
      </c>
      <c r="AG499" s="52" t="n">
        <v>0</v>
      </c>
      <c r="AH499" s="52" t="n">
        <v>0</v>
      </c>
      <c r="AI499" s="52" t="n">
        <v>0</v>
      </c>
      <c r="AJ499" s="52" t="n">
        <v>0</v>
      </c>
      <c r="AK499" s="52" t="n">
        <v>0</v>
      </c>
      <c r="AL499" s="52" t="n">
        <v>0</v>
      </c>
      <c r="AM499" s="53" t="n">
        <v>0</v>
      </c>
      <c r="AN499" s="53" t="n">
        <v>0</v>
      </c>
      <c r="AO499" s="53" t="n">
        <v>0</v>
      </c>
      <c r="AP499" s="53" t="n">
        <v>0</v>
      </c>
      <c r="AQ499" s="52" t="n">
        <v>0</v>
      </c>
      <c r="AR499" s="52" t="n">
        <v>0</v>
      </c>
      <c r="AS499" s="52" t="n">
        <v>0</v>
      </c>
      <c r="AT499" s="52" t="n">
        <v>0</v>
      </c>
      <c r="AU499" s="53" t="n">
        <v>0</v>
      </c>
      <c r="AV499" s="53" t="n">
        <v>0</v>
      </c>
      <c r="AW499" s="53" t="n">
        <v>0</v>
      </c>
      <c r="AX499" s="53" t="n">
        <v>0</v>
      </c>
      <c r="AY499" s="52" t="n">
        <v>0</v>
      </c>
      <c r="AZ499" s="52" t="n">
        <v>0</v>
      </c>
      <c r="BA499" s="52" t="n">
        <v>0</v>
      </c>
      <c r="BB499" s="52" t="n">
        <v>0</v>
      </c>
      <c r="BC499" s="51" t="n">
        <v>0</v>
      </c>
      <c r="BD499" s="51" t="n">
        <v>0</v>
      </c>
      <c r="BE499" s="51" t="n">
        <v>0</v>
      </c>
      <c r="BF499" s="51" t="n">
        <v>0</v>
      </c>
    </row>
    <row r="500">
      <c r="A500">
        <f>HYPERLINK("https://www.walmart.com/ip/372816254", "372816254")</f>
        <v/>
      </c>
      <c r="B500" t="inlineStr">
        <is>
          <t>Catalonia Red Buffalo Plaid Sherpa Throw Blanket, Reversible Super Soft Warm Comfy Fuzzy Snuggle Micro Fleece Plush Throws for Bed Couch Sofa TV, 60x50 Inches</t>
        </is>
      </c>
      <c r="C500" t="inlineStr">
        <is>
          <t>1CTBF561PRD</t>
        </is>
      </c>
      <c r="D500" t="inlineStr">
        <is>
          <t>Throws</t>
        </is>
      </c>
      <c r="E500" t="inlineStr">
        <is>
          <t>Catalonia</t>
        </is>
      </c>
      <c r="F500" t="inlineStr">
        <is>
          <t>WFS,Coupon_Discount,WFS Item</t>
        </is>
      </c>
      <c r="G500" s="48" t="n">
        <v>0</v>
      </c>
      <c r="H500" s="48" t="n">
        <v>0</v>
      </c>
      <c r="I500" s="48" t="n">
        <v>0</v>
      </c>
      <c r="J500" s="48" t="n">
        <v>0</v>
      </c>
      <c r="K500" s="49" t="n">
        <v>0</v>
      </c>
      <c r="L500" s="49" t="n">
        <v>0</v>
      </c>
      <c r="M500" s="49" t="n">
        <v>0</v>
      </c>
      <c r="N500" s="49" t="n">
        <v>0</v>
      </c>
      <c r="O500" s="49" t="n">
        <v>0</v>
      </c>
      <c r="P500" s="49" t="n">
        <v>0</v>
      </c>
      <c r="Q500" s="49" t="n">
        <v>0</v>
      </c>
      <c r="R500" s="49" t="n">
        <v>0</v>
      </c>
      <c r="S500" s="50" t="n">
        <v>0</v>
      </c>
      <c r="T500" s="50" t="n">
        <v>0</v>
      </c>
      <c r="U500" s="50" t="n">
        <v>0</v>
      </c>
      <c r="V500" s="50" t="n">
        <v>0</v>
      </c>
      <c r="W500" s="51" t="n">
        <v>0</v>
      </c>
      <c r="X500" s="51" t="n">
        <v>0</v>
      </c>
      <c r="Y500" s="51" t="n">
        <v>0</v>
      </c>
      <c r="Z500" s="51" t="n">
        <v>0</v>
      </c>
      <c r="AA500" s="52" t="n">
        <v>0</v>
      </c>
      <c r="AB500" s="52" t="n">
        <v>0</v>
      </c>
      <c r="AC500" s="52" t="n">
        <v>0</v>
      </c>
      <c r="AD500" s="52" t="n">
        <v>0</v>
      </c>
      <c r="AE500" s="52" t="n">
        <v>0</v>
      </c>
      <c r="AF500" s="52" t="n">
        <v>0</v>
      </c>
      <c r="AG500" s="52" t="n">
        <v>0</v>
      </c>
      <c r="AH500" s="52" t="n">
        <v>0</v>
      </c>
      <c r="AI500" s="52" t="n">
        <v>0</v>
      </c>
      <c r="AJ500" s="52" t="n">
        <v>0</v>
      </c>
      <c r="AK500" s="52" t="n">
        <v>0</v>
      </c>
      <c r="AL500" s="52" t="n">
        <v>0</v>
      </c>
      <c r="AM500" s="53" t="n">
        <v>0</v>
      </c>
      <c r="AN500" s="53" t="n">
        <v>0</v>
      </c>
      <c r="AO500" s="53" t="n">
        <v>0</v>
      </c>
      <c r="AP500" s="53" t="n">
        <v>0</v>
      </c>
      <c r="AQ500" s="52" t="n">
        <v>0</v>
      </c>
      <c r="AR500" s="52" t="n">
        <v>0</v>
      </c>
      <c r="AS500" s="52" t="n">
        <v>0</v>
      </c>
      <c r="AT500" s="52" t="n">
        <v>0</v>
      </c>
      <c r="AU500" s="53" t="n">
        <v>0</v>
      </c>
      <c r="AV500" s="53" t="n">
        <v>0</v>
      </c>
      <c r="AW500" s="53" t="n">
        <v>0</v>
      </c>
      <c r="AX500" s="53" t="n">
        <v>0</v>
      </c>
      <c r="AY500" s="52" t="n">
        <v>0</v>
      </c>
      <c r="AZ500" s="52" t="n">
        <v>0</v>
      </c>
      <c r="BA500" s="52" t="n">
        <v>0</v>
      </c>
      <c r="BB500" s="52" t="n">
        <v>0</v>
      </c>
      <c r="BC500" s="51" t="n">
        <v>0</v>
      </c>
      <c r="BD500" s="51" t="n">
        <v>0</v>
      </c>
      <c r="BE500" s="51" t="n">
        <v>0</v>
      </c>
      <c r="BF500" s="51" t="n">
        <v>0</v>
      </c>
    </row>
    <row r="501">
      <c r="A501">
        <f>HYPERLINK("https://www.walmart.com/ip/3744744434", "3744744434")</f>
        <v/>
      </c>
      <c r="B501" t="inlineStr">
        <is>
          <t>Tirrinia 2 In 1 Outdoors UPF 50+ UV Protection Sun Hat for Womens, One Size Female Sports Baseball Cap Gardening Fishing Hat with Neck Flap, Tan</t>
        </is>
      </c>
      <c r="C501" t="inlineStr">
        <is>
          <t>1TRSH9153TN</t>
        </is>
      </c>
      <c r="D501" t="inlineStr">
        <is>
          <t>Hats</t>
        </is>
      </c>
      <c r="E501" t="inlineStr">
        <is>
          <t>Tirrinia</t>
        </is>
      </c>
      <c r="G501" s="48" t="n">
        <v>0</v>
      </c>
      <c r="H501" s="48" t="n">
        <v>0</v>
      </c>
      <c r="I501" s="48" t="n">
        <v>0</v>
      </c>
      <c r="J501" s="48" t="n">
        <v>0</v>
      </c>
      <c r="K501" s="49" t="n">
        <v>0</v>
      </c>
      <c r="L501" s="49" t="n">
        <v>0</v>
      </c>
      <c r="M501" s="49" t="n">
        <v>0</v>
      </c>
      <c r="N501" s="49" t="n">
        <v>0</v>
      </c>
      <c r="O501" s="49" t="n">
        <v>0</v>
      </c>
      <c r="P501" s="49" t="n">
        <v>0</v>
      </c>
      <c r="Q501" s="49" t="n">
        <v>0</v>
      </c>
      <c r="R501" s="49" t="n">
        <v>0</v>
      </c>
      <c r="S501" s="50" t="n">
        <v>0</v>
      </c>
      <c r="T501" s="50" t="n">
        <v>0</v>
      </c>
      <c r="U501" s="50" t="n">
        <v>0</v>
      </c>
      <c r="V501" s="50" t="n">
        <v>0</v>
      </c>
      <c r="W501" s="51" t="n">
        <v>0</v>
      </c>
      <c r="X501" s="51" t="n">
        <v>0</v>
      </c>
      <c r="Y501" s="51" t="n">
        <v>0</v>
      </c>
      <c r="Z501" s="51" t="n">
        <v>0</v>
      </c>
      <c r="AA501" s="52" t="n">
        <v>0</v>
      </c>
      <c r="AB501" s="52" t="n">
        <v>0</v>
      </c>
      <c r="AC501" s="52" t="n">
        <v>0</v>
      </c>
      <c r="AD501" s="52" t="n">
        <v>0</v>
      </c>
      <c r="AE501" s="52" t="n">
        <v>0</v>
      </c>
      <c r="AF501" s="52" t="n">
        <v>0</v>
      </c>
      <c r="AG501" s="52" t="n">
        <v>0</v>
      </c>
      <c r="AH501" s="52" t="n">
        <v>0</v>
      </c>
      <c r="AI501" s="52" t="n">
        <v>0</v>
      </c>
      <c r="AJ501" s="52" t="n">
        <v>0</v>
      </c>
      <c r="AK501" s="52" t="n">
        <v>0</v>
      </c>
      <c r="AL501" s="52" t="n">
        <v>0</v>
      </c>
      <c r="AM501" s="53" t="n">
        <v>0</v>
      </c>
      <c r="AN501" s="53" t="n">
        <v>0</v>
      </c>
      <c r="AO501" s="53" t="n">
        <v>0</v>
      </c>
      <c r="AP501" s="53" t="n">
        <v>0</v>
      </c>
      <c r="AQ501" s="52" t="n">
        <v>0</v>
      </c>
      <c r="AR501" s="52" t="n">
        <v>0</v>
      </c>
      <c r="AS501" s="52" t="n">
        <v>0</v>
      </c>
      <c r="AT501" s="52" t="n">
        <v>0</v>
      </c>
      <c r="AU501" s="53" t="n">
        <v>0</v>
      </c>
      <c r="AV501" s="53" t="n">
        <v>0</v>
      </c>
      <c r="AW501" s="53" t="n">
        <v>0</v>
      </c>
      <c r="AX501" s="53" t="n">
        <v>0</v>
      </c>
      <c r="AY501" s="52" t="n">
        <v>0</v>
      </c>
      <c r="AZ501" s="52" t="n">
        <v>0</v>
      </c>
      <c r="BA501" s="52" t="n">
        <v>0</v>
      </c>
      <c r="BB501" s="52" t="n">
        <v>0</v>
      </c>
      <c r="BC501" s="51" t="n">
        <v>0</v>
      </c>
      <c r="BD501" s="51" t="n">
        <v>0</v>
      </c>
      <c r="BE501" s="51" t="n">
        <v>0</v>
      </c>
      <c r="BF501" s="51" t="n">
        <v>0</v>
      </c>
    </row>
    <row r="502">
      <c r="A502">
        <f>HYPERLINK("https://www.walmart.com/ip/374971543", "374971543")</f>
        <v/>
      </c>
      <c r="B502" t="inlineStr">
        <is>
          <t>Flyingstar Wearable Blanket with Sleeves and Pocket, Fleece Micro Plush Throws Blanket, Robe for Women and Men 73” x 51” Zebra</t>
        </is>
      </c>
      <c r="C502" t="inlineStr">
        <is>
          <t>1WMSN100ZEBRA</t>
        </is>
      </c>
      <c r="D502" t="inlineStr">
        <is>
          <t>Throws</t>
        </is>
      </c>
      <c r="E502" t="inlineStr">
        <is>
          <t>Flyingstar</t>
        </is>
      </c>
      <c r="F502" t="inlineStr">
        <is>
          <t>Batch 1 - TR</t>
        </is>
      </c>
      <c r="G502" s="48" t="n">
        <v>0</v>
      </c>
      <c r="H502" s="48" t="n">
        <v>0</v>
      </c>
      <c r="I502" s="48" t="n">
        <v>0</v>
      </c>
      <c r="J502" s="48" t="n">
        <v>0</v>
      </c>
      <c r="K502" s="49" t="n">
        <v>0</v>
      </c>
      <c r="L502" s="49" t="n">
        <v>0</v>
      </c>
      <c r="M502" s="49" t="n">
        <v>0</v>
      </c>
      <c r="N502" s="49" t="n">
        <v>0</v>
      </c>
      <c r="O502" s="49" t="n">
        <v>0</v>
      </c>
      <c r="P502" s="49" t="n">
        <v>0</v>
      </c>
      <c r="Q502" s="49" t="n">
        <v>0</v>
      </c>
      <c r="R502" s="49" t="n">
        <v>0</v>
      </c>
      <c r="S502" s="50" t="n">
        <v>0</v>
      </c>
      <c r="T502" s="50" t="n">
        <v>0</v>
      </c>
      <c r="U502" s="50" t="n">
        <v>0</v>
      </c>
      <c r="V502" s="50" t="n">
        <v>0</v>
      </c>
      <c r="W502" s="51" t="n">
        <v>0</v>
      </c>
      <c r="X502" s="51" t="n">
        <v>0</v>
      </c>
      <c r="Y502" s="51" t="n">
        <v>0</v>
      </c>
      <c r="Z502" s="51" t="n">
        <v>0</v>
      </c>
      <c r="AA502" s="52" t="n">
        <v>0</v>
      </c>
      <c r="AB502" s="52" t="n">
        <v>0</v>
      </c>
      <c r="AC502" s="52" t="n">
        <v>0</v>
      </c>
      <c r="AD502" s="52" t="n">
        <v>0</v>
      </c>
      <c r="AE502" s="52" t="n">
        <v>0</v>
      </c>
      <c r="AF502" s="52" t="n">
        <v>0</v>
      </c>
      <c r="AG502" s="52" t="n">
        <v>0</v>
      </c>
      <c r="AH502" s="52" t="n">
        <v>0</v>
      </c>
      <c r="AI502" s="52" t="n">
        <v>0</v>
      </c>
      <c r="AJ502" s="52" t="n">
        <v>0</v>
      </c>
      <c r="AK502" s="52" t="n">
        <v>0</v>
      </c>
      <c r="AL502" s="52" t="n">
        <v>0</v>
      </c>
      <c r="AM502" s="53" t="n">
        <v>0</v>
      </c>
      <c r="AN502" s="53" t="n">
        <v>0</v>
      </c>
      <c r="AO502" s="53" t="n">
        <v>0</v>
      </c>
      <c r="AP502" s="53" t="n">
        <v>0</v>
      </c>
      <c r="AQ502" s="52" t="n">
        <v>0</v>
      </c>
      <c r="AR502" s="52" t="n">
        <v>0</v>
      </c>
      <c r="AS502" s="52" t="n">
        <v>0</v>
      </c>
      <c r="AT502" s="52" t="n">
        <v>0</v>
      </c>
      <c r="AU502" s="53" t="n">
        <v>0</v>
      </c>
      <c r="AV502" s="53" t="n">
        <v>0</v>
      </c>
      <c r="AW502" s="53" t="n">
        <v>0</v>
      </c>
      <c r="AX502" s="53" t="n">
        <v>0</v>
      </c>
      <c r="AY502" s="52" t="n">
        <v>0</v>
      </c>
      <c r="AZ502" s="52" t="n">
        <v>0</v>
      </c>
      <c r="BA502" s="52" t="n">
        <v>0</v>
      </c>
      <c r="BB502" s="52" t="n">
        <v>0</v>
      </c>
      <c r="BC502" s="51" t="n">
        <v>0</v>
      </c>
      <c r="BD502" s="51" t="n">
        <v>0</v>
      </c>
      <c r="BE502" s="51" t="n">
        <v>0</v>
      </c>
      <c r="BF502" s="51" t="n">
        <v>0</v>
      </c>
    </row>
    <row r="503">
      <c r="A503">
        <f>HYPERLINK("https://www.walmart.com/ip/376206344", "376206344")</f>
        <v/>
      </c>
      <c r="B503" t="inlineStr">
        <is>
          <t>Waterproof Camping Blanket, Windproof Hooded Blanket Poncho for Sports Stadium, Camping, Beach, Picnic, Car or Pet Friendly Use</t>
        </is>
      </c>
      <c r="C503" t="inlineStr">
        <is>
          <t>1WMBC200BLGY</t>
        </is>
      </c>
      <c r="D503" t="inlineStr">
        <is>
          <t>Picnic Blankets &amp; Mats</t>
        </is>
      </c>
      <c r="E503" t="inlineStr">
        <is>
          <t>Flyingstar</t>
        </is>
      </c>
      <c r="F503" t="inlineStr">
        <is>
          <t>Q2-Target,Optimized</t>
        </is>
      </c>
      <c r="G503" s="48" t="n">
        <v>0</v>
      </c>
      <c r="H503" s="48" t="n">
        <v>0</v>
      </c>
      <c r="I503" s="48" t="n">
        <v>0</v>
      </c>
      <c r="J503" s="48" t="n">
        <v>0</v>
      </c>
      <c r="K503" s="49" t="n">
        <v>0</v>
      </c>
      <c r="L503" s="49" t="n">
        <v>0</v>
      </c>
      <c r="M503" s="49" t="n">
        <v>0</v>
      </c>
      <c r="N503" s="49" t="n">
        <v>0</v>
      </c>
      <c r="O503" s="49" t="n">
        <v>0</v>
      </c>
      <c r="P503" s="49" t="n">
        <v>0</v>
      </c>
      <c r="Q503" s="49" t="n">
        <v>0</v>
      </c>
      <c r="R503" s="49" t="n">
        <v>0</v>
      </c>
      <c r="S503" s="50" t="n">
        <v>0</v>
      </c>
      <c r="T503" s="50" t="n">
        <v>0</v>
      </c>
      <c r="U503" s="50" t="n">
        <v>0</v>
      </c>
      <c r="V503" s="50" t="n">
        <v>0</v>
      </c>
      <c r="W503" s="51" t="n">
        <v>0</v>
      </c>
      <c r="X503" s="51" t="n">
        <v>0</v>
      </c>
      <c r="Y503" s="51" t="n">
        <v>0</v>
      </c>
      <c r="Z503" s="51" t="n">
        <v>0</v>
      </c>
      <c r="AA503" s="52" t="n">
        <v>0</v>
      </c>
      <c r="AB503" s="52" t="n">
        <v>0</v>
      </c>
      <c r="AC503" s="52" t="n">
        <v>0</v>
      </c>
      <c r="AD503" s="52" t="n">
        <v>0</v>
      </c>
      <c r="AE503" s="52" t="n">
        <v>0</v>
      </c>
      <c r="AF503" s="52" t="n">
        <v>0</v>
      </c>
      <c r="AG503" s="52" t="n">
        <v>0</v>
      </c>
      <c r="AH503" s="52" t="n">
        <v>0</v>
      </c>
      <c r="AI503" s="52" t="n">
        <v>0</v>
      </c>
      <c r="AJ503" s="52" t="n">
        <v>0</v>
      </c>
      <c r="AK503" s="52" t="n">
        <v>0</v>
      </c>
      <c r="AL503" s="52" t="n">
        <v>0</v>
      </c>
      <c r="AM503" s="53" t="n">
        <v>0</v>
      </c>
      <c r="AN503" s="53" t="n">
        <v>0</v>
      </c>
      <c r="AO503" s="53" t="n">
        <v>0</v>
      </c>
      <c r="AP503" s="53" t="n">
        <v>0</v>
      </c>
      <c r="AQ503" s="52" t="n">
        <v>0</v>
      </c>
      <c r="AR503" s="52" t="n">
        <v>0</v>
      </c>
      <c r="AS503" s="52" t="n">
        <v>0</v>
      </c>
      <c r="AT503" s="52" t="n">
        <v>0</v>
      </c>
      <c r="AU503" s="53" t="n">
        <v>0</v>
      </c>
      <c r="AV503" s="53" t="n">
        <v>0</v>
      </c>
      <c r="AW503" s="53" t="n">
        <v>0</v>
      </c>
      <c r="AX503" s="53" t="n">
        <v>0</v>
      </c>
      <c r="AY503" s="52" t="n">
        <v>0</v>
      </c>
      <c r="AZ503" s="52" t="n">
        <v>0</v>
      </c>
      <c r="BA503" s="52" t="n">
        <v>0</v>
      </c>
      <c r="BB503" s="52" t="n">
        <v>0</v>
      </c>
      <c r="BC503" s="51" t="n">
        <v>0</v>
      </c>
      <c r="BD503" s="51" t="n">
        <v>0</v>
      </c>
      <c r="BE503" s="51" t="n">
        <v>0</v>
      </c>
      <c r="BF503" s="51" t="n">
        <v>0</v>
      </c>
    </row>
    <row r="504">
      <c r="A504">
        <f>HYPERLINK("https://www.walmart.com/ip/376761992", "376761992")</f>
        <v/>
      </c>
      <c r="B504" t="inlineStr">
        <is>
          <t>Tirrinia 6 Bottle Wine Cooler Bag, Insulated Padded Portable Versatile Wine Carrier Tote Bag for Travel, BYOB Restaurant, Wine Tasting, Party, Pecfect Gift for Wine Lover, Black</t>
        </is>
      </c>
      <c r="C504" t="inlineStr">
        <is>
          <t>1TRWB602BK</t>
        </is>
      </c>
      <c r="D504" t="inlineStr">
        <is>
          <t>Wine Totes, Bags &amp; Backpacks</t>
        </is>
      </c>
      <c r="E504" t="inlineStr">
        <is>
          <t>Tirrinia</t>
        </is>
      </c>
      <c r="F504" t="inlineStr">
        <is>
          <t>Wine,Christmas,WFS,Wine WFS,Valentine,WFS Item,Lily Brand Camp</t>
        </is>
      </c>
      <c r="G504" s="48" t="n">
        <v>0</v>
      </c>
      <c r="H504" s="48" t="n">
        <v>0</v>
      </c>
      <c r="I504" s="48" t="n">
        <v>0</v>
      </c>
      <c r="J504" s="48" t="n">
        <v>0</v>
      </c>
      <c r="K504" s="49" t="n">
        <v>0</v>
      </c>
      <c r="L504" s="49" t="n">
        <v>0</v>
      </c>
      <c r="M504" s="49" t="n">
        <v>0</v>
      </c>
      <c r="N504" s="49" t="n">
        <v>0</v>
      </c>
      <c r="O504" s="49" t="n">
        <v>0</v>
      </c>
      <c r="P504" s="49" t="n">
        <v>0</v>
      </c>
      <c r="Q504" s="49" t="n">
        <v>0</v>
      </c>
      <c r="R504" s="49" t="n">
        <v>0</v>
      </c>
      <c r="S504" s="50" t="n">
        <v>0</v>
      </c>
      <c r="T504" s="50" t="n">
        <v>0</v>
      </c>
      <c r="U504" s="50" t="n">
        <v>0</v>
      </c>
      <c r="V504" s="50" t="n">
        <v>0</v>
      </c>
      <c r="W504" s="51" t="n">
        <v>0</v>
      </c>
      <c r="X504" s="51" t="n">
        <v>0</v>
      </c>
      <c r="Y504" s="51" t="n">
        <v>0</v>
      </c>
      <c r="Z504" s="51" t="n">
        <v>0</v>
      </c>
      <c r="AA504" s="52" t="n">
        <v>0</v>
      </c>
      <c r="AB504" s="52" t="n">
        <v>0</v>
      </c>
      <c r="AC504" s="52" t="n">
        <v>0</v>
      </c>
      <c r="AD504" s="52" t="n">
        <v>0</v>
      </c>
      <c r="AE504" s="52" t="n">
        <v>0</v>
      </c>
      <c r="AF504" s="52" t="n">
        <v>0</v>
      </c>
      <c r="AG504" s="52" t="n">
        <v>0</v>
      </c>
      <c r="AH504" s="52" t="n">
        <v>0</v>
      </c>
      <c r="AI504" s="52" t="n">
        <v>0</v>
      </c>
      <c r="AJ504" s="52" t="n">
        <v>0</v>
      </c>
      <c r="AK504" s="52" t="n">
        <v>0</v>
      </c>
      <c r="AL504" s="52" t="n">
        <v>0</v>
      </c>
      <c r="AM504" s="53" t="n">
        <v>0</v>
      </c>
      <c r="AN504" s="53" t="n">
        <v>0</v>
      </c>
      <c r="AO504" s="53" t="n">
        <v>0</v>
      </c>
      <c r="AP504" s="53" t="n">
        <v>0</v>
      </c>
      <c r="AQ504" s="52" t="n">
        <v>0</v>
      </c>
      <c r="AR504" s="52" t="n">
        <v>0</v>
      </c>
      <c r="AS504" s="52" t="n">
        <v>0</v>
      </c>
      <c r="AT504" s="52" t="n">
        <v>0</v>
      </c>
      <c r="AU504" s="53" t="n">
        <v>0</v>
      </c>
      <c r="AV504" s="53" t="n">
        <v>0</v>
      </c>
      <c r="AW504" s="53" t="n">
        <v>0</v>
      </c>
      <c r="AX504" s="53" t="n">
        <v>0</v>
      </c>
      <c r="AY504" s="52" t="n">
        <v>0</v>
      </c>
      <c r="AZ504" s="52" t="n">
        <v>0</v>
      </c>
      <c r="BA504" s="52" t="n">
        <v>0</v>
      </c>
      <c r="BB504" s="52" t="n">
        <v>0</v>
      </c>
      <c r="BC504" s="51" t="n">
        <v>0</v>
      </c>
      <c r="BD504" s="51" t="n">
        <v>0</v>
      </c>
      <c r="BE504" s="51" t="n">
        <v>0</v>
      </c>
      <c r="BF504" s="51" t="n">
        <v>0</v>
      </c>
    </row>
    <row r="505">
      <c r="A505">
        <f>HYPERLINK("https://www.walmart.com/ip/378413727", "378413727")</f>
        <v/>
      </c>
      <c r="B505" t="inlineStr">
        <is>
          <t>Light up Sequin Fedora LED Hat Neon Rave Costumes Glow in Dark Party</t>
        </is>
      </c>
      <c r="C505" t="inlineStr">
        <is>
          <t>SLLEDHATBL</t>
        </is>
      </c>
      <c r="D505" t="inlineStr">
        <is>
          <t>Party Hats</t>
        </is>
      </c>
      <c r="E505" t="inlineStr">
        <is>
          <t>Solaris</t>
        </is>
      </c>
      <c r="F505" t="inlineStr">
        <is>
          <t>Optimized,Halloween</t>
        </is>
      </c>
      <c r="G505" s="48" t="n">
        <v>0</v>
      </c>
      <c r="H505" s="48" t="n">
        <v>0</v>
      </c>
      <c r="I505" s="48" t="n">
        <v>0</v>
      </c>
      <c r="J505" s="48" t="n">
        <v>0</v>
      </c>
      <c r="K505" s="49" t="n">
        <v>0</v>
      </c>
      <c r="L505" s="49" t="n">
        <v>0</v>
      </c>
      <c r="M505" s="49" t="n">
        <v>0</v>
      </c>
      <c r="N505" s="49" t="n">
        <v>0</v>
      </c>
      <c r="O505" s="49" t="n">
        <v>0</v>
      </c>
      <c r="P505" s="49" t="n">
        <v>0</v>
      </c>
      <c r="Q505" s="49" t="n">
        <v>0</v>
      </c>
      <c r="R505" s="49" t="n">
        <v>0</v>
      </c>
      <c r="S505" s="50" t="n">
        <v>0</v>
      </c>
      <c r="T505" s="50" t="n">
        <v>0</v>
      </c>
      <c r="U505" s="50" t="n">
        <v>0</v>
      </c>
      <c r="V505" s="50" t="n">
        <v>0</v>
      </c>
      <c r="W505" s="51" t="n">
        <v>0</v>
      </c>
      <c r="X505" s="51" t="n">
        <v>0</v>
      </c>
      <c r="Y505" s="51" t="n">
        <v>0</v>
      </c>
      <c r="Z505" s="51" t="n">
        <v>0</v>
      </c>
      <c r="AA505" s="52" t="n">
        <v>0</v>
      </c>
      <c r="AB505" s="52" t="n">
        <v>0</v>
      </c>
      <c r="AC505" s="52" t="n">
        <v>0</v>
      </c>
      <c r="AD505" s="52" t="n">
        <v>0</v>
      </c>
      <c r="AE505" s="52" t="n">
        <v>0</v>
      </c>
      <c r="AF505" s="52" t="n">
        <v>0</v>
      </c>
      <c r="AG505" s="52" t="n">
        <v>0</v>
      </c>
      <c r="AH505" s="52" t="n">
        <v>0</v>
      </c>
      <c r="AI505" s="52" t="n">
        <v>0</v>
      </c>
      <c r="AJ505" s="52" t="n">
        <v>0</v>
      </c>
      <c r="AK505" s="52" t="n">
        <v>0</v>
      </c>
      <c r="AL505" s="52" t="n">
        <v>0</v>
      </c>
      <c r="AM505" s="53" t="n">
        <v>0</v>
      </c>
      <c r="AN505" s="53" t="n">
        <v>0</v>
      </c>
      <c r="AO505" s="53" t="n">
        <v>0</v>
      </c>
      <c r="AP505" s="53" t="n">
        <v>0</v>
      </c>
      <c r="AQ505" s="52" t="n">
        <v>0</v>
      </c>
      <c r="AR505" s="52" t="n">
        <v>0</v>
      </c>
      <c r="AS505" s="52" t="n">
        <v>0</v>
      </c>
      <c r="AT505" s="52" t="n">
        <v>0</v>
      </c>
      <c r="AU505" s="53" t="n">
        <v>0</v>
      </c>
      <c r="AV505" s="53" t="n">
        <v>0</v>
      </c>
      <c r="AW505" s="53" t="n">
        <v>0</v>
      </c>
      <c r="AX505" s="53" t="n">
        <v>0</v>
      </c>
      <c r="AY505" s="52" t="n">
        <v>0</v>
      </c>
      <c r="AZ505" s="52" t="n">
        <v>0</v>
      </c>
      <c r="BA505" s="52" t="n">
        <v>0</v>
      </c>
      <c r="BB505" s="52" t="n">
        <v>0</v>
      </c>
      <c r="BC505" s="51" t="n">
        <v>0</v>
      </c>
      <c r="BD505" s="51" t="n">
        <v>0</v>
      </c>
      <c r="BE505" s="51" t="n">
        <v>0</v>
      </c>
      <c r="BF505" s="51" t="n">
        <v>0</v>
      </c>
    </row>
    <row r="506">
      <c r="A506">
        <f>HYPERLINK("https://www.walmart.com/ip/379895876", "379895876")</f>
        <v/>
      </c>
      <c r="B506" t="inlineStr">
        <is>
          <t>Sherpa Wearable Blanket with Sleeves Arms,Super Soft Warm Comfy Large Fleece Plush Sleeved TV Throws Wrap Robe Blanket for Adult Women and Men Buffalo Plaid By Catalonia</t>
        </is>
      </c>
      <c r="C506" t="inlineStr">
        <is>
          <t>1CTSN110P2GN</t>
        </is>
      </c>
      <c r="D506" t="inlineStr">
        <is>
          <t>Throws</t>
        </is>
      </c>
      <c r="E506" t="inlineStr">
        <is>
          <t>Catalonia</t>
        </is>
      </c>
      <c r="F506" t="inlineStr">
        <is>
          <t>Q2-Target,WFS,Coupon_Discount,WFS Item</t>
        </is>
      </c>
      <c r="G506" s="48" t="n">
        <v>0</v>
      </c>
      <c r="H506" s="48" t="n">
        <v>0</v>
      </c>
      <c r="I506" s="48" t="n">
        <v>0</v>
      </c>
      <c r="J506" s="48" t="n">
        <v>0</v>
      </c>
      <c r="K506" s="49" t="n">
        <v>0</v>
      </c>
      <c r="L506" s="49" t="n">
        <v>0</v>
      </c>
      <c r="M506" s="49" t="n">
        <v>0</v>
      </c>
      <c r="N506" s="49" t="n">
        <v>0</v>
      </c>
      <c r="O506" s="49" t="n">
        <v>0</v>
      </c>
      <c r="P506" s="49" t="n">
        <v>0</v>
      </c>
      <c r="Q506" s="49" t="n">
        <v>0</v>
      </c>
      <c r="R506" s="49" t="n">
        <v>0</v>
      </c>
      <c r="S506" s="50" t="n">
        <v>0</v>
      </c>
      <c r="T506" s="50" t="n">
        <v>0</v>
      </c>
      <c r="U506" s="50" t="n">
        <v>0</v>
      </c>
      <c r="V506" s="50" t="n">
        <v>0</v>
      </c>
      <c r="W506" s="51" t="n">
        <v>0</v>
      </c>
      <c r="X506" s="51" t="n">
        <v>0</v>
      </c>
      <c r="Y506" s="51" t="n">
        <v>0</v>
      </c>
      <c r="Z506" s="51" t="n">
        <v>0</v>
      </c>
      <c r="AA506" s="52" t="n">
        <v>0</v>
      </c>
      <c r="AB506" s="52" t="n">
        <v>0</v>
      </c>
      <c r="AC506" s="52" t="n">
        <v>0</v>
      </c>
      <c r="AD506" s="52" t="n">
        <v>0</v>
      </c>
      <c r="AE506" s="52" t="n">
        <v>0</v>
      </c>
      <c r="AF506" s="52" t="n">
        <v>0</v>
      </c>
      <c r="AG506" s="52" t="n">
        <v>0</v>
      </c>
      <c r="AH506" s="52" t="n">
        <v>0</v>
      </c>
      <c r="AI506" s="52" t="n">
        <v>0</v>
      </c>
      <c r="AJ506" s="52" t="n">
        <v>0</v>
      </c>
      <c r="AK506" s="52" t="n">
        <v>0</v>
      </c>
      <c r="AL506" s="52" t="n">
        <v>0</v>
      </c>
      <c r="AM506" s="53" t="n">
        <v>0</v>
      </c>
      <c r="AN506" s="53" t="n">
        <v>0</v>
      </c>
      <c r="AO506" s="53" t="n">
        <v>0</v>
      </c>
      <c r="AP506" s="53" t="n">
        <v>0</v>
      </c>
      <c r="AQ506" s="52" t="n">
        <v>0</v>
      </c>
      <c r="AR506" s="52" t="n">
        <v>0</v>
      </c>
      <c r="AS506" s="52" t="n">
        <v>0</v>
      </c>
      <c r="AT506" s="52" t="n">
        <v>0</v>
      </c>
      <c r="AU506" s="53" t="n">
        <v>0</v>
      </c>
      <c r="AV506" s="53" t="n">
        <v>0</v>
      </c>
      <c r="AW506" s="53" t="n">
        <v>0</v>
      </c>
      <c r="AX506" s="53" t="n">
        <v>0</v>
      </c>
      <c r="AY506" s="52" t="n">
        <v>0</v>
      </c>
      <c r="AZ506" s="52" t="n">
        <v>0</v>
      </c>
      <c r="BA506" s="52" t="n">
        <v>0</v>
      </c>
      <c r="BB506" s="52" t="n">
        <v>0</v>
      </c>
      <c r="BC506" s="51" t="n">
        <v>0</v>
      </c>
      <c r="BD506" s="51" t="n">
        <v>0</v>
      </c>
      <c r="BE506" s="51" t="n">
        <v>0</v>
      </c>
      <c r="BF506" s="51" t="n">
        <v>0</v>
      </c>
    </row>
    <row r="507">
      <c r="A507">
        <f>HYPERLINK("https://www.walmart.com/ip/378639354", "378639354")</f>
        <v/>
      </c>
      <c r="B507" t="inlineStr">
        <is>
          <t>Catalonia Waterproof Blanket, Pee Proof Couch Sofa Bed Protector Cover for Baby, Super Cozy Plush Fleece Warm Sherpa Lining Throws and Blankets for Boating and Camping, Light Gray/Dark Gray, 80" x 90"</t>
        </is>
      </c>
      <c r="C507" t="inlineStr">
        <is>
          <t>1CTBW982LGDG</t>
        </is>
      </c>
      <c r="D507" t="inlineStr">
        <is>
          <t>Throws</t>
        </is>
      </c>
      <c r="E507" t="inlineStr">
        <is>
          <t>Catalonia</t>
        </is>
      </c>
      <c r="F507" t="inlineStr">
        <is>
          <t>High AUR Items,Wproof Blanket,Fleece Blankets,Batch 1 - TR</t>
        </is>
      </c>
      <c r="G507" s="48" t="n">
        <v>0</v>
      </c>
      <c r="H507" s="48" t="n">
        <v>59.99</v>
      </c>
      <c r="I507" s="48" t="n">
        <v>0</v>
      </c>
      <c r="J507" s="48" t="n">
        <v>59.99</v>
      </c>
      <c r="K507" s="49" t="n">
        <v>0</v>
      </c>
      <c r="L507" s="49" t="n">
        <v>1</v>
      </c>
      <c r="M507" s="49" t="n">
        <v>0</v>
      </c>
      <c r="N507" s="49" t="n">
        <v>1</v>
      </c>
      <c r="O507" s="49" t="n">
        <v>0</v>
      </c>
      <c r="P507" s="49" t="n">
        <v>0</v>
      </c>
      <c r="Q507" s="49" t="n">
        <v>0</v>
      </c>
      <c r="R507" s="49" t="n">
        <v>0</v>
      </c>
      <c r="S507" s="50" t="n">
        <v>0</v>
      </c>
      <c r="T507" s="50" t="n">
        <v>0</v>
      </c>
      <c r="U507" s="50" t="n">
        <v>0</v>
      </c>
      <c r="V507" s="50" t="n">
        <v>0</v>
      </c>
      <c r="W507" s="51" t="n">
        <v>0</v>
      </c>
      <c r="X507" s="51" t="n">
        <v>0</v>
      </c>
      <c r="Y507" s="51" t="n">
        <v>0</v>
      </c>
      <c r="Z507" s="51" t="n">
        <v>0</v>
      </c>
      <c r="AA507" s="52" t="n">
        <v>0</v>
      </c>
      <c r="AB507" s="52" t="n">
        <v>0</v>
      </c>
      <c r="AC507" s="52" t="n">
        <v>0</v>
      </c>
      <c r="AD507" s="52" t="n">
        <v>0</v>
      </c>
      <c r="AE507" s="52" t="n">
        <v>0</v>
      </c>
      <c r="AF507" s="52" t="n">
        <v>0</v>
      </c>
      <c r="AG507" s="52" t="n">
        <v>0</v>
      </c>
      <c r="AH507" s="52" t="n">
        <v>0</v>
      </c>
      <c r="AI507" s="52" t="n">
        <v>0</v>
      </c>
      <c r="AJ507" s="52" t="n">
        <v>0</v>
      </c>
      <c r="AK507" s="52" t="n">
        <v>0</v>
      </c>
      <c r="AL507" s="52" t="n">
        <v>0</v>
      </c>
      <c r="AM507" s="53" t="n">
        <v>0</v>
      </c>
      <c r="AN507" s="53" t="n">
        <v>0</v>
      </c>
      <c r="AO507" s="53" t="n">
        <v>0</v>
      </c>
      <c r="AP507" s="53" t="n">
        <v>0</v>
      </c>
      <c r="AQ507" s="52" t="n">
        <v>0</v>
      </c>
      <c r="AR507" s="52" t="n">
        <v>0</v>
      </c>
      <c r="AS507" s="52" t="n">
        <v>0</v>
      </c>
      <c r="AT507" s="52" t="n">
        <v>0</v>
      </c>
      <c r="AU507" s="53" t="n">
        <v>0</v>
      </c>
      <c r="AV507" s="53" t="n">
        <v>0</v>
      </c>
      <c r="AW507" s="53" t="n">
        <v>0</v>
      </c>
      <c r="AX507" s="53" t="n">
        <v>0</v>
      </c>
      <c r="AY507" s="52" t="n">
        <v>0</v>
      </c>
      <c r="AZ507" s="52" t="n">
        <v>59.99</v>
      </c>
      <c r="BA507" s="52" t="n">
        <v>0</v>
      </c>
      <c r="BB507" s="52" t="n">
        <v>59.99</v>
      </c>
      <c r="BC507" s="51" t="n">
        <v>0</v>
      </c>
      <c r="BD507" s="51" t="n">
        <v>0</v>
      </c>
      <c r="BE507" s="51" t="n">
        <v>0</v>
      </c>
      <c r="BF507" s="51" t="n">
        <v>0</v>
      </c>
    </row>
    <row r="508">
      <c r="A508">
        <f>HYPERLINK("https://www.walmart.com/ip/378664551", "378664551")</f>
        <v/>
      </c>
      <c r="B508" t="inlineStr">
        <is>
          <t>Flyingstar Insulated Lunch Box for Women and Men, Leakproof Thermal Reusable Lunch Bag with 4 Pockets for Adults &amp; Kids, Lunch Bag Cooler Tote for Office Work, Blue Checkered, 7.8L</t>
        </is>
      </c>
      <c r="C508" t="inlineStr">
        <is>
          <t>1WMLB702P1BLCK</t>
        </is>
      </c>
      <c r="D508" t="inlineStr">
        <is>
          <t>Reusable Lunch Bags &amp; Boxes</t>
        </is>
      </c>
      <c r="E508" t="inlineStr">
        <is>
          <t>Tirrinia</t>
        </is>
      </c>
      <c r="F508" t="inlineStr">
        <is>
          <t>Q2-Target,Lunch Bag</t>
        </is>
      </c>
      <c r="G508" s="48" t="n">
        <v>0</v>
      </c>
      <c r="H508" s="48" t="n">
        <v>0</v>
      </c>
      <c r="I508" s="48" t="n">
        <v>0</v>
      </c>
      <c r="J508" s="48" t="n">
        <v>0</v>
      </c>
      <c r="K508" s="49" t="n">
        <v>0</v>
      </c>
      <c r="L508" s="49" t="n">
        <v>0</v>
      </c>
      <c r="M508" s="49" t="n">
        <v>0</v>
      </c>
      <c r="N508" s="49" t="n">
        <v>0</v>
      </c>
      <c r="O508" s="49" t="n">
        <v>0</v>
      </c>
      <c r="P508" s="49" t="n">
        <v>0</v>
      </c>
      <c r="Q508" s="49" t="n">
        <v>0</v>
      </c>
      <c r="R508" s="49" t="n">
        <v>0</v>
      </c>
      <c r="S508" s="50" t="n">
        <v>0</v>
      </c>
      <c r="T508" s="50" t="n">
        <v>0</v>
      </c>
      <c r="U508" s="50" t="n">
        <v>0</v>
      </c>
      <c r="V508" s="50" t="n">
        <v>0</v>
      </c>
      <c r="W508" s="51" t="n">
        <v>0</v>
      </c>
      <c r="X508" s="51" t="n">
        <v>0</v>
      </c>
      <c r="Y508" s="51" t="n">
        <v>0</v>
      </c>
      <c r="Z508" s="51" t="n">
        <v>0</v>
      </c>
      <c r="AA508" s="52" t="n">
        <v>0</v>
      </c>
      <c r="AB508" s="52" t="n">
        <v>0</v>
      </c>
      <c r="AC508" s="52" t="n">
        <v>0</v>
      </c>
      <c r="AD508" s="52" t="n">
        <v>0</v>
      </c>
      <c r="AE508" s="52" t="n">
        <v>0</v>
      </c>
      <c r="AF508" s="52" t="n">
        <v>0</v>
      </c>
      <c r="AG508" s="52" t="n">
        <v>0</v>
      </c>
      <c r="AH508" s="52" t="n">
        <v>0</v>
      </c>
      <c r="AI508" s="52" t="n">
        <v>0</v>
      </c>
      <c r="AJ508" s="52" t="n">
        <v>0</v>
      </c>
      <c r="AK508" s="52" t="n">
        <v>0</v>
      </c>
      <c r="AL508" s="52" t="n">
        <v>0</v>
      </c>
      <c r="AM508" s="53" t="n">
        <v>0</v>
      </c>
      <c r="AN508" s="53" t="n">
        <v>0</v>
      </c>
      <c r="AO508" s="53" t="n">
        <v>0</v>
      </c>
      <c r="AP508" s="53" t="n">
        <v>0</v>
      </c>
      <c r="AQ508" s="52" t="n">
        <v>0</v>
      </c>
      <c r="AR508" s="52" t="n">
        <v>0</v>
      </c>
      <c r="AS508" s="52" t="n">
        <v>0</v>
      </c>
      <c r="AT508" s="52" t="n">
        <v>0</v>
      </c>
      <c r="AU508" s="53" t="n">
        <v>0</v>
      </c>
      <c r="AV508" s="53" t="n">
        <v>0</v>
      </c>
      <c r="AW508" s="53" t="n">
        <v>0</v>
      </c>
      <c r="AX508" s="53" t="n">
        <v>0</v>
      </c>
      <c r="AY508" s="52" t="n">
        <v>0</v>
      </c>
      <c r="AZ508" s="52" t="n">
        <v>0</v>
      </c>
      <c r="BA508" s="52" t="n">
        <v>0</v>
      </c>
      <c r="BB508" s="52" t="n">
        <v>0</v>
      </c>
      <c r="BC508" s="51" t="n">
        <v>0</v>
      </c>
      <c r="BD508" s="51" t="n">
        <v>0</v>
      </c>
      <c r="BE508" s="51" t="n">
        <v>0</v>
      </c>
      <c r="BF508" s="51" t="n">
        <v>0</v>
      </c>
    </row>
    <row r="509">
      <c r="A509">
        <f>HYPERLINK("https://www.walmart.com/ip/378980706", "378980706")</f>
        <v/>
      </c>
      <c r="B509" t="inlineStr">
        <is>
          <t>Catalonia Fleece Throw Blanket for Couch, Lightweight All Seasons Soft Cozy Moroccan Blanket for Home Living Room Decorative, 50'' x 60'', Gray</t>
        </is>
      </c>
      <c r="C509" t="inlineStr">
        <is>
          <t>1CTBF580MROGY</t>
        </is>
      </c>
      <c r="D509" t="inlineStr">
        <is>
          <t>Throws</t>
        </is>
      </c>
      <c r="E509" t="inlineStr">
        <is>
          <t>Catalonia</t>
        </is>
      </c>
      <c r="F509" t="inlineStr">
        <is>
          <t>WFS,WFS Item</t>
        </is>
      </c>
      <c r="G509" s="48" t="n">
        <v>0</v>
      </c>
      <c r="H509" s="48" t="n">
        <v>0</v>
      </c>
      <c r="I509" s="48" t="n">
        <v>0</v>
      </c>
      <c r="J509" s="48" t="n">
        <v>0</v>
      </c>
      <c r="K509" s="49" t="n">
        <v>0</v>
      </c>
      <c r="L509" s="49" t="n">
        <v>0</v>
      </c>
      <c r="M509" s="49" t="n">
        <v>0</v>
      </c>
      <c r="N509" s="49" t="n">
        <v>0</v>
      </c>
      <c r="O509" s="49" t="n">
        <v>0</v>
      </c>
      <c r="P509" s="49" t="n">
        <v>0</v>
      </c>
      <c r="Q509" s="49" t="n">
        <v>0</v>
      </c>
      <c r="R509" s="49" t="n">
        <v>0</v>
      </c>
      <c r="S509" s="50" t="n">
        <v>0</v>
      </c>
      <c r="T509" s="50" t="n">
        <v>0</v>
      </c>
      <c r="U509" s="50" t="n">
        <v>0</v>
      </c>
      <c r="V509" s="50" t="n">
        <v>0</v>
      </c>
      <c r="W509" s="51" t="n">
        <v>0</v>
      </c>
      <c r="X509" s="51" t="n">
        <v>0</v>
      </c>
      <c r="Y509" s="51" t="n">
        <v>0</v>
      </c>
      <c r="Z509" s="51" t="n">
        <v>0</v>
      </c>
      <c r="AA509" s="52" t="n">
        <v>0</v>
      </c>
      <c r="AB509" s="52" t="n">
        <v>0</v>
      </c>
      <c r="AC509" s="52" t="n">
        <v>0</v>
      </c>
      <c r="AD509" s="52" t="n">
        <v>0</v>
      </c>
      <c r="AE509" s="52" t="n">
        <v>0</v>
      </c>
      <c r="AF509" s="52" t="n">
        <v>0</v>
      </c>
      <c r="AG509" s="52" t="n">
        <v>0</v>
      </c>
      <c r="AH509" s="52" t="n">
        <v>0</v>
      </c>
      <c r="AI509" s="52" t="n">
        <v>0</v>
      </c>
      <c r="AJ509" s="52" t="n">
        <v>0</v>
      </c>
      <c r="AK509" s="52" t="n">
        <v>0</v>
      </c>
      <c r="AL509" s="52" t="n">
        <v>0</v>
      </c>
      <c r="AM509" s="53" t="n">
        <v>0</v>
      </c>
      <c r="AN509" s="53" t="n">
        <v>0</v>
      </c>
      <c r="AO509" s="53" t="n">
        <v>0</v>
      </c>
      <c r="AP509" s="53" t="n">
        <v>0</v>
      </c>
      <c r="AQ509" s="52" t="n">
        <v>0</v>
      </c>
      <c r="AR509" s="52" t="n">
        <v>0</v>
      </c>
      <c r="AS509" s="52" t="n">
        <v>0</v>
      </c>
      <c r="AT509" s="52" t="n">
        <v>0</v>
      </c>
      <c r="AU509" s="53" t="n">
        <v>0</v>
      </c>
      <c r="AV509" s="53" t="n">
        <v>0</v>
      </c>
      <c r="AW509" s="53" t="n">
        <v>0</v>
      </c>
      <c r="AX509" s="53" t="n">
        <v>0</v>
      </c>
      <c r="AY509" s="52" t="n">
        <v>0</v>
      </c>
      <c r="AZ509" s="52" t="n">
        <v>0</v>
      </c>
      <c r="BA509" s="52" t="n">
        <v>0</v>
      </c>
      <c r="BB509" s="52" t="n">
        <v>0</v>
      </c>
      <c r="BC509" s="51" t="n">
        <v>0</v>
      </c>
      <c r="BD509" s="51" t="n">
        <v>0</v>
      </c>
      <c r="BE509" s="51" t="n">
        <v>0</v>
      </c>
      <c r="BF509" s="51" t="n">
        <v>0</v>
      </c>
    </row>
    <row r="510">
      <c r="A510">
        <f>HYPERLINK("https://www.walmart.com/ip/379155751", "379155751")</f>
        <v/>
      </c>
      <c r="B510" t="inlineStr">
        <is>
          <t>Tirrinia Wine Cooler bag - 3 Bottle Travel Insulated Padded Wine Carrier Tote Bag with Handle and Adjustable Shoulder Strap + Free Corkscrew, Blue</t>
        </is>
      </c>
      <c r="C510" t="inlineStr">
        <is>
          <t>1WMWB300BL</t>
        </is>
      </c>
      <c r="D510" t="inlineStr">
        <is>
          <t>Wine Totes, Bags &amp; Backpacks</t>
        </is>
      </c>
      <c r="E510" t="inlineStr">
        <is>
          <t>Flyingstar</t>
        </is>
      </c>
      <c r="F510" t="inlineStr">
        <is>
          <t>Wine,Christmas,Valentine</t>
        </is>
      </c>
      <c r="G510" s="48" t="n">
        <v>0</v>
      </c>
      <c r="H510" s="48" t="n">
        <v>0</v>
      </c>
      <c r="I510" s="48" t="n">
        <v>0</v>
      </c>
      <c r="J510" s="48" t="n">
        <v>0</v>
      </c>
      <c r="K510" s="49" t="n">
        <v>0</v>
      </c>
      <c r="L510" s="49" t="n">
        <v>0</v>
      </c>
      <c r="M510" s="49" t="n">
        <v>0</v>
      </c>
      <c r="N510" s="49" t="n">
        <v>0</v>
      </c>
      <c r="O510" s="49" t="n">
        <v>0</v>
      </c>
      <c r="P510" s="49" t="n">
        <v>0</v>
      </c>
      <c r="Q510" s="49" t="n">
        <v>0</v>
      </c>
      <c r="R510" s="49" t="n">
        <v>0</v>
      </c>
      <c r="S510" s="50" t="n">
        <v>0</v>
      </c>
      <c r="T510" s="50" t="n">
        <v>0</v>
      </c>
      <c r="U510" s="50" t="n">
        <v>0</v>
      </c>
      <c r="V510" s="50" t="n">
        <v>0</v>
      </c>
      <c r="W510" s="51" t="n">
        <v>0</v>
      </c>
      <c r="X510" s="51" t="n">
        <v>0</v>
      </c>
      <c r="Y510" s="51" t="n">
        <v>0</v>
      </c>
      <c r="Z510" s="51" t="n">
        <v>0</v>
      </c>
      <c r="AA510" s="52" t="n">
        <v>0</v>
      </c>
      <c r="AB510" s="52" t="n">
        <v>0</v>
      </c>
      <c r="AC510" s="52" t="n">
        <v>0</v>
      </c>
      <c r="AD510" s="52" t="n">
        <v>0</v>
      </c>
      <c r="AE510" s="52" t="n">
        <v>0</v>
      </c>
      <c r="AF510" s="52" t="n">
        <v>0</v>
      </c>
      <c r="AG510" s="52" t="n">
        <v>0</v>
      </c>
      <c r="AH510" s="52" t="n">
        <v>0</v>
      </c>
      <c r="AI510" s="52" t="n">
        <v>0</v>
      </c>
      <c r="AJ510" s="52" t="n">
        <v>0</v>
      </c>
      <c r="AK510" s="52" t="n">
        <v>0</v>
      </c>
      <c r="AL510" s="52" t="n">
        <v>0</v>
      </c>
      <c r="AM510" s="53" t="n">
        <v>0</v>
      </c>
      <c r="AN510" s="53" t="n">
        <v>0</v>
      </c>
      <c r="AO510" s="53" t="n">
        <v>0</v>
      </c>
      <c r="AP510" s="53" t="n">
        <v>0</v>
      </c>
      <c r="AQ510" s="52" t="n">
        <v>0</v>
      </c>
      <c r="AR510" s="52" t="n">
        <v>0</v>
      </c>
      <c r="AS510" s="52" t="n">
        <v>0</v>
      </c>
      <c r="AT510" s="52" t="n">
        <v>0</v>
      </c>
      <c r="AU510" s="53" t="n">
        <v>0</v>
      </c>
      <c r="AV510" s="53" t="n">
        <v>0</v>
      </c>
      <c r="AW510" s="53" t="n">
        <v>0</v>
      </c>
      <c r="AX510" s="53" t="n">
        <v>0</v>
      </c>
      <c r="AY510" s="52" t="n">
        <v>0</v>
      </c>
      <c r="AZ510" s="52" t="n">
        <v>0</v>
      </c>
      <c r="BA510" s="52" t="n">
        <v>0</v>
      </c>
      <c r="BB510" s="52" t="n">
        <v>0</v>
      </c>
      <c r="BC510" s="51" t="n">
        <v>0</v>
      </c>
      <c r="BD510" s="51" t="n">
        <v>0</v>
      </c>
      <c r="BE510" s="51" t="n">
        <v>0</v>
      </c>
      <c r="BF510" s="51" t="n">
        <v>0</v>
      </c>
    </row>
    <row r="511">
      <c r="A511">
        <f>HYPERLINK("https://www.walmart.com/ip/379187851", "379187851")</f>
        <v/>
      </c>
      <c r="B511" t="inlineStr">
        <is>
          <t>Sherpa jackie Mink Fleece for Adults 73 x 51”| Cozy Warm</t>
        </is>
      </c>
      <c r="C511" t="inlineStr">
        <is>
          <t>1CTJK200CHEETAH</t>
        </is>
      </c>
      <c r="D511" t="inlineStr">
        <is>
          <t>Sweatshirts &amp; Hoodies</t>
        </is>
      </c>
      <c r="E511" t="inlineStr">
        <is>
          <t>Catalonia</t>
        </is>
      </c>
      <c r="F511" t="inlineStr">
        <is>
          <t>Jacket ForAdult,WFS,WFS Item</t>
        </is>
      </c>
      <c r="G511" s="48" t="n">
        <v>0</v>
      </c>
      <c r="H511" s="48" t="n">
        <v>0</v>
      </c>
      <c r="I511" s="48" t="n">
        <v>0</v>
      </c>
      <c r="J511" s="48" t="n">
        <v>0</v>
      </c>
      <c r="K511" s="49" t="n">
        <v>0</v>
      </c>
      <c r="L511" s="49" t="n">
        <v>0</v>
      </c>
      <c r="M511" s="49" t="n">
        <v>0</v>
      </c>
      <c r="N511" s="49" t="n">
        <v>0</v>
      </c>
      <c r="O511" s="49" t="n">
        <v>0</v>
      </c>
      <c r="P511" s="49" t="n">
        <v>0</v>
      </c>
      <c r="Q511" s="49" t="n">
        <v>0</v>
      </c>
      <c r="R511" s="49" t="n">
        <v>0</v>
      </c>
      <c r="S511" s="50" t="n">
        <v>0</v>
      </c>
      <c r="T511" s="50" t="n">
        <v>0</v>
      </c>
      <c r="U511" s="50" t="n">
        <v>0</v>
      </c>
      <c r="V511" s="50" t="n">
        <v>0</v>
      </c>
      <c r="W511" s="51" t="n">
        <v>0</v>
      </c>
      <c r="X511" s="51" t="n">
        <v>0</v>
      </c>
      <c r="Y511" s="51" t="n">
        <v>0</v>
      </c>
      <c r="Z511" s="51" t="n">
        <v>0</v>
      </c>
      <c r="AA511" s="52" t="n">
        <v>0</v>
      </c>
      <c r="AB511" s="52" t="n">
        <v>0</v>
      </c>
      <c r="AC511" s="52" t="n">
        <v>0</v>
      </c>
      <c r="AD511" s="52" t="n">
        <v>0</v>
      </c>
      <c r="AE511" s="52" t="n">
        <v>0</v>
      </c>
      <c r="AF511" s="52" t="n">
        <v>0</v>
      </c>
      <c r="AG511" s="52" t="n">
        <v>0</v>
      </c>
      <c r="AH511" s="52" t="n">
        <v>0</v>
      </c>
      <c r="AI511" s="52" t="n">
        <v>0</v>
      </c>
      <c r="AJ511" s="52" t="n">
        <v>0</v>
      </c>
      <c r="AK511" s="52" t="n">
        <v>0</v>
      </c>
      <c r="AL511" s="52" t="n">
        <v>0</v>
      </c>
      <c r="AM511" s="53" t="n">
        <v>0</v>
      </c>
      <c r="AN511" s="53" t="n">
        <v>0</v>
      </c>
      <c r="AO511" s="53" t="n">
        <v>0</v>
      </c>
      <c r="AP511" s="53" t="n">
        <v>0</v>
      </c>
      <c r="AQ511" s="52" t="n">
        <v>0</v>
      </c>
      <c r="AR511" s="52" t="n">
        <v>0</v>
      </c>
      <c r="AS511" s="52" t="n">
        <v>0</v>
      </c>
      <c r="AT511" s="52" t="n">
        <v>0</v>
      </c>
      <c r="AU511" s="53" t="n">
        <v>0</v>
      </c>
      <c r="AV511" s="53" t="n">
        <v>0</v>
      </c>
      <c r="AW511" s="53" t="n">
        <v>0</v>
      </c>
      <c r="AX511" s="53" t="n">
        <v>0</v>
      </c>
      <c r="AY511" s="52" t="n">
        <v>0</v>
      </c>
      <c r="AZ511" s="52" t="n">
        <v>0</v>
      </c>
      <c r="BA511" s="52" t="n">
        <v>0</v>
      </c>
      <c r="BB511" s="52" t="n">
        <v>0</v>
      </c>
      <c r="BC511" s="51" t="n">
        <v>0</v>
      </c>
      <c r="BD511" s="51" t="n">
        <v>0</v>
      </c>
      <c r="BE511" s="51" t="n">
        <v>0</v>
      </c>
      <c r="BF511" s="51" t="n">
        <v>0</v>
      </c>
    </row>
    <row r="512">
      <c r="A512">
        <f>HYPERLINK("https://www.walmart.com/ip/379265869", "379265869")</f>
        <v/>
      </c>
      <c r="B512" t="inlineStr">
        <is>
          <t>Tirrinia Adult Hooded Poncho Towels, All-match Swim Robe 34'' × 42.5''</t>
        </is>
      </c>
      <c r="C512" t="inlineStr">
        <is>
          <t>1TRBR100-GY-TB02</t>
        </is>
      </c>
      <c r="D512" t="inlineStr">
        <is>
          <t>Sleepwear Robes &amp; Bathrobes</t>
        </is>
      </c>
      <c r="E512" t="inlineStr">
        <is>
          <t>Tirrinia</t>
        </is>
      </c>
      <c r="F512" t="inlineStr">
        <is>
          <t>Batch 1 - TR</t>
        </is>
      </c>
      <c r="G512" s="48" t="n">
        <v>0</v>
      </c>
      <c r="H512" s="48" t="n">
        <v>0</v>
      </c>
      <c r="I512" s="48" t="n">
        <v>0</v>
      </c>
      <c r="J512" s="48" t="n">
        <v>0</v>
      </c>
      <c r="K512" s="49" t="n">
        <v>0</v>
      </c>
      <c r="L512" s="49" t="n">
        <v>0</v>
      </c>
      <c r="M512" s="49" t="n">
        <v>0</v>
      </c>
      <c r="N512" s="49" t="n">
        <v>0</v>
      </c>
      <c r="O512" s="49" t="n">
        <v>0</v>
      </c>
      <c r="P512" s="49" t="n">
        <v>0</v>
      </c>
      <c r="Q512" s="49" t="n">
        <v>0</v>
      </c>
      <c r="R512" s="49" t="n">
        <v>0</v>
      </c>
      <c r="S512" s="50" t="n">
        <v>0</v>
      </c>
      <c r="T512" s="50" t="n">
        <v>0</v>
      </c>
      <c r="U512" s="50" t="n">
        <v>0</v>
      </c>
      <c r="V512" s="50" t="n">
        <v>0</v>
      </c>
      <c r="W512" s="51" t="n">
        <v>0</v>
      </c>
      <c r="X512" s="51" t="n">
        <v>0</v>
      </c>
      <c r="Y512" s="51" t="n">
        <v>0</v>
      </c>
      <c r="Z512" s="51" t="n">
        <v>0</v>
      </c>
      <c r="AA512" s="52" t="n">
        <v>0</v>
      </c>
      <c r="AB512" s="52" t="n">
        <v>0</v>
      </c>
      <c r="AC512" s="52" t="n">
        <v>0</v>
      </c>
      <c r="AD512" s="52" t="n">
        <v>0</v>
      </c>
      <c r="AE512" s="52" t="n">
        <v>0</v>
      </c>
      <c r="AF512" s="52" t="n">
        <v>0</v>
      </c>
      <c r="AG512" s="52" t="n">
        <v>0</v>
      </c>
      <c r="AH512" s="52" t="n">
        <v>0</v>
      </c>
      <c r="AI512" s="52" t="n">
        <v>0</v>
      </c>
      <c r="AJ512" s="52" t="n">
        <v>0</v>
      </c>
      <c r="AK512" s="52" t="n">
        <v>0</v>
      </c>
      <c r="AL512" s="52" t="n">
        <v>0</v>
      </c>
      <c r="AM512" s="53" t="n">
        <v>0</v>
      </c>
      <c r="AN512" s="53" t="n">
        <v>0</v>
      </c>
      <c r="AO512" s="53" t="n">
        <v>0</v>
      </c>
      <c r="AP512" s="53" t="n">
        <v>0</v>
      </c>
      <c r="AQ512" s="52" t="n">
        <v>0</v>
      </c>
      <c r="AR512" s="52" t="n">
        <v>0</v>
      </c>
      <c r="AS512" s="52" t="n">
        <v>0</v>
      </c>
      <c r="AT512" s="52" t="n">
        <v>0</v>
      </c>
      <c r="AU512" s="53" t="n">
        <v>0</v>
      </c>
      <c r="AV512" s="53" t="n">
        <v>0</v>
      </c>
      <c r="AW512" s="53" t="n">
        <v>0</v>
      </c>
      <c r="AX512" s="53" t="n">
        <v>0</v>
      </c>
      <c r="AY512" s="52" t="n">
        <v>0</v>
      </c>
      <c r="AZ512" s="52" t="n">
        <v>0</v>
      </c>
      <c r="BA512" s="52" t="n">
        <v>0</v>
      </c>
      <c r="BB512" s="52" t="n">
        <v>0</v>
      </c>
      <c r="BC512" s="51" t="n">
        <v>0</v>
      </c>
      <c r="BD512" s="51" t="n">
        <v>0</v>
      </c>
      <c r="BE512" s="51" t="n">
        <v>0</v>
      </c>
      <c r="BF512" s="51" t="n">
        <v>0</v>
      </c>
    </row>
    <row r="513">
      <c r="A513">
        <f>HYPERLINK("https://www.walmart.com/ip/390764991", "390764991")</f>
        <v/>
      </c>
      <c r="B513" t="inlineStr">
        <is>
          <t>Tirrinia Sand-Free Beach Blanket for 7 Adults, Portable Blanket for Camping, Hiking and Picnic, Set Includes 7 Sand Pockets, 8 Stakes, &amp; 1 Inflatable Pillow</t>
        </is>
      </c>
      <c r="C513" t="inlineStr">
        <is>
          <t>1WMBM109-BLGY</t>
        </is>
      </c>
      <c r="D513" t="inlineStr">
        <is>
          <t>Picnic Blankets &amp; Mats</t>
        </is>
      </c>
      <c r="E513" t="inlineStr">
        <is>
          <t>Tirrinia</t>
        </is>
      </c>
      <c r="F513" t="inlineStr">
        <is>
          <t>Q2-Target,Optimized,WFS,SEM,WFS Item</t>
        </is>
      </c>
      <c r="G513" s="48" t="n">
        <v>0</v>
      </c>
      <c r="H513" s="48" t="n">
        <v>55.98</v>
      </c>
      <c r="I513" s="48" t="n">
        <v>83.97</v>
      </c>
      <c r="J513" s="48" t="n">
        <v>-27.99</v>
      </c>
      <c r="K513" s="49" t="n">
        <v>0</v>
      </c>
      <c r="L513" s="49" t="n">
        <v>2</v>
      </c>
      <c r="M513" s="49" t="n">
        <v>3</v>
      </c>
      <c r="N513" s="49" t="n">
        <v>-1</v>
      </c>
      <c r="O513" s="49" t="n">
        <v>28</v>
      </c>
      <c r="P513" s="49" t="n">
        <v>28</v>
      </c>
      <c r="Q513" s="49" t="n">
        <v>22</v>
      </c>
      <c r="R513" s="49" t="n">
        <v>7</v>
      </c>
      <c r="S513" s="50" t="n">
        <v>0</v>
      </c>
      <c r="T513" s="50" t="n">
        <v>0.07142857142857142</v>
      </c>
      <c r="U513" s="50" t="n">
        <v>0.1363636363636364</v>
      </c>
      <c r="V513" s="50" t="n">
        <v>-0.1428571428571428</v>
      </c>
      <c r="W513" s="51" t="n">
        <v>39</v>
      </c>
      <c r="X513" s="51" t="n">
        <v>61</v>
      </c>
      <c r="Y513" s="51" t="n">
        <v>35</v>
      </c>
      <c r="Z513" s="51" t="n">
        <v>16</v>
      </c>
      <c r="AA513" s="52" t="n">
        <v>15.93</v>
      </c>
      <c r="AB513" s="52" t="n">
        <v>26.52</v>
      </c>
      <c r="AC513" s="52" t="n">
        <v>14.95</v>
      </c>
      <c r="AD513" s="52" t="n">
        <v>7.370000000000001</v>
      </c>
      <c r="AE513" s="52" t="n">
        <v>0</v>
      </c>
      <c r="AF513" s="52" t="n">
        <v>27.99</v>
      </c>
      <c r="AG513" s="52" t="n">
        <v>27.99</v>
      </c>
      <c r="AH513" s="52" t="n">
        <v>0</v>
      </c>
      <c r="AI513" s="52" t="n">
        <v>0</v>
      </c>
      <c r="AJ513" s="52" t="n">
        <v>1.06</v>
      </c>
      <c r="AK513" s="52" t="n">
        <v>1.87</v>
      </c>
      <c r="AL513" s="52" t="n">
        <v>0</v>
      </c>
      <c r="AM513" s="53" t="n">
        <v>0.0045</v>
      </c>
      <c r="AN513" s="53" t="n">
        <v>0.0053</v>
      </c>
      <c r="AO513" s="53" t="n">
        <v>0.0044</v>
      </c>
      <c r="AP513" s="53" t="n">
        <v>0.0025</v>
      </c>
      <c r="AQ513" s="52" t="n">
        <v>0.4084615384615385</v>
      </c>
      <c r="AR513" s="52" t="n">
        <v>0.4347540983606558</v>
      </c>
      <c r="AS513" s="52" t="n">
        <v>0.4271428571428572</v>
      </c>
      <c r="AT513" s="52" t="n">
        <v>0.4606250000000001</v>
      </c>
      <c r="AU513" s="53" t="n">
        <v>0</v>
      </c>
      <c r="AV513" s="53" t="n">
        <v>0.4737406216505896</v>
      </c>
      <c r="AW513" s="53" t="n">
        <v>0.1780397761105157</v>
      </c>
      <c r="AX513" s="53" t="n">
        <v>0</v>
      </c>
      <c r="AY513" s="52" t="n">
        <v>0</v>
      </c>
      <c r="AZ513" s="52" t="n">
        <v>27.99</v>
      </c>
      <c r="BA513" s="52" t="n">
        <v>27.99</v>
      </c>
      <c r="BB513" s="52" t="n">
        <v>0</v>
      </c>
      <c r="BC513" s="51" t="n">
        <v>8764</v>
      </c>
      <c r="BD513" s="51" t="n">
        <v>11605</v>
      </c>
      <c r="BE513" s="51" t="n">
        <v>7973</v>
      </c>
      <c r="BF513" s="51" t="n">
        <v>6298</v>
      </c>
    </row>
    <row r="514">
      <c r="A514">
        <f>HYPERLINK("https://www.walmart.com/ip/3927576726", "3927576726")</f>
        <v/>
      </c>
      <c r="B514" t="inlineStr">
        <is>
          <t>Dickies Insulated Lunch Bag Satchel for Girls School and Work, Thermal Reusable Office Lunch Box for Women (Charcoal)</t>
        </is>
      </c>
      <c r="C514" t="inlineStr">
        <is>
          <t>DK-LUNCH-SATCHEL-CHARCOL-FN</t>
        </is>
      </c>
      <c r="D514" t="inlineStr">
        <is>
          <t>Reusable Lunch Bags &amp; Boxes</t>
        </is>
      </c>
      <c r="E514" t="inlineStr">
        <is>
          <t>Dickies</t>
        </is>
      </c>
      <c r="G514" s="48" t="n">
        <v>0</v>
      </c>
      <c r="H514" s="48" t="n">
        <v>0</v>
      </c>
      <c r="I514" s="48" t="n">
        <v>0</v>
      </c>
      <c r="J514" s="48" t="n">
        <v>0</v>
      </c>
      <c r="K514" s="49" t="n">
        <v>0</v>
      </c>
      <c r="L514" s="49" t="n">
        <v>0</v>
      </c>
      <c r="M514" s="49" t="n">
        <v>0</v>
      </c>
      <c r="N514" s="49" t="n">
        <v>0</v>
      </c>
      <c r="O514" s="49" t="n">
        <v>0</v>
      </c>
      <c r="P514" s="49" t="n">
        <v>0</v>
      </c>
      <c r="Q514" s="49" t="n">
        <v>0</v>
      </c>
      <c r="R514" s="49" t="n">
        <v>0</v>
      </c>
      <c r="S514" s="50" t="n">
        <v>0</v>
      </c>
      <c r="T514" s="50" t="n">
        <v>0</v>
      </c>
      <c r="U514" s="50" t="n">
        <v>0</v>
      </c>
      <c r="V514" s="50" t="n">
        <v>0</v>
      </c>
      <c r="W514" s="51" t="n">
        <v>0</v>
      </c>
      <c r="X514" s="51" t="n">
        <v>0</v>
      </c>
      <c r="Y514" s="51" t="n">
        <v>0</v>
      </c>
      <c r="Z514" s="51" t="n">
        <v>0</v>
      </c>
      <c r="AA514" s="52" t="n">
        <v>0</v>
      </c>
      <c r="AB514" s="52" t="n">
        <v>0</v>
      </c>
      <c r="AC514" s="52" t="n">
        <v>0</v>
      </c>
      <c r="AD514" s="52" t="n">
        <v>0</v>
      </c>
      <c r="AE514" s="52" t="n">
        <v>0</v>
      </c>
      <c r="AF514" s="52" t="n">
        <v>0</v>
      </c>
      <c r="AG514" s="52" t="n">
        <v>0</v>
      </c>
      <c r="AH514" s="52" t="n">
        <v>0</v>
      </c>
      <c r="AI514" s="52" t="n">
        <v>0</v>
      </c>
      <c r="AJ514" s="52" t="n">
        <v>0</v>
      </c>
      <c r="AK514" s="52" t="n">
        <v>0</v>
      </c>
      <c r="AL514" s="52" t="n">
        <v>0</v>
      </c>
      <c r="AM514" s="53" t="n">
        <v>0</v>
      </c>
      <c r="AN514" s="53" t="n">
        <v>0</v>
      </c>
      <c r="AO514" s="53" t="n">
        <v>0</v>
      </c>
      <c r="AP514" s="53" t="n">
        <v>0</v>
      </c>
      <c r="AQ514" s="52" t="n">
        <v>0</v>
      </c>
      <c r="AR514" s="52" t="n">
        <v>0</v>
      </c>
      <c r="AS514" s="52" t="n">
        <v>0</v>
      </c>
      <c r="AT514" s="52" t="n">
        <v>0</v>
      </c>
      <c r="AU514" s="53" t="n">
        <v>0</v>
      </c>
      <c r="AV514" s="53" t="n">
        <v>0</v>
      </c>
      <c r="AW514" s="53" t="n">
        <v>0</v>
      </c>
      <c r="AX514" s="53" t="n">
        <v>0</v>
      </c>
      <c r="AY514" s="52" t="n">
        <v>0</v>
      </c>
      <c r="AZ514" s="52" t="n">
        <v>0</v>
      </c>
      <c r="BA514" s="52" t="n">
        <v>0</v>
      </c>
      <c r="BB514" s="52" t="n">
        <v>0</v>
      </c>
      <c r="BC514" s="51" t="n">
        <v>0</v>
      </c>
      <c r="BD514" s="51" t="n">
        <v>0</v>
      </c>
      <c r="BE514" s="51" t="n">
        <v>0</v>
      </c>
      <c r="BF514" s="51" t="n">
        <v>0</v>
      </c>
    </row>
    <row r="515">
      <c r="A515">
        <f>HYPERLINK("https://www.walmart.com/ip/414774668", "414774668")</f>
        <v/>
      </c>
      <c r="B515" t="inlineStr">
        <is>
          <t>Napa Super Soft Velvet Plush Throw Blanket, Reversible Fuzzy Solid Blanket, All Season Bed Throw TV Blanket, Light Grey, 50'' x 70''</t>
        </is>
      </c>
      <c r="C515" t="inlineStr">
        <is>
          <t>K8023LGY</t>
        </is>
      </c>
      <c r="D515" t="inlineStr">
        <is>
          <t>Throws</t>
        </is>
      </c>
      <c r="E515" t="inlineStr">
        <is>
          <t>NAPA</t>
        </is>
      </c>
      <c r="G515" s="48" t="n">
        <v>0</v>
      </c>
      <c r="H515" s="48" t="n">
        <v>0</v>
      </c>
      <c r="I515" s="48" t="n">
        <v>0</v>
      </c>
      <c r="J515" s="48" t="n">
        <v>0</v>
      </c>
      <c r="K515" s="49" t="n">
        <v>0</v>
      </c>
      <c r="L515" s="49" t="n">
        <v>0</v>
      </c>
      <c r="M515" s="49" t="n">
        <v>0</v>
      </c>
      <c r="N515" s="49" t="n">
        <v>0</v>
      </c>
      <c r="O515" s="49" t="n">
        <v>0</v>
      </c>
      <c r="P515" s="49" t="n">
        <v>0</v>
      </c>
      <c r="Q515" s="49" t="n">
        <v>0</v>
      </c>
      <c r="R515" s="49" t="n">
        <v>0</v>
      </c>
      <c r="S515" s="50" t="n">
        <v>0</v>
      </c>
      <c r="T515" s="50" t="n">
        <v>0</v>
      </c>
      <c r="U515" s="50" t="n">
        <v>0</v>
      </c>
      <c r="V515" s="50" t="n">
        <v>0</v>
      </c>
      <c r="W515" s="51" t="n">
        <v>0</v>
      </c>
      <c r="X515" s="51" t="n">
        <v>0</v>
      </c>
      <c r="Y515" s="51" t="n">
        <v>0</v>
      </c>
      <c r="Z515" s="51" t="n">
        <v>0</v>
      </c>
      <c r="AA515" s="52" t="n">
        <v>0</v>
      </c>
      <c r="AB515" s="52" t="n">
        <v>0</v>
      </c>
      <c r="AC515" s="52" t="n">
        <v>0</v>
      </c>
      <c r="AD515" s="52" t="n">
        <v>0</v>
      </c>
      <c r="AE515" s="52" t="n">
        <v>0</v>
      </c>
      <c r="AF515" s="52" t="n">
        <v>0</v>
      </c>
      <c r="AG515" s="52" t="n">
        <v>0</v>
      </c>
      <c r="AH515" s="52" t="n">
        <v>0</v>
      </c>
      <c r="AI515" s="52" t="n">
        <v>0</v>
      </c>
      <c r="AJ515" s="52" t="n">
        <v>0</v>
      </c>
      <c r="AK515" s="52" t="n">
        <v>0</v>
      </c>
      <c r="AL515" s="52" t="n">
        <v>0</v>
      </c>
      <c r="AM515" s="53" t="n">
        <v>0</v>
      </c>
      <c r="AN515" s="53" t="n">
        <v>0</v>
      </c>
      <c r="AO515" s="53" t="n">
        <v>0</v>
      </c>
      <c r="AP515" s="53" t="n">
        <v>0</v>
      </c>
      <c r="AQ515" s="52" t="n">
        <v>0</v>
      </c>
      <c r="AR515" s="52" t="n">
        <v>0</v>
      </c>
      <c r="AS515" s="52" t="n">
        <v>0</v>
      </c>
      <c r="AT515" s="52" t="n">
        <v>0</v>
      </c>
      <c r="AU515" s="53" t="n">
        <v>0</v>
      </c>
      <c r="AV515" s="53" t="n">
        <v>0</v>
      </c>
      <c r="AW515" s="53" t="n">
        <v>0</v>
      </c>
      <c r="AX515" s="53" t="n">
        <v>0</v>
      </c>
      <c r="AY515" s="52" t="n">
        <v>0</v>
      </c>
      <c r="AZ515" s="52" t="n">
        <v>0</v>
      </c>
      <c r="BA515" s="52" t="n">
        <v>0</v>
      </c>
      <c r="BB515" s="52" t="n">
        <v>0</v>
      </c>
      <c r="BC515" s="51" t="n">
        <v>0</v>
      </c>
      <c r="BD515" s="51" t="n">
        <v>0</v>
      </c>
      <c r="BE515" s="51" t="n">
        <v>0</v>
      </c>
      <c r="BF515" s="51" t="n">
        <v>0</v>
      </c>
    </row>
    <row r="516">
      <c r="A516">
        <f>HYPERLINK("https://www.walmart.com/ip/394849317", "394849317")</f>
        <v/>
      </c>
      <c r="B516" t="inlineStr">
        <is>
          <t>Tirrinia Hooded Bath Towel for 2 to 6 Years Boy,100% Cotton Water Absorption Beach Poncho Swim Changing Robe Surf Boy Pattern</t>
        </is>
      </c>
      <c r="C516" t="inlineStr">
        <is>
          <t>1TRBR200-SF</t>
        </is>
      </c>
      <c r="D516" t="inlineStr">
        <is>
          <t>Towels &amp; Washcloths</t>
        </is>
      </c>
      <c r="E516" t="inlineStr">
        <is>
          <t>Tirrinia</t>
        </is>
      </c>
      <c r="F516" t="inlineStr">
        <is>
          <t>Beach Robe Camp</t>
        </is>
      </c>
      <c r="G516" s="48" t="n">
        <v>0</v>
      </c>
      <c r="H516" s="48" t="n">
        <v>0</v>
      </c>
      <c r="I516" s="48" t="n">
        <v>0</v>
      </c>
      <c r="J516" s="48" t="n">
        <v>0</v>
      </c>
      <c r="K516" s="49" t="n">
        <v>0</v>
      </c>
      <c r="L516" s="49" t="n">
        <v>0</v>
      </c>
      <c r="M516" s="49" t="n">
        <v>0</v>
      </c>
      <c r="N516" s="49" t="n">
        <v>0</v>
      </c>
      <c r="O516" s="49" t="n">
        <v>0</v>
      </c>
      <c r="P516" s="49" t="n">
        <v>0</v>
      </c>
      <c r="Q516" s="49" t="n">
        <v>0</v>
      </c>
      <c r="R516" s="49" t="n">
        <v>0</v>
      </c>
      <c r="S516" s="50" t="n">
        <v>0</v>
      </c>
      <c r="T516" s="50" t="n">
        <v>0</v>
      </c>
      <c r="U516" s="50" t="n">
        <v>0</v>
      </c>
      <c r="V516" s="50" t="n">
        <v>0</v>
      </c>
      <c r="W516" s="51" t="n">
        <v>0</v>
      </c>
      <c r="X516" s="51" t="n">
        <v>0</v>
      </c>
      <c r="Y516" s="51" t="n">
        <v>0</v>
      </c>
      <c r="Z516" s="51" t="n">
        <v>0</v>
      </c>
      <c r="AA516" s="52" t="n">
        <v>0</v>
      </c>
      <c r="AB516" s="52" t="n">
        <v>0</v>
      </c>
      <c r="AC516" s="52" t="n">
        <v>0</v>
      </c>
      <c r="AD516" s="52" t="n">
        <v>0</v>
      </c>
      <c r="AE516" s="52" t="n">
        <v>0</v>
      </c>
      <c r="AF516" s="52" t="n">
        <v>0</v>
      </c>
      <c r="AG516" s="52" t="n">
        <v>0</v>
      </c>
      <c r="AH516" s="52" t="n">
        <v>0</v>
      </c>
      <c r="AI516" s="52" t="n">
        <v>0</v>
      </c>
      <c r="AJ516" s="52" t="n">
        <v>0</v>
      </c>
      <c r="AK516" s="52" t="n">
        <v>0</v>
      </c>
      <c r="AL516" s="52" t="n">
        <v>0</v>
      </c>
      <c r="AM516" s="53" t="n">
        <v>0</v>
      </c>
      <c r="AN516" s="53" t="n">
        <v>0</v>
      </c>
      <c r="AO516" s="53" t="n">
        <v>0</v>
      </c>
      <c r="AP516" s="53" t="n">
        <v>0</v>
      </c>
      <c r="AQ516" s="52" t="n">
        <v>0</v>
      </c>
      <c r="AR516" s="52" t="n">
        <v>0</v>
      </c>
      <c r="AS516" s="52" t="n">
        <v>0</v>
      </c>
      <c r="AT516" s="52" t="n">
        <v>0</v>
      </c>
      <c r="AU516" s="53" t="n">
        <v>0</v>
      </c>
      <c r="AV516" s="53" t="n">
        <v>0</v>
      </c>
      <c r="AW516" s="53" t="n">
        <v>0</v>
      </c>
      <c r="AX516" s="53" t="n">
        <v>0</v>
      </c>
      <c r="AY516" s="52" t="n">
        <v>0</v>
      </c>
      <c r="AZ516" s="52" t="n">
        <v>0</v>
      </c>
      <c r="BA516" s="52" t="n">
        <v>0</v>
      </c>
      <c r="BB516" s="52" t="n">
        <v>0</v>
      </c>
      <c r="BC516" s="51" t="n">
        <v>0</v>
      </c>
      <c r="BD516" s="51" t="n">
        <v>0</v>
      </c>
      <c r="BE516" s="51" t="n">
        <v>0</v>
      </c>
      <c r="BF516" s="51" t="n">
        <v>0</v>
      </c>
    </row>
    <row r="517">
      <c r="A517">
        <f>HYPERLINK("https://www.walmart.com/ip/410430005", "410430005")</f>
        <v/>
      </c>
      <c r="B517" t="inlineStr">
        <is>
          <t>Surf Poncho Changing Towel Robe for Adults Men Women, Hooded Wetsuit Change Poncho for Surfing Swimming Bathing, Water Absorbent, Black, Oversized.</t>
        </is>
      </c>
      <c r="C517" t="inlineStr">
        <is>
          <t>1CTBR100BK-ESCB</t>
        </is>
      </c>
      <c r="D517" t="inlineStr">
        <is>
          <t>Sleepwear Robes &amp; Bathrobes</t>
        </is>
      </c>
      <c r="E517" t="inlineStr">
        <is>
          <t>Catalonia</t>
        </is>
      </c>
      <c r="F517" t="inlineStr">
        <is>
          <t>Beach Robe Camp,Batch 1 - TR</t>
        </is>
      </c>
      <c r="G517" s="48" t="n">
        <v>0</v>
      </c>
      <c r="H517" s="48" t="n">
        <v>0</v>
      </c>
      <c r="I517" s="48" t="n">
        <v>0</v>
      </c>
      <c r="J517" s="48" t="n">
        <v>0</v>
      </c>
      <c r="K517" s="49" t="n">
        <v>0</v>
      </c>
      <c r="L517" s="49" t="n">
        <v>0</v>
      </c>
      <c r="M517" s="49" t="n">
        <v>0</v>
      </c>
      <c r="N517" s="49" t="n">
        <v>0</v>
      </c>
      <c r="O517" s="49" t="n">
        <v>0</v>
      </c>
      <c r="P517" s="49" t="n">
        <v>0</v>
      </c>
      <c r="Q517" s="49" t="n">
        <v>0</v>
      </c>
      <c r="R517" s="49" t="n">
        <v>0</v>
      </c>
      <c r="S517" s="50" t="n">
        <v>0</v>
      </c>
      <c r="T517" s="50" t="n">
        <v>0</v>
      </c>
      <c r="U517" s="50" t="n">
        <v>0</v>
      </c>
      <c r="V517" s="50" t="n">
        <v>0</v>
      </c>
      <c r="W517" s="51" t="n">
        <v>0</v>
      </c>
      <c r="X517" s="51" t="n">
        <v>0</v>
      </c>
      <c r="Y517" s="51" t="n">
        <v>0</v>
      </c>
      <c r="Z517" s="51" t="n">
        <v>0</v>
      </c>
      <c r="AA517" s="52" t="n">
        <v>0</v>
      </c>
      <c r="AB517" s="52" t="n">
        <v>0</v>
      </c>
      <c r="AC517" s="52" t="n">
        <v>0</v>
      </c>
      <c r="AD517" s="52" t="n">
        <v>0</v>
      </c>
      <c r="AE517" s="52" t="n">
        <v>0</v>
      </c>
      <c r="AF517" s="52" t="n">
        <v>0</v>
      </c>
      <c r="AG517" s="52" t="n">
        <v>0</v>
      </c>
      <c r="AH517" s="52" t="n">
        <v>0</v>
      </c>
      <c r="AI517" s="52" t="n">
        <v>0</v>
      </c>
      <c r="AJ517" s="52" t="n">
        <v>0</v>
      </c>
      <c r="AK517" s="52" t="n">
        <v>0</v>
      </c>
      <c r="AL517" s="52" t="n">
        <v>0</v>
      </c>
      <c r="AM517" s="53" t="n">
        <v>0</v>
      </c>
      <c r="AN517" s="53" t="n">
        <v>0</v>
      </c>
      <c r="AO517" s="53" t="n">
        <v>0</v>
      </c>
      <c r="AP517" s="53" t="n">
        <v>0</v>
      </c>
      <c r="AQ517" s="52" t="n">
        <v>0</v>
      </c>
      <c r="AR517" s="52" t="n">
        <v>0</v>
      </c>
      <c r="AS517" s="52" t="n">
        <v>0</v>
      </c>
      <c r="AT517" s="52" t="n">
        <v>0</v>
      </c>
      <c r="AU517" s="53" t="n">
        <v>0</v>
      </c>
      <c r="AV517" s="53" t="n">
        <v>0</v>
      </c>
      <c r="AW517" s="53" t="n">
        <v>0</v>
      </c>
      <c r="AX517" s="53" t="n">
        <v>0</v>
      </c>
      <c r="AY517" s="52" t="n">
        <v>0</v>
      </c>
      <c r="AZ517" s="52" t="n">
        <v>0</v>
      </c>
      <c r="BA517" s="52" t="n">
        <v>0</v>
      </c>
      <c r="BB517" s="52" t="n">
        <v>0</v>
      </c>
      <c r="BC517" s="51" t="n">
        <v>0</v>
      </c>
      <c r="BD517" s="51" t="n">
        <v>0</v>
      </c>
      <c r="BE517" s="51" t="n">
        <v>0</v>
      </c>
      <c r="BF517" s="51" t="n">
        <v>0</v>
      </c>
    </row>
    <row r="518">
      <c r="A518">
        <f>HYPERLINK("https://www.walmart.com/ip/410899618", "410899618")</f>
        <v/>
      </c>
      <c r="B518" t="inlineStr">
        <is>
          <t>Tirrinia US Flag Patriotic Sherpa Throw Blanket, Super Cozy Fleece Blanket, Reversible for Bed or Couch, US Flag Print, 50" x 60"</t>
        </is>
      </c>
      <c r="C518" t="inlineStr">
        <is>
          <t>1TRBF300USA</t>
        </is>
      </c>
      <c r="D518" t="inlineStr">
        <is>
          <t>Throws</t>
        </is>
      </c>
      <c r="E518" t="inlineStr">
        <is>
          <t>Tirrinia</t>
        </is>
      </c>
      <c r="F518" t="inlineStr">
        <is>
          <t>WFS,WFS Item</t>
        </is>
      </c>
      <c r="G518" s="48" t="n">
        <v>0</v>
      </c>
      <c r="H518" s="48" t="n">
        <v>0</v>
      </c>
      <c r="I518" s="48" t="n">
        <v>0</v>
      </c>
      <c r="J518" s="48" t="n">
        <v>0</v>
      </c>
      <c r="K518" s="49" t="n">
        <v>0</v>
      </c>
      <c r="L518" s="49" t="n">
        <v>0</v>
      </c>
      <c r="M518" s="49" t="n">
        <v>0</v>
      </c>
      <c r="N518" s="49" t="n">
        <v>0</v>
      </c>
      <c r="O518" s="49" t="n">
        <v>0</v>
      </c>
      <c r="P518" s="49" t="n">
        <v>0</v>
      </c>
      <c r="Q518" s="49" t="n">
        <v>0</v>
      </c>
      <c r="R518" s="49" t="n">
        <v>0</v>
      </c>
      <c r="S518" s="50" t="n">
        <v>0</v>
      </c>
      <c r="T518" s="50" t="n">
        <v>0</v>
      </c>
      <c r="U518" s="50" t="n">
        <v>0</v>
      </c>
      <c r="V518" s="50" t="n">
        <v>0</v>
      </c>
      <c r="W518" s="51" t="n">
        <v>0</v>
      </c>
      <c r="X518" s="51" t="n">
        <v>0</v>
      </c>
      <c r="Y518" s="51" t="n">
        <v>0</v>
      </c>
      <c r="Z518" s="51" t="n">
        <v>0</v>
      </c>
      <c r="AA518" s="52" t="n">
        <v>0</v>
      </c>
      <c r="AB518" s="52" t="n">
        <v>0</v>
      </c>
      <c r="AC518" s="52" t="n">
        <v>0</v>
      </c>
      <c r="AD518" s="52" t="n">
        <v>0</v>
      </c>
      <c r="AE518" s="52" t="n">
        <v>0</v>
      </c>
      <c r="AF518" s="52" t="n">
        <v>0</v>
      </c>
      <c r="AG518" s="52" t="n">
        <v>0</v>
      </c>
      <c r="AH518" s="52" t="n">
        <v>0</v>
      </c>
      <c r="AI518" s="52" t="n">
        <v>0</v>
      </c>
      <c r="AJ518" s="52" t="n">
        <v>0</v>
      </c>
      <c r="AK518" s="52" t="n">
        <v>0</v>
      </c>
      <c r="AL518" s="52" t="n">
        <v>0</v>
      </c>
      <c r="AM518" s="53" t="n">
        <v>0</v>
      </c>
      <c r="AN518" s="53" t="n">
        <v>0</v>
      </c>
      <c r="AO518" s="53" t="n">
        <v>0</v>
      </c>
      <c r="AP518" s="53" t="n">
        <v>0</v>
      </c>
      <c r="AQ518" s="52" t="n">
        <v>0</v>
      </c>
      <c r="AR518" s="52" t="n">
        <v>0</v>
      </c>
      <c r="AS518" s="52" t="n">
        <v>0</v>
      </c>
      <c r="AT518" s="52" t="n">
        <v>0</v>
      </c>
      <c r="AU518" s="53" t="n">
        <v>0</v>
      </c>
      <c r="AV518" s="53" t="n">
        <v>0</v>
      </c>
      <c r="AW518" s="53" t="n">
        <v>0</v>
      </c>
      <c r="AX518" s="53" t="n">
        <v>0</v>
      </c>
      <c r="AY518" s="52" t="n">
        <v>0</v>
      </c>
      <c r="AZ518" s="52" t="n">
        <v>0</v>
      </c>
      <c r="BA518" s="52" t="n">
        <v>0</v>
      </c>
      <c r="BB518" s="52" t="n">
        <v>0</v>
      </c>
      <c r="BC518" s="51" t="n">
        <v>0</v>
      </c>
      <c r="BD518" s="51" t="n">
        <v>0</v>
      </c>
      <c r="BE518" s="51" t="n">
        <v>0</v>
      </c>
      <c r="BF518" s="51" t="n">
        <v>0</v>
      </c>
    </row>
    <row r="519">
      <c r="A519">
        <f>HYPERLINK("https://www.walmart.com/ip/411170938", "411170938")</f>
        <v/>
      </c>
      <c r="B519" t="inlineStr">
        <is>
          <t>Tirrinia Super Soft Plush Wearable Sherpa Fleece Blanket Poncho For Adults Children, 55'' x 80'', Red Plaid</t>
        </is>
      </c>
      <c r="C519" t="inlineStr">
        <is>
          <t>1TRBP110PRD-TBCB</t>
        </is>
      </c>
      <c r="D519" t="inlineStr">
        <is>
          <t>Throws</t>
        </is>
      </c>
      <c r="E519" t="inlineStr">
        <is>
          <t>Tirrinia</t>
        </is>
      </c>
      <c r="F519" t="inlineStr">
        <is>
          <t>Optimized</t>
        </is>
      </c>
      <c r="G519" s="48" t="n">
        <v>0</v>
      </c>
      <c r="H519" s="48" t="n">
        <v>0</v>
      </c>
      <c r="I519" s="48" t="n">
        <v>0</v>
      </c>
      <c r="J519" s="48" t="n">
        <v>0</v>
      </c>
      <c r="K519" s="49" t="n">
        <v>0</v>
      </c>
      <c r="L519" s="49" t="n">
        <v>0</v>
      </c>
      <c r="M519" s="49" t="n">
        <v>0</v>
      </c>
      <c r="N519" s="49" t="n">
        <v>0</v>
      </c>
      <c r="O519" s="49" t="n">
        <v>0</v>
      </c>
      <c r="P519" s="49" t="n">
        <v>0</v>
      </c>
      <c r="Q519" s="49" t="n">
        <v>0</v>
      </c>
      <c r="R519" s="49" t="n">
        <v>0</v>
      </c>
      <c r="S519" s="50" t="n">
        <v>0</v>
      </c>
      <c r="T519" s="50" t="n">
        <v>0</v>
      </c>
      <c r="U519" s="50" t="n">
        <v>0</v>
      </c>
      <c r="V519" s="50" t="n">
        <v>0</v>
      </c>
      <c r="W519" s="51" t="n">
        <v>0</v>
      </c>
      <c r="X519" s="51" t="n">
        <v>0</v>
      </c>
      <c r="Y519" s="51" t="n">
        <v>0</v>
      </c>
      <c r="Z519" s="51" t="n">
        <v>0</v>
      </c>
      <c r="AA519" s="52" t="n">
        <v>0</v>
      </c>
      <c r="AB519" s="52" t="n">
        <v>0</v>
      </c>
      <c r="AC519" s="52" t="n">
        <v>0</v>
      </c>
      <c r="AD519" s="52" t="n">
        <v>0</v>
      </c>
      <c r="AE519" s="52" t="n">
        <v>0</v>
      </c>
      <c r="AF519" s="52" t="n">
        <v>0</v>
      </c>
      <c r="AG519" s="52" t="n">
        <v>0</v>
      </c>
      <c r="AH519" s="52" t="n">
        <v>0</v>
      </c>
      <c r="AI519" s="52" t="n">
        <v>0</v>
      </c>
      <c r="AJ519" s="52" t="n">
        <v>0</v>
      </c>
      <c r="AK519" s="52" t="n">
        <v>0</v>
      </c>
      <c r="AL519" s="52" t="n">
        <v>0</v>
      </c>
      <c r="AM519" s="53" t="n">
        <v>0</v>
      </c>
      <c r="AN519" s="53" t="n">
        <v>0</v>
      </c>
      <c r="AO519" s="53" t="n">
        <v>0</v>
      </c>
      <c r="AP519" s="53" t="n">
        <v>0</v>
      </c>
      <c r="AQ519" s="52" t="n">
        <v>0</v>
      </c>
      <c r="AR519" s="52" t="n">
        <v>0</v>
      </c>
      <c r="AS519" s="52" t="n">
        <v>0</v>
      </c>
      <c r="AT519" s="52" t="n">
        <v>0</v>
      </c>
      <c r="AU519" s="53" t="n">
        <v>0</v>
      </c>
      <c r="AV519" s="53" t="n">
        <v>0</v>
      </c>
      <c r="AW519" s="53" t="n">
        <v>0</v>
      </c>
      <c r="AX519" s="53" t="n">
        <v>0</v>
      </c>
      <c r="AY519" s="52" t="n">
        <v>0</v>
      </c>
      <c r="AZ519" s="52" t="n">
        <v>0</v>
      </c>
      <c r="BA519" s="52" t="n">
        <v>0</v>
      </c>
      <c r="BB519" s="52" t="n">
        <v>0</v>
      </c>
      <c r="BC519" s="51" t="n">
        <v>0</v>
      </c>
      <c r="BD519" s="51" t="n">
        <v>0</v>
      </c>
      <c r="BE519" s="51" t="n">
        <v>0</v>
      </c>
      <c r="BF519" s="51" t="n">
        <v>0</v>
      </c>
    </row>
    <row r="520">
      <c r="A520">
        <f>HYPERLINK("https://www.walmart.com/ip/411330252", "411330252")</f>
        <v/>
      </c>
      <c r="B520" t="inlineStr">
        <is>
          <t>Ski Gloves for Women &amp; Men 3M Winter Snow Gloves Mittens Insulation Waterproof for Outdoors Sports</t>
        </is>
      </c>
      <c r="C520" t="inlineStr">
        <is>
          <t>1SLWG100PKL</t>
        </is>
      </c>
      <c r="D520" t="inlineStr">
        <is>
          <t>Gloves &amp; Mittens</t>
        </is>
      </c>
      <c r="E520" t="inlineStr">
        <is>
          <t>Solaris</t>
        </is>
      </c>
      <c r="F520" t="inlineStr">
        <is>
          <t>Gloves,Batch 1 - TR</t>
        </is>
      </c>
      <c r="G520" s="48" t="n">
        <v>0</v>
      </c>
      <c r="H520" s="48" t="n">
        <v>0</v>
      </c>
      <c r="I520" s="48" t="n">
        <v>0</v>
      </c>
      <c r="J520" s="48" t="n">
        <v>0</v>
      </c>
      <c r="K520" s="49" t="n">
        <v>0</v>
      </c>
      <c r="L520" s="49" t="n">
        <v>0</v>
      </c>
      <c r="M520" s="49" t="n">
        <v>0</v>
      </c>
      <c r="N520" s="49" t="n">
        <v>0</v>
      </c>
      <c r="O520" s="49" t="n">
        <v>0</v>
      </c>
      <c r="P520" s="49" t="n">
        <v>0</v>
      </c>
      <c r="Q520" s="49" t="n">
        <v>0</v>
      </c>
      <c r="R520" s="49" t="n">
        <v>0</v>
      </c>
      <c r="S520" s="50" t="n">
        <v>0</v>
      </c>
      <c r="T520" s="50" t="n">
        <v>0</v>
      </c>
      <c r="U520" s="50" t="n">
        <v>0</v>
      </c>
      <c r="V520" s="50" t="n">
        <v>0</v>
      </c>
      <c r="W520" s="51" t="n">
        <v>0</v>
      </c>
      <c r="X520" s="51" t="n">
        <v>0</v>
      </c>
      <c r="Y520" s="51" t="n">
        <v>0</v>
      </c>
      <c r="Z520" s="51" t="n">
        <v>0</v>
      </c>
      <c r="AA520" s="52" t="n">
        <v>0</v>
      </c>
      <c r="AB520" s="52" t="n">
        <v>0</v>
      </c>
      <c r="AC520" s="52" t="n">
        <v>0</v>
      </c>
      <c r="AD520" s="52" t="n">
        <v>0</v>
      </c>
      <c r="AE520" s="52" t="n">
        <v>0</v>
      </c>
      <c r="AF520" s="52" t="n">
        <v>0</v>
      </c>
      <c r="AG520" s="52" t="n">
        <v>0</v>
      </c>
      <c r="AH520" s="52" t="n">
        <v>0</v>
      </c>
      <c r="AI520" s="52" t="n">
        <v>0</v>
      </c>
      <c r="AJ520" s="52" t="n">
        <v>0</v>
      </c>
      <c r="AK520" s="52" t="n">
        <v>0</v>
      </c>
      <c r="AL520" s="52" t="n">
        <v>0</v>
      </c>
      <c r="AM520" s="53" t="n">
        <v>0</v>
      </c>
      <c r="AN520" s="53" t="n">
        <v>0</v>
      </c>
      <c r="AO520" s="53" t="n">
        <v>0</v>
      </c>
      <c r="AP520" s="53" t="n">
        <v>0</v>
      </c>
      <c r="AQ520" s="52" t="n">
        <v>0</v>
      </c>
      <c r="AR520" s="52" t="n">
        <v>0</v>
      </c>
      <c r="AS520" s="52" t="n">
        <v>0</v>
      </c>
      <c r="AT520" s="52" t="n">
        <v>0</v>
      </c>
      <c r="AU520" s="53" t="n">
        <v>0</v>
      </c>
      <c r="AV520" s="53" t="n">
        <v>0</v>
      </c>
      <c r="AW520" s="53" t="n">
        <v>0</v>
      </c>
      <c r="AX520" s="53" t="n">
        <v>0</v>
      </c>
      <c r="AY520" s="52" t="n">
        <v>0</v>
      </c>
      <c r="AZ520" s="52" t="n">
        <v>0</v>
      </c>
      <c r="BA520" s="52" t="n">
        <v>0</v>
      </c>
      <c r="BB520" s="52" t="n">
        <v>0</v>
      </c>
      <c r="BC520" s="51" t="n">
        <v>0</v>
      </c>
      <c r="BD520" s="51" t="n">
        <v>0</v>
      </c>
      <c r="BE520" s="51" t="n">
        <v>0</v>
      </c>
      <c r="BF520" s="51" t="n">
        <v>0</v>
      </c>
    </row>
    <row r="521">
      <c r="A521">
        <f>HYPERLINK("https://www.walmart.com/ip/411332148", "411332148")</f>
        <v/>
      </c>
      <c r="B521" t="inlineStr">
        <is>
          <t>KritterWorld® Pet Dog Cat Puppy Kitten Microplush Sherpa Snuggle Blanket for Couch, Car, Trunk, Cage, Kennel, Dog House, 45" x30" Wine/Tan</t>
        </is>
      </c>
      <c r="C521" t="inlineStr">
        <is>
          <t>DOG3045-WNTA</t>
        </is>
      </c>
      <c r="D521" t="inlineStr">
        <is>
          <t>Pet Blankets</t>
        </is>
      </c>
      <c r="E521" t="inlineStr">
        <is>
          <t>KritterWorld</t>
        </is>
      </c>
      <c r="F521" t="inlineStr">
        <is>
          <t>Batch 1 - TR</t>
        </is>
      </c>
      <c r="G521" s="48" t="n">
        <v>0</v>
      </c>
      <c r="H521" s="48" t="n">
        <v>0</v>
      </c>
      <c r="I521" s="48" t="n">
        <v>0</v>
      </c>
      <c r="J521" s="48" t="n">
        <v>0</v>
      </c>
      <c r="K521" s="49" t="n">
        <v>0</v>
      </c>
      <c r="L521" s="49" t="n">
        <v>0</v>
      </c>
      <c r="M521" s="49" t="n">
        <v>0</v>
      </c>
      <c r="N521" s="49" t="n">
        <v>0</v>
      </c>
      <c r="O521" s="49" t="n">
        <v>0</v>
      </c>
      <c r="P521" s="49" t="n">
        <v>0</v>
      </c>
      <c r="Q521" s="49" t="n">
        <v>0</v>
      </c>
      <c r="R521" s="49" t="n">
        <v>0</v>
      </c>
      <c r="S521" s="50" t="n">
        <v>0</v>
      </c>
      <c r="T521" s="50" t="n">
        <v>0</v>
      </c>
      <c r="U521" s="50" t="n">
        <v>0</v>
      </c>
      <c r="V521" s="50" t="n">
        <v>0</v>
      </c>
      <c r="W521" s="51" t="n">
        <v>0</v>
      </c>
      <c r="X521" s="51" t="n">
        <v>0</v>
      </c>
      <c r="Y521" s="51" t="n">
        <v>0</v>
      </c>
      <c r="Z521" s="51" t="n">
        <v>0</v>
      </c>
      <c r="AA521" s="52" t="n">
        <v>0</v>
      </c>
      <c r="AB521" s="52" t="n">
        <v>0</v>
      </c>
      <c r="AC521" s="52" t="n">
        <v>0</v>
      </c>
      <c r="AD521" s="52" t="n">
        <v>0</v>
      </c>
      <c r="AE521" s="52" t="n">
        <v>0</v>
      </c>
      <c r="AF521" s="52" t="n">
        <v>0</v>
      </c>
      <c r="AG521" s="52" t="n">
        <v>0</v>
      </c>
      <c r="AH521" s="52" t="n">
        <v>0</v>
      </c>
      <c r="AI521" s="52" t="n">
        <v>0</v>
      </c>
      <c r="AJ521" s="52" t="n">
        <v>0</v>
      </c>
      <c r="AK521" s="52" t="n">
        <v>0</v>
      </c>
      <c r="AL521" s="52" t="n">
        <v>0</v>
      </c>
      <c r="AM521" s="53" t="n">
        <v>0</v>
      </c>
      <c r="AN521" s="53" t="n">
        <v>0</v>
      </c>
      <c r="AO521" s="53" t="n">
        <v>0</v>
      </c>
      <c r="AP521" s="53" t="n">
        <v>0</v>
      </c>
      <c r="AQ521" s="52" t="n">
        <v>0</v>
      </c>
      <c r="AR521" s="52" t="n">
        <v>0</v>
      </c>
      <c r="AS521" s="52" t="n">
        <v>0</v>
      </c>
      <c r="AT521" s="52" t="n">
        <v>0</v>
      </c>
      <c r="AU521" s="53" t="n">
        <v>0</v>
      </c>
      <c r="AV521" s="53" t="n">
        <v>0</v>
      </c>
      <c r="AW521" s="53" t="n">
        <v>0</v>
      </c>
      <c r="AX521" s="53" t="n">
        <v>0</v>
      </c>
      <c r="AY521" s="52" t="n">
        <v>0</v>
      </c>
      <c r="AZ521" s="52" t="n">
        <v>0</v>
      </c>
      <c r="BA521" s="52" t="n">
        <v>0</v>
      </c>
      <c r="BB521" s="52" t="n">
        <v>0</v>
      </c>
      <c r="BC521" s="51" t="n">
        <v>0</v>
      </c>
      <c r="BD521" s="51" t="n">
        <v>0</v>
      </c>
      <c r="BE521" s="51" t="n">
        <v>0</v>
      </c>
      <c r="BF521" s="51" t="n">
        <v>0</v>
      </c>
    </row>
    <row r="522">
      <c r="A522">
        <f>HYPERLINK("https://www.walmart.com/ip/411718770", "411718770")</f>
        <v/>
      </c>
      <c r="B522" t="inlineStr">
        <is>
          <t>Jennis Women's Plue Size Flower laced Sexy Babydoll</t>
        </is>
      </c>
      <c r="C522" t="inlineStr">
        <is>
          <t>JWBD05WT-3XL</t>
        </is>
      </c>
      <c r="D522" t="inlineStr">
        <is>
          <t>Lingerie Sets</t>
        </is>
      </c>
      <c r="E522" t="inlineStr">
        <is>
          <t>JenniWears</t>
        </is>
      </c>
      <c r="F522" t="inlineStr">
        <is>
          <t>Valentine</t>
        </is>
      </c>
      <c r="G522" s="48" t="n">
        <v>0</v>
      </c>
      <c r="H522" s="48" t="n">
        <v>0</v>
      </c>
      <c r="I522" s="48" t="n">
        <v>0</v>
      </c>
      <c r="J522" s="48" t="n">
        <v>0</v>
      </c>
      <c r="K522" s="49" t="n">
        <v>0</v>
      </c>
      <c r="L522" s="49" t="n">
        <v>0</v>
      </c>
      <c r="M522" s="49" t="n">
        <v>0</v>
      </c>
      <c r="N522" s="49" t="n">
        <v>0</v>
      </c>
      <c r="O522" s="49" t="n">
        <v>0</v>
      </c>
      <c r="P522" s="49" t="n">
        <v>0</v>
      </c>
      <c r="Q522" s="49" t="n">
        <v>0</v>
      </c>
      <c r="R522" s="49" t="n">
        <v>0</v>
      </c>
      <c r="S522" s="50" t="n">
        <v>0</v>
      </c>
      <c r="T522" s="50" t="n">
        <v>0</v>
      </c>
      <c r="U522" s="50" t="n">
        <v>0</v>
      </c>
      <c r="V522" s="50" t="n">
        <v>0</v>
      </c>
      <c r="W522" s="51" t="n">
        <v>0</v>
      </c>
      <c r="X522" s="51" t="n">
        <v>0</v>
      </c>
      <c r="Y522" s="51" t="n">
        <v>0</v>
      </c>
      <c r="Z522" s="51" t="n">
        <v>0</v>
      </c>
      <c r="AA522" s="52" t="n">
        <v>0</v>
      </c>
      <c r="AB522" s="52" t="n">
        <v>0</v>
      </c>
      <c r="AC522" s="52" t="n">
        <v>0</v>
      </c>
      <c r="AD522" s="52" t="n">
        <v>0</v>
      </c>
      <c r="AE522" s="52" t="n">
        <v>0</v>
      </c>
      <c r="AF522" s="52" t="n">
        <v>0</v>
      </c>
      <c r="AG522" s="52" t="n">
        <v>0</v>
      </c>
      <c r="AH522" s="52" t="n">
        <v>0</v>
      </c>
      <c r="AI522" s="52" t="n">
        <v>0</v>
      </c>
      <c r="AJ522" s="52" t="n">
        <v>0</v>
      </c>
      <c r="AK522" s="52" t="n">
        <v>0</v>
      </c>
      <c r="AL522" s="52" t="n">
        <v>0</v>
      </c>
      <c r="AM522" s="53" t="n">
        <v>0</v>
      </c>
      <c r="AN522" s="53" t="n">
        <v>0</v>
      </c>
      <c r="AO522" s="53" t="n">
        <v>0</v>
      </c>
      <c r="AP522" s="53" t="n">
        <v>0</v>
      </c>
      <c r="AQ522" s="52" t="n">
        <v>0</v>
      </c>
      <c r="AR522" s="52" t="n">
        <v>0</v>
      </c>
      <c r="AS522" s="52" t="n">
        <v>0</v>
      </c>
      <c r="AT522" s="52" t="n">
        <v>0</v>
      </c>
      <c r="AU522" s="53" t="n">
        <v>0</v>
      </c>
      <c r="AV522" s="53" t="n">
        <v>0</v>
      </c>
      <c r="AW522" s="53" t="n">
        <v>0</v>
      </c>
      <c r="AX522" s="53" t="n">
        <v>0</v>
      </c>
      <c r="AY522" s="52" t="n">
        <v>0</v>
      </c>
      <c r="AZ522" s="52" t="n">
        <v>0</v>
      </c>
      <c r="BA522" s="52" t="n">
        <v>0</v>
      </c>
      <c r="BB522" s="52" t="n">
        <v>0</v>
      </c>
      <c r="BC522" s="51" t="n">
        <v>0</v>
      </c>
      <c r="BD522" s="51" t="n">
        <v>0</v>
      </c>
      <c r="BE522" s="51" t="n">
        <v>0</v>
      </c>
      <c r="BF522" s="51" t="n">
        <v>0</v>
      </c>
    </row>
    <row r="523">
      <c r="A523">
        <f>HYPERLINK("https://www.walmart.com/ip/412174153", "412174153")</f>
        <v/>
      </c>
      <c r="B523" t="inlineStr">
        <is>
          <t>Sherpa Wearable Blanket with Sleeves Arms, Super Soft Warm Comfy Large Fleece Plush Sleeved TV Throws Wrap Robe Blanket for Adult Women and Men by Catalonia, Wine, 72" x 55”.</t>
        </is>
      </c>
      <c r="C523" t="inlineStr">
        <is>
          <t>1CTSN210WN</t>
        </is>
      </c>
      <c r="D523" t="inlineStr">
        <is>
          <t>Throws</t>
        </is>
      </c>
      <c r="E523" t="inlineStr">
        <is>
          <t>Catalonia</t>
        </is>
      </c>
      <c r="F523" t="inlineStr">
        <is>
          <t>Q2-Target,WFS,Coupon_Discount,WFS Item</t>
        </is>
      </c>
      <c r="G523" s="48" t="n">
        <v>0</v>
      </c>
      <c r="H523" s="48" t="n">
        <v>0</v>
      </c>
      <c r="I523" s="48" t="n">
        <v>0</v>
      </c>
      <c r="J523" s="48" t="n">
        <v>0</v>
      </c>
      <c r="K523" s="49" t="n">
        <v>0</v>
      </c>
      <c r="L523" s="49" t="n">
        <v>0</v>
      </c>
      <c r="M523" s="49" t="n">
        <v>0</v>
      </c>
      <c r="N523" s="49" t="n">
        <v>0</v>
      </c>
      <c r="O523" s="49" t="n">
        <v>0</v>
      </c>
      <c r="P523" s="49" t="n">
        <v>0</v>
      </c>
      <c r="Q523" s="49" t="n">
        <v>0</v>
      </c>
      <c r="R523" s="49" t="n">
        <v>0</v>
      </c>
      <c r="S523" s="50" t="n">
        <v>0</v>
      </c>
      <c r="T523" s="50" t="n">
        <v>0</v>
      </c>
      <c r="U523" s="50" t="n">
        <v>0</v>
      </c>
      <c r="V523" s="50" t="n">
        <v>0</v>
      </c>
      <c r="W523" s="51" t="n">
        <v>0</v>
      </c>
      <c r="X523" s="51" t="n">
        <v>0</v>
      </c>
      <c r="Y523" s="51" t="n">
        <v>0</v>
      </c>
      <c r="Z523" s="51" t="n">
        <v>0</v>
      </c>
      <c r="AA523" s="52" t="n">
        <v>0</v>
      </c>
      <c r="AB523" s="52" t="n">
        <v>0</v>
      </c>
      <c r="AC523" s="52" t="n">
        <v>0</v>
      </c>
      <c r="AD523" s="52" t="n">
        <v>0</v>
      </c>
      <c r="AE523" s="52" t="n">
        <v>0</v>
      </c>
      <c r="AF523" s="52" t="n">
        <v>0</v>
      </c>
      <c r="AG523" s="52" t="n">
        <v>0</v>
      </c>
      <c r="AH523" s="52" t="n">
        <v>0</v>
      </c>
      <c r="AI523" s="52" t="n">
        <v>0</v>
      </c>
      <c r="AJ523" s="52" t="n">
        <v>0</v>
      </c>
      <c r="AK523" s="52" t="n">
        <v>0</v>
      </c>
      <c r="AL523" s="52" t="n">
        <v>0</v>
      </c>
      <c r="AM523" s="53" t="n">
        <v>0</v>
      </c>
      <c r="AN523" s="53" t="n">
        <v>0</v>
      </c>
      <c r="AO523" s="53" t="n">
        <v>0</v>
      </c>
      <c r="AP523" s="53" t="n">
        <v>0</v>
      </c>
      <c r="AQ523" s="52" t="n">
        <v>0</v>
      </c>
      <c r="AR523" s="52" t="n">
        <v>0</v>
      </c>
      <c r="AS523" s="52" t="n">
        <v>0</v>
      </c>
      <c r="AT523" s="52" t="n">
        <v>0</v>
      </c>
      <c r="AU523" s="53" t="n">
        <v>0</v>
      </c>
      <c r="AV523" s="53" t="n">
        <v>0</v>
      </c>
      <c r="AW523" s="53" t="n">
        <v>0</v>
      </c>
      <c r="AX523" s="53" t="n">
        <v>0</v>
      </c>
      <c r="AY523" s="52" t="n">
        <v>0</v>
      </c>
      <c r="AZ523" s="52" t="n">
        <v>0</v>
      </c>
      <c r="BA523" s="52" t="n">
        <v>0</v>
      </c>
      <c r="BB523" s="52" t="n">
        <v>0</v>
      </c>
      <c r="BC523" s="51" t="n">
        <v>0</v>
      </c>
      <c r="BD523" s="51" t="n">
        <v>0</v>
      </c>
      <c r="BE523" s="51" t="n">
        <v>0</v>
      </c>
      <c r="BF523" s="51" t="n">
        <v>0</v>
      </c>
    </row>
    <row r="524">
      <c r="A524">
        <f>HYPERLINK("https://www.walmart.com/ip/412344441", "412344441")</f>
        <v/>
      </c>
      <c r="B524" t="inlineStr">
        <is>
          <t>Tirrinia Super Soft Fluffy Hooded Robe Long Plush Fuzzy Bathrobe for Women with Hood Sherpa Lined, Machine Washable, Pink</t>
        </is>
      </c>
      <c r="C524" t="inlineStr">
        <is>
          <t>1TRRB100PK</t>
        </is>
      </c>
      <c r="D524" t="inlineStr">
        <is>
          <t>Sleepwear Robes &amp; Bathrobes</t>
        </is>
      </c>
      <c r="E524" t="inlineStr">
        <is>
          <t>Tirrinia</t>
        </is>
      </c>
      <c r="F524" t="inlineStr">
        <is>
          <t>WFS,Bathrobe,Coupon_Discount,WFS Item</t>
        </is>
      </c>
      <c r="G524" s="48" t="n">
        <v>0</v>
      </c>
      <c r="H524" s="48" t="n">
        <v>0</v>
      </c>
      <c r="I524" s="48" t="n">
        <v>0</v>
      </c>
      <c r="J524" s="48" t="n">
        <v>0</v>
      </c>
      <c r="K524" s="49" t="n">
        <v>0</v>
      </c>
      <c r="L524" s="49" t="n">
        <v>0</v>
      </c>
      <c r="M524" s="49" t="n">
        <v>0</v>
      </c>
      <c r="N524" s="49" t="n">
        <v>0</v>
      </c>
      <c r="O524" s="49" t="n">
        <v>0</v>
      </c>
      <c r="P524" s="49" t="n">
        <v>0</v>
      </c>
      <c r="Q524" s="49" t="n">
        <v>0</v>
      </c>
      <c r="R524" s="49" t="n">
        <v>0</v>
      </c>
      <c r="S524" s="50" t="n">
        <v>0</v>
      </c>
      <c r="T524" s="50" t="n">
        <v>0</v>
      </c>
      <c r="U524" s="50" t="n">
        <v>0</v>
      </c>
      <c r="V524" s="50" t="n">
        <v>0</v>
      </c>
      <c r="W524" s="51" t="n">
        <v>0</v>
      </c>
      <c r="X524" s="51" t="n">
        <v>0</v>
      </c>
      <c r="Y524" s="51" t="n">
        <v>0</v>
      </c>
      <c r="Z524" s="51" t="n">
        <v>0</v>
      </c>
      <c r="AA524" s="52" t="n">
        <v>0</v>
      </c>
      <c r="AB524" s="52" t="n">
        <v>0</v>
      </c>
      <c r="AC524" s="52" t="n">
        <v>0</v>
      </c>
      <c r="AD524" s="52" t="n">
        <v>0</v>
      </c>
      <c r="AE524" s="52" t="n">
        <v>0</v>
      </c>
      <c r="AF524" s="52" t="n">
        <v>0</v>
      </c>
      <c r="AG524" s="52" t="n">
        <v>0</v>
      </c>
      <c r="AH524" s="52" t="n">
        <v>0</v>
      </c>
      <c r="AI524" s="52" t="n">
        <v>0</v>
      </c>
      <c r="AJ524" s="52" t="n">
        <v>0</v>
      </c>
      <c r="AK524" s="52" t="n">
        <v>0</v>
      </c>
      <c r="AL524" s="52" t="n">
        <v>0</v>
      </c>
      <c r="AM524" s="53" t="n">
        <v>0</v>
      </c>
      <c r="AN524" s="53" t="n">
        <v>0</v>
      </c>
      <c r="AO524" s="53" t="n">
        <v>0</v>
      </c>
      <c r="AP524" s="53" t="n">
        <v>0</v>
      </c>
      <c r="AQ524" s="52" t="n">
        <v>0</v>
      </c>
      <c r="AR524" s="52" t="n">
        <v>0</v>
      </c>
      <c r="AS524" s="52" t="n">
        <v>0</v>
      </c>
      <c r="AT524" s="52" t="n">
        <v>0</v>
      </c>
      <c r="AU524" s="53" t="n">
        <v>0</v>
      </c>
      <c r="AV524" s="53" t="n">
        <v>0</v>
      </c>
      <c r="AW524" s="53" t="n">
        <v>0</v>
      </c>
      <c r="AX524" s="53" t="n">
        <v>0</v>
      </c>
      <c r="AY524" s="52" t="n">
        <v>0</v>
      </c>
      <c r="AZ524" s="52" t="n">
        <v>0</v>
      </c>
      <c r="BA524" s="52" t="n">
        <v>0</v>
      </c>
      <c r="BB524" s="52" t="n">
        <v>0</v>
      </c>
      <c r="BC524" s="51" t="n">
        <v>0</v>
      </c>
      <c r="BD524" s="51" t="n">
        <v>0</v>
      </c>
      <c r="BE524" s="51" t="n">
        <v>0</v>
      </c>
      <c r="BF524" s="51" t="n">
        <v>0</v>
      </c>
    </row>
    <row r="525">
      <c r="A525">
        <f>HYPERLINK("https://www.walmart.com/ip/412453093", "412453093")</f>
        <v/>
      </c>
      <c r="B525" t="inlineStr">
        <is>
          <t>Tirrinia Red Plaid Foldable Waterproof Outdoor Blanket for Camping, Stadium, 59'' X 80''</t>
        </is>
      </c>
      <c r="C525" t="inlineStr">
        <is>
          <t>1TRBW608PRD</t>
        </is>
      </c>
      <c r="D525" t="inlineStr">
        <is>
          <t>Throws</t>
        </is>
      </c>
      <c r="E525" t="inlineStr">
        <is>
          <t>Tirrinia</t>
        </is>
      </c>
      <c r="F525" t="inlineStr">
        <is>
          <t>Optimized</t>
        </is>
      </c>
      <c r="G525" s="48" t="n">
        <v>0</v>
      </c>
      <c r="H525" s="48" t="n">
        <v>0</v>
      </c>
      <c r="I525" s="48" t="n">
        <v>0</v>
      </c>
      <c r="J525" s="48" t="n">
        <v>0</v>
      </c>
      <c r="K525" s="49" t="n">
        <v>0</v>
      </c>
      <c r="L525" s="49" t="n">
        <v>0</v>
      </c>
      <c r="M525" s="49" t="n">
        <v>0</v>
      </c>
      <c r="N525" s="49" t="n">
        <v>0</v>
      </c>
      <c r="O525" s="49" t="n">
        <v>0</v>
      </c>
      <c r="P525" s="49" t="n">
        <v>0</v>
      </c>
      <c r="Q525" s="49" t="n">
        <v>0</v>
      </c>
      <c r="R525" s="49" t="n">
        <v>0</v>
      </c>
      <c r="S525" s="50" t="n">
        <v>0</v>
      </c>
      <c r="T525" s="50" t="n">
        <v>0</v>
      </c>
      <c r="U525" s="50" t="n">
        <v>0</v>
      </c>
      <c r="V525" s="50" t="n">
        <v>0</v>
      </c>
      <c r="W525" s="51" t="n">
        <v>1</v>
      </c>
      <c r="X525" s="51" t="n">
        <v>1</v>
      </c>
      <c r="Y525" s="51" t="n">
        <v>0</v>
      </c>
      <c r="Z525" s="51" t="n">
        <v>0</v>
      </c>
      <c r="AA525" s="52" t="n">
        <v>0.22</v>
      </c>
      <c r="AB525" s="52" t="n">
        <v>0.31</v>
      </c>
      <c r="AC525" s="52" t="n">
        <v>0</v>
      </c>
      <c r="AD525" s="52" t="n">
        <v>0</v>
      </c>
      <c r="AE525" s="52" t="n">
        <v>0</v>
      </c>
      <c r="AF525" s="52" t="n">
        <v>0</v>
      </c>
      <c r="AG525" s="52" t="n">
        <v>0</v>
      </c>
      <c r="AH525" s="52" t="n">
        <v>0</v>
      </c>
      <c r="AI525" s="52" t="n">
        <v>0</v>
      </c>
      <c r="AJ525" s="52" t="n">
        <v>0</v>
      </c>
      <c r="AK525" s="52" t="n">
        <v>0</v>
      </c>
      <c r="AL525" s="52" t="n">
        <v>0</v>
      </c>
      <c r="AM525" s="53" t="n">
        <v>0.0004</v>
      </c>
      <c r="AN525" s="53" t="n">
        <v>0.0003</v>
      </c>
      <c r="AO525" s="53" t="n">
        <v>0</v>
      </c>
      <c r="AP525" s="53" t="n">
        <v>0</v>
      </c>
      <c r="AQ525" s="52" t="n">
        <v>0.22</v>
      </c>
      <c r="AR525" s="52" t="n">
        <v>0.31</v>
      </c>
      <c r="AS525" s="52" t="n">
        <v>0</v>
      </c>
      <c r="AT525" s="52" t="n">
        <v>0</v>
      </c>
      <c r="AU525" s="53" t="n">
        <v>0</v>
      </c>
      <c r="AV525" s="53" t="n">
        <v>0</v>
      </c>
      <c r="AW525" s="53" t="n">
        <v>0</v>
      </c>
      <c r="AX525" s="53" t="n">
        <v>0</v>
      </c>
      <c r="AY525" s="52" t="n">
        <v>0</v>
      </c>
      <c r="AZ525" s="52" t="n">
        <v>0</v>
      </c>
      <c r="BA525" s="52" t="n">
        <v>0</v>
      </c>
      <c r="BB525" s="52" t="n">
        <v>0</v>
      </c>
      <c r="BC525" s="51" t="n">
        <v>2339</v>
      </c>
      <c r="BD525" s="51" t="n">
        <v>3464</v>
      </c>
      <c r="BE525" s="51" t="n">
        <v>0</v>
      </c>
      <c r="BF525" s="51" t="n">
        <v>682</v>
      </c>
    </row>
    <row r="526">
      <c r="A526">
        <f>HYPERLINK("https://www.walmart.com/ip/412724953", "412724953")</f>
        <v/>
      </c>
      <c r="B526" t="inlineStr">
        <is>
          <t>Tirrinia Brown Buffalo Plaid Fleece Blanket TV Throw 50" x 60", Super Soft Warm Comfy Flannel Fleece Bedding Couch Cabin Throw Decorative Blankets</t>
        </is>
      </c>
      <c r="C526" t="inlineStr">
        <is>
          <t>1TRBF576PBR</t>
        </is>
      </c>
      <c r="D526" t="inlineStr">
        <is>
          <t>Throws</t>
        </is>
      </c>
      <c r="E526" t="inlineStr">
        <is>
          <t>Tirrinia</t>
        </is>
      </c>
      <c r="F526" t="inlineStr">
        <is>
          <t>Q2-Target,WFS,Coupon_Discount,WFS Item,Fleece Blankets</t>
        </is>
      </c>
      <c r="G526" s="48" t="n">
        <v>0</v>
      </c>
      <c r="H526" s="48" t="n">
        <v>0</v>
      </c>
      <c r="I526" s="48" t="n">
        <v>20.99</v>
      </c>
      <c r="J526" s="48" t="n">
        <v>0</v>
      </c>
      <c r="K526" s="49" t="n">
        <v>0</v>
      </c>
      <c r="L526" s="49" t="n">
        <v>0</v>
      </c>
      <c r="M526" s="49" t="n">
        <v>1</v>
      </c>
      <c r="N526" s="49" t="n">
        <v>0</v>
      </c>
      <c r="O526" s="49" t="n">
        <v>0</v>
      </c>
      <c r="P526" s="49" t="n">
        <v>0</v>
      </c>
      <c r="Q526" s="49" t="n">
        <v>0</v>
      </c>
      <c r="R526" s="49" t="n">
        <v>0</v>
      </c>
      <c r="S526" s="50" t="n">
        <v>0</v>
      </c>
      <c r="T526" s="50" t="n">
        <v>0</v>
      </c>
      <c r="U526" s="50" t="n">
        <v>0</v>
      </c>
      <c r="V526" s="50" t="n">
        <v>0</v>
      </c>
      <c r="W526" s="51" t="n">
        <v>0</v>
      </c>
      <c r="X526" s="51" t="n">
        <v>0</v>
      </c>
      <c r="Y526" s="51" t="n">
        <v>0</v>
      </c>
      <c r="Z526" s="51" t="n">
        <v>0</v>
      </c>
      <c r="AA526" s="52" t="n">
        <v>0</v>
      </c>
      <c r="AB526" s="52" t="n">
        <v>0</v>
      </c>
      <c r="AC526" s="52" t="n">
        <v>0</v>
      </c>
      <c r="AD526" s="52" t="n">
        <v>0</v>
      </c>
      <c r="AE526" s="52" t="n">
        <v>0</v>
      </c>
      <c r="AF526" s="52" t="n">
        <v>0</v>
      </c>
      <c r="AG526" s="52" t="n">
        <v>0</v>
      </c>
      <c r="AH526" s="52" t="n">
        <v>0</v>
      </c>
      <c r="AI526" s="52" t="n">
        <v>0</v>
      </c>
      <c r="AJ526" s="52" t="n">
        <v>0</v>
      </c>
      <c r="AK526" s="52" t="n">
        <v>0</v>
      </c>
      <c r="AL526" s="52" t="n">
        <v>0</v>
      </c>
      <c r="AM526" s="53" t="n">
        <v>0</v>
      </c>
      <c r="AN526" s="53" t="n">
        <v>0</v>
      </c>
      <c r="AO526" s="53" t="n">
        <v>0</v>
      </c>
      <c r="AP526" s="53" t="n">
        <v>0</v>
      </c>
      <c r="AQ526" s="52" t="n">
        <v>0</v>
      </c>
      <c r="AR526" s="52" t="n">
        <v>0</v>
      </c>
      <c r="AS526" s="52" t="n">
        <v>0</v>
      </c>
      <c r="AT526" s="52" t="n">
        <v>0</v>
      </c>
      <c r="AU526" s="53" t="n">
        <v>0</v>
      </c>
      <c r="AV526" s="53" t="n">
        <v>0</v>
      </c>
      <c r="AW526" s="53" t="n">
        <v>0</v>
      </c>
      <c r="AX526" s="53" t="n">
        <v>0</v>
      </c>
      <c r="AY526" s="52" t="n">
        <v>0</v>
      </c>
      <c r="AZ526" s="52" t="n">
        <v>0</v>
      </c>
      <c r="BA526" s="52" t="n">
        <v>20.99</v>
      </c>
      <c r="BB526" s="52" t="n">
        <v>0</v>
      </c>
      <c r="BC526" s="51" t="n">
        <v>0</v>
      </c>
      <c r="BD526" s="51" t="n">
        <v>0</v>
      </c>
      <c r="BE526" s="51" t="n">
        <v>0</v>
      </c>
      <c r="BF526" s="51" t="n">
        <v>0</v>
      </c>
    </row>
    <row r="527">
      <c r="A527">
        <f>HYPERLINK("https://www.walmart.com/ip/413859906", "413859906")</f>
        <v/>
      </c>
      <c r="B527" t="inlineStr">
        <is>
          <t>Flyingstar Monkey Blanket for Kids, Hooded Wearable Snuggle Tail Blanket, Super Soft Plush Slumber Bags for Toddlers and Children, All Seasons</t>
        </is>
      </c>
      <c r="C527" t="inlineStr">
        <is>
          <t>1WMMM200MK</t>
        </is>
      </c>
      <c r="D527" t="inlineStr">
        <is>
          <t>Baby Blankets</t>
        </is>
      </c>
      <c r="E527" t="inlineStr">
        <is>
          <t>Flyingstar</t>
        </is>
      </c>
      <c r="F527" t="inlineStr">
        <is>
          <t>Baby days,Optimized</t>
        </is>
      </c>
      <c r="G527" s="48" t="n">
        <v>0</v>
      </c>
      <c r="H527" s="48" t="n">
        <v>0</v>
      </c>
      <c r="I527" s="48" t="n">
        <v>0</v>
      </c>
      <c r="J527" s="48" t="n">
        <v>0</v>
      </c>
      <c r="K527" s="49" t="n">
        <v>0</v>
      </c>
      <c r="L527" s="49" t="n">
        <v>0</v>
      </c>
      <c r="M527" s="49" t="n">
        <v>0</v>
      </c>
      <c r="N527" s="49" t="n">
        <v>0</v>
      </c>
      <c r="O527" s="49" t="n">
        <v>0</v>
      </c>
      <c r="P527" s="49" t="n">
        <v>0</v>
      </c>
      <c r="Q527" s="49" t="n">
        <v>0</v>
      </c>
      <c r="R527" s="49" t="n">
        <v>0</v>
      </c>
      <c r="S527" s="50" t="n">
        <v>0</v>
      </c>
      <c r="T527" s="50" t="n">
        <v>0</v>
      </c>
      <c r="U527" s="50" t="n">
        <v>0</v>
      </c>
      <c r="V527" s="50" t="n">
        <v>0</v>
      </c>
      <c r="W527" s="51" t="n">
        <v>0</v>
      </c>
      <c r="X527" s="51" t="n">
        <v>0</v>
      </c>
      <c r="Y527" s="51" t="n">
        <v>0</v>
      </c>
      <c r="Z527" s="51" t="n">
        <v>0</v>
      </c>
      <c r="AA527" s="52" t="n">
        <v>0</v>
      </c>
      <c r="AB527" s="52" t="n">
        <v>0</v>
      </c>
      <c r="AC527" s="52" t="n">
        <v>0</v>
      </c>
      <c r="AD527" s="52" t="n">
        <v>0</v>
      </c>
      <c r="AE527" s="52" t="n">
        <v>0</v>
      </c>
      <c r="AF527" s="52" t="n">
        <v>0</v>
      </c>
      <c r="AG527" s="52" t="n">
        <v>0</v>
      </c>
      <c r="AH527" s="52" t="n">
        <v>0</v>
      </c>
      <c r="AI527" s="52" t="n">
        <v>0</v>
      </c>
      <c r="AJ527" s="52" t="n">
        <v>0</v>
      </c>
      <c r="AK527" s="52" t="n">
        <v>0</v>
      </c>
      <c r="AL527" s="52" t="n">
        <v>0</v>
      </c>
      <c r="AM527" s="53" t="n">
        <v>0</v>
      </c>
      <c r="AN527" s="53" t="n">
        <v>0</v>
      </c>
      <c r="AO527" s="53" t="n">
        <v>0</v>
      </c>
      <c r="AP527" s="53" t="n">
        <v>0</v>
      </c>
      <c r="AQ527" s="52" t="n">
        <v>0</v>
      </c>
      <c r="AR527" s="52" t="n">
        <v>0</v>
      </c>
      <c r="AS527" s="52" t="n">
        <v>0</v>
      </c>
      <c r="AT527" s="52" t="n">
        <v>0</v>
      </c>
      <c r="AU527" s="53" t="n">
        <v>0</v>
      </c>
      <c r="AV527" s="53" t="n">
        <v>0</v>
      </c>
      <c r="AW527" s="53" t="n">
        <v>0</v>
      </c>
      <c r="AX527" s="53" t="n">
        <v>0</v>
      </c>
      <c r="AY527" s="52" t="n">
        <v>0</v>
      </c>
      <c r="AZ527" s="52" t="n">
        <v>0</v>
      </c>
      <c r="BA527" s="52" t="n">
        <v>0</v>
      </c>
      <c r="BB527" s="52" t="n">
        <v>0</v>
      </c>
      <c r="BC527" s="51" t="n">
        <v>0</v>
      </c>
      <c r="BD527" s="51" t="n">
        <v>0</v>
      </c>
      <c r="BE527" s="51" t="n">
        <v>0</v>
      </c>
      <c r="BF527" s="51" t="n">
        <v>0</v>
      </c>
    </row>
    <row r="528">
      <c r="A528">
        <f>HYPERLINK("https://www.walmart.com/ip/413902863", "413902863")</f>
        <v/>
      </c>
      <c r="B528" t="inlineStr">
        <is>
          <t>Catalonia Waterproof Dog Blanket, Liquid Pee-Proof Blanket for Bed, Couch and Sofa, Protector Cover for Baby, Cozy Sherpa Lining Throws and Blankets for Camping and Boating, Black Plaid, 80'' x 60''</t>
        </is>
      </c>
      <c r="C528" t="inlineStr">
        <is>
          <t>1CTBW681BGBK</t>
        </is>
      </c>
      <c r="D528" t="inlineStr">
        <is>
          <t>Bed Blankets</t>
        </is>
      </c>
      <c r="E528" t="inlineStr">
        <is>
          <t>Catalonia</t>
        </is>
      </c>
      <c r="F528" t="inlineStr">
        <is>
          <t>High AUR Items,Batch 1 - TR</t>
        </is>
      </c>
      <c r="G528" s="48" t="n">
        <v>0</v>
      </c>
      <c r="H528" s="48" t="n">
        <v>0</v>
      </c>
      <c r="I528" s="48" t="n">
        <v>0</v>
      </c>
      <c r="J528" s="48" t="n">
        <v>0</v>
      </c>
      <c r="K528" s="49" t="n">
        <v>0</v>
      </c>
      <c r="L528" s="49" t="n">
        <v>0</v>
      </c>
      <c r="M528" s="49" t="n">
        <v>0</v>
      </c>
      <c r="N528" s="49" t="n">
        <v>0</v>
      </c>
      <c r="O528" s="49" t="n">
        <v>0</v>
      </c>
      <c r="P528" s="49" t="n">
        <v>0</v>
      </c>
      <c r="Q528" s="49" t="n">
        <v>0</v>
      </c>
      <c r="R528" s="49" t="n">
        <v>0</v>
      </c>
      <c r="S528" s="50" t="n">
        <v>0</v>
      </c>
      <c r="T528" s="50" t="n">
        <v>0</v>
      </c>
      <c r="U528" s="50" t="n">
        <v>0</v>
      </c>
      <c r="V528" s="50" t="n">
        <v>0</v>
      </c>
      <c r="W528" s="51" t="n">
        <v>0</v>
      </c>
      <c r="X528" s="51" t="n">
        <v>5</v>
      </c>
      <c r="Y528" s="51" t="n">
        <v>1</v>
      </c>
      <c r="Z528" s="51" t="n">
        <v>7</v>
      </c>
      <c r="AA528" s="52" t="n">
        <v>0</v>
      </c>
      <c r="AB528" s="52" t="n">
        <v>1.98</v>
      </c>
      <c r="AC528" s="52" t="n">
        <v>0.45</v>
      </c>
      <c r="AD528" s="52" t="n">
        <v>3.09</v>
      </c>
      <c r="AE528" s="52" t="n">
        <v>0</v>
      </c>
      <c r="AF528" s="52" t="n">
        <v>0</v>
      </c>
      <c r="AG528" s="52" t="n">
        <v>0</v>
      </c>
      <c r="AH528" s="52" t="n">
        <v>0</v>
      </c>
      <c r="AI528" s="52" t="n">
        <v>0</v>
      </c>
      <c r="AJ528" s="52" t="n">
        <v>0</v>
      </c>
      <c r="AK528" s="52" t="n">
        <v>0</v>
      </c>
      <c r="AL528" s="52" t="n">
        <v>0</v>
      </c>
      <c r="AM528" s="53" t="n">
        <v>0</v>
      </c>
      <c r="AN528" s="53" t="n">
        <v>0.0017</v>
      </c>
      <c r="AO528" s="53" t="n">
        <v>0.0003</v>
      </c>
      <c r="AP528" s="53" t="n">
        <v>0.002</v>
      </c>
      <c r="AQ528" s="52" t="n">
        <v>0</v>
      </c>
      <c r="AR528" s="52" t="n">
        <v>0.396</v>
      </c>
      <c r="AS528" s="52" t="n">
        <v>0.45</v>
      </c>
      <c r="AT528" s="52" t="n">
        <v>0.4414285714285714</v>
      </c>
      <c r="AU528" s="53" t="n">
        <v>0</v>
      </c>
      <c r="AV528" s="53" t="n">
        <v>0</v>
      </c>
      <c r="AW528" s="53" t="n">
        <v>0</v>
      </c>
      <c r="AX528" s="53" t="n">
        <v>0</v>
      </c>
      <c r="AY528" s="52" t="n">
        <v>0</v>
      </c>
      <c r="AZ528" s="52" t="n">
        <v>0</v>
      </c>
      <c r="BA528" s="52" t="n">
        <v>0</v>
      </c>
      <c r="BB528" s="52" t="n">
        <v>0</v>
      </c>
      <c r="BC528" s="51" t="n">
        <v>3070</v>
      </c>
      <c r="BD528" s="51" t="n">
        <v>2873</v>
      </c>
      <c r="BE528" s="51" t="n">
        <v>2949</v>
      </c>
      <c r="BF528" s="51" t="n">
        <v>3467</v>
      </c>
    </row>
    <row r="529">
      <c r="A529">
        <f>HYPERLINK("https://www.walmart.com/ip/414280005", "414280005")</f>
        <v/>
      </c>
      <c r="B529" t="inlineStr">
        <is>
          <t>Catalonia Tirrinia Plush Fleece Long Robes for Women, Warm, Comfy, Fluffy Ladies Bathrobe With Hood, Machine Washable, One Size, Gray</t>
        </is>
      </c>
      <c r="C529" t="inlineStr">
        <is>
          <t>1CTRB100GY-LDCB</t>
        </is>
      </c>
      <c r="D529" t="inlineStr">
        <is>
          <t>Sleepwear Robes &amp; Bathrobes</t>
        </is>
      </c>
      <c r="E529" t="inlineStr">
        <is>
          <t>Catalonia</t>
        </is>
      </c>
      <c r="F529" t="inlineStr">
        <is>
          <t>Hero 5 Holidays,WFS,Bathrobe,Coupon_Discount,WFS Item</t>
        </is>
      </c>
      <c r="G529" s="48" t="n">
        <v>0</v>
      </c>
      <c r="H529" s="48" t="n">
        <v>0</v>
      </c>
      <c r="I529" s="48" t="n">
        <v>0</v>
      </c>
      <c r="J529" s="48" t="n">
        <v>0</v>
      </c>
      <c r="K529" s="49" t="n">
        <v>0</v>
      </c>
      <c r="L529" s="49" t="n">
        <v>0</v>
      </c>
      <c r="M529" s="49" t="n">
        <v>0</v>
      </c>
      <c r="N529" s="49" t="n">
        <v>0</v>
      </c>
      <c r="O529" s="49" t="n">
        <v>0</v>
      </c>
      <c r="P529" s="49" t="n">
        <v>0</v>
      </c>
      <c r="Q529" s="49" t="n">
        <v>0</v>
      </c>
      <c r="R529" s="49" t="n">
        <v>0</v>
      </c>
      <c r="S529" s="50" t="n">
        <v>0</v>
      </c>
      <c r="T529" s="50" t="n">
        <v>0</v>
      </c>
      <c r="U529" s="50" t="n">
        <v>0</v>
      </c>
      <c r="V529" s="50" t="n">
        <v>0</v>
      </c>
      <c r="W529" s="51" t="n">
        <v>0</v>
      </c>
      <c r="X529" s="51" t="n">
        <v>0</v>
      </c>
      <c r="Y529" s="51" t="n">
        <v>0</v>
      </c>
      <c r="Z529" s="51" t="n">
        <v>0</v>
      </c>
      <c r="AA529" s="52" t="n">
        <v>0</v>
      </c>
      <c r="AB529" s="52" t="n">
        <v>0</v>
      </c>
      <c r="AC529" s="52" t="n">
        <v>0</v>
      </c>
      <c r="AD529" s="52" t="n">
        <v>0</v>
      </c>
      <c r="AE529" s="52" t="n">
        <v>0</v>
      </c>
      <c r="AF529" s="52" t="n">
        <v>0</v>
      </c>
      <c r="AG529" s="52" t="n">
        <v>0</v>
      </c>
      <c r="AH529" s="52" t="n">
        <v>0</v>
      </c>
      <c r="AI529" s="52" t="n">
        <v>0</v>
      </c>
      <c r="AJ529" s="52" t="n">
        <v>0</v>
      </c>
      <c r="AK529" s="52" t="n">
        <v>0</v>
      </c>
      <c r="AL529" s="52" t="n">
        <v>0</v>
      </c>
      <c r="AM529" s="53" t="n">
        <v>0</v>
      </c>
      <c r="AN529" s="53" t="n">
        <v>0</v>
      </c>
      <c r="AO529" s="53" t="n">
        <v>0</v>
      </c>
      <c r="AP529" s="53" t="n">
        <v>0</v>
      </c>
      <c r="AQ529" s="52" t="n">
        <v>0</v>
      </c>
      <c r="AR529" s="52" t="n">
        <v>0</v>
      </c>
      <c r="AS529" s="52" t="n">
        <v>0</v>
      </c>
      <c r="AT529" s="52" t="n">
        <v>0</v>
      </c>
      <c r="AU529" s="53" t="n">
        <v>0</v>
      </c>
      <c r="AV529" s="53" t="n">
        <v>0</v>
      </c>
      <c r="AW529" s="53" t="n">
        <v>0</v>
      </c>
      <c r="AX529" s="53" t="n">
        <v>0</v>
      </c>
      <c r="AY529" s="52" t="n">
        <v>0</v>
      </c>
      <c r="AZ529" s="52" t="n">
        <v>0</v>
      </c>
      <c r="BA529" s="52" t="n">
        <v>0</v>
      </c>
      <c r="BB529" s="52" t="n">
        <v>0</v>
      </c>
      <c r="BC529" s="51" t="n">
        <v>0</v>
      </c>
      <c r="BD529" s="51" t="n">
        <v>0</v>
      </c>
      <c r="BE529" s="51" t="n">
        <v>0</v>
      </c>
      <c r="BF529" s="51" t="n">
        <v>0</v>
      </c>
    </row>
    <row r="530">
      <c r="A530">
        <f>HYPERLINK("https://www.walmart.com/ip/414477883", "414477883")</f>
        <v/>
      </c>
      <c r="B530" t="inlineStr">
        <is>
          <t>Catalonia Women's Plush Fleece Long Robe, Warm Comfy Fluffy Female Bathrobe with Hood, Machine Washable, One Size, Pink</t>
        </is>
      </c>
      <c r="C530" t="inlineStr">
        <is>
          <t>1CTRB100PK-LDCB</t>
        </is>
      </c>
      <c r="D530" t="inlineStr">
        <is>
          <t>Sleepwear Robes &amp; Bathrobes</t>
        </is>
      </c>
      <c r="E530" t="inlineStr">
        <is>
          <t>Catalonia</t>
        </is>
      </c>
      <c r="F530" t="inlineStr">
        <is>
          <t>Hero 5 Holidays,Bathrobe,Batch 1 - TR</t>
        </is>
      </c>
      <c r="G530" s="48" t="n">
        <v>0</v>
      </c>
      <c r="H530" s="48" t="n">
        <v>0</v>
      </c>
      <c r="I530" s="48" t="n">
        <v>0</v>
      </c>
      <c r="J530" s="48" t="n">
        <v>0</v>
      </c>
      <c r="K530" s="49" t="n">
        <v>0</v>
      </c>
      <c r="L530" s="49" t="n">
        <v>0</v>
      </c>
      <c r="M530" s="49" t="n">
        <v>0</v>
      </c>
      <c r="N530" s="49" t="n">
        <v>0</v>
      </c>
      <c r="O530" s="49" t="n">
        <v>0</v>
      </c>
      <c r="P530" s="49" t="n">
        <v>0</v>
      </c>
      <c r="Q530" s="49" t="n">
        <v>0</v>
      </c>
      <c r="R530" s="49" t="n">
        <v>0</v>
      </c>
      <c r="S530" s="50" t="n">
        <v>0</v>
      </c>
      <c r="T530" s="50" t="n">
        <v>0</v>
      </c>
      <c r="U530" s="50" t="n">
        <v>0</v>
      </c>
      <c r="V530" s="50" t="n">
        <v>0</v>
      </c>
      <c r="W530" s="51" t="n">
        <v>0</v>
      </c>
      <c r="X530" s="51" t="n">
        <v>0</v>
      </c>
      <c r="Y530" s="51" t="n">
        <v>0</v>
      </c>
      <c r="Z530" s="51" t="n">
        <v>0</v>
      </c>
      <c r="AA530" s="52" t="n">
        <v>0</v>
      </c>
      <c r="AB530" s="52" t="n">
        <v>0</v>
      </c>
      <c r="AC530" s="52" t="n">
        <v>0</v>
      </c>
      <c r="AD530" s="52" t="n">
        <v>0</v>
      </c>
      <c r="AE530" s="52" t="n">
        <v>0</v>
      </c>
      <c r="AF530" s="52" t="n">
        <v>0</v>
      </c>
      <c r="AG530" s="52" t="n">
        <v>0</v>
      </c>
      <c r="AH530" s="52" t="n">
        <v>0</v>
      </c>
      <c r="AI530" s="52" t="n">
        <v>0</v>
      </c>
      <c r="AJ530" s="52" t="n">
        <v>0</v>
      </c>
      <c r="AK530" s="52" t="n">
        <v>0</v>
      </c>
      <c r="AL530" s="52" t="n">
        <v>0</v>
      </c>
      <c r="AM530" s="53" t="n">
        <v>0</v>
      </c>
      <c r="AN530" s="53" t="n">
        <v>0</v>
      </c>
      <c r="AO530" s="53" t="n">
        <v>0</v>
      </c>
      <c r="AP530" s="53" t="n">
        <v>0</v>
      </c>
      <c r="AQ530" s="52" t="n">
        <v>0</v>
      </c>
      <c r="AR530" s="52" t="n">
        <v>0</v>
      </c>
      <c r="AS530" s="52" t="n">
        <v>0</v>
      </c>
      <c r="AT530" s="52" t="n">
        <v>0</v>
      </c>
      <c r="AU530" s="53" t="n">
        <v>0</v>
      </c>
      <c r="AV530" s="53" t="n">
        <v>0</v>
      </c>
      <c r="AW530" s="53" t="n">
        <v>0</v>
      </c>
      <c r="AX530" s="53" t="n">
        <v>0</v>
      </c>
      <c r="AY530" s="52" t="n">
        <v>0</v>
      </c>
      <c r="AZ530" s="52" t="n">
        <v>0</v>
      </c>
      <c r="BA530" s="52" t="n">
        <v>0</v>
      </c>
      <c r="BB530" s="52" t="n">
        <v>0</v>
      </c>
      <c r="BC530" s="51" t="n">
        <v>0</v>
      </c>
      <c r="BD530" s="51" t="n">
        <v>0</v>
      </c>
      <c r="BE530" s="51" t="n">
        <v>0</v>
      </c>
      <c r="BF530" s="51" t="n">
        <v>0</v>
      </c>
    </row>
    <row r="531">
      <c r="A531">
        <f>HYPERLINK("https://www.walmart.com/ip/414716667", "414716667")</f>
        <v/>
      </c>
      <c r="B531" t="inlineStr">
        <is>
          <t>Luxury Sherpa Knit Throw Blanket 50" x 60", Home Decorative Blanket for Sofa Couch Chair All Season TV Blanket | Super Soft, Warm, Waffle Weave Knit | Catalonia series by Tirrinia, Grey</t>
        </is>
      </c>
      <c r="C531" t="inlineStr">
        <is>
          <t>1TRBN300GY-TBCB</t>
        </is>
      </c>
      <c r="D531" t="inlineStr">
        <is>
          <t>Throws</t>
        </is>
      </c>
      <c r="E531" t="inlineStr">
        <is>
          <t>Tirrinia</t>
        </is>
      </c>
      <c r="F531" t="inlineStr">
        <is>
          <t>Batch 1 - TR</t>
        </is>
      </c>
      <c r="G531" s="48" t="n">
        <v>0</v>
      </c>
      <c r="H531" s="48" t="n">
        <v>0</v>
      </c>
      <c r="I531" s="48" t="n">
        <v>0</v>
      </c>
      <c r="J531" s="48" t="n">
        <v>0</v>
      </c>
      <c r="K531" s="49" t="n">
        <v>0</v>
      </c>
      <c r="L531" s="49" t="n">
        <v>0</v>
      </c>
      <c r="M531" s="49" t="n">
        <v>0</v>
      </c>
      <c r="N531" s="49" t="n">
        <v>0</v>
      </c>
      <c r="O531" s="49" t="n">
        <v>0</v>
      </c>
      <c r="P531" s="49" t="n">
        <v>0</v>
      </c>
      <c r="Q531" s="49" t="n">
        <v>0</v>
      </c>
      <c r="R531" s="49" t="n">
        <v>0</v>
      </c>
      <c r="S531" s="50" t="n">
        <v>0</v>
      </c>
      <c r="T531" s="50" t="n">
        <v>0</v>
      </c>
      <c r="U531" s="50" t="n">
        <v>0</v>
      </c>
      <c r="V531" s="50" t="n">
        <v>0</v>
      </c>
      <c r="W531" s="51" t="n">
        <v>0</v>
      </c>
      <c r="X531" s="51" t="n">
        <v>0</v>
      </c>
      <c r="Y531" s="51" t="n">
        <v>0</v>
      </c>
      <c r="Z531" s="51" t="n">
        <v>0</v>
      </c>
      <c r="AA531" s="52" t="n">
        <v>0</v>
      </c>
      <c r="AB531" s="52" t="n">
        <v>0</v>
      </c>
      <c r="AC531" s="52" t="n">
        <v>0</v>
      </c>
      <c r="AD531" s="52" t="n">
        <v>0</v>
      </c>
      <c r="AE531" s="52" t="n">
        <v>0</v>
      </c>
      <c r="AF531" s="52" t="n">
        <v>0</v>
      </c>
      <c r="AG531" s="52" t="n">
        <v>0</v>
      </c>
      <c r="AH531" s="52" t="n">
        <v>0</v>
      </c>
      <c r="AI531" s="52" t="n">
        <v>0</v>
      </c>
      <c r="AJ531" s="52" t="n">
        <v>0</v>
      </c>
      <c r="AK531" s="52" t="n">
        <v>0</v>
      </c>
      <c r="AL531" s="52" t="n">
        <v>0</v>
      </c>
      <c r="AM531" s="53" t="n">
        <v>0</v>
      </c>
      <c r="AN531" s="53" t="n">
        <v>0</v>
      </c>
      <c r="AO531" s="53" t="n">
        <v>0</v>
      </c>
      <c r="AP531" s="53" t="n">
        <v>0</v>
      </c>
      <c r="AQ531" s="52" t="n">
        <v>0</v>
      </c>
      <c r="AR531" s="52" t="n">
        <v>0</v>
      </c>
      <c r="AS531" s="52" t="n">
        <v>0</v>
      </c>
      <c r="AT531" s="52" t="n">
        <v>0</v>
      </c>
      <c r="AU531" s="53" t="n">
        <v>0</v>
      </c>
      <c r="AV531" s="53" t="n">
        <v>0</v>
      </c>
      <c r="AW531" s="53" t="n">
        <v>0</v>
      </c>
      <c r="AX531" s="53" t="n">
        <v>0</v>
      </c>
      <c r="AY531" s="52" t="n">
        <v>0</v>
      </c>
      <c r="AZ531" s="52" t="n">
        <v>0</v>
      </c>
      <c r="BA531" s="52" t="n">
        <v>0</v>
      </c>
      <c r="BB531" s="52" t="n">
        <v>0</v>
      </c>
      <c r="BC531" s="51" t="n">
        <v>0</v>
      </c>
      <c r="BD531" s="51" t="n">
        <v>0</v>
      </c>
      <c r="BE531" s="51" t="n">
        <v>0</v>
      </c>
      <c r="BF531" s="51" t="n">
        <v>0</v>
      </c>
    </row>
    <row r="532">
      <c r="A532">
        <f>HYPERLINK("https://www.walmart.com/ip/409480013", "409480013")</f>
        <v/>
      </c>
      <c r="B532" t="inlineStr">
        <is>
          <t>Tirrinia Single Wine Gift Tote Bag, Insulated Padded Thermal Wine Bottle Carrying Cooler Carrier for Travel, Picnic, Great Gift for Wine Lover, Red</t>
        </is>
      </c>
      <c r="C532" t="inlineStr">
        <is>
          <t>1TRWB102RD</t>
        </is>
      </c>
      <c r="D532" t="inlineStr">
        <is>
          <t>Wine Totes, Bags &amp; Backpacks</t>
        </is>
      </c>
      <c r="E532" t="inlineStr">
        <is>
          <t>Tirrinia</t>
        </is>
      </c>
      <c r="G532" s="48" t="n">
        <v>0</v>
      </c>
      <c r="H532" s="48" t="n">
        <v>0</v>
      </c>
      <c r="I532" s="48" t="n">
        <v>0</v>
      </c>
      <c r="J532" s="48" t="n">
        <v>0</v>
      </c>
      <c r="K532" s="49" t="n">
        <v>0</v>
      </c>
      <c r="L532" s="49" t="n">
        <v>0</v>
      </c>
      <c r="M532" s="49" t="n">
        <v>0</v>
      </c>
      <c r="N532" s="49" t="n">
        <v>0</v>
      </c>
      <c r="O532" s="49" t="n">
        <v>0</v>
      </c>
      <c r="P532" s="49" t="n">
        <v>0</v>
      </c>
      <c r="Q532" s="49" t="n">
        <v>0</v>
      </c>
      <c r="R532" s="49" t="n">
        <v>0</v>
      </c>
      <c r="S532" s="50" t="n">
        <v>0</v>
      </c>
      <c r="T532" s="50" t="n">
        <v>0</v>
      </c>
      <c r="U532" s="50" t="n">
        <v>0</v>
      </c>
      <c r="V532" s="50" t="n">
        <v>0</v>
      </c>
      <c r="W532" s="51" t="n">
        <v>0</v>
      </c>
      <c r="X532" s="51" t="n">
        <v>0</v>
      </c>
      <c r="Y532" s="51" t="n">
        <v>0</v>
      </c>
      <c r="Z532" s="51" t="n">
        <v>0</v>
      </c>
      <c r="AA532" s="52" t="n">
        <v>0</v>
      </c>
      <c r="AB532" s="52" t="n">
        <v>0</v>
      </c>
      <c r="AC532" s="52" t="n">
        <v>0</v>
      </c>
      <c r="AD532" s="52" t="n">
        <v>0</v>
      </c>
      <c r="AE532" s="52" t="n">
        <v>0</v>
      </c>
      <c r="AF532" s="52" t="n">
        <v>0</v>
      </c>
      <c r="AG532" s="52" t="n">
        <v>0</v>
      </c>
      <c r="AH532" s="52" t="n">
        <v>0</v>
      </c>
      <c r="AI532" s="52" t="n">
        <v>0</v>
      </c>
      <c r="AJ532" s="52" t="n">
        <v>0</v>
      </c>
      <c r="AK532" s="52" t="n">
        <v>0</v>
      </c>
      <c r="AL532" s="52" t="n">
        <v>0</v>
      </c>
      <c r="AM532" s="53" t="n">
        <v>0</v>
      </c>
      <c r="AN532" s="53" t="n">
        <v>0</v>
      </c>
      <c r="AO532" s="53" t="n">
        <v>0</v>
      </c>
      <c r="AP532" s="53" t="n">
        <v>0</v>
      </c>
      <c r="AQ532" s="52" t="n">
        <v>0</v>
      </c>
      <c r="AR532" s="52" t="n">
        <v>0</v>
      </c>
      <c r="AS532" s="52" t="n">
        <v>0</v>
      </c>
      <c r="AT532" s="52" t="n">
        <v>0</v>
      </c>
      <c r="AU532" s="53" t="n">
        <v>0</v>
      </c>
      <c r="AV532" s="53" t="n">
        <v>0</v>
      </c>
      <c r="AW532" s="53" t="n">
        <v>0</v>
      </c>
      <c r="AX532" s="53" t="n">
        <v>0</v>
      </c>
      <c r="AY532" s="52" t="n">
        <v>0</v>
      </c>
      <c r="AZ532" s="52" t="n">
        <v>0</v>
      </c>
      <c r="BA532" s="52" t="n">
        <v>0</v>
      </c>
      <c r="BB532" s="52" t="n">
        <v>0</v>
      </c>
      <c r="BC532" s="51" t="n">
        <v>0</v>
      </c>
      <c r="BD532" s="51" t="n">
        <v>0</v>
      </c>
      <c r="BE532" s="51" t="n">
        <v>0</v>
      </c>
      <c r="BF532" s="51" t="n">
        <v>0</v>
      </c>
    </row>
    <row r="533">
      <c r="A533">
        <f>HYPERLINK("https://www.walmart.com/ip/409419335", "409419335")</f>
        <v/>
      </c>
      <c r="B533" t="inlineStr">
        <is>
          <t>Tirrina Unisex Outdoor Sun Protection Fishing Cap with Neck Flap Wide Brim Mesh Hat for Travel Camping Hiking Hunting</t>
        </is>
      </c>
      <c r="C533" t="inlineStr">
        <is>
          <t>1TRSH910BL-TBCB</t>
        </is>
      </c>
      <c r="D533" t="inlineStr">
        <is>
          <t>Hats</t>
        </is>
      </c>
      <c r="E533" t="inlineStr">
        <is>
          <t>Tirrinia</t>
        </is>
      </c>
      <c r="F533" t="inlineStr">
        <is>
          <t>Hats,Batch 1 - TR</t>
        </is>
      </c>
      <c r="G533" s="48" t="n">
        <v>0</v>
      </c>
      <c r="H533" s="48" t="n">
        <v>17.99</v>
      </c>
      <c r="I533" s="48" t="n">
        <v>0</v>
      </c>
      <c r="J533" s="48" t="n">
        <v>0</v>
      </c>
      <c r="K533" s="49" t="n">
        <v>0</v>
      </c>
      <c r="L533" s="49" t="n">
        <v>1</v>
      </c>
      <c r="M533" s="49" t="n">
        <v>0</v>
      </c>
      <c r="N533" s="49" t="n">
        <v>0</v>
      </c>
      <c r="O533" s="49" t="n">
        <v>0</v>
      </c>
      <c r="P533" s="49" t="n">
        <v>0</v>
      </c>
      <c r="Q533" s="49" t="n">
        <v>0</v>
      </c>
      <c r="R533" s="49" t="n">
        <v>0</v>
      </c>
      <c r="S533" s="50" t="n">
        <v>0</v>
      </c>
      <c r="T533" s="50" t="n">
        <v>0</v>
      </c>
      <c r="U533" s="50" t="n">
        <v>0</v>
      </c>
      <c r="V533" s="50" t="n">
        <v>0</v>
      </c>
      <c r="W533" s="51" t="n">
        <v>0</v>
      </c>
      <c r="X533" s="51" t="n">
        <v>0</v>
      </c>
      <c r="Y533" s="51" t="n">
        <v>0</v>
      </c>
      <c r="Z533" s="51" t="n">
        <v>0</v>
      </c>
      <c r="AA533" s="52" t="n">
        <v>0</v>
      </c>
      <c r="AB533" s="52" t="n">
        <v>0</v>
      </c>
      <c r="AC533" s="52" t="n">
        <v>0</v>
      </c>
      <c r="AD533" s="52" t="n">
        <v>0</v>
      </c>
      <c r="AE533" s="52" t="n">
        <v>0</v>
      </c>
      <c r="AF533" s="52" t="n">
        <v>0</v>
      </c>
      <c r="AG533" s="52" t="n">
        <v>0</v>
      </c>
      <c r="AH533" s="52" t="n">
        <v>0</v>
      </c>
      <c r="AI533" s="52" t="n">
        <v>0</v>
      </c>
      <c r="AJ533" s="52" t="n">
        <v>0</v>
      </c>
      <c r="AK533" s="52" t="n">
        <v>0</v>
      </c>
      <c r="AL533" s="52" t="n">
        <v>0</v>
      </c>
      <c r="AM533" s="53" t="n">
        <v>0</v>
      </c>
      <c r="AN533" s="53" t="n">
        <v>0</v>
      </c>
      <c r="AO533" s="53" t="n">
        <v>0</v>
      </c>
      <c r="AP533" s="53" t="n">
        <v>0</v>
      </c>
      <c r="AQ533" s="52" t="n">
        <v>0</v>
      </c>
      <c r="AR533" s="52" t="n">
        <v>0</v>
      </c>
      <c r="AS533" s="52" t="n">
        <v>0</v>
      </c>
      <c r="AT533" s="52" t="n">
        <v>0</v>
      </c>
      <c r="AU533" s="53" t="n">
        <v>0</v>
      </c>
      <c r="AV533" s="53" t="n">
        <v>0</v>
      </c>
      <c r="AW533" s="53" t="n">
        <v>0</v>
      </c>
      <c r="AX533" s="53" t="n">
        <v>0</v>
      </c>
      <c r="AY533" s="52" t="n">
        <v>0</v>
      </c>
      <c r="AZ533" s="52" t="n">
        <v>17.99</v>
      </c>
      <c r="BA533" s="52" t="n">
        <v>0</v>
      </c>
      <c r="BB533" s="52" t="n">
        <v>0</v>
      </c>
      <c r="BC533" s="51" t="n">
        <v>0</v>
      </c>
      <c r="BD533" s="51" t="n">
        <v>0</v>
      </c>
      <c r="BE533" s="51" t="n">
        <v>0</v>
      </c>
      <c r="BF533" s="51" t="n">
        <v>0</v>
      </c>
    </row>
    <row r="534">
      <c r="A534">
        <f>HYPERLINK("https://www.walmart.com/ip/409220374", "409220374")</f>
        <v/>
      </c>
      <c r="B534" t="inlineStr">
        <is>
          <t>Tirrinia Wine Cooler bag - 3 Bottle Travel Insulated Padded Wine Carrier Tote Bag with Handle and Adjustable Shoulder Strap</t>
        </is>
      </c>
      <c r="C534" t="inlineStr">
        <is>
          <t>1WMWB310PP</t>
        </is>
      </c>
      <c r="D534" t="inlineStr">
        <is>
          <t>Wine Totes, Bags &amp; Backpacks</t>
        </is>
      </c>
      <c r="E534" t="inlineStr">
        <is>
          <t>Flyingstar</t>
        </is>
      </c>
      <c r="F534" t="inlineStr">
        <is>
          <t>Wine,Christmas,Valentine</t>
        </is>
      </c>
      <c r="G534" s="48" t="n">
        <v>0</v>
      </c>
      <c r="H534" s="48" t="n">
        <v>16.99</v>
      </c>
      <c r="I534" s="48" t="n">
        <v>0</v>
      </c>
      <c r="J534" s="48" t="n">
        <v>0</v>
      </c>
      <c r="K534" s="49" t="n">
        <v>0</v>
      </c>
      <c r="L534" s="49" t="n">
        <v>1</v>
      </c>
      <c r="M534" s="49" t="n">
        <v>0</v>
      </c>
      <c r="N534" s="49" t="n">
        <v>0</v>
      </c>
      <c r="O534" s="49" t="n">
        <v>0</v>
      </c>
      <c r="P534" s="49" t="n">
        <v>0</v>
      </c>
      <c r="Q534" s="49" t="n">
        <v>0</v>
      </c>
      <c r="R534" s="49" t="n">
        <v>0</v>
      </c>
      <c r="S534" s="50" t="n">
        <v>0</v>
      </c>
      <c r="T534" s="50" t="n">
        <v>0</v>
      </c>
      <c r="U534" s="50" t="n">
        <v>0</v>
      </c>
      <c r="V534" s="50" t="n">
        <v>0</v>
      </c>
      <c r="W534" s="51" t="n">
        <v>0</v>
      </c>
      <c r="X534" s="51" t="n">
        <v>0</v>
      </c>
      <c r="Y534" s="51" t="n">
        <v>0</v>
      </c>
      <c r="Z534" s="51" t="n">
        <v>0</v>
      </c>
      <c r="AA534" s="52" t="n">
        <v>0</v>
      </c>
      <c r="AB534" s="52" t="n">
        <v>0</v>
      </c>
      <c r="AC534" s="52" t="n">
        <v>0</v>
      </c>
      <c r="AD534" s="52" t="n">
        <v>0</v>
      </c>
      <c r="AE534" s="52" t="n">
        <v>0</v>
      </c>
      <c r="AF534" s="52" t="n">
        <v>0</v>
      </c>
      <c r="AG534" s="52" t="n">
        <v>0</v>
      </c>
      <c r="AH534" s="52" t="n">
        <v>0</v>
      </c>
      <c r="AI534" s="52" t="n">
        <v>0</v>
      </c>
      <c r="AJ534" s="52" t="n">
        <v>0</v>
      </c>
      <c r="AK534" s="52" t="n">
        <v>0</v>
      </c>
      <c r="AL534" s="52" t="n">
        <v>0</v>
      </c>
      <c r="AM534" s="53" t="n">
        <v>0</v>
      </c>
      <c r="AN534" s="53" t="n">
        <v>0</v>
      </c>
      <c r="AO534" s="53" t="n">
        <v>0</v>
      </c>
      <c r="AP534" s="53" t="n">
        <v>0</v>
      </c>
      <c r="AQ534" s="52" t="n">
        <v>0</v>
      </c>
      <c r="AR534" s="52" t="n">
        <v>0</v>
      </c>
      <c r="AS534" s="52" t="n">
        <v>0</v>
      </c>
      <c r="AT534" s="52" t="n">
        <v>0</v>
      </c>
      <c r="AU534" s="53" t="n">
        <v>0</v>
      </c>
      <c r="AV534" s="53" t="n">
        <v>0</v>
      </c>
      <c r="AW534" s="53" t="n">
        <v>0</v>
      </c>
      <c r="AX534" s="53" t="n">
        <v>0</v>
      </c>
      <c r="AY534" s="52" t="n">
        <v>0</v>
      </c>
      <c r="AZ534" s="52" t="n">
        <v>16.99</v>
      </c>
      <c r="BA534" s="52" t="n">
        <v>0</v>
      </c>
      <c r="BB534" s="52" t="n">
        <v>0</v>
      </c>
      <c r="BC534" s="51" t="n">
        <v>0</v>
      </c>
      <c r="BD534" s="51" t="n">
        <v>0</v>
      </c>
      <c r="BE534" s="51" t="n">
        <v>0</v>
      </c>
      <c r="BF534" s="51" t="n">
        <v>0</v>
      </c>
    </row>
    <row r="535">
      <c r="A535">
        <f>HYPERLINK("https://www.walmart.com/ip/400932895", "400932895")</f>
        <v/>
      </c>
      <c r="B535" t="inlineStr">
        <is>
          <t>Tirrinia Single Wine Gift Tote Bag, Insulated Padded Thermal Wine Bottle Carrying Cooler Carrier for Travel, Picnic, Great Gift for Wine Lover, Cheetah</t>
        </is>
      </c>
      <c r="C535" t="inlineStr">
        <is>
          <t>1TRWB102CHEETAH</t>
        </is>
      </c>
      <c r="D535" t="inlineStr">
        <is>
          <t>Wine Totes, Bags &amp; Backpacks</t>
        </is>
      </c>
      <c r="E535" t="inlineStr">
        <is>
          <t>Tirrinia</t>
        </is>
      </c>
      <c r="G535" s="48" t="n">
        <v>0</v>
      </c>
      <c r="H535" s="48" t="n">
        <v>0</v>
      </c>
      <c r="I535" s="48" t="n">
        <v>0</v>
      </c>
      <c r="J535" s="48" t="n">
        <v>0</v>
      </c>
      <c r="K535" s="49" t="n">
        <v>0</v>
      </c>
      <c r="L535" s="49" t="n">
        <v>0</v>
      </c>
      <c r="M535" s="49" t="n">
        <v>0</v>
      </c>
      <c r="N535" s="49" t="n">
        <v>0</v>
      </c>
      <c r="O535" s="49" t="n">
        <v>0</v>
      </c>
      <c r="P535" s="49" t="n">
        <v>0</v>
      </c>
      <c r="Q535" s="49" t="n">
        <v>0</v>
      </c>
      <c r="R535" s="49" t="n">
        <v>0</v>
      </c>
      <c r="S535" s="50" t="n">
        <v>0</v>
      </c>
      <c r="T535" s="50" t="n">
        <v>0</v>
      </c>
      <c r="U535" s="50" t="n">
        <v>0</v>
      </c>
      <c r="V535" s="50" t="n">
        <v>0</v>
      </c>
      <c r="W535" s="51" t="n">
        <v>0</v>
      </c>
      <c r="X535" s="51" t="n">
        <v>0</v>
      </c>
      <c r="Y535" s="51" t="n">
        <v>0</v>
      </c>
      <c r="Z535" s="51" t="n">
        <v>0</v>
      </c>
      <c r="AA535" s="52" t="n">
        <v>0</v>
      </c>
      <c r="AB535" s="52" t="n">
        <v>0</v>
      </c>
      <c r="AC535" s="52" t="n">
        <v>0</v>
      </c>
      <c r="AD535" s="52" t="n">
        <v>0</v>
      </c>
      <c r="AE535" s="52" t="n">
        <v>0</v>
      </c>
      <c r="AF535" s="52" t="n">
        <v>0</v>
      </c>
      <c r="AG535" s="52" t="n">
        <v>0</v>
      </c>
      <c r="AH535" s="52" t="n">
        <v>0</v>
      </c>
      <c r="AI535" s="52" t="n">
        <v>0</v>
      </c>
      <c r="AJ535" s="52" t="n">
        <v>0</v>
      </c>
      <c r="AK535" s="52" t="n">
        <v>0</v>
      </c>
      <c r="AL535" s="52" t="n">
        <v>0</v>
      </c>
      <c r="AM535" s="53" t="n">
        <v>0</v>
      </c>
      <c r="AN535" s="53" t="n">
        <v>0</v>
      </c>
      <c r="AO535" s="53" t="n">
        <v>0</v>
      </c>
      <c r="AP535" s="53" t="n">
        <v>0</v>
      </c>
      <c r="AQ535" s="52" t="n">
        <v>0</v>
      </c>
      <c r="AR535" s="52" t="n">
        <v>0</v>
      </c>
      <c r="AS535" s="52" t="n">
        <v>0</v>
      </c>
      <c r="AT535" s="52" t="n">
        <v>0</v>
      </c>
      <c r="AU535" s="53" t="n">
        <v>0</v>
      </c>
      <c r="AV535" s="53" t="n">
        <v>0</v>
      </c>
      <c r="AW535" s="53" t="n">
        <v>0</v>
      </c>
      <c r="AX535" s="53" t="n">
        <v>0</v>
      </c>
      <c r="AY535" s="52" t="n">
        <v>0</v>
      </c>
      <c r="AZ535" s="52" t="n">
        <v>0</v>
      </c>
      <c r="BA535" s="52" t="n">
        <v>0</v>
      </c>
      <c r="BB535" s="52" t="n">
        <v>0</v>
      </c>
      <c r="BC535" s="51" t="n">
        <v>2</v>
      </c>
      <c r="BD535" s="51" t="n">
        <v>0</v>
      </c>
      <c r="BE535" s="51" t="n">
        <v>0</v>
      </c>
      <c r="BF535" s="51" t="n">
        <v>0</v>
      </c>
    </row>
    <row r="536">
      <c r="A536">
        <f>HYPERLINK("https://www.walmart.com/ip/395062607", "395062607")</f>
        <v/>
      </c>
      <c r="B536" t="inlineStr">
        <is>
          <t>Women Floppy Sun Beach Hats w/ Wide Brim Straw Edge Summer UV Protection Foldable Gardening Hiking Cap by Solaris</t>
        </is>
      </c>
      <c r="C536" t="inlineStr">
        <is>
          <t>1SLSH371BE</t>
        </is>
      </c>
      <c r="D536" t="inlineStr">
        <is>
          <t>Hats</t>
        </is>
      </c>
      <c r="E536" t="inlineStr">
        <is>
          <t>Solaris</t>
        </is>
      </c>
      <c r="F536" t="inlineStr">
        <is>
          <t>Batch 1 - TR</t>
        </is>
      </c>
      <c r="G536" s="48" t="n">
        <v>0</v>
      </c>
      <c r="H536" s="48" t="n">
        <v>9.99</v>
      </c>
      <c r="I536" s="48" t="n">
        <v>0</v>
      </c>
      <c r="J536" s="48" t="n">
        <v>0</v>
      </c>
      <c r="K536" s="49" t="n">
        <v>0</v>
      </c>
      <c r="L536" s="49" t="n">
        <v>1</v>
      </c>
      <c r="M536" s="49" t="n">
        <v>0</v>
      </c>
      <c r="N536" s="49" t="n">
        <v>0</v>
      </c>
      <c r="O536" s="49" t="n">
        <v>0</v>
      </c>
      <c r="P536" s="49" t="n">
        <v>0</v>
      </c>
      <c r="Q536" s="49" t="n">
        <v>0</v>
      </c>
      <c r="R536" s="49" t="n">
        <v>0</v>
      </c>
      <c r="S536" s="50" t="n">
        <v>0</v>
      </c>
      <c r="T536" s="50" t="n">
        <v>0</v>
      </c>
      <c r="U536" s="50" t="n">
        <v>0</v>
      </c>
      <c r="V536" s="50" t="n">
        <v>0</v>
      </c>
      <c r="W536" s="51" t="n">
        <v>0</v>
      </c>
      <c r="X536" s="51" t="n">
        <v>0</v>
      </c>
      <c r="Y536" s="51" t="n">
        <v>0</v>
      </c>
      <c r="Z536" s="51" t="n">
        <v>0</v>
      </c>
      <c r="AA536" s="52" t="n">
        <v>0</v>
      </c>
      <c r="AB536" s="52" t="n">
        <v>0</v>
      </c>
      <c r="AC536" s="52" t="n">
        <v>0</v>
      </c>
      <c r="AD536" s="52" t="n">
        <v>0</v>
      </c>
      <c r="AE536" s="52" t="n">
        <v>0</v>
      </c>
      <c r="AF536" s="52" t="n">
        <v>0</v>
      </c>
      <c r="AG536" s="52" t="n">
        <v>0</v>
      </c>
      <c r="AH536" s="52" t="n">
        <v>0</v>
      </c>
      <c r="AI536" s="52" t="n">
        <v>0</v>
      </c>
      <c r="AJ536" s="52" t="n">
        <v>0</v>
      </c>
      <c r="AK536" s="52" t="n">
        <v>0</v>
      </c>
      <c r="AL536" s="52" t="n">
        <v>0</v>
      </c>
      <c r="AM536" s="53" t="n">
        <v>0</v>
      </c>
      <c r="AN536" s="53" t="n">
        <v>0</v>
      </c>
      <c r="AO536" s="53" t="n">
        <v>0</v>
      </c>
      <c r="AP536" s="53" t="n">
        <v>0</v>
      </c>
      <c r="AQ536" s="52" t="n">
        <v>0</v>
      </c>
      <c r="AR536" s="52" t="n">
        <v>0</v>
      </c>
      <c r="AS536" s="52" t="n">
        <v>0</v>
      </c>
      <c r="AT536" s="52" t="n">
        <v>0</v>
      </c>
      <c r="AU536" s="53" t="n">
        <v>0</v>
      </c>
      <c r="AV536" s="53" t="n">
        <v>0</v>
      </c>
      <c r="AW536" s="53" t="n">
        <v>0</v>
      </c>
      <c r="AX536" s="53" t="n">
        <v>0</v>
      </c>
      <c r="AY536" s="52" t="n">
        <v>0</v>
      </c>
      <c r="AZ536" s="52" t="n">
        <v>9.99</v>
      </c>
      <c r="BA536" s="52" t="n">
        <v>0</v>
      </c>
      <c r="BB536" s="52" t="n">
        <v>0</v>
      </c>
      <c r="BC536" s="51" t="n">
        <v>0</v>
      </c>
      <c r="BD536" s="51" t="n">
        <v>0</v>
      </c>
      <c r="BE536" s="51" t="n">
        <v>0</v>
      </c>
      <c r="BF536" s="51" t="n">
        <v>0</v>
      </c>
    </row>
    <row r="537">
      <c r="A537">
        <f>HYPERLINK("https://www.walmart.com/ip/3959062004", "3959062004")</f>
        <v/>
      </c>
      <c r="B537" t="inlineStr">
        <is>
          <t>Catalonia Wearable Fleece Blanket with Sleeves and Foot Pockets for Adult Women and Men, Micro Plush Comfy Wrap Sleeved Throw Blanket Robe, Large, Blue Cat</t>
        </is>
      </c>
      <c r="C537" t="inlineStr">
        <is>
          <t>1CTSN101BLCAT</t>
        </is>
      </c>
      <c r="D537" t="inlineStr">
        <is>
          <t>Throws</t>
        </is>
      </c>
      <c r="E537" t="inlineStr">
        <is>
          <t>Catalonia</t>
        </is>
      </c>
      <c r="F537" t="inlineStr">
        <is>
          <t>Q2-Target,Fleece Blankets</t>
        </is>
      </c>
      <c r="G537" s="48" t="n">
        <v>0</v>
      </c>
      <c r="H537" s="48" t="n">
        <v>0</v>
      </c>
      <c r="I537" s="48" t="n">
        <v>0</v>
      </c>
      <c r="J537" s="48" t="n">
        <v>0</v>
      </c>
      <c r="K537" s="49" t="n">
        <v>0</v>
      </c>
      <c r="L537" s="49" t="n">
        <v>0</v>
      </c>
      <c r="M537" s="49" t="n">
        <v>0</v>
      </c>
      <c r="N537" s="49" t="n">
        <v>0</v>
      </c>
      <c r="O537" s="49" t="n">
        <v>0</v>
      </c>
      <c r="P537" s="49" t="n">
        <v>0</v>
      </c>
      <c r="Q537" s="49" t="n">
        <v>0</v>
      </c>
      <c r="R537" s="49" t="n">
        <v>0</v>
      </c>
      <c r="S537" s="50" t="n">
        <v>0</v>
      </c>
      <c r="T537" s="50" t="n">
        <v>0</v>
      </c>
      <c r="U537" s="50" t="n">
        <v>0</v>
      </c>
      <c r="V537" s="50" t="n">
        <v>0</v>
      </c>
      <c r="W537" s="51" t="n">
        <v>0</v>
      </c>
      <c r="X537" s="51" t="n">
        <v>0</v>
      </c>
      <c r="Y537" s="51" t="n">
        <v>0</v>
      </c>
      <c r="Z537" s="51" t="n">
        <v>0</v>
      </c>
      <c r="AA537" s="52" t="n">
        <v>0</v>
      </c>
      <c r="AB537" s="52" t="n">
        <v>0</v>
      </c>
      <c r="AC537" s="52" t="n">
        <v>0</v>
      </c>
      <c r="AD537" s="52" t="n">
        <v>0</v>
      </c>
      <c r="AE537" s="52" t="n">
        <v>0</v>
      </c>
      <c r="AF537" s="52" t="n">
        <v>0</v>
      </c>
      <c r="AG537" s="52" t="n">
        <v>0</v>
      </c>
      <c r="AH537" s="52" t="n">
        <v>0</v>
      </c>
      <c r="AI537" s="52" t="n">
        <v>0</v>
      </c>
      <c r="AJ537" s="52" t="n">
        <v>0</v>
      </c>
      <c r="AK537" s="52" t="n">
        <v>0</v>
      </c>
      <c r="AL537" s="52" t="n">
        <v>0</v>
      </c>
      <c r="AM537" s="53" t="n">
        <v>0</v>
      </c>
      <c r="AN537" s="53" t="n">
        <v>0</v>
      </c>
      <c r="AO537" s="53" t="n">
        <v>0</v>
      </c>
      <c r="AP537" s="53" t="n">
        <v>0</v>
      </c>
      <c r="AQ537" s="52" t="n">
        <v>0</v>
      </c>
      <c r="AR537" s="52" t="n">
        <v>0</v>
      </c>
      <c r="AS537" s="52" t="n">
        <v>0</v>
      </c>
      <c r="AT537" s="52" t="n">
        <v>0</v>
      </c>
      <c r="AU537" s="53" t="n">
        <v>0</v>
      </c>
      <c r="AV537" s="53" t="n">
        <v>0</v>
      </c>
      <c r="AW537" s="53" t="n">
        <v>0</v>
      </c>
      <c r="AX537" s="53" t="n">
        <v>0</v>
      </c>
      <c r="AY537" s="52" t="n">
        <v>0</v>
      </c>
      <c r="AZ537" s="52" t="n">
        <v>0</v>
      </c>
      <c r="BA537" s="52" t="n">
        <v>0</v>
      </c>
      <c r="BB537" s="52" t="n">
        <v>0</v>
      </c>
      <c r="BC537" s="51" t="n">
        <v>0</v>
      </c>
      <c r="BD537" s="51" t="n">
        <v>0</v>
      </c>
      <c r="BE537" s="51" t="n">
        <v>0</v>
      </c>
      <c r="BF537" s="51" t="n">
        <v>0</v>
      </c>
    </row>
    <row r="538">
      <c r="A538">
        <f>HYPERLINK("https://www.walmart.com/ip/396482858", "396482858")</f>
        <v/>
      </c>
      <c r="B538" t="inlineStr">
        <is>
          <t>Catalonia Fleece Wearable Blanket Poncho for Adult Women Men, Wrap Blanket Cape with Pocket | Warm, Soft, Cozy, Snuggly, Comfort Gift, No Sleeves | All-Season, Cheetah</t>
        </is>
      </c>
      <c r="C538" t="inlineStr">
        <is>
          <t>1CTBP100CHEETAH</t>
        </is>
      </c>
      <c r="D538" t="inlineStr">
        <is>
          <t>Throws</t>
        </is>
      </c>
      <c r="E538" t="inlineStr">
        <is>
          <t>Catalonia</t>
        </is>
      </c>
      <c r="F538" t="inlineStr">
        <is>
          <t>Hero 5 Holidays,WFS,Coupon_Discount,WFS Item</t>
        </is>
      </c>
      <c r="G538" s="48" t="n">
        <v>0</v>
      </c>
      <c r="H538" s="48" t="n">
        <v>0</v>
      </c>
      <c r="I538" s="48" t="n">
        <v>0</v>
      </c>
      <c r="J538" s="48" t="n">
        <v>0</v>
      </c>
      <c r="K538" s="49" t="n">
        <v>0</v>
      </c>
      <c r="L538" s="49" t="n">
        <v>0</v>
      </c>
      <c r="M538" s="49" t="n">
        <v>0</v>
      </c>
      <c r="N538" s="49" t="n">
        <v>0</v>
      </c>
      <c r="O538" s="49" t="n">
        <v>0</v>
      </c>
      <c r="P538" s="49" t="n">
        <v>0</v>
      </c>
      <c r="Q538" s="49" t="n">
        <v>0</v>
      </c>
      <c r="R538" s="49" t="n">
        <v>0</v>
      </c>
      <c r="S538" s="50" t="n">
        <v>0</v>
      </c>
      <c r="T538" s="50" t="n">
        <v>0</v>
      </c>
      <c r="U538" s="50" t="n">
        <v>0</v>
      </c>
      <c r="V538" s="50" t="n">
        <v>0</v>
      </c>
      <c r="W538" s="51" t="n">
        <v>0</v>
      </c>
      <c r="X538" s="51" t="n">
        <v>0</v>
      </c>
      <c r="Y538" s="51" t="n">
        <v>0</v>
      </c>
      <c r="Z538" s="51" t="n">
        <v>0</v>
      </c>
      <c r="AA538" s="52" t="n">
        <v>0</v>
      </c>
      <c r="AB538" s="52" t="n">
        <v>0</v>
      </c>
      <c r="AC538" s="52" t="n">
        <v>0</v>
      </c>
      <c r="AD538" s="52" t="n">
        <v>0</v>
      </c>
      <c r="AE538" s="52" t="n">
        <v>0</v>
      </c>
      <c r="AF538" s="52" t="n">
        <v>0</v>
      </c>
      <c r="AG538" s="52" t="n">
        <v>0</v>
      </c>
      <c r="AH538" s="52" t="n">
        <v>0</v>
      </c>
      <c r="AI538" s="52" t="n">
        <v>0</v>
      </c>
      <c r="AJ538" s="52" t="n">
        <v>0</v>
      </c>
      <c r="AK538" s="52" t="n">
        <v>0</v>
      </c>
      <c r="AL538" s="52" t="n">
        <v>0</v>
      </c>
      <c r="AM538" s="53" t="n">
        <v>0</v>
      </c>
      <c r="AN538" s="53" t="n">
        <v>0</v>
      </c>
      <c r="AO538" s="53" t="n">
        <v>0</v>
      </c>
      <c r="AP538" s="53" t="n">
        <v>0</v>
      </c>
      <c r="AQ538" s="52" t="n">
        <v>0</v>
      </c>
      <c r="AR538" s="52" t="n">
        <v>0</v>
      </c>
      <c r="AS538" s="52" t="n">
        <v>0</v>
      </c>
      <c r="AT538" s="52" t="n">
        <v>0</v>
      </c>
      <c r="AU538" s="53" t="n">
        <v>0</v>
      </c>
      <c r="AV538" s="53" t="n">
        <v>0</v>
      </c>
      <c r="AW538" s="53" t="n">
        <v>0</v>
      </c>
      <c r="AX538" s="53" t="n">
        <v>0</v>
      </c>
      <c r="AY538" s="52" t="n">
        <v>0</v>
      </c>
      <c r="AZ538" s="52" t="n">
        <v>0</v>
      </c>
      <c r="BA538" s="52" t="n">
        <v>0</v>
      </c>
      <c r="BB538" s="52" t="n">
        <v>0</v>
      </c>
      <c r="BC538" s="51" t="n">
        <v>0</v>
      </c>
      <c r="BD538" s="51" t="n">
        <v>0</v>
      </c>
      <c r="BE538" s="51" t="n">
        <v>0</v>
      </c>
      <c r="BF538" s="51" t="n">
        <v>0</v>
      </c>
    </row>
    <row r="539">
      <c r="A539">
        <f>HYPERLINK("https://www.walmart.com/ip/396849759", "396849759")</f>
        <v/>
      </c>
      <c r="B539" t="inlineStr">
        <is>
          <t>Sherpa Slipper Socks for Women,Winter Indoor Home Non Skid Booties</t>
        </is>
      </c>
      <c r="C539" t="inlineStr">
        <is>
          <t>1CTST200LBL-2</t>
        </is>
      </c>
      <c r="D539" t="inlineStr">
        <is>
          <t>Socks</t>
        </is>
      </c>
      <c r="E539" t="inlineStr">
        <is>
          <t>Catalonia</t>
        </is>
      </c>
      <c r="F539" t="inlineStr">
        <is>
          <t>WFS,WFS Item</t>
        </is>
      </c>
      <c r="G539" s="48" t="n">
        <v>0</v>
      </c>
      <c r="H539" s="48" t="n">
        <v>0</v>
      </c>
      <c r="I539" s="48" t="n">
        <v>0</v>
      </c>
      <c r="J539" s="48" t="n">
        <v>0</v>
      </c>
      <c r="K539" s="49" t="n">
        <v>0</v>
      </c>
      <c r="L539" s="49" t="n">
        <v>0</v>
      </c>
      <c r="M539" s="49" t="n">
        <v>0</v>
      </c>
      <c r="N539" s="49" t="n">
        <v>0</v>
      </c>
      <c r="O539" s="49" t="n">
        <v>0</v>
      </c>
      <c r="P539" s="49" t="n">
        <v>0</v>
      </c>
      <c r="Q539" s="49" t="n">
        <v>0</v>
      </c>
      <c r="R539" s="49" t="n">
        <v>0</v>
      </c>
      <c r="S539" s="50" t="n">
        <v>0</v>
      </c>
      <c r="T539" s="50" t="n">
        <v>0</v>
      </c>
      <c r="U539" s="50" t="n">
        <v>0</v>
      </c>
      <c r="V539" s="50" t="n">
        <v>0</v>
      </c>
      <c r="W539" s="51" t="n">
        <v>0</v>
      </c>
      <c r="X539" s="51" t="n">
        <v>0</v>
      </c>
      <c r="Y539" s="51" t="n">
        <v>0</v>
      </c>
      <c r="Z539" s="51" t="n">
        <v>0</v>
      </c>
      <c r="AA539" s="52" t="n">
        <v>0</v>
      </c>
      <c r="AB539" s="52" t="n">
        <v>0</v>
      </c>
      <c r="AC539" s="52" t="n">
        <v>0</v>
      </c>
      <c r="AD539" s="52" t="n">
        <v>0</v>
      </c>
      <c r="AE539" s="52" t="n">
        <v>0</v>
      </c>
      <c r="AF539" s="52" t="n">
        <v>0</v>
      </c>
      <c r="AG539" s="52" t="n">
        <v>0</v>
      </c>
      <c r="AH539" s="52" t="n">
        <v>0</v>
      </c>
      <c r="AI539" s="52" t="n">
        <v>0</v>
      </c>
      <c r="AJ539" s="52" t="n">
        <v>0</v>
      </c>
      <c r="AK539" s="52" t="n">
        <v>0</v>
      </c>
      <c r="AL539" s="52" t="n">
        <v>0</v>
      </c>
      <c r="AM539" s="53" t="n">
        <v>0</v>
      </c>
      <c r="AN539" s="53" t="n">
        <v>0</v>
      </c>
      <c r="AO539" s="53" t="n">
        <v>0</v>
      </c>
      <c r="AP539" s="53" t="n">
        <v>0</v>
      </c>
      <c r="AQ539" s="52" t="n">
        <v>0</v>
      </c>
      <c r="AR539" s="52" t="n">
        <v>0</v>
      </c>
      <c r="AS539" s="52" t="n">
        <v>0</v>
      </c>
      <c r="AT539" s="52" t="n">
        <v>0</v>
      </c>
      <c r="AU539" s="53" t="n">
        <v>0</v>
      </c>
      <c r="AV539" s="53" t="n">
        <v>0</v>
      </c>
      <c r="AW539" s="53" t="n">
        <v>0</v>
      </c>
      <c r="AX539" s="53" t="n">
        <v>0</v>
      </c>
      <c r="AY539" s="52" t="n">
        <v>0</v>
      </c>
      <c r="AZ539" s="52" t="n">
        <v>0</v>
      </c>
      <c r="BA539" s="52" t="n">
        <v>0</v>
      </c>
      <c r="BB539" s="52" t="n">
        <v>0</v>
      </c>
      <c r="BC539" s="51" t="n">
        <v>0</v>
      </c>
      <c r="BD539" s="51" t="n">
        <v>0</v>
      </c>
      <c r="BE539" s="51" t="n">
        <v>0</v>
      </c>
      <c r="BF539" s="51" t="n">
        <v>0</v>
      </c>
    </row>
    <row r="540">
      <c r="A540">
        <f>HYPERLINK("https://www.walmart.com/ip/3972988053", "3972988053")</f>
        <v/>
      </c>
      <c r="B540" t="inlineStr">
        <is>
          <t>Catalonia Waterproof Blanket for Outdoors, Hooded Blanket Poncho, Windproof, Warm, Wearable, Portable Fleece Blanket for Stadium, Picnics, Sports Events, Camping, Yoga, and Beach, Orange/Black</t>
        </is>
      </c>
      <c r="C540" t="inlineStr">
        <is>
          <t>1CTBC200ORBK</t>
        </is>
      </c>
      <c r="D540" t="inlineStr">
        <is>
          <t>Throws</t>
        </is>
      </c>
      <c r="E540" t="inlineStr">
        <is>
          <t>Catalonia</t>
        </is>
      </c>
      <c r="F540" t="inlineStr">
        <is>
          <t>Wproof Blanket</t>
        </is>
      </c>
      <c r="G540" s="48" t="n">
        <v>0</v>
      </c>
      <c r="H540" s="48" t="n">
        <v>26.99</v>
      </c>
      <c r="I540" s="48" t="n">
        <v>0</v>
      </c>
      <c r="J540" s="48" t="n">
        <v>0</v>
      </c>
      <c r="K540" s="49" t="n">
        <v>0</v>
      </c>
      <c r="L540" s="49" t="n">
        <v>1</v>
      </c>
      <c r="M540" s="49" t="n">
        <v>0</v>
      </c>
      <c r="N540" s="49" t="n">
        <v>0</v>
      </c>
      <c r="O540" s="49" t="n">
        <v>0</v>
      </c>
      <c r="P540" s="49" t="n">
        <v>0</v>
      </c>
      <c r="Q540" s="49" t="n">
        <v>0</v>
      </c>
      <c r="R540" s="49" t="n">
        <v>0</v>
      </c>
      <c r="S540" s="50" t="n">
        <v>0</v>
      </c>
      <c r="T540" s="50" t="n">
        <v>0</v>
      </c>
      <c r="U540" s="50" t="n">
        <v>0</v>
      </c>
      <c r="V540" s="50" t="n">
        <v>0</v>
      </c>
      <c r="W540" s="51" t="n">
        <v>0</v>
      </c>
      <c r="X540" s="51" t="n">
        <v>0</v>
      </c>
      <c r="Y540" s="51" t="n">
        <v>0</v>
      </c>
      <c r="Z540" s="51" t="n">
        <v>0</v>
      </c>
      <c r="AA540" s="52" t="n">
        <v>0</v>
      </c>
      <c r="AB540" s="52" t="n">
        <v>0</v>
      </c>
      <c r="AC540" s="52" t="n">
        <v>0</v>
      </c>
      <c r="AD540" s="52" t="n">
        <v>0</v>
      </c>
      <c r="AE540" s="52" t="n">
        <v>0</v>
      </c>
      <c r="AF540" s="52" t="n">
        <v>0</v>
      </c>
      <c r="AG540" s="52" t="n">
        <v>0</v>
      </c>
      <c r="AH540" s="52" t="n">
        <v>0</v>
      </c>
      <c r="AI540" s="52" t="n">
        <v>0</v>
      </c>
      <c r="AJ540" s="52" t="n">
        <v>0</v>
      </c>
      <c r="AK540" s="52" t="n">
        <v>0</v>
      </c>
      <c r="AL540" s="52" t="n">
        <v>0</v>
      </c>
      <c r="AM540" s="53" t="n">
        <v>0</v>
      </c>
      <c r="AN540" s="53" t="n">
        <v>0</v>
      </c>
      <c r="AO540" s="53" t="n">
        <v>0</v>
      </c>
      <c r="AP540" s="53" t="n">
        <v>0</v>
      </c>
      <c r="AQ540" s="52" t="n">
        <v>0</v>
      </c>
      <c r="AR540" s="52" t="n">
        <v>0</v>
      </c>
      <c r="AS540" s="52" t="n">
        <v>0</v>
      </c>
      <c r="AT540" s="52" t="n">
        <v>0</v>
      </c>
      <c r="AU540" s="53" t="n">
        <v>0</v>
      </c>
      <c r="AV540" s="53" t="n">
        <v>0</v>
      </c>
      <c r="AW540" s="53" t="n">
        <v>0</v>
      </c>
      <c r="AX540" s="53" t="n">
        <v>0</v>
      </c>
      <c r="AY540" s="52" t="n">
        <v>0</v>
      </c>
      <c r="AZ540" s="52" t="n">
        <v>26.99</v>
      </c>
      <c r="BA540" s="52" t="n">
        <v>0</v>
      </c>
      <c r="BB540" s="52" t="n">
        <v>0</v>
      </c>
      <c r="BC540" s="51" t="n">
        <v>0</v>
      </c>
      <c r="BD540" s="51" t="n">
        <v>0</v>
      </c>
      <c r="BE540" s="51" t="n">
        <v>0</v>
      </c>
      <c r="BF540" s="51" t="n">
        <v>0</v>
      </c>
    </row>
    <row r="541">
      <c r="A541">
        <f>HYPERLINK("https://www.walmart.com/ip/398223361", "398223361")</f>
        <v/>
      </c>
      <c r="B541" t="inlineStr">
        <is>
          <t>Sherpa Fleece Blanket National Flag Print Patriotic Plush Soft Warm Reversible Polar Throw for Couch Bed by Catalon</t>
        </is>
      </c>
      <c r="C541" t="inlineStr">
        <is>
          <t>1CTBF300USA2</t>
        </is>
      </c>
      <c r="D541" t="inlineStr">
        <is>
          <t>Throws</t>
        </is>
      </c>
      <c r="E541" t="inlineStr">
        <is>
          <t>Catalonia</t>
        </is>
      </c>
      <c r="F541" t="inlineStr">
        <is>
          <t>WFS,WFS Item</t>
        </is>
      </c>
      <c r="G541" s="48" t="n">
        <v>0</v>
      </c>
      <c r="H541" s="48" t="n">
        <v>0</v>
      </c>
      <c r="I541" s="48" t="n">
        <v>0</v>
      </c>
      <c r="J541" s="48" t="n">
        <v>0</v>
      </c>
      <c r="K541" s="49" t="n">
        <v>0</v>
      </c>
      <c r="L541" s="49" t="n">
        <v>0</v>
      </c>
      <c r="M541" s="49" t="n">
        <v>0</v>
      </c>
      <c r="N541" s="49" t="n">
        <v>0</v>
      </c>
      <c r="O541" s="49" t="n">
        <v>0</v>
      </c>
      <c r="P541" s="49" t="n">
        <v>0</v>
      </c>
      <c r="Q541" s="49" t="n">
        <v>0</v>
      </c>
      <c r="R541" s="49" t="n">
        <v>0</v>
      </c>
      <c r="S541" s="50" t="n">
        <v>0</v>
      </c>
      <c r="T541" s="50" t="n">
        <v>0</v>
      </c>
      <c r="U541" s="50" t="n">
        <v>0</v>
      </c>
      <c r="V541" s="50" t="n">
        <v>0</v>
      </c>
      <c r="W541" s="51" t="n">
        <v>0</v>
      </c>
      <c r="X541" s="51" t="n">
        <v>0</v>
      </c>
      <c r="Y541" s="51" t="n">
        <v>0</v>
      </c>
      <c r="Z541" s="51" t="n">
        <v>0</v>
      </c>
      <c r="AA541" s="52" t="n">
        <v>0</v>
      </c>
      <c r="AB541" s="52" t="n">
        <v>0</v>
      </c>
      <c r="AC541" s="52" t="n">
        <v>0</v>
      </c>
      <c r="AD541" s="52" t="n">
        <v>0</v>
      </c>
      <c r="AE541" s="52" t="n">
        <v>0</v>
      </c>
      <c r="AF541" s="52" t="n">
        <v>0</v>
      </c>
      <c r="AG541" s="52" t="n">
        <v>0</v>
      </c>
      <c r="AH541" s="52" t="n">
        <v>0</v>
      </c>
      <c r="AI541" s="52" t="n">
        <v>0</v>
      </c>
      <c r="AJ541" s="52" t="n">
        <v>0</v>
      </c>
      <c r="AK541" s="52" t="n">
        <v>0</v>
      </c>
      <c r="AL541" s="52" t="n">
        <v>0</v>
      </c>
      <c r="AM541" s="53" t="n">
        <v>0</v>
      </c>
      <c r="AN541" s="53" t="n">
        <v>0</v>
      </c>
      <c r="AO541" s="53" t="n">
        <v>0</v>
      </c>
      <c r="AP541" s="53" t="n">
        <v>0</v>
      </c>
      <c r="AQ541" s="52" t="n">
        <v>0</v>
      </c>
      <c r="AR541" s="52" t="n">
        <v>0</v>
      </c>
      <c r="AS541" s="52" t="n">
        <v>0</v>
      </c>
      <c r="AT541" s="52" t="n">
        <v>0</v>
      </c>
      <c r="AU541" s="53" t="n">
        <v>0</v>
      </c>
      <c r="AV541" s="53" t="n">
        <v>0</v>
      </c>
      <c r="AW541" s="53" t="n">
        <v>0</v>
      </c>
      <c r="AX541" s="53" t="n">
        <v>0</v>
      </c>
      <c r="AY541" s="52" t="n">
        <v>0</v>
      </c>
      <c r="AZ541" s="52" t="n">
        <v>0</v>
      </c>
      <c r="BA541" s="52" t="n">
        <v>0</v>
      </c>
      <c r="BB541" s="52" t="n">
        <v>0</v>
      </c>
      <c r="BC541" s="51" t="n">
        <v>0</v>
      </c>
      <c r="BD541" s="51" t="n">
        <v>0</v>
      </c>
      <c r="BE541" s="51" t="n">
        <v>0</v>
      </c>
      <c r="BF541" s="51" t="n">
        <v>0</v>
      </c>
    </row>
    <row r="542">
      <c r="A542">
        <f>HYPERLINK("https://www.walmart.com/ip/401075674", "401075674")</f>
        <v/>
      </c>
      <c r="B542" t="inlineStr">
        <is>
          <t>Hooded Blanket Poncho | Wearable Blanket Wrap with Hand Pockets | Comfy Sherpa Fleece Throw Cape for Children and Adults, Women Gift</t>
        </is>
      </c>
      <c r="C542" t="inlineStr">
        <is>
          <t>1CTBC100WN</t>
        </is>
      </c>
      <c r="D542" t="inlineStr">
        <is>
          <t>Throws</t>
        </is>
      </c>
      <c r="E542" t="inlineStr">
        <is>
          <t>Catalonia</t>
        </is>
      </c>
      <c r="F542" t="inlineStr">
        <is>
          <t>WFS,WFS Item</t>
        </is>
      </c>
      <c r="G542" s="48" t="n">
        <v>0</v>
      </c>
      <c r="H542" s="48" t="n">
        <v>0</v>
      </c>
      <c r="I542" s="48" t="n">
        <v>0</v>
      </c>
      <c r="J542" s="48" t="n">
        <v>0</v>
      </c>
      <c r="K542" s="49" t="n">
        <v>0</v>
      </c>
      <c r="L542" s="49" t="n">
        <v>0</v>
      </c>
      <c r="M542" s="49" t="n">
        <v>0</v>
      </c>
      <c r="N542" s="49" t="n">
        <v>0</v>
      </c>
      <c r="O542" s="49" t="n">
        <v>0</v>
      </c>
      <c r="P542" s="49" t="n">
        <v>0</v>
      </c>
      <c r="Q542" s="49" t="n">
        <v>0</v>
      </c>
      <c r="R542" s="49" t="n">
        <v>0</v>
      </c>
      <c r="S542" s="50" t="n">
        <v>0</v>
      </c>
      <c r="T542" s="50" t="n">
        <v>0</v>
      </c>
      <c r="U542" s="50" t="n">
        <v>0</v>
      </c>
      <c r="V542" s="50" t="n">
        <v>0</v>
      </c>
      <c r="W542" s="51" t="n">
        <v>0</v>
      </c>
      <c r="X542" s="51" t="n">
        <v>0</v>
      </c>
      <c r="Y542" s="51" t="n">
        <v>0</v>
      </c>
      <c r="Z542" s="51" t="n">
        <v>0</v>
      </c>
      <c r="AA542" s="52" t="n">
        <v>0</v>
      </c>
      <c r="AB542" s="52" t="n">
        <v>0</v>
      </c>
      <c r="AC542" s="52" t="n">
        <v>0</v>
      </c>
      <c r="AD542" s="52" t="n">
        <v>0</v>
      </c>
      <c r="AE542" s="52" t="n">
        <v>0</v>
      </c>
      <c r="AF542" s="52" t="n">
        <v>0</v>
      </c>
      <c r="AG542" s="52" t="n">
        <v>0</v>
      </c>
      <c r="AH542" s="52" t="n">
        <v>0</v>
      </c>
      <c r="AI542" s="52" t="n">
        <v>0</v>
      </c>
      <c r="AJ542" s="52" t="n">
        <v>0</v>
      </c>
      <c r="AK542" s="52" t="n">
        <v>0</v>
      </c>
      <c r="AL542" s="52" t="n">
        <v>0</v>
      </c>
      <c r="AM542" s="53" t="n">
        <v>0</v>
      </c>
      <c r="AN542" s="53" t="n">
        <v>0</v>
      </c>
      <c r="AO542" s="53" t="n">
        <v>0</v>
      </c>
      <c r="AP542" s="53" t="n">
        <v>0</v>
      </c>
      <c r="AQ542" s="52" t="n">
        <v>0</v>
      </c>
      <c r="AR542" s="52" t="n">
        <v>0</v>
      </c>
      <c r="AS542" s="52" t="n">
        <v>0</v>
      </c>
      <c r="AT542" s="52" t="n">
        <v>0</v>
      </c>
      <c r="AU542" s="53" t="n">
        <v>0</v>
      </c>
      <c r="AV542" s="53" t="n">
        <v>0</v>
      </c>
      <c r="AW542" s="53" t="n">
        <v>0</v>
      </c>
      <c r="AX542" s="53" t="n">
        <v>0</v>
      </c>
      <c r="AY542" s="52" t="n">
        <v>0</v>
      </c>
      <c r="AZ542" s="52" t="n">
        <v>0</v>
      </c>
      <c r="BA542" s="52" t="n">
        <v>0</v>
      </c>
      <c r="BB542" s="52" t="n">
        <v>0</v>
      </c>
      <c r="BC542" s="51" t="n">
        <v>0</v>
      </c>
      <c r="BD542" s="51" t="n">
        <v>0</v>
      </c>
      <c r="BE542" s="51" t="n">
        <v>0</v>
      </c>
      <c r="BF542" s="51" t="n">
        <v>0</v>
      </c>
    </row>
    <row r="543">
      <c r="A543">
        <f>HYPERLINK("https://www.walmart.com/ip/409075977", "409075977")</f>
        <v/>
      </c>
      <c r="B543" t="inlineStr">
        <is>
          <t>Solaris Ski Gloves, Winter Warm 3M Insulation Waterproof Snow Gloves for Skiing, Snowboarding, Motorcycling,Cycling, Outdoor Sports, Gifts for Men, Size Run Small</t>
        </is>
      </c>
      <c r="C543" t="inlineStr">
        <is>
          <t>1SLWG300BKXL</t>
        </is>
      </c>
      <c r="D543" t="inlineStr">
        <is>
          <t>Gloves &amp; Mittens</t>
        </is>
      </c>
      <c r="E543" t="inlineStr">
        <is>
          <t>Solaris</t>
        </is>
      </c>
      <c r="F543" t="inlineStr">
        <is>
          <t>Gloves,Batch 1 - TR</t>
        </is>
      </c>
      <c r="G543" s="48" t="n">
        <v>0</v>
      </c>
      <c r="H543" s="48" t="n">
        <v>0</v>
      </c>
      <c r="I543" s="48" t="n">
        <v>0</v>
      </c>
      <c r="J543" s="48" t="n">
        <v>0</v>
      </c>
      <c r="K543" s="49" t="n">
        <v>0</v>
      </c>
      <c r="L543" s="49" t="n">
        <v>0</v>
      </c>
      <c r="M543" s="49" t="n">
        <v>0</v>
      </c>
      <c r="N543" s="49" t="n">
        <v>0</v>
      </c>
      <c r="O543" s="49" t="n">
        <v>0</v>
      </c>
      <c r="P543" s="49" t="n">
        <v>0</v>
      </c>
      <c r="Q543" s="49" t="n">
        <v>0</v>
      </c>
      <c r="R543" s="49" t="n">
        <v>0</v>
      </c>
      <c r="S543" s="50" t="n">
        <v>0</v>
      </c>
      <c r="T543" s="50" t="n">
        <v>0</v>
      </c>
      <c r="U543" s="50" t="n">
        <v>0</v>
      </c>
      <c r="V543" s="50" t="n">
        <v>0</v>
      </c>
      <c r="W543" s="51" t="n">
        <v>0</v>
      </c>
      <c r="X543" s="51" t="n">
        <v>0</v>
      </c>
      <c r="Y543" s="51" t="n">
        <v>0</v>
      </c>
      <c r="Z543" s="51" t="n">
        <v>0</v>
      </c>
      <c r="AA543" s="52" t="n">
        <v>0</v>
      </c>
      <c r="AB543" s="52" t="n">
        <v>0</v>
      </c>
      <c r="AC543" s="52" t="n">
        <v>0</v>
      </c>
      <c r="AD543" s="52" t="n">
        <v>0</v>
      </c>
      <c r="AE543" s="52" t="n">
        <v>0</v>
      </c>
      <c r="AF543" s="52" t="n">
        <v>0</v>
      </c>
      <c r="AG543" s="52" t="n">
        <v>0</v>
      </c>
      <c r="AH543" s="52" t="n">
        <v>0</v>
      </c>
      <c r="AI543" s="52" t="n">
        <v>0</v>
      </c>
      <c r="AJ543" s="52" t="n">
        <v>0</v>
      </c>
      <c r="AK543" s="52" t="n">
        <v>0</v>
      </c>
      <c r="AL543" s="52" t="n">
        <v>0</v>
      </c>
      <c r="AM543" s="53" t="n">
        <v>0</v>
      </c>
      <c r="AN543" s="53" t="n">
        <v>0</v>
      </c>
      <c r="AO543" s="53" t="n">
        <v>0</v>
      </c>
      <c r="AP543" s="53" t="n">
        <v>0</v>
      </c>
      <c r="AQ543" s="52" t="n">
        <v>0</v>
      </c>
      <c r="AR543" s="52" t="n">
        <v>0</v>
      </c>
      <c r="AS543" s="52" t="n">
        <v>0</v>
      </c>
      <c r="AT543" s="52" t="n">
        <v>0</v>
      </c>
      <c r="AU543" s="53" t="n">
        <v>0</v>
      </c>
      <c r="AV543" s="53" t="n">
        <v>0</v>
      </c>
      <c r="AW543" s="53" t="n">
        <v>0</v>
      </c>
      <c r="AX543" s="53" t="n">
        <v>0</v>
      </c>
      <c r="AY543" s="52" t="n">
        <v>0</v>
      </c>
      <c r="AZ543" s="52" t="n">
        <v>0</v>
      </c>
      <c r="BA543" s="52" t="n">
        <v>0</v>
      </c>
      <c r="BB543" s="52" t="n">
        <v>0</v>
      </c>
      <c r="BC543" s="51" t="n">
        <v>0</v>
      </c>
      <c r="BD543" s="51" t="n">
        <v>0</v>
      </c>
      <c r="BE543" s="51" t="n">
        <v>0</v>
      </c>
      <c r="BF543" s="51" t="n">
        <v>0</v>
      </c>
    </row>
    <row r="544">
      <c r="A544">
        <f>HYPERLINK("https://www.walmart.com/ip/403281450", "403281450")</f>
        <v/>
      </c>
      <c r="B544" t="inlineStr">
        <is>
          <t>American Flag Sherpa Throw Blanket Polar Fleece, Super Cozy Warm TV Blankets for Bed or Couch Reversible 50" x 60"</t>
        </is>
      </c>
      <c r="C544" t="inlineStr">
        <is>
          <t>1TRBF300USA-TPCB</t>
        </is>
      </c>
      <c r="D544" t="inlineStr">
        <is>
          <t>Throws</t>
        </is>
      </c>
      <c r="E544" t="inlineStr">
        <is>
          <t>Tirrinia</t>
        </is>
      </c>
      <c r="F544" t="inlineStr">
        <is>
          <t>Batch 1 - TR</t>
        </is>
      </c>
      <c r="G544" s="48" t="n">
        <v>0</v>
      </c>
      <c r="H544" s="48" t="n">
        <v>0</v>
      </c>
      <c r="I544" s="48" t="n">
        <v>0</v>
      </c>
      <c r="J544" s="48" t="n">
        <v>0</v>
      </c>
      <c r="K544" s="49" t="n">
        <v>0</v>
      </c>
      <c r="L544" s="49" t="n">
        <v>0</v>
      </c>
      <c r="M544" s="49" t="n">
        <v>0</v>
      </c>
      <c r="N544" s="49" t="n">
        <v>0</v>
      </c>
      <c r="O544" s="49" t="n">
        <v>0</v>
      </c>
      <c r="P544" s="49" t="n">
        <v>0</v>
      </c>
      <c r="Q544" s="49" t="n">
        <v>0</v>
      </c>
      <c r="R544" s="49" t="n">
        <v>0</v>
      </c>
      <c r="S544" s="50" t="n">
        <v>0</v>
      </c>
      <c r="T544" s="50" t="n">
        <v>0</v>
      </c>
      <c r="U544" s="50" t="n">
        <v>0</v>
      </c>
      <c r="V544" s="50" t="n">
        <v>0</v>
      </c>
      <c r="W544" s="51" t="n">
        <v>0</v>
      </c>
      <c r="X544" s="51" t="n">
        <v>0</v>
      </c>
      <c r="Y544" s="51" t="n">
        <v>0</v>
      </c>
      <c r="Z544" s="51" t="n">
        <v>0</v>
      </c>
      <c r="AA544" s="52" t="n">
        <v>0</v>
      </c>
      <c r="AB544" s="52" t="n">
        <v>0</v>
      </c>
      <c r="AC544" s="52" t="n">
        <v>0</v>
      </c>
      <c r="AD544" s="52" t="n">
        <v>0</v>
      </c>
      <c r="AE544" s="52" t="n">
        <v>0</v>
      </c>
      <c r="AF544" s="52" t="n">
        <v>0</v>
      </c>
      <c r="AG544" s="52" t="n">
        <v>0</v>
      </c>
      <c r="AH544" s="52" t="n">
        <v>0</v>
      </c>
      <c r="AI544" s="52" t="n">
        <v>0</v>
      </c>
      <c r="AJ544" s="52" t="n">
        <v>0</v>
      </c>
      <c r="AK544" s="52" t="n">
        <v>0</v>
      </c>
      <c r="AL544" s="52" t="n">
        <v>0</v>
      </c>
      <c r="AM544" s="53" t="n">
        <v>0</v>
      </c>
      <c r="AN544" s="53" t="n">
        <v>0</v>
      </c>
      <c r="AO544" s="53" t="n">
        <v>0</v>
      </c>
      <c r="AP544" s="53" t="n">
        <v>0</v>
      </c>
      <c r="AQ544" s="52" t="n">
        <v>0</v>
      </c>
      <c r="AR544" s="52" t="n">
        <v>0</v>
      </c>
      <c r="AS544" s="52" t="n">
        <v>0</v>
      </c>
      <c r="AT544" s="52" t="n">
        <v>0</v>
      </c>
      <c r="AU544" s="53" t="n">
        <v>0</v>
      </c>
      <c r="AV544" s="53" t="n">
        <v>0</v>
      </c>
      <c r="AW544" s="53" t="n">
        <v>0</v>
      </c>
      <c r="AX544" s="53" t="n">
        <v>0</v>
      </c>
      <c r="AY544" s="52" t="n">
        <v>0</v>
      </c>
      <c r="AZ544" s="52" t="n">
        <v>0</v>
      </c>
      <c r="BA544" s="52" t="n">
        <v>0</v>
      </c>
      <c r="BB544" s="52" t="n">
        <v>0</v>
      </c>
      <c r="BC544" s="51" t="n">
        <v>0</v>
      </c>
      <c r="BD544" s="51" t="n">
        <v>0</v>
      </c>
      <c r="BE544" s="51" t="n">
        <v>0</v>
      </c>
      <c r="BF544" s="51" t="n">
        <v>0</v>
      </c>
    </row>
    <row r="545">
      <c r="A545">
        <f>HYPERLINK("https://www.walmart.com/ip/404931694", "404931694")</f>
        <v/>
      </c>
      <c r="B545" t="inlineStr">
        <is>
          <t>Zebra Sherpa Fleece Throw Blanket, Cozy Fuzzy Jacquard Blanket for the Couch Bed | Fluffy Comfy Warm Heavy Throws | Comfort Caring Gift, 50x60 inches</t>
        </is>
      </c>
      <c r="C545" t="inlineStr">
        <is>
          <t>1CTBF573ZEBRA</t>
        </is>
      </c>
      <c r="D545" t="inlineStr">
        <is>
          <t>Throws</t>
        </is>
      </c>
      <c r="E545" t="inlineStr">
        <is>
          <t>Catalonia</t>
        </is>
      </c>
      <c r="F545" t="inlineStr">
        <is>
          <t>Q2-Target,WFS,WFS Item</t>
        </is>
      </c>
      <c r="G545" s="48" t="n">
        <v>0</v>
      </c>
      <c r="H545" s="48" t="n">
        <v>0</v>
      </c>
      <c r="I545" s="48" t="n">
        <v>0</v>
      </c>
      <c r="J545" s="48" t="n">
        <v>0</v>
      </c>
      <c r="K545" s="49" t="n">
        <v>0</v>
      </c>
      <c r="L545" s="49" t="n">
        <v>0</v>
      </c>
      <c r="M545" s="49" t="n">
        <v>0</v>
      </c>
      <c r="N545" s="49" t="n">
        <v>0</v>
      </c>
      <c r="O545" s="49" t="n">
        <v>0</v>
      </c>
      <c r="P545" s="49" t="n">
        <v>0</v>
      </c>
      <c r="Q545" s="49" t="n">
        <v>0</v>
      </c>
      <c r="R545" s="49" t="n">
        <v>0</v>
      </c>
      <c r="S545" s="50" t="n">
        <v>0</v>
      </c>
      <c r="T545" s="50" t="n">
        <v>0</v>
      </c>
      <c r="U545" s="50" t="n">
        <v>0</v>
      </c>
      <c r="V545" s="50" t="n">
        <v>0</v>
      </c>
      <c r="W545" s="51" t="n">
        <v>0</v>
      </c>
      <c r="X545" s="51" t="n">
        <v>0</v>
      </c>
      <c r="Y545" s="51" t="n">
        <v>0</v>
      </c>
      <c r="Z545" s="51" t="n">
        <v>0</v>
      </c>
      <c r="AA545" s="52" t="n">
        <v>0</v>
      </c>
      <c r="AB545" s="52" t="n">
        <v>0</v>
      </c>
      <c r="AC545" s="52" t="n">
        <v>0</v>
      </c>
      <c r="AD545" s="52" t="n">
        <v>0</v>
      </c>
      <c r="AE545" s="52" t="n">
        <v>0</v>
      </c>
      <c r="AF545" s="52" t="n">
        <v>0</v>
      </c>
      <c r="AG545" s="52" t="n">
        <v>0</v>
      </c>
      <c r="AH545" s="52" t="n">
        <v>0</v>
      </c>
      <c r="AI545" s="52" t="n">
        <v>0</v>
      </c>
      <c r="AJ545" s="52" t="n">
        <v>0</v>
      </c>
      <c r="AK545" s="52" t="n">
        <v>0</v>
      </c>
      <c r="AL545" s="52" t="n">
        <v>0</v>
      </c>
      <c r="AM545" s="53" t="n">
        <v>0</v>
      </c>
      <c r="AN545" s="53" t="n">
        <v>0</v>
      </c>
      <c r="AO545" s="53" t="n">
        <v>0</v>
      </c>
      <c r="AP545" s="53" t="n">
        <v>0</v>
      </c>
      <c r="AQ545" s="52" t="n">
        <v>0</v>
      </c>
      <c r="AR545" s="52" t="n">
        <v>0</v>
      </c>
      <c r="AS545" s="52" t="n">
        <v>0</v>
      </c>
      <c r="AT545" s="52" t="n">
        <v>0</v>
      </c>
      <c r="AU545" s="53" t="n">
        <v>0</v>
      </c>
      <c r="AV545" s="53" t="n">
        <v>0</v>
      </c>
      <c r="AW545" s="53" t="n">
        <v>0</v>
      </c>
      <c r="AX545" s="53" t="n">
        <v>0</v>
      </c>
      <c r="AY545" s="52" t="n">
        <v>0</v>
      </c>
      <c r="AZ545" s="52" t="n">
        <v>0</v>
      </c>
      <c r="BA545" s="52" t="n">
        <v>0</v>
      </c>
      <c r="BB545" s="52" t="n">
        <v>0</v>
      </c>
      <c r="BC545" s="51" t="n">
        <v>0</v>
      </c>
      <c r="BD545" s="51" t="n">
        <v>0</v>
      </c>
      <c r="BE545" s="51" t="n">
        <v>0</v>
      </c>
      <c r="BF545" s="51" t="n">
        <v>0</v>
      </c>
    </row>
    <row r="546">
      <c r="A546">
        <f>HYPERLINK("https://www.walmart.com/ip/405670396", "405670396")</f>
        <v/>
      </c>
      <c r="B546" t="inlineStr">
        <is>
          <t>Solaris Ski Gloves, Winter Warm 3M Insulation Waterproof Snow Gloves for Skiing, Snowboarding, Motorcycling,Cycling, Outdoor Sports, Gifts for Men, Size Run Small</t>
        </is>
      </c>
      <c r="C546" t="inlineStr">
        <is>
          <t>1SLWG300BKS</t>
        </is>
      </c>
      <c r="D546" t="inlineStr">
        <is>
          <t>Gloves &amp; Mittens</t>
        </is>
      </c>
      <c r="E546" t="inlineStr">
        <is>
          <t>Solaris</t>
        </is>
      </c>
      <c r="F546" t="inlineStr">
        <is>
          <t>Optimized,Gloves</t>
        </is>
      </c>
      <c r="G546" s="48" t="n">
        <v>0</v>
      </c>
      <c r="H546" s="48" t="n">
        <v>0</v>
      </c>
      <c r="I546" s="48" t="n">
        <v>0</v>
      </c>
      <c r="J546" s="48" t="n">
        <v>0</v>
      </c>
      <c r="K546" s="49" t="n">
        <v>0</v>
      </c>
      <c r="L546" s="49" t="n">
        <v>0</v>
      </c>
      <c r="M546" s="49" t="n">
        <v>0</v>
      </c>
      <c r="N546" s="49" t="n">
        <v>0</v>
      </c>
      <c r="O546" s="49" t="n">
        <v>0</v>
      </c>
      <c r="P546" s="49" t="n">
        <v>0</v>
      </c>
      <c r="Q546" s="49" t="n">
        <v>0</v>
      </c>
      <c r="R546" s="49" t="n">
        <v>0</v>
      </c>
      <c r="S546" s="50" t="n">
        <v>0</v>
      </c>
      <c r="T546" s="50" t="n">
        <v>0</v>
      </c>
      <c r="U546" s="50" t="n">
        <v>0</v>
      </c>
      <c r="V546" s="50" t="n">
        <v>0</v>
      </c>
      <c r="W546" s="51" t="n">
        <v>0</v>
      </c>
      <c r="X546" s="51" t="n">
        <v>0</v>
      </c>
      <c r="Y546" s="51" t="n">
        <v>0</v>
      </c>
      <c r="Z546" s="51" t="n">
        <v>0</v>
      </c>
      <c r="AA546" s="52" t="n">
        <v>0</v>
      </c>
      <c r="AB546" s="52" t="n">
        <v>0</v>
      </c>
      <c r="AC546" s="52" t="n">
        <v>0</v>
      </c>
      <c r="AD546" s="52" t="n">
        <v>0</v>
      </c>
      <c r="AE546" s="52" t="n">
        <v>0</v>
      </c>
      <c r="AF546" s="52" t="n">
        <v>0</v>
      </c>
      <c r="AG546" s="52" t="n">
        <v>0</v>
      </c>
      <c r="AH546" s="52" t="n">
        <v>0</v>
      </c>
      <c r="AI546" s="52" t="n">
        <v>0</v>
      </c>
      <c r="AJ546" s="52" t="n">
        <v>0</v>
      </c>
      <c r="AK546" s="52" t="n">
        <v>0</v>
      </c>
      <c r="AL546" s="52" t="n">
        <v>0</v>
      </c>
      <c r="AM546" s="53" t="n">
        <v>0</v>
      </c>
      <c r="AN546" s="53" t="n">
        <v>0</v>
      </c>
      <c r="AO546" s="53" t="n">
        <v>0</v>
      </c>
      <c r="AP546" s="53" t="n">
        <v>0</v>
      </c>
      <c r="AQ546" s="52" t="n">
        <v>0</v>
      </c>
      <c r="AR546" s="52" t="n">
        <v>0</v>
      </c>
      <c r="AS546" s="52" t="n">
        <v>0</v>
      </c>
      <c r="AT546" s="52" t="n">
        <v>0</v>
      </c>
      <c r="AU546" s="53" t="n">
        <v>0</v>
      </c>
      <c r="AV546" s="53" t="n">
        <v>0</v>
      </c>
      <c r="AW546" s="53" t="n">
        <v>0</v>
      </c>
      <c r="AX546" s="53" t="n">
        <v>0</v>
      </c>
      <c r="AY546" s="52" t="n">
        <v>0</v>
      </c>
      <c r="AZ546" s="52" t="n">
        <v>0</v>
      </c>
      <c r="BA546" s="52" t="n">
        <v>0</v>
      </c>
      <c r="BB546" s="52" t="n">
        <v>0</v>
      </c>
      <c r="BC546" s="51" t="n">
        <v>0</v>
      </c>
      <c r="BD546" s="51" t="n">
        <v>0</v>
      </c>
      <c r="BE546" s="51" t="n">
        <v>0</v>
      </c>
      <c r="BF546" s="51" t="n">
        <v>0</v>
      </c>
    </row>
    <row r="547">
      <c r="A547">
        <f>HYPERLINK("https://www.walmart.com/ip/407186152", "407186152")</f>
        <v/>
      </c>
      <c r="B547" t="inlineStr">
        <is>
          <t>Catalonia Sherpa Fleece Throw Blanket, Super Soft Mink Plush Couch Blanket, TV Bed Fuzzy Blanket, Fluffy Comfy Warm Heavy Throws, Comfort Caring Gift, 50x60 inches</t>
        </is>
      </c>
      <c r="C547" t="inlineStr">
        <is>
          <t>1CTBF300STF</t>
        </is>
      </c>
      <c r="D547" t="inlineStr">
        <is>
          <t>Throws</t>
        </is>
      </c>
      <c r="E547" t="inlineStr">
        <is>
          <t>Catalonia</t>
        </is>
      </c>
      <c r="F547" t="inlineStr">
        <is>
          <t>WFS,WFS Item</t>
        </is>
      </c>
      <c r="G547" s="48" t="n">
        <v>0</v>
      </c>
      <c r="H547" s="48" t="n">
        <v>0</v>
      </c>
      <c r="I547" s="48" t="n">
        <v>0</v>
      </c>
      <c r="J547" s="48" t="n">
        <v>0</v>
      </c>
      <c r="K547" s="49" t="n">
        <v>0</v>
      </c>
      <c r="L547" s="49" t="n">
        <v>0</v>
      </c>
      <c r="M547" s="49" t="n">
        <v>0</v>
      </c>
      <c r="N547" s="49" t="n">
        <v>0</v>
      </c>
      <c r="O547" s="49" t="n">
        <v>0</v>
      </c>
      <c r="P547" s="49" t="n">
        <v>0</v>
      </c>
      <c r="Q547" s="49" t="n">
        <v>0</v>
      </c>
      <c r="R547" s="49" t="n">
        <v>0</v>
      </c>
      <c r="S547" s="50" t="n">
        <v>0</v>
      </c>
      <c r="T547" s="50" t="n">
        <v>0</v>
      </c>
      <c r="U547" s="50" t="n">
        <v>0</v>
      </c>
      <c r="V547" s="50" t="n">
        <v>0</v>
      </c>
      <c r="W547" s="51" t="n">
        <v>0</v>
      </c>
      <c r="X547" s="51" t="n">
        <v>0</v>
      </c>
      <c r="Y547" s="51" t="n">
        <v>0</v>
      </c>
      <c r="Z547" s="51" t="n">
        <v>0</v>
      </c>
      <c r="AA547" s="52" t="n">
        <v>0</v>
      </c>
      <c r="AB547" s="52" t="n">
        <v>0</v>
      </c>
      <c r="AC547" s="52" t="n">
        <v>0</v>
      </c>
      <c r="AD547" s="52" t="n">
        <v>0</v>
      </c>
      <c r="AE547" s="52" t="n">
        <v>0</v>
      </c>
      <c r="AF547" s="52" t="n">
        <v>0</v>
      </c>
      <c r="AG547" s="52" t="n">
        <v>0</v>
      </c>
      <c r="AH547" s="52" t="n">
        <v>0</v>
      </c>
      <c r="AI547" s="52" t="n">
        <v>0</v>
      </c>
      <c r="AJ547" s="52" t="n">
        <v>0</v>
      </c>
      <c r="AK547" s="52" t="n">
        <v>0</v>
      </c>
      <c r="AL547" s="52" t="n">
        <v>0</v>
      </c>
      <c r="AM547" s="53" t="n">
        <v>0</v>
      </c>
      <c r="AN547" s="53" t="n">
        <v>0</v>
      </c>
      <c r="AO547" s="53" t="n">
        <v>0</v>
      </c>
      <c r="AP547" s="53" t="n">
        <v>0</v>
      </c>
      <c r="AQ547" s="52" t="n">
        <v>0</v>
      </c>
      <c r="AR547" s="52" t="n">
        <v>0</v>
      </c>
      <c r="AS547" s="52" t="n">
        <v>0</v>
      </c>
      <c r="AT547" s="52" t="n">
        <v>0</v>
      </c>
      <c r="AU547" s="53" t="n">
        <v>0</v>
      </c>
      <c r="AV547" s="53" t="n">
        <v>0</v>
      </c>
      <c r="AW547" s="53" t="n">
        <v>0</v>
      </c>
      <c r="AX547" s="53" t="n">
        <v>0</v>
      </c>
      <c r="AY547" s="52" t="n">
        <v>0</v>
      </c>
      <c r="AZ547" s="52" t="n">
        <v>0</v>
      </c>
      <c r="BA547" s="52" t="n">
        <v>0</v>
      </c>
      <c r="BB547" s="52" t="n">
        <v>0</v>
      </c>
      <c r="BC547" s="51" t="n">
        <v>0</v>
      </c>
      <c r="BD547" s="51" t="n">
        <v>0</v>
      </c>
      <c r="BE547" s="51" t="n">
        <v>0</v>
      </c>
      <c r="BF547" s="51" t="n">
        <v>0</v>
      </c>
    </row>
    <row r="548">
      <c r="A548">
        <f>HYPERLINK("https://www.walmart.com/ip/407332040", "407332040")</f>
        <v/>
      </c>
      <c r="B548" t="inlineStr">
        <is>
          <t>Jennis 8in1 Stylish Ladies Magic Scarf Shawl Woolly Charcoal Fiber Head Wrap</t>
        </is>
      </c>
      <c r="C548" t="inlineStr">
        <is>
          <t>MagicScarfPKWT</t>
        </is>
      </c>
      <c r="D548" t="inlineStr">
        <is>
          <t>Scarves</t>
        </is>
      </c>
      <c r="E548" t="inlineStr">
        <is>
          <t>JenniWears</t>
        </is>
      </c>
      <c r="F548" t="inlineStr">
        <is>
          <t>Optimized</t>
        </is>
      </c>
      <c r="G548" s="48" t="n">
        <v>0</v>
      </c>
      <c r="H548" s="48" t="n">
        <v>0</v>
      </c>
      <c r="I548" s="48" t="n">
        <v>0</v>
      </c>
      <c r="J548" s="48" t="n">
        <v>0</v>
      </c>
      <c r="K548" s="49" t="n">
        <v>0</v>
      </c>
      <c r="L548" s="49" t="n">
        <v>0</v>
      </c>
      <c r="M548" s="49" t="n">
        <v>0</v>
      </c>
      <c r="N548" s="49" t="n">
        <v>0</v>
      </c>
      <c r="O548" s="49" t="n">
        <v>0</v>
      </c>
      <c r="P548" s="49" t="n">
        <v>0</v>
      </c>
      <c r="Q548" s="49" t="n">
        <v>0</v>
      </c>
      <c r="R548" s="49" t="n">
        <v>0</v>
      </c>
      <c r="S548" s="50" t="n">
        <v>0</v>
      </c>
      <c r="T548" s="50" t="n">
        <v>0</v>
      </c>
      <c r="U548" s="50" t="n">
        <v>0</v>
      </c>
      <c r="V548" s="50" t="n">
        <v>0</v>
      </c>
      <c r="W548" s="51" t="n">
        <v>0</v>
      </c>
      <c r="X548" s="51" t="n">
        <v>0</v>
      </c>
      <c r="Y548" s="51" t="n">
        <v>0</v>
      </c>
      <c r="Z548" s="51" t="n">
        <v>0</v>
      </c>
      <c r="AA548" s="52" t="n">
        <v>0</v>
      </c>
      <c r="AB548" s="52" t="n">
        <v>0</v>
      </c>
      <c r="AC548" s="52" t="n">
        <v>0</v>
      </c>
      <c r="AD548" s="52" t="n">
        <v>0</v>
      </c>
      <c r="AE548" s="52" t="n">
        <v>0</v>
      </c>
      <c r="AF548" s="52" t="n">
        <v>0</v>
      </c>
      <c r="AG548" s="52" t="n">
        <v>0</v>
      </c>
      <c r="AH548" s="52" t="n">
        <v>0</v>
      </c>
      <c r="AI548" s="52" t="n">
        <v>0</v>
      </c>
      <c r="AJ548" s="52" t="n">
        <v>0</v>
      </c>
      <c r="AK548" s="52" t="n">
        <v>0</v>
      </c>
      <c r="AL548" s="52" t="n">
        <v>0</v>
      </c>
      <c r="AM548" s="53" t="n">
        <v>0</v>
      </c>
      <c r="AN548" s="53" t="n">
        <v>0</v>
      </c>
      <c r="AO548" s="53" t="n">
        <v>0</v>
      </c>
      <c r="AP548" s="53" t="n">
        <v>0</v>
      </c>
      <c r="AQ548" s="52" t="n">
        <v>0</v>
      </c>
      <c r="AR548" s="52" t="n">
        <v>0</v>
      </c>
      <c r="AS548" s="52" t="n">
        <v>0</v>
      </c>
      <c r="AT548" s="52" t="n">
        <v>0</v>
      </c>
      <c r="AU548" s="53" t="n">
        <v>0</v>
      </c>
      <c r="AV548" s="53" t="n">
        <v>0</v>
      </c>
      <c r="AW548" s="53" t="n">
        <v>0</v>
      </c>
      <c r="AX548" s="53" t="n">
        <v>0</v>
      </c>
      <c r="AY548" s="52" t="n">
        <v>0</v>
      </c>
      <c r="AZ548" s="52" t="n">
        <v>0</v>
      </c>
      <c r="BA548" s="52" t="n">
        <v>0</v>
      </c>
      <c r="BB548" s="52" t="n">
        <v>0</v>
      </c>
      <c r="BC548" s="51" t="n">
        <v>0</v>
      </c>
      <c r="BD548" s="51" t="n">
        <v>0</v>
      </c>
      <c r="BE548" s="51" t="n">
        <v>0</v>
      </c>
      <c r="BF548" s="51" t="n">
        <v>0</v>
      </c>
    </row>
    <row r="549">
      <c r="A549">
        <f>HYPERLINK("https://www.walmart.com/ip/407676189", "407676189")</f>
        <v/>
      </c>
      <c r="B549" t="inlineStr">
        <is>
          <t>Catalonia Sherpa Throws Blanket, Comfy Micro Mink Fleece, Reversible Blue And White 50"&lt;strong&gt; &lt;/strong&gt;x60"</t>
        </is>
      </c>
      <c r="C549" t="inlineStr">
        <is>
          <t>1CTBF300BL</t>
        </is>
      </c>
      <c r="D549" t="inlineStr">
        <is>
          <t>Throws</t>
        </is>
      </c>
      <c r="E549" t="inlineStr">
        <is>
          <t>Catalonia</t>
        </is>
      </c>
      <c r="F549" t="inlineStr">
        <is>
          <t>Q2-Target,Optimized,WFS,Coupon_Discount,WFS Item</t>
        </is>
      </c>
      <c r="G549" s="48" t="n">
        <v>0</v>
      </c>
      <c r="H549" s="48" t="n">
        <v>0</v>
      </c>
      <c r="I549" s="48" t="n">
        <v>0</v>
      </c>
      <c r="J549" s="48" t="n">
        <v>0</v>
      </c>
      <c r="K549" s="49" t="n">
        <v>0</v>
      </c>
      <c r="L549" s="49" t="n">
        <v>0</v>
      </c>
      <c r="M549" s="49" t="n">
        <v>0</v>
      </c>
      <c r="N549" s="49" t="n">
        <v>0</v>
      </c>
      <c r="O549" s="49" t="n">
        <v>0</v>
      </c>
      <c r="P549" s="49" t="n">
        <v>0</v>
      </c>
      <c r="Q549" s="49" t="n">
        <v>0</v>
      </c>
      <c r="R549" s="49" t="n">
        <v>0</v>
      </c>
      <c r="S549" s="50" t="n">
        <v>0</v>
      </c>
      <c r="T549" s="50" t="n">
        <v>0</v>
      </c>
      <c r="U549" s="50" t="n">
        <v>0</v>
      </c>
      <c r="V549" s="50" t="n">
        <v>0</v>
      </c>
      <c r="W549" s="51" t="n">
        <v>0</v>
      </c>
      <c r="X549" s="51" t="n">
        <v>0</v>
      </c>
      <c r="Y549" s="51" t="n">
        <v>0</v>
      </c>
      <c r="Z549" s="51" t="n">
        <v>0</v>
      </c>
      <c r="AA549" s="52" t="n">
        <v>0</v>
      </c>
      <c r="AB549" s="52" t="n">
        <v>0</v>
      </c>
      <c r="AC549" s="52" t="n">
        <v>0</v>
      </c>
      <c r="AD549" s="52" t="n">
        <v>0</v>
      </c>
      <c r="AE549" s="52" t="n">
        <v>0</v>
      </c>
      <c r="AF549" s="52" t="n">
        <v>0</v>
      </c>
      <c r="AG549" s="52" t="n">
        <v>0</v>
      </c>
      <c r="AH549" s="52" t="n">
        <v>0</v>
      </c>
      <c r="AI549" s="52" t="n">
        <v>0</v>
      </c>
      <c r="AJ549" s="52" t="n">
        <v>0</v>
      </c>
      <c r="AK549" s="52" t="n">
        <v>0</v>
      </c>
      <c r="AL549" s="52" t="n">
        <v>0</v>
      </c>
      <c r="AM549" s="53" t="n">
        <v>0</v>
      </c>
      <c r="AN549" s="53" t="n">
        <v>0</v>
      </c>
      <c r="AO549" s="53" t="n">
        <v>0</v>
      </c>
      <c r="AP549" s="53" t="n">
        <v>0</v>
      </c>
      <c r="AQ549" s="52" t="n">
        <v>0</v>
      </c>
      <c r="AR549" s="52" t="n">
        <v>0</v>
      </c>
      <c r="AS549" s="52" t="n">
        <v>0</v>
      </c>
      <c r="AT549" s="52" t="n">
        <v>0</v>
      </c>
      <c r="AU549" s="53" t="n">
        <v>0</v>
      </c>
      <c r="AV549" s="53" t="n">
        <v>0</v>
      </c>
      <c r="AW549" s="53" t="n">
        <v>0</v>
      </c>
      <c r="AX549" s="53" t="n">
        <v>0</v>
      </c>
      <c r="AY549" s="52" t="n">
        <v>0</v>
      </c>
      <c r="AZ549" s="52" t="n">
        <v>0</v>
      </c>
      <c r="BA549" s="52" t="n">
        <v>0</v>
      </c>
      <c r="BB549" s="52" t="n">
        <v>0</v>
      </c>
      <c r="BC549" s="51" t="n">
        <v>0</v>
      </c>
      <c r="BD549" s="51" t="n">
        <v>0</v>
      </c>
      <c r="BE549" s="51" t="n">
        <v>0</v>
      </c>
      <c r="BF549" s="51" t="n">
        <v>0</v>
      </c>
    </row>
    <row r="550">
      <c r="A550">
        <f>HYPERLINK("https://www.walmart.com/ip/462974958", "462974958")</f>
        <v/>
      </c>
      <c r="B550" t="inlineStr">
        <is>
          <t>Catalonia Wearable TV Blanket with Sleeves Arms &amp; Feet pockets for Adult Micro Plush Fleece Large Wrap Throw Robe 75 x 5</t>
        </is>
      </c>
      <c r="C550" t="inlineStr">
        <is>
          <t>1CTSN310PP</t>
        </is>
      </c>
      <c r="D550" t="inlineStr">
        <is>
          <t>Throws</t>
        </is>
      </c>
      <c r="E550" t="inlineStr">
        <is>
          <t>Catalonia</t>
        </is>
      </c>
      <c r="F550" t="inlineStr">
        <is>
          <t>WFS,Coupon_Discount,WFS Item</t>
        </is>
      </c>
      <c r="G550" s="48" t="n">
        <v>0</v>
      </c>
      <c r="H550" s="48" t="n">
        <v>0</v>
      </c>
      <c r="I550" s="48" t="n">
        <v>0</v>
      </c>
      <c r="J550" s="48" t="n">
        <v>0</v>
      </c>
      <c r="K550" s="49" t="n">
        <v>0</v>
      </c>
      <c r="L550" s="49" t="n">
        <v>0</v>
      </c>
      <c r="M550" s="49" t="n">
        <v>0</v>
      </c>
      <c r="N550" s="49" t="n">
        <v>0</v>
      </c>
      <c r="O550" s="49" t="n">
        <v>0</v>
      </c>
      <c r="P550" s="49" t="n">
        <v>0</v>
      </c>
      <c r="Q550" s="49" t="n">
        <v>0</v>
      </c>
      <c r="R550" s="49" t="n">
        <v>0</v>
      </c>
      <c r="S550" s="50" t="n">
        <v>0</v>
      </c>
      <c r="T550" s="50" t="n">
        <v>0</v>
      </c>
      <c r="U550" s="50" t="n">
        <v>0</v>
      </c>
      <c r="V550" s="50" t="n">
        <v>0</v>
      </c>
      <c r="W550" s="51" t="n">
        <v>6</v>
      </c>
      <c r="X550" s="51" t="n">
        <v>0</v>
      </c>
      <c r="Y550" s="51" t="n">
        <v>0</v>
      </c>
      <c r="Z550" s="51" t="n">
        <v>0</v>
      </c>
      <c r="AA550" s="52" t="n">
        <v>2.12</v>
      </c>
      <c r="AB550" s="52" t="n">
        <v>0</v>
      </c>
      <c r="AC550" s="52" t="n">
        <v>0</v>
      </c>
      <c r="AD550" s="52" t="n">
        <v>0</v>
      </c>
      <c r="AE550" s="52" t="n">
        <v>0</v>
      </c>
      <c r="AF550" s="52" t="n">
        <v>0</v>
      </c>
      <c r="AG550" s="52" t="n">
        <v>0</v>
      </c>
      <c r="AH550" s="52" t="n">
        <v>0</v>
      </c>
      <c r="AI550" s="52" t="n">
        <v>0</v>
      </c>
      <c r="AJ550" s="52" t="n">
        <v>0</v>
      </c>
      <c r="AK550" s="52" t="n">
        <v>0</v>
      </c>
      <c r="AL550" s="52" t="n">
        <v>0</v>
      </c>
      <c r="AM550" s="53" t="n">
        <v>0.0025</v>
      </c>
      <c r="AN550" s="53" t="n">
        <v>0</v>
      </c>
      <c r="AO550" s="53" t="n">
        <v>0</v>
      </c>
      <c r="AP550" s="53" t="n">
        <v>0</v>
      </c>
      <c r="AQ550" s="52" t="n">
        <v>0.3533333333333333</v>
      </c>
      <c r="AR550" s="52" t="n">
        <v>0</v>
      </c>
      <c r="AS550" s="52" t="n">
        <v>0</v>
      </c>
      <c r="AT550" s="52" t="n">
        <v>0</v>
      </c>
      <c r="AU550" s="53" t="n">
        <v>0</v>
      </c>
      <c r="AV550" s="53" t="n">
        <v>0</v>
      </c>
      <c r="AW550" s="53" t="n">
        <v>0</v>
      </c>
      <c r="AX550" s="53" t="n">
        <v>0</v>
      </c>
      <c r="AY550" s="52" t="n">
        <v>0</v>
      </c>
      <c r="AZ550" s="52" t="n">
        <v>0</v>
      </c>
      <c r="BA550" s="52" t="n">
        <v>0</v>
      </c>
      <c r="BB550" s="52" t="n">
        <v>0</v>
      </c>
      <c r="BC550" s="51" t="n">
        <v>2398</v>
      </c>
      <c r="BD550" s="51" t="n">
        <v>0</v>
      </c>
      <c r="BE550" s="51" t="n">
        <v>0</v>
      </c>
      <c r="BF550" s="51" t="n">
        <v>0</v>
      </c>
    </row>
    <row r="551">
      <c r="A551">
        <f>HYPERLINK("https://www.walmart.com/ip/463255105", "463255105")</f>
        <v/>
      </c>
      <c r="B551" t="inlineStr">
        <is>
          <t>Tirrinia Soft Velvet Plush Throw Blanket 50”x 70” Microfiber Lightweight Warm Home Bed Sofa Couch</t>
        </is>
      </c>
      <c r="C551" t="inlineStr">
        <is>
          <t>1TRBF8023LCA-TBGM</t>
        </is>
      </c>
      <c r="D551" t="inlineStr">
        <is>
          <t>Throws</t>
        </is>
      </c>
      <c r="E551" t="inlineStr">
        <is>
          <t>Tirrinia</t>
        </is>
      </c>
      <c r="G551" s="48" t="n">
        <v>0</v>
      </c>
      <c r="H551" s="48" t="n">
        <v>0</v>
      </c>
      <c r="I551" s="48" t="n">
        <v>0</v>
      </c>
      <c r="J551" s="48" t="n">
        <v>0</v>
      </c>
      <c r="K551" s="49" t="n">
        <v>0</v>
      </c>
      <c r="L551" s="49" t="n">
        <v>0</v>
      </c>
      <c r="M551" s="49" t="n">
        <v>0</v>
      </c>
      <c r="N551" s="49" t="n">
        <v>0</v>
      </c>
      <c r="O551" s="49" t="n">
        <v>0</v>
      </c>
      <c r="P551" s="49" t="n">
        <v>0</v>
      </c>
      <c r="Q551" s="49" t="n">
        <v>0</v>
      </c>
      <c r="R551" s="49" t="n">
        <v>0</v>
      </c>
      <c r="S551" s="50" t="n">
        <v>0</v>
      </c>
      <c r="T551" s="50" t="n">
        <v>0</v>
      </c>
      <c r="U551" s="50" t="n">
        <v>0</v>
      </c>
      <c r="V551" s="50" t="n">
        <v>0</v>
      </c>
      <c r="W551" s="51" t="n">
        <v>0</v>
      </c>
      <c r="X551" s="51" t="n">
        <v>0</v>
      </c>
      <c r="Y551" s="51" t="n">
        <v>0</v>
      </c>
      <c r="Z551" s="51" t="n">
        <v>0</v>
      </c>
      <c r="AA551" s="52" t="n">
        <v>0</v>
      </c>
      <c r="AB551" s="52" t="n">
        <v>0</v>
      </c>
      <c r="AC551" s="52" t="n">
        <v>0</v>
      </c>
      <c r="AD551" s="52" t="n">
        <v>0</v>
      </c>
      <c r="AE551" s="52" t="n">
        <v>0</v>
      </c>
      <c r="AF551" s="52" t="n">
        <v>0</v>
      </c>
      <c r="AG551" s="52" t="n">
        <v>0</v>
      </c>
      <c r="AH551" s="52" t="n">
        <v>0</v>
      </c>
      <c r="AI551" s="52" t="n">
        <v>0</v>
      </c>
      <c r="AJ551" s="52" t="n">
        <v>0</v>
      </c>
      <c r="AK551" s="52" t="n">
        <v>0</v>
      </c>
      <c r="AL551" s="52" t="n">
        <v>0</v>
      </c>
      <c r="AM551" s="53" t="n">
        <v>0</v>
      </c>
      <c r="AN551" s="53" t="n">
        <v>0</v>
      </c>
      <c r="AO551" s="53" t="n">
        <v>0</v>
      </c>
      <c r="AP551" s="53" t="n">
        <v>0</v>
      </c>
      <c r="AQ551" s="52" t="n">
        <v>0</v>
      </c>
      <c r="AR551" s="52" t="n">
        <v>0</v>
      </c>
      <c r="AS551" s="52" t="n">
        <v>0</v>
      </c>
      <c r="AT551" s="52" t="n">
        <v>0</v>
      </c>
      <c r="AU551" s="53" t="n">
        <v>0</v>
      </c>
      <c r="AV551" s="53" t="n">
        <v>0</v>
      </c>
      <c r="AW551" s="53" t="n">
        <v>0</v>
      </c>
      <c r="AX551" s="53" t="n">
        <v>0</v>
      </c>
      <c r="AY551" s="52" t="n">
        <v>0</v>
      </c>
      <c r="AZ551" s="52" t="n">
        <v>0</v>
      </c>
      <c r="BA551" s="52" t="n">
        <v>0</v>
      </c>
      <c r="BB551" s="52" t="n">
        <v>0</v>
      </c>
      <c r="BC551" s="51" t="n">
        <v>0</v>
      </c>
      <c r="BD551" s="51" t="n">
        <v>0</v>
      </c>
      <c r="BE551" s="51" t="n">
        <v>0</v>
      </c>
      <c r="BF551" s="51" t="n">
        <v>0</v>
      </c>
    </row>
    <row r="552">
      <c r="A552">
        <f>HYPERLINK("https://www.walmart.com/ip/5348029365", "5348029365")</f>
        <v/>
      </c>
      <c r="B552" t="inlineStr">
        <is>
          <t>Outdoor Wide Brim Sun Hats Blocking UV Protection Cap UPF 50+ Foldable Mesh Net for Finishing, Hiking, Camping by Solari</t>
        </is>
      </c>
      <c r="C552" t="inlineStr">
        <is>
          <t>1SLSH912CAMO-C</t>
        </is>
      </c>
      <c r="D552" t="inlineStr">
        <is>
          <t>Hats</t>
        </is>
      </c>
      <c r="E552" t="inlineStr">
        <is>
          <t>Solaris</t>
        </is>
      </c>
      <c r="G552" s="48" t="n">
        <v>0</v>
      </c>
      <c r="H552" s="48" t="n">
        <v>0</v>
      </c>
      <c r="I552" s="48" t="n">
        <v>0</v>
      </c>
      <c r="J552" s="48" t="n">
        <v>0</v>
      </c>
      <c r="K552" s="49" t="n">
        <v>0</v>
      </c>
      <c r="L552" s="49" t="n">
        <v>0</v>
      </c>
      <c r="M552" s="49" t="n">
        <v>0</v>
      </c>
      <c r="N552" s="49" t="n">
        <v>0</v>
      </c>
      <c r="O552" s="49" t="n">
        <v>0</v>
      </c>
      <c r="P552" s="49" t="n">
        <v>0</v>
      </c>
      <c r="Q552" s="49" t="n">
        <v>0</v>
      </c>
      <c r="R552" s="49" t="n">
        <v>0</v>
      </c>
      <c r="S552" s="50" t="n">
        <v>0</v>
      </c>
      <c r="T552" s="50" t="n">
        <v>0</v>
      </c>
      <c r="U552" s="50" t="n">
        <v>0</v>
      </c>
      <c r="V552" s="50" t="n">
        <v>0</v>
      </c>
      <c r="W552" s="51" t="n">
        <v>0</v>
      </c>
      <c r="X552" s="51" t="n">
        <v>0</v>
      </c>
      <c r="Y552" s="51" t="n">
        <v>0</v>
      </c>
      <c r="Z552" s="51" t="n">
        <v>0</v>
      </c>
      <c r="AA552" s="52" t="n">
        <v>0</v>
      </c>
      <c r="AB552" s="52" t="n">
        <v>0</v>
      </c>
      <c r="AC552" s="52" t="n">
        <v>0</v>
      </c>
      <c r="AD552" s="52" t="n">
        <v>0</v>
      </c>
      <c r="AE552" s="52" t="n">
        <v>0</v>
      </c>
      <c r="AF552" s="52" t="n">
        <v>0</v>
      </c>
      <c r="AG552" s="52" t="n">
        <v>0</v>
      </c>
      <c r="AH552" s="52" t="n">
        <v>0</v>
      </c>
      <c r="AI552" s="52" t="n">
        <v>0</v>
      </c>
      <c r="AJ552" s="52" t="n">
        <v>0</v>
      </c>
      <c r="AK552" s="52" t="n">
        <v>0</v>
      </c>
      <c r="AL552" s="52" t="n">
        <v>0</v>
      </c>
      <c r="AM552" s="53" t="n">
        <v>0</v>
      </c>
      <c r="AN552" s="53" t="n">
        <v>0</v>
      </c>
      <c r="AO552" s="53" t="n">
        <v>0</v>
      </c>
      <c r="AP552" s="53" t="n">
        <v>0</v>
      </c>
      <c r="AQ552" s="52" t="n">
        <v>0</v>
      </c>
      <c r="AR552" s="52" t="n">
        <v>0</v>
      </c>
      <c r="AS552" s="52" t="n">
        <v>0</v>
      </c>
      <c r="AT552" s="52" t="n">
        <v>0</v>
      </c>
      <c r="AU552" s="53" t="n">
        <v>0</v>
      </c>
      <c r="AV552" s="53" t="n">
        <v>0</v>
      </c>
      <c r="AW552" s="53" t="n">
        <v>0</v>
      </c>
      <c r="AX552" s="53" t="n">
        <v>0</v>
      </c>
      <c r="AY552" s="52" t="n">
        <v>0</v>
      </c>
      <c r="AZ552" s="52" t="n">
        <v>0</v>
      </c>
      <c r="BA552" s="52" t="n">
        <v>0</v>
      </c>
      <c r="BB552" s="52" t="n">
        <v>0</v>
      </c>
      <c r="BC552" s="51" t="n">
        <v>0</v>
      </c>
      <c r="BD552" s="51" t="n">
        <v>0</v>
      </c>
      <c r="BE552" s="51" t="n">
        <v>0</v>
      </c>
      <c r="BF552" s="51" t="n">
        <v>0</v>
      </c>
    </row>
    <row r="553">
      <c r="A553">
        <f>HYPERLINK("https://www.walmart.com/ip/5198169936", "5198169936")</f>
        <v/>
      </c>
      <c r="B553" t="inlineStr">
        <is>
          <t>Tirrinia 2 Bottle Wine Gift Tote Carrier - Leakproof &amp; Insulated with large pockets Wine Cooler Bag for Travel, Wine Tasting, Party, Dinner, Great Christmas Gift for Wine Lover, Black</t>
        </is>
      </c>
      <c r="C553" t="inlineStr">
        <is>
          <t>1TRWB222BK</t>
        </is>
      </c>
      <c r="D553" t="inlineStr">
        <is>
          <t>Wine Totes, Bags &amp; Backpacks</t>
        </is>
      </c>
      <c r="E553" t="inlineStr">
        <is>
          <t>Tirrinia</t>
        </is>
      </c>
      <c r="G553" s="48" t="n">
        <v>0</v>
      </c>
      <c r="H553" s="48" t="n">
        <v>0</v>
      </c>
      <c r="I553" s="48" t="n">
        <v>0</v>
      </c>
      <c r="J553" s="48" t="n">
        <v>0</v>
      </c>
      <c r="K553" s="49" t="n">
        <v>0</v>
      </c>
      <c r="L553" s="49" t="n">
        <v>0</v>
      </c>
      <c r="M553" s="49" t="n">
        <v>0</v>
      </c>
      <c r="N553" s="49" t="n">
        <v>0</v>
      </c>
      <c r="O553" s="49" t="n">
        <v>0</v>
      </c>
      <c r="P553" s="49" t="n">
        <v>0</v>
      </c>
      <c r="Q553" s="49" t="n">
        <v>0</v>
      </c>
      <c r="R553" s="49" t="n">
        <v>0</v>
      </c>
      <c r="S553" s="50" t="n">
        <v>0</v>
      </c>
      <c r="T553" s="50" t="n">
        <v>0</v>
      </c>
      <c r="U553" s="50" t="n">
        <v>0</v>
      </c>
      <c r="V553" s="50" t="n">
        <v>0</v>
      </c>
      <c r="W553" s="51" t="n">
        <v>0</v>
      </c>
      <c r="X553" s="51" t="n">
        <v>0</v>
      </c>
      <c r="Y553" s="51" t="n">
        <v>0</v>
      </c>
      <c r="Z553" s="51" t="n">
        <v>0</v>
      </c>
      <c r="AA553" s="52" t="n">
        <v>0</v>
      </c>
      <c r="AB553" s="52" t="n">
        <v>0</v>
      </c>
      <c r="AC553" s="52" t="n">
        <v>0</v>
      </c>
      <c r="AD553" s="52" t="n">
        <v>0</v>
      </c>
      <c r="AE553" s="52" t="n">
        <v>0</v>
      </c>
      <c r="AF553" s="52" t="n">
        <v>0</v>
      </c>
      <c r="AG553" s="52" t="n">
        <v>0</v>
      </c>
      <c r="AH553" s="52" t="n">
        <v>0</v>
      </c>
      <c r="AI553" s="52" t="n">
        <v>0</v>
      </c>
      <c r="AJ553" s="52" t="n">
        <v>0</v>
      </c>
      <c r="AK553" s="52" t="n">
        <v>0</v>
      </c>
      <c r="AL553" s="52" t="n">
        <v>0</v>
      </c>
      <c r="AM553" s="53" t="n">
        <v>0</v>
      </c>
      <c r="AN553" s="53" t="n">
        <v>0</v>
      </c>
      <c r="AO553" s="53" t="n">
        <v>0</v>
      </c>
      <c r="AP553" s="53" t="n">
        <v>0</v>
      </c>
      <c r="AQ553" s="52" t="n">
        <v>0</v>
      </c>
      <c r="AR553" s="52" t="n">
        <v>0</v>
      </c>
      <c r="AS553" s="52" t="n">
        <v>0</v>
      </c>
      <c r="AT553" s="52" t="n">
        <v>0</v>
      </c>
      <c r="AU553" s="53" t="n">
        <v>0</v>
      </c>
      <c r="AV553" s="53" t="n">
        <v>0</v>
      </c>
      <c r="AW553" s="53" t="n">
        <v>0</v>
      </c>
      <c r="AX553" s="53" t="n">
        <v>0</v>
      </c>
      <c r="AY553" s="52" t="n">
        <v>0</v>
      </c>
      <c r="AZ553" s="52" t="n">
        <v>0</v>
      </c>
      <c r="BA553" s="52" t="n">
        <v>0</v>
      </c>
      <c r="BB553" s="52" t="n">
        <v>0</v>
      </c>
      <c r="BC553" s="51" t="n">
        <v>975</v>
      </c>
      <c r="BD553" s="51" t="n">
        <v>389</v>
      </c>
      <c r="BE553" s="51" t="n">
        <v>435</v>
      </c>
      <c r="BF553" s="51" t="n">
        <v>415</v>
      </c>
    </row>
    <row r="554">
      <c r="A554">
        <f>HYPERLINK("https://www.walmart.com/ip/512424115", "512424115")</f>
        <v/>
      </c>
      <c r="B554" t="inlineStr">
        <is>
          <t>Terra Youth Reflective Knit Hat High Visibility Cold Weather Running Beanie Cool</t>
        </is>
      </c>
      <c r="C554" t="inlineStr">
        <is>
          <t>TERRABN01-DR</t>
        </is>
      </c>
      <c r="D554" t="inlineStr">
        <is>
          <t>Hats</t>
        </is>
      </c>
      <c r="E554" t="inlineStr">
        <is>
          <t>Terra</t>
        </is>
      </c>
      <c r="G554" s="48" t="n">
        <v>0</v>
      </c>
      <c r="H554" s="48" t="n">
        <v>0</v>
      </c>
      <c r="I554" s="48" t="n">
        <v>0</v>
      </c>
      <c r="J554" s="48" t="n">
        <v>0</v>
      </c>
      <c r="K554" s="49" t="n">
        <v>0</v>
      </c>
      <c r="L554" s="49" t="n">
        <v>0</v>
      </c>
      <c r="M554" s="49" t="n">
        <v>0</v>
      </c>
      <c r="N554" s="49" t="n">
        <v>0</v>
      </c>
      <c r="O554" s="49" t="n">
        <v>0</v>
      </c>
      <c r="P554" s="49" t="n">
        <v>0</v>
      </c>
      <c r="Q554" s="49" t="n">
        <v>0</v>
      </c>
      <c r="R554" s="49" t="n">
        <v>0</v>
      </c>
      <c r="S554" s="50" t="n">
        <v>0</v>
      </c>
      <c r="T554" s="50" t="n">
        <v>0</v>
      </c>
      <c r="U554" s="50" t="n">
        <v>0</v>
      </c>
      <c r="V554" s="50" t="n">
        <v>0</v>
      </c>
      <c r="W554" s="51" t="n">
        <v>0</v>
      </c>
      <c r="X554" s="51" t="n">
        <v>0</v>
      </c>
      <c r="Y554" s="51" t="n">
        <v>0</v>
      </c>
      <c r="Z554" s="51" t="n">
        <v>0</v>
      </c>
      <c r="AA554" s="52" t="n">
        <v>0</v>
      </c>
      <c r="AB554" s="52" t="n">
        <v>0</v>
      </c>
      <c r="AC554" s="52" t="n">
        <v>0</v>
      </c>
      <c r="AD554" s="52" t="n">
        <v>0</v>
      </c>
      <c r="AE554" s="52" t="n">
        <v>0</v>
      </c>
      <c r="AF554" s="52" t="n">
        <v>0</v>
      </c>
      <c r="AG554" s="52" t="n">
        <v>0</v>
      </c>
      <c r="AH554" s="52" t="n">
        <v>0</v>
      </c>
      <c r="AI554" s="52" t="n">
        <v>0</v>
      </c>
      <c r="AJ554" s="52" t="n">
        <v>0</v>
      </c>
      <c r="AK554" s="52" t="n">
        <v>0</v>
      </c>
      <c r="AL554" s="52" t="n">
        <v>0</v>
      </c>
      <c r="AM554" s="53" t="n">
        <v>0</v>
      </c>
      <c r="AN554" s="53" t="n">
        <v>0</v>
      </c>
      <c r="AO554" s="53" t="n">
        <v>0</v>
      </c>
      <c r="AP554" s="53" t="n">
        <v>0</v>
      </c>
      <c r="AQ554" s="52" t="n">
        <v>0</v>
      </c>
      <c r="AR554" s="52" t="n">
        <v>0</v>
      </c>
      <c r="AS554" s="52" t="n">
        <v>0</v>
      </c>
      <c r="AT554" s="52" t="n">
        <v>0</v>
      </c>
      <c r="AU554" s="53" t="n">
        <v>0</v>
      </c>
      <c r="AV554" s="53" t="n">
        <v>0</v>
      </c>
      <c r="AW554" s="53" t="n">
        <v>0</v>
      </c>
      <c r="AX554" s="53" t="n">
        <v>0</v>
      </c>
      <c r="AY554" s="52" t="n">
        <v>0</v>
      </c>
      <c r="AZ554" s="52" t="n">
        <v>0</v>
      </c>
      <c r="BA554" s="52" t="n">
        <v>0</v>
      </c>
      <c r="BB554" s="52" t="n">
        <v>0</v>
      </c>
      <c r="BC554" s="51" t="n">
        <v>0</v>
      </c>
      <c r="BD554" s="51" t="n">
        <v>0</v>
      </c>
      <c r="BE554" s="51" t="n">
        <v>0</v>
      </c>
      <c r="BF554" s="51" t="n">
        <v>0</v>
      </c>
    </row>
    <row r="555">
      <c r="A555">
        <f>HYPERLINK("https://www.walmart.com/ip/5133276632", "5133276632")</f>
        <v/>
      </c>
      <c r="B555" t="inlineStr">
        <is>
          <t>Catalonia Plush Fleece Blanket Couch Throw Christmas Theme Shu Velveteen Lambswool Reversible Warm Super Soft 61” x 50“</t>
        </is>
      </c>
      <c r="C555" t="inlineStr">
        <is>
          <t>1CTBF600PEPPIZ</t>
        </is>
      </c>
      <c r="D555" t="inlineStr">
        <is>
          <t>Throws</t>
        </is>
      </c>
      <c r="E555" t="inlineStr">
        <is>
          <t>Catalonia</t>
        </is>
      </c>
      <c r="G555" s="48" t="n">
        <v>0</v>
      </c>
      <c r="H555" s="48" t="n">
        <v>0</v>
      </c>
      <c r="I555" s="48" t="n">
        <v>0</v>
      </c>
      <c r="J555" s="48" t="n">
        <v>0</v>
      </c>
      <c r="K555" s="49" t="n">
        <v>0</v>
      </c>
      <c r="L555" s="49" t="n">
        <v>0</v>
      </c>
      <c r="M555" s="49" t="n">
        <v>0</v>
      </c>
      <c r="N555" s="49" t="n">
        <v>0</v>
      </c>
      <c r="O555" s="49" t="n">
        <v>0</v>
      </c>
      <c r="P555" s="49" t="n">
        <v>0</v>
      </c>
      <c r="Q555" s="49" t="n">
        <v>0</v>
      </c>
      <c r="R555" s="49" t="n">
        <v>0</v>
      </c>
      <c r="S555" s="50" t="n">
        <v>0</v>
      </c>
      <c r="T555" s="50" t="n">
        <v>0</v>
      </c>
      <c r="U555" s="50" t="n">
        <v>0</v>
      </c>
      <c r="V555" s="50" t="n">
        <v>0</v>
      </c>
      <c r="W555" s="51" t="n">
        <v>0</v>
      </c>
      <c r="X555" s="51" t="n">
        <v>0</v>
      </c>
      <c r="Y555" s="51" t="n">
        <v>0</v>
      </c>
      <c r="Z555" s="51" t="n">
        <v>0</v>
      </c>
      <c r="AA555" s="52" t="n">
        <v>0</v>
      </c>
      <c r="AB555" s="52" t="n">
        <v>0</v>
      </c>
      <c r="AC555" s="52" t="n">
        <v>0</v>
      </c>
      <c r="AD555" s="52" t="n">
        <v>0</v>
      </c>
      <c r="AE555" s="52" t="n">
        <v>0</v>
      </c>
      <c r="AF555" s="52" t="n">
        <v>0</v>
      </c>
      <c r="AG555" s="52" t="n">
        <v>0</v>
      </c>
      <c r="AH555" s="52" t="n">
        <v>0</v>
      </c>
      <c r="AI555" s="52" t="n">
        <v>0</v>
      </c>
      <c r="AJ555" s="52" t="n">
        <v>0</v>
      </c>
      <c r="AK555" s="52" t="n">
        <v>0</v>
      </c>
      <c r="AL555" s="52" t="n">
        <v>0</v>
      </c>
      <c r="AM555" s="53" t="n">
        <v>0</v>
      </c>
      <c r="AN555" s="53" t="n">
        <v>0</v>
      </c>
      <c r="AO555" s="53" t="n">
        <v>0</v>
      </c>
      <c r="AP555" s="53" t="n">
        <v>0</v>
      </c>
      <c r="AQ555" s="52" t="n">
        <v>0</v>
      </c>
      <c r="AR555" s="52" t="n">
        <v>0</v>
      </c>
      <c r="AS555" s="52" t="n">
        <v>0</v>
      </c>
      <c r="AT555" s="52" t="n">
        <v>0</v>
      </c>
      <c r="AU555" s="53" t="n">
        <v>0</v>
      </c>
      <c r="AV555" s="53" t="n">
        <v>0</v>
      </c>
      <c r="AW555" s="53" t="n">
        <v>0</v>
      </c>
      <c r="AX555" s="53" t="n">
        <v>0</v>
      </c>
      <c r="AY555" s="52" t="n">
        <v>0</v>
      </c>
      <c r="AZ555" s="52" t="n">
        <v>0</v>
      </c>
      <c r="BA555" s="52" t="n">
        <v>0</v>
      </c>
      <c r="BB555" s="52" t="n">
        <v>0</v>
      </c>
      <c r="BC555" s="51" t="n">
        <v>0</v>
      </c>
      <c r="BD555" s="51" t="n">
        <v>0</v>
      </c>
      <c r="BE555" s="51" t="n">
        <v>0</v>
      </c>
      <c r="BF555" s="51" t="n">
        <v>0</v>
      </c>
    </row>
    <row r="556">
      <c r="A556">
        <f>HYPERLINK("https://www.walmart.com/ip/513509140", "513509140")</f>
        <v/>
      </c>
      <c r="B556" t="inlineStr">
        <is>
          <t>Catalonia Waterproof Blanket for Bed, Reversible Baby Pet Doggy Pee Proof Fleece Blankets, Large Couch Sofa Cover Furniture Boat Mattress Protector, 80x90 inches, Brown</t>
        </is>
      </c>
      <c r="C556" t="inlineStr">
        <is>
          <t>1CTBW982BNTP</t>
        </is>
      </c>
      <c r="D556" t="inlineStr">
        <is>
          <t>Throws</t>
        </is>
      </c>
      <c r="E556" t="inlineStr">
        <is>
          <t>Catalonia</t>
        </is>
      </c>
      <c r="F556" t="inlineStr">
        <is>
          <t>Q2-Target,Wproof Blanket,Fleece Blankets,Batch 1 - TR</t>
        </is>
      </c>
      <c r="G556" s="48" t="n">
        <v>0</v>
      </c>
      <c r="H556" s="48" t="n">
        <v>0</v>
      </c>
      <c r="I556" s="48" t="n">
        <v>0</v>
      </c>
      <c r="J556" s="48" t="n">
        <v>0</v>
      </c>
      <c r="K556" s="49" t="n">
        <v>0</v>
      </c>
      <c r="L556" s="49" t="n">
        <v>0</v>
      </c>
      <c r="M556" s="49" t="n">
        <v>0</v>
      </c>
      <c r="N556" s="49" t="n">
        <v>0</v>
      </c>
      <c r="O556" s="49" t="n">
        <v>0</v>
      </c>
      <c r="P556" s="49" t="n">
        <v>0</v>
      </c>
      <c r="Q556" s="49" t="n">
        <v>0</v>
      </c>
      <c r="R556" s="49" t="n">
        <v>0</v>
      </c>
      <c r="S556" s="50" t="n">
        <v>0</v>
      </c>
      <c r="T556" s="50" t="n">
        <v>0</v>
      </c>
      <c r="U556" s="50" t="n">
        <v>0</v>
      </c>
      <c r="V556" s="50" t="n">
        <v>0</v>
      </c>
      <c r="W556" s="51" t="n">
        <v>1</v>
      </c>
      <c r="X556" s="51" t="n">
        <v>0</v>
      </c>
      <c r="Y556" s="51" t="n">
        <v>0</v>
      </c>
      <c r="Z556" s="51" t="n">
        <v>0</v>
      </c>
      <c r="AA556" s="52" t="n">
        <v>0.41</v>
      </c>
      <c r="AB556" s="52" t="n">
        <v>0</v>
      </c>
      <c r="AC556" s="52" t="n">
        <v>0</v>
      </c>
      <c r="AD556" s="52" t="n">
        <v>0</v>
      </c>
      <c r="AE556" s="52" t="n">
        <v>0</v>
      </c>
      <c r="AF556" s="52" t="n">
        <v>0</v>
      </c>
      <c r="AG556" s="52" t="n">
        <v>0</v>
      </c>
      <c r="AH556" s="52" t="n">
        <v>0</v>
      </c>
      <c r="AI556" s="52" t="n">
        <v>0</v>
      </c>
      <c r="AJ556" s="52" t="n">
        <v>0</v>
      </c>
      <c r="AK556" s="52" t="n">
        <v>0</v>
      </c>
      <c r="AL556" s="52" t="n">
        <v>0</v>
      </c>
      <c r="AM556" s="53" t="n">
        <v>0.0017</v>
      </c>
      <c r="AN556" s="53" t="n">
        <v>0</v>
      </c>
      <c r="AO556" s="53" t="n">
        <v>0</v>
      </c>
      <c r="AP556" s="53" t="n">
        <v>0</v>
      </c>
      <c r="AQ556" s="52" t="n">
        <v>0.41</v>
      </c>
      <c r="AR556" s="52" t="n">
        <v>0</v>
      </c>
      <c r="AS556" s="52" t="n">
        <v>0</v>
      </c>
      <c r="AT556" s="52" t="n">
        <v>0</v>
      </c>
      <c r="AU556" s="53" t="n">
        <v>0</v>
      </c>
      <c r="AV556" s="53" t="n">
        <v>0</v>
      </c>
      <c r="AW556" s="53" t="n">
        <v>0</v>
      </c>
      <c r="AX556" s="53" t="n">
        <v>0</v>
      </c>
      <c r="AY556" s="52" t="n">
        <v>0</v>
      </c>
      <c r="AZ556" s="52" t="n">
        <v>0</v>
      </c>
      <c r="BA556" s="52" t="n">
        <v>0</v>
      </c>
      <c r="BB556" s="52" t="n">
        <v>0</v>
      </c>
      <c r="BC556" s="51" t="n">
        <v>606</v>
      </c>
      <c r="BD556" s="51" t="n">
        <v>471</v>
      </c>
      <c r="BE556" s="51" t="n">
        <v>413</v>
      </c>
      <c r="BF556" s="51" t="n">
        <v>730</v>
      </c>
    </row>
    <row r="557">
      <c r="A557">
        <f>HYPERLINK("https://www.walmart.com/ip/5149641168", "5149641168")</f>
        <v/>
      </c>
      <c r="B557" t="inlineStr">
        <is>
          <t>Lee Toiletry Bag for Men, PU Leather Travel Dopp Kit, Water-Resistant Men's Shaving Kit Bathroom Organizer, Gifts for Men</t>
        </is>
      </c>
      <c r="C557" t="inlineStr">
        <is>
          <t>1LETTB14182BR</t>
        </is>
      </c>
      <c r="D557" t="inlineStr">
        <is>
          <t>Toiletry Kits &amp; Bags</t>
        </is>
      </c>
      <c r="E557" t="inlineStr">
        <is>
          <t>Lee</t>
        </is>
      </c>
      <c r="G557" s="48" t="n">
        <v>0</v>
      </c>
      <c r="H557" s="48" t="n">
        <v>0</v>
      </c>
      <c r="I557" s="48" t="n">
        <v>0</v>
      </c>
      <c r="J557" s="48" t="n">
        <v>0</v>
      </c>
      <c r="K557" s="49" t="n">
        <v>0</v>
      </c>
      <c r="L557" s="49" t="n">
        <v>0</v>
      </c>
      <c r="M557" s="49" t="n">
        <v>0</v>
      </c>
      <c r="N557" s="49" t="n">
        <v>0</v>
      </c>
      <c r="O557" s="49" t="n">
        <v>0</v>
      </c>
      <c r="P557" s="49" t="n">
        <v>0</v>
      </c>
      <c r="Q557" s="49" t="n">
        <v>0</v>
      </c>
      <c r="R557" s="49" t="n">
        <v>0</v>
      </c>
      <c r="S557" s="50" t="n">
        <v>0</v>
      </c>
      <c r="T557" s="50" t="n">
        <v>0</v>
      </c>
      <c r="U557" s="50" t="n">
        <v>0</v>
      </c>
      <c r="V557" s="50" t="n">
        <v>0</v>
      </c>
      <c r="W557" s="51" t="n">
        <v>0</v>
      </c>
      <c r="X557" s="51" t="n">
        <v>0</v>
      </c>
      <c r="Y557" s="51" t="n">
        <v>0</v>
      </c>
      <c r="Z557" s="51" t="n">
        <v>0</v>
      </c>
      <c r="AA557" s="52" t="n">
        <v>0</v>
      </c>
      <c r="AB557" s="52" t="n">
        <v>0</v>
      </c>
      <c r="AC557" s="52" t="n">
        <v>0</v>
      </c>
      <c r="AD557" s="52" t="n">
        <v>0</v>
      </c>
      <c r="AE557" s="52" t="n">
        <v>0</v>
      </c>
      <c r="AF557" s="52" t="n">
        <v>0</v>
      </c>
      <c r="AG557" s="52" t="n">
        <v>0</v>
      </c>
      <c r="AH557" s="52" t="n">
        <v>0</v>
      </c>
      <c r="AI557" s="52" t="n">
        <v>0</v>
      </c>
      <c r="AJ557" s="52" t="n">
        <v>0</v>
      </c>
      <c r="AK557" s="52" t="n">
        <v>0</v>
      </c>
      <c r="AL557" s="52" t="n">
        <v>0</v>
      </c>
      <c r="AM557" s="53" t="n">
        <v>0</v>
      </c>
      <c r="AN557" s="53" t="n">
        <v>0</v>
      </c>
      <c r="AO557" s="53" t="n">
        <v>0</v>
      </c>
      <c r="AP557" s="53" t="n">
        <v>0</v>
      </c>
      <c r="AQ557" s="52" t="n">
        <v>0</v>
      </c>
      <c r="AR557" s="52" t="n">
        <v>0</v>
      </c>
      <c r="AS557" s="52" t="n">
        <v>0</v>
      </c>
      <c r="AT557" s="52" t="n">
        <v>0</v>
      </c>
      <c r="AU557" s="53" t="n">
        <v>0</v>
      </c>
      <c r="AV557" s="53" t="n">
        <v>0</v>
      </c>
      <c r="AW557" s="53" t="n">
        <v>0</v>
      </c>
      <c r="AX557" s="53" t="n">
        <v>0</v>
      </c>
      <c r="AY557" s="52" t="n">
        <v>0</v>
      </c>
      <c r="AZ557" s="52" t="n">
        <v>0</v>
      </c>
      <c r="BA557" s="52" t="n">
        <v>0</v>
      </c>
      <c r="BB557" s="52" t="n">
        <v>0</v>
      </c>
      <c r="BC557" s="51" t="n">
        <v>0</v>
      </c>
      <c r="BD557" s="51" t="n">
        <v>0</v>
      </c>
      <c r="BE557" s="51" t="n">
        <v>0</v>
      </c>
      <c r="BF557" s="51" t="n">
        <v>0</v>
      </c>
    </row>
    <row r="558">
      <c r="A558">
        <f>HYPERLINK("https://www.walmart.com/ip/515236504", "515236504")</f>
        <v/>
      </c>
      <c r="B558" t="inlineStr">
        <is>
          <t>Catalonia Tiger Fluffy Sherpa Throw Blanket, Super Soft Mink Fleece Couch Blanket, TV Bed Fuzzy Blanket, Fluffy Comfy Warm Heavy Throws, Comfort Caring Gift,50x60 inches</t>
        </is>
      </c>
      <c r="C558" t="inlineStr">
        <is>
          <t>1CTBF300TIGERMUL</t>
        </is>
      </c>
      <c r="D558" t="inlineStr">
        <is>
          <t>Throws</t>
        </is>
      </c>
      <c r="E558" t="inlineStr">
        <is>
          <t>Catalonia</t>
        </is>
      </c>
      <c r="F558" t="inlineStr">
        <is>
          <t>Coupon_Discount,Batch 1 - TR</t>
        </is>
      </c>
      <c r="G558" s="48" t="n">
        <v>0</v>
      </c>
      <c r="H558" s="48" t="n">
        <v>0</v>
      </c>
      <c r="I558" s="48" t="n">
        <v>0</v>
      </c>
      <c r="J558" s="48" t="n">
        <v>0</v>
      </c>
      <c r="K558" s="49" t="n">
        <v>0</v>
      </c>
      <c r="L558" s="49" t="n">
        <v>0</v>
      </c>
      <c r="M558" s="49" t="n">
        <v>0</v>
      </c>
      <c r="N558" s="49" t="n">
        <v>0</v>
      </c>
      <c r="O558" s="49" t="n">
        <v>0</v>
      </c>
      <c r="P558" s="49" t="n">
        <v>0</v>
      </c>
      <c r="Q558" s="49" t="n">
        <v>0</v>
      </c>
      <c r="R558" s="49" t="n">
        <v>0</v>
      </c>
      <c r="S558" s="50" t="n">
        <v>0</v>
      </c>
      <c r="T558" s="50" t="n">
        <v>0</v>
      </c>
      <c r="U558" s="50" t="n">
        <v>0</v>
      </c>
      <c r="V558" s="50" t="n">
        <v>0</v>
      </c>
      <c r="W558" s="51" t="n">
        <v>0</v>
      </c>
      <c r="X558" s="51" t="n">
        <v>0</v>
      </c>
      <c r="Y558" s="51" t="n">
        <v>0</v>
      </c>
      <c r="Z558" s="51" t="n">
        <v>0</v>
      </c>
      <c r="AA558" s="52" t="n">
        <v>0</v>
      </c>
      <c r="AB558" s="52" t="n">
        <v>0</v>
      </c>
      <c r="AC558" s="52" t="n">
        <v>0</v>
      </c>
      <c r="AD558" s="52" t="n">
        <v>0</v>
      </c>
      <c r="AE558" s="52" t="n">
        <v>0</v>
      </c>
      <c r="AF558" s="52" t="n">
        <v>0</v>
      </c>
      <c r="AG558" s="52" t="n">
        <v>0</v>
      </c>
      <c r="AH558" s="52" t="n">
        <v>0</v>
      </c>
      <c r="AI558" s="52" t="n">
        <v>0</v>
      </c>
      <c r="AJ558" s="52" t="n">
        <v>0</v>
      </c>
      <c r="AK558" s="52" t="n">
        <v>0</v>
      </c>
      <c r="AL558" s="52" t="n">
        <v>0</v>
      </c>
      <c r="AM558" s="53" t="n">
        <v>0</v>
      </c>
      <c r="AN558" s="53" t="n">
        <v>0</v>
      </c>
      <c r="AO558" s="53" t="n">
        <v>0</v>
      </c>
      <c r="AP558" s="53" t="n">
        <v>0</v>
      </c>
      <c r="AQ558" s="52" t="n">
        <v>0</v>
      </c>
      <c r="AR558" s="52" t="n">
        <v>0</v>
      </c>
      <c r="AS558" s="52" t="n">
        <v>0</v>
      </c>
      <c r="AT558" s="52" t="n">
        <v>0</v>
      </c>
      <c r="AU558" s="53" t="n">
        <v>0</v>
      </c>
      <c r="AV558" s="53" t="n">
        <v>0</v>
      </c>
      <c r="AW558" s="53" t="n">
        <v>0</v>
      </c>
      <c r="AX558" s="53" t="n">
        <v>0</v>
      </c>
      <c r="AY558" s="52" t="n">
        <v>0</v>
      </c>
      <c r="AZ558" s="52" t="n">
        <v>0</v>
      </c>
      <c r="BA558" s="52" t="n">
        <v>0</v>
      </c>
      <c r="BB558" s="52" t="n">
        <v>0</v>
      </c>
      <c r="BC558" s="51" t="n">
        <v>0</v>
      </c>
      <c r="BD558" s="51" t="n">
        <v>0</v>
      </c>
      <c r="BE558" s="51" t="n">
        <v>0</v>
      </c>
      <c r="BF558" s="51" t="n">
        <v>0</v>
      </c>
    </row>
    <row r="559">
      <c r="A559">
        <f>HYPERLINK("https://www.walmart.com/ip/5157375117", "5157375117")</f>
        <v/>
      </c>
      <c r="B559" t="inlineStr">
        <is>
          <t>Tirrinia 2 Bottle Wine Gift Tote Carrier - Leakproof &amp; Insulated with large pockets Wine Cooler Bag for Travel, Wine Tasting, Party, Dinner, Great Christmas Gift for Wine Lover, Stripe</t>
        </is>
      </c>
      <c r="C559" t="inlineStr">
        <is>
          <t>1TRWB222STR</t>
        </is>
      </c>
      <c r="D559" t="inlineStr">
        <is>
          <t>Wine Totes, Bags &amp; Backpacks</t>
        </is>
      </c>
      <c r="E559" t="inlineStr">
        <is>
          <t>Tirrinia</t>
        </is>
      </c>
      <c r="G559" s="48" t="n">
        <v>0</v>
      </c>
      <c r="H559" s="48" t="n">
        <v>0</v>
      </c>
      <c r="I559" s="48" t="n">
        <v>0</v>
      </c>
      <c r="J559" s="48" t="n">
        <v>0</v>
      </c>
      <c r="K559" s="49" t="n">
        <v>0</v>
      </c>
      <c r="L559" s="49" t="n">
        <v>0</v>
      </c>
      <c r="M559" s="49" t="n">
        <v>0</v>
      </c>
      <c r="N559" s="49" t="n">
        <v>0</v>
      </c>
      <c r="O559" s="49" t="n">
        <v>0</v>
      </c>
      <c r="P559" s="49" t="n">
        <v>0</v>
      </c>
      <c r="Q559" s="49" t="n">
        <v>0</v>
      </c>
      <c r="R559" s="49" t="n">
        <v>0</v>
      </c>
      <c r="S559" s="50" t="n">
        <v>0</v>
      </c>
      <c r="T559" s="50" t="n">
        <v>0</v>
      </c>
      <c r="U559" s="50" t="n">
        <v>0</v>
      </c>
      <c r="V559" s="50" t="n">
        <v>0</v>
      </c>
      <c r="W559" s="51" t="n">
        <v>0</v>
      </c>
      <c r="X559" s="51" t="n">
        <v>0</v>
      </c>
      <c r="Y559" s="51" t="n">
        <v>0</v>
      </c>
      <c r="Z559" s="51" t="n">
        <v>0</v>
      </c>
      <c r="AA559" s="52" t="n">
        <v>0</v>
      </c>
      <c r="AB559" s="52" t="n">
        <v>0</v>
      </c>
      <c r="AC559" s="52" t="n">
        <v>0</v>
      </c>
      <c r="AD559" s="52" t="n">
        <v>0</v>
      </c>
      <c r="AE559" s="52" t="n">
        <v>0</v>
      </c>
      <c r="AF559" s="52" t="n">
        <v>0</v>
      </c>
      <c r="AG559" s="52" t="n">
        <v>0</v>
      </c>
      <c r="AH559" s="52" t="n">
        <v>0</v>
      </c>
      <c r="AI559" s="52" t="n">
        <v>0</v>
      </c>
      <c r="AJ559" s="52" t="n">
        <v>0</v>
      </c>
      <c r="AK559" s="52" t="n">
        <v>0</v>
      </c>
      <c r="AL559" s="52" t="n">
        <v>0</v>
      </c>
      <c r="AM559" s="53" t="n">
        <v>0</v>
      </c>
      <c r="AN559" s="53" t="n">
        <v>0</v>
      </c>
      <c r="AO559" s="53" t="n">
        <v>0</v>
      </c>
      <c r="AP559" s="53" t="n">
        <v>0</v>
      </c>
      <c r="AQ559" s="52" t="n">
        <v>0</v>
      </c>
      <c r="AR559" s="52" t="n">
        <v>0</v>
      </c>
      <c r="AS559" s="52" t="n">
        <v>0</v>
      </c>
      <c r="AT559" s="52" t="n">
        <v>0</v>
      </c>
      <c r="AU559" s="53" t="n">
        <v>0</v>
      </c>
      <c r="AV559" s="53" t="n">
        <v>0</v>
      </c>
      <c r="AW559" s="53" t="n">
        <v>0</v>
      </c>
      <c r="AX559" s="53" t="n">
        <v>0</v>
      </c>
      <c r="AY559" s="52" t="n">
        <v>0</v>
      </c>
      <c r="AZ559" s="52" t="n">
        <v>0</v>
      </c>
      <c r="BA559" s="52" t="n">
        <v>0</v>
      </c>
      <c r="BB559" s="52" t="n">
        <v>0</v>
      </c>
      <c r="BC559" s="51" t="n">
        <v>0</v>
      </c>
      <c r="BD559" s="51" t="n">
        <v>0</v>
      </c>
      <c r="BE559" s="51" t="n">
        <v>0</v>
      </c>
      <c r="BF559" s="51" t="n">
        <v>0</v>
      </c>
    </row>
    <row r="560">
      <c r="A560">
        <f>HYPERLINK("https://www.walmart.com/ip/5157833181", "5157833181")</f>
        <v/>
      </c>
      <c r="B560" t="inlineStr">
        <is>
          <t>Tirrinia 2 Bottle Wine Gift Tote Carrier, Leakproof and Insulated with large pockets Wine Cooler Bag for Travel, Wine Tasting, Party, Dinner, Great Christmas Gift for Wine Lover, Beige</t>
        </is>
      </c>
      <c r="C560" t="inlineStr">
        <is>
          <t>1TRWB222BG</t>
        </is>
      </c>
      <c r="D560" t="inlineStr">
        <is>
          <t>Wine Totes, Bags &amp; Backpacks</t>
        </is>
      </c>
      <c r="E560" t="inlineStr">
        <is>
          <t>Tirrinia</t>
        </is>
      </c>
      <c r="G560" s="48" t="n">
        <v>0</v>
      </c>
      <c r="H560" s="48" t="n">
        <v>0</v>
      </c>
      <c r="I560" s="48" t="n">
        <v>0</v>
      </c>
      <c r="J560" s="48" t="n">
        <v>0</v>
      </c>
      <c r="K560" s="49" t="n">
        <v>0</v>
      </c>
      <c r="L560" s="49" t="n">
        <v>0</v>
      </c>
      <c r="M560" s="49" t="n">
        <v>0</v>
      </c>
      <c r="N560" s="49" t="n">
        <v>0</v>
      </c>
      <c r="O560" s="49" t="n">
        <v>0</v>
      </c>
      <c r="P560" s="49" t="n">
        <v>0</v>
      </c>
      <c r="Q560" s="49" t="n">
        <v>0</v>
      </c>
      <c r="R560" s="49" t="n">
        <v>0</v>
      </c>
      <c r="S560" s="50" t="n">
        <v>0</v>
      </c>
      <c r="T560" s="50" t="n">
        <v>0</v>
      </c>
      <c r="U560" s="50" t="n">
        <v>0</v>
      </c>
      <c r="V560" s="50" t="n">
        <v>0</v>
      </c>
      <c r="W560" s="51" t="n">
        <v>3</v>
      </c>
      <c r="X560" s="51" t="n">
        <v>0</v>
      </c>
      <c r="Y560" s="51" t="n">
        <v>0</v>
      </c>
      <c r="Z560" s="51" t="n">
        <v>1</v>
      </c>
      <c r="AA560" s="52" t="n">
        <v>1.02</v>
      </c>
      <c r="AB560" s="52" t="n">
        <v>0</v>
      </c>
      <c r="AC560" s="52" t="n">
        <v>0</v>
      </c>
      <c r="AD560" s="52" t="n">
        <v>0.38</v>
      </c>
      <c r="AE560" s="52" t="n">
        <v>0</v>
      </c>
      <c r="AF560" s="52" t="n">
        <v>0</v>
      </c>
      <c r="AG560" s="52" t="n">
        <v>0</v>
      </c>
      <c r="AH560" s="52" t="n">
        <v>0</v>
      </c>
      <c r="AI560" s="52" t="n">
        <v>0</v>
      </c>
      <c r="AJ560" s="52" t="n">
        <v>0</v>
      </c>
      <c r="AK560" s="52" t="n">
        <v>0</v>
      </c>
      <c r="AL560" s="52" t="n">
        <v>0</v>
      </c>
      <c r="AM560" s="53" t="n">
        <v>0.0043</v>
      </c>
      <c r="AN560" s="53" t="n">
        <v>0</v>
      </c>
      <c r="AO560" s="53" t="n">
        <v>0</v>
      </c>
      <c r="AP560" s="53" t="n">
        <v>0.0009</v>
      </c>
      <c r="AQ560" s="52" t="n">
        <v>0.34</v>
      </c>
      <c r="AR560" s="52" t="n">
        <v>0</v>
      </c>
      <c r="AS560" s="52" t="n">
        <v>0</v>
      </c>
      <c r="AT560" s="52" t="n">
        <v>0.38</v>
      </c>
      <c r="AU560" s="53" t="n">
        <v>0</v>
      </c>
      <c r="AV560" s="53" t="n">
        <v>0</v>
      </c>
      <c r="AW560" s="53" t="n">
        <v>0</v>
      </c>
      <c r="AX560" s="53" t="n">
        <v>0</v>
      </c>
      <c r="AY560" s="52" t="n">
        <v>0</v>
      </c>
      <c r="AZ560" s="52" t="n">
        <v>0</v>
      </c>
      <c r="BA560" s="52" t="n">
        <v>0</v>
      </c>
      <c r="BB560" s="52" t="n">
        <v>0</v>
      </c>
      <c r="BC560" s="51" t="n">
        <v>699</v>
      </c>
      <c r="BD560" s="51" t="n">
        <v>1295</v>
      </c>
      <c r="BE560" s="51" t="n">
        <v>1056</v>
      </c>
      <c r="BF560" s="51" t="n">
        <v>1125</v>
      </c>
    </row>
    <row r="561">
      <c r="A561">
        <f>HYPERLINK("https://www.walmart.com/ip/516035141", "516035141")</f>
        <v/>
      </c>
      <c r="B561" t="inlineStr">
        <is>
          <t>Catalonia Fleece Throw Blanket for Couch, Super Soft Fuzzy Plush Blanket for Adults and Kids, All Seasons Home Decor Blanket, Machine Washable, 50"x60", White</t>
        </is>
      </c>
      <c r="C561" t="inlineStr">
        <is>
          <t>1CTBF575WT</t>
        </is>
      </c>
      <c r="D561" t="inlineStr">
        <is>
          <t>Throws</t>
        </is>
      </c>
      <c r="E561" t="inlineStr">
        <is>
          <t>Catalonia</t>
        </is>
      </c>
      <c r="F561" t="inlineStr">
        <is>
          <t>WFS,WFS Item</t>
        </is>
      </c>
      <c r="G561" s="48" t="n">
        <v>0</v>
      </c>
      <c r="H561" s="48" t="n">
        <v>0</v>
      </c>
      <c r="I561" s="48" t="n">
        <v>0</v>
      </c>
      <c r="J561" s="48" t="n">
        <v>0</v>
      </c>
      <c r="K561" s="49" t="n">
        <v>0</v>
      </c>
      <c r="L561" s="49" t="n">
        <v>0</v>
      </c>
      <c r="M561" s="49" t="n">
        <v>0</v>
      </c>
      <c r="N561" s="49" t="n">
        <v>0</v>
      </c>
      <c r="O561" s="49" t="n">
        <v>0</v>
      </c>
      <c r="P561" s="49" t="n">
        <v>0</v>
      </c>
      <c r="Q561" s="49" t="n">
        <v>0</v>
      </c>
      <c r="R561" s="49" t="n">
        <v>0</v>
      </c>
      <c r="S561" s="50" t="n">
        <v>0</v>
      </c>
      <c r="T561" s="50" t="n">
        <v>0</v>
      </c>
      <c r="U561" s="50" t="n">
        <v>0</v>
      </c>
      <c r="V561" s="50" t="n">
        <v>0</v>
      </c>
      <c r="W561" s="51" t="n">
        <v>0</v>
      </c>
      <c r="X561" s="51" t="n">
        <v>0</v>
      </c>
      <c r="Y561" s="51" t="n">
        <v>0</v>
      </c>
      <c r="Z561" s="51" t="n">
        <v>0</v>
      </c>
      <c r="AA561" s="52" t="n">
        <v>0</v>
      </c>
      <c r="AB561" s="52" t="n">
        <v>0</v>
      </c>
      <c r="AC561" s="52" t="n">
        <v>0</v>
      </c>
      <c r="AD561" s="52" t="n">
        <v>0</v>
      </c>
      <c r="AE561" s="52" t="n">
        <v>0</v>
      </c>
      <c r="AF561" s="52" t="n">
        <v>0</v>
      </c>
      <c r="AG561" s="52" t="n">
        <v>0</v>
      </c>
      <c r="AH561" s="52" t="n">
        <v>0</v>
      </c>
      <c r="AI561" s="52" t="n">
        <v>0</v>
      </c>
      <c r="AJ561" s="52" t="n">
        <v>0</v>
      </c>
      <c r="AK561" s="52" t="n">
        <v>0</v>
      </c>
      <c r="AL561" s="52" t="n">
        <v>0</v>
      </c>
      <c r="AM561" s="53" t="n">
        <v>0</v>
      </c>
      <c r="AN561" s="53" t="n">
        <v>0</v>
      </c>
      <c r="AO561" s="53" t="n">
        <v>0</v>
      </c>
      <c r="AP561" s="53" t="n">
        <v>0</v>
      </c>
      <c r="AQ561" s="52" t="n">
        <v>0</v>
      </c>
      <c r="AR561" s="52" t="n">
        <v>0</v>
      </c>
      <c r="AS561" s="52" t="n">
        <v>0</v>
      </c>
      <c r="AT561" s="52" t="n">
        <v>0</v>
      </c>
      <c r="AU561" s="53" t="n">
        <v>0</v>
      </c>
      <c r="AV561" s="53" t="n">
        <v>0</v>
      </c>
      <c r="AW561" s="53" t="n">
        <v>0</v>
      </c>
      <c r="AX561" s="53" t="n">
        <v>0</v>
      </c>
      <c r="AY561" s="52" t="n">
        <v>0</v>
      </c>
      <c r="AZ561" s="52" t="n">
        <v>0</v>
      </c>
      <c r="BA561" s="52" t="n">
        <v>0</v>
      </c>
      <c r="BB561" s="52" t="n">
        <v>0</v>
      </c>
      <c r="BC561" s="51" t="n">
        <v>0</v>
      </c>
      <c r="BD561" s="51" t="n">
        <v>0</v>
      </c>
      <c r="BE561" s="51" t="n">
        <v>0</v>
      </c>
      <c r="BF561" s="51" t="n">
        <v>0</v>
      </c>
    </row>
    <row r="562">
      <c r="A562">
        <f>HYPERLINK("https://www.walmart.com/ip/5162289653", "5162289653")</f>
        <v/>
      </c>
      <c r="B562" t="inlineStr">
        <is>
          <t>Tirrinia 2 Bottle Wine Gift Tote Carrier, Leakproof and Insulated with large pockets Wine Cooler Bag for Travel, Wine Tasting, Party, Dinner, Great Christmas Gift for Wine Lover, Grey</t>
        </is>
      </c>
      <c r="C562" t="inlineStr">
        <is>
          <t>1TRWB222GY</t>
        </is>
      </c>
      <c r="D562" t="inlineStr">
        <is>
          <t>Wine Totes, Bags &amp; Backpacks</t>
        </is>
      </c>
      <c r="E562" t="inlineStr">
        <is>
          <t>Tirrinia</t>
        </is>
      </c>
      <c r="G562" s="48" t="n">
        <v>0</v>
      </c>
      <c r="H562" s="48" t="n">
        <v>0</v>
      </c>
      <c r="I562" s="48" t="n">
        <v>0</v>
      </c>
      <c r="J562" s="48" t="n">
        <v>0</v>
      </c>
      <c r="K562" s="49" t="n">
        <v>0</v>
      </c>
      <c r="L562" s="49" t="n">
        <v>0</v>
      </c>
      <c r="M562" s="49" t="n">
        <v>0</v>
      </c>
      <c r="N562" s="49" t="n">
        <v>0</v>
      </c>
      <c r="O562" s="49" t="n">
        <v>0</v>
      </c>
      <c r="P562" s="49" t="n">
        <v>0</v>
      </c>
      <c r="Q562" s="49" t="n">
        <v>0</v>
      </c>
      <c r="R562" s="49" t="n">
        <v>0</v>
      </c>
      <c r="S562" s="50" t="n">
        <v>0</v>
      </c>
      <c r="T562" s="50" t="n">
        <v>0</v>
      </c>
      <c r="U562" s="50" t="n">
        <v>0</v>
      </c>
      <c r="V562" s="50" t="n">
        <v>0</v>
      </c>
      <c r="W562" s="51" t="n">
        <v>5</v>
      </c>
      <c r="X562" s="51" t="n">
        <v>1</v>
      </c>
      <c r="Y562" s="51" t="n">
        <v>1</v>
      </c>
      <c r="Z562" s="51" t="n">
        <v>0</v>
      </c>
      <c r="AA562" s="52" t="n">
        <v>2.08</v>
      </c>
      <c r="AB562" s="52" t="n">
        <v>0.41</v>
      </c>
      <c r="AC562" s="52" t="n">
        <v>0.41</v>
      </c>
      <c r="AD562" s="52" t="n">
        <v>0</v>
      </c>
      <c r="AE562" s="52" t="n">
        <v>0</v>
      </c>
      <c r="AF562" s="52" t="n">
        <v>0</v>
      </c>
      <c r="AG562" s="52" t="n">
        <v>0</v>
      </c>
      <c r="AH562" s="52" t="n">
        <v>0</v>
      </c>
      <c r="AI562" s="52" t="n">
        <v>0</v>
      </c>
      <c r="AJ562" s="52" t="n">
        <v>0</v>
      </c>
      <c r="AK562" s="52" t="n">
        <v>0</v>
      </c>
      <c r="AL562" s="52" t="n">
        <v>0</v>
      </c>
      <c r="AM562" s="53" t="n">
        <v>0.0028</v>
      </c>
      <c r="AN562" s="53" t="n">
        <v>0.001</v>
      </c>
      <c r="AO562" s="53" t="n">
        <v>0.0015</v>
      </c>
      <c r="AP562" s="53" t="n">
        <v>0</v>
      </c>
      <c r="AQ562" s="52" t="n">
        <v>0.416</v>
      </c>
      <c r="AR562" s="52" t="n">
        <v>0.41</v>
      </c>
      <c r="AS562" s="52" t="n">
        <v>0.41</v>
      </c>
      <c r="AT562" s="52" t="n">
        <v>0</v>
      </c>
      <c r="AU562" s="53" t="n">
        <v>0</v>
      </c>
      <c r="AV562" s="53" t="n">
        <v>0</v>
      </c>
      <c r="AW562" s="53" t="n">
        <v>0</v>
      </c>
      <c r="AX562" s="53" t="n">
        <v>0</v>
      </c>
      <c r="AY562" s="52" t="n">
        <v>0</v>
      </c>
      <c r="AZ562" s="52" t="n">
        <v>0</v>
      </c>
      <c r="BA562" s="52" t="n">
        <v>0</v>
      </c>
      <c r="BB562" s="52" t="n">
        <v>0</v>
      </c>
      <c r="BC562" s="51" t="n">
        <v>1761</v>
      </c>
      <c r="BD562" s="51" t="n">
        <v>1051</v>
      </c>
      <c r="BE562" s="51" t="n">
        <v>680</v>
      </c>
      <c r="BF562" s="51" t="n">
        <v>589</v>
      </c>
    </row>
    <row r="563">
      <c r="A563">
        <f>HYPERLINK("https://www.walmart.com/ip/516249825", "516249825")</f>
        <v/>
      </c>
      <c r="B563" t="inlineStr">
        <is>
          <t>Pawse Pet Carrier Foldable Backpack for Small Cats Dogs And Puppies Upto 18 LBS, Airline-Approved Two-Sided Entry Padded Back Support Travel Carrier for Hiking, Walking, Cycling &amp; Outdoor</t>
        </is>
      </c>
      <c r="C563" t="inlineStr">
        <is>
          <t>1TRPB200NV</t>
        </is>
      </c>
      <c r="D563" t="inlineStr">
        <is>
          <t>Pet Carriers</t>
        </is>
      </c>
      <c r="E563" t="inlineStr">
        <is>
          <t>Kato</t>
        </is>
      </c>
      <c r="F563" t="inlineStr">
        <is>
          <t>Optimized,WFS,WFS Item</t>
        </is>
      </c>
      <c r="G563" s="48" t="n">
        <v>0</v>
      </c>
      <c r="H563" s="48" t="n">
        <v>0</v>
      </c>
      <c r="I563" s="48" t="n">
        <v>0</v>
      </c>
      <c r="J563" s="48" t="n">
        <v>0</v>
      </c>
      <c r="K563" s="49" t="n">
        <v>0</v>
      </c>
      <c r="L563" s="49" t="n">
        <v>0</v>
      </c>
      <c r="M563" s="49" t="n">
        <v>0</v>
      </c>
      <c r="N563" s="49" t="n">
        <v>0</v>
      </c>
      <c r="O563" s="49" t="n">
        <v>0</v>
      </c>
      <c r="P563" s="49" t="n">
        <v>0</v>
      </c>
      <c r="Q563" s="49" t="n">
        <v>0</v>
      </c>
      <c r="R563" s="49" t="n">
        <v>0</v>
      </c>
      <c r="S563" s="50" t="n">
        <v>0</v>
      </c>
      <c r="T563" s="50" t="n">
        <v>0</v>
      </c>
      <c r="U563" s="50" t="n">
        <v>0</v>
      </c>
      <c r="V563" s="50" t="n">
        <v>0</v>
      </c>
      <c r="W563" s="51" t="n">
        <v>0</v>
      </c>
      <c r="X563" s="51" t="n">
        <v>0</v>
      </c>
      <c r="Y563" s="51" t="n">
        <v>0</v>
      </c>
      <c r="Z563" s="51" t="n">
        <v>0</v>
      </c>
      <c r="AA563" s="52" t="n">
        <v>0</v>
      </c>
      <c r="AB563" s="52" t="n">
        <v>0</v>
      </c>
      <c r="AC563" s="52" t="n">
        <v>0</v>
      </c>
      <c r="AD563" s="52" t="n">
        <v>0</v>
      </c>
      <c r="AE563" s="52" t="n">
        <v>0</v>
      </c>
      <c r="AF563" s="52" t="n">
        <v>0</v>
      </c>
      <c r="AG563" s="52" t="n">
        <v>0</v>
      </c>
      <c r="AH563" s="52" t="n">
        <v>0</v>
      </c>
      <c r="AI563" s="52" t="n">
        <v>0</v>
      </c>
      <c r="AJ563" s="52" t="n">
        <v>0</v>
      </c>
      <c r="AK563" s="52" t="n">
        <v>0</v>
      </c>
      <c r="AL563" s="52" t="n">
        <v>0</v>
      </c>
      <c r="AM563" s="53" t="n">
        <v>0</v>
      </c>
      <c r="AN563" s="53" t="n">
        <v>0</v>
      </c>
      <c r="AO563" s="53" t="n">
        <v>0</v>
      </c>
      <c r="AP563" s="53" t="n">
        <v>0</v>
      </c>
      <c r="AQ563" s="52" t="n">
        <v>0</v>
      </c>
      <c r="AR563" s="52" t="n">
        <v>0</v>
      </c>
      <c r="AS563" s="52" t="n">
        <v>0</v>
      </c>
      <c r="AT563" s="52" t="n">
        <v>0</v>
      </c>
      <c r="AU563" s="53" t="n">
        <v>0</v>
      </c>
      <c r="AV563" s="53" t="n">
        <v>0</v>
      </c>
      <c r="AW563" s="53" t="n">
        <v>0</v>
      </c>
      <c r="AX563" s="53" t="n">
        <v>0</v>
      </c>
      <c r="AY563" s="52" t="n">
        <v>0</v>
      </c>
      <c r="AZ563" s="52" t="n">
        <v>0</v>
      </c>
      <c r="BA563" s="52" t="n">
        <v>0</v>
      </c>
      <c r="BB563" s="52" t="n">
        <v>0</v>
      </c>
      <c r="BC563" s="51" t="n">
        <v>0</v>
      </c>
      <c r="BD563" s="51" t="n">
        <v>0</v>
      </c>
      <c r="BE563" s="51" t="n">
        <v>0</v>
      </c>
      <c r="BF563" s="51" t="n">
        <v>0</v>
      </c>
    </row>
    <row r="564">
      <c r="A564">
        <f>HYPERLINK("https://www.walmart.com/ip/516890359", "516890359")</f>
        <v/>
      </c>
      <c r="B564" t="inlineStr">
        <is>
          <t>Kato Drying Rack Wine Glass Holder and Wooden Wine Rack Countertop, Hook Stand Organizer Tray with a Free Wooden Corkscrew Opener</t>
        </is>
      </c>
      <c r="C564" t="inlineStr">
        <is>
          <t>1KTWR160</t>
        </is>
      </c>
      <c r="D564" t="inlineStr">
        <is>
          <t>Wine Racks</t>
        </is>
      </c>
      <c r="E564" t="inlineStr">
        <is>
          <t>Kato</t>
        </is>
      </c>
      <c r="F564" t="inlineStr">
        <is>
          <t>Wine,Christmas,WFS,Wine WFS,Valentine,WFS Item</t>
        </is>
      </c>
      <c r="G564" s="48" t="n">
        <v>0</v>
      </c>
      <c r="H564" s="48" t="n">
        <v>0</v>
      </c>
      <c r="I564" s="48" t="n">
        <v>0</v>
      </c>
      <c r="J564" s="48" t="n">
        <v>0</v>
      </c>
      <c r="K564" s="49" t="n">
        <v>0</v>
      </c>
      <c r="L564" s="49" t="n">
        <v>0</v>
      </c>
      <c r="M564" s="49" t="n">
        <v>0</v>
      </c>
      <c r="N564" s="49" t="n">
        <v>0</v>
      </c>
      <c r="O564" s="49" t="n">
        <v>0</v>
      </c>
      <c r="P564" s="49" t="n">
        <v>0</v>
      </c>
      <c r="Q564" s="49" t="n">
        <v>0</v>
      </c>
      <c r="R564" s="49" t="n">
        <v>0</v>
      </c>
      <c r="S564" s="50" t="n">
        <v>0</v>
      </c>
      <c r="T564" s="50" t="n">
        <v>0</v>
      </c>
      <c r="U564" s="50" t="n">
        <v>0</v>
      </c>
      <c r="V564" s="50" t="n">
        <v>0</v>
      </c>
      <c r="W564" s="51" t="n">
        <v>0</v>
      </c>
      <c r="X564" s="51" t="n">
        <v>0</v>
      </c>
      <c r="Y564" s="51" t="n">
        <v>0</v>
      </c>
      <c r="Z564" s="51" t="n">
        <v>0</v>
      </c>
      <c r="AA564" s="52" t="n">
        <v>0</v>
      </c>
      <c r="AB564" s="52" t="n">
        <v>0</v>
      </c>
      <c r="AC564" s="52" t="n">
        <v>0</v>
      </c>
      <c r="AD564" s="52" t="n">
        <v>0</v>
      </c>
      <c r="AE564" s="52" t="n">
        <v>0</v>
      </c>
      <c r="AF564" s="52" t="n">
        <v>0</v>
      </c>
      <c r="AG564" s="52" t="n">
        <v>0</v>
      </c>
      <c r="AH564" s="52" t="n">
        <v>0</v>
      </c>
      <c r="AI564" s="52" t="n">
        <v>0</v>
      </c>
      <c r="AJ564" s="52" t="n">
        <v>0</v>
      </c>
      <c r="AK564" s="52" t="n">
        <v>0</v>
      </c>
      <c r="AL564" s="52" t="n">
        <v>0</v>
      </c>
      <c r="AM564" s="53" t="n">
        <v>0</v>
      </c>
      <c r="AN564" s="53" t="n">
        <v>0</v>
      </c>
      <c r="AO564" s="53" t="n">
        <v>0</v>
      </c>
      <c r="AP564" s="53" t="n">
        <v>0</v>
      </c>
      <c r="AQ564" s="52" t="n">
        <v>0</v>
      </c>
      <c r="AR564" s="52" t="n">
        <v>0</v>
      </c>
      <c r="AS564" s="52" t="n">
        <v>0</v>
      </c>
      <c r="AT564" s="52" t="n">
        <v>0</v>
      </c>
      <c r="AU564" s="53" t="n">
        <v>0</v>
      </c>
      <c r="AV564" s="53" t="n">
        <v>0</v>
      </c>
      <c r="AW564" s="53" t="n">
        <v>0</v>
      </c>
      <c r="AX564" s="53" t="n">
        <v>0</v>
      </c>
      <c r="AY564" s="52" t="n">
        <v>0</v>
      </c>
      <c r="AZ564" s="52" t="n">
        <v>0</v>
      </c>
      <c r="BA564" s="52" t="n">
        <v>0</v>
      </c>
      <c r="BB564" s="52" t="n">
        <v>0</v>
      </c>
      <c r="BC564" s="51" t="n">
        <v>0</v>
      </c>
      <c r="BD564" s="51" t="n">
        <v>0</v>
      </c>
      <c r="BE564" s="51" t="n">
        <v>0</v>
      </c>
      <c r="BF564" s="51" t="n">
        <v>0</v>
      </c>
    </row>
    <row r="565">
      <c r="A565">
        <f>HYPERLINK("https://www.walmart.com/ip/5185673782", "5185673782")</f>
        <v/>
      </c>
      <c r="B565" t="inlineStr">
        <is>
          <t>Tirrinia 12pcs Wine Gift Bags, 4 Designs Silk Handles Recyclable Paper Wine Bottle Bags, Bags for Gifting, Parties, and Events</t>
        </is>
      </c>
      <c r="C565" t="inlineStr">
        <is>
          <t>1TRWGB401BK-12</t>
        </is>
      </c>
      <c r="D565" t="inlineStr">
        <is>
          <t>Wine Totes, Bags &amp; Backpacks</t>
        </is>
      </c>
      <c r="E565" t="inlineStr">
        <is>
          <t>Tirrinia</t>
        </is>
      </c>
      <c r="G565" s="48" t="n">
        <v>0</v>
      </c>
      <c r="H565" s="48" t="n">
        <v>0</v>
      </c>
      <c r="I565" s="48" t="n">
        <v>0</v>
      </c>
      <c r="J565" s="48" t="n">
        <v>0</v>
      </c>
      <c r="K565" s="49" t="n">
        <v>0</v>
      </c>
      <c r="L565" s="49" t="n">
        <v>0</v>
      </c>
      <c r="M565" s="49" t="n">
        <v>0</v>
      </c>
      <c r="N565" s="49" t="n">
        <v>0</v>
      </c>
      <c r="O565" s="49" t="n">
        <v>0</v>
      </c>
      <c r="P565" s="49" t="n">
        <v>0</v>
      </c>
      <c r="Q565" s="49" t="n">
        <v>0</v>
      </c>
      <c r="R565" s="49" t="n">
        <v>0</v>
      </c>
      <c r="S565" s="50" t="n">
        <v>0</v>
      </c>
      <c r="T565" s="50" t="n">
        <v>0</v>
      </c>
      <c r="U565" s="50" t="n">
        <v>0</v>
      </c>
      <c r="V565" s="50" t="n">
        <v>0</v>
      </c>
      <c r="W565" s="51" t="n">
        <v>0</v>
      </c>
      <c r="X565" s="51" t="n">
        <v>0</v>
      </c>
      <c r="Y565" s="51" t="n">
        <v>0</v>
      </c>
      <c r="Z565" s="51" t="n">
        <v>0</v>
      </c>
      <c r="AA565" s="52" t="n">
        <v>0</v>
      </c>
      <c r="AB565" s="52" t="n">
        <v>0</v>
      </c>
      <c r="AC565" s="52" t="n">
        <v>0</v>
      </c>
      <c r="AD565" s="52" t="n">
        <v>0</v>
      </c>
      <c r="AE565" s="52" t="n">
        <v>0</v>
      </c>
      <c r="AF565" s="52" t="n">
        <v>0</v>
      </c>
      <c r="AG565" s="52" t="n">
        <v>0</v>
      </c>
      <c r="AH565" s="52" t="n">
        <v>0</v>
      </c>
      <c r="AI565" s="52" t="n">
        <v>0</v>
      </c>
      <c r="AJ565" s="52" t="n">
        <v>0</v>
      </c>
      <c r="AK565" s="52" t="n">
        <v>0</v>
      </c>
      <c r="AL565" s="52" t="n">
        <v>0</v>
      </c>
      <c r="AM565" s="53" t="n">
        <v>0</v>
      </c>
      <c r="AN565" s="53" t="n">
        <v>0</v>
      </c>
      <c r="AO565" s="53" t="n">
        <v>0</v>
      </c>
      <c r="AP565" s="53" t="n">
        <v>0</v>
      </c>
      <c r="AQ565" s="52" t="n">
        <v>0</v>
      </c>
      <c r="AR565" s="52" t="n">
        <v>0</v>
      </c>
      <c r="AS565" s="52" t="n">
        <v>0</v>
      </c>
      <c r="AT565" s="52" t="n">
        <v>0</v>
      </c>
      <c r="AU565" s="53" t="n">
        <v>0</v>
      </c>
      <c r="AV565" s="53" t="n">
        <v>0</v>
      </c>
      <c r="AW565" s="53" t="n">
        <v>0</v>
      </c>
      <c r="AX565" s="53" t="n">
        <v>0</v>
      </c>
      <c r="AY565" s="52" t="n">
        <v>0</v>
      </c>
      <c r="AZ565" s="52" t="n">
        <v>0</v>
      </c>
      <c r="BA565" s="52" t="n">
        <v>0</v>
      </c>
      <c r="BB565" s="52" t="n">
        <v>0</v>
      </c>
      <c r="BC565" s="51" t="n">
        <v>0</v>
      </c>
      <c r="BD565" s="51" t="n">
        <v>0</v>
      </c>
      <c r="BE565" s="51" t="n">
        <v>0</v>
      </c>
      <c r="BF565" s="51" t="n">
        <v>0</v>
      </c>
    </row>
    <row r="566">
      <c r="A566">
        <f>HYPERLINK("https://www.walmart.com/ip/5186372072", "5186372072")</f>
        <v/>
      </c>
      <c r="B566" t="inlineStr">
        <is>
          <t>Lee Toiletry Bag for Men, PU Leather Travel Dopp Kit, Water-Resistant Men's Shaving Kit Bathroom Organizer, Gifts for Men</t>
        </is>
      </c>
      <c r="C566" t="inlineStr">
        <is>
          <t>1LETTB14182BK</t>
        </is>
      </c>
      <c r="D566" t="inlineStr">
        <is>
          <t>Toiletry Kits &amp; Bags</t>
        </is>
      </c>
      <c r="E566" t="inlineStr">
        <is>
          <t>Lee</t>
        </is>
      </c>
      <c r="G566" s="48" t="n">
        <v>0</v>
      </c>
      <c r="H566" s="48" t="n">
        <v>0</v>
      </c>
      <c r="I566" s="48" t="n">
        <v>0</v>
      </c>
      <c r="J566" s="48" t="n">
        <v>0</v>
      </c>
      <c r="K566" s="49" t="n">
        <v>0</v>
      </c>
      <c r="L566" s="49" t="n">
        <v>0</v>
      </c>
      <c r="M566" s="49" t="n">
        <v>0</v>
      </c>
      <c r="N566" s="49" t="n">
        <v>0</v>
      </c>
      <c r="O566" s="49" t="n">
        <v>0</v>
      </c>
      <c r="P566" s="49" t="n">
        <v>0</v>
      </c>
      <c r="Q566" s="49" t="n">
        <v>0</v>
      </c>
      <c r="R566" s="49" t="n">
        <v>0</v>
      </c>
      <c r="S566" s="50" t="n">
        <v>0</v>
      </c>
      <c r="T566" s="50" t="n">
        <v>0</v>
      </c>
      <c r="U566" s="50" t="n">
        <v>0</v>
      </c>
      <c r="V566" s="50" t="n">
        <v>0</v>
      </c>
      <c r="W566" s="51" t="n">
        <v>0</v>
      </c>
      <c r="X566" s="51" t="n">
        <v>0</v>
      </c>
      <c r="Y566" s="51" t="n">
        <v>0</v>
      </c>
      <c r="Z566" s="51" t="n">
        <v>0</v>
      </c>
      <c r="AA566" s="52" t="n">
        <v>0</v>
      </c>
      <c r="AB566" s="52" t="n">
        <v>0</v>
      </c>
      <c r="AC566" s="52" t="n">
        <v>0</v>
      </c>
      <c r="AD566" s="52" t="n">
        <v>0</v>
      </c>
      <c r="AE566" s="52" t="n">
        <v>0</v>
      </c>
      <c r="AF566" s="52" t="n">
        <v>0</v>
      </c>
      <c r="AG566" s="52" t="n">
        <v>0</v>
      </c>
      <c r="AH566" s="52" t="n">
        <v>0</v>
      </c>
      <c r="AI566" s="52" t="n">
        <v>0</v>
      </c>
      <c r="AJ566" s="52" t="n">
        <v>0</v>
      </c>
      <c r="AK566" s="52" t="n">
        <v>0</v>
      </c>
      <c r="AL566" s="52" t="n">
        <v>0</v>
      </c>
      <c r="AM566" s="53" t="n">
        <v>0</v>
      </c>
      <c r="AN566" s="53" t="n">
        <v>0</v>
      </c>
      <c r="AO566" s="53" t="n">
        <v>0</v>
      </c>
      <c r="AP566" s="53" t="n">
        <v>0</v>
      </c>
      <c r="AQ566" s="52" t="n">
        <v>0</v>
      </c>
      <c r="AR566" s="52" t="n">
        <v>0</v>
      </c>
      <c r="AS566" s="52" t="n">
        <v>0</v>
      </c>
      <c r="AT566" s="52" t="n">
        <v>0</v>
      </c>
      <c r="AU566" s="53" t="n">
        <v>0</v>
      </c>
      <c r="AV566" s="53" t="n">
        <v>0</v>
      </c>
      <c r="AW566" s="53" t="n">
        <v>0</v>
      </c>
      <c r="AX566" s="53" t="n">
        <v>0</v>
      </c>
      <c r="AY566" s="52" t="n">
        <v>0</v>
      </c>
      <c r="AZ566" s="52" t="n">
        <v>0</v>
      </c>
      <c r="BA566" s="52" t="n">
        <v>0</v>
      </c>
      <c r="BB566" s="52" t="n">
        <v>0</v>
      </c>
      <c r="BC566" s="51" t="n">
        <v>0</v>
      </c>
      <c r="BD566" s="51" t="n">
        <v>0</v>
      </c>
      <c r="BE566" s="51" t="n">
        <v>0</v>
      </c>
      <c r="BF566" s="51" t="n">
        <v>0</v>
      </c>
    </row>
    <row r="567">
      <c r="A567">
        <f>HYPERLINK("https://www.walmart.com/ip/5190646041", "5190646041")</f>
        <v/>
      </c>
      <c r="B567" t="inlineStr">
        <is>
          <t>Dickies Basic Insulated Lunch Bag for Work, Thermal Reusable Office Lunch Box for Men, Women (Purple)</t>
        </is>
      </c>
      <c r="C567" t="inlineStr">
        <is>
          <t>DK-LUNCH-BASICBOX-PINK</t>
        </is>
      </c>
      <c r="D567" t="inlineStr">
        <is>
          <t>Reusable Lunch Bags &amp; Boxes</t>
        </is>
      </c>
      <c r="E567" t="inlineStr">
        <is>
          <t>Dickies</t>
        </is>
      </c>
      <c r="G567" s="48" t="n">
        <v>0</v>
      </c>
      <c r="H567" s="48" t="n">
        <v>0</v>
      </c>
      <c r="I567" s="48" t="n">
        <v>0</v>
      </c>
      <c r="J567" s="48" t="n">
        <v>0</v>
      </c>
      <c r="K567" s="49" t="n">
        <v>0</v>
      </c>
      <c r="L567" s="49" t="n">
        <v>0</v>
      </c>
      <c r="M567" s="49" t="n">
        <v>0</v>
      </c>
      <c r="N567" s="49" t="n">
        <v>0</v>
      </c>
      <c r="O567" s="49" t="n">
        <v>0</v>
      </c>
      <c r="P567" s="49" t="n">
        <v>0</v>
      </c>
      <c r="Q567" s="49" t="n">
        <v>0</v>
      </c>
      <c r="R567" s="49" t="n">
        <v>0</v>
      </c>
      <c r="S567" s="50" t="n">
        <v>0</v>
      </c>
      <c r="T567" s="50" t="n">
        <v>0</v>
      </c>
      <c r="U567" s="50" t="n">
        <v>0</v>
      </c>
      <c r="V567" s="50" t="n">
        <v>0</v>
      </c>
      <c r="W567" s="51" t="n">
        <v>0</v>
      </c>
      <c r="X567" s="51" t="n">
        <v>0</v>
      </c>
      <c r="Y567" s="51" t="n">
        <v>0</v>
      </c>
      <c r="Z567" s="51" t="n">
        <v>0</v>
      </c>
      <c r="AA567" s="52" t="n">
        <v>0</v>
      </c>
      <c r="AB567" s="52" t="n">
        <v>0</v>
      </c>
      <c r="AC567" s="52" t="n">
        <v>0</v>
      </c>
      <c r="AD567" s="52" t="n">
        <v>0</v>
      </c>
      <c r="AE567" s="52" t="n">
        <v>0</v>
      </c>
      <c r="AF567" s="52" t="n">
        <v>0</v>
      </c>
      <c r="AG567" s="52" t="n">
        <v>0</v>
      </c>
      <c r="AH567" s="52" t="n">
        <v>0</v>
      </c>
      <c r="AI567" s="52" t="n">
        <v>0</v>
      </c>
      <c r="AJ567" s="52" t="n">
        <v>0</v>
      </c>
      <c r="AK567" s="52" t="n">
        <v>0</v>
      </c>
      <c r="AL567" s="52" t="n">
        <v>0</v>
      </c>
      <c r="AM567" s="53" t="n">
        <v>0</v>
      </c>
      <c r="AN567" s="53" t="n">
        <v>0</v>
      </c>
      <c r="AO567" s="53" t="n">
        <v>0</v>
      </c>
      <c r="AP567" s="53" t="n">
        <v>0</v>
      </c>
      <c r="AQ567" s="52" t="n">
        <v>0</v>
      </c>
      <c r="AR567" s="52" t="n">
        <v>0</v>
      </c>
      <c r="AS567" s="52" t="n">
        <v>0</v>
      </c>
      <c r="AT567" s="52" t="n">
        <v>0</v>
      </c>
      <c r="AU567" s="53" t="n">
        <v>0</v>
      </c>
      <c r="AV567" s="53" t="n">
        <v>0</v>
      </c>
      <c r="AW567" s="53" t="n">
        <v>0</v>
      </c>
      <c r="AX567" s="53" t="n">
        <v>0</v>
      </c>
      <c r="AY567" s="52" t="n">
        <v>0</v>
      </c>
      <c r="AZ567" s="52" t="n">
        <v>0</v>
      </c>
      <c r="BA567" s="52" t="n">
        <v>0</v>
      </c>
      <c r="BB567" s="52" t="n">
        <v>0</v>
      </c>
      <c r="BC567" s="51" t="n">
        <v>0</v>
      </c>
      <c r="BD567" s="51" t="n">
        <v>0</v>
      </c>
      <c r="BE567" s="51" t="n">
        <v>0</v>
      </c>
      <c r="BF567" s="51" t="n">
        <v>0</v>
      </c>
    </row>
    <row r="568">
      <c r="A568">
        <f>HYPERLINK("https://www.walmart.com/ip/519184826", "519184826")</f>
        <v/>
      </c>
      <c r="B568" t="inlineStr">
        <is>
          <t>Catalonia Mermaid Tail Blanket, Adult Mermaid Blanket with Anti-Slip Neck Strap, Silky Hand Knitted Sleeping Blanket for Adults All Season Sleeping Bag Multi-Colors 66.5"x22.5" Green</t>
        </is>
      </c>
      <c r="C568" t="inlineStr">
        <is>
          <t>1CTMM100GN</t>
        </is>
      </c>
      <c r="D568" t="inlineStr">
        <is>
          <t>Throws</t>
        </is>
      </c>
      <c r="E568" t="inlineStr">
        <is>
          <t>Catalonia</t>
        </is>
      </c>
      <c r="F568" t="inlineStr">
        <is>
          <t>WFS,WFS Item</t>
        </is>
      </c>
      <c r="G568" s="48" t="n">
        <v>0</v>
      </c>
      <c r="H568" s="48" t="n">
        <v>0</v>
      </c>
      <c r="I568" s="48" t="n">
        <v>0</v>
      </c>
      <c r="J568" s="48" t="n">
        <v>0</v>
      </c>
      <c r="K568" s="49" t="n">
        <v>0</v>
      </c>
      <c r="L568" s="49" t="n">
        <v>0</v>
      </c>
      <c r="M568" s="49" t="n">
        <v>0</v>
      </c>
      <c r="N568" s="49" t="n">
        <v>0</v>
      </c>
      <c r="O568" s="49" t="n">
        <v>0</v>
      </c>
      <c r="P568" s="49" t="n">
        <v>0</v>
      </c>
      <c r="Q568" s="49" t="n">
        <v>0</v>
      </c>
      <c r="R568" s="49" t="n">
        <v>0</v>
      </c>
      <c r="S568" s="50" t="n">
        <v>0</v>
      </c>
      <c r="T568" s="50" t="n">
        <v>0</v>
      </c>
      <c r="U568" s="50" t="n">
        <v>0</v>
      </c>
      <c r="V568" s="50" t="n">
        <v>0</v>
      </c>
      <c r="W568" s="51" t="n">
        <v>0</v>
      </c>
      <c r="X568" s="51" t="n">
        <v>0</v>
      </c>
      <c r="Y568" s="51" t="n">
        <v>0</v>
      </c>
      <c r="Z568" s="51" t="n">
        <v>0</v>
      </c>
      <c r="AA568" s="52" t="n">
        <v>0</v>
      </c>
      <c r="AB568" s="52" t="n">
        <v>0</v>
      </c>
      <c r="AC568" s="52" t="n">
        <v>0</v>
      </c>
      <c r="AD568" s="52" t="n">
        <v>0</v>
      </c>
      <c r="AE568" s="52" t="n">
        <v>0</v>
      </c>
      <c r="AF568" s="52" t="n">
        <v>0</v>
      </c>
      <c r="AG568" s="52" t="n">
        <v>0</v>
      </c>
      <c r="AH568" s="52" t="n">
        <v>0</v>
      </c>
      <c r="AI568" s="52" t="n">
        <v>0</v>
      </c>
      <c r="AJ568" s="52" t="n">
        <v>0</v>
      </c>
      <c r="AK568" s="52" t="n">
        <v>0</v>
      </c>
      <c r="AL568" s="52" t="n">
        <v>0</v>
      </c>
      <c r="AM568" s="53" t="n">
        <v>0</v>
      </c>
      <c r="AN568" s="53" t="n">
        <v>0</v>
      </c>
      <c r="AO568" s="53" t="n">
        <v>0</v>
      </c>
      <c r="AP568" s="53" t="n">
        <v>0</v>
      </c>
      <c r="AQ568" s="52" t="n">
        <v>0</v>
      </c>
      <c r="AR568" s="52" t="n">
        <v>0</v>
      </c>
      <c r="AS568" s="52" t="n">
        <v>0</v>
      </c>
      <c r="AT568" s="52" t="n">
        <v>0</v>
      </c>
      <c r="AU568" s="53" t="n">
        <v>0</v>
      </c>
      <c r="AV568" s="53" t="n">
        <v>0</v>
      </c>
      <c r="AW568" s="53" t="n">
        <v>0</v>
      </c>
      <c r="AX568" s="53" t="n">
        <v>0</v>
      </c>
      <c r="AY568" s="52" t="n">
        <v>0</v>
      </c>
      <c r="AZ568" s="52" t="n">
        <v>0</v>
      </c>
      <c r="BA568" s="52" t="n">
        <v>0</v>
      </c>
      <c r="BB568" s="52" t="n">
        <v>0</v>
      </c>
      <c r="BC568" s="51" t="n">
        <v>0</v>
      </c>
      <c r="BD568" s="51" t="n">
        <v>0</v>
      </c>
      <c r="BE568" s="51" t="n">
        <v>0</v>
      </c>
      <c r="BF568" s="51" t="n">
        <v>0</v>
      </c>
    </row>
    <row r="569">
      <c r="A569">
        <f>HYPERLINK("https://www.walmart.com/ip/5122048897", "5122048897")</f>
        <v/>
      </c>
      <c r="B569" t="inlineStr">
        <is>
          <t>Solaris Xmas Dwarf Print Sherpa Fleece Blanket, Super Soft Warm Cozy Flannel Reversible Throw Blanket for Couch Sofa Bed, Pink, 50" x 60"</t>
        </is>
      </c>
      <c r="C569" t="inlineStr">
        <is>
          <t>1SLBF300XMASDWARFPK</t>
        </is>
      </c>
      <c r="D569" t="inlineStr">
        <is>
          <t>Throws</t>
        </is>
      </c>
      <c r="E569" t="inlineStr">
        <is>
          <t>Solaris</t>
        </is>
      </c>
      <c r="F569" t="inlineStr">
        <is>
          <t>Q2-Target,Coupon_Discount</t>
        </is>
      </c>
      <c r="G569" s="48" t="n">
        <v>0</v>
      </c>
      <c r="H569" s="48" t="n">
        <v>0</v>
      </c>
      <c r="I569" s="48" t="n">
        <v>0</v>
      </c>
      <c r="J569" s="48" t="n">
        <v>0</v>
      </c>
      <c r="K569" s="49" t="n">
        <v>0</v>
      </c>
      <c r="L569" s="49" t="n">
        <v>0</v>
      </c>
      <c r="M569" s="49" t="n">
        <v>0</v>
      </c>
      <c r="N569" s="49" t="n">
        <v>0</v>
      </c>
      <c r="O569" s="49" t="n">
        <v>0</v>
      </c>
      <c r="P569" s="49" t="n">
        <v>0</v>
      </c>
      <c r="Q569" s="49" t="n">
        <v>0</v>
      </c>
      <c r="R569" s="49" t="n">
        <v>0</v>
      </c>
      <c r="S569" s="50" t="n">
        <v>0</v>
      </c>
      <c r="T569" s="50" t="n">
        <v>0</v>
      </c>
      <c r="U569" s="50" t="n">
        <v>0</v>
      </c>
      <c r="V569" s="50" t="n">
        <v>0</v>
      </c>
      <c r="W569" s="51" t="n">
        <v>0</v>
      </c>
      <c r="X569" s="51" t="n">
        <v>0</v>
      </c>
      <c r="Y569" s="51" t="n">
        <v>0</v>
      </c>
      <c r="Z569" s="51" t="n">
        <v>0</v>
      </c>
      <c r="AA569" s="52" t="n">
        <v>0</v>
      </c>
      <c r="AB569" s="52" t="n">
        <v>0</v>
      </c>
      <c r="AC569" s="52" t="n">
        <v>0</v>
      </c>
      <c r="AD569" s="52" t="n">
        <v>0</v>
      </c>
      <c r="AE569" s="52" t="n">
        <v>0</v>
      </c>
      <c r="AF569" s="52" t="n">
        <v>0</v>
      </c>
      <c r="AG569" s="52" t="n">
        <v>0</v>
      </c>
      <c r="AH569" s="52" t="n">
        <v>0</v>
      </c>
      <c r="AI569" s="52" t="n">
        <v>0</v>
      </c>
      <c r="AJ569" s="52" t="n">
        <v>0</v>
      </c>
      <c r="AK569" s="52" t="n">
        <v>0</v>
      </c>
      <c r="AL569" s="52" t="n">
        <v>0</v>
      </c>
      <c r="AM569" s="53" t="n">
        <v>0</v>
      </c>
      <c r="AN569" s="53" t="n">
        <v>0</v>
      </c>
      <c r="AO569" s="53" t="n">
        <v>0</v>
      </c>
      <c r="AP569" s="53" t="n">
        <v>0</v>
      </c>
      <c r="AQ569" s="52" t="n">
        <v>0</v>
      </c>
      <c r="AR569" s="52" t="n">
        <v>0</v>
      </c>
      <c r="AS569" s="52" t="n">
        <v>0</v>
      </c>
      <c r="AT569" s="52" t="n">
        <v>0</v>
      </c>
      <c r="AU569" s="53" t="n">
        <v>0</v>
      </c>
      <c r="AV569" s="53" t="n">
        <v>0</v>
      </c>
      <c r="AW569" s="53" t="n">
        <v>0</v>
      </c>
      <c r="AX569" s="53" t="n">
        <v>0</v>
      </c>
      <c r="AY569" s="52" t="n">
        <v>0</v>
      </c>
      <c r="AZ569" s="52" t="n">
        <v>0</v>
      </c>
      <c r="BA569" s="52" t="n">
        <v>0</v>
      </c>
      <c r="BB569" s="52" t="n">
        <v>0</v>
      </c>
      <c r="BC569" s="51" t="n">
        <v>0</v>
      </c>
      <c r="BD569" s="51" t="n">
        <v>0</v>
      </c>
      <c r="BE569" s="51" t="n">
        <v>0</v>
      </c>
      <c r="BF569" s="51" t="n">
        <v>0</v>
      </c>
    </row>
    <row r="570">
      <c r="A570">
        <f>HYPERLINK("https://www.walmart.com/ip/510130116", "510130116")</f>
        <v/>
      </c>
      <c r="B570" t="inlineStr">
        <is>
          <t>Sherpa Slipper Socks for Women,Winter Indoor Home Non Skid Booties</t>
        </is>
      </c>
      <c r="C570" t="inlineStr">
        <is>
          <t>1CTST200PK-2</t>
        </is>
      </c>
      <c r="D570" t="inlineStr">
        <is>
          <t>Socks</t>
        </is>
      </c>
      <c r="E570" t="inlineStr">
        <is>
          <t>Catalonia</t>
        </is>
      </c>
      <c r="F570" t="inlineStr">
        <is>
          <t>WFS,WFS Item</t>
        </is>
      </c>
      <c r="G570" s="48" t="n">
        <v>0</v>
      </c>
      <c r="H570" s="48" t="n">
        <v>0</v>
      </c>
      <c r="I570" s="48" t="n">
        <v>0</v>
      </c>
      <c r="J570" s="48" t="n">
        <v>0</v>
      </c>
      <c r="K570" s="49" t="n">
        <v>0</v>
      </c>
      <c r="L570" s="49" t="n">
        <v>0</v>
      </c>
      <c r="M570" s="49" t="n">
        <v>0</v>
      </c>
      <c r="N570" s="49" t="n">
        <v>0</v>
      </c>
      <c r="O570" s="49" t="n">
        <v>0</v>
      </c>
      <c r="P570" s="49" t="n">
        <v>0</v>
      </c>
      <c r="Q570" s="49" t="n">
        <v>0</v>
      </c>
      <c r="R570" s="49" t="n">
        <v>0</v>
      </c>
      <c r="S570" s="50" t="n">
        <v>0</v>
      </c>
      <c r="T570" s="50" t="n">
        <v>0</v>
      </c>
      <c r="U570" s="50" t="n">
        <v>0</v>
      </c>
      <c r="V570" s="50" t="n">
        <v>0</v>
      </c>
      <c r="W570" s="51" t="n">
        <v>0</v>
      </c>
      <c r="X570" s="51" t="n">
        <v>0</v>
      </c>
      <c r="Y570" s="51" t="n">
        <v>0</v>
      </c>
      <c r="Z570" s="51" t="n">
        <v>0</v>
      </c>
      <c r="AA570" s="52" t="n">
        <v>0</v>
      </c>
      <c r="AB570" s="52" t="n">
        <v>0</v>
      </c>
      <c r="AC570" s="52" t="n">
        <v>0</v>
      </c>
      <c r="AD570" s="52" t="n">
        <v>0</v>
      </c>
      <c r="AE570" s="52" t="n">
        <v>0</v>
      </c>
      <c r="AF570" s="52" t="n">
        <v>0</v>
      </c>
      <c r="AG570" s="52" t="n">
        <v>0</v>
      </c>
      <c r="AH570" s="52" t="n">
        <v>0</v>
      </c>
      <c r="AI570" s="52" t="n">
        <v>0</v>
      </c>
      <c r="AJ570" s="52" t="n">
        <v>0</v>
      </c>
      <c r="AK570" s="52" t="n">
        <v>0</v>
      </c>
      <c r="AL570" s="52" t="n">
        <v>0</v>
      </c>
      <c r="AM570" s="53" t="n">
        <v>0</v>
      </c>
      <c r="AN570" s="53" t="n">
        <v>0</v>
      </c>
      <c r="AO570" s="53" t="n">
        <v>0</v>
      </c>
      <c r="AP570" s="53" t="n">
        <v>0</v>
      </c>
      <c r="AQ570" s="52" t="n">
        <v>0</v>
      </c>
      <c r="AR570" s="52" t="n">
        <v>0</v>
      </c>
      <c r="AS570" s="52" t="n">
        <v>0</v>
      </c>
      <c r="AT570" s="52" t="n">
        <v>0</v>
      </c>
      <c r="AU570" s="53" t="n">
        <v>0</v>
      </c>
      <c r="AV570" s="53" t="n">
        <v>0</v>
      </c>
      <c r="AW570" s="53" t="n">
        <v>0</v>
      </c>
      <c r="AX570" s="53" t="n">
        <v>0</v>
      </c>
      <c r="AY570" s="52" t="n">
        <v>0</v>
      </c>
      <c r="AZ570" s="52" t="n">
        <v>0</v>
      </c>
      <c r="BA570" s="52" t="n">
        <v>0</v>
      </c>
      <c r="BB570" s="52" t="n">
        <v>0</v>
      </c>
      <c r="BC570" s="51" t="n">
        <v>0</v>
      </c>
      <c r="BD570" s="51" t="n">
        <v>0</v>
      </c>
      <c r="BE570" s="51" t="n">
        <v>0</v>
      </c>
      <c r="BF570" s="51" t="n">
        <v>0</v>
      </c>
    </row>
    <row r="571">
      <c r="A571">
        <f>HYPERLINK("https://www.walmart.com/ip/5100973684", "5100973684")</f>
        <v/>
      </c>
      <c r="B571" t="inlineStr">
        <is>
          <t>Tirrinia Women's Plush Soft Robe, Fluffy, Warm, and Fleece Sherpa Shaggy Bathrobe for Ultimate Comfort, Machine Washable, Large Size, Purple</t>
        </is>
      </c>
      <c r="C571" t="inlineStr">
        <is>
          <t>1TRRB503PP-4</t>
        </is>
      </c>
      <c r="D571" t="inlineStr">
        <is>
          <t>Sleepwear Robes &amp; Bathrobes</t>
        </is>
      </c>
      <c r="E571" t="inlineStr">
        <is>
          <t>Tirrinia</t>
        </is>
      </c>
      <c r="F571" t="inlineStr">
        <is>
          <t>Bathrobe,Coupon_Discount</t>
        </is>
      </c>
      <c r="G571" s="48" t="n">
        <v>0</v>
      </c>
      <c r="H571" s="48" t="n">
        <v>0</v>
      </c>
      <c r="I571" s="48" t="n">
        <v>0</v>
      </c>
      <c r="J571" s="48" t="n">
        <v>0</v>
      </c>
      <c r="K571" s="49" t="n">
        <v>0</v>
      </c>
      <c r="L571" s="49" t="n">
        <v>0</v>
      </c>
      <c r="M571" s="49" t="n">
        <v>0</v>
      </c>
      <c r="N571" s="49" t="n">
        <v>0</v>
      </c>
      <c r="O571" s="49" t="n">
        <v>0</v>
      </c>
      <c r="P571" s="49" t="n">
        <v>0</v>
      </c>
      <c r="Q571" s="49" t="n">
        <v>0</v>
      </c>
      <c r="R571" s="49" t="n">
        <v>0</v>
      </c>
      <c r="S571" s="50" t="n">
        <v>0</v>
      </c>
      <c r="T571" s="50" t="n">
        <v>0</v>
      </c>
      <c r="U571" s="50" t="n">
        <v>0</v>
      </c>
      <c r="V571" s="50" t="n">
        <v>0</v>
      </c>
      <c r="W571" s="51" t="n">
        <v>0</v>
      </c>
      <c r="X571" s="51" t="n">
        <v>0</v>
      </c>
      <c r="Y571" s="51" t="n">
        <v>0</v>
      </c>
      <c r="Z571" s="51" t="n">
        <v>0</v>
      </c>
      <c r="AA571" s="52" t="n">
        <v>0</v>
      </c>
      <c r="AB571" s="52" t="n">
        <v>0</v>
      </c>
      <c r="AC571" s="52" t="n">
        <v>0</v>
      </c>
      <c r="AD571" s="52" t="n">
        <v>0</v>
      </c>
      <c r="AE571" s="52" t="n">
        <v>0</v>
      </c>
      <c r="AF571" s="52" t="n">
        <v>0</v>
      </c>
      <c r="AG571" s="52" t="n">
        <v>0</v>
      </c>
      <c r="AH571" s="52" t="n">
        <v>0</v>
      </c>
      <c r="AI571" s="52" t="n">
        <v>0</v>
      </c>
      <c r="AJ571" s="52" t="n">
        <v>0</v>
      </c>
      <c r="AK571" s="52" t="n">
        <v>0</v>
      </c>
      <c r="AL571" s="52" t="n">
        <v>0</v>
      </c>
      <c r="AM571" s="53" t="n">
        <v>0</v>
      </c>
      <c r="AN571" s="53" t="n">
        <v>0</v>
      </c>
      <c r="AO571" s="53" t="n">
        <v>0</v>
      </c>
      <c r="AP571" s="53" t="n">
        <v>0</v>
      </c>
      <c r="AQ571" s="52" t="n">
        <v>0</v>
      </c>
      <c r="AR571" s="52" t="n">
        <v>0</v>
      </c>
      <c r="AS571" s="52" t="n">
        <v>0</v>
      </c>
      <c r="AT571" s="52" t="n">
        <v>0</v>
      </c>
      <c r="AU571" s="53" t="n">
        <v>0</v>
      </c>
      <c r="AV571" s="53" t="n">
        <v>0</v>
      </c>
      <c r="AW571" s="53" t="n">
        <v>0</v>
      </c>
      <c r="AX571" s="53" t="n">
        <v>0</v>
      </c>
      <c r="AY571" s="52" t="n">
        <v>0</v>
      </c>
      <c r="AZ571" s="52" t="n">
        <v>0</v>
      </c>
      <c r="BA571" s="52" t="n">
        <v>0</v>
      </c>
      <c r="BB571" s="52" t="n">
        <v>0</v>
      </c>
      <c r="BC571" s="51" t="n">
        <v>0</v>
      </c>
      <c r="BD571" s="51" t="n">
        <v>0</v>
      </c>
      <c r="BE571" s="51" t="n">
        <v>0</v>
      </c>
      <c r="BF571" s="51" t="n">
        <v>0</v>
      </c>
    </row>
    <row r="572">
      <c r="A572">
        <f>HYPERLINK("https://www.walmart.com/ip/5081404597", "5081404597")</f>
        <v/>
      </c>
      <c r="B572" t="inlineStr">
        <is>
          <t>Catalonia Wearable Blanket with Sleeves and Pocket, Cozy, Soft Fleece Blanket Robe for Adult Women and Men in Pink Christmas Dwarf Pattern, 73" x 51"</t>
        </is>
      </c>
      <c r="C572" t="inlineStr">
        <is>
          <t>1CTSN100XMASDWARFPK</t>
        </is>
      </c>
      <c r="D572" t="inlineStr">
        <is>
          <t>Throws</t>
        </is>
      </c>
      <c r="E572" t="inlineStr">
        <is>
          <t>Catalonia</t>
        </is>
      </c>
      <c r="F572" t="inlineStr">
        <is>
          <t>Q2-Target,Coupon_Discount</t>
        </is>
      </c>
      <c r="G572" s="48" t="n">
        <v>0</v>
      </c>
      <c r="H572" s="48" t="n">
        <v>0</v>
      </c>
      <c r="I572" s="48" t="n">
        <v>0</v>
      </c>
      <c r="J572" s="48" t="n">
        <v>0</v>
      </c>
      <c r="K572" s="49" t="n">
        <v>0</v>
      </c>
      <c r="L572" s="49" t="n">
        <v>0</v>
      </c>
      <c r="M572" s="49" t="n">
        <v>0</v>
      </c>
      <c r="N572" s="49" t="n">
        <v>0</v>
      </c>
      <c r="O572" s="49" t="n">
        <v>0</v>
      </c>
      <c r="P572" s="49" t="n">
        <v>0</v>
      </c>
      <c r="Q572" s="49" t="n">
        <v>0</v>
      </c>
      <c r="R572" s="49" t="n">
        <v>0</v>
      </c>
      <c r="S572" s="50" t="n">
        <v>0</v>
      </c>
      <c r="T572" s="50" t="n">
        <v>0</v>
      </c>
      <c r="U572" s="50" t="n">
        <v>0</v>
      </c>
      <c r="V572" s="50" t="n">
        <v>0</v>
      </c>
      <c r="W572" s="51" t="n">
        <v>0</v>
      </c>
      <c r="X572" s="51" t="n">
        <v>0</v>
      </c>
      <c r="Y572" s="51" t="n">
        <v>0</v>
      </c>
      <c r="Z572" s="51" t="n">
        <v>0</v>
      </c>
      <c r="AA572" s="52" t="n">
        <v>0</v>
      </c>
      <c r="AB572" s="52" t="n">
        <v>0</v>
      </c>
      <c r="AC572" s="52" t="n">
        <v>0</v>
      </c>
      <c r="AD572" s="52" t="n">
        <v>0</v>
      </c>
      <c r="AE572" s="52" t="n">
        <v>0</v>
      </c>
      <c r="AF572" s="52" t="n">
        <v>0</v>
      </c>
      <c r="AG572" s="52" t="n">
        <v>0</v>
      </c>
      <c r="AH572" s="52" t="n">
        <v>0</v>
      </c>
      <c r="AI572" s="52" t="n">
        <v>0</v>
      </c>
      <c r="AJ572" s="52" t="n">
        <v>0</v>
      </c>
      <c r="AK572" s="52" t="n">
        <v>0</v>
      </c>
      <c r="AL572" s="52" t="n">
        <v>0</v>
      </c>
      <c r="AM572" s="53" t="n">
        <v>0</v>
      </c>
      <c r="AN572" s="53" t="n">
        <v>0</v>
      </c>
      <c r="AO572" s="53" t="n">
        <v>0</v>
      </c>
      <c r="AP572" s="53" t="n">
        <v>0</v>
      </c>
      <c r="AQ572" s="52" t="n">
        <v>0</v>
      </c>
      <c r="AR572" s="52" t="n">
        <v>0</v>
      </c>
      <c r="AS572" s="52" t="n">
        <v>0</v>
      </c>
      <c r="AT572" s="52" t="n">
        <v>0</v>
      </c>
      <c r="AU572" s="53" t="n">
        <v>0</v>
      </c>
      <c r="AV572" s="53" t="n">
        <v>0</v>
      </c>
      <c r="AW572" s="53" t="n">
        <v>0</v>
      </c>
      <c r="AX572" s="53" t="n">
        <v>0</v>
      </c>
      <c r="AY572" s="52" t="n">
        <v>0</v>
      </c>
      <c r="AZ572" s="52" t="n">
        <v>0</v>
      </c>
      <c r="BA572" s="52" t="n">
        <v>0</v>
      </c>
      <c r="BB572" s="52" t="n">
        <v>0</v>
      </c>
      <c r="BC572" s="51" t="n">
        <v>0</v>
      </c>
      <c r="BD572" s="51" t="n">
        <v>0</v>
      </c>
      <c r="BE572" s="51" t="n">
        <v>0</v>
      </c>
      <c r="BF572" s="51" t="n">
        <v>0</v>
      </c>
    </row>
    <row r="573">
      <c r="A573">
        <f>HYPERLINK("https://www.walmart.com/ip/5076439930", "5076439930")</f>
        <v/>
      </c>
      <c r="B573" t="inlineStr">
        <is>
          <t>Tirrinia Women's Plush Soft Robe, Fluffy, Warm, and Fleece Sherpa Shaggy Bathrobe for Ultimate Comfort, Machine Washable, Medium Size, Pink</t>
        </is>
      </c>
      <c r="C573" t="inlineStr">
        <is>
          <t>1TRRB503PK-2</t>
        </is>
      </c>
      <c r="D573" t="inlineStr">
        <is>
          <t>Sleepwear Robes &amp; Bathrobes</t>
        </is>
      </c>
      <c r="E573" t="inlineStr">
        <is>
          <t>Tirrinia</t>
        </is>
      </c>
      <c r="F573" t="inlineStr">
        <is>
          <t>Bathrobe,Coupon_Discount</t>
        </is>
      </c>
      <c r="G573" s="48" t="n">
        <v>0</v>
      </c>
      <c r="H573" s="48" t="n">
        <v>0</v>
      </c>
      <c r="I573" s="48" t="n">
        <v>0</v>
      </c>
      <c r="J573" s="48" t="n">
        <v>0</v>
      </c>
      <c r="K573" s="49" t="n">
        <v>0</v>
      </c>
      <c r="L573" s="49" t="n">
        <v>0</v>
      </c>
      <c r="M573" s="49" t="n">
        <v>0</v>
      </c>
      <c r="N573" s="49" t="n">
        <v>0</v>
      </c>
      <c r="O573" s="49" t="n">
        <v>0</v>
      </c>
      <c r="P573" s="49" t="n">
        <v>0</v>
      </c>
      <c r="Q573" s="49" t="n">
        <v>0</v>
      </c>
      <c r="R573" s="49" t="n">
        <v>0</v>
      </c>
      <c r="S573" s="50" t="n">
        <v>0</v>
      </c>
      <c r="T573" s="50" t="n">
        <v>0</v>
      </c>
      <c r="U573" s="50" t="n">
        <v>0</v>
      </c>
      <c r="V573" s="50" t="n">
        <v>0</v>
      </c>
      <c r="W573" s="51" t="n">
        <v>0</v>
      </c>
      <c r="X573" s="51" t="n">
        <v>0</v>
      </c>
      <c r="Y573" s="51" t="n">
        <v>0</v>
      </c>
      <c r="Z573" s="51" t="n">
        <v>0</v>
      </c>
      <c r="AA573" s="52" t="n">
        <v>0</v>
      </c>
      <c r="AB573" s="52" t="n">
        <v>0</v>
      </c>
      <c r="AC573" s="52" t="n">
        <v>0</v>
      </c>
      <c r="AD573" s="52" t="n">
        <v>0</v>
      </c>
      <c r="AE573" s="52" t="n">
        <v>0</v>
      </c>
      <c r="AF573" s="52" t="n">
        <v>0</v>
      </c>
      <c r="AG573" s="52" t="n">
        <v>0</v>
      </c>
      <c r="AH573" s="52" t="n">
        <v>0</v>
      </c>
      <c r="AI573" s="52" t="n">
        <v>0</v>
      </c>
      <c r="AJ573" s="52" t="n">
        <v>0</v>
      </c>
      <c r="AK573" s="52" t="n">
        <v>0</v>
      </c>
      <c r="AL573" s="52" t="n">
        <v>0</v>
      </c>
      <c r="AM573" s="53" t="n">
        <v>0</v>
      </c>
      <c r="AN573" s="53" t="n">
        <v>0</v>
      </c>
      <c r="AO573" s="53" t="n">
        <v>0</v>
      </c>
      <c r="AP573" s="53" t="n">
        <v>0</v>
      </c>
      <c r="AQ573" s="52" t="n">
        <v>0</v>
      </c>
      <c r="AR573" s="52" t="n">
        <v>0</v>
      </c>
      <c r="AS573" s="52" t="n">
        <v>0</v>
      </c>
      <c r="AT573" s="52" t="n">
        <v>0</v>
      </c>
      <c r="AU573" s="53" t="n">
        <v>0</v>
      </c>
      <c r="AV573" s="53" t="n">
        <v>0</v>
      </c>
      <c r="AW573" s="53" t="n">
        <v>0</v>
      </c>
      <c r="AX573" s="53" t="n">
        <v>0</v>
      </c>
      <c r="AY573" s="52" t="n">
        <v>0</v>
      </c>
      <c r="AZ573" s="52" t="n">
        <v>0</v>
      </c>
      <c r="BA573" s="52" t="n">
        <v>0</v>
      </c>
      <c r="BB573" s="52" t="n">
        <v>0</v>
      </c>
      <c r="BC573" s="51" t="n">
        <v>0</v>
      </c>
      <c r="BD573" s="51" t="n">
        <v>0</v>
      </c>
      <c r="BE573" s="51" t="n">
        <v>0</v>
      </c>
      <c r="BF573" s="51" t="n">
        <v>0</v>
      </c>
    </row>
    <row r="574">
      <c r="A574">
        <f>HYPERLINK("https://www.walmart.com/ip/5077112383", "5077112383")</f>
        <v/>
      </c>
      <c r="B574" t="inlineStr">
        <is>
          <t>Catalonia Wearable Blanket with Sleeves and Pocket, Cozy, Soft Fleece Blanket Robe for Adult Women and Men, Green Santa and Deer Pattern, 73" x 51"</t>
        </is>
      </c>
      <c r="C574" t="inlineStr">
        <is>
          <t>1CTSN100SANTAANDDEERGN</t>
        </is>
      </c>
      <c r="D574" t="inlineStr">
        <is>
          <t>Throws</t>
        </is>
      </c>
      <c r="E574" t="inlineStr">
        <is>
          <t>Catalonia</t>
        </is>
      </c>
      <c r="F574" t="inlineStr">
        <is>
          <t>Q2-Target,Coupon_Discount</t>
        </is>
      </c>
      <c r="G574" s="48" t="n">
        <v>0</v>
      </c>
      <c r="H574" s="48" t="n">
        <v>0</v>
      </c>
      <c r="I574" s="48" t="n">
        <v>0</v>
      </c>
      <c r="J574" s="48" t="n">
        <v>0</v>
      </c>
      <c r="K574" s="49" t="n">
        <v>0</v>
      </c>
      <c r="L574" s="49" t="n">
        <v>0</v>
      </c>
      <c r="M574" s="49" t="n">
        <v>0</v>
      </c>
      <c r="N574" s="49" t="n">
        <v>0</v>
      </c>
      <c r="O574" s="49" t="n">
        <v>0</v>
      </c>
      <c r="P574" s="49" t="n">
        <v>0</v>
      </c>
      <c r="Q574" s="49" t="n">
        <v>0</v>
      </c>
      <c r="R574" s="49" t="n">
        <v>0</v>
      </c>
      <c r="S574" s="50" t="n">
        <v>0</v>
      </c>
      <c r="T574" s="50" t="n">
        <v>0</v>
      </c>
      <c r="U574" s="50" t="n">
        <v>0</v>
      </c>
      <c r="V574" s="50" t="n">
        <v>0</v>
      </c>
      <c r="W574" s="51" t="n">
        <v>0</v>
      </c>
      <c r="X574" s="51" t="n">
        <v>0</v>
      </c>
      <c r="Y574" s="51" t="n">
        <v>0</v>
      </c>
      <c r="Z574" s="51" t="n">
        <v>0</v>
      </c>
      <c r="AA574" s="52" t="n">
        <v>0</v>
      </c>
      <c r="AB574" s="52" t="n">
        <v>0</v>
      </c>
      <c r="AC574" s="52" t="n">
        <v>0</v>
      </c>
      <c r="AD574" s="52" t="n">
        <v>0</v>
      </c>
      <c r="AE574" s="52" t="n">
        <v>0</v>
      </c>
      <c r="AF574" s="52" t="n">
        <v>0</v>
      </c>
      <c r="AG574" s="52" t="n">
        <v>0</v>
      </c>
      <c r="AH574" s="52" t="n">
        <v>0</v>
      </c>
      <c r="AI574" s="52" t="n">
        <v>0</v>
      </c>
      <c r="AJ574" s="52" t="n">
        <v>0</v>
      </c>
      <c r="AK574" s="52" t="n">
        <v>0</v>
      </c>
      <c r="AL574" s="52" t="n">
        <v>0</v>
      </c>
      <c r="AM574" s="53" t="n">
        <v>0</v>
      </c>
      <c r="AN574" s="53" t="n">
        <v>0</v>
      </c>
      <c r="AO574" s="53" t="n">
        <v>0</v>
      </c>
      <c r="AP574" s="53" t="n">
        <v>0</v>
      </c>
      <c r="AQ574" s="52" t="n">
        <v>0</v>
      </c>
      <c r="AR574" s="52" t="n">
        <v>0</v>
      </c>
      <c r="AS574" s="52" t="n">
        <v>0</v>
      </c>
      <c r="AT574" s="52" t="n">
        <v>0</v>
      </c>
      <c r="AU574" s="53" t="n">
        <v>0</v>
      </c>
      <c r="AV574" s="53" t="n">
        <v>0</v>
      </c>
      <c r="AW574" s="53" t="n">
        <v>0</v>
      </c>
      <c r="AX574" s="53" t="n">
        <v>0</v>
      </c>
      <c r="AY574" s="52" t="n">
        <v>0</v>
      </c>
      <c r="AZ574" s="52" t="n">
        <v>0</v>
      </c>
      <c r="BA574" s="52" t="n">
        <v>0</v>
      </c>
      <c r="BB574" s="52" t="n">
        <v>0</v>
      </c>
      <c r="BC574" s="51" t="n">
        <v>0</v>
      </c>
      <c r="BD574" s="51" t="n">
        <v>0</v>
      </c>
      <c r="BE574" s="51" t="n">
        <v>0</v>
      </c>
      <c r="BF574" s="51" t="n">
        <v>0</v>
      </c>
    </row>
    <row r="575">
      <c r="A575">
        <f>HYPERLINK("https://www.walmart.com/ip/5077162262", "5077162262")</f>
        <v/>
      </c>
      <c r="B575" t="inlineStr">
        <is>
          <t>Tirrinia Wearable Fleece Blanket for Women &amp; Men, Super-Soft Microplush TV Blanket Adult Wrap Full Body Robe for Lounge Couch, White Footbal Fiel, 73" x 51".</t>
        </is>
      </c>
      <c r="C575" t="inlineStr">
        <is>
          <t>1TRSN100FOOTBALLFIELDWT</t>
        </is>
      </c>
      <c r="D575" t="inlineStr">
        <is>
          <t>Throws</t>
        </is>
      </c>
      <c r="E575" t="inlineStr">
        <is>
          <t>Tirrinia</t>
        </is>
      </c>
      <c r="F575" t="inlineStr">
        <is>
          <t>Q2-Target,Coupon_Discount</t>
        </is>
      </c>
      <c r="G575" s="48" t="n">
        <v>0</v>
      </c>
      <c r="H575" s="48" t="n">
        <v>0</v>
      </c>
      <c r="I575" s="48" t="n">
        <v>0</v>
      </c>
      <c r="J575" s="48" t="n">
        <v>0</v>
      </c>
      <c r="K575" s="49" t="n">
        <v>0</v>
      </c>
      <c r="L575" s="49" t="n">
        <v>0</v>
      </c>
      <c r="M575" s="49" t="n">
        <v>0</v>
      </c>
      <c r="N575" s="49" t="n">
        <v>0</v>
      </c>
      <c r="O575" s="49" t="n">
        <v>0</v>
      </c>
      <c r="P575" s="49" t="n">
        <v>0</v>
      </c>
      <c r="Q575" s="49" t="n">
        <v>0</v>
      </c>
      <c r="R575" s="49" t="n">
        <v>0</v>
      </c>
      <c r="S575" s="50" t="n">
        <v>0</v>
      </c>
      <c r="T575" s="50" t="n">
        <v>0</v>
      </c>
      <c r="U575" s="50" t="n">
        <v>0</v>
      </c>
      <c r="V575" s="50" t="n">
        <v>0</v>
      </c>
      <c r="W575" s="51" t="n">
        <v>0</v>
      </c>
      <c r="X575" s="51" t="n">
        <v>0</v>
      </c>
      <c r="Y575" s="51" t="n">
        <v>0</v>
      </c>
      <c r="Z575" s="51" t="n">
        <v>0</v>
      </c>
      <c r="AA575" s="52" t="n">
        <v>0</v>
      </c>
      <c r="AB575" s="52" t="n">
        <v>0</v>
      </c>
      <c r="AC575" s="52" t="n">
        <v>0</v>
      </c>
      <c r="AD575" s="52" t="n">
        <v>0</v>
      </c>
      <c r="AE575" s="52" t="n">
        <v>0</v>
      </c>
      <c r="AF575" s="52" t="n">
        <v>0</v>
      </c>
      <c r="AG575" s="52" t="n">
        <v>0</v>
      </c>
      <c r="AH575" s="52" t="n">
        <v>0</v>
      </c>
      <c r="AI575" s="52" t="n">
        <v>0</v>
      </c>
      <c r="AJ575" s="52" t="n">
        <v>0</v>
      </c>
      <c r="AK575" s="52" t="n">
        <v>0</v>
      </c>
      <c r="AL575" s="52" t="n">
        <v>0</v>
      </c>
      <c r="AM575" s="53" t="n">
        <v>0</v>
      </c>
      <c r="AN575" s="53" t="n">
        <v>0</v>
      </c>
      <c r="AO575" s="53" t="n">
        <v>0</v>
      </c>
      <c r="AP575" s="53" t="n">
        <v>0</v>
      </c>
      <c r="AQ575" s="52" t="n">
        <v>0</v>
      </c>
      <c r="AR575" s="52" t="n">
        <v>0</v>
      </c>
      <c r="AS575" s="52" t="n">
        <v>0</v>
      </c>
      <c r="AT575" s="52" t="n">
        <v>0</v>
      </c>
      <c r="AU575" s="53" t="n">
        <v>0</v>
      </c>
      <c r="AV575" s="53" t="n">
        <v>0</v>
      </c>
      <c r="AW575" s="53" t="n">
        <v>0</v>
      </c>
      <c r="AX575" s="53" t="n">
        <v>0</v>
      </c>
      <c r="AY575" s="52" t="n">
        <v>0</v>
      </c>
      <c r="AZ575" s="52" t="n">
        <v>0</v>
      </c>
      <c r="BA575" s="52" t="n">
        <v>0</v>
      </c>
      <c r="BB575" s="52" t="n">
        <v>0</v>
      </c>
      <c r="BC575" s="51" t="n">
        <v>0</v>
      </c>
      <c r="BD575" s="51" t="n">
        <v>0</v>
      </c>
      <c r="BE575" s="51" t="n">
        <v>0</v>
      </c>
      <c r="BF575" s="51" t="n">
        <v>0</v>
      </c>
    </row>
    <row r="576">
      <c r="A576">
        <f>HYPERLINK("https://www.walmart.com/ip/5079411444", "5079411444")</f>
        <v/>
      </c>
      <c r="B576" t="inlineStr">
        <is>
          <t>Tirrinia Wearable Fleece Blanket for Women and Men, Super-Soft Microplush TV Blanket, Full Body Robe for Lounge Couch, Football Field, 51" x 73"</t>
        </is>
      </c>
      <c r="C576" t="inlineStr">
        <is>
          <t>1TRSN100FOOTBALLFIELDBL</t>
        </is>
      </c>
      <c r="D576" t="inlineStr">
        <is>
          <t>Throws</t>
        </is>
      </c>
      <c r="E576" t="inlineStr">
        <is>
          <t>Tirrinia</t>
        </is>
      </c>
      <c r="F576" t="inlineStr">
        <is>
          <t>Coupon_Discount</t>
        </is>
      </c>
      <c r="G576" s="48" t="n">
        <v>0</v>
      </c>
      <c r="H576" s="48" t="n">
        <v>0</v>
      </c>
      <c r="I576" s="48" t="n">
        <v>0</v>
      </c>
      <c r="J576" s="48" t="n">
        <v>0</v>
      </c>
      <c r="K576" s="49" t="n">
        <v>0</v>
      </c>
      <c r="L576" s="49" t="n">
        <v>0</v>
      </c>
      <c r="M576" s="49" t="n">
        <v>0</v>
      </c>
      <c r="N576" s="49" t="n">
        <v>0</v>
      </c>
      <c r="O576" s="49" t="n">
        <v>0</v>
      </c>
      <c r="P576" s="49" t="n">
        <v>0</v>
      </c>
      <c r="Q576" s="49" t="n">
        <v>0</v>
      </c>
      <c r="R576" s="49" t="n">
        <v>0</v>
      </c>
      <c r="S576" s="50" t="n">
        <v>0</v>
      </c>
      <c r="T576" s="50" t="n">
        <v>0</v>
      </c>
      <c r="U576" s="50" t="n">
        <v>0</v>
      </c>
      <c r="V576" s="50" t="n">
        <v>0</v>
      </c>
      <c r="W576" s="51" t="n">
        <v>0</v>
      </c>
      <c r="X576" s="51" t="n">
        <v>0</v>
      </c>
      <c r="Y576" s="51" t="n">
        <v>0</v>
      </c>
      <c r="Z576" s="51" t="n">
        <v>0</v>
      </c>
      <c r="AA576" s="52" t="n">
        <v>0</v>
      </c>
      <c r="AB576" s="52" t="n">
        <v>0</v>
      </c>
      <c r="AC576" s="52" t="n">
        <v>0</v>
      </c>
      <c r="AD576" s="52" t="n">
        <v>0</v>
      </c>
      <c r="AE576" s="52" t="n">
        <v>0</v>
      </c>
      <c r="AF576" s="52" t="n">
        <v>0</v>
      </c>
      <c r="AG576" s="52" t="n">
        <v>0</v>
      </c>
      <c r="AH576" s="52" t="n">
        <v>0</v>
      </c>
      <c r="AI576" s="52" t="n">
        <v>0</v>
      </c>
      <c r="AJ576" s="52" t="n">
        <v>0</v>
      </c>
      <c r="AK576" s="52" t="n">
        <v>0</v>
      </c>
      <c r="AL576" s="52" t="n">
        <v>0</v>
      </c>
      <c r="AM576" s="53" t="n">
        <v>0</v>
      </c>
      <c r="AN576" s="53" t="n">
        <v>0</v>
      </c>
      <c r="AO576" s="53" t="n">
        <v>0</v>
      </c>
      <c r="AP576" s="53" t="n">
        <v>0</v>
      </c>
      <c r="AQ576" s="52" t="n">
        <v>0</v>
      </c>
      <c r="AR576" s="52" t="n">
        <v>0</v>
      </c>
      <c r="AS576" s="52" t="n">
        <v>0</v>
      </c>
      <c r="AT576" s="52" t="n">
        <v>0</v>
      </c>
      <c r="AU576" s="53" t="n">
        <v>0</v>
      </c>
      <c r="AV576" s="53" t="n">
        <v>0</v>
      </c>
      <c r="AW576" s="53" t="n">
        <v>0</v>
      </c>
      <c r="AX576" s="53" t="n">
        <v>0</v>
      </c>
      <c r="AY576" s="52" t="n">
        <v>0</v>
      </c>
      <c r="AZ576" s="52" t="n">
        <v>0</v>
      </c>
      <c r="BA576" s="52" t="n">
        <v>0</v>
      </c>
      <c r="BB576" s="52" t="n">
        <v>0</v>
      </c>
      <c r="BC576" s="51" t="n">
        <v>0</v>
      </c>
      <c r="BD576" s="51" t="n">
        <v>0</v>
      </c>
      <c r="BE576" s="51" t="n">
        <v>0</v>
      </c>
      <c r="BF576" s="51" t="n">
        <v>0</v>
      </c>
    </row>
    <row r="577">
      <c r="A577">
        <f>HYPERLINK("https://www.walmart.com/ip/507968761", "507968761")</f>
        <v/>
      </c>
      <c r="B577" t="inlineStr">
        <is>
          <t>Woman Hoodie Sweatshirt Poncho, Casual Batwing Cape Wrap Coat, Pullover Wearable Blanket</t>
        </is>
      </c>
      <c r="C577" t="inlineStr">
        <is>
          <t>1WMHD540S1BK</t>
        </is>
      </c>
      <c r="D577" t="inlineStr">
        <is>
          <t>Sweatshirts &amp; Hoodies</t>
        </is>
      </c>
      <c r="E577" t="inlineStr">
        <is>
          <t>Flyingstar</t>
        </is>
      </c>
      <c r="F577" t="inlineStr">
        <is>
          <t>Hoodie ForAdult,Optimized</t>
        </is>
      </c>
      <c r="G577" s="48" t="n">
        <v>0</v>
      </c>
      <c r="H577" s="48" t="n">
        <v>0</v>
      </c>
      <c r="I577" s="48" t="n">
        <v>0</v>
      </c>
      <c r="J577" s="48" t="n">
        <v>0</v>
      </c>
      <c r="K577" s="49" t="n">
        <v>0</v>
      </c>
      <c r="L577" s="49" t="n">
        <v>0</v>
      </c>
      <c r="M577" s="49" t="n">
        <v>0</v>
      </c>
      <c r="N577" s="49" t="n">
        <v>0</v>
      </c>
      <c r="O577" s="49" t="n">
        <v>0</v>
      </c>
      <c r="P577" s="49" t="n">
        <v>0</v>
      </c>
      <c r="Q577" s="49" t="n">
        <v>0</v>
      </c>
      <c r="R577" s="49" t="n">
        <v>0</v>
      </c>
      <c r="S577" s="50" t="n">
        <v>0</v>
      </c>
      <c r="T577" s="50" t="n">
        <v>0</v>
      </c>
      <c r="U577" s="50" t="n">
        <v>0</v>
      </c>
      <c r="V577" s="50" t="n">
        <v>0</v>
      </c>
      <c r="W577" s="51" t="n">
        <v>0</v>
      </c>
      <c r="X577" s="51" t="n">
        <v>0</v>
      </c>
      <c r="Y577" s="51" t="n">
        <v>0</v>
      </c>
      <c r="Z577" s="51" t="n">
        <v>0</v>
      </c>
      <c r="AA577" s="52" t="n">
        <v>0</v>
      </c>
      <c r="AB577" s="52" t="n">
        <v>0</v>
      </c>
      <c r="AC577" s="52" t="n">
        <v>0</v>
      </c>
      <c r="AD577" s="52" t="n">
        <v>0</v>
      </c>
      <c r="AE577" s="52" t="n">
        <v>0</v>
      </c>
      <c r="AF577" s="52" t="n">
        <v>0</v>
      </c>
      <c r="AG577" s="52" t="n">
        <v>0</v>
      </c>
      <c r="AH577" s="52" t="n">
        <v>0</v>
      </c>
      <c r="AI577" s="52" t="n">
        <v>0</v>
      </c>
      <c r="AJ577" s="52" t="n">
        <v>0</v>
      </c>
      <c r="AK577" s="52" t="n">
        <v>0</v>
      </c>
      <c r="AL577" s="52" t="n">
        <v>0</v>
      </c>
      <c r="AM577" s="53" t="n">
        <v>0</v>
      </c>
      <c r="AN577" s="53" t="n">
        <v>0</v>
      </c>
      <c r="AO577" s="53" t="n">
        <v>0</v>
      </c>
      <c r="AP577" s="53" t="n">
        <v>0</v>
      </c>
      <c r="AQ577" s="52" t="n">
        <v>0</v>
      </c>
      <c r="AR577" s="52" t="n">
        <v>0</v>
      </c>
      <c r="AS577" s="52" t="n">
        <v>0</v>
      </c>
      <c r="AT577" s="52" t="n">
        <v>0</v>
      </c>
      <c r="AU577" s="53" t="n">
        <v>0</v>
      </c>
      <c r="AV577" s="53" t="n">
        <v>0</v>
      </c>
      <c r="AW577" s="53" t="n">
        <v>0</v>
      </c>
      <c r="AX577" s="53" t="n">
        <v>0</v>
      </c>
      <c r="AY577" s="52" t="n">
        <v>0</v>
      </c>
      <c r="AZ577" s="52" t="n">
        <v>0</v>
      </c>
      <c r="BA577" s="52" t="n">
        <v>0</v>
      </c>
      <c r="BB577" s="52" t="n">
        <v>0</v>
      </c>
      <c r="BC577" s="51" t="n">
        <v>0</v>
      </c>
      <c r="BD577" s="51" t="n">
        <v>0</v>
      </c>
      <c r="BE577" s="51" t="n">
        <v>0</v>
      </c>
      <c r="BF577" s="51" t="n">
        <v>0</v>
      </c>
    </row>
    <row r="578">
      <c r="A578">
        <f>HYPERLINK("https://www.walmart.com/ip/5080914928", "5080914928")</f>
        <v/>
      </c>
      <c r="B578" t="inlineStr">
        <is>
          <t>Tirrinia Sherpa Wearable Blanket for Adult Women and Men, Super Soft Comfy Warm Plush Throw with Sleeves TV Blanket Wrap Robe Cover for Sofa, Couch 72" x 55" Blue Love Art</t>
        </is>
      </c>
      <c r="C578" t="inlineStr">
        <is>
          <t>1TRSN110LOVEARTBL</t>
        </is>
      </c>
      <c r="D578" t="inlineStr">
        <is>
          <t>Throws</t>
        </is>
      </c>
      <c r="E578" t="inlineStr">
        <is>
          <t>Terrania</t>
        </is>
      </c>
      <c r="G578" s="48" t="n">
        <v>0</v>
      </c>
      <c r="H578" s="48" t="n">
        <v>0</v>
      </c>
      <c r="I578" s="48" t="n">
        <v>0</v>
      </c>
      <c r="J578" s="48" t="n">
        <v>0</v>
      </c>
      <c r="K578" s="49" t="n">
        <v>0</v>
      </c>
      <c r="L578" s="49" t="n">
        <v>0</v>
      </c>
      <c r="M578" s="49" t="n">
        <v>0</v>
      </c>
      <c r="N578" s="49" t="n">
        <v>0</v>
      </c>
      <c r="O578" s="49" t="n">
        <v>0</v>
      </c>
      <c r="P578" s="49" t="n">
        <v>0</v>
      </c>
      <c r="Q578" s="49" t="n">
        <v>0</v>
      </c>
      <c r="R578" s="49" t="n">
        <v>0</v>
      </c>
      <c r="S578" s="50" t="n">
        <v>0</v>
      </c>
      <c r="T578" s="50" t="n">
        <v>0</v>
      </c>
      <c r="U578" s="50" t="n">
        <v>0</v>
      </c>
      <c r="V578" s="50" t="n">
        <v>0</v>
      </c>
      <c r="W578" s="51" t="n">
        <v>0</v>
      </c>
      <c r="X578" s="51" t="n">
        <v>0</v>
      </c>
      <c r="Y578" s="51" t="n">
        <v>0</v>
      </c>
      <c r="Z578" s="51" t="n">
        <v>0</v>
      </c>
      <c r="AA578" s="52" t="n">
        <v>0</v>
      </c>
      <c r="AB578" s="52" t="n">
        <v>0</v>
      </c>
      <c r="AC578" s="52" t="n">
        <v>0</v>
      </c>
      <c r="AD578" s="52" t="n">
        <v>0</v>
      </c>
      <c r="AE578" s="52" t="n">
        <v>0</v>
      </c>
      <c r="AF578" s="52" t="n">
        <v>0</v>
      </c>
      <c r="AG578" s="52" t="n">
        <v>0</v>
      </c>
      <c r="AH578" s="52" t="n">
        <v>0</v>
      </c>
      <c r="AI578" s="52" t="n">
        <v>0</v>
      </c>
      <c r="AJ578" s="52" t="n">
        <v>0</v>
      </c>
      <c r="AK578" s="52" t="n">
        <v>0</v>
      </c>
      <c r="AL578" s="52" t="n">
        <v>0</v>
      </c>
      <c r="AM578" s="53" t="n">
        <v>0</v>
      </c>
      <c r="AN578" s="53" t="n">
        <v>0</v>
      </c>
      <c r="AO578" s="53" t="n">
        <v>0</v>
      </c>
      <c r="AP578" s="53" t="n">
        <v>0</v>
      </c>
      <c r="AQ578" s="52" t="n">
        <v>0</v>
      </c>
      <c r="AR578" s="52" t="n">
        <v>0</v>
      </c>
      <c r="AS578" s="52" t="n">
        <v>0</v>
      </c>
      <c r="AT578" s="52" t="n">
        <v>0</v>
      </c>
      <c r="AU578" s="53" t="n">
        <v>0</v>
      </c>
      <c r="AV578" s="53" t="n">
        <v>0</v>
      </c>
      <c r="AW578" s="53" t="n">
        <v>0</v>
      </c>
      <c r="AX578" s="53" t="n">
        <v>0</v>
      </c>
      <c r="AY578" s="52" t="n">
        <v>0</v>
      </c>
      <c r="AZ578" s="52" t="n">
        <v>0</v>
      </c>
      <c r="BA578" s="52" t="n">
        <v>0</v>
      </c>
      <c r="BB578" s="52" t="n">
        <v>0</v>
      </c>
      <c r="BC578" s="51" t="n">
        <v>0</v>
      </c>
      <c r="BD578" s="51" t="n">
        <v>0</v>
      </c>
      <c r="BE578" s="51" t="n">
        <v>0</v>
      </c>
      <c r="BF578" s="51" t="n">
        <v>0</v>
      </c>
    </row>
    <row r="579">
      <c r="A579">
        <f>HYPERLINK("https://www.walmart.com/ip/5082710724", "5082710724")</f>
        <v/>
      </c>
      <c r="B579" t="inlineStr">
        <is>
          <t>Tirrinia Sherpa Wearable Blanket for Adult Women and Men, Super Soft Comfy Warm Plush Throw with Sleeves TV Blanket Wrap Robe Cover for Sofa, Couch 72" x 55" Grey Avocado Cat</t>
        </is>
      </c>
      <c r="C579" t="inlineStr">
        <is>
          <t>1TRSN110AVOCADOCATGY</t>
        </is>
      </c>
      <c r="D579" t="inlineStr">
        <is>
          <t>Throws</t>
        </is>
      </c>
      <c r="E579" t="inlineStr">
        <is>
          <t>Terrania</t>
        </is>
      </c>
      <c r="G579" s="48" t="n">
        <v>0</v>
      </c>
      <c r="H579" s="48" t="n">
        <v>0</v>
      </c>
      <c r="I579" s="48" t="n">
        <v>0</v>
      </c>
      <c r="J579" s="48" t="n">
        <v>0</v>
      </c>
      <c r="K579" s="49" t="n">
        <v>0</v>
      </c>
      <c r="L579" s="49" t="n">
        <v>0</v>
      </c>
      <c r="M579" s="49" t="n">
        <v>0</v>
      </c>
      <c r="N579" s="49" t="n">
        <v>0</v>
      </c>
      <c r="O579" s="49" t="n">
        <v>0</v>
      </c>
      <c r="P579" s="49" t="n">
        <v>0</v>
      </c>
      <c r="Q579" s="49" t="n">
        <v>0</v>
      </c>
      <c r="R579" s="49" t="n">
        <v>0</v>
      </c>
      <c r="S579" s="50" t="n">
        <v>0</v>
      </c>
      <c r="T579" s="50" t="n">
        <v>0</v>
      </c>
      <c r="U579" s="50" t="n">
        <v>0</v>
      </c>
      <c r="V579" s="50" t="n">
        <v>0</v>
      </c>
      <c r="W579" s="51" t="n">
        <v>0</v>
      </c>
      <c r="X579" s="51" t="n">
        <v>0</v>
      </c>
      <c r="Y579" s="51" t="n">
        <v>0</v>
      </c>
      <c r="Z579" s="51" t="n">
        <v>0</v>
      </c>
      <c r="AA579" s="52" t="n">
        <v>0</v>
      </c>
      <c r="AB579" s="52" t="n">
        <v>0</v>
      </c>
      <c r="AC579" s="52" t="n">
        <v>0</v>
      </c>
      <c r="AD579" s="52" t="n">
        <v>0</v>
      </c>
      <c r="AE579" s="52" t="n">
        <v>0</v>
      </c>
      <c r="AF579" s="52" t="n">
        <v>0</v>
      </c>
      <c r="AG579" s="52" t="n">
        <v>0</v>
      </c>
      <c r="AH579" s="52" t="n">
        <v>0</v>
      </c>
      <c r="AI579" s="52" t="n">
        <v>0</v>
      </c>
      <c r="AJ579" s="52" t="n">
        <v>0</v>
      </c>
      <c r="AK579" s="52" t="n">
        <v>0</v>
      </c>
      <c r="AL579" s="52" t="n">
        <v>0</v>
      </c>
      <c r="AM579" s="53" t="n">
        <v>0</v>
      </c>
      <c r="AN579" s="53" t="n">
        <v>0</v>
      </c>
      <c r="AO579" s="53" t="n">
        <v>0</v>
      </c>
      <c r="AP579" s="53" t="n">
        <v>0</v>
      </c>
      <c r="AQ579" s="52" t="n">
        <v>0</v>
      </c>
      <c r="AR579" s="52" t="n">
        <v>0</v>
      </c>
      <c r="AS579" s="52" t="n">
        <v>0</v>
      </c>
      <c r="AT579" s="52" t="n">
        <v>0</v>
      </c>
      <c r="AU579" s="53" t="n">
        <v>0</v>
      </c>
      <c r="AV579" s="53" t="n">
        <v>0</v>
      </c>
      <c r="AW579" s="53" t="n">
        <v>0</v>
      </c>
      <c r="AX579" s="53" t="n">
        <v>0</v>
      </c>
      <c r="AY579" s="52" t="n">
        <v>0</v>
      </c>
      <c r="AZ579" s="52" t="n">
        <v>0</v>
      </c>
      <c r="BA579" s="52" t="n">
        <v>0</v>
      </c>
      <c r="BB579" s="52" t="n">
        <v>0</v>
      </c>
      <c r="BC579" s="51" t="n">
        <v>0</v>
      </c>
      <c r="BD579" s="51" t="n">
        <v>0</v>
      </c>
      <c r="BE579" s="51" t="n">
        <v>0</v>
      </c>
      <c r="BF579" s="51" t="n">
        <v>0</v>
      </c>
    </row>
    <row r="580">
      <c r="A580">
        <f>HYPERLINK("https://www.walmart.com/ip/5100707754", "5100707754")</f>
        <v/>
      </c>
      <c r="B580" t="inlineStr">
        <is>
          <t>Tirrinia Women's Plush Soft Robe - Fluffy, Warm, and Fleece Sherpa Shaggy Bathrobe for Ultimate Comfort, Machine Washable, Large Size, Grey</t>
        </is>
      </c>
      <c r="C580" t="inlineStr">
        <is>
          <t>1TRRB503GY-4</t>
        </is>
      </c>
      <c r="D580" t="inlineStr">
        <is>
          <t>Sleepwear Robes &amp; Bathrobes</t>
        </is>
      </c>
      <c r="E580" t="inlineStr">
        <is>
          <t>Tirrinia</t>
        </is>
      </c>
      <c r="F580" t="inlineStr">
        <is>
          <t>Bathrobe,Coupon_Discount</t>
        </is>
      </c>
      <c r="G580" s="48" t="n">
        <v>0</v>
      </c>
      <c r="H580" s="48" t="n">
        <v>0</v>
      </c>
      <c r="I580" s="48" t="n">
        <v>0</v>
      </c>
      <c r="J580" s="48" t="n">
        <v>0</v>
      </c>
      <c r="K580" s="49" t="n">
        <v>0</v>
      </c>
      <c r="L580" s="49" t="n">
        <v>0</v>
      </c>
      <c r="M580" s="49" t="n">
        <v>0</v>
      </c>
      <c r="N580" s="49" t="n">
        <v>0</v>
      </c>
      <c r="O580" s="49" t="n">
        <v>0</v>
      </c>
      <c r="P580" s="49" t="n">
        <v>0</v>
      </c>
      <c r="Q580" s="49" t="n">
        <v>0</v>
      </c>
      <c r="R580" s="49" t="n">
        <v>0</v>
      </c>
      <c r="S580" s="50" t="n">
        <v>0</v>
      </c>
      <c r="T580" s="50" t="n">
        <v>0</v>
      </c>
      <c r="U580" s="50" t="n">
        <v>0</v>
      </c>
      <c r="V580" s="50" t="n">
        <v>0</v>
      </c>
      <c r="W580" s="51" t="n">
        <v>0</v>
      </c>
      <c r="X580" s="51" t="n">
        <v>0</v>
      </c>
      <c r="Y580" s="51" t="n">
        <v>0</v>
      </c>
      <c r="Z580" s="51" t="n">
        <v>0</v>
      </c>
      <c r="AA580" s="52" t="n">
        <v>0</v>
      </c>
      <c r="AB580" s="52" t="n">
        <v>0</v>
      </c>
      <c r="AC580" s="52" t="n">
        <v>0</v>
      </c>
      <c r="AD580" s="52" t="n">
        <v>0</v>
      </c>
      <c r="AE580" s="52" t="n">
        <v>0</v>
      </c>
      <c r="AF580" s="52" t="n">
        <v>0</v>
      </c>
      <c r="AG580" s="52" t="n">
        <v>0</v>
      </c>
      <c r="AH580" s="52" t="n">
        <v>0</v>
      </c>
      <c r="AI580" s="52" t="n">
        <v>0</v>
      </c>
      <c r="AJ580" s="52" t="n">
        <v>0</v>
      </c>
      <c r="AK580" s="52" t="n">
        <v>0</v>
      </c>
      <c r="AL580" s="52" t="n">
        <v>0</v>
      </c>
      <c r="AM580" s="53" t="n">
        <v>0</v>
      </c>
      <c r="AN580" s="53" t="n">
        <v>0</v>
      </c>
      <c r="AO580" s="53" t="n">
        <v>0</v>
      </c>
      <c r="AP580" s="53" t="n">
        <v>0</v>
      </c>
      <c r="AQ580" s="52" t="n">
        <v>0</v>
      </c>
      <c r="AR580" s="52" t="n">
        <v>0</v>
      </c>
      <c r="AS580" s="52" t="n">
        <v>0</v>
      </c>
      <c r="AT580" s="52" t="n">
        <v>0</v>
      </c>
      <c r="AU580" s="53" t="n">
        <v>0</v>
      </c>
      <c r="AV580" s="53" t="n">
        <v>0</v>
      </c>
      <c r="AW580" s="53" t="n">
        <v>0</v>
      </c>
      <c r="AX580" s="53" t="n">
        <v>0</v>
      </c>
      <c r="AY580" s="52" t="n">
        <v>0</v>
      </c>
      <c r="AZ580" s="52" t="n">
        <v>0</v>
      </c>
      <c r="BA580" s="52" t="n">
        <v>0</v>
      </c>
      <c r="BB580" s="52" t="n">
        <v>0</v>
      </c>
      <c r="BC580" s="51" t="n">
        <v>0</v>
      </c>
      <c r="BD580" s="51" t="n">
        <v>0</v>
      </c>
      <c r="BE580" s="51" t="n">
        <v>0</v>
      </c>
      <c r="BF580" s="51" t="n">
        <v>0</v>
      </c>
    </row>
    <row r="581">
      <c r="A581">
        <f>HYPERLINK("https://www.walmart.com/ip/5082710735", "5082710735")</f>
        <v/>
      </c>
      <c r="B581" t="inlineStr">
        <is>
          <t>Tirrinia Sherpa Wearable Blanket for Adult Women and Men, Super Soft Comfy Warm Plush Fleece Blanket with Sleeves, Wrap Robe Cover for Sofa and Couch, White ABS Tractface, 55" x 72''</t>
        </is>
      </c>
      <c r="C581" t="inlineStr">
        <is>
          <t>1TRSN110ABSTRACTFACEWT</t>
        </is>
      </c>
      <c r="D581" t="inlineStr">
        <is>
          <t>Throws</t>
        </is>
      </c>
      <c r="E581" t="inlineStr">
        <is>
          <t>Terrania</t>
        </is>
      </c>
      <c r="G581" s="48" t="n">
        <v>0</v>
      </c>
      <c r="H581" s="48" t="n">
        <v>0</v>
      </c>
      <c r="I581" s="48" t="n">
        <v>0</v>
      </c>
      <c r="J581" s="48" t="n">
        <v>0</v>
      </c>
      <c r="K581" s="49" t="n">
        <v>0</v>
      </c>
      <c r="L581" s="49" t="n">
        <v>0</v>
      </c>
      <c r="M581" s="49" t="n">
        <v>0</v>
      </c>
      <c r="N581" s="49" t="n">
        <v>0</v>
      </c>
      <c r="O581" s="49" t="n">
        <v>0</v>
      </c>
      <c r="P581" s="49" t="n">
        <v>0</v>
      </c>
      <c r="Q581" s="49" t="n">
        <v>0</v>
      </c>
      <c r="R581" s="49" t="n">
        <v>0</v>
      </c>
      <c r="S581" s="50" t="n">
        <v>0</v>
      </c>
      <c r="T581" s="50" t="n">
        <v>0</v>
      </c>
      <c r="U581" s="50" t="n">
        <v>0</v>
      </c>
      <c r="V581" s="50" t="n">
        <v>0</v>
      </c>
      <c r="W581" s="51" t="n">
        <v>0</v>
      </c>
      <c r="X581" s="51" t="n">
        <v>0</v>
      </c>
      <c r="Y581" s="51" t="n">
        <v>0</v>
      </c>
      <c r="Z581" s="51" t="n">
        <v>0</v>
      </c>
      <c r="AA581" s="52" t="n">
        <v>0</v>
      </c>
      <c r="AB581" s="52" t="n">
        <v>0</v>
      </c>
      <c r="AC581" s="52" t="n">
        <v>0</v>
      </c>
      <c r="AD581" s="52" t="n">
        <v>0</v>
      </c>
      <c r="AE581" s="52" t="n">
        <v>0</v>
      </c>
      <c r="AF581" s="52" t="n">
        <v>0</v>
      </c>
      <c r="AG581" s="52" t="n">
        <v>0</v>
      </c>
      <c r="AH581" s="52" t="n">
        <v>0</v>
      </c>
      <c r="AI581" s="52" t="n">
        <v>0</v>
      </c>
      <c r="AJ581" s="52" t="n">
        <v>0</v>
      </c>
      <c r="AK581" s="52" t="n">
        <v>0</v>
      </c>
      <c r="AL581" s="52" t="n">
        <v>0</v>
      </c>
      <c r="AM581" s="53" t="n">
        <v>0</v>
      </c>
      <c r="AN581" s="53" t="n">
        <v>0</v>
      </c>
      <c r="AO581" s="53" t="n">
        <v>0</v>
      </c>
      <c r="AP581" s="53" t="n">
        <v>0</v>
      </c>
      <c r="AQ581" s="52" t="n">
        <v>0</v>
      </c>
      <c r="AR581" s="52" t="n">
        <v>0</v>
      </c>
      <c r="AS581" s="52" t="n">
        <v>0</v>
      </c>
      <c r="AT581" s="52" t="n">
        <v>0</v>
      </c>
      <c r="AU581" s="53" t="n">
        <v>0</v>
      </c>
      <c r="AV581" s="53" t="n">
        <v>0</v>
      </c>
      <c r="AW581" s="53" t="n">
        <v>0</v>
      </c>
      <c r="AX581" s="53" t="n">
        <v>0</v>
      </c>
      <c r="AY581" s="52" t="n">
        <v>0</v>
      </c>
      <c r="AZ581" s="52" t="n">
        <v>0</v>
      </c>
      <c r="BA581" s="52" t="n">
        <v>0</v>
      </c>
      <c r="BB581" s="52" t="n">
        <v>0</v>
      </c>
      <c r="BC581" s="51" t="n">
        <v>0</v>
      </c>
      <c r="BD581" s="51" t="n">
        <v>0</v>
      </c>
      <c r="BE581" s="51" t="n">
        <v>0</v>
      </c>
      <c r="BF581" s="51" t="n">
        <v>0</v>
      </c>
    </row>
    <row r="582">
      <c r="A582">
        <f>HYPERLINK("https://www.walmart.com/ip/5082823363", "5082823363")</f>
        <v/>
      </c>
      <c r="B582" t="inlineStr">
        <is>
          <t>Catalonia Wearable Blanket with Sleeves and Pocket, Cozy Soft Fleece Micro Plush Wrap Adult Snuggie Blanket Robe for Women Men, Grey Santa and Deer Pattern Makes a Great Gift for Holidays.</t>
        </is>
      </c>
      <c r="C582" t="inlineStr">
        <is>
          <t>1CTSN100SANTAANDDEERGY</t>
        </is>
      </c>
      <c r="D582" t="inlineStr">
        <is>
          <t>Throws</t>
        </is>
      </c>
      <c r="E582" t="inlineStr">
        <is>
          <t>Catalonia</t>
        </is>
      </c>
      <c r="G582" s="48" t="n">
        <v>0</v>
      </c>
      <c r="H582" s="48" t="n">
        <v>0</v>
      </c>
      <c r="I582" s="48" t="n">
        <v>0</v>
      </c>
      <c r="J582" s="48" t="n">
        <v>0</v>
      </c>
      <c r="K582" s="49" t="n">
        <v>0</v>
      </c>
      <c r="L582" s="49" t="n">
        <v>0</v>
      </c>
      <c r="M582" s="49" t="n">
        <v>0</v>
      </c>
      <c r="N582" s="49" t="n">
        <v>0</v>
      </c>
      <c r="O582" s="49" t="n">
        <v>0</v>
      </c>
      <c r="P582" s="49" t="n">
        <v>0</v>
      </c>
      <c r="Q582" s="49" t="n">
        <v>0</v>
      </c>
      <c r="R582" s="49" t="n">
        <v>0</v>
      </c>
      <c r="S582" s="50" t="n">
        <v>0</v>
      </c>
      <c r="T582" s="50" t="n">
        <v>0</v>
      </c>
      <c r="U582" s="50" t="n">
        <v>0</v>
      </c>
      <c r="V582" s="50" t="n">
        <v>0</v>
      </c>
      <c r="W582" s="51" t="n">
        <v>0</v>
      </c>
      <c r="X582" s="51" t="n">
        <v>0</v>
      </c>
      <c r="Y582" s="51" t="n">
        <v>0</v>
      </c>
      <c r="Z582" s="51" t="n">
        <v>0</v>
      </c>
      <c r="AA582" s="52" t="n">
        <v>0</v>
      </c>
      <c r="AB582" s="52" t="n">
        <v>0</v>
      </c>
      <c r="AC582" s="52" t="n">
        <v>0</v>
      </c>
      <c r="AD582" s="52" t="n">
        <v>0</v>
      </c>
      <c r="AE582" s="52" t="n">
        <v>0</v>
      </c>
      <c r="AF582" s="52" t="n">
        <v>0</v>
      </c>
      <c r="AG582" s="52" t="n">
        <v>0</v>
      </c>
      <c r="AH582" s="52" t="n">
        <v>0</v>
      </c>
      <c r="AI582" s="52" t="n">
        <v>0</v>
      </c>
      <c r="AJ582" s="52" t="n">
        <v>0</v>
      </c>
      <c r="AK582" s="52" t="n">
        <v>0</v>
      </c>
      <c r="AL582" s="52" t="n">
        <v>0</v>
      </c>
      <c r="AM582" s="53" t="n">
        <v>0</v>
      </c>
      <c r="AN582" s="53" t="n">
        <v>0</v>
      </c>
      <c r="AO582" s="53" t="n">
        <v>0</v>
      </c>
      <c r="AP582" s="53" t="n">
        <v>0</v>
      </c>
      <c r="AQ582" s="52" t="n">
        <v>0</v>
      </c>
      <c r="AR582" s="52" t="n">
        <v>0</v>
      </c>
      <c r="AS582" s="52" t="n">
        <v>0</v>
      </c>
      <c r="AT582" s="52" t="n">
        <v>0</v>
      </c>
      <c r="AU582" s="53" t="n">
        <v>0</v>
      </c>
      <c r="AV582" s="53" t="n">
        <v>0</v>
      </c>
      <c r="AW582" s="53" t="n">
        <v>0</v>
      </c>
      <c r="AX582" s="53" t="n">
        <v>0</v>
      </c>
      <c r="AY582" s="52" t="n">
        <v>0</v>
      </c>
      <c r="AZ582" s="52" t="n">
        <v>0</v>
      </c>
      <c r="BA582" s="52" t="n">
        <v>0</v>
      </c>
      <c r="BB582" s="52" t="n">
        <v>0</v>
      </c>
      <c r="BC582" s="51" t="n">
        <v>0</v>
      </c>
      <c r="BD582" s="51" t="n">
        <v>0</v>
      </c>
      <c r="BE582" s="51" t="n">
        <v>0</v>
      </c>
      <c r="BF582" s="51" t="n">
        <v>0</v>
      </c>
    </row>
    <row r="583">
      <c r="A583">
        <f>HYPERLINK("https://www.walmart.com/ip/508488567", "508488567")</f>
        <v/>
      </c>
      <c r="B583" t="inlineStr">
        <is>
          <t>Child Cotton Hooded Poncho Towels Mermaid Cartoon Changing Robe Swimmer Beach</t>
        </is>
      </c>
      <c r="C583" t="inlineStr">
        <is>
          <t>1TRBR200-MM</t>
        </is>
      </c>
      <c r="D583" t="inlineStr">
        <is>
          <t>Towels &amp; Washcloths</t>
        </is>
      </c>
      <c r="E583" t="inlineStr">
        <is>
          <t>Tirrinia</t>
        </is>
      </c>
      <c r="F583" t="inlineStr">
        <is>
          <t>Baby days,Beach Robe Camp</t>
        </is>
      </c>
      <c r="G583" s="48" t="n">
        <v>0</v>
      </c>
      <c r="H583" s="48" t="n">
        <v>0</v>
      </c>
      <c r="I583" s="48" t="n">
        <v>0</v>
      </c>
      <c r="J583" s="48" t="n">
        <v>-17.99</v>
      </c>
      <c r="K583" s="49" t="n">
        <v>0</v>
      </c>
      <c r="L583" s="49" t="n">
        <v>0</v>
      </c>
      <c r="M583" s="49" t="n">
        <v>0</v>
      </c>
      <c r="N583" s="49" t="n">
        <v>-1</v>
      </c>
      <c r="O583" s="49" t="n">
        <v>0</v>
      </c>
      <c r="P583" s="49" t="n">
        <v>0</v>
      </c>
      <c r="Q583" s="49" t="n">
        <v>0</v>
      </c>
      <c r="R583" s="49" t="n">
        <v>0</v>
      </c>
      <c r="S583" s="50" t="n">
        <v>0</v>
      </c>
      <c r="T583" s="50" t="n">
        <v>0</v>
      </c>
      <c r="U583" s="50" t="n">
        <v>0</v>
      </c>
      <c r="V583" s="50" t="n">
        <v>0</v>
      </c>
      <c r="W583" s="51" t="n">
        <v>0</v>
      </c>
      <c r="X583" s="51" t="n">
        <v>0</v>
      </c>
      <c r="Y583" s="51" t="n">
        <v>0</v>
      </c>
      <c r="Z583" s="51" t="n">
        <v>0</v>
      </c>
      <c r="AA583" s="52" t="n">
        <v>0</v>
      </c>
      <c r="AB583" s="52" t="n">
        <v>0</v>
      </c>
      <c r="AC583" s="52" t="n">
        <v>0</v>
      </c>
      <c r="AD583" s="52" t="n">
        <v>0</v>
      </c>
      <c r="AE583" s="52" t="n">
        <v>0</v>
      </c>
      <c r="AF583" s="52" t="n">
        <v>0</v>
      </c>
      <c r="AG583" s="52" t="n">
        <v>0</v>
      </c>
      <c r="AH583" s="52" t="n">
        <v>0</v>
      </c>
      <c r="AI583" s="52" t="n">
        <v>0</v>
      </c>
      <c r="AJ583" s="52" t="n">
        <v>0</v>
      </c>
      <c r="AK583" s="52" t="n">
        <v>0</v>
      </c>
      <c r="AL583" s="52" t="n">
        <v>0</v>
      </c>
      <c r="AM583" s="53" t="n">
        <v>0</v>
      </c>
      <c r="AN583" s="53" t="n">
        <v>0</v>
      </c>
      <c r="AO583" s="53" t="n">
        <v>0</v>
      </c>
      <c r="AP583" s="53" t="n">
        <v>0</v>
      </c>
      <c r="AQ583" s="52" t="n">
        <v>0</v>
      </c>
      <c r="AR583" s="52" t="n">
        <v>0</v>
      </c>
      <c r="AS583" s="52" t="n">
        <v>0</v>
      </c>
      <c r="AT583" s="52" t="n">
        <v>0</v>
      </c>
      <c r="AU583" s="53" t="n">
        <v>0</v>
      </c>
      <c r="AV583" s="53" t="n">
        <v>0</v>
      </c>
      <c r="AW583" s="53" t="n">
        <v>0</v>
      </c>
      <c r="AX583" s="53" t="n">
        <v>0</v>
      </c>
      <c r="AY583" s="52" t="n">
        <v>0</v>
      </c>
      <c r="AZ583" s="52" t="n">
        <v>0</v>
      </c>
      <c r="BA583" s="52" t="n">
        <v>0</v>
      </c>
      <c r="BB583" s="52" t="n">
        <v>0</v>
      </c>
      <c r="BC583" s="51" t="n">
        <v>0</v>
      </c>
      <c r="BD583" s="51" t="n">
        <v>0</v>
      </c>
      <c r="BE583" s="51" t="n">
        <v>0</v>
      </c>
      <c r="BF583" s="51" t="n">
        <v>0</v>
      </c>
    </row>
    <row r="584">
      <c r="A584">
        <f>HYPERLINK("https://www.walmart.com/ip/508650756", "508650756")</f>
        <v/>
      </c>
      <c r="B584" t="inlineStr">
        <is>
          <t>Microplush Sherpa Blanket with Sleeves for Women and Men</t>
        </is>
      </c>
      <c r="C584" t="inlineStr">
        <is>
          <t>1TRSN110PRD</t>
        </is>
      </c>
      <c r="D584" t="inlineStr">
        <is>
          <t>Throws</t>
        </is>
      </c>
      <c r="E584" t="inlineStr">
        <is>
          <t>Tirrinia</t>
        </is>
      </c>
      <c r="F584" t="inlineStr">
        <is>
          <t>WFS,Coupon_Discount,WFS Item</t>
        </is>
      </c>
      <c r="G584" s="48" t="n">
        <v>0</v>
      </c>
      <c r="H584" s="48" t="n">
        <v>0</v>
      </c>
      <c r="I584" s="48" t="n">
        <v>0</v>
      </c>
      <c r="J584" s="48" t="n">
        <v>0</v>
      </c>
      <c r="K584" s="49" t="n">
        <v>0</v>
      </c>
      <c r="L584" s="49" t="n">
        <v>0</v>
      </c>
      <c r="M584" s="49" t="n">
        <v>0</v>
      </c>
      <c r="N584" s="49" t="n">
        <v>0</v>
      </c>
      <c r="O584" s="49" t="n">
        <v>0</v>
      </c>
      <c r="P584" s="49" t="n">
        <v>0</v>
      </c>
      <c r="Q584" s="49" t="n">
        <v>0</v>
      </c>
      <c r="R584" s="49" t="n">
        <v>0</v>
      </c>
      <c r="S584" s="50" t="n">
        <v>0</v>
      </c>
      <c r="T584" s="50" t="n">
        <v>0</v>
      </c>
      <c r="U584" s="50" t="n">
        <v>0</v>
      </c>
      <c r="V584" s="50" t="n">
        <v>0</v>
      </c>
      <c r="W584" s="51" t="n">
        <v>0</v>
      </c>
      <c r="X584" s="51" t="n">
        <v>0</v>
      </c>
      <c r="Y584" s="51" t="n">
        <v>0</v>
      </c>
      <c r="Z584" s="51" t="n">
        <v>0</v>
      </c>
      <c r="AA584" s="52" t="n">
        <v>0</v>
      </c>
      <c r="AB584" s="52" t="n">
        <v>0</v>
      </c>
      <c r="AC584" s="52" t="n">
        <v>0</v>
      </c>
      <c r="AD584" s="52" t="n">
        <v>0</v>
      </c>
      <c r="AE584" s="52" t="n">
        <v>0</v>
      </c>
      <c r="AF584" s="52" t="n">
        <v>0</v>
      </c>
      <c r="AG584" s="52" t="n">
        <v>0</v>
      </c>
      <c r="AH584" s="52" t="n">
        <v>0</v>
      </c>
      <c r="AI584" s="52" t="n">
        <v>0</v>
      </c>
      <c r="AJ584" s="52" t="n">
        <v>0</v>
      </c>
      <c r="AK584" s="52" t="n">
        <v>0</v>
      </c>
      <c r="AL584" s="52" t="n">
        <v>0</v>
      </c>
      <c r="AM584" s="53" t="n">
        <v>0</v>
      </c>
      <c r="AN584" s="53" t="n">
        <v>0</v>
      </c>
      <c r="AO584" s="53" t="n">
        <v>0</v>
      </c>
      <c r="AP584" s="53" t="n">
        <v>0</v>
      </c>
      <c r="AQ584" s="52" t="n">
        <v>0</v>
      </c>
      <c r="AR584" s="52" t="n">
        <v>0</v>
      </c>
      <c r="AS584" s="52" t="n">
        <v>0</v>
      </c>
      <c r="AT584" s="52" t="n">
        <v>0</v>
      </c>
      <c r="AU584" s="53" t="n">
        <v>0</v>
      </c>
      <c r="AV584" s="53" t="n">
        <v>0</v>
      </c>
      <c r="AW584" s="53" t="n">
        <v>0</v>
      </c>
      <c r="AX584" s="53" t="n">
        <v>0</v>
      </c>
      <c r="AY584" s="52" t="n">
        <v>0</v>
      </c>
      <c r="AZ584" s="52" t="n">
        <v>0</v>
      </c>
      <c r="BA584" s="52" t="n">
        <v>0</v>
      </c>
      <c r="BB584" s="52" t="n">
        <v>0</v>
      </c>
      <c r="BC584" s="51" t="n">
        <v>0</v>
      </c>
      <c r="BD584" s="51" t="n">
        <v>0</v>
      </c>
      <c r="BE584" s="51" t="n">
        <v>0</v>
      </c>
      <c r="BF584" s="51" t="n">
        <v>0</v>
      </c>
    </row>
    <row r="585">
      <c r="A585">
        <f>HYPERLINK("https://www.walmart.com/ip/508797320", "508797320")</f>
        <v/>
      </c>
      <c r="B585" t="inlineStr">
        <is>
          <t>Terra Bed Blankets, Bedspreads, Bed throws, Soft Cozy Reversible Fuzzy Blanket  50" W x 60" L, Latte</t>
        </is>
      </c>
      <c r="C585" t="inlineStr">
        <is>
          <t>1TRK9000BR-JWCB</t>
        </is>
      </c>
      <c r="D585" t="inlineStr">
        <is>
          <t>Throws</t>
        </is>
      </c>
      <c r="E585" t="inlineStr">
        <is>
          <t>NAPA</t>
        </is>
      </c>
      <c r="G585" s="48" t="n">
        <v>0</v>
      </c>
      <c r="H585" s="48" t="n">
        <v>0</v>
      </c>
      <c r="I585" s="48" t="n">
        <v>0</v>
      </c>
      <c r="J585" s="48" t="n">
        <v>0</v>
      </c>
      <c r="K585" s="49" t="n">
        <v>0</v>
      </c>
      <c r="L585" s="49" t="n">
        <v>0</v>
      </c>
      <c r="M585" s="49" t="n">
        <v>0</v>
      </c>
      <c r="N585" s="49" t="n">
        <v>0</v>
      </c>
      <c r="O585" s="49" t="n">
        <v>0</v>
      </c>
      <c r="P585" s="49" t="n">
        <v>0</v>
      </c>
      <c r="Q585" s="49" t="n">
        <v>0</v>
      </c>
      <c r="R585" s="49" t="n">
        <v>0</v>
      </c>
      <c r="S585" s="50" t="n">
        <v>0</v>
      </c>
      <c r="T585" s="50" t="n">
        <v>0</v>
      </c>
      <c r="U585" s="50" t="n">
        <v>0</v>
      </c>
      <c r="V585" s="50" t="n">
        <v>0</v>
      </c>
      <c r="W585" s="51" t="n">
        <v>0</v>
      </c>
      <c r="X585" s="51" t="n">
        <v>0</v>
      </c>
      <c r="Y585" s="51" t="n">
        <v>0</v>
      </c>
      <c r="Z585" s="51" t="n">
        <v>0</v>
      </c>
      <c r="AA585" s="52" t="n">
        <v>0</v>
      </c>
      <c r="AB585" s="52" t="n">
        <v>0</v>
      </c>
      <c r="AC585" s="52" t="n">
        <v>0</v>
      </c>
      <c r="AD585" s="52" t="n">
        <v>0</v>
      </c>
      <c r="AE585" s="52" t="n">
        <v>0</v>
      </c>
      <c r="AF585" s="52" t="n">
        <v>0</v>
      </c>
      <c r="AG585" s="52" t="n">
        <v>0</v>
      </c>
      <c r="AH585" s="52" t="n">
        <v>0</v>
      </c>
      <c r="AI585" s="52" t="n">
        <v>0</v>
      </c>
      <c r="AJ585" s="52" t="n">
        <v>0</v>
      </c>
      <c r="AK585" s="52" t="n">
        <v>0</v>
      </c>
      <c r="AL585" s="52" t="n">
        <v>0</v>
      </c>
      <c r="AM585" s="53" t="n">
        <v>0</v>
      </c>
      <c r="AN585" s="53" t="n">
        <v>0</v>
      </c>
      <c r="AO585" s="53" t="n">
        <v>0</v>
      </c>
      <c r="AP585" s="53" t="n">
        <v>0</v>
      </c>
      <c r="AQ585" s="52" t="n">
        <v>0</v>
      </c>
      <c r="AR585" s="52" t="n">
        <v>0</v>
      </c>
      <c r="AS585" s="52" t="n">
        <v>0</v>
      </c>
      <c r="AT585" s="52" t="n">
        <v>0</v>
      </c>
      <c r="AU585" s="53" t="n">
        <v>0</v>
      </c>
      <c r="AV585" s="53" t="n">
        <v>0</v>
      </c>
      <c r="AW585" s="53" t="n">
        <v>0</v>
      </c>
      <c r="AX585" s="53" t="n">
        <v>0</v>
      </c>
      <c r="AY585" s="52" t="n">
        <v>0</v>
      </c>
      <c r="AZ585" s="52" t="n">
        <v>0</v>
      </c>
      <c r="BA585" s="52" t="n">
        <v>0</v>
      </c>
      <c r="BB585" s="52" t="n">
        <v>0</v>
      </c>
      <c r="BC585" s="51" t="n">
        <v>0</v>
      </c>
      <c r="BD585" s="51" t="n">
        <v>0</v>
      </c>
      <c r="BE585" s="51" t="n">
        <v>0</v>
      </c>
      <c r="BF585" s="51" t="n">
        <v>0</v>
      </c>
    </row>
    <row r="586">
      <c r="A586">
        <f>HYPERLINK("https://www.walmart.com/ip/509830191", "509830191")</f>
        <v/>
      </c>
      <c r="B586" t="inlineStr">
        <is>
          <t>Two Pieces Double up Tankini Swimsuit for Women Bathing Suits Set by Tirrinia</t>
        </is>
      </c>
      <c r="C586" t="inlineStr">
        <is>
          <t>1TRSS002PK-L</t>
        </is>
      </c>
      <c r="D586" t="inlineStr">
        <is>
          <t>Swimsuit Sets</t>
        </is>
      </c>
      <c r="E586" t="inlineStr">
        <is>
          <t>Tirrinia</t>
        </is>
      </c>
      <c r="G586" s="48" t="n">
        <v>0</v>
      </c>
      <c r="H586" s="48" t="n">
        <v>0</v>
      </c>
      <c r="I586" s="48" t="n">
        <v>0</v>
      </c>
      <c r="J586" s="48" t="n">
        <v>0</v>
      </c>
      <c r="K586" s="49" t="n">
        <v>0</v>
      </c>
      <c r="L586" s="49" t="n">
        <v>0</v>
      </c>
      <c r="M586" s="49" t="n">
        <v>0</v>
      </c>
      <c r="N586" s="49" t="n">
        <v>0</v>
      </c>
      <c r="O586" s="49" t="n">
        <v>0</v>
      </c>
      <c r="P586" s="49" t="n">
        <v>0</v>
      </c>
      <c r="Q586" s="49" t="n">
        <v>0</v>
      </c>
      <c r="R586" s="49" t="n">
        <v>0</v>
      </c>
      <c r="S586" s="50" t="n">
        <v>0</v>
      </c>
      <c r="T586" s="50" t="n">
        <v>0</v>
      </c>
      <c r="U586" s="50" t="n">
        <v>0</v>
      </c>
      <c r="V586" s="50" t="n">
        <v>0</v>
      </c>
      <c r="W586" s="51" t="n">
        <v>0</v>
      </c>
      <c r="X586" s="51" t="n">
        <v>0</v>
      </c>
      <c r="Y586" s="51" t="n">
        <v>0</v>
      </c>
      <c r="Z586" s="51" t="n">
        <v>0</v>
      </c>
      <c r="AA586" s="52" t="n">
        <v>0</v>
      </c>
      <c r="AB586" s="52" t="n">
        <v>0</v>
      </c>
      <c r="AC586" s="52" t="n">
        <v>0</v>
      </c>
      <c r="AD586" s="52" t="n">
        <v>0</v>
      </c>
      <c r="AE586" s="52" t="n">
        <v>0</v>
      </c>
      <c r="AF586" s="52" t="n">
        <v>0</v>
      </c>
      <c r="AG586" s="52" t="n">
        <v>0</v>
      </c>
      <c r="AH586" s="52" t="n">
        <v>0</v>
      </c>
      <c r="AI586" s="52" t="n">
        <v>0</v>
      </c>
      <c r="AJ586" s="52" t="n">
        <v>0</v>
      </c>
      <c r="AK586" s="52" t="n">
        <v>0</v>
      </c>
      <c r="AL586" s="52" t="n">
        <v>0</v>
      </c>
      <c r="AM586" s="53" t="n">
        <v>0</v>
      </c>
      <c r="AN586" s="53" t="n">
        <v>0</v>
      </c>
      <c r="AO586" s="53" t="n">
        <v>0</v>
      </c>
      <c r="AP586" s="53" t="n">
        <v>0</v>
      </c>
      <c r="AQ586" s="52" t="n">
        <v>0</v>
      </c>
      <c r="AR586" s="52" t="n">
        <v>0</v>
      </c>
      <c r="AS586" s="52" t="n">
        <v>0</v>
      </c>
      <c r="AT586" s="52" t="n">
        <v>0</v>
      </c>
      <c r="AU586" s="53" t="n">
        <v>0</v>
      </c>
      <c r="AV586" s="53" t="n">
        <v>0</v>
      </c>
      <c r="AW586" s="53" t="n">
        <v>0</v>
      </c>
      <c r="AX586" s="53" t="n">
        <v>0</v>
      </c>
      <c r="AY586" s="52" t="n">
        <v>0</v>
      </c>
      <c r="AZ586" s="52" t="n">
        <v>0</v>
      </c>
      <c r="BA586" s="52" t="n">
        <v>0</v>
      </c>
      <c r="BB586" s="52" t="n">
        <v>0</v>
      </c>
      <c r="BC586" s="51" t="n">
        <v>0</v>
      </c>
      <c r="BD586" s="51" t="n">
        <v>0</v>
      </c>
      <c r="BE586" s="51" t="n">
        <v>0</v>
      </c>
      <c r="BF586" s="51" t="n">
        <v>0</v>
      </c>
    </row>
    <row r="587">
      <c r="A587">
        <f>HYPERLINK("https://www.walmart.com/ip/519753209", "519753209")</f>
        <v/>
      </c>
      <c r="B587" t="inlineStr">
        <is>
          <t>Sun Blocker Sun Hat for Men, Sun Cap with Neck Flap for Fishing, Safari, Cycling, Hiking, Gardening, and Backpacking, UPF50+, Khaki</t>
        </is>
      </c>
      <c r="C587" t="inlineStr">
        <is>
          <t>KC-S9153-KK</t>
        </is>
      </c>
      <c r="D587" t="inlineStr">
        <is>
          <t>Hats</t>
        </is>
      </c>
      <c r="E587" t="inlineStr">
        <is>
          <t>Sun Blocker</t>
        </is>
      </c>
      <c r="F587" t="inlineStr">
        <is>
          <t>Q2-Target,Optimized,Hats</t>
        </is>
      </c>
      <c r="G587" s="48" t="n">
        <v>0</v>
      </c>
      <c r="H587" s="48" t="n">
        <v>0</v>
      </c>
      <c r="I587" s="48" t="n">
        <v>0</v>
      </c>
      <c r="J587" s="48" t="n">
        <v>0</v>
      </c>
      <c r="K587" s="49" t="n">
        <v>0</v>
      </c>
      <c r="L587" s="49" t="n">
        <v>0</v>
      </c>
      <c r="M587" s="49" t="n">
        <v>0</v>
      </c>
      <c r="N587" s="49" t="n">
        <v>0</v>
      </c>
      <c r="O587" s="49" t="n">
        <v>0</v>
      </c>
      <c r="P587" s="49" t="n">
        <v>0</v>
      </c>
      <c r="Q587" s="49" t="n">
        <v>0</v>
      </c>
      <c r="R587" s="49" t="n">
        <v>0</v>
      </c>
      <c r="S587" s="50" t="n">
        <v>0</v>
      </c>
      <c r="T587" s="50" t="n">
        <v>0</v>
      </c>
      <c r="U587" s="50" t="n">
        <v>0</v>
      </c>
      <c r="V587" s="50" t="n">
        <v>0</v>
      </c>
      <c r="W587" s="51" t="n">
        <v>0</v>
      </c>
      <c r="X587" s="51" t="n">
        <v>0</v>
      </c>
      <c r="Y587" s="51" t="n">
        <v>0</v>
      </c>
      <c r="Z587" s="51" t="n">
        <v>0</v>
      </c>
      <c r="AA587" s="52" t="n">
        <v>0</v>
      </c>
      <c r="AB587" s="52" t="n">
        <v>0</v>
      </c>
      <c r="AC587" s="52" t="n">
        <v>0</v>
      </c>
      <c r="AD587" s="52" t="n">
        <v>0</v>
      </c>
      <c r="AE587" s="52" t="n">
        <v>0</v>
      </c>
      <c r="AF587" s="52" t="n">
        <v>0</v>
      </c>
      <c r="AG587" s="52" t="n">
        <v>0</v>
      </c>
      <c r="AH587" s="52" t="n">
        <v>0</v>
      </c>
      <c r="AI587" s="52" t="n">
        <v>0</v>
      </c>
      <c r="AJ587" s="52" t="n">
        <v>0</v>
      </c>
      <c r="AK587" s="52" t="n">
        <v>0</v>
      </c>
      <c r="AL587" s="52" t="n">
        <v>0</v>
      </c>
      <c r="AM587" s="53" t="n">
        <v>0</v>
      </c>
      <c r="AN587" s="53" t="n">
        <v>0</v>
      </c>
      <c r="AO587" s="53" t="n">
        <v>0</v>
      </c>
      <c r="AP587" s="53" t="n">
        <v>0</v>
      </c>
      <c r="AQ587" s="52" t="n">
        <v>0</v>
      </c>
      <c r="AR587" s="52" t="n">
        <v>0</v>
      </c>
      <c r="AS587" s="52" t="n">
        <v>0</v>
      </c>
      <c r="AT587" s="52" t="n">
        <v>0</v>
      </c>
      <c r="AU587" s="53" t="n">
        <v>0</v>
      </c>
      <c r="AV587" s="53" t="n">
        <v>0</v>
      </c>
      <c r="AW587" s="53" t="n">
        <v>0</v>
      </c>
      <c r="AX587" s="53" t="n">
        <v>0</v>
      </c>
      <c r="AY587" s="52" t="n">
        <v>0</v>
      </c>
      <c r="AZ587" s="52" t="n">
        <v>0</v>
      </c>
      <c r="BA587" s="52" t="n">
        <v>0</v>
      </c>
      <c r="BB587" s="52" t="n">
        <v>0</v>
      </c>
      <c r="BC587" s="51" t="n">
        <v>0</v>
      </c>
      <c r="BD587" s="51" t="n">
        <v>0</v>
      </c>
      <c r="BE587" s="51" t="n">
        <v>0</v>
      </c>
      <c r="BF587" s="51" t="n">
        <v>0</v>
      </c>
    </row>
    <row r="588">
      <c r="A588">
        <f>HYPERLINK("https://www.walmart.com/ip/519879220", "519879220")</f>
        <v/>
      </c>
      <c r="B588" t="inlineStr">
        <is>
          <t>Microplush Sherpa Blanket with Sleeves for Women and Men Wine</t>
        </is>
      </c>
      <c r="C588" t="inlineStr">
        <is>
          <t>1TNSN110WN-TPB</t>
        </is>
      </c>
      <c r="D588" t="inlineStr">
        <is>
          <t>Throws</t>
        </is>
      </c>
      <c r="E588" t="inlineStr">
        <is>
          <t>Terrania</t>
        </is>
      </c>
      <c r="G588" s="48" t="n">
        <v>0</v>
      </c>
      <c r="H588" s="48" t="n">
        <v>0</v>
      </c>
      <c r="I588" s="48" t="n">
        <v>0</v>
      </c>
      <c r="J588" s="48" t="n">
        <v>0</v>
      </c>
      <c r="K588" s="49" t="n">
        <v>0</v>
      </c>
      <c r="L588" s="49" t="n">
        <v>0</v>
      </c>
      <c r="M588" s="49" t="n">
        <v>0</v>
      </c>
      <c r="N588" s="49" t="n">
        <v>0</v>
      </c>
      <c r="O588" s="49" t="n">
        <v>0</v>
      </c>
      <c r="P588" s="49" t="n">
        <v>0</v>
      </c>
      <c r="Q588" s="49" t="n">
        <v>0</v>
      </c>
      <c r="R588" s="49" t="n">
        <v>0</v>
      </c>
      <c r="S588" s="50" t="n">
        <v>0</v>
      </c>
      <c r="T588" s="50" t="n">
        <v>0</v>
      </c>
      <c r="U588" s="50" t="n">
        <v>0</v>
      </c>
      <c r="V588" s="50" t="n">
        <v>0</v>
      </c>
      <c r="W588" s="51" t="n">
        <v>0</v>
      </c>
      <c r="X588" s="51" t="n">
        <v>0</v>
      </c>
      <c r="Y588" s="51" t="n">
        <v>0</v>
      </c>
      <c r="Z588" s="51" t="n">
        <v>0</v>
      </c>
      <c r="AA588" s="52" t="n">
        <v>0</v>
      </c>
      <c r="AB588" s="52" t="n">
        <v>0</v>
      </c>
      <c r="AC588" s="52" t="n">
        <v>0</v>
      </c>
      <c r="AD588" s="52" t="n">
        <v>0</v>
      </c>
      <c r="AE588" s="52" t="n">
        <v>0</v>
      </c>
      <c r="AF588" s="52" t="n">
        <v>0</v>
      </c>
      <c r="AG588" s="52" t="n">
        <v>0</v>
      </c>
      <c r="AH588" s="52" t="n">
        <v>0</v>
      </c>
      <c r="AI588" s="52" t="n">
        <v>0</v>
      </c>
      <c r="AJ588" s="52" t="n">
        <v>0</v>
      </c>
      <c r="AK588" s="52" t="n">
        <v>0</v>
      </c>
      <c r="AL588" s="52" t="n">
        <v>0</v>
      </c>
      <c r="AM588" s="53" t="n">
        <v>0</v>
      </c>
      <c r="AN588" s="53" t="n">
        <v>0</v>
      </c>
      <c r="AO588" s="53" t="n">
        <v>0</v>
      </c>
      <c r="AP588" s="53" t="n">
        <v>0</v>
      </c>
      <c r="AQ588" s="52" t="n">
        <v>0</v>
      </c>
      <c r="AR588" s="52" t="n">
        <v>0</v>
      </c>
      <c r="AS588" s="52" t="n">
        <v>0</v>
      </c>
      <c r="AT588" s="52" t="n">
        <v>0</v>
      </c>
      <c r="AU588" s="53" t="n">
        <v>0</v>
      </c>
      <c r="AV588" s="53" t="n">
        <v>0</v>
      </c>
      <c r="AW588" s="53" t="n">
        <v>0</v>
      </c>
      <c r="AX588" s="53" t="n">
        <v>0</v>
      </c>
      <c r="AY588" s="52" t="n">
        <v>0</v>
      </c>
      <c r="AZ588" s="52" t="n">
        <v>0</v>
      </c>
      <c r="BA588" s="52" t="n">
        <v>0</v>
      </c>
      <c r="BB588" s="52" t="n">
        <v>0</v>
      </c>
      <c r="BC588" s="51" t="n">
        <v>0</v>
      </c>
      <c r="BD588" s="51" t="n">
        <v>0</v>
      </c>
      <c r="BE588" s="51" t="n">
        <v>0</v>
      </c>
      <c r="BF588" s="51" t="n">
        <v>0</v>
      </c>
    </row>
    <row r="589">
      <c r="A589">
        <f>HYPERLINK("https://www.walmart.com/ip/5076325720", "5076325720")</f>
        <v/>
      </c>
      <c r="B589" t="inlineStr">
        <is>
          <t>Tirrinia Women's Plush Soft Robe - Fluffy, Warm, and Fleece Sherpa Shaggy Bathrobe for Ultimate Comfort, Machine Washable, Large Size, Pink</t>
        </is>
      </c>
      <c r="C589" t="inlineStr">
        <is>
          <t>1TRRB503PK-4</t>
        </is>
      </c>
      <c r="D589" t="inlineStr">
        <is>
          <t>Sleepwear Robes &amp; Bathrobes</t>
        </is>
      </c>
      <c r="E589" t="inlineStr">
        <is>
          <t>Tirrinia</t>
        </is>
      </c>
      <c r="F589" t="inlineStr">
        <is>
          <t>Bathrobe,Coupon_Discount</t>
        </is>
      </c>
      <c r="G589" s="48" t="n">
        <v>0</v>
      </c>
      <c r="H589" s="48" t="n">
        <v>0</v>
      </c>
      <c r="I589" s="48" t="n">
        <v>0</v>
      </c>
      <c r="J589" s="48" t="n">
        <v>0</v>
      </c>
      <c r="K589" s="49" t="n">
        <v>0</v>
      </c>
      <c r="L589" s="49" t="n">
        <v>0</v>
      </c>
      <c r="M589" s="49" t="n">
        <v>0</v>
      </c>
      <c r="N589" s="49" t="n">
        <v>0</v>
      </c>
      <c r="O589" s="49" t="n">
        <v>0</v>
      </c>
      <c r="P589" s="49" t="n">
        <v>0</v>
      </c>
      <c r="Q589" s="49" t="n">
        <v>0</v>
      </c>
      <c r="R589" s="49" t="n">
        <v>0</v>
      </c>
      <c r="S589" s="50" t="n">
        <v>0</v>
      </c>
      <c r="T589" s="50" t="n">
        <v>0</v>
      </c>
      <c r="U589" s="50" t="n">
        <v>0</v>
      </c>
      <c r="V589" s="50" t="n">
        <v>0</v>
      </c>
      <c r="W589" s="51" t="n">
        <v>0</v>
      </c>
      <c r="X589" s="51" t="n">
        <v>0</v>
      </c>
      <c r="Y589" s="51" t="n">
        <v>0</v>
      </c>
      <c r="Z589" s="51" t="n">
        <v>0</v>
      </c>
      <c r="AA589" s="52" t="n">
        <v>0</v>
      </c>
      <c r="AB589" s="52" t="n">
        <v>0</v>
      </c>
      <c r="AC589" s="52" t="n">
        <v>0</v>
      </c>
      <c r="AD589" s="52" t="n">
        <v>0</v>
      </c>
      <c r="AE589" s="52" t="n">
        <v>0</v>
      </c>
      <c r="AF589" s="52" t="n">
        <v>0</v>
      </c>
      <c r="AG589" s="52" t="n">
        <v>0</v>
      </c>
      <c r="AH589" s="52" t="n">
        <v>0</v>
      </c>
      <c r="AI589" s="52" t="n">
        <v>0</v>
      </c>
      <c r="AJ589" s="52" t="n">
        <v>0</v>
      </c>
      <c r="AK589" s="52" t="n">
        <v>0</v>
      </c>
      <c r="AL589" s="52" t="n">
        <v>0</v>
      </c>
      <c r="AM589" s="53" t="n">
        <v>0</v>
      </c>
      <c r="AN589" s="53" t="n">
        <v>0</v>
      </c>
      <c r="AO589" s="53" t="n">
        <v>0</v>
      </c>
      <c r="AP589" s="53" t="n">
        <v>0</v>
      </c>
      <c r="AQ589" s="52" t="n">
        <v>0</v>
      </c>
      <c r="AR589" s="52" t="n">
        <v>0</v>
      </c>
      <c r="AS589" s="52" t="n">
        <v>0</v>
      </c>
      <c r="AT589" s="52" t="n">
        <v>0</v>
      </c>
      <c r="AU589" s="53" t="n">
        <v>0</v>
      </c>
      <c r="AV589" s="53" t="n">
        <v>0</v>
      </c>
      <c r="AW589" s="53" t="n">
        <v>0</v>
      </c>
      <c r="AX589" s="53" t="n">
        <v>0</v>
      </c>
      <c r="AY589" s="52" t="n">
        <v>0</v>
      </c>
      <c r="AZ589" s="52" t="n">
        <v>0</v>
      </c>
      <c r="BA589" s="52" t="n">
        <v>0</v>
      </c>
      <c r="BB589" s="52" t="n">
        <v>0</v>
      </c>
      <c r="BC589" s="51" t="n">
        <v>0</v>
      </c>
      <c r="BD589" s="51" t="n">
        <v>0</v>
      </c>
      <c r="BE589" s="51" t="n">
        <v>0</v>
      </c>
      <c r="BF589" s="51" t="n">
        <v>0</v>
      </c>
    </row>
    <row r="590">
      <c r="A590">
        <f>HYPERLINK("https://www.walmart.com/ip/520009811", "520009811")</f>
        <v/>
      </c>
      <c r="B590" t="inlineStr">
        <is>
          <t>Mens Underwear Mens Boxer Briefs with Elastic Waistband Solid New Classic Fit, 3 Pack by Terra</t>
        </is>
      </c>
      <c r="C590" t="inlineStr">
        <is>
          <t>TERRA-BOXER5-M</t>
        </is>
      </c>
      <c r="D590" t="inlineStr">
        <is>
          <t>Underpants</t>
        </is>
      </c>
      <c r="E590" t="inlineStr">
        <is>
          <t>Terra</t>
        </is>
      </c>
      <c r="F590" t="inlineStr">
        <is>
          <t>Batch 1 - TR</t>
        </is>
      </c>
      <c r="G590" s="48" t="n">
        <v>0</v>
      </c>
      <c r="H590" s="48" t="n">
        <v>0</v>
      </c>
      <c r="I590" s="48" t="n">
        <v>0</v>
      </c>
      <c r="J590" s="48" t="n">
        <v>0</v>
      </c>
      <c r="K590" s="49" t="n">
        <v>0</v>
      </c>
      <c r="L590" s="49" t="n">
        <v>0</v>
      </c>
      <c r="M590" s="49" t="n">
        <v>0</v>
      </c>
      <c r="N590" s="49" t="n">
        <v>0</v>
      </c>
      <c r="O590" s="49" t="n">
        <v>0</v>
      </c>
      <c r="P590" s="49" t="n">
        <v>0</v>
      </c>
      <c r="Q590" s="49" t="n">
        <v>0</v>
      </c>
      <c r="R590" s="49" t="n">
        <v>0</v>
      </c>
      <c r="S590" s="50" t="n">
        <v>0</v>
      </c>
      <c r="T590" s="50" t="n">
        <v>0</v>
      </c>
      <c r="U590" s="50" t="n">
        <v>0</v>
      </c>
      <c r="V590" s="50" t="n">
        <v>0</v>
      </c>
      <c r="W590" s="51" t="n">
        <v>0</v>
      </c>
      <c r="X590" s="51" t="n">
        <v>0</v>
      </c>
      <c r="Y590" s="51" t="n">
        <v>0</v>
      </c>
      <c r="Z590" s="51" t="n">
        <v>0</v>
      </c>
      <c r="AA590" s="52" t="n">
        <v>0</v>
      </c>
      <c r="AB590" s="52" t="n">
        <v>0</v>
      </c>
      <c r="AC590" s="52" t="n">
        <v>0</v>
      </c>
      <c r="AD590" s="52" t="n">
        <v>0</v>
      </c>
      <c r="AE590" s="52" t="n">
        <v>0</v>
      </c>
      <c r="AF590" s="52" t="n">
        <v>0</v>
      </c>
      <c r="AG590" s="52" t="n">
        <v>0</v>
      </c>
      <c r="AH590" s="52" t="n">
        <v>0</v>
      </c>
      <c r="AI590" s="52" t="n">
        <v>0</v>
      </c>
      <c r="AJ590" s="52" t="n">
        <v>0</v>
      </c>
      <c r="AK590" s="52" t="n">
        <v>0</v>
      </c>
      <c r="AL590" s="52" t="n">
        <v>0</v>
      </c>
      <c r="AM590" s="53" t="n">
        <v>0</v>
      </c>
      <c r="AN590" s="53" t="n">
        <v>0</v>
      </c>
      <c r="AO590" s="53" t="n">
        <v>0</v>
      </c>
      <c r="AP590" s="53" t="n">
        <v>0</v>
      </c>
      <c r="AQ590" s="52" t="n">
        <v>0</v>
      </c>
      <c r="AR590" s="52" t="n">
        <v>0</v>
      </c>
      <c r="AS590" s="52" t="n">
        <v>0</v>
      </c>
      <c r="AT590" s="52" t="n">
        <v>0</v>
      </c>
      <c r="AU590" s="53" t="n">
        <v>0</v>
      </c>
      <c r="AV590" s="53" t="n">
        <v>0</v>
      </c>
      <c r="AW590" s="53" t="n">
        <v>0</v>
      </c>
      <c r="AX590" s="53" t="n">
        <v>0</v>
      </c>
      <c r="AY590" s="52" t="n">
        <v>0</v>
      </c>
      <c r="AZ590" s="52" t="n">
        <v>0</v>
      </c>
      <c r="BA590" s="52" t="n">
        <v>0</v>
      </c>
      <c r="BB590" s="52" t="n">
        <v>0</v>
      </c>
      <c r="BC590" s="51" t="n">
        <v>0</v>
      </c>
      <c r="BD590" s="51" t="n">
        <v>0</v>
      </c>
      <c r="BE590" s="51" t="n">
        <v>0</v>
      </c>
      <c r="BF590" s="51" t="n">
        <v>0</v>
      </c>
    </row>
    <row r="591">
      <c r="A591">
        <f>HYPERLINK("https://www.walmart.com/ip/527909020", "527909020")</f>
        <v/>
      </c>
      <c r="B591" t="inlineStr">
        <is>
          <t>Tirrinia Small Insulated Lunch Bag for Adult&amp;Kids, Splash Proof Mini Portable Reusable Thermal Lunch Box Cooler Tote for Student Back to School,Black &amp; Purple</t>
        </is>
      </c>
      <c r="C591" t="inlineStr">
        <is>
          <t>1TRLB100BKPP</t>
        </is>
      </c>
      <c r="D591" t="inlineStr">
        <is>
          <t>Reusable Lunch Bags &amp; Boxes</t>
        </is>
      </c>
      <c r="E591" t="inlineStr">
        <is>
          <t>Tirrinia</t>
        </is>
      </c>
      <c r="F591" t="inlineStr">
        <is>
          <t>Lunch Bag,Lunch Bags</t>
        </is>
      </c>
      <c r="G591" s="48" t="n">
        <v>0</v>
      </c>
      <c r="H591" s="48" t="n">
        <v>21.98</v>
      </c>
      <c r="I591" s="48" t="n">
        <v>10.99</v>
      </c>
      <c r="J591" s="48" t="n">
        <v>-10.99</v>
      </c>
      <c r="K591" s="49" t="n">
        <v>0</v>
      </c>
      <c r="L591" s="49" t="n">
        <v>2</v>
      </c>
      <c r="M591" s="49" t="n">
        <v>1</v>
      </c>
      <c r="N591" s="49" t="n">
        <v>-1</v>
      </c>
      <c r="O591" s="49" t="n">
        <v>2</v>
      </c>
      <c r="P591" s="49" t="n">
        <v>6</v>
      </c>
      <c r="Q591" s="49" t="n">
        <v>8</v>
      </c>
      <c r="R591" s="49" t="n">
        <v>8</v>
      </c>
      <c r="S591" s="50" t="n">
        <v>0</v>
      </c>
      <c r="T591" s="50" t="n">
        <v>0.3333333333333333</v>
      </c>
      <c r="U591" s="50" t="n">
        <v>0.125</v>
      </c>
      <c r="V591" s="50" t="n">
        <v>-0.125</v>
      </c>
      <c r="W591" s="51" t="n">
        <v>0</v>
      </c>
      <c r="X591" s="51" t="n">
        <v>0</v>
      </c>
      <c r="Y591" s="51" t="n">
        <v>0</v>
      </c>
      <c r="Z591" s="51" t="n">
        <v>0</v>
      </c>
      <c r="AA591" s="52" t="n">
        <v>0</v>
      </c>
      <c r="AB591" s="52" t="n">
        <v>0</v>
      </c>
      <c r="AC591" s="52" t="n">
        <v>0</v>
      </c>
      <c r="AD591" s="52" t="n">
        <v>0</v>
      </c>
      <c r="AE591" s="52" t="n">
        <v>0</v>
      </c>
      <c r="AF591" s="52" t="n">
        <v>0</v>
      </c>
      <c r="AG591" s="52" t="n">
        <v>0</v>
      </c>
      <c r="AH591" s="52" t="n">
        <v>0</v>
      </c>
      <c r="AI591" s="52" t="n">
        <v>0</v>
      </c>
      <c r="AJ591" s="52" t="n">
        <v>0</v>
      </c>
      <c r="AK591" s="52" t="n">
        <v>0</v>
      </c>
      <c r="AL591" s="52" t="n">
        <v>0</v>
      </c>
      <c r="AM591" s="53" t="n">
        <v>0</v>
      </c>
      <c r="AN591" s="53" t="n">
        <v>0</v>
      </c>
      <c r="AO591" s="53" t="n">
        <v>0</v>
      </c>
      <c r="AP591" s="53" t="n">
        <v>0</v>
      </c>
      <c r="AQ591" s="52" t="n">
        <v>0</v>
      </c>
      <c r="AR591" s="52" t="n">
        <v>0</v>
      </c>
      <c r="AS591" s="52" t="n">
        <v>0</v>
      </c>
      <c r="AT591" s="52" t="n">
        <v>0</v>
      </c>
      <c r="AU591" s="53" t="n">
        <v>0</v>
      </c>
      <c r="AV591" s="53" t="n">
        <v>0</v>
      </c>
      <c r="AW591" s="53" t="n">
        <v>0</v>
      </c>
      <c r="AX591" s="53" t="n">
        <v>0</v>
      </c>
      <c r="AY591" s="52" t="n">
        <v>0</v>
      </c>
      <c r="AZ591" s="52" t="n">
        <v>10.99</v>
      </c>
      <c r="BA591" s="52" t="n">
        <v>10.99</v>
      </c>
      <c r="BB591" s="52" t="n">
        <v>0</v>
      </c>
      <c r="BC591" s="51" t="n">
        <v>0</v>
      </c>
      <c r="BD591" s="51" t="n">
        <v>0</v>
      </c>
      <c r="BE591" s="51" t="n">
        <v>0</v>
      </c>
      <c r="BF591" s="51" t="n">
        <v>0</v>
      </c>
    </row>
    <row r="592">
      <c r="A592">
        <f>HYPERLINK("https://www.walmart.com/ip/528475578", "528475578")</f>
        <v/>
      </c>
      <c r="B592" t="inlineStr">
        <is>
          <t>Oversized Hooded Poncho Cape, Casual Hoodie Sweatshirt, Batwing Coat Pullover | Light Weight, Cozy, Comfortable, Roomy | for Adults Women Men Teens</t>
        </is>
      </c>
      <c r="C592" t="inlineStr">
        <is>
          <t>1CTHD542GY</t>
        </is>
      </c>
      <c r="D592" t="inlineStr">
        <is>
          <t>Sweatshirts &amp; Hoodies</t>
        </is>
      </c>
      <c r="E592" t="inlineStr">
        <is>
          <t>Catalonia</t>
        </is>
      </c>
      <c r="F592" t="inlineStr">
        <is>
          <t>Hoodie ForAdult,Optimized,Coupon_Discount</t>
        </is>
      </c>
      <c r="G592" s="48" t="n">
        <v>0</v>
      </c>
      <c r="H592" s="48" t="n">
        <v>0</v>
      </c>
      <c r="I592" s="48" t="n">
        <v>0</v>
      </c>
      <c r="J592" s="48" t="n">
        <v>0</v>
      </c>
      <c r="K592" s="49" t="n">
        <v>0</v>
      </c>
      <c r="L592" s="49" t="n">
        <v>0</v>
      </c>
      <c r="M592" s="49" t="n">
        <v>0</v>
      </c>
      <c r="N592" s="49" t="n">
        <v>0</v>
      </c>
      <c r="O592" s="49" t="n">
        <v>0</v>
      </c>
      <c r="P592" s="49" t="n">
        <v>0</v>
      </c>
      <c r="Q592" s="49" t="n">
        <v>0</v>
      </c>
      <c r="R592" s="49" t="n">
        <v>0</v>
      </c>
      <c r="S592" s="50" t="n">
        <v>0</v>
      </c>
      <c r="T592" s="50" t="n">
        <v>0</v>
      </c>
      <c r="U592" s="50" t="n">
        <v>0</v>
      </c>
      <c r="V592" s="50" t="n">
        <v>0</v>
      </c>
      <c r="W592" s="51" t="n">
        <v>1</v>
      </c>
      <c r="X592" s="51" t="n">
        <v>0</v>
      </c>
      <c r="Y592" s="51" t="n">
        <v>0</v>
      </c>
      <c r="Z592" s="51" t="n">
        <v>0</v>
      </c>
      <c r="AA592" s="52" t="n">
        <v>0.38</v>
      </c>
      <c r="AB592" s="52" t="n">
        <v>0</v>
      </c>
      <c r="AC592" s="52" t="n">
        <v>0</v>
      </c>
      <c r="AD592" s="52" t="n">
        <v>0</v>
      </c>
      <c r="AE592" s="52" t="n">
        <v>0</v>
      </c>
      <c r="AF592" s="52" t="n">
        <v>0</v>
      </c>
      <c r="AG592" s="52" t="n">
        <v>0</v>
      </c>
      <c r="AH592" s="52" t="n">
        <v>0</v>
      </c>
      <c r="AI592" s="52" t="n">
        <v>0</v>
      </c>
      <c r="AJ592" s="52" t="n">
        <v>0</v>
      </c>
      <c r="AK592" s="52" t="n">
        <v>0</v>
      </c>
      <c r="AL592" s="52" t="n">
        <v>0</v>
      </c>
      <c r="AM592" s="53" t="n">
        <v>0.0008</v>
      </c>
      <c r="AN592" s="53" t="n">
        <v>0</v>
      </c>
      <c r="AO592" s="53" t="n">
        <v>0</v>
      </c>
      <c r="AP592" s="53" t="n">
        <v>0</v>
      </c>
      <c r="AQ592" s="52" t="n">
        <v>0.38</v>
      </c>
      <c r="AR592" s="52" t="n">
        <v>0</v>
      </c>
      <c r="AS592" s="52" t="n">
        <v>0</v>
      </c>
      <c r="AT592" s="52" t="n">
        <v>0</v>
      </c>
      <c r="AU592" s="53" t="n">
        <v>0</v>
      </c>
      <c r="AV592" s="53" t="n">
        <v>0</v>
      </c>
      <c r="AW592" s="53" t="n">
        <v>0</v>
      </c>
      <c r="AX592" s="53" t="n">
        <v>0</v>
      </c>
      <c r="AY592" s="52" t="n">
        <v>0</v>
      </c>
      <c r="AZ592" s="52" t="n">
        <v>0</v>
      </c>
      <c r="BA592" s="52" t="n">
        <v>0</v>
      </c>
      <c r="BB592" s="52" t="n">
        <v>0</v>
      </c>
      <c r="BC592" s="51" t="n">
        <v>1264</v>
      </c>
      <c r="BD592" s="51" t="n">
        <v>0</v>
      </c>
      <c r="BE592" s="51" t="n">
        <v>0</v>
      </c>
      <c r="BF592" s="51" t="n">
        <v>0</v>
      </c>
    </row>
    <row r="593">
      <c r="A593">
        <f>HYPERLINK("https://www.walmart.com/ip/528591524", "528591524")</f>
        <v/>
      </c>
      <c r="B593" t="inlineStr">
        <is>
          <t>Pawsse Waterproof Blanket, Pet Blanket, Pee Urine Proof Dog Blanket for Couch Bed Furniture Protector, Reversible Dog Fleece Blanket for Small Medium Large Dogs, Wine/Taupe, 80 X 60 Inches</t>
        </is>
      </c>
      <c r="C593" t="inlineStr">
        <is>
          <t>1PSBW681WNTP</t>
        </is>
      </c>
      <c r="D593" t="inlineStr">
        <is>
          <t>Pet Blankets</t>
        </is>
      </c>
      <c r="E593" t="inlineStr">
        <is>
          <t>Pawsse</t>
        </is>
      </c>
      <c r="F593" t="inlineStr">
        <is>
          <t>Q2-Target,Wproof Blanket,Batch 1 - TR</t>
        </is>
      </c>
      <c r="G593" s="48" t="n">
        <v>0</v>
      </c>
      <c r="H593" s="48" t="n">
        <v>0</v>
      </c>
      <c r="I593" s="48" t="n">
        <v>0</v>
      </c>
      <c r="J593" s="48" t="n">
        <v>0</v>
      </c>
      <c r="K593" s="49" t="n">
        <v>0</v>
      </c>
      <c r="L593" s="49" t="n">
        <v>0</v>
      </c>
      <c r="M593" s="49" t="n">
        <v>0</v>
      </c>
      <c r="N593" s="49" t="n">
        <v>0</v>
      </c>
      <c r="O593" s="49" t="n">
        <v>0</v>
      </c>
      <c r="P593" s="49" t="n">
        <v>0</v>
      </c>
      <c r="Q593" s="49" t="n">
        <v>0</v>
      </c>
      <c r="R593" s="49" t="n">
        <v>0</v>
      </c>
      <c r="S593" s="50" t="n">
        <v>0</v>
      </c>
      <c r="T593" s="50" t="n">
        <v>0</v>
      </c>
      <c r="U593" s="50" t="n">
        <v>0</v>
      </c>
      <c r="V593" s="50" t="n">
        <v>0</v>
      </c>
      <c r="W593" s="51" t="n">
        <v>0</v>
      </c>
      <c r="X593" s="51" t="n">
        <v>0</v>
      </c>
      <c r="Y593" s="51" t="n">
        <v>0</v>
      </c>
      <c r="Z593" s="51" t="n">
        <v>0</v>
      </c>
      <c r="AA593" s="52" t="n">
        <v>0</v>
      </c>
      <c r="AB593" s="52" t="n">
        <v>0</v>
      </c>
      <c r="AC593" s="52" t="n">
        <v>0</v>
      </c>
      <c r="AD593" s="52" t="n">
        <v>0</v>
      </c>
      <c r="AE593" s="52" t="n">
        <v>0</v>
      </c>
      <c r="AF593" s="52" t="n">
        <v>0</v>
      </c>
      <c r="AG593" s="52" t="n">
        <v>0</v>
      </c>
      <c r="AH593" s="52" t="n">
        <v>0</v>
      </c>
      <c r="AI593" s="52" t="n">
        <v>0</v>
      </c>
      <c r="AJ593" s="52" t="n">
        <v>0</v>
      </c>
      <c r="AK593" s="52" t="n">
        <v>0</v>
      </c>
      <c r="AL593" s="52" t="n">
        <v>0</v>
      </c>
      <c r="AM593" s="53" t="n">
        <v>0</v>
      </c>
      <c r="AN593" s="53" t="n">
        <v>0</v>
      </c>
      <c r="AO593" s="53" t="n">
        <v>0</v>
      </c>
      <c r="AP593" s="53" t="n">
        <v>0</v>
      </c>
      <c r="AQ593" s="52" t="n">
        <v>0</v>
      </c>
      <c r="AR593" s="52" t="n">
        <v>0</v>
      </c>
      <c r="AS593" s="52" t="n">
        <v>0</v>
      </c>
      <c r="AT593" s="52" t="n">
        <v>0</v>
      </c>
      <c r="AU593" s="53" t="n">
        <v>0</v>
      </c>
      <c r="AV593" s="53" t="n">
        <v>0</v>
      </c>
      <c r="AW593" s="53" t="n">
        <v>0</v>
      </c>
      <c r="AX593" s="53" t="n">
        <v>0</v>
      </c>
      <c r="AY593" s="52" t="n">
        <v>0</v>
      </c>
      <c r="AZ593" s="52" t="n">
        <v>0</v>
      </c>
      <c r="BA593" s="52" t="n">
        <v>0</v>
      </c>
      <c r="BB593" s="52" t="n">
        <v>0</v>
      </c>
      <c r="BC593" s="51" t="n">
        <v>0</v>
      </c>
      <c r="BD593" s="51" t="n">
        <v>0</v>
      </c>
      <c r="BE593" s="51" t="n">
        <v>0</v>
      </c>
      <c r="BF593" s="51" t="n">
        <v>0</v>
      </c>
    </row>
    <row r="594">
      <c r="A594">
        <f>HYPERLINK("https://www.walmart.com/ip/529229107", "529229107")</f>
        <v/>
      </c>
      <c r="B594" t="inlineStr">
        <is>
          <t>Catalonia Buffalo Plaid Sherpa Throw Blanket, Super Soft Reversible Fleece Blanket for Cabin Bed or Couch, Red Green Plaid,  50" x 60".</t>
        </is>
      </c>
      <c r="C594" t="inlineStr">
        <is>
          <t>1CTBF567PRDGN</t>
        </is>
      </c>
      <c r="D594" t="inlineStr">
        <is>
          <t>Throws</t>
        </is>
      </c>
      <c r="E594" t="inlineStr">
        <is>
          <t>Catalonia</t>
        </is>
      </c>
      <c r="F594" t="inlineStr">
        <is>
          <t>Q2-Target,Optimized,WFS,WFS Item,Fleece Blankets</t>
        </is>
      </c>
      <c r="G594" s="48" t="n">
        <v>0</v>
      </c>
      <c r="H594" s="48" t="n">
        <v>0</v>
      </c>
      <c r="I594" s="48" t="n">
        <v>0</v>
      </c>
      <c r="J594" s="48" t="n">
        <v>0</v>
      </c>
      <c r="K594" s="49" t="n">
        <v>0</v>
      </c>
      <c r="L594" s="49" t="n">
        <v>0</v>
      </c>
      <c r="M594" s="49" t="n">
        <v>0</v>
      </c>
      <c r="N594" s="49" t="n">
        <v>0</v>
      </c>
      <c r="O594" s="49" t="n">
        <v>0</v>
      </c>
      <c r="P594" s="49" t="n">
        <v>0</v>
      </c>
      <c r="Q594" s="49" t="n">
        <v>0</v>
      </c>
      <c r="R594" s="49" t="n">
        <v>0</v>
      </c>
      <c r="S594" s="50" t="n">
        <v>0</v>
      </c>
      <c r="T594" s="50" t="n">
        <v>0</v>
      </c>
      <c r="U594" s="50" t="n">
        <v>0</v>
      </c>
      <c r="V594" s="50" t="n">
        <v>0</v>
      </c>
      <c r="W594" s="51" t="n">
        <v>0</v>
      </c>
      <c r="X594" s="51" t="n">
        <v>0</v>
      </c>
      <c r="Y594" s="51" t="n">
        <v>0</v>
      </c>
      <c r="Z594" s="51" t="n">
        <v>0</v>
      </c>
      <c r="AA594" s="52" t="n">
        <v>0</v>
      </c>
      <c r="AB594" s="52" t="n">
        <v>0</v>
      </c>
      <c r="AC594" s="52" t="n">
        <v>0</v>
      </c>
      <c r="AD594" s="52" t="n">
        <v>0</v>
      </c>
      <c r="AE594" s="52" t="n">
        <v>0</v>
      </c>
      <c r="AF594" s="52" t="n">
        <v>0</v>
      </c>
      <c r="AG594" s="52" t="n">
        <v>0</v>
      </c>
      <c r="AH594" s="52" t="n">
        <v>0</v>
      </c>
      <c r="AI594" s="52" t="n">
        <v>0</v>
      </c>
      <c r="AJ594" s="52" t="n">
        <v>0</v>
      </c>
      <c r="AK594" s="52" t="n">
        <v>0</v>
      </c>
      <c r="AL594" s="52" t="n">
        <v>0</v>
      </c>
      <c r="AM594" s="53" t="n">
        <v>0</v>
      </c>
      <c r="AN594" s="53" t="n">
        <v>0</v>
      </c>
      <c r="AO594" s="53" t="n">
        <v>0</v>
      </c>
      <c r="AP594" s="53" t="n">
        <v>0</v>
      </c>
      <c r="AQ594" s="52" t="n">
        <v>0</v>
      </c>
      <c r="AR594" s="52" t="n">
        <v>0</v>
      </c>
      <c r="AS594" s="52" t="n">
        <v>0</v>
      </c>
      <c r="AT594" s="52" t="n">
        <v>0</v>
      </c>
      <c r="AU594" s="53" t="n">
        <v>0</v>
      </c>
      <c r="AV594" s="53" t="n">
        <v>0</v>
      </c>
      <c r="AW594" s="53" t="n">
        <v>0</v>
      </c>
      <c r="AX594" s="53" t="n">
        <v>0</v>
      </c>
      <c r="AY594" s="52" t="n">
        <v>0</v>
      </c>
      <c r="AZ594" s="52" t="n">
        <v>0</v>
      </c>
      <c r="BA594" s="52" t="n">
        <v>0</v>
      </c>
      <c r="BB594" s="52" t="n">
        <v>0</v>
      </c>
      <c r="BC594" s="51" t="n">
        <v>0</v>
      </c>
      <c r="BD594" s="51" t="n">
        <v>0</v>
      </c>
      <c r="BE594" s="51" t="n">
        <v>0</v>
      </c>
      <c r="BF594" s="51" t="n">
        <v>0</v>
      </c>
    </row>
    <row r="595">
      <c r="A595">
        <f>HYPERLINK("https://www.walmart.com/ip/530367477", "530367477")</f>
        <v/>
      </c>
      <c r="B595" t="inlineStr">
        <is>
          <t>Tirrinia Adult Insulated Lunch Bag with Front Pocket, Grey Green, 14'' x 7'' x 9.5'', 10.8 L</t>
        </is>
      </c>
      <c r="C595" t="inlineStr">
        <is>
          <t>1TRLB705GYNG</t>
        </is>
      </c>
      <c r="D595" t="inlineStr">
        <is>
          <t>Reusable Lunch Bags &amp; Boxes</t>
        </is>
      </c>
      <c r="E595" t="inlineStr">
        <is>
          <t>Tirrinia</t>
        </is>
      </c>
      <c r="F595" t="inlineStr">
        <is>
          <t>Q2-Target,Brand Camp VD,Lunch Bag,WFS,Lunch Bags,WFS Item</t>
        </is>
      </c>
      <c r="G595" s="48" t="n">
        <v>0</v>
      </c>
      <c r="H595" s="48" t="n">
        <v>0</v>
      </c>
      <c r="I595" s="48" t="n">
        <v>11.99</v>
      </c>
      <c r="J595" s="48" t="n">
        <v>0</v>
      </c>
      <c r="K595" s="49" t="n">
        <v>0</v>
      </c>
      <c r="L595" s="49" t="n">
        <v>0</v>
      </c>
      <c r="M595" s="49" t="n">
        <v>1</v>
      </c>
      <c r="N595" s="49" t="n">
        <v>0</v>
      </c>
      <c r="O595" s="49" t="n">
        <v>5</v>
      </c>
      <c r="P595" s="49" t="n">
        <v>0</v>
      </c>
      <c r="Q595" s="49" t="n">
        <v>0</v>
      </c>
      <c r="R595" s="49" t="n">
        <v>0</v>
      </c>
      <c r="S595" s="50" t="n">
        <v>0</v>
      </c>
      <c r="T595" s="50" t="n">
        <v>0</v>
      </c>
      <c r="U595" s="50" t="n">
        <v>0</v>
      </c>
      <c r="V595" s="50" t="n">
        <v>0</v>
      </c>
      <c r="W595" s="51" t="n">
        <v>0</v>
      </c>
      <c r="X595" s="51" t="n">
        <v>0</v>
      </c>
      <c r="Y595" s="51" t="n">
        <v>0</v>
      </c>
      <c r="Z595" s="51" t="n">
        <v>0</v>
      </c>
      <c r="AA595" s="52" t="n">
        <v>0</v>
      </c>
      <c r="AB595" s="52" t="n">
        <v>0</v>
      </c>
      <c r="AC595" s="52" t="n">
        <v>0</v>
      </c>
      <c r="AD595" s="52" t="n">
        <v>0</v>
      </c>
      <c r="AE595" s="52" t="n">
        <v>0</v>
      </c>
      <c r="AF595" s="52" t="n">
        <v>0</v>
      </c>
      <c r="AG595" s="52" t="n">
        <v>0</v>
      </c>
      <c r="AH595" s="52" t="n">
        <v>0</v>
      </c>
      <c r="AI595" s="52" t="n">
        <v>0</v>
      </c>
      <c r="AJ595" s="52" t="n">
        <v>0</v>
      </c>
      <c r="AK595" s="52" t="n">
        <v>0</v>
      </c>
      <c r="AL595" s="52" t="n">
        <v>0</v>
      </c>
      <c r="AM595" s="53" t="n">
        <v>0</v>
      </c>
      <c r="AN595" s="53" t="n">
        <v>0</v>
      </c>
      <c r="AO595" s="53" t="n">
        <v>0</v>
      </c>
      <c r="AP595" s="53" t="n">
        <v>0</v>
      </c>
      <c r="AQ595" s="52" t="n">
        <v>0</v>
      </c>
      <c r="AR595" s="52" t="n">
        <v>0</v>
      </c>
      <c r="AS595" s="52" t="n">
        <v>0</v>
      </c>
      <c r="AT595" s="52" t="n">
        <v>0</v>
      </c>
      <c r="AU595" s="53" t="n">
        <v>0</v>
      </c>
      <c r="AV595" s="53" t="n">
        <v>0</v>
      </c>
      <c r="AW595" s="53" t="n">
        <v>0</v>
      </c>
      <c r="AX595" s="53" t="n">
        <v>0</v>
      </c>
      <c r="AY595" s="52" t="n">
        <v>0</v>
      </c>
      <c r="AZ595" s="52" t="n">
        <v>0</v>
      </c>
      <c r="BA595" s="52" t="n">
        <v>11.99</v>
      </c>
      <c r="BB595" s="52" t="n">
        <v>0</v>
      </c>
      <c r="BC595" s="51" t="n">
        <v>0</v>
      </c>
      <c r="BD595" s="51" t="n">
        <v>0</v>
      </c>
      <c r="BE595" s="51" t="n">
        <v>0</v>
      </c>
      <c r="BF595" s="51" t="n">
        <v>0</v>
      </c>
    </row>
    <row r="596">
      <c r="A596">
        <f>HYPERLINK("https://www.walmart.com/ip/531901234", "531901234")</f>
        <v/>
      </c>
      <c r="B596" t="inlineStr">
        <is>
          <t>Surf Poncho Towel,Microfiber Water Absorbent Wetsuit Changing Robe After Surfing Swimming Bathing,Sand-Proof,Quick Drying</t>
        </is>
      </c>
      <c r="C596" t="inlineStr">
        <is>
          <t>1PRBR101-BK</t>
        </is>
      </c>
      <c r="D596" t="inlineStr">
        <is>
          <t>default</t>
        </is>
      </c>
      <c r="E596" t="inlineStr">
        <is>
          <t>PIER RAT HUNTINGTON</t>
        </is>
      </c>
      <c r="G596" s="48" t="n">
        <v>0</v>
      </c>
      <c r="H596" s="48" t="n">
        <v>0</v>
      </c>
      <c r="I596" s="48" t="n">
        <v>0</v>
      </c>
      <c r="J596" s="48" t="n">
        <v>0</v>
      </c>
      <c r="K596" s="49" t="n">
        <v>0</v>
      </c>
      <c r="L596" s="49" t="n">
        <v>0</v>
      </c>
      <c r="M596" s="49" t="n">
        <v>0</v>
      </c>
      <c r="N596" s="49" t="n">
        <v>0</v>
      </c>
      <c r="O596" s="49" t="n">
        <v>0</v>
      </c>
      <c r="P596" s="49" t="n">
        <v>0</v>
      </c>
      <c r="Q596" s="49" t="n">
        <v>0</v>
      </c>
      <c r="R596" s="49" t="n">
        <v>0</v>
      </c>
      <c r="S596" s="50" t="n">
        <v>0</v>
      </c>
      <c r="T596" s="50" t="n">
        <v>0</v>
      </c>
      <c r="U596" s="50" t="n">
        <v>0</v>
      </c>
      <c r="V596" s="50" t="n">
        <v>0</v>
      </c>
      <c r="W596" s="51" t="n">
        <v>0</v>
      </c>
      <c r="X596" s="51" t="n">
        <v>0</v>
      </c>
      <c r="Y596" s="51" t="n">
        <v>0</v>
      </c>
      <c r="Z596" s="51" t="n">
        <v>0</v>
      </c>
      <c r="AA596" s="52" t="n">
        <v>0</v>
      </c>
      <c r="AB596" s="52" t="n">
        <v>0</v>
      </c>
      <c r="AC596" s="52" t="n">
        <v>0</v>
      </c>
      <c r="AD596" s="52" t="n">
        <v>0</v>
      </c>
      <c r="AE596" s="52" t="n">
        <v>0</v>
      </c>
      <c r="AF596" s="52" t="n">
        <v>0</v>
      </c>
      <c r="AG596" s="52" t="n">
        <v>0</v>
      </c>
      <c r="AH596" s="52" t="n">
        <v>0</v>
      </c>
      <c r="AI596" s="52" t="n">
        <v>0</v>
      </c>
      <c r="AJ596" s="52" t="n">
        <v>0</v>
      </c>
      <c r="AK596" s="52" t="n">
        <v>0</v>
      </c>
      <c r="AL596" s="52" t="n">
        <v>0</v>
      </c>
      <c r="AM596" s="53" t="n">
        <v>0</v>
      </c>
      <c r="AN596" s="53" t="n">
        <v>0</v>
      </c>
      <c r="AO596" s="53" t="n">
        <v>0</v>
      </c>
      <c r="AP596" s="53" t="n">
        <v>0</v>
      </c>
      <c r="AQ596" s="52" t="n">
        <v>0</v>
      </c>
      <c r="AR596" s="52" t="n">
        <v>0</v>
      </c>
      <c r="AS596" s="52" t="n">
        <v>0</v>
      </c>
      <c r="AT596" s="52" t="n">
        <v>0</v>
      </c>
      <c r="AU596" s="53" t="n">
        <v>0</v>
      </c>
      <c r="AV596" s="53" t="n">
        <v>0</v>
      </c>
      <c r="AW596" s="53" t="n">
        <v>0</v>
      </c>
      <c r="AX596" s="53" t="n">
        <v>0</v>
      </c>
      <c r="AY596" s="52" t="n">
        <v>0</v>
      </c>
      <c r="AZ596" s="52" t="n">
        <v>0</v>
      </c>
      <c r="BA596" s="52" t="n">
        <v>0</v>
      </c>
      <c r="BB596" s="52" t="n">
        <v>0</v>
      </c>
      <c r="BC596" s="51" t="n">
        <v>25</v>
      </c>
      <c r="BD596" s="51" t="n">
        <v>0</v>
      </c>
      <c r="BE596" s="51" t="n">
        <v>0</v>
      </c>
      <c r="BF596" s="51" t="n">
        <v>0</v>
      </c>
    </row>
    <row r="597">
      <c r="A597">
        <f>HYPERLINK("https://www.walmart.com/ip/5319593235", "5319593235")</f>
        <v/>
      </c>
      <c r="B597" t="inlineStr">
        <is>
          <t>Solaris Unisex Large Bill Flap Sun Hat Camping Hiking Hunting Fishing Cap</t>
        </is>
      </c>
      <c r="C597" t="inlineStr">
        <is>
          <t>1SLSH911CAMO-A</t>
        </is>
      </c>
      <c r="D597" t="inlineStr">
        <is>
          <t>Hats</t>
        </is>
      </c>
      <c r="E597" t="inlineStr">
        <is>
          <t>Solaris</t>
        </is>
      </c>
      <c r="G597" s="48" t="n">
        <v>0</v>
      </c>
      <c r="H597" s="48" t="n">
        <v>0</v>
      </c>
      <c r="I597" s="48" t="n">
        <v>0</v>
      </c>
      <c r="J597" s="48" t="n">
        <v>0</v>
      </c>
      <c r="K597" s="49" t="n">
        <v>0</v>
      </c>
      <c r="L597" s="49" t="n">
        <v>0</v>
      </c>
      <c r="M597" s="49" t="n">
        <v>0</v>
      </c>
      <c r="N597" s="49" t="n">
        <v>0</v>
      </c>
      <c r="O597" s="49" t="n">
        <v>0</v>
      </c>
      <c r="P597" s="49" t="n">
        <v>0</v>
      </c>
      <c r="Q597" s="49" t="n">
        <v>0</v>
      </c>
      <c r="R597" s="49" t="n">
        <v>0</v>
      </c>
      <c r="S597" s="50" t="n">
        <v>0</v>
      </c>
      <c r="T597" s="50" t="n">
        <v>0</v>
      </c>
      <c r="U597" s="50" t="n">
        <v>0</v>
      </c>
      <c r="V597" s="50" t="n">
        <v>0</v>
      </c>
      <c r="W597" s="51" t="n">
        <v>0</v>
      </c>
      <c r="X597" s="51" t="n">
        <v>0</v>
      </c>
      <c r="Y597" s="51" t="n">
        <v>0</v>
      </c>
      <c r="Z597" s="51" t="n">
        <v>0</v>
      </c>
      <c r="AA597" s="52" t="n">
        <v>0</v>
      </c>
      <c r="AB597" s="52" t="n">
        <v>0</v>
      </c>
      <c r="AC597" s="52" t="n">
        <v>0</v>
      </c>
      <c r="AD597" s="52" t="n">
        <v>0</v>
      </c>
      <c r="AE597" s="52" t="n">
        <v>0</v>
      </c>
      <c r="AF597" s="52" t="n">
        <v>0</v>
      </c>
      <c r="AG597" s="52" t="n">
        <v>0</v>
      </c>
      <c r="AH597" s="52" t="n">
        <v>0</v>
      </c>
      <c r="AI597" s="52" t="n">
        <v>0</v>
      </c>
      <c r="AJ597" s="52" t="n">
        <v>0</v>
      </c>
      <c r="AK597" s="52" t="n">
        <v>0</v>
      </c>
      <c r="AL597" s="52" t="n">
        <v>0</v>
      </c>
      <c r="AM597" s="53" t="n">
        <v>0</v>
      </c>
      <c r="AN597" s="53" t="n">
        <v>0</v>
      </c>
      <c r="AO597" s="53" t="n">
        <v>0</v>
      </c>
      <c r="AP597" s="53" t="n">
        <v>0</v>
      </c>
      <c r="AQ597" s="52" t="n">
        <v>0</v>
      </c>
      <c r="AR597" s="52" t="n">
        <v>0</v>
      </c>
      <c r="AS597" s="52" t="n">
        <v>0</v>
      </c>
      <c r="AT597" s="52" t="n">
        <v>0</v>
      </c>
      <c r="AU597" s="53" t="n">
        <v>0</v>
      </c>
      <c r="AV597" s="53" t="n">
        <v>0</v>
      </c>
      <c r="AW597" s="53" t="n">
        <v>0</v>
      </c>
      <c r="AX597" s="53" t="n">
        <v>0</v>
      </c>
      <c r="AY597" s="52" t="n">
        <v>0</v>
      </c>
      <c r="AZ597" s="52" t="n">
        <v>0</v>
      </c>
      <c r="BA597" s="52" t="n">
        <v>0</v>
      </c>
      <c r="BB597" s="52" t="n">
        <v>0</v>
      </c>
      <c r="BC597" s="51" t="n">
        <v>0</v>
      </c>
      <c r="BD597" s="51" t="n">
        <v>0</v>
      </c>
      <c r="BE597" s="51" t="n">
        <v>0</v>
      </c>
      <c r="BF597" s="51" t="n">
        <v>0</v>
      </c>
    </row>
    <row r="598">
      <c r="A598">
        <f>HYPERLINK("https://www.walmart.com/ip/532076410", "532076410")</f>
        <v/>
      </c>
      <c r="B598" t="inlineStr">
        <is>
          <t>Catalonia Sherpa Blanket, National Flag Print Patriotic Plush Super Soft Warm Reversible Polar Fleece Throws for Living Room Decoration 50x60 inches</t>
        </is>
      </c>
      <c r="C598" t="inlineStr">
        <is>
          <t>1CTBF300UK</t>
        </is>
      </c>
      <c r="D598" t="inlineStr">
        <is>
          <t>Throws</t>
        </is>
      </c>
      <c r="E598" t="inlineStr">
        <is>
          <t>Catalonia</t>
        </is>
      </c>
      <c r="F598" t="inlineStr">
        <is>
          <t>Batch 1 - TR</t>
        </is>
      </c>
      <c r="G598" s="48" t="n">
        <v>0</v>
      </c>
      <c r="H598" s="48" t="n">
        <v>0</v>
      </c>
      <c r="I598" s="48" t="n">
        <v>0</v>
      </c>
      <c r="J598" s="48" t="n">
        <v>0</v>
      </c>
      <c r="K598" s="49" t="n">
        <v>0</v>
      </c>
      <c r="L598" s="49" t="n">
        <v>0</v>
      </c>
      <c r="M598" s="49" t="n">
        <v>0</v>
      </c>
      <c r="N598" s="49" t="n">
        <v>0</v>
      </c>
      <c r="O598" s="49" t="n">
        <v>0</v>
      </c>
      <c r="P598" s="49" t="n">
        <v>0</v>
      </c>
      <c r="Q598" s="49" t="n">
        <v>0</v>
      </c>
      <c r="R598" s="49" t="n">
        <v>0</v>
      </c>
      <c r="S598" s="50" t="n">
        <v>0</v>
      </c>
      <c r="T598" s="50" t="n">
        <v>0</v>
      </c>
      <c r="U598" s="50" t="n">
        <v>0</v>
      </c>
      <c r="V598" s="50" t="n">
        <v>0</v>
      </c>
      <c r="W598" s="51" t="n">
        <v>0</v>
      </c>
      <c r="X598" s="51" t="n">
        <v>0</v>
      </c>
      <c r="Y598" s="51" t="n">
        <v>0</v>
      </c>
      <c r="Z598" s="51" t="n">
        <v>0</v>
      </c>
      <c r="AA598" s="52" t="n">
        <v>0</v>
      </c>
      <c r="AB598" s="52" t="n">
        <v>0</v>
      </c>
      <c r="AC598" s="52" t="n">
        <v>0</v>
      </c>
      <c r="AD598" s="52" t="n">
        <v>0</v>
      </c>
      <c r="AE598" s="52" t="n">
        <v>0</v>
      </c>
      <c r="AF598" s="52" t="n">
        <v>0</v>
      </c>
      <c r="AG598" s="52" t="n">
        <v>0</v>
      </c>
      <c r="AH598" s="52" t="n">
        <v>0</v>
      </c>
      <c r="AI598" s="52" t="n">
        <v>0</v>
      </c>
      <c r="AJ598" s="52" t="n">
        <v>0</v>
      </c>
      <c r="AK598" s="52" t="n">
        <v>0</v>
      </c>
      <c r="AL598" s="52" t="n">
        <v>0</v>
      </c>
      <c r="AM598" s="53" t="n">
        <v>0</v>
      </c>
      <c r="AN598" s="53" t="n">
        <v>0</v>
      </c>
      <c r="AO598" s="53" t="n">
        <v>0</v>
      </c>
      <c r="AP598" s="53" t="n">
        <v>0</v>
      </c>
      <c r="AQ598" s="52" t="n">
        <v>0</v>
      </c>
      <c r="AR598" s="52" t="n">
        <v>0</v>
      </c>
      <c r="AS598" s="52" t="n">
        <v>0</v>
      </c>
      <c r="AT598" s="52" t="n">
        <v>0</v>
      </c>
      <c r="AU598" s="53" t="n">
        <v>0</v>
      </c>
      <c r="AV598" s="53" t="n">
        <v>0</v>
      </c>
      <c r="AW598" s="53" t="n">
        <v>0</v>
      </c>
      <c r="AX598" s="53" t="n">
        <v>0</v>
      </c>
      <c r="AY598" s="52" t="n">
        <v>0</v>
      </c>
      <c r="AZ598" s="52" t="n">
        <v>0</v>
      </c>
      <c r="BA598" s="52" t="n">
        <v>0</v>
      </c>
      <c r="BB598" s="52" t="n">
        <v>0</v>
      </c>
      <c r="BC598" s="51" t="n">
        <v>0</v>
      </c>
      <c r="BD598" s="51" t="n">
        <v>0</v>
      </c>
      <c r="BE598" s="51" t="n">
        <v>0</v>
      </c>
      <c r="BF598" s="51" t="n">
        <v>0</v>
      </c>
    </row>
    <row r="599">
      <c r="A599">
        <f>HYPERLINK("https://www.walmart.com/ip/533440148", "533440148")</f>
        <v/>
      </c>
      <c r="B599" t="inlineStr">
        <is>
          <t>Catalonia Fleece Throw Blanket for Couch, Lightweight All Seasons Soft Cozy Moroccan Blanket for Home Living Room Decorative, 50'' x 60'', Black</t>
        </is>
      </c>
      <c r="C599" t="inlineStr">
        <is>
          <t>1CTBF580LTSBK</t>
        </is>
      </c>
      <c r="D599" t="inlineStr">
        <is>
          <t>Throws</t>
        </is>
      </c>
      <c r="E599" t="inlineStr">
        <is>
          <t>Catalonia</t>
        </is>
      </c>
      <c r="F599" t="inlineStr">
        <is>
          <t>WFS,WFS Item</t>
        </is>
      </c>
      <c r="G599" s="48" t="n">
        <v>0</v>
      </c>
      <c r="H599" s="48" t="n">
        <v>0</v>
      </c>
      <c r="I599" s="48" t="n">
        <v>0</v>
      </c>
      <c r="J599" s="48" t="n">
        <v>0</v>
      </c>
      <c r="K599" s="49" t="n">
        <v>0</v>
      </c>
      <c r="L599" s="49" t="n">
        <v>0</v>
      </c>
      <c r="M599" s="49" t="n">
        <v>0</v>
      </c>
      <c r="N599" s="49" t="n">
        <v>0</v>
      </c>
      <c r="O599" s="49" t="n">
        <v>0</v>
      </c>
      <c r="P599" s="49" t="n">
        <v>0</v>
      </c>
      <c r="Q599" s="49" t="n">
        <v>0</v>
      </c>
      <c r="R599" s="49" t="n">
        <v>0</v>
      </c>
      <c r="S599" s="50" t="n">
        <v>0</v>
      </c>
      <c r="T599" s="50" t="n">
        <v>0</v>
      </c>
      <c r="U599" s="50" t="n">
        <v>0</v>
      </c>
      <c r="V599" s="50" t="n">
        <v>0</v>
      </c>
      <c r="W599" s="51" t="n">
        <v>0</v>
      </c>
      <c r="X599" s="51" t="n">
        <v>0</v>
      </c>
      <c r="Y599" s="51" t="n">
        <v>0</v>
      </c>
      <c r="Z599" s="51" t="n">
        <v>0</v>
      </c>
      <c r="AA599" s="52" t="n">
        <v>0</v>
      </c>
      <c r="AB599" s="52" t="n">
        <v>0</v>
      </c>
      <c r="AC599" s="52" t="n">
        <v>0</v>
      </c>
      <c r="AD599" s="52" t="n">
        <v>0</v>
      </c>
      <c r="AE599" s="52" t="n">
        <v>0</v>
      </c>
      <c r="AF599" s="52" t="n">
        <v>0</v>
      </c>
      <c r="AG599" s="52" t="n">
        <v>0</v>
      </c>
      <c r="AH599" s="52" t="n">
        <v>0</v>
      </c>
      <c r="AI599" s="52" t="n">
        <v>0</v>
      </c>
      <c r="AJ599" s="52" t="n">
        <v>0</v>
      </c>
      <c r="AK599" s="52" t="n">
        <v>0</v>
      </c>
      <c r="AL599" s="52" t="n">
        <v>0</v>
      </c>
      <c r="AM599" s="53" t="n">
        <v>0</v>
      </c>
      <c r="AN599" s="53" t="n">
        <v>0</v>
      </c>
      <c r="AO599" s="53" t="n">
        <v>0</v>
      </c>
      <c r="AP599" s="53" t="n">
        <v>0</v>
      </c>
      <c r="AQ599" s="52" t="n">
        <v>0</v>
      </c>
      <c r="AR599" s="52" t="n">
        <v>0</v>
      </c>
      <c r="AS599" s="52" t="n">
        <v>0</v>
      </c>
      <c r="AT599" s="52" t="n">
        <v>0</v>
      </c>
      <c r="AU599" s="53" t="n">
        <v>0</v>
      </c>
      <c r="AV599" s="53" t="n">
        <v>0</v>
      </c>
      <c r="AW599" s="53" t="n">
        <v>0</v>
      </c>
      <c r="AX599" s="53" t="n">
        <v>0</v>
      </c>
      <c r="AY599" s="52" t="n">
        <v>0</v>
      </c>
      <c r="AZ599" s="52" t="n">
        <v>0</v>
      </c>
      <c r="BA599" s="52" t="n">
        <v>0</v>
      </c>
      <c r="BB599" s="52" t="n">
        <v>0</v>
      </c>
      <c r="BC599" s="51" t="n">
        <v>0</v>
      </c>
      <c r="BD599" s="51" t="n">
        <v>0</v>
      </c>
      <c r="BE599" s="51" t="n">
        <v>0</v>
      </c>
      <c r="BF599" s="51" t="n">
        <v>0</v>
      </c>
    </row>
    <row r="600">
      <c r="A600">
        <f>HYPERLINK("https://www.walmart.com/ip/5337657455", "5337657455")</f>
        <v/>
      </c>
      <c r="B600" t="inlineStr">
        <is>
          <t>Tirrinia 4-in-1 Travel Blanket Luxurious Premium Micro Fleece Lightweight 40” x 60” Pink</t>
        </is>
      </c>
      <c r="C600" t="inlineStr">
        <is>
          <t>1TRTB100FP</t>
        </is>
      </c>
      <c r="D600" t="inlineStr">
        <is>
          <t>Throws</t>
        </is>
      </c>
      <c r="E600" t="inlineStr">
        <is>
          <t>Tirrinia</t>
        </is>
      </c>
      <c r="G600" s="48" t="n">
        <v>0</v>
      </c>
      <c r="H600" s="48" t="n">
        <v>0</v>
      </c>
      <c r="I600" s="48" t="n">
        <v>0</v>
      </c>
      <c r="J600" s="48" t="n">
        <v>0</v>
      </c>
      <c r="K600" s="49" t="n">
        <v>0</v>
      </c>
      <c r="L600" s="49" t="n">
        <v>0</v>
      </c>
      <c r="M600" s="49" t="n">
        <v>0</v>
      </c>
      <c r="N600" s="49" t="n">
        <v>0</v>
      </c>
      <c r="O600" s="49" t="n">
        <v>0</v>
      </c>
      <c r="P600" s="49" t="n">
        <v>0</v>
      </c>
      <c r="Q600" s="49" t="n">
        <v>0</v>
      </c>
      <c r="R600" s="49" t="n">
        <v>0</v>
      </c>
      <c r="S600" s="50" t="n">
        <v>0</v>
      </c>
      <c r="T600" s="50" t="n">
        <v>0</v>
      </c>
      <c r="U600" s="50" t="n">
        <v>0</v>
      </c>
      <c r="V600" s="50" t="n">
        <v>0</v>
      </c>
      <c r="W600" s="51" t="n">
        <v>0</v>
      </c>
      <c r="X600" s="51" t="n">
        <v>0</v>
      </c>
      <c r="Y600" s="51" t="n">
        <v>0</v>
      </c>
      <c r="Z600" s="51" t="n">
        <v>0</v>
      </c>
      <c r="AA600" s="52" t="n">
        <v>0</v>
      </c>
      <c r="AB600" s="52" t="n">
        <v>0</v>
      </c>
      <c r="AC600" s="52" t="n">
        <v>0</v>
      </c>
      <c r="AD600" s="52" t="n">
        <v>0</v>
      </c>
      <c r="AE600" s="52" t="n">
        <v>0</v>
      </c>
      <c r="AF600" s="52" t="n">
        <v>0</v>
      </c>
      <c r="AG600" s="52" t="n">
        <v>0</v>
      </c>
      <c r="AH600" s="52" t="n">
        <v>0</v>
      </c>
      <c r="AI600" s="52" t="n">
        <v>0</v>
      </c>
      <c r="AJ600" s="52" t="n">
        <v>0</v>
      </c>
      <c r="AK600" s="52" t="n">
        <v>0</v>
      </c>
      <c r="AL600" s="52" t="n">
        <v>0</v>
      </c>
      <c r="AM600" s="53" t="n">
        <v>0</v>
      </c>
      <c r="AN600" s="53" t="n">
        <v>0</v>
      </c>
      <c r="AO600" s="53" t="n">
        <v>0</v>
      </c>
      <c r="AP600" s="53" t="n">
        <v>0</v>
      </c>
      <c r="AQ600" s="52" t="n">
        <v>0</v>
      </c>
      <c r="AR600" s="52" t="n">
        <v>0</v>
      </c>
      <c r="AS600" s="52" t="n">
        <v>0</v>
      </c>
      <c r="AT600" s="52" t="n">
        <v>0</v>
      </c>
      <c r="AU600" s="53" t="n">
        <v>0</v>
      </c>
      <c r="AV600" s="53" t="n">
        <v>0</v>
      </c>
      <c r="AW600" s="53" t="n">
        <v>0</v>
      </c>
      <c r="AX600" s="53" t="n">
        <v>0</v>
      </c>
      <c r="AY600" s="52" t="n">
        <v>0</v>
      </c>
      <c r="AZ600" s="52" t="n">
        <v>0</v>
      </c>
      <c r="BA600" s="52" t="n">
        <v>0</v>
      </c>
      <c r="BB600" s="52" t="n">
        <v>0</v>
      </c>
      <c r="BC600" s="51" t="n">
        <v>0</v>
      </c>
      <c r="BD600" s="51" t="n">
        <v>0</v>
      </c>
      <c r="BE600" s="51" t="n">
        <v>0</v>
      </c>
      <c r="BF600" s="51" t="n">
        <v>0</v>
      </c>
    </row>
    <row r="601">
      <c r="A601">
        <f>HYPERLINK("https://www.walmart.com/ip/5342695765", "5342695765")</f>
        <v/>
      </c>
      <c r="B601" t="inlineStr">
        <is>
          <t>Outdoor Wide Brim Sun Hats Blocking UV Protection Cap UPF 50+ Foldable Mesh Net for Finishing, Hiking, Camping by Solari</t>
        </is>
      </c>
      <c r="C601" t="inlineStr">
        <is>
          <t>1SLSH912DIGIGY</t>
        </is>
      </c>
      <c r="D601" t="inlineStr">
        <is>
          <t>Hats</t>
        </is>
      </c>
      <c r="E601" t="inlineStr">
        <is>
          <t>Solaris</t>
        </is>
      </c>
      <c r="G601" s="48" t="n">
        <v>0</v>
      </c>
      <c r="H601" s="48" t="n">
        <v>0</v>
      </c>
      <c r="I601" s="48" t="n">
        <v>0</v>
      </c>
      <c r="J601" s="48" t="n">
        <v>0</v>
      </c>
      <c r="K601" s="49" t="n">
        <v>0</v>
      </c>
      <c r="L601" s="49" t="n">
        <v>0</v>
      </c>
      <c r="M601" s="49" t="n">
        <v>0</v>
      </c>
      <c r="N601" s="49" t="n">
        <v>0</v>
      </c>
      <c r="O601" s="49" t="n">
        <v>0</v>
      </c>
      <c r="P601" s="49" t="n">
        <v>0</v>
      </c>
      <c r="Q601" s="49" t="n">
        <v>0</v>
      </c>
      <c r="R601" s="49" t="n">
        <v>0</v>
      </c>
      <c r="S601" s="50" t="n">
        <v>0</v>
      </c>
      <c r="T601" s="50" t="n">
        <v>0</v>
      </c>
      <c r="U601" s="50" t="n">
        <v>0</v>
      </c>
      <c r="V601" s="50" t="n">
        <v>0</v>
      </c>
      <c r="W601" s="51" t="n">
        <v>0</v>
      </c>
      <c r="X601" s="51" t="n">
        <v>0</v>
      </c>
      <c r="Y601" s="51" t="n">
        <v>0</v>
      </c>
      <c r="Z601" s="51" t="n">
        <v>0</v>
      </c>
      <c r="AA601" s="52" t="n">
        <v>0</v>
      </c>
      <c r="AB601" s="52" t="n">
        <v>0</v>
      </c>
      <c r="AC601" s="52" t="n">
        <v>0</v>
      </c>
      <c r="AD601" s="52" t="n">
        <v>0</v>
      </c>
      <c r="AE601" s="52" t="n">
        <v>0</v>
      </c>
      <c r="AF601" s="52" t="n">
        <v>0</v>
      </c>
      <c r="AG601" s="52" t="n">
        <v>0</v>
      </c>
      <c r="AH601" s="52" t="n">
        <v>0</v>
      </c>
      <c r="AI601" s="52" t="n">
        <v>0</v>
      </c>
      <c r="AJ601" s="52" t="n">
        <v>0</v>
      </c>
      <c r="AK601" s="52" t="n">
        <v>0</v>
      </c>
      <c r="AL601" s="52" t="n">
        <v>0</v>
      </c>
      <c r="AM601" s="53" t="n">
        <v>0</v>
      </c>
      <c r="AN601" s="53" t="n">
        <v>0</v>
      </c>
      <c r="AO601" s="53" t="n">
        <v>0</v>
      </c>
      <c r="AP601" s="53" t="n">
        <v>0</v>
      </c>
      <c r="AQ601" s="52" t="n">
        <v>0</v>
      </c>
      <c r="AR601" s="52" t="n">
        <v>0</v>
      </c>
      <c r="AS601" s="52" t="n">
        <v>0</v>
      </c>
      <c r="AT601" s="52" t="n">
        <v>0</v>
      </c>
      <c r="AU601" s="53" t="n">
        <v>0</v>
      </c>
      <c r="AV601" s="53" t="n">
        <v>0</v>
      </c>
      <c r="AW601" s="53" t="n">
        <v>0</v>
      </c>
      <c r="AX601" s="53" t="n">
        <v>0</v>
      </c>
      <c r="AY601" s="52" t="n">
        <v>0</v>
      </c>
      <c r="AZ601" s="52" t="n">
        <v>0</v>
      </c>
      <c r="BA601" s="52" t="n">
        <v>0</v>
      </c>
      <c r="BB601" s="52" t="n">
        <v>0</v>
      </c>
      <c r="BC601" s="51" t="n">
        <v>0</v>
      </c>
      <c r="BD601" s="51" t="n">
        <v>0</v>
      </c>
      <c r="BE601" s="51" t="n">
        <v>0</v>
      </c>
      <c r="BF601" s="51" t="n">
        <v>0</v>
      </c>
    </row>
    <row r="602">
      <c r="A602">
        <f>HYPERLINK("https://www.walmart.com/ip/5343794728", "5343794728")</f>
        <v/>
      </c>
      <c r="B602" t="inlineStr">
        <is>
          <t>Tirrinia Large Insulated Lunch Bag for Men and Women, Adult Double-Layer Leakproof Reusable Grocery Bag, Office, Travel, Work Lunch Cooler Tote</t>
        </is>
      </c>
      <c r="C602" t="inlineStr">
        <is>
          <t>1TRLB708BL-D</t>
        </is>
      </c>
      <c r="D602" t="inlineStr">
        <is>
          <t>Reusable Lunch Bags &amp; Boxes</t>
        </is>
      </c>
      <c r="E602" t="inlineStr">
        <is>
          <t>Tirrinia</t>
        </is>
      </c>
      <c r="G602" s="48" t="n">
        <v>0</v>
      </c>
      <c r="H602" s="48" t="n">
        <v>0</v>
      </c>
      <c r="I602" s="48" t="n">
        <v>0</v>
      </c>
      <c r="J602" s="48" t="n">
        <v>0</v>
      </c>
      <c r="K602" s="49" t="n">
        <v>0</v>
      </c>
      <c r="L602" s="49" t="n">
        <v>0</v>
      </c>
      <c r="M602" s="49" t="n">
        <v>0</v>
      </c>
      <c r="N602" s="49" t="n">
        <v>0</v>
      </c>
      <c r="O602" s="49" t="n">
        <v>0</v>
      </c>
      <c r="P602" s="49" t="n">
        <v>0</v>
      </c>
      <c r="Q602" s="49" t="n">
        <v>0</v>
      </c>
      <c r="R602" s="49" t="n">
        <v>0</v>
      </c>
      <c r="S602" s="50" t="n">
        <v>0</v>
      </c>
      <c r="T602" s="50" t="n">
        <v>0</v>
      </c>
      <c r="U602" s="50" t="n">
        <v>0</v>
      </c>
      <c r="V602" s="50" t="n">
        <v>0</v>
      </c>
      <c r="W602" s="51" t="n">
        <v>0</v>
      </c>
      <c r="X602" s="51" t="n">
        <v>0</v>
      </c>
      <c r="Y602" s="51" t="n">
        <v>0</v>
      </c>
      <c r="Z602" s="51" t="n">
        <v>0</v>
      </c>
      <c r="AA602" s="52" t="n">
        <v>0</v>
      </c>
      <c r="AB602" s="52" t="n">
        <v>0</v>
      </c>
      <c r="AC602" s="52" t="n">
        <v>0</v>
      </c>
      <c r="AD602" s="52" t="n">
        <v>0</v>
      </c>
      <c r="AE602" s="52" t="n">
        <v>0</v>
      </c>
      <c r="AF602" s="52" t="n">
        <v>0</v>
      </c>
      <c r="AG602" s="52" t="n">
        <v>0</v>
      </c>
      <c r="AH602" s="52" t="n">
        <v>0</v>
      </c>
      <c r="AI602" s="52" t="n">
        <v>0</v>
      </c>
      <c r="AJ602" s="52" t="n">
        <v>0</v>
      </c>
      <c r="AK602" s="52" t="n">
        <v>0</v>
      </c>
      <c r="AL602" s="52" t="n">
        <v>0</v>
      </c>
      <c r="AM602" s="53" t="n">
        <v>0</v>
      </c>
      <c r="AN602" s="53" t="n">
        <v>0</v>
      </c>
      <c r="AO602" s="53" t="n">
        <v>0</v>
      </c>
      <c r="AP602" s="53" t="n">
        <v>0</v>
      </c>
      <c r="AQ602" s="52" t="n">
        <v>0</v>
      </c>
      <c r="AR602" s="52" t="n">
        <v>0</v>
      </c>
      <c r="AS602" s="52" t="n">
        <v>0</v>
      </c>
      <c r="AT602" s="52" t="n">
        <v>0</v>
      </c>
      <c r="AU602" s="53" t="n">
        <v>0</v>
      </c>
      <c r="AV602" s="53" t="n">
        <v>0</v>
      </c>
      <c r="AW602" s="53" t="n">
        <v>0</v>
      </c>
      <c r="AX602" s="53" t="n">
        <v>0</v>
      </c>
      <c r="AY602" s="52" t="n">
        <v>0</v>
      </c>
      <c r="AZ602" s="52" t="n">
        <v>0</v>
      </c>
      <c r="BA602" s="52" t="n">
        <v>0</v>
      </c>
      <c r="BB602" s="52" t="n">
        <v>0</v>
      </c>
      <c r="BC602" s="51" t="n">
        <v>0</v>
      </c>
      <c r="BD602" s="51" t="n">
        <v>0</v>
      </c>
      <c r="BE602" s="51" t="n">
        <v>0</v>
      </c>
      <c r="BF602" s="51" t="n">
        <v>0</v>
      </c>
    </row>
    <row r="603">
      <c r="A603">
        <f>HYPERLINK("https://www.walmart.com/ip/534542732", "534542732")</f>
        <v/>
      </c>
      <c r="B603" t="inlineStr">
        <is>
          <t>Flyingstar Unisex Surf Poncho Changing Towel Robe for Adult Surfer Swimmer Outdoor Beach</t>
        </is>
      </c>
      <c r="C603" t="inlineStr">
        <is>
          <t>1WMBR102-BK</t>
        </is>
      </c>
      <c r="D603" t="inlineStr">
        <is>
          <t>Towels &amp; Washcloths</t>
        </is>
      </c>
      <c r="E603" t="inlineStr">
        <is>
          <t>Flyingstar</t>
        </is>
      </c>
      <c r="F603" t="inlineStr">
        <is>
          <t>Batch 1 - TR</t>
        </is>
      </c>
      <c r="G603" s="48" t="n">
        <v>0</v>
      </c>
      <c r="H603" s="48" t="n">
        <v>0</v>
      </c>
      <c r="I603" s="48" t="n">
        <v>0</v>
      </c>
      <c r="J603" s="48" t="n">
        <v>0</v>
      </c>
      <c r="K603" s="49" t="n">
        <v>0</v>
      </c>
      <c r="L603" s="49" t="n">
        <v>0</v>
      </c>
      <c r="M603" s="49" t="n">
        <v>0</v>
      </c>
      <c r="N603" s="49" t="n">
        <v>0</v>
      </c>
      <c r="O603" s="49" t="n">
        <v>0</v>
      </c>
      <c r="P603" s="49" t="n">
        <v>0</v>
      </c>
      <c r="Q603" s="49" t="n">
        <v>0</v>
      </c>
      <c r="R603" s="49" t="n">
        <v>0</v>
      </c>
      <c r="S603" s="50" t="n">
        <v>0</v>
      </c>
      <c r="T603" s="50" t="n">
        <v>0</v>
      </c>
      <c r="U603" s="50" t="n">
        <v>0</v>
      </c>
      <c r="V603" s="50" t="n">
        <v>0</v>
      </c>
      <c r="W603" s="51" t="n">
        <v>0</v>
      </c>
      <c r="X603" s="51" t="n">
        <v>0</v>
      </c>
      <c r="Y603" s="51" t="n">
        <v>0</v>
      </c>
      <c r="Z603" s="51" t="n">
        <v>0</v>
      </c>
      <c r="AA603" s="52" t="n">
        <v>0</v>
      </c>
      <c r="AB603" s="52" t="n">
        <v>0</v>
      </c>
      <c r="AC603" s="52" t="n">
        <v>0</v>
      </c>
      <c r="AD603" s="52" t="n">
        <v>0</v>
      </c>
      <c r="AE603" s="52" t="n">
        <v>0</v>
      </c>
      <c r="AF603" s="52" t="n">
        <v>0</v>
      </c>
      <c r="AG603" s="52" t="n">
        <v>0</v>
      </c>
      <c r="AH603" s="52" t="n">
        <v>0</v>
      </c>
      <c r="AI603" s="52" t="n">
        <v>0</v>
      </c>
      <c r="AJ603" s="52" t="n">
        <v>0</v>
      </c>
      <c r="AK603" s="52" t="n">
        <v>0</v>
      </c>
      <c r="AL603" s="52" t="n">
        <v>0</v>
      </c>
      <c r="AM603" s="53" t="n">
        <v>0</v>
      </c>
      <c r="AN603" s="53" t="n">
        <v>0</v>
      </c>
      <c r="AO603" s="53" t="n">
        <v>0</v>
      </c>
      <c r="AP603" s="53" t="n">
        <v>0</v>
      </c>
      <c r="AQ603" s="52" t="n">
        <v>0</v>
      </c>
      <c r="AR603" s="52" t="n">
        <v>0</v>
      </c>
      <c r="AS603" s="52" t="n">
        <v>0</v>
      </c>
      <c r="AT603" s="52" t="n">
        <v>0</v>
      </c>
      <c r="AU603" s="53" t="n">
        <v>0</v>
      </c>
      <c r="AV603" s="53" t="n">
        <v>0</v>
      </c>
      <c r="AW603" s="53" t="n">
        <v>0</v>
      </c>
      <c r="AX603" s="53" t="n">
        <v>0</v>
      </c>
      <c r="AY603" s="52" t="n">
        <v>0</v>
      </c>
      <c r="AZ603" s="52" t="n">
        <v>0</v>
      </c>
      <c r="BA603" s="52" t="n">
        <v>0</v>
      </c>
      <c r="BB603" s="52" t="n">
        <v>0</v>
      </c>
      <c r="BC603" s="51" t="n">
        <v>0</v>
      </c>
      <c r="BD603" s="51" t="n">
        <v>0</v>
      </c>
      <c r="BE603" s="51" t="n">
        <v>0</v>
      </c>
      <c r="BF603" s="51" t="n">
        <v>0</v>
      </c>
    </row>
    <row r="604">
      <c r="A604">
        <f>HYPERLINK("https://www.walmart.com/ip/5346646233", "5346646233")</f>
        <v/>
      </c>
      <c r="B604" t="inlineStr">
        <is>
          <t>Outdoor Wide Brim Sun Hats Blocking UV Protection Cap UPF 50+ Foldable Mesh Net for Finishing, Hiking, Camping by Solari</t>
        </is>
      </c>
      <c r="C604" t="inlineStr">
        <is>
          <t>1SLSH912CAMO-B</t>
        </is>
      </c>
      <c r="D604" t="inlineStr">
        <is>
          <t>Hats</t>
        </is>
      </c>
      <c r="E604" t="inlineStr">
        <is>
          <t>Solaris</t>
        </is>
      </c>
      <c r="G604" s="48" t="n">
        <v>0</v>
      </c>
      <c r="H604" s="48" t="n">
        <v>0</v>
      </c>
      <c r="I604" s="48" t="n">
        <v>0</v>
      </c>
      <c r="J604" s="48" t="n">
        <v>0</v>
      </c>
      <c r="K604" s="49" t="n">
        <v>0</v>
      </c>
      <c r="L604" s="49" t="n">
        <v>0</v>
      </c>
      <c r="M604" s="49" t="n">
        <v>0</v>
      </c>
      <c r="N604" s="49" t="n">
        <v>0</v>
      </c>
      <c r="O604" s="49" t="n">
        <v>0</v>
      </c>
      <c r="P604" s="49" t="n">
        <v>0</v>
      </c>
      <c r="Q604" s="49" t="n">
        <v>0</v>
      </c>
      <c r="R604" s="49" t="n">
        <v>0</v>
      </c>
      <c r="S604" s="50" t="n">
        <v>0</v>
      </c>
      <c r="T604" s="50" t="n">
        <v>0</v>
      </c>
      <c r="U604" s="50" t="n">
        <v>0</v>
      </c>
      <c r="V604" s="50" t="n">
        <v>0</v>
      </c>
      <c r="W604" s="51" t="n">
        <v>0</v>
      </c>
      <c r="X604" s="51" t="n">
        <v>0</v>
      </c>
      <c r="Y604" s="51" t="n">
        <v>0</v>
      </c>
      <c r="Z604" s="51" t="n">
        <v>0</v>
      </c>
      <c r="AA604" s="52" t="n">
        <v>0</v>
      </c>
      <c r="AB604" s="52" t="n">
        <v>0</v>
      </c>
      <c r="AC604" s="52" t="n">
        <v>0</v>
      </c>
      <c r="AD604" s="52" t="n">
        <v>0</v>
      </c>
      <c r="AE604" s="52" t="n">
        <v>0</v>
      </c>
      <c r="AF604" s="52" t="n">
        <v>0</v>
      </c>
      <c r="AG604" s="52" t="n">
        <v>0</v>
      </c>
      <c r="AH604" s="52" t="n">
        <v>0</v>
      </c>
      <c r="AI604" s="52" t="n">
        <v>0</v>
      </c>
      <c r="AJ604" s="52" t="n">
        <v>0</v>
      </c>
      <c r="AK604" s="52" t="n">
        <v>0</v>
      </c>
      <c r="AL604" s="52" t="n">
        <v>0</v>
      </c>
      <c r="AM604" s="53" t="n">
        <v>0</v>
      </c>
      <c r="AN604" s="53" t="n">
        <v>0</v>
      </c>
      <c r="AO604" s="53" t="n">
        <v>0</v>
      </c>
      <c r="AP604" s="53" t="n">
        <v>0</v>
      </c>
      <c r="AQ604" s="52" t="n">
        <v>0</v>
      </c>
      <c r="AR604" s="52" t="n">
        <v>0</v>
      </c>
      <c r="AS604" s="52" t="n">
        <v>0</v>
      </c>
      <c r="AT604" s="52" t="n">
        <v>0</v>
      </c>
      <c r="AU604" s="53" t="n">
        <v>0</v>
      </c>
      <c r="AV604" s="53" t="n">
        <v>0</v>
      </c>
      <c r="AW604" s="53" t="n">
        <v>0</v>
      </c>
      <c r="AX604" s="53" t="n">
        <v>0</v>
      </c>
      <c r="AY604" s="52" t="n">
        <v>0</v>
      </c>
      <c r="AZ604" s="52" t="n">
        <v>0</v>
      </c>
      <c r="BA604" s="52" t="n">
        <v>0</v>
      </c>
      <c r="BB604" s="52" t="n">
        <v>0</v>
      </c>
      <c r="BC604" s="51" t="n">
        <v>0</v>
      </c>
      <c r="BD604" s="51" t="n">
        <v>0</v>
      </c>
      <c r="BE604" s="51" t="n">
        <v>0</v>
      </c>
      <c r="BF604" s="51" t="n">
        <v>0</v>
      </c>
    </row>
    <row r="605">
      <c r="A605">
        <f>HYPERLINK("https://www.walmart.com/ip/534793727", "534793727")</f>
        <v/>
      </c>
      <c r="B605" t="inlineStr">
        <is>
          <t>New Camo Break Up Heavy Duty Backpack Shoulder Bag for Hunting Fishing Camping</t>
        </is>
      </c>
      <c r="C605" t="inlineStr">
        <is>
          <t>b1818-Backpack</t>
        </is>
      </c>
      <c r="D605" t="inlineStr">
        <is>
          <t>Backpacks</t>
        </is>
      </c>
      <c r="E605" t="inlineStr">
        <is>
          <t>KC Caps</t>
        </is>
      </c>
      <c r="F605" t="inlineStr">
        <is>
          <t>Backpack,Optimized</t>
        </is>
      </c>
      <c r="G605" s="48" t="n">
        <v>0</v>
      </c>
      <c r="H605" s="48" t="n">
        <v>0</v>
      </c>
      <c r="I605" s="48" t="n">
        <v>0</v>
      </c>
      <c r="J605" s="48" t="n">
        <v>0</v>
      </c>
      <c r="K605" s="49" t="n">
        <v>0</v>
      </c>
      <c r="L605" s="49" t="n">
        <v>0</v>
      </c>
      <c r="M605" s="49" t="n">
        <v>0</v>
      </c>
      <c r="N605" s="49" t="n">
        <v>0</v>
      </c>
      <c r="O605" s="49" t="n">
        <v>0</v>
      </c>
      <c r="P605" s="49" t="n">
        <v>0</v>
      </c>
      <c r="Q605" s="49" t="n">
        <v>0</v>
      </c>
      <c r="R605" s="49" t="n">
        <v>0</v>
      </c>
      <c r="S605" s="50" t="n">
        <v>0</v>
      </c>
      <c r="T605" s="50" t="n">
        <v>0</v>
      </c>
      <c r="U605" s="50" t="n">
        <v>0</v>
      </c>
      <c r="V605" s="50" t="n">
        <v>0</v>
      </c>
      <c r="W605" s="51" t="n">
        <v>0</v>
      </c>
      <c r="X605" s="51" t="n">
        <v>0</v>
      </c>
      <c r="Y605" s="51" t="n">
        <v>0</v>
      </c>
      <c r="Z605" s="51" t="n">
        <v>0</v>
      </c>
      <c r="AA605" s="52" t="n">
        <v>0</v>
      </c>
      <c r="AB605" s="52" t="n">
        <v>0</v>
      </c>
      <c r="AC605" s="52" t="n">
        <v>0</v>
      </c>
      <c r="AD605" s="52" t="n">
        <v>0</v>
      </c>
      <c r="AE605" s="52" t="n">
        <v>0</v>
      </c>
      <c r="AF605" s="52" t="n">
        <v>0</v>
      </c>
      <c r="AG605" s="52" t="n">
        <v>0</v>
      </c>
      <c r="AH605" s="52" t="n">
        <v>0</v>
      </c>
      <c r="AI605" s="52" t="n">
        <v>0</v>
      </c>
      <c r="AJ605" s="52" t="n">
        <v>0</v>
      </c>
      <c r="AK605" s="52" t="n">
        <v>0</v>
      </c>
      <c r="AL605" s="52" t="n">
        <v>0</v>
      </c>
      <c r="AM605" s="53" t="n">
        <v>0</v>
      </c>
      <c r="AN605" s="53" t="n">
        <v>0</v>
      </c>
      <c r="AO605" s="53" t="n">
        <v>0</v>
      </c>
      <c r="AP605" s="53" t="n">
        <v>0</v>
      </c>
      <c r="AQ605" s="52" t="n">
        <v>0</v>
      </c>
      <c r="AR605" s="52" t="n">
        <v>0</v>
      </c>
      <c r="AS605" s="52" t="n">
        <v>0</v>
      </c>
      <c r="AT605" s="52" t="n">
        <v>0</v>
      </c>
      <c r="AU605" s="53" t="n">
        <v>0</v>
      </c>
      <c r="AV605" s="53" t="n">
        <v>0</v>
      </c>
      <c r="AW605" s="53" t="n">
        <v>0</v>
      </c>
      <c r="AX605" s="53" t="n">
        <v>0</v>
      </c>
      <c r="AY605" s="52" t="n">
        <v>0</v>
      </c>
      <c r="AZ605" s="52" t="n">
        <v>0</v>
      </c>
      <c r="BA605" s="52" t="n">
        <v>0</v>
      </c>
      <c r="BB605" s="52" t="n">
        <v>0</v>
      </c>
      <c r="BC605" s="51" t="n">
        <v>0</v>
      </c>
      <c r="BD605" s="51" t="n">
        <v>0</v>
      </c>
      <c r="BE605" s="51" t="n">
        <v>0</v>
      </c>
      <c r="BF605" s="51" t="n">
        <v>0</v>
      </c>
    </row>
    <row r="606">
      <c r="A606">
        <f>HYPERLINK("https://www.walmart.com/ip/5276966448", "5276966448")</f>
        <v/>
      </c>
      <c r="B606" t="inlineStr">
        <is>
          <t>Tirrinia Single Wine Cooler Bags - Insulated &amp; Padded Portable Wine Tote Carrier for Travel, BYOB Restaurant, Wine Tasting, Party, Great Christmas Gift for Wine Lover, Rainbow</t>
        </is>
      </c>
      <c r="C606" t="inlineStr">
        <is>
          <t>1TRWB101RAINBOW</t>
        </is>
      </c>
      <c r="D606" t="inlineStr">
        <is>
          <t>Wine Totes, Bags &amp; Backpacks</t>
        </is>
      </c>
      <c r="E606" t="inlineStr">
        <is>
          <t>Tirrinia</t>
        </is>
      </c>
      <c r="G606" s="48" t="n">
        <v>0</v>
      </c>
      <c r="H606" s="48" t="n">
        <v>0</v>
      </c>
      <c r="I606" s="48" t="n">
        <v>0</v>
      </c>
      <c r="J606" s="48" t="n">
        <v>0</v>
      </c>
      <c r="K606" s="49" t="n">
        <v>0</v>
      </c>
      <c r="L606" s="49" t="n">
        <v>0</v>
      </c>
      <c r="M606" s="49" t="n">
        <v>0</v>
      </c>
      <c r="N606" s="49" t="n">
        <v>0</v>
      </c>
      <c r="O606" s="49" t="n">
        <v>0</v>
      </c>
      <c r="P606" s="49" t="n">
        <v>0</v>
      </c>
      <c r="Q606" s="49" t="n">
        <v>0</v>
      </c>
      <c r="R606" s="49" t="n">
        <v>0</v>
      </c>
      <c r="S606" s="50" t="n">
        <v>0</v>
      </c>
      <c r="T606" s="50" t="n">
        <v>0</v>
      </c>
      <c r="U606" s="50" t="n">
        <v>0</v>
      </c>
      <c r="V606" s="50" t="n">
        <v>0</v>
      </c>
      <c r="W606" s="51" t="n">
        <v>0</v>
      </c>
      <c r="X606" s="51" t="n">
        <v>0</v>
      </c>
      <c r="Y606" s="51" t="n">
        <v>0</v>
      </c>
      <c r="Z606" s="51" t="n">
        <v>0</v>
      </c>
      <c r="AA606" s="52" t="n">
        <v>0</v>
      </c>
      <c r="AB606" s="52" t="n">
        <v>0</v>
      </c>
      <c r="AC606" s="52" t="n">
        <v>0</v>
      </c>
      <c r="AD606" s="52" t="n">
        <v>0</v>
      </c>
      <c r="AE606" s="52" t="n">
        <v>0</v>
      </c>
      <c r="AF606" s="52" t="n">
        <v>0</v>
      </c>
      <c r="AG606" s="52" t="n">
        <v>0</v>
      </c>
      <c r="AH606" s="52" t="n">
        <v>0</v>
      </c>
      <c r="AI606" s="52" t="n">
        <v>0</v>
      </c>
      <c r="AJ606" s="52" t="n">
        <v>0</v>
      </c>
      <c r="AK606" s="52" t="n">
        <v>0</v>
      </c>
      <c r="AL606" s="52" t="n">
        <v>0</v>
      </c>
      <c r="AM606" s="53" t="n">
        <v>0</v>
      </c>
      <c r="AN606" s="53" t="n">
        <v>0</v>
      </c>
      <c r="AO606" s="53" t="n">
        <v>0</v>
      </c>
      <c r="AP606" s="53" t="n">
        <v>0</v>
      </c>
      <c r="AQ606" s="52" t="n">
        <v>0</v>
      </c>
      <c r="AR606" s="52" t="n">
        <v>0</v>
      </c>
      <c r="AS606" s="52" t="n">
        <v>0</v>
      </c>
      <c r="AT606" s="52" t="n">
        <v>0</v>
      </c>
      <c r="AU606" s="53" t="n">
        <v>0</v>
      </c>
      <c r="AV606" s="53" t="n">
        <v>0</v>
      </c>
      <c r="AW606" s="53" t="n">
        <v>0</v>
      </c>
      <c r="AX606" s="53" t="n">
        <v>0</v>
      </c>
      <c r="AY606" s="52" t="n">
        <v>0</v>
      </c>
      <c r="AZ606" s="52" t="n">
        <v>0</v>
      </c>
      <c r="BA606" s="52" t="n">
        <v>0</v>
      </c>
      <c r="BB606" s="52" t="n">
        <v>0</v>
      </c>
      <c r="BC606" s="51" t="n">
        <v>0</v>
      </c>
      <c r="BD606" s="51" t="n">
        <v>0</v>
      </c>
      <c r="BE606" s="51" t="n">
        <v>0</v>
      </c>
      <c r="BF606" s="51" t="n">
        <v>0</v>
      </c>
    </row>
    <row r="607">
      <c r="A607">
        <f>HYPERLINK("https://www.walmart.com/ip/527484062", "527484062")</f>
        <v/>
      </c>
      <c r="B607" t="inlineStr">
        <is>
          <t>Catalonia Fuzzy Snuggle Sherpa Throw Blanket for Camping Traveling Couch Bed, 50x60 inches, Purple</t>
        </is>
      </c>
      <c r="C607" t="inlineStr">
        <is>
          <t>1CTBF566PP</t>
        </is>
      </c>
      <c r="D607" t="inlineStr">
        <is>
          <t>Throws</t>
        </is>
      </c>
      <c r="E607" t="inlineStr">
        <is>
          <t>Catalonia</t>
        </is>
      </c>
      <c r="F607" t="inlineStr">
        <is>
          <t>Optimized,WFS,WFS Item</t>
        </is>
      </c>
      <c r="G607" s="48" t="n">
        <v>0</v>
      </c>
      <c r="H607" s="48" t="n">
        <v>0</v>
      </c>
      <c r="I607" s="48" t="n">
        <v>0</v>
      </c>
      <c r="J607" s="48" t="n">
        <v>0</v>
      </c>
      <c r="K607" s="49" t="n">
        <v>0</v>
      </c>
      <c r="L607" s="49" t="n">
        <v>0</v>
      </c>
      <c r="M607" s="49" t="n">
        <v>0</v>
      </c>
      <c r="N607" s="49" t="n">
        <v>0</v>
      </c>
      <c r="O607" s="49" t="n">
        <v>0</v>
      </c>
      <c r="P607" s="49" t="n">
        <v>0</v>
      </c>
      <c r="Q607" s="49" t="n">
        <v>0</v>
      </c>
      <c r="R607" s="49" t="n">
        <v>0</v>
      </c>
      <c r="S607" s="50" t="n">
        <v>0</v>
      </c>
      <c r="T607" s="50" t="n">
        <v>0</v>
      </c>
      <c r="U607" s="50" t="n">
        <v>0</v>
      </c>
      <c r="V607" s="50" t="n">
        <v>0</v>
      </c>
      <c r="W607" s="51" t="n">
        <v>0</v>
      </c>
      <c r="X607" s="51" t="n">
        <v>0</v>
      </c>
      <c r="Y607" s="51" t="n">
        <v>0</v>
      </c>
      <c r="Z607" s="51" t="n">
        <v>0</v>
      </c>
      <c r="AA607" s="52" t="n">
        <v>0</v>
      </c>
      <c r="AB607" s="52" t="n">
        <v>0</v>
      </c>
      <c r="AC607" s="52" t="n">
        <v>0</v>
      </c>
      <c r="AD607" s="52" t="n">
        <v>0</v>
      </c>
      <c r="AE607" s="52" t="n">
        <v>0</v>
      </c>
      <c r="AF607" s="52" t="n">
        <v>0</v>
      </c>
      <c r="AG607" s="52" t="n">
        <v>0</v>
      </c>
      <c r="AH607" s="52" t="n">
        <v>0</v>
      </c>
      <c r="AI607" s="52" t="n">
        <v>0</v>
      </c>
      <c r="AJ607" s="52" t="n">
        <v>0</v>
      </c>
      <c r="AK607" s="52" t="n">
        <v>0</v>
      </c>
      <c r="AL607" s="52" t="n">
        <v>0</v>
      </c>
      <c r="AM607" s="53" t="n">
        <v>0</v>
      </c>
      <c r="AN607" s="53" t="n">
        <v>0</v>
      </c>
      <c r="AO607" s="53" t="n">
        <v>0</v>
      </c>
      <c r="AP607" s="53" t="n">
        <v>0</v>
      </c>
      <c r="AQ607" s="52" t="n">
        <v>0</v>
      </c>
      <c r="AR607" s="52" t="n">
        <v>0</v>
      </c>
      <c r="AS607" s="52" t="n">
        <v>0</v>
      </c>
      <c r="AT607" s="52" t="n">
        <v>0</v>
      </c>
      <c r="AU607" s="53" t="n">
        <v>0</v>
      </c>
      <c r="AV607" s="53" t="n">
        <v>0</v>
      </c>
      <c r="AW607" s="53" t="n">
        <v>0</v>
      </c>
      <c r="AX607" s="53" t="n">
        <v>0</v>
      </c>
      <c r="AY607" s="52" t="n">
        <v>0</v>
      </c>
      <c r="AZ607" s="52" t="n">
        <v>0</v>
      </c>
      <c r="BA607" s="52" t="n">
        <v>0</v>
      </c>
      <c r="BB607" s="52" t="n">
        <v>0</v>
      </c>
      <c r="BC607" s="51" t="n">
        <v>0</v>
      </c>
      <c r="BD607" s="51" t="n">
        <v>0</v>
      </c>
      <c r="BE607" s="51" t="n">
        <v>0</v>
      </c>
      <c r="BF607" s="51" t="n">
        <v>0</v>
      </c>
    </row>
    <row r="608">
      <c r="A608">
        <f>HYPERLINK("https://www.walmart.com/ip/527482974", "527482974")</f>
        <v/>
      </c>
      <c r="B608" t="inlineStr">
        <is>
          <t>Catalonia Pink Sherpa Throw Blanket, Snuggle Super Soft Blanket for Girls 50"x60", Comfy Fuzzy Micro Plush Fleece for Sofa Couch TV Bed Reversible Match Color All Season</t>
        </is>
      </c>
      <c r="C608" t="inlineStr">
        <is>
          <t>1CTBF301PK</t>
        </is>
      </c>
      <c r="D608" t="inlineStr">
        <is>
          <t>Throws</t>
        </is>
      </c>
      <c r="E608" t="inlineStr">
        <is>
          <t>Catalonia</t>
        </is>
      </c>
      <c r="F608" t="inlineStr">
        <is>
          <t>Optimized,WFS,Valentine,WFS Item</t>
        </is>
      </c>
      <c r="G608" s="48" t="n">
        <v>0</v>
      </c>
      <c r="H608" s="48" t="n">
        <v>0</v>
      </c>
      <c r="I608" s="48" t="n">
        <v>0</v>
      </c>
      <c r="J608" s="48" t="n">
        <v>0</v>
      </c>
      <c r="K608" s="49" t="n">
        <v>0</v>
      </c>
      <c r="L608" s="49" t="n">
        <v>0</v>
      </c>
      <c r="M608" s="49" t="n">
        <v>0</v>
      </c>
      <c r="N608" s="49" t="n">
        <v>0</v>
      </c>
      <c r="O608" s="49" t="n">
        <v>0</v>
      </c>
      <c r="P608" s="49" t="n">
        <v>0</v>
      </c>
      <c r="Q608" s="49" t="n">
        <v>0</v>
      </c>
      <c r="R608" s="49" t="n">
        <v>0</v>
      </c>
      <c r="S608" s="50" t="n">
        <v>0</v>
      </c>
      <c r="T608" s="50" t="n">
        <v>0</v>
      </c>
      <c r="U608" s="50" t="n">
        <v>0</v>
      </c>
      <c r="V608" s="50" t="n">
        <v>0</v>
      </c>
      <c r="W608" s="51" t="n">
        <v>0</v>
      </c>
      <c r="X608" s="51" t="n">
        <v>0</v>
      </c>
      <c r="Y608" s="51" t="n">
        <v>0</v>
      </c>
      <c r="Z608" s="51" t="n">
        <v>0</v>
      </c>
      <c r="AA608" s="52" t="n">
        <v>0</v>
      </c>
      <c r="AB608" s="52" t="n">
        <v>0</v>
      </c>
      <c r="AC608" s="52" t="n">
        <v>0</v>
      </c>
      <c r="AD608" s="52" t="n">
        <v>0</v>
      </c>
      <c r="AE608" s="52" t="n">
        <v>0</v>
      </c>
      <c r="AF608" s="52" t="n">
        <v>0</v>
      </c>
      <c r="AG608" s="52" t="n">
        <v>0</v>
      </c>
      <c r="AH608" s="52" t="n">
        <v>0</v>
      </c>
      <c r="AI608" s="52" t="n">
        <v>0</v>
      </c>
      <c r="AJ608" s="52" t="n">
        <v>0</v>
      </c>
      <c r="AK608" s="52" t="n">
        <v>0</v>
      </c>
      <c r="AL608" s="52" t="n">
        <v>0</v>
      </c>
      <c r="AM608" s="53" t="n">
        <v>0</v>
      </c>
      <c r="AN608" s="53" t="n">
        <v>0</v>
      </c>
      <c r="AO608" s="53" t="n">
        <v>0</v>
      </c>
      <c r="AP608" s="53" t="n">
        <v>0</v>
      </c>
      <c r="AQ608" s="52" t="n">
        <v>0</v>
      </c>
      <c r="AR608" s="52" t="n">
        <v>0</v>
      </c>
      <c r="AS608" s="52" t="n">
        <v>0</v>
      </c>
      <c r="AT608" s="52" t="n">
        <v>0</v>
      </c>
      <c r="AU608" s="53" t="n">
        <v>0</v>
      </c>
      <c r="AV608" s="53" t="n">
        <v>0</v>
      </c>
      <c r="AW608" s="53" t="n">
        <v>0</v>
      </c>
      <c r="AX608" s="53" t="n">
        <v>0</v>
      </c>
      <c r="AY608" s="52" t="n">
        <v>0</v>
      </c>
      <c r="AZ608" s="52" t="n">
        <v>0</v>
      </c>
      <c r="BA608" s="52" t="n">
        <v>0</v>
      </c>
      <c r="BB608" s="52" t="n">
        <v>0</v>
      </c>
      <c r="BC608" s="51" t="n">
        <v>0</v>
      </c>
      <c r="BD608" s="51" t="n">
        <v>0</v>
      </c>
      <c r="BE608" s="51" t="n">
        <v>0</v>
      </c>
      <c r="BF608" s="51" t="n">
        <v>0</v>
      </c>
    </row>
    <row r="609">
      <c r="A609">
        <f>HYPERLINK("https://www.walmart.com/ip/5215793512", "5215793512")</f>
        <v/>
      </c>
      <c r="B609" t="inlineStr">
        <is>
          <t>Tirrinia 2 Bottle Wine Tote Carrier - Leakproof &amp; Insulated &amp; Padded Versatile Cooler Bag for Travel, BYOB Restaurant, Wine Tasting, Party, Great Christmas Gift for Wine Lover, Rainbow</t>
        </is>
      </c>
      <c r="C609" t="inlineStr">
        <is>
          <t>1TRWB220RAINBOW</t>
        </is>
      </c>
      <c r="D609" t="inlineStr">
        <is>
          <t>Wine Totes, Bags &amp; Backpacks</t>
        </is>
      </c>
      <c r="E609" t="inlineStr">
        <is>
          <t>Tirrinia</t>
        </is>
      </c>
      <c r="G609" s="48" t="n">
        <v>0</v>
      </c>
      <c r="H609" s="48" t="n">
        <v>22.99</v>
      </c>
      <c r="I609" s="48" t="n">
        <v>0</v>
      </c>
      <c r="J609" s="48" t="n">
        <v>0</v>
      </c>
      <c r="K609" s="49" t="n">
        <v>0</v>
      </c>
      <c r="L609" s="49" t="n">
        <v>1</v>
      </c>
      <c r="M609" s="49" t="n">
        <v>0</v>
      </c>
      <c r="N609" s="49" t="n">
        <v>0</v>
      </c>
      <c r="O609" s="49" t="n">
        <v>0</v>
      </c>
      <c r="P609" s="49" t="n">
        <v>0</v>
      </c>
      <c r="Q609" s="49" t="n">
        <v>0</v>
      </c>
      <c r="R609" s="49" t="n">
        <v>0</v>
      </c>
      <c r="S609" s="50" t="n">
        <v>0</v>
      </c>
      <c r="T609" s="50" t="n">
        <v>0</v>
      </c>
      <c r="U609" s="50" t="n">
        <v>0</v>
      </c>
      <c r="V609" s="50" t="n">
        <v>0</v>
      </c>
      <c r="W609" s="51" t="n">
        <v>0</v>
      </c>
      <c r="X609" s="51" t="n">
        <v>0</v>
      </c>
      <c r="Y609" s="51" t="n">
        <v>0</v>
      </c>
      <c r="Z609" s="51" t="n">
        <v>0</v>
      </c>
      <c r="AA609" s="52" t="n">
        <v>0</v>
      </c>
      <c r="AB609" s="52" t="n">
        <v>0</v>
      </c>
      <c r="AC609" s="52" t="n">
        <v>0</v>
      </c>
      <c r="AD609" s="52" t="n">
        <v>0</v>
      </c>
      <c r="AE609" s="52" t="n">
        <v>0</v>
      </c>
      <c r="AF609" s="52" t="n">
        <v>0</v>
      </c>
      <c r="AG609" s="52" t="n">
        <v>0</v>
      </c>
      <c r="AH609" s="52" t="n">
        <v>0</v>
      </c>
      <c r="AI609" s="52" t="n">
        <v>0</v>
      </c>
      <c r="AJ609" s="52" t="n">
        <v>0</v>
      </c>
      <c r="AK609" s="52" t="n">
        <v>0</v>
      </c>
      <c r="AL609" s="52" t="n">
        <v>0</v>
      </c>
      <c r="AM609" s="53" t="n">
        <v>0</v>
      </c>
      <c r="AN609" s="53" t="n">
        <v>0</v>
      </c>
      <c r="AO609" s="53" t="n">
        <v>0</v>
      </c>
      <c r="AP609" s="53" t="n">
        <v>0</v>
      </c>
      <c r="AQ609" s="52" t="n">
        <v>0</v>
      </c>
      <c r="AR609" s="52" t="n">
        <v>0</v>
      </c>
      <c r="AS609" s="52" t="n">
        <v>0</v>
      </c>
      <c r="AT609" s="52" t="n">
        <v>0</v>
      </c>
      <c r="AU609" s="53" t="n">
        <v>0</v>
      </c>
      <c r="AV609" s="53" t="n">
        <v>0</v>
      </c>
      <c r="AW609" s="53" t="n">
        <v>0</v>
      </c>
      <c r="AX609" s="53" t="n">
        <v>0</v>
      </c>
      <c r="AY609" s="52" t="n">
        <v>0</v>
      </c>
      <c r="AZ609" s="52" t="n">
        <v>22.99</v>
      </c>
      <c r="BA609" s="52" t="n">
        <v>0</v>
      </c>
      <c r="BB609" s="52" t="n">
        <v>0</v>
      </c>
      <c r="BC609" s="51" t="n">
        <v>0</v>
      </c>
      <c r="BD609" s="51" t="n">
        <v>0</v>
      </c>
      <c r="BE609" s="51" t="n">
        <v>0</v>
      </c>
      <c r="BF609" s="51" t="n">
        <v>0</v>
      </c>
    </row>
    <row r="610">
      <c r="A610">
        <f>HYPERLINK("https://www.walmart.com/ip/520050365", "520050365")</f>
        <v/>
      </c>
      <c r="B610" t="inlineStr">
        <is>
          <t>Tirrinia Insulated Wine Carrier Bag, 3 Bottle Capacity, Stripe</t>
        </is>
      </c>
      <c r="C610" t="inlineStr">
        <is>
          <t>1TRWB300STR</t>
        </is>
      </c>
      <c r="D610" t="inlineStr">
        <is>
          <t>Wine Totes, Bags &amp; Backpacks</t>
        </is>
      </c>
      <c r="E610" t="inlineStr">
        <is>
          <t>Tirrinia</t>
        </is>
      </c>
      <c r="F610" t="inlineStr">
        <is>
          <t>Wine,Christmas,Optimized,Valentine,Lily Brand Camp</t>
        </is>
      </c>
      <c r="G610" s="48" t="n">
        <v>0</v>
      </c>
      <c r="H610" s="48" t="n">
        <v>0</v>
      </c>
      <c r="I610" s="48" t="n">
        <v>0</v>
      </c>
      <c r="J610" s="48" t="n">
        <v>0</v>
      </c>
      <c r="K610" s="49" t="n">
        <v>0</v>
      </c>
      <c r="L610" s="49" t="n">
        <v>0</v>
      </c>
      <c r="M610" s="49" t="n">
        <v>0</v>
      </c>
      <c r="N610" s="49" t="n">
        <v>0</v>
      </c>
      <c r="O610" s="49" t="n">
        <v>0</v>
      </c>
      <c r="P610" s="49" t="n">
        <v>0</v>
      </c>
      <c r="Q610" s="49" t="n">
        <v>0</v>
      </c>
      <c r="R610" s="49" t="n">
        <v>0</v>
      </c>
      <c r="S610" s="50" t="n">
        <v>0</v>
      </c>
      <c r="T610" s="50" t="n">
        <v>0</v>
      </c>
      <c r="U610" s="50" t="n">
        <v>0</v>
      </c>
      <c r="V610" s="50" t="n">
        <v>0</v>
      </c>
      <c r="W610" s="51" t="n">
        <v>0</v>
      </c>
      <c r="X610" s="51" t="n">
        <v>0</v>
      </c>
      <c r="Y610" s="51" t="n">
        <v>0</v>
      </c>
      <c r="Z610" s="51" t="n">
        <v>0</v>
      </c>
      <c r="AA610" s="52" t="n">
        <v>0</v>
      </c>
      <c r="AB610" s="52" t="n">
        <v>0</v>
      </c>
      <c r="AC610" s="52" t="n">
        <v>0</v>
      </c>
      <c r="AD610" s="52" t="n">
        <v>0</v>
      </c>
      <c r="AE610" s="52" t="n">
        <v>0</v>
      </c>
      <c r="AF610" s="52" t="n">
        <v>0</v>
      </c>
      <c r="AG610" s="52" t="n">
        <v>0</v>
      </c>
      <c r="AH610" s="52" t="n">
        <v>0</v>
      </c>
      <c r="AI610" s="52" t="n">
        <v>0</v>
      </c>
      <c r="AJ610" s="52" t="n">
        <v>0</v>
      </c>
      <c r="AK610" s="52" t="n">
        <v>0</v>
      </c>
      <c r="AL610" s="52" t="n">
        <v>0</v>
      </c>
      <c r="AM610" s="53" t="n">
        <v>0</v>
      </c>
      <c r="AN610" s="53" t="n">
        <v>0</v>
      </c>
      <c r="AO610" s="53" t="n">
        <v>0</v>
      </c>
      <c r="AP610" s="53" t="n">
        <v>0</v>
      </c>
      <c r="AQ610" s="52" t="n">
        <v>0</v>
      </c>
      <c r="AR610" s="52" t="n">
        <v>0</v>
      </c>
      <c r="AS610" s="52" t="n">
        <v>0</v>
      </c>
      <c r="AT610" s="52" t="n">
        <v>0</v>
      </c>
      <c r="AU610" s="53" t="n">
        <v>0</v>
      </c>
      <c r="AV610" s="53" t="n">
        <v>0</v>
      </c>
      <c r="AW610" s="53" t="n">
        <v>0</v>
      </c>
      <c r="AX610" s="53" t="n">
        <v>0</v>
      </c>
      <c r="AY610" s="52" t="n">
        <v>0</v>
      </c>
      <c r="AZ610" s="52" t="n">
        <v>0</v>
      </c>
      <c r="BA610" s="52" t="n">
        <v>0</v>
      </c>
      <c r="BB610" s="52" t="n">
        <v>0</v>
      </c>
      <c r="BC610" s="51" t="n">
        <v>0</v>
      </c>
      <c r="BD610" s="51" t="n">
        <v>0</v>
      </c>
      <c r="BE610" s="51" t="n">
        <v>0</v>
      </c>
      <c r="BF610" s="51" t="n">
        <v>0</v>
      </c>
    </row>
    <row r="611">
      <c r="A611">
        <f>HYPERLINK("https://www.walmart.com/ip/520266104", "520266104")</f>
        <v/>
      </c>
      <c r="B611" t="inlineStr">
        <is>
          <t>Tirrinia Insulated Lunch bag,Leakproof Small Lunch Box for Women Men Kids,Back to School Lunch Cooler Bag for Student Office Work,Blue</t>
        </is>
      </c>
      <c r="C611" t="inlineStr">
        <is>
          <t>1TRCB106BL</t>
        </is>
      </c>
      <c r="D611" t="inlineStr">
        <is>
          <t>Reusable Lunch Bags &amp; Boxes</t>
        </is>
      </c>
      <c r="E611" t="inlineStr">
        <is>
          <t>Tirrinia</t>
        </is>
      </c>
      <c r="F611" t="inlineStr">
        <is>
          <t>Q2-Target,Brand Camp VD,Lunch Bag,WFS,Lunch Bags,WFS Item</t>
        </is>
      </c>
      <c r="G611" s="48" t="n">
        <v>0</v>
      </c>
      <c r="H611" s="48" t="n">
        <v>0</v>
      </c>
      <c r="I611" s="48" t="n">
        <v>0</v>
      </c>
      <c r="J611" s="48" t="n">
        <v>0</v>
      </c>
      <c r="K611" s="49" t="n">
        <v>0</v>
      </c>
      <c r="L611" s="49" t="n">
        <v>0</v>
      </c>
      <c r="M611" s="49" t="n">
        <v>0</v>
      </c>
      <c r="N611" s="49" t="n">
        <v>0</v>
      </c>
      <c r="O611" s="49" t="n">
        <v>0</v>
      </c>
      <c r="P611" s="49" t="n">
        <v>0</v>
      </c>
      <c r="Q611" s="49" t="n">
        <v>0</v>
      </c>
      <c r="R611" s="49" t="n">
        <v>0</v>
      </c>
      <c r="S611" s="50" t="n">
        <v>0</v>
      </c>
      <c r="T611" s="50" t="n">
        <v>0</v>
      </c>
      <c r="U611" s="50" t="n">
        <v>0</v>
      </c>
      <c r="V611" s="50" t="n">
        <v>0</v>
      </c>
      <c r="W611" s="51" t="n">
        <v>0</v>
      </c>
      <c r="X611" s="51" t="n">
        <v>0</v>
      </c>
      <c r="Y611" s="51" t="n">
        <v>0</v>
      </c>
      <c r="Z611" s="51" t="n">
        <v>0</v>
      </c>
      <c r="AA611" s="52" t="n">
        <v>0</v>
      </c>
      <c r="AB611" s="52" t="n">
        <v>0</v>
      </c>
      <c r="AC611" s="52" t="n">
        <v>0</v>
      </c>
      <c r="AD611" s="52" t="n">
        <v>0</v>
      </c>
      <c r="AE611" s="52" t="n">
        <v>0</v>
      </c>
      <c r="AF611" s="52" t="n">
        <v>0</v>
      </c>
      <c r="AG611" s="52" t="n">
        <v>0</v>
      </c>
      <c r="AH611" s="52" t="n">
        <v>0</v>
      </c>
      <c r="AI611" s="52" t="n">
        <v>0</v>
      </c>
      <c r="AJ611" s="52" t="n">
        <v>0</v>
      </c>
      <c r="AK611" s="52" t="n">
        <v>0</v>
      </c>
      <c r="AL611" s="52" t="n">
        <v>0</v>
      </c>
      <c r="AM611" s="53" t="n">
        <v>0</v>
      </c>
      <c r="AN611" s="53" t="n">
        <v>0</v>
      </c>
      <c r="AO611" s="53" t="n">
        <v>0</v>
      </c>
      <c r="AP611" s="53" t="n">
        <v>0</v>
      </c>
      <c r="AQ611" s="52" t="n">
        <v>0</v>
      </c>
      <c r="AR611" s="52" t="n">
        <v>0</v>
      </c>
      <c r="AS611" s="52" t="n">
        <v>0</v>
      </c>
      <c r="AT611" s="52" t="n">
        <v>0</v>
      </c>
      <c r="AU611" s="53" t="n">
        <v>0</v>
      </c>
      <c r="AV611" s="53" t="n">
        <v>0</v>
      </c>
      <c r="AW611" s="53" t="n">
        <v>0</v>
      </c>
      <c r="AX611" s="53" t="n">
        <v>0</v>
      </c>
      <c r="AY611" s="52" t="n">
        <v>0</v>
      </c>
      <c r="AZ611" s="52" t="n">
        <v>0</v>
      </c>
      <c r="BA611" s="52" t="n">
        <v>0</v>
      </c>
      <c r="BB611" s="52" t="n">
        <v>0</v>
      </c>
      <c r="BC611" s="51" t="n">
        <v>0</v>
      </c>
      <c r="BD611" s="51" t="n">
        <v>0</v>
      </c>
      <c r="BE611" s="51" t="n">
        <v>0</v>
      </c>
      <c r="BF611" s="51" t="n">
        <v>0</v>
      </c>
    </row>
    <row r="612">
      <c r="A612">
        <f>HYPERLINK("https://www.walmart.com/ip/520315545", "520315545")</f>
        <v/>
      </c>
      <c r="B612" t="inlineStr">
        <is>
          <t>Kato 6 Bottle Wine Carrier, Insulated Leakproof Padded Wine Cooler Carrying Tote Bag for Travel, Camping and Picnic, Perfect Wine Lover Gift, Beige</t>
        </is>
      </c>
      <c r="C612" t="inlineStr">
        <is>
          <t>1KTWB610BG</t>
        </is>
      </c>
      <c r="D612" t="inlineStr">
        <is>
          <t>Wine Totes, Bags &amp; Backpacks</t>
        </is>
      </c>
      <c r="E612" t="inlineStr">
        <is>
          <t>Kato</t>
        </is>
      </c>
      <c r="F612" t="inlineStr">
        <is>
          <t>Wine,Christmas,WFS,Valentine,SEM,WFS Item</t>
        </is>
      </c>
      <c r="G612" s="48" t="n">
        <v>0</v>
      </c>
      <c r="H612" s="48" t="n">
        <v>0</v>
      </c>
      <c r="I612" s="48" t="n">
        <v>0</v>
      </c>
      <c r="J612" s="48" t="n">
        <v>0</v>
      </c>
      <c r="K612" s="49" t="n">
        <v>0</v>
      </c>
      <c r="L612" s="49" t="n">
        <v>0</v>
      </c>
      <c r="M612" s="49" t="n">
        <v>0</v>
      </c>
      <c r="N612" s="49" t="n">
        <v>0</v>
      </c>
      <c r="O612" s="49" t="n">
        <v>0</v>
      </c>
      <c r="P612" s="49" t="n">
        <v>0</v>
      </c>
      <c r="Q612" s="49" t="n">
        <v>0</v>
      </c>
      <c r="R612" s="49" t="n">
        <v>0</v>
      </c>
      <c r="S612" s="50" t="n">
        <v>0</v>
      </c>
      <c r="T612" s="50" t="n">
        <v>0</v>
      </c>
      <c r="U612" s="50" t="n">
        <v>0</v>
      </c>
      <c r="V612" s="50" t="n">
        <v>0</v>
      </c>
      <c r="W612" s="51" t="n">
        <v>2</v>
      </c>
      <c r="X612" s="51" t="n">
        <v>0</v>
      </c>
      <c r="Y612" s="51" t="n">
        <v>0</v>
      </c>
      <c r="Z612" s="51" t="n">
        <v>0</v>
      </c>
      <c r="AA612" s="52" t="n">
        <v>0.76</v>
      </c>
      <c r="AB612" s="52" t="n">
        <v>0</v>
      </c>
      <c r="AC612" s="52" t="n">
        <v>0</v>
      </c>
      <c r="AD612" s="52" t="n">
        <v>0</v>
      </c>
      <c r="AE612" s="52" t="n">
        <v>0</v>
      </c>
      <c r="AF612" s="52" t="n">
        <v>0</v>
      </c>
      <c r="AG612" s="52" t="n">
        <v>0</v>
      </c>
      <c r="AH612" s="52" t="n">
        <v>0</v>
      </c>
      <c r="AI612" s="52" t="n">
        <v>0</v>
      </c>
      <c r="AJ612" s="52" t="n">
        <v>0</v>
      </c>
      <c r="AK612" s="52" t="n">
        <v>0</v>
      </c>
      <c r="AL612" s="52" t="n">
        <v>0</v>
      </c>
      <c r="AM612" s="53" t="n">
        <v>0.0023</v>
      </c>
      <c r="AN612" s="53" t="n">
        <v>0</v>
      </c>
      <c r="AO612" s="53" t="n">
        <v>0</v>
      </c>
      <c r="AP612" s="53" t="n">
        <v>0</v>
      </c>
      <c r="AQ612" s="52" t="n">
        <v>0.38</v>
      </c>
      <c r="AR612" s="52" t="n">
        <v>0</v>
      </c>
      <c r="AS612" s="52" t="n">
        <v>0</v>
      </c>
      <c r="AT612" s="52" t="n">
        <v>0</v>
      </c>
      <c r="AU612" s="53" t="n">
        <v>0</v>
      </c>
      <c r="AV612" s="53" t="n">
        <v>0</v>
      </c>
      <c r="AW612" s="53" t="n">
        <v>0</v>
      </c>
      <c r="AX612" s="53" t="n">
        <v>0</v>
      </c>
      <c r="AY612" s="52" t="n">
        <v>0</v>
      </c>
      <c r="AZ612" s="52" t="n">
        <v>0</v>
      </c>
      <c r="BA612" s="52" t="n">
        <v>0</v>
      </c>
      <c r="BB612" s="52" t="n">
        <v>0</v>
      </c>
      <c r="BC612" s="51" t="n">
        <v>870</v>
      </c>
      <c r="BD612" s="51" t="n">
        <v>643</v>
      </c>
      <c r="BE612" s="51" t="n">
        <v>613</v>
      </c>
      <c r="BF612" s="51" t="n">
        <v>765</v>
      </c>
    </row>
    <row r="613">
      <c r="A613">
        <f>HYPERLINK("https://www.walmart.com/ip/520906928", "520906928")</f>
        <v/>
      </c>
      <c r="B613" t="inlineStr">
        <is>
          <t>KC Caps® Hunting Hiking Camping Camo Military Mesh Cap Travel Hat</t>
        </is>
      </c>
      <c r="C613" t="inlineStr">
        <is>
          <t>KC7140-Grass</t>
        </is>
      </c>
      <c r="D613" t="inlineStr">
        <is>
          <t>Hats</t>
        </is>
      </c>
      <c r="E613" t="inlineStr">
        <is>
          <t>KC Caps</t>
        </is>
      </c>
      <c r="F613" t="inlineStr">
        <is>
          <t>Optimized</t>
        </is>
      </c>
      <c r="G613" s="48" t="n">
        <v>0</v>
      </c>
      <c r="H613" s="48" t="n">
        <v>0</v>
      </c>
      <c r="I613" s="48" t="n">
        <v>0</v>
      </c>
      <c r="J613" s="48" t="n">
        <v>0</v>
      </c>
      <c r="K613" s="49" t="n">
        <v>0</v>
      </c>
      <c r="L613" s="49" t="n">
        <v>0</v>
      </c>
      <c r="M613" s="49" t="n">
        <v>0</v>
      </c>
      <c r="N613" s="49" t="n">
        <v>0</v>
      </c>
      <c r="O613" s="49" t="n">
        <v>0</v>
      </c>
      <c r="P613" s="49" t="n">
        <v>0</v>
      </c>
      <c r="Q613" s="49" t="n">
        <v>0</v>
      </c>
      <c r="R613" s="49" t="n">
        <v>0</v>
      </c>
      <c r="S613" s="50" t="n">
        <v>0</v>
      </c>
      <c r="T613" s="50" t="n">
        <v>0</v>
      </c>
      <c r="U613" s="50" t="n">
        <v>0</v>
      </c>
      <c r="V613" s="50" t="n">
        <v>0</v>
      </c>
      <c r="W613" s="51" t="n">
        <v>0</v>
      </c>
      <c r="X613" s="51" t="n">
        <v>0</v>
      </c>
      <c r="Y613" s="51" t="n">
        <v>0</v>
      </c>
      <c r="Z613" s="51" t="n">
        <v>0</v>
      </c>
      <c r="AA613" s="52" t="n">
        <v>0</v>
      </c>
      <c r="AB613" s="52" t="n">
        <v>0</v>
      </c>
      <c r="AC613" s="52" t="n">
        <v>0</v>
      </c>
      <c r="AD613" s="52" t="n">
        <v>0</v>
      </c>
      <c r="AE613" s="52" t="n">
        <v>0</v>
      </c>
      <c r="AF613" s="52" t="n">
        <v>0</v>
      </c>
      <c r="AG613" s="52" t="n">
        <v>0</v>
      </c>
      <c r="AH613" s="52" t="n">
        <v>0</v>
      </c>
      <c r="AI613" s="52" t="n">
        <v>0</v>
      </c>
      <c r="AJ613" s="52" t="n">
        <v>0</v>
      </c>
      <c r="AK613" s="52" t="n">
        <v>0</v>
      </c>
      <c r="AL613" s="52" t="n">
        <v>0</v>
      </c>
      <c r="AM613" s="53" t="n">
        <v>0</v>
      </c>
      <c r="AN613" s="53" t="n">
        <v>0</v>
      </c>
      <c r="AO613" s="53" t="n">
        <v>0</v>
      </c>
      <c r="AP613" s="53" t="n">
        <v>0</v>
      </c>
      <c r="AQ613" s="52" t="n">
        <v>0</v>
      </c>
      <c r="AR613" s="52" t="n">
        <v>0</v>
      </c>
      <c r="AS613" s="52" t="n">
        <v>0</v>
      </c>
      <c r="AT613" s="52" t="n">
        <v>0</v>
      </c>
      <c r="AU613" s="53" t="n">
        <v>0</v>
      </c>
      <c r="AV613" s="53" t="n">
        <v>0</v>
      </c>
      <c r="AW613" s="53" t="n">
        <v>0</v>
      </c>
      <c r="AX613" s="53" t="n">
        <v>0</v>
      </c>
      <c r="AY613" s="52" t="n">
        <v>0</v>
      </c>
      <c r="AZ613" s="52" t="n">
        <v>0</v>
      </c>
      <c r="BA613" s="52" t="n">
        <v>0</v>
      </c>
      <c r="BB613" s="52" t="n">
        <v>0</v>
      </c>
      <c r="BC613" s="51" t="n">
        <v>0</v>
      </c>
      <c r="BD613" s="51" t="n">
        <v>0</v>
      </c>
      <c r="BE613" s="51" t="n">
        <v>0</v>
      </c>
      <c r="BF613" s="51" t="n">
        <v>0</v>
      </c>
    </row>
    <row r="614">
      <c r="A614">
        <f>HYPERLINK("https://www.walmart.com/ip/5215431714", "5215431714")</f>
        <v/>
      </c>
      <c r="B614" t="inlineStr">
        <is>
          <t>Catalonia Waterproof Dog Blanket for Couch, Reversible Washable Sofa Bed Coverlet Protector, Leakproof, Comfortable Blanket for People and Pets, Camel/Taupe, 50" x 60"</t>
        </is>
      </c>
      <c r="C614" t="inlineStr">
        <is>
          <t>1CTBW565TPTP</t>
        </is>
      </c>
      <c r="D614" t="inlineStr">
        <is>
          <t>Throws</t>
        </is>
      </c>
      <c r="E614" t="inlineStr">
        <is>
          <t>Catalonia</t>
        </is>
      </c>
      <c r="F614" t="inlineStr">
        <is>
          <t>Q2-Target</t>
        </is>
      </c>
      <c r="G614" s="48" t="n">
        <v>0</v>
      </c>
      <c r="H614" s="48" t="n">
        <v>0</v>
      </c>
      <c r="I614" s="48" t="n">
        <v>29.99</v>
      </c>
      <c r="J614" s="48" t="n">
        <v>0</v>
      </c>
      <c r="K614" s="49" t="n">
        <v>0</v>
      </c>
      <c r="L614" s="49" t="n">
        <v>0</v>
      </c>
      <c r="M614" s="49" t="n">
        <v>1</v>
      </c>
      <c r="N614" s="49" t="n">
        <v>0</v>
      </c>
      <c r="O614" s="49" t="n">
        <v>0</v>
      </c>
      <c r="P614" s="49" t="n">
        <v>0</v>
      </c>
      <c r="Q614" s="49" t="n">
        <v>0</v>
      </c>
      <c r="R614" s="49" t="n">
        <v>0</v>
      </c>
      <c r="S614" s="50" t="n">
        <v>0</v>
      </c>
      <c r="T614" s="50" t="n">
        <v>0</v>
      </c>
      <c r="U614" s="50" t="n">
        <v>0</v>
      </c>
      <c r="V614" s="50" t="n">
        <v>0</v>
      </c>
      <c r="W614" s="51" t="n">
        <v>0</v>
      </c>
      <c r="X614" s="51" t="n">
        <v>0</v>
      </c>
      <c r="Y614" s="51" t="n">
        <v>0</v>
      </c>
      <c r="Z614" s="51" t="n">
        <v>0</v>
      </c>
      <c r="AA614" s="52" t="n">
        <v>0</v>
      </c>
      <c r="AB614" s="52" t="n">
        <v>0</v>
      </c>
      <c r="AC614" s="52" t="n">
        <v>0</v>
      </c>
      <c r="AD614" s="52" t="n">
        <v>0</v>
      </c>
      <c r="AE614" s="52" t="n">
        <v>0</v>
      </c>
      <c r="AF614" s="52" t="n">
        <v>0</v>
      </c>
      <c r="AG614" s="52" t="n">
        <v>0</v>
      </c>
      <c r="AH614" s="52" t="n">
        <v>0</v>
      </c>
      <c r="AI614" s="52" t="n">
        <v>0</v>
      </c>
      <c r="AJ614" s="52" t="n">
        <v>0</v>
      </c>
      <c r="AK614" s="52" t="n">
        <v>0</v>
      </c>
      <c r="AL614" s="52" t="n">
        <v>0</v>
      </c>
      <c r="AM614" s="53" t="n">
        <v>0</v>
      </c>
      <c r="AN614" s="53" t="n">
        <v>0</v>
      </c>
      <c r="AO614" s="53" t="n">
        <v>0</v>
      </c>
      <c r="AP614" s="53" t="n">
        <v>0</v>
      </c>
      <c r="AQ614" s="52" t="n">
        <v>0</v>
      </c>
      <c r="AR614" s="52" t="n">
        <v>0</v>
      </c>
      <c r="AS614" s="52" t="n">
        <v>0</v>
      </c>
      <c r="AT614" s="52" t="n">
        <v>0</v>
      </c>
      <c r="AU614" s="53" t="n">
        <v>0</v>
      </c>
      <c r="AV614" s="53" t="n">
        <v>0</v>
      </c>
      <c r="AW614" s="53" t="n">
        <v>0</v>
      </c>
      <c r="AX614" s="53" t="n">
        <v>0</v>
      </c>
      <c r="AY614" s="52" t="n">
        <v>0</v>
      </c>
      <c r="AZ614" s="52" t="n">
        <v>0</v>
      </c>
      <c r="BA614" s="52" t="n">
        <v>29.99</v>
      </c>
      <c r="BB614" s="52" t="n">
        <v>0</v>
      </c>
      <c r="BC614" s="51" t="n">
        <v>0</v>
      </c>
      <c r="BD614" s="51" t="n">
        <v>0</v>
      </c>
      <c r="BE614" s="51" t="n">
        <v>0</v>
      </c>
      <c r="BF614" s="51" t="n">
        <v>0</v>
      </c>
    </row>
    <row r="615">
      <c r="A615">
        <f>HYPERLINK("https://www.walmart.com/ip/5215743269", "5215743269")</f>
        <v/>
      </c>
      <c r="B615" t="inlineStr">
        <is>
          <t>Tirrinia 2 Bottle Wine Tote Carrier, Leakproof, Insulated and Padded Versatile Cooler Bag for Travel, BYOB Restaurant, Wine Tasting, Party, Wine Gifts Bag, Cork</t>
        </is>
      </c>
      <c r="C615" t="inlineStr">
        <is>
          <t>1TRWB220CORK</t>
        </is>
      </c>
      <c r="D615" t="inlineStr">
        <is>
          <t>Wine Totes, Bags &amp; Backpacks</t>
        </is>
      </c>
      <c r="E615" t="inlineStr">
        <is>
          <t>Tirrinia</t>
        </is>
      </c>
      <c r="G615" s="48" t="n">
        <v>0</v>
      </c>
      <c r="H615" s="48" t="n">
        <v>0</v>
      </c>
      <c r="I615" s="48" t="n">
        <v>0</v>
      </c>
      <c r="J615" s="48" t="n">
        <v>0</v>
      </c>
      <c r="K615" s="49" t="n">
        <v>0</v>
      </c>
      <c r="L615" s="49" t="n">
        <v>0</v>
      </c>
      <c r="M615" s="49" t="n">
        <v>0</v>
      </c>
      <c r="N615" s="49" t="n">
        <v>0</v>
      </c>
      <c r="O615" s="49" t="n">
        <v>0</v>
      </c>
      <c r="P615" s="49" t="n">
        <v>0</v>
      </c>
      <c r="Q615" s="49" t="n">
        <v>0</v>
      </c>
      <c r="R615" s="49" t="n">
        <v>0</v>
      </c>
      <c r="S615" s="50" t="n">
        <v>0</v>
      </c>
      <c r="T615" s="50" t="n">
        <v>0</v>
      </c>
      <c r="U615" s="50" t="n">
        <v>0</v>
      </c>
      <c r="V615" s="50" t="n">
        <v>0</v>
      </c>
      <c r="W615" s="51" t="n">
        <v>0</v>
      </c>
      <c r="X615" s="51" t="n">
        <v>0</v>
      </c>
      <c r="Y615" s="51" t="n">
        <v>0</v>
      </c>
      <c r="Z615" s="51" t="n">
        <v>0</v>
      </c>
      <c r="AA615" s="52" t="n">
        <v>0</v>
      </c>
      <c r="AB615" s="52" t="n">
        <v>0</v>
      </c>
      <c r="AC615" s="52" t="n">
        <v>0</v>
      </c>
      <c r="AD615" s="52" t="n">
        <v>0</v>
      </c>
      <c r="AE615" s="52" t="n">
        <v>0</v>
      </c>
      <c r="AF615" s="52" t="n">
        <v>0</v>
      </c>
      <c r="AG615" s="52" t="n">
        <v>0</v>
      </c>
      <c r="AH615" s="52" t="n">
        <v>0</v>
      </c>
      <c r="AI615" s="52" t="n">
        <v>0</v>
      </c>
      <c r="AJ615" s="52" t="n">
        <v>0</v>
      </c>
      <c r="AK615" s="52" t="n">
        <v>0</v>
      </c>
      <c r="AL615" s="52" t="n">
        <v>0</v>
      </c>
      <c r="AM615" s="53" t="n">
        <v>0</v>
      </c>
      <c r="AN615" s="53" t="n">
        <v>0</v>
      </c>
      <c r="AO615" s="53" t="n">
        <v>0</v>
      </c>
      <c r="AP615" s="53" t="n">
        <v>0</v>
      </c>
      <c r="AQ615" s="52" t="n">
        <v>0</v>
      </c>
      <c r="AR615" s="52" t="n">
        <v>0</v>
      </c>
      <c r="AS615" s="52" t="n">
        <v>0</v>
      </c>
      <c r="AT615" s="52" t="n">
        <v>0</v>
      </c>
      <c r="AU615" s="53" t="n">
        <v>0</v>
      </c>
      <c r="AV615" s="53" t="n">
        <v>0</v>
      </c>
      <c r="AW615" s="53" t="n">
        <v>0</v>
      </c>
      <c r="AX615" s="53" t="n">
        <v>0</v>
      </c>
      <c r="AY615" s="52" t="n">
        <v>0</v>
      </c>
      <c r="AZ615" s="52" t="n">
        <v>0</v>
      </c>
      <c r="BA615" s="52" t="n">
        <v>0</v>
      </c>
      <c r="BB615" s="52" t="n">
        <v>0</v>
      </c>
      <c r="BC615" s="51" t="n">
        <v>0</v>
      </c>
      <c r="BD615" s="51" t="n">
        <v>0</v>
      </c>
      <c r="BE615" s="51" t="n">
        <v>0</v>
      </c>
      <c r="BF615" s="51" t="n">
        <v>0</v>
      </c>
    </row>
    <row r="616">
      <c r="A616">
        <f>HYPERLINK("https://www.walmart.com/ip/5216040029", "5216040029")</f>
        <v/>
      </c>
      <c r="B616" t="inlineStr">
        <is>
          <t>Tirrinia Large Insulated Cooler Bag - Outdoor Leakproof Grocery Cooling Carrier, 20 L Travel &amp; To-Go Food Containers, Wine Tote for Picnics, Camping, Parties</t>
        </is>
      </c>
      <c r="C616" t="inlineStr">
        <is>
          <t>1TRCB10127STR</t>
        </is>
      </c>
      <c r="D616" t="inlineStr">
        <is>
          <t>Soft-Sided Coolers</t>
        </is>
      </c>
      <c r="E616" t="inlineStr">
        <is>
          <t>Tirrinia</t>
        </is>
      </c>
      <c r="G616" s="48" t="n">
        <v>0</v>
      </c>
      <c r="H616" s="48" t="n">
        <v>0</v>
      </c>
      <c r="I616" s="48" t="n">
        <v>0</v>
      </c>
      <c r="J616" s="48" t="n">
        <v>0</v>
      </c>
      <c r="K616" s="49" t="n">
        <v>0</v>
      </c>
      <c r="L616" s="49" t="n">
        <v>0</v>
      </c>
      <c r="M616" s="49" t="n">
        <v>0</v>
      </c>
      <c r="N616" s="49" t="n">
        <v>0</v>
      </c>
      <c r="O616" s="49" t="n">
        <v>0</v>
      </c>
      <c r="P616" s="49" t="n">
        <v>0</v>
      </c>
      <c r="Q616" s="49" t="n">
        <v>0</v>
      </c>
      <c r="R616" s="49" t="n">
        <v>0</v>
      </c>
      <c r="S616" s="50" t="n">
        <v>0</v>
      </c>
      <c r="T616" s="50" t="n">
        <v>0</v>
      </c>
      <c r="U616" s="50" t="n">
        <v>0</v>
      </c>
      <c r="V616" s="50" t="n">
        <v>0</v>
      </c>
      <c r="W616" s="51" t="n">
        <v>0</v>
      </c>
      <c r="X616" s="51" t="n">
        <v>0</v>
      </c>
      <c r="Y616" s="51" t="n">
        <v>0</v>
      </c>
      <c r="Z616" s="51" t="n">
        <v>0</v>
      </c>
      <c r="AA616" s="52" t="n">
        <v>0</v>
      </c>
      <c r="AB616" s="52" t="n">
        <v>0</v>
      </c>
      <c r="AC616" s="52" t="n">
        <v>0</v>
      </c>
      <c r="AD616" s="52" t="n">
        <v>0</v>
      </c>
      <c r="AE616" s="52" t="n">
        <v>0</v>
      </c>
      <c r="AF616" s="52" t="n">
        <v>0</v>
      </c>
      <c r="AG616" s="52" t="n">
        <v>0</v>
      </c>
      <c r="AH616" s="52" t="n">
        <v>0</v>
      </c>
      <c r="AI616" s="52" t="n">
        <v>0</v>
      </c>
      <c r="AJ616" s="52" t="n">
        <v>0</v>
      </c>
      <c r="AK616" s="52" t="n">
        <v>0</v>
      </c>
      <c r="AL616" s="52" t="n">
        <v>0</v>
      </c>
      <c r="AM616" s="53" t="n">
        <v>0</v>
      </c>
      <c r="AN616" s="53" t="n">
        <v>0</v>
      </c>
      <c r="AO616" s="53" t="n">
        <v>0</v>
      </c>
      <c r="AP616" s="53" t="n">
        <v>0</v>
      </c>
      <c r="AQ616" s="52" t="n">
        <v>0</v>
      </c>
      <c r="AR616" s="52" t="n">
        <v>0</v>
      </c>
      <c r="AS616" s="52" t="n">
        <v>0</v>
      </c>
      <c r="AT616" s="52" t="n">
        <v>0</v>
      </c>
      <c r="AU616" s="53" t="n">
        <v>0</v>
      </c>
      <c r="AV616" s="53" t="n">
        <v>0</v>
      </c>
      <c r="AW616" s="53" t="n">
        <v>0</v>
      </c>
      <c r="AX616" s="53" t="n">
        <v>0</v>
      </c>
      <c r="AY616" s="52" t="n">
        <v>0</v>
      </c>
      <c r="AZ616" s="52" t="n">
        <v>0</v>
      </c>
      <c r="BA616" s="52" t="n">
        <v>0</v>
      </c>
      <c r="BB616" s="52" t="n">
        <v>0</v>
      </c>
      <c r="BC616" s="51" t="n">
        <v>0</v>
      </c>
      <c r="BD616" s="51" t="n">
        <v>0</v>
      </c>
      <c r="BE616" s="51" t="n">
        <v>0</v>
      </c>
      <c r="BF616" s="51" t="n">
        <v>0</v>
      </c>
    </row>
    <row r="617">
      <c r="A617">
        <f>HYPERLINK("https://www.walmart.com/ip/5269453353", "5269453353")</f>
        <v/>
      </c>
      <c r="B617" t="inlineStr">
        <is>
          <t>Tirrinia Single Wine Cooler Bags - Insulated &amp; Padded Portable Wine Tote Carrier for Travel, BYOB Restaurant, Wine Tasting, Party, Great Christmas Gift for Wine Lover, Cork</t>
        </is>
      </c>
      <c r="C617" t="inlineStr">
        <is>
          <t>1TRWB101CORK</t>
        </is>
      </c>
      <c r="D617" t="inlineStr">
        <is>
          <t>Wine Totes, Bags &amp; Backpacks</t>
        </is>
      </c>
      <c r="E617" t="inlineStr">
        <is>
          <t>Tirrinia</t>
        </is>
      </c>
      <c r="G617" s="48" t="n">
        <v>0</v>
      </c>
      <c r="H617" s="48" t="n">
        <v>0</v>
      </c>
      <c r="I617" s="48" t="n">
        <v>0</v>
      </c>
      <c r="J617" s="48" t="n">
        <v>0</v>
      </c>
      <c r="K617" s="49" t="n">
        <v>0</v>
      </c>
      <c r="L617" s="49" t="n">
        <v>0</v>
      </c>
      <c r="M617" s="49" t="n">
        <v>0</v>
      </c>
      <c r="N617" s="49" t="n">
        <v>0</v>
      </c>
      <c r="O617" s="49" t="n">
        <v>0</v>
      </c>
      <c r="P617" s="49" t="n">
        <v>0</v>
      </c>
      <c r="Q617" s="49" t="n">
        <v>0</v>
      </c>
      <c r="R617" s="49" t="n">
        <v>0</v>
      </c>
      <c r="S617" s="50" t="n">
        <v>0</v>
      </c>
      <c r="T617" s="50" t="n">
        <v>0</v>
      </c>
      <c r="U617" s="50" t="n">
        <v>0</v>
      </c>
      <c r="V617" s="50" t="n">
        <v>0</v>
      </c>
      <c r="W617" s="51" t="n">
        <v>0</v>
      </c>
      <c r="X617" s="51" t="n">
        <v>0</v>
      </c>
      <c r="Y617" s="51" t="n">
        <v>0</v>
      </c>
      <c r="Z617" s="51" t="n">
        <v>0</v>
      </c>
      <c r="AA617" s="52" t="n">
        <v>0</v>
      </c>
      <c r="AB617" s="52" t="n">
        <v>0</v>
      </c>
      <c r="AC617" s="52" t="n">
        <v>0</v>
      </c>
      <c r="AD617" s="52" t="n">
        <v>0</v>
      </c>
      <c r="AE617" s="52" t="n">
        <v>0</v>
      </c>
      <c r="AF617" s="52" t="n">
        <v>0</v>
      </c>
      <c r="AG617" s="52" t="n">
        <v>0</v>
      </c>
      <c r="AH617" s="52" t="n">
        <v>0</v>
      </c>
      <c r="AI617" s="52" t="n">
        <v>0</v>
      </c>
      <c r="AJ617" s="52" t="n">
        <v>0</v>
      </c>
      <c r="AK617" s="52" t="n">
        <v>0</v>
      </c>
      <c r="AL617" s="52" t="n">
        <v>0</v>
      </c>
      <c r="AM617" s="53" t="n">
        <v>0</v>
      </c>
      <c r="AN617" s="53" t="n">
        <v>0</v>
      </c>
      <c r="AO617" s="53" t="n">
        <v>0</v>
      </c>
      <c r="AP617" s="53" t="n">
        <v>0</v>
      </c>
      <c r="AQ617" s="52" t="n">
        <v>0</v>
      </c>
      <c r="AR617" s="52" t="n">
        <v>0</v>
      </c>
      <c r="AS617" s="52" t="n">
        <v>0</v>
      </c>
      <c r="AT617" s="52" t="n">
        <v>0</v>
      </c>
      <c r="AU617" s="53" t="n">
        <v>0</v>
      </c>
      <c r="AV617" s="53" t="n">
        <v>0</v>
      </c>
      <c r="AW617" s="53" t="n">
        <v>0</v>
      </c>
      <c r="AX617" s="53" t="n">
        <v>0</v>
      </c>
      <c r="AY617" s="52" t="n">
        <v>0</v>
      </c>
      <c r="AZ617" s="52" t="n">
        <v>0</v>
      </c>
      <c r="BA617" s="52" t="n">
        <v>0</v>
      </c>
      <c r="BB617" s="52" t="n">
        <v>0</v>
      </c>
      <c r="BC617" s="51" t="n">
        <v>0</v>
      </c>
      <c r="BD617" s="51" t="n">
        <v>0</v>
      </c>
      <c r="BE617" s="51" t="n">
        <v>0</v>
      </c>
      <c r="BF617" s="51" t="n">
        <v>0</v>
      </c>
    </row>
    <row r="618">
      <c r="A618">
        <f>HYPERLINK("https://www.walmart.com/ip/5216276702", "5216276702")</f>
        <v/>
      </c>
      <c r="B618" t="inlineStr">
        <is>
          <t>Tirrinia Large Insulated Cooler Bag - Outdoor Leakproof Grocery Cooling Carrier, 20 L Travel &amp; To-Go Food Containers, Wine Tote for Picnics, Camping, Parties</t>
        </is>
      </c>
      <c r="C618" t="inlineStr">
        <is>
          <t>1TRCB10127BK</t>
        </is>
      </c>
      <c r="D618" t="inlineStr">
        <is>
          <t>Thermocoolers</t>
        </is>
      </c>
      <c r="E618" t="inlineStr">
        <is>
          <t>Tirrinia</t>
        </is>
      </c>
      <c r="G618" s="48" t="n">
        <v>0</v>
      </c>
      <c r="H618" s="48" t="n">
        <v>0</v>
      </c>
      <c r="I618" s="48" t="n">
        <v>0</v>
      </c>
      <c r="J618" s="48" t="n">
        <v>0</v>
      </c>
      <c r="K618" s="49" t="n">
        <v>0</v>
      </c>
      <c r="L618" s="49" t="n">
        <v>0</v>
      </c>
      <c r="M618" s="49" t="n">
        <v>0</v>
      </c>
      <c r="N618" s="49" t="n">
        <v>0</v>
      </c>
      <c r="O618" s="49" t="n">
        <v>0</v>
      </c>
      <c r="P618" s="49" t="n">
        <v>0</v>
      </c>
      <c r="Q618" s="49" t="n">
        <v>0</v>
      </c>
      <c r="R618" s="49" t="n">
        <v>0</v>
      </c>
      <c r="S618" s="50" t="n">
        <v>0</v>
      </c>
      <c r="T618" s="50" t="n">
        <v>0</v>
      </c>
      <c r="U618" s="50" t="n">
        <v>0</v>
      </c>
      <c r="V618" s="50" t="n">
        <v>0</v>
      </c>
      <c r="W618" s="51" t="n">
        <v>0</v>
      </c>
      <c r="X618" s="51" t="n">
        <v>0</v>
      </c>
      <c r="Y618" s="51" t="n">
        <v>0</v>
      </c>
      <c r="Z618" s="51" t="n">
        <v>0</v>
      </c>
      <c r="AA618" s="52" t="n">
        <v>0</v>
      </c>
      <c r="AB618" s="52" t="n">
        <v>0</v>
      </c>
      <c r="AC618" s="52" t="n">
        <v>0</v>
      </c>
      <c r="AD618" s="52" t="n">
        <v>0</v>
      </c>
      <c r="AE618" s="52" t="n">
        <v>0</v>
      </c>
      <c r="AF618" s="52" t="n">
        <v>0</v>
      </c>
      <c r="AG618" s="52" t="n">
        <v>0</v>
      </c>
      <c r="AH618" s="52" t="n">
        <v>0</v>
      </c>
      <c r="AI618" s="52" t="n">
        <v>0</v>
      </c>
      <c r="AJ618" s="52" t="n">
        <v>0</v>
      </c>
      <c r="AK618" s="52" t="n">
        <v>0</v>
      </c>
      <c r="AL618" s="52" t="n">
        <v>0</v>
      </c>
      <c r="AM618" s="53" t="n">
        <v>0</v>
      </c>
      <c r="AN618" s="53" t="n">
        <v>0</v>
      </c>
      <c r="AO618" s="53" t="n">
        <v>0</v>
      </c>
      <c r="AP618" s="53" t="n">
        <v>0</v>
      </c>
      <c r="AQ618" s="52" t="n">
        <v>0</v>
      </c>
      <c r="AR618" s="52" t="n">
        <v>0</v>
      </c>
      <c r="AS618" s="52" t="n">
        <v>0</v>
      </c>
      <c r="AT618" s="52" t="n">
        <v>0</v>
      </c>
      <c r="AU618" s="53" t="n">
        <v>0</v>
      </c>
      <c r="AV618" s="53" t="n">
        <v>0</v>
      </c>
      <c r="AW618" s="53" t="n">
        <v>0</v>
      </c>
      <c r="AX618" s="53" t="n">
        <v>0</v>
      </c>
      <c r="AY618" s="52" t="n">
        <v>0</v>
      </c>
      <c r="AZ618" s="52" t="n">
        <v>0</v>
      </c>
      <c r="BA618" s="52" t="n">
        <v>0</v>
      </c>
      <c r="BB618" s="52" t="n">
        <v>0</v>
      </c>
      <c r="BC618" s="51" t="n">
        <v>0</v>
      </c>
      <c r="BD618" s="51" t="n">
        <v>0</v>
      </c>
      <c r="BE618" s="51" t="n">
        <v>0</v>
      </c>
      <c r="BF618" s="51" t="n">
        <v>0</v>
      </c>
    </row>
    <row r="619">
      <c r="A619">
        <f>HYPERLINK("https://www.walmart.com/ip/521665057", "521665057")</f>
        <v/>
      </c>
      <c r="B619" t="inlineStr">
        <is>
          <t>Luxury Knit Throw Decorative Blanket with Pom Pom Fringe Super Soft Warm Sleeping Cover for Adults or Kids on the Couch</t>
        </is>
      </c>
      <c r="C619" t="inlineStr">
        <is>
          <t>1TRBN200BK-TBCB</t>
        </is>
      </c>
      <c r="D619" t="inlineStr">
        <is>
          <t>Throws</t>
        </is>
      </c>
      <c r="E619" t="inlineStr">
        <is>
          <t>Tirrinia</t>
        </is>
      </c>
      <c r="G619" s="48" t="n">
        <v>0</v>
      </c>
      <c r="H619" s="48" t="n">
        <v>0</v>
      </c>
      <c r="I619" s="48" t="n">
        <v>0</v>
      </c>
      <c r="J619" s="48" t="n">
        <v>0</v>
      </c>
      <c r="K619" s="49" t="n">
        <v>0</v>
      </c>
      <c r="L619" s="49" t="n">
        <v>0</v>
      </c>
      <c r="M619" s="49" t="n">
        <v>0</v>
      </c>
      <c r="N619" s="49" t="n">
        <v>0</v>
      </c>
      <c r="O619" s="49" t="n">
        <v>0</v>
      </c>
      <c r="P619" s="49" t="n">
        <v>0</v>
      </c>
      <c r="Q619" s="49" t="n">
        <v>0</v>
      </c>
      <c r="R619" s="49" t="n">
        <v>0</v>
      </c>
      <c r="S619" s="50" t="n">
        <v>0</v>
      </c>
      <c r="T619" s="50" t="n">
        <v>0</v>
      </c>
      <c r="U619" s="50" t="n">
        <v>0</v>
      </c>
      <c r="V619" s="50" t="n">
        <v>0</v>
      </c>
      <c r="W619" s="51" t="n">
        <v>0</v>
      </c>
      <c r="X619" s="51" t="n">
        <v>0</v>
      </c>
      <c r="Y619" s="51" t="n">
        <v>0</v>
      </c>
      <c r="Z619" s="51" t="n">
        <v>0</v>
      </c>
      <c r="AA619" s="52" t="n">
        <v>0</v>
      </c>
      <c r="AB619" s="52" t="n">
        <v>0</v>
      </c>
      <c r="AC619" s="52" t="n">
        <v>0</v>
      </c>
      <c r="AD619" s="52" t="n">
        <v>0</v>
      </c>
      <c r="AE619" s="52" t="n">
        <v>0</v>
      </c>
      <c r="AF619" s="52" t="n">
        <v>0</v>
      </c>
      <c r="AG619" s="52" t="n">
        <v>0</v>
      </c>
      <c r="AH619" s="52" t="n">
        <v>0</v>
      </c>
      <c r="AI619" s="52" t="n">
        <v>0</v>
      </c>
      <c r="AJ619" s="52" t="n">
        <v>0</v>
      </c>
      <c r="AK619" s="52" t="n">
        <v>0</v>
      </c>
      <c r="AL619" s="52" t="n">
        <v>0</v>
      </c>
      <c r="AM619" s="53" t="n">
        <v>0</v>
      </c>
      <c r="AN619" s="53" t="n">
        <v>0</v>
      </c>
      <c r="AO619" s="53" t="n">
        <v>0</v>
      </c>
      <c r="AP619" s="53" t="n">
        <v>0</v>
      </c>
      <c r="AQ619" s="52" t="n">
        <v>0</v>
      </c>
      <c r="AR619" s="52" t="n">
        <v>0</v>
      </c>
      <c r="AS619" s="52" t="n">
        <v>0</v>
      </c>
      <c r="AT619" s="52" t="n">
        <v>0</v>
      </c>
      <c r="AU619" s="53" t="n">
        <v>0</v>
      </c>
      <c r="AV619" s="53" t="n">
        <v>0</v>
      </c>
      <c r="AW619" s="53" t="n">
        <v>0</v>
      </c>
      <c r="AX619" s="53" t="n">
        <v>0</v>
      </c>
      <c r="AY619" s="52" t="n">
        <v>0</v>
      </c>
      <c r="AZ619" s="52" t="n">
        <v>0</v>
      </c>
      <c r="BA619" s="52" t="n">
        <v>0</v>
      </c>
      <c r="BB619" s="52" t="n">
        <v>0</v>
      </c>
      <c r="BC619" s="51" t="n">
        <v>0</v>
      </c>
      <c r="BD619" s="51" t="n">
        <v>0</v>
      </c>
      <c r="BE619" s="51" t="n">
        <v>0</v>
      </c>
      <c r="BF619" s="51" t="n">
        <v>0</v>
      </c>
    </row>
    <row r="620">
      <c r="A620">
        <f>HYPERLINK("https://www.walmart.com/ip/523329936", "523329936")</f>
        <v/>
      </c>
      <c r="B620" t="inlineStr">
        <is>
          <t>Tirrinia Insulated Lunch Box for Women Men, Leakproof Thermal Reusable Lunch Bag with 2 Zipper Pockets for Adult &amp; Kids, Lunch Bag Cooler Tote for Office Work, White Pink</t>
        </is>
      </c>
      <c r="C620" t="inlineStr">
        <is>
          <t>1TRLB705RDWT</t>
        </is>
      </c>
      <c r="D620" t="inlineStr">
        <is>
          <t>Reusable Lunch Bags &amp; Boxes</t>
        </is>
      </c>
      <c r="E620" t="inlineStr">
        <is>
          <t>Tirrinia</t>
        </is>
      </c>
      <c r="F620" t="inlineStr">
        <is>
          <t>Brand Camp VD,Lunch Bag,WFS,Lunch Bags,SEM,WFS Item</t>
        </is>
      </c>
      <c r="G620" s="48" t="n">
        <v>0</v>
      </c>
      <c r="H620" s="48" t="n">
        <v>0</v>
      </c>
      <c r="I620" s="48" t="n">
        <v>0</v>
      </c>
      <c r="J620" s="48" t="n">
        <v>0</v>
      </c>
      <c r="K620" s="49" t="n">
        <v>0</v>
      </c>
      <c r="L620" s="49" t="n">
        <v>0</v>
      </c>
      <c r="M620" s="49" t="n">
        <v>0</v>
      </c>
      <c r="N620" s="49" t="n">
        <v>0</v>
      </c>
      <c r="O620" s="49" t="n">
        <v>0</v>
      </c>
      <c r="P620" s="49" t="n">
        <v>0</v>
      </c>
      <c r="Q620" s="49" t="n">
        <v>0</v>
      </c>
      <c r="R620" s="49" t="n">
        <v>0</v>
      </c>
      <c r="S620" s="50" t="n">
        <v>0</v>
      </c>
      <c r="T620" s="50" t="n">
        <v>0</v>
      </c>
      <c r="U620" s="50" t="n">
        <v>0</v>
      </c>
      <c r="V620" s="50" t="n">
        <v>0</v>
      </c>
      <c r="W620" s="51" t="n">
        <v>0</v>
      </c>
      <c r="X620" s="51" t="n">
        <v>0</v>
      </c>
      <c r="Y620" s="51" t="n">
        <v>0</v>
      </c>
      <c r="Z620" s="51" t="n">
        <v>0</v>
      </c>
      <c r="AA620" s="52" t="n">
        <v>0</v>
      </c>
      <c r="AB620" s="52" t="n">
        <v>0</v>
      </c>
      <c r="AC620" s="52" t="n">
        <v>0</v>
      </c>
      <c r="AD620" s="52" t="n">
        <v>0</v>
      </c>
      <c r="AE620" s="52" t="n">
        <v>0</v>
      </c>
      <c r="AF620" s="52" t="n">
        <v>0</v>
      </c>
      <c r="AG620" s="52" t="n">
        <v>0</v>
      </c>
      <c r="AH620" s="52" t="n">
        <v>0</v>
      </c>
      <c r="AI620" s="52" t="n">
        <v>0</v>
      </c>
      <c r="AJ620" s="52" t="n">
        <v>0</v>
      </c>
      <c r="AK620" s="52" t="n">
        <v>0</v>
      </c>
      <c r="AL620" s="52" t="n">
        <v>0</v>
      </c>
      <c r="AM620" s="53" t="n">
        <v>0</v>
      </c>
      <c r="AN620" s="53" t="n">
        <v>0</v>
      </c>
      <c r="AO620" s="53" t="n">
        <v>0</v>
      </c>
      <c r="AP620" s="53" t="n">
        <v>0</v>
      </c>
      <c r="AQ620" s="52" t="n">
        <v>0</v>
      </c>
      <c r="AR620" s="52" t="n">
        <v>0</v>
      </c>
      <c r="AS620" s="52" t="n">
        <v>0</v>
      </c>
      <c r="AT620" s="52" t="n">
        <v>0</v>
      </c>
      <c r="AU620" s="53" t="n">
        <v>0</v>
      </c>
      <c r="AV620" s="53" t="n">
        <v>0</v>
      </c>
      <c r="AW620" s="53" t="n">
        <v>0</v>
      </c>
      <c r="AX620" s="53" t="n">
        <v>0</v>
      </c>
      <c r="AY620" s="52" t="n">
        <v>0</v>
      </c>
      <c r="AZ620" s="52" t="n">
        <v>0</v>
      </c>
      <c r="BA620" s="52" t="n">
        <v>0</v>
      </c>
      <c r="BB620" s="52" t="n">
        <v>0</v>
      </c>
      <c r="BC620" s="51" t="n">
        <v>0</v>
      </c>
      <c r="BD620" s="51" t="n">
        <v>0</v>
      </c>
      <c r="BE620" s="51" t="n">
        <v>0</v>
      </c>
      <c r="BF620" s="51" t="n">
        <v>0</v>
      </c>
    </row>
    <row r="621">
      <c r="A621">
        <f>HYPERLINK("https://www.walmart.com/ip/525890877", "525890877")</f>
        <v/>
      </c>
      <c r="B621" t="inlineStr">
        <is>
          <t>Women’s Crop Top Hoodie Sweatshirt Oversized Casual 3/4 Sleeve One Size Pink Cheetah</t>
        </is>
      </c>
      <c r="C621" t="inlineStr">
        <is>
          <t>1WMHD520S1PKCHEETAH</t>
        </is>
      </c>
      <c r="D621" t="inlineStr">
        <is>
          <t>Sweatshirts &amp; Hoodies</t>
        </is>
      </c>
      <c r="E621" t="inlineStr">
        <is>
          <t>Flyingstar</t>
        </is>
      </c>
      <c r="F621" t="inlineStr">
        <is>
          <t>Batch 1 - TR</t>
        </is>
      </c>
      <c r="G621" s="48" t="n">
        <v>0</v>
      </c>
      <c r="H621" s="48" t="n">
        <v>0</v>
      </c>
      <c r="I621" s="48" t="n">
        <v>0</v>
      </c>
      <c r="J621" s="48" t="n">
        <v>0</v>
      </c>
      <c r="K621" s="49" t="n">
        <v>0</v>
      </c>
      <c r="L621" s="49" t="n">
        <v>0</v>
      </c>
      <c r="M621" s="49" t="n">
        <v>0</v>
      </c>
      <c r="N621" s="49" t="n">
        <v>0</v>
      </c>
      <c r="O621" s="49" t="n">
        <v>0</v>
      </c>
      <c r="P621" s="49" t="n">
        <v>0</v>
      </c>
      <c r="Q621" s="49" t="n">
        <v>0</v>
      </c>
      <c r="R621" s="49" t="n">
        <v>0</v>
      </c>
      <c r="S621" s="50" t="n">
        <v>0</v>
      </c>
      <c r="T621" s="50" t="n">
        <v>0</v>
      </c>
      <c r="U621" s="50" t="n">
        <v>0</v>
      </c>
      <c r="V621" s="50" t="n">
        <v>0</v>
      </c>
      <c r="W621" s="51" t="n">
        <v>0</v>
      </c>
      <c r="X621" s="51" t="n">
        <v>0</v>
      </c>
      <c r="Y621" s="51" t="n">
        <v>0</v>
      </c>
      <c r="Z621" s="51" t="n">
        <v>0</v>
      </c>
      <c r="AA621" s="52" t="n">
        <v>0</v>
      </c>
      <c r="AB621" s="52" t="n">
        <v>0</v>
      </c>
      <c r="AC621" s="52" t="n">
        <v>0</v>
      </c>
      <c r="AD621" s="52" t="n">
        <v>0</v>
      </c>
      <c r="AE621" s="52" t="n">
        <v>0</v>
      </c>
      <c r="AF621" s="52" t="n">
        <v>0</v>
      </c>
      <c r="AG621" s="52" t="n">
        <v>0</v>
      </c>
      <c r="AH621" s="52" t="n">
        <v>0</v>
      </c>
      <c r="AI621" s="52" t="n">
        <v>0</v>
      </c>
      <c r="AJ621" s="52" t="n">
        <v>0</v>
      </c>
      <c r="AK621" s="52" t="n">
        <v>0</v>
      </c>
      <c r="AL621" s="52" t="n">
        <v>0</v>
      </c>
      <c r="AM621" s="53" t="n">
        <v>0</v>
      </c>
      <c r="AN621" s="53" t="n">
        <v>0</v>
      </c>
      <c r="AO621" s="53" t="n">
        <v>0</v>
      </c>
      <c r="AP621" s="53" t="n">
        <v>0</v>
      </c>
      <c r="AQ621" s="52" t="n">
        <v>0</v>
      </c>
      <c r="AR621" s="52" t="n">
        <v>0</v>
      </c>
      <c r="AS621" s="52" t="n">
        <v>0</v>
      </c>
      <c r="AT621" s="52" t="n">
        <v>0</v>
      </c>
      <c r="AU621" s="53" t="n">
        <v>0</v>
      </c>
      <c r="AV621" s="53" t="n">
        <v>0</v>
      </c>
      <c r="AW621" s="53" t="n">
        <v>0</v>
      </c>
      <c r="AX621" s="53" t="n">
        <v>0</v>
      </c>
      <c r="AY621" s="52" t="n">
        <v>0</v>
      </c>
      <c r="AZ621" s="52" t="n">
        <v>0</v>
      </c>
      <c r="BA621" s="52" t="n">
        <v>0</v>
      </c>
      <c r="BB621" s="52" t="n">
        <v>0</v>
      </c>
      <c r="BC621" s="51" t="n">
        <v>0</v>
      </c>
      <c r="BD621" s="51" t="n">
        <v>0</v>
      </c>
      <c r="BE621" s="51" t="n">
        <v>0</v>
      </c>
      <c r="BF621" s="51" t="n">
        <v>0</v>
      </c>
    </row>
    <row r="622">
      <c r="A622">
        <f>HYPERLINK("https://www.walmart.com/ip/526212595", "526212595")</f>
        <v/>
      </c>
      <c r="B622" t="inlineStr">
        <is>
          <t>Catalonia Twin Size Sherpa Comforter Set, Ultra-Soft Reversible Fluffy Micromink Bedding Set-2 Pieces, 1 Comforter and 1 Pillow Sham, 64x88 inches</t>
        </is>
      </c>
      <c r="C622" t="inlineStr">
        <is>
          <t>1CTBQ300TW-BL</t>
        </is>
      </c>
      <c r="D622" t="inlineStr">
        <is>
          <t>Comforters &amp; Duvets</t>
        </is>
      </c>
      <c r="E622" t="inlineStr">
        <is>
          <t>Catalonia</t>
        </is>
      </c>
      <c r="F622" t="inlineStr">
        <is>
          <t>WFS,WFS Item</t>
        </is>
      </c>
      <c r="G622" s="48" t="n">
        <v>0</v>
      </c>
      <c r="H622" s="48" t="n">
        <v>0</v>
      </c>
      <c r="I622" s="48" t="n">
        <v>0</v>
      </c>
      <c r="J622" s="48" t="n">
        <v>0</v>
      </c>
      <c r="K622" s="49" t="n">
        <v>0</v>
      </c>
      <c r="L622" s="49" t="n">
        <v>0</v>
      </c>
      <c r="M622" s="49" t="n">
        <v>0</v>
      </c>
      <c r="N622" s="49" t="n">
        <v>0</v>
      </c>
      <c r="O622" s="49" t="n">
        <v>0</v>
      </c>
      <c r="P622" s="49" t="n">
        <v>0</v>
      </c>
      <c r="Q622" s="49" t="n">
        <v>0</v>
      </c>
      <c r="R622" s="49" t="n">
        <v>0</v>
      </c>
      <c r="S622" s="50" t="n">
        <v>0</v>
      </c>
      <c r="T622" s="50" t="n">
        <v>0</v>
      </c>
      <c r="U622" s="50" t="n">
        <v>0</v>
      </c>
      <c r="V622" s="50" t="n">
        <v>0</v>
      </c>
      <c r="W622" s="51" t="n">
        <v>0</v>
      </c>
      <c r="X622" s="51" t="n">
        <v>0</v>
      </c>
      <c r="Y622" s="51" t="n">
        <v>0</v>
      </c>
      <c r="Z622" s="51" t="n">
        <v>0</v>
      </c>
      <c r="AA622" s="52" t="n">
        <v>0</v>
      </c>
      <c r="AB622" s="52" t="n">
        <v>0</v>
      </c>
      <c r="AC622" s="52" t="n">
        <v>0</v>
      </c>
      <c r="AD622" s="52" t="n">
        <v>0</v>
      </c>
      <c r="AE622" s="52" t="n">
        <v>0</v>
      </c>
      <c r="AF622" s="52" t="n">
        <v>0</v>
      </c>
      <c r="AG622" s="52" t="n">
        <v>0</v>
      </c>
      <c r="AH622" s="52" t="n">
        <v>0</v>
      </c>
      <c r="AI622" s="52" t="n">
        <v>0</v>
      </c>
      <c r="AJ622" s="52" t="n">
        <v>0</v>
      </c>
      <c r="AK622" s="52" t="n">
        <v>0</v>
      </c>
      <c r="AL622" s="52" t="n">
        <v>0</v>
      </c>
      <c r="AM622" s="53" t="n">
        <v>0</v>
      </c>
      <c r="AN622" s="53" t="n">
        <v>0</v>
      </c>
      <c r="AO622" s="53" t="n">
        <v>0</v>
      </c>
      <c r="AP622" s="53" t="n">
        <v>0</v>
      </c>
      <c r="AQ622" s="52" t="n">
        <v>0</v>
      </c>
      <c r="AR622" s="52" t="n">
        <v>0</v>
      </c>
      <c r="AS622" s="52" t="n">
        <v>0</v>
      </c>
      <c r="AT622" s="52" t="n">
        <v>0</v>
      </c>
      <c r="AU622" s="53" t="n">
        <v>0</v>
      </c>
      <c r="AV622" s="53" t="n">
        <v>0</v>
      </c>
      <c r="AW622" s="53" t="n">
        <v>0</v>
      </c>
      <c r="AX622" s="53" t="n">
        <v>0</v>
      </c>
      <c r="AY622" s="52" t="n">
        <v>0</v>
      </c>
      <c r="AZ622" s="52" t="n">
        <v>0</v>
      </c>
      <c r="BA622" s="52" t="n">
        <v>0</v>
      </c>
      <c r="BB622" s="52" t="n">
        <v>0</v>
      </c>
      <c r="BC622" s="51" t="n">
        <v>0</v>
      </c>
      <c r="BD622" s="51" t="n">
        <v>0</v>
      </c>
      <c r="BE622" s="51" t="n">
        <v>0</v>
      </c>
      <c r="BF622" s="51" t="n">
        <v>0</v>
      </c>
    </row>
    <row r="623">
      <c r="A623">
        <f>HYPERLINK("https://www.walmart.com/ip/526553094", "526553094")</f>
        <v/>
      </c>
      <c r="B623" t="inlineStr">
        <is>
          <t>Catalonia Sherpa Wearable Blanket Poncho for Adult Women Men, Wrap Blanket Cape with Pocket, Warm, Soft, Cozy, Snuggly, Comfort Gift, No Sleeves, Navy</t>
        </is>
      </c>
      <c r="C623" t="inlineStr">
        <is>
          <t>1CTBP110NY</t>
        </is>
      </c>
      <c r="D623" t="inlineStr">
        <is>
          <t>Throws</t>
        </is>
      </c>
      <c r="E623" t="inlineStr">
        <is>
          <t>Catalonia</t>
        </is>
      </c>
      <c r="F623" t="inlineStr">
        <is>
          <t>Hero 5 Holidays,WFS,WFS Item</t>
        </is>
      </c>
      <c r="G623" s="48" t="n">
        <v>0</v>
      </c>
      <c r="H623" s="48" t="n">
        <v>0</v>
      </c>
      <c r="I623" s="48" t="n">
        <v>0</v>
      </c>
      <c r="J623" s="48" t="n">
        <v>0</v>
      </c>
      <c r="K623" s="49" t="n">
        <v>0</v>
      </c>
      <c r="L623" s="49" t="n">
        <v>0</v>
      </c>
      <c r="M623" s="49" t="n">
        <v>0</v>
      </c>
      <c r="N623" s="49" t="n">
        <v>0</v>
      </c>
      <c r="O623" s="49" t="n">
        <v>0</v>
      </c>
      <c r="P623" s="49" t="n">
        <v>0</v>
      </c>
      <c r="Q623" s="49" t="n">
        <v>0</v>
      </c>
      <c r="R623" s="49" t="n">
        <v>0</v>
      </c>
      <c r="S623" s="50" t="n">
        <v>0</v>
      </c>
      <c r="T623" s="50" t="n">
        <v>0</v>
      </c>
      <c r="U623" s="50" t="n">
        <v>0</v>
      </c>
      <c r="V623" s="50" t="n">
        <v>0</v>
      </c>
      <c r="W623" s="51" t="n">
        <v>12</v>
      </c>
      <c r="X623" s="51" t="n">
        <v>12</v>
      </c>
      <c r="Y623" s="51" t="n">
        <v>10</v>
      </c>
      <c r="Z623" s="51" t="n">
        <v>5</v>
      </c>
      <c r="AA623" s="52" t="n">
        <v>3.35</v>
      </c>
      <c r="AB623" s="52" t="n">
        <v>3.37</v>
      </c>
      <c r="AC623" s="52" t="n">
        <v>3.1</v>
      </c>
      <c r="AD623" s="52" t="n">
        <v>1.25</v>
      </c>
      <c r="AE623" s="52" t="n">
        <v>0</v>
      </c>
      <c r="AF623" s="52" t="n">
        <v>0</v>
      </c>
      <c r="AG623" s="52" t="n">
        <v>0</v>
      </c>
      <c r="AH623" s="52" t="n">
        <v>0</v>
      </c>
      <c r="AI623" s="52" t="n">
        <v>0</v>
      </c>
      <c r="AJ623" s="52" t="n">
        <v>0</v>
      </c>
      <c r="AK623" s="52" t="n">
        <v>0</v>
      </c>
      <c r="AL623" s="52" t="n">
        <v>0</v>
      </c>
      <c r="AM623" s="53" t="n">
        <v>0.0019</v>
      </c>
      <c r="AN623" s="53" t="n">
        <v>0.002</v>
      </c>
      <c r="AO623" s="53" t="n">
        <v>0.0016</v>
      </c>
      <c r="AP623" s="53" t="n">
        <v>0.0009</v>
      </c>
      <c r="AQ623" s="52" t="n">
        <v>0.2791666666666667</v>
      </c>
      <c r="AR623" s="52" t="n">
        <v>0.2808333333333333</v>
      </c>
      <c r="AS623" s="52" t="n">
        <v>0.31</v>
      </c>
      <c r="AT623" s="52" t="n">
        <v>0.25</v>
      </c>
      <c r="AU623" s="53" t="n">
        <v>0</v>
      </c>
      <c r="AV623" s="53" t="n">
        <v>0</v>
      </c>
      <c r="AW623" s="53" t="n">
        <v>0</v>
      </c>
      <c r="AX623" s="53" t="n">
        <v>0</v>
      </c>
      <c r="AY623" s="52" t="n">
        <v>0</v>
      </c>
      <c r="AZ623" s="52" t="n">
        <v>0</v>
      </c>
      <c r="BA623" s="52" t="n">
        <v>0</v>
      </c>
      <c r="BB623" s="52" t="n">
        <v>0</v>
      </c>
      <c r="BC623" s="51" t="n">
        <v>6280</v>
      </c>
      <c r="BD623" s="51" t="n">
        <v>5998</v>
      </c>
      <c r="BE623" s="51" t="n">
        <v>6155</v>
      </c>
      <c r="BF623" s="51" t="n">
        <v>5456</v>
      </c>
    </row>
    <row r="624">
      <c r="A624">
        <f>HYPERLINK("https://www.walmart.com/ip/5076439926", "5076439926")</f>
        <v/>
      </c>
      <c r="B624" t="inlineStr">
        <is>
          <t>Tirrinia Women's Plush Soft Robe, Fluffy, Warm, and Fleece Sherpa Shaggy Bathrobe for Ultimate Comfort, Machine Washable, Medium Size, Purple</t>
        </is>
      </c>
      <c r="C624" t="inlineStr">
        <is>
          <t>1TRRB503PP-2</t>
        </is>
      </c>
      <c r="D624" t="inlineStr">
        <is>
          <t>Sleepwear Robes &amp; Bathrobes</t>
        </is>
      </c>
      <c r="E624" t="inlineStr">
        <is>
          <t>Tirrinia</t>
        </is>
      </c>
      <c r="F624" t="inlineStr">
        <is>
          <t>Bathrobe,Coupon_Discount</t>
        </is>
      </c>
      <c r="G624" s="48" t="n">
        <v>0</v>
      </c>
      <c r="H624" s="48" t="n">
        <v>0</v>
      </c>
      <c r="I624" s="48" t="n">
        <v>0</v>
      </c>
      <c r="J624" s="48" t="n">
        <v>0</v>
      </c>
      <c r="K624" s="49" t="n">
        <v>0</v>
      </c>
      <c r="L624" s="49" t="n">
        <v>0</v>
      </c>
      <c r="M624" s="49" t="n">
        <v>0</v>
      </c>
      <c r="N624" s="49" t="n">
        <v>0</v>
      </c>
      <c r="O624" s="49" t="n">
        <v>0</v>
      </c>
      <c r="P624" s="49" t="n">
        <v>0</v>
      </c>
      <c r="Q624" s="49" t="n">
        <v>0</v>
      </c>
      <c r="R624" s="49" t="n">
        <v>0</v>
      </c>
      <c r="S624" s="50" t="n">
        <v>0</v>
      </c>
      <c r="T624" s="50" t="n">
        <v>0</v>
      </c>
      <c r="U624" s="50" t="n">
        <v>0</v>
      </c>
      <c r="V624" s="50" t="n">
        <v>0</v>
      </c>
      <c r="W624" s="51" t="n">
        <v>0</v>
      </c>
      <c r="X624" s="51" t="n">
        <v>0</v>
      </c>
      <c r="Y624" s="51" t="n">
        <v>0</v>
      </c>
      <c r="Z624" s="51" t="n">
        <v>0</v>
      </c>
      <c r="AA624" s="52" t="n">
        <v>0</v>
      </c>
      <c r="AB624" s="52" t="n">
        <v>0</v>
      </c>
      <c r="AC624" s="52" t="n">
        <v>0</v>
      </c>
      <c r="AD624" s="52" t="n">
        <v>0</v>
      </c>
      <c r="AE624" s="52" t="n">
        <v>0</v>
      </c>
      <c r="AF624" s="52" t="n">
        <v>0</v>
      </c>
      <c r="AG624" s="52" t="n">
        <v>0</v>
      </c>
      <c r="AH624" s="52" t="n">
        <v>0</v>
      </c>
      <c r="AI624" s="52" t="n">
        <v>0</v>
      </c>
      <c r="AJ624" s="52" t="n">
        <v>0</v>
      </c>
      <c r="AK624" s="52" t="n">
        <v>0</v>
      </c>
      <c r="AL624" s="52" t="n">
        <v>0</v>
      </c>
      <c r="AM624" s="53" t="n">
        <v>0</v>
      </c>
      <c r="AN624" s="53" t="n">
        <v>0</v>
      </c>
      <c r="AO624" s="53" t="n">
        <v>0</v>
      </c>
      <c r="AP624" s="53" t="n">
        <v>0</v>
      </c>
      <c r="AQ624" s="52" t="n">
        <v>0</v>
      </c>
      <c r="AR624" s="52" t="n">
        <v>0</v>
      </c>
      <c r="AS624" s="52" t="n">
        <v>0</v>
      </c>
      <c r="AT624" s="52" t="n">
        <v>0</v>
      </c>
      <c r="AU624" s="53" t="n">
        <v>0</v>
      </c>
      <c r="AV624" s="53" t="n">
        <v>0</v>
      </c>
      <c r="AW624" s="53" t="n">
        <v>0</v>
      </c>
      <c r="AX624" s="53" t="n">
        <v>0</v>
      </c>
      <c r="AY624" s="52" t="n">
        <v>0</v>
      </c>
      <c r="AZ624" s="52" t="n">
        <v>0</v>
      </c>
      <c r="BA624" s="52" t="n">
        <v>0</v>
      </c>
      <c r="BB624" s="52" t="n">
        <v>0</v>
      </c>
      <c r="BC624" s="51" t="n">
        <v>0</v>
      </c>
      <c r="BD624" s="51" t="n">
        <v>0</v>
      </c>
      <c r="BE624" s="51" t="n">
        <v>0</v>
      </c>
      <c r="BF624" s="51" t="n">
        <v>0</v>
      </c>
    </row>
    <row r="625">
      <c r="A625">
        <f>HYPERLINK("https://www.walmart.com/ip/5076079810", "5076079810")</f>
        <v/>
      </c>
      <c r="B625" t="inlineStr">
        <is>
          <t>Tirrinia Women's Plush Soft Robe - Fluffy, Warm, and Fleece Sherpa Shaggy Bathrobe for Ultimate Comfort, Machine Washable, Medium Size, Grey</t>
        </is>
      </c>
      <c r="C625" t="inlineStr">
        <is>
          <t>1TRRB503GY-2</t>
        </is>
      </c>
      <c r="D625" t="inlineStr">
        <is>
          <t>Sleepwear Robes &amp; Bathrobes</t>
        </is>
      </c>
      <c r="E625" t="inlineStr">
        <is>
          <t>Tirrinia</t>
        </is>
      </c>
      <c r="F625" t="inlineStr">
        <is>
          <t>Bathrobe,Coupon_Discount</t>
        </is>
      </c>
      <c r="G625" s="48" t="n">
        <v>0</v>
      </c>
      <c r="H625" s="48" t="n">
        <v>0</v>
      </c>
      <c r="I625" s="48" t="n">
        <v>0</v>
      </c>
      <c r="J625" s="48" t="n">
        <v>0</v>
      </c>
      <c r="K625" s="49" t="n">
        <v>0</v>
      </c>
      <c r="L625" s="49" t="n">
        <v>0</v>
      </c>
      <c r="M625" s="49" t="n">
        <v>0</v>
      </c>
      <c r="N625" s="49" t="n">
        <v>0</v>
      </c>
      <c r="O625" s="49" t="n">
        <v>0</v>
      </c>
      <c r="P625" s="49" t="n">
        <v>0</v>
      </c>
      <c r="Q625" s="49" t="n">
        <v>0</v>
      </c>
      <c r="R625" s="49" t="n">
        <v>0</v>
      </c>
      <c r="S625" s="50" t="n">
        <v>0</v>
      </c>
      <c r="T625" s="50" t="n">
        <v>0</v>
      </c>
      <c r="U625" s="50" t="n">
        <v>0</v>
      </c>
      <c r="V625" s="50" t="n">
        <v>0</v>
      </c>
      <c r="W625" s="51" t="n">
        <v>0</v>
      </c>
      <c r="X625" s="51" t="n">
        <v>0</v>
      </c>
      <c r="Y625" s="51" t="n">
        <v>0</v>
      </c>
      <c r="Z625" s="51" t="n">
        <v>0</v>
      </c>
      <c r="AA625" s="52" t="n">
        <v>0</v>
      </c>
      <c r="AB625" s="52" t="n">
        <v>0</v>
      </c>
      <c r="AC625" s="52" t="n">
        <v>0</v>
      </c>
      <c r="AD625" s="52" t="n">
        <v>0</v>
      </c>
      <c r="AE625" s="52" t="n">
        <v>0</v>
      </c>
      <c r="AF625" s="52" t="n">
        <v>0</v>
      </c>
      <c r="AG625" s="52" t="n">
        <v>0</v>
      </c>
      <c r="AH625" s="52" t="n">
        <v>0</v>
      </c>
      <c r="AI625" s="52" t="n">
        <v>0</v>
      </c>
      <c r="AJ625" s="52" t="n">
        <v>0</v>
      </c>
      <c r="AK625" s="52" t="n">
        <v>0</v>
      </c>
      <c r="AL625" s="52" t="n">
        <v>0</v>
      </c>
      <c r="AM625" s="53" t="n">
        <v>0</v>
      </c>
      <c r="AN625" s="53" t="n">
        <v>0</v>
      </c>
      <c r="AO625" s="53" t="n">
        <v>0</v>
      </c>
      <c r="AP625" s="53" t="n">
        <v>0</v>
      </c>
      <c r="AQ625" s="52" t="n">
        <v>0</v>
      </c>
      <c r="AR625" s="52" t="n">
        <v>0</v>
      </c>
      <c r="AS625" s="52" t="n">
        <v>0</v>
      </c>
      <c r="AT625" s="52" t="n">
        <v>0</v>
      </c>
      <c r="AU625" s="53" t="n">
        <v>0</v>
      </c>
      <c r="AV625" s="53" t="n">
        <v>0</v>
      </c>
      <c r="AW625" s="53" t="n">
        <v>0</v>
      </c>
      <c r="AX625" s="53" t="n">
        <v>0</v>
      </c>
      <c r="AY625" s="52" t="n">
        <v>0</v>
      </c>
      <c r="AZ625" s="52" t="n">
        <v>0</v>
      </c>
      <c r="BA625" s="52" t="n">
        <v>0</v>
      </c>
      <c r="BB625" s="52" t="n">
        <v>0</v>
      </c>
      <c r="BC625" s="51" t="n">
        <v>0</v>
      </c>
      <c r="BD625" s="51" t="n">
        <v>0</v>
      </c>
      <c r="BE625" s="51" t="n">
        <v>0</v>
      </c>
      <c r="BF625" s="51" t="n">
        <v>0</v>
      </c>
    </row>
    <row r="626">
      <c r="A626">
        <f>HYPERLINK("https://www.walmart.com/ip/464674088", "464674088")</f>
        <v/>
      </c>
      <c r="B626" t="inlineStr">
        <is>
          <t>Solaris Sun Hats UV Protection Wide Brim Hat Unisex Adult Multicolor</t>
        </is>
      </c>
      <c r="C626" t="inlineStr">
        <is>
          <t>1SLSH910BL</t>
        </is>
      </c>
      <c r="D626" t="inlineStr">
        <is>
          <t>Hats</t>
        </is>
      </c>
      <c r="E626" t="inlineStr">
        <is>
          <t>Solaris</t>
        </is>
      </c>
      <c r="F626" t="inlineStr">
        <is>
          <t>Hats,Batch 1 - TR</t>
        </is>
      </c>
      <c r="G626" s="48" t="n">
        <v>0</v>
      </c>
      <c r="H626" s="48" t="n">
        <v>0</v>
      </c>
      <c r="I626" s="48" t="n">
        <v>0</v>
      </c>
      <c r="J626" s="48" t="n">
        <v>0</v>
      </c>
      <c r="K626" s="49" t="n">
        <v>0</v>
      </c>
      <c r="L626" s="49" t="n">
        <v>0</v>
      </c>
      <c r="M626" s="49" t="n">
        <v>0</v>
      </c>
      <c r="N626" s="49" t="n">
        <v>0</v>
      </c>
      <c r="O626" s="49" t="n">
        <v>0</v>
      </c>
      <c r="P626" s="49" t="n">
        <v>0</v>
      </c>
      <c r="Q626" s="49" t="n">
        <v>0</v>
      </c>
      <c r="R626" s="49" t="n">
        <v>0</v>
      </c>
      <c r="S626" s="50" t="n">
        <v>0</v>
      </c>
      <c r="T626" s="50" t="n">
        <v>0</v>
      </c>
      <c r="U626" s="50" t="n">
        <v>0</v>
      </c>
      <c r="V626" s="50" t="n">
        <v>0</v>
      </c>
      <c r="W626" s="51" t="n">
        <v>0</v>
      </c>
      <c r="X626" s="51" t="n">
        <v>0</v>
      </c>
      <c r="Y626" s="51" t="n">
        <v>0</v>
      </c>
      <c r="Z626" s="51" t="n">
        <v>0</v>
      </c>
      <c r="AA626" s="52" t="n">
        <v>0</v>
      </c>
      <c r="AB626" s="52" t="n">
        <v>0</v>
      </c>
      <c r="AC626" s="52" t="n">
        <v>0</v>
      </c>
      <c r="AD626" s="52" t="n">
        <v>0</v>
      </c>
      <c r="AE626" s="52" t="n">
        <v>0</v>
      </c>
      <c r="AF626" s="52" t="n">
        <v>0</v>
      </c>
      <c r="AG626" s="52" t="n">
        <v>0</v>
      </c>
      <c r="AH626" s="52" t="n">
        <v>0</v>
      </c>
      <c r="AI626" s="52" t="n">
        <v>0</v>
      </c>
      <c r="AJ626" s="52" t="n">
        <v>0</v>
      </c>
      <c r="AK626" s="52" t="n">
        <v>0</v>
      </c>
      <c r="AL626" s="52" t="n">
        <v>0</v>
      </c>
      <c r="AM626" s="53" t="n">
        <v>0</v>
      </c>
      <c r="AN626" s="53" t="n">
        <v>0</v>
      </c>
      <c r="AO626" s="53" t="n">
        <v>0</v>
      </c>
      <c r="AP626" s="53" t="n">
        <v>0</v>
      </c>
      <c r="AQ626" s="52" t="n">
        <v>0</v>
      </c>
      <c r="AR626" s="52" t="n">
        <v>0</v>
      </c>
      <c r="AS626" s="52" t="n">
        <v>0</v>
      </c>
      <c r="AT626" s="52" t="n">
        <v>0</v>
      </c>
      <c r="AU626" s="53" t="n">
        <v>0</v>
      </c>
      <c r="AV626" s="53" t="n">
        <v>0</v>
      </c>
      <c r="AW626" s="53" t="n">
        <v>0</v>
      </c>
      <c r="AX626" s="53" t="n">
        <v>0</v>
      </c>
      <c r="AY626" s="52" t="n">
        <v>0</v>
      </c>
      <c r="AZ626" s="52" t="n">
        <v>0</v>
      </c>
      <c r="BA626" s="52" t="n">
        <v>0</v>
      </c>
      <c r="BB626" s="52" t="n">
        <v>0</v>
      </c>
      <c r="BC626" s="51" t="n">
        <v>0</v>
      </c>
      <c r="BD626" s="51" t="n">
        <v>0</v>
      </c>
      <c r="BE626" s="51" t="n">
        <v>0</v>
      </c>
      <c r="BF626" s="51" t="n">
        <v>0</v>
      </c>
    </row>
    <row r="627">
      <c r="A627">
        <f>HYPERLINK("https://www.walmart.com/ip/489915943", "489915943")</f>
        <v/>
      </c>
      <c r="B627" t="inlineStr">
        <is>
          <t>Catalonia Wearable TV Blanket with Sleeves Arms Warm Micro Plush Sherpa Fleece for Adult Large Wrap Throw Robe 72 x 55”</t>
        </is>
      </c>
      <c r="C627" t="inlineStr">
        <is>
          <t>1CTSN110BL</t>
        </is>
      </c>
      <c r="D627" t="inlineStr">
        <is>
          <t>Throws</t>
        </is>
      </c>
      <c r="E627" t="inlineStr">
        <is>
          <t>Catalonia</t>
        </is>
      </c>
      <c r="F627" t="inlineStr">
        <is>
          <t>Optimized,WFS,WFS Item</t>
        </is>
      </c>
      <c r="G627" s="48" t="n">
        <v>0</v>
      </c>
      <c r="H627" s="48" t="n">
        <v>0</v>
      </c>
      <c r="I627" s="48" t="n">
        <v>0</v>
      </c>
      <c r="J627" s="48" t="n">
        <v>0</v>
      </c>
      <c r="K627" s="49" t="n">
        <v>0</v>
      </c>
      <c r="L627" s="49" t="n">
        <v>0</v>
      </c>
      <c r="M627" s="49" t="n">
        <v>0</v>
      </c>
      <c r="N627" s="49" t="n">
        <v>0</v>
      </c>
      <c r="O627" s="49" t="n">
        <v>0</v>
      </c>
      <c r="P627" s="49" t="n">
        <v>0</v>
      </c>
      <c r="Q627" s="49" t="n">
        <v>0</v>
      </c>
      <c r="R627" s="49" t="n">
        <v>0</v>
      </c>
      <c r="S627" s="50" t="n">
        <v>0</v>
      </c>
      <c r="T627" s="50" t="n">
        <v>0</v>
      </c>
      <c r="U627" s="50" t="n">
        <v>0</v>
      </c>
      <c r="V627" s="50" t="n">
        <v>0</v>
      </c>
      <c r="W627" s="51" t="n">
        <v>0</v>
      </c>
      <c r="X627" s="51" t="n">
        <v>0</v>
      </c>
      <c r="Y627" s="51" t="n">
        <v>0</v>
      </c>
      <c r="Z627" s="51" t="n">
        <v>0</v>
      </c>
      <c r="AA627" s="52" t="n">
        <v>0</v>
      </c>
      <c r="AB627" s="52" t="n">
        <v>0</v>
      </c>
      <c r="AC627" s="52" t="n">
        <v>0</v>
      </c>
      <c r="AD627" s="52" t="n">
        <v>0</v>
      </c>
      <c r="AE627" s="52" t="n">
        <v>0</v>
      </c>
      <c r="AF627" s="52" t="n">
        <v>0</v>
      </c>
      <c r="AG627" s="52" t="n">
        <v>0</v>
      </c>
      <c r="AH627" s="52" t="n">
        <v>0</v>
      </c>
      <c r="AI627" s="52" t="n">
        <v>0</v>
      </c>
      <c r="AJ627" s="52" t="n">
        <v>0</v>
      </c>
      <c r="AK627" s="52" t="n">
        <v>0</v>
      </c>
      <c r="AL627" s="52" t="n">
        <v>0</v>
      </c>
      <c r="AM627" s="53" t="n">
        <v>0</v>
      </c>
      <c r="AN627" s="53" t="n">
        <v>0</v>
      </c>
      <c r="AO627" s="53" t="n">
        <v>0</v>
      </c>
      <c r="AP627" s="53" t="n">
        <v>0</v>
      </c>
      <c r="AQ627" s="52" t="n">
        <v>0</v>
      </c>
      <c r="AR627" s="52" t="n">
        <v>0</v>
      </c>
      <c r="AS627" s="52" t="n">
        <v>0</v>
      </c>
      <c r="AT627" s="52" t="n">
        <v>0</v>
      </c>
      <c r="AU627" s="53" t="n">
        <v>0</v>
      </c>
      <c r="AV627" s="53" t="n">
        <v>0</v>
      </c>
      <c r="AW627" s="53" t="n">
        <v>0</v>
      </c>
      <c r="AX627" s="53" t="n">
        <v>0</v>
      </c>
      <c r="AY627" s="52" t="n">
        <v>0</v>
      </c>
      <c r="AZ627" s="52" t="n">
        <v>0</v>
      </c>
      <c r="BA627" s="52" t="n">
        <v>0</v>
      </c>
      <c r="BB627" s="52" t="n">
        <v>0</v>
      </c>
      <c r="BC627" s="51" t="n">
        <v>0</v>
      </c>
      <c r="BD627" s="51" t="n">
        <v>0</v>
      </c>
      <c r="BE627" s="51" t="n">
        <v>0</v>
      </c>
      <c r="BF627" s="51" t="n">
        <v>0</v>
      </c>
    </row>
    <row r="628">
      <c r="A628">
        <f>HYPERLINK("https://www.walmart.com/ip/479148074", "479148074")</f>
        <v/>
      </c>
      <c r="B628" t="inlineStr">
        <is>
          <t>FlyingStar Waterproof Outdoor Blanket with Sherpa Lining,Windproof Triple Layers Warm Comfy Foldable for Camping  Stadium,Sports,Picnic,Grass,Concerts,Pet 51''X 59'',Navy/Grey</t>
        </is>
      </c>
      <c r="C628" t="inlineStr">
        <is>
          <t>1WMBW506NYGY-TBCB</t>
        </is>
      </c>
      <c r="D628" t="inlineStr">
        <is>
          <t>Picnic Blankets &amp; Mats</t>
        </is>
      </c>
      <c r="E628" t="inlineStr">
        <is>
          <t>Flyingstar</t>
        </is>
      </c>
      <c r="F628" t="inlineStr">
        <is>
          <t>Q2-Target,Optimized,WFS,WFS Item</t>
        </is>
      </c>
      <c r="G628" s="48" t="n">
        <v>0</v>
      </c>
      <c r="H628" s="48" t="n">
        <v>0</v>
      </c>
      <c r="I628" s="48" t="n">
        <v>29.99</v>
      </c>
      <c r="J628" s="48" t="n">
        <v>55.98</v>
      </c>
      <c r="K628" s="49" t="n">
        <v>0</v>
      </c>
      <c r="L628" s="49" t="n">
        <v>0</v>
      </c>
      <c r="M628" s="49" t="n">
        <v>1</v>
      </c>
      <c r="N628" s="49" t="n">
        <v>2</v>
      </c>
      <c r="O628" s="49" t="n">
        <v>1</v>
      </c>
      <c r="P628" s="49" t="n">
        <v>5</v>
      </c>
      <c r="Q628" s="49" t="n">
        <v>4</v>
      </c>
      <c r="R628" s="49" t="n">
        <v>5</v>
      </c>
      <c r="S628" s="50" t="n">
        <v>0</v>
      </c>
      <c r="T628" s="50" t="n">
        <v>0</v>
      </c>
      <c r="U628" s="50" t="n">
        <v>0.25</v>
      </c>
      <c r="V628" s="50" t="n">
        <v>0.4</v>
      </c>
      <c r="W628" s="51" t="n">
        <v>5</v>
      </c>
      <c r="X628" s="51" t="n">
        <v>5</v>
      </c>
      <c r="Y628" s="51" t="n">
        <v>4</v>
      </c>
      <c r="Z628" s="51" t="n">
        <v>5</v>
      </c>
      <c r="AA628" s="52" t="n">
        <v>1.5</v>
      </c>
      <c r="AB628" s="52" t="n">
        <v>1.51</v>
      </c>
      <c r="AC628" s="52" t="n">
        <v>1.2</v>
      </c>
      <c r="AD628" s="52" t="n">
        <v>1.5</v>
      </c>
      <c r="AE628" s="52" t="n">
        <v>0</v>
      </c>
      <c r="AF628" s="52" t="n">
        <v>0</v>
      </c>
      <c r="AG628" s="52" t="n">
        <v>0</v>
      </c>
      <c r="AH628" s="52" t="n">
        <v>0</v>
      </c>
      <c r="AI628" s="52" t="n">
        <v>0</v>
      </c>
      <c r="AJ628" s="52" t="n">
        <v>0</v>
      </c>
      <c r="AK628" s="52" t="n">
        <v>0</v>
      </c>
      <c r="AL628" s="52" t="n">
        <v>0</v>
      </c>
      <c r="AM628" s="53" t="n">
        <v>0.0301</v>
      </c>
      <c r="AN628" s="53" t="n">
        <v>0.0243</v>
      </c>
      <c r="AO628" s="53" t="n">
        <v>0.0213</v>
      </c>
      <c r="AP628" s="53" t="n">
        <v>0.0222</v>
      </c>
      <c r="AQ628" s="52" t="n">
        <v>0.3</v>
      </c>
      <c r="AR628" s="52" t="n">
        <v>0.302</v>
      </c>
      <c r="AS628" s="52" t="n">
        <v>0.3</v>
      </c>
      <c r="AT628" s="52" t="n">
        <v>0.3</v>
      </c>
      <c r="AU628" s="53" t="n">
        <v>0</v>
      </c>
      <c r="AV628" s="53" t="n">
        <v>0</v>
      </c>
      <c r="AW628" s="53" t="n">
        <v>0.04001333777925976</v>
      </c>
      <c r="AX628" s="53" t="n">
        <v>0.02679528403001072</v>
      </c>
      <c r="AY628" s="52" t="n">
        <v>0</v>
      </c>
      <c r="AZ628" s="52" t="n">
        <v>0</v>
      </c>
      <c r="BA628" s="52" t="n">
        <v>29.99</v>
      </c>
      <c r="BB628" s="52" t="n">
        <v>27.99</v>
      </c>
      <c r="BC628" s="51" t="n">
        <v>166</v>
      </c>
      <c r="BD628" s="51" t="n">
        <v>206</v>
      </c>
      <c r="BE628" s="51" t="n">
        <v>188</v>
      </c>
      <c r="BF628" s="51" t="n">
        <v>225</v>
      </c>
    </row>
    <row r="629">
      <c r="A629">
        <f>HYPERLINK("https://www.walmart.com/ip/479885190", "479885190")</f>
        <v/>
      </c>
      <c r="B629" t="inlineStr">
        <is>
          <t>Waterproof Blanket, Premium Reversible Furniture Protector Cover Blanket,Super Cozy Fleece Sherpa Throw for Outdoor Multi-Colors 80”x60” By Catalonia</t>
        </is>
      </c>
      <c r="C629" t="inlineStr">
        <is>
          <t>1CTBW681LGDG</t>
        </is>
      </c>
      <c r="D629" t="inlineStr">
        <is>
          <t>Throws</t>
        </is>
      </c>
      <c r="E629" t="inlineStr">
        <is>
          <t>Catalonia</t>
        </is>
      </c>
      <c r="F629" t="inlineStr">
        <is>
          <t>Q2-Target,Wproof Blanket,Batch 1 - TR</t>
        </is>
      </c>
      <c r="G629" s="48" t="n">
        <v>0</v>
      </c>
      <c r="H629" s="48" t="n">
        <v>0</v>
      </c>
      <c r="I629" s="48" t="n">
        <v>0</v>
      </c>
      <c r="J629" s="48" t="n">
        <v>0</v>
      </c>
      <c r="K629" s="49" t="n">
        <v>0</v>
      </c>
      <c r="L629" s="49" t="n">
        <v>0</v>
      </c>
      <c r="M629" s="49" t="n">
        <v>0</v>
      </c>
      <c r="N629" s="49" t="n">
        <v>0</v>
      </c>
      <c r="O629" s="49" t="n">
        <v>0</v>
      </c>
      <c r="P629" s="49" t="n">
        <v>0</v>
      </c>
      <c r="Q629" s="49" t="n">
        <v>0</v>
      </c>
      <c r="R629" s="49" t="n">
        <v>0</v>
      </c>
      <c r="S629" s="50" t="n">
        <v>0</v>
      </c>
      <c r="T629" s="50" t="n">
        <v>0</v>
      </c>
      <c r="U629" s="50" t="n">
        <v>0</v>
      </c>
      <c r="V629" s="50" t="n">
        <v>0</v>
      </c>
      <c r="W629" s="51" t="n">
        <v>5</v>
      </c>
      <c r="X629" s="51" t="n">
        <v>3</v>
      </c>
      <c r="Y629" s="51" t="n">
        <v>2</v>
      </c>
      <c r="Z629" s="51" t="n">
        <v>4</v>
      </c>
      <c r="AA629" s="52" t="n">
        <v>2.13</v>
      </c>
      <c r="AB629" s="52" t="n">
        <v>1.29</v>
      </c>
      <c r="AC629" s="52" t="n">
        <v>0.86</v>
      </c>
      <c r="AD629" s="52" t="n">
        <v>1.64</v>
      </c>
      <c r="AE629" s="52" t="n">
        <v>0</v>
      </c>
      <c r="AF629" s="52" t="n">
        <v>0</v>
      </c>
      <c r="AG629" s="52" t="n">
        <v>0</v>
      </c>
      <c r="AH629" s="52" t="n">
        <v>0</v>
      </c>
      <c r="AI629" s="52" t="n">
        <v>0</v>
      </c>
      <c r="AJ629" s="52" t="n">
        <v>0</v>
      </c>
      <c r="AK629" s="52" t="n">
        <v>0</v>
      </c>
      <c r="AL629" s="52" t="n">
        <v>0</v>
      </c>
      <c r="AM629" s="53" t="n">
        <v>0.0018</v>
      </c>
      <c r="AN629" s="53" t="n">
        <v>0.0014</v>
      </c>
      <c r="AO629" s="53" t="n">
        <v>0.0008</v>
      </c>
      <c r="AP629" s="53" t="n">
        <v>0.0025</v>
      </c>
      <c r="AQ629" s="52" t="n">
        <v>0.426</v>
      </c>
      <c r="AR629" s="52" t="n">
        <v>0.43</v>
      </c>
      <c r="AS629" s="52" t="n">
        <v>0.43</v>
      </c>
      <c r="AT629" s="52" t="n">
        <v>0.41</v>
      </c>
      <c r="AU629" s="53" t="n">
        <v>0</v>
      </c>
      <c r="AV629" s="53" t="n">
        <v>0</v>
      </c>
      <c r="AW629" s="53" t="n">
        <v>0</v>
      </c>
      <c r="AX629" s="53" t="n">
        <v>0</v>
      </c>
      <c r="AY629" s="52" t="n">
        <v>0</v>
      </c>
      <c r="AZ629" s="52" t="n">
        <v>0</v>
      </c>
      <c r="BA629" s="52" t="n">
        <v>0</v>
      </c>
      <c r="BB629" s="52" t="n">
        <v>0</v>
      </c>
      <c r="BC629" s="51" t="n">
        <v>2809</v>
      </c>
      <c r="BD629" s="51" t="n">
        <v>2200</v>
      </c>
      <c r="BE629" s="51" t="n">
        <v>2598</v>
      </c>
      <c r="BF629" s="51" t="n">
        <v>1598</v>
      </c>
    </row>
    <row r="630">
      <c r="A630">
        <f>HYPERLINK("https://www.walmart.com/ip/479969953", "479969953")</f>
        <v/>
      </c>
      <c r="B630" t="inlineStr">
        <is>
          <t>Catalonia Surf Beach Changing Towel With Hood, Super Absorbent Microfiber Swim Robe Poncho for Men Women Bath Shower Pool,Pink</t>
        </is>
      </c>
      <c r="C630" t="inlineStr">
        <is>
          <t>1CTBR102-PB</t>
        </is>
      </c>
      <c r="D630" t="inlineStr">
        <is>
          <t>Towels &amp; Washcloths</t>
        </is>
      </c>
      <c r="E630" t="inlineStr">
        <is>
          <t>Catalonia</t>
        </is>
      </c>
      <c r="G630" s="48" t="n">
        <v>0</v>
      </c>
      <c r="H630" s="48" t="n">
        <v>0</v>
      </c>
      <c r="I630" s="48" t="n">
        <v>0</v>
      </c>
      <c r="J630" s="48" t="n">
        <v>0</v>
      </c>
      <c r="K630" s="49" t="n">
        <v>0</v>
      </c>
      <c r="L630" s="49" t="n">
        <v>0</v>
      </c>
      <c r="M630" s="49" t="n">
        <v>0</v>
      </c>
      <c r="N630" s="49" t="n">
        <v>0</v>
      </c>
      <c r="O630" s="49" t="n">
        <v>0</v>
      </c>
      <c r="P630" s="49" t="n">
        <v>0</v>
      </c>
      <c r="Q630" s="49" t="n">
        <v>0</v>
      </c>
      <c r="R630" s="49" t="n">
        <v>0</v>
      </c>
      <c r="S630" s="50" t="n">
        <v>0</v>
      </c>
      <c r="T630" s="50" t="n">
        <v>0</v>
      </c>
      <c r="U630" s="50" t="n">
        <v>0</v>
      </c>
      <c r="V630" s="50" t="n">
        <v>0</v>
      </c>
      <c r="W630" s="51" t="n">
        <v>0</v>
      </c>
      <c r="X630" s="51" t="n">
        <v>0</v>
      </c>
      <c r="Y630" s="51" t="n">
        <v>0</v>
      </c>
      <c r="Z630" s="51" t="n">
        <v>0</v>
      </c>
      <c r="AA630" s="52" t="n">
        <v>0</v>
      </c>
      <c r="AB630" s="52" t="n">
        <v>0</v>
      </c>
      <c r="AC630" s="52" t="n">
        <v>0</v>
      </c>
      <c r="AD630" s="52" t="n">
        <v>0</v>
      </c>
      <c r="AE630" s="52" t="n">
        <v>0</v>
      </c>
      <c r="AF630" s="52" t="n">
        <v>0</v>
      </c>
      <c r="AG630" s="52" t="n">
        <v>0</v>
      </c>
      <c r="AH630" s="52" t="n">
        <v>0</v>
      </c>
      <c r="AI630" s="52" t="n">
        <v>0</v>
      </c>
      <c r="AJ630" s="52" t="n">
        <v>0</v>
      </c>
      <c r="AK630" s="52" t="n">
        <v>0</v>
      </c>
      <c r="AL630" s="52" t="n">
        <v>0</v>
      </c>
      <c r="AM630" s="53" t="n">
        <v>0</v>
      </c>
      <c r="AN630" s="53" t="n">
        <v>0</v>
      </c>
      <c r="AO630" s="53" t="n">
        <v>0</v>
      </c>
      <c r="AP630" s="53" t="n">
        <v>0</v>
      </c>
      <c r="AQ630" s="52" t="n">
        <v>0</v>
      </c>
      <c r="AR630" s="52" t="n">
        <v>0</v>
      </c>
      <c r="AS630" s="52" t="n">
        <v>0</v>
      </c>
      <c r="AT630" s="52" t="n">
        <v>0</v>
      </c>
      <c r="AU630" s="53" t="n">
        <v>0</v>
      </c>
      <c r="AV630" s="53" t="n">
        <v>0</v>
      </c>
      <c r="AW630" s="53" t="n">
        <v>0</v>
      </c>
      <c r="AX630" s="53" t="n">
        <v>0</v>
      </c>
      <c r="AY630" s="52" t="n">
        <v>0</v>
      </c>
      <c r="AZ630" s="52" t="n">
        <v>0</v>
      </c>
      <c r="BA630" s="52" t="n">
        <v>0</v>
      </c>
      <c r="BB630" s="52" t="n">
        <v>0</v>
      </c>
      <c r="BC630" s="51" t="n">
        <v>0</v>
      </c>
      <c r="BD630" s="51" t="n">
        <v>0</v>
      </c>
      <c r="BE630" s="51" t="n">
        <v>0</v>
      </c>
      <c r="BF630" s="51" t="n">
        <v>0</v>
      </c>
    </row>
    <row r="631">
      <c r="A631">
        <f>HYPERLINK("https://www.walmart.com/ip/480406987", "480406987")</f>
        <v/>
      </c>
      <c r="B631" t="inlineStr">
        <is>
          <t>Catalonia Women's Plush Fleece Long Robe, Warm Comfy Fluffy Female Bathrobe with Hood, Machine Washable, One Size, Blue</t>
        </is>
      </c>
      <c r="C631" t="inlineStr">
        <is>
          <t>1CTRB100BL-LDCB</t>
        </is>
      </c>
      <c r="D631" t="inlineStr">
        <is>
          <t>Sleepwear Robes &amp; Bathrobes</t>
        </is>
      </c>
      <c r="E631" t="inlineStr">
        <is>
          <t>Catalonia</t>
        </is>
      </c>
      <c r="F631" t="inlineStr">
        <is>
          <t>Hero 5 Holidays,WFS,Bathrobe,WFS Item</t>
        </is>
      </c>
      <c r="G631" s="48" t="n">
        <v>0</v>
      </c>
      <c r="H631" s="48" t="n">
        <v>0</v>
      </c>
      <c r="I631" s="48" t="n">
        <v>0</v>
      </c>
      <c r="J631" s="48" t="n">
        <v>0</v>
      </c>
      <c r="K631" s="49" t="n">
        <v>0</v>
      </c>
      <c r="L631" s="49" t="n">
        <v>0</v>
      </c>
      <c r="M631" s="49" t="n">
        <v>0</v>
      </c>
      <c r="N631" s="49" t="n">
        <v>0</v>
      </c>
      <c r="O631" s="49" t="n">
        <v>0</v>
      </c>
      <c r="P631" s="49" t="n">
        <v>0</v>
      </c>
      <c r="Q631" s="49" t="n">
        <v>0</v>
      </c>
      <c r="R631" s="49" t="n">
        <v>0</v>
      </c>
      <c r="S631" s="50" t="n">
        <v>0</v>
      </c>
      <c r="T631" s="50" t="n">
        <v>0</v>
      </c>
      <c r="U631" s="50" t="n">
        <v>0</v>
      </c>
      <c r="V631" s="50" t="n">
        <v>0</v>
      </c>
      <c r="W631" s="51" t="n">
        <v>0</v>
      </c>
      <c r="X631" s="51" t="n">
        <v>0</v>
      </c>
      <c r="Y631" s="51" t="n">
        <v>0</v>
      </c>
      <c r="Z631" s="51" t="n">
        <v>0</v>
      </c>
      <c r="AA631" s="52" t="n">
        <v>0</v>
      </c>
      <c r="AB631" s="52" t="n">
        <v>0</v>
      </c>
      <c r="AC631" s="52" t="n">
        <v>0</v>
      </c>
      <c r="AD631" s="52" t="n">
        <v>0</v>
      </c>
      <c r="AE631" s="52" t="n">
        <v>0</v>
      </c>
      <c r="AF631" s="52" t="n">
        <v>0</v>
      </c>
      <c r="AG631" s="52" t="n">
        <v>0</v>
      </c>
      <c r="AH631" s="52" t="n">
        <v>0</v>
      </c>
      <c r="AI631" s="52" t="n">
        <v>0</v>
      </c>
      <c r="AJ631" s="52" t="n">
        <v>0</v>
      </c>
      <c r="AK631" s="52" t="n">
        <v>0</v>
      </c>
      <c r="AL631" s="52" t="n">
        <v>0</v>
      </c>
      <c r="AM631" s="53" t="n">
        <v>0</v>
      </c>
      <c r="AN631" s="53" t="n">
        <v>0</v>
      </c>
      <c r="AO631" s="53" t="n">
        <v>0</v>
      </c>
      <c r="AP631" s="53" t="n">
        <v>0</v>
      </c>
      <c r="AQ631" s="52" t="n">
        <v>0</v>
      </c>
      <c r="AR631" s="52" t="n">
        <v>0</v>
      </c>
      <c r="AS631" s="52" t="n">
        <v>0</v>
      </c>
      <c r="AT631" s="52" t="n">
        <v>0</v>
      </c>
      <c r="AU631" s="53" t="n">
        <v>0</v>
      </c>
      <c r="AV631" s="53" t="n">
        <v>0</v>
      </c>
      <c r="AW631" s="53" t="n">
        <v>0</v>
      </c>
      <c r="AX631" s="53" t="n">
        <v>0</v>
      </c>
      <c r="AY631" s="52" t="n">
        <v>0</v>
      </c>
      <c r="AZ631" s="52" t="n">
        <v>0</v>
      </c>
      <c r="BA631" s="52" t="n">
        <v>0</v>
      </c>
      <c r="BB631" s="52" t="n">
        <v>0</v>
      </c>
      <c r="BC631" s="51" t="n">
        <v>0</v>
      </c>
      <c r="BD631" s="51" t="n">
        <v>0</v>
      </c>
      <c r="BE631" s="51" t="n">
        <v>0</v>
      </c>
      <c r="BF631" s="51" t="n">
        <v>0</v>
      </c>
    </row>
    <row r="632">
      <c r="A632">
        <f>HYPERLINK("https://www.walmart.com/ip/481492129", "481492129")</f>
        <v/>
      </c>
      <c r="B632" t="inlineStr">
        <is>
          <t>Catalonia Women’s Sherpa Hoodie Sweatshirt Dress, Casual Snuggle Wearable Blanket Pullover Sweater with Kangaroo Pocket, Warm and Soft, Gift for Her, Navy</t>
        </is>
      </c>
      <c r="C632" t="inlineStr">
        <is>
          <t>1CTHD532DBL</t>
        </is>
      </c>
      <c r="D632" t="inlineStr">
        <is>
          <t>Sweatshirts &amp; Hoodies</t>
        </is>
      </c>
      <c r="E632" t="inlineStr">
        <is>
          <t>Catalonia</t>
        </is>
      </c>
      <c r="F632" t="inlineStr">
        <is>
          <t>Hoodie ForAdult,Optimized</t>
        </is>
      </c>
      <c r="G632" s="48" t="n">
        <v>0</v>
      </c>
      <c r="H632" s="48" t="n">
        <v>0</v>
      </c>
      <c r="I632" s="48" t="n">
        <v>0</v>
      </c>
      <c r="J632" s="48" t="n">
        <v>0</v>
      </c>
      <c r="K632" s="49" t="n">
        <v>0</v>
      </c>
      <c r="L632" s="49" t="n">
        <v>0</v>
      </c>
      <c r="M632" s="49" t="n">
        <v>0</v>
      </c>
      <c r="N632" s="49" t="n">
        <v>0</v>
      </c>
      <c r="O632" s="49" t="n">
        <v>0</v>
      </c>
      <c r="P632" s="49" t="n">
        <v>0</v>
      </c>
      <c r="Q632" s="49" t="n">
        <v>0</v>
      </c>
      <c r="R632" s="49" t="n">
        <v>0</v>
      </c>
      <c r="S632" s="50" t="n">
        <v>0</v>
      </c>
      <c r="T632" s="50" t="n">
        <v>0</v>
      </c>
      <c r="U632" s="50" t="n">
        <v>0</v>
      </c>
      <c r="V632" s="50" t="n">
        <v>0</v>
      </c>
      <c r="W632" s="51" t="n">
        <v>0</v>
      </c>
      <c r="X632" s="51" t="n">
        <v>0</v>
      </c>
      <c r="Y632" s="51" t="n">
        <v>0</v>
      </c>
      <c r="Z632" s="51" t="n">
        <v>0</v>
      </c>
      <c r="AA632" s="52" t="n">
        <v>0</v>
      </c>
      <c r="AB632" s="52" t="n">
        <v>0</v>
      </c>
      <c r="AC632" s="52" t="n">
        <v>0</v>
      </c>
      <c r="AD632" s="52" t="n">
        <v>0</v>
      </c>
      <c r="AE632" s="52" t="n">
        <v>0</v>
      </c>
      <c r="AF632" s="52" t="n">
        <v>0</v>
      </c>
      <c r="AG632" s="52" t="n">
        <v>0</v>
      </c>
      <c r="AH632" s="52" t="n">
        <v>0</v>
      </c>
      <c r="AI632" s="52" t="n">
        <v>0</v>
      </c>
      <c r="AJ632" s="52" t="n">
        <v>0</v>
      </c>
      <c r="AK632" s="52" t="n">
        <v>0</v>
      </c>
      <c r="AL632" s="52" t="n">
        <v>0</v>
      </c>
      <c r="AM632" s="53" t="n">
        <v>0</v>
      </c>
      <c r="AN632" s="53" t="n">
        <v>0</v>
      </c>
      <c r="AO632" s="53" t="n">
        <v>0</v>
      </c>
      <c r="AP632" s="53" t="n">
        <v>0</v>
      </c>
      <c r="AQ632" s="52" t="n">
        <v>0</v>
      </c>
      <c r="AR632" s="52" t="n">
        <v>0</v>
      </c>
      <c r="AS632" s="52" t="n">
        <v>0</v>
      </c>
      <c r="AT632" s="52" t="n">
        <v>0</v>
      </c>
      <c r="AU632" s="53" t="n">
        <v>0</v>
      </c>
      <c r="AV632" s="53" t="n">
        <v>0</v>
      </c>
      <c r="AW632" s="53" t="n">
        <v>0</v>
      </c>
      <c r="AX632" s="53" t="n">
        <v>0</v>
      </c>
      <c r="AY632" s="52" t="n">
        <v>0</v>
      </c>
      <c r="AZ632" s="52" t="n">
        <v>0</v>
      </c>
      <c r="BA632" s="52" t="n">
        <v>0</v>
      </c>
      <c r="BB632" s="52" t="n">
        <v>0</v>
      </c>
      <c r="BC632" s="51" t="n">
        <v>0</v>
      </c>
      <c r="BD632" s="51" t="n">
        <v>0</v>
      </c>
      <c r="BE632" s="51" t="n">
        <v>0</v>
      </c>
      <c r="BF632" s="51" t="n">
        <v>0</v>
      </c>
    </row>
    <row r="633">
      <c r="A633">
        <f>HYPERLINK("https://www.walmart.com/ip/482078354", "482078354")</f>
        <v/>
      </c>
      <c r="B633" t="inlineStr">
        <is>
          <t>Tirrinia Insulated Lunch Bag for Women Men, Leakproof Thermal Reusable Lunch Box with 4 Pockets for Adult Kids, Lunch Bag Cooler Tote for Office Work, Back to School, Purple</t>
        </is>
      </c>
      <c r="C633" t="inlineStr">
        <is>
          <t>1TRLB702PP-N</t>
        </is>
      </c>
      <c r="D633" t="inlineStr">
        <is>
          <t>Reusable Lunch Bags &amp; Boxes</t>
        </is>
      </c>
      <c r="E633" t="inlineStr">
        <is>
          <t>Tirrinia</t>
        </is>
      </c>
      <c r="F633" t="inlineStr">
        <is>
          <t>Q2-Target,Brand Camp VD,Lunch Bag,Lunch Bags</t>
        </is>
      </c>
      <c r="G633" s="48" t="n">
        <v>0</v>
      </c>
      <c r="H633" s="48" t="n">
        <v>0</v>
      </c>
      <c r="I633" s="48" t="n">
        <v>0</v>
      </c>
      <c r="J633" s="48" t="n">
        <v>0</v>
      </c>
      <c r="K633" s="49" t="n">
        <v>0</v>
      </c>
      <c r="L633" s="49" t="n">
        <v>0</v>
      </c>
      <c r="M633" s="49" t="n">
        <v>0</v>
      </c>
      <c r="N633" s="49" t="n">
        <v>0</v>
      </c>
      <c r="O633" s="49" t="n">
        <v>0</v>
      </c>
      <c r="P633" s="49" t="n">
        <v>0</v>
      </c>
      <c r="Q633" s="49" t="n">
        <v>0</v>
      </c>
      <c r="R633" s="49" t="n">
        <v>0</v>
      </c>
      <c r="S633" s="50" t="n">
        <v>0</v>
      </c>
      <c r="T633" s="50" t="n">
        <v>0</v>
      </c>
      <c r="U633" s="50" t="n">
        <v>0</v>
      </c>
      <c r="V633" s="50" t="n">
        <v>0</v>
      </c>
      <c r="W633" s="51" t="n">
        <v>0</v>
      </c>
      <c r="X633" s="51" t="n">
        <v>0</v>
      </c>
      <c r="Y633" s="51" t="n">
        <v>0</v>
      </c>
      <c r="Z633" s="51" t="n">
        <v>0</v>
      </c>
      <c r="AA633" s="52" t="n">
        <v>0</v>
      </c>
      <c r="AB633" s="52" t="n">
        <v>0</v>
      </c>
      <c r="AC633" s="52" t="n">
        <v>0</v>
      </c>
      <c r="AD633" s="52" t="n">
        <v>0</v>
      </c>
      <c r="AE633" s="52" t="n">
        <v>0</v>
      </c>
      <c r="AF633" s="52" t="n">
        <v>0</v>
      </c>
      <c r="AG633" s="52" t="n">
        <v>0</v>
      </c>
      <c r="AH633" s="52" t="n">
        <v>0</v>
      </c>
      <c r="AI633" s="52" t="n">
        <v>0</v>
      </c>
      <c r="AJ633" s="52" t="n">
        <v>0</v>
      </c>
      <c r="AK633" s="52" t="n">
        <v>0</v>
      </c>
      <c r="AL633" s="52" t="n">
        <v>0</v>
      </c>
      <c r="AM633" s="53" t="n">
        <v>0</v>
      </c>
      <c r="AN633" s="53" t="n">
        <v>0</v>
      </c>
      <c r="AO633" s="53" t="n">
        <v>0</v>
      </c>
      <c r="AP633" s="53" t="n">
        <v>0</v>
      </c>
      <c r="AQ633" s="52" t="n">
        <v>0</v>
      </c>
      <c r="AR633" s="52" t="n">
        <v>0</v>
      </c>
      <c r="AS633" s="52" t="n">
        <v>0</v>
      </c>
      <c r="AT633" s="52" t="n">
        <v>0</v>
      </c>
      <c r="AU633" s="53" t="n">
        <v>0</v>
      </c>
      <c r="AV633" s="53" t="n">
        <v>0</v>
      </c>
      <c r="AW633" s="53" t="n">
        <v>0</v>
      </c>
      <c r="AX633" s="53" t="n">
        <v>0</v>
      </c>
      <c r="AY633" s="52" t="n">
        <v>0</v>
      </c>
      <c r="AZ633" s="52" t="n">
        <v>0</v>
      </c>
      <c r="BA633" s="52" t="n">
        <v>0</v>
      </c>
      <c r="BB633" s="52" t="n">
        <v>0</v>
      </c>
      <c r="BC633" s="51" t="n">
        <v>0</v>
      </c>
      <c r="BD633" s="51" t="n">
        <v>0</v>
      </c>
      <c r="BE633" s="51" t="n">
        <v>0</v>
      </c>
      <c r="BF633" s="51" t="n">
        <v>0</v>
      </c>
    </row>
    <row r="634">
      <c r="A634">
        <f>HYPERLINK("https://www.walmart.com/ip/482262707", "482262707")</f>
        <v/>
      </c>
      <c r="B634" t="inlineStr">
        <is>
          <t>Tirrina Unisex Outdoor Sun Protection Fishing Cap with Neck Flap Wide Brim Mesh Hat for Travel Camping Hiking Hunting</t>
        </is>
      </c>
      <c r="C634" t="inlineStr">
        <is>
          <t>1TRSH910OL-TBCB</t>
        </is>
      </c>
      <c r="D634" t="inlineStr">
        <is>
          <t>Hats</t>
        </is>
      </c>
      <c r="E634" t="inlineStr">
        <is>
          <t>Tirrinia</t>
        </is>
      </c>
      <c r="F634" t="inlineStr">
        <is>
          <t>Hats,Batch 1 - TR</t>
        </is>
      </c>
      <c r="G634" s="48" t="n">
        <v>0</v>
      </c>
      <c r="H634" s="48" t="n">
        <v>0</v>
      </c>
      <c r="I634" s="48" t="n">
        <v>24.98</v>
      </c>
      <c r="J634" s="48" t="n">
        <v>0</v>
      </c>
      <c r="K634" s="49" t="n">
        <v>0</v>
      </c>
      <c r="L634" s="49" t="n">
        <v>0</v>
      </c>
      <c r="M634" s="49" t="n">
        <v>1</v>
      </c>
      <c r="N634" s="49" t="n">
        <v>0</v>
      </c>
      <c r="O634" s="49" t="n">
        <v>0</v>
      </c>
      <c r="P634" s="49" t="n">
        <v>0</v>
      </c>
      <c r="Q634" s="49" t="n">
        <v>0</v>
      </c>
      <c r="R634" s="49" t="n">
        <v>0</v>
      </c>
      <c r="S634" s="50" t="n">
        <v>0</v>
      </c>
      <c r="T634" s="50" t="n">
        <v>0</v>
      </c>
      <c r="U634" s="50" t="n">
        <v>0</v>
      </c>
      <c r="V634" s="50" t="n">
        <v>0</v>
      </c>
      <c r="W634" s="51" t="n">
        <v>0</v>
      </c>
      <c r="X634" s="51" t="n">
        <v>0</v>
      </c>
      <c r="Y634" s="51" t="n">
        <v>0</v>
      </c>
      <c r="Z634" s="51" t="n">
        <v>0</v>
      </c>
      <c r="AA634" s="52" t="n">
        <v>0</v>
      </c>
      <c r="AB634" s="52" t="n">
        <v>0</v>
      </c>
      <c r="AC634" s="52" t="n">
        <v>0</v>
      </c>
      <c r="AD634" s="52" t="n">
        <v>0</v>
      </c>
      <c r="AE634" s="52" t="n">
        <v>0</v>
      </c>
      <c r="AF634" s="52" t="n">
        <v>0</v>
      </c>
      <c r="AG634" s="52" t="n">
        <v>0</v>
      </c>
      <c r="AH634" s="52" t="n">
        <v>0</v>
      </c>
      <c r="AI634" s="52" t="n">
        <v>0</v>
      </c>
      <c r="AJ634" s="52" t="n">
        <v>0</v>
      </c>
      <c r="AK634" s="52" t="n">
        <v>0</v>
      </c>
      <c r="AL634" s="52" t="n">
        <v>0</v>
      </c>
      <c r="AM634" s="53" t="n">
        <v>0</v>
      </c>
      <c r="AN634" s="53" t="n">
        <v>0</v>
      </c>
      <c r="AO634" s="53" t="n">
        <v>0</v>
      </c>
      <c r="AP634" s="53" t="n">
        <v>0</v>
      </c>
      <c r="AQ634" s="52" t="n">
        <v>0</v>
      </c>
      <c r="AR634" s="52" t="n">
        <v>0</v>
      </c>
      <c r="AS634" s="52" t="n">
        <v>0</v>
      </c>
      <c r="AT634" s="52" t="n">
        <v>0</v>
      </c>
      <c r="AU634" s="53" t="n">
        <v>0</v>
      </c>
      <c r="AV634" s="53" t="n">
        <v>0</v>
      </c>
      <c r="AW634" s="53" t="n">
        <v>0</v>
      </c>
      <c r="AX634" s="53" t="n">
        <v>0</v>
      </c>
      <c r="AY634" s="52" t="n">
        <v>0</v>
      </c>
      <c r="AZ634" s="52" t="n">
        <v>0</v>
      </c>
      <c r="BA634" s="52" t="n">
        <v>24.98</v>
      </c>
      <c r="BB634" s="52" t="n">
        <v>0</v>
      </c>
      <c r="BC634" s="51" t="n">
        <v>0</v>
      </c>
      <c r="BD634" s="51" t="n">
        <v>0</v>
      </c>
      <c r="BE634" s="51" t="n">
        <v>0</v>
      </c>
      <c r="BF634" s="51" t="n">
        <v>0</v>
      </c>
    </row>
    <row r="635">
      <c r="A635">
        <f>HYPERLINK("https://www.walmart.com/ip/483192747", "483192747")</f>
        <v/>
      </c>
      <c r="B635" t="inlineStr">
        <is>
          <t>Sherpa Throws Blanket Plaid Design Super Soft Flannel Micro Mink Fleece Plush Couch Blanket Reversible Bed Throw TV Blan</t>
        </is>
      </c>
      <c r="C635" t="inlineStr">
        <is>
          <t>1TRBF563PRD-TBCB</t>
        </is>
      </c>
      <c r="D635" t="inlineStr">
        <is>
          <t>Throws</t>
        </is>
      </c>
      <c r="E635" t="inlineStr">
        <is>
          <t>Tirrinia</t>
        </is>
      </c>
      <c r="F635" t="inlineStr">
        <is>
          <t>cost-added</t>
        </is>
      </c>
      <c r="G635" s="48" t="n">
        <v>0</v>
      </c>
      <c r="H635" s="48" t="n">
        <v>0</v>
      </c>
      <c r="I635" s="48" t="n">
        <v>0</v>
      </c>
      <c r="J635" s="48" t="n">
        <v>0</v>
      </c>
      <c r="K635" s="49" t="n">
        <v>0</v>
      </c>
      <c r="L635" s="49" t="n">
        <v>0</v>
      </c>
      <c r="M635" s="49" t="n">
        <v>0</v>
      </c>
      <c r="N635" s="49" t="n">
        <v>0</v>
      </c>
      <c r="O635" s="49" t="n">
        <v>0</v>
      </c>
      <c r="P635" s="49" t="n">
        <v>0</v>
      </c>
      <c r="Q635" s="49" t="n">
        <v>0</v>
      </c>
      <c r="R635" s="49" t="n">
        <v>0</v>
      </c>
      <c r="S635" s="50" t="n">
        <v>0</v>
      </c>
      <c r="T635" s="50" t="n">
        <v>0</v>
      </c>
      <c r="U635" s="50" t="n">
        <v>0</v>
      </c>
      <c r="V635" s="50" t="n">
        <v>0</v>
      </c>
      <c r="W635" s="51" t="n">
        <v>0</v>
      </c>
      <c r="X635" s="51" t="n">
        <v>0</v>
      </c>
      <c r="Y635" s="51" t="n">
        <v>0</v>
      </c>
      <c r="Z635" s="51" t="n">
        <v>0</v>
      </c>
      <c r="AA635" s="52" t="n">
        <v>0</v>
      </c>
      <c r="AB635" s="52" t="n">
        <v>0</v>
      </c>
      <c r="AC635" s="52" t="n">
        <v>0</v>
      </c>
      <c r="AD635" s="52" t="n">
        <v>0</v>
      </c>
      <c r="AE635" s="52" t="n">
        <v>0</v>
      </c>
      <c r="AF635" s="52" t="n">
        <v>0</v>
      </c>
      <c r="AG635" s="52" t="n">
        <v>0</v>
      </c>
      <c r="AH635" s="52" t="n">
        <v>0</v>
      </c>
      <c r="AI635" s="52" t="n">
        <v>0</v>
      </c>
      <c r="AJ635" s="52" t="n">
        <v>0</v>
      </c>
      <c r="AK635" s="52" t="n">
        <v>0</v>
      </c>
      <c r="AL635" s="52" t="n">
        <v>0</v>
      </c>
      <c r="AM635" s="53" t="n">
        <v>0</v>
      </c>
      <c r="AN635" s="53" t="n">
        <v>0</v>
      </c>
      <c r="AO635" s="53" t="n">
        <v>0</v>
      </c>
      <c r="AP635" s="53" t="n">
        <v>0</v>
      </c>
      <c r="AQ635" s="52" t="n">
        <v>0</v>
      </c>
      <c r="AR635" s="52" t="n">
        <v>0</v>
      </c>
      <c r="AS635" s="52" t="n">
        <v>0</v>
      </c>
      <c r="AT635" s="52" t="n">
        <v>0</v>
      </c>
      <c r="AU635" s="53" t="n">
        <v>0</v>
      </c>
      <c r="AV635" s="53" t="n">
        <v>0</v>
      </c>
      <c r="AW635" s="53" t="n">
        <v>0</v>
      </c>
      <c r="AX635" s="53" t="n">
        <v>0</v>
      </c>
      <c r="AY635" s="52" t="n">
        <v>0</v>
      </c>
      <c r="AZ635" s="52" t="n">
        <v>0</v>
      </c>
      <c r="BA635" s="52" t="n">
        <v>0</v>
      </c>
      <c r="BB635" s="52" t="n">
        <v>0</v>
      </c>
      <c r="BC635" s="51" t="n">
        <v>0</v>
      </c>
      <c r="BD635" s="51" t="n">
        <v>0</v>
      </c>
      <c r="BE635" s="51" t="n">
        <v>0</v>
      </c>
      <c r="BF635" s="51" t="n">
        <v>0</v>
      </c>
    </row>
    <row r="636">
      <c r="A636">
        <f>HYPERLINK("https://www.walmart.com/ip/483506626", "483506626")</f>
        <v/>
      </c>
      <c r="B636" t="inlineStr">
        <is>
          <t>American Flag Sun Cap Patriotic Sports Baseball Tennis Golf Dad Hats for Men Women by Solaris</t>
        </is>
      </c>
      <c r="C636" t="inlineStr">
        <is>
          <t>1SLBC100WH</t>
        </is>
      </c>
      <c r="D636" t="inlineStr">
        <is>
          <t>Golf Hats</t>
        </is>
      </c>
      <c r="E636" t="inlineStr">
        <is>
          <t>Solaris</t>
        </is>
      </c>
      <c r="F636" t="inlineStr">
        <is>
          <t>Batch 1 - TR</t>
        </is>
      </c>
      <c r="G636" s="48" t="n">
        <v>0</v>
      </c>
      <c r="H636" s="48" t="n">
        <v>0</v>
      </c>
      <c r="I636" s="48" t="n">
        <v>0</v>
      </c>
      <c r="J636" s="48" t="n">
        <v>0</v>
      </c>
      <c r="K636" s="49" t="n">
        <v>0</v>
      </c>
      <c r="L636" s="49" t="n">
        <v>0</v>
      </c>
      <c r="M636" s="49" t="n">
        <v>0</v>
      </c>
      <c r="N636" s="49" t="n">
        <v>0</v>
      </c>
      <c r="O636" s="49" t="n">
        <v>0</v>
      </c>
      <c r="P636" s="49" t="n">
        <v>0</v>
      </c>
      <c r="Q636" s="49" t="n">
        <v>0</v>
      </c>
      <c r="R636" s="49" t="n">
        <v>0</v>
      </c>
      <c r="S636" s="50" t="n">
        <v>0</v>
      </c>
      <c r="T636" s="50" t="n">
        <v>0</v>
      </c>
      <c r="U636" s="50" t="n">
        <v>0</v>
      </c>
      <c r="V636" s="50" t="n">
        <v>0</v>
      </c>
      <c r="W636" s="51" t="n">
        <v>0</v>
      </c>
      <c r="X636" s="51" t="n">
        <v>0</v>
      </c>
      <c r="Y636" s="51" t="n">
        <v>0</v>
      </c>
      <c r="Z636" s="51" t="n">
        <v>0</v>
      </c>
      <c r="AA636" s="52" t="n">
        <v>0</v>
      </c>
      <c r="AB636" s="52" t="n">
        <v>0</v>
      </c>
      <c r="AC636" s="52" t="n">
        <v>0</v>
      </c>
      <c r="AD636" s="52" t="n">
        <v>0</v>
      </c>
      <c r="AE636" s="52" t="n">
        <v>0</v>
      </c>
      <c r="AF636" s="52" t="n">
        <v>0</v>
      </c>
      <c r="AG636" s="52" t="n">
        <v>0</v>
      </c>
      <c r="AH636" s="52" t="n">
        <v>0</v>
      </c>
      <c r="AI636" s="52" t="n">
        <v>0</v>
      </c>
      <c r="AJ636" s="52" t="n">
        <v>0</v>
      </c>
      <c r="AK636" s="52" t="n">
        <v>0</v>
      </c>
      <c r="AL636" s="52" t="n">
        <v>0</v>
      </c>
      <c r="AM636" s="53" t="n">
        <v>0</v>
      </c>
      <c r="AN636" s="53" t="n">
        <v>0</v>
      </c>
      <c r="AO636" s="53" t="n">
        <v>0</v>
      </c>
      <c r="AP636" s="53" t="n">
        <v>0</v>
      </c>
      <c r="AQ636" s="52" t="n">
        <v>0</v>
      </c>
      <c r="AR636" s="52" t="n">
        <v>0</v>
      </c>
      <c r="AS636" s="52" t="n">
        <v>0</v>
      </c>
      <c r="AT636" s="52" t="n">
        <v>0</v>
      </c>
      <c r="AU636" s="53" t="n">
        <v>0</v>
      </c>
      <c r="AV636" s="53" t="n">
        <v>0</v>
      </c>
      <c r="AW636" s="53" t="n">
        <v>0</v>
      </c>
      <c r="AX636" s="53" t="n">
        <v>0</v>
      </c>
      <c r="AY636" s="52" t="n">
        <v>0</v>
      </c>
      <c r="AZ636" s="52" t="n">
        <v>0</v>
      </c>
      <c r="BA636" s="52" t="n">
        <v>0</v>
      </c>
      <c r="BB636" s="52" t="n">
        <v>0</v>
      </c>
      <c r="BC636" s="51" t="n">
        <v>0</v>
      </c>
      <c r="BD636" s="51" t="n">
        <v>0</v>
      </c>
      <c r="BE636" s="51" t="n">
        <v>0</v>
      </c>
      <c r="BF636" s="51" t="n">
        <v>0</v>
      </c>
    </row>
    <row r="637">
      <c r="A637">
        <f>HYPERLINK("https://www.walmart.com/ip/484675016", "484675016")</f>
        <v/>
      </c>
      <c r="B637" t="inlineStr">
        <is>
          <t>Catalonia Microfiber Plush Throw Blanket for Couch and Bed, Holiday Theme Sherpa Fleece Throw Christmas Gift Blanket, Super Soft, Comfy, Cozy, Fluffy, and Warm, Dalmatian, 90'' x 90''</t>
        </is>
      </c>
      <c r="C637" t="inlineStr">
        <is>
          <t>1CTBF399DMT</t>
        </is>
      </c>
      <c r="D637" t="inlineStr">
        <is>
          <t>Throws</t>
        </is>
      </c>
      <c r="E637" t="inlineStr">
        <is>
          <t>Catalonia</t>
        </is>
      </c>
      <c r="F637" t="inlineStr">
        <is>
          <t>WFS,Coupon_Discount,WFS Item</t>
        </is>
      </c>
      <c r="G637" s="48" t="n">
        <v>0</v>
      </c>
      <c r="H637" s="48" t="n">
        <v>0</v>
      </c>
      <c r="I637" s="48" t="n">
        <v>0</v>
      </c>
      <c r="J637" s="48" t="n">
        <v>0</v>
      </c>
      <c r="K637" s="49" t="n">
        <v>0</v>
      </c>
      <c r="L637" s="49" t="n">
        <v>0</v>
      </c>
      <c r="M637" s="49" t="n">
        <v>0</v>
      </c>
      <c r="N637" s="49" t="n">
        <v>0</v>
      </c>
      <c r="O637" s="49" t="n">
        <v>0</v>
      </c>
      <c r="P637" s="49" t="n">
        <v>0</v>
      </c>
      <c r="Q637" s="49" t="n">
        <v>0</v>
      </c>
      <c r="R637" s="49" t="n">
        <v>0</v>
      </c>
      <c r="S637" s="50" t="n">
        <v>0</v>
      </c>
      <c r="T637" s="50" t="n">
        <v>0</v>
      </c>
      <c r="U637" s="50" t="n">
        <v>0</v>
      </c>
      <c r="V637" s="50" t="n">
        <v>0</v>
      </c>
      <c r="W637" s="51" t="n">
        <v>0</v>
      </c>
      <c r="X637" s="51" t="n">
        <v>0</v>
      </c>
      <c r="Y637" s="51" t="n">
        <v>0</v>
      </c>
      <c r="Z637" s="51" t="n">
        <v>0</v>
      </c>
      <c r="AA637" s="52" t="n">
        <v>0</v>
      </c>
      <c r="AB637" s="52" t="n">
        <v>0</v>
      </c>
      <c r="AC637" s="52" t="n">
        <v>0</v>
      </c>
      <c r="AD637" s="52" t="n">
        <v>0</v>
      </c>
      <c r="AE637" s="52" t="n">
        <v>0</v>
      </c>
      <c r="AF637" s="52" t="n">
        <v>0</v>
      </c>
      <c r="AG637" s="52" t="n">
        <v>0</v>
      </c>
      <c r="AH637" s="52" t="n">
        <v>0</v>
      </c>
      <c r="AI637" s="52" t="n">
        <v>0</v>
      </c>
      <c r="AJ637" s="52" t="n">
        <v>0</v>
      </c>
      <c r="AK637" s="52" t="n">
        <v>0</v>
      </c>
      <c r="AL637" s="52" t="n">
        <v>0</v>
      </c>
      <c r="AM637" s="53" t="n">
        <v>0</v>
      </c>
      <c r="AN637" s="53" t="n">
        <v>0</v>
      </c>
      <c r="AO637" s="53" t="n">
        <v>0</v>
      </c>
      <c r="AP637" s="53" t="n">
        <v>0</v>
      </c>
      <c r="AQ637" s="52" t="n">
        <v>0</v>
      </c>
      <c r="AR637" s="52" t="n">
        <v>0</v>
      </c>
      <c r="AS637" s="52" t="n">
        <v>0</v>
      </c>
      <c r="AT637" s="52" t="n">
        <v>0</v>
      </c>
      <c r="AU637" s="53" t="n">
        <v>0</v>
      </c>
      <c r="AV637" s="53" t="n">
        <v>0</v>
      </c>
      <c r="AW637" s="53" t="n">
        <v>0</v>
      </c>
      <c r="AX637" s="53" t="n">
        <v>0</v>
      </c>
      <c r="AY637" s="52" t="n">
        <v>0</v>
      </c>
      <c r="AZ637" s="52" t="n">
        <v>0</v>
      </c>
      <c r="BA637" s="52" t="n">
        <v>0</v>
      </c>
      <c r="BB637" s="52" t="n">
        <v>0</v>
      </c>
      <c r="BC637" s="51" t="n">
        <v>0</v>
      </c>
      <c r="BD637" s="51" t="n">
        <v>0</v>
      </c>
      <c r="BE637" s="51" t="n">
        <v>0</v>
      </c>
      <c r="BF637" s="51" t="n">
        <v>0</v>
      </c>
    </row>
    <row r="638">
      <c r="A638">
        <f>HYPERLINK("https://www.walmart.com/ip/484996593", "484996593")</f>
        <v/>
      </c>
      <c r="B638" t="inlineStr">
        <is>
          <t>Mermaid Tail Blanket Super Soft Fleece Sleeping Bag Mermaid Blanket Tail with Pillow/Cusion Gift for Kids Girls 3-12</t>
        </is>
      </c>
      <c r="C638" t="inlineStr">
        <is>
          <t>1TRMP100LB-TBCB</t>
        </is>
      </c>
      <c r="D638" t="inlineStr">
        <is>
          <t>Throws</t>
        </is>
      </c>
      <c r="E638" t="inlineStr">
        <is>
          <t>Tirrinia</t>
        </is>
      </c>
      <c r="G638" s="48" t="n">
        <v>0</v>
      </c>
      <c r="H638" s="48" t="n">
        <v>0</v>
      </c>
      <c r="I638" s="48" t="n">
        <v>0</v>
      </c>
      <c r="J638" s="48" t="n">
        <v>0</v>
      </c>
      <c r="K638" s="49" t="n">
        <v>0</v>
      </c>
      <c r="L638" s="49" t="n">
        <v>0</v>
      </c>
      <c r="M638" s="49" t="n">
        <v>0</v>
      </c>
      <c r="N638" s="49" t="n">
        <v>0</v>
      </c>
      <c r="O638" s="49" t="n">
        <v>0</v>
      </c>
      <c r="P638" s="49" t="n">
        <v>0</v>
      </c>
      <c r="Q638" s="49" t="n">
        <v>0</v>
      </c>
      <c r="R638" s="49" t="n">
        <v>0</v>
      </c>
      <c r="S638" s="50" t="n">
        <v>0</v>
      </c>
      <c r="T638" s="50" t="n">
        <v>0</v>
      </c>
      <c r="U638" s="50" t="n">
        <v>0</v>
      </c>
      <c r="V638" s="50" t="n">
        <v>0</v>
      </c>
      <c r="W638" s="51" t="n">
        <v>0</v>
      </c>
      <c r="X638" s="51" t="n">
        <v>0</v>
      </c>
      <c r="Y638" s="51" t="n">
        <v>0</v>
      </c>
      <c r="Z638" s="51" t="n">
        <v>0</v>
      </c>
      <c r="AA638" s="52" t="n">
        <v>0</v>
      </c>
      <c r="AB638" s="52" t="n">
        <v>0</v>
      </c>
      <c r="AC638" s="52" t="n">
        <v>0</v>
      </c>
      <c r="AD638" s="52" t="n">
        <v>0</v>
      </c>
      <c r="AE638" s="52" t="n">
        <v>0</v>
      </c>
      <c r="AF638" s="52" t="n">
        <v>0</v>
      </c>
      <c r="AG638" s="52" t="n">
        <v>0</v>
      </c>
      <c r="AH638" s="52" t="n">
        <v>0</v>
      </c>
      <c r="AI638" s="52" t="n">
        <v>0</v>
      </c>
      <c r="AJ638" s="52" t="n">
        <v>0</v>
      </c>
      <c r="AK638" s="52" t="n">
        <v>0</v>
      </c>
      <c r="AL638" s="52" t="n">
        <v>0</v>
      </c>
      <c r="AM638" s="53" t="n">
        <v>0</v>
      </c>
      <c r="AN638" s="53" t="n">
        <v>0</v>
      </c>
      <c r="AO638" s="53" t="n">
        <v>0</v>
      </c>
      <c r="AP638" s="53" t="n">
        <v>0</v>
      </c>
      <c r="AQ638" s="52" t="n">
        <v>0</v>
      </c>
      <c r="AR638" s="52" t="n">
        <v>0</v>
      </c>
      <c r="AS638" s="52" t="n">
        <v>0</v>
      </c>
      <c r="AT638" s="52" t="n">
        <v>0</v>
      </c>
      <c r="AU638" s="53" t="n">
        <v>0</v>
      </c>
      <c r="AV638" s="53" t="n">
        <v>0</v>
      </c>
      <c r="AW638" s="53" t="n">
        <v>0</v>
      </c>
      <c r="AX638" s="53" t="n">
        <v>0</v>
      </c>
      <c r="AY638" s="52" t="n">
        <v>0</v>
      </c>
      <c r="AZ638" s="52" t="n">
        <v>0</v>
      </c>
      <c r="BA638" s="52" t="n">
        <v>0</v>
      </c>
      <c r="BB638" s="52" t="n">
        <v>0</v>
      </c>
      <c r="BC638" s="51" t="n">
        <v>0</v>
      </c>
      <c r="BD638" s="51" t="n">
        <v>0</v>
      </c>
      <c r="BE638" s="51" t="n">
        <v>0</v>
      </c>
      <c r="BF638" s="51" t="n">
        <v>0</v>
      </c>
    </row>
    <row r="639">
      <c r="A639">
        <f>HYPERLINK("https://www.walmart.com/ip/485205296", "485205296")</f>
        <v/>
      </c>
      <c r="B639" t="inlineStr">
        <is>
          <t>KC Caps®Women's Men's Beanie Unisex Warm Winter Knit Hat Fashion cap Beanie Hats</t>
        </is>
      </c>
      <c r="C639" t="inlineStr">
        <is>
          <t>KC-W1740-OR</t>
        </is>
      </c>
      <c r="D639" t="inlineStr">
        <is>
          <t>Hats</t>
        </is>
      </c>
      <c r="E639" t="inlineStr">
        <is>
          <t>KC Caps</t>
        </is>
      </c>
      <c r="F639" t="inlineStr">
        <is>
          <t>Optimized</t>
        </is>
      </c>
      <c r="G639" s="48" t="n">
        <v>0</v>
      </c>
      <c r="H639" s="48" t="n">
        <v>0</v>
      </c>
      <c r="I639" s="48" t="n">
        <v>0</v>
      </c>
      <c r="J639" s="48" t="n">
        <v>0</v>
      </c>
      <c r="K639" s="49" t="n">
        <v>0</v>
      </c>
      <c r="L639" s="49" t="n">
        <v>0</v>
      </c>
      <c r="M639" s="49" t="n">
        <v>0</v>
      </c>
      <c r="N639" s="49" t="n">
        <v>0</v>
      </c>
      <c r="O639" s="49" t="n">
        <v>0</v>
      </c>
      <c r="P639" s="49" t="n">
        <v>0</v>
      </c>
      <c r="Q639" s="49" t="n">
        <v>0</v>
      </c>
      <c r="R639" s="49" t="n">
        <v>0</v>
      </c>
      <c r="S639" s="50" t="n">
        <v>0</v>
      </c>
      <c r="T639" s="50" t="n">
        <v>0</v>
      </c>
      <c r="U639" s="50" t="n">
        <v>0</v>
      </c>
      <c r="V639" s="50" t="n">
        <v>0</v>
      </c>
      <c r="W639" s="51" t="n">
        <v>0</v>
      </c>
      <c r="X639" s="51" t="n">
        <v>0</v>
      </c>
      <c r="Y639" s="51" t="n">
        <v>0</v>
      </c>
      <c r="Z639" s="51" t="n">
        <v>0</v>
      </c>
      <c r="AA639" s="52" t="n">
        <v>0</v>
      </c>
      <c r="AB639" s="52" t="n">
        <v>0</v>
      </c>
      <c r="AC639" s="52" t="n">
        <v>0</v>
      </c>
      <c r="AD639" s="52" t="n">
        <v>0</v>
      </c>
      <c r="AE639" s="52" t="n">
        <v>0</v>
      </c>
      <c r="AF639" s="52" t="n">
        <v>0</v>
      </c>
      <c r="AG639" s="52" t="n">
        <v>0</v>
      </c>
      <c r="AH639" s="52" t="n">
        <v>0</v>
      </c>
      <c r="AI639" s="52" t="n">
        <v>0</v>
      </c>
      <c r="AJ639" s="52" t="n">
        <v>0</v>
      </c>
      <c r="AK639" s="52" t="n">
        <v>0</v>
      </c>
      <c r="AL639" s="52" t="n">
        <v>0</v>
      </c>
      <c r="AM639" s="53" t="n">
        <v>0</v>
      </c>
      <c r="AN639" s="53" t="n">
        <v>0</v>
      </c>
      <c r="AO639" s="53" t="n">
        <v>0</v>
      </c>
      <c r="AP639" s="53" t="n">
        <v>0</v>
      </c>
      <c r="AQ639" s="52" t="n">
        <v>0</v>
      </c>
      <c r="AR639" s="52" t="n">
        <v>0</v>
      </c>
      <c r="AS639" s="52" t="n">
        <v>0</v>
      </c>
      <c r="AT639" s="52" t="n">
        <v>0</v>
      </c>
      <c r="AU639" s="53" t="n">
        <v>0</v>
      </c>
      <c r="AV639" s="53" t="n">
        <v>0</v>
      </c>
      <c r="AW639" s="53" t="n">
        <v>0</v>
      </c>
      <c r="AX639" s="53" t="n">
        <v>0</v>
      </c>
      <c r="AY639" s="52" t="n">
        <v>0</v>
      </c>
      <c r="AZ639" s="52" t="n">
        <v>0</v>
      </c>
      <c r="BA639" s="52" t="n">
        <v>0</v>
      </c>
      <c r="BB639" s="52" t="n">
        <v>0</v>
      </c>
      <c r="BC639" s="51" t="n">
        <v>0</v>
      </c>
      <c r="BD639" s="51" t="n">
        <v>0</v>
      </c>
      <c r="BE639" s="51" t="n">
        <v>0</v>
      </c>
      <c r="BF639" s="51" t="n">
        <v>0</v>
      </c>
    </row>
    <row r="640">
      <c r="A640">
        <f>HYPERLINK("https://www.walmart.com/ip/485727982", "485727982")</f>
        <v/>
      </c>
      <c r="B640" t="inlineStr">
        <is>
          <t>Mermaid Tail Blanket for Teen Girls with Anti-slip Neck Strap Wave Pattern | Soft Sleeping Bag for All Season</t>
        </is>
      </c>
      <c r="C640" t="inlineStr">
        <is>
          <t>1CTMM100GN-TPB</t>
        </is>
      </c>
      <c r="D640" t="inlineStr">
        <is>
          <t>Bed Blankets</t>
        </is>
      </c>
      <c r="E640" t="inlineStr">
        <is>
          <t>Catalonia</t>
        </is>
      </c>
      <c r="F640" t="inlineStr">
        <is>
          <t>Batch 1 - TR</t>
        </is>
      </c>
      <c r="G640" s="48" t="n">
        <v>0</v>
      </c>
      <c r="H640" s="48" t="n">
        <v>0</v>
      </c>
      <c r="I640" s="48" t="n">
        <v>0</v>
      </c>
      <c r="J640" s="48" t="n">
        <v>0</v>
      </c>
      <c r="K640" s="49" t="n">
        <v>0</v>
      </c>
      <c r="L640" s="49" t="n">
        <v>0</v>
      </c>
      <c r="M640" s="49" t="n">
        <v>0</v>
      </c>
      <c r="N640" s="49" t="n">
        <v>0</v>
      </c>
      <c r="O640" s="49" t="n">
        <v>0</v>
      </c>
      <c r="P640" s="49" t="n">
        <v>0</v>
      </c>
      <c r="Q640" s="49" t="n">
        <v>0</v>
      </c>
      <c r="R640" s="49" t="n">
        <v>0</v>
      </c>
      <c r="S640" s="50" t="n">
        <v>0</v>
      </c>
      <c r="T640" s="50" t="n">
        <v>0</v>
      </c>
      <c r="U640" s="50" t="n">
        <v>0</v>
      </c>
      <c r="V640" s="50" t="n">
        <v>0</v>
      </c>
      <c r="W640" s="51" t="n">
        <v>0</v>
      </c>
      <c r="X640" s="51" t="n">
        <v>0</v>
      </c>
      <c r="Y640" s="51" t="n">
        <v>0</v>
      </c>
      <c r="Z640" s="51" t="n">
        <v>0</v>
      </c>
      <c r="AA640" s="52" t="n">
        <v>0</v>
      </c>
      <c r="AB640" s="52" t="n">
        <v>0</v>
      </c>
      <c r="AC640" s="52" t="n">
        <v>0</v>
      </c>
      <c r="AD640" s="52" t="n">
        <v>0</v>
      </c>
      <c r="AE640" s="52" t="n">
        <v>0</v>
      </c>
      <c r="AF640" s="52" t="n">
        <v>0</v>
      </c>
      <c r="AG640" s="52" t="n">
        <v>0</v>
      </c>
      <c r="AH640" s="52" t="n">
        <v>0</v>
      </c>
      <c r="AI640" s="52" t="n">
        <v>0</v>
      </c>
      <c r="AJ640" s="52" t="n">
        <v>0</v>
      </c>
      <c r="AK640" s="52" t="n">
        <v>0</v>
      </c>
      <c r="AL640" s="52" t="n">
        <v>0</v>
      </c>
      <c r="AM640" s="53" t="n">
        <v>0</v>
      </c>
      <c r="AN640" s="53" t="n">
        <v>0</v>
      </c>
      <c r="AO640" s="53" t="n">
        <v>0</v>
      </c>
      <c r="AP640" s="53" t="n">
        <v>0</v>
      </c>
      <c r="AQ640" s="52" t="n">
        <v>0</v>
      </c>
      <c r="AR640" s="52" t="n">
        <v>0</v>
      </c>
      <c r="AS640" s="52" t="n">
        <v>0</v>
      </c>
      <c r="AT640" s="52" t="n">
        <v>0</v>
      </c>
      <c r="AU640" s="53" t="n">
        <v>0</v>
      </c>
      <c r="AV640" s="53" t="n">
        <v>0</v>
      </c>
      <c r="AW640" s="53" t="n">
        <v>0</v>
      </c>
      <c r="AX640" s="53" t="n">
        <v>0</v>
      </c>
      <c r="AY640" s="52" t="n">
        <v>0</v>
      </c>
      <c r="AZ640" s="52" t="n">
        <v>0</v>
      </c>
      <c r="BA640" s="52" t="n">
        <v>0</v>
      </c>
      <c r="BB640" s="52" t="n">
        <v>0</v>
      </c>
      <c r="BC640" s="51" t="n">
        <v>0</v>
      </c>
      <c r="BD640" s="51" t="n">
        <v>0</v>
      </c>
      <c r="BE640" s="51" t="n">
        <v>0</v>
      </c>
      <c r="BF640" s="51" t="n">
        <v>0</v>
      </c>
    </row>
    <row r="641">
      <c r="A641">
        <f>HYPERLINK("https://www.walmart.com/ip/485820215", "485820215")</f>
        <v/>
      </c>
      <c r="B641" t="inlineStr">
        <is>
          <t>Catalonia Fleece Throw Blanket for Couch, Super Soft Fuzzy Plush Blanket for Adults and Kids, All Seasons Home Decor Blanket, Machine Washable, 50"x60", Grey</t>
        </is>
      </c>
      <c r="C641" t="inlineStr">
        <is>
          <t>1CTBF575GY</t>
        </is>
      </c>
      <c r="D641" t="inlineStr">
        <is>
          <t>Throws</t>
        </is>
      </c>
      <c r="E641" t="inlineStr">
        <is>
          <t>Catalonia</t>
        </is>
      </c>
      <c r="F641" t="inlineStr">
        <is>
          <t>Q2-Target,WFS,Coupon_Discount,SeePriceInCart,WFS Item</t>
        </is>
      </c>
      <c r="G641" s="48" t="n">
        <v>0</v>
      </c>
      <c r="H641" s="48" t="n">
        <v>0</v>
      </c>
      <c r="I641" s="48" t="n">
        <v>0</v>
      </c>
      <c r="J641" s="48" t="n">
        <v>0</v>
      </c>
      <c r="K641" s="49" t="n">
        <v>0</v>
      </c>
      <c r="L641" s="49" t="n">
        <v>0</v>
      </c>
      <c r="M641" s="49" t="n">
        <v>0</v>
      </c>
      <c r="N641" s="49" t="n">
        <v>0</v>
      </c>
      <c r="O641" s="49" t="n">
        <v>0</v>
      </c>
      <c r="P641" s="49" t="n">
        <v>0</v>
      </c>
      <c r="Q641" s="49" t="n">
        <v>0</v>
      </c>
      <c r="R641" s="49" t="n">
        <v>0</v>
      </c>
      <c r="S641" s="50" t="n">
        <v>0</v>
      </c>
      <c r="T641" s="50" t="n">
        <v>0</v>
      </c>
      <c r="U641" s="50" t="n">
        <v>0</v>
      </c>
      <c r="V641" s="50" t="n">
        <v>0</v>
      </c>
      <c r="W641" s="51" t="n">
        <v>0</v>
      </c>
      <c r="X641" s="51" t="n">
        <v>0</v>
      </c>
      <c r="Y641" s="51" t="n">
        <v>0</v>
      </c>
      <c r="Z641" s="51" t="n">
        <v>0</v>
      </c>
      <c r="AA641" s="52" t="n">
        <v>0</v>
      </c>
      <c r="AB641" s="52" t="n">
        <v>0</v>
      </c>
      <c r="AC641" s="52" t="n">
        <v>0</v>
      </c>
      <c r="AD641" s="52" t="n">
        <v>0</v>
      </c>
      <c r="AE641" s="52" t="n">
        <v>0</v>
      </c>
      <c r="AF641" s="52" t="n">
        <v>0</v>
      </c>
      <c r="AG641" s="52" t="n">
        <v>0</v>
      </c>
      <c r="AH641" s="52" t="n">
        <v>0</v>
      </c>
      <c r="AI641" s="52" t="n">
        <v>0</v>
      </c>
      <c r="AJ641" s="52" t="n">
        <v>0</v>
      </c>
      <c r="AK641" s="52" t="n">
        <v>0</v>
      </c>
      <c r="AL641" s="52" t="n">
        <v>0</v>
      </c>
      <c r="AM641" s="53" t="n">
        <v>0</v>
      </c>
      <c r="AN641" s="53" t="n">
        <v>0</v>
      </c>
      <c r="AO641" s="53" t="n">
        <v>0</v>
      </c>
      <c r="AP641" s="53" t="n">
        <v>0</v>
      </c>
      <c r="AQ641" s="52" t="n">
        <v>0</v>
      </c>
      <c r="AR641" s="52" t="n">
        <v>0</v>
      </c>
      <c r="AS641" s="52" t="n">
        <v>0</v>
      </c>
      <c r="AT641" s="52" t="n">
        <v>0</v>
      </c>
      <c r="AU641" s="53" t="n">
        <v>0</v>
      </c>
      <c r="AV641" s="53" t="n">
        <v>0</v>
      </c>
      <c r="AW641" s="53" t="n">
        <v>0</v>
      </c>
      <c r="AX641" s="53" t="n">
        <v>0</v>
      </c>
      <c r="AY641" s="52" t="n">
        <v>0</v>
      </c>
      <c r="AZ641" s="52" t="n">
        <v>0</v>
      </c>
      <c r="BA641" s="52" t="n">
        <v>0</v>
      </c>
      <c r="BB641" s="52" t="n">
        <v>0</v>
      </c>
      <c r="BC641" s="51" t="n">
        <v>0</v>
      </c>
      <c r="BD641" s="51" t="n">
        <v>0</v>
      </c>
      <c r="BE641" s="51" t="n">
        <v>0</v>
      </c>
      <c r="BF641" s="51" t="n">
        <v>0</v>
      </c>
    </row>
    <row r="642">
      <c r="A642">
        <f>HYPERLINK("https://www.walmart.com/ip/486342462", "486342462")</f>
        <v/>
      </c>
      <c r="B642" t="inlineStr">
        <is>
          <t>Catalonia Waterproof Blanket Pee Proof Couch Sofa Bed Protector Cover for Baby, Super Cozy Plush Fleece Warm Throws for Boating Camping</t>
        </is>
      </c>
      <c r="C642" t="inlineStr">
        <is>
          <t>1CTBW681WNTP</t>
        </is>
      </c>
      <c r="D642" t="inlineStr">
        <is>
          <t>Throws</t>
        </is>
      </c>
      <c r="E642" t="inlineStr">
        <is>
          <t>Catalonia</t>
        </is>
      </c>
      <c r="F642" t="inlineStr">
        <is>
          <t>Optimized,Wproof Blanket</t>
        </is>
      </c>
      <c r="G642" s="48" t="n">
        <v>0</v>
      </c>
      <c r="H642" s="48" t="n">
        <v>0</v>
      </c>
      <c r="I642" s="48" t="n">
        <v>0</v>
      </c>
      <c r="J642" s="48" t="n">
        <v>0</v>
      </c>
      <c r="K642" s="49" t="n">
        <v>0</v>
      </c>
      <c r="L642" s="49" t="n">
        <v>0</v>
      </c>
      <c r="M642" s="49" t="n">
        <v>0</v>
      </c>
      <c r="N642" s="49" t="n">
        <v>0</v>
      </c>
      <c r="O642" s="49" t="n">
        <v>0</v>
      </c>
      <c r="P642" s="49" t="n">
        <v>0</v>
      </c>
      <c r="Q642" s="49" t="n">
        <v>0</v>
      </c>
      <c r="R642" s="49" t="n">
        <v>0</v>
      </c>
      <c r="S642" s="50" t="n">
        <v>0</v>
      </c>
      <c r="T642" s="50" t="n">
        <v>0</v>
      </c>
      <c r="U642" s="50" t="n">
        <v>0</v>
      </c>
      <c r="V642" s="50" t="n">
        <v>0</v>
      </c>
      <c r="W642" s="51" t="n">
        <v>0</v>
      </c>
      <c r="X642" s="51" t="n">
        <v>0</v>
      </c>
      <c r="Y642" s="51" t="n">
        <v>0</v>
      </c>
      <c r="Z642" s="51" t="n">
        <v>0</v>
      </c>
      <c r="AA642" s="52" t="n">
        <v>0</v>
      </c>
      <c r="AB642" s="52" t="n">
        <v>0</v>
      </c>
      <c r="AC642" s="52" t="n">
        <v>0</v>
      </c>
      <c r="AD642" s="52" t="n">
        <v>0</v>
      </c>
      <c r="AE642" s="52" t="n">
        <v>0</v>
      </c>
      <c r="AF642" s="52" t="n">
        <v>0</v>
      </c>
      <c r="AG642" s="52" t="n">
        <v>0</v>
      </c>
      <c r="AH642" s="52" t="n">
        <v>0</v>
      </c>
      <c r="AI642" s="52" t="n">
        <v>0</v>
      </c>
      <c r="AJ642" s="52" t="n">
        <v>0</v>
      </c>
      <c r="AK642" s="52" t="n">
        <v>0</v>
      </c>
      <c r="AL642" s="52" t="n">
        <v>0</v>
      </c>
      <c r="AM642" s="53" t="n">
        <v>0</v>
      </c>
      <c r="AN642" s="53" t="n">
        <v>0</v>
      </c>
      <c r="AO642" s="53" t="n">
        <v>0</v>
      </c>
      <c r="AP642" s="53" t="n">
        <v>0</v>
      </c>
      <c r="AQ642" s="52" t="n">
        <v>0</v>
      </c>
      <c r="AR642" s="52" t="n">
        <v>0</v>
      </c>
      <c r="AS642" s="52" t="n">
        <v>0</v>
      </c>
      <c r="AT642" s="52" t="n">
        <v>0</v>
      </c>
      <c r="AU642" s="53" t="n">
        <v>0</v>
      </c>
      <c r="AV642" s="53" t="n">
        <v>0</v>
      </c>
      <c r="AW642" s="53" t="n">
        <v>0</v>
      </c>
      <c r="AX642" s="53" t="n">
        <v>0</v>
      </c>
      <c r="AY642" s="52" t="n">
        <v>0</v>
      </c>
      <c r="AZ642" s="52" t="n">
        <v>0</v>
      </c>
      <c r="BA642" s="52" t="n">
        <v>0</v>
      </c>
      <c r="BB642" s="52" t="n">
        <v>0</v>
      </c>
      <c r="BC642" s="51" t="n">
        <v>0</v>
      </c>
      <c r="BD642" s="51" t="n">
        <v>0</v>
      </c>
      <c r="BE642" s="51" t="n">
        <v>0</v>
      </c>
      <c r="BF642" s="51" t="n">
        <v>0</v>
      </c>
    </row>
    <row r="643">
      <c r="A643">
        <f>HYPERLINK("https://www.walmart.com/ip/479114181", "479114181")</f>
        <v/>
      </c>
      <c r="B643" t="inlineStr">
        <is>
          <t>Catalonia Melange Sherpa Throw Blanket Velvet Plush Fleece 50” x 60”, Super Soft Fuzzy Comfy TV Sofa Couch Bed for Adults Child, Wine</t>
        </is>
      </c>
      <c r="C643" t="inlineStr">
        <is>
          <t>1CTBF321WN</t>
        </is>
      </c>
      <c r="D643" t="inlineStr">
        <is>
          <t>Throws</t>
        </is>
      </c>
      <c r="E643" t="inlineStr">
        <is>
          <t>Catalonia</t>
        </is>
      </c>
      <c r="F643" t="inlineStr">
        <is>
          <t>Q2-Target,Optimized,WFS,Coupon_Discount,WFS Item</t>
        </is>
      </c>
      <c r="G643" s="48" t="n">
        <v>0</v>
      </c>
      <c r="H643" s="48" t="n">
        <v>0</v>
      </c>
      <c r="I643" s="48" t="n">
        <v>0</v>
      </c>
      <c r="J643" s="48" t="n">
        <v>0</v>
      </c>
      <c r="K643" s="49" t="n">
        <v>0</v>
      </c>
      <c r="L643" s="49" t="n">
        <v>0</v>
      </c>
      <c r="M643" s="49" t="n">
        <v>0</v>
      </c>
      <c r="N643" s="49" t="n">
        <v>0</v>
      </c>
      <c r="O643" s="49" t="n">
        <v>0</v>
      </c>
      <c r="P643" s="49" t="n">
        <v>0</v>
      </c>
      <c r="Q643" s="49" t="n">
        <v>0</v>
      </c>
      <c r="R643" s="49" t="n">
        <v>0</v>
      </c>
      <c r="S643" s="50" t="n">
        <v>0</v>
      </c>
      <c r="T643" s="50" t="n">
        <v>0</v>
      </c>
      <c r="U643" s="50" t="n">
        <v>0</v>
      </c>
      <c r="V643" s="50" t="n">
        <v>0</v>
      </c>
      <c r="W643" s="51" t="n">
        <v>0</v>
      </c>
      <c r="X643" s="51" t="n">
        <v>0</v>
      </c>
      <c r="Y643" s="51" t="n">
        <v>0</v>
      </c>
      <c r="Z643" s="51" t="n">
        <v>0</v>
      </c>
      <c r="AA643" s="52" t="n">
        <v>0</v>
      </c>
      <c r="AB643" s="52" t="n">
        <v>0</v>
      </c>
      <c r="AC643" s="52" t="n">
        <v>0</v>
      </c>
      <c r="AD643" s="52" t="n">
        <v>0</v>
      </c>
      <c r="AE643" s="52" t="n">
        <v>0</v>
      </c>
      <c r="AF643" s="52" t="n">
        <v>0</v>
      </c>
      <c r="AG643" s="52" t="n">
        <v>0</v>
      </c>
      <c r="AH643" s="52" t="n">
        <v>0</v>
      </c>
      <c r="AI643" s="52" t="n">
        <v>0</v>
      </c>
      <c r="AJ643" s="52" t="n">
        <v>0</v>
      </c>
      <c r="AK643" s="52" t="n">
        <v>0</v>
      </c>
      <c r="AL643" s="52" t="n">
        <v>0</v>
      </c>
      <c r="AM643" s="53" t="n">
        <v>0</v>
      </c>
      <c r="AN643" s="53" t="n">
        <v>0</v>
      </c>
      <c r="AO643" s="53" t="n">
        <v>0</v>
      </c>
      <c r="AP643" s="53" t="n">
        <v>0</v>
      </c>
      <c r="AQ643" s="52" t="n">
        <v>0</v>
      </c>
      <c r="AR643" s="52" t="n">
        <v>0</v>
      </c>
      <c r="AS643" s="52" t="n">
        <v>0</v>
      </c>
      <c r="AT643" s="52" t="n">
        <v>0</v>
      </c>
      <c r="AU643" s="53" t="n">
        <v>0</v>
      </c>
      <c r="AV643" s="53" t="n">
        <v>0</v>
      </c>
      <c r="AW643" s="53" t="n">
        <v>0</v>
      </c>
      <c r="AX643" s="53" t="n">
        <v>0</v>
      </c>
      <c r="AY643" s="52" t="n">
        <v>0</v>
      </c>
      <c r="AZ643" s="52" t="n">
        <v>0</v>
      </c>
      <c r="BA643" s="52" t="n">
        <v>0</v>
      </c>
      <c r="BB643" s="52" t="n">
        <v>0</v>
      </c>
      <c r="BC643" s="51" t="n">
        <v>0</v>
      </c>
      <c r="BD643" s="51" t="n">
        <v>0</v>
      </c>
      <c r="BE643" s="51" t="n">
        <v>0</v>
      </c>
      <c r="BF643" s="51" t="n">
        <v>0</v>
      </c>
    </row>
    <row r="644">
      <c r="A644">
        <f>HYPERLINK("https://www.walmart.com/ip/477714092", "477714092")</f>
        <v/>
      </c>
      <c r="B644" t="inlineStr">
        <is>
          <t>Tirrina Unisex Outdoor Sun Protection Fishing Cap with Neck Flap Wide Brim Mesh Hat for Travel Camping Hiking Hunting</t>
        </is>
      </c>
      <c r="C644" t="inlineStr">
        <is>
          <t>1TRSH910GY-TBCB</t>
        </is>
      </c>
      <c r="D644" t="inlineStr">
        <is>
          <t>Hats</t>
        </is>
      </c>
      <c r="E644" t="inlineStr">
        <is>
          <t>Tirrinia</t>
        </is>
      </c>
      <c r="F644" t="inlineStr">
        <is>
          <t>Hats,Batch 1 - TR</t>
        </is>
      </c>
      <c r="G644" s="48" t="n">
        <v>0</v>
      </c>
      <c r="H644" s="48" t="n">
        <v>0</v>
      </c>
      <c r="I644" s="48" t="n">
        <v>0</v>
      </c>
      <c r="J644" s="48" t="n">
        <v>0</v>
      </c>
      <c r="K644" s="49" t="n">
        <v>0</v>
      </c>
      <c r="L644" s="49" t="n">
        <v>0</v>
      </c>
      <c r="M644" s="49" t="n">
        <v>0</v>
      </c>
      <c r="N644" s="49" t="n">
        <v>0</v>
      </c>
      <c r="O644" s="49" t="n">
        <v>0</v>
      </c>
      <c r="P644" s="49" t="n">
        <v>0</v>
      </c>
      <c r="Q644" s="49" t="n">
        <v>0</v>
      </c>
      <c r="R644" s="49" t="n">
        <v>0</v>
      </c>
      <c r="S644" s="50" t="n">
        <v>0</v>
      </c>
      <c r="T644" s="50" t="n">
        <v>0</v>
      </c>
      <c r="U644" s="50" t="n">
        <v>0</v>
      </c>
      <c r="V644" s="50" t="n">
        <v>0</v>
      </c>
      <c r="W644" s="51" t="n">
        <v>1</v>
      </c>
      <c r="X644" s="51" t="n">
        <v>1</v>
      </c>
      <c r="Y644" s="51" t="n">
        <v>1</v>
      </c>
      <c r="Z644" s="51" t="n">
        <v>7</v>
      </c>
      <c r="AA644" s="52" t="n">
        <v>0.31</v>
      </c>
      <c r="AB644" s="52" t="n">
        <v>0.31</v>
      </c>
      <c r="AC644" s="52" t="n">
        <v>0.31</v>
      </c>
      <c r="AD644" s="52" t="n">
        <v>2.23</v>
      </c>
      <c r="AE644" s="52" t="n">
        <v>0</v>
      </c>
      <c r="AF644" s="52" t="n">
        <v>0</v>
      </c>
      <c r="AG644" s="52" t="n">
        <v>0</v>
      </c>
      <c r="AH644" s="52" t="n">
        <v>15.99</v>
      </c>
      <c r="AI644" s="52" t="n">
        <v>0</v>
      </c>
      <c r="AJ644" s="52" t="n">
        <v>0</v>
      </c>
      <c r="AK644" s="52" t="n">
        <v>0</v>
      </c>
      <c r="AL644" s="52" t="n">
        <v>7.17</v>
      </c>
      <c r="AM644" s="53" t="n">
        <v>0.0001</v>
      </c>
      <c r="AN644" s="53" t="n">
        <v>0.0001</v>
      </c>
      <c r="AO644" s="53" t="n">
        <v>0.0001</v>
      </c>
      <c r="AP644" s="53" t="n">
        <v>0.001</v>
      </c>
      <c r="AQ644" s="52" t="n">
        <v>0.31</v>
      </c>
      <c r="AR644" s="52" t="n">
        <v>0.31</v>
      </c>
      <c r="AS644" s="52" t="n">
        <v>0.31</v>
      </c>
      <c r="AT644" s="52" t="n">
        <v>0.3185714285714286</v>
      </c>
      <c r="AU644" s="53" t="n">
        <v>0</v>
      </c>
      <c r="AV644" s="53" t="n">
        <v>0</v>
      </c>
      <c r="AW644" s="53" t="n">
        <v>0</v>
      </c>
      <c r="AX644" s="53" t="n">
        <v>0</v>
      </c>
      <c r="AY644" s="52" t="n">
        <v>0</v>
      </c>
      <c r="AZ644" s="52" t="n">
        <v>0</v>
      </c>
      <c r="BA644" s="52" t="n">
        <v>0</v>
      </c>
      <c r="BB644" s="52" t="n">
        <v>0</v>
      </c>
      <c r="BC644" s="51" t="n">
        <v>6842</v>
      </c>
      <c r="BD644" s="51" t="n">
        <v>6705</v>
      </c>
      <c r="BE644" s="51" t="n">
        <v>10538</v>
      </c>
      <c r="BF644" s="51" t="n">
        <v>6761</v>
      </c>
    </row>
    <row r="645">
      <c r="A645">
        <f>HYPERLINK("https://www.walmart.com/ip/477258145", "477258145")</f>
        <v/>
      </c>
      <c r="B645" t="inlineStr">
        <is>
          <t>Flyingstar Mermaid Tail Blanket, Soft Flannel Fleece All Seasons Sleeping Blanket for Kids Adults, Rainbow Ombre Fish Scale Design Snuggle Blanket, Best Gifts</t>
        </is>
      </c>
      <c r="C645" t="inlineStr">
        <is>
          <t>00791315385431</t>
        </is>
      </c>
      <c r="D645" t="inlineStr">
        <is>
          <t>Throws</t>
        </is>
      </c>
      <c r="E645" t="inlineStr">
        <is>
          <t>Flyingstar</t>
        </is>
      </c>
      <c r="F645" t="inlineStr">
        <is>
          <t>Q2-Target,Baby days,Optimized,Hero 5 Holidays</t>
        </is>
      </c>
      <c r="G645" s="48" t="n">
        <v>0</v>
      </c>
      <c r="H645" s="48" t="n">
        <v>0</v>
      </c>
      <c r="I645" s="48" t="n">
        <v>0</v>
      </c>
      <c r="J645" s="48" t="n">
        <v>0</v>
      </c>
      <c r="K645" s="49" t="n">
        <v>0</v>
      </c>
      <c r="L645" s="49" t="n">
        <v>0</v>
      </c>
      <c r="M645" s="49" t="n">
        <v>0</v>
      </c>
      <c r="N645" s="49" t="n">
        <v>0</v>
      </c>
      <c r="O645" s="49" t="n">
        <v>0</v>
      </c>
      <c r="P645" s="49" t="n">
        <v>0</v>
      </c>
      <c r="Q645" s="49" t="n">
        <v>0</v>
      </c>
      <c r="R645" s="49" t="n">
        <v>0</v>
      </c>
      <c r="S645" s="50" t="n">
        <v>0</v>
      </c>
      <c r="T645" s="50" t="n">
        <v>0</v>
      </c>
      <c r="U645" s="50" t="n">
        <v>0</v>
      </c>
      <c r="V645" s="50" t="n">
        <v>0</v>
      </c>
      <c r="W645" s="51" t="n">
        <v>0</v>
      </c>
      <c r="X645" s="51" t="n">
        <v>0</v>
      </c>
      <c r="Y645" s="51" t="n">
        <v>0</v>
      </c>
      <c r="Z645" s="51" t="n">
        <v>0</v>
      </c>
      <c r="AA645" s="52" t="n">
        <v>0</v>
      </c>
      <c r="AB645" s="52" t="n">
        <v>0</v>
      </c>
      <c r="AC645" s="52" t="n">
        <v>0</v>
      </c>
      <c r="AD645" s="52" t="n">
        <v>0</v>
      </c>
      <c r="AE645" s="52" t="n">
        <v>0</v>
      </c>
      <c r="AF645" s="52" t="n">
        <v>0</v>
      </c>
      <c r="AG645" s="52" t="n">
        <v>0</v>
      </c>
      <c r="AH645" s="52" t="n">
        <v>0</v>
      </c>
      <c r="AI645" s="52" t="n">
        <v>0</v>
      </c>
      <c r="AJ645" s="52" t="n">
        <v>0</v>
      </c>
      <c r="AK645" s="52" t="n">
        <v>0</v>
      </c>
      <c r="AL645" s="52" t="n">
        <v>0</v>
      </c>
      <c r="AM645" s="53" t="n">
        <v>0</v>
      </c>
      <c r="AN645" s="53" t="n">
        <v>0</v>
      </c>
      <c r="AO645" s="53" t="n">
        <v>0</v>
      </c>
      <c r="AP645" s="53" t="n">
        <v>0</v>
      </c>
      <c r="AQ645" s="52" t="n">
        <v>0</v>
      </c>
      <c r="AR645" s="52" t="n">
        <v>0</v>
      </c>
      <c r="AS645" s="52" t="n">
        <v>0</v>
      </c>
      <c r="AT645" s="52" t="n">
        <v>0</v>
      </c>
      <c r="AU645" s="53" t="n">
        <v>0</v>
      </c>
      <c r="AV645" s="53" t="n">
        <v>0</v>
      </c>
      <c r="AW645" s="53" t="n">
        <v>0</v>
      </c>
      <c r="AX645" s="53" t="n">
        <v>0</v>
      </c>
      <c r="AY645" s="52" t="n">
        <v>0</v>
      </c>
      <c r="AZ645" s="52" t="n">
        <v>0</v>
      </c>
      <c r="BA645" s="52" t="n">
        <v>0</v>
      </c>
      <c r="BB645" s="52" t="n">
        <v>0</v>
      </c>
      <c r="BC645" s="51" t="n">
        <v>0</v>
      </c>
      <c r="BD645" s="51" t="n">
        <v>0</v>
      </c>
      <c r="BE645" s="51" t="n">
        <v>0</v>
      </c>
      <c r="BF645" s="51" t="n">
        <v>0</v>
      </c>
    </row>
    <row r="646">
      <c r="A646">
        <f>HYPERLINK("https://www.walmart.com/ip/470914772", "470914772")</f>
        <v/>
      </c>
      <c r="B646" t="inlineStr">
        <is>
          <t>Flyingstar Mermaid Tail Blanket, Soft Flannel Fleece All Seasons Sleeping Blanket for Kids Adults, Rainbow Ombre Fish Scale Design Snuggle Blanket, Best Gifts</t>
        </is>
      </c>
      <c r="C646" t="inlineStr">
        <is>
          <t>1WMMM501PK</t>
        </is>
      </c>
      <c r="D646" t="inlineStr">
        <is>
          <t>Throws</t>
        </is>
      </c>
      <c r="E646" t="inlineStr">
        <is>
          <t>Catalonia</t>
        </is>
      </c>
      <c r="F646" t="inlineStr">
        <is>
          <t>Q2-Target,Baby days,Optimized,Hero 5 Holidays</t>
        </is>
      </c>
      <c r="G646" s="48" t="n">
        <v>0</v>
      </c>
      <c r="H646" s="48" t="n">
        <v>0</v>
      </c>
      <c r="I646" s="48" t="n">
        <v>0</v>
      </c>
      <c r="J646" s="48" t="n">
        <v>0</v>
      </c>
      <c r="K646" s="49" t="n">
        <v>0</v>
      </c>
      <c r="L646" s="49" t="n">
        <v>0</v>
      </c>
      <c r="M646" s="49" t="n">
        <v>0</v>
      </c>
      <c r="N646" s="49" t="n">
        <v>0</v>
      </c>
      <c r="O646" s="49" t="n">
        <v>0</v>
      </c>
      <c r="P646" s="49" t="n">
        <v>0</v>
      </c>
      <c r="Q646" s="49" t="n">
        <v>0</v>
      </c>
      <c r="R646" s="49" t="n">
        <v>0</v>
      </c>
      <c r="S646" s="50" t="n">
        <v>0</v>
      </c>
      <c r="T646" s="50" t="n">
        <v>0</v>
      </c>
      <c r="U646" s="50" t="n">
        <v>0</v>
      </c>
      <c r="V646" s="50" t="n">
        <v>0</v>
      </c>
      <c r="W646" s="51" t="n">
        <v>0</v>
      </c>
      <c r="X646" s="51" t="n">
        <v>0</v>
      </c>
      <c r="Y646" s="51" t="n">
        <v>0</v>
      </c>
      <c r="Z646" s="51" t="n">
        <v>0</v>
      </c>
      <c r="AA646" s="52" t="n">
        <v>0</v>
      </c>
      <c r="AB646" s="52" t="n">
        <v>0</v>
      </c>
      <c r="AC646" s="52" t="n">
        <v>0</v>
      </c>
      <c r="AD646" s="52" t="n">
        <v>0</v>
      </c>
      <c r="AE646" s="52" t="n">
        <v>0</v>
      </c>
      <c r="AF646" s="52" t="n">
        <v>0</v>
      </c>
      <c r="AG646" s="52" t="n">
        <v>0</v>
      </c>
      <c r="AH646" s="52" t="n">
        <v>0</v>
      </c>
      <c r="AI646" s="52" t="n">
        <v>0</v>
      </c>
      <c r="AJ646" s="52" t="n">
        <v>0</v>
      </c>
      <c r="AK646" s="52" t="n">
        <v>0</v>
      </c>
      <c r="AL646" s="52" t="n">
        <v>0</v>
      </c>
      <c r="AM646" s="53" t="n">
        <v>0</v>
      </c>
      <c r="AN646" s="53" t="n">
        <v>0</v>
      </c>
      <c r="AO646" s="53" t="n">
        <v>0</v>
      </c>
      <c r="AP646" s="53" t="n">
        <v>0</v>
      </c>
      <c r="AQ646" s="52" t="n">
        <v>0</v>
      </c>
      <c r="AR646" s="52" t="n">
        <v>0</v>
      </c>
      <c r="AS646" s="52" t="n">
        <v>0</v>
      </c>
      <c r="AT646" s="52" t="n">
        <v>0</v>
      </c>
      <c r="AU646" s="53" t="n">
        <v>0</v>
      </c>
      <c r="AV646" s="53" t="n">
        <v>0</v>
      </c>
      <c r="AW646" s="53" t="n">
        <v>0</v>
      </c>
      <c r="AX646" s="53" t="n">
        <v>0</v>
      </c>
      <c r="AY646" s="52" t="n">
        <v>0</v>
      </c>
      <c r="AZ646" s="52" t="n">
        <v>0</v>
      </c>
      <c r="BA646" s="52" t="n">
        <v>0</v>
      </c>
      <c r="BB646" s="52" t="n">
        <v>0</v>
      </c>
      <c r="BC646" s="51" t="n">
        <v>0</v>
      </c>
      <c r="BD646" s="51" t="n">
        <v>0</v>
      </c>
      <c r="BE646" s="51" t="n">
        <v>0</v>
      </c>
      <c r="BF646" s="51" t="n">
        <v>0</v>
      </c>
    </row>
    <row r="647">
      <c r="A647">
        <f>HYPERLINK("https://www.walmart.com/ip/464874688", "464874688")</f>
        <v/>
      </c>
      <c r="B647" t="inlineStr">
        <is>
          <t>Pawsse Waterproof Pet Fleece Blanket Throw Soft Warm Sherpa for Dog Cat Puppy Animals Indoor Outdoor Lawn Use</t>
        </is>
      </c>
      <c r="C647" t="inlineStr">
        <is>
          <t>1PSBW561WNTP</t>
        </is>
      </c>
      <c r="D647" t="inlineStr">
        <is>
          <t>Pet Blankets</t>
        </is>
      </c>
      <c r="E647" t="inlineStr">
        <is>
          <t>Pawsse</t>
        </is>
      </c>
      <c r="F647" t="inlineStr">
        <is>
          <t>Fleece Blankets,Batch 1 - TR</t>
        </is>
      </c>
      <c r="G647" s="48" t="n">
        <v>0</v>
      </c>
      <c r="H647" s="48" t="n">
        <v>0</v>
      </c>
      <c r="I647" s="48" t="n">
        <v>0</v>
      </c>
      <c r="J647" s="48" t="n">
        <v>0</v>
      </c>
      <c r="K647" s="49" t="n">
        <v>0</v>
      </c>
      <c r="L647" s="49" t="n">
        <v>0</v>
      </c>
      <c r="M647" s="49" t="n">
        <v>0</v>
      </c>
      <c r="N647" s="49" t="n">
        <v>0</v>
      </c>
      <c r="O647" s="49" t="n">
        <v>0</v>
      </c>
      <c r="P647" s="49" t="n">
        <v>0</v>
      </c>
      <c r="Q647" s="49" t="n">
        <v>0</v>
      </c>
      <c r="R647" s="49" t="n">
        <v>0</v>
      </c>
      <c r="S647" s="50" t="n">
        <v>0</v>
      </c>
      <c r="T647" s="50" t="n">
        <v>0</v>
      </c>
      <c r="U647" s="50" t="n">
        <v>0</v>
      </c>
      <c r="V647" s="50" t="n">
        <v>0</v>
      </c>
      <c r="W647" s="51" t="n">
        <v>0</v>
      </c>
      <c r="X647" s="51" t="n">
        <v>0</v>
      </c>
      <c r="Y647" s="51" t="n">
        <v>0</v>
      </c>
      <c r="Z647" s="51" t="n">
        <v>0</v>
      </c>
      <c r="AA647" s="52" t="n">
        <v>0</v>
      </c>
      <c r="AB647" s="52" t="n">
        <v>0</v>
      </c>
      <c r="AC647" s="52" t="n">
        <v>0</v>
      </c>
      <c r="AD647" s="52" t="n">
        <v>0</v>
      </c>
      <c r="AE647" s="52" t="n">
        <v>0</v>
      </c>
      <c r="AF647" s="52" t="n">
        <v>0</v>
      </c>
      <c r="AG647" s="52" t="n">
        <v>0</v>
      </c>
      <c r="AH647" s="52" t="n">
        <v>0</v>
      </c>
      <c r="AI647" s="52" t="n">
        <v>0</v>
      </c>
      <c r="AJ647" s="52" t="n">
        <v>0</v>
      </c>
      <c r="AK647" s="52" t="n">
        <v>0</v>
      </c>
      <c r="AL647" s="52" t="n">
        <v>0</v>
      </c>
      <c r="AM647" s="53" t="n">
        <v>0</v>
      </c>
      <c r="AN647" s="53" t="n">
        <v>0</v>
      </c>
      <c r="AO647" s="53" t="n">
        <v>0</v>
      </c>
      <c r="AP647" s="53" t="n">
        <v>0</v>
      </c>
      <c r="AQ647" s="52" t="n">
        <v>0</v>
      </c>
      <c r="AR647" s="52" t="n">
        <v>0</v>
      </c>
      <c r="AS647" s="52" t="n">
        <v>0</v>
      </c>
      <c r="AT647" s="52" t="n">
        <v>0</v>
      </c>
      <c r="AU647" s="53" t="n">
        <v>0</v>
      </c>
      <c r="AV647" s="53" t="n">
        <v>0</v>
      </c>
      <c r="AW647" s="53" t="n">
        <v>0</v>
      </c>
      <c r="AX647" s="53" t="n">
        <v>0</v>
      </c>
      <c r="AY647" s="52" t="n">
        <v>0</v>
      </c>
      <c r="AZ647" s="52" t="n">
        <v>0</v>
      </c>
      <c r="BA647" s="52" t="n">
        <v>0</v>
      </c>
      <c r="BB647" s="52" t="n">
        <v>0</v>
      </c>
      <c r="BC647" s="51" t="n">
        <v>0</v>
      </c>
      <c r="BD647" s="51" t="n">
        <v>0</v>
      </c>
      <c r="BE647" s="51" t="n">
        <v>0</v>
      </c>
      <c r="BF647" s="51" t="n">
        <v>0</v>
      </c>
    </row>
    <row r="648">
      <c r="A648">
        <f>HYPERLINK("https://www.walmart.com/ip/465137321", "465137321")</f>
        <v/>
      </c>
      <c r="B648" t="inlineStr">
        <is>
          <t>100% Polar Fleece Skull Cap Warm and Cozy Beanie</t>
        </is>
      </c>
      <c r="C648" t="inlineStr">
        <is>
          <t>1SLW1810GY-FSCB</t>
        </is>
      </c>
      <c r="D648" t="inlineStr">
        <is>
          <t>Hats</t>
        </is>
      </c>
      <c r="E648" t="inlineStr">
        <is>
          <t>Solaris</t>
        </is>
      </c>
      <c r="F648" t="inlineStr">
        <is>
          <t>Batch 1 - TR</t>
        </is>
      </c>
      <c r="G648" s="48" t="n">
        <v>0</v>
      </c>
      <c r="H648" s="48" t="n">
        <v>0</v>
      </c>
      <c r="I648" s="48" t="n">
        <v>0</v>
      </c>
      <c r="J648" s="48" t="n">
        <v>0</v>
      </c>
      <c r="K648" s="49" t="n">
        <v>0</v>
      </c>
      <c r="L648" s="49" t="n">
        <v>0</v>
      </c>
      <c r="M648" s="49" t="n">
        <v>0</v>
      </c>
      <c r="N648" s="49" t="n">
        <v>0</v>
      </c>
      <c r="O648" s="49" t="n">
        <v>0</v>
      </c>
      <c r="P648" s="49" t="n">
        <v>0</v>
      </c>
      <c r="Q648" s="49" t="n">
        <v>0</v>
      </c>
      <c r="R648" s="49" t="n">
        <v>0</v>
      </c>
      <c r="S648" s="50" t="n">
        <v>0</v>
      </c>
      <c r="T648" s="50" t="n">
        <v>0</v>
      </c>
      <c r="U648" s="50" t="n">
        <v>0</v>
      </c>
      <c r="V648" s="50" t="n">
        <v>0</v>
      </c>
      <c r="W648" s="51" t="n">
        <v>0</v>
      </c>
      <c r="X648" s="51" t="n">
        <v>0</v>
      </c>
      <c r="Y648" s="51" t="n">
        <v>0</v>
      </c>
      <c r="Z648" s="51" t="n">
        <v>0</v>
      </c>
      <c r="AA648" s="52" t="n">
        <v>0</v>
      </c>
      <c r="AB648" s="52" t="n">
        <v>0</v>
      </c>
      <c r="AC648" s="52" t="n">
        <v>0</v>
      </c>
      <c r="AD648" s="52" t="n">
        <v>0</v>
      </c>
      <c r="AE648" s="52" t="n">
        <v>0</v>
      </c>
      <c r="AF648" s="52" t="n">
        <v>0</v>
      </c>
      <c r="AG648" s="52" t="n">
        <v>0</v>
      </c>
      <c r="AH648" s="52" t="n">
        <v>0</v>
      </c>
      <c r="AI648" s="52" t="n">
        <v>0</v>
      </c>
      <c r="AJ648" s="52" t="n">
        <v>0</v>
      </c>
      <c r="AK648" s="52" t="n">
        <v>0</v>
      </c>
      <c r="AL648" s="52" t="n">
        <v>0</v>
      </c>
      <c r="AM648" s="53" t="n">
        <v>0</v>
      </c>
      <c r="AN648" s="53" t="n">
        <v>0</v>
      </c>
      <c r="AO648" s="53" t="n">
        <v>0</v>
      </c>
      <c r="AP648" s="53" t="n">
        <v>0</v>
      </c>
      <c r="AQ648" s="52" t="n">
        <v>0</v>
      </c>
      <c r="AR648" s="52" t="n">
        <v>0</v>
      </c>
      <c r="AS648" s="52" t="n">
        <v>0</v>
      </c>
      <c r="AT648" s="52" t="n">
        <v>0</v>
      </c>
      <c r="AU648" s="53" t="n">
        <v>0</v>
      </c>
      <c r="AV648" s="53" t="n">
        <v>0</v>
      </c>
      <c r="AW648" s="53" t="n">
        <v>0</v>
      </c>
      <c r="AX648" s="53" t="n">
        <v>0</v>
      </c>
      <c r="AY648" s="52" t="n">
        <v>0</v>
      </c>
      <c r="AZ648" s="52" t="n">
        <v>0</v>
      </c>
      <c r="BA648" s="52" t="n">
        <v>0</v>
      </c>
      <c r="BB648" s="52" t="n">
        <v>0</v>
      </c>
      <c r="BC648" s="51" t="n">
        <v>0</v>
      </c>
      <c r="BD648" s="51" t="n">
        <v>0</v>
      </c>
      <c r="BE648" s="51" t="n">
        <v>0</v>
      </c>
      <c r="BF648" s="51" t="n">
        <v>0</v>
      </c>
    </row>
    <row r="649">
      <c r="A649">
        <f>HYPERLINK("https://www.walmart.com/ip/466099194", "466099194")</f>
        <v/>
      </c>
      <c r="B649" t="inlineStr">
        <is>
          <t>Tirrinia Camo Mens Sun Hat Wide Brim Safari Hunting Military Jungle Desert Cap with Neck Flap, Digital Grey</t>
        </is>
      </c>
      <c r="C649" t="inlineStr">
        <is>
          <t>1TRSH9150DIGIGY-TBCB</t>
        </is>
      </c>
      <c r="D649" t="inlineStr">
        <is>
          <t>Hats</t>
        </is>
      </c>
      <c r="E649" t="inlineStr">
        <is>
          <t>Tirrinia</t>
        </is>
      </c>
      <c r="F649" t="inlineStr">
        <is>
          <t>Q2-Target,Optimized,Hats</t>
        </is>
      </c>
      <c r="G649" s="48" t="n">
        <v>0</v>
      </c>
      <c r="H649" s="48" t="n">
        <v>0</v>
      </c>
      <c r="I649" s="48" t="n">
        <v>0</v>
      </c>
      <c r="J649" s="48" t="n">
        <v>15.99</v>
      </c>
      <c r="K649" s="49" t="n">
        <v>0</v>
      </c>
      <c r="L649" s="49" t="n">
        <v>0</v>
      </c>
      <c r="M649" s="49" t="n">
        <v>0</v>
      </c>
      <c r="N649" s="49" t="n">
        <v>1</v>
      </c>
      <c r="O649" s="49" t="n">
        <v>0</v>
      </c>
      <c r="P649" s="49" t="n">
        <v>0</v>
      </c>
      <c r="Q649" s="49" t="n">
        <v>0</v>
      </c>
      <c r="R649" s="49" t="n">
        <v>0</v>
      </c>
      <c r="S649" s="50" t="n">
        <v>0</v>
      </c>
      <c r="T649" s="50" t="n">
        <v>0</v>
      </c>
      <c r="U649" s="50" t="n">
        <v>0</v>
      </c>
      <c r="V649" s="50" t="n">
        <v>0</v>
      </c>
      <c r="W649" s="51" t="n">
        <v>0</v>
      </c>
      <c r="X649" s="51" t="n">
        <v>0</v>
      </c>
      <c r="Y649" s="51" t="n">
        <v>0</v>
      </c>
      <c r="Z649" s="51" t="n">
        <v>0</v>
      </c>
      <c r="AA649" s="52" t="n">
        <v>0</v>
      </c>
      <c r="AB649" s="52" t="n">
        <v>0</v>
      </c>
      <c r="AC649" s="52" t="n">
        <v>0</v>
      </c>
      <c r="AD649" s="52" t="n">
        <v>0</v>
      </c>
      <c r="AE649" s="52" t="n">
        <v>0</v>
      </c>
      <c r="AF649" s="52" t="n">
        <v>0</v>
      </c>
      <c r="AG649" s="52" t="n">
        <v>0</v>
      </c>
      <c r="AH649" s="52" t="n">
        <v>0</v>
      </c>
      <c r="AI649" s="52" t="n">
        <v>0</v>
      </c>
      <c r="AJ649" s="52" t="n">
        <v>0</v>
      </c>
      <c r="AK649" s="52" t="n">
        <v>0</v>
      </c>
      <c r="AL649" s="52" t="n">
        <v>0</v>
      </c>
      <c r="AM649" s="53" t="n">
        <v>0</v>
      </c>
      <c r="AN649" s="53" t="n">
        <v>0</v>
      </c>
      <c r="AO649" s="53" t="n">
        <v>0</v>
      </c>
      <c r="AP649" s="53" t="n">
        <v>0</v>
      </c>
      <c r="AQ649" s="52" t="n">
        <v>0</v>
      </c>
      <c r="AR649" s="52" t="n">
        <v>0</v>
      </c>
      <c r="AS649" s="52" t="n">
        <v>0</v>
      </c>
      <c r="AT649" s="52" t="n">
        <v>0</v>
      </c>
      <c r="AU649" s="53" t="n">
        <v>0</v>
      </c>
      <c r="AV649" s="53" t="n">
        <v>0</v>
      </c>
      <c r="AW649" s="53" t="n">
        <v>0</v>
      </c>
      <c r="AX649" s="53" t="n">
        <v>0</v>
      </c>
      <c r="AY649" s="52" t="n">
        <v>0</v>
      </c>
      <c r="AZ649" s="52" t="n">
        <v>0</v>
      </c>
      <c r="BA649" s="52" t="n">
        <v>0</v>
      </c>
      <c r="BB649" s="52" t="n">
        <v>15.99</v>
      </c>
      <c r="BC649" s="51" t="n">
        <v>0</v>
      </c>
      <c r="BD649" s="51" t="n">
        <v>0</v>
      </c>
      <c r="BE649" s="51" t="n">
        <v>0</v>
      </c>
      <c r="BF649" s="51" t="n">
        <v>0</v>
      </c>
    </row>
    <row r="650">
      <c r="A650">
        <f>HYPERLINK("https://www.walmart.com/ip/468392021", "468392021")</f>
        <v/>
      </c>
      <c r="B650" t="inlineStr">
        <is>
          <t>Tirrinia Insulated Wine Carrier - 3 Bottle Travel Padded Wine Carry Cooler Tote Bag with Handle and Adjustable Shoulder Strap + Free Corkscrew, Black</t>
        </is>
      </c>
      <c r="C650" t="inlineStr">
        <is>
          <t>1KTWB300BK</t>
        </is>
      </c>
      <c r="D650" t="inlineStr">
        <is>
          <t>Wine Totes, Bags &amp; Backpacks</t>
        </is>
      </c>
      <c r="E650" t="inlineStr">
        <is>
          <t>Tirrinia</t>
        </is>
      </c>
      <c r="F650" t="inlineStr">
        <is>
          <t>Wine,Wine Bag Camp,Christmas,Wine WFS,Valentine,WFS Item,Lily Brand Camp</t>
        </is>
      </c>
      <c r="G650" s="48" t="n">
        <v>0</v>
      </c>
      <c r="H650" s="48" t="n">
        <v>65.97</v>
      </c>
      <c r="I650" s="48" t="n">
        <v>0</v>
      </c>
      <c r="J650" s="48" t="n">
        <v>0</v>
      </c>
      <c r="K650" s="49" t="n">
        <v>0</v>
      </c>
      <c r="L650" s="49" t="n">
        <v>3</v>
      </c>
      <c r="M650" s="49" t="n">
        <v>0</v>
      </c>
      <c r="N650" s="49" t="n">
        <v>0</v>
      </c>
      <c r="O650" s="49" t="n">
        <v>7</v>
      </c>
      <c r="P650" s="49" t="n">
        <v>4</v>
      </c>
      <c r="Q650" s="49" t="n">
        <v>0</v>
      </c>
      <c r="R650" s="49" t="n">
        <v>0</v>
      </c>
      <c r="S650" s="50" t="n">
        <v>0</v>
      </c>
      <c r="T650" s="50" t="n">
        <v>0.75</v>
      </c>
      <c r="U650" s="50" t="n">
        <v>0</v>
      </c>
      <c r="V650" s="50" t="n">
        <v>0</v>
      </c>
      <c r="W650" s="51" t="n">
        <v>9</v>
      </c>
      <c r="X650" s="51" t="n">
        <v>0</v>
      </c>
      <c r="Y650" s="51" t="n">
        <v>0</v>
      </c>
      <c r="Z650" s="51" t="n">
        <v>0</v>
      </c>
      <c r="AA650" s="52" t="n">
        <v>3.03</v>
      </c>
      <c r="AB650" s="52" t="n">
        <v>0</v>
      </c>
      <c r="AC650" s="52" t="n">
        <v>0</v>
      </c>
      <c r="AD650" s="52" t="n">
        <v>0</v>
      </c>
      <c r="AE650" s="52" t="n">
        <v>0</v>
      </c>
      <c r="AF650" s="52" t="n">
        <v>0</v>
      </c>
      <c r="AG650" s="52" t="n">
        <v>0</v>
      </c>
      <c r="AH650" s="52" t="n">
        <v>0</v>
      </c>
      <c r="AI650" s="52" t="n">
        <v>0</v>
      </c>
      <c r="AJ650" s="52" t="n">
        <v>0</v>
      </c>
      <c r="AK650" s="52" t="n">
        <v>0</v>
      </c>
      <c r="AL650" s="52" t="n">
        <v>0</v>
      </c>
      <c r="AM650" s="53" t="n">
        <v>0.002</v>
      </c>
      <c r="AN650" s="53" t="n">
        <v>0</v>
      </c>
      <c r="AO650" s="53" t="n">
        <v>0</v>
      </c>
      <c r="AP650" s="53" t="n">
        <v>0</v>
      </c>
      <c r="AQ650" s="52" t="n">
        <v>0.3366666666666667</v>
      </c>
      <c r="AR650" s="52" t="n">
        <v>0</v>
      </c>
      <c r="AS650" s="52" t="n">
        <v>0</v>
      </c>
      <c r="AT650" s="52" t="n">
        <v>0</v>
      </c>
      <c r="AU650" s="53" t="n">
        <v>0</v>
      </c>
      <c r="AV650" s="53" t="n">
        <v>0</v>
      </c>
      <c r="AW650" s="53" t="n">
        <v>0</v>
      </c>
      <c r="AX650" s="53" t="n">
        <v>0</v>
      </c>
      <c r="AY650" s="52" t="n">
        <v>0</v>
      </c>
      <c r="AZ650" s="52" t="n">
        <v>21.99</v>
      </c>
      <c r="BA650" s="52" t="n">
        <v>0</v>
      </c>
      <c r="BB650" s="52" t="n">
        <v>0</v>
      </c>
      <c r="BC650" s="51" t="n">
        <v>4393</v>
      </c>
      <c r="BD650" s="51" t="n">
        <v>0</v>
      </c>
      <c r="BE650" s="51" t="n">
        <v>0</v>
      </c>
      <c r="BF650" s="51" t="n">
        <v>0</v>
      </c>
    </row>
    <row r="651">
      <c r="A651">
        <f>HYPERLINK("https://www.walmart.com/ip/470057153", "470057153")</f>
        <v/>
      </c>
      <c r="B651" t="inlineStr">
        <is>
          <t>Tirrinia Insulated Lunch Bag for Women, Men and Kids, Leakproof Thermal Reusable Lunch Box Tote, Lunch Cooler for Office Work, Black</t>
        </is>
      </c>
      <c r="C651" t="inlineStr">
        <is>
          <t>1WMLB701P1BK</t>
        </is>
      </c>
      <c r="D651" t="inlineStr">
        <is>
          <t>Reusable Lunch Bags &amp; Boxes</t>
        </is>
      </c>
      <c r="E651" t="inlineStr">
        <is>
          <t>Tirrinia</t>
        </is>
      </c>
      <c r="F651" t="inlineStr">
        <is>
          <t>Q2-Target,Lunch Bag,WFS,Lunch Bags,WFS Item</t>
        </is>
      </c>
      <c r="G651" s="48" t="n">
        <v>0</v>
      </c>
      <c r="H651" s="48" t="n">
        <v>0</v>
      </c>
      <c r="I651" s="48" t="n">
        <v>0</v>
      </c>
      <c r="J651" s="48" t="n">
        <v>0</v>
      </c>
      <c r="K651" s="49" t="n">
        <v>0</v>
      </c>
      <c r="L651" s="49" t="n">
        <v>0</v>
      </c>
      <c r="M651" s="49" t="n">
        <v>0</v>
      </c>
      <c r="N651" s="49" t="n">
        <v>0</v>
      </c>
      <c r="O651" s="49" t="n">
        <v>0</v>
      </c>
      <c r="P651" s="49" t="n">
        <v>0</v>
      </c>
      <c r="Q651" s="49" t="n">
        <v>0</v>
      </c>
      <c r="R651" s="49" t="n">
        <v>0</v>
      </c>
      <c r="S651" s="50" t="n">
        <v>0</v>
      </c>
      <c r="T651" s="50" t="n">
        <v>0</v>
      </c>
      <c r="U651" s="50" t="n">
        <v>0</v>
      </c>
      <c r="V651" s="50" t="n">
        <v>0</v>
      </c>
      <c r="W651" s="51" t="n">
        <v>0</v>
      </c>
      <c r="X651" s="51" t="n">
        <v>0</v>
      </c>
      <c r="Y651" s="51" t="n">
        <v>0</v>
      </c>
      <c r="Z651" s="51" t="n">
        <v>0</v>
      </c>
      <c r="AA651" s="52" t="n">
        <v>0</v>
      </c>
      <c r="AB651" s="52" t="n">
        <v>0</v>
      </c>
      <c r="AC651" s="52" t="n">
        <v>0</v>
      </c>
      <c r="AD651" s="52" t="n">
        <v>0</v>
      </c>
      <c r="AE651" s="52" t="n">
        <v>0</v>
      </c>
      <c r="AF651" s="52" t="n">
        <v>0</v>
      </c>
      <c r="AG651" s="52" t="n">
        <v>0</v>
      </c>
      <c r="AH651" s="52" t="n">
        <v>0</v>
      </c>
      <c r="AI651" s="52" t="n">
        <v>0</v>
      </c>
      <c r="AJ651" s="52" t="n">
        <v>0</v>
      </c>
      <c r="AK651" s="52" t="n">
        <v>0</v>
      </c>
      <c r="AL651" s="52" t="n">
        <v>0</v>
      </c>
      <c r="AM651" s="53" t="n">
        <v>0</v>
      </c>
      <c r="AN651" s="53" t="n">
        <v>0</v>
      </c>
      <c r="AO651" s="53" t="n">
        <v>0</v>
      </c>
      <c r="AP651" s="53" t="n">
        <v>0</v>
      </c>
      <c r="AQ651" s="52" t="n">
        <v>0</v>
      </c>
      <c r="AR651" s="52" t="n">
        <v>0</v>
      </c>
      <c r="AS651" s="52" t="n">
        <v>0</v>
      </c>
      <c r="AT651" s="52" t="n">
        <v>0</v>
      </c>
      <c r="AU651" s="53" t="n">
        <v>0</v>
      </c>
      <c r="AV651" s="53" t="n">
        <v>0</v>
      </c>
      <c r="AW651" s="53" t="n">
        <v>0</v>
      </c>
      <c r="AX651" s="53" t="n">
        <v>0</v>
      </c>
      <c r="AY651" s="52" t="n">
        <v>0</v>
      </c>
      <c r="AZ651" s="52" t="n">
        <v>0</v>
      </c>
      <c r="BA651" s="52" t="n">
        <v>0</v>
      </c>
      <c r="BB651" s="52" t="n">
        <v>0</v>
      </c>
      <c r="BC651" s="51" t="n">
        <v>0</v>
      </c>
      <c r="BD651" s="51" t="n">
        <v>0</v>
      </c>
      <c r="BE651" s="51" t="n">
        <v>0</v>
      </c>
      <c r="BF651" s="51" t="n">
        <v>0</v>
      </c>
    </row>
    <row r="652">
      <c r="A652">
        <f>HYPERLINK("https://www.walmart.com/ip/470850901", "470850901")</f>
        <v/>
      </c>
      <c r="B652" t="inlineStr">
        <is>
          <t>Tirrinia Super Soft Comfy Plush Wearable Fleece Blanket Sherpa Poncho, 55 In x 80 In, Wine</t>
        </is>
      </c>
      <c r="C652" t="inlineStr">
        <is>
          <t>1TRBP110WN-TBCB</t>
        </is>
      </c>
      <c r="D652" t="inlineStr">
        <is>
          <t>Throws</t>
        </is>
      </c>
      <c r="E652" t="inlineStr">
        <is>
          <t>Tirrinia</t>
        </is>
      </c>
      <c r="F652" t="inlineStr">
        <is>
          <t>Optimized,Fleece Blankets</t>
        </is>
      </c>
      <c r="G652" s="48" t="n">
        <v>0</v>
      </c>
      <c r="H652" s="48" t="n">
        <v>0</v>
      </c>
      <c r="I652" s="48" t="n">
        <v>0</v>
      </c>
      <c r="J652" s="48" t="n">
        <v>0</v>
      </c>
      <c r="K652" s="49" t="n">
        <v>0</v>
      </c>
      <c r="L652" s="49" t="n">
        <v>0</v>
      </c>
      <c r="M652" s="49" t="n">
        <v>0</v>
      </c>
      <c r="N652" s="49" t="n">
        <v>0</v>
      </c>
      <c r="O652" s="49" t="n">
        <v>0</v>
      </c>
      <c r="P652" s="49" t="n">
        <v>0</v>
      </c>
      <c r="Q652" s="49" t="n">
        <v>0</v>
      </c>
      <c r="R652" s="49" t="n">
        <v>0</v>
      </c>
      <c r="S652" s="50" t="n">
        <v>0</v>
      </c>
      <c r="T652" s="50" t="n">
        <v>0</v>
      </c>
      <c r="U652" s="50" t="n">
        <v>0</v>
      </c>
      <c r="V652" s="50" t="n">
        <v>0</v>
      </c>
      <c r="W652" s="51" t="n">
        <v>0</v>
      </c>
      <c r="X652" s="51" t="n">
        <v>0</v>
      </c>
      <c r="Y652" s="51" t="n">
        <v>0</v>
      </c>
      <c r="Z652" s="51" t="n">
        <v>0</v>
      </c>
      <c r="AA652" s="52" t="n">
        <v>0</v>
      </c>
      <c r="AB652" s="52" t="n">
        <v>0</v>
      </c>
      <c r="AC652" s="52" t="n">
        <v>0</v>
      </c>
      <c r="AD652" s="52" t="n">
        <v>0</v>
      </c>
      <c r="AE652" s="52" t="n">
        <v>0</v>
      </c>
      <c r="AF652" s="52" t="n">
        <v>0</v>
      </c>
      <c r="AG652" s="52" t="n">
        <v>0</v>
      </c>
      <c r="AH652" s="52" t="n">
        <v>0</v>
      </c>
      <c r="AI652" s="52" t="n">
        <v>0</v>
      </c>
      <c r="AJ652" s="52" t="n">
        <v>0</v>
      </c>
      <c r="AK652" s="52" t="n">
        <v>0</v>
      </c>
      <c r="AL652" s="52" t="n">
        <v>0</v>
      </c>
      <c r="AM652" s="53" t="n">
        <v>0</v>
      </c>
      <c r="AN652" s="53" t="n">
        <v>0</v>
      </c>
      <c r="AO652" s="53" t="n">
        <v>0</v>
      </c>
      <c r="AP652" s="53" t="n">
        <v>0</v>
      </c>
      <c r="AQ652" s="52" t="n">
        <v>0</v>
      </c>
      <c r="AR652" s="52" t="n">
        <v>0</v>
      </c>
      <c r="AS652" s="52" t="n">
        <v>0</v>
      </c>
      <c r="AT652" s="52" t="n">
        <v>0</v>
      </c>
      <c r="AU652" s="53" t="n">
        <v>0</v>
      </c>
      <c r="AV652" s="53" t="n">
        <v>0</v>
      </c>
      <c r="AW652" s="53" t="n">
        <v>0</v>
      </c>
      <c r="AX652" s="53" t="n">
        <v>0</v>
      </c>
      <c r="AY652" s="52" t="n">
        <v>0</v>
      </c>
      <c r="AZ652" s="52" t="n">
        <v>0</v>
      </c>
      <c r="BA652" s="52" t="n">
        <v>0</v>
      </c>
      <c r="BB652" s="52" t="n">
        <v>0</v>
      </c>
      <c r="BC652" s="51" t="n">
        <v>0</v>
      </c>
      <c r="BD652" s="51" t="n">
        <v>0</v>
      </c>
      <c r="BE652" s="51" t="n">
        <v>0</v>
      </c>
      <c r="BF652" s="51" t="n">
        <v>0</v>
      </c>
    </row>
    <row r="653">
      <c r="A653">
        <f>HYPERLINK("https://www.walmart.com/ip/471187667", "471187667")</f>
        <v/>
      </c>
      <c r="B653" t="inlineStr">
        <is>
          <t>Catalonia Hooded Wearable Blanket Sherpa Fleece Throw Blanket 73"x47" Poncho | Wrap with Hand Pockets | Comfy Cape for Children and Adults,Womans Gift</t>
        </is>
      </c>
      <c r="C653" t="inlineStr">
        <is>
          <t>1CTBC100GY</t>
        </is>
      </c>
      <c r="D653" t="inlineStr">
        <is>
          <t>Throws</t>
        </is>
      </c>
      <c r="E653" t="inlineStr">
        <is>
          <t>Catalonia</t>
        </is>
      </c>
      <c r="F653" t="inlineStr">
        <is>
          <t>Optimized,WFS,Coupon_Discount,WFS Item</t>
        </is>
      </c>
      <c r="G653" s="48" t="n">
        <v>0</v>
      </c>
      <c r="H653" s="48" t="n">
        <v>0</v>
      </c>
      <c r="I653" s="48" t="n">
        <v>0</v>
      </c>
      <c r="J653" s="48" t="n">
        <v>0</v>
      </c>
      <c r="K653" s="49" t="n">
        <v>0</v>
      </c>
      <c r="L653" s="49" t="n">
        <v>0</v>
      </c>
      <c r="M653" s="49" t="n">
        <v>0</v>
      </c>
      <c r="N653" s="49" t="n">
        <v>0</v>
      </c>
      <c r="O653" s="49" t="n">
        <v>0</v>
      </c>
      <c r="P653" s="49" t="n">
        <v>0</v>
      </c>
      <c r="Q653" s="49" t="n">
        <v>0</v>
      </c>
      <c r="R653" s="49" t="n">
        <v>0</v>
      </c>
      <c r="S653" s="50" t="n">
        <v>0</v>
      </c>
      <c r="T653" s="50" t="n">
        <v>0</v>
      </c>
      <c r="U653" s="50" t="n">
        <v>0</v>
      </c>
      <c r="V653" s="50" t="n">
        <v>0</v>
      </c>
      <c r="W653" s="51" t="n">
        <v>0</v>
      </c>
      <c r="X653" s="51" t="n">
        <v>0</v>
      </c>
      <c r="Y653" s="51" t="n">
        <v>0</v>
      </c>
      <c r="Z653" s="51" t="n">
        <v>0</v>
      </c>
      <c r="AA653" s="52" t="n">
        <v>0</v>
      </c>
      <c r="AB653" s="52" t="n">
        <v>0</v>
      </c>
      <c r="AC653" s="52" t="n">
        <v>0</v>
      </c>
      <c r="AD653" s="52" t="n">
        <v>0</v>
      </c>
      <c r="AE653" s="52" t="n">
        <v>0</v>
      </c>
      <c r="AF653" s="52" t="n">
        <v>0</v>
      </c>
      <c r="AG653" s="52" t="n">
        <v>0</v>
      </c>
      <c r="AH653" s="52" t="n">
        <v>0</v>
      </c>
      <c r="AI653" s="52" t="n">
        <v>0</v>
      </c>
      <c r="AJ653" s="52" t="n">
        <v>0</v>
      </c>
      <c r="AK653" s="52" t="n">
        <v>0</v>
      </c>
      <c r="AL653" s="52" t="n">
        <v>0</v>
      </c>
      <c r="AM653" s="53" t="n">
        <v>0</v>
      </c>
      <c r="AN653" s="53" t="n">
        <v>0</v>
      </c>
      <c r="AO653" s="53" t="n">
        <v>0</v>
      </c>
      <c r="AP653" s="53" t="n">
        <v>0</v>
      </c>
      <c r="AQ653" s="52" t="n">
        <v>0</v>
      </c>
      <c r="AR653" s="52" t="n">
        <v>0</v>
      </c>
      <c r="AS653" s="52" t="n">
        <v>0</v>
      </c>
      <c r="AT653" s="52" t="n">
        <v>0</v>
      </c>
      <c r="AU653" s="53" t="n">
        <v>0</v>
      </c>
      <c r="AV653" s="53" t="n">
        <v>0</v>
      </c>
      <c r="AW653" s="53" t="n">
        <v>0</v>
      </c>
      <c r="AX653" s="53" t="n">
        <v>0</v>
      </c>
      <c r="AY653" s="52" t="n">
        <v>0</v>
      </c>
      <c r="AZ653" s="52" t="n">
        <v>0</v>
      </c>
      <c r="BA653" s="52" t="n">
        <v>0</v>
      </c>
      <c r="BB653" s="52" t="n">
        <v>0</v>
      </c>
      <c r="BC653" s="51" t="n">
        <v>0</v>
      </c>
      <c r="BD653" s="51" t="n">
        <v>0</v>
      </c>
      <c r="BE653" s="51" t="n">
        <v>0</v>
      </c>
      <c r="BF653" s="51" t="n">
        <v>0</v>
      </c>
    </row>
    <row r="654">
      <c r="A654">
        <f>HYPERLINK("https://www.walmart.com/ip/477205295", "477205295")</f>
        <v/>
      </c>
      <c r="B654" t="inlineStr">
        <is>
          <t>Catalonia Patriotic US Flag Blanket,American National Flag Print Cable Knit Throws,4th of July Citizenship Veteran Labor Day Gift, 50"x60"</t>
        </is>
      </c>
      <c r="C654" t="inlineStr">
        <is>
          <t>1CTBN506-USA</t>
        </is>
      </c>
      <c r="D654" t="inlineStr">
        <is>
          <t>Throws</t>
        </is>
      </c>
      <c r="E654" t="inlineStr">
        <is>
          <t>Catalonia</t>
        </is>
      </c>
      <c r="F654" t="inlineStr">
        <is>
          <t>Batch 1 - TR</t>
        </is>
      </c>
      <c r="G654" s="48" t="n">
        <v>0</v>
      </c>
      <c r="H654" s="48" t="n">
        <v>0</v>
      </c>
      <c r="I654" s="48" t="n">
        <v>0</v>
      </c>
      <c r="J654" s="48" t="n">
        <v>0</v>
      </c>
      <c r="K654" s="49" t="n">
        <v>0</v>
      </c>
      <c r="L654" s="49" t="n">
        <v>0</v>
      </c>
      <c r="M654" s="49" t="n">
        <v>0</v>
      </c>
      <c r="N654" s="49" t="n">
        <v>0</v>
      </c>
      <c r="O654" s="49" t="n">
        <v>0</v>
      </c>
      <c r="P654" s="49" t="n">
        <v>0</v>
      </c>
      <c r="Q654" s="49" t="n">
        <v>0</v>
      </c>
      <c r="R654" s="49" t="n">
        <v>0</v>
      </c>
      <c r="S654" s="50" t="n">
        <v>0</v>
      </c>
      <c r="T654" s="50" t="n">
        <v>0</v>
      </c>
      <c r="U654" s="50" t="n">
        <v>0</v>
      </c>
      <c r="V654" s="50" t="n">
        <v>0</v>
      </c>
      <c r="W654" s="51" t="n">
        <v>0</v>
      </c>
      <c r="X654" s="51" t="n">
        <v>0</v>
      </c>
      <c r="Y654" s="51" t="n">
        <v>0</v>
      </c>
      <c r="Z654" s="51" t="n">
        <v>0</v>
      </c>
      <c r="AA654" s="52" t="n">
        <v>0</v>
      </c>
      <c r="AB654" s="52" t="n">
        <v>0</v>
      </c>
      <c r="AC654" s="52" t="n">
        <v>0</v>
      </c>
      <c r="AD654" s="52" t="n">
        <v>0</v>
      </c>
      <c r="AE654" s="52" t="n">
        <v>0</v>
      </c>
      <c r="AF654" s="52" t="n">
        <v>0</v>
      </c>
      <c r="AG654" s="52" t="n">
        <v>0</v>
      </c>
      <c r="AH654" s="52" t="n">
        <v>0</v>
      </c>
      <c r="AI654" s="52" t="n">
        <v>0</v>
      </c>
      <c r="AJ654" s="52" t="n">
        <v>0</v>
      </c>
      <c r="AK654" s="52" t="n">
        <v>0</v>
      </c>
      <c r="AL654" s="52" t="n">
        <v>0</v>
      </c>
      <c r="AM654" s="53" t="n">
        <v>0</v>
      </c>
      <c r="AN654" s="53" t="n">
        <v>0</v>
      </c>
      <c r="AO654" s="53" t="n">
        <v>0</v>
      </c>
      <c r="AP654" s="53" t="n">
        <v>0</v>
      </c>
      <c r="AQ654" s="52" t="n">
        <v>0</v>
      </c>
      <c r="AR654" s="52" t="n">
        <v>0</v>
      </c>
      <c r="AS654" s="52" t="n">
        <v>0</v>
      </c>
      <c r="AT654" s="52" t="n">
        <v>0</v>
      </c>
      <c r="AU654" s="53" t="n">
        <v>0</v>
      </c>
      <c r="AV654" s="53" t="n">
        <v>0</v>
      </c>
      <c r="AW654" s="53" t="n">
        <v>0</v>
      </c>
      <c r="AX654" s="53" t="n">
        <v>0</v>
      </c>
      <c r="AY654" s="52" t="n">
        <v>0</v>
      </c>
      <c r="AZ654" s="52" t="n">
        <v>0</v>
      </c>
      <c r="BA654" s="52" t="n">
        <v>0</v>
      </c>
      <c r="BB654" s="52" t="n">
        <v>0</v>
      </c>
      <c r="BC654" s="51" t="n">
        <v>0</v>
      </c>
      <c r="BD654" s="51" t="n">
        <v>0</v>
      </c>
      <c r="BE654" s="51" t="n">
        <v>0</v>
      </c>
      <c r="BF654" s="51" t="n">
        <v>0</v>
      </c>
    </row>
    <row r="655">
      <c r="A655">
        <f>HYPERLINK("https://www.walmart.com/ip/471360729", "471360729")</f>
        <v/>
      </c>
      <c r="B655" t="inlineStr">
        <is>
          <t>Flyingstar Wine Picnic Table, Large Folding Portable Bamboo Snack &amp; Cheese Tray with 4 Wine Glasses Holder for Concerts at Park, Beach, Ideal Wine Lover Gift</t>
        </is>
      </c>
      <c r="C655" t="inlineStr">
        <is>
          <t>1WMPT140</t>
        </is>
      </c>
      <c r="D655" t="inlineStr">
        <is>
          <t>Serving Trays</t>
        </is>
      </c>
      <c r="E655" t="inlineStr">
        <is>
          <t>Flyingstar</t>
        </is>
      </c>
      <c r="F655" t="inlineStr">
        <is>
          <t>Wine,Optimized,Valentine</t>
        </is>
      </c>
      <c r="G655" s="48" t="n">
        <v>0</v>
      </c>
      <c r="H655" s="48" t="n">
        <v>0</v>
      </c>
      <c r="I655" s="48" t="n">
        <v>0</v>
      </c>
      <c r="J655" s="48" t="n">
        <v>0</v>
      </c>
      <c r="K655" s="49" t="n">
        <v>0</v>
      </c>
      <c r="L655" s="49" t="n">
        <v>0</v>
      </c>
      <c r="M655" s="49" t="n">
        <v>0</v>
      </c>
      <c r="N655" s="49" t="n">
        <v>0</v>
      </c>
      <c r="O655" s="49" t="n">
        <v>0</v>
      </c>
      <c r="P655" s="49" t="n">
        <v>0</v>
      </c>
      <c r="Q655" s="49" t="n">
        <v>0</v>
      </c>
      <c r="R655" s="49" t="n">
        <v>0</v>
      </c>
      <c r="S655" s="50" t="n">
        <v>0</v>
      </c>
      <c r="T655" s="50" t="n">
        <v>0</v>
      </c>
      <c r="U655" s="50" t="n">
        <v>0</v>
      </c>
      <c r="V655" s="50" t="n">
        <v>0</v>
      </c>
      <c r="W655" s="51" t="n">
        <v>0</v>
      </c>
      <c r="X655" s="51" t="n">
        <v>0</v>
      </c>
      <c r="Y655" s="51" t="n">
        <v>0</v>
      </c>
      <c r="Z655" s="51" t="n">
        <v>0</v>
      </c>
      <c r="AA655" s="52" t="n">
        <v>0</v>
      </c>
      <c r="AB655" s="52" t="n">
        <v>0</v>
      </c>
      <c r="AC655" s="52" t="n">
        <v>0</v>
      </c>
      <c r="AD655" s="52" t="n">
        <v>0</v>
      </c>
      <c r="AE655" s="52" t="n">
        <v>0</v>
      </c>
      <c r="AF655" s="52" t="n">
        <v>0</v>
      </c>
      <c r="AG655" s="52" t="n">
        <v>0</v>
      </c>
      <c r="AH655" s="52" t="n">
        <v>0</v>
      </c>
      <c r="AI655" s="52" t="n">
        <v>0</v>
      </c>
      <c r="AJ655" s="52" t="n">
        <v>0</v>
      </c>
      <c r="AK655" s="52" t="n">
        <v>0</v>
      </c>
      <c r="AL655" s="52" t="n">
        <v>0</v>
      </c>
      <c r="AM655" s="53" t="n">
        <v>0</v>
      </c>
      <c r="AN655" s="53" t="n">
        <v>0</v>
      </c>
      <c r="AO655" s="53" t="n">
        <v>0</v>
      </c>
      <c r="AP655" s="53" t="n">
        <v>0</v>
      </c>
      <c r="AQ655" s="52" t="n">
        <v>0</v>
      </c>
      <c r="AR655" s="52" t="n">
        <v>0</v>
      </c>
      <c r="AS655" s="52" t="n">
        <v>0</v>
      </c>
      <c r="AT655" s="52" t="n">
        <v>0</v>
      </c>
      <c r="AU655" s="53" t="n">
        <v>0</v>
      </c>
      <c r="AV655" s="53" t="n">
        <v>0</v>
      </c>
      <c r="AW655" s="53" t="n">
        <v>0</v>
      </c>
      <c r="AX655" s="53" t="n">
        <v>0</v>
      </c>
      <c r="AY655" s="52" t="n">
        <v>0</v>
      </c>
      <c r="AZ655" s="52" t="n">
        <v>0</v>
      </c>
      <c r="BA655" s="52" t="n">
        <v>0</v>
      </c>
      <c r="BB655" s="52" t="n">
        <v>0</v>
      </c>
      <c r="BC655" s="51" t="n">
        <v>0</v>
      </c>
      <c r="BD655" s="51" t="n">
        <v>0</v>
      </c>
      <c r="BE655" s="51" t="n">
        <v>0</v>
      </c>
      <c r="BF655" s="51" t="n">
        <v>0</v>
      </c>
    </row>
    <row r="656">
      <c r="A656">
        <f>HYPERLINK("https://www.walmart.com/ip/474593867", "474593867")</f>
        <v/>
      </c>
      <c r="B656" t="inlineStr">
        <is>
          <t>Tirrinia Bedside Organizer Tray, Bamboo Floating Bedside Shelf Table for Bedrooms, Student Dorm, Bunk Beds</t>
        </is>
      </c>
      <c r="C656" t="inlineStr">
        <is>
          <t>1TRSB120</t>
        </is>
      </c>
      <c r="D656" t="inlineStr">
        <is>
          <t>Nightstands</t>
        </is>
      </c>
      <c r="E656" t="inlineStr">
        <is>
          <t>Tirrinia</t>
        </is>
      </c>
      <c r="F656" t="inlineStr">
        <is>
          <t>Optimized,WFS,SEM,Wal-Exl-Price,WFS Item</t>
        </is>
      </c>
      <c r="G656" s="48" t="n">
        <v>0</v>
      </c>
      <c r="H656" s="48" t="n">
        <v>0</v>
      </c>
      <c r="I656" s="48" t="n">
        <v>6.99</v>
      </c>
      <c r="J656" s="48" t="n">
        <v>32.99</v>
      </c>
      <c r="K656" s="49" t="n">
        <v>0</v>
      </c>
      <c r="L656" s="49" t="n">
        <v>0</v>
      </c>
      <c r="M656" s="49" t="n">
        <v>0</v>
      </c>
      <c r="N656" s="49" t="n">
        <v>1</v>
      </c>
      <c r="O656" s="49" t="n">
        <v>10</v>
      </c>
      <c r="P656" s="49" t="n">
        <v>13</v>
      </c>
      <c r="Q656" s="49" t="n">
        <v>21</v>
      </c>
      <c r="R656" s="49" t="n">
        <v>15</v>
      </c>
      <c r="S656" s="50" t="n">
        <v>0</v>
      </c>
      <c r="T656" s="50" t="n">
        <v>0</v>
      </c>
      <c r="U656" s="50" t="n">
        <v>0</v>
      </c>
      <c r="V656" s="50" t="n">
        <v>0.06666666666666667</v>
      </c>
      <c r="W656" s="51" t="n">
        <v>7</v>
      </c>
      <c r="X656" s="51" t="n">
        <v>12</v>
      </c>
      <c r="Y656" s="51" t="n">
        <v>16</v>
      </c>
      <c r="Z656" s="51" t="n">
        <v>15</v>
      </c>
      <c r="AA656" s="52" t="n">
        <v>3.29</v>
      </c>
      <c r="AB656" s="52" t="n">
        <v>5.389999999999999</v>
      </c>
      <c r="AC656" s="52" t="n">
        <v>6.7</v>
      </c>
      <c r="AD656" s="52" t="n">
        <v>6.29</v>
      </c>
      <c r="AE656" s="52" t="n">
        <v>32.99</v>
      </c>
      <c r="AF656" s="52" t="n">
        <v>0</v>
      </c>
      <c r="AG656" s="52" t="n">
        <v>0</v>
      </c>
      <c r="AH656" s="52" t="n">
        <v>0</v>
      </c>
      <c r="AI656" s="52" t="n">
        <v>10.03</v>
      </c>
      <c r="AJ656" s="52" t="n">
        <v>0</v>
      </c>
      <c r="AK656" s="52" t="n">
        <v>0</v>
      </c>
      <c r="AL656" s="52" t="n">
        <v>0</v>
      </c>
      <c r="AM656" s="53" t="n">
        <v>0.0041</v>
      </c>
      <c r="AN656" s="53" t="n">
        <v>0.0027</v>
      </c>
      <c r="AO656" s="53" t="n">
        <v>0.0043</v>
      </c>
      <c r="AP656" s="53" t="n">
        <v>0.005</v>
      </c>
      <c r="AQ656" s="52" t="n">
        <v>0.47</v>
      </c>
      <c r="AR656" s="52" t="n">
        <v>0.4491666666666665</v>
      </c>
      <c r="AS656" s="52" t="n">
        <v>0.41875</v>
      </c>
      <c r="AT656" s="52" t="n">
        <v>0.4193333333333333</v>
      </c>
      <c r="AU656" s="53" t="n">
        <v>0</v>
      </c>
      <c r="AV656" s="53" t="n">
        <v>0</v>
      </c>
      <c r="AW656" s="53" t="n">
        <v>0.9585121602288984</v>
      </c>
      <c r="AX656" s="53" t="n">
        <v>0.1906638375265232</v>
      </c>
      <c r="AY656" s="52" t="n">
        <v>0</v>
      </c>
      <c r="AZ656" s="52" t="n">
        <v>0</v>
      </c>
      <c r="BA656" s="52" t="n">
        <v>0</v>
      </c>
      <c r="BB656" s="52" t="n">
        <v>32.99</v>
      </c>
      <c r="BC656" s="51" t="n">
        <v>1702</v>
      </c>
      <c r="BD656" s="51" t="n">
        <v>4374</v>
      </c>
      <c r="BE656" s="51" t="n">
        <v>3726</v>
      </c>
      <c r="BF656" s="51" t="n">
        <v>2982</v>
      </c>
    </row>
    <row r="657">
      <c r="A657">
        <f>HYPERLINK("https://www.walmart.com/ip/474881891", "474881891")</f>
        <v/>
      </c>
      <c r="B657" t="inlineStr">
        <is>
          <t>Catalonia Sherpa Wearable Blanket Poncho for Adult Women Men, Wrap Blanket Cape with Pocket, Warm, Soft, Cozy, Snuggly, Comfort Gift, No Sleeves, Vanilla</t>
        </is>
      </c>
      <c r="C657" t="inlineStr">
        <is>
          <t>1CTBP110VN</t>
        </is>
      </c>
      <c r="D657" t="inlineStr">
        <is>
          <t>Throws</t>
        </is>
      </c>
      <c r="E657" t="inlineStr">
        <is>
          <t>Catalonia</t>
        </is>
      </c>
      <c r="F657" t="inlineStr">
        <is>
          <t>Optimized,Hero 5 Holidays</t>
        </is>
      </c>
      <c r="G657" s="48" t="n">
        <v>0</v>
      </c>
      <c r="H657" s="48" t="n">
        <v>0</v>
      </c>
      <c r="I657" s="48" t="n">
        <v>0</v>
      </c>
      <c r="J657" s="48" t="n">
        <v>0</v>
      </c>
      <c r="K657" s="49" t="n">
        <v>0</v>
      </c>
      <c r="L657" s="49" t="n">
        <v>0</v>
      </c>
      <c r="M657" s="49" t="n">
        <v>0</v>
      </c>
      <c r="N657" s="49" t="n">
        <v>0</v>
      </c>
      <c r="O657" s="49" t="n">
        <v>0</v>
      </c>
      <c r="P657" s="49" t="n">
        <v>0</v>
      </c>
      <c r="Q657" s="49" t="n">
        <v>0</v>
      </c>
      <c r="R657" s="49" t="n">
        <v>0</v>
      </c>
      <c r="S657" s="50" t="n">
        <v>0</v>
      </c>
      <c r="T657" s="50" t="n">
        <v>0</v>
      </c>
      <c r="U657" s="50" t="n">
        <v>0</v>
      </c>
      <c r="V657" s="50" t="n">
        <v>0</v>
      </c>
      <c r="W657" s="51" t="n">
        <v>0</v>
      </c>
      <c r="X657" s="51" t="n">
        <v>0</v>
      </c>
      <c r="Y657" s="51" t="n">
        <v>0</v>
      </c>
      <c r="Z657" s="51" t="n">
        <v>0</v>
      </c>
      <c r="AA657" s="52" t="n">
        <v>0</v>
      </c>
      <c r="AB657" s="52" t="n">
        <v>0</v>
      </c>
      <c r="AC657" s="52" t="n">
        <v>0</v>
      </c>
      <c r="AD657" s="52" t="n">
        <v>0</v>
      </c>
      <c r="AE657" s="52" t="n">
        <v>0</v>
      </c>
      <c r="AF657" s="52" t="n">
        <v>0</v>
      </c>
      <c r="AG657" s="52" t="n">
        <v>0</v>
      </c>
      <c r="AH657" s="52" t="n">
        <v>0</v>
      </c>
      <c r="AI657" s="52" t="n">
        <v>0</v>
      </c>
      <c r="AJ657" s="52" t="n">
        <v>0</v>
      </c>
      <c r="AK657" s="52" t="n">
        <v>0</v>
      </c>
      <c r="AL657" s="52" t="n">
        <v>0</v>
      </c>
      <c r="AM657" s="53" t="n">
        <v>0</v>
      </c>
      <c r="AN657" s="53" t="n">
        <v>0</v>
      </c>
      <c r="AO657" s="53" t="n">
        <v>0</v>
      </c>
      <c r="AP657" s="53" t="n">
        <v>0</v>
      </c>
      <c r="AQ657" s="52" t="n">
        <v>0</v>
      </c>
      <c r="AR657" s="52" t="n">
        <v>0</v>
      </c>
      <c r="AS657" s="52" t="n">
        <v>0</v>
      </c>
      <c r="AT657" s="52" t="n">
        <v>0</v>
      </c>
      <c r="AU657" s="53" t="n">
        <v>0</v>
      </c>
      <c r="AV657" s="53" t="n">
        <v>0</v>
      </c>
      <c r="AW657" s="53" t="n">
        <v>0</v>
      </c>
      <c r="AX657" s="53" t="n">
        <v>0</v>
      </c>
      <c r="AY657" s="52" t="n">
        <v>0</v>
      </c>
      <c r="AZ657" s="52" t="n">
        <v>0</v>
      </c>
      <c r="BA657" s="52" t="n">
        <v>0</v>
      </c>
      <c r="BB657" s="52" t="n">
        <v>0</v>
      </c>
      <c r="BC657" s="51" t="n">
        <v>0</v>
      </c>
      <c r="BD657" s="51" t="n">
        <v>0</v>
      </c>
      <c r="BE657" s="51" t="n">
        <v>0</v>
      </c>
      <c r="BF657" s="51" t="n">
        <v>0</v>
      </c>
    </row>
    <row r="658">
      <c r="A658">
        <f>HYPERLINK("https://www.walmart.com/ip/474882210", "474882210")</f>
        <v/>
      </c>
      <c r="B658" t="inlineStr">
        <is>
          <t>Tirrinia Insulated Lunch Bag for Women Men, Leakproof Thermal Reusable Lunch Box with 4 Pockets for Adult Kids, Lunch Bag Cooler Tote for Office Work, Back to School, Black</t>
        </is>
      </c>
      <c r="C658" t="inlineStr">
        <is>
          <t>1TRLB702BK-N</t>
        </is>
      </c>
      <c r="D658" t="inlineStr">
        <is>
          <t>Reusable Lunch Bags &amp; Boxes</t>
        </is>
      </c>
      <c r="E658" t="inlineStr">
        <is>
          <t>Tirrinia</t>
        </is>
      </c>
      <c r="F658" t="inlineStr">
        <is>
          <t>Q2-Target,Brand Camp VD,Lunch Bag,Optimized,WFS,Lunch Bags,SEM,WFS Item,AMZ Bestsellers</t>
        </is>
      </c>
      <c r="G658" s="48" t="n">
        <v>0</v>
      </c>
      <c r="H658" s="48" t="n">
        <v>15.99</v>
      </c>
      <c r="I658" s="48" t="n">
        <v>0</v>
      </c>
      <c r="J658" s="48" t="n">
        <v>0</v>
      </c>
      <c r="K658" s="49" t="n">
        <v>0</v>
      </c>
      <c r="L658" s="49" t="n">
        <v>1</v>
      </c>
      <c r="M658" s="49" t="n">
        <v>0</v>
      </c>
      <c r="N658" s="49" t="n">
        <v>0</v>
      </c>
      <c r="O658" s="49" t="n">
        <v>2</v>
      </c>
      <c r="P658" s="49" t="n">
        <v>5</v>
      </c>
      <c r="Q658" s="49" t="n">
        <v>1</v>
      </c>
      <c r="R658" s="49" t="n">
        <v>2</v>
      </c>
      <c r="S658" s="50" t="n">
        <v>0</v>
      </c>
      <c r="T658" s="50" t="n">
        <v>0.2</v>
      </c>
      <c r="U658" s="50" t="n">
        <v>0</v>
      </c>
      <c r="V658" s="50" t="n">
        <v>0</v>
      </c>
      <c r="W658" s="51" t="n">
        <v>0</v>
      </c>
      <c r="X658" s="51" t="n">
        <v>0</v>
      </c>
      <c r="Y658" s="51" t="n">
        <v>0</v>
      </c>
      <c r="Z658" s="51" t="n">
        <v>0</v>
      </c>
      <c r="AA658" s="52" t="n">
        <v>0</v>
      </c>
      <c r="AB658" s="52" t="n">
        <v>0</v>
      </c>
      <c r="AC658" s="52" t="n">
        <v>0</v>
      </c>
      <c r="AD658" s="52" t="n">
        <v>0</v>
      </c>
      <c r="AE658" s="52" t="n">
        <v>0</v>
      </c>
      <c r="AF658" s="52" t="n">
        <v>0</v>
      </c>
      <c r="AG658" s="52" t="n">
        <v>0</v>
      </c>
      <c r="AH658" s="52" t="n">
        <v>0</v>
      </c>
      <c r="AI658" s="52" t="n">
        <v>0</v>
      </c>
      <c r="AJ658" s="52" t="n">
        <v>0</v>
      </c>
      <c r="AK658" s="52" t="n">
        <v>0</v>
      </c>
      <c r="AL658" s="52" t="n">
        <v>0</v>
      </c>
      <c r="AM658" s="53" t="n">
        <v>0</v>
      </c>
      <c r="AN658" s="53" t="n">
        <v>0</v>
      </c>
      <c r="AO658" s="53" t="n">
        <v>0</v>
      </c>
      <c r="AP658" s="53" t="n">
        <v>0</v>
      </c>
      <c r="AQ658" s="52" t="n">
        <v>0</v>
      </c>
      <c r="AR658" s="52" t="n">
        <v>0</v>
      </c>
      <c r="AS658" s="52" t="n">
        <v>0</v>
      </c>
      <c r="AT658" s="52" t="n">
        <v>0</v>
      </c>
      <c r="AU658" s="53" t="n">
        <v>0</v>
      </c>
      <c r="AV658" s="53" t="n">
        <v>0</v>
      </c>
      <c r="AW658" s="53" t="n">
        <v>0</v>
      </c>
      <c r="AX658" s="53" t="n">
        <v>0</v>
      </c>
      <c r="AY658" s="52" t="n">
        <v>0</v>
      </c>
      <c r="AZ658" s="52" t="n">
        <v>15.99</v>
      </c>
      <c r="BA658" s="52" t="n">
        <v>0</v>
      </c>
      <c r="BB658" s="52" t="n">
        <v>0</v>
      </c>
      <c r="BC658" s="51" t="n">
        <v>0</v>
      </c>
      <c r="BD658" s="51" t="n">
        <v>0</v>
      </c>
      <c r="BE658" s="51" t="n">
        <v>0</v>
      </c>
      <c r="BF658" s="51" t="n">
        <v>0</v>
      </c>
    </row>
    <row r="659">
      <c r="A659">
        <f>HYPERLINK("https://www.walmart.com/ip/474907580", "474907580")</f>
        <v/>
      </c>
      <c r="B659" t="inlineStr">
        <is>
          <t>Catalonia Oversized Hoodie Blanket with Zipper, Wearable Sherpa Sweatshirt Pullover, Soft Warm Comfortable Jacket for Adults Men Women, Grey</t>
        </is>
      </c>
      <c r="C659" t="inlineStr">
        <is>
          <t>1CTHD220GY</t>
        </is>
      </c>
      <c r="D659" t="inlineStr">
        <is>
          <t>Sweatshirts &amp; Hoodies</t>
        </is>
      </c>
      <c r="E659" t="inlineStr">
        <is>
          <t>Catalonia</t>
        </is>
      </c>
      <c r="F659" t="inlineStr">
        <is>
          <t>Hoodie ForAdult,WFS,Coupon_Discount,WFS Item</t>
        </is>
      </c>
      <c r="G659" s="48" t="n">
        <v>0</v>
      </c>
      <c r="H659" s="48" t="n">
        <v>0</v>
      </c>
      <c r="I659" s="48" t="n">
        <v>0</v>
      </c>
      <c r="J659" s="48" t="n">
        <v>0</v>
      </c>
      <c r="K659" s="49" t="n">
        <v>0</v>
      </c>
      <c r="L659" s="49" t="n">
        <v>0</v>
      </c>
      <c r="M659" s="49" t="n">
        <v>0</v>
      </c>
      <c r="N659" s="49" t="n">
        <v>0</v>
      </c>
      <c r="O659" s="49" t="n">
        <v>0</v>
      </c>
      <c r="P659" s="49" t="n">
        <v>0</v>
      </c>
      <c r="Q659" s="49" t="n">
        <v>0</v>
      </c>
      <c r="R659" s="49" t="n">
        <v>0</v>
      </c>
      <c r="S659" s="50" t="n">
        <v>0</v>
      </c>
      <c r="T659" s="50" t="n">
        <v>0</v>
      </c>
      <c r="U659" s="50" t="n">
        <v>0</v>
      </c>
      <c r="V659" s="50" t="n">
        <v>0</v>
      </c>
      <c r="W659" s="51" t="n">
        <v>0</v>
      </c>
      <c r="X659" s="51" t="n">
        <v>0</v>
      </c>
      <c r="Y659" s="51" t="n">
        <v>0</v>
      </c>
      <c r="Z659" s="51" t="n">
        <v>0</v>
      </c>
      <c r="AA659" s="52" t="n">
        <v>0</v>
      </c>
      <c r="AB659" s="52" t="n">
        <v>0</v>
      </c>
      <c r="AC659" s="52" t="n">
        <v>0</v>
      </c>
      <c r="AD659" s="52" t="n">
        <v>0</v>
      </c>
      <c r="AE659" s="52" t="n">
        <v>0</v>
      </c>
      <c r="AF659" s="52" t="n">
        <v>0</v>
      </c>
      <c r="AG659" s="52" t="n">
        <v>0</v>
      </c>
      <c r="AH659" s="52" t="n">
        <v>0</v>
      </c>
      <c r="AI659" s="52" t="n">
        <v>0</v>
      </c>
      <c r="AJ659" s="52" t="n">
        <v>0</v>
      </c>
      <c r="AK659" s="52" t="n">
        <v>0</v>
      </c>
      <c r="AL659" s="52" t="n">
        <v>0</v>
      </c>
      <c r="AM659" s="53" t="n">
        <v>0</v>
      </c>
      <c r="AN659" s="53" t="n">
        <v>0</v>
      </c>
      <c r="AO659" s="53" t="n">
        <v>0</v>
      </c>
      <c r="AP659" s="53" t="n">
        <v>0</v>
      </c>
      <c r="AQ659" s="52" t="n">
        <v>0</v>
      </c>
      <c r="AR659" s="52" t="n">
        <v>0</v>
      </c>
      <c r="AS659" s="52" t="n">
        <v>0</v>
      </c>
      <c r="AT659" s="52" t="n">
        <v>0</v>
      </c>
      <c r="AU659" s="53" t="n">
        <v>0</v>
      </c>
      <c r="AV659" s="53" t="n">
        <v>0</v>
      </c>
      <c r="AW659" s="53" t="n">
        <v>0</v>
      </c>
      <c r="AX659" s="53" t="n">
        <v>0</v>
      </c>
      <c r="AY659" s="52" t="n">
        <v>0</v>
      </c>
      <c r="AZ659" s="52" t="n">
        <v>0</v>
      </c>
      <c r="BA659" s="52" t="n">
        <v>0</v>
      </c>
      <c r="BB659" s="52" t="n">
        <v>0</v>
      </c>
      <c r="BC659" s="51" t="n">
        <v>0</v>
      </c>
      <c r="BD659" s="51" t="n">
        <v>0</v>
      </c>
      <c r="BE659" s="51" t="n">
        <v>0</v>
      </c>
      <c r="BF659" s="51" t="n">
        <v>0</v>
      </c>
    </row>
    <row r="660">
      <c r="A660">
        <f>HYPERLINK("https://www.walmart.com/ip/475563716", "475563716")</f>
        <v/>
      </c>
      <c r="B660" t="inlineStr">
        <is>
          <t>Tirrinia Comfy Wearable Fleece Blanket with Sleeves, Red Buffalo Plaid, 73" x 51"</t>
        </is>
      </c>
      <c r="C660" t="inlineStr">
        <is>
          <t>1TRSN100P2RD-TBCB</t>
        </is>
      </c>
      <c r="D660" t="inlineStr">
        <is>
          <t>Throws</t>
        </is>
      </c>
      <c r="E660" t="inlineStr">
        <is>
          <t>Tirrinia</t>
        </is>
      </c>
      <c r="F660" t="inlineStr">
        <is>
          <t>Optimized,Fleece Blankets</t>
        </is>
      </c>
      <c r="G660" s="48" t="n">
        <v>0</v>
      </c>
      <c r="H660" s="48" t="n">
        <v>0</v>
      </c>
      <c r="I660" s="48" t="n">
        <v>0</v>
      </c>
      <c r="J660" s="48" t="n">
        <v>0</v>
      </c>
      <c r="K660" s="49" t="n">
        <v>0</v>
      </c>
      <c r="L660" s="49" t="n">
        <v>0</v>
      </c>
      <c r="M660" s="49" t="n">
        <v>0</v>
      </c>
      <c r="N660" s="49" t="n">
        <v>0</v>
      </c>
      <c r="O660" s="49" t="n">
        <v>0</v>
      </c>
      <c r="P660" s="49" t="n">
        <v>0</v>
      </c>
      <c r="Q660" s="49" t="n">
        <v>0</v>
      </c>
      <c r="R660" s="49" t="n">
        <v>0</v>
      </c>
      <c r="S660" s="50" t="n">
        <v>0</v>
      </c>
      <c r="T660" s="50" t="n">
        <v>0</v>
      </c>
      <c r="U660" s="50" t="n">
        <v>0</v>
      </c>
      <c r="V660" s="50" t="n">
        <v>0</v>
      </c>
      <c r="W660" s="51" t="n">
        <v>0</v>
      </c>
      <c r="X660" s="51" t="n">
        <v>0</v>
      </c>
      <c r="Y660" s="51" t="n">
        <v>0</v>
      </c>
      <c r="Z660" s="51" t="n">
        <v>0</v>
      </c>
      <c r="AA660" s="52" t="n">
        <v>0</v>
      </c>
      <c r="AB660" s="52" t="n">
        <v>0</v>
      </c>
      <c r="AC660" s="52" t="n">
        <v>0</v>
      </c>
      <c r="AD660" s="52" t="n">
        <v>0</v>
      </c>
      <c r="AE660" s="52" t="n">
        <v>0</v>
      </c>
      <c r="AF660" s="52" t="n">
        <v>0</v>
      </c>
      <c r="AG660" s="52" t="n">
        <v>0</v>
      </c>
      <c r="AH660" s="52" t="n">
        <v>0</v>
      </c>
      <c r="AI660" s="52" t="n">
        <v>0</v>
      </c>
      <c r="AJ660" s="52" t="n">
        <v>0</v>
      </c>
      <c r="AK660" s="52" t="n">
        <v>0</v>
      </c>
      <c r="AL660" s="52" t="n">
        <v>0</v>
      </c>
      <c r="AM660" s="53" t="n">
        <v>0</v>
      </c>
      <c r="AN660" s="53" t="n">
        <v>0</v>
      </c>
      <c r="AO660" s="53" t="n">
        <v>0</v>
      </c>
      <c r="AP660" s="53" t="n">
        <v>0</v>
      </c>
      <c r="AQ660" s="52" t="n">
        <v>0</v>
      </c>
      <c r="AR660" s="52" t="n">
        <v>0</v>
      </c>
      <c r="AS660" s="52" t="n">
        <v>0</v>
      </c>
      <c r="AT660" s="52" t="n">
        <v>0</v>
      </c>
      <c r="AU660" s="53" t="n">
        <v>0</v>
      </c>
      <c r="AV660" s="53" t="n">
        <v>0</v>
      </c>
      <c r="AW660" s="53" t="n">
        <v>0</v>
      </c>
      <c r="AX660" s="53" t="n">
        <v>0</v>
      </c>
      <c r="AY660" s="52" t="n">
        <v>0</v>
      </c>
      <c r="AZ660" s="52" t="n">
        <v>0</v>
      </c>
      <c r="BA660" s="52" t="n">
        <v>0</v>
      </c>
      <c r="BB660" s="52" t="n">
        <v>0</v>
      </c>
      <c r="BC660" s="51" t="n">
        <v>0</v>
      </c>
      <c r="BD660" s="51" t="n">
        <v>0</v>
      </c>
      <c r="BE660" s="51" t="n">
        <v>0</v>
      </c>
      <c r="BF660" s="51" t="n">
        <v>0</v>
      </c>
    </row>
    <row r="661">
      <c r="A661">
        <f>HYPERLINK("https://www.walmart.com/ip/488675199", "488675199")</f>
        <v/>
      </c>
      <c r="B661" t="inlineStr">
        <is>
          <t>6 Bottle Wine Carrier - Insulated &amp; Padded Wine Carrying Cooler Tote Bag with Handle and Adjustable Shoulder Strap for Travel or Picnic, IDEAL Wine Lover Gift, Brown</t>
        </is>
      </c>
      <c r="C661" t="inlineStr">
        <is>
          <t>1TRWB620BR</t>
        </is>
      </c>
      <c r="D661" t="inlineStr">
        <is>
          <t>Wine Totes, Bags &amp; Backpacks</t>
        </is>
      </c>
      <c r="E661" t="inlineStr">
        <is>
          <t>Tirrinia</t>
        </is>
      </c>
      <c r="F661" t="inlineStr">
        <is>
          <t>Wine,Christmas,WFS,Wine WFS,Valentine,WFS Item,Lily Brand Camp</t>
        </is>
      </c>
      <c r="G661" s="48" t="n">
        <v>0</v>
      </c>
      <c r="H661" s="48" t="n">
        <v>0</v>
      </c>
      <c r="I661" s="48" t="n">
        <v>0</v>
      </c>
      <c r="J661" s="48" t="n">
        <v>0</v>
      </c>
      <c r="K661" s="49" t="n">
        <v>0</v>
      </c>
      <c r="L661" s="49" t="n">
        <v>0</v>
      </c>
      <c r="M661" s="49" t="n">
        <v>0</v>
      </c>
      <c r="N661" s="49" t="n">
        <v>0</v>
      </c>
      <c r="O661" s="49" t="n">
        <v>0</v>
      </c>
      <c r="P661" s="49" t="n">
        <v>0</v>
      </c>
      <c r="Q661" s="49" t="n">
        <v>0</v>
      </c>
      <c r="R661" s="49" t="n">
        <v>0</v>
      </c>
      <c r="S661" s="50" t="n">
        <v>0</v>
      </c>
      <c r="T661" s="50" t="n">
        <v>0</v>
      </c>
      <c r="U661" s="50" t="n">
        <v>0</v>
      </c>
      <c r="V661" s="50" t="n">
        <v>0</v>
      </c>
      <c r="W661" s="51" t="n">
        <v>0</v>
      </c>
      <c r="X661" s="51" t="n">
        <v>0</v>
      </c>
      <c r="Y661" s="51" t="n">
        <v>0</v>
      </c>
      <c r="Z661" s="51" t="n">
        <v>0</v>
      </c>
      <c r="AA661" s="52" t="n">
        <v>0</v>
      </c>
      <c r="AB661" s="52" t="n">
        <v>0</v>
      </c>
      <c r="AC661" s="52" t="n">
        <v>0</v>
      </c>
      <c r="AD661" s="52" t="n">
        <v>0</v>
      </c>
      <c r="AE661" s="52" t="n">
        <v>0</v>
      </c>
      <c r="AF661" s="52" t="n">
        <v>0</v>
      </c>
      <c r="AG661" s="52" t="n">
        <v>0</v>
      </c>
      <c r="AH661" s="52" t="n">
        <v>0</v>
      </c>
      <c r="AI661" s="52" t="n">
        <v>0</v>
      </c>
      <c r="AJ661" s="52" t="n">
        <v>0</v>
      </c>
      <c r="AK661" s="52" t="n">
        <v>0</v>
      </c>
      <c r="AL661" s="52" t="n">
        <v>0</v>
      </c>
      <c r="AM661" s="53" t="n">
        <v>0</v>
      </c>
      <c r="AN661" s="53" t="n">
        <v>0</v>
      </c>
      <c r="AO661" s="53" t="n">
        <v>0</v>
      </c>
      <c r="AP661" s="53" t="n">
        <v>0</v>
      </c>
      <c r="AQ661" s="52" t="n">
        <v>0</v>
      </c>
      <c r="AR661" s="52" t="n">
        <v>0</v>
      </c>
      <c r="AS661" s="52" t="n">
        <v>0</v>
      </c>
      <c r="AT661" s="52" t="n">
        <v>0</v>
      </c>
      <c r="AU661" s="53" t="n">
        <v>0</v>
      </c>
      <c r="AV661" s="53" t="n">
        <v>0</v>
      </c>
      <c r="AW661" s="53" t="n">
        <v>0</v>
      </c>
      <c r="AX661" s="53" t="n">
        <v>0</v>
      </c>
      <c r="AY661" s="52" t="n">
        <v>0</v>
      </c>
      <c r="AZ661" s="52" t="n">
        <v>0</v>
      </c>
      <c r="BA661" s="52" t="n">
        <v>0</v>
      </c>
      <c r="BB661" s="52" t="n">
        <v>0</v>
      </c>
      <c r="BC661" s="51" t="n">
        <v>0</v>
      </c>
      <c r="BD661" s="51" t="n">
        <v>0</v>
      </c>
      <c r="BE661" s="51" t="n">
        <v>0</v>
      </c>
      <c r="BF661" s="51" t="n">
        <v>0</v>
      </c>
    </row>
    <row r="662">
      <c r="A662">
        <f>HYPERLINK("https://www.walmart.com/ip/490918008", "490918008")</f>
        <v/>
      </c>
      <c r="B662" t="inlineStr">
        <is>
          <t>Tirrinia Unisex Surf Poncho Changing Towel Robe for Adult Surfer Swimmer Outdoor Beach</t>
        </is>
      </c>
      <c r="C662" t="inlineStr">
        <is>
          <t>1TRBR100-GL</t>
        </is>
      </c>
      <c r="D662" t="inlineStr">
        <is>
          <t>Towels &amp; Washcloths</t>
        </is>
      </c>
      <c r="E662" t="inlineStr">
        <is>
          <t>Tirrinia</t>
        </is>
      </c>
      <c r="F662" t="inlineStr">
        <is>
          <t>Batch 1 - TR</t>
        </is>
      </c>
      <c r="G662" s="48" t="n">
        <v>0</v>
      </c>
      <c r="H662" s="48" t="n">
        <v>0</v>
      </c>
      <c r="I662" s="48" t="n">
        <v>0</v>
      </c>
      <c r="J662" s="48" t="n">
        <v>0</v>
      </c>
      <c r="K662" s="49" t="n">
        <v>0</v>
      </c>
      <c r="L662" s="49" t="n">
        <v>0</v>
      </c>
      <c r="M662" s="49" t="n">
        <v>0</v>
      </c>
      <c r="N662" s="49" t="n">
        <v>0</v>
      </c>
      <c r="O662" s="49" t="n">
        <v>0</v>
      </c>
      <c r="P662" s="49" t="n">
        <v>0</v>
      </c>
      <c r="Q662" s="49" t="n">
        <v>0</v>
      </c>
      <c r="R662" s="49" t="n">
        <v>0</v>
      </c>
      <c r="S662" s="50" t="n">
        <v>0</v>
      </c>
      <c r="T662" s="50" t="n">
        <v>0</v>
      </c>
      <c r="U662" s="50" t="n">
        <v>0</v>
      </c>
      <c r="V662" s="50" t="n">
        <v>0</v>
      </c>
      <c r="W662" s="51" t="n">
        <v>0</v>
      </c>
      <c r="X662" s="51" t="n">
        <v>0</v>
      </c>
      <c r="Y662" s="51" t="n">
        <v>0</v>
      </c>
      <c r="Z662" s="51" t="n">
        <v>0</v>
      </c>
      <c r="AA662" s="52" t="n">
        <v>0</v>
      </c>
      <c r="AB662" s="52" t="n">
        <v>0</v>
      </c>
      <c r="AC662" s="52" t="n">
        <v>0</v>
      </c>
      <c r="AD662" s="52" t="n">
        <v>0</v>
      </c>
      <c r="AE662" s="52" t="n">
        <v>0</v>
      </c>
      <c r="AF662" s="52" t="n">
        <v>0</v>
      </c>
      <c r="AG662" s="52" t="n">
        <v>0</v>
      </c>
      <c r="AH662" s="52" t="n">
        <v>0</v>
      </c>
      <c r="AI662" s="52" t="n">
        <v>0</v>
      </c>
      <c r="AJ662" s="52" t="n">
        <v>0</v>
      </c>
      <c r="AK662" s="52" t="n">
        <v>0</v>
      </c>
      <c r="AL662" s="52" t="n">
        <v>0</v>
      </c>
      <c r="AM662" s="53" t="n">
        <v>0</v>
      </c>
      <c r="AN662" s="53" t="n">
        <v>0</v>
      </c>
      <c r="AO662" s="53" t="n">
        <v>0</v>
      </c>
      <c r="AP662" s="53" t="n">
        <v>0</v>
      </c>
      <c r="AQ662" s="52" t="n">
        <v>0</v>
      </c>
      <c r="AR662" s="52" t="n">
        <v>0</v>
      </c>
      <c r="AS662" s="52" t="n">
        <v>0</v>
      </c>
      <c r="AT662" s="52" t="n">
        <v>0</v>
      </c>
      <c r="AU662" s="53" t="n">
        <v>0</v>
      </c>
      <c r="AV662" s="53" t="n">
        <v>0</v>
      </c>
      <c r="AW662" s="53" t="n">
        <v>0</v>
      </c>
      <c r="AX662" s="53" t="n">
        <v>0</v>
      </c>
      <c r="AY662" s="52" t="n">
        <v>0</v>
      </c>
      <c r="AZ662" s="52" t="n">
        <v>0</v>
      </c>
      <c r="BA662" s="52" t="n">
        <v>0</v>
      </c>
      <c r="BB662" s="52" t="n">
        <v>0</v>
      </c>
      <c r="BC662" s="51" t="n">
        <v>0</v>
      </c>
      <c r="BD662" s="51" t="n">
        <v>0</v>
      </c>
      <c r="BE662" s="51" t="n">
        <v>0</v>
      </c>
      <c r="BF662" s="51" t="n">
        <v>0</v>
      </c>
    </row>
    <row r="663">
      <c r="A663">
        <f>HYPERLINK("https://www.walmart.com/ip/506641297", "506641297")</f>
        <v/>
      </c>
      <c r="B663" t="inlineStr">
        <is>
          <t>Solaris Winter Cable Knit Beanie Hats with Fur Pom Pom for Women Ski Cap</t>
        </is>
      </c>
      <c r="C663" t="inlineStr">
        <is>
          <t>1SLPPH02PK</t>
        </is>
      </c>
      <c r="D663" t="inlineStr">
        <is>
          <t>Hats</t>
        </is>
      </c>
      <c r="E663" t="inlineStr">
        <is>
          <t>Solaris</t>
        </is>
      </c>
      <c r="F663" t="inlineStr">
        <is>
          <t>Batch 1 - TR</t>
        </is>
      </c>
      <c r="G663" s="48" t="n">
        <v>0</v>
      </c>
      <c r="H663" s="48" t="n">
        <v>0</v>
      </c>
      <c r="I663" s="48" t="n">
        <v>0</v>
      </c>
      <c r="J663" s="48" t="n">
        <v>0</v>
      </c>
      <c r="K663" s="49" t="n">
        <v>0</v>
      </c>
      <c r="L663" s="49" t="n">
        <v>0</v>
      </c>
      <c r="M663" s="49" t="n">
        <v>0</v>
      </c>
      <c r="N663" s="49" t="n">
        <v>0</v>
      </c>
      <c r="O663" s="49" t="n">
        <v>0</v>
      </c>
      <c r="P663" s="49" t="n">
        <v>0</v>
      </c>
      <c r="Q663" s="49" t="n">
        <v>0</v>
      </c>
      <c r="R663" s="49" t="n">
        <v>0</v>
      </c>
      <c r="S663" s="50" t="n">
        <v>0</v>
      </c>
      <c r="T663" s="50" t="n">
        <v>0</v>
      </c>
      <c r="U663" s="50" t="n">
        <v>0</v>
      </c>
      <c r="V663" s="50" t="n">
        <v>0</v>
      </c>
      <c r="W663" s="51" t="n">
        <v>0</v>
      </c>
      <c r="X663" s="51" t="n">
        <v>0</v>
      </c>
      <c r="Y663" s="51" t="n">
        <v>0</v>
      </c>
      <c r="Z663" s="51" t="n">
        <v>0</v>
      </c>
      <c r="AA663" s="52" t="n">
        <v>0</v>
      </c>
      <c r="AB663" s="52" t="n">
        <v>0</v>
      </c>
      <c r="AC663" s="52" t="n">
        <v>0</v>
      </c>
      <c r="AD663" s="52" t="n">
        <v>0</v>
      </c>
      <c r="AE663" s="52" t="n">
        <v>0</v>
      </c>
      <c r="AF663" s="52" t="n">
        <v>0</v>
      </c>
      <c r="AG663" s="52" t="n">
        <v>0</v>
      </c>
      <c r="AH663" s="52" t="n">
        <v>0</v>
      </c>
      <c r="AI663" s="52" t="n">
        <v>0</v>
      </c>
      <c r="AJ663" s="52" t="n">
        <v>0</v>
      </c>
      <c r="AK663" s="52" t="n">
        <v>0</v>
      </c>
      <c r="AL663" s="52" t="n">
        <v>0</v>
      </c>
      <c r="AM663" s="53" t="n">
        <v>0</v>
      </c>
      <c r="AN663" s="53" t="n">
        <v>0</v>
      </c>
      <c r="AO663" s="53" t="n">
        <v>0</v>
      </c>
      <c r="AP663" s="53" t="n">
        <v>0</v>
      </c>
      <c r="AQ663" s="52" t="n">
        <v>0</v>
      </c>
      <c r="AR663" s="52" t="n">
        <v>0</v>
      </c>
      <c r="AS663" s="52" t="n">
        <v>0</v>
      </c>
      <c r="AT663" s="52" t="n">
        <v>0</v>
      </c>
      <c r="AU663" s="53" t="n">
        <v>0</v>
      </c>
      <c r="AV663" s="53" t="n">
        <v>0</v>
      </c>
      <c r="AW663" s="53" t="n">
        <v>0</v>
      </c>
      <c r="AX663" s="53" t="n">
        <v>0</v>
      </c>
      <c r="AY663" s="52" t="n">
        <v>0</v>
      </c>
      <c r="AZ663" s="52" t="n">
        <v>0</v>
      </c>
      <c r="BA663" s="52" t="n">
        <v>0</v>
      </c>
      <c r="BB663" s="52" t="n">
        <v>0</v>
      </c>
      <c r="BC663" s="51" t="n">
        <v>0</v>
      </c>
      <c r="BD663" s="51" t="n">
        <v>0</v>
      </c>
      <c r="BE663" s="51" t="n">
        <v>0</v>
      </c>
      <c r="BF663" s="51" t="n">
        <v>0</v>
      </c>
    </row>
    <row r="664">
      <c r="A664">
        <f>HYPERLINK("https://www.walmart.com/ip/491652277", "491652277")</f>
        <v/>
      </c>
      <c r="B664" t="inlineStr">
        <is>
          <t>Tirrinia Reversible Fleece Sherpa Blanket For Bed Or Couch, Camel, 60" x 80"</t>
        </is>
      </c>
      <c r="C664" t="inlineStr">
        <is>
          <t>1TRBF368CA-TBCB</t>
        </is>
      </c>
      <c r="D664" t="inlineStr">
        <is>
          <t>Throws</t>
        </is>
      </c>
      <c r="E664" t="inlineStr">
        <is>
          <t>Tirrinia</t>
        </is>
      </c>
      <c r="F664" t="inlineStr">
        <is>
          <t>Optimized</t>
        </is>
      </c>
      <c r="G664" s="48" t="n">
        <v>0</v>
      </c>
      <c r="H664" s="48" t="n">
        <v>0</v>
      </c>
      <c r="I664" s="48" t="n">
        <v>0</v>
      </c>
      <c r="J664" s="48" t="n">
        <v>0</v>
      </c>
      <c r="K664" s="49" t="n">
        <v>0</v>
      </c>
      <c r="L664" s="49" t="n">
        <v>0</v>
      </c>
      <c r="M664" s="49" t="n">
        <v>0</v>
      </c>
      <c r="N664" s="49" t="n">
        <v>0</v>
      </c>
      <c r="O664" s="49" t="n">
        <v>0</v>
      </c>
      <c r="P664" s="49" t="n">
        <v>0</v>
      </c>
      <c r="Q664" s="49" t="n">
        <v>0</v>
      </c>
      <c r="R664" s="49" t="n">
        <v>0</v>
      </c>
      <c r="S664" s="50" t="n">
        <v>0</v>
      </c>
      <c r="T664" s="50" t="n">
        <v>0</v>
      </c>
      <c r="U664" s="50" t="n">
        <v>0</v>
      </c>
      <c r="V664" s="50" t="n">
        <v>0</v>
      </c>
      <c r="W664" s="51" t="n">
        <v>0</v>
      </c>
      <c r="X664" s="51" t="n">
        <v>0</v>
      </c>
      <c r="Y664" s="51" t="n">
        <v>0</v>
      </c>
      <c r="Z664" s="51" t="n">
        <v>0</v>
      </c>
      <c r="AA664" s="52" t="n">
        <v>0</v>
      </c>
      <c r="AB664" s="52" t="n">
        <v>0</v>
      </c>
      <c r="AC664" s="52" t="n">
        <v>0</v>
      </c>
      <c r="AD664" s="52" t="n">
        <v>0</v>
      </c>
      <c r="AE664" s="52" t="n">
        <v>0</v>
      </c>
      <c r="AF664" s="52" t="n">
        <v>0</v>
      </c>
      <c r="AG664" s="52" t="n">
        <v>0</v>
      </c>
      <c r="AH664" s="52" t="n">
        <v>0</v>
      </c>
      <c r="AI664" s="52" t="n">
        <v>0</v>
      </c>
      <c r="AJ664" s="52" t="n">
        <v>0</v>
      </c>
      <c r="AK664" s="52" t="n">
        <v>0</v>
      </c>
      <c r="AL664" s="52" t="n">
        <v>0</v>
      </c>
      <c r="AM664" s="53" t="n">
        <v>0</v>
      </c>
      <c r="AN664" s="53" t="n">
        <v>0</v>
      </c>
      <c r="AO664" s="53" t="n">
        <v>0</v>
      </c>
      <c r="AP664" s="53" t="n">
        <v>0</v>
      </c>
      <c r="AQ664" s="52" t="n">
        <v>0</v>
      </c>
      <c r="AR664" s="52" t="n">
        <v>0</v>
      </c>
      <c r="AS664" s="52" t="n">
        <v>0</v>
      </c>
      <c r="AT664" s="52" t="n">
        <v>0</v>
      </c>
      <c r="AU664" s="53" t="n">
        <v>0</v>
      </c>
      <c r="AV664" s="53" t="n">
        <v>0</v>
      </c>
      <c r="AW664" s="53" t="n">
        <v>0</v>
      </c>
      <c r="AX664" s="53" t="n">
        <v>0</v>
      </c>
      <c r="AY664" s="52" t="n">
        <v>0</v>
      </c>
      <c r="AZ664" s="52" t="n">
        <v>0</v>
      </c>
      <c r="BA664" s="52" t="n">
        <v>0</v>
      </c>
      <c r="BB664" s="52" t="n">
        <v>0</v>
      </c>
      <c r="BC664" s="51" t="n">
        <v>0</v>
      </c>
      <c r="BD664" s="51" t="n">
        <v>0</v>
      </c>
      <c r="BE664" s="51" t="n">
        <v>0</v>
      </c>
      <c r="BF664" s="51" t="n">
        <v>0</v>
      </c>
    </row>
    <row r="665">
      <c r="A665">
        <f>HYPERLINK("https://www.walmart.com/ip/5027367827", "5027367827")</f>
        <v/>
      </c>
      <c r="B665" t="inlineStr">
        <is>
          <t>Tirrinia Extra Large Waterproof Picnic Blanket Lightweight Portable Camping Mat for Family Travel, Park, Grass, Hiking, Outdoor, Stadium, Concerts, Blue and White Checkered, 60' 'X 80''.</t>
        </is>
      </c>
      <c r="C665" t="inlineStr">
        <is>
          <t>1TRBW608S1PBL</t>
        </is>
      </c>
      <c r="D665" t="inlineStr">
        <is>
          <t>Picnic Blankets &amp; Mats</t>
        </is>
      </c>
      <c r="E665" t="inlineStr">
        <is>
          <t>Tirrinia</t>
        </is>
      </c>
      <c r="F665" t="inlineStr">
        <is>
          <t>Q2-Target</t>
        </is>
      </c>
      <c r="G665" s="48" t="n">
        <v>0</v>
      </c>
      <c r="H665" s="48" t="n">
        <v>0</v>
      </c>
      <c r="I665" s="48" t="n">
        <v>0</v>
      </c>
      <c r="J665" s="48" t="n">
        <v>0</v>
      </c>
      <c r="K665" s="49" t="n">
        <v>0</v>
      </c>
      <c r="L665" s="49" t="n">
        <v>0</v>
      </c>
      <c r="M665" s="49" t="n">
        <v>0</v>
      </c>
      <c r="N665" s="49" t="n">
        <v>0</v>
      </c>
      <c r="O665" s="49" t="n">
        <v>0</v>
      </c>
      <c r="P665" s="49" t="n">
        <v>0</v>
      </c>
      <c r="Q665" s="49" t="n">
        <v>0</v>
      </c>
      <c r="R665" s="49" t="n">
        <v>2</v>
      </c>
      <c r="S665" s="50" t="n">
        <v>0</v>
      </c>
      <c r="T665" s="50" t="n">
        <v>0</v>
      </c>
      <c r="U665" s="50" t="n">
        <v>0</v>
      </c>
      <c r="V665" s="50" t="n">
        <v>0</v>
      </c>
      <c r="W665" s="51" t="n">
        <v>0</v>
      </c>
      <c r="X665" s="51" t="n">
        <v>0</v>
      </c>
      <c r="Y665" s="51" t="n">
        <v>0</v>
      </c>
      <c r="Z665" s="51" t="n">
        <v>1</v>
      </c>
      <c r="AA665" s="52" t="n">
        <v>0</v>
      </c>
      <c r="AB665" s="52" t="n">
        <v>0</v>
      </c>
      <c r="AC665" s="52" t="n">
        <v>0</v>
      </c>
      <c r="AD665" s="52" t="n">
        <v>0.31</v>
      </c>
      <c r="AE665" s="52" t="n">
        <v>0</v>
      </c>
      <c r="AF665" s="52" t="n">
        <v>0</v>
      </c>
      <c r="AG665" s="52" t="n">
        <v>0</v>
      </c>
      <c r="AH665" s="52" t="n">
        <v>0</v>
      </c>
      <c r="AI665" s="52" t="n">
        <v>0</v>
      </c>
      <c r="AJ665" s="52" t="n">
        <v>0</v>
      </c>
      <c r="AK665" s="52" t="n">
        <v>0</v>
      </c>
      <c r="AL665" s="52" t="n">
        <v>0</v>
      </c>
      <c r="AM665" s="53" t="n">
        <v>0</v>
      </c>
      <c r="AN665" s="53" t="n">
        <v>0</v>
      </c>
      <c r="AO665" s="53" t="n">
        <v>0</v>
      </c>
      <c r="AP665" s="53" t="n">
        <v>0.0016</v>
      </c>
      <c r="AQ665" s="52" t="n">
        <v>0</v>
      </c>
      <c r="AR665" s="52" t="n">
        <v>0</v>
      </c>
      <c r="AS665" s="52" t="n">
        <v>0</v>
      </c>
      <c r="AT665" s="52" t="n">
        <v>0.31</v>
      </c>
      <c r="AU665" s="53" t="n">
        <v>0</v>
      </c>
      <c r="AV665" s="53" t="n">
        <v>0</v>
      </c>
      <c r="AW665" s="53" t="n">
        <v>0</v>
      </c>
      <c r="AX665" s="53" t="n">
        <v>0</v>
      </c>
      <c r="AY665" s="52" t="n">
        <v>0</v>
      </c>
      <c r="AZ665" s="52" t="n">
        <v>0</v>
      </c>
      <c r="BA665" s="52" t="n">
        <v>0</v>
      </c>
      <c r="BB665" s="52" t="n">
        <v>0</v>
      </c>
      <c r="BC665" s="51" t="n">
        <v>0</v>
      </c>
      <c r="BD665" s="51" t="n">
        <v>0</v>
      </c>
      <c r="BE665" s="51" t="n">
        <v>0</v>
      </c>
      <c r="BF665" s="51" t="n">
        <v>623</v>
      </c>
    </row>
    <row r="666">
      <c r="A666">
        <f>HYPERLINK("https://www.walmart.com/ip/5027864180", "5027864180")</f>
        <v/>
      </c>
      <c r="B666" t="inlineStr">
        <is>
          <t>Tirrinia Extra Large Waterproof Fleece Blanket, Lightweight and Portable Camping Mat for Family Travel, Park, Grass, Hiking, Outdoor, Stadium, and Concerts, Red and White Checkered, 60'' x 80''</t>
        </is>
      </c>
      <c r="C666" t="inlineStr">
        <is>
          <t>1TRBW608S1PRD</t>
        </is>
      </c>
      <c r="D666" t="inlineStr">
        <is>
          <t>Throws</t>
        </is>
      </c>
      <c r="E666" t="inlineStr">
        <is>
          <t>Tirrinia</t>
        </is>
      </c>
      <c r="G666" s="48" t="n">
        <v>0</v>
      </c>
      <c r="H666" s="48" t="n">
        <v>0</v>
      </c>
      <c r="I666" s="48" t="n">
        <v>25.99</v>
      </c>
      <c r="J666" s="48" t="n">
        <v>0</v>
      </c>
      <c r="K666" s="49" t="n">
        <v>0</v>
      </c>
      <c r="L666" s="49" t="n">
        <v>0</v>
      </c>
      <c r="M666" s="49" t="n">
        <v>1</v>
      </c>
      <c r="N666" s="49" t="n">
        <v>0</v>
      </c>
      <c r="O666" s="49" t="n">
        <v>0</v>
      </c>
      <c r="P666" s="49" t="n">
        <v>0</v>
      </c>
      <c r="Q666" s="49" t="n">
        <v>0</v>
      </c>
      <c r="R666" s="49" t="n">
        <v>0</v>
      </c>
      <c r="S666" s="50" t="n">
        <v>0</v>
      </c>
      <c r="T666" s="50" t="n">
        <v>0</v>
      </c>
      <c r="U666" s="50" t="n">
        <v>0</v>
      </c>
      <c r="V666" s="50" t="n">
        <v>0</v>
      </c>
      <c r="W666" s="51" t="n">
        <v>0</v>
      </c>
      <c r="X666" s="51" t="n">
        <v>0</v>
      </c>
      <c r="Y666" s="51" t="n">
        <v>0</v>
      </c>
      <c r="Z666" s="51" t="n">
        <v>1</v>
      </c>
      <c r="AA666" s="52" t="n">
        <v>0</v>
      </c>
      <c r="AB666" s="52" t="n">
        <v>0</v>
      </c>
      <c r="AC666" s="52" t="n">
        <v>0</v>
      </c>
      <c r="AD666" s="52" t="n">
        <v>0.22</v>
      </c>
      <c r="AE666" s="52" t="n">
        <v>0</v>
      </c>
      <c r="AF666" s="52" t="n">
        <v>0</v>
      </c>
      <c r="AG666" s="52" t="n">
        <v>0</v>
      </c>
      <c r="AH666" s="52" t="n">
        <v>0</v>
      </c>
      <c r="AI666" s="52" t="n">
        <v>0</v>
      </c>
      <c r="AJ666" s="52" t="n">
        <v>0</v>
      </c>
      <c r="AK666" s="52" t="n">
        <v>0</v>
      </c>
      <c r="AL666" s="52" t="n">
        <v>0</v>
      </c>
      <c r="AM666" s="53" t="n">
        <v>0</v>
      </c>
      <c r="AN666" s="53" t="n">
        <v>0</v>
      </c>
      <c r="AO666" s="53" t="n">
        <v>0</v>
      </c>
      <c r="AP666" s="53" t="n">
        <v>0.0056</v>
      </c>
      <c r="AQ666" s="52" t="n">
        <v>0</v>
      </c>
      <c r="AR666" s="52" t="n">
        <v>0</v>
      </c>
      <c r="AS666" s="52" t="n">
        <v>0</v>
      </c>
      <c r="AT666" s="52" t="n">
        <v>0.22</v>
      </c>
      <c r="AU666" s="53" t="n">
        <v>0</v>
      </c>
      <c r="AV666" s="53" t="n">
        <v>0</v>
      </c>
      <c r="AW666" s="53" t="n">
        <v>0</v>
      </c>
      <c r="AX666" s="53" t="n">
        <v>0</v>
      </c>
      <c r="AY666" s="52" t="n">
        <v>0</v>
      </c>
      <c r="AZ666" s="52" t="n">
        <v>0</v>
      </c>
      <c r="BA666" s="52" t="n">
        <v>25.99</v>
      </c>
      <c r="BB666" s="52" t="n">
        <v>0</v>
      </c>
      <c r="BC666" s="51" t="n">
        <v>2</v>
      </c>
      <c r="BD666" s="51" t="n">
        <v>0</v>
      </c>
      <c r="BE666" s="51" t="n">
        <v>0</v>
      </c>
      <c r="BF666" s="51" t="n">
        <v>177</v>
      </c>
    </row>
    <row r="667">
      <c r="A667">
        <f>HYPERLINK("https://www.walmart.com/ip/503072476", "503072476")</f>
        <v/>
      </c>
      <c r="B667" t="inlineStr">
        <is>
          <t>Tirrinia Insulated Wine Carrier Tote - Travel Padded 2 Bottle Wine/ Champagne Cooler Bag with Handle and Adjustable Shoulder Strap, Great Wine Lover Gift, Blue</t>
        </is>
      </c>
      <c r="C667" t="inlineStr">
        <is>
          <t>1TRWB211BL</t>
        </is>
      </c>
      <c r="D667" t="inlineStr">
        <is>
          <t>Wine Totes, Bags &amp; Backpacks</t>
        </is>
      </c>
      <c r="E667" t="inlineStr">
        <is>
          <t>Tirrinia</t>
        </is>
      </c>
      <c r="F667" t="inlineStr">
        <is>
          <t>Wine,Wine Bag Camp,Christmas,WFS,Wine WFS,Valentine,SEM,WFS Item,Lily Brand Camp</t>
        </is>
      </c>
      <c r="G667" s="48" t="n">
        <v>0</v>
      </c>
      <c r="H667" s="48" t="n">
        <v>0</v>
      </c>
      <c r="I667" s="48" t="n">
        <v>0</v>
      </c>
      <c r="J667" s="48" t="n">
        <v>0</v>
      </c>
      <c r="K667" s="49" t="n">
        <v>0</v>
      </c>
      <c r="L667" s="49" t="n">
        <v>0</v>
      </c>
      <c r="M667" s="49" t="n">
        <v>0</v>
      </c>
      <c r="N667" s="49" t="n">
        <v>0</v>
      </c>
      <c r="O667" s="49" t="n">
        <v>0</v>
      </c>
      <c r="P667" s="49" t="n">
        <v>0</v>
      </c>
      <c r="Q667" s="49" t="n">
        <v>0</v>
      </c>
      <c r="R667" s="49" t="n">
        <v>0</v>
      </c>
      <c r="S667" s="50" t="n">
        <v>0</v>
      </c>
      <c r="T667" s="50" t="n">
        <v>0</v>
      </c>
      <c r="U667" s="50" t="n">
        <v>0</v>
      </c>
      <c r="V667" s="50" t="n">
        <v>0</v>
      </c>
      <c r="W667" s="51" t="n">
        <v>0</v>
      </c>
      <c r="X667" s="51" t="n">
        <v>0</v>
      </c>
      <c r="Y667" s="51" t="n">
        <v>0</v>
      </c>
      <c r="Z667" s="51" t="n">
        <v>0</v>
      </c>
      <c r="AA667" s="52" t="n">
        <v>0</v>
      </c>
      <c r="AB667" s="52" t="n">
        <v>0</v>
      </c>
      <c r="AC667" s="52" t="n">
        <v>0</v>
      </c>
      <c r="AD667" s="52" t="n">
        <v>0</v>
      </c>
      <c r="AE667" s="52" t="n">
        <v>0</v>
      </c>
      <c r="AF667" s="52" t="n">
        <v>0</v>
      </c>
      <c r="AG667" s="52" t="n">
        <v>0</v>
      </c>
      <c r="AH667" s="52" t="n">
        <v>0</v>
      </c>
      <c r="AI667" s="52" t="n">
        <v>0</v>
      </c>
      <c r="AJ667" s="52" t="n">
        <v>0</v>
      </c>
      <c r="AK667" s="52" t="n">
        <v>0</v>
      </c>
      <c r="AL667" s="52" t="n">
        <v>0</v>
      </c>
      <c r="AM667" s="53" t="n">
        <v>0</v>
      </c>
      <c r="AN667" s="53" t="n">
        <v>0</v>
      </c>
      <c r="AO667" s="53" t="n">
        <v>0</v>
      </c>
      <c r="AP667" s="53" t="n">
        <v>0</v>
      </c>
      <c r="AQ667" s="52" t="n">
        <v>0</v>
      </c>
      <c r="AR667" s="52" t="n">
        <v>0</v>
      </c>
      <c r="AS667" s="52" t="n">
        <v>0</v>
      </c>
      <c r="AT667" s="52" t="n">
        <v>0</v>
      </c>
      <c r="AU667" s="53" t="n">
        <v>0</v>
      </c>
      <c r="AV667" s="53" t="n">
        <v>0</v>
      </c>
      <c r="AW667" s="53" t="n">
        <v>0</v>
      </c>
      <c r="AX667" s="53" t="n">
        <v>0</v>
      </c>
      <c r="AY667" s="52" t="n">
        <v>0</v>
      </c>
      <c r="AZ667" s="52" t="n">
        <v>0</v>
      </c>
      <c r="BA667" s="52" t="n">
        <v>0</v>
      </c>
      <c r="BB667" s="52" t="n">
        <v>0</v>
      </c>
      <c r="BC667" s="51" t="n">
        <v>3</v>
      </c>
      <c r="BD667" s="51" t="n">
        <v>0</v>
      </c>
      <c r="BE667" s="51" t="n">
        <v>0</v>
      </c>
      <c r="BF667" s="51" t="n">
        <v>0</v>
      </c>
    </row>
    <row r="668">
      <c r="A668">
        <f>HYPERLINK("https://www.walmart.com/ip/503352427", "503352427")</f>
        <v/>
      </c>
      <c r="B668" t="inlineStr">
        <is>
          <t>JenniWears Women Crotchless Lace Panty Plus Size Thong Open Crotch Black 3XL</t>
        </is>
      </c>
      <c r="C668" t="inlineStr">
        <is>
          <t>JWPT04BK-3XL</t>
        </is>
      </c>
      <c r="D668" t="inlineStr">
        <is>
          <t>Panties</t>
        </is>
      </c>
      <c r="E668" t="inlineStr">
        <is>
          <t>JenniWears</t>
        </is>
      </c>
      <c r="F668" t="inlineStr">
        <is>
          <t>WFS,Valentine,WFS Item</t>
        </is>
      </c>
      <c r="G668" s="48" t="n">
        <v>0</v>
      </c>
      <c r="H668" s="48" t="n">
        <v>0</v>
      </c>
      <c r="I668" s="48" t="n">
        <v>0</v>
      </c>
      <c r="J668" s="48" t="n">
        <v>0</v>
      </c>
      <c r="K668" s="49" t="n">
        <v>0</v>
      </c>
      <c r="L668" s="49" t="n">
        <v>0</v>
      </c>
      <c r="M668" s="49" t="n">
        <v>0</v>
      </c>
      <c r="N668" s="49" t="n">
        <v>0</v>
      </c>
      <c r="O668" s="49" t="n">
        <v>0</v>
      </c>
      <c r="P668" s="49" t="n">
        <v>0</v>
      </c>
      <c r="Q668" s="49" t="n">
        <v>0</v>
      </c>
      <c r="R668" s="49" t="n">
        <v>0</v>
      </c>
      <c r="S668" s="50" t="n">
        <v>0</v>
      </c>
      <c r="T668" s="50" t="n">
        <v>0</v>
      </c>
      <c r="U668" s="50" t="n">
        <v>0</v>
      </c>
      <c r="V668" s="50" t="n">
        <v>0</v>
      </c>
      <c r="W668" s="51" t="n">
        <v>0</v>
      </c>
      <c r="X668" s="51" t="n">
        <v>0</v>
      </c>
      <c r="Y668" s="51" t="n">
        <v>0</v>
      </c>
      <c r="Z668" s="51" t="n">
        <v>0</v>
      </c>
      <c r="AA668" s="52" t="n">
        <v>0</v>
      </c>
      <c r="AB668" s="52" t="n">
        <v>0</v>
      </c>
      <c r="AC668" s="52" t="n">
        <v>0</v>
      </c>
      <c r="AD668" s="52" t="n">
        <v>0</v>
      </c>
      <c r="AE668" s="52" t="n">
        <v>0</v>
      </c>
      <c r="AF668" s="52" t="n">
        <v>0</v>
      </c>
      <c r="AG668" s="52" t="n">
        <v>0</v>
      </c>
      <c r="AH668" s="52" t="n">
        <v>0</v>
      </c>
      <c r="AI668" s="52" t="n">
        <v>0</v>
      </c>
      <c r="AJ668" s="52" t="n">
        <v>0</v>
      </c>
      <c r="AK668" s="52" t="n">
        <v>0</v>
      </c>
      <c r="AL668" s="52" t="n">
        <v>0</v>
      </c>
      <c r="AM668" s="53" t="n">
        <v>0</v>
      </c>
      <c r="AN668" s="53" t="n">
        <v>0</v>
      </c>
      <c r="AO668" s="53" t="n">
        <v>0</v>
      </c>
      <c r="AP668" s="53" t="n">
        <v>0</v>
      </c>
      <c r="AQ668" s="52" t="n">
        <v>0</v>
      </c>
      <c r="AR668" s="52" t="n">
        <v>0</v>
      </c>
      <c r="AS668" s="52" t="n">
        <v>0</v>
      </c>
      <c r="AT668" s="52" t="n">
        <v>0</v>
      </c>
      <c r="AU668" s="53" t="n">
        <v>0</v>
      </c>
      <c r="AV668" s="53" t="n">
        <v>0</v>
      </c>
      <c r="AW668" s="53" t="n">
        <v>0</v>
      </c>
      <c r="AX668" s="53" t="n">
        <v>0</v>
      </c>
      <c r="AY668" s="52" t="n">
        <v>0</v>
      </c>
      <c r="AZ668" s="52" t="n">
        <v>0</v>
      </c>
      <c r="BA668" s="52" t="n">
        <v>0</v>
      </c>
      <c r="BB668" s="52" t="n">
        <v>0</v>
      </c>
      <c r="BC668" s="51" t="n">
        <v>0</v>
      </c>
      <c r="BD668" s="51" t="n">
        <v>0</v>
      </c>
      <c r="BE668" s="51" t="n">
        <v>0</v>
      </c>
      <c r="BF668" s="51" t="n">
        <v>0</v>
      </c>
    </row>
    <row r="669">
      <c r="A669">
        <f>HYPERLINK("https://www.walmart.com/ip/504289643", "504289643")</f>
        <v/>
      </c>
      <c r="B669" t="inlineStr">
        <is>
          <t>Wine Bottle Opener Set - 5 Pcs Wine Corkscrew Screwpull Accessories Kit with Drink Stickers by Kato, Perfect Wedding Gifts for Wine Lover u0026 Drinker, Red &amp; Black</t>
        </is>
      </c>
      <c r="C669" t="inlineStr">
        <is>
          <t>1KTWO501RDBK</t>
        </is>
      </c>
      <c r="D669" t="inlineStr">
        <is>
          <t>Corkscrews &amp; Wine Bottle Openers</t>
        </is>
      </c>
      <c r="E669" t="inlineStr">
        <is>
          <t>Kato</t>
        </is>
      </c>
      <c r="F669" t="inlineStr">
        <is>
          <t>Wine,Christmas,WFS,Wine WFS,Valentine,WFS Item</t>
        </is>
      </c>
      <c r="G669" s="48" t="n">
        <v>0</v>
      </c>
      <c r="H669" s="48" t="n">
        <v>0</v>
      </c>
      <c r="I669" s="48" t="n">
        <v>0</v>
      </c>
      <c r="J669" s="48" t="n">
        <v>0</v>
      </c>
      <c r="K669" s="49" t="n">
        <v>0</v>
      </c>
      <c r="L669" s="49" t="n">
        <v>0</v>
      </c>
      <c r="M669" s="49" t="n">
        <v>0</v>
      </c>
      <c r="N669" s="49" t="n">
        <v>0</v>
      </c>
      <c r="O669" s="49" t="n">
        <v>0</v>
      </c>
      <c r="P669" s="49" t="n">
        <v>0</v>
      </c>
      <c r="Q669" s="49" t="n">
        <v>0</v>
      </c>
      <c r="R669" s="49" t="n">
        <v>0</v>
      </c>
      <c r="S669" s="50" t="n">
        <v>0</v>
      </c>
      <c r="T669" s="50" t="n">
        <v>0</v>
      </c>
      <c r="U669" s="50" t="n">
        <v>0</v>
      </c>
      <c r="V669" s="50" t="n">
        <v>0</v>
      </c>
      <c r="W669" s="51" t="n">
        <v>0</v>
      </c>
      <c r="X669" s="51" t="n">
        <v>0</v>
      </c>
      <c r="Y669" s="51" t="n">
        <v>0</v>
      </c>
      <c r="Z669" s="51" t="n">
        <v>0</v>
      </c>
      <c r="AA669" s="52" t="n">
        <v>0</v>
      </c>
      <c r="AB669" s="52" t="n">
        <v>0</v>
      </c>
      <c r="AC669" s="52" t="n">
        <v>0</v>
      </c>
      <c r="AD669" s="52" t="n">
        <v>0</v>
      </c>
      <c r="AE669" s="52" t="n">
        <v>0</v>
      </c>
      <c r="AF669" s="52" t="n">
        <v>0</v>
      </c>
      <c r="AG669" s="52" t="n">
        <v>0</v>
      </c>
      <c r="AH669" s="52" t="n">
        <v>0</v>
      </c>
      <c r="AI669" s="52" t="n">
        <v>0</v>
      </c>
      <c r="AJ669" s="52" t="n">
        <v>0</v>
      </c>
      <c r="AK669" s="52" t="n">
        <v>0</v>
      </c>
      <c r="AL669" s="52" t="n">
        <v>0</v>
      </c>
      <c r="AM669" s="53" t="n">
        <v>0</v>
      </c>
      <c r="AN669" s="53" t="n">
        <v>0</v>
      </c>
      <c r="AO669" s="53" t="n">
        <v>0</v>
      </c>
      <c r="AP669" s="53" t="n">
        <v>0</v>
      </c>
      <c r="AQ669" s="52" t="n">
        <v>0</v>
      </c>
      <c r="AR669" s="52" t="n">
        <v>0</v>
      </c>
      <c r="AS669" s="52" t="n">
        <v>0</v>
      </c>
      <c r="AT669" s="52" t="n">
        <v>0</v>
      </c>
      <c r="AU669" s="53" t="n">
        <v>0</v>
      </c>
      <c r="AV669" s="53" t="n">
        <v>0</v>
      </c>
      <c r="AW669" s="53" t="n">
        <v>0</v>
      </c>
      <c r="AX669" s="53" t="n">
        <v>0</v>
      </c>
      <c r="AY669" s="52" t="n">
        <v>0</v>
      </c>
      <c r="AZ669" s="52" t="n">
        <v>0</v>
      </c>
      <c r="BA669" s="52" t="n">
        <v>0</v>
      </c>
      <c r="BB669" s="52" t="n">
        <v>0</v>
      </c>
      <c r="BC669" s="51" t="n">
        <v>0</v>
      </c>
      <c r="BD669" s="51" t="n">
        <v>0</v>
      </c>
      <c r="BE669" s="51" t="n">
        <v>0</v>
      </c>
      <c r="BF669" s="51" t="n">
        <v>0</v>
      </c>
    </row>
    <row r="670">
      <c r="A670">
        <f>HYPERLINK("https://www.walmart.com/ip/504587551", "504587551")</f>
        <v/>
      </c>
      <c r="B670" t="inlineStr">
        <is>
          <t>Tirrinia Insulated 2 Bottle Wine Carrier Tote Cooler Bag for Travel Picnic Padded Champagne Glass</t>
        </is>
      </c>
      <c r="C670" t="inlineStr">
        <is>
          <t>1WMWB231DBL</t>
        </is>
      </c>
      <c r="D670" t="inlineStr">
        <is>
          <t>Wine Totes, Bags &amp; Backpacks</t>
        </is>
      </c>
      <c r="E670" t="inlineStr">
        <is>
          <t>Flyingstar</t>
        </is>
      </c>
      <c r="F670" t="inlineStr">
        <is>
          <t>Wine,Christmas,Valentine</t>
        </is>
      </c>
      <c r="G670" s="48" t="n">
        <v>0</v>
      </c>
      <c r="H670" s="48" t="n">
        <v>0</v>
      </c>
      <c r="I670" s="48" t="n">
        <v>0</v>
      </c>
      <c r="J670" s="48" t="n">
        <v>0</v>
      </c>
      <c r="K670" s="49" t="n">
        <v>0</v>
      </c>
      <c r="L670" s="49" t="n">
        <v>0</v>
      </c>
      <c r="M670" s="49" t="n">
        <v>0</v>
      </c>
      <c r="N670" s="49" t="n">
        <v>0</v>
      </c>
      <c r="O670" s="49" t="n">
        <v>0</v>
      </c>
      <c r="P670" s="49" t="n">
        <v>0</v>
      </c>
      <c r="Q670" s="49" t="n">
        <v>0</v>
      </c>
      <c r="R670" s="49" t="n">
        <v>0</v>
      </c>
      <c r="S670" s="50" t="n">
        <v>0</v>
      </c>
      <c r="T670" s="50" t="n">
        <v>0</v>
      </c>
      <c r="U670" s="50" t="n">
        <v>0</v>
      </c>
      <c r="V670" s="50" t="n">
        <v>0</v>
      </c>
      <c r="W670" s="51" t="n">
        <v>0</v>
      </c>
      <c r="X670" s="51" t="n">
        <v>0</v>
      </c>
      <c r="Y670" s="51" t="n">
        <v>0</v>
      </c>
      <c r="Z670" s="51" t="n">
        <v>0</v>
      </c>
      <c r="AA670" s="52" t="n">
        <v>0</v>
      </c>
      <c r="AB670" s="52" t="n">
        <v>0</v>
      </c>
      <c r="AC670" s="52" t="n">
        <v>0</v>
      </c>
      <c r="AD670" s="52" t="n">
        <v>0</v>
      </c>
      <c r="AE670" s="52" t="n">
        <v>0</v>
      </c>
      <c r="AF670" s="52" t="n">
        <v>0</v>
      </c>
      <c r="AG670" s="52" t="n">
        <v>0</v>
      </c>
      <c r="AH670" s="52" t="n">
        <v>0</v>
      </c>
      <c r="AI670" s="52" t="n">
        <v>0</v>
      </c>
      <c r="AJ670" s="52" t="n">
        <v>0</v>
      </c>
      <c r="AK670" s="52" t="n">
        <v>0</v>
      </c>
      <c r="AL670" s="52" t="n">
        <v>0</v>
      </c>
      <c r="AM670" s="53" t="n">
        <v>0</v>
      </c>
      <c r="AN670" s="53" t="n">
        <v>0</v>
      </c>
      <c r="AO670" s="53" t="n">
        <v>0</v>
      </c>
      <c r="AP670" s="53" t="n">
        <v>0</v>
      </c>
      <c r="AQ670" s="52" t="n">
        <v>0</v>
      </c>
      <c r="AR670" s="52" t="n">
        <v>0</v>
      </c>
      <c r="AS670" s="52" t="n">
        <v>0</v>
      </c>
      <c r="AT670" s="52" t="n">
        <v>0</v>
      </c>
      <c r="AU670" s="53" t="n">
        <v>0</v>
      </c>
      <c r="AV670" s="53" t="n">
        <v>0</v>
      </c>
      <c r="AW670" s="53" t="n">
        <v>0</v>
      </c>
      <c r="AX670" s="53" t="n">
        <v>0</v>
      </c>
      <c r="AY670" s="52" t="n">
        <v>0</v>
      </c>
      <c r="AZ670" s="52" t="n">
        <v>0</v>
      </c>
      <c r="BA670" s="52" t="n">
        <v>0</v>
      </c>
      <c r="BB670" s="52" t="n">
        <v>0</v>
      </c>
      <c r="BC670" s="51" t="n">
        <v>0</v>
      </c>
      <c r="BD670" s="51" t="n">
        <v>0</v>
      </c>
      <c r="BE670" s="51" t="n">
        <v>0</v>
      </c>
      <c r="BF670" s="51" t="n">
        <v>0</v>
      </c>
    </row>
    <row r="671">
      <c r="A671">
        <f>HYPERLINK("https://www.walmart.com/ip/504765654", "504765654")</f>
        <v/>
      </c>
      <c r="B671" t="inlineStr">
        <is>
          <t>Women’s Crop Top Hoodie Sweatshirt Oversized Casual 3/4 Sleeve One Size Blue Cheetah</t>
        </is>
      </c>
      <c r="C671" t="inlineStr">
        <is>
          <t>1WMHD520S1BLCHEETAH</t>
        </is>
      </c>
      <c r="D671" t="inlineStr">
        <is>
          <t>Sweatshirts &amp; Hoodies</t>
        </is>
      </c>
      <c r="E671" t="inlineStr">
        <is>
          <t>Flyingstar</t>
        </is>
      </c>
      <c r="F671" t="inlineStr">
        <is>
          <t>Batch 1 - TR</t>
        </is>
      </c>
      <c r="G671" s="48" t="n">
        <v>0</v>
      </c>
      <c r="H671" s="48" t="n">
        <v>0</v>
      </c>
      <c r="I671" s="48" t="n">
        <v>0</v>
      </c>
      <c r="J671" s="48" t="n">
        <v>0</v>
      </c>
      <c r="K671" s="49" t="n">
        <v>0</v>
      </c>
      <c r="L671" s="49" t="n">
        <v>0</v>
      </c>
      <c r="M671" s="49" t="n">
        <v>0</v>
      </c>
      <c r="N671" s="49" t="n">
        <v>0</v>
      </c>
      <c r="O671" s="49" t="n">
        <v>0</v>
      </c>
      <c r="P671" s="49" t="n">
        <v>0</v>
      </c>
      <c r="Q671" s="49" t="n">
        <v>0</v>
      </c>
      <c r="R671" s="49" t="n">
        <v>0</v>
      </c>
      <c r="S671" s="50" t="n">
        <v>0</v>
      </c>
      <c r="T671" s="50" t="n">
        <v>0</v>
      </c>
      <c r="U671" s="50" t="n">
        <v>0</v>
      </c>
      <c r="V671" s="50" t="n">
        <v>0</v>
      </c>
      <c r="W671" s="51" t="n">
        <v>0</v>
      </c>
      <c r="X671" s="51" t="n">
        <v>0</v>
      </c>
      <c r="Y671" s="51" t="n">
        <v>0</v>
      </c>
      <c r="Z671" s="51" t="n">
        <v>0</v>
      </c>
      <c r="AA671" s="52" t="n">
        <v>0</v>
      </c>
      <c r="AB671" s="52" t="n">
        <v>0</v>
      </c>
      <c r="AC671" s="52" t="n">
        <v>0</v>
      </c>
      <c r="AD671" s="52" t="n">
        <v>0</v>
      </c>
      <c r="AE671" s="52" t="n">
        <v>0</v>
      </c>
      <c r="AF671" s="52" t="n">
        <v>0</v>
      </c>
      <c r="AG671" s="52" t="n">
        <v>0</v>
      </c>
      <c r="AH671" s="52" t="n">
        <v>0</v>
      </c>
      <c r="AI671" s="52" t="n">
        <v>0</v>
      </c>
      <c r="AJ671" s="52" t="n">
        <v>0</v>
      </c>
      <c r="AK671" s="52" t="n">
        <v>0</v>
      </c>
      <c r="AL671" s="52" t="n">
        <v>0</v>
      </c>
      <c r="AM671" s="53" t="n">
        <v>0</v>
      </c>
      <c r="AN671" s="53" t="n">
        <v>0</v>
      </c>
      <c r="AO671" s="53" t="n">
        <v>0</v>
      </c>
      <c r="AP671" s="53" t="n">
        <v>0</v>
      </c>
      <c r="AQ671" s="52" t="n">
        <v>0</v>
      </c>
      <c r="AR671" s="52" t="n">
        <v>0</v>
      </c>
      <c r="AS671" s="52" t="n">
        <v>0</v>
      </c>
      <c r="AT671" s="52" t="n">
        <v>0</v>
      </c>
      <c r="AU671" s="53" t="n">
        <v>0</v>
      </c>
      <c r="AV671" s="53" t="n">
        <v>0</v>
      </c>
      <c r="AW671" s="53" t="n">
        <v>0</v>
      </c>
      <c r="AX671" s="53" t="n">
        <v>0</v>
      </c>
      <c r="AY671" s="52" t="n">
        <v>0</v>
      </c>
      <c r="AZ671" s="52" t="n">
        <v>0</v>
      </c>
      <c r="BA671" s="52" t="n">
        <v>0</v>
      </c>
      <c r="BB671" s="52" t="n">
        <v>0</v>
      </c>
      <c r="BC671" s="51" t="n">
        <v>0</v>
      </c>
      <c r="BD671" s="51" t="n">
        <v>0</v>
      </c>
      <c r="BE671" s="51" t="n">
        <v>0</v>
      </c>
      <c r="BF671" s="51" t="n">
        <v>0</v>
      </c>
    </row>
    <row r="672">
      <c r="A672">
        <f>HYPERLINK("https://www.walmart.com/ip/504996733", "504996733")</f>
        <v/>
      </c>
      <c r="B672" t="inlineStr">
        <is>
          <t>Terrania Fleece Wearable Blanket with Sleeves for Adult Women and Men, Super Soft Comfy Plush TV Blanket Throw Wrap Cover for Lounge, Couch, Reading, and Watching TV, Green, 73" x 51"</t>
        </is>
      </c>
      <c r="C672" t="inlineStr">
        <is>
          <t>1TRSN100GN</t>
        </is>
      </c>
      <c r="D672" t="inlineStr">
        <is>
          <t>Throws</t>
        </is>
      </c>
      <c r="E672" t="inlineStr">
        <is>
          <t>Tirrinia</t>
        </is>
      </c>
      <c r="F672" t="inlineStr">
        <is>
          <t>WFS,WFS Item,ST Patrick Day</t>
        </is>
      </c>
      <c r="G672" s="48" t="n">
        <v>0</v>
      </c>
      <c r="H672" s="48" t="n">
        <v>0</v>
      </c>
      <c r="I672" s="48" t="n">
        <v>0</v>
      </c>
      <c r="J672" s="48" t="n">
        <v>0</v>
      </c>
      <c r="K672" s="49" t="n">
        <v>0</v>
      </c>
      <c r="L672" s="49" t="n">
        <v>0</v>
      </c>
      <c r="M672" s="49" t="n">
        <v>0</v>
      </c>
      <c r="N672" s="49" t="n">
        <v>0</v>
      </c>
      <c r="O672" s="49" t="n">
        <v>0</v>
      </c>
      <c r="P672" s="49" t="n">
        <v>0</v>
      </c>
      <c r="Q672" s="49" t="n">
        <v>0</v>
      </c>
      <c r="R672" s="49" t="n">
        <v>0</v>
      </c>
      <c r="S672" s="50" t="n">
        <v>0</v>
      </c>
      <c r="T672" s="50" t="n">
        <v>0</v>
      </c>
      <c r="U672" s="50" t="n">
        <v>0</v>
      </c>
      <c r="V672" s="50" t="n">
        <v>0</v>
      </c>
      <c r="W672" s="51" t="n">
        <v>0</v>
      </c>
      <c r="X672" s="51" t="n">
        <v>0</v>
      </c>
      <c r="Y672" s="51" t="n">
        <v>0</v>
      </c>
      <c r="Z672" s="51" t="n">
        <v>0</v>
      </c>
      <c r="AA672" s="52" t="n">
        <v>0</v>
      </c>
      <c r="AB672" s="52" t="n">
        <v>0</v>
      </c>
      <c r="AC672" s="52" t="n">
        <v>0</v>
      </c>
      <c r="AD672" s="52" t="n">
        <v>0</v>
      </c>
      <c r="AE672" s="52" t="n">
        <v>0</v>
      </c>
      <c r="AF672" s="52" t="n">
        <v>0</v>
      </c>
      <c r="AG672" s="52" t="n">
        <v>0</v>
      </c>
      <c r="AH672" s="52" t="n">
        <v>0</v>
      </c>
      <c r="AI672" s="52" t="n">
        <v>0</v>
      </c>
      <c r="AJ672" s="52" t="n">
        <v>0</v>
      </c>
      <c r="AK672" s="52" t="n">
        <v>0</v>
      </c>
      <c r="AL672" s="52" t="n">
        <v>0</v>
      </c>
      <c r="AM672" s="53" t="n">
        <v>0</v>
      </c>
      <c r="AN672" s="53" t="n">
        <v>0</v>
      </c>
      <c r="AO672" s="53" t="n">
        <v>0</v>
      </c>
      <c r="AP672" s="53" t="n">
        <v>0</v>
      </c>
      <c r="AQ672" s="52" t="n">
        <v>0</v>
      </c>
      <c r="AR672" s="52" t="n">
        <v>0</v>
      </c>
      <c r="AS672" s="52" t="n">
        <v>0</v>
      </c>
      <c r="AT672" s="52" t="n">
        <v>0</v>
      </c>
      <c r="AU672" s="53" t="n">
        <v>0</v>
      </c>
      <c r="AV672" s="53" t="n">
        <v>0</v>
      </c>
      <c r="AW672" s="53" t="n">
        <v>0</v>
      </c>
      <c r="AX672" s="53" t="n">
        <v>0</v>
      </c>
      <c r="AY672" s="52" t="n">
        <v>0</v>
      </c>
      <c r="AZ672" s="52" t="n">
        <v>0</v>
      </c>
      <c r="BA672" s="52" t="n">
        <v>0</v>
      </c>
      <c r="BB672" s="52" t="n">
        <v>0</v>
      </c>
      <c r="BC672" s="51" t="n">
        <v>0</v>
      </c>
      <c r="BD672" s="51" t="n">
        <v>0</v>
      </c>
      <c r="BE672" s="51" t="n">
        <v>0</v>
      </c>
      <c r="BF672" s="51" t="n">
        <v>0</v>
      </c>
    </row>
    <row r="673">
      <c r="A673">
        <f>HYPERLINK("https://www.walmart.com/ip/5052771579", "5052771579")</f>
        <v/>
      </c>
      <c r="B673" t="inlineStr">
        <is>
          <t>Catalonia Wearable Blanket with Sleeves and Pocket, Cozy Soft Fleece Micro Plush Wrap Adult Blanket Robe for Women Men, Tortilla Pattern Makes a Great Gift for Holidays, 73" x 51".</t>
        </is>
      </c>
      <c r="C673" t="inlineStr">
        <is>
          <t>1CTSN100TORTILLA</t>
        </is>
      </c>
      <c r="D673" t="inlineStr">
        <is>
          <t>Throws</t>
        </is>
      </c>
      <c r="E673" t="inlineStr">
        <is>
          <t>Catalonia</t>
        </is>
      </c>
      <c r="F673" t="inlineStr">
        <is>
          <t>Q2-Target</t>
        </is>
      </c>
      <c r="G673" s="48" t="n">
        <v>0</v>
      </c>
      <c r="H673" s="48" t="n">
        <v>0</v>
      </c>
      <c r="I673" s="48" t="n">
        <v>0</v>
      </c>
      <c r="J673" s="48" t="n">
        <v>0</v>
      </c>
      <c r="K673" s="49" t="n">
        <v>0</v>
      </c>
      <c r="L673" s="49" t="n">
        <v>0</v>
      </c>
      <c r="M673" s="49" t="n">
        <v>0</v>
      </c>
      <c r="N673" s="49" t="n">
        <v>0</v>
      </c>
      <c r="O673" s="49" t="n">
        <v>0</v>
      </c>
      <c r="P673" s="49" t="n">
        <v>0</v>
      </c>
      <c r="Q673" s="49" t="n">
        <v>0</v>
      </c>
      <c r="R673" s="49" t="n">
        <v>0</v>
      </c>
      <c r="S673" s="50" t="n">
        <v>0</v>
      </c>
      <c r="T673" s="50" t="n">
        <v>0</v>
      </c>
      <c r="U673" s="50" t="n">
        <v>0</v>
      </c>
      <c r="V673" s="50" t="n">
        <v>0</v>
      </c>
      <c r="W673" s="51" t="n">
        <v>0</v>
      </c>
      <c r="X673" s="51" t="n">
        <v>0</v>
      </c>
      <c r="Y673" s="51" t="n">
        <v>0</v>
      </c>
      <c r="Z673" s="51" t="n">
        <v>0</v>
      </c>
      <c r="AA673" s="52" t="n">
        <v>0</v>
      </c>
      <c r="AB673" s="52" t="n">
        <v>0</v>
      </c>
      <c r="AC673" s="52" t="n">
        <v>0</v>
      </c>
      <c r="AD673" s="52" t="n">
        <v>0</v>
      </c>
      <c r="AE673" s="52" t="n">
        <v>0</v>
      </c>
      <c r="AF673" s="52" t="n">
        <v>0</v>
      </c>
      <c r="AG673" s="52" t="n">
        <v>0</v>
      </c>
      <c r="AH673" s="52" t="n">
        <v>0</v>
      </c>
      <c r="AI673" s="52" t="n">
        <v>0</v>
      </c>
      <c r="AJ673" s="52" t="n">
        <v>0</v>
      </c>
      <c r="AK673" s="52" t="n">
        <v>0</v>
      </c>
      <c r="AL673" s="52" t="n">
        <v>0</v>
      </c>
      <c r="AM673" s="53" t="n">
        <v>0</v>
      </c>
      <c r="AN673" s="53" t="n">
        <v>0</v>
      </c>
      <c r="AO673" s="53" t="n">
        <v>0</v>
      </c>
      <c r="AP673" s="53" t="n">
        <v>0</v>
      </c>
      <c r="AQ673" s="52" t="n">
        <v>0</v>
      </c>
      <c r="AR673" s="52" t="n">
        <v>0</v>
      </c>
      <c r="AS673" s="52" t="n">
        <v>0</v>
      </c>
      <c r="AT673" s="52" t="n">
        <v>0</v>
      </c>
      <c r="AU673" s="53" t="n">
        <v>0</v>
      </c>
      <c r="AV673" s="53" t="n">
        <v>0</v>
      </c>
      <c r="AW673" s="53" t="n">
        <v>0</v>
      </c>
      <c r="AX673" s="53" t="n">
        <v>0</v>
      </c>
      <c r="AY673" s="52" t="n">
        <v>0</v>
      </c>
      <c r="AZ673" s="52" t="n">
        <v>0</v>
      </c>
      <c r="BA673" s="52" t="n">
        <v>0</v>
      </c>
      <c r="BB673" s="52" t="n">
        <v>0</v>
      </c>
      <c r="BC673" s="51" t="n">
        <v>0</v>
      </c>
      <c r="BD673" s="51" t="n">
        <v>0</v>
      </c>
      <c r="BE673" s="51" t="n">
        <v>0</v>
      </c>
      <c r="BF673" s="51" t="n">
        <v>0</v>
      </c>
    </row>
    <row r="674">
      <c r="A674">
        <f>HYPERLINK("https://www.walmart.com/ip/505348990", "505348990")</f>
        <v/>
      </c>
      <c r="B674" t="inlineStr">
        <is>
          <t>Catalonia Mermaid Tail Blanket, Knitted Lambswool Blankets for Bed, Oversized Crochet Fleece Blanket for Adult Teens, Purple</t>
        </is>
      </c>
      <c r="C674" t="inlineStr">
        <is>
          <t>1CTMM300PP</t>
        </is>
      </c>
      <c r="D674" t="inlineStr">
        <is>
          <t>Throws</t>
        </is>
      </c>
      <c r="E674" t="inlineStr">
        <is>
          <t>Catalonia</t>
        </is>
      </c>
      <c r="F674" t="inlineStr">
        <is>
          <t>WFS,WFS Item</t>
        </is>
      </c>
      <c r="G674" s="48" t="n">
        <v>0</v>
      </c>
      <c r="H674" s="48" t="n">
        <v>0</v>
      </c>
      <c r="I674" s="48" t="n">
        <v>0</v>
      </c>
      <c r="J674" s="48" t="n">
        <v>0</v>
      </c>
      <c r="K674" s="49" t="n">
        <v>0</v>
      </c>
      <c r="L674" s="49" t="n">
        <v>0</v>
      </c>
      <c r="M674" s="49" t="n">
        <v>0</v>
      </c>
      <c r="N674" s="49" t="n">
        <v>0</v>
      </c>
      <c r="O674" s="49" t="n">
        <v>0</v>
      </c>
      <c r="P674" s="49" t="n">
        <v>0</v>
      </c>
      <c r="Q674" s="49" t="n">
        <v>0</v>
      </c>
      <c r="R674" s="49" t="n">
        <v>0</v>
      </c>
      <c r="S674" s="50" t="n">
        <v>0</v>
      </c>
      <c r="T674" s="50" t="n">
        <v>0</v>
      </c>
      <c r="U674" s="50" t="n">
        <v>0</v>
      </c>
      <c r="V674" s="50" t="n">
        <v>0</v>
      </c>
      <c r="W674" s="51" t="n">
        <v>0</v>
      </c>
      <c r="X674" s="51" t="n">
        <v>0</v>
      </c>
      <c r="Y674" s="51" t="n">
        <v>0</v>
      </c>
      <c r="Z674" s="51" t="n">
        <v>0</v>
      </c>
      <c r="AA674" s="52" t="n">
        <v>0</v>
      </c>
      <c r="AB674" s="52" t="n">
        <v>0</v>
      </c>
      <c r="AC674" s="52" t="n">
        <v>0</v>
      </c>
      <c r="AD674" s="52" t="n">
        <v>0</v>
      </c>
      <c r="AE674" s="52" t="n">
        <v>0</v>
      </c>
      <c r="AF674" s="52" t="n">
        <v>0</v>
      </c>
      <c r="AG674" s="52" t="n">
        <v>0</v>
      </c>
      <c r="AH674" s="52" t="n">
        <v>0</v>
      </c>
      <c r="AI674" s="52" t="n">
        <v>0</v>
      </c>
      <c r="AJ674" s="52" t="n">
        <v>0</v>
      </c>
      <c r="AK674" s="52" t="n">
        <v>0</v>
      </c>
      <c r="AL674" s="52" t="n">
        <v>0</v>
      </c>
      <c r="AM674" s="53" t="n">
        <v>0</v>
      </c>
      <c r="AN674" s="53" t="n">
        <v>0</v>
      </c>
      <c r="AO674" s="53" t="n">
        <v>0</v>
      </c>
      <c r="AP674" s="53" t="n">
        <v>0</v>
      </c>
      <c r="AQ674" s="52" t="n">
        <v>0</v>
      </c>
      <c r="AR674" s="52" t="n">
        <v>0</v>
      </c>
      <c r="AS674" s="52" t="n">
        <v>0</v>
      </c>
      <c r="AT674" s="52" t="n">
        <v>0</v>
      </c>
      <c r="AU674" s="53" t="n">
        <v>0</v>
      </c>
      <c r="AV674" s="53" t="n">
        <v>0</v>
      </c>
      <c r="AW674" s="53" t="n">
        <v>0</v>
      </c>
      <c r="AX674" s="53" t="n">
        <v>0</v>
      </c>
      <c r="AY674" s="52" t="n">
        <v>0</v>
      </c>
      <c r="AZ674" s="52" t="n">
        <v>0</v>
      </c>
      <c r="BA674" s="52" t="n">
        <v>0</v>
      </c>
      <c r="BB674" s="52" t="n">
        <v>0</v>
      </c>
      <c r="BC674" s="51" t="n">
        <v>0</v>
      </c>
      <c r="BD674" s="51" t="n">
        <v>0</v>
      </c>
      <c r="BE674" s="51" t="n">
        <v>0</v>
      </c>
      <c r="BF674" s="51" t="n">
        <v>0</v>
      </c>
    </row>
    <row r="675">
      <c r="A675">
        <f>HYPERLINK("https://www.walmart.com/ip/5056978682", "5056978682")</f>
        <v/>
      </c>
      <c r="B675" t="inlineStr">
        <is>
          <t>Tirrinia Sherpa Blanket Plush Throw Blanket Size 50" x 60" Bedding Fleece Reversible Blanket for Bed and Couch, Super Soft Comfy Warm Fuzzy TV Blanket, Blue Wonder Cat</t>
        </is>
      </c>
      <c r="C675" t="inlineStr">
        <is>
          <t>1TRBF300WONDERCATGY</t>
        </is>
      </c>
      <c r="D675" t="inlineStr">
        <is>
          <t>Throws</t>
        </is>
      </c>
      <c r="E675" t="inlineStr">
        <is>
          <t>Tirrinia</t>
        </is>
      </c>
      <c r="G675" s="48" t="n">
        <v>0</v>
      </c>
      <c r="H675" s="48" t="n">
        <v>0</v>
      </c>
      <c r="I675" s="48" t="n">
        <v>0</v>
      </c>
      <c r="J675" s="48" t="n">
        <v>0</v>
      </c>
      <c r="K675" s="49" t="n">
        <v>0</v>
      </c>
      <c r="L675" s="49" t="n">
        <v>0</v>
      </c>
      <c r="M675" s="49" t="n">
        <v>0</v>
      </c>
      <c r="N675" s="49" t="n">
        <v>0</v>
      </c>
      <c r="O675" s="49" t="n">
        <v>0</v>
      </c>
      <c r="P675" s="49" t="n">
        <v>0</v>
      </c>
      <c r="Q675" s="49" t="n">
        <v>0</v>
      </c>
      <c r="R675" s="49" t="n">
        <v>0</v>
      </c>
      <c r="S675" s="50" t="n">
        <v>0</v>
      </c>
      <c r="T675" s="50" t="n">
        <v>0</v>
      </c>
      <c r="U675" s="50" t="n">
        <v>0</v>
      </c>
      <c r="V675" s="50" t="n">
        <v>0</v>
      </c>
      <c r="W675" s="51" t="n">
        <v>0</v>
      </c>
      <c r="X675" s="51" t="n">
        <v>0</v>
      </c>
      <c r="Y675" s="51" t="n">
        <v>0</v>
      </c>
      <c r="Z675" s="51" t="n">
        <v>0</v>
      </c>
      <c r="AA675" s="52" t="n">
        <v>0</v>
      </c>
      <c r="AB675" s="52" t="n">
        <v>0</v>
      </c>
      <c r="AC675" s="52" t="n">
        <v>0</v>
      </c>
      <c r="AD675" s="52" t="n">
        <v>0</v>
      </c>
      <c r="AE675" s="52" t="n">
        <v>0</v>
      </c>
      <c r="AF675" s="52" t="n">
        <v>0</v>
      </c>
      <c r="AG675" s="52" t="n">
        <v>0</v>
      </c>
      <c r="AH675" s="52" t="n">
        <v>0</v>
      </c>
      <c r="AI675" s="52" t="n">
        <v>0</v>
      </c>
      <c r="AJ675" s="52" t="n">
        <v>0</v>
      </c>
      <c r="AK675" s="52" t="n">
        <v>0</v>
      </c>
      <c r="AL675" s="52" t="n">
        <v>0</v>
      </c>
      <c r="AM675" s="53" t="n">
        <v>0</v>
      </c>
      <c r="AN675" s="53" t="n">
        <v>0</v>
      </c>
      <c r="AO675" s="53" t="n">
        <v>0</v>
      </c>
      <c r="AP675" s="53" t="n">
        <v>0</v>
      </c>
      <c r="AQ675" s="52" t="n">
        <v>0</v>
      </c>
      <c r="AR675" s="52" t="n">
        <v>0</v>
      </c>
      <c r="AS675" s="52" t="n">
        <v>0</v>
      </c>
      <c r="AT675" s="52" t="n">
        <v>0</v>
      </c>
      <c r="AU675" s="53" t="n">
        <v>0</v>
      </c>
      <c r="AV675" s="53" t="n">
        <v>0</v>
      </c>
      <c r="AW675" s="53" t="n">
        <v>0</v>
      </c>
      <c r="AX675" s="53" t="n">
        <v>0</v>
      </c>
      <c r="AY675" s="52" t="n">
        <v>0</v>
      </c>
      <c r="AZ675" s="52" t="n">
        <v>0</v>
      </c>
      <c r="BA675" s="52" t="n">
        <v>0</v>
      </c>
      <c r="BB675" s="52" t="n">
        <v>0</v>
      </c>
      <c r="BC675" s="51" t="n">
        <v>0</v>
      </c>
      <c r="BD675" s="51" t="n">
        <v>0</v>
      </c>
      <c r="BE675" s="51" t="n">
        <v>0</v>
      </c>
      <c r="BF675" s="51" t="n">
        <v>0</v>
      </c>
    </row>
    <row r="676">
      <c r="A676">
        <f>HYPERLINK("https://www.walmart.com/ip/5057432466", "5057432466")</f>
        <v/>
      </c>
      <c r="B676" t="inlineStr">
        <is>
          <t>Tirrinia Sherpa Wearable Blanket for Adult Women and Men, Super Soft Comfy Warm Plush Throw with Sleeves TV Blanket Wrap Robe Cover for Sofa, Couch 72" x 55" Pink Love Art</t>
        </is>
      </c>
      <c r="C676" t="inlineStr">
        <is>
          <t>1TRSN110LOVEARTPK</t>
        </is>
      </c>
      <c r="D676" t="inlineStr">
        <is>
          <t>Throws</t>
        </is>
      </c>
      <c r="E676" t="inlineStr">
        <is>
          <t>Terrania</t>
        </is>
      </c>
      <c r="G676" s="48" t="n">
        <v>0</v>
      </c>
      <c r="H676" s="48" t="n">
        <v>0</v>
      </c>
      <c r="I676" s="48" t="n">
        <v>0</v>
      </c>
      <c r="J676" s="48" t="n">
        <v>0</v>
      </c>
      <c r="K676" s="49" t="n">
        <v>0</v>
      </c>
      <c r="L676" s="49" t="n">
        <v>0</v>
      </c>
      <c r="M676" s="49" t="n">
        <v>0</v>
      </c>
      <c r="N676" s="49" t="n">
        <v>0</v>
      </c>
      <c r="O676" s="49" t="n">
        <v>0</v>
      </c>
      <c r="P676" s="49" t="n">
        <v>0</v>
      </c>
      <c r="Q676" s="49" t="n">
        <v>0</v>
      </c>
      <c r="R676" s="49" t="n">
        <v>0</v>
      </c>
      <c r="S676" s="50" t="n">
        <v>0</v>
      </c>
      <c r="T676" s="50" t="n">
        <v>0</v>
      </c>
      <c r="U676" s="50" t="n">
        <v>0</v>
      </c>
      <c r="V676" s="50" t="n">
        <v>0</v>
      </c>
      <c r="W676" s="51" t="n">
        <v>0</v>
      </c>
      <c r="X676" s="51" t="n">
        <v>0</v>
      </c>
      <c r="Y676" s="51" t="n">
        <v>0</v>
      </c>
      <c r="Z676" s="51" t="n">
        <v>0</v>
      </c>
      <c r="AA676" s="52" t="n">
        <v>0</v>
      </c>
      <c r="AB676" s="52" t="n">
        <v>0</v>
      </c>
      <c r="AC676" s="52" t="n">
        <v>0</v>
      </c>
      <c r="AD676" s="52" t="n">
        <v>0</v>
      </c>
      <c r="AE676" s="52" t="n">
        <v>0</v>
      </c>
      <c r="AF676" s="52" t="n">
        <v>0</v>
      </c>
      <c r="AG676" s="52" t="n">
        <v>0</v>
      </c>
      <c r="AH676" s="52" t="n">
        <v>0</v>
      </c>
      <c r="AI676" s="52" t="n">
        <v>0</v>
      </c>
      <c r="AJ676" s="52" t="n">
        <v>0</v>
      </c>
      <c r="AK676" s="52" t="n">
        <v>0</v>
      </c>
      <c r="AL676" s="52" t="n">
        <v>0</v>
      </c>
      <c r="AM676" s="53" t="n">
        <v>0</v>
      </c>
      <c r="AN676" s="53" t="n">
        <v>0</v>
      </c>
      <c r="AO676" s="53" t="n">
        <v>0</v>
      </c>
      <c r="AP676" s="53" t="n">
        <v>0</v>
      </c>
      <c r="AQ676" s="52" t="n">
        <v>0</v>
      </c>
      <c r="AR676" s="52" t="n">
        <v>0</v>
      </c>
      <c r="AS676" s="52" t="n">
        <v>0</v>
      </c>
      <c r="AT676" s="52" t="n">
        <v>0</v>
      </c>
      <c r="AU676" s="53" t="n">
        <v>0</v>
      </c>
      <c r="AV676" s="53" t="n">
        <v>0</v>
      </c>
      <c r="AW676" s="53" t="n">
        <v>0</v>
      </c>
      <c r="AX676" s="53" t="n">
        <v>0</v>
      </c>
      <c r="AY676" s="52" t="n">
        <v>0</v>
      </c>
      <c r="AZ676" s="52" t="n">
        <v>0</v>
      </c>
      <c r="BA676" s="52" t="n">
        <v>0</v>
      </c>
      <c r="BB676" s="52" t="n">
        <v>0</v>
      </c>
      <c r="BC676" s="51" t="n">
        <v>0</v>
      </c>
      <c r="BD676" s="51" t="n">
        <v>0</v>
      </c>
      <c r="BE676" s="51" t="n">
        <v>0</v>
      </c>
      <c r="BF676" s="51" t="n">
        <v>0</v>
      </c>
    </row>
    <row r="677">
      <c r="A677">
        <f>HYPERLINK("https://www.walmart.com/ip/5059449980", "5059449980")</f>
        <v/>
      </c>
      <c r="B677" t="inlineStr">
        <is>
          <t>Tirrinia Sherpa Wearable Blanket for Adult Women and Men, Super Soft Comfy Warm Plush Throw with Sleeves TV Blanket Wrap Robe Cover for Sofa, Couch 72" x 55", Blue Wonder Cat</t>
        </is>
      </c>
      <c r="C677" t="inlineStr">
        <is>
          <t>1TRSN110WONDERCATGY</t>
        </is>
      </c>
      <c r="D677" t="inlineStr">
        <is>
          <t>Throws</t>
        </is>
      </c>
      <c r="E677" t="inlineStr">
        <is>
          <t>Terrania</t>
        </is>
      </c>
      <c r="G677" s="48" t="n">
        <v>0</v>
      </c>
      <c r="H677" s="48" t="n">
        <v>0</v>
      </c>
      <c r="I677" s="48" t="n">
        <v>0</v>
      </c>
      <c r="J677" s="48" t="n">
        <v>0</v>
      </c>
      <c r="K677" s="49" t="n">
        <v>0</v>
      </c>
      <c r="L677" s="49" t="n">
        <v>0</v>
      </c>
      <c r="M677" s="49" t="n">
        <v>0</v>
      </c>
      <c r="N677" s="49" t="n">
        <v>0</v>
      </c>
      <c r="O677" s="49" t="n">
        <v>0</v>
      </c>
      <c r="P677" s="49" t="n">
        <v>0</v>
      </c>
      <c r="Q677" s="49" t="n">
        <v>0</v>
      </c>
      <c r="R677" s="49" t="n">
        <v>0</v>
      </c>
      <c r="S677" s="50" t="n">
        <v>0</v>
      </c>
      <c r="T677" s="50" t="n">
        <v>0</v>
      </c>
      <c r="U677" s="50" t="n">
        <v>0</v>
      </c>
      <c r="V677" s="50" t="n">
        <v>0</v>
      </c>
      <c r="W677" s="51" t="n">
        <v>0</v>
      </c>
      <c r="X677" s="51" t="n">
        <v>0</v>
      </c>
      <c r="Y677" s="51" t="n">
        <v>0</v>
      </c>
      <c r="Z677" s="51" t="n">
        <v>0</v>
      </c>
      <c r="AA677" s="52" t="n">
        <v>0</v>
      </c>
      <c r="AB677" s="52" t="n">
        <v>0</v>
      </c>
      <c r="AC677" s="52" t="n">
        <v>0</v>
      </c>
      <c r="AD677" s="52" t="n">
        <v>0</v>
      </c>
      <c r="AE677" s="52" t="n">
        <v>0</v>
      </c>
      <c r="AF677" s="52" t="n">
        <v>0</v>
      </c>
      <c r="AG677" s="52" t="n">
        <v>0</v>
      </c>
      <c r="AH677" s="52" t="n">
        <v>0</v>
      </c>
      <c r="AI677" s="52" t="n">
        <v>0</v>
      </c>
      <c r="AJ677" s="52" t="n">
        <v>0</v>
      </c>
      <c r="AK677" s="52" t="n">
        <v>0</v>
      </c>
      <c r="AL677" s="52" t="n">
        <v>0</v>
      </c>
      <c r="AM677" s="53" t="n">
        <v>0</v>
      </c>
      <c r="AN677" s="53" t="n">
        <v>0</v>
      </c>
      <c r="AO677" s="53" t="n">
        <v>0</v>
      </c>
      <c r="AP677" s="53" t="n">
        <v>0</v>
      </c>
      <c r="AQ677" s="52" t="n">
        <v>0</v>
      </c>
      <c r="AR677" s="52" t="n">
        <v>0</v>
      </c>
      <c r="AS677" s="52" t="n">
        <v>0</v>
      </c>
      <c r="AT677" s="52" t="n">
        <v>0</v>
      </c>
      <c r="AU677" s="53" t="n">
        <v>0</v>
      </c>
      <c r="AV677" s="53" t="n">
        <v>0</v>
      </c>
      <c r="AW677" s="53" t="n">
        <v>0</v>
      </c>
      <c r="AX677" s="53" t="n">
        <v>0</v>
      </c>
      <c r="AY677" s="52" t="n">
        <v>0</v>
      </c>
      <c r="AZ677" s="52" t="n">
        <v>0</v>
      </c>
      <c r="BA677" s="52" t="n">
        <v>0</v>
      </c>
      <c r="BB677" s="52" t="n">
        <v>0</v>
      </c>
      <c r="BC677" s="51" t="n">
        <v>0</v>
      </c>
      <c r="BD677" s="51" t="n">
        <v>0</v>
      </c>
      <c r="BE677" s="51" t="n">
        <v>0</v>
      </c>
      <c r="BF677" s="51" t="n">
        <v>0</v>
      </c>
    </row>
    <row r="678">
      <c r="A678">
        <f>HYPERLINK("https://www.walmart.com/ip/5059499536", "5059499536")</f>
        <v/>
      </c>
      <c r="B678" t="inlineStr">
        <is>
          <t>Tirrinia Sherpa Wearable Blanket for Adult Women and Men, Super Soft Comfy Warm Plush Throw with Sleeves, TV Blanket, Wrap Robe Cover for Sofa, Couch, Blue Avocado Dog, 55" x 72''</t>
        </is>
      </c>
      <c r="C678" t="inlineStr">
        <is>
          <t>1TRSN110AVOCADODOGBL</t>
        </is>
      </c>
      <c r="D678" t="inlineStr">
        <is>
          <t>Throws</t>
        </is>
      </c>
      <c r="E678" t="inlineStr">
        <is>
          <t>Terrania</t>
        </is>
      </c>
      <c r="F678" t="inlineStr">
        <is>
          <t>Q2-Target,Coupon_Discount</t>
        </is>
      </c>
      <c r="G678" s="48" t="n">
        <v>0</v>
      </c>
      <c r="H678" s="48" t="n">
        <v>0</v>
      </c>
      <c r="I678" s="48" t="n">
        <v>0</v>
      </c>
      <c r="J678" s="48" t="n">
        <v>0</v>
      </c>
      <c r="K678" s="49" t="n">
        <v>0</v>
      </c>
      <c r="L678" s="49" t="n">
        <v>0</v>
      </c>
      <c r="M678" s="49" t="n">
        <v>0</v>
      </c>
      <c r="N678" s="49" t="n">
        <v>0</v>
      </c>
      <c r="O678" s="49" t="n">
        <v>0</v>
      </c>
      <c r="P678" s="49" t="n">
        <v>0</v>
      </c>
      <c r="Q678" s="49" t="n">
        <v>0</v>
      </c>
      <c r="R678" s="49" t="n">
        <v>0</v>
      </c>
      <c r="S678" s="50" t="n">
        <v>0</v>
      </c>
      <c r="T678" s="50" t="n">
        <v>0</v>
      </c>
      <c r="U678" s="50" t="n">
        <v>0</v>
      </c>
      <c r="V678" s="50" t="n">
        <v>0</v>
      </c>
      <c r="W678" s="51" t="n">
        <v>0</v>
      </c>
      <c r="X678" s="51" t="n">
        <v>0</v>
      </c>
      <c r="Y678" s="51" t="n">
        <v>0</v>
      </c>
      <c r="Z678" s="51" t="n">
        <v>0</v>
      </c>
      <c r="AA678" s="52" t="n">
        <v>0</v>
      </c>
      <c r="AB678" s="52" t="n">
        <v>0</v>
      </c>
      <c r="AC678" s="52" t="n">
        <v>0</v>
      </c>
      <c r="AD678" s="52" t="n">
        <v>0</v>
      </c>
      <c r="AE678" s="52" t="n">
        <v>0</v>
      </c>
      <c r="AF678" s="52" t="n">
        <v>0</v>
      </c>
      <c r="AG678" s="52" t="n">
        <v>0</v>
      </c>
      <c r="AH678" s="52" t="n">
        <v>0</v>
      </c>
      <c r="AI678" s="52" t="n">
        <v>0</v>
      </c>
      <c r="AJ678" s="52" t="n">
        <v>0</v>
      </c>
      <c r="AK678" s="52" t="n">
        <v>0</v>
      </c>
      <c r="AL678" s="52" t="n">
        <v>0</v>
      </c>
      <c r="AM678" s="53" t="n">
        <v>0</v>
      </c>
      <c r="AN678" s="53" t="n">
        <v>0</v>
      </c>
      <c r="AO678" s="53" t="n">
        <v>0</v>
      </c>
      <c r="AP678" s="53" t="n">
        <v>0</v>
      </c>
      <c r="AQ678" s="52" t="n">
        <v>0</v>
      </c>
      <c r="AR678" s="52" t="n">
        <v>0</v>
      </c>
      <c r="AS678" s="52" t="n">
        <v>0</v>
      </c>
      <c r="AT678" s="52" t="n">
        <v>0</v>
      </c>
      <c r="AU678" s="53" t="n">
        <v>0</v>
      </c>
      <c r="AV678" s="53" t="n">
        <v>0</v>
      </c>
      <c r="AW678" s="53" t="n">
        <v>0</v>
      </c>
      <c r="AX678" s="53" t="n">
        <v>0</v>
      </c>
      <c r="AY678" s="52" t="n">
        <v>0</v>
      </c>
      <c r="AZ678" s="52" t="n">
        <v>0</v>
      </c>
      <c r="BA678" s="52" t="n">
        <v>0</v>
      </c>
      <c r="BB678" s="52" t="n">
        <v>0</v>
      </c>
      <c r="BC678" s="51" t="n">
        <v>0</v>
      </c>
      <c r="BD678" s="51" t="n">
        <v>0</v>
      </c>
      <c r="BE678" s="51" t="n">
        <v>0</v>
      </c>
      <c r="BF678" s="51" t="n">
        <v>0</v>
      </c>
    </row>
    <row r="679">
      <c r="A679">
        <f>HYPERLINK("https://www.walmart.com/ip/5062686300", "5062686300")</f>
        <v/>
      </c>
      <c r="B679" t="inlineStr">
        <is>
          <t>Catalonia Wearable Blanket with Sleeves and Pocket, Cozy Soft Fleece Micro Plush Wrap Adult Snuggie Blanket Robe for Women Men, Green Christmas Dwarf Pattern Makes a Great Gift for Holidays.</t>
        </is>
      </c>
      <c r="C679" t="inlineStr">
        <is>
          <t>1CTSN100XMASDWARFGN</t>
        </is>
      </c>
      <c r="D679" t="inlineStr">
        <is>
          <t>Throws</t>
        </is>
      </c>
      <c r="E679" t="inlineStr">
        <is>
          <t>Catalonia</t>
        </is>
      </c>
      <c r="G679" s="48" t="n">
        <v>0</v>
      </c>
      <c r="H679" s="48" t="n">
        <v>0</v>
      </c>
      <c r="I679" s="48" t="n">
        <v>0</v>
      </c>
      <c r="J679" s="48" t="n">
        <v>0</v>
      </c>
      <c r="K679" s="49" t="n">
        <v>0</v>
      </c>
      <c r="L679" s="49" t="n">
        <v>0</v>
      </c>
      <c r="M679" s="49" t="n">
        <v>0</v>
      </c>
      <c r="N679" s="49" t="n">
        <v>0</v>
      </c>
      <c r="O679" s="49" t="n">
        <v>0</v>
      </c>
      <c r="P679" s="49" t="n">
        <v>0</v>
      </c>
      <c r="Q679" s="49" t="n">
        <v>0</v>
      </c>
      <c r="R679" s="49" t="n">
        <v>0</v>
      </c>
      <c r="S679" s="50" t="n">
        <v>0</v>
      </c>
      <c r="T679" s="50" t="n">
        <v>0</v>
      </c>
      <c r="U679" s="50" t="n">
        <v>0</v>
      </c>
      <c r="V679" s="50" t="n">
        <v>0</v>
      </c>
      <c r="W679" s="51" t="n">
        <v>0</v>
      </c>
      <c r="X679" s="51" t="n">
        <v>0</v>
      </c>
      <c r="Y679" s="51" t="n">
        <v>0</v>
      </c>
      <c r="Z679" s="51" t="n">
        <v>0</v>
      </c>
      <c r="AA679" s="52" t="n">
        <v>0</v>
      </c>
      <c r="AB679" s="52" t="n">
        <v>0</v>
      </c>
      <c r="AC679" s="52" t="n">
        <v>0</v>
      </c>
      <c r="AD679" s="52" t="n">
        <v>0</v>
      </c>
      <c r="AE679" s="52" t="n">
        <v>0</v>
      </c>
      <c r="AF679" s="52" t="n">
        <v>0</v>
      </c>
      <c r="AG679" s="52" t="n">
        <v>0</v>
      </c>
      <c r="AH679" s="52" t="n">
        <v>0</v>
      </c>
      <c r="AI679" s="52" t="n">
        <v>0</v>
      </c>
      <c r="AJ679" s="52" t="n">
        <v>0</v>
      </c>
      <c r="AK679" s="52" t="n">
        <v>0</v>
      </c>
      <c r="AL679" s="52" t="n">
        <v>0</v>
      </c>
      <c r="AM679" s="53" t="n">
        <v>0</v>
      </c>
      <c r="AN679" s="53" t="n">
        <v>0</v>
      </c>
      <c r="AO679" s="53" t="n">
        <v>0</v>
      </c>
      <c r="AP679" s="53" t="n">
        <v>0</v>
      </c>
      <c r="AQ679" s="52" t="n">
        <v>0</v>
      </c>
      <c r="AR679" s="52" t="n">
        <v>0</v>
      </c>
      <c r="AS679" s="52" t="n">
        <v>0</v>
      </c>
      <c r="AT679" s="52" t="n">
        <v>0</v>
      </c>
      <c r="AU679" s="53" t="n">
        <v>0</v>
      </c>
      <c r="AV679" s="53" t="n">
        <v>0</v>
      </c>
      <c r="AW679" s="53" t="n">
        <v>0</v>
      </c>
      <c r="AX679" s="53" t="n">
        <v>0</v>
      </c>
      <c r="AY679" s="52" t="n">
        <v>0</v>
      </c>
      <c r="AZ679" s="52" t="n">
        <v>0</v>
      </c>
      <c r="BA679" s="52" t="n">
        <v>0</v>
      </c>
      <c r="BB679" s="52" t="n">
        <v>0</v>
      </c>
      <c r="BC679" s="51" t="n">
        <v>0</v>
      </c>
      <c r="BD679" s="51" t="n">
        <v>0</v>
      </c>
      <c r="BE679" s="51" t="n">
        <v>0</v>
      </c>
      <c r="BF679" s="51" t="n">
        <v>0</v>
      </c>
    </row>
    <row r="680">
      <c r="A680">
        <f>HYPERLINK("https://www.walmart.com/ip/5011592218", "5011592218")</f>
        <v/>
      </c>
      <c r="B680" t="inlineStr">
        <is>
          <t>Catalonia Sherpa Wearable Blanket with Sleeves &amp; Foot Pockets for Adult Women Men, Comfy Snuggle Wrap Sleeved Throw Blanket Robe, Gift Idea, Grey Dog</t>
        </is>
      </c>
      <c r="C680" t="inlineStr">
        <is>
          <t>1CTSN310GYDOG</t>
        </is>
      </c>
      <c r="D680" t="inlineStr">
        <is>
          <t>Throws</t>
        </is>
      </c>
      <c r="E680" t="inlineStr">
        <is>
          <t>Catalonia</t>
        </is>
      </c>
      <c r="G680" s="48" t="n">
        <v>0</v>
      </c>
      <c r="H680" s="48" t="n">
        <v>0</v>
      </c>
      <c r="I680" s="48" t="n">
        <v>0</v>
      </c>
      <c r="J680" s="48" t="n">
        <v>0</v>
      </c>
      <c r="K680" s="49" t="n">
        <v>0</v>
      </c>
      <c r="L680" s="49" t="n">
        <v>0</v>
      </c>
      <c r="M680" s="49" t="n">
        <v>0</v>
      </c>
      <c r="N680" s="49" t="n">
        <v>0</v>
      </c>
      <c r="O680" s="49" t="n">
        <v>0</v>
      </c>
      <c r="P680" s="49" t="n">
        <v>0</v>
      </c>
      <c r="Q680" s="49" t="n">
        <v>0</v>
      </c>
      <c r="R680" s="49" t="n">
        <v>0</v>
      </c>
      <c r="S680" s="50" t="n">
        <v>0</v>
      </c>
      <c r="T680" s="50" t="n">
        <v>0</v>
      </c>
      <c r="U680" s="50" t="n">
        <v>0</v>
      </c>
      <c r="V680" s="50" t="n">
        <v>0</v>
      </c>
      <c r="W680" s="51" t="n">
        <v>0</v>
      </c>
      <c r="X680" s="51" t="n">
        <v>0</v>
      </c>
      <c r="Y680" s="51" t="n">
        <v>0</v>
      </c>
      <c r="Z680" s="51" t="n">
        <v>0</v>
      </c>
      <c r="AA680" s="52" t="n">
        <v>0</v>
      </c>
      <c r="AB680" s="52" t="n">
        <v>0</v>
      </c>
      <c r="AC680" s="52" t="n">
        <v>0</v>
      </c>
      <c r="AD680" s="52" t="n">
        <v>0</v>
      </c>
      <c r="AE680" s="52" t="n">
        <v>0</v>
      </c>
      <c r="AF680" s="52" t="n">
        <v>0</v>
      </c>
      <c r="AG680" s="52" t="n">
        <v>0</v>
      </c>
      <c r="AH680" s="52" t="n">
        <v>0</v>
      </c>
      <c r="AI680" s="52" t="n">
        <v>0</v>
      </c>
      <c r="AJ680" s="52" t="n">
        <v>0</v>
      </c>
      <c r="AK680" s="52" t="n">
        <v>0</v>
      </c>
      <c r="AL680" s="52" t="n">
        <v>0</v>
      </c>
      <c r="AM680" s="53" t="n">
        <v>0</v>
      </c>
      <c r="AN680" s="53" t="n">
        <v>0</v>
      </c>
      <c r="AO680" s="53" t="n">
        <v>0</v>
      </c>
      <c r="AP680" s="53" t="n">
        <v>0</v>
      </c>
      <c r="AQ680" s="52" t="n">
        <v>0</v>
      </c>
      <c r="AR680" s="52" t="n">
        <v>0</v>
      </c>
      <c r="AS680" s="52" t="n">
        <v>0</v>
      </c>
      <c r="AT680" s="52" t="n">
        <v>0</v>
      </c>
      <c r="AU680" s="53" t="n">
        <v>0</v>
      </c>
      <c r="AV680" s="53" t="n">
        <v>0</v>
      </c>
      <c r="AW680" s="53" t="n">
        <v>0</v>
      </c>
      <c r="AX680" s="53" t="n">
        <v>0</v>
      </c>
      <c r="AY680" s="52" t="n">
        <v>0</v>
      </c>
      <c r="AZ680" s="52" t="n">
        <v>0</v>
      </c>
      <c r="BA680" s="52" t="n">
        <v>0</v>
      </c>
      <c r="BB680" s="52" t="n">
        <v>0</v>
      </c>
      <c r="BC680" s="51" t="n">
        <v>0</v>
      </c>
      <c r="BD680" s="51" t="n">
        <v>0</v>
      </c>
      <c r="BE680" s="51" t="n">
        <v>0</v>
      </c>
      <c r="BF680" s="51" t="n">
        <v>0</v>
      </c>
    </row>
    <row r="681">
      <c r="A681">
        <f>HYPERLINK("https://www.walmart.com/ip/5010693373", "5010693373")</f>
        <v/>
      </c>
      <c r="B681" t="inlineStr">
        <is>
          <t>Catalonia Sherpa Wearable Blanket with Sleeves &amp; Foot Pockets for Adult Women Men, Comfy Snuggle Wrap Sleeved Throw Blanket Robe, Gift Idea, Blue Cat</t>
        </is>
      </c>
      <c r="C681" t="inlineStr">
        <is>
          <t>1CTSN310BLCAT</t>
        </is>
      </c>
      <c r="D681" t="inlineStr">
        <is>
          <t>Throws</t>
        </is>
      </c>
      <c r="E681" t="inlineStr">
        <is>
          <t>Catalonia</t>
        </is>
      </c>
      <c r="G681" s="48" t="n">
        <v>0</v>
      </c>
      <c r="H681" s="48" t="n">
        <v>0</v>
      </c>
      <c r="I681" s="48" t="n">
        <v>0</v>
      </c>
      <c r="J681" s="48" t="n">
        <v>0</v>
      </c>
      <c r="K681" s="49" t="n">
        <v>0</v>
      </c>
      <c r="L681" s="49" t="n">
        <v>0</v>
      </c>
      <c r="M681" s="49" t="n">
        <v>0</v>
      </c>
      <c r="N681" s="49" t="n">
        <v>0</v>
      </c>
      <c r="O681" s="49" t="n">
        <v>0</v>
      </c>
      <c r="P681" s="49" t="n">
        <v>0</v>
      </c>
      <c r="Q681" s="49" t="n">
        <v>0</v>
      </c>
      <c r="R681" s="49" t="n">
        <v>0</v>
      </c>
      <c r="S681" s="50" t="n">
        <v>0</v>
      </c>
      <c r="T681" s="50" t="n">
        <v>0</v>
      </c>
      <c r="U681" s="50" t="n">
        <v>0</v>
      </c>
      <c r="V681" s="50" t="n">
        <v>0</v>
      </c>
      <c r="W681" s="51" t="n">
        <v>0</v>
      </c>
      <c r="X681" s="51" t="n">
        <v>0</v>
      </c>
      <c r="Y681" s="51" t="n">
        <v>0</v>
      </c>
      <c r="Z681" s="51" t="n">
        <v>0</v>
      </c>
      <c r="AA681" s="52" t="n">
        <v>0</v>
      </c>
      <c r="AB681" s="52" t="n">
        <v>0</v>
      </c>
      <c r="AC681" s="52" t="n">
        <v>0</v>
      </c>
      <c r="AD681" s="52" t="n">
        <v>0</v>
      </c>
      <c r="AE681" s="52" t="n">
        <v>0</v>
      </c>
      <c r="AF681" s="52" t="n">
        <v>0</v>
      </c>
      <c r="AG681" s="52" t="n">
        <v>0</v>
      </c>
      <c r="AH681" s="52" t="n">
        <v>0</v>
      </c>
      <c r="AI681" s="52" t="n">
        <v>0</v>
      </c>
      <c r="AJ681" s="52" t="n">
        <v>0</v>
      </c>
      <c r="AK681" s="52" t="n">
        <v>0</v>
      </c>
      <c r="AL681" s="52" t="n">
        <v>0</v>
      </c>
      <c r="AM681" s="53" t="n">
        <v>0</v>
      </c>
      <c r="AN681" s="53" t="n">
        <v>0</v>
      </c>
      <c r="AO681" s="53" t="n">
        <v>0</v>
      </c>
      <c r="AP681" s="53" t="n">
        <v>0</v>
      </c>
      <c r="AQ681" s="52" t="n">
        <v>0</v>
      </c>
      <c r="AR681" s="52" t="n">
        <v>0</v>
      </c>
      <c r="AS681" s="52" t="n">
        <v>0</v>
      </c>
      <c r="AT681" s="52" t="n">
        <v>0</v>
      </c>
      <c r="AU681" s="53" t="n">
        <v>0</v>
      </c>
      <c r="AV681" s="53" t="n">
        <v>0</v>
      </c>
      <c r="AW681" s="53" t="n">
        <v>0</v>
      </c>
      <c r="AX681" s="53" t="n">
        <v>0</v>
      </c>
      <c r="AY681" s="52" t="n">
        <v>0</v>
      </c>
      <c r="AZ681" s="52" t="n">
        <v>0</v>
      </c>
      <c r="BA681" s="52" t="n">
        <v>0</v>
      </c>
      <c r="BB681" s="52" t="n">
        <v>0</v>
      </c>
      <c r="BC681" s="51" t="n">
        <v>0</v>
      </c>
      <c r="BD681" s="51" t="n">
        <v>0</v>
      </c>
      <c r="BE681" s="51" t="n">
        <v>0</v>
      </c>
      <c r="BF681" s="51" t="n">
        <v>0</v>
      </c>
    </row>
    <row r="682">
      <c r="A682">
        <f>HYPERLINK("https://www.walmart.com/ip/500709074", "500709074")</f>
        <v/>
      </c>
      <c r="B682" t="inlineStr">
        <is>
          <t>Catalonia Wearable Fleece Blanket with Sleeves and Foot Pockets for Adult Women Men, Micro Plush Comfy Wrap Sleeved Throw Blanket Robe Large, Pink</t>
        </is>
      </c>
      <c r="C682" t="inlineStr">
        <is>
          <t>1CTSN101PK</t>
        </is>
      </c>
      <c r="D682" t="inlineStr">
        <is>
          <t>Throws</t>
        </is>
      </c>
      <c r="E682" t="inlineStr">
        <is>
          <t>Catalonia</t>
        </is>
      </c>
      <c r="F682" t="inlineStr">
        <is>
          <t>WFS,Coupon_Discount,WFS Item,Fleece Blankets</t>
        </is>
      </c>
      <c r="G682" s="48" t="n">
        <v>0</v>
      </c>
      <c r="H682" s="48" t="n">
        <v>0</v>
      </c>
      <c r="I682" s="48" t="n">
        <v>0</v>
      </c>
      <c r="J682" s="48" t="n">
        <v>0</v>
      </c>
      <c r="K682" s="49" t="n">
        <v>0</v>
      </c>
      <c r="L682" s="49" t="n">
        <v>0</v>
      </c>
      <c r="M682" s="49" t="n">
        <v>0</v>
      </c>
      <c r="N682" s="49" t="n">
        <v>0</v>
      </c>
      <c r="O682" s="49" t="n">
        <v>0</v>
      </c>
      <c r="P682" s="49" t="n">
        <v>0</v>
      </c>
      <c r="Q682" s="49" t="n">
        <v>0</v>
      </c>
      <c r="R682" s="49" t="n">
        <v>0</v>
      </c>
      <c r="S682" s="50" t="n">
        <v>0</v>
      </c>
      <c r="T682" s="50" t="n">
        <v>0</v>
      </c>
      <c r="U682" s="50" t="n">
        <v>0</v>
      </c>
      <c r="V682" s="50" t="n">
        <v>0</v>
      </c>
      <c r="W682" s="51" t="n">
        <v>0</v>
      </c>
      <c r="X682" s="51" t="n">
        <v>0</v>
      </c>
      <c r="Y682" s="51" t="n">
        <v>0</v>
      </c>
      <c r="Z682" s="51" t="n">
        <v>0</v>
      </c>
      <c r="AA682" s="52" t="n">
        <v>0</v>
      </c>
      <c r="AB682" s="52" t="n">
        <v>0</v>
      </c>
      <c r="AC682" s="52" t="n">
        <v>0</v>
      </c>
      <c r="AD682" s="52" t="n">
        <v>0</v>
      </c>
      <c r="AE682" s="52" t="n">
        <v>0</v>
      </c>
      <c r="AF682" s="52" t="n">
        <v>0</v>
      </c>
      <c r="AG682" s="52" t="n">
        <v>0</v>
      </c>
      <c r="AH682" s="52" t="n">
        <v>0</v>
      </c>
      <c r="AI682" s="52" t="n">
        <v>0</v>
      </c>
      <c r="AJ682" s="52" t="n">
        <v>0</v>
      </c>
      <c r="AK682" s="52" t="n">
        <v>0</v>
      </c>
      <c r="AL682" s="52" t="n">
        <v>0</v>
      </c>
      <c r="AM682" s="53" t="n">
        <v>0</v>
      </c>
      <c r="AN682" s="53" t="n">
        <v>0</v>
      </c>
      <c r="AO682" s="53" t="n">
        <v>0</v>
      </c>
      <c r="AP682" s="53" t="n">
        <v>0</v>
      </c>
      <c r="AQ682" s="52" t="n">
        <v>0</v>
      </c>
      <c r="AR682" s="52" t="n">
        <v>0</v>
      </c>
      <c r="AS682" s="52" t="n">
        <v>0</v>
      </c>
      <c r="AT682" s="52" t="n">
        <v>0</v>
      </c>
      <c r="AU682" s="53" t="n">
        <v>0</v>
      </c>
      <c r="AV682" s="53" t="n">
        <v>0</v>
      </c>
      <c r="AW682" s="53" t="n">
        <v>0</v>
      </c>
      <c r="AX682" s="53" t="n">
        <v>0</v>
      </c>
      <c r="AY682" s="52" t="n">
        <v>0</v>
      </c>
      <c r="AZ682" s="52" t="n">
        <v>0</v>
      </c>
      <c r="BA682" s="52" t="n">
        <v>0</v>
      </c>
      <c r="BB682" s="52" t="n">
        <v>0</v>
      </c>
      <c r="BC682" s="51" t="n">
        <v>0</v>
      </c>
      <c r="BD682" s="51" t="n">
        <v>0</v>
      </c>
      <c r="BE682" s="51" t="n">
        <v>0</v>
      </c>
      <c r="BF682" s="51" t="n">
        <v>0</v>
      </c>
    </row>
    <row r="683">
      <c r="A683">
        <f>HYPERLINK("https://www.walmart.com/ip/494462402", "494462402")</f>
        <v/>
      </c>
      <c r="B683" t="inlineStr">
        <is>
          <t>Tirrinia Super Soft Fluffy Hooded Robe Long Plush Fuzzy Bathrobe for Women with Hood Sherpa Lined, Machine Washable, Grey</t>
        </is>
      </c>
      <c r="C683" t="inlineStr">
        <is>
          <t>1TRRB100GY</t>
        </is>
      </c>
      <c r="D683" t="inlineStr">
        <is>
          <t>Sleepwear Robes &amp; Bathrobes</t>
        </is>
      </c>
      <c r="E683" t="inlineStr">
        <is>
          <t>Tirrinia</t>
        </is>
      </c>
      <c r="F683" t="inlineStr">
        <is>
          <t>WFS,Bathrobe,Coupon_Discount,WFS Item</t>
        </is>
      </c>
      <c r="G683" s="48" t="n">
        <v>0</v>
      </c>
      <c r="H683" s="48" t="n">
        <v>0</v>
      </c>
      <c r="I683" s="48" t="n">
        <v>0</v>
      </c>
      <c r="J683" s="48" t="n">
        <v>0</v>
      </c>
      <c r="K683" s="49" t="n">
        <v>0</v>
      </c>
      <c r="L683" s="49" t="n">
        <v>0</v>
      </c>
      <c r="M683" s="49" t="n">
        <v>0</v>
      </c>
      <c r="N683" s="49" t="n">
        <v>0</v>
      </c>
      <c r="O683" s="49" t="n">
        <v>0</v>
      </c>
      <c r="P683" s="49" t="n">
        <v>0</v>
      </c>
      <c r="Q683" s="49" t="n">
        <v>0</v>
      </c>
      <c r="R683" s="49" t="n">
        <v>0</v>
      </c>
      <c r="S683" s="50" t="n">
        <v>0</v>
      </c>
      <c r="T683" s="50" t="n">
        <v>0</v>
      </c>
      <c r="U683" s="50" t="n">
        <v>0</v>
      </c>
      <c r="V683" s="50" t="n">
        <v>0</v>
      </c>
      <c r="W683" s="51" t="n">
        <v>0</v>
      </c>
      <c r="X683" s="51" t="n">
        <v>0</v>
      </c>
      <c r="Y683" s="51" t="n">
        <v>0</v>
      </c>
      <c r="Z683" s="51" t="n">
        <v>0</v>
      </c>
      <c r="AA683" s="52" t="n">
        <v>0</v>
      </c>
      <c r="AB683" s="52" t="n">
        <v>0</v>
      </c>
      <c r="AC683" s="52" t="n">
        <v>0</v>
      </c>
      <c r="AD683" s="52" t="n">
        <v>0</v>
      </c>
      <c r="AE683" s="52" t="n">
        <v>0</v>
      </c>
      <c r="AF683" s="52" t="n">
        <v>0</v>
      </c>
      <c r="AG683" s="52" t="n">
        <v>0</v>
      </c>
      <c r="AH683" s="52" t="n">
        <v>0</v>
      </c>
      <c r="AI683" s="52" t="n">
        <v>0</v>
      </c>
      <c r="AJ683" s="52" t="n">
        <v>0</v>
      </c>
      <c r="AK683" s="52" t="n">
        <v>0</v>
      </c>
      <c r="AL683" s="52" t="n">
        <v>0</v>
      </c>
      <c r="AM683" s="53" t="n">
        <v>0</v>
      </c>
      <c r="AN683" s="53" t="n">
        <v>0</v>
      </c>
      <c r="AO683" s="53" t="n">
        <v>0</v>
      </c>
      <c r="AP683" s="53" t="n">
        <v>0</v>
      </c>
      <c r="AQ683" s="52" t="n">
        <v>0</v>
      </c>
      <c r="AR683" s="52" t="n">
        <v>0</v>
      </c>
      <c r="AS683" s="52" t="n">
        <v>0</v>
      </c>
      <c r="AT683" s="52" t="n">
        <v>0</v>
      </c>
      <c r="AU683" s="53" t="n">
        <v>0</v>
      </c>
      <c r="AV683" s="53" t="n">
        <v>0</v>
      </c>
      <c r="AW683" s="53" t="n">
        <v>0</v>
      </c>
      <c r="AX683" s="53" t="n">
        <v>0</v>
      </c>
      <c r="AY683" s="52" t="n">
        <v>0</v>
      </c>
      <c r="AZ683" s="52" t="n">
        <v>0</v>
      </c>
      <c r="BA683" s="52" t="n">
        <v>0</v>
      </c>
      <c r="BB683" s="52" t="n">
        <v>0</v>
      </c>
      <c r="BC683" s="51" t="n">
        <v>0</v>
      </c>
      <c r="BD683" s="51" t="n">
        <v>0</v>
      </c>
      <c r="BE683" s="51" t="n">
        <v>0</v>
      </c>
      <c r="BF683" s="51" t="n">
        <v>0</v>
      </c>
    </row>
    <row r="684">
      <c r="A684">
        <f>HYPERLINK("https://www.walmart.com/ip/491790001", "491790001")</f>
        <v/>
      </c>
      <c r="B684" t="inlineStr">
        <is>
          <t>Kato Sherpa Waterproof Throw Blanket Reversible Emergency Warm Picnic 51” X 59”, 2 lb, All Ages</t>
        </is>
      </c>
      <c r="C684" t="inlineStr">
        <is>
          <t>1KTBW506BKGY</t>
        </is>
      </c>
      <c r="D684" t="inlineStr">
        <is>
          <t>Throws</t>
        </is>
      </c>
      <c r="E684" t="inlineStr">
        <is>
          <t>Kato</t>
        </is>
      </c>
      <c r="F684" t="inlineStr">
        <is>
          <t>Q2-Target,Optimized</t>
        </is>
      </c>
      <c r="G684" s="48" t="n">
        <v>0</v>
      </c>
      <c r="H684" s="48" t="n">
        <v>0</v>
      </c>
      <c r="I684" s="48" t="n">
        <v>0</v>
      </c>
      <c r="J684" s="48" t="n">
        <v>0</v>
      </c>
      <c r="K684" s="49" t="n">
        <v>0</v>
      </c>
      <c r="L684" s="49" t="n">
        <v>0</v>
      </c>
      <c r="M684" s="49" t="n">
        <v>0</v>
      </c>
      <c r="N684" s="49" t="n">
        <v>0</v>
      </c>
      <c r="O684" s="49" t="n">
        <v>0</v>
      </c>
      <c r="P684" s="49" t="n">
        <v>0</v>
      </c>
      <c r="Q684" s="49" t="n">
        <v>0</v>
      </c>
      <c r="R684" s="49" t="n">
        <v>0</v>
      </c>
      <c r="S684" s="50" t="n">
        <v>0</v>
      </c>
      <c r="T684" s="50" t="n">
        <v>0</v>
      </c>
      <c r="U684" s="50" t="n">
        <v>0</v>
      </c>
      <c r="V684" s="50" t="n">
        <v>0</v>
      </c>
      <c r="W684" s="51" t="n">
        <v>0</v>
      </c>
      <c r="X684" s="51" t="n">
        <v>0</v>
      </c>
      <c r="Y684" s="51" t="n">
        <v>0</v>
      </c>
      <c r="Z684" s="51" t="n">
        <v>0</v>
      </c>
      <c r="AA684" s="52" t="n">
        <v>0</v>
      </c>
      <c r="AB684" s="52" t="n">
        <v>0</v>
      </c>
      <c r="AC684" s="52" t="n">
        <v>0</v>
      </c>
      <c r="AD684" s="52" t="n">
        <v>0</v>
      </c>
      <c r="AE684" s="52" t="n">
        <v>0</v>
      </c>
      <c r="AF684" s="52" t="n">
        <v>0</v>
      </c>
      <c r="AG684" s="52" t="n">
        <v>0</v>
      </c>
      <c r="AH684" s="52" t="n">
        <v>0</v>
      </c>
      <c r="AI684" s="52" t="n">
        <v>0</v>
      </c>
      <c r="AJ684" s="52" t="n">
        <v>0</v>
      </c>
      <c r="AK684" s="52" t="n">
        <v>0</v>
      </c>
      <c r="AL684" s="52" t="n">
        <v>0</v>
      </c>
      <c r="AM684" s="53" t="n">
        <v>0</v>
      </c>
      <c r="AN684" s="53" t="n">
        <v>0</v>
      </c>
      <c r="AO684" s="53" t="n">
        <v>0</v>
      </c>
      <c r="AP684" s="53" t="n">
        <v>0</v>
      </c>
      <c r="AQ684" s="52" t="n">
        <v>0</v>
      </c>
      <c r="AR684" s="52" t="n">
        <v>0</v>
      </c>
      <c r="AS684" s="52" t="n">
        <v>0</v>
      </c>
      <c r="AT684" s="52" t="n">
        <v>0</v>
      </c>
      <c r="AU684" s="53" t="n">
        <v>0</v>
      </c>
      <c r="AV684" s="53" t="n">
        <v>0</v>
      </c>
      <c r="AW684" s="53" t="n">
        <v>0</v>
      </c>
      <c r="AX684" s="53" t="n">
        <v>0</v>
      </c>
      <c r="AY684" s="52" t="n">
        <v>0</v>
      </c>
      <c r="AZ684" s="52" t="n">
        <v>0</v>
      </c>
      <c r="BA684" s="52" t="n">
        <v>0</v>
      </c>
      <c r="BB684" s="52" t="n">
        <v>0</v>
      </c>
      <c r="BC684" s="51" t="n">
        <v>0</v>
      </c>
      <c r="BD684" s="51" t="n">
        <v>0</v>
      </c>
      <c r="BE684" s="51" t="n">
        <v>0</v>
      </c>
      <c r="BF684" s="51" t="n">
        <v>0</v>
      </c>
    </row>
    <row r="685">
      <c r="A685">
        <f>HYPERLINK("https://www.walmart.com/ip/492947088", "492947088")</f>
        <v/>
      </c>
      <c r="B685" t="inlineStr">
        <is>
          <t>Catalonia Patriotic US Flag Blanket, Sherpa Fleece Plush Super Soft Cozy Warm Reversible Blanket for Couch Bed, 4th of July Citizenship Veteran Gift, 50x70 inches</t>
        </is>
      </c>
      <c r="C685" t="inlineStr">
        <is>
          <t>1CTBF300USARD</t>
        </is>
      </c>
      <c r="D685" t="inlineStr">
        <is>
          <t>Throws</t>
        </is>
      </c>
      <c r="E685" t="inlineStr">
        <is>
          <t>Catalonia</t>
        </is>
      </c>
      <c r="F685" t="inlineStr">
        <is>
          <t>WFS,WFS Item</t>
        </is>
      </c>
      <c r="G685" s="48" t="n">
        <v>0</v>
      </c>
      <c r="H685" s="48" t="n">
        <v>0</v>
      </c>
      <c r="I685" s="48" t="n">
        <v>25.99</v>
      </c>
      <c r="J685" s="48" t="n">
        <v>0</v>
      </c>
      <c r="K685" s="49" t="n">
        <v>0</v>
      </c>
      <c r="L685" s="49" t="n">
        <v>0</v>
      </c>
      <c r="M685" s="49" t="n">
        <v>1</v>
      </c>
      <c r="N685" s="49" t="n">
        <v>0</v>
      </c>
      <c r="O685" s="49" t="n">
        <v>0</v>
      </c>
      <c r="P685" s="49" t="n">
        <v>0</v>
      </c>
      <c r="Q685" s="49" t="n">
        <v>0</v>
      </c>
      <c r="R685" s="49" t="n">
        <v>0</v>
      </c>
      <c r="S685" s="50" t="n">
        <v>0</v>
      </c>
      <c r="T685" s="50" t="n">
        <v>0</v>
      </c>
      <c r="U685" s="50" t="n">
        <v>0</v>
      </c>
      <c r="V685" s="50" t="n">
        <v>0</v>
      </c>
      <c r="W685" s="51" t="n">
        <v>0</v>
      </c>
      <c r="X685" s="51" t="n">
        <v>0</v>
      </c>
      <c r="Y685" s="51" t="n">
        <v>0</v>
      </c>
      <c r="Z685" s="51" t="n">
        <v>0</v>
      </c>
      <c r="AA685" s="52" t="n">
        <v>0</v>
      </c>
      <c r="AB685" s="52" t="n">
        <v>0</v>
      </c>
      <c r="AC685" s="52" t="n">
        <v>0</v>
      </c>
      <c r="AD685" s="52" t="n">
        <v>0</v>
      </c>
      <c r="AE685" s="52" t="n">
        <v>0</v>
      </c>
      <c r="AF685" s="52" t="n">
        <v>0</v>
      </c>
      <c r="AG685" s="52" t="n">
        <v>0</v>
      </c>
      <c r="AH685" s="52" t="n">
        <v>0</v>
      </c>
      <c r="AI685" s="52" t="n">
        <v>0</v>
      </c>
      <c r="AJ685" s="52" t="n">
        <v>0</v>
      </c>
      <c r="AK685" s="52" t="n">
        <v>0</v>
      </c>
      <c r="AL685" s="52" t="n">
        <v>0</v>
      </c>
      <c r="AM685" s="53" t="n">
        <v>0</v>
      </c>
      <c r="AN685" s="53" t="n">
        <v>0</v>
      </c>
      <c r="AO685" s="53" t="n">
        <v>0</v>
      </c>
      <c r="AP685" s="53" t="n">
        <v>0</v>
      </c>
      <c r="AQ685" s="52" t="n">
        <v>0</v>
      </c>
      <c r="AR685" s="52" t="n">
        <v>0</v>
      </c>
      <c r="AS685" s="52" t="n">
        <v>0</v>
      </c>
      <c r="AT685" s="52" t="n">
        <v>0</v>
      </c>
      <c r="AU685" s="53" t="n">
        <v>0</v>
      </c>
      <c r="AV685" s="53" t="n">
        <v>0</v>
      </c>
      <c r="AW685" s="53" t="n">
        <v>0</v>
      </c>
      <c r="AX685" s="53" t="n">
        <v>0</v>
      </c>
      <c r="AY685" s="52" t="n">
        <v>0</v>
      </c>
      <c r="AZ685" s="52" t="n">
        <v>0</v>
      </c>
      <c r="BA685" s="52" t="n">
        <v>25.99</v>
      </c>
      <c r="BB685" s="52" t="n">
        <v>0</v>
      </c>
      <c r="BC685" s="51" t="n">
        <v>0</v>
      </c>
      <c r="BD685" s="51" t="n">
        <v>0</v>
      </c>
      <c r="BE685" s="51" t="n">
        <v>0</v>
      </c>
      <c r="BF685" s="51" t="n">
        <v>0</v>
      </c>
    </row>
    <row r="686">
      <c r="A686">
        <f>HYPERLINK("https://www.walmart.com/ip/493504723", "493504723")</f>
        <v/>
      </c>
      <c r="B686" t="inlineStr">
        <is>
          <t>Catalonia Wearable TV Blanket with Sleeves Arms Warm Micro Plush Sherpa Fleece for Adult Large Wrap Throw Robe 72 x 55”</t>
        </is>
      </c>
      <c r="C686" t="inlineStr">
        <is>
          <t>1CTSN110PP</t>
        </is>
      </c>
      <c r="D686" t="inlineStr">
        <is>
          <t>Throws</t>
        </is>
      </c>
      <c r="E686" t="inlineStr">
        <is>
          <t>Catalonia</t>
        </is>
      </c>
      <c r="F686" t="inlineStr">
        <is>
          <t>WFS,WFS Item</t>
        </is>
      </c>
      <c r="G686" s="48" t="n">
        <v>0</v>
      </c>
      <c r="H686" s="48" t="n">
        <v>0</v>
      </c>
      <c r="I686" s="48" t="n">
        <v>0</v>
      </c>
      <c r="J686" s="48" t="n">
        <v>0</v>
      </c>
      <c r="K686" s="49" t="n">
        <v>0</v>
      </c>
      <c r="L686" s="49" t="n">
        <v>0</v>
      </c>
      <c r="M686" s="49" t="n">
        <v>0</v>
      </c>
      <c r="N686" s="49" t="n">
        <v>0</v>
      </c>
      <c r="O686" s="49" t="n">
        <v>0</v>
      </c>
      <c r="P686" s="49" t="n">
        <v>0</v>
      </c>
      <c r="Q686" s="49" t="n">
        <v>0</v>
      </c>
      <c r="R686" s="49" t="n">
        <v>0</v>
      </c>
      <c r="S686" s="50" t="n">
        <v>0</v>
      </c>
      <c r="T686" s="50" t="n">
        <v>0</v>
      </c>
      <c r="U686" s="50" t="n">
        <v>0</v>
      </c>
      <c r="V686" s="50" t="n">
        <v>0</v>
      </c>
      <c r="W686" s="51" t="n">
        <v>0</v>
      </c>
      <c r="X686" s="51" t="n">
        <v>0</v>
      </c>
      <c r="Y686" s="51" t="n">
        <v>0</v>
      </c>
      <c r="Z686" s="51" t="n">
        <v>0</v>
      </c>
      <c r="AA686" s="52" t="n">
        <v>0</v>
      </c>
      <c r="AB686" s="52" t="n">
        <v>0</v>
      </c>
      <c r="AC686" s="52" t="n">
        <v>0</v>
      </c>
      <c r="AD686" s="52" t="n">
        <v>0</v>
      </c>
      <c r="AE686" s="52" t="n">
        <v>0</v>
      </c>
      <c r="AF686" s="52" t="n">
        <v>0</v>
      </c>
      <c r="AG686" s="52" t="n">
        <v>0</v>
      </c>
      <c r="AH686" s="52" t="n">
        <v>0</v>
      </c>
      <c r="AI686" s="52" t="n">
        <v>0</v>
      </c>
      <c r="AJ686" s="52" t="n">
        <v>0</v>
      </c>
      <c r="AK686" s="52" t="n">
        <v>0</v>
      </c>
      <c r="AL686" s="52" t="n">
        <v>0</v>
      </c>
      <c r="AM686" s="53" t="n">
        <v>0</v>
      </c>
      <c r="AN686" s="53" t="n">
        <v>0</v>
      </c>
      <c r="AO686" s="53" t="n">
        <v>0</v>
      </c>
      <c r="AP686" s="53" t="n">
        <v>0</v>
      </c>
      <c r="AQ686" s="52" t="n">
        <v>0</v>
      </c>
      <c r="AR686" s="52" t="n">
        <v>0</v>
      </c>
      <c r="AS686" s="52" t="n">
        <v>0</v>
      </c>
      <c r="AT686" s="52" t="n">
        <v>0</v>
      </c>
      <c r="AU686" s="53" t="n">
        <v>0</v>
      </c>
      <c r="AV686" s="53" t="n">
        <v>0</v>
      </c>
      <c r="AW686" s="53" t="n">
        <v>0</v>
      </c>
      <c r="AX686" s="53" t="n">
        <v>0</v>
      </c>
      <c r="AY686" s="52" t="n">
        <v>0</v>
      </c>
      <c r="AZ686" s="52" t="n">
        <v>0</v>
      </c>
      <c r="BA686" s="52" t="n">
        <v>0</v>
      </c>
      <c r="BB686" s="52" t="n">
        <v>0</v>
      </c>
      <c r="BC686" s="51" t="n">
        <v>0</v>
      </c>
      <c r="BD686" s="51" t="n">
        <v>0</v>
      </c>
      <c r="BE686" s="51" t="n">
        <v>0</v>
      </c>
      <c r="BF686" s="51" t="n">
        <v>0</v>
      </c>
    </row>
    <row r="687">
      <c r="A687">
        <f>HYPERLINK("https://www.walmart.com/ip/493530227", "493530227")</f>
        <v/>
      </c>
      <c r="B687" t="inlineStr">
        <is>
          <t>JenniWears® Women's Plue Size Flower laced Sexy Babydoll</t>
        </is>
      </c>
      <c r="C687" t="inlineStr">
        <is>
          <t>JWBD05RD-3XL</t>
        </is>
      </c>
      <c r="D687" t="inlineStr">
        <is>
          <t>Lingerie Sets</t>
        </is>
      </c>
      <c r="E687" t="inlineStr">
        <is>
          <t>JenniWears</t>
        </is>
      </c>
      <c r="F687" t="inlineStr">
        <is>
          <t>Valentine</t>
        </is>
      </c>
      <c r="G687" s="48" t="n">
        <v>0</v>
      </c>
      <c r="H687" s="48" t="n">
        <v>0</v>
      </c>
      <c r="I687" s="48" t="n">
        <v>0</v>
      </c>
      <c r="J687" s="48" t="n">
        <v>0</v>
      </c>
      <c r="K687" s="49" t="n">
        <v>0</v>
      </c>
      <c r="L687" s="49" t="n">
        <v>0</v>
      </c>
      <c r="M687" s="49" t="n">
        <v>0</v>
      </c>
      <c r="N687" s="49" t="n">
        <v>0</v>
      </c>
      <c r="O687" s="49" t="n">
        <v>0</v>
      </c>
      <c r="P687" s="49" t="n">
        <v>0</v>
      </c>
      <c r="Q687" s="49" t="n">
        <v>0</v>
      </c>
      <c r="R687" s="49" t="n">
        <v>0</v>
      </c>
      <c r="S687" s="50" t="n">
        <v>0</v>
      </c>
      <c r="T687" s="50" t="n">
        <v>0</v>
      </c>
      <c r="U687" s="50" t="n">
        <v>0</v>
      </c>
      <c r="V687" s="50" t="n">
        <v>0</v>
      </c>
      <c r="W687" s="51" t="n">
        <v>0</v>
      </c>
      <c r="X687" s="51" t="n">
        <v>0</v>
      </c>
      <c r="Y687" s="51" t="n">
        <v>0</v>
      </c>
      <c r="Z687" s="51" t="n">
        <v>0</v>
      </c>
      <c r="AA687" s="52" t="n">
        <v>0</v>
      </c>
      <c r="AB687" s="52" t="n">
        <v>0</v>
      </c>
      <c r="AC687" s="52" t="n">
        <v>0</v>
      </c>
      <c r="AD687" s="52" t="n">
        <v>0</v>
      </c>
      <c r="AE687" s="52" t="n">
        <v>0</v>
      </c>
      <c r="AF687" s="52" t="n">
        <v>0</v>
      </c>
      <c r="AG687" s="52" t="n">
        <v>0</v>
      </c>
      <c r="AH687" s="52" t="n">
        <v>0</v>
      </c>
      <c r="AI687" s="52" t="n">
        <v>0</v>
      </c>
      <c r="AJ687" s="52" t="n">
        <v>0</v>
      </c>
      <c r="AK687" s="52" t="n">
        <v>0</v>
      </c>
      <c r="AL687" s="52" t="n">
        <v>0</v>
      </c>
      <c r="AM687" s="53" t="n">
        <v>0</v>
      </c>
      <c r="AN687" s="53" t="n">
        <v>0</v>
      </c>
      <c r="AO687" s="53" t="n">
        <v>0</v>
      </c>
      <c r="AP687" s="53" t="n">
        <v>0</v>
      </c>
      <c r="AQ687" s="52" t="n">
        <v>0</v>
      </c>
      <c r="AR687" s="52" t="n">
        <v>0</v>
      </c>
      <c r="AS687" s="52" t="n">
        <v>0</v>
      </c>
      <c r="AT687" s="52" t="n">
        <v>0</v>
      </c>
      <c r="AU687" s="53" t="n">
        <v>0</v>
      </c>
      <c r="AV687" s="53" t="n">
        <v>0</v>
      </c>
      <c r="AW687" s="53" t="n">
        <v>0</v>
      </c>
      <c r="AX687" s="53" t="n">
        <v>0</v>
      </c>
      <c r="AY687" s="52" t="n">
        <v>0</v>
      </c>
      <c r="AZ687" s="52" t="n">
        <v>0</v>
      </c>
      <c r="BA687" s="52" t="n">
        <v>0</v>
      </c>
      <c r="BB687" s="52" t="n">
        <v>0</v>
      </c>
      <c r="BC687" s="51" t="n">
        <v>0</v>
      </c>
      <c r="BD687" s="51" t="n">
        <v>0</v>
      </c>
      <c r="BE687" s="51" t="n">
        <v>0</v>
      </c>
      <c r="BF687" s="51" t="n">
        <v>0</v>
      </c>
    </row>
    <row r="688">
      <c r="A688">
        <f>HYPERLINK("https://www.walmart.com/ip/493813539", "493813539")</f>
        <v/>
      </c>
      <c r="B688" t="inlineStr">
        <is>
          <t>Catalonia Fleece Throw Blanket for Couch, Lightweight All Seasons Soft Cozy Moroccan Blanket for Home Living Room Decorative, 50'' x 60'', Blue</t>
        </is>
      </c>
      <c r="C688" t="inlineStr">
        <is>
          <t>1CTBF580LTSBL</t>
        </is>
      </c>
      <c r="D688" t="inlineStr">
        <is>
          <t>Throws</t>
        </is>
      </c>
      <c r="E688" t="inlineStr">
        <is>
          <t>Catalonia</t>
        </is>
      </c>
      <c r="F688" t="inlineStr">
        <is>
          <t>WFS,WFS Item</t>
        </is>
      </c>
      <c r="G688" s="48" t="n">
        <v>0</v>
      </c>
      <c r="H688" s="48" t="n">
        <v>0</v>
      </c>
      <c r="I688" s="48" t="n">
        <v>0</v>
      </c>
      <c r="J688" s="48" t="n">
        <v>0</v>
      </c>
      <c r="K688" s="49" t="n">
        <v>0</v>
      </c>
      <c r="L688" s="49" t="n">
        <v>0</v>
      </c>
      <c r="M688" s="49" t="n">
        <v>0</v>
      </c>
      <c r="N688" s="49" t="n">
        <v>0</v>
      </c>
      <c r="O688" s="49" t="n">
        <v>0</v>
      </c>
      <c r="P688" s="49" t="n">
        <v>0</v>
      </c>
      <c r="Q688" s="49" t="n">
        <v>0</v>
      </c>
      <c r="R688" s="49" t="n">
        <v>0</v>
      </c>
      <c r="S688" s="50" t="n">
        <v>0</v>
      </c>
      <c r="T688" s="50" t="n">
        <v>0</v>
      </c>
      <c r="U688" s="50" t="n">
        <v>0</v>
      </c>
      <c r="V688" s="50" t="n">
        <v>0</v>
      </c>
      <c r="W688" s="51" t="n">
        <v>0</v>
      </c>
      <c r="X688" s="51" t="n">
        <v>0</v>
      </c>
      <c r="Y688" s="51" t="n">
        <v>0</v>
      </c>
      <c r="Z688" s="51" t="n">
        <v>0</v>
      </c>
      <c r="AA688" s="52" t="n">
        <v>0</v>
      </c>
      <c r="AB688" s="52" t="n">
        <v>0</v>
      </c>
      <c r="AC688" s="52" t="n">
        <v>0</v>
      </c>
      <c r="AD688" s="52" t="n">
        <v>0</v>
      </c>
      <c r="AE688" s="52" t="n">
        <v>0</v>
      </c>
      <c r="AF688" s="52" t="n">
        <v>0</v>
      </c>
      <c r="AG688" s="52" t="n">
        <v>0</v>
      </c>
      <c r="AH688" s="52" t="n">
        <v>0</v>
      </c>
      <c r="AI688" s="52" t="n">
        <v>0</v>
      </c>
      <c r="AJ688" s="52" t="n">
        <v>0</v>
      </c>
      <c r="AK688" s="52" t="n">
        <v>0</v>
      </c>
      <c r="AL688" s="52" t="n">
        <v>0</v>
      </c>
      <c r="AM688" s="53" t="n">
        <v>0</v>
      </c>
      <c r="AN688" s="53" t="n">
        <v>0</v>
      </c>
      <c r="AO688" s="53" t="n">
        <v>0</v>
      </c>
      <c r="AP688" s="53" t="n">
        <v>0</v>
      </c>
      <c r="AQ688" s="52" t="n">
        <v>0</v>
      </c>
      <c r="AR688" s="52" t="n">
        <v>0</v>
      </c>
      <c r="AS688" s="52" t="n">
        <v>0</v>
      </c>
      <c r="AT688" s="52" t="n">
        <v>0</v>
      </c>
      <c r="AU688" s="53" t="n">
        <v>0</v>
      </c>
      <c r="AV688" s="53" t="n">
        <v>0</v>
      </c>
      <c r="AW688" s="53" t="n">
        <v>0</v>
      </c>
      <c r="AX688" s="53" t="n">
        <v>0</v>
      </c>
      <c r="AY688" s="52" t="n">
        <v>0</v>
      </c>
      <c r="AZ688" s="52" t="n">
        <v>0</v>
      </c>
      <c r="BA688" s="52" t="n">
        <v>0</v>
      </c>
      <c r="BB688" s="52" t="n">
        <v>0</v>
      </c>
      <c r="BC688" s="51" t="n">
        <v>0</v>
      </c>
      <c r="BD688" s="51" t="n">
        <v>0</v>
      </c>
      <c r="BE688" s="51" t="n">
        <v>0</v>
      </c>
      <c r="BF688" s="51" t="n">
        <v>0</v>
      </c>
    </row>
    <row r="689">
      <c r="A689">
        <f>HYPERLINK("https://www.walmart.com/ip/494100643", "494100643")</f>
        <v/>
      </c>
      <c r="B689" t="inlineStr">
        <is>
          <t>Tirrinia Insulated Lunch Bag for Women, Men and Kids, Leakproof Thermal Reusable Lunch Box Tote, Lunch Cooler for Office Work, Brown</t>
        </is>
      </c>
      <c r="C689" t="inlineStr">
        <is>
          <t>1WMLB701P1BR</t>
        </is>
      </c>
      <c r="D689" t="inlineStr">
        <is>
          <t>Reusable Lunch Bags &amp; Boxes</t>
        </is>
      </c>
      <c r="E689" t="inlineStr">
        <is>
          <t>Flyingstar</t>
        </is>
      </c>
      <c r="F689" t="inlineStr">
        <is>
          <t>Q2-Target,Lunch Bag</t>
        </is>
      </c>
      <c r="G689" s="48" t="n">
        <v>0</v>
      </c>
      <c r="H689" s="48" t="n">
        <v>0</v>
      </c>
      <c r="I689" s="48" t="n">
        <v>0</v>
      </c>
      <c r="J689" s="48" t="n">
        <v>11.99</v>
      </c>
      <c r="K689" s="49" t="n">
        <v>0</v>
      </c>
      <c r="L689" s="49" t="n">
        <v>0</v>
      </c>
      <c r="M689" s="49" t="n">
        <v>0</v>
      </c>
      <c r="N689" s="49" t="n">
        <v>1</v>
      </c>
      <c r="O689" s="49" t="n">
        <v>0</v>
      </c>
      <c r="P689" s="49" t="n">
        <v>0</v>
      </c>
      <c r="Q689" s="49" t="n">
        <v>0</v>
      </c>
      <c r="R689" s="49" t="n">
        <v>0</v>
      </c>
      <c r="S689" s="50" t="n">
        <v>0</v>
      </c>
      <c r="T689" s="50" t="n">
        <v>0</v>
      </c>
      <c r="U689" s="50" t="n">
        <v>0</v>
      </c>
      <c r="V689" s="50" t="n">
        <v>0</v>
      </c>
      <c r="W689" s="51" t="n">
        <v>0</v>
      </c>
      <c r="X689" s="51" t="n">
        <v>0</v>
      </c>
      <c r="Y689" s="51" t="n">
        <v>0</v>
      </c>
      <c r="Z689" s="51" t="n">
        <v>0</v>
      </c>
      <c r="AA689" s="52" t="n">
        <v>0</v>
      </c>
      <c r="AB689" s="52" t="n">
        <v>0</v>
      </c>
      <c r="AC689" s="52" t="n">
        <v>0</v>
      </c>
      <c r="AD689" s="52" t="n">
        <v>0</v>
      </c>
      <c r="AE689" s="52" t="n">
        <v>0</v>
      </c>
      <c r="AF689" s="52" t="n">
        <v>0</v>
      </c>
      <c r="AG689" s="52" t="n">
        <v>0</v>
      </c>
      <c r="AH689" s="52" t="n">
        <v>0</v>
      </c>
      <c r="AI689" s="52" t="n">
        <v>0</v>
      </c>
      <c r="AJ689" s="52" t="n">
        <v>0</v>
      </c>
      <c r="AK689" s="52" t="n">
        <v>0</v>
      </c>
      <c r="AL689" s="52" t="n">
        <v>0</v>
      </c>
      <c r="AM689" s="53" t="n">
        <v>0</v>
      </c>
      <c r="AN689" s="53" t="n">
        <v>0</v>
      </c>
      <c r="AO689" s="53" t="n">
        <v>0</v>
      </c>
      <c r="AP689" s="53" t="n">
        <v>0</v>
      </c>
      <c r="AQ689" s="52" t="n">
        <v>0</v>
      </c>
      <c r="AR689" s="52" t="n">
        <v>0</v>
      </c>
      <c r="AS689" s="52" t="n">
        <v>0</v>
      </c>
      <c r="AT689" s="52" t="n">
        <v>0</v>
      </c>
      <c r="AU689" s="53" t="n">
        <v>0</v>
      </c>
      <c r="AV689" s="53" t="n">
        <v>0</v>
      </c>
      <c r="AW689" s="53" t="n">
        <v>0</v>
      </c>
      <c r="AX689" s="53" t="n">
        <v>0</v>
      </c>
      <c r="AY689" s="52" t="n">
        <v>0</v>
      </c>
      <c r="AZ689" s="52" t="n">
        <v>0</v>
      </c>
      <c r="BA689" s="52" t="n">
        <v>0</v>
      </c>
      <c r="BB689" s="52" t="n">
        <v>11.99</v>
      </c>
      <c r="BC689" s="51" t="n">
        <v>0</v>
      </c>
      <c r="BD689" s="51" t="n">
        <v>0</v>
      </c>
      <c r="BE689" s="51" t="n">
        <v>0</v>
      </c>
      <c r="BF689" s="51" t="n">
        <v>0</v>
      </c>
    </row>
    <row r="690">
      <c r="A690">
        <f>HYPERLINK("https://www.walmart.com/ip/497159576", "497159576")</f>
        <v/>
      </c>
      <c r="B690" t="inlineStr">
        <is>
          <t>Fleece Blanket Wearable with Sleeves and Pocket, Micro Plush Warm Comfy Sleeved TV Throw Blanket Robe for Women and Men Multi-Colors 72”X55” by Catalonia</t>
        </is>
      </c>
      <c r="C690" t="inlineStr">
        <is>
          <t>1CTSN110PRD</t>
        </is>
      </c>
      <c r="D690" t="inlineStr">
        <is>
          <t>Throws</t>
        </is>
      </c>
      <c r="E690" t="inlineStr">
        <is>
          <t>Catalonia</t>
        </is>
      </c>
      <c r="F690" t="inlineStr">
        <is>
          <t>Q2-Target,WFS,Coupon_Discount,WFS Item,Fleece Blankets</t>
        </is>
      </c>
      <c r="G690" s="48" t="n">
        <v>0</v>
      </c>
      <c r="H690" s="48" t="n">
        <v>0</v>
      </c>
      <c r="I690" s="48" t="n">
        <v>0</v>
      </c>
      <c r="J690" s="48" t="n">
        <v>0</v>
      </c>
      <c r="K690" s="49" t="n">
        <v>0</v>
      </c>
      <c r="L690" s="49" t="n">
        <v>0</v>
      </c>
      <c r="M690" s="49" t="n">
        <v>0</v>
      </c>
      <c r="N690" s="49" t="n">
        <v>0</v>
      </c>
      <c r="O690" s="49" t="n">
        <v>0</v>
      </c>
      <c r="P690" s="49" t="n">
        <v>0</v>
      </c>
      <c r="Q690" s="49" t="n">
        <v>0</v>
      </c>
      <c r="R690" s="49" t="n">
        <v>0</v>
      </c>
      <c r="S690" s="50" t="n">
        <v>0</v>
      </c>
      <c r="T690" s="50" t="n">
        <v>0</v>
      </c>
      <c r="U690" s="50" t="n">
        <v>0</v>
      </c>
      <c r="V690" s="50" t="n">
        <v>0</v>
      </c>
      <c r="W690" s="51" t="n">
        <v>0</v>
      </c>
      <c r="X690" s="51" t="n">
        <v>0</v>
      </c>
      <c r="Y690" s="51" t="n">
        <v>0</v>
      </c>
      <c r="Z690" s="51" t="n">
        <v>0</v>
      </c>
      <c r="AA690" s="52" t="n">
        <v>0</v>
      </c>
      <c r="AB690" s="52" t="n">
        <v>0</v>
      </c>
      <c r="AC690" s="52" t="n">
        <v>0</v>
      </c>
      <c r="AD690" s="52" t="n">
        <v>0</v>
      </c>
      <c r="AE690" s="52" t="n">
        <v>0</v>
      </c>
      <c r="AF690" s="52" t="n">
        <v>0</v>
      </c>
      <c r="AG690" s="52" t="n">
        <v>0</v>
      </c>
      <c r="AH690" s="52" t="n">
        <v>0</v>
      </c>
      <c r="AI690" s="52" t="n">
        <v>0</v>
      </c>
      <c r="AJ690" s="52" t="n">
        <v>0</v>
      </c>
      <c r="AK690" s="52" t="n">
        <v>0</v>
      </c>
      <c r="AL690" s="52" t="n">
        <v>0</v>
      </c>
      <c r="AM690" s="53" t="n">
        <v>0</v>
      </c>
      <c r="AN690" s="53" t="n">
        <v>0</v>
      </c>
      <c r="AO690" s="53" t="n">
        <v>0</v>
      </c>
      <c r="AP690" s="53" t="n">
        <v>0</v>
      </c>
      <c r="AQ690" s="52" t="n">
        <v>0</v>
      </c>
      <c r="AR690" s="52" t="n">
        <v>0</v>
      </c>
      <c r="AS690" s="52" t="n">
        <v>0</v>
      </c>
      <c r="AT690" s="52" t="n">
        <v>0</v>
      </c>
      <c r="AU690" s="53" t="n">
        <v>0</v>
      </c>
      <c r="AV690" s="53" t="n">
        <v>0</v>
      </c>
      <c r="AW690" s="53" t="n">
        <v>0</v>
      </c>
      <c r="AX690" s="53" t="n">
        <v>0</v>
      </c>
      <c r="AY690" s="52" t="n">
        <v>0</v>
      </c>
      <c r="AZ690" s="52" t="n">
        <v>0</v>
      </c>
      <c r="BA690" s="52" t="n">
        <v>0</v>
      </c>
      <c r="BB690" s="52" t="n">
        <v>0</v>
      </c>
      <c r="BC690" s="51" t="n">
        <v>0</v>
      </c>
      <c r="BD690" s="51" t="n">
        <v>0</v>
      </c>
      <c r="BE690" s="51" t="n">
        <v>0</v>
      </c>
      <c r="BF690" s="51" t="n">
        <v>0</v>
      </c>
    </row>
    <row r="691">
      <c r="A691">
        <f>HYPERLINK("https://www.walmart.com/ip/500345659", "500345659")</f>
        <v/>
      </c>
      <c r="B691" t="inlineStr">
        <is>
          <t>Tirrinia Sun Hat for Women with Wide Brim Neck Flap, Fishing Safari Hat for Outdoor Hiking Camping, Tan</t>
        </is>
      </c>
      <c r="C691" t="inlineStr">
        <is>
          <t>1TRSH9152TN-TBGM</t>
        </is>
      </c>
      <c r="D691" t="inlineStr">
        <is>
          <t>Hats</t>
        </is>
      </c>
      <c r="E691" t="inlineStr">
        <is>
          <t>Tirrinia</t>
        </is>
      </c>
      <c r="F691" t="inlineStr">
        <is>
          <t>Q2-Target,Optimized</t>
        </is>
      </c>
      <c r="G691" s="48" t="n">
        <v>0</v>
      </c>
      <c r="H691" s="48" t="n">
        <v>0</v>
      </c>
      <c r="I691" s="48" t="n">
        <v>0</v>
      </c>
      <c r="J691" s="48" t="n">
        <v>0</v>
      </c>
      <c r="K691" s="49" t="n">
        <v>0</v>
      </c>
      <c r="L691" s="49" t="n">
        <v>0</v>
      </c>
      <c r="M691" s="49" t="n">
        <v>0</v>
      </c>
      <c r="N691" s="49" t="n">
        <v>0</v>
      </c>
      <c r="O691" s="49" t="n">
        <v>0</v>
      </c>
      <c r="P691" s="49" t="n">
        <v>0</v>
      </c>
      <c r="Q691" s="49" t="n">
        <v>0</v>
      </c>
      <c r="R691" s="49" t="n">
        <v>0</v>
      </c>
      <c r="S691" s="50" t="n">
        <v>0</v>
      </c>
      <c r="T691" s="50" t="n">
        <v>0</v>
      </c>
      <c r="U691" s="50" t="n">
        <v>0</v>
      </c>
      <c r="V691" s="50" t="n">
        <v>0</v>
      </c>
      <c r="W691" s="51" t="n">
        <v>0</v>
      </c>
      <c r="X691" s="51" t="n">
        <v>0</v>
      </c>
      <c r="Y691" s="51" t="n">
        <v>0</v>
      </c>
      <c r="Z691" s="51" t="n">
        <v>0</v>
      </c>
      <c r="AA691" s="52" t="n">
        <v>0</v>
      </c>
      <c r="AB691" s="52" t="n">
        <v>0</v>
      </c>
      <c r="AC691" s="52" t="n">
        <v>0</v>
      </c>
      <c r="AD691" s="52" t="n">
        <v>0</v>
      </c>
      <c r="AE691" s="52" t="n">
        <v>0</v>
      </c>
      <c r="AF691" s="52" t="n">
        <v>0</v>
      </c>
      <c r="AG691" s="52" t="n">
        <v>0</v>
      </c>
      <c r="AH691" s="52" t="n">
        <v>0</v>
      </c>
      <c r="AI691" s="52" t="n">
        <v>0</v>
      </c>
      <c r="AJ691" s="52" t="n">
        <v>0</v>
      </c>
      <c r="AK691" s="52" t="n">
        <v>0</v>
      </c>
      <c r="AL691" s="52" t="n">
        <v>0</v>
      </c>
      <c r="AM691" s="53" t="n">
        <v>0</v>
      </c>
      <c r="AN691" s="53" t="n">
        <v>0</v>
      </c>
      <c r="AO691" s="53" t="n">
        <v>0</v>
      </c>
      <c r="AP691" s="53" t="n">
        <v>0</v>
      </c>
      <c r="AQ691" s="52" t="n">
        <v>0</v>
      </c>
      <c r="AR691" s="52" t="n">
        <v>0</v>
      </c>
      <c r="AS691" s="52" t="n">
        <v>0</v>
      </c>
      <c r="AT691" s="52" t="n">
        <v>0</v>
      </c>
      <c r="AU691" s="53" t="n">
        <v>0</v>
      </c>
      <c r="AV691" s="53" t="n">
        <v>0</v>
      </c>
      <c r="AW691" s="53" t="n">
        <v>0</v>
      </c>
      <c r="AX691" s="53" t="n">
        <v>0</v>
      </c>
      <c r="AY691" s="52" t="n">
        <v>0</v>
      </c>
      <c r="AZ691" s="52" t="n">
        <v>0</v>
      </c>
      <c r="BA691" s="52" t="n">
        <v>0</v>
      </c>
      <c r="BB691" s="52" t="n">
        <v>0</v>
      </c>
      <c r="BC691" s="51" t="n">
        <v>117</v>
      </c>
      <c r="BD691" s="51" t="n">
        <v>0</v>
      </c>
      <c r="BE691" s="51" t="n">
        <v>0</v>
      </c>
      <c r="BF691" s="51" t="n">
        <v>0</v>
      </c>
    </row>
    <row r="692">
      <c r="A692">
        <f>HYPERLINK("https://www.walmart.com/ip/497720903", "497720903")</f>
        <v/>
      </c>
      <c r="B692" t="inlineStr">
        <is>
          <t>Catalonia Mermaid Tail Blanket, Super Soft Blanket Sherpa Lined Knit with Non-slip Neck Strap, Fleece Blanket for Adult Women or Teen Girls, Blue, 67'' x 22.5''</t>
        </is>
      </c>
      <c r="C692" t="inlineStr">
        <is>
          <t>1CTMM300BL</t>
        </is>
      </c>
      <c r="D692" t="inlineStr">
        <is>
          <t>Throws</t>
        </is>
      </c>
      <c r="E692" t="inlineStr">
        <is>
          <t>Catalonia</t>
        </is>
      </c>
      <c r="F692" t="inlineStr">
        <is>
          <t>WFS,Coupon_Discount,WFS Item</t>
        </is>
      </c>
      <c r="G692" s="48" t="n">
        <v>0</v>
      </c>
      <c r="H692" s="48" t="n">
        <v>0</v>
      </c>
      <c r="I692" s="48" t="n">
        <v>0</v>
      </c>
      <c r="J692" s="48" t="n">
        <v>0</v>
      </c>
      <c r="K692" s="49" t="n">
        <v>0</v>
      </c>
      <c r="L692" s="49" t="n">
        <v>0</v>
      </c>
      <c r="M692" s="49" t="n">
        <v>0</v>
      </c>
      <c r="N692" s="49" t="n">
        <v>0</v>
      </c>
      <c r="O692" s="49" t="n">
        <v>0</v>
      </c>
      <c r="P692" s="49" t="n">
        <v>0</v>
      </c>
      <c r="Q692" s="49" t="n">
        <v>0</v>
      </c>
      <c r="R692" s="49" t="n">
        <v>0</v>
      </c>
      <c r="S692" s="50" t="n">
        <v>0</v>
      </c>
      <c r="T692" s="50" t="n">
        <v>0</v>
      </c>
      <c r="U692" s="50" t="n">
        <v>0</v>
      </c>
      <c r="V692" s="50" t="n">
        <v>0</v>
      </c>
      <c r="W692" s="51" t="n">
        <v>0</v>
      </c>
      <c r="X692" s="51" t="n">
        <v>0</v>
      </c>
      <c r="Y692" s="51" t="n">
        <v>0</v>
      </c>
      <c r="Z692" s="51" t="n">
        <v>0</v>
      </c>
      <c r="AA692" s="52" t="n">
        <v>0</v>
      </c>
      <c r="AB692" s="52" t="n">
        <v>0</v>
      </c>
      <c r="AC692" s="52" t="n">
        <v>0</v>
      </c>
      <c r="AD692" s="52" t="n">
        <v>0</v>
      </c>
      <c r="AE692" s="52" t="n">
        <v>0</v>
      </c>
      <c r="AF692" s="52" t="n">
        <v>0</v>
      </c>
      <c r="AG692" s="52" t="n">
        <v>0</v>
      </c>
      <c r="AH692" s="52" t="n">
        <v>0</v>
      </c>
      <c r="AI692" s="52" t="n">
        <v>0</v>
      </c>
      <c r="AJ692" s="52" t="n">
        <v>0</v>
      </c>
      <c r="AK692" s="52" t="n">
        <v>0</v>
      </c>
      <c r="AL692" s="52" t="n">
        <v>0</v>
      </c>
      <c r="AM692" s="53" t="n">
        <v>0</v>
      </c>
      <c r="AN692" s="53" t="n">
        <v>0</v>
      </c>
      <c r="AO692" s="53" t="n">
        <v>0</v>
      </c>
      <c r="AP692" s="53" t="n">
        <v>0</v>
      </c>
      <c r="AQ692" s="52" t="n">
        <v>0</v>
      </c>
      <c r="AR692" s="52" t="n">
        <v>0</v>
      </c>
      <c r="AS692" s="52" t="n">
        <v>0</v>
      </c>
      <c r="AT692" s="52" t="n">
        <v>0</v>
      </c>
      <c r="AU692" s="53" t="n">
        <v>0</v>
      </c>
      <c r="AV692" s="53" t="n">
        <v>0</v>
      </c>
      <c r="AW692" s="53" t="n">
        <v>0</v>
      </c>
      <c r="AX692" s="53" t="n">
        <v>0</v>
      </c>
      <c r="AY692" s="52" t="n">
        <v>0</v>
      </c>
      <c r="AZ692" s="52" t="n">
        <v>0</v>
      </c>
      <c r="BA692" s="52" t="n">
        <v>0</v>
      </c>
      <c r="BB692" s="52" t="n">
        <v>0</v>
      </c>
      <c r="BC692" s="51" t="n">
        <v>0</v>
      </c>
      <c r="BD692" s="51" t="n">
        <v>0</v>
      </c>
      <c r="BE692" s="51" t="n">
        <v>0</v>
      </c>
      <c r="BF692" s="51" t="n">
        <v>0</v>
      </c>
    </row>
    <row r="693">
      <c r="A693">
        <f>HYPERLINK("https://www.walmart.com/ip/497765958", "497765958")</f>
        <v/>
      </c>
      <c r="B693" t="inlineStr">
        <is>
          <t>Oversized Hoodie Blanket Sweatshirt Sherpa</t>
        </is>
      </c>
      <c r="C693" t="inlineStr">
        <is>
          <t>1CTHD201UNI</t>
        </is>
      </c>
      <c r="D693" t="inlineStr">
        <is>
          <t>Sweatshirts &amp; Hoodies</t>
        </is>
      </c>
      <c r="E693" t="inlineStr">
        <is>
          <t>Catalonia</t>
        </is>
      </c>
      <c r="F693" t="inlineStr">
        <is>
          <t>Hoodie For Kids,WFS,WFS Item</t>
        </is>
      </c>
      <c r="G693" s="48" t="n">
        <v>0</v>
      </c>
      <c r="H693" s="48" t="n">
        <v>0</v>
      </c>
      <c r="I693" s="48" t="n">
        <v>0</v>
      </c>
      <c r="J693" s="48" t="n">
        <v>0</v>
      </c>
      <c r="K693" s="49" t="n">
        <v>0</v>
      </c>
      <c r="L693" s="49" t="n">
        <v>0</v>
      </c>
      <c r="M693" s="49" t="n">
        <v>0</v>
      </c>
      <c r="N693" s="49" t="n">
        <v>0</v>
      </c>
      <c r="O693" s="49" t="n">
        <v>0</v>
      </c>
      <c r="P693" s="49" t="n">
        <v>0</v>
      </c>
      <c r="Q693" s="49" t="n">
        <v>0</v>
      </c>
      <c r="R693" s="49" t="n">
        <v>0</v>
      </c>
      <c r="S693" s="50" t="n">
        <v>0</v>
      </c>
      <c r="T693" s="50" t="n">
        <v>0</v>
      </c>
      <c r="U693" s="50" t="n">
        <v>0</v>
      </c>
      <c r="V693" s="50" t="n">
        <v>0</v>
      </c>
      <c r="W693" s="51" t="n">
        <v>0</v>
      </c>
      <c r="X693" s="51" t="n">
        <v>0</v>
      </c>
      <c r="Y693" s="51" t="n">
        <v>0</v>
      </c>
      <c r="Z693" s="51" t="n">
        <v>0</v>
      </c>
      <c r="AA693" s="52" t="n">
        <v>0</v>
      </c>
      <c r="AB693" s="52" t="n">
        <v>0</v>
      </c>
      <c r="AC693" s="52" t="n">
        <v>0</v>
      </c>
      <c r="AD693" s="52" t="n">
        <v>0</v>
      </c>
      <c r="AE693" s="52" t="n">
        <v>0</v>
      </c>
      <c r="AF693" s="52" t="n">
        <v>0</v>
      </c>
      <c r="AG693" s="52" t="n">
        <v>0</v>
      </c>
      <c r="AH693" s="52" t="n">
        <v>0</v>
      </c>
      <c r="AI693" s="52" t="n">
        <v>0</v>
      </c>
      <c r="AJ693" s="52" t="n">
        <v>0</v>
      </c>
      <c r="AK693" s="52" t="n">
        <v>0</v>
      </c>
      <c r="AL693" s="52" t="n">
        <v>0</v>
      </c>
      <c r="AM693" s="53" t="n">
        <v>0</v>
      </c>
      <c r="AN693" s="53" t="n">
        <v>0</v>
      </c>
      <c r="AO693" s="53" t="n">
        <v>0</v>
      </c>
      <c r="AP693" s="53" t="n">
        <v>0</v>
      </c>
      <c r="AQ693" s="52" t="n">
        <v>0</v>
      </c>
      <c r="AR693" s="52" t="n">
        <v>0</v>
      </c>
      <c r="AS693" s="52" t="n">
        <v>0</v>
      </c>
      <c r="AT693" s="52" t="n">
        <v>0</v>
      </c>
      <c r="AU693" s="53" t="n">
        <v>0</v>
      </c>
      <c r="AV693" s="53" t="n">
        <v>0</v>
      </c>
      <c r="AW693" s="53" t="n">
        <v>0</v>
      </c>
      <c r="AX693" s="53" t="n">
        <v>0</v>
      </c>
      <c r="AY693" s="52" t="n">
        <v>0</v>
      </c>
      <c r="AZ693" s="52" t="n">
        <v>0</v>
      </c>
      <c r="BA693" s="52" t="n">
        <v>0</v>
      </c>
      <c r="BB693" s="52" t="n">
        <v>0</v>
      </c>
      <c r="BC693" s="51" t="n">
        <v>0</v>
      </c>
      <c r="BD693" s="51" t="n">
        <v>0</v>
      </c>
      <c r="BE693" s="51" t="n">
        <v>0</v>
      </c>
      <c r="BF693" s="51" t="n">
        <v>0</v>
      </c>
    </row>
    <row r="694">
      <c r="A694">
        <f>HYPERLINK("https://www.walmart.com/ip/498489728", "498489728")</f>
        <v/>
      </c>
      <c r="B694" t="inlineStr">
        <is>
          <t>Tirrinia Surf Poncho Changing Towel with Hood, Quick Dry Microfiber Wetsuit Changing Robe, Grey</t>
        </is>
      </c>
      <c r="C694" t="inlineStr">
        <is>
          <t>1TRBR100-GY</t>
        </is>
      </c>
      <c r="D694" t="inlineStr">
        <is>
          <t>Towels &amp; Washcloths</t>
        </is>
      </c>
      <c r="E694" t="inlineStr">
        <is>
          <t>Tirrinia</t>
        </is>
      </c>
      <c r="F694" t="inlineStr">
        <is>
          <t>Beach Robe Camp,Batch 1 - TR</t>
        </is>
      </c>
      <c r="G694" s="48" t="n">
        <v>0</v>
      </c>
      <c r="H694" s="48" t="n">
        <v>0</v>
      </c>
      <c r="I694" s="48" t="n">
        <v>0</v>
      </c>
      <c r="J694" s="48" t="n">
        <v>0</v>
      </c>
      <c r="K694" s="49" t="n">
        <v>0</v>
      </c>
      <c r="L694" s="49" t="n">
        <v>0</v>
      </c>
      <c r="M694" s="49" t="n">
        <v>0</v>
      </c>
      <c r="N694" s="49" t="n">
        <v>0</v>
      </c>
      <c r="O694" s="49" t="n">
        <v>0</v>
      </c>
      <c r="P694" s="49" t="n">
        <v>0</v>
      </c>
      <c r="Q694" s="49" t="n">
        <v>0</v>
      </c>
      <c r="R694" s="49" t="n">
        <v>0</v>
      </c>
      <c r="S694" s="50" t="n">
        <v>0</v>
      </c>
      <c r="T694" s="50" t="n">
        <v>0</v>
      </c>
      <c r="U694" s="50" t="n">
        <v>0</v>
      </c>
      <c r="V694" s="50" t="n">
        <v>0</v>
      </c>
      <c r="W694" s="51" t="n">
        <v>0</v>
      </c>
      <c r="X694" s="51" t="n">
        <v>0</v>
      </c>
      <c r="Y694" s="51" t="n">
        <v>0</v>
      </c>
      <c r="Z694" s="51" t="n">
        <v>0</v>
      </c>
      <c r="AA694" s="52" t="n">
        <v>0</v>
      </c>
      <c r="AB694" s="52" t="n">
        <v>0</v>
      </c>
      <c r="AC694" s="52" t="n">
        <v>0</v>
      </c>
      <c r="AD694" s="52" t="n">
        <v>0</v>
      </c>
      <c r="AE694" s="52" t="n">
        <v>0</v>
      </c>
      <c r="AF694" s="52" t="n">
        <v>0</v>
      </c>
      <c r="AG694" s="52" t="n">
        <v>0</v>
      </c>
      <c r="AH694" s="52" t="n">
        <v>0</v>
      </c>
      <c r="AI694" s="52" t="n">
        <v>0</v>
      </c>
      <c r="AJ694" s="52" t="n">
        <v>0</v>
      </c>
      <c r="AK694" s="52" t="n">
        <v>0</v>
      </c>
      <c r="AL694" s="52" t="n">
        <v>0</v>
      </c>
      <c r="AM694" s="53" t="n">
        <v>0</v>
      </c>
      <c r="AN694" s="53" t="n">
        <v>0</v>
      </c>
      <c r="AO694" s="53" t="n">
        <v>0</v>
      </c>
      <c r="AP694" s="53" t="n">
        <v>0</v>
      </c>
      <c r="AQ694" s="52" t="n">
        <v>0</v>
      </c>
      <c r="AR694" s="52" t="n">
        <v>0</v>
      </c>
      <c r="AS694" s="52" t="n">
        <v>0</v>
      </c>
      <c r="AT694" s="52" t="n">
        <v>0</v>
      </c>
      <c r="AU694" s="53" t="n">
        <v>0</v>
      </c>
      <c r="AV694" s="53" t="n">
        <v>0</v>
      </c>
      <c r="AW694" s="53" t="n">
        <v>0</v>
      </c>
      <c r="AX694" s="53" t="n">
        <v>0</v>
      </c>
      <c r="AY694" s="52" t="n">
        <v>0</v>
      </c>
      <c r="AZ694" s="52" t="n">
        <v>0</v>
      </c>
      <c r="BA694" s="52" t="n">
        <v>0</v>
      </c>
      <c r="BB694" s="52" t="n">
        <v>0</v>
      </c>
      <c r="BC694" s="51" t="n">
        <v>0</v>
      </c>
      <c r="BD694" s="51" t="n">
        <v>0</v>
      </c>
      <c r="BE694" s="51" t="n">
        <v>0</v>
      </c>
      <c r="BF694" s="51" t="n">
        <v>0</v>
      </c>
    </row>
    <row r="695">
      <c r="A695">
        <f>HYPERLINK("https://www.walmart.com/ip/5001474247", "5001474247")</f>
        <v/>
      </c>
      <c r="B695" t="inlineStr">
        <is>
          <t>Catalonia Wearable Blanket with Sleeves and Pocket, Cozy Soft Fleece Micro Plush Wrap Adult Blanket Robe for Women Men, Grey Dog Pattern Makes a Great Gift for Holidays, 73" x 51".</t>
        </is>
      </c>
      <c r="C695" t="inlineStr">
        <is>
          <t>1CTSN100GYDOG</t>
        </is>
      </c>
      <c r="D695" t="inlineStr">
        <is>
          <t>Throws</t>
        </is>
      </c>
      <c r="E695" t="inlineStr">
        <is>
          <t>Catalonia</t>
        </is>
      </c>
      <c r="F695" t="inlineStr">
        <is>
          <t>Q2-Target,Coupon_Discount</t>
        </is>
      </c>
      <c r="G695" s="48" t="n">
        <v>0</v>
      </c>
      <c r="H695" s="48" t="n">
        <v>0</v>
      </c>
      <c r="I695" s="48" t="n">
        <v>0</v>
      </c>
      <c r="J695" s="48" t="n">
        <v>21.99</v>
      </c>
      <c r="K695" s="49" t="n">
        <v>0</v>
      </c>
      <c r="L695" s="49" t="n">
        <v>0</v>
      </c>
      <c r="M695" s="49" t="n">
        <v>0</v>
      </c>
      <c r="N695" s="49" t="n">
        <v>1</v>
      </c>
      <c r="O695" s="49" t="n">
        <v>0</v>
      </c>
      <c r="P695" s="49" t="n">
        <v>0</v>
      </c>
      <c r="Q695" s="49" t="n">
        <v>0</v>
      </c>
      <c r="R695" s="49" t="n">
        <v>0</v>
      </c>
      <c r="S695" s="50" t="n">
        <v>0</v>
      </c>
      <c r="T695" s="50" t="n">
        <v>0</v>
      </c>
      <c r="U695" s="50" t="n">
        <v>0</v>
      </c>
      <c r="V695" s="50" t="n">
        <v>0</v>
      </c>
      <c r="W695" s="51" t="n">
        <v>0</v>
      </c>
      <c r="X695" s="51" t="n">
        <v>0</v>
      </c>
      <c r="Y695" s="51" t="n">
        <v>0</v>
      </c>
      <c r="Z695" s="51" t="n">
        <v>0</v>
      </c>
      <c r="AA695" s="52" t="n">
        <v>0</v>
      </c>
      <c r="AB695" s="52" t="n">
        <v>0</v>
      </c>
      <c r="AC695" s="52" t="n">
        <v>0</v>
      </c>
      <c r="AD695" s="52" t="n">
        <v>0</v>
      </c>
      <c r="AE695" s="52" t="n">
        <v>0</v>
      </c>
      <c r="AF695" s="52" t="n">
        <v>0</v>
      </c>
      <c r="AG695" s="52" t="n">
        <v>0</v>
      </c>
      <c r="AH695" s="52" t="n">
        <v>0</v>
      </c>
      <c r="AI695" s="52" t="n">
        <v>0</v>
      </c>
      <c r="AJ695" s="52" t="n">
        <v>0</v>
      </c>
      <c r="AK695" s="52" t="n">
        <v>0</v>
      </c>
      <c r="AL695" s="52" t="n">
        <v>0</v>
      </c>
      <c r="AM695" s="53" t="n">
        <v>0</v>
      </c>
      <c r="AN695" s="53" t="n">
        <v>0</v>
      </c>
      <c r="AO695" s="53" t="n">
        <v>0</v>
      </c>
      <c r="AP695" s="53" t="n">
        <v>0</v>
      </c>
      <c r="AQ695" s="52" t="n">
        <v>0</v>
      </c>
      <c r="AR695" s="52" t="n">
        <v>0</v>
      </c>
      <c r="AS695" s="52" t="n">
        <v>0</v>
      </c>
      <c r="AT695" s="52" t="n">
        <v>0</v>
      </c>
      <c r="AU695" s="53" t="n">
        <v>0</v>
      </c>
      <c r="AV695" s="53" t="n">
        <v>0</v>
      </c>
      <c r="AW695" s="53" t="n">
        <v>0</v>
      </c>
      <c r="AX695" s="53" t="n">
        <v>0</v>
      </c>
      <c r="AY695" s="52" t="n">
        <v>0</v>
      </c>
      <c r="AZ695" s="52" t="n">
        <v>0</v>
      </c>
      <c r="BA695" s="52" t="n">
        <v>0</v>
      </c>
      <c r="BB695" s="52" t="n">
        <v>21.99</v>
      </c>
      <c r="BC695" s="51" t="n">
        <v>0</v>
      </c>
      <c r="BD695" s="51" t="n">
        <v>0</v>
      </c>
      <c r="BE695" s="51" t="n">
        <v>0</v>
      </c>
      <c r="BF695" s="51" t="n">
        <v>0</v>
      </c>
    </row>
    <row r="696">
      <c r="A696">
        <f>HYPERLINK("https://www.walmart.com/ip/500205579", "500205579")</f>
        <v/>
      </c>
      <c r="B696" t="inlineStr">
        <is>
          <t>Runner Waist Pack - Hip Hug Running Fuel Belt with 2 Pockets - NO BOUNCE Runner's Fanny Pack - Storage Pouch Bag Runners</t>
        </is>
      </c>
      <c r="C696" t="inlineStr">
        <is>
          <t>TERRA-3NG-M-ZJ</t>
        </is>
      </c>
      <c r="D696" t="inlineStr">
        <is>
          <t>Fanny Packs</t>
        </is>
      </c>
      <c r="E696" t="inlineStr">
        <is>
          <t>Terra</t>
        </is>
      </c>
      <c r="F696" t="inlineStr">
        <is>
          <t>Optimized</t>
        </is>
      </c>
      <c r="G696" s="48" t="n">
        <v>0</v>
      </c>
      <c r="H696" s="48" t="n">
        <v>0</v>
      </c>
      <c r="I696" s="48" t="n">
        <v>0</v>
      </c>
      <c r="J696" s="48" t="n">
        <v>0</v>
      </c>
      <c r="K696" s="49" t="n">
        <v>0</v>
      </c>
      <c r="L696" s="49" t="n">
        <v>0</v>
      </c>
      <c r="M696" s="49" t="n">
        <v>0</v>
      </c>
      <c r="N696" s="49" t="n">
        <v>0</v>
      </c>
      <c r="O696" s="49" t="n">
        <v>0</v>
      </c>
      <c r="P696" s="49" t="n">
        <v>0</v>
      </c>
      <c r="Q696" s="49" t="n">
        <v>0</v>
      </c>
      <c r="R696" s="49" t="n">
        <v>0</v>
      </c>
      <c r="S696" s="50" t="n">
        <v>0</v>
      </c>
      <c r="T696" s="50" t="n">
        <v>0</v>
      </c>
      <c r="U696" s="50" t="n">
        <v>0</v>
      </c>
      <c r="V696" s="50" t="n">
        <v>0</v>
      </c>
      <c r="W696" s="51" t="n">
        <v>0</v>
      </c>
      <c r="X696" s="51" t="n">
        <v>0</v>
      </c>
      <c r="Y696" s="51" t="n">
        <v>0</v>
      </c>
      <c r="Z696" s="51" t="n">
        <v>0</v>
      </c>
      <c r="AA696" s="52" t="n">
        <v>0</v>
      </c>
      <c r="AB696" s="52" t="n">
        <v>0</v>
      </c>
      <c r="AC696" s="52" t="n">
        <v>0</v>
      </c>
      <c r="AD696" s="52" t="n">
        <v>0</v>
      </c>
      <c r="AE696" s="52" t="n">
        <v>0</v>
      </c>
      <c r="AF696" s="52" t="n">
        <v>0</v>
      </c>
      <c r="AG696" s="52" t="n">
        <v>0</v>
      </c>
      <c r="AH696" s="52" t="n">
        <v>0</v>
      </c>
      <c r="AI696" s="52" t="n">
        <v>0</v>
      </c>
      <c r="AJ696" s="52" t="n">
        <v>0</v>
      </c>
      <c r="AK696" s="52" t="n">
        <v>0</v>
      </c>
      <c r="AL696" s="52" t="n">
        <v>0</v>
      </c>
      <c r="AM696" s="53" t="n">
        <v>0</v>
      </c>
      <c r="AN696" s="53" t="n">
        <v>0</v>
      </c>
      <c r="AO696" s="53" t="n">
        <v>0</v>
      </c>
      <c r="AP696" s="53" t="n">
        <v>0</v>
      </c>
      <c r="AQ696" s="52" t="n">
        <v>0</v>
      </c>
      <c r="AR696" s="52" t="n">
        <v>0</v>
      </c>
      <c r="AS696" s="52" t="n">
        <v>0</v>
      </c>
      <c r="AT696" s="52" t="n">
        <v>0</v>
      </c>
      <c r="AU696" s="53" t="n">
        <v>0</v>
      </c>
      <c r="AV696" s="53" t="n">
        <v>0</v>
      </c>
      <c r="AW696" s="53" t="n">
        <v>0</v>
      </c>
      <c r="AX696" s="53" t="n">
        <v>0</v>
      </c>
      <c r="AY696" s="52" t="n">
        <v>0</v>
      </c>
      <c r="AZ696" s="52" t="n">
        <v>0</v>
      </c>
      <c r="BA696" s="52" t="n">
        <v>0</v>
      </c>
      <c r="BB696" s="52" t="n">
        <v>0</v>
      </c>
      <c r="BC696" s="51" t="n">
        <v>0</v>
      </c>
      <c r="BD696" s="51" t="n">
        <v>0</v>
      </c>
      <c r="BE696" s="51" t="n">
        <v>0</v>
      </c>
      <c r="BF696" s="51" t="n">
        <v>0</v>
      </c>
    </row>
    <row r="697">
      <c r="A697">
        <f>HYPERLINK("https://www.walmart.com/ip/5002306608", "5002306608")</f>
        <v/>
      </c>
      <c r="B697" t="inlineStr">
        <is>
          <t>Catalonia Wearable Blanket with Sleeves and Pocket, Cozy Soft Fleece Micro Plush Wrap Adult Blanket Robe for Women Men, Blue Cat Pattern Makes a Great Gift for Holidays.</t>
        </is>
      </c>
      <c r="C697" t="inlineStr">
        <is>
          <t>1CTSN100BLCAT</t>
        </is>
      </c>
      <c r="D697" t="inlineStr">
        <is>
          <t>Throws</t>
        </is>
      </c>
      <c r="E697" t="inlineStr">
        <is>
          <t>Catalonia</t>
        </is>
      </c>
      <c r="F697" t="inlineStr">
        <is>
          <t>Q2-Target</t>
        </is>
      </c>
      <c r="G697" s="48" t="n">
        <v>0</v>
      </c>
      <c r="H697" s="48" t="n">
        <v>0</v>
      </c>
      <c r="I697" s="48" t="n">
        <v>0</v>
      </c>
      <c r="J697" s="48" t="n">
        <v>0</v>
      </c>
      <c r="K697" s="49" t="n">
        <v>0</v>
      </c>
      <c r="L697" s="49" t="n">
        <v>0</v>
      </c>
      <c r="M697" s="49" t="n">
        <v>0</v>
      </c>
      <c r="N697" s="49" t="n">
        <v>0</v>
      </c>
      <c r="O697" s="49" t="n">
        <v>0</v>
      </c>
      <c r="P697" s="49" t="n">
        <v>0</v>
      </c>
      <c r="Q697" s="49" t="n">
        <v>0</v>
      </c>
      <c r="R697" s="49" t="n">
        <v>0</v>
      </c>
      <c r="S697" s="50" t="n">
        <v>0</v>
      </c>
      <c r="T697" s="50" t="n">
        <v>0</v>
      </c>
      <c r="U697" s="50" t="n">
        <v>0</v>
      </c>
      <c r="V697" s="50" t="n">
        <v>0</v>
      </c>
      <c r="W697" s="51" t="n">
        <v>0</v>
      </c>
      <c r="X697" s="51" t="n">
        <v>0</v>
      </c>
      <c r="Y697" s="51" t="n">
        <v>0</v>
      </c>
      <c r="Z697" s="51" t="n">
        <v>0</v>
      </c>
      <c r="AA697" s="52" t="n">
        <v>0</v>
      </c>
      <c r="AB697" s="52" t="n">
        <v>0</v>
      </c>
      <c r="AC697" s="52" t="n">
        <v>0</v>
      </c>
      <c r="AD697" s="52" t="n">
        <v>0</v>
      </c>
      <c r="AE697" s="52" t="n">
        <v>0</v>
      </c>
      <c r="AF697" s="52" t="n">
        <v>0</v>
      </c>
      <c r="AG697" s="52" t="n">
        <v>0</v>
      </c>
      <c r="AH697" s="52" t="n">
        <v>0</v>
      </c>
      <c r="AI697" s="52" t="n">
        <v>0</v>
      </c>
      <c r="AJ697" s="52" t="n">
        <v>0</v>
      </c>
      <c r="AK697" s="52" t="n">
        <v>0</v>
      </c>
      <c r="AL697" s="52" t="n">
        <v>0</v>
      </c>
      <c r="AM697" s="53" t="n">
        <v>0</v>
      </c>
      <c r="AN697" s="53" t="n">
        <v>0</v>
      </c>
      <c r="AO697" s="53" t="n">
        <v>0</v>
      </c>
      <c r="AP697" s="53" t="n">
        <v>0</v>
      </c>
      <c r="AQ697" s="52" t="n">
        <v>0</v>
      </c>
      <c r="AR697" s="52" t="n">
        <v>0</v>
      </c>
      <c r="AS697" s="52" t="n">
        <v>0</v>
      </c>
      <c r="AT697" s="52" t="n">
        <v>0</v>
      </c>
      <c r="AU697" s="53" t="n">
        <v>0</v>
      </c>
      <c r="AV697" s="53" t="n">
        <v>0</v>
      </c>
      <c r="AW697" s="53" t="n">
        <v>0</v>
      </c>
      <c r="AX697" s="53" t="n">
        <v>0</v>
      </c>
      <c r="AY697" s="52" t="n">
        <v>0</v>
      </c>
      <c r="AZ697" s="52" t="n">
        <v>0</v>
      </c>
      <c r="BA697" s="52" t="n">
        <v>0</v>
      </c>
      <c r="BB697" s="52" t="n">
        <v>0</v>
      </c>
      <c r="BC697" s="51" t="n">
        <v>0</v>
      </c>
      <c r="BD697" s="51" t="n">
        <v>0</v>
      </c>
      <c r="BE697" s="51" t="n">
        <v>0</v>
      </c>
      <c r="BF697" s="51" t="n">
        <v>0</v>
      </c>
    </row>
    <row r="698">
      <c r="A698">
        <f>HYPERLINK("https://www.walmart.com/ip/6284809845", "6284809845")</f>
        <v/>
      </c>
      <c r="B698" t="inlineStr">
        <is>
          <t>Tirrinia Lightweight Beach Poncho Towel with Hood for Adult Quick Dry Travel Surfer Pool Camping Beach Accessories Vacation Essential Summer</t>
        </is>
      </c>
      <c r="C698" t="inlineStr">
        <is>
          <t>1TRBC201MM</t>
        </is>
      </c>
      <c r="D698" t="inlineStr">
        <is>
          <t>Towels &amp; Washcloths</t>
        </is>
      </c>
      <c r="E698" t="inlineStr">
        <is>
          <t>Tirrinia</t>
        </is>
      </c>
      <c r="G698" s="48" t="n">
        <v>0</v>
      </c>
      <c r="H698" s="48" t="n">
        <v>0</v>
      </c>
      <c r="I698" s="48" t="n">
        <v>0</v>
      </c>
      <c r="J698" s="48" t="n">
        <v>0</v>
      </c>
      <c r="K698" s="49" t="n">
        <v>0</v>
      </c>
      <c r="L698" s="49" t="n">
        <v>0</v>
      </c>
      <c r="M698" s="49" t="n">
        <v>0</v>
      </c>
      <c r="N698" s="49" t="n">
        <v>0</v>
      </c>
      <c r="O698" s="49" t="n">
        <v>0</v>
      </c>
      <c r="P698" s="49" t="n">
        <v>0</v>
      </c>
      <c r="Q698" s="49" t="n">
        <v>0</v>
      </c>
      <c r="R698" s="49" t="n">
        <v>0</v>
      </c>
      <c r="S698" s="50" t="n">
        <v>0</v>
      </c>
      <c r="T698" s="50" t="n">
        <v>0</v>
      </c>
      <c r="U698" s="50" t="n">
        <v>0</v>
      </c>
      <c r="V698" s="50" t="n">
        <v>0</v>
      </c>
      <c r="W698" s="51" t="n">
        <v>0</v>
      </c>
      <c r="X698" s="51" t="n">
        <v>0</v>
      </c>
      <c r="Y698" s="51" t="n">
        <v>0</v>
      </c>
      <c r="Z698" s="51" t="n">
        <v>0</v>
      </c>
      <c r="AA698" s="52" t="n">
        <v>0</v>
      </c>
      <c r="AB698" s="52" t="n">
        <v>0</v>
      </c>
      <c r="AC698" s="52" t="n">
        <v>0</v>
      </c>
      <c r="AD698" s="52" t="n">
        <v>0</v>
      </c>
      <c r="AE698" s="52" t="n">
        <v>0</v>
      </c>
      <c r="AF698" s="52" t="n">
        <v>0</v>
      </c>
      <c r="AG698" s="52" t="n">
        <v>0</v>
      </c>
      <c r="AH698" s="52" t="n">
        <v>0</v>
      </c>
      <c r="AI698" s="52" t="n">
        <v>0</v>
      </c>
      <c r="AJ698" s="52" t="n">
        <v>0</v>
      </c>
      <c r="AK698" s="52" t="n">
        <v>0</v>
      </c>
      <c r="AL698" s="52" t="n">
        <v>0</v>
      </c>
      <c r="AM698" s="53" t="n">
        <v>0</v>
      </c>
      <c r="AN698" s="53" t="n">
        <v>0</v>
      </c>
      <c r="AO698" s="53" t="n">
        <v>0</v>
      </c>
      <c r="AP698" s="53" t="n">
        <v>0</v>
      </c>
      <c r="AQ698" s="52" t="n">
        <v>0</v>
      </c>
      <c r="AR698" s="52" t="n">
        <v>0</v>
      </c>
      <c r="AS698" s="52" t="n">
        <v>0</v>
      </c>
      <c r="AT698" s="52" t="n">
        <v>0</v>
      </c>
      <c r="AU698" s="53" t="n">
        <v>0</v>
      </c>
      <c r="AV698" s="53" t="n">
        <v>0</v>
      </c>
      <c r="AW698" s="53" t="n">
        <v>0</v>
      </c>
      <c r="AX698" s="53" t="n">
        <v>0</v>
      </c>
      <c r="AY698" s="52" t="n">
        <v>0</v>
      </c>
      <c r="AZ698" s="52" t="n">
        <v>0</v>
      </c>
      <c r="BA698" s="52" t="n">
        <v>0</v>
      </c>
      <c r="BB698" s="52" t="n">
        <v>0</v>
      </c>
      <c r="BC698" s="51" t="n">
        <v>0</v>
      </c>
      <c r="BD698" s="51" t="n">
        <v>0</v>
      </c>
      <c r="BE698" s="51" t="n">
        <v>0</v>
      </c>
      <c r="BF698" s="51" t="n">
        <v>0</v>
      </c>
    </row>
    <row r="699">
      <c r="A699">
        <f>HYPERLINK("https://www.walmart.com/ip/656441278", "656441278")</f>
        <v/>
      </c>
      <c r="B699" t="inlineStr">
        <is>
          <t>American Flag Sun Cap Patriotic Sports Baseball Tennis Golf Dad Hats for Men Women by Solaris</t>
        </is>
      </c>
      <c r="C699" t="inlineStr">
        <is>
          <t>1SLBC100NV</t>
        </is>
      </c>
      <c r="D699" t="inlineStr">
        <is>
          <t>Golf Hats</t>
        </is>
      </c>
      <c r="E699" t="inlineStr">
        <is>
          <t>Solaris</t>
        </is>
      </c>
      <c r="F699" t="inlineStr">
        <is>
          <t>Batch 1 - TR</t>
        </is>
      </c>
      <c r="G699" s="48" t="n">
        <v>0</v>
      </c>
      <c r="H699" s="48" t="n">
        <v>0</v>
      </c>
      <c r="I699" s="48" t="n">
        <v>0</v>
      </c>
      <c r="J699" s="48" t="n">
        <v>0</v>
      </c>
      <c r="K699" s="49" t="n">
        <v>0</v>
      </c>
      <c r="L699" s="49" t="n">
        <v>0</v>
      </c>
      <c r="M699" s="49" t="n">
        <v>0</v>
      </c>
      <c r="N699" s="49" t="n">
        <v>0</v>
      </c>
      <c r="O699" s="49" t="n">
        <v>0</v>
      </c>
      <c r="P699" s="49" t="n">
        <v>0</v>
      </c>
      <c r="Q699" s="49" t="n">
        <v>0</v>
      </c>
      <c r="R699" s="49" t="n">
        <v>0</v>
      </c>
      <c r="S699" s="50" t="n">
        <v>0</v>
      </c>
      <c r="T699" s="50" t="n">
        <v>0</v>
      </c>
      <c r="U699" s="50" t="n">
        <v>0</v>
      </c>
      <c r="V699" s="50" t="n">
        <v>0</v>
      </c>
      <c r="W699" s="51" t="n">
        <v>0</v>
      </c>
      <c r="X699" s="51" t="n">
        <v>0</v>
      </c>
      <c r="Y699" s="51" t="n">
        <v>0</v>
      </c>
      <c r="Z699" s="51" t="n">
        <v>0</v>
      </c>
      <c r="AA699" s="52" t="n">
        <v>0</v>
      </c>
      <c r="AB699" s="52" t="n">
        <v>0</v>
      </c>
      <c r="AC699" s="52" t="n">
        <v>0</v>
      </c>
      <c r="AD699" s="52" t="n">
        <v>0</v>
      </c>
      <c r="AE699" s="52" t="n">
        <v>0</v>
      </c>
      <c r="AF699" s="52" t="n">
        <v>0</v>
      </c>
      <c r="AG699" s="52" t="n">
        <v>0</v>
      </c>
      <c r="AH699" s="52" t="n">
        <v>0</v>
      </c>
      <c r="AI699" s="52" t="n">
        <v>0</v>
      </c>
      <c r="AJ699" s="52" t="n">
        <v>0</v>
      </c>
      <c r="AK699" s="52" t="n">
        <v>0</v>
      </c>
      <c r="AL699" s="52" t="n">
        <v>0</v>
      </c>
      <c r="AM699" s="53" t="n">
        <v>0</v>
      </c>
      <c r="AN699" s="53" t="n">
        <v>0</v>
      </c>
      <c r="AO699" s="53" t="n">
        <v>0</v>
      </c>
      <c r="AP699" s="53" t="n">
        <v>0</v>
      </c>
      <c r="AQ699" s="52" t="n">
        <v>0</v>
      </c>
      <c r="AR699" s="52" t="n">
        <v>0</v>
      </c>
      <c r="AS699" s="52" t="n">
        <v>0</v>
      </c>
      <c r="AT699" s="52" t="n">
        <v>0</v>
      </c>
      <c r="AU699" s="53" t="n">
        <v>0</v>
      </c>
      <c r="AV699" s="53" t="n">
        <v>0</v>
      </c>
      <c r="AW699" s="53" t="n">
        <v>0</v>
      </c>
      <c r="AX699" s="53" t="n">
        <v>0</v>
      </c>
      <c r="AY699" s="52" t="n">
        <v>0</v>
      </c>
      <c r="AZ699" s="52" t="n">
        <v>0</v>
      </c>
      <c r="BA699" s="52" t="n">
        <v>0</v>
      </c>
      <c r="BB699" s="52" t="n">
        <v>0</v>
      </c>
      <c r="BC699" s="51" t="n">
        <v>0</v>
      </c>
      <c r="BD699" s="51" t="n">
        <v>0</v>
      </c>
      <c r="BE699" s="51" t="n">
        <v>0</v>
      </c>
      <c r="BF699" s="51" t="n">
        <v>0</v>
      </c>
    </row>
    <row r="700">
      <c r="A700">
        <f>HYPERLINK("https://www.walmart.com/ip/6302756596", "6302756596")</f>
        <v/>
      </c>
      <c r="B700" t="inlineStr">
        <is>
          <t>Tirrinia Lightweight Beach Poncho Towel with Hood for Adult Quick Dry Travel Surfer Pool Camping Beach Accessories Vacation Essential Summer</t>
        </is>
      </c>
      <c r="C700" t="inlineStr">
        <is>
          <t>1TRBC201SHARK</t>
        </is>
      </c>
      <c r="D700" t="inlineStr">
        <is>
          <t>Towels &amp; Washcloths</t>
        </is>
      </c>
      <c r="E700" t="inlineStr">
        <is>
          <t>Tirrinia</t>
        </is>
      </c>
      <c r="G700" s="48" t="n">
        <v>0</v>
      </c>
      <c r="H700" s="48" t="n">
        <v>0</v>
      </c>
      <c r="I700" s="48" t="n">
        <v>0</v>
      </c>
      <c r="J700" s="48" t="n">
        <v>0</v>
      </c>
      <c r="K700" s="49" t="n">
        <v>0</v>
      </c>
      <c r="L700" s="49" t="n">
        <v>0</v>
      </c>
      <c r="M700" s="49" t="n">
        <v>0</v>
      </c>
      <c r="N700" s="49" t="n">
        <v>0</v>
      </c>
      <c r="O700" s="49" t="n">
        <v>0</v>
      </c>
      <c r="P700" s="49" t="n">
        <v>0</v>
      </c>
      <c r="Q700" s="49" t="n">
        <v>0</v>
      </c>
      <c r="R700" s="49" t="n">
        <v>0</v>
      </c>
      <c r="S700" s="50" t="n">
        <v>0</v>
      </c>
      <c r="T700" s="50" t="n">
        <v>0</v>
      </c>
      <c r="U700" s="50" t="n">
        <v>0</v>
      </c>
      <c r="V700" s="50" t="n">
        <v>0</v>
      </c>
      <c r="W700" s="51" t="n">
        <v>0</v>
      </c>
      <c r="X700" s="51" t="n">
        <v>0</v>
      </c>
      <c r="Y700" s="51" t="n">
        <v>0</v>
      </c>
      <c r="Z700" s="51" t="n">
        <v>0</v>
      </c>
      <c r="AA700" s="52" t="n">
        <v>0</v>
      </c>
      <c r="AB700" s="52" t="n">
        <v>0</v>
      </c>
      <c r="AC700" s="52" t="n">
        <v>0</v>
      </c>
      <c r="AD700" s="52" t="n">
        <v>0</v>
      </c>
      <c r="AE700" s="52" t="n">
        <v>0</v>
      </c>
      <c r="AF700" s="52" t="n">
        <v>0</v>
      </c>
      <c r="AG700" s="52" t="n">
        <v>0</v>
      </c>
      <c r="AH700" s="52" t="n">
        <v>0</v>
      </c>
      <c r="AI700" s="52" t="n">
        <v>0</v>
      </c>
      <c r="AJ700" s="52" t="n">
        <v>0</v>
      </c>
      <c r="AK700" s="52" t="n">
        <v>0</v>
      </c>
      <c r="AL700" s="52" t="n">
        <v>0</v>
      </c>
      <c r="AM700" s="53" t="n">
        <v>0</v>
      </c>
      <c r="AN700" s="53" t="n">
        <v>0</v>
      </c>
      <c r="AO700" s="53" t="n">
        <v>0</v>
      </c>
      <c r="AP700" s="53" t="n">
        <v>0</v>
      </c>
      <c r="AQ700" s="52" t="n">
        <v>0</v>
      </c>
      <c r="AR700" s="52" t="n">
        <v>0</v>
      </c>
      <c r="AS700" s="52" t="n">
        <v>0</v>
      </c>
      <c r="AT700" s="52" t="n">
        <v>0</v>
      </c>
      <c r="AU700" s="53" t="n">
        <v>0</v>
      </c>
      <c r="AV700" s="53" t="n">
        <v>0</v>
      </c>
      <c r="AW700" s="53" t="n">
        <v>0</v>
      </c>
      <c r="AX700" s="53" t="n">
        <v>0</v>
      </c>
      <c r="AY700" s="52" t="n">
        <v>0</v>
      </c>
      <c r="AZ700" s="52" t="n">
        <v>0</v>
      </c>
      <c r="BA700" s="52" t="n">
        <v>0</v>
      </c>
      <c r="BB700" s="52" t="n">
        <v>0</v>
      </c>
      <c r="BC700" s="51" t="n">
        <v>0</v>
      </c>
      <c r="BD700" s="51" t="n">
        <v>0</v>
      </c>
      <c r="BE700" s="51" t="n">
        <v>0</v>
      </c>
      <c r="BF700" s="51" t="n">
        <v>0</v>
      </c>
    </row>
    <row r="701">
      <c r="A701">
        <f>HYPERLINK("https://www.walmart.com/ip/901154057", "901154057")</f>
        <v/>
      </c>
      <c r="B701" t="inlineStr">
        <is>
          <t>Tirrinia Insulated Wine Tumbler, Silver</t>
        </is>
      </c>
      <c r="C701" t="inlineStr">
        <is>
          <t>1TRWT120SL</t>
        </is>
      </c>
      <c r="D701" t="inlineStr">
        <is>
          <t>Tumblers</t>
        </is>
      </c>
      <c r="E701" t="inlineStr">
        <is>
          <t>Tirrinia</t>
        </is>
      </c>
      <c r="F701" t="inlineStr">
        <is>
          <t>Wine,Christmas,Optimized,Valentine</t>
        </is>
      </c>
      <c r="G701" s="48" t="n">
        <v>0</v>
      </c>
      <c r="H701" s="48" t="n">
        <v>0</v>
      </c>
      <c r="I701" s="48" t="n">
        <v>0</v>
      </c>
      <c r="J701" s="48" t="n">
        <v>0</v>
      </c>
      <c r="K701" s="49" t="n">
        <v>0</v>
      </c>
      <c r="L701" s="49" t="n">
        <v>0</v>
      </c>
      <c r="M701" s="49" t="n">
        <v>0</v>
      </c>
      <c r="N701" s="49" t="n">
        <v>0</v>
      </c>
      <c r="O701" s="49" t="n">
        <v>0</v>
      </c>
      <c r="P701" s="49" t="n">
        <v>0</v>
      </c>
      <c r="Q701" s="49" t="n">
        <v>0</v>
      </c>
      <c r="R701" s="49" t="n">
        <v>0</v>
      </c>
      <c r="S701" s="50" t="n">
        <v>0</v>
      </c>
      <c r="T701" s="50" t="n">
        <v>0</v>
      </c>
      <c r="U701" s="50" t="n">
        <v>0</v>
      </c>
      <c r="V701" s="50" t="n">
        <v>0</v>
      </c>
      <c r="W701" s="51" t="n">
        <v>0</v>
      </c>
      <c r="X701" s="51" t="n">
        <v>0</v>
      </c>
      <c r="Y701" s="51" t="n">
        <v>0</v>
      </c>
      <c r="Z701" s="51" t="n">
        <v>0</v>
      </c>
      <c r="AA701" s="52" t="n">
        <v>0</v>
      </c>
      <c r="AB701" s="52" t="n">
        <v>0</v>
      </c>
      <c r="AC701" s="52" t="n">
        <v>0</v>
      </c>
      <c r="AD701" s="52" t="n">
        <v>0</v>
      </c>
      <c r="AE701" s="52" t="n">
        <v>0</v>
      </c>
      <c r="AF701" s="52" t="n">
        <v>0</v>
      </c>
      <c r="AG701" s="52" t="n">
        <v>0</v>
      </c>
      <c r="AH701" s="52" t="n">
        <v>0</v>
      </c>
      <c r="AI701" s="52" t="n">
        <v>0</v>
      </c>
      <c r="AJ701" s="52" t="n">
        <v>0</v>
      </c>
      <c r="AK701" s="52" t="n">
        <v>0</v>
      </c>
      <c r="AL701" s="52" t="n">
        <v>0</v>
      </c>
      <c r="AM701" s="53" t="n">
        <v>0</v>
      </c>
      <c r="AN701" s="53" t="n">
        <v>0</v>
      </c>
      <c r="AO701" s="53" t="n">
        <v>0</v>
      </c>
      <c r="AP701" s="53" t="n">
        <v>0</v>
      </c>
      <c r="AQ701" s="52" t="n">
        <v>0</v>
      </c>
      <c r="AR701" s="52" t="n">
        <v>0</v>
      </c>
      <c r="AS701" s="52" t="n">
        <v>0</v>
      </c>
      <c r="AT701" s="52" t="n">
        <v>0</v>
      </c>
      <c r="AU701" s="53" t="n">
        <v>0</v>
      </c>
      <c r="AV701" s="53" t="n">
        <v>0</v>
      </c>
      <c r="AW701" s="53" t="n">
        <v>0</v>
      </c>
      <c r="AX701" s="53" t="n">
        <v>0</v>
      </c>
      <c r="AY701" s="52" t="n">
        <v>0</v>
      </c>
      <c r="AZ701" s="52" t="n">
        <v>0</v>
      </c>
      <c r="BA701" s="52" t="n">
        <v>0</v>
      </c>
      <c r="BB701" s="52" t="n">
        <v>0</v>
      </c>
      <c r="BC701" s="51" t="n">
        <v>0</v>
      </c>
      <c r="BD701" s="51" t="n">
        <v>0</v>
      </c>
      <c r="BE701" s="51" t="n">
        <v>0</v>
      </c>
      <c r="BF701" s="51" t="n">
        <v>0</v>
      </c>
    </row>
    <row r="702">
      <c r="A702">
        <f>HYPERLINK("https://www.walmart.com/ip/902012738", "902012738")</f>
        <v/>
      </c>
      <c r="B702" t="inlineStr">
        <is>
          <t>Unisex Fishing Hat with Foldable Neck Flap Cover Wide Brim Sun UV Protection Hiking Safari Bucket Cap for Bug Free(Olive)</t>
        </is>
      </c>
      <c r="C702" t="inlineStr">
        <is>
          <t>1SLSH060OL</t>
        </is>
      </c>
      <c r="D702" t="inlineStr">
        <is>
          <t>Hats</t>
        </is>
      </c>
      <c r="E702" t="inlineStr">
        <is>
          <t>Solaris</t>
        </is>
      </c>
      <c r="F702" t="inlineStr">
        <is>
          <t>Optimized,Hats</t>
        </is>
      </c>
      <c r="G702" s="48" t="n">
        <v>0</v>
      </c>
      <c r="H702" s="48" t="n">
        <v>0</v>
      </c>
      <c r="I702" s="48" t="n">
        <v>0</v>
      </c>
      <c r="J702" s="48" t="n">
        <v>0</v>
      </c>
      <c r="K702" s="49" t="n">
        <v>0</v>
      </c>
      <c r="L702" s="49" t="n">
        <v>0</v>
      </c>
      <c r="M702" s="49" t="n">
        <v>0</v>
      </c>
      <c r="N702" s="49" t="n">
        <v>0</v>
      </c>
      <c r="O702" s="49" t="n">
        <v>0</v>
      </c>
      <c r="P702" s="49" t="n">
        <v>0</v>
      </c>
      <c r="Q702" s="49" t="n">
        <v>0</v>
      </c>
      <c r="R702" s="49" t="n">
        <v>0</v>
      </c>
      <c r="S702" s="50" t="n">
        <v>0</v>
      </c>
      <c r="T702" s="50" t="n">
        <v>0</v>
      </c>
      <c r="U702" s="50" t="n">
        <v>0</v>
      </c>
      <c r="V702" s="50" t="n">
        <v>0</v>
      </c>
      <c r="W702" s="51" t="n">
        <v>0</v>
      </c>
      <c r="X702" s="51" t="n">
        <v>0</v>
      </c>
      <c r="Y702" s="51" t="n">
        <v>0</v>
      </c>
      <c r="Z702" s="51" t="n">
        <v>0</v>
      </c>
      <c r="AA702" s="52" t="n">
        <v>0</v>
      </c>
      <c r="AB702" s="52" t="n">
        <v>0</v>
      </c>
      <c r="AC702" s="52" t="n">
        <v>0</v>
      </c>
      <c r="AD702" s="52" t="n">
        <v>0</v>
      </c>
      <c r="AE702" s="52" t="n">
        <v>0</v>
      </c>
      <c r="AF702" s="52" t="n">
        <v>0</v>
      </c>
      <c r="AG702" s="52" t="n">
        <v>0</v>
      </c>
      <c r="AH702" s="52" t="n">
        <v>0</v>
      </c>
      <c r="AI702" s="52" t="n">
        <v>0</v>
      </c>
      <c r="AJ702" s="52" t="n">
        <v>0</v>
      </c>
      <c r="AK702" s="52" t="n">
        <v>0</v>
      </c>
      <c r="AL702" s="52" t="n">
        <v>0</v>
      </c>
      <c r="AM702" s="53" t="n">
        <v>0</v>
      </c>
      <c r="AN702" s="53" t="n">
        <v>0</v>
      </c>
      <c r="AO702" s="53" t="n">
        <v>0</v>
      </c>
      <c r="AP702" s="53" t="n">
        <v>0</v>
      </c>
      <c r="AQ702" s="52" t="n">
        <v>0</v>
      </c>
      <c r="AR702" s="52" t="n">
        <v>0</v>
      </c>
      <c r="AS702" s="52" t="n">
        <v>0</v>
      </c>
      <c r="AT702" s="52" t="n">
        <v>0</v>
      </c>
      <c r="AU702" s="53" t="n">
        <v>0</v>
      </c>
      <c r="AV702" s="53" t="n">
        <v>0</v>
      </c>
      <c r="AW702" s="53" t="n">
        <v>0</v>
      </c>
      <c r="AX702" s="53" t="n">
        <v>0</v>
      </c>
      <c r="AY702" s="52" t="n">
        <v>0</v>
      </c>
      <c r="AZ702" s="52" t="n">
        <v>0</v>
      </c>
      <c r="BA702" s="52" t="n">
        <v>0</v>
      </c>
      <c r="BB702" s="52" t="n">
        <v>0</v>
      </c>
      <c r="BC702" s="51" t="n">
        <v>0</v>
      </c>
      <c r="BD702" s="51" t="n">
        <v>0</v>
      </c>
      <c r="BE702" s="51" t="n">
        <v>0</v>
      </c>
      <c r="BF702" s="51" t="n">
        <v>0</v>
      </c>
    </row>
    <row r="703">
      <c r="A703">
        <f>HYPERLINK("https://www.walmart.com/ip/902166105", "902166105")</f>
        <v/>
      </c>
      <c r="B703" t="inlineStr">
        <is>
          <t>Catalonia Wearable Blanket with Sleeves and Pocket, Cozy Soft Fleece Micro Plush Wrap Adult Snuggie Blanket Robe for Women Men, Makes a Great Gift for Holidays, Black</t>
        </is>
      </c>
      <c r="C703" t="inlineStr">
        <is>
          <t>1CTSN100BK</t>
        </is>
      </c>
      <c r="D703" t="inlineStr">
        <is>
          <t>Throws</t>
        </is>
      </c>
      <c r="E703" t="inlineStr">
        <is>
          <t>Catalonia</t>
        </is>
      </c>
      <c r="F703" t="inlineStr">
        <is>
          <t>Q2-Target,WFS,Coupon_Discount,WFS Item</t>
        </is>
      </c>
      <c r="G703" s="48" t="n">
        <v>0</v>
      </c>
      <c r="H703" s="48" t="n">
        <v>27.99</v>
      </c>
      <c r="I703" s="48" t="n">
        <v>0</v>
      </c>
      <c r="J703" s="48" t="n">
        <v>0</v>
      </c>
      <c r="K703" s="49" t="n">
        <v>0</v>
      </c>
      <c r="L703" s="49" t="n">
        <v>1</v>
      </c>
      <c r="M703" s="49" t="n">
        <v>0</v>
      </c>
      <c r="N703" s="49" t="n">
        <v>0</v>
      </c>
      <c r="O703" s="49" t="n">
        <v>0</v>
      </c>
      <c r="P703" s="49" t="n">
        <v>0</v>
      </c>
      <c r="Q703" s="49" t="n">
        <v>0</v>
      </c>
      <c r="R703" s="49" t="n">
        <v>0</v>
      </c>
      <c r="S703" s="50" t="n">
        <v>0</v>
      </c>
      <c r="T703" s="50" t="n">
        <v>0</v>
      </c>
      <c r="U703" s="50" t="n">
        <v>0</v>
      </c>
      <c r="V703" s="50" t="n">
        <v>0</v>
      </c>
      <c r="W703" s="51" t="n">
        <v>2</v>
      </c>
      <c r="X703" s="51" t="n">
        <v>0</v>
      </c>
      <c r="Y703" s="51" t="n">
        <v>0</v>
      </c>
      <c r="Z703" s="51" t="n">
        <v>0</v>
      </c>
      <c r="AA703" s="52" t="n">
        <v>0.62</v>
      </c>
      <c r="AB703" s="52" t="n">
        <v>0</v>
      </c>
      <c r="AC703" s="52" t="n">
        <v>0</v>
      </c>
      <c r="AD703" s="52" t="n">
        <v>0</v>
      </c>
      <c r="AE703" s="52" t="n">
        <v>0</v>
      </c>
      <c r="AF703" s="52" t="n">
        <v>0</v>
      </c>
      <c r="AG703" s="52" t="n">
        <v>0</v>
      </c>
      <c r="AH703" s="52" t="n">
        <v>0</v>
      </c>
      <c r="AI703" s="52" t="n">
        <v>0</v>
      </c>
      <c r="AJ703" s="52" t="n">
        <v>0</v>
      </c>
      <c r="AK703" s="52" t="n">
        <v>0</v>
      </c>
      <c r="AL703" s="52" t="n">
        <v>0</v>
      </c>
      <c r="AM703" s="53" t="n">
        <v>0.001</v>
      </c>
      <c r="AN703" s="53" t="n">
        <v>0</v>
      </c>
      <c r="AO703" s="53" t="n">
        <v>0</v>
      </c>
      <c r="AP703" s="53" t="n">
        <v>0</v>
      </c>
      <c r="AQ703" s="52" t="n">
        <v>0.31</v>
      </c>
      <c r="AR703" s="52" t="n">
        <v>0</v>
      </c>
      <c r="AS703" s="52" t="n">
        <v>0</v>
      </c>
      <c r="AT703" s="52" t="n">
        <v>0</v>
      </c>
      <c r="AU703" s="53" t="n">
        <v>0</v>
      </c>
      <c r="AV703" s="53" t="n">
        <v>0</v>
      </c>
      <c r="AW703" s="53" t="n">
        <v>0</v>
      </c>
      <c r="AX703" s="53" t="n">
        <v>0</v>
      </c>
      <c r="AY703" s="52" t="n">
        <v>0</v>
      </c>
      <c r="AZ703" s="52" t="n">
        <v>27.99</v>
      </c>
      <c r="BA703" s="52" t="n">
        <v>0</v>
      </c>
      <c r="BB703" s="52" t="n">
        <v>0</v>
      </c>
      <c r="BC703" s="51" t="n">
        <v>2105</v>
      </c>
      <c r="BD703" s="51" t="n">
        <v>1863</v>
      </c>
      <c r="BE703" s="51" t="n">
        <v>0</v>
      </c>
      <c r="BF703" s="51" t="n">
        <v>752</v>
      </c>
    </row>
    <row r="704">
      <c r="A704">
        <f>HYPERLINK("https://www.walmart.com/ip/902343226", "902343226")</f>
        <v/>
      </c>
      <c r="B704" t="inlineStr">
        <is>
          <t>Tirrinia Wide Brim Sun Hats Safari Fishing Boonie Cap Adult Teen Unisex</t>
        </is>
      </c>
      <c r="C704" t="inlineStr">
        <is>
          <t>1TRSH191GN-TBCB</t>
        </is>
      </c>
      <c r="D704" t="inlineStr">
        <is>
          <t>Hats</t>
        </is>
      </c>
      <c r="E704" t="inlineStr">
        <is>
          <t>Sun Blocker</t>
        </is>
      </c>
      <c r="F704" t="inlineStr">
        <is>
          <t>Q2-Target,Hats</t>
        </is>
      </c>
      <c r="G704" s="48" t="n">
        <v>0</v>
      </c>
      <c r="H704" s="48" t="n">
        <v>0</v>
      </c>
      <c r="I704" s="48" t="n">
        <v>0</v>
      </c>
      <c r="J704" s="48" t="n">
        <v>-7.99</v>
      </c>
      <c r="K704" s="49" t="n">
        <v>0</v>
      </c>
      <c r="L704" s="49" t="n">
        <v>0</v>
      </c>
      <c r="M704" s="49" t="n">
        <v>0</v>
      </c>
      <c r="N704" s="49" t="n">
        <v>-1</v>
      </c>
      <c r="O704" s="49" t="n">
        <v>0</v>
      </c>
      <c r="P704" s="49" t="n">
        <v>0</v>
      </c>
      <c r="Q704" s="49" t="n">
        <v>0</v>
      </c>
      <c r="R704" s="49" t="n">
        <v>0</v>
      </c>
      <c r="S704" s="50" t="n">
        <v>0</v>
      </c>
      <c r="T704" s="50" t="n">
        <v>0</v>
      </c>
      <c r="U704" s="50" t="n">
        <v>0</v>
      </c>
      <c r="V704" s="50" t="n">
        <v>0</v>
      </c>
      <c r="W704" s="51" t="n">
        <v>0</v>
      </c>
      <c r="X704" s="51" t="n">
        <v>0</v>
      </c>
      <c r="Y704" s="51" t="n">
        <v>0</v>
      </c>
      <c r="Z704" s="51" t="n">
        <v>0</v>
      </c>
      <c r="AA704" s="52" t="n">
        <v>0</v>
      </c>
      <c r="AB704" s="52" t="n">
        <v>0</v>
      </c>
      <c r="AC704" s="52" t="n">
        <v>0</v>
      </c>
      <c r="AD704" s="52" t="n">
        <v>0</v>
      </c>
      <c r="AE704" s="52" t="n">
        <v>0</v>
      </c>
      <c r="AF704" s="52" t="n">
        <v>0</v>
      </c>
      <c r="AG704" s="52" t="n">
        <v>0</v>
      </c>
      <c r="AH704" s="52" t="n">
        <v>0</v>
      </c>
      <c r="AI704" s="52" t="n">
        <v>0</v>
      </c>
      <c r="AJ704" s="52" t="n">
        <v>0</v>
      </c>
      <c r="AK704" s="52" t="n">
        <v>0</v>
      </c>
      <c r="AL704" s="52" t="n">
        <v>0</v>
      </c>
      <c r="AM704" s="53" t="n">
        <v>0</v>
      </c>
      <c r="AN704" s="53" t="n">
        <v>0</v>
      </c>
      <c r="AO704" s="53" t="n">
        <v>0</v>
      </c>
      <c r="AP704" s="53" t="n">
        <v>0</v>
      </c>
      <c r="AQ704" s="52" t="n">
        <v>0</v>
      </c>
      <c r="AR704" s="52" t="n">
        <v>0</v>
      </c>
      <c r="AS704" s="52" t="n">
        <v>0</v>
      </c>
      <c r="AT704" s="52" t="n">
        <v>0</v>
      </c>
      <c r="AU704" s="53" t="n">
        <v>0</v>
      </c>
      <c r="AV704" s="53" t="n">
        <v>0</v>
      </c>
      <c r="AW704" s="53" t="n">
        <v>0</v>
      </c>
      <c r="AX704" s="53" t="n">
        <v>0</v>
      </c>
      <c r="AY704" s="52" t="n">
        <v>0</v>
      </c>
      <c r="AZ704" s="52" t="n">
        <v>0</v>
      </c>
      <c r="BA704" s="52" t="n">
        <v>0</v>
      </c>
      <c r="BB704" s="52" t="n">
        <v>0</v>
      </c>
      <c r="BC704" s="51" t="n">
        <v>0</v>
      </c>
      <c r="BD704" s="51" t="n">
        <v>0</v>
      </c>
      <c r="BE704" s="51" t="n">
        <v>0</v>
      </c>
      <c r="BF704" s="51" t="n">
        <v>0</v>
      </c>
    </row>
    <row r="705">
      <c r="A705">
        <f>HYPERLINK("https://www.walmart.com/ip/903259087", "903259087")</f>
        <v/>
      </c>
      <c r="B705" t="inlineStr">
        <is>
          <t>Catalonia Union Jack Blanket, UK Flag Sherpa Fleece Blanket | Super Soft, Warm, Reversible | for Couch Bed, Gift for British, 50X70 inches</t>
        </is>
      </c>
      <c r="C705" t="inlineStr">
        <is>
          <t>1CTBF300UK2MUL</t>
        </is>
      </c>
      <c r="D705" t="inlineStr">
        <is>
          <t>Throws</t>
        </is>
      </c>
      <c r="E705" t="inlineStr">
        <is>
          <t>Catalonia</t>
        </is>
      </c>
      <c r="F705" t="inlineStr">
        <is>
          <t>WFS,WFS Item,Fleece Blankets</t>
        </is>
      </c>
      <c r="G705" s="48" t="n">
        <v>0</v>
      </c>
      <c r="H705" s="48" t="n">
        <v>0</v>
      </c>
      <c r="I705" s="48" t="n">
        <v>0</v>
      </c>
      <c r="J705" s="48" t="n">
        <v>0</v>
      </c>
      <c r="K705" s="49" t="n">
        <v>0</v>
      </c>
      <c r="L705" s="49" t="n">
        <v>0</v>
      </c>
      <c r="M705" s="49" t="n">
        <v>0</v>
      </c>
      <c r="N705" s="49" t="n">
        <v>0</v>
      </c>
      <c r="O705" s="49" t="n">
        <v>0</v>
      </c>
      <c r="P705" s="49" t="n">
        <v>0</v>
      </c>
      <c r="Q705" s="49" t="n">
        <v>0</v>
      </c>
      <c r="R705" s="49" t="n">
        <v>0</v>
      </c>
      <c r="S705" s="50" t="n">
        <v>0</v>
      </c>
      <c r="T705" s="50" t="n">
        <v>0</v>
      </c>
      <c r="U705" s="50" t="n">
        <v>0</v>
      </c>
      <c r="V705" s="50" t="n">
        <v>0</v>
      </c>
      <c r="W705" s="51" t="n">
        <v>0</v>
      </c>
      <c r="X705" s="51" t="n">
        <v>0</v>
      </c>
      <c r="Y705" s="51" t="n">
        <v>0</v>
      </c>
      <c r="Z705" s="51" t="n">
        <v>0</v>
      </c>
      <c r="AA705" s="52" t="n">
        <v>0</v>
      </c>
      <c r="AB705" s="52" t="n">
        <v>0</v>
      </c>
      <c r="AC705" s="52" t="n">
        <v>0</v>
      </c>
      <c r="AD705" s="52" t="n">
        <v>0</v>
      </c>
      <c r="AE705" s="52" t="n">
        <v>0</v>
      </c>
      <c r="AF705" s="52" t="n">
        <v>0</v>
      </c>
      <c r="AG705" s="52" t="n">
        <v>0</v>
      </c>
      <c r="AH705" s="52" t="n">
        <v>0</v>
      </c>
      <c r="AI705" s="52" t="n">
        <v>0</v>
      </c>
      <c r="AJ705" s="52" t="n">
        <v>0</v>
      </c>
      <c r="AK705" s="52" t="n">
        <v>0</v>
      </c>
      <c r="AL705" s="52" t="n">
        <v>0</v>
      </c>
      <c r="AM705" s="53" t="n">
        <v>0</v>
      </c>
      <c r="AN705" s="53" t="n">
        <v>0</v>
      </c>
      <c r="AO705" s="53" t="n">
        <v>0</v>
      </c>
      <c r="AP705" s="53" t="n">
        <v>0</v>
      </c>
      <c r="AQ705" s="52" t="n">
        <v>0</v>
      </c>
      <c r="AR705" s="52" t="n">
        <v>0</v>
      </c>
      <c r="AS705" s="52" t="n">
        <v>0</v>
      </c>
      <c r="AT705" s="52" t="n">
        <v>0</v>
      </c>
      <c r="AU705" s="53" t="n">
        <v>0</v>
      </c>
      <c r="AV705" s="53" t="n">
        <v>0</v>
      </c>
      <c r="AW705" s="53" t="n">
        <v>0</v>
      </c>
      <c r="AX705" s="53" t="n">
        <v>0</v>
      </c>
      <c r="AY705" s="52" t="n">
        <v>0</v>
      </c>
      <c r="AZ705" s="52" t="n">
        <v>0</v>
      </c>
      <c r="BA705" s="52" t="n">
        <v>0</v>
      </c>
      <c r="BB705" s="52" t="n">
        <v>0</v>
      </c>
      <c r="BC705" s="51" t="n">
        <v>0</v>
      </c>
      <c r="BD705" s="51" t="n">
        <v>0</v>
      </c>
      <c r="BE705" s="51" t="n">
        <v>0</v>
      </c>
      <c r="BF705" s="51" t="n">
        <v>0</v>
      </c>
    </row>
    <row r="706">
      <c r="A706">
        <f>HYPERLINK("https://www.walmart.com/ip/903436691", "903436691")</f>
        <v/>
      </c>
      <c r="B706" t="inlineStr">
        <is>
          <t>Catalonia Wearable Blanket with Sleeves and Pocket, Cozy Soft Fleece Micro Plush Wrap Throws Blanket Robe for Women and Men, Red Plaid Pattern</t>
        </is>
      </c>
      <c r="C706" t="inlineStr">
        <is>
          <t>1CTSN100P2RD</t>
        </is>
      </c>
      <c r="D706" t="inlineStr">
        <is>
          <t>Throws</t>
        </is>
      </c>
      <c r="E706" t="inlineStr">
        <is>
          <t>Catalonia</t>
        </is>
      </c>
      <c r="F706" t="inlineStr">
        <is>
          <t>WFS,WFS Item</t>
        </is>
      </c>
      <c r="G706" s="48" t="n">
        <v>0</v>
      </c>
      <c r="H706" s="48" t="n">
        <v>0</v>
      </c>
      <c r="I706" s="48" t="n">
        <v>0</v>
      </c>
      <c r="J706" s="48" t="n">
        <v>0</v>
      </c>
      <c r="K706" s="49" t="n">
        <v>0</v>
      </c>
      <c r="L706" s="49" t="n">
        <v>0</v>
      </c>
      <c r="M706" s="49" t="n">
        <v>0</v>
      </c>
      <c r="N706" s="49" t="n">
        <v>0</v>
      </c>
      <c r="O706" s="49" t="n">
        <v>0</v>
      </c>
      <c r="P706" s="49" t="n">
        <v>0</v>
      </c>
      <c r="Q706" s="49" t="n">
        <v>0</v>
      </c>
      <c r="R706" s="49" t="n">
        <v>0</v>
      </c>
      <c r="S706" s="50" t="n">
        <v>0</v>
      </c>
      <c r="T706" s="50" t="n">
        <v>0</v>
      </c>
      <c r="U706" s="50" t="n">
        <v>0</v>
      </c>
      <c r="V706" s="50" t="n">
        <v>0</v>
      </c>
      <c r="W706" s="51" t="n">
        <v>0</v>
      </c>
      <c r="X706" s="51" t="n">
        <v>0</v>
      </c>
      <c r="Y706" s="51" t="n">
        <v>0</v>
      </c>
      <c r="Z706" s="51" t="n">
        <v>0</v>
      </c>
      <c r="AA706" s="52" t="n">
        <v>0</v>
      </c>
      <c r="AB706" s="52" t="n">
        <v>0</v>
      </c>
      <c r="AC706" s="52" t="n">
        <v>0</v>
      </c>
      <c r="AD706" s="52" t="n">
        <v>0</v>
      </c>
      <c r="AE706" s="52" t="n">
        <v>0</v>
      </c>
      <c r="AF706" s="52" t="n">
        <v>0</v>
      </c>
      <c r="AG706" s="52" t="n">
        <v>0</v>
      </c>
      <c r="AH706" s="52" t="n">
        <v>0</v>
      </c>
      <c r="AI706" s="52" t="n">
        <v>0</v>
      </c>
      <c r="AJ706" s="52" t="n">
        <v>0</v>
      </c>
      <c r="AK706" s="52" t="n">
        <v>0</v>
      </c>
      <c r="AL706" s="52" t="n">
        <v>0</v>
      </c>
      <c r="AM706" s="53" t="n">
        <v>0</v>
      </c>
      <c r="AN706" s="53" t="n">
        <v>0</v>
      </c>
      <c r="AO706" s="53" t="n">
        <v>0</v>
      </c>
      <c r="AP706" s="53" t="n">
        <v>0</v>
      </c>
      <c r="AQ706" s="52" t="n">
        <v>0</v>
      </c>
      <c r="AR706" s="52" t="n">
        <v>0</v>
      </c>
      <c r="AS706" s="52" t="n">
        <v>0</v>
      </c>
      <c r="AT706" s="52" t="n">
        <v>0</v>
      </c>
      <c r="AU706" s="53" t="n">
        <v>0</v>
      </c>
      <c r="AV706" s="53" t="n">
        <v>0</v>
      </c>
      <c r="AW706" s="53" t="n">
        <v>0</v>
      </c>
      <c r="AX706" s="53" t="n">
        <v>0</v>
      </c>
      <c r="AY706" s="52" t="n">
        <v>0</v>
      </c>
      <c r="AZ706" s="52" t="n">
        <v>0</v>
      </c>
      <c r="BA706" s="52" t="n">
        <v>0</v>
      </c>
      <c r="BB706" s="52" t="n">
        <v>0</v>
      </c>
      <c r="BC706" s="51" t="n">
        <v>0</v>
      </c>
      <c r="BD706" s="51" t="n">
        <v>0</v>
      </c>
      <c r="BE706" s="51" t="n">
        <v>0</v>
      </c>
      <c r="BF706" s="51" t="n">
        <v>0</v>
      </c>
    </row>
    <row r="707">
      <c r="A707">
        <f>HYPERLINK("https://www.walmart.com/ip/905687411", "905687411")</f>
        <v/>
      </c>
      <c r="B707" t="inlineStr">
        <is>
          <t>Expandable Insulated Lunch Bag, Leakproof Lunch Cooler Tote for Men and Women, Suitable for Work &amp; Office, Charcoal</t>
        </is>
      </c>
      <c r="C707" t="inlineStr">
        <is>
          <t>1KTLB110CH</t>
        </is>
      </c>
      <c r="D707" t="inlineStr">
        <is>
          <t>Reusable Lunch Bags &amp; Boxes</t>
        </is>
      </c>
      <c r="E707" t="inlineStr">
        <is>
          <t>Kato</t>
        </is>
      </c>
      <c r="F707" t="inlineStr">
        <is>
          <t>Optimized,Lunch Bags,SEM</t>
        </is>
      </c>
      <c r="G707" s="48" t="n">
        <v>0</v>
      </c>
      <c r="H707" s="48" t="n">
        <v>15.99</v>
      </c>
      <c r="I707" s="48" t="n">
        <v>15.99</v>
      </c>
      <c r="J707" s="48" t="n">
        <v>0</v>
      </c>
      <c r="K707" s="49" t="n">
        <v>0</v>
      </c>
      <c r="L707" s="49" t="n">
        <v>1</v>
      </c>
      <c r="M707" s="49" t="n">
        <v>1</v>
      </c>
      <c r="N707" s="49" t="n">
        <v>0</v>
      </c>
      <c r="O707" s="49" t="n">
        <v>3</v>
      </c>
      <c r="P707" s="49" t="n">
        <v>4</v>
      </c>
      <c r="Q707" s="49" t="n">
        <v>5</v>
      </c>
      <c r="R707" s="49" t="n">
        <v>2</v>
      </c>
      <c r="S707" s="50" t="n">
        <v>0</v>
      </c>
      <c r="T707" s="50" t="n">
        <v>0.25</v>
      </c>
      <c r="U707" s="50" t="n">
        <v>0.2</v>
      </c>
      <c r="V707" s="50" t="n">
        <v>0</v>
      </c>
      <c r="W707" s="51" t="n">
        <v>0</v>
      </c>
      <c r="X707" s="51" t="n">
        <v>0</v>
      </c>
      <c r="Y707" s="51" t="n">
        <v>0</v>
      </c>
      <c r="Z707" s="51" t="n">
        <v>0</v>
      </c>
      <c r="AA707" s="52" t="n">
        <v>0</v>
      </c>
      <c r="AB707" s="52" t="n">
        <v>0</v>
      </c>
      <c r="AC707" s="52" t="n">
        <v>0</v>
      </c>
      <c r="AD707" s="52" t="n">
        <v>0</v>
      </c>
      <c r="AE707" s="52" t="n">
        <v>0</v>
      </c>
      <c r="AF707" s="52" t="n">
        <v>0</v>
      </c>
      <c r="AG707" s="52" t="n">
        <v>0</v>
      </c>
      <c r="AH707" s="52" t="n">
        <v>0</v>
      </c>
      <c r="AI707" s="52" t="n">
        <v>0</v>
      </c>
      <c r="AJ707" s="52" t="n">
        <v>0</v>
      </c>
      <c r="AK707" s="52" t="n">
        <v>0</v>
      </c>
      <c r="AL707" s="52" t="n">
        <v>0</v>
      </c>
      <c r="AM707" s="53" t="n">
        <v>0</v>
      </c>
      <c r="AN707" s="53" t="n">
        <v>0</v>
      </c>
      <c r="AO707" s="53" t="n">
        <v>0</v>
      </c>
      <c r="AP707" s="53" t="n">
        <v>0</v>
      </c>
      <c r="AQ707" s="52" t="n">
        <v>0</v>
      </c>
      <c r="AR707" s="52" t="n">
        <v>0</v>
      </c>
      <c r="AS707" s="52" t="n">
        <v>0</v>
      </c>
      <c r="AT707" s="52" t="n">
        <v>0</v>
      </c>
      <c r="AU707" s="53" t="n">
        <v>0</v>
      </c>
      <c r="AV707" s="53" t="n">
        <v>0</v>
      </c>
      <c r="AW707" s="53" t="n">
        <v>0</v>
      </c>
      <c r="AX707" s="53" t="n">
        <v>0</v>
      </c>
      <c r="AY707" s="52" t="n">
        <v>0</v>
      </c>
      <c r="AZ707" s="52" t="n">
        <v>15.99</v>
      </c>
      <c r="BA707" s="52" t="n">
        <v>15.99</v>
      </c>
      <c r="BB707" s="52" t="n">
        <v>0</v>
      </c>
      <c r="BC707" s="51" t="n">
        <v>0</v>
      </c>
      <c r="BD707" s="51" t="n">
        <v>0</v>
      </c>
      <c r="BE707" s="51" t="n">
        <v>0</v>
      </c>
      <c r="BF707" s="51" t="n">
        <v>0</v>
      </c>
    </row>
    <row r="708">
      <c r="A708">
        <f>HYPERLINK("https://www.walmart.com/ip/906561690", "906561690")</f>
        <v/>
      </c>
      <c r="B708" t="inlineStr">
        <is>
          <t>Tirrinia Insulated Lunch Box for Women Men, Leakproof Thermal Reusable Lunch Bag with 2 Zipper Pockets for Adult &amp; Kids, Lunch Bag Cooler Tote for Office Work, White Pink</t>
        </is>
      </c>
      <c r="C708" t="inlineStr">
        <is>
          <t>1TRLB705WTPK</t>
        </is>
      </c>
      <c r="D708" t="inlineStr">
        <is>
          <t>Reusable Lunch Bags &amp; Boxes</t>
        </is>
      </c>
      <c r="E708" t="inlineStr">
        <is>
          <t>Tirrinia</t>
        </is>
      </c>
      <c r="F708" t="inlineStr">
        <is>
          <t>Q2-Target,Brand Camp VD,Lunch Bag,WFS,Lunch Bags,SEM,WFS Item</t>
        </is>
      </c>
      <c r="G708" s="48" t="n">
        <v>0</v>
      </c>
      <c r="H708" s="48" t="n">
        <v>0</v>
      </c>
      <c r="I708" s="48" t="n">
        <v>0</v>
      </c>
      <c r="J708" s="48" t="n">
        <v>0</v>
      </c>
      <c r="K708" s="49" t="n">
        <v>0</v>
      </c>
      <c r="L708" s="49" t="n">
        <v>0</v>
      </c>
      <c r="M708" s="49" t="n">
        <v>0</v>
      </c>
      <c r="N708" s="49" t="n">
        <v>0</v>
      </c>
      <c r="O708" s="49" t="n">
        <v>0</v>
      </c>
      <c r="P708" s="49" t="n">
        <v>0</v>
      </c>
      <c r="Q708" s="49" t="n">
        <v>0</v>
      </c>
      <c r="R708" s="49" t="n">
        <v>0</v>
      </c>
      <c r="S708" s="50" t="n">
        <v>0</v>
      </c>
      <c r="T708" s="50" t="n">
        <v>0</v>
      </c>
      <c r="U708" s="50" t="n">
        <v>0</v>
      </c>
      <c r="V708" s="50" t="n">
        <v>0</v>
      </c>
      <c r="W708" s="51" t="n">
        <v>0</v>
      </c>
      <c r="X708" s="51" t="n">
        <v>0</v>
      </c>
      <c r="Y708" s="51" t="n">
        <v>0</v>
      </c>
      <c r="Z708" s="51" t="n">
        <v>0</v>
      </c>
      <c r="AA708" s="52" t="n">
        <v>0</v>
      </c>
      <c r="AB708" s="52" t="n">
        <v>0</v>
      </c>
      <c r="AC708" s="52" t="n">
        <v>0</v>
      </c>
      <c r="AD708" s="52" t="n">
        <v>0</v>
      </c>
      <c r="AE708" s="52" t="n">
        <v>0</v>
      </c>
      <c r="AF708" s="52" t="n">
        <v>0</v>
      </c>
      <c r="AG708" s="52" t="n">
        <v>0</v>
      </c>
      <c r="AH708" s="52" t="n">
        <v>0</v>
      </c>
      <c r="AI708" s="52" t="n">
        <v>0</v>
      </c>
      <c r="AJ708" s="52" t="n">
        <v>0</v>
      </c>
      <c r="AK708" s="52" t="n">
        <v>0</v>
      </c>
      <c r="AL708" s="52" t="n">
        <v>0</v>
      </c>
      <c r="AM708" s="53" t="n">
        <v>0</v>
      </c>
      <c r="AN708" s="53" t="n">
        <v>0</v>
      </c>
      <c r="AO708" s="53" t="n">
        <v>0</v>
      </c>
      <c r="AP708" s="53" t="n">
        <v>0</v>
      </c>
      <c r="AQ708" s="52" t="n">
        <v>0</v>
      </c>
      <c r="AR708" s="52" t="n">
        <v>0</v>
      </c>
      <c r="AS708" s="52" t="n">
        <v>0</v>
      </c>
      <c r="AT708" s="52" t="n">
        <v>0</v>
      </c>
      <c r="AU708" s="53" t="n">
        <v>0</v>
      </c>
      <c r="AV708" s="53" t="n">
        <v>0</v>
      </c>
      <c r="AW708" s="53" t="n">
        <v>0</v>
      </c>
      <c r="AX708" s="53" t="n">
        <v>0</v>
      </c>
      <c r="AY708" s="52" t="n">
        <v>0</v>
      </c>
      <c r="AZ708" s="52" t="n">
        <v>0</v>
      </c>
      <c r="BA708" s="52" t="n">
        <v>0</v>
      </c>
      <c r="BB708" s="52" t="n">
        <v>0</v>
      </c>
      <c r="BC708" s="51" t="n">
        <v>0</v>
      </c>
      <c r="BD708" s="51" t="n">
        <v>0</v>
      </c>
      <c r="BE708" s="51" t="n">
        <v>0</v>
      </c>
      <c r="BF708" s="51" t="n">
        <v>0</v>
      </c>
    </row>
    <row r="709">
      <c r="A709">
        <f>HYPERLINK("https://www.walmart.com/ip/907937555", "907937555")</f>
        <v/>
      </c>
      <c r="B709" t="inlineStr">
        <is>
          <t>Tirrinia Leakproof Thermal Reusable Insulated Lunch Bag for Men with Leather Handle,Olive</t>
        </is>
      </c>
      <c r="C709" t="inlineStr">
        <is>
          <t>1TRLB702P1OL</t>
        </is>
      </c>
      <c r="D709" t="inlineStr">
        <is>
          <t>Reusable Lunch Bags &amp; Boxes</t>
        </is>
      </c>
      <c r="E709" t="inlineStr">
        <is>
          <t>Tirrinia</t>
        </is>
      </c>
      <c r="F709" t="inlineStr">
        <is>
          <t>Q2-Target,Brand Camp VD,Lunch Bag,Optimized,SEM</t>
        </is>
      </c>
      <c r="G709" s="48" t="n">
        <v>0</v>
      </c>
      <c r="H709" s="48" t="n">
        <v>0</v>
      </c>
      <c r="I709" s="48" t="n">
        <v>0</v>
      </c>
      <c r="J709" s="48" t="n">
        <v>0</v>
      </c>
      <c r="K709" s="49" t="n">
        <v>0</v>
      </c>
      <c r="L709" s="49" t="n">
        <v>0</v>
      </c>
      <c r="M709" s="49" t="n">
        <v>0</v>
      </c>
      <c r="N709" s="49" t="n">
        <v>0</v>
      </c>
      <c r="O709" s="49" t="n">
        <v>0</v>
      </c>
      <c r="P709" s="49" t="n">
        <v>0</v>
      </c>
      <c r="Q709" s="49" t="n">
        <v>0</v>
      </c>
      <c r="R709" s="49" t="n">
        <v>0</v>
      </c>
      <c r="S709" s="50" t="n">
        <v>0</v>
      </c>
      <c r="T709" s="50" t="n">
        <v>0</v>
      </c>
      <c r="U709" s="50" t="n">
        <v>0</v>
      </c>
      <c r="V709" s="50" t="n">
        <v>0</v>
      </c>
      <c r="W709" s="51" t="n">
        <v>0</v>
      </c>
      <c r="X709" s="51" t="n">
        <v>0</v>
      </c>
      <c r="Y709" s="51" t="n">
        <v>0</v>
      </c>
      <c r="Z709" s="51" t="n">
        <v>0</v>
      </c>
      <c r="AA709" s="52" t="n">
        <v>0</v>
      </c>
      <c r="AB709" s="52" t="n">
        <v>0</v>
      </c>
      <c r="AC709" s="52" t="n">
        <v>0</v>
      </c>
      <c r="AD709" s="52" t="n">
        <v>0</v>
      </c>
      <c r="AE709" s="52" t="n">
        <v>0</v>
      </c>
      <c r="AF709" s="52" t="n">
        <v>0</v>
      </c>
      <c r="AG709" s="52" t="n">
        <v>0</v>
      </c>
      <c r="AH709" s="52" t="n">
        <v>0</v>
      </c>
      <c r="AI709" s="52" t="n">
        <v>0</v>
      </c>
      <c r="AJ709" s="52" t="n">
        <v>0</v>
      </c>
      <c r="AK709" s="52" t="n">
        <v>0</v>
      </c>
      <c r="AL709" s="52" t="n">
        <v>0</v>
      </c>
      <c r="AM709" s="53" t="n">
        <v>0</v>
      </c>
      <c r="AN709" s="53" t="n">
        <v>0</v>
      </c>
      <c r="AO709" s="53" t="n">
        <v>0</v>
      </c>
      <c r="AP709" s="53" t="n">
        <v>0</v>
      </c>
      <c r="AQ709" s="52" t="n">
        <v>0</v>
      </c>
      <c r="AR709" s="52" t="n">
        <v>0</v>
      </c>
      <c r="AS709" s="52" t="n">
        <v>0</v>
      </c>
      <c r="AT709" s="52" t="n">
        <v>0</v>
      </c>
      <c r="AU709" s="53" t="n">
        <v>0</v>
      </c>
      <c r="AV709" s="53" t="n">
        <v>0</v>
      </c>
      <c r="AW709" s="53" t="n">
        <v>0</v>
      </c>
      <c r="AX709" s="53" t="n">
        <v>0</v>
      </c>
      <c r="AY709" s="52" t="n">
        <v>0</v>
      </c>
      <c r="AZ709" s="52" t="n">
        <v>0</v>
      </c>
      <c r="BA709" s="52" t="n">
        <v>0</v>
      </c>
      <c r="BB709" s="52" t="n">
        <v>0</v>
      </c>
      <c r="BC709" s="51" t="n">
        <v>0</v>
      </c>
      <c r="BD709" s="51" t="n">
        <v>0</v>
      </c>
      <c r="BE709" s="51" t="n">
        <v>0</v>
      </c>
      <c r="BF709" s="51" t="n">
        <v>0</v>
      </c>
    </row>
    <row r="710">
      <c r="A710">
        <f>HYPERLINK("https://www.walmart.com/ip/907950495", "907950495")</f>
        <v/>
      </c>
      <c r="B710" t="inlineStr">
        <is>
          <t>Flyingstar Insulated Lunch Bag, Reusable Tote Bag for Women &amp; Men &amp; Kids, Fashionable Large Cooler Lunch Bag for Working/School/Picnic</t>
        </is>
      </c>
      <c r="C710" t="inlineStr">
        <is>
          <t>1WMLB703CH</t>
        </is>
      </c>
      <c r="D710" t="inlineStr">
        <is>
          <t>Reusable Lunch Bags &amp; Boxes</t>
        </is>
      </c>
      <c r="E710" t="inlineStr">
        <is>
          <t>Flyingstar</t>
        </is>
      </c>
      <c r="F710" t="inlineStr">
        <is>
          <t>Q2-Target,Lunch Bag,Optimized</t>
        </is>
      </c>
      <c r="G710" s="48" t="n">
        <v>0</v>
      </c>
      <c r="H710" s="48" t="n">
        <v>0</v>
      </c>
      <c r="I710" s="48" t="n">
        <v>0</v>
      </c>
      <c r="J710" s="48" t="n">
        <v>0</v>
      </c>
      <c r="K710" s="49" t="n">
        <v>0</v>
      </c>
      <c r="L710" s="49" t="n">
        <v>0</v>
      </c>
      <c r="M710" s="49" t="n">
        <v>0</v>
      </c>
      <c r="N710" s="49" t="n">
        <v>0</v>
      </c>
      <c r="O710" s="49" t="n">
        <v>0</v>
      </c>
      <c r="P710" s="49" t="n">
        <v>0</v>
      </c>
      <c r="Q710" s="49" t="n">
        <v>0</v>
      </c>
      <c r="R710" s="49" t="n">
        <v>0</v>
      </c>
      <c r="S710" s="50" t="n">
        <v>0</v>
      </c>
      <c r="T710" s="50" t="n">
        <v>0</v>
      </c>
      <c r="U710" s="50" t="n">
        <v>0</v>
      </c>
      <c r="V710" s="50" t="n">
        <v>0</v>
      </c>
      <c r="W710" s="51" t="n">
        <v>0</v>
      </c>
      <c r="X710" s="51" t="n">
        <v>0</v>
      </c>
      <c r="Y710" s="51" t="n">
        <v>0</v>
      </c>
      <c r="Z710" s="51" t="n">
        <v>0</v>
      </c>
      <c r="AA710" s="52" t="n">
        <v>0</v>
      </c>
      <c r="AB710" s="52" t="n">
        <v>0</v>
      </c>
      <c r="AC710" s="52" t="n">
        <v>0</v>
      </c>
      <c r="AD710" s="52" t="n">
        <v>0</v>
      </c>
      <c r="AE710" s="52" t="n">
        <v>0</v>
      </c>
      <c r="AF710" s="52" t="n">
        <v>0</v>
      </c>
      <c r="AG710" s="52" t="n">
        <v>0</v>
      </c>
      <c r="AH710" s="52" t="n">
        <v>0</v>
      </c>
      <c r="AI710" s="52" t="n">
        <v>0</v>
      </c>
      <c r="AJ710" s="52" t="n">
        <v>0</v>
      </c>
      <c r="AK710" s="52" t="n">
        <v>0</v>
      </c>
      <c r="AL710" s="52" t="n">
        <v>0</v>
      </c>
      <c r="AM710" s="53" t="n">
        <v>0</v>
      </c>
      <c r="AN710" s="53" t="n">
        <v>0</v>
      </c>
      <c r="AO710" s="53" t="n">
        <v>0</v>
      </c>
      <c r="AP710" s="53" t="n">
        <v>0</v>
      </c>
      <c r="AQ710" s="52" t="n">
        <v>0</v>
      </c>
      <c r="AR710" s="52" t="n">
        <v>0</v>
      </c>
      <c r="AS710" s="52" t="n">
        <v>0</v>
      </c>
      <c r="AT710" s="52" t="n">
        <v>0</v>
      </c>
      <c r="AU710" s="53" t="n">
        <v>0</v>
      </c>
      <c r="AV710" s="53" t="n">
        <v>0</v>
      </c>
      <c r="AW710" s="53" t="n">
        <v>0</v>
      </c>
      <c r="AX710" s="53" t="n">
        <v>0</v>
      </c>
      <c r="AY710" s="52" t="n">
        <v>0</v>
      </c>
      <c r="AZ710" s="52" t="n">
        <v>0</v>
      </c>
      <c r="BA710" s="52" t="n">
        <v>0</v>
      </c>
      <c r="BB710" s="52" t="n">
        <v>0</v>
      </c>
      <c r="BC710" s="51" t="n">
        <v>0</v>
      </c>
      <c r="BD710" s="51" t="n">
        <v>0</v>
      </c>
      <c r="BE710" s="51" t="n">
        <v>0</v>
      </c>
      <c r="BF710" s="51" t="n">
        <v>0</v>
      </c>
    </row>
    <row r="711">
      <c r="A711">
        <f>HYPERLINK("https://www.walmart.com/ip/908115790", "908115790")</f>
        <v/>
      </c>
      <c r="B711" t="inlineStr">
        <is>
          <t>Men's Hunting Fishing Hat Camo Series Adjustable Mesh Ball Cap 3D Embroidered #Break Up</t>
        </is>
      </c>
      <c r="C711" t="inlineStr">
        <is>
          <t>1TRSH7140BR-TBCB</t>
        </is>
      </c>
      <c r="D711" t="inlineStr">
        <is>
          <t>Hats</t>
        </is>
      </c>
      <c r="E711" t="inlineStr">
        <is>
          <t>Tirrinia</t>
        </is>
      </c>
      <c r="F711" t="inlineStr">
        <is>
          <t>Batch 1 - TR</t>
        </is>
      </c>
      <c r="G711" s="48" t="n">
        <v>0</v>
      </c>
      <c r="H711" s="48" t="n">
        <v>0</v>
      </c>
      <c r="I711" s="48" t="n">
        <v>0</v>
      </c>
      <c r="J711" s="48" t="n">
        <v>0</v>
      </c>
      <c r="K711" s="49" t="n">
        <v>0</v>
      </c>
      <c r="L711" s="49" t="n">
        <v>0</v>
      </c>
      <c r="M711" s="49" t="n">
        <v>0</v>
      </c>
      <c r="N711" s="49" t="n">
        <v>0</v>
      </c>
      <c r="O711" s="49" t="n">
        <v>0</v>
      </c>
      <c r="P711" s="49" t="n">
        <v>0</v>
      </c>
      <c r="Q711" s="49" t="n">
        <v>0</v>
      </c>
      <c r="R711" s="49" t="n">
        <v>0</v>
      </c>
      <c r="S711" s="50" t="n">
        <v>0</v>
      </c>
      <c r="T711" s="50" t="n">
        <v>0</v>
      </c>
      <c r="U711" s="50" t="n">
        <v>0</v>
      </c>
      <c r="V711" s="50" t="n">
        <v>0</v>
      </c>
      <c r="W711" s="51" t="n">
        <v>0</v>
      </c>
      <c r="X711" s="51" t="n">
        <v>0</v>
      </c>
      <c r="Y711" s="51" t="n">
        <v>0</v>
      </c>
      <c r="Z711" s="51" t="n">
        <v>0</v>
      </c>
      <c r="AA711" s="52" t="n">
        <v>0</v>
      </c>
      <c r="AB711" s="52" t="n">
        <v>0</v>
      </c>
      <c r="AC711" s="52" t="n">
        <v>0</v>
      </c>
      <c r="AD711" s="52" t="n">
        <v>0</v>
      </c>
      <c r="AE711" s="52" t="n">
        <v>0</v>
      </c>
      <c r="AF711" s="52" t="n">
        <v>0</v>
      </c>
      <c r="AG711" s="52" t="n">
        <v>0</v>
      </c>
      <c r="AH711" s="52" t="n">
        <v>0</v>
      </c>
      <c r="AI711" s="52" t="n">
        <v>0</v>
      </c>
      <c r="AJ711" s="52" t="n">
        <v>0</v>
      </c>
      <c r="AK711" s="52" t="n">
        <v>0</v>
      </c>
      <c r="AL711" s="52" t="n">
        <v>0</v>
      </c>
      <c r="AM711" s="53" t="n">
        <v>0</v>
      </c>
      <c r="AN711" s="53" t="n">
        <v>0</v>
      </c>
      <c r="AO711" s="53" t="n">
        <v>0</v>
      </c>
      <c r="AP711" s="53" t="n">
        <v>0</v>
      </c>
      <c r="AQ711" s="52" t="n">
        <v>0</v>
      </c>
      <c r="AR711" s="52" t="n">
        <v>0</v>
      </c>
      <c r="AS711" s="52" t="n">
        <v>0</v>
      </c>
      <c r="AT711" s="52" t="n">
        <v>0</v>
      </c>
      <c r="AU711" s="53" t="n">
        <v>0</v>
      </c>
      <c r="AV711" s="53" t="n">
        <v>0</v>
      </c>
      <c r="AW711" s="53" t="n">
        <v>0</v>
      </c>
      <c r="AX711" s="53" t="n">
        <v>0</v>
      </c>
      <c r="AY711" s="52" t="n">
        <v>0</v>
      </c>
      <c r="AZ711" s="52" t="n">
        <v>0</v>
      </c>
      <c r="BA711" s="52" t="n">
        <v>0</v>
      </c>
      <c r="BB711" s="52" t="n">
        <v>0</v>
      </c>
      <c r="BC711" s="51" t="n">
        <v>0</v>
      </c>
      <c r="BD711" s="51" t="n">
        <v>0</v>
      </c>
      <c r="BE711" s="51" t="n">
        <v>0</v>
      </c>
      <c r="BF711" s="51" t="n">
        <v>0</v>
      </c>
    </row>
    <row r="712">
      <c r="A712">
        <f>HYPERLINK("https://www.walmart.com/ip/908596766", "908596766")</f>
        <v/>
      </c>
      <c r="B712" t="inlineStr">
        <is>
          <t>Jennis 2 Women's Beileise  Sexy Crotchless Suspender Pantyhose Stockings Black</t>
        </is>
      </c>
      <c r="C712" t="inlineStr">
        <is>
          <t>JWBLSPH2028-2 Packs</t>
        </is>
      </c>
      <c r="D712" t="inlineStr">
        <is>
          <t>Pantyhose &amp; Tights</t>
        </is>
      </c>
      <c r="E712" t="inlineStr">
        <is>
          <t>JenniWears</t>
        </is>
      </c>
      <c r="F712" t="inlineStr">
        <is>
          <t>WFS,Valentine,WFS Item</t>
        </is>
      </c>
      <c r="G712" s="48" t="n">
        <v>0</v>
      </c>
      <c r="H712" s="48" t="n">
        <v>0</v>
      </c>
      <c r="I712" s="48" t="n">
        <v>0</v>
      </c>
      <c r="J712" s="48" t="n">
        <v>0</v>
      </c>
      <c r="K712" s="49" t="n">
        <v>0</v>
      </c>
      <c r="L712" s="49" t="n">
        <v>0</v>
      </c>
      <c r="M712" s="49" t="n">
        <v>0</v>
      </c>
      <c r="N712" s="49" t="n">
        <v>0</v>
      </c>
      <c r="O712" s="49" t="n">
        <v>0</v>
      </c>
      <c r="P712" s="49" t="n">
        <v>0</v>
      </c>
      <c r="Q712" s="49" t="n">
        <v>0</v>
      </c>
      <c r="R712" s="49" t="n">
        <v>0</v>
      </c>
      <c r="S712" s="50" t="n">
        <v>0</v>
      </c>
      <c r="T712" s="50" t="n">
        <v>0</v>
      </c>
      <c r="U712" s="50" t="n">
        <v>0</v>
      </c>
      <c r="V712" s="50" t="n">
        <v>0</v>
      </c>
      <c r="W712" s="51" t="n">
        <v>0</v>
      </c>
      <c r="X712" s="51" t="n">
        <v>0</v>
      </c>
      <c r="Y712" s="51" t="n">
        <v>0</v>
      </c>
      <c r="Z712" s="51" t="n">
        <v>0</v>
      </c>
      <c r="AA712" s="52" t="n">
        <v>0</v>
      </c>
      <c r="AB712" s="52" t="n">
        <v>0</v>
      </c>
      <c r="AC712" s="52" t="n">
        <v>0</v>
      </c>
      <c r="AD712" s="52" t="n">
        <v>0</v>
      </c>
      <c r="AE712" s="52" t="n">
        <v>0</v>
      </c>
      <c r="AF712" s="52" t="n">
        <v>0</v>
      </c>
      <c r="AG712" s="52" t="n">
        <v>0</v>
      </c>
      <c r="AH712" s="52" t="n">
        <v>0</v>
      </c>
      <c r="AI712" s="52" t="n">
        <v>0</v>
      </c>
      <c r="AJ712" s="52" t="n">
        <v>0</v>
      </c>
      <c r="AK712" s="52" t="n">
        <v>0</v>
      </c>
      <c r="AL712" s="52" t="n">
        <v>0</v>
      </c>
      <c r="AM712" s="53" t="n">
        <v>0</v>
      </c>
      <c r="AN712" s="53" t="n">
        <v>0</v>
      </c>
      <c r="AO712" s="53" t="n">
        <v>0</v>
      </c>
      <c r="AP712" s="53" t="n">
        <v>0</v>
      </c>
      <c r="AQ712" s="52" t="n">
        <v>0</v>
      </c>
      <c r="AR712" s="52" t="n">
        <v>0</v>
      </c>
      <c r="AS712" s="52" t="n">
        <v>0</v>
      </c>
      <c r="AT712" s="52" t="n">
        <v>0</v>
      </c>
      <c r="AU712" s="53" t="n">
        <v>0</v>
      </c>
      <c r="AV712" s="53" t="n">
        <v>0</v>
      </c>
      <c r="AW712" s="53" t="n">
        <v>0</v>
      </c>
      <c r="AX712" s="53" t="n">
        <v>0</v>
      </c>
      <c r="AY712" s="52" t="n">
        <v>0</v>
      </c>
      <c r="AZ712" s="52" t="n">
        <v>0</v>
      </c>
      <c r="BA712" s="52" t="n">
        <v>0</v>
      </c>
      <c r="BB712" s="52" t="n">
        <v>0</v>
      </c>
      <c r="BC712" s="51" t="n">
        <v>0</v>
      </c>
      <c r="BD712" s="51" t="n">
        <v>0</v>
      </c>
      <c r="BE712" s="51" t="n">
        <v>0</v>
      </c>
      <c r="BF712" s="51" t="n">
        <v>0</v>
      </c>
    </row>
    <row r="713">
      <c r="A713">
        <f>HYPERLINK("https://www.walmart.com/ip/908736024", "908736024")</f>
        <v/>
      </c>
      <c r="B713" t="inlineStr">
        <is>
          <t>Sun Hat Wide Brim, Summer Outdoor Bucket  Boonie Hat for Hiking Safari Gardening</t>
        </is>
      </c>
      <c r="C713" t="inlineStr">
        <is>
          <t>1SLSH191GY</t>
        </is>
      </c>
      <c r="D713" t="inlineStr">
        <is>
          <t>Hats</t>
        </is>
      </c>
      <c r="E713" t="inlineStr">
        <is>
          <t>Solaris</t>
        </is>
      </c>
      <c r="F713" t="inlineStr">
        <is>
          <t>Optimized</t>
        </is>
      </c>
      <c r="G713" s="48" t="n">
        <v>0</v>
      </c>
      <c r="H713" s="48" t="n">
        <v>0</v>
      </c>
      <c r="I713" s="48" t="n">
        <v>0</v>
      </c>
      <c r="J713" s="48" t="n">
        <v>0</v>
      </c>
      <c r="K713" s="49" t="n">
        <v>0</v>
      </c>
      <c r="L713" s="49" t="n">
        <v>0</v>
      </c>
      <c r="M713" s="49" t="n">
        <v>0</v>
      </c>
      <c r="N713" s="49" t="n">
        <v>0</v>
      </c>
      <c r="O713" s="49" t="n">
        <v>0</v>
      </c>
      <c r="P713" s="49" t="n">
        <v>0</v>
      </c>
      <c r="Q713" s="49" t="n">
        <v>0</v>
      </c>
      <c r="R713" s="49" t="n">
        <v>0</v>
      </c>
      <c r="S713" s="50" t="n">
        <v>0</v>
      </c>
      <c r="T713" s="50" t="n">
        <v>0</v>
      </c>
      <c r="U713" s="50" t="n">
        <v>0</v>
      </c>
      <c r="V713" s="50" t="n">
        <v>0</v>
      </c>
      <c r="W713" s="51" t="n">
        <v>0</v>
      </c>
      <c r="X713" s="51" t="n">
        <v>0</v>
      </c>
      <c r="Y713" s="51" t="n">
        <v>0</v>
      </c>
      <c r="Z713" s="51" t="n">
        <v>0</v>
      </c>
      <c r="AA713" s="52" t="n">
        <v>0</v>
      </c>
      <c r="AB713" s="52" t="n">
        <v>0</v>
      </c>
      <c r="AC713" s="52" t="n">
        <v>0</v>
      </c>
      <c r="AD713" s="52" t="n">
        <v>0</v>
      </c>
      <c r="AE713" s="52" t="n">
        <v>0</v>
      </c>
      <c r="AF713" s="52" t="n">
        <v>0</v>
      </c>
      <c r="AG713" s="52" t="n">
        <v>0</v>
      </c>
      <c r="AH713" s="52" t="n">
        <v>0</v>
      </c>
      <c r="AI713" s="52" t="n">
        <v>0</v>
      </c>
      <c r="AJ713" s="52" t="n">
        <v>0</v>
      </c>
      <c r="AK713" s="52" t="n">
        <v>0</v>
      </c>
      <c r="AL713" s="52" t="n">
        <v>0</v>
      </c>
      <c r="AM713" s="53" t="n">
        <v>0</v>
      </c>
      <c r="AN713" s="53" t="n">
        <v>0</v>
      </c>
      <c r="AO713" s="53" t="n">
        <v>0</v>
      </c>
      <c r="AP713" s="53" t="n">
        <v>0</v>
      </c>
      <c r="AQ713" s="52" t="n">
        <v>0</v>
      </c>
      <c r="AR713" s="52" t="n">
        <v>0</v>
      </c>
      <c r="AS713" s="52" t="n">
        <v>0</v>
      </c>
      <c r="AT713" s="52" t="n">
        <v>0</v>
      </c>
      <c r="AU713" s="53" t="n">
        <v>0</v>
      </c>
      <c r="AV713" s="53" t="n">
        <v>0</v>
      </c>
      <c r="AW713" s="53" t="n">
        <v>0</v>
      </c>
      <c r="AX713" s="53" t="n">
        <v>0</v>
      </c>
      <c r="AY713" s="52" t="n">
        <v>0</v>
      </c>
      <c r="AZ713" s="52" t="n">
        <v>0</v>
      </c>
      <c r="BA713" s="52" t="n">
        <v>0</v>
      </c>
      <c r="BB713" s="52" t="n">
        <v>0</v>
      </c>
      <c r="BC713" s="51" t="n">
        <v>0</v>
      </c>
      <c r="BD713" s="51" t="n">
        <v>0</v>
      </c>
      <c r="BE713" s="51" t="n">
        <v>0</v>
      </c>
      <c r="BF713" s="51" t="n">
        <v>0</v>
      </c>
    </row>
    <row r="714">
      <c r="A714">
        <f>HYPERLINK("https://www.walmart.com/ip/908798016", "908798016")</f>
        <v/>
      </c>
      <c r="B714" t="inlineStr">
        <is>
          <t>Terra Bed Blankets, Bedspreads, Bed throws, Soft Cozy Reversible Fuzzy Blanket  50" W x 60" L, Latte</t>
        </is>
      </c>
      <c r="C714" t="inlineStr">
        <is>
          <t>1TRK9000LT-JWCB</t>
        </is>
      </c>
      <c r="D714" t="inlineStr">
        <is>
          <t>Throws</t>
        </is>
      </c>
      <c r="E714" t="inlineStr">
        <is>
          <t>NAPA</t>
        </is>
      </c>
      <c r="G714" s="48" t="n">
        <v>0</v>
      </c>
      <c r="H714" s="48" t="n">
        <v>0</v>
      </c>
      <c r="I714" s="48" t="n">
        <v>0</v>
      </c>
      <c r="J714" s="48" t="n">
        <v>0</v>
      </c>
      <c r="K714" s="49" t="n">
        <v>0</v>
      </c>
      <c r="L714" s="49" t="n">
        <v>0</v>
      </c>
      <c r="M714" s="49" t="n">
        <v>0</v>
      </c>
      <c r="N714" s="49" t="n">
        <v>0</v>
      </c>
      <c r="O714" s="49" t="n">
        <v>0</v>
      </c>
      <c r="P714" s="49" t="n">
        <v>0</v>
      </c>
      <c r="Q714" s="49" t="n">
        <v>0</v>
      </c>
      <c r="R714" s="49" t="n">
        <v>0</v>
      </c>
      <c r="S714" s="50" t="n">
        <v>0</v>
      </c>
      <c r="T714" s="50" t="n">
        <v>0</v>
      </c>
      <c r="U714" s="50" t="n">
        <v>0</v>
      </c>
      <c r="V714" s="50" t="n">
        <v>0</v>
      </c>
      <c r="W714" s="51" t="n">
        <v>0</v>
      </c>
      <c r="X714" s="51" t="n">
        <v>0</v>
      </c>
      <c r="Y714" s="51" t="n">
        <v>0</v>
      </c>
      <c r="Z714" s="51" t="n">
        <v>0</v>
      </c>
      <c r="AA714" s="52" t="n">
        <v>0</v>
      </c>
      <c r="AB714" s="52" t="n">
        <v>0</v>
      </c>
      <c r="AC714" s="52" t="n">
        <v>0</v>
      </c>
      <c r="AD714" s="52" t="n">
        <v>0</v>
      </c>
      <c r="AE714" s="52" t="n">
        <v>0</v>
      </c>
      <c r="AF714" s="52" t="n">
        <v>0</v>
      </c>
      <c r="AG714" s="52" t="n">
        <v>0</v>
      </c>
      <c r="AH714" s="52" t="n">
        <v>0</v>
      </c>
      <c r="AI714" s="52" t="n">
        <v>0</v>
      </c>
      <c r="AJ714" s="52" t="n">
        <v>0</v>
      </c>
      <c r="AK714" s="52" t="n">
        <v>0</v>
      </c>
      <c r="AL714" s="52" t="n">
        <v>0</v>
      </c>
      <c r="AM714" s="53" t="n">
        <v>0</v>
      </c>
      <c r="AN714" s="53" t="n">
        <v>0</v>
      </c>
      <c r="AO714" s="53" t="n">
        <v>0</v>
      </c>
      <c r="AP714" s="53" t="n">
        <v>0</v>
      </c>
      <c r="AQ714" s="52" t="n">
        <v>0</v>
      </c>
      <c r="AR714" s="52" t="n">
        <v>0</v>
      </c>
      <c r="AS714" s="52" t="n">
        <v>0</v>
      </c>
      <c r="AT714" s="52" t="n">
        <v>0</v>
      </c>
      <c r="AU714" s="53" t="n">
        <v>0</v>
      </c>
      <c r="AV714" s="53" t="n">
        <v>0</v>
      </c>
      <c r="AW714" s="53" t="n">
        <v>0</v>
      </c>
      <c r="AX714" s="53" t="n">
        <v>0</v>
      </c>
      <c r="AY714" s="52" t="n">
        <v>0</v>
      </c>
      <c r="AZ714" s="52" t="n">
        <v>0</v>
      </c>
      <c r="BA714" s="52" t="n">
        <v>0</v>
      </c>
      <c r="BB714" s="52" t="n">
        <v>0</v>
      </c>
      <c r="BC714" s="51" t="n">
        <v>0</v>
      </c>
      <c r="BD714" s="51" t="n">
        <v>0</v>
      </c>
      <c r="BE714" s="51" t="n">
        <v>0</v>
      </c>
      <c r="BF714" s="51" t="n">
        <v>0</v>
      </c>
    </row>
    <row r="715">
      <c r="A715">
        <f>HYPERLINK("https://www.walmart.com/ip/910034340", "910034340")</f>
        <v/>
      </c>
      <c r="B715" t="inlineStr">
        <is>
          <t>KC Caps Unisex Hunting Hiking Camping Camo Military Mesh Cap for Adults, Travel Outdoor Sports Hat</t>
        </is>
      </c>
      <c r="C715" t="inlineStr">
        <is>
          <t>KC Caps 7140 Break up</t>
        </is>
      </c>
      <c r="D715" t="inlineStr">
        <is>
          <t>Hats</t>
        </is>
      </c>
      <c r="E715" t="inlineStr">
        <is>
          <t>KC Caps</t>
        </is>
      </c>
      <c r="F715" t="inlineStr">
        <is>
          <t>Optimized</t>
        </is>
      </c>
      <c r="G715" s="48" t="n">
        <v>0</v>
      </c>
      <c r="H715" s="48" t="n">
        <v>0</v>
      </c>
      <c r="I715" s="48" t="n">
        <v>0</v>
      </c>
      <c r="J715" s="48" t="n">
        <v>0</v>
      </c>
      <c r="K715" s="49" t="n">
        <v>0</v>
      </c>
      <c r="L715" s="49" t="n">
        <v>0</v>
      </c>
      <c r="M715" s="49" t="n">
        <v>0</v>
      </c>
      <c r="N715" s="49" t="n">
        <v>0</v>
      </c>
      <c r="O715" s="49" t="n">
        <v>0</v>
      </c>
      <c r="P715" s="49" t="n">
        <v>0</v>
      </c>
      <c r="Q715" s="49" t="n">
        <v>0</v>
      </c>
      <c r="R715" s="49" t="n">
        <v>0</v>
      </c>
      <c r="S715" s="50" t="n">
        <v>0</v>
      </c>
      <c r="T715" s="50" t="n">
        <v>0</v>
      </c>
      <c r="U715" s="50" t="n">
        <v>0</v>
      </c>
      <c r="V715" s="50" t="n">
        <v>0</v>
      </c>
      <c r="W715" s="51" t="n">
        <v>0</v>
      </c>
      <c r="X715" s="51" t="n">
        <v>0</v>
      </c>
      <c r="Y715" s="51" t="n">
        <v>0</v>
      </c>
      <c r="Z715" s="51" t="n">
        <v>0</v>
      </c>
      <c r="AA715" s="52" t="n">
        <v>0</v>
      </c>
      <c r="AB715" s="52" t="n">
        <v>0</v>
      </c>
      <c r="AC715" s="52" t="n">
        <v>0</v>
      </c>
      <c r="AD715" s="52" t="n">
        <v>0</v>
      </c>
      <c r="AE715" s="52" t="n">
        <v>0</v>
      </c>
      <c r="AF715" s="52" t="n">
        <v>0</v>
      </c>
      <c r="AG715" s="52" t="n">
        <v>0</v>
      </c>
      <c r="AH715" s="52" t="n">
        <v>0</v>
      </c>
      <c r="AI715" s="52" t="n">
        <v>0</v>
      </c>
      <c r="AJ715" s="52" t="n">
        <v>0</v>
      </c>
      <c r="AK715" s="52" t="n">
        <v>0</v>
      </c>
      <c r="AL715" s="52" t="n">
        <v>0</v>
      </c>
      <c r="AM715" s="53" t="n">
        <v>0</v>
      </c>
      <c r="AN715" s="53" t="n">
        <v>0</v>
      </c>
      <c r="AO715" s="53" t="n">
        <v>0</v>
      </c>
      <c r="AP715" s="53" t="n">
        <v>0</v>
      </c>
      <c r="AQ715" s="52" t="n">
        <v>0</v>
      </c>
      <c r="AR715" s="52" t="n">
        <v>0</v>
      </c>
      <c r="AS715" s="52" t="n">
        <v>0</v>
      </c>
      <c r="AT715" s="52" t="n">
        <v>0</v>
      </c>
      <c r="AU715" s="53" t="n">
        <v>0</v>
      </c>
      <c r="AV715" s="53" t="n">
        <v>0</v>
      </c>
      <c r="AW715" s="53" t="n">
        <v>0</v>
      </c>
      <c r="AX715" s="53" t="n">
        <v>0</v>
      </c>
      <c r="AY715" s="52" t="n">
        <v>0</v>
      </c>
      <c r="AZ715" s="52" t="n">
        <v>0</v>
      </c>
      <c r="BA715" s="52" t="n">
        <v>0</v>
      </c>
      <c r="BB715" s="52" t="n">
        <v>0</v>
      </c>
      <c r="BC715" s="51" t="n">
        <v>0</v>
      </c>
      <c r="BD715" s="51" t="n">
        <v>0</v>
      </c>
      <c r="BE715" s="51" t="n">
        <v>0</v>
      </c>
      <c r="BF715" s="51" t="n">
        <v>0</v>
      </c>
    </row>
    <row r="716">
      <c r="A716">
        <f>HYPERLINK("https://www.walmart.com/ip/911123677", "911123677")</f>
        <v/>
      </c>
      <c r="B716" t="inlineStr">
        <is>
          <t>Flyingstar Lunch Bag for Women Men, Insulated Lunch Tote for Working/School/Picnic Fashionable Cooler Bag</t>
        </is>
      </c>
      <c r="C716" t="inlineStr">
        <is>
          <t>1WMLB704GYWV</t>
        </is>
      </c>
      <c r="D716" t="inlineStr">
        <is>
          <t>Reusable Lunch Bags &amp; Boxes</t>
        </is>
      </c>
      <c r="E716" t="inlineStr">
        <is>
          <t>Flyingstar</t>
        </is>
      </c>
      <c r="F716" t="inlineStr">
        <is>
          <t>Q2-Target,Lunch Bag,Lunch Bags</t>
        </is>
      </c>
      <c r="G716" s="48" t="n">
        <v>0</v>
      </c>
      <c r="H716" s="48" t="n">
        <v>0</v>
      </c>
      <c r="I716" s="48" t="n">
        <v>0</v>
      </c>
      <c r="J716" s="48" t="n">
        <v>0</v>
      </c>
      <c r="K716" s="49" t="n">
        <v>0</v>
      </c>
      <c r="L716" s="49" t="n">
        <v>0</v>
      </c>
      <c r="M716" s="49" t="n">
        <v>0</v>
      </c>
      <c r="N716" s="49" t="n">
        <v>0</v>
      </c>
      <c r="O716" s="49" t="n">
        <v>0</v>
      </c>
      <c r="P716" s="49" t="n">
        <v>0</v>
      </c>
      <c r="Q716" s="49" t="n">
        <v>0</v>
      </c>
      <c r="R716" s="49" t="n">
        <v>0</v>
      </c>
      <c r="S716" s="50" t="n">
        <v>0</v>
      </c>
      <c r="T716" s="50" t="n">
        <v>0</v>
      </c>
      <c r="U716" s="50" t="n">
        <v>0</v>
      </c>
      <c r="V716" s="50" t="n">
        <v>0</v>
      </c>
      <c r="W716" s="51" t="n">
        <v>0</v>
      </c>
      <c r="X716" s="51" t="n">
        <v>0</v>
      </c>
      <c r="Y716" s="51" t="n">
        <v>0</v>
      </c>
      <c r="Z716" s="51" t="n">
        <v>0</v>
      </c>
      <c r="AA716" s="52" t="n">
        <v>0</v>
      </c>
      <c r="AB716" s="52" t="n">
        <v>0</v>
      </c>
      <c r="AC716" s="52" t="n">
        <v>0</v>
      </c>
      <c r="AD716" s="52" t="n">
        <v>0</v>
      </c>
      <c r="AE716" s="52" t="n">
        <v>0</v>
      </c>
      <c r="AF716" s="52" t="n">
        <v>0</v>
      </c>
      <c r="AG716" s="52" t="n">
        <v>0</v>
      </c>
      <c r="AH716" s="52" t="n">
        <v>0</v>
      </c>
      <c r="AI716" s="52" t="n">
        <v>0</v>
      </c>
      <c r="AJ716" s="52" t="n">
        <v>0</v>
      </c>
      <c r="AK716" s="52" t="n">
        <v>0</v>
      </c>
      <c r="AL716" s="52" t="n">
        <v>0</v>
      </c>
      <c r="AM716" s="53" t="n">
        <v>0</v>
      </c>
      <c r="AN716" s="53" t="n">
        <v>0</v>
      </c>
      <c r="AO716" s="53" t="n">
        <v>0</v>
      </c>
      <c r="AP716" s="53" t="n">
        <v>0</v>
      </c>
      <c r="AQ716" s="52" t="n">
        <v>0</v>
      </c>
      <c r="AR716" s="52" t="n">
        <v>0</v>
      </c>
      <c r="AS716" s="52" t="n">
        <v>0</v>
      </c>
      <c r="AT716" s="52" t="n">
        <v>0</v>
      </c>
      <c r="AU716" s="53" t="n">
        <v>0</v>
      </c>
      <c r="AV716" s="53" t="n">
        <v>0</v>
      </c>
      <c r="AW716" s="53" t="n">
        <v>0</v>
      </c>
      <c r="AX716" s="53" t="n">
        <v>0</v>
      </c>
      <c r="AY716" s="52" t="n">
        <v>0</v>
      </c>
      <c r="AZ716" s="52" t="n">
        <v>0</v>
      </c>
      <c r="BA716" s="52" t="n">
        <v>0</v>
      </c>
      <c r="BB716" s="52" t="n">
        <v>0</v>
      </c>
      <c r="BC716" s="51" t="n">
        <v>0</v>
      </c>
      <c r="BD716" s="51" t="n">
        <v>0</v>
      </c>
      <c r="BE716" s="51" t="n">
        <v>0</v>
      </c>
      <c r="BF716" s="51" t="n">
        <v>0</v>
      </c>
    </row>
    <row r="717">
      <c r="A717">
        <f>HYPERLINK("https://www.walmart.com/ip/901462057", "901462057")</f>
        <v/>
      </c>
      <c r="B717" t="inlineStr">
        <is>
          <t>"Kato 6 Bottle Wine Carrier - Insulated Portable Wine Carry Cooler Tote Bag for Travel or Picnic, Perfect Wine Lover Gift, Black "</t>
        </is>
      </c>
      <c r="C717" t="inlineStr">
        <is>
          <t>1KTWB400BK</t>
        </is>
      </c>
      <c r="D717" t="inlineStr">
        <is>
          <t>Wine Totes, Bags &amp; Backpacks</t>
        </is>
      </c>
      <c r="E717" t="inlineStr">
        <is>
          <t>Kato</t>
        </is>
      </c>
      <c r="F717" t="inlineStr">
        <is>
          <t>Wine,Christmas,Valentine,SEM</t>
        </is>
      </c>
      <c r="G717" s="48" t="n">
        <v>0</v>
      </c>
      <c r="H717" s="48" t="n">
        <v>17.99</v>
      </c>
      <c r="I717" s="48" t="n">
        <v>0</v>
      </c>
      <c r="J717" s="48" t="n">
        <v>0</v>
      </c>
      <c r="K717" s="49" t="n">
        <v>0</v>
      </c>
      <c r="L717" s="49" t="n">
        <v>1</v>
      </c>
      <c r="M717" s="49" t="n">
        <v>0</v>
      </c>
      <c r="N717" s="49" t="n">
        <v>0</v>
      </c>
      <c r="O717" s="49" t="n">
        <v>0</v>
      </c>
      <c r="P717" s="49" t="n">
        <v>0</v>
      </c>
      <c r="Q717" s="49" t="n">
        <v>0</v>
      </c>
      <c r="R717" s="49" t="n">
        <v>0</v>
      </c>
      <c r="S717" s="50" t="n">
        <v>0</v>
      </c>
      <c r="T717" s="50" t="n">
        <v>0</v>
      </c>
      <c r="U717" s="50" t="n">
        <v>0</v>
      </c>
      <c r="V717" s="50" t="n">
        <v>0</v>
      </c>
      <c r="W717" s="51" t="n">
        <v>3</v>
      </c>
      <c r="X717" s="51" t="n">
        <v>9</v>
      </c>
      <c r="Y717" s="51" t="n">
        <v>3</v>
      </c>
      <c r="Z717" s="51" t="n">
        <v>2</v>
      </c>
      <c r="AA717" s="52" t="n">
        <v>1.32</v>
      </c>
      <c r="AB717" s="52" t="n">
        <v>3.96</v>
      </c>
      <c r="AC717" s="52" t="n">
        <v>1.32</v>
      </c>
      <c r="AD717" s="52" t="n">
        <v>0.88</v>
      </c>
      <c r="AE717" s="52" t="n">
        <v>0</v>
      </c>
      <c r="AF717" s="52" t="n">
        <v>0</v>
      </c>
      <c r="AG717" s="52" t="n">
        <v>0</v>
      </c>
      <c r="AH717" s="52" t="n">
        <v>0</v>
      </c>
      <c r="AI717" s="52" t="n">
        <v>0</v>
      </c>
      <c r="AJ717" s="52" t="n">
        <v>0</v>
      </c>
      <c r="AK717" s="52" t="n">
        <v>0</v>
      </c>
      <c r="AL717" s="52" t="n">
        <v>0</v>
      </c>
      <c r="AM717" s="53" t="n">
        <v>0.0011</v>
      </c>
      <c r="AN717" s="53" t="n">
        <v>0.004</v>
      </c>
      <c r="AO717" s="53" t="n">
        <v>0.0031</v>
      </c>
      <c r="AP717" s="53" t="n">
        <v>0.003</v>
      </c>
      <c r="AQ717" s="52" t="n">
        <v>0.44</v>
      </c>
      <c r="AR717" s="52" t="n">
        <v>0.44</v>
      </c>
      <c r="AS717" s="52" t="n">
        <v>0.44</v>
      </c>
      <c r="AT717" s="52" t="n">
        <v>0.44</v>
      </c>
      <c r="AU717" s="53" t="n">
        <v>0</v>
      </c>
      <c r="AV717" s="53" t="n">
        <v>0.2201222901612007</v>
      </c>
      <c r="AW717" s="53" t="n">
        <v>0</v>
      </c>
      <c r="AX717" s="53" t="n">
        <v>0</v>
      </c>
      <c r="AY717" s="52" t="n">
        <v>0</v>
      </c>
      <c r="AZ717" s="52" t="n">
        <v>17.99</v>
      </c>
      <c r="BA717" s="52" t="n">
        <v>0</v>
      </c>
      <c r="BB717" s="52" t="n">
        <v>0</v>
      </c>
      <c r="BC717" s="51" t="n">
        <v>2736</v>
      </c>
      <c r="BD717" s="51" t="n">
        <v>2250</v>
      </c>
      <c r="BE717" s="51" t="n">
        <v>954</v>
      </c>
      <c r="BF717" s="51" t="n">
        <v>674</v>
      </c>
    </row>
    <row r="718">
      <c r="A718">
        <f>HYPERLINK("https://www.walmart.com/ip/900825897", "900825897")</f>
        <v/>
      </c>
      <c r="B718" t="inlineStr">
        <is>
          <t>Pawsse Pet Blankets, Super Soft Warm Sherpa Dog Fleece Blanket, Large Dog Blankets, and Dog Throw Blanket for Small Medium Puppy Doggy Pet Cats, Red, 60 X 49 Inches</t>
        </is>
      </c>
      <c r="C718" t="inlineStr">
        <is>
          <t>1PSBF301RD</t>
        </is>
      </c>
      <c r="D718" t="inlineStr">
        <is>
          <t>Pet Blankets</t>
        </is>
      </c>
      <c r="E718" t="inlineStr">
        <is>
          <t>Pawsse</t>
        </is>
      </c>
      <c r="F718" t="inlineStr">
        <is>
          <t>Coupon_Discount,Batch 1 - TR</t>
        </is>
      </c>
      <c r="G718" s="48" t="n">
        <v>0</v>
      </c>
      <c r="H718" s="48" t="n">
        <v>0</v>
      </c>
      <c r="I718" s="48" t="n">
        <v>0</v>
      </c>
      <c r="J718" s="48" t="n">
        <v>0</v>
      </c>
      <c r="K718" s="49" t="n">
        <v>0</v>
      </c>
      <c r="L718" s="49" t="n">
        <v>0</v>
      </c>
      <c r="M718" s="49" t="n">
        <v>0</v>
      </c>
      <c r="N718" s="49" t="n">
        <v>0</v>
      </c>
      <c r="O718" s="49" t="n">
        <v>0</v>
      </c>
      <c r="P718" s="49" t="n">
        <v>0</v>
      </c>
      <c r="Q718" s="49" t="n">
        <v>0</v>
      </c>
      <c r="R718" s="49" t="n">
        <v>0</v>
      </c>
      <c r="S718" s="50" t="n">
        <v>0</v>
      </c>
      <c r="T718" s="50" t="n">
        <v>0</v>
      </c>
      <c r="U718" s="50" t="n">
        <v>0</v>
      </c>
      <c r="V718" s="50" t="n">
        <v>0</v>
      </c>
      <c r="W718" s="51" t="n">
        <v>0</v>
      </c>
      <c r="X718" s="51" t="n">
        <v>0</v>
      </c>
      <c r="Y718" s="51" t="n">
        <v>0</v>
      </c>
      <c r="Z718" s="51" t="n">
        <v>0</v>
      </c>
      <c r="AA718" s="52" t="n">
        <v>0</v>
      </c>
      <c r="AB718" s="52" t="n">
        <v>0</v>
      </c>
      <c r="AC718" s="52" t="n">
        <v>0</v>
      </c>
      <c r="AD718" s="52" t="n">
        <v>0</v>
      </c>
      <c r="AE718" s="52" t="n">
        <v>0</v>
      </c>
      <c r="AF718" s="52" t="n">
        <v>0</v>
      </c>
      <c r="AG718" s="52" t="n">
        <v>0</v>
      </c>
      <c r="AH718" s="52" t="n">
        <v>0</v>
      </c>
      <c r="AI718" s="52" t="n">
        <v>0</v>
      </c>
      <c r="AJ718" s="52" t="n">
        <v>0</v>
      </c>
      <c r="AK718" s="52" t="n">
        <v>0</v>
      </c>
      <c r="AL718" s="52" t="n">
        <v>0</v>
      </c>
      <c r="AM718" s="53" t="n">
        <v>0</v>
      </c>
      <c r="AN718" s="53" t="n">
        <v>0</v>
      </c>
      <c r="AO718" s="53" t="n">
        <v>0</v>
      </c>
      <c r="AP718" s="53" t="n">
        <v>0</v>
      </c>
      <c r="AQ718" s="52" t="n">
        <v>0</v>
      </c>
      <c r="AR718" s="52" t="n">
        <v>0</v>
      </c>
      <c r="AS718" s="52" t="n">
        <v>0</v>
      </c>
      <c r="AT718" s="52" t="n">
        <v>0</v>
      </c>
      <c r="AU718" s="53" t="n">
        <v>0</v>
      </c>
      <c r="AV718" s="53" t="n">
        <v>0</v>
      </c>
      <c r="AW718" s="53" t="n">
        <v>0</v>
      </c>
      <c r="AX718" s="53" t="n">
        <v>0</v>
      </c>
      <c r="AY718" s="52" t="n">
        <v>0</v>
      </c>
      <c r="AZ718" s="52" t="n">
        <v>0</v>
      </c>
      <c r="BA718" s="52" t="n">
        <v>0</v>
      </c>
      <c r="BB718" s="52" t="n">
        <v>0</v>
      </c>
      <c r="BC718" s="51" t="n">
        <v>0</v>
      </c>
      <c r="BD718" s="51" t="n">
        <v>0</v>
      </c>
      <c r="BE718" s="51" t="n">
        <v>0</v>
      </c>
      <c r="BF718" s="51" t="n">
        <v>0</v>
      </c>
    </row>
    <row r="719">
      <c r="A719">
        <f>HYPERLINK("https://www.walmart.com/ip/911477249", "911477249")</f>
        <v/>
      </c>
      <c r="B719" t="inlineStr">
        <is>
          <t>Catalonia Buffalo Plaid Sherpa Throw TV Blanket 50" x 60" Super Soft Reversible Fleece Blanket for Cabin Bed or Couch | Cabin Plaid Check, Black Plaid</t>
        </is>
      </c>
      <c r="C719" t="inlineStr">
        <is>
          <t>1CTBF300PBK</t>
        </is>
      </c>
      <c r="D719" t="inlineStr">
        <is>
          <t>Throws</t>
        </is>
      </c>
      <c r="E719" t="inlineStr">
        <is>
          <t>Catalonia</t>
        </is>
      </c>
      <c r="F719" t="inlineStr">
        <is>
          <t>Q2-Target,WFS,Coupon_Discount,WFS Item,Fleece Blankets</t>
        </is>
      </c>
      <c r="G719" s="48" t="n">
        <v>0</v>
      </c>
      <c r="H719" s="48" t="n">
        <v>0</v>
      </c>
      <c r="I719" s="48" t="n">
        <v>0</v>
      </c>
      <c r="J719" s="48" t="n">
        <v>0</v>
      </c>
      <c r="K719" s="49" t="n">
        <v>0</v>
      </c>
      <c r="L719" s="49" t="n">
        <v>0</v>
      </c>
      <c r="M719" s="49" t="n">
        <v>0</v>
      </c>
      <c r="N719" s="49" t="n">
        <v>0</v>
      </c>
      <c r="O719" s="49" t="n">
        <v>0</v>
      </c>
      <c r="P719" s="49" t="n">
        <v>0</v>
      </c>
      <c r="Q719" s="49" t="n">
        <v>0</v>
      </c>
      <c r="R719" s="49" t="n">
        <v>0</v>
      </c>
      <c r="S719" s="50" t="n">
        <v>0</v>
      </c>
      <c r="T719" s="50" t="n">
        <v>0</v>
      </c>
      <c r="U719" s="50" t="n">
        <v>0</v>
      </c>
      <c r="V719" s="50" t="n">
        <v>0</v>
      </c>
      <c r="W719" s="51" t="n">
        <v>0</v>
      </c>
      <c r="X719" s="51" t="n">
        <v>0</v>
      </c>
      <c r="Y719" s="51" t="n">
        <v>0</v>
      </c>
      <c r="Z719" s="51" t="n">
        <v>0</v>
      </c>
      <c r="AA719" s="52" t="n">
        <v>0</v>
      </c>
      <c r="AB719" s="52" t="n">
        <v>0</v>
      </c>
      <c r="AC719" s="52" t="n">
        <v>0</v>
      </c>
      <c r="AD719" s="52" t="n">
        <v>0</v>
      </c>
      <c r="AE719" s="52" t="n">
        <v>0</v>
      </c>
      <c r="AF719" s="52" t="n">
        <v>0</v>
      </c>
      <c r="AG719" s="52" t="n">
        <v>0</v>
      </c>
      <c r="AH719" s="52" t="n">
        <v>0</v>
      </c>
      <c r="AI719" s="52" t="n">
        <v>0</v>
      </c>
      <c r="AJ719" s="52" t="n">
        <v>0</v>
      </c>
      <c r="AK719" s="52" t="n">
        <v>0</v>
      </c>
      <c r="AL719" s="52" t="n">
        <v>0</v>
      </c>
      <c r="AM719" s="53" t="n">
        <v>0</v>
      </c>
      <c r="AN719" s="53" t="n">
        <v>0</v>
      </c>
      <c r="AO719" s="53" t="n">
        <v>0</v>
      </c>
      <c r="AP719" s="53" t="n">
        <v>0</v>
      </c>
      <c r="AQ719" s="52" t="n">
        <v>0</v>
      </c>
      <c r="AR719" s="52" t="n">
        <v>0</v>
      </c>
      <c r="AS719" s="52" t="n">
        <v>0</v>
      </c>
      <c r="AT719" s="52" t="n">
        <v>0</v>
      </c>
      <c r="AU719" s="53" t="n">
        <v>0</v>
      </c>
      <c r="AV719" s="53" t="n">
        <v>0</v>
      </c>
      <c r="AW719" s="53" t="n">
        <v>0</v>
      </c>
      <c r="AX719" s="53" t="n">
        <v>0</v>
      </c>
      <c r="AY719" s="52" t="n">
        <v>0</v>
      </c>
      <c r="AZ719" s="52" t="n">
        <v>0</v>
      </c>
      <c r="BA719" s="52" t="n">
        <v>0</v>
      </c>
      <c r="BB719" s="52" t="n">
        <v>0</v>
      </c>
      <c r="BC719" s="51" t="n">
        <v>0</v>
      </c>
      <c r="BD719" s="51" t="n">
        <v>0</v>
      </c>
      <c r="BE719" s="51" t="n">
        <v>0</v>
      </c>
      <c r="BF719" s="51" t="n">
        <v>0</v>
      </c>
    </row>
    <row r="720">
      <c r="A720">
        <f>HYPERLINK("https://www.walmart.com/ip/900761482", "900761482")</f>
        <v/>
      </c>
      <c r="B720" t="inlineStr">
        <is>
          <t>Oversized Hooded Poncho Cape, Casual Hoodie Sweatshirt, Batwing Coat Pullover | Light Weight, Cozy, Comfortable, Roomy | for Adults Women Men Teens</t>
        </is>
      </c>
      <c r="C720" t="inlineStr">
        <is>
          <t>1WMHD540S1RD</t>
        </is>
      </c>
      <c r="D720" t="inlineStr">
        <is>
          <t>Sweatshirts &amp; Hoodies</t>
        </is>
      </c>
      <c r="E720" t="inlineStr">
        <is>
          <t>Flyingstar</t>
        </is>
      </c>
      <c r="F720" t="inlineStr">
        <is>
          <t>Hoodie ForAdult,Optimized</t>
        </is>
      </c>
      <c r="G720" s="48" t="n">
        <v>0</v>
      </c>
      <c r="H720" s="48" t="n">
        <v>0</v>
      </c>
      <c r="I720" s="48" t="n">
        <v>0</v>
      </c>
      <c r="J720" s="48" t="n">
        <v>0</v>
      </c>
      <c r="K720" s="49" t="n">
        <v>0</v>
      </c>
      <c r="L720" s="49" t="n">
        <v>0</v>
      </c>
      <c r="M720" s="49" t="n">
        <v>0</v>
      </c>
      <c r="N720" s="49" t="n">
        <v>0</v>
      </c>
      <c r="O720" s="49" t="n">
        <v>0</v>
      </c>
      <c r="P720" s="49" t="n">
        <v>0</v>
      </c>
      <c r="Q720" s="49" t="n">
        <v>0</v>
      </c>
      <c r="R720" s="49" t="n">
        <v>0</v>
      </c>
      <c r="S720" s="50" t="n">
        <v>0</v>
      </c>
      <c r="T720" s="50" t="n">
        <v>0</v>
      </c>
      <c r="U720" s="50" t="n">
        <v>0</v>
      </c>
      <c r="V720" s="50" t="n">
        <v>0</v>
      </c>
      <c r="W720" s="51" t="n">
        <v>0</v>
      </c>
      <c r="X720" s="51" t="n">
        <v>0</v>
      </c>
      <c r="Y720" s="51" t="n">
        <v>0</v>
      </c>
      <c r="Z720" s="51" t="n">
        <v>0</v>
      </c>
      <c r="AA720" s="52" t="n">
        <v>0</v>
      </c>
      <c r="AB720" s="52" t="n">
        <v>0</v>
      </c>
      <c r="AC720" s="52" t="n">
        <v>0</v>
      </c>
      <c r="AD720" s="52" t="n">
        <v>0</v>
      </c>
      <c r="AE720" s="52" t="n">
        <v>0</v>
      </c>
      <c r="AF720" s="52" t="n">
        <v>0</v>
      </c>
      <c r="AG720" s="52" t="n">
        <v>0</v>
      </c>
      <c r="AH720" s="52" t="n">
        <v>0</v>
      </c>
      <c r="AI720" s="52" t="n">
        <v>0</v>
      </c>
      <c r="AJ720" s="52" t="n">
        <v>0</v>
      </c>
      <c r="AK720" s="52" t="n">
        <v>0</v>
      </c>
      <c r="AL720" s="52" t="n">
        <v>0</v>
      </c>
      <c r="AM720" s="53" t="n">
        <v>0</v>
      </c>
      <c r="AN720" s="53" t="n">
        <v>0</v>
      </c>
      <c r="AO720" s="53" t="n">
        <v>0</v>
      </c>
      <c r="AP720" s="53" t="n">
        <v>0</v>
      </c>
      <c r="AQ720" s="52" t="n">
        <v>0</v>
      </c>
      <c r="AR720" s="52" t="n">
        <v>0</v>
      </c>
      <c r="AS720" s="52" t="n">
        <v>0</v>
      </c>
      <c r="AT720" s="52" t="n">
        <v>0</v>
      </c>
      <c r="AU720" s="53" t="n">
        <v>0</v>
      </c>
      <c r="AV720" s="53" t="n">
        <v>0</v>
      </c>
      <c r="AW720" s="53" t="n">
        <v>0</v>
      </c>
      <c r="AX720" s="53" t="n">
        <v>0</v>
      </c>
      <c r="AY720" s="52" t="n">
        <v>0</v>
      </c>
      <c r="AZ720" s="52" t="n">
        <v>0</v>
      </c>
      <c r="BA720" s="52" t="n">
        <v>0</v>
      </c>
      <c r="BB720" s="52" t="n">
        <v>0</v>
      </c>
      <c r="BC720" s="51" t="n">
        <v>0</v>
      </c>
      <c r="BD720" s="51" t="n">
        <v>0</v>
      </c>
      <c r="BE720" s="51" t="n">
        <v>0</v>
      </c>
      <c r="BF720" s="51" t="n">
        <v>0</v>
      </c>
    </row>
    <row r="721">
      <c r="A721">
        <f>HYPERLINK("https://www.walmart.com/ip/891778101", "891778101")</f>
        <v/>
      </c>
      <c r="B721" t="inlineStr">
        <is>
          <t>Baby Bag for Mom or Dad, Backpack Diaper Bag Organizer with Stroller Straps and Changing Pad, Large, Grey</t>
        </is>
      </c>
      <c r="C721" t="inlineStr">
        <is>
          <t>TRBP400GY</t>
        </is>
      </c>
      <c r="D721" t="inlineStr">
        <is>
          <t>Diaper Bags</t>
        </is>
      </c>
      <c r="E721" t="inlineStr">
        <is>
          <t>Terrania</t>
        </is>
      </c>
      <c r="F721" t="inlineStr">
        <is>
          <t>Baby days,Optimized</t>
        </is>
      </c>
      <c r="G721" s="48" t="n">
        <v>0</v>
      </c>
      <c r="H721" s="48" t="n">
        <v>0</v>
      </c>
      <c r="I721" s="48" t="n">
        <v>0</v>
      </c>
      <c r="J721" s="48" t="n">
        <v>0</v>
      </c>
      <c r="K721" s="49" t="n">
        <v>0</v>
      </c>
      <c r="L721" s="49" t="n">
        <v>0</v>
      </c>
      <c r="M721" s="49" t="n">
        <v>0</v>
      </c>
      <c r="N721" s="49" t="n">
        <v>0</v>
      </c>
      <c r="O721" s="49" t="n">
        <v>0</v>
      </c>
      <c r="P721" s="49" t="n">
        <v>0</v>
      </c>
      <c r="Q721" s="49" t="n">
        <v>0</v>
      </c>
      <c r="R721" s="49" t="n">
        <v>0</v>
      </c>
      <c r="S721" s="50" t="n">
        <v>0</v>
      </c>
      <c r="T721" s="50" t="n">
        <v>0</v>
      </c>
      <c r="U721" s="50" t="n">
        <v>0</v>
      </c>
      <c r="V721" s="50" t="n">
        <v>0</v>
      </c>
      <c r="W721" s="51" t="n">
        <v>0</v>
      </c>
      <c r="X721" s="51" t="n">
        <v>0</v>
      </c>
      <c r="Y721" s="51" t="n">
        <v>0</v>
      </c>
      <c r="Z721" s="51" t="n">
        <v>0</v>
      </c>
      <c r="AA721" s="52" t="n">
        <v>0</v>
      </c>
      <c r="AB721" s="52" t="n">
        <v>0</v>
      </c>
      <c r="AC721" s="52" t="n">
        <v>0</v>
      </c>
      <c r="AD721" s="52" t="n">
        <v>0</v>
      </c>
      <c r="AE721" s="52" t="n">
        <v>0</v>
      </c>
      <c r="AF721" s="52" t="n">
        <v>0</v>
      </c>
      <c r="AG721" s="52" t="n">
        <v>0</v>
      </c>
      <c r="AH721" s="52" t="n">
        <v>0</v>
      </c>
      <c r="AI721" s="52" t="n">
        <v>0</v>
      </c>
      <c r="AJ721" s="52" t="n">
        <v>0</v>
      </c>
      <c r="AK721" s="52" t="n">
        <v>0</v>
      </c>
      <c r="AL721" s="52" t="n">
        <v>0</v>
      </c>
      <c r="AM721" s="53" t="n">
        <v>0</v>
      </c>
      <c r="AN721" s="53" t="n">
        <v>0</v>
      </c>
      <c r="AO721" s="53" t="n">
        <v>0</v>
      </c>
      <c r="AP721" s="53" t="n">
        <v>0</v>
      </c>
      <c r="AQ721" s="52" t="n">
        <v>0</v>
      </c>
      <c r="AR721" s="52" t="n">
        <v>0</v>
      </c>
      <c r="AS721" s="52" t="n">
        <v>0</v>
      </c>
      <c r="AT721" s="52" t="n">
        <v>0</v>
      </c>
      <c r="AU721" s="53" t="n">
        <v>0</v>
      </c>
      <c r="AV721" s="53" t="n">
        <v>0</v>
      </c>
      <c r="AW721" s="53" t="n">
        <v>0</v>
      </c>
      <c r="AX721" s="53" t="n">
        <v>0</v>
      </c>
      <c r="AY721" s="52" t="n">
        <v>0</v>
      </c>
      <c r="AZ721" s="52" t="n">
        <v>0</v>
      </c>
      <c r="BA721" s="52" t="n">
        <v>0</v>
      </c>
      <c r="BB721" s="52" t="n">
        <v>0</v>
      </c>
      <c r="BC721" s="51" t="n">
        <v>0</v>
      </c>
      <c r="BD721" s="51" t="n">
        <v>0</v>
      </c>
      <c r="BE721" s="51" t="n">
        <v>0</v>
      </c>
      <c r="BF721" s="51" t="n">
        <v>0</v>
      </c>
    </row>
    <row r="722">
      <c r="A722">
        <f>HYPERLINK("https://www.walmart.com/ip/892513651", "892513651")</f>
        <v/>
      </c>
      <c r="B722" t="inlineStr">
        <is>
          <t>Catalonia Fleece Throw Blanket for Couch, Lightweight All Seasons Soft Cozy Moroccan Blanket for Home Living Room Decorative, 50'' x 60'', Blue</t>
        </is>
      </c>
      <c r="C722" t="inlineStr">
        <is>
          <t>1CTBF580LPABL</t>
        </is>
      </c>
      <c r="D722" t="inlineStr">
        <is>
          <t>Throws</t>
        </is>
      </c>
      <c r="E722" t="inlineStr">
        <is>
          <t>Catalonia</t>
        </is>
      </c>
      <c r="F722" t="inlineStr">
        <is>
          <t>WFS,WFS Item</t>
        </is>
      </c>
      <c r="G722" s="48" t="n">
        <v>0</v>
      </c>
      <c r="H722" s="48" t="n">
        <v>0</v>
      </c>
      <c r="I722" s="48" t="n">
        <v>0</v>
      </c>
      <c r="J722" s="48" t="n">
        <v>0</v>
      </c>
      <c r="K722" s="49" t="n">
        <v>0</v>
      </c>
      <c r="L722" s="49" t="n">
        <v>0</v>
      </c>
      <c r="M722" s="49" t="n">
        <v>0</v>
      </c>
      <c r="N722" s="49" t="n">
        <v>0</v>
      </c>
      <c r="O722" s="49" t="n">
        <v>0</v>
      </c>
      <c r="P722" s="49" t="n">
        <v>0</v>
      </c>
      <c r="Q722" s="49" t="n">
        <v>0</v>
      </c>
      <c r="R722" s="49" t="n">
        <v>0</v>
      </c>
      <c r="S722" s="50" t="n">
        <v>0</v>
      </c>
      <c r="T722" s="50" t="n">
        <v>0</v>
      </c>
      <c r="U722" s="50" t="n">
        <v>0</v>
      </c>
      <c r="V722" s="50" t="n">
        <v>0</v>
      </c>
      <c r="W722" s="51" t="n">
        <v>0</v>
      </c>
      <c r="X722" s="51" t="n">
        <v>0</v>
      </c>
      <c r="Y722" s="51" t="n">
        <v>0</v>
      </c>
      <c r="Z722" s="51" t="n">
        <v>0</v>
      </c>
      <c r="AA722" s="52" t="n">
        <v>0</v>
      </c>
      <c r="AB722" s="52" t="n">
        <v>0</v>
      </c>
      <c r="AC722" s="52" t="n">
        <v>0</v>
      </c>
      <c r="AD722" s="52" t="n">
        <v>0</v>
      </c>
      <c r="AE722" s="52" t="n">
        <v>0</v>
      </c>
      <c r="AF722" s="52" t="n">
        <v>0</v>
      </c>
      <c r="AG722" s="52" t="n">
        <v>0</v>
      </c>
      <c r="AH722" s="52" t="n">
        <v>0</v>
      </c>
      <c r="AI722" s="52" t="n">
        <v>0</v>
      </c>
      <c r="AJ722" s="52" t="n">
        <v>0</v>
      </c>
      <c r="AK722" s="52" t="n">
        <v>0</v>
      </c>
      <c r="AL722" s="52" t="n">
        <v>0</v>
      </c>
      <c r="AM722" s="53" t="n">
        <v>0</v>
      </c>
      <c r="AN722" s="53" t="n">
        <v>0</v>
      </c>
      <c r="AO722" s="53" t="n">
        <v>0</v>
      </c>
      <c r="AP722" s="53" t="n">
        <v>0</v>
      </c>
      <c r="AQ722" s="52" t="n">
        <v>0</v>
      </c>
      <c r="AR722" s="52" t="n">
        <v>0</v>
      </c>
      <c r="AS722" s="52" t="n">
        <v>0</v>
      </c>
      <c r="AT722" s="52" t="n">
        <v>0</v>
      </c>
      <c r="AU722" s="53" t="n">
        <v>0</v>
      </c>
      <c r="AV722" s="53" t="n">
        <v>0</v>
      </c>
      <c r="AW722" s="53" t="n">
        <v>0</v>
      </c>
      <c r="AX722" s="53" t="n">
        <v>0</v>
      </c>
      <c r="AY722" s="52" t="n">
        <v>0</v>
      </c>
      <c r="AZ722" s="52" t="n">
        <v>0</v>
      </c>
      <c r="BA722" s="52" t="n">
        <v>0</v>
      </c>
      <c r="BB722" s="52" t="n">
        <v>0</v>
      </c>
      <c r="BC722" s="51" t="n">
        <v>0</v>
      </c>
      <c r="BD722" s="51" t="n">
        <v>0</v>
      </c>
      <c r="BE722" s="51" t="n">
        <v>0</v>
      </c>
      <c r="BF722" s="51" t="n">
        <v>0</v>
      </c>
    </row>
    <row r="723">
      <c r="A723">
        <f>HYPERLINK("https://www.walmart.com/ip/892569675", "892569675")</f>
        <v/>
      </c>
      <c r="B723" t="inlineStr">
        <is>
          <t>Fleece Blanket Wearable with Sleeves &amp; Foot pockets for Men and Women, Micro Plush Wrap Sleeved Throw Blanket Robe Multi-Colors 75”x53” by Catalonia</t>
        </is>
      </c>
      <c r="C723" t="inlineStr">
        <is>
          <t>1CTSN101BL</t>
        </is>
      </c>
      <c r="D723" t="inlineStr">
        <is>
          <t>Throws</t>
        </is>
      </c>
      <c r="E723" t="inlineStr">
        <is>
          <t>Catalonia</t>
        </is>
      </c>
      <c r="F723" t="inlineStr">
        <is>
          <t>WFS,Coupon_Discount,WFS Item,Fleece Blankets</t>
        </is>
      </c>
      <c r="G723" s="48" t="n">
        <v>0</v>
      </c>
      <c r="H723" s="48" t="n">
        <v>0</v>
      </c>
      <c r="I723" s="48" t="n">
        <v>0</v>
      </c>
      <c r="J723" s="48" t="n">
        <v>0</v>
      </c>
      <c r="K723" s="49" t="n">
        <v>0</v>
      </c>
      <c r="L723" s="49" t="n">
        <v>0</v>
      </c>
      <c r="M723" s="49" t="n">
        <v>0</v>
      </c>
      <c r="N723" s="49" t="n">
        <v>0</v>
      </c>
      <c r="O723" s="49" t="n">
        <v>0</v>
      </c>
      <c r="P723" s="49" t="n">
        <v>0</v>
      </c>
      <c r="Q723" s="49" t="n">
        <v>0</v>
      </c>
      <c r="R723" s="49" t="n">
        <v>0</v>
      </c>
      <c r="S723" s="50" t="n">
        <v>0</v>
      </c>
      <c r="T723" s="50" t="n">
        <v>0</v>
      </c>
      <c r="U723" s="50" t="n">
        <v>0</v>
      </c>
      <c r="V723" s="50" t="n">
        <v>0</v>
      </c>
      <c r="W723" s="51" t="n">
        <v>0</v>
      </c>
      <c r="X723" s="51" t="n">
        <v>0</v>
      </c>
      <c r="Y723" s="51" t="n">
        <v>0</v>
      </c>
      <c r="Z723" s="51" t="n">
        <v>0</v>
      </c>
      <c r="AA723" s="52" t="n">
        <v>0</v>
      </c>
      <c r="AB723" s="52" t="n">
        <v>0</v>
      </c>
      <c r="AC723" s="52" t="n">
        <v>0</v>
      </c>
      <c r="AD723" s="52" t="n">
        <v>0</v>
      </c>
      <c r="AE723" s="52" t="n">
        <v>0</v>
      </c>
      <c r="AF723" s="52" t="n">
        <v>0</v>
      </c>
      <c r="AG723" s="52" t="n">
        <v>0</v>
      </c>
      <c r="AH723" s="52" t="n">
        <v>0</v>
      </c>
      <c r="AI723" s="52" t="n">
        <v>0</v>
      </c>
      <c r="AJ723" s="52" t="n">
        <v>0</v>
      </c>
      <c r="AK723" s="52" t="n">
        <v>0</v>
      </c>
      <c r="AL723" s="52" t="n">
        <v>0</v>
      </c>
      <c r="AM723" s="53" t="n">
        <v>0</v>
      </c>
      <c r="AN723" s="53" t="n">
        <v>0</v>
      </c>
      <c r="AO723" s="53" t="n">
        <v>0</v>
      </c>
      <c r="AP723" s="53" t="n">
        <v>0</v>
      </c>
      <c r="AQ723" s="52" t="n">
        <v>0</v>
      </c>
      <c r="AR723" s="52" t="n">
        <v>0</v>
      </c>
      <c r="AS723" s="52" t="n">
        <v>0</v>
      </c>
      <c r="AT723" s="52" t="n">
        <v>0</v>
      </c>
      <c r="AU723" s="53" t="n">
        <v>0</v>
      </c>
      <c r="AV723" s="53" t="n">
        <v>0</v>
      </c>
      <c r="AW723" s="53" t="n">
        <v>0</v>
      </c>
      <c r="AX723" s="53" t="n">
        <v>0</v>
      </c>
      <c r="AY723" s="52" t="n">
        <v>0</v>
      </c>
      <c r="AZ723" s="52" t="n">
        <v>0</v>
      </c>
      <c r="BA723" s="52" t="n">
        <v>0</v>
      </c>
      <c r="BB723" s="52" t="n">
        <v>0</v>
      </c>
      <c r="BC723" s="51" t="n">
        <v>0</v>
      </c>
      <c r="BD723" s="51" t="n">
        <v>0</v>
      </c>
      <c r="BE723" s="51" t="n">
        <v>0</v>
      </c>
      <c r="BF723" s="51" t="n">
        <v>0</v>
      </c>
    </row>
    <row r="724">
      <c r="A724">
        <f>HYPERLINK("https://www.walmart.com/ip/892619725", "892619725")</f>
        <v/>
      </c>
      <c r="B724" t="inlineStr">
        <is>
          <t>Terra Women Sun Hat Packable Wide Brim UV Protection Beach Hat Foldable Floppy Cap Rose Pattern,Grey</t>
        </is>
      </c>
      <c r="C724" t="inlineStr">
        <is>
          <t>TERRACAP-F053-GRY</t>
        </is>
      </c>
      <c r="D724" t="inlineStr">
        <is>
          <t>Hats</t>
        </is>
      </c>
      <c r="E724" t="inlineStr">
        <is>
          <t>Terra</t>
        </is>
      </c>
      <c r="F724" t="inlineStr">
        <is>
          <t>Q2-Target,Optimized</t>
        </is>
      </c>
      <c r="G724" s="48" t="n">
        <v>0</v>
      </c>
      <c r="H724" s="48" t="n">
        <v>7.99</v>
      </c>
      <c r="I724" s="48" t="n">
        <v>15.98</v>
      </c>
      <c r="J724" s="48" t="n">
        <v>0</v>
      </c>
      <c r="K724" s="49" t="n">
        <v>0</v>
      </c>
      <c r="L724" s="49" t="n">
        <v>1</v>
      </c>
      <c r="M724" s="49" t="n">
        <v>2</v>
      </c>
      <c r="N724" s="49" t="n">
        <v>0</v>
      </c>
      <c r="O724" s="49" t="n">
        <v>4</v>
      </c>
      <c r="P724" s="49" t="n">
        <v>6</v>
      </c>
      <c r="Q724" s="49" t="n">
        <v>6</v>
      </c>
      <c r="R724" s="49" t="n">
        <v>0</v>
      </c>
      <c r="S724" s="50" t="n">
        <v>0</v>
      </c>
      <c r="T724" s="50" t="n">
        <v>0.1666666666666667</v>
      </c>
      <c r="U724" s="50" t="n">
        <v>0.3333333333333333</v>
      </c>
      <c r="V724" s="50" t="n">
        <v>0</v>
      </c>
      <c r="W724" s="51" t="n">
        <v>0</v>
      </c>
      <c r="X724" s="51" t="n">
        <v>0</v>
      </c>
      <c r="Y724" s="51" t="n">
        <v>0</v>
      </c>
      <c r="Z724" s="51" t="n">
        <v>0</v>
      </c>
      <c r="AA724" s="52" t="n">
        <v>0</v>
      </c>
      <c r="AB724" s="52" t="n">
        <v>0</v>
      </c>
      <c r="AC724" s="52" t="n">
        <v>0</v>
      </c>
      <c r="AD724" s="52" t="n">
        <v>0</v>
      </c>
      <c r="AE724" s="52" t="n">
        <v>0</v>
      </c>
      <c r="AF724" s="52" t="n">
        <v>0</v>
      </c>
      <c r="AG724" s="52" t="n">
        <v>0</v>
      </c>
      <c r="AH724" s="52" t="n">
        <v>0</v>
      </c>
      <c r="AI724" s="52" t="n">
        <v>0</v>
      </c>
      <c r="AJ724" s="52" t="n">
        <v>0</v>
      </c>
      <c r="AK724" s="52" t="n">
        <v>0</v>
      </c>
      <c r="AL724" s="52" t="n">
        <v>0</v>
      </c>
      <c r="AM724" s="53" t="n">
        <v>0</v>
      </c>
      <c r="AN724" s="53" t="n">
        <v>0</v>
      </c>
      <c r="AO724" s="53" t="n">
        <v>0</v>
      </c>
      <c r="AP724" s="53" t="n">
        <v>0</v>
      </c>
      <c r="AQ724" s="52" t="n">
        <v>0</v>
      </c>
      <c r="AR724" s="52" t="n">
        <v>0</v>
      </c>
      <c r="AS724" s="52" t="n">
        <v>0</v>
      </c>
      <c r="AT724" s="52" t="n">
        <v>0</v>
      </c>
      <c r="AU724" s="53" t="n">
        <v>0</v>
      </c>
      <c r="AV724" s="53" t="n">
        <v>0</v>
      </c>
      <c r="AW724" s="53" t="n">
        <v>0</v>
      </c>
      <c r="AX724" s="53" t="n">
        <v>0</v>
      </c>
      <c r="AY724" s="52" t="n">
        <v>0</v>
      </c>
      <c r="AZ724" s="52" t="n">
        <v>7.99</v>
      </c>
      <c r="BA724" s="52" t="n">
        <v>7.99</v>
      </c>
      <c r="BB724" s="52" t="n">
        <v>0</v>
      </c>
      <c r="BC724" s="51" t="n">
        <v>0</v>
      </c>
      <c r="BD724" s="51" t="n">
        <v>0</v>
      </c>
      <c r="BE724" s="51" t="n">
        <v>0</v>
      </c>
      <c r="BF724" s="51" t="n">
        <v>0</v>
      </c>
    </row>
    <row r="725">
      <c r="A725">
        <f>HYPERLINK("https://www.walmart.com/ip/892738848", "892738848")</f>
        <v/>
      </c>
      <c r="B725" t="inlineStr">
        <is>
          <t>Microplush Sherpa Blanket with Sleeves for Women and Men</t>
        </is>
      </c>
      <c r="C725" t="inlineStr">
        <is>
          <t>1TRSN410P2RD</t>
        </is>
      </c>
      <c r="D725" t="inlineStr">
        <is>
          <t>Throws</t>
        </is>
      </c>
      <c r="E725" t="inlineStr">
        <is>
          <t>Tirrinia</t>
        </is>
      </c>
      <c r="F725" t="inlineStr">
        <is>
          <t>WFS,WFS Item</t>
        </is>
      </c>
      <c r="G725" s="48" t="n">
        <v>0</v>
      </c>
      <c r="H725" s="48" t="n">
        <v>0</v>
      </c>
      <c r="I725" s="48" t="n">
        <v>0</v>
      </c>
      <c r="J725" s="48" t="n">
        <v>0</v>
      </c>
      <c r="K725" s="49" t="n">
        <v>0</v>
      </c>
      <c r="L725" s="49" t="n">
        <v>0</v>
      </c>
      <c r="M725" s="49" t="n">
        <v>0</v>
      </c>
      <c r="N725" s="49" t="n">
        <v>0</v>
      </c>
      <c r="O725" s="49" t="n">
        <v>0</v>
      </c>
      <c r="P725" s="49" t="n">
        <v>0</v>
      </c>
      <c r="Q725" s="49" t="n">
        <v>0</v>
      </c>
      <c r="R725" s="49" t="n">
        <v>0</v>
      </c>
      <c r="S725" s="50" t="n">
        <v>0</v>
      </c>
      <c r="T725" s="50" t="n">
        <v>0</v>
      </c>
      <c r="U725" s="50" t="n">
        <v>0</v>
      </c>
      <c r="V725" s="50" t="n">
        <v>0</v>
      </c>
      <c r="W725" s="51" t="n">
        <v>0</v>
      </c>
      <c r="X725" s="51" t="n">
        <v>0</v>
      </c>
      <c r="Y725" s="51" t="n">
        <v>0</v>
      </c>
      <c r="Z725" s="51" t="n">
        <v>0</v>
      </c>
      <c r="AA725" s="52" t="n">
        <v>0</v>
      </c>
      <c r="AB725" s="52" t="n">
        <v>0</v>
      </c>
      <c r="AC725" s="52" t="n">
        <v>0</v>
      </c>
      <c r="AD725" s="52" t="n">
        <v>0</v>
      </c>
      <c r="AE725" s="52" t="n">
        <v>0</v>
      </c>
      <c r="AF725" s="52" t="n">
        <v>0</v>
      </c>
      <c r="AG725" s="52" t="n">
        <v>0</v>
      </c>
      <c r="AH725" s="52" t="n">
        <v>0</v>
      </c>
      <c r="AI725" s="52" t="n">
        <v>0</v>
      </c>
      <c r="AJ725" s="52" t="n">
        <v>0</v>
      </c>
      <c r="AK725" s="52" t="n">
        <v>0</v>
      </c>
      <c r="AL725" s="52" t="n">
        <v>0</v>
      </c>
      <c r="AM725" s="53" t="n">
        <v>0</v>
      </c>
      <c r="AN725" s="53" t="n">
        <v>0</v>
      </c>
      <c r="AO725" s="53" t="n">
        <v>0</v>
      </c>
      <c r="AP725" s="53" t="n">
        <v>0</v>
      </c>
      <c r="AQ725" s="52" t="n">
        <v>0</v>
      </c>
      <c r="AR725" s="52" t="n">
        <v>0</v>
      </c>
      <c r="AS725" s="52" t="n">
        <v>0</v>
      </c>
      <c r="AT725" s="52" t="n">
        <v>0</v>
      </c>
      <c r="AU725" s="53" t="n">
        <v>0</v>
      </c>
      <c r="AV725" s="53" t="n">
        <v>0</v>
      </c>
      <c r="AW725" s="53" t="n">
        <v>0</v>
      </c>
      <c r="AX725" s="53" t="n">
        <v>0</v>
      </c>
      <c r="AY725" s="52" t="n">
        <v>0</v>
      </c>
      <c r="AZ725" s="52" t="n">
        <v>0</v>
      </c>
      <c r="BA725" s="52" t="n">
        <v>0</v>
      </c>
      <c r="BB725" s="52" t="n">
        <v>0</v>
      </c>
      <c r="BC725" s="51" t="n">
        <v>0</v>
      </c>
      <c r="BD725" s="51" t="n">
        <v>0</v>
      </c>
      <c r="BE725" s="51" t="n">
        <v>0</v>
      </c>
      <c r="BF725" s="51" t="n">
        <v>0</v>
      </c>
    </row>
    <row r="726">
      <c r="A726">
        <f>HYPERLINK("https://www.walmart.com/ip/893127557", "893127557")</f>
        <v/>
      </c>
      <c r="B726" t="inlineStr">
        <is>
          <t>Flyingstar Waterproof Outdoor Blanket with Sherpa Lining, Windproof Triple Layers Warm Comfy Foldable for Camping Stadium,Sports,Picnic,Grass,Concerts,Pet 59''X 80'',Red Plaid</t>
        </is>
      </c>
      <c r="C726" t="inlineStr">
        <is>
          <t>1WMBW608PRD</t>
        </is>
      </c>
      <c r="D726" t="inlineStr">
        <is>
          <t>Picnic Blankets &amp; Mats</t>
        </is>
      </c>
      <c r="E726" t="inlineStr">
        <is>
          <t>Flyingstar</t>
        </is>
      </c>
      <c r="F726" t="inlineStr">
        <is>
          <t>Q2-Target,Batch 1 - TR</t>
        </is>
      </c>
      <c r="G726" s="48" t="n">
        <v>0</v>
      </c>
      <c r="H726" s="48" t="n">
        <v>0</v>
      </c>
      <c r="I726" s="48" t="n">
        <v>0</v>
      </c>
      <c r="J726" s="48" t="n">
        <v>0</v>
      </c>
      <c r="K726" s="49" t="n">
        <v>0</v>
      </c>
      <c r="L726" s="49" t="n">
        <v>0</v>
      </c>
      <c r="M726" s="49" t="n">
        <v>0</v>
      </c>
      <c r="N726" s="49" t="n">
        <v>0</v>
      </c>
      <c r="O726" s="49" t="n">
        <v>0</v>
      </c>
      <c r="P726" s="49" t="n">
        <v>0</v>
      </c>
      <c r="Q726" s="49" t="n">
        <v>0</v>
      </c>
      <c r="R726" s="49" t="n">
        <v>0</v>
      </c>
      <c r="S726" s="50" t="n">
        <v>0</v>
      </c>
      <c r="T726" s="50" t="n">
        <v>0</v>
      </c>
      <c r="U726" s="50" t="n">
        <v>0</v>
      </c>
      <c r="V726" s="50" t="n">
        <v>0</v>
      </c>
      <c r="W726" s="51" t="n">
        <v>5</v>
      </c>
      <c r="X726" s="51" t="n">
        <v>11</v>
      </c>
      <c r="Y726" s="51" t="n">
        <v>4</v>
      </c>
      <c r="Z726" s="51" t="n">
        <v>4</v>
      </c>
      <c r="AA726" s="52" t="n">
        <v>1.11</v>
      </c>
      <c r="AB726" s="52" t="n">
        <v>2.97</v>
      </c>
      <c r="AC726" s="52" t="n">
        <v>0.8</v>
      </c>
      <c r="AD726" s="52" t="n">
        <v>0.8</v>
      </c>
      <c r="AE726" s="52" t="n">
        <v>0</v>
      </c>
      <c r="AF726" s="52" t="n">
        <v>0</v>
      </c>
      <c r="AG726" s="52" t="n">
        <v>0</v>
      </c>
      <c r="AH726" s="52" t="n">
        <v>0</v>
      </c>
      <c r="AI726" s="52" t="n">
        <v>0</v>
      </c>
      <c r="AJ726" s="52" t="n">
        <v>0</v>
      </c>
      <c r="AK726" s="52" t="n">
        <v>0</v>
      </c>
      <c r="AL726" s="52" t="n">
        <v>0</v>
      </c>
      <c r="AM726" s="53" t="n">
        <v>0.0005</v>
      </c>
      <c r="AN726" s="53" t="n">
        <v>0.0008</v>
      </c>
      <c r="AO726" s="53" t="n">
        <v>0.0005</v>
      </c>
      <c r="AP726" s="53" t="n">
        <v>0.0005</v>
      </c>
      <c r="AQ726" s="52" t="n">
        <v>0.222</v>
      </c>
      <c r="AR726" s="52" t="n">
        <v>0.27</v>
      </c>
      <c r="AS726" s="52" t="n">
        <v>0.2</v>
      </c>
      <c r="AT726" s="52" t="n">
        <v>0.2</v>
      </c>
      <c r="AU726" s="53" t="n">
        <v>0</v>
      </c>
      <c r="AV726" s="53" t="n">
        <v>0</v>
      </c>
      <c r="AW726" s="53" t="n">
        <v>0</v>
      </c>
      <c r="AX726" s="53" t="n">
        <v>0</v>
      </c>
      <c r="AY726" s="52" t="n">
        <v>0</v>
      </c>
      <c r="AZ726" s="52" t="n">
        <v>0</v>
      </c>
      <c r="BA726" s="52" t="n">
        <v>0</v>
      </c>
      <c r="BB726" s="52" t="n">
        <v>0</v>
      </c>
      <c r="BC726" s="51" t="n">
        <v>10034</v>
      </c>
      <c r="BD726" s="51" t="n">
        <v>13221</v>
      </c>
      <c r="BE726" s="51" t="n">
        <v>8067</v>
      </c>
      <c r="BF726" s="51" t="n">
        <v>8184</v>
      </c>
    </row>
    <row r="727">
      <c r="A727">
        <f>HYPERLINK("https://www.walmart.com/ip/893930725", "893930725")</f>
        <v/>
      </c>
      <c r="B727" t="inlineStr">
        <is>
          <t>Pawsse Sherpa Fleece Blanket for Small Dogs and Kitten, Warm Flannel Plush Pet Bed Blanket, Reversible, Wine/Tan, 45" x 30"</t>
        </is>
      </c>
      <c r="C727" t="inlineStr">
        <is>
          <t>1TRBF345WNTA</t>
        </is>
      </c>
      <c r="D727" t="inlineStr">
        <is>
          <t>Pet Blankets</t>
        </is>
      </c>
      <c r="E727" t="inlineStr">
        <is>
          <t>Pawsse</t>
        </is>
      </c>
      <c r="F727" t="inlineStr">
        <is>
          <t>Batch 1 - TR</t>
        </is>
      </c>
      <c r="G727" s="48" t="n">
        <v>0</v>
      </c>
      <c r="H727" s="48" t="n">
        <v>0</v>
      </c>
      <c r="I727" s="48" t="n">
        <v>0</v>
      </c>
      <c r="J727" s="48" t="n">
        <v>10.98</v>
      </c>
      <c r="K727" s="49" t="n">
        <v>0</v>
      </c>
      <c r="L727" s="49" t="n">
        <v>0</v>
      </c>
      <c r="M727" s="49" t="n">
        <v>0</v>
      </c>
      <c r="N727" s="49" t="n">
        <v>1</v>
      </c>
      <c r="O727" s="49" t="n">
        <v>0</v>
      </c>
      <c r="P727" s="49" t="n">
        <v>0</v>
      </c>
      <c r="Q727" s="49" t="n">
        <v>0</v>
      </c>
      <c r="R727" s="49" t="n">
        <v>0</v>
      </c>
      <c r="S727" s="50" t="n">
        <v>0</v>
      </c>
      <c r="T727" s="50" t="n">
        <v>0</v>
      </c>
      <c r="U727" s="50" t="n">
        <v>0</v>
      </c>
      <c r="V727" s="50" t="n">
        <v>0</v>
      </c>
      <c r="W727" s="51" t="n">
        <v>0</v>
      </c>
      <c r="X727" s="51" t="n">
        <v>0</v>
      </c>
      <c r="Y727" s="51" t="n">
        <v>0</v>
      </c>
      <c r="Z727" s="51" t="n">
        <v>0</v>
      </c>
      <c r="AA727" s="52" t="n">
        <v>0</v>
      </c>
      <c r="AB727" s="52" t="n">
        <v>0</v>
      </c>
      <c r="AC727" s="52" t="n">
        <v>0</v>
      </c>
      <c r="AD727" s="52" t="n">
        <v>0</v>
      </c>
      <c r="AE727" s="52" t="n">
        <v>0</v>
      </c>
      <c r="AF727" s="52" t="n">
        <v>0</v>
      </c>
      <c r="AG727" s="52" t="n">
        <v>0</v>
      </c>
      <c r="AH727" s="52" t="n">
        <v>0</v>
      </c>
      <c r="AI727" s="52" t="n">
        <v>0</v>
      </c>
      <c r="AJ727" s="52" t="n">
        <v>0</v>
      </c>
      <c r="AK727" s="52" t="n">
        <v>0</v>
      </c>
      <c r="AL727" s="52" t="n">
        <v>0</v>
      </c>
      <c r="AM727" s="53" t="n">
        <v>0</v>
      </c>
      <c r="AN727" s="53" t="n">
        <v>0</v>
      </c>
      <c r="AO727" s="53" t="n">
        <v>0</v>
      </c>
      <c r="AP727" s="53" t="n">
        <v>0</v>
      </c>
      <c r="AQ727" s="52" t="n">
        <v>0</v>
      </c>
      <c r="AR727" s="52" t="n">
        <v>0</v>
      </c>
      <c r="AS727" s="52" t="n">
        <v>0</v>
      </c>
      <c r="AT727" s="52" t="n">
        <v>0</v>
      </c>
      <c r="AU727" s="53" t="n">
        <v>0</v>
      </c>
      <c r="AV727" s="53" t="n">
        <v>0</v>
      </c>
      <c r="AW727" s="53" t="n">
        <v>0</v>
      </c>
      <c r="AX727" s="53" t="n">
        <v>0</v>
      </c>
      <c r="AY727" s="52" t="n">
        <v>0</v>
      </c>
      <c r="AZ727" s="52" t="n">
        <v>0</v>
      </c>
      <c r="BA727" s="52" t="n">
        <v>0</v>
      </c>
      <c r="BB727" s="52" t="n">
        <v>10.98</v>
      </c>
      <c r="BC727" s="51" t="n">
        <v>0</v>
      </c>
      <c r="BD727" s="51" t="n">
        <v>0</v>
      </c>
      <c r="BE727" s="51" t="n">
        <v>0</v>
      </c>
      <c r="BF727" s="51" t="n">
        <v>0</v>
      </c>
    </row>
    <row r="728">
      <c r="A728">
        <f>HYPERLINK("https://www.walmart.com/ip/895410525", "895410525")</f>
        <v/>
      </c>
      <c r="B728" t="inlineStr">
        <is>
          <t>Light up Sequin Fedora LED Hat Neon Rave Costumes Glow in Dark Party</t>
        </is>
      </c>
      <c r="C728" t="inlineStr">
        <is>
          <t>SLLEDHATPK</t>
        </is>
      </c>
      <c r="D728" t="inlineStr">
        <is>
          <t>Hats</t>
        </is>
      </c>
      <c r="E728" t="inlineStr">
        <is>
          <t>Solaris</t>
        </is>
      </c>
      <c r="F728" t="inlineStr">
        <is>
          <t>Batch 1 - TR</t>
        </is>
      </c>
      <c r="G728" s="48" t="n">
        <v>0</v>
      </c>
      <c r="H728" s="48" t="n">
        <v>0</v>
      </c>
      <c r="I728" s="48" t="n">
        <v>0</v>
      </c>
      <c r="J728" s="48" t="n">
        <v>0</v>
      </c>
      <c r="K728" s="49" t="n">
        <v>0</v>
      </c>
      <c r="L728" s="49" t="n">
        <v>0</v>
      </c>
      <c r="M728" s="49" t="n">
        <v>0</v>
      </c>
      <c r="N728" s="49" t="n">
        <v>0</v>
      </c>
      <c r="O728" s="49" t="n">
        <v>0</v>
      </c>
      <c r="P728" s="49" t="n">
        <v>0</v>
      </c>
      <c r="Q728" s="49" t="n">
        <v>0</v>
      </c>
      <c r="R728" s="49" t="n">
        <v>0</v>
      </c>
      <c r="S728" s="50" t="n">
        <v>0</v>
      </c>
      <c r="T728" s="50" t="n">
        <v>0</v>
      </c>
      <c r="U728" s="50" t="n">
        <v>0</v>
      </c>
      <c r="V728" s="50" t="n">
        <v>0</v>
      </c>
      <c r="W728" s="51" t="n">
        <v>0</v>
      </c>
      <c r="X728" s="51" t="n">
        <v>0</v>
      </c>
      <c r="Y728" s="51" t="n">
        <v>0</v>
      </c>
      <c r="Z728" s="51" t="n">
        <v>0</v>
      </c>
      <c r="AA728" s="52" t="n">
        <v>0</v>
      </c>
      <c r="AB728" s="52" t="n">
        <v>0</v>
      </c>
      <c r="AC728" s="52" t="n">
        <v>0</v>
      </c>
      <c r="AD728" s="52" t="n">
        <v>0</v>
      </c>
      <c r="AE728" s="52" t="n">
        <v>0</v>
      </c>
      <c r="AF728" s="52" t="n">
        <v>0</v>
      </c>
      <c r="AG728" s="52" t="n">
        <v>0</v>
      </c>
      <c r="AH728" s="52" t="n">
        <v>0</v>
      </c>
      <c r="AI728" s="52" t="n">
        <v>0</v>
      </c>
      <c r="AJ728" s="52" t="n">
        <v>0</v>
      </c>
      <c r="AK728" s="52" t="n">
        <v>0</v>
      </c>
      <c r="AL728" s="52" t="n">
        <v>0</v>
      </c>
      <c r="AM728" s="53" t="n">
        <v>0</v>
      </c>
      <c r="AN728" s="53" t="n">
        <v>0</v>
      </c>
      <c r="AO728" s="53" t="n">
        <v>0</v>
      </c>
      <c r="AP728" s="53" t="n">
        <v>0</v>
      </c>
      <c r="AQ728" s="52" t="n">
        <v>0</v>
      </c>
      <c r="AR728" s="52" t="n">
        <v>0</v>
      </c>
      <c r="AS728" s="52" t="n">
        <v>0</v>
      </c>
      <c r="AT728" s="52" t="n">
        <v>0</v>
      </c>
      <c r="AU728" s="53" t="n">
        <v>0</v>
      </c>
      <c r="AV728" s="53" t="n">
        <v>0</v>
      </c>
      <c r="AW728" s="53" t="n">
        <v>0</v>
      </c>
      <c r="AX728" s="53" t="n">
        <v>0</v>
      </c>
      <c r="AY728" s="52" t="n">
        <v>0</v>
      </c>
      <c r="AZ728" s="52" t="n">
        <v>0</v>
      </c>
      <c r="BA728" s="52" t="n">
        <v>0</v>
      </c>
      <c r="BB728" s="52" t="n">
        <v>0</v>
      </c>
      <c r="BC728" s="51" t="n">
        <v>0</v>
      </c>
      <c r="BD728" s="51" t="n">
        <v>0</v>
      </c>
      <c r="BE728" s="51" t="n">
        <v>0</v>
      </c>
      <c r="BF728" s="51" t="n">
        <v>0</v>
      </c>
    </row>
    <row r="729">
      <c r="A729">
        <f>HYPERLINK("https://www.walmart.com/ip/895465836", "895465836")</f>
        <v/>
      </c>
      <c r="B729" t="inlineStr">
        <is>
          <t>Tirrinia Wide Brim Sun Hats Safari Fishing Boonie Cap for Adults and Teens, Unisex, Navy</t>
        </is>
      </c>
      <c r="C729" t="inlineStr">
        <is>
          <t>1TRSH191NV-TBCB</t>
        </is>
      </c>
      <c r="D729" t="inlineStr">
        <is>
          <t>Hats</t>
        </is>
      </c>
      <c r="E729" t="inlineStr">
        <is>
          <t>Sun Blocker</t>
        </is>
      </c>
      <c r="F729" t="inlineStr">
        <is>
          <t>Q2-Target</t>
        </is>
      </c>
      <c r="G729" s="48" t="n">
        <v>0</v>
      </c>
      <c r="H729" s="48" t="n">
        <v>0</v>
      </c>
      <c r="I729" s="48" t="n">
        <v>0</v>
      </c>
      <c r="J729" s="48" t="n">
        <v>0</v>
      </c>
      <c r="K729" s="49" t="n">
        <v>0</v>
      </c>
      <c r="L729" s="49" t="n">
        <v>0</v>
      </c>
      <c r="M729" s="49" t="n">
        <v>0</v>
      </c>
      <c r="N729" s="49" t="n">
        <v>0</v>
      </c>
      <c r="O729" s="49" t="n">
        <v>0</v>
      </c>
      <c r="P729" s="49" t="n">
        <v>0</v>
      </c>
      <c r="Q729" s="49" t="n">
        <v>0</v>
      </c>
      <c r="R729" s="49" t="n">
        <v>0</v>
      </c>
      <c r="S729" s="50" t="n">
        <v>0</v>
      </c>
      <c r="T729" s="50" t="n">
        <v>0</v>
      </c>
      <c r="U729" s="50" t="n">
        <v>0</v>
      </c>
      <c r="V729" s="50" t="n">
        <v>0</v>
      </c>
      <c r="W729" s="51" t="n">
        <v>0</v>
      </c>
      <c r="X729" s="51" t="n">
        <v>0</v>
      </c>
      <c r="Y729" s="51" t="n">
        <v>0</v>
      </c>
      <c r="Z729" s="51" t="n">
        <v>0</v>
      </c>
      <c r="AA729" s="52" t="n">
        <v>0</v>
      </c>
      <c r="AB729" s="52" t="n">
        <v>0</v>
      </c>
      <c r="AC729" s="52" t="n">
        <v>0</v>
      </c>
      <c r="AD729" s="52" t="n">
        <v>0</v>
      </c>
      <c r="AE729" s="52" t="n">
        <v>0</v>
      </c>
      <c r="AF729" s="52" t="n">
        <v>0</v>
      </c>
      <c r="AG729" s="52" t="n">
        <v>0</v>
      </c>
      <c r="AH729" s="52" t="n">
        <v>0</v>
      </c>
      <c r="AI729" s="52" t="n">
        <v>0</v>
      </c>
      <c r="AJ729" s="52" t="n">
        <v>0</v>
      </c>
      <c r="AK729" s="52" t="n">
        <v>0</v>
      </c>
      <c r="AL729" s="52" t="n">
        <v>0</v>
      </c>
      <c r="AM729" s="53" t="n">
        <v>0</v>
      </c>
      <c r="AN729" s="53" t="n">
        <v>0</v>
      </c>
      <c r="AO729" s="53" t="n">
        <v>0</v>
      </c>
      <c r="AP729" s="53" t="n">
        <v>0</v>
      </c>
      <c r="AQ729" s="52" t="n">
        <v>0</v>
      </c>
      <c r="AR729" s="52" t="n">
        <v>0</v>
      </c>
      <c r="AS729" s="52" t="n">
        <v>0</v>
      </c>
      <c r="AT729" s="52" t="n">
        <v>0</v>
      </c>
      <c r="AU729" s="53" t="n">
        <v>0</v>
      </c>
      <c r="AV729" s="53" t="n">
        <v>0</v>
      </c>
      <c r="AW729" s="53" t="n">
        <v>0</v>
      </c>
      <c r="AX729" s="53" t="n">
        <v>0</v>
      </c>
      <c r="AY729" s="52" t="n">
        <v>0</v>
      </c>
      <c r="AZ729" s="52" t="n">
        <v>0</v>
      </c>
      <c r="BA729" s="52" t="n">
        <v>0</v>
      </c>
      <c r="BB729" s="52" t="n">
        <v>0</v>
      </c>
      <c r="BC729" s="51" t="n">
        <v>0</v>
      </c>
      <c r="BD729" s="51" t="n">
        <v>0</v>
      </c>
      <c r="BE729" s="51" t="n">
        <v>0</v>
      </c>
      <c r="BF729" s="51" t="n">
        <v>0</v>
      </c>
    </row>
    <row r="730">
      <c r="A730">
        <f>HYPERLINK("https://www.walmart.com/ip/895498156", "895498156")</f>
        <v/>
      </c>
      <c r="B730" t="inlineStr">
        <is>
          <t>Oversized Hoodie Blanket Sweatshirt Sherpa</t>
        </is>
      </c>
      <c r="C730" t="inlineStr">
        <is>
          <t>1CTHD201CAT-DG</t>
        </is>
      </c>
      <c r="D730" t="inlineStr">
        <is>
          <t>Sweatshirts &amp; Hoodies</t>
        </is>
      </c>
      <c r="E730" t="inlineStr">
        <is>
          <t>Catalonia</t>
        </is>
      </c>
      <c r="F730" t="inlineStr">
        <is>
          <t>Hoodie For Kids,Optimized,WFS,WFS Item</t>
        </is>
      </c>
      <c r="G730" s="48" t="n">
        <v>0</v>
      </c>
      <c r="H730" s="48" t="n">
        <v>0</v>
      </c>
      <c r="I730" s="48" t="n">
        <v>0</v>
      </c>
      <c r="J730" s="48" t="n">
        <v>0</v>
      </c>
      <c r="K730" s="49" t="n">
        <v>0</v>
      </c>
      <c r="L730" s="49" t="n">
        <v>0</v>
      </c>
      <c r="M730" s="49" t="n">
        <v>0</v>
      </c>
      <c r="N730" s="49" t="n">
        <v>0</v>
      </c>
      <c r="O730" s="49" t="n">
        <v>0</v>
      </c>
      <c r="P730" s="49" t="n">
        <v>0</v>
      </c>
      <c r="Q730" s="49" t="n">
        <v>0</v>
      </c>
      <c r="R730" s="49" t="n">
        <v>0</v>
      </c>
      <c r="S730" s="50" t="n">
        <v>0</v>
      </c>
      <c r="T730" s="50" t="n">
        <v>0</v>
      </c>
      <c r="U730" s="50" t="n">
        <v>0</v>
      </c>
      <c r="V730" s="50" t="n">
        <v>0</v>
      </c>
      <c r="W730" s="51" t="n">
        <v>0</v>
      </c>
      <c r="X730" s="51" t="n">
        <v>0</v>
      </c>
      <c r="Y730" s="51" t="n">
        <v>0</v>
      </c>
      <c r="Z730" s="51" t="n">
        <v>0</v>
      </c>
      <c r="AA730" s="52" t="n">
        <v>0</v>
      </c>
      <c r="AB730" s="52" t="n">
        <v>0</v>
      </c>
      <c r="AC730" s="52" t="n">
        <v>0</v>
      </c>
      <c r="AD730" s="52" t="n">
        <v>0</v>
      </c>
      <c r="AE730" s="52" t="n">
        <v>0</v>
      </c>
      <c r="AF730" s="52" t="n">
        <v>0</v>
      </c>
      <c r="AG730" s="52" t="n">
        <v>0</v>
      </c>
      <c r="AH730" s="52" t="n">
        <v>0</v>
      </c>
      <c r="AI730" s="52" t="n">
        <v>0</v>
      </c>
      <c r="AJ730" s="52" t="n">
        <v>0</v>
      </c>
      <c r="AK730" s="52" t="n">
        <v>0</v>
      </c>
      <c r="AL730" s="52" t="n">
        <v>0</v>
      </c>
      <c r="AM730" s="53" t="n">
        <v>0</v>
      </c>
      <c r="AN730" s="53" t="n">
        <v>0</v>
      </c>
      <c r="AO730" s="53" t="n">
        <v>0</v>
      </c>
      <c r="AP730" s="53" t="n">
        <v>0</v>
      </c>
      <c r="AQ730" s="52" t="n">
        <v>0</v>
      </c>
      <c r="AR730" s="52" t="n">
        <v>0</v>
      </c>
      <c r="AS730" s="52" t="n">
        <v>0</v>
      </c>
      <c r="AT730" s="52" t="n">
        <v>0</v>
      </c>
      <c r="AU730" s="53" t="n">
        <v>0</v>
      </c>
      <c r="AV730" s="53" t="n">
        <v>0</v>
      </c>
      <c r="AW730" s="53" t="n">
        <v>0</v>
      </c>
      <c r="AX730" s="53" t="n">
        <v>0</v>
      </c>
      <c r="AY730" s="52" t="n">
        <v>0</v>
      </c>
      <c r="AZ730" s="52" t="n">
        <v>0</v>
      </c>
      <c r="BA730" s="52" t="n">
        <v>0</v>
      </c>
      <c r="BB730" s="52" t="n">
        <v>0</v>
      </c>
      <c r="BC730" s="51" t="n">
        <v>0</v>
      </c>
      <c r="BD730" s="51" t="n">
        <v>0</v>
      </c>
      <c r="BE730" s="51" t="n">
        <v>0</v>
      </c>
      <c r="BF730" s="51" t="n">
        <v>0</v>
      </c>
    </row>
    <row r="731">
      <c r="A731">
        <f>HYPERLINK("https://www.walmart.com/ip/896951293", "896951293")</f>
        <v/>
      </c>
      <c r="B731" t="inlineStr">
        <is>
          <t>Wearable Blanket with Sleeves and Kangaroo Pocket for Adult Soft Warm Comfy Throws Wrap Robe Blanket in Little PlaidRed.</t>
        </is>
      </c>
      <c r="C731" t="inlineStr">
        <is>
          <t>1CTSN200P2RD</t>
        </is>
      </c>
      <c r="D731" t="inlineStr">
        <is>
          <t>Throws</t>
        </is>
      </c>
      <c r="E731" t="inlineStr">
        <is>
          <t>Catalonia</t>
        </is>
      </c>
      <c r="F731" t="inlineStr">
        <is>
          <t>WFS,Coupon_Discount,WFS Item</t>
        </is>
      </c>
      <c r="G731" s="48" t="n">
        <v>0</v>
      </c>
      <c r="H731" s="48" t="n">
        <v>0</v>
      </c>
      <c r="I731" s="48" t="n">
        <v>0</v>
      </c>
      <c r="J731" s="48" t="n">
        <v>0</v>
      </c>
      <c r="K731" s="49" t="n">
        <v>0</v>
      </c>
      <c r="L731" s="49" t="n">
        <v>0</v>
      </c>
      <c r="M731" s="49" t="n">
        <v>0</v>
      </c>
      <c r="N731" s="49" t="n">
        <v>0</v>
      </c>
      <c r="O731" s="49" t="n">
        <v>0</v>
      </c>
      <c r="P731" s="49" t="n">
        <v>0</v>
      </c>
      <c r="Q731" s="49" t="n">
        <v>0</v>
      </c>
      <c r="R731" s="49" t="n">
        <v>0</v>
      </c>
      <c r="S731" s="50" t="n">
        <v>0</v>
      </c>
      <c r="T731" s="50" t="n">
        <v>0</v>
      </c>
      <c r="U731" s="50" t="n">
        <v>0</v>
      </c>
      <c r="V731" s="50" t="n">
        <v>0</v>
      </c>
      <c r="W731" s="51" t="n">
        <v>0</v>
      </c>
      <c r="X731" s="51" t="n">
        <v>0</v>
      </c>
      <c r="Y731" s="51" t="n">
        <v>0</v>
      </c>
      <c r="Z731" s="51" t="n">
        <v>0</v>
      </c>
      <c r="AA731" s="52" t="n">
        <v>0</v>
      </c>
      <c r="AB731" s="52" t="n">
        <v>0</v>
      </c>
      <c r="AC731" s="52" t="n">
        <v>0</v>
      </c>
      <c r="AD731" s="52" t="n">
        <v>0</v>
      </c>
      <c r="AE731" s="52" t="n">
        <v>0</v>
      </c>
      <c r="AF731" s="52" t="n">
        <v>0</v>
      </c>
      <c r="AG731" s="52" t="n">
        <v>0</v>
      </c>
      <c r="AH731" s="52" t="n">
        <v>0</v>
      </c>
      <c r="AI731" s="52" t="n">
        <v>0</v>
      </c>
      <c r="AJ731" s="52" t="n">
        <v>0</v>
      </c>
      <c r="AK731" s="52" t="n">
        <v>0</v>
      </c>
      <c r="AL731" s="52" t="n">
        <v>0</v>
      </c>
      <c r="AM731" s="53" t="n">
        <v>0</v>
      </c>
      <c r="AN731" s="53" t="n">
        <v>0</v>
      </c>
      <c r="AO731" s="53" t="n">
        <v>0</v>
      </c>
      <c r="AP731" s="53" t="n">
        <v>0</v>
      </c>
      <c r="AQ731" s="52" t="n">
        <v>0</v>
      </c>
      <c r="AR731" s="52" t="n">
        <v>0</v>
      </c>
      <c r="AS731" s="52" t="n">
        <v>0</v>
      </c>
      <c r="AT731" s="52" t="n">
        <v>0</v>
      </c>
      <c r="AU731" s="53" t="n">
        <v>0</v>
      </c>
      <c r="AV731" s="53" t="n">
        <v>0</v>
      </c>
      <c r="AW731" s="53" t="n">
        <v>0</v>
      </c>
      <c r="AX731" s="53" t="n">
        <v>0</v>
      </c>
      <c r="AY731" s="52" t="n">
        <v>0</v>
      </c>
      <c r="AZ731" s="52" t="n">
        <v>0</v>
      </c>
      <c r="BA731" s="52" t="n">
        <v>0</v>
      </c>
      <c r="BB731" s="52" t="n">
        <v>0</v>
      </c>
      <c r="BC731" s="51" t="n">
        <v>0</v>
      </c>
      <c r="BD731" s="51" t="n">
        <v>0</v>
      </c>
      <c r="BE731" s="51" t="n">
        <v>0</v>
      </c>
      <c r="BF731" s="51" t="n">
        <v>0</v>
      </c>
    </row>
    <row r="732">
      <c r="A732">
        <f>HYPERLINK("https://www.walmart.com/ip/896978644", "896978644")</f>
        <v/>
      </c>
      <c r="B732" t="inlineStr">
        <is>
          <t>Kato Deluxe Pet Carrier Backpack for Small Cats and Dogs, Two-Sided Entry Airline-Approved, Padded Back Support Travel Carrier for Hiking, Walking, Cycling and Outdoor, Light Grey</t>
        </is>
      </c>
      <c r="C732" t="inlineStr">
        <is>
          <t>1TRPB200LGY</t>
        </is>
      </c>
      <c r="D732" t="inlineStr">
        <is>
          <t>Pet Carriers</t>
        </is>
      </c>
      <c r="E732" t="inlineStr">
        <is>
          <t>Kato</t>
        </is>
      </c>
      <c r="F732" t="inlineStr">
        <is>
          <t>Optimized,WFS,WFS Item</t>
        </is>
      </c>
      <c r="G732" s="48" t="n">
        <v>0</v>
      </c>
      <c r="H732" s="48" t="n">
        <v>0</v>
      </c>
      <c r="I732" s="48" t="n">
        <v>0</v>
      </c>
      <c r="J732" s="48" t="n">
        <v>0</v>
      </c>
      <c r="K732" s="49" t="n">
        <v>0</v>
      </c>
      <c r="L732" s="49" t="n">
        <v>0</v>
      </c>
      <c r="M732" s="49" t="n">
        <v>0</v>
      </c>
      <c r="N732" s="49" t="n">
        <v>0</v>
      </c>
      <c r="O732" s="49" t="n">
        <v>0</v>
      </c>
      <c r="P732" s="49" t="n">
        <v>0</v>
      </c>
      <c r="Q732" s="49" t="n">
        <v>0</v>
      </c>
      <c r="R732" s="49" t="n">
        <v>0</v>
      </c>
      <c r="S732" s="50" t="n">
        <v>0</v>
      </c>
      <c r="T732" s="50" t="n">
        <v>0</v>
      </c>
      <c r="U732" s="50" t="n">
        <v>0</v>
      </c>
      <c r="V732" s="50" t="n">
        <v>0</v>
      </c>
      <c r="W732" s="51" t="n">
        <v>0</v>
      </c>
      <c r="X732" s="51" t="n">
        <v>0</v>
      </c>
      <c r="Y732" s="51" t="n">
        <v>0</v>
      </c>
      <c r="Z732" s="51" t="n">
        <v>0</v>
      </c>
      <c r="AA732" s="52" t="n">
        <v>0</v>
      </c>
      <c r="AB732" s="52" t="n">
        <v>0</v>
      </c>
      <c r="AC732" s="52" t="n">
        <v>0</v>
      </c>
      <c r="AD732" s="52" t="n">
        <v>0</v>
      </c>
      <c r="AE732" s="52" t="n">
        <v>0</v>
      </c>
      <c r="AF732" s="52" t="n">
        <v>0</v>
      </c>
      <c r="AG732" s="52" t="n">
        <v>0</v>
      </c>
      <c r="AH732" s="52" t="n">
        <v>0</v>
      </c>
      <c r="AI732" s="52" t="n">
        <v>0</v>
      </c>
      <c r="AJ732" s="52" t="n">
        <v>0</v>
      </c>
      <c r="AK732" s="52" t="n">
        <v>0</v>
      </c>
      <c r="AL732" s="52" t="n">
        <v>0</v>
      </c>
      <c r="AM732" s="53" t="n">
        <v>0</v>
      </c>
      <c r="AN732" s="53" t="n">
        <v>0</v>
      </c>
      <c r="AO732" s="53" t="n">
        <v>0</v>
      </c>
      <c r="AP732" s="53" t="n">
        <v>0</v>
      </c>
      <c r="AQ732" s="52" t="n">
        <v>0</v>
      </c>
      <c r="AR732" s="52" t="n">
        <v>0</v>
      </c>
      <c r="AS732" s="52" t="n">
        <v>0</v>
      </c>
      <c r="AT732" s="52" t="n">
        <v>0</v>
      </c>
      <c r="AU732" s="53" t="n">
        <v>0</v>
      </c>
      <c r="AV732" s="53" t="n">
        <v>0</v>
      </c>
      <c r="AW732" s="53" t="n">
        <v>0</v>
      </c>
      <c r="AX732" s="53" t="n">
        <v>0</v>
      </c>
      <c r="AY732" s="52" t="n">
        <v>0</v>
      </c>
      <c r="AZ732" s="52" t="n">
        <v>0</v>
      </c>
      <c r="BA732" s="52" t="n">
        <v>0</v>
      </c>
      <c r="BB732" s="52" t="n">
        <v>0</v>
      </c>
      <c r="BC732" s="51" t="n">
        <v>0</v>
      </c>
      <c r="BD732" s="51" t="n">
        <v>0</v>
      </c>
      <c r="BE732" s="51" t="n">
        <v>0</v>
      </c>
      <c r="BF732" s="51" t="n">
        <v>0</v>
      </c>
    </row>
    <row r="733">
      <c r="A733">
        <f>HYPERLINK("https://www.walmart.com/ip/897180675", "897180675")</f>
        <v/>
      </c>
      <c r="B733" t="inlineStr">
        <is>
          <t>Catalonia Monkey Blanket for Kids, Hooded Wearable Snuggle Tail Blanket, Super Soft Plush Sleeping Bags for Children Teens Boys Girls, All Seasons, Gift Idea</t>
        </is>
      </c>
      <c r="C733" t="inlineStr">
        <is>
          <t>1CTMM200MK</t>
        </is>
      </c>
      <c r="D733" t="inlineStr">
        <is>
          <t>Baby Sleepsacks</t>
        </is>
      </c>
      <c r="E733" t="inlineStr">
        <is>
          <t>Catalonia</t>
        </is>
      </c>
      <c r="F733" t="inlineStr">
        <is>
          <t>Baby days,Optimized</t>
        </is>
      </c>
      <c r="G733" s="48" t="n">
        <v>0</v>
      </c>
      <c r="H733" s="48" t="n">
        <v>0</v>
      </c>
      <c r="I733" s="48" t="n">
        <v>0</v>
      </c>
      <c r="J733" s="48" t="n">
        <v>0</v>
      </c>
      <c r="K733" s="49" t="n">
        <v>0</v>
      </c>
      <c r="L733" s="49" t="n">
        <v>0</v>
      </c>
      <c r="M733" s="49" t="n">
        <v>0</v>
      </c>
      <c r="N733" s="49" t="n">
        <v>0</v>
      </c>
      <c r="O733" s="49" t="n">
        <v>0</v>
      </c>
      <c r="P733" s="49" t="n">
        <v>0</v>
      </c>
      <c r="Q733" s="49" t="n">
        <v>0</v>
      </c>
      <c r="R733" s="49" t="n">
        <v>0</v>
      </c>
      <c r="S733" s="50" t="n">
        <v>0</v>
      </c>
      <c r="T733" s="50" t="n">
        <v>0</v>
      </c>
      <c r="U733" s="50" t="n">
        <v>0</v>
      </c>
      <c r="V733" s="50" t="n">
        <v>0</v>
      </c>
      <c r="W733" s="51" t="n">
        <v>0</v>
      </c>
      <c r="X733" s="51" t="n">
        <v>0</v>
      </c>
      <c r="Y733" s="51" t="n">
        <v>0</v>
      </c>
      <c r="Z733" s="51" t="n">
        <v>0</v>
      </c>
      <c r="AA733" s="52" t="n">
        <v>0</v>
      </c>
      <c r="AB733" s="52" t="n">
        <v>0</v>
      </c>
      <c r="AC733" s="52" t="n">
        <v>0</v>
      </c>
      <c r="AD733" s="52" t="n">
        <v>0</v>
      </c>
      <c r="AE733" s="52" t="n">
        <v>0</v>
      </c>
      <c r="AF733" s="52" t="n">
        <v>0</v>
      </c>
      <c r="AG733" s="52" t="n">
        <v>0</v>
      </c>
      <c r="AH733" s="52" t="n">
        <v>0</v>
      </c>
      <c r="AI733" s="52" t="n">
        <v>0</v>
      </c>
      <c r="AJ733" s="52" t="n">
        <v>0</v>
      </c>
      <c r="AK733" s="52" t="n">
        <v>0</v>
      </c>
      <c r="AL733" s="52" t="n">
        <v>0</v>
      </c>
      <c r="AM733" s="53" t="n">
        <v>0</v>
      </c>
      <c r="AN733" s="53" t="n">
        <v>0</v>
      </c>
      <c r="AO733" s="53" t="n">
        <v>0</v>
      </c>
      <c r="AP733" s="53" t="n">
        <v>0</v>
      </c>
      <c r="AQ733" s="52" t="n">
        <v>0</v>
      </c>
      <c r="AR733" s="52" t="n">
        <v>0</v>
      </c>
      <c r="AS733" s="52" t="n">
        <v>0</v>
      </c>
      <c r="AT733" s="52" t="n">
        <v>0</v>
      </c>
      <c r="AU733" s="53" t="n">
        <v>0</v>
      </c>
      <c r="AV733" s="53" t="n">
        <v>0</v>
      </c>
      <c r="AW733" s="53" t="n">
        <v>0</v>
      </c>
      <c r="AX733" s="53" t="n">
        <v>0</v>
      </c>
      <c r="AY733" s="52" t="n">
        <v>0</v>
      </c>
      <c r="AZ733" s="52" t="n">
        <v>0</v>
      </c>
      <c r="BA733" s="52" t="n">
        <v>0</v>
      </c>
      <c r="BB733" s="52" t="n">
        <v>0</v>
      </c>
      <c r="BC733" s="51" t="n">
        <v>0</v>
      </c>
      <c r="BD733" s="51" t="n">
        <v>0</v>
      </c>
      <c r="BE733" s="51" t="n">
        <v>0</v>
      </c>
      <c r="BF733" s="51" t="n">
        <v>0</v>
      </c>
    </row>
    <row r="734">
      <c r="A734">
        <f>HYPERLINK("https://www.walmart.com/ip/897829226", "897829226")</f>
        <v/>
      </c>
      <c r="B734" t="inlineStr">
        <is>
          <t>Solaris Sun Hat for Women and Men, Wide Brim Summer Outdoor Bucket Boonie Hat for Hiking, Safari and Gardening, Navy</t>
        </is>
      </c>
      <c r="C734" t="inlineStr">
        <is>
          <t>1SLSH191NV</t>
        </is>
      </c>
      <c r="D734" t="inlineStr">
        <is>
          <t>Hats</t>
        </is>
      </c>
      <c r="E734" t="inlineStr">
        <is>
          <t>Solaris</t>
        </is>
      </c>
      <c r="F734" t="inlineStr">
        <is>
          <t>Optimized</t>
        </is>
      </c>
      <c r="G734" s="48" t="n">
        <v>0</v>
      </c>
      <c r="H734" s="48" t="n">
        <v>0</v>
      </c>
      <c r="I734" s="48" t="n">
        <v>0</v>
      </c>
      <c r="J734" s="48" t="n">
        <v>0</v>
      </c>
      <c r="K734" s="49" t="n">
        <v>0</v>
      </c>
      <c r="L734" s="49" t="n">
        <v>0</v>
      </c>
      <c r="M734" s="49" t="n">
        <v>0</v>
      </c>
      <c r="N734" s="49" t="n">
        <v>0</v>
      </c>
      <c r="O734" s="49" t="n">
        <v>0</v>
      </c>
      <c r="P734" s="49" t="n">
        <v>0</v>
      </c>
      <c r="Q734" s="49" t="n">
        <v>0</v>
      </c>
      <c r="R734" s="49" t="n">
        <v>0</v>
      </c>
      <c r="S734" s="50" t="n">
        <v>0</v>
      </c>
      <c r="T734" s="50" t="n">
        <v>0</v>
      </c>
      <c r="U734" s="50" t="n">
        <v>0</v>
      </c>
      <c r="V734" s="50" t="n">
        <v>0</v>
      </c>
      <c r="W734" s="51" t="n">
        <v>0</v>
      </c>
      <c r="X734" s="51" t="n">
        <v>0</v>
      </c>
      <c r="Y734" s="51" t="n">
        <v>0</v>
      </c>
      <c r="Z734" s="51" t="n">
        <v>0</v>
      </c>
      <c r="AA734" s="52" t="n">
        <v>0</v>
      </c>
      <c r="AB734" s="52" t="n">
        <v>0</v>
      </c>
      <c r="AC734" s="52" t="n">
        <v>0</v>
      </c>
      <c r="AD734" s="52" t="n">
        <v>0</v>
      </c>
      <c r="AE734" s="52" t="n">
        <v>0</v>
      </c>
      <c r="AF734" s="52" t="n">
        <v>0</v>
      </c>
      <c r="AG734" s="52" t="n">
        <v>0</v>
      </c>
      <c r="AH734" s="52" t="n">
        <v>0</v>
      </c>
      <c r="AI734" s="52" t="n">
        <v>0</v>
      </c>
      <c r="AJ734" s="52" t="n">
        <v>0</v>
      </c>
      <c r="AK734" s="52" t="n">
        <v>0</v>
      </c>
      <c r="AL734" s="52" t="n">
        <v>0</v>
      </c>
      <c r="AM734" s="53" t="n">
        <v>0</v>
      </c>
      <c r="AN734" s="53" t="n">
        <v>0</v>
      </c>
      <c r="AO734" s="53" t="n">
        <v>0</v>
      </c>
      <c r="AP734" s="53" t="n">
        <v>0</v>
      </c>
      <c r="AQ734" s="52" t="n">
        <v>0</v>
      </c>
      <c r="AR734" s="52" t="n">
        <v>0</v>
      </c>
      <c r="AS734" s="52" t="n">
        <v>0</v>
      </c>
      <c r="AT734" s="52" t="n">
        <v>0</v>
      </c>
      <c r="AU734" s="53" t="n">
        <v>0</v>
      </c>
      <c r="AV734" s="53" t="n">
        <v>0</v>
      </c>
      <c r="AW734" s="53" t="n">
        <v>0</v>
      </c>
      <c r="AX734" s="53" t="n">
        <v>0</v>
      </c>
      <c r="AY734" s="52" t="n">
        <v>0</v>
      </c>
      <c r="AZ734" s="52" t="n">
        <v>0</v>
      </c>
      <c r="BA734" s="52" t="n">
        <v>0</v>
      </c>
      <c r="BB734" s="52" t="n">
        <v>0</v>
      </c>
      <c r="BC734" s="51" t="n">
        <v>0</v>
      </c>
      <c r="BD734" s="51" t="n">
        <v>0</v>
      </c>
      <c r="BE734" s="51" t="n">
        <v>0</v>
      </c>
      <c r="BF734" s="51" t="n">
        <v>0</v>
      </c>
    </row>
    <row r="735">
      <c r="A735">
        <f>HYPERLINK("https://www.walmart.com/ip/899281465", "899281465")</f>
        <v/>
      </c>
      <c r="B735" t="inlineStr">
        <is>
          <t>Tirrinia 6 Bottle Wine cooler bag -  Insulated &amp; Padded_x000D_
Versatile Wine Carrier Tote Bag for Travel, BYOB Restaurant, Wine Tasting, Party, Christmas Gift for Wine Lover, Grey</t>
        </is>
      </c>
      <c r="C735" t="inlineStr">
        <is>
          <t>1WMWB603GY</t>
        </is>
      </c>
      <c r="D735" t="inlineStr">
        <is>
          <t>Wine Totes, Bags &amp; Backpacks</t>
        </is>
      </c>
      <c r="E735" t="inlineStr">
        <is>
          <t>Flyingstar</t>
        </is>
      </c>
      <c r="F735" t="inlineStr">
        <is>
          <t>Wine,Christmas,Optimized,Valentine</t>
        </is>
      </c>
      <c r="G735" s="48" t="n">
        <v>0</v>
      </c>
      <c r="H735" s="48" t="n">
        <v>0</v>
      </c>
      <c r="I735" s="48" t="n">
        <v>0</v>
      </c>
      <c r="J735" s="48" t="n">
        <v>0</v>
      </c>
      <c r="K735" s="49" t="n">
        <v>0</v>
      </c>
      <c r="L735" s="49" t="n">
        <v>0</v>
      </c>
      <c r="M735" s="49" t="n">
        <v>0</v>
      </c>
      <c r="N735" s="49" t="n">
        <v>0</v>
      </c>
      <c r="O735" s="49" t="n">
        <v>0</v>
      </c>
      <c r="P735" s="49" t="n">
        <v>0</v>
      </c>
      <c r="Q735" s="49" t="n">
        <v>0</v>
      </c>
      <c r="R735" s="49" t="n">
        <v>0</v>
      </c>
      <c r="S735" s="50" t="n">
        <v>0</v>
      </c>
      <c r="T735" s="50" t="n">
        <v>0</v>
      </c>
      <c r="U735" s="50" t="n">
        <v>0</v>
      </c>
      <c r="V735" s="50" t="n">
        <v>0</v>
      </c>
      <c r="W735" s="51" t="n">
        <v>0</v>
      </c>
      <c r="X735" s="51" t="n">
        <v>0</v>
      </c>
      <c r="Y735" s="51" t="n">
        <v>0</v>
      </c>
      <c r="Z735" s="51" t="n">
        <v>0</v>
      </c>
      <c r="AA735" s="52" t="n">
        <v>0</v>
      </c>
      <c r="AB735" s="52" t="n">
        <v>0</v>
      </c>
      <c r="AC735" s="52" t="n">
        <v>0</v>
      </c>
      <c r="AD735" s="52" t="n">
        <v>0</v>
      </c>
      <c r="AE735" s="52" t="n">
        <v>0</v>
      </c>
      <c r="AF735" s="52" t="n">
        <v>0</v>
      </c>
      <c r="AG735" s="52" t="n">
        <v>0</v>
      </c>
      <c r="AH735" s="52" t="n">
        <v>0</v>
      </c>
      <c r="AI735" s="52" t="n">
        <v>0</v>
      </c>
      <c r="AJ735" s="52" t="n">
        <v>0</v>
      </c>
      <c r="AK735" s="52" t="n">
        <v>0</v>
      </c>
      <c r="AL735" s="52" t="n">
        <v>0</v>
      </c>
      <c r="AM735" s="53" t="n">
        <v>0</v>
      </c>
      <c r="AN735" s="53" t="n">
        <v>0</v>
      </c>
      <c r="AO735" s="53" t="n">
        <v>0</v>
      </c>
      <c r="AP735" s="53" t="n">
        <v>0</v>
      </c>
      <c r="AQ735" s="52" t="n">
        <v>0</v>
      </c>
      <c r="AR735" s="52" t="n">
        <v>0</v>
      </c>
      <c r="AS735" s="52" t="n">
        <v>0</v>
      </c>
      <c r="AT735" s="52" t="n">
        <v>0</v>
      </c>
      <c r="AU735" s="53" t="n">
        <v>0</v>
      </c>
      <c r="AV735" s="53" t="n">
        <v>0</v>
      </c>
      <c r="AW735" s="53" t="n">
        <v>0</v>
      </c>
      <c r="AX735" s="53" t="n">
        <v>0</v>
      </c>
      <c r="AY735" s="52" t="n">
        <v>0</v>
      </c>
      <c r="AZ735" s="52" t="n">
        <v>0</v>
      </c>
      <c r="BA735" s="52" t="n">
        <v>0</v>
      </c>
      <c r="BB735" s="52" t="n">
        <v>0</v>
      </c>
      <c r="BC735" s="51" t="n">
        <v>0</v>
      </c>
      <c r="BD735" s="51" t="n">
        <v>0</v>
      </c>
      <c r="BE735" s="51" t="n">
        <v>0</v>
      </c>
      <c r="BF735" s="51" t="n">
        <v>0</v>
      </c>
    </row>
    <row r="736">
      <c r="A736">
        <f>HYPERLINK("https://www.walmart.com/ip/911302345", "911302345")</f>
        <v/>
      </c>
      <c r="B736" t="inlineStr">
        <is>
          <t>Catalonia Sherpa Fleece Blanket, Super Soft Warm Fuzzy Snowflake Throw Blanket for Family,  Reversible, Blue, 60" x 50"</t>
        </is>
      </c>
      <c r="C736" t="inlineStr">
        <is>
          <t>1CTBF390BL</t>
        </is>
      </c>
      <c r="D736" t="inlineStr">
        <is>
          <t>Throws</t>
        </is>
      </c>
      <c r="E736" t="inlineStr">
        <is>
          <t>Catalonia</t>
        </is>
      </c>
      <c r="F736" t="inlineStr">
        <is>
          <t>Coupon_Discount,Batch 1 - TR</t>
        </is>
      </c>
      <c r="G736" s="48" t="n">
        <v>0</v>
      </c>
      <c r="H736" s="48" t="n">
        <v>0</v>
      </c>
      <c r="I736" s="48" t="n">
        <v>0</v>
      </c>
      <c r="J736" s="48" t="n">
        <v>0</v>
      </c>
      <c r="K736" s="49" t="n">
        <v>0</v>
      </c>
      <c r="L736" s="49" t="n">
        <v>0</v>
      </c>
      <c r="M736" s="49" t="n">
        <v>0</v>
      </c>
      <c r="N736" s="49" t="n">
        <v>0</v>
      </c>
      <c r="O736" s="49" t="n">
        <v>0</v>
      </c>
      <c r="P736" s="49" t="n">
        <v>0</v>
      </c>
      <c r="Q736" s="49" t="n">
        <v>0</v>
      </c>
      <c r="R736" s="49" t="n">
        <v>0</v>
      </c>
      <c r="S736" s="50" t="n">
        <v>0</v>
      </c>
      <c r="T736" s="50" t="n">
        <v>0</v>
      </c>
      <c r="U736" s="50" t="n">
        <v>0</v>
      </c>
      <c r="V736" s="50" t="n">
        <v>0</v>
      </c>
      <c r="W736" s="51" t="n">
        <v>0</v>
      </c>
      <c r="X736" s="51" t="n">
        <v>0</v>
      </c>
      <c r="Y736" s="51" t="n">
        <v>0</v>
      </c>
      <c r="Z736" s="51" t="n">
        <v>0</v>
      </c>
      <c r="AA736" s="52" t="n">
        <v>0</v>
      </c>
      <c r="AB736" s="52" t="n">
        <v>0</v>
      </c>
      <c r="AC736" s="52" t="n">
        <v>0</v>
      </c>
      <c r="AD736" s="52" t="n">
        <v>0</v>
      </c>
      <c r="AE736" s="52" t="n">
        <v>0</v>
      </c>
      <c r="AF736" s="52" t="n">
        <v>0</v>
      </c>
      <c r="AG736" s="52" t="n">
        <v>0</v>
      </c>
      <c r="AH736" s="52" t="n">
        <v>0</v>
      </c>
      <c r="AI736" s="52" t="n">
        <v>0</v>
      </c>
      <c r="AJ736" s="52" t="n">
        <v>0</v>
      </c>
      <c r="AK736" s="52" t="n">
        <v>0</v>
      </c>
      <c r="AL736" s="52" t="n">
        <v>0</v>
      </c>
      <c r="AM736" s="53" t="n">
        <v>0</v>
      </c>
      <c r="AN736" s="53" t="n">
        <v>0</v>
      </c>
      <c r="AO736" s="53" t="n">
        <v>0</v>
      </c>
      <c r="AP736" s="53" t="n">
        <v>0</v>
      </c>
      <c r="AQ736" s="52" t="n">
        <v>0</v>
      </c>
      <c r="AR736" s="52" t="n">
        <v>0</v>
      </c>
      <c r="AS736" s="52" t="n">
        <v>0</v>
      </c>
      <c r="AT736" s="52" t="n">
        <v>0</v>
      </c>
      <c r="AU736" s="53" t="n">
        <v>0</v>
      </c>
      <c r="AV736" s="53" t="n">
        <v>0</v>
      </c>
      <c r="AW736" s="53" t="n">
        <v>0</v>
      </c>
      <c r="AX736" s="53" t="n">
        <v>0</v>
      </c>
      <c r="AY736" s="52" t="n">
        <v>0</v>
      </c>
      <c r="AZ736" s="52" t="n">
        <v>0</v>
      </c>
      <c r="BA736" s="52" t="n">
        <v>0</v>
      </c>
      <c r="BB736" s="52" t="n">
        <v>0</v>
      </c>
      <c r="BC736" s="51" t="n">
        <v>0</v>
      </c>
      <c r="BD736" s="51" t="n">
        <v>0</v>
      </c>
      <c r="BE736" s="51" t="n">
        <v>0</v>
      </c>
      <c r="BF736" s="51" t="n">
        <v>0</v>
      </c>
    </row>
    <row r="737">
      <c r="A737">
        <f>HYPERLINK("https://www.walmart.com/ip/911931453", "911931453")</f>
        <v/>
      </c>
      <c r="B737" t="inlineStr">
        <is>
          <t>Catalonia Twin Size Sherpa Comforter Set, Ultra-Soft Reversible Fluffy Micromink Bedding Set-2 Pieces, 1 Comforter and 1 Pillow Sham,64x88 inches</t>
        </is>
      </c>
      <c r="C737" t="inlineStr">
        <is>
          <t>1CTBQ300TW-GY</t>
        </is>
      </c>
      <c r="D737" t="inlineStr">
        <is>
          <t>Comforters &amp; Duvets</t>
        </is>
      </c>
      <c r="E737" t="inlineStr">
        <is>
          <t>Catalonia</t>
        </is>
      </c>
      <c r="F737" t="inlineStr">
        <is>
          <t>WFS,WFS Item</t>
        </is>
      </c>
      <c r="G737" s="48" t="n">
        <v>0</v>
      </c>
      <c r="H737" s="48" t="n">
        <v>0</v>
      </c>
      <c r="I737" s="48" t="n">
        <v>0</v>
      </c>
      <c r="J737" s="48" t="n">
        <v>0</v>
      </c>
      <c r="K737" s="49" t="n">
        <v>0</v>
      </c>
      <c r="L737" s="49" t="n">
        <v>0</v>
      </c>
      <c r="M737" s="49" t="n">
        <v>0</v>
      </c>
      <c r="N737" s="49" t="n">
        <v>0</v>
      </c>
      <c r="O737" s="49" t="n">
        <v>0</v>
      </c>
      <c r="P737" s="49" t="n">
        <v>0</v>
      </c>
      <c r="Q737" s="49" t="n">
        <v>0</v>
      </c>
      <c r="R737" s="49" t="n">
        <v>0</v>
      </c>
      <c r="S737" s="50" t="n">
        <v>0</v>
      </c>
      <c r="T737" s="50" t="n">
        <v>0</v>
      </c>
      <c r="U737" s="50" t="n">
        <v>0</v>
      </c>
      <c r="V737" s="50" t="n">
        <v>0</v>
      </c>
      <c r="W737" s="51" t="n">
        <v>0</v>
      </c>
      <c r="X737" s="51" t="n">
        <v>0</v>
      </c>
      <c r="Y737" s="51" t="n">
        <v>0</v>
      </c>
      <c r="Z737" s="51" t="n">
        <v>0</v>
      </c>
      <c r="AA737" s="52" t="n">
        <v>0</v>
      </c>
      <c r="AB737" s="52" t="n">
        <v>0</v>
      </c>
      <c r="AC737" s="52" t="n">
        <v>0</v>
      </c>
      <c r="AD737" s="52" t="n">
        <v>0</v>
      </c>
      <c r="AE737" s="52" t="n">
        <v>0</v>
      </c>
      <c r="AF737" s="52" t="n">
        <v>0</v>
      </c>
      <c r="AG737" s="52" t="n">
        <v>0</v>
      </c>
      <c r="AH737" s="52" t="n">
        <v>0</v>
      </c>
      <c r="AI737" s="52" t="n">
        <v>0</v>
      </c>
      <c r="AJ737" s="52" t="n">
        <v>0</v>
      </c>
      <c r="AK737" s="52" t="n">
        <v>0</v>
      </c>
      <c r="AL737" s="52" t="n">
        <v>0</v>
      </c>
      <c r="AM737" s="53" t="n">
        <v>0</v>
      </c>
      <c r="AN737" s="53" t="n">
        <v>0</v>
      </c>
      <c r="AO737" s="53" t="n">
        <v>0</v>
      </c>
      <c r="AP737" s="53" t="n">
        <v>0</v>
      </c>
      <c r="AQ737" s="52" t="n">
        <v>0</v>
      </c>
      <c r="AR737" s="52" t="n">
        <v>0</v>
      </c>
      <c r="AS737" s="52" t="n">
        <v>0</v>
      </c>
      <c r="AT737" s="52" t="n">
        <v>0</v>
      </c>
      <c r="AU737" s="53" t="n">
        <v>0</v>
      </c>
      <c r="AV737" s="53" t="n">
        <v>0</v>
      </c>
      <c r="AW737" s="53" t="n">
        <v>0</v>
      </c>
      <c r="AX737" s="53" t="n">
        <v>0</v>
      </c>
      <c r="AY737" s="52" t="n">
        <v>0</v>
      </c>
      <c r="AZ737" s="52" t="n">
        <v>0</v>
      </c>
      <c r="BA737" s="52" t="n">
        <v>0</v>
      </c>
      <c r="BB737" s="52" t="n">
        <v>0</v>
      </c>
      <c r="BC737" s="51" t="n">
        <v>0</v>
      </c>
      <c r="BD737" s="51" t="n">
        <v>0</v>
      </c>
      <c r="BE737" s="51" t="n">
        <v>0</v>
      </c>
      <c r="BF737" s="51" t="n">
        <v>0</v>
      </c>
    </row>
    <row r="738">
      <c r="A738">
        <f>HYPERLINK("https://www.walmart.com/ip/891167892", "891167892")</f>
        <v/>
      </c>
      <c r="B738" t="inlineStr">
        <is>
          <t>50" x 60" Chevron Throw Blanket Tirrinia Products</t>
        </is>
      </c>
      <c r="C738" t="inlineStr">
        <is>
          <t>1TRBF320DBL-TBCB</t>
        </is>
      </c>
      <c r="D738" t="inlineStr">
        <is>
          <t>Throws</t>
        </is>
      </c>
      <c r="E738" t="inlineStr">
        <is>
          <t>Tirrinia</t>
        </is>
      </c>
      <c r="F738" t="inlineStr">
        <is>
          <t>Batch 1 - TR</t>
        </is>
      </c>
      <c r="G738" s="48" t="n">
        <v>0</v>
      </c>
      <c r="H738" s="48" t="n">
        <v>0</v>
      </c>
      <c r="I738" s="48" t="n">
        <v>0</v>
      </c>
      <c r="J738" s="48" t="n">
        <v>0</v>
      </c>
      <c r="K738" s="49" t="n">
        <v>0</v>
      </c>
      <c r="L738" s="49" t="n">
        <v>0</v>
      </c>
      <c r="M738" s="49" t="n">
        <v>0</v>
      </c>
      <c r="N738" s="49" t="n">
        <v>0</v>
      </c>
      <c r="O738" s="49" t="n">
        <v>0</v>
      </c>
      <c r="P738" s="49" t="n">
        <v>0</v>
      </c>
      <c r="Q738" s="49" t="n">
        <v>0</v>
      </c>
      <c r="R738" s="49" t="n">
        <v>0</v>
      </c>
      <c r="S738" s="50" t="n">
        <v>0</v>
      </c>
      <c r="T738" s="50" t="n">
        <v>0</v>
      </c>
      <c r="U738" s="50" t="n">
        <v>0</v>
      </c>
      <c r="V738" s="50" t="n">
        <v>0</v>
      </c>
      <c r="W738" s="51" t="n">
        <v>0</v>
      </c>
      <c r="X738" s="51" t="n">
        <v>0</v>
      </c>
      <c r="Y738" s="51" t="n">
        <v>0</v>
      </c>
      <c r="Z738" s="51" t="n">
        <v>0</v>
      </c>
      <c r="AA738" s="52" t="n">
        <v>0</v>
      </c>
      <c r="AB738" s="52" t="n">
        <v>0</v>
      </c>
      <c r="AC738" s="52" t="n">
        <v>0</v>
      </c>
      <c r="AD738" s="52" t="n">
        <v>0</v>
      </c>
      <c r="AE738" s="52" t="n">
        <v>0</v>
      </c>
      <c r="AF738" s="52" t="n">
        <v>0</v>
      </c>
      <c r="AG738" s="52" t="n">
        <v>0</v>
      </c>
      <c r="AH738" s="52" t="n">
        <v>0</v>
      </c>
      <c r="AI738" s="52" t="n">
        <v>0</v>
      </c>
      <c r="AJ738" s="52" t="n">
        <v>0</v>
      </c>
      <c r="AK738" s="52" t="n">
        <v>0</v>
      </c>
      <c r="AL738" s="52" t="n">
        <v>0</v>
      </c>
      <c r="AM738" s="53" t="n">
        <v>0</v>
      </c>
      <c r="AN738" s="53" t="n">
        <v>0</v>
      </c>
      <c r="AO738" s="53" t="n">
        <v>0</v>
      </c>
      <c r="AP738" s="53" t="n">
        <v>0</v>
      </c>
      <c r="AQ738" s="52" t="n">
        <v>0</v>
      </c>
      <c r="AR738" s="52" t="n">
        <v>0</v>
      </c>
      <c r="AS738" s="52" t="n">
        <v>0</v>
      </c>
      <c r="AT738" s="52" t="n">
        <v>0</v>
      </c>
      <c r="AU738" s="53" t="n">
        <v>0</v>
      </c>
      <c r="AV738" s="53" t="n">
        <v>0</v>
      </c>
      <c r="AW738" s="53" t="n">
        <v>0</v>
      </c>
      <c r="AX738" s="53" t="n">
        <v>0</v>
      </c>
      <c r="AY738" s="52" t="n">
        <v>0</v>
      </c>
      <c r="AZ738" s="52" t="n">
        <v>0</v>
      </c>
      <c r="BA738" s="52" t="n">
        <v>0</v>
      </c>
      <c r="BB738" s="52" t="n">
        <v>0</v>
      </c>
      <c r="BC738" s="51" t="n">
        <v>0</v>
      </c>
      <c r="BD738" s="51" t="n">
        <v>0</v>
      </c>
      <c r="BE738" s="51" t="n">
        <v>0</v>
      </c>
      <c r="BF738" s="51" t="n">
        <v>0</v>
      </c>
    </row>
    <row r="739">
      <c r="A739">
        <f>HYPERLINK("https://www.walmart.com/ip/922410648", "922410648")</f>
        <v/>
      </c>
      <c r="B739" t="inlineStr">
        <is>
          <t>Catalonia Sherpa Throw Blanket, Fluffy Fuzzy Fleece Super Soft Blanket 50”x60”, Comfy Plush for Sofa Couch Bed Reversible All Season for Adults Children</t>
        </is>
      </c>
      <c r="C739" t="inlineStr">
        <is>
          <t>1CTBF320MO</t>
        </is>
      </c>
      <c r="D739" t="inlineStr">
        <is>
          <t>Throws</t>
        </is>
      </c>
      <c r="E739" t="inlineStr">
        <is>
          <t>Catalonia</t>
        </is>
      </c>
      <c r="F739" t="inlineStr">
        <is>
          <t>Q2-Target,Optimized,WFS,Coupon_Discount,WFS Item</t>
        </is>
      </c>
      <c r="G739" s="48" t="n">
        <v>0</v>
      </c>
      <c r="H739" s="48" t="n">
        <v>0</v>
      </c>
      <c r="I739" s="48" t="n">
        <v>0</v>
      </c>
      <c r="J739" s="48" t="n">
        <v>0</v>
      </c>
      <c r="K739" s="49" t="n">
        <v>0</v>
      </c>
      <c r="L739" s="49" t="n">
        <v>0</v>
      </c>
      <c r="M739" s="49" t="n">
        <v>0</v>
      </c>
      <c r="N739" s="49" t="n">
        <v>0</v>
      </c>
      <c r="O739" s="49" t="n">
        <v>0</v>
      </c>
      <c r="P739" s="49" t="n">
        <v>0</v>
      </c>
      <c r="Q739" s="49" t="n">
        <v>0</v>
      </c>
      <c r="R739" s="49" t="n">
        <v>0</v>
      </c>
      <c r="S739" s="50" t="n">
        <v>0</v>
      </c>
      <c r="T739" s="50" t="n">
        <v>0</v>
      </c>
      <c r="U739" s="50" t="n">
        <v>0</v>
      </c>
      <c r="V739" s="50" t="n">
        <v>0</v>
      </c>
      <c r="W739" s="51" t="n">
        <v>0</v>
      </c>
      <c r="X739" s="51" t="n">
        <v>0</v>
      </c>
      <c r="Y739" s="51" t="n">
        <v>0</v>
      </c>
      <c r="Z739" s="51" t="n">
        <v>0</v>
      </c>
      <c r="AA739" s="52" t="n">
        <v>0</v>
      </c>
      <c r="AB739" s="52" t="n">
        <v>0</v>
      </c>
      <c r="AC739" s="52" t="n">
        <v>0</v>
      </c>
      <c r="AD739" s="52" t="n">
        <v>0</v>
      </c>
      <c r="AE739" s="52" t="n">
        <v>0</v>
      </c>
      <c r="AF739" s="52" t="n">
        <v>0</v>
      </c>
      <c r="AG739" s="52" t="n">
        <v>0</v>
      </c>
      <c r="AH739" s="52" t="n">
        <v>0</v>
      </c>
      <c r="AI739" s="52" t="n">
        <v>0</v>
      </c>
      <c r="AJ739" s="52" t="n">
        <v>0</v>
      </c>
      <c r="AK739" s="52" t="n">
        <v>0</v>
      </c>
      <c r="AL739" s="52" t="n">
        <v>0</v>
      </c>
      <c r="AM739" s="53" t="n">
        <v>0</v>
      </c>
      <c r="AN739" s="53" t="n">
        <v>0</v>
      </c>
      <c r="AO739" s="53" t="n">
        <v>0</v>
      </c>
      <c r="AP739" s="53" t="n">
        <v>0</v>
      </c>
      <c r="AQ739" s="52" t="n">
        <v>0</v>
      </c>
      <c r="AR739" s="52" t="n">
        <v>0</v>
      </c>
      <c r="AS739" s="52" t="n">
        <v>0</v>
      </c>
      <c r="AT739" s="52" t="n">
        <v>0</v>
      </c>
      <c r="AU739" s="53" t="n">
        <v>0</v>
      </c>
      <c r="AV739" s="53" t="n">
        <v>0</v>
      </c>
      <c r="AW739" s="53" t="n">
        <v>0</v>
      </c>
      <c r="AX739" s="53" t="n">
        <v>0</v>
      </c>
      <c r="AY739" s="52" t="n">
        <v>0</v>
      </c>
      <c r="AZ739" s="52" t="n">
        <v>0</v>
      </c>
      <c r="BA739" s="52" t="n">
        <v>0</v>
      </c>
      <c r="BB739" s="52" t="n">
        <v>0</v>
      </c>
      <c r="BC739" s="51" t="n">
        <v>0</v>
      </c>
      <c r="BD739" s="51" t="n">
        <v>0</v>
      </c>
      <c r="BE739" s="51" t="n">
        <v>0</v>
      </c>
      <c r="BF739" s="51" t="n">
        <v>0</v>
      </c>
    </row>
    <row r="740">
      <c r="A740">
        <f>HYPERLINK("https://www.walmart.com/ip/924001152", "924001152")</f>
        <v/>
      </c>
      <c r="B740" t="inlineStr">
        <is>
          <t>Tirrinia Red Plaid Foldable Outdoor Waterproof Blanket for Camping Stadium, 51'' X 59''</t>
        </is>
      </c>
      <c r="C740" t="inlineStr">
        <is>
          <t>1TRBW506PRD</t>
        </is>
      </c>
      <c r="D740" t="inlineStr">
        <is>
          <t>Picnic Blankets &amp; Mats</t>
        </is>
      </c>
      <c r="E740" t="inlineStr">
        <is>
          <t>Tirrinia</t>
        </is>
      </c>
      <c r="F740" t="inlineStr">
        <is>
          <t>Optimized,SEM</t>
        </is>
      </c>
      <c r="G740" s="48" t="n">
        <v>0</v>
      </c>
      <c r="H740" s="48" t="n">
        <v>0</v>
      </c>
      <c r="I740" s="48" t="n">
        <v>0</v>
      </c>
      <c r="J740" s="48" t="n">
        <v>0</v>
      </c>
      <c r="K740" s="49" t="n">
        <v>0</v>
      </c>
      <c r="L740" s="49" t="n">
        <v>0</v>
      </c>
      <c r="M740" s="49" t="n">
        <v>0</v>
      </c>
      <c r="N740" s="49" t="n">
        <v>0</v>
      </c>
      <c r="O740" s="49" t="n">
        <v>0</v>
      </c>
      <c r="P740" s="49" t="n">
        <v>0</v>
      </c>
      <c r="Q740" s="49" t="n">
        <v>0</v>
      </c>
      <c r="R740" s="49" t="n">
        <v>0</v>
      </c>
      <c r="S740" s="50" t="n">
        <v>0</v>
      </c>
      <c r="T740" s="50" t="n">
        <v>0</v>
      </c>
      <c r="U740" s="50" t="n">
        <v>0</v>
      </c>
      <c r="V740" s="50" t="n">
        <v>0</v>
      </c>
      <c r="W740" s="51" t="n">
        <v>0</v>
      </c>
      <c r="X740" s="51" t="n">
        <v>0</v>
      </c>
      <c r="Y740" s="51" t="n">
        <v>0</v>
      </c>
      <c r="Z740" s="51" t="n">
        <v>0</v>
      </c>
      <c r="AA740" s="52" t="n">
        <v>0</v>
      </c>
      <c r="AB740" s="52" t="n">
        <v>0</v>
      </c>
      <c r="AC740" s="52" t="n">
        <v>0</v>
      </c>
      <c r="AD740" s="52" t="n">
        <v>0</v>
      </c>
      <c r="AE740" s="52" t="n">
        <v>0</v>
      </c>
      <c r="AF740" s="52" t="n">
        <v>0</v>
      </c>
      <c r="AG740" s="52" t="n">
        <v>0</v>
      </c>
      <c r="AH740" s="52" t="n">
        <v>0</v>
      </c>
      <c r="AI740" s="52" t="n">
        <v>0</v>
      </c>
      <c r="AJ740" s="52" t="n">
        <v>0</v>
      </c>
      <c r="AK740" s="52" t="n">
        <v>0</v>
      </c>
      <c r="AL740" s="52" t="n">
        <v>0</v>
      </c>
      <c r="AM740" s="53" t="n">
        <v>0</v>
      </c>
      <c r="AN740" s="53" t="n">
        <v>0</v>
      </c>
      <c r="AO740" s="53" t="n">
        <v>0</v>
      </c>
      <c r="AP740" s="53" t="n">
        <v>0</v>
      </c>
      <c r="AQ740" s="52" t="n">
        <v>0</v>
      </c>
      <c r="AR740" s="52" t="n">
        <v>0</v>
      </c>
      <c r="AS740" s="52" t="n">
        <v>0</v>
      </c>
      <c r="AT740" s="52" t="n">
        <v>0</v>
      </c>
      <c r="AU740" s="53" t="n">
        <v>0</v>
      </c>
      <c r="AV740" s="53" t="n">
        <v>0</v>
      </c>
      <c r="AW740" s="53" t="n">
        <v>0</v>
      </c>
      <c r="AX740" s="53" t="n">
        <v>0</v>
      </c>
      <c r="AY740" s="52" t="n">
        <v>0</v>
      </c>
      <c r="AZ740" s="52" t="n">
        <v>0</v>
      </c>
      <c r="BA740" s="52" t="n">
        <v>0</v>
      </c>
      <c r="BB740" s="52" t="n">
        <v>0</v>
      </c>
      <c r="BC740" s="51" t="n">
        <v>0</v>
      </c>
      <c r="BD740" s="51" t="n">
        <v>0</v>
      </c>
      <c r="BE740" s="51" t="n">
        <v>0</v>
      </c>
      <c r="BF740" s="51" t="n">
        <v>0</v>
      </c>
    </row>
    <row r="741">
      <c r="A741">
        <f>HYPERLINK("https://www.walmart.com/ip/924383443", "924383443")</f>
        <v/>
      </c>
      <c r="B741" t="inlineStr">
        <is>
          <t>100% Polar Fleece Skull Cap Warm and Cozy Beanie</t>
        </is>
      </c>
      <c r="C741" t="inlineStr">
        <is>
          <t>1SLW1810RD-FSCB</t>
        </is>
      </c>
      <c r="D741" t="inlineStr">
        <is>
          <t>Hats</t>
        </is>
      </c>
      <c r="E741" t="inlineStr">
        <is>
          <t>Solaris</t>
        </is>
      </c>
      <c r="F741" t="inlineStr">
        <is>
          <t>Batch 1 - TR</t>
        </is>
      </c>
      <c r="G741" s="48" t="n">
        <v>0</v>
      </c>
      <c r="H741" s="48" t="n">
        <v>0</v>
      </c>
      <c r="I741" s="48" t="n">
        <v>0</v>
      </c>
      <c r="J741" s="48" t="n">
        <v>0</v>
      </c>
      <c r="K741" s="49" t="n">
        <v>0</v>
      </c>
      <c r="L741" s="49" t="n">
        <v>0</v>
      </c>
      <c r="M741" s="49" t="n">
        <v>0</v>
      </c>
      <c r="N741" s="49" t="n">
        <v>0</v>
      </c>
      <c r="O741" s="49" t="n">
        <v>0</v>
      </c>
      <c r="P741" s="49" t="n">
        <v>0</v>
      </c>
      <c r="Q741" s="49" t="n">
        <v>0</v>
      </c>
      <c r="R741" s="49" t="n">
        <v>0</v>
      </c>
      <c r="S741" s="50" t="n">
        <v>0</v>
      </c>
      <c r="T741" s="50" t="n">
        <v>0</v>
      </c>
      <c r="U741" s="50" t="n">
        <v>0</v>
      </c>
      <c r="V741" s="50" t="n">
        <v>0</v>
      </c>
      <c r="W741" s="51" t="n">
        <v>0</v>
      </c>
      <c r="X741" s="51" t="n">
        <v>0</v>
      </c>
      <c r="Y741" s="51" t="n">
        <v>0</v>
      </c>
      <c r="Z741" s="51" t="n">
        <v>0</v>
      </c>
      <c r="AA741" s="52" t="n">
        <v>0</v>
      </c>
      <c r="AB741" s="52" t="n">
        <v>0</v>
      </c>
      <c r="AC741" s="52" t="n">
        <v>0</v>
      </c>
      <c r="AD741" s="52" t="n">
        <v>0</v>
      </c>
      <c r="AE741" s="52" t="n">
        <v>0</v>
      </c>
      <c r="AF741" s="52" t="n">
        <v>0</v>
      </c>
      <c r="AG741" s="52" t="n">
        <v>0</v>
      </c>
      <c r="AH741" s="52" t="n">
        <v>0</v>
      </c>
      <c r="AI741" s="52" t="n">
        <v>0</v>
      </c>
      <c r="AJ741" s="52" t="n">
        <v>0</v>
      </c>
      <c r="AK741" s="52" t="n">
        <v>0</v>
      </c>
      <c r="AL741" s="52" t="n">
        <v>0</v>
      </c>
      <c r="AM741" s="53" t="n">
        <v>0</v>
      </c>
      <c r="AN741" s="53" t="n">
        <v>0</v>
      </c>
      <c r="AO741" s="53" t="n">
        <v>0</v>
      </c>
      <c r="AP741" s="53" t="n">
        <v>0</v>
      </c>
      <c r="AQ741" s="52" t="n">
        <v>0</v>
      </c>
      <c r="AR741" s="52" t="n">
        <v>0</v>
      </c>
      <c r="AS741" s="52" t="n">
        <v>0</v>
      </c>
      <c r="AT741" s="52" t="n">
        <v>0</v>
      </c>
      <c r="AU741" s="53" t="n">
        <v>0</v>
      </c>
      <c r="AV741" s="53" t="n">
        <v>0</v>
      </c>
      <c r="AW741" s="53" t="n">
        <v>0</v>
      </c>
      <c r="AX741" s="53" t="n">
        <v>0</v>
      </c>
      <c r="AY741" s="52" t="n">
        <v>0</v>
      </c>
      <c r="AZ741" s="52" t="n">
        <v>0</v>
      </c>
      <c r="BA741" s="52" t="n">
        <v>0</v>
      </c>
      <c r="BB741" s="52" t="n">
        <v>0</v>
      </c>
      <c r="BC741" s="51" t="n">
        <v>0</v>
      </c>
      <c r="BD741" s="51" t="n">
        <v>0</v>
      </c>
      <c r="BE741" s="51" t="n">
        <v>0</v>
      </c>
      <c r="BF741" s="51" t="n">
        <v>0</v>
      </c>
    </row>
    <row r="742">
      <c r="A742">
        <f>HYPERLINK("https://www.walmart.com/ip/924510521", "924510521")</f>
        <v/>
      </c>
      <c r="B742" t="inlineStr">
        <is>
          <t>Solaris Adventure hat UPF 50+ rated Outdoor hat Wide brim with Back flap</t>
        </is>
      </c>
      <c r="C742" t="inlineStr">
        <is>
          <t>TR-S9152TN-JWCB</t>
        </is>
      </c>
      <c r="D742" t="inlineStr">
        <is>
          <t>Hats</t>
        </is>
      </c>
      <c r="E742" t="inlineStr">
        <is>
          <t>Terra</t>
        </is>
      </c>
      <c r="F742" t="inlineStr">
        <is>
          <t>Optimized</t>
        </is>
      </c>
      <c r="G742" s="48" t="n">
        <v>0</v>
      </c>
      <c r="H742" s="48" t="n">
        <v>0</v>
      </c>
      <c r="I742" s="48" t="n">
        <v>0</v>
      </c>
      <c r="J742" s="48" t="n">
        <v>0</v>
      </c>
      <c r="K742" s="49" t="n">
        <v>0</v>
      </c>
      <c r="L742" s="49" t="n">
        <v>0</v>
      </c>
      <c r="M742" s="49" t="n">
        <v>0</v>
      </c>
      <c r="N742" s="49" t="n">
        <v>0</v>
      </c>
      <c r="O742" s="49" t="n">
        <v>0</v>
      </c>
      <c r="P742" s="49" t="n">
        <v>0</v>
      </c>
      <c r="Q742" s="49" t="n">
        <v>0</v>
      </c>
      <c r="R742" s="49" t="n">
        <v>0</v>
      </c>
      <c r="S742" s="50" t="n">
        <v>0</v>
      </c>
      <c r="T742" s="50" t="n">
        <v>0</v>
      </c>
      <c r="U742" s="50" t="n">
        <v>0</v>
      </c>
      <c r="V742" s="50" t="n">
        <v>0</v>
      </c>
      <c r="W742" s="51" t="n">
        <v>0</v>
      </c>
      <c r="X742" s="51" t="n">
        <v>0</v>
      </c>
      <c r="Y742" s="51" t="n">
        <v>0</v>
      </c>
      <c r="Z742" s="51" t="n">
        <v>0</v>
      </c>
      <c r="AA742" s="52" t="n">
        <v>0</v>
      </c>
      <c r="AB742" s="52" t="n">
        <v>0</v>
      </c>
      <c r="AC742" s="52" t="n">
        <v>0</v>
      </c>
      <c r="AD742" s="52" t="n">
        <v>0</v>
      </c>
      <c r="AE742" s="52" t="n">
        <v>0</v>
      </c>
      <c r="AF742" s="52" t="n">
        <v>0</v>
      </c>
      <c r="AG742" s="52" t="n">
        <v>0</v>
      </c>
      <c r="AH742" s="52" t="n">
        <v>0</v>
      </c>
      <c r="AI742" s="52" t="n">
        <v>0</v>
      </c>
      <c r="AJ742" s="52" t="n">
        <v>0</v>
      </c>
      <c r="AK742" s="52" t="n">
        <v>0</v>
      </c>
      <c r="AL742" s="52" t="n">
        <v>0</v>
      </c>
      <c r="AM742" s="53" t="n">
        <v>0</v>
      </c>
      <c r="AN742" s="53" t="n">
        <v>0</v>
      </c>
      <c r="AO742" s="53" t="n">
        <v>0</v>
      </c>
      <c r="AP742" s="53" t="n">
        <v>0</v>
      </c>
      <c r="AQ742" s="52" t="n">
        <v>0</v>
      </c>
      <c r="AR742" s="52" t="n">
        <v>0</v>
      </c>
      <c r="AS742" s="52" t="n">
        <v>0</v>
      </c>
      <c r="AT742" s="52" t="n">
        <v>0</v>
      </c>
      <c r="AU742" s="53" t="n">
        <v>0</v>
      </c>
      <c r="AV742" s="53" t="n">
        <v>0</v>
      </c>
      <c r="AW742" s="53" t="n">
        <v>0</v>
      </c>
      <c r="AX742" s="53" t="n">
        <v>0</v>
      </c>
      <c r="AY742" s="52" t="n">
        <v>0</v>
      </c>
      <c r="AZ742" s="52" t="n">
        <v>0</v>
      </c>
      <c r="BA742" s="52" t="n">
        <v>0</v>
      </c>
      <c r="BB742" s="52" t="n">
        <v>0</v>
      </c>
      <c r="BC742" s="51" t="n">
        <v>0</v>
      </c>
      <c r="BD742" s="51" t="n">
        <v>0</v>
      </c>
      <c r="BE742" s="51" t="n">
        <v>0</v>
      </c>
      <c r="BF742" s="51" t="n">
        <v>0</v>
      </c>
    </row>
    <row r="743">
      <c r="A743">
        <f>HYPERLINK("https://www.walmart.com/ip/924821429", "924821429")</f>
        <v/>
      </c>
      <c r="B743" t="inlineStr">
        <is>
          <t>Sherpa Wearable Blanket with Sleeves Arms, Super Soft Warm Comfy Large Fleece Plush Sleeved TV Throws Wrap Robe Blanket for Adult Women and Men, Dot</t>
        </is>
      </c>
      <c r="C743" t="inlineStr">
        <is>
          <t>1CTSN110RDDOT</t>
        </is>
      </c>
      <c r="D743" t="inlineStr">
        <is>
          <t>Throws</t>
        </is>
      </c>
      <c r="E743" t="inlineStr">
        <is>
          <t>Catalonia</t>
        </is>
      </c>
      <c r="F743" t="inlineStr">
        <is>
          <t>Q2-Target,WFS,Coupon_Discount,WFS Item</t>
        </is>
      </c>
      <c r="G743" s="48" t="n">
        <v>0</v>
      </c>
      <c r="H743" s="48" t="n">
        <v>0</v>
      </c>
      <c r="I743" s="48" t="n">
        <v>0</v>
      </c>
      <c r="J743" s="48" t="n">
        <v>0</v>
      </c>
      <c r="K743" s="49" t="n">
        <v>0</v>
      </c>
      <c r="L743" s="49" t="n">
        <v>0</v>
      </c>
      <c r="M743" s="49" t="n">
        <v>0</v>
      </c>
      <c r="N743" s="49" t="n">
        <v>0</v>
      </c>
      <c r="O743" s="49" t="n">
        <v>0</v>
      </c>
      <c r="P743" s="49" t="n">
        <v>0</v>
      </c>
      <c r="Q743" s="49" t="n">
        <v>0</v>
      </c>
      <c r="R743" s="49" t="n">
        <v>0</v>
      </c>
      <c r="S743" s="50" t="n">
        <v>0</v>
      </c>
      <c r="T743" s="50" t="n">
        <v>0</v>
      </c>
      <c r="U743" s="50" t="n">
        <v>0</v>
      </c>
      <c r="V743" s="50" t="n">
        <v>0</v>
      </c>
      <c r="W743" s="51" t="n">
        <v>0</v>
      </c>
      <c r="X743" s="51" t="n">
        <v>0</v>
      </c>
      <c r="Y743" s="51" t="n">
        <v>0</v>
      </c>
      <c r="Z743" s="51" t="n">
        <v>0</v>
      </c>
      <c r="AA743" s="52" t="n">
        <v>0</v>
      </c>
      <c r="AB743" s="52" t="n">
        <v>0</v>
      </c>
      <c r="AC743" s="52" t="n">
        <v>0</v>
      </c>
      <c r="AD743" s="52" t="n">
        <v>0</v>
      </c>
      <c r="AE743" s="52" t="n">
        <v>0</v>
      </c>
      <c r="AF743" s="52" t="n">
        <v>0</v>
      </c>
      <c r="AG743" s="52" t="n">
        <v>0</v>
      </c>
      <c r="AH743" s="52" t="n">
        <v>0</v>
      </c>
      <c r="AI743" s="52" t="n">
        <v>0</v>
      </c>
      <c r="AJ743" s="52" t="n">
        <v>0</v>
      </c>
      <c r="AK743" s="52" t="n">
        <v>0</v>
      </c>
      <c r="AL743" s="52" t="n">
        <v>0</v>
      </c>
      <c r="AM743" s="53" t="n">
        <v>0</v>
      </c>
      <c r="AN743" s="53" t="n">
        <v>0</v>
      </c>
      <c r="AO743" s="53" t="n">
        <v>0</v>
      </c>
      <c r="AP743" s="53" t="n">
        <v>0</v>
      </c>
      <c r="AQ743" s="52" t="n">
        <v>0</v>
      </c>
      <c r="AR743" s="52" t="n">
        <v>0</v>
      </c>
      <c r="AS743" s="52" t="n">
        <v>0</v>
      </c>
      <c r="AT743" s="52" t="n">
        <v>0</v>
      </c>
      <c r="AU743" s="53" t="n">
        <v>0</v>
      </c>
      <c r="AV743" s="53" t="n">
        <v>0</v>
      </c>
      <c r="AW743" s="53" t="n">
        <v>0</v>
      </c>
      <c r="AX743" s="53" t="n">
        <v>0</v>
      </c>
      <c r="AY743" s="52" t="n">
        <v>0</v>
      </c>
      <c r="AZ743" s="52" t="n">
        <v>0</v>
      </c>
      <c r="BA743" s="52" t="n">
        <v>0</v>
      </c>
      <c r="BB743" s="52" t="n">
        <v>0</v>
      </c>
      <c r="BC743" s="51" t="n">
        <v>0</v>
      </c>
      <c r="BD743" s="51" t="n">
        <v>0</v>
      </c>
      <c r="BE743" s="51" t="n">
        <v>0</v>
      </c>
      <c r="BF743" s="51" t="n">
        <v>0</v>
      </c>
    </row>
    <row r="744">
      <c r="A744">
        <f>HYPERLINK("https://www.walmart.com/ip/924974660", "924974660")</f>
        <v/>
      </c>
      <c r="B744" t="inlineStr">
        <is>
          <t>Napa Women Bathrobe Kimono Waffle, Lightweight Luxurious Knee Length Long Sleeved, Gray</t>
        </is>
      </c>
      <c r="C744" t="inlineStr">
        <is>
          <t>R5030GY-01</t>
        </is>
      </c>
      <c r="D744" t="inlineStr">
        <is>
          <t>Sleepwear Robes &amp; Bathrobes</t>
        </is>
      </c>
      <c r="E744" t="inlineStr">
        <is>
          <t>NAPA</t>
        </is>
      </c>
      <c r="G744" s="48" t="n">
        <v>0</v>
      </c>
      <c r="H744" s="48" t="n">
        <v>0</v>
      </c>
      <c r="I744" s="48" t="n">
        <v>0</v>
      </c>
      <c r="J744" s="48" t="n">
        <v>0</v>
      </c>
      <c r="K744" s="49" t="n">
        <v>0</v>
      </c>
      <c r="L744" s="49" t="n">
        <v>0</v>
      </c>
      <c r="M744" s="49" t="n">
        <v>0</v>
      </c>
      <c r="N744" s="49" t="n">
        <v>0</v>
      </c>
      <c r="O744" s="49" t="n">
        <v>0</v>
      </c>
      <c r="P744" s="49" t="n">
        <v>0</v>
      </c>
      <c r="Q744" s="49" t="n">
        <v>0</v>
      </c>
      <c r="R744" s="49" t="n">
        <v>0</v>
      </c>
      <c r="S744" s="50" t="n">
        <v>0</v>
      </c>
      <c r="T744" s="50" t="n">
        <v>0</v>
      </c>
      <c r="U744" s="50" t="n">
        <v>0</v>
      </c>
      <c r="V744" s="50" t="n">
        <v>0</v>
      </c>
      <c r="W744" s="51" t="n">
        <v>0</v>
      </c>
      <c r="X744" s="51" t="n">
        <v>0</v>
      </c>
      <c r="Y744" s="51" t="n">
        <v>0</v>
      </c>
      <c r="Z744" s="51" t="n">
        <v>0</v>
      </c>
      <c r="AA744" s="52" t="n">
        <v>0</v>
      </c>
      <c r="AB744" s="52" t="n">
        <v>0</v>
      </c>
      <c r="AC744" s="52" t="n">
        <v>0</v>
      </c>
      <c r="AD744" s="52" t="n">
        <v>0</v>
      </c>
      <c r="AE744" s="52" t="n">
        <v>0</v>
      </c>
      <c r="AF744" s="52" t="n">
        <v>0</v>
      </c>
      <c r="AG744" s="52" t="n">
        <v>0</v>
      </c>
      <c r="AH744" s="52" t="n">
        <v>0</v>
      </c>
      <c r="AI744" s="52" t="n">
        <v>0</v>
      </c>
      <c r="AJ744" s="52" t="n">
        <v>0</v>
      </c>
      <c r="AK744" s="52" t="n">
        <v>0</v>
      </c>
      <c r="AL744" s="52" t="n">
        <v>0</v>
      </c>
      <c r="AM744" s="53" t="n">
        <v>0</v>
      </c>
      <c r="AN744" s="53" t="n">
        <v>0</v>
      </c>
      <c r="AO744" s="53" t="n">
        <v>0</v>
      </c>
      <c r="AP744" s="53" t="n">
        <v>0</v>
      </c>
      <c r="AQ744" s="52" t="n">
        <v>0</v>
      </c>
      <c r="AR744" s="52" t="n">
        <v>0</v>
      </c>
      <c r="AS744" s="52" t="n">
        <v>0</v>
      </c>
      <c r="AT744" s="52" t="n">
        <v>0</v>
      </c>
      <c r="AU744" s="53" t="n">
        <v>0</v>
      </c>
      <c r="AV744" s="53" t="n">
        <v>0</v>
      </c>
      <c r="AW744" s="53" t="n">
        <v>0</v>
      </c>
      <c r="AX744" s="53" t="n">
        <v>0</v>
      </c>
      <c r="AY744" s="52" t="n">
        <v>0</v>
      </c>
      <c r="AZ744" s="52" t="n">
        <v>0</v>
      </c>
      <c r="BA744" s="52" t="n">
        <v>0</v>
      </c>
      <c r="BB744" s="52" t="n">
        <v>0</v>
      </c>
      <c r="BC744" s="51" t="n">
        <v>0</v>
      </c>
      <c r="BD744" s="51" t="n">
        <v>0</v>
      </c>
      <c r="BE744" s="51" t="n">
        <v>0</v>
      </c>
      <c r="BF744" s="51" t="n">
        <v>0</v>
      </c>
    </row>
    <row r="745">
      <c r="A745">
        <f>HYPERLINK("https://www.walmart.com/ip/925603003", "925603003")</f>
        <v/>
      </c>
      <c r="B745" t="inlineStr">
        <is>
          <t>Mens Underwear Mens Boxer Briefs with Elastic Waistband Solid New Classic Fit, 3 Pack by Terra</t>
        </is>
      </c>
      <c r="C745" t="inlineStr">
        <is>
          <t>TERRA-BOXER3-L</t>
        </is>
      </c>
      <c r="D745" t="inlineStr">
        <is>
          <t>Underpants</t>
        </is>
      </c>
      <c r="E745" t="inlineStr">
        <is>
          <t>Terra</t>
        </is>
      </c>
      <c r="F745" t="inlineStr">
        <is>
          <t>Batch 1 - TR</t>
        </is>
      </c>
      <c r="G745" s="48" t="n">
        <v>0</v>
      </c>
      <c r="H745" s="48" t="n">
        <v>0</v>
      </c>
      <c r="I745" s="48" t="n">
        <v>0</v>
      </c>
      <c r="J745" s="48" t="n">
        <v>0</v>
      </c>
      <c r="K745" s="49" t="n">
        <v>0</v>
      </c>
      <c r="L745" s="49" t="n">
        <v>0</v>
      </c>
      <c r="M745" s="49" t="n">
        <v>0</v>
      </c>
      <c r="N745" s="49" t="n">
        <v>0</v>
      </c>
      <c r="O745" s="49" t="n">
        <v>0</v>
      </c>
      <c r="P745" s="49" t="n">
        <v>0</v>
      </c>
      <c r="Q745" s="49" t="n">
        <v>0</v>
      </c>
      <c r="R745" s="49" t="n">
        <v>0</v>
      </c>
      <c r="S745" s="50" t="n">
        <v>0</v>
      </c>
      <c r="T745" s="50" t="n">
        <v>0</v>
      </c>
      <c r="U745" s="50" t="n">
        <v>0</v>
      </c>
      <c r="V745" s="50" t="n">
        <v>0</v>
      </c>
      <c r="W745" s="51" t="n">
        <v>0</v>
      </c>
      <c r="X745" s="51" t="n">
        <v>0</v>
      </c>
      <c r="Y745" s="51" t="n">
        <v>0</v>
      </c>
      <c r="Z745" s="51" t="n">
        <v>0</v>
      </c>
      <c r="AA745" s="52" t="n">
        <v>0</v>
      </c>
      <c r="AB745" s="52" t="n">
        <v>0</v>
      </c>
      <c r="AC745" s="52" t="n">
        <v>0</v>
      </c>
      <c r="AD745" s="52" t="n">
        <v>0</v>
      </c>
      <c r="AE745" s="52" t="n">
        <v>0</v>
      </c>
      <c r="AF745" s="52" t="n">
        <v>0</v>
      </c>
      <c r="AG745" s="52" t="n">
        <v>0</v>
      </c>
      <c r="AH745" s="52" t="n">
        <v>0</v>
      </c>
      <c r="AI745" s="52" t="n">
        <v>0</v>
      </c>
      <c r="AJ745" s="52" t="n">
        <v>0</v>
      </c>
      <c r="AK745" s="52" t="n">
        <v>0</v>
      </c>
      <c r="AL745" s="52" t="n">
        <v>0</v>
      </c>
      <c r="AM745" s="53" t="n">
        <v>0</v>
      </c>
      <c r="AN745" s="53" t="n">
        <v>0</v>
      </c>
      <c r="AO745" s="53" t="n">
        <v>0</v>
      </c>
      <c r="AP745" s="53" t="n">
        <v>0</v>
      </c>
      <c r="AQ745" s="52" t="n">
        <v>0</v>
      </c>
      <c r="AR745" s="52" t="n">
        <v>0</v>
      </c>
      <c r="AS745" s="52" t="n">
        <v>0</v>
      </c>
      <c r="AT745" s="52" t="n">
        <v>0</v>
      </c>
      <c r="AU745" s="53" t="n">
        <v>0</v>
      </c>
      <c r="AV745" s="53" t="n">
        <v>0</v>
      </c>
      <c r="AW745" s="53" t="n">
        <v>0</v>
      </c>
      <c r="AX745" s="53" t="n">
        <v>0</v>
      </c>
      <c r="AY745" s="52" t="n">
        <v>0</v>
      </c>
      <c r="AZ745" s="52" t="n">
        <v>0</v>
      </c>
      <c r="BA745" s="52" t="n">
        <v>0</v>
      </c>
      <c r="BB745" s="52" t="n">
        <v>0</v>
      </c>
      <c r="BC745" s="51" t="n">
        <v>0</v>
      </c>
      <c r="BD745" s="51" t="n">
        <v>0</v>
      </c>
      <c r="BE745" s="51" t="n">
        <v>0</v>
      </c>
      <c r="BF745" s="51" t="n">
        <v>0</v>
      </c>
    </row>
    <row r="746">
      <c r="A746">
        <f>HYPERLINK("https://www.walmart.com/ip/926548023", "926548023")</f>
        <v/>
      </c>
      <c r="B746" t="inlineStr">
        <is>
          <t>100% Polar Fleece Skull Cap Warm and Cozy Beanie</t>
        </is>
      </c>
      <c r="C746" t="inlineStr">
        <is>
          <t>1SLW1810PK-FSCB</t>
        </is>
      </c>
      <c r="D746" t="inlineStr">
        <is>
          <t>Hats</t>
        </is>
      </c>
      <c r="E746" t="inlineStr">
        <is>
          <t>Solaris</t>
        </is>
      </c>
      <c r="F746" t="inlineStr">
        <is>
          <t>Batch 1 - TR</t>
        </is>
      </c>
      <c r="G746" s="48" t="n">
        <v>0</v>
      </c>
      <c r="H746" s="48" t="n">
        <v>0</v>
      </c>
      <c r="I746" s="48" t="n">
        <v>0</v>
      </c>
      <c r="J746" s="48" t="n">
        <v>0</v>
      </c>
      <c r="K746" s="49" t="n">
        <v>0</v>
      </c>
      <c r="L746" s="49" t="n">
        <v>0</v>
      </c>
      <c r="M746" s="49" t="n">
        <v>0</v>
      </c>
      <c r="N746" s="49" t="n">
        <v>0</v>
      </c>
      <c r="O746" s="49" t="n">
        <v>0</v>
      </c>
      <c r="P746" s="49" t="n">
        <v>0</v>
      </c>
      <c r="Q746" s="49" t="n">
        <v>0</v>
      </c>
      <c r="R746" s="49" t="n">
        <v>0</v>
      </c>
      <c r="S746" s="50" t="n">
        <v>0</v>
      </c>
      <c r="T746" s="50" t="n">
        <v>0</v>
      </c>
      <c r="U746" s="50" t="n">
        <v>0</v>
      </c>
      <c r="V746" s="50" t="n">
        <v>0</v>
      </c>
      <c r="W746" s="51" t="n">
        <v>0</v>
      </c>
      <c r="X746" s="51" t="n">
        <v>0</v>
      </c>
      <c r="Y746" s="51" t="n">
        <v>0</v>
      </c>
      <c r="Z746" s="51" t="n">
        <v>0</v>
      </c>
      <c r="AA746" s="52" t="n">
        <v>0</v>
      </c>
      <c r="AB746" s="52" t="n">
        <v>0</v>
      </c>
      <c r="AC746" s="52" t="n">
        <v>0</v>
      </c>
      <c r="AD746" s="52" t="n">
        <v>0</v>
      </c>
      <c r="AE746" s="52" t="n">
        <v>0</v>
      </c>
      <c r="AF746" s="52" t="n">
        <v>0</v>
      </c>
      <c r="AG746" s="52" t="n">
        <v>0</v>
      </c>
      <c r="AH746" s="52" t="n">
        <v>0</v>
      </c>
      <c r="AI746" s="52" t="n">
        <v>0</v>
      </c>
      <c r="AJ746" s="52" t="n">
        <v>0</v>
      </c>
      <c r="AK746" s="52" t="n">
        <v>0</v>
      </c>
      <c r="AL746" s="52" t="n">
        <v>0</v>
      </c>
      <c r="AM746" s="53" t="n">
        <v>0</v>
      </c>
      <c r="AN746" s="53" t="n">
        <v>0</v>
      </c>
      <c r="AO746" s="53" t="n">
        <v>0</v>
      </c>
      <c r="AP746" s="53" t="n">
        <v>0</v>
      </c>
      <c r="AQ746" s="52" t="n">
        <v>0</v>
      </c>
      <c r="AR746" s="52" t="n">
        <v>0</v>
      </c>
      <c r="AS746" s="52" t="n">
        <v>0</v>
      </c>
      <c r="AT746" s="52" t="n">
        <v>0</v>
      </c>
      <c r="AU746" s="53" t="n">
        <v>0</v>
      </c>
      <c r="AV746" s="53" t="n">
        <v>0</v>
      </c>
      <c r="AW746" s="53" t="n">
        <v>0</v>
      </c>
      <c r="AX746" s="53" t="n">
        <v>0</v>
      </c>
      <c r="AY746" s="52" t="n">
        <v>0</v>
      </c>
      <c r="AZ746" s="52" t="n">
        <v>0</v>
      </c>
      <c r="BA746" s="52" t="n">
        <v>0</v>
      </c>
      <c r="BB746" s="52" t="n">
        <v>0</v>
      </c>
      <c r="BC746" s="51" t="n">
        <v>0</v>
      </c>
      <c r="BD746" s="51" t="n">
        <v>0</v>
      </c>
      <c r="BE746" s="51" t="n">
        <v>0</v>
      </c>
      <c r="BF746" s="51" t="n">
        <v>0</v>
      </c>
    </row>
    <row r="747">
      <c r="A747">
        <f>HYPERLINK("https://www.walmart.com/ip/926611266", "926611266")</f>
        <v/>
      </c>
      <c r="B747" t="inlineStr">
        <is>
          <t>Flyingstar Wearable Blanket with Sleeves and Pocket, Fleece Micro Plush Throws Blanket, Robe for Women and Men 73” x 51” Navy</t>
        </is>
      </c>
      <c r="C747" t="inlineStr">
        <is>
          <t>1WMSN100NY</t>
        </is>
      </c>
      <c r="D747" t="inlineStr">
        <is>
          <t>Throws</t>
        </is>
      </c>
      <c r="E747" t="inlineStr">
        <is>
          <t>Flyingstar</t>
        </is>
      </c>
      <c r="F747" t="inlineStr">
        <is>
          <t>Optimized</t>
        </is>
      </c>
      <c r="G747" s="48" t="n">
        <v>0</v>
      </c>
      <c r="H747" s="48" t="n">
        <v>0</v>
      </c>
      <c r="I747" s="48" t="n">
        <v>0</v>
      </c>
      <c r="J747" s="48" t="n">
        <v>0</v>
      </c>
      <c r="K747" s="49" t="n">
        <v>0</v>
      </c>
      <c r="L747" s="49" t="n">
        <v>0</v>
      </c>
      <c r="M747" s="49" t="n">
        <v>0</v>
      </c>
      <c r="N747" s="49" t="n">
        <v>0</v>
      </c>
      <c r="O747" s="49" t="n">
        <v>0</v>
      </c>
      <c r="P747" s="49" t="n">
        <v>0</v>
      </c>
      <c r="Q747" s="49" t="n">
        <v>0</v>
      </c>
      <c r="R747" s="49" t="n">
        <v>0</v>
      </c>
      <c r="S747" s="50" t="n">
        <v>0</v>
      </c>
      <c r="T747" s="50" t="n">
        <v>0</v>
      </c>
      <c r="U747" s="50" t="n">
        <v>0</v>
      </c>
      <c r="V747" s="50" t="n">
        <v>0</v>
      </c>
      <c r="W747" s="51" t="n">
        <v>0</v>
      </c>
      <c r="X747" s="51" t="n">
        <v>0</v>
      </c>
      <c r="Y747" s="51" t="n">
        <v>0</v>
      </c>
      <c r="Z747" s="51" t="n">
        <v>0</v>
      </c>
      <c r="AA747" s="52" t="n">
        <v>0</v>
      </c>
      <c r="AB747" s="52" t="n">
        <v>0</v>
      </c>
      <c r="AC747" s="52" t="n">
        <v>0</v>
      </c>
      <c r="AD747" s="52" t="n">
        <v>0</v>
      </c>
      <c r="AE747" s="52" t="n">
        <v>0</v>
      </c>
      <c r="AF747" s="52" t="n">
        <v>0</v>
      </c>
      <c r="AG747" s="52" t="n">
        <v>0</v>
      </c>
      <c r="AH747" s="52" t="n">
        <v>0</v>
      </c>
      <c r="AI747" s="52" t="n">
        <v>0</v>
      </c>
      <c r="AJ747" s="52" t="n">
        <v>0</v>
      </c>
      <c r="AK747" s="52" t="n">
        <v>0</v>
      </c>
      <c r="AL747" s="52" t="n">
        <v>0</v>
      </c>
      <c r="AM747" s="53" t="n">
        <v>0</v>
      </c>
      <c r="AN747" s="53" t="n">
        <v>0</v>
      </c>
      <c r="AO747" s="53" t="n">
        <v>0</v>
      </c>
      <c r="AP747" s="53" t="n">
        <v>0</v>
      </c>
      <c r="AQ747" s="52" t="n">
        <v>0</v>
      </c>
      <c r="AR747" s="52" t="n">
        <v>0</v>
      </c>
      <c r="AS747" s="52" t="n">
        <v>0</v>
      </c>
      <c r="AT747" s="52" t="n">
        <v>0</v>
      </c>
      <c r="AU747" s="53" t="n">
        <v>0</v>
      </c>
      <c r="AV747" s="53" t="n">
        <v>0</v>
      </c>
      <c r="AW747" s="53" t="n">
        <v>0</v>
      </c>
      <c r="AX747" s="53" t="n">
        <v>0</v>
      </c>
      <c r="AY747" s="52" t="n">
        <v>0</v>
      </c>
      <c r="AZ747" s="52" t="n">
        <v>0</v>
      </c>
      <c r="BA747" s="52" t="n">
        <v>0</v>
      </c>
      <c r="BB747" s="52" t="n">
        <v>0</v>
      </c>
      <c r="BC747" s="51" t="n">
        <v>0</v>
      </c>
      <c r="BD747" s="51" t="n">
        <v>0</v>
      </c>
      <c r="BE747" s="51" t="n">
        <v>0</v>
      </c>
      <c r="BF747" s="51" t="n">
        <v>0</v>
      </c>
    </row>
    <row r="748">
      <c r="A748">
        <f>HYPERLINK("https://www.walmart.com/ip/926704972", "926704972")</f>
        <v/>
      </c>
      <c r="B748" t="inlineStr">
        <is>
          <t>Tirrinia Insulated 4 Bottle Wine Carrier Tote Cooler Bag for Travel Picnic Padded Champagne Glass Carrying Case Leather</t>
        </is>
      </c>
      <c r="C748" t="inlineStr">
        <is>
          <t>1WMWB421GN</t>
        </is>
      </c>
      <c r="D748" t="inlineStr">
        <is>
          <t>Wine Totes, Bags &amp; Backpacks</t>
        </is>
      </c>
      <c r="E748" t="inlineStr">
        <is>
          <t>Flyingstar</t>
        </is>
      </c>
      <c r="F748" t="inlineStr">
        <is>
          <t>Wine,Christmas,Optimized,Valentine</t>
        </is>
      </c>
      <c r="G748" s="48" t="n">
        <v>0</v>
      </c>
      <c r="H748" s="48" t="n">
        <v>0</v>
      </c>
      <c r="I748" s="48" t="n">
        <v>0</v>
      </c>
      <c r="J748" s="48" t="n">
        <v>0</v>
      </c>
      <c r="K748" s="49" t="n">
        <v>0</v>
      </c>
      <c r="L748" s="49" t="n">
        <v>0</v>
      </c>
      <c r="M748" s="49" t="n">
        <v>0</v>
      </c>
      <c r="N748" s="49" t="n">
        <v>0</v>
      </c>
      <c r="O748" s="49" t="n">
        <v>0</v>
      </c>
      <c r="P748" s="49" t="n">
        <v>0</v>
      </c>
      <c r="Q748" s="49" t="n">
        <v>0</v>
      </c>
      <c r="R748" s="49" t="n">
        <v>0</v>
      </c>
      <c r="S748" s="50" t="n">
        <v>0</v>
      </c>
      <c r="T748" s="50" t="n">
        <v>0</v>
      </c>
      <c r="U748" s="50" t="n">
        <v>0</v>
      </c>
      <c r="V748" s="50" t="n">
        <v>0</v>
      </c>
      <c r="W748" s="51" t="n">
        <v>0</v>
      </c>
      <c r="X748" s="51" t="n">
        <v>0</v>
      </c>
      <c r="Y748" s="51" t="n">
        <v>0</v>
      </c>
      <c r="Z748" s="51" t="n">
        <v>0</v>
      </c>
      <c r="AA748" s="52" t="n">
        <v>0</v>
      </c>
      <c r="AB748" s="52" t="n">
        <v>0</v>
      </c>
      <c r="AC748" s="52" t="n">
        <v>0</v>
      </c>
      <c r="AD748" s="52" t="n">
        <v>0</v>
      </c>
      <c r="AE748" s="52" t="n">
        <v>0</v>
      </c>
      <c r="AF748" s="52" t="n">
        <v>0</v>
      </c>
      <c r="AG748" s="52" t="n">
        <v>0</v>
      </c>
      <c r="AH748" s="52" t="n">
        <v>0</v>
      </c>
      <c r="AI748" s="52" t="n">
        <v>0</v>
      </c>
      <c r="AJ748" s="52" t="n">
        <v>0</v>
      </c>
      <c r="AK748" s="52" t="n">
        <v>0</v>
      </c>
      <c r="AL748" s="52" t="n">
        <v>0</v>
      </c>
      <c r="AM748" s="53" t="n">
        <v>0</v>
      </c>
      <c r="AN748" s="53" t="n">
        <v>0</v>
      </c>
      <c r="AO748" s="53" t="n">
        <v>0</v>
      </c>
      <c r="AP748" s="53" t="n">
        <v>0</v>
      </c>
      <c r="AQ748" s="52" t="n">
        <v>0</v>
      </c>
      <c r="AR748" s="52" t="n">
        <v>0</v>
      </c>
      <c r="AS748" s="52" t="n">
        <v>0</v>
      </c>
      <c r="AT748" s="52" t="n">
        <v>0</v>
      </c>
      <c r="AU748" s="53" t="n">
        <v>0</v>
      </c>
      <c r="AV748" s="53" t="n">
        <v>0</v>
      </c>
      <c r="AW748" s="53" t="n">
        <v>0</v>
      </c>
      <c r="AX748" s="53" t="n">
        <v>0</v>
      </c>
      <c r="AY748" s="52" t="n">
        <v>0</v>
      </c>
      <c r="AZ748" s="52" t="n">
        <v>0</v>
      </c>
      <c r="BA748" s="52" t="n">
        <v>0</v>
      </c>
      <c r="BB748" s="52" t="n">
        <v>0</v>
      </c>
      <c r="BC748" s="51" t="n">
        <v>0</v>
      </c>
      <c r="BD748" s="51" t="n">
        <v>0</v>
      </c>
      <c r="BE748" s="51" t="n">
        <v>0</v>
      </c>
      <c r="BF748" s="51" t="n">
        <v>0</v>
      </c>
    </row>
    <row r="749">
      <c r="A749">
        <f>HYPERLINK("https://www.walmart.com/ip/927000910", "927000910")</f>
        <v/>
      </c>
      <c r="B749" t="inlineStr">
        <is>
          <t>Pawsse Waterproof Pet Blanket, Pee Urine Proof Dog Blanket Cover for Couch Bed Furniture Protector, Liquid Proof Blanket for Small Medium Dogs, Buffale Red/Tuape, 50” x 30”.</t>
        </is>
      </c>
      <c r="C749" t="inlineStr">
        <is>
          <t>1PSBW561TPTP</t>
        </is>
      </c>
      <c r="D749" t="inlineStr">
        <is>
          <t>Pet Blankets</t>
        </is>
      </c>
      <c r="E749" t="inlineStr">
        <is>
          <t>Pawsse</t>
        </is>
      </c>
      <c r="F749" t="inlineStr">
        <is>
          <t>Fleece Blankets,Batch 1 - TR</t>
        </is>
      </c>
      <c r="G749" s="48" t="n">
        <v>0</v>
      </c>
      <c r="H749" s="48" t="n">
        <v>0</v>
      </c>
      <c r="I749" s="48" t="n">
        <v>0</v>
      </c>
      <c r="J749" s="48" t="n">
        <v>0</v>
      </c>
      <c r="K749" s="49" t="n">
        <v>0</v>
      </c>
      <c r="L749" s="49" t="n">
        <v>0</v>
      </c>
      <c r="M749" s="49" t="n">
        <v>0</v>
      </c>
      <c r="N749" s="49" t="n">
        <v>0</v>
      </c>
      <c r="O749" s="49" t="n">
        <v>0</v>
      </c>
      <c r="P749" s="49" t="n">
        <v>0</v>
      </c>
      <c r="Q749" s="49" t="n">
        <v>0</v>
      </c>
      <c r="R749" s="49" t="n">
        <v>0</v>
      </c>
      <c r="S749" s="50" t="n">
        <v>0</v>
      </c>
      <c r="T749" s="50" t="n">
        <v>0</v>
      </c>
      <c r="U749" s="50" t="n">
        <v>0</v>
      </c>
      <c r="V749" s="50" t="n">
        <v>0</v>
      </c>
      <c r="W749" s="51" t="n">
        <v>1</v>
      </c>
      <c r="X749" s="51" t="n">
        <v>0</v>
      </c>
      <c r="Y749" s="51" t="n">
        <v>0</v>
      </c>
      <c r="Z749" s="51" t="n">
        <v>0</v>
      </c>
      <c r="AA749" s="52" t="n">
        <v>0.31</v>
      </c>
      <c r="AB749" s="52" t="n">
        <v>0</v>
      </c>
      <c r="AC749" s="52" t="n">
        <v>0</v>
      </c>
      <c r="AD749" s="52" t="n">
        <v>0</v>
      </c>
      <c r="AE749" s="52" t="n">
        <v>0</v>
      </c>
      <c r="AF749" s="52" t="n">
        <v>0</v>
      </c>
      <c r="AG749" s="52" t="n">
        <v>0</v>
      </c>
      <c r="AH749" s="52" t="n">
        <v>0</v>
      </c>
      <c r="AI749" s="52" t="n">
        <v>0</v>
      </c>
      <c r="AJ749" s="52" t="n">
        <v>0</v>
      </c>
      <c r="AK749" s="52" t="n">
        <v>0</v>
      </c>
      <c r="AL749" s="52" t="n">
        <v>0</v>
      </c>
      <c r="AM749" s="53" t="n">
        <v>0.0028</v>
      </c>
      <c r="AN749" s="53" t="n">
        <v>0</v>
      </c>
      <c r="AO749" s="53" t="n">
        <v>0</v>
      </c>
      <c r="AP749" s="53" t="n">
        <v>0</v>
      </c>
      <c r="AQ749" s="52" t="n">
        <v>0.31</v>
      </c>
      <c r="AR749" s="52" t="n">
        <v>0</v>
      </c>
      <c r="AS749" s="52" t="n">
        <v>0</v>
      </c>
      <c r="AT749" s="52" t="n">
        <v>0</v>
      </c>
      <c r="AU749" s="53" t="n">
        <v>0</v>
      </c>
      <c r="AV749" s="53" t="n">
        <v>0</v>
      </c>
      <c r="AW749" s="53" t="n">
        <v>0</v>
      </c>
      <c r="AX749" s="53" t="n">
        <v>0</v>
      </c>
      <c r="AY749" s="52" t="n">
        <v>0</v>
      </c>
      <c r="AZ749" s="52" t="n">
        <v>0</v>
      </c>
      <c r="BA749" s="52" t="n">
        <v>0</v>
      </c>
      <c r="BB749" s="52" t="n">
        <v>0</v>
      </c>
      <c r="BC749" s="51" t="n">
        <v>352</v>
      </c>
      <c r="BD749" s="51" t="n">
        <v>0</v>
      </c>
      <c r="BE749" s="51" t="n">
        <v>0</v>
      </c>
      <c r="BF749" s="51" t="n">
        <v>0</v>
      </c>
    </row>
    <row r="750">
      <c r="A750">
        <f>HYPERLINK("https://www.walmart.com/ip/929491612", "929491612")</f>
        <v/>
      </c>
      <c r="B750" t="inlineStr">
        <is>
          <t>Tirrinia Women's Halter Tankini Set, Two-Piece Padded Women's Swimsuit, Black, Large</t>
        </is>
      </c>
      <c r="C750" t="inlineStr">
        <is>
          <t>1TRSS006BKWH-L</t>
        </is>
      </c>
      <c r="D750" t="inlineStr">
        <is>
          <t>Swimsuit Sets</t>
        </is>
      </c>
      <c r="E750" t="inlineStr">
        <is>
          <t>Tirrinia</t>
        </is>
      </c>
      <c r="F750" t="inlineStr">
        <is>
          <t>Optimized,WFS,Valentine,WFS Item</t>
        </is>
      </c>
      <c r="G750" s="48" t="n">
        <v>0</v>
      </c>
      <c r="H750" s="48" t="n">
        <v>0</v>
      </c>
      <c r="I750" s="48" t="n">
        <v>0</v>
      </c>
      <c r="J750" s="48" t="n">
        <v>0</v>
      </c>
      <c r="K750" s="49" t="n">
        <v>0</v>
      </c>
      <c r="L750" s="49" t="n">
        <v>0</v>
      </c>
      <c r="M750" s="49" t="n">
        <v>0</v>
      </c>
      <c r="N750" s="49" t="n">
        <v>0</v>
      </c>
      <c r="O750" s="49" t="n">
        <v>0</v>
      </c>
      <c r="P750" s="49" t="n">
        <v>0</v>
      </c>
      <c r="Q750" s="49" t="n">
        <v>0</v>
      </c>
      <c r="R750" s="49" t="n">
        <v>0</v>
      </c>
      <c r="S750" s="50" t="n">
        <v>0</v>
      </c>
      <c r="T750" s="50" t="n">
        <v>0</v>
      </c>
      <c r="U750" s="50" t="n">
        <v>0</v>
      </c>
      <c r="V750" s="50" t="n">
        <v>0</v>
      </c>
      <c r="W750" s="51" t="n">
        <v>0</v>
      </c>
      <c r="X750" s="51" t="n">
        <v>0</v>
      </c>
      <c r="Y750" s="51" t="n">
        <v>0</v>
      </c>
      <c r="Z750" s="51" t="n">
        <v>0</v>
      </c>
      <c r="AA750" s="52" t="n">
        <v>0</v>
      </c>
      <c r="AB750" s="52" t="n">
        <v>0</v>
      </c>
      <c r="AC750" s="52" t="n">
        <v>0</v>
      </c>
      <c r="AD750" s="52" t="n">
        <v>0</v>
      </c>
      <c r="AE750" s="52" t="n">
        <v>0</v>
      </c>
      <c r="AF750" s="52" t="n">
        <v>0</v>
      </c>
      <c r="AG750" s="52" t="n">
        <v>0</v>
      </c>
      <c r="AH750" s="52" t="n">
        <v>0</v>
      </c>
      <c r="AI750" s="52" t="n">
        <v>0</v>
      </c>
      <c r="AJ750" s="52" t="n">
        <v>0</v>
      </c>
      <c r="AK750" s="52" t="n">
        <v>0</v>
      </c>
      <c r="AL750" s="52" t="n">
        <v>0</v>
      </c>
      <c r="AM750" s="53" t="n">
        <v>0</v>
      </c>
      <c r="AN750" s="53" t="n">
        <v>0</v>
      </c>
      <c r="AO750" s="53" t="n">
        <v>0</v>
      </c>
      <c r="AP750" s="53" t="n">
        <v>0</v>
      </c>
      <c r="AQ750" s="52" t="n">
        <v>0</v>
      </c>
      <c r="AR750" s="52" t="n">
        <v>0</v>
      </c>
      <c r="AS750" s="52" t="n">
        <v>0</v>
      </c>
      <c r="AT750" s="52" t="n">
        <v>0</v>
      </c>
      <c r="AU750" s="53" t="n">
        <v>0</v>
      </c>
      <c r="AV750" s="53" t="n">
        <v>0</v>
      </c>
      <c r="AW750" s="53" t="n">
        <v>0</v>
      </c>
      <c r="AX750" s="53" t="n">
        <v>0</v>
      </c>
      <c r="AY750" s="52" t="n">
        <v>0</v>
      </c>
      <c r="AZ750" s="52" t="n">
        <v>0</v>
      </c>
      <c r="BA750" s="52" t="n">
        <v>0</v>
      </c>
      <c r="BB750" s="52" t="n">
        <v>0</v>
      </c>
      <c r="BC750" s="51" t="n">
        <v>0</v>
      </c>
      <c r="BD750" s="51" t="n">
        <v>0</v>
      </c>
      <c r="BE750" s="51" t="n">
        <v>0</v>
      </c>
      <c r="BF750" s="51" t="n">
        <v>0</v>
      </c>
    </row>
    <row r="751">
      <c r="A751">
        <f>HYPERLINK("https://www.walmart.com/ip/929728542", "929728542")</f>
        <v/>
      </c>
      <c r="B751" t="inlineStr">
        <is>
          <t>Tirrinia 6 Bottle Insulated Wine Carrier Bag Best Large Travel Cooler Totes with Detachable Divider and Adjustable Strap</t>
        </is>
      </c>
      <c r="C751" t="inlineStr">
        <is>
          <t>1TRWB620BL</t>
        </is>
      </c>
      <c r="D751" t="inlineStr">
        <is>
          <t>Wine Totes, Bags &amp; Backpacks</t>
        </is>
      </c>
      <c r="E751" t="inlineStr">
        <is>
          <t>Tirrinia</t>
        </is>
      </c>
      <c r="F751" t="inlineStr">
        <is>
          <t>Wine,Christmas,WFS,Valentine,SEM,WFS Item,Lily Brand Camp</t>
        </is>
      </c>
      <c r="G751" s="48" t="n">
        <v>0</v>
      </c>
      <c r="H751" s="48" t="n">
        <v>0</v>
      </c>
      <c r="I751" s="48" t="n">
        <v>0</v>
      </c>
      <c r="J751" s="48" t="n">
        <v>0</v>
      </c>
      <c r="K751" s="49" t="n">
        <v>0</v>
      </c>
      <c r="L751" s="49" t="n">
        <v>0</v>
      </c>
      <c r="M751" s="49" t="n">
        <v>0</v>
      </c>
      <c r="N751" s="49" t="n">
        <v>0</v>
      </c>
      <c r="O751" s="49" t="n">
        <v>0</v>
      </c>
      <c r="P751" s="49" t="n">
        <v>0</v>
      </c>
      <c r="Q751" s="49" t="n">
        <v>0</v>
      </c>
      <c r="R751" s="49" t="n">
        <v>0</v>
      </c>
      <c r="S751" s="50" t="n">
        <v>0</v>
      </c>
      <c r="T751" s="50" t="n">
        <v>0</v>
      </c>
      <c r="U751" s="50" t="n">
        <v>0</v>
      </c>
      <c r="V751" s="50" t="n">
        <v>0</v>
      </c>
      <c r="W751" s="51" t="n">
        <v>0</v>
      </c>
      <c r="X751" s="51" t="n">
        <v>0</v>
      </c>
      <c r="Y751" s="51" t="n">
        <v>0</v>
      </c>
      <c r="Z751" s="51" t="n">
        <v>0</v>
      </c>
      <c r="AA751" s="52" t="n">
        <v>0</v>
      </c>
      <c r="AB751" s="52" t="n">
        <v>0</v>
      </c>
      <c r="AC751" s="52" t="n">
        <v>0</v>
      </c>
      <c r="AD751" s="52" t="n">
        <v>0</v>
      </c>
      <c r="AE751" s="52" t="n">
        <v>0</v>
      </c>
      <c r="AF751" s="52" t="n">
        <v>0</v>
      </c>
      <c r="AG751" s="52" t="n">
        <v>0</v>
      </c>
      <c r="AH751" s="52" t="n">
        <v>0</v>
      </c>
      <c r="AI751" s="52" t="n">
        <v>0</v>
      </c>
      <c r="AJ751" s="52" t="n">
        <v>0</v>
      </c>
      <c r="AK751" s="52" t="n">
        <v>0</v>
      </c>
      <c r="AL751" s="52" t="n">
        <v>0</v>
      </c>
      <c r="AM751" s="53" t="n">
        <v>0</v>
      </c>
      <c r="AN751" s="53" t="n">
        <v>0</v>
      </c>
      <c r="AO751" s="53" t="n">
        <v>0</v>
      </c>
      <c r="AP751" s="53" t="n">
        <v>0</v>
      </c>
      <c r="AQ751" s="52" t="n">
        <v>0</v>
      </c>
      <c r="AR751" s="52" t="n">
        <v>0</v>
      </c>
      <c r="AS751" s="52" t="n">
        <v>0</v>
      </c>
      <c r="AT751" s="52" t="n">
        <v>0</v>
      </c>
      <c r="AU751" s="53" t="n">
        <v>0</v>
      </c>
      <c r="AV751" s="53" t="n">
        <v>0</v>
      </c>
      <c r="AW751" s="53" t="n">
        <v>0</v>
      </c>
      <c r="AX751" s="53" t="n">
        <v>0</v>
      </c>
      <c r="AY751" s="52" t="n">
        <v>0</v>
      </c>
      <c r="AZ751" s="52" t="n">
        <v>0</v>
      </c>
      <c r="BA751" s="52" t="n">
        <v>0</v>
      </c>
      <c r="BB751" s="52" t="n">
        <v>0</v>
      </c>
      <c r="BC751" s="51" t="n">
        <v>2</v>
      </c>
      <c r="BD751" s="51" t="n">
        <v>0</v>
      </c>
      <c r="BE751" s="51" t="n">
        <v>0</v>
      </c>
      <c r="BF751" s="51" t="n">
        <v>0</v>
      </c>
    </row>
    <row r="752">
      <c r="A752">
        <f>HYPERLINK("https://www.walmart.com/ip/929778416", "929778416")</f>
        <v/>
      </c>
      <c r="B752" t="inlineStr">
        <is>
          <t>Solaris Kids' Reflective Running Beanie, Warm, Thick Winter Knit Skull Beanie for Men and Women, Enhanced Safety for Walking at Night</t>
        </is>
      </c>
      <c r="C752" t="inlineStr">
        <is>
          <t>1SLBN01BK-FSCB</t>
        </is>
      </c>
      <c r="D752" t="inlineStr">
        <is>
          <t>Hats</t>
        </is>
      </c>
      <c r="E752" t="inlineStr">
        <is>
          <t>Solaris</t>
        </is>
      </c>
      <c r="F752" t="inlineStr">
        <is>
          <t>Q2-Target,Optimized</t>
        </is>
      </c>
      <c r="G752" s="48" t="n">
        <v>0</v>
      </c>
      <c r="H752" s="48" t="n">
        <v>0</v>
      </c>
      <c r="I752" s="48" t="n">
        <v>0</v>
      </c>
      <c r="J752" s="48" t="n">
        <v>0</v>
      </c>
      <c r="K752" s="49" t="n">
        <v>0</v>
      </c>
      <c r="L752" s="49" t="n">
        <v>0</v>
      </c>
      <c r="M752" s="49" t="n">
        <v>0</v>
      </c>
      <c r="N752" s="49" t="n">
        <v>0</v>
      </c>
      <c r="O752" s="49" t="n">
        <v>0</v>
      </c>
      <c r="P752" s="49" t="n">
        <v>0</v>
      </c>
      <c r="Q752" s="49" t="n">
        <v>0</v>
      </c>
      <c r="R752" s="49" t="n">
        <v>0</v>
      </c>
      <c r="S752" s="50" t="n">
        <v>0</v>
      </c>
      <c r="T752" s="50" t="n">
        <v>0</v>
      </c>
      <c r="U752" s="50" t="n">
        <v>0</v>
      </c>
      <c r="V752" s="50" t="n">
        <v>0</v>
      </c>
      <c r="W752" s="51" t="n">
        <v>0</v>
      </c>
      <c r="X752" s="51" t="n">
        <v>0</v>
      </c>
      <c r="Y752" s="51" t="n">
        <v>0</v>
      </c>
      <c r="Z752" s="51" t="n">
        <v>0</v>
      </c>
      <c r="AA752" s="52" t="n">
        <v>0</v>
      </c>
      <c r="AB752" s="52" t="n">
        <v>0</v>
      </c>
      <c r="AC752" s="52" t="n">
        <v>0</v>
      </c>
      <c r="AD752" s="52" t="n">
        <v>0</v>
      </c>
      <c r="AE752" s="52" t="n">
        <v>0</v>
      </c>
      <c r="AF752" s="52" t="n">
        <v>0</v>
      </c>
      <c r="AG752" s="52" t="n">
        <v>0</v>
      </c>
      <c r="AH752" s="52" t="n">
        <v>0</v>
      </c>
      <c r="AI752" s="52" t="n">
        <v>0</v>
      </c>
      <c r="AJ752" s="52" t="n">
        <v>0</v>
      </c>
      <c r="AK752" s="52" t="n">
        <v>0</v>
      </c>
      <c r="AL752" s="52" t="n">
        <v>0</v>
      </c>
      <c r="AM752" s="53" t="n">
        <v>0</v>
      </c>
      <c r="AN752" s="53" t="n">
        <v>0</v>
      </c>
      <c r="AO752" s="53" t="n">
        <v>0</v>
      </c>
      <c r="AP752" s="53" t="n">
        <v>0</v>
      </c>
      <c r="AQ752" s="52" t="n">
        <v>0</v>
      </c>
      <c r="AR752" s="52" t="n">
        <v>0</v>
      </c>
      <c r="AS752" s="52" t="n">
        <v>0</v>
      </c>
      <c r="AT752" s="52" t="n">
        <v>0</v>
      </c>
      <c r="AU752" s="53" t="n">
        <v>0</v>
      </c>
      <c r="AV752" s="53" t="n">
        <v>0</v>
      </c>
      <c r="AW752" s="53" t="n">
        <v>0</v>
      </c>
      <c r="AX752" s="53" t="n">
        <v>0</v>
      </c>
      <c r="AY752" s="52" t="n">
        <v>0</v>
      </c>
      <c r="AZ752" s="52" t="n">
        <v>0</v>
      </c>
      <c r="BA752" s="52" t="n">
        <v>0</v>
      </c>
      <c r="BB752" s="52" t="n">
        <v>0</v>
      </c>
      <c r="BC752" s="51" t="n">
        <v>0</v>
      </c>
      <c r="BD752" s="51" t="n">
        <v>0</v>
      </c>
      <c r="BE752" s="51" t="n">
        <v>0</v>
      </c>
      <c r="BF752" s="51" t="n">
        <v>0</v>
      </c>
    </row>
    <row r="753">
      <c r="A753">
        <f>HYPERLINK("https://www.walmart.com/ip/930143256", "930143256")</f>
        <v/>
      </c>
      <c r="B753" t="inlineStr">
        <is>
          <t>Sherpa Slipper Socks for Women,Winter Indoor Home Non Skid Booties</t>
        </is>
      </c>
      <c r="C753" t="inlineStr">
        <is>
          <t>1CTST200GY-1</t>
        </is>
      </c>
      <c r="D753" t="inlineStr">
        <is>
          <t>Socks</t>
        </is>
      </c>
      <c r="E753" t="inlineStr">
        <is>
          <t>Catalonia</t>
        </is>
      </c>
      <c r="F753" t="inlineStr">
        <is>
          <t>WFS,WFS Item</t>
        </is>
      </c>
      <c r="G753" s="48" t="n">
        <v>0</v>
      </c>
      <c r="H753" s="48" t="n">
        <v>0</v>
      </c>
      <c r="I753" s="48" t="n">
        <v>0</v>
      </c>
      <c r="J753" s="48" t="n">
        <v>0</v>
      </c>
      <c r="K753" s="49" t="n">
        <v>0</v>
      </c>
      <c r="L753" s="49" t="n">
        <v>0</v>
      </c>
      <c r="M753" s="49" t="n">
        <v>0</v>
      </c>
      <c r="N753" s="49" t="n">
        <v>0</v>
      </c>
      <c r="O753" s="49" t="n">
        <v>0</v>
      </c>
      <c r="P753" s="49" t="n">
        <v>0</v>
      </c>
      <c r="Q753" s="49" t="n">
        <v>0</v>
      </c>
      <c r="R753" s="49" t="n">
        <v>0</v>
      </c>
      <c r="S753" s="50" t="n">
        <v>0</v>
      </c>
      <c r="T753" s="50" t="n">
        <v>0</v>
      </c>
      <c r="U753" s="50" t="n">
        <v>0</v>
      </c>
      <c r="V753" s="50" t="n">
        <v>0</v>
      </c>
      <c r="W753" s="51" t="n">
        <v>0</v>
      </c>
      <c r="X753" s="51" t="n">
        <v>0</v>
      </c>
      <c r="Y753" s="51" t="n">
        <v>0</v>
      </c>
      <c r="Z753" s="51" t="n">
        <v>0</v>
      </c>
      <c r="AA753" s="52" t="n">
        <v>0</v>
      </c>
      <c r="AB753" s="52" t="n">
        <v>0</v>
      </c>
      <c r="AC753" s="52" t="n">
        <v>0</v>
      </c>
      <c r="AD753" s="52" t="n">
        <v>0</v>
      </c>
      <c r="AE753" s="52" t="n">
        <v>0</v>
      </c>
      <c r="AF753" s="52" t="n">
        <v>0</v>
      </c>
      <c r="AG753" s="52" t="n">
        <v>0</v>
      </c>
      <c r="AH753" s="52" t="n">
        <v>0</v>
      </c>
      <c r="AI753" s="52" t="n">
        <v>0</v>
      </c>
      <c r="AJ753" s="52" t="n">
        <v>0</v>
      </c>
      <c r="AK753" s="52" t="n">
        <v>0</v>
      </c>
      <c r="AL753" s="52" t="n">
        <v>0</v>
      </c>
      <c r="AM753" s="53" t="n">
        <v>0</v>
      </c>
      <c r="AN753" s="53" t="n">
        <v>0</v>
      </c>
      <c r="AO753" s="53" t="n">
        <v>0</v>
      </c>
      <c r="AP753" s="53" t="n">
        <v>0</v>
      </c>
      <c r="AQ753" s="52" t="n">
        <v>0</v>
      </c>
      <c r="AR753" s="52" t="n">
        <v>0</v>
      </c>
      <c r="AS753" s="52" t="n">
        <v>0</v>
      </c>
      <c r="AT753" s="52" t="n">
        <v>0</v>
      </c>
      <c r="AU753" s="53" t="n">
        <v>0</v>
      </c>
      <c r="AV753" s="53" t="n">
        <v>0</v>
      </c>
      <c r="AW753" s="53" t="n">
        <v>0</v>
      </c>
      <c r="AX753" s="53" t="n">
        <v>0</v>
      </c>
      <c r="AY753" s="52" t="n">
        <v>0</v>
      </c>
      <c r="AZ753" s="52" t="n">
        <v>0</v>
      </c>
      <c r="BA753" s="52" t="n">
        <v>0</v>
      </c>
      <c r="BB753" s="52" t="n">
        <v>0</v>
      </c>
      <c r="BC753" s="51" t="n">
        <v>0</v>
      </c>
      <c r="BD753" s="51" t="n">
        <v>0</v>
      </c>
      <c r="BE753" s="51" t="n">
        <v>0</v>
      </c>
      <c r="BF753" s="51" t="n">
        <v>0</v>
      </c>
    </row>
    <row r="754">
      <c r="A754">
        <f>HYPERLINK("https://www.walmart.com/ip/930481180", "930481180")</f>
        <v/>
      </c>
      <c r="B754" t="inlineStr">
        <is>
          <t>Multifunctional Baby Diaper Bag Backpack Mommy Bag Mummy Changing Bag Waterproof (US SHIP)</t>
        </is>
      </c>
      <c r="C754" t="inlineStr">
        <is>
          <t>TRBP100GY</t>
        </is>
      </c>
      <c r="D754" t="inlineStr">
        <is>
          <t>Diaper Bags</t>
        </is>
      </c>
      <c r="E754" t="inlineStr">
        <is>
          <t>Terrania</t>
        </is>
      </c>
      <c r="F754" t="inlineStr">
        <is>
          <t>Baby days,Optimized</t>
        </is>
      </c>
      <c r="G754" s="48" t="n">
        <v>0</v>
      </c>
      <c r="H754" s="48" t="n">
        <v>23.99</v>
      </c>
      <c r="I754" s="48" t="n">
        <v>0</v>
      </c>
      <c r="J754" s="48" t="n">
        <v>0</v>
      </c>
      <c r="K754" s="49" t="n">
        <v>0</v>
      </c>
      <c r="L754" s="49" t="n">
        <v>1</v>
      </c>
      <c r="M754" s="49" t="n">
        <v>0</v>
      </c>
      <c r="N754" s="49" t="n">
        <v>0</v>
      </c>
      <c r="O754" s="49" t="n">
        <v>0</v>
      </c>
      <c r="P754" s="49" t="n">
        <v>0</v>
      </c>
      <c r="Q754" s="49" t="n">
        <v>0</v>
      </c>
      <c r="R754" s="49" t="n">
        <v>0</v>
      </c>
      <c r="S754" s="50" t="n">
        <v>0</v>
      </c>
      <c r="T754" s="50" t="n">
        <v>0</v>
      </c>
      <c r="U754" s="50" t="n">
        <v>0</v>
      </c>
      <c r="V754" s="50" t="n">
        <v>0</v>
      </c>
      <c r="W754" s="51" t="n">
        <v>0</v>
      </c>
      <c r="X754" s="51" t="n">
        <v>0</v>
      </c>
      <c r="Y754" s="51" t="n">
        <v>0</v>
      </c>
      <c r="Z754" s="51" t="n">
        <v>0</v>
      </c>
      <c r="AA754" s="52" t="n">
        <v>0</v>
      </c>
      <c r="AB754" s="52" t="n">
        <v>0</v>
      </c>
      <c r="AC754" s="52" t="n">
        <v>0</v>
      </c>
      <c r="AD754" s="52" t="n">
        <v>0</v>
      </c>
      <c r="AE754" s="52" t="n">
        <v>0</v>
      </c>
      <c r="AF754" s="52" t="n">
        <v>0</v>
      </c>
      <c r="AG754" s="52" t="n">
        <v>0</v>
      </c>
      <c r="AH754" s="52" t="n">
        <v>0</v>
      </c>
      <c r="AI754" s="52" t="n">
        <v>0</v>
      </c>
      <c r="AJ754" s="52" t="n">
        <v>0</v>
      </c>
      <c r="AK754" s="52" t="n">
        <v>0</v>
      </c>
      <c r="AL754" s="52" t="n">
        <v>0</v>
      </c>
      <c r="AM754" s="53" t="n">
        <v>0</v>
      </c>
      <c r="AN754" s="53" t="n">
        <v>0</v>
      </c>
      <c r="AO754" s="53" t="n">
        <v>0</v>
      </c>
      <c r="AP754" s="53" t="n">
        <v>0</v>
      </c>
      <c r="AQ754" s="52" t="n">
        <v>0</v>
      </c>
      <c r="AR754" s="52" t="n">
        <v>0</v>
      </c>
      <c r="AS754" s="52" t="n">
        <v>0</v>
      </c>
      <c r="AT754" s="52" t="n">
        <v>0</v>
      </c>
      <c r="AU754" s="53" t="n">
        <v>0</v>
      </c>
      <c r="AV754" s="53" t="n">
        <v>0</v>
      </c>
      <c r="AW754" s="53" t="n">
        <v>0</v>
      </c>
      <c r="AX754" s="53" t="n">
        <v>0</v>
      </c>
      <c r="AY754" s="52" t="n">
        <v>0</v>
      </c>
      <c r="AZ754" s="52" t="n">
        <v>23.99</v>
      </c>
      <c r="BA754" s="52" t="n">
        <v>0</v>
      </c>
      <c r="BB754" s="52" t="n">
        <v>0</v>
      </c>
      <c r="BC754" s="51" t="n">
        <v>0</v>
      </c>
      <c r="BD754" s="51" t="n">
        <v>0</v>
      </c>
      <c r="BE754" s="51" t="n">
        <v>0</v>
      </c>
      <c r="BF754" s="51" t="n">
        <v>0</v>
      </c>
    </row>
    <row r="755">
      <c r="A755">
        <f>HYPERLINK("https://www.walmart.com/ip/923133612", "923133612")</f>
        <v/>
      </c>
      <c r="B755" t="inlineStr">
        <is>
          <t>Vina Electric Gravity Salt Pepper Grinder Set, Adjustable Grinding Coarseness Automatic Shaker Mills with Ceramic Core, Free Garlic Roller Included, Pack of 2, Black</t>
        </is>
      </c>
      <c r="C755" t="inlineStr">
        <is>
          <t>VINASPEG521-BK2PK</t>
        </is>
      </c>
      <c r="D755" t="inlineStr">
        <is>
          <t>Salt &amp; Pepper Mills</t>
        </is>
      </c>
      <c r="E755" t="inlineStr">
        <is>
          <t>Vina</t>
        </is>
      </c>
      <c r="F755" t="inlineStr">
        <is>
          <t>WFS,WFS Item</t>
        </is>
      </c>
      <c r="G755" s="48" t="n">
        <v>0</v>
      </c>
      <c r="H755" s="48" t="n">
        <v>0</v>
      </c>
      <c r="I755" s="48" t="n">
        <v>0</v>
      </c>
      <c r="J755" s="48" t="n">
        <v>0</v>
      </c>
      <c r="K755" s="49" t="n">
        <v>0</v>
      </c>
      <c r="L755" s="49" t="n">
        <v>0</v>
      </c>
      <c r="M755" s="49" t="n">
        <v>0</v>
      </c>
      <c r="N755" s="49" t="n">
        <v>0</v>
      </c>
      <c r="O755" s="49" t="n">
        <v>0</v>
      </c>
      <c r="P755" s="49" t="n">
        <v>0</v>
      </c>
      <c r="Q755" s="49" t="n">
        <v>0</v>
      </c>
      <c r="R755" s="49" t="n">
        <v>0</v>
      </c>
      <c r="S755" s="50" t="n">
        <v>0</v>
      </c>
      <c r="T755" s="50" t="n">
        <v>0</v>
      </c>
      <c r="U755" s="50" t="n">
        <v>0</v>
      </c>
      <c r="V755" s="50" t="n">
        <v>0</v>
      </c>
      <c r="W755" s="51" t="n">
        <v>0</v>
      </c>
      <c r="X755" s="51" t="n">
        <v>0</v>
      </c>
      <c r="Y755" s="51" t="n">
        <v>0</v>
      </c>
      <c r="Z755" s="51" t="n">
        <v>0</v>
      </c>
      <c r="AA755" s="52" t="n">
        <v>0</v>
      </c>
      <c r="AB755" s="52" t="n">
        <v>0</v>
      </c>
      <c r="AC755" s="52" t="n">
        <v>0</v>
      </c>
      <c r="AD755" s="52" t="n">
        <v>0</v>
      </c>
      <c r="AE755" s="52" t="n">
        <v>0</v>
      </c>
      <c r="AF755" s="52" t="n">
        <v>0</v>
      </c>
      <c r="AG755" s="52" t="n">
        <v>0</v>
      </c>
      <c r="AH755" s="52" t="n">
        <v>0</v>
      </c>
      <c r="AI755" s="52" t="n">
        <v>0</v>
      </c>
      <c r="AJ755" s="52" t="n">
        <v>0</v>
      </c>
      <c r="AK755" s="52" t="n">
        <v>0</v>
      </c>
      <c r="AL755" s="52" t="n">
        <v>0</v>
      </c>
      <c r="AM755" s="53" t="n">
        <v>0</v>
      </c>
      <c r="AN755" s="53" t="n">
        <v>0</v>
      </c>
      <c r="AO755" s="53" t="n">
        <v>0</v>
      </c>
      <c r="AP755" s="53" t="n">
        <v>0</v>
      </c>
      <c r="AQ755" s="52" t="n">
        <v>0</v>
      </c>
      <c r="AR755" s="52" t="n">
        <v>0</v>
      </c>
      <c r="AS755" s="52" t="n">
        <v>0</v>
      </c>
      <c r="AT755" s="52" t="n">
        <v>0</v>
      </c>
      <c r="AU755" s="53" t="n">
        <v>0</v>
      </c>
      <c r="AV755" s="53" t="n">
        <v>0</v>
      </c>
      <c r="AW755" s="53" t="n">
        <v>0</v>
      </c>
      <c r="AX755" s="53" t="n">
        <v>0</v>
      </c>
      <c r="AY755" s="52" t="n">
        <v>0</v>
      </c>
      <c r="AZ755" s="52" t="n">
        <v>0</v>
      </c>
      <c r="BA755" s="52" t="n">
        <v>0</v>
      </c>
      <c r="BB755" s="52" t="n">
        <v>0</v>
      </c>
      <c r="BC755" s="51" t="n">
        <v>0</v>
      </c>
      <c r="BD755" s="51" t="n">
        <v>0</v>
      </c>
      <c r="BE755" s="51" t="n">
        <v>0</v>
      </c>
      <c r="BF755" s="51" t="n">
        <v>0</v>
      </c>
    </row>
    <row r="756">
      <c r="A756">
        <f>HYPERLINK("https://www.walmart.com/ip/920373777", "920373777")</f>
        <v/>
      </c>
      <c r="B756" t="inlineStr">
        <is>
          <t>Fleece Wearable Blanket with Sleeves and Pocket, Micro Plush Warm Sleeved TV Throw Sherpa Blanket Robe for Women and Men 72”X55” by Catalonia</t>
        </is>
      </c>
      <c r="C756" t="inlineStr">
        <is>
          <t>1CTSN110BK</t>
        </is>
      </c>
      <c r="D756" t="inlineStr">
        <is>
          <t>Throws</t>
        </is>
      </c>
      <c r="E756" t="inlineStr">
        <is>
          <t>Catalonia</t>
        </is>
      </c>
      <c r="F756" t="inlineStr">
        <is>
          <t>WFS,Coupon_Discount,WFS Item</t>
        </is>
      </c>
      <c r="G756" s="48" t="n">
        <v>0</v>
      </c>
      <c r="H756" s="48" t="n">
        <v>0</v>
      </c>
      <c r="I756" s="48" t="n">
        <v>0</v>
      </c>
      <c r="J756" s="48" t="n">
        <v>0</v>
      </c>
      <c r="K756" s="49" t="n">
        <v>0</v>
      </c>
      <c r="L756" s="49" t="n">
        <v>0</v>
      </c>
      <c r="M756" s="49" t="n">
        <v>0</v>
      </c>
      <c r="N756" s="49" t="n">
        <v>0</v>
      </c>
      <c r="O756" s="49" t="n">
        <v>0</v>
      </c>
      <c r="P756" s="49" t="n">
        <v>0</v>
      </c>
      <c r="Q756" s="49" t="n">
        <v>0</v>
      </c>
      <c r="R756" s="49" t="n">
        <v>0</v>
      </c>
      <c r="S756" s="50" t="n">
        <v>0</v>
      </c>
      <c r="T756" s="50" t="n">
        <v>0</v>
      </c>
      <c r="U756" s="50" t="n">
        <v>0</v>
      </c>
      <c r="V756" s="50" t="n">
        <v>0</v>
      </c>
      <c r="W756" s="51" t="n">
        <v>0</v>
      </c>
      <c r="X756" s="51" t="n">
        <v>0</v>
      </c>
      <c r="Y756" s="51" t="n">
        <v>0</v>
      </c>
      <c r="Z756" s="51" t="n">
        <v>0</v>
      </c>
      <c r="AA756" s="52" t="n">
        <v>0</v>
      </c>
      <c r="AB756" s="52" t="n">
        <v>0</v>
      </c>
      <c r="AC756" s="52" t="n">
        <v>0</v>
      </c>
      <c r="AD756" s="52" t="n">
        <v>0</v>
      </c>
      <c r="AE756" s="52" t="n">
        <v>0</v>
      </c>
      <c r="AF756" s="52" t="n">
        <v>0</v>
      </c>
      <c r="AG756" s="52" t="n">
        <v>0</v>
      </c>
      <c r="AH756" s="52" t="n">
        <v>0</v>
      </c>
      <c r="AI756" s="52" t="n">
        <v>0</v>
      </c>
      <c r="AJ756" s="52" t="n">
        <v>0</v>
      </c>
      <c r="AK756" s="52" t="n">
        <v>0</v>
      </c>
      <c r="AL756" s="52" t="n">
        <v>0</v>
      </c>
      <c r="AM756" s="53" t="n">
        <v>0</v>
      </c>
      <c r="AN756" s="53" t="n">
        <v>0</v>
      </c>
      <c r="AO756" s="53" t="n">
        <v>0</v>
      </c>
      <c r="AP756" s="53" t="n">
        <v>0</v>
      </c>
      <c r="AQ756" s="52" t="n">
        <v>0</v>
      </c>
      <c r="AR756" s="52" t="n">
        <v>0</v>
      </c>
      <c r="AS756" s="52" t="n">
        <v>0</v>
      </c>
      <c r="AT756" s="52" t="n">
        <v>0</v>
      </c>
      <c r="AU756" s="53" t="n">
        <v>0</v>
      </c>
      <c r="AV756" s="53" t="n">
        <v>0</v>
      </c>
      <c r="AW756" s="53" t="n">
        <v>0</v>
      </c>
      <c r="AX756" s="53" t="n">
        <v>0</v>
      </c>
      <c r="AY756" s="52" t="n">
        <v>0</v>
      </c>
      <c r="AZ756" s="52" t="n">
        <v>0</v>
      </c>
      <c r="BA756" s="52" t="n">
        <v>0</v>
      </c>
      <c r="BB756" s="52" t="n">
        <v>0</v>
      </c>
      <c r="BC756" s="51" t="n">
        <v>0</v>
      </c>
      <c r="BD756" s="51" t="n">
        <v>0</v>
      </c>
      <c r="BE756" s="51" t="n">
        <v>0</v>
      </c>
      <c r="BF756" s="51" t="n">
        <v>0</v>
      </c>
    </row>
    <row r="757">
      <c r="A757">
        <f>HYPERLINK("https://www.walmart.com/ip/912169867", "912169867")</f>
        <v/>
      </c>
      <c r="B757" t="inlineStr">
        <is>
          <t>UV Protection Fishing Hat, Wide Brim Sun Hats for Men Women Cooling Hat</t>
        </is>
      </c>
      <c r="C757" t="inlineStr">
        <is>
          <t>1WMCH100TN</t>
        </is>
      </c>
      <c r="D757" t="inlineStr">
        <is>
          <t>Hats</t>
        </is>
      </c>
      <c r="E757" t="inlineStr">
        <is>
          <t>Flyingstar</t>
        </is>
      </c>
      <c r="F757" t="inlineStr">
        <is>
          <t>Optimized,Hats</t>
        </is>
      </c>
      <c r="G757" s="48" t="n">
        <v>0</v>
      </c>
      <c r="H757" s="48" t="n">
        <v>0</v>
      </c>
      <c r="I757" s="48" t="n">
        <v>0</v>
      </c>
      <c r="J757" s="48" t="n">
        <v>0</v>
      </c>
      <c r="K757" s="49" t="n">
        <v>0</v>
      </c>
      <c r="L757" s="49" t="n">
        <v>0</v>
      </c>
      <c r="M757" s="49" t="n">
        <v>0</v>
      </c>
      <c r="N757" s="49" t="n">
        <v>0</v>
      </c>
      <c r="O757" s="49" t="n">
        <v>0</v>
      </c>
      <c r="P757" s="49" t="n">
        <v>0</v>
      </c>
      <c r="Q757" s="49" t="n">
        <v>0</v>
      </c>
      <c r="R757" s="49" t="n">
        <v>0</v>
      </c>
      <c r="S757" s="50" t="n">
        <v>0</v>
      </c>
      <c r="T757" s="50" t="n">
        <v>0</v>
      </c>
      <c r="U757" s="50" t="n">
        <v>0</v>
      </c>
      <c r="V757" s="50" t="n">
        <v>0</v>
      </c>
      <c r="W757" s="51" t="n">
        <v>0</v>
      </c>
      <c r="X757" s="51" t="n">
        <v>0</v>
      </c>
      <c r="Y757" s="51" t="n">
        <v>0</v>
      </c>
      <c r="Z757" s="51" t="n">
        <v>0</v>
      </c>
      <c r="AA757" s="52" t="n">
        <v>0</v>
      </c>
      <c r="AB757" s="52" t="n">
        <v>0</v>
      </c>
      <c r="AC757" s="52" t="n">
        <v>0</v>
      </c>
      <c r="AD757" s="52" t="n">
        <v>0</v>
      </c>
      <c r="AE757" s="52" t="n">
        <v>0</v>
      </c>
      <c r="AF757" s="52" t="n">
        <v>0</v>
      </c>
      <c r="AG757" s="52" t="n">
        <v>0</v>
      </c>
      <c r="AH757" s="52" t="n">
        <v>0</v>
      </c>
      <c r="AI757" s="52" t="n">
        <v>0</v>
      </c>
      <c r="AJ757" s="52" t="n">
        <v>0</v>
      </c>
      <c r="AK757" s="52" t="n">
        <v>0</v>
      </c>
      <c r="AL757" s="52" t="n">
        <v>0</v>
      </c>
      <c r="AM757" s="53" t="n">
        <v>0</v>
      </c>
      <c r="AN757" s="53" t="n">
        <v>0</v>
      </c>
      <c r="AO757" s="53" t="n">
        <v>0</v>
      </c>
      <c r="AP757" s="53" t="n">
        <v>0</v>
      </c>
      <c r="AQ757" s="52" t="n">
        <v>0</v>
      </c>
      <c r="AR757" s="52" t="n">
        <v>0</v>
      </c>
      <c r="AS757" s="52" t="n">
        <v>0</v>
      </c>
      <c r="AT757" s="52" t="n">
        <v>0</v>
      </c>
      <c r="AU757" s="53" t="n">
        <v>0</v>
      </c>
      <c r="AV757" s="53" t="n">
        <v>0</v>
      </c>
      <c r="AW757" s="53" t="n">
        <v>0</v>
      </c>
      <c r="AX757" s="53" t="n">
        <v>0</v>
      </c>
      <c r="AY757" s="52" t="n">
        <v>0</v>
      </c>
      <c r="AZ757" s="52" t="n">
        <v>0</v>
      </c>
      <c r="BA757" s="52" t="n">
        <v>0</v>
      </c>
      <c r="BB757" s="52" t="n">
        <v>0</v>
      </c>
      <c r="BC757" s="51" t="n">
        <v>0</v>
      </c>
      <c r="BD757" s="51" t="n">
        <v>0</v>
      </c>
      <c r="BE757" s="51" t="n">
        <v>0</v>
      </c>
      <c r="BF757" s="51" t="n">
        <v>0</v>
      </c>
    </row>
    <row r="758">
      <c r="A758">
        <f>HYPERLINK("https://www.walmart.com/ip/918970017", "918970017")</f>
        <v/>
      </c>
      <c r="B758" t="inlineStr">
        <is>
          <t>Unisex Hunting Cap Orange Polyester Embroidery Animal Outdoor Wildlife Sport Cap</t>
        </is>
      </c>
      <c r="C758" t="inlineStr">
        <is>
          <t>KC Caps ht32</t>
        </is>
      </c>
      <c r="D758" t="inlineStr">
        <is>
          <t>Hats</t>
        </is>
      </c>
      <c r="E758" t="inlineStr">
        <is>
          <t>KC Caps</t>
        </is>
      </c>
      <c r="F758" t="inlineStr">
        <is>
          <t>Optimized</t>
        </is>
      </c>
      <c r="G758" s="48" t="n">
        <v>0</v>
      </c>
      <c r="H758" s="48" t="n">
        <v>0</v>
      </c>
      <c r="I758" s="48" t="n">
        <v>0</v>
      </c>
      <c r="J758" s="48" t="n">
        <v>0</v>
      </c>
      <c r="K758" s="49" t="n">
        <v>0</v>
      </c>
      <c r="L758" s="49" t="n">
        <v>0</v>
      </c>
      <c r="M758" s="49" t="n">
        <v>0</v>
      </c>
      <c r="N758" s="49" t="n">
        <v>0</v>
      </c>
      <c r="O758" s="49" t="n">
        <v>0</v>
      </c>
      <c r="P758" s="49" t="n">
        <v>0</v>
      </c>
      <c r="Q758" s="49" t="n">
        <v>0</v>
      </c>
      <c r="R758" s="49" t="n">
        <v>0</v>
      </c>
      <c r="S758" s="50" t="n">
        <v>0</v>
      </c>
      <c r="T758" s="50" t="n">
        <v>0</v>
      </c>
      <c r="U758" s="50" t="n">
        <v>0</v>
      </c>
      <c r="V758" s="50" t="n">
        <v>0</v>
      </c>
      <c r="W758" s="51" t="n">
        <v>0</v>
      </c>
      <c r="X758" s="51" t="n">
        <v>0</v>
      </c>
      <c r="Y758" s="51" t="n">
        <v>0</v>
      </c>
      <c r="Z758" s="51" t="n">
        <v>0</v>
      </c>
      <c r="AA758" s="52" t="n">
        <v>0</v>
      </c>
      <c r="AB758" s="52" t="n">
        <v>0</v>
      </c>
      <c r="AC758" s="52" t="n">
        <v>0</v>
      </c>
      <c r="AD758" s="52" t="n">
        <v>0</v>
      </c>
      <c r="AE758" s="52" t="n">
        <v>0</v>
      </c>
      <c r="AF758" s="52" t="n">
        <v>0</v>
      </c>
      <c r="AG758" s="52" t="n">
        <v>0</v>
      </c>
      <c r="AH758" s="52" t="n">
        <v>0</v>
      </c>
      <c r="AI758" s="52" t="n">
        <v>0</v>
      </c>
      <c r="AJ758" s="52" t="n">
        <v>0</v>
      </c>
      <c r="AK758" s="52" t="n">
        <v>0</v>
      </c>
      <c r="AL758" s="52" t="n">
        <v>0</v>
      </c>
      <c r="AM758" s="53" t="n">
        <v>0</v>
      </c>
      <c r="AN758" s="53" t="n">
        <v>0</v>
      </c>
      <c r="AO758" s="53" t="n">
        <v>0</v>
      </c>
      <c r="AP758" s="53" t="n">
        <v>0</v>
      </c>
      <c r="AQ758" s="52" t="n">
        <v>0</v>
      </c>
      <c r="AR758" s="52" t="n">
        <v>0</v>
      </c>
      <c r="AS758" s="52" t="n">
        <v>0</v>
      </c>
      <c r="AT758" s="52" t="n">
        <v>0</v>
      </c>
      <c r="AU758" s="53" t="n">
        <v>0</v>
      </c>
      <c r="AV758" s="53" t="n">
        <v>0</v>
      </c>
      <c r="AW758" s="53" t="n">
        <v>0</v>
      </c>
      <c r="AX758" s="53" t="n">
        <v>0</v>
      </c>
      <c r="AY758" s="52" t="n">
        <v>0</v>
      </c>
      <c r="AZ758" s="52" t="n">
        <v>0</v>
      </c>
      <c r="BA758" s="52" t="n">
        <v>0</v>
      </c>
      <c r="BB758" s="52" t="n">
        <v>0</v>
      </c>
      <c r="BC758" s="51" t="n">
        <v>0</v>
      </c>
      <c r="BD758" s="51" t="n">
        <v>0</v>
      </c>
      <c r="BE758" s="51" t="n">
        <v>0</v>
      </c>
      <c r="BF758" s="51" t="n">
        <v>0</v>
      </c>
    </row>
    <row r="759">
      <c r="A759">
        <f>HYPERLINK("https://www.walmart.com/ip/912234757", "912234757")</f>
        <v/>
      </c>
      <c r="B759" t="inlineStr">
        <is>
          <t>100% Polar Fleece Skull Cap Warm and Cozy Beanie</t>
        </is>
      </c>
      <c r="C759" t="inlineStr">
        <is>
          <t>1SLW1810WN-FSCB</t>
        </is>
      </c>
      <c r="D759" t="inlineStr">
        <is>
          <t>Hats</t>
        </is>
      </c>
      <c r="E759" t="inlineStr">
        <is>
          <t>Solaris</t>
        </is>
      </c>
      <c r="F759" t="inlineStr">
        <is>
          <t>Batch 1 - TR</t>
        </is>
      </c>
      <c r="G759" s="48" t="n">
        <v>0</v>
      </c>
      <c r="H759" s="48" t="n">
        <v>0</v>
      </c>
      <c r="I759" s="48" t="n">
        <v>0</v>
      </c>
      <c r="J759" s="48" t="n">
        <v>0</v>
      </c>
      <c r="K759" s="49" t="n">
        <v>0</v>
      </c>
      <c r="L759" s="49" t="n">
        <v>0</v>
      </c>
      <c r="M759" s="49" t="n">
        <v>0</v>
      </c>
      <c r="N759" s="49" t="n">
        <v>0</v>
      </c>
      <c r="O759" s="49" t="n">
        <v>0</v>
      </c>
      <c r="P759" s="49" t="n">
        <v>0</v>
      </c>
      <c r="Q759" s="49" t="n">
        <v>0</v>
      </c>
      <c r="R759" s="49" t="n">
        <v>0</v>
      </c>
      <c r="S759" s="50" t="n">
        <v>0</v>
      </c>
      <c r="T759" s="50" t="n">
        <v>0</v>
      </c>
      <c r="U759" s="50" t="n">
        <v>0</v>
      </c>
      <c r="V759" s="50" t="n">
        <v>0</v>
      </c>
      <c r="W759" s="51" t="n">
        <v>0</v>
      </c>
      <c r="X759" s="51" t="n">
        <v>0</v>
      </c>
      <c r="Y759" s="51" t="n">
        <v>0</v>
      </c>
      <c r="Z759" s="51" t="n">
        <v>0</v>
      </c>
      <c r="AA759" s="52" t="n">
        <v>0</v>
      </c>
      <c r="AB759" s="52" t="n">
        <v>0</v>
      </c>
      <c r="AC759" s="52" t="n">
        <v>0</v>
      </c>
      <c r="AD759" s="52" t="n">
        <v>0</v>
      </c>
      <c r="AE759" s="52" t="n">
        <v>0</v>
      </c>
      <c r="AF759" s="52" t="n">
        <v>0</v>
      </c>
      <c r="AG759" s="52" t="n">
        <v>0</v>
      </c>
      <c r="AH759" s="52" t="n">
        <v>0</v>
      </c>
      <c r="AI759" s="52" t="n">
        <v>0</v>
      </c>
      <c r="AJ759" s="52" t="n">
        <v>0</v>
      </c>
      <c r="AK759" s="52" t="n">
        <v>0</v>
      </c>
      <c r="AL759" s="52" t="n">
        <v>0</v>
      </c>
      <c r="AM759" s="53" t="n">
        <v>0</v>
      </c>
      <c r="AN759" s="53" t="n">
        <v>0</v>
      </c>
      <c r="AO759" s="53" t="n">
        <v>0</v>
      </c>
      <c r="AP759" s="53" t="n">
        <v>0</v>
      </c>
      <c r="AQ759" s="52" t="n">
        <v>0</v>
      </c>
      <c r="AR759" s="52" t="n">
        <v>0</v>
      </c>
      <c r="AS759" s="52" t="n">
        <v>0</v>
      </c>
      <c r="AT759" s="52" t="n">
        <v>0</v>
      </c>
      <c r="AU759" s="53" t="n">
        <v>0</v>
      </c>
      <c r="AV759" s="53" t="n">
        <v>0</v>
      </c>
      <c r="AW759" s="53" t="n">
        <v>0</v>
      </c>
      <c r="AX759" s="53" t="n">
        <v>0</v>
      </c>
      <c r="AY759" s="52" t="n">
        <v>0</v>
      </c>
      <c r="AZ759" s="52" t="n">
        <v>0</v>
      </c>
      <c r="BA759" s="52" t="n">
        <v>0</v>
      </c>
      <c r="BB759" s="52" t="n">
        <v>0</v>
      </c>
      <c r="BC759" s="51" t="n">
        <v>0</v>
      </c>
      <c r="BD759" s="51" t="n">
        <v>0</v>
      </c>
      <c r="BE759" s="51" t="n">
        <v>0</v>
      </c>
      <c r="BF759" s="51" t="n">
        <v>0</v>
      </c>
    </row>
    <row r="760">
      <c r="A760">
        <f>HYPERLINK("https://www.walmart.com/ip/913159325", "913159325")</f>
        <v/>
      </c>
      <c r="B760" t="inlineStr">
        <is>
          <t>Tirrinia Unisex Surf Poncho Changing Towel Robe for Adult Surfer Swimmer Outdoor Beach</t>
        </is>
      </c>
      <c r="C760" t="inlineStr">
        <is>
          <t>1WMBR100LBL</t>
        </is>
      </c>
      <c r="D760" t="inlineStr">
        <is>
          <t>Towels &amp; Washcloths</t>
        </is>
      </c>
      <c r="E760" t="inlineStr">
        <is>
          <t>Flyingstar</t>
        </is>
      </c>
      <c r="F760" t="inlineStr">
        <is>
          <t>Beach Robe Camp,Batch 1 - TR</t>
        </is>
      </c>
      <c r="G760" s="48" t="n">
        <v>0</v>
      </c>
      <c r="H760" s="48" t="n">
        <v>0</v>
      </c>
      <c r="I760" s="48" t="n">
        <v>0</v>
      </c>
      <c r="J760" s="48" t="n">
        <v>0</v>
      </c>
      <c r="K760" s="49" t="n">
        <v>0</v>
      </c>
      <c r="L760" s="49" t="n">
        <v>0</v>
      </c>
      <c r="M760" s="49" t="n">
        <v>0</v>
      </c>
      <c r="N760" s="49" t="n">
        <v>0</v>
      </c>
      <c r="O760" s="49" t="n">
        <v>0</v>
      </c>
      <c r="P760" s="49" t="n">
        <v>0</v>
      </c>
      <c r="Q760" s="49" t="n">
        <v>0</v>
      </c>
      <c r="R760" s="49" t="n">
        <v>0</v>
      </c>
      <c r="S760" s="50" t="n">
        <v>0</v>
      </c>
      <c r="T760" s="50" t="n">
        <v>0</v>
      </c>
      <c r="U760" s="50" t="n">
        <v>0</v>
      </c>
      <c r="V760" s="50" t="n">
        <v>0</v>
      </c>
      <c r="W760" s="51" t="n">
        <v>0</v>
      </c>
      <c r="X760" s="51" t="n">
        <v>0</v>
      </c>
      <c r="Y760" s="51" t="n">
        <v>0</v>
      </c>
      <c r="Z760" s="51" t="n">
        <v>0</v>
      </c>
      <c r="AA760" s="52" t="n">
        <v>0</v>
      </c>
      <c r="AB760" s="52" t="n">
        <v>0</v>
      </c>
      <c r="AC760" s="52" t="n">
        <v>0</v>
      </c>
      <c r="AD760" s="52" t="n">
        <v>0</v>
      </c>
      <c r="AE760" s="52" t="n">
        <v>0</v>
      </c>
      <c r="AF760" s="52" t="n">
        <v>0</v>
      </c>
      <c r="AG760" s="52" t="n">
        <v>0</v>
      </c>
      <c r="AH760" s="52" t="n">
        <v>0</v>
      </c>
      <c r="AI760" s="52" t="n">
        <v>0</v>
      </c>
      <c r="AJ760" s="52" t="n">
        <v>0</v>
      </c>
      <c r="AK760" s="52" t="n">
        <v>0</v>
      </c>
      <c r="AL760" s="52" t="n">
        <v>0</v>
      </c>
      <c r="AM760" s="53" t="n">
        <v>0</v>
      </c>
      <c r="AN760" s="53" t="n">
        <v>0</v>
      </c>
      <c r="AO760" s="53" t="n">
        <v>0</v>
      </c>
      <c r="AP760" s="53" t="n">
        <v>0</v>
      </c>
      <c r="AQ760" s="52" t="n">
        <v>0</v>
      </c>
      <c r="AR760" s="52" t="n">
        <v>0</v>
      </c>
      <c r="AS760" s="52" t="n">
        <v>0</v>
      </c>
      <c r="AT760" s="52" t="n">
        <v>0</v>
      </c>
      <c r="AU760" s="53" t="n">
        <v>0</v>
      </c>
      <c r="AV760" s="53" t="n">
        <v>0</v>
      </c>
      <c r="AW760" s="53" t="n">
        <v>0</v>
      </c>
      <c r="AX760" s="53" t="n">
        <v>0</v>
      </c>
      <c r="AY760" s="52" t="n">
        <v>0</v>
      </c>
      <c r="AZ760" s="52" t="n">
        <v>0</v>
      </c>
      <c r="BA760" s="52" t="n">
        <v>0</v>
      </c>
      <c r="BB760" s="52" t="n">
        <v>0</v>
      </c>
      <c r="BC760" s="51" t="n">
        <v>0</v>
      </c>
      <c r="BD760" s="51" t="n">
        <v>0</v>
      </c>
      <c r="BE760" s="51" t="n">
        <v>0</v>
      </c>
      <c r="BF760" s="51" t="n">
        <v>0</v>
      </c>
    </row>
    <row r="761">
      <c r="A761">
        <f>HYPERLINK("https://www.walmart.com/ip/913630534", "913630534")</f>
        <v/>
      </c>
      <c r="B761" t="inlineStr">
        <is>
          <t>Tirrinia Adult Insulated Lunch Bag with Front Pocket, Black Grey, 14'' x 7'' x 9.5'', 10.8 L</t>
        </is>
      </c>
      <c r="C761" t="inlineStr">
        <is>
          <t>1TRLB705BKGY</t>
        </is>
      </c>
      <c r="D761" t="inlineStr">
        <is>
          <t>Reusable Lunch Bags &amp; Boxes</t>
        </is>
      </c>
      <c r="E761" t="inlineStr">
        <is>
          <t>Tirrinia</t>
        </is>
      </c>
      <c r="F761" t="inlineStr">
        <is>
          <t>Q2-Target,Brand Camp VD,Lunch Bag,WFS,Lunch Bags,SEM,WFS Item</t>
        </is>
      </c>
      <c r="G761" s="48" t="n">
        <v>0</v>
      </c>
      <c r="H761" s="48" t="n">
        <v>0</v>
      </c>
      <c r="I761" s="48" t="n">
        <v>0</v>
      </c>
      <c r="J761" s="48" t="n">
        <v>0</v>
      </c>
      <c r="K761" s="49" t="n">
        <v>0</v>
      </c>
      <c r="L761" s="49" t="n">
        <v>0</v>
      </c>
      <c r="M761" s="49" t="n">
        <v>0</v>
      </c>
      <c r="N761" s="49" t="n">
        <v>0</v>
      </c>
      <c r="O761" s="49" t="n">
        <v>0</v>
      </c>
      <c r="P761" s="49" t="n">
        <v>0</v>
      </c>
      <c r="Q761" s="49" t="n">
        <v>0</v>
      </c>
      <c r="R761" s="49" t="n">
        <v>0</v>
      </c>
      <c r="S761" s="50" t="n">
        <v>0</v>
      </c>
      <c r="T761" s="50" t="n">
        <v>0</v>
      </c>
      <c r="U761" s="50" t="n">
        <v>0</v>
      </c>
      <c r="V761" s="50" t="n">
        <v>0</v>
      </c>
      <c r="W761" s="51" t="n">
        <v>0</v>
      </c>
      <c r="X761" s="51" t="n">
        <v>0</v>
      </c>
      <c r="Y761" s="51" t="n">
        <v>0</v>
      </c>
      <c r="Z761" s="51" t="n">
        <v>0</v>
      </c>
      <c r="AA761" s="52" t="n">
        <v>0</v>
      </c>
      <c r="AB761" s="52" t="n">
        <v>0</v>
      </c>
      <c r="AC761" s="52" t="n">
        <v>0</v>
      </c>
      <c r="AD761" s="52" t="n">
        <v>0</v>
      </c>
      <c r="AE761" s="52" t="n">
        <v>0</v>
      </c>
      <c r="AF761" s="52" t="n">
        <v>0</v>
      </c>
      <c r="AG761" s="52" t="n">
        <v>0</v>
      </c>
      <c r="AH761" s="52" t="n">
        <v>0</v>
      </c>
      <c r="AI761" s="52" t="n">
        <v>0</v>
      </c>
      <c r="AJ761" s="52" t="n">
        <v>0</v>
      </c>
      <c r="AK761" s="52" t="n">
        <v>0</v>
      </c>
      <c r="AL761" s="52" t="n">
        <v>0</v>
      </c>
      <c r="AM761" s="53" t="n">
        <v>0</v>
      </c>
      <c r="AN761" s="53" t="n">
        <v>0</v>
      </c>
      <c r="AO761" s="53" t="n">
        <v>0</v>
      </c>
      <c r="AP761" s="53" t="n">
        <v>0</v>
      </c>
      <c r="AQ761" s="52" t="n">
        <v>0</v>
      </c>
      <c r="AR761" s="52" t="n">
        <v>0</v>
      </c>
      <c r="AS761" s="52" t="n">
        <v>0</v>
      </c>
      <c r="AT761" s="52" t="n">
        <v>0</v>
      </c>
      <c r="AU761" s="53" t="n">
        <v>0</v>
      </c>
      <c r="AV761" s="53" t="n">
        <v>0</v>
      </c>
      <c r="AW761" s="53" t="n">
        <v>0</v>
      </c>
      <c r="AX761" s="53" t="n">
        <v>0</v>
      </c>
      <c r="AY761" s="52" t="n">
        <v>0</v>
      </c>
      <c r="AZ761" s="52" t="n">
        <v>0</v>
      </c>
      <c r="BA761" s="52" t="n">
        <v>0</v>
      </c>
      <c r="BB761" s="52" t="n">
        <v>0</v>
      </c>
      <c r="BC761" s="51" t="n">
        <v>0</v>
      </c>
      <c r="BD761" s="51" t="n">
        <v>0</v>
      </c>
      <c r="BE761" s="51" t="n">
        <v>0</v>
      </c>
      <c r="BF761" s="51" t="n">
        <v>0</v>
      </c>
    </row>
    <row r="762">
      <c r="A762">
        <f>HYPERLINK("https://www.walmart.com/ip/914193443", "914193443")</f>
        <v/>
      </c>
      <c r="B762" t="inlineStr">
        <is>
          <t>Microplush Sherpa Blanket with Sleeves for Women and Men</t>
        </is>
      </c>
      <c r="C762" t="inlineStr">
        <is>
          <t>1TRSN110PK</t>
        </is>
      </c>
      <c r="D762" t="inlineStr">
        <is>
          <t>Throws</t>
        </is>
      </c>
      <c r="E762" t="inlineStr">
        <is>
          <t>Tirrinia</t>
        </is>
      </c>
      <c r="F762" t="inlineStr">
        <is>
          <t>Batch 1 - TR</t>
        </is>
      </c>
      <c r="G762" s="48" t="n">
        <v>0</v>
      </c>
      <c r="H762" s="48" t="n">
        <v>0</v>
      </c>
      <c r="I762" s="48" t="n">
        <v>0</v>
      </c>
      <c r="J762" s="48" t="n">
        <v>0</v>
      </c>
      <c r="K762" s="49" t="n">
        <v>0</v>
      </c>
      <c r="L762" s="49" t="n">
        <v>0</v>
      </c>
      <c r="M762" s="49" t="n">
        <v>0</v>
      </c>
      <c r="N762" s="49" t="n">
        <v>0</v>
      </c>
      <c r="O762" s="49" t="n">
        <v>0</v>
      </c>
      <c r="P762" s="49" t="n">
        <v>0</v>
      </c>
      <c r="Q762" s="49" t="n">
        <v>0</v>
      </c>
      <c r="R762" s="49" t="n">
        <v>0</v>
      </c>
      <c r="S762" s="50" t="n">
        <v>0</v>
      </c>
      <c r="T762" s="50" t="n">
        <v>0</v>
      </c>
      <c r="U762" s="50" t="n">
        <v>0</v>
      </c>
      <c r="V762" s="50" t="n">
        <v>0</v>
      </c>
      <c r="W762" s="51" t="n">
        <v>0</v>
      </c>
      <c r="X762" s="51" t="n">
        <v>0</v>
      </c>
      <c r="Y762" s="51" t="n">
        <v>0</v>
      </c>
      <c r="Z762" s="51" t="n">
        <v>0</v>
      </c>
      <c r="AA762" s="52" t="n">
        <v>0</v>
      </c>
      <c r="AB762" s="52" t="n">
        <v>0</v>
      </c>
      <c r="AC762" s="52" t="n">
        <v>0</v>
      </c>
      <c r="AD762" s="52" t="n">
        <v>0</v>
      </c>
      <c r="AE762" s="52" t="n">
        <v>0</v>
      </c>
      <c r="AF762" s="52" t="n">
        <v>0</v>
      </c>
      <c r="AG762" s="52" t="n">
        <v>0</v>
      </c>
      <c r="AH762" s="52" t="n">
        <v>0</v>
      </c>
      <c r="AI762" s="52" t="n">
        <v>0</v>
      </c>
      <c r="AJ762" s="52" t="n">
        <v>0</v>
      </c>
      <c r="AK762" s="52" t="n">
        <v>0</v>
      </c>
      <c r="AL762" s="52" t="n">
        <v>0</v>
      </c>
      <c r="AM762" s="53" t="n">
        <v>0</v>
      </c>
      <c r="AN762" s="53" t="n">
        <v>0</v>
      </c>
      <c r="AO762" s="53" t="n">
        <v>0</v>
      </c>
      <c r="AP762" s="53" t="n">
        <v>0</v>
      </c>
      <c r="AQ762" s="52" t="n">
        <v>0</v>
      </c>
      <c r="AR762" s="52" t="n">
        <v>0</v>
      </c>
      <c r="AS762" s="52" t="n">
        <v>0</v>
      </c>
      <c r="AT762" s="52" t="n">
        <v>0</v>
      </c>
      <c r="AU762" s="53" t="n">
        <v>0</v>
      </c>
      <c r="AV762" s="53" t="n">
        <v>0</v>
      </c>
      <c r="AW762" s="53" t="n">
        <v>0</v>
      </c>
      <c r="AX762" s="53" t="n">
        <v>0</v>
      </c>
      <c r="AY762" s="52" t="n">
        <v>0</v>
      </c>
      <c r="AZ762" s="52" t="n">
        <v>0</v>
      </c>
      <c r="BA762" s="52" t="n">
        <v>0</v>
      </c>
      <c r="BB762" s="52" t="n">
        <v>0</v>
      </c>
      <c r="BC762" s="51" t="n">
        <v>0</v>
      </c>
      <c r="BD762" s="51" t="n">
        <v>0</v>
      </c>
      <c r="BE762" s="51" t="n">
        <v>0</v>
      </c>
      <c r="BF762" s="51" t="n">
        <v>0</v>
      </c>
    </row>
    <row r="763">
      <c r="A763">
        <f>HYPERLINK("https://www.walmart.com/ip/914310143", "914310143")</f>
        <v/>
      </c>
      <c r="B763" t="inlineStr">
        <is>
          <t>Terra Outdoor Flexible Running Fuel Belt &amp; Fitness Workout Belt for Women and Men - Best Exercise Waist Pack - Sports Travel Money Belt - Fanny Pack Runner Safety Reflective Waist Belt with Pockets</t>
        </is>
      </c>
      <c r="C763" t="inlineStr">
        <is>
          <t>TERRA-5NG-M-ZJ</t>
        </is>
      </c>
      <c r="D763" t="inlineStr">
        <is>
          <t>Fanny Packs</t>
        </is>
      </c>
      <c r="E763" t="inlineStr">
        <is>
          <t>Terra</t>
        </is>
      </c>
      <c r="F763" t="inlineStr">
        <is>
          <t>Batch 1 - TR</t>
        </is>
      </c>
      <c r="G763" s="48" t="n">
        <v>0</v>
      </c>
      <c r="H763" s="48" t="n">
        <v>0</v>
      </c>
      <c r="I763" s="48" t="n">
        <v>0</v>
      </c>
      <c r="J763" s="48" t="n">
        <v>0</v>
      </c>
      <c r="K763" s="49" t="n">
        <v>0</v>
      </c>
      <c r="L763" s="49" t="n">
        <v>0</v>
      </c>
      <c r="M763" s="49" t="n">
        <v>0</v>
      </c>
      <c r="N763" s="49" t="n">
        <v>0</v>
      </c>
      <c r="O763" s="49" t="n">
        <v>0</v>
      </c>
      <c r="P763" s="49" t="n">
        <v>0</v>
      </c>
      <c r="Q763" s="49" t="n">
        <v>0</v>
      </c>
      <c r="R763" s="49" t="n">
        <v>0</v>
      </c>
      <c r="S763" s="50" t="n">
        <v>0</v>
      </c>
      <c r="T763" s="50" t="n">
        <v>0</v>
      </c>
      <c r="U763" s="50" t="n">
        <v>0</v>
      </c>
      <c r="V763" s="50" t="n">
        <v>0</v>
      </c>
      <c r="W763" s="51" t="n">
        <v>0</v>
      </c>
      <c r="X763" s="51" t="n">
        <v>0</v>
      </c>
      <c r="Y763" s="51" t="n">
        <v>0</v>
      </c>
      <c r="Z763" s="51" t="n">
        <v>0</v>
      </c>
      <c r="AA763" s="52" t="n">
        <v>0</v>
      </c>
      <c r="AB763" s="52" t="n">
        <v>0</v>
      </c>
      <c r="AC763" s="52" t="n">
        <v>0</v>
      </c>
      <c r="AD763" s="52" t="n">
        <v>0</v>
      </c>
      <c r="AE763" s="52" t="n">
        <v>0</v>
      </c>
      <c r="AF763" s="52" t="n">
        <v>0</v>
      </c>
      <c r="AG763" s="52" t="n">
        <v>0</v>
      </c>
      <c r="AH763" s="52" t="n">
        <v>0</v>
      </c>
      <c r="AI763" s="52" t="n">
        <v>0</v>
      </c>
      <c r="AJ763" s="52" t="n">
        <v>0</v>
      </c>
      <c r="AK763" s="52" t="n">
        <v>0</v>
      </c>
      <c r="AL763" s="52" t="n">
        <v>0</v>
      </c>
      <c r="AM763" s="53" t="n">
        <v>0</v>
      </c>
      <c r="AN763" s="53" t="n">
        <v>0</v>
      </c>
      <c r="AO763" s="53" t="n">
        <v>0</v>
      </c>
      <c r="AP763" s="53" t="n">
        <v>0</v>
      </c>
      <c r="AQ763" s="52" t="n">
        <v>0</v>
      </c>
      <c r="AR763" s="52" t="n">
        <v>0</v>
      </c>
      <c r="AS763" s="52" t="n">
        <v>0</v>
      </c>
      <c r="AT763" s="52" t="n">
        <v>0</v>
      </c>
      <c r="AU763" s="53" t="n">
        <v>0</v>
      </c>
      <c r="AV763" s="53" t="n">
        <v>0</v>
      </c>
      <c r="AW763" s="53" t="n">
        <v>0</v>
      </c>
      <c r="AX763" s="53" t="n">
        <v>0</v>
      </c>
      <c r="AY763" s="52" t="n">
        <v>0</v>
      </c>
      <c r="AZ763" s="52" t="n">
        <v>0</v>
      </c>
      <c r="BA763" s="52" t="n">
        <v>0</v>
      </c>
      <c r="BB763" s="52" t="n">
        <v>0</v>
      </c>
      <c r="BC763" s="51" t="n">
        <v>0</v>
      </c>
      <c r="BD763" s="51" t="n">
        <v>0</v>
      </c>
      <c r="BE763" s="51" t="n">
        <v>0</v>
      </c>
      <c r="BF763" s="51" t="n">
        <v>0</v>
      </c>
    </row>
    <row r="764">
      <c r="A764">
        <f>HYPERLINK("https://www.walmart.com/ip/914697087", "914697087")</f>
        <v/>
      </c>
      <c r="B764" t="inlineStr">
        <is>
          <t>Catalonia Wearable Blanket with Sleeves and Pocket, Cozy Soft Fleece Micro Plush Wrap Adult Blanket Robe for Women and Men, Makes a Great Gift for Holidays, Grey, 73" x 51"</t>
        </is>
      </c>
      <c r="C764" t="inlineStr">
        <is>
          <t>1CTSN100GY</t>
        </is>
      </c>
      <c r="D764" t="inlineStr">
        <is>
          <t>Throws</t>
        </is>
      </c>
      <c r="E764" t="inlineStr">
        <is>
          <t>Catalonia</t>
        </is>
      </c>
      <c r="F764" t="inlineStr">
        <is>
          <t>WFS,WFS Item</t>
        </is>
      </c>
      <c r="G764" s="48" t="n">
        <v>0</v>
      </c>
      <c r="H764" s="48" t="n">
        <v>0</v>
      </c>
      <c r="I764" s="48" t="n">
        <v>0</v>
      </c>
      <c r="J764" s="48" t="n">
        <v>0</v>
      </c>
      <c r="K764" s="49" t="n">
        <v>0</v>
      </c>
      <c r="L764" s="49" t="n">
        <v>0</v>
      </c>
      <c r="M764" s="49" t="n">
        <v>0</v>
      </c>
      <c r="N764" s="49" t="n">
        <v>0</v>
      </c>
      <c r="O764" s="49" t="n">
        <v>0</v>
      </c>
      <c r="P764" s="49" t="n">
        <v>0</v>
      </c>
      <c r="Q764" s="49" t="n">
        <v>0</v>
      </c>
      <c r="R764" s="49" t="n">
        <v>0</v>
      </c>
      <c r="S764" s="50" t="n">
        <v>0</v>
      </c>
      <c r="T764" s="50" t="n">
        <v>0</v>
      </c>
      <c r="U764" s="50" t="n">
        <v>0</v>
      </c>
      <c r="V764" s="50" t="n">
        <v>0</v>
      </c>
      <c r="W764" s="51" t="n">
        <v>0</v>
      </c>
      <c r="X764" s="51" t="n">
        <v>0</v>
      </c>
      <c r="Y764" s="51" t="n">
        <v>0</v>
      </c>
      <c r="Z764" s="51" t="n">
        <v>0</v>
      </c>
      <c r="AA764" s="52" t="n">
        <v>0</v>
      </c>
      <c r="AB764" s="52" t="n">
        <v>0</v>
      </c>
      <c r="AC764" s="52" t="n">
        <v>0</v>
      </c>
      <c r="AD764" s="52" t="n">
        <v>0</v>
      </c>
      <c r="AE764" s="52" t="n">
        <v>0</v>
      </c>
      <c r="AF764" s="52" t="n">
        <v>0</v>
      </c>
      <c r="AG764" s="52" t="n">
        <v>0</v>
      </c>
      <c r="AH764" s="52" t="n">
        <v>0</v>
      </c>
      <c r="AI764" s="52" t="n">
        <v>0</v>
      </c>
      <c r="AJ764" s="52" t="n">
        <v>0</v>
      </c>
      <c r="AK764" s="52" t="n">
        <v>0</v>
      </c>
      <c r="AL764" s="52" t="n">
        <v>0</v>
      </c>
      <c r="AM764" s="53" t="n">
        <v>0</v>
      </c>
      <c r="AN764" s="53" t="n">
        <v>0</v>
      </c>
      <c r="AO764" s="53" t="n">
        <v>0</v>
      </c>
      <c r="AP764" s="53" t="n">
        <v>0</v>
      </c>
      <c r="AQ764" s="52" t="n">
        <v>0</v>
      </c>
      <c r="AR764" s="52" t="n">
        <v>0</v>
      </c>
      <c r="AS764" s="52" t="n">
        <v>0</v>
      </c>
      <c r="AT764" s="52" t="n">
        <v>0</v>
      </c>
      <c r="AU764" s="53" t="n">
        <v>0</v>
      </c>
      <c r="AV764" s="53" t="n">
        <v>0</v>
      </c>
      <c r="AW764" s="53" t="n">
        <v>0</v>
      </c>
      <c r="AX764" s="53" t="n">
        <v>0</v>
      </c>
      <c r="AY764" s="52" t="n">
        <v>0</v>
      </c>
      <c r="AZ764" s="52" t="n">
        <v>0</v>
      </c>
      <c r="BA764" s="52" t="n">
        <v>0</v>
      </c>
      <c r="BB764" s="52" t="n">
        <v>0</v>
      </c>
      <c r="BC764" s="51" t="n">
        <v>0</v>
      </c>
      <c r="BD764" s="51" t="n">
        <v>0</v>
      </c>
      <c r="BE764" s="51" t="n">
        <v>0</v>
      </c>
      <c r="BF764" s="51" t="n">
        <v>0</v>
      </c>
    </row>
    <row r="765">
      <c r="A765">
        <f>HYPERLINK("https://www.walmart.com/ip/915377193", "915377193")</f>
        <v/>
      </c>
      <c r="B765" t="inlineStr">
        <is>
          <t>Flyingstar Surf Beach Changing Towel With Hood, Super Absorbent Microfiber Swim Robe Poncho for Men Women Bath Shower Pool,Navy</t>
        </is>
      </c>
      <c r="C765" t="inlineStr">
        <is>
          <t>1WMBR102-NY</t>
        </is>
      </c>
      <c r="D765" t="inlineStr">
        <is>
          <t>Towels &amp; Washcloths</t>
        </is>
      </c>
      <c r="E765" t="inlineStr">
        <is>
          <t>Flyingstar</t>
        </is>
      </c>
      <c r="F765" t="inlineStr">
        <is>
          <t>Batch 1 - TR</t>
        </is>
      </c>
      <c r="G765" s="48" t="n">
        <v>0</v>
      </c>
      <c r="H765" s="48" t="n">
        <v>0</v>
      </c>
      <c r="I765" s="48" t="n">
        <v>0</v>
      </c>
      <c r="J765" s="48" t="n">
        <v>0</v>
      </c>
      <c r="K765" s="49" t="n">
        <v>0</v>
      </c>
      <c r="L765" s="49" t="n">
        <v>0</v>
      </c>
      <c r="M765" s="49" t="n">
        <v>0</v>
      </c>
      <c r="N765" s="49" t="n">
        <v>0</v>
      </c>
      <c r="O765" s="49" t="n">
        <v>0</v>
      </c>
      <c r="P765" s="49" t="n">
        <v>0</v>
      </c>
      <c r="Q765" s="49" t="n">
        <v>0</v>
      </c>
      <c r="R765" s="49" t="n">
        <v>0</v>
      </c>
      <c r="S765" s="50" t="n">
        <v>0</v>
      </c>
      <c r="T765" s="50" t="n">
        <v>0</v>
      </c>
      <c r="U765" s="50" t="n">
        <v>0</v>
      </c>
      <c r="V765" s="50" t="n">
        <v>0</v>
      </c>
      <c r="W765" s="51" t="n">
        <v>0</v>
      </c>
      <c r="X765" s="51" t="n">
        <v>0</v>
      </c>
      <c r="Y765" s="51" t="n">
        <v>0</v>
      </c>
      <c r="Z765" s="51" t="n">
        <v>0</v>
      </c>
      <c r="AA765" s="52" t="n">
        <v>0</v>
      </c>
      <c r="AB765" s="52" t="n">
        <v>0</v>
      </c>
      <c r="AC765" s="52" t="n">
        <v>0</v>
      </c>
      <c r="AD765" s="52" t="n">
        <v>0</v>
      </c>
      <c r="AE765" s="52" t="n">
        <v>0</v>
      </c>
      <c r="AF765" s="52" t="n">
        <v>0</v>
      </c>
      <c r="AG765" s="52" t="n">
        <v>0</v>
      </c>
      <c r="AH765" s="52" t="n">
        <v>0</v>
      </c>
      <c r="AI765" s="52" t="n">
        <v>0</v>
      </c>
      <c r="AJ765" s="52" t="n">
        <v>0</v>
      </c>
      <c r="AK765" s="52" t="n">
        <v>0</v>
      </c>
      <c r="AL765" s="52" t="n">
        <v>0</v>
      </c>
      <c r="AM765" s="53" t="n">
        <v>0</v>
      </c>
      <c r="AN765" s="53" t="n">
        <v>0</v>
      </c>
      <c r="AO765" s="53" t="n">
        <v>0</v>
      </c>
      <c r="AP765" s="53" t="n">
        <v>0</v>
      </c>
      <c r="AQ765" s="52" t="n">
        <v>0</v>
      </c>
      <c r="AR765" s="52" t="n">
        <v>0</v>
      </c>
      <c r="AS765" s="52" t="n">
        <v>0</v>
      </c>
      <c r="AT765" s="52" t="n">
        <v>0</v>
      </c>
      <c r="AU765" s="53" t="n">
        <v>0</v>
      </c>
      <c r="AV765" s="53" t="n">
        <v>0</v>
      </c>
      <c r="AW765" s="53" t="n">
        <v>0</v>
      </c>
      <c r="AX765" s="53" t="n">
        <v>0</v>
      </c>
      <c r="AY765" s="52" t="n">
        <v>0</v>
      </c>
      <c r="AZ765" s="52" t="n">
        <v>0</v>
      </c>
      <c r="BA765" s="52" t="n">
        <v>0</v>
      </c>
      <c r="BB765" s="52" t="n">
        <v>0</v>
      </c>
      <c r="BC765" s="51" t="n">
        <v>0</v>
      </c>
      <c r="BD765" s="51" t="n">
        <v>0</v>
      </c>
      <c r="BE765" s="51" t="n">
        <v>0</v>
      </c>
      <c r="BF765" s="51" t="n">
        <v>0</v>
      </c>
    </row>
    <row r="766">
      <c r="A766">
        <f>HYPERLINK("https://www.walmart.com/ip/915485342", "915485342")</f>
        <v/>
      </c>
      <c r="B766" t="inlineStr">
        <is>
          <t>Sherpa Throw Blanket, Soft Warm Fuzzy Snowflake Blanket  by Catalonia, 60x50 inches, Machine Wash</t>
        </is>
      </c>
      <c r="C766" t="inlineStr">
        <is>
          <t>1CTBF390GY</t>
        </is>
      </c>
      <c r="D766" t="inlineStr">
        <is>
          <t>Throws</t>
        </is>
      </c>
      <c r="E766" t="inlineStr">
        <is>
          <t>Catalonia</t>
        </is>
      </c>
      <c r="F766" t="inlineStr">
        <is>
          <t>Optimized</t>
        </is>
      </c>
      <c r="G766" s="48" t="n">
        <v>0</v>
      </c>
      <c r="H766" s="48" t="n">
        <v>0</v>
      </c>
      <c r="I766" s="48" t="n">
        <v>0</v>
      </c>
      <c r="J766" s="48" t="n">
        <v>0</v>
      </c>
      <c r="K766" s="49" t="n">
        <v>0</v>
      </c>
      <c r="L766" s="49" t="n">
        <v>0</v>
      </c>
      <c r="M766" s="49" t="n">
        <v>0</v>
      </c>
      <c r="N766" s="49" t="n">
        <v>0</v>
      </c>
      <c r="O766" s="49" t="n">
        <v>0</v>
      </c>
      <c r="P766" s="49" t="n">
        <v>0</v>
      </c>
      <c r="Q766" s="49" t="n">
        <v>0</v>
      </c>
      <c r="R766" s="49" t="n">
        <v>0</v>
      </c>
      <c r="S766" s="50" t="n">
        <v>0</v>
      </c>
      <c r="T766" s="50" t="n">
        <v>0</v>
      </c>
      <c r="U766" s="50" t="n">
        <v>0</v>
      </c>
      <c r="V766" s="50" t="n">
        <v>0</v>
      </c>
      <c r="W766" s="51" t="n">
        <v>0</v>
      </c>
      <c r="X766" s="51" t="n">
        <v>0</v>
      </c>
      <c r="Y766" s="51" t="n">
        <v>0</v>
      </c>
      <c r="Z766" s="51" t="n">
        <v>0</v>
      </c>
      <c r="AA766" s="52" t="n">
        <v>0</v>
      </c>
      <c r="AB766" s="52" t="n">
        <v>0</v>
      </c>
      <c r="AC766" s="52" t="n">
        <v>0</v>
      </c>
      <c r="AD766" s="52" t="n">
        <v>0</v>
      </c>
      <c r="AE766" s="52" t="n">
        <v>0</v>
      </c>
      <c r="AF766" s="52" t="n">
        <v>0</v>
      </c>
      <c r="AG766" s="52" t="n">
        <v>0</v>
      </c>
      <c r="AH766" s="52" t="n">
        <v>0</v>
      </c>
      <c r="AI766" s="52" t="n">
        <v>0</v>
      </c>
      <c r="AJ766" s="52" t="n">
        <v>0</v>
      </c>
      <c r="AK766" s="52" t="n">
        <v>0</v>
      </c>
      <c r="AL766" s="52" t="n">
        <v>0</v>
      </c>
      <c r="AM766" s="53" t="n">
        <v>0</v>
      </c>
      <c r="AN766" s="53" t="n">
        <v>0</v>
      </c>
      <c r="AO766" s="53" t="n">
        <v>0</v>
      </c>
      <c r="AP766" s="53" t="n">
        <v>0</v>
      </c>
      <c r="AQ766" s="52" t="n">
        <v>0</v>
      </c>
      <c r="AR766" s="52" t="n">
        <v>0</v>
      </c>
      <c r="AS766" s="52" t="n">
        <v>0</v>
      </c>
      <c r="AT766" s="52" t="n">
        <v>0</v>
      </c>
      <c r="AU766" s="53" t="n">
        <v>0</v>
      </c>
      <c r="AV766" s="53" t="n">
        <v>0</v>
      </c>
      <c r="AW766" s="53" t="n">
        <v>0</v>
      </c>
      <c r="AX766" s="53" t="n">
        <v>0</v>
      </c>
      <c r="AY766" s="52" t="n">
        <v>0</v>
      </c>
      <c r="AZ766" s="52" t="n">
        <v>0</v>
      </c>
      <c r="BA766" s="52" t="n">
        <v>0</v>
      </c>
      <c r="BB766" s="52" t="n">
        <v>0</v>
      </c>
      <c r="BC766" s="51" t="n">
        <v>0</v>
      </c>
      <c r="BD766" s="51" t="n">
        <v>0</v>
      </c>
      <c r="BE766" s="51" t="n">
        <v>0</v>
      </c>
      <c r="BF766" s="51" t="n">
        <v>0</v>
      </c>
    </row>
    <row r="767">
      <c r="A767">
        <f>HYPERLINK("https://www.walmart.com/ip/915647808", "915647808")</f>
        <v/>
      </c>
      <c r="B767" t="inlineStr">
        <is>
          <t>Wearable Fleece Blanket with Sleeves for Adult Women Men, Super Soft Comfy Plush TV Blanket Throw Wrap Cover for Lounge Couch Reading Watching TV 73" x 51" Latte/Beige</t>
        </is>
      </c>
      <c r="C767" t="inlineStr">
        <is>
          <t>1TRSN100LT</t>
        </is>
      </c>
      <c r="D767" t="inlineStr">
        <is>
          <t>Throws</t>
        </is>
      </c>
      <c r="E767" t="inlineStr">
        <is>
          <t>Tirrinia</t>
        </is>
      </c>
      <c r="F767" t="inlineStr">
        <is>
          <t>WFS,WFS Item,Fleece Blankets</t>
        </is>
      </c>
      <c r="G767" s="48" t="n">
        <v>0</v>
      </c>
      <c r="H767" s="48" t="n">
        <v>0</v>
      </c>
      <c r="I767" s="48" t="n">
        <v>0</v>
      </c>
      <c r="J767" s="48" t="n">
        <v>0</v>
      </c>
      <c r="K767" s="49" t="n">
        <v>0</v>
      </c>
      <c r="L767" s="49" t="n">
        <v>0</v>
      </c>
      <c r="M767" s="49" t="n">
        <v>0</v>
      </c>
      <c r="N767" s="49" t="n">
        <v>0</v>
      </c>
      <c r="O767" s="49" t="n">
        <v>0</v>
      </c>
      <c r="P767" s="49" t="n">
        <v>0</v>
      </c>
      <c r="Q767" s="49" t="n">
        <v>0</v>
      </c>
      <c r="R767" s="49" t="n">
        <v>0</v>
      </c>
      <c r="S767" s="50" t="n">
        <v>0</v>
      </c>
      <c r="T767" s="50" t="n">
        <v>0</v>
      </c>
      <c r="U767" s="50" t="n">
        <v>0</v>
      </c>
      <c r="V767" s="50" t="n">
        <v>0</v>
      </c>
      <c r="W767" s="51" t="n">
        <v>0</v>
      </c>
      <c r="X767" s="51" t="n">
        <v>0</v>
      </c>
      <c r="Y767" s="51" t="n">
        <v>0</v>
      </c>
      <c r="Z767" s="51" t="n">
        <v>0</v>
      </c>
      <c r="AA767" s="52" t="n">
        <v>0</v>
      </c>
      <c r="AB767" s="52" t="n">
        <v>0</v>
      </c>
      <c r="AC767" s="52" t="n">
        <v>0</v>
      </c>
      <c r="AD767" s="52" t="n">
        <v>0</v>
      </c>
      <c r="AE767" s="52" t="n">
        <v>0</v>
      </c>
      <c r="AF767" s="52" t="n">
        <v>0</v>
      </c>
      <c r="AG767" s="52" t="n">
        <v>0</v>
      </c>
      <c r="AH767" s="52" t="n">
        <v>0</v>
      </c>
      <c r="AI767" s="52" t="n">
        <v>0</v>
      </c>
      <c r="AJ767" s="52" t="n">
        <v>0</v>
      </c>
      <c r="AK767" s="52" t="n">
        <v>0</v>
      </c>
      <c r="AL767" s="52" t="n">
        <v>0</v>
      </c>
      <c r="AM767" s="53" t="n">
        <v>0</v>
      </c>
      <c r="AN767" s="53" t="n">
        <v>0</v>
      </c>
      <c r="AO767" s="53" t="n">
        <v>0</v>
      </c>
      <c r="AP767" s="53" t="n">
        <v>0</v>
      </c>
      <c r="AQ767" s="52" t="n">
        <v>0</v>
      </c>
      <c r="AR767" s="52" t="n">
        <v>0</v>
      </c>
      <c r="AS767" s="52" t="n">
        <v>0</v>
      </c>
      <c r="AT767" s="52" t="n">
        <v>0</v>
      </c>
      <c r="AU767" s="53" t="n">
        <v>0</v>
      </c>
      <c r="AV767" s="53" t="n">
        <v>0</v>
      </c>
      <c r="AW767" s="53" t="n">
        <v>0</v>
      </c>
      <c r="AX767" s="53" t="n">
        <v>0</v>
      </c>
      <c r="AY767" s="52" t="n">
        <v>0</v>
      </c>
      <c r="AZ767" s="52" t="n">
        <v>0</v>
      </c>
      <c r="BA767" s="52" t="n">
        <v>0</v>
      </c>
      <c r="BB767" s="52" t="n">
        <v>0</v>
      </c>
      <c r="BC767" s="51" t="n">
        <v>0</v>
      </c>
      <c r="BD767" s="51" t="n">
        <v>0</v>
      </c>
      <c r="BE767" s="51" t="n">
        <v>0</v>
      </c>
      <c r="BF767" s="51" t="n">
        <v>0</v>
      </c>
    </row>
    <row r="768">
      <c r="A768">
        <f>HYPERLINK("https://www.walmart.com/ip/916273017", "916273017")</f>
        <v/>
      </c>
      <c r="B768" t="inlineStr">
        <is>
          <t>Catalonia Microfiber Plush Throw Blanket for Couch and Bed, Holiday Theme Sherpa Fleece Throw Christmas Gift Blanket, Super Soft, Comfy, Cozy, Fluffy, and Warm, Blue, 90'' x 90''</t>
        </is>
      </c>
      <c r="C768" t="inlineStr">
        <is>
          <t>1CTBF399BL</t>
        </is>
      </c>
      <c r="D768" t="inlineStr">
        <is>
          <t>Throws</t>
        </is>
      </c>
      <c r="E768" t="inlineStr">
        <is>
          <t>Catalonia</t>
        </is>
      </c>
      <c r="F768" t="inlineStr">
        <is>
          <t>WFS,Coupon_Discount,WFS Item</t>
        </is>
      </c>
      <c r="G768" s="48" t="n">
        <v>0</v>
      </c>
      <c r="H768" s="48" t="n">
        <v>0</v>
      </c>
      <c r="I768" s="48" t="n">
        <v>0</v>
      </c>
      <c r="J768" s="48" t="n">
        <v>0</v>
      </c>
      <c r="K768" s="49" t="n">
        <v>0</v>
      </c>
      <c r="L768" s="49" t="n">
        <v>0</v>
      </c>
      <c r="M768" s="49" t="n">
        <v>0</v>
      </c>
      <c r="N768" s="49" t="n">
        <v>0</v>
      </c>
      <c r="O768" s="49" t="n">
        <v>0</v>
      </c>
      <c r="P768" s="49" t="n">
        <v>0</v>
      </c>
      <c r="Q768" s="49" t="n">
        <v>0</v>
      </c>
      <c r="R768" s="49" t="n">
        <v>0</v>
      </c>
      <c r="S768" s="50" t="n">
        <v>0</v>
      </c>
      <c r="T768" s="50" t="n">
        <v>0</v>
      </c>
      <c r="U768" s="50" t="n">
        <v>0</v>
      </c>
      <c r="V768" s="50" t="n">
        <v>0</v>
      </c>
      <c r="W768" s="51" t="n">
        <v>0</v>
      </c>
      <c r="X768" s="51" t="n">
        <v>0</v>
      </c>
      <c r="Y768" s="51" t="n">
        <v>0</v>
      </c>
      <c r="Z768" s="51" t="n">
        <v>0</v>
      </c>
      <c r="AA768" s="52" t="n">
        <v>0</v>
      </c>
      <c r="AB768" s="52" t="n">
        <v>0</v>
      </c>
      <c r="AC768" s="52" t="n">
        <v>0</v>
      </c>
      <c r="AD768" s="52" t="n">
        <v>0</v>
      </c>
      <c r="AE768" s="52" t="n">
        <v>0</v>
      </c>
      <c r="AF768" s="52" t="n">
        <v>0</v>
      </c>
      <c r="AG768" s="52" t="n">
        <v>0</v>
      </c>
      <c r="AH768" s="52" t="n">
        <v>0</v>
      </c>
      <c r="AI768" s="52" t="n">
        <v>0</v>
      </c>
      <c r="AJ768" s="52" t="n">
        <v>0</v>
      </c>
      <c r="AK768" s="52" t="n">
        <v>0</v>
      </c>
      <c r="AL768" s="52" t="n">
        <v>0</v>
      </c>
      <c r="AM768" s="53" t="n">
        <v>0</v>
      </c>
      <c r="AN768" s="53" t="n">
        <v>0</v>
      </c>
      <c r="AO768" s="53" t="n">
        <v>0</v>
      </c>
      <c r="AP768" s="53" t="n">
        <v>0</v>
      </c>
      <c r="AQ768" s="52" t="n">
        <v>0</v>
      </c>
      <c r="AR768" s="52" t="n">
        <v>0</v>
      </c>
      <c r="AS768" s="52" t="n">
        <v>0</v>
      </c>
      <c r="AT768" s="52" t="n">
        <v>0</v>
      </c>
      <c r="AU768" s="53" t="n">
        <v>0</v>
      </c>
      <c r="AV768" s="53" t="n">
        <v>0</v>
      </c>
      <c r="AW768" s="53" t="n">
        <v>0</v>
      </c>
      <c r="AX768" s="53" t="n">
        <v>0</v>
      </c>
      <c r="AY768" s="52" t="n">
        <v>0</v>
      </c>
      <c r="AZ768" s="52" t="n">
        <v>0</v>
      </c>
      <c r="BA768" s="52" t="n">
        <v>0</v>
      </c>
      <c r="BB768" s="52" t="n">
        <v>0</v>
      </c>
      <c r="BC768" s="51" t="n">
        <v>0</v>
      </c>
      <c r="BD768" s="51" t="n">
        <v>0</v>
      </c>
      <c r="BE768" s="51" t="n">
        <v>0</v>
      </c>
      <c r="BF768" s="51" t="n">
        <v>0</v>
      </c>
    </row>
    <row r="769">
      <c r="A769">
        <f>HYPERLINK("https://www.walmart.com/ip/916711212", "916711212")</f>
        <v/>
      </c>
      <c r="B769" t="inlineStr">
        <is>
          <t>Tirrinia 2 Bottle Wine Tote Carrier - Leakproof &amp; Insulated Padded Versatile Wine Cooler Bag for Travel, BYOB Restaurant, Wine Tasting, Party, Dinner, Great Christmas Day Gift for Wine Lover, Black</t>
        </is>
      </c>
      <c r="C769" t="inlineStr">
        <is>
          <t>1KTWB220BK</t>
        </is>
      </c>
      <c r="D769" t="inlineStr">
        <is>
          <t>Wine Totes, Bags &amp; Backpacks</t>
        </is>
      </c>
      <c r="E769" t="inlineStr">
        <is>
          <t>Tirrinia</t>
        </is>
      </c>
      <c r="F769" t="inlineStr">
        <is>
          <t>Wine,Christmas,WFS,Valentine,SEM,WFS Item</t>
        </is>
      </c>
      <c r="G769" s="48" t="n">
        <v>0</v>
      </c>
      <c r="H769" s="48" t="n">
        <v>49.98</v>
      </c>
      <c r="I769" s="48" t="n">
        <v>0</v>
      </c>
      <c r="J769" s="48" t="n">
        <v>0</v>
      </c>
      <c r="K769" s="49" t="n">
        <v>0</v>
      </c>
      <c r="L769" s="49" t="n">
        <v>2</v>
      </c>
      <c r="M769" s="49" t="n">
        <v>0</v>
      </c>
      <c r="N769" s="49" t="n">
        <v>0</v>
      </c>
      <c r="O769" s="49" t="n">
        <v>0</v>
      </c>
      <c r="P769" s="49" t="n">
        <v>0</v>
      </c>
      <c r="Q769" s="49" t="n">
        <v>0</v>
      </c>
      <c r="R769" s="49" t="n">
        <v>0</v>
      </c>
      <c r="S769" s="50" t="n">
        <v>0</v>
      </c>
      <c r="T769" s="50" t="n">
        <v>0</v>
      </c>
      <c r="U769" s="50" t="n">
        <v>0</v>
      </c>
      <c r="V769" s="50" t="n">
        <v>0</v>
      </c>
      <c r="W769" s="51" t="n">
        <v>0</v>
      </c>
      <c r="X769" s="51" t="n">
        <v>0</v>
      </c>
      <c r="Y769" s="51" t="n">
        <v>0</v>
      </c>
      <c r="Z769" s="51" t="n">
        <v>0</v>
      </c>
      <c r="AA769" s="52" t="n">
        <v>0</v>
      </c>
      <c r="AB769" s="52" t="n">
        <v>0</v>
      </c>
      <c r="AC769" s="52" t="n">
        <v>0</v>
      </c>
      <c r="AD769" s="52" t="n">
        <v>0</v>
      </c>
      <c r="AE769" s="52" t="n">
        <v>0</v>
      </c>
      <c r="AF769" s="52" t="n">
        <v>0</v>
      </c>
      <c r="AG769" s="52" t="n">
        <v>0</v>
      </c>
      <c r="AH769" s="52" t="n">
        <v>0</v>
      </c>
      <c r="AI769" s="52" t="n">
        <v>0</v>
      </c>
      <c r="AJ769" s="52" t="n">
        <v>0</v>
      </c>
      <c r="AK769" s="52" t="n">
        <v>0</v>
      </c>
      <c r="AL769" s="52" t="n">
        <v>0</v>
      </c>
      <c r="AM769" s="53" t="n">
        <v>0</v>
      </c>
      <c r="AN769" s="53" t="n">
        <v>0</v>
      </c>
      <c r="AO769" s="53" t="n">
        <v>0</v>
      </c>
      <c r="AP769" s="53" t="n">
        <v>0</v>
      </c>
      <c r="AQ769" s="52" t="n">
        <v>0</v>
      </c>
      <c r="AR769" s="52" t="n">
        <v>0</v>
      </c>
      <c r="AS769" s="52" t="n">
        <v>0</v>
      </c>
      <c r="AT769" s="52" t="n">
        <v>0</v>
      </c>
      <c r="AU769" s="53" t="n">
        <v>0</v>
      </c>
      <c r="AV769" s="53" t="n">
        <v>0</v>
      </c>
      <c r="AW769" s="53" t="n">
        <v>0</v>
      </c>
      <c r="AX769" s="53" t="n">
        <v>0</v>
      </c>
      <c r="AY769" s="52" t="n">
        <v>0</v>
      </c>
      <c r="AZ769" s="52" t="n">
        <v>24.99</v>
      </c>
      <c r="BA769" s="52" t="n">
        <v>0</v>
      </c>
      <c r="BB769" s="52" t="n">
        <v>0</v>
      </c>
      <c r="BC769" s="51" t="n">
        <v>0</v>
      </c>
      <c r="BD769" s="51" t="n">
        <v>0</v>
      </c>
      <c r="BE769" s="51" t="n">
        <v>0</v>
      </c>
      <c r="BF769" s="51" t="n">
        <v>0</v>
      </c>
    </row>
    <row r="770">
      <c r="A770">
        <f>HYPERLINK("https://www.walmart.com/ip/917118066", "917118066")</f>
        <v/>
      </c>
      <c r="B770" t="inlineStr">
        <is>
          <t>Tirrinia Insulated Lunch Bag for Women Men, Leakproof Thermal Reusable Lunch Box Tote for Adult &amp; Kids by Tirrinia, Lunch Cooler for Office Work, Dark Grey</t>
        </is>
      </c>
      <c r="C770" t="inlineStr">
        <is>
          <t>1TRLB701P1BR</t>
        </is>
      </c>
      <c r="D770" t="inlineStr">
        <is>
          <t>Reusable Lunch Bags &amp; Boxes</t>
        </is>
      </c>
      <c r="E770" t="inlineStr">
        <is>
          <t>Tirrinia</t>
        </is>
      </c>
      <c r="F770" t="inlineStr">
        <is>
          <t>Q2-Target,Brand Camp VD,Lunch Bag,Optimized,Lunch Bags,SEM</t>
        </is>
      </c>
      <c r="G770" s="48" t="n">
        <v>0</v>
      </c>
      <c r="H770" s="48" t="n">
        <v>0</v>
      </c>
      <c r="I770" s="48" t="n">
        <v>13.99</v>
      </c>
      <c r="J770" s="48" t="n">
        <v>0</v>
      </c>
      <c r="K770" s="49" t="n">
        <v>0</v>
      </c>
      <c r="L770" s="49" t="n">
        <v>0</v>
      </c>
      <c r="M770" s="49" t="n">
        <v>1</v>
      </c>
      <c r="N770" s="49" t="n">
        <v>0</v>
      </c>
      <c r="O770" s="49" t="n">
        <v>0</v>
      </c>
      <c r="P770" s="49" t="n">
        <v>0</v>
      </c>
      <c r="Q770" s="49" t="n">
        <v>0</v>
      </c>
      <c r="R770" s="49" t="n">
        <v>0</v>
      </c>
      <c r="S770" s="50" t="n">
        <v>0</v>
      </c>
      <c r="T770" s="50" t="n">
        <v>0</v>
      </c>
      <c r="U770" s="50" t="n">
        <v>0</v>
      </c>
      <c r="V770" s="50" t="n">
        <v>0</v>
      </c>
      <c r="W770" s="51" t="n">
        <v>0</v>
      </c>
      <c r="X770" s="51" t="n">
        <v>0</v>
      </c>
      <c r="Y770" s="51" t="n">
        <v>0</v>
      </c>
      <c r="Z770" s="51" t="n">
        <v>0</v>
      </c>
      <c r="AA770" s="52" t="n">
        <v>0</v>
      </c>
      <c r="AB770" s="52" t="n">
        <v>0</v>
      </c>
      <c r="AC770" s="52" t="n">
        <v>0</v>
      </c>
      <c r="AD770" s="52" t="n">
        <v>0</v>
      </c>
      <c r="AE770" s="52" t="n">
        <v>0</v>
      </c>
      <c r="AF770" s="52" t="n">
        <v>0</v>
      </c>
      <c r="AG770" s="52" t="n">
        <v>0</v>
      </c>
      <c r="AH770" s="52" t="n">
        <v>0</v>
      </c>
      <c r="AI770" s="52" t="n">
        <v>0</v>
      </c>
      <c r="AJ770" s="52" t="n">
        <v>0</v>
      </c>
      <c r="AK770" s="52" t="n">
        <v>0</v>
      </c>
      <c r="AL770" s="52" t="n">
        <v>0</v>
      </c>
      <c r="AM770" s="53" t="n">
        <v>0</v>
      </c>
      <c r="AN770" s="53" t="n">
        <v>0</v>
      </c>
      <c r="AO770" s="53" t="n">
        <v>0</v>
      </c>
      <c r="AP770" s="53" t="n">
        <v>0</v>
      </c>
      <c r="AQ770" s="52" t="n">
        <v>0</v>
      </c>
      <c r="AR770" s="52" t="n">
        <v>0</v>
      </c>
      <c r="AS770" s="52" t="n">
        <v>0</v>
      </c>
      <c r="AT770" s="52" t="n">
        <v>0</v>
      </c>
      <c r="AU770" s="53" t="n">
        <v>0</v>
      </c>
      <c r="AV770" s="53" t="n">
        <v>0</v>
      </c>
      <c r="AW770" s="53" t="n">
        <v>0</v>
      </c>
      <c r="AX770" s="53" t="n">
        <v>0</v>
      </c>
      <c r="AY770" s="52" t="n">
        <v>0</v>
      </c>
      <c r="AZ770" s="52" t="n">
        <v>0</v>
      </c>
      <c r="BA770" s="52" t="n">
        <v>13.99</v>
      </c>
      <c r="BB770" s="52" t="n">
        <v>0</v>
      </c>
      <c r="BC770" s="51" t="n">
        <v>0</v>
      </c>
      <c r="BD770" s="51" t="n">
        <v>0</v>
      </c>
      <c r="BE770" s="51" t="n">
        <v>0</v>
      </c>
      <c r="BF770" s="51" t="n">
        <v>0</v>
      </c>
    </row>
    <row r="771">
      <c r="A771">
        <f>HYPERLINK("https://www.walmart.com/ip/917761016", "917761016")</f>
        <v/>
      </c>
      <c r="B771" t="inlineStr">
        <is>
          <t>Catalonia Sherpa Throw Blanket, Fuzzy Snuggle Blanket for Camping Traveling Couch Bed, Super Soft, Light Weight, Reversible, All Season Use, 50x60 inches, Gray</t>
        </is>
      </c>
      <c r="C771" t="inlineStr">
        <is>
          <t>1CTBF579GY</t>
        </is>
      </c>
      <c r="D771" t="inlineStr">
        <is>
          <t>Throws</t>
        </is>
      </c>
      <c r="E771" t="inlineStr">
        <is>
          <t>Catalonia</t>
        </is>
      </c>
      <c r="F771" t="inlineStr">
        <is>
          <t>WFS,WFS Item</t>
        </is>
      </c>
      <c r="G771" s="48" t="n">
        <v>0</v>
      </c>
      <c r="H771" s="48" t="n">
        <v>0</v>
      </c>
      <c r="I771" s="48" t="n">
        <v>0</v>
      </c>
      <c r="J771" s="48" t="n">
        <v>0</v>
      </c>
      <c r="K771" s="49" t="n">
        <v>0</v>
      </c>
      <c r="L771" s="49" t="n">
        <v>0</v>
      </c>
      <c r="M771" s="49" t="n">
        <v>0</v>
      </c>
      <c r="N771" s="49" t="n">
        <v>0</v>
      </c>
      <c r="O771" s="49" t="n">
        <v>0</v>
      </c>
      <c r="P771" s="49" t="n">
        <v>0</v>
      </c>
      <c r="Q771" s="49" t="n">
        <v>0</v>
      </c>
      <c r="R771" s="49" t="n">
        <v>0</v>
      </c>
      <c r="S771" s="50" t="n">
        <v>0</v>
      </c>
      <c r="T771" s="50" t="n">
        <v>0</v>
      </c>
      <c r="U771" s="50" t="n">
        <v>0</v>
      </c>
      <c r="V771" s="50" t="n">
        <v>0</v>
      </c>
      <c r="W771" s="51" t="n">
        <v>0</v>
      </c>
      <c r="X771" s="51" t="n">
        <v>0</v>
      </c>
      <c r="Y771" s="51" t="n">
        <v>0</v>
      </c>
      <c r="Z771" s="51" t="n">
        <v>0</v>
      </c>
      <c r="AA771" s="52" t="n">
        <v>0</v>
      </c>
      <c r="AB771" s="52" t="n">
        <v>0</v>
      </c>
      <c r="AC771" s="52" t="n">
        <v>0</v>
      </c>
      <c r="AD771" s="52" t="n">
        <v>0</v>
      </c>
      <c r="AE771" s="52" t="n">
        <v>0</v>
      </c>
      <c r="AF771" s="52" t="n">
        <v>0</v>
      </c>
      <c r="AG771" s="52" t="n">
        <v>0</v>
      </c>
      <c r="AH771" s="52" t="n">
        <v>0</v>
      </c>
      <c r="AI771" s="52" t="n">
        <v>0</v>
      </c>
      <c r="AJ771" s="52" t="n">
        <v>0</v>
      </c>
      <c r="AK771" s="52" t="n">
        <v>0</v>
      </c>
      <c r="AL771" s="52" t="n">
        <v>0</v>
      </c>
      <c r="AM771" s="53" t="n">
        <v>0</v>
      </c>
      <c r="AN771" s="53" t="n">
        <v>0</v>
      </c>
      <c r="AO771" s="53" t="n">
        <v>0</v>
      </c>
      <c r="AP771" s="53" t="n">
        <v>0</v>
      </c>
      <c r="AQ771" s="52" t="n">
        <v>0</v>
      </c>
      <c r="AR771" s="52" t="n">
        <v>0</v>
      </c>
      <c r="AS771" s="52" t="n">
        <v>0</v>
      </c>
      <c r="AT771" s="52" t="n">
        <v>0</v>
      </c>
      <c r="AU771" s="53" t="n">
        <v>0</v>
      </c>
      <c r="AV771" s="53" t="n">
        <v>0</v>
      </c>
      <c r="AW771" s="53" t="n">
        <v>0</v>
      </c>
      <c r="AX771" s="53" t="n">
        <v>0</v>
      </c>
      <c r="AY771" s="52" t="n">
        <v>0</v>
      </c>
      <c r="AZ771" s="52" t="n">
        <v>0</v>
      </c>
      <c r="BA771" s="52" t="n">
        <v>0</v>
      </c>
      <c r="BB771" s="52" t="n">
        <v>0</v>
      </c>
      <c r="BC771" s="51" t="n">
        <v>0</v>
      </c>
      <c r="BD771" s="51" t="n">
        <v>0</v>
      </c>
      <c r="BE771" s="51" t="n">
        <v>0</v>
      </c>
      <c r="BF771" s="51" t="n">
        <v>0</v>
      </c>
    </row>
    <row r="772">
      <c r="A772">
        <f>HYPERLINK("https://www.walmart.com/ip/918543792", "918543792")</f>
        <v/>
      </c>
      <c r="B772" t="inlineStr">
        <is>
          <t>Tankini Swimsuits for Women Two Piece Bathing Suits Open Back Flattering Swimwear</t>
        </is>
      </c>
      <c r="C772" t="inlineStr">
        <is>
          <t>1SLSS005BK-M</t>
        </is>
      </c>
      <c r="D772" t="inlineStr">
        <is>
          <t>Swimsuit Sets</t>
        </is>
      </c>
      <c r="E772" t="inlineStr">
        <is>
          <t>Solaris</t>
        </is>
      </c>
      <c r="F772" t="inlineStr">
        <is>
          <t>Optimized</t>
        </is>
      </c>
      <c r="G772" s="48" t="n">
        <v>0</v>
      </c>
      <c r="H772" s="48" t="n">
        <v>0</v>
      </c>
      <c r="I772" s="48" t="n">
        <v>0</v>
      </c>
      <c r="J772" s="48" t="n">
        <v>0</v>
      </c>
      <c r="K772" s="49" t="n">
        <v>0</v>
      </c>
      <c r="L772" s="49" t="n">
        <v>0</v>
      </c>
      <c r="M772" s="49" t="n">
        <v>0</v>
      </c>
      <c r="N772" s="49" t="n">
        <v>0</v>
      </c>
      <c r="O772" s="49" t="n">
        <v>0</v>
      </c>
      <c r="P772" s="49" t="n">
        <v>0</v>
      </c>
      <c r="Q772" s="49" t="n">
        <v>0</v>
      </c>
      <c r="R772" s="49" t="n">
        <v>0</v>
      </c>
      <c r="S772" s="50" t="n">
        <v>0</v>
      </c>
      <c r="T772" s="50" t="n">
        <v>0</v>
      </c>
      <c r="U772" s="50" t="n">
        <v>0</v>
      </c>
      <c r="V772" s="50" t="n">
        <v>0</v>
      </c>
      <c r="W772" s="51" t="n">
        <v>0</v>
      </c>
      <c r="X772" s="51" t="n">
        <v>0</v>
      </c>
      <c r="Y772" s="51" t="n">
        <v>0</v>
      </c>
      <c r="Z772" s="51" t="n">
        <v>0</v>
      </c>
      <c r="AA772" s="52" t="n">
        <v>0</v>
      </c>
      <c r="AB772" s="52" t="n">
        <v>0</v>
      </c>
      <c r="AC772" s="52" t="n">
        <v>0</v>
      </c>
      <c r="AD772" s="52" t="n">
        <v>0</v>
      </c>
      <c r="AE772" s="52" t="n">
        <v>0</v>
      </c>
      <c r="AF772" s="52" t="n">
        <v>0</v>
      </c>
      <c r="AG772" s="52" t="n">
        <v>0</v>
      </c>
      <c r="AH772" s="52" t="n">
        <v>0</v>
      </c>
      <c r="AI772" s="52" t="n">
        <v>0</v>
      </c>
      <c r="AJ772" s="52" t="n">
        <v>0</v>
      </c>
      <c r="AK772" s="52" t="n">
        <v>0</v>
      </c>
      <c r="AL772" s="52" t="n">
        <v>0</v>
      </c>
      <c r="AM772" s="53" t="n">
        <v>0</v>
      </c>
      <c r="AN772" s="53" t="n">
        <v>0</v>
      </c>
      <c r="AO772" s="53" t="n">
        <v>0</v>
      </c>
      <c r="AP772" s="53" t="n">
        <v>0</v>
      </c>
      <c r="AQ772" s="52" t="n">
        <v>0</v>
      </c>
      <c r="AR772" s="52" t="n">
        <v>0</v>
      </c>
      <c r="AS772" s="52" t="n">
        <v>0</v>
      </c>
      <c r="AT772" s="52" t="n">
        <v>0</v>
      </c>
      <c r="AU772" s="53" t="n">
        <v>0</v>
      </c>
      <c r="AV772" s="53" t="n">
        <v>0</v>
      </c>
      <c r="AW772" s="53" t="n">
        <v>0</v>
      </c>
      <c r="AX772" s="53" t="n">
        <v>0</v>
      </c>
      <c r="AY772" s="52" t="n">
        <v>0</v>
      </c>
      <c r="AZ772" s="52" t="n">
        <v>0</v>
      </c>
      <c r="BA772" s="52" t="n">
        <v>0</v>
      </c>
      <c r="BB772" s="52" t="n">
        <v>0</v>
      </c>
      <c r="BC772" s="51" t="n">
        <v>0</v>
      </c>
      <c r="BD772" s="51" t="n">
        <v>0</v>
      </c>
      <c r="BE772" s="51" t="n">
        <v>0</v>
      </c>
      <c r="BF772" s="51" t="n">
        <v>0</v>
      </c>
    </row>
    <row r="773">
      <c r="A773">
        <f>HYPERLINK("https://www.walmart.com/ip/918795016", "918795016")</f>
        <v/>
      </c>
      <c r="B773" t="inlineStr">
        <is>
          <t>Flyingstar Mermaid Tail Blanket, Soft Flannel Fleece All Seasons Sleeping Blanket for Kids Adults, Rainbow Ombre Fish Scale Design Snuggle Blanket, Best Gifts</t>
        </is>
      </c>
      <c r="C773" t="inlineStr">
        <is>
          <t>1WMMP100LB</t>
        </is>
      </c>
      <c r="D773" t="inlineStr">
        <is>
          <t>Throws</t>
        </is>
      </c>
      <c r="E773" t="inlineStr">
        <is>
          <t>Flyingstar</t>
        </is>
      </c>
      <c r="F773" t="inlineStr">
        <is>
          <t>Baby days,Optimized</t>
        </is>
      </c>
      <c r="G773" s="48" t="n">
        <v>0</v>
      </c>
      <c r="H773" s="48" t="n">
        <v>0</v>
      </c>
      <c r="I773" s="48" t="n">
        <v>0</v>
      </c>
      <c r="J773" s="48" t="n">
        <v>0</v>
      </c>
      <c r="K773" s="49" t="n">
        <v>0</v>
      </c>
      <c r="L773" s="49" t="n">
        <v>0</v>
      </c>
      <c r="M773" s="49" t="n">
        <v>0</v>
      </c>
      <c r="N773" s="49" t="n">
        <v>0</v>
      </c>
      <c r="O773" s="49" t="n">
        <v>0</v>
      </c>
      <c r="P773" s="49" t="n">
        <v>0</v>
      </c>
      <c r="Q773" s="49" t="n">
        <v>0</v>
      </c>
      <c r="R773" s="49" t="n">
        <v>0</v>
      </c>
      <c r="S773" s="50" t="n">
        <v>0</v>
      </c>
      <c r="T773" s="50" t="n">
        <v>0</v>
      </c>
      <c r="U773" s="50" t="n">
        <v>0</v>
      </c>
      <c r="V773" s="50" t="n">
        <v>0</v>
      </c>
      <c r="W773" s="51" t="n">
        <v>0</v>
      </c>
      <c r="X773" s="51" t="n">
        <v>0</v>
      </c>
      <c r="Y773" s="51" t="n">
        <v>0</v>
      </c>
      <c r="Z773" s="51" t="n">
        <v>0</v>
      </c>
      <c r="AA773" s="52" t="n">
        <v>0</v>
      </c>
      <c r="AB773" s="52" t="n">
        <v>0</v>
      </c>
      <c r="AC773" s="52" t="n">
        <v>0</v>
      </c>
      <c r="AD773" s="52" t="n">
        <v>0</v>
      </c>
      <c r="AE773" s="52" t="n">
        <v>0</v>
      </c>
      <c r="AF773" s="52" t="n">
        <v>0</v>
      </c>
      <c r="AG773" s="52" t="n">
        <v>0</v>
      </c>
      <c r="AH773" s="52" t="n">
        <v>0</v>
      </c>
      <c r="AI773" s="52" t="n">
        <v>0</v>
      </c>
      <c r="AJ773" s="52" t="n">
        <v>0</v>
      </c>
      <c r="AK773" s="52" t="n">
        <v>0</v>
      </c>
      <c r="AL773" s="52" t="n">
        <v>0</v>
      </c>
      <c r="AM773" s="53" t="n">
        <v>0</v>
      </c>
      <c r="AN773" s="53" t="n">
        <v>0</v>
      </c>
      <c r="AO773" s="53" t="n">
        <v>0</v>
      </c>
      <c r="AP773" s="53" t="n">
        <v>0</v>
      </c>
      <c r="AQ773" s="52" t="n">
        <v>0</v>
      </c>
      <c r="AR773" s="52" t="n">
        <v>0</v>
      </c>
      <c r="AS773" s="52" t="n">
        <v>0</v>
      </c>
      <c r="AT773" s="52" t="n">
        <v>0</v>
      </c>
      <c r="AU773" s="53" t="n">
        <v>0</v>
      </c>
      <c r="AV773" s="53" t="n">
        <v>0</v>
      </c>
      <c r="AW773" s="53" t="n">
        <v>0</v>
      </c>
      <c r="AX773" s="53" t="n">
        <v>0</v>
      </c>
      <c r="AY773" s="52" t="n">
        <v>0</v>
      </c>
      <c r="AZ773" s="52" t="n">
        <v>0</v>
      </c>
      <c r="BA773" s="52" t="n">
        <v>0</v>
      </c>
      <c r="BB773" s="52" t="n">
        <v>0</v>
      </c>
      <c r="BC773" s="51" t="n">
        <v>0</v>
      </c>
      <c r="BD773" s="51" t="n">
        <v>0</v>
      </c>
      <c r="BE773" s="51" t="n">
        <v>0</v>
      </c>
      <c r="BF773" s="51" t="n">
        <v>0</v>
      </c>
    </row>
    <row r="774">
      <c r="A774">
        <f>HYPERLINK("https://www.walmart.com/ip/891228357", "891228357")</f>
        <v/>
      </c>
      <c r="B774" t="inlineStr">
        <is>
          <t>Tirrinia Outdoor Boonie Sun Protection Hat, Mesh Bucket Hat with Wide Brim, Camping, Hiking, Fishing, Hunting, Boating, Safari Cap with Adjustable Drawstring, Gray</t>
        </is>
      </c>
      <c r="C774" t="inlineStr">
        <is>
          <t>KC-S9154-GY</t>
        </is>
      </c>
      <c r="D774" t="inlineStr">
        <is>
          <t>Hats</t>
        </is>
      </c>
      <c r="E774" t="inlineStr">
        <is>
          <t>Sun Blocker</t>
        </is>
      </c>
      <c r="F774" t="inlineStr">
        <is>
          <t>Q2-Target,WFS,Hats,WFS Item</t>
        </is>
      </c>
      <c r="G774" s="48" t="n">
        <v>0</v>
      </c>
      <c r="H774" s="48" t="n">
        <v>0</v>
      </c>
      <c r="I774" s="48" t="n">
        <v>0</v>
      </c>
      <c r="J774" s="48" t="n">
        <v>0</v>
      </c>
      <c r="K774" s="49" t="n">
        <v>0</v>
      </c>
      <c r="L774" s="49" t="n">
        <v>0</v>
      </c>
      <c r="M774" s="49" t="n">
        <v>0</v>
      </c>
      <c r="N774" s="49" t="n">
        <v>0</v>
      </c>
      <c r="O774" s="49" t="n">
        <v>0</v>
      </c>
      <c r="P774" s="49" t="n">
        <v>0</v>
      </c>
      <c r="Q774" s="49" t="n">
        <v>0</v>
      </c>
      <c r="R774" s="49" t="n">
        <v>0</v>
      </c>
      <c r="S774" s="50" t="n">
        <v>0</v>
      </c>
      <c r="T774" s="50" t="n">
        <v>0</v>
      </c>
      <c r="U774" s="50" t="n">
        <v>0</v>
      </c>
      <c r="V774" s="50" t="n">
        <v>0</v>
      </c>
      <c r="W774" s="51" t="n">
        <v>0</v>
      </c>
      <c r="X774" s="51" t="n">
        <v>0</v>
      </c>
      <c r="Y774" s="51" t="n">
        <v>0</v>
      </c>
      <c r="Z774" s="51" t="n">
        <v>0</v>
      </c>
      <c r="AA774" s="52" t="n">
        <v>0</v>
      </c>
      <c r="AB774" s="52" t="n">
        <v>0</v>
      </c>
      <c r="AC774" s="52" t="n">
        <v>0</v>
      </c>
      <c r="AD774" s="52" t="n">
        <v>0</v>
      </c>
      <c r="AE774" s="52" t="n">
        <v>0</v>
      </c>
      <c r="AF774" s="52" t="n">
        <v>0</v>
      </c>
      <c r="AG774" s="52" t="n">
        <v>0</v>
      </c>
      <c r="AH774" s="52" t="n">
        <v>0</v>
      </c>
      <c r="AI774" s="52" t="n">
        <v>0</v>
      </c>
      <c r="AJ774" s="52" t="n">
        <v>0</v>
      </c>
      <c r="AK774" s="52" t="n">
        <v>0</v>
      </c>
      <c r="AL774" s="52" t="n">
        <v>0</v>
      </c>
      <c r="AM774" s="53" t="n">
        <v>0</v>
      </c>
      <c r="AN774" s="53" t="n">
        <v>0</v>
      </c>
      <c r="AO774" s="53" t="n">
        <v>0</v>
      </c>
      <c r="AP774" s="53" t="n">
        <v>0</v>
      </c>
      <c r="AQ774" s="52" t="n">
        <v>0</v>
      </c>
      <c r="AR774" s="52" t="n">
        <v>0</v>
      </c>
      <c r="AS774" s="52" t="n">
        <v>0</v>
      </c>
      <c r="AT774" s="52" t="n">
        <v>0</v>
      </c>
      <c r="AU774" s="53" t="n">
        <v>0</v>
      </c>
      <c r="AV774" s="53" t="n">
        <v>0</v>
      </c>
      <c r="AW774" s="53" t="n">
        <v>0</v>
      </c>
      <c r="AX774" s="53" t="n">
        <v>0</v>
      </c>
      <c r="AY774" s="52" t="n">
        <v>0</v>
      </c>
      <c r="AZ774" s="52" t="n">
        <v>0</v>
      </c>
      <c r="BA774" s="52" t="n">
        <v>0</v>
      </c>
      <c r="BB774" s="52" t="n">
        <v>0</v>
      </c>
      <c r="BC774" s="51" t="n">
        <v>0</v>
      </c>
      <c r="BD774" s="51" t="n">
        <v>0</v>
      </c>
      <c r="BE774" s="51" t="n">
        <v>0</v>
      </c>
      <c r="BF774" s="51" t="n">
        <v>0</v>
      </c>
    </row>
    <row r="775">
      <c r="A775">
        <f>HYPERLINK("https://www.walmart.com/ip/890773297", "890773297")</f>
        <v/>
      </c>
      <c r="B775" t="inlineStr">
        <is>
          <t>Catalonia Microfiber Throw Blanket for Couch and Bed, Fleece Blanket, Sherpa Blankets and Throws, Super Soft, Comfy, Cozy, Fluffy, Warm, Gray, 90'' x 90''</t>
        </is>
      </c>
      <c r="C775" t="inlineStr">
        <is>
          <t>1CTBF399GY</t>
        </is>
      </c>
      <c r="D775" t="inlineStr">
        <is>
          <t>Throws</t>
        </is>
      </c>
      <c r="E775" t="inlineStr">
        <is>
          <t>Catalonia</t>
        </is>
      </c>
      <c r="F775" t="inlineStr">
        <is>
          <t>Optimized,WFS,Coupon_Discount,SeePriceInCart,WFS Item</t>
        </is>
      </c>
      <c r="G775" s="48" t="n">
        <v>0</v>
      </c>
      <c r="H775" s="48" t="n">
        <v>0</v>
      </c>
      <c r="I775" s="48" t="n">
        <v>0</v>
      </c>
      <c r="J775" s="48" t="n">
        <v>0</v>
      </c>
      <c r="K775" s="49" t="n">
        <v>0</v>
      </c>
      <c r="L775" s="49" t="n">
        <v>0</v>
      </c>
      <c r="M775" s="49" t="n">
        <v>0</v>
      </c>
      <c r="N775" s="49" t="n">
        <v>0</v>
      </c>
      <c r="O775" s="49" t="n">
        <v>0</v>
      </c>
      <c r="P775" s="49" t="n">
        <v>0</v>
      </c>
      <c r="Q775" s="49" t="n">
        <v>0</v>
      </c>
      <c r="R775" s="49" t="n">
        <v>0</v>
      </c>
      <c r="S775" s="50" t="n">
        <v>0</v>
      </c>
      <c r="T775" s="50" t="n">
        <v>0</v>
      </c>
      <c r="U775" s="50" t="n">
        <v>0</v>
      </c>
      <c r="V775" s="50" t="n">
        <v>0</v>
      </c>
      <c r="W775" s="51" t="n">
        <v>0</v>
      </c>
      <c r="X775" s="51" t="n">
        <v>0</v>
      </c>
      <c r="Y775" s="51" t="n">
        <v>0</v>
      </c>
      <c r="Z775" s="51" t="n">
        <v>0</v>
      </c>
      <c r="AA775" s="52" t="n">
        <v>0</v>
      </c>
      <c r="AB775" s="52" t="n">
        <v>0</v>
      </c>
      <c r="AC775" s="52" t="n">
        <v>0</v>
      </c>
      <c r="AD775" s="52" t="n">
        <v>0</v>
      </c>
      <c r="AE775" s="52" t="n">
        <v>0</v>
      </c>
      <c r="AF775" s="52" t="n">
        <v>0</v>
      </c>
      <c r="AG775" s="52" t="n">
        <v>0</v>
      </c>
      <c r="AH775" s="52" t="n">
        <v>0</v>
      </c>
      <c r="AI775" s="52" t="n">
        <v>0</v>
      </c>
      <c r="AJ775" s="52" t="n">
        <v>0</v>
      </c>
      <c r="AK775" s="52" t="n">
        <v>0</v>
      </c>
      <c r="AL775" s="52" t="n">
        <v>0</v>
      </c>
      <c r="AM775" s="53" t="n">
        <v>0</v>
      </c>
      <c r="AN775" s="53" t="n">
        <v>0</v>
      </c>
      <c r="AO775" s="53" t="n">
        <v>0</v>
      </c>
      <c r="AP775" s="53" t="n">
        <v>0</v>
      </c>
      <c r="AQ775" s="52" t="n">
        <v>0</v>
      </c>
      <c r="AR775" s="52" t="n">
        <v>0</v>
      </c>
      <c r="AS775" s="52" t="n">
        <v>0</v>
      </c>
      <c r="AT775" s="52" t="n">
        <v>0</v>
      </c>
      <c r="AU775" s="53" t="n">
        <v>0</v>
      </c>
      <c r="AV775" s="53" t="n">
        <v>0</v>
      </c>
      <c r="AW775" s="53" t="n">
        <v>0</v>
      </c>
      <c r="AX775" s="53" t="n">
        <v>0</v>
      </c>
      <c r="AY775" s="52" t="n">
        <v>0</v>
      </c>
      <c r="AZ775" s="52" t="n">
        <v>0</v>
      </c>
      <c r="BA775" s="52" t="n">
        <v>0</v>
      </c>
      <c r="BB775" s="52" t="n">
        <v>0</v>
      </c>
      <c r="BC775" s="51" t="n">
        <v>0</v>
      </c>
      <c r="BD775" s="51" t="n">
        <v>0</v>
      </c>
      <c r="BE775" s="51" t="n">
        <v>0</v>
      </c>
      <c r="BF775" s="51" t="n">
        <v>0</v>
      </c>
    </row>
    <row r="776">
      <c r="A776">
        <f>HYPERLINK("https://www.walmart.com/ip/831416066", "831416066")</f>
        <v/>
      </c>
      <c r="B776" t="inlineStr">
        <is>
          <t>Tirrinia Warm Comfy Plush Christmas Fleece Throw Blanket, Red Buffalo Plaid, 50" x 60"</t>
        </is>
      </c>
      <c r="C776" t="inlineStr">
        <is>
          <t>1TRBF569PRD-TBCB</t>
        </is>
      </c>
      <c r="D776" t="inlineStr">
        <is>
          <t>Throws</t>
        </is>
      </c>
      <c r="E776" t="inlineStr">
        <is>
          <t>Tirrinia</t>
        </is>
      </c>
      <c r="F776" t="inlineStr">
        <is>
          <t>Christmas,Optimized</t>
        </is>
      </c>
      <c r="G776" s="48" t="n">
        <v>0</v>
      </c>
      <c r="H776" s="48" t="n">
        <v>0</v>
      </c>
      <c r="I776" s="48" t="n">
        <v>0</v>
      </c>
      <c r="J776" s="48" t="n">
        <v>0</v>
      </c>
      <c r="K776" s="49" t="n">
        <v>0</v>
      </c>
      <c r="L776" s="49" t="n">
        <v>0</v>
      </c>
      <c r="M776" s="49" t="n">
        <v>0</v>
      </c>
      <c r="N776" s="49" t="n">
        <v>0</v>
      </c>
      <c r="O776" s="49" t="n">
        <v>0</v>
      </c>
      <c r="P776" s="49" t="n">
        <v>0</v>
      </c>
      <c r="Q776" s="49" t="n">
        <v>0</v>
      </c>
      <c r="R776" s="49" t="n">
        <v>0</v>
      </c>
      <c r="S776" s="50" t="n">
        <v>0</v>
      </c>
      <c r="T776" s="50" t="n">
        <v>0</v>
      </c>
      <c r="U776" s="50" t="n">
        <v>0</v>
      </c>
      <c r="V776" s="50" t="n">
        <v>0</v>
      </c>
      <c r="W776" s="51" t="n">
        <v>0</v>
      </c>
      <c r="X776" s="51" t="n">
        <v>0</v>
      </c>
      <c r="Y776" s="51" t="n">
        <v>0</v>
      </c>
      <c r="Z776" s="51" t="n">
        <v>0</v>
      </c>
      <c r="AA776" s="52" t="n">
        <v>0</v>
      </c>
      <c r="AB776" s="52" t="n">
        <v>0</v>
      </c>
      <c r="AC776" s="52" t="n">
        <v>0</v>
      </c>
      <c r="AD776" s="52" t="n">
        <v>0</v>
      </c>
      <c r="AE776" s="52" t="n">
        <v>0</v>
      </c>
      <c r="AF776" s="52" t="n">
        <v>0</v>
      </c>
      <c r="AG776" s="52" t="n">
        <v>0</v>
      </c>
      <c r="AH776" s="52" t="n">
        <v>0</v>
      </c>
      <c r="AI776" s="52" t="n">
        <v>0</v>
      </c>
      <c r="AJ776" s="52" t="n">
        <v>0</v>
      </c>
      <c r="AK776" s="52" t="n">
        <v>0</v>
      </c>
      <c r="AL776" s="52" t="n">
        <v>0</v>
      </c>
      <c r="AM776" s="53" t="n">
        <v>0</v>
      </c>
      <c r="AN776" s="53" t="n">
        <v>0</v>
      </c>
      <c r="AO776" s="53" t="n">
        <v>0</v>
      </c>
      <c r="AP776" s="53" t="n">
        <v>0</v>
      </c>
      <c r="AQ776" s="52" t="n">
        <v>0</v>
      </c>
      <c r="AR776" s="52" t="n">
        <v>0</v>
      </c>
      <c r="AS776" s="52" t="n">
        <v>0</v>
      </c>
      <c r="AT776" s="52" t="n">
        <v>0</v>
      </c>
      <c r="AU776" s="53" t="n">
        <v>0</v>
      </c>
      <c r="AV776" s="53" t="n">
        <v>0</v>
      </c>
      <c r="AW776" s="53" t="n">
        <v>0</v>
      </c>
      <c r="AX776" s="53" t="n">
        <v>0</v>
      </c>
      <c r="AY776" s="52" t="n">
        <v>0</v>
      </c>
      <c r="AZ776" s="52" t="n">
        <v>0</v>
      </c>
      <c r="BA776" s="52" t="n">
        <v>0</v>
      </c>
      <c r="BB776" s="52" t="n">
        <v>0</v>
      </c>
      <c r="BC776" s="51" t="n">
        <v>0</v>
      </c>
      <c r="BD776" s="51" t="n">
        <v>0</v>
      </c>
      <c r="BE776" s="51" t="n">
        <v>0</v>
      </c>
      <c r="BF776" s="51" t="n">
        <v>0</v>
      </c>
    </row>
    <row r="777">
      <c r="A777">
        <f>HYPERLINK("https://www.walmart.com/ip/842958823", "842958823")</f>
        <v/>
      </c>
      <c r="B777" t="inlineStr">
        <is>
          <t>Flyingstar Surf Towel Robe, Quick Dry Beach Wetsuit Changing/Bath Robe Poncho for Surfing, Swimming and Bathing, Unisex, Light Blue</t>
        </is>
      </c>
      <c r="C777" t="inlineStr">
        <is>
          <t>1WMBR100-LBL</t>
        </is>
      </c>
      <c r="D777" t="inlineStr">
        <is>
          <t>Towels &amp; Washcloths</t>
        </is>
      </c>
      <c r="E777" t="inlineStr">
        <is>
          <t>Flyingstar</t>
        </is>
      </c>
      <c r="F777" t="inlineStr">
        <is>
          <t>Optimized,Beach Robe Camp</t>
        </is>
      </c>
      <c r="G777" s="48" t="n">
        <v>0</v>
      </c>
      <c r="H777" s="48" t="n">
        <v>0</v>
      </c>
      <c r="I777" s="48" t="n">
        <v>0</v>
      </c>
      <c r="J777" s="48" t="n">
        <v>0</v>
      </c>
      <c r="K777" s="49" t="n">
        <v>0</v>
      </c>
      <c r="L777" s="49" t="n">
        <v>0</v>
      </c>
      <c r="M777" s="49" t="n">
        <v>0</v>
      </c>
      <c r="N777" s="49" t="n">
        <v>0</v>
      </c>
      <c r="O777" s="49" t="n">
        <v>0</v>
      </c>
      <c r="P777" s="49" t="n">
        <v>0</v>
      </c>
      <c r="Q777" s="49" t="n">
        <v>0</v>
      </c>
      <c r="R777" s="49" t="n">
        <v>0</v>
      </c>
      <c r="S777" s="50" t="n">
        <v>0</v>
      </c>
      <c r="T777" s="50" t="n">
        <v>0</v>
      </c>
      <c r="U777" s="50" t="n">
        <v>0</v>
      </c>
      <c r="V777" s="50" t="n">
        <v>0</v>
      </c>
      <c r="W777" s="51" t="n">
        <v>0</v>
      </c>
      <c r="X777" s="51" t="n">
        <v>0</v>
      </c>
      <c r="Y777" s="51" t="n">
        <v>0</v>
      </c>
      <c r="Z777" s="51" t="n">
        <v>0</v>
      </c>
      <c r="AA777" s="52" t="n">
        <v>0</v>
      </c>
      <c r="AB777" s="52" t="n">
        <v>0</v>
      </c>
      <c r="AC777" s="52" t="n">
        <v>0</v>
      </c>
      <c r="AD777" s="52" t="n">
        <v>0</v>
      </c>
      <c r="AE777" s="52" t="n">
        <v>0</v>
      </c>
      <c r="AF777" s="52" t="n">
        <v>0</v>
      </c>
      <c r="AG777" s="52" t="n">
        <v>0</v>
      </c>
      <c r="AH777" s="52" t="n">
        <v>0</v>
      </c>
      <c r="AI777" s="52" t="n">
        <v>0</v>
      </c>
      <c r="AJ777" s="52" t="n">
        <v>0</v>
      </c>
      <c r="AK777" s="52" t="n">
        <v>0</v>
      </c>
      <c r="AL777" s="52" t="n">
        <v>0</v>
      </c>
      <c r="AM777" s="53" t="n">
        <v>0</v>
      </c>
      <c r="AN777" s="53" t="n">
        <v>0</v>
      </c>
      <c r="AO777" s="53" t="n">
        <v>0</v>
      </c>
      <c r="AP777" s="53" t="n">
        <v>0</v>
      </c>
      <c r="AQ777" s="52" t="n">
        <v>0</v>
      </c>
      <c r="AR777" s="52" t="n">
        <v>0</v>
      </c>
      <c r="AS777" s="52" t="n">
        <v>0</v>
      </c>
      <c r="AT777" s="52" t="n">
        <v>0</v>
      </c>
      <c r="AU777" s="53" t="n">
        <v>0</v>
      </c>
      <c r="AV777" s="53" t="n">
        <v>0</v>
      </c>
      <c r="AW777" s="53" t="n">
        <v>0</v>
      </c>
      <c r="AX777" s="53" t="n">
        <v>0</v>
      </c>
      <c r="AY777" s="52" t="n">
        <v>0</v>
      </c>
      <c r="AZ777" s="52" t="n">
        <v>0</v>
      </c>
      <c r="BA777" s="52" t="n">
        <v>0</v>
      </c>
      <c r="BB777" s="52" t="n">
        <v>0</v>
      </c>
      <c r="BC777" s="51" t="n">
        <v>0</v>
      </c>
      <c r="BD777" s="51" t="n">
        <v>0</v>
      </c>
      <c r="BE777" s="51" t="n">
        <v>0</v>
      </c>
      <c r="BF777" s="51" t="n">
        <v>0</v>
      </c>
    </row>
    <row r="778">
      <c r="A778">
        <f>HYPERLINK("https://www.walmart.com/ip/843947568", "843947568")</f>
        <v/>
      </c>
      <c r="B778" t="inlineStr">
        <is>
          <t>Flyingstar Insulated Lunch Box for Women Men, Leakproof Thermal Reusable Lunch Bag with 4 Pockets for Adult &amp; Kids, Lunch Bag Cooler Tote for Office Work, Khaki</t>
        </is>
      </c>
      <c r="C778" t="inlineStr">
        <is>
          <t>1WMLB702P1KK</t>
        </is>
      </c>
      <c r="D778" t="inlineStr">
        <is>
          <t>Reusable Lunch Bags &amp; Boxes</t>
        </is>
      </c>
      <c r="E778" t="inlineStr">
        <is>
          <t>Flyingstar</t>
        </is>
      </c>
      <c r="F778" t="inlineStr">
        <is>
          <t>Q2-Target,Lunch Bag,Lunch Bags</t>
        </is>
      </c>
      <c r="G778" s="48" t="n">
        <v>0</v>
      </c>
      <c r="H778" s="48" t="n">
        <v>0</v>
      </c>
      <c r="I778" s="48" t="n">
        <v>0</v>
      </c>
      <c r="J778" s="48" t="n">
        <v>0</v>
      </c>
      <c r="K778" s="49" t="n">
        <v>0</v>
      </c>
      <c r="L778" s="49" t="n">
        <v>0</v>
      </c>
      <c r="M778" s="49" t="n">
        <v>0</v>
      </c>
      <c r="N778" s="49" t="n">
        <v>0</v>
      </c>
      <c r="O778" s="49" t="n">
        <v>0</v>
      </c>
      <c r="P778" s="49" t="n">
        <v>0</v>
      </c>
      <c r="Q778" s="49" t="n">
        <v>0</v>
      </c>
      <c r="R778" s="49" t="n">
        <v>0</v>
      </c>
      <c r="S778" s="50" t="n">
        <v>0</v>
      </c>
      <c r="T778" s="50" t="n">
        <v>0</v>
      </c>
      <c r="U778" s="50" t="n">
        <v>0</v>
      </c>
      <c r="V778" s="50" t="n">
        <v>0</v>
      </c>
      <c r="W778" s="51" t="n">
        <v>0</v>
      </c>
      <c r="X778" s="51" t="n">
        <v>0</v>
      </c>
      <c r="Y778" s="51" t="n">
        <v>0</v>
      </c>
      <c r="Z778" s="51" t="n">
        <v>0</v>
      </c>
      <c r="AA778" s="52" t="n">
        <v>0</v>
      </c>
      <c r="AB778" s="52" t="n">
        <v>0</v>
      </c>
      <c r="AC778" s="52" t="n">
        <v>0</v>
      </c>
      <c r="AD778" s="52" t="n">
        <v>0</v>
      </c>
      <c r="AE778" s="52" t="n">
        <v>0</v>
      </c>
      <c r="AF778" s="52" t="n">
        <v>0</v>
      </c>
      <c r="AG778" s="52" t="n">
        <v>0</v>
      </c>
      <c r="AH778" s="52" t="n">
        <v>0</v>
      </c>
      <c r="AI778" s="52" t="n">
        <v>0</v>
      </c>
      <c r="AJ778" s="52" t="n">
        <v>0</v>
      </c>
      <c r="AK778" s="52" t="n">
        <v>0</v>
      </c>
      <c r="AL778" s="52" t="n">
        <v>0</v>
      </c>
      <c r="AM778" s="53" t="n">
        <v>0</v>
      </c>
      <c r="AN778" s="53" t="n">
        <v>0</v>
      </c>
      <c r="AO778" s="53" t="n">
        <v>0</v>
      </c>
      <c r="AP778" s="53" t="n">
        <v>0</v>
      </c>
      <c r="AQ778" s="52" t="n">
        <v>0</v>
      </c>
      <c r="AR778" s="52" t="n">
        <v>0</v>
      </c>
      <c r="AS778" s="52" t="n">
        <v>0</v>
      </c>
      <c r="AT778" s="52" t="n">
        <v>0</v>
      </c>
      <c r="AU778" s="53" t="n">
        <v>0</v>
      </c>
      <c r="AV778" s="53" t="n">
        <v>0</v>
      </c>
      <c r="AW778" s="53" t="n">
        <v>0</v>
      </c>
      <c r="AX778" s="53" t="n">
        <v>0</v>
      </c>
      <c r="AY778" s="52" t="n">
        <v>0</v>
      </c>
      <c r="AZ778" s="52" t="n">
        <v>0</v>
      </c>
      <c r="BA778" s="52" t="n">
        <v>0</v>
      </c>
      <c r="BB778" s="52" t="n">
        <v>0</v>
      </c>
      <c r="BC778" s="51" t="n">
        <v>0</v>
      </c>
      <c r="BD778" s="51" t="n">
        <v>0</v>
      </c>
      <c r="BE778" s="51" t="n">
        <v>0</v>
      </c>
      <c r="BF778" s="51" t="n">
        <v>0</v>
      </c>
    </row>
    <row r="779">
      <c r="A779">
        <f>HYPERLINK("https://www.walmart.com/ip/844430269", "844430269")</f>
        <v/>
      </c>
      <c r="B779" t="inlineStr">
        <is>
          <t>Tirrinia Leakproof Thermal Bento Lunch Bag For Women, Men And Kids, Heat-welded Technology, Medium, Gray, 7.8/ 15 Cans</t>
        </is>
      </c>
      <c r="C779" t="inlineStr">
        <is>
          <t>1TRLB702GY-N</t>
        </is>
      </c>
      <c r="D779" t="inlineStr">
        <is>
          <t>Reusable Lunch Bags &amp; Boxes</t>
        </is>
      </c>
      <c r="E779" t="inlineStr">
        <is>
          <t>Tirrinia</t>
        </is>
      </c>
      <c r="F779" t="inlineStr">
        <is>
          <t>Q2-Target,Brand Camp VD,Lunch Bag,Optimized,SEM</t>
        </is>
      </c>
      <c r="G779" s="48" t="n">
        <v>0</v>
      </c>
      <c r="H779" s="48" t="n">
        <v>0</v>
      </c>
      <c r="I779" s="48" t="n">
        <v>0</v>
      </c>
      <c r="J779" s="48" t="n">
        <v>0</v>
      </c>
      <c r="K779" s="49" t="n">
        <v>0</v>
      </c>
      <c r="L779" s="49" t="n">
        <v>0</v>
      </c>
      <c r="M779" s="49" t="n">
        <v>0</v>
      </c>
      <c r="N779" s="49" t="n">
        <v>0</v>
      </c>
      <c r="O779" s="49" t="n">
        <v>0</v>
      </c>
      <c r="P779" s="49" t="n">
        <v>0</v>
      </c>
      <c r="Q779" s="49" t="n">
        <v>0</v>
      </c>
      <c r="R779" s="49" t="n">
        <v>0</v>
      </c>
      <c r="S779" s="50" t="n">
        <v>0</v>
      </c>
      <c r="T779" s="50" t="n">
        <v>0</v>
      </c>
      <c r="U779" s="50" t="n">
        <v>0</v>
      </c>
      <c r="V779" s="50" t="n">
        <v>0</v>
      </c>
      <c r="W779" s="51" t="n">
        <v>0</v>
      </c>
      <c r="X779" s="51" t="n">
        <v>0</v>
      </c>
      <c r="Y779" s="51" t="n">
        <v>0</v>
      </c>
      <c r="Z779" s="51" t="n">
        <v>0</v>
      </c>
      <c r="AA779" s="52" t="n">
        <v>0</v>
      </c>
      <c r="AB779" s="52" t="n">
        <v>0</v>
      </c>
      <c r="AC779" s="52" t="n">
        <v>0</v>
      </c>
      <c r="AD779" s="52" t="n">
        <v>0</v>
      </c>
      <c r="AE779" s="52" t="n">
        <v>0</v>
      </c>
      <c r="AF779" s="52" t="n">
        <v>0</v>
      </c>
      <c r="AG779" s="52" t="n">
        <v>0</v>
      </c>
      <c r="AH779" s="52" t="n">
        <v>0</v>
      </c>
      <c r="AI779" s="52" t="n">
        <v>0</v>
      </c>
      <c r="AJ779" s="52" t="n">
        <v>0</v>
      </c>
      <c r="AK779" s="52" t="n">
        <v>0</v>
      </c>
      <c r="AL779" s="52" t="n">
        <v>0</v>
      </c>
      <c r="AM779" s="53" t="n">
        <v>0</v>
      </c>
      <c r="AN779" s="53" t="n">
        <v>0</v>
      </c>
      <c r="AO779" s="53" t="n">
        <v>0</v>
      </c>
      <c r="AP779" s="53" t="n">
        <v>0</v>
      </c>
      <c r="AQ779" s="52" t="n">
        <v>0</v>
      </c>
      <c r="AR779" s="52" t="n">
        <v>0</v>
      </c>
      <c r="AS779" s="52" t="n">
        <v>0</v>
      </c>
      <c r="AT779" s="52" t="n">
        <v>0</v>
      </c>
      <c r="AU779" s="53" t="n">
        <v>0</v>
      </c>
      <c r="AV779" s="53" t="n">
        <v>0</v>
      </c>
      <c r="AW779" s="53" t="n">
        <v>0</v>
      </c>
      <c r="AX779" s="53" t="n">
        <v>0</v>
      </c>
      <c r="AY779" s="52" t="n">
        <v>0</v>
      </c>
      <c r="AZ779" s="52" t="n">
        <v>0</v>
      </c>
      <c r="BA779" s="52" t="n">
        <v>0</v>
      </c>
      <c r="BB779" s="52" t="n">
        <v>0</v>
      </c>
      <c r="BC779" s="51" t="n">
        <v>0</v>
      </c>
      <c r="BD779" s="51" t="n">
        <v>0</v>
      </c>
      <c r="BE779" s="51" t="n">
        <v>0</v>
      </c>
      <c r="BF779" s="51" t="n">
        <v>0</v>
      </c>
    </row>
    <row r="780">
      <c r="A780">
        <f>HYPERLINK("https://www.walmart.com/ip/847414691", "847414691")</f>
        <v/>
      </c>
      <c r="B780" t="inlineStr">
        <is>
          <t>Tirrinia Insulated 2 Bottle Wine Carrier Tote Cooler Bag for Travel Picnic Padded Champagne Glass</t>
        </is>
      </c>
      <c r="C780" t="inlineStr">
        <is>
          <t>1WMWB231CHEETAH</t>
        </is>
      </c>
      <c r="D780" t="inlineStr">
        <is>
          <t>Wine Totes, Bags &amp; Backpacks</t>
        </is>
      </c>
      <c r="E780" t="inlineStr">
        <is>
          <t>Flyingstar</t>
        </is>
      </c>
      <c r="F780" t="inlineStr">
        <is>
          <t>Wine,Christmas,Valentine,SEM</t>
        </is>
      </c>
      <c r="G780" s="48" t="n">
        <v>0</v>
      </c>
      <c r="H780" s="48" t="n">
        <v>0</v>
      </c>
      <c r="I780" s="48" t="n">
        <v>0</v>
      </c>
      <c r="J780" s="48" t="n">
        <v>0</v>
      </c>
      <c r="K780" s="49" t="n">
        <v>0</v>
      </c>
      <c r="L780" s="49" t="n">
        <v>0</v>
      </c>
      <c r="M780" s="49" t="n">
        <v>0</v>
      </c>
      <c r="N780" s="49" t="n">
        <v>0</v>
      </c>
      <c r="O780" s="49" t="n">
        <v>0</v>
      </c>
      <c r="P780" s="49" t="n">
        <v>0</v>
      </c>
      <c r="Q780" s="49" t="n">
        <v>0</v>
      </c>
      <c r="R780" s="49" t="n">
        <v>0</v>
      </c>
      <c r="S780" s="50" t="n">
        <v>0</v>
      </c>
      <c r="T780" s="50" t="n">
        <v>0</v>
      </c>
      <c r="U780" s="50" t="n">
        <v>0</v>
      </c>
      <c r="V780" s="50" t="n">
        <v>0</v>
      </c>
      <c r="W780" s="51" t="n">
        <v>0</v>
      </c>
      <c r="X780" s="51" t="n">
        <v>0</v>
      </c>
      <c r="Y780" s="51" t="n">
        <v>0</v>
      </c>
      <c r="Z780" s="51" t="n">
        <v>0</v>
      </c>
      <c r="AA780" s="52" t="n">
        <v>0</v>
      </c>
      <c r="AB780" s="52" t="n">
        <v>0</v>
      </c>
      <c r="AC780" s="52" t="n">
        <v>0</v>
      </c>
      <c r="AD780" s="52" t="n">
        <v>0</v>
      </c>
      <c r="AE780" s="52" t="n">
        <v>0</v>
      </c>
      <c r="AF780" s="52" t="n">
        <v>0</v>
      </c>
      <c r="AG780" s="52" t="n">
        <v>0</v>
      </c>
      <c r="AH780" s="52" t="n">
        <v>0</v>
      </c>
      <c r="AI780" s="52" t="n">
        <v>0</v>
      </c>
      <c r="AJ780" s="52" t="n">
        <v>0</v>
      </c>
      <c r="AK780" s="52" t="n">
        <v>0</v>
      </c>
      <c r="AL780" s="52" t="n">
        <v>0</v>
      </c>
      <c r="AM780" s="53" t="n">
        <v>0</v>
      </c>
      <c r="AN780" s="53" t="n">
        <v>0</v>
      </c>
      <c r="AO780" s="53" t="n">
        <v>0</v>
      </c>
      <c r="AP780" s="53" t="n">
        <v>0</v>
      </c>
      <c r="AQ780" s="52" t="n">
        <v>0</v>
      </c>
      <c r="AR780" s="52" t="n">
        <v>0</v>
      </c>
      <c r="AS780" s="52" t="n">
        <v>0</v>
      </c>
      <c r="AT780" s="52" t="n">
        <v>0</v>
      </c>
      <c r="AU780" s="53" t="n">
        <v>0</v>
      </c>
      <c r="AV780" s="53" t="n">
        <v>0</v>
      </c>
      <c r="AW780" s="53" t="n">
        <v>0</v>
      </c>
      <c r="AX780" s="53" t="n">
        <v>0</v>
      </c>
      <c r="AY780" s="52" t="n">
        <v>0</v>
      </c>
      <c r="AZ780" s="52" t="n">
        <v>0</v>
      </c>
      <c r="BA780" s="52" t="n">
        <v>0</v>
      </c>
      <c r="BB780" s="52" t="n">
        <v>0</v>
      </c>
      <c r="BC780" s="51" t="n">
        <v>0</v>
      </c>
      <c r="BD780" s="51" t="n">
        <v>0</v>
      </c>
      <c r="BE780" s="51" t="n">
        <v>0</v>
      </c>
      <c r="BF780" s="51" t="n">
        <v>0</v>
      </c>
    </row>
    <row r="781">
      <c r="A781">
        <f>HYPERLINK("https://www.walmart.com/ip/849026019", "849026019")</f>
        <v/>
      </c>
      <c r="B781" t="inlineStr">
        <is>
          <t>Sun Blocker Women's Sun Hat  Wide Brim Flap Cap with Floral Ribbon for Beach Gardening Hiking Fishing Safari UPF 50+ Orange</t>
        </is>
      </c>
      <c r="C781" t="inlineStr">
        <is>
          <t>KC-S9202-OR</t>
        </is>
      </c>
      <c r="D781" t="inlineStr">
        <is>
          <t>Hats</t>
        </is>
      </c>
      <c r="E781" t="inlineStr">
        <is>
          <t>Sun Blocker</t>
        </is>
      </c>
      <c r="F781" t="inlineStr">
        <is>
          <t>Batch 1 - TR</t>
        </is>
      </c>
      <c r="G781" s="48" t="n">
        <v>0</v>
      </c>
      <c r="H781" s="48" t="n">
        <v>0</v>
      </c>
      <c r="I781" s="48" t="n">
        <v>0</v>
      </c>
      <c r="J781" s="48" t="n">
        <v>0</v>
      </c>
      <c r="K781" s="49" t="n">
        <v>0</v>
      </c>
      <c r="L781" s="49" t="n">
        <v>0</v>
      </c>
      <c r="M781" s="49" t="n">
        <v>0</v>
      </c>
      <c r="N781" s="49" t="n">
        <v>0</v>
      </c>
      <c r="O781" s="49" t="n">
        <v>0</v>
      </c>
      <c r="P781" s="49" t="n">
        <v>0</v>
      </c>
      <c r="Q781" s="49" t="n">
        <v>0</v>
      </c>
      <c r="R781" s="49" t="n">
        <v>0</v>
      </c>
      <c r="S781" s="50" t="n">
        <v>0</v>
      </c>
      <c r="T781" s="50" t="n">
        <v>0</v>
      </c>
      <c r="U781" s="50" t="n">
        <v>0</v>
      </c>
      <c r="V781" s="50" t="n">
        <v>0</v>
      </c>
      <c r="W781" s="51" t="n">
        <v>0</v>
      </c>
      <c r="X781" s="51" t="n">
        <v>0</v>
      </c>
      <c r="Y781" s="51" t="n">
        <v>0</v>
      </c>
      <c r="Z781" s="51" t="n">
        <v>0</v>
      </c>
      <c r="AA781" s="52" t="n">
        <v>0</v>
      </c>
      <c r="AB781" s="52" t="n">
        <v>0</v>
      </c>
      <c r="AC781" s="52" t="n">
        <v>0</v>
      </c>
      <c r="AD781" s="52" t="n">
        <v>0</v>
      </c>
      <c r="AE781" s="52" t="n">
        <v>0</v>
      </c>
      <c r="AF781" s="52" t="n">
        <v>0</v>
      </c>
      <c r="AG781" s="52" t="n">
        <v>0</v>
      </c>
      <c r="AH781" s="52" t="n">
        <v>0</v>
      </c>
      <c r="AI781" s="52" t="n">
        <v>0</v>
      </c>
      <c r="AJ781" s="52" t="n">
        <v>0</v>
      </c>
      <c r="AK781" s="52" t="n">
        <v>0</v>
      </c>
      <c r="AL781" s="52" t="n">
        <v>0</v>
      </c>
      <c r="AM781" s="53" t="n">
        <v>0</v>
      </c>
      <c r="AN781" s="53" t="n">
        <v>0</v>
      </c>
      <c r="AO781" s="53" t="n">
        <v>0</v>
      </c>
      <c r="AP781" s="53" t="n">
        <v>0</v>
      </c>
      <c r="AQ781" s="52" t="n">
        <v>0</v>
      </c>
      <c r="AR781" s="52" t="n">
        <v>0</v>
      </c>
      <c r="AS781" s="52" t="n">
        <v>0</v>
      </c>
      <c r="AT781" s="52" t="n">
        <v>0</v>
      </c>
      <c r="AU781" s="53" t="n">
        <v>0</v>
      </c>
      <c r="AV781" s="53" t="n">
        <v>0</v>
      </c>
      <c r="AW781" s="53" t="n">
        <v>0</v>
      </c>
      <c r="AX781" s="53" t="n">
        <v>0</v>
      </c>
      <c r="AY781" s="52" t="n">
        <v>0</v>
      </c>
      <c r="AZ781" s="52" t="n">
        <v>0</v>
      </c>
      <c r="BA781" s="52" t="n">
        <v>0</v>
      </c>
      <c r="BB781" s="52" t="n">
        <v>0</v>
      </c>
      <c r="BC781" s="51" t="n">
        <v>0</v>
      </c>
      <c r="BD781" s="51" t="n">
        <v>0</v>
      </c>
      <c r="BE781" s="51" t="n">
        <v>0</v>
      </c>
      <c r="BF781" s="51" t="n">
        <v>0</v>
      </c>
    </row>
    <row r="782">
      <c r="A782">
        <f>HYPERLINK("https://www.walmart.com/ip/849814848", "849814848")</f>
        <v/>
      </c>
      <c r="B782" t="inlineStr">
        <is>
          <t>Pawsse Super Soft Large Dog Sherpa Blanket, 50" x 60", Brown</t>
        </is>
      </c>
      <c r="C782" t="inlineStr">
        <is>
          <t>1PSBF566BR-TBCB</t>
        </is>
      </c>
      <c r="D782" t="inlineStr">
        <is>
          <t>Throws</t>
        </is>
      </c>
      <c r="E782" t="inlineStr">
        <is>
          <t>Pawsse</t>
        </is>
      </c>
      <c r="F782" t="inlineStr">
        <is>
          <t>Optimized</t>
        </is>
      </c>
      <c r="G782" s="48" t="n">
        <v>0</v>
      </c>
      <c r="H782" s="48" t="n">
        <v>0</v>
      </c>
      <c r="I782" s="48" t="n">
        <v>0</v>
      </c>
      <c r="J782" s="48" t="n">
        <v>0</v>
      </c>
      <c r="K782" s="49" t="n">
        <v>0</v>
      </c>
      <c r="L782" s="49" t="n">
        <v>0</v>
      </c>
      <c r="M782" s="49" t="n">
        <v>0</v>
      </c>
      <c r="N782" s="49" t="n">
        <v>0</v>
      </c>
      <c r="O782" s="49" t="n">
        <v>0</v>
      </c>
      <c r="P782" s="49" t="n">
        <v>0</v>
      </c>
      <c r="Q782" s="49" t="n">
        <v>0</v>
      </c>
      <c r="R782" s="49" t="n">
        <v>0</v>
      </c>
      <c r="S782" s="50" t="n">
        <v>0</v>
      </c>
      <c r="T782" s="50" t="n">
        <v>0</v>
      </c>
      <c r="U782" s="50" t="n">
        <v>0</v>
      </c>
      <c r="V782" s="50" t="n">
        <v>0</v>
      </c>
      <c r="W782" s="51" t="n">
        <v>0</v>
      </c>
      <c r="X782" s="51" t="n">
        <v>0</v>
      </c>
      <c r="Y782" s="51" t="n">
        <v>0</v>
      </c>
      <c r="Z782" s="51" t="n">
        <v>0</v>
      </c>
      <c r="AA782" s="52" t="n">
        <v>0</v>
      </c>
      <c r="AB782" s="52" t="n">
        <v>0</v>
      </c>
      <c r="AC782" s="52" t="n">
        <v>0</v>
      </c>
      <c r="AD782" s="52" t="n">
        <v>0</v>
      </c>
      <c r="AE782" s="52" t="n">
        <v>0</v>
      </c>
      <c r="AF782" s="52" t="n">
        <v>0</v>
      </c>
      <c r="AG782" s="52" t="n">
        <v>0</v>
      </c>
      <c r="AH782" s="52" t="n">
        <v>0</v>
      </c>
      <c r="AI782" s="52" t="n">
        <v>0</v>
      </c>
      <c r="AJ782" s="52" t="n">
        <v>0</v>
      </c>
      <c r="AK782" s="52" t="n">
        <v>0</v>
      </c>
      <c r="AL782" s="52" t="n">
        <v>0</v>
      </c>
      <c r="AM782" s="53" t="n">
        <v>0</v>
      </c>
      <c r="AN782" s="53" t="n">
        <v>0</v>
      </c>
      <c r="AO782" s="53" t="n">
        <v>0</v>
      </c>
      <c r="AP782" s="53" t="n">
        <v>0</v>
      </c>
      <c r="AQ782" s="52" t="n">
        <v>0</v>
      </c>
      <c r="AR782" s="52" t="n">
        <v>0</v>
      </c>
      <c r="AS782" s="52" t="n">
        <v>0</v>
      </c>
      <c r="AT782" s="52" t="n">
        <v>0</v>
      </c>
      <c r="AU782" s="53" t="n">
        <v>0</v>
      </c>
      <c r="AV782" s="53" t="n">
        <v>0</v>
      </c>
      <c r="AW782" s="53" t="n">
        <v>0</v>
      </c>
      <c r="AX782" s="53" t="n">
        <v>0</v>
      </c>
      <c r="AY782" s="52" t="n">
        <v>0</v>
      </c>
      <c r="AZ782" s="52" t="n">
        <v>0</v>
      </c>
      <c r="BA782" s="52" t="n">
        <v>0</v>
      </c>
      <c r="BB782" s="52" t="n">
        <v>0</v>
      </c>
      <c r="BC782" s="51" t="n">
        <v>0</v>
      </c>
      <c r="BD782" s="51" t="n">
        <v>0</v>
      </c>
      <c r="BE782" s="51" t="n">
        <v>0</v>
      </c>
      <c r="BF782" s="51" t="n">
        <v>0</v>
      </c>
    </row>
    <row r="783">
      <c r="A783">
        <f>HYPERLINK("https://www.walmart.com/ip/851096138", "851096138")</f>
        <v/>
      </c>
      <c r="B783" t="inlineStr">
        <is>
          <t>Sherpa Furry Throw Blanket, Reversible Super Soft Plush Fuzzy Fleece Blanket for Sofa Couch Bed 50"x60"</t>
        </is>
      </c>
      <c r="C783" t="inlineStr">
        <is>
          <t>1CTBN110BL</t>
        </is>
      </c>
      <c r="D783" t="inlineStr">
        <is>
          <t>Throws</t>
        </is>
      </c>
      <c r="E783" t="inlineStr">
        <is>
          <t>Catalonia</t>
        </is>
      </c>
      <c r="F783" t="inlineStr">
        <is>
          <t>WFS,WFS Item,Fleece Blankets</t>
        </is>
      </c>
      <c r="G783" s="48" t="n">
        <v>0</v>
      </c>
      <c r="H783" s="48" t="n">
        <v>0</v>
      </c>
      <c r="I783" s="48" t="n">
        <v>0</v>
      </c>
      <c r="J783" s="48" t="n">
        <v>0</v>
      </c>
      <c r="K783" s="49" t="n">
        <v>0</v>
      </c>
      <c r="L783" s="49" t="n">
        <v>0</v>
      </c>
      <c r="M783" s="49" t="n">
        <v>0</v>
      </c>
      <c r="N783" s="49" t="n">
        <v>0</v>
      </c>
      <c r="O783" s="49" t="n">
        <v>0</v>
      </c>
      <c r="P783" s="49" t="n">
        <v>0</v>
      </c>
      <c r="Q783" s="49" t="n">
        <v>0</v>
      </c>
      <c r="R783" s="49" t="n">
        <v>0</v>
      </c>
      <c r="S783" s="50" t="n">
        <v>0</v>
      </c>
      <c r="T783" s="50" t="n">
        <v>0</v>
      </c>
      <c r="U783" s="50" t="n">
        <v>0</v>
      </c>
      <c r="V783" s="50" t="n">
        <v>0</v>
      </c>
      <c r="W783" s="51" t="n">
        <v>0</v>
      </c>
      <c r="X783" s="51" t="n">
        <v>0</v>
      </c>
      <c r="Y783" s="51" t="n">
        <v>0</v>
      </c>
      <c r="Z783" s="51" t="n">
        <v>0</v>
      </c>
      <c r="AA783" s="52" t="n">
        <v>0</v>
      </c>
      <c r="AB783" s="52" t="n">
        <v>0</v>
      </c>
      <c r="AC783" s="52" t="n">
        <v>0</v>
      </c>
      <c r="AD783" s="52" t="n">
        <v>0</v>
      </c>
      <c r="AE783" s="52" t="n">
        <v>0</v>
      </c>
      <c r="AF783" s="52" t="n">
        <v>0</v>
      </c>
      <c r="AG783" s="52" t="n">
        <v>0</v>
      </c>
      <c r="AH783" s="52" t="n">
        <v>0</v>
      </c>
      <c r="AI783" s="52" t="n">
        <v>0</v>
      </c>
      <c r="AJ783" s="52" t="n">
        <v>0</v>
      </c>
      <c r="AK783" s="52" t="n">
        <v>0</v>
      </c>
      <c r="AL783" s="52" t="n">
        <v>0</v>
      </c>
      <c r="AM783" s="53" t="n">
        <v>0</v>
      </c>
      <c r="AN783" s="53" t="n">
        <v>0</v>
      </c>
      <c r="AO783" s="53" t="n">
        <v>0</v>
      </c>
      <c r="AP783" s="53" t="n">
        <v>0</v>
      </c>
      <c r="AQ783" s="52" t="n">
        <v>0</v>
      </c>
      <c r="AR783" s="52" t="n">
        <v>0</v>
      </c>
      <c r="AS783" s="52" t="n">
        <v>0</v>
      </c>
      <c r="AT783" s="52" t="n">
        <v>0</v>
      </c>
      <c r="AU783" s="53" t="n">
        <v>0</v>
      </c>
      <c r="AV783" s="53" t="n">
        <v>0</v>
      </c>
      <c r="AW783" s="53" t="n">
        <v>0</v>
      </c>
      <c r="AX783" s="53" t="n">
        <v>0</v>
      </c>
      <c r="AY783" s="52" t="n">
        <v>0</v>
      </c>
      <c r="AZ783" s="52" t="n">
        <v>0</v>
      </c>
      <c r="BA783" s="52" t="n">
        <v>0</v>
      </c>
      <c r="BB783" s="52" t="n">
        <v>0</v>
      </c>
      <c r="BC783" s="51" t="n">
        <v>0</v>
      </c>
      <c r="BD783" s="51" t="n">
        <v>0</v>
      </c>
      <c r="BE783" s="51" t="n">
        <v>0</v>
      </c>
      <c r="BF783" s="51" t="n">
        <v>0</v>
      </c>
    </row>
    <row r="784">
      <c r="A784">
        <f>HYPERLINK("https://www.walmart.com/ip/851739692", "851739692")</f>
        <v/>
      </c>
      <c r="B784" t="inlineStr">
        <is>
          <t>Women's High Waist Yoga Pants Workout Running Capri Legging Inner Pocket</t>
        </is>
      </c>
      <c r="C784" t="inlineStr">
        <is>
          <t>1TRYP102PK- LXL</t>
        </is>
      </c>
      <c r="D784" t="inlineStr">
        <is>
          <t>Leggings</t>
        </is>
      </c>
      <c r="E784" t="inlineStr">
        <is>
          <t>Tirrinia</t>
        </is>
      </c>
      <c r="F784" t="inlineStr">
        <is>
          <t>Optimized</t>
        </is>
      </c>
      <c r="G784" s="48" t="n">
        <v>0</v>
      </c>
      <c r="H784" s="48" t="n">
        <v>0</v>
      </c>
      <c r="I784" s="48" t="n">
        <v>0</v>
      </c>
      <c r="J784" s="48" t="n">
        <v>0</v>
      </c>
      <c r="K784" s="49" t="n">
        <v>0</v>
      </c>
      <c r="L784" s="49" t="n">
        <v>0</v>
      </c>
      <c r="M784" s="49" t="n">
        <v>0</v>
      </c>
      <c r="N784" s="49" t="n">
        <v>0</v>
      </c>
      <c r="O784" s="49" t="n">
        <v>0</v>
      </c>
      <c r="P784" s="49" t="n">
        <v>0</v>
      </c>
      <c r="Q784" s="49" t="n">
        <v>0</v>
      </c>
      <c r="R784" s="49" t="n">
        <v>0</v>
      </c>
      <c r="S784" s="50" t="n">
        <v>0</v>
      </c>
      <c r="T784" s="50" t="n">
        <v>0</v>
      </c>
      <c r="U784" s="50" t="n">
        <v>0</v>
      </c>
      <c r="V784" s="50" t="n">
        <v>0</v>
      </c>
      <c r="W784" s="51" t="n">
        <v>0</v>
      </c>
      <c r="X784" s="51" t="n">
        <v>0</v>
      </c>
      <c r="Y784" s="51" t="n">
        <v>0</v>
      </c>
      <c r="Z784" s="51" t="n">
        <v>0</v>
      </c>
      <c r="AA784" s="52" t="n">
        <v>0</v>
      </c>
      <c r="AB784" s="52" t="n">
        <v>0</v>
      </c>
      <c r="AC784" s="52" t="n">
        <v>0</v>
      </c>
      <c r="AD784" s="52" t="n">
        <v>0</v>
      </c>
      <c r="AE784" s="52" t="n">
        <v>0</v>
      </c>
      <c r="AF784" s="52" t="n">
        <v>0</v>
      </c>
      <c r="AG784" s="52" t="n">
        <v>0</v>
      </c>
      <c r="AH784" s="52" t="n">
        <v>0</v>
      </c>
      <c r="AI784" s="52" t="n">
        <v>0</v>
      </c>
      <c r="AJ784" s="52" t="n">
        <v>0</v>
      </c>
      <c r="AK784" s="52" t="n">
        <v>0</v>
      </c>
      <c r="AL784" s="52" t="n">
        <v>0</v>
      </c>
      <c r="AM784" s="53" t="n">
        <v>0</v>
      </c>
      <c r="AN784" s="53" t="n">
        <v>0</v>
      </c>
      <c r="AO784" s="53" t="n">
        <v>0</v>
      </c>
      <c r="AP784" s="53" t="n">
        <v>0</v>
      </c>
      <c r="AQ784" s="52" t="n">
        <v>0</v>
      </c>
      <c r="AR784" s="52" t="n">
        <v>0</v>
      </c>
      <c r="AS784" s="52" t="n">
        <v>0</v>
      </c>
      <c r="AT784" s="52" t="n">
        <v>0</v>
      </c>
      <c r="AU784" s="53" t="n">
        <v>0</v>
      </c>
      <c r="AV784" s="53" t="n">
        <v>0</v>
      </c>
      <c r="AW784" s="53" t="n">
        <v>0</v>
      </c>
      <c r="AX784" s="53" t="n">
        <v>0</v>
      </c>
      <c r="AY784" s="52" t="n">
        <v>0</v>
      </c>
      <c r="AZ784" s="52" t="n">
        <v>0</v>
      </c>
      <c r="BA784" s="52" t="n">
        <v>0</v>
      </c>
      <c r="BB784" s="52" t="n">
        <v>0</v>
      </c>
      <c r="BC784" s="51" t="n">
        <v>0</v>
      </c>
      <c r="BD784" s="51" t="n">
        <v>0</v>
      </c>
      <c r="BE784" s="51" t="n">
        <v>0</v>
      </c>
      <c r="BF784" s="51" t="n">
        <v>0</v>
      </c>
    </row>
    <row r="785">
      <c r="A785">
        <f>HYPERLINK("https://www.walmart.com/ip/851914933", "851914933")</f>
        <v/>
      </c>
      <c r="B785" t="inlineStr">
        <is>
          <t>Tirrinia Leakproof Thermal Insulated Women's and Men's Lunch Bag for Work, Blue Checkered</t>
        </is>
      </c>
      <c r="C785" t="inlineStr">
        <is>
          <t>1TRLB702P1BLCK</t>
        </is>
      </c>
      <c r="D785" t="inlineStr">
        <is>
          <t>Reusable Lunch Bags &amp; Boxes</t>
        </is>
      </c>
      <c r="E785" t="inlineStr">
        <is>
          <t>Tirrinia</t>
        </is>
      </c>
      <c r="G785" s="48" t="n">
        <v>0</v>
      </c>
      <c r="H785" s="48" t="n">
        <v>0</v>
      </c>
      <c r="I785" s="48" t="n">
        <v>0</v>
      </c>
      <c r="J785" s="48" t="n">
        <v>13.99</v>
      </c>
      <c r="K785" s="49" t="n">
        <v>0</v>
      </c>
      <c r="L785" s="49" t="n">
        <v>0</v>
      </c>
      <c r="M785" s="49" t="n">
        <v>0</v>
      </c>
      <c r="N785" s="49" t="n">
        <v>1</v>
      </c>
      <c r="O785" s="49" t="n">
        <v>0</v>
      </c>
      <c r="P785" s="49" t="n">
        <v>0</v>
      </c>
      <c r="Q785" s="49" t="n">
        <v>0</v>
      </c>
      <c r="R785" s="49" t="n">
        <v>0</v>
      </c>
      <c r="S785" s="50" t="n">
        <v>0</v>
      </c>
      <c r="T785" s="50" t="n">
        <v>0</v>
      </c>
      <c r="U785" s="50" t="n">
        <v>0</v>
      </c>
      <c r="V785" s="50" t="n">
        <v>0</v>
      </c>
      <c r="W785" s="51" t="n">
        <v>0</v>
      </c>
      <c r="X785" s="51" t="n">
        <v>0</v>
      </c>
      <c r="Y785" s="51" t="n">
        <v>0</v>
      </c>
      <c r="Z785" s="51" t="n">
        <v>0</v>
      </c>
      <c r="AA785" s="52" t="n">
        <v>0</v>
      </c>
      <c r="AB785" s="52" t="n">
        <v>0</v>
      </c>
      <c r="AC785" s="52" t="n">
        <v>0</v>
      </c>
      <c r="AD785" s="52" t="n">
        <v>0</v>
      </c>
      <c r="AE785" s="52" t="n">
        <v>0</v>
      </c>
      <c r="AF785" s="52" t="n">
        <v>0</v>
      </c>
      <c r="AG785" s="52" t="n">
        <v>0</v>
      </c>
      <c r="AH785" s="52" t="n">
        <v>0</v>
      </c>
      <c r="AI785" s="52" t="n">
        <v>0</v>
      </c>
      <c r="AJ785" s="52" t="n">
        <v>0</v>
      </c>
      <c r="AK785" s="52" t="n">
        <v>0</v>
      </c>
      <c r="AL785" s="52" t="n">
        <v>0</v>
      </c>
      <c r="AM785" s="53" t="n">
        <v>0</v>
      </c>
      <c r="AN785" s="53" t="n">
        <v>0</v>
      </c>
      <c r="AO785" s="53" t="n">
        <v>0</v>
      </c>
      <c r="AP785" s="53" t="n">
        <v>0</v>
      </c>
      <c r="AQ785" s="52" t="n">
        <v>0</v>
      </c>
      <c r="AR785" s="52" t="n">
        <v>0</v>
      </c>
      <c r="AS785" s="52" t="n">
        <v>0</v>
      </c>
      <c r="AT785" s="52" t="n">
        <v>0</v>
      </c>
      <c r="AU785" s="53" t="n">
        <v>0</v>
      </c>
      <c r="AV785" s="53" t="n">
        <v>0</v>
      </c>
      <c r="AW785" s="53" t="n">
        <v>0</v>
      </c>
      <c r="AX785" s="53" t="n">
        <v>0</v>
      </c>
      <c r="AY785" s="52" t="n">
        <v>0</v>
      </c>
      <c r="AZ785" s="52" t="n">
        <v>0</v>
      </c>
      <c r="BA785" s="52" t="n">
        <v>0</v>
      </c>
      <c r="BB785" s="52" t="n">
        <v>13.99</v>
      </c>
      <c r="BC785" s="51" t="n">
        <v>0</v>
      </c>
      <c r="BD785" s="51" t="n">
        <v>0</v>
      </c>
      <c r="BE785" s="51" t="n">
        <v>0</v>
      </c>
      <c r="BF785" s="51" t="n">
        <v>0</v>
      </c>
    </row>
    <row r="786">
      <c r="A786">
        <f>HYPERLINK("https://www.walmart.com/ip/852622178", "852622178")</f>
        <v/>
      </c>
      <c r="B786" t="inlineStr">
        <is>
          <t>Catalonia Patriotic US Flag Sherpa Fleece Throw Blanket, American Eagle National Flag Throws, Plush Super Soft Cozy Warm Reversible Blanket for Couch Bed 60" x 50"</t>
        </is>
      </c>
      <c r="C786" t="inlineStr">
        <is>
          <t>1CTBF300USA3</t>
        </is>
      </c>
      <c r="D786" t="inlineStr">
        <is>
          <t>Throws</t>
        </is>
      </c>
      <c r="E786" t="inlineStr">
        <is>
          <t>Catalonia</t>
        </is>
      </c>
      <c r="F786" t="inlineStr">
        <is>
          <t>Optimized</t>
        </is>
      </c>
      <c r="G786" s="48" t="n">
        <v>0</v>
      </c>
      <c r="H786" s="48" t="n">
        <v>0</v>
      </c>
      <c r="I786" s="48" t="n">
        <v>0</v>
      </c>
      <c r="J786" s="48" t="n">
        <v>0</v>
      </c>
      <c r="K786" s="49" t="n">
        <v>0</v>
      </c>
      <c r="L786" s="49" t="n">
        <v>0</v>
      </c>
      <c r="M786" s="49" t="n">
        <v>0</v>
      </c>
      <c r="N786" s="49" t="n">
        <v>0</v>
      </c>
      <c r="O786" s="49" t="n">
        <v>0</v>
      </c>
      <c r="P786" s="49" t="n">
        <v>0</v>
      </c>
      <c r="Q786" s="49" t="n">
        <v>0</v>
      </c>
      <c r="R786" s="49" t="n">
        <v>0</v>
      </c>
      <c r="S786" s="50" t="n">
        <v>0</v>
      </c>
      <c r="T786" s="50" t="n">
        <v>0</v>
      </c>
      <c r="U786" s="50" t="n">
        <v>0</v>
      </c>
      <c r="V786" s="50" t="n">
        <v>0</v>
      </c>
      <c r="W786" s="51" t="n">
        <v>0</v>
      </c>
      <c r="X786" s="51" t="n">
        <v>0</v>
      </c>
      <c r="Y786" s="51" t="n">
        <v>0</v>
      </c>
      <c r="Z786" s="51" t="n">
        <v>0</v>
      </c>
      <c r="AA786" s="52" t="n">
        <v>0</v>
      </c>
      <c r="AB786" s="52" t="n">
        <v>0</v>
      </c>
      <c r="AC786" s="52" t="n">
        <v>0</v>
      </c>
      <c r="AD786" s="52" t="n">
        <v>0</v>
      </c>
      <c r="AE786" s="52" t="n">
        <v>0</v>
      </c>
      <c r="AF786" s="52" t="n">
        <v>0</v>
      </c>
      <c r="AG786" s="52" t="n">
        <v>0</v>
      </c>
      <c r="AH786" s="52" t="n">
        <v>0</v>
      </c>
      <c r="AI786" s="52" t="n">
        <v>0</v>
      </c>
      <c r="AJ786" s="52" t="n">
        <v>0</v>
      </c>
      <c r="AK786" s="52" t="n">
        <v>0</v>
      </c>
      <c r="AL786" s="52" t="n">
        <v>0</v>
      </c>
      <c r="AM786" s="53" t="n">
        <v>0</v>
      </c>
      <c r="AN786" s="53" t="n">
        <v>0</v>
      </c>
      <c r="AO786" s="53" t="n">
        <v>0</v>
      </c>
      <c r="AP786" s="53" t="n">
        <v>0</v>
      </c>
      <c r="AQ786" s="52" t="n">
        <v>0</v>
      </c>
      <c r="AR786" s="52" t="n">
        <v>0</v>
      </c>
      <c r="AS786" s="52" t="n">
        <v>0</v>
      </c>
      <c r="AT786" s="52" t="n">
        <v>0</v>
      </c>
      <c r="AU786" s="53" t="n">
        <v>0</v>
      </c>
      <c r="AV786" s="53" t="n">
        <v>0</v>
      </c>
      <c r="AW786" s="53" t="n">
        <v>0</v>
      </c>
      <c r="AX786" s="53" t="n">
        <v>0</v>
      </c>
      <c r="AY786" s="52" t="n">
        <v>0</v>
      </c>
      <c r="AZ786" s="52" t="n">
        <v>0</v>
      </c>
      <c r="BA786" s="52" t="n">
        <v>0</v>
      </c>
      <c r="BB786" s="52" t="n">
        <v>0</v>
      </c>
      <c r="BC786" s="51" t="n">
        <v>0</v>
      </c>
      <c r="BD786" s="51" t="n">
        <v>0</v>
      </c>
      <c r="BE786" s="51" t="n">
        <v>0</v>
      </c>
      <c r="BF786" s="51" t="n">
        <v>0</v>
      </c>
    </row>
    <row r="787">
      <c r="A787">
        <f>HYPERLINK("https://www.walmart.com/ip/852719826", "852719826")</f>
        <v/>
      </c>
      <c r="B787" t="inlineStr">
        <is>
          <t>Catalonia Purple Fluffy Sherpa Throw Blanket, Super Soft Mink Fleece Couch Blanket, TV Bed Fuzzy Blanket, Fluffy Comfy Warm Heavy Throws, Comfort Caring Gift,50x60 inches, Purple</t>
        </is>
      </c>
      <c r="C787" t="inlineStr">
        <is>
          <t>1CTBF300PP</t>
        </is>
      </c>
      <c r="D787" t="inlineStr">
        <is>
          <t>Throws</t>
        </is>
      </c>
      <c r="E787" t="inlineStr">
        <is>
          <t>Catalonia</t>
        </is>
      </c>
      <c r="F787" t="inlineStr">
        <is>
          <t>WFS,WFS Item</t>
        </is>
      </c>
      <c r="G787" s="48" t="n">
        <v>0</v>
      </c>
      <c r="H787" s="48" t="n">
        <v>0</v>
      </c>
      <c r="I787" s="48" t="n">
        <v>0</v>
      </c>
      <c r="J787" s="48" t="n">
        <v>0</v>
      </c>
      <c r="K787" s="49" t="n">
        <v>0</v>
      </c>
      <c r="L787" s="49" t="n">
        <v>0</v>
      </c>
      <c r="M787" s="49" t="n">
        <v>0</v>
      </c>
      <c r="N787" s="49" t="n">
        <v>0</v>
      </c>
      <c r="O787" s="49" t="n">
        <v>0</v>
      </c>
      <c r="P787" s="49" t="n">
        <v>0</v>
      </c>
      <c r="Q787" s="49" t="n">
        <v>0</v>
      </c>
      <c r="R787" s="49" t="n">
        <v>0</v>
      </c>
      <c r="S787" s="50" t="n">
        <v>0</v>
      </c>
      <c r="T787" s="50" t="n">
        <v>0</v>
      </c>
      <c r="U787" s="50" t="n">
        <v>0</v>
      </c>
      <c r="V787" s="50" t="n">
        <v>0</v>
      </c>
      <c r="W787" s="51" t="n">
        <v>0</v>
      </c>
      <c r="X787" s="51" t="n">
        <v>0</v>
      </c>
      <c r="Y787" s="51" t="n">
        <v>0</v>
      </c>
      <c r="Z787" s="51" t="n">
        <v>0</v>
      </c>
      <c r="AA787" s="52" t="n">
        <v>0</v>
      </c>
      <c r="AB787" s="52" t="n">
        <v>0</v>
      </c>
      <c r="AC787" s="52" t="n">
        <v>0</v>
      </c>
      <c r="AD787" s="52" t="n">
        <v>0</v>
      </c>
      <c r="AE787" s="52" t="n">
        <v>0</v>
      </c>
      <c r="AF787" s="52" t="n">
        <v>0</v>
      </c>
      <c r="AG787" s="52" t="n">
        <v>0</v>
      </c>
      <c r="AH787" s="52" t="n">
        <v>0</v>
      </c>
      <c r="AI787" s="52" t="n">
        <v>0</v>
      </c>
      <c r="AJ787" s="52" t="n">
        <v>0</v>
      </c>
      <c r="AK787" s="52" t="n">
        <v>0</v>
      </c>
      <c r="AL787" s="52" t="n">
        <v>0</v>
      </c>
      <c r="AM787" s="53" t="n">
        <v>0</v>
      </c>
      <c r="AN787" s="53" t="n">
        <v>0</v>
      </c>
      <c r="AO787" s="53" t="n">
        <v>0</v>
      </c>
      <c r="AP787" s="53" t="n">
        <v>0</v>
      </c>
      <c r="AQ787" s="52" t="n">
        <v>0</v>
      </c>
      <c r="AR787" s="52" t="n">
        <v>0</v>
      </c>
      <c r="AS787" s="52" t="n">
        <v>0</v>
      </c>
      <c r="AT787" s="52" t="n">
        <v>0</v>
      </c>
      <c r="AU787" s="53" t="n">
        <v>0</v>
      </c>
      <c r="AV787" s="53" t="n">
        <v>0</v>
      </c>
      <c r="AW787" s="53" t="n">
        <v>0</v>
      </c>
      <c r="AX787" s="53" t="n">
        <v>0</v>
      </c>
      <c r="AY787" s="52" t="n">
        <v>0</v>
      </c>
      <c r="AZ787" s="52" t="n">
        <v>0</v>
      </c>
      <c r="BA787" s="52" t="n">
        <v>0</v>
      </c>
      <c r="BB787" s="52" t="n">
        <v>0</v>
      </c>
      <c r="BC787" s="51" t="n">
        <v>0</v>
      </c>
      <c r="BD787" s="51" t="n">
        <v>0</v>
      </c>
      <c r="BE787" s="51" t="n">
        <v>0</v>
      </c>
      <c r="BF787" s="51" t="n">
        <v>0</v>
      </c>
    </row>
    <row r="788">
      <c r="A788">
        <f>HYPERLINK("https://www.walmart.com/ip/853210539", "853210539")</f>
        <v/>
      </c>
      <c r="B788" t="inlineStr">
        <is>
          <t>JenniWears Women Sexy Translucent Lace Panty Boyshort Plus Size Mesh Brief Lingerie Underwear - 3L Size</t>
        </is>
      </c>
      <c r="C788" t="inlineStr">
        <is>
          <t>JWPT05BK-3XL</t>
        </is>
      </c>
      <c r="D788" t="inlineStr">
        <is>
          <t>Panties</t>
        </is>
      </c>
      <c r="E788" t="inlineStr">
        <is>
          <t>JenniWears</t>
        </is>
      </c>
      <c r="F788" t="inlineStr">
        <is>
          <t>Batch 1 - TR</t>
        </is>
      </c>
      <c r="G788" s="48" t="n">
        <v>0</v>
      </c>
      <c r="H788" s="48" t="n">
        <v>0</v>
      </c>
      <c r="I788" s="48" t="n">
        <v>0</v>
      </c>
      <c r="J788" s="48" t="n">
        <v>0</v>
      </c>
      <c r="K788" s="49" t="n">
        <v>0</v>
      </c>
      <c r="L788" s="49" t="n">
        <v>0</v>
      </c>
      <c r="M788" s="49" t="n">
        <v>0</v>
      </c>
      <c r="N788" s="49" t="n">
        <v>0</v>
      </c>
      <c r="O788" s="49" t="n">
        <v>0</v>
      </c>
      <c r="P788" s="49" t="n">
        <v>0</v>
      </c>
      <c r="Q788" s="49" t="n">
        <v>0</v>
      </c>
      <c r="R788" s="49" t="n">
        <v>0</v>
      </c>
      <c r="S788" s="50" t="n">
        <v>0</v>
      </c>
      <c r="T788" s="50" t="n">
        <v>0</v>
      </c>
      <c r="U788" s="50" t="n">
        <v>0</v>
      </c>
      <c r="V788" s="50" t="n">
        <v>0</v>
      </c>
      <c r="W788" s="51" t="n">
        <v>0</v>
      </c>
      <c r="X788" s="51" t="n">
        <v>0</v>
      </c>
      <c r="Y788" s="51" t="n">
        <v>0</v>
      </c>
      <c r="Z788" s="51" t="n">
        <v>0</v>
      </c>
      <c r="AA788" s="52" t="n">
        <v>0</v>
      </c>
      <c r="AB788" s="52" t="n">
        <v>0</v>
      </c>
      <c r="AC788" s="52" t="n">
        <v>0</v>
      </c>
      <c r="AD788" s="52" t="n">
        <v>0</v>
      </c>
      <c r="AE788" s="52" t="n">
        <v>0</v>
      </c>
      <c r="AF788" s="52" t="n">
        <v>0</v>
      </c>
      <c r="AG788" s="52" t="n">
        <v>0</v>
      </c>
      <c r="AH788" s="52" t="n">
        <v>0</v>
      </c>
      <c r="AI788" s="52" t="n">
        <v>0</v>
      </c>
      <c r="AJ788" s="52" t="n">
        <v>0</v>
      </c>
      <c r="AK788" s="52" t="n">
        <v>0</v>
      </c>
      <c r="AL788" s="52" t="n">
        <v>0</v>
      </c>
      <c r="AM788" s="53" t="n">
        <v>0</v>
      </c>
      <c r="AN788" s="53" t="n">
        <v>0</v>
      </c>
      <c r="AO788" s="53" t="n">
        <v>0</v>
      </c>
      <c r="AP788" s="53" t="n">
        <v>0</v>
      </c>
      <c r="AQ788" s="52" t="n">
        <v>0</v>
      </c>
      <c r="AR788" s="52" t="n">
        <v>0</v>
      </c>
      <c r="AS788" s="52" t="n">
        <v>0</v>
      </c>
      <c r="AT788" s="52" t="n">
        <v>0</v>
      </c>
      <c r="AU788" s="53" t="n">
        <v>0</v>
      </c>
      <c r="AV788" s="53" t="n">
        <v>0</v>
      </c>
      <c r="AW788" s="53" t="n">
        <v>0</v>
      </c>
      <c r="AX788" s="53" t="n">
        <v>0</v>
      </c>
      <c r="AY788" s="52" t="n">
        <v>0</v>
      </c>
      <c r="AZ788" s="52" t="n">
        <v>0</v>
      </c>
      <c r="BA788" s="52" t="n">
        <v>0</v>
      </c>
      <c r="BB788" s="52" t="n">
        <v>0</v>
      </c>
      <c r="BC788" s="51" t="n">
        <v>0</v>
      </c>
      <c r="BD788" s="51" t="n">
        <v>0</v>
      </c>
      <c r="BE788" s="51" t="n">
        <v>0</v>
      </c>
      <c r="BF788" s="51" t="n">
        <v>0</v>
      </c>
    </row>
    <row r="789">
      <c r="A789">
        <f>HYPERLINK("https://www.walmart.com/ip/853427342", "853427342")</f>
        <v/>
      </c>
      <c r="B789" t="inlineStr">
        <is>
          <t>Flyingstar Insulated Lunch Bag, Reusable Tote Bag for Women &amp; Men &amp; Kids, Fashionable Large Cooler Lunch Bag for Working/School/Picnic</t>
        </is>
      </c>
      <c r="C789" t="inlineStr">
        <is>
          <t>1WMLB703BK</t>
        </is>
      </c>
      <c r="D789" t="inlineStr">
        <is>
          <t>Reusable Lunch Bags &amp; Boxes</t>
        </is>
      </c>
      <c r="E789" t="inlineStr">
        <is>
          <t>Flyingstar</t>
        </is>
      </c>
      <c r="F789" t="inlineStr">
        <is>
          <t>Q2-Target,Lunch Bag,Optimized,Lunch Bags,WFS Item</t>
        </is>
      </c>
      <c r="G789" s="48" t="n">
        <v>0</v>
      </c>
      <c r="H789" s="48" t="n">
        <v>0</v>
      </c>
      <c r="I789" s="48" t="n">
        <v>0</v>
      </c>
      <c r="J789" s="48" t="n">
        <v>0</v>
      </c>
      <c r="K789" s="49" t="n">
        <v>0</v>
      </c>
      <c r="L789" s="49" t="n">
        <v>0</v>
      </c>
      <c r="M789" s="49" t="n">
        <v>0</v>
      </c>
      <c r="N789" s="49" t="n">
        <v>0</v>
      </c>
      <c r="O789" s="49" t="n">
        <v>0</v>
      </c>
      <c r="P789" s="49" t="n">
        <v>0</v>
      </c>
      <c r="Q789" s="49" t="n">
        <v>0</v>
      </c>
      <c r="R789" s="49" t="n">
        <v>0</v>
      </c>
      <c r="S789" s="50" t="n">
        <v>0</v>
      </c>
      <c r="T789" s="50" t="n">
        <v>0</v>
      </c>
      <c r="U789" s="50" t="n">
        <v>0</v>
      </c>
      <c r="V789" s="50" t="n">
        <v>0</v>
      </c>
      <c r="W789" s="51" t="n">
        <v>0</v>
      </c>
      <c r="X789" s="51" t="n">
        <v>0</v>
      </c>
      <c r="Y789" s="51" t="n">
        <v>0</v>
      </c>
      <c r="Z789" s="51" t="n">
        <v>0</v>
      </c>
      <c r="AA789" s="52" t="n">
        <v>0</v>
      </c>
      <c r="AB789" s="52" t="n">
        <v>0</v>
      </c>
      <c r="AC789" s="52" t="n">
        <v>0</v>
      </c>
      <c r="AD789" s="52" t="n">
        <v>0</v>
      </c>
      <c r="AE789" s="52" t="n">
        <v>0</v>
      </c>
      <c r="AF789" s="52" t="n">
        <v>0</v>
      </c>
      <c r="AG789" s="52" t="n">
        <v>0</v>
      </c>
      <c r="AH789" s="52" t="n">
        <v>0</v>
      </c>
      <c r="AI789" s="52" t="n">
        <v>0</v>
      </c>
      <c r="AJ789" s="52" t="n">
        <v>0</v>
      </c>
      <c r="AK789" s="52" t="n">
        <v>0</v>
      </c>
      <c r="AL789" s="52" t="n">
        <v>0</v>
      </c>
      <c r="AM789" s="53" t="n">
        <v>0</v>
      </c>
      <c r="AN789" s="53" t="n">
        <v>0</v>
      </c>
      <c r="AO789" s="53" t="n">
        <v>0</v>
      </c>
      <c r="AP789" s="53" t="n">
        <v>0</v>
      </c>
      <c r="AQ789" s="52" t="n">
        <v>0</v>
      </c>
      <c r="AR789" s="52" t="n">
        <v>0</v>
      </c>
      <c r="AS789" s="52" t="n">
        <v>0</v>
      </c>
      <c r="AT789" s="52" t="n">
        <v>0</v>
      </c>
      <c r="AU789" s="53" t="n">
        <v>0</v>
      </c>
      <c r="AV789" s="53" t="n">
        <v>0</v>
      </c>
      <c r="AW789" s="53" t="n">
        <v>0</v>
      </c>
      <c r="AX789" s="53" t="n">
        <v>0</v>
      </c>
      <c r="AY789" s="52" t="n">
        <v>0</v>
      </c>
      <c r="AZ789" s="52" t="n">
        <v>0</v>
      </c>
      <c r="BA789" s="52" t="n">
        <v>0</v>
      </c>
      <c r="BB789" s="52" t="n">
        <v>0</v>
      </c>
      <c r="BC789" s="51" t="n">
        <v>0</v>
      </c>
      <c r="BD789" s="51" t="n">
        <v>0</v>
      </c>
      <c r="BE789" s="51" t="n">
        <v>0</v>
      </c>
      <c r="BF789" s="51" t="n">
        <v>0</v>
      </c>
    </row>
    <row r="790">
      <c r="A790">
        <f>HYPERLINK("https://www.walmart.com/ip/853690468", "853690468")</f>
        <v/>
      </c>
      <c r="B790" t="inlineStr">
        <is>
          <t>Tirrinia Outdoors Waterproof Throw Blanket, 60”x 80” Sherpa Fleece Stadium Windproof Mat for Traveling, Camping, Hiking, Football - Machine Washable, Black</t>
        </is>
      </c>
      <c r="C790" t="inlineStr">
        <is>
          <t>1TRBW608BKGY</t>
        </is>
      </c>
      <c r="D790" t="inlineStr">
        <is>
          <t>Picnic Blankets &amp; Mats</t>
        </is>
      </c>
      <c r="E790" t="inlineStr">
        <is>
          <t>Tirrinia</t>
        </is>
      </c>
      <c r="F790" t="inlineStr">
        <is>
          <t>Q2-Target,SEM,Batch 1 - TR,AMZ Bestsellers</t>
        </is>
      </c>
      <c r="G790" s="48" t="n">
        <v>0</v>
      </c>
      <c r="H790" s="48" t="n">
        <v>39.99</v>
      </c>
      <c r="I790" s="48" t="n">
        <v>0</v>
      </c>
      <c r="J790" s="48" t="n">
        <v>0</v>
      </c>
      <c r="K790" s="49" t="n">
        <v>0</v>
      </c>
      <c r="L790" s="49" t="n">
        <v>1</v>
      </c>
      <c r="M790" s="49" t="n">
        <v>0</v>
      </c>
      <c r="N790" s="49" t="n">
        <v>0</v>
      </c>
      <c r="O790" s="49" t="n">
        <v>0</v>
      </c>
      <c r="P790" s="49" t="n">
        <v>0</v>
      </c>
      <c r="Q790" s="49" t="n">
        <v>0</v>
      </c>
      <c r="R790" s="49" t="n">
        <v>0</v>
      </c>
      <c r="S790" s="50" t="n">
        <v>0</v>
      </c>
      <c r="T790" s="50" t="n">
        <v>0</v>
      </c>
      <c r="U790" s="50" t="n">
        <v>0</v>
      </c>
      <c r="V790" s="50" t="n">
        <v>0</v>
      </c>
      <c r="W790" s="51" t="n">
        <v>2</v>
      </c>
      <c r="X790" s="51" t="n">
        <v>3</v>
      </c>
      <c r="Y790" s="51" t="n">
        <v>0</v>
      </c>
      <c r="Z790" s="51" t="n">
        <v>4</v>
      </c>
      <c r="AA790" s="52" t="n">
        <v>0.96</v>
      </c>
      <c r="AB790" s="52" t="n">
        <v>1.44</v>
      </c>
      <c r="AC790" s="52" t="n">
        <v>0</v>
      </c>
      <c r="AD790" s="52" t="n">
        <v>1.62</v>
      </c>
      <c r="AE790" s="52" t="n">
        <v>0</v>
      </c>
      <c r="AF790" s="52" t="n">
        <v>0</v>
      </c>
      <c r="AG790" s="52" t="n">
        <v>0</v>
      </c>
      <c r="AH790" s="52" t="n">
        <v>0</v>
      </c>
      <c r="AI790" s="52" t="n">
        <v>0</v>
      </c>
      <c r="AJ790" s="52" t="n">
        <v>0</v>
      </c>
      <c r="AK790" s="52" t="n">
        <v>0</v>
      </c>
      <c r="AL790" s="52" t="n">
        <v>0</v>
      </c>
      <c r="AM790" s="53" t="n">
        <v>0.0008</v>
      </c>
      <c r="AN790" s="53" t="n">
        <v>0.0024</v>
      </c>
      <c r="AO790" s="53" t="n">
        <v>0</v>
      </c>
      <c r="AP790" s="53" t="n">
        <v>0.0078</v>
      </c>
      <c r="AQ790" s="52" t="n">
        <v>0.48</v>
      </c>
      <c r="AR790" s="52" t="n">
        <v>0.48</v>
      </c>
      <c r="AS790" s="52" t="n">
        <v>0</v>
      </c>
      <c r="AT790" s="52" t="n">
        <v>0.405</v>
      </c>
      <c r="AU790" s="53" t="n">
        <v>0</v>
      </c>
      <c r="AV790" s="53" t="n">
        <v>0.03600900225056264</v>
      </c>
      <c r="AW790" s="53" t="n">
        <v>0</v>
      </c>
      <c r="AX790" s="53" t="n">
        <v>0</v>
      </c>
      <c r="AY790" s="52" t="n">
        <v>0</v>
      </c>
      <c r="AZ790" s="52" t="n">
        <v>39.99</v>
      </c>
      <c r="BA790" s="52" t="n">
        <v>0</v>
      </c>
      <c r="BB790" s="52" t="n">
        <v>0</v>
      </c>
      <c r="BC790" s="51" t="n">
        <v>2487</v>
      </c>
      <c r="BD790" s="51" t="n">
        <v>1227</v>
      </c>
      <c r="BE790" s="51" t="n">
        <v>0</v>
      </c>
      <c r="BF790" s="51" t="n">
        <v>515</v>
      </c>
    </row>
    <row r="791">
      <c r="A791">
        <f>HYPERLINK("https://www.walmart.com/ip/856387561", "856387561")</f>
        <v/>
      </c>
      <c r="B791" t="inlineStr">
        <is>
          <t>Flyingstar Oversized Wearable Blanket with Large Front Pocket, Microfiber Faux Shearling Comfy Sweatshirt Blanket for Adults Women Men Teenagers, Pink</t>
        </is>
      </c>
      <c r="C791" t="inlineStr">
        <is>
          <t>1WMHD300PK</t>
        </is>
      </c>
      <c r="D791" t="inlineStr">
        <is>
          <t>Throws</t>
        </is>
      </c>
      <c r="E791" t="inlineStr">
        <is>
          <t>Flyingstar</t>
        </is>
      </c>
      <c r="F791" t="inlineStr">
        <is>
          <t>Hoodie ForAdult,Optimized</t>
        </is>
      </c>
      <c r="G791" s="48" t="n">
        <v>0</v>
      </c>
      <c r="H791" s="48" t="n">
        <v>0</v>
      </c>
      <c r="I791" s="48" t="n">
        <v>0</v>
      </c>
      <c r="J791" s="48" t="n">
        <v>0</v>
      </c>
      <c r="K791" s="49" t="n">
        <v>0</v>
      </c>
      <c r="L791" s="49" t="n">
        <v>0</v>
      </c>
      <c r="M791" s="49" t="n">
        <v>0</v>
      </c>
      <c r="N791" s="49" t="n">
        <v>0</v>
      </c>
      <c r="O791" s="49" t="n">
        <v>0</v>
      </c>
      <c r="P791" s="49" t="n">
        <v>0</v>
      </c>
      <c r="Q791" s="49" t="n">
        <v>0</v>
      </c>
      <c r="R791" s="49" t="n">
        <v>0</v>
      </c>
      <c r="S791" s="50" t="n">
        <v>0</v>
      </c>
      <c r="T791" s="50" t="n">
        <v>0</v>
      </c>
      <c r="U791" s="50" t="n">
        <v>0</v>
      </c>
      <c r="V791" s="50" t="n">
        <v>0</v>
      </c>
      <c r="W791" s="51" t="n">
        <v>0</v>
      </c>
      <c r="X791" s="51" t="n">
        <v>0</v>
      </c>
      <c r="Y791" s="51" t="n">
        <v>0</v>
      </c>
      <c r="Z791" s="51" t="n">
        <v>0</v>
      </c>
      <c r="AA791" s="52" t="n">
        <v>0</v>
      </c>
      <c r="AB791" s="52" t="n">
        <v>0</v>
      </c>
      <c r="AC791" s="52" t="n">
        <v>0</v>
      </c>
      <c r="AD791" s="52" t="n">
        <v>0</v>
      </c>
      <c r="AE791" s="52" t="n">
        <v>0</v>
      </c>
      <c r="AF791" s="52" t="n">
        <v>0</v>
      </c>
      <c r="AG791" s="52" t="n">
        <v>0</v>
      </c>
      <c r="AH791" s="52" t="n">
        <v>0</v>
      </c>
      <c r="AI791" s="52" t="n">
        <v>0</v>
      </c>
      <c r="AJ791" s="52" t="n">
        <v>0</v>
      </c>
      <c r="AK791" s="52" t="n">
        <v>0</v>
      </c>
      <c r="AL791" s="52" t="n">
        <v>0</v>
      </c>
      <c r="AM791" s="53" t="n">
        <v>0</v>
      </c>
      <c r="AN791" s="53" t="n">
        <v>0</v>
      </c>
      <c r="AO791" s="53" t="n">
        <v>0</v>
      </c>
      <c r="AP791" s="53" t="n">
        <v>0</v>
      </c>
      <c r="AQ791" s="52" t="n">
        <v>0</v>
      </c>
      <c r="AR791" s="52" t="n">
        <v>0</v>
      </c>
      <c r="AS791" s="52" t="n">
        <v>0</v>
      </c>
      <c r="AT791" s="52" t="n">
        <v>0</v>
      </c>
      <c r="AU791" s="53" t="n">
        <v>0</v>
      </c>
      <c r="AV791" s="53" t="n">
        <v>0</v>
      </c>
      <c r="AW791" s="53" t="n">
        <v>0</v>
      </c>
      <c r="AX791" s="53" t="n">
        <v>0</v>
      </c>
      <c r="AY791" s="52" t="n">
        <v>0</v>
      </c>
      <c r="AZ791" s="52" t="n">
        <v>0</v>
      </c>
      <c r="BA791" s="52" t="n">
        <v>0</v>
      </c>
      <c r="BB791" s="52" t="n">
        <v>0</v>
      </c>
      <c r="BC791" s="51" t="n">
        <v>0</v>
      </c>
      <c r="BD791" s="51" t="n">
        <v>0</v>
      </c>
      <c r="BE791" s="51" t="n">
        <v>0</v>
      </c>
      <c r="BF791" s="51" t="n">
        <v>0</v>
      </c>
    </row>
    <row r="792">
      <c r="A792">
        <f>HYPERLINK("https://www.walmart.com/ip/856822538", "856822538")</f>
        <v/>
      </c>
      <c r="B792" t="inlineStr">
        <is>
          <t>Tirrinia Sherpa Throw Couch Blanket, Super Soft TV Blanket, Black Chevron, 50'' x 60''</t>
        </is>
      </c>
      <c r="C792" t="inlineStr">
        <is>
          <t>1TRBF320BK-TBCB</t>
        </is>
      </c>
      <c r="D792" t="inlineStr">
        <is>
          <t>Throws</t>
        </is>
      </c>
      <c r="E792" t="inlineStr">
        <is>
          <t>Tirrinia</t>
        </is>
      </c>
      <c r="F792" t="inlineStr">
        <is>
          <t>Optimized,Coupon_Discount</t>
        </is>
      </c>
      <c r="G792" s="48" t="n">
        <v>0</v>
      </c>
      <c r="H792" s="48" t="n">
        <v>0</v>
      </c>
      <c r="I792" s="48" t="n">
        <v>0</v>
      </c>
      <c r="J792" s="48" t="n">
        <v>0</v>
      </c>
      <c r="K792" s="49" t="n">
        <v>0</v>
      </c>
      <c r="L792" s="49" t="n">
        <v>0</v>
      </c>
      <c r="M792" s="49" t="n">
        <v>0</v>
      </c>
      <c r="N792" s="49" t="n">
        <v>0</v>
      </c>
      <c r="O792" s="49" t="n">
        <v>0</v>
      </c>
      <c r="P792" s="49" t="n">
        <v>0</v>
      </c>
      <c r="Q792" s="49" t="n">
        <v>0</v>
      </c>
      <c r="R792" s="49" t="n">
        <v>0</v>
      </c>
      <c r="S792" s="50" t="n">
        <v>0</v>
      </c>
      <c r="T792" s="50" t="n">
        <v>0</v>
      </c>
      <c r="U792" s="50" t="n">
        <v>0</v>
      </c>
      <c r="V792" s="50" t="n">
        <v>0</v>
      </c>
      <c r="W792" s="51" t="n">
        <v>0</v>
      </c>
      <c r="X792" s="51" t="n">
        <v>0</v>
      </c>
      <c r="Y792" s="51" t="n">
        <v>0</v>
      </c>
      <c r="Z792" s="51" t="n">
        <v>0</v>
      </c>
      <c r="AA792" s="52" t="n">
        <v>0</v>
      </c>
      <c r="AB792" s="52" t="n">
        <v>0</v>
      </c>
      <c r="AC792" s="52" t="n">
        <v>0</v>
      </c>
      <c r="AD792" s="52" t="n">
        <v>0</v>
      </c>
      <c r="AE792" s="52" t="n">
        <v>0</v>
      </c>
      <c r="AF792" s="52" t="n">
        <v>0</v>
      </c>
      <c r="AG792" s="52" t="n">
        <v>0</v>
      </c>
      <c r="AH792" s="52" t="n">
        <v>0</v>
      </c>
      <c r="AI792" s="52" t="n">
        <v>0</v>
      </c>
      <c r="AJ792" s="52" t="n">
        <v>0</v>
      </c>
      <c r="AK792" s="52" t="n">
        <v>0</v>
      </c>
      <c r="AL792" s="52" t="n">
        <v>0</v>
      </c>
      <c r="AM792" s="53" t="n">
        <v>0</v>
      </c>
      <c r="AN792" s="53" t="n">
        <v>0</v>
      </c>
      <c r="AO792" s="53" t="n">
        <v>0</v>
      </c>
      <c r="AP792" s="53" t="n">
        <v>0</v>
      </c>
      <c r="AQ792" s="52" t="n">
        <v>0</v>
      </c>
      <c r="AR792" s="52" t="n">
        <v>0</v>
      </c>
      <c r="AS792" s="52" t="n">
        <v>0</v>
      </c>
      <c r="AT792" s="52" t="n">
        <v>0</v>
      </c>
      <c r="AU792" s="53" t="n">
        <v>0</v>
      </c>
      <c r="AV792" s="53" t="n">
        <v>0</v>
      </c>
      <c r="AW792" s="53" t="n">
        <v>0</v>
      </c>
      <c r="AX792" s="53" t="n">
        <v>0</v>
      </c>
      <c r="AY792" s="52" t="n">
        <v>0</v>
      </c>
      <c r="AZ792" s="52" t="n">
        <v>0</v>
      </c>
      <c r="BA792" s="52" t="n">
        <v>0</v>
      </c>
      <c r="BB792" s="52" t="n">
        <v>0</v>
      </c>
      <c r="BC792" s="51" t="n">
        <v>0</v>
      </c>
      <c r="BD792" s="51" t="n">
        <v>0</v>
      </c>
      <c r="BE792" s="51" t="n">
        <v>0</v>
      </c>
      <c r="BF792" s="51" t="n">
        <v>0</v>
      </c>
    </row>
    <row r="793">
      <c r="A793">
        <f>HYPERLINK("https://www.walmart.com/ip/843451150", "843451150")</f>
        <v/>
      </c>
      <c r="B793" t="inlineStr">
        <is>
          <t>Men's Sun Protection Hat with Neck Flap Cover,Wide Brim Outdoor Fishing Hiking Camping Hunting Boating Safari Gardening</t>
        </is>
      </c>
      <c r="C793" t="inlineStr">
        <is>
          <t>1SLSH923DIGIGN</t>
        </is>
      </c>
      <c r="D793" t="inlineStr">
        <is>
          <t>Hats</t>
        </is>
      </c>
      <c r="E793" t="inlineStr">
        <is>
          <t>Solaris</t>
        </is>
      </c>
      <c r="F793" t="inlineStr">
        <is>
          <t>Hats,Batch 1 - TR</t>
        </is>
      </c>
      <c r="G793" s="48" t="n">
        <v>0</v>
      </c>
      <c r="H793" s="48" t="n">
        <v>17.99</v>
      </c>
      <c r="I793" s="48" t="n">
        <v>17.99</v>
      </c>
      <c r="J793" s="48" t="n">
        <v>0</v>
      </c>
      <c r="K793" s="49" t="n">
        <v>0</v>
      </c>
      <c r="L793" s="49" t="n">
        <v>1</v>
      </c>
      <c r="M793" s="49" t="n">
        <v>1</v>
      </c>
      <c r="N793" s="49" t="n">
        <v>0</v>
      </c>
      <c r="O793" s="49" t="n">
        <v>0</v>
      </c>
      <c r="P793" s="49" t="n">
        <v>0</v>
      </c>
      <c r="Q793" s="49" t="n">
        <v>0</v>
      </c>
      <c r="R793" s="49" t="n">
        <v>1</v>
      </c>
      <c r="S793" s="50" t="n">
        <v>0</v>
      </c>
      <c r="T793" s="50" t="n">
        <v>0</v>
      </c>
      <c r="U793" s="50" t="n">
        <v>0</v>
      </c>
      <c r="V793" s="50" t="n">
        <v>0</v>
      </c>
      <c r="W793" s="51" t="n">
        <v>0</v>
      </c>
      <c r="X793" s="51" t="n">
        <v>0</v>
      </c>
      <c r="Y793" s="51" t="n">
        <v>0</v>
      </c>
      <c r="Z793" s="51" t="n">
        <v>0</v>
      </c>
      <c r="AA793" s="52" t="n">
        <v>0</v>
      </c>
      <c r="AB793" s="52" t="n">
        <v>0</v>
      </c>
      <c r="AC793" s="52" t="n">
        <v>0</v>
      </c>
      <c r="AD793" s="52" t="n">
        <v>0</v>
      </c>
      <c r="AE793" s="52" t="n">
        <v>0</v>
      </c>
      <c r="AF793" s="52" t="n">
        <v>0</v>
      </c>
      <c r="AG793" s="52" t="n">
        <v>0</v>
      </c>
      <c r="AH793" s="52" t="n">
        <v>0</v>
      </c>
      <c r="AI793" s="52" t="n">
        <v>0</v>
      </c>
      <c r="AJ793" s="52" t="n">
        <v>0</v>
      </c>
      <c r="AK793" s="52" t="n">
        <v>0</v>
      </c>
      <c r="AL793" s="52" t="n">
        <v>0</v>
      </c>
      <c r="AM793" s="53" t="n">
        <v>0</v>
      </c>
      <c r="AN793" s="53" t="n">
        <v>0</v>
      </c>
      <c r="AO793" s="53" t="n">
        <v>0</v>
      </c>
      <c r="AP793" s="53" t="n">
        <v>0</v>
      </c>
      <c r="AQ793" s="52" t="n">
        <v>0</v>
      </c>
      <c r="AR793" s="52" t="n">
        <v>0</v>
      </c>
      <c r="AS793" s="52" t="n">
        <v>0</v>
      </c>
      <c r="AT793" s="52" t="n">
        <v>0</v>
      </c>
      <c r="AU793" s="53" t="n">
        <v>0</v>
      </c>
      <c r="AV793" s="53" t="n">
        <v>0</v>
      </c>
      <c r="AW793" s="53" t="n">
        <v>0</v>
      </c>
      <c r="AX793" s="53" t="n">
        <v>0</v>
      </c>
      <c r="AY793" s="52" t="n">
        <v>0</v>
      </c>
      <c r="AZ793" s="52" t="n">
        <v>17.99</v>
      </c>
      <c r="BA793" s="52" t="n">
        <v>17.99</v>
      </c>
      <c r="BB793" s="52" t="n">
        <v>0</v>
      </c>
      <c r="BC793" s="51" t="n">
        <v>0</v>
      </c>
      <c r="BD793" s="51" t="n">
        <v>0</v>
      </c>
      <c r="BE793" s="51" t="n">
        <v>0</v>
      </c>
      <c r="BF793" s="51" t="n">
        <v>0</v>
      </c>
    </row>
    <row r="794">
      <c r="A794">
        <f>HYPERLINK("https://www.walmart.com/ip/842569897", "842569897")</f>
        <v/>
      </c>
      <c r="B794" t="inlineStr">
        <is>
          <t>Waterproof Dog Blanket for Bed,Pee Proof Pet Blankets for Couch Sofa Cover,Reversible Furniture Protector Sherpa Cushion Mat for Small Medium Large Dogs Puppy Cat,King Size</t>
        </is>
      </c>
      <c r="C794" t="inlineStr">
        <is>
          <t>1PSBW981TPTP</t>
        </is>
      </c>
      <c r="D794" t="inlineStr">
        <is>
          <t>Pet Blankets</t>
        </is>
      </c>
      <c r="E794" t="inlineStr">
        <is>
          <t>Pawsse</t>
        </is>
      </c>
      <c r="F794" t="inlineStr">
        <is>
          <t>Q2-Target,Batch 1 - TR</t>
        </is>
      </c>
      <c r="G794" s="48" t="n">
        <v>0</v>
      </c>
      <c r="H794" s="48" t="n">
        <v>0</v>
      </c>
      <c r="I794" s="48" t="n">
        <v>0</v>
      </c>
      <c r="J794" s="48" t="n">
        <v>0</v>
      </c>
      <c r="K794" s="49" t="n">
        <v>0</v>
      </c>
      <c r="L794" s="49" t="n">
        <v>0</v>
      </c>
      <c r="M794" s="49" t="n">
        <v>0</v>
      </c>
      <c r="N794" s="49" t="n">
        <v>0</v>
      </c>
      <c r="O794" s="49" t="n">
        <v>0</v>
      </c>
      <c r="P794" s="49" t="n">
        <v>0</v>
      </c>
      <c r="Q794" s="49" t="n">
        <v>0</v>
      </c>
      <c r="R794" s="49" t="n">
        <v>0</v>
      </c>
      <c r="S794" s="50" t="n">
        <v>0</v>
      </c>
      <c r="T794" s="50" t="n">
        <v>0</v>
      </c>
      <c r="U794" s="50" t="n">
        <v>0</v>
      </c>
      <c r="V794" s="50" t="n">
        <v>0</v>
      </c>
      <c r="W794" s="51" t="n">
        <v>1</v>
      </c>
      <c r="X794" s="51" t="n">
        <v>2</v>
      </c>
      <c r="Y794" s="51" t="n">
        <v>6</v>
      </c>
      <c r="Z794" s="51" t="n">
        <v>3</v>
      </c>
      <c r="AA794" s="52" t="n">
        <v>0.43</v>
      </c>
      <c r="AB794" s="52" t="n">
        <v>0.9199999999999999</v>
      </c>
      <c r="AC794" s="52" t="n">
        <v>2.74</v>
      </c>
      <c r="AD794" s="52" t="n">
        <v>1.33</v>
      </c>
      <c r="AE794" s="52" t="n">
        <v>0</v>
      </c>
      <c r="AF794" s="52" t="n">
        <v>0</v>
      </c>
      <c r="AG794" s="52" t="n">
        <v>0</v>
      </c>
      <c r="AH794" s="52" t="n">
        <v>0</v>
      </c>
      <c r="AI794" s="52" t="n">
        <v>0</v>
      </c>
      <c r="AJ794" s="52" t="n">
        <v>0</v>
      </c>
      <c r="AK794" s="52" t="n">
        <v>0</v>
      </c>
      <c r="AL794" s="52" t="n">
        <v>0</v>
      </c>
      <c r="AM794" s="53" t="n">
        <v>0.0002</v>
      </c>
      <c r="AN794" s="53" t="n">
        <v>0.0008</v>
      </c>
      <c r="AO794" s="53" t="n">
        <v>0.0028</v>
      </c>
      <c r="AP794" s="53" t="n">
        <v>0.0023</v>
      </c>
      <c r="AQ794" s="52" t="n">
        <v>0.43</v>
      </c>
      <c r="AR794" s="52" t="n">
        <v>0.46</v>
      </c>
      <c r="AS794" s="52" t="n">
        <v>0.4566666666666667</v>
      </c>
      <c r="AT794" s="52" t="n">
        <v>0.4433333333333334</v>
      </c>
      <c r="AU794" s="53" t="n">
        <v>0</v>
      </c>
      <c r="AV794" s="53" t="n">
        <v>0</v>
      </c>
      <c r="AW794" s="53" t="n">
        <v>0</v>
      </c>
      <c r="AX794" s="53" t="n">
        <v>0</v>
      </c>
      <c r="AY794" s="52" t="n">
        <v>0</v>
      </c>
      <c r="AZ794" s="52" t="n">
        <v>0</v>
      </c>
      <c r="BA794" s="52" t="n">
        <v>0</v>
      </c>
      <c r="BB794" s="52" t="n">
        <v>0</v>
      </c>
      <c r="BC794" s="51" t="n">
        <v>4169</v>
      </c>
      <c r="BD794" s="51" t="n">
        <v>2580</v>
      </c>
      <c r="BE794" s="51" t="n">
        <v>2148</v>
      </c>
      <c r="BF794" s="51" t="n">
        <v>1321</v>
      </c>
    </row>
    <row r="795">
      <c r="A795">
        <f>HYPERLINK("https://www.walmart.com/ip/858115979", "858115979")</f>
        <v/>
      </c>
      <c r="B795" t="inlineStr">
        <is>
          <t>Catalonia Fleece Throw Blanket for Couch, Super Soft Fuzzy Plush Blanket for Adults and Kids, All Seasons Home Decor Blanket, Machine Washable, 50"x60", Navy</t>
        </is>
      </c>
      <c r="C795" t="inlineStr">
        <is>
          <t>1CTBF575BL</t>
        </is>
      </c>
      <c r="D795" t="inlineStr">
        <is>
          <t>Throws</t>
        </is>
      </c>
      <c r="E795" t="inlineStr">
        <is>
          <t>Catalonia</t>
        </is>
      </c>
      <c r="F795" t="inlineStr">
        <is>
          <t>Q2-Target,WFS,Coupon_Discount,WFS Item</t>
        </is>
      </c>
      <c r="G795" s="48" t="n">
        <v>0</v>
      </c>
      <c r="H795" s="48" t="n">
        <v>0</v>
      </c>
      <c r="I795" s="48" t="n">
        <v>0</v>
      </c>
      <c r="J795" s="48" t="n">
        <v>0</v>
      </c>
      <c r="K795" s="49" t="n">
        <v>0</v>
      </c>
      <c r="L795" s="49" t="n">
        <v>0</v>
      </c>
      <c r="M795" s="49" t="n">
        <v>0</v>
      </c>
      <c r="N795" s="49" t="n">
        <v>0</v>
      </c>
      <c r="O795" s="49" t="n">
        <v>0</v>
      </c>
      <c r="P795" s="49" t="n">
        <v>0</v>
      </c>
      <c r="Q795" s="49" t="n">
        <v>0</v>
      </c>
      <c r="R795" s="49" t="n">
        <v>0</v>
      </c>
      <c r="S795" s="50" t="n">
        <v>0</v>
      </c>
      <c r="T795" s="50" t="n">
        <v>0</v>
      </c>
      <c r="U795" s="50" t="n">
        <v>0</v>
      </c>
      <c r="V795" s="50" t="n">
        <v>0</v>
      </c>
      <c r="W795" s="51" t="n">
        <v>0</v>
      </c>
      <c r="X795" s="51" t="n">
        <v>0</v>
      </c>
      <c r="Y795" s="51" t="n">
        <v>0</v>
      </c>
      <c r="Z795" s="51" t="n">
        <v>0</v>
      </c>
      <c r="AA795" s="52" t="n">
        <v>0</v>
      </c>
      <c r="AB795" s="52" t="n">
        <v>0</v>
      </c>
      <c r="AC795" s="52" t="n">
        <v>0</v>
      </c>
      <c r="AD795" s="52" t="n">
        <v>0</v>
      </c>
      <c r="AE795" s="52" t="n">
        <v>0</v>
      </c>
      <c r="AF795" s="52" t="n">
        <v>0</v>
      </c>
      <c r="AG795" s="52" t="n">
        <v>0</v>
      </c>
      <c r="AH795" s="52" t="n">
        <v>0</v>
      </c>
      <c r="AI795" s="52" t="n">
        <v>0</v>
      </c>
      <c r="AJ795" s="52" t="n">
        <v>0</v>
      </c>
      <c r="AK795" s="52" t="n">
        <v>0</v>
      </c>
      <c r="AL795" s="52" t="n">
        <v>0</v>
      </c>
      <c r="AM795" s="53" t="n">
        <v>0</v>
      </c>
      <c r="AN795" s="53" t="n">
        <v>0</v>
      </c>
      <c r="AO795" s="53" t="n">
        <v>0</v>
      </c>
      <c r="AP795" s="53" t="n">
        <v>0</v>
      </c>
      <c r="AQ795" s="52" t="n">
        <v>0</v>
      </c>
      <c r="AR795" s="52" t="n">
        <v>0</v>
      </c>
      <c r="AS795" s="52" t="n">
        <v>0</v>
      </c>
      <c r="AT795" s="52" t="n">
        <v>0</v>
      </c>
      <c r="AU795" s="53" t="n">
        <v>0</v>
      </c>
      <c r="AV795" s="53" t="n">
        <v>0</v>
      </c>
      <c r="AW795" s="53" t="n">
        <v>0</v>
      </c>
      <c r="AX795" s="53" t="n">
        <v>0</v>
      </c>
      <c r="AY795" s="52" t="n">
        <v>0</v>
      </c>
      <c r="AZ795" s="52" t="n">
        <v>0</v>
      </c>
      <c r="BA795" s="52" t="n">
        <v>0</v>
      </c>
      <c r="BB795" s="52" t="n">
        <v>0</v>
      </c>
      <c r="BC795" s="51" t="n">
        <v>0</v>
      </c>
      <c r="BD795" s="51" t="n">
        <v>0</v>
      </c>
      <c r="BE795" s="51" t="n">
        <v>0</v>
      </c>
      <c r="BF795" s="51" t="n">
        <v>0</v>
      </c>
    </row>
    <row r="796">
      <c r="A796">
        <f>HYPERLINK("https://www.walmart.com/ip/842306008", "842306008")</f>
        <v/>
      </c>
      <c r="B796" t="inlineStr">
        <is>
          <t>Catalonia Waterproof Fleece Blanket, Liquid Pee Proof Outdoor Blanket for Bed Couch Sofa, Protector Cover for Baby, Cozy Sherpa Lining Throws and Blankets for Camping and Boating, Camel/Taupe, 80'' x 60''</t>
        </is>
      </c>
      <c r="C796" t="inlineStr">
        <is>
          <t>1CTBW681TPTP</t>
        </is>
      </c>
      <c r="D796" t="inlineStr">
        <is>
          <t>Throws</t>
        </is>
      </c>
      <c r="E796" t="inlineStr">
        <is>
          <t>Catalonia</t>
        </is>
      </c>
      <c r="F796" t="inlineStr">
        <is>
          <t>Optimized,Wproof Blanket</t>
        </is>
      </c>
      <c r="G796" s="48" t="n">
        <v>0</v>
      </c>
      <c r="H796" s="48" t="n">
        <v>0</v>
      </c>
      <c r="I796" s="48" t="n">
        <v>0</v>
      </c>
      <c r="J796" s="48" t="n">
        <v>0</v>
      </c>
      <c r="K796" s="49" t="n">
        <v>0</v>
      </c>
      <c r="L796" s="49" t="n">
        <v>0</v>
      </c>
      <c r="M796" s="49" t="n">
        <v>0</v>
      </c>
      <c r="N796" s="49" t="n">
        <v>0</v>
      </c>
      <c r="O796" s="49" t="n">
        <v>0</v>
      </c>
      <c r="P796" s="49" t="n">
        <v>0</v>
      </c>
      <c r="Q796" s="49" t="n">
        <v>0</v>
      </c>
      <c r="R796" s="49" t="n">
        <v>0</v>
      </c>
      <c r="S796" s="50" t="n">
        <v>0</v>
      </c>
      <c r="T796" s="50" t="n">
        <v>0</v>
      </c>
      <c r="U796" s="50" t="n">
        <v>0</v>
      </c>
      <c r="V796" s="50" t="n">
        <v>0</v>
      </c>
      <c r="W796" s="51" t="n">
        <v>0</v>
      </c>
      <c r="X796" s="51" t="n">
        <v>1</v>
      </c>
      <c r="Y796" s="51" t="n">
        <v>1</v>
      </c>
      <c r="Z796" s="51" t="n">
        <v>1</v>
      </c>
      <c r="AA796" s="52" t="n">
        <v>0</v>
      </c>
      <c r="AB796" s="52" t="n">
        <v>0.41</v>
      </c>
      <c r="AC796" s="52" t="n">
        <v>0.45</v>
      </c>
      <c r="AD796" s="52" t="n">
        <v>0.41</v>
      </c>
      <c r="AE796" s="52" t="n">
        <v>0</v>
      </c>
      <c r="AF796" s="52" t="n">
        <v>0</v>
      </c>
      <c r="AG796" s="52" t="n">
        <v>0</v>
      </c>
      <c r="AH796" s="52" t="n">
        <v>0</v>
      </c>
      <c r="AI796" s="52" t="n">
        <v>0</v>
      </c>
      <c r="AJ796" s="52" t="n">
        <v>0</v>
      </c>
      <c r="AK796" s="52" t="n">
        <v>0</v>
      </c>
      <c r="AL796" s="52" t="n">
        <v>0</v>
      </c>
      <c r="AM796" s="53" t="n">
        <v>0</v>
      </c>
      <c r="AN796" s="53" t="n">
        <v>0.0012</v>
      </c>
      <c r="AO796" s="53" t="n">
        <v>0.0012</v>
      </c>
      <c r="AP796" s="53" t="n">
        <v>0.0011</v>
      </c>
      <c r="AQ796" s="52" t="n">
        <v>0</v>
      </c>
      <c r="AR796" s="52" t="n">
        <v>0.41</v>
      </c>
      <c r="AS796" s="52" t="n">
        <v>0.45</v>
      </c>
      <c r="AT796" s="52" t="n">
        <v>0.41</v>
      </c>
      <c r="AU796" s="53" t="n">
        <v>0</v>
      </c>
      <c r="AV796" s="53" t="n">
        <v>0</v>
      </c>
      <c r="AW796" s="53" t="n">
        <v>0</v>
      </c>
      <c r="AX796" s="53" t="n">
        <v>0</v>
      </c>
      <c r="AY796" s="52" t="n">
        <v>0</v>
      </c>
      <c r="AZ796" s="52" t="n">
        <v>0</v>
      </c>
      <c r="BA796" s="52" t="n">
        <v>0</v>
      </c>
      <c r="BB796" s="52" t="n">
        <v>0</v>
      </c>
      <c r="BC796" s="51" t="n">
        <v>874</v>
      </c>
      <c r="BD796" s="51" t="n">
        <v>829</v>
      </c>
      <c r="BE796" s="51" t="n">
        <v>840</v>
      </c>
      <c r="BF796" s="51" t="n">
        <v>892</v>
      </c>
    </row>
    <row r="797">
      <c r="A797">
        <f>HYPERLINK("https://www.walmart.com/ip/833037681", "833037681")</f>
        <v/>
      </c>
      <c r="B797" t="inlineStr">
        <is>
          <t>Deluxe Pet Carrier Backpack for Small Cats and Dogs |Two-Sided Entry Airline-Approved, Padded Back Support Travel Carrier for Hiking, Walking, Cycling &amp; Outdoor</t>
        </is>
      </c>
      <c r="C797" t="inlineStr">
        <is>
          <t>1TRPB200CH</t>
        </is>
      </c>
      <c r="D797" t="inlineStr">
        <is>
          <t>Pet Carriers</t>
        </is>
      </c>
      <c r="E797" t="inlineStr">
        <is>
          <t>Kato</t>
        </is>
      </c>
      <c r="F797" t="inlineStr">
        <is>
          <t>Optimized</t>
        </is>
      </c>
      <c r="G797" s="48" t="n">
        <v>0</v>
      </c>
      <c r="H797" s="48" t="n">
        <v>0</v>
      </c>
      <c r="I797" s="48" t="n">
        <v>0</v>
      </c>
      <c r="J797" s="48" t="n">
        <v>0</v>
      </c>
      <c r="K797" s="49" t="n">
        <v>0</v>
      </c>
      <c r="L797" s="49" t="n">
        <v>0</v>
      </c>
      <c r="M797" s="49" t="n">
        <v>0</v>
      </c>
      <c r="N797" s="49" t="n">
        <v>0</v>
      </c>
      <c r="O797" s="49" t="n">
        <v>0</v>
      </c>
      <c r="P797" s="49" t="n">
        <v>0</v>
      </c>
      <c r="Q797" s="49" t="n">
        <v>0</v>
      </c>
      <c r="R797" s="49" t="n">
        <v>0</v>
      </c>
      <c r="S797" s="50" t="n">
        <v>0</v>
      </c>
      <c r="T797" s="50" t="n">
        <v>0</v>
      </c>
      <c r="U797" s="50" t="n">
        <v>0</v>
      </c>
      <c r="V797" s="50" t="n">
        <v>0</v>
      </c>
      <c r="W797" s="51" t="n">
        <v>0</v>
      </c>
      <c r="X797" s="51" t="n">
        <v>0</v>
      </c>
      <c r="Y797" s="51" t="n">
        <v>0</v>
      </c>
      <c r="Z797" s="51" t="n">
        <v>0</v>
      </c>
      <c r="AA797" s="52" t="n">
        <v>0</v>
      </c>
      <c r="AB797" s="52" t="n">
        <v>0</v>
      </c>
      <c r="AC797" s="52" t="n">
        <v>0</v>
      </c>
      <c r="AD797" s="52" t="n">
        <v>0</v>
      </c>
      <c r="AE797" s="52" t="n">
        <v>0</v>
      </c>
      <c r="AF797" s="52" t="n">
        <v>0</v>
      </c>
      <c r="AG797" s="52" t="n">
        <v>0</v>
      </c>
      <c r="AH797" s="52" t="n">
        <v>0</v>
      </c>
      <c r="AI797" s="52" t="n">
        <v>0</v>
      </c>
      <c r="AJ797" s="52" t="n">
        <v>0</v>
      </c>
      <c r="AK797" s="52" t="n">
        <v>0</v>
      </c>
      <c r="AL797" s="52" t="n">
        <v>0</v>
      </c>
      <c r="AM797" s="53" t="n">
        <v>0</v>
      </c>
      <c r="AN797" s="53" t="n">
        <v>0</v>
      </c>
      <c r="AO797" s="53" t="n">
        <v>0</v>
      </c>
      <c r="AP797" s="53" t="n">
        <v>0</v>
      </c>
      <c r="AQ797" s="52" t="n">
        <v>0</v>
      </c>
      <c r="AR797" s="52" t="n">
        <v>0</v>
      </c>
      <c r="AS797" s="52" t="n">
        <v>0</v>
      </c>
      <c r="AT797" s="52" t="n">
        <v>0</v>
      </c>
      <c r="AU797" s="53" t="n">
        <v>0</v>
      </c>
      <c r="AV797" s="53" t="n">
        <v>0</v>
      </c>
      <c r="AW797" s="53" t="n">
        <v>0</v>
      </c>
      <c r="AX797" s="53" t="n">
        <v>0</v>
      </c>
      <c r="AY797" s="52" t="n">
        <v>0</v>
      </c>
      <c r="AZ797" s="52" t="n">
        <v>0</v>
      </c>
      <c r="BA797" s="52" t="n">
        <v>0</v>
      </c>
      <c r="BB797" s="52" t="n">
        <v>0</v>
      </c>
      <c r="BC797" s="51" t="n">
        <v>0</v>
      </c>
      <c r="BD797" s="51" t="n">
        <v>0</v>
      </c>
      <c r="BE797" s="51" t="n">
        <v>0</v>
      </c>
      <c r="BF797" s="51" t="n">
        <v>0</v>
      </c>
    </row>
    <row r="798">
      <c r="A798">
        <f>HYPERLINK("https://www.walmart.com/ip/833706386", "833706386")</f>
        <v/>
      </c>
      <c r="B798" t="inlineStr">
        <is>
          <t>Tirrinia Sherpa Fleece Throw Blanket, Super Soft, Warm, Comfy Plush Fleece Throw Blankets and Throws for Bed, Couch or Cabin, Beige Buffalo Plaid, 50" x 60"</t>
        </is>
      </c>
      <c r="C798" t="inlineStr">
        <is>
          <t>1TRBF569PBG-TBCB</t>
        </is>
      </c>
      <c r="D798" t="inlineStr">
        <is>
          <t>Throws</t>
        </is>
      </c>
      <c r="E798" t="inlineStr">
        <is>
          <t>Tirrinia</t>
        </is>
      </c>
      <c r="F798" t="inlineStr">
        <is>
          <t>Q2-Target,Optimized,Coupon_Discount</t>
        </is>
      </c>
      <c r="G798" s="48" t="n">
        <v>0</v>
      </c>
      <c r="H798" s="48" t="n">
        <v>0</v>
      </c>
      <c r="I798" s="48" t="n">
        <v>0</v>
      </c>
      <c r="J798" s="48" t="n">
        <v>0</v>
      </c>
      <c r="K798" s="49" t="n">
        <v>0</v>
      </c>
      <c r="L798" s="49" t="n">
        <v>0</v>
      </c>
      <c r="M798" s="49" t="n">
        <v>0</v>
      </c>
      <c r="N798" s="49" t="n">
        <v>0</v>
      </c>
      <c r="O798" s="49" t="n">
        <v>0</v>
      </c>
      <c r="P798" s="49" t="n">
        <v>0</v>
      </c>
      <c r="Q798" s="49" t="n">
        <v>0</v>
      </c>
      <c r="R798" s="49" t="n">
        <v>0</v>
      </c>
      <c r="S798" s="50" t="n">
        <v>0</v>
      </c>
      <c r="T798" s="50" t="n">
        <v>0</v>
      </c>
      <c r="U798" s="50" t="n">
        <v>0</v>
      </c>
      <c r="V798" s="50" t="n">
        <v>0</v>
      </c>
      <c r="W798" s="51" t="n">
        <v>0</v>
      </c>
      <c r="X798" s="51" t="n">
        <v>0</v>
      </c>
      <c r="Y798" s="51" t="n">
        <v>0</v>
      </c>
      <c r="Z798" s="51" t="n">
        <v>0</v>
      </c>
      <c r="AA798" s="52" t="n">
        <v>0</v>
      </c>
      <c r="AB798" s="52" t="n">
        <v>0</v>
      </c>
      <c r="AC798" s="52" t="n">
        <v>0</v>
      </c>
      <c r="AD798" s="52" t="n">
        <v>0</v>
      </c>
      <c r="AE798" s="52" t="n">
        <v>0</v>
      </c>
      <c r="AF798" s="52" t="n">
        <v>0</v>
      </c>
      <c r="AG798" s="52" t="n">
        <v>0</v>
      </c>
      <c r="AH798" s="52" t="n">
        <v>0</v>
      </c>
      <c r="AI798" s="52" t="n">
        <v>0</v>
      </c>
      <c r="AJ798" s="52" t="n">
        <v>0</v>
      </c>
      <c r="AK798" s="52" t="n">
        <v>0</v>
      </c>
      <c r="AL798" s="52" t="n">
        <v>0</v>
      </c>
      <c r="AM798" s="53" t="n">
        <v>0</v>
      </c>
      <c r="AN798" s="53" t="n">
        <v>0</v>
      </c>
      <c r="AO798" s="53" t="n">
        <v>0</v>
      </c>
      <c r="AP798" s="53" t="n">
        <v>0</v>
      </c>
      <c r="AQ798" s="52" t="n">
        <v>0</v>
      </c>
      <c r="AR798" s="52" t="n">
        <v>0</v>
      </c>
      <c r="AS798" s="52" t="n">
        <v>0</v>
      </c>
      <c r="AT798" s="52" t="n">
        <v>0</v>
      </c>
      <c r="AU798" s="53" t="n">
        <v>0</v>
      </c>
      <c r="AV798" s="53" t="n">
        <v>0</v>
      </c>
      <c r="AW798" s="53" t="n">
        <v>0</v>
      </c>
      <c r="AX798" s="53" t="n">
        <v>0</v>
      </c>
      <c r="AY798" s="52" t="n">
        <v>0</v>
      </c>
      <c r="AZ798" s="52" t="n">
        <v>0</v>
      </c>
      <c r="BA798" s="52" t="n">
        <v>0</v>
      </c>
      <c r="BB798" s="52" t="n">
        <v>0</v>
      </c>
      <c r="BC798" s="51" t="n">
        <v>0</v>
      </c>
      <c r="BD798" s="51" t="n">
        <v>0</v>
      </c>
      <c r="BE798" s="51" t="n">
        <v>0</v>
      </c>
      <c r="BF798" s="51" t="n">
        <v>0</v>
      </c>
    </row>
    <row r="799">
      <c r="A799">
        <f>HYPERLINK("https://www.walmart.com/ip/834217535", "834217535")</f>
        <v/>
      </c>
      <c r="B799" t="inlineStr">
        <is>
          <t>Catalonia Penguin Tails Blanket, Super Soft Plush Kids Sleeping Blanket Bag for Children Teens Boys Girls,Gift Idea</t>
        </is>
      </c>
      <c r="C799" t="inlineStr">
        <is>
          <t>1CTMM200PG</t>
        </is>
      </c>
      <c r="D799" t="inlineStr">
        <is>
          <t>Throws</t>
        </is>
      </c>
      <c r="E799" t="inlineStr">
        <is>
          <t>Catalonia</t>
        </is>
      </c>
      <c r="F799" t="inlineStr">
        <is>
          <t>Baby days,WFS,WFS Item</t>
        </is>
      </c>
      <c r="G799" s="48" t="n">
        <v>0</v>
      </c>
      <c r="H799" s="48" t="n">
        <v>0</v>
      </c>
      <c r="I799" s="48" t="n">
        <v>0</v>
      </c>
      <c r="J799" s="48" t="n">
        <v>0</v>
      </c>
      <c r="K799" s="49" t="n">
        <v>0</v>
      </c>
      <c r="L799" s="49" t="n">
        <v>0</v>
      </c>
      <c r="M799" s="49" t="n">
        <v>0</v>
      </c>
      <c r="N799" s="49" t="n">
        <v>0</v>
      </c>
      <c r="O799" s="49" t="n">
        <v>0</v>
      </c>
      <c r="P799" s="49" t="n">
        <v>0</v>
      </c>
      <c r="Q799" s="49" t="n">
        <v>0</v>
      </c>
      <c r="R799" s="49" t="n">
        <v>0</v>
      </c>
      <c r="S799" s="50" t="n">
        <v>0</v>
      </c>
      <c r="T799" s="50" t="n">
        <v>0</v>
      </c>
      <c r="U799" s="50" t="n">
        <v>0</v>
      </c>
      <c r="V799" s="50" t="n">
        <v>0</v>
      </c>
      <c r="W799" s="51" t="n">
        <v>0</v>
      </c>
      <c r="X799" s="51" t="n">
        <v>0</v>
      </c>
      <c r="Y799" s="51" t="n">
        <v>0</v>
      </c>
      <c r="Z799" s="51" t="n">
        <v>0</v>
      </c>
      <c r="AA799" s="52" t="n">
        <v>0</v>
      </c>
      <c r="AB799" s="52" t="n">
        <v>0</v>
      </c>
      <c r="AC799" s="52" t="n">
        <v>0</v>
      </c>
      <c r="AD799" s="52" t="n">
        <v>0</v>
      </c>
      <c r="AE799" s="52" t="n">
        <v>0</v>
      </c>
      <c r="AF799" s="52" t="n">
        <v>0</v>
      </c>
      <c r="AG799" s="52" t="n">
        <v>0</v>
      </c>
      <c r="AH799" s="52" t="n">
        <v>0</v>
      </c>
      <c r="AI799" s="52" t="n">
        <v>0</v>
      </c>
      <c r="AJ799" s="52" t="n">
        <v>0</v>
      </c>
      <c r="AK799" s="52" t="n">
        <v>0</v>
      </c>
      <c r="AL799" s="52" t="n">
        <v>0</v>
      </c>
      <c r="AM799" s="53" t="n">
        <v>0</v>
      </c>
      <c r="AN799" s="53" t="n">
        <v>0</v>
      </c>
      <c r="AO799" s="53" t="n">
        <v>0</v>
      </c>
      <c r="AP799" s="53" t="n">
        <v>0</v>
      </c>
      <c r="AQ799" s="52" t="n">
        <v>0</v>
      </c>
      <c r="AR799" s="52" t="n">
        <v>0</v>
      </c>
      <c r="AS799" s="52" t="n">
        <v>0</v>
      </c>
      <c r="AT799" s="52" t="n">
        <v>0</v>
      </c>
      <c r="AU799" s="53" t="n">
        <v>0</v>
      </c>
      <c r="AV799" s="53" t="n">
        <v>0</v>
      </c>
      <c r="AW799" s="53" t="n">
        <v>0</v>
      </c>
      <c r="AX799" s="53" t="n">
        <v>0</v>
      </c>
      <c r="AY799" s="52" t="n">
        <v>0</v>
      </c>
      <c r="AZ799" s="52" t="n">
        <v>0</v>
      </c>
      <c r="BA799" s="52" t="n">
        <v>0</v>
      </c>
      <c r="BB799" s="52" t="n">
        <v>0</v>
      </c>
      <c r="BC799" s="51" t="n">
        <v>0</v>
      </c>
      <c r="BD799" s="51" t="n">
        <v>0</v>
      </c>
      <c r="BE799" s="51" t="n">
        <v>0</v>
      </c>
      <c r="BF799" s="51" t="n">
        <v>0</v>
      </c>
    </row>
    <row r="800">
      <c r="A800">
        <f>HYPERLINK("https://www.walmart.com/ip/835718183", "835718183")</f>
        <v/>
      </c>
      <c r="B800" t="inlineStr">
        <is>
          <t>Buffalo Plaid Sherpa Throw TV Blanket 50" x 60" Super Soft Reversible Fleece Blanket for Cabin Bed or Couch | Catalonia series by Terrania | Cabin Plaid Blue and Black Check</t>
        </is>
      </c>
      <c r="C800" t="inlineStr">
        <is>
          <t>1TRBF300PBL-TBCB</t>
        </is>
      </c>
      <c r="D800" t="inlineStr">
        <is>
          <t>Throws</t>
        </is>
      </c>
      <c r="E800" t="inlineStr">
        <is>
          <t>Tirrinia</t>
        </is>
      </c>
      <c r="F800" t="inlineStr">
        <is>
          <t>WFS,Coupon_Discount,WFS Item,Fleece Blankets</t>
        </is>
      </c>
      <c r="G800" s="48" t="n">
        <v>0</v>
      </c>
      <c r="H800" s="48" t="n">
        <v>0</v>
      </c>
      <c r="I800" s="48" t="n">
        <v>0</v>
      </c>
      <c r="J800" s="48" t="n">
        <v>0</v>
      </c>
      <c r="K800" s="49" t="n">
        <v>0</v>
      </c>
      <c r="L800" s="49" t="n">
        <v>0</v>
      </c>
      <c r="M800" s="49" t="n">
        <v>0</v>
      </c>
      <c r="N800" s="49" t="n">
        <v>0</v>
      </c>
      <c r="O800" s="49" t="n">
        <v>0</v>
      </c>
      <c r="P800" s="49" t="n">
        <v>0</v>
      </c>
      <c r="Q800" s="49" t="n">
        <v>0</v>
      </c>
      <c r="R800" s="49" t="n">
        <v>0</v>
      </c>
      <c r="S800" s="50" t="n">
        <v>0</v>
      </c>
      <c r="T800" s="50" t="n">
        <v>0</v>
      </c>
      <c r="U800" s="50" t="n">
        <v>0</v>
      </c>
      <c r="V800" s="50" t="n">
        <v>0</v>
      </c>
      <c r="W800" s="51" t="n">
        <v>0</v>
      </c>
      <c r="X800" s="51" t="n">
        <v>0</v>
      </c>
      <c r="Y800" s="51" t="n">
        <v>0</v>
      </c>
      <c r="Z800" s="51" t="n">
        <v>0</v>
      </c>
      <c r="AA800" s="52" t="n">
        <v>0</v>
      </c>
      <c r="AB800" s="52" t="n">
        <v>0</v>
      </c>
      <c r="AC800" s="52" t="n">
        <v>0</v>
      </c>
      <c r="AD800" s="52" t="n">
        <v>0</v>
      </c>
      <c r="AE800" s="52" t="n">
        <v>0</v>
      </c>
      <c r="AF800" s="52" t="n">
        <v>0</v>
      </c>
      <c r="AG800" s="52" t="n">
        <v>0</v>
      </c>
      <c r="AH800" s="52" t="n">
        <v>0</v>
      </c>
      <c r="AI800" s="52" t="n">
        <v>0</v>
      </c>
      <c r="AJ800" s="52" t="n">
        <v>0</v>
      </c>
      <c r="AK800" s="52" t="n">
        <v>0</v>
      </c>
      <c r="AL800" s="52" t="n">
        <v>0</v>
      </c>
      <c r="AM800" s="53" t="n">
        <v>0</v>
      </c>
      <c r="AN800" s="53" t="n">
        <v>0</v>
      </c>
      <c r="AO800" s="53" t="n">
        <v>0</v>
      </c>
      <c r="AP800" s="53" t="n">
        <v>0</v>
      </c>
      <c r="AQ800" s="52" t="n">
        <v>0</v>
      </c>
      <c r="AR800" s="52" t="n">
        <v>0</v>
      </c>
      <c r="AS800" s="52" t="n">
        <v>0</v>
      </c>
      <c r="AT800" s="52" t="n">
        <v>0</v>
      </c>
      <c r="AU800" s="53" t="n">
        <v>0</v>
      </c>
      <c r="AV800" s="53" t="n">
        <v>0</v>
      </c>
      <c r="AW800" s="53" t="n">
        <v>0</v>
      </c>
      <c r="AX800" s="53" t="n">
        <v>0</v>
      </c>
      <c r="AY800" s="52" t="n">
        <v>0</v>
      </c>
      <c r="AZ800" s="52" t="n">
        <v>0</v>
      </c>
      <c r="BA800" s="52" t="n">
        <v>0</v>
      </c>
      <c r="BB800" s="52" t="n">
        <v>0</v>
      </c>
      <c r="BC800" s="51" t="n">
        <v>0</v>
      </c>
      <c r="BD800" s="51" t="n">
        <v>0</v>
      </c>
      <c r="BE800" s="51" t="n">
        <v>0</v>
      </c>
      <c r="BF800" s="51" t="n">
        <v>0</v>
      </c>
    </row>
    <row r="801">
      <c r="A801">
        <f>HYPERLINK("https://www.walmart.com/ip/835948822", "835948822")</f>
        <v/>
      </c>
      <c r="B801" t="inlineStr">
        <is>
          <t>Tirrinia Bucket Hats for Women | UPF 50+ Sun Protection Cap for Garden, Beach, Travel and Outdoor</t>
        </is>
      </c>
      <c r="C801" t="inlineStr">
        <is>
          <t>1TRSH9200GR-TBGM</t>
        </is>
      </c>
      <c r="D801" t="inlineStr">
        <is>
          <t>Hats</t>
        </is>
      </c>
      <c r="E801" t="inlineStr">
        <is>
          <t>Tirrinia</t>
        </is>
      </c>
      <c r="F801" t="inlineStr">
        <is>
          <t>Optimized</t>
        </is>
      </c>
      <c r="G801" s="48" t="n">
        <v>0</v>
      </c>
      <c r="H801" s="48" t="n">
        <v>0</v>
      </c>
      <c r="I801" s="48" t="n">
        <v>0</v>
      </c>
      <c r="J801" s="48" t="n">
        <v>0</v>
      </c>
      <c r="K801" s="49" t="n">
        <v>0</v>
      </c>
      <c r="L801" s="49" t="n">
        <v>0</v>
      </c>
      <c r="M801" s="49" t="n">
        <v>0</v>
      </c>
      <c r="N801" s="49" t="n">
        <v>0</v>
      </c>
      <c r="O801" s="49" t="n">
        <v>0</v>
      </c>
      <c r="P801" s="49" t="n">
        <v>0</v>
      </c>
      <c r="Q801" s="49" t="n">
        <v>0</v>
      </c>
      <c r="R801" s="49" t="n">
        <v>0</v>
      </c>
      <c r="S801" s="50" t="n">
        <v>0</v>
      </c>
      <c r="T801" s="50" t="n">
        <v>0</v>
      </c>
      <c r="U801" s="50" t="n">
        <v>0</v>
      </c>
      <c r="V801" s="50" t="n">
        <v>0</v>
      </c>
      <c r="W801" s="51" t="n">
        <v>0</v>
      </c>
      <c r="X801" s="51" t="n">
        <v>0</v>
      </c>
      <c r="Y801" s="51" t="n">
        <v>0</v>
      </c>
      <c r="Z801" s="51" t="n">
        <v>0</v>
      </c>
      <c r="AA801" s="52" t="n">
        <v>0</v>
      </c>
      <c r="AB801" s="52" t="n">
        <v>0</v>
      </c>
      <c r="AC801" s="52" t="n">
        <v>0</v>
      </c>
      <c r="AD801" s="52" t="n">
        <v>0</v>
      </c>
      <c r="AE801" s="52" t="n">
        <v>0</v>
      </c>
      <c r="AF801" s="52" t="n">
        <v>0</v>
      </c>
      <c r="AG801" s="52" t="n">
        <v>0</v>
      </c>
      <c r="AH801" s="52" t="n">
        <v>0</v>
      </c>
      <c r="AI801" s="52" t="n">
        <v>0</v>
      </c>
      <c r="AJ801" s="52" t="n">
        <v>0</v>
      </c>
      <c r="AK801" s="52" t="n">
        <v>0</v>
      </c>
      <c r="AL801" s="52" t="n">
        <v>0</v>
      </c>
      <c r="AM801" s="53" t="n">
        <v>0</v>
      </c>
      <c r="AN801" s="53" t="n">
        <v>0</v>
      </c>
      <c r="AO801" s="53" t="n">
        <v>0</v>
      </c>
      <c r="AP801" s="53" t="n">
        <v>0</v>
      </c>
      <c r="AQ801" s="52" t="n">
        <v>0</v>
      </c>
      <c r="AR801" s="52" t="n">
        <v>0</v>
      </c>
      <c r="AS801" s="52" t="n">
        <v>0</v>
      </c>
      <c r="AT801" s="52" t="n">
        <v>0</v>
      </c>
      <c r="AU801" s="53" t="n">
        <v>0</v>
      </c>
      <c r="AV801" s="53" t="n">
        <v>0</v>
      </c>
      <c r="AW801" s="53" t="n">
        <v>0</v>
      </c>
      <c r="AX801" s="53" t="n">
        <v>0</v>
      </c>
      <c r="AY801" s="52" t="n">
        <v>0</v>
      </c>
      <c r="AZ801" s="52" t="n">
        <v>0</v>
      </c>
      <c r="BA801" s="52" t="n">
        <v>0</v>
      </c>
      <c r="BB801" s="52" t="n">
        <v>0</v>
      </c>
      <c r="BC801" s="51" t="n">
        <v>0</v>
      </c>
      <c r="BD801" s="51" t="n">
        <v>0</v>
      </c>
      <c r="BE801" s="51" t="n">
        <v>0</v>
      </c>
      <c r="BF801" s="51" t="n">
        <v>0</v>
      </c>
    </row>
    <row r="802">
      <c r="A802">
        <f>HYPERLINK("https://www.walmart.com/ip/836552292", "836552292")</f>
        <v/>
      </c>
      <c r="B802" t="inlineStr">
        <is>
          <t>Catalonia Fleece Throw Blanket for Couch, Super Soft Fuzzy Plush Blanket for Adults and Kids, All Seasons Home Decor Blanket, Machine Washable, 50"x60", Beige</t>
        </is>
      </c>
      <c r="C802" t="inlineStr">
        <is>
          <t>1CTBF575BG</t>
        </is>
      </c>
      <c r="D802" t="inlineStr">
        <is>
          <t>Throws</t>
        </is>
      </c>
      <c r="E802" t="inlineStr">
        <is>
          <t>Catalonia</t>
        </is>
      </c>
      <c r="F802" t="inlineStr">
        <is>
          <t>Q2-Target,WFS,Coupon_Discount,WFS Item</t>
        </is>
      </c>
      <c r="G802" s="48" t="n">
        <v>0</v>
      </c>
      <c r="H802" s="48" t="n">
        <v>0</v>
      </c>
      <c r="I802" s="48" t="n">
        <v>0</v>
      </c>
      <c r="J802" s="48" t="n">
        <v>0</v>
      </c>
      <c r="K802" s="49" t="n">
        <v>0</v>
      </c>
      <c r="L802" s="49" t="n">
        <v>0</v>
      </c>
      <c r="M802" s="49" t="n">
        <v>0</v>
      </c>
      <c r="N802" s="49" t="n">
        <v>0</v>
      </c>
      <c r="O802" s="49" t="n">
        <v>0</v>
      </c>
      <c r="P802" s="49" t="n">
        <v>0</v>
      </c>
      <c r="Q802" s="49" t="n">
        <v>0</v>
      </c>
      <c r="R802" s="49" t="n">
        <v>0</v>
      </c>
      <c r="S802" s="50" t="n">
        <v>0</v>
      </c>
      <c r="T802" s="50" t="n">
        <v>0</v>
      </c>
      <c r="U802" s="50" t="n">
        <v>0</v>
      </c>
      <c r="V802" s="50" t="n">
        <v>0</v>
      </c>
      <c r="W802" s="51" t="n">
        <v>0</v>
      </c>
      <c r="X802" s="51" t="n">
        <v>0</v>
      </c>
      <c r="Y802" s="51" t="n">
        <v>0</v>
      </c>
      <c r="Z802" s="51" t="n">
        <v>0</v>
      </c>
      <c r="AA802" s="52" t="n">
        <v>0</v>
      </c>
      <c r="AB802" s="52" t="n">
        <v>0</v>
      </c>
      <c r="AC802" s="52" t="n">
        <v>0</v>
      </c>
      <c r="AD802" s="52" t="n">
        <v>0</v>
      </c>
      <c r="AE802" s="52" t="n">
        <v>0</v>
      </c>
      <c r="AF802" s="52" t="n">
        <v>0</v>
      </c>
      <c r="AG802" s="52" t="n">
        <v>0</v>
      </c>
      <c r="AH802" s="52" t="n">
        <v>0</v>
      </c>
      <c r="AI802" s="52" t="n">
        <v>0</v>
      </c>
      <c r="AJ802" s="52" t="n">
        <v>0</v>
      </c>
      <c r="AK802" s="52" t="n">
        <v>0</v>
      </c>
      <c r="AL802" s="52" t="n">
        <v>0</v>
      </c>
      <c r="AM802" s="53" t="n">
        <v>0</v>
      </c>
      <c r="AN802" s="53" t="n">
        <v>0</v>
      </c>
      <c r="AO802" s="53" t="n">
        <v>0</v>
      </c>
      <c r="AP802" s="53" t="n">
        <v>0</v>
      </c>
      <c r="AQ802" s="52" t="n">
        <v>0</v>
      </c>
      <c r="AR802" s="52" t="n">
        <v>0</v>
      </c>
      <c r="AS802" s="52" t="n">
        <v>0</v>
      </c>
      <c r="AT802" s="52" t="n">
        <v>0</v>
      </c>
      <c r="AU802" s="53" t="n">
        <v>0</v>
      </c>
      <c r="AV802" s="53" t="n">
        <v>0</v>
      </c>
      <c r="AW802" s="53" t="n">
        <v>0</v>
      </c>
      <c r="AX802" s="53" t="n">
        <v>0</v>
      </c>
      <c r="AY802" s="52" t="n">
        <v>0</v>
      </c>
      <c r="AZ802" s="52" t="n">
        <v>0</v>
      </c>
      <c r="BA802" s="52" t="n">
        <v>0</v>
      </c>
      <c r="BB802" s="52" t="n">
        <v>0</v>
      </c>
      <c r="BC802" s="51" t="n">
        <v>0</v>
      </c>
      <c r="BD802" s="51" t="n">
        <v>0</v>
      </c>
      <c r="BE802" s="51" t="n">
        <v>0</v>
      </c>
      <c r="BF802" s="51" t="n">
        <v>0</v>
      </c>
    </row>
    <row r="803">
      <c r="A803">
        <f>HYPERLINK("https://www.walmart.com/ip/836818708", "836818708")</f>
        <v/>
      </c>
      <c r="B803" t="inlineStr">
        <is>
          <t>Tirrinia 6 Bottle Wine cooler bag - Insulated Padded Portable Versatile Wine Carrier Tote Bag for Travel, BYOB Restaurant, Wine Tasting, Party, Christmas Gift for Wine Lover, Grey</t>
        </is>
      </c>
      <c r="C803" t="inlineStr">
        <is>
          <t>1WMWB602GY</t>
        </is>
      </c>
      <c r="D803" t="inlineStr">
        <is>
          <t>Wine Totes, Bags &amp; Backpacks</t>
        </is>
      </c>
      <c r="E803" t="inlineStr">
        <is>
          <t>Flyingstar</t>
        </is>
      </c>
      <c r="F803" t="inlineStr">
        <is>
          <t>Wine,Christmas,Optimized,Wine WFS,Valentine,SEM</t>
        </is>
      </c>
      <c r="G803" s="48" t="n">
        <v>0</v>
      </c>
      <c r="H803" s="48" t="n">
        <v>20.99</v>
      </c>
      <c r="I803" s="48" t="n">
        <v>0</v>
      </c>
      <c r="J803" s="48" t="n">
        <v>0</v>
      </c>
      <c r="K803" s="49" t="n">
        <v>0</v>
      </c>
      <c r="L803" s="49" t="n">
        <v>1</v>
      </c>
      <c r="M803" s="49" t="n">
        <v>0</v>
      </c>
      <c r="N803" s="49" t="n">
        <v>0</v>
      </c>
      <c r="O803" s="49" t="n">
        <v>0</v>
      </c>
      <c r="P803" s="49" t="n">
        <v>0</v>
      </c>
      <c r="Q803" s="49" t="n">
        <v>0</v>
      </c>
      <c r="R803" s="49" t="n">
        <v>0</v>
      </c>
      <c r="S803" s="50" t="n">
        <v>0</v>
      </c>
      <c r="T803" s="50" t="n">
        <v>0</v>
      </c>
      <c r="U803" s="50" t="n">
        <v>0</v>
      </c>
      <c r="V803" s="50" t="n">
        <v>0</v>
      </c>
      <c r="W803" s="51" t="n">
        <v>0</v>
      </c>
      <c r="X803" s="51" t="n">
        <v>0</v>
      </c>
      <c r="Y803" s="51" t="n">
        <v>0</v>
      </c>
      <c r="Z803" s="51" t="n">
        <v>0</v>
      </c>
      <c r="AA803" s="52" t="n">
        <v>0</v>
      </c>
      <c r="AB803" s="52" t="n">
        <v>0</v>
      </c>
      <c r="AC803" s="52" t="n">
        <v>0</v>
      </c>
      <c r="AD803" s="52" t="n">
        <v>0</v>
      </c>
      <c r="AE803" s="52" t="n">
        <v>0</v>
      </c>
      <c r="AF803" s="52" t="n">
        <v>0</v>
      </c>
      <c r="AG803" s="52" t="n">
        <v>0</v>
      </c>
      <c r="AH803" s="52" t="n">
        <v>0</v>
      </c>
      <c r="AI803" s="52" t="n">
        <v>0</v>
      </c>
      <c r="AJ803" s="52" t="n">
        <v>0</v>
      </c>
      <c r="AK803" s="52" t="n">
        <v>0</v>
      </c>
      <c r="AL803" s="52" t="n">
        <v>0</v>
      </c>
      <c r="AM803" s="53" t="n">
        <v>0</v>
      </c>
      <c r="AN803" s="53" t="n">
        <v>0</v>
      </c>
      <c r="AO803" s="53" t="n">
        <v>0</v>
      </c>
      <c r="AP803" s="53" t="n">
        <v>0</v>
      </c>
      <c r="AQ803" s="52" t="n">
        <v>0</v>
      </c>
      <c r="AR803" s="52" t="n">
        <v>0</v>
      </c>
      <c r="AS803" s="52" t="n">
        <v>0</v>
      </c>
      <c r="AT803" s="52" t="n">
        <v>0</v>
      </c>
      <c r="AU803" s="53" t="n">
        <v>0</v>
      </c>
      <c r="AV803" s="53" t="n">
        <v>0</v>
      </c>
      <c r="AW803" s="53" t="n">
        <v>0</v>
      </c>
      <c r="AX803" s="53" t="n">
        <v>0</v>
      </c>
      <c r="AY803" s="52" t="n">
        <v>0</v>
      </c>
      <c r="AZ803" s="52" t="n">
        <v>20.99</v>
      </c>
      <c r="BA803" s="52" t="n">
        <v>0</v>
      </c>
      <c r="BB803" s="52" t="n">
        <v>0</v>
      </c>
      <c r="BC803" s="51" t="n">
        <v>0</v>
      </c>
      <c r="BD803" s="51" t="n">
        <v>0</v>
      </c>
      <c r="BE803" s="51" t="n">
        <v>0</v>
      </c>
      <c r="BF803" s="51" t="n">
        <v>0</v>
      </c>
    </row>
    <row r="804">
      <c r="A804">
        <f>HYPERLINK("https://www.walmart.com/ip/836841405", "836841405")</f>
        <v/>
      </c>
      <c r="B804" t="inlineStr">
        <is>
          <t>Oversized Hoodie Blanket Sweatshirt Sherpa</t>
        </is>
      </c>
      <c r="C804" t="inlineStr">
        <is>
          <t>1CTHD201CAT-BK</t>
        </is>
      </c>
      <c r="D804" t="inlineStr">
        <is>
          <t>Sweatshirts &amp; Hoodies</t>
        </is>
      </c>
      <c r="E804" t="inlineStr">
        <is>
          <t>Catalonia</t>
        </is>
      </c>
      <c r="F804" t="inlineStr">
        <is>
          <t>Hoodie For Kids,WFS,Coupon_Discount,WFS Item</t>
        </is>
      </c>
      <c r="G804" s="48" t="n">
        <v>0</v>
      </c>
      <c r="H804" s="48" t="n">
        <v>0</v>
      </c>
      <c r="I804" s="48" t="n">
        <v>0</v>
      </c>
      <c r="J804" s="48" t="n">
        <v>0</v>
      </c>
      <c r="K804" s="49" t="n">
        <v>0</v>
      </c>
      <c r="L804" s="49" t="n">
        <v>0</v>
      </c>
      <c r="M804" s="49" t="n">
        <v>0</v>
      </c>
      <c r="N804" s="49" t="n">
        <v>0</v>
      </c>
      <c r="O804" s="49" t="n">
        <v>0</v>
      </c>
      <c r="P804" s="49" t="n">
        <v>0</v>
      </c>
      <c r="Q804" s="49" t="n">
        <v>0</v>
      </c>
      <c r="R804" s="49" t="n">
        <v>0</v>
      </c>
      <c r="S804" s="50" t="n">
        <v>0</v>
      </c>
      <c r="T804" s="50" t="n">
        <v>0</v>
      </c>
      <c r="U804" s="50" t="n">
        <v>0</v>
      </c>
      <c r="V804" s="50" t="n">
        <v>0</v>
      </c>
      <c r="W804" s="51" t="n">
        <v>0</v>
      </c>
      <c r="X804" s="51" t="n">
        <v>0</v>
      </c>
      <c r="Y804" s="51" t="n">
        <v>0</v>
      </c>
      <c r="Z804" s="51" t="n">
        <v>0</v>
      </c>
      <c r="AA804" s="52" t="n">
        <v>0</v>
      </c>
      <c r="AB804" s="52" t="n">
        <v>0</v>
      </c>
      <c r="AC804" s="52" t="n">
        <v>0</v>
      </c>
      <c r="AD804" s="52" t="n">
        <v>0</v>
      </c>
      <c r="AE804" s="52" t="n">
        <v>0</v>
      </c>
      <c r="AF804" s="52" t="n">
        <v>0</v>
      </c>
      <c r="AG804" s="52" t="n">
        <v>0</v>
      </c>
      <c r="AH804" s="52" t="n">
        <v>0</v>
      </c>
      <c r="AI804" s="52" t="n">
        <v>0</v>
      </c>
      <c r="AJ804" s="52" t="n">
        <v>0</v>
      </c>
      <c r="AK804" s="52" t="n">
        <v>0</v>
      </c>
      <c r="AL804" s="52" t="n">
        <v>0</v>
      </c>
      <c r="AM804" s="53" t="n">
        <v>0</v>
      </c>
      <c r="AN804" s="53" t="n">
        <v>0</v>
      </c>
      <c r="AO804" s="53" t="n">
        <v>0</v>
      </c>
      <c r="AP804" s="53" t="n">
        <v>0</v>
      </c>
      <c r="AQ804" s="52" t="n">
        <v>0</v>
      </c>
      <c r="AR804" s="52" t="n">
        <v>0</v>
      </c>
      <c r="AS804" s="52" t="n">
        <v>0</v>
      </c>
      <c r="AT804" s="52" t="n">
        <v>0</v>
      </c>
      <c r="AU804" s="53" t="n">
        <v>0</v>
      </c>
      <c r="AV804" s="53" t="n">
        <v>0</v>
      </c>
      <c r="AW804" s="53" t="n">
        <v>0</v>
      </c>
      <c r="AX804" s="53" t="n">
        <v>0</v>
      </c>
      <c r="AY804" s="52" t="n">
        <v>0</v>
      </c>
      <c r="AZ804" s="52" t="n">
        <v>0</v>
      </c>
      <c r="BA804" s="52" t="n">
        <v>0</v>
      </c>
      <c r="BB804" s="52" t="n">
        <v>0</v>
      </c>
      <c r="BC804" s="51" t="n">
        <v>0</v>
      </c>
      <c r="BD804" s="51" t="n">
        <v>0</v>
      </c>
      <c r="BE804" s="51" t="n">
        <v>0</v>
      </c>
      <c r="BF804" s="51" t="n">
        <v>0</v>
      </c>
    </row>
    <row r="805">
      <c r="A805">
        <f>HYPERLINK("https://www.walmart.com/ip/836878530", "836878530")</f>
        <v/>
      </c>
      <c r="B805" t="inlineStr">
        <is>
          <t>home comforts blanket Blanket with Sleeves, Super Soft Wearable TV Blanket Robe Fleece for Adults 73 x 51”| Cozy Warm, Lightweigh</t>
        </is>
      </c>
      <c r="C805" t="inlineStr">
        <is>
          <t>1TRSN100GN-TBCB</t>
        </is>
      </c>
      <c r="D805" t="inlineStr">
        <is>
          <t>Throws</t>
        </is>
      </c>
      <c r="E805" t="inlineStr">
        <is>
          <t>Tirrinia</t>
        </is>
      </c>
      <c r="F805" t="inlineStr">
        <is>
          <t>WFS Item,Fleece Blankets,ST Patrick Day</t>
        </is>
      </c>
      <c r="G805" s="48" t="n">
        <v>0</v>
      </c>
      <c r="H805" s="48" t="n">
        <v>0</v>
      </c>
      <c r="I805" s="48" t="n">
        <v>0</v>
      </c>
      <c r="J805" s="48" t="n">
        <v>0</v>
      </c>
      <c r="K805" s="49" t="n">
        <v>0</v>
      </c>
      <c r="L805" s="49" t="n">
        <v>0</v>
      </c>
      <c r="M805" s="49" t="n">
        <v>0</v>
      </c>
      <c r="N805" s="49" t="n">
        <v>0</v>
      </c>
      <c r="O805" s="49" t="n">
        <v>0</v>
      </c>
      <c r="P805" s="49" t="n">
        <v>0</v>
      </c>
      <c r="Q805" s="49" t="n">
        <v>0</v>
      </c>
      <c r="R805" s="49" t="n">
        <v>0</v>
      </c>
      <c r="S805" s="50" t="n">
        <v>0</v>
      </c>
      <c r="T805" s="50" t="n">
        <v>0</v>
      </c>
      <c r="U805" s="50" t="n">
        <v>0</v>
      </c>
      <c r="V805" s="50" t="n">
        <v>0</v>
      </c>
      <c r="W805" s="51" t="n">
        <v>0</v>
      </c>
      <c r="X805" s="51" t="n">
        <v>0</v>
      </c>
      <c r="Y805" s="51" t="n">
        <v>0</v>
      </c>
      <c r="Z805" s="51" t="n">
        <v>0</v>
      </c>
      <c r="AA805" s="52" t="n">
        <v>0</v>
      </c>
      <c r="AB805" s="52" t="n">
        <v>0</v>
      </c>
      <c r="AC805" s="52" t="n">
        <v>0</v>
      </c>
      <c r="AD805" s="52" t="n">
        <v>0</v>
      </c>
      <c r="AE805" s="52" t="n">
        <v>0</v>
      </c>
      <c r="AF805" s="52" t="n">
        <v>0</v>
      </c>
      <c r="AG805" s="52" t="n">
        <v>0</v>
      </c>
      <c r="AH805" s="52" t="n">
        <v>0</v>
      </c>
      <c r="AI805" s="52" t="n">
        <v>0</v>
      </c>
      <c r="AJ805" s="52" t="n">
        <v>0</v>
      </c>
      <c r="AK805" s="52" t="n">
        <v>0</v>
      </c>
      <c r="AL805" s="52" t="n">
        <v>0</v>
      </c>
      <c r="AM805" s="53" t="n">
        <v>0</v>
      </c>
      <c r="AN805" s="53" t="n">
        <v>0</v>
      </c>
      <c r="AO805" s="53" t="n">
        <v>0</v>
      </c>
      <c r="AP805" s="53" t="n">
        <v>0</v>
      </c>
      <c r="AQ805" s="52" t="n">
        <v>0</v>
      </c>
      <c r="AR805" s="52" t="n">
        <v>0</v>
      </c>
      <c r="AS805" s="52" t="n">
        <v>0</v>
      </c>
      <c r="AT805" s="52" t="n">
        <v>0</v>
      </c>
      <c r="AU805" s="53" t="n">
        <v>0</v>
      </c>
      <c r="AV805" s="53" t="n">
        <v>0</v>
      </c>
      <c r="AW805" s="53" t="n">
        <v>0</v>
      </c>
      <c r="AX805" s="53" t="n">
        <v>0</v>
      </c>
      <c r="AY805" s="52" t="n">
        <v>0</v>
      </c>
      <c r="AZ805" s="52" t="n">
        <v>0</v>
      </c>
      <c r="BA805" s="52" t="n">
        <v>0</v>
      </c>
      <c r="BB805" s="52" t="n">
        <v>0</v>
      </c>
      <c r="BC805" s="51" t="n">
        <v>0</v>
      </c>
      <c r="BD805" s="51" t="n">
        <v>0</v>
      </c>
      <c r="BE805" s="51" t="n">
        <v>0</v>
      </c>
      <c r="BF805" s="51" t="n">
        <v>0</v>
      </c>
    </row>
    <row r="806">
      <c r="A806">
        <f>HYPERLINK("https://www.walmart.com/ip/837044486", "837044486")</f>
        <v/>
      </c>
      <c r="B806" t="inlineStr">
        <is>
          <t>Flyingstar 2-Bottle Wine Tote Carrier, Leakproof and Insulated Padded Versatile Wine Cooler Bag for Travel, Wine Tasting, Parties and Dinner, Elegant Wine Gift Bag, Black</t>
        </is>
      </c>
      <c r="C806" t="inlineStr">
        <is>
          <t>1WMWB220BK</t>
        </is>
      </c>
      <c r="D806" t="inlineStr">
        <is>
          <t>Wine Totes, Bags &amp; Backpacks</t>
        </is>
      </c>
      <c r="E806" t="inlineStr">
        <is>
          <t>Flyingstar</t>
        </is>
      </c>
      <c r="F806" t="inlineStr">
        <is>
          <t>Wine,Christmas,Valentine,SEM</t>
        </is>
      </c>
      <c r="G806" s="48" t="n">
        <v>0</v>
      </c>
      <c r="H806" s="48" t="n">
        <v>0</v>
      </c>
      <c r="I806" s="48" t="n">
        <v>0</v>
      </c>
      <c r="J806" s="48" t="n">
        <v>0</v>
      </c>
      <c r="K806" s="49" t="n">
        <v>0</v>
      </c>
      <c r="L806" s="49" t="n">
        <v>0</v>
      </c>
      <c r="M806" s="49" t="n">
        <v>0</v>
      </c>
      <c r="N806" s="49" t="n">
        <v>0</v>
      </c>
      <c r="O806" s="49" t="n">
        <v>0</v>
      </c>
      <c r="P806" s="49" t="n">
        <v>0</v>
      </c>
      <c r="Q806" s="49" t="n">
        <v>0</v>
      </c>
      <c r="R806" s="49" t="n">
        <v>0</v>
      </c>
      <c r="S806" s="50" t="n">
        <v>0</v>
      </c>
      <c r="T806" s="50" t="n">
        <v>0</v>
      </c>
      <c r="U806" s="50" t="n">
        <v>0</v>
      </c>
      <c r="V806" s="50" t="n">
        <v>0</v>
      </c>
      <c r="W806" s="51" t="n">
        <v>0</v>
      </c>
      <c r="X806" s="51" t="n">
        <v>0</v>
      </c>
      <c r="Y806" s="51" t="n">
        <v>0</v>
      </c>
      <c r="Z806" s="51" t="n">
        <v>0</v>
      </c>
      <c r="AA806" s="52" t="n">
        <v>0</v>
      </c>
      <c r="AB806" s="52" t="n">
        <v>0</v>
      </c>
      <c r="AC806" s="52" t="n">
        <v>0</v>
      </c>
      <c r="AD806" s="52" t="n">
        <v>0</v>
      </c>
      <c r="AE806" s="52" t="n">
        <v>0</v>
      </c>
      <c r="AF806" s="52" t="n">
        <v>0</v>
      </c>
      <c r="AG806" s="52" t="n">
        <v>0</v>
      </c>
      <c r="AH806" s="52" t="n">
        <v>0</v>
      </c>
      <c r="AI806" s="52" t="n">
        <v>0</v>
      </c>
      <c r="AJ806" s="52" t="n">
        <v>0</v>
      </c>
      <c r="AK806" s="52" t="n">
        <v>0</v>
      </c>
      <c r="AL806" s="52" t="n">
        <v>0</v>
      </c>
      <c r="AM806" s="53" t="n">
        <v>0</v>
      </c>
      <c r="AN806" s="53" t="n">
        <v>0</v>
      </c>
      <c r="AO806" s="53" t="n">
        <v>0</v>
      </c>
      <c r="AP806" s="53" t="n">
        <v>0</v>
      </c>
      <c r="AQ806" s="52" t="n">
        <v>0</v>
      </c>
      <c r="AR806" s="52" t="n">
        <v>0</v>
      </c>
      <c r="AS806" s="52" t="n">
        <v>0</v>
      </c>
      <c r="AT806" s="52" t="n">
        <v>0</v>
      </c>
      <c r="AU806" s="53" t="n">
        <v>0</v>
      </c>
      <c r="AV806" s="53" t="n">
        <v>0</v>
      </c>
      <c r="AW806" s="53" t="n">
        <v>0</v>
      </c>
      <c r="AX806" s="53" t="n">
        <v>0</v>
      </c>
      <c r="AY806" s="52" t="n">
        <v>0</v>
      </c>
      <c r="AZ806" s="52" t="n">
        <v>0</v>
      </c>
      <c r="BA806" s="52" t="n">
        <v>0</v>
      </c>
      <c r="BB806" s="52" t="n">
        <v>0</v>
      </c>
      <c r="BC806" s="51" t="n">
        <v>0</v>
      </c>
      <c r="BD806" s="51" t="n">
        <v>0</v>
      </c>
      <c r="BE806" s="51" t="n">
        <v>0</v>
      </c>
      <c r="BF806" s="51" t="n">
        <v>0</v>
      </c>
    </row>
    <row r="807">
      <c r="A807">
        <f>HYPERLINK("https://www.walmart.com/ip/837207100", "837207100")</f>
        <v/>
      </c>
      <c r="B807" t="inlineStr">
        <is>
          <t>Grey Sherpa Throw Blanket, Super Soft Fluffy Fuzzy Comfy Velvet Plush Fleece TV Blankets and Throws for Sofa Couch Bed for Adults Child, 50”x60”, Melange, by Catalonia</t>
        </is>
      </c>
      <c r="C807" t="inlineStr">
        <is>
          <t>1CTBF321DG</t>
        </is>
      </c>
      <c r="D807" t="inlineStr">
        <is>
          <t>Throws</t>
        </is>
      </c>
      <c r="E807" t="inlineStr">
        <is>
          <t>Catalonia</t>
        </is>
      </c>
      <c r="F807" t="inlineStr">
        <is>
          <t>Q2-Target,WFS,Coupon_Discount,WFS Item</t>
        </is>
      </c>
      <c r="G807" s="48" t="n">
        <v>0</v>
      </c>
      <c r="H807" s="48" t="n">
        <v>0</v>
      </c>
      <c r="I807" s="48" t="n">
        <v>0</v>
      </c>
      <c r="J807" s="48" t="n">
        <v>0</v>
      </c>
      <c r="K807" s="49" t="n">
        <v>0</v>
      </c>
      <c r="L807" s="49" t="n">
        <v>0</v>
      </c>
      <c r="M807" s="49" t="n">
        <v>0</v>
      </c>
      <c r="N807" s="49" t="n">
        <v>0</v>
      </c>
      <c r="O807" s="49" t="n">
        <v>0</v>
      </c>
      <c r="P807" s="49" t="n">
        <v>0</v>
      </c>
      <c r="Q807" s="49" t="n">
        <v>0</v>
      </c>
      <c r="R807" s="49" t="n">
        <v>0</v>
      </c>
      <c r="S807" s="50" t="n">
        <v>0</v>
      </c>
      <c r="T807" s="50" t="n">
        <v>0</v>
      </c>
      <c r="U807" s="50" t="n">
        <v>0</v>
      </c>
      <c r="V807" s="50" t="n">
        <v>0</v>
      </c>
      <c r="W807" s="51" t="n">
        <v>0</v>
      </c>
      <c r="X807" s="51" t="n">
        <v>0</v>
      </c>
      <c r="Y807" s="51" t="n">
        <v>0</v>
      </c>
      <c r="Z807" s="51" t="n">
        <v>0</v>
      </c>
      <c r="AA807" s="52" t="n">
        <v>0</v>
      </c>
      <c r="AB807" s="52" t="n">
        <v>0</v>
      </c>
      <c r="AC807" s="52" t="n">
        <v>0</v>
      </c>
      <c r="AD807" s="52" t="n">
        <v>0</v>
      </c>
      <c r="AE807" s="52" t="n">
        <v>0</v>
      </c>
      <c r="AF807" s="52" t="n">
        <v>0</v>
      </c>
      <c r="AG807" s="52" t="n">
        <v>0</v>
      </c>
      <c r="AH807" s="52" t="n">
        <v>0</v>
      </c>
      <c r="AI807" s="52" t="n">
        <v>0</v>
      </c>
      <c r="AJ807" s="52" t="n">
        <v>0</v>
      </c>
      <c r="AK807" s="52" t="n">
        <v>0</v>
      </c>
      <c r="AL807" s="52" t="n">
        <v>0</v>
      </c>
      <c r="AM807" s="53" t="n">
        <v>0</v>
      </c>
      <c r="AN807" s="53" t="n">
        <v>0</v>
      </c>
      <c r="AO807" s="53" t="n">
        <v>0</v>
      </c>
      <c r="AP807" s="53" t="n">
        <v>0</v>
      </c>
      <c r="AQ807" s="52" t="n">
        <v>0</v>
      </c>
      <c r="AR807" s="52" t="n">
        <v>0</v>
      </c>
      <c r="AS807" s="52" t="n">
        <v>0</v>
      </c>
      <c r="AT807" s="52" t="n">
        <v>0</v>
      </c>
      <c r="AU807" s="53" t="n">
        <v>0</v>
      </c>
      <c r="AV807" s="53" t="n">
        <v>0</v>
      </c>
      <c r="AW807" s="53" t="n">
        <v>0</v>
      </c>
      <c r="AX807" s="53" t="n">
        <v>0</v>
      </c>
      <c r="AY807" s="52" t="n">
        <v>0</v>
      </c>
      <c r="AZ807" s="52" t="n">
        <v>0</v>
      </c>
      <c r="BA807" s="52" t="n">
        <v>0</v>
      </c>
      <c r="BB807" s="52" t="n">
        <v>0</v>
      </c>
      <c r="BC807" s="51" t="n">
        <v>0</v>
      </c>
      <c r="BD807" s="51" t="n">
        <v>0</v>
      </c>
      <c r="BE807" s="51" t="n">
        <v>0</v>
      </c>
      <c r="BF807" s="51" t="n">
        <v>0</v>
      </c>
    </row>
    <row r="808">
      <c r="A808">
        <f>HYPERLINK("https://www.walmart.com/ip/837714023", "837714023")</f>
        <v/>
      </c>
      <c r="B808" t="inlineStr">
        <is>
          <t>Tirrinia Sherpa Wearable Blanket for Adult Women and Men, Super Soft Comfy Warm Plush Throw with Sleeves TV Blanket Wrap Robe Cover for Sofa and Couch, Red Plaid, 72" x 55"</t>
        </is>
      </c>
      <c r="C808" t="inlineStr">
        <is>
          <t>1TRSN110P2RD</t>
        </is>
      </c>
      <c r="D808" t="inlineStr">
        <is>
          <t>Throws</t>
        </is>
      </c>
      <c r="E808" t="inlineStr">
        <is>
          <t>Terrania</t>
        </is>
      </c>
      <c r="F808" t="inlineStr">
        <is>
          <t>Q2-Target,Coupon_Discount,Batch 1 - TR</t>
        </is>
      </c>
      <c r="G808" s="48" t="n">
        <v>0</v>
      </c>
      <c r="H808" s="48" t="n">
        <v>0</v>
      </c>
      <c r="I808" s="48" t="n">
        <v>0</v>
      </c>
      <c r="J808" s="48" t="n">
        <v>0</v>
      </c>
      <c r="K808" s="49" t="n">
        <v>0</v>
      </c>
      <c r="L808" s="49" t="n">
        <v>0</v>
      </c>
      <c r="M808" s="49" t="n">
        <v>0</v>
      </c>
      <c r="N808" s="49" t="n">
        <v>0</v>
      </c>
      <c r="O808" s="49" t="n">
        <v>0</v>
      </c>
      <c r="P808" s="49" t="n">
        <v>0</v>
      </c>
      <c r="Q808" s="49" t="n">
        <v>0</v>
      </c>
      <c r="R808" s="49" t="n">
        <v>0</v>
      </c>
      <c r="S808" s="50" t="n">
        <v>0</v>
      </c>
      <c r="T808" s="50" t="n">
        <v>0</v>
      </c>
      <c r="U808" s="50" t="n">
        <v>0</v>
      </c>
      <c r="V808" s="50" t="n">
        <v>0</v>
      </c>
      <c r="W808" s="51" t="n">
        <v>0</v>
      </c>
      <c r="X808" s="51" t="n">
        <v>0</v>
      </c>
      <c r="Y808" s="51" t="n">
        <v>0</v>
      </c>
      <c r="Z808" s="51" t="n">
        <v>0</v>
      </c>
      <c r="AA808" s="52" t="n">
        <v>0</v>
      </c>
      <c r="AB808" s="52" t="n">
        <v>0</v>
      </c>
      <c r="AC808" s="52" t="n">
        <v>0</v>
      </c>
      <c r="AD808" s="52" t="n">
        <v>0</v>
      </c>
      <c r="AE808" s="52" t="n">
        <v>0</v>
      </c>
      <c r="AF808" s="52" t="n">
        <v>0</v>
      </c>
      <c r="AG808" s="52" t="n">
        <v>0</v>
      </c>
      <c r="AH808" s="52" t="n">
        <v>0</v>
      </c>
      <c r="AI808" s="52" t="n">
        <v>0</v>
      </c>
      <c r="AJ808" s="52" t="n">
        <v>0</v>
      </c>
      <c r="AK808" s="52" t="n">
        <v>0</v>
      </c>
      <c r="AL808" s="52" t="n">
        <v>0</v>
      </c>
      <c r="AM808" s="53" t="n">
        <v>0</v>
      </c>
      <c r="AN808" s="53" t="n">
        <v>0</v>
      </c>
      <c r="AO808" s="53" t="n">
        <v>0</v>
      </c>
      <c r="AP808" s="53" t="n">
        <v>0</v>
      </c>
      <c r="AQ808" s="52" t="n">
        <v>0</v>
      </c>
      <c r="AR808" s="52" t="n">
        <v>0</v>
      </c>
      <c r="AS808" s="52" t="n">
        <v>0</v>
      </c>
      <c r="AT808" s="52" t="n">
        <v>0</v>
      </c>
      <c r="AU808" s="53" t="n">
        <v>0</v>
      </c>
      <c r="AV808" s="53" t="n">
        <v>0</v>
      </c>
      <c r="AW808" s="53" t="n">
        <v>0</v>
      </c>
      <c r="AX808" s="53" t="n">
        <v>0</v>
      </c>
      <c r="AY808" s="52" t="n">
        <v>0</v>
      </c>
      <c r="AZ808" s="52" t="n">
        <v>0</v>
      </c>
      <c r="BA808" s="52" t="n">
        <v>0</v>
      </c>
      <c r="BB808" s="52" t="n">
        <v>0</v>
      </c>
      <c r="BC808" s="51" t="n">
        <v>0</v>
      </c>
      <c r="BD808" s="51" t="n">
        <v>0</v>
      </c>
      <c r="BE808" s="51" t="n">
        <v>0</v>
      </c>
      <c r="BF808" s="51" t="n">
        <v>0</v>
      </c>
    </row>
    <row r="809">
      <c r="A809">
        <f>HYPERLINK("https://www.walmart.com/ip/839480370", "839480370")</f>
        <v/>
      </c>
      <c r="B809" t="inlineStr">
        <is>
          <t>100% Polar Fleece Skull Cap Warm and Cozy Beanie</t>
        </is>
      </c>
      <c r="C809" t="inlineStr">
        <is>
          <t>1SLW1810RY-FSCB</t>
        </is>
      </c>
      <c r="D809" t="inlineStr">
        <is>
          <t>Hats</t>
        </is>
      </c>
      <c r="E809" t="inlineStr">
        <is>
          <t>Solaris</t>
        </is>
      </c>
      <c r="F809" t="inlineStr">
        <is>
          <t>Optimized</t>
        </is>
      </c>
      <c r="G809" s="48" t="n">
        <v>0</v>
      </c>
      <c r="H809" s="48" t="n">
        <v>0</v>
      </c>
      <c r="I809" s="48" t="n">
        <v>0</v>
      </c>
      <c r="J809" s="48" t="n">
        <v>0</v>
      </c>
      <c r="K809" s="49" t="n">
        <v>0</v>
      </c>
      <c r="L809" s="49" t="n">
        <v>0</v>
      </c>
      <c r="M809" s="49" t="n">
        <v>0</v>
      </c>
      <c r="N809" s="49" t="n">
        <v>0</v>
      </c>
      <c r="O809" s="49" t="n">
        <v>0</v>
      </c>
      <c r="P809" s="49" t="n">
        <v>0</v>
      </c>
      <c r="Q809" s="49" t="n">
        <v>0</v>
      </c>
      <c r="R809" s="49" t="n">
        <v>0</v>
      </c>
      <c r="S809" s="50" t="n">
        <v>0</v>
      </c>
      <c r="T809" s="50" t="n">
        <v>0</v>
      </c>
      <c r="U809" s="50" t="n">
        <v>0</v>
      </c>
      <c r="V809" s="50" t="n">
        <v>0</v>
      </c>
      <c r="W809" s="51" t="n">
        <v>0</v>
      </c>
      <c r="X809" s="51" t="n">
        <v>0</v>
      </c>
      <c r="Y809" s="51" t="n">
        <v>0</v>
      </c>
      <c r="Z809" s="51" t="n">
        <v>0</v>
      </c>
      <c r="AA809" s="52" t="n">
        <v>0</v>
      </c>
      <c r="AB809" s="52" t="n">
        <v>0</v>
      </c>
      <c r="AC809" s="52" t="n">
        <v>0</v>
      </c>
      <c r="AD809" s="52" t="n">
        <v>0</v>
      </c>
      <c r="AE809" s="52" t="n">
        <v>0</v>
      </c>
      <c r="AF809" s="52" t="n">
        <v>0</v>
      </c>
      <c r="AG809" s="52" t="n">
        <v>0</v>
      </c>
      <c r="AH809" s="52" t="n">
        <v>0</v>
      </c>
      <c r="AI809" s="52" t="n">
        <v>0</v>
      </c>
      <c r="AJ809" s="52" t="n">
        <v>0</v>
      </c>
      <c r="AK809" s="52" t="n">
        <v>0</v>
      </c>
      <c r="AL809" s="52" t="n">
        <v>0</v>
      </c>
      <c r="AM809" s="53" t="n">
        <v>0</v>
      </c>
      <c r="AN809" s="53" t="n">
        <v>0</v>
      </c>
      <c r="AO809" s="53" t="n">
        <v>0</v>
      </c>
      <c r="AP809" s="53" t="n">
        <v>0</v>
      </c>
      <c r="AQ809" s="52" t="n">
        <v>0</v>
      </c>
      <c r="AR809" s="52" t="n">
        <v>0</v>
      </c>
      <c r="AS809" s="52" t="n">
        <v>0</v>
      </c>
      <c r="AT809" s="52" t="n">
        <v>0</v>
      </c>
      <c r="AU809" s="53" t="n">
        <v>0</v>
      </c>
      <c r="AV809" s="53" t="n">
        <v>0</v>
      </c>
      <c r="AW809" s="53" t="n">
        <v>0</v>
      </c>
      <c r="AX809" s="53" t="n">
        <v>0</v>
      </c>
      <c r="AY809" s="52" t="n">
        <v>0</v>
      </c>
      <c r="AZ809" s="52" t="n">
        <v>0</v>
      </c>
      <c r="BA809" s="52" t="n">
        <v>0</v>
      </c>
      <c r="BB809" s="52" t="n">
        <v>0</v>
      </c>
      <c r="BC809" s="51" t="n">
        <v>0</v>
      </c>
      <c r="BD809" s="51" t="n">
        <v>0</v>
      </c>
      <c r="BE809" s="51" t="n">
        <v>0</v>
      </c>
      <c r="BF809" s="51" t="n">
        <v>0</v>
      </c>
    </row>
    <row r="810">
      <c r="A810">
        <f>HYPERLINK("https://www.walmart.com/ip/840040807", "840040807")</f>
        <v/>
      </c>
      <c r="B810" t="inlineStr">
        <is>
          <t>Flyingstar Wind and Waterproof Blanket, Wearable Camping Blanket, Hooded Blanket Poncho for Sports Stadium, Beach, Picnic, Car or Pets, Wine and Black, 55'' x 80''</t>
        </is>
      </c>
      <c r="C810" t="inlineStr">
        <is>
          <t>1WMBC200WNBK</t>
        </is>
      </c>
      <c r="D810" t="inlineStr">
        <is>
          <t>Picnic Blankets &amp; Mats</t>
        </is>
      </c>
      <c r="E810" t="inlineStr">
        <is>
          <t>Flyingstar</t>
        </is>
      </c>
      <c r="F810" t="inlineStr">
        <is>
          <t>Q2-Target,Batch 1 - TR</t>
        </is>
      </c>
      <c r="G810" s="48" t="n">
        <v>0</v>
      </c>
      <c r="H810" s="48" t="n">
        <v>0</v>
      </c>
      <c r="I810" s="48" t="n">
        <v>0</v>
      </c>
      <c r="J810" s="48" t="n">
        <v>33.98</v>
      </c>
      <c r="K810" s="49" t="n">
        <v>0</v>
      </c>
      <c r="L810" s="49" t="n">
        <v>0</v>
      </c>
      <c r="M810" s="49" t="n">
        <v>0</v>
      </c>
      <c r="N810" s="49" t="n">
        <v>1</v>
      </c>
      <c r="O810" s="49" t="n">
        <v>0</v>
      </c>
      <c r="P810" s="49" t="n">
        <v>0</v>
      </c>
      <c r="Q810" s="49" t="n">
        <v>0</v>
      </c>
      <c r="R810" s="49" t="n">
        <v>0</v>
      </c>
      <c r="S810" s="50" t="n">
        <v>0</v>
      </c>
      <c r="T810" s="50" t="n">
        <v>0</v>
      </c>
      <c r="U810" s="50" t="n">
        <v>0</v>
      </c>
      <c r="V810" s="50" t="n">
        <v>0</v>
      </c>
      <c r="W810" s="51" t="n">
        <v>17</v>
      </c>
      <c r="X810" s="51" t="n">
        <v>8</v>
      </c>
      <c r="Y810" s="51" t="n">
        <v>11</v>
      </c>
      <c r="Z810" s="51" t="n">
        <v>9</v>
      </c>
      <c r="AA810" s="52" t="n">
        <v>5.94</v>
      </c>
      <c r="AB810" s="52" t="n">
        <v>2.79</v>
      </c>
      <c r="AC810" s="52" t="n">
        <v>4.069999999999999</v>
      </c>
      <c r="AD810" s="52" t="n">
        <v>3.09</v>
      </c>
      <c r="AE810" s="52" t="n">
        <v>0</v>
      </c>
      <c r="AF810" s="52" t="n">
        <v>0</v>
      </c>
      <c r="AG810" s="52" t="n">
        <v>26.99</v>
      </c>
      <c r="AH810" s="52" t="n">
        <v>26.99</v>
      </c>
      <c r="AI810" s="52" t="n">
        <v>0</v>
      </c>
      <c r="AJ810" s="52" t="n">
        <v>0</v>
      </c>
      <c r="AK810" s="52" t="n">
        <v>6.63</v>
      </c>
      <c r="AL810" s="52" t="n">
        <v>8.73</v>
      </c>
      <c r="AM810" s="53" t="n">
        <v>0.003</v>
      </c>
      <c r="AN810" s="53" t="n">
        <v>0.0013</v>
      </c>
      <c r="AO810" s="53" t="n">
        <v>0.0013</v>
      </c>
      <c r="AP810" s="53" t="n">
        <v>0.0012</v>
      </c>
      <c r="AQ810" s="52" t="n">
        <v>0.3494117647058823</v>
      </c>
      <c r="AR810" s="52" t="n">
        <v>0.34875</v>
      </c>
      <c r="AS810" s="52" t="n">
        <v>0.3699999999999999</v>
      </c>
      <c r="AT810" s="52" t="n">
        <v>0.3433333333333334</v>
      </c>
      <c r="AU810" s="53" t="n">
        <v>0</v>
      </c>
      <c r="AV810" s="53" t="n">
        <v>0</v>
      </c>
      <c r="AW810" s="53" t="n">
        <v>0</v>
      </c>
      <c r="AX810" s="53" t="n">
        <v>0.09093584461447912</v>
      </c>
      <c r="AY810" s="52" t="n">
        <v>0</v>
      </c>
      <c r="AZ810" s="52" t="n">
        <v>0</v>
      </c>
      <c r="BA810" s="52" t="n">
        <v>0</v>
      </c>
      <c r="BB810" s="52" t="n">
        <v>33.98</v>
      </c>
      <c r="BC810" s="51" t="n">
        <v>5612</v>
      </c>
      <c r="BD810" s="51" t="n">
        <v>6393</v>
      </c>
      <c r="BE810" s="51" t="n">
        <v>8300</v>
      </c>
      <c r="BF810" s="51" t="n">
        <v>7506</v>
      </c>
    </row>
    <row r="811">
      <c r="A811">
        <f>HYPERLINK("https://www.walmart.com/ip/840311591", "840311591")</f>
        <v/>
      </c>
      <c r="B811" t="inlineStr">
        <is>
          <t>Catalonia Wearable Fleece Blanket with Sleeves and Foot Pockets for Adult Women Men, Micro Plush Comfy Wrap Sleeved Throw Blanket Robe Large, Cow Print</t>
        </is>
      </c>
      <c r="C811" t="inlineStr">
        <is>
          <t>1CTSN101DMT</t>
        </is>
      </c>
      <c r="D811" t="inlineStr">
        <is>
          <t>Throws</t>
        </is>
      </c>
      <c r="E811" t="inlineStr">
        <is>
          <t>Catalonia</t>
        </is>
      </c>
      <c r="F811" t="inlineStr">
        <is>
          <t>WFS,WFS Item,Fleece Blankets</t>
        </is>
      </c>
      <c r="G811" s="48" t="n">
        <v>0</v>
      </c>
      <c r="H811" s="48" t="n">
        <v>0</v>
      </c>
      <c r="I811" s="48" t="n">
        <v>0</v>
      </c>
      <c r="J811" s="48" t="n">
        <v>0</v>
      </c>
      <c r="K811" s="49" t="n">
        <v>0</v>
      </c>
      <c r="L811" s="49" t="n">
        <v>0</v>
      </c>
      <c r="M811" s="49" t="n">
        <v>0</v>
      </c>
      <c r="N811" s="49" t="n">
        <v>0</v>
      </c>
      <c r="O811" s="49" t="n">
        <v>0</v>
      </c>
      <c r="P811" s="49" t="n">
        <v>0</v>
      </c>
      <c r="Q811" s="49" t="n">
        <v>0</v>
      </c>
      <c r="R811" s="49" t="n">
        <v>0</v>
      </c>
      <c r="S811" s="50" t="n">
        <v>0</v>
      </c>
      <c r="T811" s="50" t="n">
        <v>0</v>
      </c>
      <c r="U811" s="50" t="n">
        <v>0</v>
      </c>
      <c r="V811" s="50" t="n">
        <v>0</v>
      </c>
      <c r="W811" s="51" t="n">
        <v>0</v>
      </c>
      <c r="X811" s="51" t="n">
        <v>0</v>
      </c>
      <c r="Y811" s="51" t="n">
        <v>0</v>
      </c>
      <c r="Z811" s="51" t="n">
        <v>0</v>
      </c>
      <c r="AA811" s="52" t="n">
        <v>0</v>
      </c>
      <c r="AB811" s="52" t="n">
        <v>0</v>
      </c>
      <c r="AC811" s="52" t="n">
        <v>0</v>
      </c>
      <c r="AD811" s="52" t="n">
        <v>0</v>
      </c>
      <c r="AE811" s="52" t="n">
        <v>0</v>
      </c>
      <c r="AF811" s="52" t="n">
        <v>0</v>
      </c>
      <c r="AG811" s="52" t="n">
        <v>0</v>
      </c>
      <c r="AH811" s="52" t="n">
        <v>0</v>
      </c>
      <c r="AI811" s="52" t="n">
        <v>0</v>
      </c>
      <c r="AJ811" s="52" t="n">
        <v>0</v>
      </c>
      <c r="AK811" s="52" t="n">
        <v>0</v>
      </c>
      <c r="AL811" s="52" t="n">
        <v>0</v>
      </c>
      <c r="AM811" s="53" t="n">
        <v>0</v>
      </c>
      <c r="AN811" s="53" t="n">
        <v>0</v>
      </c>
      <c r="AO811" s="53" t="n">
        <v>0</v>
      </c>
      <c r="AP811" s="53" t="n">
        <v>0</v>
      </c>
      <c r="AQ811" s="52" t="n">
        <v>0</v>
      </c>
      <c r="AR811" s="52" t="n">
        <v>0</v>
      </c>
      <c r="AS811" s="52" t="n">
        <v>0</v>
      </c>
      <c r="AT811" s="52" t="n">
        <v>0</v>
      </c>
      <c r="AU811" s="53" t="n">
        <v>0</v>
      </c>
      <c r="AV811" s="53" t="n">
        <v>0</v>
      </c>
      <c r="AW811" s="53" t="n">
        <v>0</v>
      </c>
      <c r="AX811" s="53" t="n">
        <v>0</v>
      </c>
      <c r="AY811" s="52" t="n">
        <v>0</v>
      </c>
      <c r="AZ811" s="52" t="n">
        <v>0</v>
      </c>
      <c r="BA811" s="52" t="n">
        <v>0</v>
      </c>
      <c r="BB811" s="52" t="n">
        <v>0</v>
      </c>
      <c r="BC811" s="51" t="n">
        <v>0</v>
      </c>
      <c r="BD811" s="51" t="n">
        <v>0</v>
      </c>
      <c r="BE811" s="51" t="n">
        <v>0</v>
      </c>
      <c r="BF811" s="51" t="n">
        <v>0</v>
      </c>
    </row>
    <row r="812">
      <c r="A812">
        <f>HYPERLINK("https://www.walmart.com/ip/857254662", "857254662")</f>
        <v/>
      </c>
      <c r="B812" t="inlineStr">
        <is>
          <t>Ski Gloves for Women &amp; Men 3M Winter Snow Gloves Mittens Insulation Waterproof for Outdoors Sports</t>
        </is>
      </c>
      <c r="C812" t="inlineStr">
        <is>
          <t>1SLWG100PKM</t>
        </is>
      </c>
      <c r="D812" t="inlineStr">
        <is>
          <t>Gloves &amp; Mittens</t>
        </is>
      </c>
      <c r="E812" t="inlineStr">
        <is>
          <t>Solaris</t>
        </is>
      </c>
      <c r="F812" t="inlineStr">
        <is>
          <t>Gloves,WFS,WFS Item</t>
        </is>
      </c>
      <c r="G812" s="48" t="n">
        <v>0</v>
      </c>
      <c r="H812" s="48" t="n">
        <v>0</v>
      </c>
      <c r="I812" s="48" t="n">
        <v>0</v>
      </c>
      <c r="J812" s="48" t="n">
        <v>0</v>
      </c>
      <c r="K812" s="49" t="n">
        <v>0</v>
      </c>
      <c r="L812" s="49" t="n">
        <v>0</v>
      </c>
      <c r="M812" s="49" t="n">
        <v>0</v>
      </c>
      <c r="N812" s="49" t="n">
        <v>0</v>
      </c>
      <c r="O812" s="49" t="n">
        <v>0</v>
      </c>
      <c r="P812" s="49" t="n">
        <v>0</v>
      </c>
      <c r="Q812" s="49" t="n">
        <v>0</v>
      </c>
      <c r="R812" s="49" t="n">
        <v>0</v>
      </c>
      <c r="S812" s="50" t="n">
        <v>0</v>
      </c>
      <c r="T812" s="50" t="n">
        <v>0</v>
      </c>
      <c r="U812" s="50" t="n">
        <v>0</v>
      </c>
      <c r="V812" s="50" t="n">
        <v>0</v>
      </c>
      <c r="W812" s="51" t="n">
        <v>0</v>
      </c>
      <c r="X812" s="51" t="n">
        <v>0</v>
      </c>
      <c r="Y812" s="51" t="n">
        <v>0</v>
      </c>
      <c r="Z812" s="51" t="n">
        <v>0</v>
      </c>
      <c r="AA812" s="52" t="n">
        <v>0</v>
      </c>
      <c r="AB812" s="52" t="n">
        <v>0</v>
      </c>
      <c r="AC812" s="52" t="n">
        <v>0</v>
      </c>
      <c r="AD812" s="52" t="n">
        <v>0</v>
      </c>
      <c r="AE812" s="52" t="n">
        <v>0</v>
      </c>
      <c r="AF812" s="52" t="n">
        <v>0</v>
      </c>
      <c r="AG812" s="52" t="n">
        <v>0</v>
      </c>
      <c r="AH812" s="52" t="n">
        <v>0</v>
      </c>
      <c r="AI812" s="52" t="n">
        <v>0</v>
      </c>
      <c r="AJ812" s="52" t="n">
        <v>0</v>
      </c>
      <c r="AK812" s="52" t="n">
        <v>0</v>
      </c>
      <c r="AL812" s="52" t="n">
        <v>0</v>
      </c>
      <c r="AM812" s="53" t="n">
        <v>0</v>
      </c>
      <c r="AN812" s="53" t="n">
        <v>0</v>
      </c>
      <c r="AO812" s="53" t="n">
        <v>0</v>
      </c>
      <c r="AP812" s="53" t="n">
        <v>0</v>
      </c>
      <c r="AQ812" s="52" t="n">
        <v>0</v>
      </c>
      <c r="AR812" s="52" t="n">
        <v>0</v>
      </c>
      <c r="AS812" s="52" t="n">
        <v>0</v>
      </c>
      <c r="AT812" s="52" t="n">
        <v>0</v>
      </c>
      <c r="AU812" s="53" t="n">
        <v>0</v>
      </c>
      <c r="AV812" s="53" t="n">
        <v>0</v>
      </c>
      <c r="AW812" s="53" t="n">
        <v>0</v>
      </c>
      <c r="AX812" s="53" t="n">
        <v>0</v>
      </c>
      <c r="AY812" s="52" t="n">
        <v>0</v>
      </c>
      <c r="AZ812" s="52" t="n">
        <v>0</v>
      </c>
      <c r="BA812" s="52" t="n">
        <v>0</v>
      </c>
      <c r="BB812" s="52" t="n">
        <v>0</v>
      </c>
      <c r="BC812" s="51" t="n">
        <v>0</v>
      </c>
      <c r="BD812" s="51" t="n">
        <v>0</v>
      </c>
      <c r="BE812" s="51" t="n">
        <v>0</v>
      </c>
      <c r="BF812" s="51" t="n">
        <v>0</v>
      </c>
    </row>
    <row r="813">
      <c r="A813">
        <f>HYPERLINK("https://www.walmart.com/ip/860538927", "860538927")</f>
        <v/>
      </c>
      <c r="B813" t="inlineStr">
        <is>
          <t>Catalonia Sherpa Throw Blanket, Super Soft Fleece Plush Sofa Couch Blanket, TV Bed Blanket, Comfy Cozy Fluffy Warm, Christmas Theme Throws, Holiday Gift Blanket( 50x60 inch, Tribe)</t>
        </is>
      </c>
      <c r="C813" t="inlineStr">
        <is>
          <t>1CTBF571TRIBE</t>
        </is>
      </c>
      <c r="D813" t="inlineStr">
        <is>
          <t>Throws</t>
        </is>
      </c>
      <c r="E813" t="inlineStr">
        <is>
          <t>Catalonia</t>
        </is>
      </c>
      <c r="F813" t="inlineStr">
        <is>
          <t>Christmas,Hero 5 Holidays,WFS,WFS Item</t>
        </is>
      </c>
      <c r="G813" s="48" t="n">
        <v>0</v>
      </c>
      <c r="H813" s="48" t="n">
        <v>0</v>
      </c>
      <c r="I813" s="48" t="n">
        <v>0</v>
      </c>
      <c r="J813" s="48" t="n">
        <v>0</v>
      </c>
      <c r="K813" s="49" t="n">
        <v>0</v>
      </c>
      <c r="L813" s="49" t="n">
        <v>0</v>
      </c>
      <c r="M813" s="49" t="n">
        <v>0</v>
      </c>
      <c r="N813" s="49" t="n">
        <v>0</v>
      </c>
      <c r="O813" s="49" t="n">
        <v>0</v>
      </c>
      <c r="P813" s="49" t="n">
        <v>0</v>
      </c>
      <c r="Q813" s="49" t="n">
        <v>0</v>
      </c>
      <c r="R813" s="49" t="n">
        <v>0</v>
      </c>
      <c r="S813" s="50" t="n">
        <v>0</v>
      </c>
      <c r="T813" s="50" t="n">
        <v>0</v>
      </c>
      <c r="U813" s="50" t="n">
        <v>0</v>
      </c>
      <c r="V813" s="50" t="n">
        <v>0</v>
      </c>
      <c r="W813" s="51" t="n">
        <v>0</v>
      </c>
      <c r="X813" s="51" t="n">
        <v>0</v>
      </c>
      <c r="Y813" s="51" t="n">
        <v>0</v>
      </c>
      <c r="Z813" s="51" t="n">
        <v>0</v>
      </c>
      <c r="AA813" s="52" t="n">
        <v>0</v>
      </c>
      <c r="AB813" s="52" t="n">
        <v>0</v>
      </c>
      <c r="AC813" s="52" t="n">
        <v>0</v>
      </c>
      <c r="AD813" s="52" t="n">
        <v>0</v>
      </c>
      <c r="AE813" s="52" t="n">
        <v>0</v>
      </c>
      <c r="AF813" s="52" t="n">
        <v>0</v>
      </c>
      <c r="AG813" s="52" t="n">
        <v>0</v>
      </c>
      <c r="AH813" s="52" t="n">
        <v>0</v>
      </c>
      <c r="AI813" s="52" t="n">
        <v>0</v>
      </c>
      <c r="AJ813" s="52" t="n">
        <v>0</v>
      </c>
      <c r="AK813" s="52" t="n">
        <v>0</v>
      </c>
      <c r="AL813" s="52" t="n">
        <v>0</v>
      </c>
      <c r="AM813" s="53" t="n">
        <v>0</v>
      </c>
      <c r="AN813" s="53" t="n">
        <v>0</v>
      </c>
      <c r="AO813" s="53" t="n">
        <v>0</v>
      </c>
      <c r="AP813" s="53" t="n">
        <v>0</v>
      </c>
      <c r="AQ813" s="52" t="n">
        <v>0</v>
      </c>
      <c r="AR813" s="52" t="n">
        <v>0</v>
      </c>
      <c r="AS813" s="52" t="n">
        <v>0</v>
      </c>
      <c r="AT813" s="52" t="n">
        <v>0</v>
      </c>
      <c r="AU813" s="53" t="n">
        <v>0</v>
      </c>
      <c r="AV813" s="53" t="n">
        <v>0</v>
      </c>
      <c r="AW813" s="53" t="n">
        <v>0</v>
      </c>
      <c r="AX813" s="53" t="n">
        <v>0</v>
      </c>
      <c r="AY813" s="52" t="n">
        <v>0</v>
      </c>
      <c r="AZ813" s="52" t="n">
        <v>0</v>
      </c>
      <c r="BA813" s="52" t="n">
        <v>0</v>
      </c>
      <c r="BB813" s="52" t="n">
        <v>0</v>
      </c>
      <c r="BC813" s="51" t="n">
        <v>0</v>
      </c>
      <c r="BD813" s="51" t="n">
        <v>0</v>
      </c>
      <c r="BE813" s="51" t="n">
        <v>0</v>
      </c>
      <c r="BF813" s="51" t="n">
        <v>0</v>
      </c>
    </row>
    <row r="814">
      <c r="A814">
        <f>HYPERLINK("https://www.walmart.com/ip/890210788", "890210788")</f>
        <v/>
      </c>
      <c r="B814" t="inlineStr">
        <is>
          <t>Insulated Expandable Lunch Bags Tote Thermal Cooler Leak Proof Travel Container Food Case for Adults Adjustable Shoulder</t>
        </is>
      </c>
      <c r="C814" t="inlineStr">
        <is>
          <t>1KTLB110BK</t>
        </is>
      </c>
      <c r="D814" t="inlineStr">
        <is>
          <t>Reusable Lunch Bags &amp; Boxes</t>
        </is>
      </c>
      <c r="E814" t="inlineStr">
        <is>
          <t>Kato</t>
        </is>
      </c>
      <c r="F814" t="inlineStr">
        <is>
          <t>Q2-Target,Lunch Bag,Optimized,Lunch Bags,SEM</t>
        </is>
      </c>
      <c r="G814" s="48" t="n">
        <v>0</v>
      </c>
      <c r="H814" s="48" t="n">
        <v>0</v>
      </c>
      <c r="I814" s="48" t="n">
        <v>0</v>
      </c>
      <c r="J814" s="48" t="n">
        <v>-18.98</v>
      </c>
      <c r="K814" s="49" t="n">
        <v>0</v>
      </c>
      <c r="L814" s="49" t="n">
        <v>0</v>
      </c>
      <c r="M814" s="49" t="n">
        <v>0</v>
      </c>
      <c r="N814" s="49" t="n">
        <v>-1</v>
      </c>
      <c r="O814" s="49" t="n">
        <v>0</v>
      </c>
      <c r="P814" s="49" t="n">
        <v>0</v>
      </c>
      <c r="Q814" s="49" t="n">
        <v>0</v>
      </c>
      <c r="R814" s="49" t="n">
        <v>0</v>
      </c>
      <c r="S814" s="50" t="n">
        <v>0</v>
      </c>
      <c r="T814" s="50" t="n">
        <v>0</v>
      </c>
      <c r="U814" s="50" t="n">
        <v>0</v>
      </c>
      <c r="V814" s="50" t="n">
        <v>0</v>
      </c>
      <c r="W814" s="51" t="n">
        <v>0</v>
      </c>
      <c r="X814" s="51" t="n">
        <v>0</v>
      </c>
      <c r="Y814" s="51" t="n">
        <v>0</v>
      </c>
      <c r="Z814" s="51" t="n">
        <v>0</v>
      </c>
      <c r="AA814" s="52" t="n">
        <v>0</v>
      </c>
      <c r="AB814" s="52" t="n">
        <v>0</v>
      </c>
      <c r="AC814" s="52" t="n">
        <v>0</v>
      </c>
      <c r="AD814" s="52" t="n">
        <v>0</v>
      </c>
      <c r="AE814" s="52" t="n">
        <v>0</v>
      </c>
      <c r="AF814" s="52" t="n">
        <v>0</v>
      </c>
      <c r="AG814" s="52" t="n">
        <v>0</v>
      </c>
      <c r="AH814" s="52" t="n">
        <v>0</v>
      </c>
      <c r="AI814" s="52" t="n">
        <v>0</v>
      </c>
      <c r="AJ814" s="52" t="n">
        <v>0</v>
      </c>
      <c r="AK814" s="52" t="n">
        <v>0</v>
      </c>
      <c r="AL814" s="52" t="n">
        <v>0</v>
      </c>
      <c r="AM814" s="53" t="n">
        <v>0</v>
      </c>
      <c r="AN814" s="53" t="n">
        <v>0</v>
      </c>
      <c r="AO814" s="53" t="n">
        <v>0</v>
      </c>
      <c r="AP814" s="53" t="n">
        <v>0</v>
      </c>
      <c r="AQ814" s="52" t="n">
        <v>0</v>
      </c>
      <c r="AR814" s="52" t="n">
        <v>0</v>
      </c>
      <c r="AS814" s="52" t="n">
        <v>0</v>
      </c>
      <c r="AT814" s="52" t="n">
        <v>0</v>
      </c>
      <c r="AU814" s="53" t="n">
        <v>0</v>
      </c>
      <c r="AV814" s="53" t="n">
        <v>0</v>
      </c>
      <c r="AW814" s="53" t="n">
        <v>0</v>
      </c>
      <c r="AX814" s="53" t="n">
        <v>0</v>
      </c>
      <c r="AY814" s="52" t="n">
        <v>0</v>
      </c>
      <c r="AZ814" s="52" t="n">
        <v>0</v>
      </c>
      <c r="BA814" s="52" t="n">
        <v>0</v>
      </c>
      <c r="BB814" s="52" t="n">
        <v>0</v>
      </c>
      <c r="BC814" s="51" t="n">
        <v>0</v>
      </c>
      <c r="BD814" s="51" t="n">
        <v>0</v>
      </c>
      <c r="BE814" s="51" t="n">
        <v>0</v>
      </c>
      <c r="BF814" s="51" t="n">
        <v>0</v>
      </c>
    </row>
    <row r="815">
      <c r="A815">
        <f>HYPERLINK("https://www.walmart.com/ip/879065777", "879065777")</f>
        <v/>
      </c>
      <c r="B815" t="inlineStr">
        <is>
          <t>Tirrinia Insulated Wine Carrier Tote - Travel Padded 2 Bottle Wine/ Champagne Cooler Bag with Handle and Adjustable Shoulder Strap + Free Corkscrew, Great Wine Lover Gift, White</t>
        </is>
      </c>
      <c r="C815" t="inlineStr">
        <is>
          <t>1KTWB210WTX</t>
        </is>
      </c>
      <c r="D815" t="inlineStr">
        <is>
          <t>Wine Totes, Bags &amp; Backpacks</t>
        </is>
      </c>
      <c r="E815" t="inlineStr">
        <is>
          <t>Tirrinia</t>
        </is>
      </c>
      <c r="F815" t="inlineStr">
        <is>
          <t>Wine,Wine WFS,Batch 1 - TR,Lily Brand Camp</t>
        </is>
      </c>
      <c r="G815" s="48" t="n">
        <v>0</v>
      </c>
      <c r="H815" s="48" t="n">
        <v>0</v>
      </c>
      <c r="I815" s="48" t="n">
        <v>0</v>
      </c>
      <c r="J815" s="48" t="n">
        <v>0</v>
      </c>
      <c r="K815" s="49" t="n">
        <v>0</v>
      </c>
      <c r="L815" s="49" t="n">
        <v>0</v>
      </c>
      <c r="M815" s="49" t="n">
        <v>0</v>
      </c>
      <c r="N815" s="49" t="n">
        <v>0</v>
      </c>
      <c r="O815" s="49" t="n">
        <v>0</v>
      </c>
      <c r="P815" s="49" t="n">
        <v>0</v>
      </c>
      <c r="Q815" s="49" t="n">
        <v>0</v>
      </c>
      <c r="R815" s="49" t="n">
        <v>0</v>
      </c>
      <c r="S815" s="50" t="n">
        <v>0</v>
      </c>
      <c r="T815" s="50" t="n">
        <v>0</v>
      </c>
      <c r="U815" s="50" t="n">
        <v>0</v>
      </c>
      <c r="V815" s="50" t="n">
        <v>0</v>
      </c>
      <c r="W815" s="51" t="n">
        <v>3</v>
      </c>
      <c r="X815" s="51" t="n">
        <v>0</v>
      </c>
      <c r="Y815" s="51" t="n">
        <v>0</v>
      </c>
      <c r="Z815" s="51" t="n">
        <v>0</v>
      </c>
      <c r="AA815" s="52" t="n">
        <v>1.32</v>
      </c>
      <c r="AB815" s="52" t="n">
        <v>0</v>
      </c>
      <c r="AC815" s="52" t="n">
        <v>0</v>
      </c>
      <c r="AD815" s="52" t="n">
        <v>0</v>
      </c>
      <c r="AE815" s="52" t="n">
        <v>0</v>
      </c>
      <c r="AF815" s="52" t="n">
        <v>0</v>
      </c>
      <c r="AG815" s="52" t="n">
        <v>0</v>
      </c>
      <c r="AH815" s="52" t="n">
        <v>0</v>
      </c>
      <c r="AI815" s="52" t="n">
        <v>0</v>
      </c>
      <c r="AJ815" s="52" t="n">
        <v>0</v>
      </c>
      <c r="AK815" s="52" t="n">
        <v>0</v>
      </c>
      <c r="AL815" s="52" t="n">
        <v>0</v>
      </c>
      <c r="AM815" s="53" t="n">
        <v>0.0036</v>
      </c>
      <c r="AN815" s="53" t="n">
        <v>0</v>
      </c>
      <c r="AO815" s="53" t="n">
        <v>0</v>
      </c>
      <c r="AP815" s="53" t="n">
        <v>0</v>
      </c>
      <c r="AQ815" s="52" t="n">
        <v>0.44</v>
      </c>
      <c r="AR815" s="52" t="n">
        <v>0</v>
      </c>
      <c r="AS815" s="52" t="n">
        <v>0</v>
      </c>
      <c r="AT815" s="52" t="n">
        <v>0</v>
      </c>
      <c r="AU815" s="53" t="n">
        <v>0</v>
      </c>
      <c r="AV815" s="53" t="n">
        <v>0</v>
      </c>
      <c r="AW815" s="53" t="n">
        <v>0</v>
      </c>
      <c r="AX815" s="53" t="n">
        <v>0</v>
      </c>
      <c r="AY815" s="52" t="n">
        <v>0</v>
      </c>
      <c r="AZ815" s="52" t="n">
        <v>0</v>
      </c>
      <c r="BA815" s="52" t="n">
        <v>0</v>
      </c>
      <c r="BB815" s="52" t="n">
        <v>0</v>
      </c>
      <c r="BC815" s="51" t="n">
        <v>838</v>
      </c>
      <c r="BD815" s="51" t="n">
        <v>205</v>
      </c>
      <c r="BE815" s="51" t="n">
        <v>372</v>
      </c>
      <c r="BF815" s="51" t="n">
        <v>492</v>
      </c>
    </row>
    <row r="816">
      <c r="A816">
        <f>HYPERLINK("https://www.walmart.com/ip/882189571", "882189571")</f>
        <v/>
      </c>
      <c r="B816" t="inlineStr">
        <is>
          <t>Ski Gloves for Women &amp; Men 3M Winter Snow Gloves Mittens Insulation Waterproof for Outdoors Sports</t>
        </is>
      </c>
      <c r="C816" t="inlineStr">
        <is>
          <t>1SLWG100BLXL</t>
        </is>
      </c>
      <c r="D816" t="inlineStr">
        <is>
          <t>Gloves &amp; Mittens</t>
        </is>
      </c>
      <c r="E816" t="inlineStr">
        <is>
          <t>Solaris</t>
        </is>
      </c>
      <c r="F816" t="inlineStr">
        <is>
          <t>Gloves,Batch 1 - TR</t>
        </is>
      </c>
      <c r="G816" s="48" t="n">
        <v>0</v>
      </c>
      <c r="H816" s="48" t="n">
        <v>0</v>
      </c>
      <c r="I816" s="48" t="n">
        <v>0</v>
      </c>
      <c r="J816" s="48" t="n">
        <v>0</v>
      </c>
      <c r="K816" s="49" t="n">
        <v>0</v>
      </c>
      <c r="L816" s="49" t="n">
        <v>0</v>
      </c>
      <c r="M816" s="49" t="n">
        <v>0</v>
      </c>
      <c r="N816" s="49" t="n">
        <v>0</v>
      </c>
      <c r="O816" s="49" t="n">
        <v>0</v>
      </c>
      <c r="P816" s="49" t="n">
        <v>0</v>
      </c>
      <c r="Q816" s="49" t="n">
        <v>0</v>
      </c>
      <c r="R816" s="49" t="n">
        <v>0</v>
      </c>
      <c r="S816" s="50" t="n">
        <v>0</v>
      </c>
      <c r="T816" s="50" t="n">
        <v>0</v>
      </c>
      <c r="U816" s="50" t="n">
        <v>0</v>
      </c>
      <c r="V816" s="50" t="n">
        <v>0</v>
      </c>
      <c r="W816" s="51" t="n">
        <v>0</v>
      </c>
      <c r="X816" s="51" t="n">
        <v>0</v>
      </c>
      <c r="Y816" s="51" t="n">
        <v>0</v>
      </c>
      <c r="Z816" s="51" t="n">
        <v>0</v>
      </c>
      <c r="AA816" s="52" t="n">
        <v>0</v>
      </c>
      <c r="AB816" s="52" t="n">
        <v>0</v>
      </c>
      <c r="AC816" s="52" t="n">
        <v>0</v>
      </c>
      <c r="AD816" s="52" t="n">
        <v>0</v>
      </c>
      <c r="AE816" s="52" t="n">
        <v>0</v>
      </c>
      <c r="AF816" s="52" t="n">
        <v>0</v>
      </c>
      <c r="AG816" s="52" t="n">
        <v>0</v>
      </c>
      <c r="AH816" s="52" t="n">
        <v>0</v>
      </c>
      <c r="AI816" s="52" t="n">
        <v>0</v>
      </c>
      <c r="AJ816" s="52" t="n">
        <v>0</v>
      </c>
      <c r="AK816" s="52" t="n">
        <v>0</v>
      </c>
      <c r="AL816" s="52" t="n">
        <v>0</v>
      </c>
      <c r="AM816" s="53" t="n">
        <v>0</v>
      </c>
      <c r="AN816" s="53" t="n">
        <v>0</v>
      </c>
      <c r="AO816" s="53" t="n">
        <v>0</v>
      </c>
      <c r="AP816" s="53" t="n">
        <v>0</v>
      </c>
      <c r="AQ816" s="52" t="n">
        <v>0</v>
      </c>
      <c r="AR816" s="52" t="n">
        <v>0</v>
      </c>
      <c r="AS816" s="52" t="n">
        <v>0</v>
      </c>
      <c r="AT816" s="52" t="n">
        <v>0</v>
      </c>
      <c r="AU816" s="53" t="n">
        <v>0</v>
      </c>
      <c r="AV816" s="53" t="n">
        <v>0</v>
      </c>
      <c r="AW816" s="53" t="n">
        <v>0</v>
      </c>
      <c r="AX816" s="53" t="n">
        <v>0</v>
      </c>
      <c r="AY816" s="52" t="n">
        <v>0</v>
      </c>
      <c r="AZ816" s="52" t="n">
        <v>0</v>
      </c>
      <c r="BA816" s="52" t="n">
        <v>0</v>
      </c>
      <c r="BB816" s="52" t="n">
        <v>0</v>
      </c>
      <c r="BC816" s="51" t="n">
        <v>0</v>
      </c>
      <c r="BD816" s="51" t="n">
        <v>0</v>
      </c>
      <c r="BE816" s="51" t="n">
        <v>0</v>
      </c>
      <c r="BF816" s="51" t="n">
        <v>0</v>
      </c>
    </row>
    <row r="817">
      <c r="A817">
        <f>HYPERLINK("https://www.walmart.com/ip/882569056", "882569056")</f>
        <v/>
      </c>
      <c r="B817" t="inlineStr">
        <is>
          <t>JenniWears® Women's Sexy Fever Blush Babydoll Mesh Lingerie and Wrap Robe</t>
        </is>
      </c>
      <c r="C817" t="inlineStr">
        <is>
          <t>JWBD08WT-3XL</t>
        </is>
      </c>
      <c r="D817" t="inlineStr">
        <is>
          <t>Lingerie Sets</t>
        </is>
      </c>
      <c r="E817" t="inlineStr">
        <is>
          <t>JenniWears</t>
        </is>
      </c>
      <c r="F817" t="inlineStr">
        <is>
          <t>Optimized,Valentine</t>
        </is>
      </c>
      <c r="G817" s="48" t="n">
        <v>0</v>
      </c>
      <c r="H817" s="48" t="n">
        <v>0</v>
      </c>
      <c r="I817" s="48" t="n">
        <v>0</v>
      </c>
      <c r="J817" s="48" t="n">
        <v>0</v>
      </c>
      <c r="K817" s="49" t="n">
        <v>0</v>
      </c>
      <c r="L817" s="49" t="n">
        <v>0</v>
      </c>
      <c r="M817" s="49" t="n">
        <v>0</v>
      </c>
      <c r="N817" s="49" t="n">
        <v>0</v>
      </c>
      <c r="O817" s="49" t="n">
        <v>0</v>
      </c>
      <c r="P817" s="49" t="n">
        <v>0</v>
      </c>
      <c r="Q817" s="49" t="n">
        <v>0</v>
      </c>
      <c r="R817" s="49" t="n">
        <v>0</v>
      </c>
      <c r="S817" s="50" t="n">
        <v>0</v>
      </c>
      <c r="T817" s="50" t="n">
        <v>0</v>
      </c>
      <c r="U817" s="50" t="n">
        <v>0</v>
      </c>
      <c r="V817" s="50" t="n">
        <v>0</v>
      </c>
      <c r="W817" s="51" t="n">
        <v>0</v>
      </c>
      <c r="X817" s="51" t="n">
        <v>0</v>
      </c>
      <c r="Y817" s="51" t="n">
        <v>0</v>
      </c>
      <c r="Z817" s="51" t="n">
        <v>0</v>
      </c>
      <c r="AA817" s="52" t="n">
        <v>0</v>
      </c>
      <c r="AB817" s="52" t="n">
        <v>0</v>
      </c>
      <c r="AC817" s="52" t="n">
        <v>0</v>
      </c>
      <c r="AD817" s="52" t="n">
        <v>0</v>
      </c>
      <c r="AE817" s="52" t="n">
        <v>0</v>
      </c>
      <c r="AF817" s="52" t="n">
        <v>0</v>
      </c>
      <c r="AG817" s="52" t="n">
        <v>0</v>
      </c>
      <c r="AH817" s="52" t="n">
        <v>0</v>
      </c>
      <c r="AI817" s="52" t="n">
        <v>0</v>
      </c>
      <c r="AJ817" s="52" t="n">
        <v>0</v>
      </c>
      <c r="AK817" s="52" t="n">
        <v>0</v>
      </c>
      <c r="AL817" s="52" t="n">
        <v>0</v>
      </c>
      <c r="AM817" s="53" t="n">
        <v>0</v>
      </c>
      <c r="AN817" s="53" t="n">
        <v>0</v>
      </c>
      <c r="AO817" s="53" t="n">
        <v>0</v>
      </c>
      <c r="AP817" s="53" t="n">
        <v>0</v>
      </c>
      <c r="AQ817" s="52" t="n">
        <v>0</v>
      </c>
      <c r="AR817" s="52" t="n">
        <v>0</v>
      </c>
      <c r="AS817" s="52" t="n">
        <v>0</v>
      </c>
      <c r="AT817" s="52" t="n">
        <v>0</v>
      </c>
      <c r="AU817" s="53" t="n">
        <v>0</v>
      </c>
      <c r="AV817" s="53" t="n">
        <v>0</v>
      </c>
      <c r="AW817" s="53" t="n">
        <v>0</v>
      </c>
      <c r="AX817" s="53" t="n">
        <v>0</v>
      </c>
      <c r="AY817" s="52" t="n">
        <v>0</v>
      </c>
      <c r="AZ817" s="52" t="n">
        <v>0</v>
      </c>
      <c r="BA817" s="52" t="n">
        <v>0</v>
      </c>
      <c r="BB817" s="52" t="n">
        <v>0</v>
      </c>
      <c r="BC817" s="51" t="n">
        <v>0</v>
      </c>
      <c r="BD817" s="51" t="n">
        <v>0</v>
      </c>
      <c r="BE817" s="51" t="n">
        <v>0</v>
      </c>
      <c r="BF817" s="51" t="n">
        <v>0</v>
      </c>
    </row>
    <row r="818">
      <c r="A818">
        <f>HYPERLINK("https://www.walmart.com/ip/883303950", "883303950")</f>
        <v/>
      </c>
      <c r="B818" t="inlineStr">
        <is>
          <t>Tirrinia 6 Bottle Wine Cooler Bag - Insulated Padded Portable Versatile Wine Carrier Tote Bag for Travel, BYOB Restaurant, Wine Tasting, Party, Pecfect Gift for Wine Lover, Grey</t>
        </is>
      </c>
      <c r="C818" t="inlineStr">
        <is>
          <t>1TRWB602GY</t>
        </is>
      </c>
      <c r="D818" t="inlineStr">
        <is>
          <t>Wine Totes, Bags &amp; Backpacks</t>
        </is>
      </c>
      <c r="E818" t="inlineStr">
        <is>
          <t>Tirrinia</t>
        </is>
      </c>
      <c r="F818" t="inlineStr">
        <is>
          <t>Wine,Christmas,Optimized,WFS,Wine WFS,Valentine,SEM,WFS Item,Lily Brand Camp</t>
        </is>
      </c>
      <c r="G818" s="48" t="n">
        <v>0</v>
      </c>
      <c r="H818" s="48" t="n">
        <v>0</v>
      </c>
      <c r="I818" s="48" t="n">
        <v>0</v>
      </c>
      <c r="J818" s="48" t="n">
        <v>0</v>
      </c>
      <c r="K818" s="49" t="n">
        <v>0</v>
      </c>
      <c r="L818" s="49" t="n">
        <v>0</v>
      </c>
      <c r="M818" s="49" t="n">
        <v>0</v>
      </c>
      <c r="N818" s="49" t="n">
        <v>0</v>
      </c>
      <c r="O818" s="49" t="n">
        <v>0</v>
      </c>
      <c r="P818" s="49" t="n">
        <v>0</v>
      </c>
      <c r="Q818" s="49" t="n">
        <v>0</v>
      </c>
      <c r="R818" s="49" t="n">
        <v>0</v>
      </c>
      <c r="S818" s="50" t="n">
        <v>0</v>
      </c>
      <c r="T818" s="50" t="n">
        <v>0</v>
      </c>
      <c r="U818" s="50" t="n">
        <v>0</v>
      </c>
      <c r="V818" s="50" t="n">
        <v>0</v>
      </c>
      <c r="W818" s="51" t="n">
        <v>0</v>
      </c>
      <c r="X818" s="51" t="n">
        <v>0</v>
      </c>
      <c r="Y818" s="51" t="n">
        <v>0</v>
      </c>
      <c r="Z818" s="51" t="n">
        <v>0</v>
      </c>
      <c r="AA818" s="52" t="n">
        <v>0</v>
      </c>
      <c r="AB818" s="52" t="n">
        <v>0</v>
      </c>
      <c r="AC818" s="52" t="n">
        <v>0</v>
      </c>
      <c r="AD818" s="52" t="n">
        <v>0</v>
      </c>
      <c r="AE818" s="52" t="n">
        <v>0</v>
      </c>
      <c r="AF818" s="52" t="n">
        <v>0</v>
      </c>
      <c r="AG818" s="52" t="n">
        <v>0</v>
      </c>
      <c r="AH818" s="52" t="n">
        <v>0</v>
      </c>
      <c r="AI818" s="52" t="n">
        <v>0</v>
      </c>
      <c r="AJ818" s="52" t="n">
        <v>0</v>
      </c>
      <c r="AK818" s="52" t="n">
        <v>0</v>
      </c>
      <c r="AL818" s="52" t="n">
        <v>0</v>
      </c>
      <c r="AM818" s="53" t="n">
        <v>0</v>
      </c>
      <c r="AN818" s="53" t="n">
        <v>0</v>
      </c>
      <c r="AO818" s="53" t="n">
        <v>0</v>
      </c>
      <c r="AP818" s="53" t="n">
        <v>0</v>
      </c>
      <c r="AQ818" s="52" t="n">
        <v>0</v>
      </c>
      <c r="AR818" s="52" t="n">
        <v>0</v>
      </c>
      <c r="AS818" s="52" t="n">
        <v>0</v>
      </c>
      <c r="AT818" s="52" t="n">
        <v>0</v>
      </c>
      <c r="AU818" s="53" t="n">
        <v>0</v>
      </c>
      <c r="AV818" s="53" t="n">
        <v>0</v>
      </c>
      <c r="AW818" s="53" t="n">
        <v>0</v>
      </c>
      <c r="AX818" s="53" t="n">
        <v>0</v>
      </c>
      <c r="AY818" s="52" t="n">
        <v>0</v>
      </c>
      <c r="AZ818" s="52" t="n">
        <v>0</v>
      </c>
      <c r="BA818" s="52" t="n">
        <v>0</v>
      </c>
      <c r="BB818" s="52" t="n">
        <v>0</v>
      </c>
      <c r="BC818" s="51" t="n">
        <v>0</v>
      </c>
      <c r="BD818" s="51" t="n">
        <v>0</v>
      </c>
      <c r="BE818" s="51" t="n">
        <v>0</v>
      </c>
      <c r="BF818" s="51" t="n">
        <v>0</v>
      </c>
    </row>
    <row r="819">
      <c r="A819">
        <f>HYPERLINK("https://www.walmart.com/ip/884723929", "884723929")</f>
        <v/>
      </c>
      <c r="B819" t="inlineStr">
        <is>
          <t>Catalonia Sherpa Throw Blanket 50" x 60", Micro Plush Mink Fleece</t>
        </is>
      </c>
      <c r="C819" t="inlineStr">
        <is>
          <t>1CTBF300LT</t>
        </is>
      </c>
      <c r="D819" t="inlineStr">
        <is>
          <t>Throws</t>
        </is>
      </c>
      <c r="E819" t="inlineStr">
        <is>
          <t>Catalonia</t>
        </is>
      </c>
      <c r="F819" t="inlineStr">
        <is>
          <t>Q2-Target,Optimized,WFS,Coupon_Discount,WFS Item</t>
        </is>
      </c>
      <c r="G819" s="48" t="n">
        <v>0</v>
      </c>
      <c r="H819" s="48" t="n">
        <v>0</v>
      </c>
      <c r="I819" s="48" t="n">
        <v>0</v>
      </c>
      <c r="J819" s="48" t="n">
        <v>0</v>
      </c>
      <c r="K819" s="49" t="n">
        <v>0</v>
      </c>
      <c r="L819" s="49" t="n">
        <v>0</v>
      </c>
      <c r="M819" s="49" t="n">
        <v>0</v>
      </c>
      <c r="N819" s="49" t="n">
        <v>0</v>
      </c>
      <c r="O819" s="49" t="n">
        <v>0</v>
      </c>
      <c r="P819" s="49" t="n">
        <v>0</v>
      </c>
      <c r="Q819" s="49" t="n">
        <v>0</v>
      </c>
      <c r="R819" s="49" t="n">
        <v>0</v>
      </c>
      <c r="S819" s="50" t="n">
        <v>0</v>
      </c>
      <c r="T819" s="50" t="n">
        <v>0</v>
      </c>
      <c r="U819" s="50" t="n">
        <v>0</v>
      </c>
      <c r="V819" s="50" t="n">
        <v>0</v>
      </c>
      <c r="W819" s="51" t="n">
        <v>0</v>
      </c>
      <c r="X819" s="51" t="n">
        <v>0</v>
      </c>
      <c r="Y819" s="51" t="n">
        <v>0</v>
      </c>
      <c r="Z819" s="51" t="n">
        <v>0</v>
      </c>
      <c r="AA819" s="52" t="n">
        <v>0</v>
      </c>
      <c r="AB819" s="52" t="n">
        <v>0</v>
      </c>
      <c r="AC819" s="52" t="n">
        <v>0</v>
      </c>
      <c r="AD819" s="52" t="n">
        <v>0</v>
      </c>
      <c r="AE819" s="52" t="n">
        <v>0</v>
      </c>
      <c r="AF819" s="52" t="n">
        <v>0</v>
      </c>
      <c r="AG819" s="52" t="n">
        <v>0</v>
      </c>
      <c r="AH819" s="52" t="n">
        <v>0</v>
      </c>
      <c r="AI819" s="52" t="n">
        <v>0</v>
      </c>
      <c r="AJ819" s="52" t="n">
        <v>0</v>
      </c>
      <c r="AK819" s="52" t="n">
        <v>0</v>
      </c>
      <c r="AL819" s="52" t="n">
        <v>0</v>
      </c>
      <c r="AM819" s="53" t="n">
        <v>0</v>
      </c>
      <c r="AN819" s="53" t="n">
        <v>0</v>
      </c>
      <c r="AO819" s="53" t="n">
        <v>0</v>
      </c>
      <c r="AP819" s="53" t="n">
        <v>0</v>
      </c>
      <c r="AQ819" s="52" t="n">
        <v>0</v>
      </c>
      <c r="AR819" s="52" t="n">
        <v>0</v>
      </c>
      <c r="AS819" s="52" t="n">
        <v>0</v>
      </c>
      <c r="AT819" s="52" t="n">
        <v>0</v>
      </c>
      <c r="AU819" s="53" t="n">
        <v>0</v>
      </c>
      <c r="AV819" s="53" t="n">
        <v>0</v>
      </c>
      <c r="AW819" s="53" t="n">
        <v>0</v>
      </c>
      <c r="AX819" s="53" t="n">
        <v>0</v>
      </c>
      <c r="AY819" s="52" t="n">
        <v>0</v>
      </c>
      <c r="AZ819" s="52" t="n">
        <v>0</v>
      </c>
      <c r="BA819" s="52" t="n">
        <v>0</v>
      </c>
      <c r="BB819" s="52" t="n">
        <v>0</v>
      </c>
      <c r="BC819" s="51" t="n">
        <v>0</v>
      </c>
      <c r="BD819" s="51" t="n">
        <v>0</v>
      </c>
      <c r="BE819" s="51" t="n">
        <v>0</v>
      </c>
      <c r="BF819" s="51" t="n">
        <v>0</v>
      </c>
    </row>
    <row r="820">
      <c r="A820">
        <f>HYPERLINK("https://www.walmart.com/ip/885137160", "885137160")</f>
        <v/>
      </c>
      <c r="B820" t="inlineStr">
        <is>
          <t>Tirrinia Insulated Wine Tumbler Set, 2 Pack, Silver</t>
        </is>
      </c>
      <c r="C820" t="inlineStr">
        <is>
          <t>1TRWT120SL-2PK</t>
        </is>
      </c>
      <c r="D820" t="inlineStr">
        <is>
          <t>Tumblers</t>
        </is>
      </c>
      <c r="E820" t="inlineStr">
        <is>
          <t>Tirrinia</t>
        </is>
      </c>
      <c r="F820" t="inlineStr">
        <is>
          <t>Wine,Christmas,Optimized,WFS,Wine WFS,Valentine,WFS Item</t>
        </is>
      </c>
      <c r="G820" s="48" t="n">
        <v>0</v>
      </c>
      <c r="H820" s="48" t="n">
        <v>0</v>
      </c>
      <c r="I820" s="48" t="n">
        <v>0</v>
      </c>
      <c r="J820" s="48" t="n">
        <v>0</v>
      </c>
      <c r="K820" s="49" t="n">
        <v>0</v>
      </c>
      <c r="L820" s="49" t="n">
        <v>0</v>
      </c>
      <c r="M820" s="49" t="n">
        <v>0</v>
      </c>
      <c r="N820" s="49" t="n">
        <v>0</v>
      </c>
      <c r="O820" s="49" t="n">
        <v>0</v>
      </c>
      <c r="P820" s="49" t="n">
        <v>0</v>
      </c>
      <c r="Q820" s="49" t="n">
        <v>0</v>
      </c>
      <c r="R820" s="49" t="n">
        <v>0</v>
      </c>
      <c r="S820" s="50" t="n">
        <v>0</v>
      </c>
      <c r="T820" s="50" t="n">
        <v>0</v>
      </c>
      <c r="U820" s="50" t="n">
        <v>0</v>
      </c>
      <c r="V820" s="50" t="n">
        <v>0</v>
      </c>
      <c r="W820" s="51" t="n">
        <v>0</v>
      </c>
      <c r="X820" s="51" t="n">
        <v>0</v>
      </c>
      <c r="Y820" s="51" t="n">
        <v>0</v>
      </c>
      <c r="Z820" s="51" t="n">
        <v>0</v>
      </c>
      <c r="AA820" s="52" t="n">
        <v>0</v>
      </c>
      <c r="AB820" s="52" t="n">
        <v>0</v>
      </c>
      <c r="AC820" s="52" t="n">
        <v>0</v>
      </c>
      <c r="AD820" s="52" t="n">
        <v>0</v>
      </c>
      <c r="AE820" s="52" t="n">
        <v>0</v>
      </c>
      <c r="AF820" s="52" t="n">
        <v>0</v>
      </c>
      <c r="AG820" s="52" t="n">
        <v>0</v>
      </c>
      <c r="AH820" s="52" t="n">
        <v>0</v>
      </c>
      <c r="AI820" s="52" t="n">
        <v>0</v>
      </c>
      <c r="AJ820" s="52" t="n">
        <v>0</v>
      </c>
      <c r="AK820" s="52" t="n">
        <v>0</v>
      </c>
      <c r="AL820" s="52" t="n">
        <v>0</v>
      </c>
      <c r="AM820" s="53" t="n">
        <v>0</v>
      </c>
      <c r="AN820" s="53" t="n">
        <v>0</v>
      </c>
      <c r="AO820" s="53" t="n">
        <v>0</v>
      </c>
      <c r="AP820" s="53" t="n">
        <v>0</v>
      </c>
      <c r="AQ820" s="52" t="n">
        <v>0</v>
      </c>
      <c r="AR820" s="52" t="n">
        <v>0</v>
      </c>
      <c r="AS820" s="52" t="n">
        <v>0</v>
      </c>
      <c r="AT820" s="52" t="n">
        <v>0</v>
      </c>
      <c r="AU820" s="53" t="n">
        <v>0</v>
      </c>
      <c r="AV820" s="53" t="n">
        <v>0</v>
      </c>
      <c r="AW820" s="53" t="n">
        <v>0</v>
      </c>
      <c r="AX820" s="53" t="n">
        <v>0</v>
      </c>
      <c r="AY820" s="52" t="n">
        <v>0</v>
      </c>
      <c r="AZ820" s="52" t="n">
        <v>0</v>
      </c>
      <c r="BA820" s="52" t="n">
        <v>0</v>
      </c>
      <c r="BB820" s="52" t="n">
        <v>0</v>
      </c>
      <c r="BC820" s="51" t="n">
        <v>0</v>
      </c>
      <c r="BD820" s="51" t="n">
        <v>0</v>
      </c>
      <c r="BE820" s="51" t="n">
        <v>0</v>
      </c>
      <c r="BF820" s="51" t="n">
        <v>0</v>
      </c>
    </row>
    <row r="821">
      <c r="A821">
        <f>HYPERLINK("https://www.walmart.com/ip/885342309", "885342309")</f>
        <v/>
      </c>
      <c r="B821" t="inlineStr">
        <is>
          <t>Microplush Sherpa Blanket with Sleeves for Women and Men Grey</t>
        </is>
      </c>
      <c r="C821" t="inlineStr">
        <is>
          <t>1TNSN110GY-TPB</t>
        </is>
      </c>
      <c r="D821" t="inlineStr">
        <is>
          <t>Throws</t>
        </is>
      </c>
      <c r="E821" t="inlineStr">
        <is>
          <t>Terrania</t>
        </is>
      </c>
      <c r="G821" s="48" t="n">
        <v>0</v>
      </c>
      <c r="H821" s="48" t="n">
        <v>0</v>
      </c>
      <c r="I821" s="48" t="n">
        <v>0</v>
      </c>
      <c r="J821" s="48" t="n">
        <v>0</v>
      </c>
      <c r="K821" s="49" t="n">
        <v>0</v>
      </c>
      <c r="L821" s="49" t="n">
        <v>0</v>
      </c>
      <c r="M821" s="49" t="n">
        <v>0</v>
      </c>
      <c r="N821" s="49" t="n">
        <v>0</v>
      </c>
      <c r="O821" s="49" t="n">
        <v>0</v>
      </c>
      <c r="P821" s="49" t="n">
        <v>0</v>
      </c>
      <c r="Q821" s="49" t="n">
        <v>0</v>
      </c>
      <c r="R821" s="49" t="n">
        <v>0</v>
      </c>
      <c r="S821" s="50" t="n">
        <v>0</v>
      </c>
      <c r="T821" s="50" t="n">
        <v>0</v>
      </c>
      <c r="U821" s="50" t="n">
        <v>0</v>
      </c>
      <c r="V821" s="50" t="n">
        <v>0</v>
      </c>
      <c r="W821" s="51" t="n">
        <v>0</v>
      </c>
      <c r="X821" s="51" t="n">
        <v>0</v>
      </c>
      <c r="Y821" s="51" t="n">
        <v>0</v>
      </c>
      <c r="Z821" s="51" t="n">
        <v>0</v>
      </c>
      <c r="AA821" s="52" t="n">
        <v>0</v>
      </c>
      <c r="AB821" s="52" t="n">
        <v>0</v>
      </c>
      <c r="AC821" s="52" t="n">
        <v>0</v>
      </c>
      <c r="AD821" s="52" t="n">
        <v>0</v>
      </c>
      <c r="AE821" s="52" t="n">
        <v>0</v>
      </c>
      <c r="AF821" s="52" t="n">
        <v>0</v>
      </c>
      <c r="AG821" s="52" t="n">
        <v>0</v>
      </c>
      <c r="AH821" s="52" t="n">
        <v>0</v>
      </c>
      <c r="AI821" s="52" t="n">
        <v>0</v>
      </c>
      <c r="AJ821" s="52" t="n">
        <v>0</v>
      </c>
      <c r="AK821" s="52" t="n">
        <v>0</v>
      </c>
      <c r="AL821" s="52" t="n">
        <v>0</v>
      </c>
      <c r="AM821" s="53" t="n">
        <v>0</v>
      </c>
      <c r="AN821" s="53" t="n">
        <v>0</v>
      </c>
      <c r="AO821" s="53" t="n">
        <v>0</v>
      </c>
      <c r="AP821" s="53" t="n">
        <v>0</v>
      </c>
      <c r="AQ821" s="52" t="n">
        <v>0</v>
      </c>
      <c r="AR821" s="52" t="n">
        <v>0</v>
      </c>
      <c r="AS821" s="52" t="n">
        <v>0</v>
      </c>
      <c r="AT821" s="52" t="n">
        <v>0</v>
      </c>
      <c r="AU821" s="53" t="n">
        <v>0</v>
      </c>
      <c r="AV821" s="53" t="n">
        <v>0</v>
      </c>
      <c r="AW821" s="53" t="n">
        <v>0</v>
      </c>
      <c r="AX821" s="53" t="n">
        <v>0</v>
      </c>
      <c r="AY821" s="52" t="n">
        <v>0</v>
      </c>
      <c r="AZ821" s="52" t="n">
        <v>0</v>
      </c>
      <c r="BA821" s="52" t="n">
        <v>0</v>
      </c>
      <c r="BB821" s="52" t="n">
        <v>0</v>
      </c>
      <c r="BC821" s="51" t="n">
        <v>0</v>
      </c>
      <c r="BD821" s="51" t="n">
        <v>0</v>
      </c>
      <c r="BE821" s="51" t="n">
        <v>0</v>
      </c>
      <c r="BF821" s="51" t="n">
        <v>0</v>
      </c>
    </row>
    <row r="822">
      <c r="A822">
        <f>HYPERLINK("https://www.walmart.com/ip/885770103", "885770103")</f>
        <v/>
      </c>
      <c r="B822" t="inlineStr">
        <is>
          <t>Extra Large Lunch Bag - 13L/ 22 Can, Insulated &amp; Leakproof Adult Reusable Meal Prep Bento Box Cooler Tote for Men &amp; Women with Dual Compartment, Canvas Blue</t>
        </is>
      </c>
      <c r="C822" t="inlineStr">
        <is>
          <t>1KTLB410BL-6D</t>
        </is>
      </c>
      <c r="D822" t="inlineStr">
        <is>
          <t>Reusable Lunch Bags &amp; Boxes</t>
        </is>
      </c>
      <c r="E822" t="inlineStr">
        <is>
          <t>Tirrinia</t>
        </is>
      </c>
      <c r="F822" t="inlineStr">
        <is>
          <t>Q2-Target,Brand Camp VD,Lunch Bag,WFS,Lunch Bags,SEM,WFS Item</t>
        </is>
      </c>
      <c r="G822" s="48" t="n">
        <v>0</v>
      </c>
      <c r="H822" s="48" t="n">
        <v>0</v>
      </c>
      <c r="I822" s="48" t="n">
        <v>0</v>
      </c>
      <c r="J822" s="48" t="n">
        <v>0</v>
      </c>
      <c r="K822" s="49" t="n">
        <v>0</v>
      </c>
      <c r="L822" s="49" t="n">
        <v>0</v>
      </c>
      <c r="M822" s="49" t="n">
        <v>0</v>
      </c>
      <c r="N822" s="49" t="n">
        <v>0</v>
      </c>
      <c r="O822" s="49" t="n">
        <v>0</v>
      </c>
      <c r="P822" s="49" t="n">
        <v>0</v>
      </c>
      <c r="Q822" s="49" t="n">
        <v>0</v>
      </c>
      <c r="R822" s="49" t="n">
        <v>0</v>
      </c>
      <c r="S822" s="50" t="n">
        <v>0</v>
      </c>
      <c r="T822" s="50" t="n">
        <v>0</v>
      </c>
      <c r="U822" s="50" t="n">
        <v>0</v>
      </c>
      <c r="V822" s="50" t="n">
        <v>0</v>
      </c>
      <c r="W822" s="51" t="n">
        <v>0</v>
      </c>
      <c r="X822" s="51" t="n">
        <v>0</v>
      </c>
      <c r="Y822" s="51" t="n">
        <v>0</v>
      </c>
      <c r="Z822" s="51" t="n">
        <v>0</v>
      </c>
      <c r="AA822" s="52" t="n">
        <v>0</v>
      </c>
      <c r="AB822" s="52" t="n">
        <v>0</v>
      </c>
      <c r="AC822" s="52" t="n">
        <v>0</v>
      </c>
      <c r="AD822" s="52" t="n">
        <v>0</v>
      </c>
      <c r="AE822" s="52" t="n">
        <v>0</v>
      </c>
      <c r="AF822" s="52" t="n">
        <v>0</v>
      </c>
      <c r="AG822" s="52" t="n">
        <v>0</v>
      </c>
      <c r="AH822" s="52" t="n">
        <v>0</v>
      </c>
      <c r="AI822" s="52" t="n">
        <v>0</v>
      </c>
      <c r="AJ822" s="52" t="n">
        <v>0</v>
      </c>
      <c r="AK822" s="52" t="n">
        <v>0</v>
      </c>
      <c r="AL822" s="52" t="n">
        <v>0</v>
      </c>
      <c r="AM822" s="53" t="n">
        <v>0</v>
      </c>
      <c r="AN822" s="53" t="n">
        <v>0</v>
      </c>
      <c r="AO822" s="53" t="n">
        <v>0</v>
      </c>
      <c r="AP822" s="53" t="n">
        <v>0</v>
      </c>
      <c r="AQ822" s="52" t="n">
        <v>0</v>
      </c>
      <c r="AR822" s="52" t="n">
        <v>0</v>
      </c>
      <c r="AS822" s="52" t="n">
        <v>0</v>
      </c>
      <c r="AT822" s="52" t="n">
        <v>0</v>
      </c>
      <c r="AU822" s="53" t="n">
        <v>0</v>
      </c>
      <c r="AV822" s="53" t="n">
        <v>0</v>
      </c>
      <c r="AW822" s="53" t="n">
        <v>0</v>
      </c>
      <c r="AX822" s="53" t="n">
        <v>0</v>
      </c>
      <c r="AY822" s="52" t="n">
        <v>0</v>
      </c>
      <c r="AZ822" s="52" t="n">
        <v>0</v>
      </c>
      <c r="BA822" s="52" t="n">
        <v>0</v>
      </c>
      <c r="BB822" s="52" t="n">
        <v>0</v>
      </c>
      <c r="BC822" s="51" t="n">
        <v>0</v>
      </c>
      <c r="BD822" s="51" t="n">
        <v>0</v>
      </c>
      <c r="BE822" s="51" t="n">
        <v>0</v>
      </c>
      <c r="BF822" s="51" t="n">
        <v>0</v>
      </c>
    </row>
    <row r="823">
      <c r="A823">
        <f>HYPERLINK("https://www.walmart.com/ip/886441152", "886441152")</f>
        <v/>
      </c>
      <c r="B823" t="inlineStr">
        <is>
          <t>Sun Blocker Unisex Sun Hat with Neck Flap Wide Brim Outdoor Camping Hiking Hunting Fishing Cap for Men Women, Tan</t>
        </is>
      </c>
      <c r="C823" t="inlineStr">
        <is>
          <t>KC-S9152-TN</t>
        </is>
      </c>
      <c r="D823" t="inlineStr">
        <is>
          <t>Hats</t>
        </is>
      </c>
      <c r="E823" t="inlineStr">
        <is>
          <t>Tirrinia</t>
        </is>
      </c>
      <c r="F823" t="inlineStr">
        <is>
          <t>Q2-Target,WFS,Hats,WFS Item</t>
        </is>
      </c>
      <c r="G823" s="48" t="n">
        <v>0</v>
      </c>
      <c r="H823" s="48" t="n">
        <v>47.97</v>
      </c>
      <c r="I823" s="48" t="n">
        <v>0</v>
      </c>
      <c r="J823" s="48" t="n">
        <v>0</v>
      </c>
      <c r="K823" s="49" t="n">
        <v>0</v>
      </c>
      <c r="L823" s="49" t="n">
        <v>3</v>
      </c>
      <c r="M823" s="49" t="n">
        <v>0</v>
      </c>
      <c r="N823" s="49" t="n">
        <v>0</v>
      </c>
      <c r="O823" s="49" t="n">
        <v>0</v>
      </c>
      <c r="P823" s="49" t="n">
        <v>0</v>
      </c>
      <c r="Q823" s="49" t="n">
        <v>0</v>
      </c>
      <c r="R823" s="49" t="n">
        <v>1</v>
      </c>
      <c r="S823" s="50" t="n">
        <v>0</v>
      </c>
      <c r="T823" s="50" t="n">
        <v>0</v>
      </c>
      <c r="U823" s="50" t="n">
        <v>0</v>
      </c>
      <c r="V823" s="50" t="n">
        <v>0</v>
      </c>
      <c r="W823" s="51" t="n">
        <v>0</v>
      </c>
      <c r="X823" s="51" t="n">
        <v>0</v>
      </c>
      <c r="Y823" s="51" t="n">
        <v>0</v>
      </c>
      <c r="Z823" s="51" t="n">
        <v>0</v>
      </c>
      <c r="AA823" s="52" t="n">
        <v>0</v>
      </c>
      <c r="AB823" s="52" t="n">
        <v>0</v>
      </c>
      <c r="AC823" s="52" t="n">
        <v>0</v>
      </c>
      <c r="AD823" s="52" t="n">
        <v>0</v>
      </c>
      <c r="AE823" s="52" t="n">
        <v>0</v>
      </c>
      <c r="AF823" s="52" t="n">
        <v>0</v>
      </c>
      <c r="AG823" s="52" t="n">
        <v>0</v>
      </c>
      <c r="AH823" s="52" t="n">
        <v>0</v>
      </c>
      <c r="AI823" s="52" t="n">
        <v>0</v>
      </c>
      <c r="AJ823" s="52" t="n">
        <v>0</v>
      </c>
      <c r="AK823" s="52" t="n">
        <v>0</v>
      </c>
      <c r="AL823" s="52" t="n">
        <v>0</v>
      </c>
      <c r="AM823" s="53" t="n">
        <v>0</v>
      </c>
      <c r="AN823" s="53" t="n">
        <v>0</v>
      </c>
      <c r="AO823" s="53" t="n">
        <v>0</v>
      </c>
      <c r="AP823" s="53" t="n">
        <v>0</v>
      </c>
      <c r="AQ823" s="52" t="n">
        <v>0</v>
      </c>
      <c r="AR823" s="52" t="n">
        <v>0</v>
      </c>
      <c r="AS823" s="52" t="n">
        <v>0</v>
      </c>
      <c r="AT823" s="52" t="n">
        <v>0</v>
      </c>
      <c r="AU823" s="53" t="n">
        <v>0</v>
      </c>
      <c r="AV823" s="53" t="n">
        <v>0</v>
      </c>
      <c r="AW823" s="53" t="n">
        <v>0</v>
      </c>
      <c r="AX823" s="53" t="n">
        <v>0</v>
      </c>
      <c r="AY823" s="52" t="n">
        <v>0</v>
      </c>
      <c r="AZ823" s="52" t="n">
        <v>15.99</v>
      </c>
      <c r="BA823" s="52" t="n">
        <v>0</v>
      </c>
      <c r="BB823" s="52" t="n">
        <v>0</v>
      </c>
      <c r="BC823" s="51" t="n">
        <v>0</v>
      </c>
      <c r="BD823" s="51" t="n">
        <v>0</v>
      </c>
      <c r="BE823" s="51" t="n">
        <v>0</v>
      </c>
      <c r="BF823" s="51" t="n">
        <v>0</v>
      </c>
    </row>
    <row r="824">
      <c r="A824">
        <f>HYPERLINK("https://www.walmart.com/ip/887251114", "887251114")</f>
        <v/>
      </c>
      <c r="B824" t="inlineStr">
        <is>
          <t>Flyingstar Waterproof Camping Blanket, Wearable Windproof Hooded Blanket Poncho for Sports Stadium, Camping, Beach, Picnic, Car or Pet Friendly Use, Green&amp;Black</t>
        </is>
      </c>
      <c r="C824" t="inlineStr">
        <is>
          <t>1WMBC200GNBK</t>
        </is>
      </c>
      <c r="D824" t="inlineStr">
        <is>
          <t>Picnic Blankets &amp; Mats</t>
        </is>
      </c>
      <c r="E824" t="inlineStr">
        <is>
          <t>Flyingstar</t>
        </is>
      </c>
      <c r="F824" t="inlineStr">
        <is>
          <t>Optimized,SEM</t>
        </is>
      </c>
      <c r="G824" s="48" t="n">
        <v>0</v>
      </c>
      <c r="H824" s="48" t="n">
        <v>0</v>
      </c>
      <c r="I824" s="48" t="n">
        <v>0</v>
      </c>
      <c r="J824" s="48" t="n">
        <v>0</v>
      </c>
      <c r="K824" s="49" t="n">
        <v>0</v>
      </c>
      <c r="L824" s="49" t="n">
        <v>0</v>
      </c>
      <c r="M824" s="49" t="n">
        <v>0</v>
      </c>
      <c r="N824" s="49" t="n">
        <v>0</v>
      </c>
      <c r="O824" s="49" t="n">
        <v>0</v>
      </c>
      <c r="P824" s="49" t="n">
        <v>0</v>
      </c>
      <c r="Q824" s="49" t="n">
        <v>0</v>
      </c>
      <c r="R824" s="49" t="n">
        <v>0</v>
      </c>
      <c r="S824" s="50" t="n">
        <v>0</v>
      </c>
      <c r="T824" s="50" t="n">
        <v>0</v>
      </c>
      <c r="U824" s="50" t="n">
        <v>0</v>
      </c>
      <c r="V824" s="50" t="n">
        <v>0</v>
      </c>
      <c r="W824" s="51" t="n">
        <v>0</v>
      </c>
      <c r="X824" s="51" t="n">
        <v>0</v>
      </c>
      <c r="Y824" s="51" t="n">
        <v>0</v>
      </c>
      <c r="Z824" s="51" t="n">
        <v>0</v>
      </c>
      <c r="AA824" s="52" t="n">
        <v>0</v>
      </c>
      <c r="AB824" s="52" t="n">
        <v>0</v>
      </c>
      <c r="AC824" s="52" t="n">
        <v>0</v>
      </c>
      <c r="AD824" s="52" t="n">
        <v>0</v>
      </c>
      <c r="AE824" s="52" t="n">
        <v>0</v>
      </c>
      <c r="AF824" s="52" t="n">
        <v>0</v>
      </c>
      <c r="AG824" s="52" t="n">
        <v>0</v>
      </c>
      <c r="AH824" s="52" t="n">
        <v>0</v>
      </c>
      <c r="AI824" s="52" t="n">
        <v>0</v>
      </c>
      <c r="AJ824" s="52" t="n">
        <v>0</v>
      </c>
      <c r="AK824" s="52" t="n">
        <v>0</v>
      </c>
      <c r="AL824" s="52" t="n">
        <v>0</v>
      </c>
      <c r="AM824" s="53" t="n">
        <v>0</v>
      </c>
      <c r="AN824" s="53" t="n">
        <v>0</v>
      </c>
      <c r="AO824" s="53" t="n">
        <v>0</v>
      </c>
      <c r="AP824" s="53" t="n">
        <v>0</v>
      </c>
      <c r="AQ824" s="52" t="n">
        <v>0</v>
      </c>
      <c r="AR824" s="52" t="n">
        <v>0</v>
      </c>
      <c r="AS824" s="52" t="n">
        <v>0</v>
      </c>
      <c r="AT824" s="52" t="n">
        <v>0</v>
      </c>
      <c r="AU824" s="53" t="n">
        <v>0</v>
      </c>
      <c r="AV824" s="53" t="n">
        <v>0</v>
      </c>
      <c r="AW824" s="53" t="n">
        <v>0</v>
      </c>
      <c r="AX824" s="53" t="n">
        <v>0</v>
      </c>
      <c r="AY824" s="52" t="n">
        <v>0</v>
      </c>
      <c r="AZ824" s="52" t="n">
        <v>0</v>
      </c>
      <c r="BA824" s="52" t="n">
        <v>0</v>
      </c>
      <c r="BB824" s="52" t="n">
        <v>0</v>
      </c>
      <c r="BC824" s="51" t="n">
        <v>0</v>
      </c>
      <c r="BD824" s="51" t="n">
        <v>0</v>
      </c>
      <c r="BE824" s="51" t="n">
        <v>0</v>
      </c>
      <c r="BF824" s="51" t="n">
        <v>0</v>
      </c>
    </row>
    <row r="825">
      <c r="A825">
        <f>HYPERLINK("https://www.walmart.com/ip/887328241", "887328241")</f>
        <v/>
      </c>
      <c r="B825" t="inlineStr">
        <is>
          <t>Sherpa Fleece Throw Blanket for Kids,Super Soft Light Weight Reversible Fuzzy Snuggle Blanket for Camping Couch Bed All Season 50”x 60”</t>
        </is>
      </c>
      <c r="C825" t="inlineStr">
        <is>
          <t>1CTBF566BL</t>
        </is>
      </c>
      <c r="D825" t="inlineStr">
        <is>
          <t>Throws</t>
        </is>
      </c>
      <c r="E825" t="inlineStr">
        <is>
          <t>Catalonia</t>
        </is>
      </c>
      <c r="F825" t="inlineStr">
        <is>
          <t>WFS,WFS Item</t>
        </is>
      </c>
      <c r="G825" s="48" t="n">
        <v>0</v>
      </c>
      <c r="H825" s="48" t="n">
        <v>0</v>
      </c>
      <c r="I825" s="48" t="n">
        <v>0</v>
      </c>
      <c r="J825" s="48" t="n">
        <v>0</v>
      </c>
      <c r="K825" s="49" t="n">
        <v>0</v>
      </c>
      <c r="L825" s="49" t="n">
        <v>0</v>
      </c>
      <c r="M825" s="49" t="n">
        <v>0</v>
      </c>
      <c r="N825" s="49" t="n">
        <v>0</v>
      </c>
      <c r="O825" s="49" t="n">
        <v>0</v>
      </c>
      <c r="P825" s="49" t="n">
        <v>0</v>
      </c>
      <c r="Q825" s="49" t="n">
        <v>0</v>
      </c>
      <c r="R825" s="49" t="n">
        <v>0</v>
      </c>
      <c r="S825" s="50" t="n">
        <v>0</v>
      </c>
      <c r="T825" s="50" t="n">
        <v>0</v>
      </c>
      <c r="U825" s="50" t="n">
        <v>0</v>
      </c>
      <c r="V825" s="50" t="n">
        <v>0</v>
      </c>
      <c r="W825" s="51" t="n">
        <v>0</v>
      </c>
      <c r="X825" s="51" t="n">
        <v>0</v>
      </c>
      <c r="Y825" s="51" t="n">
        <v>0</v>
      </c>
      <c r="Z825" s="51" t="n">
        <v>0</v>
      </c>
      <c r="AA825" s="52" t="n">
        <v>0</v>
      </c>
      <c r="AB825" s="52" t="n">
        <v>0</v>
      </c>
      <c r="AC825" s="52" t="n">
        <v>0</v>
      </c>
      <c r="AD825" s="52" t="n">
        <v>0</v>
      </c>
      <c r="AE825" s="52" t="n">
        <v>0</v>
      </c>
      <c r="AF825" s="52" t="n">
        <v>0</v>
      </c>
      <c r="AG825" s="52" t="n">
        <v>0</v>
      </c>
      <c r="AH825" s="52" t="n">
        <v>0</v>
      </c>
      <c r="AI825" s="52" t="n">
        <v>0</v>
      </c>
      <c r="AJ825" s="52" t="n">
        <v>0</v>
      </c>
      <c r="AK825" s="52" t="n">
        <v>0</v>
      </c>
      <c r="AL825" s="52" t="n">
        <v>0</v>
      </c>
      <c r="AM825" s="53" t="n">
        <v>0</v>
      </c>
      <c r="AN825" s="53" t="n">
        <v>0</v>
      </c>
      <c r="AO825" s="53" t="n">
        <v>0</v>
      </c>
      <c r="AP825" s="53" t="n">
        <v>0</v>
      </c>
      <c r="AQ825" s="52" t="n">
        <v>0</v>
      </c>
      <c r="AR825" s="52" t="n">
        <v>0</v>
      </c>
      <c r="AS825" s="52" t="n">
        <v>0</v>
      </c>
      <c r="AT825" s="52" t="n">
        <v>0</v>
      </c>
      <c r="AU825" s="53" t="n">
        <v>0</v>
      </c>
      <c r="AV825" s="53" t="n">
        <v>0</v>
      </c>
      <c r="AW825" s="53" t="n">
        <v>0</v>
      </c>
      <c r="AX825" s="53" t="n">
        <v>0</v>
      </c>
      <c r="AY825" s="52" t="n">
        <v>0</v>
      </c>
      <c r="AZ825" s="52" t="n">
        <v>0</v>
      </c>
      <c r="BA825" s="52" t="n">
        <v>0</v>
      </c>
      <c r="BB825" s="52" t="n">
        <v>0</v>
      </c>
      <c r="BC825" s="51" t="n">
        <v>0</v>
      </c>
      <c r="BD825" s="51" t="n">
        <v>0</v>
      </c>
      <c r="BE825" s="51" t="n">
        <v>0</v>
      </c>
      <c r="BF825" s="51" t="n">
        <v>0</v>
      </c>
    </row>
    <row r="826">
      <c r="A826">
        <f>HYPERLINK("https://www.walmart.com/ip/888252893", "888252893")</f>
        <v/>
      </c>
      <c r="B826" t="inlineStr">
        <is>
          <t>FlyingStar Waterproof Outdoor Blanket with Sherpa Lining, Windproof Triple Layers Warm Comfy Foldable for Camping Stadium, Sports, Picnic, Grass, Concerts and Pet, Black/Grey,  51''X 59''</t>
        </is>
      </c>
      <c r="C826" t="inlineStr">
        <is>
          <t>1WMBW506BKGY</t>
        </is>
      </c>
      <c r="D826" t="inlineStr">
        <is>
          <t>Picnic Blankets &amp; Mats</t>
        </is>
      </c>
      <c r="E826" t="inlineStr">
        <is>
          <t>Flyingstar</t>
        </is>
      </c>
      <c r="F826" t="inlineStr">
        <is>
          <t>Q2-Target,Optimized,SEM</t>
        </is>
      </c>
      <c r="G826" s="48" t="n">
        <v>0</v>
      </c>
      <c r="H826" s="48" t="n">
        <v>36.98</v>
      </c>
      <c r="I826" s="48" t="n">
        <v>0</v>
      </c>
      <c r="J826" s="48" t="n">
        <v>0</v>
      </c>
      <c r="K826" s="49" t="n">
        <v>0</v>
      </c>
      <c r="L826" s="49" t="n">
        <v>1</v>
      </c>
      <c r="M826" s="49" t="n">
        <v>0</v>
      </c>
      <c r="N826" s="49" t="n">
        <v>0</v>
      </c>
      <c r="O826" s="49" t="n">
        <v>33</v>
      </c>
      <c r="P826" s="49" t="n">
        <v>42</v>
      </c>
      <c r="Q826" s="49" t="n">
        <v>43</v>
      </c>
      <c r="R826" s="49" t="n">
        <v>49</v>
      </c>
      <c r="S826" s="50" t="n">
        <v>0</v>
      </c>
      <c r="T826" s="50" t="n">
        <v>0.02380952380952381</v>
      </c>
      <c r="U826" s="50" t="n">
        <v>0</v>
      </c>
      <c r="V826" s="50" t="n">
        <v>0</v>
      </c>
      <c r="W826" s="51" t="n">
        <v>8</v>
      </c>
      <c r="X826" s="51" t="n">
        <v>12</v>
      </c>
      <c r="Y826" s="51" t="n">
        <v>12</v>
      </c>
      <c r="Z826" s="51" t="n">
        <v>23</v>
      </c>
      <c r="AA826" s="52" t="n">
        <v>1.67</v>
      </c>
      <c r="AB826" s="52" t="n">
        <v>2.46</v>
      </c>
      <c r="AC826" s="52" t="n">
        <v>2.5</v>
      </c>
      <c r="AD826" s="52" t="n">
        <v>4.78</v>
      </c>
      <c r="AE826" s="52" t="n">
        <v>0</v>
      </c>
      <c r="AF826" s="52" t="n">
        <v>39.99</v>
      </c>
      <c r="AG826" s="52" t="n">
        <v>0</v>
      </c>
      <c r="AH826" s="52" t="n">
        <v>0</v>
      </c>
      <c r="AI826" s="52" t="n">
        <v>0</v>
      </c>
      <c r="AJ826" s="52" t="n">
        <v>16.26</v>
      </c>
      <c r="AK826" s="52" t="n">
        <v>0</v>
      </c>
      <c r="AL826" s="52" t="n">
        <v>0</v>
      </c>
      <c r="AM826" s="53" t="n">
        <v>0.0007</v>
      </c>
      <c r="AN826" s="53" t="n">
        <v>0.0008</v>
      </c>
      <c r="AO826" s="53" t="n">
        <v>0.0011</v>
      </c>
      <c r="AP826" s="53" t="n">
        <v>0.002</v>
      </c>
      <c r="AQ826" s="52" t="n">
        <v>0.20875</v>
      </c>
      <c r="AR826" s="52" t="n">
        <v>0.205</v>
      </c>
      <c r="AS826" s="52" t="n">
        <v>0.2083333333333333</v>
      </c>
      <c r="AT826" s="52" t="n">
        <v>0.2078260869565217</v>
      </c>
      <c r="AU826" s="53" t="n">
        <v>0</v>
      </c>
      <c r="AV826" s="53" t="n">
        <v>0.06652244456462954</v>
      </c>
      <c r="AW826" s="53" t="n">
        <v>0</v>
      </c>
      <c r="AX826" s="53" t="n">
        <v>0</v>
      </c>
      <c r="AY826" s="52" t="n">
        <v>0</v>
      </c>
      <c r="AZ826" s="52" t="n">
        <v>36.98</v>
      </c>
      <c r="BA826" s="52" t="n">
        <v>0</v>
      </c>
      <c r="BB826" s="52" t="n">
        <v>0</v>
      </c>
      <c r="BC826" s="51" t="n">
        <v>12116</v>
      </c>
      <c r="BD826" s="51" t="n">
        <v>14507</v>
      </c>
      <c r="BE826" s="51" t="n">
        <v>11071</v>
      </c>
      <c r="BF826" s="51" t="n">
        <v>11256</v>
      </c>
    </row>
    <row r="827">
      <c r="A827">
        <f>HYPERLINK("https://www.walmart.com/ip/889278328", "889278328")</f>
        <v/>
      </c>
      <c r="B827" t="inlineStr">
        <is>
          <t>Leopard Wearable Fleece Blanket with Sleeves for Adult Women Men, Super Soft Comfy Plush TV Blanket Throw Wrap Cover for Lounge Couch Reading Watching TV 73" x 51"</t>
        </is>
      </c>
      <c r="C827" t="inlineStr">
        <is>
          <t>1TRSN100CHEETAH</t>
        </is>
      </c>
      <c r="D827" t="inlineStr">
        <is>
          <t>Throws</t>
        </is>
      </c>
      <c r="E827" t="inlineStr">
        <is>
          <t>Tirrinia</t>
        </is>
      </c>
      <c r="F827" t="inlineStr">
        <is>
          <t>Optimized</t>
        </is>
      </c>
      <c r="G827" s="48" t="n">
        <v>0</v>
      </c>
      <c r="H827" s="48" t="n">
        <v>23.99</v>
      </c>
      <c r="I827" s="48" t="n">
        <v>0</v>
      </c>
      <c r="J827" s="48" t="n">
        <v>0</v>
      </c>
      <c r="K827" s="49" t="n">
        <v>0</v>
      </c>
      <c r="L827" s="49" t="n">
        <v>1</v>
      </c>
      <c r="M827" s="49" t="n">
        <v>0</v>
      </c>
      <c r="N827" s="49" t="n">
        <v>0</v>
      </c>
      <c r="O827" s="49" t="n">
        <v>0</v>
      </c>
      <c r="P827" s="49" t="n">
        <v>0</v>
      </c>
      <c r="Q827" s="49" t="n">
        <v>0</v>
      </c>
      <c r="R827" s="49" t="n">
        <v>0</v>
      </c>
      <c r="S827" s="50" t="n">
        <v>0</v>
      </c>
      <c r="T827" s="50" t="n">
        <v>0</v>
      </c>
      <c r="U827" s="50" t="n">
        <v>0</v>
      </c>
      <c r="V827" s="50" t="n">
        <v>0</v>
      </c>
      <c r="W827" s="51" t="n">
        <v>12</v>
      </c>
      <c r="X827" s="51" t="n">
        <v>11</v>
      </c>
      <c r="Y827" s="51" t="n">
        <v>0</v>
      </c>
      <c r="Z827" s="51" t="n">
        <v>0</v>
      </c>
      <c r="AA827" s="52" t="n">
        <v>3.62</v>
      </c>
      <c r="AB827" s="52" t="n">
        <v>3.23</v>
      </c>
      <c r="AC827" s="52" t="n">
        <v>0</v>
      </c>
      <c r="AD827" s="52" t="n">
        <v>0</v>
      </c>
      <c r="AE827" s="52" t="n">
        <v>0</v>
      </c>
      <c r="AF827" s="52" t="n">
        <v>0</v>
      </c>
      <c r="AG827" s="52" t="n">
        <v>0</v>
      </c>
      <c r="AH827" s="52" t="n">
        <v>0</v>
      </c>
      <c r="AI827" s="52" t="n">
        <v>0</v>
      </c>
      <c r="AJ827" s="52" t="n">
        <v>0</v>
      </c>
      <c r="AK827" s="52" t="n">
        <v>0</v>
      </c>
      <c r="AL827" s="52" t="n">
        <v>0</v>
      </c>
      <c r="AM827" s="53" t="n">
        <v>0.0009</v>
      </c>
      <c r="AN827" s="53" t="n">
        <v>0.0009</v>
      </c>
      <c r="AO827" s="53" t="n">
        <v>0</v>
      </c>
      <c r="AP827" s="53" t="n">
        <v>0</v>
      </c>
      <c r="AQ827" s="52" t="n">
        <v>0.3016666666666667</v>
      </c>
      <c r="AR827" s="52" t="n">
        <v>0.2936363636363636</v>
      </c>
      <c r="AS827" s="52" t="n">
        <v>0</v>
      </c>
      <c r="AT827" s="52" t="n">
        <v>0</v>
      </c>
      <c r="AU827" s="53" t="n">
        <v>0</v>
      </c>
      <c r="AV827" s="53" t="n">
        <v>0.1346394330971238</v>
      </c>
      <c r="AW827" s="53" t="n">
        <v>0</v>
      </c>
      <c r="AX827" s="53" t="n">
        <v>0</v>
      </c>
      <c r="AY827" s="52" t="n">
        <v>0</v>
      </c>
      <c r="AZ827" s="52" t="n">
        <v>23.99</v>
      </c>
      <c r="BA827" s="52" t="n">
        <v>0</v>
      </c>
      <c r="BB827" s="52" t="n">
        <v>0</v>
      </c>
      <c r="BC827" s="51" t="n">
        <v>13080</v>
      </c>
      <c r="BD827" s="51" t="n">
        <v>12405</v>
      </c>
      <c r="BE827" s="51" t="n">
        <v>0</v>
      </c>
      <c r="BF827" s="51" t="n">
        <v>3765</v>
      </c>
    </row>
    <row r="828">
      <c r="A828">
        <f>HYPERLINK("https://www.walmart.com/ip/889537466", "889537466")</f>
        <v/>
      </c>
      <c r="B828" t="inlineStr">
        <is>
          <t>Flyingstar Men's Wide Brim Sun Hat for Hiking, Fishing and Safari, Adult Male, Gray</t>
        </is>
      </c>
      <c r="C828" t="inlineStr">
        <is>
          <t>1WMCH100GY</t>
        </is>
      </c>
      <c r="D828" t="inlineStr">
        <is>
          <t>Hats</t>
        </is>
      </c>
      <c r="E828" t="inlineStr">
        <is>
          <t>Flyingstar</t>
        </is>
      </c>
      <c r="F828" t="inlineStr">
        <is>
          <t>Optimized,Hats</t>
        </is>
      </c>
      <c r="G828" s="48" t="n">
        <v>0</v>
      </c>
      <c r="H828" s="48" t="n">
        <v>0</v>
      </c>
      <c r="I828" s="48" t="n">
        <v>-23.98</v>
      </c>
      <c r="J828" s="48" t="n">
        <v>11.99</v>
      </c>
      <c r="K828" s="49" t="n">
        <v>0</v>
      </c>
      <c r="L828" s="49" t="n">
        <v>0</v>
      </c>
      <c r="M828" s="49" t="n">
        <v>-2</v>
      </c>
      <c r="N828" s="49" t="n">
        <v>1</v>
      </c>
      <c r="O828" s="49" t="n">
        <v>0</v>
      </c>
      <c r="P828" s="49" t="n">
        <v>0</v>
      </c>
      <c r="Q828" s="49" t="n">
        <v>0</v>
      </c>
      <c r="R828" s="49" t="n">
        <v>0</v>
      </c>
      <c r="S828" s="50" t="n">
        <v>0</v>
      </c>
      <c r="T828" s="50" t="n">
        <v>0</v>
      </c>
      <c r="U828" s="50" t="n">
        <v>0</v>
      </c>
      <c r="V828" s="50" t="n">
        <v>0</v>
      </c>
      <c r="W828" s="51" t="n">
        <v>0</v>
      </c>
      <c r="X828" s="51" t="n">
        <v>0</v>
      </c>
      <c r="Y828" s="51" t="n">
        <v>0</v>
      </c>
      <c r="Z828" s="51" t="n">
        <v>0</v>
      </c>
      <c r="AA828" s="52" t="n">
        <v>0</v>
      </c>
      <c r="AB828" s="52" t="n">
        <v>0</v>
      </c>
      <c r="AC828" s="52" t="n">
        <v>0</v>
      </c>
      <c r="AD828" s="52" t="n">
        <v>0</v>
      </c>
      <c r="AE828" s="52" t="n">
        <v>0</v>
      </c>
      <c r="AF828" s="52" t="n">
        <v>0</v>
      </c>
      <c r="AG828" s="52" t="n">
        <v>0</v>
      </c>
      <c r="AH828" s="52" t="n">
        <v>0</v>
      </c>
      <c r="AI828" s="52" t="n">
        <v>0</v>
      </c>
      <c r="AJ828" s="52" t="n">
        <v>0</v>
      </c>
      <c r="AK828" s="52" t="n">
        <v>0</v>
      </c>
      <c r="AL828" s="52" t="n">
        <v>0</v>
      </c>
      <c r="AM828" s="53" t="n">
        <v>0</v>
      </c>
      <c r="AN828" s="53" t="n">
        <v>0</v>
      </c>
      <c r="AO828" s="53" t="n">
        <v>0</v>
      </c>
      <c r="AP828" s="53" t="n">
        <v>0</v>
      </c>
      <c r="AQ828" s="52" t="n">
        <v>0</v>
      </c>
      <c r="AR828" s="52" t="n">
        <v>0</v>
      </c>
      <c r="AS828" s="52" t="n">
        <v>0</v>
      </c>
      <c r="AT828" s="52" t="n">
        <v>0</v>
      </c>
      <c r="AU828" s="53" t="n">
        <v>0</v>
      </c>
      <c r="AV828" s="53" t="n">
        <v>0</v>
      </c>
      <c r="AW828" s="53" t="n">
        <v>0</v>
      </c>
      <c r="AX828" s="53" t="n">
        <v>0</v>
      </c>
      <c r="AY828" s="52" t="n">
        <v>0</v>
      </c>
      <c r="AZ828" s="52" t="n">
        <v>0</v>
      </c>
      <c r="BA828" s="52" t="n">
        <v>0</v>
      </c>
      <c r="BB828" s="52" t="n">
        <v>11.99</v>
      </c>
      <c r="BC828" s="51" t="n">
        <v>0</v>
      </c>
      <c r="BD828" s="51" t="n">
        <v>0</v>
      </c>
      <c r="BE828" s="51" t="n">
        <v>0</v>
      </c>
      <c r="BF828" s="51" t="n">
        <v>0</v>
      </c>
    </row>
    <row r="829">
      <c r="A829">
        <f>HYPERLINK("https://www.walmart.com/ip/889841456", "889841456")</f>
        <v/>
      </c>
      <c r="B829" t="inlineStr">
        <is>
          <t>Sports Running Belt Waist Bum Bag Fitness Jogging Cycling Phone Pouch Fanny Pack</t>
        </is>
      </c>
      <c r="C829" t="inlineStr">
        <is>
          <t>TRWB100CB-L</t>
        </is>
      </c>
      <c r="D829" t="inlineStr">
        <is>
          <t>Fanny Packs</t>
        </is>
      </c>
      <c r="E829" t="inlineStr">
        <is>
          <t>Terrania</t>
        </is>
      </c>
      <c r="F829" t="inlineStr">
        <is>
          <t>Batch 1 - TR</t>
        </is>
      </c>
      <c r="G829" s="48" t="n">
        <v>0</v>
      </c>
      <c r="H829" s="48" t="n">
        <v>9.99</v>
      </c>
      <c r="I829" s="48" t="n">
        <v>19.98</v>
      </c>
      <c r="J829" s="48" t="n">
        <v>9.99</v>
      </c>
      <c r="K829" s="49" t="n">
        <v>0</v>
      </c>
      <c r="L829" s="49" t="n">
        <v>1</v>
      </c>
      <c r="M829" s="49" t="n">
        <v>2</v>
      </c>
      <c r="N829" s="49" t="n">
        <v>1</v>
      </c>
      <c r="O829" s="49" t="n">
        <v>5</v>
      </c>
      <c r="P829" s="49" t="n">
        <v>7</v>
      </c>
      <c r="Q829" s="49" t="n">
        <v>6</v>
      </c>
      <c r="R829" s="49" t="n">
        <v>6</v>
      </c>
      <c r="S829" s="50" t="n">
        <v>0</v>
      </c>
      <c r="T829" s="50" t="n">
        <v>0.1428571428571428</v>
      </c>
      <c r="U829" s="50" t="n">
        <v>0.3333333333333333</v>
      </c>
      <c r="V829" s="50" t="n">
        <v>0.1666666666666667</v>
      </c>
      <c r="W829" s="51" t="n">
        <v>0</v>
      </c>
      <c r="X829" s="51" t="n">
        <v>0</v>
      </c>
      <c r="Y829" s="51" t="n">
        <v>0</v>
      </c>
      <c r="Z829" s="51" t="n">
        <v>0</v>
      </c>
      <c r="AA829" s="52" t="n">
        <v>0</v>
      </c>
      <c r="AB829" s="52" t="n">
        <v>0</v>
      </c>
      <c r="AC829" s="52" t="n">
        <v>0</v>
      </c>
      <c r="AD829" s="52" t="n">
        <v>0</v>
      </c>
      <c r="AE829" s="52" t="n">
        <v>0</v>
      </c>
      <c r="AF829" s="52" t="n">
        <v>0</v>
      </c>
      <c r="AG829" s="52" t="n">
        <v>0</v>
      </c>
      <c r="AH829" s="52" t="n">
        <v>0</v>
      </c>
      <c r="AI829" s="52" t="n">
        <v>0</v>
      </c>
      <c r="AJ829" s="52" t="n">
        <v>0</v>
      </c>
      <c r="AK829" s="52" t="n">
        <v>0</v>
      </c>
      <c r="AL829" s="52" t="n">
        <v>0</v>
      </c>
      <c r="AM829" s="53" t="n">
        <v>0</v>
      </c>
      <c r="AN829" s="53" t="n">
        <v>0</v>
      </c>
      <c r="AO829" s="53" t="n">
        <v>0</v>
      </c>
      <c r="AP829" s="53" t="n">
        <v>0</v>
      </c>
      <c r="AQ829" s="52" t="n">
        <v>0</v>
      </c>
      <c r="AR829" s="52" t="n">
        <v>0</v>
      </c>
      <c r="AS829" s="52" t="n">
        <v>0</v>
      </c>
      <c r="AT829" s="52" t="n">
        <v>0</v>
      </c>
      <c r="AU829" s="53" t="n">
        <v>0</v>
      </c>
      <c r="AV829" s="53" t="n">
        <v>0</v>
      </c>
      <c r="AW829" s="53" t="n">
        <v>0</v>
      </c>
      <c r="AX829" s="53" t="n">
        <v>0</v>
      </c>
      <c r="AY829" s="52" t="n">
        <v>0</v>
      </c>
      <c r="AZ829" s="52" t="n">
        <v>9.99</v>
      </c>
      <c r="BA829" s="52" t="n">
        <v>9.99</v>
      </c>
      <c r="BB829" s="52" t="n">
        <v>9.99</v>
      </c>
      <c r="BC829" s="51" t="n">
        <v>0</v>
      </c>
      <c r="BD829" s="51" t="n">
        <v>0</v>
      </c>
      <c r="BE829" s="51" t="n">
        <v>0</v>
      </c>
      <c r="BF829" s="51" t="n">
        <v>0</v>
      </c>
    </row>
    <row r="830">
      <c r="A830">
        <f>HYPERLINK("https://www.walmart.com/ip/890059500", "890059500")</f>
        <v/>
      </c>
      <c r="B830" t="inlineStr">
        <is>
          <t>Summer Caps for Men and Women Patriotic Independence Day USA Flag UV Protect  Adjustable Unisex Hats for Sports</t>
        </is>
      </c>
      <c r="C830" t="inlineStr">
        <is>
          <t>1WMBC100WH</t>
        </is>
      </c>
      <c r="D830" t="inlineStr">
        <is>
          <t>Hats</t>
        </is>
      </c>
      <c r="E830" t="inlineStr">
        <is>
          <t>Flyingstar</t>
        </is>
      </c>
      <c r="F830" t="inlineStr">
        <is>
          <t>Hats,Batch 1 - TR</t>
        </is>
      </c>
      <c r="G830" s="48" t="n">
        <v>0</v>
      </c>
      <c r="H830" s="48" t="n">
        <v>0</v>
      </c>
      <c r="I830" s="48" t="n">
        <v>0</v>
      </c>
      <c r="J830" s="48" t="n">
        <v>0</v>
      </c>
      <c r="K830" s="49" t="n">
        <v>0</v>
      </c>
      <c r="L830" s="49" t="n">
        <v>0</v>
      </c>
      <c r="M830" s="49" t="n">
        <v>0</v>
      </c>
      <c r="N830" s="49" t="n">
        <v>0</v>
      </c>
      <c r="O830" s="49" t="n">
        <v>0</v>
      </c>
      <c r="P830" s="49" t="n">
        <v>0</v>
      </c>
      <c r="Q830" s="49" t="n">
        <v>0</v>
      </c>
      <c r="R830" s="49" t="n">
        <v>0</v>
      </c>
      <c r="S830" s="50" t="n">
        <v>0</v>
      </c>
      <c r="T830" s="50" t="n">
        <v>0</v>
      </c>
      <c r="U830" s="50" t="n">
        <v>0</v>
      </c>
      <c r="V830" s="50" t="n">
        <v>0</v>
      </c>
      <c r="W830" s="51" t="n">
        <v>0</v>
      </c>
      <c r="X830" s="51" t="n">
        <v>0</v>
      </c>
      <c r="Y830" s="51" t="n">
        <v>0</v>
      </c>
      <c r="Z830" s="51" t="n">
        <v>0</v>
      </c>
      <c r="AA830" s="52" t="n">
        <v>0</v>
      </c>
      <c r="AB830" s="52" t="n">
        <v>0</v>
      </c>
      <c r="AC830" s="52" t="n">
        <v>0</v>
      </c>
      <c r="AD830" s="52" t="n">
        <v>0</v>
      </c>
      <c r="AE830" s="52" t="n">
        <v>0</v>
      </c>
      <c r="AF830" s="52" t="n">
        <v>0</v>
      </c>
      <c r="AG830" s="52" t="n">
        <v>0</v>
      </c>
      <c r="AH830" s="52" t="n">
        <v>0</v>
      </c>
      <c r="AI830" s="52" t="n">
        <v>0</v>
      </c>
      <c r="AJ830" s="52" t="n">
        <v>0</v>
      </c>
      <c r="AK830" s="52" t="n">
        <v>0</v>
      </c>
      <c r="AL830" s="52" t="n">
        <v>0</v>
      </c>
      <c r="AM830" s="53" t="n">
        <v>0</v>
      </c>
      <c r="AN830" s="53" t="n">
        <v>0</v>
      </c>
      <c r="AO830" s="53" t="n">
        <v>0</v>
      </c>
      <c r="AP830" s="53" t="n">
        <v>0</v>
      </c>
      <c r="AQ830" s="52" t="n">
        <v>0</v>
      </c>
      <c r="AR830" s="52" t="n">
        <v>0</v>
      </c>
      <c r="AS830" s="52" t="n">
        <v>0</v>
      </c>
      <c r="AT830" s="52" t="n">
        <v>0</v>
      </c>
      <c r="AU830" s="53" t="n">
        <v>0</v>
      </c>
      <c r="AV830" s="53" t="n">
        <v>0</v>
      </c>
      <c r="AW830" s="53" t="n">
        <v>0</v>
      </c>
      <c r="AX830" s="53" t="n">
        <v>0</v>
      </c>
      <c r="AY830" s="52" t="n">
        <v>0</v>
      </c>
      <c r="AZ830" s="52" t="n">
        <v>0</v>
      </c>
      <c r="BA830" s="52" t="n">
        <v>0</v>
      </c>
      <c r="BB830" s="52" t="n">
        <v>0</v>
      </c>
      <c r="BC830" s="51" t="n">
        <v>0</v>
      </c>
      <c r="BD830" s="51" t="n">
        <v>0</v>
      </c>
      <c r="BE830" s="51" t="n">
        <v>0</v>
      </c>
      <c r="BF830" s="51" t="n">
        <v>0</v>
      </c>
    </row>
    <row r="831">
      <c r="A831">
        <f>HYPERLINK("https://www.walmart.com/ip/881852445", "881852445")</f>
        <v/>
      </c>
      <c r="B831" t="inlineStr">
        <is>
          <t>Napa Plush  Throw Blanket Queen Full 90”x90” Striped Velvet Luxury Super Soft Cozy Fleece Bed Reversible Latte</t>
        </is>
      </c>
      <c r="C831" t="inlineStr">
        <is>
          <t>K8030QF-LTT</t>
        </is>
      </c>
      <c r="D831" t="inlineStr">
        <is>
          <t>Throws</t>
        </is>
      </c>
      <c r="E831" t="inlineStr">
        <is>
          <t>NAPA</t>
        </is>
      </c>
      <c r="F831" t="inlineStr">
        <is>
          <t>Optimized,cost-added</t>
        </is>
      </c>
      <c r="G831" s="48" t="n">
        <v>0</v>
      </c>
      <c r="H831" s="48" t="n">
        <v>0</v>
      </c>
      <c r="I831" s="48" t="n">
        <v>0</v>
      </c>
      <c r="J831" s="48" t="n">
        <v>0</v>
      </c>
      <c r="K831" s="49" t="n">
        <v>0</v>
      </c>
      <c r="L831" s="49" t="n">
        <v>0</v>
      </c>
      <c r="M831" s="49" t="n">
        <v>0</v>
      </c>
      <c r="N831" s="49" t="n">
        <v>0</v>
      </c>
      <c r="O831" s="49" t="n">
        <v>0</v>
      </c>
      <c r="P831" s="49" t="n">
        <v>0</v>
      </c>
      <c r="Q831" s="49" t="n">
        <v>0</v>
      </c>
      <c r="R831" s="49" t="n">
        <v>0</v>
      </c>
      <c r="S831" s="50" t="n">
        <v>0</v>
      </c>
      <c r="T831" s="50" t="n">
        <v>0</v>
      </c>
      <c r="U831" s="50" t="n">
        <v>0</v>
      </c>
      <c r="V831" s="50" t="n">
        <v>0</v>
      </c>
      <c r="W831" s="51" t="n">
        <v>0</v>
      </c>
      <c r="X831" s="51" t="n">
        <v>0</v>
      </c>
      <c r="Y831" s="51" t="n">
        <v>0</v>
      </c>
      <c r="Z831" s="51" t="n">
        <v>0</v>
      </c>
      <c r="AA831" s="52" t="n">
        <v>0</v>
      </c>
      <c r="AB831" s="52" t="n">
        <v>0</v>
      </c>
      <c r="AC831" s="52" t="n">
        <v>0</v>
      </c>
      <c r="AD831" s="52" t="n">
        <v>0</v>
      </c>
      <c r="AE831" s="52" t="n">
        <v>0</v>
      </c>
      <c r="AF831" s="52" t="n">
        <v>0</v>
      </c>
      <c r="AG831" s="52" t="n">
        <v>0</v>
      </c>
      <c r="AH831" s="52" t="n">
        <v>0</v>
      </c>
      <c r="AI831" s="52" t="n">
        <v>0</v>
      </c>
      <c r="AJ831" s="52" t="n">
        <v>0</v>
      </c>
      <c r="AK831" s="52" t="n">
        <v>0</v>
      </c>
      <c r="AL831" s="52" t="n">
        <v>0</v>
      </c>
      <c r="AM831" s="53" t="n">
        <v>0</v>
      </c>
      <c r="AN831" s="53" t="n">
        <v>0</v>
      </c>
      <c r="AO831" s="53" t="n">
        <v>0</v>
      </c>
      <c r="AP831" s="53" t="n">
        <v>0</v>
      </c>
      <c r="AQ831" s="52" t="n">
        <v>0</v>
      </c>
      <c r="AR831" s="52" t="n">
        <v>0</v>
      </c>
      <c r="AS831" s="52" t="n">
        <v>0</v>
      </c>
      <c r="AT831" s="52" t="n">
        <v>0</v>
      </c>
      <c r="AU831" s="53" t="n">
        <v>0</v>
      </c>
      <c r="AV831" s="53" t="n">
        <v>0</v>
      </c>
      <c r="AW831" s="53" t="n">
        <v>0</v>
      </c>
      <c r="AX831" s="53" t="n">
        <v>0</v>
      </c>
      <c r="AY831" s="52" t="n">
        <v>0</v>
      </c>
      <c r="AZ831" s="52" t="n">
        <v>0</v>
      </c>
      <c r="BA831" s="52" t="n">
        <v>0</v>
      </c>
      <c r="BB831" s="52" t="n">
        <v>0</v>
      </c>
      <c r="BC831" s="51" t="n">
        <v>0</v>
      </c>
      <c r="BD831" s="51" t="n">
        <v>0</v>
      </c>
      <c r="BE831" s="51" t="n">
        <v>0</v>
      </c>
      <c r="BF831" s="51" t="n">
        <v>0</v>
      </c>
    </row>
    <row r="832">
      <c r="A832">
        <f>HYPERLINK("https://www.walmart.com/ip/878930058", "878930058")</f>
        <v/>
      </c>
      <c r="B832" t="inlineStr">
        <is>
          <t>Flyingstar Sherpa Throws Blanket, Fleece Soft Cozy Blanket Throws for Sofa Bed 50"x60"</t>
        </is>
      </c>
      <c r="C832" t="inlineStr">
        <is>
          <t>1WMBF573BLTILE</t>
        </is>
      </c>
      <c r="D832" t="inlineStr">
        <is>
          <t>Throws</t>
        </is>
      </c>
      <c r="E832" t="inlineStr">
        <is>
          <t>Flyingstar</t>
        </is>
      </c>
      <c r="F832" t="inlineStr">
        <is>
          <t>Optimized</t>
        </is>
      </c>
      <c r="G832" s="48" t="n">
        <v>0</v>
      </c>
      <c r="H832" s="48" t="n">
        <v>0</v>
      </c>
      <c r="I832" s="48" t="n">
        <v>0</v>
      </c>
      <c r="J832" s="48" t="n">
        <v>0</v>
      </c>
      <c r="K832" s="49" t="n">
        <v>0</v>
      </c>
      <c r="L832" s="49" t="n">
        <v>0</v>
      </c>
      <c r="M832" s="49" t="n">
        <v>0</v>
      </c>
      <c r="N832" s="49" t="n">
        <v>0</v>
      </c>
      <c r="O832" s="49" t="n">
        <v>0</v>
      </c>
      <c r="P832" s="49" t="n">
        <v>0</v>
      </c>
      <c r="Q832" s="49" t="n">
        <v>0</v>
      </c>
      <c r="R832" s="49" t="n">
        <v>0</v>
      </c>
      <c r="S832" s="50" t="n">
        <v>0</v>
      </c>
      <c r="T832" s="50" t="n">
        <v>0</v>
      </c>
      <c r="U832" s="50" t="n">
        <v>0</v>
      </c>
      <c r="V832" s="50" t="n">
        <v>0</v>
      </c>
      <c r="W832" s="51" t="n">
        <v>0</v>
      </c>
      <c r="X832" s="51" t="n">
        <v>0</v>
      </c>
      <c r="Y832" s="51" t="n">
        <v>0</v>
      </c>
      <c r="Z832" s="51" t="n">
        <v>0</v>
      </c>
      <c r="AA832" s="52" t="n">
        <v>0</v>
      </c>
      <c r="AB832" s="52" t="n">
        <v>0</v>
      </c>
      <c r="AC832" s="52" t="n">
        <v>0</v>
      </c>
      <c r="AD832" s="52" t="n">
        <v>0</v>
      </c>
      <c r="AE832" s="52" t="n">
        <v>0</v>
      </c>
      <c r="AF832" s="52" t="n">
        <v>0</v>
      </c>
      <c r="AG832" s="52" t="n">
        <v>0</v>
      </c>
      <c r="AH832" s="52" t="n">
        <v>0</v>
      </c>
      <c r="AI832" s="52" t="n">
        <v>0</v>
      </c>
      <c r="AJ832" s="52" t="n">
        <v>0</v>
      </c>
      <c r="AK832" s="52" t="n">
        <v>0</v>
      </c>
      <c r="AL832" s="52" t="n">
        <v>0</v>
      </c>
      <c r="AM832" s="53" t="n">
        <v>0</v>
      </c>
      <c r="AN832" s="53" t="n">
        <v>0</v>
      </c>
      <c r="AO832" s="53" t="n">
        <v>0</v>
      </c>
      <c r="AP832" s="53" t="n">
        <v>0</v>
      </c>
      <c r="AQ832" s="52" t="n">
        <v>0</v>
      </c>
      <c r="AR832" s="52" t="n">
        <v>0</v>
      </c>
      <c r="AS832" s="52" t="n">
        <v>0</v>
      </c>
      <c r="AT832" s="52" t="n">
        <v>0</v>
      </c>
      <c r="AU832" s="53" t="n">
        <v>0</v>
      </c>
      <c r="AV832" s="53" t="n">
        <v>0</v>
      </c>
      <c r="AW832" s="53" t="n">
        <v>0</v>
      </c>
      <c r="AX832" s="53" t="n">
        <v>0</v>
      </c>
      <c r="AY832" s="52" t="n">
        <v>0</v>
      </c>
      <c r="AZ832" s="52" t="n">
        <v>0</v>
      </c>
      <c r="BA832" s="52" t="n">
        <v>0</v>
      </c>
      <c r="BB832" s="52" t="n">
        <v>0</v>
      </c>
      <c r="BC832" s="51" t="n">
        <v>0</v>
      </c>
      <c r="BD832" s="51" t="n">
        <v>0</v>
      </c>
      <c r="BE832" s="51" t="n">
        <v>0</v>
      </c>
      <c r="BF832" s="51" t="n">
        <v>0</v>
      </c>
    </row>
    <row r="833">
      <c r="A833">
        <f>HYPERLINK("https://www.walmart.com/ip/861468655", "861468655")</f>
        <v/>
      </c>
      <c r="B833" t="inlineStr">
        <is>
          <t>Flyingstar Oversized Hoodie Throws Blanket Sweatshirt, for Adults Men Women Teenagers Kids</t>
        </is>
      </c>
      <c r="C833" t="inlineStr">
        <is>
          <t>1WMHD300RB</t>
        </is>
      </c>
      <c r="D833" t="inlineStr">
        <is>
          <t>Sweatshirts &amp; Hoodies</t>
        </is>
      </c>
      <c r="E833" t="inlineStr">
        <is>
          <t>Flyingstar</t>
        </is>
      </c>
      <c r="F833" t="inlineStr">
        <is>
          <t>Hoodie ForAdult,Optimized</t>
        </is>
      </c>
      <c r="G833" s="48" t="n">
        <v>0</v>
      </c>
      <c r="H833" s="48" t="n">
        <v>0</v>
      </c>
      <c r="I833" s="48" t="n">
        <v>0</v>
      </c>
      <c r="J833" s="48" t="n">
        <v>0</v>
      </c>
      <c r="K833" s="49" t="n">
        <v>0</v>
      </c>
      <c r="L833" s="49" t="n">
        <v>0</v>
      </c>
      <c r="M833" s="49" t="n">
        <v>0</v>
      </c>
      <c r="N833" s="49" t="n">
        <v>0</v>
      </c>
      <c r="O833" s="49" t="n">
        <v>0</v>
      </c>
      <c r="P833" s="49" t="n">
        <v>0</v>
      </c>
      <c r="Q833" s="49" t="n">
        <v>0</v>
      </c>
      <c r="R833" s="49" t="n">
        <v>0</v>
      </c>
      <c r="S833" s="50" t="n">
        <v>0</v>
      </c>
      <c r="T833" s="50" t="n">
        <v>0</v>
      </c>
      <c r="U833" s="50" t="n">
        <v>0</v>
      </c>
      <c r="V833" s="50" t="n">
        <v>0</v>
      </c>
      <c r="W833" s="51" t="n">
        <v>0</v>
      </c>
      <c r="X833" s="51" t="n">
        <v>0</v>
      </c>
      <c r="Y833" s="51" t="n">
        <v>0</v>
      </c>
      <c r="Z833" s="51" t="n">
        <v>0</v>
      </c>
      <c r="AA833" s="52" t="n">
        <v>0</v>
      </c>
      <c r="AB833" s="52" t="n">
        <v>0</v>
      </c>
      <c r="AC833" s="52" t="n">
        <v>0</v>
      </c>
      <c r="AD833" s="52" t="n">
        <v>0</v>
      </c>
      <c r="AE833" s="52" t="n">
        <v>0</v>
      </c>
      <c r="AF833" s="52" t="n">
        <v>0</v>
      </c>
      <c r="AG833" s="52" t="n">
        <v>0</v>
      </c>
      <c r="AH833" s="52" t="n">
        <v>0</v>
      </c>
      <c r="AI833" s="52" t="n">
        <v>0</v>
      </c>
      <c r="AJ833" s="52" t="n">
        <v>0</v>
      </c>
      <c r="AK833" s="52" t="n">
        <v>0</v>
      </c>
      <c r="AL833" s="52" t="n">
        <v>0</v>
      </c>
      <c r="AM833" s="53" t="n">
        <v>0</v>
      </c>
      <c r="AN833" s="53" t="n">
        <v>0</v>
      </c>
      <c r="AO833" s="53" t="n">
        <v>0</v>
      </c>
      <c r="AP833" s="53" t="n">
        <v>0</v>
      </c>
      <c r="AQ833" s="52" t="n">
        <v>0</v>
      </c>
      <c r="AR833" s="52" t="n">
        <v>0</v>
      </c>
      <c r="AS833" s="52" t="n">
        <v>0</v>
      </c>
      <c r="AT833" s="52" t="n">
        <v>0</v>
      </c>
      <c r="AU833" s="53" t="n">
        <v>0</v>
      </c>
      <c r="AV833" s="53" t="n">
        <v>0</v>
      </c>
      <c r="AW833" s="53" t="n">
        <v>0</v>
      </c>
      <c r="AX833" s="53" t="n">
        <v>0</v>
      </c>
      <c r="AY833" s="52" t="n">
        <v>0</v>
      </c>
      <c r="AZ833" s="52" t="n">
        <v>0</v>
      </c>
      <c r="BA833" s="52" t="n">
        <v>0</v>
      </c>
      <c r="BB833" s="52" t="n">
        <v>0</v>
      </c>
      <c r="BC833" s="51" t="n">
        <v>0</v>
      </c>
      <c r="BD833" s="51" t="n">
        <v>0</v>
      </c>
      <c r="BE833" s="51" t="n">
        <v>0</v>
      </c>
      <c r="BF833" s="51" t="n">
        <v>0</v>
      </c>
    </row>
    <row r="834">
      <c r="A834">
        <f>HYPERLINK("https://www.walmart.com/ip/878891906", "878891906")</f>
        <v/>
      </c>
      <c r="B834" t="inlineStr">
        <is>
          <t>Flyingstar Sherpa Throws Blanket, Fleece Soft Cozy Blanket Throws for Sofa Bed 50"x60"</t>
        </is>
      </c>
      <c r="C834" t="inlineStr">
        <is>
          <t>1WMBF301RD-ESGM</t>
        </is>
      </c>
      <c r="D834" t="inlineStr">
        <is>
          <t>Throws</t>
        </is>
      </c>
      <c r="E834" t="inlineStr">
        <is>
          <t>Flyingstar</t>
        </is>
      </c>
      <c r="F834" t="inlineStr">
        <is>
          <t>Optimized</t>
        </is>
      </c>
      <c r="G834" s="48" t="n">
        <v>0</v>
      </c>
      <c r="H834" s="48" t="n">
        <v>0</v>
      </c>
      <c r="I834" s="48" t="n">
        <v>0</v>
      </c>
      <c r="J834" s="48" t="n">
        <v>0</v>
      </c>
      <c r="K834" s="49" t="n">
        <v>0</v>
      </c>
      <c r="L834" s="49" t="n">
        <v>0</v>
      </c>
      <c r="M834" s="49" t="n">
        <v>0</v>
      </c>
      <c r="N834" s="49" t="n">
        <v>0</v>
      </c>
      <c r="O834" s="49" t="n">
        <v>0</v>
      </c>
      <c r="P834" s="49" t="n">
        <v>0</v>
      </c>
      <c r="Q834" s="49" t="n">
        <v>0</v>
      </c>
      <c r="R834" s="49" t="n">
        <v>0</v>
      </c>
      <c r="S834" s="50" t="n">
        <v>0</v>
      </c>
      <c r="T834" s="50" t="n">
        <v>0</v>
      </c>
      <c r="U834" s="50" t="n">
        <v>0</v>
      </c>
      <c r="V834" s="50" t="n">
        <v>0</v>
      </c>
      <c r="W834" s="51" t="n">
        <v>0</v>
      </c>
      <c r="X834" s="51" t="n">
        <v>0</v>
      </c>
      <c r="Y834" s="51" t="n">
        <v>0</v>
      </c>
      <c r="Z834" s="51" t="n">
        <v>0</v>
      </c>
      <c r="AA834" s="52" t="n">
        <v>0</v>
      </c>
      <c r="AB834" s="52" t="n">
        <v>0</v>
      </c>
      <c r="AC834" s="52" t="n">
        <v>0</v>
      </c>
      <c r="AD834" s="52" t="n">
        <v>0</v>
      </c>
      <c r="AE834" s="52" t="n">
        <v>0</v>
      </c>
      <c r="AF834" s="52" t="n">
        <v>0</v>
      </c>
      <c r="AG834" s="52" t="n">
        <v>0</v>
      </c>
      <c r="AH834" s="52" t="n">
        <v>0</v>
      </c>
      <c r="AI834" s="52" t="n">
        <v>0</v>
      </c>
      <c r="AJ834" s="52" t="n">
        <v>0</v>
      </c>
      <c r="AK834" s="52" t="n">
        <v>0</v>
      </c>
      <c r="AL834" s="52" t="n">
        <v>0</v>
      </c>
      <c r="AM834" s="53" t="n">
        <v>0</v>
      </c>
      <c r="AN834" s="53" t="n">
        <v>0</v>
      </c>
      <c r="AO834" s="53" t="n">
        <v>0</v>
      </c>
      <c r="AP834" s="53" t="n">
        <v>0</v>
      </c>
      <c r="AQ834" s="52" t="n">
        <v>0</v>
      </c>
      <c r="AR834" s="52" t="n">
        <v>0</v>
      </c>
      <c r="AS834" s="52" t="n">
        <v>0</v>
      </c>
      <c r="AT834" s="52" t="n">
        <v>0</v>
      </c>
      <c r="AU834" s="53" t="n">
        <v>0</v>
      </c>
      <c r="AV834" s="53" t="n">
        <v>0</v>
      </c>
      <c r="AW834" s="53" t="n">
        <v>0</v>
      </c>
      <c r="AX834" s="53" t="n">
        <v>0</v>
      </c>
      <c r="AY834" s="52" t="n">
        <v>0</v>
      </c>
      <c r="AZ834" s="52" t="n">
        <v>0</v>
      </c>
      <c r="BA834" s="52" t="n">
        <v>0</v>
      </c>
      <c r="BB834" s="52" t="n">
        <v>0</v>
      </c>
      <c r="BC834" s="51" t="n">
        <v>0</v>
      </c>
      <c r="BD834" s="51" t="n">
        <v>0</v>
      </c>
      <c r="BE834" s="51" t="n">
        <v>0</v>
      </c>
      <c r="BF834" s="51" t="n">
        <v>0</v>
      </c>
    </row>
    <row r="835">
      <c r="A835">
        <f>HYPERLINK("https://www.walmart.com/ip/861546074", "861546074")</f>
        <v/>
      </c>
      <c r="B835" t="inlineStr">
        <is>
          <t>Sherpa Slipper Socks for Women,Winter Indoor Home Non Skid Booties</t>
        </is>
      </c>
      <c r="C835" t="inlineStr">
        <is>
          <t>1CTST200PP-2</t>
        </is>
      </c>
      <c r="D835" t="inlineStr">
        <is>
          <t>Socks</t>
        </is>
      </c>
      <c r="E835" t="inlineStr">
        <is>
          <t>Catalonia</t>
        </is>
      </c>
      <c r="F835" t="inlineStr">
        <is>
          <t>WFS,WFS Item</t>
        </is>
      </c>
      <c r="G835" s="48" t="n">
        <v>0</v>
      </c>
      <c r="H835" s="48" t="n">
        <v>0</v>
      </c>
      <c r="I835" s="48" t="n">
        <v>0</v>
      </c>
      <c r="J835" s="48" t="n">
        <v>0</v>
      </c>
      <c r="K835" s="49" t="n">
        <v>0</v>
      </c>
      <c r="L835" s="49" t="n">
        <v>0</v>
      </c>
      <c r="M835" s="49" t="n">
        <v>0</v>
      </c>
      <c r="N835" s="49" t="n">
        <v>0</v>
      </c>
      <c r="O835" s="49" t="n">
        <v>0</v>
      </c>
      <c r="P835" s="49" t="n">
        <v>0</v>
      </c>
      <c r="Q835" s="49" t="n">
        <v>0</v>
      </c>
      <c r="R835" s="49" t="n">
        <v>0</v>
      </c>
      <c r="S835" s="50" t="n">
        <v>0</v>
      </c>
      <c r="T835" s="50" t="n">
        <v>0</v>
      </c>
      <c r="U835" s="50" t="n">
        <v>0</v>
      </c>
      <c r="V835" s="50" t="n">
        <v>0</v>
      </c>
      <c r="W835" s="51" t="n">
        <v>0</v>
      </c>
      <c r="X835" s="51" t="n">
        <v>0</v>
      </c>
      <c r="Y835" s="51" t="n">
        <v>0</v>
      </c>
      <c r="Z835" s="51" t="n">
        <v>0</v>
      </c>
      <c r="AA835" s="52" t="n">
        <v>0</v>
      </c>
      <c r="AB835" s="52" t="n">
        <v>0</v>
      </c>
      <c r="AC835" s="52" t="n">
        <v>0</v>
      </c>
      <c r="AD835" s="52" t="n">
        <v>0</v>
      </c>
      <c r="AE835" s="52" t="n">
        <v>0</v>
      </c>
      <c r="AF835" s="52" t="n">
        <v>0</v>
      </c>
      <c r="AG835" s="52" t="n">
        <v>0</v>
      </c>
      <c r="AH835" s="52" t="n">
        <v>0</v>
      </c>
      <c r="AI835" s="52" t="n">
        <v>0</v>
      </c>
      <c r="AJ835" s="52" t="n">
        <v>0</v>
      </c>
      <c r="AK835" s="52" t="n">
        <v>0</v>
      </c>
      <c r="AL835" s="52" t="n">
        <v>0</v>
      </c>
      <c r="AM835" s="53" t="n">
        <v>0</v>
      </c>
      <c r="AN835" s="53" t="n">
        <v>0</v>
      </c>
      <c r="AO835" s="53" t="n">
        <v>0</v>
      </c>
      <c r="AP835" s="53" t="n">
        <v>0</v>
      </c>
      <c r="AQ835" s="52" t="n">
        <v>0</v>
      </c>
      <c r="AR835" s="52" t="n">
        <v>0</v>
      </c>
      <c r="AS835" s="52" t="n">
        <v>0</v>
      </c>
      <c r="AT835" s="52" t="n">
        <v>0</v>
      </c>
      <c r="AU835" s="53" t="n">
        <v>0</v>
      </c>
      <c r="AV835" s="53" t="n">
        <v>0</v>
      </c>
      <c r="AW835" s="53" t="n">
        <v>0</v>
      </c>
      <c r="AX835" s="53" t="n">
        <v>0</v>
      </c>
      <c r="AY835" s="52" t="n">
        <v>0</v>
      </c>
      <c r="AZ835" s="52" t="n">
        <v>0</v>
      </c>
      <c r="BA835" s="52" t="n">
        <v>0</v>
      </c>
      <c r="BB835" s="52" t="n">
        <v>0</v>
      </c>
      <c r="BC835" s="51" t="n">
        <v>0</v>
      </c>
      <c r="BD835" s="51" t="n">
        <v>0</v>
      </c>
      <c r="BE835" s="51" t="n">
        <v>0</v>
      </c>
      <c r="BF835" s="51" t="n">
        <v>0</v>
      </c>
    </row>
    <row r="836">
      <c r="A836">
        <f>HYPERLINK("https://www.walmart.com/ip/863519881", "863519881")</f>
        <v/>
      </c>
      <c r="B836" t="inlineStr">
        <is>
          <t>Youth Reflective Knit Beanie Hat For Sports Warm</t>
        </is>
      </c>
      <c r="C836" t="inlineStr">
        <is>
          <t>1SLBN01RO-FSCB</t>
        </is>
      </c>
      <c r="D836" t="inlineStr">
        <is>
          <t>Hats</t>
        </is>
      </c>
      <c r="E836" t="inlineStr">
        <is>
          <t>Solaris</t>
        </is>
      </c>
      <c r="F836" t="inlineStr">
        <is>
          <t>Optimized</t>
        </is>
      </c>
      <c r="G836" s="48" t="n">
        <v>0</v>
      </c>
      <c r="H836" s="48" t="n">
        <v>0</v>
      </c>
      <c r="I836" s="48" t="n">
        <v>0</v>
      </c>
      <c r="J836" s="48" t="n">
        <v>0</v>
      </c>
      <c r="K836" s="49" t="n">
        <v>0</v>
      </c>
      <c r="L836" s="49" t="n">
        <v>0</v>
      </c>
      <c r="M836" s="49" t="n">
        <v>0</v>
      </c>
      <c r="N836" s="49" t="n">
        <v>0</v>
      </c>
      <c r="O836" s="49" t="n">
        <v>0</v>
      </c>
      <c r="P836" s="49" t="n">
        <v>0</v>
      </c>
      <c r="Q836" s="49" t="n">
        <v>0</v>
      </c>
      <c r="R836" s="49" t="n">
        <v>0</v>
      </c>
      <c r="S836" s="50" t="n">
        <v>0</v>
      </c>
      <c r="T836" s="50" t="n">
        <v>0</v>
      </c>
      <c r="U836" s="50" t="n">
        <v>0</v>
      </c>
      <c r="V836" s="50" t="n">
        <v>0</v>
      </c>
      <c r="W836" s="51" t="n">
        <v>0</v>
      </c>
      <c r="X836" s="51" t="n">
        <v>0</v>
      </c>
      <c r="Y836" s="51" t="n">
        <v>0</v>
      </c>
      <c r="Z836" s="51" t="n">
        <v>0</v>
      </c>
      <c r="AA836" s="52" t="n">
        <v>0</v>
      </c>
      <c r="AB836" s="52" t="n">
        <v>0</v>
      </c>
      <c r="AC836" s="52" t="n">
        <v>0</v>
      </c>
      <c r="AD836" s="52" t="n">
        <v>0</v>
      </c>
      <c r="AE836" s="52" t="n">
        <v>0</v>
      </c>
      <c r="AF836" s="52" t="n">
        <v>0</v>
      </c>
      <c r="AG836" s="52" t="n">
        <v>0</v>
      </c>
      <c r="AH836" s="52" t="n">
        <v>0</v>
      </c>
      <c r="AI836" s="52" t="n">
        <v>0</v>
      </c>
      <c r="AJ836" s="52" t="n">
        <v>0</v>
      </c>
      <c r="AK836" s="52" t="n">
        <v>0</v>
      </c>
      <c r="AL836" s="52" t="n">
        <v>0</v>
      </c>
      <c r="AM836" s="53" t="n">
        <v>0</v>
      </c>
      <c r="AN836" s="53" t="n">
        <v>0</v>
      </c>
      <c r="AO836" s="53" t="n">
        <v>0</v>
      </c>
      <c r="AP836" s="53" t="n">
        <v>0</v>
      </c>
      <c r="AQ836" s="52" t="n">
        <v>0</v>
      </c>
      <c r="AR836" s="52" t="n">
        <v>0</v>
      </c>
      <c r="AS836" s="52" t="n">
        <v>0</v>
      </c>
      <c r="AT836" s="52" t="n">
        <v>0</v>
      </c>
      <c r="AU836" s="53" t="n">
        <v>0</v>
      </c>
      <c r="AV836" s="53" t="n">
        <v>0</v>
      </c>
      <c r="AW836" s="53" t="n">
        <v>0</v>
      </c>
      <c r="AX836" s="53" t="n">
        <v>0</v>
      </c>
      <c r="AY836" s="52" t="n">
        <v>0</v>
      </c>
      <c r="AZ836" s="52" t="n">
        <v>0</v>
      </c>
      <c r="BA836" s="52" t="n">
        <v>0</v>
      </c>
      <c r="BB836" s="52" t="n">
        <v>0</v>
      </c>
      <c r="BC836" s="51" t="n">
        <v>0</v>
      </c>
      <c r="BD836" s="51" t="n">
        <v>0</v>
      </c>
      <c r="BE836" s="51" t="n">
        <v>0</v>
      </c>
      <c r="BF836" s="51" t="n">
        <v>0</v>
      </c>
    </row>
    <row r="837">
      <c r="A837">
        <f>HYPERLINK("https://www.walmart.com/ip/863552350", "863552350")</f>
        <v/>
      </c>
      <c r="B837" t="inlineStr">
        <is>
          <t>Tirrinia Super Cozy Fleece Eagle Patriotic Throw Blanket, 50" x 60", American Flag</t>
        </is>
      </c>
      <c r="C837" t="inlineStr">
        <is>
          <t>1TRBF300USA3-TBCB01</t>
        </is>
      </c>
      <c r="D837" t="inlineStr">
        <is>
          <t>Throws</t>
        </is>
      </c>
      <c r="E837" t="inlineStr">
        <is>
          <t>Tirrinia</t>
        </is>
      </c>
      <c r="F837" t="inlineStr">
        <is>
          <t>Optimized</t>
        </is>
      </c>
      <c r="G837" s="48" t="n">
        <v>0</v>
      </c>
      <c r="H837" s="48" t="n">
        <v>0</v>
      </c>
      <c r="I837" s="48" t="n">
        <v>0</v>
      </c>
      <c r="J837" s="48" t="n">
        <v>0</v>
      </c>
      <c r="K837" s="49" t="n">
        <v>0</v>
      </c>
      <c r="L837" s="49" t="n">
        <v>0</v>
      </c>
      <c r="M837" s="49" t="n">
        <v>0</v>
      </c>
      <c r="N837" s="49" t="n">
        <v>0</v>
      </c>
      <c r="O837" s="49" t="n">
        <v>0</v>
      </c>
      <c r="P837" s="49" t="n">
        <v>0</v>
      </c>
      <c r="Q837" s="49" t="n">
        <v>0</v>
      </c>
      <c r="R837" s="49" t="n">
        <v>0</v>
      </c>
      <c r="S837" s="50" t="n">
        <v>0</v>
      </c>
      <c r="T837" s="50" t="n">
        <v>0</v>
      </c>
      <c r="U837" s="50" t="n">
        <v>0</v>
      </c>
      <c r="V837" s="50" t="n">
        <v>0</v>
      </c>
      <c r="W837" s="51" t="n">
        <v>0</v>
      </c>
      <c r="X837" s="51" t="n">
        <v>0</v>
      </c>
      <c r="Y837" s="51" t="n">
        <v>0</v>
      </c>
      <c r="Z837" s="51" t="n">
        <v>0</v>
      </c>
      <c r="AA837" s="52" t="n">
        <v>0</v>
      </c>
      <c r="AB837" s="52" t="n">
        <v>0</v>
      </c>
      <c r="AC837" s="52" t="n">
        <v>0</v>
      </c>
      <c r="AD837" s="52" t="n">
        <v>0</v>
      </c>
      <c r="AE837" s="52" t="n">
        <v>0</v>
      </c>
      <c r="AF837" s="52" t="n">
        <v>0</v>
      </c>
      <c r="AG837" s="52" t="n">
        <v>0</v>
      </c>
      <c r="AH837" s="52" t="n">
        <v>0</v>
      </c>
      <c r="AI837" s="52" t="n">
        <v>0</v>
      </c>
      <c r="AJ837" s="52" t="n">
        <v>0</v>
      </c>
      <c r="AK837" s="52" t="n">
        <v>0</v>
      </c>
      <c r="AL837" s="52" t="n">
        <v>0</v>
      </c>
      <c r="AM837" s="53" t="n">
        <v>0</v>
      </c>
      <c r="AN837" s="53" t="n">
        <v>0</v>
      </c>
      <c r="AO837" s="53" t="n">
        <v>0</v>
      </c>
      <c r="AP837" s="53" t="n">
        <v>0</v>
      </c>
      <c r="AQ837" s="52" t="n">
        <v>0</v>
      </c>
      <c r="AR837" s="52" t="n">
        <v>0</v>
      </c>
      <c r="AS837" s="52" t="n">
        <v>0</v>
      </c>
      <c r="AT837" s="52" t="n">
        <v>0</v>
      </c>
      <c r="AU837" s="53" t="n">
        <v>0</v>
      </c>
      <c r="AV837" s="53" t="n">
        <v>0</v>
      </c>
      <c r="AW837" s="53" t="n">
        <v>0</v>
      </c>
      <c r="AX837" s="53" t="n">
        <v>0</v>
      </c>
      <c r="AY837" s="52" t="n">
        <v>0</v>
      </c>
      <c r="AZ837" s="52" t="n">
        <v>0</v>
      </c>
      <c r="BA837" s="52" t="n">
        <v>0</v>
      </c>
      <c r="BB837" s="52" t="n">
        <v>0</v>
      </c>
      <c r="BC837" s="51" t="n">
        <v>0</v>
      </c>
      <c r="BD837" s="51" t="n">
        <v>0</v>
      </c>
      <c r="BE837" s="51" t="n">
        <v>0</v>
      </c>
      <c r="BF837" s="51" t="n">
        <v>0</v>
      </c>
    </row>
    <row r="838">
      <c r="A838">
        <f>HYPERLINK("https://www.walmart.com/ip/863912231", "863912231")</f>
        <v/>
      </c>
      <c r="B838" t="inlineStr">
        <is>
          <t>Kato 6 Bottle Wine Carrier, Insulated Leakproof Padded Wine Cooler Carrying Tote Bag for Travel, Camping and Picnic, Perfect Wine Lover Gift, Blue</t>
        </is>
      </c>
      <c r="C838" t="inlineStr">
        <is>
          <t>1KTWB610BL</t>
        </is>
      </c>
      <c r="D838" t="inlineStr">
        <is>
          <t>Wine Totes, Bags &amp; Backpacks</t>
        </is>
      </c>
      <c r="E838" t="inlineStr">
        <is>
          <t>Kato</t>
        </is>
      </c>
      <c r="F838" t="inlineStr">
        <is>
          <t>Wine</t>
        </is>
      </c>
      <c r="G838" s="48" t="n">
        <v>0</v>
      </c>
      <c r="H838" s="48" t="n">
        <v>0</v>
      </c>
      <c r="I838" s="48" t="n">
        <v>0</v>
      </c>
      <c r="J838" s="48" t="n">
        <v>0</v>
      </c>
      <c r="K838" s="49" t="n">
        <v>0</v>
      </c>
      <c r="L838" s="49" t="n">
        <v>0</v>
      </c>
      <c r="M838" s="49" t="n">
        <v>0</v>
      </c>
      <c r="N838" s="49" t="n">
        <v>0</v>
      </c>
      <c r="O838" s="49" t="n">
        <v>0</v>
      </c>
      <c r="P838" s="49" t="n">
        <v>0</v>
      </c>
      <c r="Q838" s="49" t="n">
        <v>0</v>
      </c>
      <c r="R838" s="49" t="n">
        <v>0</v>
      </c>
      <c r="S838" s="50" t="n">
        <v>0</v>
      </c>
      <c r="T838" s="50" t="n">
        <v>0</v>
      </c>
      <c r="U838" s="50" t="n">
        <v>0</v>
      </c>
      <c r="V838" s="50" t="n">
        <v>0</v>
      </c>
      <c r="W838" s="51" t="n">
        <v>0</v>
      </c>
      <c r="X838" s="51" t="n">
        <v>0</v>
      </c>
      <c r="Y838" s="51" t="n">
        <v>0</v>
      </c>
      <c r="Z838" s="51" t="n">
        <v>0</v>
      </c>
      <c r="AA838" s="52" t="n">
        <v>0</v>
      </c>
      <c r="AB838" s="52" t="n">
        <v>0</v>
      </c>
      <c r="AC838" s="52" t="n">
        <v>0</v>
      </c>
      <c r="AD838" s="52" t="n">
        <v>0</v>
      </c>
      <c r="AE838" s="52" t="n">
        <v>0</v>
      </c>
      <c r="AF838" s="52" t="n">
        <v>0</v>
      </c>
      <c r="AG838" s="52" t="n">
        <v>0</v>
      </c>
      <c r="AH838" s="52" t="n">
        <v>0</v>
      </c>
      <c r="AI838" s="52" t="n">
        <v>0</v>
      </c>
      <c r="AJ838" s="52" t="n">
        <v>0</v>
      </c>
      <c r="AK838" s="52" t="n">
        <v>0</v>
      </c>
      <c r="AL838" s="52" t="n">
        <v>0</v>
      </c>
      <c r="AM838" s="53" t="n">
        <v>0</v>
      </c>
      <c r="AN838" s="53" t="n">
        <v>0</v>
      </c>
      <c r="AO838" s="53" t="n">
        <v>0</v>
      </c>
      <c r="AP838" s="53" t="n">
        <v>0</v>
      </c>
      <c r="AQ838" s="52" t="n">
        <v>0</v>
      </c>
      <c r="AR838" s="52" t="n">
        <v>0</v>
      </c>
      <c r="AS838" s="52" t="n">
        <v>0</v>
      </c>
      <c r="AT838" s="52" t="n">
        <v>0</v>
      </c>
      <c r="AU838" s="53" t="n">
        <v>0</v>
      </c>
      <c r="AV838" s="53" t="n">
        <v>0</v>
      </c>
      <c r="AW838" s="53" t="n">
        <v>0</v>
      </c>
      <c r="AX838" s="53" t="n">
        <v>0</v>
      </c>
      <c r="AY838" s="52" t="n">
        <v>0</v>
      </c>
      <c r="AZ838" s="52" t="n">
        <v>0</v>
      </c>
      <c r="BA838" s="52" t="n">
        <v>0</v>
      </c>
      <c r="BB838" s="52" t="n">
        <v>0</v>
      </c>
      <c r="BC838" s="51" t="n">
        <v>0</v>
      </c>
      <c r="BD838" s="51" t="n">
        <v>0</v>
      </c>
      <c r="BE838" s="51" t="n">
        <v>0</v>
      </c>
      <c r="BF838" s="51" t="n">
        <v>0</v>
      </c>
    </row>
    <row r="839">
      <c r="A839">
        <f>HYPERLINK("https://www.walmart.com/ip/864607409", "864607409")</f>
        <v/>
      </c>
      <c r="B839" t="inlineStr">
        <is>
          <t>Catalonia Women's Poncho Cape, Sherpa Fleece Cloak Coat, Snuggly Hooded Wearable Blanket, Gift Idea for Adults and Teen Girls, Grey</t>
        </is>
      </c>
      <c r="C839" t="inlineStr">
        <is>
          <t>1CTBC300GY</t>
        </is>
      </c>
      <c r="D839" t="inlineStr">
        <is>
          <t>Throws</t>
        </is>
      </c>
      <c r="E839" t="inlineStr">
        <is>
          <t>Catalonia</t>
        </is>
      </c>
      <c r="F839" t="inlineStr">
        <is>
          <t>Q2-Target,WFS,Coupon_Discount,WFS Item</t>
        </is>
      </c>
      <c r="G839" s="48" t="n">
        <v>0</v>
      </c>
      <c r="H839" s="48" t="n">
        <v>0</v>
      </c>
      <c r="I839" s="48" t="n">
        <v>0</v>
      </c>
      <c r="J839" s="48" t="n">
        <v>0</v>
      </c>
      <c r="K839" s="49" t="n">
        <v>0</v>
      </c>
      <c r="L839" s="49" t="n">
        <v>0</v>
      </c>
      <c r="M839" s="49" t="n">
        <v>0</v>
      </c>
      <c r="N839" s="49" t="n">
        <v>0</v>
      </c>
      <c r="O839" s="49" t="n">
        <v>0</v>
      </c>
      <c r="P839" s="49" t="n">
        <v>0</v>
      </c>
      <c r="Q839" s="49" t="n">
        <v>0</v>
      </c>
      <c r="R839" s="49" t="n">
        <v>0</v>
      </c>
      <c r="S839" s="50" t="n">
        <v>0</v>
      </c>
      <c r="T839" s="50" t="n">
        <v>0</v>
      </c>
      <c r="U839" s="50" t="n">
        <v>0</v>
      </c>
      <c r="V839" s="50" t="n">
        <v>0</v>
      </c>
      <c r="W839" s="51" t="n">
        <v>1</v>
      </c>
      <c r="X839" s="51" t="n">
        <v>0</v>
      </c>
      <c r="Y839" s="51" t="n">
        <v>0</v>
      </c>
      <c r="Z839" s="51" t="n">
        <v>0</v>
      </c>
      <c r="AA839" s="52" t="n">
        <v>0.42</v>
      </c>
      <c r="AB839" s="52" t="n">
        <v>0</v>
      </c>
      <c r="AC839" s="52" t="n">
        <v>0</v>
      </c>
      <c r="AD839" s="52" t="n">
        <v>0</v>
      </c>
      <c r="AE839" s="52" t="n">
        <v>0</v>
      </c>
      <c r="AF839" s="52" t="n">
        <v>0</v>
      </c>
      <c r="AG839" s="52" t="n">
        <v>0</v>
      </c>
      <c r="AH839" s="52" t="n">
        <v>0</v>
      </c>
      <c r="AI839" s="52" t="n">
        <v>0</v>
      </c>
      <c r="AJ839" s="52" t="n">
        <v>0</v>
      </c>
      <c r="AK839" s="52" t="n">
        <v>0</v>
      </c>
      <c r="AL839" s="52" t="n">
        <v>0</v>
      </c>
      <c r="AM839" s="53" t="n">
        <v>0.001</v>
      </c>
      <c r="AN839" s="53" t="n">
        <v>0</v>
      </c>
      <c r="AO839" s="53" t="n">
        <v>0</v>
      </c>
      <c r="AP839" s="53" t="n">
        <v>0</v>
      </c>
      <c r="AQ839" s="52" t="n">
        <v>0.42</v>
      </c>
      <c r="AR839" s="52" t="n">
        <v>0</v>
      </c>
      <c r="AS839" s="52" t="n">
        <v>0</v>
      </c>
      <c r="AT839" s="52" t="n">
        <v>0</v>
      </c>
      <c r="AU839" s="53" t="n">
        <v>0</v>
      </c>
      <c r="AV839" s="53" t="n">
        <v>0</v>
      </c>
      <c r="AW839" s="53" t="n">
        <v>0</v>
      </c>
      <c r="AX839" s="53" t="n">
        <v>0</v>
      </c>
      <c r="AY839" s="52" t="n">
        <v>0</v>
      </c>
      <c r="AZ839" s="52" t="n">
        <v>0</v>
      </c>
      <c r="BA839" s="52" t="n">
        <v>0</v>
      </c>
      <c r="BB839" s="52" t="n">
        <v>0</v>
      </c>
      <c r="BC839" s="51" t="n">
        <v>960</v>
      </c>
      <c r="BD839" s="51" t="n">
        <v>0</v>
      </c>
      <c r="BE839" s="51" t="n">
        <v>0</v>
      </c>
      <c r="BF839" s="51" t="n">
        <v>0</v>
      </c>
    </row>
    <row r="840">
      <c r="A840">
        <f>HYPERLINK("https://www.walmart.com/ip/865250796", "865250796")</f>
        <v/>
      </c>
      <c r="B840" t="inlineStr">
        <is>
          <t>Tirrinia Surf Poncho Changing Towel with Hood, Quick Dry Microfiber Wetsuit Changing Robe for Surfing Beach Swim Pool Water Sports, Oversized, Black</t>
        </is>
      </c>
      <c r="C840" t="inlineStr">
        <is>
          <t>1TRBR100-BK</t>
        </is>
      </c>
      <c r="D840" t="inlineStr">
        <is>
          <t>default</t>
        </is>
      </c>
      <c r="E840" t="inlineStr">
        <is>
          <t>Tirrinia</t>
        </is>
      </c>
      <c r="F840" t="inlineStr">
        <is>
          <t>Batch 1 - TR</t>
        </is>
      </c>
      <c r="G840" s="48" t="n">
        <v>0</v>
      </c>
      <c r="H840" s="48" t="n">
        <v>0</v>
      </c>
      <c r="I840" s="48" t="n">
        <v>0</v>
      </c>
      <c r="J840" s="48" t="n">
        <v>0</v>
      </c>
      <c r="K840" s="49" t="n">
        <v>0</v>
      </c>
      <c r="L840" s="49" t="n">
        <v>0</v>
      </c>
      <c r="M840" s="49" t="n">
        <v>0</v>
      </c>
      <c r="N840" s="49" t="n">
        <v>0</v>
      </c>
      <c r="O840" s="49" t="n">
        <v>0</v>
      </c>
      <c r="P840" s="49" t="n">
        <v>0</v>
      </c>
      <c r="Q840" s="49" t="n">
        <v>0</v>
      </c>
      <c r="R840" s="49" t="n">
        <v>0</v>
      </c>
      <c r="S840" s="50" t="n">
        <v>0</v>
      </c>
      <c r="T840" s="50" t="n">
        <v>0</v>
      </c>
      <c r="U840" s="50" t="n">
        <v>0</v>
      </c>
      <c r="V840" s="50" t="n">
        <v>0</v>
      </c>
      <c r="W840" s="51" t="n">
        <v>0</v>
      </c>
      <c r="X840" s="51" t="n">
        <v>0</v>
      </c>
      <c r="Y840" s="51" t="n">
        <v>0</v>
      </c>
      <c r="Z840" s="51" t="n">
        <v>0</v>
      </c>
      <c r="AA840" s="52" t="n">
        <v>0</v>
      </c>
      <c r="AB840" s="52" t="n">
        <v>0</v>
      </c>
      <c r="AC840" s="52" t="n">
        <v>0</v>
      </c>
      <c r="AD840" s="52" t="n">
        <v>0</v>
      </c>
      <c r="AE840" s="52" t="n">
        <v>0</v>
      </c>
      <c r="AF840" s="52" t="n">
        <v>0</v>
      </c>
      <c r="AG840" s="52" t="n">
        <v>0</v>
      </c>
      <c r="AH840" s="52" t="n">
        <v>0</v>
      </c>
      <c r="AI840" s="52" t="n">
        <v>0</v>
      </c>
      <c r="AJ840" s="52" t="n">
        <v>0</v>
      </c>
      <c r="AK840" s="52" t="n">
        <v>0</v>
      </c>
      <c r="AL840" s="52" t="n">
        <v>0</v>
      </c>
      <c r="AM840" s="53" t="n">
        <v>0</v>
      </c>
      <c r="AN840" s="53" t="n">
        <v>0</v>
      </c>
      <c r="AO840" s="53" t="n">
        <v>0</v>
      </c>
      <c r="AP840" s="53" t="n">
        <v>0</v>
      </c>
      <c r="AQ840" s="52" t="n">
        <v>0</v>
      </c>
      <c r="AR840" s="52" t="n">
        <v>0</v>
      </c>
      <c r="AS840" s="52" t="n">
        <v>0</v>
      </c>
      <c r="AT840" s="52" t="n">
        <v>0</v>
      </c>
      <c r="AU840" s="53" t="n">
        <v>0</v>
      </c>
      <c r="AV840" s="53" t="n">
        <v>0</v>
      </c>
      <c r="AW840" s="53" t="n">
        <v>0</v>
      </c>
      <c r="AX840" s="53" t="n">
        <v>0</v>
      </c>
      <c r="AY840" s="52" t="n">
        <v>0</v>
      </c>
      <c r="AZ840" s="52" t="n">
        <v>0</v>
      </c>
      <c r="BA840" s="52" t="n">
        <v>0</v>
      </c>
      <c r="BB840" s="52" t="n">
        <v>0</v>
      </c>
      <c r="BC840" s="51" t="n">
        <v>0</v>
      </c>
      <c r="BD840" s="51" t="n">
        <v>0</v>
      </c>
      <c r="BE840" s="51" t="n">
        <v>0</v>
      </c>
      <c r="BF840" s="51" t="n">
        <v>0</v>
      </c>
    </row>
    <row r="841">
      <c r="A841">
        <f>HYPERLINK("https://www.walmart.com/ip/866052217", "866052217")</f>
        <v/>
      </c>
      <c r="B841" t="inlineStr">
        <is>
          <t>Puppy Blanket,Super Soft Sherpa Dog Blankets and Throws Cat Fleece Sleeping Mat for Pet Small Animals 45x30 Grey</t>
        </is>
      </c>
      <c r="C841" t="inlineStr">
        <is>
          <t>1PSBF345GYLT</t>
        </is>
      </c>
      <c r="D841" t="inlineStr">
        <is>
          <t>Pet Blankets</t>
        </is>
      </c>
      <c r="E841" t="inlineStr">
        <is>
          <t>Pawsse</t>
        </is>
      </c>
      <c r="F841" t="inlineStr">
        <is>
          <t>WFS,WFS Item</t>
        </is>
      </c>
      <c r="G841" s="48" t="n">
        <v>0</v>
      </c>
      <c r="H841" s="48" t="n">
        <v>25.96</v>
      </c>
      <c r="I841" s="48" t="n">
        <v>0</v>
      </c>
      <c r="J841" s="48" t="n">
        <v>12.98</v>
      </c>
      <c r="K841" s="49" t="n">
        <v>0</v>
      </c>
      <c r="L841" s="49" t="n">
        <v>2</v>
      </c>
      <c r="M841" s="49" t="n">
        <v>0</v>
      </c>
      <c r="N841" s="49" t="n">
        <v>1</v>
      </c>
      <c r="O841" s="49" t="n">
        <v>0</v>
      </c>
      <c r="P841" s="49" t="n">
        <v>0</v>
      </c>
      <c r="Q841" s="49" t="n">
        <v>0</v>
      </c>
      <c r="R841" s="49" t="n">
        <v>0</v>
      </c>
      <c r="S841" s="50" t="n">
        <v>0</v>
      </c>
      <c r="T841" s="50" t="n">
        <v>0</v>
      </c>
      <c r="U841" s="50" t="n">
        <v>0</v>
      </c>
      <c r="V841" s="50" t="n">
        <v>0</v>
      </c>
      <c r="W841" s="51" t="n">
        <v>0</v>
      </c>
      <c r="X841" s="51" t="n">
        <v>0</v>
      </c>
      <c r="Y841" s="51" t="n">
        <v>0</v>
      </c>
      <c r="Z841" s="51" t="n">
        <v>0</v>
      </c>
      <c r="AA841" s="52" t="n">
        <v>0</v>
      </c>
      <c r="AB841" s="52" t="n">
        <v>0</v>
      </c>
      <c r="AC841" s="52" t="n">
        <v>0</v>
      </c>
      <c r="AD841" s="52" t="n">
        <v>0</v>
      </c>
      <c r="AE841" s="52" t="n">
        <v>0</v>
      </c>
      <c r="AF841" s="52" t="n">
        <v>0</v>
      </c>
      <c r="AG841" s="52" t="n">
        <v>0</v>
      </c>
      <c r="AH841" s="52" t="n">
        <v>0</v>
      </c>
      <c r="AI841" s="52" t="n">
        <v>0</v>
      </c>
      <c r="AJ841" s="52" t="n">
        <v>0</v>
      </c>
      <c r="AK841" s="52" t="n">
        <v>0</v>
      </c>
      <c r="AL841" s="52" t="n">
        <v>0</v>
      </c>
      <c r="AM841" s="53" t="n">
        <v>0</v>
      </c>
      <c r="AN841" s="53" t="n">
        <v>0</v>
      </c>
      <c r="AO841" s="53" t="n">
        <v>0</v>
      </c>
      <c r="AP841" s="53" t="n">
        <v>0</v>
      </c>
      <c r="AQ841" s="52" t="n">
        <v>0</v>
      </c>
      <c r="AR841" s="52" t="n">
        <v>0</v>
      </c>
      <c r="AS841" s="52" t="n">
        <v>0</v>
      </c>
      <c r="AT841" s="52" t="n">
        <v>0</v>
      </c>
      <c r="AU841" s="53" t="n">
        <v>0</v>
      </c>
      <c r="AV841" s="53" t="n">
        <v>0</v>
      </c>
      <c r="AW841" s="53" t="n">
        <v>0</v>
      </c>
      <c r="AX841" s="53" t="n">
        <v>0</v>
      </c>
      <c r="AY841" s="52" t="n">
        <v>0</v>
      </c>
      <c r="AZ841" s="52" t="n">
        <v>12.98</v>
      </c>
      <c r="BA841" s="52" t="n">
        <v>0</v>
      </c>
      <c r="BB841" s="52" t="n">
        <v>12.98</v>
      </c>
      <c r="BC841" s="51" t="n">
        <v>0</v>
      </c>
      <c r="BD841" s="51" t="n">
        <v>0</v>
      </c>
      <c r="BE841" s="51" t="n">
        <v>0</v>
      </c>
      <c r="BF841" s="51" t="n">
        <v>0</v>
      </c>
    </row>
    <row r="842">
      <c r="A842">
        <f>HYPERLINK("https://www.walmart.com/ip/866476168", "866476168")</f>
        <v/>
      </c>
      <c r="B842" t="inlineStr">
        <is>
          <t>Tirrinia Leggings for Women,Workout Yoga Leggings with High Waist, Tummy Control and 4-Way Stretch, Grey</t>
        </is>
      </c>
      <c r="C842" t="inlineStr">
        <is>
          <t>1TRYP105GY-XXL</t>
        </is>
      </c>
      <c r="D842" t="inlineStr">
        <is>
          <t>Leggings</t>
        </is>
      </c>
      <c r="E842" t="inlineStr">
        <is>
          <t>Tirrinia</t>
        </is>
      </c>
      <c r="F842" t="inlineStr">
        <is>
          <t>Optimized</t>
        </is>
      </c>
      <c r="G842" s="48" t="n">
        <v>0</v>
      </c>
      <c r="H842" s="48" t="n">
        <v>0</v>
      </c>
      <c r="I842" s="48" t="n">
        <v>0</v>
      </c>
      <c r="J842" s="48" t="n">
        <v>0</v>
      </c>
      <c r="K842" s="49" t="n">
        <v>0</v>
      </c>
      <c r="L842" s="49" t="n">
        <v>0</v>
      </c>
      <c r="M842" s="49" t="n">
        <v>0</v>
      </c>
      <c r="N842" s="49" t="n">
        <v>0</v>
      </c>
      <c r="O842" s="49" t="n">
        <v>0</v>
      </c>
      <c r="P842" s="49" t="n">
        <v>0</v>
      </c>
      <c r="Q842" s="49" t="n">
        <v>0</v>
      </c>
      <c r="R842" s="49" t="n">
        <v>0</v>
      </c>
      <c r="S842" s="50" t="n">
        <v>0</v>
      </c>
      <c r="T842" s="50" t="n">
        <v>0</v>
      </c>
      <c r="U842" s="50" t="n">
        <v>0</v>
      </c>
      <c r="V842" s="50" t="n">
        <v>0</v>
      </c>
      <c r="W842" s="51" t="n">
        <v>0</v>
      </c>
      <c r="X842" s="51" t="n">
        <v>0</v>
      </c>
      <c r="Y842" s="51" t="n">
        <v>0</v>
      </c>
      <c r="Z842" s="51" t="n">
        <v>0</v>
      </c>
      <c r="AA842" s="52" t="n">
        <v>0</v>
      </c>
      <c r="AB842" s="52" t="n">
        <v>0</v>
      </c>
      <c r="AC842" s="52" t="n">
        <v>0</v>
      </c>
      <c r="AD842" s="52" t="n">
        <v>0</v>
      </c>
      <c r="AE842" s="52" t="n">
        <v>0</v>
      </c>
      <c r="AF842" s="52" t="n">
        <v>0</v>
      </c>
      <c r="AG842" s="52" t="n">
        <v>0</v>
      </c>
      <c r="AH842" s="52" t="n">
        <v>0</v>
      </c>
      <c r="AI842" s="52" t="n">
        <v>0</v>
      </c>
      <c r="AJ842" s="52" t="n">
        <v>0</v>
      </c>
      <c r="AK842" s="52" t="n">
        <v>0</v>
      </c>
      <c r="AL842" s="52" t="n">
        <v>0</v>
      </c>
      <c r="AM842" s="53" t="n">
        <v>0</v>
      </c>
      <c r="AN842" s="53" t="n">
        <v>0</v>
      </c>
      <c r="AO842" s="53" t="n">
        <v>0</v>
      </c>
      <c r="AP842" s="53" t="n">
        <v>0</v>
      </c>
      <c r="AQ842" s="52" t="n">
        <v>0</v>
      </c>
      <c r="AR842" s="52" t="n">
        <v>0</v>
      </c>
      <c r="AS842" s="52" t="n">
        <v>0</v>
      </c>
      <c r="AT842" s="52" t="n">
        <v>0</v>
      </c>
      <c r="AU842" s="53" t="n">
        <v>0</v>
      </c>
      <c r="AV842" s="53" t="n">
        <v>0</v>
      </c>
      <c r="AW842" s="53" t="n">
        <v>0</v>
      </c>
      <c r="AX842" s="53" t="n">
        <v>0</v>
      </c>
      <c r="AY842" s="52" t="n">
        <v>0</v>
      </c>
      <c r="AZ842" s="52" t="n">
        <v>0</v>
      </c>
      <c r="BA842" s="52" t="n">
        <v>0</v>
      </c>
      <c r="BB842" s="52" t="n">
        <v>0</v>
      </c>
      <c r="BC842" s="51" t="n">
        <v>0</v>
      </c>
      <c r="BD842" s="51" t="n">
        <v>0</v>
      </c>
      <c r="BE842" s="51" t="n">
        <v>0</v>
      </c>
      <c r="BF842" s="51" t="n">
        <v>0</v>
      </c>
    </row>
    <row r="843">
      <c r="A843">
        <f>HYPERLINK("https://www.walmart.com/ip/866631119", "866631119")</f>
        <v/>
      </c>
      <c r="B843" t="inlineStr">
        <is>
          <t>Pawsse Waterproof Pet Snuggle Blanket, Dog Puppy Cat Fleece Sherpa Throws Cushion Mat for Car Seat Furniture Protector Cover Medium 50"x60"</t>
        </is>
      </c>
      <c r="C843" t="inlineStr">
        <is>
          <t>1PSBW561BNTP</t>
        </is>
      </c>
      <c r="D843" t="inlineStr">
        <is>
          <t>Pet Blankets</t>
        </is>
      </c>
      <c r="E843" t="inlineStr">
        <is>
          <t>Pawsse</t>
        </is>
      </c>
      <c r="F843" t="inlineStr">
        <is>
          <t>Q2-Target,WFS,SEM,WFS Item</t>
        </is>
      </c>
      <c r="G843" s="48" t="n">
        <v>0</v>
      </c>
      <c r="H843" s="48" t="n">
        <v>0</v>
      </c>
      <c r="I843" s="48" t="n">
        <v>0</v>
      </c>
      <c r="J843" s="48" t="n">
        <v>0</v>
      </c>
      <c r="K843" s="49" t="n">
        <v>0</v>
      </c>
      <c r="L843" s="49" t="n">
        <v>0</v>
      </c>
      <c r="M843" s="49" t="n">
        <v>0</v>
      </c>
      <c r="N843" s="49" t="n">
        <v>0</v>
      </c>
      <c r="O843" s="49" t="n">
        <v>0</v>
      </c>
      <c r="P843" s="49" t="n">
        <v>0</v>
      </c>
      <c r="Q843" s="49" t="n">
        <v>0</v>
      </c>
      <c r="R843" s="49" t="n">
        <v>0</v>
      </c>
      <c r="S843" s="50" t="n">
        <v>0</v>
      </c>
      <c r="T843" s="50" t="n">
        <v>0</v>
      </c>
      <c r="U843" s="50" t="n">
        <v>0</v>
      </c>
      <c r="V843" s="50" t="n">
        <v>0</v>
      </c>
      <c r="W843" s="51" t="n">
        <v>0</v>
      </c>
      <c r="X843" s="51" t="n">
        <v>0</v>
      </c>
      <c r="Y843" s="51" t="n">
        <v>0</v>
      </c>
      <c r="Z843" s="51" t="n">
        <v>0</v>
      </c>
      <c r="AA843" s="52" t="n">
        <v>0</v>
      </c>
      <c r="AB843" s="52" t="n">
        <v>0</v>
      </c>
      <c r="AC843" s="52" t="n">
        <v>0</v>
      </c>
      <c r="AD843" s="52" t="n">
        <v>0</v>
      </c>
      <c r="AE843" s="52" t="n">
        <v>0</v>
      </c>
      <c r="AF843" s="52" t="n">
        <v>0</v>
      </c>
      <c r="AG843" s="52" t="n">
        <v>0</v>
      </c>
      <c r="AH843" s="52" t="n">
        <v>0</v>
      </c>
      <c r="AI843" s="52" t="n">
        <v>0</v>
      </c>
      <c r="AJ843" s="52" t="n">
        <v>0</v>
      </c>
      <c r="AK843" s="52" t="n">
        <v>0</v>
      </c>
      <c r="AL843" s="52" t="n">
        <v>0</v>
      </c>
      <c r="AM843" s="53" t="n">
        <v>0</v>
      </c>
      <c r="AN843" s="53" t="n">
        <v>0</v>
      </c>
      <c r="AO843" s="53" t="n">
        <v>0</v>
      </c>
      <c r="AP843" s="53" t="n">
        <v>0</v>
      </c>
      <c r="AQ843" s="52" t="n">
        <v>0</v>
      </c>
      <c r="AR843" s="52" t="n">
        <v>0</v>
      </c>
      <c r="AS843" s="52" t="n">
        <v>0</v>
      </c>
      <c r="AT843" s="52" t="n">
        <v>0</v>
      </c>
      <c r="AU843" s="53" t="n">
        <v>0</v>
      </c>
      <c r="AV843" s="53" t="n">
        <v>0</v>
      </c>
      <c r="AW843" s="53" t="n">
        <v>0</v>
      </c>
      <c r="AX843" s="53" t="n">
        <v>0</v>
      </c>
      <c r="AY843" s="52" t="n">
        <v>0</v>
      </c>
      <c r="AZ843" s="52" t="n">
        <v>0</v>
      </c>
      <c r="BA843" s="52" t="n">
        <v>0</v>
      </c>
      <c r="BB843" s="52" t="n">
        <v>0</v>
      </c>
      <c r="BC843" s="51" t="n">
        <v>0</v>
      </c>
      <c r="BD843" s="51" t="n">
        <v>0</v>
      </c>
      <c r="BE843" s="51" t="n">
        <v>0</v>
      </c>
      <c r="BF843" s="51" t="n">
        <v>0</v>
      </c>
    </row>
    <row r="844">
      <c r="A844">
        <f>HYPERLINK("https://www.walmart.com/ip/866962891", "866962891")</f>
        <v/>
      </c>
      <c r="B844" t="inlineStr">
        <is>
          <t>Napa Plush Throw Blanket Multicolor, 66"x90" Twin, Striped Reversible Velvet Luxury Fleece Warm Bed Couch Blanket, Super Soft and Cozy</t>
        </is>
      </c>
      <c r="C844" t="inlineStr">
        <is>
          <t>K8030TW-LTT</t>
        </is>
      </c>
      <c r="D844" t="inlineStr">
        <is>
          <t>Throws</t>
        </is>
      </c>
      <c r="E844" t="inlineStr">
        <is>
          <t>NAPA</t>
        </is>
      </c>
      <c r="F844" t="inlineStr">
        <is>
          <t>Q2-Target,Optimized</t>
        </is>
      </c>
      <c r="G844" s="48" t="n">
        <v>0</v>
      </c>
      <c r="H844" s="48" t="n">
        <v>0</v>
      </c>
      <c r="I844" s="48" t="n">
        <v>0</v>
      </c>
      <c r="J844" s="48" t="n">
        <v>0</v>
      </c>
      <c r="K844" s="49" t="n">
        <v>0</v>
      </c>
      <c r="L844" s="49" t="n">
        <v>0</v>
      </c>
      <c r="M844" s="49" t="n">
        <v>0</v>
      </c>
      <c r="N844" s="49" t="n">
        <v>0</v>
      </c>
      <c r="O844" s="49" t="n">
        <v>0</v>
      </c>
      <c r="P844" s="49" t="n">
        <v>0</v>
      </c>
      <c r="Q844" s="49" t="n">
        <v>0</v>
      </c>
      <c r="R844" s="49" t="n">
        <v>0</v>
      </c>
      <c r="S844" s="50" t="n">
        <v>0</v>
      </c>
      <c r="T844" s="50" t="n">
        <v>0</v>
      </c>
      <c r="U844" s="50" t="n">
        <v>0</v>
      </c>
      <c r="V844" s="50" t="n">
        <v>0</v>
      </c>
      <c r="W844" s="51" t="n">
        <v>0</v>
      </c>
      <c r="X844" s="51" t="n">
        <v>0</v>
      </c>
      <c r="Y844" s="51" t="n">
        <v>0</v>
      </c>
      <c r="Z844" s="51" t="n">
        <v>0</v>
      </c>
      <c r="AA844" s="52" t="n">
        <v>0</v>
      </c>
      <c r="AB844" s="52" t="n">
        <v>0</v>
      </c>
      <c r="AC844" s="52" t="n">
        <v>0</v>
      </c>
      <c r="AD844" s="52" t="n">
        <v>0</v>
      </c>
      <c r="AE844" s="52" t="n">
        <v>0</v>
      </c>
      <c r="AF844" s="52" t="n">
        <v>0</v>
      </c>
      <c r="AG844" s="52" t="n">
        <v>0</v>
      </c>
      <c r="AH844" s="52" t="n">
        <v>0</v>
      </c>
      <c r="AI844" s="52" t="n">
        <v>0</v>
      </c>
      <c r="AJ844" s="52" t="n">
        <v>0</v>
      </c>
      <c r="AK844" s="52" t="n">
        <v>0</v>
      </c>
      <c r="AL844" s="52" t="n">
        <v>0</v>
      </c>
      <c r="AM844" s="53" t="n">
        <v>0</v>
      </c>
      <c r="AN844" s="53" t="n">
        <v>0</v>
      </c>
      <c r="AO844" s="53" t="n">
        <v>0</v>
      </c>
      <c r="AP844" s="53" t="n">
        <v>0</v>
      </c>
      <c r="AQ844" s="52" t="n">
        <v>0</v>
      </c>
      <c r="AR844" s="52" t="n">
        <v>0</v>
      </c>
      <c r="AS844" s="52" t="n">
        <v>0</v>
      </c>
      <c r="AT844" s="52" t="n">
        <v>0</v>
      </c>
      <c r="AU844" s="53" t="n">
        <v>0</v>
      </c>
      <c r="AV844" s="53" t="n">
        <v>0</v>
      </c>
      <c r="AW844" s="53" t="n">
        <v>0</v>
      </c>
      <c r="AX844" s="53" t="n">
        <v>0</v>
      </c>
      <c r="AY844" s="52" t="n">
        <v>0</v>
      </c>
      <c r="AZ844" s="52" t="n">
        <v>0</v>
      </c>
      <c r="BA844" s="52" t="n">
        <v>0</v>
      </c>
      <c r="BB844" s="52" t="n">
        <v>0</v>
      </c>
      <c r="BC844" s="51" t="n">
        <v>0</v>
      </c>
      <c r="BD844" s="51" t="n">
        <v>0</v>
      </c>
      <c r="BE844" s="51" t="n">
        <v>0</v>
      </c>
      <c r="BF844" s="51" t="n">
        <v>0</v>
      </c>
    </row>
    <row r="845">
      <c r="A845">
        <f>HYPERLINK("https://www.walmart.com/ip/867863632", "867863632")</f>
        <v/>
      </c>
      <c r="B845" t="inlineStr">
        <is>
          <t>Sports Travel Money Belt - Unisex Fitness Fanny &amp; Waist Pack -Reflective Running Belt Flip Belt - Runners waist pack &amp; M</t>
        </is>
      </c>
      <c r="C845" t="inlineStr">
        <is>
          <t>TERRA-5NG-L-ZJ</t>
        </is>
      </c>
      <c r="D845" t="inlineStr">
        <is>
          <t>Running Belts</t>
        </is>
      </c>
      <c r="E845" t="inlineStr">
        <is>
          <t>Terra</t>
        </is>
      </c>
      <c r="F845" t="inlineStr">
        <is>
          <t>Batch 1 - TR</t>
        </is>
      </c>
      <c r="G845" s="48" t="n">
        <v>0</v>
      </c>
      <c r="H845" s="48" t="n">
        <v>0</v>
      </c>
      <c r="I845" s="48" t="n">
        <v>0</v>
      </c>
      <c r="J845" s="48" t="n">
        <v>0</v>
      </c>
      <c r="K845" s="49" t="n">
        <v>0</v>
      </c>
      <c r="L845" s="49" t="n">
        <v>0</v>
      </c>
      <c r="M845" s="49" t="n">
        <v>0</v>
      </c>
      <c r="N845" s="49" t="n">
        <v>0</v>
      </c>
      <c r="O845" s="49" t="n">
        <v>0</v>
      </c>
      <c r="P845" s="49" t="n">
        <v>0</v>
      </c>
      <c r="Q845" s="49" t="n">
        <v>0</v>
      </c>
      <c r="R845" s="49" t="n">
        <v>0</v>
      </c>
      <c r="S845" s="50" t="n">
        <v>0</v>
      </c>
      <c r="T845" s="50" t="n">
        <v>0</v>
      </c>
      <c r="U845" s="50" t="n">
        <v>0</v>
      </c>
      <c r="V845" s="50" t="n">
        <v>0</v>
      </c>
      <c r="W845" s="51" t="n">
        <v>0</v>
      </c>
      <c r="X845" s="51" t="n">
        <v>0</v>
      </c>
      <c r="Y845" s="51" t="n">
        <v>0</v>
      </c>
      <c r="Z845" s="51" t="n">
        <v>0</v>
      </c>
      <c r="AA845" s="52" t="n">
        <v>0</v>
      </c>
      <c r="AB845" s="52" t="n">
        <v>0</v>
      </c>
      <c r="AC845" s="52" t="n">
        <v>0</v>
      </c>
      <c r="AD845" s="52" t="n">
        <v>0</v>
      </c>
      <c r="AE845" s="52" t="n">
        <v>0</v>
      </c>
      <c r="AF845" s="52" t="n">
        <v>0</v>
      </c>
      <c r="AG845" s="52" t="n">
        <v>0</v>
      </c>
      <c r="AH845" s="52" t="n">
        <v>0</v>
      </c>
      <c r="AI845" s="52" t="n">
        <v>0</v>
      </c>
      <c r="AJ845" s="52" t="n">
        <v>0</v>
      </c>
      <c r="AK845" s="52" t="n">
        <v>0</v>
      </c>
      <c r="AL845" s="52" t="n">
        <v>0</v>
      </c>
      <c r="AM845" s="53" t="n">
        <v>0</v>
      </c>
      <c r="AN845" s="53" t="n">
        <v>0</v>
      </c>
      <c r="AO845" s="53" t="n">
        <v>0</v>
      </c>
      <c r="AP845" s="53" t="n">
        <v>0</v>
      </c>
      <c r="AQ845" s="52" t="n">
        <v>0</v>
      </c>
      <c r="AR845" s="52" t="n">
        <v>0</v>
      </c>
      <c r="AS845" s="52" t="n">
        <v>0</v>
      </c>
      <c r="AT845" s="52" t="n">
        <v>0</v>
      </c>
      <c r="AU845" s="53" t="n">
        <v>0</v>
      </c>
      <c r="AV845" s="53" t="n">
        <v>0</v>
      </c>
      <c r="AW845" s="53" t="n">
        <v>0</v>
      </c>
      <c r="AX845" s="53" t="n">
        <v>0</v>
      </c>
      <c r="AY845" s="52" t="n">
        <v>0</v>
      </c>
      <c r="AZ845" s="52" t="n">
        <v>0</v>
      </c>
      <c r="BA845" s="52" t="n">
        <v>0</v>
      </c>
      <c r="BB845" s="52" t="n">
        <v>0</v>
      </c>
      <c r="BC845" s="51" t="n">
        <v>0</v>
      </c>
      <c r="BD845" s="51" t="n">
        <v>0</v>
      </c>
      <c r="BE845" s="51" t="n">
        <v>0</v>
      </c>
      <c r="BF845" s="51" t="n">
        <v>0</v>
      </c>
    </row>
    <row r="846">
      <c r="A846">
        <f>HYPERLINK("https://www.walmart.com/ip/868651793", "868651793")</f>
        <v/>
      </c>
      <c r="B846" t="inlineStr">
        <is>
          <t>Sherpa Wearable Blanket with Sleeves Arms, Super Soft Warm Comfy Large Fleece Plush Sleeved TV Throws Wrap Robe Blanket for Adult Women and Men by Catalonia</t>
        </is>
      </c>
      <c r="C846" t="inlineStr">
        <is>
          <t>1CTSN210BL</t>
        </is>
      </c>
      <c r="D846" t="inlineStr">
        <is>
          <t>Throws</t>
        </is>
      </c>
      <c r="E846" t="inlineStr">
        <is>
          <t>Catalonia</t>
        </is>
      </c>
      <c r="F846" t="inlineStr">
        <is>
          <t>Q2-Target,Coupon_Discount,Batch 1 - TR</t>
        </is>
      </c>
      <c r="G846" s="48" t="n">
        <v>0</v>
      </c>
      <c r="H846" s="48" t="n">
        <v>0</v>
      </c>
      <c r="I846" s="48" t="n">
        <v>0</v>
      </c>
      <c r="J846" s="48" t="n">
        <v>0</v>
      </c>
      <c r="K846" s="49" t="n">
        <v>0</v>
      </c>
      <c r="L846" s="49" t="n">
        <v>0</v>
      </c>
      <c r="M846" s="49" t="n">
        <v>0</v>
      </c>
      <c r="N846" s="49" t="n">
        <v>0</v>
      </c>
      <c r="O846" s="49" t="n">
        <v>0</v>
      </c>
      <c r="P846" s="49" t="n">
        <v>0</v>
      </c>
      <c r="Q846" s="49" t="n">
        <v>0</v>
      </c>
      <c r="R846" s="49" t="n">
        <v>0</v>
      </c>
      <c r="S846" s="50" t="n">
        <v>0</v>
      </c>
      <c r="T846" s="50" t="n">
        <v>0</v>
      </c>
      <c r="U846" s="50" t="n">
        <v>0</v>
      </c>
      <c r="V846" s="50" t="n">
        <v>0</v>
      </c>
      <c r="W846" s="51" t="n">
        <v>0</v>
      </c>
      <c r="X846" s="51" t="n">
        <v>0</v>
      </c>
      <c r="Y846" s="51" t="n">
        <v>0</v>
      </c>
      <c r="Z846" s="51" t="n">
        <v>0</v>
      </c>
      <c r="AA846" s="52" t="n">
        <v>0</v>
      </c>
      <c r="AB846" s="52" t="n">
        <v>0</v>
      </c>
      <c r="AC846" s="52" t="n">
        <v>0</v>
      </c>
      <c r="AD846" s="52" t="n">
        <v>0</v>
      </c>
      <c r="AE846" s="52" t="n">
        <v>0</v>
      </c>
      <c r="AF846" s="52" t="n">
        <v>0</v>
      </c>
      <c r="AG846" s="52" t="n">
        <v>0</v>
      </c>
      <c r="AH846" s="52" t="n">
        <v>0</v>
      </c>
      <c r="AI846" s="52" t="n">
        <v>0</v>
      </c>
      <c r="AJ846" s="52" t="n">
        <v>0</v>
      </c>
      <c r="AK846" s="52" t="n">
        <v>0</v>
      </c>
      <c r="AL846" s="52" t="n">
        <v>0</v>
      </c>
      <c r="AM846" s="53" t="n">
        <v>0</v>
      </c>
      <c r="AN846" s="53" t="n">
        <v>0</v>
      </c>
      <c r="AO846" s="53" t="n">
        <v>0</v>
      </c>
      <c r="AP846" s="53" t="n">
        <v>0</v>
      </c>
      <c r="AQ846" s="52" t="n">
        <v>0</v>
      </c>
      <c r="AR846" s="52" t="n">
        <v>0</v>
      </c>
      <c r="AS846" s="52" t="n">
        <v>0</v>
      </c>
      <c r="AT846" s="52" t="n">
        <v>0</v>
      </c>
      <c r="AU846" s="53" t="n">
        <v>0</v>
      </c>
      <c r="AV846" s="53" t="n">
        <v>0</v>
      </c>
      <c r="AW846" s="53" t="n">
        <v>0</v>
      </c>
      <c r="AX846" s="53" t="n">
        <v>0</v>
      </c>
      <c r="AY846" s="52" t="n">
        <v>0</v>
      </c>
      <c r="AZ846" s="52" t="n">
        <v>0</v>
      </c>
      <c r="BA846" s="52" t="n">
        <v>0</v>
      </c>
      <c r="BB846" s="52" t="n">
        <v>0</v>
      </c>
      <c r="BC846" s="51" t="n">
        <v>0</v>
      </c>
      <c r="BD846" s="51" t="n">
        <v>0</v>
      </c>
      <c r="BE846" s="51" t="n">
        <v>0</v>
      </c>
      <c r="BF846" s="51" t="n">
        <v>0</v>
      </c>
    </row>
    <row r="847">
      <c r="A847">
        <f>HYPERLINK("https://www.walmart.com/ip/869555940", "869555940")</f>
        <v/>
      </c>
      <c r="B847" t="inlineStr">
        <is>
          <t>Catalonia Wearable TV Blanket with Sleeves Arms &amp; Feet pockets for Adult Micro Plush Fleece Large Wrap Throw Robe 75 x 5</t>
        </is>
      </c>
      <c r="C847" t="inlineStr">
        <is>
          <t>1CTSN101CHEETAH</t>
        </is>
      </c>
      <c r="D847" t="inlineStr">
        <is>
          <t>Throws</t>
        </is>
      </c>
      <c r="E847" t="inlineStr">
        <is>
          <t>Catalonia</t>
        </is>
      </c>
      <c r="F847" t="inlineStr">
        <is>
          <t>WFS,WFS Item,Fleece Blankets</t>
        </is>
      </c>
      <c r="G847" s="48" t="n">
        <v>0</v>
      </c>
      <c r="H847" s="48" t="n">
        <v>0</v>
      </c>
      <c r="I847" s="48" t="n">
        <v>0</v>
      </c>
      <c r="J847" s="48" t="n">
        <v>0</v>
      </c>
      <c r="K847" s="49" t="n">
        <v>0</v>
      </c>
      <c r="L847" s="49" t="n">
        <v>0</v>
      </c>
      <c r="M847" s="49" t="n">
        <v>0</v>
      </c>
      <c r="N847" s="49" t="n">
        <v>0</v>
      </c>
      <c r="O847" s="49" t="n">
        <v>0</v>
      </c>
      <c r="P847" s="49" t="n">
        <v>0</v>
      </c>
      <c r="Q847" s="49" t="n">
        <v>0</v>
      </c>
      <c r="R847" s="49" t="n">
        <v>0</v>
      </c>
      <c r="S847" s="50" t="n">
        <v>0</v>
      </c>
      <c r="T847" s="50" t="n">
        <v>0</v>
      </c>
      <c r="U847" s="50" t="n">
        <v>0</v>
      </c>
      <c r="V847" s="50" t="n">
        <v>0</v>
      </c>
      <c r="W847" s="51" t="n">
        <v>0</v>
      </c>
      <c r="X847" s="51" t="n">
        <v>0</v>
      </c>
      <c r="Y847" s="51" t="n">
        <v>0</v>
      </c>
      <c r="Z847" s="51" t="n">
        <v>0</v>
      </c>
      <c r="AA847" s="52" t="n">
        <v>0</v>
      </c>
      <c r="AB847" s="52" t="n">
        <v>0</v>
      </c>
      <c r="AC847" s="52" t="n">
        <v>0</v>
      </c>
      <c r="AD847" s="52" t="n">
        <v>0</v>
      </c>
      <c r="AE847" s="52" t="n">
        <v>0</v>
      </c>
      <c r="AF847" s="52" t="n">
        <v>0</v>
      </c>
      <c r="AG847" s="52" t="n">
        <v>0</v>
      </c>
      <c r="AH847" s="52" t="n">
        <v>0</v>
      </c>
      <c r="AI847" s="52" t="n">
        <v>0</v>
      </c>
      <c r="AJ847" s="52" t="n">
        <v>0</v>
      </c>
      <c r="AK847" s="52" t="n">
        <v>0</v>
      </c>
      <c r="AL847" s="52" t="n">
        <v>0</v>
      </c>
      <c r="AM847" s="53" t="n">
        <v>0</v>
      </c>
      <c r="AN847" s="53" t="n">
        <v>0</v>
      </c>
      <c r="AO847" s="53" t="n">
        <v>0</v>
      </c>
      <c r="AP847" s="53" t="n">
        <v>0</v>
      </c>
      <c r="AQ847" s="52" t="n">
        <v>0</v>
      </c>
      <c r="AR847" s="52" t="n">
        <v>0</v>
      </c>
      <c r="AS847" s="52" t="n">
        <v>0</v>
      </c>
      <c r="AT847" s="52" t="n">
        <v>0</v>
      </c>
      <c r="AU847" s="53" t="n">
        <v>0</v>
      </c>
      <c r="AV847" s="53" t="n">
        <v>0</v>
      </c>
      <c r="AW847" s="53" t="n">
        <v>0</v>
      </c>
      <c r="AX847" s="53" t="n">
        <v>0</v>
      </c>
      <c r="AY847" s="52" t="n">
        <v>0</v>
      </c>
      <c r="AZ847" s="52" t="n">
        <v>0</v>
      </c>
      <c r="BA847" s="52" t="n">
        <v>0</v>
      </c>
      <c r="BB847" s="52" t="n">
        <v>0</v>
      </c>
      <c r="BC847" s="51" t="n">
        <v>0</v>
      </c>
      <c r="BD847" s="51" t="n">
        <v>0</v>
      </c>
      <c r="BE847" s="51" t="n">
        <v>0</v>
      </c>
      <c r="BF847" s="51" t="n">
        <v>0</v>
      </c>
    </row>
    <row r="848">
      <c r="A848">
        <f>HYPERLINK("https://www.walmart.com/ip/870353713", "870353713")</f>
        <v/>
      </c>
      <c r="B848" t="inlineStr">
        <is>
          <t>Flyingstar Blanket with Sleeves and Pocket, Wearable Throws Blanket, Robe for Women and Men 73” x 51” Latte</t>
        </is>
      </c>
      <c r="C848" t="inlineStr">
        <is>
          <t>1WMSN100LT-ESGM</t>
        </is>
      </c>
      <c r="D848" t="inlineStr">
        <is>
          <t>Throws</t>
        </is>
      </c>
      <c r="E848" t="inlineStr">
        <is>
          <t>Flyingstar</t>
        </is>
      </c>
      <c r="F848" t="inlineStr">
        <is>
          <t>Batch 1 - TR</t>
        </is>
      </c>
      <c r="G848" s="48" t="n">
        <v>0</v>
      </c>
      <c r="H848" s="48" t="n">
        <v>0</v>
      </c>
      <c r="I848" s="48" t="n">
        <v>0</v>
      </c>
      <c r="J848" s="48" t="n">
        <v>0</v>
      </c>
      <c r="K848" s="49" t="n">
        <v>0</v>
      </c>
      <c r="L848" s="49" t="n">
        <v>0</v>
      </c>
      <c r="M848" s="49" t="n">
        <v>0</v>
      </c>
      <c r="N848" s="49" t="n">
        <v>0</v>
      </c>
      <c r="O848" s="49" t="n">
        <v>0</v>
      </c>
      <c r="P848" s="49" t="n">
        <v>0</v>
      </c>
      <c r="Q848" s="49" t="n">
        <v>0</v>
      </c>
      <c r="R848" s="49" t="n">
        <v>0</v>
      </c>
      <c r="S848" s="50" t="n">
        <v>0</v>
      </c>
      <c r="T848" s="50" t="n">
        <v>0</v>
      </c>
      <c r="U848" s="50" t="n">
        <v>0</v>
      </c>
      <c r="V848" s="50" t="n">
        <v>0</v>
      </c>
      <c r="W848" s="51" t="n">
        <v>0</v>
      </c>
      <c r="X848" s="51" t="n">
        <v>0</v>
      </c>
      <c r="Y848" s="51" t="n">
        <v>0</v>
      </c>
      <c r="Z848" s="51" t="n">
        <v>0</v>
      </c>
      <c r="AA848" s="52" t="n">
        <v>0</v>
      </c>
      <c r="AB848" s="52" t="n">
        <v>0</v>
      </c>
      <c r="AC848" s="52" t="n">
        <v>0</v>
      </c>
      <c r="AD848" s="52" t="n">
        <v>0</v>
      </c>
      <c r="AE848" s="52" t="n">
        <v>0</v>
      </c>
      <c r="AF848" s="52" t="n">
        <v>0</v>
      </c>
      <c r="AG848" s="52" t="n">
        <v>0</v>
      </c>
      <c r="AH848" s="52" t="n">
        <v>0</v>
      </c>
      <c r="AI848" s="52" t="n">
        <v>0</v>
      </c>
      <c r="AJ848" s="52" t="n">
        <v>0</v>
      </c>
      <c r="AK848" s="52" t="n">
        <v>0</v>
      </c>
      <c r="AL848" s="52" t="n">
        <v>0</v>
      </c>
      <c r="AM848" s="53" t="n">
        <v>0</v>
      </c>
      <c r="AN848" s="53" t="n">
        <v>0</v>
      </c>
      <c r="AO848" s="53" t="n">
        <v>0</v>
      </c>
      <c r="AP848" s="53" t="n">
        <v>0</v>
      </c>
      <c r="AQ848" s="52" t="n">
        <v>0</v>
      </c>
      <c r="AR848" s="52" t="n">
        <v>0</v>
      </c>
      <c r="AS848" s="52" t="n">
        <v>0</v>
      </c>
      <c r="AT848" s="52" t="n">
        <v>0</v>
      </c>
      <c r="AU848" s="53" t="n">
        <v>0</v>
      </c>
      <c r="AV848" s="53" t="n">
        <v>0</v>
      </c>
      <c r="AW848" s="53" t="n">
        <v>0</v>
      </c>
      <c r="AX848" s="53" t="n">
        <v>0</v>
      </c>
      <c r="AY848" s="52" t="n">
        <v>0</v>
      </c>
      <c r="AZ848" s="52" t="n">
        <v>0</v>
      </c>
      <c r="BA848" s="52" t="n">
        <v>0</v>
      </c>
      <c r="BB848" s="52" t="n">
        <v>0</v>
      </c>
      <c r="BC848" s="51" t="n">
        <v>0</v>
      </c>
      <c r="BD848" s="51" t="n">
        <v>0</v>
      </c>
      <c r="BE848" s="51" t="n">
        <v>0</v>
      </c>
      <c r="BF848" s="51" t="n">
        <v>0</v>
      </c>
    </row>
    <row r="849">
      <c r="A849">
        <f>HYPERLINK("https://www.walmart.com/ip/873055827", "873055827")</f>
        <v/>
      </c>
      <c r="B849" t="inlineStr">
        <is>
          <t>Sherpa Blanket, Throw Blanket, Sherpa Blanket Super Soft Warm Fuzzy Snowflake Blanket Reversible for Family 60"x50" by Catalonia</t>
        </is>
      </c>
      <c r="C849" t="inlineStr">
        <is>
          <t>1CTBF390BG</t>
        </is>
      </c>
      <c r="D849" t="inlineStr">
        <is>
          <t>Throws</t>
        </is>
      </c>
      <c r="E849" t="inlineStr">
        <is>
          <t>Catalonia</t>
        </is>
      </c>
      <c r="F849" t="inlineStr">
        <is>
          <t>Batch 1 - TR</t>
        </is>
      </c>
      <c r="G849" s="48" t="n">
        <v>0</v>
      </c>
      <c r="H849" s="48" t="n">
        <v>0</v>
      </c>
      <c r="I849" s="48" t="n">
        <v>0</v>
      </c>
      <c r="J849" s="48" t="n">
        <v>0</v>
      </c>
      <c r="K849" s="49" t="n">
        <v>0</v>
      </c>
      <c r="L849" s="49" t="n">
        <v>0</v>
      </c>
      <c r="M849" s="49" t="n">
        <v>0</v>
      </c>
      <c r="N849" s="49" t="n">
        <v>0</v>
      </c>
      <c r="O849" s="49" t="n">
        <v>0</v>
      </c>
      <c r="P849" s="49" t="n">
        <v>0</v>
      </c>
      <c r="Q849" s="49" t="n">
        <v>0</v>
      </c>
      <c r="R849" s="49" t="n">
        <v>0</v>
      </c>
      <c r="S849" s="50" t="n">
        <v>0</v>
      </c>
      <c r="T849" s="50" t="n">
        <v>0</v>
      </c>
      <c r="U849" s="50" t="n">
        <v>0</v>
      </c>
      <c r="V849" s="50" t="n">
        <v>0</v>
      </c>
      <c r="W849" s="51" t="n">
        <v>0</v>
      </c>
      <c r="X849" s="51" t="n">
        <v>0</v>
      </c>
      <c r="Y849" s="51" t="n">
        <v>0</v>
      </c>
      <c r="Z849" s="51" t="n">
        <v>0</v>
      </c>
      <c r="AA849" s="52" t="n">
        <v>0</v>
      </c>
      <c r="AB849" s="52" t="n">
        <v>0</v>
      </c>
      <c r="AC849" s="52" t="n">
        <v>0</v>
      </c>
      <c r="AD849" s="52" t="n">
        <v>0</v>
      </c>
      <c r="AE849" s="52" t="n">
        <v>0</v>
      </c>
      <c r="AF849" s="52" t="n">
        <v>0</v>
      </c>
      <c r="AG849" s="52" t="n">
        <v>0</v>
      </c>
      <c r="AH849" s="52" t="n">
        <v>0</v>
      </c>
      <c r="AI849" s="52" t="n">
        <v>0</v>
      </c>
      <c r="AJ849" s="52" t="n">
        <v>0</v>
      </c>
      <c r="AK849" s="52" t="n">
        <v>0</v>
      </c>
      <c r="AL849" s="52" t="n">
        <v>0</v>
      </c>
      <c r="AM849" s="53" t="n">
        <v>0</v>
      </c>
      <c r="AN849" s="53" t="n">
        <v>0</v>
      </c>
      <c r="AO849" s="53" t="n">
        <v>0</v>
      </c>
      <c r="AP849" s="53" t="n">
        <v>0</v>
      </c>
      <c r="AQ849" s="52" t="n">
        <v>0</v>
      </c>
      <c r="AR849" s="52" t="n">
        <v>0</v>
      </c>
      <c r="AS849" s="52" t="n">
        <v>0</v>
      </c>
      <c r="AT849" s="52" t="n">
        <v>0</v>
      </c>
      <c r="AU849" s="53" t="n">
        <v>0</v>
      </c>
      <c r="AV849" s="53" t="n">
        <v>0</v>
      </c>
      <c r="AW849" s="53" t="n">
        <v>0</v>
      </c>
      <c r="AX849" s="53" t="n">
        <v>0</v>
      </c>
      <c r="AY849" s="52" t="n">
        <v>0</v>
      </c>
      <c r="AZ849" s="52" t="n">
        <v>0</v>
      </c>
      <c r="BA849" s="52" t="n">
        <v>0</v>
      </c>
      <c r="BB849" s="52" t="n">
        <v>0</v>
      </c>
      <c r="BC849" s="51" t="n">
        <v>0</v>
      </c>
      <c r="BD849" s="51" t="n">
        <v>0</v>
      </c>
      <c r="BE849" s="51" t="n">
        <v>0</v>
      </c>
      <c r="BF849" s="51" t="n">
        <v>0</v>
      </c>
    </row>
    <row r="850">
      <c r="A850">
        <f>HYPERLINK("https://www.walmart.com/ip/931708208", "931708208")</f>
        <v/>
      </c>
      <c r="B850" t="inlineStr">
        <is>
          <t>Ski Gloves for Women &amp; Men 3M Winter Snow Gloves Mittens Insulation Waterproof for Outdoors Sports</t>
        </is>
      </c>
      <c r="C850" t="inlineStr">
        <is>
          <t>1SLWG100BKXL</t>
        </is>
      </c>
      <c r="D850" t="inlineStr">
        <is>
          <t>Gloves &amp; Mittens</t>
        </is>
      </c>
      <c r="E850" t="inlineStr">
        <is>
          <t>Solaris</t>
        </is>
      </c>
      <c r="F850" t="inlineStr">
        <is>
          <t>Gloves,WFS,WFS Item</t>
        </is>
      </c>
      <c r="G850" s="48" t="n">
        <v>0</v>
      </c>
      <c r="H850" s="48" t="n">
        <v>0</v>
      </c>
      <c r="I850" s="48" t="n">
        <v>0</v>
      </c>
      <c r="J850" s="48" t="n">
        <v>0</v>
      </c>
      <c r="K850" s="49" t="n">
        <v>0</v>
      </c>
      <c r="L850" s="49" t="n">
        <v>0</v>
      </c>
      <c r="M850" s="49" t="n">
        <v>0</v>
      </c>
      <c r="N850" s="49" t="n">
        <v>0</v>
      </c>
      <c r="O850" s="49" t="n">
        <v>0</v>
      </c>
      <c r="P850" s="49" t="n">
        <v>0</v>
      </c>
      <c r="Q850" s="49" t="n">
        <v>0</v>
      </c>
      <c r="R850" s="49" t="n">
        <v>0</v>
      </c>
      <c r="S850" s="50" t="n">
        <v>0</v>
      </c>
      <c r="T850" s="50" t="n">
        <v>0</v>
      </c>
      <c r="U850" s="50" t="n">
        <v>0</v>
      </c>
      <c r="V850" s="50" t="n">
        <v>0</v>
      </c>
      <c r="W850" s="51" t="n">
        <v>0</v>
      </c>
      <c r="X850" s="51" t="n">
        <v>0</v>
      </c>
      <c r="Y850" s="51" t="n">
        <v>0</v>
      </c>
      <c r="Z850" s="51" t="n">
        <v>0</v>
      </c>
      <c r="AA850" s="52" t="n">
        <v>0</v>
      </c>
      <c r="AB850" s="52" t="n">
        <v>0</v>
      </c>
      <c r="AC850" s="52" t="n">
        <v>0</v>
      </c>
      <c r="AD850" s="52" t="n">
        <v>0</v>
      </c>
      <c r="AE850" s="52" t="n">
        <v>0</v>
      </c>
      <c r="AF850" s="52" t="n">
        <v>0</v>
      </c>
      <c r="AG850" s="52" t="n">
        <v>0</v>
      </c>
      <c r="AH850" s="52" t="n">
        <v>0</v>
      </c>
      <c r="AI850" s="52" t="n">
        <v>0</v>
      </c>
      <c r="AJ850" s="52" t="n">
        <v>0</v>
      </c>
      <c r="AK850" s="52" t="n">
        <v>0</v>
      </c>
      <c r="AL850" s="52" t="n">
        <v>0</v>
      </c>
      <c r="AM850" s="53" t="n">
        <v>0</v>
      </c>
      <c r="AN850" s="53" t="n">
        <v>0</v>
      </c>
      <c r="AO850" s="53" t="n">
        <v>0</v>
      </c>
      <c r="AP850" s="53" t="n">
        <v>0</v>
      </c>
      <c r="AQ850" s="52" t="n">
        <v>0</v>
      </c>
      <c r="AR850" s="52" t="n">
        <v>0</v>
      </c>
      <c r="AS850" s="52" t="n">
        <v>0</v>
      </c>
      <c r="AT850" s="52" t="n">
        <v>0</v>
      </c>
      <c r="AU850" s="53" t="n">
        <v>0</v>
      </c>
      <c r="AV850" s="53" t="n">
        <v>0</v>
      </c>
      <c r="AW850" s="53" t="n">
        <v>0</v>
      </c>
      <c r="AX850" s="53" t="n">
        <v>0</v>
      </c>
      <c r="AY850" s="52" t="n">
        <v>0</v>
      </c>
      <c r="AZ850" s="52" t="n">
        <v>0</v>
      </c>
      <c r="BA850" s="52" t="n">
        <v>0</v>
      </c>
      <c r="BB850" s="52" t="n">
        <v>0</v>
      </c>
      <c r="BC850" s="51" t="n">
        <v>0</v>
      </c>
      <c r="BD850" s="51" t="n">
        <v>0</v>
      </c>
      <c r="BE850" s="51" t="n">
        <v>0</v>
      </c>
      <c r="BF850" s="51" t="n">
        <v>0</v>
      </c>
    </row>
    <row r="851">
      <c r="A851">
        <f>HYPERLINK("https://www.walmart.com/ip/932821814", "932821814")</f>
        <v/>
      </c>
      <c r="B851" t="inlineStr">
        <is>
          <t>Catalonia Waterproof Blanket for Baby, Pee Proof Pet Cover for Couch Bed, Reversible Sherpa Fleece Throws for Relaxing Traveling Camping, 60"x50", Brown/Tuape</t>
        </is>
      </c>
      <c r="C851" t="inlineStr">
        <is>
          <t>1CTBW561BNTP</t>
        </is>
      </c>
      <c r="D851" t="inlineStr">
        <is>
          <t>Throws</t>
        </is>
      </c>
      <c r="E851" t="inlineStr">
        <is>
          <t>Catalonia</t>
        </is>
      </c>
      <c r="F851" t="inlineStr">
        <is>
          <t>Q2-Target,Optimized,Wproof Blanket,SEM</t>
        </is>
      </c>
      <c r="G851" s="48" t="n">
        <v>0</v>
      </c>
      <c r="H851" s="48" t="n">
        <v>0</v>
      </c>
      <c r="I851" s="48" t="n">
        <v>0</v>
      </c>
      <c r="J851" s="48" t="n">
        <v>0</v>
      </c>
      <c r="K851" s="49" t="n">
        <v>0</v>
      </c>
      <c r="L851" s="49" t="n">
        <v>0</v>
      </c>
      <c r="M851" s="49" t="n">
        <v>0</v>
      </c>
      <c r="N851" s="49" t="n">
        <v>0</v>
      </c>
      <c r="O851" s="49" t="n">
        <v>0</v>
      </c>
      <c r="P851" s="49" t="n">
        <v>0</v>
      </c>
      <c r="Q851" s="49" t="n">
        <v>0</v>
      </c>
      <c r="R851" s="49" t="n">
        <v>0</v>
      </c>
      <c r="S851" s="50" t="n">
        <v>0</v>
      </c>
      <c r="T851" s="50" t="n">
        <v>0</v>
      </c>
      <c r="U851" s="50" t="n">
        <v>0</v>
      </c>
      <c r="V851" s="50" t="n">
        <v>0</v>
      </c>
      <c r="W851" s="51" t="n">
        <v>0</v>
      </c>
      <c r="X851" s="51" t="n">
        <v>1</v>
      </c>
      <c r="Y851" s="51" t="n">
        <v>0</v>
      </c>
      <c r="Z851" s="51" t="n">
        <v>0</v>
      </c>
      <c r="AA851" s="52" t="n">
        <v>0</v>
      </c>
      <c r="AB851" s="52" t="n">
        <v>0.31</v>
      </c>
      <c r="AC851" s="52" t="n">
        <v>0</v>
      </c>
      <c r="AD851" s="52" t="n">
        <v>0</v>
      </c>
      <c r="AE851" s="52" t="n">
        <v>0</v>
      </c>
      <c r="AF851" s="52" t="n">
        <v>0</v>
      </c>
      <c r="AG851" s="52" t="n">
        <v>0</v>
      </c>
      <c r="AH851" s="52" t="n">
        <v>0</v>
      </c>
      <c r="AI851" s="52" t="n">
        <v>0</v>
      </c>
      <c r="AJ851" s="52" t="n">
        <v>0</v>
      </c>
      <c r="AK851" s="52" t="n">
        <v>0</v>
      </c>
      <c r="AL851" s="52" t="n">
        <v>0</v>
      </c>
      <c r="AM851" s="53" t="n">
        <v>0</v>
      </c>
      <c r="AN851" s="53" t="n">
        <v>0.0161</v>
      </c>
      <c r="AO851" s="53" t="n">
        <v>0</v>
      </c>
      <c r="AP851" s="53" t="n">
        <v>0</v>
      </c>
      <c r="AQ851" s="52" t="n">
        <v>0</v>
      </c>
      <c r="AR851" s="52" t="n">
        <v>0.31</v>
      </c>
      <c r="AS851" s="52" t="n">
        <v>0</v>
      </c>
      <c r="AT851" s="52" t="n">
        <v>0</v>
      </c>
      <c r="AU851" s="53" t="n">
        <v>0</v>
      </c>
      <c r="AV851" s="53" t="n">
        <v>0</v>
      </c>
      <c r="AW851" s="53" t="n">
        <v>0</v>
      </c>
      <c r="AX851" s="53" t="n">
        <v>0</v>
      </c>
      <c r="AY851" s="52" t="n">
        <v>0</v>
      </c>
      <c r="AZ851" s="52" t="n">
        <v>0</v>
      </c>
      <c r="BA851" s="52" t="n">
        <v>0</v>
      </c>
      <c r="BB851" s="52" t="n">
        <v>0</v>
      </c>
      <c r="BC851" s="51" t="n">
        <v>65</v>
      </c>
      <c r="BD851" s="51" t="n">
        <v>62</v>
      </c>
      <c r="BE851" s="51" t="n">
        <v>0</v>
      </c>
      <c r="BF851" s="51" t="n">
        <v>44</v>
      </c>
    </row>
    <row r="852">
      <c r="A852">
        <f>HYPERLINK("https://www.walmart.com/ip/933172740", "933172740")</f>
        <v/>
      </c>
      <c r="B852" t="inlineStr">
        <is>
          <t>Tirrinia Super Soft Micro Fleece Plush Chevron Throw Flannel Sherpa Blanket, 50" x 60", Brown</t>
        </is>
      </c>
      <c r="C852" t="inlineStr">
        <is>
          <t>1TRBF560BR-TBCB</t>
        </is>
      </c>
      <c r="D852" t="inlineStr">
        <is>
          <t>Throws</t>
        </is>
      </c>
      <c r="E852" t="inlineStr">
        <is>
          <t>Tirrinia</t>
        </is>
      </c>
      <c r="F852" t="inlineStr">
        <is>
          <t>Optimized</t>
        </is>
      </c>
      <c r="G852" s="48" t="n">
        <v>0</v>
      </c>
      <c r="H852" s="48" t="n">
        <v>0</v>
      </c>
      <c r="I852" s="48" t="n">
        <v>0</v>
      </c>
      <c r="J852" s="48" t="n">
        <v>0</v>
      </c>
      <c r="K852" s="49" t="n">
        <v>0</v>
      </c>
      <c r="L852" s="49" t="n">
        <v>0</v>
      </c>
      <c r="M852" s="49" t="n">
        <v>0</v>
      </c>
      <c r="N852" s="49" t="n">
        <v>0</v>
      </c>
      <c r="O852" s="49" t="n">
        <v>0</v>
      </c>
      <c r="P852" s="49" t="n">
        <v>0</v>
      </c>
      <c r="Q852" s="49" t="n">
        <v>0</v>
      </c>
      <c r="R852" s="49" t="n">
        <v>0</v>
      </c>
      <c r="S852" s="50" t="n">
        <v>0</v>
      </c>
      <c r="T852" s="50" t="n">
        <v>0</v>
      </c>
      <c r="U852" s="50" t="n">
        <v>0</v>
      </c>
      <c r="V852" s="50" t="n">
        <v>0</v>
      </c>
      <c r="W852" s="51" t="n">
        <v>0</v>
      </c>
      <c r="X852" s="51" t="n">
        <v>0</v>
      </c>
      <c r="Y852" s="51" t="n">
        <v>0</v>
      </c>
      <c r="Z852" s="51" t="n">
        <v>0</v>
      </c>
      <c r="AA852" s="52" t="n">
        <v>0</v>
      </c>
      <c r="AB852" s="52" t="n">
        <v>0</v>
      </c>
      <c r="AC852" s="52" t="n">
        <v>0</v>
      </c>
      <c r="AD852" s="52" t="n">
        <v>0</v>
      </c>
      <c r="AE852" s="52" t="n">
        <v>0</v>
      </c>
      <c r="AF852" s="52" t="n">
        <v>0</v>
      </c>
      <c r="AG852" s="52" t="n">
        <v>0</v>
      </c>
      <c r="AH852" s="52" t="n">
        <v>0</v>
      </c>
      <c r="AI852" s="52" t="n">
        <v>0</v>
      </c>
      <c r="AJ852" s="52" t="n">
        <v>0</v>
      </c>
      <c r="AK852" s="52" t="n">
        <v>0</v>
      </c>
      <c r="AL852" s="52" t="n">
        <v>0</v>
      </c>
      <c r="AM852" s="53" t="n">
        <v>0</v>
      </c>
      <c r="AN852" s="53" t="n">
        <v>0</v>
      </c>
      <c r="AO852" s="53" t="n">
        <v>0</v>
      </c>
      <c r="AP852" s="53" t="n">
        <v>0</v>
      </c>
      <c r="AQ852" s="52" t="n">
        <v>0</v>
      </c>
      <c r="AR852" s="52" t="n">
        <v>0</v>
      </c>
      <c r="AS852" s="52" t="n">
        <v>0</v>
      </c>
      <c r="AT852" s="52" t="n">
        <v>0</v>
      </c>
      <c r="AU852" s="53" t="n">
        <v>0</v>
      </c>
      <c r="AV852" s="53" t="n">
        <v>0</v>
      </c>
      <c r="AW852" s="53" t="n">
        <v>0</v>
      </c>
      <c r="AX852" s="53" t="n">
        <v>0</v>
      </c>
      <c r="AY852" s="52" t="n">
        <v>0</v>
      </c>
      <c r="AZ852" s="52" t="n">
        <v>0</v>
      </c>
      <c r="BA852" s="52" t="n">
        <v>0</v>
      </c>
      <c r="BB852" s="52" t="n">
        <v>0</v>
      </c>
      <c r="BC852" s="51" t="n">
        <v>0</v>
      </c>
      <c r="BD852" s="51" t="n">
        <v>0</v>
      </c>
      <c r="BE852" s="51" t="n">
        <v>0</v>
      </c>
      <c r="BF852" s="51" t="n">
        <v>0</v>
      </c>
    </row>
    <row r="853">
      <c r="A853">
        <f>HYPERLINK("https://www.walmart.com/ip/971341551", "971341551")</f>
        <v/>
      </c>
      <c r="B853" t="inlineStr">
        <is>
          <t>Tirrinia 2 Bottle Wine Tote Carrier - Insulated &amp; Padded Versatile Cooler Bag for Travel, BYOB Restaurant, Wine Tasting, Party, Great Gift for Wine Lover, Cheetah</t>
        </is>
      </c>
      <c r="C853" t="inlineStr">
        <is>
          <t>1TRWB221CHEETAH</t>
        </is>
      </c>
      <c r="D853" t="inlineStr">
        <is>
          <t>Wine Totes, Bags &amp; Backpacks</t>
        </is>
      </c>
      <c r="E853" t="inlineStr">
        <is>
          <t>Tirrinia</t>
        </is>
      </c>
      <c r="F853" t="inlineStr">
        <is>
          <t>Wine,Christmas,Valentine,SEM</t>
        </is>
      </c>
      <c r="G853" s="48" t="n">
        <v>0</v>
      </c>
      <c r="H853" s="48" t="n">
        <v>0</v>
      </c>
      <c r="I853" s="48" t="n">
        <v>19.99</v>
      </c>
      <c r="J853" s="48" t="n">
        <v>0</v>
      </c>
      <c r="K853" s="49" t="n">
        <v>0</v>
      </c>
      <c r="L853" s="49" t="n">
        <v>0</v>
      </c>
      <c r="M853" s="49" t="n">
        <v>1</v>
      </c>
      <c r="N853" s="49" t="n">
        <v>0</v>
      </c>
      <c r="O853" s="49" t="n">
        <v>0</v>
      </c>
      <c r="P853" s="49" t="n">
        <v>0</v>
      </c>
      <c r="Q853" s="49" t="n">
        <v>0</v>
      </c>
      <c r="R853" s="49" t="n">
        <v>0</v>
      </c>
      <c r="S853" s="50" t="n">
        <v>0</v>
      </c>
      <c r="T853" s="50" t="n">
        <v>0</v>
      </c>
      <c r="U853" s="50" t="n">
        <v>0</v>
      </c>
      <c r="V853" s="50" t="n">
        <v>0</v>
      </c>
      <c r="W853" s="51" t="n">
        <v>0</v>
      </c>
      <c r="X853" s="51" t="n">
        <v>2</v>
      </c>
      <c r="Y853" s="51" t="n">
        <v>5</v>
      </c>
      <c r="Z853" s="51" t="n">
        <v>1</v>
      </c>
      <c r="AA853" s="52" t="n">
        <v>0</v>
      </c>
      <c r="AB853" s="52" t="n">
        <v>1.02</v>
      </c>
      <c r="AC853" s="52" t="n">
        <v>2.55</v>
      </c>
      <c r="AD853" s="52" t="n">
        <v>0.51</v>
      </c>
      <c r="AE853" s="52" t="n">
        <v>0</v>
      </c>
      <c r="AF853" s="52" t="n">
        <v>0</v>
      </c>
      <c r="AG853" s="52" t="n">
        <v>19.99</v>
      </c>
      <c r="AH853" s="52" t="n">
        <v>0</v>
      </c>
      <c r="AI853" s="52" t="n">
        <v>0</v>
      </c>
      <c r="AJ853" s="52" t="n">
        <v>0</v>
      </c>
      <c r="AK853" s="52" t="n">
        <v>7.84</v>
      </c>
      <c r="AL853" s="52" t="n">
        <v>0</v>
      </c>
      <c r="AM853" s="53" t="n">
        <v>0</v>
      </c>
      <c r="AN853" s="53" t="n">
        <v>0.0014</v>
      </c>
      <c r="AO853" s="53" t="n">
        <v>0.0062</v>
      </c>
      <c r="AP853" s="53" t="n">
        <v>0.0017</v>
      </c>
      <c r="AQ853" s="52" t="n">
        <v>0</v>
      </c>
      <c r="AR853" s="52" t="n">
        <v>0.51</v>
      </c>
      <c r="AS853" s="52" t="n">
        <v>0.51</v>
      </c>
      <c r="AT853" s="52" t="n">
        <v>0.51</v>
      </c>
      <c r="AU853" s="53" t="n">
        <v>0</v>
      </c>
      <c r="AV853" s="53" t="n">
        <v>0</v>
      </c>
      <c r="AW853" s="53" t="n">
        <v>0.1275637818909455</v>
      </c>
      <c r="AX853" s="53" t="n">
        <v>0</v>
      </c>
      <c r="AY853" s="52" t="n">
        <v>0</v>
      </c>
      <c r="AZ853" s="52" t="n">
        <v>0</v>
      </c>
      <c r="BA853" s="52" t="n">
        <v>19.99</v>
      </c>
      <c r="BB853" s="52" t="n">
        <v>0</v>
      </c>
      <c r="BC853" s="51" t="n">
        <v>1056</v>
      </c>
      <c r="BD853" s="51" t="n">
        <v>1427</v>
      </c>
      <c r="BE853" s="51" t="n">
        <v>810</v>
      </c>
      <c r="BF853" s="51" t="n">
        <v>582</v>
      </c>
    </row>
    <row r="854">
      <c r="A854">
        <f>HYPERLINK("https://www.walmart.com/ip/972319326", "972319326")</f>
        <v/>
      </c>
      <c r="B854" t="inlineStr">
        <is>
          <t>Fleece Blanket Wearable with Sleeves &amp; Foot pockets for Men and Women, Micro Plush Wrap Sleeved Throw Blanket Robe Multi-Colors 75”x53” by Catalonia</t>
        </is>
      </c>
      <c r="C854" t="inlineStr">
        <is>
          <t>1CTSN101WN</t>
        </is>
      </c>
      <c r="D854" t="inlineStr">
        <is>
          <t>Throws</t>
        </is>
      </c>
      <c r="E854" t="inlineStr">
        <is>
          <t>Catalonia</t>
        </is>
      </c>
      <c r="F854" t="inlineStr">
        <is>
          <t>WFS,Coupon_Discount,WFS Item,Fleece Blankets</t>
        </is>
      </c>
      <c r="G854" s="48" t="n">
        <v>0</v>
      </c>
      <c r="H854" s="48" t="n">
        <v>0</v>
      </c>
      <c r="I854" s="48" t="n">
        <v>0</v>
      </c>
      <c r="J854" s="48" t="n">
        <v>0</v>
      </c>
      <c r="K854" s="49" t="n">
        <v>0</v>
      </c>
      <c r="L854" s="49" t="n">
        <v>0</v>
      </c>
      <c r="M854" s="49" t="n">
        <v>0</v>
      </c>
      <c r="N854" s="49" t="n">
        <v>0</v>
      </c>
      <c r="O854" s="49" t="n">
        <v>0</v>
      </c>
      <c r="P854" s="49" t="n">
        <v>0</v>
      </c>
      <c r="Q854" s="49" t="n">
        <v>0</v>
      </c>
      <c r="R854" s="49" t="n">
        <v>0</v>
      </c>
      <c r="S854" s="50" t="n">
        <v>0</v>
      </c>
      <c r="T854" s="50" t="n">
        <v>0</v>
      </c>
      <c r="U854" s="50" t="n">
        <v>0</v>
      </c>
      <c r="V854" s="50" t="n">
        <v>0</v>
      </c>
      <c r="W854" s="51" t="n">
        <v>0</v>
      </c>
      <c r="X854" s="51" t="n">
        <v>0</v>
      </c>
      <c r="Y854" s="51" t="n">
        <v>0</v>
      </c>
      <c r="Z854" s="51" t="n">
        <v>0</v>
      </c>
      <c r="AA854" s="52" t="n">
        <v>0</v>
      </c>
      <c r="AB854" s="52" t="n">
        <v>0</v>
      </c>
      <c r="AC854" s="52" t="n">
        <v>0</v>
      </c>
      <c r="AD854" s="52" t="n">
        <v>0</v>
      </c>
      <c r="AE854" s="52" t="n">
        <v>0</v>
      </c>
      <c r="AF854" s="52" t="n">
        <v>0</v>
      </c>
      <c r="AG854" s="52" t="n">
        <v>0</v>
      </c>
      <c r="AH854" s="52" t="n">
        <v>0</v>
      </c>
      <c r="AI854" s="52" t="n">
        <v>0</v>
      </c>
      <c r="AJ854" s="52" t="n">
        <v>0</v>
      </c>
      <c r="AK854" s="52" t="n">
        <v>0</v>
      </c>
      <c r="AL854" s="52" t="n">
        <v>0</v>
      </c>
      <c r="AM854" s="53" t="n">
        <v>0</v>
      </c>
      <c r="AN854" s="53" t="n">
        <v>0</v>
      </c>
      <c r="AO854" s="53" t="n">
        <v>0</v>
      </c>
      <c r="AP854" s="53" t="n">
        <v>0</v>
      </c>
      <c r="AQ854" s="52" t="n">
        <v>0</v>
      </c>
      <c r="AR854" s="52" t="n">
        <v>0</v>
      </c>
      <c r="AS854" s="52" t="n">
        <v>0</v>
      </c>
      <c r="AT854" s="52" t="n">
        <v>0</v>
      </c>
      <c r="AU854" s="53" t="n">
        <v>0</v>
      </c>
      <c r="AV854" s="53" t="n">
        <v>0</v>
      </c>
      <c r="AW854" s="53" t="n">
        <v>0</v>
      </c>
      <c r="AX854" s="53" t="n">
        <v>0</v>
      </c>
      <c r="AY854" s="52" t="n">
        <v>0</v>
      </c>
      <c r="AZ854" s="52" t="n">
        <v>0</v>
      </c>
      <c r="BA854" s="52" t="n">
        <v>0</v>
      </c>
      <c r="BB854" s="52" t="n">
        <v>0</v>
      </c>
      <c r="BC854" s="51" t="n">
        <v>0</v>
      </c>
      <c r="BD854" s="51" t="n">
        <v>0</v>
      </c>
      <c r="BE854" s="51" t="n">
        <v>0</v>
      </c>
      <c r="BF854" s="51" t="n">
        <v>0</v>
      </c>
    </row>
    <row r="855">
      <c r="A855">
        <f>HYPERLINK("https://www.walmart.com/ip/972835004", "972835004")</f>
        <v/>
      </c>
      <c r="B855" t="inlineStr">
        <is>
          <t>Type C to Type A USB 3.1-3.0 Male Sync Charging Cable by SurjTech</t>
        </is>
      </c>
      <c r="C855" t="inlineStr">
        <is>
          <t>STU3TC03WT-1M-WA</t>
        </is>
      </c>
      <c r="D855" t="inlineStr">
        <is>
          <t>Computer Cables</t>
        </is>
      </c>
      <c r="E855" t="inlineStr">
        <is>
          <t>Surjtech</t>
        </is>
      </c>
      <c r="F855" t="inlineStr">
        <is>
          <t>Batch 1 - TR</t>
        </is>
      </c>
      <c r="G855" s="48" t="n">
        <v>0</v>
      </c>
      <c r="H855" s="48" t="n">
        <v>0</v>
      </c>
      <c r="I855" s="48" t="n">
        <v>0</v>
      </c>
      <c r="J855" s="48" t="n">
        <v>0</v>
      </c>
      <c r="K855" s="49" t="n">
        <v>0</v>
      </c>
      <c r="L855" s="49" t="n">
        <v>0</v>
      </c>
      <c r="M855" s="49" t="n">
        <v>0</v>
      </c>
      <c r="N855" s="49" t="n">
        <v>0</v>
      </c>
      <c r="O855" s="49" t="n">
        <v>0</v>
      </c>
      <c r="P855" s="49" t="n">
        <v>0</v>
      </c>
      <c r="Q855" s="49" t="n">
        <v>0</v>
      </c>
      <c r="R855" s="49" t="n">
        <v>0</v>
      </c>
      <c r="S855" s="50" t="n">
        <v>0</v>
      </c>
      <c r="T855" s="50" t="n">
        <v>0</v>
      </c>
      <c r="U855" s="50" t="n">
        <v>0</v>
      </c>
      <c r="V855" s="50" t="n">
        <v>0</v>
      </c>
      <c r="W855" s="51" t="n">
        <v>0</v>
      </c>
      <c r="X855" s="51" t="n">
        <v>0</v>
      </c>
      <c r="Y855" s="51" t="n">
        <v>0</v>
      </c>
      <c r="Z855" s="51" t="n">
        <v>0</v>
      </c>
      <c r="AA855" s="52" t="n">
        <v>0</v>
      </c>
      <c r="AB855" s="52" t="n">
        <v>0</v>
      </c>
      <c r="AC855" s="52" t="n">
        <v>0</v>
      </c>
      <c r="AD855" s="52" t="n">
        <v>0</v>
      </c>
      <c r="AE855" s="52" t="n">
        <v>0</v>
      </c>
      <c r="AF855" s="52" t="n">
        <v>0</v>
      </c>
      <c r="AG855" s="52" t="n">
        <v>0</v>
      </c>
      <c r="AH855" s="52" t="n">
        <v>0</v>
      </c>
      <c r="AI855" s="52" t="n">
        <v>0</v>
      </c>
      <c r="AJ855" s="52" t="n">
        <v>0</v>
      </c>
      <c r="AK855" s="52" t="n">
        <v>0</v>
      </c>
      <c r="AL855" s="52" t="n">
        <v>0</v>
      </c>
      <c r="AM855" s="53" t="n">
        <v>0</v>
      </c>
      <c r="AN855" s="53" t="n">
        <v>0</v>
      </c>
      <c r="AO855" s="53" t="n">
        <v>0</v>
      </c>
      <c r="AP855" s="53" t="n">
        <v>0</v>
      </c>
      <c r="AQ855" s="52" t="n">
        <v>0</v>
      </c>
      <c r="AR855" s="52" t="n">
        <v>0</v>
      </c>
      <c r="AS855" s="52" t="n">
        <v>0</v>
      </c>
      <c r="AT855" s="52" t="n">
        <v>0</v>
      </c>
      <c r="AU855" s="53" t="n">
        <v>0</v>
      </c>
      <c r="AV855" s="53" t="n">
        <v>0</v>
      </c>
      <c r="AW855" s="53" t="n">
        <v>0</v>
      </c>
      <c r="AX855" s="53" t="n">
        <v>0</v>
      </c>
      <c r="AY855" s="52" t="n">
        <v>0</v>
      </c>
      <c r="AZ855" s="52" t="n">
        <v>0</v>
      </c>
      <c r="BA855" s="52" t="n">
        <v>0</v>
      </c>
      <c r="BB855" s="52" t="n">
        <v>0</v>
      </c>
      <c r="BC855" s="51" t="n">
        <v>0</v>
      </c>
      <c r="BD855" s="51" t="n">
        <v>0</v>
      </c>
      <c r="BE855" s="51" t="n">
        <v>0</v>
      </c>
      <c r="BF855" s="51" t="n">
        <v>0</v>
      </c>
    </row>
    <row r="856">
      <c r="A856">
        <f>HYPERLINK("https://www.walmart.com/ip/972879374", "972879374")</f>
        <v/>
      </c>
      <c r="B856" t="inlineStr">
        <is>
          <t>Women Floppy Sun Bucket Hats w/ Wide Brim Straw Edge Summer Beach UV Protection Foldable Gardening Hiking Cap by Solaris</t>
        </is>
      </c>
      <c r="C856" t="inlineStr">
        <is>
          <t>1SLSH031WH</t>
        </is>
      </c>
      <c r="D856" t="inlineStr">
        <is>
          <t>Hats</t>
        </is>
      </c>
      <c r="E856" t="inlineStr">
        <is>
          <t>Solaris</t>
        </is>
      </c>
      <c r="F856" t="inlineStr">
        <is>
          <t>WFS,Hats,WFS Item</t>
        </is>
      </c>
      <c r="G856" s="48" t="n">
        <v>0</v>
      </c>
      <c r="H856" s="48" t="n">
        <v>0</v>
      </c>
      <c r="I856" s="48" t="n">
        <v>0</v>
      </c>
      <c r="J856" s="48" t="n">
        <v>0</v>
      </c>
      <c r="K856" s="49" t="n">
        <v>0</v>
      </c>
      <c r="L856" s="49" t="n">
        <v>0</v>
      </c>
      <c r="M856" s="49" t="n">
        <v>0</v>
      </c>
      <c r="N856" s="49" t="n">
        <v>0</v>
      </c>
      <c r="O856" s="49" t="n">
        <v>0</v>
      </c>
      <c r="P856" s="49" t="n">
        <v>0</v>
      </c>
      <c r="Q856" s="49" t="n">
        <v>0</v>
      </c>
      <c r="R856" s="49" t="n">
        <v>0</v>
      </c>
      <c r="S856" s="50" t="n">
        <v>0</v>
      </c>
      <c r="T856" s="50" t="n">
        <v>0</v>
      </c>
      <c r="U856" s="50" t="n">
        <v>0</v>
      </c>
      <c r="V856" s="50" t="n">
        <v>0</v>
      </c>
      <c r="W856" s="51" t="n">
        <v>0</v>
      </c>
      <c r="X856" s="51" t="n">
        <v>0</v>
      </c>
      <c r="Y856" s="51" t="n">
        <v>0</v>
      </c>
      <c r="Z856" s="51" t="n">
        <v>0</v>
      </c>
      <c r="AA856" s="52" t="n">
        <v>0</v>
      </c>
      <c r="AB856" s="52" t="n">
        <v>0</v>
      </c>
      <c r="AC856" s="52" t="n">
        <v>0</v>
      </c>
      <c r="AD856" s="52" t="n">
        <v>0</v>
      </c>
      <c r="AE856" s="52" t="n">
        <v>0</v>
      </c>
      <c r="AF856" s="52" t="n">
        <v>0</v>
      </c>
      <c r="AG856" s="52" t="n">
        <v>0</v>
      </c>
      <c r="AH856" s="52" t="n">
        <v>0</v>
      </c>
      <c r="AI856" s="52" t="n">
        <v>0</v>
      </c>
      <c r="AJ856" s="52" t="n">
        <v>0</v>
      </c>
      <c r="AK856" s="52" t="n">
        <v>0</v>
      </c>
      <c r="AL856" s="52" t="n">
        <v>0</v>
      </c>
      <c r="AM856" s="53" t="n">
        <v>0</v>
      </c>
      <c r="AN856" s="53" t="n">
        <v>0</v>
      </c>
      <c r="AO856" s="53" t="n">
        <v>0</v>
      </c>
      <c r="AP856" s="53" t="n">
        <v>0</v>
      </c>
      <c r="AQ856" s="52" t="n">
        <v>0</v>
      </c>
      <c r="AR856" s="52" t="n">
        <v>0</v>
      </c>
      <c r="AS856" s="52" t="n">
        <v>0</v>
      </c>
      <c r="AT856" s="52" t="n">
        <v>0</v>
      </c>
      <c r="AU856" s="53" t="n">
        <v>0</v>
      </c>
      <c r="AV856" s="53" t="n">
        <v>0</v>
      </c>
      <c r="AW856" s="53" t="n">
        <v>0</v>
      </c>
      <c r="AX856" s="53" t="n">
        <v>0</v>
      </c>
      <c r="AY856" s="52" t="n">
        <v>0</v>
      </c>
      <c r="AZ856" s="52" t="n">
        <v>0</v>
      </c>
      <c r="BA856" s="52" t="n">
        <v>0</v>
      </c>
      <c r="BB856" s="52" t="n">
        <v>0</v>
      </c>
      <c r="BC856" s="51" t="n">
        <v>0</v>
      </c>
      <c r="BD856" s="51" t="n">
        <v>0</v>
      </c>
      <c r="BE856" s="51" t="n">
        <v>0</v>
      </c>
      <c r="BF856" s="51" t="n">
        <v>0</v>
      </c>
    </row>
    <row r="857">
      <c r="A857">
        <f>HYPERLINK("https://www.walmart.com/ip/974013155", "974013155")</f>
        <v/>
      </c>
      <c r="B857" t="inlineStr">
        <is>
          <t>Solaris American Flag Sun Cap Outdoor Sports Baseball Tennis Golf Summer Hats for Men Women, White</t>
        </is>
      </c>
      <c r="C857" t="inlineStr">
        <is>
          <t>1SLBC120WH</t>
        </is>
      </c>
      <c r="D857" t="inlineStr">
        <is>
          <t>Hats</t>
        </is>
      </c>
      <c r="E857" t="inlineStr">
        <is>
          <t>Solaris</t>
        </is>
      </c>
      <c r="F857" t="inlineStr">
        <is>
          <t>Batch 1 - TR</t>
        </is>
      </c>
      <c r="G857" s="48" t="n">
        <v>0</v>
      </c>
      <c r="H857" s="48" t="n">
        <v>0</v>
      </c>
      <c r="I857" s="48" t="n">
        <v>0</v>
      </c>
      <c r="J857" s="48" t="n">
        <v>0</v>
      </c>
      <c r="K857" s="49" t="n">
        <v>0</v>
      </c>
      <c r="L857" s="49" t="n">
        <v>0</v>
      </c>
      <c r="M857" s="49" t="n">
        <v>0</v>
      </c>
      <c r="N857" s="49" t="n">
        <v>0</v>
      </c>
      <c r="O857" s="49" t="n">
        <v>0</v>
      </c>
      <c r="P857" s="49" t="n">
        <v>0</v>
      </c>
      <c r="Q857" s="49" t="n">
        <v>0</v>
      </c>
      <c r="R857" s="49" t="n">
        <v>0</v>
      </c>
      <c r="S857" s="50" t="n">
        <v>0</v>
      </c>
      <c r="T857" s="50" t="n">
        <v>0</v>
      </c>
      <c r="U857" s="50" t="n">
        <v>0</v>
      </c>
      <c r="V857" s="50" t="n">
        <v>0</v>
      </c>
      <c r="W857" s="51" t="n">
        <v>0</v>
      </c>
      <c r="X857" s="51" t="n">
        <v>0</v>
      </c>
      <c r="Y857" s="51" t="n">
        <v>0</v>
      </c>
      <c r="Z857" s="51" t="n">
        <v>0</v>
      </c>
      <c r="AA857" s="52" t="n">
        <v>0</v>
      </c>
      <c r="AB857" s="52" t="n">
        <v>0</v>
      </c>
      <c r="AC857" s="52" t="n">
        <v>0</v>
      </c>
      <c r="AD857" s="52" t="n">
        <v>0</v>
      </c>
      <c r="AE857" s="52" t="n">
        <v>0</v>
      </c>
      <c r="AF857" s="52" t="n">
        <v>0</v>
      </c>
      <c r="AG857" s="52" t="n">
        <v>0</v>
      </c>
      <c r="AH857" s="52" t="n">
        <v>0</v>
      </c>
      <c r="AI857" s="52" t="n">
        <v>0</v>
      </c>
      <c r="AJ857" s="52" t="n">
        <v>0</v>
      </c>
      <c r="AK857" s="52" t="n">
        <v>0</v>
      </c>
      <c r="AL857" s="52" t="n">
        <v>0</v>
      </c>
      <c r="AM857" s="53" t="n">
        <v>0</v>
      </c>
      <c r="AN857" s="53" t="n">
        <v>0</v>
      </c>
      <c r="AO857" s="53" t="n">
        <v>0</v>
      </c>
      <c r="AP857" s="53" t="n">
        <v>0</v>
      </c>
      <c r="AQ857" s="52" t="n">
        <v>0</v>
      </c>
      <c r="AR857" s="52" t="n">
        <v>0</v>
      </c>
      <c r="AS857" s="52" t="n">
        <v>0</v>
      </c>
      <c r="AT857" s="52" t="n">
        <v>0</v>
      </c>
      <c r="AU857" s="53" t="n">
        <v>0</v>
      </c>
      <c r="AV857" s="53" t="n">
        <v>0</v>
      </c>
      <c r="AW857" s="53" t="n">
        <v>0</v>
      </c>
      <c r="AX857" s="53" t="n">
        <v>0</v>
      </c>
      <c r="AY857" s="52" t="n">
        <v>0</v>
      </c>
      <c r="AZ857" s="52" t="n">
        <v>0</v>
      </c>
      <c r="BA857" s="52" t="n">
        <v>0</v>
      </c>
      <c r="BB857" s="52" t="n">
        <v>0</v>
      </c>
      <c r="BC857" s="51" t="n">
        <v>0</v>
      </c>
      <c r="BD857" s="51" t="n">
        <v>0</v>
      </c>
      <c r="BE857" s="51" t="n">
        <v>0</v>
      </c>
      <c r="BF857" s="51" t="n">
        <v>0</v>
      </c>
    </row>
    <row r="858">
      <c r="A858">
        <f>HYPERLINK("https://www.walmart.com/ip/974944335", "974944335")</f>
        <v/>
      </c>
      <c r="B858" t="inlineStr">
        <is>
          <t>Terra Cool Mens Baseball Cap Hat Snake Skin Printed Flat Bill Buckle Closure Brown</t>
        </is>
      </c>
      <c r="C858" t="inlineStr">
        <is>
          <t>TERRACAP-B006</t>
        </is>
      </c>
      <c r="D858" t="inlineStr">
        <is>
          <t>Hats</t>
        </is>
      </c>
      <c r="E858" t="inlineStr">
        <is>
          <t>Terra</t>
        </is>
      </c>
      <c r="F858" t="inlineStr">
        <is>
          <t>Optimized</t>
        </is>
      </c>
      <c r="G858" s="48" t="n">
        <v>0</v>
      </c>
      <c r="H858" s="48" t="n">
        <v>0</v>
      </c>
      <c r="I858" s="48" t="n">
        <v>0</v>
      </c>
      <c r="J858" s="48" t="n">
        <v>0</v>
      </c>
      <c r="K858" s="49" t="n">
        <v>0</v>
      </c>
      <c r="L858" s="49" t="n">
        <v>0</v>
      </c>
      <c r="M858" s="49" t="n">
        <v>0</v>
      </c>
      <c r="N858" s="49" t="n">
        <v>0</v>
      </c>
      <c r="O858" s="49" t="n">
        <v>0</v>
      </c>
      <c r="P858" s="49" t="n">
        <v>0</v>
      </c>
      <c r="Q858" s="49" t="n">
        <v>0</v>
      </c>
      <c r="R858" s="49" t="n">
        <v>0</v>
      </c>
      <c r="S858" s="50" t="n">
        <v>0</v>
      </c>
      <c r="T858" s="50" t="n">
        <v>0</v>
      </c>
      <c r="U858" s="50" t="n">
        <v>0</v>
      </c>
      <c r="V858" s="50" t="n">
        <v>0</v>
      </c>
      <c r="W858" s="51" t="n">
        <v>0</v>
      </c>
      <c r="X858" s="51" t="n">
        <v>0</v>
      </c>
      <c r="Y858" s="51" t="n">
        <v>0</v>
      </c>
      <c r="Z858" s="51" t="n">
        <v>0</v>
      </c>
      <c r="AA858" s="52" t="n">
        <v>0</v>
      </c>
      <c r="AB858" s="52" t="n">
        <v>0</v>
      </c>
      <c r="AC858" s="52" t="n">
        <v>0</v>
      </c>
      <c r="AD858" s="52" t="n">
        <v>0</v>
      </c>
      <c r="AE858" s="52" t="n">
        <v>0</v>
      </c>
      <c r="AF858" s="52" t="n">
        <v>0</v>
      </c>
      <c r="AG858" s="52" t="n">
        <v>0</v>
      </c>
      <c r="AH858" s="52" t="n">
        <v>0</v>
      </c>
      <c r="AI858" s="52" t="n">
        <v>0</v>
      </c>
      <c r="AJ858" s="52" t="n">
        <v>0</v>
      </c>
      <c r="AK858" s="52" t="n">
        <v>0</v>
      </c>
      <c r="AL858" s="52" t="n">
        <v>0</v>
      </c>
      <c r="AM858" s="53" t="n">
        <v>0</v>
      </c>
      <c r="AN858" s="53" t="n">
        <v>0</v>
      </c>
      <c r="AO858" s="53" t="n">
        <v>0</v>
      </c>
      <c r="AP858" s="53" t="n">
        <v>0</v>
      </c>
      <c r="AQ858" s="52" t="n">
        <v>0</v>
      </c>
      <c r="AR858" s="52" t="n">
        <v>0</v>
      </c>
      <c r="AS858" s="52" t="n">
        <v>0</v>
      </c>
      <c r="AT858" s="52" t="n">
        <v>0</v>
      </c>
      <c r="AU858" s="53" t="n">
        <v>0</v>
      </c>
      <c r="AV858" s="53" t="n">
        <v>0</v>
      </c>
      <c r="AW858" s="53" t="n">
        <v>0</v>
      </c>
      <c r="AX858" s="53" t="n">
        <v>0</v>
      </c>
      <c r="AY858" s="52" t="n">
        <v>0</v>
      </c>
      <c r="AZ858" s="52" t="n">
        <v>0</v>
      </c>
      <c r="BA858" s="52" t="n">
        <v>0</v>
      </c>
      <c r="BB858" s="52" t="n">
        <v>0</v>
      </c>
      <c r="BC858" s="51" t="n">
        <v>0</v>
      </c>
      <c r="BD858" s="51" t="n">
        <v>0</v>
      </c>
      <c r="BE858" s="51" t="n">
        <v>0</v>
      </c>
      <c r="BF858" s="51" t="n">
        <v>0</v>
      </c>
    </row>
    <row r="859">
      <c r="A859">
        <f>HYPERLINK("https://www.walmart.com/ip/974951081", "974951081")</f>
        <v/>
      </c>
      <c r="B859" t="inlineStr">
        <is>
          <t>Hooded Blanket Poncho | Wearable Blanket Wrap with Hand Pockets | Comfy Sherpa Fleece Throw Cape for Children and Adults, Women Gift</t>
        </is>
      </c>
      <c r="C859" t="inlineStr">
        <is>
          <t>1CTBC100PK</t>
        </is>
      </c>
      <c r="D859" t="inlineStr">
        <is>
          <t>Throws</t>
        </is>
      </c>
      <c r="E859" t="inlineStr">
        <is>
          <t>Catalonia</t>
        </is>
      </c>
      <c r="F859" t="inlineStr">
        <is>
          <t>Q2-Target,WFS,WFS Item</t>
        </is>
      </c>
      <c r="G859" s="48" t="n">
        <v>0</v>
      </c>
      <c r="H859" s="48" t="n">
        <v>0</v>
      </c>
      <c r="I859" s="48" t="n">
        <v>0</v>
      </c>
      <c r="J859" s="48" t="n">
        <v>0</v>
      </c>
      <c r="K859" s="49" t="n">
        <v>0</v>
      </c>
      <c r="L859" s="49" t="n">
        <v>0</v>
      </c>
      <c r="M859" s="49" t="n">
        <v>0</v>
      </c>
      <c r="N859" s="49" t="n">
        <v>0</v>
      </c>
      <c r="O859" s="49" t="n">
        <v>0</v>
      </c>
      <c r="P859" s="49" t="n">
        <v>0</v>
      </c>
      <c r="Q859" s="49" t="n">
        <v>0</v>
      </c>
      <c r="R859" s="49" t="n">
        <v>0</v>
      </c>
      <c r="S859" s="50" t="n">
        <v>0</v>
      </c>
      <c r="T859" s="50" t="n">
        <v>0</v>
      </c>
      <c r="U859" s="50" t="n">
        <v>0</v>
      </c>
      <c r="V859" s="50" t="n">
        <v>0</v>
      </c>
      <c r="W859" s="51" t="n">
        <v>0</v>
      </c>
      <c r="X859" s="51" t="n">
        <v>0</v>
      </c>
      <c r="Y859" s="51" t="n">
        <v>0</v>
      </c>
      <c r="Z859" s="51" t="n">
        <v>0</v>
      </c>
      <c r="AA859" s="52" t="n">
        <v>0</v>
      </c>
      <c r="AB859" s="52" t="n">
        <v>0</v>
      </c>
      <c r="AC859" s="52" t="n">
        <v>0</v>
      </c>
      <c r="AD859" s="52" t="n">
        <v>0</v>
      </c>
      <c r="AE859" s="52" t="n">
        <v>0</v>
      </c>
      <c r="AF859" s="52" t="n">
        <v>0</v>
      </c>
      <c r="AG859" s="52" t="n">
        <v>0</v>
      </c>
      <c r="AH859" s="52" t="n">
        <v>0</v>
      </c>
      <c r="AI859" s="52" t="n">
        <v>0</v>
      </c>
      <c r="AJ859" s="52" t="n">
        <v>0</v>
      </c>
      <c r="AK859" s="52" t="n">
        <v>0</v>
      </c>
      <c r="AL859" s="52" t="n">
        <v>0</v>
      </c>
      <c r="AM859" s="53" t="n">
        <v>0</v>
      </c>
      <c r="AN859" s="53" t="n">
        <v>0</v>
      </c>
      <c r="AO859" s="53" t="n">
        <v>0</v>
      </c>
      <c r="AP859" s="53" t="n">
        <v>0</v>
      </c>
      <c r="AQ859" s="52" t="n">
        <v>0</v>
      </c>
      <c r="AR859" s="52" t="n">
        <v>0</v>
      </c>
      <c r="AS859" s="52" t="n">
        <v>0</v>
      </c>
      <c r="AT859" s="52" t="n">
        <v>0</v>
      </c>
      <c r="AU859" s="53" t="n">
        <v>0</v>
      </c>
      <c r="AV859" s="53" t="n">
        <v>0</v>
      </c>
      <c r="AW859" s="53" t="n">
        <v>0</v>
      </c>
      <c r="AX859" s="53" t="n">
        <v>0</v>
      </c>
      <c r="AY859" s="52" t="n">
        <v>0</v>
      </c>
      <c r="AZ859" s="52" t="n">
        <v>0</v>
      </c>
      <c r="BA859" s="52" t="n">
        <v>0</v>
      </c>
      <c r="BB859" s="52" t="n">
        <v>0</v>
      </c>
      <c r="BC859" s="51" t="n">
        <v>0</v>
      </c>
      <c r="BD859" s="51" t="n">
        <v>0</v>
      </c>
      <c r="BE859" s="51" t="n">
        <v>0</v>
      </c>
      <c r="BF859" s="51" t="n">
        <v>0</v>
      </c>
    </row>
    <row r="860">
      <c r="A860">
        <f>HYPERLINK("https://www.walmart.com/ip/975441249", "975441249")</f>
        <v/>
      </c>
      <c r="B860" t="inlineStr">
        <is>
          <t>Flyingstar Insulated Lunch Bag, Leakproof Thermal Reusable Lunch Box Tote, All Ages, Grey Checkered</t>
        </is>
      </c>
      <c r="C860" t="inlineStr">
        <is>
          <t>1WMLB702P1GYCK</t>
        </is>
      </c>
      <c r="D860" t="inlineStr">
        <is>
          <t>Reusable Lunch Bags &amp; Boxes</t>
        </is>
      </c>
      <c r="E860" t="inlineStr">
        <is>
          <t>Flyingstar</t>
        </is>
      </c>
      <c r="F860" t="inlineStr">
        <is>
          <t>Lunch Bag,SEM</t>
        </is>
      </c>
      <c r="G860" s="48" t="n">
        <v>0</v>
      </c>
      <c r="H860" s="48" t="n">
        <v>0</v>
      </c>
      <c r="I860" s="48" t="n">
        <v>0</v>
      </c>
      <c r="J860" s="48" t="n">
        <v>0</v>
      </c>
      <c r="K860" s="49" t="n">
        <v>0</v>
      </c>
      <c r="L860" s="49" t="n">
        <v>0</v>
      </c>
      <c r="M860" s="49" t="n">
        <v>0</v>
      </c>
      <c r="N860" s="49" t="n">
        <v>0</v>
      </c>
      <c r="O860" s="49" t="n">
        <v>0</v>
      </c>
      <c r="P860" s="49" t="n">
        <v>0</v>
      </c>
      <c r="Q860" s="49" t="n">
        <v>0</v>
      </c>
      <c r="R860" s="49" t="n">
        <v>0</v>
      </c>
      <c r="S860" s="50" t="n">
        <v>0</v>
      </c>
      <c r="T860" s="50" t="n">
        <v>0</v>
      </c>
      <c r="U860" s="50" t="n">
        <v>0</v>
      </c>
      <c r="V860" s="50" t="n">
        <v>0</v>
      </c>
      <c r="W860" s="51" t="n">
        <v>0</v>
      </c>
      <c r="X860" s="51" t="n">
        <v>0</v>
      </c>
      <c r="Y860" s="51" t="n">
        <v>0</v>
      </c>
      <c r="Z860" s="51" t="n">
        <v>0</v>
      </c>
      <c r="AA860" s="52" t="n">
        <v>0</v>
      </c>
      <c r="AB860" s="52" t="n">
        <v>0</v>
      </c>
      <c r="AC860" s="52" t="n">
        <v>0</v>
      </c>
      <c r="AD860" s="52" t="n">
        <v>0</v>
      </c>
      <c r="AE860" s="52" t="n">
        <v>0</v>
      </c>
      <c r="AF860" s="52" t="n">
        <v>0</v>
      </c>
      <c r="AG860" s="52" t="n">
        <v>0</v>
      </c>
      <c r="AH860" s="52" t="n">
        <v>0</v>
      </c>
      <c r="AI860" s="52" t="n">
        <v>0</v>
      </c>
      <c r="AJ860" s="52" t="n">
        <v>0</v>
      </c>
      <c r="AK860" s="52" t="n">
        <v>0</v>
      </c>
      <c r="AL860" s="52" t="n">
        <v>0</v>
      </c>
      <c r="AM860" s="53" t="n">
        <v>0</v>
      </c>
      <c r="AN860" s="53" t="n">
        <v>0</v>
      </c>
      <c r="AO860" s="53" t="n">
        <v>0</v>
      </c>
      <c r="AP860" s="53" t="n">
        <v>0</v>
      </c>
      <c r="AQ860" s="52" t="n">
        <v>0</v>
      </c>
      <c r="AR860" s="52" t="n">
        <v>0</v>
      </c>
      <c r="AS860" s="52" t="n">
        <v>0</v>
      </c>
      <c r="AT860" s="52" t="n">
        <v>0</v>
      </c>
      <c r="AU860" s="53" t="n">
        <v>0</v>
      </c>
      <c r="AV860" s="53" t="n">
        <v>0</v>
      </c>
      <c r="AW860" s="53" t="n">
        <v>0</v>
      </c>
      <c r="AX860" s="53" t="n">
        <v>0</v>
      </c>
      <c r="AY860" s="52" t="n">
        <v>0</v>
      </c>
      <c r="AZ860" s="52" t="n">
        <v>0</v>
      </c>
      <c r="BA860" s="52" t="n">
        <v>0</v>
      </c>
      <c r="BB860" s="52" t="n">
        <v>0</v>
      </c>
      <c r="BC860" s="51" t="n">
        <v>0</v>
      </c>
      <c r="BD860" s="51" t="n">
        <v>0</v>
      </c>
      <c r="BE860" s="51" t="n">
        <v>0</v>
      </c>
      <c r="BF860" s="51" t="n">
        <v>0</v>
      </c>
    </row>
    <row r="861">
      <c r="A861">
        <f>HYPERLINK("https://www.walmart.com/ip/976189174", "976189174")</f>
        <v/>
      </c>
      <c r="B861" t="inlineStr">
        <is>
          <t>Tirrinia Pet Carrier Backpack for Dogs and Cats up to 15 LBS Comfort Dog Cat Carrier Travel Bag Breathable for Hiking, Walking, Cycling &amp; Outdoor Use 16"H x13.2"L x12"W Blue</t>
        </is>
      </c>
      <c r="C861" t="inlineStr">
        <is>
          <t>1PSPB200BL</t>
        </is>
      </c>
      <c r="D861" t="inlineStr">
        <is>
          <t>Pet Carriers</t>
        </is>
      </c>
      <c r="E861" t="inlineStr">
        <is>
          <t>Pawsse</t>
        </is>
      </c>
      <c r="F861" t="inlineStr">
        <is>
          <t>Batch 1 - TR</t>
        </is>
      </c>
      <c r="G861" s="48" t="n">
        <v>0</v>
      </c>
      <c r="H861" s="48" t="n">
        <v>0</v>
      </c>
      <c r="I861" s="48" t="n">
        <v>0</v>
      </c>
      <c r="J861" s="48" t="n">
        <v>0</v>
      </c>
      <c r="K861" s="49" t="n">
        <v>0</v>
      </c>
      <c r="L861" s="49" t="n">
        <v>0</v>
      </c>
      <c r="M861" s="49" t="n">
        <v>0</v>
      </c>
      <c r="N861" s="49" t="n">
        <v>0</v>
      </c>
      <c r="O861" s="49" t="n">
        <v>0</v>
      </c>
      <c r="P861" s="49" t="n">
        <v>0</v>
      </c>
      <c r="Q861" s="49" t="n">
        <v>0</v>
      </c>
      <c r="R861" s="49" t="n">
        <v>0</v>
      </c>
      <c r="S861" s="50" t="n">
        <v>0</v>
      </c>
      <c r="T861" s="50" t="n">
        <v>0</v>
      </c>
      <c r="U861" s="50" t="n">
        <v>0</v>
      </c>
      <c r="V861" s="50" t="n">
        <v>0</v>
      </c>
      <c r="W861" s="51" t="n">
        <v>0</v>
      </c>
      <c r="X861" s="51" t="n">
        <v>0</v>
      </c>
      <c r="Y861" s="51" t="n">
        <v>0</v>
      </c>
      <c r="Z861" s="51" t="n">
        <v>0</v>
      </c>
      <c r="AA861" s="52" t="n">
        <v>0</v>
      </c>
      <c r="AB861" s="52" t="n">
        <v>0</v>
      </c>
      <c r="AC861" s="52" t="n">
        <v>0</v>
      </c>
      <c r="AD861" s="52" t="n">
        <v>0</v>
      </c>
      <c r="AE861" s="52" t="n">
        <v>0</v>
      </c>
      <c r="AF861" s="52" t="n">
        <v>0</v>
      </c>
      <c r="AG861" s="52" t="n">
        <v>0</v>
      </c>
      <c r="AH861" s="52" t="n">
        <v>0</v>
      </c>
      <c r="AI861" s="52" t="n">
        <v>0</v>
      </c>
      <c r="AJ861" s="52" t="n">
        <v>0</v>
      </c>
      <c r="AK861" s="52" t="n">
        <v>0</v>
      </c>
      <c r="AL861" s="52" t="n">
        <v>0</v>
      </c>
      <c r="AM861" s="53" t="n">
        <v>0</v>
      </c>
      <c r="AN861" s="53" t="n">
        <v>0</v>
      </c>
      <c r="AO861" s="53" t="n">
        <v>0</v>
      </c>
      <c r="AP861" s="53" t="n">
        <v>0</v>
      </c>
      <c r="AQ861" s="52" t="n">
        <v>0</v>
      </c>
      <c r="AR861" s="52" t="n">
        <v>0</v>
      </c>
      <c r="AS861" s="52" t="n">
        <v>0</v>
      </c>
      <c r="AT861" s="52" t="n">
        <v>0</v>
      </c>
      <c r="AU861" s="53" t="n">
        <v>0</v>
      </c>
      <c r="AV861" s="53" t="n">
        <v>0</v>
      </c>
      <c r="AW861" s="53" t="n">
        <v>0</v>
      </c>
      <c r="AX861" s="53" t="n">
        <v>0</v>
      </c>
      <c r="AY861" s="52" t="n">
        <v>0</v>
      </c>
      <c r="AZ861" s="52" t="n">
        <v>0</v>
      </c>
      <c r="BA861" s="52" t="n">
        <v>0</v>
      </c>
      <c r="BB861" s="52" t="n">
        <v>0</v>
      </c>
      <c r="BC861" s="51" t="n">
        <v>0</v>
      </c>
      <c r="BD861" s="51" t="n">
        <v>0</v>
      </c>
      <c r="BE861" s="51" t="n">
        <v>0</v>
      </c>
      <c r="BF861" s="51" t="n">
        <v>0</v>
      </c>
    </row>
    <row r="862">
      <c r="A862">
        <f>HYPERLINK("https://www.walmart.com/ip/976661728", "976661728")</f>
        <v/>
      </c>
      <c r="B862" t="inlineStr">
        <is>
          <t>Catalonia Teal Sherpa Throws Blanket for Girl,Super Soft Comfy Fuzzy Micro Plush Fleece Snuggle Blanket for TV Bed Sofa Couch Reversible Match Color All Season 50"x60"</t>
        </is>
      </c>
      <c r="C862" t="inlineStr">
        <is>
          <t>1CTBF301GN</t>
        </is>
      </c>
      <c r="D862" t="inlineStr">
        <is>
          <t>Throws</t>
        </is>
      </c>
      <c r="E862" t="inlineStr">
        <is>
          <t>Catalonia</t>
        </is>
      </c>
      <c r="F862" t="inlineStr">
        <is>
          <t>WFS,WFS Item</t>
        </is>
      </c>
      <c r="G862" s="48" t="n">
        <v>0</v>
      </c>
      <c r="H862" s="48" t="n">
        <v>0</v>
      </c>
      <c r="I862" s="48" t="n">
        <v>0</v>
      </c>
      <c r="J862" s="48" t="n">
        <v>0</v>
      </c>
      <c r="K862" s="49" t="n">
        <v>0</v>
      </c>
      <c r="L862" s="49" t="n">
        <v>0</v>
      </c>
      <c r="M862" s="49" t="n">
        <v>0</v>
      </c>
      <c r="N862" s="49" t="n">
        <v>0</v>
      </c>
      <c r="O862" s="49" t="n">
        <v>0</v>
      </c>
      <c r="P862" s="49" t="n">
        <v>0</v>
      </c>
      <c r="Q862" s="49" t="n">
        <v>0</v>
      </c>
      <c r="R862" s="49" t="n">
        <v>0</v>
      </c>
      <c r="S862" s="50" t="n">
        <v>0</v>
      </c>
      <c r="T862" s="50" t="n">
        <v>0</v>
      </c>
      <c r="U862" s="50" t="n">
        <v>0</v>
      </c>
      <c r="V862" s="50" t="n">
        <v>0</v>
      </c>
      <c r="W862" s="51" t="n">
        <v>0</v>
      </c>
      <c r="X862" s="51" t="n">
        <v>0</v>
      </c>
      <c r="Y862" s="51" t="n">
        <v>0</v>
      </c>
      <c r="Z862" s="51" t="n">
        <v>0</v>
      </c>
      <c r="AA862" s="52" t="n">
        <v>0</v>
      </c>
      <c r="AB862" s="52" t="n">
        <v>0</v>
      </c>
      <c r="AC862" s="52" t="n">
        <v>0</v>
      </c>
      <c r="AD862" s="52" t="n">
        <v>0</v>
      </c>
      <c r="AE862" s="52" t="n">
        <v>0</v>
      </c>
      <c r="AF862" s="52" t="n">
        <v>0</v>
      </c>
      <c r="AG862" s="52" t="n">
        <v>0</v>
      </c>
      <c r="AH862" s="52" t="n">
        <v>0</v>
      </c>
      <c r="AI862" s="52" t="n">
        <v>0</v>
      </c>
      <c r="AJ862" s="52" t="n">
        <v>0</v>
      </c>
      <c r="AK862" s="52" t="n">
        <v>0</v>
      </c>
      <c r="AL862" s="52" t="n">
        <v>0</v>
      </c>
      <c r="AM862" s="53" t="n">
        <v>0</v>
      </c>
      <c r="AN862" s="53" t="n">
        <v>0</v>
      </c>
      <c r="AO862" s="53" t="n">
        <v>0</v>
      </c>
      <c r="AP862" s="53" t="n">
        <v>0</v>
      </c>
      <c r="AQ862" s="52" t="n">
        <v>0</v>
      </c>
      <c r="AR862" s="52" t="n">
        <v>0</v>
      </c>
      <c r="AS862" s="52" t="n">
        <v>0</v>
      </c>
      <c r="AT862" s="52" t="n">
        <v>0</v>
      </c>
      <c r="AU862" s="53" t="n">
        <v>0</v>
      </c>
      <c r="AV862" s="53" t="n">
        <v>0</v>
      </c>
      <c r="AW862" s="53" t="n">
        <v>0</v>
      </c>
      <c r="AX862" s="53" t="n">
        <v>0</v>
      </c>
      <c r="AY862" s="52" t="n">
        <v>0</v>
      </c>
      <c r="AZ862" s="52" t="n">
        <v>0</v>
      </c>
      <c r="BA862" s="52" t="n">
        <v>0</v>
      </c>
      <c r="BB862" s="52" t="n">
        <v>0</v>
      </c>
      <c r="BC862" s="51" t="n">
        <v>0</v>
      </c>
      <c r="BD862" s="51" t="n">
        <v>0</v>
      </c>
      <c r="BE862" s="51" t="n">
        <v>0</v>
      </c>
      <c r="BF862" s="51" t="n">
        <v>0</v>
      </c>
    </row>
    <row r="863">
      <c r="A863">
        <f>HYPERLINK("https://www.walmart.com/ip/977010995", "977010995")</f>
        <v/>
      </c>
      <c r="B863" t="inlineStr">
        <is>
          <t>Kato Insulated Padded Thermal Single Wine Bottle Tote Bag for Travel and Picnic, Wine Gift Bag, Black</t>
        </is>
      </c>
      <c r="C863" t="inlineStr">
        <is>
          <t>1KTWB100BKCK-VNGM</t>
        </is>
      </c>
      <c r="D863" t="inlineStr">
        <is>
          <t>Wine Totes, Bags &amp; Backpacks</t>
        </is>
      </c>
      <c r="E863" t="inlineStr">
        <is>
          <t>Tirrinia</t>
        </is>
      </c>
      <c r="G863" s="48" t="n">
        <v>0</v>
      </c>
      <c r="H863" s="48" t="n">
        <v>0</v>
      </c>
      <c r="I863" s="48" t="n">
        <v>0</v>
      </c>
      <c r="J863" s="48" t="n">
        <v>0</v>
      </c>
      <c r="K863" s="49" t="n">
        <v>0</v>
      </c>
      <c r="L863" s="49" t="n">
        <v>0</v>
      </c>
      <c r="M863" s="49" t="n">
        <v>0</v>
      </c>
      <c r="N863" s="49" t="n">
        <v>0</v>
      </c>
      <c r="O863" s="49" t="n">
        <v>0</v>
      </c>
      <c r="P863" s="49" t="n">
        <v>0</v>
      </c>
      <c r="Q863" s="49" t="n">
        <v>0</v>
      </c>
      <c r="R863" s="49" t="n">
        <v>0</v>
      </c>
      <c r="S863" s="50" t="n">
        <v>0</v>
      </c>
      <c r="T863" s="50" t="n">
        <v>0</v>
      </c>
      <c r="U863" s="50" t="n">
        <v>0</v>
      </c>
      <c r="V863" s="50" t="n">
        <v>0</v>
      </c>
      <c r="W863" s="51" t="n">
        <v>0</v>
      </c>
      <c r="X863" s="51" t="n">
        <v>0</v>
      </c>
      <c r="Y863" s="51" t="n">
        <v>0</v>
      </c>
      <c r="Z863" s="51" t="n">
        <v>0</v>
      </c>
      <c r="AA863" s="52" t="n">
        <v>0</v>
      </c>
      <c r="AB863" s="52" t="n">
        <v>0</v>
      </c>
      <c r="AC863" s="52" t="n">
        <v>0</v>
      </c>
      <c r="AD863" s="52" t="n">
        <v>0</v>
      </c>
      <c r="AE863" s="52" t="n">
        <v>0</v>
      </c>
      <c r="AF863" s="52" t="n">
        <v>0</v>
      </c>
      <c r="AG863" s="52" t="n">
        <v>0</v>
      </c>
      <c r="AH863" s="52" t="n">
        <v>0</v>
      </c>
      <c r="AI863" s="52" t="n">
        <v>0</v>
      </c>
      <c r="AJ863" s="52" t="n">
        <v>0</v>
      </c>
      <c r="AK863" s="52" t="n">
        <v>0</v>
      </c>
      <c r="AL863" s="52" t="n">
        <v>0</v>
      </c>
      <c r="AM863" s="53" t="n">
        <v>0</v>
      </c>
      <c r="AN863" s="53" t="n">
        <v>0</v>
      </c>
      <c r="AO863" s="53" t="n">
        <v>0</v>
      </c>
      <c r="AP863" s="53" t="n">
        <v>0</v>
      </c>
      <c r="AQ863" s="52" t="n">
        <v>0</v>
      </c>
      <c r="AR863" s="52" t="n">
        <v>0</v>
      </c>
      <c r="AS863" s="52" t="n">
        <v>0</v>
      </c>
      <c r="AT863" s="52" t="n">
        <v>0</v>
      </c>
      <c r="AU863" s="53" t="n">
        <v>0</v>
      </c>
      <c r="AV863" s="53" t="n">
        <v>0</v>
      </c>
      <c r="AW863" s="53" t="n">
        <v>0</v>
      </c>
      <c r="AX863" s="53" t="n">
        <v>0</v>
      </c>
      <c r="AY863" s="52" t="n">
        <v>0</v>
      </c>
      <c r="AZ863" s="52" t="n">
        <v>0</v>
      </c>
      <c r="BA863" s="52" t="n">
        <v>0</v>
      </c>
      <c r="BB863" s="52" t="n">
        <v>0</v>
      </c>
      <c r="BC863" s="51" t="n">
        <v>0</v>
      </c>
      <c r="BD863" s="51" t="n">
        <v>0</v>
      </c>
      <c r="BE863" s="51" t="n">
        <v>0</v>
      </c>
      <c r="BF863" s="51" t="n">
        <v>0</v>
      </c>
    </row>
    <row r="864">
      <c r="A864">
        <f>HYPERLINK("https://www.walmart.com/ip/977526715", "977526715")</f>
        <v/>
      </c>
      <c r="B864" t="inlineStr">
        <is>
          <t>Buffalo Plaid Sherpa Throw TV Blanket, Super Soft Reversible Fleece Blanket for Cabin Bed or Couch, Catalonia series by Terrania, Cabin Plaid Red and Black Check, 50" x 60".</t>
        </is>
      </c>
      <c r="C864" t="inlineStr">
        <is>
          <t>1TRBF300PRD</t>
        </is>
      </c>
      <c r="D864" t="inlineStr">
        <is>
          <t>Throws</t>
        </is>
      </c>
      <c r="E864" t="inlineStr">
        <is>
          <t>Tirrinia</t>
        </is>
      </c>
      <c r="F864" t="inlineStr">
        <is>
          <t>Q2-Target,WFS,WFS Item,Fleece Blankets</t>
        </is>
      </c>
      <c r="G864" s="48" t="n">
        <v>0</v>
      </c>
      <c r="H864" s="48" t="n">
        <v>0</v>
      </c>
      <c r="I864" s="48" t="n">
        <v>0</v>
      </c>
      <c r="J864" s="48" t="n">
        <v>0</v>
      </c>
      <c r="K864" s="49" t="n">
        <v>0</v>
      </c>
      <c r="L864" s="49" t="n">
        <v>0</v>
      </c>
      <c r="M864" s="49" t="n">
        <v>0</v>
      </c>
      <c r="N864" s="49" t="n">
        <v>0</v>
      </c>
      <c r="O864" s="49" t="n">
        <v>0</v>
      </c>
      <c r="P864" s="49" t="n">
        <v>0</v>
      </c>
      <c r="Q864" s="49" t="n">
        <v>0</v>
      </c>
      <c r="R864" s="49" t="n">
        <v>0</v>
      </c>
      <c r="S864" s="50" t="n">
        <v>0</v>
      </c>
      <c r="T864" s="50" t="n">
        <v>0</v>
      </c>
      <c r="U864" s="50" t="n">
        <v>0</v>
      </c>
      <c r="V864" s="50" t="n">
        <v>0</v>
      </c>
      <c r="W864" s="51" t="n">
        <v>0</v>
      </c>
      <c r="X864" s="51" t="n">
        <v>0</v>
      </c>
      <c r="Y864" s="51" t="n">
        <v>0</v>
      </c>
      <c r="Z864" s="51" t="n">
        <v>0</v>
      </c>
      <c r="AA864" s="52" t="n">
        <v>0</v>
      </c>
      <c r="AB864" s="52" t="n">
        <v>0</v>
      </c>
      <c r="AC864" s="52" t="n">
        <v>0</v>
      </c>
      <c r="AD864" s="52" t="n">
        <v>0</v>
      </c>
      <c r="AE864" s="52" t="n">
        <v>0</v>
      </c>
      <c r="AF864" s="52" t="n">
        <v>0</v>
      </c>
      <c r="AG864" s="52" t="n">
        <v>0</v>
      </c>
      <c r="AH864" s="52" t="n">
        <v>0</v>
      </c>
      <c r="AI864" s="52" t="n">
        <v>0</v>
      </c>
      <c r="AJ864" s="52" t="n">
        <v>0</v>
      </c>
      <c r="AK864" s="52" t="n">
        <v>0</v>
      </c>
      <c r="AL864" s="52" t="n">
        <v>0</v>
      </c>
      <c r="AM864" s="53" t="n">
        <v>0</v>
      </c>
      <c r="AN864" s="53" t="n">
        <v>0</v>
      </c>
      <c r="AO864" s="53" t="n">
        <v>0</v>
      </c>
      <c r="AP864" s="53" t="n">
        <v>0</v>
      </c>
      <c r="AQ864" s="52" t="n">
        <v>0</v>
      </c>
      <c r="AR864" s="52" t="n">
        <v>0</v>
      </c>
      <c r="AS864" s="52" t="n">
        <v>0</v>
      </c>
      <c r="AT864" s="52" t="n">
        <v>0</v>
      </c>
      <c r="AU864" s="53" t="n">
        <v>0</v>
      </c>
      <c r="AV864" s="53" t="n">
        <v>0</v>
      </c>
      <c r="AW864" s="53" t="n">
        <v>0</v>
      </c>
      <c r="AX864" s="53" t="n">
        <v>0</v>
      </c>
      <c r="AY864" s="52" t="n">
        <v>0</v>
      </c>
      <c r="AZ864" s="52" t="n">
        <v>0</v>
      </c>
      <c r="BA864" s="52" t="n">
        <v>0</v>
      </c>
      <c r="BB864" s="52" t="n">
        <v>0</v>
      </c>
      <c r="BC864" s="51" t="n">
        <v>0</v>
      </c>
      <c r="BD864" s="51" t="n">
        <v>0</v>
      </c>
      <c r="BE864" s="51" t="n">
        <v>0</v>
      </c>
      <c r="BF864" s="51" t="n">
        <v>0</v>
      </c>
    </row>
    <row r="865">
      <c r="A865">
        <f>HYPERLINK("https://www.walmart.com/ip/977973294", "977973294")</f>
        <v/>
      </c>
      <c r="B865" t="inlineStr">
        <is>
          <t>Home Comforts Blanket with Sleeves, Super Soft Wearable TV Blanket Robe Fleece for Adults 73 x 51”| Cozy Warm, Lightweight</t>
        </is>
      </c>
      <c r="C865" t="inlineStr">
        <is>
          <t>1TRSN100BK</t>
        </is>
      </c>
      <c r="D865" t="inlineStr">
        <is>
          <t>Throws</t>
        </is>
      </c>
      <c r="E865" t="inlineStr">
        <is>
          <t>Tirrinia</t>
        </is>
      </c>
      <c r="F865" t="inlineStr">
        <is>
          <t>WFS,WFS Item,Fleece Blankets</t>
        </is>
      </c>
      <c r="G865" s="48" t="n">
        <v>0</v>
      </c>
      <c r="H865" s="48" t="n">
        <v>0</v>
      </c>
      <c r="I865" s="48" t="n">
        <v>0</v>
      </c>
      <c r="J865" s="48" t="n">
        <v>0</v>
      </c>
      <c r="K865" s="49" t="n">
        <v>0</v>
      </c>
      <c r="L865" s="49" t="n">
        <v>0</v>
      </c>
      <c r="M865" s="49" t="n">
        <v>0</v>
      </c>
      <c r="N865" s="49" t="n">
        <v>0</v>
      </c>
      <c r="O865" s="49" t="n">
        <v>0</v>
      </c>
      <c r="P865" s="49" t="n">
        <v>0</v>
      </c>
      <c r="Q865" s="49" t="n">
        <v>0</v>
      </c>
      <c r="R865" s="49" t="n">
        <v>0</v>
      </c>
      <c r="S865" s="50" t="n">
        <v>0</v>
      </c>
      <c r="T865" s="50" t="n">
        <v>0</v>
      </c>
      <c r="U865" s="50" t="n">
        <v>0</v>
      </c>
      <c r="V865" s="50" t="n">
        <v>0</v>
      </c>
      <c r="W865" s="51" t="n">
        <v>0</v>
      </c>
      <c r="X865" s="51" t="n">
        <v>0</v>
      </c>
      <c r="Y865" s="51" t="n">
        <v>0</v>
      </c>
      <c r="Z865" s="51" t="n">
        <v>0</v>
      </c>
      <c r="AA865" s="52" t="n">
        <v>0</v>
      </c>
      <c r="AB865" s="52" t="n">
        <v>0</v>
      </c>
      <c r="AC865" s="52" t="n">
        <v>0</v>
      </c>
      <c r="AD865" s="52" t="n">
        <v>0</v>
      </c>
      <c r="AE865" s="52" t="n">
        <v>0</v>
      </c>
      <c r="AF865" s="52" t="n">
        <v>0</v>
      </c>
      <c r="AG865" s="52" t="n">
        <v>0</v>
      </c>
      <c r="AH865" s="52" t="n">
        <v>0</v>
      </c>
      <c r="AI865" s="52" t="n">
        <v>0</v>
      </c>
      <c r="AJ865" s="52" t="n">
        <v>0</v>
      </c>
      <c r="AK865" s="52" t="n">
        <v>0</v>
      </c>
      <c r="AL865" s="52" t="n">
        <v>0</v>
      </c>
      <c r="AM865" s="53" t="n">
        <v>0</v>
      </c>
      <c r="AN865" s="53" t="n">
        <v>0</v>
      </c>
      <c r="AO865" s="53" t="n">
        <v>0</v>
      </c>
      <c r="AP865" s="53" t="n">
        <v>0</v>
      </c>
      <c r="AQ865" s="52" t="n">
        <v>0</v>
      </c>
      <c r="AR865" s="52" t="n">
        <v>0</v>
      </c>
      <c r="AS865" s="52" t="n">
        <v>0</v>
      </c>
      <c r="AT865" s="52" t="n">
        <v>0</v>
      </c>
      <c r="AU865" s="53" t="n">
        <v>0</v>
      </c>
      <c r="AV865" s="53" t="n">
        <v>0</v>
      </c>
      <c r="AW865" s="53" t="n">
        <v>0</v>
      </c>
      <c r="AX865" s="53" t="n">
        <v>0</v>
      </c>
      <c r="AY865" s="52" t="n">
        <v>0</v>
      </c>
      <c r="AZ865" s="52" t="n">
        <v>0</v>
      </c>
      <c r="BA865" s="52" t="n">
        <v>0</v>
      </c>
      <c r="BB865" s="52" t="n">
        <v>0</v>
      </c>
      <c r="BC865" s="51" t="n">
        <v>0</v>
      </c>
      <c r="BD865" s="51" t="n">
        <v>0</v>
      </c>
      <c r="BE865" s="51" t="n">
        <v>0</v>
      </c>
      <c r="BF865" s="51" t="n">
        <v>0</v>
      </c>
    </row>
    <row r="866">
      <c r="A866">
        <f>HYPERLINK("https://www.walmart.com/ip/979279232", "979279232")</f>
        <v/>
      </c>
      <c r="B866" t="inlineStr">
        <is>
          <t>KritterWorld 2 in 1 Front Car Seat Covers Pet Travel Protector Basket for Dog Cat Scratch Resistant Waterproof and Non-slip Black</t>
        </is>
      </c>
      <c r="C866" t="inlineStr">
        <is>
          <t>KWPETCSC02-BK</t>
        </is>
      </c>
      <c r="D866" t="inlineStr">
        <is>
          <t>Pet Car Seat Covers</t>
        </is>
      </c>
      <c r="E866" t="inlineStr">
        <is>
          <t>KritterWorld</t>
        </is>
      </c>
      <c r="F866" t="inlineStr">
        <is>
          <t>Batch 1 - TR</t>
        </is>
      </c>
      <c r="G866" s="48" t="n">
        <v>0</v>
      </c>
      <c r="H866" s="48" t="n">
        <v>0</v>
      </c>
      <c r="I866" s="48" t="n">
        <v>0</v>
      </c>
      <c r="J866" s="48" t="n">
        <v>0</v>
      </c>
      <c r="K866" s="49" t="n">
        <v>0</v>
      </c>
      <c r="L866" s="49" t="n">
        <v>0</v>
      </c>
      <c r="M866" s="49" t="n">
        <v>0</v>
      </c>
      <c r="N866" s="49" t="n">
        <v>0</v>
      </c>
      <c r="O866" s="49" t="n">
        <v>0</v>
      </c>
      <c r="P866" s="49" t="n">
        <v>0</v>
      </c>
      <c r="Q866" s="49" t="n">
        <v>0</v>
      </c>
      <c r="R866" s="49" t="n">
        <v>0</v>
      </c>
      <c r="S866" s="50" t="n">
        <v>0</v>
      </c>
      <c r="T866" s="50" t="n">
        <v>0</v>
      </c>
      <c r="U866" s="50" t="n">
        <v>0</v>
      </c>
      <c r="V866" s="50" t="n">
        <v>0</v>
      </c>
      <c r="W866" s="51" t="n">
        <v>0</v>
      </c>
      <c r="X866" s="51" t="n">
        <v>0</v>
      </c>
      <c r="Y866" s="51" t="n">
        <v>0</v>
      </c>
      <c r="Z866" s="51" t="n">
        <v>0</v>
      </c>
      <c r="AA866" s="52" t="n">
        <v>0</v>
      </c>
      <c r="AB866" s="52" t="n">
        <v>0</v>
      </c>
      <c r="AC866" s="52" t="n">
        <v>0</v>
      </c>
      <c r="AD866" s="52" t="n">
        <v>0</v>
      </c>
      <c r="AE866" s="52" t="n">
        <v>0</v>
      </c>
      <c r="AF866" s="52" t="n">
        <v>0</v>
      </c>
      <c r="AG866" s="52" t="n">
        <v>0</v>
      </c>
      <c r="AH866" s="52" t="n">
        <v>0</v>
      </c>
      <c r="AI866" s="52" t="n">
        <v>0</v>
      </c>
      <c r="AJ866" s="52" t="n">
        <v>0</v>
      </c>
      <c r="AK866" s="52" t="n">
        <v>0</v>
      </c>
      <c r="AL866" s="52" t="n">
        <v>0</v>
      </c>
      <c r="AM866" s="53" t="n">
        <v>0</v>
      </c>
      <c r="AN866" s="53" t="n">
        <v>0</v>
      </c>
      <c r="AO866" s="53" t="n">
        <v>0</v>
      </c>
      <c r="AP866" s="53" t="n">
        <v>0</v>
      </c>
      <c r="AQ866" s="52" t="n">
        <v>0</v>
      </c>
      <c r="AR866" s="52" t="n">
        <v>0</v>
      </c>
      <c r="AS866" s="52" t="n">
        <v>0</v>
      </c>
      <c r="AT866" s="52" t="n">
        <v>0</v>
      </c>
      <c r="AU866" s="53" t="n">
        <v>0</v>
      </c>
      <c r="AV866" s="53" t="n">
        <v>0</v>
      </c>
      <c r="AW866" s="53" t="n">
        <v>0</v>
      </c>
      <c r="AX866" s="53" t="n">
        <v>0</v>
      </c>
      <c r="AY866" s="52" t="n">
        <v>0</v>
      </c>
      <c r="AZ866" s="52" t="n">
        <v>0</v>
      </c>
      <c r="BA866" s="52" t="n">
        <v>0</v>
      </c>
      <c r="BB866" s="52" t="n">
        <v>0</v>
      </c>
      <c r="BC866" s="51" t="n">
        <v>0</v>
      </c>
      <c r="BD866" s="51" t="n">
        <v>0</v>
      </c>
      <c r="BE866" s="51" t="n">
        <v>0</v>
      </c>
      <c r="BF866" s="51" t="n">
        <v>0</v>
      </c>
    </row>
    <row r="867">
      <c r="A867">
        <f>HYPERLINK("https://www.walmart.com/ip/979291779", "979291779")</f>
        <v/>
      </c>
      <c r="B867" t="inlineStr">
        <is>
          <t>Flyingstar Insulated Lunch Box for Women Men, Leakproof Thermal Reusable Lunch Bag with 4 Pockets for Adult &amp; Kids, Lunch Bag Cooler Tote for Office Work, Olive</t>
        </is>
      </c>
      <c r="C867" t="inlineStr">
        <is>
          <t>1WMLB702P1OL</t>
        </is>
      </c>
      <c r="D867" t="inlineStr">
        <is>
          <t>Reusable Lunch Bags &amp; Boxes</t>
        </is>
      </c>
      <c r="E867" t="inlineStr">
        <is>
          <t>Flyingstar</t>
        </is>
      </c>
      <c r="F867" t="inlineStr">
        <is>
          <t>Q2-Target,Lunch Bag,Lunch Bags</t>
        </is>
      </c>
      <c r="G867" s="48" t="n">
        <v>0</v>
      </c>
      <c r="H867" s="48" t="n">
        <v>0</v>
      </c>
      <c r="I867" s="48" t="n">
        <v>0</v>
      </c>
      <c r="J867" s="48" t="n">
        <v>0</v>
      </c>
      <c r="K867" s="49" t="n">
        <v>0</v>
      </c>
      <c r="L867" s="49" t="n">
        <v>0</v>
      </c>
      <c r="M867" s="49" t="n">
        <v>0</v>
      </c>
      <c r="N867" s="49" t="n">
        <v>0</v>
      </c>
      <c r="O867" s="49" t="n">
        <v>0</v>
      </c>
      <c r="P867" s="49" t="n">
        <v>0</v>
      </c>
      <c r="Q867" s="49" t="n">
        <v>0</v>
      </c>
      <c r="R867" s="49" t="n">
        <v>0</v>
      </c>
      <c r="S867" s="50" t="n">
        <v>0</v>
      </c>
      <c r="T867" s="50" t="n">
        <v>0</v>
      </c>
      <c r="U867" s="50" t="n">
        <v>0</v>
      </c>
      <c r="V867" s="50" t="n">
        <v>0</v>
      </c>
      <c r="W867" s="51" t="n">
        <v>0</v>
      </c>
      <c r="X867" s="51" t="n">
        <v>0</v>
      </c>
      <c r="Y867" s="51" t="n">
        <v>0</v>
      </c>
      <c r="Z867" s="51" t="n">
        <v>0</v>
      </c>
      <c r="AA867" s="52" t="n">
        <v>0</v>
      </c>
      <c r="AB867" s="52" t="n">
        <v>0</v>
      </c>
      <c r="AC867" s="52" t="n">
        <v>0</v>
      </c>
      <c r="AD867" s="52" t="n">
        <v>0</v>
      </c>
      <c r="AE867" s="52" t="n">
        <v>0</v>
      </c>
      <c r="AF867" s="52" t="n">
        <v>0</v>
      </c>
      <c r="AG867" s="52" t="n">
        <v>0</v>
      </c>
      <c r="AH867" s="52" t="n">
        <v>0</v>
      </c>
      <c r="AI867" s="52" t="n">
        <v>0</v>
      </c>
      <c r="AJ867" s="52" t="n">
        <v>0</v>
      </c>
      <c r="AK867" s="52" t="n">
        <v>0</v>
      </c>
      <c r="AL867" s="52" t="n">
        <v>0</v>
      </c>
      <c r="AM867" s="53" t="n">
        <v>0</v>
      </c>
      <c r="AN867" s="53" t="n">
        <v>0</v>
      </c>
      <c r="AO867" s="53" t="n">
        <v>0</v>
      </c>
      <c r="AP867" s="53" t="n">
        <v>0</v>
      </c>
      <c r="AQ867" s="52" t="n">
        <v>0</v>
      </c>
      <c r="AR867" s="52" t="n">
        <v>0</v>
      </c>
      <c r="AS867" s="52" t="n">
        <v>0</v>
      </c>
      <c r="AT867" s="52" t="n">
        <v>0</v>
      </c>
      <c r="AU867" s="53" t="n">
        <v>0</v>
      </c>
      <c r="AV867" s="53" t="n">
        <v>0</v>
      </c>
      <c r="AW867" s="53" t="n">
        <v>0</v>
      </c>
      <c r="AX867" s="53" t="n">
        <v>0</v>
      </c>
      <c r="AY867" s="52" t="n">
        <v>0</v>
      </c>
      <c r="AZ867" s="52" t="n">
        <v>0</v>
      </c>
      <c r="BA867" s="52" t="n">
        <v>0</v>
      </c>
      <c r="BB867" s="52" t="n">
        <v>0</v>
      </c>
      <c r="BC867" s="51" t="n">
        <v>0</v>
      </c>
      <c r="BD867" s="51" t="n">
        <v>0</v>
      </c>
      <c r="BE867" s="51" t="n">
        <v>0</v>
      </c>
      <c r="BF867" s="51" t="n">
        <v>0</v>
      </c>
    </row>
    <row r="868">
      <c r="A868">
        <f>HYPERLINK("https://www.walmart.com/ip/980018842", "980018842")</f>
        <v/>
      </c>
      <c r="B868" t="inlineStr">
        <is>
          <t>Catalonia Sherpa Wearable Blanket Poncho for Adult Women Men, Wrap Blanket Cape with Pocket, Warm, Soft, Cozy, Snuggly, Comfort Gift, No Sleeves, Grey</t>
        </is>
      </c>
      <c r="C868" t="inlineStr">
        <is>
          <t>1CTBP110GY</t>
        </is>
      </c>
      <c r="D868" t="inlineStr">
        <is>
          <t>Throws</t>
        </is>
      </c>
      <c r="E868" t="inlineStr">
        <is>
          <t>Catalonia</t>
        </is>
      </c>
      <c r="F868" t="inlineStr">
        <is>
          <t>Hero 5 Holidays,Batch 1 - TR</t>
        </is>
      </c>
      <c r="G868" s="48" t="n">
        <v>0</v>
      </c>
      <c r="H868" s="48" t="n">
        <v>0</v>
      </c>
      <c r="I868" s="48" t="n">
        <v>0</v>
      </c>
      <c r="J868" s="48" t="n">
        <v>0</v>
      </c>
      <c r="K868" s="49" t="n">
        <v>0</v>
      </c>
      <c r="L868" s="49" t="n">
        <v>0</v>
      </c>
      <c r="M868" s="49" t="n">
        <v>0</v>
      </c>
      <c r="N868" s="49" t="n">
        <v>0</v>
      </c>
      <c r="O868" s="49" t="n">
        <v>0</v>
      </c>
      <c r="P868" s="49" t="n">
        <v>0</v>
      </c>
      <c r="Q868" s="49" t="n">
        <v>0</v>
      </c>
      <c r="R868" s="49" t="n">
        <v>0</v>
      </c>
      <c r="S868" s="50" t="n">
        <v>0</v>
      </c>
      <c r="T868" s="50" t="n">
        <v>0</v>
      </c>
      <c r="U868" s="50" t="n">
        <v>0</v>
      </c>
      <c r="V868" s="50" t="n">
        <v>0</v>
      </c>
      <c r="W868" s="51" t="n">
        <v>0</v>
      </c>
      <c r="X868" s="51" t="n">
        <v>0</v>
      </c>
      <c r="Y868" s="51" t="n">
        <v>0</v>
      </c>
      <c r="Z868" s="51" t="n">
        <v>0</v>
      </c>
      <c r="AA868" s="52" t="n">
        <v>0</v>
      </c>
      <c r="AB868" s="52" t="n">
        <v>0</v>
      </c>
      <c r="AC868" s="52" t="n">
        <v>0</v>
      </c>
      <c r="AD868" s="52" t="n">
        <v>0</v>
      </c>
      <c r="AE868" s="52" t="n">
        <v>0</v>
      </c>
      <c r="AF868" s="52" t="n">
        <v>0</v>
      </c>
      <c r="AG868" s="52" t="n">
        <v>0</v>
      </c>
      <c r="AH868" s="52" t="n">
        <v>0</v>
      </c>
      <c r="AI868" s="52" t="n">
        <v>0</v>
      </c>
      <c r="AJ868" s="52" t="n">
        <v>0</v>
      </c>
      <c r="AK868" s="52" t="n">
        <v>0</v>
      </c>
      <c r="AL868" s="52" t="n">
        <v>0</v>
      </c>
      <c r="AM868" s="53" t="n">
        <v>0</v>
      </c>
      <c r="AN868" s="53" t="n">
        <v>0</v>
      </c>
      <c r="AO868" s="53" t="n">
        <v>0</v>
      </c>
      <c r="AP868" s="53" t="n">
        <v>0</v>
      </c>
      <c r="AQ868" s="52" t="n">
        <v>0</v>
      </c>
      <c r="AR868" s="52" t="n">
        <v>0</v>
      </c>
      <c r="AS868" s="52" t="n">
        <v>0</v>
      </c>
      <c r="AT868" s="52" t="n">
        <v>0</v>
      </c>
      <c r="AU868" s="53" t="n">
        <v>0</v>
      </c>
      <c r="AV868" s="53" t="n">
        <v>0</v>
      </c>
      <c r="AW868" s="53" t="n">
        <v>0</v>
      </c>
      <c r="AX868" s="53" t="n">
        <v>0</v>
      </c>
      <c r="AY868" s="52" t="n">
        <v>0</v>
      </c>
      <c r="AZ868" s="52" t="n">
        <v>0</v>
      </c>
      <c r="BA868" s="52" t="n">
        <v>0</v>
      </c>
      <c r="BB868" s="52" t="n">
        <v>0</v>
      </c>
      <c r="BC868" s="51" t="n">
        <v>0</v>
      </c>
      <c r="BD868" s="51" t="n">
        <v>0</v>
      </c>
      <c r="BE868" s="51" t="n">
        <v>0</v>
      </c>
      <c r="BF868" s="51" t="n">
        <v>0</v>
      </c>
    </row>
    <row r="869">
      <c r="A869">
        <f>HYPERLINK("https://www.walmart.com/ip/972147945", "972147945")</f>
        <v/>
      </c>
      <c r="B869" t="inlineStr">
        <is>
          <t>Wine Opener Accessories Gift Set - 5 Pcs Wine Bottle Corkscrew Screwpull Kit by Kato, Great Wedding and Birthday Gifts for Wine Lovers, Red</t>
        </is>
      </c>
      <c r="C869" t="inlineStr">
        <is>
          <t>1KTWO502RDBK</t>
        </is>
      </c>
      <c r="D869" t="inlineStr">
        <is>
          <t>Corkscrews &amp; Wine Bottle Openers</t>
        </is>
      </c>
      <c r="E869" t="inlineStr">
        <is>
          <t>Kato</t>
        </is>
      </c>
      <c r="F869" t="inlineStr">
        <is>
          <t>Wine,Christmas,WFS,Wine WFS,Valentine,WFS Item</t>
        </is>
      </c>
      <c r="G869" s="48" t="n">
        <v>0</v>
      </c>
      <c r="H869" s="48" t="n">
        <v>0</v>
      </c>
      <c r="I869" s="48" t="n">
        <v>0</v>
      </c>
      <c r="J869" s="48" t="n">
        <v>0</v>
      </c>
      <c r="K869" s="49" t="n">
        <v>0</v>
      </c>
      <c r="L869" s="49" t="n">
        <v>0</v>
      </c>
      <c r="M869" s="49" t="n">
        <v>0</v>
      </c>
      <c r="N869" s="49" t="n">
        <v>0</v>
      </c>
      <c r="O869" s="49" t="n">
        <v>0</v>
      </c>
      <c r="P869" s="49" t="n">
        <v>0</v>
      </c>
      <c r="Q869" s="49" t="n">
        <v>0</v>
      </c>
      <c r="R869" s="49" t="n">
        <v>0</v>
      </c>
      <c r="S869" s="50" t="n">
        <v>0</v>
      </c>
      <c r="T869" s="50" t="n">
        <v>0</v>
      </c>
      <c r="U869" s="50" t="n">
        <v>0</v>
      </c>
      <c r="V869" s="50" t="n">
        <v>0</v>
      </c>
      <c r="W869" s="51" t="n">
        <v>0</v>
      </c>
      <c r="X869" s="51" t="n">
        <v>0</v>
      </c>
      <c r="Y869" s="51" t="n">
        <v>0</v>
      </c>
      <c r="Z869" s="51" t="n">
        <v>0</v>
      </c>
      <c r="AA869" s="52" t="n">
        <v>0</v>
      </c>
      <c r="AB869" s="52" t="n">
        <v>0</v>
      </c>
      <c r="AC869" s="52" t="n">
        <v>0</v>
      </c>
      <c r="AD869" s="52" t="n">
        <v>0</v>
      </c>
      <c r="AE869" s="52" t="n">
        <v>0</v>
      </c>
      <c r="AF869" s="52" t="n">
        <v>0</v>
      </c>
      <c r="AG869" s="52" t="n">
        <v>0</v>
      </c>
      <c r="AH869" s="52" t="n">
        <v>0</v>
      </c>
      <c r="AI869" s="52" t="n">
        <v>0</v>
      </c>
      <c r="AJ869" s="52" t="n">
        <v>0</v>
      </c>
      <c r="AK869" s="52" t="n">
        <v>0</v>
      </c>
      <c r="AL869" s="52" t="n">
        <v>0</v>
      </c>
      <c r="AM869" s="53" t="n">
        <v>0</v>
      </c>
      <c r="AN869" s="53" t="n">
        <v>0</v>
      </c>
      <c r="AO869" s="53" t="n">
        <v>0</v>
      </c>
      <c r="AP869" s="53" t="n">
        <v>0</v>
      </c>
      <c r="AQ869" s="52" t="n">
        <v>0</v>
      </c>
      <c r="AR869" s="52" t="n">
        <v>0</v>
      </c>
      <c r="AS869" s="52" t="n">
        <v>0</v>
      </c>
      <c r="AT869" s="52" t="n">
        <v>0</v>
      </c>
      <c r="AU869" s="53" t="n">
        <v>0</v>
      </c>
      <c r="AV869" s="53" t="n">
        <v>0</v>
      </c>
      <c r="AW869" s="53" t="n">
        <v>0</v>
      </c>
      <c r="AX869" s="53" t="n">
        <v>0</v>
      </c>
      <c r="AY869" s="52" t="n">
        <v>0</v>
      </c>
      <c r="AZ869" s="52" t="n">
        <v>0</v>
      </c>
      <c r="BA869" s="52" t="n">
        <v>0</v>
      </c>
      <c r="BB869" s="52" t="n">
        <v>0</v>
      </c>
      <c r="BC869" s="51" t="n">
        <v>0</v>
      </c>
      <c r="BD869" s="51" t="n">
        <v>0</v>
      </c>
      <c r="BE869" s="51" t="n">
        <v>0</v>
      </c>
      <c r="BF869" s="51" t="n">
        <v>0</v>
      </c>
    </row>
    <row r="870">
      <c r="A870">
        <f>HYPERLINK("https://www.walmart.com/ip/970542815", "970542815")</f>
        <v/>
      </c>
      <c r="B870" t="inlineStr">
        <is>
          <t>Sherpa Throw Blanket Snowflake Pattern, Reversible Micro Fleece TV Blanket All Season for Bed or Couch 50" x 60"</t>
        </is>
      </c>
      <c r="C870" t="inlineStr">
        <is>
          <t>1TRBF571XMAS-TBCB</t>
        </is>
      </c>
      <c r="D870" t="inlineStr">
        <is>
          <t>Throws</t>
        </is>
      </c>
      <c r="E870" t="inlineStr">
        <is>
          <t>Tirrinia</t>
        </is>
      </c>
      <c r="F870" t="inlineStr">
        <is>
          <t>Christmas</t>
        </is>
      </c>
      <c r="G870" s="48" t="n">
        <v>0</v>
      </c>
      <c r="H870" s="48" t="n">
        <v>0</v>
      </c>
      <c r="I870" s="48" t="n">
        <v>0</v>
      </c>
      <c r="J870" s="48" t="n">
        <v>0</v>
      </c>
      <c r="K870" s="49" t="n">
        <v>0</v>
      </c>
      <c r="L870" s="49" t="n">
        <v>0</v>
      </c>
      <c r="M870" s="49" t="n">
        <v>0</v>
      </c>
      <c r="N870" s="49" t="n">
        <v>0</v>
      </c>
      <c r="O870" s="49" t="n">
        <v>0</v>
      </c>
      <c r="P870" s="49" t="n">
        <v>0</v>
      </c>
      <c r="Q870" s="49" t="n">
        <v>0</v>
      </c>
      <c r="R870" s="49" t="n">
        <v>0</v>
      </c>
      <c r="S870" s="50" t="n">
        <v>0</v>
      </c>
      <c r="T870" s="50" t="n">
        <v>0</v>
      </c>
      <c r="U870" s="50" t="n">
        <v>0</v>
      </c>
      <c r="V870" s="50" t="n">
        <v>0</v>
      </c>
      <c r="W870" s="51" t="n">
        <v>0</v>
      </c>
      <c r="X870" s="51" t="n">
        <v>0</v>
      </c>
      <c r="Y870" s="51" t="n">
        <v>0</v>
      </c>
      <c r="Z870" s="51" t="n">
        <v>0</v>
      </c>
      <c r="AA870" s="52" t="n">
        <v>0</v>
      </c>
      <c r="AB870" s="52" t="n">
        <v>0</v>
      </c>
      <c r="AC870" s="52" t="n">
        <v>0</v>
      </c>
      <c r="AD870" s="52" t="n">
        <v>0</v>
      </c>
      <c r="AE870" s="52" t="n">
        <v>0</v>
      </c>
      <c r="AF870" s="52" t="n">
        <v>0</v>
      </c>
      <c r="AG870" s="52" t="n">
        <v>0</v>
      </c>
      <c r="AH870" s="52" t="n">
        <v>0</v>
      </c>
      <c r="AI870" s="52" t="n">
        <v>0</v>
      </c>
      <c r="AJ870" s="52" t="n">
        <v>0</v>
      </c>
      <c r="AK870" s="52" t="n">
        <v>0</v>
      </c>
      <c r="AL870" s="52" t="n">
        <v>0</v>
      </c>
      <c r="AM870" s="53" t="n">
        <v>0</v>
      </c>
      <c r="AN870" s="53" t="n">
        <v>0</v>
      </c>
      <c r="AO870" s="53" t="n">
        <v>0</v>
      </c>
      <c r="AP870" s="53" t="n">
        <v>0</v>
      </c>
      <c r="AQ870" s="52" t="n">
        <v>0</v>
      </c>
      <c r="AR870" s="52" t="n">
        <v>0</v>
      </c>
      <c r="AS870" s="52" t="n">
        <v>0</v>
      </c>
      <c r="AT870" s="52" t="n">
        <v>0</v>
      </c>
      <c r="AU870" s="53" t="n">
        <v>0</v>
      </c>
      <c r="AV870" s="53" t="n">
        <v>0</v>
      </c>
      <c r="AW870" s="53" t="n">
        <v>0</v>
      </c>
      <c r="AX870" s="53" t="n">
        <v>0</v>
      </c>
      <c r="AY870" s="52" t="n">
        <v>0</v>
      </c>
      <c r="AZ870" s="52" t="n">
        <v>0</v>
      </c>
      <c r="BA870" s="52" t="n">
        <v>0</v>
      </c>
      <c r="BB870" s="52" t="n">
        <v>0</v>
      </c>
      <c r="BC870" s="51" t="n">
        <v>0</v>
      </c>
      <c r="BD870" s="51" t="n">
        <v>0</v>
      </c>
      <c r="BE870" s="51" t="n">
        <v>0</v>
      </c>
      <c r="BF870" s="51" t="n">
        <v>0</v>
      </c>
    </row>
    <row r="871">
      <c r="A871">
        <f>HYPERLINK("https://www.walmart.com/ip/981535425", "981535425")</f>
        <v/>
      </c>
      <c r="B871" t="inlineStr">
        <is>
          <t>Flyingstar Sherpa Throws Blanket, Fleece Soft Cozy Blanket Throws for Sofa Bed 50"x60"</t>
        </is>
      </c>
      <c r="C871" t="inlineStr">
        <is>
          <t>1WMBF571SNOWMAN</t>
        </is>
      </c>
      <c r="D871" t="inlineStr">
        <is>
          <t>Throws</t>
        </is>
      </c>
      <c r="E871" t="inlineStr">
        <is>
          <t>Flyingstar</t>
        </is>
      </c>
      <c r="F871" t="inlineStr">
        <is>
          <t>Christmas,Optimized</t>
        </is>
      </c>
      <c r="G871" s="48" t="n">
        <v>0</v>
      </c>
      <c r="H871" s="48" t="n">
        <v>0</v>
      </c>
      <c r="I871" s="48" t="n">
        <v>0</v>
      </c>
      <c r="J871" s="48" t="n">
        <v>0</v>
      </c>
      <c r="K871" s="49" t="n">
        <v>0</v>
      </c>
      <c r="L871" s="49" t="n">
        <v>0</v>
      </c>
      <c r="M871" s="49" t="n">
        <v>0</v>
      </c>
      <c r="N871" s="49" t="n">
        <v>0</v>
      </c>
      <c r="O871" s="49" t="n">
        <v>0</v>
      </c>
      <c r="P871" s="49" t="n">
        <v>0</v>
      </c>
      <c r="Q871" s="49" t="n">
        <v>0</v>
      </c>
      <c r="R871" s="49" t="n">
        <v>0</v>
      </c>
      <c r="S871" s="50" t="n">
        <v>0</v>
      </c>
      <c r="T871" s="50" t="n">
        <v>0</v>
      </c>
      <c r="U871" s="50" t="n">
        <v>0</v>
      </c>
      <c r="V871" s="50" t="n">
        <v>0</v>
      </c>
      <c r="W871" s="51" t="n">
        <v>0</v>
      </c>
      <c r="X871" s="51" t="n">
        <v>0</v>
      </c>
      <c r="Y871" s="51" t="n">
        <v>0</v>
      </c>
      <c r="Z871" s="51" t="n">
        <v>0</v>
      </c>
      <c r="AA871" s="52" t="n">
        <v>0</v>
      </c>
      <c r="AB871" s="52" t="n">
        <v>0</v>
      </c>
      <c r="AC871" s="52" t="n">
        <v>0</v>
      </c>
      <c r="AD871" s="52" t="n">
        <v>0</v>
      </c>
      <c r="AE871" s="52" t="n">
        <v>0</v>
      </c>
      <c r="AF871" s="52" t="n">
        <v>0</v>
      </c>
      <c r="AG871" s="52" t="n">
        <v>0</v>
      </c>
      <c r="AH871" s="52" t="n">
        <v>0</v>
      </c>
      <c r="AI871" s="52" t="n">
        <v>0</v>
      </c>
      <c r="AJ871" s="52" t="n">
        <v>0</v>
      </c>
      <c r="AK871" s="52" t="n">
        <v>0</v>
      </c>
      <c r="AL871" s="52" t="n">
        <v>0</v>
      </c>
      <c r="AM871" s="53" t="n">
        <v>0</v>
      </c>
      <c r="AN871" s="53" t="n">
        <v>0</v>
      </c>
      <c r="AO871" s="53" t="n">
        <v>0</v>
      </c>
      <c r="AP871" s="53" t="n">
        <v>0</v>
      </c>
      <c r="AQ871" s="52" t="n">
        <v>0</v>
      </c>
      <c r="AR871" s="52" t="n">
        <v>0</v>
      </c>
      <c r="AS871" s="52" t="n">
        <v>0</v>
      </c>
      <c r="AT871" s="52" t="n">
        <v>0</v>
      </c>
      <c r="AU871" s="53" t="n">
        <v>0</v>
      </c>
      <c r="AV871" s="53" t="n">
        <v>0</v>
      </c>
      <c r="AW871" s="53" t="n">
        <v>0</v>
      </c>
      <c r="AX871" s="53" t="n">
        <v>0</v>
      </c>
      <c r="AY871" s="52" t="n">
        <v>0</v>
      </c>
      <c r="AZ871" s="52" t="n">
        <v>0</v>
      </c>
      <c r="BA871" s="52" t="n">
        <v>0</v>
      </c>
      <c r="BB871" s="52" t="n">
        <v>0</v>
      </c>
      <c r="BC871" s="51" t="n">
        <v>0</v>
      </c>
      <c r="BD871" s="51" t="n">
        <v>0</v>
      </c>
      <c r="BE871" s="51" t="n">
        <v>0</v>
      </c>
      <c r="BF871" s="51" t="n">
        <v>0</v>
      </c>
    </row>
    <row r="872">
      <c r="A872">
        <f>HYPERLINK("https://www.walmart.com/ip/970092222", "970092222")</f>
        <v/>
      </c>
      <c r="B872" t="inlineStr">
        <is>
          <t>Flyingstar Wearable Blanket with Sleeves and Pocket, Fleece Micro Plush Throws Blanket, Robe for Women and Men 73” x 51” Purple</t>
        </is>
      </c>
      <c r="C872" t="inlineStr">
        <is>
          <t>1WMSN100PP</t>
        </is>
      </c>
      <c r="D872" t="inlineStr">
        <is>
          <t>Throws</t>
        </is>
      </c>
      <c r="E872" t="inlineStr">
        <is>
          <t>Flyingstar</t>
        </is>
      </c>
      <c r="F872" t="inlineStr">
        <is>
          <t>Batch 1 - TR</t>
        </is>
      </c>
      <c r="G872" s="48" t="n">
        <v>0</v>
      </c>
      <c r="H872" s="48" t="n">
        <v>0</v>
      </c>
      <c r="I872" s="48" t="n">
        <v>0</v>
      </c>
      <c r="J872" s="48" t="n">
        <v>0</v>
      </c>
      <c r="K872" s="49" t="n">
        <v>0</v>
      </c>
      <c r="L872" s="49" t="n">
        <v>0</v>
      </c>
      <c r="M872" s="49" t="n">
        <v>0</v>
      </c>
      <c r="N872" s="49" t="n">
        <v>0</v>
      </c>
      <c r="O872" s="49" t="n">
        <v>0</v>
      </c>
      <c r="P872" s="49" t="n">
        <v>0</v>
      </c>
      <c r="Q872" s="49" t="n">
        <v>0</v>
      </c>
      <c r="R872" s="49" t="n">
        <v>0</v>
      </c>
      <c r="S872" s="50" t="n">
        <v>0</v>
      </c>
      <c r="T872" s="50" t="n">
        <v>0</v>
      </c>
      <c r="U872" s="50" t="n">
        <v>0</v>
      </c>
      <c r="V872" s="50" t="n">
        <v>0</v>
      </c>
      <c r="W872" s="51" t="n">
        <v>0</v>
      </c>
      <c r="X872" s="51" t="n">
        <v>0</v>
      </c>
      <c r="Y872" s="51" t="n">
        <v>0</v>
      </c>
      <c r="Z872" s="51" t="n">
        <v>0</v>
      </c>
      <c r="AA872" s="52" t="n">
        <v>0</v>
      </c>
      <c r="AB872" s="52" t="n">
        <v>0</v>
      </c>
      <c r="AC872" s="52" t="n">
        <v>0</v>
      </c>
      <c r="AD872" s="52" t="n">
        <v>0</v>
      </c>
      <c r="AE872" s="52" t="n">
        <v>0</v>
      </c>
      <c r="AF872" s="52" t="n">
        <v>0</v>
      </c>
      <c r="AG872" s="52" t="n">
        <v>0</v>
      </c>
      <c r="AH872" s="52" t="n">
        <v>0</v>
      </c>
      <c r="AI872" s="52" t="n">
        <v>0</v>
      </c>
      <c r="AJ872" s="52" t="n">
        <v>0</v>
      </c>
      <c r="AK872" s="52" t="n">
        <v>0</v>
      </c>
      <c r="AL872" s="52" t="n">
        <v>0</v>
      </c>
      <c r="AM872" s="53" t="n">
        <v>0</v>
      </c>
      <c r="AN872" s="53" t="n">
        <v>0</v>
      </c>
      <c r="AO872" s="53" t="n">
        <v>0</v>
      </c>
      <c r="AP872" s="53" t="n">
        <v>0</v>
      </c>
      <c r="AQ872" s="52" t="n">
        <v>0</v>
      </c>
      <c r="AR872" s="52" t="n">
        <v>0</v>
      </c>
      <c r="AS872" s="52" t="n">
        <v>0</v>
      </c>
      <c r="AT872" s="52" t="n">
        <v>0</v>
      </c>
      <c r="AU872" s="53" t="n">
        <v>0</v>
      </c>
      <c r="AV872" s="53" t="n">
        <v>0</v>
      </c>
      <c r="AW872" s="53" t="n">
        <v>0</v>
      </c>
      <c r="AX872" s="53" t="n">
        <v>0</v>
      </c>
      <c r="AY872" s="52" t="n">
        <v>0</v>
      </c>
      <c r="AZ872" s="52" t="n">
        <v>0</v>
      </c>
      <c r="BA872" s="52" t="n">
        <v>0</v>
      </c>
      <c r="BB872" s="52" t="n">
        <v>0</v>
      </c>
      <c r="BC872" s="51" t="n">
        <v>0</v>
      </c>
      <c r="BD872" s="51" t="n">
        <v>0</v>
      </c>
      <c r="BE872" s="51" t="n">
        <v>0</v>
      </c>
      <c r="BF872" s="51" t="n">
        <v>0</v>
      </c>
    </row>
    <row r="873">
      <c r="A873">
        <f>HYPERLINK("https://www.walmart.com/ip/962141161", "962141161")</f>
        <v/>
      </c>
      <c r="B873" t="inlineStr">
        <is>
          <t>Catalonia Fleece Wearable Blanket Poncho Cape for Adult Women and Men, Wrap Blanket Cape with Pocket, Warm, Soft, Cozy, Snuggly, Comfort Gift, No Sleeves, All-Season, Cow</t>
        </is>
      </c>
      <c r="C873" t="inlineStr">
        <is>
          <t>1CTBP100DMT</t>
        </is>
      </c>
      <c r="D873" t="inlineStr">
        <is>
          <t>Throws</t>
        </is>
      </c>
      <c r="E873" t="inlineStr">
        <is>
          <t>Catalonia</t>
        </is>
      </c>
      <c r="F873" t="inlineStr">
        <is>
          <t>Hero 5 Holidays,WFS,WFS Item</t>
        </is>
      </c>
      <c r="G873" s="48" t="n">
        <v>0</v>
      </c>
      <c r="H873" s="48" t="n">
        <v>0</v>
      </c>
      <c r="I873" s="48" t="n">
        <v>0</v>
      </c>
      <c r="J873" s="48" t="n">
        <v>0</v>
      </c>
      <c r="K873" s="49" t="n">
        <v>0</v>
      </c>
      <c r="L873" s="49" t="n">
        <v>0</v>
      </c>
      <c r="M873" s="49" t="n">
        <v>0</v>
      </c>
      <c r="N873" s="49" t="n">
        <v>0</v>
      </c>
      <c r="O873" s="49" t="n">
        <v>0</v>
      </c>
      <c r="P873" s="49" t="n">
        <v>0</v>
      </c>
      <c r="Q873" s="49" t="n">
        <v>0</v>
      </c>
      <c r="R873" s="49" t="n">
        <v>0</v>
      </c>
      <c r="S873" s="50" t="n">
        <v>0</v>
      </c>
      <c r="T873" s="50" t="n">
        <v>0</v>
      </c>
      <c r="U873" s="50" t="n">
        <v>0</v>
      </c>
      <c r="V873" s="50" t="n">
        <v>0</v>
      </c>
      <c r="W873" s="51" t="n">
        <v>0</v>
      </c>
      <c r="X873" s="51" t="n">
        <v>0</v>
      </c>
      <c r="Y873" s="51" t="n">
        <v>0</v>
      </c>
      <c r="Z873" s="51" t="n">
        <v>0</v>
      </c>
      <c r="AA873" s="52" t="n">
        <v>0</v>
      </c>
      <c r="AB873" s="52" t="n">
        <v>0</v>
      </c>
      <c r="AC873" s="52" t="n">
        <v>0</v>
      </c>
      <c r="AD873" s="52" t="n">
        <v>0</v>
      </c>
      <c r="AE873" s="52" t="n">
        <v>0</v>
      </c>
      <c r="AF873" s="52" t="n">
        <v>0</v>
      </c>
      <c r="AG873" s="52" t="n">
        <v>0</v>
      </c>
      <c r="AH873" s="52" t="n">
        <v>0</v>
      </c>
      <c r="AI873" s="52" t="n">
        <v>0</v>
      </c>
      <c r="AJ873" s="52" t="n">
        <v>0</v>
      </c>
      <c r="AK873" s="52" t="n">
        <v>0</v>
      </c>
      <c r="AL873" s="52" t="n">
        <v>0</v>
      </c>
      <c r="AM873" s="53" t="n">
        <v>0</v>
      </c>
      <c r="AN873" s="53" t="n">
        <v>0</v>
      </c>
      <c r="AO873" s="53" t="n">
        <v>0</v>
      </c>
      <c r="AP873" s="53" t="n">
        <v>0</v>
      </c>
      <c r="AQ873" s="52" t="n">
        <v>0</v>
      </c>
      <c r="AR873" s="52" t="n">
        <v>0</v>
      </c>
      <c r="AS873" s="52" t="n">
        <v>0</v>
      </c>
      <c r="AT873" s="52" t="n">
        <v>0</v>
      </c>
      <c r="AU873" s="53" t="n">
        <v>0</v>
      </c>
      <c r="AV873" s="53" t="n">
        <v>0</v>
      </c>
      <c r="AW873" s="53" t="n">
        <v>0</v>
      </c>
      <c r="AX873" s="53" t="n">
        <v>0</v>
      </c>
      <c r="AY873" s="52" t="n">
        <v>0</v>
      </c>
      <c r="AZ873" s="52" t="n">
        <v>0</v>
      </c>
      <c r="BA873" s="52" t="n">
        <v>0</v>
      </c>
      <c r="BB873" s="52" t="n">
        <v>0</v>
      </c>
      <c r="BC873" s="51" t="n">
        <v>0</v>
      </c>
      <c r="BD873" s="51" t="n">
        <v>0</v>
      </c>
      <c r="BE873" s="51" t="n">
        <v>0</v>
      </c>
      <c r="BF873" s="51" t="n">
        <v>0</v>
      </c>
    </row>
    <row r="874">
      <c r="A874">
        <f>HYPERLINK("https://www.walmart.com/ip/962604921", "962604921")</f>
        <v/>
      </c>
      <c r="B874" t="inlineStr">
        <is>
          <t>Tirrinia Fuzzy Sherpa Fleece Blanket For Bed And Couch, Camel, 50" x 60"</t>
        </is>
      </c>
      <c r="C874" t="inlineStr">
        <is>
          <t>1TRBF300CA-TBCB</t>
        </is>
      </c>
      <c r="D874" t="inlineStr">
        <is>
          <t>Throws</t>
        </is>
      </c>
      <c r="E874" t="inlineStr">
        <is>
          <t>Tirrinia</t>
        </is>
      </c>
      <c r="F874" t="inlineStr">
        <is>
          <t>Optimized</t>
        </is>
      </c>
      <c r="G874" s="48" t="n">
        <v>0</v>
      </c>
      <c r="H874" s="48" t="n">
        <v>0</v>
      </c>
      <c r="I874" s="48" t="n">
        <v>0</v>
      </c>
      <c r="J874" s="48" t="n">
        <v>0</v>
      </c>
      <c r="K874" s="49" t="n">
        <v>0</v>
      </c>
      <c r="L874" s="49" t="n">
        <v>0</v>
      </c>
      <c r="M874" s="49" t="n">
        <v>0</v>
      </c>
      <c r="N874" s="49" t="n">
        <v>0</v>
      </c>
      <c r="O874" s="49" t="n">
        <v>0</v>
      </c>
      <c r="P874" s="49" t="n">
        <v>0</v>
      </c>
      <c r="Q874" s="49" t="n">
        <v>0</v>
      </c>
      <c r="R874" s="49" t="n">
        <v>0</v>
      </c>
      <c r="S874" s="50" t="n">
        <v>0</v>
      </c>
      <c r="T874" s="50" t="n">
        <v>0</v>
      </c>
      <c r="U874" s="50" t="n">
        <v>0</v>
      </c>
      <c r="V874" s="50" t="n">
        <v>0</v>
      </c>
      <c r="W874" s="51" t="n">
        <v>0</v>
      </c>
      <c r="X874" s="51" t="n">
        <v>0</v>
      </c>
      <c r="Y874" s="51" t="n">
        <v>0</v>
      </c>
      <c r="Z874" s="51" t="n">
        <v>0</v>
      </c>
      <c r="AA874" s="52" t="n">
        <v>0</v>
      </c>
      <c r="AB874" s="52" t="n">
        <v>0</v>
      </c>
      <c r="AC874" s="52" t="n">
        <v>0</v>
      </c>
      <c r="AD874" s="52" t="n">
        <v>0</v>
      </c>
      <c r="AE874" s="52" t="n">
        <v>0</v>
      </c>
      <c r="AF874" s="52" t="n">
        <v>0</v>
      </c>
      <c r="AG874" s="52" t="n">
        <v>0</v>
      </c>
      <c r="AH874" s="52" t="n">
        <v>0</v>
      </c>
      <c r="AI874" s="52" t="n">
        <v>0</v>
      </c>
      <c r="AJ874" s="52" t="n">
        <v>0</v>
      </c>
      <c r="AK874" s="52" t="n">
        <v>0</v>
      </c>
      <c r="AL874" s="52" t="n">
        <v>0</v>
      </c>
      <c r="AM874" s="53" t="n">
        <v>0</v>
      </c>
      <c r="AN874" s="53" t="n">
        <v>0</v>
      </c>
      <c r="AO874" s="53" t="n">
        <v>0</v>
      </c>
      <c r="AP874" s="53" t="n">
        <v>0</v>
      </c>
      <c r="AQ874" s="52" t="n">
        <v>0</v>
      </c>
      <c r="AR874" s="52" t="n">
        <v>0</v>
      </c>
      <c r="AS874" s="52" t="n">
        <v>0</v>
      </c>
      <c r="AT874" s="52" t="n">
        <v>0</v>
      </c>
      <c r="AU874" s="53" t="n">
        <v>0</v>
      </c>
      <c r="AV874" s="53" t="n">
        <v>0</v>
      </c>
      <c r="AW874" s="53" t="n">
        <v>0</v>
      </c>
      <c r="AX874" s="53" t="n">
        <v>0</v>
      </c>
      <c r="AY874" s="52" t="n">
        <v>0</v>
      </c>
      <c r="AZ874" s="52" t="n">
        <v>0</v>
      </c>
      <c r="BA874" s="52" t="n">
        <v>0</v>
      </c>
      <c r="BB874" s="52" t="n">
        <v>0</v>
      </c>
      <c r="BC874" s="51" t="n">
        <v>0</v>
      </c>
      <c r="BD874" s="51" t="n">
        <v>0</v>
      </c>
      <c r="BE874" s="51" t="n">
        <v>0</v>
      </c>
      <c r="BF874" s="51" t="n">
        <v>0</v>
      </c>
    </row>
    <row r="875">
      <c r="A875">
        <f>HYPERLINK("https://www.walmart.com/ip/963573839", "963573839")</f>
        <v/>
      </c>
      <c r="B875" t="inlineStr">
        <is>
          <t>Sun Hat for Men, Sun Cap with Neck Flap for Fishing, Safari, Cycling, Hiking, Garden, Backpacking, UPF50+,Tan</t>
        </is>
      </c>
      <c r="C875" t="inlineStr">
        <is>
          <t>KC-S9153-TN</t>
        </is>
      </c>
      <c r="D875" t="inlineStr">
        <is>
          <t>Hats</t>
        </is>
      </c>
      <c r="E875" t="inlineStr">
        <is>
          <t>Sun Blocker</t>
        </is>
      </c>
      <c r="F875" t="inlineStr">
        <is>
          <t>Optimized,WFS,Hats,WFS Item</t>
        </is>
      </c>
      <c r="G875" s="48" t="n">
        <v>0</v>
      </c>
      <c r="H875" s="48" t="n">
        <v>0</v>
      </c>
      <c r="I875" s="48" t="n">
        <v>0</v>
      </c>
      <c r="J875" s="48" t="n">
        <v>0</v>
      </c>
      <c r="K875" s="49" t="n">
        <v>0</v>
      </c>
      <c r="L875" s="49" t="n">
        <v>0</v>
      </c>
      <c r="M875" s="49" t="n">
        <v>0</v>
      </c>
      <c r="N875" s="49" t="n">
        <v>0</v>
      </c>
      <c r="O875" s="49" t="n">
        <v>0</v>
      </c>
      <c r="P875" s="49" t="n">
        <v>0</v>
      </c>
      <c r="Q875" s="49" t="n">
        <v>0</v>
      </c>
      <c r="R875" s="49" t="n">
        <v>0</v>
      </c>
      <c r="S875" s="50" t="n">
        <v>0</v>
      </c>
      <c r="T875" s="50" t="n">
        <v>0</v>
      </c>
      <c r="U875" s="50" t="n">
        <v>0</v>
      </c>
      <c r="V875" s="50" t="n">
        <v>0</v>
      </c>
      <c r="W875" s="51" t="n">
        <v>0</v>
      </c>
      <c r="X875" s="51" t="n">
        <v>0</v>
      </c>
      <c r="Y875" s="51" t="n">
        <v>0</v>
      </c>
      <c r="Z875" s="51" t="n">
        <v>0</v>
      </c>
      <c r="AA875" s="52" t="n">
        <v>0</v>
      </c>
      <c r="AB875" s="52" t="n">
        <v>0</v>
      </c>
      <c r="AC875" s="52" t="n">
        <v>0</v>
      </c>
      <c r="AD875" s="52" t="n">
        <v>0</v>
      </c>
      <c r="AE875" s="52" t="n">
        <v>0</v>
      </c>
      <c r="AF875" s="52" t="n">
        <v>0</v>
      </c>
      <c r="AG875" s="52" t="n">
        <v>0</v>
      </c>
      <c r="AH875" s="52" t="n">
        <v>0</v>
      </c>
      <c r="AI875" s="52" t="n">
        <v>0</v>
      </c>
      <c r="AJ875" s="52" t="n">
        <v>0</v>
      </c>
      <c r="AK875" s="52" t="n">
        <v>0</v>
      </c>
      <c r="AL875" s="52" t="n">
        <v>0</v>
      </c>
      <c r="AM875" s="53" t="n">
        <v>0</v>
      </c>
      <c r="AN875" s="53" t="n">
        <v>0</v>
      </c>
      <c r="AO875" s="53" t="n">
        <v>0</v>
      </c>
      <c r="AP875" s="53" t="n">
        <v>0</v>
      </c>
      <c r="AQ875" s="52" t="n">
        <v>0</v>
      </c>
      <c r="AR875" s="52" t="n">
        <v>0</v>
      </c>
      <c r="AS875" s="52" t="n">
        <v>0</v>
      </c>
      <c r="AT875" s="52" t="n">
        <v>0</v>
      </c>
      <c r="AU875" s="53" t="n">
        <v>0</v>
      </c>
      <c r="AV875" s="53" t="n">
        <v>0</v>
      </c>
      <c r="AW875" s="53" t="n">
        <v>0</v>
      </c>
      <c r="AX875" s="53" t="n">
        <v>0</v>
      </c>
      <c r="AY875" s="52" t="n">
        <v>0</v>
      </c>
      <c r="AZ875" s="52" t="n">
        <v>0</v>
      </c>
      <c r="BA875" s="52" t="n">
        <v>0</v>
      </c>
      <c r="BB875" s="52" t="n">
        <v>0</v>
      </c>
      <c r="BC875" s="51" t="n">
        <v>0</v>
      </c>
      <c r="BD875" s="51" t="n">
        <v>0</v>
      </c>
      <c r="BE875" s="51" t="n">
        <v>0</v>
      </c>
      <c r="BF875" s="51" t="n">
        <v>0</v>
      </c>
    </row>
    <row r="876">
      <c r="A876">
        <f>HYPERLINK("https://www.walmart.com/ip/964132730", "964132730")</f>
        <v/>
      </c>
      <c r="B876" t="inlineStr">
        <is>
          <t>Youth Reflective Knit Beanie Hat For Sports Warm</t>
        </is>
      </c>
      <c r="C876" t="inlineStr">
        <is>
          <t>1SLBN01DR-FSCB</t>
        </is>
      </c>
      <c r="D876" t="inlineStr">
        <is>
          <t>Hats</t>
        </is>
      </c>
      <c r="E876" t="inlineStr">
        <is>
          <t>Solaris</t>
        </is>
      </c>
      <c r="F876" t="inlineStr">
        <is>
          <t>Optimized</t>
        </is>
      </c>
      <c r="G876" s="48" t="n">
        <v>0</v>
      </c>
      <c r="H876" s="48" t="n">
        <v>0</v>
      </c>
      <c r="I876" s="48" t="n">
        <v>0</v>
      </c>
      <c r="J876" s="48" t="n">
        <v>0</v>
      </c>
      <c r="K876" s="49" t="n">
        <v>0</v>
      </c>
      <c r="L876" s="49" t="n">
        <v>0</v>
      </c>
      <c r="M876" s="49" t="n">
        <v>0</v>
      </c>
      <c r="N876" s="49" t="n">
        <v>0</v>
      </c>
      <c r="O876" s="49" t="n">
        <v>0</v>
      </c>
      <c r="P876" s="49" t="n">
        <v>0</v>
      </c>
      <c r="Q876" s="49" t="n">
        <v>0</v>
      </c>
      <c r="R876" s="49" t="n">
        <v>0</v>
      </c>
      <c r="S876" s="50" t="n">
        <v>0</v>
      </c>
      <c r="T876" s="50" t="n">
        <v>0</v>
      </c>
      <c r="U876" s="50" t="n">
        <v>0</v>
      </c>
      <c r="V876" s="50" t="n">
        <v>0</v>
      </c>
      <c r="W876" s="51" t="n">
        <v>0</v>
      </c>
      <c r="X876" s="51" t="n">
        <v>0</v>
      </c>
      <c r="Y876" s="51" t="n">
        <v>0</v>
      </c>
      <c r="Z876" s="51" t="n">
        <v>0</v>
      </c>
      <c r="AA876" s="52" t="n">
        <v>0</v>
      </c>
      <c r="AB876" s="52" t="n">
        <v>0</v>
      </c>
      <c r="AC876" s="52" t="n">
        <v>0</v>
      </c>
      <c r="AD876" s="52" t="n">
        <v>0</v>
      </c>
      <c r="AE876" s="52" t="n">
        <v>0</v>
      </c>
      <c r="AF876" s="52" t="n">
        <v>0</v>
      </c>
      <c r="AG876" s="52" t="n">
        <v>0</v>
      </c>
      <c r="AH876" s="52" t="n">
        <v>0</v>
      </c>
      <c r="AI876" s="52" t="n">
        <v>0</v>
      </c>
      <c r="AJ876" s="52" t="n">
        <v>0</v>
      </c>
      <c r="AK876" s="52" t="n">
        <v>0</v>
      </c>
      <c r="AL876" s="52" t="n">
        <v>0</v>
      </c>
      <c r="AM876" s="53" t="n">
        <v>0</v>
      </c>
      <c r="AN876" s="53" t="n">
        <v>0</v>
      </c>
      <c r="AO876" s="53" t="n">
        <v>0</v>
      </c>
      <c r="AP876" s="53" t="n">
        <v>0</v>
      </c>
      <c r="AQ876" s="52" t="n">
        <v>0</v>
      </c>
      <c r="AR876" s="52" t="n">
        <v>0</v>
      </c>
      <c r="AS876" s="52" t="n">
        <v>0</v>
      </c>
      <c r="AT876" s="52" t="n">
        <v>0</v>
      </c>
      <c r="AU876" s="53" t="n">
        <v>0</v>
      </c>
      <c r="AV876" s="53" t="n">
        <v>0</v>
      </c>
      <c r="AW876" s="53" t="n">
        <v>0</v>
      </c>
      <c r="AX876" s="53" t="n">
        <v>0</v>
      </c>
      <c r="AY876" s="52" t="n">
        <v>0</v>
      </c>
      <c r="AZ876" s="52" t="n">
        <v>0</v>
      </c>
      <c r="BA876" s="52" t="n">
        <v>0</v>
      </c>
      <c r="BB876" s="52" t="n">
        <v>0</v>
      </c>
      <c r="BC876" s="51" t="n">
        <v>0</v>
      </c>
      <c r="BD876" s="51" t="n">
        <v>0</v>
      </c>
      <c r="BE876" s="51" t="n">
        <v>0</v>
      </c>
      <c r="BF876" s="51" t="n">
        <v>0</v>
      </c>
    </row>
    <row r="877">
      <c r="A877">
        <f>HYPERLINK("https://www.walmart.com/ip/964410174", "964410174")</f>
        <v/>
      </c>
      <c r="B877" t="inlineStr">
        <is>
          <t>Wearable Lounging Blanket,Super Soft Warm Cozy Reversible Fuzzy,Extra Soft for Sofa Warm Blanket,Lightweight,Grey.</t>
        </is>
      </c>
      <c r="C877" t="inlineStr">
        <is>
          <t>1CTSN201GY</t>
        </is>
      </c>
      <c r="D877" t="inlineStr">
        <is>
          <t>Throws</t>
        </is>
      </c>
      <c r="E877" t="inlineStr">
        <is>
          <t>Catalonia</t>
        </is>
      </c>
      <c r="F877" t="inlineStr">
        <is>
          <t>Q2-Target,Optimized,WFS,Valentine,Coupon_Discount,WFS Item</t>
        </is>
      </c>
      <c r="G877" s="48" t="n">
        <v>0</v>
      </c>
      <c r="H877" s="48" t="n">
        <v>0</v>
      </c>
      <c r="I877" s="48" t="n">
        <v>0</v>
      </c>
      <c r="J877" s="48" t="n">
        <v>0</v>
      </c>
      <c r="K877" s="49" t="n">
        <v>0</v>
      </c>
      <c r="L877" s="49" t="n">
        <v>0</v>
      </c>
      <c r="M877" s="49" t="n">
        <v>0</v>
      </c>
      <c r="N877" s="49" t="n">
        <v>0</v>
      </c>
      <c r="O877" s="49" t="n">
        <v>0</v>
      </c>
      <c r="P877" s="49" t="n">
        <v>0</v>
      </c>
      <c r="Q877" s="49" t="n">
        <v>0</v>
      </c>
      <c r="R877" s="49" t="n">
        <v>0</v>
      </c>
      <c r="S877" s="50" t="n">
        <v>0</v>
      </c>
      <c r="T877" s="50" t="n">
        <v>0</v>
      </c>
      <c r="U877" s="50" t="n">
        <v>0</v>
      </c>
      <c r="V877" s="50" t="n">
        <v>0</v>
      </c>
      <c r="W877" s="51" t="n">
        <v>0</v>
      </c>
      <c r="X877" s="51" t="n">
        <v>0</v>
      </c>
      <c r="Y877" s="51" t="n">
        <v>0</v>
      </c>
      <c r="Z877" s="51" t="n">
        <v>0</v>
      </c>
      <c r="AA877" s="52" t="n">
        <v>0</v>
      </c>
      <c r="AB877" s="52" t="n">
        <v>0</v>
      </c>
      <c r="AC877" s="52" t="n">
        <v>0</v>
      </c>
      <c r="AD877" s="52" t="n">
        <v>0</v>
      </c>
      <c r="AE877" s="52" t="n">
        <v>0</v>
      </c>
      <c r="AF877" s="52" t="n">
        <v>0</v>
      </c>
      <c r="AG877" s="52" t="n">
        <v>0</v>
      </c>
      <c r="AH877" s="52" t="n">
        <v>0</v>
      </c>
      <c r="AI877" s="52" t="n">
        <v>0</v>
      </c>
      <c r="AJ877" s="52" t="n">
        <v>0</v>
      </c>
      <c r="AK877" s="52" t="n">
        <v>0</v>
      </c>
      <c r="AL877" s="52" t="n">
        <v>0</v>
      </c>
      <c r="AM877" s="53" t="n">
        <v>0</v>
      </c>
      <c r="AN877" s="53" t="n">
        <v>0</v>
      </c>
      <c r="AO877" s="53" t="n">
        <v>0</v>
      </c>
      <c r="AP877" s="53" t="n">
        <v>0</v>
      </c>
      <c r="AQ877" s="52" t="n">
        <v>0</v>
      </c>
      <c r="AR877" s="52" t="n">
        <v>0</v>
      </c>
      <c r="AS877" s="52" t="n">
        <v>0</v>
      </c>
      <c r="AT877" s="52" t="n">
        <v>0</v>
      </c>
      <c r="AU877" s="53" t="n">
        <v>0</v>
      </c>
      <c r="AV877" s="53" t="n">
        <v>0</v>
      </c>
      <c r="AW877" s="53" t="n">
        <v>0</v>
      </c>
      <c r="AX877" s="53" t="n">
        <v>0</v>
      </c>
      <c r="AY877" s="52" t="n">
        <v>0</v>
      </c>
      <c r="AZ877" s="52" t="n">
        <v>0</v>
      </c>
      <c r="BA877" s="52" t="n">
        <v>0</v>
      </c>
      <c r="BB877" s="52" t="n">
        <v>0</v>
      </c>
      <c r="BC877" s="51" t="n">
        <v>0</v>
      </c>
      <c r="BD877" s="51" t="n">
        <v>0</v>
      </c>
      <c r="BE877" s="51" t="n">
        <v>0</v>
      </c>
      <c r="BF877" s="51" t="n">
        <v>0</v>
      </c>
    </row>
    <row r="878">
      <c r="A878">
        <f>HYPERLINK("https://www.walmart.com/ip/965137317", "965137317")</f>
        <v/>
      </c>
      <c r="B878" t="inlineStr">
        <is>
          <t>home comforts blanket Blanket with Sleeves, Super Soft Wearable TV Blanket Robe Fleece for Adults 73 x 51”| Cozy Warm, Lightweigh</t>
        </is>
      </c>
      <c r="C878" t="inlineStr">
        <is>
          <t>1TRSN100BR-TBCB</t>
        </is>
      </c>
      <c r="D878" t="inlineStr">
        <is>
          <t>Throws</t>
        </is>
      </c>
      <c r="E878" t="inlineStr">
        <is>
          <t>Tirrinia</t>
        </is>
      </c>
      <c r="F878" t="inlineStr">
        <is>
          <t>WFS,WFS Item,Fleece Blankets</t>
        </is>
      </c>
      <c r="G878" s="48" t="n">
        <v>0</v>
      </c>
      <c r="H878" s="48" t="n">
        <v>0</v>
      </c>
      <c r="I878" s="48" t="n">
        <v>0</v>
      </c>
      <c r="J878" s="48" t="n">
        <v>0</v>
      </c>
      <c r="K878" s="49" t="n">
        <v>0</v>
      </c>
      <c r="L878" s="49" t="n">
        <v>0</v>
      </c>
      <c r="M878" s="49" t="n">
        <v>0</v>
      </c>
      <c r="N878" s="49" t="n">
        <v>0</v>
      </c>
      <c r="O878" s="49" t="n">
        <v>0</v>
      </c>
      <c r="P878" s="49" t="n">
        <v>0</v>
      </c>
      <c r="Q878" s="49" t="n">
        <v>0</v>
      </c>
      <c r="R878" s="49" t="n">
        <v>0</v>
      </c>
      <c r="S878" s="50" t="n">
        <v>0</v>
      </c>
      <c r="T878" s="50" t="n">
        <v>0</v>
      </c>
      <c r="U878" s="50" t="n">
        <v>0</v>
      </c>
      <c r="V878" s="50" t="n">
        <v>0</v>
      </c>
      <c r="W878" s="51" t="n">
        <v>0</v>
      </c>
      <c r="X878" s="51" t="n">
        <v>0</v>
      </c>
      <c r="Y878" s="51" t="n">
        <v>0</v>
      </c>
      <c r="Z878" s="51" t="n">
        <v>0</v>
      </c>
      <c r="AA878" s="52" t="n">
        <v>0</v>
      </c>
      <c r="AB878" s="52" t="n">
        <v>0</v>
      </c>
      <c r="AC878" s="52" t="n">
        <v>0</v>
      </c>
      <c r="AD878" s="52" t="n">
        <v>0</v>
      </c>
      <c r="AE878" s="52" t="n">
        <v>0</v>
      </c>
      <c r="AF878" s="52" t="n">
        <v>0</v>
      </c>
      <c r="AG878" s="52" t="n">
        <v>0</v>
      </c>
      <c r="AH878" s="52" t="n">
        <v>0</v>
      </c>
      <c r="AI878" s="52" t="n">
        <v>0</v>
      </c>
      <c r="AJ878" s="52" t="n">
        <v>0</v>
      </c>
      <c r="AK878" s="52" t="n">
        <v>0</v>
      </c>
      <c r="AL878" s="52" t="n">
        <v>0</v>
      </c>
      <c r="AM878" s="53" t="n">
        <v>0</v>
      </c>
      <c r="AN878" s="53" t="n">
        <v>0</v>
      </c>
      <c r="AO878" s="53" t="n">
        <v>0</v>
      </c>
      <c r="AP878" s="53" t="n">
        <v>0</v>
      </c>
      <c r="AQ878" s="52" t="n">
        <v>0</v>
      </c>
      <c r="AR878" s="52" t="n">
        <v>0</v>
      </c>
      <c r="AS878" s="52" t="n">
        <v>0</v>
      </c>
      <c r="AT878" s="52" t="n">
        <v>0</v>
      </c>
      <c r="AU878" s="53" t="n">
        <v>0</v>
      </c>
      <c r="AV878" s="53" t="n">
        <v>0</v>
      </c>
      <c r="AW878" s="53" t="n">
        <v>0</v>
      </c>
      <c r="AX878" s="53" t="n">
        <v>0</v>
      </c>
      <c r="AY878" s="52" t="n">
        <v>0</v>
      </c>
      <c r="AZ878" s="52" t="n">
        <v>0</v>
      </c>
      <c r="BA878" s="52" t="n">
        <v>0</v>
      </c>
      <c r="BB878" s="52" t="n">
        <v>0</v>
      </c>
      <c r="BC878" s="51" t="n">
        <v>0</v>
      </c>
      <c r="BD878" s="51" t="n">
        <v>0</v>
      </c>
      <c r="BE878" s="51" t="n">
        <v>0</v>
      </c>
      <c r="BF878" s="51" t="n">
        <v>0</v>
      </c>
    </row>
    <row r="879">
      <c r="A879">
        <f>HYPERLINK("https://www.walmart.com/ip/965226311", "965226311")</f>
        <v/>
      </c>
      <c r="B879" t="inlineStr">
        <is>
          <t>Tirrinia Super Soft Plush Sherpa Wearable Fleece Blanket Poncho for Adult, 55'' x 80'', Vanilla</t>
        </is>
      </c>
      <c r="C879" t="inlineStr">
        <is>
          <t>1TRBP110VN-TBCB</t>
        </is>
      </c>
      <c r="D879" t="inlineStr">
        <is>
          <t>Throws</t>
        </is>
      </c>
      <c r="E879" t="inlineStr">
        <is>
          <t>Tirrinia</t>
        </is>
      </c>
      <c r="F879" t="inlineStr">
        <is>
          <t>Optimized,Fleece Blankets</t>
        </is>
      </c>
      <c r="G879" s="48" t="n">
        <v>0</v>
      </c>
      <c r="H879" s="48" t="n">
        <v>0</v>
      </c>
      <c r="I879" s="48" t="n">
        <v>0</v>
      </c>
      <c r="J879" s="48" t="n">
        <v>0</v>
      </c>
      <c r="K879" s="49" t="n">
        <v>0</v>
      </c>
      <c r="L879" s="49" t="n">
        <v>0</v>
      </c>
      <c r="M879" s="49" t="n">
        <v>0</v>
      </c>
      <c r="N879" s="49" t="n">
        <v>0</v>
      </c>
      <c r="O879" s="49" t="n">
        <v>0</v>
      </c>
      <c r="P879" s="49" t="n">
        <v>0</v>
      </c>
      <c r="Q879" s="49" t="n">
        <v>0</v>
      </c>
      <c r="R879" s="49" t="n">
        <v>0</v>
      </c>
      <c r="S879" s="50" t="n">
        <v>0</v>
      </c>
      <c r="T879" s="50" t="n">
        <v>0</v>
      </c>
      <c r="U879" s="50" t="n">
        <v>0</v>
      </c>
      <c r="V879" s="50" t="n">
        <v>0</v>
      </c>
      <c r="W879" s="51" t="n">
        <v>0</v>
      </c>
      <c r="X879" s="51" t="n">
        <v>0</v>
      </c>
      <c r="Y879" s="51" t="n">
        <v>0</v>
      </c>
      <c r="Z879" s="51" t="n">
        <v>0</v>
      </c>
      <c r="AA879" s="52" t="n">
        <v>0</v>
      </c>
      <c r="AB879" s="52" t="n">
        <v>0</v>
      </c>
      <c r="AC879" s="52" t="n">
        <v>0</v>
      </c>
      <c r="AD879" s="52" t="n">
        <v>0</v>
      </c>
      <c r="AE879" s="52" t="n">
        <v>0</v>
      </c>
      <c r="AF879" s="52" t="n">
        <v>0</v>
      </c>
      <c r="AG879" s="52" t="n">
        <v>0</v>
      </c>
      <c r="AH879" s="52" t="n">
        <v>0</v>
      </c>
      <c r="AI879" s="52" t="n">
        <v>0</v>
      </c>
      <c r="AJ879" s="52" t="n">
        <v>0</v>
      </c>
      <c r="AK879" s="52" t="n">
        <v>0</v>
      </c>
      <c r="AL879" s="52" t="n">
        <v>0</v>
      </c>
      <c r="AM879" s="53" t="n">
        <v>0</v>
      </c>
      <c r="AN879" s="53" t="n">
        <v>0</v>
      </c>
      <c r="AO879" s="53" t="n">
        <v>0</v>
      </c>
      <c r="AP879" s="53" t="n">
        <v>0</v>
      </c>
      <c r="AQ879" s="52" t="n">
        <v>0</v>
      </c>
      <c r="AR879" s="52" t="n">
        <v>0</v>
      </c>
      <c r="AS879" s="52" t="n">
        <v>0</v>
      </c>
      <c r="AT879" s="52" t="n">
        <v>0</v>
      </c>
      <c r="AU879" s="53" t="n">
        <v>0</v>
      </c>
      <c r="AV879" s="53" t="n">
        <v>0</v>
      </c>
      <c r="AW879" s="53" t="n">
        <v>0</v>
      </c>
      <c r="AX879" s="53" t="n">
        <v>0</v>
      </c>
      <c r="AY879" s="52" t="n">
        <v>0</v>
      </c>
      <c r="AZ879" s="52" t="n">
        <v>0</v>
      </c>
      <c r="BA879" s="52" t="n">
        <v>0</v>
      </c>
      <c r="BB879" s="52" t="n">
        <v>0</v>
      </c>
      <c r="BC879" s="51" t="n">
        <v>0</v>
      </c>
      <c r="BD879" s="51" t="n">
        <v>0</v>
      </c>
      <c r="BE879" s="51" t="n">
        <v>0</v>
      </c>
      <c r="BF879" s="51" t="n">
        <v>0</v>
      </c>
    </row>
    <row r="880">
      <c r="A880">
        <f>HYPERLINK("https://www.walmart.com/ip/966175424", "966175424")</f>
        <v/>
      </c>
      <c r="B880" t="inlineStr">
        <is>
          <t>Flyingstar Sherpa Throws Blanket, Fleece Soft Cozy Blanket Throws for Sofa Bed 50"x60"</t>
        </is>
      </c>
      <c r="C880" t="inlineStr">
        <is>
          <t>1WMBF301GN-ESGM</t>
        </is>
      </c>
      <c r="D880" t="inlineStr">
        <is>
          <t>Throws</t>
        </is>
      </c>
      <c r="E880" t="inlineStr">
        <is>
          <t>Flyingstar</t>
        </is>
      </c>
      <c r="F880" t="inlineStr">
        <is>
          <t>Optimized</t>
        </is>
      </c>
      <c r="G880" s="48" t="n">
        <v>0</v>
      </c>
      <c r="H880" s="48" t="n">
        <v>0</v>
      </c>
      <c r="I880" s="48" t="n">
        <v>0</v>
      </c>
      <c r="J880" s="48" t="n">
        <v>0</v>
      </c>
      <c r="K880" s="49" t="n">
        <v>0</v>
      </c>
      <c r="L880" s="49" t="n">
        <v>0</v>
      </c>
      <c r="M880" s="49" t="n">
        <v>0</v>
      </c>
      <c r="N880" s="49" t="n">
        <v>0</v>
      </c>
      <c r="O880" s="49" t="n">
        <v>0</v>
      </c>
      <c r="P880" s="49" t="n">
        <v>0</v>
      </c>
      <c r="Q880" s="49" t="n">
        <v>0</v>
      </c>
      <c r="R880" s="49" t="n">
        <v>0</v>
      </c>
      <c r="S880" s="50" t="n">
        <v>0</v>
      </c>
      <c r="T880" s="50" t="n">
        <v>0</v>
      </c>
      <c r="U880" s="50" t="n">
        <v>0</v>
      </c>
      <c r="V880" s="50" t="n">
        <v>0</v>
      </c>
      <c r="W880" s="51" t="n">
        <v>0</v>
      </c>
      <c r="X880" s="51" t="n">
        <v>0</v>
      </c>
      <c r="Y880" s="51" t="n">
        <v>0</v>
      </c>
      <c r="Z880" s="51" t="n">
        <v>0</v>
      </c>
      <c r="AA880" s="52" t="n">
        <v>0</v>
      </c>
      <c r="AB880" s="52" t="n">
        <v>0</v>
      </c>
      <c r="AC880" s="52" t="n">
        <v>0</v>
      </c>
      <c r="AD880" s="52" t="n">
        <v>0</v>
      </c>
      <c r="AE880" s="52" t="n">
        <v>0</v>
      </c>
      <c r="AF880" s="52" t="n">
        <v>0</v>
      </c>
      <c r="AG880" s="52" t="n">
        <v>0</v>
      </c>
      <c r="AH880" s="52" t="n">
        <v>0</v>
      </c>
      <c r="AI880" s="52" t="n">
        <v>0</v>
      </c>
      <c r="AJ880" s="52" t="n">
        <v>0</v>
      </c>
      <c r="AK880" s="52" t="n">
        <v>0</v>
      </c>
      <c r="AL880" s="52" t="n">
        <v>0</v>
      </c>
      <c r="AM880" s="53" t="n">
        <v>0</v>
      </c>
      <c r="AN880" s="53" t="n">
        <v>0</v>
      </c>
      <c r="AO880" s="53" t="n">
        <v>0</v>
      </c>
      <c r="AP880" s="53" t="n">
        <v>0</v>
      </c>
      <c r="AQ880" s="52" t="n">
        <v>0</v>
      </c>
      <c r="AR880" s="52" t="n">
        <v>0</v>
      </c>
      <c r="AS880" s="52" t="n">
        <v>0</v>
      </c>
      <c r="AT880" s="52" t="n">
        <v>0</v>
      </c>
      <c r="AU880" s="53" t="n">
        <v>0</v>
      </c>
      <c r="AV880" s="53" t="n">
        <v>0</v>
      </c>
      <c r="AW880" s="53" t="n">
        <v>0</v>
      </c>
      <c r="AX880" s="53" t="n">
        <v>0</v>
      </c>
      <c r="AY880" s="52" t="n">
        <v>0</v>
      </c>
      <c r="AZ880" s="52" t="n">
        <v>0</v>
      </c>
      <c r="BA880" s="52" t="n">
        <v>0</v>
      </c>
      <c r="BB880" s="52" t="n">
        <v>0</v>
      </c>
      <c r="BC880" s="51" t="n">
        <v>0</v>
      </c>
      <c r="BD880" s="51" t="n">
        <v>0</v>
      </c>
      <c r="BE880" s="51" t="n">
        <v>0</v>
      </c>
      <c r="BF880" s="51" t="n">
        <v>0</v>
      </c>
    </row>
    <row r="881">
      <c r="A881">
        <f>HYPERLINK("https://www.walmart.com/ip/966954985", "966954985")</f>
        <v/>
      </c>
      <c r="B881" t="inlineStr">
        <is>
          <t>Extra Large Lunch Bag - 13L/ 22 Can, Insulated &amp; Leakproof Adult Reusable Meal Prep Bento Box Cooler Tote for Men &amp; Women with Dual Compartment By Tirrinia, Dark Blue</t>
        </is>
      </c>
      <c r="C881" t="inlineStr">
        <is>
          <t>1KTLB410DBL</t>
        </is>
      </c>
      <c r="D881" t="inlineStr">
        <is>
          <t>Reusable Lunch Bags &amp; Boxes</t>
        </is>
      </c>
      <c r="E881" t="inlineStr">
        <is>
          <t>Tirrinia</t>
        </is>
      </c>
      <c r="F881" t="inlineStr">
        <is>
          <t>Q2-Target,Brand Camp VD,Lunch Bag,WFS,Lunch Bags,SEM,WFS Item</t>
        </is>
      </c>
      <c r="G881" s="48" t="n">
        <v>0</v>
      </c>
      <c r="H881" s="48" t="n">
        <v>0</v>
      </c>
      <c r="I881" s="48" t="n">
        <v>24.1</v>
      </c>
      <c r="J881" s="48" t="n">
        <v>0</v>
      </c>
      <c r="K881" s="49" t="n">
        <v>0</v>
      </c>
      <c r="L881" s="49" t="n">
        <v>0</v>
      </c>
      <c r="M881" s="49" t="n">
        <v>1</v>
      </c>
      <c r="N881" s="49" t="n">
        <v>0</v>
      </c>
      <c r="O881" s="49" t="n">
        <v>1</v>
      </c>
      <c r="P881" s="49" t="n">
        <v>1</v>
      </c>
      <c r="Q881" s="49" t="n">
        <v>6</v>
      </c>
      <c r="R881" s="49" t="n">
        <v>4</v>
      </c>
      <c r="S881" s="50" t="n">
        <v>0</v>
      </c>
      <c r="T881" s="50" t="n">
        <v>0</v>
      </c>
      <c r="U881" s="50" t="n">
        <v>0.1666666666666667</v>
      </c>
      <c r="V881" s="50" t="n">
        <v>0</v>
      </c>
      <c r="W881" s="51" t="n">
        <v>0</v>
      </c>
      <c r="X881" s="51" t="n">
        <v>0</v>
      </c>
      <c r="Y881" s="51" t="n">
        <v>0</v>
      </c>
      <c r="Z881" s="51" t="n">
        <v>0</v>
      </c>
      <c r="AA881" s="52" t="n">
        <v>0</v>
      </c>
      <c r="AB881" s="52" t="n">
        <v>0</v>
      </c>
      <c r="AC881" s="52" t="n">
        <v>0</v>
      </c>
      <c r="AD881" s="52" t="n">
        <v>0</v>
      </c>
      <c r="AE881" s="52" t="n">
        <v>0</v>
      </c>
      <c r="AF881" s="52" t="n">
        <v>0</v>
      </c>
      <c r="AG881" s="52" t="n">
        <v>0</v>
      </c>
      <c r="AH881" s="52" t="n">
        <v>0</v>
      </c>
      <c r="AI881" s="52" t="n">
        <v>0</v>
      </c>
      <c r="AJ881" s="52" t="n">
        <v>0</v>
      </c>
      <c r="AK881" s="52" t="n">
        <v>0</v>
      </c>
      <c r="AL881" s="52" t="n">
        <v>0</v>
      </c>
      <c r="AM881" s="53" t="n">
        <v>0</v>
      </c>
      <c r="AN881" s="53" t="n">
        <v>0</v>
      </c>
      <c r="AO881" s="53" t="n">
        <v>0</v>
      </c>
      <c r="AP881" s="53" t="n">
        <v>0</v>
      </c>
      <c r="AQ881" s="52" t="n">
        <v>0</v>
      </c>
      <c r="AR881" s="52" t="n">
        <v>0</v>
      </c>
      <c r="AS881" s="52" t="n">
        <v>0</v>
      </c>
      <c r="AT881" s="52" t="n">
        <v>0</v>
      </c>
      <c r="AU881" s="53" t="n">
        <v>0</v>
      </c>
      <c r="AV881" s="53" t="n">
        <v>0</v>
      </c>
      <c r="AW881" s="53" t="n">
        <v>0</v>
      </c>
      <c r="AX881" s="53" t="n">
        <v>0</v>
      </c>
      <c r="AY881" s="52" t="n">
        <v>0</v>
      </c>
      <c r="AZ881" s="52" t="n">
        <v>0</v>
      </c>
      <c r="BA881" s="52" t="n">
        <v>24.1</v>
      </c>
      <c r="BB881" s="52" t="n">
        <v>0</v>
      </c>
      <c r="BC881" s="51" t="n">
        <v>0</v>
      </c>
      <c r="BD881" s="51" t="n">
        <v>0</v>
      </c>
      <c r="BE881" s="51" t="n">
        <v>0</v>
      </c>
      <c r="BF881" s="51" t="n">
        <v>0</v>
      </c>
    </row>
    <row r="882">
      <c r="A882">
        <f>HYPERLINK("https://www.walmart.com/ip/9673001933", "9673001933")</f>
        <v/>
      </c>
      <c r="B882" t="inlineStr">
        <is>
          <t>Tirrinia Wearable Fleece Blanket for Women and Men, Super-Soft Microplush TV Blanket, Adult Wrap, Full Body Robe for Lounge Couch, Dalmation, 73" x 51"</t>
        </is>
      </c>
      <c r="C882" t="inlineStr">
        <is>
          <t>1TRSN100WONDERCATGY</t>
        </is>
      </c>
      <c r="D882" t="inlineStr">
        <is>
          <t>Throws</t>
        </is>
      </c>
      <c r="E882" t="inlineStr">
        <is>
          <t>Tirrinia</t>
        </is>
      </c>
      <c r="G882" s="48" t="n">
        <v>0</v>
      </c>
      <c r="H882" s="48" t="n">
        <v>26.99</v>
      </c>
      <c r="I882" s="48" t="n">
        <v>0</v>
      </c>
      <c r="J882" s="48" t="n">
        <v>0</v>
      </c>
      <c r="K882" s="49" t="n">
        <v>0</v>
      </c>
      <c r="L882" s="49" t="n">
        <v>1</v>
      </c>
      <c r="M882" s="49" t="n">
        <v>0</v>
      </c>
      <c r="N882" s="49" t="n">
        <v>0</v>
      </c>
      <c r="O882" s="49" t="n">
        <v>0</v>
      </c>
      <c r="P882" s="49" t="n">
        <v>0</v>
      </c>
      <c r="Q882" s="49" t="n">
        <v>0</v>
      </c>
      <c r="R882" s="49" t="n">
        <v>0</v>
      </c>
      <c r="S882" s="50" t="n">
        <v>0</v>
      </c>
      <c r="T882" s="50" t="n">
        <v>0</v>
      </c>
      <c r="U882" s="50" t="n">
        <v>0</v>
      </c>
      <c r="V882" s="50" t="n">
        <v>0</v>
      </c>
      <c r="W882" s="51" t="n">
        <v>0</v>
      </c>
      <c r="X882" s="51" t="n">
        <v>0</v>
      </c>
      <c r="Y882" s="51" t="n">
        <v>0</v>
      </c>
      <c r="Z882" s="51" t="n">
        <v>0</v>
      </c>
      <c r="AA882" s="52" t="n">
        <v>0</v>
      </c>
      <c r="AB882" s="52" t="n">
        <v>0</v>
      </c>
      <c r="AC882" s="52" t="n">
        <v>0</v>
      </c>
      <c r="AD882" s="52" t="n">
        <v>0</v>
      </c>
      <c r="AE882" s="52" t="n">
        <v>0</v>
      </c>
      <c r="AF882" s="52" t="n">
        <v>0</v>
      </c>
      <c r="AG882" s="52" t="n">
        <v>0</v>
      </c>
      <c r="AH882" s="52" t="n">
        <v>0</v>
      </c>
      <c r="AI882" s="52" t="n">
        <v>0</v>
      </c>
      <c r="AJ882" s="52" t="n">
        <v>0</v>
      </c>
      <c r="AK882" s="52" t="n">
        <v>0</v>
      </c>
      <c r="AL882" s="52" t="n">
        <v>0</v>
      </c>
      <c r="AM882" s="53" t="n">
        <v>0</v>
      </c>
      <c r="AN882" s="53" t="n">
        <v>0</v>
      </c>
      <c r="AO882" s="53" t="n">
        <v>0</v>
      </c>
      <c r="AP882" s="53" t="n">
        <v>0</v>
      </c>
      <c r="AQ882" s="52" t="n">
        <v>0</v>
      </c>
      <c r="AR882" s="52" t="n">
        <v>0</v>
      </c>
      <c r="AS882" s="52" t="n">
        <v>0</v>
      </c>
      <c r="AT882" s="52" t="n">
        <v>0</v>
      </c>
      <c r="AU882" s="53" t="n">
        <v>0</v>
      </c>
      <c r="AV882" s="53" t="n">
        <v>0</v>
      </c>
      <c r="AW882" s="53" t="n">
        <v>0</v>
      </c>
      <c r="AX882" s="53" t="n">
        <v>0</v>
      </c>
      <c r="AY882" s="52" t="n">
        <v>0</v>
      </c>
      <c r="AZ882" s="52" t="n">
        <v>26.99</v>
      </c>
      <c r="BA882" s="52" t="n">
        <v>0</v>
      </c>
      <c r="BB882" s="52" t="n">
        <v>0</v>
      </c>
      <c r="BC882" s="51" t="n">
        <v>0</v>
      </c>
      <c r="BD882" s="51" t="n">
        <v>0</v>
      </c>
      <c r="BE882" s="51" t="n">
        <v>0</v>
      </c>
      <c r="BF882" s="51" t="n">
        <v>0</v>
      </c>
    </row>
    <row r="883">
      <c r="A883">
        <f>HYPERLINK("https://www.walmart.com/ip/9673001935", "9673001935")</f>
        <v/>
      </c>
      <c r="B883" t="inlineStr">
        <is>
          <t>Tirrinia Wearable Fleece Blanket for Women and Men, Super-Soft Microplush TV Blanket, Adult Wrap, Full Body Robe for Lounge Couch, Dalmation, 73" x 51"</t>
        </is>
      </c>
      <c r="C883" t="inlineStr">
        <is>
          <t>1TRSN100TPHORSE</t>
        </is>
      </c>
      <c r="D883" t="inlineStr">
        <is>
          <t>Throws</t>
        </is>
      </c>
      <c r="E883" t="inlineStr">
        <is>
          <t>Tirrinia</t>
        </is>
      </c>
      <c r="G883" s="48" t="n">
        <v>0</v>
      </c>
      <c r="H883" s="48" t="n">
        <v>0</v>
      </c>
      <c r="I883" s="48" t="n">
        <v>0</v>
      </c>
      <c r="J883" s="48" t="n">
        <v>0</v>
      </c>
      <c r="K883" s="49" t="n">
        <v>0</v>
      </c>
      <c r="L883" s="49" t="n">
        <v>0</v>
      </c>
      <c r="M883" s="49" t="n">
        <v>0</v>
      </c>
      <c r="N883" s="49" t="n">
        <v>0</v>
      </c>
      <c r="O883" s="49" t="n">
        <v>0</v>
      </c>
      <c r="P883" s="49" t="n">
        <v>0</v>
      </c>
      <c r="Q883" s="49" t="n">
        <v>0</v>
      </c>
      <c r="R883" s="49" t="n">
        <v>0</v>
      </c>
      <c r="S883" s="50" t="n">
        <v>0</v>
      </c>
      <c r="T883" s="50" t="n">
        <v>0</v>
      </c>
      <c r="U883" s="50" t="n">
        <v>0</v>
      </c>
      <c r="V883" s="50" t="n">
        <v>0</v>
      </c>
      <c r="W883" s="51" t="n">
        <v>0</v>
      </c>
      <c r="X883" s="51" t="n">
        <v>0</v>
      </c>
      <c r="Y883" s="51" t="n">
        <v>0</v>
      </c>
      <c r="Z883" s="51" t="n">
        <v>0</v>
      </c>
      <c r="AA883" s="52" t="n">
        <v>0</v>
      </c>
      <c r="AB883" s="52" t="n">
        <v>0</v>
      </c>
      <c r="AC883" s="52" t="n">
        <v>0</v>
      </c>
      <c r="AD883" s="52" t="n">
        <v>0</v>
      </c>
      <c r="AE883" s="52" t="n">
        <v>0</v>
      </c>
      <c r="AF883" s="52" t="n">
        <v>0</v>
      </c>
      <c r="AG883" s="52" t="n">
        <v>0</v>
      </c>
      <c r="AH883" s="52" t="n">
        <v>0</v>
      </c>
      <c r="AI883" s="52" t="n">
        <v>0</v>
      </c>
      <c r="AJ883" s="52" t="n">
        <v>0</v>
      </c>
      <c r="AK883" s="52" t="n">
        <v>0</v>
      </c>
      <c r="AL883" s="52" t="n">
        <v>0</v>
      </c>
      <c r="AM883" s="53" t="n">
        <v>0</v>
      </c>
      <c r="AN883" s="53" t="n">
        <v>0</v>
      </c>
      <c r="AO883" s="53" t="n">
        <v>0</v>
      </c>
      <c r="AP883" s="53" t="n">
        <v>0</v>
      </c>
      <c r="AQ883" s="52" t="n">
        <v>0</v>
      </c>
      <c r="AR883" s="52" t="n">
        <v>0</v>
      </c>
      <c r="AS883" s="52" t="n">
        <v>0</v>
      </c>
      <c r="AT883" s="52" t="n">
        <v>0</v>
      </c>
      <c r="AU883" s="53" t="n">
        <v>0</v>
      </c>
      <c r="AV883" s="53" t="n">
        <v>0</v>
      </c>
      <c r="AW883" s="53" t="n">
        <v>0</v>
      </c>
      <c r="AX883" s="53" t="n">
        <v>0</v>
      </c>
      <c r="AY883" s="52" t="n">
        <v>0</v>
      </c>
      <c r="AZ883" s="52" t="n">
        <v>0</v>
      </c>
      <c r="BA883" s="52" t="n">
        <v>0</v>
      </c>
      <c r="BB883" s="52" t="n">
        <v>0</v>
      </c>
      <c r="BC883" s="51" t="n">
        <v>0</v>
      </c>
      <c r="BD883" s="51" t="n">
        <v>0</v>
      </c>
      <c r="BE883" s="51" t="n">
        <v>0</v>
      </c>
      <c r="BF883" s="51" t="n">
        <v>0</v>
      </c>
    </row>
    <row r="884">
      <c r="A884">
        <f>HYPERLINK("https://www.walmart.com/ip/967766683", "967766683")</f>
        <v/>
      </c>
      <c r="B884" t="inlineStr">
        <is>
          <t>1TRPB100-GY</t>
        </is>
      </c>
      <c r="C884" t="inlineStr">
        <is>
          <t>1TRPB100-GY</t>
        </is>
      </c>
      <c r="D884" t="inlineStr">
        <is>
          <t>Picnic Baskets &amp; Bags</t>
        </is>
      </c>
      <c r="E884" t="inlineStr">
        <is>
          <t>Tirrinia</t>
        </is>
      </c>
      <c r="F884" t="inlineStr">
        <is>
          <t>Optimized</t>
        </is>
      </c>
      <c r="G884" s="48" t="n">
        <v>0</v>
      </c>
      <c r="H884" s="48" t="n">
        <v>0</v>
      </c>
      <c r="I884" s="48" t="n">
        <v>0</v>
      </c>
      <c r="J884" s="48" t="n">
        <v>0</v>
      </c>
      <c r="K884" s="49" t="n">
        <v>0</v>
      </c>
      <c r="L884" s="49" t="n">
        <v>0</v>
      </c>
      <c r="M884" s="49" t="n">
        <v>0</v>
      </c>
      <c r="N884" s="49" t="n">
        <v>0</v>
      </c>
      <c r="O884" s="49" t="n">
        <v>0</v>
      </c>
      <c r="P884" s="49" t="n">
        <v>0</v>
      </c>
      <c r="Q884" s="49" t="n">
        <v>0</v>
      </c>
      <c r="R884" s="49" t="n">
        <v>0</v>
      </c>
      <c r="S884" s="50" t="n">
        <v>0</v>
      </c>
      <c r="T884" s="50" t="n">
        <v>0</v>
      </c>
      <c r="U884" s="50" t="n">
        <v>0</v>
      </c>
      <c r="V884" s="50" t="n">
        <v>0</v>
      </c>
      <c r="W884" s="51" t="n">
        <v>0</v>
      </c>
      <c r="X884" s="51" t="n">
        <v>0</v>
      </c>
      <c r="Y884" s="51" t="n">
        <v>0</v>
      </c>
      <c r="Z884" s="51" t="n">
        <v>0</v>
      </c>
      <c r="AA884" s="52" t="n">
        <v>0</v>
      </c>
      <c r="AB884" s="52" t="n">
        <v>0</v>
      </c>
      <c r="AC884" s="52" t="n">
        <v>0</v>
      </c>
      <c r="AD884" s="52" t="n">
        <v>0</v>
      </c>
      <c r="AE884" s="52" t="n">
        <v>0</v>
      </c>
      <c r="AF884" s="52" t="n">
        <v>0</v>
      </c>
      <c r="AG884" s="52" t="n">
        <v>0</v>
      </c>
      <c r="AH884" s="52" t="n">
        <v>0</v>
      </c>
      <c r="AI884" s="52" t="n">
        <v>0</v>
      </c>
      <c r="AJ884" s="52" t="n">
        <v>0</v>
      </c>
      <c r="AK884" s="52" t="n">
        <v>0</v>
      </c>
      <c r="AL884" s="52" t="n">
        <v>0</v>
      </c>
      <c r="AM884" s="53" t="n">
        <v>0</v>
      </c>
      <c r="AN884" s="53" t="n">
        <v>0</v>
      </c>
      <c r="AO884" s="53" t="n">
        <v>0</v>
      </c>
      <c r="AP884" s="53" t="n">
        <v>0</v>
      </c>
      <c r="AQ884" s="52" t="n">
        <v>0</v>
      </c>
      <c r="AR884" s="52" t="n">
        <v>0</v>
      </c>
      <c r="AS884" s="52" t="n">
        <v>0</v>
      </c>
      <c r="AT884" s="52" t="n">
        <v>0</v>
      </c>
      <c r="AU884" s="53" t="n">
        <v>0</v>
      </c>
      <c r="AV884" s="53" t="n">
        <v>0</v>
      </c>
      <c r="AW884" s="53" t="n">
        <v>0</v>
      </c>
      <c r="AX884" s="53" t="n">
        <v>0</v>
      </c>
      <c r="AY884" s="52" t="n">
        <v>0</v>
      </c>
      <c r="AZ884" s="52" t="n">
        <v>0</v>
      </c>
      <c r="BA884" s="52" t="n">
        <v>0</v>
      </c>
      <c r="BB884" s="52" t="n">
        <v>0</v>
      </c>
      <c r="BC884" s="51" t="n">
        <v>0</v>
      </c>
      <c r="BD884" s="51" t="n">
        <v>0</v>
      </c>
      <c r="BE884" s="51" t="n">
        <v>0</v>
      </c>
      <c r="BF884" s="51" t="n">
        <v>0</v>
      </c>
    </row>
    <row r="885">
      <c r="A885">
        <f>HYPERLINK("https://www.walmart.com/ip/968336375", "968336375")</f>
        <v/>
      </c>
      <c r="B885" t="inlineStr">
        <is>
          <t>Catalonia Coral Fleece Throw Blanket for Couch, All Seasons Lightweight Soft Cozy Throws for Home Living Room Decoration, 50'' x 60'', Pink</t>
        </is>
      </c>
      <c r="C885" t="inlineStr">
        <is>
          <t>1CTBF577PK</t>
        </is>
      </c>
      <c r="D885" t="inlineStr">
        <is>
          <t>Throws</t>
        </is>
      </c>
      <c r="E885" t="inlineStr">
        <is>
          <t>Catalonia</t>
        </is>
      </c>
      <c r="F885" t="inlineStr">
        <is>
          <t>Q2-Target,WFS,Coupon_Discount,cost-added,WFS Item</t>
        </is>
      </c>
      <c r="G885" s="48" t="n">
        <v>0</v>
      </c>
      <c r="H885" s="48" t="n">
        <v>0</v>
      </c>
      <c r="I885" s="48" t="n">
        <v>0</v>
      </c>
      <c r="J885" s="48" t="n">
        <v>0</v>
      </c>
      <c r="K885" s="49" t="n">
        <v>0</v>
      </c>
      <c r="L885" s="49" t="n">
        <v>0</v>
      </c>
      <c r="M885" s="49" t="n">
        <v>0</v>
      </c>
      <c r="N885" s="49" t="n">
        <v>0</v>
      </c>
      <c r="O885" s="49" t="n">
        <v>0</v>
      </c>
      <c r="P885" s="49" t="n">
        <v>0</v>
      </c>
      <c r="Q885" s="49" t="n">
        <v>0</v>
      </c>
      <c r="R885" s="49" t="n">
        <v>0</v>
      </c>
      <c r="S885" s="50" t="n">
        <v>0</v>
      </c>
      <c r="T885" s="50" t="n">
        <v>0</v>
      </c>
      <c r="U885" s="50" t="n">
        <v>0</v>
      </c>
      <c r="V885" s="50" t="n">
        <v>0</v>
      </c>
      <c r="W885" s="51" t="n">
        <v>0</v>
      </c>
      <c r="X885" s="51" t="n">
        <v>0</v>
      </c>
      <c r="Y885" s="51" t="n">
        <v>0</v>
      </c>
      <c r="Z885" s="51" t="n">
        <v>0</v>
      </c>
      <c r="AA885" s="52" t="n">
        <v>0</v>
      </c>
      <c r="AB885" s="52" t="n">
        <v>0</v>
      </c>
      <c r="AC885" s="52" t="n">
        <v>0</v>
      </c>
      <c r="AD885" s="52" t="n">
        <v>0</v>
      </c>
      <c r="AE885" s="52" t="n">
        <v>0</v>
      </c>
      <c r="AF885" s="52" t="n">
        <v>0</v>
      </c>
      <c r="AG885" s="52" t="n">
        <v>0</v>
      </c>
      <c r="AH885" s="52" t="n">
        <v>0</v>
      </c>
      <c r="AI885" s="52" t="n">
        <v>0</v>
      </c>
      <c r="AJ885" s="52" t="n">
        <v>0</v>
      </c>
      <c r="AK885" s="52" t="n">
        <v>0</v>
      </c>
      <c r="AL885" s="52" t="n">
        <v>0</v>
      </c>
      <c r="AM885" s="53" t="n">
        <v>0</v>
      </c>
      <c r="AN885" s="53" t="n">
        <v>0</v>
      </c>
      <c r="AO885" s="53" t="n">
        <v>0</v>
      </c>
      <c r="AP885" s="53" t="n">
        <v>0</v>
      </c>
      <c r="AQ885" s="52" t="n">
        <v>0</v>
      </c>
      <c r="AR885" s="52" t="n">
        <v>0</v>
      </c>
      <c r="AS885" s="52" t="n">
        <v>0</v>
      </c>
      <c r="AT885" s="52" t="n">
        <v>0</v>
      </c>
      <c r="AU885" s="53" t="n">
        <v>0</v>
      </c>
      <c r="AV885" s="53" t="n">
        <v>0</v>
      </c>
      <c r="AW885" s="53" t="n">
        <v>0</v>
      </c>
      <c r="AX885" s="53" t="n">
        <v>0</v>
      </c>
      <c r="AY885" s="52" t="n">
        <v>0</v>
      </c>
      <c r="AZ885" s="52" t="n">
        <v>0</v>
      </c>
      <c r="BA885" s="52" t="n">
        <v>0</v>
      </c>
      <c r="BB885" s="52" t="n">
        <v>0</v>
      </c>
      <c r="BC885" s="51" t="n">
        <v>0</v>
      </c>
      <c r="BD885" s="51" t="n">
        <v>0</v>
      </c>
      <c r="BE885" s="51" t="n">
        <v>0</v>
      </c>
      <c r="BF885" s="51" t="n">
        <v>0</v>
      </c>
    </row>
    <row r="886">
      <c r="A886">
        <f>HYPERLINK("https://www.walmart.com/ip/969165683", "969165683")</f>
        <v/>
      </c>
      <c r="B886" t="inlineStr">
        <is>
          <t>Tirrinia Insulated 2 Bottle Wine Carrier Tote Cooler Bag for Travel Picnic Padded Champagne Glass Carrying Case</t>
        </is>
      </c>
      <c r="C886" t="inlineStr">
        <is>
          <t>1WMWB221DBL</t>
        </is>
      </c>
      <c r="D886" t="inlineStr">
        <is>
          <t>Wine Totes, Bags &amp; Backpacks</t>
        </is>
      </c>
      <c r="E886" t="inlineStr">
        <is>
          <t>Flyingstar</t>
        </is>
      </c>
      <c r="F886" t="inlineStr">
        <is>
          <t>Wine,Christmas,Valentine</t>
        </is>
      </c>
      <c r="G886" s="48" t="n">
        <v>0</v>
      </c>
      <c r="H886" s="48" t="n">
        <v>0</v>
      </c>
      <c r="I886" s="48" t="n">
        <v>0</v>
      </c>
      <c r="J886" s="48" t="n">
        <v>0</v>
      </c>
      <c r="K886" s="49" t="n">
        <v>0</v>
      </c>
      <c r="L886" s="49" t="n">
        <v>0</v>
      </c>
      <c r="M886" s="49" t="n">
        <v>0</v>
      </c>
      <c r="N886" s="49" t="n">
        <v>0</v>
      </c>
      <c r="O886" s="49" t="n">
        <v>0</v>
      </c>
      <c r="P886" s="49" t="n">
        <v>0</v>
      </c>
      <c r="Q886" s="49" t="n">
        <v>0</v>
      </c>
      <c r="R886" s="49" t="n">
        <v>0</v>
      </c>
      <c r="S886" s="50" t="n">
        <v>0</v>
      </c>
      <c r="T886" s="50" t="n">
        <v>0</v>
      </c>
      <c r="U886" s="50" t="n">
        <v>0</v>
      </c>
      <c r="V886" s="50" t="n">
        <v>0</v>
      </c>
      <c r="W886" s="51" t="n">
        <v>0</v>
      </c>
      <c r="X886" s="51" t="n">
        <v>0</v>
      </c>
      <c r="Y886" s="51" t="n">
        <v>0</v>
      </c>
      <c r="Z886" s="51" t="n">
        <v>0</v>
      </c>
      <c r="AA886" s="52" t="n">
        <v>0</v>
      </c>
      <c r="AB886" s="52" t="n">
        <v>0</v>
      </c>
      <c r="AC886" s="52" t="n">
        <v>0</v>
      </c>
      <c r="AD886" s="52" t="n">
        <v>0</v>
      </c>
      <c r="AE886" s="52" t="n">
        <v>0</v>
      </c>
      <c r="AF886" s="52" t="n">
        <v>0</v>
      </c>
      <c r="AG886" s="52" t="n">
        <v>0</v>
      </c>
      <c r="AH886" s="52" t="n">
        <v>0</v>
      </c>
      <c r="AI886" s="52" t="n">
        <v>0</v>
      </c>
      <c r="AJ886" s="52" t="n">
        <v>0</v>
      </c>
      <c r="AK886" s="52" t="n">
        <v>0</v>
      </c>
      <c r="AL886" s="52" t="n">
        <v>0</v>
      </c>
      <c r="AM886" s="53" t="n">
        <v>0</v>
      </c>
      <c r="AN886" s="53" t="n">
        <v>0</v>
      </c>
      <c r="AO886" s="53" t="n">
        <v>0</v>
      </c>
      <c r="AP886" s="53" t="n">
        <v>0</v>
      </c>
      <c r="AQ886" s="52" t="n">
        <v>0</v>
      </c>
      <c r="AR886" s="52" t="n">
        <v>0</v>
      </c>
      <c r="AS886" s="52" t="n">
        <v>0</v>
      </c>
      <c r="AT886" s="52" t="n">
        <v>0</v>
      </c>
      <c r="AU886" s="53" t="n">
        <v>0</v>
      </c>
      <c r="AV886" s="53" t="n">
        <v>0</v>
      </c>
      <c r="AW886" s="53" t="n">
        <v>0</v>
      </c>
      <c r="AX886" s="53" t="n">
        <v>0</v>
      </c>
      <c r="AY886" s="52" t="n">
        <v>0</v>
      </c>
      <c r="AZ886" s="52" t="n">
        <v>0</v>
      </c>
      <c r="BA886" s="52" t="n">
        <v>0</v>
      </c>
      <c r="BB886" s="52" t="n">
        <v>0</v>
      </c>
      <c r="BC886" s="51" t="n">
        <v>0</v>
      </c>
      <c r="BD886" s="51" t="n">
        <v>0</v>
      </c>
      <c r="BE886" s="51" t="n">
        <v>0</v>
      </c>
      <c r="BF886" s="51" t="n">
        <v>0</v>
      </c>
    </row>
    <row r="887">
      <c r="A887">
        <f>HYPERLINK("https://www.walmart.com/ip/969996874", "969996874")</f>
        <v/>
      </c>
      <c r="B887" t="inlineStr">
        <is>
          <t>Sherpa Throw Blanket, Super Soft Fleece Plush Sofa Couch Blanket, TV Bed Blanket, Comfy Cozy Fluffy Warm, Christmas Theme Throws, Holiday Gift, Red, 50" X 60".</t>
        </is>
      </c>
      <c r="C887" t="inlineStr">
        <is>
          <t>1CTBF570RDBK</t>
        </is>
      </c>
      <c r="D887" t="inlineStr">
        <is>
          <t>Throws</t>
        </is>
      </c>
      <c r="E887" t="inlineStr">
        <is>
          <t>Catalonia</t>
        </is>
      </c>
      <c r="F887" t="inlineStr">
        <is>
          <t>Q2-Target,WFS,Coupon_Discount,WFS Item</t>
        </is>
      </c>
      <c r="G887" s="48" t="n">
        <v>0</v>
      </c>
      <c r="H887" s="48" t="n">
        <v>0</v>
      </c>
      <c r="I887" s="48" t="n">
        <v>0</v>
      </c>
      <c r="J887" s="48" t="n">
        <v>0</v>
      </c>
      <c r="K887" s="49" t="n">
        <v>0</v>
      </c>
      <c r="L887" s="49" t="n">
        <v>0</v>
      </c>
      <c r="M887" s="49" t="n">
        <v>0</v>
      </c>
      <c r="N887" s="49" t="n">
        <v>0</v>
      </c>
      <c r="O887" s="49" t="n">
        <v>0</v>
      </c>
      <c r="P887" s="49" t="n">
        <v>0</v>
      </c>
      <c r="Q887" s="49" t="n">
        <v>0</v>
      </c>
      <c r="R887" s="49" t="n">
        <v>0</v>
      </c>
      <c r="S887" s="50" t="n">
        <v>0</v>
      </c>
      <c r="T887" s="50" t="n">
        <v>0</v>
      </c>
      <c r="U887" s="50" t="n">
        <v>0</v>
      </c>
      <c r="V887" s="50" t="n">
        <v>0</v>
      </c>
      <c r="W887" s="51" t="n">
        <v>0</v>
      </c>
      <c r="X887" s="51" t="n">
        <v>0</v>
      </c>
      <c r="Y887" s="51" t="n">
        <v>0</v>
      </c>
      <c r="Z887" s="51" t="n">
        <v>0</v>
      </c>
      <c r="AA887" s="52" t="n">
        <v>0</v>
      </c>
      <c r="AB887" s="52" t="n">
        <v>0</v>
      </c>
      <c r="AC887" s="52" t="n">
        <v>0</v>
      </c>
      <c r="AD887" s="52" t="n">
        <v>0</v>
      </c>
      <c r="AE887" s="52" t="n">
        <v>0</v>
      </c>
      <c r="AF887" s="52" t="n">
        <v>0</v>
      </c>
      <c r="AG887" s="52" t="n">
        <v>0</v>
      </c>
      <c r="AH887" s="52" t="n">
        <v>0</v>
      </c>
      <c r="AI887" s="52" t="n">
        <v>0</v>
      </c>
      <c r="AJ887" s="52" t="n">
        <v>0</v>
      </c>
      <c r="AK887" s="52" t="n">
        <v>0</v>
      </c>
      <c r="AL887" s="52" t="n">
        <v>0</v>
      </c>
      <c r="AM887" s="53" t="n">
        <v>0</v>
      </c>
      <c r="AN887" s="53" t="n">
        <v>0</v>
      </c>
      <c r="AO887" s="53" t="n">
        <v>0</v>
      </c>
      <c r="AP887" s="53" t="n">
        <v>0</v>
      </c>
      <c r="AQ887" s="52" t="n">
        <v>0</v>
      </c>
      <c r="AR887" s="52" t="n">
        <v>0</v>
      </c>
      <c r="AS887" s="52" t="n">
        <v>0</v>
      </c>
      <c r="AT887" s="52" t="n">
        <v>0</v>
      </c>
      <c r="AU887" s="53" t="n">
        <v>0</v>
      </c>
      <c r="AV887" s="53" t="n">
        <v>0</v>
      </c>
      <c r="AW887" s="53" t="n">
        <v>0</v>
      </c>
      <c r="AX887" s="53" t="n">
        <v>0</v>
      </c>
      <c r="AY887" s="52" t="n">
        <v>0</v>
      </c>
      <c r="AZ887" s="52" t="n">
        <v>0</v>
      </c>
      <c r="BA887" s="52" t="n">
        <v>0</v>
      </c>
      <c r="BB887" s="52" t="n">
        <v>0</v>
      </c>
      <c r="BC887" s="51" t="n">
        <v>0</v>
      </c>
      <c r="BD887" s="51" t="n">
        <v>0</v>
      </c>
      <c r="BE887" s="51" t="n">
        <v>0</v>
      </c>
      <c r="BF887" s="51" t="n">
        <v>0</v>
      </c>
    </row>
    <row r="888">
      <c r="A888">
        <f>HYPERLINK("https://www.walmart.com/ip/981254635", "981254635")</f>
        <v/>
      </c>
      <c r="B888" t="inlineStr">
        <is>
          <t>Oversized Hoodie Blanket Sweatshirt,Super Soft Warm Comfortable Fleece Giant Pullover with Large Front Pocket,for Adults Men Women Teenagers Kids Wife Girlfriend</t>
        </is>
      </c>
      <c r="C888" t="inlineStr">
        <is>
          <t>1CTHD300LT-UPC</t>
        </is>
      </c>
      <c r="D888" t="inlineStr">
        <is>
          <t>Sweatshirts &amp; Hoodies</t>
        </is>
      </c>
      <c r="E888" t="inlineStr">
        <is>
          <t>Catalonia</t>
        </is>
      </c>
      <c r="F888" t="inlineStr">
        <is>
          <t>Hoodie ForAdult,Optimized,Coupon_Discount</t>
        </is>
      </c>
      <c r="G888" s="48" t="n">
        <v>0</v>
      </c>
      <c r="H888" s="48" t="n">
        <v>0</v>
      </c>
      <c r="I888" s="48" t="n">
        <v>0</v>
      </c>
      <c r="J888" s="48" t="n">
        <v>0</v>
      </c>
      <c r="K888" s="49" t="n">
        <v>0</v>
      </c>
      <c r="L888" s="49" t="n">
        <v>0</v>
      </c>
      <c r="M888" s="49" t="n">
        <v>0</v>
      </c>
      <c r="N888" s="49" t="n">
        <v>0</v>
      </c>
      <c r="O888" s="49" t="n">
        <v>0</v>
      </c>
      <c r="P888" s="49" t="n">
        <v>0</v>
      </c>
      <c r="Q888" s="49" t="n">
        <v>0</v>
      </c>
      <c r="R888" s="49" t="n">
        <v>0</v>
      </c>
      <c r="S888" s="50" t="n">
        <v>0</v>
      </c>
      <c r="T888" s="50" t="n">
        <v>0</v>
      </c>
      <c r="U888" s="50" t="n">
        <v>0</v>
      </c>
      <c r="V888" s="50" t="n">
        <v>0</v>
      </c>
      <c r="W888" s="51" t="n">
        <v>0</v>
      </c>
      <c r="X888" s="51" t="n">
        <v>0</v>
      </c>
      <c r="Y888" s="51" t="n">
        <v>0</v>
      </c>
      <c r="Z888" s="51" t="n">
        <v>0</v>
      </c>
      <c r="AA888" s="52" t="n">
        <v>0</v>
      </c>
      <c r="AB888" s="52" t="n">
        <v>0</v>
      </c>
      <c r="AC888" s="52" t="n">
        <v>0</v>
      </c>
      <c r="AD888" s="52" t="n">
        <v>0</v>
      </c>
      <c r="AE888" s="52" t="n">
        <v>0</v>
      </c>
      <c r="AF888" s="52" t="n">
        <v>0</v>
      </c>
      <c r="AG888" s="52" t="n">
        <v>0</v>
      </c>
      <c r="AH888" s="52" t="n">
        <v>0</v>
      </c>
      <c r="AI888" s="52" t="n">
        <v>0</v>
      </c>
      <c r="AJ888" s="52" t="n">
        <v>0</v>
      </c>
      <c r="AK888" s="52" t="n">
        <v>0</v>
      </c>
      <c r="AL888" s="52" t="n">
        <v>0</v>
      </c>
      <c r="AM888" s="53" t="n">
        <v>0</v>
      </c>
      <c r="AN888" s="53" t="n">
        <v>0</v>
      </c>
      <c r="AO888" s="53" t="n">
        <v>0</v>
      </c>
      <c r="AP888" s="53" t="n">
        <v>0</v>
      </c>
      <c r="AQ888" s="52" t="n">
        <v>0</v>
      </c>
      <c r="AR888" s="52" t="n">
        <v>0</v>
      </c>
      <c r="AS888" s="52" t="n">
        <v>0</v>
      </c>
      <c r="AT888" s="52" t="n">
        <v>0</v>
      </c>
      <c r="AU888" s="53" t="n">
        <v>0</v>
      </c>
      <c r="AV888" s="53" t="n">
        <v>0</v>
      </c>
      <c r="AW888" s="53" t="n">
        <v>0</v>
      </c>
      <c r="AX888" s="53" t="n">
        <v>0</v>
      </c>
      <c r="AY888" s="52" t="n">
        <v>0</v>
      </c>
      <c r="AZ888" s="52" t="n">
        <v>0</v>
      </c>
      <c r="BA888" s="52" t="n">
        <v>0</v>
      </c>
      <c r="BB888" s="52" t="n">
        <v>0</v>
      </c>
      <c r="BC888" s="51" t="n">
        <v>0</v>
      </c>
      <c r="BD888" s="51" t="n">
        <v>0</v>
      </c>
      <c r="BE888" s="51" t="n">
        <v>0</v>
      </c>
      <c r="BF888" s="51" t="n">
        <v>0</v>
      </c>
    </row>
    <row r="889">
      <c r="A889">
        <f>HYPERLINK("https://www.walmart.com/ip/981578506", "981578506")</f>
        <v/>
      </c>
      <c r="B889" t="inlineStr">
        <is>
          <t>Tirrinia Travel Padded Insulated 3 Bottle Wine Bag, Black Stripe</t>
        </is>
      </c>
      <c r="C889" t="inlineStr">
        <is>
          <t>1TRWB310BKSTR</t>
        </is>
      </c>
      <c r="D889" t="inlineStr">
        <is>
          <t>Wine Totes, Bags &amp; Backpacks</t>
        </is>
      </c>
      <c r="E889" t="inlineStr">
        <is>
          <t>Tirrinia</t>
        </is>
      </c>
      <c r="F889" t="inlineStr">
        <is>
          <t>Wine,Christmas,Optimized,Valentine,SEM</t>
        </is>
      </c>
      <c r="G889" s="48" t="n">
        <v>0</v>
      </c>
      <c r="H889" s="48" t="n">
        <v>0</v>
      </c>
      <c r="I889" s="48" t="n">
        <v>0</v>
      </c>
      <c r="J889" s="48" t="n">
        <v>0</v>
      </c>
      <c r="K889" s="49" t="n">
        <v>0</v>
      </c>
      <c r="L889" s="49" t="n">
        <v>0</v>
      </c>
      <c r="M889" s="49" t="n">
        <v>0</v>
      </c>
      <c r="N889" s="49" t="n">
        <v>0</v>
      </c>
      <c r="O889" s="49" t="n">
        <v>0</v>
      </c>
      <c r="P889" s="49" t="n">
        <v>0</v>
      </c>
      <c r="Q889" s="49" t="n">
        <v>0</v>
      </c>
      <c r="R889" s="49" t="n">
        <v>0</v>
      </c>
      <c r="S889" s="50" t="n">
        <v>0</v>
      </c>
      <c r="T889" s="50" t="n">
        <v>0</v>
      </c>
      <c r="U889" s="50" t="n">
        <v>0</v>
      </c>
      <c r="V889" s="50" t="n">
        <v>0</v>
      </c>
      <c r="W889" s="51" t="n">
        <v>0</v>
      </c>
      <c r="X889" s="51" t="n">
        <v>0</v>
      </c>
      <c r="Y889" s="51" t="n">
        <v>0</v>
      </c>
      <c r="Z889" s="51" t="n">
        <v>0</v>
      </c>
      <c r="AA889" s="52" t="n">
        <v>0</v>
      </c>
      <c r="AB889" s="52" t="n">
        <v>0</v>
      </c>
      <c r="AC889" s="52" t="n">
        <v>0</v>
      </c>
      <c r="AD889" s="52" t="n">
        <v>0</v>
      </c>
      <c r="AE889" s="52" t="n">
        <v>0</v>
      </c>
      <c r="AF889" s="52" t="n">
        <v>0</v>
      </c>
      <c r="AG889" s="52" t="n">
        <v>0</v>
      </c>
      <c r="AH889" s="52" t="n">
        <v>0</v>
      </c>
      <c r="AI889" s="52" t="n">
        <v>0</v>
      </c>
      <c r="AJ889" s="52" t="n">
        <v>0</v>
      </c>
      <c r="AK889" s="52" t="n">
        <v>0</v>
      </c>
      <c r="AL889" s="52" t="n">
        <v>0</v>
      </c>
      <c r="AM889" s="53" t="n">
        <v>0</v>
      </c>
      <c r="AN889" s="53" t="n">
        <v>0</v>
      </c>
      <c r="AO889" s="53" t="n">
        <v>0</v>
      </c>
      <c r="AP889" s="53" t="n">
        <v>0</v>
      </c>
      <c r="AQ889" s="52" t="n">
        <v>0</v>
      </c>
      <c r="AR889" s="52" t="n">
        <v>0</v>
      </c>
      <c r="AS889" s="52" t="n">
        <v>0</v>
      </c>
      <c r="AT889" s="52" t="n">
        <v>0</v>
      </c>
      <c r="AU889" s="53" t="n">
        <v>0</v>
      </c>
      <c r="AV889" s="53" t="n">
        <v>0</v>
      </c>
      <c r="AW889" s="53" t="n">
        <v>0</v>
      </c>
      <c r="AX889" s="53" t="n">
        <v>0</v>
      </c>
      <c r="AY889" s="52" t="n">
        <v>0</v>
      </c>
      <c r="AZ889" s="52" t="n">
        <v>0</v>
      </c>
      <c r="BA889" s="52" t="n">
        <v>0</v>
      </c>
      <c r="BB889" s="52" t="n">
        <v>0</v>
      </c>
      <c r="BC889" s="51" t="n">
        <v>0</v>
      </c>
      <c r="BD889" s="51" t="n">
        <v>0</v>
      </c>
      <c r="BE889" s="51" t="n">
        <v>0</v>
      </c>
      <c r="BF889" s="51" t="n">
        <v>0</v>
      </c>
    </row>
    <row r="890">
      <c r="A890">
        <f>HYPERLINK("https://www.walmart.com/ip/934428968", "934428968")</f>
        <v/>
      </c>
      <c r="B890" t="inlineStr">
        <is>
          <t>Solaris Women's Tankini Swimsuit, Two-Piece Swimwear Bikini Set, Summer Bathing Suits, Large, Black</t>
        </is>
      </c>
      <c r="C890" t="inlineStr">
        <is>
          <t>1SLSS006BKBK-L</t>
        </is>
      </c>
      <c r="D890" t="inlineStr">
        <is>
          <t>Swimsuit Sets</t>
        </is>
      </c>
      <c r="E890" t="inlineStr">
        <is>
          <t>Solaris</t>
        </is>
      </c>
      <c r="F890" t="inlineStr">
        <is>
          <t>Optimized,WFS,Valentine,WFS Item</t>
        </is>
      </c>
      <c r="G890" s="48" t="n">
        <v>0</v>
      </c>
      <c r="H890" s="48" t="n">
        <v>0</v>
      </c>
      <c r="I890" s="48" t="n">
        <v>0</v>
      </c>
      <c r="J890" s="48" t="n">
        <v>0</v>
      </c>
      <c r="K890" s="49" t="n">
        <v>0</v>
      </c>
      <c r="L890" s="49" t="n">
        <v>0</v>
      </c>
      <c r="M890" s="49" t="n">
        <v>0</v>
      </c>
      <c r="N890" s="49" t="n">
        <v>0</v>
      </c>
      <c r="O890" s="49" t="n">
        <v>0</v>
      </c>
      <c r="P890" s="49" t="n">
        <v>0</v>
      </c>
      <c r="Q890" s="49" t="n">
        <v>0</v>
      </c>
      <c r="R890" s="49" t="n">
        <v>0</v>
      </c>
      <c r="S890" s="50" t="n">
        <v>0</v>
      </c>
      <c r="T890" s="50" t="n">
        <v>0</v>
      </c>
      <c r="U890" s="50" t="n">
        <v>0</v>
      </c>
      <c r="V890" s="50" t="n">
        <v>0</v>
      </c>
      <c r="W890" s="51" t="n">
        <v>0</v>
      </c>
      <c r="X890" s="51" t="n">
        <v>0</v>
      </c>
      <c r="Y890" s="51" t="n">
        <v>0</v>
      </c>
      <c r="Z890" s="51" t="n">
        <v>0</v>
      </c>
      <c r="AA890" s="52" t="n">
        <v>0</v>
      </c>
      <c r="AB890" s="52" t="n">
        <v>0</v>
      </c>
      <c r="AC890" s="52" t="n">
        <v>0</v>
      </c>
      <c r="AD890" s="52" t="n">
        <v>0</v>
      </c>
      <c r="AE890" s="52" t="n">
        <v>0</v>
      </c>
      <c r="AF890" s="52" t="n">
        <v>0</v>
      </c>
      <c r="AG890" s="52" t="n">
        <v>0</v>
      </c>
      <c r="AH890" s="52" t="n">
        <v>0</v>
      </c>
      <c r="AI890" s="52" t="n">
        <v>0</v>
      </c>
      <c r="AJ890" s="52" t="n">
        <v>0</v>
      </c>
      <c r="AK890" s="52" t="n">
        <v>0</v>
      </c>
      <c r="AL890" s="52" t="n">
        <v>0</v>
      </c>
      <c r="AM890" s="53" t="n">
        <v>0</v>
      </c>
      <c r="AN890" s="53" t="n">
        <v>0</v>
      </c>
      <c r="AO890" s="53" t="n">
        <v>0</v>
      </c>
      <c r="AP890" s="53" t="n">
        <v>0</v>
      </c>
      <c r="AQ890" s="52" t="n">
        <v>0</v>
      </c>
      <c r="AR890" s="52" t="n">
        <v>0</v>
      </c>
      <c r="AS890" s="52" t="n">
        <v>0</v>
      </c>
      <c r="AT890" s="52" t="n">
        <v>0</v>
      </c>
      <c r="AU890" s="53" t="n">
        <v>0</v>
      </c>
      <c r="AV890" s="53" t="n">
        <v>0</v>
      </c>
      <c r="AW890" s="53" t="n">
        <v>0</v>
      </c>
      <c r="AX890" s="53" t="n">
        <v>0</v>
      </c>
      <c r="AY890" s="52" t="n">
        <v>0</v>
      </c>
      <c r="AZ890" s="52" t="n">
        <v>0</v>
      </c>
      <c r="BA890" s="52" t="n">
        <v>0</v>
      </c>
      <c r="BB890" s="52" t="n">
        <v>0</v>
      </c>
      <c r="BC890" s="51" t="n">
        <v>0</v>
      </c>
      <c r="BD890" s="51" t="n">
        <v>0</v>
      </c>
      <c r="BE890" s="51" t="n">
        <v>0</v>
      </c>
      <c r="BF890" s="51" t="n">
        <v>0</v>
      </c>
    </row>
    <row r="891">
      <c r="A891">
        <f>HYPERLINK("https://www.walmart.com/ip/991633509", "991633509")</f>
        <v/>
      </c>
      <c r="B891" t="inlineStr">
        <is>
          <t>Catalonia Wearable Blanket with Sleeves and Pocket, Cozy Soft Fleece Micro Plush Wrap Adult Blanket Robe for Women Men, Makes a Great Gift for Holidays, Brown</t>
        </is>
      </c>
      <c r="C891" t="inlineStr">
        <is>
          <t>1CTSN100BR</t>
        </is>
      </c>
      <c r="D891" t="inlineStr">
        <is>
          <t>Throws</t>
        </is>
      </c>
      <c r="E891" t="inlineStr">
        <is>
          <t>Catalonia</t>
        </is>
      </c>
      <c r="F891" t="inlineStr">
        <is>
          <t>WFS,WFS Item</t>
        </is>
      </c>
      <c r="G891" s="48" t="n">
        <v>0</v>
      </c>
      <c r="H891" s="48" t="n">
        <v>0</v>
      </c>
      <c r="I891" s="48" t="n">
        <v>0</v>
      </c>
      <c r="J891" s="48" t="n">
        <v>0</v>
      </c>
      <c r="K891" s="49" t="n">
        <v>0</v>
      </c>
      <c r="L891" s="49" t="n">
        <v>0</v>
      </c>
      <c r="M891" s="49" t="n">
        <v>0</v>
      </c>
      <c r="N891" s="49" t="n">
        <v>0</v>
      </c>
      <c r="O891" s="49" t="n">
        <v>0</v>
      </c>
      <c r="P891" s="49" t="n">
        <v>0</v>
      </c>
      <c r="Q891" s="49" t="n">
        <v>0</v>
      </c>
      <c r="R891" s="49" t="n">
        <v>0</v>
      </c>
      <c r="S891" s="50" t="n">
        <v>0</v>
      </c>
      <c r="T891" s="50" t="n">
        <v>0</v>
      </c>
      <c r="U891" s="50" t="n">
        <v>0</v>
      </c>
      <c r="V891" s="50" t="n">
        <v>0</v>
      </c>
      <c r="W891" s="51" t="n">
        <v>0</v>
      </c>
      <c r="X891" s="51" t="n">
        <v>0</v>
      </c>
      <c r="Y891" s="51" t="n">
        <v>0</v>
      </c>
      <c r="Z891" s="51" t="n">
        <v>0</v>
      </c>
      <c r="AA891" s="52" t="n">
        <v>0</v>
      </c>
      <c r="AB891" s="52" t="n">
        <v>0</v>
      </c>
      <c r="AC891" s="52" t="n">
        <v>0</v>
      </c>
      <c r="AD891" s="52" t="n">
        <v>0</v>
      </c>
      <c r="AE891" s="52" t="n">
        <v>0</v>
      </c>
      <c r="AF891" s="52" t="n">
        <v>0</v>
      </c>
      <c r="AG891" s="52" t="n">
        <v>0</v>
      </c>
      <c r="AH891" s="52" t="n">
        <v>0</v>
      </c>
      <c r="AI891" s="52" t="n">
        <v>0</v>
      </c>
      <c r="AJ891" s="52" t="n">
        <v>0</v>
      </c>
      <c r="AK891" s="52" t="n">
        <v>0</v>
      </c>
      <c r="AL891" s="52" t="n">
        <v>0</v>
      </c>
      <c r="AM891" s="53" t="n">
        <v>0</v>
      </c>
      <c r="AN891" s="53" t="n">
        <v>0</v>
      </c>
      <c r="AO891" s="53" t="n">
        <v>0</v>
      </c>
      <c r="AP891" s="53" t="n">
        <v>0</v>
      </c>
      <c r="AQ891" s="52" t="n">
        <v>0</v>
      </c>
      <c r="AR891" s="52" t="n">
        <v>0</v>
      </c>
      <c r="AS891" s="52" t="n">
        <v>0</v>
      </c>
      <c r="AT891" s="52" t="n">
        <v>0</v>
      </c>
      <c r="AU891" s="53" t="n">
        <v>0</v>
      </c>
      <c r="AV891" s="53" t="n">
        <v>0</v>
      </c>
      <c r="AW891" s="53" t="n">
        <v>0</v>
      </c>
      <c r="AX891" s="53" t="n">
        <v>0</v>
      </c>
      <c r="AY891" s="52" t="n">
        <v>0</v>
      </c>
      <c r="AZ891" s="52" t="n">
        <v>0</v>
      </c>
      <c r="BA891" s="52" t="n">
        <v>0</v>
      </c>
      <c r="BB891" s="52" t="n">
        <v>0</v>
      </c>
      <c r="BC891" s="51" t="n">
        <v>2</v>
      </c>
      <c r="BD891" s="51" t="n">
        <v>0</v>
      </c>
      <c r="BE891" s="51" t="n">
        <v>0</v>
      </c>
      <c r="BF891" s="51" t="n">
        <v>0</v>
      </c>
    </row>
    <row r="892">
      <c r="A892">
        <f>HYPERLINK("https://www.walmart.com/ip/992966413", "992966413")</f>
        <v/>
      </c>
      <c r="B892" t="inlineStr">
        <is>
          <t>Catalonia Wearable Blanket, 100% Super Micro Plush Polyester, Unisex, Pink, 73" x 51"</t>
        </is>
      </c>
      <c r="C892" t="inlineStr">
        <is>
          <t>1CTSN100PK</t>
        </is>
      </c>
      <c r="D892" t="inlineStr">
        <is>
          <t>Throws</t>
        </is>
      </c>
      <c r="E892" t="inlineStr">
        <is>
          <t>Catalonia</t>
        </is>
      </c>
      <c r="F892" t="inlineStr">
        <is>
          <t>Optimized</t>
        </is>
      </c>
      <c r="G892" s="48" t="n">
        <v>0</v>
      </c>
      <c r="H892" s="48" t="n">
        <v>0</v>
      </c>
      <c r="I892" s="48" t="n">
        <v>0</v>
      </c>
      <c r="J892" s="48" t="n">
        <v>0</v>
      </c>
      <c r="K892" s="49" t="n">
        <v>0</v>
      </c>
      <c r="L892" s="49" t="n">
        <v>0</v>
      </c>
      <c r="M892" s="49" t="n">
        <v>0</v>
      </c>
      <c r="N892" s="49" t="n">
        <v>0</v>
      </c>
      <c r="O892" s="49" t="n">
        <v>0</v>
      </c>
      <c r="P892" s="49" t="n">
        <v>0</v>
      </c>
      <c r="Q892" s="49" t="n">
        <v>0</v>
      </c>
      <c r="R892" s="49" t="n">
        <v>0</v>
      </c>
      <c r="S892" s="50" t="n">
        <v>0</v>
      </c>
      <c r="T892" s="50" t="n">
        <v>0</v>
      </c>
      <c r="U892" s="50" t="n">
        <v>0</v>
      </c>
      <c r="V892" s="50" t="n">
        <v>0</v>
      </c>
      <c r="W892" s="51" t="n">
        <v>0</v>
      </c>
      <c r="X892" s="51" t="n">
        <v>0</v>
      </c>
      <c r="Y892" s="51" t="n">
        <v>0</v>
      </c>
      <c r="Z892" s="51" t="n">
        <v>0</v>
      </c>
      <c r="AA892" s="52" t="n">
        <v>0</v>
      </c>
      <c r="AB892" s="52" t="n">
        <v>0</v>
      </c>
      <c r="AC892" s="52" t="n">
        <v>0</v>
      </c>
      <c r="AD892" s="52" t="n">
        <v>0</v>
      </c>
      <c r="AE892" s="52" t="n">
        <v>0</v>
      </c>
      <c r="AF892" s="52" t="n">
        <v>0</v>
      </c>
      <c r="AG892" s="52" t="n">
        <v>0</v>
      </c>
      <c r="AH892" s="52" t="n">
        <v>0</v>
      </c>
      <c r="AI892" s="52" t="n">
        <v>0</v>
      </c>
      <c r="AJ892" s="52" t="n">
        <v>0</v>
      </c>
      <c r="AK892" s="52" t="n">
        <v>0</v>
      </c>
      <c r="AL892" s="52" t="n">
        <v>0</v>
      </c>
      <c r="AM892" s="53" t="n">
        <v>0</v>
      </c>
      <c r="AN892" s="53" t="n">
        <v>0</v>
      </c>
      <c r="AO892" s="53" t="n">
        <v>0</v>
      </c>
      <c r="AP892" s="53" t="n">
        <v>0</v>
      </c>
      <c r="AQ892" s="52" t="n">
        <v>0</v>
      </c>
      <c r="AR892" s="52" t="n">
        <v>0</v>
      </c>
      <c r="AS892" s="52" t="n">
        <v>0</v>
      </c>
      <c r="AT892" s="52" t="n">
        <v>0</v>
      </c>
      <c r="AU892" s="53" t="n">
        <v>0</v>
      </c>
      <c r="AV892" s="53" t="n">
        <v>0</v>
      </c>
      <c r="AW892" s="53" t="n">
        <v>0</v>
      </c>
      <c r="AX892" s="53" t="n">
        <v>0</v>
      </c>
      <c r="AY892" s="52" t="n">
        <v>0</v>
      </c>
      <c r="AZ892" s="52" t="n">
        <v>0</v>
      </c>
      <c r="BA892" s="52" t="n">
        <v>0</v>
      </c>
      <c r="BB892" s="52" t="n">
        <v>0</v>
      </c>
      <c r="BC892" s="51" t="n">
        <v>0</v>
      </c>
      <c r="BD892" s="51" t="n">
        <v>0</v>
      </c>
      <c r="BE892" s="51" t="n">
        <v>0</v>
      </c>
      <c r="BF892" s="51" t="n">
        <v>0</v>
      </c>
    </row>
    <row r="893">
      <c r="A893">
        <f>HYPERLINK("https://www.walmart.com/ip/993473978", "993473978")</f>
        <v/>
      </c>
      <c r="B893" t="inlineStr">
        <is>
          <t>Flyingstar 3 Bottle Insulated Wine Carrier, Travel Wine Cooler Tote Bag, Blue Stripe</t>
        </is>
      </c>
      <c r="C893" t="inlineStr">
        <is>
          <t>1WMWB300STR</t>
        </is>
      </c>
      <c r="D893" t="inlineStr">
        <is>
          <t>Wine Totes, Bags &amp; Backpacks</t>
        </is>
      </c>
      <c r="E893" t="inlineStr">
        <is>
          <t>Flyingstar</t>
        </is>
      </c>
      <c r="F893" t="inlineStr">
        <is>
          <t>Wine,Christmas,Optimized,Valentine,SEM</t>
        </is>
      </c>
      <c r="G893" s="48" t="n">
        <v>0</v>
      </c>
      <c r="H893" s="48" t="n">
        <v>0</v>
      </c>
      <c r="I893" s="48" t="n">
        <v>0</v>
      </c>
      <c r="J893" s="48" t="n">
        <v>-17.99</v>
      </c>
      <c r="K893" s="49" t="n">
        <v>0</v>
      </c>
      <c r="L893" s="49" t="n">
        <v>0</v>
      </c>
      <c r="M893" s="49" t="n">
        <v>0</v>
      </c>
      <c r="N893" s="49" t="n">
        <v>-1</v>
      </c>
      <c r="O893" s="49" t="n">
        <v>0</v>
      </c>
      <c r="P893" s="49" t="n">
        <v>0</v>
      </c>
      <c r="Q893" s="49" t="n">
        <v>0</v>
      </c>
      <c r="R893" s="49" t="n">
        <v>0</v>
      </c>
      <c r="S893" s="50" t="n">
        <v>0</v>
      </c>
      <c r="T893" s="50" t="n">
        <v>0</v>
      </c>
      <c r="U893" s="50" t="n">
        <v>0</v>
      </c>
      <c r="V893" s="50" t="n">
        <v>0</v>
      </c>
      <c r="W893" s="51" t="n">
        <v>0</v>
      </c>
      <c r="X893" s="51" t="n">
        <v>0</v>
      </c>
      <c r="Y893" s="51" t="n">
        <v>0</v>
      </c>
      <c r="Z893" s="51" t="n">
        <v>0</v>
      </c>
      <c r="AA893" s="52" t="n">
        <v>0</v>
      </c>
      <c r="AB893" s="52" t="n">
        <v>0</v>
      </c>
      <c r="AC893" s="52" t="n">
        <v>0</v>
      </c>
      <c r="AD893" s="52" t="n">
        <v>0</v>
      </c>
      <c r="AE893" s="52" t="n">
        <v>0</v>
      </c>
      <c r="AF893" s="52" t="n">
        <v>0</v>
      </c>
      <c r="AG893" s="52" t="n">
        <v>0</v>
      </c>
      <c r="AH893" s="52" t="n">
        <v>0</v>
      </c>
      <c r="AI893" s="52" t="n">
        <v>0</v>
      </c>
      <c r="AJ893" s="52" t="n">
        <v>0</v>
      </c>
      <c r="AK893" s="52" t="n">
        <v>0</v>
      </c>
      <c r="AL893" s="52" t="n">
        <v>0</v>
      </c>
      <c r="AM893" s="53" t="n">
        <v>0</v>
      </c>
      <c r="AN893" s="53" t="n">
        <v>0</v>
      </c>
      <c r="AO893" s="53" t="n">
        <v>0</v>
      </c>
      <c r="AP893" s="53" t="n">
        <v>0</v>
      </c>
      <c r="AQ893" s="52" t="n">
        <v>0</v>
      </c>
      <c r="AR893" s="52" t="n">
        <v>0</v>
      </c>
      <c r="AS893" s="52" t="n">
        <v>0</v>
      </c>
      <c r="AT893" s="52" t="n">
        <v>0</v>
      </c>
      <c r="AU893" s="53" t="n">
        <v>0</v>
      </c>
      <c r="AV893" s="53" t="n">
        <v>0</v>
      </c>
      <c r="AW893" s="53" t="n">
        <v>0</v>
      </c>
      <c r="AX893" s="53" t="n">
        <v>0</v>
      </c>
      <c r="AY893" s="52" t="n">
        <v>0</v>
      </c>
      <c r="AZ893" s="52" t="n">
        <v>0</v>
      </c>
      <c r="BA893" s="52" t="n">
        <v>0</v>
      </c>
      <c r="BB893" s="52" t="n">
        <v>0</v>
      </c>
      <c r="BC893" s="51" t="n">
        <v>0</v>
      </c>
      <c r="BD893" s="51" t="n">
        <v>0</v>
      </c>
      <c r="BE893" s="51" t="n">
        <v>0</v>
      </c>
      <c r="BF893" s="51" t="n">
        <v>0</v>
      </c>
    </row>
    <row r="894">
      <c r="A894">
        <f>HYPERLINK("https://www.walmart.com/ip/994532554", "994532554")</f>
        <v/>
      </c>
      <c r="B894" t="inlineStr">
        <is>
          <t>Tirrinia Insulated 2 Bottle Wine Carrier Tote Cooler Bag for Travel Picnic Padded Champagne Glass</t>
        </is>
      </c>
      <c r="C894" t="inlineStr">
        <is>
          <t>1TRWB230GY</t>
        </is>
      </c>
      <c r="D894" t="inlineStr">
        <is>
          <t>Wine Totes, Bags &amp; Backpacks</t>
        </is>
      </c>
      <c r="E894" t="inlineStr">
        <is>
          <t>Tirrinia</t>
        </is>
      </c>
      <c r="F894" t="inlineStr">
        <is>
          <t>Wine,Wine Bag Camp,Christmas,WFS,Wine WFS,Valentine,SEM,WFS Item</t>
        </is>
      </c>
      <c r="G894" s="48" t="n">
        <v>0</v>
      </c>
      <c r="H894" s="48" t="n">
        <v>0</v>
      </c>
      <c r="I894" s="48" t="n">
        <v>0</v>
      </c>
      <c r="J894" s="48" t="n">
        <v>0</v>
      </c>
      <c r="K894" s="49" t="n">
        <v>0</v>
      </c>
      <c r="L894" s="49" t="n">
        <v>0</v>
      </c>
      <c r="M894" s="49" t="n">
        <v>0</v>
      </c>
      <c r="N894" s="49" t="n">
        <v>0</v>
      </c>
      <c r="O894" s="49" t="n">
        <v>0</v>
      </c>
      <c r="P894" s="49" t="n">
        <v>0</v>
      </c>
      <c r="Q894" s="49" t="n">
        <v>0</v>
      </c>
      <c r="R894" s="49" t="n">
        <v>0</v>
      </c>
      <c r="S894" s="50" t="n">
        <v>0</v>
      </c>
      <c r="T894" s="50" t="n">
        <v>0</v>
      </c>
      <c r="U894" s="50" t="n">
        <v>0</v>
      </c>
      <c r="V894" s="50" t="n">
        <v>0</v>
      </c>
      <c r="W894" s="51" t="n">
        <v>0</v>
      </c>
      <c r="X894" s="51" t="n">
        <v>0</v>
      </c>
      <c r="Y894" s="51" t="n">
        <v>0</v>
      </c>
      <c r="Z894" s="51" t="n">
        <v>0</v>
      </c>
      <c r="AA894" s="52" t="n">
        <v>0</v>
      </c>
      <c r="AB894" s="52" t="n">
        <v>0</v>
      </c>
      <c r="AC894" s="52" t="n">
        <v>0</v>
      </c>
      <c r="AD894" s="52" t="n">
        <v>0</v>
      </c>
      <c r="AE894" s="52" t="n">
        <v>0</v>
      </c>
      <c r="AF894" s="52" t="n">
        <v>0</v>
      </c>
      <c r="AG894" s="52" t="n">
        <v>0</v>
      </c>
      <c r="AH894" s="52" t="n">
        <v>0</v>
      </c>
      <c r="AI894" s="52" t="n">
        <v>0</v>
      </c>
      <c r="AJ894" s="52" t="n">
        <v>0</v>
      </c>
      <c r="AK894" s="52" t="n">
        <v>0</v>
      </c>
      <c r="AL894" s="52" t="n">
        <v>0</v>
      </c>
      <c r="AM894" s="53" t="n">
        <v>0</v>
      </c>
      <c r="AN894" s="53" t="n">
        <v>0</v>
      </c>
      <c r="AO894" s="53" t="n">
        <v>0</v>
      </c>
      <c r="AP894" s="53" t="n">
        <v>0</v>
      </c>
      <c r="AQ894" s="52" t="n">
        <v>0</v>
      </c>
      <c r="AR894" s="52" t="n">
        <v>0</v>
      </c>
      <c r="AS894" s="52" t="n">
        <v>0</v>
      </c>
      <c r="AT894" s="52" t="n">
        <v>0</v>
      </c>
      <c r="AU894" s="53" t="n">
        <v>0</v>
      </c>
      <c r="AV894" s="53" t="n">
        <v>0</v>
      </c>
      <c r="AW894" s="53" t="n">
        <v>0</v>
      </c>
      <c r="AX894" s="53" t="n">
        <v>0</v>
      </c>
      <c r="AY894" s="52" t="n">
        <v>0</v>
      </c>
      <c r="AZ894" s="52" t="n">
        <v>0</v>
      </c>
      <c r="BA894" s="52" t="n">
        <v>0</v>
      </c>
      <c r="BB894" s="52" t="n">
        <v>0</v>
      </c>
      <c r="BC894" s="51" t="n">
        <v>0</v>
      </c>
      <c r="BD894" s="51" t="n">
        <v>0</v>
      </c>
      <c r="BE894" s="51" t="n">
        <v>0</v>
      </c>
      <c r="BF894" s="51" t="n">
        <v>0</v>
      </c>
    </row>
    <row r="895">
      <c r="A895">
        <f>HYPERLINK("https://www.walmart.com/ip/994633914", "994633914")</f>
        <v/>
      </c>
      <c r="B895" t="inlineStr">
        <is>
          <t>Catalonia Fleece Wearable Blanket Poncho for Adult Women Men, Wrap Blanket Cape with Pocket | Warm, Soft, Cozy, Snuggly, Comfort Gift, No Sleeves | All-Season, Navy</t>
        </is>
      </c>
      <c r="C895" t="inlineStr">
        <is>
          <t>1CTBP100NY</t>
        </is>
      </c>
      <c r="D895" t="inlineStr">
        <is>
          <t>Throws</t>
        </is>
      </c>
      <c r="E895" t="inlineStr">
        <is>
          <t>Catalonia</t>
        </is>
      </c>
      <c r="F895" t="inlineStr">
        <is>
          <t>Hero 5 Holidays,WFS,Wal-Exl-Price,WFS Item</t>
        </is>
      </c>
      <c r="G895" s="48" t="n">
        <v>0</v>
      </c>
      <c r="H895" s="48" t="n">
        <v>0</v>
      </c>
      <c r="I895" s="48" t="n">
        <v>0</v>
      </c>
      <c r="J895" s="48" t="n">
        <v>0</v>
      </c>
      <c r="K895" s="49" t="n">
        <v>0</v>
      </c>
      <c r="L895" s="49" t="n">
        <v>0</v>
      </c>
      <c r="M895" s="49" t="n">
        <v>0</v>
      </c>
      <c r="N895" s="49" t="n">
        <v>0</v>
      </c>
      <c r="O895" s="49" t="n">
        <v>0</v>
      </c>
      <c r="P895" s="49" t="n">
        <v>0</v>
      </c>
      <c r="Q895" s="49" t="n">
        <v>0</v>
      </c>
      <c r="R895" s="49" t="n">
        <v>0</v>
      </c>
      <c r="S895" s="50" t="n">
        <v>0</v>
      </c>
      <c r="T895" s="50" t="n">
        <v>0</v>
      </c>
      <c r="U895" s="50" t="n">
        <v>0</v>
      </c>
      <c r="V895" s="50" t="n">
        <v>0</v>
      </c>
      <c r="W895" s="51" t="n">
        <v>0</v>
      </c>
      <c r="X895" s="51" t="n">
        <v>0</v>
      </c>
      <c r="Y895" s="51" t="n">
        <v>0</v>
      </c>
      <c r="Z895" s="51" t="n">
        <v>0</v>
      </c>
      <c r="AA895" s="52" t="n">
        <v>0</v>
      </c>
      <c r="AB895" s="52" t="n">
        <v>0</v>
      </c>
      <c r="AC895" s="52" t="n">
        <v>0</v>
      </c>
      <c r="AD895" s="52" t="n">
        <v>0</v>
      </c>
      <c r="AE895" s="52" t="n">
        <v>0</v>
      </c>
      <c r="AF895" s="52" t="n">
        <v>0</v>
      </c>
      <c r="AG895" s="52" t="n">
        <v>0</v>
      </c>
      <c r="AH895" s="52" t="n">
        <v>0</v>
      </c>
      <c r="AI895" s="52" t="n">
        <v>0</v>
      </c>
      <c r="AJ895" s="52" t="n">
        <v>0</v>
      </c>
      <c r="AK895" s="52" t="n">
        <v>0</v>
      </c>
      <c r="AL895" s="52" t="n">
        <v>0</v>
      </c>
      <c r="AM895" s="53" t="n">
        <v>0</v>
      </c>
      <c r="AN895" s="53" t="n">
        <v>0</v>
      </c>
      <c r="AO895" s="53" t="n">
        <v>0</v>
      </c>
      <c r="AP895" s="53" t="n">
        <v>0</v>
      </c>
      <c r="AQ895" s="52" t="n">
        <v>0</v>
      </c>
      <c r="AR895" s="52" t="n">
        <v>0</v>
      </c>
      <c r="AS895" s="52" t="n">
        <v>0</v>
      </c>
      <c r="AT895" s="52" t="n">
        <v>0</v>
      </c>
      <c r="AU895" s="53" t="n">
        <v>0</v>
      </c>
      <c r="AV895" s="53" t="n">
        <v>0</v>
      </c>
      <c r="AW895" s="53" t="n">
        <v>0</v>
      </c>
      <c r="AX895" s="53" t="n">
        <v>0</v>
      </c>
      <c r="AY895" s="52" t="n">
        <v>0</v>
      </c>
      <c r="AZ895" s="52" t="n">
        <v>0</v>
      </c>
      <c r="BA895" s="52" t="n">
        <v>0</v>
      </c>
      <c r="BB895" s="52" t="n">
        <v>0</v>
      </c>
      <c r="BC895" s="51" t="n">
        <v>0</v>
      </c>
      <c r="BD895" s="51" t="n">
        <v>0</v>
      </c>
      <c r="BE895" s="51" t="n">
        <v>0</v>
      </c>
      <c r="BF895" s="51" t="n">
        <v>0</v>
      </c>
    </row>
    <row r="896">
      <c r="A896">
        <f>HYPERLINK("https://www.walmart.com/ip/994761445", "994761445")</f>
        <v/>
      </c>
      <c r="B896" t="inlineStr">
        <is>
          <t>Oversized Hoodie Blanket Sweatshirt,Super Soft Warm Comfortable Fleece Giant Pullover with Large Front Pocket,for Adults Men Women Teenagers Kids Wife Girlfriend</t>
        </is>
      </c>
      <c r="C896" t="inlineStr">
        <is>
          <t>1CTHD300PK-UPC</t>
        </is>
      </c>
      <c r="D896" t="inlineStr">
        <is>
          <t>Sweatshirts &amp; Hoodies</t>
        </is>
      </c>
      <c r="E896" t="inlineStr">
        <is>
          <t>Catalonia</t>
        </is>
      </c>
      <c r="F896" t="inlineStr">
        <is>
          <t>Hoodie ForAdult,Optimized</t>
        </is>
      </c>
      <c r="G896" s="48" t="n">
        <v>0</v>
      </c>
      <c r="H896" s="48" t="n">
        <v>0</v>
      </c>
      <c r="I896" s="48" t="n">
        <v>0</v>
      </c>
      <c r="J896" s="48" t="n">
        <v>0</v>
      </c>
      <c r="K896" s="49" t="n">
        <v>0</v>
      </c>
      <c r="L896" s="49" t="n">
        <v>0</v>
      </c>
      <c r="M896" s="49" t="n">
        <v>0</v>
      </c>
      <c r="N896" s="49" t="n">
        <v>0</v>
      </c>
      <c r="O896" s="49" t="n">
        <v>0</v>
      </c>
      <c r="P896" s="49" t="n">
        <v>0</v>
      </c>
      <c r="Q896" s="49" t="n">
        <v>0</v>
      </c>
      <c r="R896" s="49" t="n">
        <v>0</v>
      </c>
      <c r="S896" s="50" t="n">
        <v>0</v>
      </c>
      <c r="T896" s="50" t="n">
        <v>0</v>
      </c>
      <c r="U896" s="50" t="n">
        <v>0</v>
      </c>
      <c r="V896" s="50" t="n">
        <v>0</v>
      </c>
      <c r="W896" s="51" t="n">
        <v>0</v>
      </c>
      <c r="X896" s="51" t="n">
        <v>0</v>
      </c>
      <c r="Y896" s="51" t="n">
        <v>0</v>
      </c>
      <c r="Z896" s="51" t="n">
        <v>0</v>
      </c>
      <c r="AA896" s="52" t="n">
        <v>0</v>
      </c>
      <c r="AB896" s="52" t="n">
        <v>0</v>
      </c>
      <c r="AC896" s="52" t="n">
        <v>0</v>
      </c>
      <c r="AD896" s="52" t="n">
        <v>0</v>
      </c>
      <c r="AE896" s="52" t="n">
        <v>0</v>
      </c>
      <c r="AF896" s="52" t="n">
        <v>0</v>
      </c>
      <c r="AG896" s="52" t="n">
        <v>0</v>
      </c>
      <c r="AH896" s="52" t="n">
        <v>0</v>
      </c>
      <c r="AI896" s="52" t="n">
        <v>0</v>
      </c>
      <c r="AJ896" s="52" t="n">
        <v>0</v>
      </c>
      <c r="AK896" s="52" t="n">
        <v>0</v>
      </c>
      <c r="AL896" s="52" t="n">
        <v>0</v>
      </c>
      <c r="AM896" s="53" t="n">
        <v>0</v>
      </c>
      <c r="AN896" s="53" t="n">
        <v>0</v>
      </c>
      <c r="AO896" s="53" t="n">
        <v>0</v>
      </c>
      <c r="AP896" s="53" t="n">
        <v>0</v>
      </c>
      <c r="AQ896" s="52" t="n">
        <v>0</v>
      </c>
      <c r="AR896" s="52" t="n">
        <v>0</v>
      </c>
      <c r="AS896" s="52" t="n">
        <v>0</v>
      </c>
      <c r="AT896" s="52" t="n">
        <v>0</v>
      </c>
      <c r="AU896" s="53" t="n">
        <v>0</v>
      </c>
      <c r="AV896" s="53" t="n">
        <v>0</v>
      </c>
      <c r="AW896" s="53" t="n">
        <v>0</v>
      </c>
      <c r="AX896" s="53" t="n">
        <v>0</v>
      </c>
      <c r="AY896" s="52" t="n">
        <v>0</v>
      </c>
      <c r="AZ896" s="52" t="n">
        <v>0</v>
      </c>
      <c r="BA896" s="52" t="n">
        <v>0</v>
      </c>
      <c r="BB896" s="52" t="n">
        <v>0</v>
      </c>
      <c r="BC896" s="51" t="n">
        <v>0</v>
      </c>
      <c r="BD896" s="51" t="n">
        <v>0</v>
      </c>
      <c r="BE896" s="51" t="n">
        <v>0</v>
      </c>
      <c r="BF896" s="51" t="n">
        <v>0</v>
      </c>
    </row>
    <row r="897">
      <c r="A897">
        <f>HYPERLINK("https://www.walmart.com/ip/994817152", "994817152")</f>
        <v/>
      </c>
      <c r="B897" t="inlineStr">
        <is>
          <t>undefined</t>
        </is>
      </c>
      <c r="C897" t="inlineStr">
        <is>
          <t>JWBLSPH2010-2 Packs</t>
        </is>
      </c>
      <c r="G897" s="48" t="n">
        <v>0</v>
      </c>
      <c r="H897" s="48" t="n">
        <v>0</v>
      </c>
      <c r="I897" s="48" t="n">
        <v>0</v>
      </c>
      <c r="J897" s="48" t="n">
        <v>0</v>
      </c>
      <c r="K897" s="49" t="n">
        <v>0</v>
      </c>
      <c r="L897" s="49" t="n">
        <v>0</v>
      </c>
      <c r="M897" s="49" t="n">
        <v>0</v>
      </c>
      <c r="N897" s="49" t="n">
        <v>0</v>
      </c>
      <c r="O897" s="49" t="n">
        <v>0</v>
      </c>
      <c r="P897" s="49" t="n">
        <v>0</v>
      </c>
      <c r="Q897" s="49" t="n">
        <v>0</v>
      </c>
      <c r="R897" s="49" t="n">
        <v>0</v>
      </c>
      <c r="S897" s="50" t="n">
        <v>0</v>
      </c>
      <c r="T897" s="50" t="n">
        <v>0</v>
      </c>
      <c r="U897" s="50" t="n">
        <v>0</v>
      </c>
      <c r="V897" s="50" t="n">
        <v>0</v>
      </c>
      <c r="W897" s="51" t="n">
        <v>0</v>
      </c>
      <c r="X897" s="51" t="n">
        <v>0</v>
      </c>
      <c r="Y897" s="51" t="n">
        <v>0</v>
      </c>
      <c r="Z897" s="51" t="n">
        <v>0</v>
      </c>
      <c r="AA897" s="52" t="n">
        <v>0</v>
      </c>
      <c r="AB897" s="52" t="n">
        <v>0</v>
      </c>
      <c r="AC897" s="52" t="n">
        <v>0</v>
      </c>
      <c r="AD897" s="52" t="n">
        <v>0</v>
      </c>
      <c r="AE897" s="52" t="n">
        <v>0</v>
      </c>
      <c r="AF897" s="52" t="n">
        <v>0</v>
      </c>
      <c r="AG897" s="52" t="n">
        <v>0</v>
      </c>
      <c r="AH897" s="52" t="n">
        <v>0</v>
      </c>
      <c r="AI897" s="52" t="n">
        <v>0</v>
      </c>
      <c r="AJ897" s="52" t="n">
        <v>0</v>
      </c>
      <c r="AK897" s="52" t="n">
        <v>0</v>
      </c>
      <c r="AL897" s="52" t="n">
        <v>0</v>
      </c>
      <c r="AM897" s="53" t="n">
        <v>0</v>
      </c>
      <c r="AN897" s="53" t="n">
        <v>0</v>
      </c>
      <c r="AO897" s="53" t="n">
        <v>0</v>
      </c>
      <c r="AP897" s="53" t="n">
        <v>0</v>
      </c>
      <c r="AQ897" s="52" t="n">
        <v>0</v>
      </c>
      <c r="AR897" s="52" t="n">
        <v>0</v>
      </c>
      <c r="AS897" s="52" t="n">
        <v>0</v>
      </c>
      <c r="AT897" s="52" t="n">
        <v>0</v>
      </c>
      <c r="AU897" s="53" t="n">
        <v>0</v>
      </c>
      <c r="AV897" s="53" t="n">
        <v>0</v>
      </c>
      <c r="AW897" s="53" t="n">
        <v>0</v>
      </c>
      <c r="AX897" s="53" t="n">
        <v>0</v>
      </c>
      <c r="AY897" s="52" t="n">
        <v>0</v>
      </c>
      <c r="AZ897" s="52" t="n">
        <v>0</v>
      </c>
      <c r="BA897" s="52" t="n">
        <v>0</v>
      </c>
      <c r="BB897" s="52" t="n">
        <v>0</v>
      </c>
      <c r="BC897" s="51" t="n">
        <v>0</v>
      </c>
      <c r="BD897" s="51" t="n">
        <v>0</v>
      </c>
      <c r="BE897" s="51" t="n">
        <v>0</v>
      </c>
      <c r="BF897" s="51" t="n">
        <v>0</v>
      </c>
    </row>
    <row r="898">
      <c r="A898">
        <f>HYPERLINK("https://www.walmart.com/ip/996864768", "996864768")</f>
        <v/>
      </c>
      <c r="B898" t="inlineStr">
        <is>
          <t>Flyingstar Cat Oversized Sherpa Hoodie Sweatshirt for Women, Pockets, Hooded, Black Cat</t>
        </is>
      </c>
      <c r="C898" t="inlineStr">
        <is>
          <t>1WMHD201CAT-BK</t>
        </is>
      </c>
      <c r="D898" t="inlineStr">
        <is>
          <t>Sweatshirts &amp; Hoodies</t>
        </is>
      </c>
      <c r="E898" t="inlineStr">
        <is>
          <t>Flyingstar</t>
        </is>
      </c>
      <c r="F898" t="inlineStr">
        <is>
          <t>Hoodie ForAdult,Optimized</t>
        </is>
      </c>
      <c r="G898" s="48" t="n">
        <v>0</v>
      </c>
      <c r="H898" s="48" t="n">
        <v>0</v>
      </c>
      <c r="I898" s="48" t="n">
        <v>0</v>
      </c>
      <c r="J898" s="48" t="n">
        <v>0</v>
      </c>
      <c r="K898" s="49" t="n">
        <v>0</v>
      </c>
      <c r="L898" s="49" t="n">
        <v>0</v>
      </c>
      <c r="M898" s="49" t="n">
        <v>0</v>
      </c>
      <c r="N898" s="49" t="n">
        <v>0</v>
      </c>
      <c r="O898" s="49" t="n">
        <v>0</v>
      </c>
      <c r="P898" s="49" t="n">
        <v>0</v>
      </c>
      <c r="Q898" s="49" t="n">
        <v>0</v>
      </c>
      <c r="R898" s="49" t="n">
        <v>0</v>
      </c>
      <c r="S898" s="50" t="n">
        <v>0</v>
      </c>
      <c r="T898" s="50" t="n">
        <v>0</v>
      </c>
      <c r="U898" s="50" t="n">
        <v>0</v>
      </c>
      <c r="V898" s="50" t="n">
        <v>0</v>
      </c>
      <c r="W898" s="51" t="n">
        <v>0</v>
      </c>
      <c r="X898" s="51" t="n">
        <v>0</v>
      </c>
      <c r="Y898" s="51" t="n">
        <v>0</v>
      </c>
      <c r="Z898" s="51" t="n">
        <v>0</v>
      </c>
      <c r="AA898" s="52" t="n">
        <v>0</v>
      </c>
      <c r="AB898" s="52" t="n">
        <v>0</v>
      </c>
      <c r="AC898" s="52" t="n">
        <v>0</v>
      </c>
      <c r="AD898" s="52" t="n">
        <v>0</v>
      </c>
      <c r="AE898" s="52" t="n">
        <v>0</v>
      </c>
      <c r="AF898" s="52" t="n">
        <v>0</v>
      </c>
      <c r="AG898" s="52" t="n">
        <v>0</v>
      </c>
      <c r="AH898" s="52" t="n">
        <v>0</v>
      </c>
      <c r="AI898" s="52" t="n">
        <v>0</v>
      </c>
      <c r="AJ898" s="52" t="n">
        <v>0</v>
      </c>
      <c r="AK898" s="52" t="n">
        <v>0</v>
      </c>
      <c r="AL898" s="52" t="n">
        <v>0</v>
      </c>
      <c r="AM898" s="53" t="n">
        <v>0</v>
      </c>
      <c r="AN898" s="53" t="n">
        <v>0</v>
      </c>
      <c r="AO898" s="53" t="n">
        <v>0</v>
      </c>
      <c r="AP898" s="53" t="n">
        <v>0</v>
      </c>
      <c r="AQ898" s="52" t="n">
        <v>0</v>
      </c>
      <c r="AR898" s="52" t="n">
        <v>0</v>
      </c>
      <c r="AS898" s="52" t="n">
        <v>0</v>
      </c>
      <c r="AT898" s="52" t="n">
        <v>0</v>
      </c>
      <c r="AU898" s="53" t="n">
        <v>0</v>
      </c>
      <c r="AV898" s="53" t="n">
        <v>0</v>
      </c>
      <c r="AW898" s="53" t="n">
        <v>0</v>
      </c>
      <c r="AX898" s="53" t="n">
        <v>0</v>
      </c>
      <c r="AY898" s="52" t="n">
        <v>0</v>
      </c>
      <c r="AZ898" s="52" t="n">
        <v>0</v>
      </c>
      <c r="BA898" s="52" t="n">
        <v>0</v>
      </c>
      <c r="BB898" s="52" t="n">
        <v>0</v>
      </c>
      <c r="BC898" s="51" t="n">
        <v>0</v>
      </c>
      <c r="BD898" s="51" t="n">
        <v>0</v>
      </c>
      <c r="BE898" s="51" t="n">
        <v>0</v>
      </c>
      <c r="BF898" s="51" t="n">
        <v>0</v>
      </c>
    </row>
    <row r="899">
      <c r="A899">
        <f>HYPERLINK("https://www.walmart.com/ip/997566327", "997566327")</f>
        <v/>
      </c>
      <c r="B899" t="inlineStr">
        <is>
          <t>Kritter Planet Waterproof Dog Blanket for Couch, Washable Pet Couch Cover, Non-slip Bed Sofa Furniture Protector Mat, Latte, 30''x50''.</t>
        </is>
      </c>
      <c r="C899" t="inlineStr">
        <is>
          <t>1KPBW356LT</t>
        </is>
      </c>
      <c r="D899" t="inlineStr">
        <is>
          <t>Pet Blankets</t>
        </is>
      </c>
      <c r="E899" t="inlineStr">
        <is>
          <t>Kritter Planet</t>
        </is>
      </c>
      <c r="F899" t="inlineStr">
        <is>
          <t>Q2-Target,Optimized,SEM</t>
        </is>
      </c>
      <c r="G899" s="48" t="n">
        <v>0</v>
      </c>
      <c r="H899" s="48" t="n">
        <v>0</v>
      </c>
      <c r="I899" s="48" t="n">
        <v>1</v>
      </c>
      <c r="J899" s="48" t="n">
        <v>0</v>
      </c>
      <c r="K899" s="49" t="n">
        <v>0</v>
      </c>
      <c r="L899" s="49" t="n">
        <v>0</v>
      </c>
      <c r="M899" s="49" t="n">
        <v>0</v>
      </c>
      <c r="N899" s="49" t="n">
        <v>0</v>
      </c>
      <c r="O899" s="49" t="n">
        <v>0</v>
      </c>
      <c r="P899" s="49" t="n">
        <v>0</v>
      </c>
      <c r="Q899" s="49" t="n">
        <v>0</v>
      </c>
      <c r="R899" s="49" t="n">
        <v>2</v>
      </c>
      <c r="S899" s="50" t="n">
        <v>0</v>
      </c>
      <c r="T899" s="50" t="n">
        <v>0</v>
      </c>
      <c r="U899" s="50" t="n">
        <v>0</v>
      </c>
      <c r="V899" s="50" t="n">
        <v>0</v>
      </c>
      <c r="W899" s="51" t="n">
        <v>0</v>
      </c>
      <c r="X899" s="51" t="n">
        <v>0</v>
      </c>
      <c r="Y899" s="51" t="n">
        <v>0</v>
      </c>
      <c r="Z899" s="51" t="n">
        <v>0</v>
      </c>
      <c r="AA899" s="52" t="n">
        <v>0</v>
      </c>
      <c r="AB899" s="52" t="n">
        <v>0</v>
      </c>
      <c r="AC899" s="52" t="n">
        <v>0</v>
      </c>
      <c r="AD899" s="52" t="n">
        <v>0</v>
      </c>
      <c r="AE899" s="52" t="n">
        <v>0</v>
      </c>
      <c r="AF899" s="52" t="n">
        <v>0</v>
      </c>
      <c r="AG899" s="52" t="n">
        <v>0</v>
      </c>
      <c r="AH899" s="52" t="n">
        <v>0</v>
      </c>
      <c r="AI899" s="52" t="n">
        <v>0</v>
      </c>
      <c r="AJ899" s="52" t="n">
        <v>0</v>
      </c>
      <c r="AK899" s="52" t="n">
        <v>0</v>
      </c>
      <c r="AL899" s="52" t="n">
        <v>0</v>
      </c>
      <c r="AM899" s="53" t="n">
        <v>0</v>
      </c>
      <c r="AN899" s="53" t="n">
        <v>0</v>
      </c>
      <c r="AO899" s="53" t="n">
        <v>0</v>
      </c>
      <c r="AP899" s="53" t="n">
        <v>0</v>
      </c>
      <c r="AQ899" s="52" t="n">
        <v>0</v>
      </c>
      <c r="AR899" s="52" t="n">
        <v>0</v>
      </c>
      <c r="AS899" s="52" t="n">
        <v>0</v>
      </c>
      <c r="AT899" s="52" t="n">
        <v>0</v>
      </c>
      <c r="AU899" s="53" t="n">
        <v>0</v>
      </c>
      <c r="AV899" s="53" t="n">
        <v>0</v>
      </c>
      <c r="AW899" s="53" t="n">
        <v>0</v>
      </c>
      <c r="AX899" s="53" t="n">
        <v>0</v>
      </c>
      <c r="AY899" s="52" t="n">
        <v>0</v>
      </c>
      <c r="AZ899" s="52" t="n">
        <v>0</v>
      </c>
      <c r="BA899" s="52" t="n">
        <v>0</v>
      </c>
      <c r="BB899" s="52" t="n">
        <v>0</v>
      </c>
      <c r="BC899" s="51" t="n">
        <v>0</v>
      </c>
      <c r="BD899" s="51" t="n">
        <v>0</v>
      </c>
      <c r="BE899" s="51" t="n">
        <v>0</v>
      </c>
      <c r="BF899" s="51" t="n">
        <v>0</v>
      </c>
    </row>
    <row r="900">
      <c r="A900">
        <f>HYPERLINK("https://www.walmart.com/ip/997619642", "997619642")</f>
        <v/>
      </c>
      <c r="B900" t="inlineStr">
        <is>
          <t>Solaris Women's Two Piece V Neck Bathing Suit, 5% Spandex, Black, Extra Large</t>
        </is>
      </c>
      <c r="C900" t="inlineStr">
        <is>
          <t>1SLSS005BK-XL</t>
        </is>
      </c>
      <c r="D900" t="inlineStr">
        <is>
          <t>Swimsuit Sets</t>
        </is>
      </c>
      <c r="E900" t="inlineStr">
        <is>
          <t>Solaris</t>
        </is>
      </c>
      <c r="F900" t="inlineStr">
        <is>
          <t>Optimized</t>
        </is>
      </c>
      <c r="G900" s="48" t="n">
        <v>0</v>
      </c>
      <c r="H900" s="48" t="n">
        <v>0</v>
      </c>
      <c r="I900" s="48" t="n">
        <v>0</v>
      </c>
      <c r="J900" s="48" t="n">
        <v>0</v>
      </c>
      <c r="K900" s="49" t="n">
        <v>0</v>
      </c>
      <c r="L900" s="49" t="n">
        <v>0</v>
      </c>
      <c r="M900" s="49" t="n">
        <v>0</v>
      </c>
      <c r="N900" s="49" t="n">
        <v>0</v>
      </c>
      <c r="O900" s="49" t="n">
        <v>0</v>
      </c>
      <c r="P900" s="49" t="n">
        <v>0</v>
      </c>
      <c r="Q900" s="49" t="n">
        <v>0</v>
      </c>
      <c r="R900" s="49" t="n">
        <v>0</v>
      </c>
      <c r="S900" s="50" t="n">
        <v>0</v>
      </c>
      <c r="T900" s="50" t="n">
        <v>0</v>
      </c>
      <c r="U900" s="50" t="n">
        <v>0</v>
      </c>
      <c r="V900" s="50" t="n">
        <v>0</v>
      </c>
      <c r="W900" s="51" t="n">
        <v>0</v>
      </c>
      <c r="X900" s="51" t="n">
        <v>0</v>
      </c>
      <c r="Y900" s="51" t="n">
        <v>0</v>
      </c>
      <c r="Z900" s="51" t="n">
        <v>0</v>
      </c>
      <c r="AA900" s="52" t="n">
        <v>0</v>
      </c>
      <c r="AB900" s="52" t="n">
        <v>0</v>
      </c>
      <c r="AC900" s="52" t="n">
        <v>0</v>
      </c>
      <c r="AD900" s="52" t="n">
        <v>0</v>
      </c>
      <c r="AE900" s="52" t="n">
        <v>0</v>
      </c>
      <c r="AF900" s="52" t="n">
        <v>0</v>
      </c>
      <c r="AG900" s="52" t="n">
        <v>0</v>
      </c>
      <c r="AH900" s="52" t="n">
        <v>0</v>
      </c>
      <c r="AI900" s="52" t="n">
        <v>0</v>
      </c>
      <c r="AJ900" s="52" t="n">
        <v>0</v>
      </c>
      <c r="AK900" s="52" t="n">
        <v>0</v>
      </c>
      <c r="AL900" s="52" t="n">
        <v>0</v>
      </c>
      <c r="AM900" s="53" t="n">
        <v>0</v>
      </c>
      <c r="AN900" s="53" t="n">
        <v>0</v>
      </c>
      <c r="AO900" s="53" t="n">
        <v>0</v>
      </c>
      <c r="AP900" s="53" t="n">
        <v>0</v>
      </c>
      <c r="AQ900" s="52" t="n">
        <v>0</v>
      </c>
      <c r="AR900" s="52" t="n">
        <v>0</v>
      </c>
      <c r="AS900" s="52" t="n">
        <v>0</v>
      </c>
      <c r="AT900" s="52" t="n">
        <v>0</v>
      </c>
      <c r="AU900" s="53" t="n">
        <v>0</v>
      </c>
      <c r="AV900" s="53" t="n">
        <v>0</v>
      </c>
      <c r="AW900" s="53" t="n">
        <v>0</v>
      </c>
      <c r="AX900" s="53" t="n">
        <v>0</v>
      </c>
      <c r="AY900" s="52" t="n">
        <v>0</v>
      </c>
      <c r="AZ900" s="52" t="n">
        <v>0</v>
      </c>
      <c r="BA900" s="52" t="n">
        <v>0</v>
      </c>
      <c r="BB900" s="52" t="n">
        <v>0</v>
      </c>
      <c r="BC900" s="51" t="n">
        <v>0</v>
      </c>
      <c r="BD900" s="51" t="n">
        <v>0</v>
      </c>
      <c r="BE900" s="51" t="n">
        <v>0</v>
      </c>
      <c r="BF900" s="51" t="n">
        <v>0</v>
      </c>
    </row>
    <row r="901">
      <c r="A901">
        <f>HYPERLINK("https://www.walmart.com/ip/997745808", "997745808")</f>
        <v/>
      </c>
      <c r="B901" t="inlineStr">
        <is>
          <t>Flyingstar Insulated Lunch Bag, Reusable Tote Bag for Women &amp; Men &amp; Kids, Fashionable Large Cooler Lunch Bag for Working/School/Picnic</t>
        </is>
      </c>
      <c r="C901" t="inlineStr">
        <is>
          <t>1WMLB703GY</t>
        </is>
      </c>
      <c r="D901" t="inlineStr">
        <is>
          <t>Reusable Lunch Bags &amp; Boxes</t>
        </is>
      </c>
      <c r="E901" t="inlineStr">
        <is>
          <t>Flyingstar</t>
        </is>
      </c>
      <c r="F901" t="inlineStr">
        <is>
          <t>Q2-Target,Lunch Bag,Optimized,Lunch Bags</t>
        </is>
      </c>
      <c r="G901" s="48" t="n">
        <v>0</v>
      </c>
      <c r="H901" s="48" t="n">
        <v>0</v>
      </c>
      <c r="I901" s="48" t="n">
        <v>0</v>
      </c>
      <c r="J901" s="48" t="n">
        <v>0</v>
      </c>
      <c r="K901" s="49" t="n">
        <v>0</v>
      </c>
      <c r="L901" s="49" t="n">
        <v>0</v>
      </c>
      <c r="M901" s="49" t="n">
        <v>0</v>
      </c>
      <c r="N901" s="49" t="n">
        <v>0</v>
      </c>
      <c r="O901" s="49" t="n">
        <v>0</v>
      </c>
      <c r="P901" s="49" t="n">
        <v>0</v>
      </c>
      <c r="Q901" s="49" t="n">
        <v>0</v>
      </c>
      <c r="R901" s="49" t="n">
        <v>0</v>
      </c>
      <c r="S901" s="50" t="n">
        <v>0</v>
      </c>
      <c r="T901" s="50" t="n">
        <v>0</v>
      </c>
      <c r="U901" s="50" t="n">
        <v>0</v>
      </c>
      <c r="V901" s="50" t="n">
        <v>0</v>
      </c>
      <c r="W901" s="51" t="n">
        <v>0</v>
      </c>
      <c r="X901" s="51" t="n">
        <v>0</v>
      </c>
      <c r="Y901" s="51" t="n">
        <v>0</v>
      </c>
      <c r="Z901" s="51" t="n">
        <v>0</v>
      </c>
      <c r="AA901" s="52" t="n">
        <v>0</v>
      </c>
      <c r="AB901" s="52" t="n">
        <v>0</v>
      </c>
      <c r="AC901" s="52" t="n">
        <v>0</v>
      </c>
      <c r="AD901" s="52" t="n">
        <v>0</v>
      </c>
      <c r="AE901" s="52" t="n">
        <v>0</v>
      </c>
      <c r="AF901" s="52" t="n">
        <v>0</v>
      </c>
      <c r="AG901" s="52" t="n">
        <v>0</v>
      </c>
      <c r="AH901" s="52" t="n">
        <v>0</v>
      </c>
      <c r="AI901" s="52" t="n">
        <v>0</v>
      </c>
      <c r="AJ901" s="52" t="n">
        <v>0</v>
      </c>
      <c r="AK901" s="52" t="n">
        <v>0</v>
      </c>
      <c r="AL901" s="52" t="n">
        <v>0</v>
      </c>
      <c r="AM901" s="53" t="n">
        <v>0</v>
      </c>
      <c r="AN901" s="53" t="n">
        <v>0</v>
      </c>
      <c r="AO901" s="53" t="n">
        <v>0</v>
      </c>
      <c r="AP901" s="53" t="n">
        <v>0</v>
      </c>
      <c r="AQ901" s="52" t="n">
        <v>0</v>
      </c>
      <c r="AR901" s="52" t="n">
        <v>0</v>
      </c>
      <c r="AS901" s="52" t="n">
        <v>0</v>
      </c>
      <c r="AT901" s="52" t="n">
        <v>0</v>
      </c>
      <c r="AU901" s="53" t="n">
        <v>0</v>
      </c>
      <c r="AV901" s="53" t="n">
        <v>0</v>
      </c>
      <c r="AW901" s="53" t="n">
        <v>0</v>
      </c>
      <c r="AX901" s="53" t="n">
        <v>0</v>
      </c>
      <c r="AY901" s="52" t="n">
        <v>0</v>
      </c>
      <c r="AZ901" s="52" t="n">
        <v>0</v>
      </c>
      <c r="BA901" s="52" t="n">
        <v>0</v>
      </c>
      <c r="BB901" s="52" t="n">
        <v>0</v>
      </c>
      <c r="BC901" s="51" t="n">
        <v>0</v>
      </c>
      <c r="BD901" s="51" t="n">
        <v>0</v>
      </c>
      <c r="BE901" s="51" t="n">
        <v>0</v>
      </c>
      <c r="BF901" s="51" t="n">
        <v>0</v>
      </c>
    </row>
    <row r="902">
      <c r="A902">
        <f>HYPERLINK("https://www.walmart.com/ip/998009042", "998009042")</f>
        <v/>
      </c>
      <c r="B902" t="inlineStr">
        <is>
          <t>Tirrinia Insulated 2 Bottle Wine Carrier Tote Cooler Bag for Travel Picnic Padded Champagne Glass</t>
        </is>
      </c>
      <c r="C902" t="inlineStr">
        <is>
          <t>1WMWB231WTFL</t>
        </is>
      </c>
      <c r="D902" t="inlineStr">
        <is>
          <t>Wine Totes, Bags &amp; Backpacks</t>
        </is>
      </c>
      <c r="E902" t="inlineStr">
        <is>
          <t>Flyingstar</t>
        </is>
      </c>
      <c r="F902" t="inlineStr">
        <is>
          <t>Wine,Christmas,Valentine</t>
        </is>
      </c>
      <c r="G902" s="48" t="n">
        <v>0</v>
      </c>
      <c r="H902" s="48" t="n">
        <v>0</v>
      </c>
      <c r="I902" s="48" t="n">
        <v>0</v>
      </c>
      <c r="J902" s="48" t="n">
        <v>0</v>
      </c>
      <c r="K902" s="49" t="n">
        <v>0</v>
      </c>
      <c r="L902" s="49" t="n">
        <v>0</v>
      </c>
      <c r="M902" s="49" t="n">
        <v>0</v>
      </c>
      <c r="N902" s="49" t="n">
        <v>0</v>
      </c>
      <c r="O902" s="49" t="n">
        <v>0</v>
      </c>
      <c r="P902" s="49" t="n">
        <v>0</v>
      </c>
      <c r="Q902" s="49" t="n">
        <v>0</v>
      </c>
      <c r="R902" s="49" t="n">
        <v>0</v>
      </c>
      <c r="S902" s="50" t="n">
        <v>0</v>
      </c>
      <c r="T902" s="50" t="n">
        <v>0</v>
      </c>
      <c r="U902" s="50" t="n">
        <v>0</v>
      </c>
      <c r="V902" s="50" t="n">
        <v>0</v>
      </c>
      <c r="W902" s="51" t="n">
        <v>0</v>
      </c>
      <c r="X902" s="51" t="n">
        <v>0</v>
      </c>
      <c r="Y902" s="51" t="n">
        <v>0</v>
      </c>
      <c r="Z902" s="51" t="n">
        <v>0</v>
      </c>
      <c r="AA902" s="52" t="n">
        <v>0</v>
      </c>
      <c r="AB902" s="52" t="n">
        <v>0</v>
      </c>
      <c r="AC902" s="52" t="n">
        <v>0</v>
      </c>
      <c r="AD902" s="52" t="n">
        <v>0</v>
      </c>
      <c r="AE902" s="52" t="n">
        <v>0</v>
      </c>
      <c r="AF902" s="52" t="n">
        <v>0</v>
      </c>
      <c r="AG902" s="52" t="n">
        <v>0</v>
      </c>
      <c r="AH902" s="52" t="n">
        <v>0</v>
      </c>
      <c r="AI902" s="52" t="n">
        <v>0</v>
      </c>
      <c r="AJ902" s="52" t="n">
        <v>0</v>
      </c>
      <c r="AK902" s="52" t="n">
        <v>0</v>
      </c>
      <c r="AL902" s="52" t="n">
        <v>0</v>
      </c>
      <c r="AM902" s="53" t="n">
        <v>0</v>
      </c>
      <c r="AN902" s="53" t="n">
        <v>0</v>
      </c>
      <c r="AO902" s="53" t="n">
        <v>0</v>
      </c>
      <c r="AP902" s="53" t="n">
        <v>0</v>
      </c>
      <c r="AQ902" s="52" t="n">
        <v>0</v>
      </c>
      <c r="AR902" s="52" t="n">
        <v>0</v>
      </c>
      <c r="AS902" s="52" t="n">
        <v>0</v>
      </c>
      <c r="AT902" s="52" t="n">
        <v>0</v>
      </c>
      <c r="AU902" s="53" t="n">
        <v>0</v>
      </c>
      <c r="AV902" s="53" t="n">
        <v>0</v>
      </c>
      <c r="AW902" s="53" t="n">
        <v>0</v>
      </c>
      <c r="AX902" s="53" t="n">
        <v>0</v>
      </c>
      <c r="AY902" s="52" t="n">
        <v>0</v>
      </c>
      <c r="AZ902" s="52" t="n">
        <v>0</v>
      </c>
      <c r="BA902" s="52" t="n">
        <v>0</v>
      </c>
      <c r="BB902" s="52" t="n">
        <v>0</v>
      </c>
      <c r="BC902" s="51" t="n">
        <v>0</v>
      </c>
      <c r="BD902" s="51" t="n">
        <v>0</v>
      </c>
      <c r="BE902" s="51" t="n">
        <v>0</v>
      </c>
      <c r="BF902" s="51" t="n">
        <v>0</v>
      </c>
    </row>
    <row r="903">
      <c r="A903">
        <f>HYPERLINK("https://www.walmart.com/ip/998038481", "998038481")</f>
        <v/>
      </c>
      <c r="B903" t="inlineStr">
        <is>
          <t>Sherpa Wearable Blanket with Sleeves Arms, Super Soft Warm Comfy Large Fleece Plush Sleeved TV Throws Wrap Robe Blanket for Adult Women and Men by Catalonia</t>
        </is>
      </c>
      <c r="C903" t="inlineStr">
        <is>
          <t>1CTSN210CA</t>
        </is>
      </c>
      <c r="D903" t="inlineStr">
        <is>
          <t>Throws</t>
        </is>
      </c>
      <c r="E903" t="inlineStr">
        <is>
          <t>Catalonia</t>
        </is>
      </c>
      <c r="F903" t="inlineStr">
        <is>
          <t>Coupon_Discount,Batch 1 - TR</t>
        </is>
      </c>
      <c r="G903" s="48" t="n">
        <v>0</v>
      </c>
      <c r="H903" s="48" t="n">
        <v>0</v>
      </c>
      <c r="I903" s="48" t="n">
        <v>0</v>
      </c>
      <c r="J903" s="48" t="n">
        <v>0</v>
      </c>
      <c r="K903" s="49" t="n">
        <v>0</v>
      </c>
      <c r="L903" s="49" t="n">
        <v>0</v>
      </c>
      <c r="M903" s="49" t="n">
        <v>0</v>
      </c>
      <c r="N903" s="49" t="n">
        <v>0</v>
      </c>
      <c r="O903" s="49" t="n">
        <v>0</v>
      </c>
      <c r="P903" s="49" t="n">
        <v>0</v>
      </c>
      <c r="Q903" s="49" t="n">
        <v>0</v>
      </c>
      <c r="R903" s="49" t="n">
        <v>0</v>
      </c>
      <c r="S903" s="50" t="n">
        <v>0</v>
      </c>
      <c r="T903" s="50" t="n">
        <v>0</v>
      </c>
      <c r="U903" s="50" t="n">
        <v>0</v>
      </c>
      <c r="V903" s="50" t="n">
        <v>0</v>
      </c>
      <c r="W903" s="51" t="n">
        <v>0</v>
      </c>
      <c r="X903" s="51" t="n">
        <v>0</v>
      </c>
      <c r="Y903" s="51" t="n">
        <v>0</v>
      </c>
      <c r="Z903" s="51" t="n">
        <v>0</v>
      </c>
      <c r="AA903" s="52" t="n">
        <v>0</v>
      </c>
      <c r="AB903" s="52" t="n">
        <v>0</v>
      </c>
      <c r="AC903" s="52" t="n">
        <v>0</v>
      </c>
      <c r="AD903" s="52" t="n">
        <v>0</v>
      </c>
      <c r="AE903" s="52" t="n">
        <v>0</v>
      </c>
      <c r="AF903" s="52" t="n">
        <v>0</v>
      </c>
      <c r="AG903" s="52" t="n">
        <v>0</v>
      </c>
      <c r="AH903" s="52" t="n">
        <v>0</v>
      </c>
      <c r="AI903" s="52" t="n">
        <v>0</v>
      </c>
      <c r="AJ903" s="52" t="n">
        <v>0</v>
      </c>
      <c r="AK903" s="52" t="n">
        <v>0</v>
      </c>
      <c r="AL903" s="52" t="n">
        <v>0</v>
      </c>
      <c r="AM903" s="53" t="n">
        <v>0</v>
      </c>
      <c r="AN903" s="53" t="n">
        <v>0</v>
      </c>
      <c r="AO903" s="53" t="n">
        <v>0</v>
      </c>
      <c r="AP903" s="53" t="n">
        <v>0</v>
      </c>
      <c r="AQ903" s="52" t="n">
        <v>0</v>
      </c>
      <c r="AR903" s="52" t="n">
        <v>0</v>
      </c>
      <c r="AS903" s="52" t="n">
        <v>0</v>
      </c>
      <c r="AT903" s="52" t="n">
        <v>0</v>
      </c>
      <c r="AU903" s="53" t="n">
        <v>0</v>
      </c>
      <c r="AV903" s="53" t="n">
        <v>0</v>
      </c>
      <c r="AW903" s="53" t="n">
        <v>0</v>
      </c>
      <c r="AX903" s="53" t="n">
        <v>0</v>
      </c>
      <c r="AY903" s="52" t="n">
        <v>0</v>
      </c>
      <c r="AZ903" s="52" t="n">
        <v>0</v>
      </c>
      <c r="BA903" s="52" t="n">
        <v>0</v>
      </c>
      <c r="BB903" s="52" t="n">
        <v>0</v>
      </c>
      <c r="BC903" s="51" t="n">
        <v>0</v>
      </c>
      <c r="BD903" s="51" t="n">
        <v>0</v>
      </c>
      <c r="BE903" s="51" t="n">
        <v>0</v>
      </c>
      <c r="BF903" s="51" t="n">
        <v>0</v>
      </c>
    </row>
    <row r="904">
      <c r="A904">
        <f>HYPERLINK("https://www.walmart.com/ip/998086114", "998086114")</f>
        <v/>
      </c>
      <c r="B904" t="inlineStr">
        <is>
          <t>Tirrinia Chevron Sherpa Throw Blanket, 60"L x 50"W, Gray Micro Fleece Blanket for Couch, TV</t>
        </is>
      </c>
      <c r="C904" t="inlineStr">
        <is>
          <t>1TRBF560GY-TBCB</t>
        </is>
      </c>
      <c r="D904" t="inlineStr">
        <is>
          <t>Throws</t>
        </is>
      </c>
      <c r="E904" t="inlineStr">
        <is>
          <t>Tirrinia</t>
        </is>
      </c>
      <c r="F904" t="inlineStr">
        <is>
          <t>Optimized</t>
        </is>
      </c>
      <c r="G904" s="48" t="n">
        <v>0</v>
      </c>
      <c r="H904" s="48" t="n">
        <v>0</v>
      </c>
      <c r="I904" s="48" t="n">
        <v>0</v>
      </c>
      <c r="J904" s="48" t="n">
        <v>0</v>
      </c>
      <c r="K904" s="49" t="n">
        <v>0</v>
      </c>
      <c r="L904" s="49" t="n">
        <v>0</v>
      </c>
      <c r="M904" s="49" t="n">
        <v>0</v>
      </c>
      <c r="N904" s="49" t="n">
        <v>0</v>
      </c>
      <c r="O904" s="49" t="n">
        <v>0</v>
      </c>
      <c r="P904" s="49" t="n">
        <v>0</v>
      </c>
      <c r="Q904" s="49" t="n">
        <v>0</v>
      </c>
      <c r="R904" s="49" t="n">
        <v>0</v>
      </c>
      <c r="S904" s="50" t="n">
        <v>0</v>
      </c>
      <c r="T904" s="50" t="n">
        <v>0</v>
      </c>
      <c r="U904" s="50" t="n">
        <v>0</v>
      </c>
      <c r="V904" s="50" t="n">
        <v>0</v>
      </c>
      <c r="W904" s="51" t="n">
        <v>0</v>
      </c>
      <c r="X904" s="51" t="n">
        <v>0</v>
      </c>
      <c r="Y904" s="51" t="n">
        <v>0</v>
      </c>
      <c r="Z904" s="51" t="n">
        <v>0</v>
      </c>
      <c r="AA904" s="52" t="n">
        <v>0</v>
      </c>
      <c r="AB904" s="52" t="n">
        <v>0</v>
      </c>
      <c r="AC904" s="52" t="n">
        <v>0</v>
      </c>
      <c r="AD904" s="52" t="n">
        <v>0</v>
      </c>
      <c r="AE904" s="52" t="n">
        <v>0</v>
      </c>
      <c r="AF904" s="52" t="n">
        <v>0</v>
      </c>
      <c r="AG904" s="52" t="n">
        <v>0</v>
      </c>
      <c r="AH904" s="52" t="n">
        <v>0</v>
      </c>
      <c r="AI904" s="52" t="n">
        <v>0</v>
      </c>
      <c r="AJ904" s="52" t="n">
        <v>0</v>
      </c>
      <c r="AK904" s="52" t="n">
        <v>0</v>
      </c>
      <c r="AL904" s="52" t="n">
        <v>0</v>
      </c>
      <c r="AM904" s="53" t="n">
        <v>0</v>
      </c>
      <c r="AN904" s="53" t="n">
        <v>0</v>
      </c>
      <c r="AO904" s="53" t="n">
        <v>0</v>
      </c>
      <c r="AP904" s="53" t="n">
        <v>0</v>
      </c>
      <c r="AQ904" s="52" t="n">
        <v>0</v>
      </c>
      <c r="AR904" s="52" t="n">
        <v>0</v>
      </c>
      <c r="AS904" s="52" t="n">
        <v>0</v>
      </c>
      <c r="AT904" s="52" t="n">
        <v>0</v>
      </c>
      <c r="AU904" s="53" t="n">
        <v>0</v>
      </c>
      <c r="AV904" s="53" t="n">
        <v>0</v>
      </c>
      <c r="AW904" s="53" t="n">
        <v>0</v>
      </c>
      <c r="AX904" s="53" t="n">
        <v>0</v>
      </c>
      <c r="AY904" s="52" t="n">
        <v>0</v>
      </c>
      <c r="AZ904" s="52" t="n">
        <v>0</v>
      </c>
      <c r="BA904" s="52" t="n">
        <v>0</v>
      </c>
      <c r="BB904" s="52" t="n">
        <v>0</v>
      </c>
      <c r="BC904" s="51" t="n">
        <v>0</v>
      </c>
      <c r="BD904" s="51" t="n">
        <v>0</v>
      </c>
      <c r="BE904" s="51" t="n">
        <v>0</v>
      </c>
      <c r="BF904" s="51" t="n">
        <v>0</v>
      </c>
    </row>
    <row r="905">
      <c r="A905">
        <f>HYPERLINK("https://www.walmart.com/ip/998346056", "998346056")</f>
        <v/>
      </c>
      <c r="B905" t="inlineStr">
        <is>
          <t>Tirrinia Fleece Blanket Poncho Full Body Wrap Cover for Adult, Wine</t>
        </is>
      </c>
      <c r="C905" t="inlineStr">
        <is>
          <t>1TRBP200WN-TBCB</t>
        </is>
      </c>
      <c r="D905" t="inlineStr">
        <is>
          <t>Throws</t>
        </is>
      </c>
      <c r="E905" t="inlineStr">
        <is>
          <t>Tirrinia</t>
        </is>
      </c>
      <c r="F905" t="inlineStr">
        <is>
          <t>Optimized,WFS,Coupon_Discount,WFS Item</t>
        </is>
      </c>
      <c r="G905" s="48" t="n">
        <v>0</v>
      </c>
      <c r="H905" s="48" t="n">
        <v>0</v>
      </c>
      <c r="I905" s="48" t="n">
        <v>0</v>
      </c>
      <c r="J905" s="48" t="n">
        <v>0</v>
      </c>
      <c r="K905" s="49" t="n">
        <v>0</v>
      </c>
      <c r="L905" s="49" t="n">
        <v>0</v>
      </c>
      <c r="M905" s="49" t="n">
        <v>0</v>
      </c>
      <c r="N905" s="49" t="n">
        <v>0</v>
      </c>
      <c r="O905" s="49" t="n">
        <v>0</v>
      </c>
      <c r="P905" s="49" t="n">
        <v>0</v>
      </c>
      <c r="Q905" s="49" t="n">
        <v>0</v>
      </c>
      <c r="R905" s="49" t="n">
        <v>0</v>
      </c>
      <c r="S905" s="50" t="n">
        <v>0</v>
      </c>
      <c r="T905" s="50" t="n">
        <v>0</v>
      </c>
      <c r="U905" s="50" t="n">
        <v>0</v>
      </c>
      <c r="V905" s="50" t="n">
        <v>0</v>
      </c>
      <c r="W905" s="51" t="n">
        <v>0</v>
      </c>
      <c r="X905" s="51" t="n">
        <v>0</v>
      </c>
      <c r="Y905" s="51" t="n">
        <v>0</v>
      </c>
      <c r="Z905" s="51" t="n">
        <v>0</v>
      </c>
      <c r="AA905" s="52" t="n">
        <v>0</v>
      </c>
      <c r="AB905" s="52" t="n">
        <v>0</v>
      </c>
      <c r="AC905" s="52" t="n">
        <v>0</v>
      </c>
      <c r="AD905" s="52" t="n">
        <v>0</v>
      </c>
      <c r="AE905" s="52" t="n">
        <v>0</v>
      </c>
      <c r="AF905" s="52" t="n">
        <v>0</v>
      </c>
      <c r="AG905" s="52" t="n">
        <v>0</v>
      </c>
      <c r="AH905" s="52" t="n">
        <v>0</v>
      </c>
      <c r="AI905" s="52" t="n">
        <v>0</v>
      </c>
      <c r="AJ905" s="52" t="n">
        <v>0</v>
      </c>
      <c r="AK905" s="52" t="n">
        <v>0</v>
      </c>
      <c r="AL905" s="52" t="n">
        <v>0</v>
      </c>
      <c r="AM905" s="53" t="n">
        <v>0</v>
      </c>
      <c r="AN905" s="53" t="n">
        <v>0</v>
      </c>
      <c r="AO905" s="53" t="n">
        <v>0</v>
      </c>
      <c r="AP905" s="53" t="n">
        <v>0</v>
      </c>
      <c r="AQ905" s="52" t="n">
        <v>0</v>
      </c>
      <c r="AR905" s="52" t="n">
        <v>0</v>
      </c>
      <c r="AS905" s="52" t="n">
        <v>0</v>
      </c>
      <c r="AT905" s="52" t="n">
        <v>0</v>
      </c>
      <c r="AU905" s="53" t="n">
        <v>0</v>
      </c>
      <c r="AV905" s="53" t="n">
        <v>0</v>
      </c>
      <c r="AW905" s="53" t="n">
        <v>0</v>
      </c>
      <c r="AX905" s="53" t="n">
        <v>0</v>
      </c>
      <c r="AY905" s="52" t="n">
        <v>0</v>
      </c>
      <c r="AZ905" s="52" t="n">
        <v>0</v>
      </c>
      <c r="BA905" s="52" t="n">
        <v>0</v>
      </c>
      <c r="BB905" s="52" t="n">
        <v>0</v>
      </c>
      <c r="BC905" s="51" t="n">
        <v>0</v>
      </c>
      <c r="BD905" s="51" t="n">
        <v>0</v>
      </c>
      <c r="BE905" s="51" t="n">
        <v>0</v>
      </c>
      <c r="BF905" s="51" t="n">
        <v>0</v>
      </c>
    </row>
    <row r="906">
      <c r="A906">
        <f>HYPERLINK("https://www.walmart.com/ip/998760766", "998760766")</f>
        <v/>
      </c>
      <c r="B906" t="inlineStr">
        <is>
          <t>Solaris Sun Hats UV Protection Wide Brim Hat Unisex Adult Multicolor</t>
        </is>
      </c>
      <c r="C906" t="inlineStr">
        <is>
          <t>1SLSH910-digign</t>
        </is>
      </c>
      <c r="D906" t="inlineStr">
        <is>
          <t>Hats</t>
        </is>
      </c>
      <c r="E906" t="inlineStr">
        <is>
          <t>Solaris</t>
        </is>
      </c>
      <c r="F906" t="inlineStr">
        <is>
          <t>Hats,Batch 1 - TR</t>
        </is>
      </c>
      <c r="G906" s="48" t="n">
        <v>0</v>
      </c>
      <c r="H906" s="48" t="n">
        <v>0</v>
      </c>
      <c r="I906" s="48" t="n">
        <v>0</v>
      </c>
      <c r="J906" s="48" t="n">
        <v>0</v>
      </c>
      <c r="K906" s="49" t="n">
        <v>0</v>
      </c>
      <c r="L906" s="49" t="n">
        <v>0</v>
      </c>
      <c r="M906" s="49" t="n">
        <v>0</v>
      </c>
      <c r="N906" s="49" t="n">
        <v>0</v>
      </c>
      <c r="O906" s="49" t="n">
        <v>0</v>
      </c>
      <c r="P906" s="49" t="n">
        <v>0</v>
      </c>
      <c r="Q906" s="49" t="n">
        <v>0</v>
      </c>
      <c r="R906" s="49" t="n">
        <v>0</v>
      </c>
      <c r="S906" s="50" t="n">
        <v>0</v>
      </c>
      <c r="T906" s="50" t="n">
        <v>0</v>
      </c>
      <c r="U906" s="50" t="n">
        <v>0</v>
      </c>
      <c r="V906" s="50" t="n">
        <v>0</v>
      </c>
      <c r="W906" s="51" t="n">
        <v>0</v>
      </c>
      <c r="X906" s="51" t="n">
        <v>0</v>
      </c>
      <c r="Y906" s="51" t="n">
        <v>0</v>
      </c>
      <c r="Z906" s="51" t="n">
        <v>0</v>
      </c>
      <c r="AA906" s="52" t="n">
        <v>0</v>
      </c>
      <c r="AB906" s="52" t="n">
        <v>0</v>
      </c>
      <c r="AC906" s="52" t="n">
        <v>0</v>
      </c>
      <c r="AD906" s="52" t="n">
        <v>0</v>
      </c>
      <c r="AE906" s="52" t="n">
        <v>0</v>
      </c>
      <c r="AF906" s="52" t="n">
        <v>0</v>
      </c>
      <c r="AG906" s="52" t="n">
        <v>0</v>
      </c>
      <c r="AH906" s="52" t="n">
        <v>0</v>
      </c>
      <c r="AI906" s="52" t="n">
        <v>0</v>
      </c>
      <c r="AJ906" s="52" t="n">
        <v>0</v>
      </c>
      <c r="AK906" s="52" t="n">
        <v>0</v>
      </c>
      <c r="AL906" s="52" t="n">
        <v>0</v>
      </c>
      <c r="AM906" s="53" t="n">
        <v>0</v>
      </c>
      <c r="AN906" s="53" t="n">
        <v>0</v>
      </c>
      <c r="AO906" s="53" t="n">
        <v>0</v>
      </c>
      <c r="AP906" s="53" t="n">
        <v>0</v>
      </c>
      <c r="AQ906" s="52" t="n">
        <v>0</v>
      </c>
      <c r="AR906" s="52" t="n">
        <v>0</v>
      </c>
      <c r="AS906" s="52" t="n">
        <v>0</v>
      </c>
      <c r="AT906" s="52" t="n">
        <v>0</v>
      </c>
      <c r="AU906" s="53" t="n">
        <v>0</v>
      </c>
      <c r="AV906" s="53" t="n">
        <v>0</v>
      </c>
      <c r="AW906" s="53" t="n">
        <v>0</v>
      </c>
      <c r="AX906" s="53" t="n">
        <v>0</v>
      </c>
      <c r="AY906" s="52" t="n">
        <v>0</v>
      </c>
      <c r="AZ906" s="52" t="n">
        <v>0</v>
      </c>
      <c r="BA906" s="52" t="n">
        <v>0</v>
      </c>
      <c r="BB906" s="52" t="n">
        <v>0</v>
      </c>
      <c r="BC906" s="51" t="n">
        <v>0</v>
      </c>
      <c r="BD906" s="51" t="n">
        <v>0</v>
      </c>
      <c r="BE906" s="51" t="n">
        <v>0</v>
      </c>
      <c r="BF906" s="51" t="n">
        <v>0</v>
      </c>
    </row>
    <row r="907">
      <c r="A907">
        <f>HYPERLINK("https://www.walmart.com/ip/992076213", "992076213")</f>
        <v/>
      </c>
      <c r="B907" t="inlineStr">
        <is>
          <t>Solaris Ski Gloves, Winter Warm 3M Insulation Waterproof Snow Gloves for Skiing, Snowboarding, Motorcycling,Cycling, Outdoor Sports, Gifts for Men, Size Run Small</t>
        </is>
      </c>
      <c r="C907" t="inlineStr">
        <is>
          <t>1SLWG300BKL</t>
        </is>
      </c>
      <c r="D907" t="inlineStr">
        <is>
          <t>Gloves &amp; Mittens</t>
        </is>
      </c>
      <c r="E907" t="inlineStr">
        <is>
          <t>Solaris</t>
        </is>
      </c>
      <c r="F907" t="inlineStr">
        <is>
          <t>Gloves,WFS,WFS Item</t>
        </is>
      </c>
      <c r="G907" s="48" t="n">
        <v>0</v>
      </c>
      <c r="H907" s="48" t="n">
        <v>0</v>
      </c>
      <c r="I907" s="48" t="n">
        <v>0</v>
      </c>
      <c r="J907" s="48" t="n">
        <v>0</v>
      </c>
      <c r="K907" s="49" t="n">
        <v>0</v>
      </c>
      <c r="L907" s="49" t="n">
        <v>0</v>
      </c>
      <c r="M907" s="49" t="n">
        <v>0</v>
      </c>
      <c r="N907" s="49" t="n">
        <v>0</v>
      </c>
      <c r="O907" s="49" t="n">
        <v>0</v>
      </c>
      <c r="P907" s="49" t="n">
        <v>0</v>
      </c>
      <c r="Q907" s="49" t="n">
        <v>0</v>
      </c>
      <c r="R907" s="49" t="n">
        <v>0</v>
      </c>
      <c r="S907" s="50" t="n">
        <v>0</v>
      </c>
      <c r="T907" s="50" t="n">
        <v>0</v>
      </c>
      <c r="U907" s="50" t="n">
        <v>0</v>
      </c>
      <c r="V907" s="50" t="n">
        <v>0</v>
      </c>
      <c r="W907" s="51" t="n">
        <v>0</v>
      </c>
      <c r="X907" s="51" t="n">
        <v>0</v>
      </c>
      <c r="Y907" s="51" t="n">
        <v>0</v>
      </c>
      <c r="Z907" s="51" t="n">
        <v>0</v>
      </c>
      <c r="AA907" s="52" t="n">
        <v>0</v>
      </c>
      <c r="AB907" s="52" t="n">
        <v>0</v>
      </c>
      <c r="AC907" s="52" t="n">
        <v>0</v>
      </c>
      <c r="AD907" s="52" t="n">
        <v>0</v>
      </c>
      <c r="AE907" s="52" t="n">
        <v>0</v>
      </c>
      <c r="AF907" s="52" t="n">
        <v>0</v>
      </c>
      <c r="AG907" s="52" t="n">
        <v>0</v>
      </c>
      <c r="AH907" s="52" t="n">
        <v>0</v>
      </c>
      <c r="AI907" s="52" t="n">
        <v>0</v>
      </c>
      <c r="AJ907" s="52" t="n">
        <v>0</v>
      </c>
      <c r="AK907" s="52" t="n">
        <v>0</v>
      </c>
      <c r="AL907" s="52" t="n">
        <v>0</v>
      </c>
      <c r="AM907" s="53" t="n">
        <v>0</v>
      </c>
      <c r="AN907" s="53" t="n">
        <v>0</v>
      </c>
      <c r="AO907" s="53" t="n">
        <v>0</v>
      </c>
      <c r="AP907" s="53" t="n">
        <v>0</v>
      </c>
      <c r="AQ907" s="52" t="n">
        <v>0</v>
      </c>
      <c r="AR907" s="52" t="n">
        <v>0</v>
      </c>
      <c r="AS907" s="52" t="n">
        <v>0</v>
      </c>
      <c r="AT907" s="52" t="n">
        <v>0</v>
      </c>
      <c r="AU907" s="53" t="n">
        <v>0</v>
      </c>
      <c r="AV907" s="53" t="n">
        <v>0</v>
      </c>
      <c r="AW907" s="53" t="n">
        <v>0</v>
      </c>
      <c r="AX907" s="53" t="n">
        <v>0</v>
      </c>
      <c r="AY907" s="52" t="n">
        <v>0</v>
      </c>
      <c r="AZ907" s="52" t="n">
        <v>0</v>
      </c>
      <c r="BA907" s="52" t="n">
        <v>0</v>
      </c>
      <c r="BB907" s="52" t="n">
        <v>0</v>
      </c>
      <c r="BC907" s="51" t="n">
        <v>0</v>
      </c>
      <c r="BD907" s="51" t="n">
        <v>0</v>
      </c>
      <c r="BE907" s="51" t="n">
        <v>0</v>
      </c>
      <c r="BF907" s="51" t="n">
        <v>0</v>
      </c>
    </row>
    <row r="908">
      <c r="A908">
        <f>HYPERLINK("https://www.walmart.com/ip/991629663", "991629663")</f>
        <v/>
      </c>
      <c r="B908" t="inlineStr">
        <is>
          <t>Tirrinia Wine Cooler bag - 3 Bottle Travel Insulated Padded Wine Carrier Tote Bag with Handle and Adjustable Shoulder Strap</t>
        </is>
      </c>
      <c r="C908" t="inlineStr">
        <is>
          <t>1WMWB310RD</t>
        </is>
      </c>
      <c r="D908" t="inlineStr">
        <is>
          <t>Wine Totes, Bags &amp; Backpacks</t>
        </is>
      </c>
      <c r="E908" t="inlineStr">
        <is>
          <t>Flyingstar</t>
        </is>
      </c>
      <c r="F908" t="inlineStr">
        <is>
          <t>Wine,Christmas,Valentine</t>
        </is>
      </c>
      <c r="G908" s="48" t="n">
        <v>0</v>
      </c>
      <c r="H908" s="48" t="n">
        <v>0</v>
      </c>
      <c r="I908" s="48" t="n">
        <v>0</v>
      </c>
      <c r="J908" s="48" t="n">
        <v>0</v>
      </c>
      <c r="K908" s="49" t="n">
        <v>0</v>
      </c>
      <c r="L908" s="49" t="n">
        <v>0</v>
      </c>
      <c r="M908" s="49" t="n">
        <v>0</v>
      </c>
      <c r="N908" s="49" t="n">
        <v>0</v>
      </c>
      <c r="O908" s="49" t="n">
        <v>0</v>
      </c>
      <c r="P908" s="49" t="n">
        <v>0</v>
      </c>
      <c r="Q908" s="49" t="n">
        <v>0</v>
      </c>
      <c r="R908" s="49" t="n">
        <v>0</v>
      </c>
      <c r="S908" s="50" t="n">
        <v>0</v>
      </c>
      <c r="T908" s="50" t="n">
        <v>0</v>
      </c>
      <c r="U908" s="50" t="n">
        <v>0</v>
      </c>
      <c r="V908" s="50" t="n">
        <v>0</v>
      </c>
      <c r="W908" s="51" t="n">
        <v>0</v>
      </c>
      <c r="X908" s="51" t="n">
        <v>0</v>
      </c>
      <c r="Y908" s="51" t="n">
        <v>0</v>
      </c>
      <c r="Z908" s="51" t="n">
        <v>0</v>
      </c>
      <c r="AA908" s="52" t="n">
        <v>0</v>
      </c>
      <c r="AB908" s="52" t="n">
        <v>0</v>
      </c>
      <c r="AC908" s="52" t="n">
        <v>0</v>
      </c>
      <c r="AD908" s="52" t="n">
        <v>0</v>
      </c>
      <c r="AE908" s="52" t="n">
        <v>0</v>
      </c>
      <c r="AF908" s="52" t="n">
        <v>0</v>
      </c>
      <c r="AG908" s="52" t="n">
        <v>0</v>
      </c>
      <c r="AH908" s="52" t="n">
        <v>0</v>
      </c>
      <c r="AI908" s="52" t="n">
        <v>0</v>
      </c>
      <c r="AJ908" s="52" t="n">
        <v>0</v>
      </c>
      <c r="AK908" s="52" t="n">
        <v>0</v>
      </c>
      <c r="AL908" s="52" t="n">
        <v>0</v>
      </c>
      <c r="AM908" s="53" t="n">
        <v>0</v>
      </c>
      <c r="AN908" s="53" t="n">
        <v>0</v>
      </c>
      <c r="AO908" s="53" t="n">
        <v>0</v>
      </c>
      <c r="AP908" s="53" t="n">
        <v>0</v>
      </c>
      <c r="AQ908" s="52" t="n">
        <v>0</v>
      </c>
      <c r="AR908" s="52" t="n">
        <v>0</v>
      </c>
      <c r="AS908" s="52" t="n">
        <v>0</v>
      </c>
      <c r="AT908" s="52" t="n">
        <v>0</v>
      </c>
      <c r="AU908" s="53" t="n">
        <v>0</v>
      </c>
      <c r="AV908" s="53" t="n">
        <v>0</v>
      </c>
      <c r="AW908" s="53" t="n">
        <v>0</v>
      </c>
      <c r="AX908" s="53" t="n">
        <v>0</v>
      </c>
      <c r="AY908" s="52" t="n">
        <v>0</v>
      </c>
      <c r="AZ908" s="52" t="n">
        <v>0</v>
      </c>
      <c r="BA908" s="52" t="n">
        <v>0</v>
      </c>
      <c r="BB908" s="52" t="n">
        <v>0</v>
      </c>
      <c r="BC908" s="51" t="n">
        <v>0</v>
      </c>
      <c r="BD908" s="51" t="n">
        <v>0</v>
      </c>
      <c r="BE908" s="51" t="n">
        <v>0</v>
      </c>
      <c r="BF908" s="51" t="n">
        <v>0</v>
      </c>
    </row>
    <row r="909">
      <c r="A909">
        <f>HYPERLINK("https://www.walmart.com/ip/982483953", "982483953")</f>
        <v/>
      </c>
      <c r="B909" t="inlineStr">
        <is>
          <t>Tirrinia Fishing Hiking Hat for Women Safari Sun Hat Wide Brim Camping Hiking Fishing Hunting Boating Safari Cap with Adjustable Drawstring Boonie UPF 50+ Grey</t>
        </is>
      </c>
      <c r="C909" t="inlineStr">
        <is>
          <t>1TRSH9154GY-TBGM</t>
        </is>
      </c>
      <c r="D909" t="inlineStr">
        <is>
          <t>Hats</t>
        </is>
      </c>
      <c r="E909" t="inlineStr">
        <is>
          <t>Sun Blocker</t>
        </is>
      </c>
      <c r="F909" t="inlineStr">
        <is>
          <t>Batch 1 - TR</t>
        </is>
      </c>
      <c r="G909" s="48" t="n">
        <v>0</v>
      </c>
      <c r="H909" s="48" t="n">
        <v>0</v>
      </c>
      <c r="I909" s="48" t="n">
        <v>0</v>
      </c>
      <c r="J909" s="48" t="n">
        <v>0</v>
      </c>
      <c r="K909" s="49" t="n">
        <v>0</v>
      </c>
      <c r="L909" s="49" t="n">
        <v>0</v>
      </c>
      <c r="M909" s="49" t="n">
        <v>0</v>
      </c>
      <c r="N909" s="49" t="n">
        <v>0</v>
      </c>
      <c r="O909" s="49" t="n">
        <v>0</v>
      </c>
      <c r="P909" s="49" t="n">
        <v>0</v>
      </c>
      <c r="Q909" s="49" t="n">
        <v>0</v>
      </c>
      <c r="R909" s="49" t="n">
        <v>0</v>
      </c>
      <c r="S909" s="50" t="n">
        <v>0</v>
      </c>
      <c r="T909" s="50" t="n">
        <v>0</v>
      </c>
      <c r="U909" s="50" t="n">
        <v>0</v>
      </c>
      <c r="V909" s="50" t="n">
        <v>0</v>
      </c>
      <c r="W909" s="51" t="n">
        <v>0</v>
      </c>
      <c r="X909" s="51" t="n">
        <v>0</v>
      </c>
      <c r="Y909" s="51" t="n">
        <v>0</v>
      </c>
      <c r="Z909" s="51" t="n">
        <v>0</v>
      </c>
      <c r="AA909" s="52" t="n">
        <v>0</v>
      </c>
      <c r="AB909" s="52" t="n">
        <v>0</v>
      </c>
      <c r="AC909" s="52" t="n">
        <v>0</v>
      </c>
      <c r="AD909" s="52" t="n">
        <v>0</v>
      </c>
      <c r="AE909" s="52" t="n">
        <v>0</v>
      </c>
      <c r="AF909" s="52" t="n">
        <v>0</v>
      </c>
      <c r="AG909" s="52" t="n">
        <v>0</v>
      </c>
      <c r="AH909" s="52" t="n">
        <v>0</v>
      </c>
      <c r="AI909" s="52" t="n">
        <v>0</v>
      </c>
      <c r="AJ909" s="52" t="n">
        <v>0</v>
      </c>
      <c r="AK909" s="52" t="n">
        <v>0</v>
      </c>
      <c r="AL909" s="52" t="n">
        <v>0</v>
      </c>
      <c r="AM909" s="53" t="n">
        <v>0</v>
      </c>
      <c r="AN909" s="53" t="n">
        <v>0</v>
      </c>
      <c r="AO909" s="53" t="n">
        <v>0</v>
      </c>
      <c r="AP909" s="53" t="n">
        <v>0</v>
      </c>
      <c r="AQ909" s="52" t="n">
        <v>0</v>
      </c>
      <c r="AR909" s="52" t="n">
        <v>0</v>
      </c>
      <c r="AS909" s="52" t="n">
        <v>0</v>
      </c>
      <c r="AT909" s="52" t="n">
        <v>0</v>
      </c>
      <c r="AU909" s="53" t="n">
        <v>0</v>
      </c>
      <c r="AV909" s="53" t="n">
        <v>0</v>
      </c>
      <c r="AW909" s="53" t="n">
        <v>0</v>
      </c>
      <c r="AX909" s="53" t="n">
        <v>0</v>
      </c>
      <c r="AY909" s="52" t="n">
        <v>0</v>
      </c>
      <c r="AZ909" s="52" t="n">
        <v>0</v>
      </c>
      <c r="BA909" s="52" t="n">
        <v>0</v>
      </c>
      <c r="BB909" s="52" t="n">
        <v>0</v>
      </c>
      <c r="BC909" s="51" t="n">
        <v>0</v>
      </c>
      <c r="BD909" s="51" t="n">
        <v>0</v>
      </c>
      <c r="BE909" s="51" t="n">
        <v>0</v>
      </c>
      <c r="BF909" s="51" t="n">
        <v>0</v>
      </c>
    </row>
    <row r="910">
      <c r="A910">
        <f>HYPERLINK("https://www.walmart.com/ip/991327507", "991327507")</f>
        <v/>
      </c>
      <c r="B910" t="inlineStr">
        <is>
          <t>Catalonia Reversible Sherpa Throw Blanket, Super Soft Fluffy Blanket for Couch,  Fuzzy Comfy Warm Throws, Comfort Caring Gift, 50x60 inches, Pink</t>
        </is>
      </c>
      <c r="C910" t="inlineStr">
        <is>
          <t>1CTBF578PK</t>
        </is>
      </c>
      <c r="D910" t="inlineStr">
        <is>
          <t>Throws</t>
        </is>
      </c>
      <c r="E910" t="inlineStr">
        <is>
          <t>Catalonia</t>
        </is>
      </c>
      <c r="F910" t="inlineStr">
        <is>
          <t>Q2-Target,WFS,Coupon_Discount,WFS Item</t>
        </is>
      </c>
      <c r="G910" s="48" t="n">
        <v>0</v>
      </c>
      <c r="H910" s="48" t="n">
        <v>0</v>
      </c>
      <c r="I910" s="48" t="n">
        <v>20.99</v>
      </c>
      <c r="J910" s="48" t="n">
        <v>0</v>
      </c>
      <c r="K910" s="49" t="n">
        <v>0</v>
      </c>
      <c r="L910" s="49" t="n">
        <v>0</v>
      </c>
      <c r="M910" s="49" t="n">
        <v>1</v>
      </c>
      <c r="N910" s="49" t="n">
        <v>0</v>
      </c>
      <c r="O910" s="49" t="n">
        <v>0</v>
      </c>
      <c r="P910" s="49" t="n">
        <v>24</v>
      </c>
      <c r="Q910" s="49" t="n">
        <v>24</v>
      </c>
      <c r="R910" s="49" t="n">
        <v>12</v>
      </c>
      <c r="S910" s="50" t="n">
        <v>0</v>
      </c>
      <c r="T910" s="50" t="n">
        <v>0</v>
      </c>
      <c r="U910" s="50" t="n">
        <v>0.04166666666666666</v>
      </c>
      <c r="V910" s="50" t="n">
        <v>0</v>
      </c>
      <c r="W910" s="51" t="n">
        <v>0</v>
      </c>
      <c r="X910" s="51" t="n">
        <v>0</v>
      </c>
      <c r="Y910" s="51" t="n">
        <v>0</v>
      </c>
      <c r="Z910" s="51" t="n">
        <v>0</v>
      </c>
      <c r="AA910" s="52" t="n">
        <v>0</v>
      </c>
      <c r="AB910" s="52" t="n">
        <v>0</v>
      </c>
      <c r="AC910" s="52" t="n">
        <v>0</v>
      </c>
      <c r="AD910" s="52" t="n">
        <v>0</v>
      </c>
      <c r="AE910" s="52" t="n">
        <v>0</v>
      </c>
      <c r="AF910" s="52" t="n">
        <v>0</v>
      </c>
      <c r="AG910" s="52" t="n">
        <v>0</v>
      </c>
      <c r="AH910" s="52" t="n">
        <v>0</v>
      </c>
      <c r="AI910" s="52" t="n">
        <v>0</v>
      </c>
      <c r="AJ910" s="52" t="n">
        <v>0</v>
      </c>
      <c r="AK910" s="52" t="n">
        <v>0</v>
      </c>
      <c r="AL910" s="52" t="n">
        <v>0</v>
      </c>
      <c r="AM910" s="53" t="n">
        <v>0</v>
      </c>
      <c r="AN910" s="53" t="n">
        <v>0</v>
      </c>
      <c r="AO910" s="53" t="n">
        <v>0</v>
      </c>
      <c r="AP910" s="53" t="n">
        <v>0</v>
      </c>
      <c r="AQ910" s="52" t="n">
        <v>0</v>
      </c>
      <c r="AR910" s="52" t="n">
        <v>0</v>
      </c>
      <c r="AS910" s="52" t="n">
        <v>0</v>
      </c>
      <c r="AT910" s="52" t="n">
        <v>0</v>
      </c>
      <c r="AU910" s="53" t="n">
        <v>0</v>
      </c>
      <c r="AV910" s="53" t="n">
        <v>0</v>
      </c>
      <c r="AW910" s="53" t="n">
        <v>0</v>
      </c>
      <c r="AX910" s="53" t="n">
        <v>0</v>
      </c>
      <c r="AY910" s="52" t="n">
        <v>0</v>
      </c>
      <c r="AZ910" s="52" t="n">
        <v>0</v>
      </c>
      <c r="BA910" s="52" t="n">
        <v>20.99</v>
      </c>
      <c r="BB910" s="52" t="n">
        <v>0</v>
      </c>
      <c r="BC910" s="51" t="n">
        <v>0</v>
      </c>
      <c r="BD910" s="51" t="n">
        <v>0</v>
      </c>
      <c r="BE910" s="51" t="n">
        <v>0</v>
      </c>
      <c r="BF910" s="51" t="n">
        <v>0</v>
      </c>
    </row>
    <row r="911">
      <c r="A911">
        <f>HYPERLINK("https://www.walmart.com/ip/982844237", "982844237")</f>
        <v/>
      </c>
      <c r="B911" t="inlineStr">
        <is>
          <t>Tirrina Unisex Outdoor Sun Protection Fishing Cap with Neck Flap Wide Brim Mesh Hat for Travel Camping Hiking Hunting</t>
        </is>
      </c>
      <c r="C911" t="inlineStr">
        <is>
          <t>1WMSH910GN</t>
        </is>
      </c>
      <c r="D911" t="inlineStr">
        <is>
          <t>Hats</t>
        </is>
      </c>
      <c r="E911" t="inlineStr">
        <is>
          <t>Tirrinia</t>
        </is>
      </c>
      <c r="F911" t="inlineStr">
        <is>
          <t>Optimized</t>
        </is>
      </c>
      <c r="G911" s="48" t="n">
        <v>0</v>
      </c>
      <c r="H911" s="48" t="n">
        <v>0</v>
      </c>
      <c r="I911" s="48" t="n">
        <v>0</v>
      </c>
      <c r="J911" s="48" t="n">
        <v>0</v>
      </c>
      <c r="K911" s="49" t="n">
        <v>0</v>
      </c>
      <c r="L911" s="49" t="n">
        <v>0</v>
      </c>
      <c r="M911" s="49" t="n">
        <v>0</v>
      </c>
      <c r="N911" s="49" t="n">
        <v>0</v>
      </c>
      <c r="O911" s="49" t="n">
        <v>0</v>
      </c>
      <c r="P911" s="49" t="n">
        <v>0</v>
      </c>
      <c r="Q911" s="49" t="n">
        <v>0</v>
      </c>
      <c r="R911" s="49" t="n">
        <v>0</v>
      </c>
      <c r="S911" s="50" t="n">
        <v>0</v>
      </c>
      <c r="T911" s="50" t="n">
        <v>0</v>
      </c>
      <c r="U911" s="50" t="n">
        <v>0</v>
      </c>
      <c r="V911" s="50" t="n">
        <v>0</v>
      </c>
      <c r="W911" s="51" t="n">
        <v>0</v>
      </c>
      <c r="X911" s="51" t="n">
        <v>0</v>
      </c>
      <c r="Y911" s="51" t="n">
        <v>0</v>
      </c>
      <c r="Z911" s="51" t="n">
        <v>0</v>
      </c>
      <c r="AA911" s="52" t="n">
        <v>0</v>
      </c>
      <c r="AB911" s="52" t="n">
        <v>0</v>
      </c>
      <c r="AC911" s="52" t="n">
        <v>0</v>
      </c>
      <c r="AD911" s="52" t="n">
        <v>0</v>
      </c>
      <c r="AE911" s="52" t="n">
        <v>0</v>
      </c>
      <c r="AF911" s="52" t="n">
        <v>0</v>
      </c>
      <c r="AG911" s="52" t="n">
        <v>0</v>
      </c>
      <c r="AH911" s="52" t="n">
        <v>0</v>
      </c>
      <c r="AI911" s="52" t="n">
        <v>0</v>
      </c>
      <c r="AJ911" s="52" t="n">
        <v>0</v>
      </c>
      <c r="AK911" s="52" t="n">
        <v>0</v>
      </c>
      <c r="AL911" s="52" t="n">
        <v>0</v>
      </c>
      <c r="AM911" s="53" t="n">
        <v>0</v>
      </c>
      <c r="AN911" s="53" t="n">
        <v>0</v>
      </c>
      <c r="AO911" s="53" t="n">
        <v>0</v>
      </c>
      <c r="AP911" s="53" t="n">
        <v>0</v>
      </c>
      <c r="AQ911" s="52" t="n">
        <v>0</v>
      </c>
      <c r="AR911" s="52" t="n">
        <v>0</v>
      </c>
      <c r="AS911" s="52" t="n">
        <v>0</v>
      </c>
      <c r="AT911" s="52" t="n">
        <v>0</v>
      </c>
      <c r="AU911" s="53" t="n">
        <v>0</v>
      </c>
      <c r="AV911" s="53" t="n">
        <v>0</v>
      </c>
      <c r="AW911" s="53" t="n">
        <v>0</v>
      </c>
      <c r="AX911" s="53" t="n">
        <v>0</v>
      </c>
      <c r="AY911" s="52" t="n">
        <v>0</v>
      </c>
      <c r="AZ911" s="52" t="n">
        <v>0</v>
      </c>
      <c r="BA911" s="52" t="n">
        <v>0</v>
      </c>
      <c r="BB911" s="52" t="n">
        <v>0</v>
      </c>
      <c r="BC911" s="51" t="n">
        <v>0</v>
      </c>
      <c r="BD911" s="51" t="n">
        <v>0</v>
      </c>
      <c r="BE911" s="51" t="n">
        <v>0</v>
      </c>
      <c r="BF911" s="51" t="n">
        <v>0</v>
      </c>
    </row>
    <row r="912">
      <c r="A912">
        <f>HYPERLINK("https://www.walmart.com/ip/982952917", "982952917")</f>
        <v/>
      </c>
      <c r="B912" t="inlineStr">
        <is>
          <t>Medium Pet Travel Backpack Carrier for Dogs Cat Animal Puppy, Breathable Mesh Net Removable Sherpa Bed Outdoor Carrier f</t>
        </is>
      </c>
      <c r="C912" t="inlineStr">
        <is>
          <t>1TRPB200BK</t>
        </is>
      </c>
      <c r="D912" t="inlineStr">
        <is>
          <t>Pet Carriers</t>
        </is>
      </c>
      <c r="E912" t="inlineStr">
        <is>
          <t>Kato</t>
        </is>
      </c>
      <c r="F912" t="inlineStr">
        <is>
          <t>Optimized,WFS,WFS Item</t>
        </is>
      </c>
      <c r="G912" s="48" t="n">
        <v>0</v>
      </c>
      <c r="H912" s="48" t="n">
        <v>0</v>
      </c>
      <c r="I912" s="48" t="n">
        <v>0</v>
      </c>
      <c r="J912" s="48" t="n">
        <v>0</v>
      </c>
      <c r="K912" s="49" t="n">
        <v>0</v>
      </c>
      <c r="L912" s="49" t="n">
        <v>0</v>
      </c>
      <c r="M912" s="49" t="n">
        <v>0</v>
      </c>
      <c r="N912" s="49" t="n">
        <v>0</v>
      </c>
      <c r="O912" s="49" t="n">
        <v>0</v>
      </c>
      <c r="P912" s="49" t="n">
        <v>0</v>
      </c>
      <c r="Q912" s="49" t="n">
        <v>0</v>
      </c>
      <c r="R912" s="49" t="n">
        <v>0</v>
      </c>
      <c r="S912" s="50" t="n">
        <v>0</v>
      </c>
      <c r="T912" s="50" t="n">
        <v>0</v>
      </c>
      <c r="U912" s="50" t="n">
        <v>0</v>
      </c>
      <c r="V912" s="50" t="n">
        <v>0</v>
      </c>
      <c r="W912" s="51" t="n">
        <v>0</v>
      </c>
      <c r="X912" s="51" t="n">
        <v>0</v>
      </c>
      <c r="Y912" s="51" t="n">
        <v>0</v>
      </c>
      <c r="Z912" s="51" t="n">
        <v>0</v>
      </c>
      <c r="AA912" s="52" t="n">
        <v>0</v>
      </c>
      <c r="AB912" s="52" t="n">
        <v>0</v>
      </c>
      <c r="AC912" s="52" t="n">
        <v>0</v>
      </c>
      <c r="AD912" s="52" t="n">
        <v>0</v>
      </c>
      <c r="AE912" s="52" t="n">
        <v>0</v>
      </c>
      <c r="AF912" s="52" t="n">
        <v>0</v>
      </c>
      <c r="AG912" s="52" t="n">
        <v>0</v>
      </c>
      <c r="AH912" s="52" t="n">
        <v>0</v>
      </c>
      <c r="AI912" s="52" t="n">
        <v>0</v>
      </c>
      <c r="AJ912" s="52" t="n">
        <v>0</v>
      </c>
      <c r="AK912" s="52" t="n">
        <v>0</v>
      </c>
      <c r="AL912" s="52" t="n">
        <v>0</v>
      </c>
      <c r="AM912" s="53" t="n">
        <v>0</v>
      </c>
      <c r="AN912" s="53" t="n">
        <v>0</v>
      </c>
      <c r="AO912" s="53" t="n">
        <v>0</v>
      </c>
      <c r="AP912" s="53" t="n">
        <v>0</v>
      </c>
      <c r="AQ912" s="52" t="n">
        <v>0</v>
      </c>
      <c r="AR912" s="52" t="n">
        <v>0</v>
      </c>
      <c r="AS912" s="52" t="n">
        <v>0</v>
      </c>
      <c r="AT912" s="52" t="n">
        <v>0</v>
      </c>
      <c r="AU912" s="53" t="n">
        <v>0</v>
      </c>
      <c r="AV912" s="53" t="n">
        <v>0</v>
      </c>
      <c r="AW912" s="53" t="n">
        <v>0</v>
      </c>
      <c r="AX912" s="53" t="n">
        <v>0</v>
      </c>
      <c r="AY912" s="52" t="n">
        <v>0</v>
      </c>
      <c r="AZ912" s="52" t="n">
        <v>0</v>
      </c>
      <c r="BA912" s="52" t="n">
        <v>0</v>
      </c>
      <c r="BB912" s="52" t="n">
        <v>0</v>
      </c>
      <c r="BC912" s="51" t="n">
        <v>0</v>
      </c>
      <c r="BD912" s="51" t="n">
        <v>0</v>
      </c>
      <c r="BE912" s="51" t="n">
        <v>0</v>
      </c>
      <c r="BF912" s="51" t="n">
        <v>0</v>
      </c>
    </row>
    <row r="913">
      <c r="A913">
        <f>HYPERLINK("https://www.walmart.com/ip/984001524", "984001524")</f>
        <v/>
      </c>
      <c r="B913" t="inlineStr">
        <is>
          <t>Microplush Sherpa Blanket with Sleeves for Women and Men Black</t>
        </is>
      </c>
      <c r="C913" t="inlineStr">
        <is>
          <t>1TNSN110BK-TPB</t>
        </is>
      </c>
      <c r="D913" t="inlineStr">
        <is>
          <t>Throws</t>
        </is>
      </c>
      <c r="E913" t="inlineStr">
        <is>
          <t>Terrania</t>
        </is>
      </c>
      <c r="G913" s="48" t="n">
        <v>0</v>
      </c>
      <c r="H913" s="48" t="n">
        <v>0</v>
      </c>
      <c r="I913" s="48" t="n">
        <v>0</v>
      </c>
      <c r="J913" s="48" t="n">
        <v>0</v>
      </c>
      <c r="K913" s="49" t="n">
        <v>0</v>
      </c>
      <c r="L913" s="49" t="n">
        <v>0</v>
      </c>
      <c r="M913" s="49" t="n">
        <v>0</v>
      </c>
      <c r="N913" s="49" t="n">
        <v>0</v>
      </c>
      <c r="O913" s="49" t="n">
        <v>0</v>
      </c>
      <c r="P913" s="49" t="n">
        <v>0</v>
      </c>
      <c r="Q913" s="49" t="n">
        <v>0</v>
      </c>
      <c r="R913" s="49" t="n">
        <v>0</v>
      </c>
      <c r="S913" s="50" t="n">
        <v>0</v>
      </c>
      <c r="T913" s="50" t="n">
        <v>0</v>
      </c>
      <c r="U913" s="50" t="n">
        <v>0</v>
      </c>
      <c r="V913" s="50" t="n">
        <v>0</v>
      </c>
      <c r="W913" s="51" t="n">
        <v>0</v>
      </c>
      <c r="X913" s="51" t="n">
        <v>0</v>
      </c>
      <c r="Y913" s="51" t="n">
        <v>0</v>
      </c>
      <c r="Z913" s="51" t="n">
        <v>0</v>
      </c>
      <c r="AA913" s="52" t="n">
        <v>0</v>
      </c>
      <c r="AB913" s="52" t="n">
        <v>0</v>
      </c>
      <c r="AC913" s="52" t="n">
        <v>0</v>
      </c>
      <c r="AD913" s="52" t="n">
        <v>0</v>
      </c>
      <c r="AE913" s="52" t="n">
        <v>0</v>
      </c>
      <c r="AF913" s="52" t="n">
        <v>0</v>
      </c>
      <c r="AG913" s="52" t="n">
        <v>0</v>
      </c>
      <c r="AH913" s="52" t="n">
        <v>0</v>
      </c>
      <c r="AI913" s="52" t="n">
        <v>0</v>
      </c>
      <c r="AJ913" s="52" t="n">
        <v>0</v>
      </c>
      <c r="AK913" s="52" t="n">
        <v>0</v>
      </c>
      <c r="AL913" s="52" t="n">
        <v>0</v>
      </c>
      <c r="AM913" s="53" t="n">
        <v>0</v>
      </c>
      <c r="AN913" s="53" t="n">
        <v>0</v>
      </c>
      <c r="AO913" s="53" t="n">
        <v>0</v>
      </c>
      <c r="AP913" s="53" t="n">
        <v>0</v>
      </c>
      <c r="AQ913" s="52" t="n">
        <v>0</v>
      </c>
      <c r="AR913" s="52" t="n">
        <v>0</v>
      </c>
      <c r="AS913" s="52" t="n">
        <v>0</v>
      </c>
      <c r="AT913" s="52" t="n">
        <v>0</v>
      </c>
      <c r="AU913" s="53" t="n">
        <v>0</v>
      </c>
      <c r="AV913" s="53" t="n">
        <v>0</v>
      </c>
      <c r="AW913" s="53" t="n">
        <v>0</v>
      </c>
      <c r="AX913" s="53" t="n">
        <v>0</v>
      </c>
      <c r="AY913" s="52" t="n">
        <v>0</v>
      </c>
      <c r="AZ913" s="52" t="n">
        <v>0</v>
      </c>
      <c r="BA913" s="52" t="n">
        <v>0</v>
      </c>
      <c r="BB913" s="52" t="n">
        <v>0</v>
      </c>
      <c r="BC913" s="51" t="n">
        <v>0</v>
      </c>
      <c r="BD913" s="51" t="n">
        <v>0</v>
      </c>
      <c r="BE913" s="51" t="n">
        <v>0</v>
      </c>
      <c r="BF913" s="51" t="n">
        <v>0</v>
      </c>
    </row>
    <row r="914">
      <c r="A914">
        <f>HYPERLINK("https://www.walmart.com/ip/984075304", "984075304")</f>
        <v/>
      </c>
      <c r="B914" t="inlineStr">
        <is>
          <t>Orico® 5 Ports USB Quick-acting Travel Wall Charger for iPhone 6s LG Cell Phone</t>
        </is>
      </c>
      <c r="C914" t="inlineStr">
        <is>
          <t>ORICO DCH-5U BK</t>
        </is>
      </c>
      <c r="D914" t="inlineStr">
        <is>
          <t>USB Hubs</t>
        </is>
      </c>
      <c r="E914" t="inlineStr">
        <is>
          <t>ORICO</t>
        </is>
      </c>
      <c r="F914" t="inlineStr">
        <is>
          <t>Batch 1 - TR</t>
        </is>
      </c>
      <c r="G914" s="48" t="n">
        <v>0</v>
      </c>
      <c r="H914" s="48" t="n">
        <v>0</v>
      </c>
      <c r="I914" s="48" t="n">
        <v>0</v>
      </c>
      <c r="J914" s="48" t="n">
        <v>0</v>
      </c>
      <c r="K914" s="49" t="n">
        <v>0</v>
      </c>
      <c r="L914" s="49" t="n">
        <v>0</v>
      </c>
      <c r="M914" s="49" t="n">
        <v>0</v>
      </c>
      <c r="N914" s="49" t="n">
        <v>0</v>
      </c>
      <c r="O914" s="49" t="n">
        <v>0</v>
      </c>
      <c r="P914" s="49" t="n">
        <v>0</v>
      </c>
      <c r="Q914" s="49" t="n">
        <v>0</v>
      </c>
      <c r="R914" s="49" t="n">
        <v>0</v>
      </c>
      <c r="S914" s="50" t="n">
        <v>0</v>
      </c>
      <c r="T914" s="50" t="n">
        <v>0</v>
      </c>
      <c r="U914" s="50" t="n">
        <v>0</v>
      </c>
      <c r="V914" s="50" t="n">
        <v>0</v>
      </c>
      <c r="W914" s="51" t="n">
        <v>0</v>
      </c>
      <c r="X914" s="51" t="n">
        <v>0</v>
      </c>
      <c r="Y914" s="51" t="n">
        <v>0</v>
      </c>
      <c r="Z914" s="51" t="n">
        <v>0</v>
      </c>
      <c r="AA914" s="52" t="n">
        <v>0</v>
      </c>
      <c r="AB914" s="52" t="n">
        <v>0</v>
      </c>
      <c r="AC914" s="52" t="n">
        <v>0</v>
      </c>
      <c r="AD914" s="52" t="n">
        <v>0</v>
      </c>
      <c r="AE914" s="52" t="n">
        <v>0</v>
      </c>
      <c r="AF914" s="52" t="n">
        <v>0</v>
      </c>
      <c r="AG914" s="52" t="n">
        <v>0</v>
      </c>
      <c r="AH914" s="52" t="n">
        <v>0</v>
      </c>
      <c r="AI914" s="52" t="n">
        <v>0</v>
      </c>
      <c r="AJ914" s="52" t="n">
        <v>0</v>
      </c>
      <c r="AK914" s="52" t="n">
        <v>0</v>
      </c>
      <c r="AL914" s="52" t="n">
        <v>0</v>
      </c>
      <c r="AM914" s="53" t="n">
        <v>0</v>
      </c>
      <c r="AN914" s="53" t="n">
        <v>0</v>
      </c>
      <c r="AO914" s="53" t="n">
        <v>0</v>
      </c>
      <c r="AP914" s="53" t="n">
        <v>0</v>
      </c>
      <c r="AQ914" s="52" t="n">
        <v>0</v>
      </c>
      <c r="AR914" s="52" t="n">
        <v>0</v>
      </c>
      <c r="AS914" s="52" t="n">
        <v>0</v>
      </c>
      <c r="AT914" s="52" t="n">
        <v>0</v>
      </c>
      <c r="AU914" s="53" t="n">
        <v>0</v>
      </c>
      <c r="AV914" s="53" t="n">
        <v>0</v>
      </c>
      <c r="AW914" s="53" t="n">
        <v>0</v>
      </c>
      <c r="AX914" s="53" t="n">
        <v>0</v>
      </c>
      <c r="AY914" s="52" t="n">
        <v>0</v>
      </c>
      <c r="AZ914" s="52" t="n">
        <v>0</v>
      </c>
      <c r="BA914" s="52" t="n">
        <v>0</v>
      </c>
      <c r="BB914" s="52" t="n">
        <v>0</v>
      </c>
      <c r="BC914" s="51" t="n">
        <v>0</v>
      </c>
      <c r="BD914" s="51" t="n">
        <v>0</v>
      </c>
      <c r="BE914" s="51" t="n">
        <v>0</v>
      </c>
      <c r="BF914" s="51" t="n">
        <v>0</v>
      </c>
    </row>
    <row r="915">
      <c r="A915">
        <f>HYPERLINK("https://www.walmart.com/ip/984636091", "984636091")</f>
        <v/>
      </c>
      <c r="B915" t="inlineStr">
        <is>
          <t>Pawsse Sherpa Dog Blanket, Puppy Sunggle Blanket,Plush Micro Fleece Pet Throws for Small Animals Large Size 60"x49", Black</t>
        </is>
      </c>
      <c r="C915" t="inlineStr">
        <is>
          <t>1PSBF560BKLT</t>
        </is>
      </c>
      <c r="D915" t="inlineStr">
        <is>
          <t>Pet Blankets</t>
        </is>
      </c>
      <c r="E915" t="inlineStr">
        <is>
          <t>Pawsse</t>
        </is>
      </c>
      <c r="F915" t="inlineStr">
        <is>
          <t>Q2-Target,Optimized,WFS,WFS Item</t>
        </is>
      </c>
      <c r="G915" s="48" t="n">
        <v>0</v>
      </c>
      <c r="H915" s="48" t="n">
        <v>0</v>
      </c>
      <c r="I915" s="48" t="n">
        <v>0</v>
      </c>
      <c r="J915" s="48" t="n">
        <v>0</v>
      </c>
      <c r="K915" s="49" t="n">
        <v>0</v>
      </c>
      <c r="L915" s="49" t="n">
        <v>0</v>
      </c>
      <c r="M915" s="49" t="n">
        <v>0</v>
      </c>
      <c r="N915" s="49" t="n">
        <v>0</v>
      </c>
      <c r="O915" s="49" t="n">
        <v>0</v>
      </c>
      <c r="P915" s="49" t="n">
        <v>0</v>
      </c>
      <c r="Q915" s="49" t="n">
        <v>0</v>
      </c>
      <c r="R915" s="49" t="n">
        <v>0</v>
      </c>
      <c r="S915" s="50" t="n">
        <v>0</v>
      </c>
      <c r="T915" s="50" t="n">
        <v>0</v>
      </c>
      <c r="U915" s="50" t="n">
        <v>0</v>
      </c>
      <c r="V915" s="50" t="n">
        <v>0</v>
      </c>
      <c r="W915" s="51" t="n">
        <v>12</v>
      </c>
      <c r="X915" s="51" t="n">
        <v>11</v>
      </c>
      <c r="Y915" s="51" t="n">
        <v>13</v>
      </c>
      <c r="Z915" s="51" t="n">
        <v>9</v>
      </c>
      <c r="AA915" s="52" t="n">
        <v>4.2</v>
      </c>
      <c r="AB915" s="52" t="n">
        <v>3.85</v>
      </c>
      <c r="AC915" s="52" t="n">
        <v>4.55</v>
      </c>
      <c r="AD915" s="52" t="n">
        <v>3.15</v>
      </c>
      <c r="AE915" s="52" t="n">
        <v>0</v>
      </c>
      <c r="AF915" s="52" t="n">
        <v>0</v>
      </c>
      <c r="AG915" s="52" t="n">
        <v>0</v>
      </c>
      <c r="AH915" s="52" t="n">
        <v>0</v>
      </c>
      <c r="AI915" s="52" t="n">
        <v>0</v>
      </c>
      <c r="AJ915" s="52" t="n">
        <v>0</v>
      </c>
      <c r="AK915" s="52" t="n">
        <v>0</v>
      </c>
      <c r="AL915" s="52" t="n">
        <v>0</v>
      </c>
      <c r="AM915" s="53" t="n">
        <v>0.0013</v>
      </c>
      <c r="AN915" s="53" t="n">
        <v>0.0009</v>
      </c>
      <c r="AO915" s="53" t="n">
        <v>0.0011</v>
      </c>
      <c r="AP915" s="53" t="n">
        <v>0.001</v>
      </c>
      <c r="AQ915" s="52" t="n">
        <v>0.35</v>
      </c>
      <c r="AR915" s="52" t="n">
        <v>0.35</v>
      </c>
      <c r="AS915" s="52" t="n">
        <v>0.35</v>
      </c>
      <c r="AT915" s="52" t="n">
        <v>0.35</v>
      </c>
      <c r="AU915" s="53" t="n">
        <v>0</v>
      </c>
      <c r="AV915" s="53" t="n">
        <v>0</v>
      </c>
      <c r="AW915" s="53" t="n">
        <v>0</v>
      </c>
      <c r="AX915" s="53" t="n">
        <v>0</v>
      </c>
      <c r="AY915" s="52" t="n">
        <v>0</v>
      </c>
      <c r="AZ915" s="52" t="n">
        <v>0</v>
      </c>
      <c r="BA915" s="52" t="n">
        <v>0</v>
      </c>
      <c r="BB915" s="52" t="n">
        <v>0</v>
      </c>
      <c r="BC915" s="51" t="n">
        <v>9310</v>
      </c>
      <c r="BD915" s="51" t="n">
        <v>12491</v>
      </c>
      <c r="BE915" s="51" t="n">
        <v>11912</v>
      </c>
      <c r="BF915" s="51" t="n">
        <v>9184</v>
      </c>
    </row>
    <row r="916">
      <c r="A916">
        <f>HYPERLINK("https://www.walmart.com/ip/986246942", "986246942")</f>
        <v/>
      </c>
      <c r="B916" t="inlineStr">
        <is>
          <t>Tirrinia Women Floppy Straw Sun Hat Foldable Wide Brim Striped Beach Cap for Female, Great Gifts for Mother's Day, Beige</t>
        </is>
      </c>
      <c r="C916" t="inlineStr">
        <is>
          <t>1TRSH371BE-TBCB</t>
        </is>
      </c>
      <c r="D916" t="inlineStr">
        <is>
          <t>Hats</t>
        </is>
      </c>
      <c r="E916" t="inlineStr">
        <is>
          <t>Tirrinia</t>
        </is>
      </c>
      <c r="F916" t="inlineStr">
        <is>
          <t>Q2-Target,Hats,Batch 1 - TR</t>
        </is>
      </c>
      <c r="G916" s="48" t="n">
        <v>0</v>
      </c>
      <c r="H916" s="48" t="n">
        <v>0</v>
      </c>
      <c r="I916" s="48" t="n">
        <v>0</v>
      </c>
      <c r="J916" s="48" t="n">
        <v>0</v>
      </c>
      <c r="K916" s="49" t="n">
        <v>0</v>
      </c>
      <c r="L916" s="49" t="n">
        <v>0</v>
      </c>
      <c r="M916" s="49" t="n">
        <v>0</v>
      </c>
      <c r="N916" s="49" t="n">
        <v>0</v>
      </c>
      <c r="O916" s="49" t="n">
        <v>0</v>
      </c>
      <c r="P916" s="49" t="n">
        <v>0</v>
      </c>
      <c r="Q916" s="49" t="n">
        <v>0</v>
      </c>
      <c r="R916" s="49" t="n">
        <v>0</v>
      </c>
      <c r="S916" s="50" t="n">
        <v>0</v>
      </c>
      <c r="T916" s="50" t="n">
        <v>0</v>
      </c>
      <c r="U916" s="50" t="n">
        <v>0</v>
      </c>
      <c r="V916" s="50" t="n">
        <v>0</v>
      </c>
      <c r="W916" s="51" t="n">
        <v>0</v>
      </c>
      <c r="X916" s="51" t="n">
        <v>0</v>
      </c>
      <c r="Y916" s="51" t="n">
        <v>0</v>
      </c>
      <c r="Z916" s="51" t="n">
        <v>0</v>
      </c>
      <c r="AA916" s="52" t="n">
        <v>0</v>
      </c>
      <c r="AB916" s="52" t="n">
        <v>0</v>
      </c>
      <c r="AC916" s="52" t="n">
        <v>0</v>
      </c>
      <c r="AD916" s="52" t="n">
        <v>0</v>
      </c>
      <c r="AE916" s="52" t="n">
        <v>0</v>
      </c>
      <c r="AF916" s="52" t="n">
        <v>0</v>
      </c>
      <c r="AG916" s="52" t="n">
        <v>0</v>
      </c>
      <c r="AH916" s="52" t="n">
        <v>0</v>
      </c>
      <c r="AI916" s="52" t="n">
        <v>0</v>
      </c>
      <c r="AJ916" s="52" t="n">
        <v>0</v>
      </c>
      <c r="AK916" s="52" t="n">
        <v>0</v>
      </c>
      <c r="AL916" s="52" t="n">
        <v>0</v>
      </c>
      <c r="AM916" s="53" t="n">
        <v>0</v>
      </c>
      <c r="AN916" s="53" t="n">
        <v>0</v>
      </c>
      <c r="AO916" s="53" t="n">
        <v>0</v>
      </c>
      <c r="AP916" s="53" t="n">
        <v>0</v>
      </c>
      <c r="AQ916" s="52" t="n">
        <v>0</v>
      </c>
      <c r="AR916" s="52" t="n">
        <v>0</v>
      </c>
      <c r="AS916" s="52" t="n">
        <v>0</v>
      </c>
      <c r="AT916" s="52" t="n">
        <v>0</v>
      </c>
      <c r="AU916" s="53" t="n">
        <v>0</v>
      </c>
      <c r="AV916" s="53" t="n">
        <v>0</v>
      </c>
      <c r="AW916" s="53" t="n">
        <v>0</v>
      </c>
      <c r="AX916" s="53" t="n">
        <v>0</v>
      </c>
      <c r="AY916" s="52" t="n">
        <v>0</v>
      </c>
      <c r="AZ916" s="52" t="n">
        <v>0</v>
      </c>
      <c r="BA916" s="52" t="n">
        <v>0</v>
      </c>
      <c r="BB916" s="52" t="n">
        <v>0</v>
      </c>
      <c r="BC916" s="51" t="n">
        <v>0</v>
      </c>
      <c r="BD916" s="51" t="n">
        <v>0</v>
      </c>
      <c r="BE916" s="51" t="n">
        <v>0</v>
      </c>
      <c r="BF916" s="51" t="n">
        <v>0</v>
      </c>
    </row>
    <row r="917">
      <c r="A917">
        <f>HYPERLINK("https://www.walmart.com/ip/987797268", "987797268")</f>
        <v/>
      </c>
      <c r="B917" t="inlineStr">
        <is>
          <t>Catalonia Red Plaid Sherpa Throw Blanket, Super Soft Throw for Sofa Couch Bed, TV Blanket, Micro Mink Fleece Plush, Comfy Cozy Fluffy Warm, Holiday Gift (60x50 Inches, Buffalo)</t>
        </is>
      </c>
      <c r="C917" t="inlineStr">
        <is>
          <t>1CTBF568PRDBL</t>
        </is>
      </c>
      <c r="D917" t="inlineStr">
        <is>
          <t>Throws</t>
        </is>
      </c>
      <c r="E917" t="inlineStr">
        <is>
          <t>Catalonia</t>
        </is>
      </c>
      <c r="F917" t="inlineStr">
        <is>
          <t>Q2-Target,WFS,Coupon_Discount,WFS Item</t>
        </is>
      </c>
      <c r="G917" s="48" t="n">
        <v>0</v>
      </c>
      <c r="H917" s="48" t="n">
        <v>0</v>
      </c>
      <c r="I917" s="48" t="n">
        <v>0</v>
      </c>
      <c r="J917" s="48" t="n">
        <v>0</v>
      </c>
      <c r="K917" s="49" t="n">
        <v>0</v>
      </c>
      <c r="L917" s="49" t="n">
        <v>0</v>
      </c>
      <c r="M917" s="49" t="n">
        <v>0</v>
      </c>
      <c r="N917" s="49" t="n">
        <v>0</v>
      </c>
      <c r="O917" s="49" t="n">
        <v>0</v>
      </c>
      <c r="P917" s="49" t="n">
        <v>0</v>
      </c>
      <c r="Q917" s="49" t="n">
        <v>0</v>
      </c>
      <c r="R917" s="49" t="n">
        <v>0</v>
      </c>
      <c r="S917" s="50" t="n">
        <v>0</v>
      </c>
      <c r="T917" s="50" t="n">
        <v>0</v>
      </c>
      <c r="U917" s="50" t="n">
        <v>0</v>
      </c>
      <c r="V917" s="50" t="n">
        <v>0</v>
      </c>
      <c r="W917" s="51" t="n">
        <v>0</v>
      </c>
      <c r="X917" s="51" t="n">
        <v>0</v>
      </c>
      <c r="Y917" s="51" t="n">
        <v>0</v>
      </c>
      <c r="Z917" s="51" t="n">
        <v>0</v>
      </c>
      <c r="AA917" s="52" t="n">
        <v>0</v>
      </c>
      <c r="AB917" s="52" t="n">
        <v>0</v>
      </c>
      <c r="AC917" s="52" t="n">
        <v>0</v>
      </c>
      <c r="AD917" s="52" t="n">
        <v>0</v>
      </c>
      <c r="AE917" s="52" t="n">
        <v>0</v>
      </c>
      <c r="AF917" s="52" t="n">
        <v>0</v>
      </c>
      <c r="AG917" s="52" t="n">
        <v>0</v>
      </c>
      <c r="AH917" s="52" t="n">
        <v>0</v>
      </c>
      <c r="AI917" s="52" t="n">
        <v>0</v>
      </c>
      <c r="AJ917" s="52" t="n">
        <v>0</v>
      </c>
      <c r="AK917" s="52" t="n">
        <v>0</v>
      </c>
      <c r="AL917" s="52" t="n">
        <v>0</v>
      </c>
      <c r="AM917" s="53" t="n">
        <v>0</v>
      </c>
      <c r="AN917" s="53" t="n">
        <v>0</v>
      </c>
      <c r="AO917" s="53" t="n">
        <v>0</v>
      </c>
      <c r="AP917" s="53" t="n">
        <v>0</v>
      </c>
      <c r="AQ917" s="52" t="n">
        <v>0</v>
      </c>
      <c r="AR917" s="52" t="n">
        <v>0</v>
      </c>
      <c r="AS917" s="52" t="n">
        <v>0</v>
      </c>
      <c r="AT917" s="52" t="n">
        <v>0</v>
      </c>
      <c r="AU917" s="53" t="n">
        <v>0</v>
      </c>
      <c r="AV917" s="53" t="n">
        <v>0</v>
      </c>
      <c r="AW917" s="53" t="n">
        <v>0</v>
      </c>
      <c r="AX917" s="53" t="n">
        <v>0</v>
      </c>
      <c r="AY917" s="52" t="n">
        <v>0</v>
      </c>
      <c r="AZ917" s="52" t="n">
        <v>0</v>
      </c>
      <c r="BA917" s="52" t="n">
        <v>0</v>
      </c>
      <c r="BB917" s="52" t="n">
        <v>0</v>
      </c>
      <c r="BC917" s="51" t="n">
        <v>0</v>
      </c>
      <c r="BD917" s="51" t="n">
        <v>0</v>
      </c>
      <c r="BE917" s="51" t="n">
        <v>0</v>
      </c>
      <c r="BF917" s="51" t="n">
        <v>0</v>
      </c>
    </row>
    <row r="918">
      <c r="A918">
        <f>HYPERLINK("https://www.walmart.com/ip/988194071", "988194071")</f>
        <v/>
      </c>
      <c r="B918" t="inlineStr">
        <is>
          <t>Women’s Swim Bathing Suit Cover Up, Summer Chiffon Maxi Beach Dress Skirt</t>
        </is>
      </c>
      <c r="C918" t="inlineStr">
        <is>
          <t>1WMDS100GN</t>
        </is>
      </c>
      <c r="D918" t="inlineStr">
        <is>
          <t>Swimwear Cover-Ups</t>
        </is>
      </c>
      <c r="E918" t="inlineStr">
        <is>
          <t>Flyingstar</t>
        </is>
      </c>
      <c r="F918" t="inlineStr">
        <is>
          <t>Batch 1 - TR</t>
        </is>
      </c>
      <c r="G918" s="48" t="n">
        <v>0</v>
      </c>
      <c r="H918" s="48" t="n">
        <v>0</v>
      </c>
      <c r="I918" s="48" t="n">
        <v>0</v>
      </c>
      <c r="J918" s="48" t="n">
        <v>0</v>
      </c>
      <c r="K918" s="49" t="n">
        <v>0</v>
      </c>
      <c r="L918" s="49" t="n">
        <v>0</v>
      </c>
      <c r="M918" s="49" t="n">
        <v>0</v>
      </c>
      <c r="N918" s="49" t="n">
        <v>0</v>
      </c>
      <c r="O918" s="49" t="n">
        <v>0</v>
      </c>
      <c r="P918" s="49" t="n">
        <v>0</v>
      </c>
      <c r="Q918" s="49" t="n">
        <v>0</v>
      </c>
      <c r="R918" s="49" t="n">
        <v>0</v>
      </c>
      <c r="S918" s="50" t="n">
        <v>0</v>
      </c>
      <c r="T918" s="50" t="n">
        <v>0</v>
      </c>
      <c r="U918" s="50" t="n">
        <v>0</v>
      </c>
      <c r="V918" s="50" t="n">
        <v>0</v>
      </c>
      <c r="W918" s="51" t="n">
        <v>0</v>
      </c>
      <c r="X918" s="51" t="n">
        <v>0</v>
      </c>
      <c r="Y918" s="51" t="n">
        <v>0</v>
      </c>
      <c r="Z918" s="51" t="n">
        <v>0</v>
      </c>
      <c r="AA918" s="52" t="n">
        <v>0</v>
      </c>
      <c r="AB918" s="52" t="n">
        <v>0</v>
      </c>
      <c r="AC918" s="52" t="n">
        <v>0</v>
      </c>
      <c r="AD918" s="52" t="n">
        <v>0</v>
      </c>
      <c r="AE918" s="52" t="n">
        <v>0</v>
      </c>
      <c r="AF918" s="52" t="n">
        <v>0</v>
      </c>
      <c r="AG918" s="52" t="n">
        <v>0</v>
      </c>
      <c r="AH918" s="52" t="n">
        <v>0</v>
      </c>
      <c r="AI918" s="52" t="n">
        <v>0</v>
      </c>
      <c r="AJ918" s="52" t="n">
        <v>0</v>
      </c>
      <c r="AK918" s="52" t="n">
        <v>0</v>
      </c>
      <c r="AL918" s="52" t="n">
        <v>0</v>
      </c>
      <c r="AM918" s="53" t="n">
        <v>0</v>
      </c>
      <c r="AN918" s="53" t="n">
        <v>0</v>
      </c>
      <c r="AO918" s="53" t="n">
        <v>0</v>
      </c>
      <c r="AP918" s="53" t="n">
        <v>0</v>
      </c>
      <c r="AQ918" s="52" t="n">
        <v>0</v>
      </c>
      <c r="AR918" s="52" t="n">
        <v>0</v>
      </c>
      <c r="AS918" s="52" t="n">
        <v>0</v>
      </c>
      <c r="AT918" s="52" t="n">
        <v>0</v>
      </c>
      <c r="AU918" s="53" t="n">
        <v>0</v>
      </c>
      <c r="AV918" s="53" t="n">
        <v>0</v>
      </c>
      <c r="AW918" s="53" t="n">
        <v>0</v>
      </c>
      <c r="AX918" s="53" t="n">
        <v>0</v>
      </c>
      <c r="AY918" s="52" t="n">
        <v>0</v>
      </c>
      <c r="AZ918" s="52" t="n">
        <v>0</v>
      </c>
      <c r="BA918" s="52" t="n">
        <v>0</v>
      </c>
      <c r="BB918" s="52" t="n">
        <v>0</v>
      </c>
      <c r="BC918" s="51" t="n">
        <v>0</v>
      </c>
      <c r="BD918" s="51" t="n">
        <v>0</v>
      </c>
      <c r="BE918" s="51" t="n">
        <v>0</v>
      </c>
      <c r="BF918" s="51" t="n">
        <v>0</v>
      </c>
    </row>
    <row r="919">
      <c r="A919">
        <f>HYPERLINK("https://www.walmart.com/ip/988235552", "988235552")</f>
        <v/>
      </c>
      <c r="B919" t="inlineStr">
        <is>
          <t>Two-Piece Ladies Tankini Swimsuit for Women Swimsuits by Tirrinia</t>
        </is>
      </c>
      <c r="C919" t="inlineStr">
        <is>
          <t>1TRSS003BL-L</t>
        </is>
      </c>
      <c r="D919" t="inlineStr">
        <is>
          <t>Swimsuit Sets</t>
        </is>
      </c>
      <c r="E919" t="inlineStr">
        <is>
          <t>Tirrinia</t>
        </is>
      </c>
      <c r="G919" s="48" t="n">
        <v>0</v>
      </c>
      <c r="H919" s="48" t="n">
        <v>0</v>
      </c>
      <c r="I919" s="48" t="n">
        <v>0</v>
      </c>
      <c r="J919" s="48" t="n">
        <v>0</v>
      </c>
      <c r="K919" s="49" t="n">
        <v>0</v>
      </c>
      <c r="L919" s="49" t="n">
        <v>0</v>
      </c>
      <c r="M919" s="49" t="n">
        <v>0</v>
      </c>
      <c r="N919" s="49" t="n">
        <v>0</v>
      </c>
      <c r="O919" s="49" t="n">
        <v>0</v>
      </c>
      <c r="P919" s="49" t="n">
        <v>0</v>
      </c>
      <c r="Q919" s="49" t="n">
        <v>0</v>
      </c>
      <c r="R919" s="49" t="n">
        <v>0</v>
      </c>
      <c r="S919" s="50" t="n">
        <v>0</v>
      </c>
      <c r="T919" s="50" t="n">
        <v>0</v>
      </c>
      <c r="U919" s="50" t="n">
        <v>0</v>
      </c>
      <c r="V919" s="50" t="n">
        <v>0</v>
      </c>
      <c r="W919" s="51" t="n">
        <v>0</v>
      </c>
      <c r="X919" s="51" t="n">
        <v>0</v>
      </c>
      <c r="Y919" s="51" t="n">
        <v>0</v>
      </c>
      <c r="Z919" s="51" t="n">
        <v>0</v>
      </c>
      <c r="AA919" s="52" t="n">
        <v>0</v>
      </c>
      <c r="AB919" s="52" t="n">
        <v>0</v>
      </c>
      <c r="AC919" s="52" t="n">
        <v>0</v>
      </c>
      <c r="AD919" s="52" t="n">
        <v>0</v>
      </c>
      <c r="AE919" s="52" t="n">
        <v>0</v>
      </c>
      <c r="AF919" s="52" t="n">
        <v>0</v>
      </c>
      <c r="AG919" s="52" t="n">
        <v>0</v>
      </c>
      <c r="AH919" s="52" t="n">
        <v>0</v>
      </c>
      <c r="AI919" s="52" t="n">
        <v>0</v>
      </c>
      <c r="AJ919" s="52" t="n">
        <v>0</v>
      </c>
      <c r="AK919" s="52" t="n">
        <v>0</v>
      </c>
      <c r="AL919" s="52" t="n">
        <v>0</v>
      </c>
      <c r="AM919" s="53" t="n">
        <v>0</v>
      </c>
      <c r="AN919" s="53" t="n">
        <v>0</v>
      </c>
      <c r="AO919" s="53" t="n">
        <v>0</v>
      </c>
      <c r="AP919" s="53" t="n">
        <v>0</v>
      </c>
      <c r="AQ919" s="52" t="n">
        <v>0</v>
      </c>
      <c r="AR919" s="52" t="n">
        <v>0</v>
      </c>
      <c r="AS919" s="52" t="n">
        <v>0</v>
      </c>
      <c r="AT919" s="52" t="n">
        <v>0</v>
      </c>
      <c r="AU919" s="53" t="n">
        <v>0</v>
      </c>
      <c r="AV919" s="53" t="n">
        <v>0</v>
      </c>
      <c r="AW919" s="53" t="n">
        <v>0</v>
      </c>
      <c r="AX919" s="53" t="n">
        <v>0</v>
      </c>
      <c r="AY919" s="52" t="n">
        <v>0</v>
      </c>
      <c r="AZ919" s="52" t="n">
        <v>0</v>
      </c>
      <c r="BA919" s="52" t="n">
        <v>0</v>
      </c>
      <c r="BB919" s="52" t="n">
        <v>0</v>
      </c>
      <c r="BC919" s="51" t="n">
        <v>0</v>
      </c>
      <c r="BD919" s="51" t="n">
        <v>0</v>
      </c>
      <c r="BE919" s="51" t="n">
        <v>0</v>
      </c>
      <c r="BF919" s="51" t="n">
        <v>0</v>
      </c>
    </row>
    <row r="920">
      <c r="A920">
        <f>HYPERLINK("https://www.walmart.com/ip/988389373", "988389373")</f>
        <v/>
      </c>
      <c r="B920" t="inlineStr">
        <is>
          <t>Catalonia Wearable TV Blanket with Sleeves Arms Micro Plush Fleece Wrap Throw Robe 73 x 51”</t>
        </is>
      </c>
      <c r="C920" t="inlineStr">
        <is>
          <t>1CTSN100WN</t>
        </is>
      </c>
      <c r="D920" t="inlineStr">
        <is>
          <t>Throws</t>
        </is>
      </c>
      <c r="E920" t="inlineStr">
        <is>
          <t>Catalonia</t>
        </is>
      </c>
      <c r="F920" t="inlineStr">
        <is>
          <t>WFS,Coupon_Discount,WFS Item</t>
        </is>
      </c>
      <c r="G920" s="48" t="n">
        <v>0</v>
      </c>
      <c r="H920" s="48" t="n">
        <v>0</v>
      </c>
      <c r="I920" s="48" t="n">
        <v>0</v>
      </c>
      <c r="J920" s="48" t="n">
        <v>0</v>
      </c>
      <c r="K920" s="49" t="n">
        <v>0</v>
      </c>
      <c r="L920" s="49" t="n">
        <v>0</v>
      </c>
      <c r="M920" s="49" t="n">
        <v>0</v>
      </c>
      <c r="N920" s="49" t="n">
        <v>0</v>
      </c>
      <c r="O920" s="49" t="n">
        <v>0</v>
      </c>
      <c r="P920" s="49" t="n">
        <v>0</v>
      </c>
      <c r="Q920" s="49" t="n">
        <v>0</v>
      </c>
      <c r="R920" s="49" t="n">
        <v>0</v>
      </c>
      <c r="S920" s="50" t="n">
        <v>0</v>
      </c>
      <c r="T920" s="50" t="n">
        <v>0</v>
      </c>
      <c r="U920" s="50" t="n">
        <v>0</v>
      </c>
      <c r="V920" s="50" t="n">
        <v>0</v>
      </c>
      <c r="W920" s="51" t="n">
        <v>0</v>
      </c>
      <c r="X920" s="51" t="n">
        <v>0</v>
      </c>
      <c r="Y920" s="51" t="n">
        <v>0</v>
      </c>
      <c r="Z920" s="51" t="n">
        <v>0</v>
      </c>
      <c r="AA920" s="52" t="n">
        <v>0</v>
      </c>
      <c r="AB920" s="52" t="n">
        <v>0</v>
      </c>
      <c r="AC920" s="52" t="n">
        <v>0</v>
      </c>
      <c r="AD920" s="52" t="n">
        <v>0</v>
      </c>
      <c r="AE920" s="52" t="n">
        <v>0</v>
      </c>
      <c r="AF920" s="52" t="n">
        <v>0</v>
      </c>
      <c r="AG920" s="52" t="n">
        <v>0</v>
      </c>
      <c r="AH920" s="52" t="n">
        <v>0</v>
      </c>
      <c r="AI920" s="52" t="n">
        <v>0</v>
      </c>
      <c r="AJ920" s="52" t="n">
        <v>0</v>
      </c>
      <c r="AK920" s="52" t="n">
        <v>0</v>
      </c>
      <c r="AL920" s="52" t="n">
        <v>0</v>
      </c>
      <c r="AM920" s="53" t="n">
        <v>0</v>
      </c>
      <c r="AN920" s="53" t="n">
        <v>0</v>
      </c>
      <c r="AO920" s="53" t="n">
        <v>0</v>
      </c>
      <c r="AP920" s="53" t="n">
        <v>0</v>
      </c>
      <c r="AQ920" s="52" t="n">
        <v>0</v>
      </c>
      <c r="AR920" s="52" t="n">
        <v>0</v>
      </c>
      <c r="AS920" s="52" t="n">
        <v>0</v>
      </c>
      <c r="AT920" s="52" t="n">
        <v>0</v>
      </c>
      <c r="AU920" s="53" t="n">
        <v>0</v>
      </c>
      <c r="AV920" s="53" t="n">
        <v>0</v>
      </c>
      <c r="AW920" s="53" t="n">
        <v>0</v>
      </c>
      <c r="AX920" s="53" t="n">
        <v>0</v>
      </c>
      <c r="AY920" s="52" t="n">
        <v>0</v>
      </c>
      <c r="AZ920" s="52" t="n">
        <v>0</v>
      </c>
      <c r="BA920" s="52" t="n">
        <v>0</v>
      </c>
      <c r="BB920" s="52" t="n">
        <v>0</v>
      </c>
      <c r="BC920" s="51" t="n">
        <v>0</v>
      </c>
      <c r="BD920" s="51" t="n">
        <v>0</v>
      </c>
      <c r="BE920" s="51" t="n">
        <v>0</v>
      </c>
      <c r="BF920" s="51" t="n">
        <v>0</v>
      </c>
    </row>
    <row r="921">
      <c r="A921">
        <f>HYPERLINK("https://www.walmart.com/ip/989130878", "989130878")</f>
        <v/>
      </c>
      <c r="B921" t="inlineStr">
        <is>
          <t>Flyingstar Sherpa Throws Blanket, Fleece Soft Cozy Blanket Throws for Sofa Bed 50"x60"</t>
        </is>
      </c>
      <c r="C921" t="inlineStr">
        <is>
          <t>1WMBF571XMAS</t>
        </is>
      </c>
      <c r="D921" t="inlineStr">
        <is>
          <t>Throws</t>
        </is>
      </c>
      <c r="E921" t="inlineStr">
        <is>
          <t>Flyingstar</t>
        </is>
      </c>
      <c r="F921" t="inlineStr">
        <is>
          <t>Christmas</t>
        </is>
      </c>
      <c r="G921" s="48" t="n">
        <v>0</v>
      </c>
      <c r="H921" s="48" t="n">
        <v>0</v>
      </c>
      <c r="I921" s="48" t="n">
        <v>0</v>
      </c>
      <c r="J921" s="48" t="n">
        <v>0</v>
      </c>
      <c r="K921" s="49" t="n">
        <v>0</v>
      </c>
      <c r="L921" s="49" t="n">
        <v>0</v>
      </c>
      <c r="M921" s="49" t="n">
        <v>0</v>
      </c>
      <c r="N921" s="49" t="n">
        <v>0</v>
      </c>
      <c r="O921" s="49" t="n">
        <v>0</v>
      </c>
      <c r="P921" s="49" t="n">
        <v>0</v>
      </c>
      <c r="Q921" s="49" t="n">
        <v>0</v>
      </c>
      <c r="R921" s="49" t="n">
        <v>0</v>
      </c>
      <c r="S921" s="50" t="n">
        <v>0</v>
      </c>
      <c r="T921" s="50" t="n">
        <v>0</v>
      </c>
      <c r="U921" s="50" t="n">
        <v>0</v>
      </c>
      <c r="V921" s="50" t="n">
        <v>0</v>
      </c>
      <c r="W921" s="51" t="n">
        <v>0</v>
      </c>
      <c r="X921" s="51" t="n">
        <v>0</v>
      </c>
      <c r="Y921" s="51" t="n">
        <v>0</v>
      </c>
      <c r="Z921" s="51" t="n">
        <v>0</v>
      </c>
      <c r="AA921" s="52" t="n">
        <v>0</v>
      </c>
      <c r="AB921" s="52" t="n">
        <v>0</v>
      </c>
      <c r="AC921" s="52" t="n">
        <v>0</v>
      </c>
      <c r="AD921" s="52" t="n">
        <v>0</v>
      </c>
      <c r="AE921" s="52" t="n">
        <v>0</v>
      </c>
      <c r="AF921" s="52" t="n">
        <v>0</v>
      </c>
      <c r="AG921" s="52" t="n">
        <v>0</v>
      </c>
      <c r="AH921" s="52" t="n">
        <v>0</v>
      </c>
      <c r="AI921" s="52" t="n">
        <v>0</v>
      </c>
      <c r="AJ921" s="52" t="n">
        <v>0</v>
      </c>
      <c r="AK921" s="52" t="n">
        <v>0</v>
      </c>
      <c r="AL921" s="52" t="n">
        <v>0</v>
      </c>
      <c r="AM921" s="53" t="n">
        <v>0</v>
      </c>
      <c r="AN921" s="53" t="n">
        <v>0</v>
      </c>
      <c r="AO921" s="53" t="n">
        <v>0</v>
      </c>
      <c r="AP921" s="53" t="n">
        <v>0</v>
      </c>
      <c r="AQ921" s="52" t="n">
        <v>0</v>
      </c>
      <c r="AR921" s="52" t="n">
        <v>0</v>
      </c>
      <c r="AS921" s="52" t="n">
        <v>0</v>
      </c>
      <c r="AT921" s="52" t="n">
        <v>0</v>
      </c>
      <c r="AU921" s="53" t="n">
        <v>0</v>
      </c>
      <c r="AV921" s="53" t="n">
        <v>0</v>
      </c>
      <c r="AW921" s="53" t="n">
        <v>0</v>
      </c>
      <c r="AX921" s="53" t="n">
        <v>0</v>
      </c>
      <c r="AY921" s="52" t="n">
        <v>0</v>
      </c>
      <c r="AZ921" s="52" t="n">
        <v>0</v>
      </c>
      <c r="BA921" s="52" t="n">
        <v>0</v>
      </c>
      <c r="BB921" s="52" t="n">
        <v>0</v>
      </c>
      <c r="BC921" s="51" t="n">
        <v>0</v>
      </c>
      <c r="BD921" s="51" t="n">
        <v>0</v>
      </c>
      <c r="BE921" s="51" t="n">
        <v>0</v>
      </c>
      <c r="BF921" s="51" t="n">
        <v>0</v>
      </c>
    </row>
    <row r="922">
      <c r="A922">
        <f>HYPERLINK("https://www.walmart.com/ip/989386397", "989386397")</f>
        <v/>
      </c>
      <c r="B922" t="inlineStr">
        <is>
          <t>Youth Reflective Knit Beanie Hat For Sports Warm</t>
        </is>
      </c>
      <c r="C922" t="inlineStr">
        <is>
          <t>1SLBN01PP-FSCB</t>
        </is>
      </c>
      <c r="D922" t="inlineStr">
        <is>
          <t>Hats</t>
        </is>
      </c>
      <c r="E922" t="inlineStr">
        <is>
          <t>Solaris</t>
        </is>
      </c>
      <c r="F922" t="inlineStr">
        <is>
          <t>Optimized</t>
        </is>
      </c>
      <c r="G922" s="48" t="n">
        <v>0</v>
      </c>
      <c r="H922" s="48" t="n">
        <v>0</v>
      </c>
      <c r="I922" s="48" t="n">
        <v>0</v>
      </c>
      <c r="J922" s="48" t="n">
        <v>0</v>
      </c>
      <c r="K922" s="49" t="n">
        <v>0</v>
      </c>
      <c r="L922" s="49" t="n">
        <v>0</v>
      </c>
      <c r="M922" s="49" t="n">
        <v>0</v>
      </c>
      <c r="N922" s="49" t="n">
        <v>0</v>
      </c>
      <c r="O922" s="49" t="n">
        <v>0</v>
      </c>
      <c r="P922" s="49" t="n">
        <v>0</v>
      </c>
      <c r="Q922" s="49" t="n">
        <v>0</v>
      </c>
      <c r="R922" s="49" t="n">
        <v>0</v>
      </c>
      <c r="S922" s="50" t="n">
        <v>0</v>
      </c>
      <c r="T922" s="50" t="n">
        <v>0</v>
      </c>
      <c r="U922" s="50" t="n">
        <v>0</v>
      </c>
      <c r="V922" s="50" t="n">
        <v>0</v>
      </c>
      <c r="W922" s="51" t="n">
        <v>0</v>
      </c>
      <c r="X922" s="51" t="n">
        <v>0</v>
      </c>
      <c r="Y922" s="51" t="n">
        <v>0</v>
      </c>
      <c r="Z922" s="51" t="n">
        <v>0</v>
      </c>
      <c r="AA922" s="52" t="n">
        <v>0</v>
      </c>
      <c r="AB922" s="52" t="n">
        <v>0</v>
      </c>
      <c r="AC922" s="52" t="n">
        <v>0</v>
      </c>
      <c r="AD922" s="52" t="n">
        <v>0</v>
      </c>
      <c r="AE922" s="52" t="n">
        <v>0</v>
      </c>
      <c r="AF922" s="52" t="n">
        <v>0</v>
      </c>
      <c r="AG922" s="52" t="n">
        <v>0</v>
      </c>
      <c r="AH922" s="52" t="n">
        <v>0</v>
      </c>
      <c r="AI922" s="52" t="n">
        <v>0</v>
      </c>
      <c r="AJ922" s="52" t="n">
        <v>0</v>
      </c>
      <c r="AK922" s="52" t="n">
        <v>0</v>
      </c>
      <c r="AL922" s="52" t="n">
        <v>0</v>
      </c>
      <c r="AM922" s="53" t="n">
        <v>0</v>
      </c>
      <c r="AN922" s="53" t="n">
        <v>0</v>
      </c>
      <c r="AO922" s="53" t="n">
        <v>0</v>
      </c>
      <c r="AP922" s="53" t="n">
        <v>0</v>
      </c>
      <c r="AQ922" s="52" t="n">
        <v>0</v>
      </c>
      <c r="AR922" s="52" t="n">
        <v>0</v>
      </c>
      <c r="AS922" s="52" t="n">
        <v>0</v>
      </c>
      <c r="AT922" s="52" t="n">
        <v>0</v>
      </c>
      <c r="AU922" s="53" t="n">
        <v>0</v>
      </c>
      <c r="AV922" s="53" t="n">
        <v>0</v>
      </c>
      <c r="AW922" s="53" t="n">
        <v>0</v>
      </c>
      <c r="AX922" s="53" t="n">
        <v>0</v>
      </c>
      <c r="AY922" s="52" t="n">
        <v>0</v>
      </c>
      <c r="AZ922" s="52" t="n">
        <v>0</v>
      </c>
      <c r="BA922" s="52" t="n">
        <v>0</v>
      </c>
      <c r="BB922" s="52" t="n">
        <v>0</v>
      </c>
      <c r="BC922" s="51" t="n">
        <v>0</v>
      </c>
      <c r="BD922" s="51" t="n">
        <v>0</v>
      </c>
      <c r="BE922" s="51" t="n">
        <v>0</v>
      </c>
      <c r="BF922" s="51" t="n">
        <v>0</v>
      </c>
    </row>
    <row r="923">
      <c r="A923">
        <f>HYPERLINK("https://www.walmart.com/ip/989796392", "989796392")</f>
        <v/>
      </c>
      <c r="B923" t="inlineStr">
        <is>
          <t>3 Pack Wine Purse Replacement Bags - 3L, BPA Free Reusable Refillable Wine Replacement Storage Pouch with Spout, Portable Wine/Drink Disposable Beverage Bladders, Perfect for Travel Camping Hiking</t>
        </is>
      </c>
      <c r="C923" t="inlineStr">
        <is>
          <t>1TRLSB300SL-3PK</t>
        </is>
      </c>
      <c r="D923" t="inlineStr">
        <is>
          <t>Wine Totes, Bags &amp; Backpacks</t>
        </is>
      </c>
      <c r="E923" t="inlineStr">
        <is>
          <t>Tirrinia</t>
        </is>
      </c>
      <c r="F923" t="inlineStr">
        <is>
          <t>Optimized</t>
        </is>
      </c>
      <c r="G923" s="48" t="n">
        <v>0</v>
      </c>
      <c r="H923" s="48" t="n">
        <v>0</v>
      </c>
      <c r="I923" s="48" t="n">
        <v>0</v>
      </c>
      <c r="J923" s="48" t="n">
        <v>0</v>
      </c>
      <c r="K923" s="49" t="n">
        <v>0</v>
      </c>
      <c r="L923" s="49" t="n">
        <v>0</v>
      </c>
      <c r="M923" s="49" t="n">
        <v>0</v>
      </c>
      <c r="N923" s="49" t="n">
        <v>0</v>
      </c>
      <c r="O923" s="49" t="n">
        <v>0</v>
      </c>
      <c r="P923" s="49" t="n">
        <v>0</v>
      </c>
      <c r="Q923" s="49" t="n">
        <v>0</v>
      </c>
      <c r="R923" s="49" t="n">
        <v>0</v>
      </c>
      <c r="S923" s="50" t="n">
        <v>0</v>
      </c>
      <c r="T923" s="50" t="n">
        <v>0</v>
      </c>
      <c r="U923" s="50" t="n">
        <v>0</v>
      </c>
      <c r="V923" s="50" t="n">
        <v>0</v>
      </c>
      <c r="W923" s="51" t="n">
        <v>0</v>
      </c>
      <c r="X923" s="51" t="n">
        <v>0</v>
      </c>
      <c r="Y923" s="51" t="n">
        <v>0</v>
      </c>
      <c r="Z923" s="51" t="n">
        <v>0</v>
      </c>
      <c r="AA923" s="52" t="n">
        <v>0</v>
      </c>
      <c r="AB923" s="52" t="n">
        <v>0</v>
      </c>
      <c r="AC923" s="52" t="n">
        <v>0</v>
      </c>
      <c r="AD923" s="52" t="n">
        <v>0</v>
      </c>
      <c r="AE923" s="52" t="n">
        <v>0</v>
      </c>
      <c r="AF923" s="52" t="n">
        <v>0</v>
      </c>
      <c r="AG923" s="52" t="n">
        <v>0</v>
      </c>
      <c r="AH923" s="52" t="n">
        <v>0</v>
      </c>
      <c r="AI923" s="52" t="n">
        <v>0</v>
      </c>
      <c r="AJ923" s="52" t="n">
        <v>0</v>
      </c>
      <c r="AK923" s="52" t="n">
        <v>0</v>
      </c>
      <c r="AL923" s="52" t="n">
        <v>0</v>
      </c>
      <c r="AM923" s="53" t="n">
        <v>0</v>
      </c>
      <c r="AN923" s="53" t="n">
        <v>0</v>
      </c>
      <c r="AO923" s="53" t="n">
        <v>0</v>
      </c>
      <c r="AP923" s="53" t="n">
        <v>0</v>
      </c>
      <c r="AQ923" s="52" t="n">
        <v>0</v>
      </c>
      <c r="AR923" s="52" t="n">
        <v>0</v>
      </c>
      <c r="AS923" s="52" t="n">
        <v>0</v>
      </c>
      <c r="AT923" s="52" t="n">
        <v>0</v>
      </c>
      <c r="AU923" s="53" t="n">
        <v>0</v>
      </c>
      <c r="AV923" s="53" t="n">
        <v>0</v>
      </c>
      <c r="AW923" s="53" t="n">
        <v>0</v>
      </c>
      <c r="AX923" s="53" t="n">
        <v>0</v>
      </c>
      <c r="AY923" s="52" t="n">
        <v>0</v>
      </c>
      <c r="AZ923" s="52" t="n">
        <v>0</v>
      </c>
      <c r="BA923" s="52" t="n">
        <v>0</v>
      </c>
      <c r="BB923" s="52" t="n">
        <v>0</v>
      </c>
      <c r="BC923" s="51" t="n">
        <v>0</v>
      </c>
      <c r="BD923" s="51" t="n">
        <v>0</v>
      </c>
      <c r="BE923" s="51" t="n">
        <v>0</v>
      </c>
      <c r="BF923" s="51" t="n">
        <v>0</v>
      </c>
    </row>
    <row r="924">
      <c r="A924">
        <f>HYPERLINK("https://www.walmart.com/ip/990640353", "990640353")</f>
        <v/>
      </c>
      <c r="B924" t="inlineStr">
        <is>
          <t>Tirrina Unisex Outdoor Sun Protection Fishing Cap with Neck Flap Wide Brim Mesh Hat for Travel Camping Hiking Hunting</t>
        </is>
      </c>
      <c r="C924" t="inlineStr">
        <is>
          <t>1TRSH9150DIGIGN-TBCB</t>
        </is>
      </c>
      <c r="D924" t="inlineStr">
        <is>
          <t>Hats</t>
        </is>
      </c>
      <c r="E924" t="inlineStr">
        <is>
          <t>Tirrinia</t>
        </is>
      </c>
      <c r="F924" t="inlineStr">
        <is>
          <t>Hats,ST Patrick Day</t>
        </is>
      </c>
      <c r="G924" s="48" t="n">
        <v>0</v>
      </c>
      <c r="H924" s="48" t="n">
        <v>0</v>
      </c>
      <c r="I924" s="48" t="n">
        <v>0</v>
      </c>
      <c r="J924" s="48" t="n">
        <v>0</v>
      </c>
      <c r="K924" s="49" t="n">
        <v>0</v>
      </c>
      <c r="L924" s="49" t="n">
        <v>0</v>
      </c>
      <c r="M924" s="49" t="n">
        <v>0</v>
      </c>
      <c r="N924" s="49" t="n">
        <v>0</v>
      </c>
      <c r="O924" s="49" t="n">
        <v>0</v>
      </c>
      <c r="P924" s="49" t="n">
        <v>0</v>
      </c>
      <c r="Q924" s="49" t="n">
        <v>0</v>
      </c>
      <c r="R924" s="49" t="n">
        <v>0</v>
      </c>
      <c r="S924" s="50" t="n">
        <v>0</v>
      </c>
      <c r="T924" s="50" t="n">
        <v>0</v>
      </c>
      <c r="U924" s="50" t="n">
        <v>0</v>
      </c>
      <c r="V924" s="50" t="n">
        <v>0</v>
      </c>
      <c r="W924" s="51" t="n">
        <v>0</v>
      </c>
      <c r="X924" s="51" t="n">
        <v>0</v>
      </c>
      <c r="Y924" s="51" t="n">
        <v>0</v>
      </c>
      <c r="Z924" s="51" t="n">
        <v>0</v>
      </c>
      <c r="AA924" s="52" t="n">
        <v>0</v>
      </c>
      <c r="AB924" s="52" t="n">
        <v>0</v>
      </c>
      <c r="AC924" s="52" t="n">
        <v>0</v>
      </c>
      <c r="AD924" s="52" t="n">
        <v>0</v>
      </c>
      <c r="AE924" s="52" t="n">
        <v>0</v>
      </c>
      <c r="AF924" s="52" t="n">
        <v>0</v>
      </c>
      <c r="AG924" s="52" t="n">
        <v>0</v>
      </c>
      <c r="AH924" s="52" t="n">
        <v>0</v>
      </c>
      <c r="AI924" s="52" t="n">
        <v>0</v>
      </c>
      <c r="AJ924" s="52" t="n">
        <v>0</v>
      </c>
      <c r="AK924" s="52" t="n">
        <v>0</v>
      </c>
      <c r="AL924" s="52" t="n">
        <v>0</v>
      </c>
      <c r="AM924" s="53" t="n">
        <v>0</v>
      </c>
      <c r="AN924" s="53" t="n">
        <v>0</v>
      </c>
      <c r="AO924" s="53" t="n">
        <v>0</v>
      </c>
      <c r="AP924" s="53" t="n">
        <v>0</v>
      </c>
      <c r="AQ924" s="52" t="n">
        <v>0</v>
      </c>
      <c r="AR924" s="52" t="n">
        <v>0</v>
      </c>
      <c r="AS924" s="52" t="n">
        <v>0</v>
      </c>
      <c r="AT924" s="52" t="n">
        <v>0</v>
      </c>
      <c r="AU924" s="53" t="n">
        <v>0</v>
      </c>
      <c r="AV924" s="53" t="n">
        <v>0</v>
      </c>
      <c r="AW924" s="53" t="n">
        <v>0</v>
      </c>
      <c r="AX924" s="53" t="n">
        <v>0</v>
      </c>
      <c r="AY924" s="52" t="n">
        <v>0</v>
      </c>
      <c r="AZ924" s="52" t="n">
        <v>0</v>
      </c>
      <c r="BA924" s="52" t="n">
        <v>0</v>
      </c>
      <c r="BB924" s="52" t="n">
        <v>0</v>
      </c>
      <c r="BC924" s="51" t="n">
        <v>0</v>
      </c>
      <c r="BD924" s="51" t="n">
        <v>0</v>
      </c>
      <c r="BE924" s="51" t="n">
        <v>0</v>
      </c>
      <c r="BF924" s="51" t="n">
        <v>0</v>
      </c>
    </row>
    <row r="925">
      <c r="A925">
        <f>HYPERLINK("https://www.walmart.com/ip/991203599", "991203599")</f>
        <v/>
      </c>
      <c r="B925" t="inlineStr">
        <is>
          <t>Catalonia Wearable Blanket with Sleeves and Pocket, Cozy Soft Fleece Micro Plush Wrap Adult Snuggie Blanket Robe for Women Men, Makes a Great Gift for Holidays, Green</t>
        </is>
      </c>
      <c r="C925" t="inlineStr">
        <is>
          <t>1CTSN100GN</t>
        </is>
      </c>
      <c r="D925" t="inlineStr">
        <is>
          <t>Throws</t>
        </is>
      </c>
      <c r="E925" t="inlineStr">
        <is>
          <t>Catalonia</t>
        </is>
      </c>
      <c r="F925" t="inlineStr">
        <is>
          <t>WFS,WFS Item</t>
        </is>
      </c>
      <c r="G925" s="48" t="n">
        <v>0</v>
      </c>
      <c r="H925" s="48" t="n">
        <v>0</v>
      </c>
      <c r="I925" s="48" t="n">
        <v>0</v>
      </c>
      <c r="J925" s="48" t="n">
        <v>0</v>
      </c>
      <c r="K925" s="49" t="n">
        <v>0</v>
      </c>
      <c r="L925" s="49" t="n">
        <v>0</v>
      </c>
      <c r="M925" s="49" t="n">
        <v>0</v>
      </c>
      <c r="N925" s="49" t="n">
        <v>0</v>
      </c>
      <c r="O925" s="49" t="n">
        <v>0</v>
      </c>
      <c r="P925" s="49" t="n">
        <v>0</v>
      </c>
      <c r="Q925" s="49" t="n">
        <v>0</v>
      </c>
      <c r="R925" s="49" t="n">
        <v>0</v>
      </c>
      <c r="S925" s="50" t="n">
        <v>0</v>
      </c>
      <c r="T925" s="50" t="n">
        <v>0</v>
      </c>
      <c r="U925" s="50" t="n">
        <v>0</v>
      </c>
      <c r="V925" s="50" t="n">
        <v>0</v>
      </c>
      <c r="W925" s="51" t="n">
        <v>0</v>
      </c>
      <c r="X925" s="51" t="n">
        <v>0</v>
      </c>
      <c r="Y925" s="51" t="n">
        <v>0</v>
      </c>
      <c r="Z925" s="51" t="n">
        <v>0</v>
      </c>
      <c r="AA925" s="52" t="n">
        <v>0</v>
      </c>
      <c r="AB925" s="52" t="n">
        <v>0</v>
      </c>
      <c r="AC925" s="52" t="n">
        <v>0</v>
      </c>
      <c r="AD925" s="52" t="n">
        <v>0</v>
      </c>
      <c r="AE925" s="52" t="n">
        <v>0</v>
      </c>
      <c r="AF925" s="52" t="n">
        <v>0</v>
      </c>
      <c r="AG925" s="52" t="n">
        <v>0</v>
      </c>
      <c r="AH925" s="52" t="n">
        <v>0</v>
      </c>
      <c r="AI925" s="52" t="n">
        <v>0</v>
      </c>
      <c r="AJ925" s="52" t="n">
        <v>0</v>
      </c>
      <c r="AK925" s="52" t="n">
        <v>0</v>
      </c>
      <c r="AL925" s="52" t="n">
        <v>0</v>
      </c>
      <c r="AM925" s="53" t="n">
        <v>0</v>
      </c>
      <c r="AN925" s="53" t="n">
        <v>0</v>
      </c>
      <c r="AO925" s="53" t="n">
        <v>0</v>
      </c>
      <c r="AP925" s="53" t="n">
        <v>0</v>
      </c>
      <c r="AQ925" s="52" t="n">
        <v>0</v>
      </c>
      <c r="AR925" s="52" t="n">
        <v>0</v>
      </c>
      <c r="AS925" s="52" t="n">
        <v>0</v>
      </c>
      <c r="AT925" s="52" t="n">
        <v>0</v>
      </c>
      <c r="AU925" s="53" t="n">
        <v>0</v>
      </c>
      <c r="AV925" s="53" t="n">
        <v>0</v>
      </c>
      <c r="AW925" s="53" t="n">
        <v>0</v>
      </c>
      <c r="AX925" s="53" t="n">
        <v>0</v>
      </c>
      <c r="AY925" s="52" t="n">
        <v>0</v>
      </c>
      <c r="AZ925" s="52" t="n">
        <v>0</v>
      </c>
      <c r="BA925" s="52" t="n">
        <v>0</v>
      </c>
      <c r="BB925" s="52" t="n">
        <v>0</v>
      </c>
      <c r="BC925" s="51" t="n">
        <v>0</v>
      </c>
      <c r="BD925" s="51" t="n">
        <v>0</v>
      </c>
      <c r="BE925" s="51" t="n">
        <v>0</v>
      </c>
      <c r="BF925" s="51" t="n">
        <v>0</v>
      </c>
    </row>
    <row r="926">
      <c r="A926">
        <f>HYPERLINK("https://www.walmart.com/ip/961035708", "961035708")</f>
        <v/>
      </c>
      <c r="B926" t="inlineStr">
        <is>
          <t>Catalonia Sherpa Throws Blanket, Super Soft Comfy Fluffy Fuzzy Fleece Plush Blanket for Sofa Couch Bed Reversible All Season for Adults Children 50”x60”, Chevron Wine</t>
        </is>
      </c>
      <c r="C926" t="inlineStr">
        <is>
          <t>1CTBF320WN</t>
        </is>
      </c>
      <c r="D926" t="inlineStr">
        <is>
          <t>Throws</t>
        </is>
      </c>
      <c r="E926" t="inlineStr">
        <is>
          <t>Catalonia</t>
        </is>
      </c>
      <c r="F926" t="inlineStr">
        <is>
          <t>Q2-Target,WFS,Coupon_Discount,WFS Item</t>
        </is>
      </c>
      <c r="G926" s="48" t="n">
        <v>0</v>
      </c>
      <c r="H926" s="48" t="n">
        <v>0</v>
      </c>
      <c r="I926" s="48" t="n">
        <v>0</v>
      </c>
      <c r="J926" s="48" t="n">
        <v>0</v>
      </c>
      <c r="K926" s="49" t="n">
        <v>0</v>
      </c>
      <c r="L926" s="49" t="n">
        <v>0</v>
      </c>
      <c r="M926" s="49" t="n">
        <v>0</v>
      </c>
      <c r="N926" s="49" t="n">
        <v>0</v>
      </c>
      <c r="O926" s="49" t="n">
        <v>0</v>
      </c>
      <c r="P926" s="49" t="n">
        <v>0</v>
      </c>
      <c r="Q926" s="49" t="n">
        <v>0</v>
      </c>
      <c r="R926" s="49" t="n">
        <v>0</v>
      </c>
      <c r="S926" s="50" t="n">
        <v>0</v>
      </c>
      <c r="T926" s="50" t="n">
        <v>0</v>
      </c>
      <c r="U926" s="50" t="n">
        <v>0</v>
      </c>
      <c r="V926" s="50" t="n">
        <v>0</v>
      </c>
      <c r="W926" s="51" t="n">
        <v>0</v>
      </c>
      <c r="X926" s="51" t="n">
        <v>0</v>
      </c>
      <c r="Y926" s="51" t="n">
        <v>0</v>
      </c>
      <c r="Z926" s="51" t="n">
        <v>0</v>
      </c>
      <c r="AA926" s="52" t="n">
        <v>0</v>
      </c>
      <c r="AB926" s="52" t="n">
        <v>0</v>
      </c>
      <c r="AC926" s="52" t="n">
        <v>0</v>
      </c>
      <c r="AD926" s="52" t="n">
        <v>0</v>
      </c>
      <c r="AE926" s="52" t="n">
        <v>0</v>
      </c>
      <c r="AF926" s="52" t="n">
        <v>0</v>
      </c>
      <c r="AG926" s="52" t="n">
        <v>0</v>
      </c>
      <c r="AH926" s="52" t="n">
        <v>0</v>
      </c>
      <c r="AI926" s="52" t="n">
        <v>0</v>
      </c>
      <c r="AJ926" s="52" t="n">
        <v>0</v>
      </c>
      <c r="AK926" s="52" t="n">
        <v>0</v>
      </c>
      <c r="AL926" s="52" t="n">
        <v>0</v>
      </c>
      <c r="AM926" s="53" t="n">
        <v>0</v>
      </c>
      <c r="AN926" s="53" t="n">
        <v>0</v>
      </c>
      <c r="AO926" s="53" t="n">
        <v>0</v>
      </c>
      <c r="AP926" s="53" t="n">
        <v>0</v>
      </c>
      <c r="AQ926" s="52" t="n">
        <v>0</v>
      </c>
      <c r="AR926" s="52" t="n">
        <v>0</v>
      </c>
      <c r="AS926" s="52" t="n">
        <v>0</v>
      </c>
      <c r="AT926" s="52" t="n">
        <v>0</v>
      </c>
      <c r="AU926" s="53" t="n">
        <v>0</v>
      </c>
      <c r="AV926" s="53" t="n">
        <v>0</v>
      </c>
      <c r="AW926" s="53" t="n">
        <v>0</v>
      </c>
      <c r="AX926" s="53" t="n">
        <v>0</v>
      </c>
      <c r="AY926" s="52" t="n">
        <v>0</v>
      </c>
      <c r="AZ926" s="52" t="n">
        <v>0</v>
      </c>
      <c r="BA926" s="52" t="n">
        <v>0</v>
      </c>
      <c r="BB926" s="52" t="n">
        <v>0</v>
      </c>
      <c r="BC926" s="51" t="n">
        <v>0</v>
      </c>
      <c r="BD926" s="51" t="n">
        <v>0</v>
      </c>
      <c r="BE926" s="51" t="n">
        <v>0</v>
      </c>
      <c r="BF926" s="51" t="n">
        <v>0</v>
      </c>
    </row>
    <row r="927">
      <c r="A927">
        <f>HYPERLINK("https://www.walmart.com/ip/960610317", "960610317")</f>
        <v/>
      </c>
      <c r="B927" t="inlineStr">
        <is>
          <t>Kato Wine Bottle Opener Set, 5 Pcs Wine Corkscrew Screwpull Accessories Kit with Drink Stickers by Kato, Perfect Wedding Gifts for Wine Lover &amp; Drinker, Silver</t>
        </is>
      </c>
      <c r="C927" t="inlineStr">
        <is>
          <t>1KTWO501SLBK</t>
        </is>
      </c>
      <c r="D927" t="inlineStr">
        <is>
          <t>Barware Sets</t>
        </is>
      </c>
      <c r="E927" t="inlineStr">
        <is>
          <t>Kato</t>
        </is>
      </c>
      <c r="F927" t="inlineStr">
        <is>
          <t>Wine,Christmas,WFS,Valentine,SEM,WFS Item</t>
        </is>
      </c>
      <c r="G927" s="48" t="n">
        <v>0</v>
      </c>
      <c r="H927" s="48" t="n">
        <v>0</v>
      </c>
      <c r="I927" s="48" t="n">
        <v>0</v>
      </c>
      <c r="J927" s="48" t="n">
        <v>0</v>
      </c>
      <c r="K927" s="49" t="n">
        <v>0</v>
      </c>
      <c r="L927" s="49" t="n">
        <v>0</v>
      </c>
      <c r="M927" s="49" t="n">
        <v>0</v>
      </c>
      <c r="N927" s="49" t="n">
        <v>0</v>
      </c>
      <c r="O927" s="49" t="n">
        <v>0</v>
      </c>
      <c r="P927" s="49" t="n">
        <v>0</v>
      </c>
      <c r="Q927" s="49" t="n">
        <v>0</v>
      </c>
      <c r="R927" s="49" t="n">
        <v>0</v>
      </c>
      <c r="S927" s="50" t="n">
        <v>0</v>
      </c>
      <c r="T927" s="50" t="n">
        <v>0</v>
      </c>
      <c r="U927" s="50" t="n">
        <v>0</v>
      </c>
      <c r="V927" s="50" t="n">
        <v>0</v>
      </c>
      <c r="W927" s="51" t="n">
        <v>0</v>
      </c>
      <c r="X927" s="51" t="n">
        <v>0</v>
      </c>
      <c r="Y927" s="51" t="n">
        <v>0</v>
      </c>
      <c r="Z927" s="51" t="n">
        <v>0</v>
      </c>
      <c r="AA927" s="52" t="n">
        <v>0</v>
      </c>
      <c r="AB927" s="52" t="n">
        <v>0</v>
      </c>
      <c r="AC927" s="52" t="n">
        <v>0</v>
      </c>
      <c r="AD927" s="52" t="n">
        <v>0</v>
      </c>
      <c r="AE927" s="52" t="n">
        <v>0</v>
      </c>
      <c r="AF927" s="52" t="n">
        <v>0</v>
      </c>
      <c r="AG927" s="52" t="n">
        <v>0</v>
      </c>
      <c r="AH927" s="52" t="n">
        <v>0</v>
      </c>
      <c r="AI927" s="52" t="n">
        <v>0</v>
      </c>
      <c r="AJ927" s="52" t="n">
        <v>0</v>
      </c>
      <c r="AK927" s="52" t="n">
        <v>0</v>
      </c>
      <c r="AL927" s="52" t="n">
        <v>0</v>
      </c>
      <c r="AM927" s="53" t="n">
        <v>0</v>
      </c>
      <c r="AN927" s="53" t="n">
        <v>0</v>
      </c>
      <c r="AO927" s="53" t="n">
        <v>0</v>
      </c>
      <c r="AP927" s="53" t="n">
        <v>0</v>
      </c>
      <c r="AQ927" s="52" t="n">
        <v>0</v>
      </c>
      <c r="AR927" s="52" t="n">
        <v>0</v>
      </c>
      <c r="AS927" s="52" t="n">
        <v>0</v>
      </c>
      <c r="AT927" s="52" t="n">
        <v>0</v>
      </c>
      <c r="AU927" s="53" t="n">
        <v>0</v>
      </c>
      <c r="AV927" s="53" t="n">
        <v>0</v>
      </c>
      <c r="AW927" s="53" t="n">
        <v>0</v>
      </c>
      <c r="AX927" s="53" t="n">
        <v>0</v>
      </c>
      <c r="AY927" s="52" t="n">
        <v>0</v>
      </c>
      <c r="AZ927" s="52" t="n">
        <v>0</v>
      </c>
      <c r="BA927" s="52" t="n">
        <v>0</v>
      </c>
      <c r="BB927" s="52" t="n">
        <v>0</v>
      </c>
      <c r="BC927" s="51" t="n">
        <v>0</v>
      </c>
      <c r="BD927" s="51" t="n">
        <v>0</v>
      </c>
      <c r="BE927" s="51" t="n">
        <v>0</v>
      </c>
      <c r="BF927" s="51" t="n">
        <v>0</v>
      </c>
    </row>
    <row r="928">
      <c r="A928">
        <f>HYPERLINK("https://www.walmart.com/ip/960586307", "960586307")</f>
        <v/>
      </c>
      <c r="B928" t="inlineStr">
        <is>
          <t>Cat Oversized Sherpa Hoodie Blanket Sweatshirt for Women</t>
        </is>
      </c>
      <c r="C928" t="inlineStr">
        <is>
          <t>1WMHD201CAT-DG</t>
        </is>
      </c>
      <c r="D928" t="inlineStr">
        <is>
          <t>Sweatshirts &amp; Hoodies</t>
        </is>
      </c>
      <c r="E928" t="inlineStr">
        <is>
          <t>Flyingstar</t>
        </is>
      </c>
      <c r="F928" t="inlineStr">
        <is>
          <t>Hoodie ForAdult,Optimized</t>
        </is>
      </c>
      <c r="G928" s="48" t="n">
        <v>0</v>
      </c>
      <c r="H928" s="48" t="n">
        <v>0</v>
      </c>
      <c r="I928" s="48" t="n">
        <v>0</v>
      </c>
      <c r="J928" s="48" t="n">
        <v>0</v>
      </c>
      <c r="K928" s="49" t="n">
        <v>0</v>
      </c>
      <c r="L928" s="49" t="n">
        <v>0</v>
      </c>
      <c r="M928" s="49" t="n">
        <v>0</v>
      </c>
      <c r="N928" s="49" t="n">
        <v>0</v>
      </c>
      <c r="O928" s="49" t="n">
        <v>0</v>
      </c>
      <c r="P928" s="49" t="n">
        <v>0</v>
      </c>
      <c r="Q928" s="49" t="n">
        <v>0</v>
      </c>
      <c r="R928" s="49" t="n">
        <v>0</v>
      </c>
      <c r="S928" s="50" t="n">
        <v>0</v>
      </c>
      <c r="T928" s="50" t="n">
        <v>0</v>
      </c>
      <c r="U928" s="50" t="n">
        <v>0</v>
      </c>
      <c r="V928" s="50" t="n">
        <v>0</v>
      </c>
      <c r="W928" s="51" t="n">
        <v>0</v>
      </c>
      <c r="X928" s="51" t="n">
        <v>0</v>
      </c>
      <c r="Y928" s="51" t="n">
        <v>0</v>
      </c>
      <c r="Z928" s="51" t="n">
        <v>0</v>
      </c>
      <c r="AA928" s="52" t="n">
        <v>0</v>
      </c>
      <c r="AB928" s="52" t="n">
        <v>0</v>
      </c>
      <c r="AC928" s="52" t="n">
        <v>0</v>
      </c>
      <c r="AD928" s="52" t="n">
        <v>0</v>
      </c>
      <c r="AE928" s="52" t="n">
        <v>0</v>
      </c>
      <c r="AF928" s="52" t="n">
        <v>0</v>
      </c>
      <c r="AG928" s="52" t="n">
        <v>0</v>
      </c>
      <c r="AH928" s="52" t="n">
        <v>0</v>
      </c>
      <c r="AI928" s="52" t="n">
        <v>0</v>
      </c>
      <c r="AJ928" s="52" t="n">
        <v>0</v>
      </c>
      <c r="AK928" s="52" t="n">
        <v>0</v>
      </c>
      <c r="AL928" s="52" t="n">
        <v>0</v>
      </c>
      <c r="AM928" s="53" t="n">
        <v>0</v>
      </c>
      <c r="AN928" s="53" t="n">
        <v>0</v>
      </c>
      <c r="AO928" s="53" t="n">
        <v>0</v>
      </c>
      <c r="AP928" s="53" t="n">
        <v>0</v>
      </c>
      <c r="AQ928" s="52" t="n">
        <v>0</v>
      </c>
      <c r="AR928" s="52" t="n">
        <v>0</v>
      </c>
      <c r="AS928" s="52" t="n">
        <v>0</v>
      </c>
      <c r="AT928" s="52" t="n">
        <v>0</v>
      </c>
      <c r="AU928" s="53" t="n">
        <v>0</v>
      </c>
      <c r="AV928" s="53" t="n">
        <v>0</v>
      </c>
      <c r="AW928" s="53" t="n">
        <v>0</v>
      </c>
      <c r="AX928" s="53" t="n">
        <v>0</v>
      </c>
      <c r="AY928" s="52" t="n">
        <v>0</v>
      </c>
      <c r="AZ928" s="52" t="n">
        <v>0</v>
      </c>
      <c r="BA928" s="52" t="n">
        <v>0</v>
      </c>
      <c r="BB928" s="52" t="n">
        <v>0</v>
      </c>
      <c r="BC928" s="51" t="n">
        <v>0</v>
      </c>
      <c r="BD928" s="51" t="n">
        <v>0</v>
      </c>
      <c r="BE928" s="51" t="n">
        <v>0</v>
      </c>
      <c r="BF928" s="51" t="n">
        <v>0</v>
      </c>
    </row>
    <row r="929">
      <c r="A929">
        <f>HYPERLINK("https://www.walmart.com/ip/944645543", "944645543")</f>
        <v/>
      </c>
      <c r="B929" t="inlineStr">
        <is>
          <t>Sherpa Slipper Socks for Women,Winter Indoor Home Non Skid Booties</t>
        </is>
      </c>
      <c r="C929" t="inlineStr">
        <is>
          <t>1CTST200HP-1</t>
        </is>
      </c>
      <c r="D929" t="inlineStr">
        <is>
          <t>Socks</t>
        </is>
      </c>
      <c r="E929" t="inlineStr">
        <is>
          <t>Catalonia</t>
        </is>
      </c>
      <c r="F929" t="inlineStr">
        <is>
          <t>WFS,WFS Item</t>
        </is>
      </c>
      <c r="G929" s="48" t="n">
        <v>0</v>
      </c>
      <c r="H929" s="48" t="n">
        <v>0</v>
      </c>
      <c r="I929" s="48" t="n">
        <v>0</v>
      </c>
      <c r="J929" s="48" t="n">
        <v>0</v>
      </c>
      <c r="K929" s="49" t="n">
        <v>0</v>
      </c>
      <c r="L929" s="49" t="n">
        <v>0</v>
      </c>
      <c r="M929" s="49" t="n">
        <v>0</v>
      </c>
      <c r="N929" s="49" t="n">
        <v>0</v>
      </c>
      <c r="O929" s="49" t="n">
        <v>0</v>
      </c>
      <c r="P929" s="49" t="n">
        <v>0</v>
      </c>
      <c r="Q929" s="49" t="n">
        <v>0</v>
      </c>
      <c r="R929" s="49" t="n">
        <v>0</v>
      </c>
      <c r="S929" s="50" t="n">
        <v>0</v>
      </c>
      <c r="T929" s="50" t="n">
        <v>0</v>
      </c>
      <c r="U929" s="50" t="n">
        <v>0</v>
      </c>
      <c r="V929" s="50" t="n">
        <v>0</v>
      </c>
      <c r="W929" s="51" t="n">
        <v>0</v>
      </c>
      <c r="X929" s="51" t="n">
        <v>0</v>
      </c>
      <c r="Y929" s="51" t="n">
        <v>0</v>
      </c>
      <c r="Z929" s="51" t="n">
        <v>0</v>
      </c>
      <c r="AA929" s="52" t="n">
        <v>0</v>
      </c>
      <c r="AB929" s="52" t="n">
        <v>0</v>
      </c>
      <c r="AC929" s="52" t="n">
        <v>0</v>
      </c>
      <c r="AD929" s="52" t="n">
        <v>0</v>
      </c>
      <c r="AE929" s="52" t="n">
        <v>0</v>
      </c>
      <c r="AF929" s="52" t="n">
        <v>0</v>
      </c>
      <c r="AG929" s="52" t="n">
        <v>0</v>
      </c>
      <c r="AH929" s="52" t="n">
        <v>0</v>
      </c>
      <c r="AI929" s="52" t="n">
        <v>0</v>
      </c>
      <c r="AJ929" s="52" t="n">
        <v>0</v>
      </c>
      <c r="AK929" s="52" t="n">
        <v>0</v>
      </c>
      <c r="AL929" s="52" t="n">
        <v>0</v>
      </c>
      <c r="AM929" s="53" t="n">
        <v>0</v>
      </c>
      <c r="AN929" s="53" t="n">
        <v>0</v>
      </c>
      <c r="AO929" s="53" t="n">
        <v>0</v>
      </c>
      <c r="AP929" s="53" t="n">
        <v>0</v>
      </c>
      <c r="AQ929" s="52" t="n">
        <v>0</v>
      </c>
      <c r="AR929" s="52" t="n">
        <v>0</v>
      </c>
      <c r="AS929" s="52" t="n">
        <v>0</v>
      </c>
      <c r="AT929" s="52" t="n">
        <v>0</v>
      </c>
      <c r="AU929" s="53" t="n">
        <v>0</v>
      </c>
      <c r="AV929" s="53" t="n">
        <v>0</v>
      </c>
      <c r="AW929" s="53" t="n">
        <v>0</v>
      </c>
      <c r="AX929" s="53" t="n">
        <v>0</v>
      </c>
      <c r="AY929" s="52" t="n">
        <v>0</v>
      </c>
      <c r="AZ929" s="52" t="n">
        <v>0</v>
      </c>
      <c r="BA929" s="52" t="n">
        <v>0</v>
      </c>
      <c r="BB929" s="52" t="n">
        <v>0</v>
      </c>
      <c r="BC929" s="51" t="n">
        <v>0</v>
      </c>
      <c r="BD929" s="51" t="n">
        <v>0</v>
      </c>
      <c r="BE929" s="51" t="n">
        <v>0</v>
      </c>
      <c r="BF929" s="51" t="n">
        <v>0</v>
      </c>
    </row>
    <row r="930">
      <c r="A930">
        <f>HYPERLINK("https://www.walmart.com/ip/945241349", "945241349")</f>
        <v/>
      </c>
      <c r="B930" t="inlineStr">
        <is>
          <t>Oversized Hoodie Blanket Sweatshirt,Super Soft Warm Comfortable Fleece Giant Pullover with Large Front Pocket,for Adults Men Women Teenagers Kids Wife Girlfriend</t>
        </is>
      </c>
      <c r="C930" t="inlineStr">
        <is>
          <t>1WMHD300LBL</t>
        </is>
      </c>
      <c r="D930" t="inlineStr">
        <is>
          <t>Sweatshirts &amp; Hoodies</t>
        </is>
      </c>
      <c r="E930" t="inlineStr">
        <is>
          <t>Flyingstar</t>
        </is>
      </c>
      <c r="F930" t="inlineStr">
        <is>
          <t>Hoodie ForAdult,Optimized</t>
        </is>
      </c>
      <c r="G930" s="48" t="n">
        <v>0</v>
      </c>
      <c r="H930" s="48" t="n">
        <v>0</v>
      </c>
      <c r="I930" s="48" t="n">
        <v>0</v>
      </c>
      <c r="J930" s="48" t="n">
        <v>0</v>
      </c>
      <c r="K930" s="49" t="n">
        <v>0</v>
      </c>
      <c r="L930" s="49" t="n">
        <v>0</v>
      </c>
      <c r="M930" s="49" t="n">
        <v>0</v>
      </c>
      <c r="N930" s="49" t="n">
        <v>0</v>
      </c>
      <c r="O930" s="49" t="n">
        <v>0</v>
      </c>
      <c r="P930" s="49" t="n">
        <v>0</v>
      </c>
      <c r="Q930" s="49" t="n">
        <v>0</v>
      </c>
      <c r="R930" s="49" t="n">
        <v>0</v>
      </c>
      <c r="S930" s="50" t="n">
        <v>0</v>
      </c>
      <c r="T930" s="50" t="n">
        <v>0</v>
      </c>
      <c r="U930" s="50" t="n">
        <v>0</v>
      </c>
      <c r="V930" s="50" t="n">
        <v>0</v>
      </c>
      <c r="W930" s="51" t="n">
        <v>0</v>
      </c>
      <c r="X930" s="51" t="n">
        <v>0</v>
      </c>
      <c r="Y930" s="51" t="n">
        <v>0</v>
      </c>
      <c r="Z930" s="51" t="n">
        <v>0</v>
      </c>
      <c r="AA930" s="52" t="n">
        <v>0</v>
      </c>
      <c r="AB930" s="52" t="n">
        <v>0</v>
      </c>
      <c r="AC930" s="52" t="n">
        <v>0</v>
      </c>
      <c r="AD930" s="52" t="n">
        <v>0</v>
      </c>
      <c r="AE930" s="52" t="n">
        <v>0</v>
      </c>
      <c r="AF930" s="52" t="n">
        <v>0</v>
      </c>
      <c r="AG930" s="52" t="n">
        <v>0</v>
      </c>
      <c r="AH930" s="52" t="n">
        <v>0</v>
      </c>
      <c r="AI930" s="52" t="n">
        <v>0</v>
      </c>
      <c r="AJ930" s="52" t="n">
        <v>0</v>
      </c>
      <c r="AK930" s="52" t="n">
        <v>0</v>
      </c>
      <c r="AL930" s="52" t="n">
        <v>0</v>
      </c>
      <c r="AM930" s="53" t="n">
        <v>0</v>
      </c>
      <c r="AN930" s="53" t="n">
        <v>0</v>
      </c>
      <c r="AO930" s="53" t="n">
        <v>0</v>
      </c>
      <c r="AP930" s="53" t="n">
        <v>0</v>
      </c>
      <c r="AQ930" s="52" t="n">
        <v>0</v>
      </c>
      <c r="AR930" s="52" t="n">
        <v>0</v>
      </c>
      <c r="AS930" s="52" t="n">
        <v>0</v>
      </c>
      <c r="AT930" s="52" t="n">
        <v>0</v>
      </c>
      <c r="AU930" s="53" t="n">
        <v>0</v>
      </c>
      <c r="AV930" s="53" t="n">
        <v>0</v>
      </c>
      <c r="AW930" s="53" t="n">
        <v>0</v>
      </c>
      <c r="AX930" s="53" t="n">
        <v>0</v>
      </c>
      <c r="AY930" s="52" t="n">
        <v>0</v>
      </c>
      <c r="AZ930" s="52" t="n">
        <v>0</v>
      </c>
      <c r="BA930" s="52" t="n">
        <v>0</v>
      </c>
      <c r="BB930" s="52" t="n">
        <v>0</v>
      </c>
      <c r="BC930" s="51" t="n">
        <v>0</v>
      </c>
      <c r="BD930" s="51" t="n">
        <v>0</v>
      </c>
      <c r="BE930" s="51" t="n">
        <v>0</v>
      </c>
      <c r="BF930" s="51" t="n">
        <v>0</v>
      </c>
    </row>
    <row r="931">
      <c r="A931">
        <f>HYPERLINK("https://www.walmart.com/ip/945452259", "945452259")</f>
        <v/>
      </c>
      <c r="B931" t="inlineStr">
        <is>
          <t>Tirrinia Pressure Pump Opener Set Corkscrew, Foil Cutter, Wine Pourer, Vacuum Stopper, Gray</t>
        </is>
      </c>
      <c r="C931" t="inlineStr">
        <is>
          <t>1KTWO400GY</t>
        </is>
      </c>
      <c r="D931" t="inlineStr">
        <is>
          <t>Barware Sets</t>
        </is>
      </c>
      <c r="E931" t="inlineStr">
        <is>
          <t>Tirrinia</t>
        </is>
      </c>
      <c r="F931" t="inlineStr">
        <is>
          <t>Wine,Christmas,Optimized,WFS,Wine WFS,Valentine,WFS Item</t>
        </is>
      </c>
      <c r="G931" s="48" t="n">
        <v>0</v>
      </c>
      <c r="H931" s="48" t="n">
        <v>0</v>
      </c>
      <c r="I931" s="48" t="n">
        <v>0</v>
      </c>
      <c r="J931" s="48" t="n">
        <v>0</v>
      </c>
      <c r="K931" s="49" t="n">
        <v>0</v>
      </c>
      <c r="L931" s="49" t="n">
        <v>0</v>
      </c>
      <c r="M931" s="49" t="n">
        <v>0</v>
      </c>
      <c r="N931" s="49" t="n">
        <v>0</v>
      </c>
      <c r="O931" s="49" t="n">
        <v>0</v>
      </c>
      <c r="P931" s="49" t="n">
        <v>0</v>
      </c>
      <c r="Q931" s="49" t="n">
        <v>0</v>
      </c>
      <c r="R931" s="49" t="n">
        <v>0</v>
      </c>
      <c r="S931" s="50" t="n">
        <v>0</v>
      </c>
      <c r="T931" s="50" t="n">
        <v>0</v>
      </c>
      <c r="U931" s="50" t="n">
        <v>0</v>
      </c>
      <c r="V931" s="50" t="n">
        <v>0</v>
      </c>
      <c r="W931" s="51" t="n">
        <v>0</v>
      </c>
      <c r="X931" s="51" t="n">
        <v>0</v>
      </c>
      <c r="Y931" s="51" t="n">
        <v>0</v>
      </c>
      <c r="Z931" s="51" t="n">
        <v>0</v>
      </c>
      <c r="AA931" s="52" t="n">
        <v>0</v>
      </c>
      <c r="AB931" s="52" t="n">
        <v>0</v>
      </c>
      <c r="AC931" s="52" t="n">
        <v>0</v>
      </c>
      <c r="AD931" s="52" t="n">
        <v>0</v>
      </c>
      <c r="AE931" s="52" t="n">
        <v>0</v>
      </c>
      <c r="AF931" s="52" t="n">
        <v>0</v>
      </c>
      <c r="AG931" s="52" t="n">
        <v>0</v>
      </c>
      <c r="AH931" s="52" t="n">
        <v>0</v>
      </c>
      <c r="AI931" s="52" t="n">
        <v>0</v>
      </c>
      <c r="AJ931" s="52" t="n">
        <v>0</v>
      </c>
      <c r="AK931" s="52" t="n">
        <v>0</v>
      </c>
      <c r="AL931" s="52" t="n">
        <v>0</v>
      </c>
      <c r="AM931" s="53" t="n">
        <v>0</v>
      </c>
      <c r="AN931" s="53" t="n">
        <v>0</v>
      </c>
      <c r="AO931" s="53" t="n">
        <v>0</v>
      </c>
      <c r="AP931" s="53" t="n">
        <v>0</v>
      </c>
      <c r="AQ931" s="52" t="n">
        <v>0</v>
      </c>
      <c r="AR931" s="52" t="n">
        <v>0</v>
      </c>
      <c r="AS931" s="52" t="n">
        <v>0</v>
      </c>
      <c r="AT931" s="52" t="n">
        <v>0</v>
      </c>
      <c r="AU931" s="53" t="n">
        <v>0</v>
      </c>
      <c r="AV931" s="53" t="n">
        <v>0</v>
      </c>
      <c r="AW931" s="53" t="n">
        <v>0</v>
      </c>
      <c r="AX931" s="53" t="n">
        <v>0</v>
      </c>
      <c r="AY931" s="52" t="n">
        <v>0</v>
      </c>
      <c r="AZ931" s="52" t="n">
        <v>0</v>
      </c>
      <c r="BA931" s="52" t="n">
        <v>0</v>
      </c>
      <c r="BB931" s="52" t="n">
        <v>0</v>
      </c>
      <c r="BC931" s="51" t="n">
        <v>0</v>
      </c>
      <c r="BD931" s="51" t="n">
        <v>0</v>
      </c>
      <c r="BE931" s="51" t="n">
        <v>0</v>
      </c>
      <c r="BF931" s="51" t="n">
        <v>0</v>
      </c>
    </row>
    <row r="932">
      <c r="A932">
        <f>HYPERLINK("https://www.walmart.com/ip/945588716", "945588716")</f>
        <v/>
      </c>
      <c r="B932" t="inlineStr">
        <is>
          <t>Tirrinia Comfy Full Body Fleece Wearable Blanket Poncho for Adult Women Men, Grey</t>
        </is>
      </c>
      <c r="C932" t="inlineStr">
        <is>
          <t>1TRBP200GY-TBCB</t>
        </is>
      </c>
      <c r="D932" t="inlineStr">
        <is>
          <t>Throws</t>
        </is>
      </c>
      <c r="E932" t="inlineStr">
        <is>
          <t>Tirrinia</t>
        </is>
      </c>
      <c r="F932" t="inlineStr">
        <is>
          <t>Optimized</t>
        </is>
      </c>
      <c r="G932" s="48" t="n">
        <v>0</v>
      </c>
      <c r="H932" s="48" t="n">
        <v>0</v>
      </c>
      <c r="I932" s="48" t="n">
        <v>0</v>
      </c>
      <c r="J932" s="48" t="n">
        <v>0</v>
      </c>
      <c r="K932" s="49" t="n">
        <v>0</v>
      </c>
      <c r="L932" s="49" t="n">
        <v>0</v>
      </c>
      <c r="M932" s="49" t="n">
        <v>0</v>
      </c>
      <c r="N932" s="49" t="n">
        <v>0</v>
      </c>
      <c r="O932" s="49" t="n">
        <v>0</v>
      </c>
      <c r="P932" s="49" t="n">
        <v>0</v>
      </c>
      <c r="Q932" s="49" t="n">
        <v>0</v>
      </c>
      <c r="R932" s="49" t="n">
        <v>0</v>
      </c>
      <c r="S932" s="50" t="n">
        <v>0</v>
      </c>
      <c r="T932" s="50" t="n">
        <v>0</v>
      </c>
      <c r="U932" s="50" t="n">
        <v>0</v>
      </c>
      <c r="V932" s="50" t="n">
        <v>0</v>
      </c>
      <c r="W932" s="51" t="n">
        <v>0</v>
      </c>
      <c r="X932" s="51" t="n">
        <v>0</v>
      </c>
      <c r="Y932" s="51" t="n">
        <v>0</v>
      </c>
      <c r="Z932" s="51" t="n">
        <v>0</v>
      </c>
      <c r="AA932" s="52" t="n">
        <v>0</v>
      </c>
      <c r="AB932" s="52" t="n">
        <v>0</v>
      </c>
      <c r="AC932" s="52" t="n">
        <v>0</v>
      </c>
      <c r="AD932" s="52" t="n">
        <v>0</v>
      </c>
      <c r="AE932" s="52" t="n">
        <v>0</v>
      </c>
      <c r="AF932" s="52" t="n">
        <v>0</v>
      </c>
      <c r="AG932" s="52" t="n">
        <v>0</v>
      </c>
      <c r="AH932" s="52" t="n">
        <v>0</v>
      </c>
      <c r="AI932" s="52" t="n">
        <v>0</v>
      </c>
      <c r="AJ932" s="52" t="n">
        <v>0</v>
      </c>
      <c r="AK932" s="52" t="n">
        <v>0</v>
      </c>
      <c r="AL932" s="52" t="n">
        <v>0</v>
      </c>
      <c r="AM932" s="53" t="n">
        <v>0</v>
      </c>
      <c r="AN932" s="53" t="n">
        <v>0</v>
      </c>
      <c r="AO932" s="53" t="n">
        <v>0</v>
      </c>
      <c r="AP932" s="53" t="n">
        <v>0</v>
      </c>
      <c r="AQ932" s="52" t="n">
        <v>0</v>
      </c>
      <c r="AR932" s="52" t="n">
        <v>0</v>
      </c>
      <c r="AS932" s="52" t="n">
        <v>0</v>
      </c>
      <c r="AT932" s="52" t="n">
        <v>0</v>
      </c>
      <c r="AU932" s="53" t="n">
        <v>0</v>
      </c>
      <c r="AV932" s="53" t="n">
        <v>0</v>
      </c>
      <c r="AW932" s="53" t="n">
        <v>0</v>
      </c>
      <c r="AX932" s="53" t="n">
        <v>0</v>
      </c>
      <c r="AY932" s="52" t="n">
        <v>0</v>
      </c>
      <c r="AZ932" s="52" t="n">
        <v>0</v>
      </c>
      <c r="BA932" s="52" t="n">
        <v>0</v>
      </c>
      <c r="BB932" s="52" t="n">
        <v>0</v>
      </c>
      <c r="BC932" s="51" t="n">
        <v>0</v>
      </c>
      <c r="BD932" s="51" t="n">
        <v>0</v>
      </c>
      <c r="BE932" s="51" t="n">
        <v>0</v>
      </c>
      <c r="BF932" s="51" t="n">
        <v>0</v>
      </c>
    </row>
    <row r="933">
      <c r="A933">
        <f>HYPERLINK("https://www.walmart.com/ip/946415184", "946415184")</f>
        <v/>
      </c>
      <c r="B933" t="inlineStr">
        <is>
          <t>Tirrinia Large Insulated Lunch Bag,10L Leakproof Thermal Reusable Lunch Box for Adult, Kids, Student, Tall Meal Prep Lunch Cooler Tote with 4 Pockets for Office Work, Back to School</t>
        </is>
      </c>
      <c r="C933" t="inlineStr">
        <is>
          <t>1TRLB702DBL-T</t>
        </is>
      </c>
      <c r="D933" t="inlineStr">
        <is>
          <t>Reusable Lunch Bags &amp; Boxes</t>
        </is>
      </c>
      <c r="E933" t="inlineStr">
        <is>
          <t>Tirrinia</t>
        </is>
      </c>
      <c r="F933" t="inlineStr">
        <is>
          <t>Q2-Target,Brand Camp VD,Lunch Bag,WFS,Lunch Bags,WFS Item</t>
        </is>
      </c>
      <c r="G933" s="48" t="n">
        <v>0</v>
      </c>
      <c r="H933" s="48" t="n">
        <v>0</v>
      </c>
      <c r="I933" s="48" t="n">
        <v>0</v>
      </c>
      <c r="J933" s="48" t="n">
        <v>0</v>
      </c>
      <c r="K933" s="49" t="n">
        <v>0</v>
      </c>
      <c r="L933" s="49" t="n">
        <v>0</v>
      </c>
      <c r="M933" s="49" t="n">
        <v>0</v>
      </c>
      <c r="N933" s="49" t="n">
        <v>0</v>
      </c>
      <c r="O933" s="49" t="n">
        <v>0</v>
      </c>
      <c r="P933" s="49" t="n">
        <v>0</v>
      </c>
      <c r="Q933" s="49" t="n">
        <v>0</v>
      </c>
      <c r="R933" s="49" t="n">
        <v>0</v>
      </c>
      <c r="S933" s="50" t="n">
        <v>0</v>
      </c>
      <c r="T933" s="50" t="n">
        <v>0</v>
      </c>
      <c r="U933" s="50" t="n">
        <v>0</v>
      </c>
      <c r="V933" s="50" t="n">
        <v>0</v>
      </c>
      <c r="W933" s="51" t="n">
        <v>0</v>
      </c>
      <c r="X933" s="51" t="n">
        <v>0</v>
      </c>
      <c r="Y933" s="51" t="n">
        <v>0</v>
      </c>
      <c r="Z933" s="51" t="n">
        <v>0</v>
      </c>
      <c r="AA933" s="52" t="n">
        <v>0</v>
      </c>
      <c r="AB933" s="52" t="n">
        <v>0</v>
      </c>
      <c r="AC933" s="52" t="n">
        <v>0</v>
      </c>
      <c r="AD933" s="52" t="n">
        <v>0</v>
      </c>
      <c r="AE933" s="52" t="n">
        <v>0</v>
      </c>
      <c r="AF933" s="52" t="n">
        <v>0</v>
      </c>
      <c r="AG933" s="52" t="n">
        <v>0</v>
      </c>
      <c r="AH933" s="52" t="n">
        <v>0</v>
      </c>
      <c r="AI933" s="52" t="n">
        <v>0</v>
      </c>
      <c r="AJ933" s="52" t="n">
        <v>0</v>
      </c>
      <c r="AK933" s="52" t="n">
        <v>0</v>
      </c>
      <c r="AL933" s="52" t="n">
        <v>0</v>
      </c>
      <c r="AM933" s="53" t="n">
        <v>0</v>
      </c>
      <c r="AN933" s="53" t="n">
        <v>0</v>
      </c>
      <c r="AO933" s="53" t="n">
        <v>0</v>
      </c>
      <c r="AP933" s="53" t="n">
        <v>0</v>
      </c>
      <c r="AQ933" s="52" t="n">
        <v>0</v>
      </c>
      <c r="AR933" s="52" t="n">
        <v>0</v>
      </c>
      <c r="AS933" s="52" t="n">
        <v>0</v>
      </c>
      <c r="AT933" s="52" t="n">
        <v>0</v>
      </c>
      <c r="AU933" s="53" t="n">
        <v>0</v>
      </c>
      <c r="AV933" s="53" t="n">
        <v>0</v>
      </c>
      <c r="AW933" s="53" t="n">
        <v>0</v>
      </c>
      <c r="AX933" s="53" t="n">
        <v>0</v>
      </c>
      <c r="AY933" s="52" t="n">
        <v>0</v>
      </c>
      <c r="AZ933" s="52" t="n">
        <v>0</v>
      </c>
      <c r="BA933" s="52" t="n">
        <v>0</v>
      </c>
      <c r="BB933" s="52" t="n">
        <v>0</v>
      </c>
      <c r="BC933" s="51" t="n">
        <v>0</v>
      </c>
      <c r="BD933" s="51" t="n">
        <v>0</v>
      </c>
      <c r="BE933" s="51" t="n">
        <v>0</v>
      </c>
      <c r="BF933" s="51" t="n">
        <v>0</v>
      </c>
    </row>
    <row r="934">
      <c r="A934">
        <f>HYPERLINK("https://www.walmart.com/ip/947602244", "947602244")</f>
        <v/>
      </c>
      <c r="B934" t="inlineStr">
        <is>
          <t>Wine Tote Bag with Hidden Dispenser, Insulated Large Wine Carrying Carrier Set with Wine Bladder, Perfect Wine Gift for Byob, Movie Theater, Concert, Sport Events, Pool &amp; Beach, Black</t>
        </is>
      </c>
      <c r="C934" t="inlineStr">
        <is>
          <t>1TRWT100BK</t>
        </is>
      </c>
      <c r="D934" t="inlineStr">
        <is>
          <t>Wine Totes, Bags &amp; Backpacks</t>
        </is>
      </c>
      <c r="E934" t="inlineStr">
        <is>
          <t>Tirrinia</t>
        </is>
      </c>
      <c r="F934" t="inlineStr">
        <is>
          <t>Wine,WFS,Wine WFS,SEM,WFS Item</t>
        </is>
      </c>
      <c r="G934" s="48" t="n">
        <v>0</v>
      </c>
      <c r="H934" s="48" t="n">
        <v>0</v>
      </c>
      <c r="I934" s="48" t="n">
        <v>0</v>
      </c>
      <c r="J934" s="48" t="n">
        <v>0</v>
      </c>
      <c r="K934" s="49" t="n">
        <v>0</v>
      </c>
      <c r="L934" s="49" t="n">
        <v>0</v>
      </c>
      <c r="M934" s="49" t="n">
        <v>0</v>
      </c>
      <c r="N934" s="49" t="n">
        <v>0</v>
      </c>
      <c r="O934" s="49" t="n">
        <v>0</v>
      </c>
      <c r="P934" s="49" t="n">
        <v>0</v>
      </c>
      <c r="Q934" s="49" t="n">
        <v>0</v>
      </c>
      <c r="R934" s="49" t="n">
        <v>0</v>
      </c>
      <c r="S934" s="50" t="n">
        <v>0</v>
      </c>
      <c r="T934" s="50" t="n">
        <v>0</v>
      </c>
      <c r="U934" s="50" t="n">
        <v>0</v>
      </c>
      <c r="V934" s="50" t="n">
        <v>0</v>
      </c>
      <c r="W934" s="51" t="n">
        <v>0</v>
      </c>
      <c r="X934" s="51" t="n">
        <v>0</v>
      </c>
      <c r="Y934" s="51" t="n">
        <v>0</v>
      </c>
      <c r="Z934" s="51" t="n">
        <v>0</v>
      </c>
      <c r="AA934" s="52" t="n">
        <v>0</v>
      </c>
      <c r="AB934" s="52" t="n">
        <v>0</v>
      </c>
      <c r="AC934" s="52" t="n">
        <v>0</v>
      </c>
      <c r="AD934" s="52" t="n">
        <v>0</v>
      </c>
      <c r="AE934" s="52" t="n">
        <v>0</v>
      </c>
      <c r="AF934" s="52" t="n">
        <v>0</v>
      </c>
      <c r="AG934" s="52" t="n">
        <v>0</v>
      </c>
      <c r="AH934" s="52" t="n">
        <v>0</v>
      </c>
      <c r="AI934" s="52" t="n">
        <v>0</v>
      </c>
      <c r="AJ934" s="52" t="n">
        <v>0</v>
      </c>
      <c r="AK934" s="52" t="n">
        <v>0</v>
      </c>
      <c r="AL934" s="52" t="n">
        <v>0</v>
      </c>
      <c r="AM934" s="53" t="n">
        <v>0</v>
      </c>
      <c r="AN934" s="53" t="n">
        <v>0</v>
      </c>
      <c r="AO934" s="53" t="n">
        <v>0</v>
      </c>
      <c r="AP934" s="53" t="n">
        <v>0</v>
      </c>
      <c r="AQ934" s="52" t="n">
        <v>0</v>
      </c>
      <c r="AR934" s="52" t="n">
        <v>0</v>
      </c>
      <c r="AS934" s="52" t="n">
        <v>0</v>
      </c>
      <c r="AT934" s="52" t="n">
        <v>0</v>
      </c>
      <c r="AU934" s="53" t="n">
        <v>0</v>
      </c>
      <c r="AV934" s="53" t="n">
        <v>0</v>
      </c>
      <c r="AW934" s="53" t="n">
        <v>0</v>
      </c>
      <c r="AX934" s="53" t="n">
        <v>0</v>
      </c>
      <c r="AY934" s="52" t="n">
        <v>0</v>
      </c>
      <c r="AZ934" s="52" t="n">
        <v>0</v>
      </c>
      <c r="BA934" s="52" t="n">
        <v>0</v>
      </c>
      <c r="BB934" s="52" t="n">
        <v>0</v>
      </c>
      <c r="BC934" s="51" t="n">
        <v>0</v>
      </c>
      <c r="BD934" s="51" t="n">
        <v>0</v>
      </c>
      <c r="BE934" s="51" t="n">
        <v>0</v>
      </c>
      <c r="BF934" s="51" t="n">
        <v>0</v>
      </c>
    </row>
    <row r="935">
      <c r="A935">
        <f>HYPERLINK("https://www.walmart.com/ip/947664366", "947664366")</f>
        <v/>
      </c>
      <c r="B935" t="inlineStr">
        <is>
          <t>Catalonia Wearable TV Blanket with Sleeves Arms Micro Plush Fleece Wrap Throw Robe 73 x 51”</t>
        </is>
      </c>
      <c r="C935" t="inlineStr">
        <is>
          <t>1CTSN100AQ</t>
        </is>
      </c>
      <c r="D935" t="inlineStr">
        <is>
          <t>Throws</t>
        </is>
      </c>
      <c r="E935" t="inlineStr">
        <is>
          <t>Catalonia</t>
        </is>
      </c>
      <c r="F935" t="inlineStr">
        <is>
          <t>Optimized,WFS,WFS Item</t>
        </is>
      </c>
      <c r="G935" s="48" t="n">
        <v>0</v>
      </c>
      <c r="H935" s="48" t="n">
        <v>0</v>
      </c>
      <c r="I935" s="48" t="n">
        <v>0</v>
      </c>
      <c r="J935" s="48" t="n">
        <v>0</v>
      </c>
      <c r="K935" s="49" t="n">
        <v>0</v>
      </c>
      <c r="L935" s="49" t="n">
        <v>0</v>
      </c>
      <c r="M935" s="49" t="n">
        <v>0</v>
      </c>
      <c r="N935" s="49" t="n">
        <v>0</v>
      </c>
      <c r="O935" s="49" t="n">
        <v>0</v>
      </c>
      <c r="P935" s="49" t="n">
        <v>0</v>
      </c>
      <c r="Q935" s="49" t="n">
        <v>0</v>
      </c>
      <c r="R935" s="49" t="n">
        <v>0</v>
      </c>
      <c r="S935" s="50" t="n">
        <v>0</v>
      </c>
      <c r="T935" s="50" t="n">
        <v>0</v>
      </c>
      <c r="U935" s="50" t="n">
        <v>0</v>
      </c>
      <c r="V935" s="50" t="n">
        <v>0</v>
      </c>
      <c r="W935" s="51" t="n">
        <v>0</v>
      </c>
      <c r="X935" s="51" t="n">
        <v>0</v>
      </c>
      <c r="Y935" s="51" t="n">
        <v>0</v>
      </c>
      <c r="Z935" s="51" t="n">
        <v>0</v>
      </c>
      <c r="AA935" s="52" t="n">
        <v>0</v>
      </c>
      <c r="AB935" s="52" t="n">
        <v>0</v>
      </c>
      <c r="AC935" s="52" t="n">
        <v>0</v>
      </c>
      <c r="AD935" s="52" t="n">
        <v>0</v>
      </c>
      <c r="AE935" s="52" t="n">
        <v>0</v>
      </c>
      <c r="AF935" s="52" t="n">
        <v>0</v>
      </c>
      <c r="AG935" s="52" t="n">
        <v>0</v>
      </c>
      <c r="AH935" s="52" t="n">
        <v>0</v>
      </c>
      <c r="AI935" s="52" t="n">
        <v>0</v>
      </c>
      <c r="AJ935" s="52" t="n">
        <v>0</v>
      </c>
      <c r="AK935" s="52" t="n">
        <v>0</v>
      </c>
      <c r="AL935" s="52" t="n">
        <v>0</v>
      </c>
      <c r="AM935" s="53" t="n">
        <v>0</v>
      </c>
      <c r="AN935" s="53" t="n">
        <v>0</v>
      </c>
      <c r="AO935" s="53" t="n">
        <v>0</v>
      </c>
      <c r="AP935" s="53" t="n">
        <v>0</v>
      </c>
      <c r="AQ935" s="52" t="n">
        <v>0</v>
      </c>
      <c r="AR935" s="52" t="n">
        <v>0</v>
      </c>
      <c r="AS935" s="52" t="n">
        <v>0</v>
      </c>
      <c r="AT935" s="52" t="n">
        <v>0</v>
      </c>
      <c r="AU935" s="53" t="n">
        <v>0</v>
      </c>
      <c r="AV935" s="53" t="n">
        <v>0</v>
      </c>
      <c r="AW935" s="53" t="n">
        <v>0</v>
      </c>
      <c r="AX935" s="53" t="n">
        <v>0</v>
      </c>
      <c r="AY935" s="52" t="n">
        <v>0</v>
      </c>
      <c r="AZ935" s="52" t="n">
        <v>0</v>
      </c>
      <c r="BA935" s="52" t="n">
        <v>0</v>
      </c>
      <c r="BB935" s="52" t="n">
        <v>0</v>
      </c>
      <c r="BC935" s="51" t="n">
        <v>0</v>
      </c>
      <c r="BD935" s="51" t="n">
        <v>0</v>
      </c>
      <c r="BE935" s="51" t="n">
        <v>0</v>
      </c>
      <c r="BF935" s="51" t="n">
        <v>0</v>
      </c>
    </row>
    <row r="936">
      <c r="A936">
        <f>HYPERLINK("https://www.walmart.com/ip/948118824", "948118824")</f>
        <v/>
      </c>
      <c r="B936" t="inlineStr">
        <is>
          <t>Catalonia Waterproof Blanket for Baby, Pee Proof Pet Cover for Couch and Bed, Reversible Sherpa Fleece Throw Blanket for Relaxing, Traveling and Camping, Camel/Taupe, 60" x 50"</t>
        </is>
      </c>
      <c r="C936" t="inlineStr">
        <is>
          <t>1CTBW561TPTP</t>
        </is>
      </c>
      <c r="D936" t="inlineStr">
        <is>
          <t>Throws</t>
        </is>
      </c>
      <c r="E936" t="inlineStr">
        <is>
          <t>Catalonia</t>
        </is>
      </c>
      <c r="F936" t="inlineStr">
        <is>
          <t>Q2-Target,WFS,Wproof Blanket,WFS Item</t>
        </is>
      </c>
      <c r="G936" s="48" t="n">
        <v>0</v>
      </c>
      <c r="H936" s="48" t="n">
        <v>29.99</v>
      </c>
      <c r="I936" s="48" t="n">
        <v>0</v>
      </c>
      <c r="J936" s="48" t="n">
        <v>29.99</v>
      </c>
      <c r="K936" s="49" t="n">
        <v>0</v>
      </c>
      <c r="L936" s="49" t="n">
        <v>1</v>
      </c>
      <c r="M936" s="49" t="n">
        <v>0</v>
      </c>
      <c r="N936" s="49" t="n">
        <v>1</v>
      </c>
      <c r="O936" s="49" t="n">
        <v>7</v>
      </c>
      <c r="P936" s="49" t="n">
        <v>10</v>
      </c>
      <c r="Q936" s="49" t="n">
        <v>13</v>
      </c>
      <c r="R936" s="49" t="n">
        <v>14</v>
      </c>
      <c r="S936" s="50" t="n">
        <v>0</v>
      </c>
      <c r="T936" s="50" t="n">
        <v>0.1</v>
      </c>
      <c r="U936" s="50" t="n">
        <v>0</v>
      </c>
      <c r="V936" s="50" t="n">
        <v>0.07142857142857142</v>
      </c>
      <c r="W936" s="51" t="n">
        <v>0</v>
      </c>
      <c r="X936" s="51" t="n">
        <v>0</v>
      </c>
      <c r="Y936" s="51" t="n">
        <v>0</v>
      </c>
      <c r="Z936" s="51" t="n">
        <v>1</v>
      </c>
      <c r="AA936" s="52" t="n">
        <v>0</v>
      </c>
      <c r="AB936" s="52" t="n">
        <v>0</v>
      </c>
      <c r="AC936" s="52" t="n">
        <v>0</v>
      </c>
      <c r="AD936" s="52" t="n">
        <v>0.31</v>
      </c>
      <c r="AE936" s="52" t="n">
        <v>0</v>
      </c>
      <c r="AF936" s="52" t="n">
        <v>0</v>
      </c>
      <c r="AG936" s="52" t="n">
        <v>0</v>
      </c>
      <c r="AH936" s="52" t="n">
        <v>0</v>
      </c>
      <c r="AI936" s="52" t="n">
        <v>0</v>
      </c>
      <c r="AJ936" s="52" t="n">
        <v>0</v>
      </c>
      <c r="AK936" s="52" t="n">
        <v>0</v>
      </c>
      <c r="AL936" s="52" t="n">
        <v>0</v>
      </c>
      <c r="AM936" s="53" t="n">
        <v>0</v>
      </c>
      <c r="AN936" s="53" t="n">
        <v>0</v>
      </c>
      <c r="AO936" s="53" t="n">
        <v>0</v>
      </c>
      <c r="AP936" s="53" t="n">
        <v>0.0086</v>
      </c>
      <c r="AQ936" s="52" t="n">
        <v>0</v>
      </c>
      <c r="AR936" s="52" t="n">
        <v>0</v>
      </c>
      <c r="AS936" s="52" t="n">
        <v>0</v>
      </c>
      <c r="AT936" s="52" t="n">
        <v>0.31</v>
      </c>
      <c r="AU936" s="53" t="n">
        <v>0</v>
      </c>
      <c r="AV936" s="53" t="n">
        <v>0</v>
      </c>
      <c r="AW936" s="53" t="n">
        <v>0</v>
      </c>
      <c r="AX936" s="53" t="n">
        <v>0.01033677892630877</v>
      </c>
      <c r="AY936" s="52" t="n">
        <v>0</v>
      </c>
      <c r="AZ936" s="52" t="n">
        <v>29.99</v>
      </c>
      <c r="BA936" s="52" t="n">
        <v>0</v>
      </c>
      <c r="BB936" s="52" t="n">
        <v>29.99</v>
      </c>
      <c r="BC936" s="51" t="n">
        <v>493</v>
      </c>
      <c r="BD936" s="51" t="n">
        <v>522</v>
      </c>
      <c r="BE936" s="51" t="n">
        <v>0</v>
      </c>
      <c r="BF936" s="51" t="n">
        <v>116</v>
      </c>
    </row>
    <row r="937">
      <c r="A937">
        <f>HYPERLINK("https://www.walmart.com/ip/948200760", "948200760")</f>
        <v/>
      </c>
      <c r="B937" t="inlineStr">
        <is>
          <t>Tirrinia Wide Brim Sun Hat UPF 50 Foldable Bucket Summer Hat for Women Girls</t>
        </is>
      </c>
      <c r="C937" t="inlineStr">
        <is>
          <t>1TRSHF065BEI-TBCB</t>
        </is>
      </c>
      <c r="D937" t="inlineStr">
        <is>
          <t>Hats</t>
        </is>
      </c>
      <c r="E937" t="inlineStr">
        <is>
          <t>Tirrinia</t>
        </is>
      </c>
      <c r="F937" t="inlineStr">
        <is>
          <t>Batch 1 - TR</t>
        </is>
      </c>
      <c r="G937" s="48" t="n">
        <v>0</v>
      </c>
      <c r="H937" s="48" t="n">
        <v>0</v>
      </c>
      <c r="I937" s="48" t="n">
        <v>0</v>
      </c>
      <c r="J937" s="48" t="n">
        <v>0</v>
      </c>
      <c r="K937" s="49" t="n">
        <v>0</v>
      </c>
      <c r="L937" s="49" t="n">
        <v>0</v>
      </c>
      <c r="M937" s="49" t="n">
        <v>0</v>
      </c>
      <c r="N937" s="49" t="n">
        <v>0</v>
      </c>
      <c r="O937" s="49" t="n">
        <v>0</v>
      </c>
      <c r="P937" s="49" t="n">
        <v>0</v>
      </c>
      <c r="Q937" s="49" t="n">
        <v>0</v>
      </c>
      <c r="R937" s="49" t="n">
        <v>0</v>
      </c>
      <c r="S937" s="50" t="n">
        <v>0</v>
      </c>
      <c r="T937" s="50" t="n">
        <v>0</v>
      </c>
      <c r="U937" s="50" t="n">
        <v>0</v>
      </c>
      <c r="V937" s="50" t="n">
        <v>0</v>
      </c>
      <c r="W937" s="51" t="n">
        <v>0</v>
      </c>
      <c r="X937" s="51" t="n">
        <v>0</v>
      </c>
      <c r="Y937" s="51" t="n">
        <v>0</v>
      </c>
      <c r="Z937" s="51" t="n">
        <v>0</v>
      </c>
      <c r="AA937" s="52" t="n">
        <v>0</v>
      </c>
      <c r="AB937" s="52" t="n">
        <v>0</v>
      </c>
      <c r="AC937" s="52" t="n">
        <v>0</v>
      </c>
      <c r="AD937" s="52" t="n">
        <v>0</v>
      </c>
      <c r="AE937" s="52" t="n">
        <v>0</v>
      </c>
      <c r="AF937" s="52" t="n">
        <v>0</v>
      </c>
      <c r="AG937" s="52" t="n">
        <v>0</v>
      </c>
      <c r="AH937" s="52" t="n">
        <v>0</v>
      </c>
      <c r="AI937" s="52" t="n">
        <v>0</v>
      </c>
      <c r="AJ937" s="52" t="n">
        <v>0</v>
      </c>
      <c r="AK937" s="52" t="n">
        <v>0</v>
      </c>
      <c r="AL937" s="52" t="n">
        <v>0</v>
      </c>
      <c r="AM937" s="53" t="n">
        <v>0</v>
      </c>
      <c r="AN937" s="53" t="n">
        <v>0</v>
      </c>
      <c r="AO937" s="53" t="n">
        <v>0</v>
      </c>
      <c r="AP937" s="53" t="n">
        <v>0</v>
      </c>
      <c r="AQ937" s="52" t="n">
        <v>0</v>
      </c>
      <c r="AR937" s="52" t="n">
        <v>0</v>
      </c>
      <c r="AS937" s="52" t="n">
        <v>0</v>
      </c>
      <c r="AT937" s="52" t="n">
        <v>0</v>
      </c>
      <c r="AU937" s="53" t="n">
        <v>0</v>
      </c>
      <c r="AV937" s="53" t="n">
        <v>0</v>
      </c>
      <c r="AW937" s="53" t="n">
        <v>0</v>
      </c>
      <c r="AX937" s="53" t="n">
        <v>0</v>
      </c>
      <c r="AY937" s="52" t="n">
        <v>0</v>
      </c>
      <c r="AZ937" s="52" t="n">
        <v>0</v>
      </c>
      <c r="BA937" s="52" t="n">
        <v>0</v>
      </c>
      <c r="BB937" s="52" t="n">
        <v>0</v>
      </c>
      <c r="BC937" s="51" t="n">
        <v>0</v>
      </c>
      <c r="BD937" s="51" t="n">
        <v>0</v>
      </c>
      <c r="BE937" s="51" t="n">
        <v>0</v>
      </c>
      <c r="BF937" s="51" t="n">
        <v>0</v>
      </c>
    </row>
    <row r="938">
      <c r="A938">
        <f>HYPERLINK("https://www.walmart.com/ip/948676061", "948676061")</f>
        <v/>
      </c>
      <c r="B938" t="inlineStr">
        <is>
          <t>Terra Boxer Briefs Mens 3 Pack Underwear Elastic Waistband Solid New Classic Fit</t>
        </is>
      </c>
      <c r="C938" t="inlineStr">
        <is>
          <t>TERRA-BOXER8-M</t>
        </is>
      </c>
      <c r="D938" t="inlineStr">
        <is>
          <t>Underpants</t>
        </is>
      </c>
      <c r="E938" t="inlineStr">
        <is>
          <t>Terra</t>
        </is>
      </c>
      <c r="F938" t="inlineStr">
        <is>
          <t>Batch 1 - TR</t>
        </is>
      </c>
      <c r="G938" s="48" t="n">
        <v>0</v>
      </c>
      <c r="H938" s="48" t="n">
        <v>0</v>
      </c>
      <c r="I938" s="48" t="n">
        <v>0</v>
      </c>
      <c r="J938" s="48" t="n">
        <v>0</v>
      </c>
      <c r="K938" s="49" t="n">
        <v>0</v>
      </c>
      <c r="L938" s="49" t="n">
        <v>0</v>
      </c>
      <c r="M938" s="49" t="n">
        <v>0</v>
      </c>
      <c r="N938" s="49" t="n">
        <v>0</v>
      </c>
      <c r="O938" s="49" t="n">
        <v>0</v>
      </c>
      <c r="P938" s="49" t="n">
        <v>0</v>
      </c>
      <c r="Q938" s="49" t="n">
        <v>0</v>
      </c>
      <c r="R938" s="49" t="n">
        <v>0</v>
      </c>
      <c r="S938" s="50" t="n">
        <v>0</v>
      </c>
      <c r="T938" s="50" t="n">
        <v>0</v>
      </c>
      <c r="U938" s="50" t="n">
        <v>0</v>
      </c>
      <c r="V938" s="50" t="n">
        <v>0</v>
      </c>
      <c r="W938" s="51" t="n">
        <v>0</v>
      </c>
      <c r="X938" s="51" t="n">
        <v>0</v>
      </c>
      <c r="Y938" s="51" t="n">
        <v>0</v>
      </c>
      <c r="Z938" s="51" t="n">
        <v>0</v>
      </c>
      <c r="AA938" s="52" t="n">
        <v>0</v>
      </c>
      <c r="AB938" s="52" t="n">
        <v>0</v>
      </c>
      <c r="AC938" s="52" t="n">
        <v>0</v>
      </c>
      <c r="AD938" s="52" t="n">
        <v>0</v>
      </c>
      <c r="AE938" s="52" t="n">
        <v>0</v>
      </c>
      <c r="AF938" s="52" t="n">
        <v>0</v>
      </c>
      <c r="AG938" s="52" t="n">
        <v>0</v>
      </c>
      <c r="AH938" s="52" t="n">
        <v>0</v>
      </c>
      <c r="AI938" s="52" t="n">
        <v>0</v>
      </c>
      <c r="AJ938" s="52" t="n">
        <v>0</v>
      </c>
      <c r="AK938" s="52" t="n">
        <v>0</v>
      </c>
      <c r="AL938" s="52" t="n">
        <v>0</v>
      </c>
      <c r="AM938" s="53" t="n">
        <v>0</v>
      </c>
      <c r="AN938" s="53" t="n">
        <v>0</v>
      </c>
      <c r="AO938" s="53" t="n">
        <v>0</v>
      </c>
      <c r="AP938" s="53" t="n">
        <v>0</v>
      </c>
      <c r="AQ938" s="52" t="n">
        <v>0</v>
      </c>
      <c r="AR938" s="52" t="n">
        <v>0</v>
      </c>
      <c r="AS938" s="52" t="n">
        <v>0</v>
      </c>
      <c r="AT938" s="52" t="n">
        <v>0</v>
      </c>
      <c r="AU938" s="53" t="n">
        <v>0</v>
      </c>
      <c r="AV938" s="53" t="n">
        <v>0</v>
      </c>
      <c r="AW938" s="53" t="n">
        <v>0</v>
      </c>
      <c r="AX938" s="53" t="n">
        <v>0</v>
      </c>
      <c r="AY938" s="52" t="n">
        <v>0</v>
      </c>
      <c r="AZ938" s="52" t="n">
        <v>0</v>
      </c>
      <c r="BA938" s="52" t="n">
        <v>0</v>
      </c>
      <c r="BB938" s="52" t="n">
        <v>0</v>
      </c>
      <c r="BC938" s="51" t="n">
        <v>0</v>
      </c>
      <c r="BD938" s="51" t="n">
        <v>0</v>
      </c>
      <c r="BE938" s="51" t="n">
        <v>0</v>
      </c>
      <c r="BF938" s="51" t="n">
        <v>0</v>
      </c>
    </row>
    <row r="939">
      <c r="A939">
        <f>HYPERLINK("https://www.walmart.com/ip/9497022462", "9497022462")</f>
        <v/>
      </c>
      <c r="B939" t="inlineStr">
        <is>
          <t>Wrangler Clear Water-Resistant Backpack for Girls, Durable Plastic See-Thru Book Bag, Backpacks for School, Laptop Backpack for Casual Use, Stadiums and Concerts, Clear Graphite</t>
        </is>
      </c>
      <c r="C939" t="inlineStr">
        <is>
          <t>WR-BACKPACK-92958-GRAPHITE</t>
        </is>
      </c>
      <c r="D939" t="inlineStr">
        <is>
          <t>Backpacks</t>
        </is>
      </c>
      <c r="E939" t="inlineStr">
        <is>
          <t>Wrangler</t>
        </is>
      </c>
      <c r="F939" t="inlineStr">
        <is>
          <t>Backpack</t>
        </is>
      </c>
      <c r="G939" s="48" t="n">
        <v>0</v>
      </c>
      <c r="H939" s="48" t="n">
        <v>0</v>
      </c>
      <c r="I939" s="48" t="n">
        <v>0</v>
      </c>
      <c r="J939" s="48" t="n">
        <v>0</v>
      </c>
      <c r="K939" s="49" t="n">
        <v>0</v>
      </c>
      <c r="L939" s="49" t="n">
        <v>0</v>
      </c>
      <c r="M939" s="49" t="n">
        <v>0</v>
      </c>
      <c r="N939" s="49" t="n">
        <v>0</v>
      </c>
      <c r="O939" s="49" t="n">
        <v>0</v>
      </c>
      <c r="P939" s="49" t="n">
        <v>0</v>
      </c>
      <c r="Q939" s="49" t="n">
        <v>0</v>
      </c>
      <c r="R939" s="49" t="n">
        <v>0</v>
      </c>
      <c r="S939" s="50" t="n">
        <v>0</v>
      </c>
      <c r="T939" s="50" t="n">
        <v>0</v>
      </c>
      <c r="U939" s="50" t="n">
        <v>0</v>
      </c>
      <c r="V939" s="50" t="n">
        <v>0</v>
      </c>
      <c r="W939" s="51" t="n">
        <v>0</v>
      </c>
      <c r="X939" s="51" t="n">
        <v>0</v>
      </c>
      <c r="Y939" s="51" t="n">
        <v>0</v>
      </c>
      <c r="Z939" s="51" t="n">
        <v>0</v>
      </c>
      <c r="AA939" s="52" t="n">
        <v>0</v>
      </c>
      <c r="AB939" s="52" t="n">
        <v>0</v>
      </c>
      <c r="AC939" s="52" t="n">
        <v>0</v>
      </c>
      <c r="AD939" s="52" t="n">
        <v>0</v>
      </c>
      <c r="AE939" s="52" t="n">
        <v>0</v>
      </c>
      <c r="AF939" s="52" t="n">
        <v>0</v>
      </c>
      <c r="AG939" s="52" t="n">
        <v>0</v>
      </c>
      <c r="AH939" s="52" t="n">
        <v>0</v>
      </c>
      <c r="AI939" s="52" t="n">
        <v>0</v>
      </c>
      <c r="AJ939" s="52" t="n">
        <v>0</v>
      </c>
      <c r="AK939" s="52" t="n">
        <v>0</v>
      </c>
      <c r="AL939" s="52" t="n">
        <v>0</v>
      </c>
      <c r="AM939" s="53" t="n">
        <v>0</v>
      </c>
      <c r="AN939" s="53" t="n">
        <v>0</v>
      </c>
      <c r="AO939" s="53" t="n">
        <v>0</v>
      </c>
      <c r="AP939" s="53" t="n">
        <v>0</v>
      </c>
      <c r="AQ939" s="52" t="n">
        <v>0</v>
      </c>
      <c r="AR939" s="52" t="n">
        <v>0</v>
      </c>
      <c r="AS939" s="52" t="n">
        <v>0</v>
      </c>
      <c r="AT939" s="52" t="n">
        <v>0</v>
      </c>
      <c r="AU939" s="53" t="n">
        <v>0</v>
      </c>
      <c r="AV939" s="53" t="n">
        <v>0</v>
      </c>
      <c r="AW939" s="53" t="n">
        <v>0</v>
      </c>
      <c r="AX939" s="53" t="n">
        <v>0</v>
      </c>
      <c r="AY939" s="52" t="n">
        <v>0</v>
      </c>
      <c r="AZ939" s="52" t="n">
        <v>0</v>
      </c>
      <c r="BA939" s="52" t="n">
        <v>0</v>
      </c>
      <c r="BB939" s="52" t="n">
        <v>0</v>
      </c>
      <c r="BC939" s="51" t="n">
        <v>0</v>
      </c>
      <c r="BD939" s="51" t="n">
        <v>0</v>
      </c>
      <c r="BE939" s="51" t="n">
        <v>0</v>
      </c>
      <c r="BF939" s="51" t="n">
        <v>0</v>
      </c>
    </row>
    <row r="940">
      <c r="A940">
        <f>HYPERLINK("https://www.walmart.com/ip/9503261828", "9503261828")</f>
        <v/>
      </c>
      <c r="B940" t="inlineStr">
        <is>
          <t>Wrangler Clear Water-Resistant Backpack for Girls, Durable Plastic See-Thru Book Bag, Backpacks for School, Laptop Backpack for Casual Use, Stadiums and Concerts, Clear Blue</t>
        </is>
      </c>
      <c r="C940" t="inlineStr">
        <is>
          <t>WR-BACKPACK-92958-BLUE</t>
        </is>
      </c>
      <c r="D940" t="inlineStr">
        <is>
          <t>Backpacks</t>
        </is>
      </c>
      <c r="E940" t="inlineStr">
        <is>
          <t>Wrangler</t>
        </is>
      </c>
      <c r="F940" t="inlineStr">
        <is>
          <t>Backpack</t>
        </is>
      </c>
      <c r="G940" s="48" t="n">
        <v>0</v>
      </c>
      <c r="H940" s="48" t="n">
        <v>0</v>
      </c>
      <c r="I940" s="48" t="n">
        <v>0</v>
      </c>
      <c r="J940" s="48" t="n">
        <v>0</v>
      </c>
      <c r="K940" s="49" t="n">
        <v>0</v>
      </c>
      <c r="L940" s="49" t="n">
        <v>0</v>
      </c>
      <c r="M940" s="49" t="n">
        <v>0</v>
      </c>
      <c r="N940" s="49" t="n">
        <v>0</v>
      </c>
      <c r="O940" s="49" t="n">
        <v>0</v>
      </c>
      <c r="P940" s="49" t="n">
        <v>0</v>
      </c>
      <c r="Q940" s="49" t="n">
        <v>0</v>
      </c>
      <c r="R940" s="49" t="n">
        <v>0</v>
      </c>
      <c r="S940" s="50" t="n">
        <v>0</v>
      </c>
      <c r="T940" s="50" t="n">
        <v>0</v>
      </c>
      <c r="U940" s="50" t="n">
        <v>0</v>
      </c>
      <c r="V940" s="50" t="n">
        <v>0</v>
      </c>
      <c r="W940" s="51" t="n">
        <v>0</v>
      </c>
      <c r="X940" s="51" t="n">
        <v>0</v>
      </c>
      <c r="Y940" s="51" t="n">
        <v>0</v>
      </c>
      <c r="Z940" s="51" t="n">
        <v>0</v>
      </c>
      <c r="AA940" s="52" t="n">
        <v>0</v>
      </c>
      <c r="AB940" s="52" t="n">
        <v>0</v>
      </c>
      <c r="AC940" s="52" t="n">
        <v>0</v>
      </c>
      <c r="AD940" s="52" t="n">
        <v>0</v>
      </c>
      <c r="AE940" s="52" t="n">
        <v>0</v>
      </c>
      <c r="AF940" s="52" t="n">
        <v>0</v>
      </c>
      <c r="AG940" s="52" t="n">
        <v>0</v>
      </c>
      <c r="AH940" s="52" t="n">
        <v>0</v>
      </c>
      <c r="AI940" s="52" t="n">
        <v>0</v>
      </c>
      <c r="AJ940" s="52" t="n">
        <v>0</v>
      </c>
      <c r="AK940" s="52" t="n">
        <v>0</v>
      </c>
      <c r="AL940" s="52" t="n">
        <v>0</v>
      </c>
      <c r="AM940" s="53" t="n">
        <v>0</v>
      </c>
      <c r="AN940" s="53" t="n">
        <v>0</v>
      </c>
      <c r="AO940" s="53" t="n">
        <v>0</v>
      </c>
      <c r="AP940" s="53" t="n">
        <v>0</v>
      </c>
      <c r="AQ940" s="52" t="n">
        <v>0</v>
      </c>
      <c r="AR940" s="52" t="n">
        <v>0</v>
      </c>
      <c r="AS940" s="52" t="n">
        <v>0</v>
      </c>
      <c r="AT940" s="52" t="n">
        <v>0</v>
      </c>
      <c r="AU940" s="53" t="n">
        <v>0</v>
      </c>
      <c r="AV940" s="53" t="n">
        <v>0</v>
      </c>
      <c r="AW940" s="53" t="n">
        <v>0</v>
      </c>
      <c r="AX940" s="53" t="n">
        <v>0</v>
      </c>
      <c r="AY940" s="52" t="n">
        <v>0</v>
      </c>
      <c r="AZ940" s="52" t="n">
        <v>0</v>
      </c>
      <c r="BA940" s="52" t="n">
        <v>0</v>
      </c>
      <c r="BB940" s="52" t="n">
        <v>0</v>
      </c>
      <c r="BC940" s="51" t="n">
        <v>0</v>
      </c>
      <c r="BD940" s="51" t="n">
        <v>0</v>
      </c>
      <c r="BE940" s="51" t="n">
        <v>0</v>
      </c>
      <c r="BF940" s="51" t="n">
        <v>0</v>
      </c>
    </row>
    <row r="941">
      <c r="A941">
        <f>HYPERLINK("https://www.walmart.com/ip/9504909126", "9504909126")</f>
        <v/>
      </c>
      <c r="B941" t="inlineStr">
        <is>
          <t>Wrangler Yellowstone Sturdy Laptop Backpack for Travel, Hiking Backpack with Classic Logo, Water Resistant Casual Daypack, Padded Sleeve College Backpack for Notebook, Burgandy Patterned</t>
        </is>
      </c>
      <c r="C941" t="inlineStr">
        <is>
          <t>WR-BACKPACK-16273-BURG</t>
        </is>
      </c>
      <c r="D941" t="inlineStr">
        <is>
          <t>Backpacks</t>
        </is>
      </c>
      <c r="E941" t="inlineStr">
        <is>
          <t>Wrangler</t>
        </is>
      </c>
      <c r="F941" t="inlineStr">
        <is>
          <t>Backpack</t>
        </is>
      </c>
      <c r="G941" s="48" t="n">
        <v>0</v>
      </c>
      <c r="H941" s="48" t="n">
        <v>0</v>
      </c>
      <c r="I941" s="48" t="n">
        <v>0</v>
      </c>
      <c r="J941" s="48" t="n">
        <v>0</v>
      </c>
      <c r="K941" s="49" t="n">
        <v>0</v>
      </c>
      <c r="L941" s="49" t="n">
        <v>0</v>
      </c>
      <c r="M941" s="49" t="n">
        <v>0</v>
      </c>
      <c r="N941" s="49" t="n">
        <v>0</v>
      </c>
      <c r="O941" s="49" t="n">
        <v>0</v>
      </c>
      <c r="P941" s="49" t="n">
        <v>0</v>
      </c>
      <c r="Q941" s="49" t="n">
        <v>0</v>
      </c>
      <c r="R941" s="49" t="n">
        <v>0</v>
      </c>
      <c r="S941" s="50" t="n">
        <v>0</v>
      </c>
      <c r="T941" s="50" t="n">
        <v>0</v>
      </c>
      <c r="U941" s="50" t="n">
        <v>0</v>
      </c>
      <c r="V941" s="50" t="n">
        <v>0</v>
      </c>
      <c r="W941" s="51" t="n">
        <v>0</v>
      </c>
      <c r="X941" s="51" t="n">
        <v>0</v>
      </c>
      <c r="Y941" s="51" t="n">
        <v>0</v>
      </c>
      <c r="Z941" s="51" t="n">
        <v>0</v>
      </c>
      <c r="AA941" s="52" t="n">
        <v>0</v>
      </c>
      <c r="AB941" s="52" t="n">
        <v>0</v>
      </c>
      <c r="AC941" s="52" t="n">
        <v>0</v>
      </c>
      <c r="AD941" s="52" t="n">
        <v>0</v>
      </c>
      <c r="AE941" s="52" t="n">
        <v>0</v>
      </c>
      <c r="AF941" s="52" t="n">
        <v>0</v>
      </c>
      <c r="AG941" s="52" t="n">
        <v>0</v>
      </c>
      <c r="AH941" s="52" t="n">
        <v>0</v>
      </c>
      <c r="AI941" s="52" t="n">
        <v>0</v>
      </c>
      <c r="AJ941" s="52" t="n">
        <v>0</v>
      </c>
      <c r="AK941" s="52" t="n">
        <v>0</v>
      </c>
      <c r="AL941" s="52" t="n">
        <v>0</v>
      </c>
      <c r="AM941" s="53" t="n">
        <v>0</v>
      </c>
      <c r="AN941" s="53" t="n">
        <v>0</v>
      </c>
      <c r="AO941" s="53" t="n">
        <v>0</v>
      </c>
      <c r="AP941" s="53" t="n">
        <v>0</v>
      </c>
      <c r="AQ941" s="52" t="n">
        <v>0</v>
      </c>
      <c r="AR941" s="52" t="n">
        <v>0</v>
      </c>
      <c r="AS941" s="52" t="n">
        <v>0</v>
      </c>
      <c r="AT941" s="52" t="n">
        <v>0</v>
      </c>
      <c r="AU941" s="53" t="n">
        <v>0</v>
      </c>
      <c r="AV941" s="53" t="n">
        <v>0</v>
      </c>
      <c r="AW941" s="53" t="n">
        <v>0</v>
      </c>
      <c r="AX941" s="53" t="n">
        <v>0</v>
      </c>
      <c r="AY941" s="52" t="n">
        <v>0</v>
      </c>
      <c r="AZ941" s="52" t="n">
        <v>0</v>
      </c>
      <c r="BA941" s="52" t="n">
        <v>0</v>
      </c>
      <c r="BB941" s="52" t="n">
        <v>0</v>
      </c>
      <c r="BC941" s="51" t="n">
        <v>0</v>
      </c>
      <c r="BD941" s="51" t="n">
        <v>0</v>
      </c>
      <c r="BE941" s="51" t="n">
        <v>0</v>
      </c>
      <c r="BF941" s="51" t="n">
        <v>0</v>
      </c>
    </row>
    <row r="942">
      <c r="A942">
        <f>HYPERLINK("https://www.walmart.com/ip/9505771380", "9505771380")</f>
        <v/>
      </c>
      <c r="B942" t="inlineStr">
        <is>
          <t>Wrangler Clear Water-Resistant Backpack for Girls, Durable Plastic See-Thru Book Bag, Backpacks for School, Laptop Backpack for Casual Use, Stadiums and Concerts, Clear Black</t>
        </is>
      </c>
      <c r="C942" t="inlineStr">
        <is>
          <t>WR-BACKPACK-92958-BLACK</t>
        </is>
      </c>
      <c r="D942" t="inlineStr">
        <is>
          <t>Backpacks</t>
        </is>
      </c>
      <c r="E942" t="inlineStr">
        <is>
          <t>Wrangler</t>
        </is>
      </c>
      <c r="F942" t="inlineStr">
        <is>
          <t>Backpack</t>
        </is>
      </c>
      <c r="G942" s="48" t="n">
        <v>0</v>
      </c>
      <c r="H942" s="48" t="n">
        <v>0</v>
      </c>
      <c r="I942" s="48" t="n">
        <v>0</v>
      </c>
      <c r="J942" s="48" t="n">
        <v>0</v>
      </c>
      <c r="K942" s="49" t="n">
        <v>0</v>
      </c>
      <c r="L942" s="49" t="n">
        <v>0</v>
      </c>
      <c r="M942" s="49" t="n">
        <v>0</v>
      </c>
      <c r="N942" s="49" t="n">
        <v>0</v>
      </c>
      <c r="O942" s="49" t="n">
        <v>0</v>
      </c>
      <c r="P942" s="49" t="n">
        <v>0</v>
      </c>
      <c r="Q942" s="49" t="n">
        <v>0</v>
      </c>
      <c r="R942" s="49" t="n">
        <v>0</v>
      </c>
      <c r="S942" s="50" t="n">
        <v>0</v>
      </c>
      <c r="T942" s="50" t="n">
        <v>0</v>
      </c>
      <c r="U942" s="50" t="n">
        <v>0</v>
      </c>
      <c r="V942" s="50" t="n">
        <v>0</v>
      </c>
      <c r="W942" s="51" t="n">
        <v>0</v>
      </c>
      <c r="X942" s="51" t="n">
        <v>0</v>
      </c>
      <c r="Y942" s="51" t="n">
        <v>0</v>
      </c>
      <c r="Z942" s="51" t="n">
        <v>0</v>
      </c>
      <c r="AA942" s="52" t="n">
        <v>0</v>
      </c>
      <c r="AB942" s="52" t="n">
        <v>0</v>
      </c>
      <c r="AC942" s="52" t="n">
        <v>0</v>
      </c>
      <c r="AD942" s="52" t="n">
        <v>0</v>
      </c>
      <c r="AE942" s="52" t="n">
        <v>0</v>
      </c>
      <c r="AF942" s="52" t="n">
        <v>0</v>
      </c>
      <c r="AG942" s="52" t="n">
        <v>0</v>
      </c>
      <c r="AH942" s="52" t="n">
        <v>0</v>
      </c>
      <c r="AI942" s="52" t="n">
        <v>0</v>
      </c>
      <c r="AJ942" s="52" t="n">
        <v>0</v>
      </c>
      <c r="AK942" s="52" t="n">
        <v>0</v>
      </c>
      <c r="AL942" s="52" t="n">
        <v>0</v>
      </c>
      <c r="AM942" s="53" t="n">
        <v>0</v>
      </c>
      <c r="AN942" s="53" t="n">
        <v>0</v>
      </c>
      <c r="AO942" s="53" t="n">
        <v>0</v>
      </c>
      <c r="AP942" s="53" t="n">
        <v>0</v>
      </c>
      <c r="AQ942" s="52" t="n">
        <v>0</v>
      </c>
      <c r="AR942" s="52" t="n">
        <v>0</v>
      </c>
      <c r="AS942" s="52" t="n">
        <v>0</v>
      </c>
      <c r="AT942" s="52" t="n">
        <v>0</v>
      </c>
      <c r="AU942" s="53" t="n">
        <v>0</v>
      </c>
      <c r="AV942" s="53" t="n">
        <v>0</v>
      </c>
      <c r="AW942" s="53" t="n">
        <v>0</v>
      </c>
      <c r="AX942" s="53" t="n">
        <v>0</v>
      </c>
      <c r="AY942" s="52" t="n">
        <v>0</v>
      </c>
      <c r="AZ942" s="52" t="n">
        <v>0</v>
      </c>
      <c r="BA942" s="52" t="n">
        <v>0</v>
      </c>
      <c r="BB942" s="52" t="n">
        <v>0</v>
      </c>
      <c r="BC942" s="51" t="n">
        <v>0</v>
      </c>
      <c r="BD942" s="51" t="n">
        <v>0</v>
      </c>
      <c r="BE942" s="51" t="n">
        <v>0</v>
      </c>
      <c r="BF942" s="51" t="n">
        <v>0</v>
      </c>
    </row>
    <row r="943">
      <c r="A943">
        <f>HYPERLINK("https://www.walmart.com/ip/950920705", "950920705")</f>
        <v/>
      </c>
      <c r="B943" t="inlineStr">
        <is>
          <t>Solaris Sun Hat for Women, Wide Brim Summer Beach Hat with Neck Flap, UPF 50+</t>
        </is>
      </c>
      <c r="C943" t="inlineStr">
        <is>
          <t>1SLSH921GY</t>
        </is>
      </c>
      <c r="D943" t="inlineStr">
        <is>
          <t>Hats</t>
        </is>
      </c>
      <c r="E943" t="inlineStr">
        <is>
          <t>Solaris</t>
        </is>
      </c>
      <c r="F943" t="inlineStr">
        <is>
          <t>Q2-Target,Optimized,Hats</t>
        </is>
      </c>
      <c r="G943" s="48" t="n">
        <v>0</v>
      </c>
      <c r="H943" s="48" t="n">
        <v>0</v>
      </c>
      <c r="I943" s="48" t="n">
        <v>0</v>
      </c>
      <c r="J943" s="48" t="n">
        <v>0</v>
      </c>
      <c r="K943" s="49" t="n">
        <v>0</v>
      </c>
      <c r="L943" s="49" t="n">
        <v>0</v>
      </c>
      <c r="M943" s="49" t="n">
        <v>0</v>
      </c>
      <c r="N943" s="49" t="n">
        <v>0</v>
      </c>
      <c r="O943" s="49" t="n">
        <v>0</v>
      </c>
      <c r="P943" s="49" t="n">
        <v>0</v>
      </c>
      <c r="Q943" s="49" t="n">
        <v>0</v>
      </c>
      <c r="R943" s="49" t="n">
        <v>0</v>
      </c>
      <c r="S943" s="50" t="n">
        <v>0</v>
      </c>
      <c r="T943" s="50" t="n">
        <v>0</v>
      </c>
      <c r="U943" s="50" t="n">
        <v>0</v>
      </c>
      <c r="V943" s="50" t="n">
        <v>0</v>
      </c>
      <c r="W943" s="51" t="n">
        <v>2</v>
      </c>
      <c r="X943" s="51" t="n">
        <v>0</v>
      </c>
      <c r="Y943" s="51" t="n">
        <v>0</v>
      </c>
      <c r="Z943" s="51" t="n">
        <v>0</v>
      </c>
      <c r="AA943" s="52" t="n">
        <v>0.62</v>
      </c>
      <c r="AB943" s="52" t="n">
        <v>0</v>
      </c>
      <c r="AC943" s="52" t="n">
        <v>0</v>
      </c>
      <c r="AD943" s="52" t="n">
        <v>0</v>
      </c>
      <c r="AE943" s="52" t="n">
        <v>0</v>
      </c>
      <c r="AF943" s="52" t="n">
        <v>0</v>
      </c>
      <c r="AG943" s="52" t="n">
        <v>0</v>
      </c>
      <c r="AH943" s="52" t="n">
        <v>0</v>
      </c>
      <c r="AI943" s="52" t="n">
        <v>0</v>
      </c>
      <c r="AJ943" s="52" t="n">
        <v>0</v>
      </c>
      <c r="AK943" s="52" t="n">
        <v>0</v>
      </c>
      <c r="AL943" s="52" t="n">
        <v>0</v>
      </c>
      <c r="AM943" s="53" t="n">
        <v>0.0007</v>
      </c>
      <c r="AN943" s="53" t="n">
        <v>0</v>
      </c>
      <c r="AO943" s="53" t="n">
        <v>0</v>
      </c>
      <c r="AP943" s="53" t="n">
        <v>0</v>
      </c>
      <c r="AQ943" s="52" t="n">
        <v>0.31</v>
      </c>
      <c r="AR943" s="52" t="n">
        <v>0</v>
      </c>
      <c r="AS943" s="52" t="n">
        <v>0</v>
      </c>
      <c r="AT943" s="52" t="n">
        <v>0</v>
      </c>
      <c r="AU943" s="53" t="n">
        <v>0</v>
      </c>
      <c r="AV943" s="53" t="n">
        <v>0</v>
      </c>
      <c r="AW943" s="53" t="n">
        <v>0</v>
      </c>
      <c r="AX943" s="53" t="n">
        <v>0</v>
      </c>
      <c r="AY943" s="52" t="n">
        <v>0</v>
      </c>
      <c r="AZ943" s="52" t="n">
        <v>0</v>
      </c>
      <c r="BA943" s="52" t="n">
        <v>0</v>
      </c>
      <c r="BB943" s="52" t="n">
        <v>0</v>
      </c>
      <c r="BC943" s="51" t="n">
        <v>2755</v>
      </c>
      <c r="BD943" s="51" t="n">
        <v>0</v>
      </c>
      <c r="BE943" s="51" t="n">
        <v>0</v>
      </c>
      <c r="BF943" s="51" t="n">
        <v>0</v>
      </c>
    </row>
    <row r="944">
      <c r="A944">
        <f>HYPERLINK("https://www.walmart.com/ip/9510258645", "9510258645")</f>
        <v/>
      </c>
      <c r="B944" t="inlineStr">
        <is>
          <t>Wrangler Yellowstone Sturdy Laptop Backpack for Travel, Hiking Backpack with Classic Logo, Water Resistant Casual Daypack, Padded Sleeve College Backpack for Notebook, Dark Brown Cord</t>
        </is>
      </c>
      <c r="C944" t="inlineStr">
        <is>
          <t>WR-BACKPACK-16273-BROWN</t>
        </is>
      </c>
      <c r="D944" t="inlineStr">
        <is>
          <t>Backpacks</t>
        </is>
      </c>
      <c r="E944" t="inlineStr">
        <is>
          <t>Wrangler</t>
        </is>
      </c>
      <c r="F944" t="inlineStr">
        <is>
          <t>Backpack</t>
        </is>
      </c>
      <c r="G944" s="48" t="n">
        <v>0</v>
      </c>
      <c r="H944" s="48" t="n">
        <v>34.99</v>
      </c>
      <c r="I944" s="48" t="n">
        <v>0</v>
      </c>
      <c r="J944" s="48" t="n">
        <v>0</v>
      </c>
      <c r="K944" s="49" t="n">
        <v>0</v>
      </c>
      <c r="L944" s="49" t="n">
        <v>1</v>
      </c>
      <c r="M944" s="49" t="n">
        <v>0</v>
      </c>
      <c r="N944" s="49" t="n">
        <v>0</v>
      </c>
      <c r="O944" s="49" t="n">
        <v>0</v>
      </c>
      <c r="P944" s="49" t="n">
        <v>0</v>
      </c>
      <c r="Q944" s="49" t="n">
        <v>0</v>
      </c>
      <c r="R944" s="49" t="n">
        <v>0</v>
      </c>
      <c r="S944" s="50" t="n">
        <v>0</v>
      </c>
      <c r="T944" s="50" t="n">
        <v>0</v>
      </c>
      <c r="U944" s="50" t="n">
        <v>0</v>
      </c>
      <c r="V944" s="50" t="n">
        <v>0</v>
      </c>
      <c r="W944" s="51" t="n">
        <v>0</v>
      </c>
      <c r="X944" s="51" t="n">
        <v>0</v>
      </c>
      <c r="Y944" s="51" t="n">
        <v>0</v>
      </c>
      <c r="Z944" s="51" t="n">
        <v>0</v>
      </c>
      <c r="AA944" s="52" t="n">
        <v>0</v>
      </c>
      <c r="AB944" s="52" t="n">
        <v>0</v>
      </c>
      <c r="AC944" s="52" t="n">
        <v>0</v>
      </c>
      <c r="AD944" s="52" t="n">
        <v>0</v>
      </c>
      <c r="AE944" s="52" t="n">
        <v>0</v>
      </c>
      <c r="AF944" s="52" t="n">
        <v>0</v>
      </c>
      <c r="AG944" s="52" t="n">
        <v>0</v>
      </c>
      <c r="AH944" s="52" t="n">
        <v>0</v>
      </c>
      <c r="AI944" s="52" t="n">
        <v>0</v>
      </c>
      <c r="AJ944" s="52" t="n">
        <v>0</v>
      </c>
      <c r="AK944" s="52" t="n">
        <v>0</v>
      </c>
      <c r="AL944" s="52" t="n">
        <v>0</v>
      </c>
      <c r="AM944" s="53" t="n">
        <v>0</v>
      </c>
      <c r="AN944" s="53" t="n">
        <v>0</v>
      </c>
      <c r="AO944" s="53" t="n">
        <v>0</v>
      </c>
      <c r="AP944" s="53" t="n">
        <v>0</v>
      </c>
      <c r="AQ944" s="52" t="n">
        <v>0</v>
      </c>
      <c r="AR944" s="52" t="n">
        <v>0</v>
      </c>
      <c r="AS944" s="52" t="n">
        <v>0</v>
      </c>
      <c r="AT944" s="52" t="n">
        <v>0</v>
      </c>
      <c r="AU944" s="53" t="n">
        <v>0</v>
      </c>
      <c r="AV944" s="53" t="n">
        <v>0</v>
      </c>
      <c r="AW944" s="53" t="n">
        <v>0</v>
      </c>
      <c r="AX944" s="53" t="n">
        <v>0</v>
      </c>
      <c r="AY944" s="52" t="n">
        <v>0</v>
      </c>
      <c r="AZ944" s="52" t="n">
        <v>34.99</v>
      </c>
      <c r="BA944" s="52" t="n">
        <v>0</v>
      </c>
      <c r="BB944" s="52" t="n">
        <v>0</v>
      </c>
      <c r="BC944" s="51" t="n">
        <v>0</v>
      </c>
      <c r="BD944" s="51" t="n">
        <v>0</v>
      </c>
      <c r="BE944" s="51" t="n">
        <v>0</v>
      </c>
      <c r="BF944" s="51" t="n">
        <v>0</v>
      </c>
    </row>
    <row r="945">
      <c r="A945">
        <f>HYPERLINK("https://www.walmart.com/ip/944975761", "944975761")</f>
        <v/>
      </c>
      <c r="B945" t="inlineStr">
        <is>
          <t>Mermaid Hooded Bath Towel for 2 to 6 Years Girl,100% Cotton Water Absorption Beach Poncho Swim Changing Robe, Sand Proof</t>
        </is>
      </c>
      <c r="C945" t="inlineStr">
        <is>
          <t>1CTBR200MM-ESCB</t>
        </is>
      </c>
      <c r="D945" t="inlineStr">
        <is>
          <t>Towels &amp; Washcloths</t>
        </is>
      </c>
      <c r="E945" t="inlineStr">
        <is>
          <t>Catalonia</t>
        </is>
      </c>
      <c r="F945" t="inlineStr">
        <is>
          <t>Baby days,Beach Robe Camp</t>
        </is>
      </c>
      <c r="G945" s="48" t="n">
        <v>0</v>
      </c>
      <c r="H945" s="48" t="n">
        <v>0</v>
      </c>
      <c r="I945" s="48" t="n">
        <v>0</v>
      </c>
      <c r="J945" s="48" t="n">
        <v>0</v>
      </c>
      <c r="K945" s="49" t="n">
        <v>0</v>
      </c>
      <c r="L945" s="49" t="n">
        <v>0</v>
      </c>
      <c r="M945" s="49" t="n">
        <v>0</v>
      </c>
      <c r="N945" s="49" t="n">
        <v>0</v>
      </c>
      <c r="O945" s="49" t="n">
        <v>0</v>
      </c>
      <c r="P945" s="49" t="n">
        <v>0</v>
      </c>
      <c r="Q945" s="49" t="n">
        <v>0</v>
      </c>
      <c r="R945" s="49" t="n">
        <v>0</v>
      </c>
      <c r="S945" s="50" t="n">
        <v>0</v>
      </c>
      <c r="T945" s="50" t="n">
        <v>0</v>
      </c>
      <c r="U945" s="50" t="n">
        <v>0</v>
      </c>
      <c r="V945" s="50" t="n">
        <v>0</v>
      </c>
      <c r="W945" s="51" t="n">
        <v>0</v>
      </c>
      <c r="X945" s="51" t="n">
        <v>0</v>
      </c>
      <c r="Y945" s="51" t="n">
        <v>0</v>
      </c>
      <c r="Z945" s="51" t="n">
        <v>0</v>
      </c>
      <c r="AA945" s="52" t="n">
        <v>0</v>
      </c>
      <c r="AB945" s="52" t="n">
        <v>0</v>
      </c>
      <c r="AC945" s="52" t="n">
        <v>0</v>
      </c>
      <c r="AD945" s="52" t="n">
        <v>0</v>
      </c>
      <c r="AE945" s="52" t="n">
        <v>0</v>
      </c>
      <c r="AF945" s="52" t="n">
        <v>0</v>
      </c>
      <c r="AG945" s="52" t="n">
        <v>0</v>
      </c>
      <c r="AH945" s="52" t="n">
        <v>0</v>
      </c>
      <c r="AI945" s="52" t="n">
        <v>0</v>
      </c>
      <c r="AJ945" s="52" t="n">
        <v>0</v>
      </c>
      <c r="AK945" s="52" t="n">
        <v>0</v>
      </c>
      <c r="AL945" s="52" t="n">
        <v>0</v>
      </c>
      <c r="AM945" s="53" t="n">
        <v>0</v>
      </c>
      <c r="AN945" s="53" t="n">
        <v>0</v>
      </c>
      <c r="AO945" s="53" t="n">
        <v>0</v>
      </c>
      <c r="AP945" s="53" t="n">
        <v>0</v>
      </c>
      <c r="AQ945" s="52" t="n">
        <v>0</v>
      </c>
      <c r="AR945" s="52" t="n">
        <v>0</v>
      </c>
      <c r="AS945" s="52" t="n">
        <v>0</v>
      </c>
      <c r="AT945" s="52" t="n">
        <v>0</v>
      </c>
      <c r="AU945" s="53" t="n">
        <v>0</v>
      </c>
      <c r="AV945" s="53" t="n">
        <v>0</v>
      </c>
      <c r="AW945" s="53" t="n">
        <v>0</v>
      </c>
      <c r="AX945" s="53" t="n">
        <v>0</v>
      </c>
      <c r="AY945" s="52" t="n">
        <v>0</v>
      </c>
      <c r="AZ945" s="52" t="n">
        <v>0</v>
      </c>
      <c r="BA945" s="52" t="n">
        <v>0</v>
      </c>
      <c r="BB945" s="52" t="n">
        <v>0</v>
      </c>
      <c r="BC945" s="51" t="n">
        <v>0</v>
      </c>
      <c r="BD945" s="51" t="n">
        <v>0</v>
      </c>
      <c r="BE945" s="51" t="n">
        <v>0</v>
      </c>
      <c r="BF945" s="51" t="n">
        <v>0</v>
      </c>
    </row>
    <row r="946">
      <c r="A946">
        <f>HYPERLINK("https://www.walmart.com/ip/943773254", "943773254")</f>
        <v/>
      </c>
      <c r="B946" t="inlineStr">
        <is>
          <t>Tirrinia Women's Wide Brim Bucket Hats Breathable Outdoor Beach Gardening Hat One Size Fits All Adult, Pink Flower Pattern</t>
        </is>
      </c>
      <c r="C946" t="inlineStr">
        <is>
          <t>1TRSH9200FPK-TBGM</t>
        </is>
      </c>
      <c r="D946" t="inlineStr">
        <is>
          <t>Hats</t>
        </is>
      </c>
      <c r="E946" t="inlineStr">
        <is>
          <t>Tirrinia</t>
        </is>
      </c>
      <c r="F946" t="inlineStr">
        <is>
          <t>Optimized,Hats</t>
        </is>
      </c>
      <c r="G946" s="48" t="n">
        <v>0</v>
      </c>
      <c r="H946" s="48" t="n">
        <v>0</v>
      </c>
      <c r="I946" s="48" t="n">
        <v>0</v>
      </c>
      <c r="J946" s="48" t="n">
        <v>0</v>
      </c>
      <c r="K946" s="49" t="n">
        <v>0</v>
      </c>
      <c r="L946" s="49" t="n">
        <v>0</v>
      </c>
      <c r="M946" s="49" t="n">
        <v>0</v>
      </c>
      <c r="N946" s="49" t="n">
        <v>0</v>
      </c>
      <c r="O946" s="49" t="n">
        <v>0</v>
      </c>
      <c r="P946" s="49" t="n">
        <v>0</v>
      </c>
      <c r="Q946" s="49" t="n">
        <v>0</v>
      </c>
      <c r="R946" s="49" t="n">
        <v>0</v>
      </c>
      <c r="S946" s="50" t="n">
        <v>0</v>
      </c>
      <c r="T946" s="50" t="n">
        <v>0</v>
      </c>
      <c r="U946" s="50" t="n">
        <v>0</v>
      </c>
      <c r="V946" s="50" t="n">
        <v>0</v>
      </c>
      <c r="W946" s="51" t="n">
        <v>0</v>
      </c>
      <c r="X946" s="51" t="n">
        <v>0</v>
      </c>
      <c r="Y946" s="51" t="n">
        <v>0</v>
      </c>
      <c r="Z946" s="51" t="n">
        <v>0</v>
      </c>
      <c r="AA946" s="52" t="n">
        <v>0</v>
      </c>
      <c r="AB946" s="52" t="n">
        <v>0</v>
      </c>
      <c r="AC946" s="52" t="n">
        <v>0</v>
      </c>
      <c r="AD946" s="52" t="n">
        <v>0</v>
      </c>
      <c r="AE946" s="52" t="n">
        <v>0</v>
      </c>
      <c r="AF946" s="52" t="n">
        <v>0</v>
      </c>
      <c r="AG946" s="52" t="n">
        <v>0</v>
      </c>
      <c r="AH946" s="52" t="n">
        <v>0</v>
      </c>
      <c r="AI946" s="52" t="n">
        <v>0</v>
      </c>
      <c r="AJ946" s="52" t="n">
        <v>0</v>
      </c>
      <c r="AK946" s="52" t="n">
        <v>0</v>
      </c>
      <c r="AL946" s="52" t="n">
        <v>0</v>
      </c>
      <c r="AM946" s="53" t="n">
        <v>0</v>
      </c>
      <c r="AN946" s="53" t="n">
        <v>0</v>
      </c>
      <c r="AO946" s="53" t="n">
        <v>0</v>
      </c>
      <c r="AP946" s="53" t="n">
        <v>0</v>
      </c>
      <c r="AQ946" s="52" t="n">
        <v>0</v>
      </c>
      <c r="AR946" s="52" t="n">
        <v>0</v>
      </c>
      <c r="AS946" s="52" t="n">
        <v>0</v>
      </c>
      <c r="AT946" s="52" t="n">
        <v>0</v>
      </c>
      <c r="AU946" s="53" t="n">
        <v>0</v>
      </c>
      <c r="AV946" s="53" t="n">
        <v>0</v>
      </c>
      <c r="AW946" s="53" t="n">
        <v>0</v>
      </c>
      <c r="AX946" s="53" t="n">
        <v>0</v>
      </c>
      <c r="AY946" s="52" t="n">
        <v>0</v>
      </c>
      <c r="AZ946" s="52" t="n">
        <v>0</v>
      </c>
      <c r="BA946" s="52" t="n">
        <v>0</v>
      </c>
      <c r="BB946" s="52" t="n">
        <v>0</v>
      </c>
      <c r="BC946" s="51" t="n">
        <v>0</v>
      </c>
      <c r="BD946" s="51" t="n">
        <v>0</v>
      </c>
      <c r="BE946" s="51" t="n">
        <v>0</v>
      </c>
      <c r="BF946" s="51" t="n">
        <v>0</v>
      </c>
    </row>
    <row r="947">
      <c r="A947">
        <f>HYPERLINK("https://www.walmart.com/ip/9605755115", "9605755115")</f>
        <v/>
      </c>
      <c r="B947" t="inlineStr">
        <is>
          <t>National Park Foundation Hydration Backpack with 2L Hydro Water Bladder Bag, Lightweight Hiking Backpack, Travel Backpack for Cycling, Running, and Climbing, 18L,Blue</t>
        </is>
      </c>
      <c r="C947" t="inlineStr">
        <is>
          <t>NPF-BACKPACK-HYDRATION-BLUE</t>
        </is>
      </c>
      <c r="D947" t="inlineStr">
        <is>
          <t>Backpacks</t>
        </is>
      </c>
      <c r="E947" t="inlineStr">
        <is>
          <t>National Park Foundation</t>
        </is>
      </c>
      <c r="F947" t="inlineStr">
        <is>
          <t>Backpack</t>
        </is>
      </c>
      <c r="G947" s="48" t="n">
        <v>0</v>
      </c>
      <c r="H947" s="48" t="n">
        <v>0</v>
      </c>
      <c r="I947" s="48" t="n">
        <v>0</v>
      </c>
      <c r="J947" s="48" t="n">
        <v>0</v>
      </c>
      <c r="K947" s="49" t="n">
        <v>0</v>
      </c>
      <c r="L947" s="49" t="n">
        <v>0</v>
      </c>
      <c r="M947" s="49" t="n">
        <v>0</v>
      </c>
      <c r="N947" s="49" t="n">
        <v>0</v>
      </c>
      <c r="O947" s="49" t="n">
        <v>0</v>
      </c>
      <c r="P947" s="49" t="n">
        <v>0</v>
      </c>
      <c r="Q947" s="49" t="n">
        <v>0</v>
      </c>
      <c r="R947" s="49" t="n">
        <v>0</v>
      </c>
      <c r="S947" s="50" t="n">
        <v>0</v>
      </c>
      <c r="T947" s="50" t="n">
        <v>0</v>
      </c>
      <c r="U947" s="50" t="n">
        <v>0</v>
      </c>
      <c r="V947" s="50" t="n">
        <v>0</v>
      </c>
      <c r="W947" s="51" t="n">
        <v>0</v>
      </c>
      <c r="X947" s="51" t="n">
        <v>0</v>
      </c>
      <c r="Y947" s="51" t="n">
        <v>0</v>
      </c>
      <c r="Z947" s="51" t="n">
        <v>0</v>
      </c>
      <c r="AA947" s="52" t="n">
        <v>0</v>
      </c>
      <c r="AB947" s="52" t="n">
        <v>0</v>
      </c>
      <c r="AC947" s="52" t="n">
        <v>0</v>
      </c>
      <c r="AD947" s="52" t="n">
        <v>0</v>
      </c>
      <c r="AE947" s="52" t="n">
        <v>0</v>
      </c>
      <c r="AF947" s="52" t="n">
        <v>0</v>
      </c>
      <c r="AG947" s="52" t="n">
        <v>0</v>
      </c>
      <c r="AH947" s="52" t="n">
        <v>0</v>
      </c>
      <c r="AI947" s="52" t="n">
        <v>0</v>
      </c>
      <c r="AJ947" s="52" t="n">
        <v>0</v>
      </c>
      <c r="AK947" s="52" t="n">
        <v>0</v>
      </c>
      <c r="AL947" s="52" t="n">
        <v>0</v>
      </c>
      <c r="AM947" s="53" t="n">
        <v>0</v>
      </c>
      <c r="AN947" s="53" t="n">
        <v>0</v>
      </c>
      <c r="AO947" s="53" t="n">
        <v>0</v>
      </c>
      <c r="AP947" s="53" t="n">
        <v>0</v>
      </c>
      <c r="AQ947" s="52" t="n">
        <v>0</v>
      </c>
      <c r="AR947" s="52" t="n">
        <v>0</v>
      </c>
      <c r="AS947" s="52" t="n">
        <v>0</v>
      </c>
      <c r="AT947" s="52" t="n">
        <v>0</v>
      </c>
      <c r="AU947" s="53" t="n">
        <v>0</v>
      </c>
      <c r="AV947" s="53" t="n">
        <v>0</v>
      </c>
      <c r="AW947" s="53" t="n">
        <v>0</v>
      </c>
      <c r="AX947" s="53" t="n">
        <v>0</v>
      </c>
      <c r="AY947" s="52" t="n">
        <v>0</v>
      </c>
      <c r="AZ947" s="52" t="n">
        <v>0</v>
      </c>
      <c r="BA947" s="52" t="n">
        <v>0</v>
      </c>
      <c r="BB947" s="52" t="n">
        <v>0</v>
      </c>
      <c r="BC947" s="51" t="n">
        <v>0</v>
      </c>
      <c r="BD947" s="51" t="n">
        <v>0</v>
      </c>
      <c r="BE947" s="51" t="n">
        <v>0</v>
      </c>
      <c r="BF947" s="51" t="n">
        <v>0</v>
      </c>
    </row>
    <row r="948">
      <c r="A948">
        <f>HYPERLINK("https://www.walmart.com/ip/943416028", "943416028")</f>
        <v/>
      </c>
      <c r="B948" t="inlineStr">
        <is>
          <t>Ski Gloves for Women &amp; Men 3M Winter Snow Gloves Mittens Insulation Waterproof for Outdoors Sports</t>
        </is>
      </c>
      <c r="C948" t="inlineStr">
        <is>
          <t>1SLWG100BLM</t>
        </is>
      </c>
      <c r="D948" t="inlineStr">
        <is>
          <t>Gloves &amp; Mittens</t>
        </is>
      </c>
      <c r="E948" t="inlineStr">
        <is>
          <t>Solaris</t>
        </is>
      </c>
      <c r="F948" t="inlineStr">
        <is>
          <t>Gloves,Batch 1 - TR</t>
        </is>
      </c>
      <c r="G948" s="48" t="n">
        <v>0</v>
      </c>
      <c r="H948" s="48" t="n">
        <v>0</v>
      </c>
      <c r="I948" s="48" t="n">
        <v>0</v>
      </c>
      <c r="J948" s="48" t="n">
        <v>0</v>
      </c>
      <c r="K948" s="49" t="n">
        <v>0</v>
      </c>
      <c r="L948" s="49" t="n">
        <v>0</v>
      </c>
      <c r="M948" s="49" t="n">
        <v>0</v>
      </c>
      <c r="N948" s="49" t="n">
        <v>0</v>
      </c>
      <c r="O948" s="49" t="n">
        <v>0</v>
      </c>
      <c r="P948" s="49" t="n">
        <v>0</v>
      </c>
      <c r="Q948" s="49" t="n">
        <v>0</v>
      </c>
      <c r="R948" s="49" t="n">
        <v>0</v>
      </c>
      <c r="S948" s="50" t="n">
        <v>0</v>
      </c>
      <c r="T948" s="50" t="n">
        <v>0</v>
      </c>
      <c r="U948" s="50" t="n">
        <v>0</v>
      </c>
      <c r="V948" s="50" t="n">
        <v>0</v>
      </c>
      <c r="W948" s="51" t="n">
        <v>0</v>
      </c>
      <c r="X948" s="51" t="n">
        <v>0</v>
      </c>
      <c r="Y948" s="51" t="n">
        <v>0</v>
      </c>
      <c r="Z948" s="51" t="n">
        <v>0</v>
      </c>
      <c r="AA948" s="52" t="n">
        <v>0</v>
      </c>
      <c r="AB948" s="52" t="n">
        <v>0</v>
      </c>
      <c r="AC948" s="52" t="n">
        <v>0</v>
      </c>
      <c r="AD948" s="52" t="n">
        <v>0</v>
      </c>
      <c r="AE948" s="52" t="n">
        <v>0</v>
      </c>
      <c r="AF948" s="52" t="n">
        <v>0</v>
      </c>
      <c r="AG948" s="52" t="n">
        <v>0</v>
      </c>
      <c r="AH948" s="52" t="n">
        <v>0</v>
      </c>
      <c r="AI948" s="52" t="n">
        <v>0</v>
      </c>
      <c r="AJ948" s="52" t="n">
        <v>0</v>
      </c>
      <c r="AK948" s="52" t="n">
        <v>0</v>
      </c>
      <c r="AL948" s="52" t="n">
        <v>0</v>
      </c>
      <c r="AM948" s="53" t="n">
        <v>0</v>
      </c>
      <c r="AN948" s="53" t="n">
        <v>0</v>
      </c>
      <c r="AO948" s="53" t="n">
        <v>0</v>
      </c>
      <c r="AP948" s="53" t="n">
        <v>0</v>
      </c>
      <c r="AQ948" s="52" t="n">
        <v>0</v>
      </c>
      <c r="AR948" s="52" t="n">
        <v>0</v>
      </c>
      <c r="AS948" s="52" t="n">
        <v>0</v>
      </c>
      <c r="AT948" s="52" t="n">
        <v>0</v>
      </c>
      <c r="AU948" s="53" t="n">
        <v>0</v>
      </c>
      <c r="AV948" s="53" t="n">
        <v>0</v>
      </c>
      <c r="AW948" s="53" t="n">
        <v>0</v>
      </c>
      <c r="AX948" s="53" t="n">
        <v>0</v>
      </c>
      <c r="AY948" s="52" t="n">
        <v>0</v>
      </c>
      <c r="AZ948" s="52" t="n">
        <v>0</v>
      </c>
      <c r="BA948" s="52" t="n">
        <v>0</v>
      </c>
      <c r="BB948" s="52" t="n">
        <v>0</v>
      </c>
      <c r="BC948" s="51" t="n">
        <v>0</v>
      </c>
      <c r="BD948" s="51" t="n">
        <v>0</v>
      </c>
      <c r="BE948" s="51" t="n">
        <v>0</v>
      </c>
      <c r="BF948" s="51" t="n">
        <v>0</v>
      </c>
    </row>
    <row r="949">
      <c r="A949">
        <f>HYPERLINK("https://www.walmart.com/ip/935225656", "935225656")</f>
        <v/>
      </c>
      <c r="B949" t="inlineStr">
        <is>
          <t>Tirrinia Soft Velvet Plush Throw Blanket 50”x 70” Microfiber Lightweight Warm Home Bed Sofa Couch</t>
        </is>
      </c>
      <c r="C949" t="inlineStr">
        <is>
          <t>1TRBF8023GY-TBGM</t>
        </is>
      </c>
      <c r="D949" t="inlineStr">
        <is>
          <t>Throws</t>
        </is>
      </c>
      <c r="E949" t="inlineStr">
        <is>
          <t>Tirrinia</t>
        </is>
      </c>
      <c r="F949" t="inlineStr">
        <is>
          <t>Optimized</t>
        </is>
      </c>
      <c r="G949" s="48" t="n">
        <v>0</v>
      </c>
      <c r="H949" s="48" t="n">
        <v>0</v>
      </c>
      <c r="I949" s="48" t="n">
        <v>0</v>
      </c>
      <c r="J949" s="48" t="n">
        <v>0</v>
      </c>
      <c r="K949" s="49" t="n">
        <v>0</v>
      </c>
      <c r="L949" s="49" t="n">
        <v>0</v>
      </c>
      <c r="M949" s="49" t="n">
        <v>0</v>
      </c>
      <c r="N949" s="49" t="n">
        <v>0</v>
      </c>
      <c r="O949" s="49" t="n">
        <v>0</v>
      </c>
      <c r="P949" s="49" t="n">
        <v>0</v>
      </c>
      <c r="Q949" s="49" t="n">
        <v>0</v>
      </c>
      <c r="R949" s="49" t="n">
        <v>0</v>
      </c>
      <c r="S949" s="50" t="n">
        <v>0</v>
      </c>
      <c r="T949" s="50" t="n">
        <v>0</v>
      </c>
      <c r="U949" s="50" t="n">
        <v>0</v>
      </c>
      <c r="V949" s="50" t="n">
        <v>0</v>
      </c>
      <c r="W949" s="51" t="n">
        <v>0</v>
      </c>
      <c r="X949" s="51" t="n">
        <v>0</v>
      </c>
      <c r="Y949" s="51" t="n">
        <v>0</v>
      </c>
      <c r="Z949" s="51" t="n">
        <v>0</v>
      </c>
      <c r="AA949" s="52" t="n">
        <v>0</v>
      </c>
      <c r="AB949" s="52" t="n">
        <v>0</v>
      </c>
      <c r="AC949" s="52" t="n">
        <v>0</v>
      </c>
      <c r="AD949" s="52" t="n">
        <v>0</v>
      </c>
      <c r="AE949" s="52" t="n">
        <v>0</v>
      </c>
      <c r="AF949" s="52" t="n">
        <v>0</v>
      </c>
      <c r="AG949" s="52" t="n">
        <v>0</v>
      </c>
      <c r="AH949" s="52" t="n">
        <v>0</v>
      </c>
      <c r="AI949" s="52" t="n">
        <v>0</v>
      </c>
      <c r="AJ949" s="52" t="n">
        <v>0</v>
      </c>
      <c r="AK949" s="52" t="n">
        <v>0</v>
      </c>
      <c r="AL949" s="52" t="n">
        <v>0</v>
      </c>
      <c r="AM949" s="53" t="n">
        <v>0</v>
      </c>
      <c r="AN949" s="53" t="n">
        <v>0</v>
      </c>
      <c r="AO949" s="53" t="n">
        <v>0</v>
      </c>
      <c r="AP949" s="53" t="n">
        <v>0</v>
      </c>
      <c r="AQ949" s="52" t="n">
        <v>0</v>
      </c>
      <c r="AR949" s="52" t="n">
        <v>0</v>
      </c>
      <c r="AS949" s="52" t="n">
        <v>0</v>
      </c>
      <c r="AT949" s="52" t="n">
        <v>0</v>
      </c>
      <c r="AU949" s="53" t="n">
        <v>0</v>
      </c>
      <c r="AV949" s="53" t="n">
        <v>0</v>
      </c>
      <c r="AW949" s="53" t="n">
        <v>0</v>
      </c>
      <c r="AX949" s="53" t="n">
        <v>0</v>
      </c>
      <c r="AY949" s="52" t="n">
        <v>0</v>
      </c>
      <c r="AZ949" s="52" t="n">
        <v>0</v>
      </c>
      <c r="BA949" s="52" t="n">
        <v>0</v>
      </c>
      <c r="BB949" s="52" t="n">
        <v>0</v>
      </c>
      <c r="BC949" s="51" t="n">
        <v>0</v>
      </c>
      <c r="BD949" s="51" t="n">
        <v>0</v>
      </c>
      <c r="BE949" s="51" t="n">
        <v>0</v>
      </c>
      <c r="BF949" s="51" t="n">
        <v>0</v>
      </c>
    </row>
    <row r="950">
      <c r="A950">
        <f>HYPERLINK("https://www.walmart.com/ip/935279484", "935279484")</f>
        <v/>
      </c>
      <c r="B950" t="inlineStr">
        <is>
          <t>Tirrinia Unisex Surf Poncho Changing Towel Robe for Adult Surfer Swimmer Outdoor Beach Black</t>
        </is>
      </c>
      <c r="C950" t="inlineStr">
        <is>
          <t>1WMBR100-BK</t>
        </is>
      </c>
      <c r="D950" t="inlineStr">
        <is>
          <t>Sleepwear Robes &amp; Bathrobes</t>
        </is>
      </c>
      <c r="E950" t="inlineStr">
        <is>
          <t>Flyingstar</t>
        </is>
      </c>
      <c r="F950" t="inlineStr">
        <is>
          <t>Optimized,Beach Robe Camp</t>
        </is>
      </c>
      <c r="G950" s="48" t="n">
        <v>0</v>
      </c>
      <c r="H950" s="48" t="n">
        <v>0</v>
      </c>
      <c r="I950" s="48" t="n">
        <v>0</v>
      </c>
      <c r="J950" s="48" t="n">
        <v>0</v>
      </c>
      <c r="K950" s="49" t="n">
        <v>0</v>
      </c>
      <c r="L950" s="49" t="n">
        <v>0</v>
      </c>
      <c r="M950" s="49" t="n">
        <v>0</v>
      </c>
      <c r="N950" s="49" t="n">
        <v>0</v>
      </c>
      <c r="O950" s="49" t="n">
        <v>0</v>
      </c>
      <c r="P950" s="49" t="n">
        <v>0</v>
      </c>
      <c r="Q950" s="49" t="n">
        <v>0</v>
      </c>
      <c r="R950" s="49" t="n">
        <v>0</v>
      </c>
      <c r="S950" s="50" t="n">
        <v>0</v>
      </c>
      <c r="T950" s="50" t="n">
        <v>0</v>
      </c>
      <c r="U950" s="50" t="n">
        <v>0</v>
      </c>
      <c r="V950" s="50" t="n">
        <v>0</v>
      </c>
      <c r="W950" s="51" t="n">
        <v>0</v>
      </c>
      <c r="X950" s="51" t="n">
        <v>0</v>
      </c>
      <c r="Y950" s="51" t="n">
        <v>0</v>
      </c>
      <c r="Z950" s="51" t="n">
        <v>0</v>
      </c>
      <c r="AA950" s="52" t="n">
        <v>0</v>
      </c>
      <c r="AB950" s="52" t="n">
        <v>0</v>
      </c>
      <c r="AC950" s="52" t="n">
        <v>0</v>
      </c>
      <c r="AD950" s="52" t="n">
        <v>0</v>
      </c>
      <c r="AE950" s="52" t="n">
        <v>0</v>
      </c>
      <c r="AF950" s="52" t="n">
        <v>0</v>
      </c>
      <c r="AG950" s="52" t="n">
        <v>0</v>
      </c>
      <c r="AH950" s="52" t="n">
        <v>0</v>
      </c>
      <c r="AI950" s="52" t="n">
        <v>0</v>
      </c>
      <c r="AJ950" s="52" t="n">
        <v>0</v>
      </c>
      <c r="AK950" s="52" t="n">
        <v>0</v>
      </c>
      <c r="AL950" s="52" t="n">
        <v>0</v>
      </c>
      <c r="AM950" s="53" t="n">
        <v>0</v>
      </c>
      <c r="AN950" s="53" t="n">
        <v>0</v>
      </c>
      <c r="AO950" s="53" t="n">
        <v>0</v>
      </c>
      <c r="AP950" s="53" t="n">
        <v>0</v>
      </c>
      <c r="AQ950" s="52" t="n">
        <v>0</v>
      </c>
      <c r="AR950" s="52" t="n">
        <v>0</v>
      </c>
      <c r="AS950" s="52" t="n">
        <v>0</v>
      </c>
      <c r="AT950" s="52" t="n">
        <v>0</v>
      </c>
      <c r="AU950" s="53" t="n">
        <v>0</v>
      </c>
      <c r="AV950" s="53" t="n">
        <v>0</v>
      </c>
      <c r="AW950" s="53" t="n">
        <v>0</v>
      </c>
      <c r="AX950" s="53" t="n">
        <v>0</v>
      </c>
      <c r="AY950" s="52" t="n">
        <v>0</v>
      </c>
      <c r="AZ950" s="52" t="n">
        <v>0</v>
      </c>
      <c r="BA950" s="52" t="n">
        <v>0</v>
      </c>
      <c r="BB950" s="52" t="n">
        <v>0</v>
      </c>
      <c r="BC950" s="51" t="n">
        <v>0</v>
      </c>
      <c r="BD950" s="51" t="n">
        <v>0</v>
      </c>
      <c r="BE950" s="51" t="n">
        <v>0</v>
      </c>
      <c r="BF950" s="51" t="n">
        <v>0</v>
      </c>
    </row>
    <row r="951">
      <c r="A951">
        <f>HYPERLINK("https://www.walmart.com/ip/935577192", "935577192")</f>
        <v/>
      </c>
      <c r="B951" t="inlineStr">
        <is>
          <t>Catalonia Oversized Hoodie Blanket with Zipper, Wearable Sherpa Sweatshirt Pullover, Soft Warm Comfortable Jacket for Adults Men Women, Wine</t>
        </is>
      </c>
      <c r="C951" t="inlineStr">
        <is>
          <t>1CTHD220WN</t>
        </is>
      </c>
      <c r="D951" t="inlineStr">
        <is>
          <t>Throws</t>
        </is>
      </c>
      <c r="E951" t="inlineStr">
        <is>
          <t>Catalonia</t>
        </is>
      </c>
      <c r="F951" t="inlineStr">
        <is>
          <t>Hoodie ForAdult,WFS,Coupon_Discount,WFS Item</t>
        </is>
      </c>
      <c r="G951" s="48" t="n">
        <v>0</v>
      </c>
      <c r="H951" s="48" t="n">
        <v>0</v>
      </c>
      <c r="I951" s="48" t="n">
        <v>0</v>
      </c>
      <c r="J951" s="48" t="n">
        <v>0</v>
      </c>
      <c r="K951" s="49" t="n">
        <v>0</v>
      </c>
      <c r="L951" s="49" t="n">
        <v>0</v>
      </c>
      <c r="M951" s="49" t="n">
        <v>0</v>
      </c>
      <c r="N951" s="49" t="n">
        <v>0</v>
      </c>
      <c r="O951" s="49" t="n">
        <v>0</v>
      </c>
      <c r="P951" s="49" t="n">
        <v>0</v>
      </c>
      <c r="Q951" s="49" t="n">
        <v>0</v>
      </c>
      <c r="R951" s="49" t="n">
        <v>0</v>
      </c>
      <c r="S951" s="50" t="n">
        <v>0</v>
      </c>
      <c r="T951" s="50" t="n">
        <v>0</v>
      </c>
      <c r="U951" s="50" t="n">
        <v>0</v>
      </c>
      <c r="V951" s="50" t="n">
        <v>0</v>
      </c>
      <c r="W951" s="51" t="n">
        <v>0</v>
      </c>
      <c r="X951" s="51" t="n">
        <v>0</v>
      </c>
      <c r="Y951" s="51" t="n">
        <v>0</v>
      </c>
      <c r="Z951" s="51" t="n">
        <v>0</v>
      </c>
      <c r="AA951" s="52" t="n">
        <v>0</v>
      </c>
      <c r="AB951" s="52" t="n">
        <v>0</v>
      </c>
      <c r="AC951" s="52" t="n">
        <v>0</v>
      </c>
      <c r="AD951" s="52" t="n">
        <v>0</v>
      </c>
      <c r="AE951" s="52" t="n">
        <v>0</v>
      </c>
      <c r="AF951" s="52" t="n">
        <v>0</v>
      </c>
      <c r="AG951" s="52" t="n">
        <v>0</v>
      </c>
      <c r="AH951" s="52" t="n">
        <v>0</v>
      </c>
      <c r="AI951" s="52" t="n">
        <v>0</v>
      </c>
      <c r="AJ951" s="52" t="n">
        <v>0</v>
      </c>
      <c r="AK951" s="52" t="n">
        <v>0</v>
      </c>
      <c r="AL951" s="52" t="n">
        <v>0</v>
      </c>
      <c r="AM951" s="53" t="n">
        <v>0</v>
      </c>
      <c r="AN951" s="53" t="n">
        <v>0</v>
      </c>
      <c r="AO951" s="53" t="n">
        <v>0</v>
      </c>
      <c r="AP951" s="53" t="n">
        <v>0</v>
      </c>
      <c r="AQ951" s="52" t="n">
        <v>0</v>
      </c>
      <c r="AR951" s="52" t="n">
        <v>0</v>
      </c>
      <c r="AS951" s="52" t="n">
        <v>0</v>
      </c>
      <c r="AT951" s="52" t="n">
        <v>0</v>
      </c>
      <c r="AU951" s="53" t="n">
        <v>0</v>
      </c>
      <c r="AV951" s="53" t="n">
        <v>0</v>
      </c>
      <c r="AW951" s="53" t="n">
        <v>0</v>
      </c>
      <c r="AX951" s="53" t="n">
        <v>0</v>
      </c>
      <c r="AY951" s="52" t="n">
        <v>0</v>
      </c>
      <c r="AZ951" s="52" t="n">
        <v>0</v>
      </c>
      <c r="BA951" s="52" t="n">
        <v>0</v>
      </c>
      <c r="BB951" s="52" t="n">
        <v>0</v>
      </c>
      <c r="BC951" s="51" t="n">
        <v>0</v>
      </c>
      <c r="BD951" s="51" t="n">
        <v>0</v>
      </c>
      <c r="BE951" s="51" t="n">
        <v>0</v>
      </c>
      <c r="BF951" s="51" t="n">
        <v>0</v>
      </c>
    </row>
    <row r="952">
      <c r="A952">
        <f>HYPERLINK("https://www.walmart.com/ip/936465595", "936465595")</f>
        <v/>
      </c>
      <c r="B952" t="inlineStr">
        <is>
          <t>Flyingstar Sherpa Throws Blanket, Fleece Soft Cozy Blanket Throws for Sofa Bed 50"x60"</t>
        </is>
      </c>
      <c r="C952" t="inlineStr">
        <is>
          <t>1WMBF301PK-ESGM</t>
        </is>
      </c>
      <c r="D952" t="inlineStr">
        <is>
          <t>Throws</t>
        </is>
      </c>
      <c r="E952" t="inlineStr">
        <is>
          <t>Flyingstar</t>
        </is>
      </c>
      <c r="F952" t="inlineStr">
        <is>
          <t>Optimized</t>
        </is>
      </c>
      <c r="G952" s="48" t="n">
        <v>0</v>
      </c>
      <c r="H952" s="48" t="n">
        <v>0</v>
      </c>
      <c r="I952" s="48" t="n">
        <v>0</v>
      </c>
      <c r="J952" s="48" t="n">
        <v>0</v>
      </c>
      <c r="K952" s="49" t="n">
        <v>0</v>
      </c>
      <c r="L952" s="49" t="n">
        <v>0</v>
      </c>
      <c r="M952" s="49" t="n">
        <v>0</v>
      </c>
      <c r="N952" s="49" t="n">
        <v>0</v>
      </c>
      <c r="O952" s="49" t="n">
        <v>0</v>
      </c>
      <c r="P952" s="49" t="n">
        <v>0</v>
      </c>
      <c r="Q952" s="49" t="n">
        <v>0</v>
      </c>
      <c r="R952" s="49" t="n">
        <v>0</v>
      </c>
      <c r="S952" s="50" t="n">
        <v>0</v>
      </c>
      <c r="T952" s="50" t="n">
        <v>0</v>
      </c>
      <c r="U952" s="50" t="n">
        <v>0</v>
      </c>
      <c r="V952" s="50" t="n">
        <v>0</v>
      </c>
      <c r="W952" s="51" t="n">
        <v>0</v>
      </c>
      <c r="X952" s="51" t="n">
        <v>0</v>
      </c>
      <c r="Y952" s="51" t="n">
        <v>0</v>
      </c>
      <c r="Z952" s="51" t="n">
        <v>0</v>
      </c>
      <c r="AA952" s="52" t="n">
        <v>0</v>
      </c>
      <c r="AB952" s="52" t="n">
        <v>0</v>
      </c>
      <c r="AC952" s="52" t="n">
        <v>0</v>
      </c>
      <c r="AD952" s="52" t="n">
        <v>0</v>
      </c>
      <c r="AE952" s="52" t="n">
        <v>0</v>
      </c>
      <c r="AF952" s="52" t="n">
        <v>0</v>
      </c>
      <c r="AG952" s="52" t="n">
        <v>0</v>
      </c>
      <c r="AH952" s="52" t="n">
        <v>0</v>
      </c>
      <c r="AI952" s="52" t="n">
        <v>0</v>
      </c>
      <c r="AJ952" s="52" t="n">
        <v>0</v>
      </c>
      <c r="AK952" s="52" t="n">
        <v>0</v>
      </c>
      <c r="AL952" s="52" t="n">
        <v>0</v>
      </c>
      <c r="AM952" s="53" t="n">
        <v>0</v>
      </c>
      <c r="AN952" s="53" t="n">
        <v>0</v>
      </c>
      <c r="AO952" s="53" t="n">
        <v>0</v>
      </c>
      <c r="AP952" s="53" t="n">
        <v>0</v>
      </c>
      <c r="AQ952" s="52" t="n">
        <v>0</v>
      </c>
      <c r="AR952" s="52" t="n">
        <v>0</v>
      </c>
      <c r="AS952" s="52" t="n">
        <v>0</v>
      </c>
      <c r="AT952" s="52" t="n">
        <v>0</v>
      </c>
      <c r="AU952" s="53" t="n">
        <v>0</v>
      </c>
      <c r="AV952" s="53" t="n">
        <v>0</v>
      </c>
      <c r="AW952" s="53" t="n">
        <v>0</v>
      </c>
      <c r="AX952" s="53" t="n">
        <v>0</v>
      </c>
      <c r="AY952" s="52" t="n">
        <v>0</v>
      </c>
      <c r="AZ952" s="52" t="n">
        <v>0</v>
      </c>
      <c r="BA952" s="52" t="n">
        <v>0</v>
      </c>
      <c r="BB952" s="52" t="n">
        <v>0</v>
      </c>
      <c r="BC952" s="51" t="n">
        <v>0</v>
      </c>
      <c r="BD952" s="51" t="n">
        <v>0</v>
      </c>
      <c r="BE952" s="51" t="n">
        <v>0</v>
      </c>
      <c r="BF952" s="51" t="n">
        <v>0</v>
      </c>
    </row>
    <row r="953">
      <c r="A953">
        <f>HYPERLINK("https://www.walmart.com/ip/936528233", "936528233")</f>
        <v/>
      </c>
      <c r="B953" t="inlineStr">
        <is>
          <t>Sun Blocker Outdoor Sun Protection Fishing Cap with Neck Flap, Wide Brim Sun Hat for Travel Camping Hiking Hunting Boating Safari Cap with Adjustable Drawstring, Digital Gray</t>
        </is>
      </c>
      <c r="C953" t="inlineStr">
        <is>
          <t>kc-s9150-digigy-ZFH</t>
        </is>
      </c>
      <c r="D953" t="inlineStr">
        <is>
          <t>Hats</t>
        </is>
      </c>
      <c r="E953" t="inlineStr">
        <is>
          <t>Sun Blocker</t>
        </is>
      </c>
      <c r="F953" t="inlineStr">
        <is>
          <t>Optimized</t>
        </is>
      </c>
      <c r="G953" s="48" t="n">
        <v>0</v>
      </c>
      <c r="H953" s="48" t="n">
        <v>0</v>
      </c>
      <c r="I953" s="48" t="n">
        <v>0</v>
      </c>
      <c r="J953" s="48" t="n">
        <v>0</v>
      </c>
      <c r="K953" s="49" t="n">
        <v>0</v>
      </c>
      <c r="L953" s="49" t="n">
        <v>0</v>
      </c>
      <c r="M953" s="49" t="n">
        <v>0</v>
      </c>
      <c r="N953" s="49" t="n">
        <v>0</v>
      </c>
      <c r="O953" s="49" t="n">
        <v>0</v>
      </c>
      <c r="P953" s="49" t="n">
        <v>0</v>
      </c>
      <c r="Q953" s="49" t="n">
        <v>0</v>
      </c>
      <c r="R953" s="49" t="n">
        <v>0</v>
      </c>
      <c r="S953" s="50" t="n">
        <v>0</v>
      </c>
      <c r="T953" s="50" t="n">
        <v>0</v>
      </c>
      <c r="U953" s="50" t="n">
        <v>0</v>
      </c>
      <c r="V953" s="50" t="n">
        <v>0</v>
      </c>
      <c r="W953" s="51" t="n">
        <v>0</v>
      </c>
      <c r="X953" s="51" t="n">
        <v>0</v>
      </c>
      <c r="Y953" s="51" t="n">
        <v>0</v>
      </c>
      <c r="Z953" s="51" t="n">
        <v>0</v>
      </c>
      <c r="AA953" s="52" t="n">
        <v>0</v>
      </c>
      <c r="AB953" s="52" t="n">
        <v>0</v>
      </c>
      <c r="AC953" s="52" t="n">
        <v>0</v>
      </c>
      <c r="AD953" s="52" t="n">
        <v>0</v>
      </c>
      <c r="AE953" s="52" t="n">
        <v>0</v>
      </c>
      <c r="AF953" s="52" t="n">
        <v>0</v>
      </c>
      <c r="AG953" s="52" t="n">
        <v>0</v>
      </c>
      <c r="AH953" s="52" t="n">
        <v>0</v>
      </c>
      <c r="AI953" s="52" t="n">
        <v>0</v>
      </c>
      <c r="AJ953" s="52" t="n">
        <v>0</v>
      </c>
      <c r="AK953" s="52" t="n">
        <v>0</v>
      </c>
      <c r="AL953" s="52" t="n">
        <v>0</v>
      </c>
      <c r="AM953" s="53" t="n">
        <v>0</v>
      </c>
      <c r="AN953" s="53" t="n">
        <v>0</v>
      </c>
      <c r="AO953" s="53" t="n">
        <v>0</v>
      </c>
      <c r="AP953" s="53" t="n">
        <v>0</v>
      </c>
      <c r="AQ953" s="52" t="n">
        <v>0</v>
      </c>
      <c r="AR953" s="52" t="n">
        <v>0</v>
      </c>
      <c r="AS953" s="52" t="n">
        <v>0</v>
      </c>
      <c r="AT953" s="52" t="n">
        <v>0</v>
      </c>
      <c r="AU953" s="53" t="n">
        <v>0</v>
      </c>
      <c r="AV953" s="53" t="n">
        <v>0</v>
      </c>
      <c r="AW953" s="53" t="n">
        <v>0</v>
      </c>
      <c r="AX953" s="53" t="n">
        <v>0</v>
      </c>
      <c r="AY953" s="52" t="n">
        <v>0</v>
      </c>
      <c r="AZ953" s="52" t="n">
        <v>0</v>
      </c>
      <c r="BA953" s="52" t="n">
        <v>0</v>
      </c>
      <c r="BB953" s="52" t="n">
        <v>0</v>
      </c>
      <c r="BC953" s="51" t="n">
        <v>0</v>
      </c>
      <c r="BD953" s="51" t="n">
        <v>0</v>
      </c>
      <c r="BE953" s="51" t="n">
        <v>0</v>
      </c>
      <c r="BF953" s="51" t="n">
        <v>0</v>
      </c>
    </row>
    <row r="954">
      <c r="A954">
        <f>HYPERLINK("https://www.walmart.com/ip/938317779", "938317779")</f>
        <v/>
      </c>
      <c r="B954" t="inlineStr">
        <is>
          <t>Sherpa Fleece Throw Blanket for Kids,Super Soft Light Weight Reversible Fuzzy Snuggle Blanket for Camping Couch Bed All</t>
        </is>
      </c>
      <c r="C954" t="inlineStr">
        <is>
          <t>1CTBF579PP</t>
        </is>
      </c>
      <c r="D954" t="inlineStr">
        <is>
          <t>Throws</t>
        </is>
      </c>
      <c r="E954" t="inlineStr">
        <is>
          <t>Catalonia</t>
        </is>
      </c>
      <c r="F954" t="inlineStr">
        <is>
          <t>WFS,WFS Item</t>
        </is>
      </c>
      <c r="G954" s="48" t="n">
        <v>0</v>
      </c>
      <c r="H954" s="48" t="n">
        <v>0</v>
      </c>
      <c r="I954" s="48" t="n">
        <v>0</v>
      </c>
      <c r="J954" s="48" t="n">
        <v>0</v>
      </c>
      <c r="K954" s="49" t="n">
        <v>0</v>
      </c>
      <c r="L954" s="49" t="n">
        <v>0</v>
      </c>
      <c r="M954" s="49" t="n">
        <v>0</v>
      </c>
      <c r="N954" s="49" t="n">
        <v>0</v>
      </c>
      <c r="O954" s="49" t="n">
        <v>0</v>
      </c>
      <c r="P954" s="49" t="n">
        <v>0</v>
      </c>
      <c r="Q954" s="49" t="n">
        <v>0</v>
      </c>
      <c r="R954" s="49" t="n">
        <v>0</v>
      </c>
      <c r="S954" s="50" t="n">
        <v>0</v>
      </c>
      <c r="T954" s="50" t="n">
        <v>0</v>
      </c>
      <c r="U954" s="50" t="n">
        <v>0</v>
      </c>
      <c r="V954" s="50" t="n">
        <v>0</v>
      </c>
      <c r="W954" s="51" t="n">
        <v>0</v>
      </c>
      <c r="X954" s="51" t="n">
        <v>0</v>
      </c>
      <c r="Y954" s="51" t="n">
        <v>0</v>
      </c>
      <c r="Z954" s="51" t="n">
        <v>0</v>
      </c>
      <c r="AA954" s="52" t="n">
        <v>0</v>
      </c>
      <c r="AB954" s="52" t="n">
        <v>0</v>
      </c>
      <c r="AC954" s="52" t="n">
        <v>0</v>
      </c>
      <c r="AD954" s="52" t="n">
        <v>0</v>
      </c>
      <c r="AE954" s="52" t="n">
        <v>0</v>
      </c>
      <c r="AF954" s="52" t="n">
        <v>0</v>
      </c>
      <c r="AG954" s="52" t="n">
        <v>0</v>
      </c>
      <c r="AH954" s="52" t="n">
        <v>0</v>
      </c>
      <c r="AI954" s="52" t="n">
        <v>0</v>
      </c>
      <c r="AJ954" s="52" t="n">
        <v>0</v>
      </c>
      <c r="AK954" s="52" t="n">
        <v>0</v>
      </c>
      <c r="AL954" s="52" t="n">
        <v>0</v>
      </c>
      <c r="AM954" s="53" t="n">
        <v>0</v>
      </c>
      <c r="AN954" s="53" t="n">
        <v>0</v>
      </c>
      <c r="AO954" s="53" t="n">
        <v>0</v>
      </c>
      <c r="AP954" s="53" t="n">
        <v>0</v>
      </c>
      <c r="AQ954" s="52" t="n">
        <v>0</v>
      </c>
      <c r="AR954" s="52" t="n">
        <v>0</v>
      </c>
      <c r="AS954" s="52" t="n">
        <v>0</v>
      </c>
      <c r="AT954" s="52" t="n">
        <v>0</v>
      </c>
      <c r="AU954" s="53" t="n">
        <v>0</v>
      </c>
      <c r="AV954" s="53" t="n">
        <v>0</v>
      </c>
      <c r="AW954" s="53" t="n">
        <v>0</v>
      </c>
      <c r="AX954" s="53" t="n">
        <v>0</v>
      </c>
      <c r="AY954" s="52" t="n">
        <v>0</v>
      </c>
      <c r="AZ954" s="52" t="n">
        <v>0</v>
      </c>
      <c r="BA954" s="52" t="n">
        <v>0</v>
      </c>
      <c r="BB954" s="52" t="n">
        <v>0</v>
      </c>
      <c r="BC954" s="51" t="n">
        <v>0</v>
      </c>
      <c r="BD954" s="51" t="n">
        <v>0</v>
      </c>
      <c r="BE954" s="51" t="n">
        <v>0</v>
      </c>
      <c r="BF954" s="51" t="n">
        <v>0</v>
      </c>
    </row>
    <row r="955">
      <c r="A955">
        <f>HYPERLINK("https://www.walmart.com/ip/938876883", "938876883")</f>
        <v/>
      </c>
      <c r="B955" t="inlineStr">
        <is>
          <t>Pawsse Waterproof Dog Blanket, Super Soft Warm Sherpa Fleece Plush Pet Blankets and Throws for Small, Medium, and Large Dogs and Cats</t>
        </is>
      </c>
      <c r="C955" t="inlineStr">
        <is>
          <t>1PSBF301GN</t>
        </is>
      </c>
      <c r="D955" t="inlineStr">
        <is>
          <t>Pet Blankets</t>
        </is>
      </c>
      <c r="E955" t="inlineStr">
        <is>
          <t>Pawsse</t>
        </is>
      </c>
      <c r="F955" t="inlineStr">
        <is>
          <t>WFS,Coupon_Discount,WFS Item</t>
        </is>
      </c>
      <c r="G955" s="48" t="n">
        <v>0</v>
      </c>
      <c r="H955" s="48" t="n">
        <v>0</v>
      </c>
      <c r="I955" s="48" t="n">
        <v>0</v>
      </c>
      <c r="J955" s="48" t="n">
        <v>0</v>
      </c>
      <c r="K955" s="49" t="n">
        <v>0</v>
      </c>
      <c r="L955" s="49" t="n">
        <v>0</v>
      </c>
      <c r="M955" s="49" t="n">
        <v>0</v>
      </c>
      <c r="N955" s="49" t="n">
        <v>0</v>
      </c>
      <c r="O955" s="49" t="n">
        <v>0</v>
      </c>
      <c r="P955" s="49" t="n">
        <v>0</v>
      </c>
      <c r="Q955" s="49" t="n">
        <v>0</v>
      </c>
      <c r="R955" s="49" t="n">
        <v>0</v>
      </c>
      <c r="S955" s="50" t="n">
        <v>0</v>
      </c>
      <c r="T955" s="50" t="n">
        <v>0</v>
      </c>
      <c r="U955" s="50" t="n">
        <v>0</v>
      </c>
      <c r="V955" s="50" t="n">
        <v>0</v>
      </c>
      <c r="W955" s="51" t="n">
        <v>0</v>
      </c>
      <c r="X955" s="51" t="n">
        <v>0</v>
      </c>
      <c r="Y955" s="51" t="n">
        <v>0</v>
      </c>
      <c r="Z955" s="51" t="n">
        <v>0</v>
      </c>
      <c r="AA955" s="52" t="n">
        <v>0</v>
      </c>
      <c r="AB955" s="52" t="n">
        <v>0</v>
      </c>
      <c r="AC955" s="52" t="n">
        <v>0</v>
      </c>
      <c r="AD955" s="52" t="n">
        <v>0</v>
      </c>
      <c r="AE955" s="52" t="n">
        <v>0</v>
      </c>
      <c r="AF955" s="52" t="n">
        <v>0</v>
      </c>
      <c r="AG955" s="52" t="n">
        <v>0</v>
      </c>
      <c r="AH955" s="52" t="n">
        <v>0</v>
      </c>
      <c r="AI955" s="52" t="n">
        <v>0</v>
      </c>
      <c r="AJ955" s="52" t="n">
        <v>0</v>
      </c>
      <c r="AK955" s="52" t="n">
        <v>0</v>
      </c>
      <c r="AL955" s="52" t="n">
        <v>0</v>
      </c>
      <c r="AM955" s="53" t="n">
        <v>0</v>
      </c>
      <c r="AN955" s="53" t="n">
        <v>0</v>
      </c>
      <c r="AO955" s="53" t="n">
        <v>0</v>
      </c>
      <c r="AP955" s="53" t="n">
        <v>0</v>
      </c>
      <c r="AQ955" s="52" t="n">
        <v>0</v>
      </c>
      <c r="AR955" s="52" t="n">
        <v>0</v>
      </c>
      <c r="AS955" s="52" t="n">
        <v>0</v>
      </c>
      <c r="AT955" s="52" t="n">
        <v>0</v>
      </c>
      <c r="AU955" s="53" t="n">
        <v>0</v>
      </c>
      <c r="AV955" s="53" t="n">
        <v>0</v>
      </c>
      <c r="AW955" s="53" t="n">
        <v>0</v>
      </c>
      <c r="AX955" s="53" t="n">
        <v>0</v>
      </c>
      <c r="AY955" s="52" t="n">
        <v>0</v>
      </c>
      <c r="AZ955" s="52" t="n">
        <v>0</v>
      </c>
      <c r="BA955" s="52" t="n">
        <v>0</v>
      </c>
      <c r="BB955" s="52" t="n">
        <v>0</v>
      </c>
      <c r="BC955" s="51" t="n">
        <v>0</v>
      </c>
      <c r="BD955" s="51" t="n">
        <v>0</v>
      </c>
      <c r="BE955" s="51" t="n">
        <v>0</v>
      </c>
      <c r="BF955" s="51" t="n">
        <v>0</v>
      </c>
    </row>
    <row r="956">
      <c r="A956">
        <f>HYPERLINK("https://www.walmart.com/ip/939062191", "939062191")</f>
        <v/>
      </c>
      <c r="B956" t="inlineStr">
        <is>
          <t>Napa Plush  Super Soft Warm Throw Blanket Bed Couch Blanket More Useful</t>
        </is>
      </c>
      <c r="C956" t="inlineStr">
        <is>
          <t>K8030QF-LBL</t>
        </is>
      </c>
      <c r="D956" t="inlineStr">
        <is>
          <t>Throws</t>
        </is>
      </c>
      <c r="E956" t="inlineStr">
        <is>
          <t>NAPA</t>
        </is>
      </c>
      <c r="G956" s="48" t="n">
        <v>0</v>
      </c>
      <c r="H956" s="48" t="n">
        <v>0</v>
      </c>
      <c r="I956" s="48" t="n">
        <v>0</v>
      </c>
      <c r="J956" s="48" t="n">
        <v>0</v>
      </c>
      <c r="K956" s="49" t="n">
        <v>0</v>
      </c>
      <c r="L956" s="49" t="n">
        <v>0</v>
      </c>
      <c r="M956" s="49" t="n">
        <v>0</v>
      </c>
      <c r="N956" s="49" t="n">
        <v>0</v>
      </c>
      <c r="O956" s="49" t="n">
        <v>0</v>
      </c>
      <c r="P956" s="49" t="n">
        <v>0</v>
      </c>
      <c r="Q956" s="49" t="n">
        <v>0</v>
      </c>
      <c r="R956" s="49" t="n">
        <v>0</v>
      </c>
      <c r="S956" s="50" t="n">
        <v>0</v>
      </c>
      <c r="T956" s="50" t="n">
        <v>0</v>
      </c>
      <c r="U956" s="50" t="n">
        <v>0</v>
      </c>
      <c r="V956" s="50" t="n">
        <v>0</v>
      </c>
      <c r="W956" s="51" t="n">
        <v>0</v>
      </c>
      <c r="X956" s="51" t="n">
        <v>0</v>
      </c>
      <c r="Y956" s="51" t="n">
        <v>0</v>
      </c>
      <c r="Z956" s="51" t="n">
        <v>0</v>
      </c>
      <c r="AA956" s="52" t="n">
        <v>0</v>
      </c>
      <c r="AB956" s="52" t="n">
        <v>0</v>
      </c>
      <c r="AC956" s="52" t="n">
        <v>0</v>
      </c>
      <c r="AD956" s="52" t="n">
        <v>0</v>
      </c>
      <c r="AE956" s="52" t="n">
        <v>0</v>
      </c>
      <c r="AF956" s="52" t="n">
        <v>0</v>
      </c>
      <c r="AG956" s="52" t="n">
        <v>0</v>
      </c>
      <c r="AH956" s="52" t="n">
        <v>0</v>
      </c>
      <c r="AI956" s="52" t="n">
        <v>0</v>
      </c>
      <c r="AJ956" s="52" t="n">
        <v>0</v>
      </c>
      <c r="AK956" s="52" t="n">
        <v>0</v>
      </c>
      <c r="AL956" s="52" t="n">
        <v>0</v>
      </c>
      <c r="AM956" s="53" t="n">
        <v>0</v>
      </c>
      <c r="AN956" s="53" t="n">
        <v>0</v>
      </c>
      <c r="AO956" s="53" t="n">
        <v>0</v>
      </c>
      <c r="AP956" s="53" t="n">
        <v>0</v>
      </c>
      <c r="AQ956" s="52" t="n">
        <v>0</v>
      </c>
      <c r="AR956" s="52" t="n">
        <v>0</v>
      </c>
      <c r="AS956" s="52" t="n">
        <v>0</v>
      </c>
      <c r="AT956" s="52" t="n">
        <v>0</v>
      </c>
      <c r="AU956" s="53" t="n">
        <v>0</v>
      </c>
      <c r="AV956" s="53" t="n">
        <v>0</v>
      </c>
      <c r="AW956" s="53" t="n">
        <v>0</v>
      </c>
      <c r="AX956" s="53" t="n">
        <v>0</v>
      </c>
      <c r="AY956" s="52" t="n">
        <v>0</v>
      </c>
      <c r="AZ956" s="52" t="n">
        <v>0</v>
      </c>
      <c r="BA956" s="52" t="n">
        <v>0</v>
      </c>
      <c r="BB956" s="52" t="n">
        <v>0</v>
      </c>
      <c r="BC956" s="51" t="n">
        <v>0</v>
      </c>
      <c r="BD956" s="51" t="n">
        <v>0</v>
      </c>
      <c r="BE956" s="51" t="n">
        <v>0</v>
      </c>
      <c r="BF956" s="51" t="n">
        <v>0</v>
      </c>
    </row>
    <row r="957">
      <c r="A957">
        <f>HYPERLINK("https://www.walmart.com/ip/939851965", "939851965")</f>
        <v/>
      </c>
      <c r="B957" t="inlineStr">
        <is>
          <t>Microplush Sherpa Blanket with Sleeves for Women and Men Camel</t>
        </is>
      </c>
      <c r="C957" t="inlineStr">
        <is>
          <t>1TNSN110CA-TPB</t>
        </is>
      </c>
      <c r="D957" t="inlineStr">
        <is>
          <t>Throws</t>
        </is>
      </c>
      <c r="E957" t="inlineStr">
        <is>
          <t>Terrania</t>
        </is>
      </c>
      <c r="G957" s="48" t="n">
        <v>0</v>
      </c>
      <c r="H957" s="48" t="n">
        <v>0</v>
      </c>
      <c r="I957" s="48" t="n">
        <v>0</v>
      </c>
      <c r="J957" s="48" t="n">
        <v>0</v>
      </c>
      <c r="K957" s="49" t="n">
        <v>0</v>
      </c>
      <c r="L957" s="49" t="n">
        <v>0</v>
      </c>
      <c r="M957" s="49" t="n">
        <v>0</v>
      </c>
      <c r="N957" s="49" t="n">
        <v>0</v>
      </c>
      <c r="O957" s="49" t="n">
        <v>0</v>
      </c>
      <c r="P957" s="49" t="n">
        <v>0</v>
      </c>
      <c r="Q957" s="49" t="n">
        <v>0</v>
      </c>
      <c r="R957" s="49" t="n">
        <v>0</v>
      </c>
      <c r="S957" s="50" t="n">
        <v>0</v>
      </c>
      <c r="T957" s="50" t="n">
        <v>0</v>
      </c>
      <c r="U957" s="50" t="n">
        <v>0</v>
      </c>
      <c r="V957" s="50" t="n">
        <v>0</v>
      </c>
      <c r="W957" s="51" t="n">
        <v>0</v>
      </c>
      <c r="X957" s="51" t="n">
        <v>0</v>
      </c>
      <c r="Y957" s="51" t="n">
        <v>0</v>
      </c>
      <c r="Z957" s="51" t="n">
        <v>0</v>
      </c>
      <c r="AA957" s="52" t="n">
        <v>0</v>
      </c>
      <c r="AB957" s="52" t="n">
        <v>0</v>
      </c>
      <c r="AC957" s="52" t="n">
        <v>0</v>
      </c>
      <c r="AD957" s="52" t="n">
        <v>0</v>
      </c>
      <c r="AE957" s="52" t="n">
        <v>0</v>
      </c>
      <c r="AF957" s="52" t="n">
        <v>0</v>
      </c>
      <c r="AG957" s="52" t="n">
        <v>0</v>
      </c>
      <c r="AH957" s="52" t="n">
        <v>0</v>
      </c>
      <c r="AI957" s="52" t="n">
        <v>0</v>
      </c>
      <c r="AJ957" s="52" t="n">
        <v>0</v>
      </c>
      <c r="AK957" s="52" t="n">
        <v>0</v>
      </c>
      <c r="AL957" s="52" t="n">
        <v>0</v>
      </c>
      <c r="AM957" s="53" t="n">
        <v>0</v>
      </c>
      <c r="AN957" s="53" t="n">
        <v>0</v>
      </c>
      <c r="AO957" s="53" t="n">
        <v>0</v>
      </c>
      <c r="AP957" s="53" t="n">
        <v>0</v>
      </c>
      <c r="AQ957" s="52" t="n">
        <v>0</v>
      </c>
      <c r="AR957" s="52" t="n">
        <v>0</v>
      </c>
      <c r="AS957" s="52" t="n">
        <v>0</v>
      </c>
      <c r="AT957" s="52" t="n">
        <v>0</v>
      </c>
      <c r="AU957" s="53" t="n">
        <v>0</v>
      </c>
      <c r="AV957" s="53" t="n">
        <v>0</v>
      </c>
      <c r="AW957" s="53" t="n">
        <v>0</v>
      </c>
      <c r="AX957" s="53" t="n">
        <v>0</v>
      </c>
      <c r="AY957" s="52" t="n">
        <v>0</v>
      </c>
      <c r="AZ957" s="52" t="n">
        <v>0</v>
      </c>
      <c r="BA957" s="52" t="n">
        <v>0</v>
      </c>
      <c r="BB957" s="52" t="n">
        <v>0</v>
      </c>
      <c r="BC957" s="51" t="n">
        <v>0</v>
      </c>
      <c r="BD957" s="51" t="n">
        <v>0</v>
      </c>
      <c r="BE957" s="51" t="n">
        <v>0</v>
      </c>
      <c r="BF957" s="51" t="n">
        <v>0</v>
      </c>
    </row>
    <row r="958">
      <c r="A958">
        <f>HYPERLINK("https://www.walmart.com/ip/941284014", "941284014")</f>
        <v/>
      </c>
      <c r="B958" t="inlineStr">
        <is>
          <t>Oversized Hoodie Blanket Sweatshirt,Super Soft Warm Comfortable Fleece Giant Pullover with Large Front Pocket,for Adults Men Women Teenagers Kids Wife Girlfriend</t>
        </is>
      </c>
      <c r="C958" t="inlineStr">
        <is>
          <t>1CTHD300IVR-UPC</t>
        </is>
      </c>
      <c r="D958" t="inlineStr">
        <is>
          <t>Sweatshirts &amp; Hoodies</t>
        </is>
      </c>
      <c r="E958" t="inlineStr">
        <is>
          <t>Catalonia</t>
        </is>
      </c>
      <c r="F958" t="inlineStr">
        <is>
          <t>Hoodie ForAdult,Optimized</t>
        </is>
      </c>
      <c r="G958" s="48" t="n">
        <v>0</v>
      </c>
      <c r="H958" s="48" t="n">
        <v>0</v>
      </c>
      <c r="I958" s="48" t="n">
        <v>0</v>
      </c>
      <c r="J958" s="48" t="n">
        <v>0</v>
      </c>
      <c r="K958" s="49" t="n">
        <v>0</v>
      </c>
      <c r="L958" s="49" t="n">
        <v>0</v>
      </c>
      <c r="M958" s="49" t="n">
        <v>0</v>
      </c>
      <c r="N958" s="49" t="n">
        <v>0</v>
      </c>
      <c r="O958" s="49" t="n">
        <v>0</v>
      </c>
      <c r="P958" s="49" t="n">
        <v>0</v>
      </c>
      <c r="Q958" s="49" t="n">
        <v>0</v>
      </c>
      <c r="R958" s="49" t="n">
        <v>0</v>
      </c>
      <c r="S958" s="50" t="n">
        <v>0</v>
      </c>
      <c r="T958" s="50" t="n">
        <v>0</v>
      </c>
      <c r="U958" s="50" t="n">
        <v>0</v>
      </c>
      <c r="V958" s="50" t="n">
        <v>0</v>
      </c>
      <c r="W958" s="51" t="n">
        <v>0</v>
      </c>
      <c r="X958" s="51" t="n">
        <v>0</v>
      </c>
      <c r="Y958" s="51" t="n">
        <v>0</v>
      </c>
      <c r="Z958" s="51" t="n">
        <v>0</v>
      </c>
      <c r="AA958" s="52" t="n">
        <v>0</v>
      </c>
      <c r="AB958" s="52" t="n">
        <v>0</v>
      </c>
      <c r="AC958" s="52" t="n">
        <v>0</v>
      </c>
      <c r="AD958" s="52" t="n">
        <v>0</v>
      </c>
      <c r="AE958" s="52" t="n">
        <v>0</v>
      </c>
      <c r="AF958" s="52" t="n">
        <v>0</v>
      </c>
      <c r="AG958" s="52" t="n">
        <v>0</v>
      </c>
      <c r="AH958" s="52" t="n">
        <v>0</v>
      </c>
      <c r="AI958" s="52" t="n">
        <v>0</v>
      </c>
      <c r="AJ958" s="52" t="n">
        <v>0</v>
      </c>
      <c r="AK958" s="52" t="n">
        <v>0</v>
      </c>
      <c r="AL958" s="52" t="n">
        <v>0</v>
      </c>
      <c r="AM958" s="53" t="n">
        <v>0</v>
      </c>
      <c r="AN958" s="53" t="n">
        <v>0</v>
      </c>
      <c r="AO958" s="53" t="n">
        <v>0</v>
      </c>
      <c r="AP958" s="53" t="n">
        <v>0</v>
      </c>
      <c r="AQ958" s="52" t="n">
        <v>0</v>
      </c>
      <c r="AR958" s="52" t="n">
        <v>0</v>
      </c>
      <c r="AS958" s="52" t="n">
        <v>0</v>
      </c>
      <c r="AT958" s="52" t="n">
        <v>0</v>
      </c>
      <c r="AU958" s="53" t="n">
        <v>0</v>
      </c>
      <c r="AV958" s="53" t="n">
        <v>0</v>
      </c>
      <c r="AW958" s="53" t="n">
        <v>0</v>
      </c>
      <c r="AX958" s="53" t="n">
        <v>0</v>
      </c>
      <c r="AY958" s="52" t="n">
        <v>0</v>
      </c>
      <c r="AZ958" s="52" t="n">
        <v>0</v>
      </c>
      <c r="BA958" s="52" t="n">
        <v>0</v>
      </c>
      <c r="BB958" s="52" t="n">
        <v>0</v>
      </c>
      <c r="BC958" s="51" t="n">
        <v>0</v>
      </c>
      <c r="BD958" s="51" t="n">
        <v>0</v>
      </c>
      <c r="BE958" s="51" t="n">
        <v>0</v>
      </c>
      <c r="BF958" s="51" t="n">
        <v>0</v>
      </c>
    </row>
    <row r="959">
      <c r="A959">
        <f>HYPERLINK("https://www.walmart.com/ip/941474783", "941474783")</f>
        <v/>
      </c>
      <c r="B959" t="inlineStr">
        <is>
          <t>Tirrinia Wine Cooler bag - 3 Bottle Travel Insulated Padded Wine Carrier Tote Bag with Handle and Adjustable Shoulder Strap</t>
        </is>
      </c>
      <c r="C959" t="inlineStr">
        <is>
          <t>1WMWB310WTFL</t>
        </is>
      </c>
      <c r="D959" t="inlineStr">
        <is>
          <t>Wine Totes, Bags &amp; Backpacks</t>
        </is>
      </c>
      <c r="E959" t="inlineStr">
        <is>
          <t>Flyingstar</t>
        </is>
      </c>
      <c r="F959" t="inlineStr">
        <is>
          <t>Wine,Christmas,Valentine</t>
        </is>
      </c>
      <c r="G959" s="48" t="n">
        <v>0</v>
      </c>
      <c r="H959" s="48" t="n">
        <v>0</v>
      </c>
      <c r="I959" s="48" t="n">
        <v>0</v>
      </c>
      <c r="J959" s="48" t="n">
        <v>0</v>
      </c>
      <c r="K959" s="49" t="n">
        <v>0</v>
      </c>
      <c r="L959" s="49" t="n">
        <v>0</v>
      </c>
      <c r="M959" s="49" t="n">
        <v>0</v>
      </c>
      <c r="N959" s="49" t="n">
        <v>0</v>
      </c>
      <c r="O959" s="49" t="n">
        <v>0</v>
      </c>
      <c r="P959" s="49" t="n">
        <v>0</v>
      </c>
      <c r="Q959" s="49" t="n">
        <v>0</v>
      </c>
      <c r="R959" s="49" t="n">
        <v>0</v>
      </c>
      <c r="S959" s="50" t="n">
        <v>0</v>
      </c>
      <c r="T959" s="50" t="n">
        <v>0</v>
      </c>
      <c r="U959" s="50" t="n">
        <v>0</v>
      </c>
      <c r="V959" s="50" t="n">
        <v>0</v>
      </c>
      <c r="W959" s="51" t="n">
        <v>0</v>
      </c>
      <c r="X959" s="51" t="n">
        <v>0</v>
      </c>
      <c r="Y959" s="51" t="n">
        <v>0</v>
      </c>
      <c r="Z959" s="51" t="n">
        <v>0</v>
      </c>
      <c r="AA959" s="52" t="n">
        <v>0</v>
      </c>
      <c r="AB959" s="52" t="n">
        <v>0</v>
      </c>
      <c r="AC959" s="52" t="n">
        <v>0</v>
      </c>
      <c r="AD959" s="52" t="n">
        <v>0</v>
      </c>
      <c r="AE959" s="52" t="n">
        <v>0</v>
      </c>
      <c r="AF959" s="52" t="n">
        <v>0</v>
      </c>
      <c r="AG959" s="52" t="n">
        <v>0</v>
      </c>
      <c r="AH959" s="52" t="n">
        <v>0</v>
      </c>
      <c r="AI959" s="52" t="n">
        <v>0</v>
      </c>
      <c r="AJ959" s="52" t="n">
        <v>0</v>
      </c>
      <c r="AK959" s="52" t="n">
        <v>0</v>
      </c>
      <c r="AL959" s="52" t="n">
        <v>0</v>
      </c>
      <c r="AM959" s="53" t="n">
        <v>0</v>
      </c>
      <c r="AN959" s="53" t="n">
        <v>0</v>
      </c>
      <c r="AO959" s="53" t="n">
        <v>0</v>
      </c>
      <c r="AP959" s="53" t="n">
        <v>0</v>
      </c>
      <c r="AQ959" s="52" t="n">
        <v>0</v>
      </c>
      <c r="AR959" s="52" t="n">
        <v>0</v>
      </c>
      <c r="AS959" s="52" t="n">
        <v>0</v>
      </c>
      <c r="AT959" s="52" t="n">
        <v>0</v>
      </c>
      <c r="AU959" s="53" t="n">
        <v>0</v>
      </c>
      <c r="AV959" s="53" t="n">
        <v>0</v>
      </c>
      <c r="AW959" s="53" t="n">
        <v>0</v>
      </c>
      <c r="AX959" s="53" t="n">
        <v>0</v>
      </c>
      <c r="AY959" s="52" t="n">
        <v>0</v>
      </c>
      <c r="AZ959" s="52" t="n">
        <v>0</v>
      </c>
      <c r="BA959" s="52" t="n">
        <v>0</v>
      </c>
      <c r="BB959" s="52" t="n">
        <v>0</v>
      </c>
      <c r="BC959" s="51" t="n">
        <v>0</v>
      </c>
      <c r="BD959" s="51" t="n">
        <v>0</v>
      </c>
      <c r="BE959" s="51" t="n">
        <v>0</v>
      </c>
      <c r="BF959" s="51" t="n">
        <v>0</v>
      </c>
    </row>
    <row r="960">
      <c r="A960">
        <f>HYPERLINK("https://www.walmart.com/ip/941908441", "941908441")</f>
        <v/>
      </c>
      <c r="B960" t="inlineStr">
        <is>
          <t>Tirrinia Super Soft Micro Fleece Plush Reversible Sherpa Blanket, 50" x 60", Snow Light Gray</t>
        </is>
      </c>
      <c r="C960" t="inlineStr">
        <is>
          <t>1TRBF321LG-TBGM</t>
        </is>
      </c>
      <c r="D960" t="inlineStr">
        <is>
          <t>Throws</t>
        </is>
      </c>
      <c r="E960" t="inlineStr">
        <is>
          <t>Tirrinia</t>
        </is>
      </c>
      <c r="F960" t="inlineStr">
        <is>
          <t>Optimized</t>
        </is>
      </c>
      <c r="G960" s="48" t="n">
        <v>0</v>
      </c>
      <c r="H960" s="48" t="n">
        <v>0</v>
      </c>
      <c r="I960" s="48" t="n">
        <v>0</v>
      </c>
      <c r="J960" s="48" t="n">
        <v>0</v>
      </c>
      <c r="K960" s="49" t="n">
        <v>0</v>
      </c>
      <c r="L960" s="49" t="n">
        <v>0</v>
      </c>
      <c r="M960" s="49" t="n">
        <v>0</v>
      </c>
      <c r="N960" s="49" t="n">
        <v>0</v>
      </c>
      <c r="O960" s="49" t="n">
        <v>0</v>
      </c>
      <c r="P960" s="49" t="n">
        <v>0</v>
      </c>
      <c r="Q960" s="49" t="n">
        <v>0</v>
      </c>
      <c r="R960" s="49" t="n">
        <v>0</v>
      </c>
      <c r="S960" s="50" t="n">
        <v>0</v>
      </c>
      <c r="T960" s="50" t="n">
        <v>0</v>
      </c>
      <c r="U960" s="50" t="n">
        <v>0</v>
      </c>
      <c r="V960" s="50" t="n">
        <v>0</v>
      </c>
      <c r="W960" s="51" t="n">
        <v>0</v>
      </c>
      <c r="X960" s="51" t="n">
        <v>0</v>
      </c>
      <c r="Y960" s="51" t="n">
        <v>0</v>
      </c>
      <c r="Z960" s="51" t="n">
        <v>0</v>
      </c>
      <c r="AA960" s="52" t="n">
        <v>0</v>
      </c>
      <c r="AB960" s="52" t="n">
        <v>0</v>
      </c>
      <c r="AC960" s="52" t="n">
        <v>0</v>
      </c>
      <c r="AD960" s="52" t="n">
        <v>0</v>
      </c>
      <c r="AE960" s="52" t="n">
        <v>0</v>
      </c>
      <c r="AF960" s="52" t="n">
        <v>0</v>
      </c>
      <c r="AG960" s="52" t="n">
        <v>0</v>
      </c>
      <c r="AH960" s="52" t="n">
        <v>0</v>
      </c>
      <c r="AI960" s="52" t="n">
        <v>0</v>
      </c>
      <c r="AJ960" s="52" t="n">
        <v>0</v>
      </c>
      <c r="AK960" s="52" t="n">
        <v>0</v>
      </c>
      <c r="AL960" s="52" t="n">
        <v>0</v>
      </c>
      <c r="AM960" s="53" t="n">
        <v>0</v>
      </c>
      <c r="AN960" s="53" t="n">
        <v>0</v>
      </c>
      <c r="AO960" s="53" t="n">
        <v>0</v>
      </c>
      <c r="AP960" s="53" t="n">
        <v>0</v>
      </c>
      <c r="AQ960" s="52" t="n">
        <v>0</v>
      </c>
      <c r="AR960" s="52" t="n">
        <v>0</v>
      </c>
      <c r="AS960" s="52" t="n">
        <v>0</v>
      </c>
      <c r="AT960" s="52" t="n">
        <v>0</v>
      </c>
      <c r="AU960" s="53" t="n">
        <v>0</v>
      </c>
      <c r="AV960" s="53" t="n">
        <v>0</v>
      </c>
      <c r="AW960" s="53" t="n">
        <v>0</v>
      </c>
      <c r="AX960" s="53" t="n">
        <v>0</v>
      </c>
      <c r="AY960" s="52" t="n">
        <v>0</v>
      </c>
      <c r="AZ960" s="52" t="n">
        <v>0</v>
      </c>
      <c r="BA960" s="52" t="n">
        <v>0</v>
      </c>
      <c r="BB960" s="52" t="n">
        <v>0</v>
      </c>
      <c r="BC960" s="51" t="n">
        <v>0</v>
      </c>
      <c r="BD960" s="51" t="n">
        <v>0</v>
      </c>
      <c r="BE960" s="51" t="n">
        <v>0</v>
      </c>
      <c r="BF960" s="51" t="n">
        <v>0</v>
      </c>
    </row>
    <row r="961">
      <c r="A961">
        <f>HYPERLINK("https://www.walmart.com/ip/943090625", "943090625")</f>
        <v/>
      </c>
      <c r="B961" t="inlineStr">
        <is>
          <t>Catalonia Sherpa Throw Blanket Velvet Plush Fleece Melange Blue  50”x60” For Adults Child, Super Soft Fluffy Fuzzy Comfy TV and Throws for Sofa Couch Bed by Catalonia</t>
        </is>
      </c>
      <c r="C961" t="inlineStr">
        <is>
          <t>1CTBF321BL</t>
        </is>
      </c>
      <c r="D961" t="inlineStr">
        <is>
          <t>Throws</t>
        </is>
      </c>
      <c r="E961" t="inlineStr">
        <is>
          <t>Catalonia</t>
        </is>
      </c>
      <c r="F961" t="inlineStr">
        <is>
          <t>Q2-Target,Optimized,WFS,Coupon_Discount,SeePriceInCart,WFS Item</t>
        </is>
      </c>
      <c r="G961" s="48" t="n">
        <v>0</v>
      </c>
      <c r="H961" s="48" t="n">
        <v>0</v>
      </c>
      <c r="I961" s="48" t="n">
        <v>0</v>
      </c>
      <c r="J961" s="48" t="n">
        <v>0</v>
      </c>
      <c r="K961" s="49" t="n">
        <v>0</v>
      </c>
      <c r="L961" s="49" t="n">
        <v>0</v>
      </c>
      <c r="M961" s="49" t="n">
        <v>0</v>
      </c>
      <c r="N961" s="49" t="n">
        <v>0</v>
      </c>
      <c r="O961" s="49" t="n">
        <v>0</v>
      </c>
      <c r="P961" s="49" t="n">
        <v>0</v>
      </c>
      <c r="Q961" s="49" t="n">
        <v>0</v>
      </c>
      <c r="R961" s="49" t="n">
        <v>0</v>
      </c>
      <c r="S961" s="50" t="n">
        <v>0</v>
      </c>
      <c r="T961" s="50" t="n">
        <v>0</v>
      </c>
      <c r="U961" s="50" t="n">
        <v>0</v>
      </c>
      <c r="V961" s="50" t="n">
        <v>0</v>
      </c>
      <c r="W961" s="51" t="n">
        <v>0</v>
      </c>
      <c r="X961" s="51" t="n">
        <v>0</v>
      </c>
      <c r="Y961" s="51" t="n">
        <v>0</v>
      </c>
      <c r="Z961" s="51" t="n">
        <v>0</v>
      </c>
      <c r="AA961" s="52" t="n">
        <v>0</v>
      </c>
      <c r="AB961" s="52" t="n">
        <v>0</v>
      </c>
      <c r="AC961" s="52" t="n">
        <v>0</v>
      </c>
      <c r="AD961" s="52" t="n">
        <v>0</v>
      </c>
      <c r="AE961" s="52" t="n">
        <v>0</v>
      </c>
      <c r="AF961" s="52" t="n">
        <v>0</v>
      </c>
      <c r="AG961" s="52" t="n">
        <v>0</v>
      </c>
      <c r="AH961" s="52" t="n">
        <v>0</v>
      </c>
      <c r="AI961" s="52" t="n">
        <v>0</v>
      </c>
      <c r="AJ961" s="52" t="n">
        <v>0</v>
      </c>
      <c r="AK961" s="52" t="n">
        <v>0</v>
      </c>
      <c r="AL961" s="52" t="n">
        <v>0</v>
      </c>
      <c r="AM961" s="53" t="n">
        <v>0</v>
      </c>
      <c r="AN961" s="53" t="n">
        <v>0</v>
      </c>
      <c r="AO961" s="53" t="n">
        <v>0</v>
      </c>
      <c r="AP961" s="53" t="n">
        <v>0</v>
      </c>
      <c r="AQ961" s="52" t="n">
        <v>0</v>
      </c>
      <c r="AR961" s="52" t="n">
        <v>0</v>
      </c>
      <c r="AS961" s="52" t="n">
        <v>0</v>
      </c>
      <c r="AT961" s="52" t="n">
        <v>0</v>
      </c>
      <c r="AU961" s="53" t="n">
        <v>0</v>
      </c>
      <c r="AV961" s="53" t="n">
        <v>0</v>
      </c>
      <c r="AW961" s="53" t="n">
        <v>0</v>
      </c>
      <c r="AX961" s="53" t="n">
        <v>0</v>
      </c>
      <c r="AY961" s="52" t="n">
        <v>0</v>
      </c>
      <c r="AZ961" s="52" t="n">
        <v>0</v>
      </c>
      <c r="BA961" s="52" t="n">
        <v>0</v>
      </c>
      <c r="BB961" s="52" t="n">
        <v>0</v>
      </c>
      <c r="BC961" s="51" t="n">
        <v>0</v>
      </c>
      <c r="BD961" s="51" t="n">
        <v>0</v>
      </c>
      <c r="BE961" s="51" t="n">
        <v>0</v>
      </c>
      <c r="BF961" s="51" t="n">
        <v>0</v>
      </c>
    </row>
    <row r="962">
      <c r="A962">
        <f>HYPERLINK("https://www.walmart.com/ip/943235643", "943235643")</f>
        <v/>
      </c>
      <c r="B962" t="inlineStr">
        <is>
          <t>Insulated Expandable Lunch Bags Tote Thermal Cooler Leak Proof Travel Container Food Case for Adults Adjustable Shoulder</t>
        </is>
      </c>
      <c r="C962" t="inlineStr">
        <is>
          <t>1KTLB110GY</t>
        </is>
      </c>
      <c r="D962" t="inlineStr">
        <is>
          <t>Reusable Lunch Bags &amp; Boxes</t>
        </is>
      </c>
      <c r="E962" t="inlineStr">
        <is>
          <t>Kato</t>
        </is>
      </c>
      <c r="F962" t="inlineStr">
        <is>
          <t>Lunch Bag,Optimized,Lunch Bags,SEM</t>
        </is>
      </c>
      <c r="G962" s="48" t="n">
        <v>0</v>
      </c>
      <c r="H962" s="48" t="n">
        <v>0</v>
      </c>
      <c r="I962" s="48" t="n">
        <v>0</v>
      </c>
      <c r="J962" s="48" t="n">
        <v>0</v>
      </c>
      <c r="K962" s="49" t="n">
        <v>0</v>
      </c>
      <c r="L962" s="49" t="n">
        <v>0</v>
      </c>
      <c r="M962" s="49" t="n">
        <v>0</v>
      </c>
      <c r="N962" s="49" t="n">
        <v>0</v>
      </c>
      <c r="O962" s="49" t="n">
        <v>0</v>
      </c>
      <c r="P962" s="49" t="n">
        <v>0</v>
      </c>
      <c r="Q962" s="49" t="n">
        <v>0</v>
      </c>
      <c r="R962" s="49" t="n">
        <v>0</v>
      </c>
      <c r="S962" s="50" t="n">
        <v>0</v>
      </c>
      <c r="T962" s="50" t="n">
        <v>0</v>
      </c>
      <c r="U962" s="50" t="n">
        <v>0</v>
      </c>
      <c r="V962" s="50" t="n">
        <v>0</v>
      </c>
      <c r="W962" s="51" t="n">
        <v>0</v>
      </c>
      <c r="X962" s="51" t="n">
        <v>0</v>
      </c>
      <c r="Y962" s="51" t="n">
        <v>0</v>
      </c>
      <c r="Z962" s="51" t="n">
        <v>0</v>
      </c>
      <c r="AA962" s="52" t="n">
        <v>0</v>
      </c>
      <c r="AB962" s="52" t="n">
        <v>0</v>
      </c>
      <c r="AC962" s="52" t="n">
        <v>0</v>
      </c>
      <c r="AD962" s="52" t="n">
        <v>0</v>
      </c>
      <c r="AE962" s="52" t="n">
        <v>0</v>
      </c>
      <c r="AF962" s="52" t="n">
        <v>0</v>
      </c>
      <c r="AG962" s="52" t="n">
        <v>0</v>
      </c>
      <c r="AH962" s="52" t="n">
        <v>0</v>
      </c>
      <c r="AI962" s="52" t="n">
        <v>0</v>
      </c>
      <c r="AJ962" s="52" t="n">
        <v>0</v>
      </c>
      <c r="AK962" s="52" t="n">
        <v>0</v>
      </c>
      <c r="AL962" s="52" t="n">
        <v>0</v>
      </c>
      <c r="AM962" s="53" t="n">
        <v>0</v>
      </c>
      <c r="AN962" s="53" t="n">
        <v>0</v>
      </c>
      <c r="AO962" s="53" t="n">
        <v>0</v>
      </c>
      <c r="AP962" s="53" t="n">
        <v>0</v>
      </c>
      <c r="AQ962" s="52" t="n">
        <v>0</v>
      </c>
      <c r="AR962" s="52" t="n">
        <v>0</v>
      </c>
      <c r="AS962" s="52" t="n">
        <v>0</v>
      </c>
      <c r="AT962" s="52" t="n">
        <v>0</v>
      </c>
      <c r="AU962" s="53" t="n">
        <v>0</v>
      </c>
      <c r="AV962" s="53" t="n">
        <v>0</v>
      </c>
      <c r="AW962" s="53" t="n">
        <v>0</v>
      </c>
      <c r="AX962" s="53" t="n">
        <v>0</v>
      </c>
      <c r="AY962" s="52" t="n">
        <v>0</v>
      </c>
      <c r="AZ962" s="52" t="n">
        <v>0</v>
      </c>
      <c r="BA962" s="52" t="n">
        <v>0</v>
      </c>
      <c r="BB962" s="52" t="n">
        <v>0</v>
      </c>
      <c r="BC962" s="51" t="n">
        <v>0</v>
      </c>
      <c r="BD962" s="51" t="n">
        <v>0</v>
      </c>
      <c r="BE962" s="51" t="n">
        <v>0</v>
      </c>
      <c r="BF962" s="51" t="n">
        <v>0</v>
      </c>
    </row>
    <row r="963">
      <c r="A963">
        <f>HYPERLINK("https://www.walmart.com/ip/943267429", "943267429")</f>
        <v/>
      </c>
      <c r="B963" t="inlineStr">
        <is>
          <t>Women's High Waist Yoga Pants Workout Running Capri Legging Inner Pocket</t>
        </is>
      </c>
      <c r="C963" t="inlineStr">
        <is>
          <t>1TRYP102BK-SM</t>
        </is>
      </c>
      <c r="D963" t="inlineStr">
        <is>
          <t>Leggings</t>
        </is>
      </c>
      <c r="E963" t="inlineStr">
        <is>
          <t>Tirrinia</t>
        </is>
      </c>
      <c r="F963" t="inlineStr">
        <is>
          <t>Optimized</t>
        </is>
      </c>
      <c r="G963" s="48" t="n">
        <v>0</v>
      </c>
      <c r="H963" s="48" t="n">
        <v>0</v>
      </c>
      <c r="I963" s="48" t="n">
        <v>0</v>
      </c>
      <c r="J963" s="48" t="n">
        <v>0</v>
      </c>
      <c r="K963" s="49" t="n">
        <v>0</v>
      </c>
      <c r="L963" s="49" t="n">
        <v>0</v>
      </c>
      <c r="M963" s="49" t="n">
        <v>0</v>
      </c>
      <c r="N963" s="49" t="n">
        <v>0</v>
      </c>
      <c r="O963" s="49" t="n">
        <v>0</v>
      </c>
      <c r="P963" s="49" t="n">
        <v>0</v>
      </c>
      <c r="Q963" s="49" t="n">
        <v>0</v>
      </c>
      <c r="R963" s="49" t="n">
        <v>0</v>
      </c>
      <c r="S963" s="50" t="n">
        <v>0</v>
      </c>
      <c r="T963" s="50" t="n">
        <v>0</v>
      </c>
      <c r="U963" s="50" t="n">
        <v>0</v>
      </c>
      <c r="V963" s="50" t="n">
        <v>0</v>
      </c>
      <c r="W963" s="51" t="n">
        <v>0</v>
      </c>
      <c r="X963" s="51" t="n">
        <v>0</v>
      </c>
      <c r="Y963" s="51" t="n">
        <v>0</v>
      </c>
      <c r="Z963" s="51" t="n">
        <v>0</v>
      </c>
      <c r="AA963" s="52" t="n">
        <v>0</v>
      </c>
      <c r="AB963" s="52" t="n">
        <v>0</v>
      </c>
      <c r="AC963" s="52" t="n">
        <v>0</v>
      </c>
      <c r="AD963" s="52" t="n">
        <v>0</v>
      </c>
      <c r="AE963" s="52" t="n">
        <v>0</v>
      </c>
      <c r="AF963" s="52" t="n">
        <v>0</v>
      </c>
      <c r="AG963" s="52" t="n">
        <v>0</v>
      </c>
      <c r="AH963" s="52" t="n">
        <v>0</v>
      </c>
      <c r="AI963" s="52" t="n">
        <v>0</v>
      </c>
      <c r="AJ963" s="52" t="n">
        <v>0</v>
      </c>
      <c r="AK963" s="52" t="n">
        <v>0</v>
      </c>
      <c r="AL963" s="52" t="n">
        <v>0</v>
      </c>
      <c r="AM963" s="53" t="n">
        <v>0</v>
      </c>
      <c r="AN963" s="53" t="n">
        <v>0</v>
      </c>
      <c r="AO963" s="53" t="n">
        <v>0</v>
      </c>
      <c r="AP963" s="53" t="n">
        <v>0</v>
      </c>
      <c r="AQ963" s="52" t="n">
        <v>0</v>
      </c>
      <c r="AR963" s="52" t="n">
        <v>0</v>
      </c>
      <c r="AS963" s="52" t="n">
        <v>0</v>
      </c>
      <c r="AT963" s="52" t="n">
        <v>0</v>
      </c>
      <c r="AU963" s="53" t="n">
        <v>0</v>
      </c>
      <c r="AV963" s="53" t="n">
        <v>0</v>
      </c>
      <c r="AW963" s="53" t="n">
        <v>0</v>
      </c>
      <c r="AX963" s="53" t="n">
        <v>0</v>
      </c>
      <c r="AY963" s="52" t="n">
        <v>0</v>
      </c>
      <c r="AZ963" s="52" t="n">
        <v>0</v>
      </c>
      <c r="BA963" s="52" t="n">
        <v>0</v>
      </c>
      <c r="BB963" s="52" t="n">
        <v>0</v>
      </c>
      <c r="BC963" s="51" t="n">
        <v>0</v>
      </c>
      <c r="BD963" s="51" t="n">
        <v>0</v>
      </c>
      <c r="BE963" s="51" t="n">
        <v>0</v>
      </c>
      <c r="BF963" s="51" t="n">
        <v>0</v>
      </c>
    </row>
    <row r="964">
      <c r="A964">
        <f>HYPERLINK("https://www.walmart.com/ip/951107799", "951107799")</f>
        <v/>
      </c>
      <c r="B964" t="inlineStr">
        <is>
          <t>Camouflage Military Wine Bag, Insulated 2 Bottle Travel Padded Wine Carrying Cooler Carrier Tote with Handle and Shoulder Strap, 8.6" x 7.1" x 12.5".</t>
        </is>
      </c>
      <c r="C964" t="inlineStr">
        <is>
          <t>1KTWB420DC</t>
        </is>
      </c>
      <c r="D964" t="inlineStr">
        <is>
          <t>Wine Totes, Bags &amp; Backpacks</t>
        </is>
      </c>
      <c r="E964" t="inlineStr">
        <is>
          <t>Kato</t>
        </is>
      </c>
      <c r="F964" t="inlineStr">
        <is>
          <t>Wine,Christmas,Optimized,Valentine</t>
        </is>
      </c>
      <c r="G964" s="48" t="n">
        <v>0</v>
      </c>
      <c r="H964" s="48" t="n">
        <v>0</v>
      </c>
      <c r="I964" s="48" t="n">
        <v>0</v>
      </c>
      <c r="J964" s="48" t="n">
        <v>0</v>
      </c>
      <c r="K964" s="49" t="n">
        <v>0</v>
      </c>
      <c r="L964" s="49" t="n">
        <v>0</v>
      </c>
      <c r="M964" s="49" t="n">
        <v>0</v>
      </c>
      <c r="N964" s="49" t="n">
        <v>0</v>
      </c>
      <c r="O964" s="49" t="n">
        <v>0</v>
      </c>
      <c r="P964" s="49" t="n">
        <v>0</v>
      </c>
      <c r="Q964" s="49" t="n">
        <v>0</v>
      </c>
      <c r="R964" s="49" t="n">
        <v>0</v>
      </c>
      <c r="S964" s="50" t="n">
        <v>0</v>
      </c>
      <c r="T964" s="50" t="n">
        <v>0</v>
      </c>
      <c r="U964" s="50" t="n">
        <v>0</v>
      </c>
      <c r="V964" s="50" t="n">
        <v>0</v>
      </c>
      <c r="W964" s="51" t="n">
        <v>0</v>
      </c>
      <c r="X964" s="51" t="n">
        <v>0</v>
      </c>
      <c r="Y964" s="51" t="n">
        <v>0</v>
      </c>
      <c r="Z964" s="51" t="n">
        <v>0</v>
      </c>
      <c r="AA964" s="52" t="n">
        <v>0</v>
      </c>
      <c r="AB964" s="52" t="n">
        <v>0</v>
      </c>
      <c r="AC964" s="52" t="n">
        <v>0</v>
      </c>
      <c r="AD964" s="52" t="n">
        <v>0</v>
      </c>
      <c r="AE964" s="52" t="n">
        <v>0</v>
      </c>
      <c r="AF964" s="52" t="n">
        <v>0</v>
      </c>
      <c r="AG964" s="52" t="n">
        <v>0</v>
      </c>
      <c r="AH964" s="52" t="n">
        <v>0</v>
      </c>
      <c r="AI964" s="52" t="n">
        <v>0</v>
      </c>
      <c r="AJ964" s="52" t="n">
        <v>0</v>
      </c>
      <c r="AK964" s="52" t="n">
        <v>0</v>
      </c>
      <c r="AL964" s="52" t="n">
        <v>0</v>
      </c>
      <c r="AM964" s="53" t="n">
        <v>0</v>
      </c>
      <c r="AN964" s="53" t="n">
        <v>0</v>
      </c>
      <c r="AO964" s="53" t="n">
        <v>0</v>
      </c>
      <c r="AP964" s="53" t="n">
        <v>0</v>
      </c>
      <c r="AQ964" s="52" t="n">
        <v>0</v>
      </c>
      <c r="AR964" s="52" t="n">
        <v>0</v>
      </c>
      <c r="AS964" s="52" t="n">
        <v>0</v>
      </c>
      <c r="AT964" s="52" t="n">
        <v>0</v>
      </c>
      <c r="AU964" s="53" t="n">
        <v>0</v>
      </c>
      <c r="AV964" s="53" t="n">
        <v>0</v>
      </c>
      <c r="AW964" s="53" t="n">
        <v>0</v>
      </c>
      <c r="AX964" s="53" t="n">
        <v>0</v>
      </c>
      <c r="AY964" s="52" t="n">
        <v>0</v>
      </c>
      <c r="AZ964" s="52" t="n">
        <v>0</v>
      </c>
      <c r="BA964" s="52" t="n">
        <v>0</v>
      </c>
      <c r="BB964" s="52" t="n">
        <v>0</v>
      </c>
      <c r="BC964" s="51" t="n">
        <v>1008</v>
      </c>
      <c r="BD964" s="51" t="n">
        <v>717</v>
      </c>
      <c r="BE964" s="51" t="n">
        <v>628</v>
      </c>
      <c r="BF964" s="51" t="n">
        <v>1024</v>
      </c>
    </row>
    <row r="965">
      <c r="A965">
        <f>HYPERLINK("https://www.walmart.com/ip/9511207654", "9511207654")</f>
        <v/>
      </c>
      <c r="B965" t="inlineStr">
        <is>
          <t>Ocean Pacific Og Corduroy Backpack for Travel, Sports, and Work, Waterproof College Backpack, Laptop Backpack Fits 15.6” Devices, Casual Daypack Backpacks for Adults, Black</t>
        </is>
      </c>
      <c r="C965" t="inlineStr">
        <is>
          <t>OP-BACKPACK-15381-BLACK</t>
        </is>
      </c>
      <c r="D965" t="inlineStr">
        <is>
          <t>Backpacks</t>
        </is>
      </c>
      <c r="E965" t="inlineStr">
        <is>
          <t>Ocean Pacific</t>
        </is>
      </c>
      <c r="F965" t="inlineStr">
        <is>
          <t>Backpack</t>
        </is>
      </c>
      <c r="G965" s="48" t="n">
        <v>0</v>
      </c>
      <c r="H965" s="48" t="n">
        <v>0</v>
      </c>
      <c r="I965" s="48" t="n">
        <v>0</v>
      </c>
      <c r="J965" s="48" t="n">
        <v>0</v>
      </c>
      <c r="K965" s="49" t="n">
        <v>0</v>
      </c>
      <c r="L965" s="49" t="n">
        <v>0</v>
      </c>
      <c r="M965" s="49" t="n">
        <v>0</v>
      </c>
      <c r="N965" s="49" t="n">
        <v>0</v>
      </c>
      <c r="O965" s="49" t="n">
        <v>0</v>
      </c>
      <c r="P965" s="49" t="n">
        <v>0</v>
      </c>
      <c r="Q965" s="49" t="n">
        <v>0</v>
      </c>
      <c r="R965" s="49" t="n">
        <v>0</v>
      </c>
      <c r="S965" s="50" t="n">
        <v>0</v>
      </c>
      <c r="T965" s="50" t="n">
        <v>0</v>
      </c>
      <c r="U965" s="50" t="n">
        <v>0</v>
      </c>
      <c r="V965" s="50" t="n">
        <v>0</v>
      </c>
      <c r="W965" s="51" t="n">
        <v>0</v>
      </c>
      <c r="X965" s="51" t="n">
        <v>0</v>
      </c>
      <c r="Y965" s="51" t="n">
        <v>0</v>
      </c>
      <c r="Z965" s="51" t="n">
        <v>0</v>
      </c>
      <c r="AA965" s="52" t="n">
        <v>0</v>
      </c>
      <c r="AB965" s="52" t="n">
        <v>0</v>
      </c>
      <c r="AC965" s="52" t="n">
        <v>0</v>
      </c>
      <c r="AD965" s="52" t="n">
        <v>0</v>
      </c>
      <c r="AE965" s="52" t="n">
        <v>0</v>
      </c>
      <c r="AF965" s="52" t="n">
        <v>0</v>
      </c>
      <c r="AG965" s="52" t="n">
        <v>0</v>
      </c>
      <c r="AH965" s="52" t="n">
        <v>0</v>
      </c>
      <c r="AI965" s="52" t="n">
        <v>0</v>
      </c>
      <c r="AJ965" s="52" t="n">
        <v>0</v>
      </c>
      <c r="AK965" s="52" t="n">
        <v>0</v>
      </c>
      <c r="AL965" s="52" t="n">
        <v>0</v>
      </c>
      <c r="AM965" s="53" t="n">
        <v>0</v>
      </c>
      <c r="AN965" s="53" t="n">
        <v>0</v>
      </c>
      <c r="AO965" s="53" t="n">
        <v>0</v>
      </c>
      <c r="AP965" s="53" t="n">
        <v>0</v>
      </c>
      <c r="AQ965" s="52" t="n">
        <v>0</v>
      </c>
      <c r="AR965" s="52" t="n">
        <v>0</v>
      </c>
      <c r="AS965" s="52" t="n">
        <v>0</v>
      </c>
      <c r="AT965" s="52" t="n">
        <v>0</v>
      </c>
      <c r="AU965" s="53" t="n">
        <v>0</v>
      </c>
      <c r="AV965" s="53" t="n">
        <v>0</v>
      </c>
      <c r="AW965" s="53" t="n">
        <v>0</v>
      </c>
      <c r="AX965" s="53" t="n">
        <v>0</v>
      </c>
      <c r="AY965" s="52" t="n">
        <v>0</v>
      </c>
      <c r="AZ965" s="52" t="n">
        <v>0</v>
      </c>
      <c r="BA965" s="52" t="n">
        <v>0</v>
      </c>
      <c r="BB965" s="52" t="n">
        <v>0</v>
      </c>
      <c r="BC965" s="51" t="n">
        <v>0</v>
      </c>
      <c r="BD965" s="51" t="n">
        <v>0</v>
      </c>
      <c r="BE965" s="51" t="n">
        <v>0</v>
      </c>
      <c r="BF965" s="51" t="n">
        <v>0</v>
      </c>
    </row>
    <row r="966">
      <c r="A966">
        <f>HYPERLINK("https://www.walmart.com/ip/9511207660", "9511207660")</f>
        <v/>
      </c>
      <c r="B966" t="inlineStr">
        <is>
          <t>Wrangler Yellowstone Sturdy Laptop Backpack for Travel, Hiking Backpack with Classic Logo, Water Resistant Casual Daypack, Padded Sleeve College Backpack for Notebook, Brown Corduroy</t>
        </is>
      </c>
      <c r="C966" t="inlineStr">
        <is>
          <t>WR-BACKPACK-16273-BRNCORD</t>
        </is>
      </c>
      <c r="D966" t="inlineStr">
        <is>
          <t>Backpacks</t>
        </is>
      </c>
      <c r="E966" t="inlineStr">
        <is>
          <t>Wrangler</t>
        </is>
      </c>
      <c r="F966" t="inlineStr">
        <is>
          <t>Backpack</t>
        </is>
      </c>
      <c r="G966" s="48" t="n">
        <v>0</v>
      </c>
      <c r="H966" s="48" t="n">
        <v>0</v>
      </c>
      <c r="I966" s="48" t="n">
        <v>0</v>
      </c>
      <c r="J966" s="48" t="n">
        <v>0</v>
      </c>
      <c r="K966" s="49" t="n">
        <v>0</v>
      </c>
      <c r="L966" s="49" t="n">
        <v>0</v>
      </c>
      <c r="M966" s="49" t="n">
        <v>0</v>
      </c>
      <c r="N966" s="49" t="n">
        <v>0</v>
      </c>
      <c r="O966" s="49" t="n">
        <v>0</v>
      </c>
      <c r="P966" s="49" t="n">
        <v>0</v>
      </c>
      <c r="Q966" s="49" t="n">
        <v>0</v>
      </c>
      <c r="R966" s="49" t="n">
        <v>0</v>
      </c>
      <c r="S966" s="50" t="n">
        <v>0</v>
      </c>
      <c r="T966" s="50" t="n">
        <v>0</v>
      </c>
      <c r="U966" s="50" t="n">
        <v>0</v>
      </c>
      <c r="V966" s="50" t="n">
        <v>0</v>
      </c>
      <c r="W966" s="51" t="n">
        <v>0</v>
      </c>
      <c r="X966" s="51" t="n">
        <v>0</v>
      </c>
      <c r="Y966" s="51" t="n">
        <v>0</v>
      </c>
      <c r="Z966" s="51" t="n">
        <v>0</v>
      </c>
      <c r="AA966" s="52" t="n">
        <v>0</v>
      </c>
      <c r="AB966" s="52" t="n">
        <v>0</v>
      </c>
      <c r="AC966" s="52" t="n">
        <v>0</v>
      </c>
      <c r="AD966" s="52" t="n">
        <v>0</v>
      </c>
      <c r="AE966" s="52" t="n">
        <v>0</v>
      </c>
      <c r="AF966" s="52" t="n">
        <v>0</v>
      </c>
      <c r="AG966" s="52" t="n">
        <v>0</v>
      </c>
      <c r="AH966" s="52" t="n">
        <v>0</v>
      </c>
      <c r="AI966" s="52" t="n">
        <v>0</v>
      </c>
      <c r="AJ966" s="52" t="n">
        <v>0</v>
      </c>
      <c r="AK966" s="52" t="n">
        <v>0</v>
      </c>
      <c r="AL966" s="52" t="n">
        <v>0</v>
      </c>
      <c r="AM966" s="53" t="n">
        <v>0</v>
      </c>
      <c r="AN966" s="53" t="n">
        <v>0</v>
      </c>
      <c r="AO966" s="53" t="n">
        <v>0</v>
      </c>
      <c r="AP966" s="53" t="n">
        <v>0</v>
      </c>
      <c r="AQ966" s="52" t="n">
        <v>0</v>
      </c>
      <c r="AR966" s="52" t="n">
        <v>0</v>
      </c>
      <c r="AS966" s="52" t="n">
        <v>0</v>
      </c>
      <c r="AT966" s="52" t="n">
        <v>0</v>
      </c>
      <c r="AU966" s="53" t="n">
        <v>0</v>
      </c>
      <c r="AV966" s="53" t="n">
        <v>0</v>
      </c>
      <c r="AW966" s="53" t="n">
        <v>0</v>
      </c>
      <c r="AX966" s="53" t="n">
        <v>0</v>
      </c>
      <c r="AY966" s="52" t="n">
        <v>0</v>
      </c>
      <c r="AZ966" s="52" t="n">
        <v>0</v>
      </c>
      <c r="BA966" s="52" t="n">
        <v>0</v>
      </c>
      <c r="BB966" s="52" t="n">
        <v>0</v>
      </c>
      <c r="BC966" s="51" t="n">
        <v>0</v>
      </c>
      <c r="BD966" s="51" t="n">
        <v>0</v>
      </c>
      <c r="BE966" s="51" t="n">
        <v>0</v>
      </c>
      <c r="BF966" s="51" t="n">
        <v>0</v>
      </c>
    </row>
    <row r="967">
      <c r="A967">
        <f>HYPERLINK("https://www.walmart.com/ip/9513964719", "9513964719")</f>
        <v/>
      </c>
      <c r="B967" t="inlineStr">
        <is>
          <t>Wrangler Yellowstone Sturdy Laptop Backpack for Travel, Hiking Backpack with Classic Logo, Water Resistant Casual Daypack, Padded Sleeve College Backpack for Notebook, Navy Denim</t>
        </is>
      </c>
      <c r="C967" t="inlineStr">
        <is>
          <t>WR-BACKPACK-16273-NVYDENIM</t>
        </is>
      </c>
      <c r="D967" t="inlineStr">
        <is>
          <t>Backpacks</t>
        </is>
      </c>
      <c r="E967" t="inlineStr">
        <is>
          <t>Wrangler</t>
        </is>
      </c>
      <c r="F967" t="inlineStr">
        <is>
          <t>Backpack</t>
        </is>
      </c>
      <c r="G967" s="48" t="n">
        <v>0</v>
      </c>
      <c r="H967" s="48" t="n">
        <v>0</v>
      </c>
      <c r="I967" s="48" t="n">
        <v>0</v>
      </c>
      <c r="J967" s="48" t="n">
        <v>0</v>
      </c>
      <c r="K967" s="49" t="n">
        <v>0</v>
      </c>
      <c r="L967" s="49" t="n">
        <v>0</v>
      </c>
      <c r="M967" s="49" t="n">
        <v>0</v>
      </c>
      <c r="N967" s="49" t="n">
        <v>0</v>
      </c>
      <c r="O967" s="49" t="n">
        <v>0</v>
      </c>
      <c r="P967" s="49" t="n">
        <v>0</v>
      </c>
      <c r="Q967" s="49" t="n">
        <v>0</v>
      </c>
      <c r="R967" s="49" t="n">
        <v>0</v>
      </c>
      <c r="S967" s="50" t="n">
        <v>0</v>
      </c>
      <c r="T967" s="50" t="n">
        <v>0</v>
      </c>
      <c r="U967" s="50" t="n">
        <v>0</v>
      </c>
      <c r="V967" s="50" t="n">
        <v>0</v>
      </c>
      <c r="W967" s="51" t="n">
        <v>0</v>
      </c>
      <c r="X967" s="51" t="n">
        <v>0</v>
      </c>
      <c r="Y967" s="51" t="n">
        <v>0</v>
      </c>
      <c r="Z967" s="51" t="n">
        <v>0</v>
      </c>
      <c r="AA967" s="52" t="n">
        <v>0</v>
      </c>
      <c r="AB967" s="52" t="n">
        <v>0</v>
      </c>
      <c r="AC967" s="52" t="n">
        <v>0</v>
      </c>
      <c r="AD967" s="52" t="n">
        <v>0</v>
      </c>
      <c r="AE967" s="52" t="n">
        <v>0</v>
      </c>
      <c r="AF967" s="52" t="n">
        <v>0</v>
      </c>
      <c r="AG967" s="52" t="n">
        <v>0</v>
      </c>
      <c r="AH967" s="52" t="n">
        <v>0</v>
      </c>
      <c r="AI967" s="52" t="n">
        <v>0</v>
      </c>
      <c r="AJ967" s="52" t="n">
        <v>0</v>
      </c>
      <c r="AK967" s="52" t="n">
        <v>0</v>
      </c>
      <c r="AL967" s="52" t="n">
        <v>0</v>
      </c>
      <c r="AM967" s="53" t="n">
        <v>0</v>
      </c>
      <c r="AN967" s="53" t="n">
        <v>0</v>
      </c>
      <c r="AO967" s="53" t="n">
        <v>0</v>
      </c>
      <c r="AP967" s="53" t="n">
        <v>0</v>
      </c>
      <c r="AQ967" s="52" t="n">
        <v>0</v>
      </c>
      <c r="AR967" s="52" t="n">
        <v>0</v>
      </c>
      <c r="AS967" s="52" t="n">
        <v>0</v>
      </c>
      <c r="AT967" s="52" t="n">
        <v>0</v>
      </c>
      <c r="AU967" s="53" t="n">
        <v>0</v>
      </c>
      <c r="AV967" s="53" t="n">
        <v>0</v>
      </c>
      <c r="AW967" s="53" t="n">
        <v>0</v>
      </c>
      <c r="AX967" s="53" t="n">
        <v>0</v>
      </c>
      <c r="AY967" s="52" t="n">
        <v>0</v>
      </c>
      <c r="AZ967" s="52" t="n">
        <v>0</v>
      </c>
      <c r="BA967" s="52" t="n">
        <v>0</v>
      </c>
      <c r="BB967" s="52" t="n">
        <v>0</v>
      </c>
      <c r="BC967" s="51" t="n">
        <v>0</v>
      </c>
      <c r="BD967" s="51" t="n">
        <v>0</v>
      </c>
      <c r="BE967" s="51" t="n">
        <v>0</v>
      </c>
      <c r="BF967" s="51" t="n">
        <v>0</v>
      </c>
    </row>
    <row r="968">
      <c r="A968">
        <f>HYPERLINK("https://www.walmart.com/ip/9541856319", "9541856319")</f>
        <v/>
      </c>
      <c r="B968" t="inlineStr">
        <is>
          <t>Wrangler Industry Backpack, Classic Logo Water Resistant Casual Daypack with Padded Laptop Notebook Sleeve, Ideal as a Book Bag or Laptop Backpack, Great for Backpacks for School, Brown Duck</t>
        </is>
      </c>
      <c r="C968" t="inlineStr">
        <is>
          <t>WR-BACKPACK-INDUSTRY-BROWNDUCK</t>
        </is>
      </c>
      <c r="D968" t="inlineStr">
        <is>
          <t>Laptop Bags</t>
        </is>
      </c>
      <c r="E968" t="inlineStr">
        <is>
          <t>Wrangler</t>
        </is>
      </c>
      <c r="F968" t="inlineStr">
        <is>
          <t>Backpack</t>
        </is>
      </c>
      <c r="G968" s="48" t="n">
        <v>0</v>
      </c>
      <c r="H968" s="48" t="n">
        <v>0</v>
      </c>
      <c r="I968" s="48" t="n">
        <v>0</v>
      </c>
      <c r="J968" s="48" t="n">
        <v>0</v>
      </c>
      <c r="K968" s="49" t="n">
        <v>0</v>
      </c>
      <c r="L968" s="49" t="n">
        <v>0</v>
      </c>
      <c r="M968" s="49" t="n">
        <v>0</v>
      </c>
      <c r="N968" s="49" t="n">
        <v>0</v>
      </c>
      <c r="O968" s="49" t="n">
        <v>0</v>
      </c>
      <c r="P968" s="49" t="n">
        <v>0</v>
      </c>
      <c r="Q968" s="49" t="n">
        <v>0</v>
      </c>
      <c r="R968" s="49" t="n">
        <v>0</v>
      </c>
      <c r="S968" s="50" t="n">
        <v>0</v>
      </c>
      <c r="T968" s="50" t="n">
        <v>0</v>
      </c>
      <c r="U968" s="50" t="n">
        <v>0</v>
      </c>
      <c r="V968" s="50" t="n">
        <v>0</v>
      </c>
      <c r="W968" s="51" t="n">
        <v>0</v>
      </c>
      <c r="X968" s="51" t="n">
        <v>0</v>
      </c>
      <c r="Y968" s="51" t="n">
        <v>0</v>
      </c>
      <c r="Z968" s="51" t="n">
        <v>0</v>
      </c>
      <c r="AA968" s="52" t="n">
        <v>0</v>
      </c>
      <c r="AB968" s="52" t="n">
        <v>0</v>
      </c>
      <c r="AC968" s="52" t="n">
        <v>0</v>
      </c>
      <c r="AD968" s="52" t="n">
        <v>0</v>
      </c>
      <c r="AE968" s="52" t="n">
        <v>0</v>
      </c>
      <c r="AF968" s="52" t="n">
        <v>0</v>
      </c>
      <c r="AG968" s="52" t="n">
        <v>0</v>
      </c>
      <c r="AH968" s="52" t="n">
        <v>0</v>
      </c>
      <c r="AI968" s="52" t="n">
        <v>0</v>
      </c>
      <c r="AJ968" s="52" t="n">
        <v>0</v>
      </c>
      <c r="AK968" s="52" t="n">
        <v>0</v>
      </c>
      <c r="AL968" s="52" t="n">
        <v>0</v>
      </c>
      <c r="AM968" s="53" t="n">
        <v>0</v>
      </c>
      <c r="AN968" s="53" t="n">
        <v>0</v>
      </c>
      <c r="AO968" s="53" t="n">
        <v>0</v>
      </c>
      <c r="AP968" s="53" t="n">
        <v>0</v>
      </c>
      <c r="AQ968" s="52" t="n">
        <v>0</v>
      </c>
      <c r="AR968" s="52" t="n">
        <v>0</v>
      </c>
      <c r="AS968" s="52" t="n">
        <v>0</v>
      </c>
      <c r="AT968" s="52" t="n">
        <v>0</v>
      </c>
      <c r="AU968" s="53" t="n">
        <v>0</v>
      </c>
      <c r="AV968" s="53" t="n">
        <v>0</v>
      </c>
      <c r="AW968" s="53" t="n">
        <v>0</v>
      </c>
      <c r="AX968" s="53" t="n">
        <v>0</v>
      </c>
      <c r="AY968" s="52" t="n">
        <v>0</v>
      </c>
      <c r="AZ968" s="52" t="n">
        <v>0</v>
      </c>
      <c r="BA968" s="52" t="n">
        <v>0</v>
      </c>
      <c r="BB968" s="52" t="n">
        <v>0</v>
      </c>
      <c r="BC968" s="51" t="n">
        <v>0</v>
      </c>
      <c r="BD968" s="51" t="n">
        <v>0</v>
      </c>
      <c r="BE968" s="51" t="n">
        <v>0</v>
      </c>
      <c r="BF968" s="51" t="n">
        <v>0</v>
      </c>
    </row>
    <row r="969">
      <c r="A969">
        <f>HYPERLINK("https://www.walmart.com/ip/954491761", "954491761")</f>
        <v/>
      </c>
      <c r="B969" t="inlineStr">
        <is>
          <t>Flyingstar Blanket with Sleeves and Pocket, Wearable Throws Blanket, Robe for Women and Men 73” x 51” Green</t>
        </is>
      </c>
      <c r="C969" t="inlineStr">
        <is>
          <t>1WMSN100GN-ESGM</t>
        </is>
      </c>
      <c r="D969" t="inlineStr">
        <is>
          <t>Throws</t>
        </is>
      </c>
      <c r="E969" t="inlineStr">
        <is>
          <t>Flyingstar</t>
        </is>
      </c>
      <c r="F969" t="inlineStr">
        <is>
          <t>ST Patrick Day</t>
        </is>
      </c>
      <c r="G969" s="48" t="n">
        <v>0</v>
      </c>
      <c r="H969" s="48" t="n">
        <v>0</v>
      </c>
      <c r="I969" s="48" t="n">
        <v>0</v>
      </c>
      <c r="J969" s="48" t="n">
        <v>0</v>
      </c>
      <c r="K969" s="49" t="n">
        <v>0</v>
      </c>
      <c r="L969" s="49" t="n">
        <v>0</v>
      </c>
      <c r="M969" s="49" t="n">
        <v>0</v>
      </c>
      <c r="N969" s="49" t="n">
        <v>0</v>
      </c>
      <c r="O969" s="49" t="n">
        <v>0</v>
      </c>
      <c r="P969" s="49" t="n">
        <v>0</v>
      </c>
      <c r="Q969" s="49" t="n">
        <v>0</v>
      </c>
      <c r="R969" s="49" t="n">
        <v>0</v>
      </c>
      <c r="S969" s="50" t="n">
        <v>0</v>
      </c>
      <c r="T969" s="50" t="n">
        <v>0</v>
      </c>
      <c r="U969" s="50" t="n">
        <v>0</v>
      </c>
      <c r="V969" s="50" t="n">
        <v>0</v>
      </c>
      <c r="W969" s="51" t="n">
        <v>0</v>
      </c>
      <c r="X969" s="51" t="n">
        <v>0</v>
      </c>
      <c r="Y969" s="51" t="n">
        <v>0</v>
      </c>
      <c r="Z969" s="51" t="n">
        <v>0</v>
      </c>
      <c r="AA969" s="52" t="n">
        <v>0</v>
      </c>
      <c r="AB969" s="52" t="n">
        <v>0</v>
      </c>
      <c r="AC969" s="52" t="n">
        <v>0</v>
      </c>
      <c r="AD969" s="52" t="n">
        <v>0</v>
      </c>
      <c r="AE969" s="52" t="n">
        <v>0</v>
      </c>
      <c r="AF969" s="52" t="n">
        <v>0</v>
      </c>
      <c r="AG969" s="52" t="n">
        <v>0</v>
      </c>
      <c r="AH969" s="52" t="n">
        <v>0</v>
      </c>
      <c r="AI969" s="52" t="n">
        <v>0</v>
      </c>
      <c r="AJ969" s="52" t="n">
        <v>0</v>
      </c>
      <c r="AK969" s="52" t="n">
        <v>0</v>
      </c>
      <c r="AL969" s="52" t="n">
        <v>0</v>
      </c>
      <c r="AM969" s="53" t="n">
        <v>0</v>
      </c>
      <c r="AN969" s="53" t="n">
        <v>0</v>
      </c>
      <c r="AO969" s="53" t="n">
        <v>0</v>
      </c>
      <c r="AP969" s="53" t="n">
        <v>0</v>
      </c>
      <c r="AQ969" s="52" t="n">
        <v>0</v>
      </c>
      <c r="AR969" s="52" t="n">
        <v>0</v>
      </c>
      <c r="AS969" s="52" t="n">
        <v>0</v>
      </c>
      <c r="AT969" s="52" t="n">
        <v>0</v>
      </c>
      <c r="AU969" s="53" t="n">
        <v>0</v>
      </c>
      <c r="AV969" s="53" t="n">
        <v>0</v>
      </c>
      <c r="AW969" s="53" t="n">
        <v>0</v>
      </c>
      <c r="AX969" s="53" t="n">
        <v>0</v>
      </c>
      <c r="AY969" s="52" t="n">
        <v>0</v>
      </c>
      <c r="AZ969" s="52" t="n">
        <v>0</v>
      </c>
      <c r="BA969" s="52" t="n">
        <v>0</v>
      </c>
      <c r="BB969" s="52" t="n">
        <v>0</v>
      </c>
      <c r="BC969" s="51" t="n">
        <v>0</v>
      </c>
      <c r="BD969" s="51" t="n">
        <v>0</v>
      </c>
      <c r="BE969" s="51" t="n">
        <v>0</v>
      </c>
      <c r="BF969" s="51" t="n">
        <v>0</v>
      </c>
    </row>
    <row r="970">
      <c r="A970">
        <f>HYPERLINK("https://www.walmart.com/ip/9547970981", "9547970981")</f>
        <v/>
      </c>
      <c r="B970" t="inlineStr">
        <is>
          <t>Lee Clear Water Resistant Backpack for Boys and Girls, Durable See Thru Book Bag, Backpacks for School, Laptop Backpack, Ideal for Stadiums, Concerts, and Casual Use, Clear Grey</t>
        </is>
      </c>
      <c r="C970" t="inlineStr">
        <is>
          <t>LE-BACKPACK-93038-GREY</t>
        </is>
      </c>
      <c r="D970" t="inlineStr">
        <is>
          <t>Backpacks</t>
        </is>
      </c>
      <c r="E970" t="inlineStr">
        <is>
          <t>Lee</t>
        </is>
      </c>
      <c r="F970" t="inlineStr">
        <is>
          <t>Backpack</t>
        </is>
      </c>
      <c r="G970" s="48" t="n">
        <v>0</v>
      </c>
      <c r="H970" s="48" t="n">
        <v>0</v>
      </c>
      <c r="I970" s="48" t="n">
        <v>0</v>
      </c>
      <c r="J970" s="48" t="n">
        <v>0</v>
      </c>
      <c r="K970" s="49" t="n">
        <v>0</v>
      </c>
      <c r="L970" s="49" t="n">
        <v>0</v>
      </c>
      <c r="M970" s="49" t="n">
        <v>0</v>
      </c>
      <c r="N970" s="49" t="n">
        <v>0</v>
      </c>
      <c r="O970" s="49" t="n">
        <v>0</v>
      </c>
      <c r="P970" s="49" t="n">
        <v>0</v>
      </c>
      <c r="Q970" s="49" t="n">
        <v>0</v>
      </c>
      <c r="R970" s="49" t="n">
        <v>0</v>
      </c>
      <c r="S970" s="50" t="n">
        <v>0</v>
      </c>
      <c r="T970" s="50" t="n">
        <v>0</v>
      </c>
      <c r="U970" s="50" t="n">
        <v>0</v>
      </c>
      <c r="V970" s="50" t="n">
        <v>0</v>
      </c>
      <c r="W970" s="51" t="n">
        <v>0</v>
      </c>
      <c r="X970" s="51" t="n">
        <v>0</v>
      </c>
      <c r="Y970" s="51" t="n">
        <v>0</v>
      </c>
      <c r="Z970" s="51" t="n">
        <v>0</v>
      </c>
      <c r="AA970" s="52" t="n">
        <v>0</v>
      </c>
      <c r="AB970" s="52" t="n">
        <v>0</v>
      </c>
      <c r="AC970" s="52" t="n">
        <v>0</v>
      </c>
      <c r="AD970" s="52" t="n">
        <v>0</v>
      </c>
      <c r="AE970" s="52" t="n">
        <v>0</v>
      </c>
      <c r="AF970" s="52" t="n">
        <v>0</v>
      </c>
      <c r="AG970" s="52" t="n">
        <v>0</v>
      </c>
      <c r="AH970" s="52" t="n">
        <v>0</v>
      </c>
      <c r="AI970" s="52" t="n">
        <v>0</v>
      </c>
      <c r="AJ970" s="52" t="n">
        <v>0</v>
      </c>
      <c r="AK970" s="52" t="n">
        <v>0</v>
      </c>
      <c r="AL970" s="52" t="n">
        <v>0</v>
      </c>
      <c r="AM970" s="53" t="n">
        <v>0</v>
      </c>
      <c r="AN970" s="53" t="n">
        <v>0</v>
      </c>
      <c r="AO970" s="53" t="n">
        <v>0</v>
      </c>
      <c r="AP970" s="53" t="n">
        <v>0</v>
      </c>
      <c r="AQ970" s="52" t="n">
        <v>0</v>
      </c>
      <c r="AR970" s="52" t="n">
        <v>0</v>
      </c>
      <c r="AS970" s="52" t="n">
        <v>0</v>
      </c>
      <c r="AT970" s="52" t="n">
        <v>0</v>
      </c>
      <c r="AU970" s="53" t="n">
        <v>0</v>
      </c>
      <c r="AV970" s="53" t="n">
        <v>0</v>
      </c>
      <c r="AW970" s="53" t="n">
        <v>0</v>
      </c>
      <c r="AX970" s="53" t="n">
        <v>0</v>
      </c>
      <c r="AY970" s="52" t="n">
        <v>0</v>
      </c>
      <c r="AZ970" s="52" t="n">
        <v>0</v>
      </c>
      <c r="BA970" s="52" t="n">
        <v>0</v>
      </c>
      <c r="BB970" s="52" t="n">
        <v>0</v>
      </c>
      <c r="BC970" s="51" t="n">
        <v>0</v>
      </c>
      <c r="BD970" s="51" t="n">
        <v>0</v>
      </c>
      <c r="BE970" s="51" t="n">
        <v>0</v>
      </c>
      <c r="BF970" s="51" t="n">
        <v>0</v>
      </c>
    </row>
    <row r="971">
      <c r="A971">
        <f>HYPERLINK("https://www.walmart.com/ip/9553755516", "9553755516")</f>
        <v/>
      </c>
      <c r="B971" t="inlineStr">
        <is>
          <t>Lee Clear Water Resistant Laptop Backpack for Boys and Girls, Durable See Thru Book Bag, Backpacks for School, Ideal for Stadiums, Concerts, and Casual Use, Clear Black</t>
        </is>
      </c>
      <c r="C971" t="inlineStr">
        <is>
          <t>LE-BACKPACK-93038-BLACK</t>
        </is>
      </c>
      <c r="D971" t="inlineStr">
        <is>
          <t>Backpacks</t>
        </is>
      </c>
      <c r="E971" t="inlineStr">
        <is>
          <t>Lee</t>
        </is>
      </c>
      <c r="F971" t="inlineStr">
        <is>
          <t>Backpack</t>
        </is>
      </c>
      <c r="G971" s="48" t="n">
        <v>0</v>
      </c>
      <c r="H971" s="48" t="n">
        <v>0</v>
      </c>
      <c r="I971" s="48" t="n">
        <v>0</v>
      </c>
      <c r="J971" s="48" t="n">
        <v>0</v>
      </c>
      <c r="K971" s="49" t="n">
        <v>0</v>
      </c>
      <c r="L971" s="49" t="n">
        <v>0</v>
      </c>
      <c r="M971" s="49" t="n">
        <v>0</v>
      </c>
      <c r="N971" s="49" t="n">
        <v>0</v>
      </c>
      <c r="O971" s="49" t="n">
        <v>0</v>
      </c>
      <c r="P971" s="49" t="n">
        <v>0</v>
      </c>
      <c r="Q971" s="49" t="n">
        <v>0</v>
      </c>
      <c r="R971" s="49" t="n">
        <v>0</v>
      </c>
      <c r="S971" s="50" t="n">
        <v>0</v>
      </c>
      <c r="T971" s="50" t="n">
        <v>0</v>
      </c>
      <c r="U971" s="50" t="n">
        <v>0</v>
      </c>
      <c r="V971" s="50" t="n">
        <v>0</v>
      </c>
      <c r="W971" s="51" t="n">
        <v>0</v>
      </c>
      <c r="X971" s="51" t="n">
        <v>0</v>
      </c>
      <c r="Y971" s="51" t="n">
        <v>0</v>
      </c>
      <c r="Z971" s="51" t="n">
        <v>0</v>
      </c>
      <c r="AA971" s="52" t="n">
        <v>0</v>
      </c>
      <c r="AB971" s="52" t="n">
        <v>0</v>
      </c>
      <c r="AC971" s="52" t="n">
        <v>0</v>
      </c>
      <c r="AD971" s="52" t="n">
        <v>0</v>
      </c>
      <c r="AE971" s="52" t="n">
        <v>0</v>
      </c>
      <c r="AF971" s="52" t="n">
        <v>0</v>
      </c>
      <c r="AG971" s="52" t="n">
        <v>0</v>
      </c>
      <c r="AH971" s="52" t="n">
        <v>0</v>
      </c>
      <c r="AI971" s="52" t="n">
        <v>0</v>
      </c>
      <c r="AJ971" s="52" t="n">
        <v>0</v>
      </c>
      <c r="AK971" s="52" t="n">
        <v>0</v>
      </c>
      <c r="AL971" s="52" t="n">
        <v>0</v>
      </c>
      <c r="AM971" s="53" t="n">
        <v>0</v>
      </c>
      <c r="AN971" s="53" t="n">
        <v>0</v>
      </c>
      <c r="AO971" s="53" t="n">
        <v>0</v>
      </c>
      <c r="AP971" s="53" t="n">
        <v>0</v>
      </c>
      <c r="AQ971" s="52" t="n">
        <v>0</v>
      </c>
      <c r="AR971" s="52" t="n">
        <v>0</v>
      </c>
      <c r="AS971" s="52" t="n">
        <v>0</v>
      </c>
      <c r="AT971" s="52" t="n">
        <v>0</v>
      </c>
      <c r="AU971" s="53" t="n">
        <v>0</v>
      </c>
      <c r="AV971" s="53" t="n">
        <v>0</v>
      </c>
      <c r="AW971" s="53" t="n">
        <v>0</v>
      </c>
      <c r="AX971" s="53" t="n">
        <v>0</v>
      </c>
      <c r="AY971" s="52" t="n">
        <v>0</v>
      </c>
      <c r="AZ971" s="52" t="n">
        <v>0</v>
      </c>
      <c r="BA971" s="52" t="n">
        <v>0</v>
      </c>
      <c r="BB971" s="52" t="n">
        <v>0</v>
      </c>
      <c r="BC971" s="51" t="n">
        <v>0</v>
      </c>
      <c r="BD971" s="51" t="n">
        <v>0</v>
      </c>
      <c r="BE971" s="51" t="n">
        <v>0</v>
      </c>
      <c r="BF971" s="51" t="n">
        <v>0</v>
      </c>
    </row>
    <row r="972">
      <c r="A972">
        <f>HYPERLINK("https://www.walmart.com/ip/955795616", "955795616")</f>
        <v/>
      </c>
      <c r="B972" t="inlineStr">
        <is>
          <t>Tirrinia Adult Insulated Lunch Bag with Front Pocket, White/Pink, 14'' x 7'' x 9.5'', 10.8 L</t>
        </is>
      </c>
      <c r="C972" t="inlineStr">
        <is>
          <t>1WMLB705WTPK</t>
        </is>
      </c>
      <c r="D972" t="inlineStr">
        <is>
          <t>Reusable Lunch Bags &amp; Boxes</t>
        </is>
      </c>
      <c r="E972" t="inlineStr">
        <is>
          <t>Flyingstar</t>
        </is>
      </c>
      <c r="F972" t="inlineStr">
        <is>
          <t>Q2-Target,Lunch Bag,Optimized,Lunch Bags</t>
        </is>
      </c>
      <c r="G972" s="48" t="n">
        <v>0</v>
      </c>
      <c r="H972" s="48" t="n">
        <v>0</v>
      </c>
      <c r="I972" s="48" t="n">
        <v>0</v>
      </c>
      <c r="J972" s="48" t="n">
        <v>0</v>
      </c>
      <c r="K972" s="49" t="n">
        <v>0</v>
      </c>
      <c r="L972" s="49" t="n">
        <v>0</v>
      </c>
      <c r="M972" s="49" t="n">
        <v>0</v>
      </c>
      <c r="N972" s="49" t="n">
        <v>0</v>
      </c>
      <c r="O972" s="49" t="n">
        <v>0</v>
      </c>
      <c r="P972" s="49" t="n">
        <v>0</v>
      </c>
      <c r="Q972" s="49" t="n">
        <v>0</v>
      </c>
      <c r="R972" s="49" t="n">
        <v>0</v>
      </c>
      <c r="S972" s="50" t="n">
        <v>0</v>
      </c>
      <c r="T972" s="50" t="n">
        <v>0</v>
      </c>
      <c r="U972" s="50" t="n">
        <v>0</v>
      </c>
      <c r="V972" s="50" t="n">
        <v>0</v>
      </c>
      <c r="W972" s="51" t="n">
        <v>0</v>
      </c>
      <c r="X972" s="51" t="n">
        <v>0</v>
      </c>
      <c r="Y972" s="51" t="n">
        <v>0</v>
      </c>
      <c r="Z972" s="51" t="n">
        <v>0</v>
      </c>
      <c r="AA972" s="52" t="n">
        <v>0</v>
      </c>
      <c r="AB972" s="52" t="n">
        <v>0</v>
      </c>
      <c r="AC972" s="52" t="n">
        <v>0</v>
      </c>
      <c r="AD972" s="52" t="n">
        <v>0</v>
      </c>
      <c r="AE972" s="52" t="n">
        <v>0</v>
      </c>
      <c r="AF972" s="52" t="n">
        <v>0</v>
      </c>
      <c r="AG972" s="52" t="n">
        <v>0</v>
      </c>
      <c r="AH972" s="52" t="n">
        <v>0</v>
      </c>
      <c r="AI972" s="52" t="n">
        <v>0</v>
      </c>
      <c r="AJ972" s="52" t="n">
        <v>0</v>
      </c>
      <c r="AK972" s="52" t="n">
        <v>0</v>
      </c>
      <c r="AL972" s="52" t="n">
        <v>0</v>
      </c>
      <c r="AM972" s="53" t="n">
        <v>0</v>
      </c>
      <c r="AN972" s="53" t="n">
        <v>0</v>
      </c>
      <c r="AO972" s="53" t="n">
        <v>0</v>
      </c>
      <c r="AP972" s="53" t="n">
        <v>0</v>
      </c>
      <c r="AQ972" s="52" t="n">
        <v>0</v>
      </c>
      <c r="AR972" s="52" t="n">
        <v>0</v>
      </c>
      <c r="AS972" s="52" t="n">
        <v>0</v>
      </c>
      <c r="AT972" s="52" t="n">
        <v>0</v>
      </c>
      <c r="AU972" s="53" t="n">
        <v>0</v>
      </c>
      <c r="AV972" s="53" t="n">
        <v>0</v>
      </c>
      <c r="AW972" s="53" t="n">
        <v>0</v>
      </c>
      <c r="AX972" s="53" t="n">
        <v>0</v>
      </c>
      <c r="AY972" s="52" t="n">
        <v>0</v>
      </c>
      <c r="AZ972" s="52" t="n">
        <v>0</v>
      </c>
      <c r="BA972" s="52" t="n">
        <v>0</v>
      </c>
      <c r="BB972" s="52" t="n">
        <v>0</v>
      </c>
      <c r="BC972" s="51" t="n">
        <v>0</v>
      </c>
      <c r="BD972" s="51" t="n">
        <v>0</v>
      </c>
      <c r="BE972" s="51" t="n">
        <v>0</v>
      </c>
      <c r="BF972" s="51" t="n">
        <v>0</v>
      </c>
    </row>
    <row r="973">
      <c r="A973">
        <f>HYPERLINK("https://www.walmart.com/ip/956472718", "956472718")</f>
        <v/>
      </c>
      <c r="B973" t="inlineStr">
        <is>
          <t>Catalonia 15lb Weighted Blanket for Kids Adult, Premium Heavy Blanket with Removable Cover, 48"×72", Cotton, Grey</t>
        </is>
      </c>
      <c r="C973" t="inlineStr">
        <is>
          <t>1CTBG724GY-15M+C</t>
        </is>
      </c>
      <c r="D973" t="inlineStr">
        <is>
          <t>Bed Blankets</t>
        </is>
      </c>
      <c r="E973" t="inlineStr">
        <is>
          <t>Catalonia</t>
        </is>
      </c>
      <c r="F973" t="inlineStr">
        <is>
          <t>WFS,Valentine,WFS Item</t>
        </is>
      </c>
      <c r="G973" s="48" t="n">
        <v>0</v>
      </c>
      <c r="H973" s="48" t="n">
        <v>0</v>
      </c>
      <c r="I973" s="48" t="n">
        <v>0</v>
      </c>
      <c r="J973" s="48" t="n">
        <v>0</v>
      </c>
      <c r="K973" s="49" t="n">
        <v>0</v>
      </c>
      <c r="L973" s="49" t="n">
        <v>0</v>
      </c>
      <c r="M973" s="49" t="n">
        <v>0</v>
      </c>
      <c r="N973" s="49" t="n">
        <v>0</v>
      </c>
      <c r="O973" s="49" t="n">
        <v>0</v>
      </c>
      <c r="P973" s="49" t="n">
        <v>0</v>
      </c>
      <c r="Q973" s="49" t="n">
        <v>0</v>
      </c>
      <c r="R973" s="49" t="n">
        <v>0</v>
      </c>
      <c r="S973" s="50" t="n">
        <v>0</v>
      </c>
      <c r="T973" s="50" t="n">
        <v>0</v>
      </c>
      <c r="U973" s="50" t="n">
        <v>0</v>
      </c>
      <c r="V973" s="50" t="n">
        <v>0</v>
      </c>
      <c r="W973" s="51" t="n">
        <v>0</v>
      </c>
      <c r="X973" s="51" t="n">
        <v>0</v>
      </c>
      <c r="Y973" s="51" t="n">
        <v>0</v>
      </c>
      <c r="Z973" s="51" t="n">
        <v>0</v>
      </c>
      <c r="AA973" s="52" t="n">
        <v>0</v>
      </c>
      <c r="AB973" s="52" t="n">
        <v>0</v>
      </c>
      <c r="AC973" s="52" t="n">
        <v>0</v>
      </c>
      <c r="AD973" s="52" t="n">
        <v>0</v>
      </c>
      <c r="AE973" s="52" t="n">
        <v>0</v>
      </c>
      <c r="AF973" s="52" t="n">
        <v>0</v>
      </c>
      <c r="AG973" s="52" t="n">
        <v>0</v>
      </c>
      <c r="AH973" s="52" t="n">
        <v>0</v>
      </c>
      <c r="AI973" s="52" t="n">
        <v>0</v>
      </c>
      <c r="AJ973" s="52" t="n">
        <v>0</v>
      </c>
      <c r="AK973" s="52" t="n">
        <v>0</v>
      </c>
      <c r="AL973" s="52" t="n">
        <v>0</v>
      </c>
      <c r="AM973" s="53" t="n">
        <v>0</v>
      </c>
      <c r="AN973" s="53" t="n">
        <v>0</v>
      </c>
      <c r="AO973" s="53" t="n">
        <v>0</v>
      </c>
      <c r="AP973" s="53" t="n">
        <v>0</v>
      </c>
      <c r="AQ973" s="52" t="n">
        <v>0</v>
      </c>
      <c r="AR973" s="52" t="n">
        <v>0</v>
      </c>
      <c r="AS973" s="52" t="n">
        <v>0</v>
      </c>
      <c r="AT973" s="52" t="n">
        <v>0</v>
      </c>
      <c r="AU973" s="53" t="n">
        <v>0</v>
      </c>
      <c r="AV973" s="53" t="n">
        <v>0</v>
      </c>
      <c r="AW973" s="53" t="n">
        <v>0</v>
      </c>
      <c r="AX973" s="53" t="n">
        <v>0</v>
      </c>
      <c r="AY973" s="52" t="n">
        <v>0</v>
      </c>
      <c r="AZ973" s="52" t="n">
        <v>0</v>
      </c>
      <c r="BA973" s="52" t="n">
        <v>0</v>
      </c>
      <c r="BB973" s="52" t="n">
        <v>0</v>
      </c>
      <c r="BC973" s="51" t="n">
        <v>0</v>
      </c>
      <c r="BD973" s="51" t="n">
        <v>0</v>
      </c>
      <c r="BE973" s="51" t="n">
        <v>0</v>
      </c>
      <c r="BF973" s="51" t="n">
        <v>0</v>
      </c>
    </row>
    <row r="974">
      <c r="A974">
        <f>HYPERLINK("https://www.walmart.com/ip/957547925", "957547925")</f>
        <v/>
      </c>
      <c r="B974" t="inlineStr">
        <is>
          <t>Catalonia Sherpa Fleece Blanket for Bed, Super Soft Fleece Plush Sofa Couch Throw Blanket, TV Bed Blanket, Comfy Cozy Fluffy Warm Comforter, Caring Gift(Royal Blue,60x80 inches)</t>
        </is>
      </c>
      <c r="C974" t="inlineStr">
        <is>
          <t>1CTBF368BL</t>
        </is>
      </c>
      <c r="D974" t="inlineStr">
        <is>
          <t>Throws</t>
        </is>
      </c>
      <c r="E974" t="inlineStr">
        <is>
          <t>Catalonia</t>
        </is>
      </c>
      <c r="F974" t="inlineStr">
        <is>
          <t>WFS,WFS Item,Fleece Blankets</t>
        </is>
      </c>
      <c r="G974" s="48" t="n">
        <v>0</v>
      </c>
      <c r="H974" s="48" t="n">
        <v>0</v>
      </c>
      <c r="I974" s="48" t="n">
        <v>0</v>
      </c>
      <c r="J974" s="48" t="n">
        <v>0</v>
      </c>
      <c r="K974" s="49" t="n">
        <v>0</v>
      </c>
      <c r="L974" s="49" t="n">
        <v>0</v>
      </c>
      <c r="M974" s="49" t="n">
        <v>0</v>
      </c>
      <c r="N974" s="49" t="n">
        <v>0</v>
      </c>
      <c r="O974" s="49" t="n">
        <v>0</v>
      </c>
      <c r="P974" s="49" t="n">
        <v>0</v>
      </c>
      <c r="Q974" s="49" t="n">
        <v>0</v>
      </c>
      <c r="R974" s="49" t="n">
        <v>0</v>
      </c>
      <c r="S974" s="50" t="n">
        <v>0</v>
      </c>
      <c r="T974" s="50" t="n">
        <v>0</v>
      </c>
      <c r="U974" s="50" t="n">
        <v>0</v>
      </c>
      <c r="V974" s="50" t="n">
        <v>0</v>
      </c>
      <c r="W974" s="51" t="n">
        <v>0</v>
      </c>
      <c r="X974" s="51" t="n">
        <v>0</v>
      </c>
      <c r="Y974" s="51" t="n">
        <v>0</v>
      </c>
      <c r="Z974" s="51" t="n">
        <v>0</v>
      </c>
      <c r="AA974" s="52" t="n">
        <v>0</v>
      </c>
      <c r="AB974" s="52" t="n">
        <v>0</v>
      </c>
      <c r="AC974" s="52" t="n">
        <v>0</v>
      </c>
      <c r="AD974" s="52" t="n">
        <v>0</v>
      </c>
      <c r="AE974" s="52" t="n">
        <v>0</v>
      </c>
      <c r="AF974" s="52" t="n">
        <v>0</v>
      </c>
      <c r="AG974" s="52" t="n">
        <v>0</v>
      </c>
      <c r="AH974" s="52" t="n">
        <v>0</v>
      </c>
      <c r="AI974" s="52" t="n">
        <v>0</v>
      </c>
      <c r="AJ974" s="52" t="n">
        <v>0</v>
      </c>
      <c r="AK974" s="52" t="n">
        <v>0</v>
      </c>
      <c r="AL974" s="52" t="n">
        <v>0</v>
      </c>
      <c r="AM974" s="53" t="n">
        <v>0</v>
      </c>
      <c r="AN974" s="53" t="n">
        <v>0</v>
      </c>
      <c r="AO974" s="53" t="n">
        <v>0</v>
      </c>
      <c r="AP974" s="53" t="n">
        <v>0</v>
      </c>
      <c r="AQ974" s="52" t="n">
        <v>0</v>
      </c>
      <c r="AR974" s="52" t="n">
        <v>0</v>
      </c>
      <c r="AS974" s="52" t="n">
        <v>0</v>
      </c>
      <c r="AT974" s="52" t="n">
        <v>0</v>
      </c>
      <c r="AU974" s="53" t="n">
        <v>0</v>
      </c>
      <c r="AV974" s="53" t="n">
        <v>0</v>
      </c>
      <c r="AW974" s="53" t="n">
        <v>0</v>
      </c>
      <c r="AX974" s="53" t="n">
        <v>0</v>
      </c>
      <c r="AY974" s="52" t="n">
        <v>0</v>
      </c>
      <c r="AZ974" s="52" t="n">
        <v>0</v>
      </c>
      <c r="BA974" s="52" t="n">
        <v>0</v>
      </c>
      <c r="BB974" s="52" t="n">
        <v>0</v>
      </c>
      <c r="BC974" s="51" t="n">
        <v>0</v>
      </c>
      <c r="BD974" s="51" t="n">
        <v>0</v>
      </c>
      <c r="BE974" s="51" t="n">
        <v>0</v>
      </c>
      <c r="BF974" s="51" t="n">
        <v>0</v>
      </c>
    </row>
    <row r="975">
      <c r="A975">
        <f>HYPERLINK("https://www.walmart.com/ip/9576372791", "9576372791")</f>
        <v/>
      </c>
      <c r="B975" t="inlineStr">
        <is>
          <t>National Park Foundation Hydration Backpack with 2L Hydro Water Bladder Bag, Lightweight Hiking Backpack, Travel Backpack for Cycling, Running, and Climbing, 18L</t>
        </is>
      </c>
      <c r="C975" t="inlineStr">
        <is>
          <t>NPF-BACKPACK-HYDRATION-OLIVE</t>
        </is>
      </c>
      <c r="D975" t="inlineStr">
        <is>
          <t>Hydration Packs</t>
        </is>
      </c>
      <c r="E975" t="inlineStr">
        <is>
          <t>National Park Foundation</t>
        </is>
      </c>
      <c r="F975" t="inlineStr">
        <is>
          <t>Backpack</t>
        </is>
      </c>
      <c r="G975" s="48" t="n">
        <v>0</v>
      </c>
      <c r="H975" s="48" t="n">
        <v>0</v>
      </c>
      <c r="I975" s="48" t="n">
        <v>0</v>
      </c>
      <c r="J975" s="48" t="n">
        <v>0</v>
      </c>
      <c r="K975" s="49" t="n">
        <v>0</v>
      </c>
      <c r="L975" s="49" t="n">
        <v>0</v>
      </c>
      <c r="M975" s="49" t="n">
        <v>0</v>
      </c>
      <c r="N975" s="49" t="n">
        <v>0</v>
      </c>
      <c r="O975" s="49" t="n">
        <v>0</v>
      </c>
      <c r="P975" s="49" t="n">
        <v>0</v>
      </c>
      <c r="Q975" s="49" t="n">
        <v>0</v>
      </c>
      <c r="R975" s="49" t="n">
        <v>0</v>
      </c>
      <c r="S975" s="50" t="n">
        <v>0</v>
      </c>
      <c r="T975" s="50" t="n">
        <v>0</v>
      </c>
      <c r="U975" s="50" t="n">
        <v>0</v>
      </c>
      <c r="V975" s="50" t="n">
        <v>0</v>
      </c>
      <c r="W975" s="51" t="n">
        <v>0</v>
      </c>
      <c r="X975" s="51" t="n">
        <v>0</v>
      </c>
      <c r="Y975" s="51" t="n">
        <v>0</v>
      </c>
      <c r="Z975" s="51" t="n">
        <v>0</v>
      </c>
      <c r="AA975" s="52" t="n">
        <v>0</v>
      </c>
      <c r="AB975" s="52" t="n">
        <v>0</v>
      </c>
      <c r="AC975" s="52" t="n">
        <v>0</v>
      </c>
      <c r="AD975" s="52" t="n">
        <v>0</v>
      </c>
      <c r="AE975" s="52" t="n">
        <v>0</v>
      </c>
      <c r="AF975" s="52" t="n">
        <v>0</v>
      </c>
      <c r="AG975" s="52" t="n">
        <v>0</v>
      </c>
      <c r="AH975" s="52" t="n">
        <v>0</v>
      </c>
      <c r="AI975" s="52" t="n">
        <v>0</v>
      </c>
      <c r="AJ975" s="52" t="n">
        <v>0</v>
      </c>
      <c r="AK975" s="52" t="n">
        <v>0</v>
      </c>
      <c r="AL975" s="52" t="n">
        <v>0</v>
      </c>
      <c r="AM975" s="53" t="n">
        <v>0</v>
      </c>
      <c r="AN975" s="53" t="n">
        <v>0</v>
      </c>
      <c r="AO975" s="53" t="n">
        <v>0</v>
      </c>
      <c r="AP975" s="53" t="n">
        <v>0</v>
      </c>
      <c r="AQ975" s="52" t="n">
        <v>0</v>
      </c>
      <c r="AR975" s="52" t="n">
        <v>0</v>
      </c>
      <c r="AS975" s="52" t="n">
        <v>0</v>
      </c>
      <c r="AT975" s="52" t="n">
        <v>0</v>
      </c>
      <c r="AU975" s="53" t="n">
        <v>0</v>
      </c>
      <c r="AV975" s="53" t="n">
        <v>0</v>
      </c>
      <c r="AW975" s="53" t="n">
        <v>0</v>
      </c>
      <c r="AX975" s="53" t="n">
        <v>0</v>
      </c>
      <c r="AY975" s="52" t="n">
        <v>0</v>
      </c>
      <c r="AZ975" s="52" t="n">
        <v>0</v>
      </c>
      <c r="BA975" s="52" t="n">
        <v>0</v>
      </c>
      <c r="BB975" s="52" t="n">
        <v>0</v>
      </c>
      <c r="BC975" s="51" t="n">
        <v>0</v>
      </c>
      <c r="BD975" s="51" t="n">
        <v>0</v>
      </c>
      <c r="BE975" s="51" t="n">
        <v>0</v>
      </c>
      <c r="BF975" s="51" t="n">
        <v>0</v>
      </c>
    </row>
    <row r="976">
      <c r="A976">
        <f>HYPERLINK("https://www.walmart.com/ip/9584573351", "9584573351")</f>
        <v/>
      </c>
      <c r="B976" t="inlineStr">
        <is>
          <t>National Park Foundation Hydration Backpack with 2L Hydro Water Bladder Bag, Lightweight Hiking Backpack, Travel Backpack for Cycling, Running, and Climbing, 18L, Black</t>
        </is>
      </c>
      <c r="C976" t="inlineStr">
        <is>
          <t>NPF-BACKPACK-HYDRATION-BLACK</t>
        </is>
      </c>
      <c r="D976" t="inlineStr">
        <is>
          <t>Backpacks</t>
        </is>
      </c>
      <c r="E976" t="inlineStr">
        <is>
          <t>National Park Foundation</t>
        </is>
      </c>
      <c r="F976" t="inlineStr">
        <is>
          <t>Backpack</t>
        </is>
      </c>
      <c r="G976" s="48" t="n">
        <v>0</v>
      </c>
      <c r="H976" s="48" t="n">
        <v>0</v>
      </c>
      <c r="I976" s="48" t="n">
        <v>0</v>
      </c>
      <c r="J976" s="48" t="n">
        <v>0</v>
      </c>
      <c r="K976" s="49" t="n">
        <v>0</v>
      </c>
      <c r="L976" s="49" t="n">
        <v>0</v>
      </c>
      <c r="M976" s="49" t="n">
        <v>0</v>
      </c>
      <c r="N976" s="49" t="n">
        <v>0</v>
      </c>
      <c r="O976" s="49" t="n">
        <v>0</v>
      </c>
      <c r="P976" s="49" t="n">
        <v>0</v>
      </c>
      <c r="Q976" s="49" t="n">
        <v>0</v>
      </c>
      <c r="R976" s="49" t="n">
        <v>0</v>
      </c>
      <c r="S976" s="50" t="n">
        <v>0</v>
      </c>
      <c r="T976" s="50" t="n">
        <v>0</v>
      </c>
      <c r="U976" s="50" t="n">
        <v>0</v>
      </c>
      <c r="V976" s="50" t="n">
        <v>0</v>
      </c>
      <c r="W976" s="51" t="n">
        <v>0</v>
      </c>
      <c r="X976" s="51" t="n">
        <v>0</v>
      </c>
      <c r="Y976" s="51" t="n">
        <v>0</v>
      </c>
      <c r="Z976" s="51" t="n">
        <v>0</v>
      </c>
      <c r="AA976" s="52" t="n">
        <v>0</v>
      </c>
      <c r="AB976" s="52" t="n">
        <v>0</v>
      </c>
      <c r="AC976" s="52" t="n">
        <v>0</v>
      </c>
      <c r="AD976" s="52" t="n">
        <v>0</v>
      </c>
      <c r="AE976" s="52" t="n">
        <v>0</v>
      </c>
      <c r="AF976" s="52" t="n">
        <v>0</v>
      </c>
      <c r="AG976" s="52" t="n">
        <v>0</v>
      </c>
      <c r="AH976" s="52" t="n">
        <v>0</v>
      </c>
      <c r="AI976" s="52" t="n">
        <v>0</v>
      </c>
      <c r="AJ976" s="52" t="n">
        <v>0</v>
      </c>
      <c r="AK976" s="52" t="n">
        <v>0</v>
      </c>
      <c r="AL976" s="52" t="n">
        <v>0</v>
      </c>
      <c r="AM976" s="53" t="n">
        <v>0</v>
      </c>
      <c r="AN976" s="53" t="n">
        <v>0</v>
      </c>
      <c r="AO976" s="53" t="n">
        <v>0</v>
      </c>
      <c r="AP976" s="53" t="n">
        <v>0</v>
      </c>
      <c r="AQ976" s="52" t="n">
        <v>0</v>
      </c>
      <c r="AR976" s="52" t="n">
        <v>0</v>
      </c>
      <c r="AS976" s="52" t="n">
        <v>0</v>
      </c>
      <c r="AT976" s="52" t="n">
        <v>0</v>
      </c>
      <c r="AU976" s="53" t="n">
        <v>0</v>
      </c>
      <c r="AV976" s="53" t="n">
        <v>0</v>
      </c>
      <c r="AW976" s="53" t="n">
        <v>0</v>
      </c>
      <c r="AX976" s="53" t="n">
        <v>0</v>
      </c>
      <c r="AY976" s="52" t="n">
        <v>0</v>
      </c>
      <c r="AZ976" s="52" t="n">
        <v>0</v>
      </c>
      <c r="BA976" s="52" t="n">
        <v>0</v>
      </c>
      <c r="BB976" s="52" t="n">
        <v>0</v>
      </c>
      <c r="BC976" s="51" t="n">
        <v>0</v>
      </c>
      <c r="BD976" s="51" t="n">
        <v>0</v>
      </c>
      <c r="BE976" s="51" t="n">
        <v>0</v>
      </c>
      <c r="BF976" s="51" t="n">
        <v>0</v>
      </c>
    </row>
    <row r="977">
      <c r="A977">
        <f>HYPERLINK("https://www.walmart.com/ip/958779445", "958779445")</f>
        <v/>
      </c>
      <c r="B977" t="inlineStr">
        <is>
          <t>Tirrinia Fleece Reversible Plush Sherpa Throw Blanket for Bed and Couch, 50" x 60", Cheetah</t>
        </is>
      </c>
      <c r="C977" t="inlineStr">
        <is>
          <t>1TRBF300CHEETAH-TBCB</t>
        </is>
      </c>
      <c r="D977" t="inlineStr">
        <is>
          <t>Throws</t>
        </is>
      </c>
      <c r="E977" t="inlineStr">
        <is>
          <t>Tirrinia</t>
        </is>
      </c>
      <c r="F977" t="inlineStr">
        <is>
          <t>Optimized</t>
        </is>
      </c>
      <c r="G977" s="48" t="n">
        <v>0</v>
      </c>
      <c r="H977" s="48" t="n">
        <v>0</v>
      </c>
      <c r="I977" s="48" t="n">
        <v>0</v>
      </c>
      <c r="J977" s="48" t="n">
        <v>0</v>
      </c>
      <c r="K977" s="49" t="n">
        <v>0</v>
      </c>
      <c r="L977" s="49" t="n">
        <v>0</v>
      </c>
      <c r="M977" s="49" t="n">
        <v>0</v>
      </c>
      <c r="N977" s="49" t="n">
        <v>0</v>
      </c>
      <c r="O977" s="49" t="n">
        <v>0</v>
      </c>
      <c r="P977" s="49" t="n">
        <v>0</v>
      </c>
      <c r="Q977" s="49" t="n">
        <v>0</v>
      </c>
      <c r="R977" s="49" t="n">
        <v>0</v>
      </c>
      <c r="S977" s="50" t="n">
        <v>0</v>
      </c>
      <c r="T977" s="50" t="n">
        <v>0</v>
      </c>
      <c r="U977" s="50" t="n">
        <v>0</v>
      </c>
      <c r="V977" s="50" t="n">
        <v>0</v>
      </c>
      <c r="W977" s="51" t="n">
        <v>0</v>
      </c>
      <c r="X977" s="51" t="n">
        <v>0</v>
      </c>
      <c r="Y977" s="51" t="n">
        <v>0</v>
      </c>
      <c r="Z977" s="51" t="n">
        <v>0</v>
      </c>
      <c r="AA977" s="52" t="n">
        <v>0</v>
      </c>
      <c r="AB977" s="52" t="n">
        <v>0</v>
      </c>
      <c r="AC977" s="52" t="n">
        <v>0</v>
      </c>
      <c r="AD977" s="52" t="n">
        <v>0</v>
      </c>
      <c r="AE977" s="52" t="n">
        <v>0</v>
      </c>
      <c r="AF977" s="52" t="n">
        <v>0</v>
      </c>
      <c r="AG977" s="52" t="n">
        <v>0</v>
      </c>
      <c r="AH977" s="52" t="n">
        <v>0</v>
      </c>
      <c r="AI977" s="52" t="n">
        <v>0</v>
      </c>
      <c r="AJ977" s="52" t="n">
        <v>0</v>
      </c>
      <c r="AK977" s="52" t="n">
        <v>0</v>
      </c>
      <c r="AL977" s="52" t="n">
        <v>0</v>
      </c>
      <c r="AM977" s="53" t="n">
        <v>0</v>
      </c>
      <c r="AN977" s="53" t="n">
        <v>0</v>
      </c>
      <c r="AO977" s="53" t="n">
        <v>0</v>
      </c>
      <c r="AP977" s="53" t="n">
        <v>0</v>
      </c>
      <c r="AQ977" s="52" t="n">
        <v>0</v>
      </c>
      <c r="AR977" s="52" t="n">
        <v>0</v>
      </c>
      <c r="AS977" s="52" t="n">
        <v>0</v>
      </c>
      <c r="AT977" s="52" t="n">
        <v>0</v>
      </c>
      <c r="AU977" s="53" t="n">
        <v>0</v>
      </c>
      <c r="AV977" s="53" t="n">
        <v>0</v>
      </c>
      <c r="AW977" s="53" t="n">
        <v>0</v>
      </c>
      <c r="AX977" s="53" t="n">
        <v>0</v>
      </c>
      <c r="AY977" s="52" t="n">
        <v>0</v>
      </c>
      <c r="AZ977" s="52" t="n">
        <v>0</v>
      </c>
      <c r="BA977" s="52" t="n">
        <v>0</v>
      </c>
      <c r="BB977" s="52" t="n">
        <v>0</v>
      </c>
      <c r="BC977" s="51" t="n">
        <v>0</v>
      </c>
      <c r="BD977" s="51" t="n">
        <v>0</v>
      </c>
      <c r="BE977" s="51" t="n">
        <v>0</v>
      </c>
      <c r="BF977" s="51" t="n">
        <v>0</v>
      </c>
    </row>
    <row r="978">
      <c r="A978">
        <f>HYPERLINK("https://www.walmart.com/ip/959188663", "959188663")</f>
        <v/>
      </c>
      <c r="B978" t="inlineStr">
        <is>
          <t>Wearable Lounging Blanket,Super Soft Warm Cozy Reversible Fuzzy,Extra Soft for Sofa Warm Blanket,Lightweight,Wine.</t>
        </is>
      </c>
      <c r="C978" t="inlineStr">
        <is>
          <t>1CTSN201WN</t>
        </is>
      </c>
      <c r="D978" t="inlineStr">
        <is>
          <t>Throws</t>
        </is>
      </c>
      <c r="E978" t="inlineStr">
        <is>
          <t>Catalonia</t>
        </is>
      </c>
      <c r="F978" t="inlineStr">
        <is>
          <t>Q2-Target,WFS,Coupon_Discount,WFS Item</t>
        </is>
      </c>
      <c r="G978" s="48" t="n">
        <v>0</v>
      </c>
      <c r="H978" s="48" t="n">
        <v>0</v>
      </c>
      <c r="I978" s="48" t="n">
        <v>0</v>
      </c>
      <c r="J978" s="48" t="n">
        <v>0</v>
      </c>
      <c r="K978" s="49" t="n">
        <v>0</v>
      </c>
      <c r="L978" s="49" t="n">
        <v>0</v>
      </c>
      <c r="M978" s="49" t="n">
        <v>0</v>
      </c>
      <c r="N978" s="49" t="n">
        <v>0</v>
      </c>
      <c r="O978" s="49" t="n">
        <v>0</v>
      </c>
      <c r="P978" s="49" t="n">
        <v>0</v>
      </c>
      <c r="Q978" s="49" t="n">
        <v>0</v>
      </c>
      <c r="R978" s="49" t="n">
        <v>0</v>
      </c>
      <c r="S978" s="50" t="n">
        <v>0</v>
      </c>
      <c r="T978" s="50" t="n">
        <v>0</v>
      </c>
      <c r="U978" s="50" t="n">
        <v>0</v>
      </c>
      <c r="V978" s="50" t="n">
        <v>0</v>
      </c>
      <c r="W978" s="51" t="n">
        <v>0</v>
      </c>
      <c r="X978" s="51" t="n">
        <v>0</v>
      </c>
      <c r="Y978" s="51" t="n">
        <v>0</v>
      </c>
      <c r="Z978" s="51" t="n">
        <v>0</v>
      </c>
      <c r="AA978" s="52" t="n">
        <v>0</v>
      </c>
      <c r="AB978" s="52" t="n">
        <v>0</v>
      </c>
      <c r="AC978" s="52" t="n">
        <v>0</v>
      </c>
      <c r="AD978" s="52" t="n">
        <v>0</v>
      </c>
      <c r="AE978" s="52" t="n">
        <v>0</v>
      </c>
      <c r="AF978" s="52" t="n">
        <v>0</v>
      </c>
      <c r="AG978" s="52" t="n">
        <v>0</v>
      </c>
      <c r="AH978" s="52" t="n">
        <v>0</v>
      </c>
      <c r="AI978" s="52" t="n">
        <v>0</v>
      </c>
      <c r="AJ978" s="52" t="n">
        <v>0</v>
      </c>
      <c r="AK978" s="52" t="n">
        <v>0</v>
      </c>
      <c r="AL978" s="52" t="n">
        <v>0</v>
      </c>
      <c r="AM978" s="53" t="n">
        <v>0</v>
      </c>
      <c r="AN978" s="53" t="n">
        <v>0</v>
      </c>
      <c r="AO978" s="53" t="n">
        <v>0</v>
      </c>
      <c r="AP978" s="53" t="n">
        <v>0</v>
      </c>
      <c r="AQ978" s="52" t="n">
        <v>0</v>
      </c>
      <c r="AR978" s="52" t="n">
        <v>0</v>
      </c>
      <c r="AS978" s="52" t="n">
        <v>0</v>
      </c>
      <c r="AT978" s="52" t="n">
        <v>0</v>
      </c>
      <c r="AU978" s="53" t="n">
        <v>0</v>
      </c>
      <c r="AV978" s="53" t="n">
        <v>0</v>
      </c>
      <c r="AW978" s="53" t="n">
        <v>0</v>
      </c>
      <c r="AX978" s="53" t="n">
        <v>0</v>
      </c>
      <c r="AY978" s="52" t="n">
        <v>0</v>
      </c>
      <c r="AZ978" s="52" t="n">
        <v>0</v>
      </c>
      <c r="BA978" s="52" t="n">
        <v>0</v>
      </c>
      <c r="BB978" s="52" t="n">
        <v>0</v>
      </c>
      <c r="BC978" s="51" t="n">
        <v>0</v>
      </c>
      <c r="BD978" s="51" t="n">
        <v>0</v>
      </c>
      <c r="BE978" s="51" t="n">
        <v>0</v>
      </c>
      <c r="BF978" s="51" t="n">
        <v>0</v>
      </c>
    </row>
    <row r="979">
      <c r="A979">
        <f>HYPERLINK("https://www.walmart.com/ip/959249773", "959249773")</f>
        <v/>
      </c>
      <c r="B979" t="inlineStr">
        <is>
          <t>Pawsse Pet Carrier Backpack, Green &amp; Gray, 16"H x13.2"L x12"W</t>
        </is>
      </c>
      <c r="C979" t="inlineStr">
        <is>
          <t>1PSPB200GN</t>
        </is>
      </c>
      <c r="D979" t="inlineStr">
        <is>
          <t>Pet Carriers</t>
        </is>
      </c>
      <c r="E979" t="inlineStr">
        <is>
          <t>Pawsse</t>
        </is>
      </c>
      <c r="F979" t="inlineStr">
        <is>
          <t>WFS,WFS Item,ST Patrick Day</t>
        </is>
      </c>
      <c r="G979" s="48" t="n">
        <v>0</v>
      </c>
      <c r="H979" s="48" t="n">
        <v>0</v>
      </c>
      <c r="I979" s="48" t="n">
        <v>0</v>
      </c>
      <c r="J979" s="48" t="n">
        <v>0</v>
      </c>
      <c r="K979" s="49" t="n">
        <v>0</v>
      </c>
      <c r="L979" s="49" t="n">
        <v>0</v>
      </c>
      <c r="M979" s="49" t="n">
        <v>0</v>
      </c>
      <c r="N979" s="49" t="n">
        <v>0</v>
      </c>
      <c r="O979" s="49" t="n">
        <v>0</v>
      </c>
      <c r="P979" s="49" t="n">
        <v>0</v>
      </c>
      <c r="Q979" s="49" t="n">
        <v>0</v>
      </c>
      <c r="R979" s="49" t="n">
        <v>0</v>
      </c>
      <c r="S979" s="50" t="n">
        <v>0</v>
      </c>
      <c r="T979" s="50" t="n">
        <v>0</v>
      </c>
      <c r="U979" s="50" t="n">
        <v>0</v>
      </c>
      <c r="V979" s="50" t="n">
        <v>0</v>
      </c>
      <c r="W979" s="51" t="n">
        <v>0</v>
      </c>
      <c r="X979" s="51" t="n">
        <v>0</v>
      </c>
      <c r="Y979" s="51" t="n">
        <v>0</v>
      </c>
      <c r="Z979" s="51" t="n">
        <v>0</v>
      </c>
      <c r="AA979" s="52" t="n">
        <v>0</v>
      </c>
      <c r="AB979" s="52" t="n">
        <v>0</v>
      </c>
      <c r="AC979" s="52" t="n">
        <v>0</v>
      </c>
      <c r="AD979" s="52" t="n">
        <v>0</v>
      </c>
      <c r="AE979" s="52" t="n">
        <v>0</v>
      </c>
      <c r="AF979" s="52" t="n">
        <v>0</v>
      </c>
      <c r="AG979" s="52" t="n">
        <v>0</v>
      </c>
      <c r="AH979" s="52" t="n">
        <v>0</v>
      </c>
      <c r="AI979" s="52" t="n">
        <v>0</v>
      </c>
      <c r="AJ979" s="52" t="n">
        <v>0</v>
      </c>
      <c r="AK979" s="52" t="n">
        <v>0</v>
      </c>
      <c r="AL979" s="52" t="n">
        <v>0</v>
      </c>
      <c r="AM979" s="53" t="n">
        <v>0</v>
      </c>
      <c r="AN979" s="53" t="n">
        <v>0</v>
      </c>
      <c r="AO979" s="53" t="n">
        <v>0</v>
      </c>
      <c r="AP979" s="53" t="n">
        <v>0</v>
      </c>
      <c r="AQ979" s="52" t="n">
        <v>0</v>
      </c>
      <c r="AR979" s="52" t="n">
        <v>0</v>
      </c>
      <c r="AS979" s="52" t="n">
        <v>0</v>
      </c>
      <c r="AT979" s="52" t="n">
        <v>0</v>
      </c>
      <c r="AU979" s="53" t="n">
        <v>0</v>
      </c>
      <c r="AV979" s="53" t="n">
        <v>0</v>
      </c>
      <c r="AW979" s="53" t="n">
        <v>0</v>
      </c>
      <c r="AX979" s="53" t="n">
        <v>0</v>
      </c>
      <c r="AY979" s="52" t="n">
        <v>0</v>
      </c>
      <c r="AZ979" s="52" t="n">
        <v>0</v>
      </c>
      <c r="BA979" s="52" t="n">
        <v>0</v>
      </c>
      <c r="BB979" s="52" t="n">
        <v>0</v>
      </c>
      <c r="BC979" s="51" t="n">
        <v>0</v>
      </c>
      <c r="BD979" s="51" t="n">
        <v>0</v>
      </c>
      <c r="BE979" s="51" t="n">
        <v>0</v>
      </c>
      <c r="BF979" s="51" t="n">
        <v>0</v>
      </c>
    </row>
    <row r="980">
      <c r="A980">
        <f>HYPERLINK("https://www.walmart.com/ip/9592558660", "9592558660")</f>
        <v/>
      </c>
      <c r="B980" t="inlineStr">
        <is>
          <t>National Park Foundation Hydration Backpack with 2L Hydro Water Bladder Bag, Lightweight Hiking Backpack, Travel Backpack for Cycling, Running, and Climbing, 18L, Mustard</t>
        </is>
      </c>
      <c r="C980" t="inlineStr">
        <is>
          <t>NPF-BACKPACK-HYDRATION-MUSTARD</t>
        </is>
      </c>
      <c r="D980" t="inlineStr">
        <is>
          <t>Backpacks</t>
        </is>
      </c>
      <c r="E980" t="inlineStr">
        <is>
          <t>National Park Foundation</t>
        </is>
      </c>
      <c r="F980" t="inlineStr">
        <is>
          <t>Backpack</t>
        </is>
      </c>
      <c r="G980" s="48" t="n">
        <v>0</v>
      </c>
      <c r="H980" s="48" t="n">
        <v>0</v>
      </c>
      <c r="I980" s="48" t="n">
        <v>0</v>
      </c>
      <c r="J980" s="48" t="n">
        <v>0</v>
      </c>
      <c r="K980" s="49" t="n">
        <v>0</v>
      </c>
      <c r="L980" s="49" t="n">
        <v>0</v>
      </c>
      <c r="M980" s="49" t="n">
        <v>0</v>
      </c>
      <c r="N980" s="49" t="n">
        <v>0</v>
      </c>
      <c r="O980" s="49" t="n">
        <v>0</v>
      </c>
      <c r="P980" s="49" t="n">
        <v>0</v>
      </c>
      <c r="Q980" s="49" t="n">
        <v>0</v>
      </c>
      <c r="R980" s="49" t="n">
        <v>0</v>
      </c>
      <c r="S980" s="50" t="n">
        <v>0</v>
      </c>
      <c r="T980" s="50" t="n">
        <v>0</v>
      </c>
      <c r="U980" s="50" t="n">
        <v>0</v>
      </c>
      <c r="V980" s="50" t="n">
        <v>0</v>
      </c>
      <c r="W980" s="51" t="n">
        <v>0</v>
      </c>
      <c r="X980" s="51" t="n">
        <v>0</v>
      </c>
      <c r="Y980" s="51" t="n">
        <v>0</v>
      </c>
      <c r="Z980" s="51" t="n">
        <v>0</v>
      </c>
      <c r="AA980" s="52" t="n">
        <v>0</v>
      </c>
      <c r="AB980" s="52" t="n">
        <v>0</v>
      </c>
      <c r="AC980" s="52" t="n">
        <v>0</v>
      </c>
      <c r="AD980" s="52" t="n">
        <v>0</v>
      </c>
      <c r="AE980" s="52" t="n">
        <v>0</v>
      </c>
      <c r="AF980" s="52" t="n">
        <v>0</v>
      </c>
      <c r="AG980" s="52" t="n">
        <v>0</v>
      </c>
      <c r="AH980" s="52" t="n">
        <v>0</v>
      </c>
      <c r="AI980" s="52" t="n">
        <v>0</v>
      </c>
      <c r="AJ980" s="52" t="n">
        <v>0</v>
      </c>
      <c r="AK980" s="52" t="n">
        <v>0</v>
      </c>
      <c r="AL980" s="52" t="n">
        <v>0</v>
      </c>
      <c r="AM980" s="53" t="n">
        <v>0</v>
      </c>
      <c r="AN980" s="53" t="n">
        <v>0</v>
      </c>
      <c r="AO980" s="53" t="n">
        <v>0</v>
      </c>
      <c r="AP980" s="53" t="n">
        <v>0</v>
      </c>
      <c r="AQ980" s="52" t="n">
        <v>0</v>
      </c>
      <c r="AR980" s="52" t="n">
        <v>0</v>
      </c>
      <c r="AS980" s="52" t="n">
        <v>0</v>
      </c>
      <c r="AT980" s="52" t="n">
        <v>0</v>
      </c>
      <c r="AU980" s="53" t="n">
        <v>0</v>
      </c>
      <c r="AV980" s="53" t="n">
        <v>0</v>
      </c>
      <c r="AW980" s="53" t="n">
        <v>0</v>
      </c>
      <c r="AX980" s="53" t="n">
        <v>0</v>
      </c>
      <c r="AY980" s="52" t="n">
        <v>0</v>
      </c>
      <c r="AZ980" s="52" t="n">
        <v>0</v>
      </c>
      <c r="BA980" s="52" t="n">
        <v>0</v>
      </c>
      <c r="BB980" s="52" t="n">
        <v>0</v>
      </c>
      <c r="BC980" s="51" t="n">
        <v>0</v>
      </c>
      <c r="BD980" s="51" t="n">
        <v>0</v>
      </c>
      <c r="BE980" s="51" t="n">
        <v>0</v>
      </c>
      <c r="BF980" s="51" t="n">
        <v>0</v>
      </c>
    </row>
    <row r="981">
      <c r="A981">
        <f>HYPERLINK("https://www.walmart.com/ip/959506124", "959506124")</f>
        <v/>
      </c>
      <c r="B981" t="inlineStr">
        <is>
          <t>Catalonia Mermaid Tail Fleece Blanket for Teen Girls with Anti-slip Neck Strap and Wave Pattern, Soft Sleeping Bag for All Seasons, Pink, 66.5" x 22.5"</t>
        </is>
      </c>
      <c r="C981" t="inlineStr">
        <is>
          <t>1CTMM100PK-TPB</t>
        </is>
      </c>
      <c r="D981" t="inlineStr">
        <is>
          <t>Throws</t>
        </is>
      </c>
      <c r="E981" t="inlineStr">
        <is>
          <t>Catalonia</t>
        </is>
      </c>
      <c r="F981" t="inlineStr">
        <is>
          <t>Q2-Target,WFS,WFS Item</t>
        </is>
      </c>
      <c r="G981" s="48" t="n">
        <v>0</v>
      </c>
      <c r="H981" s="48" t="n">
        <v>0</v>
      </c>
      <c r="I981" s="48" t="n">
        <v>-82.95999999999999</v>
      </c>
      <c r="J981" s="48" t="n">
        <v>53.97</v>
      </c>
      <c r="K981" s="49" t="n">
        <v>0</v>
      </c>
      <c r="L981" s="49" t="n">
        <v>0</v>
      </c>
      <c r="M981" s="49" t="n">
        <v>-5</v>
      </c>
      <c r="N981" s="49" t="n">
        <v>3</v>
      </c>
      <c r="O981" s="49" t="n">
        <v>3</v>
      </c>
      <c r="P981" s="49" t="n">
        <v>3</v>
      </c>
      <c r="Q981" s="49" t="n">
        <v>4</v>
      </c>
      <c r="R981" s="49" t="n">
        <v>0</v>
      </c>
      <c r="S981" s="50" t="n">
        <v>0</v>
      </c>
      <c r="T981" s="50" t="n">
        <v>0</v>
      </c>
      <c r="U981" s="50" t="n">
        <v>-1.25</v>
      </c>
      <c r="V981" s="50" t="n">
        <v>0</v>
      </c>
      <c r="W981" s="51" t="n">
        <v>7</v>
      </c>
      <c r="X981" s="51" t="n">
        <v>7</v>
      </c>
      <c r="Y981" s="51" t="n">
        <v>5</v>
      </c>
      <c r="Z981" s="51" t="n">
        <v>6</v>
      </c>
      <c r="AA981" s="52" t="n">
        <v>2.59</v>
      </c>
      <c r="AB981" s="52" t="n">
        <v>2.88</v>
      </c>
      <c r="AC981" s="52" t="n">
        <v>1.82</v>
      </c>
      <c r="AD981" s="52" t="n">
        <v>2.64</v>
      </c>
      <c r="AE981" s="52" t="n">
        <v>0</v>
      </c>
      <c r="AF981" s="52" t="n">
        <v>0</v>
      </c>
      <c r="AG981" s="52" t="n">
        <v>0</v>
      </c>
      <c r="AH981" s="52" t="n">
        <v>17.99</v>
      </c>
      <c r="AI981" s="52" t="n">
        <v>0</v>
      </c>
      <c r="AJ981" s="52" t="n">
        <v>0</v>
      </c>
      <c r="AK981" s="52" t="n">
        <v>0</v>
      </c>
      <c r="AL981" s="52" t="n">
        <v>6.81</v>
      </c>
      <c r="AM981" s="53" t="n">
        <v>0.0074</v>
      </c>
      <c r="AN981" s="53" t="n">
        <v>0.0057</v>
      </c>
      <c r="AO981" s="53" t="n">
        <v>0.0048</v>
      </c>
      <c r="AP981" s="53" t="n">
        <v>0.0075</v>
      </c>
      <c r="AQ981" s="52" t="n">
        <v>0.37</v>
      </c>
      <c r="AR981" s="52" t="n">
        <v>0.4114285714285714</v>
      </c>
      <c r="AS981" s="52" t="n">
        <v>0.364</v>
      </c>
      <c r="AT981" s="52" t="n">
        <v>0.44</v>
      </c>
      <c r="AU981" s="53" t="n">
        <v>0</v>
      </c>
      <c r="AV981" s="53" t="n">
        <v>0</v>
      </c>
      <c r="AW981" s="53" t="n">
        <v>0</v>
      </c>
      <c r="AX981" s="53" t="n">
        <v>0.04891606448026682</v>
      </c>
      <c r="AY981" s="52" t="n">
        <v>0</v>
      </c>
      <c r="AZ981" s="52" t="n">
        <v>0</v>
      </c>
      <c r="BA981" s="52" t="n">
        <v>0</v>
      </c>
      <c r="BB981" s="52" t="n">
        <v>17.99</v>
      </c>
      <c r="BC981" s="51" t="n">
        <v>945</v>
      </c>
      <c r="BD981" s="51" t="n">
        <v>1235</v>
      </c>
      <c r="BE981" s="51" t="n">
        <v>1039</v>
      </c>
      <c r="BF981" s="51" t="n">
        <v>804</v>
      </c>
    </row>
    <row r="982">
      <c r="A982">
        <f>HYPERLINK("https://www.walmart.com/ip/960128628", "960128628")</f>
        <v/>
      </c>
      <c r="B982" t="inlineStr">
        <is>
          <t>Tirrinia Insulated Lunch Bag for Women Men, 10L Leakproof Thermal Reusable Lunch Box for Adult, Kids, Tall Meal Prep Lunch Cooler Tote for Office Work, Back to School, Large, Light Blue</t>
        </is>
      </c>
      <c r="C982" t="inlineStr">
        <is>
          <t>1TRLB701LBL-T</t>
        </is>
      </c>
      <c r="D982" t="inlineStr">
        <is>
          <t>Reusable Lunch Bags &amp; Boxes</t>
        </is>
      </c>
      <c r="E982" t="inlineStr">
        <is>
          <t>Tirrinia</t>
        </is>
      </c>
      <c r="F982" t="inlineStr">
        <is>
          <t>Brand Camp VD,Lunch Bag,WFS,Lunch Bags,SEM</t>
        </is>
      </c>
      <c r="G982" s="48" t="n">
        <v>0</v>
      </c>
      <c r="H982" s="48" t="n">
        <v>149.4</v>
      </c>
      <c r="I982" s="48" t="n">
        <v>0</v>
      </c>
      <c r="J982" s="48" t="n">
        <v>0</v>
      </c>
      <c r="K982" s="49" t="n">
        <v>0</v>
      </c>
      <c r="L982" s="49" t="n">
        <v>12</v>
      </c>
      <c r="M982" s="49" t="n">
        <v>0</v>
      </c>
      <c r="N982" s="49" t="n">
        <v>0</v>
      </c>
      <c r="O982" s="49" t="n">
        <v>5</v>
      </c>
      <c r="P982" s="49" t="n">
        <v>6</v>
      </c>
      <c r="Q982" s="49" t="n">
        <v>4</v>
      </c>
      <c r="R982" s="49" t="n">
        <v>3</v>
      </c>
      <c r="S982" s="50" t="n">
        <v>0</v>
      </c>
      <c r="T982" s="50" t="n">
        <v>2</v>
      </c>
      <c r="U982" s="50" t="n">
        <v>0</v>
      </c>
      <c r="V982" s="50" t="n">
        <v>0</v>
      </c>
      <c r="W982" s="51" t="n">
        <v>0</v>
      </c>
      <c r="X982" s="51" t="n">
        <v>0</v>
      </c>
      <c r="Y982" s="51" t="n">
        <v>0</v>
      </c>
      <c r="Z982" s="51" t="n">
        <v>0</v>
      </c>
      <c r="AA982" s="52" t="n">
        <v>0</v>
      </c>
      <c r="AB982" s="52" t="n">
        <v>0</v>
      </c>
      <c r="AC982" s="52" t="n">
        <v>0</v>
      </c>
      <c r="AD982" s="52" t="n">
        <v>0</v>
      </c>
      <c r="AE982" s="52" t="n">
        <v>0</v>
      </c>
      <c r="AF982" s="52" t="n">
        <v>0</v>
      </c>
      <c r="AG982" s="52" t="n">
        <v>0</v>
      </c>
      <c r="AH982" s="52" t="n">
        <v>0</v>
      </c>
      <c r="AI982" s="52" t="n">
        <v>0</v>
      </c>
      <c r="AJ982" s="52" t="n">
        <v>0</v>
      </c>
      <c r="AK982" s="52" t="n">
        <v>0</v>
      </c>
      <c r="AL982" s="52" t="n">
        <v>0</v>
      </c>
      <c r="AM982" s="53" t="n">
        <v>0</v>
      </c>
      <c r="AN982" s="53" t="n">
        <v>0</v>
      </c>
      <c r="AO982" s="53" t="n">
        <v>0</v>
      </c>
      <c r="AP982" s="53" t="n">
        <v>0</v>
      </c>
      <c r="AQ982" s="52" t="n">
        <v>0</v>
      </c>
      <c r="AR982" s="52" t="n">
        <v>0</v>
      </c>
      <c r="AS982" s="52" t="n">
        <v>0</v>
      </c>
      <c r="AT982" s="52" t="n">
        <v>0</v>
      </c>
      <c r="AU982" s="53" t="n">
        <v>0</v>
      </c>
      <c r="AV982" s="53" t="n">
        <v>0</v>
      </c>
      <c r="AW982" s="53" t="n">
        <v>0</v>
      </c>
      <c r="AX982" s="53" t="n">
        <v>0</v>
      </c>
      <c r="AY982" s="52" t="n">
        <v>0</v>
      </c>
      <c r="AZ982" s="52" t="n">
        <v>12.45</v>
      </c>
      <c r="BA982" s="52" t="n">
        <v>0</v>
      </c>
      <c r="BB982" s="52" t="n">
        <v>0</v>
      </c>
      <c r="BC982" s="51" t="n">
        <v>0</v>
      </c>
      <c r="BD982" s="51" t="n">
        <v>0</v>
      </c>
      <c r="BE982" s="51" t="n">
        <v>0</v>
      </c>
      <c r="BF982" s="51" t="n">
        <v>0</v>
      </c>
    </row>
    <row r="983">
      <c r="A983">
        <f>HYPERLINK("https://www.walmart.com/ip/9541856312", "9541856312")</f>
        <v/>
      </c>
      <c r="B983" t="inlineStr">
        <is>
          <t>Ocean Pacific Og Corduroy Backpack for Travel, Sports, and Work, Waterproof College Backpack, Laptop Backpack Fits 15.6” Devices, Casual Daypack Backpacks for Adults, Cream</t>
        </is>
      </c>
      <c r="C983" t="inlineStr">
        <is>
          <t>OP-BACKPACK-15381-BEACH</t>
        </is>
      </c>
      <c r="D983" t="inlineStr">
        <is>
          <t>Backpacks</t>
        </is>
      </c>
      <c r="E983" t="inlineStr">
        <is>
          <t>Ocean Pacific</t>
        </is>
      </c>
      <c r="F983" t="inlineStr">
        <is>
          <t>Backpack</t>
        </is>
      </c>
      <c r="G983" s="48" t="n">
        <v>0</v>
      </c>
      <c r="H983" s="48" t="n">
        <v>0</v>
      </c>
      <c r="I983" s="48" t="n">
        <v>0</v>
      </c>
      <c r="J983" s="48" t="n">
        <v>0</v>
      </c>
      <c r="K983" s="49" t="n">
        <v>0</v>
      </c>
      <c r="L983" s="49" t="n">
        <v>0</v>
      </c>
      <c r="M983" s="49" t="n">
        <v>0</v>
      </c>
      <c r="N983" s="49" t="n">
        <v>0</v>
      </c>
      <c r="O983" s="49" t="n">
        <v>0</v>
      </c>
      <c r="P983" s="49" t="n">
        <v>0</v>
      </c>
      <c r="Q983" s="49" t="n">
        <v>0</v>
      </c>
      <c r="R983" s="49" t="n">
        <v>0</v>
      </c>
      <c r="S983" s="50" t="n">
        <v>0</v>
      </c>
      <c r="T983" s="50" t="n">
        <v>0</v>
      </c>
      <c r="U983" s="50" t="n">
        <v>0</v>
      </c>
      <c r="V983" s="50" t="n">
        <v>0</v>
      </c>
      <c r="W983" s="51" t="n">
        <v>0</v>
      </c>
      <c r="X983" s="51" t="n">
        <v>0</v>
      </c>
      <c r="Y983" s="51" t="n">
        <v>0</v>
      </c>
      <c r="Z983" s="51" t="n">
        <v>0</v>
      </c>
      <c r="AA983" s="52" t="n">
        <v>0</v>
      </c>
      <c r="AB983" s="52" t="n">
        <v>0</v>
      </c>
      <c r="AC983" s="52" t="n">
        <v>0</v>
      </c>
      <c r="AD983" s="52" t="n">
        <v>0</v>
      </c>
      <c r="AE983" s="52" t="n">
        <v>0</v>
      </c>
      <c r="AF983" s="52" t="n">
        <v>0</v>
      </c>
      <c r="AG983" s="52" t="n">
        <v>0</v>
      </c>
      <c r="AH983" s="52" t="n">
        <v>0</v>
      </c>
      <c r="AI983" s="52" t="n">
        <v>0</v>
      </c>
      <c r="AJ983" s="52" t="n">
        <v>0</v>
      </c>
      <c r="AK983" s="52" t="n">
        <v>0</v>
      </c>
      <c r="AL983" s="52" t="n">
        <v>0</v>
      </c>
      <c r="AM983" s="53" t="n">
        <v>0</v>
      </c>
      <c r="AN983" s="53" t="n">
        <v>0</v>
      </c>
      <c r="AO983" s="53" t="n">
        <v>0</v>
      </c>
      <c r="AP983" s="53" t="n">
        <v>0</v>
      </c>
      <c r="AQ983" s="52" t="n">
        <v>0</v>
      </c>
      <c r="AR983" s="52" t="n">
        <v>0</v>
      </c>
      <c r="AS983" s="52" t="n">
        <v>0</v>
      </c>
      <c r="AT983" s="52" t="n">
        <v>0</v>
      </c>
      <c r="AU983" s="53" t="n">
        <v>0</v>
      </c>
      <c r="AV983" s="53" t="n">
        <v>0</v>
      </c>
      <c r="AW983" s="53" t="n">
        <v>0</v>
      </c>
      <c r="AX983" s="53" t="n">
        <v>0</v>
      </c>
      <c r="AY983" s="52" t="n">
        <v>0</v>
      </c>
      <c r="AZ983" s="52" t="n">
        <v>0</v>
      </c>
      <c r="BA983" s="52" t="n">
        <v>0</v>
      </c>
      <c r="BB983" s="52" t="n">
        <v>0</v>
      </c>
      <c r="BC983" s="51" t="n">
        <v>0</v>
      </c>
      <c r="BD983" s="51" t="n">
        <v>0</v>
      </c>
      <c r="BE983" s="51" t="n">
        <v>0</v>
      </c>
      <c r="BF983" s="51" t="n">
        <v>0</v>
      </c>
    </row>
    <row r="984">
      <c r="A984">
        <f>HYPERLINK("https://www.walmart.com/ip/9536168360", "9536168360")</f>
        <v/>
      </c>
      <c r="B984" t="inlineStr">
        <is>
          <t>Wrangler Yellowstone Sturdy Laptop Backpack for Travel, Hiking Backpack with Classic Logo, Water Resistant Casual Daypack, Padded Sleeve College Backpack for Notebook, SSG</t>
        </is>
      </c>
      <c r="C984" t="inlineStr">
        <is>
          <t>WR-BACKPACK-16273-SGG</t>
        </is>
      </c>
      <c r="D984" t="inlineStr">
        <is>
          <t>Laptop Bags</t>
        </is>
      </c>
      <c r="E984" t="inlineStr">
        <is>
          <t>Wrangler</t>
        </is>
      </c>
      <c r="F984" t="inlineStr">
        <is>
          <t>Backpack</t>
        </is>
      </c>
      <c r="G984" s="48" t="n">
        <v>0</v>
      </c>
      <c r="H984" s="48" t="n">
        <v>0</v>
      </c>
      <c r="I984" s="48" t="n">
        <v>0</v>
      </c>
      <c r="J984" s="48" t="n">
        <v>0</v>
      </c>
      <c r="K984" s="49" t="n">
        <v>0</v>
      </c>
      <c r="L984" s="49" t="n">
        <v>0</v>
      </c>
      <c r="M984" s="49" t="n">
        <v>0</v>
      </c>
      <c r="N984" s="49" t="n">
        <v>0</v>
      </c>
      <c r="O984" s="49" t="n">
        <v>0</v>
      </c>
      <c r="P984" s="49" t="n">
        <v>0</v>
      </c>
      <c r="Q984" s="49" t="n">
        <v>0</v>
      </c>
      <c r="R984" s="49" t="n">
        <v>0</v>
      </c>
      <c r="S984" s="50" t="n">
        <v>0</v>
      </c>
      <c r="T984" s="50" t="n">
        <v>0</v>
      </c>
      <c r="U984" s="50" t="n">
        <v>0</v>
      </c>
      <c r="V984" s="50" t="n">
        <v>0</v>
      </c>
      <c r="W984" s="51" t="n">
        <v>0</v>
      </c>
      <c r="X984" s="51" t="n">
        <v>0</v>
      </c>
      <c r="Y984" s="51" t="n">
        <v>0</v>
      </c>
      <c r="Z984" s="51" t="n">
        <v>0</v>
      </c>
      <c r="AA984" s="52" t="n">
        <v>0</v>
      </c>
      <c r="AB984" s="52" t="n">
        <v>0</v>
      </c>
      <c r="AC984" s="52" t="n">
        <v>0</v>
      </c>
      <c r="AD984" s="52" t="n">
        <v>0</v>
      </c>
      <c r="AE984" s="52" t="n">
        <v>0</v>
      </c>
      <c r="AF984" s="52" t="n">
        <v>0</v>
      </c>
      <c r="AG984" s="52" t="n">
        <v>0</v>
      </c>
      <c r="AH984" s="52" t="n">
        <v>0</v>
      </c>
      <c r="AI984" s="52" t="n">
        <v>0</v>
      </c>
      <c r="AJ984" s="52" t="n">
        <v>0</v>
      </c>
      <c r="AK984" s="52" t="n">
        <v>0</v>
      </c>
      <c r="AL984" s="52" t="n">
        <v>0</v>
      </c>
      <c r="AM984" s="53" t="n">
        <v>0</v>
      </c>
      <c r="AN984" s="53" t="n">
        <v>0</v>
      </c>
      <c r="AO984" s="53" t="n">
        <v>0</v>
      </c>
      <c r="AP984" s="53" t="n">
        <v>0</v>
      </c>
      <c r="AQ984" s="52" t="n">
        <v>0</v>
      </c>
      <c r="AR984" s="52" t="n">
        <v>0</v>
      </c>
      <c r="AS984" s="52" t="n">
        <v>0</v>
      </c>
      <c r="AT984" s="52" t="n">
        <v>0</v>
      </c>
      <c r="AU984" s="53" t="n">
        <v>0</v>
      </c>
      <c r="AV984" s="53" t="n">
        <v>0</v>
      </c>
      <c r="AW984" s="53" t="n">
        <v>0</v>
      </c>
      <c r="AX984" s="53" t="n">
        <v>0</v>
      </c>
      <c r="AY984" s="52" t="n">
        <v>0</v>
      </c>
      <c r="AZ984" s="52" t="n">
        <v>0</v>
      </c>
      <c r="BA984" s="52" t="n">
        <v>0</v>
      </c>
      <c r="BB984" s="52" t="n">
        <v>0</v>
      </c>
      <c r="BC984" s="51" t="n">
        <v>0</v>
      </c>
      <c r="BD984" s="51" t="n">
        <v>0</v>
      </c>
      <c r="BE984" s="51" t="n">
        <v>0</v>
      </c>
      <c r="BF984" s="51" t="n">
        <v>0</v>
      </c>
    </row>
    <row r="985">
      <c r="A985">
        <f>HYPERLINK("https://www.walmart.com/ip/9536168353", "9536168353")</f>
        <v/>
      </c>
      <c r="B985" t="inlineStr">
        <is>
          <t>Wrangler Yellowstone Sturdy Laptop Backpack for Travel, Hiking Backpack with Classic Logo, Water Resistant Casual Daypack, Padded Sleeve College Backpack for Notebook, Dark Gray</t>
        </is>
      </c>
      <c r="C985" t="inlineStr">
        <is>
          <t>WR-BACKPACK-16273-DKGREY</t>
        </is>
      </c>
      <c r="D985" t="inlineStr">
        <is>
          <t>Backpacks</t>
        </is>
      </c>
      <c r="E985" t="inlineStr">
        <is>
          <t>Wrangler</t>
        </is>
      </c>
      <c r="F985" t="inlineStr">
        <is>
          <t>Backpack</t>
        </is>
      </c>
      <c r="G985" s="48" t="n">
        <v>0</v>
      </c>
      <c r="H985" s="48" t="n">
        <v>0</v>
      </c>
      <c r="I985" s="48" t="n">
        <v>0</v>
      </c>
      <c r="J985" s="48" t="n">
        <v>0</v>
      </c>
      <c r="K985" s="49" t="n">
        <v>0</v>
      </c>
      <c r="L985" s="49" t="n">
        <v>0</v>
      </c>
      <c r="M985" s="49" t="n">
        <v>0</v>
      </c>
      <c r="N985" s="49" t="n">
        <v>0</v>
      </c>
      <c r="O985" s="49" t="n">
        <v>0</v>
      </c>
      <c r="P985" s="49" t="n">
        <v>0</v>
      </c>
      <c r="Q985" s="49" t="n">
        <v>0</v>
      </c>
      <c r="R985" s="49" t="n">
        <v>0</v>
      </c>
      <c r="S985" s="50" t="n">
        <v>0</v>
      </c>
      <c r="T985" s="50" t="n">
        <v>0</v>
      </c>
      <c r="U985" s="50" t="n">
        <v>0</v>
      </c>
      <c r="V985" s="50" t="n">
        <v>0</v>
      </c>
      <c r="W985" s="51" t="n">
        <v>0</v>
      </c>
      <c r="X985" s="51" t="n">
        <v>0</v>
      </c>
      <c r="Y985" s="51" t="n">
        <v>0</v>
      </c>
      <c r="Z985" s="51" t="n">
        <v>0</v>
      </c>
      <c r="AA985" s="52" t="n">
        <v>0</v>
      </c>
      <c r="AB985" s="52" t="n">
        <v>0</v>
      </c>
      <c r="AC985" s="52" t="n">
        <v>0</v>
      </c>
      <c r="AD985" s="52" t="n">
        <v>0</v>
      </c>
      <c r="AE985" s="52" t="n">
        <v>0</v>
      </c>
      <c r="AF985" s="52" t="n">
        <v>0</v>
      </c>
      <c r="AG985" s="52" t="n">
        <v>0</v>
      </c>
      <c r="AH985" s="52" t="n">
        <v>0</v>
      </c>
      <c r="AI985" s="52" t="n">
        <v>0</v>
      </c>
      <c r="AJ985" s="52" t="n">
        <v>0</v>
      </c>
      <c r="AK985" s="52" t="n">
        <v>0</v>
      </c>
      <c r="AL985" s="52" t="n">
        <v>0</v>
      </c>
      <c r="AM985" s="53" t="n">
        <v>0</v>
      </c>
      <c r="AN985" s="53" t="n">
        <v>0</v>
      </c>
      <c r="AO985" s="53" t="n">
        <v>0</v>
      </c>
      <c r="AP985" s="53" t="n">
        <v>0</v>
      </c>
      <c r="AQ985" s="52" t="n">
        <v>0</v>
      </c>
      <c r="AR985" s="52" t="n">
        <v>0</v>
      </c>
      <c r="AS985" s="52" t="n">
        <v>0</v>
      </c>
      <c r="AT985" s="52" t="n">
        <v>0</v>
      </c>
      <c r="AU985" s="53" t="n">
        <v>0</v>
      </c>
      <c r="AV985" s="53" t="n">
        <v>0</v>
      </c>
      <c r="AW985" s="53" t="n">
        <v>0</v>
      </c>
      <c r="AX985" s="53" t="n">
        <v>0</v>
      </c>
      <c r="AY985" s="52" t="n">
        <v>0</v>
      </c>
      <c r="AZ985" s="52" t="n">
        <v>0</v>
      </c>
      <c r="BA985" s="52" t="n">
        <v>0</v>
      </c>
      <c r="BB985" s="52" t="n">
        <v>0</v>
      </c>
      <c r="BC985" s="51" t="n">
        <v>0</v>
      </c>
      <c r="BD985" s="51" t="n">
        <v>0</v>
      </c>
      <c r="BE985" s="51" t="n">
        <v>0</v>
      </c>
      <c r="BF985" s="51" t="n">
        <v>0</v>
      </c>
    </row>
    <row r="986">
      <c r="A986">
        <f>HYPERLINK("https://www.walmart.com/ip/9523050662", "9523050662")</f>
        <v/>
      </c>
      <c r="B986" t="inlineStr">
        <is>
          <t>Wrangler Industry Backpack, Classic Logo Water Resistant Casual Daypack with Padded Laptop Notebook Sleeve, Ideal as a Book Bag or Laptop Backpack, Great for Backpacks for School, Black</t>
        </is>
      </c>
      <c r="C986" t="inlineStr">
        <is>
          <t>WR-BACKPACK-INDUSTRY-BLACK</t>
        </is>
      </c>
      <c r="D986" t="inlineStr">
        <is>
          <t>Laptop Bags</t>
        </is>
      </c>
      <c r="E986" t="inlineStr">
        <is>
          <t>Wrangler</t>
        </is>
      </c>
      <c r="F986" t="inlineStr">
        <is>
          <t>Backpack</t>
        </is>
      </c>
      <c r="G986" s="48" t="n">
        <v>0</v>
      </c>
      <c r="H986" s="48" t="n">
        <v>0</v>
      </c>
      <c r="I986" s="48" t="n">
        <v>0</v>
      </c>
      <c r="J986" s="48" t="n">
        <v>0</v>
      </c>
      <c r="K986" s="49" t="n">
        <v>0</v>
      </c>
      <c r="L986" s="49" t="n">
        <v>0</v>
      </c>
      <c r="M986" s="49" t="n">
        <v>0</v>
      </c>
      <c r="N986" s="49" t="n">
        <v>0</v>
      </c>
      <c r="O986" s="49" t="n">
        <v>0</v>
      </c>
      <c r="P986" s="49" t="n">
        <v>0</v>
      </c>
      <c r="Q986" s="49" t="n">
        <v>0</v>
      </c>
      <c r="R986" s="49" t="n">
        <v>0</v>
      </c>
      <c r="S986" s="50" t="n">
        <v>0</v>
      </c>
      <c r="T986" s="50" t="n">
        <v>0</v>
      </c>
      <c r="U986" s="50" t="n">
        <v>0</v>
      </c>
      <c r="V986" s="50" t="n">
        <v>0</v>
      </c>
      <c r="W986" s="51" t="n">
        <v>0</v>
      </c>
      <c r="X986" s="51" t="n">
        <v>0</v>
      </c>
      <c r="Y986" s="51" t="n">
        <v>0</v>
      </c>
      <c r="Z986" s="51" t="n">
        <v>0</v>
      </c>
      <c r="AA986" s="52" t="n">
        <v>0</v>
      </c>
      <c r="AB986" s="52" t="n">
        <v>0</v>
      </c>
      <c r="AC986" s="52" t="n">
        <v>0</v>
      </c>
      <c r="AD986" s="52" t="n">
        <v>0</v>
      </c>
      <c r="AE986" s="52" t="n">
        <v>0</v>
      </c>
      <c r="AF986" s="52" t="n">
        <v>0</v>
      </c>
      <c r="AG986" s="52" t="n">
        <v>0</v>
      </c>
      <c r="AH986" s="52" t="n">
        <v>0</v>
      </c>
      <c r="AI986" s="52" t="n">
        <v>0</v>
      </c>
      <c r="AJ986" s="52" t="n">
        <v>0</v>
      </c>
      <c r="AK986" s="52" t="n">
        <v>0</v>
      </c>
      <c r="AL986" s="52" t="n">
        <v>0</v>
      </c>
      <c r="AM986" s="53" t="n">
        <v>0</v>
      </c>
      <c r="AN986" s="53" t="n">
        <v>0</v>
      </c>
      <c r="AO986" s="53" t="n">
        <v>0</v>
      </c>
      <c r="AP986" s="53" t="n">
        <v>0</v>
      </c>
      <c r="AQ986" s="52" t="n">
        <v>0</v>
      </c>
      <c r="AR986" s="52" t="n">
        <v>0</v>
      </c>
      <c r="AS986" s="52" t="n">
        <v>0</v>
      </c>
      <c r="AT986" s="52" t="n">
        <v>0</v>
      </c>
      <c r="AU986" s="53" t="n">
        <v>0</v>
      </c>
      <c r="AV986" s="53" t="n">
        <v>0</v>
      </c>
      <c r="AW986" s="53" t="n">
        <v>0</v>
      </c>
      <c r="AX986" s="53" t="n">
        <v>0</v>
      </c>
      <c r="AY986" s="52" t="n">
        <v>0</v>
      </c>
      <c r="AZ986" s="52" t="n">
        <v>0</v>
      </c>
      <c r="BA986" s="52" t="n">
        <v>0</v>
      </c>
      <c r="BB986" s="52" t="n">
        <v>0</v>
      </c>
      <c r="BC986" s="51" t="n">
        <v>0</v>
      </c>
      <c r="BD986" s="51" t="n">
        <v>0</v>
      </c>
      <c r="BE986" s="51" t="n">
        <v>0</v>
      </c>
      <c r="BF986" s="51" t="n">
        <v>0</v>
      </c>
    </row>
    <row r="987">
      <c r="A987">
        <f>HYPERLINK("https://www.walmart.com/ip/9514014601", "9514014601")</f>
        <v/>
      </c>
      <c r="B987" t="inlineStr">
        <is>
          <t>Wrangler Yellowstone Sturdy Laptop Backpack for Travel, Hiking Backpack with Classic Logo, Water Resistant Casual Daypack, Padded Sleeve College Backpack for Notebook, Tan Patterned</t>
        </is>
      </c>
      <c r="C987" t="inlineStr">
        <is>
          <t>WR-BACKPACK-16273-TAN</t>
        </is>
      </c>
      <c r="D987" t="inlineStr">
        <is>
          <t>Backpacks</t>
        </is>
      </c>
      <c r="E987" t="inlineStr">
        <is>
          <t>Wrangler</t>
        </is>
      </c>
      <c r="F987" t="inlineStr">
        <is>
          <t>Backpack</t>
        </is>
      </c>
      <c r="G987" s="48" t="n">
        <v>0</v>
      </c>
      <c r="H987" s="48" t="n">
        <v>0</v>
      </c>
      <c r="I987" s="48" t="n">
        <v>0</v>
      </c>
      <c r="J987" s="48" t="n">
        <v>0</v>
      </c>
      <c r="K987" s="49" t="n">
        <v>0</v>
      </c>
      <c r="L987" s="49" t="n">
        <v>0</v>
      </c>
      <c r="M987" s="49" t="n">
        <v>0</v>
      </c>
      <c r="N987" s="49" t="n">
        <v>0</v>
      </c>
      <c r="O987" s="49" t="n">
        <v>0</v>
      </c>
      <c r="P987" s="49" t="n">
        <v>0</v>
      </c>
      <c r="Q987" s="49" t="n">
        <v>0</v>
      </c>
      <c r="R987" s="49" t="n">
        <v>0</v>
      </c>
      <c r="S987" s="50" t="n">
        <v>0</v>
      </c>
      <c r="T987" s="50" t="n">
        <v>0</v>
      </c>
      <c r="U987" s="50" t="n">
        <v>0</v>
      </c>
      <c r="V987" s="50" t="n">
        <v>0</v>
      </c>
      <c r="W987" s="51" t="n">
        <v>0</v>
      </c>
      <c r="X987" s="51" t="n">
        <v>0</v>
      </c>
      <c r="Y987" s="51" t="n">
        <v>0</v>
      </c>
      <c r="Z987" s="51" t="n">
        <v>0</v>
      </c>
      <c r="AA987" s="52" t="n">
        <v>0</v>
      </c>
      <c r="AB987" s="52" t="n">
        <v>0</v>
      </c>
      <c r="AC987" s="52" t="n">
        <v>0</v>
      </c>
      <c r="AD987" s="52" t="n">
        <v>0</v>
      </c>
      <c r="AE987" s="52" t="n">
        <v>0</v>
      </c>
      <c r="AF987" s="52" t="n">
        <v>0</v>
      </c>
      <c r="AG987" s="52" t="n">
        <v>0</v>
      </c>
      <c r="AH987" s="52" t="n">
        <v>0</v>
      </c>
      <c r="AI987" s="52" t="n">
        <v>0</v>
      </c>
      <c r="AJ987" s="52" t="n">
        <v>0</v>
      </c>
      <c r="AK987" s="52" t="n">
        <v>0</v>
      </c>
      <c r="AL987" s="52" t="n">
        <v>0</v>
      </c>
      <c r="AM987" s="53" t="n">
        <v>0</v>
      </c>
      <c r="AN987" s="53" t="n">
        <v>0</v>
      </c>
      <c r="AO987" s="53" t="n">
        <v>0</v>
      </c>
      <c r="AP987" s="53" t="n">
        <v>0</v>
      </c>
      <c r="AQ987" s="52" t="n">
        <v>0</v>
      </c>
      <c r="AR987" s="52" t="n">
        <v>0</v>
      </c>
      <c r="AS987" s="52" t="n">
        <v>0</v>
      </c>
      <c r="AT987" s="52" t="n">
        <v>0</v>
      </c>
      <c r="AU987" s="53" t="n">
        <v>0</v>
      </c>
      <c r="AV987" s="53" t="n">
        <v>0</v>
      </c>
      <c r="AW987" s="53" t="n">
        <v>0</v>
      </c>
      <c r="AX987" s="53" t="n">
        <v>0</v>
      </c>
      <c r="AY987" s="52" t="n">
        <v>0</v>
      </c>
      <c r="AZ987" s="52" t="n">
        <v>0</v>
      </c>
      <c r="BA987" s="52" t="n">
        <v>0</v>
      </c>
      <c r="BB987" s="52" t="n">
        <v>0</v>
      </c>
      <c r="BC987" s="51" t="n">
        <v>0</v>
      </c>
      <c r="BD987" s="51" t="n">
        <v>0</v>
      </c>
      <c r="BE987" s="51" t="n">
        <v>0</v>
      </c>
      <c r="BF987" s="51" t="n">
        <v>0</v>
      </c>
    </row>
    <row r="988">
      <c r="A988">
        <f>HYPERLINK("https://www.walmart.com/ip/951529320", "951529320")</f>
        <v/>
      </c>
      <c r="B988" t="inlineStr">
        <is>
          <t>Sherpa Wearable Blanket with Sleeves Arms,Super Soft Warm Comfy Large Fleece Plush Sleeved TV Throws Wrap Robe Blanket for Adult Women and Men Red Plaid By Catalonia</t>
        </is>
      </c>
      <c r="C988" t="inlineStr">
        <is>
          <t>1CTSN110P2RD</t>
        </is>
      </c>
      <c r="D988" t="inlineStr">
        <is>
          <t>Throws</t>
        </is>
      </c>
      <c r="E988" t="inlineStr">
        <is>
          <t>Catalonia</t>
        </is>
      </c>
      <c r="F988" t="inlineStr">
        <is>
          <t>Q2-Target,WFS,Coupon_Discount,WFS Item</t>
        </is>
      </c>
      <c r="G988" s="48" t="n">
        <v>0</v>
      </c>
      <c r="H988" s="48" t="n">
        <v>0</v>
      </c>
      <c r="I988" s="48" t="n">
        <v>0</v>
      </c>
      <c r="J988" s="48" t="n">
        <v>0</v>
      </c>
      <c r="K988" s="49" t="n">
        <v>0</v>
      </c>
      <c r="L988" s="49" t="n">
        <v>0</v>
      </c>
      <c r="M988" s="49" t="n">
        <v>0</v>
      </c>
      <c r="N988" s="49" t="n">
        <v>0</v>
      </c>
      <c r="O988" s="49" t="n">
        <v>0</v>
      </c>
      <c r="P988" s="49" t="n">
        <v>0</v>
      </c>
      <c r="Q988" s="49" t="n">
        <v>0</v>
      </c>
      <c r="R988" s="49" t="n">
        <v>0</v>
      </c>
      <c r="S988" s="50" t="n">
        <v>0</v>
      </c>
      <c r="T988" s="50" t="n">
        <v>0</v>
      </c>
      <c r="U988" s="50" t="n">
        <v>0</v>
      </c>
      <c r="V988" s="50" t="n">
        <v>0</v>
      </c>
      <c r="W988" s="51" t="n">
        <v>0</v>
      </c>
      <c r="X988" s="51" t="n">
        <v>0</v>
      </c>
      <c r="Y988" s="51" t="n">
        <v>0</v>
      </c>
      <c r="Z988" s="51" t="n">
        <v>0</v>
      </c>
      <c r="AA988" s="52" t="n">
        <v>0</v>
      </c>
      <c r="AB988" s="52" t="n">
        <v>0</v>
      </c>
      <c r="AC988" s="52" t="n">
        <v>0</v>
      </c>
      <c r="AD988" s="52" t="n">
        <v>0</v>
      </c>
      <c r="AE988" s="52" t="n">
        <v>0</v>
      </c>
      <c r="AF988" s="52" t="n">
        <v>0</v>
      </c>
      <c r="AG988" s="52" t="n">
        <v>0</v>
      </c>
      <c r="AH988" s="52" t="n">
        <v>0</v>
      </c>
      <c r="AI988" s="52" t="n">
        <v>0</v>
      </c>
      <c r="AJ988" s="52" t="n">
        <v>0</v>
      </c>
      <c r="AK988" s="52" t="n">
        <v>0</v>
      </c>
      <c r="AL988" s="52" t="n">
        <v>0</v>
      </c>
      <c r="AM988" s="53" t="n">
        <v>0</v>
      </c>
      <c r="AN988" s="53" t="n">
        <v>0</v>
      </c>
      <c r="AO988" s="53" t="n">
        <v>0</v>
      </c>
      <c r="AP988" s="53" t="n">
        <v>0</v>
      </c>
      <c r="AQ988" s="52" t="n">
        <v>0</v>
      </c>
      <c r="AR988" s="52" t="n">
        <v>0</v>
      </c>
      <c r="AS988" s="52" t="n">
        <v>0</v>
      </c>
      <c r="AT988" s="52" t="n">
        <v>0</v>
      </c>
      <c r="AU988" s="53" t="n">
        <v>0</v>
      </c>
      <c r="AV988" s="53" t="n">
        <v>0</v>
      </c>
      <c r="AW988" s="53" t="n">
        <v>0</v>
      </c>
      <c r="AX988" s="53" t="n">
        <v>0</v>
      </c>
      <c r="AY988" s="52" t="n">
        <v>0</v>
      </c>
      <c r="AZ988" s="52" t="n">
        <v>0</v>
      </c>
      <c r="BA988" s="52" t="n">
        <v>0</v>
      </c>
      <c r="BB988" s="52" t="n">
        <v>0</v>
      </c>
      <c r="BC988" s="51" t="n">
        <v>0</v>
      </c>
      <c r="BD988" s="51" t="n">
        <v>0</v>
      </c>
      <c r="BE988" s="51" t="n">
        <v>0</v>
      </c>
      <c r="BF988" s="51" t="n">
        <v>0</v>
      </c>
    </row>
    <row r="989">
      <c r="A989">
        <f>HYPERLINK("https://www.walmart.com/ip/952136370", "952136370")</f>
        <v/>
      </c>
      <c r="B989" t="inlineStr">
        <is>
          <t>Catalonia Fleece Throw Blanket for Couch, Super Soft Fuzzy Plush Blanket for Adults and Kids, All Seasons Home Decor Blanket, Machine Washable, 50"x60", Yellow</t>
        </is>
      </c>
      <c r="C989" t="inlineStr">
        <is>
          <t>1CTBF575YL</t>
        </is>
      </c>
      <c r="D989" t="inlineStr">
        <is>
          <t>Throws</t>
        </is>
      </c>
      <c r="E989" t="inlineStr">
        <is>
          <t>Catalonia</t>
        </is>
      </c>
      <c r="F989" t="inlineStr">
        <is>
          <t>Q2-Target,Optimized,WFS,WFS Item</t>
        </is>
      </c>
      <c r="G989" s="48" t="n">
        <v>0</v>
      </c>
      <c r="H989" s="48" t="n">
        <v>0</v>
      </c>
      <c r="I989" s="48" t="n">
        <v>0</v>
      </c>
      <c r="J989" s="48" t="n">
        <v>0</v>
      </c>
      <c r="K989" s="49" t="n">
        <v>0</v>
      </c>
      <c r="L989" s="49" t="n">
        <v>0</v>
      </c>
      <c r="M989" s="49" t="n">
        <v>0</v>
      </c>
      <c r="N989" s="49" t="n">
        <v>0</v>
      </c>
      <c r="O989" s="49" t="n">
        <v>0</v>
      </c>
      <c r="P989" s="49" t="n">
        <v>0</v>
      </c>
      <c r="Q989" s="49" t="n">
        <v>0</v>
      </c>
      <c r="R989" s="49" t="n">
        <v>0</v>
      </c>
      <c r="S989" s="50" t="n">
        <v>0</v>
      </c>
      <c r="T989" s="50" t="n">
        <v>0</v>
      </c>
      <c r="U989" s="50" t="n">
        <v>0</v>
      </c>
      <c r="V989" s="50" t="n">
        <v>0</v>
      </c>
      <c r="W989" s="51" t="n">
        <v>0</v>
      </c>
      <c r="X989" s="51" t="n">
        <v>0</v>
      </c>
      <c r="Y989" s="51" t="n">
        <v>0</v>
      </c>
      <c r="Z989" s="51" t="n">
        <v>0</v>
      </c>
      <c r="AA989" s="52" t="n">
        <v>0</v>
      </c>
      <c r="AB989" s="52" t="n">
        <v>0</v>
      </c>
      <c r="AC989" s="52" t="n">
        <v>0</v>
      </c>
      <c r="AD989" s="52" t="n">
        <v>0</v>
      </c>
      <c r="AE989" s="52" t="n">
        <v>0</v>
      </c>
      <c r="AF989" s="52" t="n">
        <v>0</v>
      </c>
      <c r="AG989" s="52" t="n">
        <v>0</v>
      </c>
      <c r="AH989" s="52" t="n">
        <v>0</v>
      </c>
      <c r="AI989" s="52" t="n">
        <v>0</v>
      </c>
      <c r="AJ989" s="52" t="n">
        <v>0</v>
      </c>
      <c r="AK989" s="52" t="n">
        <v>0</v>
      </c>
      <c r="AL989" s="52" t="n">
        <v>0</v>
      </c>
      <c r="AM989" s="53" t="n">
        <v>0</v>
      </c>
      <c r="AN989" s="53" t="n">
        <v>0</v>
      </c>
      <c r="AO989" s="53" t="n">
        <v>0</v>
      </c>
      <c r="AP989" s="53" t="n">
        <v>0</v>
      </c>
      <c r="AQ989" s="52" t="n">
        <v>0</v>
      </c>
      <c r="AR989" s="52" t="n">
        <v>0</v>
      </c>
      <c r="AS989" s="52" t="n">
        <v>0</v>
      </c>
      <c r="AT989" s="52" t="n">
        <v>0</v>
      </c>
      <c r="AU989" s="53" t="n">
        <v>0</v>
      </c>
      <c r="AV989" s="53" t="n">
        <v>0</v>
      </c>
      <c r="AW989" s="53" t="n">
        <v>0</v>
      </c>
      <c r="AX989" s="53" t="n">
        <v>0</v>
      </c>
      <c r="AY989" s="52" t="n">
        <v>0</v>
      </c>
      <c r="AZ989" s="52" t="n">
        <v>0</v>
      </c>
      <c r="BA989" s="52" t="n">
        <v>0</v>
      </c>
      <c r="BB989" s="52" t="n">
        <v>0</v>
      </c>
      <c r="BC989" s="51" t="n">
        <v>0</v>
      </c>
      <c r="BD989" s="51" t="n">
        <v>0</v>
      </c>
      <c r="BE989" s="51" t="n">
        <v>0</v>
      </c>
      <c r="BF989" s="51" t="n">
        <v>0</v>
      </c>
    </row>
    <row r="990">
      <c r="A990">
        <f>HYPERLINK("https://www.walmart.com/ip/9523000918", "9523000918")</f>
        <v/>
      </c>
      <c r="B990" t="inlineStr">
        <is>
          <t>Wrangler Yellowstone Sturdy Laptop Backpack for Travel, Hiking Backpack with Classic Logo, Water Resistant Casual Daypack, Padded Sleeve College Backpack for Notebook, Cream</t>
        </is>
      </c>
      <c r="C990" t="inlineStr">
        <is>
          <t>WR-BACKPACK-16273-CREAM</t>
        </is>
      </c>
      <c r="D990" t="inlineStr">
        <is>
          <t>Backpacks</t>
        </is>
      </c>
      <c r="E990" t="inlineStr">
        <is>
          <t>Wrangler</t>
        </is>
      </c>
      <c r="F990" t="inlineStr">
        <is>
          <t>Backpack</t>
        </is>
      </c>
      <c r="G990" s="48" t="n">
        <v>0</v>
      </c>
      <c r="H990" s="48" t="n">
        <v>0</v>
      </c>
      <c r="I990" s="48" t="n">
        <v>0</v>
      </c>
      <c r="J990" s="48" t="n">
        <v>0</v>
      </c>
      <c r="K990" s="49" t="n">
        <v>0</v>
      </c>
      <c r="L990" s="49" t="n">
        <v>0</v>
      </c>
      <c r="M990" s="49" t="n">
        <v>0</v>
      </c>
      <c r="N990" s="49" t="n">
        <v>0</v>
      </c>
      <c r="O990" s="49" t="n">
        <v>0</v>
      </c>
      <c r="P990" s="49" t="n">
        <v>0</v>
      </c>
      <c r="Q990" s="49" t="n">
        <v>0</v>
      </c>
      <c r="R990" s="49" t="n">
        <v>0</v>
      </c>
      <c r="S990" s="50" t="n">
        <v>0</v>
      </c>
      <c r="T990" s="50" t="n">
        <v>0</v>
      </c>
      <c r="U990" s="50" t="n">
        <v>0</v>
      </c>
      <c r="V990" s="50" t="n">
        <v>0</v>
      </c>
      <c r="W990" s="51" t="n">
        <v>0</v>
      </c>
      <c r="X990" s="51" t="n">
        <v>0</v>
      </c>
      <c r="Y990" s="51" t="n">
        <v>0</v>
      </c>
      <c r="Z990" s="51" t="n">
        <v>0</v>
      </c>
      <c r="AA990" s="52" t="n">
        <v>0</v>
      </c>
      <c r="AB990" s="52" t="n">
        <v>0</v>
      </c>
      <c r="AC990" s="52" t="n">
        <v>0</v>
      </c>
      <c r="AD990" s="52" t="n">
        <v>0</v>
      </c>
      <c r="AE990" s="52" t="n">
        <v>0</v>
      </c>
      <c r="AF990" s="52" t="n">
        <v>0</v>
      </c>
      <c r="AG990" s="52" t="n">
        <v>0</v>
      </c>
      <c r="AH990" s="52" t="n">
        <v>0</v>
      </c>
      <c r="AI990" s="52" t="n">
        <v>0</v>
      </c>
      <c r="AJ990" s="52" t="n">
        <v>0</v>
      </c>
      <c r="AK990" s="52" t="n">
        <v>0</v>
      </c>
      <c r="AL990" s="52" t="n">
        <v>0</v>
      </c>
      <c r="AM990" s="53" t="n">
        <v>0</v>
      </c>
      <c r="AN990" s="53" t="n">
        <v>0</v>
      </c>
      <c r="AO990" s="53" t="n">
        <v>0</v>
      </c>
      <c r="AP990" s="53" t="n">
        <v>0</v>
      </c>
      <c r="AQ990" s="52" t="n">
        <v>0</v>
      </c>
      <c r="AR990" s="52" t="n">
        <v>0</v>
      </c>
      <c r="AS990" s="52" t="n">
        <v>0</v>
      </c>
      <c r="AT990" s="52" t="n">
        <v>0</v>
      </c>
      <c r="AU990" s="53" t="n">
        <v>0</v>
      </c>
      <c r="AV990" s="53" t="n">
        <v>0</v>
      </c>
      <c r="AW990" s="53" t="n">
        <v>0</v>
      </c>
      <c r="AX990" s="53" t="n">
        <v>0</v>
      </c>
      <c r="AY990" s="52" t="n">
        <v>0</v>
      </c>
      <c r="AZ990" s="52" t="n">
        <v>0</v>
      </c>
      <c r="BA990" s="52" t="n">
        <v>0</v>
      </c>
      <c r="BB990" s="52" t="n">
        <v>0</v>
      </c>
      <c r="BC990" s="51" t="n">
        <v>0</v>
      </c>
      <c r="BD990" s="51" t="n">
        <v>0</v>
      </c>
      <c r="BE990" s="51" t="n">
        <v>0</v>
      </c>
      <c r="BF990" s="51" t="n">
        <v>0</v>
      </c>
    </row>
    <row r="991">
      <c r="A991">
        <f>HYPERLINK("https://www.walmart.com/ip/9523050651", "9523050651")</f>
        <v/>
      </c>
      <c r="B991" t="inlineStr">
        <is>
          <t>Ocean Pacific Og Corduroy Backpack for Travel, Sports, and Work, Waterproof College Backpack, Laptop Backpack Fits 15.6” Devices, Casual Daypack Backpacks for Adults, Olive</t>
        </is>
      </c>
      <c r="C991" t="inlineStr">
        <is>
          <t>OP-BACKPACK-15381-OLIVE</t>
        </is>
      </c>
      <c r="D991" t="inlineStr">
        <is>
          <t>Backpacks</t>
        </is>
      </c>
      <c r="E991" t="inlineStr">
        <is>
          <t>Ocean Pacific</t>
        </is>
      </c>
      <c r="F991" t="inlineStr">
        <is>
          <t>Backpack</t>
        </is>
      </c>
      <c r="G991" s="48" t="n">
        <v>0</v>
      </c>
      <c r="H991" s="48" t="n">
        <v>0</v>
      </c>
      <c r="I991" s="48" t="n">
        <v>0</v>
      </c>
      <c r="J991" s="48" t="n">
        <v>0</v>
      </c>
      <c r="K991" s="49" t="n">
        <v>0</v>
      </c>
      <c r="L991" s="49" t="n">
        <v>0</v>
      </c>
      <c r="M991" s="49" t="n">
        <v>0</v>
      </c>
      <c r="N991" s="49" t="n">
        <v>0</v>
      </c>
      <c r="O991" s="49" t="n">
        <v>0</v>
      </c>
      <c r="P991" s="49" t="n">
        <v>0</v>
      </c>
      <c r="Q991" s="49" t="n">
        <v>0</v>
      </c>
      <c r="R991" s="49" t="n">
        <v>0</v>
      </c>
      <c r="S991" s="50" t="n">
        <v>0</v>
      </c>
      <c r="T991" s="50" t="n">
        <v>0</v>
      </c>
      <c r="U991" s="50" t="n">
        <v>0</v>
      </c>
      <c r="V991" s="50" t="n">
        <v>0</v>
      </c>
      <c r="W991" s="51" t="n">
        <v>0</v>
      </c>
      <c r="X991" s="51" t="n">
        <v>0</v>
      </c>
      <c r="Y991" s="51" t="n">
        <v>0</v>
      </c>
      <c r="Z991" s="51" t="n">
        <v>0</v>
      </c>
      <c r="AA991" s="52" t="n">
        <v>0</v>
      </c>
      <c r="AB991" s="52" t="n">
        <v>0</v>
      </c>
      <c r="AC991" s="52" t="n">
        <v>0</v>
      </c>
      <c r="AD991" s="52" t="n">
        <v>0</v>
      </c>
      <c r="AE991" s="52" t="n">
        <v>0</v>
      </c>
      <c r="AF991" s="52" t="n">
        <v>0</v>
      </c>
      <c r="AG991" s="52" t="n">
        <v>0</v>
      </c>
      <c r="AH991" s="52" t="n">
        <v>0</v>
      </c>
      <c r="AI991" s="52" t="n">
        <v>0</v>
      </c>
      <c r="AJ991" s="52" t="n">
        <v>0</v>
      </c>
      <c r="AK991" s="52" t="n">
        <v>0</v>
      </c>
      <c r="AL991" s="52" t="n">
        <v>0</v>
      </c>
      <c r="AM991" s="53" t="n">
        <v>0</v>
      </c>
      <c r="AN991" s="53" t="n">
        <v>0</v>
      </c>
      <c r="AO991" s="53" t="n">
        <v>0</v>
      </c>
      <c r="AP991" s="53" t="n">
        <v>0</v>
      </c>
      <c r="AQ991" s="52" t="n">
        <v>0</v>
      </c>
      <c r="AR991" s="52" t="n">
        <v>0</v>
      </c>
      <c r="AS991" s="52" t="n">
        <v>0</v>
      </c>
      <c r="AT991" s="52" t="n">
        <v>0</v>
      </c>
      <c r="AU991" s="53" t="n">
        <v>0</v>
      </c>
      <c r="AV991" s="53" t="n">
        <v>0</v>
      </c>
      <c r="AW991" s="53" t="n">
        <v>0</v>
      </c>
      <c r="AX991" s="53" t="n">
        <v>0</v>
      </c>
      <c r="AY991" s="52" t="n">
        <v>0</v>
      </c>
      <c r="AZ991" s="52" t="n">
        <v>0</v>
      </c>
      <c r="BA991" s="52" t="n">
        <v>0</v>
      </c>
      <c r="BB991" s="52" t="n">
        <v>0</v>
      </c>
      <c r="BC991" s="51" t="n">
        <v>0</v>
      </c>
      <c r="BD991" s="51" t="n">
        <v>0</v>
      </c>
      <c r="BE991" s="51" t="n">
        <v>0</v>
      </c>
      <c r="BF991" s="51" t="n">
        <v>0</v>
      </c>
    </row>
    <row r="992">
      <c r="A992">
        <f>HYPERLINK("https://www.walmart.com/ip/9523050660", "9523050660")</f>
        <v/>
      </c>
      <c r="B992" t="inlineStr">
        <is>
          <t>Wrangler Yellowstone Sturdy Laptop Backpack for Travel, Hiking Backpack with Classic Logo, Water Resistant Casual Daypack, Padded Sleeve College Backpack for Notebook, Graphite</t>
        </is>
      </c>
      <c r="C992" t="inlineStr">
        <is>
          <t>WR-BACKPACK-16273-GRAPHITE</t>
        </is>
      </c>
      <c r="D992" t="inlineStr">
        <is>
          <t>Backpacks</t>
        </is>
      </c>
      <c r="E992" t="inlineStr">
        <is>
          <t>Wrangler</t>
        </is>
      </c>
      <c r="F992" t="inlineStr">
        <is>
          <t>Backpack</t>
        </is>
      </c>
      <c r="G992" s="48" t="n">
        <v>0</v>
      </c>
      <c r="H992" s="48" t="n">
        <v>0</v>
      </c>
      <c r="I992" s="48" t="n">
        <v>0</v>
      </c>
      <c r="J992" s="48" t="n">
        <v>0</v>
      </c>
      <c r="K992" s="49" t="n">
        <v>0</v>
      </c>
      <c r="L992" s="49" t="n">
        <v>0</v>
      </c>
      <c r="M992" s="49" t="n">
        <v>0</v>
      </c>
      <c r="N992" s="49" t="n">
        <v>0</v>
      </c>
      <c r="O992" s="49" t="n">
        <v>0</v>
      </c>
      <c r="P992" s="49" t="n">
        <v>0</v>
      </c>
      <c r="Q992" s="49" t="n">
        <v>0</v>
      </c>
      <c r="R992" s="49" t="n">
        <v>0</v>
      </c>
      <c r="S992" s="50" t="n">
        <v>0</v>
      </c>
      <c r="T992" s="50" t="n">
        <v>0</v>
      </c>
      <c r="U992" s="50" t="n">
        <v>0</v>
      </c>
      <c r="V992" s="50" t="n">
        <v>0</v>
      </c>
      <c r="W992" s="51" t="n">
        <v>0</v>
      </c>
      <c r="X992" s="51" t="n">
        <v>0</v>
      </c>
      <c r="Y992" s="51" t="n">
        <v>0</v>
      </c>
      <c r="Z992" s="51" t="n">
        <v>0</v>
      </c>
      <c r="AA992" s="52" t="n">
        <v>0</v>
      </c>
      <c r="AB992" s="52" t="n">
        <v>0</v>
      </c>
      <c r="AC992" s="52" t="n">
        <v>0</v>
      </c>
      <c r="AD992" s="52" t="n">
        <v>0</v>
      </c>
      <c r="AE992" s="52" t="n">
        <v>0</v>
      </c>
      <c r="AF992" s="52" t="n">
        <v>0</v>
      </c>
      <c r="AG992" s="52" t="n">
        <v>0</v>
      </c>
      <c r="AH992" s="52" t="n">
        <v>0</v>
      </c>
      <c r="AI992" s="52" t="n">
        <v>0</v>
      </c>
      <c r="AJ992" s="52" t="n">
        <v>0</v>
      </c>
      <c r="AK992" s="52" t="n">
        <v>0</v>
      </c>
      <c r="AL992" s="52" t="n">
        <v>0</v>
      </c>
      <c r="AM992" s="53" t="n">
        <v>0</v>
      </c>
      <c r="AN992" s="53" t="n">
        <v>0</v>
      </c>
      <c r="AO992" s="53" t="n">
        <v>0</v>
      </c>
      <c r="AP992" s="53" t="n">
        <v>0</v>
      </c>
      <c r="AQ992" s="52" t="n">
        <v>0</v>
      </c>
      <c r="AR992" s="52" t="n">
        <v>0</v>
      </c>
      <c r="AS992" s="52" t="n">
        <v>0</v>
      </c>
      <c r="AT992" s="52" t="n">
        <v>0</v>
      </c>
      <c r="AU992" s="53" t="n">
        <v>0</v>
      </c>
      <c r="AV992" s="53" t="n">
        <v>0</v>
      </c>
      <c r="AW992" s="53" t="n">
        <v>0</v>
      </c>
      <c r="AX992" s="53" t="n">
        <v>0</v>
      </c>
      <c r="AY992" s="52" t="n">
        <v>0</v>
      </c>
      <c r="AZ992" s="52" t="n">
        <v>0</v>
      </c>
      <c r="BA992" s="52" t="n">
        <v>0</v>
      </c>
      <c r="BB992" s="52" t="n">
        <v>0</v>
      </c>
      <c r="BC992" s="51" t="n">
        <v>0</v>
      </c>
      <c r="BD992" s="51" t="n">
        <v>0</v>
      </c>
      <c r="BE992" s="51" t="n">
        <v>0</v>
      </c>
      <c r="BF992" s="51" t="n">
        <v>0</v>
      </c>
    </row>
    <row r="993">
      <c r="A993">
        <f>HYPERLINK("https://www.walmart.com/ip/9523620713", "9523620713")</f>
        <v/>
      </c>
      <c r="B993" t="inlineStr">
        <is>
          <t>Wrangler Yellowstone Sturdy Laptop Backpack for Travel, Hiking Backpack with Classic Logo, Water Resistant Casual Daypack, Padded Sleeve College Backpack for Notebook, Wild West</t>
        </is>
      </c>
      <c r="C993" t="inlineStr">
        <is>
          <t>WR-BACKPACK-16273-WILDWEST</t>
        </is>
      </c>
      <c r="D993" t="inlineStr">
        <is>
          <t>Backpacks</t>
        </is>
      </c>
      <c r="E993" t="inlineStr">
        <is>
          <t>Wrangler</t>
        </is>
      </c>
      <c r="F993" t="inlineStr">
        <is>
          <t>Backpack</t>
        </is>
      </c>
      <c r="G993" s="48" t="n">
        <v>0</v>
      </c>
      <c r="H993" s="48" t="n">
        <v>0</v>
      </c>
      <c r="I993" s="48" t="n">
        <v>0</v>
      </c>
      <c r="J993" s="48" t="n">
        <v>0</v>
      </c>
      <c r="K993" s="49" t="n">
        <v>0</v>
      </c>
      <c r="L993" s="49" t="n">
        <v>0</v>
      </c>
      <c r="M993" s="49" t="n">
        <v>0</v>
      </c>
      <c r="N993" s="49" t="n">
        <v>0</v>
      </c>
      <c r="O993" s="49" t="n">
        <v>0</v>
      </c>
      <c r="P993" s="49" t="n">
        <v>0</v>
      </c>
      <c r="Q993" s="49" t="n">
        <v>0</v>
      </c>
      <c r="R993" s="49" t="n">
        <v>0</v>
      </c>
      <c r="S993" s="50" t="n">
        <v>0</v>
      </c>
      <c r="T993" s="50" t="n">
        <v>0</v>
      </c>
      <c r="U993" s="50" t="n">
        <v>0</v>
      </c>
      <c r="V993" s="50" t="n">
        <v>0</v>
      </c>
      <c r="W993" s="51" t="n">
        <v>0</v>
      </c>
      <c r="X993" s="51" t="n">
        <v>0</v>
      </c>
      <c r="Y993" s="51" t="n">
        <v>0</v>
      </c>
      <c r="Z993" s="51" t="n">
        <v>0</v>
      </c>
      <c r="AA993" s="52" t="n">
        <v>0</v>
      </c>
      <c r="AB993" s="52" t="n">
        <v>0</v>
      </c>
      <c r="AC993" s="52" t="n">
        <v>0</v>
      </c>
      <c r="AD993" s="52" t="n">
        <v>0</v>
      </c>
      <c r="AE993" s="52" t="n">
        <v>0</v>
      </c>
      <c r="AF993" s="52" t="n">
        <v>0</v>
      </c>
      <c r="AG993" s="52" t="n">
        <v>0</v>
      </c>
      <c r="AH993" s="52" t="n">
        <v>0</v>
      </c>
      <c r="AI993" s="52" t="n">
        <v>0</v>
      </c>
      <c r="AJ993" s="52" t="n">
        <v>0</v>
      </c>
      <c r="AK993" s="52" t="n">
        <v>0</v>
      </c>
      <c r="AL993" s="52" t="n">
        <v>0</v>
      </c>
      <c r="AM993" s="53" t="n">
        <v>0</v>
      </c>
      <c r="AN993" s="53" t="n">
        <v>0</v>
      </c>
      <c r="AO993" s="53" t="n">
        <v>0</v>
      </c>
      <c r="AP993" s="53" t="n">
        <v>0</v>
      </c>
      <c r="AQ993" s="52" t="n">
        <v>0</v>
      </c>
      <c r="AR993" s="52" t="n">
        <v>0</v>
      </c>
      <c r="AS993" s="52" t="n">
        <v>0</v>
      </c>
      <c r="AT993" s="52" t="n">
        <v>0</v>
      </c>
      <c r="AU993" s="53" t="n">
        <v>0</v>
      </c>
      <c r="AV993" s="53" t="n">
        <v>0</v>
      </c>
      <c r="AW993" s="53" t="n">
        <v>0</v>
      </c>
      <c r="AX993" s="53" t="n">
        <v>0</v>
      </c>
      <c r="AY993" s="52" t="n">
        <v>0</v>
      </c>
      <c r="AZ993" s="52" t="n">
        <v>0</v>
      </c>
      <c r="BA993" s="52" t="n">
        <v>0</v>
      </c>
      <c r="BB993" s="52" t="n">
        <v>0</v>
      </c>
      <c r="BC993" s="51" t="n">
        <v>0</v>
      </c>
      <c r="BD993" s="51" t="n">
        <v>0</v>
      </c>
      <c r="BE993" s="51" t="n">
        <v>0</v>
      </c>
      <c r="BF993" s="51" t="n">
        <v>0</v>
      </c>
    </row>
    <row r="994">
      <c r="A994">
        <f>HYPERLINK("https://www.walmart.com/ip/9528713966", "9528713966")</f>
        <v/>
      </c>
      <c r="B994" t="inlineStr">
        <is>
          <t>Wrangler Yellowstone Sturdy Laptop Backpack for Travel, Hiking Backpack with Classic Logo, Water Resistant Casual Daypack, Padded Sleeve College Backpack for Notebook, Teal Patterned</t>
        </is>
      </c>
      <c r="C994" t="inlineStr">
        <is>
          <t>WR-BACKPACK-16273-TEAL</t>
        </is>
      </c>
      <c r="D994" t="inlineStr">
        <is>
          <t>Backpacks</t>
        </is>
      </c>
      <c r="E994" t="inlineStr">
        <is>
          <t>Wrangler</t>
        </is>
      </c>
      <c r="F994" t="inlineStr">
        <is>
          <t>Backpack</t>
        </is>
      </c>
      <c r="G994" s="48" t="n">
        <v>0</v>
      </c>
      <c r="H994" s="48" t="n">
        <v>0</v>
      </c>
      <c r="I994" s="48" t="n">
        <v>0</v>
      </c>
      <c r="J994" s="48" t="n">
        <v>0</v>
      </c>
      <c r="K994" s="49" t="n">
        <v>0</v>
      </c>
      <c r="L994" s="49" t="n">
        <v>0</v>
      </c>
      <c r="M994" s="49" t="n">
        <v>0</v>
      </c>
      <c r="N994" s="49" t="n">
        <v>0</v>
      </c>
      <c r="O994" s="49" t="n">
        <v>0</v>
      </c>
      <c r="P994" s="49" t="n">
        <v>0</v>
      </c>
      <c r="Q994" s="49" t="n">
        <v>0</v>
      </c>
      <c r="R994" s="49" t="n">
        <v>0</v>
      </c>
      <c r="S994" s="50" t="n">
        <v>0</v>
      </c>
      <c r="T994" s="50" t="n">
        <v>0</v>
      </c>
      <c r="U994" s="50" t="n">
        <v>0</v>
      </c>
      <c r="V994" s="50" t="n">
        <v>0</v>
      </c>
      <c r="W994" s="51" t="n">
        <v>0</v>
      </c>
      <c r="X994" s="51" t="n">
        <v>0</v>
      </c>
      <c r="Y994" s="51" t="n">
        <v>0</v>
      </c>
      <c r="Z994" s="51" t="n">
        <v>0</v>
      </c>
      <c r="AA994" s="52" t="n">
        <v>0</v>
      </c>
      <c r="AB994" s="52" t="n">
        <v>0</v>
      </c>
      <c r="AC994" s="52" t="n">
        <v>0</v>
      </c>
      <c r="AD994" s="52" t="n">
        <v>0</v>
      </c>
      <c r="AE994" s="52" t="n">
        <v>0</v>
      </c>
      <c r="AF994" s="52" t="n">
        <v>0</v>
      </c>
      <c r="AG994" s="52" t="n">
        <v>0</v>
      </c>
      <c r="AH994" s="52" t="n">
        <v>0</v>
      </c>
      <c r="AI994" s="52" t="n">
        <v>0</v>
      </c>
      <c r="AJ994" s="52" t="n">
        <v>0</v>
      </c>
      <c r="AK994" s="52" t="n">
        <v>0</v>
      </c>
      <c r="AL994" s="52" t="n">
        <v>0</v>
      </c>
      <c r="AM994" s="53" t="n">
        <v>0</v>
      </c>
      <c r="AN994" s="53" t="n">
        <v>0</v>
      </c>
      <c r="AO994" s="53" t="n">
        <v>0</v>
      </c>
      <c r="AP994" s="53" t="n">
        <v>0</v>
      </c>
      <c r="AQ994" s="52" t="n">
        <v>0</v>
      </c>
      <c r="AR994" s="52" t="n">
        <v>0</v>
      </c>
      <c r="AS994" s="52" t="n">
        <v>0</v>
      </c>
      <c r="AT994" s="52" t="n">
        <v>0</v>
      </c>
      <c r="AU994" s="53" t="n">
        <v>0</v>
      </c>
      <c r="AV994" s="53" t="n">
        <v>0</v>
      </c>
      <c r="AW994" s="53" t="n">
        <v>0</v>
      </c>
      <c r="AX994" s="53" t="n">
        <v>0</v>
      </c>
      <c r="AY994" s="52" t="n">
        <v>0</v>
      </c>
      <c r="AZ994" s="52" t="n">
        <v>0</v>
      </c>
      <c r="BA994" s="52" t="n">
        <v>0</v>
      </c>
      <c r="BB994" s="52" t="n">
        <v>0</v>
      </c>
      <c r="BC994" s="51" t="n">
        <v>0</v>
      </c>
      <c r="BD994" s="51" t="n">
        <v>0</v>
      </c>
      <c r="BE994" s="51" t="n">
        <v>0</v>
      </c>
      <c r="BF994" s="51" t="n">
        <v>0</v>
      </c>
    </row>
    <row r="995">
      <c r="A995">
        <f>HYPERLINK("https://www.walmart.com/ip/9526874803", "9526874803")</f>
        <v/>
      </c>
      <c r="B995" t="inlineStr">
        <is>
          <t>Wrangler Yellowstone Sturdy Laptop Backpack for Travel, Hiking Backpack with Classic Logo, Water Resistant Casual Daypack, Padded Sleeve College Backpack for Notebook, Black Denim</t>
        </is>
      </c>
      <c r="C995" t="inlineStr">
        <is>
          <t>WR-BACKPACK-16273-BLKDENIM</t>
        </is>
      </c>
      <c r="D995" t="inlineStr">
        <is>
          <t>Backpacks</t>
        </is>
      </c>
      <c r="E995" t="inlineStr">
        <is>
          <t>Wrangler</t>
        </is>
      </c>
      <c r="F995" t="inlineStr">
        <is>
          <t>Backpack</t>
        </is>
      </c>
      <c r="G995" s="48" t="n">
        <v>0</v>
      </c>
      <c r="H995" s="48" t="n">
        <v>0</v>
      </c>
      <c r="I995" s="48" t="n">
        <v>0</v>
      </c>
      <c r="J995" s="48" t="n">
        <v>0</v>
      </c>
      <c r="K995" s="49" t="n">
        <v>0</v>
      </c>
      <c r="L995" s="49" t="n">
        <v>0</v>
      </c>
      <c r="M995" s="49" t="n">
        <v>0</v>
      </c>
      <c r="N995" s="49" t="n">
        <v>0</v>
      </c>
      <c r="O995" s="49" t="n">
        <v>0</v>
      </c>
      <c r="P995" s="49" t="n">
        <v>0</v>
      </c>
      <c r="Q995" s="49" t="n">
        <v>0</v>
      </c>
      <c r="R995" s="49" t="n">
        <v>0</v>
      </c>
      <c r="S995" s="50" t="n">
        <v>0</v>
      </c>
      <c r="T995" s="50" t="n">
        <v>0</v>
      </c>
      <c r="U995" s="50" t="n">
        <v>0</v>
      </c>
      <c r="V995" s="50" t="n">
        <v>0</v>
      </c>
      <c r="W995" s="51" t="n">
        <v>0</v>
      </c>
      <c r="X995" s="51" t="n">
        <v>0</v>
      </c>
      <c r="Y995" s="51" t="n">
        <v>0</v>
      </c>
      <c r="Z995" s="51" t="n">
        <v>0</v>
      </c>
      <c r="AA995" s="52" t="n">
        <v>0</v>
      </c>
      <c r="AB995" s="52" t="n">
        <v>0</v>
      </c>
      <c r="AC995" s="52" t="n">
        <v>0</v>
      </c>
      <c r="AD995" s="52" t="n">
        <v>0</v>
      </c>
      <c r="AE995" s="52" t="n">
        <v>0</v>
      </c>
      <c r="AF995" s="52" t="n">
        <v>0</v>
      </c>
      <c r="AG995" s="52" t="n">
        <v>0</v>
      </c>
      <c r="AH995" s="52" t="n">
        <v>0</v>
      </c>
      <c r="AI995" s="52" t="n">
        <v>0</v>
      </c>
      <c r="AJ995" s="52" t="n">
        <v>0</v>
      </c>
      <c r="AK995" s="52" t="n">
        <v>0</v>
      </c>
      <c r="AL995" s="52" t="n">
        <v>0</v>
      </c>
      <c r="AM995" s="53" t="n">
        <v>0</v>
      </c>
      <c r="AN995" s="53" t="n">
        <v>0</v>
      </c>
      <c r="AO995" s="53" t="n">
        <v>0</v>
      </c>
      <c r="AP995" s="53" t="n">
        <v>0</v>
      </c>
      <c r="AQ995" s="52" t="n">
        <v>0</v>
      </c>
      <c r="AR995" s="52" t="n">
        <v>0</v>
      </c>
      <c r="AS995" s="52" t="n">
        <v>0</v>
      </c>
      <c r="AT995" s="52" t="n">
        <v>0</v>
      </c>
      <c r="AU995" s="53" t="n">
        <v>0</v>
      </c>
      <c r="AV995" s="53" t="n">
        <v>0</v>
      </c>
      <c r="AW995" s="53" t="n">
        <v>0</v>
      </c>
      <c r="AX995" s="53" t="n">
        <v>0</v>
      </c>
      <c r="AY995" s="52" t="n">
        <v>0</v>
      </c>
      <c r="AZ995" s="52" t="n">
        <v>0</v>
      </c>
      <c r="BA995" s="52" t="n">
        <v>0</v>
      </c>
      <c r="BB995" s="52" t="n">
        <v>0</v>
      </c>
      <c r="BC995" s="51" t="n">
        <v>0</v>
      </c>
      <c r="BD995" s="51" t="n">
        <v>0</v>
      </c>
      <c r="BE995" s="51" t="n">
        <v>0</v>
      </c>
      <c r="BF995" s="51" t="n">
        <v>0</v>
      </c>
    </row>
    <row r="996">
      <c r="A996">
        <f>HYPERLINK("https://www.walmart.com/ip/9527811157", "9527811157")</f>
        <v/>
      </c>
      <c r="B996" t="inlineStr">
        <is>
          <t>Lee Clear Water Resistant Backpack for Boys and Girls, Durable See Thru Book Bag, Backpacks for School, Laptop Backpack, Ideal for Stadiums, Concerts, and Casual Use, Clear Red</t>
        </is>
      </c>
      <c r="C996" t="inlineStr">
        <is>
          <t>LE-BACKPACK-93038-RED</t>
        </is>
      </c>
      <c r="D996" t="inlineStr">
        <is>
          <t>Backpacks</t>
        </is>
      </c>
      <c r="E996" t="inlineStr">
        <is>
          <t>Lee</t>
        </is>
      </c>
      <c r="F996" t="inlineStr">
        <is>
          <t>Backpack</t>
        </is>
      </c>
      <c r="G996" s="48" t="n">
        <v>0</v>
      </c>
      <c r="H996" s="48" t="n">
        <v>0</v>
      </c>
      <c r="I996" s="48" t="n">
        <v>0</v>
      </c>
      <c r="J996" s="48" t="n">
        <v>0</v>
      </c>
      <c r="K996" s="49" t="n">
        <v>0</v>
      </c>
      <c r="L996" s="49" t="n">
        <v>0</v>
      </c>
      <c r="M996" s="49" t="n">
        <v>0</v>
      </c>
      <c r="N996" s="49" t="n">
        <v>0</v>
      </c>
      <c r="O996" s="49" t="n">
        <v>0</v>
      </c>
      <c r="P996" s="49" t="n">
        <v>0</v>
      </c>
      <c r="Q996" s="49" t="n">
        <v>0</v>
      </c>
      <c r="R996" s="49" t="n">
        <v>0</v>
      </c>
      <c r="S996" s="50" t="n">
        <v>0</v>
      </c>
      <c r="T996" s="50" t="n">
        <v>0</v>
      </c>
      <c r="U996" s="50" t="n">
        <v>0</v>
      </c>
      <c r="V996" s="50" t="n">
        <v>0</v>
      </c>
      <c r="W996" s="51" t="n">
        <v>0</v>
      </c>
      <c r="X996" s="51" t="n">
        <v>0</v>
      </c>
      <c r="Y996" s="51" t="n">
        <v>0</v>
      </c>
      <c r="Z996" s="51" t="n">
        <v>0</v>
      </c>
      <c r="AA996" s="52" t="n">
        <v>0</v>
      </c>
      <c r="AB996" s="52" t="n">
        <v>0</v>
      </c>
      <c r="AC996" s="52" t="n">
        <v>0</v>
      </c>
      <c r="AD996" s="52" t="n">
        <v>0</v>
      </c>
      <c r="AE996" s="52" t="n">
        <v>0</v>
      </c>
      <c r="AF996" s="52" t="n">
        <v>0</v>
      </c>
      <c r="AG996" s="52" t="n">
        <v>0</v>
      </c>
      <c r="AH996" s="52" t="n">
        <v>0</v>
      </c>
      <c r="AI996" s="52" t="n">
        <v>0</v>
      </c>
      <c r="AJ996" s="52" t="n">
        <v>0</v>
      </c>
      <c r="AK996" s="52" t="n">
        <v>0</v>
      </c>
      <c r="AL996" s="52" t="n">
        <v>0</v>
      </c>
      <c r="AM996" s="53" t="n">
        <v>0</v>
      </c>
      <c r="AN996" s="53" t="n">
        <v>0</v>
      </c>
      <c r="AO996" s="53" t="n">
        <v>0</v>
      </c>
      <c r="AP996" s="53" t="n">
        <v>0</v>
      </c>
      <c r="AQ996" s="52" t="n">
        <v>0</v>
      </c>
      <c r="AR996" s="52" t="n">
        <v>0</v>
      </c>
      <c r="AS996" s="52" t="n">
        <v>0</v>
      </c>
      <c r="AT996" s="52" t="n">
        <v>0</v>
      </c>
      <c r="AU996" s="53" t="n">
        <v>0</v>
      </c>
      <c r="AV996" s="53" t="n">
        <v>0</v>
      </c>
      <c r="AW996" s="53" t="n">
        <v>0</v>
      </c>
      <c r="AX996" s="53" t="n">
        <v>0</v>
      </c>
      <c r="AY996" s="52" t="n">
        <v>0</v>
      </c>
      <c r="AZ996" s="52" t="n">
        <v>0</v>
      </c>
      <c r="BA996" s="52" t="n">
        <v>0</v>
      </c>
      <c r="BB996" s="52" t="n">
        <v>0</v>
      </c>
      <c r="BC996" s="51" t="n">
        <v>0</v>
      </c>
      <c r="BD996" s="51" t="n">
        <v>0</v>
      </c>
      <c r="BE996" s="51" t="n">
        <v>0</v>
      </c>
      <c r="BF996" s="51" t="n">
        <v>0</v>
      </c>
    </row>
    <row r="997">
      <c r="A997">
        <f>HYPERLINK("https://www.walmart.com/ip/9528705047", "9528705047")</f>
        <v/>
      </c>
      <c r="B997" t="inlineStr">
        <is>
          <t>Wrangler Clear Water-Resistant Backpack for Girls, Durable Plastic See-Thru Book Bag, Backpacks for School, Laptop Backpack for Casual Use, Stadiums and Concerts, Clear Red</t>
        </is>
      </c>
      <c r="C997" t="inlineStr">
        <is>
          <t>WR-BACKPACK-92958-RED</t>
        </is>
      </c>
      <c r="D997" t="inlineStr">
        <is>
          <t>Backpacks</t>
        </is>
      </c>
      <c r="E997" t="inlineStr">
        <is>
          <t>Wrangler</t>
        </is>
      </c>
      <c r="F997" t="inlineStr">
        <is>
          <t>Backpack</t>
        </is>
      </c>
      <c r="G997" s="48" t="n">
        <v>0</v>
      </c>
      <c r="H997" s="48" t="n">
        <v>0</v>
      </c>
      <c r="I997" s="48" t="n">
        <v>0</v>
      </c>
      <c r="J997" s="48" t="n">
        <v>0</v>
      </c>
      <c r="K997" s="49" t="n">
        <v>0</v>
      </c>
      <c r="L997" s="49" t="n">
        <v>0</v>
      </c>
      <c r="M997" s="49" t="n">
        <v>0</v>
      </c>
      <c r="N997" s="49" t="n">
        <v>0</v>
      </c>
      <c r="O997" s="49" t="n">
        <v>0</v>
      </c>
      <c r="P997" s="49" t="n">
        <v>0</v>
      </c>
      <c r="Q997" s="49" t="n">
        <v>0</v>
      </c>
      <c r="R997" s="49" t="n">
        <v>0</v>
      </c>
      <c r="S997" s="50" t="n">
        <v>0</v>
      </c>
      <c r="T997" s="50" t="n">
        <v>0</v>
      </c>
      <c r="U997" s="50" t="n">
        <v>0</v>
      </c>
      <c r="V997" s="50" t="n">
        <v>0</v>
      </c>
      <c r="W997" s="51" t="n">
        <v>0</v>
      </c>
      <c r="X997" s="51" t="n">
        <v>0</v>
      </c>
      <c r="Y997" s="51" t="n">
        <v>0</v>
      </c>
      <c r="Z997" s="51" t="n">
        <v>0</v>
      </c>
      <c r="AA997" s="52" t="n">
        <v>0</v>
      </c>
      <c r="AB997" s="52" t="n">
        <v>0</v>
      </c>
      <c r="AC997" s="52" t="n">
        <v>0</v>
      </c>
      <c r="AD997" s="52" t="n">
        <v>0</v>
      </c>
      <c r="AE997" s="52" t="n">
        <v>0</v>
      </c>
      <c r="AF997" s="52" t="n">
        <v>0</v>
      </c>
      <c r="AG997" s="52" t="n">
        <v>0</v>
      </c>
      <c r="AH997" s="52" t="n">
        <v>0</v>
      </c>
      <c r="AI997" s="52" t="n">
        <v>0</v>
      </c>
      <c r="AJ997" s="52" t="n">
        <v>0</v>
      </c>
      <c r="AK997" s="52" t="n">
        <v>0</v>
      </c>
      <c r="AL997" s="52" t="n">
        <v>0</v>
      </c>
      <c r="AM997" s="53" t="n">
        <v>0</v>
      </c>
      <c r="AN997" s="53" t="n">
        <v>0</v>
      </c>
      <c r="AO997" s="53" t="n">
        <v>0</v>
      </c>
      <c r="AP997" s="53" t="n">
        <v>0</v>
      </c>
      <c r="AQ997" s="52" t="n">
        <v>0</v>
      </c>
      <c r="AR997" s="52" t="n">
        <v>0</v>
      </c>
      <c r="AS997" s="52" t="n">
        <v>0</v>
      </c>
      <c r="AT997" s="52" t="n">
        <v>0</v>
      </c>
      <c r="AU997" s="53" t="n">
        <v>0</v>
      </c>
      <c r="AV997" s="53" t="n">
        <v>0</v>
      </c>
      <c r="AW997" s="53" t="n">
        <v>0</v>
      </c>
      <c r="AX997" s="53" t="n">
        <v>0</v>
      </c>
      <c r="AY997" s="52" t="n">
        <v>0</v>
      </c>
      <c r="AZ997" s="52" t="n">
        <v>0</v>
      </c>
      <c r="BA997" s="52" t="n">
        <v>0</v>
      </c>
      <c r="BB997" s="52" t="n">
        <v>0</v>
      </c>
      <c r="BC997" s="51" t="n">
        <v>0</v>
      </c>
      <c r="BD997" s="51" t="n">
        <v>0</v>
      </c>
      <c r="BE997" s="51" t="n">
        <v>0</v>
      </c>
      <c r="BF997" s="51" t="n">
        <v>0</v>
      </c>
    </row>
    <row r="998">
      <c r="A998">
        <f>HYPERLINK("https://www.walmart.com/ip/9528705714", "9528705714")</f>
        <v/>
      </c>
      <c r="B998" t="inlineStr">
        <is>
          <t>Wrangler Yellowstone Sturdy Laptop Backpack for Travel, Hiking Backpack with Classic Logo, Water Resistant Casual Daypack, Padded Sleeve College Backpack for Notebook, Grey</t>
        </is>
      </c>
      <c r="C998" t="inlineStr">
        <is>
          <t>WR-BACKPACK-16273-GREY</t>
        </is>
      </c>
      <c r="D998" t="inlineStr">
        <is>
          <t>Backpacks</t>
        </is>
      </c>
      <c r="E998" t="inlineStr">
        <is>
          <t>Wrangler</t>
        </is>
      </c>
      <c r="F998" t="inlineStr">
        <is>
          <t>Backpack</t>
        </is>
      </c>
      <c r="G998" s="48" t="n">
        <v>0</v>
      </c>
      <c r="H998" s="48" t="n">
        <v>0</v>
      </c>
      <c r="I998" s="48" t="n">
        <v>0</v>
      </c>
      <c r="J998" s="48" t="n">
        <v>0</v>
      </c>
      <c r="K998" s="49" t="n">
        <v>0</v>
      </c>
      <c r="L998" s="49" t="n">
        <v>0</v>
      </c>
      <c r="M998" s="49" t="n">
        <v>0</v>
      </c>
      <c r="N998" s="49" t="n">
        <v>0</v>
      </c>
      <c r="O998" s="49" t="n">
        <v>0</v>
      </c>
      <c r="P998" s="49" t="n">
        <v>0</v>
      </c>
      <c r="Q998" s="49" t="n">
        <v>0</v>
      </c>
      <c r="R998" s="49" t="n">
        <v>0</v>
      </c>
      <c r="S998" s="50" t="n">
        <v>0</v>
      </c>
      <c r="T998" s="50" t="n">
        <v>0</v>
      </c>
      <c r="U998" s="50" t="n">
        <v>0</v>
      </c>
      <c r="V998" s="50" t="n">
        <v>0</v>
      </c>
      <c r="W998" s="51" t="n">
        <v>0</v>
      </c>
      <c r="X998" s="51" t="n">
        <v>0</v>
      </c>
      <c r="Y998" s="51" t="n">
        <v>0</v>
      </c>
      <c r="Z998" s="51" t="n">
        <v>0</v>
      </c>
      <c r="AA998" s="52" t="n">
        <v>0</v>
      </c>
      <c r="AB998" s="52" t="n">
        <v>0</v>
      </c>
      <c r="AC998" s="52" t="n">
        <v>0</v>
      </c>
      <c r="AD998" s="52" t="n">
        <v>0</v>
      </c>
      <c r="AE998" s="52" t="n">
        <v>0</v>
      </c>
      <c r="AF998" s="52" t="n">
        <v>0</v>
      </c>
      <c r="AG998" s="52" t="n">
        <v>0</v>
      </c>
      <c r="AH998" s="52" t="n">
        <v>0</v>
      </c>
      <c r="AI998" s="52" t="n">
        <v>0</v>
      </c>
      <c r="AJ998" s="52" t="n">
        <v>0</v>
      </c>
      <c r="AK998" s="52" t="n">
        <v>0</v>
      </c>
      <c r="AL998" s="52" t="n">
        <v>0</v>
      </c>
      <c r="AM998" s="53" t="n">
        <v>0</v>
      </c>
      <c r="AN998" s="53" t="n">
        <v>0</v>
      </c>
      <c r="AO998" s="53" t="n">
        <v>0</v>
      </c>
      <c r="AP998" s="53" t="n">
        <v>0</v>
      </c>
      <c r="AQ998" s="52" t="n">
        <v>0</v>
      </c>
      <c r="AR998" s="52" t="n">
        <v>0</v>
      </c>
      <c r="AS998" s="52" t="n">
        <v>0</v>
      </c>
      <c r="AT998" s="52" t="n">
        <v>0</v>
      </c>
      <c r="AU998" s="53" t="n">
        <v>0</v>
      </c>
      <c r="AV998" s="53" t="n">
        <v>0</v>
      </c>
      <c r="AW998" s="53" t="n">
        <v>0</v>
      </c>
      <c r="AX998" s="53" t="n">
        <v>0</v>
      </c>
      <c r="AY998" s="52" t="n">
        <v>0</v>
      </c>
      <c r="AZ998" s="52" t="n">
        <v>0</v>
      </c>
      <c r="BA998" s="52" t="n">
        <v>0</v>
      </c>
      <c r="BB998" s="52" t="n">
        <v>0</v>
      </c>
      <c r="BC998" s="51" t="n">
        <v>0</v>
      </c>
      <c r="BD998" s="51" t="n">
        <v>0</v>
      </c>
      <c r="BE998" s="51" t="n">
        <v>0</v>
      </c>
      <c r="BF998" s="51" t="n">
        <v>0</v>
      </c>
    </row>
    <row r="999">
      <c r="A999">
        <f>HYPERLINK("https://www.walmart.com/ip/9528713025", "9528713025")</f>
        <v/>
      </c>
      <c r="B999" t="inlineStr">
        <is>
          <t>Wrangler Yellowstone Sturdy Laptop Backpack for Travel, Hiking Backpack with Classic Logo, Water Resistant Casual Daypack, Padded Sleeve College Backpack for Notebook, New Retro</t>
        </is>
      </c>
      <c r="C999" t="inlineStr">
        <is>
          <t>WR-BACKPACK-16273-NEWRETRO</t>
        </is>
      </c>
      <c r="D999" t="inlineStr">
        <is>
          <t>Backpacks</t>
        </is>
      </c>
      <c r="E999" t="inlineStr">
        <is>
          <t>Wrangler</t>
        </is>
      </c>
      <c r="F999" t="inlineStr">
        <is>
          <t>Backpack</t>
        </is>
      </c>
      <c r="G999" s="48" t="n">
        <v>0</v>
      </c>
      <c r="H999" s="48" t="n">
        <v>0</v>
      </c>
      <c r="I999" s="48" t="n">
        <v>0</v>
      </c>
      <c r="J999" s="48" t="n">
        <v>0</v>
      </c>
      <c r="K999" s="49" t="n">
        <v>0</v>
      </c>
      <c r="L999" s="49" t="n">
        <v>0</v>
      </c>
      <c r="M999" s="49" t="n">
        <v>0</v>
      </c>
      <c r="N999" s="49" t="n">
        <v>0</v>
      </c>
      <c r="O999" s="49" t="n">
        <v>0</v>
      </c>
      <c r="P999" s="49" t="n">
        <v>0</v>
      </c>
      <c r="Q999" s="49" t="n">
        <v>0</v>
      </c>
      <c r="R999" s="49" t="n">
        <v>0</v>
      </c>
      <c r="S999" s="50" t="n">
        <v>0</v>
      </c>
      <c r="T999" s="50" t="n">
        <v>0</v>
      </c>
      <c r="U999" s="50" t="n">
        <v>0</v>
      </c>
      <c r="V999" s="50" t="n">
        <v>0</v>
      </c>
      <c r="W999" s="51" t="n">
        <v>0</v>
      </c>
      <c r="X999" s="51" t="n">
        <v>0</v>
      </c>
      <c r="Y999" s="51" t="n">
        <v>0</v>
      </c>
      <c r="Z999" s="51" t="n">
        <v>0</v>
      </c>
      <c r="AA999" s="52" t="n">
        <v>0</v>
      </c>
      <c r="AB999" s="52" t="n">
        <v>0</v>
      </c>
      <c r="AC999" s="52" t="n">
        <v>0</v>
      </c>
      <c r="AD999" s="52" t="n">
        <v>0</v>
      </c>
      <c r="AE999" s="52" t="n">
        <v>0</v>
      </c>
      <c r="AF999" s="52" t="n">
        <v>0</v>
      </c>
      <c r="AG999" s="52" t="n">
        <v>0</v>
      </c>
      <c r="AH999" s="52" t="n">
        <v>0</v>
      </c>
      <c r="AI999" s="52" t="n">
        <v>0</v>
      </c>
      <c r="AJ999" s="52" t="n">
        <v>0</v>
      </c>
      <c r="AK999" s="52" t="n">
        <v>0</v>
      </c>
      <c r="AL999" s="52" t="n">
        <v>0</v>
      </c>
      <c r="AM999" s="53" t="n">
        <v>0</v>
      </c>
      <c r="AN999" s="53" t="n">
        <v>0</v>
      </c>
      <c r="AO999" s="53" t="n">
        <v>0</v>
      </c>
      <c r="AP999" s="53" t="n">
        <v>0</v>
      </c>
      <c r="AQ999" s="52" t="n">
        <v>0</v>
      </c>
      <c r="AR999" s="52" t="n">
        <v>0</v>
      </c>
      <c r="AS999" s="52" t="n">
        <v>0</v>
      </c>
      <c r="AT999" s="52" t="n">
        <v>0</v>
      </c>
      <c r="AU999" s="53" t="n">
        <v>0</v>
      </c>
      <c r="AV999" s="53" t="n">
        <v>0</v>
      </c>
      <c r="AW999" s="53" t="n">
        <v>0</v>
      </c>
      <c r="AX999" s="53" t="n">
        <v>0</v>
      </c>
      <c r="AY999" s="52" t="n">
        <v>0</v>
      </c>
      <c r="AZ999" s="52" t="n">
        <v>0</v>
      </c>
      <c r="BA999" s="52" t="n">
        <v>0</v>
      </c>
      <c r="BB999" s="52" t="n">
        <v>0</v>
      </c>
      <c r="BC999" s="51" t="n">
        <v>0</v>
      </c>
      <c r="BD999" s="51" t="n">
        <v>0</v>
      </c>
      <c r="BE999" s="51" t="n">
        <v>0</v>
      </c>
      <c r="BF999" s="51" t="n">
        <v>0</v>
      </c>
    </row>
    <row r="1000">
      <c r="A1000">
        <f>HYPERLINK("https://www.walmart.com/ip/9528713040", "9528713040")</f>
        <v/>
      </c>
      <c r="B1000" t="inlineStr">
        <is>
          <t>Wrangler Clear Water Resistant Backpack for Girls - Durable Plastic See Thru Bag for Casual Use, Stadiums, Concerts, School (Clear Tan)</t>
        </is>
      </c>
      <c r="C1000" t="inlineStr">
        <is>
          <t>WR-BACKPACK-92958-TAN</t>
        </is>
      </c>
      <c r="D1000" t="inlineStr">
        <is>
          <t>Backpacks</t>
        </is>
      </c>
      <c r="E1000" t="inlineStr">
        <is>
          <t>Wrangler</t>
        </is>
      </c>
      <c r="F1000" t="inlineStr">
        <is>
          <t>Backpack</t>
        </is>
      </c>
      <c r="G1000" s="48" t="n">
        <v>0</v>
      </c>
      <c r="H1000" s="48" t="n">
        <v>0</v>
      </c>
      <c r="I1000" s="48" t="n">
        <v>0</v>
      </c>
      <c r="J1000" s="48" t="n">
        <v>0</v>
      </c>
      <c r="K1000" s="49" t="n">
        <v>0</v>
      </c>
      <c r="L1000" s="49" t="n">
        <v>0</v>
      </c>
      <c r="M1000" s="49" t="n">
        <v>0</v>
      </c>
      <c r="N1000" s="49" t="n">
        <v>0</v>
      </c>
      <c r="O1000" s="49" t="n">
        <v>0</v>
      </c>
      <c r="P1000" s="49" t="n">
        <v>0</v>
      </c>
      <c r="Q1000" s="49" t="n">
        <v>0</v>
      </c>
      <c r="R1000" s="49" t="n">
        <v>0</v>
      </c>
      <c r="S1000" s="50" t="n">
        <v>0</v>
      </c>
      <c r="T1000" s="50" t="n">
        <v>0</v>
      </c>
      <c r="U1000" s="50" t="n">
        <v>0</v>
      </c>
      <c r="V1000" s="50" t="n">
        <v>0</v>
      </c>
      <c r="W1000" s="51" t="n">
        <v>0</v>
      </c>
      <c r="X1000" s="51" t="n">
        <v>0</v>
      </c>
      <c r="Y1000" s="51" t="n">
        <v>0</v>
      </c>
      <c r="Z1000" s="51" t="n">
        <v>0</v>
      </c>
      <c r="AA1000" s="52" t="n">
        <v>0</v>
      </c>
      <c r="AB1000" s="52" t="n">
        <v>0</v>
      </c>
      <c r="AC1000" s="52" t="n">
        <v>0</v>
      </c>
      <c r="AD1000" s="52" t="n">
        <v>0</v>
      </c>
      <c r="AE1000" s="52" t="n">
        <v>0</v>
      </c>
      <c r="AF1000" s="52" t="n">
        <v>0</v>
      </c>
      <c r="AG1000" s="52" t="n">
        <v>0</v>
      </c>
      <c r="AH1000" s="52" t="n">
        <v>0</v>
      </c>
      <c r="AI1000" s="52" t="n">
        <v>0</v>
      </c>
      <c r="AJ1000" s="52" t="n">
        <v>0</v>
      </c>
      <c r="AK1000" s="52" t="n">
        <v>0</v>
      </c>
      <c r="AL1000" s="52" t="n">
        <v>0</v>
      </c>
      <c r="AM1000" s="53" t="n">
        <v>0</v>
      </c>
      <c r="AN1000" s="53" t="n">
        <v>0</v>
      </c>
      <c r="AO1000" s="53" t="n">
        <v>0</v>
      </c>
      <c r="AP1000" s="53" t="n">
        <v>0</v>
      </c>
      <c r="AQ1000" s="52" t="n">
        <v>0</v>
      </c>
      <c r="AR1000" s="52" t="n">
        <v>0</v>
      </c>
      <c r="AS1000" s="52" t="n">
        <v>0</v>
      </c>
      <c r="AT1000" s="52" t="n">
        <v>0</v>
      </c>
      <c r="AU1000" s="53" t="n">
        <v>0</v>
      </c>
      <c r="AV1000" s="53" t="n">
        <v>0</v>
      </c>
      <c r="AW1000" s="53" t="n">
        <v>0</v>
      </c>
      <c r="AX1000" s="53" t="n">
        <v>0</v>
      </c>
      <c r="AY1000" s="52" t="n">
        <v>0</v>
      </c>
      <c r="AZ1000" s="52" t="n">
        <v>0</v>
      </c>
      <c r="BA1000" s="52" t="n">
        <v>0</v>
      </c>
      <c r="BB1000" s="52" t="n">
        <v>0</v>
      </c>
      <c r="BC1000" s="51" t="n">
        <v>0</v>
      </c>
      <c r="BD1000" s="51" t="n">
        <v>0</v>
      </c>
      <c r="BE1000" s="51" t="n">
        <v>0</v>
      </c>
      <c r="BF1000" s="51" t="n">
        <v>0</v>
      </c>
    </row>
    <row r="1001">
      <c r="A1001">
        <f>HYPERLINK("https://www.walmart.com/ip/831530911", "831530911")</f>
        <v/>
      </c>
      <c r="B1001" t="inlineStr">
        <is>
          <t>Catalonia Wearable Fleece Blanket with Sleeves and Foot Pockets for Adult Women Men, Micro Plush Comfy Wrap Sleeved Throw Blanket Robe Large, Navy</t>
        </is>
      </c>
      <c r="C1001" t="inlineStr">
        <is>
          <t>1CTSN101NY</t>
        </is>
      </c>
      <c r="D1001" t="inlineStr">
        <is>
          <t>Throws</t>
        </is>
      </c>
      <c r="E1001" t="inlineStr">
        <is>
          <t>Catalonia</t>
        </is>
      </c>
      <c r="F1001" t="inlineStr">
        <is>
          <t>Q2-Target,WFS,WFS Item</t>
        </is>
      </c>
      <c r="G1001" s="48" t="n">
        <v>0</v>
      </c>
      <c r="H1001" s="48" t="n">
        <v>0</v>
      </c>
      <c r="I1001" s="48" t="n">
        <v>0</v>
      </c>
      <c r="J1001" s="48" t="n">
        <v>0</v>
      </c>
      <c r="K1001" s="49" t="n">
        <v>0</v>
      </c>
      <c r="L1001" s="49" t="n">
        <v>0</v>
      </c>
      <c r="M1001" s="49" t="n">
        <v>0</v>
      </c>
      <c r="N1001" s="49" t="n">
        <v>0</v>
      </c>
      <c r="O1001" s="49" t="n">
        <v>0</v>
      </c>
      <c r="P1001" s="49" t="n">
        <v>0</v>
      </c>
      <c r="Q1001" s="49" t="n">
        <v>0</v>
      </c>
      <c r="R1001" s="49" t="n">
        <v>0</v>
      </c>
      <c r="S1001" s="50" t="n">
        <v>0</v>
      </c>
      <c r="T1001" s="50" t="n">
        <v>0</v>
      </c>
      <c r="U1001" s="50" t="n">
        <v>0</v>
      </c>
      <c r="V1001" s="50" t="n">
        <v>0</v>
      </c>
      <c r="W1001" s="51" t="n">
        <v>7</v>
      </c>
      <c r="X1001" s="51" t="n">
        <v>3</v>
      </c>
      <c r="Y1001" s="51" t="n">
        <v>3</v>
      </c>
      <c r="Z1001" s="51" t="n">
        <v>0</v>
      </c>
      <c r="AA1001" s="52" t="n">
        <v>2.84</v>
      </c>
      <c r="AB1001" s="52" t="n">
        <v>0.66</v>
      </c>
      <c r="AC1001" s="52" t="n">
        <v>1.08</v>
      </c>
      <c r="AD1001" s="52" t="n">
        <v>0</v>
      </c>
      <c r="AE1001" s="52" t="n">
        <v>0</v>
      </c>
      <c r="AF1001" s="52" t="n">
        <v>0</v>
      </c>
      <c r="AG1001" s="52" t="n">
        <v>0</v>
      </c>
      <c r="AH1001" s="52" t="n">
        <v>0</v>
      </c>
      <c r="AI1001" s="52" t="n">
        <v>0</v>
      </c>
      <c r="AJ1001" s="52" t="n">
        <v>0</v>
      </c>
      <c r="AK1001" s="52" t="n">
        <v>0</v>
      </c>
      <c r="AL1001" s="52" t="n">
        <v>0</v>
      </c>
      <c r="AM1001" s="53" t="n">
        <v>0.0031</v>
      </c>
      <c r="AN1001" s="53" t="n">
        <v>0.0015</v>
      </c>
      <c r="AO1001" s="53" t="n">
        <v>0.0028</v>
      </c>
      <c r="AP1001" s="53" t="n">
        <v>0</v>
      </c>
      <c r="AQ1001" s="52" t="n">
        <v>0.4057142857142857</v>
      </c>
      <c r="AR1001" s="52" t="n">
        <v>0.22</v>
      </c>
      <c r="AS1001" s="52" t="n">
        <v>0.36</v>
      </c>
      <c r="AT1001" s="52" t="n">
        <v>0</v>
      </c>
      <c r="AU1001" s="53" t="n">
        <v>0</v>
      </c>
      <c r="AV1001" s="53" t="n">
        <v>0</v>
      </c>
      <c r="AW1001" s="53" t="n">
        <v>0</v>
      </c>
      <c r="AX1001" s="53" t="n">
        <v>0</v>
      </c>
      <c r="AY1001" s="52" t="n">
        <v>0</v>
      </c>
      <c r="AZ1001" s="52" t="n">
        <v>0</v>
      </c>
      <c r="BA1001" s="52" t="n">
        <v>0</v>
      </c>
      <c r="BB1001" s="52" t="n">
        <v>0</v>
      </c>
      <c r="BC1001" s="51" t="n">
        <v>2289</v>
      </c>
      <c r="BD1001" s="51" t="n">
        <v>2059</v>
      </c>
      <c r="BE1001" s="51" t="n">
        <v>1067</v>
      </c>
      <c r="BF1001" s="51" t="n">
        <v>806</v>
      </c>
    </row>
    <row r="1002">
      <c r="A1002">
        <f>HYPERLINK("https://www.walmart.com/ip/830377534", "830377534")</f>
        <v/>
      </c>
      <c r="B1002" t="inlineStr">
        <is>
          <t>Flyingstar Sherpa Throws Blanket, Fleece Soft Cozy Blanket Throws for Sofa Bed 50"x60"</t>
        </is>
      </c>
      <c r="C1002" t="inlineStr">
        <is>
          <t>1WMBF573RDDENTE</t>
        </is>
      </c>
      <c r="D1002" t="inlineStr">
        <is>
          <t>Throws</t>
        </is>
      </c>
      <c r="E1002" t="inlineStr">
        <is>
          <t>Flyingstar</t>
        </is>
      </c>
      <c r="F1002" t="inlineStr">
        <is>
          <t>Optimized</t>
        </is>
      </c>
      <c r="G1002" s="48" t="n">
        <v>0</v>
      </c>
      <c r="H1002" s="48" t="n">
        <v>0</v>
      </c>
      <c r="I1002" s="48" t="n">
        <v>0</v>
      </c>
      <c r="J1002" s="48" t="n">
        <v>0</v>
      </c>
      <c r="K1002" s="49" t="n">
        <v>0</v>
      </c>
      <c r="L1002" s="49" t="n">
        <v>0</v>
      </c>
      <c r="M1002" s="49" t="n">
        <v>0</v>
      </c>
      <c r="N1002" s="49" t="n">
        <v>0</v>
      </c>
      <c r="O1002" s="49" t="n">
        <v>0</v>
      </c>
      <c r="P1002" s="49" t="n">
        <v>0</v>
      </c>
      <c r="Q1002" s="49" t="n">
        <v>0</v>
      </c>
      <c r="R1002" s="49" t="n">
        <v>0</v>
      </c>
      <c r="S1002" s="50" t="n">
        <v>0</v>
      </c>
      <c r="T1002" s="50" t="n">
        <v>0</v>
      </c>
      <c r="U1002" s="50" t="n">
        <v>0</v>
      </c>
      <c r="V1002" s="50" t="n">
        <v>0</v>
      </c>
      <c r="W1002" s="51" t="n">
        <v>0</v>
      </c>
      <c r="X1002" s="51" t="n">
        <v>0</v>
      </c>
      <c r="Y1002" s="51" t="n">
        <v>0</v>
      </c>
      <c r="Z1002" s="51" t="n">
        <v>0</v>
      </c>
      <c r="AA1002" s="52" t="n">
        <v>0</v>
      </c>
      <c r="AB1002" s="52" t="n">
        <v>0</v>
      </c>
      <c r="AC1002" s="52" t="n">
        <v>0</v>
      </c>
      <c r="AD1002" s="52" t="n">
        <v>0</v>
      </c>
      <c r="AE1002" s="52" t="n">
        <v>0</v>
      </c>
      <c r="AF1002" s="52" t="n">
        <v>0</v>
      </c>
      <c r="AG1002" s="52" t="n">
        <v>0</v>
      </c>
      <c r="AH1002" s="52" t="n">
        <v>0</v>
      </c>
      <c r="AI1002" s="52" t="n">
        <v>0</v>
      </c>
      <c r="AJ1002" s="52" t="n">
        <v>0</v>
      </c>
      <c r="AK1002" s="52" t="n">
        <v>0</v>
      </c>
      <c r="AL1002" s="52" t="n">
        <v>0</v>
      </c>
      <c r="AM1002" s="53" t="n">
        <v>0</v>
      </c>
      <c r="AN1002" s="53" t="n">
        <v>0</v>
      </c>
      <c r="AO1002" s="53" t="n">
        <v>0</v>
      </c>
      <c r="AP1002" s="53" t="n">
        <v>0</v>
      </c>
      <c r="AQ1002" s="52" t="n">
        <v>0</v>
      </c>
      <c r="AR1002" s="52" t="n">
        <v>0</v>
      </c>
      <c r="AS1002" s="52" t="n">
        <v>0</v>
      </c>
      <c r="AT1002" s="52" t="n">
        <v>0</v>
      </c>
      <c r="AU1002" s="53" t="n">
        <v>0</v>
      </c>
      <c r="AV1002" s="53" t="n">
        <v>0</v>
      </c>
      <c r="AW1002" s="53" t="n">
        <v>0</v>
      </c>
      <c r="AX1002" s="53" t="n">
        <v>0</v>
      </c>
      <c r="AY1002" s="52" t="n">
        <v>0</v>
      </c>
      <c r="AZ1002" s="52" t="n">
        <v>0</v>
      </c>
      <c r="BA1002" s="52" t="n">
        <v>0</v>
      </c>
      <c r="BB1002" s="52" t="n">
        <v>0</v>
      </c>
      <c r="BC1002" s="51" t="n">
        <v>0</v>
      </c>
      <c r="BD1002" s="51" t="n">
        <v>0</v>
      </c>
      <c r="BE1002" s="51" t="n">
        <v>0</v>
      </c>
      <c r="BF1002" s="51" t="n">
        <v>0</v>
      </c>
    </row>
    <row r="1003">
      <c r="A1003">
        <f>HYPERLINK("https://www.walmart.com/ip/630377346", "630377346")</f>
        <v/>
      </c>
      <c r="B1003" t="inlineStr">
        <is>
          <t>Sun Blocker Outdoor Sun Protection Fishing Cap with Neck Flap, Wide Brim Sun Hat for Travel Camping Hiking Hunting Boating Safari Cap with Adjustable Drawstring, Blue</t>
        </is>
      </c>
      <c r="C1003" t="inlineStr">
        <is>
          <t>KC-S9150-BL</t>
        </is>
      </c>
      <c r="D1003" t="inlineStr">
        <is>
          <t>Hats</t>
        </is>
      </c>
      <c r="E1003" t="inlineStr">
        <is>
          <t>Sun Blocker</t>
        </is>
      </c>
      <c r="F1003" t="inlineStr">
        <is>
          <t>Hats,Batch 1 - TR</t>
        </is>
      </c>
      <c r="G1003" s="48" t="n">
        <v>0</v>
      </c>
      <c r="H1003" s="48" t="n">
        <v>0</v>
      </c>
      <c r="I1003" s="48" t="n">
        <v>0</v>
      </c>
      <c r="J1003" s="48" t="n">
        <v>0</v>
      </c>
      <c r="K1003" s="49" t="n">
        <v>0</v>
      </c>
      <c r="L1003" s="49" t="n">
        <v>0</v>
      </c>
      <c r="M1003" s="49" t="n">
        <v>0</v>
      </c>
      <c r="N1003" s="49" t="n">
        <v>0</v>
      </c>
      <c r="O1003" s="49" t="n">
        <v>0</v>
      </c>
      <c r="P1003" s="49" t="n">
        <v>0</v>
      </c>
      <c r="Q1003" s="49" t="n">
        <v>0</v>
      </c>
      <c r="R1003" s="49" t="n">
        <v>0</v>
      </c>
      <c r="S1003" s="50" t="n">
        <v>0</v>
      </c>
      <c r="T1003" s="50" t="n">
        <v>0</v>
      </c>
      <c r="U1003" s="50" t="n">
        <v>0</v>
      </c>
      <c r="V1003" s="50" t="n">
        <v>0</v>
      </c>
      <c r="W1003" s="51" t="n">
        <v>0</v>
      </c>
      <c r="X1003" s="51" t="n">
        <v>0</v>
      </c>
      <c r="Y1003" s="51" t="n">
        <v>0</v>
      </c>
      <c r="Z1003" s="51" t="n">
        <v>0</v>
      </c>
      <c r="AA1003" s="52" t="n">
        <v>0</v>
      </c>
      <c r="AB1003" s="52" t="n">
        <v>0</v>
      </c>
      <c r="AC1003" s="52" t="n">
        <v>0</v>
      </c>
      <c r="AD1003" s="52" t="n">
        <v>0</v>
      </c>
      <c r="AE1003" s="52" t="n">
        <v>0</v>
      </c>
      <c r="AF1003" s="52" t="n">
        <v>0</v>
      </c>
      <c r="AG1003" s="52" t="n">
        <v>0</v>
      </c>
      <c r="AH1003" s="52" t="n">
        <v>0</v>
      </c>
      <c r="AI1003" s="52" t="n">
        <v>0</v>
      </c>
      <c r="AJ1003" s="52" t="n">
        <v>0</v>
      </c>
      <c r="AK1003" s="52" t="n">
        <v>0</v>
      </c>
      <c r="AL1003" s="52" t="n">
        <v>0</v>
      </c>
      <c r="AM1003" s="53" t="n">
        <v>0</v>
      </c>
      <c r="AN1003" s="53" t="n">
        <v>0</v>
      </c>
      <c r="AO1003" s="53" t="n">
        <v>0</v>
      </c>
      <c r="AP1003" s="53" t="n">
        <v>0</v>
      </c>
      <c r="AQ1003" s="52" t="n">
        <v>0</v>
      </c>
      <c r="AR1003" s="52" t="n">
        <v>0</v>
      </c>
      <c r="AS1003" s="52" t="n">
        <v>0</v>
      </c>
      <c r="AT1003" s="52" t="n">
        <v>0</v>
      </c>
      <c r="AU1003" s="53" t="n">
        <v>0</v>
      </c>
      <c r="AV1003" s="53" t="n">
        <v>0</v>
      </c>
      <c r="AW1003" s="53" t="n">
        <v>0</v>
      </c>
      <c r="AX1003" s="53" t="n">
        <v>0</v>
      </c>
      <c r="AY1003" s="52" t="n">
        <v>0</v>
      </c>
      <c r="AZ1003" s="52" t="n">
        <v>0</v>
      </c>
      <c r="BA1003" s="52" t="n">
        <v>0</v>
      </c>
      <c r="BB1003" s="52" t="n">
        <v>0</v>
      </c>
      <c r="BC1003" s="51" t="n">
        <v>0</v>
      </c>
      <c r="BD1003" s="51" t="n">
        <v>0</v>
      </c>
      <c r="BE1003" s="51" t="n">
        <v>0</v>
      </c>
      <c r="BF1003" s="51" t="n">
        <v>0</v>
      </c>
    </row>
    <row r="1004">
      <c r="A1004">
        <f>HYPERLINK("https://www.walmart.com/ip/703523074", "703523074")</f>
        <v/>
      </c>
      <c r="B1004" t="inlineStr">
        <is>
          <t>Large Insulated Lunch Bag for Women Men, 10L Leakproof Thermal Reusable Lunch Box for Adult, Kids, Student, Tall Meal Prep Lunch Cooler Tote with 4 Pockets for Office Work, Back to School</t>
        </is>
      </c>
      <c r="C1004" t="inlineStr">
        <is>
          <t>1TRLB702RD-T</t>
        </is>
      </c>
      <c r="D1004" t="inlineStr">
        <is>
          <t>Reusable Lunch Bags &amp; Boxes</t>
        </is>
      </c>
      <c r="E1004" t="inlineStr">
        <is>
          <t>Tirrinia</t>
        </is>
      </c>
      <c r="F1004" t="inlineStr">
        <is>
          <t>Q2-Target,Brand Camp VD,Lunch Bag</t>
        </is>
      </c>
      <c r="G1004" s="48" t="n">
        <v>0</v>
      </c>
      <c r="H1004" s="48" t="n">
        <v>0</v>
      </c>
      <c r="I1004" s="48" t="n">
        <v>0</v>
      </c>
      <c r="J1004" s="48" t="n">
        <v>0</v>
      </c>
      <c r="K1004" s="49" t="n">
        <v>0</v>
      </c>
      <c r="L1004" s="49" t="n">
        <v>0</v>
      </c>
      <c r="M1004" s="49" t="n">
        <v>0</v>
      </c>
      <c r="N1004" s="49" t="n">
        <v>0</v>
      </c>
      <c r="O1004" s="49" t="n">
        <v>0</v>
      </c>
      <c r="P1004" s="49" t="n">
        <v>0</v>
      </c>
      <c r="Q1004" s="49" t="n">
        <v>0</v>
      </c>
      <c r="R1004" s="49" t="n">
        <v>0</v>
      </c>
      <c r="S1004" s="50" t="n">
        <v>0</v>
      </c>
      <c r="T1004" s="50" t="n">
        <v>0</v>
      </c>
      <c r="U1004" s="50" t="n">
        <v>0</v>
      </c>
      <c r="V1004" s="50" t="n">
        <v>0</v>
      </c>
      <c r="W1004" s="51" t="n">
        <v>0</v>
      </c>
      <c r="X1004" s="51" t="n">
        <v>0</v>
      </c>
      <c r="Y1004" s="51" t="n">
        <v>0</v>
      </c>
      <c r="Z1004" s="51" t="n">
        <v>0</v>
      </c>
      <c r="AA1004" s="52" t="n">
        <v>0</v>
      </c>
      <c r="AB1004" s="52" t="n">
        <v>0</v>
      </c>
      <c r="AC1004" s="52" t="n">
        <v>0</v>
      </c>
      <c r="AD1004" s="52" t="n">
        <v>0</v>
      </c>
      <c r="AE1004" s="52" t="n">
        <v>0</v>
      </c>
      <c r="AF1004" s="52" t="n">
        <v>0</v>
      </c>
      <c r="AG1004" s="52" t="n">
        <v>0</v>
      </c>
      <c r="AH1004" s="52" t="n">
        <v>0</v>
      </c>
      <c r="AI1004" s="52" t="n">
        <v>0</v>
      </c>
      <c r="AJ1004" s="52" t="n">
        <v>0</v>
      </c>
      <c r="AK1004" s="52" t="n">
        <v>0</v>
      </c>
      <c r="AL1004" s="52" t="n">
        <v>0</v>
      </c>
      <c r="AM1004" s="53" t="n">
        <v>0</v>
      </c>
      <c r="AN1004" s="53" t="n">
        <v>0</v>
      </c>
      <c r="AO1004" s="53" t="n">
        <v>0</v>
      </c>
      <c r="AP1004" s="53" t="n">
        <v>0</v>
      </c>
      <c r="AQ1004" s="52" t="n">
        <v>0</v>
      </c>
      <c r="AR1004" s="52" t="n">
        <v>0</v>
      </c>
      <c r="AS1004" s="52" t="n">
        <v>0</v>
      </c>
      <c r="AT1004" s="52" t="n">
        <v>0</v>
      </c>
      <c r="AU1004" s="53" t="n">
        <v>0</v>
      </c>
      <c r="AV1004" s="53" t="n">
        <v>0</v>
      </c>
      <c r="AW1004" s="53" t="n">
        <v>0</v>
      </c>
      <c r="AX1004" s="53" t="n">
        <v>0</v>
      </c>
      <c r="AY1004" s="52" t="n">
        <v>0</v>
      </c>
      <c r="AZ1004" s="52" t="n">
        <v>0</v>
      </c>
      <c r="BA1004" s="52" t="n">
        <v>0</v>
      </c>
      <c r="BB1004" s="52" t="n">
        <v>0</v>
      </c>
      <c r="BC1004" s="51" t="n">
        <v>0</v>
      </c>
      <c r="BD1004" s="51" t="n">
        <v>0</v>
      </c>
      <c r="BE1004" s="51" t="n">
        <v>0</v>
      </c>
      <c r="BF1004" s="51" t="n">
        <v>0</v>
      </c>
    </row>
    <row r="1005">
      <c r="A1005">
        <f>HYPERLINK("https://www.walmart.com/ip/705115717", "705115717")</f>
        <v/>
      </c>
      <c r="B1005" t="inlineStr">
        <is>
          <t>Tirrinia Insulated Lunch Bag, Leakproof Thermal Bento Cooler Tote for Women and Men, Dual Compartment with Shoulder Strap, 10.2" x 7.5" x 9", Light Gray</t>
        </is>
      </c>
      <c r="C1005" t="inlineStr">
        <is>
          <t>1TRLB601LG</t>
        </is>
      </c>
      <c r="D1005" t="inlineStr">
        <is>
          <t>Reusable Lunch Bags &amp; Boxes</t>
        </is>
      </c>
      <c r="E1005" t="inlineStr">
        <is>
          <t>Tirrinia</t>
        </is>
      </c>
      <c r="F1005" t="inlineStr">
        <is>
          <t>Q2-Target,Lunch Bag,WFS,Lunch Bags,SEM,WFS Item</t>
        </is>
      </c>
      <c r="G1005" s="48" t="n">
        <v>0</v>
      </c>
      <c r="H1005" s="48" t="n">
        <v>0</v>
      </c>
      <c r="I1005" s="48" t="n">
        <v>0</v>
      </c>
      <c r="J1005" s="48" t="n">
        <v>0</v>
      </c>
      <c r="K1005" s="49" t="n">
        <v>0</v>
      </c>
      <c r="L1005" s="49" t="n">
        <v>0</v>
      </c>
      <c r="M1005" s="49" t="n">
        <v>0</v>
      </c>
      <c r="N1005" s="49" t="n">
        <v>0</v>
      </c>
      <c r="O1005" s="49" t="n">
        <v>1</v>
      </c>
      <c r="P1005" s="49" t="n">
        <v>2</v>
      </c>
      <c r="Q1005" s="49" t="n">
        <v>2</v>
      </c>
      <c r="R1005" s="49" t="n">
        <v>1</v>
      </c>
      <c r="S1005" s="50" t="n">
        <v>0</v>
      </c>
      <c r="T1005" s="50" t="n">
        <v>0</v>
      </c>
      <c r="U1005" s="50" t="n">
        <v>0</v>
      </c>
      <c r="V1005" s="50" t="n">
        <v>0</v>
      </c>
      <c r="W1005" s="51" t="n">
        <v>0</v>
      </c>
      <c r="X1005" s="51" t="n">
        <v>0</v>
      </c>
      <c r="Y1005" s="51" t="n">
        <v>0</v>
      </c>
      <c r="Z1005" s="51" t="n">
        <v>0</v>
      </c>
      <c r="AA1005" s="52" t="n">
        <v>0</v>
      </c>
      <c r="AB1005" s="52" t="n">
        <v>0</v>
      </c>
      <c r="AC1005" s="52" t="n">
        <v>0</v>
      </c>
      <c r="AD1005" s="52" t="n">
        <v>0</v>
      </c>
      <c r="AE1005" s="52" t="n">
        <v>0</v>
      </c>
      <c r="AF1005" s="52" t="n">
        <v>0</v>
      </c>
      <c r="AG1005" s="52" t="n">
        <v>0</v>
      </c>
      <c r="AH1005" s="52" t="n">
        <v>0</v>
      </c>
      <c r="AI1005" s="52" t="n">
        <v>0</v>
      </c>
      <c r="AJ1005" s="52" t="n">
        <v>0</v>
      </c>
      <c r="AK1005" s="52" t="n">
        <v>0</v>
      </c>
      <c r="AL1005" s="52" t="n">
        <v>0</v>
      </c>
      <c r="AM1005" s="53" t="n">
        <v>0</v>
      </c>
      <c r="AN1005" s="53" t="n">
        <v>0</v>
      </c>
      <c r="AO1005" s="53" t="n">
        <v>0</v>
      </c>
      <c r="AP1005" s="53" t="n">
        <v>0</v>
      </c>
      <c r="AQ1005" s="52" t="n">
        <v>0</v>
      </c>
      <c r="AR1005" s="52" t="n">
        <v>0</v>
      </c>
      <c r="AS1005" s="52" t="n">
        <v>0</v>
      </c>
      <c r="AT1005" s="52" t="n">
        <v>0</v>
      </c>
      <c r="AU1005" s="53" t="n">
        <v>0</v>
      </c>
      <c r="AV1005" s="53" t="n">
        <v>0</v>
      </c>
      <c r="AW1005" s="53" t="n">
        <v>0</v>
      </c>
      <c r="AX1005" s="53" t="n">
        <v>0</v>
      </c>
      <c r="AY1005" s="52" t="n">
        <v>0</v>
      </c>
      <c r="AZ1005" s="52" t="n">
        <v>0</v>
      </c>
      <c r="BA1005" s="52" t="n">
        <v>0</v>
      </c>
      <c r="BB1005" s="52" t="n">
        <v>0</v>
      </c>
      <c r="BC1005" s="51" t="n">
        <v>0</v>
      </c>
      <c r="BD1005" s="51" t="n">
        <v>0</v>
      </c>
      <c r="BE1005" s="51" t="n">
        <v>0</v>
      </c>
      <c r="BF1005" s="51" t="n">
        <v>0</v>
      </c>
    </row>
    <row r="1006">
      <c r="A1006">
        <f>HYPERLINK("https://www.walmart.com/ip/705345484", "705345484")</f>
        <v/>
      </c>
      <c r="B1006" t="inlineStr">
        <is>
          <t>Catalonia Microfiber Plush Blanket for Couch and Bed, Holiday Theme Sherpa Fleece Throw Christmas Gift Blanket | Super Soft, Comfy, Cozy, Fluffy, Warm | 90x90 inch, Camel</t>
        </is>
      </c>
      <c r="C1006" t="inlineStr">
        <is>
          <t>1CTBF399CA</t>
        </is>
      </c>
      <c r="D1006" t="inlineStr">
        <is>
          <t>Throws</t>
        </is>
      </c>
      <c r="E1006" t="inlineStr">
        <is>
          <t>Catalonia</t>
        </is>
      </c>
      <c r="F1006" t="inlineStr">
        <is>
          <t>Q2-Target,WFS,Coupon_Discount,WFS Item</t>
        </is>
      </c>
      <c r="G1006" s="48" t="n">
        <v>0</v>
      </c>
      <c r="H1006" s="48" t="n">
        <v>0</v>
      </c>
      <c r="I1006" s="48" t="n">
        <v>0</v>
      </c>
      <c r="J1006" s="48" t="n">
        <v>0</v>
      </c>
      <c r="K1006" s="49" t="n">
        <v>0</v>
      </c>
      <c r="L1006" s="49" t="n">
        <v>0</v>
      </c>
      <c r="M1006" s="49" t="n">
        <v>0</v>
      </c>
      <c r="N1006" s="49" t="n">
        <v>0</v>
      </c>
      <c r="O1006" s="49" t="n">
        <v>0</v>
      </c>
      <c r="P1006" s="49" t="n">
        <v>0</v>
      </c>
      <c r="Q1006" s="49" t="n">
        <v>0</v>
      </c>
      <c r="R1006" s="49" t="n">
        <v>0</v>
      </c>
      <c r="S1006" s="50" t="n">
        <v>0</v>
      </c>
      <c r="T1006" s="50" t="n">
        <v>0</v>
      </c>
      <c r="U1006" s="50" t="n">
        <v>0</v>
      </c>
      <c r="V1006" s="50" t="n">
        <v>0</v>
      </c>
      <c r="W1006" s="51" t="n">
        <v>0</v>
      </c>
      <c r="X1006" s="51" t="n">
        <v>0</v>
      </c>
      <c r="Y1006" s="51" t="n">
        <v>0</v>
      </c>
      <c r="Z1006" s="51" t="n">
        <v>0</v>
      </c>
      <c r="AA1006" s="52" t="n">
        <v>0</v>
      </c>
      <c r="AB1006" s="52" t="n">
        <v>0</v>
      </c>
      <c r="AC1006" s="52" t="n">
        <v>0</v>
      </c>
      <c r="AD1006" s="52" t="n">
        <v>0</v>
      </c>
      <c r="AE1006" s="52" t="n">
        <v>0</v>
      </c>
      <c r="AF1006" s="52" t="n">
        <v>0</v>
      </c>
      <c r="AG1006" s="52" t="n">
        <v>0</v>
      </c>
      <c r="AH1006" s="52" t="n">
        <v>0</v>
      </c>
      <c r="AI1006" s="52" t="n">
        <v>0</v>
      </c>
      <c r="AJ1006" s="52" t="n">
        <v>0</v>
      </c>
      <c r="AK1006" s="52" t="n">
        <v>0</v>
      </c>
      <c r="AL1006" s="52" t="n">
        <v>0</v>
      </c>
      <c r="AM1006" s="53" t="n">
        <v>0</v>
      </c>
      <c r="AN1006" s="53" t="n">
        <v>0</v>
      </c>
      <c r="AO1006" s="53" t="n">
        <v>0</v>
      </c>
      <c r="AP1006" s="53" t="n">
        <v>0</v>
      </c>
      <c r="AQ1006" s="52" t="n">
        <v>0</v>
      </c>
      <c r="AR1006" s="52" t="n">
        <v>0</v>
      </c>
      <c r="AS1006" s="52" t="n">
        <v>0</v>
      </c>
      <c r="AT1006" s="52" t="n">
        <v>0</v>
      </c>
      <c r="AU1006" s="53" t="n">
        <v>0</v>
      </c>
      <c r="AV1006" s="53" t="n">
        <v>0</v>
      </c>
      <c r="AW1006" s="53" t="n">
        <v>0</v>
      </c>
      <c r="AX1006" s="53" t="n">
        <v>0</v>
      </c>
      <c r="AY1006" s="52" t="n">
        <v>0</v>
      </c>
      <c r="AZ1006" s="52" t="n">
        <v>0</v>
      </c>
      <c r="BA1006" s="52" t="n">
        <v>0</v>
      </c>
      <c r="BB1006" s="52" t="n">
        <v>0</v>
      </c>
      <c r="BC1006" s="51" t="n">
        <v>0</v>
      </c>
      <c r="BD1006" s="51" t="n">
        <v>0</v>
      </c>
      <c r="BE1006" s="51" t="n">
        <v>0</v>
      </c>
      <c r="BF1006" s="51" t="n">
        <v>0</v>
      </c>
    </row>
    <row r="1007">
      <c r="A1007">
        <f>HYPERLINK("https://www.walmart.com/ip/706620053", "706620053")</f>
        <v/>
      </c>
      <c r="B1007" t="inlineStr">
        <is>
          <t>Flyingstar Blanket with Sleeves and Pocket, Wearable Throws Blanket, Robe for Women and Men 73” x 51” Blue</t>
        </is>
      </c>
      <c r="C1007" t="inlineStr">
        <is>
          <t>1WMSN100BL-ESGM</t>
        </is>
      </c>
      <c r="D1007" t="inlineStr">
        <is>
          <t>Throws</t>
        </is>
      </c>
      <c r="E1007" t="inlineStr">
        <is>
          <t>Flyingstar</t>
        </is>
      </c>
      <c r="F1007" t="inlineStr">
        <is>
          <t>Batch 1 - TR</t>
        </is>
      </c>
      <c r="G1007" s="48" t="n">
        <v>0</v>
      </c>
      <c r="H1007" s="48" t="n">
        <v>0</v>
      </c>
      <c r="I1007" s="48" t="n">
        <v>0</v>
      </c>
      <c r="J1007" s="48" t="n">
        <v>0</v>
      </c>
      <c r="K1007" s="49" t="n">
        <v>0</v>
      </c>
      <c r="L1007" s="49" t="n">
        <v>0</v>
      </c>
      <c r="M1007" s="49" t="n">
        <v>0</v>
      </c>
      <c r="N1007" s="49" t="n">
        <v>0</v>
      </c>
      <c r="O1007" s="49" t="n">
        <v>0</v>
      </c>
      <c r="P1007" s="49" t="n">
        <v>0</v>
      </c>
      <c r="Q1007" s="49" t="n">
        <v>0</v>
      </c>
      <c r="R1007" s="49" t="n">
        <v>0</v>
      </c>
      <c r="S1007" s="50" t="n">
        <v>0</v>
      </c>
      <c r="T1007" s="50" t="n">
        <v>0</v>
      </c>
      <c r="U1007" s="50" t="n">
        <v>0</v>
      </c>
      <c r="V1007" s="50" t="n">
        <v>0</v>
      </c>
      <c r="W1007" s="51" t="n">
        <v>0</v>
      </c>
      <c r="X1007" s="51" t="n">
        <v>0</v>
      </c>
      <c r="Y1007" s="51" t="n">
        <v>0</v>
      </c>
      <c r="Z1007" s="51" t="n">
        <v>0</v>
      </c>
      <c r="AA1007" s="52" t="n">
        <v>0</v>
      </c>
      <c r="AB1007" s="52" t="n">
        <v>0</v>
      </c>
      <c r="AC1007" s="52" t="n">
        <v>0</v>
      </c>
      <c r="AD1007" s="52" t="n">
        <v>0</v>
      </c>
      <c r="AE1007" s="52" t="n">
        <v>0</v>
      </c>
      <c r="AF1007" s="52" t="n">
        <v>0</v>
      </c>
      <c r="AG1007" s="52" t="n">
        <v>0</v>
      </c>
      <c r="AH1007" s="52" t="n">
        <v>0</v>
      </c>
      <c r="AI1007" s="52" t="n">
        <v>0</v>
      </c>
      <c r="AJ1007" s="52" t="n">
        <v>0</v>
      </c>
      <c r="AK1007" s="52" t="n">
        <v>0</v>
      </c>
      <c r="AL1007" s="52" t="n">
        <v>0</v>
      </c>
      <c r="AM1007" s="53" t="n">
        <v>0</v>
      </c>
      <c r="AN1007" s="53" t="n">
        <v>0</v>
      </c>
      <c r="AO1007" s="53" t="n">
        <v>0</v>
      </c>
      <c r="AP1007" s="53" t="n">
        <v>0</v>
      </c>
      <c r="AQ1007" s="52" t="n">
        <v>0</v>
      </c>
      <c r="AR1007" s="52" t="n">
        <v>0</v>
      </c>
      <c r="AS1007" s="52" t="n">
        <v>0</v>
      </c>
      <c r="AT1007" s="52" t="n">
        <v>0</v>
      </c>
      <c r="AU1007" s="53" t="n">
        <v>0</v>
      </c>
      <c r="AV1007" s="53" t="n">
        <v>0</v>
      </c>
      <c r="AW1007" s="53" t="n">
        <v>0</v>
      </c>
      <c r="AX1007" s="53" t="n">
        <v>0</v>
      </c>
      <c r="AY1007" s="52" t="n">
        <v>0</v>
      </c>
      <c r="AZ1007" s="52" t="n">
        <v>0</v>
      </c>
      <c r="BA1007" s="52" t="n">
        <v>0</v>
      </c>
      <c r="BB1007" s="52" t="n">
        <v>0</v>
      </c>
      <c r="BC1007" s="51" t="n">
        <v>0</v>
      </c>
      <c r="BD1007" s="51" t="n">
        <v>0</v>
      </c>
      <c r="BE1007" s="51" t="n">
        <v>0</v>
      </c>
      <c r="BF1007" s="51" t="n">
        <v>0</v>
      </c>
    </row>
    <row r="1008">
      <c r="A1008">
        <f>HYPERLINK("https://www.walmart.com/ip/707159676", "707159676")</f>
        <v/>
      </c>
      <c r="B1008" t="inlineStr">
        <is>
          <t>Women's Poncho Cape, Sherpa Fleece Cloak Coat, Snuggly Hooded Wearable Blanket, Gift Idea for Adults and Teen Girls</t>
        </is>
      </c>
      <c r="C1008" t="inlineStr">
        <is>
          <t>1CTBC300BK</t>
        </is>
      </c>
      <c r="D1008" t="inlineStr">
        <is>
          <t>Capes &amp; Cloaks</t>
        </is>
      </c>
      <c r="E1008" t="inlineStr">
        <is>
          <t>Catalonia</t>
        </is>
      </c>
      <c r="F1008" t="inlineStr">
        <is>
          <t>Q2-Target,WFS,WFS Item</t>
        </is>
      </c>
      <c r="G1008" s="48" t="n">
        <v>0</v>
      </c>
      <c r="H1008" s="48" t="n">
        <v>0</v>
      </c>
      <c r="I1008" s="48" t="n">
        <v>0</v>
      </c>
      <c r="J1008" s="48" t="n">
        <v>35.99</v>
      </c>
      <c r="K1008" s="49" t="n">
        <v>0</v>
      </c>
      <c r="L1008" s="49" t="n">
        <v>0</v>
      </c>
      <c r="M1008" s="49" t="n">
        <v>0</v>
      </c>
      <c r="N1008" s="49" t="n">
        <v>1</v>
      </c>
      <c r="O1008" s="49" t="n">
        <v>0</v>
      </c>
      <c r="P1008" s="49" t="n">
        <v>0</v>
      </c>
      <c r="Q1008" s="49" t="n">
        <v>0</v>
      </c>
      <c r="R1008" s="49" t="n">
        <v>0</v>
      </c>
      <c r="S1008" s="50" t="n">
        <v>0</v>
      </c>
      <c r="T1008" s="50" t="n">
        <v>0</v>
      </c>
      <c r="U1008" s="50" t="n">
        <v>0</v>
      </c>
      <c r="V1008" s="50" t="n">
        <v>0</v>
      </c>
      <c r="W1008" s="51" t="n">
        <v>0</v>
      </c>
      <c r="X1008" s="51" t="n">
        <v>0</v>
      </c>
      <c r="Y1008" s="51" t="n">
        <v>0</v>
      </c>
      <c r="Z1008" s="51" t="n">
        <v>0</v>
      </c>
      <c r="AA1008" s="52" t="n">
        <v>0</v>
      </c>
      <c r="AB1008" s="52" t="n">
        <v>0</v>
      </c>
      <c r="AC1008" s="52" t="n">
        <v>0</v>
      </c>
      <c r="AD1008" s="52" t="n">
        <v>0</v>
      </c>
      <c r="AE1008" s="52" t="n">
        <v>0</v>
      </c>
      <c r="AF1008" s="52" t="n">
        <v>0</v>
      </c>
      <c r="AG1008" s="52" t="n">
        <v>0</v>
      </c>
      <c r="AH1008" s="52" t="n">
        <v>0</v>
      </c>
      <c r="AI1008" s="52" t="n">
        <v>0</v>
      </c>
      <c r="AJ1008" s="52" t="n">
        <v>0</v>
      </c>
      <c r="AK1008" s="52" t="n">
        <v>0</v>
      </c>
      <c r="AL1008" s="52" t="n">
        <v>0</v>
      </c>
      <c r="AM1008" s="53" t="n">
        <v>0</v>
      </c>
      <c r="AN1008" s="53" t="n">
        <v>0</v>
      </c>
      <c r="AO1008" s="53" t="n">
        <v>0</v>
      </c>
      <c r="AP1008" s="53" t="n">
        <v>0</v>
      </c>
      <c r="AQ1008" s="52" t="n">
        <v>0</v>
      </c>
      <c r="AR1008" s="52" t="n">
        <v>0</v>
      </c>
      <c r="AS1008" s="52" t="n">
        <v>0</v>
      </c>
      <c r="AT1008" s="52" t="n">
        <v>0</v>
      </c>
      <c r="AU1008" s="53" t="n">
        <v>0</v>
      </c>
      <c r="AV1008" s="53" t="n">
        <v>0</v>
      </c>
      <c r="AW1008" s="53" t="n">
        <v>0</v>
      </c>
      <c r="AX1008" s="53" t="n">
        <v>0</v>
      </c>
      <c r="AY1008" s="52" t="n">
        <v>0</v>
      </c>
      <c r="AZ1008" s="52" t="n">
        <v>0</v>
      </c>
      <c r="BA1008" s="52" t="n">
        <v>0</v>
      </c>
      <c r="BB1008" s="52" t="n">
        <v>35.99</v>
      </c>
      <c r="BC1008" s="51" t="n">
        <v>0</v>
      </c>
      <c r="BD1008" s="51" t="n">
        <v>0</v>
      </c>
      <c r="BE1008" s="51" t="n">
        <v>0</v>
      </c>
      <c r="BF1008" s="51" t="n">
        <v>0</v>
      </c>
    </row>
    <row r="1009">
      <c r="A1009">
        <f>HYPERLINK("https://www.walmart.com/ip/707295024", "707295024")</f>
        <v/>
      </c>
      <c r="B1009" t="inlineStr">
        <is>
          <t>Tirrinia Insulated 2 Bottle Wine Carrier Tote Cooler Bag for Travel Picnic Padded Champagne Glass Carrying Case</t>
        </is>
      </c>
      <c r="C1009" t="inlineStr">
        <is>
          <t>1WMWB221RD</t>
        </is>
      </c>
      <c r="D1009" t="inlineStr">
        <is>
          <t>Wine Totes, Bags &amp; Backpacks</t>
        </is>
      </c>
      <c r="E1009" t="inlineStr">
        <is>
          <t>Flyingstar</t>
        </is>
      </c>
      <c r="F1009" t="inlineStr">
        <is>
          <t>Wine,Christmas,Valentine</t>
        </is>
      </c>
      <c r="G1009" s="48" t="n">
        <v>0</v>
      </c>
      <c r="H1009" s="48" t="n">
        <v>0</v>
      </c>
      <c r="I1009" s="48" t="n">
        <v>0</v>
      </c>
      <c r="J1009" s="48" t="n">
        <v>0</v>
      </c>
      <c r="K1009" s="49" t="n">
        <v>0</v>
      </c>
      <c r="L1009" s="49" t="n">
        <v>0</v>
      </c>
      <c r="M1009" s="49" t="n">
        <v>0</v>
      </c>
      <c r="N1009" s="49" t="n">
        <v>0</v>
      </c>
      <c r="O1009" s="49" t="n">
        <v>0</v>
      </c>
      <c r="P1009" s="49" t="n">
        <v>0</v>
      </c>
      <c r="Q1009" s="49" t="n">
        <v>0</v>
      </c>
      <c r="R1009" s="49" t="n">
        <v>0</v>
      </c>
      <c r="S1009" s="50" t="n">
        <v>0</v>
      </c>
      <c r="T1009" s="50" t="n">
        <v>0</v>
      </c>
      <c r="U1009" s="50" t="n">
        <v>0</v>
      </c>
      <c r="V1009" s="50" t="n">
        <v>0</v>
      </c>
      <c r="W1009" s="51" t="n">
        <v>0</v>
      </c>
      <c r="X1009" s="51" t="n">
        <v>0</v>
      </c>
      <c r="Y1009" s="51" t="n">
        <v>0</v>
      </c>
      <c r="Z1009" s="51" t="n">
        <v>0</v>
      </c>
      <c r="AA1009" s="52" t="n">
        <v>0</v>
      </c>
      <c r="AB1009" s="52" t="n">
        <v>0</v>
      </c>
      <c r="AC1009" s="52" t="n">
        <v>0</v>
      </c>
      <c r="AD1009" s="52" t="n">
        <v>0</v>
      </c>
      <c r="AE1009" s="52" t="n">
        <v>0</v>
      </c>
      <c r="AF1009" s="52" t="n">
        <v>0</v>
      </c>
      <c r="AG1009" s="52" t="n">
        <v>0</v>
      </c>
      <c r="AH1009" s="52" t="n">
        <v>0</v>
      </c>
      <c r="AI1009" s="52" t="n">
        <v>0</v>
      </c>
      <c r="AJ1009" s="52" t="n">
        <v>0</v>
      </c>
      <c r="AK1009" s="52" t="n">
        <v>0</v>
      </c>
      <c r="AL1009" s="52" t="n">
        <v>0</v>
      </c>
      <c r="AM1009" s="53" t="n">
        <v>0</v>
      </c>
      <c r="AN1009" s="53" t="n">
        <v>0</v>
      </c>
      <c r="AO1009" s="53" t="n">
        <v>0</v>
      </c>
      <c r="AP1009" s="53" t="n">
        <v>0</v>
      </c>
      <c r="AQ1009" s="52" t="n">
        <v>0</v>
      </c>
      <c r="AR1009" s="52" t="n">
        <v>0</v>
      </c>
      <c r="AS1009" s="52" t="n">
        <v>0</v>
      </c>
      <c r="AT1009" s="52" t="n">
        <v>0</v>
      </c>
      <c r="AU1009" s="53" t="n">
        <v>0</v>
      </c>
      <c r="AV1009" s="53" t="n">
        <v>0</v>
      </c>
      <c r="AW1009" s="53" t="n">
        <v>0</v>
      </c>
      <c r="AX1009" s="53" t="n">
        <v>0</v>
      </c>
      <c r="AY1009" s="52" t="n">
        <v>0</v>
      </c>
      <c r="AZ1009" s="52" t="n">
        <v>0</v>
      </c>
      <c r="BA1009" s="52" t="n">
        <v>0</v>
      </c>
      <c r="BB1009" s="52" t="n">
        <v>0</v>
      </c>
      <c r="BC1009" s="51" t="n">
        <v>0</v>
      </c>
      <c r="BD1009" s="51" t="n">
        <v>0</v>
      </c>
      <c r="BE1009" s="51" t="n">
        <v>0</v>
      </c>
      <c r="BF1009" s="51" t="n">
        <v>0</v>
      </c>
    </row>
    <row r="1010">
      <c r="A1010">
        <f>HYPERLINK("https://www.walmart.com/ip/708164308", "708164308")</f>
        <v/>
      </c>
      <c r="B1010" t="inlineStr">
        <is>
          <t>Flyingstar Insulated Picnic Basket, 26L Leakproof Collapsible Portable Cooler Basket for Camping, Travel and Shopping, with a Free Foldable Grocery Bag, Black, 16.8" x 9.7" x 10"</t>
        </is>
      </c>
      <c r="C1010" t="inlineStr">
        <is>
          <t>1WMPB100-BK</t>
        </is>
      </c>
      <c r="D1010" t="inlineStr">
        <is>
          <t>Picnic Baskets &amp; Bags</t>
        </is>
      </c>
      <c r="E1010" t="inlineStr">
        <is>
          <t>Tirrinia</t>
        </is>
      </c>
      <c r="F1010" t="inlineStr">
        <is>
          <t>Batch 1 - TR</t>
        </is>
      </c>
      <c r="G1010" s="48" t="n">
        <v>0</v>
      </c>
      <c r="H1010" s="48" t="n">
        <v>0</v>
      </c>
      <c r="I1010" s="48" t="n">
        <v>0</v>
      </c>
      <c r="J1010" s="48" t="n">
        <v>0</v>
      </c>
      <c r="K1010" s="49" t="n">
        <v>0</v>
      </c>
      <c r="L1010" s="49" t="n">
        <v>0</v>
      </c>
      <c r="M1010" s="49" t="n">
        <v>0</v>
      </c>
      <c r="N1010" s="49" t="n">
        <v>0</v>
      </c>
      <c r="O1010" s="49" t="n">
        <v>0</v>
      </c>
      <c r="P1010" s="49" t="n">
        <v>0</v>
      </c>
      <c r="Q1010" s="49" t="n">
        <v>0</v>
      </c>
      <c r="R1010" s="49" t="n">
        <v>0</v>
      </c>
      <c r="S1010" s="50" t="n">
        <v>0</v>
      </c>
      <c r="T1010" s="50" t="n">
        <v>0</v>
      </c>
      <c r="U1010" s="50" t="n">
        <v>0</v>
      </c>
      <c r="V1010" s="50" t="n">
        <v>0</v>
      </c>
      <c r="W1010" s="51" t="n">
        <v>0</v>
      </c>
      <c r="X1010" s="51" t="n">
        <v>0</v>
      </c>
      <c r="Y1010" s="51" t="n">
        <v>0</v>
      </c>
      <c r="Z1010" s="51" t="n">
        <v>0</v>
      </c>
      <c r="AA1010" s="52" t="n">
        <v>0</v>
      </c>
      <c r="AB1010" s="52" t="n">
        <v>0</v>
      </c>
      <c r="AC1010" s="52" t="n">
        <v>0</v>
      </c>
      <c r="AD1010" s="52" t="n">
        <v>0</v>
      </c>
      <c r="AE1010" s="52" t="n">
        <v>0</v>
      </c>
      <c r="AF1010" s="52" t="n">
        <v>0</v>
      </c>
      <c r="AG1010" s="52" t="n">
        <v>0</v>
      </c>
      <c r="AH1010" s="52" t="n">
        <v>0</v>
      </c>
      <c r="AI1010" s="52" t="n">
        <v>0</v>
      </c>
      <c r="AJ1010" s="52" t="n">
        <v>0</v>
      </c>
      <c r="AK1010" s="52" t="n">
        <v>0</v>
      </c>
      <c r="AL1010" s="52" t="n">
        <v>0</v>
      </c>
      <c r="AM1010" s="53" t="n">
        <v>0</v>
      </c>
      <c r="AN1010" s="53" t="n">
        <v>0</v>
      </c>
      <c r="AO1010" s="53" t="n">
        <v>0</v>
      </c>
      <c r="AP1010" s="53" t="n">
        <v>0</v>
      </c>
      <c r="AQ1010" s="52" t="n">
        <v>0</v>
      </c>
      <c r="AR1010" s="52" t="n">
        <v>0</v>
      </c>
      <c r="AS1010" s="52" t="n">
        <v>0</v>
      </c>
      <c r="AT1010" s="52" t="n">
        <v>0</v>
      </c>
      <c r="AU1010" s="53" t="n">
        <v>0</v>
      </c>
      <c r="AV1010" s="53" t="n">
        <v>0</v>
      </c>
      <c r="AW1010" s="53" t="n">
        <v>0</v>
      </c>
      <c r="AX1010" s="53" t="n">
        <v>0</v>
      </c>
      <c r="AY1010" s="52" t="n">
        <v>0</v>
      </c>
      <c r="AZ1010" s="52" t="n">
        <v>0</v>
      </c>
      <c r="BA1010" s="52" t="n">
        <v>0</v>
      </c>
      <c r="BB1010" s="52" t="n">
        <v>0</v>
      </c>
      <c r="BC1010" s="51" t="n">
        <v>0</v>
      </c>
      <c r="BD1010" s="51" t="n">
        <v>0</v>
      </c>
      <c r="BE1010" s="51" t="n">
        <v>0</v>
      </c>
      <c r="BF1010" s="51" t="n">
        <v>0</v>
      </c>
    </row>
    <row r="1011">
      <c r="A1011">
        <f>HYPERLINK("https://www.walmart.com/ip/708964671", "708964671")</f>
        <v/>
      </c>
      <c r="B1011" t="inlineStr">
        <is>
          <t>Women's Poncho Cape, Sherpa Fleece Cloak Coat, Snuggly Hooded Wearable Blanket, Gift Idea for Adults and Teen Girls</t>
        </is>
      </c>
      <c r="C1011" t="inlineStr">
        <is>
          <t>1CTBC300P2RD</t>
        </is>
      </c>
      <c r="D1011" t="inlineStr">
        <is>
          <t>Throws</t>
        </is>
      </c>
      <c r="E1011" t="inlineStr">
        <is>
          <t>Catalonia</t>
        </is>
      </c>
      <c r="F1011" t="inlineStr">
        <is>
          <t>SEM,WFS Item</t>
        </is>
      </c>
      <c r="G1011" s="48" t="n">
        <v>0</v>
      </c>
      <c r="H1011" s="48" t="n">
        <v>0</v>
      </c>
      <c r="I1011" s="48" t="n">
        <v>0</v>
      </c>
      <c r="J1011" s="48" t="n">
        <v>0</v>
      </c>
      <c r="K1011" s="49" t="n">
        <v>0</v>
      </c>
      <c r="L1011" s="49" t="n">
        <v>0</v>
      </c>
      <c r="M1011" s="49" t="n">
        <v>0</v>
      </c>
      <c r="N1011" s="49" t="n">
        <v>0</v>
      </c>
      <c r="O1011" s="49" t="n">
        <v>1</v>
      </c>
      <c r="P1011" s="49" t="n">
        <v>0</v>
      </c>
      <c r="Q1011" s="49" t="n">
        <v>1</v>
      </c>
      <c r="R1011" s="49" t="n">
        <v>1</v>
      </c>
      <c r="S1011" s="50" t="n">
        <v>0</v>
      </c>
      <c r="T1011" s="50" t="n">
        <v>0</v>
      </c>
      <c r="U1011" s="50" t="n">
        <v>0</v>
      </c>
      <c r="V1011" s="50" t="n">
        <v>0</v>
      </c>
      <c r="W1011" s="51" t="n">
        <v>0</v>
      </c>
      <c r="X1011" s="51" t="n">
        <v>0</v>
      </c>
      <c r="Y1011" s="51" t="n">
        <v>0</v>
      </c>
      <c r="Z1011" s="51" t="n">
        <v>0</v>
      </c>
      <c r="AA1011" s="52" t="n">
        <v>0</v>
      </c>
      <c r="AB1011" s="52" t="n">
        <v>0</v>
      </c>
      <c r="AC1011" s="52" t="n">
        <v>0</v>
      </c>
      <c r="AD1011" s="52" t="n">
        <v>0</v>
      </c>
      <c r="AE1011" s="52" t="n">
        <v>0</v>
      </c>
      <c r="AF1011" s="52" t="n">
        <v>0</v>
      </c>
      <c r="AG1011" s="52" t="n">
        <v>0</v>
      </c>
      <c r="AH1011" s="52" t="n">
        <v>0</v>
      </c>
      <c r="AI1011" s="52" t="n">
        <v>0</v>
      </c>
      <c r="AJ1011" s="52" t="n">
        <v>0</v>
      </c>
      <c r="AK1011" s="52" t="n">
        <v>0</v>
      </c>
      <c r="AL1011" s="52" t="n">
        <v>0</v>
      </c>
      <c r="AM1011" s="53" t="n">
        <v>0</v>
      </c>
      <c r="AN1011" s="53" t="n">
        <v>0</v>
      </c>
      <c r="AO1011" s="53" t="n">
        <v>0</v>
      </c>
      <c r="AP1011" s="53" t="n">
        <v>0</v>
      </c>
      <c r="AQ1011" s="52" t="n">
        <v>0</v>
      </c>
      <c r="AR1011" s="52" t="n">
        <v>0</v>
      </c>
      <c r="AS1011" s="52" t="n">
        <v>0</v>
      </c>
      <c r="AT1011" s="52" t="n">
        <v>0</v>
      </c>
      <c r="AU1011" s="53" t="n">
        <v>0</v>
      </c>
      <c r="AV1011" s="53" t="n">
        <v>0</v>
      </c>
      <c r="AW1011" s="53" t="n">
        <v>0</v>
      </c>
      <c r="AX1011" s="53" t="n">
        <v>0</v>
      </c>
      <c r="AY1011" s="52" t="n">
        <v>0</v>
      </c>
      <c r="AZ1011" s="52" t="n">
        <v>0</v>
      </c>
      <c r="BA1011" s="52" t="n">
        <v>0</v>
      </c>
      <c r="BB1011" s="52" t="n">
        <v>0</v>
      </c>
      <c r="BC1011" s="51" t="n">
        <v>0</v>
      </c>
      <c r="BD1011" s="51" t="n">
        <v>0</v>
      </c>
      <c r="BE1011" s="51" t="n">
        <v>0</v>
      </c>
      <c r="BF1011" s="51" t="n">
        <v>0</v>
      </c>
    </row>
    <row r="1012">
      <c r="A1012">
        <f>HYPERLINK("https://www.walmart.com/ip/709043246", "709043246")</f>
        <v/>
      </c>
      <c r="B1012" t="inlineStr">
        <is>
          <t>Unicorn Oversized Sherpa Hoodie Blanket Sweatshirt for Women</t>
        </is>
      </c>
      <c r="C1012" t="inlineStr">
        <is>
          <t>1WMHD201UNI</t>
        </is>
      </c>
      <c r="D1012" t="inlineStr">
        <is>
          <t>Sweatshirts &amp; Hoodies</t>
        </is>
      </c>
      <c r="E1012" t="inlineStr">
        <is>
          <t>Flyingstar</t>
        </is>
      </c>
      <c r="F1012" t="inlineStr">
        <is>
          <t>Hoodie ForAdult,Optimized</t>
        </is>
      </c>
      <c r="G1012" s="48" t="n">
        <v>0</v>
      </c>
      <c r="H1012" s="48" t="n">
        <v>0</v>
      </c>
      <c r="I1012" s="48" t="n">
        <v>0</v>
      </c>
      <c r="J1012" s="48" t="n">
        <v>0</v>
      </c>
      <c r="K1012" s="49" t="n">
        <v>0</v>
      </c>
      <c r="L1012" s="49" t="n">
        <v>0</v>
      </c>
      <c r="M1012" s="49" t="n">
        <v>0</v>
      </c>
      <c r="N1012" s="49" t="n">
        <v>0</v>
      </c>
      <c r="O1012" s="49" t="n">
        <v>0</v>
      </c>
      <c r="P1012" s="49" t="n">
        <v>0</v>
      </c>
      <c r="Q1012" s="49" t="n">
        <v>0</v>
      </c>
      <c r="R1012" s="49" t="n">
        <v>0</v>
      </c>
      <c r="S1012" s="50" t="n">
        <v>0</v>
      </c>
      <c r="T1012" s="50" t="n">
        <v>0</v>
      </c>
      <c r="U1012" s="50" t="n">
        <v>0</v>
      </c>
      <c r="V1012" s="50" t="n">
        <v>0</v>
      </c>
      <c r="W1012" s="51" t="n">
        <v>0</v>
      </c>
      <c r="X1012" s="51" t="n">
        <v>0</v>
      </c>
      <c r="Y1012" s="51" t="n">
        <v>0</v>
      </c>
      <c r="Z1012" s="51" t="n">
        <v>0</v>
      </c>
      <c r="AA1012" s="52" t="n">
        <v>0</v>
      </c>
      <c r="AB1012" s="52" t="n">
        <v>0</v>
      </c>
      <c r="AC1012" s="52" t="n">
        <v>0</v>
      </c>
      <c r="AD1012" s="52" t="n">
        <v>0</v>
      </c>
      <c r="AE1012" s="52" t="n">
        <v>0</v>
      </c>
      <c r="AF1012" s="52" t="n">
        <v>0</v>
      </c>
      <c r="AG1012" s="52" t="n">
        <v>0</v>
      </c>
      <c r="AH1012" s="52" t="n">
        <v>0</v>
      </c>
      <c r="AI1012" s="52" t="n">
        <v>0</v>
      </c>
      <c r="AJ1012" s="52" t="n">
        <v>0</v>
      </c>
      <c r="AK1012" s="52" t="n">
        <v>0</v>
      </c>
      <c r="AL1012" s="52" t="n">
        <v>0</v>
      </c>
      <c r="AM1012" s="53" t="n">
        <v>0</v>
      </c>
      <c r="AN1012" s="53" t="n">
        <v>0</v>
      </c>
      <c r="AO1012" s="53" t="n">
        <v>0</v>
      </c>
      <c r="AP1012" s="53" t="n">
        <v>0</v>
      </c>
      <c r="AQ1012" s="52" t="n">
        <v>0</v>
      </c>
      <c r="AR1012" s="52" t="n">
        <v>0</v>
      </c>
      <c r="AS1012" s="52" t="n">
        <v>0</v>
      </c>
      <c r="AT1012" s="52" t="n">
        <v>0</v>
      </c>
      <c r="AU1012" s="53" t="n">
        <v>0</v>
      </c>
      <c r="AV1012" s="53" t="n">
        <v>0</v>
      </c>
      <c r="AW1012" s="53" t="n">
        <v>0</v>
      </c>
      <c r="AX1012" s="53" t="n">
        <v>0</v>
      </c>
      <c r="AY1012" s="52" t="n">
        <v>0</v>
      </c>
      <c r="AZ1012" s="52" t="n">
        <v>0</v>
      </c>
      <c r="BA1012" s="52" t="n">
        <v>0</v>
      </c>
      <c r="BB1012" s="52" t="n">
        <v>0</v>
      </c>
      <c r="BC1012" s="51" t="n">
        <v>0</v>
      </c>
      <c r="BD1012" s="51" t="n">
        <v>0</v>
      </c>
      <c r="BE1012" s="51" t="n">
        <v>0</v>
      </c>
      <c r="BF1012" s="51" t="n">
        <v>0</v>
      </c>
    </row>
    <row r="1013">
      <c r="A1013">
        <f>HYPERLINK("https://www.walmart.com/ip/709316689", "709316689")</f>
        <v/>
      </c>
      <c r="B1013" t="inlineStr">
        <is>
          <t>undefined</t>
        </is>
      </c>
      <c r="C1013" t="inlineStr">
        <is>
          <t>1CTWIG001-F1BBG-ESCB</t>
        </is>
      </c>
      <c r="G1013" s="48" t="n">
        <v>0</v>
      </c>
      <c r="H1013" s="48" t="n">
        <v>0</v>
      </c>
      <c r="I1013" s="48" t="n">
        <v>0</v>
      </c>
      <c r="J1013" s="48" t="n">
        <v>0</v>
      </c>
      <c r="K1013" s="49" t="n">
        <v>0</v>
      </c>
      <c r="L1013" s="49" t="n">
        <v>0</v>
      </c>
      <c r="M1013" s="49" t="n">
        <v>0</v>
      </c>
      <c r="N1013" s="49" t="n">
        <v>0</v>
      </c>
      <c r="O1013" s="49" t="n">
        <v>0</v>
      </c>
      <c r="P1013" s="49" t="n">
        <v>0</v>
      </c>
      <c r="Q1013" s="49" t="n">
        <v>0</v>
      </c>
      <c r="R1013" s="49" t="n">
        <v>0</v>
      </c>
      <c r="S1013" s="50" t="n">
        <v>0</v>
      </c>
      <c r="T1013" s="50" t="n">
        <v>0</v>
      </c>
      <c r="U1013" s="50" t="n">
        <v>0</v>
      </c>
      <c r="V1013" s="50" t="n">
        <v>0</v>
      </c>
      <c r="W1013" s="51" t="n">
        <v>0</v>
      </c>
      <c r="X1013" s="51" t="n">
        <v>0</v>
      </c>
      <c r="Y1013" s="51" t="n">
        <v>0</v>
      </c>
      <c r="Z1013" s="51" t="n">
        <v>0</v>
      </c>
      <c r="AA1013" s="52" t="n">
        <v>0</v>
      </c>
      <c r="AB1013" s="52" t="n">
        <v>0</v>
      </c>
      <c r="AC1013" s="52" t="n">
        <v>0</v>
      </c>
      <c r="AD1013" s="52" t="n">
        <v>0</v>
      </c>
      <c r="AE1013" s="52" t="n">
        <v>0</v>
      </c>
      <c r="AF1013" s="52" t="n">
        <v>0</v>
      </c>
      <c r="AG1013" s="52" t="n">
        <v>0</v>
      </c>
      <c r="AH1013" s="52" t="n">
        <v>0</v>
      </c>
      <c r="AI1013" s="52" t="n">
        <v>0</v>
      </c>
      <c r="AJ1013" s="52" t="n">
        <v>0</v>
      </c>
      <c r="AK1013" s="52" t="n">
        <v>0</v>
      </c>
      <c r="AL1013" s="52" t="n">
        <v>0</v>
      </c>
      <c r="AM1013" s="53" t="n">
        <v>0</v>
      </c>
      <c r="AN1013" s="53" t="n">
        <v>0</v>
      </c>
      <c r="AO1013" s="53" t="n">
        <v>0</v>
      </c>
      <c r="AP1013" s="53" t="n">
        <v>0</v>
      </c>
      <c r="AQ1013" s="52" t="n">
        <v>0</v>
      </c>
      <c r="AR1013" s="52" t="n">
        <v>0</v>
      </c>
      <c r="AS1013" s="52" t="n">
        <v>0</v>
      </c>
      <c r="AT1013" s="52" t="n">
        <v>0</v>
      </c>
      <c r="AU1013" s="53" t="n">
        <v>0</v>
      </c>
      <c r="AV1013" s="53" t="n">
        <v>0</v>
      </c>
      <c r="AW1013" s="53" t="n">
        <v>0</v>
      </c>
      <c r="AX1013" s="53" t="n">
        <v>0</v>
      </c>
      <c r="AY1013" s="52" t="n">
        <v>0</v>
      </c>
      <c r="AZ1013" s="52" t="n">
        <v>0</v>
      </c>
      <c r="BA1013" s="52" t="n">
        <v>0</v>
      </c>
      <c r="BB1013" s="52" t="n">
        <v>0</v>
      </c>
      <c r="BC1013" s="51" t="n">
        <v>0</v>
      </c>
      <c r="BD1013" s="51" t="n">
        <v>0</v>
      </c>
      <c r="BE1013" s="51" t="n">
        <v>0</v>
      </c>
      <c r="BF1013" s="51" t="n">
        <v>0</v>
      </c>
    </row>
    <row r="1014">
      <c r="A1014">
        <f>HYPERLINK("https://www.walmart.com/ip/710463986", "710463986")</f>
        <v/>
      </c>
      <c r="B1014" t="inlineStr">
        <is>
          <t>Sherpa Wearable Blanket with Sleeves Arms, Super Soft Warm Comfy Large Fleece Plush Sleeved TV Throws Wrap Robe Blanket for Adult Women and Men, Tiger</t>
        </is>
      </c>
      <c r="C1014" t="inlineStr">
        <is>
          <t>1CTSN110TG</t>
        </is>
      </c>
      <c r="D1014" t="inlineStr">
        <is>
          <t>Throws</t>
        </is>
      </c>
      <c r="E1014" t="inlineStr">
        <is>
          <t>Catalonia</t>
        </is>
      </c>
      <c r="F1014" t="inlineStr">
        <is>
          <t>Q2-Target,Coupon_Discount,Batch 1 - TR</t>
        </is>
      </c>
      <c r="G1014" s="48" t="n">
        <v>0</v>
      </c>
      <c r="H1014" s="48" t="n">
        <v>0</v>
      </c>
      <c r="I1014" s="48" t="n">
        <v>0</v>
      </c>
      <c r="J1014" s="48" t="n">
        <v>0</v>
      </c>
      <c r="K1014" s="49" t="n">
        <v>0</v>
      </c>
      <c r="L1014" s="49" t="n">
        <v>0</v>
      </c>
      <c r="M1014" s="49" t="n">
        <v>0</v>
      </c>
      <c r="N1014" s="49" t="n">
        <v>0</v>
      </c>
      <c r="O1014" s="49" t="n">
        <v>0</v>
      </c>
      <c r="P1014" s="49" t="n">
        <v>0</v>
      </c>
      <c r="Q1014" s="49" t="n">
        <v>0</v>
      </c>
      <c r="R1014" s="49" t="n">
        <v>0</v>
      </c>
      <c r="S1014" s="50" t="n">
        <v>0</v>
      </c>
      <c r="T1014" s="50" t="n">
        <v>0</v>
      </c>
      <c r="U1014" s="50" t="n">
        <v>0</v>
      </c>
      <c r="V1014" s="50" t="n">
        <v>0</v>
      </c>
      <c r="W1014" s="51" t="n">
        <v>0</v>
      </c>
      <c r="X1014" s="51" t="n">
        <v>0</v>
      </c>
      <c r="Y1014" s="51" t="n">
        <v>0</v>
      </c>
      <c r="Z1014" s="51" t="n">
        <v>0</v>
      </c>
      <c r="AA1014" s="52" t="n">
        <v>0</v>
      </c>
      <c r="AB1014" s="52" t="n">
        <v>0</v>
      </c>
      <c r="AC1014" s="52" t="n">
        <v>0</v>
      </c>
      <c r="AD1014" s="52" t="n">
        <v>0</v>
      </c>
      <c r="AE1014" s="52" t="n">
        <v>0</v>
      </c>
      <c r="AF1014" s="52" t="n">
        <v>0</v>
      </c>
      <c r="AG1014" s="52" t="n">
        <v>0</v>
      </c>
      <c r="AH1014" s="52" t="n">
        <v>0</v>
      </c>
      <c r="AI1014" s="52" t="n">
        <v>0</v>
      </c>
      <c r="AJ1014" s="52" t="n">
        <v>0</v>
      </c>
      <c r="AK1014" s="52" t="n">
        <v>0</v>
      </c>
      <c r="AL1014" s="52" t="n">
        <v>0</v>
      </c>
      <c r="AM1014" s="53" t="n">
        <v>0</v>
      </c>
      <c r="AN1014" s="53" t="n">
        <v>0</v>
      </c>
      <c r="AO1014" s="53" t="n">
        <v>0</v>
      </c>
      <c r="AP1014" s="53" t="n">
        <v>0</v>
      </c>
      <c r="AQ1014" s="52" t="n">
        <v>0</v>
      </c>
      <c r="AR1014" s="52" t="n">
        <v>0</v>
      </c>
      <c r="AS1014" s="52" t="n">
        <v>0</v>
      </c>
      <c r="AT1014" s="52" t="n">
        <v>0</v>
      </c>
      <c r="AU1014" s="53" t="n">
        <v>0</v>
      </c>
      <c r="AV1014" s="53" t="n">
        <v>0</v>
      </c>
      <c r="AW1014" s="53" t="n">
        <v>0</v>
      </c>
      <c r="AX1014" s="53" t="n">
        <v>0</v>
      </c>
      <c r="AY1014" s="52" t="n">
        <v>0</v>
      </c>
      <c r="AZ1014" s="52" t="n">
        <v>0</v>
      </c>
      <c r="BA1014" s="52" t="n">
        <v>0</v>
      </c>
      <c r="BB1014" s="52" t="n">
        <v>0</v>
      </c>
      <c r="BC1014" s="51" t="n">
        <v>0</v>
      </c>
      <c r="BD1014" s="51" t="n">
        <v>0</v>
      </c>
      <c r="BE1014" s="51" t="n">
        <v>0</v>
      </c>
      <c r="BF1014" s="51" t="n">
        <v>0</v>
      </c>
    </row>
    <row r="1015">
      <c r="A1015">
        <f>HYPERLINK("https://www.walmart.com/ip/711245788", "711245788")</f>
        <v/>
      </c>
      <c r="B1015" t="inlineStr">
        <is>
          <t>Fleece Blanket Wearable with Sleeves and Pocket, Micro Plush Warm Comfy Sleeved TV Throw Blanket Robe for Women and Men Multi-Colors 72”X55” by Catalonia</t>
        </is>
      </c>
      <c r="C1015" t="inlineStr">
        <is>
          <t>1CTSN110BL-ESGM</t>
        </is>
      </c>
      <c r="D1015" t="inlineStr">
        <is>
          <t>Throws</t>
        </is>
      </c>
      <c r="E1015" t="inlineStr">
        <is>
          <t>Catalonia</t>
        </is>
      </c>
      <c r="F1015" t="inlineStr">
        <is>
          <t>Fleece Blankets,Batch 1 - TR</t>
        </is>
      </c>
      <c r="G1015" s="48" t="n">
        <v>0</v>
      </c>
      <c r="H1015" s="48" t="n">
        <v>0</v>
      </c>
      <c r="I1015" s="48" t="n">
        <v>0</v>
      </c>
      <c r="J1015" s="48" t="n">
        <v>0</v>
      </c>
      <c r="K1015" s="49" t="n">
        <v>0</v>
      </c>
      <c r="L1015" s="49" t="n">
        <v>0</v>
      </c>
      <c r="M1015" s="49" t="n">
        <v>0</v>
      </c>
      <c r="N1015" s="49" t="n">
        <v>0</v>
      </c>
      <c r="O1015" s="49" t="n">
        <v>0</v>
      </c>
      <c r="P1015" s="49" t="n">
        <v>0</v>
      </c>
      <c r="Q1015" s="49" t="n">
        <v>0</v>
      </c>
      <c r="R1015" s="49" t="n">
        <v>0</v>
      </c>
      <c r="S1015" s="50" t="n">
        <v>0</v>
      </c>
      <c r="T1015" s="50" t="n">
        <v>0</v>
      </c>
      <c r="U1015" s="50" t="n">
        <v>0</v>
      </c>
      <c r="V1015" s="50" t="n">
        <v>0</v>
      </c>
      <c r="W1015" s="51" t="n">
        <v>0</v>
      </c>
      <c r="X1015" s="51" t="n">
        <v>0</v>
      </c>
      <c r="Y1015" s="51" t="n">
        <v>0</v>
      </c>
      <c r="Z1015" s="51" t="n">
        <v>0</v>
      </c>
      <c r="AA1015" s="52" t="n">
        <v>0</v>
      </c>
      <c r="AB1015" s="52" t="n">
        <v>0</v>
      </c>
      <c r="AC1015" s="52" t="n">
        <v>0</v>
      </c>
      <c r="AD1015" s="52" t="n">
        <v>0</v>
      </c>
      <c r="AE1015" s="52" t="n">
        <v>0</v>
      </c>
      <c r="AF1015" s="52" t="n">
        <v>0</v>
      </c>
      <c r="AG1015" s="52" t="n">
        <v>0</v>
      </c>
      <c r="AH1015" s="52" t="n">
        <v>0</v>
      </c>
      <c r="AI1015" s="52" t="n">
        <v>0</v>
      </c>
      <c r="AJ1015" s="52" t="n">
        <v>0</v>
      </c>
      <c r="AK1015" s="52" t="n">
        <v>0</v>
      </c>
      <c r="AL1015" s="52" t="n">
        <v>0</v>
      </c>
      <c r="AM1015" s="53" t="n">
        <v>0</v>
      </c>
      <c r="AN1015" s="53" t="n">
        <v>0</v>
      </c>
      <c r="AO1015" s="53" t="n">
        <v>0</v>
      </c>
      <c r="AP1015" s="53" t="n">
        <v>0</v>
      </c>
      <c r="AQ1015" s="52" t="n">
        <v>0</v>
      </c>
      <c r="AR1015" s="52" t="n">
        <v>0</v>
      </c>
      <c r="AS1015" s="52" t="n">
        <v>0</v>
      </c>
      <c r="AT1015" s="52" t="n">
        <v>0</v>
      </c>
      <c r="AU1015" s="53" t="n">
        <v>0</v>
      </c>
      <c r="AV1015" s="53" t="n">
        <v>0</v>
      </c>
      <c r="AW1015" s="53" t="n">
        <v>0</v>
      </c>
      <c r="AX1015" s="53" t="n">
        <v>0</v>
      </c>
      <c r="AY1015" s="52" t="n">
        <v>0</v>
      </c>
      <c r="AZ1015" s="52" t="n">
        <v>0</v>
      </c>
      <c r="BA1015" s="52" t="n">
        <v>0</v>
      </c>
      <c r="BB1015" s="52" t="n">
        <v>0</v>
      </c>
      <c r="BC1015" s="51" t="n">
        <v>0</v>
      </c>
      <c r="BD1015" s="51" t="n">
        <v>0</v>
      </c>
      <c r="BE1015" s="51" t="n">
        <v>0</v>
      </c>
      <c r="BF1015" s="51" t="n">
        <v>0</v>
      </c>
    </row>
    <row r="1016">
      <c r="A1016">
        <f>HYPERLINK("https://www.walmart.com/ip/711271124", "711271124")</f>
        <v/>
      </c>
      <c r="B1016" t="inlineStr">
        <is>
          <t>Sherpa Slipper Socks for Women,Winter Indoor Home Non Skid Booties</t>
        </is>
      </c>
      <c r="C1016" t="inlineStr">
        <is>
          <t>1CTST200LBL-1</t>
        </is>
      </c>
      <c r="D1016" t="inlineStr">
        <is>
          <t>Socks</t>
        </is>
      </c>
      <c r="E1016" t="inlineStr">
        <is>
          <t>Catalonia</t>
        </is>
      </c>
      <c r="F1016" t="inlineStr">
        <is>
          <t>WFS,WFS Item</t>
        </is>
      </c>
      <c r="G1016" s="48" t="n">
        <v>0</v>
      </c>
      <c r="H1016" s="48" t="n">
        <v>0</v>
      </c>
      <c r="I1016" s="48" t="n">
        <v>0</v>
      </c>
      <c r="J1016" s="48" t="n">
        <v>0</v>
      </c>
      <c r="K1016" s="49" t="n">
        <v>0</v>
      </c>
      <c r="L1016" s="49" t="n">
        <v>0</v>
      </c>
      <c r="M1016" s="49" t="n">
        <v>0</v>
      </c>
      <c r="N1016" s="49" t="n">
        <v>0</v>
      </c>
      <c r="O1016" s="49" t="n">
        <v>0</v>
      </c>
      <c r="P1016" s="49" t="n">
        <v>0</v>
      </c>
      <c r="Q1016" s="49" t="n">
        <v>0</v>
      </c>
      <c r="R1016" s="49" t="n">
        <v>0</v>
      </c>
      <c r="S1016" s="50" t="n">
        <v>0</v>
      </c>
      <c r="T1016" s="50" t="n">
        <v>0</v>
      </c>
      <c r="U1016" s="50" t="n">
        <v>0</v>
      </c>
      <c r="V1016" s="50" t="n">
        <v>0</v>
      </c>
      <c r="W1016" s="51" t="n">
        <v>0</v>
      </c>
      <c r="X1016" s="51" t="n">
        <v>0</v>
      </c>
      <c r="Y1016" s="51" t="n">
        <v>0</v>
      </c>
      <c r="Z1016" s="51" t="n">
        <v>0</v>
      </c>
      <c r="AA1016" s="52" t="n">
        <v>0</v>
      </c>
      <c r="AB1016" s="52" t="n">
        <v>0</v>
      </c>
      <c r="AC1016" s="52" t="n">
        <v>0</v>
      </c>
      <c r="AD1016" s="52" t="n">
        <v>0</v>
      </c>
      <c r="AE1016" s="52" t="n">
        <v>0</v>
      </c>
      <c r="AF1016" s="52" t="n">
        <v>0</v>
      </c>
      <c r="AG1016" s="52" t="n">
        <v>0</v>
      </c>
      <c r="AH1016" s="52" t="n">
        <v>0</v>
      </c>
      <c r="AI1016" s="52" t="n">
        <v>0</v>
      </c>
      <c r="AJ1016" s="52" t="n">
        <v>0</v>
      </c>
      <c r="AK1016" s="52" t="n">
        <v>0</v>
      </c>
      <c r="AL1016" s="52" t="n">
        <v>0</v>
      </c>
      <c r="AM1016" s="53" t="n">
        <v>0</v>
      </c>
      <c r="AN1016" s="53" t="n">
        <v>0</v>
      </c>
      <c r="AO1016" s="53" t="n">
        <v>0</v>
      </c>
      <c r="AP1016" s="53" t="n">
        <v>0</v>
      </c>
      <c r="AQ1016" s="52" t="n">
        <v>0</v>
      </c>
      <c r="AR1016" s="52" t="n">
        <v>0</v>
      </c>
      <c r="AS1016" s="52" t="n">
        <v>0</v>
      </c>
      <c r="AT1016" s="52" t="n">
        <v>0</v>
      </c>
      <c r="AU1016" s="53" t="n">
        <v>0</v>
      </c>
      <c r="AV1016" s="53" t="n">
        <v>0</v>
      </c>
      <c r="AW1016" s="53" t="n">
        <v>0</v>
      </c>
      <c r="AX1016" s="53" t="n">
        <v>0</v>
      </c>
      <c r="AY1016" s="52" t="n">
        <v>0</v>
      </c>
      <c r="AZ1016" s="52" t="n">
        <v>0</v>
      </c>
      <c r="BA1016" s="52" t="n">
        <v>0</v>
      </c>
      <c r="BB1016" s="52" t="n">
        <v>0</v>
      </c>
      <c r="BC1016" s="51" t="n">
        <v>0</v>
      </c>
      <c r="BD1016" s="51" t="n">
        <v>0</v>
      </c>
      <c r="BE1016" s="51" t="n">
        <v>0</v>
      </c>
      <c r="BF1016" s="51" t="n">
        <v>0</v>
      </c>
    </row>
    <row r="1017">
      <c r="A1017">
        <f>HYPERLINK("https://www.walmart.com/ip/711883867", "711883867")</f>
        <v/>
      </c>
      <c r="B1017" t="inlineStr">
        <is>
          <t>Tirrinia 2 Bottle Wine Tote Carrier - Leakproof &amp; Insulated Padded Versatile Canvas Cooler Bag for Travel, BYOB Restaurant, Wine Tasting, Party, Great Christmas Day Gift for Wine Lover, Beige</t>
        </is>
      </c>
      <c r="C1017" t="inlineStr">
        <is>
          <t>1KTWB220BG</t>
        </is>
      </c>
      <c r="D1017" t="inlineStr">
        <is>
          <t>Wine Totes, Bags &amp; Backpacks</t>
        </is>
      </c>
      <c r="E1017" t="inlineStr">
        <is>
          <t>Tirrinia</t>
        </is>
      </c>
      <c r="F1017" t="inlineStr">
        <is>
          <t>Wine,Christmas,WFS,Wine WFS,Valentine,SEM,WFS Item</t>
        </is>
      </c>
      <c r="G1017" s="48" t="n">
        <v>0</v>
      </c>
      <c r="H1017" s="48" t="n">
        <v>0</v>
      </c>
      <c r="I1017" s="48" t="n">
        <v>0</v>
      </c>
      <c r="J1017" s="48" t="n">
        <v>0</v>
      </c>
      <c r="K1017" s="49" t="n">
        <v>0</v>
      </c>
      <c r="L1017" s="49" t="n">
        <v>0</v>
      </c>
      <c r="M1017" s="49" t="n">
        <v>0</v>
      </c>
      <c r="N1017" s="49" t="n">
        <v>0</v>
      </c>
      <c r="O1017" s="49" t="n">
        <v>0</v>
      </c>
      <c r="P1017" s="49" t="n">
        <v>0</v>
      </c>
      <c r="Q1017" s="49" t="n">
        <v>0</v>
      </c>
      <c r="R1017" s="49" t="n">
        <v>0</v>
      </c>
      <c r="S1017" s="50" t="n">
        <v>0</v>
      </c>
      <c r="T1017" s="50" t="n">
        <v>0</v>
      </c>
      <c r="U1017" s="50" t="n">
        <v>0</v>
      </c>
      <c r="V1017" s="50" t="n">
        <v>0</v>
      </c>
      <c r="W1017" s="51" t="n">
        <v>0</v>
      </c>
      <c r="X1017" s="51" t="n">
        <v>0</v>
      </c>
      <c r="Y1017" s="51" t="n">
        <v>0</v>
      </c>
      <c r="Z1017" s="51" t="n">
        <v>0</v>
      </c>
      <c r="AA1017" s="52" t="n">
        <v>0</v>
      </c>
      <c r="AB1017" s="52" t="n">
        <v>0</v>
      </c>
      <c r="AC1017" s="52" t="n">
        <v>0</v>
      </c>
      <c r="AD1017" s="52" t="n">
        <v>0</v>
      </c>
      <c r="AE1017" s="52" t="n">
        <v>0</v>
      </c>
      <c r="AF1017" s="52" t="n">
        <v>0</v>
      </c>
      <c r="AG1017" s="52" t="n">
        <v>0</v>
      </c>
      <c r="AH1017" s="52" t="n">
        <v>0</v>
      </c>
      <c r="AI1017" s="52" t="n">
        <v>0</v>
      </c>
      <c r="AJ1017" s="52" t="n">
        <v>0</v>
      </c>
      <c r="AK1017" s="52" t="n">
        <v>0</v>
      </c>
      <c r="AL1017" s="52" t="n">
        <v>0</v>
      </c>
      <c r="AM1017" s="53" t="n">
        <v>0</v>
      </c>
      <c r="AN1017" s="53" t="n">
        <v>0</v>
      </c>
      <c r="AO1017" s="53" t="n">
        <v>0</v>
      </c>
      <c r="AP1017" s="53" t="n">
        <v>0</v>
      </c>
      <c r="AQ1017" s="52" t="n">
        <v>0</v>
      </c>
      <c r="AR1017" s="52" t="n">
        <v>0</v>
      </c>
      <c r="AS1017" s="52" t="n">
        <v>0</v>
      </c>
      <c r="AT1017" s="52" t="n">
        <v>0</v>
      </c>
      <c r="AU1017" s="53" t="n">
        <v>0</v>
      </c>
      <c r="AV1017" s="53" t="n">
        <v>0</v>
      </c>
      <c r="AW1017" s="53" t="n">
        <v>0</v>
      </c>
      <c r="AX1017" s="53" t="n">
        <v>0</v>
      </c>
      <c r="AY1017" s="52" t="n">
        <v>0</v>
      </c>
      <c r="AZ1017" s="52" t="n">
        <v>0</v>
      </c>
      <c r="BA1017" s="52" t="n">
        <v>0</v>
      </c>
      <c r="BB1017" s="52" t="n">
        <v>0</v>
      </c>
      <c r="BC1017" s="51" t="n">
        <v>0</v>
      </c>
      <c r="BD1017" s="51" t="n">
        <v>0</v>
      </c>
      <c r="BE1017" s="51" t="n">
        <v>0</v>
      </c>
      <c r="BF1017" s="51" t="n">
        <v>0</v>
      </c>
    </row>
    <row r="1018">
      <c r="A1018">
        <f>HYPERLINK("https://www.walmart.com/ip/712622757", "712622757")</f>
        <v/>
      </c>
      <c r="B1018" t="inlineStr">
        <is>
          <t>Tirrinia Insulated 2 Bottle Wine Carrier Tote Cooler Bag for Travel Picnic Padded Champagne Glass Carrying Case</t>
        </is>
      </c>
      <c r="C1018" t="inlineStr">
        <is>
          <t>1WMWB221PP</t>
        </is>
      </c>
      <c r="D1018" t="inlineStr">
        <is>
          <t>Wine Totes, Bags &amp; Backpacks</t>
        </is>
      </c>
      <c r="E1018" t="inlineStr">
        <is>
          <t>Flyingstar</t>
        </is>
      </c>
      <c r="F1018" t="inlineStr">
        <is>
          <t>Wine,Christmas,Valentine,SEM</t>
        </is>
      </c>
      <c r="G1018" s="48" t="n">
        <v>0</v>
      </c>
      <c r="H1018" s="48" t="n">
        <v>0</v>
      </c>
      <c r="I1018" s="48" t="n">
        <v>0</v>
      </c>
      <c r="J1018" s="48" t="n">
        <v>0</v>
      </c>
      <c r="K1018" s="49" t="n">
        <v>0</v>
      </c>
      <c r="L1018" s="49" t="n">
        <v>0</v>
      </c>
      <c r="M1018" s="49" t="n">
        <v>0</v>
      </c>
      <c r="N1018" s="49" t="n">
        <v>0</v>
      </c>
      <c r="O1018" s="49" t="n">
        <v>0</v>
      </c>
      <c r="P1018" s="49" t="n">
        <v>0</v>
      </c>
      <c r="Q1018" s="49" t="n">
        <v>0</v>
      </c>
      <c r="R1018" s="49" t="n">
        <v>0</v>
      </c>
      <c r="S1018" s="50" t="n">
        <v>0</v>
      </c>
      <c r="T1018" s="50" t="n">
        <v>0</v>
      </c>
      <c r="U1018" s="50" t="n">
        <v>0</v>
      </c>
      <c r="V1018" s="50" t="n">
        <v>0</v>
      </c>
      <c r="W1018" s="51" t="n">
        <v>0</v>
      </c>
      <c r="X1018" s="51" t="n">
        <v>0</v>
      </c>
      <c r="Y1018" s="51" t="n">
        <v>0</v>
      </c>
      <c r="Z1018" s="51" t="n">
        <v>0</v>
      </c>
      <c r="AA1018" s="52" t="n">
        <v>0</v>
      </c>
      <c r="AB1018" s="52" t="n">
        <v>0</v>
      </c>
      <c r="AC1018" s="52" t="n">
        <v>0</v>
      </c>
      <c r="AD1018" s="52" t="n">
        <v>0</v>
      </c>
      <c r="AE1018" s="52" t="n">
        <v>0</v>
      </c>
      <c r="AF1018" s="52" t="n">
        <v>0</v>
      </c>
      <c r="AG1018" s="52" t="n">
        <v>0</v>
      </c>
      <c r="AH1018" s="52" t="n">
        <v>0</v>
      </c>
      <c r="AI1018" s="52" t="n">
        <v>0</v>
      </c>
      <c r="AJ1018" s="52" t="n">
        <v>0</v>
      </c>
      <c r="AK1018" s="52" t="n">
        <v>0</v>
      </c>
      <c r="AL1018" s="52" t="n">
        <v>0</v>
      </c>
      <c r="AM1018" s="53" t="n">
        <v>0</v>
      </c>
      <c r="AN1018" s="53" t="n">
        <v>0</v>
      </c>
      <c r="AO1018" s="53" t="n">
        <v>0</v>
      </c>
      <c r="AP1018" s="53" t="n">
        <v>0</v>
      </c>
      <c r="AQ1018" s="52" t="n">
        <v>0</v>
      </c>
      <c r="AR1018" s="52" t="n">
        <v>0</v>
      </c>
      <c r="AS1018" s="52" t="n">
        <v>0</v>
      </c>
      <c r="AT1018" s="52" t="n">
        <v>0</v>
      </c>
      <c r="AU1018" s="53" t="n">
        <v>0</v>
      </c>
      <c r="AV1018" s="53" t="n">
        <v>0</v>
      </c>
      <c r="AW1018" s="53" t="n">
        <v>0</v>
      </c>
      <c r="AX1018" s="53" t="n">
        <v>0</v>
      </c>
      <c r="AY1018" s="52" t="n">
        <v>0</v>
      </c>
      <c r="AZ1018" s="52" t="n">
        <v>0</v>
      </c>
      <c r="BA1018" s="52" t="n">
        <v>0</v>
      </c>
      <c r="BB1018" s="52" t="n">
        <v>0</v>
      </c>
      <c r="BC1018" s="51" t="n">
        <v>0</v>
      </c>
      <c r="BD1018" s="51" t="n">
        <v>0</v>
      </c>
      <c r="BE1018" s="51" t="n">
        <v>0</v>
      </c>
      <c r="BF1018" s="51" t="n">
        <v>0</v>
      </c>
    </row>
    <row r="1019">
      <c r="A1019">
        <f>HYPERLINK("https://www.walmart.com/ip/712656183", "712656183")</f>
        <v/>
      </c>
      <c r="B1019" t="inlineStr">
        <is>
          <t>Flyingstar Insulated Lunch Bag, Reusable Tote Bag for Women &amp; Men &amp; Kids, Fashionable Large Cooler Lunch Bag for Working/School/Picnic</t>
        </is>
      </c>
      <c r="C1019" t="inlineStr">
        <is>
          <t>1WMLB703GYSTR</t>
        </is>
      </c>
      <c r="D1019" t="inlineStr">
        <is>
          <t>Reusable Lunch Bags &amp; Boxes</t>
        </is>
      </c>
      <c r="E1019" t="inlineStr">
        <is>
          <t>Flyingstar</t>
        </is>
      </c>
      <c r="F1019" t="inlineStr">
        <is>
          <t>Lunch Bag,Optimized,Lunch Bags</t>
        </is>
      </c>
      <c r="G1019" s="48" t="n">
        <v>0</v>
      </c>
      <c r="H1019" s="48" t="n">
        <v>0</v>
      </c>
      <c r="I1019" s="48" t="n">
        <v>0</v>
      </c>
      <c r="J1019" s="48" t="n">
        <v>0</v>
      </c>
      <c r="K1019" s="49" t="n">
        <v>0</v>
      </c>
      <c r="L1019" s="49" t="n">
        <v>0</v>
      </c>
      <c r="M1019" s="49" t="n">
        <v>0</v>
      </c>
      <c r="N1019" s="49" t="n">
        <v>0</v>
      </c>
      <c r="O1019" s="49" t="n">
        <v>0</v>
      </c>
      <c r="P1019" s="49" t="n">
        <v>0</v>
      </c>
      <c r="Q1019" s="49" t="n">
        <v>0</v>
      </c>
      <c r="R1019" s="49" t="n">
        <v>0</v>
      </c>
      <c r="S1019" s="50" t="n">
        <v>0</v>
      </c>
      <c r="T1019" s="50" t="n">
        <v>0</v>
      </c>
      <c r="U1019" s="50" t="n">
        <v>0</v>
      </c>
      <c r="V1019" s="50" t="n">
        <v>0</v>
      </c>
      <c r="W1019" s="51" t="n">
        <v>0</v>
      </c>
      <c r="X1019" s="51" t="n">
        <v>0</v>
      </c>
      <c r="Y1019" s="51" t="n">
        <v>0</v>
      </c>
      <c r="Z1019" s="51" t="n">
        <v>0</v>
      </c>
      <c r="AA1019" s="52" t="n">
        <v>0</v>
      </c>
      <c r="AB1019" s="52" t="n">
        <v>0</v>
      </c>
      <c r="AC1019" s="52" t="n">
        <v>0</v>
      </c>
      <c r="AD1019" s="52" t="n">
        <v>0</v>
      </c>
      <c r="AE1019" s="52" t="n">
        <v>0</v>
      </c>
      <c r="AF1019" s="52" t="n">
        <v>0</v>
      </c>
      <c r="AG1019" s="52" t="n">
        <v>0</v>
      </c>
      <c r="AH1019" s="52" t="n">
        <v>0</v>
      </c>
      <c r="AI1019" s="52" t="n">
        <v>0</v>
      </c>
      <c r="AJ1019" s="52" t="n">
        <v>0</v>
      </c>
      <c r="AK1019" s="52" t="n">
        <v>0</v>
      </c>
      <c r="AL1019" s="52" t="n">
        <v>0</v>
      </c>
      <c r="AM1019" s="53" t="n">
        <v>0</v>
      </c>
      <c r="AN1019" s="53" t="n">
        <v>0</v>
      </c>
      <c r="AO1019" s="53" t="n">
        <v>0</v>
      </c>
      <c r="AP1019" s="53" t="n">
        <v>0</v>
      </c>
      <c r="AQ1019" s="52" t="n">
        <v>0</v>
      </c>
      <c r="AR1019" s="52" t="n">
        <v>0</v>
      </c>
      <c r="AS1019" s="52" t="n">
        <v>0</v>
      </c>
      <c r="AT1019" s="52" t="n">
        <v>0</v>
      </c>
      <c r="AU1019" s="53" t="n">
        <v>0</v>
      </c>
      <c r="AV1019" s="53" t="n">
        <v>0</v>
      </c>
      <c r="AW1019" s="53" t="n">
        <v>0</v>
      </c>
      <c r="AX1019" s="53" t="n">
        <v>0</v>
      </c>
      <c r="AY1019" s="52" t="n">
        <v>0</v>
      </c>
      <c r="AZ1019" s="52" t="n">
        <v>0</v>
      </c>
      <c r="BA1019" s="52" t="n">
        <v>0</v>
      </c>
      <c r="BB1019" s="52" t="n">
        <v>0</v>
      </c>
      <c r="BC1019" s="51" t="n">
        <v>0</v>
      </c>
      <c r="BD1019" s="51" t="n">
        <v>0</v>
      </c>
      <c r="BE1019" s="51" t="n">
        <v>0</v>
      </c>
      <c r="BF1019" s="51" t="n">
        <v>0</v>
      </c>
    </row>
    <row r="1020">
      <c r="A1020">
        <f>HYPERLINK("https://www.walmart.com/ip/704439169", "704439169")</f>
        <v/>
      </c>
      <c r="B1020" t="inlineStr">
        <is>
          <t>Flyingstar Insulated Picnic Basket with Handle, Leakproof Collapsible Portable Insulated Cooler Bag for Camping, Travel, and Shopping, with Free Foldable Grocery Bag, 26L</t>
        </is>
      </c>
      <c r="C1020" t="inlineStr">
        <is>
          <t>1WMPB100-BL</t>
        </is>
      </c>
      <c r="D1020" t="inlineStr">
        <is>
          <t>Picnic Baskets &amp; Bags</t>
        </is>
      </c>
      <c r="E1020" t="inlineStr">
        <is>
          <t>Tirrinia</t>
        </is>
      </c>
      <c r="F1020" t="inlineStr">
        <is>
          <t>Optimized,SEM</t>
        </is>
      </c>
      <c r="G1020" s="48" t="n">
        <v>0</v>
      </c>
      <c r="H1020" s="48" t="n">
        <v>0</v>
      </c>
      <c r="I1020" s="48" t="n">
        <v>0</v>
      </c>
      <c r="J1020" s="48" t="n">
        <v>0</v>
      </c>
      <c r="K1020" s="49" t="n">
        <v>0</v>
      </c>
      <c r="L1020" s="49" t="n">
        <v>0</v>
      </c>
      <c r="M1020" s="49" t="n">
        <v>0</v>
      </c>
      <c r="N1020" s="49" t="n">
        <v>0</v>
      </c>
      <c r="O1020" s="49" t="n">
        <v>0</v>
      </c>
      <c r="P1020" s="49" t="n">
        <v>0</v>
      </c>
      <c r="Q1020" s="49" t="n">
        <v>0</v>
      </c>
      <c r="R1020" s="49" t="n">
        <v>0</v>
      </c>
      <c r="S1020" s="50" t="n">
        <v>0</v>
      </c>
      <c r="T1020" s="50" t="n">
        <v>0</v>
      </c>
      <c r="U1020" s="50" t="n">
        <v>0</v>
      </c>
      <c r="V1020" s="50" t="n">
        <v>0</v>
      </c>
      <c r="W1020" s="51" t="n">
        <v>0</v>
      </c>
      <c r="X1020" s="51" t="n">
        <v>0</v>
      </c>
      <c r="Y1020" s="51" t="n">
        <v>0</v>
      </c>
      <c r="Z1020" s="51" t="n">
        <v>0</v>
      </c>
      <c r="AA1020" s="52" t="n">
        <v>0</v>
      </c>
      <c r="AB1020" s="52" t="n">
        <v>0</v>
      </c>
      <c r="AC1020" s="52" t="n">
        <v>0</v>
      </c>
      <c r="AD1020" s="52" t="n">
        <v>0</v>
      </c>
      <c r="AE1020" s="52" t="n">
        <v>0</v>
      </c>
      <c r="AF1020" s="52" t="n">
        <v>0</v>
      </c>
      <c r="AG1020" s="52" t="n">
        <v>0</v>
      </c>
      <c r="AH1020" s="52" t="n">
        <v>0</v>
      </c>
      <c r="AI1020" s="52" t="n">
        <v>0</v>
      </c>
      <c r="AJ1020" s="52" t="n">
        <v>0</v>
      </c>
      <c r="AK1020" s="52" t="n">
        <v>0</v>
      </c>
      <c r="AL1020" s="52" t="n">
        <v>0</v>
      </c>
      <c r="AM1020" s="53" t="n">
        <v>0</v>
      </c>
      <c r="AN1020" s="53" t="n">
        <v>0</v>
      </c>
      <c r="AO1020" s="53" t="n">
        <v>0</v>
      </c>
      <c r="AP1020" s="53" t="n">
        <v>0</v>
      </c>
      <c r="AQ1020" s="52" t="n">
        <v>0</v>
      </c>
      <c r="AR1020" s="52" t="n">
        <v>0</v>
      </c>
      <c r="AS1020" s="52" t="n">
        <v>0</v>
      </c>
      <c r="AT1020" s="52" t="n">
        <v>0</v>
      </c>
      <c r="AU1020" s="53" t="n">
        <v>0</v>
      </c>
      <c r="AV1020" s="53" t="n">
        <v>0</v>
      </c>
      <c r="AW1020" s="53" t="n">
        <v>0</v>
      </c>
      <c r="AX1020" s="53" t="n">
        <v>0</v>
      </c>
      <c r="AY1020" s="52" t="n">
        <v>0</v>
      </c>
      <c r="AZ1020" s="52" t="n">
        <v>0</v>
      </c>
      <c r="BA1020" s="52" t="n">
        <v>0</v>
      </c>
      <c r="BB1020" s="52" t="n">
        <v>0</v>
      </c>
      <c r="BC1020" s="51" t="n">
        <v>0</v>
      </c>
      <c r="BD1020" s="51" t="n">
        <v>0</v>
      </c>
      <c r="BE1020" s="51" t="n">
        <v>0</v>
      </c>
      <c r="BF1020" s="51" t="n">
        <v>0</v>
      </c>
    </row>
    <row r="1021">
      <c r="A1021">
        <f>HYPERLINK("https://www.walmart.com/ip/703461091", "703461091")</f>
        <v/>
      </c>
      <c r="B1021" t="inlineStr">
        <is>
          <t>Terra Men Boxer Brief Underwear Best 3 Pack Most Comfortable Cotton Trunk Short</t>
        </is>
      </c>
      <c r="C1021" t="inlineStr">
        <is>
          <t>TERRA-BOXER8-L</t>
        </is>
      </c>
      <c r="D1021" t="inlineStr">
        <is>
          <t>Underpants</t>
        </is>
      </c>
      <c r="E1021" t="inlineStr">
        <is>
          <t>Terra</t>
        </is>
      </c>
      <c r="F1021" t="inlineStr">
        <is>
          <t>Batch 1 - TR</t>
        </is>
      </c>
      <c r="G1021" s="48" t="n">
        <v>0</v>
      </c>
      <c r="H1021" s="48" t="n">
        <v>0</v>
      </c>
      <c r="I1021" s="48" t="n">
        <v>0</v>
      </c>
      <c r="J1021" s="48" t="n">
        <v>0</v>
      </c>
      <c r="K1021" s="49" t="n">
        <v>0</v>
      </c>
      <c r="L1021" s="49" t="n">
        <v>0</v>
      </c>
      <c r="M1021" s="49" t="n">
        <v>0</v>
      </c>
      <c r="N1021" s="49" t="n">
        <v>0</v>
      </c>
      <c r="O1021" s="49" t="n">
        <v>0</v>
      </c>
      <c r="P1021" s="49" t="n">
        <v>0</v>
      </c>
      <c r="Q1021" s="49" t="n">
        <v>0</v>
      </c>
      <c r="R1021" s="49" t="n">
        <v>0</v>
      </c>
      <c r="S1021" s="50" t="n">
        <v>0</v>
      </c>
      <c r="T1021" s="50" t="n">
        <v>0</v>
      </c>
      <c r="U1021" s="50" t="n">
        <v>0</v>
      </c>
      <c r="V1021" s="50" t="n">
        <v>0</v>
      </c>
      <c r="W1021" s="51" t="n">
        <v>0</v>
      </c>
      <c r="X1021" s="51" t="n">
        <v>0</v>
      </c>
      <c r="Y1021" s="51" t="n">
        <v>0</v>
      </c>
      <c r="Z1021" s="51" t="n">
        <v>0</v>
      </c>
      <c r="AA1021" s="52" t="n">
        <v>0</v>
      </c>
      <c r="AB1021" s="52" t="n">
        <v>0</v>
      </c>
      <c r="AC1021" s="52" t="n">
        <v>0</v>
      </c>
      <c r="AD1021" s="52" t="n">
        <v>0</v>
      </c>
      <c r="AE1021" s="52" t="n">
        <v>0</v>
      </c>
      <c r="AF1021" s="52" t="n">
        <v>0</v>
      </c>
      <c r="AG1021" s="52" t="n">
        <v>0</v>
      </c>
      <c r="AH1021" s="52" t="n">
        <v>0</v>
      </c>
      <c r="AI1021" s="52" t="n">
        <v>0</v>
      </c>
      <c r="AJ1021" s="52" t="n">
        <v>0</v>
      </c>
      <c r="AK1021" s="52" t="n">
        <v>0</v>
      </c>
      <c r="AL1021" s="52" t="n">
        <v>0</v>
      </c>
      <c r="AM1021" s="53" t="n">
        <v>0</v>
      </c>
      <c r="AN1021" s="53" t="n">
        <v>0</v>
      </c>
      <c r="AO1021" s="53" t="n">
        <v>0</v>
      </c>
      <c r="AP1021" s="53" t="n">
        <v>0</v>
      </c>
      <c r="AQ1021" s="52" t="n">
        <v>0</v>
      </c>
      <c r="AR1021" s="52" t="n">
        <v>0</v>
      </c>
      <c r="AS1021" s="52" t="n">
        <v>0</v>
      </c>
      <c r="AT1021" s="52" t="n">
        <v>0</v>
      </c>
      <c r="AU1021" s="53" t="n">
        <v>0</v>
      </c>
      <c r="AV1021" s="53" t="n">
        <v>0</v>
      </c>
      <c r="AW1021" s="53" t="n">
        <v>0</v>
      </c>
      <c r="AX1021" s="53" t="n">
        <v>0</v>
      </c>
      <c r="AY1021" s="52" t="n">
        <v>0</v>
      </c>
      <c r="AZ1021" s="52" t="n">
        <v>0</v>
      </c>
      <c r="BA1021" s="52" t="n">
        <v>0</v>
      </c>
      <c r="BB1021" s="52" t="n">
        <v>0</v>
      </c>
      <c r="BC1021" s="51" t="n">
        <v>0</v>
      </c>
      <c r="BD1021" s="51" t="n">
        <v>0</v>
      </c>
      <c r="BE1021" s="51" t="n">
        <v>0</v>
      </c>
      <c r="BF1021" s="51" t="n">
        <v>0</v>
      </c>
    </row>
    <row r="1022">
      <c r="A1022">
        <f>HYPERLINK("https://www.walmart.com/ip/712836022", "712836022")</f>
        <v/>
      </c>
      <c r="B1022" t="inlineStr">
        <is>
          <t>Solaris Men Winter Ski Snow Gloves with Breathable Face Mask The Warmest 3M Insulation Waterproof Outdoor Snowboard Mitt</t>
        </is>
      </c>
      <c r="C1022" t="inlineStr">
        <is>
          <t>1SLWG301GYBK-L</t>
        </is>
      </c>
      <c r="D1022" t="inlineStr">
        <is>
          <t>Gloves &amp; Mittens</t>
        </is>
      </c>
      <c r="E1022" t="inlineStr">
        <is>
          <t>Solaris</t>
        </is>
      </c>
      <c r="F1022" t="inlineStr">
        <is>
          <t>Gloves,WFS,WFS Item</t>
        </is>
      </c>
      <c r="G1022" s="48" t="n">
        <v>0</v>
      </c>
      <c r="H1022" s="48" t="n">
        <v>0</v>
      </c>
      <c r="I1022" s="48" t="n">
        <v>0</v>
      </c>
      <c r="J1022" s="48" t="n">
        <v>0</v>
      </c>
      <c r="K1022" s="49" t="n">
        <v>0</v>
      </c>
      <c r="L1022" s="49" t="n">
        <v>0</v>
      </c>
      <c r="M1022" s="49" t="n">
        <v>0</v>
      </c>
      <c r="N1022" s="49" t="n">
        <v>0</v>
      </c>
      <c r="O1022" s="49" t="n">
        <v>0</v>
      </c>
      <c r="P1022" s="49" t="n">
        <v>0</v>
      </c>
      <c r="Q1022" s="49" t="n">
        <v>0</v>
      </c>
      <c r="R1022" s="49" t="n">
        <v>0</v>
      </c>
      <c r="S1022" s="50" t="n">
        <v>0</v>
      </c>
      <c r="T1022" s="50" t="n">
        <v>0</v>
      </c>
      <c r="U1022" s="50" t="n">
        <v>0</v>
      </c>
      <c r="V1022" s="50" t="n">
        <v>0</v>
      </c>
      <c r="W1022" s="51" t="n">
        <v>0</v>
      </c>
      <c r="X1022" s="51" t="n">
        <v>0</v>
      </c>
      <c r="Y1022" s="51" t="n">
        <v>0</v>
      </c>
      <c r="Z1022" s="51" t="n">
        <v>0</v>
      </c>
      <c r="AA1022" s="52" t="n">
        <v>0</v>
      </c>
      <c r="AB1022" s="52" t="n">
        <v>0</v>
      </c>
      <c r="AC1022" s="52" t="n">
        <v>0</v>
      </c>
      <c r="AD1022" s="52" t="n">
        <v>0</v>
      </c>
      <c r="AE1022" s="52" t="n">
        <v>0</v>
      </c>
      <c r="AF1022" s="52" t="n">
        <v>0</v>
      </c>
      <c r="AG1022" s="52" t="n">
        <v>0</v>
      </c>
      <c r="AH1022" s="52" t="n">
        <v>0</v>
      </c>
      <c r="AI1022" s="52" t="n">
        <v>0</v>
      </c>
      <c r="AJ1022" s="52" t="n">
        <v>0</v>
      </c>
      <c r="AK1022" s="52" t="n">
        <v>0</v>
      </c>
      <c r="AL1022" s="52" t="n">
        <v>0</v>
      </c>
      <c r="AM1022" s="53" t="n">
        <v>0</v>
      </c>
      <c r="AN1022" s="53" t="n">
        <v>0</v>
      </c>
      <c r="AO1022" s="53" t="n">
        <v>0</v>
      </c>
      <c r="AP1022" s="53" t="n">
        <v>0</v>
      </c>
      <c r="AQ1022" s="52" t="n">
        <v>0</v>
      </c>
      <c r="AR1022" s="52" t="n">
        <v>0</v>
      </c>
      <c r="AS1022" s="52" t="n">
        <v>0</v>
      </c>
      <c r="AT1022" s="52" t="n">
        <v>0</v>
      </c>
      <c r="AU1022" s="53" t="n">
        <v>0</v>
      </c>
      <c r="AV1022" s="53" t="n">
        <v>0</v>
      </c>
      <c r="AW1022" s="53" t="n">
        <v>0</v>
      </c>
      <c r="AX1022" s="53" t="n">
        <v>0</v>
      </c>
      <c r="AY1022" s="52" t="n">
        <v>0</v>
      </c>
      <c r="AZ1022" s="52" t="n">
        <v>0</v>
      </c>
      <c r="BA1022" s="52" t="n">
        <v>0</v>
      </c>
      <c r="BB1022" s="52" t="n">
        <v>0</v>
      </c>
      <c r="BC1022" s="51" t="n">
        <v>0</v>
      </c>
      <c r="BD1022" s="51" t="n">
        <v>0</v>
      </c>
      <c r="BE1022" s="51" t="n">
        <v>0</v>
      </c>
      <c r="BF1022" s="51" t="n">
        <v>0</v>
      </c>
    </row>
    <row r="1023">
      <c r="A1023">
        <f>HYPERLINK("https://www.walmart.com/ip/702937282", "702937282")</f>
        <v/>
      </c>
      <c r="B1023" t="inlineStr">
        <is>
          <t>Catalonia Red Plaid Sherpa Throw Blanket, Super Soft Throw for Sofa Couch Bed, TV Blanket, Micro Mink Fleece Plush, Comfy Cozy Fluffy Warm, Holiday Gift (60x50 Inches, Buffalo)</t>
        </is>
      </c>
      <c r="C1023" t="inlineStr">
        <is>
          <t>1CTBF568PRDGN</t>
        </is>
      </c>
      <c r="D1023" t="inlineStr">
        <is>
          <t>Throws</t>
        </is>
      </c>
      <c r="E1023" t="inlineStr">
        <is>
          <t>Catalonia</t>
        </is>
      </c>
      <c r="F1023" t="inlineStr">
        <is>
          <t>Q2-Target,WFS,Coupon_Discount,WFS Item</t>
        </is>
      </c>
      <c r="G1023" s="48" t="n">
        <v>0</v>
      </c>
      <c r="H1023" s="48" t="n">
        <v>0</v>
      </c>
      <c r="I1023" s="48" t="n">
        <v>0</v>
      </c>
      <c r="J1023" s="48" t="n">
        <v>0</v>
      </c>
      <c r="K1023" s="49" t="n">
        <v>0</v>
      </c>
      <c r="L1023" s="49" t="n">
        <v>0</v>
      </c>
      <c r="M1023" s="49" t="n">
        <v>0</v>
      </c>
      <c r="N1023" s="49" t="n">
        <v>0</v>
      </c>
      <c r="O1023" s="49" t="n">
        <v>0</v>
      </c>
      <c r="P1023" s="49" t="n">
        <v>0</v>
      </c>
      <c r="Q1023" s="49" t="n">
        <v>0</v>
      </c>
      <c r="R1023" s="49" t="n">
        <v>0</v>
      </c>
      <c r="S1023" s="50" t="n">
        <v>0</v>
      </c>
      <c r="T1023" s="50" t="n">
        <v>0</v>
      </c>
      <c r="U1023" s="50" t="n">
        <v>0</v>
      </c>
      <c r="V1023" s="50" t="n">
        <v>0</v>
      </c>
      <c r="W1023" s="51" t="n">
        <v>0</v>
      </c>
      <c r="X1023" s="51" t="n">
        <v>0</v>
      </c>
      <c r="Y1023" s="51" t="n">
        <v>0</v>
      </c>
      <c r="Z1023" s="51" t="n">
        <v>0</v>
      </c>
      <c r="AA1023" s="52" t="n">
        <v>0</v>
      </c>
      <c r="AB1023" s="52" t="n">
        <v>0</v>
      </c>
      <c r="AC1023" s="52" t="n">
        <v>0</v>
      </c>
      <c r="AD1023" s="52" t="n">
        <v>0</v>
      </c>
      <c r="AE1023" s="52" t="n">
        <v>0</v>
      </c>
      <c r="AF1023" s="52" t="n">
        <v>0</v>
      </c>
      <c r="AG1023" s="52" t="n">
        <v>0</v>
      </c>
      <c r="AH1023" s="52" t="n">
        <v>0</v>
      </c>
      <c r="AI1023" s="52" t="n">
        <v>0</v>
      </c>
      <c r="AJ1023" s="52" t="n">
        <v>0</v>
      </c>
      <c r="AK1023" s="52" t="n">
        <v>0</v>
      </c>
      <c r="AL1023" s="52" t="n">
        <v>0</v>
      </c>
      <c r="AM1023" s="53" t="n">
        <v>0</v>
      </c>
      <c r="AN1023" s="53" t="n">
        <v>0</v>
      </c>
      <c r="AO1023" s="53" t="n">
        <v>0</v>
      </c>
      <c r="AP1023" s="53" t="n">
        <v>0</v>
      </c>
      <c r="AQ1023" s="52" t="n">
        <v>0</v>
      </c>
      <c r="AR1023" s="52" t="n">
        <v>0</v>
      </c>
      <c r="AS1023" s="52" t="n">
        <v>0</v>
      </c>
      <c r="AT1023" s="52" t="n">
        <v>0</v>
      </c>
      <c r="AU1023" s="53" t="n">
        <v>0</v>
      </c>
      <c r="AV1023" s="53" t="n">
        <v>0</v>
      </c>
      <c r="AW1023" s="53" t="n">
        <v>0</v>
      </c>
      <c r="AX1023" s="53" t="n">
        <v>0</v>
      </c>
      <c r="AY1023" s="52" t="n">
        <v>0</v>
      </c>
      <c r="AZ1023" s="52" t="n">
        <v>0</v>
      </c>
      <c r="BA1023" s="52" t="n">
        <v>0</v>
      </c>
      <c r="BB1023" s="52" t="n">
        <v>0</v>
      </c>
      <c r="BC1023" s="51" t="n">
        <v>0</v>
      </c>
      <c r="BD1023" s="51" t="n">
        <v>0</v>
      </c>
      <c r="BE1023" s="51" t="n">
        <v>0</v>
      </c>
      <c r="BF1023" s="51" t="n">
        <v>0</v>
      </c>
    </row>
    <row r="1024">
      <c r="A1024">
        <f>HYPERLINK("https://www.walmart.com/ip/695590866", "695590866")</f>
        <v/>
      </c>
      <c r="B1024" t="inlineStr">
        <is>
          <t>Two Pieces Tankini Swimsuit for Women Shoulder Strap Swimwear Bikini Bottom Bathing Suits Set by Tirrinia</t>
        </is>
      </c>
      <c r="C1024" t="inlineStr">
        <is>
          <t>1TRSS006BKBK-L</t>
        </is>
      </c>
      <c r="D1024" t="inlineStr">
        <is>
          <t>Swimsuit Sets</t>
        </is>
      </c>
      <c r="E1024" t="inlineStr">
        <is>
          <t>Tirrinia</t>
        </is>
      </c>
      <c r="F1024" t="inlineStr">
        <is>
          <t>Batch 1 - TR</t>
        </is>
      </c>
      <c r="G1024" s="48" t="n">
        <v>0</v>
      </c>
      <c r="H1024" s="48" t="n">
        <v>0</v>
      </c>
      <c r="I1024" s="48" t="n">
        <v>0</v>
      </c>
      <c r="J1024" s="48" t="n">
        <v>0</v>
      </c>
      <c r="K1024" s="49" t="n">
        <v>0</v>
      </c>
      <c r="L1024" s="49" t="n">
        <v>0</v>
      </c>
      <c r="M1024" s="49" t="n">
        <v>0</v>
      </c>
      <c r="N1024" s="49" t="n">
        <v>0</v>
      </c>
      <c r="O1024" s="49" t="n">
        <v>0</v>
      </c>
      <c r="P1024" s="49" t="n">
        <v>0</v>
      </c>
      <c r="Q1024" s="49" t="n">
        <v>0</v>
      </c>
      <c r="R1024" s="49" t="n">
        <v>0</v>
      </c>
      <c r="S1024" s="50" t="n">
        <v>0</v>
      </c>
      <c r="T1024" s="50" t="n">
        <v>0</v>
      </c>
      <c r="U1024" s="50" t="n">
        <v>0</v>
      </c>
      <c r="V1024" s="50" t="n">
        <v>0</v>
      </c>
      <c r="W1024" s="51" t="n">
        <v>0</v>
      </c>
      <c r="X1024" s="51" t="n">
        <v>0</v>
      </c>
      <c r="Y1024" s="51" t="n">
        <v>0</v>
      </c>
      <c r="Z1024" s="51" t="n">
        <v>0</v>
      </c>
      <c r="AA1024" s="52" t="n">
        <v>0</v>
      </c>
      <c r="AB1024" s="52" t="n">
        <v>0</v>
      </c>
      <c r="AC1024" s="52" t="n">
        <v>0</v>
      </c>
      <c r="AD1024" s="52" t="n">
        <v>0</v>
      </c>
      <c r="AE1024" s="52" t="n">
        <v>0</v>
      </c>
      <c r="AF1024" s="52" t="n">
        <v>0</v>
      </c>
      <c r="AG1024" s="52" t="n">
        <v>0</v>
      </c>
      <c r="AH1024" s="52" t="n">
        <v>0</v>
      </c>
      <c r="AI1024" s="52" t="n">
        <v>0</v>
      </c>
      <c r="AJ1024" s="52" t="n">
        <v>0</v>
      </c>
      <c r="AK1024" s="52" t="n">
        <v>0</v>
      </c>
      <c r="AL1024" s="52" t="n">
        <v>0</v>
      </c>
      <c r="AM1024" s="53" t="n">
        <v>0</v>
      </c>
      <c r="AN1024" s="53" t="n">
        <v>0</v>
      </c>
      <c r="AO1024" s="53" t="n">
        <v>0</v>
      </c>
      <c r="AP1024" s="53" t="n">
        <v>0</v>
      </c>
      <c r="AQ1024" s="52" t="n">
        <v>0</v>
      </c>
      <c r="AR1024" s="52" t="n">
        <v>0</v>
      </c>
      <c r="AS1024" s="52" t="n">
        <v>0</v>
      </c>
      <c r="AT1024" s="52" t="n">
        <v>0</v>
      </c>
      <c r="AU1024" s="53" t="n">
        <v>0</v>
      </c>
      <c r="AV1024" s="53" t="n">
        <v>0</v>
      </c>
      <c r="AW1024" s="53" t="n">
        <v>0</v>
      </c>
      <c r="AX1024" s="53" t="n">
        <v>0</v>
      </c>
      <c r="AY1024" s="52" t="n">
        <v>0</v>
      </c>
      <c r="AZ1024" s="52" t="n">
        <v>0</v>
      </c>
      <c r="BA1024" s="52" t="n">
        <v>0</v>
      </c>
      <c r="BB1024" s="52" t="n">
        <v>0</v>
      </c>
      <c r="BC1024" s="51" t="n">
        <v>0</v>
      </c>
      <c r="BD1024" s="51" t="n">
        <v>0</v>
      </c>
      <c r="BE1024" s="51" t="n">
        <v>0</v>
      </c>
      <c r="BF1024" s="51" t="n">
        <v>0</v>
      </c>
    </row>
    <row r="1025">
      <c r="A1025">
        <f>HYPERLINK("https://www.walmart.com/ip/695656137", "695656137")</f>
        <v/>
      </c>
      <c r="B1025" t="inlineStr">
        <is>
          <t>Catalonia 15lb Weighted Blanket for Kids Adult, Premium Heavy Blanket, 60"×80", Cotton, Grey</t>
        </is>
      </c>
      <c r="C1025" t="inlineStr">
        <is>
          <t>1CTBG806GY-15C</t>
        </is>
      </c>
      <c r="D1025" t="inlineStr">
        <is>
          <t>Bed Blankets</t>
        </is>
      </c>
      <c r="E1025" t="inlineStr">
        <is>
          <t>Catalonia</t>
        </is>
      </c>
      <c r="F1025" t="inlineStr">
        <is>
          <t>WFS,Valentine,WFS Item</t>
        </is>
      </c>
      <c r="G1025" s="48" t="n">
        <v>0</v>
      </c>
      <c r="H1025" s="48" t="n">
        <v>0</v>
      </c>
      <c r="I1025" s="48" t="n">
        <v>0</v>
      </c>
      <c r="J1025" s="48" t="n">
        <v>0</v>
      </c>
      <c r="K1025" s="49" t="n">
        <v>0</v>
      </c>
      <c r="L1025" s="49" t="n">
        <v>0</v>
      </c>
      <c r="M1025" s="49" t="n">
        <v>0</v>
      </c>
      <c r="N1025" s="49" t="n">
        <v>0</v>
      </c>
      <c r="O1025" s="49" t="n">
        <v>0</v>
      </c>
      <c r="P1025" s="49" t="n">
        <v>0</v>
      </c>
      <c r="Q1025" s="49" t="n">
        <v>0</v>
      </c>
      <c r="R1025" s="49" t="n">
        <v>0</v>
      </c>
      <c r="S1025" s="50" t="n">
        <v>0</v>
      </c>
      <c r="T1025" s="50" t="n">
        <v>0</v>
      </c>
      <c r="U1025" s="50" t="n">
        <v>0</v>
      </c>
      <c r="V1025" s="50" t="n">
        <v>0</v>
      </c>
      <c r="W1025" s="51" t="n">
        <v>0</v>
      </c>
      <c r="X1025" s="51" t="n">
        <v>0</v>
      </c>
      <c r="Y1025" s="51" t="n">
        <v>0</v>
      </c>
      <c r="Z1025" s="51" t="n">
        <v>0</v>
      </c>
      <c r="AA1025" s="52" t="n">
        <v>0</v>
      </c>
      <c r="AB1025" s="52" t="n">
        <v>0</v>
      </c>
      <c r="AC1025" s="52" t="n">
        <v>0</v>
      </c>
      <c r="AD1025" s="52" t="n">
        <v>0</v>
      </c>
      <c r="AE1025" s="52" t="n">
        <v>0</v>
      </c>
      <c r="AF1025" s="52" t="n">
        <v>0</v>
      </c>
      <c r="AG1025" s="52" t="n">
        <v>0</v>
      </c>
      <c r="AH1025" s="52" t="n">
        <v>0</v>
      </c>
      <c r="AI1025" s="52" t="n">
        <v>0</v>
      </c>
      <c r="AJ1025" s="52" t="n">
        <v>0</v>
      </c>
      <c r="AK1025" s="52" t="n">
        <v>0</v>
      </c>
      <c r="AL1025" s="52" t="n">
        <v>0</v>
      </c>
      <c r="AM1025" s="53" t="n">
        <v>0</v>
      </c>
      <c r="AN1025" s="53" t="n">
        <v>0</v>
      </c>
      <c r="AO1025" s="53" t="n">
        <v>0</v>
      </c>
      <c r="AP1025" s="53" t="n">
        <v>0</v>
      </c>
      <c r="AQ1025" s="52" t="n">
        <v>0</v>
      </c>
      <c r="AR1025" s="52" t="n">
        <v>0</v>
      </c>
      <c r="AS1025" s="52" t="n">
        <v>0</v>
      </c>
      <c r="AT1025" s="52" t="n">
        <v>0</v>
      </c>
      <c r="AU1025" s="53" t="n">
        <v>0</v>
      </c>
      <c r="AV1025" s="53" t="n">
        <v>0</v>
      </c>
      <c r="AW1025" s="53" t="n">
        <v>0</v>
      </c>
      <c r="AX1025" s="53" t="n">
        <v>0</v>
      </c>
      <c r="AY1025" s="52" t="n">
        <v>0</v>
      </c>
      <c r="AZ1025" s="52" t="n">
        <v>0</v>
      </c>
      <c r="BA1025" s="52" t="n">
        <v>0</v>
      </c>
      <c r="BB1025" s="52" t="n">
        <v>0</v>
      </c>
      <c r="BC1025" s="51" t="n">
        <v>0</v>
      </c>
      <c r="BD1025" s="51" t="n">
        <v>0</v>
      </c>
      <c r="BE1025" s="51" t="n">
        <v>0</v>
      </c>
      <c r="BF1025" s="51" t="n">
        <v>0</v>
      </c>
    </row>
    <row r="1026">
      <c r="A1026">
        <f>HYPERLINK("https://www.walmart.com/ip/695726874", "695726874")</f>
        <v/>
      </c>
      <c r="B1026" t="inlineStr">
        <is>
          <t>Tirrinia Insulated 2 Bottle Wine Carrier Tote Cooler Bag for Travel Picnic Padded Champagne Glass</t>
        </is>
      </c>
      <c r="C1026" t="inlineStr">
        <is>
          <t>1TRWB231KK</t>
        </is>
      </c>
      <c r="D1026" t="inlineStr">
        <is>
          <t>Wine Totes, Bags &amp; Backpacks</t>
        </is>
      </c>
      <c r="E1026" t="inlineStr">
        <is>
          <t>Tirrinia</t>
        </is>
      </c>
      <c r="F1026" t="inlineStr">
        <is>
          <t>Wine,Christmas,WFS,Valentine,SEM,WFS Item</t>
        </is>
      </c>
      <c r="G1026" s="48" t="n">
        <v>0</v>
      </c>
      <c r="H1026" s="48" t="n">
        <v>0</v>
      </c>
      <c r="I1026" s="48" t="n">
        <v>0</v>
      </c>
      <c r="J1026" s="48" t="n">
        <v>0</v>
      </c>
      <c r="K1026" s="49" t="n">
        <v>0</v>
      </c>
      <c r="L1026" s="49" t="n">
        <v>0</v>
      </c>
      <c r="M1026" s="49" t="n">
        <v>0</v>
      </c>
      <c r="N1026" s="49" t="n">
        <v>0</v>
      </c>
      <c r="O1026" s="49" t="n">
        <v>0</v>
      </c>
      <c r="P1026" s="49" t="n">
        <v>0</v>
      </c>
      <c r="Q1026" s="49" t="n">
        <v>0</v>
      </c>
      <c r="R1026" s="49" t="n">
        <v>0</v>
      </c>
      <c r="S1026" s="50" t="n">
        <v>0</v>
      </c>
      <c r="T1026" s="50" t="n">
        <v>0</v>
      </c>
      <c r="U1026" s="50" t="n">
        <v>0</v>
      </c>
      <c r="V1026" s="50" t="n">
        <v>0</v>
      </c>
      <c r="W1026" s="51" t="n">
        <v>0</v>
      </c>
      <c r="X1026" s="51" t="n">
        <v>0</v>
      </c>
      <c r="Y1026" s="51" t="n">
        <v>0</v>
      </c>
      <c r="Z1026" s="51" t="n">
        <v>0</v>
      </c>
      <c r="AA1026" s="52" t="n">
        <v>0</v>
      </c>
      <c r="AB1026" s="52" t="n">
        <v>0</v>
      </c>
      <c r="AC1026" s="52" t="n">
        <v>0</v>
      </c>
      <c r="AD1026" s="52" t="n">
        <v>0</v>
      </c>
      <c r="AE1026" s="52" t="n">
        <v>0</v>
      </c>
      <c r="AF1026" s="52" t="n">
        <v>0</v>
      </c>
      <c r="AG1026" s="52" t="n">
        <v>0</v>
      </c>
      <c r="AH1026" s="52" t="n">
        <v>0</v>
      </c>
      <c r="AI1026" s="52" t="n">
        <v>0</v>
      </c>
      <c r="AJ1026" s="52" t="n">
        <v>0</v>
      </c>
      <c r="AK1026" s="52" t="n">
        <v>0</v>
      </c>
      <c r="AL1026" s="52" t="n">
        <v>0</v>
      </c>
      <c r="AM1026" s="53" t="n">
        <v>0</v>
      </c>
      <c r="AN1026" s="53" t="n">
        <v>0</v>
      </c>
      <c r="AO1026" s="53" t="n">
        <v>0</v>
      </c>
      <c r="AP1026" s="53" t="n">
        <v>0</v>
      </c>
      <c r="AQ1026" s="52" t="n">
        <v>0</v>
      </c>
      <c r="AR1026" s="52" t="n">
        <v>0</v>
      </c>
      <c r="AS1026" s="52" t="n">
        <v>0</v>
      </c>
      <c r="AT1026" s="52" t="n">
        <v>0</v>
      </c>
      <c r="AU1026" s="53" t="n">
        <v>0</v>
      </c>
      <c r="AV1026" s="53" t="n">
        <v>0</v>
      </c>
      <c r="AW1026" s="53" t="n">
        <v>0</v>
      </c>
      <c r="AX1026" s="53" t="n">
        <v>0</v>
      </c>
      <c r="AY1026" s="52" t="n">
        <v>0</v>
      </c>
      <c r="AZ1026" s="52" t="n">
        <v>0</v>
      </c>
      <c r="BA1026" s="52" t="n">
        <v>0</v>
      </c>
      <c r="BB1026" s="52" t="n">
        <v>0</v>
      </c>
      <c r="BC1026" s="51" t="n">
        <v>297</v>
      </c>
      <c r="BD1026" s="51" t="n">
        <v>648</v>
      </c>
      <c r="BE1026" s="51" t="n">
        <v>618</v>
      </c>
      <c r="BF1026" s="51" t="n">
        <v>785</v>
      </c>
    </row>
    <row r="1027">
      <c r="A1027">
        <f>HYPERLINK("https://www.walmart.com/ip/696086917", "696086917")</f>
        <v/>
      </c>
      <c r="B1027" t="inlineStr">
        <is>
          <t>Kato 5 Pcs Deluxe Wine Accessory Gift Set - Wine Bottle Corkscrew Opener, Stopper, Drip Ring, Foil Cutter</t>
        </is>
      </c>
      <c r="C1027" t="inlineStr">
        <is>
          <t>1KTWO500BK</t>
        </is>
      </c>
      <c r="D1027" t="inlineStr">
        <is>
          <t>Corkscrews &amp; Wine Bottle Openers</t>
        </is>
      </c>
      <c r="E1027" t="inlineStr">
        <is>
          <t>Kato</t>
        </is>
      </c>
      <c r="F1027" t="inlineStr">
        <is>
          <t>Wine,Christmas,WFS,Valentine,WFS Item</t>
        </is>
      </c>
      <c r="G1027" s="48" t="n">
        <v>0</v>
      </c>
      <c r="H1027" s="48" t="n">
        <v>0</v>
      </c>
      <c r="I1027" s="48" t="n">
        <v>0</v>
      </c>
      <c r="J1027" s="48" t="n">
        <v>0</v>
      </c>
      <c r="K1027" s="49" t="n">
        <v>0</v>
      </c>
      <c r="L1027" s="49" t="n">
        <v>0</v>
      </c>
      <c r="M1027" s="49" t="n">
        <v>0</v>
      </c>
      <c r="N1027" s="49" t="n">
        <v>0</v>
      </c>
      <c r="O1027" s="49" t="n">
        <v>0</v>
      </c>
      <c r="P1027" s="49" t="n">
        <v>0</v>
      </c>
      <c r="Q1027" s="49" t="n">
        <v>0</v>
      </c>
      <c r="R1027" s="49" t="n">
        <v>0</v>
      </c>
      <c r="S1027" s="50" t="n">
        <v>0</v>
      </c>
      <c r="T1027" s="50" t="n">
        <v>0</v>
      </c>
      <c r="U1027" s="50" t="n">
        <v>0</v>
      </c>
      <c r="V1027" s="50" t="n">
        <v>0</v>
      </c>
      <c r="W1027" s="51" t="n">
        <v>0</v>
      </c>
      <c r="X1027" s="51" t="n">
        <v>0</v>
      </c>
      <c r="Y1027" s="51" t="n">
        <v>0</v>
      </c>
      <c r="Z1027" s="51" t="n">
        <v>0</v>
      </c>
      <c r="AA1027" s="52" t="n">
        <v>0</v>
      </c>
      <c r="AB1027" s="52" t="n">
        <v>0</v>
      </c>
      <c r="AC1027" s="52" t="n">
        <v>0</v>
      </c>
      <c r="AD1027" s="52" t="n">
        <v>0</v>
      </c>
      <c r="AE1027" s="52" t="n">
        <v>0</v>
      </c>
      <c r="AF1027" s="52" t="n">
        <v>0</v>
      </c>
      <c r="AG1027" s="52" t="n">
        <v>0</v>
      </c>
      <c r="AH1027" s="52" t="n">
        <v>0</v>
      </c>
      <c r="AI1027" s="52" t="n">
        <v>0</v>
      </c>
      <c r="AJ1027" s="52" t="n">
        <v>0</v>
      </c>
      <c r="AK1027" s="52" t="n">
        <v>0</v>
      </c>
      <c r="AL1027" s="52" t="n">
        <v>0</v>
      </c>
      <c r="AM1027" s="53" t="n">
        <v>0</v>
      </c>
      <c r="AN1027" s="53" t="n">
        <v>0</v>
      </c>
      <c r="AO1027" s="53" t="n">
        <v>0</v>
      </c>
      <c r="AP1027" s="53" t="n">
        <v>0</v>
      </c>
      <c r="AQ1027" s="52" t="n">
        <v>0</v>
      </c>
      <c r="AR1027" s="52" t="n">
        <v>0</v>
      </c>
      <c r="AS1027" s="52" t="n">
        <v>0</v>
      </c>
      <c r="AT1027" s="52" t="n">
        <v>0</v>
      </c>
      <c r="AU1027" s="53" t="n">
        <v>0</v>
      </c>
      <c r="AV1027" s="53" t="n">
        <v>0</v>
      </c>
      <c r="AW1027" s="53" t="n">
        <v>0</v>
      </c>
      <c r="AX1027" s="53" t="n">
        <v>0</v>
      </c>
      <c r="AY1027" s="52" t="n">
        <v>0</v>
      </c>
      <c r="AZ1027" s="52" t="n">
        <v>0</v>
      </c>
      <c r="BA1027" s="52" t="n">
        <v>0</v>
      </c>
      <c r="BB1027" s="52" t="n">
        <v>0</v>
      </c>
      <c r="BC1027" s="51" t="n">
        <v>0</v>
      </c>
      <c r="BD1027" s="51" t="n">
        <v>0</v>
      </c>
      <c r="BE1027" s="51" t="n">
        <v>0</v>
      </c>
      <c r="BF1027" s="51" t="n">
        <v>0</v>
      </c>
    </row>
    <row r="1028">
      <c r="A1028">
        <f>HYPERLINK("https://www.walmart.com/ip/697110021", "697110021")</f>
        <v/>
      </c>
      <c r="B1028" t="inlineStr">
        <is>
          <t>Tirrinia Comfy Sherpa Wearable Blanket Poncho for Adult, 55'' x 80'', Grey</t>
        </is>
      </c>
      <c r="C1028" t="inlineStr">
        <is>
          <t>1TRBP110GY-TBCB</t>
        </is>
      </c>
      <c r="D1028" t="inlineStr">
        <is>
          <t>Throws</t>
        </is>
      </c>
      <c r="E1028" t="inlineStr">
        <is>
          <t>Tirrinia</t>
        </is>
      </c>
      <c r="F1028" t="inlineStr">
        <is>
          <t>Optimized</t>
        </is>
      </c>
      <c r="G1028" s="48" t="n">
        <v>0</v>
      </c>
      <c r="H1028" s="48" t="n">
        <v>0</v>
      </c>
      <c r="I1028" s="48" t="n">
        <v>0</v>
      </c>
      <c r="J1028" s="48" t="n">
        <v>0</v>
      </c>
      <c r="K1028" s="49" t="n">
        <v>0</v>
      </c>
      <c r="L1028" s="49" t="n">
        <v>0</v>
      </c>
      <c r="M1028" s="49" t="n">
        <v>0</v>
      </c>
      <c r="N1028" s="49" t="n">
        <v>0</v>
      </c>
      <c r="O1028" s="49" t="n">
        <v>0</v>
      </c>
      <c r="P1028" s="49" t="n">
        <v>0</v>
      </c>
      <c r="Q1028" s="49" t="n">
        <v>0</v>
      </c>
      <c r="R1028" s="49" t="n">
        <v>0</v>
      </c>
      <c r="S1028" s="50" t="n">
        <v>0</v>
      </c>
      <c r="T1028" s="50" t="n">
        <v>0</v>
      </c>
      <c r="U1028" s="50" t="n">
        <v>0</v>
      </c>
      <c r="V1028" s="50" t="n">
        <v>0</v>
      </c>
      <c r="W1028" s="51" t="n">
        <v>0</v>
      </c>
      <c r="X1028" s="51" t="n">
        <v>0</v>
      </c>
      <c r="Y1028" s="51" t="n">
        <v>0</v>
      </c>
      <c r="Z1028" s="51" t="n">
        <v>0</v>
      </c>
      <c r="AA1028" s="52" t="n">
        <v>0</v>
      </c>
      <c r="AB1028" s="52" t="n">
        <v>0</v>
      </c>
      <c r="AC1028" s="52" t="n">
        <v>0</v>
      </c>
      <c r="AD1028" s="52" t="n">
        <v>0</v>
      </c>
      <c r="AE1028" s="52" t="n">
        <v>0</v>
      </c>
      <c r="AF1028" s="52" t="n">
        <v>0</v>
      </c>
      <c r="AG1028" s="52" t="n">
        <v>0</v>
      </c>
      <c r="AH1028" s="52" t="n">
        <v>0</v>
      </c>
      <c r="AI1028" s="52" t="n">
        <v>0</v>
      </c>
      <c r="AJ1028" s="52" t="n">
        <v>0</v>
      </c>
      <c r="AK1028" s="52" t="n">
        <v>0</v>
      </c>
      <c r="AL1028" s="52" t="n">
        <v>0</v>
      </c>
      <c r="AM1028" s="53" t="n">
        <v>0</v>
      </c>
      <c r="AN1028" s="53" t="n">
        <v>0</v>
      </c>
      <c r="AO1028" s="53" t="n">
        <v>0</v>
      </c>
      <c r="AP1028" s="53" t="n">
        <v>0</v>
      </c>
      <c r="AQ1028" s="52" t="n">
        <v>0</v>
      </c>
      <c r="AR1028" s="52" t="n">
        <v>0</v>
      </c>
      <c r="AS1028" s="52" t="n">
        <v>0</v>
      </c>
      <c r="AT1028" s="52" t="n">
        <v>0</v>
      </c>
      <c r="AU1028" s="53" t="n">
        <v>0</v>
      </c>
      <c r="AV1028" s="53" t="n">
        <v>0</v>
      </c>
      <c r="AW1028" s="53" t="n">
        <v>0</v>
      </c>
      <c r="AX1028" s="53" t="n">
        <v>0</v>
      </c>
      <c r="AY1028" s="52" t="n">
        <v>0</v>
      </c>
      <c r="AZ1028" s="52" t="n">
        <v>0</v>
      </c>
      <c r="BA1028" s="52" t="n">
        <v>0</v>
      </c>
      <c r="BB1028" s="52" t="n">
        <v>0</v>
      </c>
      <c r="BC1028" s="51" t="n">
        <v>0</v>
      </c>
      <c r="BD1028" s="51" t="n">
        <v>0</v>
      </c>
      <c r="BE1028" s="51" t="n">
        <v>0</v>
      </c>
      <c r="BF1028" s="51" t="n">
        <v>0</v>
      </c>
    </row>
    <row r="1029">
      <c r="A1029">
        <f>HYPERLINK("https://www.walmart.com/ip/697661347", "697661347")</f>
        <v/>
      </c>
      <c r="B1029" t="inlineStr">
        <is>
          <t>Flyingstar Lunch Bag for Women Men, Insulated Lunch Tote for Working/School/Picnic Fashionable Cooler Bag</t>
        </is>
      </c>
      <c r="C1029" t="inlineStr">
        <is>
          <t>1WMLB704BLFL</t>
        </is>
      </c>
      <c r="D1029" t="inlineStr">
        <is>
          <t>Reusable Lunch Bags &amp; Boxes</t>
        </is>
      </c>
      <c r="E1029" t="inlineStr">
        <is>
          <t>Flyingstar</t>
        </is>
      </c>
      <c r="F1029" t="inlineStr">
        <is>
          <t>Lunch Bag</t>
        </is>
      </c>
      <c r="G1029" s="48" t="n">
        <v>0</v>
      </c>
      <c r="H1029" s="48" t="n">
        <v>0</v>
      </c>
      <c r="I1029" s="48" t="n">
        <v>9.99</v>
      </c>
      <c r="J1029" s="48" t="n">
        <v>0</v>
      </c>
      <c r="K1029" s="49" t="n">
        <v>0</v>
      </c>
      <c r="L1029" s="49" t="n">
        <v>0</v>
      </c>
      <c r="M1029" s="49" t="n">
        <v>1</v>
      </c>
      <c r="N1029" s="49" t="n">
        <v>0</v>
      </c>
      <c r="O1029" s="49" t="n">
        <v>4</v>
      </c>
      <c r="P1029" s="49" t="n">
        <v>2</v>
      </c>
      <c r="Q1029" s="49" t="n">
        <v>2</v>
      </c>
      <c r="R1029" s="49" t="n">
        <v>1</v>
      </c>
      <c r="S1029" s="50" t="n">
        <v>0</v>
      </c>
      <c r="T1029" s="50" t="n">
        <v>0</v>
      </c>
      <c r="U1029" s="50" t="n">
        <v>0.5</v>
      </c>
      <c r="V1029" s="50" t="n">
        <v>0</v>
      </c>
      <c r="W1029" s="51" t="n">
        <v>0</v>
      </c>
      <c r="X1029" s="51" t="n">
        <v>0</v>
      </c>
      <c r="Y1029" s="51" t="n">
        <v>0</v>
      </c>
      <c r="Z1029" s="51" t="n">
        <v>0</v>
      </c>
      <c r="AA1029" s="52" t="n">
        <v>0</v>
      </c>
      <c r="AB1029" s="52" t="n">
        <v>0</v>
      </c>
      <c r="AC1029" s="52" t="n">
        <v>0</v>
      </c>
      <c r="AD1029" s="52" t="n">
        <v>0</v>
      </c>
      <c r="AE1029" s="52" t="n">
        <v>0</v>
      </c>
      <c r="AF1029" s="52" t="n">
        <v>0</v>
      </c>
      <c r="AG1029" s="52" t="n">
        <v>0</v>
      </c>
      <c r="AH1029" s="52" t="n">
        <v>0</v>
      </c>
      <c r="AI1029" s="52" t="n">
        <v>0</v>
      </c>
      <c r="AJ1029" s="52" t="n">
        <v>0</v>
      </c>
      <c r="AK1029" s="52" t="n">
        <v>0</v>
      </c>
      <c r="AL1029" s="52" t="n">
        <v>0</v>
      </c>
      <c r="AM1029" s="53" t="n">
        <v>0</v>
      </c>
      <c r="AN1029" s="53" t="n">
        <v>0</v>
      </c>
      <c r="AO1029" s="53" t="n">
        <v>0</v>
      </c>
      <c r="AP1029" s="53" t="n">
        <v>0</v>
      </c>
      <c r="AQ1029" s="52" t="n">
        <v>0</v>
      </c>
      <c r="AR1029" s="52" t="n">
        <v>0</v>
      </c>
      <c r="AS1029" s="52" t="n">
        <v>0</v>
      </c>
      <c r="AT1029" s="52" t="n">
        <v>0</v>
      </c>
      <c r="AU1029" s="53" t="n">
        <v>0</v>
      </c>
      <c r="AV1029" s="53" t="n">
        <v>0</v>
      </c>
      <c r="AW1029" s="53" t="n">
        <v>0</v>
      </c>
      <c r="AX1029" s="53" t="n">
        <v>0</v>
      </c>
      <c r="AY1029" s="52" t="n">
        <v>0</v>
      </c>
      <c r="AZ1029" s="52" t="n">
        <v>0</v>
      </c>
      <c r="BA1029" s="52" t="n">
        <v>9.99</v>
      </c>
      <c r="BB1029" s="52" t="n">
        <v>0</v>
      </c>
      <c r="BC1029" s="51" t="n">
        <v>0</v>
      </c>
      <c r="BD1029" s="51" t="n">
        <v>0</v>
      </c>
      <c r="BE1029" s="51" t="n">
        <v>0</v>
      </c>
      <c r="BF1029" s="51" t="n">
        <v>0</v>
      </c>
    </row>
    <row r="1030">
      <c r="A1030">
        <f>HYPERLINK("https://www.walmart.com/ip/697880843", "697880843")</f>
        <v/>
      </c>
      <c r="B1030" t="inlineStr">
        <is>
          <t>Napa Super Soft Velvet Plush Throw Blanket, Reversible Fuzzy Solid Blanket, All Season Bed Throw TV Blanket, Wine, 50'' x 70''</t>
        </is>
      </c>
      <c r="C1030" t="inlineStr">
        <is>
          <t>K8023WN</t>
        </is>
      </c>
      <c r="D1030" t="inlineStr">
        <is>
          <t>Throws</t>
        </is>
      </c>
      <c r="E1030" t="inlineStr">
        <is>
          <t>NAPA</t>
        </is>
      </c>
      <c r="F1030" t="inlineStr">
        <is>
          <t>Optimized</t>
        </is>
      </c>
      <c r="G1030" s="48" t="n">
        <v>0</v>
      </c>
      <c r="H1030" s="48" t="n">
        <v>0</v>
      </c>
      <c r="I1030" s="48" t="n">
        <v>0</v>
      </c>
      <c r="J1030" s="48" t="n">
        <v>0</v>
      </c>
      <c r="K1030" s="49" t="n">
        <v>0</v>
      </c>
      <c r="L1030" s="49" t="n">
        <v>0</v>
      </c>
      <c r="M1030" s="49" t="n">
        <v>0</v>
      </c>
      <c r="N1030" s="49" t="n">
        <v>0</v>
      </c>
      <c r="O1030" s="49" t="n">
        <v>0</v>
      </c>
      <c r="P1030" s="49" t="n">
        <v>0</v>
      </c>
      <c r="Q1030" s="49" t="n">
        <v>0</v>
      </c>
      <c r="R1030" s="49" t="n">
        <v>0</v>
      </c>
      <c r="S1030" s="50" t="n">
        <v>0</v>
      </c>
      <c r="T1030" s="50" t="n">
        <v>0</v>
      </c>
      <c r="U1030" s="50" t="n">
        <v>0</v>
      </c>
      <c r="V1030" s="50" t="n">
        <v>0</v>
      </c>
      <c r="W1030" s="51" t="n">
        <v>0</v>
      </c>
      <c r="X1030" s="51" t="n">
        <v>0</v>
      </c>
      <c r="Y1030" s="51" t="n">
        <v>0</v>
      </c>
      <c r="Z1030" s="51" t="n">
        <v>0</v>
      </c>
      <c r="AA1030" s="52" t="n">
        <v>0</v>
      </c>
      <c r="AB1030" s="52" t="n">
        <v>0</v>
      </c>
      <c r="AC1030" s="52" t="n">
        <v>0</v>
      </c>
      <c r="AD1030" s="52" t="n">
        <v>0</v>
      </c>
      <c r="AE1030" s="52" t="n">
        <v>0</v>
      </c>
      <c r="AF1030" s="52" t="n">
        <v>0</v>
      </c>
      <c r="AG1030" s="52" t="n">
        <v>0</v>
      </c>
      <c r="AH1030" s="52" t="n">
        <v>0</v>
      </c>
      <c r="AI1030" s="52" t="n">
        <v>0</v>
      </c>
      <c r="AJ1030" s="52" t="n">
        <v>0</v>
      </c>
      <c r="AK1030" s="52" t="n">
        <v>0</v>
      </c>
      <c r="AL1030" s="52" t="n">
        <v>0</v>
      </c>
      <c r="AM1030" s="53" t="n">
        <v>0</v>
      </c>
      <c r="AN1030" s="53" t="n">
        <v>0</v>
      </c>
      <c r="AO1030" s="53" t="n">
        <v>0</v>
      </c>
      <c r="AP1030" s="53" t="n">
        <v>0</v>
      </c>
      <c r="AQ1030" s="52" t="n">
        <v>0</v>
      </c>
      <c r="AR1030" s="52" t="n">
        <v>0</v>
      </c>
      <c r="AS1030" s="52" t="n">
        <v>0</v>
      </c>
      <c r="AT1030" s="52" t="n">
        <v>0</v>
      </c>
      <c r="AU1030" s="53" t="n">
        <v>0</v>
      </c>
      <c r="AV1030" s="53" t="n">
        <v>0</v>
      </c>
      <c r="AW1030" s="53" t="n">
        <v>0</v>
      </c>
      <c r="AX1030" s="53" t="n">
        <v>0</v>
      </c>
      <c r="AY1030" s="52" t="n">
        <v>0</v>
      </c>
      <c r="AZ1030" s="52" t="n">
        <v>0</v>
      </c>
      <c r="BA1030" s="52" t="n">
        <v>0</v>
      </c>
      <c r="BB1030" s="52" t="n">
        <v>0</v>
      </c>
      <c r="BC1030" s="51" t="n">
        <v>0</v>
      </c>
      <c r="BD1030" s="51" t="n">
        <v>0</v>
      </c>
      <c r="BE1030" s="51" t="n">
        <v>0</v>
      </c>
      <c r="BF1030" s="51" t="n">
        <v>0</v>
      </c>
    </row>
    <row r="1031">
      <c r="A1031">
        <f>HYPERLINK("https://www.walmart.com/ip/699140737", "699140737")</f>
        <v/>
      </c>
      <c r="B1031" t="inlineStr">
        <is>
          <t>KC Caps Thick Weave Waffle Knit Beanie</t>
        </is>
      </c>
      <c r="C1031" t="inlineStr">
        <is>
          <t>KCW1600NV</t>
        </is>
      </c>
      <c r="D1031" t="inlineStr">
        <is>
          <t>Hats</t>
        </is>
      </c>
      <c r="E1031" t="inlineStr">
        <is>
          <t>KC Caps</t>
        </is>
      </c>
      <c r="F1031" t="inlineStr">
        <is>
          <t>Optimized</t>
        </is>
      </c>
      <c r="G1031" s="48" t="n">
        <v>0</v>
      </c>
      <c r="H1031" s="48" t="n">
        <v>0</v>
      </c>
      <c r="I1031" s="48" t="n">
        <v>0</v>
      </c>
      <c r="J1031" s="48" t="n">
        <v>0</v>
      </c>
      <c r="K1031" s="49" t="n">
        <v>0</v>
      </c>
      <c r="L1031" s="49" t="n">
        <v>0</v>
      </c>
      <c r="M1031" s="49" t="n">
        <v>0</v>
      </c>
      <c r="N1031" s="49" t="n">
        <v>0</v>
      </c>
      <c r="O1031" s="49" t="n">
        <v>0</v>
      </c>
      <c r="P1031" s="49" t="n">
        <v>0</v>
      </c>
      <c r="Q1031" s="49" t="n">
        <v>0</v>
      </c>
      <c r="R1031" s="49" t="n">
        <v>0</v>
      </c>
      <c r="S1031" s="50" t="n">
        <v>0</v>
      </c>
      <c r="T1031" s="50" t="n">
        <v>0</v>
      </c>
      <c r="U1031" s="50" t="n">
        <v>0</v>
      </c>
      <c r="V1031" s="50" t="n">
        <v>0</v>
      </c>
      <c r="W1031" s="51" t="n">
        <v>0</v>
      </c>
      <c r="X1031" s="51" t="n">
        <v>0</v>
      </c>
      <c r="Y1031" s="51" t="n">
        <v>0</v>
      </c>
      <c r="Z1031" s="51" t="n">
        <v>0</v>
      </c>
      <c r="AA1031" s="52" t="n">
        <v>0</v>
      </c>
      <c r="AB1031" s="52" t="n">
        <v>0</v>
      </c>
      <c r="AC1031" s="52" t="n">
        <v>0</v>
      </c>
      <c r="AD1031" s="52" t="n">
        <v>0</v>
      </c>
      <c r="AE1031" s="52" t="n">
        <v>0</v>
      </c>
      <c r="AF1031" s="52" t="n">
        <v>0</v>
      </c>
      <c r="AG1031" s="52" t="n">
        <v>0</v>
      </c>
      <c r="AH1031" s="52" t="n">
        <v>0</v>
      </c>
      <c r="AI1031" s="52" t="n">
        <v>0</v>
      </c>
      <c r="AJ1031" s="52" t="n">
        <v>0</v>
      </c>
      <c r="AK1031" s="52" t="n">
        <v>0</v>
      </c>
      <c r="AL1031" s="52" t="n">
        <v>0</v>
      </c>
      <c r="AM1031" s="53" t="n">
        <v>0</v>
      </c>
      <c r="AN1031" s="53" t="n">
        <v>0</v>
      </c>
      <c r="AO1031" s="53" t="n">
        <v>0</v>
      </c>
      <c r="AP1031" s="53" t="n">
        <v>0</v>
      </c>
      <c r="AQ1031" s="52" t="n">
        <v>0</v>
      </c>
      <c r="AR1031" s="52" t="n">
        <v>0</v>
      </c>
      <c r="AS1031" s="52" t="n">
        <v>0</v>
      </c>
      <c r="AT1031" s="52" t="n">
        <v>0</v>
      </c>
      <c r="AU1031" s="53" t="n">
        <v>0</v>
      </c>
      <c r="AV1031" s="53" t="n">
        <v>0</v>
      </c>
      <c r="AW1031" s="53" t="n">
        <v>0</v>
      </c>
      <c r="AX1031" s="53" t="n">
        <v>0</v>
      </c>
      <c r="AY1031" s="52" t="n">
        <v>0</v>
      </c>
      <c r="AZ1031" s="52" t="n">
        <v>0</v>
      </c>
      <c r="BA1031" s="52" t="n">
        <v>0</v>
      </c>
      <c r="BB1031" s="52" t="n">
        <v>0</v>
      </c>
      <c r="BC1031" s="51" t="n">
        <v>0</v>
      </c>
      <c r="BD1031" s="51" t="n">
        <v>0</v>
      </c>
      <c r="BE1031" s="51" t="n">
        <v>0</v>
      </c>
      <c r="BF1031" s="51" t="n">
        <v>0</v>
      </c>
    </row>
    <row r="1032">
      <c r="A1032">
        <f>HYPERLINK("https://www.walmart.com/ip/699976715", "699976715")</f>
        <v/>
      </c>
      <c r="B1032" t="inlineStr">
        <is>
          <t>JenniWears Women Sexy Lace Boyshort Panty Plus Size Stretch Mesh Briefs Lingerie Underwear Sleepwear Gold</t>
        </is>
      </c>
      <c r="C1032" t="inlineStr">
        <is>
          <t>JWPT05JD-2XL</t>
        </is>
      </c>
      <c r="D1032" t="inlineStr">
        <is>
          <t>Panties</t>
        </is>
      </c>
      <c r="E1032" t="inlineStr">
        <is>
          <t>JenniWears</t>
        </is>
      </c>
      <c r="F1032" t="inlineStr">
        <is>
          <t>Valentine</t>
        </is>
      </c>
      <c r="G1032" s="48" t="n">
        <v>0</v>
      </c>
      <c r="H1032" s="48" t="n">
        <v>0</v>
      </c>
      <c r="I1032" s="48" t="n">
        <v>0</v>
      </c>
      <c r="J1032" s="48" t="n">
        <v>0</v>
      </c>
      <c r="K1032" s="49" t="n">
        <v>0</v>
      </c>
      <c r="L1032" s="49" t="n">
        <v>0</v>
      </c>
      <c r="M1032" s="49" t="n">
        <v>0</v>
      </c>
      <c r="N1032" s="49" t="n">
        <v>0</v>
      </c>
      <c r="O1032" s="49" t="n">
        <v>0</v>
      </c>
      <c r="P1032" s="49" t="n">
        <v>0</v>
      </c>
      <c r="Q1032" s="49" t="n">
        <v>0</v>
      </c>
      <c r="R1032" s="49" t="n">
        <v>0</v>
      </c>
      <c r="S1032" s="50" t="n">
        <v>0</v>
      </c>
      <c r="T1032" s="50" t="n">
        <v>0</v>
      </c>
      <c r="U1032" s="50" t="n">
        <v>0</v>
      </c>
      <c r="V1032" s="50" t="n">
        <v>0</v>
      </c>
      <c r="W1032" s="51" t="n">
        <v>0</v>
      </c>
      <c r="X1032" s="51" t="n">
        <v>0</v>
      </c>
      <c r="Y1032" s="51" t="n">
        <v>0</v>
      </c>
      <c r="Z1032" s="51" t="n">
        <v>0</v>
      </c>
      <c r="AA1032" s="52" t="n">
        <v>0</v>
      </c>
      <c r="AB1032" s="52" t="n">
        <v>0</v>
      </c>
      <c r="AC1032" s="52" t="n">
        <v>0</v>
      </c>
      <c r="AD1032" s="52" t="n">
        <v>0</v>
      </c>
      <c r="AE1032" s="52" t="n">
        <v>0</v>
      </c>
      <c r="AF1032" s="52" t="n">
        <v>0</v>
      </c>
      <c r="AG1032" s="52" t="n">
        <v>0</v>
      </c>
      <c r="AH1032" s="52" t="n">
        <v>0</v>
      </c>
      <c r="AI1032" s="52" t="n">
        <v>0</v>
      </c>
      <c r="AJ1032" s="52" t="n">
        <v>0</v>
      </c>
      <c r="AK1032" s="52" t="n">
        <v>0</v>
      </c>
      <c r="AL1032" s="52" t="n">
        <v>0</v>
      </c>
      <c r="AM1032" s="53" t="n">
        <v>0</v>
      </c>
      <c r="AN1032" s="53" t="n">
        <v>0</v>
      </c>
      <c r="AO1032" s="53" t="n">
        <v>0</v>
      </c>
      <c r="AP1032" s="53" t="n">
        <v>0</v>
      </c>
      <c r="AQ1032" s="52" t="n">
        <v>0</v>
      </c>
      <c r="AR1032" s="52" t="n">
        <v>0</v>
      </c>
      <c r="AS1032" s="52" t="n">
        <v>0</v>
      </c>
      <c r="AT1032" s="52" t="n">
        <v>0</v>
      </c>
      <c r="AU1032" s="53" t="n">
        <v>0</v>
      </c>
      <c r="AV1032" s="53" t="n">
        <v>0</v>
      </c>
      <c r="AW1032" s="53" t="n">
        <v>0</v>
      </c>
      <c r="AX1032" s="53" t="n">
        <v>0</v>
      </c>
      <c r="AY1032" s="52" t="n">
        <v>0</v>
      </c>
      <c r="AZ1032" s="52" t="n">
        <v>0</v>
      </c>
      <c r="BA1032" s="52" t="n">
        <v>0</v>
      </c>
      <c r="BB1032" s="52" t="n">
        <v>0</v>
      </c>
      <c r="BC1032" s="51" t="n">
        <v>0</v>
      </c>
      <c r="BD1032" s="51" t="n">
        <v>0</v>
      </c>
      <c r="BE1032" s="51" t="n">
        <v>0</v>
      </c>
      <c r="BF1032" s="51" t="n">
        <v>0</v>
      </c>
    </row>
    <row r="1033">
      <c r="A1033">
        <f>HYPERLINK("https://www.walmart.com/ip/700298785", "700298785")</f>
        <v/>
      </c>
      <c r="B1033" t="inlineStr">
        <is>
          <t>Tirrinia Plush Fleece Wearable Blanket Comfy Poncho for Adult Women Men, Navy</t>
        </is>
      </c>
      <c r="C1033" t="inlineStr">
        <is>
          <t>1TRBP200NY-TBCB</t>
        </is>
      </c>
      <c r="D1033" t="inlineStr">
        <is>
          <t>Throws</t>
        </is>
      </c>
      <c r="E1033" t="inlineStr">
        <is>
          <t>Tirrinia</t>
        </is>
      </c>
      <c r="F1033" t="inlineStr">
        <is>
          <t>Optimized</t>
        </is>
      </c>
      <c r="G1033" s="48" t="n">
        <v>0</v>
      </c>
      <c r="H1033" s="48" t="n">
        <v>0</v>
      </c>
      <c r="I1033" s="48" t="n">
        <v>0</v>
      </c>
      <c r="J1033" s="48" t="n">
        <v>0</v>
      </c>
      <c r="K1033" s="49" t="n">
        <v>0</v>
      </c>
      <c r="L1033" s="49" t="n">
        <v>0</v>
      </c>
      <c r="M1033" s="49" t="n">
        <v>0</v>
      </c>
      <c r="N1033" s="49" t="n">
        <v>0</v>
      </c>
      <c r="O1033" s="49" t="n">
        <v>0</v>
      </c>
      <c r="P1033" s="49" t="n">
        <v>0</v>
      </c>
      <c r="Q1033" s="49" t="n">
        <v>0</v>
      </c>
      <c r="R1033" s="49" t="n">
        <v>0</v>
      </c>
      <c r="S1033" s="50" t="n">
        <v>0</v>
      </c>
      <c r="T1033" s="50" t="n">
        <v>0</v>
      </c>
      <c r="U1033" s="50" t="n">
        <v>0</v>
      </c>
      <c r="V1033" s="50" t="n">
        <v>0</v>
      </c>
      <c r="W1033" s="51" t="n">
        <v>0</v>
      </c>
      <c r="X1033" s="51" t="n">
        <v>0</v>
      </c>
      <c r="Y1033" s="51" t="n">
        <v>0</v>
      </c>
      <c r="Z1033" s="51" t="n">
        <v>0</v>
      </c>
      <c r="AA1033" s="52" t="n">
        <v>0</v>
      </c>
      <c r="AB1033" s="52" t="n">
        <v>0</v>
      </c>
      <c r="AC1033" s="52" t="n">
        <v>0</v>
      </c>
      <c r="AD1033" s="52" t="n">
        <v>0</v>
      </c>
      <c r="AE1033" s="52" t="n">
        <v>0</v>
      </c>
      <c r="AF1033" s="52" t="n">
        <v>0</v>
      </c>
      <c r="AG1033" s="52" t="n">
        <v>0</v>
      </c>
      <c r="AH1033" s="52" t="n">
        <v>0</v>
      </c>
      <c r="AI1033" s="52" t="n">
        <v>0</v>
      </c>
      <c r="AJ1033" s="52" t="n">
        <v>0</v>
      </c>
      <c r="AK1033" s="52" t="n">
        <v>0</v>
      </c>
      <c r="AL1033" s="52" t="n">
        <v>0</v>
      </c>
      <c r="AM1033" s="53" t="n">
        <v>0</v>
      </c>
      <c r="AN1033" s="53" t="n">
        <v>0</v>
      </c>
      <c r="AO1033" s="53" t="n">
        <v>0</v>
      </c>
      <c r="AP1033" s="53" t="n">
        <v>0</v>
      </c>
      <c r="AQ1033" s="52" t="n">
        <v>0</v>
      </c>
      <c r="AR1033" s="52" t="n">
        <v>0</v>
      </c>
      <c r="AS1033" s="52" t="n">
        <v>0</v>
      </c>
      <c r="AT1033" s="52" t="n">
        <v>0</v>
      </c>
      <c r="AU1033" s="53" t="n">
        <v>0</v>
      </c>
      <c r="AV1033" s="53" t="n">
        <v>0</v>
      </c>
      <c r="AW1033" s="53" t="n">
        <v>0</v>
      </c>
      <c r="AX1033" s="53" t="n">
        <v>0</v>
      </c>
      <c r="AY1033" s="52" t="n">
        <v>0</v>
      </c>
      <c r="AZ1033" s="52" t="n">
        <v>0</v>
      </c>
      <c r="BA1033" s="52" t="n">
        <v>0</v>
      </c>
      <c r="BB1033" s="52" t="n">
        <v>0</v>
      </c>
      <c r="BC1033" s="51" t="n">
        <v>0</v>
      </c>
      <c r="BD1033" s="51" t="n">
        <v>0</v>
      </c>
      <c r="BE1033" s="51" t="n">
        <v>0</v>
      </c>
      <c r="BF1033" s="51" t="n">
        <v>0</v>
      </c>
    </row>
    <row r="1034">
      <c r="A1034">
        <f>HYPERLINK("https://www.walmart.com/ip/700395906", "700395906")</f>
        <v/>
      </c>
      <c r="B1034" t="inlineStr">
        <is>
          <t>Catalonia Oversized Hoodie Sweatshirt Poncho, Casual Hoodie Cape, Batwing Coat Pullover Blanket | Fluffy Sherpa, Comfortable, Roomy | Gift for Adults Women Men, Wine</t>
        </is>
      </c>
      <c r="C1034" t="inlineStr">
        <is>
          <t>1CTHD542WN</t>
        </is>
      </c>
      <c r="D1034" t="inlineStr">
        <is>
          <t>Sweatshirts &amp; Hoodies</t>
        </is>
      </c>
      <c r="E1034" t="inlineStr">
        <is>
          <t>Catalonia</t>
        </is>
      </c>
      <c r="F1034" t="inlineStr">
        <is>
          <t>Hoodie ForAdult,Optimized</t>
        </is>
      </c>
      <c r="G1034" s="48" t="n">
        <v>0</v>
      </c>
      <c r="H1034" s="48" t="n">
        <v>0</v>
      </c>
      <c r="I1034" s="48" t="n">
        <v>0</v>
      </c>
      <c r="J1034" s="48" t="n">
        <v>0</v>
      </c>
      <c r="K1034" s="49" t="n">
        <v>0</v>
      </c>
      <c r="L1034" s="49" t="n">
        <v>0</v>
      </c>
      <c r="M1034" s="49" t="n">
        <v>0</v>
      </c>
      <c r="N1034" s="49" t="n">
        <v>0</v>
      </c>
      <c r="O1034" s="49" t="n">
        <v>0</v>
      </c>
      <c r="P1034" s="49" t="n">
        <v>0</v>
      </c>
      <c r="Q1034" s="49" t="n">
        <v>0</v>
      </c>
      <c r="R1034" s="49" t="n">
        <v>0</v>
      </c>
      <c r="S1034" s="50" t="n">
        <v>0</v>
      </c>
      <c r="T1034" s="50" t="n">
        <v>0</v>
      </c>
      <c r="U1034" s="50" t="n">
        <v>0</v>
      </c>
      <c r="V1034" s="50" t="n">
        <v>0</v>
      </c>
      <c r="W1034" s="51" t="n">
        <v>0</v>
      </c>
      <c r="X1034" s="51" t="n">
        <v>0</v>
      </c>
      <c r="Y1034" s="51" t="n">
        <v>0</v>
      </c>
      <c r="Z1034" s="51" t="n">
        <v>0</v>
      </c>
      <c r="AA1034" s="52" t="n">
        <v>0</v>
      </c>
      <c r="AB1034" s="52" t="n">
        <v>0</v>
      </c>
      <c r="AC1034" s="52" t="n">
        <v>0</v>
      </c>
      <c r="AD1034" s="52" t="n">
        <v>0</v>
      </c>
      <c r="AE1034" s="52" t="n">
        <v>0</v>
      </c>
      <c r="AF1034" s="52" t="n">
        <v>0</v>
      </c>
      <c r="AG1034" s="52" t="n">
        <v>0</v>
      </c>
      <c r="AH1034" s="52" t="n">
        <v>0</v>
      </c>
      <c r="AI1034" s="52" t="n">
        <v>0</v>
      </c>
      <c r="AJ1034" s="52" t="n">
        <v>0</v>
      </c>
      <c r="AK1034" s="52" t="n">
        <v>0</v>
      </c>
      <c r="AL1034" s="52" t="n">
        <v>0</v>
      </c>
      <c r="AM1034" s="53" t="n">
        <v>0</v>
      </c>
      <c r="AN1034" s="53" t="n">
        <v>0</v>
      </c>
      <c r="AO1034" s="53" t="n">
        <v>0</v>
      </c>
      <c r="AP1034" s="53" t="n">
        <v>0</v>
      </c>
      <c r="AQ1034" s="52" t="n">
        <v>0</v>
      </c>
      <c r="AR1034" s="52" t="n">
        <v>0</v>
      </c>
      <c r="AS1034" s="52" t="n">
        <v>0</v>
      </c>
      <c r="AT1034" s="52" t="n">
        <v>0</v>
      </c>
      <c r="AU1034" s="53" t="n">
        <v>0</v>
      </c>
      <c r="AV1034" s="53" t="n">
        <v>0</v>
      </c>
      <c r="AW1034" s="53" t="n">
        <v>0</v>
      </c>
      <c r="AX1034" s="53" t="n">
        <v>0</v>
      </c>
      <c r="AY1034" s="52" t="n">
        <v>0</v>
      </c>
      <c r="AZ1034" s="52" t="n">
        <v>0</v>
      </c>
      <c r="BA1034" s="52" t="n">
        <v>0</v>
      </c>
      <c r="BB1034" s="52" t="n">
        <v>0</v>
      </c>
      <c r="BC1034" s="51" t="n">
        <v>0</v>
      </c>
      <c r="BD1034" s="51" t="n">
        <v>0</v>
      </c>
      <c r="BE1034" s="51" t="n">
        <v>0</v>
      </c>
      <c r="BF1034" s="51" t="n">
        <v>0</v>
      </c>
    </row>
    <row r="1035">
      <c r="A1035">
        <f>HYPERLINK("https://www.walmart.com/ip/700944003", "700944003")</f>
        <v/>
      </c>
      <c r="B1035" t="inlineStr">
        <is>
          <t>Catalonia Sherpa Fleece Blanket&lt;strong&gt; &lt;/strong&gt;60" x 80", for Bed Sofa Couch, Plush Throw TV Cozy Warm Comforter Caring Gift</t>
        </is>
      </c>
      <c r="C1035" t="inlineStr">
        <is>
          <t>1CTBF368GN</t>
        </is>
      </c>
      <c r="D1035" t="inlineStr">
        <is>
          <t>Throws</t>
        </is>
      </c>
      <c r="E1035" t="inlineStr">
        <is>
          <t>Catalonia</t>
        </is>
      </c>
      <c r="F1035" t="inlineStr">
        <is>
          <t>Q2-Target,Optimized,WFS,Coupon_Discount,WFS Item,Fleece Blankets</t>
        </is>
      </c>
      <c r="G1035" s="48" t="n">
        <v>0</v>
      </c>
      <c r="H1035" s="48" t="n">
        <v>0</v>
      </c>
      <c r="I1035" s="48" t="n">
        <v>0</v>
      </c>
      <c r="J1035" s="48" t="n">
        <v>0</v>
      </c>
      <c r="K1035" s="49" t="n">
        <v>0</v>
      </c>
      <c r="L1035" s="49" t="n">
        <v>0</v>
      </c>
      <c r="M1035" s="49" t="n">
        <v>0</v>
      </c>
      <c r="N1035" s="49" t="n">
        <v>0</v>
      </c>
      <c r="O1035" s="49" t="n">
        <v>0</v>
      </c>
      <c r="P1035" s="49" t="n">
        <v>0</v>
      </c>
      <c r="Q1035" s="49" t="n">
        <v>0</v>
      </c>
      <c r="R1035" s="49" t="n">
        <v>0</v>
      </c>
      <c r="S1035" s="50" t="n">
        <v>0</v>
      </c>
      <c r="T1035" s="50" t="n">
        <v>0</v>
      </c>
      <c r="U1035" s="50" t="n">
        <v>0</v>
      </c>
      <c r="V1035" s="50" t="n">
        <v>0</v>
      </c>
      <c r="W1035" s="51" t="n">
        <v>0</v>
      </c>
      <c r="X1035" s="51" t="n">
        <v>0</v>
      </c>
      <c r="Y1035" s="51" t="n">
        <v>0</v>
      </c>
      <c r="Z1035" s="51" t="n">
        <v>0</v>
      </c>
      <c r="AA1035" s="52" t="n">
        <v>0</v>
      </c>
      <c r="AB1035" s="52" t="n">
        <v>0</v>
      </c>
      <c r="AC1035" s="52" t="n">
        <v>0</v>
      </c>
      <c r="AD1035" s="52" t="n">
        <v>0</v>
      </c>
      <c r="AE1035" s="52" t="n">
        <v>0</v>
      </c>
      <c r="AF1035" s="52" t="n">
        <v>0</v>
      </c>
      <c r="AG1035" s="52" t="n">
        <v>0</v>
      </c>
      <c r="AH1035" s="52" t="n">
        <v>0</v>
      </c>
      <c r="AI1035" s="52" t="n">
        <v>0</v>
      </c>
      <c r="AJ1035" s="52" t="n">
        <v>0</v>
      </c>
      <c r="AK1035" s="52" t="n">
        <v>0</v>
      </c>
      <c r="AL1035" s="52" t="n">
        <v>0</v>
      </c>
      <c r="AM1035" s="53" t="n">
        <v>0</v>
      </c>
      <c r="AN1035" s="53" t="n">
        <v>0</v>
      </c>
      <c r="AO1035" s="53" t="n">
        <v>0</v>
      </c>
      <c r="AP1035" s="53" t="n">
        <v>0</v>
      </c>
      <c r="AQ1035" s="52" t="n">
        <v>0</v>
      </c>
      <c r="AR1035" s="52" t="n">
        <v>0</v>
      </c>
      <c r="AS1035" s="52" t="n">
        <v>0</v>
      </c>
      <c r="AT1035" s="52" t="n">
        <v>0</v>
      </c>
      <c r="AU1035" s="53" t="n">
        <v>0</v>
      </c>
      <c r="AV1035" s="53" t="n">
        <v>0</v>
      </c>
      <c r="AW1035" s="53" t="n">
        <v>0</v>
      </c>
      <c r="AX1035" s="53" t="n">
        <v>0</v>
      </c>
      <c r="AY1035" s="52" t="n">
        <v>0</v>
      </c>
      <c r="AZ1035" s="52" t="n">
        <v>0</v>
      </c>
      <c r="BA1035" s="52" t="n">
        <v>0</v>
      </c>
      <c r="BB1035" s="52" t="n">
        <v>0</v>
      </c>
      <c r="BC1035" s="51" t="n">
        <v>0</v>
      </c>
      <c r="BD1035" s="51" t="n">
        <v>0</v>
      </c>
      <c r="BE1035" s="51" t="n">
        <v>0</v>
      </c>
      <c r="BF1035" s="51" t="n">
        <v>0</v>
      </c>
    </row>
    <row r="1036">
      <c r="A1036">
        <f>HYPERLINK("https://www.walmart.com/ip/701360796", "701360796")</f>
        <v/>
      </c>
      <c r="B1036" t="inlineStr">
        <is>
          <t>Oversized Hoodie Blanket Sweatshirt,Super Soft Warm Comfortable Fleece Giant Pullover with Large Front Pocket,for Adults Men Women Teenagers Kids Wife Girlfriend</t>
        </is>
      </c>
      <c r="C1036" t="inlineStr">
        <is>
          <t>1CTHD300GY-UPC</t>
        </is>
      </c>
      <c r="D1036" t="inlineStr">
        <is>
          <t>Sweatshirts &amp; Hoodies</t>
        </is>
      </c>
      <c r="E1036" t="inlineStr">
        <is>
          <t>Catalonia</t>
        </is>
      </c>
      <c r="F1036" t="inlineStr">
        <is>
          <t>Hoodie ForAdult,Optimized</t>
        </is>
      </c>
      <c r="G1036" s="48" t="n">
        <v>0</v>
      </c>
      <c r="H1036" s="48" t="n">
        <v>0</v>
      </c>
      <c r="I1036" s="48" t="n">
        <v>0</v>
      </c>
      <c r="J1036" s="48" t="n">
        <v>0</v>
      </c>
      <c r="K1036" s="49" t="n">
        <v>0</v>
      </c>
      <c r="L1036" s="49" t="n">
        <v>0</v>
      </c>
      <c r="M1036" s="49" t="n">
        <v>0</v>
      </c>
      <c r="N1036" s="49" t="n">
        <v>0</v>
      </c>
      <c r="O1036" s="49" t="n">
        <v>0</v>
      </c>
      <c r="P1036" s="49" t="n">
        <v>0</v>
      </c>
      <c r="Q1036" s="49" t="n">
        <v>0</v>
      </c>
      <c r="R1036" s="49" t="n">
        <v>0</v>
      </c>
      <c r="S1036" s="50" t="n">
        <v>0</v>
      </c>
      <c r="T1036" s="50" t="n">
        <v>0</v>
      </c>
      <c r="U1036" s="50" t="n">
        <v>0</v>
      </c>
      <c r="V1036" s="50" t="n">
        <v>0</v>
      </c>
      <c r="W1036" s="51" t="n">
        <v>0</v>
      </c>
      <c r="X1036" s="51" t="n">
        <v>0</v>
      </c>
      <c r="Y1036" s="51" t="n">
        <v>0</v>
      </c>
      <c r="Z1036" s="51" t="n">
        <v>0</v>
      </c>
      <c r="AA1036" s="52" t="n">
        <v>0</v>
      </c>
      <c r="AB1036" s="52" t="n">
        <v>0</v>
      </c>
      <c r="AC1036" s="52" t="n">
        <v>0</v>
      </c>
      <c r="AD1036" s="52" t="n">
        <v>0</v>
      </c>
      <c r="AE1036" s="52" t="n">
        <v>0</v>
      </c>
      <c r="AF1036" s="52" t="n">
        <v>0</v>
      </c>
      <c r="AG1036" s="52" t="n">
        <v>0</v>
      </c>
      <c r="AH1036" s="52" t="n">
        <v>0</v>
      </c>
      <c r="AI1036" s="52" t="n">
        <v>0</v>
      </c>
      <c r="AJ1036" s="52" t="n">
        <v>0</v>
      </c>
      <c r="AK1036" s="52" t="n">
        <v>0</v>
      </c>
      <c r="AL1036" s="52" t="n">
        <v>0</v>
      </c>
      <c r="AM1036" s="53" t="n">
        <v>0</v>
      </c>
      <c r="AN1036" s="53" t="n">
        <v>0</v>
      </c>
      <c r="AO1036" s="53" t="n">
        <v>0</v>
      </c>
      <c r="AP1036" s="53" t="n">
        <v>0</v>
      </c>
      <c r="AQ1036" s="52" t="n">
        <v>0</v>
      </c>
      <c r="AR1036" s="52" t="n">
        <v>0</v>
      </c>
      <c r="AS1036" s="52" t="n">
        <v>0</v>
      </c>
      <c r="AT1036" s="52" t="n">
        <v>0</v>
      </c>
      <c r="AU1036" s="53" t="n">
        <v>0</v>
      </c>
      <c r="AV1036" s="53" t="n">
        <v>0</v>
      </c>
      <c r="AW1036" s="53" t="n">
        <v>0</v>
      </c>
      <c r="AX1036" s="53" t="n">
        <v>0</v>
      </c>
      <c r="AY1036" s="52" t="n">
        <v>0</v>
      </c>
      <c r="AZ1036" s="52" t="n">
        <v>0</v>
      </c>
      <c r="BA1036" s="52" t="n">
        <v>0</v>
      </c>
      <c r="BB1036" s="52" t="n">
        <v>0</v>
      </c>
      <c r="BC1036" s="51" t="n">
        <v>0</v>
      </c>
      <c r="BD1036" s="51" t="n">
        <v>0</v>
      </c>
      <c r="BE1036" s="51" t="n">
        <v>0</v>
      </c>
      <c r="BF1036" s="51" t="n">
        <v>0</v>
      </c>
    </row>
    <row r="1037">
      <c r="A1037">
        <f>HYPERLINK("https://www.walmart.com/ip/701571669", "701571669")</f>
        <v/>
      </c>
      <c r="B1037" t="inlineStr">
        <is>
          <t>Kato Wine Accessories Gift Set - Wine Bottle Corkscrew Opener Kit, Drip Ring, Foil Cutter and Wine Pourer and Stopper in Novelty Bottle-Shaped Case for Wine Lover Gift, Red</t>
        </is>
      </c>
      <c r="C1037" t="inlineStr">
        <is>
          <t>1KTWO500RD</t>
        </is>
      </c>
      <c r="D1037" t="inlineStr">
        <is>
          <t>Corkscrews &amp; Wine Bottle Openers</t>
        </is>
      </c>
      <c r="E1037" t="inlineStr">
        <is>
          <t>Kato</t>
        </is>
      </c>
      <c r="F1037" t="inlineStr">
        <is>
          <t>Wine,Christmas,WFS,Wine WFS,Valentine,WFS Item</t>
        </is>
      </c>
      <c r="G1037" s="48" t="n">
        <v>0</v>
      </c>
      <c r="H1037" s="48" t="n">
        <v>0</v>
      </c>
      <c r="I1037" s="48" t="n">
        <v>0</v>
      </c>
      <c r="J1037" s="48" t="n">
        <v>0</v>
      </c>
      <c r="K1037" s="49" t="n">
        <v>0</v>
      </c>
      <c r="L1037" s="49" t="n">
        <v>0</v>
      </c>
      <c r="M1037" s="49" t="n">
        <v>0</v>
      </c>
      <c r="N1037" s="49" t="n">
        <v>0</v>
      </c>
      <c r="O1037" s="49" t="n">
        <v>0</v>
      </c>
      <c r="P1037" s="49" t="n">
        <v>0</v>
      </c>
      <c r="Q1037" s="49" t="n">
        <v>0</v>
      </c>
      <c r="R1037" s="49" t="n">
        <v>0</v>
      </c>
      <c r="S1037" s="50" t="n">
        <v>0</v>
      </c>
      <c r="T1037" s="50" t="n">
        <v>0</v>
      </c>
      <c r="U1037" s="50" t="n">
        <v>0</v>
      </c>
      <c r="V1037" s="50" t="n">
        <v>0</v>
      </c>
      <c r="W1037" s="51" t="n">
        <v>0</v>
      </c>
      <c r="X1037" s="51" t="n">
        <v>0</v>
      </c>
      <c r="Y1037" s="51" t="n">
        <v>0</v>
      </c>
      <c r="Z1037" s="51" t="n">
        <v>0</v>
      </c>
      <c r="AA1037" s="52" t="n">
        <v>0</v>
      </c>
      <c r="AB1037" s="52" t="n">
        <v>0</v>
      </c>
      <c r="AC1037" s="52" t="n">
        <v>0</v>
      </c>
      <c r="AD1037" s="52" t="n">
        <v>0</v>
      </c>
      <c r="AE1037" s="52" t="n">
        <v>0</v>
      </c>
      <c r="AF1037" s="52" t="n">
        <v>0</v>
      </c>
      <c r="AG1037" s="52" t="n">
        <v>0</v>
      </c>
      <c r="AH1037" s="52" t="n">
        <v>0</v>
      </c>
      <c r="AI1037" s="52" t="n">
        <v>0</v>
      </c>
      <c r="AJ1037" s="52" t="n">
        <v>0</v>
      </c>
      <c r="AK1037" s="52" t="n">
        <v>0</v>
      </c>
      <c r="AL1037" s="52" t="n">
        <v>0</v>
      </c>
      <c r="AM1037" s="53" t="n">
        <v>0</v>
      </c>
      <c r="AN1037" s="53" t="n">
        <v>0</v>
      </c>
      <c r="AO1037" s="53" t="n">
        <v>0</v>
      </c>
      <c r="AP1037" s="53" t="n">
        <v>0</v>
      </c>
      <c r="AQ1037" s="52" t="n">
        <v>0</v>
      </c>
      <c r="AR1037" s="52" t="n">
        <v>0</v>
      </c>
      <c r="AS1037" s="52" t="n">
        <v>0</v>
      </c>
      <c r="AT1037" s="52" t="n">
        <v>0</v>
      </c>
      <c r="AU1037" s="53" t="n">
        <v>0</v>
      </c>
      <c r="AV1037" s="53" t="n">
        <v>0</v>
      </c>
      <c r="AW1037" s="53" t="n">
        <v>0</v>
      </c>
      <c r="AX1037" s="53" t="n">
        <v>0</v>
      </c>
      <c r="AY1037" s="52" t="n">
        <v>0</v>
      </c>
      <c r="AZ1037" s="52" t="n">
        <v>0</v>
      </c>
      <c r="BA1037" s="52" t="n">
        <v>0</v>
      </c>
      <c r="BB1037" s="52" t="n">
        <v>0</v>
      </c>
      <c r="BC1037" s="51" t="n">
        <v>0</v>
      </c>
      <c r="BD1037" s="51" t="n">
        <v>0</v>
      </c>
      <c r="BE1037" s="51" t="n">
        <v>0</v>
      </c>
      <c r="BF1037" s="51" t="n">
        <v>0</v>
      </c>
    </row>
    <row r="1038">
      <c r="A1038">
        <f>HYPERLINK("https://www.walmart.com/ip/702705753", "702705753")</f>
        <v/>
      </c>
      <c r="B1038" t="inlineStr">
        <is>
          <t>Catalonia Wearable Fleece Blanket with Sleeves and Foot Pockets for Adult Women Men, Micro Plush Comfy Wrap Sleeved Throw Blanket Robe Large, Purple</t>
        </is>
      </c>
      <c r="C1038" t="inlineStr">
        <is>
          <t>1CTSN101PP</t>
        </is>
      </c>
      <c r="D1038" t="inlineStr">
        <is>
          <t>Throws</t>
        </is>
      </c>
      <c r="E1038" t="inlineStr">
        <is>
          <t>Catalonia</t>
        </is>
      </c>
      <c r="F1038" t="inlineStr">
        <is>
          <t>Q2-Target,WFS,Coupon_Discount,WFS Item,Fleece Blankets</t>
        </is>
      </c>
      <c r="G1038" s="48" t="n">
        <v>0</v>
      </c>
      <c r="H1038" s="48" t="n">
        <v>0</v>
      </c>
      <c r="I1038" s="48" t="n">
        <v>0</v>
      </c>
      <c r="J1038" s="48" t="n">
        <v>0</v>
      </c>
      <c r="K1038" s="49" t="n">
        <v>0</v>
      </c>
      <c r="L1038" s="49" t="n">
        <v>0</v>
      </c>
      <c r="M1038" s="49" t="n">
        <v>0</v>
      </c>
      <c r="N1038" s="49" t="n">
        <v>0</v>
      </c>
      <c r="O1038" s="49" t="n">
        <v>0</v>
      </c>
      <c r="P1038" s="49" t="n">
        <v>0</v>
      </c>
      <c r="Q1038" s="49" t="n">
        <v>0</v>
      </c>
      <c r="R1038" s="49" t="n">
        <v>0</v>
      </c>
      <c r="S1038" s="50" t="n">
        <v>0</v>
      </c>
      <c r="T1038" s="50" t="n">
        <v>0</v>
      </c>
      <c r="U1038" s="50" t="n">
        <v>0</v>
      </c>
      <c r="V1038" s="50" t="n">
        <v>0</v>
      </c>
      <c r="W1038" s="51" t="n">
        <v>0</v>
      </c>
      <c r="X1038" s="51" t="n">
        <v>0</v>
      </c>
      <c r="Y1038" s="51" t="n">
        <v>0</v>
      </c>
      <c r="Z1038" s="51" t="n">
        <v>0</v>
      </c>
      <c r="AA1038" s="52" t="n">
        <v>0</v>
      </c>
      <c r="AB1038" s="52" t="n">
        <v>0</v>
      </c>
      <c r="AC1038" s="52" t="n">
        <v>0</v>
      </c>
      <c r="AD1038" s="52" t="n">
        <v>0</v>
      </c>
      <c r="AE1038" s="52" t="n">
        <v>0</v>
      </c>
      <c r="AF1038" s="52" t="n">
        <v>0</v>
      </c>
      <c r="AG1038" s="52" t="n">
        <v>0</v>
      </c>
      <c r="AH1038" s="52" t="n">
        <v>0</v>
      </c>
      <c r="AI1038" s="52" t="n">
        <v>0</v>
      </c>
      <c r="AJ1038" s="52" t="n">
        <v>0</v>
      </c>
      <c r="AK1038" s="52" t="n">
        <v>0</v>
      </c>
      <c r="AL1038" s="52" t="n">
        <v>0</v>
      </c>
      <c r="AM1038" s="53" t="n">
        <v>0</v>
      </c>
      <c r="AN1038" s="53" t="n">
        <v>0</v>
      </c>
      <c r="AO1038" s="53" t="n">
        <v>0</v>
      </c>
      <c r="AP1038" s="53" t="n">
        <v>0</v>
      </c>
      <c r="AQ1038" s="52" t="n">
        <v>0</v>
      </c>
      <c r="AR1038" s="52" t="n">
        <v>0</v>
      </c>
      <c r="AS1038" s="52" t="n">
        <v>0</v>
      </c>
      <c r="AT1038" s="52" t="n">
        <v>0</v>
      </c>
      <c r="AU1038" s="53" t="n">
        <v>0</v>
      </c>
      <c r="AV1038" s="53" t="n">
        <v>0</v>
      </c>
      <c r="AW1038" s="53" t="n">
        <v>0</v>
      </c>
      <c r="AX1038" s="53" t="n">
        <v>0</v>
      </c>
      <c r="AY1038" s="52" t="n">
        <v>0</v>
      </c>
      <c r="AZ1038" s="52" t="n">
        <v>0</v>
      </c>
      <c r="BA1038" s="52" t="n">
        <v>0</v>
      </c>
      <c r="BB1038" s="52" t="n">
        <v>0</v>
      </c>
      <c r="BC1038" s="51" t="n">
        <v>0</v>
      </c>
      <c r="BD1038" s="51" t="n">
        <v>0</v>
      </c>
      <c r="BE1038" s="51" t="n">
        <v>0</v>
      </c>
      <c r="BF1038" s="51" t="n">
        <v>0</v>
      </c>
    </row>
    <row r="1039">
      <c r="A1039">
        <f>HYPERLINK("https://www.walmart.com/ip/712705328", "712705328")</f>
        <v/>
      </c>
      <c r="B1039" t="inlineStr">
        <is>
          <t>Oversized Hoodie Blanket Sweatshirt,Super Soft Warm Comfortable Fleece Giant Pullover with Large Front Pocket,for Adults Men Women Teenagers Kids Wife Girlfriend</t>
        </is>
      </c>
      <c r="C1039" t="inlineStr">
        <is>
          <t>1CTHD300WN-UPC</t>
        </is>
      </c>
      <c r="D1039" t="inlineStr">
        <is>
          <t>Sweatshirts &amp; Hoodies</t>
        </is>
      </c>
      <c r="E1039" t="inlineStr">
        <is>
          <t>Catalonia</t>
        </is>
      </c>
      <c r="F1039" t="inlineStr">
        <is>
          <t>Hoodie ForAdult,Optimized,Coupon_Discount</t>
        </is>
      </c>
      <c r="G1039" s="48" t="n">
        <v>0</v>
      </c>
      <c r="H1039" s="48" t="n">
        <v>0</v>
      </c>
      <c r="I1039" s="48" t="n">
        <v>0</v>
      </c>
      <c r="J1039" s="48" t="n">
        <v>0</v>
      </c>
      <c r="K1039" s="49" t="n">
        <v>0</v>
      </c>
      <c r="L1039" s="49" t="n">
        <v>0</v>
      </c>
      <c r="M1039" s="49" t="n">
        <v>0</v>
      </c>
      <c r="N1039" s="49" t="n">
        <v>0</v>
      </c>
      <c r="O1039" s="49" t="n">
        <v>0</v>
      </c>
      <c r="P1039" s="49" t="n">
        <v>0</v>
      </c>
      <c r="Q1039" s="49" t="n">
        <v>0</v>
      </c>
      <c r="R1039" s="49" t="n">
        <v>0</v>
      </c>
      <c r="S1039" s="50" t="n">
        <v>0</v>
      </c>
      <c r="T1039" s="50" t="n">
        <v>0</v>
      </c>
      <c r="U1039" s="50" t="n">
        <v>0</v>
      </c>
      <c r="V1039" s="50" t="n">
        <v>0</v>
      </c>
      <c r="W1039" s="51" t="n">
        <v>0</v>
      </c>
      <c r="X1039" s="51" t="n">
        <v>0</v>
      </c>
      <c r="Y1039" s="51" t="n">
        <v>0</v>
      </c>
      <c r="Z1039" s="51" t="n">
        <v>0</v>
      </c>
      <c r="AA1039" s="52" t="n">
        <v>0</v>
      </c>
      <c r="AB1039" s="52" t="n">
        <v>0</v>
      </c>
      <c r="AC1039" s="52" t="n">
        <v>0</v>
      </c>
      <c r="AD1039" s="52" t="n">
        <v>0</v>
      </c>
      <c r="AE1039" s="52" t="n">
        <v>0</v>
      </c>
      <c r="AF1039" s="52" t="n">
        <v>0</v>
      </c>
      <c r="AG1039" s="52" t="n">
        <v>0</v>
      </c>
      <c r="AH1039" s="52" t="n">
        <v>0</v>
      </c>
      <c r="AI1039" s="52" t="n">
        <v>0</v>
      </c>
      <c r="AJ1039" s="52" t="n">
        <v>0</v>
      </c>
      <c r="AK1039" s="52" t="n">
        <v>0</v>
      </c>
      <c r="AL1039" s="52" t="n">
        <v>0</v>
      </c>
      <c r="AM1039" s="53" t="n">
        <v>0</v>
      </c>
      <c r="AN1039" s="53" t="n">
        <v>0</v>
      </c>
      <c r="AO1039" s="53" t="n">
        <v>0</v>
      </c>
      <c r="AP1039" s="53" t="n">
        <v>0</v>
      </c>
      <c r="AQ1039" s="52" t="n">
        <v>0</v>
      </c>
      <c r="AR1039" s="52" t="n">
        <v>0</v>
      </c>
      <c r="AS1039" s="52" t="n">
        <v>0</v>
      </c>
      <c r="AT1039" s="52" t="n">
        <v>0</v>
      </c>
      <c r="AU1039" s="53" t="n">
        <v>0</v>
      </c>
      <c r="AV1039" s="53" t="n">
        <v>0</v>
      </c>
      <c r="AW1039" s="53" t="n">
        <v>0</v>
      </c>
      <c r="AX1039" s="53" t="n">
        <v>0</v>
      </c>
      <c r="AY1039" s="52" t="n">
        <v>0</v>
      </c>
      <c r="AZ1039" s="52" t="n">
        <v>0</v>
      </c>
      <c r="BA1039" s="52" t="n">
        <v>0</v>
      </c>
      <c r="BB1039" s="52" t="n">
        <v>0</v>
      </c>
      <c r="BC1039" s="51" t="n">
        <v>0</v>
      </c>
      <c r="BD1039" s="51" t="n">
        <v>0</v>
      </c>
      <c r="BE1039" s="51" t="n">
        <v>0</v>
      </c>
      <c r="BF1039" s="51" t="n">
        <v>0</v>
      </c>
    </row>
    <row r="1040">
      <c r="A1040">
        <f>HYPERLINK("https://www.walmart.com/ip/713575349", "713575349")</f>
        <v/>
      </c>
      <c r="B1040" t="inlineStr">
        <is>
          <t>Terrania Running Belt for iPhone 8 X 7 Plus 6S, Fanny Pack Phone Pouch for Fitness, Black, Large</t>
        </is>
      </c>
      <c r="C1040" t="inlineStr">
        <is>
          <t>TRWB100BK-L</t>
        </is>
      </c>
      <c r="D1040" t="inlineStr">
        <is>
          <t>Running Belts</t>
        </is>
      </c>
      <c r="E1040" t="inlineStr">
        <is>
          <t>Terrania</t>
        </is>
      </c>
      <c r="F1040" t="inlineStr">
        <is>
          <t>Batch 1 - TR</t>
        </is>
      </c>
      <c r="G1040" s="48" t="n">
        <v>0</v>
      </c>
      <c r="H1040" s="48" t="n">
        <v>0</v>
      </c>
      <c r="I1040" s="48" t="n">
        <v>0</v>
      </c>
      <c r="J1040" s="48" t="n">
        <v>0</v>
      </c>
      <c r="K1040" s="49" t="n">
        <v>0</v>
      </c>
      <c r="L1040" s="49" t="n">
        <v>0</v>
      </c>
      <c r="M1040" s="49" t="n">
        <v>0</v>
      </c>
      <c r="N1040" s="49" t="n">
        <v>0</v>
      </c>
      <c r="O1040" s="49" t="n">
        <v>0</v>
      </c>
      <c r="P1040" s="49" t="n">
        <v>0</v>
      </c>
      <c r="Q1040" s="49" t="n">
        <v>0</v>
      </c>
      <c r="R1040" s="49" t="n">
        <v>0</v>
      </c>
      <c r="S1040" s="50" t="n">
        <v>0</v>
      </c>
      <c r="T1040" s="50" t="n">
        <v>0</v>
      </c>
      <c r="U1040" s="50" t="n">
        <v>0</v>
      </c>
      <c r="V1040" s="50" t="n">
        <v>0</v>
      </c>
      <c r="W1040" s="51" t="n">
        <v>0</v>
      </c>
      <c r="X1040" s="51" t="n">
        <v>0</v>
      </c>
      <c r="Y1040" s="51" t="n">
        <v>0</v>
      </c>
      <c r="Z1040" s="51" t="n">
        <v>0</v>
      </c>
      <c r="AA1040" s="52" t="n">
        <v>0</v>
      </c>
      <c r="AB1040" s="52" t="n">
        <v>0</v>
      </c>
      <c r="AC1040" s="52" t="n">
        <v>0</v>
      </c>
      <c r="AD1040" s="52" t="n">
        <v>0</v>
      </c>
      <c r="AE1040" s="52" t="n">
        <v>0</v>
      </c>
      <c r="AF1040" s="52" t="n">
        <v>0</v>
      </c>
      <c r="AG1040" s="52" t="n">
        <v>0</v>
      </c>
      <c r="AH1040" s="52" t="n">
        <v>0</v>
      </c>
      <c r="AI1040" s="52" t="n">
        <v>0</v>
      </c>
      <c r="AJ1040" s="52" t="n">
        <v>0</v>
      </c>
      <c r="AK1040" s="52" t="n">
        <v>0</v>
      </c>
      <c r="AL1040" s="52" t="n">
        <v>0</v>
      </c>
      <c r="AM1040" s="53" t="n">
        <v>0</v>
      </c>
      <c r="AN1040" s="53" t="n">
        <v>0</v>
      </c>
      <c r="AO1040" s="53" t="n">
        <v>0</v>
      </c>
      <c r="AP1040" s="53" t="n">
        <v>0</v>
      </c>
      <c r="AQ1040" s="52" t="n">
        <v>0</v>
      </c>
      <c r="AR1040" s="52" t="n">
        <v>0</v>
      </c>
      <c r="AS1040" s="52" t="n">
        <v>0</v>
      </c>
      <c r="AT1040" s="52" t="n">
        <v>0</v>
      </c>
      <c r="AU1040" s="53" t="n">
        <v>0</v>
      </c>
      <c r="AV1040" s="53" t="n">
        <v>0</v>
      </c>
      <c r="AW1040" s="53" t="n">
        <v>0</v>
      </c>
      <c r="AX1040" s="53" t="n">
        <v>0</v>
      </c>
      <c r="AY1040" s="52" t="n">
        <v>0</v>
      </c>
      <c r="AZ1040" s="52" t="n">
        <v>0</v>
      </c>
      <c r="BA1040" s="52" t="n">
        <v>0</v>
      </c>
      <c r="BB1040" s="52" t="n">
        <v>0</v>
      </c>
      <c r="BC1040" s="51" t="n">
        <v>0</v>
      </c>
      <c r="BD1040" s="51" t="n">
        <v>0</v>
      </c>
      <c r="BE1040" s="51" t="n">
        <v>0</v>
      </c>
      <c r="BF1040" s="51" t="n">
        <v>0</v>
      </c>
    </row>
    <row r="1041">
      <c r="A1041">
        <f>HYPERLINK("https://www.walmart.com/ip/689835417", "689835417")</f>
        <v/>
      </c>
      <c r="B1041" t="inlineStr">
        <is>
          <t>KritterWorld Pet Dog Cat Puppy Kitten Reversible  Blanket Throw 45" x30" Latte/Brown</t>
        </is>
      </c>
      <c r="C1041" t="inlineStr">
        <is>
          <t>DOG3045-LTBR</t>
        </is>
      </c>
      <c r="D1041" t="inlineStr">
        <is>
          <t>Pet Blankets</t>
        </is>
      </c>
      <c r="E1041" t="inlineStr">
        <is>
          <t>KritterWorld</t>
        </is>
      </c>
      <c r="G1041" s="48" t="n">
        <v>0</v>
      </c>
      <c r="H1041" s="48" t="n">
        <v>0</v>
      </c>
      <c r="I1041" s="48" t="n">
        <v>0</v>
      </c>
      <c r="J1041" s="48" t="n">
        <v>0</v>
      </c>
      <c r="K1041" s="49" t="n">
        <v>0</v>
      </c>
      <c r="L1041" s="49" t="n">
        <v>0</v>
      </c>
      <c r="M1041" s="49" t="n">
        <v>0</v>
      </c>
      <c r="N1041" s="49" t="n">
        <v>0</v>
      </c>
      <c r="O1041" s="49" t="n">
        <v>0</v>
      </c>
      <c r="P1041" s="49" t="n">
        <v>0</v>
      </c>
      <c r="Q1041" s="49" t="n">
        <v>0</v>
      </c>
      <c r="R1041" s="49" t="n">
        <v>0</v>
      </c>
      <c r="S1041" s="50" t="n">
        <v>0</v>
      </c>
      <c r="T1041" s="50" t="n">
        <v>0</v>
      </c>
      <c r="U1041" s="50" t="n">
        <v>0</v>
      </c>
      <c r="V1041" s="50" t="n">
        <v>0</v>
      </c>
      <c r="W1041" s="51" t="n">
        <v>0</v>
      </c>
      <c r="X1041" s="51" t="n">
        <v>0</v>
      </c>
      <c r="Y1041" s="51" t="n">
        <v>0</v>
      </c>
      <c r="Z1041" s="51" t="n">
        <v>0</v>
      </c>
      <c r="AA1041" s="52" t="n">
        <v>0</v>
      </c>
      <c r="AB1041" s="52" t="n">
        <v>0</v>
      </c>
      <c r="AC1041" s="52" t="n">
        <v>0</v>
      </c>
      <c r="AD1041" s="52" t="n">
        <v>0</v>
      </c>
      <c r="AE1041" s="52" t="n">
        <v>0</v>
      </c>
      <c r="AF1041" s="52" t="n">
        <v>0</v>
      </c>
      <c r="AG1041" s="52" t="n">
        <v>0</v>
      </c>
      <c r="AH1041" s="52" t="n">
        <v>0</v>
      </c>
      <c r="AI1041" s="52" t="n">
        <v>0</v>
      </c>
      <c r="AJ1041" s="52" t="n">
        <v>0</v>
      </c>
      <c r="AK1041" s="52" t="n">
        <v>0</v>
      </c>
      <c r="AL1041" s="52" t="n">
        <v>0</v>
      </c>
      <c r="AM1041" s="53" t="n">
        <v>0</v>
      </c>
      <c r="AN1041" s="53" t="n">
        <v>0</v>
      </c>
      <c r="AO1041" s="53" t="n">
        <v>0</v>
      </c>
      <c r="AP1041" s="53" t="n">
        <v>0</v>
      </c>
      <c r="AQ1041" s="52" t="n">
        <v>0</v>
      </c>
      <c r="AR1041" s="52" t="n">
        <v>0</v>
      </c>
      <c r="AS1041" s="52" t="n">
        <v>0</v>
      </c>
      <c r="AT1041" s="52" t="n">
        <v>0</v>
      </c>
      <c r="AU1041" s="53" t="n">
        <v>0</v>
      </c>
      <c r="AV1041" s="53" t="n">
        <v>0</v>
      </c>
      <c r="AW1041" s="53" t="n">
        <v>0</v>
      </c>
      <c r="AX1041" s="53" t="n">
        <v>0</v>
      </c>
      <c r="AY1041" s="52" t="n">
        <v>0</v>
      </c>
      <c r="AZ1041" s="52" t="n">
        <v>0</v>
      </c>
      <c r="BA1041" s="52" t="n">
        <v>0</v>
      </c>
      <c r="BB1041" s="52" t="n">
        <v>0</v>
      </c>
      <c r="BC1041" s="51" t="n">
        <v>0</v>
      </c>
      <c r="BD1041" s="51" t="n">
        <v>0</v>
      </c>
      <c r="BE1041" s="51" t="n">
        <v>0</v>
      </c>
      <c r="BF1041" s="51" t="n">
        <v>0</v>
      </c>
    </row>
    <row r="1042">
      <c r="A1042">
        <f>HYPERLINK("https://www.walmart.com/ip/729422112", "729422112")</f>
        <v/>
      </c>
      <c r="B1042" t="inlineStr">
        <is>
          <t>Oversized Hoodie Blanket Sweatshirt,Super Soft Warm Comfortable Fleece Giant Pullover with Large Front Pocket,for Adults Men Women Teenagers Kids Wife Girlfriend</t>
        </is>
      </c>
      <c r="C1042" t="inlineStr">
        <is>
          <t>1WMHD300IVR</t>
        </is>
      </c>
      <c r="D1042" t="inlineStr">
        <is>
          <t>Sweatshirts &amp; Hoodies</t>
        </is>
      </c>
      <c r="E1042" t="inlineStr">
        <is>
          <t>Flyingstar</t>
        </is>
      </c>
      <c r="F1042" t="inlineStr">
        <is>
          <t>Hoodie ForAdult,Optimized</t>
        </is>
      </c>
      <c r="G1042" s="48" t="n">
        <v>0</v>
      </c>
      <c r="H1042" s="48" t="n">
        <v>0</v>
      </c>
      <c r="I1042" s="48" t="n">
        <v>0</v>
      </c>
      <c r="J1042" s="48" t="n">
        <v>0</v>
      </c>
      <c r="K1042" s="49" t="n">
        <v>0</v>
      </c>
      <c r="L1042" s="49" t="n">
        <v>0</v>
      </c>
      <c r="M1042" s="49" t="n">
        <v>0</v>
      </c>
      <c r="N1042" s="49" t="n">
        <v>0</v>
      </c>
      <c r="O1042" s="49" t="n">
        <v>0</v>
      </c>
      <c r="P1042" s="49" t="n">
        <v>0</v>
      </c>
      <c r="Q1042" s="49" t="n">
        <v>0</v>
      </c>
      <c r="R1042" s="49" t="n">
        <v>0</v>
      </c>
      <c r="S1042" s="50" t="n">
        <v>0</v>
      </c>
      <c r="T1042" s="50" t="n">
        <v>0</v>
      </c>
      <c r="U1042" s="50" t="n">
        <v>0</v>
      </c>
      <c r="V1042" s="50" t="n">
        <v>0</v>
      </c>
      <c r="W1042" s="51" t="n">
        <v>0</v>
      </c>
      <c r="X1042" s="51" t="n">
        <v>0</v>
      </c>
      <c r="Y1042" s="51" t="n">
        <v>0</v>
      </c>
      <c r="Z1042" s="51" t="n">
        <v>0</v>
      </c>
      <c r="AA1042" s="52" t="n">
        <v>0</v>
      </c>
      <c r="AB1042" s="52" t="n">
        <v>0</v>
      </c>
      <c r="AC1042" s="52" t="n">
        <v>0</v>
      </c>
      <c r="AD1042" s="52" t="n">
        <v>0</v>
      </c>
      <c r="AE1042" s="52" t="n">
        <v>0</v>
      </c>
      <c r="AF1042" s="52" t="n">
        <v>0</v>
      </c>
      <c r="AG1042" s="52" t="n">
        <v>0</v>
      </c>
      <c r="AH1042" s="52" t="n">
        <v>0</v>
      </c>
      <c r="AI1042" s="52" t="n">
        <v>0</v>
      </c>
      <c r="AJ1042" s="52" t="n">
        <v>0</v>
      </c>
      <c r="AK1042" s="52" t="n">
        <v>0</v>
      </c>
      <c r="AL1042" s="52" t="n">
        <v>0</v>
      </c>
      <c r="AM1042" s="53" t="n">
        <v>0</v>
      </c>
      <c r="AN1042" s="53" t="n">
        <v>0</v>
      </c>
      <c r="AO1042" s="53" t="n">
        <v>0</v>
      </c>
      <c r="AP1042" s="53" t="n">
        <v>0</v>
      </c>
      <c r="AQ1042" s="52" t="n">
        <v>0</v>
      </c>
      <c r="AR1042" s="52" t="n">
        <v>0</v>
      </c>
      <c r="AS1042" s="52" t="n">
        <v>0</v>
      </c>
      <c r="AT1042" s="52" t="n">
        <v>0</v>
      </c>
      <c r="AU1042" s="53" t="n">
        <v>0</v>
      </c>
      <c r="AV1042" s="53" t="n">
        <v>0</v>
      </c>
      <c r="AW1042" s="53" t="n">
        <v>0</v>
      </c>
      <c r="AX1042" s="53" t="n">
        <v>0</v>
      </c>
      <c r="AY1042" s="52" t="n">
        <v>0</v>
      </c>
      <c r="AZ1042" s="52" t="n">
        <v>0</v>
      </c>
      <c r="BA1042" s="52" t="n">
        <v>0</v>
      </c>
      <c r="BB1042" s="52" t="n">
        <v>0</v>
      </c>
      <c r="BC1042" s="51" t="n">
        <v>0</v>
      </c>
      <c r="BD1042" s="51" t="n">
        <v>0</v>
      </c>
      <c r="BE1042" s="51" t="n">
        <v>0</v>
      </c>
      <c r="BF1042" s="51" t="n">
        <v>0</v>
      </c>
    </row>
    <row r="1043">
      <c r="A1043">
        <f>HYPERLINK("https://www.walmart.com/ip/730581368", "730581368")</f>
        <v/>
      </c>
      <c r="B1043" t="inlineStr">
        <is>
          <t>Fleece Blanket Wearable with Sleeves &amp; Foot pockets for Men and Women, Micro Plush Wrap Sleeved Throw Blanket Robe Multi-Colors 75”x53” by Catalonia</t>
        </is>
      </c>
      <c r="C1043" t="inlineStr">
        <is>
          <t>1CTSN101LT</t>
        </is>
      </c>
      <c r="D1043" t="inlineStr">
        <is>
          <t>Throws</t>
        </is>
      </c>
      <c r="E1043" t="inlineStr">
        <is>
          <t>Catalonia</t>
        </is>
      </c>
      <c r="F1043" t="inlineStr">
        <is>
          <t>WFS,WFS Item,Fleece Blankets</t>
        </is>
      </c>
      <c r="G1043" s="48" t="n">
        <v>0</v>
      </c>
      <c r="H1043" s="48" t="n">
        <v>0</v>
      </c>
      <c r="I1043" s="48" t="n">
        <v>0</v>
      </c>
      <c r="J1043" s="48" t="n">
        <v>0</v>
      </c>
      <c r="K1043" s="49" t="n">
        <v>0</v>
      </c>
      <c r="L1043" s="49" t="n">
        <v>0</v>
      </c>
      <c r="M1043" s="49" t="n">
        <v>0</v>
      </c>
      <c r="N1043" s="49" t="n">
        <v>0</v>
      </c>
      <c r="O1043" s="49" t="n">
        <v>0</v>
      </c>
      <c r="P1043" s="49" t="n">
        <v>0</v>
      </c>
      <c r="Q1043" s="49" t="n">
        <v>0</v>
      </c>
      <c r="R1043" s="49" t="n">
        <v>0</v>
      </c>
      <c r="S1043" s="50" t="n">
        <v>0</v>
      </c>
      <c r="T1043" s="50" t="n">
        <v>0</v>
      </c>
      <c r="U1043" s="50" t="n">
        <v>0</v>
      </c>
      <c r="V1043" s="50" t="n">
        <v>0</v>
      </c>
      <c r="W1043" s="51" t="n">
        <v>0</v>
      </c>
      <c r="X1043" s="51" t="n">
        <v>0</v>
      </c>
      <c r="Y1043" s="51" t="n">
        <v>0</v>
      </c>
      <c r="Z1043" s="51" t="n">
        <v>0</v>
      </c>
      <c r="AA1043" s="52" t="n">
        <v>0</v>
      </c>
      <c r="AB1043" s="52" t="n">
        <v>0</v>
      </c>
      <c r="AC1043" s="52" t="n">
        <v>0</v>
      </c>
      <c r="AD1043" s="52" t="n">
        <v>0</v>
      </c>
      <c r="AE1043" s="52" t="n">
        <v>0</v>
      </c>
      <c r="AF1043" s="52" t="n">
        <v>0</v>
      </c>
      <c r="AG1043" s="52" t="n">
        <v>0</v>
      </c>
      <c r="AH1043" s="52" t="n">
        <v>0</v>
      </c>
      <c r="AI1043" s="52" t="n">
        <v>0</v>
      </c>
      <c r="AJ1043" s="52" t="n">
        <v>0</v>
      </c>
      <c r="AK1043" s="52" t="n">
        <v>0</v>
      </c>
      <c r="AL1043" s="52" t="n">
        <v>0</v>
      </c>
      <c r="AM1043" s="53" t="n">
        <v>0</v>
      </c>
      <c r="AN1043" s="53" t="n">
        <v>0</v>
      </c>
      <c r="AO1043" s="53" t="n">
        <v>0</v>
      </c>
      <c r="AP1043" s="53" t="n">
        <v>0</v>
      </c>
      <c r="AQ1043" s="52" t="n">
        <v>0</v>
      </c>
      <c r="AR1043" s="52" t="n">
        <v>0</v>
      </c>
      <c r="AS1043" s="52" t="n">
        <v>0</v>
      </c>
      <c r="AT1043" s="52" t="n">
        <v>0</v>
      </c>
      <c r="AU1043" s="53" t="n">
        <v>0</v>
      </c>
      <c r="AV1043" s="53" t="n">
        <v>0</v>
      </c>
      <c r="AW1043" s="53" t="n">
        <v>0</v>
      </c>
      <c r="AX1043" s="53" t="n">
        <v>0</v>
      </c>
      <c r="AY1043" s="52" t="n">
        <v>0</v>
      </c>
      <c r="AZ1043" s="52" t="n">
        <v>0</v>
      </c>
      <c r="BA1043" s="52" t="n">
        <v>0</v>
      </c>
      <c r="BB1043" s="52" t="n">
        <v>0</v>
      </c>
      <c r="BC1043" s="51" t="n">
        <v>0</v>
      </c>
      <c r="BD1043" s="51" t="n">
        <v>0</v>
      </c>
      <c r="BE1043" s="51" t="n">
        <v>0</v>
      </c>
      <c r="BF1043" s="51" t="n">
        <v>0</v>
      </c>
    </row>
    <row r="1044">
      <c r="A1044">
        <f>HYPERLINK("https://www.walmart.com/ip/730795864", "730795864")</f>
        <v/>
      </c>
      <c r="B1044" t="inlineStr">
        <is>
          <t>Solaris Waterproof Snow Gloves for Men and Women, 100-Gram 3M Thinsulate Cold Weather Protection, Gray and Black, Large</t>
        </is>
      </c>
      <c r="C1044" t="inlineStr">
        <is>
          <t>1SLWG302BKGY-L</t>
        </is>
      </c>
      <c r="D1044" t="inlineStr">
        <is>
          <t>Gloves &amp; Mittens</t>
        </is>
      </c>
      <c r="E1044" t="inlineStr">
        <is>
          <t>Solaris</t>
        </is>
      </c>
      <c r="F1044" t="inlineStr">
        <is>
          <t>Optimized,Gloves,WFS,WFS Item</t>
        </is>
      </c>
      <c r="G1044" s="48" t="n">
        <v>0</v>
      </c>
      <c r="H1044" s="48" t="n">
        <v>0</v>
      </c>
      <c r="I1044" s="48" t="n">
        <v>0</v>
      </c>
      <c r="J1044" s="48" t="n">
        <v>0</v>
      </c>
      <c r="K1044" s="49" t="n">
        <v>0</v>
      </c>
      <c r="L1044" s="49" t="n">
        <v>0</v>
      </c>
      <c r="M1044" s="49" t="n">
        <v>0</v>
      </c>
      <c r="N1044" s="49" t="n">
        <v>0</v>
      </c>
      <c r="O1044" s="49" t="n">
        <v>0</v>
      </c>
      <c r="P1044" s="49" t="n">
        <v>0</v>
      </c>
      <c r="Q1044" s="49" t="n">
        <v>2</v>
      </c>
      <c r="R1044" s="49" t="n">
        <v>2</v>
      </c>
      <c r="S1044" s="50" t="n">
        <v>0</v>
      </c>
      <c r="T1044" s="50" t="n">
        <v>0</v>
      </c>
      <c r="U1044" s="50" t="n">
        <v>0</v>
      </c>
      <c r="V1044" s="50" t="n">
        <v>0</v>
      </c>
      <c r="W1044" s="51" t="n">
        <v>0</v>
      </c>
      <c r="X1044" s="51" t="n">
        <v>0</v>
      </c>
      <c r="Y1044" s="51" t="n">
        <v>0</v>
      </c>
      <c r="Z1044" s="51" t="n">
        <v>0</v>
      </c>
      <c r="AA1044" s="52" t="n">
        <v>0</v>
      </c>
      <c r="AB1044" s="52" t="n">
        <v>0</v>
      </c>
      <c r="AC1044" s="52" t="n">
        <v>0</v>
      </c>
      <c r="AD1044" s="52" t="n">
        <v>0</v>
      </c>
      <c r="AE1044" s="52" t="n">
        <v>0</v>
      </c>
      <c r="AF1044" s="52" t="n">
        <v>0</v>
      </c>
      <c r="AG1044" s="52" t="n">
        <v>0</v>
      </c>
      <c r="AH1044" s="52" t="n">
        <v>0</v>
      </c>
      <c r="AI1044" s="52" t="n">
        <v>0</v>
      </c>
      <c r="AJ1044" s="52" t="n">
        <v>0</v>
      </c>
      <c r="AK1044" s="52" t="n">
        <v>0</v>
      </c>
      <c r="AL1044" s="52" t="n">
        <v>0</v>
      </c>
      <c r="AM1044" s="53" t="n">
        <v>0</v>
      </c>
      <c r="AN1044" s="53" t="n">
        <v>0</v>
      </c>
      <c r="AO1044" s="53" t="n">
        <v>0</v>
      </c>
      <c r="AP1044" s="53" t="n">
        <v>0</v>
      </c>
      <c r="AQ1044" s="52" t="n">
        <v>0</v>
      </c>
      <c r="AR1044" s="52" t="n">
        <v>0</v>
      </c>
      <c r="AS1044" s="52" t="n">
        <v>0</v>
      </c>
      <c r="AT1044" s="52" t="n">
        <v>0</v>
      </c>
      <c r="AU1044" s="53" t="n">
        <v>0</v>
      </c>
      <c r="AV1044" s="53" t="n">
        <v>0</v>
      </c>
      <c r="AW1044" s="53" t="n">
        <v>0</v>
      </c>
      <c r="AX1044" s="53" t="n">
        <v>0</v>
      </c>
      <c r="AY1044" s="52" t="n">
        <v>0</v>
      </c>
      <c r="AZ1044" s="52" t="n">
        <v>0</v>
      </c>
      <c r="BA1044" s="52" t="n">
        <v>0</v>
      </c>
      <c r="BB1044" s="52" t="n">
        <v>0</v>
      </c>
      <c r="BC1044" s="51" t="n">
        <v>0</v>
      </c>
      <c r="BD1044" s="51" t="n">
        <v>0</v>
      </c>
      <c r="BE1044" s="51" t="n">
        <v>0</v>
      </c>
      <c r="BF1044" s="51" t="n">
        <v>0</v>
      </c>
    </row>
    <row r="1045">
      <c r="A1045">
        <f>HYPERLINK("https://www.walmart.com/ip/730982909", "730982909")</f>
        <v/>
      </c>
      <c r="B1045" t="inlineStr">
        <is>
          <t>Solaris Winter Cable Knit Beanie Hats with Fur Pom Pom for Women Ski Cap</t>
        </is>
      </c>
      <c r="C1045" t="inlineStr">
        <is>
          <t>1SLPPH01RD</t>
        </is>
      </c>
      <c r="D1045" t="inlineStr">
        <is>
          <t>Hats</t>
        </is>
      </c>
      <c r="E1045" t="inlineStr">
        <is>
          <t>Solaris</t>
        </is>
      </c>
      <c r="F1045" t="inlineStr">
        <is>
          <t>Batch 1 - TR</t>
        </is>
      </c>
      <c r="G1045" s="48" t="n">
        <v>0</v>
      </c>
      <c r="H1045" s="48" t="n">
        <v>0</v>
      </c>
      <c r="I1045" s="48" t="n">
        <v>0</v>
      </c>
      <c r="J1045" s="48" t="n">
        <v>0</v>
      </c>
      <c r="K1045" s="49" t="n">
        <v>0</v>
      </c>
      <c r="L1045" s="49" t="n">
        <v>0</v>
      </c>
      <c r="M1045" s="49" t="n">
        <v>0</v>
      </c>
      <c r="N1045" s="49" t="n">
        <v>0</v>
      </c>
      <c r="O1045" s="49" t="n">
        <v>0</v>
      </c>
      <c r="P1045" s="49" t="n">
        <v>0</v>
      </c>
      <c r="Q1045" s="49" t="n">
        <v>0</v>
      </c>
      <c r="R1045" s="49" t="n">
        <v>0</v>
      </c>
      <c r="S1045" s="50" t="n">
        <v>0</v>
      </c>
      <c r="T1045" s="50" t="n">
        <v>0</v>
      </c>
      <c r="U1045" s="50" t="n">
        <v>0</v>
      </c>
      <c r="V1045" s="50" t="n">
        <v>0</v>
      </c>
      <c r="W1045" s="51" t="n">
        <v>0</v>
      </c>
      <c r="X1045" s="51" t="n">
        <v>0</v>
      </c>
      <c r="Y1045" s="51" t="n">
        <v>0</v>
      </c>
      <c r="Z1045" s="51" t="n">
        <v>0</v>
      </c>
      <c r="AA1045" s="52" t="n">
        <v>0</v>
      </c>
      <c r="AB1045" s="52" t="n">
        <v>0</v>
      </c>
      <c r="AC1045" s="52" t="n">
        <v>0</v>
      </c>
      <c r="AD1045" s="52" t="n">
        <v>0</v>
      </c>
      <c r="AE1045" s="52" t="n">
        <v>0</v>
      </c>
      <c r="AF1045" s="52" t="n">
        <v>0</v>
      </c>
      <c r="AG1045" s="52" t="n">
        <v>0</v>
      </c>
      <c r="AH1045" s="52" t="n">
        <v>0</v>
      </c>
      <c r="AI1045" s="52" t="n">
        <v>0</v>
      </c>
      <c r="AJ1045" s="52" t="n">
        <v>0</v>
      </c>
      <c r="AK1045" s="52" t="n">
        <v>0</v>
      </c>
      <c r="AL1045" s="52" t="n">
        <v>0</v>
      </c>
      <c r="AM1045" s="53" t="n">
        <v>0</v>
      </c>
      <c r="AN1045" s="53" t="n">
        <v>0</v>
      </c>
      <c r="AO1045" s="53" t="n">
        <v>0</v>
      </c>
      <c r="AP1045" s="53" t="n">
        <v>0</v>
      </c>
      <c r="AQ1045" s="52" t="n">
        <v>0</v>
      </c>
      <c r="AR1045" s="52" t="n">
        <v>0</v>
      </c>
      <c r="AS1045" s="52" t="n">
        <v>0</v>
      </c>
      <c r="AT1045" s="52" t="n">
        <v>0</v>
      </c>
      <c r="AU1045" s="53" t="n">
        <v>0</v>
      </c>
      <c r="AV1045" s="53" t="n">
        <v>0</v>
      </c>
      <c r="AW1045" s="53" t="n">
        <v>0</v>
      </c>
      <c r="AX1045" s="53" t="n">
        <v>0</v>
      </c>
      <c r="AY1045" s="52" t="n">
        <v>0</v>
      </c>
      <c r="AZ1045" s="52" t="n">
        <v>0</v>
      </c>
      <c r="BA1045" s="52" t="n">
        <v>0</v>
      </c>
      <c r="BB1045" s="52" t="n">
        <v>0</v>
      </c>
      <c r="BC1045" s="51" t="n">
        <v>0</v>
      </c>
      <c r="BD1045" s="51" t="n">
        <v>0</v>
      </c>
      <c r="BE1045" s="51" t="n">
        <v>0</v>
      </c>
      <c r="BF1045" s="51" t="n">
        <v>0</v>
      </c>
    </row>
    <row r="1046">
      <c r="A1046">
        <f>HYPERLINK("https://www.walmart.com/ip/731062665", "731062665")</f>
        <v/>
      </c>
      <c r="B1046" t="inlineStr">
        <is>
          <t>Pawsse Pet Blankets, Super Soft Warm Sherpa Dog Fleece Blanket, Large Dog Blankets, and Dog Throw Blanket for Small, Medium Puppy, Doggy, Pet Cats, Gray, 60'' x 49''</t>
        </is>
      </c>
      <c r="C1046" t="inlineStr">
        <is>
          <t>1PSBF301LG</t>
        </is>
      </c>
      <c r="D1046" t="inlineStr">
        <is>
          <t>Pet Blankets</t>
        </is>
      </c>
      <c r="E1046" t="inlineStr">
        <is>
          <t>Pawsse</t>
        </is>
      </c>
      <c r="F1046" t="inlineStr">
        <is>
          <t>WFS,WFS Item</t>
        </is>
      </c>
      <c r="G1046" s="48" t="n">
        <v>0</v>
      </c>
      <c r="H1046" s="48" t="n">
        <v>0</v>
      </c>
      <c r="I1046" s="48" t="n">
        <v>0</v>
      </c>
      <c r="J1046" s="48" t="n">
        <v>49.98</v>
      </c>
      <c r="K1046" s="49" t="n">
        <v>0</v>
      </c>
      <c r="L1046" s="49" t="n">
        <v>0</v>
      </c>
      <c r="M1046" s="49" t="n">
        <v>0</v>
      </c>
      <c r="N1046" s="49" t="n">
        <v>2</v>
      </c>
      <c r="O1046" s="49" t="n">
        <v>0</v>
      </c>
      <c r="P1046" s="49" t="n">
        <v>0</v>
      </c>
      <c r="Q1046" s="49" t="n">
        <v>0</v>
      </c>
      <c r="R1046" s="49" t="n">
        <v>0</v>
      </c>
      <c r="S1046" s="50" t="n">
        <v>0</v>
      </c>
      <c r="T1046" s="50" t="n">
        <v>0</v>
      </c>
      <c r="U1046" s="50" t="n">
        <v>0</v>
      </c>
      <c r="V1046" s="50" t="n">
        <v>0</v>
      </c>
      <c r="W1046" s="51" t="n">
        <v>0</v>
      </c>
      <c r="X1046" s="51" t="n">
        <v>0</v>
      </c>
      <c r="Y1046" s="51" t="n">
        <v>0</v>
      </c>
      <c r="Z1046" s="51" t="n">
        <v>0</v>
      </c>
      <c r="AA1046" s="52" t="n">
        <v>0</v>
      </c>
      <c r="AB1046" s="52" t="n">
        <v>0</v>
      </c>
      <c r="AC1046" s="52" t="n">
        <v>0</v>
      </c>
      <c r="AD1046" s="52" t="n">
        <v>0</v>
      </c>
      <c r="AE1046" s="52" t="n">
        <v>0</v>
      </c>
      <c r="AF1046" s="52" t="n">
        <v>0</v>
      </c>
      <c r="AG1046" s="52" t="n">
        <v>0</v>
      </c>
      <c r="AH1046" s="52" t="n">
        <v>0</v>
      </c>
      <c r="AI1046" s="52" t="n">
        <v>0</v>
      </c>
      <c r="AJ1046" s="52" t="n">
        <v>0</v>
      </c>
      <c r="AK1046" s="52" t="n">
        <v>0</v>
      </c>
      <c r="AL1046" s="52" t="n">
        <v>0</v>
      </c>
      <c r="AM1046" s="53" t="n">
        <v>0</v>
      </c>
      <c r="AN1046" s="53" t="n">
        <v>0</v>
      </c>
      <c r="AO1046" s="53" t="n">
        <v>0</v>
      </c>
      <c r="AP1046" s="53" t="n">
        <v>0</v>
      </c>
      <c r="AQ1046" s="52" t="n">
        <v>0</v>
      </c>
      <c r="AR1046" s="52" t="n">
        <v>0</v>
      </c>
      <c r="AS1046" s="52" t="n">
        <v>0</v>
      </c>
      <c r="AT1046" s="52" t="n">
        <v>0</v>
      </c>
      <c r="AU1046" s="53" t="n">
        <v>0</v>
      </c>
      <c r="AV1046" s="53" t="n">
        <v>0</v>
      </c>
      <c r="AW1046" s="53" t="n">
        <v>0</v>
      </c>
      <c r="AX1046" s="53" t="n">
        <v>0</v>
      </c>
      <c r="AY1046" s="52" t="n">
        <v>0</v>
      </c>
      <c r="AZ1046" s="52" t="n">
        <v>0</v>
      </c>
      <c r="BA1046" s="52" t="n">
        <v>0</v>
      </c>
      <c r="BB1046" s="52" t="n">
        <v>24.99</v>
      </c>
      <c r="BC1046" s="51" t="n">
        <v>0</v>
      </c>
      <c r="BD1046" s="51" t="n">
        <v>0</v>
      </c>
      <c r="BE1046" s="51" t="n">
        <v>0</v>
      </c>
      <c r="BF1046" s="51" t="n">
        <v>0</v>
      </c>
    </row>
    <row r="1047">
      <c r="A1047">
        <f>HYPERLINK("https://www.walmart.com/ip/731362127", "731362127")</f>
        <v/>
      </c>
      <c r="B1047" t="inlineStr">
        <is>
          <t>Panda Oversized Sherpa Hoodie Blanket Sweatshirt for Women</t>
        </is>
      </c>
      <c r="C1047" t="inlineStr">
        <is>
          <t>1WMHD201PAN</t>
        </is>
      </c>
      <c r="D1047" t="inlineStr">
        <is>
          <t>Sweatshirts &amp; Hoodies</t>
        </is>
      </c>
      <c r="E1047" t="inlineStr">
        <is>
          <t>Flyingstar</t>
        </is>
      </c>
      <c r="F1047" t="inlineStr">
        <is>
          <t>Hoodie ForAdult,Optimized</t>
        </is>
      </c>
      <c r="G1047" s="48" t="n">
        <v>0</v>
      </c>
      <c r="H1047" s="48" t="n">
        <v>0</v>
      </c>
      <c r="I1047" s="48" t="n">
        <v>0</v>
      </c>
      <c r="J1047" s="48" t="n">
        <v>0</v>
      </c>
      <c r="K1047" s="49" t="n">
        <v>0</v>
      </c>
      <c r="L1047" s="49" t="n">
        <v>0</v>
      </c>
      <c r="M1047" s="49" t="n">
        <v>0</v>
      </c>
      <c r="N1047" s="49" t="n">
        <v>0</v>
      </c>
      <c r="O1047" s="49" t="n">
        <v>0</v>
      </c>
      <c r="P1047" s="49" t="n">
        <v>0</v>
      </c>
      <c r="Q1047" s="49" t="n">
        <v>0</v>
      </c>
      <c r="R1047" s="49" t="n">
        <v>0</v>
      </c>
      <c r="S1047" s="50" t="n">
        <v>0</v>
      </c>
      <c r="T1047" s="50" t="n">
        <v>0</v>
      </c>
      <c r="U1047" s="50" t="n">
        <v>0</v>
      </c>
      <c r="V1047" s="50" t="n">
        <v>0</v>
      </c>
      <c r="W1047" s="51" t="n">
        <v>0</v>
      </c>
      <c r="X1047" s="51" t="n">
        <v>0</v>
      </c>
      <c r="Y1047" s="51" t="n">
        <v>0</v>
      </c>
      <c r="Z1047" s="51" t="n">
        <v>0</v>
      </c>
      <c r="AA1047" s="52" t="n">
        <v>0</v>
      </c>
      <c r="AB1047" s="52" t="n">
        <v>0</v>
      </c>
      <c r="AC1047" s="52" t="n">
        <v>0</v>
      </c>
      <c r="AD1047" s="52" t="n">
        <v>0</v>
      </c>
      <c r="AE1047" s="52" t="n">
        <v>0</v>
      </c>
      <c r="AF1047" s="52" t="n">
        <v>0</v>
      </c>
      <c r="AG1047" s="52" t="n">
        <v>0</v>
      </c>
      <c r="AH1047" s="52" t="n">
        <v>0</v>
      </c>
      <c r="AI1047" s="52" t="n">
        <v>0</v>
      </c>
      <c r="AJ1047" s="52" t="n">
        <v>0</v>
      </c>
      <c r="AK1047" s="52" t="n">
        <v>0</v>
      </c>
      <c r="AL1047" s="52" t="n">
        <v>0</v>
      </c>
      <c r="AM1047" s="53" t="n">
        <v>0</v>
      </c>
      <c r="AN1047" s="53" t="n">
        <v>0</v>
      </c>
      <c r="AO1047" s="53" t="n">
        <v>0</v>
      </c>
      <c r="AP1047" s="53" t="n">
        <v>0</v>
      </c>
      <c r="AQ1047" s="52" t="n">
        <v>0</v>
      </c>
      <c r="AR1047" s="52" t="n">
        <v>0</v>
      </c>
      <c r="AS1047" s="52" t="n">
        <v>0</v>
      </c>
      <c r="AT1047" s="52" t="n">
        <v>0</v>
      </c>
      <c r="AU1047" s="53" t="n">
        <v>0</v>
      </c>
      <c r="AV1047" s="53" t="n">
        <v>0</v>
      </c>
      <c r="AW1047" s="53" t="n">
        <v>0</v>
      </c>
      <c r="AX1047" s="53" t="n">
        <v>0</v>
      </c>
      <c r="AY1047" s="52" t="n">
        <v>0</v>
      </c>
      <c r="AZ1047" s="52" t="n">
        <v>0</v>
      </c>
      <c r="BA1047" s="52" t="n">
        <v>0</v>
      </c>
      <c r="BB1047" s="52" t="n">
        <v>0</v>
      </c>
      <c r="BC1047" s="51" t="n">
        <v>0</v>
      </c>
      <c r="BD1047" s="51" t="n">
        <v>0</v>
      </c>
      <c r="BE1047" s="51" t="n">
        <v>0</v>
      </c>
      <c r="BF1047" s="51" t="n">
        <v>0</v>
      </c>
    </row>
    <row r="1048">
      <c r="A1048">
        <f>HYPERLINK("https://www.walmart.com/ip/731972430", "731972430")</f>
        <v/>
      </c>
      <c r="B1048" t="inlineStr">
        <is>
          <t>Canadian Flag Sherpa Throw Blanket, Super Cozy Fleece Plush Bed Throw TV Blankets Reversible for Bed or Couch  50" x 60" | Catalonia series by Terrania | Canadian Flag</t>
        </is>
      </c>
      <c r="C1048" t="inlineStr">
        <is>
          <t>1TRBF300CAD-TPCB</t>
        </is>
      </c>
      <c r="D1048" t="inlineStr">
        <is>
          <t>Throws</t>
        </is>
      </c>
      <c r="E1048" t="inlineStr">
        <is>
          <t>Tirrinia</t>
        </is>
      </c>
      <c r="F1048" t="inlineStr">
        <is>
          <t>Batch 1 - TR</t>
        </is>
      </c>
      <c r="G1048" s="48" t="n">
        <v>0</v>
      </c>
      <c r="H1048" s="48" t="n">
        <v>0</v>
      </c>
      <c r="I1048" s="48" t="n">
        <v>0</v>
      </c>
      <c r="J1048" s="48" t="n">
        <v>0</v>
      </c>
      <c r="K1048" s="49" t="n">
        <v>0</v>
      </c>
      <c r="L1048" s="49" t="n">
        <v>0</v>
      </c>
      <c r="M1048" s="49" t="n">
        <v>0</v>
      </c>
      <c r="N1048" s="49" t="n">
        <v>0</v>
      </c>
      <c r="O1048" s="49" t="n">
        <v>0</v>
      </c>
      <c r="P1048" s="49" t="n">
        <v>0</v>
      </c>
      <c r="Q1048" s="49" t="n">
        <v>0</v>
      </c>
      <c r="R1048" s="49" t="n">
        <v>0</v>
      </c>
      <c r="S1048" s="50" t="n">
        <v>0</v>
      </c>
      <c r="T1048" s="50" t="n">
        <v>0</v>
      </c>
      <c r="U1048" s="50" t="n">
        <v>0</v>
      </c>
      <c r="V1048" s="50" t="n">
        <v>0</v>
      </c>
      <c r="W1048" s="51" t="n">
        <v>0</v>
      </c>
      <c r="X1048" s="51" t="n">
        <v>0</v>
      </c>
      <c r="Y1048" s="51" t="n">
        <v>0</v>
      </c>
      <c r="Z1048" s="51" t="n">
        <v>0</v>
      </c>
      <c r="AA1048" s="52" t="n">
        <v>0</v>
      </c>
      <c r="AB1048" s="52" t="n">
        <v>0</v>
      </c>
      <c r="AC1048" s="52" t="n">
        <v>0</v>
      </c>
      <c r="AD1048" s="52" t="n">
        <v>0</v>
      </c>
      <c r="AE1048" s="52" t="n">
        <v>0</v>
      </c>
      <c r="AF1048" s="52" t="n">
        <v>0</v>
      </c>
      <c r="AG1048" s="52" t="n">
        <v>0</v>
      </c>
      <c r="AH1048" s="52" t="n">
        <v>0</v>
      </c>
      <c r="AI1048" s="52" t="n">
        <v>0</v>
      </c>
      <c r="AJ1048" s="52" t="n">
        <v>0</v>
      </c>
      <c r="AK1048" s="52" t="n">
        <v>0</v>
      </c>
      <c r="AL1048" s="52" t="n">
        <v>0</v>
      </c>
      <c r="AM1048" s="53" t="n">
        <v>0</v>
      </c>
      <c r="AN1048" s="53" t="n">
        <v>0</v>
      </c>
      <c r="AO1048" s="53" t="n">
        <v>0</v>
      </c>
      <c r="AP1048" s="53" t="n">
        <v>0</v>
      </c>
      <c r="AQ1048" s="52" t="n">
        <v>0</v>
      </c>
      <c r="AR1048" s="52" t="n">
        <v>0</v>
      </c>
      <c r="AS1048" s="52" t="n">
        <v>0</v>
      </c>
      <c r="AT1048" s="52" t="n">
        <v>0</v>
      </c>
      <c r="AU1048" s="53" t="n">
        <v>0</v>
      </c>
      <c r="AV1048" s="53" t="n">
        <v>0</v>
      </c>
      <c r="AW1048" s="53" t="n">
        <v>0</v>
      </c>
      <c r="AX1048" s="53" t="n">
        <v>0</v>
      </c>
      <c r="AY1048" s="52" t="n">
        <v>0</v>
      </c>
      <c r="AZ1048" s="52" t="n">
        <v>0</v>
      </c>
      <c r="BA1048" s="52" t="n">
        <v>0</v>
      </c>
      <c r="BB1048" s="52" t="n">
        <v>0</v>
      </c>
      <c r="BC1048" s="51" t="n">
        <v>0</v>
      </c>
      <c r="BD1048" s="51" t="n">
        <v>0</v>
      </c>
      <c r="BE1048" s="51" t="n">
        <v>0</v>
      </c>
      <c r="BF1048" s="51" t="n">
        <v>0</v>
      </c>
    </row>
    <row r="1049">
      <c r="A1049">
        <f>HYPERLINK("https://www.walmart.com/ip/732723404", "732723404")</f>
        <v/>
      </c>
      <c r="B1049" t="inlineStr">
        <is>
          <t>Tirrinia Portable Travel Blanket for Airplane and Office, 4-in-1 Fleece Poncho Blanket, Folable with Pocket and Built-in Bag-Great for Airplane, Car, Train, Travel and Camping, Dark Blue, 60" x 40"</t>
        </is>
      </c>
      <c r="C1049" t="inlineStr">
        <is>
          <t>1TRTB100DBL</t>
        </is>
      </c>
      <c r="D1049" t="inlineStr">
        <is>
          <t>Throws</t>
        </is>
      </c>
      <c r="E1049" t="inlineStr">
        <is>
          <t>Tirrinia</t>
        </is>
      </c>
      <c r="F1049" t="inlineStr">
        <is>
          <t>WFS,SEM,WFS Item</t>
        </is>
      </c>
      <c r="G1049" s="48" t="n">
        <v>0</v>
      </c>
      <c r="H1049" s="48" t="n">
        <v>0</v>
      </c>
      <c r="I1049" s="48" t="n">
        <v>0</v>
      </c>
      <c r="J1049" s="48" t="n">
        <v>0</v>
      </c>
      <c r="K1049" s="49" t="n">
        <v>0</v>
      </c>
      <c r="L1049" s="49" t="n">
        <v>0</v>
      </c>
      <c r="M1049" s="49" t="n">
        <v>0</v>
      </c>
      <c r="N1049" s="49" t="n">
        <v>0</v>
      </c>
      <c r="O1049" s="49" t="n">
        <v>0</v>
      </c>
      <c r="P1049" s="49" t="n">
        <v>0</v>
      </c>
      <c r="Q1049" s="49" t="n">
        <v>0</v>
      </c>
      <c r="R1049" s="49" t="n">
        <v>0</v>
      </c>
      <c r="S1049" s="50" t="n">
        <v>0</v>
      </c>
      <c r="T1049" s="50" t="n">
        <v>0</v>
      </c>
      <c r="U1049" s="50" t="n">
        <v>0</v>
      </c>
      <c r="V1049" s="50" t="n">
        <v>0</v>
      </c>
      <c r="W1049" s="51" t="n">
        <v>0</v>
      </c>
      <c r="X1049" s="51" t="n">
        <v>0</v>
      </c>
      <c r="Y1049" s="51" t="n">
        <v>0</v>
      </c>
      <c r="Z1049" s="51" t="n">
        <v>0</v>
      </c>
      <c r="AA1049" s="52" t="n">
        <v>0</v>
      </c>
      <c r="AB1049" s="52" t="n">
        <v>0</v>
      </c>
      <c r="AC1049" s="52" t="n">
        <v>0</v>
      </c>
      <c r="AD1049" s="52" t="n">
        <v>0</v>
      </c>
      <c r="AE1049" s="52" t="n">
        <v>0</v>
      </c>
      <c r="AF1049" s="52" t="n">
        <v>0</v>
      </c>
      <c r="AG1049" s="52" t="n">
        <v>0</v>
      </c>
      <c r="AH1049" s="52" t="n">
        <v>0</v>
      </c>
      <c r="AI1049" s="52" t="n">
        <v>0</v>
      </c>
      <c r="AJ1049" s="52" t="n">
        <v>0</v>
      </c>
      <c r="AK1049" s="52" t="n">
        <v>0</v>
      </c>
      <c r="AL1049" s="52" t="n">
        <v>0</v>
      </c>
      <c r="AM1049" s="53" t="n">
        <v>0</v>
      </c>
      <c r="AN1049" s="53" t="n">
        <v>0</v>
      </c>
      <c r="AO1049" s="53" t="n">
        <v>0</v>
      </c>
      <c r="AP1049" s="53" t="n">
        <v>0</v>
      </c>
      <c r="AQ1049" s="52" t="n">
        <v>0</v>
      </c>
      <c r="AR1049" s="52" t="n">
        <v>0</v>
      </c>
      <c r="AS1049" s="52" t="n">
        <v>0</v>
      </c>
      <c r="AT1049" s="52" t="n">
        <v>0</v>
      </c>
      <c r="AU1049" s="53" t="n">
        <v>0</v>
      </c>
      <c r="AV1049" s="53" t="n">
        <v>0</v>
      </c>
      <c r="AW1049" s="53" t="n">
        <v>0</v>
      </c>
      <c r="AX1049" s="53" t="n">
        <v>0</v>
      </c>
      <c r="AY1049" s="52" t="n">
        <v>0</v>
      </c>
      <c r="AZ1049" s="52" t="n">
        <v>0</v>
      </c>
      <c r="BA1049" s="52" t="n">
        <v>0</v>
      </c>
      <c r="BB1049" s="52" t="n">
        <v>0</v>
      </c>
      <c r="BC1049" s="51" t="n">
        <v>0</v>
      </c>
      <c r="BD1049" s="51" t="n">
        <v>0</v>
      </c>
      <c r="BE1049" s="51" t="n">
        <v>0</v>
      </c>
      <c r="BF1049" s="51" t="n">
        <v>0</v>
      </c>
    </row>
    <row r="1050">
      <c r="A1050">
        <f>HYPERLINK("https://www.walmart.com/ip/733855921", "733855921")</f>
        <v/>
      </c>
      <c r="B1050" t="inlineStr">
        <is>
          <t>sun blocker women's sun hat upf 50+ bucket cap packable outdoor travel hat</t>
        </is>
      </c>
      <c r="C1050" t="inlineStr">
        <is>
          <t>KC-S9200-BL</t>
        </is>
      </c>
      <c r="D1050" t="inlineStr">
        <is>
          <t>Hats</t>
        </is>
      </c>
      <c r="E1050" t="inlineStr">
        <is>
          <t>Sun Blocker</t>
        </is>
      </c>
      <c r="F1050" t="inlineStr">
        <is>
          <t>Batch 1 - TR</t>
        </is>
      </c>
      <c r="G1050" s="48" t="n">
        <v>0</v>
      </c>
      <c r="H1050" s="48" t="n">
        <v>0</v>
      </c>
      <c r="I1050" s="48" t="n">
        <v>0</v>
      </c>
      <c r="J1050" s="48" t="n">
        <v>0</v>
      </c>
      <c r="K1050" s="49" t="n">
        <v>0</v>
      </c>
      <c r="L1050" s="49" t="n">
        <v>0</v>
      </c>
      <c r="M1050" s="49" t="n">
        <v>0</v>
      </c>
      <c r="N1050" s="49" t="n">
        <v>0</v>
      </c>
      <c r="O1050" s="49" t="n">
        <v>0</v>
      </c>
      <c r="P1050" s="49" t="n">
        <v>0</v>
      </c>
      <c r="Q1050" s="49" t="n">
        <v>0</v>
      </c>
      <c r="R1050" s="49" t="n">
        <v>0</v>
      </c>
      <c r="S1050" s="50" t="n">
        <v>0</v>
      </c>
      <c r="T1050" s="50" t="n">
        <v>0</v>
      </c>
      <c r="U1050" s="50" t="n">
        <v>0</v>
      </c>
      <c r="V1050" s="50" t="n">
        <v>0</v>
      </c>
      <c r="W1050" s="51" t="n">
        <v>0</v>
      </c>
      <c r="X1050" s="51" t="n">
        <v>0</v>
      </c>
      <c r="Y1050" s="51" t="n">
        <v>0</v>
      </c>
      <c r="Z1050" s="51" t="n">
        <v>0</v>
      </c>
      <c r="AA1050" s="52" t="n">
        <v>0</v>
      </c>
      <c r="AB1050" s="52" t="n">
        <v>0</v>
      </c>
      <c r="AC1050" s="52" t="n">
        <v>0</v>
      </c>
      <c r="AD1050" s="52" t="n">
        <v>0</v>
      </c>
      <c r="AE1050" s="52" t="n">
        <v>0</v>
      </c>
      <c r="AF1050" s="52" t="n">
        <v>0</v>
      </c>
      <c r="AG1050" s="52" t="n">
        <v>0</v>
      </c>
      <c r="AH1050" s="52" t="n">
        <v>0</v>
      </c>
      <c r="AI1050" s="52" t="n">
        <v>0</v>
      </c>
      <c r="AJ1050" s="52" t="n">
        <v>0</v>
      </c>
      <c r="AK1050" s="52" t="n">
        <v>0</v>
      </c>
      <c r="AL1050" s="52" t="n">
        <v>0</v>
      </c>
      <c r="AM1050" s="53" t="n">
        <v>0</v>
      </c>
      <c r="AN1050" s="53" t="n">
        <v>0</v>
      </c>
      <c r="AO1050" s="53" t="n">
        <v>0</v>
      </c>
      <c r="AP1050" s="53" t="n">
        <v>0</v>
      </c>
      <c r="AQ1050" s="52" t="n">
        <v>0</v>
      </c>
      <c r="AR1050" s="52" t="n">
        <v>0</v>
      </c>
      <c r="AS1050" s="52" t="n">
        <v>0</v>
      </c>
      <c r="AT1050" s="52" t="n">
        <v>0</v>
      </c>
      <c r="AU1050" s="53" t="n">
        <v>0</v>
      </c>
      <c r="AV1050" s="53" t="n">
        <v>0</v>
      </c>
      <c r="AW1050" s="53" t="n">
        <v>0</v>
      </c>
      <c r="AX1050" s="53" t="n">
        <v>0</v>
      </c>
      <c r="AY1050" s="52" t="n">
        <v>0</v>
      </c>
      <c r="AZ1050" s="52" t="n">
        <v>0</v>
      </c>
      <c r="BA1050" s="52" t="n">
        <v>0</v>
      </c>
      <c r="BB1050" s="52" t="n">
        <v>0</v>
      </c>
      <c r="BC1050" s="51" t="n">
        <v>0</v>
      </c>
      <c r="BD1050" s="51" t="n">
        <v>0</v>
      </c>
      <c r="BE1050" s="51" t="n">
        <v>0</v>
      </c>
      <c r="BF1050" s="51" t="n">
        <v>0</v>
      </c>
    </row>
    <row r="1051">
      <c r="A1051">
        <f>HYPERLINK("https://www.walmart.com/ip/734548305", "734548305")</f>
        <v/>
      </c>
      <c r="B1051" t="inlineStr">
        <is>
          <t>Tirrinia Comfy Plush Wearable Fleece Blanket Poncho Wrap Cover For Adult, Pink</t>
        </is>
      </c>
      <c r="C1051" t="inlineStr">
        <is>
          <t>1TRBP200PK-TBCB</t>
        </is>
      </c>
      <c r="D1051" t="inlineStr">
        <is>
          <t>Throws</t>
        </is>
      </c>
      <c r="E1051" t="inlineStr">
        <is>
          <t>Tirrinia</t>
        </is>
      </c>
      <c r="F1051" t="inlineStr">
        <is>
          <t>Optimized</t>
        </is>
      </c>
      <c r="G1051" s="48" t="n">
        <v>0</v>
      </c>
      <c r="H1051" s="48" t="n">
        <v>0</v>
      </c>
      <c r="I1051" s="48" t="n">
        <v>0</v>
      </c>
      <c r="J1051" s="48" t="n">
        <v>0</v>
      </c>
      <c r="K1051" s="49" t="n">
        <v>0</v>
      </c>
      <c r="L1051" s="49" t="n">
        <v>0</v>
      </c>
      <c r="M1051" s="49" t="n">
        <v>0</v>
      </c>
      <c r="N1051" s="49" t="n">
        <v>0</v>
      </c>
      <c r="O1051" s="49" t="n">
        <v>0</v>
      </c>
      <c r="P1051" s="49" t="n">
        <v>0</v>
      </c>
      <c r="Q1051" s="49" t="n">
        <v>0</v>
      </c>
      <c r="R1051" s="49" t="n">
        <v>0</v>
      </c>
      <c r="S1051" s="50" t="n">
        <v>0</v>
      </c>
      <c r="T1051" s="50" t="n">
        <v>0</v>
      </c>
      <c r="U1051" s="50" t="n">
        <v>0</v>
      </c>
      <c r="V1051" s="50" t="n">
        <v>0</v>
      </c>
      <c r="W1051" s="51" t="n">
        <v>0</v>
      </c>
      <c r="X1051" s="51" t="n">
        <v>0</v>
      </c>
      <c r="Y1051" s="51" t="n">
        <v>0</v>
      </c>
      <c r="Z1051" s="51" t="n">
        <v>0</v>
      </c>
      <c r="AA1051" s="52" t="n">
        <v>0</v>
      </c>
      <c r="AB1051" s="52" t="n">
        <v>0</v>
      </c>
      <c r="AC1051" s="52" t="n">
        <v>0</v>
      </c>
      <c r="AD1051" s="52" t="n">
        <v>0</v>
      </c>
      <c r="AE1051" s="52" t="n">
        <v>0</v>
      </c>
      <c r="AF1051" s="52" t="n">
        <v>0</v>
      </c>
      <c r="AG1051" s="52" t="n">
        <v>0</v>
      </c>
      <c r="AH1051" s="52" t="n">
        <v>0</v>
      </c>
      <c r="AI1051" s="52" t="n">
        <v>0</v>
      </c>
      <c r="AJ1051" s="52" t="n">
        <v>0</v>
      </c>
      <c r="AK1051" s="52" t="n">
        <v>0</v>
      </c>
      <c r="AL1051" s="52" t="n">
        <v>0</v>
      </c>
      <c r="AM1051" s="53" t="n">
        <v>0</v>
      </c>
      <c r="AN1051" s="53" t="n">
        <v>0</v>
      </c>
      <c r="AO1051" s="53" t="n">
        <v>0</v>
      </c>
      <c r="AP1051" s="53" t="n">
        <v>0</v>
      </c>
      <c r="AQ1051" s="52" t="n">
        <v>0</v>
      </c>
      <c r="AR1051" s="52" t="n">
        <v>0</v>
      </c>
      <c r="AS1051" s="52" t="n">
        <v>0</v>
      </c>
      <c r="AT1051" s="52" t="n">
        <v>0</v>
      </c>
      <c r="AU1051" s="53" t="n">
        <v>0</v>
      </c>
      <c r="AV1051" s="53" t="n">
        <v>0</v>
      </c>
      <c r="AW1051" s="53" t="n">
        <v>0</v>
      </c>
      <c r="AX1051" s="53" t="n">
        <v>0</v>
      </c>
      <c r="AY1051" s="52" t="n">
        <v>0</v>
      </c>
      <c r="AZ1051" s="52" t="n">
        <v>0</v>
      </c>
      <c r="BA1051" s="52" t="n">
        <v>0</v>
      </c>
      <c r="BB1051" s="52" t="n">
        <v>0</v>
      </c>
      <c r="BC1051" s="51" t="n">
        <v>0</v>
      </c>
      <c r="BD1051" s="51" t="n">
        <v>0</v>
      </c>
      <c r="BE1051" s="51" t="n">
        <v>0</v>
      </c>
      <c r="BF1051" s="51" t="n">
        <v>0</v>
      </c>
    </row>
    <row r="1052">
      <c r="A1052">
        <f>HYPERLINK("https://www.walmart.com/ip/735913253", "735913253")</f>
        <v/>
      </c>
      <c r="B1052" t="inlineStr">
        <is>
          <t>Sherpa Fleece Throw Blanket, Cozy Fuzzy Jacquard Blanket for the Couch Bed | Fluffy Comfy Warm Heavy Throws | Comfort Caring Gift, 50x60 inches</t>
        </is>
      </c>
      <c r="C1052" t="inlineStr">
        <is>
          <t>1CTBF573GYTILE</t>
        </is>
      </c>
      <c r="D1052" t="inlineStr">
        <is>
          <t>Throws</t>
        </is>
      </c>
      <c r="E1052" t="inlineStr">
        <is>
          <t>Catalonia</t>
        </is>
      </c>
      <c r="F1052" t="inlineStr">
        <is>
          <t>Q2-Target,WFS,WFS Item</t>
        </is>
      </c>
      <c r="G1052" s="48" t="n">
        <v>0</v>
      </c>
      <c r="H1052" s="48" t="n">
        <v>0</v>
      </c>
      <c r="I1052" s="48" t="n">
        <v>0</v>
      </c>
      <c r="J1052" s="48" t="n">
        <v>0</v>
      </c>
      <c r="K1052" s="49" t="n">
        <v>0</v>
      </c>
      <c r="L1052" s="49" t="n">
        <v>0</v>
      </c>
      <c r="M1052" s="49" t="n">
        <v>0</v>
      </c>
      <c r="N1052" s="49" t="n">
        <v>0</v>
      </c>
      <c r="O1052" s="49" t="n">
        <v>0</v>
      </c>
      <c r="P1052" s="49" t="n">
        <v>0</v>
      </c>
      <c r="Q1052" s="49" t="n">
        <v>0</v>
      </c>
      <c r="R1052" s="49" t="n">
        <v>0</v>
      </c>
      <c r="S1052" s="50" t="n">
        <v>0</v>
      </c>
      <c r="T1052" s="50" t="n">
        <v>0</v>
      </c>
      <c r="U1052" s="50" t="n">
        <v>0</v>
      </c>
      <c r="V1052" s="50" t="n">
        <v>0</v>
      </c>
      <c r="W1052" s="51" t="n">
        <v>0</v>
      </c>
      <c r="X1052" s="51" t="n">
        <v>0</v>
      </c>
      <c r="Y1052" s="51" t="n">
        <v>0</v>
      </c>
      <c r="Z1052" s="51" t="n">
        <v>0</v>
      </c>
      <c r="AA1052" s="52" t="n">
        <v>0</v>
      </c>
      <c r="AB1052" s="52" t="n">
        <v>0</v>
      </c>
      <c r="AC1052" s="52" t="n">
        <v>0</v>
      </c>
      <c r="AD1052" s="52" t="n">
        <v>0</v>
      </c>
      <c r="AE1052" s="52" t="n">
        <v>0</v>
      </c>
      <c r="AF1052" s="52" t="n">
        <v>0</v>
      </c>
      <c r="AG1052" s="52" t="n">
        <v>0</v>
      </c>
      <c r="AH1052" s="52" t="n">
        <v>0</v>
      </c>
      <c r="AI1052" s="52" t="n">
        <v>0</v>
      </c>
      <c r="AJ1052" s="52" t="n">
        <v>0</v>
      </c>
      <c r="AK1052" s="52" t="n">
        <v>0</v>
      </c>
      <c r="AL1052" s="52" t="n">
        <v>0</v>
      </c>
      <c r="AM1052" s="53" t="n">
        <v>0</v>
      </c>
      <c r="AN1052" s="53" t="n">
        <v>0</v>
      </c>
      <c r="AO1052" s="53" t="n">
        <v>0</v>
      </c>
      <c r="AP1052" s="53" t="n">
        <v>0</v>
      </c>
      <c r="AQ1052" s="52" t="n">
        <v>0</v>
      </c>
      <c r="AR1052" s="52" t="n">
        <v>0</v>
      </c>
      <c r="AS1052" s="52" t="n">
        <v>0</v>
      </c>
      <c r="AT1052" s="52" t="n">
        <v>0</v>
      </c>
      <c r="AU1052" s="53" t="n">
        <v>0</v>
      </c>
      <c r="AV1052" s="53" t="n">
        <v>0</v>
      </c>
      <c r="AW1052" s="53" t="n">
        <v>0</v>
      </c>
      <c r="AX1052" s="53" t="n">
        <v>0</v>
      </c>
      <c r="AY1052" s="52" t="n">
        <v>0</v>
      </c>
      <c r="AZ1052" s="52" t="n">
        <v>0</v>
      </c>
      <c r="BA1052" s="52" t="n">
        <v>0</v>
      </c>
      <c r="BB1052" s="52" t="n">
        <v>0</v>
      </c>
      <c r="BC1052" s="51" t="n">
        <v>0</v>
      </c>
      <c r="BD1052" s="51" t="n">
        <v>0</v>
      </c>
      <c r="BE1052" s="51" t="n">
        <v>0</v>
      </c>
      <c r="BF1052" s="51" t="n">
        <v>0</v>
      </c>
    </row>
    <row r="1053">
      <c r="A1053">
        <f>HYPERLINK("https://www.walmart.com/ip/736393350", "736393350")</f>
        <v/>
      </c>
      <c r="B1053" t="inlineStr">
        <is>
          <t>Tirrinia Insulated Lunch Bag for Women Men, 10L Leakproof Thermal Reusable Lunch Box for Adult Kids, Tall Meal Prep Lunch Cooler Tote for Office Work, Back to School, Large, Red</t>
        </is>
      </c>
      <c r="C1053" t="inlineStr">
        <is>
          <t>1TRLB701RD-T</t>
        </is>
      </c>
      <c r="D1053" t="inlineStr">
        <is>
          <t>Reusable Lunch Bags &amp; Boxes</t>
        </is>
      </c>
      <c r="E1053" t="inlineStr">
        <is>
          <t>Tirrinia</t>
        </is>
      </c>
      <c r="F1053" t="inlineStr">
        <is>
          <t>Brand Camp VD,Lunch Bag,WFS,Lunch Bags,SEM,WFS Item</t>
        </is>
      </c>
      <c r="G1053" s="48" t="n">
        <v>0</v>
      </c>
      <c r="H1053" s="48" t="n">
        <v>59.96</v>
      </c>
      <c r="I1053" s="48" t="n">
        <v>0</v>
      </c>
      <c r="J1053" s="48" t="n">
        <v>29.98</v>
      </c>
      <c r="K1053" s="49" t="n">
        <v>0</v>
      </c>
      <c r="L1053" s="49" t="n">
        <v>4</v>
      </c>
      <c r="M1053" s="49" t="n">
        <v>0</v>
      </c>
      <c r="N1053" s="49" t="n">
        <v>2</v>
      </c>
      <c r="O1053" s="49" t="n">
        <v>20</v>
      </c>
      <c r="P1053" s="49" t="n">
        <v>35</v>
      </c>
      <c r="Q1053" s="49" t="n">
        <v>32</v>
      </c>
      <c r="R1053" s="49" t="n">
        <v>33</v>
      </c>
      <c r="S1053" s="50" t="n">
        <v>0</v>
      </c>
      <c r="T1053" s="50" t="n">
        <v>0.1142857142857143</v>
      </c>
      <c r="U1053" s="50" t="n">
        <v>0</v>
      </c>
      <c r="V1053" s="50" t="n">
        <v>0.06060606060606061</v>
      </c>
      <c r="W1053" s="51" t="n">
        <v>0</v>
      </c>
      <c r="X1053" s="51" t="n">
        <v>0</v>
      </c>
      <c r="Y1053" s="51" t="n">
        <v>0</v>
      </c>
      <c r="Z1053" s="51" t="n">
        <v>0</v>
      </c>
      <c r="AA1053" s="52" t="n">
        <v>0</v>
      </c>
      <c r="AB1053" s="52" t="n">
        <v>0</v>
      </c>
      <c r="AC1053" s="52" t="n">
        <v>0</v>
      </c>
      <c r="AD1053" s="52" t="n">
        <v>0</v>
      </c>
      <c r="AE1053" s="52" t="n">
        <v>0</v>
      </c>
      <c r="AF1053" s="52" t="n">
        <v>0</v>
      </c>
      <c r="AG1053" s="52" t="n">
        <v>0</v>
      </c>
      <c r="AH1053" s="52" t="n">
        <v>0</v>
      </c>
      <c r="AI1053" s="52" t="n">
        <v>0</v>
      </c>
      <c r="AJ1053" s="52" t="n">
        <v>0</v>
      </c>
      <c r="AK1053" s="52" t="n">
        <v>0</v>
      </c>
      <c r="AL1053" s="52" t="n">
        <v>0</v>
      </c>
      <c r="AM1053" s="53" t="n">
        <v>0</v>
      </c>
      <c r="AN1053" s="53" t="n">
        <v>0</v>
      </c>
      <c r="AO1053" s="53" t="n">
        <v>0</v>
      </c>
      <c r="AP1053" s="53" t="n">
        <v>0</v>
      </c>
      <c r="AQ1053" s="52" t="n">
        <v>0</v>
      </c>
      <c r="AR1053" s="52" t="n">
        <v>0</v>
      </c>
      <c r="AS1053" s="52" t="n">
        <v>0</v>
      </c>
      <c r="AT1053" s="52" t="n">
        <v>0</v>
      </c>
      <c r="AU1053" s="53" t="n">
        <v>0</v>
      </c>
      <c r="AV1053" s="53" t="n">
        <v>0</v>
      </c>
      <c r="AW1053" s="53" t="n">
        <v>0</v>
      </c>
      <c r="AX1053" s="53" t="n">
        <v>0</v>
      </c>
      <c r="AY1053" s="52" t="n">
        <v>0</v>
      </c>
      <c r="AZ1053" s="52" t="n">
        <v>14.99</v>
      </c>
      <c r="BA1053" s="52" t="n">
        <v>0</v>
      </c>
      <c r="BB1053" s="52" t="n">
        <v>14.99</v>
      </c>
      <c r="BC1053" s="51" t="n">
        <v>0</v>
      </c>
      <c r="BD1053" s="51" t="n">
        <v>0</v>
      </c>
      <c r="BE1053" s="51" t="n">
        <v>0</v>
      </c>
      <c r="BF1053" s="51" t="n">
        <v>0</v>
      </c>
    </row>
    <row r="1054">
      <c r="A1054">
        <f>HYPERLINK("https://www.walmart.com/ip/736569751", "736569751")</f>
        <v/>
      </c>
      <c r="B1054" t="inlineStr">
        <is>
          <t>Tirrinia Insulated 2 Bottle Wine Carrier Tote Cooler Bag for Travel Picnic Padded Champagne Glass</t>
        </is>
      </c>
      <c r="C1054" t="inlineStr">
        <is>
          <t>1TRWB230STR</t>
        </is>
      </c>
      <c r="D1054" t="inlineStr">
        <is>
          <t>Wine Totes, Bags &amp; Backpacks</t>
        </is>
      </c>
      <c r="E1054" t="inlineStr">
        <is>
          <t>Tirrinia</t>
        </is>
      </c>
      <c r="F1054" t="inlineStr">
        <is>
          <t>Wine,Christmas,WFS,Wine WFS,Valentine,SEM,WFS Item</t>
        </is>
      </c>
      <c r="G1054" s="48" t="n">
        <v>0</v>
      </c>
      <c r="H1054" s="48" t="n">
        <v>0</v>
      </c>
      <c r="I1054" s="48" t="n">
        <v>0</v>
      </c>
      <c r="J1054" s="48" t="n">
        <v>0</v>
      </c>
      <c r="K1054" s="49" t="n">
        <v>0</v>
      </c>
      <c r="L1054" s="49" t="n">
        <v>0</v>
      </c>
      <c r="M1054" s="49" t="n">
        <v>0</v>
      </c>
      <c r="N1054" s="49" t="n">
        <v>0</v>
      </c>
      <c r="O1054" s="49" t="n">
        <v>0</v>
      </c>
      <c r="P1054" s="49" t="n">
        <v>0</v>
      </c>
      <c r="Q1054" s="49" t="n">
        <v>0</v>
      </c>
      <c r="R1054" s="49" t="n">
        <v>0</v>
      </c>
      <c r="S1054" s="50" t="n">
        <v>0</v>
      </c>
      <c r="T1054" s="50" t="n">
        <v>0</v>
      </c>
      <c r="U1054" s="50" t="n">
        <v>0</v>
      </c>
      <c r="V1054" s="50" t="n">
        <v>0</v>
      </c>
      <c r="W1054" s="51" t="n">
        <v>0</v>
      </c>
      <c r="X1054" s="51" t="n">
        <v>0</v>
      </c>
      <c r="Y1054" s="51" t="n">
        <v>0</v>
      </c>
      <c r="Z1054" s="51" t="n">
        <v>0</v>
      </c>
      <c r="AA1054" s="52" t="n">
        <v>0</v>
      </c>
      <c r="AB1054" s="52" t="n">
        <v>0</v>
      </c>
      <c r="AC1054" s="52" t="n">
        <v>0</v>
      </c>
      <c r="AD1054" s="52" t="n">
        <v>0</v>
      </c>
      <c r="AE1054" s="52" t="n">
        <v>0</v>
      </c>
      <c r="AF1054" s="52" t="n">
        <v>0</v>
      </c>
      <c r="AG1054" s="52" t="n">
        <v>0</v>
      </c>
      <c r="AH1054" s="52" t="n">
        <v>0</v>
      </c>
      <c r="AI1054" s="52" t="n">
        <v>0</v>
      </c>
      <c r="AJ1054" s="52" t="n">
        <v>0</v>
      </c>
      <c r="AK1054" s="52" t="n">
        <v>0</v>
      </c>
      <c r="AL1054" s="52" t="n">
        <v>0</v>
      </c>
      <c r="AM1054" s="53" t="n">
        <v>0</v>
      </c>
      <c r="AN1054" s="53" t="n">
        <v>0</v>
      </c>
      <c r="AO1054" s="53" t="n">
        <v>0</v>
      </c>
      <c r="AP1054" s="53" t="n">
        <v>0</v>
      </c>
      <c r="AQ1054" s="52" t="n">
        <v>0</v>
      </c>
      <c r="AR1054" s="52" t="n">
        <v>0</v>
      </c>
      <c r="AS1054" s="52" t="n">
        <v>0</v>
      </c>
      <c r="AT1054" s="52" t="n">
        <v>0</v>
      </c>
      <c r="AU1054" s="53" t="n">
        <v>0</v>
      </c>
      <c r="AV1054" s="53" t="n">
        <v>0</v>
      </c>
      <c r="AW1054" s="53" t="n">
        <v>0</v>
      </c>
      <c r="AX1054" s="53" t="n">
        <v>0</v>
      </c>
      <c r="AY1054" s="52" t="n">
        <v>0</v>
      </c>
      <c r="AZ1054" s="52" t="n">
        <v>0</v>
      </c>
      <c r="BA1054" s="52" t="n">
        <v>0</v>
      </c>
      <c r="BB1054" s="52" t="n">
        <v>0</v>
      </c>
      <c r="BC1054" s="51" t="n">
        <v>0</v>
      </c>
      <c r="BD1054" s="51" t="n">
        <v>0</v>
      </c>
      <c r="BE1054" s="51" t="n">
        <v>0</v>
      </c>
      <c r="BF1054" s="51" t="n">
        <v>0</v>
      </c>
    </row>
    <row r="1055">
      <c r="A1055">
        <f>HYPERLINK("https://www.walmart.com/ip/737918174", "737918174")</f>
        <v/>
      </c>
      <c r="B1055" t="inlineStr">
        <is>
          <t>7-Piece Wine Opener Set, Rabbit Corkscrew, Foil Cutter, Aerator Pourer, Wine Enthusiast Gift Set</t>
        </is>
      </c>
      <c r="C1055" t="inlineStr">
        <is>
          <t>1KTWO700BK1</t>
        </is>
      </c>
      <c r="D1055" t="inlineStr">
        <is>
          <t>Barware Sets</t>
        </is>
      </c>
      <c r="E1055" t="inlineStr">
        <is>
          <t>Kato</t>
        </is>
      </c>
      <c r="F1055" t="inlineStr">
        <is>
          <t>Wine,Christmas,Optimized,Valentine,SEM,cost-added</t>
        </is>
      </c>
      <c r="G1055" s="48" t="n">
        <v>0</v>
      </c>
      <c r="H1055" s="48" t="n">
        <v>0</v>
      </c>
      <c r="I1055" s="48" t="n">
        <v>0</v>
      </c>
      <c r="J1055" s="48" t="n">
        <v>0</v>
      </c>
      <c r="K1055" s="49" t="n">
        <v>0</v>
      </c>
      <c r="L1055" s="49" t="n">
        <v>0</v>
      </c>
      <c r="M1055" s="49" t="n">
        <v>0</v>
      </c>
      <c r="N1055" s="49" t="n">
        <v>0</v>
      </c>
      <c r="O1055" s="49" t="n">
        <v>0</v>
      </c>
      <c r="P1055" s="49" t="n">
        <v>0</v>
      </c>
      <c r="Q1055" s="49" t="n">
        <v>0</v>
      </c>
      <c r="R1055" s="49" t="n">
        <v>0</v>
      </c>
      <c r="S1055" s="50" t="n">
        <v>0</v>
      </c>
      <c r="T1055" s="50" t="n">
        <v>0</v>
      </c>
      <c r="U1055" s="50" t="n">
        <v>0</v>
      </c>
      <c r="V1055" s="50" t="n">
        <v>0</v>
      </c>
      <c r="W1055" s="51" t="n">
        <v>0</v>
      </c>
      <c r="X1055" s="51" t="n">
        <v>0</v>
      </c>
      <c r="Y1055" s="51" t="n">
        <v>0</v>
      </c>
      <c r="Z1055" s="51" t="n">
        <v>0</v>
      </c>
      <c r="AA1055" s="52" t="n">
        <v>0</v>
      </c>
      <c r="AB1055" s="52" t="n">
        <v>0</v>
      </c>
      <c r="AC1055" s="52" t="n">
        <v>0</v>
      </c>
      <c r="AD1055" s="52" t="n">
        <v>0</v>
      </c>
      <c r="AE1055" s="52" t="n">
        <v>0</v>
      </c>
      <c r="AF1055" s="52" t="n">
        <v>0</v>
      </c>
      <c r="AG1055" s="52" t="n">
        <v>0</v>
      </c>
      <c r="AH1055" s="52" t="n">
        <v>0</v>
      </c>
      <c r="AI1055" s="52" t="n">
        <v>0</v>
      </c>
      <c r="AJ1055" s="52" t="n">
        <v>0</v>
      </c>
      <c r="AK1055" s="52" t="n">
        <v>0</v>
      </c>
      <c r="AL1055" s="52" t="n">
        <v>0</v>
      </c>
      <c r="AM1055" s="53" t="n">
        <v>0</v>
      </c>
      <c r="AN1055" s="53" t="n">
        <v>0</v>
      </c>
      <c r="AO1055" s="53" t="n">
        <v>0</v>
      </c>
      <c r="AP1055" s="53" t="n">
        <v>0</v>
      </c>
      <c r="AQ1055" s="52" t="n">
        <v>0</v>
      </c>
      <c r="AR1055" s="52" t="n">
        <v>0</v>
      </c>
      <c r="AS1055" s="52" t="n">
        <v>0</v>
      </c>
      <c r="AT1055" s="52" t="n">
        <v>0</v>
      </c>
      <c r="AU1055" s="53" t="n">
        <v>0</v>
      </c>
      <c r="AV1055" s="53" t="n">
        <v>0</v>
      </c>
      <c r="AW1055" s="53" t="n">
        <v>0</v>
      </c>
      <c r="AX1055" s="53" t="n">
        <v>0</v>
      </c>
      <c r="AY1055" s="52" t="n">
        <v>0</v>
      </c>
      <c r="AZ1055" s="52" t="n">
        <v>0</v>
      </c>
      <c r="BA1055" s="52" t="n">
        <v>0</v>
      </c>
      <c r="BB1055" s="52" t="n">
        <v>0</v>
      </c>
      <c r="BC1055" s="51" t="n">
        <v>0</v>
      </c>
      <c r="BD1055" s="51" t="n">
        <v>0</v>
      </c>
      <c r="BE1055" s="51" t="n">
        <v>0</v>
      </c>
      <c r="BF1055" s="51" t="n">
        <v>0</v>
      </c>
    </row>
    <row r="1056">
      <c r="A1056">
        <f>HYPERLINK("https://www.walmart.com/ip/737949560", "737949560")</f>
        <v/>
      </c>
      <c r="B1056" t="inlineStr">
        <is>
          <t>Catalonia Wearable TV Blanket with Sleeves Arms Warm Micro Plush Sherpa Fleece for Adult Large Wrap Throw Robe 72 x 55”</t>
        </is>
      </c>
      <c r="C1056" t="inlineStr">
        <is>
          <t>1CTSN210P2RD</t>
        </is>
      </c>
      <c r="D1056" t="inlineStr">
        <is>
          <t>Throws</t>
        </is>
      </c>
      <c r="E1056" t="inlineStr">
        <is>
          <t>Catalonia</t>
        </is>
      </c>
      <c r="F1056" t="inlineStr">
        <is>
          <t>Coupon_Discount,Batch 1 - TR</t>
        </is>
      </c>
      <c r="G1056" s="48" t="n">
        <v>0</v>
      </c>
      <c r="H1056" s="48" t="n">
        <v>0</v>
      </c>
      <c r="I1056" s="48" t="n">
        <v>0</v>
      </c>
      <c r="J1056" s="48" t="n">
        <v>0</v>
      </c>
      <c r="K1056" s="49" t="n">
        <v>0</v>
      </c>
      <c r="L1056" s="49" t="n">
        <v>0</v>
      </c>
      <c r="M1056" s="49" t="n">
        <v>0</v>
      </c>
      <c r="N1056" s="49" t="n">
        <v>0</v>
      </c>
      <c r="O1056" s="49" t="n">
        <v>0</v>
      </c>
      <c r="P1056" s="49" t="n">
        <v>0</v>
      </c>
      <c r="Q1056" s="49" t="n">
        <v>0</v>
      </c>
      <c r="R1056" s="49" t="n">
        <v>0</v>
      </c>
      <c r="S1056" s="50" t="n">
        <v>0</v>
      </c>
      <c r="T1056" s="50" t="n">
        <v>0</v>
      </c>
      <c r="U1056" s="50" t="n">
        <v>0</v>
      </c>
      <c r="V1056" s="50" t="n">
        <v>0</v>
      </c>
      <c r="W1056" s="51" t="n">
        <v>0</v>
      </c>
      <c r="X1056" s="51" t="n">
        <v>0</v>
      </c>
      <c r="Y1056" s="51" t="n">
        <v>0</v>
      </c>
      <c r="Z1056" s="51" t="n">
        <v>0</v>
      </c>
      <c r="AA1056" s="52" t="n">
        <v>0</v>
      </c>
      <c r="AB1056" s="52" t="n">
        <v>0</v>
      </c>
      <c r="AC1056" s="52" t="n">
        <v>0</v>
      </c>
      <c r="AD1056" s="52" t="n">
        <v>0</v>
      </c>
      <c r="AE1056" s="52" t="n">
        <v>0</v>
      </c>
      <c r="AF1056" s="52" t="n">
        <v>0</v>
      </c>
      <c r="AG1056" s="52" t="n">
        <v>0</v>
      </c>
      <c r="AH1056" s="52" t="n">
        <v>0</v>
      </c>
      <c r="AI1056" s="52" t="n">
        <v>0</v>
      </c>
      <c r="AJ1056" s="52" t="n">
        <v>0</v>
      </c>
      <c r="AK1056" s="52" t="n">
        <v>0</v>
      </c>
      <c r="AL1056" s="52" t="n">
        <v>0</v>
      </c>
      <c r="AM1056" s="53" t="n">
        <v>0</v>
      </c>
      <c r="AN1056" s="53" t="n">
        <v>0</v>
      </c>
      <c r="AO1056" s="53" t="n">
        <v>0</v>
      </c>
      <c r="AP1056" s="53" t="n">
        <v>0</v>
      </c>
      <c r="AQ1056" s="52" t="n">
        <v>0</v>
      </c>
      <c r="AR1056" s="52" t="n">
        <v>0</v>
      </c>
      <c r="AS1056" s="52" t="n">
        <v>0</v>
      </c>
      <c r="AT1056" s="52" t="n">
        <v>0</v>
      </c>
      <c r="AU1056" s="53" t="n">
        <v>0</v>
      </c>
      <c r="AV1056" s="53" t="n">
        <v>0</v>
      </c>
      <c r="AW1056" s="53" t="n">
        <v>0</v>
      </c>
      <c r="AX1056" s="53" t="n">
        <v>0</v>
      </c>
      <c r="AY1056" s="52" t="n">
        <v>0</v>
      </c>
      <c r="AZ1056" s="52" t="n">
        <v>0</v>
      </c>
      <c r="BA1056" s="52" t="n">
        <v>0</v>
      </c>
      <c r="BB1056" s="52" t="n">
        <v>0</v>
      </c>
      <c r="BC1056" s="51" t="n">
        <v>0</v>
      </c>
      <c r="BD1056" s="51" t="n">
        <v>0</v>
      </c>
      <c r="BE1056" s="51" t="n">
        <v>0</v>
      </c>
      <c r="BF1056" s="51" t="n">
        <v>0</v>
      </c>
    </row>
    <row r="1057">
      <c r="A1057">
        <f>HYPERLINK("https://www.walmart.com/ip/738154224", "738154224")</f>
        <v/>
      </c>
      <c r="B1057" t="inlineStr">
        <is>
          <t>Catalonia Wearable TV Blanket with Sleeves Arms &amp; Feet pockets for Adult Micro Plush Fleece Large Wrap Throw Robe 75 x 5</t>
        </is>
      </c>
      <c r="C1057" t="inlineStr">
        <is>
          <t>1CTSN101P2RD</t>
        </is>
      </c>
      <c r="D1057" t="inlineStr">
        <is>
          <t>Throws</t>
        </is>
      </c>
      <c r="E1057" t="inlineStr">
        <is>
          <t>Catalonia</t>
        </is>
      </c>
      <c r="F1057" t="inlineStr">
        <is>
          <t>WFS,WFS Item,Fleece Blankets</t>
        </is>
      </c>
      <c r="G1057" s="48" t="n">
        <v>0</v>
      </c>
      <c r="H1057" s="48" t="n">
        <v>0</v>
      </c>
      <c r="I1057" s="48" t="n">
        <v>0</v>
      </c>
      <c r="J1057" s="48" t="n">
        <v>0</v>
      </c>
      <c r="K1057" s="49" t="n">
        <v>0</v>
      </c>
      <c r="L1057" s="49" t="n">
        <v>0</v>
      </c>
      <c r="M1057" s="49" t="n">
        <v>0</v>
      </c>
      <c r="N1057" s="49" t="n">
        <v>0</v>
      </c>
      <c r="O1057" s="49" t="n">
        <v>0</v>
      </c>
      <c r="P1057" s="49" t="n">
        <v>0</v>
      </c>
      <c r="Q1057" s="49" t="n">
        <v>0</v>
      </c>
      <c r="R1057" s="49" t="n">
        <v>0</v>
      </c>
      <c r="S1057" s="50" t="n">
        <v>0</v>
      </c>
      <c r="T1057" s="50" t="n">
        <v>0</v>
      </c>
      <c r="U1057" s="50" t="n">
        <v>0</v>
      </c>
      <c r="V1057" s="50" t="n">
        <v>0</v>
      </c>
      <c r="W1057" s="51" t="n">
        <v>0</v>
      </c>
      <c r="X1057" s="51" t="n">
        <v>0</v>
      </c>
      <c r="Y1057" s="51" t="n">
        <v>0</v>
      </c>
      <c r="Z1057" s="51" t="n">
        <v>0</v>
      </c>
      <c r="AA1057" s="52" t="n">
        <v>0</v>
      </c>
      <c r="AB1057" s="52" t="n">
        <v>0</v>
      </c>
      <c r="AC1057" s="52" t="n">
        <v>0</v>
      </c>
      <c r="AD1057" s="52" t="n">
        <v>0</v>
      </c>
      <c r="AE1057" s="52" t="n">
        <v>0</v>
      </c>
      <c r="AF1057" s="52" t="n">
        <v>0</v>
      </c>
      <c r="AG1057" s="52" t="n">
        <v>0</v>
      </c>
      <c r="AH1057" s="52" t="n">
        <v>0</v>
      </c>
      <c r="AI1057" s="52" t="n">
        <v>0</v>
      </c>
      <c r="AJ1057" s="52" t="n">
        <v>0</v>
      </c>
      <c r="AK1057" s="52" t="n">
        <v>0</v>
      </c>
      <c r="AL1057" s="52" t="n">
        <v>0</v>
      </c>
      <c r="AM1057" s="53" t="n">
        <v>0</v>
      </c>
      <c r="AN1057" s="53" t="n">
        <v>0</v>
      </c>
      <c r="AO1057" s="53" t="n">
        <v>0</v>
      </c>
      <c r="AP1057" s="53" t="n">
        <v>0</v>
      </c>
      <c r="AQ1057" s="52" t="n">
        <v>0</v>
      </c>
      <c r="AR1057" s="52" t="n">
        <v>0</v>
      </c>
      <c r="AS1057" s="52" t="n">
        <v>0</v>
      </c>
      <c r="AT1057" s="52" t="n">
        <v>0</v>
      </c>
      <c r="AU1057" s="53" t="n">
        <v>0</v>
      </c>
      <c r="AV1057" s="53" t="n">
        <v>0</v>
      </c>
      <c r="AW1057" s="53" t="n">
        <v>0</v>
      </c>
      <c r="AX1057" s="53" t="n">
        <v>0</v>
      </c>
      <c r="AY1057" s="52" t="n">
        <v>0</v>
      </c>
      <c r="AZ1057" s="52" t="n">
        <v>0</v>
      </c>
      <c r="BA1057" s="52" t="n">
        <v>0</v>
      </c>
      <c r="BB1057" s="52" t="n">
        <v>0</v>
      </c>
      <c r="BC1057" s="51" t="n">
        <v>0</v>
      </c>
      <c r="BD1057" s="51" t="n">
        <v>0</v>
      </c>
      <c r="BE1057" s="51" t="n">
        <v>0</v>
      </c>
      <c r="BF1057" s="51" t="n">
        <v>0</v>
      </c>
    </row>
    <row r="1058">
      <c r="A1058">
        <f>HYPERLINK("https://www.walmart.com/ip/730018158", "730018158")</f>
        <v/>
      </c>
      <c r="B1058" t="inlineStr">
        <is>
          <t>Women's Poncho Cape, Sherpa Fleece Cloak Coat, Snuggly Hooded Wearable Blanket, Gift Idea for Adults and Teen Girls</t>
        </is>
      </c>
      <c r="C1058" t="inlineStr">
        <is>
          <t>1CTBC300NY</t>
        </is>
      </c>
      <c r="D1058" t="inlineStr">
        <is>
          <t>Throws</t>
        </is>
      </c>
      <c r="E1058" t="inlineStr">
        <is>
          <t>Catalonia</t>
        </is>
      </c>
      <c r="F1058" t="inlineStr">
        <is>
          <t>SEM,WFS Item</t>
        </is>
      </c>
      <c r="G1058" s="48" t="n">
        <v>0</v>
      </c>
      <c r="H1058" s="48" t="n">
        <v>0</v>
      </c>
      <c r="I1058" s="48" t="n">
        <v>0</v>
      </c>
      <c r="J1058" s="48" t="n">
        <v>0</v>
      </c>
      <c r="K1058" s="49" t="n">
        <v>0</v>
      </c>
      <c r="L1058" s="49" t="n">
        <v>0</v>
      </c>
      <c r="M1058" s="49" t="n">
        <v>0</v>
      </c>
      <c r="N1058" s="49" t="n">
        <v>0</v>
      </c>
      <c r="O1058" s="49" t="n">
        <v>0</v>
      </c>
      <c r="P1058" s="49" t="n">
        <v>0</v>
      </c>
      <c r="Q1058" s="49" t="n">
        <v>0</v>
      </c>
      <c r="R1058" s="49" t="n">
        <v>0</v>
      </c>
      <c r="S1058" s="50" t="n">
        <v>0</v>
      </c>
      <c r="T1058" s="50" t="n">
        <v>0</v>
      </c>
      <c r="U1058" s="50" t="n">
        <v>0</v>
      </c>
      <c r="V1058" s="50" t="n">
        <v>0</v>
      </c>
      <c r="W1058" s="51" t="n">
        <v>0</v>
      </c>
      <c r="X1058" s="51" t="n">
        <v>0</v>
      </c>
      <c r="Y1058" s="51" t="n">
        <v>0</v>
      </c>
      <c r="Z1058" s="51" t="n">
        <v>0</v>
      </c>
      <c r="AA1058" s="52" t="n">
        <v>0</v>
      </c>
      <c r="AB1058" s="52" t="n">
        <v>0</v>
      </c>
      <c r="AC1058" s="52" t="n">
        <v>0</v>
      </c>
      <c r="AD1058" s="52" t="n">
        <v>0</v>
      </c>
      <c r="AE1058" s="52" t="n">
        <v>0</v>
      </c>
      <c r="AF1058" s="52" t="n">
        <v>0</v>
      </c>
      <c r="AG1058" s="52" t="n">
        <v>0</v>
      </c>
      <c r="AH1058" s="52" t="n">
        <v>0</v>
      </c>
      <c r="AI1058" s="52" t="n">
        <v>0</v>
      </c>
      <c r="AJ1058" s="52" t="n">
        <v>0</v>
      </c>
      <c r="AK1058" s="52" t="n">
        <v>0</v>
      </c>
      <c r="AL1058" s="52" t="n">
        <v>0</v>
      </c>
      <c r="AM1058" s="53" t="n">
        <v>0</v>
      </c>
      <c r="AN1058" s="53" t="n">
        <v>0</v>
      </c>
      <c r="AO1058" s="53" t="n">
        <v>0</v>
      </c>
      <c r="AP1058" s="53" t="n">
        <v>0</v>
      </c>
      <c r="AQ1058" s="52" t="n">
        <v>0</v>
      </c>
      <c r="AR1058" s="52" t="n">
        <v>0</v>
      </c>
      <c r="AS1058" s="52" t="n">
        <v>0</v>
      </c>
      <c r="AT1058" s="52" t="n">
        <v>0</v>
      </c>
      <c r="AU1058" s="53" t="n">
        <v>0</v>
      </c>
      <c r="AV1058" s="53" t="n">
        <v>0</v>
      </c>
      <c r="AW1058" s="53" t="n">
        <v>0</v>
      </c>
      <c r="AX1058" s="53" t="n">
        <v>0</v>
      </c>
      <c r="AY1058" s="52" t="n">
        <v>0</v>
      </c>
      <c r="AZ1058" s="52" t="n">
        <v>0</v>
      </c>
      <c r="BA1058" s="52" t="n">
        <v>0</v>
      </c>
      <c r="BB1058" s="52" t="n">
        <v>0</v>
      </c>
      <c r="BC1058" s="51" t="n">
        <v>0</v>
      </c>
      <c r="BD1058" s="51" t="n">
        <v>0</v>
      </c>
      <c r="BE1058" s="51" t="n">
        <v>0</v>
      </c>
      <c r="BF1058" s="51" t="n">
        <v>0</v>
      </c>
    </row>
    <row r="1059">
      <c r="A1059">
        <f>HYPERLINK("https://www.walmart.com/ip/729259105", "729259105")</f>
        <v/>
      </c>
      <c r="B1059" t="inlineStr">
        <is>
          <t>Tirrinia Leggings for Women,Workout Yoga Leggings with High Waist, Tummy Control and 4-Way Stretch, Grey</t>
        </is>
      </c>
      <c r="C1059" t="inlineStr">
        <is>
          <t>1TRYP105GY-SM</t>
        </is>
      </c>
      <c r="D1059" t="inlineStr">
        <is>
          <t>Leggings</t>
        </is>
      </c>
      <c r="E1059" t="inlineStr">
        <is>
          <t>Tirrinia</t>
        </is>
      </c>
      <c r="F1059" t="inlineStr">
        <is>
          <t>Optimized</t>
        </is>
      </c>
      <c r="G1059" s="48" t="n">
        <v>0</v>
      </c>
      <c r="H1059" s="48" t="n">
        <v>0</v>
      </c>
      <c r="I1059" s="48" t="n">
        <v>0</v>
      </c>
      <c r="J1059" s="48" t="n">
        <v>0</v>
      </c>
      <c r="K1059" s="49" t="n">
        <v>0</v>
      </c>
      <c r="L1059" s="49" t="n">
        <v>0</v>
      </c>
      <c r="M1059" s="49" t="n">
        <v>0</v>
      </c>
      <c r="N1059" s="49" t="n">
        <v>0</v>
      </c>
      <c r="O1059" s="49" t="n">
        <v>0</v>
      </c>
      <c r="P1059" s="49" t="n">
        <v>0</v>
      </c>
      <c r="Q1059" s="49" t="n">
        <v>0</v>
      </c>
      <c r="R1059" s="49" t="n">
        <v>0</v>
      </c>
      <c r="S1059" s="50" t="n">
        <v>0</v>
      </c>
      <c r="T1059" s="50" t="n">
        <v>0</v>
      </c>
      <c r="U1059" s="50" t="n">
        <v>0</v>
      </c>
      <c r="V1059" s="50" t="n">
        <v>0</v>
      </c>
      <c r="W1059" s="51" t="n">
        <v>0</v>
      </c>
      <c r="X1059" s="51" t="n">
        <v>0</v>
      </c>
      <c r="Y1059" s="51" t="n">
        <v>0</v>
      </c>
      <c r="Z1059" s="51" t="n">
        <v>0</v>
      </c>
      <c r="AA1059" s="52" t="n">
        <v>0</v>
      </c>
      <c r="AB1059" s="52" t="n">
        <v>0</v>
      </c>
      <c r="AC1059" s="52" t="n">
        <v>0</v>
      </c>
      <c r="AD1059" s="52" t="n">
        <v>0</v>
      </c>
      <c r="AE1059" s="52" t="n">
        <v>0</v>
      </c>
      <c r="AF1059" s="52" t="n">
        <v>0</v>
      </c>
      <c r="AG1059" s="52" t="n">
        <v>0</v>
      </c>
      <c r="AH1059" s="52" t="n">
        <v>0</v>
      </c>
      <c r="AI1059" s="52" t="n">
        <v>0</v>
      </c>
      <c r="AJ1059" s="52" t="n">
        <v>0</v>
      </c>
      <c r="AK1059" s="52" t="n">
        <v>0</v>
      </c>
      <c r="AL1059" s="52" t="n">
        <v>0</v>
      </c>
      <c r="AM1059" s="53" t="n">
        <v>0</v>
      </c>
      <c r="AN1059" s="53" t="n">
        <v>0</v>
      </c>
      <c r="AO1059" s="53" t="n">
        <v>0</v>
      </c>
      <c r="AP1059" s="53" t="n">
        <v>0</v>
      </c>
      <c r="AQ1059" s="52" t="n">
        <v>0</v>
      </c>
      <c r="AR1059" s="52" t="n">
        <v>0</v>
      </c>
      <c r="AS1059" s="52" t="n">
        <v>0</v>
      </c>
      <c r="AT1059" s="52" t="n">
        <v>0</v>
      </c>
      <c r="AU1059" s="53" t="n">
        <v>0</v>
      </c>
      <c r="AV1059" s="53" t="n">
        <v>0</v>
      </c>
      <c r="AW1059" s="53" t="n">
        <v>0</v>
      </c>
      <c r="AX1059" s="53" t="n">
        <v>0</v>
      </c>
      <c r="AY1059" s="52" t="n">
        <v>0</v>
      </c>
      <c r="AZ1059" s="52" t="n">
        <v>0</v>
      </c>
      <c r="BA1059" s="52" t="n">
        <v>0</v>
      </c>
      <c r="BB1059" s="52" t="n">
        <v>0</v>
      </c>
      <c r="BC1059" s="51" t="n">
        <v>0</v>
      </c>
      <c r="BD1059" s="51" t="n">
        <v>0</v>
      </c>
      <c r="BE1059" s="51" t="n">
        <v>0</v>
      </c>
      <c r="BF1059" s="51" t="n">
        <v>0</v>
      </c>
    </row>
    <row r="1060">
      <c r="A1060">
        <f>HYPERLINK("https://www.walmart.com/ip/714263261", "714263261")</f>
        <v/>
      </c>
      <c r="B1060" t="inlineStr">
        <is>
          <t>Brazilian Body Wave Lace Front Wig,Natural Looking Synthetic Fiber Curly Long Hair Wig for Black Women African American</t>
        </is>
      </c>
      <c r="C1060" t="inlineStr">
        <is>
          <t>1CTWIG272-2-ESCB</t>
        </is>
      </c>
      <c r="D1060" t="inlineStr">
        <is>
          <t>Wigs &amp; Toupees</t>
        </is>
      </c>
      <c r="E1060" t="inlineStr">
        <is>
          <t>Catalonia</t>
        </is>
      </c>
      <c r="F1060" t="inlineStr">
        <is>
          <t>Batch 1 - TR</t>
        </is>
      </c>
      <c r="G1060" s="48" t="n">
        <v>0</v>
      </c>
      <c r="H1060" s="48" t="n">
        <v>0</v>
      </c>
      <c r="I1060" s="48" t="n">
        <v>0</v>
      </c>
      <c r="J1060" s="48" t="n">
        <v>0</v>
      </c>
      <c r="K1060" s="49" t="n">
        <v>0</v>
      </c>
      <c r="L1060" s="49" t="n">
        <v>0</v>
      </c>
      <c r="M1060" s="49" t="n">
        <v>0</v>
      </c>
      <c r="N1060" s="49" t="n">
        <v>0</v>
      </c>
      <c r="O1060" s="49" t="n">
        <v>0</v>
      </c>
      <c r="P1060" s="49" t="n">
        <v>0</v>
      </c>
      <c r="Q1060" s="49" t="n">
        <v>0</v>
      </c>
      <c r="R1060" s="49" t="n">
        <v>0</v>
      </c>
      <c r="S1060" s="50" t="n">
        <v>0</v>
      </c>
      <c r="T1060" s="50" t="n">
        <v>0</v>
      </c>
      <c r="U1060" s="50" t="n">
        <v>0</v>
      </c>
      <c r="V1060" s="50" t="n">
        <v>0</v>
      </c>
      <c r="W1060" s="51" t="n">
        <v>0</v>
      </c>
      <c r="X1060" s="51" t="n">
        <v>0</v>
      </c>
      <c r="Y1060" s="51" t="n">
        <v>0</v>
      </c>
      <c r="Z1060" s="51" t="n">
        <v>0</v>
      </c>
      <c r="AA1060" s="52" t="n">
        <v>0</v>
      </c>
      <c r="AB1060" s="52" t="n">
        <v>0</v>
      </c>
      <c r="AC1060" s="52" t="n">
        <v>0</v>
      </c>
      <c r="AD1060" s="52" t="n">
        <v>0</v>
      </c>
      <c r="AE1060" s="52" t="n">
        <v>0</v>
      </c>
      <c r="AF1060" s="52" t="n">
        <v>0</v>
      </c>
      <c r="AG1060" s="52" t="n">
        <v>0</v>
      </c>
      <c r="AH1060" s="52" t="n">
        <v>0</v>
      </c>
      <c r="AI1060" s="52" t="n">
        <v>0</v>
      </c>
      <c r="AJ1060" s="52" t="n">
        <v>0</v>
      </c>
      <c r="AK1060" s="52" t="n">
        <v>0</v>
      </c>
      <c r="AL1060" s="52" t="n">
        <v>0</v>
      </c>
      <c r="AM1060" s="53" t="n">
        <v>0</v>
      </c>
      <c r="AN1060" s="53" t="n">
        <v>0</v>
      </c>
      <c r="AO1060" s="53" t="n">
        <v>0</v>
      </c>
      <c r="AP1060" s="53" t="n">
        <v>0</v>
      </c>
      <c r="AQ1060" s="52" t="n">
        <v>0</v>
      </c>
      <c r="AR1060" s="52" t="n">
        <v>0</v>
      </c>
      <c r="AS1060" s="52" t="n">
        <v>0</v>
      </c>
      <c r="AT1060" s="52" t="n">
        <v>0</v>
      </c>
      <c r="AU1060" s="53" t="n">
        <v>0</v>
      </c>
      <c r="AV1060" s="53" t="n">
        <v>0</v>
      </c>
      <c r="AW1060" s="53" t="n">
        <v>0</v>
      </c>
      <c r="AX1060" s="53" t="n">
        <v>0</v>
      </c>
      <c r="AY1060" s="52" t="n">
        <v>0</v>
      </c>
      <c r="AZ1060" s="52" t="n">
        <v>0</v>
      </c>
      <c r="BA1060" s="52" t="n">
        <v>0</v>
      </c>
      <c r="BB1060" s="52" t="n">
        <v>0</v>
      </c>
      <c r="BC1060" s="51" t="n">
        <v>0</v>
      </c>
      <c r="BD1060" s="51" t="n">
        <v>0</v>
      </c>
      <c r="BE1060" s="51" t="n">
        <v>0</v>
      </c>
      <c r="BF1060" s="51" t="n">
        <v>0</v>
      </c>
    </row>
    <row r="1061">
      <c r="A1061">
        <f>HYPERLINK("https://www.walmart.com/ip/728436396", "728436396")</f>
        <v/>
      </c>
      <c r="B1061" t="inlineStr">
        <is>
          <t>Sherpa jackie Mink Fleece for Adults 73 x 51”| Cozy Warm</t>
        </is>
      </c>
      <c r="C1061" t="inlineStr">
        <is>
          <t>1CTJK200BR</t>
        </is>
      </c>
      <c r="D1061" t="inlineStr">
        <is>
          <t>Sweatshirts &amp; Hoodies</t>
        </is>
      </c>
      <c r="E1061" t="inlineStr">
        <is>
          <t>Catalonia</t>
        </is>
      </c>
      <c r="F1061" t="inlineStr">
        <is>
          <t>Jacket ForAdult,WFS,WFS Item</t>
        </is>
      </c>
      <c r="G1061" s="48" t="n">
        <v>0</v>
      </c>
      <c r="H1061" s="48" t="n">
        <v>0</v>
      </c>
      <c r="I1061" s="48" t="n">
        <v>0</v>
      </c>
      <c r="J1061" s="48" t="n">
        <v>0</v>
      </c>
      <c r="K1061" s="49" t="n">
        <v>0</v>
      </c>
      <c r="L1061" s="49" t="n">
        <v>0</v>
      </c>
      <c r="M1061" s="49" t="n">
        <v>0</v>
      </c>
      <c r="N1061" s="49" t="n">
        <v>0</v>
      </c>
      <c r="O1061" s="49" t="n">
        <v>0</v>
      </c>
      <c r="P1061" s="49" t="n">
        <v>0</v>
      </c>
      <c r="Q1061" s="49" t="n">
        <v>0</v>
      </c>
      <c r="R1061" s="49" t="n">
        <v>0</v>
      </c>
      <c r="S1061" s="50" t="n">
        <v>0</v>
      </c>
      <c r="T1061" s="50" t="n">
        <v>0</v>
      </c>
      <c r="U1061" s="50" t="n">
        <v>0</v>
      </c>
      <c r="V1061" s="50" t="n">
        <v>0</v>
      </c>
      <c r="W1061" s="51" t="n">
        <v>0</v>
      </c>
      <c r="X1061" s="51" t="n">
        <v>0</v>
      </c>
      <c r="Y1061" s="51" t="n">
        <v>0</v>
      </c>
      <c r="Z1061" s="51" t="n">
        <v>0</v>
      </c>
      <c r="AA1061" s="52" t="n">
        <v>0</v>
      </c>
      <c r="AB1061" s="52" t="n">
        <v>0</v>
      </c>
      <c r="AC1061" s="52" t="n">
        <v>0</v>
      </c>
      <c r="AD1061" s="52" t="n">
        <v>0</v>
      </c>
      <c r="AE1061" s="52" t="n">
        <v>0</v>
      </c>
      <c r="AF1061" s="52" t="n">
        <v>0</v>
      </c>
      <c r="AG1061" s="52" t="n">
        <v>0</v>
      </c>
      <c r="AH1061" s="52" t="n">
        <v>0</v>
      </c>
      <c r="AI1061" s="52" t="n">
        <v>0</v>
      </c>
      <c r="AJ1061" s="52" t="n">
        <v>0</v>
      </c>
      <c r="AK1061" s="52" t="n">
        <v>0</v>
      </c>
      <c r="AL1061" s="52" t="n">
        <v>0</v>
      </c>
      <c r="AM1061" s="53" t="n">
        <v>0</v>
      </c>
      <c r="AN1061" s="53" t="n">
        <v>0</v>
      </c>
      <c r="AO1061" s="53" t="n">
        <v>0</v>
      </c>
      <c r="AP1061" s="53" t="n">
        <v>0</v>
      </c>
      <c r="AQ1061" s="52" t="n">
        <v>0</v>
      </c>
      <c r="AR1061" s="52" t="n">
        <v>0</v>
      </c>
      <c r="AS1061" s="52" t="n">
        <v>0</v>
      </c>
      <c r="AT1061" s="52" t="n">
        <v>0</v>
      </c>
      <c r="AU1061" s="53" t="n">
        <v>0</v>
      </c>
      <c r="AV1061" s="53" t="n">
        <v>0</v>
      </c>
      <c r="AW1061" s="53" t="n">
        <v>0</v>
      </c>
      <c r="AX1061" s="53" t="n">
        <v>0</v>
      </c>
      <c r="AY1061" s="52" t="n">
        <v>0</v>
      </c>
      <c r="AZ1061" s="52" t="n">
        <v>0</v>
      </c>
      <c r="BA1061" s="52" t="n">
        <v>0</v>
      </c>
      <c r="BB1061" s="52" t="n">
        <v>0</v>
      </c>
      <c r="BC1061" s="51" t="n">
        <v>0</v>
      </c>
      <c r="BD1061" s="51" t="n">
        <v>0</v>
      </c>
      <c r="BE1061" s="51" t="n">
        <v>0</v>
      </c>
      <c r="BF1061" s="51" t="n">
        <v>0</v>
      </c>
    </row>
    <row r="1062">
      <c r="A1062">
        <f>HYPERLINK("https://www.walmart.com/ip/714322224", "714322224")</f>
        <v/>
      </c>
      <c r="B1062" t="inlineStr">
        <is>
          <t>Tirrinia Super Soft Comfy Plush Wearable Fleece Blanket With Sleeves For Adult, 73" x 51", Navy</t>
        </is>
      </c>
      <c r="C1062" t="inlineStr">
        <is>
          <t>1TRSN100NY-TBCB</t>
        </is>
      </c>
      <c r="D1062" t="inlineStr">
        <is>
          <t>Throws</t>
        </is>
      </c>
      <c r="E1062" t="inlineStr">
        <is>
          <t>Tirrinia</t>
        </is>
      </c>
      <c r="F1062" t="inlineStr">
        <is>
          <t>Optimized,Fleece Blankets</t>
        </is>
      </c>
      <c r="G1062" s="48" t="n">
        <v>0</v>
      </c>
      <c r="H1062" s="48" t="n">
        <v>0</v>
      </c>
      <c r="I1062" s="48" t="n">
        <v>0</v>
      </c>
      <c r="J1062" s="48" t="n">
        <v>0</v>
      </c>
      <c r="K1062" s="49" t="n">
        <v>0</v>
      </c>
      <c r="L1062" s="49" t="n">
        <v>0</v>
      </c>
      <c r="M1062" s="49" t="n">
        <v>0</v>
      </c>
      <c r="N1062" s="49" t="n">
        <v>0</v>
      </c>
      <c r="O1062" s="49" t="n">
        <v>0</v>
      </c>
      <c r="P1062" s="49" t="n">
        <v>0</v>
      </c>
      <c r="Q1062" s="49" t="n">
        <v>0</v>
      </c>
      <c r="R1062" s="49" t="n">
        <v>0</v>
      </c>
      <c r="S1062" s="50" t="n">
        <v>0</v>
      </c>
      <c r="T1062" s="50" t="n">
        <v>0</v>
      </c>
      <c r="U1062" s="50" t="n">
        <v>0</v>
      </c>
      <c r="V1062" s="50" t="n">
        <v>0</v>
      </c>
      <c r="W1062" s="51" t="n">
        <v>0</v>
      </c>
      <c r="X1062" s="51" t="n">
        <v>0</v>
      </c>
      <c r="Y1062" s="51" t="n">
        <v>0</v>
      </c>
      <c r="Z1062" s="51" t="n">
        <v>0</v>
      </c>
      <c r="AA1062" s="52" t="n">
        <v>0</v>
      </c>
      <c r="AB1062" s="52" t="n">
        <v>0</v>
      </c>
      <c r="AC1062" s="52" t="n">
        <v>0</v>
      </c>
      <c r="AD1062" s="52" t="n">
        <v>0</v>
      </c>
      <c r="AE1062" s="52" t="n">
        <v>0</v>
      </c>
      <c r="AF1062" s="52" t="n">
        <v>0</v>
      </c>
      <c r="AG1062" s="52" t="n">
        <v>0</v>
      </c>
      <c r="AH1062" s="52" t="n">
        <v>0</v>
      </c>
      <c r="AI1062" s="52" t="n">
        <v>0</v>
      </c>
      <c r="AJ1062" s="52" t="n">
        <v>0</v>
      </c>
      <c r="AK1062" s="52" t="n">
        <v>0</v>
      </c>
      <c r="AL1062" s="52" t="n">
        <v>0</v>
      </c>
      <c r="AM1062" s="53" t="n">
        <v>0</v>
      </c>
      <c r="AN1062" s="53" t="n">
        <v>0</v>
      </c>
      <c r="AO1062" s="53" t="n">
        <v>0</v>
      </c>
      <c r="AP1062" s="53" t="n">
        <v>0</v>
      </c>
      <c r="AQ1062" s="52" t="n">
        <v>0</v>
      </c>
      <c r="AR1062" s="52" t="n">
        <v>0</v>
      </c>
      <c r="AS1062" s="52" t="n">
        <v>0</v>
      </c>
      <c r="AT1062" s="52" t="n">
        <v>0</v>
      </c>
      <c r="AU1062" s="53" t="n">
        <v>0</v>
      </c>
      <c r="AV1062" s="53" t="n">
        <v>0</v>
      </c>
      <c r="AW1062" s="53" t="n">
        <v>0</v>
      </c>
      <c r="AX1062" s="53" t="n">
        <v>0</v>
      </c>
      <c r="AY1062" s="52" t="n">
        <v>0</v>
      </c>
      <c r="AZ1062" s="52" t="n">
        <v>0</v>
      </c>
      <c r="BA1062" s="52" t="n">
        <v>0</v>
      </c>
      <c r="BB1062" s="52" t="n">
        <v>0</v>
      </c>
      <c r="BC1062" s="51" t="n">
        <v>0</v>
      </c>
      <c r="BD1062" s="51" t="n">
        <v>0</v>
      </c>
      <c r="BE1062" s="51" t="n">
        <v>0</v>
      </c>
      <c r="BF1062" s="51" t="n">
        <v>0</v>
      </c>
    </row>
    <row r="1063">
      <c r="A1063">
        <f>HYPERLINK("https://www.walmart.com/ip/714436708", "714436708")</f>
        <v/>
      </c>
      <c r="B1063" t="inlineStr">
        <is>
          <t>Tirrinia Insulated Wine Carrier Tote - Travel Padded 2 Bottle Wine/Champagne Cooler Bag with Handle and Adjustable Shoulder Strap + Free Corkscrew, Great Wine Lover Gift, Red</t>
        </is>
      </c>
      <c r="C1063" t="inlineStr">
        <is>
          <t>1KTWB210RD</t>
        </is>
      </c>
      <c r="D1063" t="inlineStr">
        <is>
          <t>Wine Totes, Bags &amp; Backpacks</t>
        </is>
      </c>
      <c r="E1063" t="inlineStr">
        <is>
          <t>Tirrinia</t>
        </is>
      </c>
      <c r="F1063" t="inlineStr">
        <is>
          <t>Wine,Christmas,WFS,Wine WFS,Valentine,WFS Item,Lily Brand Camp</t>
        </is>
      </c>
      <c r="G1063" s="48" t="n">
        <v>0</v>
      </c>
      <c r="H1063" s="48" t="n">
        <v>0</v>
      </c>
      <c r="I1063" s="48" t="n">
        <v>0</v>
      </c>
      <c r="J1063" s="48" t="n">
        <v>0</v>
      </c>
      <c r="K1063" s="49" t="n">
        <v>0</v>
      </c>
      <c r="L1063" s="49" t="n">
        <v>0</v>
      </c>
      <c r="M1063" s="49" t="n">
        <v>0</v>
      </c>
      <c r="N1063" s="49" t="n">
        <v>0</v>
      </c>
      <c r="O1063" s="49" t="n">
        <v>0</v>
      </c>
      <c r="P1063" s="49" t="n">
        <v>0</v>
      </c>
      <c r="Q1063" s="49" t="n">
        <v>0</v>
      </c>
      <c r="R1063" s="49" t="n">
        <v>0</v>
      </c>
      <c r="S1063" s="50" t="n">
        <v>0</v>
      </c>
      <c r="T1063" s="50" t="n">
        <v>0</v>
      </c>
      <c r="U1063" s="50" t="n">
        <v>0</v>
      </c>
      <c r="V1063" s="50" t="n">
        <v>0</v>
      </c>
      <c r="W1063" s="51" t="n">
        <v>0</v>
      </c>
      <c r="X1063" s="51" t="n">
        <v>0</v>
      </c>
      <c r="Y1063" s="51" t="n">
        <v>0</v>
      </c>
      <c r="Z1063" s="51" t="n">
        <v>0</v>
      </c>
      <c r="AA1063" s="52" t="n">
        <v>0</v>
      </c>
      <c r="AB1063" s="52" t="n">
        <v>0</v>
      </c>
      <c r="AC1063" s="52" t="n">
        <v>0</v>
      </c>
      <c r="AD1063" s="52" t="n">
        <v>0</v>
      </c>
      <c r="AE1063" s="52" t="n">
        <v>0</v>
      </c>
      <c r="AF1063" s="52" t="n">
        <v>0</v>
      </c>
      <c r="AG1063" s="52" t="n">
        <v>0</v>
      </c>
      <c r="AH1063" s="52" t="n">
        <v>0</v>
      </c>
      <c r="AI1063" s="52" t="n">
        <v>0</v>
      </c>
      <c r="AJ1063" s="52" t="n">
        <v>0</v>
      </c>
      <c r="AK1063" s="52" t="n">
        <v>0</v>
      </c>
      <c r="AL1063" s="52" t="n">
        <v>0</v>
      </c>
      <c r="AM1063" s="53" t="n">
        <v>0</v>
      </c>
      <c r="AN1063" s="53" t="n">
        <v>0</v>
      </c>
      <c r="AO1063" s="53" t="n">
        <v>0</v>
      </c>
      <c r="AP1063" s="53" t="n">
        <v>0</v>
      </c>
      <c r="AQ1063" s="52" t="n">
        <v>0</v>
      </c>
      <c r="AR1063" s="52" t="n">
        <v>0</v>
      </c>
      <c r="AS1063" s="52" t="n">
        <v>0</v>
      </c>
      <c r="AT1063" s="52" t="n">
        <v>0</v>
      </c>
      <c r="AU1063" s="53" t="n">
        <v>0</v>
      </c>
      <c r="AV1063" s="53" t="n">
        <v>0</v>
      </c>
      <c r="AW1063" s="53" t="n">
        <v>0</v>
      </c>
      <c r="AX1063" s="53" t="n">
        <v>0</v>
      </c>
      <c r="AY1063" s="52" t="n">
        <v>0</v>
      </c>
      <c r="AZ1063" s="52" t="n">
        <v>0</v>
      </c>
      <c r="BA1063" s="52" t="n">
        <v>0</v>
      </c>
      <c r="BB1063" s="52" t="n">
        <v>0</v>
      </c>
      <c r="BC1063" s="51" t="n">
        <v>1</v>
      </c>
      <c r="BD1063" s="51" t="n">
        <v>0</v>
      </c>
      <c r="BE1063" s="51" t="n">
        <v>0</v>
      </c>
      <c r="BF1063" s="51" t="n">
        <v>0</v>
      </c>
    </row>
    <row r="1064">
      <c r="A1064">
        <f>HYPERLINK("https://www.walmart.com/ip/714613908", "714613908")</f>
        <v/>
      </c>
      <c r="B1064" t="inlineStr">
        <is>
          <t>Unisex Safari Sun Hat Wide Brim Boonie Cap with Adjustable Drawstring and Removable Bucket Crown for Camping Hiking Fishing Hunting Boating</t>
        </is>
      </c>
      <c r="C1064" t="inlineStr">
        <is>
          <t>1TRSH895OL-TBCB</t>
        </is>
      </c>
      <c r="D1064" t="inlineStr">
        <is>
          <t>Hats</t>
        </is>
      </c>
      <c r="E1064" t="inlineStr">
        <is>
          <t>Tirrinia</t>
        </is>
      </c>
      <c r="F1064" t="inlineStr">
        <is>
          <t>Hats,Batch 1 - TR</t>
        </is>
      </c>
      <c r="G1064" s="48" t="n">
        <v>0</v>
      </c>
      <c r="H1064" s="48" t="n">
        <v>0</v>
      </c>
      <c r="I1064" s="48" t="n">
        <v>0</v>
      </c>
      <c r="J1064" s="48" t="n">
        <v>0</v>
      </c>
      <c r="K1064" s="49" t="n">
        <v>0</v>
      </c>
      <c r="L1064" s="49" t="n">
        <v>0</v>
      </c>
      <c r="M1064" s="49" t="n">
        <v>0</v>
      </c>
      <c r="N1064" s="49" t="n">
        <v>0</v>
      </c>
      <c r="O1064" s="49" t="n">
        <v>0</v>
      </c>
      <c r="P1064" s="49" t="n">
        <v>0</v>
      </c>
      <c r="Q1064" s="49" t="n">
        <v>0</v>
      </c>
      <c r="R1064" s="49" t="n">
        <v>0</v>
      </c>
      <c r="S1064" s="50" t="n">
        <v>0</v>
      </c>
      <c r="T1064" s="50" t="n">
        <v>0</v>
      </c>
      <c r="U1064" s="50" t="n">
        <v>0</v>
      </c>
      <c r="V1064" s="50" t="n">
        <v>0</v>
      </c>
      <c r="W1064" s="51" t="n">
        <v>0</v>
      </c>
      <c r="X1064" s="51" t="n">
        <v>0</v>
      </c>
      <c r="Y1064" s="51" t="n">
        <v>0</v>
      </c>
      <c r="Z1064" s="51" t="n">
        <v>0</v>
      </c>
      <c r="AA1064" s="52" t="n">
        <v>0</v>
      </c>
      <c r="AB1064" s="52" t="n">
        <v>0</v>
      </c>
      <c r="AC1064" s="52" t="n">
        <v>0</v>
      </c>
      <c r="AD1064" s="52" t="n">
        <v>0</v>
      </c>
      <c r="AE1064" s="52" t="n">
        <v>0</v>
      </c>
      <c r="AF1064" s="52" t="n">
        <v>0</v>
      </c>
      <c r="AG1064" s="52" t="n">
        <v>0</v>
      </c>
      <c r="AH1064" s="52" t="n">
        <v>0</v>
      </c>
      <c r="AI1064" s="52" t="n">
        <v>0</v>
      </c>
      <c r="AJ1064" s="52" t="n">
        <v>0</v>
      </c>
      <c r="AK1064" s="52" t="n">
        <v>0</v>
      </c>
      <c r="AL1064" s="52" t="n">
        <v>0</v>
      </c>
      <c r="AM1064" s="53" t="n">
        <v>0</v>
      </c>
      <c r="AN1064" s="53" t="n">
        <v>0</v>
      </c>
      <c r="AO1064" s="53" t="n">
        <v>0</v>
      </c>
      <c r="AP1064" s="53" t="n">
        <v>0</v>
      </c>
      <c r="AQ1064" s="52" t="n">
        <v>0</v>
      </c>
      <c r="AR1064" s="52" t="n">
        <v>0</v>
      </c>
      <c r="AS1064" s="52" t="n">
        <v>0</v>
      </c>
      <c r="AT1064" s="52" t="n">
        <v>0</v>
      </c>
      <c r="AU1064" s="53" t="n">
        <v>0</v>
      </c>
      <c r="AV1064" s="53" t="n">
        <v>0</v>
      </c>
      <c r="AW1064" s="53" t="n">
        <v>0</v>
      </c>
      <c r="AX1064" s="53" t="n">
        <v>0</v>
      </c>
      <c r="AY1064" s="52" t="n">
        <v>0</v>
      </c>
      <c r="AZ1064" s="52" t="n">
        <v>0</v>
      </c>
      <c r="BA1064" s="52" t="n">
        <v>0</v>
      </c>
      <c r="BB1064" s="52" t="n">
        <v>0</v>
      </c>
      <c r="BC1064" s="51" t="n">
        <v>0</v>
      </c>
      <c r="BD1064" s="51" t="n">
        <v>0</v>
      </c>
      <c r="BE1064" s="51" t="n">
        <v>0</v>
      </c>
      <c r="BF1064" s="51" t="n">
        <v>0</v>
      </c>
    </row>
    <row r="1065">
      <c r="A1065">
        <f>HYPERLINK("https://www.walmart.com/ip/714861789", "714861789")</f>
        <v/>
      </c>
      <c r="B1065" t="inlineStr">
        <is>
          <t>Kritter Planet Waterproof Dog Blanket for Couch, Washable Pet Couch Cover, Non-slip Bed Sofa Furniture Protector Mat, Grey, 60''x50''.</t>
        </is>
      </c>
      <c r="C1065" t="inlineStr">
        <is>
          <t>1KPBW566GY</t>
        </is>
      </c>
      <c r="D1065" t="inlineStr">
        <is>
          <t>Pet Blankets</t>
        </is>
      </c>
      <c r="E1065" t="inlineStr">
        <is>
          <t>Kritter Planet</t>
        </is>
      </c>
      <c r="F1065" t="inlineStr">
        <is>
          <t>Q2-Target,Optimized,SEM</t>
        </is>
      </c>
      <c r="G1065" s="48" t="n">
        <v>0</v>
      </c>
      <c r="H1065" s="48" t="n">
        <v>19.99</v>
      </c>
      <c r="I1065" s="48" t="n">
        <v>0</v>
      </c>
      <c r="J1065" s="48" t="n">
        <v>0</v>
      </c>
      <c r="K1065" s="49" t="n">
        <v>0</v>
      </c>
      <c r="L1065" s="49" t="n">
        <v>1</v>
      </c>
      <c r="M1065" s="49" t="n">
        <v>0</v>
      </c>
      <c r="N1065" s="49" t="n">
        <v>0</v>
      </c>
      <c r="O1065" s="49" t="n">
        <v>0</v>
      </c>
      <c r="P1065" s="49" t="n">
        <v>0</v>
      </c>
      <c r="Q1065" s="49" t="n">
        <v>0</v>
      </c>
      <c r="R1065" s="49" t="n">
        <v>0</v>
      </c>
      <c r="S1065" s="50" t="n">
        <v>0</v>
      </c>
      <c r="T1065" s="50" t="n">
        <v>0</v>
      </c>
      <c r="U1065" s="50" t="n">
        <v>0</v>
      </c>
      <c r="V1065" s="50" t="n">
        <v>0</v>
      </c>
      <c r="W1065" s="51" t="n">
        <v>0</v>
      </c>
      <c r="X1065" s="51" t="n">
        <v>0</v>
      </c>
      <c r="Y1065" s="51" t="n">
        <v>0</v>
      </c>
      <c r="Z1065" s="51" t="n">
        <v>0</v>
      </c>
      <c r="AA1065" s="52" t="n">
        <v>0</v>
      </c>
      <c r="AB1065" s="52" t="n">
        <v>0</v>
      </c>
      <c r="AC1065" s="52" t="n">
        <v>0</v>
      </c>
      <c r="AD1065" s="52" t="n">
        <v>0</v>
      </c>
      <c r="AE1065" s="52" t="n">
        <v>0</v>
      </c>
      <c r="AF1065" s="52" t="n">
        <v>0</v>
      </c>
      <c r="AG1065" s="52" t="n">
        <v>0</v>
      </c>
      <c r="AH1065" s="52" t="n">
        <v>0</v>
      </c>
      <c r="AI1065" s="52" t="n">
        <v>0</v>
      </c>
      <c r="AJ1065" s="52" t="n">
        <v>0</v>
      </c>
      <c r="AK1065" s="52" t="n">
        <v>0</v>
      </c>
      <c r="AL1065" s="52" t="n">
        <v>0</v>
      </c>
      <c r="AM1065" s="53" t="n">
        <v>0</v>
      </c>
      <c r="AN1065" s="53" t="n">
        <v>0</v>
      </c>
      <c r="AO1065" s="53" t="n">
        <v>0</v>
      </c>
      <c r="AP1065" s="53" t="n">
        <v>0</v>
      </c>
      <c r="AQ1065" s="52" t="n">
        <v>0</v>
      </c>
      <c r="AR1065" s="52" t="n">
        <v>0</v>
      </c>
      <c r="AS1065" s="52" t="n">
        <v>0</v>
      </c>
      <c r="AT1065" s="52" t="n">
        <v>0</v>
      </c>
      <c r="AU1065" s="53" t="n">
        <v>0</v>
      </c>
      <c r="AV1065" s="53" t="n">
        <v>0</v>
      </c>
      <c r="AW1065" s="53" t="n">
        <v>0</v>
      </c>
      <c r="AX1065" s="53" t="n">
        <v>0</v>
      </c>
      <c r="AY1065" s="52" t="n">
        <v>0</v>
      </c>
      <c r="AZ1065" s="52" t="n">
        <v>19.99</v>
      </c>
      <c r="BA1065" s="52" t="n">
        <v>0</v>
      </c>
      <c r="BB1065" s="52" t="n">
        <v>0</v>
      </c>
      <c r="BC1065" s="51" t="n">
        <v>0</v>
      </c>
      <c r="BD1065" s="51" t="n">
        <v>0</v>
      </c>
      <c r="BE1065" s="51" t="n">
        <v>0</v>
      </c>
      <c r="BF1065" s="51" t="n">
        <v>0</v>
      </c>
    </row>
    <row r="1066">
      <c r="A1066">
        <f>HYPERLINK("https://www.walmart.com/ip/716687678", "716687678")</f>
        <v/>
      </c>
      <c r="B1066" t="inlineStr">
        <is>
          <t>Terra Womens Floppy Beach Summer Hat Reversible Sunhat Packable Wide Brim Flower Pattern Navy</t>
        </is>
      </c>
      <c r="C1066" t="inlineStr">
        <is>
          <t>TERRACAP-F069-NAY</t>
        </is>
      </c>
      <c r="D1066" t="inlineStr">
        <is>
          <t>Hats</t>
        </is>
      </c>
      <c r="E1066" t="inlineStr">
        <is>
          <t>Terra</t>
        </is>
      </c>
      <c r="F1066" t="inlineStr">
        <is>
          <t>Hats,Batch 1 - TR</t>
        </is>
      </c>
      <c r="G1066" s="48" t="n">
        <v>0</v>
      </c>
      <c r="H1066" s="48" t="n">
        <v>0</v>
      </c>
      <c r="I1066" s="48" t="n">
        <v>0</v>
      </c>
      <c r="J1066" s="48" t="n">
        <v>0</v>
      </c>
      <c r="K1066" s="49" t="n">
        <v>0</v>
      </c>
      <c r="L1066" s="49" t="n">
        <v>0</v>
      </c>
      <c r="M1066" s="49" t="n">
        <v>0</v>
      </c>
      <c r="N1066" s="49" t="n">
        <v>0</v>
      </c>
      <c r="O1066" s="49" t="n">
        <v>0</v>
      </c>
      <c r="P1066" s="49" t="n">
        <v>0</v>
      </c>
      <c r="Q1066" s="49" t="n">
        <v>0</v>
      </c>
      <c r="R1066" s="49" t="n">
        <v>0</v>
      </c>
      <c r="S1066" s="50" t="n">
        <v>0</v>
      </c>
      <c r="T1066" s="50" t="n">
        <v>0</v>
      </c>
      <c r="U1066" s="50" t="n">
        <v>0</v>
      </c>
      <c r="V1066" s="50" t="n">
        <v>0</v>
      </c>
      <c r="W1066" s="51" t="n">
        <v>0</v>
      </c>
      <c r="X1066" s="51" t="n">
        <v>0</v>
      </c>
      <c r="Y1066" s="51" t="n">
        <v>0</v>
      </c>
      <c r="Z1066" s="51" t="n">
        <v>0</v>
      </c>
      <c r="AA1066" s="52" t="n">
        <v>0</v>
      </c>
      <c r="AB1066" s="52" t="n">
        <v>0</v>
      </c>
      <c r="AC1066" s="52" t="n">
        <v>0</v>
      </c>
      <c r="AD1066" s="52" t="n">
        <v>0</v>
      </c>
      <c r="AE1066" s="52" t="n">
        <v>0</v>
      </c>
      <c r="AF1066" s="52" t="n">
        <v>0</v>
      </c>
      <c r="AG1066" s="52" t="n">
        <v>0</v>
      </c>
      <c r="AH1066" s="52" t="n">
        <v>0</v>
      </c>
      <c r="AI1066" s="52" t="n">
        <v>0</v>
      </c>
      <c r="AJ1066" s="52" t="n">
        <v>0</v>
      </c>
      <c r="AK1066" s="52" t="n">
        <v>0</v>
      </c>
      <c r="AL1066" s="52" t="n">
        <v>0</v>
      </c>
      <c r="AM1066" s="53" t="n">
        <v>0</v>
      </c>
      <c r="AN1066" s="53" t="n">
        <v>0</v>
      </c>
      <c r="AO1066" s="53" t="n">
        <v>0</v>
      </c>
      <c r="AP1066" s="53" t="n">
        <v>0</v>
      </c>
      <c r="AQ1066" s="52" t="n">
        <v>0</v>
      </c>
      <c r="AR1066" s="52" t="n">
        <v>0</v>
      </c>
      <c r="AS1066" s="52" t="n">
        <v>0</v>
      </c>
      <c r="AT1066" s="52" t="n">
        <v>0</v>
      </c>
      <c r="AU1066" s="53" t="n">
        <v>0</v>
      </c>
      <c r="AV1066" s="53" t="n">
        <v>0</v>
      </c>
      <c r="AW1066" s="53" t="n">
        <v>0</v>
      </c>
      <c r="AX1066" s="53" t="n">
        <v>0</v>
      </c>
      <c r="AY1066" s="52" t="n">
        <v>0</v>
      </c>
      <c r="AZ1066" s="52" t="n">
        <v>0</v>
      </c>
      <c r="BA1066" s="52" t="n">
        <v>0</v>
      </c>
      <c r="BB1066" s="52" t="n">
        <v>0</v>
      </c>
      <c r="BC1066" s="51" t="n">
        <v>0</v>
      </c>
      <c r="BD1066" s="51" t="n">
        <v>0</v>
      </c>
      <c r="BE1066" s="51" t="n">
        <v>0</v>
      </c>
      <c r="BF1066" s="51" t="n">
        <v>0</v>
      </c>
    </row>
    <row r="1067">
      <c r="A1067">
        <f>HYPERLINK("https://www.walmart.com/ip/716767861", "716767861")</f>
        <v/>
      </c>
      <c r="B1067" t="inlineStr">
        <is>
          <t>Tirrinia Insulated Wine Carrier Tote - Travel Padded 2 Bottle Wine/Champagne Cooler Bag with Handle and Adjustable Shoulder Strap + Free Corkscrew, Great Wine Lover Gift, Black</t>
        </is>
      </c>
      <c r="C1067" t="inlineStr">
        <is>
          <t>1KTWB210BKCK</t>
        </is>
      </c>
      <c r="D1067" t="inlineStr">
        <is>
          <t>Wine Totes, Bags &amp; Backpacks</t>
        </is>
      </c>
      <c r="E1067" t="inlineStr">
        <is>
          <t>Tirrinia</t>
        </is>
      </c>
      <c r="F1067" t="inlineStr">
        <is>
          <t>Wine,Wine Bag Camp,Wine WFS,Batch 1 - TR,Lily Brand Camp</t>
        </is>
      </c>
      <c r="G1067" s="48" t="n">
        <v>0</v>
      </c>
      <c r="H1067" s="48" t="n">
        <v>0</v>
      </c>
      <c r="I1067" s="48" t="n">
        <v>0</v>
      </c>
      <c r="J1067" s="48" t="n">
        <v>0</v>
      </c>
      <c r="K1067" s="49" t="n">
        <v>0</v>
      </c>
      <c r="L1067" s="49" t="n">
        <v>0</v>
      </c>
      <c r="M1067" s="49" t="n">
        <v>0</v>
      </c>
      <c r="N1067" s="49" t="n">
        <v>0</v>
      </c>
      <c r="O1067" s="49" t="n">
        <v>0</v>
      </c>
      <c r="P1067" s="49" t="n">
        <v>0</v>
      </c>
      <c r="Q1067" s="49" t="n">
        <v>0</v>
      </c>
      <c r="R1067" s="49" t="n">
        <v>0</v>
      </c>
      <c r="S1067" s="50" t="n">
        <v>0</v>
      </c>
      <c r="T1067" s="50" t="n">
        <v>0</v>
      </c>
      <c r="U1067" s="50" t="n">
        <v>0</v>
      </c>
      <c r="V1067" s="50" t="n">
        <v>0</v>
      </c>
      <c r="W1067" s="51" t="n">
        <v>0</v>
      </c>
      <c r="X1067" s="51" t="n">
        <v>0</v>
      </c>
      <c r="Y1067" s="51" t="n">
        <v>0</v>
      </c>
      <c r="Z1067" s="51" t="n">
        <v>0</v>
      </c>
      <c r="AA1067" s="52" t="n">
        <v>0</v>
      </c>
      <c r="AB1067" s="52" t="n">
        <v>0</v>
      </c>
      <c r="AC1067" s="52" t="n">
        <v>0</v>
      </c>
      <c r="AD1067" s="52" t="n">
        <v>0</v>
      </c>
      <c r="AE1067" s="52" t="n">
        <v>0</v>
      </c>
      <c r="AF1067" s="52" t="n">
        <v>0</v>
      </c>
      <c r="AG1067" s="52" t="n">
        <v>0</v>
      </c>
      <c r="AH1067" s="52" t="n">
        <v>0</v>
      </c>
      <c r="AI1067" s="52" t="n">
        <v>0</v>
      </c>
      <c r="AJ1067" s="52" t="n">
        <v>0</v>
      </c>
      <c r="AK1067" s="52" t="n">
        <v>0</v>
      </c>
      <c r="AL1067" s="52" t="n">
        <v>0</v>
      </c>
      <c r="AM1067" s="53" t="n">
        <v>0</v>
      </c>
      <c r="AN1067" s="53" t="n">
        <v>0</v>
      </c>
      <c r="AO1067" s="53" t="n">
        <v>0</v>
      </c>
      <c r="AP1067" s="53" t="n">
        <v>0</v>
      </c>
      <c r="AQ1067" s="52" t="n">
        <v>0</v>
      </c>
      <c r="AR1067" s="52" t="n">
        <v>0</v>
      </c>
      <c r="AS1067" s="52" t="n">
        <v>0</v>
      </c>
      <c r="AT1067" s="52" t="n">
        <v>0</v>
      </c>
      <c r="AU1067" s="53" t="n">
        <v>0</v>
      </c>
      <c r="AV1067" s="53" t="n">
        <v>0</v>
      </c>
      <c r="AW1067" s="53" t="n">
        <v>0</v>
      </c>
      <c r="AX1067" s="53" t="n">
        <v>0</v>
      </c>
      <c r="AY1067" s="52" t="n">
        <v>0</v>
      </c>
      <c r="AZ1067" s="52" t="n">
        <v>0</v>
      </c>
      <c r="BA1067" s="52" t="n">
        <v>0</v>
      </c>
      <c r="BB1067" s="52" t="n">
        <v>0</v>
      </c>
      <c r="BC1067" s="51" t="n">
        <v>0</v>
      </c>
      <c r="BD1067" s="51" t="n">
        <v>0</v>
      </c>
      <c r="BE1067" s="51" t="n">
        <v>0</v>
      </c>
      <c r="BF1067" s="51" t="n">
        <v>0</v>
      </c>
    </row>
    <row r="1068">
      <c r="A1068">
        <f>HYPERLINK("https://www.walmart.com/ip/717653561", "717653561")</f>
        <v/>
      </c>
      <c r="B1068" t="inlineStr">
        <is>
          <t>Sherpa Wearable Blanket with Sleeves &amp; Foot Pockets for Adult Women Men, Comfy Snuggle Wrap Sleeved Throw Blanket Robe, Gift Idea, Zebra</t>
        </is>
      </c>
      <c r="C1068" t="inlineStr">
        <is>
          <t>1CTSN310ZEBRA</t>
        </is>
      </c>
      <c r="D1068" t="inlineStr">
        <is>
          <t>Throws</t>
        </is>
      </c>
      <c r="E1068" t="inlineStr">
        <is>
          <t>Catalonia</t>
        </is>
      </c>
      <c r="F1068" t="inlineStr">
        <is>
          <t>Q2-Target,Optimized,WFS,Coupon_Discount,WFS Item</t>
        </is>
      </c>
      <c r="G1068" s="48" t="n">
        <v>0</v>
      </c>
      <c r="H1068" s="48" t="n">
        <v>0</v>
      </c>
      <c r="I1068" s="48" t="n">
        <v>0</v>
      </c>
      <c r="J1068" s="48" t="n">
        <v>0</v>
      </c>
      <c r="K1068" s="49" t="n">
        <v>0</v>
      </c>
      <c r="L1068" s="49" t="n">
        <v>0</v>
      </c>
      <c r="M1068" s="49" t="n">
        <v>0</v>
      </c>
      <c r="N1068" s="49" t="n">
        <v>0</v>
      </c>
      <c r="O1068" s="49" t="n">
        <v>0</v>
      </c>
      <c r="P1068" s="49" t="n">
        <v>0</v>
      </c>
      <c r="Q1068" s="49" t="n">
        <v>0</v>
      </c>
      <c r="R1068" s="49" t="n">
        <v>0</v>
      </c>
      <c r="S1068" s="50" t="n">
        <v>0</v>
      </c>
      <c r="T1068" s="50" t="n">
        <v>0</v>
      </c>
      <c r="U1068" s="50" t="n">
        <v>0</v>
      </c>
      <c r="V1068" s="50" t="n">
        <v>0</v>
      </c>
      <c r="W1068" s="51" t="n">
        <v>0</v>
      </c>
      <c r="X1068" s="51" t="n">
        <v>0</v>
      </c>
      <c r="Y1068" s="51" t="n">
        <v>0</v>
      </c>
      <c r="Z1068" s="51" t="n">
        <v>0</v>
      </c>
      <c r="AA1068" s="52" t="n">
        <v>0</v>
      </c>
      <c r="AB1068" s="52" t="n">
        <v>0</v>
      </c>
      <c r="AC1068" s="52" t="n">
        <v>0</v>
      </c>
      <c r="AD1068" s="52" t="n">
        <v>0</v>
      </c>
      <c r="AE1068" s="52" t="n">
        <v>0</v>
      </c>
      <c r="AF1068" s="52" t="n">
        <v>0</v>
      </c>
      <c r="AG1068" s="52" t="n">
        <v>0</v>
      </c>
      <c r="AH1068" s="52" t="n">
        <v>0</v>
      </c>
      <c r="AI1068" s="52" t="n">
        <v>0</v>
      </c>
      <c r="AJ1068" s="52" t="n">
        <v>0</v>
      </c>
      <c r="AK1068" s="52" t="n">
        <v>0</v>
      </c>
      <c r="AL1068" s="52" t="n">
        <v>0</v>
      </c>
      <c r="AM1068" s="53" t="n">
        <v>0</v>
      </c>
      <c r="AN1068" s="53" t="n">
        <v>0</v>
      </c>
      <c r="AO1068" s="53" t="n">
        <v>0</v>
      </c>
      <c r="AP1068" s="53" t="n">
        <v>0</v>
      </c>
      <c r="AQ1068" s="52" t="n">
        <v>0</v>
      </c>
      <c r="AR1068" s="52" t="n">
        <v>0</v>
      </c>
      <c r="AS1068" s="52" t="n">
        <v>0</v>
      </c>
      <c r="AT1068" s="52" t="n">
        <v>0</v>
      </c>
      <c r="AU1068" s="53" t="n">
        <v>0</v>
      </c>
      <c r="AV1068" s="53" t="n">
        <v>0</v>
      </c>
      <c r="AW1068" s="53" t="n">
        <v>0</v>
      </c>
      <c r="AX1068" s="53" t="n">
        <v>0</v>
      </c>
      <c r="AY1068" s="52" t="n">
        <v>0</v>
      </c>
      <c r="AZ1068" s="52" t="n">
        <v>0</v>
      </c>
      <c r="BA1068" s="52" t="n">
        <v>0</v>
      </c>
      <c r="BB1068" s="52" t="n">
        <v>0</v>
      </c>
      <c r="BC1068" s="51" t="n">
        <v>0</v>
      </c>
      <c r="BD1068" s="51" t="n">
        <v>0</v>
      </c>
      <c r="BE1068" s="51" t="n">
        <v>0</v>
      </c>
      <c r="BF1068" s="51" t="n">
        <v>0</v>
      </c>
    </row>
    <row r="1069">
      <c r="A1069">
        <f>HYPERLINK("https://www.walmart.com/ip/718394544", "718394544")</f>
        <v/>
      </c>
      <c r="B1069" t="inlineStr">
        <is>
          <t>Flyingstar Women's Ponytail Sun Hat for Hiking, Gardening and Safari, Wide Brim Hat For Women with Breathable Mesh and Ponytail Hole Opening, Tan</t>
        </is>
      </c>
      <c r="C1069" t="inlineStr">
        <is>
          <t>1WMSH912TN</t>
        </is>
      </c>
      <c r="D1069" t="inlineStr">
        <is>
          <t>Hats</t>
        </is>
      </c>
      <c r="E1069" t="inlineStr">
        <is>
          <t>Flyingstar</t>
        </is>
      </c>
      <c r="F1069" t="inlineStr">
        <is>
          <t>Optimized,Hats</t>
        </is>
      </c>
      <c r="G1069" s="48" t="n">
        <v>0</v>
      </c>
      <c r="H1069" s="48" t="n">
        <v>0</v>
      </c>
      <c r="I1069" s="48" t="n">
        <v>0</v>
      </c>
      <c r="J1069" s="48" t="n">
        <v>0</v>
      </c>
      <c r="K1069" s="49" t="n">
        <v>0</v>
      </c>
      <c r="L1069" s="49" t="n">
        <v>0</v>
      </c>
      <c r="M1069" s="49" t="n">
        <v>0</v>
      </c>
      <c r="N1069" s="49" t="n">
        <v>0</v>
      </c>
      <c r="O1069" s="49" t="n">
        <v>0</v>
      </c>
      <c r="P1069" s="49" t="n">
        <v>0</v>
      </c>
      <c r="Q1069" s="49" t="n">
        <v>0</v>
      </c>
      <c r="R1069" s="49" t="n">
        <v>0</v>
      </c>
      <c r="S1069" s="50" t="n">
        <v>0</v>
      </c>
      <c r="T1069" s="50" t="n">
        <v>0</v>
      </c>
      <c r="U1069" s="50" t="n">
        <v>0</v>
      </c>
      <c r="V1069" s="50" t="n">
        <v>0</v>
      </c>
      <c r="W1069" s="51" t="n">
        <v>0</v>
      </c>
      <c r="X1069" s="51" t="n">
        <v>0</v>
      </c>
      <c r="Y1069" s="51" t="n">
        <v>0</v>
      </c>
      <c r="Z1069" s="51" t="n">
        <v>0</v>
      </c>
      <c r="AA1069" s="52" t="n">
        <v>0</v>
      </c>
      <c r="AB1069" s="52" t="n">
        <v>0</v>
      </c>
      <c r="AC1069" s="52" t="n">
        <v>0</v>
      </c>
      <c r="AD1069" s="52" t="n">
        <v>0</v>
      </c>
      <c r="AE1069" s="52" t="n">
        <v>0</v>
      </c>
      <c r="AF1069" s="52" t="n">
        <v>0</v>
      </c>
      <c r="AG1069" s="52" t="n">
        <v>0</v>
      </c>
      <c r="AH1069" s="52" t="n">
        <v>0</v>
      </c>
      <c r="AI1069" s="52" t="n">
        <v>0</v>
      </c>
      <c r="AJ1069" s="52" t="n">
        <v>0</v>
      </c>
      <c r="AK1069" s="52" t="n">
        <v>0</v>
      </c>
      <c r="AL1069" s="52" t="n">
        <v>0</v>
      </c>
      <c r="AM1069" s="53" t="n">
        <v>0</v>
      </c>
      <c r="AN1069" s="53" t="n">
        <v>0</v>
      </c>
      <c r="AO1069" s="53" t="n">
        <v>0</v>
      </c>
      <c r="AP1069" s="53" t="n">
        <v>0</v>
      </c>
      <c r="AQ1069" s="52" t="n">
        <v>0</v>
      </c>
      <c r="AR1069" s="52" t="n">
        <v>0</v>
      </c>
      <c r="AS1069" s="52" t="n">
        <v>0</v>
      </c>
      <c r="AT1069" s="52" t="n">
        <v>0</v>
      </c>
      <c r="AU1069" s="53" t="n">
        <v>0</v>
      </c>
      <c r="AV1069" s="53" t="n">
        <v>0</v>
      </c>
      <c r="AW1069" s="53" t="n">
        <v>0</v>
      </c>
      <c r="AX1069" s="53" t="n">
        <v>0</v>
      </c>
      <c r="AY1069" s="52" t="n">
        <v>0</v>
      </c>
      <c r="AZ1069" s="52" t="n">
        <v>0</v>
      </c>
      <c r="BA1069" s="52" t="n">
        <v>0</v>
      </c>
      <c r="BB1069" s="52" t="n">
        <v>0</v>
      </c>
      <c r="BC1069" s="51" t="n">
        <v>0</v>
      </c>
      <c r="BD1069" s="51" t="n">
        <v>0</v>
      </c>
      <c r="BE1069" s="51" t="n">
        <v>0</v>
      </c>
      <c r="BF1069" s="51" t="n">
        <v>0</v>
      </c>
    </row>
    <row r="1070">
      <c r="A1070">
        <f>HYPERLINK("https://www.walmart.com/ip/719130562", "719130562")</f>
        <v/>
      </c>
      <c r="B1070" t="inlineStr">
        <is>
          <t>Tirrinia Wearable Fleece Blanket Plush Comfy Poncho For Adults Women Men, Purple</t>
        </is>
      </c>
      <c r="C1070" t="inlineStr">
        <is>
          <t>1TRBP200PP-TBCB</t>
        </is>
      </c>
      <c r="D1070" t="inlineStr">
        <is>
          <t>Throws</t>
        </is>
      </c>
      <c r="E1070" t="inlineStr">
        <is>
          <t>Tirrinia</t>
        </is>
      </c>
      <c r="F1070" t="inlineStr">
        <is>
          <t>Optimized</t>
        </is>
      </c>
      <c r="G1070" s="48" t="n">
        <v>0</v>
      </c>
      <c r="H1070" s="48" t="n">
        <v>0</v>
      </c>
      <c r="I1070" s="48" t="n">
        <v>0</v>
      </c>
      <c r="J1070" s="48" t="n">
        <v>0</v>
      </c>
      <c r="K1070" s="49" t="n">
        <v>0</v>
      </c>
      <c r="L1070" s="49" t="n">
        <v>0</v>
      </c>
      <c r="M1070" s="49" t="n">
        <v>0</v>
      </c>
      <c r="N1070" s="49" t="n">
        <v>0</v>
      </c>
      <c r="O1070" s="49" t="n">
        <v>0</v>
      </c>
      <c r="P1070" s="49" t="n">
        <v>0</v>
      </c>
      <c r="Q1070" s="49" t="n">
        <v>0</v>
      </c>
      <c r="R1070" s="49" t="n">
        <v>0</v>
      </c>
      <c r="S1070" s="50" t="n">
        <v>0</v>
      </c>
      <c r="T1070" s="50" t="n">
        <v>0</v>
      </c>
      <c r="U1070" s="50" t="n">
        <v>0</v>
      </c>
      <c r="V1070" s="50" t="n">
        <v>0</v>
      </c>
      <c r="W1070" s="51" t="n">
        <v>0</v>
      </c>
      <c r="X1070" s="51" t="n">
        <v>0</v>
      </c>
      <c r="Y1070" s="51" t="n">
        <v>0</v>
      </c>
      <c r="Z1070" s="51" t="n">
        <v>0</v>
      </c>
      <c r="AA1070" s="52" t="n">
        <v>0</v>
      </c>
      <c r="AB1070" s="52" t="n">
        <v>0</v>
      </c>
      <c r="AC1070" s="52" t="n">
        <v>0</v>
      </c>
      <c r="AD1070" s="52" t="n">
        <v>0</v>
      </c>
      <c r="AE1070" s="52" t="n">
        <v>0</v>
      </c>
      <c r="AF1070" s="52" t="n">
        <v>0</v>
      </c>
      <c r="AG1070" s="52" t="n">
        <v>0</v>
      </c>
      <c r="AH1070" s="52" t="n">
        <v>0</v>
      </c>
      <c r="AI1070" s="52" t="n">
        <v>0</v>
      </c>
      <c r="AJ1070" s="52" t="n">
        <v>0</v>
      </c>
      <c r="AK1070" s="52" t="n">
        <v>0</v>
      </c>
      <c r="AL1070" s="52" t="n">
        <v>0</v>
      </c>
      <c r="AM1070" s="53" t="n">
        <v>0</v>
      </c>
      <c r="AN1070" s="53" t="n">
        <v>0</v>
      </c>
      <c r="AO1070" s="53" t="n">
        <v>0</v>
      </c>
      <c r="AP1070" s="53" t="n">
        <v>0</v>
      </c>
      <c r="AQ1070" s="52" t="n">
        <v>0</v>
      </c>
      <c r="AR1070" s="52" t="n">
        <v>0</v>
      </c>
      <c r="AS1070" s="52" t="n">
        <v>0</v>
      </c>
      <c r="AT1070" s="52" t="n">
        <v>0</v>
      </c>
      <c r="AU1070" s="53" t="n">
        <v>0</v>
      </c>
      <c r="AV1070" s="53" t="n">
        <v>0</v>
      </c>
      <c r="AW1070" s="53" t="n">
        <v>0</v>
      </c>
      <c r="AX1070" s="53" t="n">
        <v>0</v>
      </c>
      <c r="AY1070" s="52" t="n">
        <v>0</v>
      </c>
      <c r="AZ1070" s="52" t="n">
        <v>0</v>
      </c>
      <c r="BA1070" s="52" t="n">
        <v>0</v>
      </c>
      <c r="BB1070" s="52" t="n">
        <v>0</v>
      </c>
      <c r="BC1070" s="51" t="n">
        <v>0</v>
      </c>
      <c r="BD1070" s="51" t="n">
        <v>0</v>
      </c>
      <c r="BE1070" s="51" t="n">
        <v>0</v>
      </c>
      <c r="BF1070" s="51" t="n">
        <v>0</v>
      </c>
    </row>
    <row r="1071">
      <c r="A1071">
        <f>HYPERLINK("https://www.walmart.com/ip/720447721", "720447721")</f>
        <v/>
      </c>
      <c r="B1071" t="inlineStr">
        <is>
          <t>JenniWears Women Sexy Lace Boyshort Panty Plus Size Stretch Mesh Briefs Lingerie Underwear Sleepwear Red</t>
        </is>
      </c>
      <c r="C1071" t="inlineStr">
        <is>
          <t>JWPT05RD-3XL</t>
        </is>
      </c>
      <c r="D1071" t="inlineStr">
        <is>
          <t>Panties</t>
        </is>
      </c>
      <c r="E1071" t="inlineStr">
        <is>
          <t>JenniWears</t>
        </is>
      </c>
      <c r="F1071" t="inlineStr">
        <is>
          <t>Valentine</t>
        </is>
      </c>
      <c r="G1071" s="48" t="n">
        <v>0</v>
      </c>
      <c r="H1071" s="48" t="n">
        <v>0</v>
      </c>
      <c r="I1071" s="48" t="n">
        <v>0</v>
      </c>
      <c r="J1071" s="48" t="n">
        <v>0</v>
      </c>
      <c r="K1071" s="49" t="n">
        <v>0</v>
      </c>
      <c r="L1071" s="49" t="n">
        <v>0</v>
      </c>
      <c r="M1071" s="49" t="n">
        <v>0</v>
      </c>
      <c r="N1071" s="49" t="n">
        <v>0</v>
      </c>
      <c r="O1071" s="49" t="n">
        <v>0</v>
      </c>
      <c r="P1071" s="49" t="n">
        <v>0</v>
      </c>
      <c r="Q1071" s="49" t="n">
        <v>0</v>
      </c>
      <c r="R1071" s="49" t="n">
        <v>0</v>
      </c>
      <c r="S1071" s="50" t="n">
        <v>0</v>
      </c>
      <c r="T1071" s="50" t="n">
        <v>0</v>
      </c>
      <c r="U1071" s="50" t="n">
        <v>0</v>
      </c>
      <c r="V1071" s="50" t="n">
        <v>0</v>
      </c>
      <c r="W1071" s="51" t="n">
        <v>0</v>
      </c>
      <c r="X1071" s="51" t="n">
        <v>0</v>
      </c>
      <c r="Y1071" s="51" t="n">
        <v>0</v>
      </c>
      <c r="Z1071" s="51" t="n">
        <v>0</v>
      </c>
      <c r="AA1071" s="52" t="n">
        <v>0</v>
      </c>
      <c r="AB1071" s="52" t="n">
        <v>0</v>
      </c>
      <c r="AC1071" s="52" t="n">
        <v>0</v>
      </c>
      <c r="AD1071" s="52" t="n">
        <v>0</v>
      </c>
      <c r="AE1071" s="52" t="n">
        <v>0</v>
      </c>
      <c r="AF1071" s="52" t="n">
        <v>0</v>
      </c>
      <c r="AG1071" s="52" t="n">
        <v>0</v>
      </c>
      <c r="AH1071" s="52" t="n">
        <v>0</v>
      </c>
      <c r="AI1071" s="52" t="n">
        <v>0</v>
      </c>
      <c r="AJ1071" s="52" t="n">
        <v>0</v>
      </c>
      <c r="AK1071" s="52" t="n">
        <v>0</v>
      </c>
      <c r="AL1071" s="52" t="n">
        <v>0</v>
      </c>
      <c r="AM1071" s="53" t="n">
        <v>0</v>
      </c>
      <c r="AN1071" s="53" t="n">
        <v>0</v>
      </c>
      <c r="AO1071" s="53" t="n">
        <v>0</v>
      </c>
      <c r="AP1071" s="53" t="n">
        <v>0</v>
      </c>
      <c r="AQ1071" s="52" t="n">
        <v>0</v>
      </c>
      <c r="AR1071" s="52" t="n">
        <v>0</v>
      </c>
      <c r="AS1071" s="52" t="n">
        <v>0</v>
      </c>
      <c r="AT1071" s="52" t="n">
        <v>0</v>
      </c>
      <c r="AU1071" s="53" t="n">
        <v>0</v>
      </c>
      <c r="AV1071" s="53" t="n">
        <v>0</v>
      </c>
      <c r="AW1071" s="53" t="n">
        <v>0</v>
      </c>
      <c r="AX1071" s="53" t="n">
        <v>0</v>
      </c>
      <c r="AY1071" s="52" t="n">
        <v>0</v>
      </c>
      <c r="AZ1071" s="52" t="n">
        <v>0</v>
      </c>
      <c r="BA1071" s="52" t="n">
        <v>0</v>
      </c>
      <c r="BB1071" s="52" t="n">
        <v>0</v>
      </c>
      <c r="BC1071" s="51" t="n">
        <v>0</v>
      </c>
      <c r="BD1071" s="51" t="n">
        <v>0</v>
      </c>
      <c r="BE1071" s="51" t="n">
        <v>0</v>
      </c>
      <c r="BF1071" s="51" t="n">
        <v>0</v>
      </c>
    </row>
    <row r="1072">
      <c r="A1072">
        <f>HYPERLINK("https://www.walmart.com/ip/724653683", "724653683")</f>
        <v/>
      </c>
      <c r="B1072" t="inlineStr">
        <is>
          <t>Tirrinia Leakproof Thermal Reusable Insulated Lunch Bag for Men and Women With Shoulder Strap, Black Checkered</t>
        </is>
      </c>
      <c r="C1072" t="inlineStr">
        <is>
          <t>1TRLB702P1BRCK</t>
        </is>
      </c>
      <c r="D1072" t="inlineStr">
        <is>
          <t>Reusable Lunch Bags &amp; Boxes</t>
        </is>
      </c>
      <c r="E1072" t="inlineStr">
        <is>
          <t>Tirrinia</t>
        </is>
      </c>
      <c r="F1072" t="inlineStr">
        <is>
          <t>Q2-Target,Brand Camp VD,Lunch Bag,Optimized,SEM</t>
        </is>
      </c>
      <c r="G1072" s="48" t="n">
        <v>0</v>
      </c>
      <c r="H1072" s="48" t="n">
        <v>-12.99</v>
      </c>
      <c r="I1072" s="48" t="n">
        <v>0</v>
      </c>
      <c r="J1072" s="48" t="n">
        <v>0</v>
      </c>
      <c r="K1072" s="49" t="n">
        <v>0</v>
      </c>
      <c r="L1072" s="49" t="n">
        <v>-1</v>
      </c>
      <c r="M1072" s="49" t="n">
        <v>0</v>
      </c>
      <c r="N1072" s="49" t="n">
        <v>0</v>
      </c>
      <c r="O1072" s="49" t="n">
        <v>0</v>
      </c>
      <c r="P1072" s="49" t="n">
        <v>0</v>
      </c>
      <c r="Q1072" s="49" t="n">
        <v>2</v>
      </c>
      <c r="R1072" s="49" t="n">
        <v>6</v>
      </c>
      <c r="S1072" s="50" t="n">
        <v>0</v>
      </c>
      <c r="T1072" s="50" t="n">
        <v>0</v>
      </c>
      <c r="U1072" s="50" t="n">
        <v>0</v>
      </c>
      <c r="V1072" s="50" t="n">
        <v>0</v>
      </c>
      <c r="W1072" s="51" t="n">
        <v>0</v>
      </c>
      <c r="X1072" s="51" t="n">
        <v>0</v>
      </c>
      <c r="Y1072" s="51" t="n">
        <v>0</v>
      </c>
      <c r="Z1072" s="51" t="n">
        <v>0</v>
      </c>
      <c r="AA1072" s="52" t="n">
        <v>0</v>
      </c>
      <c r="AB1072" s="52" t="n">
        <v>0</v>
      </c>
      <c r="AC1072" s="52" t="n">
        <v>0</v>
      </c>
      <c r="AD1072" s="52" t="n">
        <v>0</v>
      </c>
      <c r="AE1072" s="52" t="n">
        <v>0</v>
      </c>
      <c r="AF1072" s="52" t="n">
        <v>0</v>
      </c>
      <c r="AG1072" s="52" t="n">
        <v>0</v>
      </c>
      <c r="AH1072" s="52" t="n">
        <v>0</v>
      </c>
      <c r="AI1072" s="52" t="n">
        <v>0</v>
      </c>
      <c r="AJ1072" s="52" t="n">
        <v>0</v>
      </c>
      <c r="AK1072" s="52" t="n">
        <v>0</v>
      </c>
      <c r="AL1072" s="52" t="n">
        <v>0</v>
      </c>
      <c r="AM1072" s="53" t="n">
        <v>0</v>
      </c>
      <c r="AN1072" s="53" t="n">
        <v>0</v>
      </c>
      <c r="AO1072" s="53" t="n">
        <v>0</v>
      </c>
      <c r="AP1072" s="53" t="n">
        <v>0</v>
      </c>
      <c r="AQ1072" s="52" t="n">
        <v>0</v>
      </c>
      <c r="AR1072" s="52" t="n">
        <v>0</v>
      </c>
      <c r="AS1072" s="52" t="n">
        <v>0</v>
      </c>
      <c r="AT1072" s="52" t="n">
        <v>0</v>
      </c>
      <c r="AU1072" s="53" t="n">
        <v>0</v>
      </c>
      <c r="AV1072" s="53" t="n">
        <v>0</v>
      </c>
      <c r="AW1072" s="53" t="n">
        <v>0</v>
      </c>
      <c r="AX1072" s="53" t="n">
        <v>0</v>
      </c>
      <c r="AY1072" s="52" t="n">
        <v>0</v>
      </c>
      <c r="AZ1072" s="52" t="n">
        <v>0</v>
      </c>
      <c r="BA1072" s="52" t="n">
        <v>0</v>
      </c>
      <c r="BB1072" s="52" t="n">
        <v>0</v>
      </c>
      <c r="BC1072" s="51" t="n">
        <v>0</v>
      </c>
      <c r="BD1072" s="51" t="n">
        <v>0</v>
      </c>
      <c r="BE1072" s="51" t="n">
        <v>0</v>
      </c>
      <c r="BF1072" s="51" t="n">
        <v>0</v>
      </c>
    </row>
    <row r="1073">
      <c r="A1073">
        <f>HYPERLINK("https://www.walmart.com/ip/725168068", "725168068")</f>
        <v/>
      </c>
      <c r="B1073" t="inlineStr">
        <is>
          <t>Tirrinia Large Insulated Picnic Basket, Foldable Bag, 28L Leakproof Portable Basket Set, Blue</t>
        </is>
      </c>
      <c r="C1073" t="inlineStr">
        <is>
          <t>1TRPB100-BL</t>
        </is>
      </c>
      <c r="D1073" t="inlineStr">
        <is>
          <t>Picnic Baskets &amp; Bags</t>
        </is>
      </c>
      <c r="E1073" t="inlineStr">
        <is>
          <t>Tirrinia</t>
        </is>
      </c>
      <c r="F1073" t="inlineStr">
        <is>
          <t>Batch 1 - TR</t>
        </is>
      </c>
      <c r="G1073" s="48" t="n">
        <v>0</v>
      </c>
      <c r="H1073" s="48" t="n">
        <v>0</v>
      </c>
      <c r="I1073" s="48" t="n">
        <v>0</v>
      </c>
      <c r="J1073" s="48" t="n">
        <v>0</v>
      </c>
      <c r="K1073" s="49" t="n">
        <v>0</v>
      </c>
      <c r="L1073" s="49" t="n">
        <v>0</v>
      </c>
      <c r="M1073" s="49" t="n">
        <v>0</v>
      </c>
      <c r="N1073" s="49" t="n">
        <v>0</v>
      </c>
      <c r="O1073" s="49" t="n">
        <v>0</v>
      </c>
      <c r="P1073" s="49" t="n">
        <v>0</v>
      </c>
      <c r="Q1073" s="49" t="n">
        <v>0</v>
      </c>
      <c r="R1073" s="49" t="n">
        <v>0</v>
      </c>
      <c r="S1073" s="50" t="n">
        <v>0</v>
      </c>
      <c r="T1073" s="50" t="n">
        <v>0</v>
      </c>
      <c r="U1073" s="50" t="n">
        <v>0</v>
      </c>
      <c r="V1073" s="50" t="n">
        <v>0</v>
      </c>
      <c r="W1073" s="51" t="n">
        <v>0</v>
      </c>
      <c r="X1073" s="51" t="n">
        <v>0</v>
      </c>
      <c r="Y1073" s="51" t="n">
        <v>0</v>
      </c>
      <c r="Z1073" s="51" t="n">
        <v>0</v>
      </c>
      <c r="AA1073" s="52" t="n">
        <v>0</v>
      </c>
      <c r="AB1073" s="52" t="n">
        <v>0</v>
      </c>
      <c r="AC1073" s="52" t="n">
        <v>0</v>
      </c>
      <c r="AD1073" s="52" t="n">
        <v>0</v>
      </c>
      <c r="AE1073" s="52" t="n">
        <v>0</v>
      </c>
      <c r="AF1073" s="52" t="n">
        <v>0</v>
      </c>
      <c r="AG1073" s="52" t="n">
        <v>0</v>
      </c>
      <c r="AH1073" s="52" t="n">
        <v>0</v>
      </c>
      <c r="AI1073" s="52" t="n">
        <v>0</v>
      </c>
      <c r="AJ1073" s="52" t="n">
        <v>0</v>
      </c>
      <c r="AK1073" s="52" t="n">
        <v>0</v>
      </c>
      <c r="AL1073" s="52" t="n">
        <v>0</v>
      </c>
      <c r="AM1073" s="53" t="n">
        <v>0</v>
      </c>
      <c r="AN1073" s="53" t="n">
        <v>0</v>
      </c>
      <c r="AO1073" s="53" t="n">
        <v>0</v>
      </c>
      <c r="AP1073" s="53" t="n">
        <v>0</v>
      </c>
      <c r="AQ1073" s="52" t="n">
        <v>0</v>
      </c>
      <c r="AR1073" s="52" t="n">
        <v>0</v>
      </c>
      <c r="AS1073" s="52" t="n">
        <v>0</v>
      </c>
      <c r="AT1073" s="52" t="n">
        <v>0</v>
      </c>
      <c r="AU1073" s="53" t="n">
        <v>0</v>
      </c>
      <c r="AV1073" s="53" t="n">
        <v>0</v>
      </c>
      <c r="AW1073" s="53" t="n">
        <v>0</v>
      </c>
      <c r="AX1073" s="53" t="n">
        <v>0</v>
      </c>
      <c r="AY1073" s="52" t="n">
        <v>0</v>
      </c>
      <c r="AZ1073" s="52" t="n">
        <v>0</v>
      </c>
      <c r="BA1073" s="52" t="n">
        <v>0</v>
      </c>
      <c r="BB1073" s="52" t="n">
        <v>0</v>
      </c>
      <c r="BC1073" s="51" t="n">
        <v>0</v>
      </c>
      <c r="BD1073" s="51" t="n">
        <v>0</v>
      </c>
      <c r="BE1073" s="51" t="n">
        <v>0</v>
      </c>
      <c r="BF1073" s="51" t="n">
        <v>0</v>
      </c>
    </row>
    <row r="1074">
      <c r="A1074">
        <f>HYPERLINK("https://www.walmart.com/ip/725432115", "725432115")</f>
        <v/>
      </c>
      <c r="B1074" t="inlineStr">
        <is>
          <t>Tirrinia Super Cozy Fleece Plush Sherpa Patriotic Throw Blanket, American Flag, 50" x 60", USA Flag</t>
        </is>
      </c>
      <c r="C1074" t="inlineStr">
        <is>
          <t>1TRBF300USA2-TBCB01</t>
        </is>
      </c>
      <c r="D1074" t="inlineStr">
        <is>
          <t>Throws</t>
        </is>
      </c>
      <c r="E1074" t="inlineStr">
        <is>
          <t>Tirrinia</t>
        </is>
      </c>
      <c r="F1074" t="inlineStr">
        <is>
          <t>Optimized</t>
        </is>
      </c>
      <c r="G1074" s="48" t="n">
        <v>0</v>
      </c>
      <c r="H1074" s="48" t="n">
        <v>0</v>
      </c>
      <c r="I1074" s="48" t="n">
        <v>0</v>
      </c>
      <c r="J1074" s="48" t="n">
        <v>0</v>
      </c>
      <c r="K1074" s="49" t="n">
        <v>0</v>
      </c>
      <c r="L1074" s="49" t="n">
        <v>0</v>
      </c>
      <c r="M1074" s="49" t="n">
        <v>0</v>
      </c>
      <c r="N1074" s="49" t="n">
        <v>0</v>
      </c>
      <c r="O1074" s="49" t="n">
        <v>0</v>
      </c>
      <c r="P1074" s="49" t="n">
        <v>0</v>
      </c>
      <c r="Q1074" s="49" t="n">
        <v>0</v>
      </c>
      <c r="R1074" s="49" t="n">
        <v>0</v>
      </c>
      <c r="S1074" s="50" t="n">
        <v>0</v>
      </c>
      <c r="T1074" s="50" t="n">
        <v>0</v>
      </c>
      <c r="U1074" s="50" t="n">
        <v>0</v>
      </c>
      <c r="V1074" s="50" t="n">
        <v>0</v>
      </c>
      <c r="W1074" s="51" t="n">
        <v>0</v>
      </c>
      <c r="X1074" s="51" t="n">
        <v>0</v>
      </c>
      <c r="Y1074" s="51" t="n">
        <v>0</v>
      </c>
      <c r="Z1074" s="51" t="n">
        <v>0</v>
      </c>
      <c r="AA1074" s="52" t="n">
        <v>0</v>
      </c>
      <c r="AB1074" s="52" t="n">
        <v>0</v>
      </c>
      <c r="AC1074" s="52" t="n">
        <v>0</v>
      </c>
      <c r="AD1074" s="52" t="n">
        <v>0</v>
      </c>
      <c r="AE1074" s="52" t="n">
        <v>0</v>
      </c>
      <c r="AF1074" s="52" t="n">
        <v>0</v>
      </c>
      <c r="AG1074" s="52" t="n">
        <v>0</v>
      </c>
      <c r="AH1074" s="52" t="n">
        <v>0</v>
      </c>
      <c r="AI1074" s="52" t="n">
        <v>0</v>
      </c>
      <c r="AJ1074" s="52" t="n">
        <v>0</v>
      </c>
      <c r="AK1074" s="52" t="n">
        <v>0</v>
      </c>
      <c r="AL1074" s="52" t="n">
        <v>0</v>
      </c>
      <c r="AM1074" s="53" t="n">
        <v>0</v>
      </c>
      <c r="AN1074" s="53" t="n">
        <v>0</v>
      </c>
      <c r="AO1074" s="53" t="n">
        <v>0</v>
      </c>
      <c r="AP1074" s="53" t="n">
        <v>0</v>
      </c>
      <c r="AQ1074" s="52" t="n">
        <v>0</v>
      </c>
      <c r="AR1074" s="52" t="n">
        <v>0</v>
      </c>
      <c r="AS1074" s="52" t="n">
        <v>0</v>
      </c>
      <c r="AT1074" s="52" t="n">
        <v>0</v>
      </c>
      <c r="AU1074" s="53" t="n">
        <v>0</v>
      </c>
      <c r="AV1074" s="53" t="n">
        <v>0</v>
      </c>
      <c r="AW1074" s="53" t="n">
        <v>0</v>
      </c>
      <c r="AX1074" s="53" t="n">
        <v>0</v>
      </c>
      <c r="AY1074" s="52" t="n">
        <v>0</v>
      </c>
      <c r="AZ1074" s="52" t="n">
        <v>0</v>
      </c>
      <c r="BA1074" s="52" t="n">
        <v>0</v>
      </c>
      <c r="BB1074" s="52" t="n">
        <v>0</v>
      </c>
      <c r="BC1074" s="51" t="n">
        <v>0</v>
      </c>
      <c r="BD1074" s="51" t="n">
        <v>0</v>
      </c>
      <c r="BE1074" s="51" t="n">
        <v>0</v>
      </c>
      <c r="BF1074" s="51" t="n">
        <v>0</v>
      </c>
    </row>
    <row r="1075">
      <c r="A1075">
        <f>HYPERLINK("https://www.walmart.com/ip/726763490", "726763490")</f>
        <v/>
      </c>
      <c r="B1075" t="inlineStr">
        <is>
          <t>Tirrinia Womens Floppy Beach Summer Hat Reversible Sunhat Packable Wide Brim Flower Pattern Navy</t>
        </is>
      </c>
      <c r="C1075" t="inlineStr">
        <is>
          <t>1TRSH069NV-TBCB</t>
        </is>
      </c>
      <c r="D1075" t="inlineStr">
        <is>
          <t>Hats</t>
        </is>
      </c>
      <c r="E1075" t="inlineStr">
        <is>
          <t>Tirrinia</t>
        </is>
      </c>
      <c r="F1075" t="inlineStr">
        <is>
          <t>Optimized</t>
        </is>
      </c>
      <c r="G1075" s="48" t="n">
        <v>0</v>
      </c>
      <c r="H1075" s="48" t="n">
        <v>0</v>
      </c>
      <c r="I1075" s="48" t="n">
        <v>0</v>
      </c>
      <c r="J1075" s="48" t="n">
        <v>0</v>
      </c>
      <c r="K1075" s="49" t="n">
        <v>0</v>
      </c>
      <c r="L1075" s="49" t="n">
        <v>0</v>
      </c>
      <c r="M1075" s="49" t="n">
        <v>0</v>
      </c>
      <c r="N1075" s="49" t="n">
        <v>0</v>
      </c>
      <c r="O1075" s="49" t="n">
        <v>0</v>
      </c>
      <c r="P1075" s="49" t="n">
        <v>0</v>
      </c>
      <c r="Q1075" s="49" t="n">
        <v>0</v>
      </c>
      <c r="R1075" s="49" t="n">
        <v>0</v>
      </c>
      <c r="S1075" s="50" t="n">
        <v>0</v>
      </c>
      <c r="T1075" s="50" t="n">
        <v>0</v>
      </c>
      <c r="U1075" s="50" t="n">
        <v>0</v>
      </c>
      <c r="V1075" s="50" t="n">
        <v>0</v>
      </c>
      <c r="W1075" s="51" t="n">
        <v>0</v>
      </c>
      <c r="X1075" s="51" t="n">
        <v>0</v>
      </c>
      <c r="Y1075" s="51" t="n">
        <v>0</v>
      </c>
      <c r="Z1075" s="51" t="n">
        <v>0</v>
      </c>
      <c r="AA1075" s="52" t="n">
        <v>0</v>
      </c>
      <c r="AB1075" s="52" t="n">
        <v>0</v>
      </c>
      <c r="AC1075" s="52" t="n">
        <v>0</v>
      </c>
      <c r="AD1075" s="52" t="n">
        <v>0</v>
      </c>
      <c r="AE1075" s="52" t="n">
        <v>0</v>
      </c>
      <c r="AF1075" s="52" t="n">
        <v>0</v>
      </c>
      <c r="AG1075" s="52" t="n">
        <v>0</v>
      </c>
      <c r="AH1075" s="52" t="n">
        <v>0</v>
      </c>
      <c r="AI1075" s="52" t="n">
        <v>0</v>
      </c>
      <c r="AJ1075" s="52" t="n">
        <v>0</v>
      </c>
      <c r="AK1075" s="52" t="n">
        <v>0</v>
      </c>
      <c r="AL1075" s="52" t="n">
        <v>0</v>
      </c>
      <c r="AM1075" s="53" t="n">
        <v>0</v>
      </c>
      <c r="AN1075" s="53" t="n">
        <v>0</v>
      </c>
      <c r="AO1075" s="53" t="n">
        <v>0</v>
      </c>
      <c r="AP1075" s="53" t="n">
        <v>0</v>
      </c>
      <c r="AQ1075" s="52" t="n">
        <v>0</v>
      </c>
      <c r="AR1075" s="52" t="n">
        <v>0</v>
      </c>
      <c r="AS1075" s="52" t="n">
        <v>0</v>
      </c>
      <c r="AT1075" s="52" t="n">
        <v>0</v>
      </c>
      <c r="AU1075" s="53" t="n">
        <v>0</v>
      </c>
      <c r="AV1075" s="53" t="n">
        <v>0</v>
      </c>
      <c r="AW1075" s="53" t="n">
        <v>0</v>
      </c>
      <c r="AX1075" s="53" t="n">
        <v>0</v>
      </c>
      <c r="AY1075" s="52" t="n">
        <v>0</v>
      </c>
      <c r="AZ1075" s="52" t="n">
        <v>0</v>
      </c>
      <c r="BA1075" s="52" t="n">
        <v>0</v>
      </c>
      <c r="BB1075" s="52" t="n">
        <v>0</v>
      </c>
      <c r="BC1075" s="51" t="n">
        <v>0</v>
      </c>
      <c r="BD1075" s="51" t="n">
        <v>0</v>
      </c>
      <c r="BE1075" s="51" t="n">
        <v>0</v>
      </c>
      <c r="BF1075" s="51" t="n">
        <v>0</v>
      </c>
    </row>
    <row r="1076">
      <c r="A1076">
        <f>HYPERLINK("https://www.walmart.com/ip/726845682", "726845682")</f>
        <v/>
      </c>
      <c r="B1076" t="inlineStr">
        <is>
          <t>Flyingstar Lunch Bag for Women Men, Insulated Lunch Tote for Working/School/Picnic Fashionable Cooler Bag</t>
        </is>
      </c>
      <c r="C1076" t="inlineStr">
        <is>
          <t>1WMLB704GY</t>
        </is>
      </c>
      <c r="D1076" t="inlineStr">
        <is>
          <t>Reusable Lunch Bags &amp; Boxes</t>
        </is>
      </c>
      <c r="E1076" t="inlineStr">
        <is>
          <t>Flyingstar</t>
        </is>
      </c>
      <c r="F1076" t="inlineStr">
        <is>
          <t>Q2-Target,Lunch Bag</t>
        </is>
      </c>
      <c r="G1076" s="48" t="n">
        <v>0</v>
      </c>
      <c r="H1076" s="48" t="n">
        <v>9.99</v>
      </c>
      <c r="I1076" s="48" t="n">
        <v>0</v>
      </c>
      <c r="J1076" s="48" t="n">
        <v>0</v>
      </c>
      <c r="K1076" s="49" t="n">
        <v>0</v>
      </c>
      <c r="L1076" s="49" t="n">
        <v>1</v>
      </c>
      <c r="M1076" s="49" t="n">
        <v>0</v>
      </c>
      <c r="N1076" s="49" t="n">
        <v>0</v>
      </c>
      <c r="O1076" s="49" t="n">
        <v>0</v>
      </c>
      <c r="P1076" s="49" t="n">
        <v>0</v>
      </c>
      <c r="Q1076" s="49" t="n">
        <v>0</v>
      </c>
      <c r="R1076" s="49" t="n">
        <v>0</v>
      </c>
      <c r="S1076" s="50" t="n">
        <v>0</v>
      </c>
      <c r="T1076" s="50" t="n">
        <v>0</v>
      </c>
      <c r="U1076" s="50" t="n">
        <v>0</v>
      </c>
      <c r="V1076" s="50" t="n">
        <v>0</v>
      </c>
      <c r="W1076" s="51" t="n">
        <v>0</v>
      </c>
      <c r="X1076" s="51" t="n">
        <v>0</v>
      </c>
      <c r="Y1076" s="51" t="n">
        <v>0</v>
      </c>
      <c r="Z1076" s="51" t="n">
        <v>0</v>
      </c>
      <c r="AA1076" s="52" t="n">
        <v>0</v>
      </c>
      <c r="AB1076" s="52" t="n">
        <v>0</v>
      </c>
      <c r="AC1076" s="52" t="n">
        <v>0</v>
      </c>
      <c r="AD1076" s="52" t="n">
        <v>0</v>
      </c>
      <c r="AE1076" s="52" t="n">
        <v>0</v>
      </c>
      <c r="AF1076" s="52" t="n">
        <v>0</v>
      </c>
      <c r="AG1076" s="52" t="n">
        <v>0</v>
      </c>
      <c r="AH1076" s="52" t="n">
        <v>0</v>
      </c>
      <c r="AI1076" s="52" t="n">
        <v>0</v>
      </c>
      <c r="AJ1076" s="52" t="n">
        <v>0</v>
      </c>
      <c r="AK1076" s="52" t="n">
        <v>0</v>
      </c>
      <c r="AL1076" s="52" t="n">
        <v>0</v>
      </c>
      <c r="AM1076" s="53" t="n">
        <v>0</v>
      </c>
      <c r="AN1076" s="53" t="n">
        <v>0</v>
      </c>
      <c r="AO1076" s="53" t="n">
        <v>0</v>
      </c>
      <c r="AP1076" s="53" t="n">
        <v>0</v>
      </c>
      <c r="AQ1076" s="52" t="n">
        <v>0</v>
      </c>
      <c r="AR1076" s="52" t="n">
        <v>0</v>
      </c>
      <c r="AS1076" s="52" t="n">
        <v>0</v>
      </c>
      <c r="AT1076" s="52" t="n">
        <v>0</v>
      </c>
      <c r="AU1076" s="53" t="n">
        <v>0</v>
      </c>
      <c r="AV1076" s="53" t="n">
        <v>0</v>
      </c>
      <c r="AW1076" s="53" t="n">
        <v>0</v>
      </c>
      <c r="AX1076" s="53" t="n">
        <v>0</v>
      </c>
      <c r="AY1076" s="52" t="n">
        <v>0</v>
      </c>
      <c r="AZ1076" s="52" t="n">
        <v>9.99</v>
      </c>
      <c r="BA1076" s="52" t="n">
        <v>0</v>
      </c>
      <c r="BB1076" s="52" t="n">
        <v>0</v>
      </c>
      <c r="BC1076" s="51" t="n">
        <v>0</v>
      </c>
      <c r="BD1076" s="51" t="n">
        <v>0</v>
      </c>
      <c r="BE1076" s="51" t="n">
        <v>0</v>
      </c>
      <c r="BF1076" s="51" t="n">
        <v>0</v>
      </c>
    </row>
    <row r="1077">
      <c r="A1077">
        <f>HYPERLINK("https://www.walmart.com/ip/694252673", "694252673")</f>
        <v/>
      </c>
      <c r="B1077" t="inlineStr">
        <is>
          <t>Tirrinia Reversible Chevron Throw Blanket, 50" x 60", Mocha</t>
        </is>
      </c>
      <c r="C1077" t="inlineStr">
        <is>
          <t>1TRBF320MO-TBCB</t>
        </is>
      </c>
      <c r="D1077" t="inlineStr">
        <is>
          <t>Throws</t>
        </is>
      </c>
      <c r="E1077" t="inlineStr">
        <is>
          <t>Tirrinia</t>
        </is>
      </c>
      <c r="F1077" t="inlineStr">
        <is>
          <t>Optimized</t>
        </is>
      </c>
      <c r="G1077" s="48" t="n">
        <v>0</v>
      </c>
      <c r="H1077" s="48" t="n">
        <v>0</v>
      </c>
      <c r="I1077" s="48" t="n">
        <v>0</v>
      </c>
      <c r="J1077" s="48" t="n">
        <v>0</v>
      </c>
      <c r="K1077" s="49" t="n">
        <v>0</v>
      </c>
      <c r="L1077" s="49" t="n">
        <v>0</v>
      </c>
      <c r="M1077" s="49" t="n">
        <v>0</v>
      </c>
      <c r="N1077" s="49" t="n">
        <v>0</v>
      </c>
      <c r="O1077" s="49" t="n">
        <v>0</v>
      </c>
      <c r="P1077" s="49" t="n">
        <v>0</v>
      </c>
      <c r="Q1077" s="49" t="n">
        <v>0</v>
      </c>
      <c r="R1077" s="49" t="n">
        <v>0</v>
      </c>
      <c r="S1077" s="50" t="n">
        <v>0</v>
      </c>
      <c r="T1077" s="50" t="n">
        <v>0</v>
      </c>
      <c r="U1077" s="50" t="n">
        <v>0</v>
      </c>
      <c r="V1077" s="50" t="n">
        <v>0</v>
      </c>
      <c r="W1077" s="51" t="n">
        <v>0</v>
      </c>
      <c r="X1077" s="51" t="n">
        <v>0</v>
      </c>
      <c r="Y1077" s="51" t="n">
        <v>0</v>
      </c>
      <c r="Z1077" s="51" t="n">
        <v>0</v>
      </c>
      <c r="AA1077" s="52" t="n">
        <v>0</v>
      </c>
      <c r="AB1077" s="52" t="n">
        <v>0</v>
      </c>
      <c r="AC1077" s="52" t="n">
        <v>0</v>
      </c>
      <c r="AD1077" s="52" t="n">
        <v>0</v>
      </c>
      <c r="AE1077" s="52" t="n">
        <v>0</v>
      </c>
      <c r="AF1077" s="52" t="n">
        <v>0</v>
      </c>
      <c r="AG1077" s="52" t="n">
        <v>0</v>
      </c>
      <c r="AH1077" s="52" t="n">
        <v>0</v>
      </c>
      <c r="AI1077" s="52" t="n">
        <v>0</v>
      </c>
      <c r="AJ1077" s="52" t="n">
        <v>0</v>
      </c>
      <c r="AK1077" s="52" t="n">
        <v>0</v>
      </c>
      <c r="AL1077" s="52" t="n">
        <v>0</v>
      </c>
      <c r="AM1077" s="53" t="n">
        <v>0</v>
      </c>
      <c r="AN1077" s="53" t="n">
        <v>0</v>
      </c>
      <c r="AO1077" s="53" t="n">
        <v>0</v>
      </c>
      <c r="AP1077" s="53" t="n">
        <v>0</v>
      </c>
      <c r="AQ1077" s="52" t="n">
        <v>0</v>
      </c>
      <c r="AR1077" s="52" t="n">
        <v>0</v>
      </c>
      <c r="AS1077" s="52" t="n">
        <v>0</v>
      </c>
      <c r="AT1077" s="52" t="n">
        <v>0</v>
      </c>
      <c r="AU1077" s="53" t="n">
        <v>0</v>
      </c>
      <c r="AV1077" s="53" t="n">
        <v>0</v>
      </c>
      <c r="AW1077" s="53" t="n">
        <v>0</v>
      </c>
      <c r="AX1077" s="53" t="n">
        <v>0</v>
      </c>
      <c r="AY1077" s="52" t="n">
        <v>0</v>
      </c>
      <c r="AZ1077" s="52" t="n">
        <v>0</v>
      </c>
      <c r="BA1077" s="52" t="n">
        <v>0</v>
      </c>
      <c r="BB1077" s="52" t="n">
        <v>0</v>
      </c>
      <c r="BC1077" s="51" t="n">
        <v>0</v>
      </c>
      <c r="BD1077" s="51" t="n">
        <v>0</v>
      </c>
      <c r="BE1077" s="51" t="n">
        <v>0</v>
      </c>
      <c r="BF1077" s="51" t="n">
        <v>0</v>
      </c>
    </row>
    <row r="1078">
      <c r="A1078">
        <f>HYPERLINK("https://www.walmart.com/ip/689433950", "689433950")</f>
        <v/>
      </c>
      <c r="B1078" t="inlineStr">
        <is>
          <t>Catalonia Twin Size Quilt Set, Lightweight Bedspread for Summer and Spring, 2 Pieces Bedding Coverlet, 1 Quilt and 1 Pillow Sham, Grey Froest Pattern, 68'' x 90''</t>
        </is>
      </c>
      <c r="C1078" t="inlineStr">
        <is>
          <t>1CTBQ202TW-GYWT</t>
        </is>
      </c>
      <c r="D1078" t="inlineStr">
        <is>
          <t>Bedding Sets</t>
        </is>
      </c>
      <c r="E1078" t="inlineStr">
        <is>
          <t>Catalonia</t>
        </is>
      </c>
      <c r="F1078" t="inlineStr">
        <is>
          <t>Optimized</t>
        </is>
      </c>
      <c r="G1078" s="48" t="n">
        <v>0</v>
      </c>
      <c r="H1078" s="48" t="n">
        <v>0</v>
      </c>
      <c r="I1078" s="48" t="n">
        <v>0</v>
      </c>
      <c r="J1078" s="48" t="n">
        <v>0</v>
      </c>
      <c r="K1078" s="49" t="n">
        <v>0</v>
      </c>
      <c r="L1078" s="49" t="n">
        <v>0</v>
      </c>
      <c r="M1078" s="49" t="n">
        <v>0</v>
      </c>
      <c r="N1078" s="49" t="n">
        <v>0</v>
      </c>
      <c r="O1078" s="49" t="n">
        <v>5</v>
      </c>
      <c r="P1078" s="49" t="n">
        <v>5</v>
      </c>
      <c r="Q1078" s="49" t="n">
        <v>0</v>
      </c>
      <c r="R1078" s="49" t="n">
        <v>0</v>
      </c>
      <c r="S1078" s="50" t="n">
        <v>0</v>
      </c>
      <c r="T1078" s="50" t="n">
        <v>0</v>
      </c>
      <c r="U1078" s="50" t="n">
        <v>0</v>
      </c>
      <c r="V1078" s="50" t="n">
        <v>0</v>
      </c>
      <c r="W1078" s="51" t="n">
        <v>0</v>
      </c>
      <c r="X1078" s="51" t="n">
        <v>0</v>
      </c>
      <c r="Y1078" s="51" t="n">
        <v>0</v>
      </c>
      <c r="Z1078" s="51" t="n">
        <v>0</v>
      </c>
      <c r="AA1078" s="52" t="n">
        <v>0</v>
      </c>
      <c r="AB1078" s="52" t="n">
        <v>0</v>
      </c>
      <c r="AC1078" s="52" t="n">
        <v>0</v>
      </c>
      <c r="AD1078" s="52" t="n">
        <v>0</v>
      </c>
      <c r="AE1078" s="52" t="n">
        <v>0</v>
      </c>
      <c r="AF1078" s="52" t="n">
        <v>0</v>
      </c>
      <c r="AG1078" s="52" t="n">
        <v>0</v>
      </c>
      <c r="AH1078" s="52" t="n">
        <v>0</v>
      </c>
      <c r="AI1078" s="52" t="n">
        <v>0</v>
      </c>
      <c r="AJ1078" s="52" t="n">
        <v>0</v>
      </c>
      <c r="AK1078" s="52" t="n">
        <v>0</v>
      </c>
      <c r="AL1078" s="52" t="n">
        <v>0</v>
      </c>
      <c r="AM1078" s="53" t="n">
        <v>0</v>
      </c>
      <c r="AN1078" s="53" t="n">
        <v>0</v>
      </c>
      <c r="AO1078" s="53" t="n">
        <v>0</v>
      </c>
      <c r="AP1078" s="53" t="n">
        <v>0</v>
      </c>
      <c r="AQ1078" s="52" t="n">
        <v>0</v>
      </c>
      <c r="AR1078" s="52" t="n">
        <v>0</v>
      </c>
      <c r="AS1078" s="52" t="n">
        <v>0</v>
      </c>
      <c r="AT1078" s="52" t="n">
        <v>0</v>
      </c>
      <c r="AU1078" s="53" t="n">
        <v>0</v>
      </c>
      <c r="AV1078" s="53" t="n">
        <v>0</v>
      </c>
      <c r="AW1078" s="53" t="n">
        <v>0</v>
      </c>
      <c r="AX1078" s="53" t="n">
        <v>0</v>
      </c>
      <c r="AY1078" s="52" t="n">
        <v>0</v>
      </c>
      <c r="AZ1078" s="52" t="n">
        <v>0</v>
      </c>
      <c r="BA1078" s="52" t="n">
        <v>0</v>
      </c>
      <c r="BB1078" s="52" t="n">
        <v>0</v>
      </c>
      <c r="BC1078" s="51" t="n">
        <v>0</v>
      </c>
      <c r="BD1078" s="51" t="n">
        <v>0</v>
      </c>
      <c r="BE1078" s="51" t="n">
        <v>0</v>
      </c>
      <c r="BF1078" s="51" t="n">
        <v>0</v>
      </c>
    </row>
    <row r="1079">
      <c r="A1079">
        <f>HYPERLINK("https://www.walmart.com/ip/829040273", "829040273")</f>
        <v/>
      </c>
      <c r="B1079" t="inlineStr">
        <is>
          <t>Tirrinia Women's Tankini Swimsuit Flyaway Swimdress Top, 2-Piece Bathing Suits, Black, Small</t>
        </is>
      </c>
      <c r="C1079" t="inlineStr">
        <is>
          <t>1TRSS006BKBK-M</t>
        </is>
      </c>
      <c r="D1079" t="inlineStr">
        <is>
          <t>Swimsuit Sets</t>
        </is>
      </c>
      <c r="E1079" t="inlineStr">
        <is>
          <t>Tirrinia</t>
        </is>
      </c>
      <c r="F1079" t="inlineStr">
        <is>
          <t>Batch 1 - TR</t>
        </is>
      </c>
      <c r="G1079" s="48" t="n">
        <v>0</v>
      </c>
      <c r="H1079" s="48" t="n">
        <v>0</v>
      </c>
      <c r="I1079" s="48" t="n">
        <v>0</v>
      </c>
      <c r="J1079" s="48" t="n">
        <v>0</v>
      </c>
      <c r="K1079" s="49" t="n">
        <v>0</v>
      </c>
      <c r="L1079" s="49" t="n">
        <v>0</v>
      </c>
      <c r="M1079" s="49" t="n">
        <v>0</v>
      </c>
      <c r="N1079" s="49" t="n">
        <v>0</v>
      </c>
      <c r="O1079" s="49" t="n">
        <v>0</v>
      </c>
      <c r="P1079" s="49" t="n">
        <v>0</v>
      </c>
      <c r="Q1079" s="49" t="n">
        <v>0</v>
      </c>
      <c r="R1079" s="49" t="n">
        <v>0</v>
      </c>
      <c r="S1079" s="50" t="n">
        <v>0</v>
      </c>
      <c r="T1079" s="50" t="n">
        <v>0</v>
      </c>
      <c r="U1079" s="50" t="n">
        <v>0</v>
      </c>
      <c r="V1079" s="50" t="n">
        <v>0</v>
      </c>
      <c r="W1079" s="51" t="n">
        <v>0</v>
      </c>
      <c r="X1079" s="51" t="n">
        <v>0</v>
      </c>
      <c r="Y1079" s="51" t="n">
        <v>0</v>
      </c>
      <c r="Z1079" s="51" t="n">
        <v>0</v>
      </c>
      <c r="AA1079" s="52" t="n">
        <v>0</v>
      </c>
      <c r="AB1079" s="52" t="n">
        <v>0</v>
      </c>
      <c r="AC1079" s="52" t="n">
        <v>0</v>
      </c>
      <c r="AD1079" s="52" t="n">
        <v>0</v>
      </c>
      <c r="AE1079" s="52" t="n">
        <v>0</v>
      </c>
      <c r="AF1079" s="52" t="n">
        <v>0</v>
      </c>
      <c r="AG1079" s="52" t="n">
        <v>0</v>
      </c>
      <c r="AH1079" s="52" t="n">
        <v>0</v>
      </c>
      <c r="AI1079" s="52" t="n">
        <v>0</v>
      </c>
      <c r="AJ1079" s="52" t="n">
        <v>0</v>
      </c>
      <c r="AK1079" s="52" t="n">
        <v>0</v>
      </c>
      <c r="AL1079" s="52" t="n">
        <v>0</v>
      </c>
      <c r="AM1079" s="53" t="n">
        <v>0</v>
      </c>
      <c r="AN1079" s="53" t="n">
        <v>0</v>
      </c>
      <c r="AO1079" s="53" t="n">
        <v>0</v>
      </c>
      <c r="AP1079" s="53" t="n">
        <v>0</v>
      </c>
      <c r="AQ1079" s="52" t="n">
        <v>0</v>
      </c>
      <c r="AR1079" s="52" t="n">
        <v>0</v>
      </c>
      <c r="AS1079" s="52" t="n">
        <v>0</v>
      </c>
      <c r="AT1079" s="52" t="n">
        <v>0</v>
      </c>
      <c r="AU1079" s="53" t="n">
        <v>0</v>
      </c>
      <c r="AV1079" s="53" t="n">
        <v>0</v>
      </c>
      <c r="AW1079" s="53" t="n">
        <v>0</v>
      </c>
      <c r="AX1079" s="53" t="n">
        <v>0</v>
      </c>
      <c r="AY1079" s="52" t="n">
        <v>0</v>
      </c>
      <c r="AZ1079" s="52" t="n">
        <v>0</v>
      </c>
      <c r="BA1079" s="52" t="n">
        <v>0</v>
      </c>
      <c r="BB1079" s="52" t="n">
        <v>0</v>
      </c>
      <c r="BC1079" s="51" t="n">
        <v>0</v>
      </c>
      <c r="BD1079" s="51" t="n">
        <v>0</v>
      </c>
      <c r="BE1079" s="51" t="n">
        <v>0</v>
      </c>
      <c r="BF1079" s="51" t="n">
        <v>0</v>
      </c>
    </row>
    <row r="1080">
      <c r="A1080">
        <f>HYPERLINK("https://www.walmart.com/ip/642519557", "642519557")</f>
        <v/>
      </c>
      <c r="B1080" t="inlineStr">
        <is>
          <t>Flyingstar 6 Bottle Wine cooler bag - Insulated Padded Portable Versatile Wine Carrier Tote Bag for Travel, BYOB, Black</t>
        </is>
      </c>
      <c r="C1080" t="inlineStr">
        <is>
          <t>1WMWB602BK</t>
        </is>
      </c>
      <c r="D1080" t="inlineStr">
        <is>
          <t>Wine Totes, Bags &amp; Backpacks</t>
        </is>
      </c>
      <c r="E1080" t="inlineStr">
        <is>
          <t>Flyingstar</t>
        </is>
      </c>
      <c r="F1080" t="inlineStr">
        <is>
          <t>Wine,Christmas,Optimized,Valentine,SEM</t>
        </is>
      </c>
      <c r="G1080" s="48" t="n">
        <v>0</v>
      </c>
      <c r="H1080" s="48" t="n">
        <v>0</v>
      </c>
      <c r="I1080" s="48" t="n">
        <v>18.99</v>
      </c>
      <c r="J1080" s="48" t="n">
        <v>0</v>
      </c>
      <c r="K1080" s="49" t="n">
        <v>0</v>
      </c>
      <c r="L1080" s="49" t="n">
        <v>0</v>
      </c>
      <c r="M1080" s="49" t="n">
        <v>1</v>
      </c>
      <c r="N1080" s="49" t="n">
        <v>0</v>
      </c>
      <c r="O1080" s="49" t="n">
        <v>0</v>
      </c>
      <c r="P1080" s="49" t="n">
        <v>0</v>
      </c>
      <c r="Q1080" s="49" t="n">
        <v>0</v>
      </c>
      <c r="R1080" s="49" t="n">
        <v>0</v>
      </c>
      <c r="S1080" s="50" t="n">
        <v>0</v>
      </c>
      <c r="T1080" s="50" t="n">
        <v>0</v>
      </c>
      <c r="U1080" s="50" t="n">
        <v>0</v>
      </c>
      <c r="V1080" s="50" t="n">
        <v>0</v>
      </c>
      <c r="W1080" s="51" t="n">
        <v>0</v>
      </c>
      <c r="X1080" s="51" t="n">
        <v>0</v>
      </c>
      <c r="Y1080" s="51" t="n">
        <v>0</v>
      </c>
      <c r="Z1080" s="51" t="n">
        <v>0</v>
      </c>
      <c r="AA1080" s="52" t="n">
        <v>0</v>
      </c>
      <c r="AB1080" s="52" t="n">
        <v>0</v>
      </c>
      <c r="AC1080" s="52" t="n">
        <v>0</v>
      </c>
      <c r="AD1080" s="52" t="n">
        <v>0</v>
      </c>
      <c r="AE1080" s="52" t="n">
        <v>0</v>
      </c>
      <c r="AF1080" s="52" t="n">
        <v>0</v>
      </c>
      <c r="AG1080" s="52" t="n">
        <v>0</v>
      </c>
      <c r="AH1080" s="52" t="n">
        <v>0</v>
      </c>
      <c r="AI1080" s="52" t="n">
        <v>0</v>
      </c>
      <c r="AJ1080" s="52" t="n">
        <v>0</v>
      </c>
      <c r="AK1080" s="52" t="n">
        <v>0</v>
      </c>
      <c r="AL1080" s="52" t="n">
        <v>0</v>
      </c>
      <c r="AM1080" s="53" t="n">
        <v>0</v>
      </c>
      <c r="AN1080" s="53" t="n">
        <v>0</v>
      </c>
      <c r="AO1080" s="53" t="n">
        <v>0</v>
      </c>
      <c r="AP1080" s="53" t="n">
        <v>0</v>
      </c>
      <c r="AQ1080" s="52" t="n">
        <v>0</v>
      </c>
      <c r="AR1080" s="52" t="n">
        <v>0</v>
      </c>
      <c r="AS1080" s="52" t="n">
        <v>0</v>
      </c>
      <c r="AT1080" s="52" t="n">
        <v>0</v>
      </c>
      <c r="AU1080" s="53" t="n">
        <v>0</v>
      </c>
      <c r="AV1080" s="53" t="n">
        <v>0</v>
      </c>
      <c r="AW1080" s="53" t="n">
        <v>0</v>
      </c>
      <c r="AX1080" s="53" t="n">
        <v>0</v>
      </c>
      <c r="AY1080" s="52" t="n">
        <v>0</v>
      </c>
      <c r="AZ1080" s="52" t="n">
        <v>0</v>
      </c>
      <c r="BA1080" s="52" t="n">
        <v>18.99</v>
      </c>
      <c r="BB1080" s="52" t="n">
        <v>0</v>
      </c>
      <c r="BC1080" s="51" t="n">
        <v>0</v>
      </c>
      <c r="BD1080" s="51" t="n">
        <v>0</v>
      </c>
      <c r="BE1080" s="51" t="n">
        <v>0</v>
      </c>
      <c r="BF1080" s="51" t="n">
        <v>0</v>
      </c>
    </row>
    <row r="1081">
      <c r="A1081">
        <f>HYPERLINK("https://www.walmart.com/ip/645250394", "645250394")</f>
        <v/>
      </c>
      <c r="B1081" t="inlineStr">
        <is>
          <t>Oversized Hooded Poncho Cape, Casual Hoodie Sweatshirt, Batwing Coat Pullover | Light Weight, Cozy, Comfortable, Roomy | for Adults Women Men Teens</t>
        </is>
      </c>
      <c r="C1081" t="inlineStr">
        <is>
          <t>1CTHD542PP</t>
        </is>
      </c>
      <c r="D1081" t="inlineStr">
        <is>
          <t>Sweatshirts &amp; Hoodies</t>
        </is>
      </c>
      <c r="E1081" t="inlineStr">
        <is>
          <t>Catalonia</t>
        </is>
      </c>
      <c r="F1081" t="inlineStr">
        <is>
          <t>Hoodie ForAdult,Optimized,Coupon_Discount</t>
        </is>
      </c>
      <c r="G1081" s="48" t="n">
        <v>0</v>
      </c>
      <c r="H1081" s="48" t="n">
        <v>0</v>
      </c>
      <c r="I1081" s="48" t="n">
        <v>0</v>
      </c>
      <c r="J1081" s="48" t="n">
        <v>0</v>
      </c>
      <c r="K1081" s="49" t="n">
        <v>0</v>
      </c>
      <c r="L1081" s="49" t="n">
        <v>0</v>
      </c>
      <c r="M1081" s="49" t="n">
        <v>0</v>
      </c>
      <c r="N1081" s="49" t="n">
        <v>0</v>
      </c>
      <c r="O1081" s="49" t="n">
        <v>0</v>
      </c>
      <c r="P1081" s="49" t="n">
        <v>0</v>
      </c>
      <c r="Q1081" s="49" t="n">
        <v>0</v>
      </c>
      <c r="R1081" s="49" t="n">
        <v>0</v>
      </c>
      <c r="S1081" s="50" t="n">
        <v>0</v>
      </c>
      <c r="T1081" s="50" t="n">
        <v>0</v>
      </c>
      <c r="U1081" s="50" t="n">
        <v>0</v>
      </c>
      <c r="V1081" s="50" t="n">
        <v>0</v>
      </c>
      <c r="W1081" s="51" t="n">
        <v>0</v>
      </c>
      <c r="X1081" s="51" t="n">
        <v>0</v>
      </c>
      <c r="Y1081" s="51" t="n">
        <v>0</v>
      </c>
      <c r="Z1081" s="51" t="n">
        <v>0</v>
      </c>
      <c r="AA1081" s="52" t="n">
        <v>0</v>
      </c>
      <c r="AB1081" s="52" t="n">
        <v>0</v>
      </c>
      <c r="AC1081" s="52" t="n">
        <v>0</v>
      </c>
      <c r="AD1081" s="52" t="n">
        <v>0</v>
      </c>
      <c r="AE1081" s="52" t="n">
        <v>0</v>
      </c>
      <c r="AF1081" s="52" t="n">
        <v>0</v>
      </c>
      <c r="AG1081" s="52" t="n">
        <v>0</v>
      </c>
      <c r="AH1081" s="52" t="n">
        <v>0</v>
      </c>
      <c r="AI1081" s="52" t="n">
        <v>0</v>
      </c>
      <c r="AJ1081" s="52" t="n">
        <v>0</v>
      </c>
      <c r="AK1081" s="52" t="n">
        <v>0</v>
      </c>
      <c r="AL1081" s="52" t="n">
        <v>0</v>
      </c>
      <c r="AM1081" s="53" t="n">
        <v>0</v>
      </c>
      <c r="AN1081" s="53" t="n">
        <v>0</v>
      </c>
      <c r="AO1081" s="53" t="n">
        <v>0</v>
      </c>
      <c r="AP1081" s="53" t="n">
        <v>0</v>
      </c>
      <c r="AQ1081" s="52" t="n">
        <v>0</v>
      </c>
      <c r="AR1081" s="52" t="n">
        <v>0</v>
      </c>
      <c r="AS1081" s="52" t="n">
        <v>0</v>
      </c>
      <c r="AT1081" s="52" t="n">
        <v>0</v>
      </c>
      <c r="AU1081" s="53" t="n">
        <v>0</v>
      </c>
      <c r="AV1081" s="53" t="n">
        <v>0</v>
      </c>
      <c r="AW1081" s="53" t="n">
        <v>0</v>
      </c>
      <c r="AX1081" s="53" t="n">
        <v>0</v>
      </c>
      <c r="AY1081" s="52" t="n">
        <v>0</v>
      </c>
      <c r="AZ1081" s="52" t="n">
        <v>0</v>
      </c>
      <c r="BA1081" s="52" t="n">
        <v>0</v>
      </c>
      <c r="BB1081" s="52" t="n">
        <v>0</v>
      </c>
      <c r="BC1081" s="51" t="n">
        <v>0</v>
      </c>
      <c r="BD1081" s="51" t="n">
        <v>0</v>
      </c>
      <c r="BE1081" s="51" t="n">
        <v>0</v>
      </c>
      <c r="BF1081" s="51" t="n">
        <v>0</v>
      </c>
    </row>
    <row r="1082">
      <c r="A1082">
        <f>HYPERLINK("https://www.walmart.com/ip/645515358", "645515358")</f>
        <v/>
      </c>
      <c r="B1082" t="inlineStr">
        <is>
          <t>Medium Pet Travel Backpack Carrier for Dogs Cat Animal Puppy, Breathable Mesh Net Removable Sherpa Bed Outdoor Carrier f</t>
        </is>
      </c>
      <c r="C1082" t="inlineStr">
        <is>
          <t>1WMPB200BK</t>
        </is>
      </c>
      <c r="D1082" t="inlineStr">
        <is>
          <t>Pet Carriers</t>
        </is>
      </c>
      <c r="E1082" t="inlineStr">
        <is>
          <t>Flyingstar</t>
        </is>
      </c>
      <c r="F1082" t="inlineStr">
        <is>
          <t>Optimized</t>
        </is>
      </c>
      <c r="G1082" s="48" t="n">
        <v>0</v>
      </c>
      <c r="H1082" s="48" t="n">
        <v>0</v>
      </c>
      <c r="I1082" s="48" t="n">
        <v>0</v>
      </c>
      <c r="J1082" s="48" t="n">
        <v>0</v>
      </c>
      <c r="K1082" s="49" t="n">
        <v>0</v>
      </c>
      <c r="L1082" s="49" t="n">
        <v>0</v>
      </c>
      <c r="M1082" s="49" t="n">
        <v>0</v>
      </c>
      <c r="N1082" s="49" t="n">
        <v>0</v>
      </c>
      <c r="O1082" s="49" t="n">
        <v>0</v>
      </c>
      <c r="P1082" s="49" t="n">
        <v>0</v>
      </c>
      <c r="Q1082" s="49" t="n">
        <v>0</v>
      </c>
      <c r="R1082" s="49" t="n">
        <v>0</v>
      </c>
      <c r="S1082" s="50" t="n">
        <v>0</v>
      </c>
      <c r="T1082" s="50" t="n">
        <v>0</v>
      </c>
      <c r="U1082" s="50" t="n">
        <v>0</v>
      </c>
      <c r="V1082" s="50" t="n">
        <v>0</v>
      </c>
      <c r="W1082" s="51" t="n">
        <v>0</v>
      </c>
      <c r="X1082" s="51" t="n">
        <v>0</v>
      </c>
      <c r="Y1082" s="51" t="n">
        <v>0</v>
      </c>
      <c r="Z1082" s="51" t="n">
        <v>0</v>
      </c>
      <c r="AA1082" s="52" t="n">
        <v>0</v>
      </c>
      <c r="AB1082" s="52" t="n">
        <v>0</v>
      </c>
      <c r="AC1082" s="52" t="n">
        <v>0</v>
      </c>
      <c r="AD1082" s="52" t="n">
        <v>0</v>
      </c>
      <c r="AE1082" s="52" t="n">
        <v>0</v>
      </c>
      <c r="AF1082" s="52" t="n">
        <v>0</v>
      </c>
      <c r="AG1082" s="52" t="n">
        <v>0</v>
      </c>
      <c r="AH1082" s="52" t="n">
        <v>0</v>
      </c>
      <c r="AI1082" s="52" t="n">
        <v>0</v>
      </c>
      <c r="AJ1082" s="52" t="n">
        <v>0</v>
      </c>
      <c r="AK1082" s="52" t="n">
        <v>0</v>
      </c>
      <c r="AL1082" s="52" t="n">
        <v>0</v>
      </c>
      <c r="AM1082" s="53" t="n">
        <v>0</v>
      </c>
      <c r="AN1082" s="53" t="n">
        <v>0</v>
      </c>
      <c r="AO1082" s="53" t="n">
        <v>0</v>
      </c>
      <c r="AP1082" s="53" t="n">
        <v>0</v>
      </c>
      <c r="AQ1082" s="52" t="n">
        <v>0</v>
      </c>
      <c r="AR1082" s="52" t="n">
        <v>0</v>
      </c>
      <c r="AS1082" s="52" t="n">
        <v>0</v>
      </c>
      <c r="AT1082" s="52" t="n">
        <v>0</v>
      </c>
      <c r="AU1082" s="53" t="n">
        <v>0</v>
      </c>
      <c r="AV1082" s="53" t="n">
        <v>0</v>
      </c>
      <c r="AW1082" s="53" t="n">
        <v>0</v>
      </c>
      <c r="AX1082" s="53" t="n">
        <v>0</v>
      </c>
      <c r="AY1082" s="52" t="n">
        <v>0</v>
      </c>
      <c r="AZ1082" s="52" t="n">
        <v>0</v>
      </c>
      <c r="BA1082" s="52" t="n">
        <v>0</v>
      </c>
      <c r="BB1082" s="52" t="n">
        <v>0</v>
      </c>
      <c r="BC1082" s="51" t="n">
        <v>0</v>
      </c>
      <c r="BD1082" s="51" t="n">
        <v>0</v>
      </c>
      <c r="BE1082" s="51" t="n">
        <v>0</v>
      </c>
      <c r="BF1082" s="51" t="n">
        <v>0</v>
      </c>
    </row>
    <row r="1083">
      <c r="A1083">
        <f>HYPERLINK("https://www.walmart.com/ip/646388542", "646388542")</f>
        <v/>
      </c>
      <c r="B1083" t="inlineStr">
        <is>
          <t>Fleece Blanket Wearable with Sleeves and Pocket, Micro Plush Warm Comfy Sleeved TV Throw Blanket Robe for Women and Men Multi-Colors 72”X55” by Catalonia</t>
        </is>
      </c>
      <c r="C1083" t="inlineStr">
        <is>
          <t>1CTSN110CA-ESGM</t>
        </is>
      </c>
      <c r="D1083" t="inlineStr">
        <is>
          <t>Throws</t>
        </is>
      </c>
      <c r="E1083" t="inlineStr">
        <is>
          <t>Catalonia</t>
        </is>
      </c>
      <c r="F1083" t="inlineStr">
        <is>
          <t>Fleece Blankets,Batch 1 - TR</t>
        </is>
      </c>
      <c r="G1083" s="48" t="n">
        <v>0</v>
      </c>
      <c r="H1083" s="48" t="n">
        <v>0</v>
      </c>
      <c r="I1083" s="48" t="n">
        <v>0</v>
      </c>
      <c r="J1083" s="48" t="n">
        <v>0</v>
      </c>
      <c r="K1083" s="49" t="n">
        <v>0</v>
      </c>
      <c r="L1083" s="49" t="n">
        <v>0</v>
      </c>
      <c r="M1083" s="49" t="n">
        <v>0</v>
      </c>
      <c r="N1083" s="49" t="n">
        <v>0</v>
      </c>
      <c r="O1083" s="49" t="n">
        <v>0</v>
      </c>
      <c r="P1083" s="49" t="n">
        <v>0</v>
      </c>
      <c r="Q1083" s="49" t="n">
        <v>0</v>
      </c>
      <c r="R1083" s="49" t="n">
        <v>0</v>
      </c>
      <c r="S1083" s="50" t="n">
        <v>0</v>
      </c>
      <c r="T1083" s="50" t="n">
        <v>0</v>
      </c>
      <c r="U1083" s="50" t="n">
        <v>0</v>
      </c>
      <c r="V1083" s="50" t="n">
        <v>0</v>
      </c>
      <c r="W1083" s="51" t="n">
        <v>0</v>
      </c>
      <c r="X1083" s="51" t="n">
        <v>0</v>
      </c>
      <c r="Y1083" s="51" t="n">
        <v>0</v>
      </c>
      <c r="Z1083" s="51" t="n">
        <v>0</v>
      </c>
      <c r="AA1083" s="52" t="n">
        <v>0</v>
      </c>
      <c r="AB1083" s="52" t="n">
        <v>0</v>
      </c>
      <c r="AC1083" s="52" t="n">
        <v>0</v>
      </c>
      <c r="AD1083" s="52" t="n">
        <v>0</v>
      </c>
      <c r="AE1083" s="52" t="n">
        <v>0</v>
      </c>
      <c r="AF1083" s="52" t="n">
        <v>0</v>
      </c>
      <c r="AG1083" s="52" t="n">
        <v>0</v>
      </c>
      <c r="AH1083" s="52" t="n">
        <v>0</v>
      </c>
      <c r="AI1083" s="52" t="n">
        <v>0</v>
      </c>
      <c r="AJ1083" s="52" t="n">
        <v>0</v>
      </c>
      <c r="AK1083" s="52" t="n">
        <v>0</v>
      </c>
      <c r="AL1083" s="52" t="n">
        <v>0</v>
      </c>
      <c r="AM1083" s="53" t="n">
        <v>0</v>
      </c>
      <c r="AN1083" s="53" t="n">
        <v>0</v>
      </c>
      <c r="AO1083" s="53" t="n">
        <v>0</v>
      </c>
      <c r="AP1083" s="53" t="n">
        <v>0</v>
      </c>
      <c r="AQ1083" s="52" t="n">
        <v>0</v>
      </c>
      <c r="AR1083" s="52" t="n">
        <v>0</v>
      </c>
      <c r="AS1083" s="52" t="n">
        <v>0</v>
      </c>
      <c r="AT1083" s="52" t="n">
        <v>0</v>
      </c>
      <c r="AU1083" s="53" t="n">
        <v>0</v>
      </c>
      <c r="AV1083" s="53" t="n">
        <v>0</v>
      </c>
      <c r="AW1083" s="53" t="n">
        <v>0</v>
      </c>
      <c r="AX1083" s="53" t="n">
        <v>0</v>
      </c>
      <c r="AY1083" s="52" t="n">
        <v>0</v>
      </c>
      <c r="AZ1083" s="52" t="n">
        <v>0</v>
      </c>
      <c r="BA1083" s="52" t="n">
        <v>0</v>
      </c>
      <c r="BB1083" s="52" t="n">
        <v>0</v>
      </c>
      <c r="BC1083" s="51" t="n">
        <v>0</v>
      </c>
      <c r="BD1083" s="51" t="n">
        <v>0</v>
      </c>
      <c r="BE1083" s="51" t="n">
        <v>0</v>
      </c>
      <c r="BF1083" s="51" t="n">
        <v>0</v>
      </c>
    </row>
    <row r="1084">
      <c r="A1084">
        <f>HYPERLINK("https://www.walmart.com/ip/646900422", "646900422")</f>
        <v/>
      </c>
      <c r="B1084" t="inlineStr">
        <is>
          <t>Tirrinia Single Wine Cooler Bags, Insulated and Padded Portable Wine Tote Carrier for Travel, BYOB Restaurant, Wine Tasting, Party, Great Gift for Wine Lover, Beige</t>
        </is>
      </c>
      <c r="C1084" t="inlineStr">
        <is>
          <t>1TRWB101BG</t>
        </is>
      </c>
      <c r="D1084" t="inlineStr">
        <is>
          <t>Wine Totes, Bags &amp; Backpacks</t>
        </is>
      </c>
      <c r="E1084" t="inlineStr">
        <is>
          <t>Tirrinia</t>
        </is>
      </c>
      <c r="F1084" t="inlineStr">
        <is>
          <t>Wine,Christmas,WFS,Valentine,WFS Item</t>
        </is>
      </c>
      <c r="G1084" s="48" t="n">
        <v>0</v>
      </c>
      <c r="H1084" s="48" t="n">
        <v>29.98</v>
      </c>
      <c r="I1084" s="48" t="n">
        <v>0</v>
      </c>
      <c r="J1084" s="48" t="n">
        <v>14.99</v>
      </c>
      <c r="K1084" s="49" t="n">
        <v>0</v>
      </c>
      <c r="L1084" s="49" t="n">
        <v>2</v>
      </c>
      <c r="M1084" s="49" t="n">
        <v>0</v>
      </c>
      <c r="N1084" s="49" t="n">
        <v>1</v>
      </c>
      <c r="O1084" s="49" t="n">
        <v>0</v>
      </c>
      <c r="P1084" s="49" t="n">
        <v>0</v>
      </c>
      <c r="Q1084" s="49" t="n">
        <v>0</v>
      </c>
      <c r="R1084" s="49" t="n">
        <v>0</v>
      </c>
      <c r="S1084" s="50" t="n">
        <v>0</v>
      </c>
      <c r="T1084" s="50" t="n">
        <v>0</v>
      </c>
      <c r="U1084" s="50" t="n">
        <v>0</v>
      </c>
      <c r="V1084" s="50" t="n">
        <v>0</v>
      </c>
      <c r="W1084" s="51" t="n">
        <v>0</v>
      </c>
      <c r="X1084" s="51" t="n">
        <v>0</v>
      </c>
      <c r="Y1084" s="51" t="n">
        <v>0</v>
      </c>
      <c r="Z1084" s="51" t="n">
        <v>0</v>
      </c>
      <c r="AA1084" s="52" t="n">
        <v>0</v>
      </c>
      <c r="AB1084" s="52" t="n">
        <v>0</v>
      </c>
      <c r="AC1084" s="52" t="n">
        <v>0</v>
      </c>
      <c r="AD1084" s="52" t="n">
        <v>0</v>
      </c>
      <c r="AE1084" s="52" t="n">
        <v>0</v>
      </c>
      <c r="AF1084" s="52" t="n">
        <v>0</v>
      </c>
      <c r="AG1084" s="52" t="n">
        <v>0</v>
      </c>
      <c r="AH1084" s="52" t="n">
        <v>0</v>
      </c>
      <c r="AI1084" s="52" t="n">
        <v>0</v>
      </c>
      <c r="AJ1084" s="52" t="n">
        <v>0</v>
      </c>
      <c r="AK1084" s="52" t="n">
        <v>0</v>
      </c>
      <c r="AL1084" s="52" t="n">
        <v>0</v>
      </c>
      <c r="AM1084" s="53" t="n">
        <v>0</v>
      </c>
      <c r="AN1084" s="53" t="n">
        <v>0</v>
      </c>
      <c r="AO1084" s="53" t="n">
        <v>0</v>
      </c>
      <c r="AP1084" s="53" t="n">
        <v>0</v>
      </c>
      <c r="AQ1084" s="52" t="n">
        <v>0</v>
      </c>
      <c r="AR1084" s="52" t="n">
        <v>0</v>
      </c>
      <c r="AS1084" s="52" t="n">
        <v>0</v>
      </c>
      <c r="AT1084" s="52" t="n">
        <v>0</v>
      </c>
      <c r="AU1084" s="53" t="n">
        <v>0</v>
      </c>
      <c r="AV1084" s="53" t="n">
        <v>0</v>
      </c>
      <c r="AW1084" s="53" t="n">
        <v>0</v>
      </c>
      <c r="AX1084" s="53" t="n">
        <v>0</v>
      </c>
      <c r="AY1084" s="52" t="n">
        <v>0</v>
      </c>
      <c r="AZ1084" s="52" t="n">
        <v>14.99</v>
      </c>
      <c r="BA1084" s="52" t="n">
        <v>0</v>
      </c>
      <c r="BB1084" s="52" t="n">
        <v>14.99</v>
      </c>
      <c r="BC1084" s="51" t="n">
        <v>0</v>
      </c>
      <c r="BD1084" s="51" t="n">
        <v>0</v>
      </c>
      <c r="BE1084" s="51" t="n">
        <v>0</v>
      </c>
      <c r="BF1084" s="51" t="n">
        <v>0</v>
      </c>
    </row>
    <row r="1085">
      <c r="A1085">
        <f>HYPERLINK("https://www.walmart.com/ip/648459144", "648459144")</f>
        <v/>
      </c>
      <c r="B1085" t="inlineStr">
        <is>
          <t>Wearable Fleece Blanket with Sleeves and Pocket for Women Men, Super Soft Microplush Adult Wrap Full Body Blanket Robe for Lounge Couch As Seen On TV 73" x 51" | Catalonia series by Terrania | Blue</t>
        </is>
      </c>
      <c r="C1085" t="inlineStr">
        <is>
          <t>1TRSN100BL-TBCB</t>
        </is>
      </c>
      <c r="D1085" t="inlineStr">
        <is>
          <t>Throws</t>
        </is>
      </c>
      <c r="E1085" t="inlineStr">
        <is>
          <t>Tirrinia</t>
        </is>
      </c>
      <c r="F1085" t="inlineStr">
        <is>
          <t>WFS,WFS Item,Fleece Blankets</t>
        </is>
      </c>
      <c r="G1085" s="48" t="n">
        <v>0</v>
      </c>
      <c r="H1085" s="48" t="n">
        <v>0</v>
      </c>
      <c r="I1085" s="48" t="n">
        <v>0</v>
      </c>
      <c r="J1085" s="48" t="n">
        <v>19.99</v>
      </c>
      <c r="K1085" s="49" t="n">
        <v>0</v>
      </c>
      <c r="L1085" s="49" t="n">
        <v>0</v>
      </c>
      <c r="M1085" s="49" t="n">
        <v>0</v>
      </c>
      <c r="N1085" s="49" t="n">
        <v>1</v>
      </c>
      <c r="O1085" s="49" t="n">
        <v>0</v>
      </c>
      <c r="P1085" s="49" t="n">
        <v>0</v>
      </c>
      <c r="Q1085" s="49" t="n">
        <v>0</v>
      </c>
      <c r="R1085" s="49" t="n">
        <v>0</v>
      </c>
      <c r="S1085" s="50" t="n">
        <v>0</v>
      </c>
      <c r="T1085" s="50" t="n">
        <v>0</v>
      </c>
      <c r="U1085" s="50" t="n">
        <v>0</v>
      </c>
      <c r="V1085" s="50" t="n">
        <v>0</v>
      </c>
      <c r="W1085" s="51" t="n">
        <v>0</v>
      </c>
      <c r="X1085" s="51" t="n">
        <v>0</v>
      </c>
      <c r="Y1085" s="51" t="n">
        <v>0</v>
      </c>
      <c r="Z1085" s="51" t="n">
        <v>0</v>
      </c>
      <c r="AA1085" s="52" t="n">
        <v>0</v>
      </c>
      <c r="AB1085" s="52" t="n">
        <v>0</v>
      </c>
      <c r="AC1085" s="52" t="n">
        <v>0</v>
      </c>
      <c r="AD1085" s="52" t="n">
        <v>0</v>
      </c>
      <c r="AE1085" s="52" t="n">
        <v>0</v>
      </c>
      <c r="AF1085" s="52" t="n">
        <v>0</v>
      </c>
      <c r="AG1085" s="52" t="n">
        <v>0</v>
      </c>
      <c r="AH1085" s="52" t="n">
        <v>0</v>
      </c>
      <c r="AI1085" s="52" t="n">
        <v>0</v>
      </c>
      <c r="AJ1085" s="52" t="n">
        <v>0</v>
      </c>
      <c r="AK1085" s="52" t="n">
        <v>0</v>
      </c>
      <c r="AL1085" s="52" t="n">
        <v>0</v>
      </c>
      <c r="AM1085" s="53" t="n">
        <v>0</v>
      </c>
      <c r="AN1085" s="53" t="n">
        <v>0</v>
      </c>
      <c r="AO1085" s="53" t="n">
        <v>0</v>
      </c>
      <c r="AP1085" s="53" t="n">
        <v>0</v>
      </c>
      <c r="AQ1085" s="52" t="n">
        <v>0</v>
      </c>
      <c r="AR1085" s="52" t="n">
        <v>0</v>
      </c>
      <c r="AS1085" s="52" t="n">
        <v>0</v>
      </c>
      <c r="AT1085" s="52" t="n">
        <v>0</v>
      </c>
      <c r="AU1085" s="53" t="n">
        <v>0</v>
      </c>
      <c r="AV1085" s="53" t="n">
        <v>0</v>
      </c>
      <c r="AW1085" s="53" t="n">
        <v>0</v>
      </c>
      <c r="AX1085" s="53" t="n">
        <v>0</v>
      </c>
      <c r="AY1085" s="52" t="n">
        <v>0</v>
      </c>
      <c r="AZ1085" s="52" t="n">
        <v>0</v>
      </c>
      <c r="BA1085" s="52" t="n">
        <v>0</v>
      </c>
      <c r="BB1085" s="52" t="n">
        <v>19.99</v>
      </c>
      <c r="BC1085" s="51" t="n">
        <v>0</v>
      </c>
      <c r="BD1085" s="51" t="n">
        <v>0</v>
      </c>
      <c r="BE1085" s="51" t="n">
        <v>0</v>
      </c>
      <c r="BF1085" s="51" t="n">
        <v>0</v>
      </c>
    </row>
    <row r="1086">
      <c r="A1086">
        <f>HYPERLINK("https://www.walmart.com/ip/648587696", "648587696")</f>
        <v/>
      </c>
      <c r="B1086" t="inlineStr">
        <is>
          <t>Tirrinia 3-Bottle, Padded, Insulated Wine Carrier Bag, Wine Gift Bag with Front Pocket, Gray, 12" x 4" x 13"</t>
        </is>
      </c>
      <c r="C1086" t="inlineStr">
        <is>
          <t>1TRWB310GY</t>
        </is>
      </c>
      <c r="D1086" t="inlineStr">
        <is>
          <t>Wine Totes, Bags &amp; Backpacks</t>
        </is>
      </c>
      <c r="E1086" t="inlineStr">
        <is>
          <t>Tirrinia</t>
        </is>
      </c>
      <c r="F1086" t="inlineStr">
        <is>
          <t>Wine,Christmas,Optimized,Valentine,Lily Brand Camp</t>
        </is>
      </c>
      <c r="G1086" s="48" t="n">
        <v>0</v>
      </c>
      <c r="H1086" s="48" t="n">
        <v>0</v>
      </c>
      <c r="I1086" s="48" t="n">
        <v>0</v>
      </c>
      <c r="J1086" s="48" t="n">
        <v>0</v>
      </c>
      <c r="K1086" s="49" t="n">
        <v>0</v>
      </c>
      <c r="L1086" s="49" t="n">
        <v>0</v>
      </c>
      <c r="M1086" s="49" t="n">
        <v>0</v>
      </c>
      <c r="N1086" s="49" t="n">
        <v>0</v>
      </c>
      <c r="O1086" s="49" t="n">
        <v>0</v>
      </c>
      <c r="P1086" s="49" t="n">
        <v>0</v>
      </c>
      <c r="Q1086" s="49" t="n">
        <v>0</v>
      </c>
      <c r="R1086" s="49" t="n">
        <v>0</v>
      </c>
      <c r="S1086" s="50" t="n">
        <v>0</v>
      </c>
      <c r="T1086" s="50" t="n">
        <v>0</v>
      </c>
      <c r="U1086" s="50" t="n">
        <v>0</v>
      </c>
      <c r="V1086" s="50" t="n">
        <v>0</v>
      </c>
      <c r="W1086" s="51" t="n">
        <v>0</v>
      </c>
      <c r="X1086" s="51" t="n">
        <v>0</v>
      </c>
      <c r="Y1086" s="51" t="n">
        <v>0</v>
      </c>
      <c r="Z1086" s="51" t="n">
        <v>0</v>
      </c>
      <c r="AA1086" s="52" t="n">
        <v>0</v>
      </c>
      <c r="AB1086" s="52" t="n">
        <v>0</v>
      </c>
      <c r="AC1086" s="52" t="n">
        <v>0</v>
      </c>
      <c r="AD1086" s="52" t="n">
        <v>0</v>
      </c>
      <c r="AE1086" s="52" t="n">
        <v>0</v>
      </c>
      <c r="AF1086" s="52" t="n">
        <v>0</v>
      </c>
      <c r="AG1086" s="52" t="n">
        <v>0</v>
      </c>
      <c r="AH1086" s="52" t="n">
        <v>0</v>
      </c>
      <c r="AI1086" s="52" t="n">
        <v>0</v>
      </c>
      <c r="AJ1086" s="52" t="n">
        <v>0</v>
      </c>
      <c r="AK1086" s="52" t="n">
        <v>0</v>
      </c>
      <c r="AL1086" s="52" t="n">
        <v>0</v>
      </c>
      <c r="AM1086" s="53" t="n">
        <v>0</v>
      </c>
      <c r="AN1086" s="53" t="n">
        <v>0</v>
      </c>
      <c r="AO1086" s="53" t="n">
        <v>0</v>
      </c>
      <c r="AP1086" s="53" t="n">
        <v>0</v>
      </c>
      <c r="AQ1086" s="52" t="n">
        <v>0</v>
      </c>
      <c r="AR1086" s="52" t="n">
        <v>0</v>
      </c>
      <c r="AS1086" s="52" t="n">
        <v>0</v>
      </c>
      <c r="AT1086" s="52" t="n">
        <v>0</v>
      </c>
      <c r="AU1086" s="53" t="n">
        <v>0</v>
      </c>
      <c r="AV1086" s="53" t="n">
        <v>0</v>
      </c>
      <c r="AW1086" s="53" t="n">
        <v>0</v>
      </c>
      <c r="AX1086" s="53" t="n">
        <v>0</v>
      </c>
      <c r="AY1086" s="52" t="n">
        <v>0</v>
      </c>
      <c r="AZ1086" s="52" t="n">
        <v>0</v>
      </c>
      <c r="BA1086" s="52" t="n">
        <v>0</v>
      </c>
      <c r="BB1086" s="52" t="n">
        <v>0</v>
      </c>
      <c r="BC1086" s="51" t="n">
        <v>0</v>
      </c>
      <c r="BD1086" s="51" t="n">
        <v>0</v>
      </c>
      <c r="BE1086" s="51" t="n">
        <v>0</v>
      </c>
      <c r="BF1086" s="51" t="n">
        <v>0</v>
      </c>
    </row>
    <row r="1087">
      <c r="A1087">
        <f>HYPERLINK("https://www.walmart.com/ip/648820529", "648820529")</f>
        <v/>
      </c>
      <c r="B1087" t="inlineStr">
        <is>
          <t>Tirrinia Comfy Christmas Sherpa Throw Blanket, Red Buffalo Plaid, 50" x 60"</t>
        </is>
      </c>
      <c r="C1087" t="inlineStr">
        <is>
          <t>1TRBF567PRDGN-TBCB01</t>
        </is>
      </c>
      <c r="D1087" t="inlineStr">
        <is>
          <t>Throws</t>
        </is>
      </c>
      <c r="E1087" t="inlineStr">
        <is>
          <t>Tirrinia</t>
        </is>
      </c>
      <c r="F1087" t="inlineStr">
        <is>
          <t>Optimized,Coupon_Discount</t>
        </is>
      </c>
      <c r="G1087" s="48" t="n">
        <v>0</v>
      </c>
      <c r="H1087" s="48" t="n">
        <v>0</v>
      </c>
      <c r="I1087" s="48" t="n">
        <v>0</v>
      </c>
      <c r="J1087" s="48" t="n">
        <v>0</v>
      </c>
      <c r="K1087" s="49" t="n">
        <v>0</v>
      </c>
      <c r="L1087" s="49" t="n">
        <v>0</v>
      </c>
      <c r="M1087" s="49" t="n">
        <v>0</v>
      </c>
      <c r="N1087" s="49" t="n">
        <v>0</v>
      </c>
      <c r="O1087" s="49" t="n">
        <v>0</v>
      </c>
      <c r="P1087" s="49" t="n">
        <v>0</v>
      </c>
      <c r="Q1087" s="49" t="n">
        <v>0</v>
      </c>
      <c r="R1087" s="49" t="n">
        <v>0</v>
      </c>
      <c r="S1087" s="50" t="n">
        <v>0</v>
      </c>
      <c r="T1087" s="50" t="n">
        <v>0</v>
      </c>
      <c r="U1087" s="50" t="n">
        <v>0</v>
      </c>
      <c r="V1087" s="50" t="n">
        <v>0</v>
      </c>
      <c r="W1087" s="51" t="n">
        <v>6</v>
      </c>
      <c r="X1087" s="51" t="n">
        <v>5</v>
      </c>
      <c r="Y1087" s="51" t="n">
        <v>0</v>
      </c>
      <c r="Z1087" s="51" t="n">
        <v>1</v>
      </c>
      <c r="AA1087" s="52" t="n">
        <v>1.5</v>
      </c>
      <c r="AB1087" s="52" t="n">
        <v>1.37</v>
      </c>
      <c r="AC1087" s="52" t="n">
        <v>0</v>
      </c>
      <c r="AD1087" s="52" t="n">
        <v>0.31</v>
      </c>
      <c r="AE1087" s="52" t="n">
        <v>0</v>
      </c>
      <c r="AF1087" s="52" t="n">
        <v>0</v>
      </c>
      <c r="AG1087" s="52" t="n">
        <v>0</v>
      </c>
      <c r="AH1087" s="52" t="n">
        <v>0</v>
      </c>
      <c r="AI1087" s="52" t="n">
        <v>0</v>
      </c>
      <c r="AJ1087" s="52" t="n">
        <v>0</v>
      </c>
      <c r="AK1087" s="52" t="n">
        <v>0</v>
      </c>
      <c r="AL1087" s="52" t="n">
        <v>0</v>
      </c>
      <c r="AM1087" s="53" t="n">
        <v>0.0008</v>
      </c>
      <c r="AN1087" s="53" t="n">
        <v>0.0007</v>
      </c>
      <c r="AO1087" s="53" t="n">
        <v>0</v>
      </c>
      <c r="AP1087" s="53" t="n">
        <v>0.0004</v>
      </c>
      <c r="AQ1087" s="52" t="n">
        <v>0.25</v>
      </c>
      <c r="AR1087" s="52" t="n">
        <v>0.274</v>
      </c>
      <c r="AS1087" s="52" t="n">
        <v>0</v>
      </c>
      <c r="AT1087" s="52" t="n">
        <v>0.31</v>
      </c>
      <c r="AU1087" s="53" t="n">
        <v>0</v>
      </c>
      <c r="AV1087" s="53" t="n">
        <v>0</v>
      </c>
      <c r="AW1087" s="53" t="n">
        <v>0</v>
      </c>
      <c r="AX1087" s="53" t="n">
        <v>0</v>
      </c>
      <c r="AY1087" s="52" t="n">
        <v>0</v>
      </c>
      <c r="AZ1087" s="52" t="n">
        <v>0</v>
      </c>
      <c r="BA1087" s="52" t="n">
        <v>0</v>
      </c>
      <c r="BB1087" s="52" t="n">
        <v>0</v>
      </c>
      <c r="BC1087" s="51" t="n">
        <v>7228</v>
      </c>
      <c r="BD1087" s="51" t="n">
        <v>6757</v>
      </c>
      <c r="BE1087" s="51" t="n">
        <v>0</v>
      </c>
      <c r="BF1087" s="51" t="n">
        <v>2389</v>
      </c>
    </row>
    <row r="1088">
      <c r="A1088">
        <f>HYPERLINK("https://www.walmart.com/ip/649477384", "649477384")</f>
        <v/>
      </c>
      <c r="B1088" t="inlineStr">
        <is>
          <t>Mens Underwear Mens Boxer Briefs with Elastic Waistband Solid New Classic Fit, 3 Pack by Terra</t>
        </is>
      </c>
      <c r="C1088" t="inlineStr">
        <is>
          <t>TERRA-BOXER4-M</t>
        </is>
      </c>
      <c r="D1088" t="inlineStr">
        <is>
          <t>Underpants</t>
        </is>
      </c>
      <c r="E1088" t="inlineStr">
        <is>
          <t>Terra</t>
        </is>
      </c>
      <c r="F1088" t="inlineStr">
        <is>
          <t>Batch 1 - TR</t>
        </is>
      </c>
      <c r="G1088" s="48" t="n">
        <v>0</v>
      </c>
      <c r="H1088" s="48" t="n">
        <v>0</v>
      </c>
      <c r="I1088" s="48" t="n">
        <v>0</v>
      </c>
      <c r="J1088" s="48" t="n">
        <v>0</v>
      </c>
      <c r="K1088" s="49" t="n">
        <v>0</v>
      </c>
      <c r="L1088" s="49" t="n">
        <v>0</v>
      </c>
      <c r="M1088" s="49" t="n">
        <v>0</v>
      </c>
      <c r="N1088" s="49" t="n">
        <v>0</v>
      </c>
      <c r="O1088" s="49" t="n">
        <v>0</v>
      </c>
      <c r="P1088" s="49" t="n">
        <v>0</v>
      </c>
      <c r="Q1088" s="49" t="n">
        <v>0</v>
      </c>
      <c r="R1088" s="49" t="n">
        <v>0</v>
      </c>
      <c r="S1088" s="50" t="n">
        <v>0</v>
      </c>
      <c r="T1088" s="50" t="n">
        <v>0</v>
      </c>
      <c r="U1088" s="50" t="n">
        <v>0</v>
      </c>
      <c r="V1088" s="50" t="n">
        <v>0</v>
      </c>
      <c r="W1088" s="51" t="n">
        <v>0</v>
      </c>
      <c r="X1088" s="51" t="n">
        <v>0</v>
      </c>
      <c r="Y1088" s="51" t="n">
        <v>0</v>
      </c>
      <c r="Z1088" s="51" t="n">
        <v>0</v>
      </c>
      <c r="AA1088" s="52" t="n">
        <v>0</v>
      </c>
      <c r="AB1088" s="52" t="n">
        <v>0</v>
      </c>
      <c r="AC1088" s="52" t="n">
        <v>0</v>
      </c>
      <c r="AD1088" s="52" t="n">
        <v>0</v>
      </c>
      <c r="AE1088" s="52" t="n">
        <v>0</v>
      </c>
      <c r="AF1088" s="52" t="n">
        <v>0</v>
      </c>
      <c r="AG1088" s="52" t="n">
        <v>0</v>
      </c>
      <c r="AH1088" s="52" t="n">
        <v>0</v>
      </c>
      <c r="AI1088" s="52" t="n">
        <v>0</v>
      </c>
      <c r="AJ1088" s="52" t="n">
        <v>0</v>
      </c>
      <c r="AK1088" s="52" t="n">
        <v>0</v>
      </c>
      <c r="AL1088" s="52" t="n">
        <v>0</v>
      </c>
      <c r="AM1088" s="53" t="n">
        <v>0</v>
      </c>
      <c r="AN1088" s="53" t="n">
        <v>0</v>
      </c>
      <c r="AO1088" s="53" t="n">
        <v>0</v>
      </c>
      <c r="AP1088" s="53" t="n">
        <v>0</v>
      </c>
      <c r="AQ1088" s="52" t="n">
        <v>0</v>
      </c>
      <c r="AR1088" s="52" t="n">
        <v>0</v>
      </c>
      <c r="AS1088" s="52" t="n">
        <v>0</v>
      </c>
      <c r="AT1088" s="52" t="n">
        <v>0</v>
      </c>
      <c r="AU1088" s="53" t="n">
        <v>0</v>
      </c>
      <c r="AV1088" s="53" t="n">
        <v>0</v>
      </c>
      <c r="AW1088" s="53" t="n">
        <v>0</v>
      </c>
      <c r="AX1088" s="53" t="n">
        <v>0</v>
      </c>
      <c r="AY1088" s="52" t="n">
        <v>0</v>
      </c>
      <c r="AZ1088" s="52" t="n">
        <v>0</v>
      </c>
      <c r="BA1088" s="52" t="n">
        <v>0</v>
      </c>
      <c r="BB1088" s="52" t="n">
        <v>0</v>
      </c>
      <c r="BC1088" s="51" t="n">
        <v>0</v>
      </c>
      <c r="BD1088" s="51" t="n">
        <v>0</v>
      </c>
      <c r="BE1088" s="51" t="n">
        <v>0</v>
      </c>
      <c r="BF1088" s="51" t="n">
        <v>0</v>
      </c>
    </row>
    <row r="1089">
      <c r="A1089">
        <f>HYPERLINK("https://www.walmart.com/ip/652262501", "652262501")</f>
        <v/>
      </c>
      <c r="B1089" t="inlineStr">
        <is>
          <t>Catalonia Women’s Sherpa Hoodie Sweatshirt Dress, Casual Snuggle Wearable Blanket Pullover Sweater with Kangaroo Pocket, Warm and Soft, Gift for Her, Black</t>
        </is>
      </c>
      <c r="C1089" t="inlineStr">
        <is>
          <t>1CTHD532BK</t>
        </is>
      </c>
      <c r="D1089" t="inlineStr">
        <is>
          <t>Sweatshirts &amp; Hoodies</t>
        </is>
      </c>
      <c r="E1089" t="inlineStr">
        <is>
          <t>Catalonia</t>
        </is>
      </c>
      <c r="F1089" t="inlineStr">
        <is>
          <t>Hoodie ForAdult,Optimized,High AUR Items</t>
        </is>
      </c>
      <c r="G1089" s="48" t="n">
        <v>0</v>
      </c>
      <c r="H1089" s="48" t="n">
        <v>0</v>
      </c>
      <c r="I1089" s="48" t="n">
        <v>0</v>
      </c>
      <c r="J1089" s="48" t="n">
        <v>0</v>
      </c>
      <c r="K1089" s="49" t="n">
        <v>0</v>
      </c>
      <c r="L1089" s="49" t="n">
        <v>0</v>
      </c>
      <c r="M1089" s="49" t="n">
        <v>0</v>
      </c>
      <c r="N1089" s="49" t="n">
        <v>0</v>
      </c>
      <c r="O1089" s="49" t="n">
        <v>0</v>
      </c>
      <c r="P1089" s="49" t="n">
        <v>0</v>
      </c>
      <c r="Q1089" s="49" t="n">
        <v>0</v>
      </c>
      <c r="R1089" s="49" t="n">
        <v>0</v>
      </c>
      <c r="S1089" s="50" t="n">
        <v>0</v>
      </c>
      <c r="T1089" s="50" t="n">
        <v>0</v>
      </c>
      <c r="U1089" s="50" t="n">
        <v>0</v>
      </c>
      <c r="V1089" s="50" t="n">
        <v>0</v>
      </c>
      <c r="W1089" s="51" t="n">
        <v>0</v>
      </c>
      <c r="X1089" s="51" t="n">
        <v>0</v>
      </c>
      <c r="Y1089" s="51" t="n">
        <v>0</v>
      </c>
      <c r="Z1089" s="51" t="n">
        <v>0</v>
      </c>
      <c r="AA1089" s="52" t="n">
        <v>0</v>
      </c>
      <c r="AB1089" s="52" t="n">
        <v>0</v>
      </c>
      <c r="AC1089" s="52" t="n">
        <v>0</v>
      </c>
      <c r="AD1089" s="52" t="n">
        <v>0</v>
      </c>
      <c r="AE1089" s="52" t="n">
        <v>0</v>
      </c>
      <c r="AF1089" s="52" t="n">
        <v>0</v>
      </c>
      <c r="AG1089" s="52" t="n">
        <v>0</v>
      </c>
      <c r="AH1089" s="52" t="n">
        <v>0</v>
      </c>
      <c r="AI1089" s="52" t="n">
        <v>0</v>
      </c>
      <c r="AJ1089" s="52" t="n">
        <v>0</v>
      </c>
      <c r="AK1089" s="52" t="n">
        <v>0</v>
      </c>
      <c r="AL1089" s="52" t="n">
        <v>0</v>
      </c>
      <c r="AM1089" s="53" t="n">
        <v>0</v>
      </c>
      <c r="AN1089" s="53" t="n">
        <v>0</v>
      </c>
      <c r="AO1089" s="53" t="n">
        <v>0</v>
      </c>
      <c r="AP1089" s="53" t="n">
        <v>0</v>
      </c>
      <c r="AQ1089" s="52" t="n">
        <v>0</v>
      </c>
      <c r="AR1089" s="52" t="n">
        <v>0</v>
      </c>
      <c r="AS1089" s="52" t="n">
        <v>0</v>
      </c>
      <c r="AT1089" s="52" t="n">
        <v>0</v>
      </c>
      <c r="AU1089" s="53" t="n">
        <v>0</v>
      </c>
      <c r="AV1089" s="53" t="n">
        <v>0</v>
      </c>
      <c r="AW1089" s="53" t="n">
        <v>0</v>
      </c>
      <c r="AX1089" s="53" t="n">
        <v>0</v>
      </c>
      <c r="AY1089" s="52" t="n">
        <v>0</v>
      </c>
      <c r="AZ1089" s="52" t="n">
        <v>0</v>
      </c>
      <c r="BA1089" s="52" t="n">
        <v>0</v>
      </c>
      <c r="BB1089" s="52" t="n">
        <v>0</v>
      </c>
      <c r="BC1089" s="51" t="n">
        <v>0</v>
      </c>
      <c r="BD1089" s="51" t="n">
        <v>0</v>
      </c>
      <c r="BE1089" s="51" t="n">
        <v>0</v>
      </c>
      <c r="BF1089" s="51" t="n">
        <v>0</v>
      </c>
    </row>
    <row r="1090">
      <c r="A1090">
        <f>HYPERLINK("https://www.walmart.com/ip/653030869", "653030869")</f>
        <v/>
      </c>
      <c r="B1090" t="inlineStr">
        <is>
          <t>Flyingstar Wearable Blanket with Sleeves and Pocket, Fleece Micro Plush Throws Blanket, Robe for Women and Men 73” x 51” Wine</t>
        </is>
      </c>
      <c r="C1090" t="inlineStr">
        <is>
          <t>1WMSN100WN</t>
        </is>
      </c>
      <c r="D1090" t="inlineStr">
        <is>
          <t>Throws</t>
        </is>
      </c>
      <c r="E1090" t="inlineStr">
        <is>
          <t>Flyingstar</t>
        </is>
      </c>
      <c r="F1090" t="inlineStr">
        <is>
          <t>Batch 1 - TR</t>
        </is>
      </c>
      <c r="G1090" s="48" t="n">
        <v>0</v>
      </c>
      <c r="H1090" s="48" t="n">
        <v>0</v>
      </c>
      <c r="I1090" s="48" t="n">
        <v>0</v>
      </c>
      <c r="J1090" s="48" t="n">
        <v>0</v>
      </c>
      <c r="K1090" s="49" t="n">
        <v>0</v>
      </c>
      <c r="L1090" s="49" t="n">
        <v>0</v>
      </c>
      <c r="M1090" s="49" t="n">
        <v>0</v>
      </c>
      <c r="N1090" s="49" t="n">
        <v>0</v>
      </c>
      <c r="O1090" s="49" t="n">
        <v>0</v>
      </c>
      <c r="P1090" s="49" t="n">
        <v>0</v>
      </c>
      <c r="Q1090" s="49" t="n">
        <v>0</v>
      </c>
      <c r="R1090" s="49" t="n">
        <v>0</v>
      </c>
      <c r="S1090" s="50" t="n">
        <v>0</v>
      </c>
      <c r="T1090" s="50" t="n">
        <v>0</v>
      </c>
      <c r="U1090" s="50" t="n">
        <v>0</v>
      </c>
      <c r="V1090" s="50" t="n">
        <v>0</v>
      </c>
      <c r="W1090" s="51" t="n">
        <v>0</v>
      </c>
      <c r="X1090" s="51" t="n">
        <v>0</v>
      </c>
      <c r="Y1090" s="51" t="n">
        <v>0</v>
      </c>
      <c r="Z1090" s="51" t="n">
        <v>0</v>
      </c>
      <c r="AA1090" s="52" t="n">
        <v>0</v>
      </c>
      <c r="AB1090" s="52" t="n">
        <v>0</v>
      </c>
      <c r="AC1090" s="52" t="n">
        <v>0</v>
      </c>
      <c r="AD1090" s="52" t="n">
        <v>0</v>
      </c>
      <c r="AE1090" s="52" t="n">
        <v>0</v>
      </c>
      <c r="AF1090" s="52" t="n">
        <v>0</v>
      </c>
      <c r="AG1090" s="52" t="n">
        <v>0</v>
      </c>
      <c r="AH1090" s="52" t="n">
        <v>0</v>
      </c>
      <c r="AI1090" s="52" t="n">
        <v>0</v>
      </c>
      <c r="AJ1090" s="52" t="n">
        <v>0</v>
      </c>
      <c r="AK1090" s="52" t="n">
        <v>0</v>
      </c>
      <c r="AL1090" s="52" t="n">
        <v>0</v>
      </c>
      <c r="AM1090" s="53" t="n">
        <v>0</v>
      </c>
      <c r="AN1090" s="53" t="n">
        <v>0</v>
      </c>
      <c r="AO1090" s="53" t="n">
        <v>0</v>
      </c>
      <c r="AP1090" s="53" t="n">
        <v>0</v>
      </c>
      <c r="AQ1090" s="52" t="n">
        <v>0</v>
      </c>
      <c r="AR1090" s="52" t="n">
        <v>0</v>
      </c>
      <c r="AS1090" s="52" t="n">
        <v>0</v>
      </c>
      <c r="AT1090" s="52" t="n">
        <v>0</v>
      </c>
      <c r="AU1090" s="53" t="n">
        <v>0</v>
      </c>
      <c r="AV1090" s="53" t="n">
        <v>0</v>
      </c>
      <c r="AW1090" s="53" t="n">
        <v>0</v>
      </c>
      <c r="AX1090" s="53" t="n">
        <v>0</v>
      </c>
      <c r="AY1090" s="52" t="n">
        <v>0</v>
      </c>
      <c r="AZ1090" s="52" t="n">
        <v>0</v>
      </c>
      <c r="BA1090" s="52" t="n">
        <v>0</v>
      </c>
      <c r="BB1090" s="52" t="n">
        <v>0</v>
      </c>
      <c r="BC1090" s="51" t="n">
        <v>0</v>
      </c>
      <c r="BD1090" s="51" t="n">
        <v>0</v>
      </c>
      <c r="BE1090" s="51" t="n">
        <v>0</v>
      </c>
      <c r="BF1090" s="51" t="n">
        <v>0</v>
      </c>
    </row>
    <row r="1091">
      <c r="A1091">
        <f>HYPERLINK("https://www.walmart.com/ip/653031662", "653031662")</f>
        <v/>
      </c>
      <c r="B1091" t="inlineStr">
        <is>
          <t>Catalonia Hooded Wearable Blanket Poncho for Adult Women Men, Fleece Wrap Blanket Cape with Hood | Warm, Soft, Cozy, Snuggly | Comfort Gift, No Sleeves, Navy</t>
        </is>
      </c>
      <c r="C1091" t="inlineStr">
        <is>
          <t>1CTBP120NY</t>
        </is>
      </c>
      <c r="D1091" t="inlineStr">
        <is>
          <t>Throws</t>
        </is>
      </c>
      <c r="E1091" t="inlineStr">
        <is>
          <t>Catalonia</t>
        </is>
      </c>
      <c r="F1091" t="inlineStr">
        <is>
          <t>Q2-Target,Hero 5 Holidays,WFS,WFS Item</t>
        </is>
      </c>
      <c r="G1091" s="48" t="n">
        <v>0</v>
      </c>
      <c r="H1091" s="48" t="n">
        <v>0</v>
      </c>
      <c r="I1091" s="48" t="n">
        <v>0</v>
      </c>
      <c r="J1091" s="48" t="n">
        <v>0</v>
      </c>
      <c r="K1091" s="49" t="n">
        <v>0</v>
      </c>
      <c r="L1091" s="49" t="n">
        <v>0</v>
      </c>
      <c r="M1091" s="49" t="n">
        <v>0</v>
      </c>
      <c r="N1091" s="49" t="n">
        <v>0</v>
      </c>
      <c r="O1091" s="49" t="n">
        <v>0</v>
      </c>
      <c r="P1091" s="49" t="n">
        <v>0</v>
      </c>
      <c r="Q1091" s="49" t="n">
        <v>0</v>
      </c>
      <c r="R1091" s="49" t="n">
        <v>1</v>
      </c>
      <c r="S1091" s="50" t="n">
        <v>0</v>
      </c>
      <c r="T1091" s="50" t="n">
        <v>0</v>
      </c>
      <c r="U1091" s="50" t="n">
        <v>0</v>
      </c>
      <c r="V1091" s="50" t="n">
        <v>0</v>
      </c>
      <c r="W1091" s="51" t="n">
        <v>10</v>
      </c>
      <c r="X1091" s="51" t="n">
        <v>0</v>
      </c>
      <c r="Y1091" s="51" t="n">
        <v>0</v>
      </c>
      <c r="Z1091" s="51" t="n">
        <v>0</v>
      </c>
      <c r="AA1091" s="52" t="n">
        <v>2.92</v>
      </c>
      <c r="AB1091" s="52" t="n">
        <v>0</v>
      </c>
      <c r="AC1091" s="52" t="n">
        <v>0</v>
      </c>
      <c r="AD1091" s="52" t="n">
        <v>0</v>
      </c>
      <c r="AE1091" s="52" t="n">
        <v>0</v>
      </c>
      <c r="AF1091" s="52" t="n">
        <v>0</v>
      </c>
      <c r="AG1091" s="52" t="n">
        <v>0</v>
      </c>
      <c r="AH1091" s="52" t="n">
        <v>0</v>
      </c>
      <c r="AI1091" s="52" t="n">
        <v>0</v>
      </c>
      <c r="AJ1091" s="52" t="n">
        <v>0</v>
      </c>
      <c r="AK1091" s="52" t="n">
        <v>0</v>
      </c>
      <c r="AL1091" s="52" t="n">
        <v>0</v>
      </c>
      <c r="AM1091" s="53" t="n">
        <v>0.0028</v>
      </c>
      <c r="AN1091" s="53" t="n">
        <v>0</v>
      </c>
      <c r="AO1091" s="53" t="n">
        <v>0</v>
      </c>
      <c r="AP1091" s="53" t="n">
        <v>0</v>
      </c>
      <c r="AQ1091" s="52" t="n">
        <v>0.292</v>
      </c>
      <c r="AR1091" s="52" t="n">
        <v>0</v>
      </c>
      <c r="AS1091" s="52" t="n">
        <v>0</v>
      </c>
      <c r="AT1091" s="52" t="n">
        <v>0</v>
      </c>
      <c r="AU1091" s="53" t="n">
        <v>0</v>
      </c>
      <c r="AV1091" s="53" t="n">
        <v>0</v>
      </c>
      <c r="AW1091" s="53" t="n">
        <v>0</v>
      </c>
      <c r="AX1091" s="53" t="n">
        <v>0</v>
      </c>
      <c r="AY1091" s="52" t="n">
        <v>0</v>
      </c>
      <c r="AZ1091" s="52" t="n">
        <v>0</v>
      </c>
      <c r="BA1091" s="52" t="n">
        <v>0</v>
      </c>
      <c r="BB1091" s="52" t="n">
        <v>0</v>
      </c>
      <c r="BC1091" s="51" t="n">
        <v>3570</v>
      </c>
      <c r="BD1091" s="51" t="n">
        <v>0</v>
      </c>
      <c r="BE1091" s="51" t="n">
        <v>0</v>
      </c>
      <c r="BF1091" s="51" t="n">
        <v>0</v>
      </c>
    </row>
    <row r="1092">
      <c r="A1092">
        <f>HYPERLINK("https://www.walmart.com/ip/653063425", "653063425")</f>
        <v/>
      </c>
      <c r="B1092" t="inlineStr">
        <is>
          <t>Single Wine Cooler Bags - Insulated &amp; Padded Portable Wine Tote Carrier for Travel, BYOB Restaurant, Wine Tasting, Party, Great Christmas Gift for Wine Lover, Black</t>
        </is>
      </c>
      <c r="C1092" t="inlineStr">
        <is>
          <t>1WMWB101BK</t>
        </is>
      </c>
      <c r="D1092" t="inlineStr">
        <is>
          <t>Wine Totes, Bags &amp; Backpacks</t>
        </is>
      </c>
      <c r="E1092" t="inlineStr">
        <is>
          <t>Flyingstar</t>
        </is>
      </c>
      <c r="F1092" t="inlineStr">
        <is>
          <t>Wine,Christmas,Optimized,Valentine,SEM</t>
        </is>
      </c>
      <c r="G1092" s="48" t="n">
        <v>0</v>
      </c>
      <c r="H1092" s="48" t="n">
        <v>16.99</v>
      </c>
      <c r="I1092" s="48" t="n">
        <v>0</v>
      </c>
      <c r="J1092" s="48" t="n">
        <v>0</v>
      </c>
      <c r="K1092" s="49" t="n">
        <v>0</v>
      </c>
      <c r="L1092" s="49" t="n">
        <v>1</v>
      </c>
      <c r="M1092" s="49" t="n">
        <v>0</v>
      </c>
      <c r="N1092" s="49" t="n">
        <v>0</v>
      </c>
      <c r="O1092" s="49" t="n">
        <v>0</v>
      </c>
      <c r="P1092" s="49" t="n">
        <v>0</v>
      </c>
      <c r="Q1092" s="49" t="n">
        <v>0</v>
      </c>
      <c r="R1092" s="49" t="n">
        <v>0</v>
      </c>
      <c r="S1092" s="50" t="n">
        <v>0</v>
      </c>
      <c r="T1092" s="50" t="n">
        <v>0</v>
      </c>
      <c r="U1092" s="50" t="n">
        <v>0</v>
      </c>
      <c r="V1092" s="50" t="n">
        <v>0</v>
      </c>
      <c r="W1092" s="51" t="n">
        <v>0</v>
      </c>
      <c r="X1092" s="51" t="n">
        <v>0</v>
      </c>
      <c r="Y1092" s="51" t="n">
        <v>0</v>
      </c>
      <c r="Z1092" s="51" t="n">
        <v>0</v>
      </c>
      <c r="AA1092" s="52" t="n">
        <v>0</v>
      </c>
      <c r="AB1092" s="52" t="n">
        <v>0</v>
      </c>
      <c r="AC1092" s="52" t="n">
        <v>0</v>
      </c>
      <c r="AD1092" s="52" t="n">
        <v>0</v>
      </c>
      <c r="AE1092" s="52" t="n">
        <v>0</v>
      </c>
      <c r="AF1092" s="52" t="n">
        <v>0</v>
      </c>
      <c r="AG1092" s="52" t="n">
        <v>0</v>
      </c>
      <c r="AH1092" s="52" t="n">
        <v>0</v>
      </c>
      <c r="AI1092" s="52" t="n">
        <v>0</v>
      </c>
      <c r="AJ1092" s="52" t="n">
        <v>0</v>
      </c>
      <c r="AK1092" s="52" t="n">
        <v>0</v>
      </c>
      <c r="AL1092" s="52" t="n">
        <v>0</v>
      </c>
      <c r="AM1092" s="53" t="n">
        <v>0</v>
      </c>
      <c r="AN1092" s="53" t="n">
        <v>0</v>
      </c>
      <c r="AO1092" s="53" t="n">
        <v>0</v>
      </c>
      <c r="AP1092" s="53" t="n">
        <v>0</v>
      </c>
      <c r="AQ1092" s="52" t="n">
        <v>0</v>
      </c>
      <c r="AR1092" s="52" t="n">
        <v>0</v>
      </c>
      <c r="AS1092" s="52" t="n">
        <v>0</v>
      </c>
      <c r="AT1092" s="52" t="n">
        <v>0</v>
      </c>
      <c r="AU1092" s="53" t="n">
        <v>0</v>
      </c>
      <c r="AV1092" s="53" t="n">
        <v>0</v>
      </c>
      <c r="AW1092" s="53" t="n">
        <v>0</v>
      </c>
      <c r="AX1092" s="53" t="n">
        <v>0</v>
      </c>
      <c r="AY1092" s="52" t="n">
        <v>0</v>
      </c>
      <c r="AZ1092" s="52" t="n">
        <v>16.99</v>
      </c>
      <c r="BA1092" s="52" t="n">
        <v>0</v>
      </c>
      <c r="BB1092" s="52" t="n">
        <v>0</v>
      </c>
      <c r="BC1092" s="51" t="n">
        <v>0</v>
      </c>
      <c r="BD1092" s="51" t="n">
        <v>0</v>
      </c>
      <c r="BE1092" s="51" t="n">
        <v>0</v>
      </c>
      <c r="BF1092" s="51" t="n">
        <v>0</v>
      </c>
    </row>
    <row r="1093">
      <c r="A1093">
        <f>HYPERLINK("https://www.walmart.com/ip/653774365", "653774365")</f>
        <v/>
      </c>
      <c r="B1093" t="inlineStr">
        <is>
          <t>Catalonia Sherpa Fleece Throw Cozy Fuzzy Jacquard Fluffy Blanket 50x60 inches, for the Couch Bed | Comfy Warm Heavy | Comfort Caring Gift0</t>
        </is>
      </c>
      <c r="C1093" t="inlineStr">
        <is>
          <t>1CTBF573BLTILE</t>
        </is>
      </c>
      <c r="D1093" t="inlineStr">
        <is>
          <t>Throws</t>
        </is>
      </c>
      <c r="E1093" t="inlineStr">
        <is>
          <t>Catalonia</t>
        </is>
      </c>
      <c r="F1093" t="inlineStr">
        <is>
          <t>Q2-Target,Optimized,WFS,WFS Item</t>
        </is>
      </c>
      <c r="G1093" s="48" t="n">
        <v>0</v>
      </c>
      <c r="H1093" s="48" t="n">
        <v>0</v>
      </c>
      <c r="I1093" s="48" t="n">
        <v>0</v>
      </c>
      <c r="J1093" s="48" t="n">
        <v>0</v>
      </c>
      <c r="K1093" s="49" t="n">
        <v>0</v>
      </c>
      <c r="L1093" s="49" t="n">
        <v>0</v>
      </c>
      <c r="M1093" s="49" t="n">
        <v>0</v>
      </c>
      <c r="N1093" s="49" t="n">
        <v>0</v>
      </c>
      <c r="O1093" s="49" t="n">
        <v>0</v>
      </c>
      <c r="P1093" s="49" t="n">
        <v>0</v>
      </c>
      <c r="Q1093" s="49" t="n">
        <v>0</v>
      </c>
      <c r="R1093" s="49" t="n">
        <v>0</v>
      </c>
      <c r="S1093" s="50" t="n">
        <v>0</v>
      </c>
      <c r="T1093" s="50" t="n">
        <v>0</v>
      </c>
      <c r="U1093" s="50" t="n">
        <v>0</v>
      </c>
      <c r="V1093" s="50" t="n">
        <v>0</v>
      </c>
      <c r="W1093" s="51" t="n">
        <v>0</v>
      </c>
      <c r="X1093" s="51" t="n">
        <v>0</v>
      </c>
      <c r="Y1093" s="51" t="n">
        <v>0</v>
      </c>
      <c r="Z1093" s="51" t="n">
        <v>0</v>
      </c>
      <c r="AA1093" s="52" t="n">
        <v>0</v>
      </c>
      <c r="AB1093" s="52" t="n">
        <v>0</v>
      </c>
      <c r="AC1093" s="52" t="n">
        <v>0</v>
      </c>
      <c r="AD1093" s="52" t="n">
        <v>0</v>
      </c>
      <c r="AE1093" s="52" t="n">
        <v>0</v>
      </c>
      <c r="AF1093" s="52" t="n">
        <v>0</v>
      </c>
      <c r="AG1093" s="52" t="n">
        <v>0</v>
      </c>
      <c r="AH1093" s="52" t="n">
        <v>0</v>
      </c>
      <c r="AI1093" s="52" t="n">
        <v>0</v>
      </c>
      <c r="AJ1093" s="52" t="n">
        <v>0</v>
      </c>
      <c r="AK1093" s="52" t="n">
        <v>0</v>
      </c>
      <c r="AL1093" s="52" t="n">
        <v>0</v>
      </c>
      <c r="AM1093" s="53" t="n">
        <v>0</v>
      </c>
      <c r="AN1093" s="53" t="n">
        <v>0</v>
      </c>
      <c r="AO1093" s="53" t="n">
        <v>0</v>
      </c>
      <c r="AP1093" s="53" t="n">
        <v>0</v>
      </c>
      <c r="AQ1093" s="52" t="n">
        <v>0</v>
      </c>
      <c r="AR1093" s="52" t="n">
        <v>0</v>
      </c>
      <c r="AS1093" s="52" t="n">
        <v>0</v>
      </c>
      <c r="AT1093" s="52" t="n">
        <v>0</v>
      </c>
      <c r="AU1093" s="53" t="n">
        <v>0</v>
      </c>
      <c r="AV1093" s="53" t="n">
        <v>0</v>
      </c>
      <c r="AW1093" s="53" t="n">
        <v>0</v>
      </c>
      <c r="AX1093" s="53" t="n">
        <v>0</v>
      </c>
      <c r="AY1093" s="52" t="n">
        <v>0</v>
      </c>
      <c r="AZ1093" s="52" t="n">
        <v>0</v>
      </c>
      <c r="BA1093" s="52" t="n">
        <v>0</v>
      </c>
      <c r="BB1093" s="52" t="n">
        <v>0</v>
      </c>
      <c r="BC1093" s="51" t="n">
        <v>0</v>
      </c>
      <c r="BD1093" s="51" t="n">
        <v>0</v>
      </c>
      <c r="BE1093" s="51" t="n">
        <v>0</v>
      </c>
      <c r="BF1093" s="51" t="n">
        <v>0</v>
      </c>
    </row>
    <row r="1094">
      <c r="A1094">
        <f>HYPERLINK("https://www.walmart.com/ip/654577091", "654577091")</f>
        <v/>
      </c>
      <c r="B1094" t="inlineStr">
        <is>
          <t>Large Dog Blanket, Super Soft Fluffy Sherpa Fleece Dog Couch Blankets and Throws for Large Medium  Small Dogs Puppy Doggy Pet Cats, Latte</t>
        </is>
      </c>
      <c r="C1094" t="inlineStr">
        <is>
          <t>1PSBF560LTLT</t>
        </is>
      </c>
      <c r="D1094" t="inlineStr">
        <is>
          <t>Pet Blankets</t>
        </is>
      </c>
      <c r="E1094" t="inlineStr">
        <is>
          <t>Pawsse</t>
        </is>
      </c>
      <c r="F1094" t="inlineStr">
        <is>
          <t>Q2-Target,Optimized,WFS,WFS Item</t>
        </is>
      </c>
      <c r="G1094" s="48" t="n">
        <v>0</v>
      </c>
      <c r="H1094" s="48" t="n">
        <v>0</v>
      </c>
      <c r="I1094" s="48" t="n">
        <v>0</v>
      </c>
      <c r="J1094" s="48" t="n">
        <v>0</v>
      </c>
      <c r="K1094" s="49" t="n">
        <v>0</v>
      </c>
      <c r="L1094" s="49" t="n">
        <v>0</v>
      </c>
      <c r="M1094" s="49" t="n">
        <v>0</v>
      </c>
      <c r="N1094" s="49" t="n">
        <v>0</v>
      </c>
      <c r="O1094" s="49" t="n">
        <v>0</v>
      </c>
      <c r="P1094" s="49" t="n">
        <v>0</v>
      </c>
      <c r="Q1094" s="49" t="n">
        <v>0</v>
      </c>
      <c r="R1094" s="49" t="n">
        <v>0</v>
      </c>
      <c r="S1094" s="50" t="n">
        <v>0</v>
      </c>
      <c r="T1094" s="50" t="n">
        <v>0</v>
      </c>
      <c r="U1094" s="50" t="n">
        <v>0</v>
      </c>
      <c r="V1094" s="50" t="n">
        <v>0</v>
      </c>
      <c r="W1094" s="51" t="n">
        <v>0</v>
      </c>
      <c r="X1094" s="51" t="n">
        <v>0</v>
      </c>
      <c r="Y1094" s="51" t="n">
        <v>0</v>
      </c>
      <c r="Z1094" s="51" t="n">
        <v>1</v>
      </c>
      <c r="AA1094" s="52" t="n">
        <v>0</v>
      </c>
      <c r="AB1094" s="52" t="n">
        <v>0</v>
      </c>
      <c r="AC1094" s="52" t="n">
        <v>0</v>
      </c>
      <c r="AD1094" s="52" t="n">
        <v>0.24</v>
      </c>
      <c r="AE1094" s="52" t="n">
        <v>0</v>
      </c>
      <c r="AF1094" s="52" t="n">
        <v>0</v>
      </c>
      <c r="AG1094" s="52" t="n">
        <v>0</v>
      </c>
      <c r="AH1094" s="52" t="n">
        <v>0</v>
      </c>
      <c r="AI1094" s="52" t="n">
        <v>0</v>
      </c>
      <c r="AJ1094" s="52" t="n">
        <v>0</v>
      </c>
      <c r="AK1094" s="52" t="n">
        <v>0</v>
      </c>
      <c r="AL1094" s="52" t="n">
        <v>0</v>
      </c>
      <c r="AM1094" s="53" t="n">
        <v>0</v>
      </c>
      <c r="AN1094" s="53" t="n">
        <v>0</v>
      </c>
      <c r="AO1094" s="53" t="n">
        <v>0</v>
      </c>
      <c r="AP1094" s="53" t="n">
        <v>0.0007</v>
      </c>
      <c r="AQ1094" s="52" t="n">
        <v>0</v>
      </c>
      <c r="AR1094" s="52" t="n">
        <v>0</v>
      </c>
      <c r="AS1094" s="52" t="n">
        <v>0</v>
      </c>
      <c r="AT1094" s="52" t="n">
        <v>0.24</v>
      </c>
      <c r="AU1094" s="53" t="n">
        <v>0</v>
      </c>
      <c r="AV1094" s="53" t="n">
        <v>0</v>
      </c>
      <c r="AW1094" s="53" t="n">
        <v>0</v>
      </c>
      <c r="AX1094" s="53" t="n">
        <v>0</v>
      </c>
      <c r="AY1094" s="52" t="n">
        <v>0</v>
      </c>
      <c r="AZ1094" s="52" t="n">
        <v>0</v>
      </c>
      <c r="BA1094" s="52" t="n">
        <v>0</v>
      </c>
      <c r="BB1094" s="52" t="n">
        <v>0</v>
      </c>
      <c r="BC1094" s="51" t="n">
        <v>793</v>
      </c>
      <c r="BD1094" s="51" t="n">
        <v>1147</v>
      </c>
      <c r="BE1094" s="51" t="n">
        <v>672</v>
      </c>
      <c r="BF1094" s="51" t="n">
        <v>1334</v>
      </c>
    </row>
    <row r="1095">
      <c r="A1095">
        <f>HYPERLINK("https://www.walmart.com/ip/655001568", "655001568")</f>
        <v/>
      </c>
      <c r="B1095" t="inlineStr">
        <is>
          <t>Solaris Womens Bucket Hat UV Sun Protection Lightweight Packable Summer Travel Beach Cap,Kahki</t>
        </is>
      </c>
      <c r="C1095" t="inlineStr">
        <is>
          <t>1SLSH189KK</t>
        </is>
      </c>
      <c r="D1095" t="inlineStr">
        <is>
          <t>Hats</t>
        </is>
      </c>
      <c r="E1095" t="inlineStr">
        <is>
          <t>Solaris</t>
        </is>
      </c>
      <c r="F1095" t="inlineStr">
        <is>
          <t>Hats,Batch 1 - TR</t>
        </is>
      </c>
      <c r="G1095" s="48" t="n">
        <v>0</v>
      </c>
      <c r="H1095" s="48" t="n">
        <v>9.99</v>
      </c>
      <c r="I1095" s="48" t="n">
        <v>0</v>
      </c>
      <c r="J1095" s="48" t="n">
        <v>0</v>
      </c>
      <c r="K1095" s="49" t="n">
        <v>0</v>
      </c>
      <c r="L1095" s="49" t="n">
        <v>1</v>
      </c>
      <c r="M1095" s="49" t="n">
        <v>0</v>
      </c>
      <c r="N1095" s="49" t="n">
        <v>0</v>
      </c>
      <c r="O1095" s="49" t="n">
        <v>0</v>
      </c>
      <c r="P1095" s="49" t="n">
        <v>0</v>
      </c>
      <c r="Q1095" s="49" t="n">
        <v>0</v>
      </c>
      <c r="R1095" s="49" t="n">
        <v>0</v>
      </c>
      <c r="S1095" s="50" t="n">
        <v>0</v>
      </c>
      <c r="T1095" s="50" t="n">
        <v>0</v>
      </c>
      <c r="U1095" s="50" t="n">
        <v>0</v>
      </c>
      <c r="V1095" s="50" t="n">
        <v>0</v>
      </c>
      <c r="W1095" s="51" t="n">
        <v>0</v>
      </c>
      <c r="X1095" s="51" t="n">
        <v>0</v>
      </c>
      <c r="Y1095" s="51" t="n">
        <v>0</v>
      </c>
      <c r="Z1095" s="51" t="n">
        <v>0</v>
      </c>
      <c r="AA1095" s="52" t="n">
        <v>0</v>
      </c>
      <c r="AB1095" s="52" t="n">
        <v>0</v>
      </c>
      <c r="AC1095" s="52" t="n">
        <v>0</v>
      </c>
      <c r="AD1095" s="52" t="n">
        <v>0</v>
      </c>
      <c r="AE1095" s="52" t="n">
        <v>0</v>
      </c>
      <c r="AF1095" s="52" t="n">
        <v>0</v>
      </c>
      <c r="AG1095" s="52" t="n">
        <v>0</v>
      </c>
      <c r="AH1095" s="52" t="n">
        <v>0</v>
      </c>
      <c r="AI1095" s="52" t="n">
        <v>0</v>
      </c>
      <c r="AJ1095" s="52" t="n">
        <v>0</v>
      </c>
      <c r="AK1095" s="52" t="n">
        <v>0</v>
      </c>
      <c r="AL1095" s="52" t="n">
        <v>0</v>
      </c>
      <c r="AM1095" s="53" t="n">
        <v>0</v>
      </c>
      <c r="AN1095" s="53" t="n">
        <v>0</v>
      </c>
      <c r="AO1095" s="53" t="n">
        <v>0</v>
      </c>
      <c r="AP1095" s="53" t="n">
        <v>0</v>
      </c>
      <c r="AQ1095" s="52" t="n">
        <v>0</v>
      </c>
      <c r="AR1095" s="52" t="n">
        <v>0</v>
      </c>
      <c r="AS1095" s="52" t="n">
        <v>0</v>
      </c>
      <c r="AT1095" s="52" t="n">
        <v>0</v>
      </c>
      <c r="AU1095" s="53" t="n">
        <v>0</v>
      </c>
      <c r="AV1095" s="53" t="n">
        <v>0</v>
      </c>
      <c r="AW1095" s="53" t="n">
        <v>0</v>
      </c>
      <c r="AX1095" s="53" t="n">
        <v>0</v>
      </c>
      <c r="AY1095" s="52" t="n">
        <v>0</v>
      </c>
      <c r="AZ1095" s="52" t="n">
        <v>9.99</v>
      </c>
      <c r="BA1095" s="52" t="n">
        <v>0</v>
      </c>
      <c r="BB1095" s="52" t="n">
        <v>0</v>
      </c>
      <c r="BC1095" s="51" t="n">
        <v>0</v>
      </c>
      <c r="BD1095" s="51" t="n">
        <v>0</v>
      </c>
      <c r="BE1095" s="51" t="n">
        <v>0</v>
      </c>
      <c r="BF1095" s="51" t="n">
        <v>0</v>
      </c>
    </row>
    <row r="1096">
      <c r="A1096">
        <f>HYPERLINK("https://www.walmart.com/ip/644251416", "644251416")</f>
        <v/>
      </c>
      <c r="B1096" t="inlineStr">
        <is>
          <t>Terra Men Boxer Brief Underwear Best 3 Pack Most Comfortable Cotton Trunk Short</t>
        </is>
      </c>
      <c r="C1096" t="inlineStr">
        <is>
          <t>TERRA-BOXER9-L</t>
        </is>
      </c>
      <c r="D1096" t="inlineStr">
        <is>
          <t>Underpants</t>
        </is>
      </c>
      <c r="E1096" t="inlineStr">
        <is>
          <t>Terra</t>
        </is>
      </c>
      <c r="F1096" t="inlineStr">
        <is>
          <t>Batch 1 - TR</t>
        </is>
      </c>
      <c r="G1096" s="48" t="n">
        <v>0</v>
      </c>
      <c r="H1096" s="48" t="n">
        <v>0</v>
      </c>
      <c r="I1096" s="48" t="n">
        <v>0</v>
      </c>
      <c r="J1096" s="48" t="n">
        <v>0</v>
      </c>
      <c r="K1096" s="49" t="n">
        <v>0</v>
      </c>
      <c r="L1096" s="49" t="n">
        <v>0</v>
      </c>
      <c r="M1096" s="49" t="n">
        <v>0</v>
      </c>
      <c r="N1096" s="49" t="n">
        <v>0</v>
      </c>
      <c r="O1096" s="49" t="n">
        <v>0</v>
      </c>
      <c r="P1096" s="49" t="n">
        <v>0</v>
      </c>
      <c r="Q1096" s="49" t="n">
        <v>0</v>
      </c>
      <c r="R1096" s="49" t="n">
        <v>0</v>
      </c>
      <c r="S1096" s="50" t="n">
        <v>0</v>
      </c>
      <c r="T1096" s="50" t="n">
        <v>0</v>
      </c>
      <c r="U1096" s="50" t="n">
        <v>0</v>
      </c>
      <c r="V1096" s="50" t="n">
        <v>0</v>
      </c>
      <c r="W1096" s="51" t="n">
        <v>0</v>
      </c>
      <c r="X1096" s="51" t="n">
        <v>0</v>
      </c>
      <c r="Y1096" s="51" t="n">
        <v>0</v>
      </c>
      <c r="Z1096" s="51" t="n">
        <v>0</v>
      </c>
      <c r="AA1096" s="52" t="n">
        <v>0</v>
      </c>
      <c r="AB1096" s="52" t="n">
        <v>0</v>
      </c>
      <c r="AC1096" s="52" t="n">
        <v>0</v>
      </c>
      <c r="AD1096" s="52" t="n">
        <v>0</v>
      </c>
      <c r="AE1096" s="52" t="n">
        <v>0</v>
      </c>
      <c r="AF1096" s="52" t="n">
        <v>0</v>
      </c>
      <c r="AG1096" s="52" t="n">
        <v>0</v>
      </c>
      <c r="AH1096" s="52" t="n">
        <v>0</v>
      </c>
      <c r="AI1096" s="52" t="n">
        <v>0</v>
      </c>
      <c r="AJ1096" s="52" t="n">
        <v>0</v>
      </c>
      <c r="AK1096" s="52" t="n">
        <v>0</v>
      </c>
      <c r="AL1096" s="52" t="n">
        <v>0</v>
      </c>
      <c r="AM1096" s="53" t="n">
        <v>0</v>
      </c>
      <c r="AN1096" s="53" t="n">
        <v>0</v>
      </c>
      <c r="AO1096" s="53" t="n">
        <v>0</v>
      </c>
      <c r="AP1096" s="53" t="n">
        <v>0</v>
      </c>
      <c r="AQ1096" s="52" t="n">
        <v>0</v>
      </c>
      <c r="AR1096" s="52" t="n">
        <v>0</v>
      </c>
      <c r="AS1096" s="52" t="n">
        <v>0</v>
      </c>
      <c r="AT1096" s="52" t="n">
        <v>0</v>
      </c>
      <c r="AU1096" s="53" t="n">
        <v>0</v>
      </c>
      <c r="AV1096" s="53" t="n">
        <v>0</v>
      </c>
      <c r="AW1096" s="53" t="n">
        <v>0</v>
      </c>
      <c r="AX1096" s="53" t="n">
        <v>0</v>
      </c>
      <c r="AY1096" s="52" t="n">
        <v>0</v>
      </c>
      <c r="AZ1096" s="52" t="n">
        <v>0</v>
      </c>
      <c r="BA1096" s="52" t="n">
        <v>0</v>
      </c>
      <c r="BB1096" s="52" t="n">
        <v>0</v>
      </c>
      <c r="BC1096" s="51" t="n">
        <v>0</v>
      </c>
      <c r="BD1096" s="51" t="n">
        <v>0</v>
      </c>
      <c r="BE1096" s="51" t="n">
        <v>0</v>
      </c>
      <c r="BF1096" s="51" t="n">
        <v>0</v>
      </c>
    </row>
    <row r="1097">
      <c r="A1097">
        <f>HYPERLINK("https://www.walmart.com/ip/642206749", "642206749")</f>
        <v/>
      </c>
      <c r="B1097" t="inlineStr">
        <is>
          <t>Waterproof Blanket, Pee Proof Couch Sofa Bed Protector Cover for Baby, Super Cozy Plush Fleece Warm Sherpa Lining Throws and Blankets for Boating Camping</t>
        </is>
      </c>
      <c r="C1097" t="inlineStr">
        <is>
          <t>1CTBW682BNTP</t>
        </is>
      </c>
      <c r="D1097" t="inlineStr">
        <is>
          <t>Throws</t>
        </is>
      </c>
      <c r="E1097" t="inlineStr">
        <is>
          <t>Catalonia</t>
        </is>
      </c>
      <c r="F1097" t="inlineStr">
        <is>
          <t>Q2-Target,Optimized,Wproof Blanket,SEM</t>
        </is>
      </c>
      <c r="G1097" s="48" t="n">
        <v>0</v>
      </c>
      <c r="H1097" s="48" t="n">
        <v>0</v>
      </c>
      <c r="I1097" s="48" t="n">
        <v>0</v>
      </c>
      <c r="J1097" s="48" t="n">
        <v>0</v>
      </c>
      <c r="K1097" s="49" t="n">
        <v>0</v>
      </c>
      <c r="L1097" s="49" t="n">
        <v>0</v>
      </c>
      <c r="M1097" s="49" t="n">
        <v>0</v>
      </c>
      <c r="N1097" s="49" t="n">
        <v>0</v>
      </c>
      <c r="O1097" s="49" t="n">
        <v>0</v>
      </c>
      <c r="P1097" s="49" t="n">
        <v>0</v>
      </c>
      <c r="Q1097" s="49" t="n">
        <v>0</v>
      </c>
      <c r="R1097" s="49" t="n">
        <v>0</v>
      </c>
      <c r="S1097" s="50" t="n">
        <v>0</v>
      </c>
      <c r="T1097" s="50" t="n">
        <v>0</v>
      </c>
      <c r="U1097" s="50" t="n">
        <v>0</v>
      </c>
      <c r="V1097" s="50" t="n">
        <v>0</v>
      </c>
      <c r="W1097" s="51" t="n">
        <v>0</v>
      </c>
      <c r="X1097" s="51" t="n">
        <v>0</v>
      </c>
      <c r="Y1097" s="51" t="n">
        <v>0</v>
      </c>
      <c r="Z1097" s="51" t="n">
        <v>0</v>
      </c>
      <c r="AA1097" s="52" t="n">
        <v>0</v>
      </c>
      <c r="AB1097" s="52" t="n">
        <v>0</v>
      </c>
      <c r="AC1097" s="52" t="n">
        <v>0</v>
      </c>
      <c r="AD1097" s="52" t="n">
        <v>0</v>
      </c>
      <c r="AE1097" s="52" t="n">
        <v>0</v>
      </c>
      <c r="AF1097" s="52" t="n">
        <v>0</v>
      </c>
      <c r="AG1097" s="52" t="n">
        <v>0</v>
      </c>
      <c r="AH1097" s="52" t="n">
        <v>0</v>
      </c>
      <c r="AI1097" s="52" t="n">
        <v>0</v>
      </c>
      <c r="AJ1097" s="52" t="n">
        <v>0</v>
      </c>
      <c r="AK1097" s="52" t="n">
        <v>0</v>
      </c>
      <c r="AL1097" s="52" t="n">
        <v>0</v>
      </c>
      <c r="AM1097" s="53" t="n">
        <v>0</v>
      </c>
      <c r="AN1097" s="53" t="n">
        <v>0</v>
      </c>
      <c r="AO1097" s="53" t="n">
        <v>0</v>
      </c>
      <c r="AP1097" s="53" t="n">
        <v>0</v>
      </c>
      <c r="AQ1097" s="52" t="n">
        <v>0</v>
      </c>
      <c r="AR1097" s="52" t="n">
        <v>0</v>
      </c>
      <c r="AS1097" s="52" t="n">
        <v>0</v>
      </c>
      <c r="AT1097" s="52" t="n">
        <v>0</v>
      </c>
      <c r="AU1097" s="53" t="n">
        <v>0</v>
      </c>
      <c r="AV1097" s="53" t="n">
        <v>0</v>
      </c>
      <c r="AW1097" s="53" t="n">
        <v>0</v>
      </c>
      <c r="AX1097" s="53" t="n">
        <v>0</v>
      </c>
      <c r="AY1097" s="52" t="n">
        <v>0</v>
      </c>
      <c r="AZ1097" s="52" t="n">
        <v>0</v>
      </c>
      <c r="BA1097" s="52" t="n">
        <v>0</v>
      </c>
      <c r="BB1097" s="52" t="n">
        <v>0</v>
      </c>
      <c r="BC1097" s="51" t="n">
        <v>0</v>
      </c>
      <c r="BD1097" s="51" t="n">
        <v>0</v>
      </c>
      <c r="BE1097" s="51" t="n">
        <v>0</v>
      </c>
      <c r="BF1097" s="51" t="n">
        <v>0</v>
      </c>
    </row>
    <row r="1098">
      <c r="A1098">
        <f>HYPERLINK("https://www.walmart.com/ip/655381211", "655381211")</f>
        <v/>
      </c>
      <c r="B1098" t="inlineStr">
        <is>
          <t>Tirrinia Super Soft Comfy Warm Fuzzy Sherpa Throw Plush Blanket For Bed And Couch, 60 inch x 80 inch, Grey</t>
        </is>
      </c>
      <c r="C1098" t="inlineStr">
        <is>
          <t>1TRBF368GY-TBCB</t>
        </is>
      </c>
      <c r="D1098" t="inlineStr">
        <is>
          <t>Throws</t>
        </is>
      </c>
      <c r="E1098" t="inlineStr">
        <is>
          <t>Tirrinia</t>
        </is>
      </c>
      <c r="F1098" t="inlineStr">
        <is>
          <t>Optimized</t>
        </is>
      </c>
      <c r="G1098" s="48" t="n">
        <v>0</v>
      </c>
      <c r="H1098" s="48" t="n">
        <v>0</v>
      </c>
      <c r="I1098" s="48" t="n">
        <v>0</v>
      </c>
      <c r="J1098" s="48" t="n">
        <v>0</v>
      </c>
      <c r="K1098" s="49" t="n">
        <v>0</v>
      </c>
      <c r="L1098" s="49" t="n">
        <v>0</v>
      </c>
      <c r="M1098" s="49" t="n">
        <v>0</v>
      </c>
      <c r="N1098" s="49" t="n">
        <v>0</v>
      </c>
      <c r="O1098" s="49" t="n">
        <v>0</v>
      </c>
      <c r="P1098" s="49" t="n">
        <v>0</v>
      </c>
      <c r="Q1098" s="49" t="n">
        <v>0</v>
      </c>
      <c r="R1098" s="49" t="n">
        <v>0</v>
      </c>
      <c r="S1098" s="50" t="n">
        <v>0</v>
      </c>
      <c r="T1098" s="50" t="n">
        <v>0</v>
      </c>
      <c r="U1098" s="50" t="n">
        <v>0</v>
      </c>
      <c r="V1098" s="50" t="n">
        <v>0</v>
      </c>
      <c r="W1098" s="51" t="n">
        <v>0</v>
      </c>
      <c r="X1098" s="51" t="n">
        <v>0</v>
      </c>
      <c r="Y1098" s="51" t="n">
        <v>0</v>
      </c>
      <c r="Z1098" s="51" t="n">
        <v>0</v>
      </c>
      <c r="AA1098" s="52" t="n">
        <v>0</v>
      </c>
      <c r="AB1098" s="52" t="n">
        <v>0</v>
      </c>
      <c r="AC1098" s="52" t="n">
        <v>0</v>
      </c>
      <c r="AD1098" s="52" t="n">
        <v>0</v>
      </c>
      <c r="AE1098" s="52" t="n">
        <v>0</v>
      </c>
      <c r="AF1098" s="52" t="n">
        <v>0</v>
      </c>
      <c r="AG1098" s="52" t="n">
        <v>0</v>
      </c>
      <c r="AH1098" s="52" t="n">
        <v>0</v>
      </c>
      <c r="AI1098" s="52" t="n">
        <v>0</v>
      </c>
      <c r="AJ1098" s="52" t="n">
        <v>0</v>
      </c>
      <c r="AK1098" s="52" t="n">
        <v>0</v>
      </c>
      <c r="AL1098" s="52" t="n">
        <v>0</v>
      </c>
      <c r="AM1098" s="53" t="n">
        <v>0</v>
      </c>
      <c r="AN1098" s="53" t="n">
        <v>0</v>
      </c>
      <c r="AO1098" s="53" t="n">
        <v>0</v>
      </c>
      <c r="AP1098" s="53" t="n">
        <v>0</v>
      </c>
      <c r="AQ1098" s="52" t="n">
        <v>0</v>
      </c>
      <c r="AR1098" s="52" t="n">
        <v>0</v>
      </c>
      <c r="AS1098" s="52" t="n">
        <v>0</v>
      </c>
      <c r="AT1098" s="52" t="n">
        <v>0</v>
      </c>
      <c r="AU1098" s="53" t="n">
        <v>0</v>
      </c>
      <c r="AV1098" s="53" t="n">
        <v>0</v>
      </c>
      <c r="AW1098" s="53" t="n">
        <v>0</v>
      </c>
      <c r="AX1098" s="53" t="n">
        <v>0</v>
      </c>
      <c r="AY1098" s="52" t="n">
        <v>0</v>
      </c>
      <c r="AZ1098" s="52" t="n">
        <v>0</v>
      </c>
      <c r="BA1098" s="52" t="n">
        <v>0</v>
      </c>
      <c r="BB1098" s="52" t="n">
        <v>0</v>
      </c>
      <c r="BC1098" s="51" t="n">
        <v>0</v>
      </c>
      <c r="BD1098" s="51" t="n">
        <v>0</v>
      </c>
      <c r="BE1098" s="51" t="n">
        <v>0</v>
      </c>
      <c r="BF1098" s="51" t="n">
        <v>0</v>
      </c>
    </row>
    <row r="1099">
      <c r="A1099">
        <f>HYPERLINK("https://www.walmart.com/ip/641006388", "641006388")</f>
        <v/>
      </c>
      <c r="B1099" t="inlineStr">
        <is>
          <t>Solaris Men Winter Ski Snow Gloves with Breathable Face Mask The Warmest 3M Insulation Waterproof Outdoor Snowboard Mitt</t>
        </is>
      </c>
      <c r="C1099" t="inlineStr">
        <is>
          <t>1SLWG301BKBK-XL</t>
        </is>
      </c>
      <c r="D1099" t="inlineStr">
        <is>
          <t>Gloves &amp; Mittens</t>
        </is>
      </c>
      <c r="E1099" t="inlineStr">
        <is>
          <t>Solaris</t>
        </is>
      </c>
      <c r="F1099" t="inlineStr">
        <is>
          <t>Optimized,Gloves</t>
        </is>
      </c>
      <c r="G1099" s="48" t="n">
        <v>0</v>
      </c>
      <c r="H1099" s="48" t="n">
        <v>0</v>
      </c>
      <c r="I1099" s="48" t="n">
        <v>0</v>
      </c>
      <c r="J1099" s="48" t="n">
        <v>0</v>
      </c>
      <c r="K1099" s="49" t="n">
        <v>0</v>
      </c>
      <c r="L1099" s="49" t="n">
        <v>0</v>
      </c>
      <c r="M1099" s="49" t="n">
        <v>0</v>
      </c>
      <c r="N1099" s="49" t="n">
        <v>0</v>
      </c>
      <c r="O1099" s="49" t="n">
        <v>0</v>
      </c>
      <c r="P1099" s="49" t="n">
        <v>0</v>
      </c>
      <c r="Q1099" s="49" t="n">
        <v>0</v>
      </c>
      <c r="R1099" s="49" t="n">
        <v>0</v>
      </c>
      <c r="S1099" s="50" t="n">
        <v>0</v>
      </c>
      <c r="T1099" s="50" t="n">
        <v>0</v>
      </c>
      <c r="U1099" s="50" t="n">
        <v>0</v>
      </c>
      <c r="V1099" s="50" t="n">
        <v>0</v>
      </c>
      <c r="W1099" s="51" t="n">
        <v>0</v>
      </c>
      <c r="X1099" s="51" t="n">
        <v>0</v>
      </c>
      <c r="Y1099" s="51" t="n">
        <v>0</v>
      </c>
      <c r="Z1099" s="51" t="n">
        <v>0</v>
      </c>
      <c r="AA1099" s="52" t="n">
        <v>0</v>
      </c>
      <c r="AB1099" s="52" t="n">
        <v>0</v>
      </c>
      <c r="AC1099" s="52" t="n">
        <v>0</v>
      </c>
      <c r="AD1099" s="52" t="n">
        <v>0</v>
      </c>
      <c r="AE1099" s="52" t="n">
        <v>0</v>
      </c>
      <c r="AF1099" s="52" t="n">
        <v>0</v>
      </c>
      <c r="AG1099" s="52" t="n">
        <v>0</v>
      </c>
      <c r="AH1099" s="52" t="n">
        <v>0</v>
      </c>
      <c r="AI1099" s="52" t="n">
        <v>0</v>
      </c>
      <c r="AJ1099" s="52" t="n">
        <v>0</v>
      </c>
      <c r="AK1099" s="52" t="n">
        <v>0</v>
      </c>
      <c r="AL1099" s="52" t="n">
        <v>0</v>
      </c>
      <c r="AM1099" s="53" t="n">
        <v>0</v>
      </c>
      <c r="AN1099" s="53" t="n">
        <v>0</v>
      </c>
      <c r="AO1099" s="53" t="n">
        <v>0</v>
      </c>
      <c r="AP1099" s="53" t="n">
        <v>0</v>
      </c>
      <c r="AQ1099" s="52" t="n">
        <v>0</v>
      </c>
      <c r="AR1099" s="52" t="n">
        <v>0</v>
      </c>
      <c r="AS1099" s="52" t="n">
        <v>0</v>
      </c>
      <c r="AT1099" s="52" t="n">
        <v>0</v>
      </c>
      <c r="AU1099" s="53" t="n">
        <v>0</v>
      </c>
      <c r="AV1099" s="53" t="n">
        <v>0</v>
      </c>
      <c r="AW1099" s="53" t="n">
        <v>0</v>
      </c>
      <c r="AX1099" s="53" t="n">
        <v>0</v>
      </c>
      <c r="AY1099" s="52" t="n">
        <v>0</v>
      </c>
      <c r="AZ1099" s="52" t="n">
        <v>0</v>
      </c>
      <c r="BA1099" s="52" t="n">
        <v>0</v>
      </c>
      <c r="BB1099" s="52" t="n">
        <v>0</v>
      </c>
      <c r="BC1099" s="51" t="n">
        <v>0</v>
      </c>
      <c r="BD1099" s="51" t="n">
        <v>0</v>
      </c>
      <c r="BE1099" s="51" t="n">
        <v>0</v>
      </c>
      <c r="BF1099" s="51" t="n">
        <v>0</v>
      </c>
    </row>
    <row r="1100">
      <c r="A1100">
        <f>HYPERLINK("https://www.walmart.com/ip/630847130", "630847130")</f>
        <v/>
      </c>
      <c r="B1100" t="inlineStr">
        <is>
          <t>Catalonia Sherpa Throw Blanket, Fuzzy Snuggle Blanket for Camping Traveling Couch Bed, Super Soft, Light Weight, Reversible, All Season Use, 50x60 inches, Gray Camo</t>
        </is>
      </c>
      <c r="C1100" t="inlineStr">
        <is>
          <t>1CTBF579GYCAMO</t>
        </is>
      </c>
      <c r="D1100" t="inlineStr">
        <is>
          <t>Throws</t>
        </is>
      </c>
      <c r="E1100" t="inlineStr">
        <is>
          <t>Catalonia</t>
        </is>
      </c>
      <c r="F1100" t="inlineStr">
        <is>
          <t>WFS,WFS Item</t>
        </is>
      </c>
      <c r="G1100" s="48" t="n">
        <v>0</v>
      </c>
      <c r="H1100" s="48" t="n">
        <v>0</v>
      </c>
      <c r="I1100" s="48" t="n">
        <v>0</v>
      </c>
      <c r="J1100" s="48" t="n">
        <v>0</v>
      </c>
      <c r="K1100" s="49" t="n">
        <v>0</v>
      </c>
      <c r="L1100" s="49" t="n">
        <v>0</v>
      </c>
      <c r="M1100" s="49" t="n">
        <v>0</v>
      </c>
      <c r="N1100" s="49" t="n">
        <v>0</v>
      </c>
      <c r="O1100" s="49" t="n">
        <v>0</v>
      </c>
      <c r="P1100" s="49" t="n">
        <v>0</v>
      </c>
      <c r="Q1100" s="49" t="n">
        <v>0</v>
      </c>
      <c r="R1100" s="49" t="n">
        <v>0</v>
      </c>
      <c r="S1100" s="50" t="n">
        <v>0</v>
      </c>
      <c r="T1100" s="50" t="n">
        <v>0</v>
      </c>
      <c r="U1100" s="50" t="n">
        <v>0</v>
      </c>
      <c r="V1100" s="50" t="n">
        <v>0</v>
      </c>
      <c r="W1100" s="51" t="n">
        <v>0</v>
      </c>
      <c r="X1100" s="51" t="n">
        <v>0</v>
      </c>
      <c r="Y1100" s="51" t="n">
        <v>0</v>
      </c>
      <c r="Z1100" s="51" t="n">
        <v>0</v>
      </c>
      <c r="AA1100" s="52" t="n">
        <v>0</v>
      </c>
      <c r="AB1100" s="52" t="n">
        <v>0</v>
      </c>
      <c r="AC1100" s="52" t="n">
        <v>0</v>
      </c>
      <c r="AD1100" s="52" t="n">
        <v>0</v>
      </c>
      <c r="AE1100" s="52" t="n">
        <v>0</v>
      </c>
      <c r="AF1100" s="52" t="n">
        <v>0</v>
      </c>
      <c r="AG1100" s="52" t="n">
        <v>0</v>
      </c>
      <c r="AH1100" s="52" t="n">
        <v>0</v>
      </c>
      <c r="AI1100" s="52" t="n">
        <v>0</v>
      </c>
      <c r="AJ1100" s="52" t="n">
        <v>0</v>
      </c>
      <c r="AK1100" s="52" t="n">
        <v>0</v>
      </c>
      <c r="AL1100" s="52" t="n">
        <v>0</v>
      </c>
      <c r="AM1100" s="53" t="n">
        <v>0</v>
      </c>
      <c r="AN1100" s="53" t="n">
        <v>0</v>
      </c>
      <c r="AO1100" s="53" t="n">
        <v>0</v>
      </c>
      <c r="AP1100" s="53" t="n">
        <v>0</v>
      </c>
      <c r="AQ1100" s="52" t="n">
        <v>0</v>
      </c>
      <c r="AR1100" s="52" t="n">
        <v>0</v>
      </c>
      <c r="AS1100" s="52" t="n">
        <v>0</v>
      </c>
      <c r="AT1100" s="52" t="n">
        <v>0</v>
      </c>
      <c r="AU1100" s="53" t="n">
        <v>0</v>
      </c>
      <c r="AV1100" s="53" t="n">
        <v>0</v>
      </c>
      <c r="AW1100" s="53" t="n">
        <v>0</v>
      </c>
      <c r="AX1100" s="53" t="n">
        <v>0</v>
      </c>
      <c r="AY1100" s="52" t="n">
        <v>0</v>
      </c>
      <c r="AZ1100" s="52" t="n">
        <v>0</v>
      </c>
      <c r="BA1100" s="52" t="n">
        <v>0</v>
      </c>
      <c r="BB1100" s="52" t="n">
        <v>0</v>
      </c>
      <c r="BC1100" s="51" t="n">
        <v>0</v>
      </c>
      <c r="BD1100" s="51" t="n">
        <v>0</v>
      </c>
      <c r="BE1100" s="51" t="n">
        <v>0</v>
      </c>
      <c r="BF1100" s="51" t="n">
        <v>0</v>
      </c>
    </row>
    <row r="1101">
      <c r="A1101">
        <f>HYPERLINK("https://www.walmart.com/ip/631227535", "631227535")</f>
        <v/>
      </c>
      <c r="B1101" t="inlineStr">
        <is>
          <t>Two Pieces Double up Tankini Swimsuit for Women Bathing Suits Set by Tirrinia</t>
        </is>
      </c>
      <c r="C1101" t="inlineStr">
        <is>
          <t>1TRSS002BL-XL</t>
        </is>
      </c>
      <c r="D1101" t="inlineStr">
        <is>
          <t>Swimsuit Sets</t>
        </is>
      </c>
      <c r="E1101" t="inlineStr">
        <is>
          <t>Tirrinia</t>
        </is>
      </c>
      <c r="G1101" s="48" t="n">
        <v>0</v>
      </c>
      <c r="H1101" s="48" t="n">
        <v>0</v>
      </c>
      <c r="I1101" s="48" t="n">
        <v>0</v>
      </c>
      <c r="J1101" s="48" t="n">
        <v>0</v>
      </c>
      <c r="K1101" s="49" t="n">
        <v>0</v>
      </c>
      <c r="L1101" s="49" t="n">
        <v>0</v>
      </c>
      <c r="M1101" s="49" t="n">
        <v>0</v>
      </c>
      <c r="N1101" s="49" t="n">
        <v>0</v>
      </c>
      <c r="O1101" s="49" t="n">
        <v>0</v>
      </c>
      <c r="P1101" s="49" t="n">
        <v>0</v>
      </c>
      <c r="Q1101" s="49" t="n">
        <v>0</v>
      </c>
      <c r="R1101" s="49" t="n">
        <v>0</v>
      </c>
      <c r="S1101" s="50" t="n">
        <v>0</v>
      </c>
      <c r="T1101" s="50" t="n">
        <v>0</v>
      </c>
      <c r="U1101" s="50" t="n">
        <v>0</v>
      </c>
      <c r="V1101" s="50" t="n">
        <v>0</v>
      </c>
      <c r="W1101" s="51" t="n">
        <v>0</v>
      </c>
      <c r="X1101" s="51" t="n">
        <v>0</v>
      </c>
      <c r="Y1101" s="51" t="n">
        <v>0</v>
      </c>
      <c r="Z1101" s="51" t="n">
        <v>0</v>
      </c>
      <c r="AA1101" s="52" t="n">
        <v>0</v>
      </c>
      <c r="AB1101" s="52" t="n">
        <v>0</v>
      </c>
      <c r="AC1101" s="52" t="n">
        <v>0</v>
      </c>
      <c r="AD1101" s="52" t="n">
        <v>0</v>
      </c>
      <c r="AE1101" s="52" t="n">
        <v>0</v>
      </c>
      <c r="AF1101" s="52" t="n">
        <v>0</v>
      </c>
      <c r="AG1101" s="52" t="n">
        <v>0</v>
      </c>
      <c r="AH1101" s="52" t="n">
        <v>0</v>
      </c>
      <c r="AI1101" s="52" t="n">
        <v>0</v>
      </c>
      <c r="AJ1101" s="52" t="n">
        <v>0</v>
      </c>
      <c r="AK1101" s="52" t="n">
        <v>0</v>
      </c>
      <c r="AL1101" s="52" t="n">
        <v>0</v>
      </c>
      <c r="AM1101" s="53" t="n">
        <v>0</v>
      </c>
      <c r="AN1101" s="53" t="n">
        <v>0</v>
      </c>
      <c r="AO1101" s="53" t="n">
        <v>0</v>
      </c>
      <c r="AP1101" s="53" t="n">
        <v>0</v>
      </c>
      <c r="AQ1101" s="52" t="n">
        <v>0</v>
      </c>
      <c r="AR1101" s="52" t="n">
        <v>0</v>
      </c>
      <c r="AS1101" s="52" t="n">
        <v>0</v>
      </c>
      <c r="AT1101" s="52" t="n">
        <v>0</v>
      </c>
      <c r="AU1101" s="53" t="n">
        <v>0</v>
      </c>
      <c r="AV1101" s="53" t="n">
        <v>0</v>
      </c>
      <c r="AW1101" s="53" t="n">
        <v>0</v>
      </c>
      <c r="AX1101" s="53" t="n">
        <v>0</v>
      </c>
      <c r="AY1101" s="52" t="n">
        <v>0</v>
      </c>
      <c r="AZ1101" s="52" t="n">
        <v>0</v>
      </c>
      <c r="BA1101" s="52" t="n">
        <v>0</v>
      </c>
      <c r="BB1101" s="52" t="n">
        <v>0</v>
      </c>
      <c r="BC1101" s="51" t="n">
        <v>0</v>
      </c>
      <c r="BD1101" s="51" t="n">
        <v>0</v>
      </c>
      <c r="BE1101" s="51" t="n">
        <v>0</v>
      </c>
      <c r="BF1101" s="51" t="n">
        <v>0</v>
      </c>
    </row>
    <row r="1102">
      <c r="A1102">
        <f>HYPERLINK("https://www.walmart.com/ip/631476284", "631476284")</f>
        <v/>
      </c>
      <c r="B1102" t="inlineStr">
        <is>
          <t>Jennis Women's Awaken Desires Kimono Lace Lingerie Sleepwear Matching Cheeky Panty ( XXXL=US 12-14 )</t>
        </is>
      </c>
      <c r="C1102" t="inlineStr">
        <is>
          <t>JWRS01BK-3XL</t>
        </is>
      </c>
      <c r="D1102" t="inlineStr">
        <is>
          <t>Lingerie Sets</t>
        </is>
      </c>
      <c r="E1102" t="inlineStr">
        <is>
          <t>JenniWears</t>
        </is>
      </c>
      <c r="F1102" t="inlineStr">
        <is>
          <t>Optimized,Valentine</t>
        </is>
      </c>
      <c r="G1102" s="48" t="n">
        <v>0</v>
      </c>
      <c r="H1102" s="48" t="n">
        <v>0</v>
      </c>
      <c r="I1102" s="48" t="n">
        <v>0</v>
      </c>
      <c r="J1102" s="48" t="n">
        <v>0</v>
      </c>
      <c r="K1102" s="49" t="n">
        <v>0</v>
      </c>
      <c r="L1102" s="49" t="n">
        <v>0</v>
      </c>
      <c r="M1102" s="49" t="n">
        <v>0</v>
      </c>
      <c r="N1102" s="49" t="n">
        <v>0</v>
      </c>
      <c r="O1102" s="49" t="n">
        <v>0</v>
      </c>
      <c r="P1102" s="49" t="n">
        <v>0</v>
      </c>
      <c r="Q1102" s="49" t="n">
        <v>0</v>
      </c>
      <c r="R1102" s="49" t="n">
        <v>0</v>
      </c>
      <c r="S1102" s="50" t="n">
        <v>0</v>
      </c>
      <c r="T1102" s="50" t="n">
        <v>0</v>
      </c>
      <c r="U1102" s="50" t="n">
        <v>0</v>
      </c>
      <c r="V1102" s="50" t="n">
        <v>0</v>
      </c>
      <c r="W1102" s="51" t="n">
        <v>0</v>
      </c>
      <c r="X1102" s="51" t="n">
        <v>0</v>
      </c>
      <c r="Y1102" s="51" t="n">
        <v>0</v>
      </c>
      <c r="Z1102" s="51" t="n">
        <v>0</v>
      </c>
      <c r="AA1102" s="52" t="n">
        <v>0</v>
      </c>
      <c r="AB1102" s="52" t="n">
        <v>0</v>
      </c>
      <c r="AC1102" s="52" t="n">
        <v>0</v>
      </c>
      <c r="AD1102" s="52" t="n">
        <v>0</v>
      </c>
      <c r="AE1102" s="52" t="n">
        <v>0</v>
      </c>
      <c r="AF1102" s="52" t="n">
        <v>0</v>
      </c>
      <c r="AG1102" s="52" t="n">
        <v>0</v>
      </c>
      <c r="AH1102" s="52" t="n">
        <v>0</v>
      </c>
      <c r="AI1102" s="52" t="n">
        <v>0</v>
      </c>
      <c r="AJ1102" s="52" t="n">
        <v>0</v>
      </c>
      <c r="AK1102" s="52" t="n">
        <v>0</v>
      </c>
      <c r="AL1102" s="52" t="n">
        <v>0</v>
      </c>
      <c r="AM1102" s="53" t="n">
        <v>0</v>
      </c>
      <c r="AN1102" s="53" t="n">
        <v>0</v>
      </c>
      <c r="AO1102" s="53" t="n">
        <v>0</v>
      </c>
      <c r="AP1102" s="53" t="n">
        <v>0</v>
      </c>
      <c r="AQ1102" s="52" t="n">
        <v>0</v>
      </c>
      <c r="AR1102" s="52" t="n">
        <v>0</v>
      </c>
      <c r="AS1102" s="52" t="n">
        <v>0</v>
      </c>
      <c r="AT1102" s="52" t="n">
        <v>0</v>
      </c>
      <c r="AU1102" s="53" t="n">
        <v>0</v>
      </c>
      <c r="AV1102" s="53" t="n">
        <v>0</v>
      </c>
      <c r="AW1102" s="53" t="n">
        <v>0</v>
      </c>
      <c r="AX1102" s="53" t="n">
        <v>0</v>
      </c>
      <c r="AY1102" s="52" t="n">
        <v>0</v>
      </c>
      <c r="AZ1102" s="52" t="n">
        <v>0</v>
      </c>
      <c r="BA1102" s="52" t="n">
        <v>0</v>
      </c>
      <c r="BB1102" s="52" t="n">
        <v>0</v>
      </c>
      <c r="BC1102" s="51" t="n">
        <v>0</v>
      </c>
      <c r="BD1102" s="51" t="n">
        <v>0</v>
      </c>
      <c r="BE1102" s="51" t="n">
        <v>0</v>
      </c>
      <c r="BF1102" s="51" t="n">
        <v>0</v>
      </c>
    </row>
    <row r="1103">
      <c r="A1103">
        <f>HYPERLINK("https://www.walmart.com/ip/632587469", "632587469")</f>
        <v/>
      </c>
      <c r="B1103" t="inlineStr">
        <is>
          <t>Catalonia Sherpa Throws Blanket,Super Soft Comfy Micro Mink Fleece Couch Blanket Reversible Bed Throw TV Blanket Comfort Caring Gift 50" x 60" Brown</t>
        </is>
      </c>
      <c r="C1103" t="inlineStr">
        <is>
          <t>1CTBF300BR</t>
        </is>
      </c>
      <c r="D1103" t="inlineStr">
        <is>
          <t>Throws</t>
        </is>
      </c>
      <c r="E1103" t="inlineStr">
        <is>
          <t>Catalonia</t>
        </is>
      </c>
      <c r="F1103" t="inlineStr">
        <is>
          <t>Q2-Target,WFS,Coupon_Discount,WFS Item</t>
        </is>
      </c>
      <c r="G1103" s="48" t="n">
        <v>0</v>
      </c>
      <c r="H1103" s="48" t="n">
        <v>0</v>
      </c>
      <c r="I1103" s="48" t="n">
        <v>0</v>
      </c>
      <c r="J1103" s="48" t="n">
        <v>0</v>
      </c>
      <c r="K1103" s="49" t="n">
        <v>0</v>
      </c>
      <c r="L1103" s="49" t="n">
        <v>0</v>
      </c>
      <c r="M1103" s="49" t="n">
        <v>0</v>
      </c>
      <c r="N1103" s="49" t="n">
        <v>0</v>
      </c>
      <c r="O1103" s="49" t="n">
        <v>0</v>
      </c>
      <c r="P1103" s="49" t="n">
        <v>0</v>
      </c>
      <c r="Q1103" s="49" t="n">
        <v>0</v>
      </c>
      <c r="R1103" s="49" t="n">
        <v>0</v>
      </c>
      <c r="S1103" s="50" t="n">
        <v>0</v>
      </c>
      <c r="T1103" s="50" t="n">
        <v>0</v>
      </c>
      <c r="U1103" s="50" t="n">
        <v>0</v>
      </c>
      <c r="V1103" s="50" t="n">
        <v>0</v>
      </c>
      <c r="W1103" s="51" t="n">
        <v>0</v>
      </c>
      <c r="X1103" s="51" t="n">
        <v>0</v>
      </c>
      <c r="Y1103" s="51" t="n">
        <v>0</v>
      </c>
      <c r="Z1103" s="51" t="n">
        <v>0</v>
      </c>
      <c r="AA1103" s="52" t="n">
        <v>0</v>
      </c>
      <c r="AB1103" s="52" t="n">
        <v>0</v>
      </c>
      <c r="AC1103" s="52" t="n">
        <v>0</v>
      </c>
      <c r="AD1103" s="52" t="n">
        <v>0</v>
      </c>
      <c r="AE1103" s="52" t="n">
        <v>0</v>
      </c>
      <c r="AF1103" s="52" t="n">
        <v>0</v>
      </c>
      <c r="AG1103" s="52" t="n">
        <v>0</v>
      </c>
      <c r="AH1103" s="52" t="n">
        <v>0</v>
      </c>
      <c r="AI1103" s="52" t="n">
        <v>0</v>
      </c>
      <c r="AJ1103" s="52" t="n">
        <v>0</v>
      </c>
      <c r="AK1103" s="52" t="n">
        <v>0</v>
      </c>
      <c r="AL1103" s="52" t="n">
        <v>0</v>
      </c>
      <c r="AM1103" s="53" t="n">
        <v>0</v>
      </c>
      <c r="AN1103" s="53" t="n">
        <v>0</v>
      </c>
      <c r="AO1103" s="53" t="n">
        <v>0</v>
      </c>
      <c r="AP1103" s="53" t="n">
        <v>0</v>
      </c>
      <c r="AQ1103" s="52" t="n">
        <v>0</v>
      </c>
      <c r="AR1103" s="52" t="n">
        <v>0</v>
      </c>
      <c r="AS1103" s="52" t="n">
        <v>0</v>
      </c>
      <c r="AT1103" s="52" t="n">
        <v>0</v>
      </c>
      <c r="AU1103" s="53" t="n">
        <v>0</v>
      </c>
      <c r="AV1103" s="53" t="n">
        <v>0</v>
      </c>
      <c r="AW1103" s="53" t="n">
        <v>0</v>
      </c>
      <c r="AX1103" s="53" t="n">
        <v>0</v>
      </c>
      <c r="AY1103" s="52" t="n">
        <v>0</v>
      </c>
      <c r="AZ1103" s="52" t="n">
        <v>0</v>
      </c>
      <c r="BA1103" s="52" t="n">
        <v>0</v>
      </c>
      <c r="BB1103" s="52" t="n">
        <v>0</v>
      </c>
      <c r="BC1103" s="51" t="n">
        <v>0</v>
      </c>
      <c r="BD1103" s="51" t="n">
        <v>0</v>
      </c>
      <c r="BE1103" s="51" t="n">
        <v>0</v>
      </c>
      <c r="BF1103" s="51" t="n">
        <v>0</v>
      </c>
    </row>
    <row r="1104">
      <c r="A1104">
        <f>HYPERLINK("https://www.walmart.com/ip/632884269", "632884269")</f>
        <v/>
      </c>
      <c r="B1104" t="inlineStr">
        <is>
          <t>Catalonia Oversized Hoodie Blanket with Zipper, Wearable Sherpa Sweatshirt Pullover, Soft Warm Comfortable Jacket for Adults Men Women, Black</t>
        </is>
      </c>
      <c r="C1104" t="inlineStr">
        <is>
          <t>1CTHD220BK</t>
        </is>
      </c>
      <c r="D1104" t="inlineStr">
        <is>
          <t>Throws</t>
        </is>
      </c>
      <c r="E1104" t="inlineStr">
        <is>
          <t>Catalonia</t>
        </is>
      </c>
      <c r="F1104" t="inlineStr">
        <is>
          <t>Hoodie ForAdult,WFS,Coupon_Discount,WFS Item</t>
        </is>
      </c>
      <c r="G1104" s="48" t="n">
        <v>0</v>
      </c>
      <c r="H1104" s="48" t="n">
        <v>44.99</v>
      </c>
      <c r="I1104" s="48" t="n">
        <v>0</v>
      </c>
      <c r="J1104" s="48" t="n">
        <v>44.99</v>
      </c>
      <c r="K1104" s="49" t="n">
        <v>0</v>
      </c>
      <c r="L1104" s="49" t="n">
        <v>1</v>
      </c>
      <c r="M1104" s="49" t="n">
        <v>0</v>
      </c>
      <c r="N1104" s="49" t="n">
        <v>1</v>
      </c>
      <c r="O1104" s="49" t="n">
        <v>0</v>
      </c>
      <c r="P1104" s="49" t="n">
        <v>0</v>
      </c>
      <c r="Q1104" s="49" t="n">
        <v>0</v>
      </c>
      <c r="R1104" s="49" t="n">
        <v>0</v>
      </c>
      <c r="S1104" s="50" t="n">
        <v>0</v>
      </c>
      <c r="T1104" s="50" t="n">
        <v>0</v>
      </c>
      <c r="U1104" s="50" t="n">
        <v>0</v>
      </c>
      <c r="V1104" s="50" t="n">
        <v>0</v>
      </c>
      <c r="W1104" s="51" t="n">
        <v>0</v>
      </c>
      <c r="X1104" s="51" t="n">
        <v>0</v>
      </c>
      <c r="Y1104" s="51" t="n">
        <v>0</v>
      </c>
      <c r="Z1104" s="51" t="n">
        <v>0</v>
      </c>
      <c r="AA1104" s="52" t="n">
        <v>0</v>
      </c>
      <c r="AB1104" s="52" t="n">
        <v>0</v>
      </c>
      <c r="AC1104" s="52" t="n">
        <v>0</v>
      </c>
      <c r="AD1104" s="52" t="n">
        <v>0</v>
      </c>
      <c r="AE1104" s="52" t="n">
        <v>0</v>
      </c>
      <c r="AF1104" s="52" t="n">
        <v>0</v>
      </c>
      <c r="AG1104" s="52" t="n">
        <v>0</v>
      </c>
      <c r="AH1104" s="52" t="n">
        <v>0</v>
      </c>
      <c r="AI1104" s="52" t="n">
        <v>0</v>
      </c>
      <c r="AJ1104" s="52" t="n">
        <v>0</v>
      </c>
      <c r="AK1104" s="52" t="n">
        <v>0</v>
      </c>
      <c r="AL1104" s="52" t="n">
        <v>0</v>
      </c>
      <c r="AM1104" s="53" t="n">
        <v>0</v>
      </c>
      <c r="AN1104" s="53" t="n">
        <v>0</v>
      </c>
      <c r="AO1104" s="53" t="n">
        <v>0</v>
      </c>
      <c r="AP1104" s="53" t="n">
        <v>0</v>
      </c>
      <c r="AQ1104" s="52" t="n">
        <v>0</v>
      </c>
      <c r="AR1104" s="52" t="n">
        <v>0</v>
      </c>
      <c r="AS1104" s="52" t="n">
        <v>0</v>
      </c>
      <c r="AT1104" s="52" t="n">
        <v>0</v>
      </c>
      <c r="AU1104" s="53" t="n">
        <v>0</v>
      </c>
      <c r="AV1104" s="53" t="n">
        <v>0</v>
      </c>
      <c r="AW1104" s="53" t="n">
        <v>0</v>
      </c>
      <c r="AX1104" s="53" t="n">
        <v>0</v>
      </c>
      <c r="AY1104" s="52" t="n">
        <v>0</v>
      </c>
      <c r="AZ1104" s="52" t="n">
        <v>44.99</v>
      </c>
      <c r="BA1104" s="52" t="n">
        <v>0</v>
      </c>
      <c r="BB1104" s="52" t="n">
        <v>44.99</v>
      </c>
      <c r="BC1104" s="51" t="n">
        <v>0</v>
      </c>
      <c r="BD1104" s="51" t="n">
        <v>0</v>
      </c>
      <c r="BE1104" s="51" t="n">
        <v>0</v>
      </c>
      <c r="BF1104" s="51" t="n">
        <v>0</v>
      </c>
    </row>
    <row r="1105">
      <c r="A1105">
        <f>HYPERLINK("https://www.walmart.com/ip/632926267", "632926267")</f>
        <v/>
      </c>
      <c r="B1105" t="inlineStr">
        <is>
          <t>Tirrinia Super Soft Micro Fleece Plush Reversible Sherpa Blanket, Snow Dark Grey, 50" x 60"</t>
        </is>
      </c>
      <c r="C1105" t="inlineStr">
        <is>
          <t>1TRBF321DG-TBCB</t>
        </is>
      </c>
      <c r="D1105" t="inlineStr">
        <is>
          <t>Throws</t>
        </is>
      </c>
      <c r="E1105" t="inlineStr">
        <is>
          <t>Tirrinia</t>
        </is>
      </c>
      <c r="F1105" t="inlineStr">
        <is>
          <t>Optimized</t>
        </is>
      </c>
      <c r="G1105" s="48" t="n">
        <v>0</v>
      </c>
      <c r="H1105" s="48" t="n">
        <v>0</v>
      </c>
      <c r="I1105" s="48" t="n">
        <v>0</v>
      </c>
      <c r="J1105" s="48" t="n">
        <v>0</v>
      </c>
      <c r="K1105" s="49" t="n">
        <v>0</v>
      </c>
      <c r="L1105" s="49" t="n">
        <v>0</v>
      </c>
      <c r="M1105" s="49" t="n">
        <v>0</v>
      </c>
      <c r="N1105" s="49" t="n">
        <v>0</v>
      </c>
      <c r="O1105" s="49" t="n">
        <v>0</v>
      </c>
      <c r="P1105" s="49" t="n">
        <v>0</v>
      </c>
      <c r="Q1105" s="49" t="n">
        <v>0</v>
      </c>
      <c r="R1105" s="49" t="n">
        <v>0</v>
      </c>
      <c r="S1105" s="50" t="n">
        <v>0</v>
      </c>
      <c r="T1105" s="50" t="n">
        <v>0</v>
      </c>
      <c r="U1105" s="50" t="n">
        <v>0</v>
      </c>
      <c r="V1105" s="50" t="n">
        <v>0</v>
      </c>
      <c r="W1105" s="51" t="n">
        <v>0</v>
      </c>
      <c r="X1105" s="51" t="n">
        <v>0</v>
      </c>
      <c r="Y1105" s="51" t="n">
        <v>0</v>
      </c>
      <c r="Z1105" s="51" t="n">
        <v>0</v>
      </c>
      <c r="AA1105" s="52" t="n">
        <v>0</v>
      </c>
      <c r="AB1105" s="52" t="n">
        <v>0</v>
      </c>
      <c r="AC1105" s="52" t="n">
        <v>0</v>
      </c>
      <c r="AD1105" s="52" t="n">
        <v>0</v>
      </c>
      <c r="AE1105" s="52" t="n">
        <v>0</v>
      </c>
      <c r="AF1105" s="52" t="n">
        <v>0</v>
      </c>
      <c r="AG1105" s="52" t="n">
        <v>0</v>
      </c>
      <c r="AH1105" s="52" t="n">
        <v>0</v>
      </c>
      <c r="AI1105" s="52" t="n">
        <v>0</v>
      </c>
      <c r="AJ1105" s="52" t="n">
        <v>0</v>
      </c>
      <c r="AK1105" s="52" t="n">
        <v>0</v>
      </c>
      <c r="AL1105" s="52" t="n">
        <v>0</v>
      </c>
      <c r="AM1105" s="53" t="n">
        <v>0</v>
      </c>
      <c r="AN1105" s="53" t="n">
        <v>0</v>
      </c>
      <c r="AO1105" s="53" t="n">
        <v>0</v>
      </c>
      <c r="AP1105" s="53" t="n">
        <v>0</v>
      </c>
      <c r="AQ1105" s="52" t="n">
        <v>0</v>
      </c>
      <c r="AR1105" s="52" t="n">
        <v>0</v>
      </c>
      <c r="AS1105" s="52" t="n">
        <v>0</v>
      </c>
      <c r="AT1105" s="52" t="n">
        <v>0</v>
      </c>
      <c r="AU1105" s="53" t="n">
        <v>0</v>
      </c>
      <c r="AV1105" s="53" t="n">
        <v>0</v>
      </c>
      <c r="AW1105" s="53" t="n">
        <v>0</v>
      </c>
      <c r="AX1105" s="53" t="n">
        <v>0</v>
      </c>
      <c r="AY1105" s="52" t="n">
        <v>0</v>
      </c>
      <c r="AZ1105" s="52" t="n">
        <v>0</v>
      </c>
      <c r="BA1105" s="52" t="n">
        <v>0</v>
      </c>
      <c r="BB1105" s="52" t="n">
        <v>0</v>
      </c>
      <c r="BC1105" s="51" t="n">
        <v>0</v>
      </c>
      <c r="BD1105" s="51" t="n">
        <v>0</v>
      </c>
      <c r="BE1105" s="51" t="n">
        <v>0</v>
      </c>
      <c r="BF1105" s="51" t="n">
        <v>0</v>
      </c>
    </row>
    <row r="1106">
      <c r="A1106">
        <f>HYPERLINK("https://www.walmart.com/ip/634192094", "634192094")</f>
        <v/>
      </c>
      <c r="B1106" t="inlineStr">
        <is>
          <t>Terra Cool Mens Baseball Cap Hat USA American Flag Printed Flat Bill Buckle</t>
        </is>
      </c>
      <c r="C1106" t="inlineStr">
        <is>
          <t>TERRACAP-B003A</t>
        </is>
      </c>
      <c r="D1106" t="inlineStr">
        <is>
          <t>Hats</t>
        </is>
      </c>
      <c r="E1106" t="inlineStr">
        <is>
          <t>Terra</t>
        </is>
      </c>
      <c r="F1106" t="inlineStr">
        <is>
          <t>Optimized</t>
        </is>
      </c>
      <c r="G1106" s="48" t="n">
        <v>0</v>
      </c>
      <c r="H1106" s="48" t="n">
        <v>0</v>
      </c>
      <c r="I1106" s="48" t="n">
        <v>0</v>
      </c>
      <c r="J1106" s="48" t="n">
        <v>0</v>
      </c>
      <c r="K1106" s="49" t="n">
        <v>0</v>
      </c>
      <c r="L1106" s="49" t="n">
        <v>0</v>
      </c>
      <c r="M1106" s="49" t="n">
        <v>0</v>
      </c>
      <c r="N1106" s="49" t="n">
        <v>0</v>
      </c>
      <c r="O1106" s="49" t="n">
        <v>0</v>
      </c>
      <c r="P1106" s="49" t="n">
        <v>0</v>
      </c>
      <c r="Q1106" s="49" t="n">
        <v>0</v>
      </c>
      <c r="R1106" s="49" t="n">
        <v>0</v>
      </c>
      <c r="S1106" s="50" t="n">
        <v>0</v>
      </c>
      <c r="T1106" s="50" t="n">
        <v>0</v>
      </c>
      <c r="U1106" s="50" t="n">
        <v>0</v>
      </c>
      <c r="V1106" s="50" t="n">
        <v>0</v>
      </c>
      <c r="W1106" s="51" t="n">
        <v>0</v>
      </c>
      <c r="X1106" s="51" t="n">
        <v>0</v>
      </c>
      <c r="Y1106" s="51" t="n">
        <v>0</v>
      </c>
      <c r="Z1106" s="51" t="n">
        <v>0</v>
      </c>
      <c r="AA1106" s="52" t="n">
        <v>0</v>
      </c>
      <c r="AB1106" s="52" t="n">
        <v>0</v>
      </c>
      <c r="AC1106" s="52" t="n">
        <v>0</v>
      </c>
      <c r="AD1106" s="52" t="n">
        <v>0</v>
      </c>
      <c r="AE1106" s="52" t="n">
        <v>0</v>
      </c>
      <c r="AF1106" s="52" t="n">
        <v>0</v>
      </c>
      <c r="AG1106" s="52" t="n">
        <v>0</v>
      </c>
      <c r="AH1106" s="52" t="n">
        <v>0</v>
      </c>
      <c r="AI1106" s="52" t="n">
        <v>0</v>
      </c>
      <c r="AJ1106" s="52" t="n">
        <v>0</v>
      </c>
      <c r="AK1106" s="52" t="n">
        <v>0</v>
      </c>
      <c r="AL1106" s="52" t="n">
        <v>0</v>
      </c>
      <c r="AM1106" s="53" t="n">
        <v>0</v>
      </c>
      <c r="AN1106" s="53" t="n">
        <v>0</v>
      </c>
      <c r="AO1106" s="53" t="n">
        <v>0</v>
      </c>
      <c r="AP1106" s="53" t="n">
        <v>0</v>
      </c>
      <c r="AQ1106" s="52" t="n">
        <v>0</v>
      </c>
      <c r="AR1106" s="52" t="n">
        <v>0</v>
      </c>
      <c r="AS1106" s="52" t="n">
        <v>0</v>
      </c>
      <c r="AT1106" s="52" t="n">
        <v>0</v>
      </c>
      <c r="AU1106" s="53" t="n">
        <v>0</v>
      </c>
      <c r="AV1106" s="53" t="n">
        <v>0</v>
      </c>
      <c r="AW1106" s="53" t="n">
        <v>0</v>
      </c>
      <c r="AX1106" s="53" t="n">
        <v>0</v>
      </c>
      <c r="AY1106" s="52" t="n">
        <v>0</v>
      </c>
      <c r="AZ1106" s="52" t="n">
        <v>0</v>
      </c>
      <c r="BA1106" s="52" t="n">
        <v>0</v>
      </c>
      <c r="BB1106" s="52" t="n">
        <v>0</v>
      </c>
      <c r="BC1106" s="51" t="n">
        <v>0</v>
      </c>
      <c r="BD1106" s="51" t="n">
        <v>0</v>
      </c>
      <c r="BE1106" s="51" t="n">
        <v>0</v>
      </c>
      <c r="BF1106" s="51" t="n">
        <v>0</v>
      </c>
    </row>
    <row r="1107">
      <c r="A1107">
        <f>HYPERLINK("https://www.walmart.com/ip/635001768", "635001768")</f>
        <v/>
      </c>
      <c r="B1107" t="inlineStr">
        <is>
          <t>Catalonia Fleece Reversible Snuggle Micro Sherpa Soft Warm Blanket 60”x50”, Plush Throws for Bedding Couch Mulri-Color</t>
        </is>
      </c>
      <c r="C1107" t="inlineStr">
        <is>
          <t>1CTBF300PRD</t>
        </is>
      </c>
      <c r="D1107" t="inlineStr">
        <is>
          <t>Throws</t>
        </is>
      </c>
      <c r="E1107" t="inlineStr">
        <is>
          <t>Catalonia</t>
        </is>
      </c>
      <c r="F1107" t="inlineStr">
        <is>
          <t>Optimized,WFS,WFS Item,Fleece Blankets</t>
        </is>
      </c>
      <c r="G1107" s="48" t="n">
        <v>0</v>
      </c>
      <c r="H1107" s="48" t="n">
        <v>0</v>
      </c>
      <c r="I1107" s="48" t="n">
        <v>0</v>
      </c>
      <c r="J1107" s="48" t="n">
        <v>0</v>
      </c>
      <c r="K1107" s="49" t="n">
        <v>0</v>
      </c>
      <c r="L1107" s="49" t="n">
        <v>0</v>
      </c>
      <c r="M1107" s="49" t="n">
        <v>0</v>
      </c>
      <c r="N1107" s="49" t="n">
        <v>0</v>
      </c>
      <c r="O1107" s="49" t="n">
        <v>0</v>
      </c>
      <c r="P1107" s="49" t="n">
        <v>0</v>
      </c>
      <c r="Q1107" s="49" t="n">
        <v>0</v>
      </c>
      <c r="R1107" s="49" t="n">
        <v>0</v>
      </c>
      <c r="S1107" s="50" t="n">
        <v>0</v>
      </c>
      <c r="T1107" s="50" t="n">
        <v>0</v>
      </c>
      <c r="U1107" s="50" t="n">
        <v>0</v>
      </c>
      <c r="V1107" s="50" t="n">
        <v>0</v>
      </c>
      <c r="W1107" s="51" t="n">
        <v>0</v>
      </c>
      <c r="X1107" s="51" t="n">
        <v>0</v>
      </c>
      <c r="Y1107" s="51" t="n">
        <v>0</v>
      </c>
      <c r="Z1107" s="51" t="n">
        <v>0</v>
      </c>
      <c r="AA1107" s="52" t="n">
        <v>0</v>
      </c>
      <c r="AB1107" s="52" t="n">
        <v>0</v>
      </c>
      <c r="AC1107" s="52" t="n">
        <v>0</v>
      </c>
      <c r="AD1107" s="52" t="n">
        <v>0</v>
      </c>
      <c r="AE1107" s="52" t="n">
        <v>0</v>
      </c>
      <c r="AF1107" s="52" t="n">
        <v>0</v>
      </c>
      <c r="AG1107" s="52" t="n">
        <v>0</v>
      </c>
      <c r="AH1107" s="52" t="n">
        <v>0</v>
      </c>
      <c r="AI1107" s="52" t="n">
        <v>0</v>
      </c>
      <c r="AJ1107" s="52" t="n">
        <v>0</v>
      </c>
      <c r="AK1107" s="52" t="n">
        <v>0</v>
      </c>
      <c r="AL1107" s="52" t="n">
        <v>0</v>
      </c>
      <c r="AM1107" s="53" t="n">
        <v>0</v>
      </c>
      <c r="AN1107" s="53" t="n">
        <v>0</v>
      </c>
      <c r="AO1107" s="53" t="n">
        <v>0</v>
      </c>
      <c r="AP1107" s="53" t="n">
        <v>0</v>
      </c>
      <c r="AQ1107" s="52" t="n">
        <v>0</v>
      </c>
      <c r="AR1107" s="52" t="n">
        <v>0</v>
      </c>
      <c r="AS1107" s="52" t="n">
        <v>0</v>
      </c>
      <c r="AT1107" s="52" t="n">
        <v>0</v>
      </c>
      <c r="AU1107" s="53" t="n">
        <v>0</v>
      </c>
      <c r="AV1107" s="53" t="n">
        <v>0</v>
      </c>
      <c r="AW1107" s="53" t="n">
        <v>0</v>
      </c>
      <c r="AX1107" s="53" t="n">
        <v>0</v>
      </c>
      <c r="AY1107" s="52" t="n">
        <v>0</v>
      </c>
      <c r="AZ1107" s="52" t="n">
        <v>0</v>
      </c>
      <c r="BA1107" s="52" t="n">
        <v>0</v>
      </c>
      <c r="BB1107" s="52" t="n">
        <v>0</v>
      </c>
      <c r="BC1107" s="51" t="n">
        <v>0</v>
      </c>
      <c r="BD1107" s="51" t="n">
        <v>0</v>
      </c>
      <c r="BE1107" s="51" t="n">
        <v>0</v>
      </c>
      <c r="BF1107" s="51" t="n">
        <v>0</v>
      </c>
    </row>
    <row r="1108">
      <c r="A1108">
        <f>HYPERLINK("https://www.walmart.com/ip/635507508", "635507508")</f>
        <v/>
      </c>
      <c r="B1108" t="inlineStr">
        <is>
          <t>Tirrinia Poncho Blanket, Super Soft, Comfy, Plush Wearable Fleece Blanket for Women, Men and Kids, Camel, 55'' x 80''</t>
        </is>
      </c>
      <c r="C1108" t="inlineStr">
        <is>
          <t>1TRBP100CA-TBCB</t>
        </is>
      </c>
      <c r="D1108" t="inlineStr">
        <is>
          <t>Throws</t>
        </is>
      </c>
      <c r="E1108" t="inlineStr">
        <is>
          <t>Tirrinia</t>
        </is>
      </c>
      <c r="F1108" t="inlineStr">
        <is>
          <t>Q2-Target,Optimized,Coupon_Discount,Fleece Blankets</t>
        </is>
      </c>
      <c r="G1108" s="48" t="n">
        <v>0</v>
      </c>
      <c r="H1108" s="48" t="n">
        <v>0</v>
      </c>
      <c r="I1108" s="48" t="n">
        <v>0</v>
      </c>
      <c r="J1108" s="48" t="n">
        <v>0</v>
      </c>
      <c r="K1108" s="49" t="n">
        <v>0</v>
      </c>
      <c r="L1108" s="49" t="n">
        <v>0</v>
      </c>
      <c r="M1108" s="49" t="n">
        <v>0</v>
      </c>
      <c r="N1108" s="49" t="n">
        <v>0</v>
      </c>
      <c r="O1108" s="49" t="n">
        <v>0</v>
      </c>
      <c r="P1108" s="49" t="n">
        <v>0</v>
      </c>
      <c r="Q1108" s="49" t="n">
        <v>0</v>
      </c>
      <c r="R1108" s="49" t="n">
        <v>0</v>
      </c>
      <c r="S1108" s="50" t="n">
        <v>0</v>
      </c>
      <c r="T1108" s="50" t="n">
        <v>0</v>
      </c>
      <c r="U1108" s="50" t="n">
        <v>0</v>
      </c>
      <c r="V1108" s="50" t="n">
        <v>0</v>
      </c>
      <c r="W1108" s="51" t="n">
        <v>0</v>
      </c>
      <c r="X1108" s="51" t="n">
        <v>0</v>
      </c>
      <c r="Y1108" s="51" t="n">
        <v>0</v>
      </c>
      <c r="Z1108" s="51" t="n">
        <v>0</v>
      </c>
      <c r="AA1108" s="52" t="n">
        <v>0</v>
      </c>
      <c r="AB1108" s="52" t="n">
        <v>0</v>
      </c>
      <c r="AC1108" s="52" t="n">
        <v>0</v>
      </c>
      <c r="AD1108" s="52" t="n">
        <v>0</v>
      </c>
      <c r="AE1108" s="52" t="n">
        <v>0</v>
      </c>
      <c r="AF1108" s="52" t="n">
        <v>0</v>
      </c>
      <c r="AG1108" s="52" t="n">
        <v>0</v>
      </c>
      <c r="AH1108" s="52" t="n">
        <v>0</v>
      </c>
      <c r="AI1108" s="52" t="n">
        <v>0</v>
      </c>
      <c r="AJ1108" s="52" t="n">
        <v>0</v>
      </c>
      <c r="AK1108" s="52" t="n">
        <v>0</v>
      </c>
      <c r="AL1108" s="52" t="n">
        <v>0</v>
      </c>
      <c r="AM1108" s="53" t="n">
        <v>0</v>
      </c>
      <c r="AN1108" s="53" t="n">
        <v>0</v>
      </c>
      <c r="AO1108" s="53" t="n">
        <v>0</v>
      </c>
      <c r="AP1108" s="53" t="n">
        <v>0</v>
      </c>
      <c r="AQ1108" s="52" t="n">
        <v>0</v>
      </c>
      <c r="AR1108" s="52" t="n">
        <v>0</v>
      </c>
      <c r="AS1108" s="52" t="n">
        <v>0</v>
      </c>
      <c r="AT1108" s="52" t="n">
        <v>0</v>
      </c>
      <c r="AU1108" s="53" t="n">
        <v>0</v>
      </c>
      <c r="AV1108" s="53" t="n">
        <v>0</v>
      </c>
      <c r="AW1108" s="53" t="n">
        <v>0</v>
      </c>
      <c r="AX1108" s="53" t="n">
        <v>0</v>
      </c>
      <c r="AY1108" s="52" t="n">
        <v>0</v>
      </c>
      <c r="AZ1108" s="52" t="n">
        <v>0</v>
      </c>
      <c r="BA1108" s="52" t="n">
        <v>0</v>
      </c>
      <c r="BB1108" s="52" t="n">
        <v>0</v>
      </c>
      <c r="BC1108" s="51" t="n">
        <v>0</v>
      </c>
      <c r="BD1108" s="51" t="n">
        <v>0</v>
      </c>
      <c r="BE1108" s="51" t="n">
        <v>0</v>
      </c>
      <c r="BF1108" s="51" t="n">
        <v>0</v>
      </c>
    </row>
    <row r="1109">
      <c r="A1109">
        <f>HYPERLINK("https://www.walmart.com/ip/636155719", "636155719")</f>
        <v/>
      </c>
      <c r="B1109" t="inlineStr">
        <is>
          <t>Luxury Knit Throw Decorative Blanket with Pom Pom Fringe Super Soft Warm Sleeping Cover for Adults or Kids on the Couch</t>
        </is>
      </c>
      <c r="C1109" t="inlineStr">
        <is>
          <t>1TRBN200BN-TBCB</t>
        </is>
      </c>
      <c r="D1109" t="inlineStr">
        <is>
          <t>Throws</t>
        </is>
      </c>
      <c r="E1109" t="inlineStr">
        <is>
          <t>Tirrinia</t>
        </is>
      </c>
      <c r="G1109" s="48" t="n">
        <v>0</v>
      </c>
      <c r="H1109" s="48" t="n">
        <v>0</v>
      </c>
      <c r="I1109" s="48" t="n">
        <v>0</v>
      </c>
      <c r="J1109" s="48" t="n">
        <v>0</v>
      </c>
      <c r="K1109" s="49" t="n">
        <v>0</v>
      </c>
      <c r="L1109" s="49" t="n">
        <v>0</v>
      </c>
      <c r="M1109" s="49" t="n">
        <v>0</v>
      </c>
      <c r="N1109" s="49" t="n">
        <v>0</v>
      </c>
      <c r="O1109" s="49" t="n">
        <v>0</v>
      </c>
      <c r="P1109" s="49" t="n">
        <v>0</v>
      </c>
      <c r="Q1109" s="49" t="n">
        <v>0</v>
      </c>
      <c r="R1109" s="49" t="n">
        <v>0</v>
      </c>
      <c r="S1109" s="50" t="n">
        <v>0</v>
      </c>
      <c r="T1109" s="50" t="n">
        <v>0</v>
      </c>
      <c r="U1109" s="50" t="n">
        <v>0</v>
      </c>
      <c r="V1109" s="50" t="n">
        <v>0</v>
      </c>
      <c r="W1109" s="51" t="n">
        <v>0</v>
      </c>
      <c r="X1109" s="51" t="n">
        <v>0</v>
      </c>
      <c r="Y1109" s="51" t="n">
        <v>0</v>
      </c>
      <c r="Z1109" s="51" t="n">
        <v>0</v>
      </c>
      <c r="AA1109" s="52" t="n">
        <v>0</v>
      </c>
      <c r="AB1109" s="52" t="n">
        <v>0</v>
      </c>
      <c r="AC1109" s="52" t="n">
        <v>0</v>
      </c>
      <c r="AD1109" s="52" t="n">
        <v>0</v>
      </c>
      <c r="AE1109" s="52" t="n">
        <v>0</v>
      </c>
      <c r="AF1109" s="52" t="n">
        <v>0</v>
      </c>
      <c r="AG1109" s="52" t="n">
        <v>0</v>
      </c>
      <c r="AH1109" s="52" t="n">
        <v>0</v>
      </c>
      <c r="AI1109" s="52" t="n">
        <v>0</v>
      </c>
      <c r="AJ1109" s="52" t="n">
        <v>0</v>
      </c>
      <c r="AK1109" s="52" t="n">
        <v>0</v>
      </c>
      <c r="AL1109" s="52" t="n">
        <v>0</v>
      </c>
      <c r="AM1109" s="53" t="n">
        <v>0</v>
      </c>
      <c r="AN1109" s="53" t="n">
        <v>0</v>
      </c>
      <c r="AO1109" s="53" t="n">
        <v>0</v>
      </c>
      <c r="AP1109" s="53" t="n">
        <v>0</v>
      </c>
      <c r="AQ1109" s="52" t="n">
        <v>0</v>
      </c>
      <c r="AR1109" s="52" t="n">
        <v>0</v>
      </c>
      <c r="AS1109" s="52" t="n">
        <v>0</v>
      </c>
      <c r="AT1109" s="52" t="n">
        <v>0</v>
      </c>
      <c r="AU1109" s="53" t="n">
        <v>0</v>
      </c>
      <c r="AV1109" s="53" t="n">
        <v>0</v>
      </c>
      <c r="AW1109" s="53" t="n">
        <v>0</v>
      </c>
      <c r="AX1109" s="53" t="n">
        <v>0</v>
      </c>
      <c r="AY1109" s="52" t="n">
        <v>0</v>
      </c>
      <c r="AZ1109" s="52" t="n">
        <v>0</v>
      </c>
      <c r="BA1109" s="52" t="n">
        <v>0</v>
      </c>
      <c r="BB1109" s="52" t="n">
        <v>0</v>
      </c>
      <c r="BC1109" s="51" t="n">
        <v>0</v>
      </c>
      <c r="BD1109" s="51" t="n">
        <v>0</v>
      </c>
      <c r="BE1109" s="51" t="n">
        <v>0</v>
      </c>
      <c r="BF1109" s="51" t="n">
        <v>0</v>
      </c>
    </row>
    <row r="1110">
      <c r="A1110">
        <f>HYPERLINK("https://www.walmart.com/ip/637017115", "637017115")</f>
        <v/>
      </c>
      <c r="B1110" t="inlineStr">
        <is>
          <t>Catalonia Women's Plush Fleece Long Robe, Warm Comfy Fluffy Female Bathrobe with Hood, Machine Washable, One Size, Black</t>
        </is>
      </c>
      <c r="C1110" t="inlineStr">
        <is>
          <t>1CTRB100BK-LDCB</t>
        </is>
      </c>
      <c r="D1110" t="inlineStr">
        <is>
          <t>Sleepwear Robes &amp; Bathrobes</t>
        </is>
      </c>
      <c r="E1110" t="inlineStr">
        <is>
          <t>Catalonia</t>
        </is>
      </c>
      <c r="F1110" t="inlineStr">
        <is>
          <t>Optimized,Hero 5 Holidays,Bathrobe</t>
        </is>
      </c>
      <c r="G1110" s="48" t="n">
        <v>0</v>
      </c>
      <c r="H1110" s="48" t="n">
        <v>0</v>
      </c>
      <c r="I1110" s="48" t="n">
        <v>0</v>
      </c>
      <c r="J1110" s="48" t="n">
        <v>0</v>
      </c>
      <c r="K1110" s="49" t="n">
        <v>0</v>
      </c>
      <c r="L1110" s="49" t="n">
        <v>0</v>
      </c>
      <c r="M1110" s="49" t="n">
        <v>0</v>
      </c>
      <c r="N1110" s="49" t="n">
        <v>0</v>
      </c>
      <c r="O1110" s="49" t="n">
        <v>0</v>
      </c>
      <c r="P1110" s="49" t="n">
        <v>0</v>
      </c>
      <c r="Q1110" s="49" t="n">
        <v>0</v>
      </c>
      <c r="R1110" s="49" t="n">
        <v>0</v>
      </c>
      <c r="S1110" s="50" t="n">
        <v>0</v>
      </c>
      <c r="T1110" s="50" t="n">
        <v>0</v>
      </c>
      <c r="U1110" s="50" t="n">
        <v>0</v>
      </c>
      <c r="V1110" s="50" t="n">
        <v>0</v>
      </c>
      <c r="W1110" s="51" t="n">
        <v>0</v>
      </c>
      <c r="X1110" s="51" t="n">
        <v>0</v>
      </c>
      <c r="Y1110" s="51" t="n">
        <v>0</v>
      </c>
      <c r="Z1110" s="51" t="n">
        <v>0</v>
      </c>
      <c r="AA1110" s="52" t="n">
        <v>0</v>
      </c>
      <c r="AB1110" s="52" t="n">
        <v>0</v>
      </c>
      <c r="AC1110" s="52" t="n">
        <v>0</v>
      </c>
      <c r="AD1110" s="52" t="n">
        <v>0</v>
      </c>
      <c r="AE1110" s="52" t="n">
        <v>0</v>
      </c>
      <c r="AF1110" s="52" t="n">
        <v>0</v>
      </c>
      <c r="AG1110" s="52" t="n">
        <v>0</v>
      </c>
      <c r="AH1110" s="52" t="n">
        <v>0</v>
      </c>
      <c r="AI1110" s="52" t="n">
        <v>0</v>
      </c>
      <c r="AJ1110" s="52" t="n">
        <v>0</v>
      </c>
      <c r="AK1110" s="52" t="n">
        <v>0</v>
      </c>
      <c r="AL1110" s="52" t="n">
        <v>0</v>
      </c>
      <c r="AM1110" s="53" t="n">
        <v>0</v>
      </c>
      <c r="AN1110" s="53" t="n">
        <v>0</v>
      </c>
      <c r="AO1110" s="53" t="n">
        <v>0</v>
      </c>
      <c r="AP1110" s="53" t="n">
        <v>0</v>
      </c>
      <c r="AQ1110" s="52" t="n">
        <v>0</v>
      </c>
      <c r="AR1110" s="52" t="n">
        <v>0</v>
      </c>
      <c r="AS1110" s="52" t="n">
        <v>0</v>
      </c>
      <c r="AT1110" s="52" t="n">
        <v>0</v>
      </c>
      <c r="AU1110" s="53" t="n">
        <v>0</v>
      </c>
      <c r="AV1110" s="53" t="n">
        <v>0</v>
      </c>
      <c r="AW1110" s="53" t="n">
        <v>0</v>
      </c>
      <c r="AX1110" s="53" t="n">
        <v>0</v>
      </c>
      <c r="AY1110" s="52" t="n">
        <v>0</v>
      </c>
      <c r="AZ1110" s="52" t="n">
        <v>0</v>
      </c>
      <c r="BA1110" s="52" t="n">
        <v>0</v>
      </c>
      <c r="BB1110" s="52" t="n">
        <v>0</v>
      </c>
      <c r="BC1110" s="51" t="n">
        <v>0</v>
      </c>
      <c r="BD1110" s="51" t="n">
        <v>0</v>
      </c>
      <c r="BE1110" s="51" t="n">
        <v>0</v>
      </c>
      <c r="BF1110" s="51" t="n">
        <v>0</v>
      </c>
    </row>
    <row r="1111">
      <c r="A1111">
        <f>HYPERLINK("https://www.walmart.com/ip/637310703", "637310703")</f>
        <v/>
      </c>
      <c r="B1111" t="inlineStr">
        <is>
          <t>Wearable Fleece Blanket with Sleeves for Adult Women Men, Super Soft Comfy Plush TV Blanket Throw Wrap Cover for Lounge Couch Reading Watching TV 73" x 51" Blue</t>
        </is>
      </c>
      <c r="C1111" t="inlineStr">
        <is>
          <t>1TRSN100BL</t>
        </is>
      </c>
      <c r="D1111" t="inlineStr">
        <is>
          <t>Throws</t>
        </is>
      </c>
      <c r="E1111" t="inlineStr">
        <is>
          <t>Tirrinia</t>
        </is>
      </c>
      <c r="F1111" t="inlineStr">
        <is>
          <t>WFS,WFS Item,Fleece Blankets</t>
        </is>
      </c>
      <c r="G1111" s="48" t="n">
        <v>0</v>
      </c>
      <c r="H1111" s="48" t="n">
        <v>0</v>
      </c>
      <c r="I1111" s="48" t="n">
        <v>0</v>
      </c>
      <c r="J1111" s="48" t="n">
        <v>0</v>
      </c>
      <c r="K1111" s="49" t="n">
        <v>0</v>
      </c>
      <c r="L1111" s="49" t="n">
        <v>0</v>
      </c>
      <c r="M1111" s="49" t="n">
        <v>0</v>
      </c>
      <c r="N1111" s="49" t="n">
        <v>0</v>
      </c>
      <c r="O1111" s="49" t="n">
        <v>0</v>
      </c>
      <c r="P1111" s="49" t="n">
        <v>0</v>
      </c>
      <c r="Q1111" s="49" t="n">
        <v>0</v>
      </c>
      <c r="R1111" s="49" t="n">
        <v>0</v>
      </c>
      <c r="S1111" s="50" t="n">
        <v>0</v>
      </c>
      <c r="T1111" s="50" t="n">
        <v>0</v>
      </c>
      <c r="U1111" s="50" t="n">
        <v>0</v>
      </c>
      <c r="V1111" s="50" t="n">
        <v>0</v>
      </c>
      <c r="W1111" s="51" t="n">
        <v>0</v>
      </c>
      <c r="X1111" s="51" t="n">
        <v>0</v>
      </c>
      <c r="Y1111" s="51" t="n">
        <v>0</v>
      </c>
      <c r="Z1111" s="51" t="n">
        <v>0</v>
      </c>
      <c r="AA1111" s="52" t="n">
        <v>0</v>
      </c>
      <c r="AB1111" s="52" t="n">
        <v>0</v>
      </c>
      <c r="AC1111" s="52" t="n">
        <v>0</v>
      </c>
      <c r="AD1111" s="52" t="n">
        <v>0</v>
      </c>
      <c r="AE1111" s="52" t="n">
        <v>0</v>
      </c>
      <c r="AF1111" s="52" t="n">
        <v>0</v>
      </c>
      <c r="AG1111" s="52" t="n">
        <v>0</v>
      </c>
      <c r="AH1111" s="52" t="n">
        <v>0</v>
      </c>
      <c r="AI1111" s="52" t="n">
        <v>0</v>
      </c>
      <c r="AJ1111" s="52" t="n">
        <v>0</v>
      </c>
      <c r="AK1111" s="52" t="n">
        <v>0</v>
      </c>
      <c r="AL1111" s="52" t="n">
        <v>0</v>
      </c>
      <c r="AM1111" s="53" t="n">
        <v>0</v>
      </c>
      <c r="AN1111" s="53" t="n">
        <v>0</v>
      </c>
      <c r="AO1111" s="53" t="n">
        <v>0</v>
      </c>
      <c r="AP1111" s="53" t="n">
        <v>0</v>
      </c>
      <c r="AQ1111" s="52" t="n">
        <v>0</v>
      </c>
      <c r="AR1111" s="52" t="n">
        <v>0</v>
      </c>
      <c r="AS1111" s="52" t="n">
        <v>0</v>
      </c>
      <c r="AT1111" s="52" t="n">
        <v>0</v>
      </c>
      <c r="AU1111" s="53" t="n">
        <v>0</v>
      </c>
      <c r="AV1111" s="53" t="n">
        <v>0</v>
      </c>
      <c r="AW1111" s="53" t="n">
        <v>0</v>
      </c>
      <c r="AX1111" s="53" t="n">
        <v>0</v>
      </c>
      <c r="AY1111" s="52" t="n">
        <v>0</v>
      </c>
      <c r="AZ1111" s="52" t="n">
        <v>0</v>
      </c>
      <c r="BA1111" s="52" t="n">
        <v>0</v>
      </c>
      <c r="BB1111" s="52" t="n">
        <v>0</v>
      </c>
      <c r="BC1111" s="51" t="n">
        <v>0</v>
      </c>
      <c r="BD1111" s="51" t="n">
        <v>0</v>
      </c>
      <c r="BE1111" s="51" t="n">
        <v>0</v>
      </c>
      <c r="BF1111" s="51" t="n">
        <v>0</v>
      </c>
    </row>
    <row r="1112">
      <c r="A1112">
        <f>HYPERLINK("https://www.walmart.com/ip/638032822", "638032822")</f>
        <v/>
      </c>
      <c r="B1112" t="inlineStr">
        <is>
          <t>Mens Underwear Mens&amp;nbsp;Boxer&amp;nbsp;Briefs with Elastic Waistband Solid New Classic Fit, 3 Pack by Terra</t>
        </is>
      </c>
      <c r="C1112" t="inlineStr">
        <is>
          <t>TERRA-BOXER10-M</t>
        </is>
      </c>
      <c r="D1112" t="inlineStr">
        <is>
          <t>Underpants</t>
        </is>
      </c>
      <c r="E1112" t="inlineStr">
        <is>
          <t>Terra</t>
        </is>
      </c>
      <c r="F1112" t="inlineStr">
        <is>
          <t>Batch 1 - TR</t>
        </is>
      </c>
      <c r="G1112" s="48" t="n">
        <v>0</v>
      </c>
      <c r="H1112" s="48" t="n">
        <v>0</v>
      </c>
      <c r="I1112" s="48" t="n">
        <v>0</v>
      </c>
      <c r="J1112" s="48" t="n">
        <v>0</v>
      </c>
      <c r="K1112" s="49" t="n">
        <v>0</v>
      </c>
      <c r="L1112" s="49" t="n">
        <v>0</v>
      </c>
      <c r="M1112" s="49" t="n">
        <v>0</v>
      </c>
      <c r="N1112" s="49" t="n">
        <v>0</v>
      </c>
      <c r="O1112" s="49" t="n">
        <v>0</v>
      </c>
      <c r="P1112" s="49" t="n">
        <v>0</v>
      </c>
      <c r="Q1112" s="49" t="n">
        <v>0</v>
      </c>
      <c r="R1112" s="49" t="n">
        <v>0</v>
      </c>
      <c r="S1112" s="50" t="n">
        <v>0</v>
      </c>
      <c r="T1112" s="50" t="n">
        <v>0</v>
      </c>
      <c r="U1112" s="50" t="n">
        <v>0</v>
      </c>
      <c r="V1112" s="50" t="n">
        <v>0</v>
      </c>
      <c r="W1112" s="51" t="n">
        <v>0</v>
      </c>
      <c r="X1112" s="51" t="n">
        <v>0</v>
      </c>
      <c r="Y1112" s="51" t="n">
        <v>0</v>
      </c>
      <c r="Z1112" s="51" t="n">
        <v>0</v>
      </c>
      <c r="AA1112" s="52" t="n">
        <v>0</v>
      </c>
      <c r="AB1112" s="52" t="n">
        <v>0</v>
      </c>
      <c r="AC1112" s="52" t="n">
        <v>0</v>
      </c>
      <c r="AD1112" s="52" t="n">
        <v>0</v>
      </c>
      <c r="AE1112" s="52" t="n">
        <v>0</v>
      </c>
      <c r="AF1112" s="52" t="n">
        <v>0</v>
      </c>
      <c r="AG1112" s="52" t="n">
        <v>0</v>
      </c>
      <c r="AH1112" s="52" t="n">
        <v>0</v>
      </c>
      <c r="AI1112" s="52" t="n">
        <v>0</v>
      </c>
      <c r="AJ1112" s="52" t="n">
        <v>0</v>
      </c>
      <c r="AK1112" s="52" t="n">
        <v>0</v>
      </c>
      <c r="AL1112" s="52" t="n">
        <v>0</v>
      </c>
      <c r="AM1112" s="53" t="n">
        <v>0</v>
      </c>
      <c r="AN1112" s="53" t="n">
        <v>0</v>
      </c>
      <c r="AO1112" s="53" t="n">
        <v>0</v>
      </c>
      <c r="AP1112" s="53" t="n">
        <v>0</v>
      </c>
      <c r="AQ1112" s="52" t="n">
        <v>0</v>
      </c>
      <c r="AR1112" s="52" t="n">
        <v>0</v>
      </c>
      <c r="AS1112" s="52" t="n">
        <v>0</v>
      </c>
      <c r="AT1112" s="52" t="n">
        <v>0</v>
      </c>
      <c r="AU1112" s="53" t="n">
        <v>0</v>
      </c>
      <c r="AV1112" s="53" t="n">
        <v>0</v>
      </c>
      <c r="AW1112" s="53" t="n">
        <v>0</v>
      </c>
      <c r="AX1112" s="53" t="n">
        <v>0</v>
      </c>
      <c r="AY1112" s="52" t="n">
        <v>0</v>
      </c>
      <c r="AZ1112" s="52" t="n">
        <v>0</v>
      </c>
      <c r="BA1112" s="52" t="n">
        <v>0</v>
      </c>
      <c r="BB1112" s="52" t="n">
        <v>0</v>
      </c>
      <c r="BC1112" s="51" t="n">
        <v>0</v>
      </c>
      <c r="BD1112" s="51" t="n">
        <v>0</v>
      </c>
      <c r="BE1112" s="51" t="n">
        <v>0</v>
      </c>
      <c r="BF1112" s="51" t="n">
        <v>0</v>
      </c>
    </row>
    <row r="1113">
      <c r="A1113">
        <f>HYPERLINK("https://www.walmart.com/ip/638255663", "638255663")</f>
        <v/>
      </c>
      <c r="B1113" t="inlineStr">
        <is>
          <t>Terra Men Boxer Brief Underwear Best 3 Pack Most Comfortable Cotton Trunk Short</t>
        </is>
      </c>
      <c r="C1113" t="inlineStr">
        <is>
          <t>TERRA-BOXER3-M</t>
        </is>
      </c>
      <c r="D1113" t="inlineStr">
        <is>
          <t>Underpants</t>
        </is>
      </c>
      <c r="E1113" t="inlineStr">
        <is>
          <t>Terra</t>
        </is>
      </c>
      <c r="F1113" t="inlineStr">
        <is>
          <t>Batch 1 - TR</t>
        </is>
      </c>
      <c r="G1113" s="48" t="n">
        <v>0</v>
      </c>
      <c r="H1113" s="48" t="n">
        <v>0</v>
      </c>
      <c r="I1113" s="48" t="n">
        <v>0</v>
      </c>
      <c r="J1113" s="48" t="n">
        <v>0</v>
      </c>
      <c r="K1113" s="49" t="n">
        <v>0</v>
      </c>
      <c r="L1113" s="49" t="n">
        <v>0</v>
      </c>
      <c r="M1113" s="49" t="n">
        <v>0</v>
      </c>
      <c r="N1113" s="49" t="n">
        <v>0</v>
      </c>
      <c r="O1113" s="49" t="n">
        <v>0</v>
      </c>
      <c r="P1113" s="49" t="n">
        <v>0</v>
      </c>
      <c r="Q1113" s="49" t="n">
        <v>0</v>
      </c>
      <c r="R1113" s="49" t="n">
        <v>0</v>
      </c>
      <c r="S1113" s="50" t="n">
        <v>0</v>
      </c>
      <c r="T1113" s="50" t="n">
        <v>0</v>
      </c>
      <c r="U1113" s="50" t="n">
        <v>0</v>
      </c>
      <c r="V1113" s="50" t="n">
        <v>0</v>
      </c>
      <c r="W1113" s="51" t="n">
        <v>0</v>
      </c>
      <c r="X1113" s="51" t="n">
        <v>0</v>
      </c>
      <c r="Y1113" s="51" t="n">
        <v>0</v>
      </c>
      <c r="Z1113" s="51" t="n">
        <v>0</v>
      </c>
      <c r="AA1113" s="52" t="n">
        <v>0</v>
      </c>
      <c r="AB1113" s="52" t="n">
        <v>0</v>
      </c>
      <c r="AC1113" s="52" t="n">
        <v>0</v>
      </c>
      <c r="AD1113" s="52" t="n">
        <v>0</v>
      </c>
      <c r="AE1113" s="52" t="n">
        <v>0</v>
      </c>
      <c r="AF1113" s="52" t="n">
        <v>0</v>
      </c>
      <c r="AG1113" s="52" t="n">
        <v>0</v>
      </c>
      <c r="AH1113" s="52" t="n">
        <v>0</v>
      </c>
      <c r="AI1113" s="52" t="n">
        <v>0</v>
      </c>
      <c r="AJ1113" s="52" t="n">
        <v>0</v>
      </c>
      <c r="AK1113" s="52" t="n">
        <v>0</v>
      </c>
      <c r="AL1113" s="52" t="n">
        <v>0</v>
      </c>
      <c r="AM1113" s="53" t="n">
        <v>0</v>
      </c>
      <c r="AN1113" s="53" t="n">
        <v>0</v>
      </c>
      <c r="AO1113" s="53" t="n">
        <v>0</v>
      </c>
      <c r="AP1113" s="53" t="n">
        <v>0</v>
      </c>
      <c r="AQ1113" s="52" t="n">
        <v>0</v>
      </c>
      <c r="AR1113" s="52" t="n">
        <v>0</v>
      </c>
      <c r="AS1113" s="52" t="n">
        <v>0</v>
      </c>
      <c r="AT1113" s="52" t="n">
        <v>0</v>
      </c>
      <c r="AU1113" s="53" t="n">
        <v>0</v>
      </c>
      <c r="AV1113" s="53" t="n">
        <v>0</v>
      </c>
      <c r="AW1113" s="53" t="n">
        <v>0</v>
      </c>
      <c r="AX1113" s="53" t="n">
        <v>0</v>
      </c>
      <c r="AY1113" s="52" t="n">
        <v>0</v>
      </c>
      <c r="AZ1113" s="52" t="n">
        <v>0</v>
      </c>
      <c r="BA1113" s="52" t="n">
        <v>0</v>
      </c>
      <c r="BB1113" s="52" t="n">
        <v>0</v>
      </c>
      <c r="BC1113" s="51" t="n">
        <v>0</v>
      </c>
      <c r="BD1113" s="51" t="n">
        <v>0</v>
      </c>
      <c r="BE1113" s="51" t="n">
        <v>0</v>
      </c>
      <c r="BF1113" s="51" t="n">
        <v>0</v>
      </c>
    </row>
    <row r="1114">
      <c r="A1114">
        <f>HYPERLINK("https://www.walmart.com/ip/640528468", "640528468")</f>
        <v/>
      </c>
      <c r="B1114" t="inlineStr">
        <is>
          <t>Tirrinia Warm Comfy Foldable Outdoor Waterproof Blanket for Camping Stadium, 51'' X 59'', Navy</t>
        </is>
      </c>
      <c r="C1114" t="inlineStr">
        <is>
          <t>1TRBW506NYGY-TBCB</t>
        </is>
      </c>
      <c r="D1114" t="inlineStr">
        <is>
          <t>Throws</t>
        </is>
      </c>
      <c r="E1114" t="inlineStr">
        <is>
          <t>Tirrinia</t>
        </is>
      </c>
      <c r="F1114" t="inlineStr">
        <is>
          <t>Q2-Target,Optimized</t>
        </is>
      </c>
      <c r="G1114" s="48" t="n">
        <v>0</v>
      </c>
      <c r="H1114" s="48" t="n">
        <v>0</v>
      </c>
      <c r="I1114" s="48" t="n">
        <v>0</v>
      </c>
      <c r="J1114" s="48" t="n">
        <v>0</v>
      </c>
      <c r="K1114" s="49" t="n">
        <v>0</v>
      </c>
      <c r="L1114" s="49" t="n">
        <v>0</v>
      </c>
      <c r="M1114" s="49" t="n">
        <v>0</v>
      </c>
      <c r="N1114" s="49" t="n">
        <v>0</v>
      </c>
      <c r="O1114" s="49" t="n">
        <v>0</v>
      </c>
      <c r="P1114" s="49" t="n">
        <v>0</v>
      </c>
      <c r="Q1114" s="49" t="n">
        <v>0</v>
      </c>
      <c r="R1114" s="49" t="n">
        <v>0</v>
      </c>
      <c r="S1114" s="50" t="n">
        <v>0</v>
      </c>
      <c r="T1114" s="50" t="n">
        <v>0</v>
      </c>
      <c r="U1114" s="50" t="n">
        <v>0</v>
      </c>
      <c r="V1114" s="50" t="n">
        <v>0</v>
      </c>
      <c r="W1114" s="51" t="n">
        <v>0</v>
      </c>
      <c r="X1114" s="51" t="n">
        <v>0</v>
      </c>
      <c r="Y1114" s="51" t="n">
        <v>0</v>
      </c>
      <c r="Z1114" s="51" t="n">
        <v>0</v>
      </c>
      <c r="AA1114" s="52" t="n">
        <v>0</v>
      </c>
      <c r="AB1114" s="52" t="n">
        <v>0</v>
      </c>
      <c r="AC1114" s="52" t="n">
        <v>0</v>
      </c>
      <c r="AD1114" s="52" t="n">
        <v>0</v>
      </c>
      <c r="AE1114" s="52" t="n">
        <v>0</v>
      </c>
      <c r="AF1114" s="52" t="n">
        <v>0</v>
      </c>
      <c r="AG1114" s="52" t="n">
        <v>0</v>
      </c>
      <c r="AH1114" s="52" t="n">
        <v>0</v>
      </c>
      <c r="AI1114" s="52" t="n">
        <v>0</v>
      </c>
      <c r="AJ1114" s="52" t="n">
        <v>0</v>
      </c>
      <c r="AK1114" s="52" t="n">
        <v>0</v>
      </c>
      <c r="AL1114" s="52" t="n">
        <v>0</v>
      </c>
      <c r="AM1114" s="53" t="n">
        <v>0</v>
      </c>
      <c r="AN1114" s="53" t="n">
        <v>0</v>
      </c>
      <c r="AO1114" s="53" t="n">
        <v>0</v>
      </c>
      <c r="AP1114" s="53" t="n">
        <v>0</v>
      </c>
      <c r="AQ1114" s="52" t="n">
        <v>0</v>
      </c>
      <c r="AR1114" s="52" t="n">
        <v>0</v>
      </c>
      <c r="AS1114" s="52" t="n">
        <v>0</v>
      </c>
      <c r="AT1114" s="52" t="n">
        <v>0</v>
      </c>
      <c r="AU1114" s="53" t="n">
        <v>0</v>
      </c>
      <c r="AV1114" s="53" t="n">
        <v>0</v>
      </c>
      <c r="AW1114" s="53" t="n">
        <v>0</v>
      </c>
      <c r="AX1114" s="53" t="n">
        <v>0</v>
      </c>
      <c r="AY1114" s="52" t="n">
        <v>0</v>
      </c>
      <c r="AZ1114" s="52" t="n">
        <v>0</v>
      </c>
      <c r="BA1114" s="52" t="n">
        <v>0</v>
      </c>
      <c r="BB1114" s="52" t="n">
        <v>0</v>
      </c>
      <c r="BC1114" s="51" t="n">
        <v>0</v>
      </c>
      <c r="BD1114" s="51" t="n">
        <v>0</v>
      </c>
      <c r="BE1114" s="51" t="n">
        <v>0</v>
      </c>
      <c r="BF1114" s="51" t="n">
        <v>0</v>
      </c>
    </row>
    <row r="1115">
      <c r="A1115">
        <f>HYPERLINK("https://www.walmart.com/ip/655377883", "655377883")</f>
        <v/>
      </c>
      <c r="B1115" t="inlineStr">
        <is>
          <t>Tirrinia Fishing Hiking Hat for Women Safari Sun Hat Wide Brim Camping Hiking Fishing Hunting Boating Safari Cap with Adjustable Drawstring Boonie UPF 50+ Tan</t>
        </is>
      </c>
      <c r="C1115" t="inlineStr">
        <is>
          <t>1TRSH9154TN-TBGM</t>
        </is>
      </c>
      <c r="D1115" t="inlineStr">
        <is>
          <t>Hats</t>
        </is>
      </c>
      <c r="E1115" t="inlineStr">
        <is>
          <t>Sun Blocker</t>
        </is>
      </c>
      <c r="F1115" t="inlineStr">
        <is>
          <t>Batch 1 - TR</t>
        </is>
      </c>
      <c r="G1115" s="48" t="n">
        <v>0</v>
      </c>
      <c r="H1115" s="48" t="n">
        <v>0</v>
      </c>
      <c r="I1115" s="48" t="n">
        <v>0</v>
      </c>
      <c r="J1115" s="48" t="n">
        <v>0</v>
      </c>
      <c r="K1115" s="49" t="n">
        <v>0</v>
      </c>
      <c r="L1115" s="49" t="n">
        <v>0</v>
      </c>
      <c r="M1115" s="49" t="n">
        <v>0</v>
      </c>
      <c r="N1115" s="49" t="n">
        <v>0</v>
      </c>
      <c r="O1115" s="49" t="n">
        <v>0</v>
      </c>
      <c r="P1115" s="49" t="n">
        <v>0</v>
      </c>
      <c r="Q1115" s="49" t="n">
        <v>0</v>
      </c>
      <c r="R1115" s="49" t="n">
        <v>0</v>
      </c>
      <c r="S1115" s="50" t="n">
        <v>0</v>
      </c>
      <c r="T1115" s="50" t="n">
        <v>0</v>
      </c>
      <c r="U1115" s="50" t="n">
        <v>0</v>
      </c>
      <c r="V1115" s="50" t="n">
        <v>0</v>
      </c>
      <c r="W1115" s="51" t="n">
        <v>0</v>
      </c>
      <c r="X1115" s="51" t="n">
        <v>0</v>
      </c>
      <c r="Y1115" s="51" t="n">
        <v>0</v>
      </c>
      <c r="Z1115" s="51" t="n">
        <v>0</v>
      </c>
      <c r="AA1115" s="52" t="n">
        <v>0</v>
      </c>
      <c r="AB1115" s="52" t="n">
        <v>0</v>
      </c>
      <c r="AC1115" s="52" t="n">
        <v>0</v>
      </c>
      <c r="AD1115" s="52" t="n">
        <v>0</v>
      </c>
      <c r="AE1115" s="52" t="n">
        <v>0</v>
      </c>
      <c r="AF1115" s="52" t="n">
        <v>0</v>
      </c>
      <c r="AG1115" s="52" t="n">
        <v>0</v>
      </c>
      <c r="AH1115" s="52" t="n">
        <v>0</v>
      </c>
      <c r="AI1115" s="52" t="n">
        <v>0</v>
      </c>
      <c r="AJ1115" s="52" t="n">
        <v>0</v>
      </c>
      <c r="AK1115" s="52" t="n">
        <v>0</v>
      </c>
      <c r="AL1115" s="52" t="n">
        <v>0</v>
      </c>
      <c r="AM1115" s="53" t="n">
        <v>0</v>
      </c>
      <c r="AN1115" s="53" t="n">
        <v>0</v>
      </c>
      <c r="AO1115" s="53" t="n">
        <v>0</v>
      </c>
      <c r="AP1115" s="53" t="n">
        <v>0</v>
      </c>
      <c r="AQ1115" s="52" t="n">
        <v>0</v>
      </c>
      <c r="AR1115" s="52" t="n">
        <v>0</v>
      </c>
      <c r="AS1115" s="52" t="n">
        <v>0</v>
      </c>
      <c r="AT1115" s="52" t="n">
        <v>0</v>
      </c>
      <c r="AU1115" s="53" t="n">
        <v>0</v>
      </c>
      <c r="AV1115" s="53" t="n">
        <v>0</v>
      </c>
      <c r="AW1115" s="53" t="n">
        <v>0</v>
      </c>
      <c r="AX1115" s="53" t="n">
        <v>0</v>
      </c>
      <c r="AY1115" s="52" t="n">
        <v>0</v>
      </c>
      <c r="AZ1115" s="52" t="n">
        <v>0</v>
      </c>
      <c r="BA1115" s="52" t="n">
        <v>0</v>
      </c>
      <c r="BB1115" s="52" t="n">
        <v>0</v>
      </c>
      <c r="BC1115" s="51" t="n">
        <v>0</v>
      </c>
      <c r="BD1115" s="51" t="n">
        <v>0</v>
      </c>
      <c r="BE1115" s="51" t="n">
        <v>0</v>
      </c>
      <c r="BF1115" s="51" t="n">
        <v>0</v>
      </c>
    </row>
    <row r="1116">
      <c r="A1116">
        <f>HYPERLINK("https://www.walmart.com/ip/655974689", "655974689")</f>
        <v/>
      </c>
      <c r="B1116" t="inlineStr">
        <is>
          <t>Tirrinia Insulated 2 Bottle Wine Carrier Tote Cooler Bag for Travel Picnic Padded Champagne Glass</t>
        </is>
      </c>
      <c r="C1116" t="inlineStr">
        <is>
          <t>1TRWB231CHEETAH</t>
        </is>
      </c>
      <c r="D1116" t="inlineStr">
        <is>
          <t>Wine Totes, Bags &amp; Backpacks</t>
        </is>
      </c>
      <c r="E1116" t="inlineStr">
        <is>
          <t>Tirrinia</t>
        </is>
      </c>
      <c r="F1116" t="inlineStr">
        <is>
          <t>Wine,Christmas,WFS,Valentine,WFS Item</t>
        </is>
      </c>
      <c r="G1116" s="48" t="n">
        <v>0</v>
      </c>
      <c r="H1116" s="48" t="n">
        <v>27.98</v>
      </c>
      <c r="I1116" s="48" t="n">
        <v>0</v>
      </c>
      <c r="J1116" s="48" t="n">
        <v>0</v>
      </c>
      <c r="K1116" s="49" t="n">
        <v>0</v>
      </c>
      <c r="L1116" s="49" t="n">
        <v>1</v>
      </c>
      <c r="M1116" s="49" t="n">
        <v>0</v>
      </c>
      <c r="N1116" s="49" t="n">
        <v>0</v>
      </c>
      <c r="O1116" s="49" t="n">
        <v>0</v>
      </c>
      <c r="P1116" s="49" t="n">
        <v>0</v>
      </c>
      <c r="Q1116" s="49" t="n">
        <v>0</v>
      </c>
      <c r="R1116" s="49" t="n">
        <v>0</v>
      </c>
      <c r="S1116" s="50" t="n">
        <v>0</v>
      </c>
      <c r="T1116" s="50" t="n">
        <v>0</v>
      </c>
      <c r="U1116" s="50" t="n">
        <v>0</v>
      </c>
      <c r="V1116" s="50" t="n">
        <v>0</v>
      </c>
      <c r="W1116" s="51" t="n">
        <v>0</v>
      </c>
      <c r="X1116" s="51" t="n">
        <v>1</v>
      </c>
      <c r="Y1116" s="51" t="n">
        <v>1</v>
      </c>
      <c r="Z1116" s="51" t="n">
        <v>0</v>
      </c>
      <c r="AA1116" s="52" t="n">
        <v>0</v>
      </c>
      <c r="AB1116" s="52" t="n">
        <v>0.4</v>
      </c>
      <c r="AC1116" s="52" t="n">
        <v>0.44</v>
      </c>
      <c r="AD1116" s="52" t="n">
        <v>0</v>
      </c>
      <c r="AE1116" s="52" t="n">
        <v>0</v>
      </c>
      <c r="AF1116" s="52" t="n">
        <v>0</v>
      </c>
      <c r="AG1116" s="52" t="n">
        <v>0</v>
      </c>
      <c r="AH1116" s="52" t="n">
        <v>0</v>
      </c>
      <c r="AI1116" s="52" t="n">
        <v>0</v>
      </c>
      <c r="AJ1116" s="52" t="n">
        <v>0</v>
      </c>
      <c r="AK1116" s="52" t="n">
        <v>0</v>
      </c>
      <c r="AL1116" s="52" t="n">
        <v>0</v>
      </c>
      <c r="AM1116" s="53" t="n">
        <v>0</v>
      </c>
      <c r="AN1116" s="53" t="n">
        <v>0.0026</v>
      </c>
      <c r="AO1116" s="53" t="n">
        <v>0.001</v>
      </c>
      <c r="AP1116" s="53" t="n">
        <v>0</v>
      </c>
      <c r="AQ1116" s="52" t="n">
        <v>0</v>
      </c>
      <c r="AR1116" s="52" t="n">
        <v>0.4</v>
      </c>
      <c r="AS1116" s="52" t="n">
        <v>0.44</v>
      </c>
      <c r="AT1116" s="52" t="n">
        <v>0</v>
      </c>
      <c r="AU1116" s="53" t="n">
        <v>0</v>
      </c>
      <c r="AV1116" s="53" t="n">
        <v>0.01429592566118656</v>
      </c>
      <c r="AW1116" s="53" t="n">
        <v>0</v>
      </c>
      <c r="AX1116" s="53" t="n">
        <v>0</v>
      </c>
      <c r="AY1116" s="52" t="n">
        <v>0</v>
      </c>
      <c r="AZ1116" s="52" t="n">
        <v>27.98</v>
      </c>
      <c r="BA1116" s="52" t="n">
        <v>0</v>
      </c>
      <c r="BB1116" s="52" t="n">
        <v>0</v>
      </c>
      <c r="BC1116" s="51" t="n">
        <v>0</v>
      </c>
      <c r="BD1116" s="51" t="n">
        <v>390</v>
      </c>
      <c r="BE1116" s="51" t="n">
        <v>1043</v>
      </c>
      <c r="BF1116" s="51" t="n">
        <v>490</v>
      </c>
    </row>
    <row r="1117">
      <c r="A1117">
        <f>HYPERLINK("https://www.walmart.com/ip/689089955", "689089955")</f>
        <v/>
      </c>
      <c r="B1117" t="inlineStr">
        <is>
          <t>Catalonia Beach Changing Poncho Towel with Hood, Super Absorbent Microfiber Swim Robe for Men Women Surfing Bath Shower Pool, Quick Drying, Grey</t>
        </is>
      </c>
      <c r="C1117" t="inlineStr">
        <is>
          <t>1CTBR100-GY-ES</t>
        </is>
      </c>
      <c r="D1117" t="inlineStr">
        <is>
          <t>default</t>
        </is>
      </c>
      <c r="E1117" t="inlineStr">
        <is>
          <t>Catalonia</t>
        </is>
      </c>
      <c r="F1117" t="inlineStr">
        <is>
          <t>Optimized</t>
        </is>
      </c>
      <c r="G1117" s="48" t="n">
        <v>0</v>
      </c>
      <c r="H1117" s="48" t="n">
        <v>0</v>
      </c>
      <c r="I1117" s="48" t="n">
        <v>0</v>
      </c>
      <c r="J1117" s="48" t="n">
        <v>0</v>
      </c>
      <c r="K1117" s="49" t="n">
        <v>0</v>
      </c>
      <c r="L1117" s="49" t="n">
        <v>0</v>
      </c>
      <c r="M1117" s="49" t="n">
        <v>0</v>
      </c>
      <c r="N1117" s="49" t="n">
        <v>0</v>
      </c>
      <c r="O1117" s="49" t="n">
        <v>0</v>
      </c>
      <c r="P1117" s="49" t="n">
        <v>0</v>
      </c>
      <c r="Q1117" s="49" t="n">
        <v>0</v>
      </c>
      <c r="R1117" s="49" t="n">
        <v>0</v>
      </c>
      <c r="S1117" s="50" t="n">
        <v>0</v>
      </c>
      <c r="T1117" s="50" t="n">
        <v>0</v>
      </c>
      <c r="U1117" s="50" t="n">
        <v>0</v>
      </c>
      <c r="V1117" s="50" t="n">
        <v>0</v>
      </c>
      <c r="W1117" s="51" t="n">
        <v>0</v>
      </c>
      <c r="X1117" s="51" t="n">
        <v>0</v>
      </c>
      <c r="Y1117" s="51" t="n">
        <v>0</v>
      </c>
      <c r="Z1117" s="51" t="n">
        <v>0</v>
      </c>
      <c r="AA1117" s="52" t="n">
        <v>0</v>
      </c>
      <c r="AB1117" s="52" t="n">
        <v>0</v>
      </c>
      <c r="AC1117" s="52" t="n">
        <v>0</v>
      </c>
      <c r="AD1117" s="52" t="n">
        <v>0</v>
      </c>
      <c r="AE1117" s="52" t="n">
        <v>0</v>
      </c>
      <c r="AF1117" s="52" t="n">
        <v>0</v>
      </c>
      <c r="AG1117" s="52" t="n">
        <v>0</v>
      </c>
      <c r="AH1117" s="52" t="n">
        <v>0</v>
      </c>
      <c r="AI1117" s="52" t="n">
        <v>0</v>
      </c>
      <c r="AJ1117" s="52" t="n">
        <v>0</v>
      </c>
      <c r="AK1117" s="52" t="n">
        <v>0</v>
      </c>
      <c r="AL1117" s="52" t="n">
        <v>0</v>
      </c>
      <c r="AM1117" s="53" t="n">
        <v>0</v>
      </c>
      <c r="AN1117" s="53" t="n">
        <v>0</v>
      </c>
      <c r="AO1117" s="53" t="n">
        <v>0</v>
      </c>
      <c r="AP1117" s="53" t="n">
        <v>0</v>
      </c>
      <c r="AQ1117" s="52" t="n">
        <v>0</v>
      </c>
      <c r="AR1117" s="52" t="n">
        <v>0</v>
      </c>
      <c r="AS1117" s="52" t="n">
        <v>0</v>
      </c>
      <c r="AT1117" s="52" t="n">
        <v>0</v>
      </c>
      <c r="AU1117" s="53" t="n">
        <v>0</v>
      </c>
      <c r="AV1117" s="53" t="n">
        <v>0</v>
      </c>
      <c r="AW1117" s="53" t="n">
        <v>0</v>
      </c>
      <c r="AX1117" s="53" t="n">
        <v>0</v>
      </c>
      <c r="AY1117" s="52" t="n">
        <v>0</v>
      </c>
      <c r="AZ1117" s="52" t="n">
        <v>0</v>
      </c>
      <c r="BA1117" s="52" t="n">
        <v>0</v>
      </c>
      <c r="BB1117" s="52" t="n">
        <v>0</v>
      </c>
      <c r="BC1117" s="51" t="n">
        <v>0</v>
      </c>
      <c r="BD1117" s="51" t="n">
        <v>0</v>
      </c>
      <c r="BE1117" s="51" t="n">
        <v>0</v>
      </c>
      <c r="BF1117" s="51" t="n">
        <v>0</v>
      </c>
    </row>
    <row r="1118">
      <c r="A1118">
        <f>HYPERLINK("https://www.walmart.com/ip/671813265", "671813265")</f>
        <v/>
      </c>
      <c r="B1118" t="inlineStr">
        <is>
          <t>Microplush Sherpa Blanket with Sleeves for Women and Men</t>
        </is>
      </c>
      <c r="C1118" t="inlineStr">
        <is>
          <t>1TNSN110P2GN-TPB</t>
        </is>
      </c>
      <c r="D1118" t="inlineStr">
        <is>
          <t>Throws</t>
        </is>
      </c>
      <c r="E1118" t="inlineStr">
        <is>
          <t>Terrania</t>
        </is>
      </c>
      <c r="F1118" t="inlineStr">
        <is>
          <t>Optimized,ST Patrick Day</t>
        </is>
      </c>
      <c r="G1118" s="48" t="n">
        <v>0</v>
      </c>
      <c r="H1118" s="48" t="n">
        <v>0</v>
      </c>
      <c r="I1118" s="48" t="n">
        <v>0</v>
      </c>
      <c r="J1118" s="48" t="n">
        <v>0</v>
      </c>
      <c r="K1118" s="49" t="n">
        <v>0</v>
      </c>
      <c r="L1118" s="49" t="n">
        <v>0</v>
      </c>
      <c r="M1118" s="49" t="n">
        <v>0</v>
      </c>
      <c r="N1118" s="49" t="n">
        <v>0</v>
      </c>
      <c r="O1118" s="49" t="n">
        <v>0</v>
      </c>
      <c r="P1118" s="49" t="n">
        <v>0</v>
      </c>
      <c r="Q1118" s="49" t="n">
        <v>0</v>
      </c>
      <c r="R1118" s="49" t="n">
        <v>0</v>
      </c>
      <c r="S1118" s="50" t="n">
        <v>0</v>
      </c>
      <c r="T1118" s="50" t="n">
        <v>0</v>
      </c>
      <c r="U1118" s="50" t="n">
        <v>0</v>
      </c>
      <c r="V1118" s="50" t="n">
        <v>0</v>
      </c>
      <c r="W1118" s="51" t="n">
        <v>0</v>
      </c>
      <c r="X1118" s="51" t="n">
        <v>0</v>
      </c>
      <c r="Y1118" s="51" t="n">
        <v>0</v>
      </c>
      <c r="Z1118" s="51" t="n">
        <v>0</v>
      </c>
      <c r="AA1118" s="52" t="n">
        <v>0</v>
      </c>
      <c r="AB1118" s="52" t="n">
        <v>0</v>
      </c>
      <c r="AC1118" s="52" t="n">
        <v>0</v>
      </c>
      <c r="AD1118" s="52" t="n">
        <v>0</v>
      </c>
      <c r="AE1118" s="52" t="n">
        <v>0</v>
      </c>
      <c r="AF1118" s="52" t="n">
        <v>0</v>
      </c>
      <c r="AG1118" s="52" t="n">
        <v>0</v>
      </c>
      <c r="AH1118" s="52" t="n">
        <v>0</v>
      </c>
      <c r="AI1118" s="52" t="n">
        <v>0</v>
      </c>
      <c r="AJ1118" s="52" t="n">
        <v>0</v>
      </c>
      <c r="AK1118" s="52" t="n">
        <v>0</v>
      </c>
      <c r="AL1118" s="52" t="n">
        <v>0</v>
      </c>
      <c r="AM1118" s="53" t="n">
        <v>0</v>
      </c>
      <c r="AN1118" s="53" t="n">
        <v>0</v>
      </c>
      <c r="AO1118" s="53" t="n">
        <v>0</v>
      </c>
      <c r="AP1118" s="53" t="n">
        <v>0</v>
      </c>
      <c r="AQ1118" s="52" t="n">
        <v>0</v>
      </c>
      <c r="AR1118" s="52" t="n">
        <v>0</v>
      </c>
      <c r="AS1118" s="52" t="n">
        <v>0</v>
      </c>
      <c r="AT1118" s="52" t="n">
        <v>0</v>
      </c>
      <c r="AU1118" s="53" t="n">
        <v>0</v>
      </c>
      <c r="AV1118" s="53" t="n">
        <v>0</v>
      </c>
      <c r="AW1118" s="53" t="n">
        <v>0</v>
      </c>
      <c r="AX1118" s="53" t="n">
        <v>0</v>
      </c>
      <c r="AY1118" s="52" t="n">
        <v>0</v>
      </c>
      <c r="AZ1118" s="52" t="n">
        <v>0</v>
      </c>
      <c r="BA1118" s="52" t="n">
        <v>0</v>
      </c>
      <c r="BB1118" s="52" t="n">
        <v>0</v>
      </c>
      <c r="BC1118" s="51" t="n">
        <v>0</v>
      </c>
      <c r="BD1118" s="51" t="n">
        <v>0</v>
      </c>
      <c r="BE1118" s="51" t="n">
        <v>0</v>
      </c>
      <c r="BF1118" s="51" t="n">
        <v>0</v>
      </c>
    </row>
    <row r="1119">
      <c r="A1119">
        <f>HYPERLINK("https://www.walmart.com/ip/673271822", "673271822")</f>
        <v/>
      </c>
      <c r="B1119" t="inlineStr">
        <is>
          <t>Terra Youth Reflective Knit Hat High Visibility Cold Weather Running Beanie Cool</t>
        </is>
      </c>
      <c r="C1119" t="inlineStr">
        <is>
          <t>TERRABN01-PP</t>
        </is>
      </c>
      <c r="D1119" t="inlineStr">
        <is>
          <t>Hats</t>
        </is>
      </c>
      <c r="E1119" t="inlineStr">
        <is>
          <t>Terra</t>
        </is>
      </c>
      <c r="G1119" s="48" t="n">
        <v>0</v>
      </c>
      <c r="H1119" s="48" t="n">
        <v>0</v>
      </c>
      <c r="I1119" s="48" t="n">
        <v>0</v>
      </c>
      <c r="J1119" s="48" t="n">
        <v>0</v>
      </c>
      <c r="K1119" s="49" t="n">
        <v>0</v>
      </c>
      <c r="L1119" s="49" t="n">
        <v>0</v>
      </c>
      <c r="M1119" s="49" t="n">
        <v>0</v>
      </c>
      <c r="N1119" s="49" t="n">
        <v>0</v>
      </c>
      <c r="O1119" s="49" t="n">
        <v>0</v>
      </c>
      <c r="P1119" s="49" t="n">
        <v>0</v>
      </c>
      <c r="Q1119" s="49" t="n">
        <v>0</v>
      </c>
      <c r="R1119" s="49" t="n">
        <v>0</v>
      </c>
      <c r="S1119" s="50" t="n">
        <v>0</v>
      </c>
      <c r="T1119" s="50" t="n">
        <v>0</v>
      </c>
      <c r="U1119" s="50" t="n">
        <v>0</v>
      </c>
      <c r="V1119" s="50" t="n">
        <v>0</v>
      </c>
      <c r="W1119" s="51" t="n">
        <v>0</v>
      </c>
      <c r="X1119" s="51" t="n">
        <v>0</v>
      </c>
      <c r="Y1119" s="51" t="n">
        <v>0</v>
      </c>
      <c r="Z1119" s="51" t="n">
        <v>0</v>
      </c>
      <c r="AA1119" s="52" t="n">
        <v>0</v>
      </c>
      <c r="AB1119" s="52" t="n">
        <v>0</v>
      </c>
      <c r="AC1119" s="52" t="n">
        <v>0</v>
      </c>
      <c r="AD1119" s="52" t="n">
        <v>0</v>
      </c>
      <c r="AE1119" s="52" t="n">
        <v>0</v>
      </c>
      <c r="AF1119" s="52" t="n">
        <v>0</v>
      </c>
      <c r="AG1119" s="52" t="n">
        <v>0</v>
      </c>
      <c r="AH1119" s="52" t="n">
        <v>0</v>
      </c>
      <c r="AI1119" s="52" t="n">
        <v>0</v>
      </c>
      <c r="AJ1119" s="52" t="n">
        <v>0</v>
      </c>
      <c r="AK1119" s="52" t="n">
        <v>0</v>
      </c>
      <c r="AL1119" s="52" t="n">
        <v>0</v>
      </c>
      <c r="AM1119" s="53" t="n">
        <v>0</v>
      </c>
      <c r="AN1119" s="53" t="n">
        <v>0</v>
      </c>
      <c r="AO1119" s="53" t="n">
        <v>0</v>
      </c>
      <c r="AP1119" s="53" t="n">
        <v>0</v>
      </c>
      <c r="AQ1119" s="52" t="n">
        <v>0</v>
      </c>
      <c r="AR1119" s="52" t="n">
        <v>0</v>
      </c>
      <c r="AS1119" s="52" t="n">
        <v>0</v>
      </c>
      <c r="AT1119" s="52" t="n">
        <v>0</v>
      </c>
      <c r="AU1119" s="53" t="n">
        <v>0</v>
      </c>
      <c r="AV1119" s="53" t="n">
        <v>0</v>
      </c>
      <c r="AW1119" s="53" t="n">
        <v>0</v>
      </c>
      <c r="AX1119" s="53" t="n">
        <v>0</v>
      </c>
      <c r="AY1119" s="52" t="n">
        <v>0</v>
      </c>
      <c r="AZ1119" s="52" t="n">
        <v>0</v>
      </c>
      <c r="BA1119" s="52" t="n">
        <v>0</v>
      </c>
      <c r="BB1119" s="52" t="n">
        <v>0</v>
      </c>
      <c r="BC1119" s="51" t="n">
        <v>0</v>
      </c>
      <c r="BD1119" s="51" t="n">
        <v>0</v>
      </c>
      <c r="BE1119" s="51" t="n">
        <v>0</v>
      </c>
      <c r="BF1119" s="51" t="n">
        <v>0</v>
      </c>
    </row>
    <row r="1120">
      <c r="A1120">
        <f>HYPERLINK("https://www.walmart.com/ip/675588239", "675588239")</f>
        <v/>
      </c>
      <c r="B1120" t="inlineStr">
        <is>
          <t>Napa Plush  Throw Blanket Light Grey, Twin 60"x90", Striped Reversible Velvet Luxury Fleece Warm Bed Couch Blanket, Super Soft and Cozy</t>
        </is>
      </c>
      <c r="C1120" t="inlineStr">
        <is>
          <t>K8030TW-LGY</t>
        </is>
      </c>
      <c r="D1120" t="inlineStr">
        <is>
          <t>Throws</t>
        </is>
      </c>
      <c r="E1120" t="inlineStr">
        <is>
          <t>NAPA</t>
        </is>
      </c>
      <c r="F1120" t="inlineStr">
        <is>
          <t>Optimized</t>
        </is>
      </c>
      <c r="G1120" s="48" t="n">
        <v>0</v>
      </c>
      <c r="H1120" s="48" t="n">
        <v>0</v>
      </c>
      <c r="I1120" s="48" t="n">
        <v>0</v>
      </c>
      <c r="J1120" s="48" t="n">
        <v>0</v>
      </c>
      <c r="K1120" s="49" t="n">
        <v>0</v>
      </c>
      <c r="L1120" s="49" t="n">
        <v>0</v>
      </c>
      <c r="M1120" s="49" t="n">
        <v>0</v>
      </c>
      <c r="N1120" s="49" t="n">
        <v>0</v>
      </c>
      <c r="O1120" s="49" t="n">
        <v>0</v>
      </c>
      <c r="P1120" s="49" t="n">
        <v>0</v>
      </c>
      <c r="Q1120" s="49" t="n">
        <v>0</v>
      </c>
      <c r="R1120" s="49" t="n">
        <v>0</v>
      </c>
      <c r="S1120" s="50" t="n">
        <v>0</v>
      </c>
      <c r="T1120" s="50" t="n">
        <v>0</v>
      </c>
      <c r="U1120" s="50" t="n">
        <v>0</v>
      </c>
      <c r="V1120" s="50" t="n">
        <v>0</v>
      </c>
      <c r="W1120" s="51" t="n">
        <v>0</v>
      </c>
      <c r="X1120" s="51" t="n">
        <v>0</v>
      </c>
      <c r="Y1120" s="51" t="n">
        <v>0</v>
      </c>
      <c r="Z1120" s="51" t="n">
        <v>0</v>
      </c>
      <c r="AA1120" s="52" t="n">
        <v>0</v>
      </c>
      <c r="AB1120" s="52" t="n">
        <v>0</v>
      </c>
      <c r="AC1120" s="52" t="n">
        <v>0</v>
      </c>
      <c r="AD1120" s="52" t="n">
        <v>0</v>
      </c>
      <c r="AE1120" s="52" t="n">
        <v>0</v>
      </c>
      <c r="AF1120" s="52" t="n">
        <v>0</v>
      </c>
      <c r="AG1120" s="52" t="n">
        <v>0</v>
      </c>
      <c r="AH1120" s="52" t="n">
        <v>0</v>
      </c>
      <c r="AI1120" s="52" t="n">
        <v>0</v>
      </c>
      <c r="AJ1120" s="52" t="n">
        <v>0</v>
      </c>
      <c r="AK1120" s="52" t="n">
        <v>0</v>
      </c>
      <c r="AL1120" s="52" t="n">
        <v>0</v>
      </c>
      <c r="AM1120" s="53" t="n">
        <v>0</v>
      </c>
      <c r="AN1120" s="53" t="n">
        <v>0</v>
      </c>
      <c r="AO1120" s="53" t="n">
        <v>0</v>
      </c>
      <c r="AP1120" s="53" t="n">
        <v>0</v>
      </c>
      <c r="AQ1120" s="52" t="n">
        <v>0</v>
      </c>
      <c r="AR1120" s="52" t="n">
        <v>0</v>
      </c>
      <c r="AS1120" s="52" t="n">
        <v>0</v>
      </c>
      <c r="AT1120" s="52" t="n">
        <v>0</v>
      </c>
      <c r="AU1120" s="53" t="n">
        <v>0</v>
      </c>
      <c r="AV1120" s="53" t="n">
        <v>0</v>
      </c>
      <c r="AW1120" s="53" t="n">
        <v>0</v>
      </c>
      <c r="AX1120" s="53" t="n">
        <v>0</v>
      </c>
      <c r="AY1120" s="52" t="n">
        <v>0</v>
      </c>
      <c r="AZ1120" s="52" t="n">
        <v>0</v>
      </c>
      <c r="BA1120" s="52" t="n">
        <v>0</v>
      </c>
      <c r="BB1120" s="52" t="n">
        <v>0</v>
      </c>
      <c r="BC1120" s="51" t="n">
        <v>0</v>
      </c>
      <c r="BD1120" s="51" t="n">
        <v>0</v>
      </c>
      <c r="BE1120" s="51" t="n">
        <v>0</v>
      </c>
      <c r="BF1120" s="51" t="n">
        <v>0</v>
      </c>
    </row>
    <row r="1121">
      <c r="A1121">
        <f>HYPERLINK("https://www.walmart.com/ip/677316411", "677316411")</f>
        <v/>
      </c>
      <c r="B1121" t="inlineStr">
        <is>
          <t>Tirrinia Buffalo Plaid Fleece Blanket, Super Soft Warm Comfy Flannel Fleece for Bedding, Couch Cabin Throw, Decorative Blanket, Plaid Red, 50" x 60"</t>
        </is>
      </c>
      <c r="C1121" t="inlineStr">
        <is>
          <t>1TRBF576PRD</t>
        </is>
      </c>
      <c r="D1121" t="inlineStr">
        <is>
          <t>Throws</t>
        </is>
      </c>
      <c r="E1121" t="inlineStr">
        <is>
          <t>Tirrinia</t>
        </is>
      </c>
      <c r="F1121" t="inlineStr">
        <is>
          <t>Q2-Target,WFS,Coupon_Discount,WFS Item,Fleece Blankets</t>
        </is>
      </c>
      <c r="G1121" s="48" t="n">
        <v>0</v>
      </c>
      <c r="H1121" s="48" t="n">
        <v>0</v>
      </c>
      <c r="I1121" s="48" t="n">
        <v>0</v>
      </c>
      <c r="J1121" s="48" t="n">
        <v>0</v>
      </c>
      <c r="K1121" s="49" t="n">
        <v>0</v>
      </c>
      <c r="L1121" s="49" t="n">
        <v>0</v>
      </c>
      <c r="M1121" s="49" t="n">
        <v>0</v>
      </c>
      <c r="N1121" s="49" t="n">
        <v>0</v>
      </c>
      <c r="O1121" s="49" t="n">
        <v>0</v>
      </c>
      <c r="P1121" s="49" t="n">
        <v>0</v>
      </c>
      <c r="Q1121" s="49" t="n">
        <v>0</v>
      </c>
      <c r="R1121" s="49" t="n">
        <v>0</v>
      </c>
      <c r="S1121" s="50" t="n">
        <v>0</v>
      </c>
      <c r="T1121" s="50" t="n">
        <v>0</v>
      </c>
      <c r="U1121" s="50" t="n">
        <v>0</v>
      </c>
      <c r="V1121" s="50" t="n">
        <v>0</v>
      </c>
      <c r="W1121" s="51" t="n">
        <v>0</v>
      </c>
      <c r="X1121" s="51" t="n">
        <v>0</v>
      </c>
      <c r="Y1121" s="51" t="n">
        <v>0</v>
      </c>
      <c r="Z1121" s="51" t="n">
        <v>0</v>
      </c>
      <c r="AA1121" s="52" t="n">
        <v>0</v>
      </c>
      <c r="AB1121" s="52" t="n">
        <v>0</v>
      </c>
      <c r="AC1121" s="52" t="n">
        <v>0</v>
      </c>
      <c r="AD1121" s="52" t="n">
        <v>0</v>
      </c>
      <c r="AE1121" s="52" t="n">
        <v>0</v>
      </c>
      <c r="AF1121" s="52" t="n">
        <v>0</v>
      </c>
      <c r="AG1121" s="52" t="n">
        <v>0</v>
      </c>
      <c r="AH1121" s="52" t="n">
        <v>0</v>
      </c>
      <c r="AI1121" s="52" t="n">
        <v>0</v>
      </c>
      <c r="AJ1121" s="52" t="n">
        <v>0</v>
      </c>
      <c r="AK1121" s="52" t="n">
        <v>0</v>
      </c>
      <c r="AL1121" s="52" t="n">
        <v>0</v>
      </c>
      <c r="AM1121" s="53" t="n">
        <v>0</v>
      </c>
      <c r="AN1121" s="53" t="n">
        <v>0</v>
      </c>
      <c r="AO1121" s="53" t="n">
        <v>0</v>
      </c>
      <c r="AP1121" s="53" t="n">
        <v>0</v>
      </c>
      <c r="AQ1121" s="52" t="n">
        <v>0</v>
      </c>
      <c r="AR1121" s="52" t="n">
        <v>0</v>
      </c>
      <c r="AS1121" s="52" t="n">
        <v>0</v>
      </c>
      <c r="AT1121" s="52" t="n">
        <v>0</v>
      </c>
      <c r="AU1121" s="53" t="n">
        <v>0</v>
      </c>
      <c r="AV1121" s="53" t="n">
        <v>0</v>
      </c>
      <c r="AW1121" s="53" t="n">
        <v>0</v>
      </c>
      <c r="AX1121" s="53" t="n">
        <v>0</v>
      </c>
      <c r="AY1121" s="52" t="n">
        <v>0</v>
      </c>
      <c r="AZ1121" s="52" t="n">
        <v>0</v>
      </c>
      <c r="BA1121" s="52" t="n">
        <v>0</v>
      </c>
      <c r="BB1121" s="52" t="n">
        <v>0</v>
      </c>
      <c r="BC1121" s="51" t="n">
        <v>0</v>
      </c>
      <c r="BD1121" s="51" t="n">
        <v>0</v>
      </c>
      <c r="BE1121" s="51" t="n">
        <v>0</v>
      </c>
      <c r="BF1121" s="51" t="n">
        <v>0</v>
      </c>
    </row>
    <row r="1122">
      <c r="A1122">
        <f>HYPERLINK("https://www.walmart.com/ip/677328308", "677328308")</f>
        <v/>
      </c>
      <c r="B1122" t="inlineStr">
        <is>
          <t>KC Caps® Cotton Twill Unconstructed Hat Velcro Closure Casual Trucker Cap</t>
        </is>
      </c>
      <c r="C1122" t="inlineStr">
        <is>
          <t>KC Caps 8321 Camo Green</t>
        </is>
      </c>
      <c r="D1122" t="inlineStr">
        <is>
          <t>Hats</t>
        </is>
      </c>
      <c r="E1122" t="inlineStr">
        <is>
          <t>KC Caps</t>
        </is>
      </c>
      <c r="F1122" t="inlineStr">
        <is>
          <t>Optimized,ST Patrick Day</t>
        </is>
      </c>
      <c r="G1122" s="48" t="n">
        <v>0</v>
      </c>
      <c r="H1122" s="48" t="n">
        <v>0</v>
      </c>
      <c r="I1122" s="48" t="n">
        <v>0</v>
      </c>
      <c r="J1122" s="48" t="n">
        <v>0</v>
      </c>
      <c r="K1122" s="49" t="n">
        <v>0</v>
      </c>
      <c r="L1122" s="49" t="n">
        <v>0</v>
      </c>
      <c r="M1122" s="49" t="n">
        <v>0</v>
      </c>
      <c r="N1122" s="49" t="n">
        <v>0</v>
      </c>
      <c r="O1122" s="49" t="n">
        <v>0</v>
      </c>
      <c r="P1122" s="49" t="n">
        <v>0</v>
      </c>
      <c r="Q1122" s="49" t="n">
        <v>0</v>
      </c>
      <c r="R1122" s="49" t="n">
        <v>0</v>
      </c>
      <c r="S1122" s="50" t="n">
        <v>0</v>
      </c>
      <c r="T1122" s="50" t="n">
        <v>0</v>
      </c>
      <c r="U1122" s="50" t="n">
        <v>0</v>
      </c>
      <c r="V1122" s="50" t="n">
        <v>0</v>
      </c>
      <c r="W1122" s="51" t="n">
        <v>0</v>
      </c>
      <c r="X1122" s="51" t="n">
        <v>0</v>
      </c>
      <c r="Y1122" s="51" t="n">
        <v>0</v>
      </c>
      <c r="Z1122" s="51" t="n">
        <v>0</v>
      </c>
      <c r="AA1122" s="52" t="n">
        <v>0</v>
      </c>
      <c r="AB1122" s="52" t="n">
        <v>0</v>
      </c>
      <c r="AC1122" s="52" t="n">
        <v>0</v>
      </c>
      <c r="AD1122" s="52" t="n">
        <v>0</v>
      </c>
      <c r="AE1122" s="52" t="n">
        <v>0</v>
      </c>
      <c r="AF1122" s="52" t="n">
        <v>0</v>
      </c>
      <c r="AG1122" s="52" t="n">
        <v>0</v>
      </c>
      <c r="AH1122" s="52" t="n">
        <v>0</v>
      </c>
      <c r="AI1122" s="52" t="n">
        <v>0</v>
      </c>
      <c r="AJ1122" s="52" t="n">
        <v>0</v>
      </c>
      <c r="AK1122" s="52" t="n">
        <v>0</v>
      </c>
      <c r="AL1122" s="52" t="n">
        <v>0</v>
      </c>
      <c r="AM1122" s="53" t="n">
        <v>0</v>
      </c>
      <c r="AN1122" s="53" t="n">
        <v>0</v>
      </c>
      <c r="AO1122" s="53" t="n">
        <v>0</v>
      </c>
      <c r="AP1122" s="53" t="n">
        <v>0</v>
      </c>
      <c r="AQ1122" s="52" t="n">
        <v>0</v>
      </c>
      <c r="AR1122" s="52" t="n">
        <v>0</v>
      </c>
      <c r="AS1122" s="52" t="n">
        <v>0</v>
      </c>
      <c r="AT1122" s="52" t="n">
        <v>0</v>
      </c>
      <c r="AU1122" s="53" t="n">
        <v>0</v>
      </c>
      <c r="AV1122" s="53" t="n">
        <v>0</v>
      </c>
      <c r="AW1122" s="53" t="n">
        <v>0</v>
      </c>
      <c r="AX1122" s="53" t="n">
        <v>0</v>
      </c>
      <c r="AY1122" s="52" t="n">
        <v>0</v>
      </c>
      <c r="AZ1122" s="52" t="n">
        <v>0</v>
      </c>
      <c r="BA1122" s="52" t="n">
        <v>0</v>
      </c>
      <c r="BB1122" s="52" t="n">
        <v>0</v>
      </c>
      <c r="BC1122" s="51" t="n">
        <v>0</v>
      </c>
      <c r="BD1122" s="51" t="n">
        <v>0</v>
      </c>
      <c r="BE1122" s="51" t="n">
        <v>0</v>
      </c>
      <c r="BF1122" s="51" t="n">
        <v>0</v>
      </c>
    </row>
    <row r="1123">
      <c r="A1123">
        <f>HYPERLINK("https://www.walmart.com/ip/677404672", "677404672")</f>
        <v/>
      </c>
      <c r="B1123" t="inlineStr">
        <is>
          <t>Long Kinky Curly Wig Lace Front,Synthetic Fiber Deep Wave Afro Hair Replacement Wig 19 Inch</t>
        </is>
      </c>
      <c r="C1123" t="inlineStr">
        <is>
          <t>1CTWIG001-1B-ESCB</t>
        </is>
      </c>
      <c r="D1123" t="inlineStr">
        <is>
          <t>Wigs &amp; Toupees</t>
        </is>
      </c>
      <c r="E1123" t="inlineStr">
        <is>
          <t>Catalonia</t>
        </is>
      </c>
      <c r="G1123" s="48" t="n">
        <v>0</v>
      </c>
      <c r="H1123" s="48" t="n">
        <v>0</v>
      </c>
      <c r="I1123" s="48" t="n">
        <v>0</v>
      </c>
      <c r="J1123" s="48" t="n">
        <v>0</v>
      </c>
      <c r="K1123" s="49" t="n">
        <v>0</v>
      </c>
      <c r="L1123" s="49" t="n">
        <v>0</v>
      </c>
      <c r="M1123" s="49" t="n">
        <v>0</v>
      </c>
      <c r="N1123" s="49" t="n">
        <v>0</v>
      </c>
      <c r="O1123" s="49" t="n">
        <v>0</v>
      </c>
      <c r="P1123" s="49" t="n">
        <v>0</v>
      </c>
      <c r="Q1123" s="49" t="n">
        <v>0</v>
      </c>
      <c r="R1123" s="49" t="n">
        <v>0</v>
      </c>
      <c r="S1123" s="50" t="n">
        <v>0</v>
      </c>
      <c r="T1123" s="50" t="n">
        <v>0</v>
      </c>
      <c r="U1123" s="50" t="n">
        <v>0</v>
      </c>
      <c r="V1123" s="50" t="n">
        <v>0</v>
      </c>
      <c r="W1123" s="51" t="n">
        <v>0</v>
      </c>
      <c r="X1123" s="51" t="n">
        <v>0</v>
      </c>
      <c r="Y1123" s="51" t="n">
        <v>0</v>
      </c>
      <c r="Z1123" s="51" t="n">
        <v>0</v>
      </c>
      <c r="AA1123" s="52" t="n">
        <v>0</v>
      </c>
      <c r="AB1123" s="52" t="n">
        <v>0</v>
      </c>
      <c r="AC1123" s="52" t="n">
        <v>0</v>
      </c>
      <c r="AD1123" s="52" t="n">
        <v>0</v>
      </c>
      <c r="AE1123" s="52" t="n">
        <v>0</v>
      </c>
      <c r="AF1123" s="52" t="n">
        <v>0</v>
      </c>
      <c r="AG1123" s="52" t="n">
        <v>0</v>
      </c>
      <c r="AH1123" s="52" t="n">
        <v>0</v>
      </c>
      <c r="AI1123" s="52" t="n">
        <v>0</v>
      </c>
      <c r="AJ1123" s="52" t="n">
        <v>0</v>
      </c>
      <c r="AK1123" s="52" t="n">
        <v>0</v>
      </c>
      <c r="AL1123" s="52" t="n">
        <v>0</v>
      </c>
      <c r="AM1123" s="53" t="n">
        <v>0</v>
      </c>
      <c r="AN1123" s="53" t="n">
        <v>0</v>
      </c>
      <c r="AO1123" s="53" t="n">
        <v>0</v>
      </c>
      <c r="AP1123" s="53" t="n">
        <v>0</v>
      </c>
      <c r="AQ1123" s="52" t="n">
        <v>0</v>
      </c>
      <c r="AR1123" s="52" t="n">
        <v>0</v>
      </c>
      <c r="AS1123" s="52" t="n">
        <v>0</v>
      </c>
      <c r="AT1123" s="52" t="n">
        <v>0</v>
      </c>
      <c r="AU1123" s="53" t="n">
        <v>0</v>
      </c>
      <c r="AV1123" s="53" t="n">
        <v>0</v>
      </c>
      <c r="AW1123" s="53" t="n">
        <v>0</v>
      </c>
      <c r="AX1123" s="53" t="n">
        <v>0</v>
      </c>
      <c r="AY1123" s="52" t="n">
        <v>0</v>
      </c>
      <c r="AZ1123" s="52" t="n">
        <v>0</v>
      </c>
      <c r="BA1123" s="52" t="n">
        <v>0</v>
      </c>
      <c r="BB1123" s="52" t="n">
        <v>0</v>
      </c>
      <c r="BC1123" s="51" t="n">
        <v>0</v>
      </c>
      <c r="BD1123" s="51" t="n">
        <v>0</v>
      </c>
      <c r="BE1123" s="51" t="n">
        <v>0</v>
      </c>
      <c r="BF1123" s="51" t="n">
        <v>0</v>
      </c>
    </row>
    <row r="1124">
      <c r="A1124">
        <f>HYPERLINK("https://www.walmart.com/ip/677566457", "677566457")</f>
        <v/>
      </c>
      <c r="B1124" t="inlineStr">
        <is>
          <t>Catalonia Wearable Blanket with Sleeves and Pocket, Cozy Soft Fleece Micro Plush Wrap Adult Blanket Robe for Women Men, Makes a Great Gift for Holidays, Latte</t>
        </is>
      </c>
      <c r="C1124" t="inlineStr">
        <is>
          <t>1CTSN100LT</t>
        </is>
      </c>
      <c r="D1124" t="inlineStr">
        <is>
          <t>Throws</t>
        </is>
      </c>
      <c r="E1124" t="inlineStr">
        <is>
          <t>Catalonia</t>
        </is>
      </c>
      <c r="F1124" t="inlineStr">
        <is>
          <t>Coupon_Discount,Batch 1 - TR</t>
        </is>
      </c>
      <c r="G1124" s="48" t="n">
        <v>0</v>
      </c>
      <c r="H1124" s="48" t="n">
        <v>0</v>
      </c>
      <c r="I1124" s="48" t="n">
        <v>0</v>
      </c>
      <c r="J1124" s="48" t="n">
        <v>0</v>
      </c>
      <c r="K1124" s="49" t="n">
        <v>0</v>
      </c>
      <c r="L1124" s="49" t="n">
        <v>0</v>
      </c>
      <c r="M1124" s="49" t="n">
        <v>0</v>
      </c>
      <c r="N1124" s="49" t="n">
        <v>0</v>
      </c>
      <c r="O1124" s="49" t="n">
        <v>0</v>
      </c>
      <c r="P1124" s="49" t="n">
        <v>0</v>
      </c>
      <c r="Q1124" s="49" t="n">
        <v>0</v>
      </c>
      <c r="R1124" s="49" t="n">
        <v>0</v>
      </c>
      <c r="S1124" s="50" t="n">
        <v>0</v>
      </c>
      <c r="T1124" s="50" t="n">
        <v>0</v>
      </c>
      <c r="U1124" s="50" t="n">
        <v>0</v>
      </c>
      <c r="V1124" s="50" t="n">
        <v>0</v>
      </c>
      <c r="W1124" s="51" t="n">
        <v>0</v>
      </c>
      <c r="X1124" s="51" t="n">
        <v>0</v>
      </c>
      <c r="Y1124" s="51" t="n">
        <v>0</v>
      </c>
      <c r="Z1124" s="51" t="n">
        <v>0</v>
      </c>
      <c r="AA1124" s="52" t="n">
        <v>0</v>
      </c>
      <c r="AB1124" s="52" t="n">
        <v>0</v>
      </c>
      <c r="AC1124" s="52" t="n">
        <v>0</v>
      </c>
      <c r="AD1124" s="52" t="n">
        <v>0</v>
      </c>
      <c r="AE1124" s="52" t="n">
        <v>0</v>
      </c>
      <c r="AF1124" s="52" t="n">
        <v>0</v>
      </c>
      <c r="AG1124" s="52" t="n">
        <v>0</v>
      </c>
      <c r="AH1124" s="52" t="n">
        <v>0</v>
      </c>
      <c r="AI1124" s="52" t="n">
        <v>0</v>
      </c>
      <c r="AJ1124" s="52" t="n">
        <v>0</v>
      </c>
      <c r="AK1124" s="52" t="n">
        <v>0</v>
      </c>
      <c r="AL1124" s="52" t="n">
        <v>0</v>
      </c>
      <c r="AM1124" s="53" t="n">
        <v>0</v>
      </c>
      <c r="AN1124" s="53" t="n">
        <v>0</v>
      </c>
      <c r="AO1124" s="53" t="n">
        <v>0</v>
      </c>
      <c r="AP1124" s="53" t="n">
        <v>0</v>
      </c>
      <c r="AQ1124" s="52" t="n">
        <v>0</v>
      </c>
      <c r="AR1124" s="52" t="n">
        <v>0</v>
      </c>
      <c r="AS1124" s="52" t="n">
        <v>0</v>
      </c>
      <c r="AT1124" s="52" t="n">
        <v>0</v>
      </c>
      <c r="AU1124" s="53" t="n">
        <v>0</v>
      </c>
      <c r="AV1124" s="53" t="n">
        <v>0</v>
      </c>
      <c r="AW1124" s="53" t="n">
        <v>0</v>
      </c>
      <c r="AX1124" s="53" t="n">
        <v>0</v>
      </c>
      <c r="AY1124" s="52" t="n">
        <v>0</v>
      </c>
      <c r="AZ1124" s="52" t="n">
        <v>0</v>
      </c>
      <c r="BA1124" s="52" t="n">
        <v>0</v>
      </c>
      <c r="BB1124" s="52" t="n">
        <v>0</v>
      </c>
      <c r="BC1124" s="51" t="n">
        <v>0</v>
      </c>
      <c r="BD1124" s="51" t="n">
        <v>0</v>
      </c>
      <c r="BE1124" s="51" t="n">
        <v>0</v>
      </c>
      <c r="BF1124" s="51" t="n">
        <v>0</v>
      </c>
    </row>
    <row r="1125">
      <c r="A1125">
        <f>HYPERLINK("https://www.walmart.com/ip/680862595", "680862595")</f>
        <v/>
      </c>
      <c r="B1125" t="inlineStr">
        <is>
          <t>Solaris Sun Hats for Women with Neck Flap, Large Brim, UV Protection, Foldable, for Fishing and Hiking, Head Circumference 22.6".</t>
        </is>
      </c>
      <c r="C1125" t="inlineStr">
        <is>
          <t>1SLSH921TN</t>
        </is>
      </c>
      <c r="D1125" t="inlineStr">
        <is>
          <t>Hats</t>
        </is>
      </c>
      <c r="E1125" t="inlineStr">
        <is>
          <t>Solaris</t>
        </is>
      </c>
      <c r="F1125" t="inlineStr">
        <is>
          <t>Q2-Target,WFS,Hats,WFS Item</t>
        </is>
      </c>
      <c r="G1125" s="48" t="n">
        <v>0</v>
      </c>
      <c r="H1125" s="48" t="n">
        <v>18.99</v>
      </c>
      <c r="I1125" s="48" t="n">
        <v>0</v>
      </c>
      <c r="J1125" s="48" t="n">
        <v>0</v>
      </c>
      <c r="K1125" s="49" t="n">
        <v>0</v>
      </c>
      <c r="L1125" s="49" t="n">
        <v>1</v>
      </c>
      <c r="M1125" s="49" t="n">
        <v>0</v>
      </c>
      <c r="N1125" s="49" t="n">
        <v>0</v>
      </c>
      <c r="O1125" s="49" t="n">
        <v>0</v>
      </c>
      <c r="P1125" s="49" t="n">
        <v>0</v>
      </c>
      <c r="Q1125" s="49" t="n">
        <v>0</v>
      </c>
      <c r="R1125" s="49" t="n">
        <v>0</v>
      </c>
      <c r="S1125" s="50" t="n">
        <v>0</v>
      </c>
      <c r="T1125" s="50" t="n">
        <v>0</v>
      </c>
      <c r="U1125" s="50" t="n">
        <v>0</v>
      </c>
      <c r="V1125" s="50" t="n">
        <v>0</v>
      </c>
      <c r="W1125" s="51" t="n">
        <v>0</v>
      </c>
      <c r="X1125" s="51" t="n">
        <v>0</v>
      </c>
      <c r="Y1125" s="51" t="n">
        <v>0</v>
      </c>
      <c r="Z1125" s="51" t="n">
        <v>0</v>
      </c>
      <c r="AA1125" s="52" t="n">
        <v>0</v>
      </c>
      <c r="AB1125" s="52" t="n">
        <v>0</v>
      </c>
      <c r="AC1125" s="52" t="n">
        <v>0</v>
      </c>
      <c r="AD1125" s="52" t="n">
        <v>0</v>
      </c>
      <c r="AE1125" s="52" t="n">
        <v>0</v>
      </c>
      <c r="AF1125" s="52" t="n">
        <v>0</v>
      </c>
      <c r="AG1125" s="52" t="n">
        <v>0</v>
      </c>
      <c r="AH1125" s="52" t="n">
        <v>0</v>
      </c>
      <c r="AI1125" s="52" t="n">
        <v>0</v>
      </c>
      <c r="AJ1125" s="52" t="n">
        <v>0</v>
      </c>
      <c r="AK1125" s="52" t="n">
        <v>0</v>
      </c>
      <c r="AL1125" s="52" t="n">
        <v>0</v>
      </c>
      <c r="AM1125" s="53" t="n">
        <v>0</v>
      </c>
      <c r="AN1125" s="53" t="n">
        <v>0</v>
      </c>
      <c r="AO1125" s="53" t="n">
        <v>0</v>
      </c>
      <c r="AP1125" s="53" t="n">
        <v>0</v>
      </c>
      <c r="AQ1125" s="52" t="n">
        <v>0</v>
      </c>
      <c r="AR1125" s="52" t="n">
        <v>0</v>
      </c>
      <c r="AS1125" s="52" t="n">
        <v>0</v>
      </c>
      <c r="AT1125" s="52" t="n">
        <v>0</v>
      </c>
      <c r="AU1125" s="53" t="n">
        <v>0</v>
      </c>
      <c r="AV1125" s="53" t="n">
        <v>0</v>
      </c>
      <c r="AW1125" s="53" t="n">
        <v>0</v>
      </c>
      <c r="AX1125" s="53" t="n">
        <v>0</v>
      </c>
      <c r="AY1125" s="52" t="n">
        <v>0</v>
      </c>
      <c r="AZ1125" s="52" t="n">
        <v>18.99</v>
      </c>
      <c r="BA1125" s="52" t="n">
        <v>0</v>
      </c>
      <c r="BB1125" s="52" t="n">
        <v>0</v>
      </c>
      <c r="BC1125" s="51" t="n">
        <v>0</v>
      </c>
      <c r="BD1125" s="51" t="n">
        <v>0</v>
      </c>
      <c r="BE1125" s="51" t="n">
        <v>0</v>
      </c>
      <c r="BF1125" s="51" t="n">
        <v>0</v>
      </c>
    </row>
    <row r="1126">
      <c r="A1126">
        <f>HYPERLINK("https://www.walmart.com/ip/684978844", "684978844")</f>
        <v/>
      </c>
      <c r="B1126" t="inlineStr">
        <is>
          <t>Sherpa jackie Mink Fleece for Adults 73 x 51”| Cozy Warm</t>
        </is>
      </c>
      <c r="C1126" t="inlineStr">
        <is>
          <t>1CTJK200GY</t>
        </is>
      </c>
      <c r="D1126" t="inlineStr">
        <is>
          <t>Sweatshirts &amp; Hoodies</t>
        </is>
      </c>
      <c r="E1126" t="inlineStr">
        <is>
          <t>Catalonia</t>
        </is>
      </c>
      <c r="F1126" t="inlineStr">
        <is>
          <t>Jacket ForAdult,Optimized,WFS,WFS Item</t>
        </is>
      </c>
      <c r="G1126" s="48" t="n">
        <v>0</v>
      </c>
      <c r="H1126" s="48" t="n">
        <v>0</v>
      </c>
      <c r="I1126" s="48" t="n">
        <v>0</v>
      </c>
      <c r="J1126" s="48" t="n">
        <v>0</v>
      </c>
      <c r="K1126" s="49" t="n">
        <v>0</v>
      </c>
      <c r="L1126" s="49" t="n">
        <v>0</v>
      </c>
      <c r="M1126" s="49" t="n">
        <v>0</v>
      </c>
      <c r="N1126" s="49" t="n">
        <v>0</v>
      </c>
      <c r="O1126" s="49" t="n">
        <v>0</v>
      </c>
      <c r="P1126" s="49" t="n">
        <v>0</v>
      </c>
      <c r="Q1126" s="49" t="n">
        <v>0</v>
      </c>
      <c r="R1126" s="49" t="n">
        <v>0</v>
      </c>
      <c r="S1126" s="50" t="n">
        <v>0</v>
      </c>
      <c r="T1126" s="50" t="n">
        <v>0</v>
      </c>
      <c r="U1126" s="50" t="n">
        <v>0</v>
      </c>
      <c r="V1126" s="50" t="n">
        <v>0</v>
      </c>
      <c r="W1126" s="51" t="n">
        <v>0</v>
      </c>
      <c r="X1126" s="51" t="n">
        <v>0</v>
      </c>
      <c r="Y1126" s="51" t="n">
        <v>0</v>
      </c>
      <c r="Z1126" s="51" t="n">
        <v>0</v>
      </c>
      <c r="AA1126" s="52" t="n">
        <v>0</v>
      </c>
      <c r="AB1126" s="52" t="n">
        <v>0</v>
      </c>
      <c r="AC1126" s="52" t="n">
        <v>0</v>
      </c>
      <c r="AD1126" s="52" t="n">
        <v>0</v>
      </c>
      <c r="AE1126" s="52" t="n">
        <v>0</v>
      </c>
      <c r="AF1126" s="52" t="n">
        <v>0</v>
      </c>
      <c r="AG1126" s="52" t="n">
        <v>0</v>
      </c>
      <c r="AH1126" s="52" t="n">
        <v>0</v>
      </c>
      <c r="AI1126" s="52" t="n">
        <v>0</v>
      </c>
      <c r="AJ1126" s="52" t="n">
        <v>0</v>
      </c>
      <c r="AK1126" s="52" t="n">
        <v>0</v>
      </c>
      <c r="AL1126" s="52" t="n">
        <v>0</v>
      </c>
      <c r="AM1126" s="53" t="n">
        <v>0</v>
      </c>
      <c r="AN1126" s="53" t="n">
        <v>0</v>
      </c>
      <c r="AO1126" s="53" t="n">
        <v>0</v>
      </c>
      <c r="AP1126" s="53" t="n">
        <v>0</v>
      </c>
      <c r="AQ1126" s="52" t="n">
        <v>0</v>
      </c>
      <c r="AR1126" s="52" t="n">
        <v>0</v>
      </c>
      <c r="AS1126" s="52" t="n">
        <v>0</v>
      </c>
      <c r="AT1126" s="52" t="n">
        <v>0</v>
      </c>
      <c r="AU1126" s="53" t="n">
        <v>0</v>
      </c>
      <c r="AV1126" s="53" t="n">
        <v>0</v>
      </c>
      <c r="AW1126" s="53" t="n">
        <v>0</v>
      </c>
      <c r="AX1126" s="53" t="n">
        <v>0</v>
      </c>
      <c r="AY1126" s="52" t="n">
        <v>0</v>
      </c>
      <c r="AZ1126" s="52" t="n">
        <v>0</v>
      </c>
      <c r="BA1126" s="52" t="n">
        <v>0</v>
      </c>
      <c r="BB1126" s="52" t="n">
        <v>0</v>
      </c>
      <c r="BC1126" s="51" t="n">
        <v>0</v>
      </c>
      <c r="BD1126" s="51" t="n">
        <v>0</v>
      </c>
      <c r="BE1126" s="51" t="n">
        <v>0</v>
      </c>
      <c r="BF1126" s="51" t="n">
        <v>0</v>
      </c>
    </row>
    <row r="1127">
      <c r="A1127">
        <f>HYPERLINK("https://www.walmart.com/ip/685026506", "685026506")</f>
        <v/>
      </c>
      <c r="B1127" t="inlineStr">
        <is>
          <t>Outdoor Wide Brim Sun Hats Blocking UV Protection Cap UPF 50+ Foldable Mesh Net for Finishing, Hiking, Camping by Solari</t>
        </is>
      </c>
      <c r="C1127" t="inlineStr">
        <is>
          <t>1SLSH911GY</t>
        </is>
      </c>
      <c r="D1127" t="inlineStr">
        <is>
          <t>Hats</t>
        </is>
      </c>
      <c r="E1127" t="inlineStr">
        <is>
          <t>Solaris</t>
        </is>
      </c>
      <c r="F1127" t="inlineStr">
        <is>
          <t>Q2-Target,WFS,Hats,SEM,WFS Item</t>
        </is>
      </c>
      <c r="G1127" s="48" t="n">
        <v>0</v>
      </c>
      <c r="H1127" s="48" t="n">
        <v>0</v>
      </c>
      <c r="I1127" s="48" t="n">
        <v>19.99</v>
      </c>
      <c r="J1127" s="48" t="n">
        <v>19.99</v>
      </c>
      <c r="K1127" s="49" t="n">
        <v>0</v>
      </c>
      <c r="L1127" s="49" t="n">
        <v>0</v>
      </c>
      <c r="M1127" s="49" t="n">
        <v>1</v>
      </c>
      <c r="N1127" s="49" t="n">
        <v>1</v>
      </c>
      <c r="O1127" s="49" t="n">
        <v>19</v>
      </c>
      <c r="P1127" s="49" t="n">
        <v>14</v>
      </c>
      <c r="Q1127" s="49" t="n">
        <v>11</v>
      </c>
      <c r="R1127" s="49" t="n">
        <v>10</v>
      </c>
      <c r="S1127" s="50" t="n">
        <v>0</v>
      </c>
      <c r="T1127" s="50" t="n">
        <v>0</v>
      </c>
      <c r="U1127" s="50" t="n">
        <v>0.09090909090909091</v>
      </c>
      <c r="V1127" s="50" t="n">
        <v>0.1</v>
      </c>
      <c r="W1127" s="51" t="n">
        <v>0</v>
      </c>
      <c r="X1127" s="51" t="n">
        <v>0</v>
      </c>
      <c r="Y1127" s="51" t="n">
        <v>0</v>
      </c>
      <c r="Z1127" s="51" t="n">
        <v>0</v>
      </c>
      <c r="AA1127" s="52" t="n">
        <v>0</v>
      </c>
      <c r="AB1127" s="52" t="n">
        <v>0</v>
      </c>
      <c r="AC1127" s="52" t="n">
        <v>0</v>
      </c>
      <c r="AD1127" s="52" t="n">
        <v>0</v>
      </c>
      <c r="AE1127" s="52" t="n">
        <v>0</v>
      </c>
      <c r="AF1127" s="52" t="n">
        <v>0</v>
      </c>
      <c r="AG1127" s="52" t="n">
        <v>0</v>
      </c>
      <c r="AH1127" s="52" t="n">
        <v>0</v>
      </c>
      <c r="AI1127" s="52" t="n">
        <v>0</v>
      </c>
      <c r="AJ1127" s="52" t="n">
        <v>0</v>
      </c>
      <c r="AK1127" s="52" t="n">
        <v>0</v>
      </c>
      <c r="AL1127" s="52" t="n">
        <v>0</v>
      </c>
      <c r="AM1127" s="53" t="n">
        <v>0</v>
      </c>
      <c r="AN1127" s="53" t="n">
        <v>0</v>
      </c>
      <c r="AO1127" s="53" t="n">
        <v>0</v>
      </c>
      <c r="AP1127" s="53" t="n">
        <v>0</v>
      </c>
      <c r="AQ1127" s="52" t="n">
        <v>0</v>
      </c>
      <c r="AR1127" s="52" t="n">
        <v>0</v>
      </c>
      <c r="AS1127" s="52" t="n">
        <v>0</v>
      </c>
      <c r="AT1127" s="52" t="n">
        <v>0</v>
      </c>
      <c r="AU1127" s="53" t="n">
        <v>0</v>
      </c>
      <c r="AV1127" s="53" t="n">
        <v>0</v>
      </c>
      <c r="AW1127" s="53" t="n">
        <v>0</v>
      </c>
      <c r="AX1127" s="53" t="n">
        <v>0</v>
      </c>
      <c r="AY1127" s="52" t="n">
        <v>0</v>
      </c>
      <c r="AZ1127" s="52" t="n">
        <v>0</v>
      </c>
      <c r="BA1127" s="52" t="n">
        <v>19.99</v>
      </c>
      <c r="BB1127" s="52" t="n">
        <v>19.99</v>
      </c>
      <c r="BC1127" s="51" t="n">
        <v>0</v>
      </c>
      <c r="BD1127" s="51" t="n">
        <v>0</v>
      </c>
      <c r="BE1127" s="51" t="n">
        <v>0</v>
      </c>
      <c r="BF1127" s="51" t="n">
        <v>0</v>
      </c>
    </row>
    <row r="1128">
      <c r="A1128">
        <f>HYPERLINK("https://www.walmart.com/ip/685340221", "685340221")</f>
        <v/>
      </c>
      <c r="B1128" s="5" t="inlineStr">
        <is>
          <t>https://www.walmart.com/ip/Women-s-Open-Cup-Crotchless-Babydoll-Lingerie-Strappy-Bra-G-string-by-Jenniwears/685340221</t>
        </is>
      </c>
      <c r="C1128" t="inlineStr">
        <is>
          <t>JWBASS02BK-M-WA</t>
        </is>
      </c>
      <c r="G1128" s="48" t="n">
        <v>0</v>
      </c>
      <c r="H1128" s="48" t="n">
        <v>0</v>
      </c>
      <c r="I1128" s="48" t="n">
        <v>0</v>
      </c>
      <c r="J1128" s="48" t="n">
        <v>0</v>
      </c>
      <c r="K1128" s="49" t="n">
        <v>0</v>
      </c>
      <c r="L1128" s="49" t="n">
        <v>0</v>
      </c>
      <c r="M1128" s="49" t="n">
        <v>0</v>
      </c>
      <c r="N1128" s="49" t="n">
        <v>0</v>
      </c>
      <c r="O1128" s="49" t="n">
        <v>0</v>
      </c>
      <c r="P1128" s="49" t="n">
        <v>0</v>
      </c>
      <c r="Q1128" s="49" t="n">
        <v>0</v>
      </c>
      <c r="R1128" s="49" t="n">
        <v>0</v>
      </c>
      <c r="S1128" s="50" t="n">
        <v>0</v>
      </c>
      <c r="T1128" s="50" t="n">
        <v>0</v>
      </c>
      <c r="U1128" s="50" t="n">
        <v>0</v>
      </c>
      <c r="V1128" s="50" t="n">
        <v>0</v>
      </c>
      <c r="W1128" s="51" t="n">
        <v>0</v>
      </c>
      <c r="X1128" s="51" t="n">
        <v>0</v>
      </c>
      <c r="Y1128" s="51" t="n">
        <v>0</v>
      </c>
      <c r="Z1128" s="51" t="n">
        <v>0</v>
      </c>
      <c r="AA1128" s="52" t="n">
        <v>0</v>
      </c>
      <c r="AB1128" s="52" t="n">
        <v>0</v>
      </c>
      <c r="AC1128" s="52" t="n">
        <v>0</v>
      </c>
      <c r="AD1128" s="52" t="n">
        <v>0</v>
      </c>
      <c r="AE1128" s="52" t="n">
        <v>0</v>
      </c>
      <c r="AF1128" s="52" t="n">
        <v>0</v>
      </c>
      <c r="AG1128" s="52" t="n">
        <v>0</v>
      </c>
      <c r="AH1128" s="52" t="n">
        <v>0</v>
      </c>
      <c r="AI1128" s="52" t="n">
        <v>0</v>
      </c>
      <c r="AJ1128" s="52" t="n">
        <v>0</v>
      </c>
      <c r="AK1128" s="52" t="n">
        <v>0</v>
      </c>
      <c r="AL1128" s="52" t="n">
        <v>0</v>
      </c>
      <c r="AM1128" s="53" t="n">
        <v>0</v>
      </c>
      <c r="AN1128" s="53" t="n">
        <v>0</v>
      </c>
      <c r="AO1128" s="53" t="n">
        <v>0</v>
      </c>
      <c r="AP1128" s="53" t="n">
        <v>0</v>
      </c>
      <c r="AQ1128" s="52" t="n">
        <v>0</v>
      </c>
      <c r="AR1128" s="52" t="n">
        <v>0</v>
      </c>
      <c r="AS1128" s="52" t="n">
        <v>0</v>
      </c>
      <c r="AT1128" s="52" t="n">
        <v>0</v>
      </c>
      <c r="AU1128" s="53" t="n">
        <v>0</v>
      </c>
      <c r="AV1128" s="53" t="n">
        <v>0</v>
      </c>
      <c r="AW1128" s="53" t="n">
        <v>0</v>
      </c>
      <c r="AX1128" s="53" t="n">
        <v>0</v>
      </c>
      <c r="AY1128" s="52" t="n">
        <v>0</v>
      </c>
      <c r="AZ1128" s="52" t="n">
        <v>0</v>
      </c>
      <c r="BA1128" s="52" t="n">
        <v>0</v>
      </c>
      <c r="BB1128" s="52" t="n">
        <v>0</v>
      </c>
      <c r="BC1128" s="51" t="n">
        <v>0</v>
      </c>
      <c r="BD1128" s="51" t="n">
        <v>0</v>
      </c>
      <c r="BE1128" s="51" t="n">
        <v>0</v>
      </c>
      <c r="BF1128" s="51" t="n">
        <v>0</v>
      </c>
    </row>
    <row r="1129">
      <c r="A1129">
        <f>HYPERLINK("https://www.walmart.com/ip/687231210", "687231210")</f>
        <v/>
      </c>
      <c r="B1129" t="inlineStr">
        <is>
          <t>Catalonia Waterproof Blanket Couch Sofa Bed Protector Cover for Baby, Super Cozy Plush Fleece Warm Sherpa Lining Throws for Boating Camping</t>
        </is>
      </c>
      <c r="C1129" t="inlineStr">
        <is>
          <t>1CTBW981GYTP</t>
        </is>
      </c>
      <c r="D1129" t="inlineStr">
        <is>
          <t>Throws</t>
        </is>
      </c>
      <c r="E1129" t="inlineStr">
        <is>
          <t>Catalonia</t>
        </is>
      </c>
      <c r="F1129" t="inlineStr">
        <is>
          <t>Optimized,WFS,High AUR Items,Wproof Blanket,SEM,WFS Item</t>
        </is>
      </c>
      <c r="G1129" s="48" t="n">
        <v>0</v>
      </c>
      <c r="H1129" s="48" t="n">
        <v>0</v>
      </c>
      <c r="I1129" s="48" t="n">
        <v>0</v>
      </c>
      <c r="J1129" s="48" t="n">
        <v>0</v>
      </c>
      <c r="K1129" s="49" t="n">
        <v>0</v>
      </c>
      <c r="L1129" s="49" t="n">
        <v>0</v>
      </c>
      <c r="M1129" s="49" t="n">
        <v>0</v>
      </c>
      <c r="N1129" s="49" t="n">
        <v>0</v>
      </c>
      <c r="O1129" s="49" t="n">
        <v>0</v>
      </c>
      <c r="P1129" s="49" t="n">
        <v>0</v>
      </c>
      <c r="Q1129" s="49" t="n">
        <v>0</v>
      </c>
      <c r="R1129" s="49" t="n">
        <v>0</v>
      </c>
      <c r="S1129" s="50" t="n">
        <v>0</v>
      </c>
      <c r="T1129" s="50" t="n">
        <v>0</v>
      </c>
      <c r="U1129" s="50" t="n">
        <v>0</v>
      </c>
      <c r="V1129" s="50" t="n">
        <v>0</v>
      </c>
      <c r="W1129" s="51" t="n">
        <v>0</v>
      </c>
      <c r="X1129" s="51" t="n">
        <v>0</v>
      </c>
      <c r="Y1129" s="51" t="n">
        <v>0</v>
      </c>
      <c r="Z1129" s="51" t="n">
        <v>0</v>
      </c>
      <c r="AA1129" s="52" t="n">
        <v>0</v>
      </c>
      <c r="AB1129" s="52" t="n">
        <v>0</v>
      </c>
      <c r="AC1129" s="52" t="n">
        <v>0</v>
      </c>
      <c r="AD1129" s="52" t="n">
        <v>0</v>
      </c>
      <c r="AE1129" s="52" t="n">
        <v>0</v>
      </c>
      <c r="AF1129" s="52" t="n">
        <v>0</v>
      </c>
      <c r="AG1129" s="52" t="n">
        <v>0</v>
      </c>
      <c r="AH1129" s="52" t="n">
        <v>0</v>
      </c>
      <c r="AI1129" s="52" t="n">
        <v>0</v>
      </c>
      <c r="AJ1129" s="52" t="n">
        <v>0</v>
      </c>
      <c r="AK1129" s="52" t="n">
        <v>0</v>
      </c>
      <c r="AL1129" s="52" t="n">
        <v>0</v>
      </c>
      <c r="AM1129" s="53" t="n">
        <v>0</v>
      </c>
      <c r="AN1129" s="53" t="n">
        <v>0</v>
      </c>
      <c r="AO1129" s="53" t="n">
        <v>0</v>
      </c>
      <c r="AP1129" s="53" t="n">
        <v>0</v>
      </c>
      <c r="AQ1129" s="52" t="n">
        <v>0</v>
      </c>
      <c r="AR1129" s="52" t="n">
        <v>0</v>
      </c>
      <c r="AS1129" s="52" t="n">
        <v>0</v>
      </c>
      <c r="AT1129" s="52" t="n">
        <v>0</v>
      </c>
      <c r="AU1129" s="53" t="n">
        <v>0</v>
      </c>
      <c r="AV1129" s="53" t="n">
        <v>0</v>
      </c>
      <c r="AW1129" s="53" t="n">
        <v>0</v>
      </c>
      <c r="AX1129" s="53" t="n">
        <v>0</v>
      </c>
      <c r="AY1129" s="52" t="n">
        <v>0</v>
      </c>
      <c r="AZ1129" s="52" t="n">
        <v>0</v>
      </c>
      <c r="BA1129" s="52" t="n">
        <v>0</v>
      </c>
      <c r="BB1129" s="52" t="n">
        <v>0</v>
      </c>
      <c r="BC1129" s="51" t="n">
        <v>0</v>
      </c>
      <c r="BD1129" s="51" t="n">
        <v>0</v>
      </c>
      <c r="BE1129" s="51" t="n">
        <v>0</v>
      </c>
      <c r="BF1129" s="51" t="n">
        <v>0</v>
      </c>
    </row>
    <row r="1130">
      <c r="A1130">
        <f>HYPERLINK("https://www.walmart.com/ip/687361170", "687361170")</f>
        <v/>
      </c>
      <c r="B1130" t="inlineStr">
        <is>
          <t>JenniWears® Women Strap Backless Sleepwear Lace Nightwear Mesh Babydoll Wire</t>
        </is>
      </c>
      <c r="C1130" t="inlineStr">
        <is>
          <t>JWBD010BL-3XL</t>
        </is>
      </c>
      <c r="D1130" t="inlineStr">
        <is>
          <t>Lingerie Sets</t>
        </is>
      </c>
      <c r="E1130" t="inlineStr">
        <is>
          <t>JenniWears</t>
        </is>
      </c>
      <c r="G1130" s="48" t="n">
        <v>0</v>
      </c>
      <c r="H1130" s="48" t="n">
        <v>0</v>
      </c>
      <c r="I1130" s="48" t="n">
        <v>0</v>
      </c>
      <c r="J1130" s="48" t="n">
        <v>0</v>
      </c>
      <c r="K1130" s="49" t="n">
        <v>0</v>
      </c>
      <c r="L1130" s="49" t="n">
        <v>0</v>
      </c>
      <c r="M1130" s="49" t="n">
        <v>0</v>
      </c>
      <c r="N1130" s="49" t="n">
        <v>0</v>
      </c>
      <c r="O1130" s="49" t="n">
        <v>0</v>
      </c>
      <c r="P1130" s="49" t="n">
        <v>0</v>
      </c>
      <c r="Q1130" s="49" t="n">
        <v>0</v>
      </c>
      <c r="R1130" s="49" t="n">
        <v>0</v>
      </c>
      <c r="S1130" s="50" t="n">
        <v>0</v>
      </c>
      <c r="T1130" s="50" t="n">
        <v>0</v>
      </c>
      <c r="U1130" s="50" t="n">
        <v>0</v>
      </c>
      <c r="V1130" s="50" t="n">
        <v>0</v>
      </c>
      <c r="W1130" s="51" t="n">
        <v>0</v>
      </c>
      <c r="X1130" s="51" t="n">
        <v>0</v>
      </c>
      <c r="Y1130" s="51" t="n">
        <v>0</v>
      </c>
      <c r="Z1130" s="51" t="n">
        <v>0</v>
      </c>
      <c r="AA1130" s="52" t="n">
        <v>0</v>
      </c>
      <c r="AB1130" s="52" t="n">
        <v>0</v>
      </c>
      <c r="AC1130" s="52" t="n">
        <v>0</v>
      </c>
      <c r="AD1130" s="52" t="n">
        <v>0</v>
      </c>
      <c r="AE1130" s="52" t="n">
        <v>0</v>
      </c>
      <c r="AF1130" s="52" t="n">
        <v>0</v>
      </c>
      <c r="AG1130" s="52" t="n">
        <v>0</v>
      </c>
      <c r="AH1130" s="52" t="n">
        <v>0</v>
      </c>
      <c r="AI1130" s="52" t="n">
        <v>0</v>
      </c>
      <c r="AJ1130" s="52" t="n">
        <v>0</v>
      </c>
      <c r="AK1130" s="52" t="n">
        <v>0</v>
      </c>
      <c r="AL1130" s="52" t="n">
        <v>0</v>
      </c>
      <c r="AM1130" s="53" t="n">
        <v>0</v>
      </c>
      <c r="AN1130" s="53" t="n">
        <v>0</v>
      </c>
      <c r="AO1130" s="53" t="n">
        <v>0</v>
      </c>
      <c r="AP1130" s="53" t="n">
        <v>0</v>
      </c>
      <c r="AQ1130" s="52" t="n">
        <v>0</v>
      </c>
      <c r="AR1130" s="52" t="n">
        <v>0</v>
      </c>
      <c r="AS1130" s="52" t="n">
        <v>0</v>
      </c>
      <c r="AT1130" s="52" t="n">
        <v>0</v>
      </c>
      <c r="AU1130" s="53" t="n">
        <v>0</v>
      </c>
      <c r="AV1130" s="53" t="n">
        <v>0</v>
      </c>
      <c r="AW1130" s="53" t="n">
        <v>0</v>
      </c>
      <c r="AX1130" s="53" t="n">
        <v>0</v>
      </c>
      <c r="AY1130" s="52" t="n">
        <v>0</v>
      </c>
      <c r="AZ1130" s="52" t="n">
        <v>0</v>
      </c>
      <c r="BA1130" s="52" t="n">
        <v>0</v>
      </c>
      <c r="BB1130" s="52" t="n">
        <v>0</v>
      </c>
      <c r="BC1130" s="51" t="n">
        <v>0</v>
      </c>
      <c r="BD1130" s="51" t="n">
        <v>0</v>
      </c>
      <c r="BE1130" s="51" t="n">
        <v>0</v>
      </c>
      <c r="BF1130" s="51" t="n">
        <v>0</v>
      </c>
    </row>
    <row r="1131">
      <c r="A1131">
        <f>HYPERLINK("https://www.walmart.com/ip/687777977", "687777977")</f>
        <v/>
      </c>
      <c r="B1131" t="inlineStr">
        <is>
          <t>Tirrinia Wearable Comfy Fleece Blanket with Sleeves For Adult, 73" x 51", Zebra</t>
        </is>
      </c>
      <c r="C1131" t="inlineStr">
        <is>
          <t>1TRSN100ZEBRA-TBCB</t>
        </is>
      </c>
      <c r="D1131" t="inlineStr">
        <is>
          <t>Throws</t>
        </is>
      </c>
      <c r="E1131" t="inlineStr">
        <is>
          <t>Tirrinia</t>
        </is>
      </c>
      <c r="F1131" t="inlineStr">
        <is>
          <t>Coupon_Discount,Fleece Blankets,Batch 1 - TR</t>
        </is>
      </c>
      <c r="G1131" s="48" t="n">
        <v>0</v>
      </c>
      <c r="H1131" s="48" t="n">
        <v>0</v>
      </c>
      <c r="I1131" s="48" t="n">
        <v>0</v>
      </c>
      <c r="J1131" s="48" t="n">
        <v>0</v>
      </c>
      <c r="K1131" s="49" t="n">
        <v>0</v>
      </c>
      <c r="L1131" s="49" t="n">
        <v>0</v>
      </c>
      <c r="M1131" s="49" t="n">
        <v>0</v>
      </c>
      <c r="N1131" s="49" t="n">
        <v>0</v>
      </c>
      <c r="O1131" s="49" t="n">
        <v>0</v>
      </c>
      <c r="P1131" s="49" t="n">
        <v>0</v>
      </c>
      <c r="Q1131" s="49" t="n">
        <v>0</v>
      </c>
      <c r="R1131" s="49" t="n">
        <v>0</v>
      </c>
      <c r="S1131" s="50" t="n">
        <v>0</v>
      </c>
      <c r="T1131" s="50" t="n">
        <v>0</v>
      </c>
      <c r="U1131" s="50" t="n">
        <v>0</v>
      </c>
      <c r="V1131" s="50" t="n">
        <v>0</v>
      </c>
      <c r="W1131" s="51" t="n">
        <v>0</v>
      </c>
      <c r="X1131" s="51" t="n">
        <v>0</v>
      </c>
      <c r="Y1131" s="51" t="n">
        <v>0</v>
      </c>
      <c r="Z1131" s="51" t="n">
        <v>0</v>
      </c>
      <c r="AA1131" s="52" t="n">
        <v>0</v>
      </c>
      <c r="AB1131" s="52" t="n">
        <v>0</v>
      </c>
      <c r="AC1131" s="52" t="n">
        <v>0</v>
      </c>
      <c r="AD1131" s="52" t="n">
        <v>0</v>
      </c>
      <c r="AE1131" s="52" t="n">
        <v>0</v>
      </c>
      <c r="AF1131" s="52" t="n">
        <v>0</v>
      </c>
      <c r="AG1131" s="52" t="n">
        <v>0</v>
      </c>
      <c r="AH1131" s="52" t="n">
        <v>0</v>
      </c>
      <c r="AI1131" s="52" t="n">
        <v>0</v>
      </c>
      <c r="AJ1131" s="52" t="n">
        <v>0</v>
      </c>
      <c r="AK1131" s="52" t="n">
        <v>0</v>
      </c>
      <c r="AL1131" s="52" t="n">
        <v>0</v>
      </c>
      <c r="AM1131" s="53" t="n">
        <v>0</v>
      </c>
      <c r="AN1131" s="53" t="n">
        <v>0</v>
      </c>
      <c r="AO1131" s="53" t="n">
        <v>0</v>
      </c>
      <c r="AP1131" s="53" t="n">
        <v>0</v>
      </c>
      <c r="AQ1131" s="52" t="n">
        <v>0</v>
      </c>
      <c r="AR1131" s="52" t="n">
        <v>0</v>
      </c>
      <c r="AS1131" s="52" t="n">
        <v>0</v>
      </c>
      <c r="AT1131" s="52" t="n">
        <v>0</v>
      </c>
      <c r="AU1131" s="53" t="n">
        <v>0</v>
      </c>
      <c r="AV1131" s="53" t="n">
        <v>0</v>
      </c>
      <c r="AW1131" s="53" t="n">
        <v>0</v>
      </c>
      <c r="AX1131" s="53" t="n">
        <v>0</v>
      </c>
      <c r="AY1131" s="52" t="n">
        <v>0</v>
      </c>
      <c r="AZ1131" s="52" t="n">
        <v>0</v>
      </c>
      <c r="BA1131" s="52" t="n">
        <v>0</v>
      </c>
      <c r="BB1131" s="52" t="n">
        <v>0</v>
      </c>
      <c r="BC1131" s="51" t="n">
        <v>0</v>
      </c>
      <c r="BD1131" s="51" t="n">
        <v>0</v>
      </c>
      <c r="BE1131" s="51" t="n">
        <v>0</v>
      </c>
      <c r="BF1131" s="51" t="n">
        <v>0</v>
      </c>
    </row>
    <row r="1132">
      <c r="A1132">
        <f>HYPERLINK("https://www.walmart.com/ip/688255013", "688255013")</f>
        <v/>
      </c>
      <c r="B1132" t="inlineStr">
        <is>
          <t>Fleece Blanket Wearable with Sleeves and Pocket, Micro Plush Warm Comfy Sleeved TV Throw Blanket Robe for Women and Men Multi-Colors 72”X55” by Catalonia</t>
        </is>
      </c>
      <c r="C1132" t="inlineStr">
        <is>
          <t>1CTSN110WN-ESGM</t>
        </is>
      </c>
      <c r="D1132" t="inlineStr">
        <is>
          <t>Throws</t>
        </is>
      </c>
      <c r="E1132" t="inlineStr">
        <is>
          <t>Catalonia</t>
        </is>
      </c>
      <c r="F1132" t="inlineStr">
        <is>
          <t>Fleece Blankets,Batch 1 - TR</t>
        </is>
      </c>
      <c r="G1132" s="48" t="n">
        <v>0</v>
      </c>
      <c r="H1132" s="48" t="n">
        <v>0</v>
      </c>
      <c r="I1132" s="48" t="n">
        <v>0</v>
      </c>
      <c r="J1132" s="48" t="n">
        <v>0</v>
      </c>
      <c r="K1132" s="49" t="n">
        <v>0</v>
      </c>
      <c r="L1132" s="49" t="n">
        <v>0</v>
      </c>
      <c r="M1132" s="49" t="n">
        <v>0</v>
      </c>
      <c r="N1132" s="49" t="n">
        <v>0</v>
      </c>
      <c r="O1132" s="49" t="n">
        <v>0</v>
      </c>
      <c r="P1132" s="49" t="n">
        <v>0</v>
      </c>
      <c r="Q1132" s="49" t="n">
        <v>0</v>
      </c>
      <c r="R1132" s="49" t="n">
        <v>0</v>
      </c>
      <c r="S1132" s="50" t="n">
        <v>0</v>
      </c>
      <c r="T1132" s="50" t="n">
        <v>0</v>
      </c>
      <c r="U1132" s="50" t="n">
        <v>0</v>
      </c>
      <c r="V1132" s="50" t="n">
        <v>0</v>
      </c>
      <c r="W1132" s="51" t="n">
        <v>0</v>
      </c>
      <c r="X1132" s="51" t="n">
        <v>0</v>
      </c>
      <c r="Y1132" s="51" t="n">
        <v>0</v>
      </c>
      <c r="Z1132" s="51" t="n">
        <v>0</v>
      </c>
      <c r="AA1132" s="52" t="n">
        <v>0</v>
      </c>
      <c r="AB1132" s="52" t="n">
        <v>0</v>
      </c>
      <c r="AC1132" s="52" t="n">
        <v>0</v>
      </c>
      <c r="AD1132" s="52" t="n">
        <v>0</v>
      </c>
      <c r="AE1132" s="52" t="n">
        <v>0</v>
      </c>
      <c r="AF1132" s="52" t="n">
        <v>0</v>
      </c>
      <c r="AG1132" s="52" t="n">
        <v>0</v>
      </c>
      <c r="AH1132" s="52" t="n">
        <v>0</v>
      </c>
      <c r="AI1132" s="52" t="n">
        <v>0</v>
      </c>
      <c r="AJ1132" s="52" t="n">
        <v>0</v>
      </c>
      <c r="AK1132" s="52" t="n">
        <v>0</v>
      </c>
      <c r="AL1132" s="52" t="n">
        <v>0</v>
      </c>
      <c r="AM1132" s="53" t="n">
        <v>0</v>
      </c>
      <c r="AN1132" s="53" t="n">
        <v>0</v>
      </c>
      <c r="AO1132" s="53" t="n">
        <v>0</v>
      </c>
      <c r="AP1132" s="53" t="n">
        <v>0</v>
      </c>
      <c r="AQ1132" s="52" t="n">
        <v>0</v>
      </c>
      <c r="AR1132" s="52" t="n">
        <v>0</v>
      </c>
      <c r="AS1132" s="52" t="n">
        <v>0</v>
      </c>
      <c r="AT1132" s="52" t="n">
        <v>0</v>
      </c>
      <c r="AU1132" s="53" t="n">
        <v>0</v>
      </c>
      <c r="AV1132" s="53" t="n">
        <v>0</v>
      </c>
      <c r="AW1132" s="53" t="n">
        <v>0</v>
      </c>
      <c r="AX1132" s="53" t="n">
        <v>0</v>
      </c>
      <c r="AY1132" s="52" t="n">
        <v>0</v>
      </c>
      <c r="AZ1132" s="52" t="n">
        <v>0</v>
      </c>
      <c r="BA1132" s="52" t="n">
        <v>0</v>
      </c>
      <c r="BB1132" s="52" t="n">
        <v>0</v>
      </c>
      <c r="BC1132" s="51" t="n">
        <v>0</v>
      </c>
      <c r="BD1132" s="51" t="n">
        <v>0</v>
      </c>
      <c r="BE1132" s="51" t="n">
        <v>0</v>
      </c>
      <c r="BF1132" s="51" t="n">
        <v>0</v>
      </c>
    </row>
    <row r="1133">
      <c r="A1133">
        <f>HYPERLINK("https://www.walmart.com/ip/688559257", "688559257")</f>
        <v/>
      </c>
      <c r="B1133" t="inlineStr">
        <is>
          <t>Catalonia Queen Size Sherpa Comforter Set,  Ultra-soft Reversible Fluffy Micromink Bedding Set-3 Pieces, 1 Comforter and 2 Pillow Shams, 88x90 inches</t>
        </is>
      </c>
      <c r="C1133" t="inlineStr">
        <is>
          <t>1CTBQ300QF-PGY</t>
        </is>
      </c>
      <c r="D1133" t="inlineStr">
        <is>
          <t>Bedding Sets</t>
        </is>
      </c>
      <c r="E1133" t="inlineStr">
        <is>
          <t>Catalonia</t>
        </is>
      </c>
      <c r="F1133" t="inlineStr">
        <is>
          <t>WFS,WFS Item</t>
        </is>
      </c>
      <c r="G1133" s="48" t="n">
        <v>0</v>
      </c>
      <c r="H1133" s="48" t="n">
        <v>0</v>
      </c>
      <c r="I1133" s="48" t="n">
        <v>0</v>
      </c>
      <c r="J1133" s="48" t="n">
        <v>0</v>
      </c>
      <c r="K1133" s="49" t="n">
        <v>0</v>
      </c>
      <c r="L1133" s="49" t="n">
        <v>0</v>
      </c>
      <c r="M1133" s="49" t="n">
        <v>0</v>
      </c>
      <c r="N1133" s="49" t="n">
        <v>0</v>
      </c>
      <c r="O1133" s="49" t="n">
        <v>0</v>
      </c>
      <c r="P1133" s="49" t="n">
        <v>0</v>
      </c>
      <c r="Q1133" s="49" t="n">
        <v>0</v>
      </c>
      <c r="R1133" s="49" t="n">
        <v>0</v>
      </c>
      <c r="S1133" s="50" t="n">
        <v>0</v>
      </c>
      <c r="T1133" s="50" t="n">
        <v>0</v>
      </c>
      <c r="U1133" s="50" t="n">
        <v>0</v>
      </c>
      <c r="V1133" s="50" t="n">
        <v>0</v>
      </c>
      <c r="W1133" s="51" t="n">
        <v>0</v>
      </c>
      <c r="X1133" s="51" t="n">
        <v>0</v>
      </c>
      <c r="Y1133" s="51" t="n">
        <v>0</v>
      </c>
      <c r="Z1133" s="51" t="n">
        <v>0</v>
      </c>
      <c r="AA1133" s="52" t="n">
        <v>0</v>
      </c>
      <c r="AB1133" s="52" t="n">
        <v>0</v>
      </c>
      <c r="AC1133" s="52" t="n">
        <v>0</v>
      </c>
      <c r="AD1133" s="52" t="n">
        <v>0</v>
      </c>
      <c r="AE1133" s="52" t="n">
        <v>0</v>
      </c>
      <c r="AF1133" s="52" t="n">
        <v>0</v>
      </c>
      <c r="AG1133" s="52" t="n">
        <v>0</v>
      </c>
      <c r="AH1133" s="52" t="n">
        <v>0</v>
      </c>
      <c r="AI1133" s="52" t="n">
        <v>0</v>
      </c>
      <c r="AJ1133" s="52" t="n">
        <v>0</v>
      </c>
      <c r="AK1133" s="52" t="n">
        <v>0</v>
      </c>
      <c r="AL1133" s="52" t="n">
        <v>0</v>
      </c>
      <c r="AM1133" s="53" t="n">
        <v>0</v>
      </c>
      <c r="AN1133" s="53" t="n">
        <v>0</v>
      </c>
      <c r="AO1133" s="53" t="n">
        <v>0</v>
      </c>
      <c r="AP1133" s="53" t="n">
        <v>0</v>
      </c>
      <c r="AQ1133" s="52" t="n">
        <v>0</v>
      </c>
      <c r="AR1133" s="52" t="n">
        <v>0</v>
      </c>
      <c r="AS1133" s="52" t="n">
        <v>0</v>
      </c>
      <c r="AT1133" s="52" t="n">
        <v>0</v>
      </c>
      <c r="AU1133" s="53" t="n">
        <v>0</v>
      </c>
      <c r="AV1133" s="53" t="n">
        <v>0</v>
      </c>
      <c r="AW1133" s="53" t="n">
        <v>0</v>
      </c>
      <c r="AX1133" s="53" t="n">
        <v>0</v>
      </c>
      <c r="AY1133" s="52" t="n">
        <v>0</v>
      </c>
      <c r="AZ1133" s="52" t="n">
        <v>0</v>
      </c>
      <c r="BA1133" s="52" t="n">
        <v>0</v>
      </c>
      <c r="BB1133" s="52" t="n">
        <v>0</v>
      </c>
      <c r="BC1133" s="51" t="n">
        <v>0</v>
      </c>
      <c r="BD1133" s="51" t="n">
        <v>0</v>
      </c>
      <c r="BE1133" s="51" t="n">
        <v>0</v>
      </c>
      <c r="BF1133" s="51" t="n">
        <v>0</v>
      </c>
    </row>
    <row r="1134">
      <c r="A1134">
        <f>HYPERLINK("https://www.walmart.com/ip/672225548", "672225548")</f>
        <v/>
      </c>
      <c r="B1134" t="inlineStr">
        <is>
          <t>Tirrinia Insulated 2 Bottle Wine Carrier Tote Cooler Bag for Travel Picnic Padded Champagne Glass</t>
        </is>
      </c>
      <c r="C1134" t="inlineStr">
        <is>
          <t>1WMWB230STR</t>
        </is>
      </c>
      <c r="D1134" t="inlineStr">
        <is>
          <t>Wine Totes, Bags &amp; Backpacks</t>
        </is>
      </c>
      <c r="E1134" t="inlineStr">
        <is>
          <t>Flyingstar</t>
        </is>
      </c>
      <c r="F1134" t="inlineStr">
        <is>
          <t>Wine,Christmas,Wine WFS,Valentine</t>
        </is>
      </c>
      <c r="G1134" s="48" t="n">
        <v>0</v>
      </c>
      <c r="H1134" s="48" t="n">
        <v>0</v>
      </c>
      <c r="I1134" s="48" t="n">
        <v>0</v>
      </c>
      <c r="J1134" s="48" t="n">
        <v>0</v>
      </c>
      <c r="K1134" s="49" t="n">
        <v>0</v>
      </c>
      <c r="L1134" s="49" t="n">
        <v>0</v>
      </c>
      <c r="M1134" s="49" t="n">
        <v>0</v>
      </c>
      <c r="N1134" s="49" t="n">
        <v>0</v>
      </c>
      <c r="O1134" s="49" t="n">
        <v>0</v>
      </c>
      <c r="P1134" s="49" t="n">
        <v>0</v>
      </c>
      <c r="Q1134" s="49" t="n">
        <v>0</v>
      </c>
      <c r="R1134" s="49" t="n">
        <v>0</v>
      </c>
      <c r="S1134" s="50" t="n">
        <v>0</v>
      </c>
      <c r="T1134" s="50" t="n">
        <v>0</v>
      </c>
      <c r="U1134" s="50" t="n">
        <v>0</v>
      </c>
      <c r="V1134" s="50" t="n">
        <v>0</v>
      </c>
      <c r="W1134" s="51" t="n">
        <v>0</v>
      </c>
      <c r="X1134" s="51" t="n">
        <v>0</v>
      </c>
      <c r="Y1134" s="51" t="n">
        <v>0</v>
      </c>
      <c r="Z1134" s="51" t="n">
        <v>0</v>
      </c>
      <c r="AA1134" s="52" t="n">
        <v>0</v>
      </c>
      <c r="AB1134" s="52" t="n">
        <v>0</v>
      </c>
      <c r="AC1134" s="52" t="n">
        <v>0</v>
      </c>
      <c r="AD1134" s="52" t="n">
        <v>0</v>
      </c>
      <c r="AE1134" s="52" t="n">
        <v>0</v>
      </c>
      <c r="AF1134" s="52" t="n">
        <v>0</v>
      </c>
      <c r="AG1134" s="52" t="n">
        <v>0</v>
      </c>
      <c r="AH1134" s="52" t="n">
        <v>0</v>
      </c>
      <c r="AI1134" s="52" t="n">
        <v>0</v>
      </c>
      <c r="AJ1134" s="52" t="n">
        <v>0</v>
      </c>
      <c r="AK1134" s="52" t="n">
        <v>0</v>
      </c>
      <c r="AL1134" s="52" t="n">
        <v>0</v>
      </c>
      <c r="AM1134" s="53" t="n">
        <v>0</v>
      </c>
      <c r="AN1134" s="53" t="n">
        <v>0</v>
      </c>
      <c r="AO1134" s="53" t="n">
        <v>0</v>
      </c>
      <c r="AP1134" s="53" t="n">
        <v>0</v>
      </c>
      <c r="AQ1134" s="52" t="n">
        <v>0</v>
      </c>
      <c r="AR1134" s="52" t="n">
        <v>0</v>
      </c>
      <c r="AS1134" s="52" t="n">
        <v>0</v>
      </c>
      <c r="AT1134" s="52" t="n">
        <v>0</v>
      </c>
      <c r="AU1134" s="53" t="n">
        <v>0</v>
      </c>
      <c r="AV1134" s="53" t="n">
        <v>0</v>
      </c>
      <c r="AW1134" s="53" t="n">
        <v>0</v>
      </c>
      <c r="AX1134" s="53" t="n">
        <v>0</v>
      </c>
      <c r="AY1134" s="52" t="n">
        <v>0</v>
      </c>
      <c r="AZ1134" s="52" t="n">
        <v>0</v>
      </c>
      <c r="BA1134" s="52" t="n">
        <v>0</v>
      </c>
      <c r="BB1134" s="52" t="n">
        <v>0</v>
      </c>
      <c r="BC1134" s="51" t="n">
        <v>0</v>
      </c>
      <c r="BD1134" s="51" t="n">
        <v>0</v>
      </c>
      <c r="BE1134" s="51" t="n">
        <v>0</v>
      </c>
      <c r="BF1134" s="51" t="n">
        <v>0</v>
      </c>
    </row>
    <row r="1135">
      <c r="A1135">
        <f>HYPERLINK("https://www.walmart.com/ip/670578162", "670578162")</f>
        <v/>
      </c>
      <c r="B1135" t="inlineStr">
        <is>
          <t>Catalonia Cow Print Sherpa Fleece Blanket, Super Soft Warm Cozy Flannel Reversible Throw Blanket for Couch Sofa Bed, 50" x 60"</t>
        </is>
      </c>
      <c r="C1135" t="inlineStr">
        <is>
          <t>1CTBF300DMT</t>
        </is>
      </c>
      <c r="D1135" t="inlineStr">
        <is>
          <t>Throws</t>
        </is>
      </c>
      <c r="E1135" t="inlineStr">
        <is>
          <t>Catalonia</t>
        </is>
      </c>
      <c r="F1135" t="inlineStr">
        <is>
          <t>Q2-Target,WFS,SeePriceInCart,WFS Item,Fleece Blankets</t>
        </is>
      </c>
      <c r="G1135" s="48" t="n">
        <v>0</v>
      </c>
      <c r="H1135" s="48" t="n">
        <v>0</v>
      </c>
      <c r="I1135" s="48" t="n">
        <v>0</v>
      </c>
      <c r="J1135" s="48" t="n">
        <v>0</v>
      </c>
      <c r="K1135" s="49" t="n">
        <v>0</v>
      </c>
      <c r="L1135" s="49" t="n">
        <v>0</v>
      </c>
      <c r="M1135" s="49" t="n">
        <v>0</v>
      </c>
      <c r="N1135" s="49" t="n">
        <v>0</v>
      </c>
      <c r="O1135" s="49" t="n">
        <v>0</v>
      </c>
      <c r="P1135" s="49" t="n">
        <v>0</v>
      </c>
      <c r="Q1135" s="49" t="n">
        <v>0</v>
      </c>
      <c r="R1135" s="49" t="n">
        <v>0</v>
      </c>
      <c r="S1135" s="50" t="n">
        <v>0</v>
      </c>
      <c r="T1135" s="50" t="n">
        <v>0</v>
      </c>
      <c r="U1135" s="50" t="n">
        <v>0</v>
      </c>
      <c r="V1135" s="50" t="n">
        <v>0</v>
      </c>
      <c r="W1135" s="51" t="n">
        <v>0</v>
      </c>
      <c r="X1135" s="51" t="n">
        <v>0</v>
      </c>
      <c r="Y1135" s="51" t="n">
        <v>0</v>
      </c>
      <c r="Z1135" s="51" t="n">
        <v>0</v>
      </c>
      <c r="AA1135" s="52" t="n">
        <v>0</v>
      </c>
      <c r="AB1135" s="52" t="n">
        <v>0</v>
      </c>
      <c r="AC1135" s="52" t="n">
        <v>0</v>
      </c>
      <c r="AD1135" s="52" t="n">
        <v>0</v>
      </c>
      <c r="AE1135" s="52" t="n">
        <v>0</v>
      </c>
      <c r="AF1135" s="52" t="n">
        <v>0</v>
      </c>
      <c r="AG1135" s="52" t="n">
        <v>0</v>
      </c>
      <c r="AH1135" s="52" t="n">
        <v>0</v>
      </c>
      <c r="AI1135" s="52" t="n">
        <v>0</v>
      </c>
      <c r="AJ1135" s="52" t="n">
        <v>0</v>
      </c>
      <c r="AK1135" s="52" t="n">
        <v>0</v>
      </c>
      <c r="AL1135" s="52" t="n">
        <v>0</v>
      </c>
      <c r="AM1135" s="53" t="n">
        <v>0</v>
      </c>
      <c r="AN1135" s="53" t="n">
        <v>0</v>
      </c>
      <c r="AO1135" s="53" t="n">
        <v>0</v>
      </c>
      <c r="AP1135" s="53" t="n">
        <v>0</v>
      </c>
      <c r="AQ1135" s="52" t="n">
        <v>0</v>
      </c>
      <c r="AR1135" s="52" t="n">
        <v>0</v>
      </c>
      <c r="AS1135" s="52" t="n">
        <v>0</v>
      </c>
      <c r="AT1135" s="52" t="n">
        <v>0</v>
      </c>
      <c r="AU1135" s="53" t="n">
        <v>0</v>
      </c>
      <c r="AV1135" s="53" t="n">
        <v>0</v>
      </c>
      <c r="AW1135" s="53" t="n">
        <v>0</v>
      </c>
      <c r="AX1135" s="53" t="n">
        <v>0</v>
      </c>
      <c r="AY1135" s="52" t="n">
        <v>0</v>
      </c>
      <c r="AZ1135" s="52" t="n">
        <v>0</v>
      </c>
      <c r="BA1135" s="52" t="n">
        <v>0</v>
      </c>
      <c r="BB1135" s="52" t="n">
        <v>0</v>
      </c>
      <c r="BC1135" s="51" t="n">
        <v>0</v>
      </c>
      <c r="BD1135" s="51" t="n">
        <v>0</v>
      </c>
      <c r="BE1135" s="51" t="n">
        <v>0</v>
      </c>
      <c r="BF1135" s="51" t="n">
        <v>0</v>
      </c>
    </row>
    <row r="1136">
      <c r="A1136">
        <f>HYPERLINK("https://www.walmart.com/ip/371351927", "371351927")</f>
        <v/>
      </c>
      <c r="B1136" t="inlineStr">
        <is>
          <t>Tirrinia UV Protection Hat Unisex Wide Brim Large Bill Neck Flap Mesh Nets with Adjustable Drawstring Khaki</t>
        </is>
      </c>
      <c r="C1136" t="inlineStr">
        <is>
          <t>1TRSH9152KK-TBGM</t>
        </is>
      </c>
      <c r="D1136" t="inlineStr">
        <is>
          <t>Hats</t>
        </is>
      </c>
      <c r="E1136" t="inlineStr">
        <is>
          <t>Tirrinia</t>
        </is>
      </c>
      <c r="F1136" t="inlineStr">
        <is>
          <t>Optimized</t>
        </is>
      </c>
      <c r="G1136" s="48" t="n">
        <v>0</v>
      </c>
      <c r="H1136" s="48" t="n">
        <v>0</v>
      </c>
      <c r="I1136" s="48" t="n">
        <v>0</v>
      </c>
      <c r="J1136" s="48" t="n">
        <v>0</v>
      </c>
      <c r="K1136" s="49" t="n">
        <v>0</v>
      </c>
      <c r="L1136" s="49" t="n">
        <v>0</v>
      </c>
      <c r="M1136" s="49" t="n">
        <v>0</v>
      </c>
      <c r="N1136" s="49" t="n">
        <v>0</v>
      </c>
      <c r="O1136" s="49" t="n">
        <v>0</v>
      </c>
      <c r="P1136" s="49" t="n">
        <v>0</v>
      </c>
      <c r="Q1136" s="49" t="n">
        <v>0</v>
      </c>
      <c r="R1136" s="49" t="n">
        <v>0</v>
      </c>
      <c r="S1136" s="50" t="n">
        <v>0</v>
      </c>
      <c r="T1136" s="50" t="n">
        <v>0</v>
      </c>
      <c r="U1136" s="50" t="n">
        <v>0</v>
      </c>
      <c r="V1136" s="50" t="n">
        <v>0</v>
      </c>
      <c r="W1136" s="51" t="n">
        <v>0</v>
      </c>
      <c r="X1136" s="51" t="n">
        <v>0</v>
      </c>
      <c r="Y1136" s="51" t="n">
        <v>0</v>
      </c>
      <c r="Z1136" s="51" t="n">
        <v>0</v>
      </c>
      <c r="AA1136" s="52" t="n">
        <v>0</v>
      </c>
      <c r="AB1136" s="52" t="n">
        <v>0</v>
      </c>
      <c r="AC1136" s="52" t="n">
        <v>0</v>
      </c>
      <c r="AD1136" s="52" t="n">
        <v>0</v>
      </c>
      <c r="AE1136" s="52" t="n">
        <v>0</v>
      </c>
      <c r="AF1136" s="52" t="n">
        <v>0</v>
      </c>
      <c r="AG1136" s="52" t="n">
        <v>0</v>
      </c>
      <c r="AH1136" s="52" t="n">
        <v>0</v>
      </c>
      <c r="AI1136" s="52" t="n">
        <v>0</v>
      </c>
      <c r="AJ1136" s="52" t="n">
        <v>0</v>
      </c>
      <c r="AK1136" s="52" t="n">
        <v>0</v>
      </c>
      <c r="AL1136" s="52" t="n">
        <v>0</v>
      </c>
      <c r="AM1136" s="53" t="n">
        <v>0</v>
      </c>
      <c r="AN1136" s="53" t="n">
        <v>0</v>
      </c>
      <c r="AO1136" s="53" t="n">
        <v>0</v>
      </c>
      <c r="AP1136" s="53" t="n">
        <v>0</v>
      </c>
      <c r="AQ1136" s="52" t="n">
        <v>0</v>
      </c>
      <c r="AR1136" s="52" t="n">
        <v>0</v>
      </c>
      <c r="AS1136" s="52" t="n">
        <v>0</v>
      </c>
      <c r="AT1136" s="52" t="n">
        <v>0</v>
      </c>
      <c r="AU1136" s="53" t="n">
        <v>0</v>
      </c>
      <c r="AV1136" s="53" t="n">
        <v>0</v>
      </c>
      <c r="AW1136" s="53" t="n">
        <v>0</v>
      </c>
      <c r="AX1136" s="53" t="n">
        <v>0</v>
      </c>
      <c r="AY1136" s="52" t="n">
        <v>0</v>
      </c>
      <c r="AZ1136" s="52" t="n">
        <v>0</v>
      </c>
      <c r="BA1136" s="52" t="n">
        <v>0</v>
      </c>
      <c r="BB1136" s="52" t="n">
        <v>0</v>
      </c>
      <c r="BC1136" s="51" t="n">
        <v>45</v>
      </c>
      <c r="BD1136" s="51" t="n">
        <v>0</v>
      </c>
      <c r="BE1136" s="51" t="n">
        <v>0</v>
      </c>
      <c r="BF1136" s="51" t="n">
        <v>0</v>
      </c>
    </row>
    <row r="1137">
      <c r="A1137">
        <f>HYPERLINK("https://www.walmart.com/ip/670417568", "670417568")</f>
        <v/>
      </c>
      <c r="B1137" t="inlineStr">
        <is>
          <t>Tirrinia Insulated 4 Bottle Wine Carrier Tote Cooler Bag for Travel Picnic Padded Champagne Glass Carrying Case Leather</t>
        </is>
      </c>
      <c r="C1137" t="inlineStr">
        <is>
          <t>1WMWB421PP</t>
        </is>
      </c>
      <c r="D1137" t="inlineStr">
        <is>
          <t>Wine Totes, Bags &amp; Backpacks</t>
        </is>
      </c>
      <c r="E1137" t="inlineStr">
        <is>
          <t>Flyingstar</t>
        </is>
      </c>
      <c r="F1137" t="inlineStr">
        <is>
          <t>Wine,Christmas,Optimized,Valentine</t>
        </is>
      </c>
      <c r="G1137" s="48" t="n">
        <v>0</v>
      </c>
      <c r="H1137" s="48" t="n">
        <v>0</v>
      </c>
      <c r="I1137" s="48" t="n">
        <v>0</v>
      </c>
      <c r="J1137" s="48" t="n">
        <v>0</v>
      </c>
      <c r="K1137" s="49" t="n">
        <v>0</v>
      </c>
      <c r="L1137" s="49" t="n">
        <v>0</v>
      </c>
      <c r="M1137" s="49" t="n">
        <v>0</v>
      </c>
      <c r="N1137" s="49" t="n">
        <v>0</v>
      </c>
      <c r="O1137" s="49" t="n">
        <v>0</v>
      </c>
      <c r="P1137" s="49" t="n">
        <v>0</v>
      </c>
      <c r="Q1137" s="49" t="n">
        <v>0</v>
      </c>
      <c r="R1137" s="49" t="n">
        <v>0</v>
      </c>
      <c r="S1137" s="50" t="n">
        <v>0</v>
      </c>
      <c r="T1137" s="50" t="n">
        <v>0</v>
      </c>
      <c r="U1137" s="50" t="n">
        <v>0</v>
      </c>
      <c r="V1137" s="50" t="n">
        <v>0</v>
      </c>
      <c r="W1137" s="51" t="n">
        <v>0</v>
      </c>
      <c r="X1137" s="51" t="n">
        <v>0</v>
      </c>
      <c r="Y1137" s="51" t="n">
        <v>0</v>
      </c>
      <c r="Z1137" s="51" t="n">
        <v>0</v>
      </c>
      <c r="AA1137" s="52" t="n">
        <v>0</v>
      </c>
      <c r="AB1137" s="52" t="n">
        <v>0</v>
      </c>
      <c r="AC1137" s="52" t="n">
        <v>0</v>
      </c>
      <c r="AD1137" s="52" t="n">
        <v>0</v>
      </c>
      <c r="AE1137" s="52" t="n">
        <v>0</v>
      </c>
      <c r="AF1137" s="52" t="n">
        <v>0</v>
      </c>
      <c r="AG1137" s="52" t="n">
        <v>0</v>
      </c>
      <c r="AH1137" s="52" t="n">
        <v>0</v>
      </c>
      <c r="AI1137" s="52" t="n">
        <v>0</v>
      </c>
      <c r="AJ1137" s="52" t="n">
        <v>0</v>
      </c>
      <c r="AK1137" s="52" t="n">
        <v>0</v>
      </c>
      <c r="AL1137" s="52" t="n">
        <v>0</v>
      </c>
      <c r="AM1137" s="53" t="n">
        <v>0</v>
      </c>
      <c r="AN1137" s="53" t="n">
        <v>0</v>
      </c>
      <c r="AO1137" s="53" t="n">
        <v>0</v>
      </c>
      <c r="AP1137" s="53" t="n">
        <v>0</v>
      </c>
      <c r="AQ1137" s="52" t="n">
        <v>0</v>
      </c>
      <c r="AR1137" s="52" t="n">
        <v>0</v>
      </c>
      <c r="AS1137" s="52" t="n">
        <v>0</v>
      </c>
      <c r="AT1137" s="52" t="n">
        <v>0</v>
      </c>
      <c r="AU1137" s="53" t="n">
        <v>0</v>
      </c>
      <c r="AV1137" s="53" t="n">
        <v>0</v>
      </c>
      <c r="AW1137" s="53" t="n">
        <v>0</v>
      </c>
      <c r="AX1137" s="53" t="n">
        <v>0</v>
      </c>
      <c r="AY1137" s="52" t="n">
        <v>0</v>
      </c>
      <c r="AZ1137" s="52" t="n">
        <v>0</v>
      </c>
      <c r="BA1137" s="52" t="n">
        <v>0</v>
      </c>
      <c r="BB1137" s="52" t="n">
        <v>0</v>
      </c>
      <c r="BC1137" s="51" t="n">
        <v>0</v>
      </c>
      <c r="BD1137" s="51" t="n">
        <v>0</v>
      </c>
      <c r="BE1137" s="51" t="n">
        <v>0</v>
      </c>
      <c r="BF1137" s="51" t="n">
        <v>0</v>
      </c>
    </row>
    <row r="1138">
      <c r="A1138">
        <f>HYPERLINK("https://www.walmart.com/ip/656544063", "656544063")</f>
        <v/>
      </c>
      <c r="B1138" t="inlineStr">
        <is>
          <t>Catalonia Brazilian Curly Wigs for African American Black Women,Kinky Lace Front Wig Heat Resistance Synthetic Fiber 16" Brown</t>
        </is>
      </c>
      <c r="C1138" t="inlineStr">
        <is>
          <t>1CTWIG386-2-ESCB</t>
        </is>
      </c>
      <c r="D1138" t="inlineStr">
        <is>
          <t>Wigs &amp; Toupees</t>
        </is>
      </c>
      <c r="E1138" t="inlineStr">
        <is>
          <t>Catalonia</t>
        </is>
      </c>
      <c r="G1138" s="48" t="n">
        <v>0</v>
      </c>
      <c r="H1138" s="48" t="n">
        <v>0</v>
      </c>
      <c r="I1138" s="48" t="n">
        <v>0</v>
      </c>
      <c r="J1138" s="48" t="n">
        <v>0</v>
      </c>
      <c r="K1138" s="49" t="n">
        <v>0</v>
      </c>
      <c r="L1138" s="49" t="n">
        <v>0</v>
      </c>
      <c r="M1138" s="49" t="n">
        <v>0</v>
      </c>
      <c r="N1138" s="49" t="n">
        <v>0</v>
      </c>
      <c r="O1138" s="49" t="n">
        <v>0</v>
      </c>
      <c r="P1138" s="49" t="n">
        <v>0</v>
      </c>
      <c r="Q1138" s="49" t="n">
        <v>0</v>
      </c>
      <c r="R1138" s="49" t="n">
        <v>0</v>
      </c>
      <c r="S1138" s="50" t="n">
        <v>0</v>
      </c>
      <c r="T1138" s="50" t="n">
        <v>0</v>
      </c>
      <c r="U1138" s="50" t="n">
        <v>0</v>
      </c>
      <c r="V1138" s="50" t="n">
        <v>0</v>
      </c>
      <c r="W1138" s="51" t="n">
        <v>0</v>
      </c>
      <c r="X1138" s="51" t="n">
        <v>0</v>
      </c>
      <c r="Y1138" s="51" t="n">
        <v>0</v>
      </c>
      <c r="Z1138" s="51" t="n">
        <v>0</v>
      </c>
      <c r="AA1138" s="52" t="n">
        <v>0</v>
      </c>
      <c r="AB1138" s="52" t="n">
        <v>0</v>
      </c>
      <c r="AC1138" s="52" t="n">
        <v>0</v>
      </c>
      <c r="AD1138" s="52" t="n">
        <v>0</v>
      </c>
      <c r="AE1138" s="52" t="n">
        <v>0</v>
      </c>
      <c r="AF1138" s="52" t="n">
        <v>0</v>
      </c>
      <c r="AG1138" s="52" t="n">
        <v>0</v>
      </c>
      <c r="AH1138" s="52" t="n">
        <v>0</v>
      </c>
      <c r="AI1138" s="52" t="n">
        <v>0</v>
      </c>
      <c r="AJ1138" s="52" t="n">
        <v>0</v>
      </c>
      <c r="AK1138" s="52" t="n">
        <v>0</v>
      </c>
      <c r="AL1138" s="52" t="n">
        <v>0</v>
      </c>
      <c r="AM1138" s="53" t="n">
        <v>0</v>
      </c>
      <c r="AN1138" s="53" t="n">
        <v>0</v>
      </c>
      <c r="AO1138" s="53" t="n">
        <v>0</v>
      </c>
      <c r="AP1138" s="53" t="n">
        <v>0</v>
      </c>
      <c r="AQ1138" s="52" t="n">
        <v>0</v>
      </c>
      <c r="AR1138" s="52" t="n">
        <v>0</v>
      </c>
      <c r="AS1138" s="52" t="n">
        <v>0</v>
      </c>
      <c r="AT1138" s="52" t="n">
        <v>0</v>
      </c>
      <c r="AU1138" s="53" t="n">
        <v>0</v>
      </c>
      <c r="AV1138" s="53" t="n">
        <v>0</v>
      </c>
      <c r="AW1138" s="53" t="n">
        <v>0</v>
      </c>
      <c r="AX1138" s="53" t="n">
        <v>0</v>
      </c>
      <c r="AY1138" s="52" t="n">
        <v>0</v>
      </c>
      <c r="AZ1138" s="52" t="n">
        <v>0</v>
      </c>
      <c r="BA1138" s="52" t="n">
        <v>0</v>
      </c>
      <c r="BB1138" s="52" t="n">
        <v>0</v>
      </c>
      <c r="BC1138" s="51" t="n">
        <v>0</v>
      </c>
      <c r="BD1138" s="51" t="n">
        <v>0</v>
      </c>
      <c r="BE1138" s="51" t="n">
        <v>0</v>
      </c>
      <c r="BF1138" s="51" t="n">
        <v>0</v>
      </c>
    </row>
    <row r="1139">
      <c r="A1139">
        <f>HYPERLINK("https://www.walmart.com/ip/657141976", "657141976")</f>
        <v/>
      </c>
      <c r="B1139" t="inlineStr">
        <is>
          <t>Catalonia Sherpa Fleece Throw Blanket, Super Soft Plush Couch Blanket, TV Bed Blanket, Comfy Warm Heavy Throws, Comfort Caring Gift, 50x60 inches</t>
        </is>
      </c>
      <c r="C1139" t="inlineStr">
        <is>
          <t>1CTBF300ZEBRA</t>
        </is>
      </c>
      <c r="D1139" t="inlineStr">
        <is>
          <t>Throws</t>
        </is>
      </c>
      <c r="E1139" t="inlineStr">
        <is>
          <t>Catalonia</t>
        </is>
      </c>
      <c r="F1139" t="inlineStr">
        <is>
          <t>WFS,Coupon_Discount,WFS Item</t>
        </is>
      </c>
      <c r="G1139" s="48" t="n">
        <v>0</v>
      </c>
      <c r="H1139" s="48" t="n">
        <v>0</v>
      </c>
      <c r="I1139" s="48" t="n">
        <v>0</v>
      </c>
      <c r="J1139" s="48" t="n">
        <v>0</v>
      </c>
      <c r="K1139" s="49" t="n">
        <v>0</v>
      </c>
      <c r="L1139" s="49" t="n">
        <v>0</v>
      </c>
      <c r="M1139" s="49" t="n">
        <v>0</v>
      </c>
      <c r="N1139" s="49" t="n">
        <v>0</v>
      </c>
      <c r="O1139" s="49" t="n">
        <v>0</v>
      </c>
      <c r="P1139" s="49" t="n">
        <v>0</v>
      </c>
      <c r="Q1139" s="49" t="n">
        <v>0</v>
      </c>
      <c r="R1139" s="49" t="n">
        <v>0</v>
      </c>
      <c r="S1139" s="50" t="n">
        <v>0</v>
      </c>
      <c r="T1139" s="50" t="n">
        <v>0</v>
      </c>
      <c r="U1139" s="50" t="n">
        <v>0</v>
      </c>
      <c r="V1139" s="50" t="n">
        <v>0</v>
      </c>
      <c r="W1139" s="51" t="n">
        <v>0</v>
      </c>
      <c r="X1139" s="51" t="n">
        <v>0</v>
      </c>
      <c r="Y1139" s="51" t="n">
        <v>0</v>
      </c>
      <c r="Z1139" s="51" t="n">
        <v>0</v>
      </c>
      <c r="AA1139" s="52" t="n">
        <v>0</v>
      </c>
      <c r="AB1139" s="52" t="n">
        <v>0</v>
      </c>
      <c r="AC1139" s="52" t="n">
        <v>0</v>
      </c>
      <c r="AD1139" s="52" t="n">
        <v>0</v>
      </c>
      <c r="AE1139" s="52" t="n">
        <v>0</v>
      </c>
      <c r="AF1139" s="52" t="n">
        <v>0</v>
      </c>
      <c r="AG1139" s="52" t="n">
        <v>0</v>
      </c>
      <c r="AH1139" s="52" t="n">
        <v>0</v>
      </c>
      <c r="AI1139" s="52" t="n">
        <v>0</v>
      </c>
      <c r="AJ1139" s="52" t="n">
        <v>0</v>
      </c>
      <c r="AK1139" s="52" t="n">
        <v>0</v>
      </c>
      <c r="AL1139" s="52" t="n">
        <v>0</v>
      </c>
      <c r="AM1139" s="53" t="n">
        <v>0</v>
      </c>
      <c r="AN1139" s="53" t="n">
        <v>0</v>
      </c>
      <c r="AO1139" s="53" t="n">
        <v>0</v>
      </c>
      <c r="AP1139" s="53" t="n">
        <v>0</v>
      </c>
      <c r="AQ1139" s="52" t="n">
        <v>0</v>
      </c>
      <c r="AR1139" s="52" t="n">
        <v>0</v>
      </c>
      <c r="AS1139" s="52" t="n">
        <v>0</v>
      </c>
      <c r="AT1139" s="52" t="n">
        <v>0</v>
      </c>
      <c r="AU1139" s="53" t="n">
        <v>0</v>
      </c>
      <c r="AV1139" s="53" t="n">
        <v>0</v>
      </c>
      <c r="AW1139" s="53" t="n">
        <v>0</v>
      </c>
      <c r="AX1139" s="53" t="n">
        <v>0</v>
      </c>
      <c r="AY1139" s="52" t="n">
        <v>0</v>
      </c>
      <c r="AZ1139" s="52" t="n">
        <v>0</v>
      </c>
      <c r="BA1139" s="52" t="n">
        <v>0</v>
      </c>
      <c r="BB1139" s="52" t="n">
        <v>0</v>
      </c>
      <c r="BC1139" s="51" t="n">
        <v>0</v>
      </c>
      <c r="BD1139" s="51" t="n">
        <v>0</v>
      </c>
      <c r="BE1139" s="51" t="n">
        <v>0</v>
      </c>
      <c r="BF1139" s="51" t="n">
        <v>0</v>
      </c>
    </row>
    <row r="1140">
      <c r="A1140">
        <f>HYPERLINK("https://www.walmart.com/ip/657559608", "657559608")</f>
        <v/>
      </c>
      <c r="B1140" t="inlineStr">
        <is>
          <t>Ski Gloves for Women &amp; Men 3M Winter Snow Gloves Mittens Insulation Waterproof for Outdoors Sports</t>
        </is>
      </c>
      <c r="C1140" t="inlineStr">
        <is>
          <t>1SLWG100BKM</t>
        </is>
      </c>
      <c r="D1140" t="inlineStr">
        <is>
          <t>Gloves &amp; Mittens</t>
        </is>
      </c>
      <c r="E1140" t="inlineStr">
        <is>
          <t>Solaris</t>
        </is>
      </c>
      <c r="F1140" t="inlineStr">
        <is>
          <t>Gloves,WFS,WFS Item</t>
        </is>
      </c>
      <c r="G1140" s="48" t="n">
        <v>0</v>
      </c>
      <c r="H1140" s="48" t="n">
        <v>0</v>
      </c>
      <c r="I1140" s="48" t="n">
        <v>0</v>
      </c>
      <c r="J1140" s="48" t="n">
        <v>0</v>
      </c>
      <c r="K1140" s="49" t="n">
        <v>0</v>
      </c>
      <c r="L1140" s="49" t="n">
        <v>0</v>
      </c>
      <c r="M1140" s="49" t="n">
        <v>0</v>
      </c>
      <c r="N1140" s="49" t="n">
        <v>0</v>
      </c>
      <c r="O1140" s="49" t="n">
        <v>0</v>
      </c>
      <c r="P1140" s="49" t="n">
        <v>0</v>
      </c>
      <c r="Q1140" s="49" t="n">
        <v>0</v>
      </c>
      <c r="R1140" s="49" t="n">
        <v>0</v>
      </c>
      <c r="S1140" s="50" t="n">
        <v>0</v>
      </c>
      <c r="T1140" s="50" t="n">
        <v>0</v>
      </c>
      <c r="U1140" s="50" t="n">
        <v>0</v>
      </c>
      <c r="V1140" s="50" t="n">
        <v>0</v>
      </c>
      <c r="W1140" s="51" t="n">
        <v>0</v>
      </c>
      <c r="X1140" s="51" t="n">
        <v>0</v>
      </c>
      <c r="Y1140" s="51" t="n">
        <v>0</v>
      </c>
      <c r="Z1140" s="51" t="n">
        <v>0</v>
      </c>
      <c r="AA1140" s="52" t="n">
        <v>0</v>
      </c>
      <c r="AB1140" s="52" t="n">
        <v>0</v>
      </c>
      <c r="AC1140" s="52" t="n">
        <v>0</v>
      </c>
      <c r="AD1140" s="52" t="n">
        <v>0</v>
      </c>
      <c r="AE1140" s="52" t="n">
        <v>0</v>
      </c>
      <c r="AF1140" s="52" t="n">
        <v>0</v>
      </c>
      <c r="AG1140" s="52" t="n">
        <v>0</v>
      </c>
      <c r="AH1140" s="52" t="n">
        <v>0</v>
      </c>
      <c r="AI1140" s="52" t="n">
        <v>0</v>
      </c>
      <c r="AJ1140" s="52" t="n">
        <v>0</v>
      </c>
      <c r="AK1140" s="52" t="n">
        <v>0</v>
      </c>
      <c r="AL1140" s="52" t="n">
        <v>0</v>
      </c>
      <c r="AM1140" s="53" t="n">
        <v>0</v>
      </c>
      <c r="AN1140" s="53" t="n">
        <v>0</v>
      </c>
      <c r="AO1140" s="53" t="n">
        <v>0</v>
      </c>
      <c r="AP1140" s="53" t="n">
        <v>0</v>
      </c>
      <c r="AQ1140" s="52" t="n">
        <v>0</v>
      </c>
      <c r="AR1140" s="52" t="n">
        <v>0</v>
      </c>
      <c r="AS1140" s="52" t="n">
        <v>0</v>
      </c>
      <c r="AT1140" s="52" t="n">
        <v>0</v>
      </c>
      <c r="AU1140" s="53" t="n">
        <v>0</v>
      </c>
      <c r="AV1140" s="53" t="n">
        <v>0</v>
      </c>
      <c r="AW1140" s="53" t="n">
        <v>0</v>
      </c>
      <c r="AX1140" s="53" t="n">
        <v>0</v>
      </c>
      <c r="AY1140" s="52" t="n">
        <v>0</v>
      </c>
      <c r="AZ1140" s="52" t="n">
        <v>0</v>
      </c>
      <c r="BA1140" s="52" t="n">
        <v>0</v>
      </c>
      <c r="BB1140" s="52" t="n">
        <v>0</v>
      </c>
      <c r="BC1140" s="51" t="n">
        <v>0</v>
      </c>
      <c r="BD1140" s="51" t="n">
        <v>0</v>
      </c>
      <c r="BE1140" s="51" t="n">
        <v>0</v>
      </c>
      <c r="BF1140" s="51" t="n">
        <v>0</v>
      </c>
    </row>
    <row r="1141">
      <c r="A1141">
        <f>HYPERLINK("https://www.walmart.com/ip/657989120", "657989120")</f>
        <v/>
      </c>
      <c r="B1141" t="inlineStr">
        <is>
          <t>Tirrinia Insulated 2 Bottle Wine Carrier Tote Cooler Bag for Travel Picnic Padded Champagne Glass</t>
        </is>
      </c>
      <c r="C1141" t="inlineStr">
        <is>
          <t>1WMWB231BLSTR</t>
        </is>
      </c>
      <c r="D1141" t="inlineStr">
        <is>
          <t>Wine Totes, Bags &amp; Backpacks</t>
        </is>
      </c>
      <c r="E1141" t="inlineStr">
        <is>
          <t>Flyingstar</t>
        </is>
      </c>
      <c r="F1141" t="inlineStr">
        <is>
          <t>Wine,Christmas,Valentine</t>
        </is>
      </c>
      <c r="G1141" s="48" t="n">
        <v>0</v>
      </c>
      <c r="H1141" s="48" t="n">
        <v>0</v>
      </c>
      <c r="I1141" s="48" t="n">
        <v>0</v>
      </c>
      <c r="J1141" s="48" t="n">
        <v>0</v>
      </c>
      <c r="K1141" s="49" t="n">
        <v>0</v>
      </c>
      <c r="L1141" s="49" t="n">
        <v>0</v>
      </c>
      <c r="M1141" s="49" t="n">
        <v>0</v>
      </c>
      <c r="N1141" s="49" t="n">
        <v>0</v>
      </c>
      <c r="O1141" s="49" t="n">
        <v>0</v>
      </c>
      <c r="P1141" s="49" t="n">
        <v>0</v>
      </c>
      <c r="Q1141" s="49" t="n">
        <v>0</v>
      </c>
      <c r="R1141" s="49" t="n">
        <v>0</v>
      </c>
      <c r="S1141" s="50" t="n">
        <v>0</v>
      </c>
      <c r="T1141" s="50" t="n">
        <v>0</v>
      </c>
      <c r="U1141" s="50" t="n">
        <v>0</v>
      </c>
      <c r="V1141" s="50" t="n">
        <v>0</v>
      </c>
      <c r="W1141" s="51" t="n">
        <v>0</v>
      </c>
      <c r="X1141" s="51" t="n">
        <v>0</v>
      </c>
      <c r="Y1141" s="51" t="n">
        <v>0</v>
      </c>
      <c r="Z1141" s="51" t="n">
        <v>0</v>
      </c>
      <c r="AA1141" s="52" t="n">
        <v>0</v>
      </c>
      <c r="AB1141" s="52" t="n">
        <v>0</v>
      </c>
      <c r="AC1141" s="52" t="n">
        <v>0</v>
      </c>
      <c r="AD1141" s="52" t="n">
        <v>0</v>
      </c>
      <c r="AE1141" s="52" t="n">
        <v>0</v>
      </c>
      <c r="AF1141" s="52" t="n">
        <v>0</v>
      </c>
      <c r="AG1141" s="52" t="n">
        <v>0</v>
      </c>
      <c r="AH1141" s="52" t="n">
        <v>0</v>
      </c>
      <c r="AI1141" s="52" t="n">
        <v>0</v>
      </c>
      <c r="AJ1141" s="52" t="n">
        <v>0</v>
      </c>
      <c r="AK1141" s="52" t="n">
        <v>0</v>
      </c>
      <c r="AL1141" s="52" t="n">
        <v>0</v>
      </c>
      <c r="AM1141" s="53" t="n">
        <v>0</v>
      </c>
      <c r="AN1141" s="53" t="n">
        <v>0</v>
      </c>
      <c r="AO1141" s="53" t="n">
        <v>0</v>
      </c>
      <c r="AP1141" s="53" t="n">
        <v>0</v>
      </c>
      <c r="AQ1141" s="52" t="n">
        <v>0</v>
      </c>
      <c r="AR1141" s="52" t="n">
        <v>0</v>
      </c>
      <c r="AS1141" s="52" t="n">
        <v>0</v>
      </c>
      <c r="AT1141" s="52" t="n">
        <v>0</v>
      </c>
      <c r="AU1141" s="53" t="n">
        <v>0</v>
      </c>
      <c r="AV1141" s="53" t="n">
        <v>0</v>
      </c>
      <c r="AW1141" s="53" t="n">
        <v>0</v>
      </c>
      <c r="AX1141" s="53" t="n">
        <v>0</v>
      </c>
      <c r="AY1141" s="52" t="n">
        <v>0</v>
      </c>
      <c r="AZ1141" s="52" t="n">
        <v>0</v>
      </c>
      <c r="BA1141" s="52" t="n">
        <v>0</v>
      </c>
      <c r="BB1141" s="52" t="n">
        <v>0</v>
      </c>
      <c r="BC1141" s="51" t="n">
        <v>0</v>
      </c>
      <c r="BD1141" s="51" t="n">
        <v>0</v>
      </c>
      <c r="BE1141" s="51" t="n">
        <v>0</v>
      </c>
      <c r="BF1141" s="51" t="n">
        <v>0</v>
      </c>
    </row>
    <row r="1142">
      <c r="A1142">
        <f>HYPERLINK("https://www.walmart.com/ip/660689445", "660689445")</f>
        <v/>
      </c>
      <c r="B1142" t="inlineStr">
        <is>
          <t>Tirrinia Wearable Fleece Blanket with Sleeves for Adult Women Men, Super Soft Comfy Plush TV Blanket Throw Wrap Cover for Lounge Couch Reading Watching TV 73" x 51" Grey</t>
        </is>
      </c>
      <c r="C1142" t="inlineStr">
        <is>
          <t>1TRSN100GY</t>
        </is>
      </c>
      <c r="D1142" t="inlineStr">
        <is>
          <t>Throws</t>
        </is>
      </c>
      <c r="E1142" t="inlineStr">
        <is>
          <t>Tirrinia</t>
        </is>
      </c>
      <c r="F1142" t="inlineStr">
        <is>
          <t>WFS,WFS Item,Fleece Blankets</t>
        </is>
      </c>
      <c r="G1142" s="48" t="n">
        <v>0</v>
      </c>
      <c r="H1142" s="48" t="n">
        <v>0</v>
      </c>
      <c r="I1142" s="48" t="n">
        <v>0</v>
      </c>
      <c r="J1142" s="48" t="n">
        <v>0</v>
      </c>
      <c r="K1142" s="49" t="n">
        <v>0</v>
      </c>
      <c r="L1142" s="49" t="n">
        <v>0</v>
      </c>
      <c r="M1142" s="49" t="n">
        <v>0</v>
      </c>
      <c r="N1142" s="49" t="n">
        <v>0</v>
      </c>
      <c r="O1142" s="49" t="n">
        <v>0</v>
      </c>
      <c r="P1142" s="49" t="n">
        <v>0</v>
      </c>
      <c r="Q1142" s="49" t="n">
        <v>0</v>
      </c>
      <c r="R1142" s="49" t="n">
        <v>0</v>
      </c>
      <c r="S1142" s="50" t="n">
        <v>0</v>
      </c>
      <c r="T1142" s="50" t="n">
        <v>0</v>
      </c>
      <c r="U1142" s="50" t="n">
        <v>0</v>
      </c>
      <c r="V1142" s="50" t="n">
        <v>0</v>
      </c>
      <c r="W1142" s="51" t="n">
        <v>0</v>
      </c>
      <c r="X1142" s="51" t="n">
        <v>0</v>
      </c>
      <c r="Y1142" s="51" t="n">
        <v>0</v>
      </c>
      <c r="Z1142" s="51" t="n">
        <v>0</v>
      </c>
      <c r="AA1142" s="52" t="n">
        <v>0</v>
      </c>
      <c r="AB1142" s="52" t="n">
        <v>0</v>
      </c>
      <c r="AC1142" s="52" t="n">
        <v>0</v>
      </c>
      <c r="AD1142" s="52" t="n">
        <v>0</v>
      </c>
      <c r="AE1142" s="52" t="n">
        <v>0</v>
      </c>
      <c r="AF1142" s="52" t="n">
        <v>0</v>
      </c>
      <c r="AG1142" s="52" t="n">
        <v>0</v>
      </c>
      <c r="AH1142" s="52" t="n">
        <v>0</v>
      </c>
      <c r="AI1142" s="52" t="n">
        <v>0</v>
      </c>
      <c r="AJ1142" s="52" t="n">
        <v>0</v>
      </c>
      <c r="AK1142" s="52" t="n">
        <v>0</v>
      </c>
      <c r="AL1142" s="52" t="n">
        <v>0</v>
      </c>
      <c r="AM1142" s="53" t="n">
        <v>0</v>
      </c>
      <c r="AN1142" s="53" t="n">
        <v>0</v>
      </c>
      <c r="AO1142" s="53" t="n">
        <v>0</v>
      </c>
      <c r="AP1142" s="53" t="n">
        <v>0</v>
      </c>
      <c r="AQ1142" s="52" t="n">
        <v>0</v>
      </c>
      <c r="AR1142" s="52" t="n">
        <v>0</v>
      </c>
      <c r="AS1142" s="52" t="n">
        <v>0</v>
      </c>
      <c r="AT1142" s="52" t="n">
        <v>0</v>
      </c>
      <c r="AU1142" s="53" t="n">
        <v>0</v>
      </c>
      <c r="AV1142" s="53" t="n">
        <v>0</v>
      </c>
      <c r="AW1142" s="53" t="n">
        <v>0</v>
      </c>
      <c r="AX1142" s="53" t="n">
        <v>0</v>
      </c>
      <c r="AY1142" s="52" t="n">
        <v>0</v>
      </c>
      <c r="AZ1142" s="52" t="n">
        <v>0</v>
      </c>
      <c r="BA1142" s="52" t="n">
        <v>0</v>
      </c>
      <c r="BB1142" s="52" t="n">
        <v>0</v>
      </c>
      <c r="BC1142" s="51" t="n">
        <v>0</v>
      </c>
      <c r="BD1142" s="51" t="n">
        <v>0</v>
      </c>
      <c r="BE1142" s="51" t="n">
        <v>0</v>
      </c>
      <c r="BF1142" s="51" t="n">
        <v>0</v>
      </c>
    </row>
    <row r="1143">
      <c r="A1143">
        <f>HYPERLINK("https://www.walmart.com/ip/660768837", "660768837")</f>
        <v/>
      </c>
      <c r="B1143" t="inlineStr">
        <is>
          <t>Catalonia Queen Size Quilt Set, Lightweight Bedspread for Summer and Spring, 2 Pieces Bedding Coverlet, 1 Quilt and 1 Pillow Sham, Blue Wave Pattern, 90" X 96"</t>
        </is>
      </c>
      <c r="C1143" t="inlineStr">
        <is>
          <t>1CTBQ201QF-BLWT</t>
        </is>
      </c>
      <c r="D1143" t="inlineStr">
        <is>
          <t>Quilts</t>
        </is>
      </c>
      <c r="E1143" t="inlineStr">
        <is>
          <t>Catalonia</t>
        </is>
      </c>
      <c r="F1143" t="inlineStr">
        <is>
          <t>Optimized,SEM,Quilt_Vinay</t>
        </is>
      </c>
      <c r="G1143" s="48" t="n">
        <v>0</v>
      </c>
      <c r="H1143" s="48" t="n">
        <v>0</v>
      </c>
      <c r="I1143" s="48" t="n">
        <v>0</v>
      </c>
      <c r="J1143" s="48" t="n">
        <v>0</v>
      </c>
      <c r="K1143" s="49" t="n">
        <v>0</v>
      </c>
      <c r="L1143" s="49" t="n">
        <v>0</v>
      </c>
      <c r="M1143" s="49" t="n">
        <v>0</v>
      </c>
      <c r="N1143" s="49" t="n">
        <v>0</v>
      </c>
      <c r="O1143" s="49" t="n">
        <v>0</v>
      </c>
      <c r="P1143" s="49" t="n">
        <v>0</v>
      </c>
      <c r="Q1143" s="49" t="n">
        <v>0</v>
      </c>
      <c r="R1143" s="49" t="n">
        <v>0</v>
      </c>
      <c r="S1143" s="50" t="n">
        <v>0</v>
      </c>
      <c r="T1143" s="50" t="n">
        <v>0</v>
      </c>
      <c r="U1143" s="50" t="n">
        <v>0</v>
      </c>
      <c r="V1143" s="50" t="n">
        <v>0</v>
      </c>
      <c r="W1143" s="51" t="n">
        <v>0</v>
      </c>
      <c r="X1143" s="51" t="n">
        <v>0</v>
      </c>
      <c r="Y1143" s="51" t="n">
        <v>0</v>
      </c>
      <c r="Z1143" s="51" t="n">
        <v>0</v>
      </c>
      <c r="AA1143" s="52" t="n">
        <v>0</v>
      </c>
      <c r="AB1143" s="52" t="n">
        <v>0</v>
      </c>
      <c r="AC1143" s="52" t="n">
        <v>0</v>
      </c>
      <c r="AD1143" s="52" t="n">
        <v>0</v>
      </c>
      <c r="AE1143" s="52" t="n">
        <v>0</v>
      </c>
      <c r="AF1143" s="52" t="n">
        <v>0</v>
      </c>
      <c r="AG1143" s="52" t="n">
        <v>0</v>
      </c>
      <c r="AH1143" s="52" t="n">
        <v>0</v>
      </c>
      <c r="AI1143" s="52" t="n">
        <v>0</v>
      </c>
      <c r="AJ1143" s="52" t="n">
        <v>0</v>
      </c>
      <c r="AK1143" s="52" t="n">
        <v>0</v>
      </c>
      <c r="AL1143" s="52" t="n">
        <v>0</v>
      </c>
      <c r="AM1143" s="53" t="n">
        <v>0</v>
      </c>
      <c r="AN1143" s="53" t="n">
        <v>0</v>
      </c>
      <c r="AO1143" s="53" t="n">
        <v>0</v>
      </c>
      <c r="AP1143" s="53" t="n">
        <v>0</v>
      </c>
      <c r="AQ1143" s="52" t="n">
        <v>0</v>
      </c>
      <c r="AR1143" s="52" t="n">
        <v>0</v>
      </c>
      <c r="AS1143" s="52" t="n">
        <v>0</v>
      </c>
      <c r="AT1143" s="52" t="n">
        <v>0</v>
      </c>
      <c r="AU1143" s="53" t="n">
        <v>0</v>
      </c>
      <c r="AV1143" s="53" t="n">
        <v>0</v>
      </c>
      <c r="AW1143" s="53" t="n">
        <v>0</v>
      </c>
      <c r="AX1143" s="53" t="n">
        <v>0</v>
      </c>
      <c r="AY1143" s="52" t="n">
        <v>0</v>
      </c>
      <c r="AZ1143" s="52" t="n">
        <v>0</v>
      </c>
      <c r="BA1143" s="52" t="n">
        <v>0</v>
      </c>
      <c r="BB1143" s="52" t="n">
        <v>0</v>
      </c>
      <c r="BC1143" s="51" t="n">
        <v>0</v>
      </c>
      <c r="BD1143" s="51" t="n">
        <v>0</v>
      </c>
      <c r="BE1143" s="51" t="n">
        <v>0</v>
      </c>
      <c r="BF1143" s="51" t="n">
        <v>0</v>
      </c>
    </row>
    <row r="1144">
      <c r="A1144">
        <f>HYPERLINK("https://www.walmart.com/ip/662884176", "662884176")</f>
        <v/>
      </c>
      <c r="B1144" t="inlineStr">
        <is>
          <t>Two-Piece Tankini Swimsuit for Women Open Back Swimwear Suits Bathing Set by Tirrinia</t>
        </is>
      </c>
      <c r="C1144" t="inlineStr">
        <is>
          <t>1TRSS005BK-M</t>
        </is>
      </c>
      <c r="D1144" t="inlineStr">
        <is>
          <t>Bikini &amp; Tankini Tops</t>
        </is>
      </c>
      <c r="E1144" t="inlineStr">
        <is>
          <t>Tirrinia</t>
        </is>
      </c>
      <c r="F1144" t="inlineStr">
        <is>
          <t>Optimized</t>
        </is>
      </c>
      <c r="G1144" s="48" t="n">
        <v>0</v>
      </c>
      <c r="H1144" s="48" t="n">
        <v>0</v>
      </c>
      <c r="I1144" s="48" t="n">
        <v>0</v>
      </c>
      <c r="J1144" s="48" t="n">
        <v>0</v>
      </c>
      <c r="K1144" s="49" t="n">
        <v>0</v>
      </c>
      <c r="L1144" s="49" t="n">
        <v>0</v>
      </c>
      <c r="M1144" s="49" t="n">
        <v>0</v>
      </c>
      <c r="N1144" s="49" t="n">
        <v>0</v>
      </c>
      <c r="O1144" s="49" t="n">
        <v>0</v>
      </c>
      <c r="P1144" s="49" t="n">
        <v>0</v>
      </c>
      <c r="Q1144" s="49" t="n">
        <v>0</v>
      </c>
      <c r="R1144" s="49" t="n">
        <v>0</v>
      </c>
      <c r="S1144" s="50" t="n">
        <v>0</v>
      </c>
      <c r="T1144" s="50" t="n">
        <v>0</v>
      </c>
      <c r="U1144" s="50" t="n">
        <v>0</v>
      </c>
      <c r="V1144" s="50" t="n">
        <v>0</v>
      </c>
      <c r="W1144" s="51" t="n">
        <v>0</v>
      </c>
      <c r="X1144" s="51" t="n">
        <v>0</v>
      </c>
      <c r="Y1144" s="51" t="n">
        <v>0</v>
      </c>
      <c r="Z1144" s="51" t="n">
        <v>0</v>
      </c>
      <c r="AA1144" s="52" t="n">
        <v>0</v>
      </c>
      <c r="AB1144" s="52" t="n">
        <v>0</v>
      </c>
      <c r="AC1144" s="52" t="n">
        <v>0</v>
      </c>
      <c r="AD1144" s="52" t="n">
        <v>0</v>
      </c>
      <c r="AE1144" s="52" t="n">
        <v>0</v>
      </c>
      <c r="AF1144" s="52" t="n">
        <v>0</v>
      </c>
      <c r="AG1144" s="52" t="n">
        <v>0</v>
      </c>
      <c r="AH1144" s="52" t="n">
        <v>0</v>
      </c>
      <c r="AI1144" s="52" t="n">
        <v>0</v>
      </c>
      <c r="AJ1144" s="52" t="n">
        <v>0</v>
      </c>
      <c r="AK1144" s="52" t="n">
        <v>0</v>
      </c>
      <c r="AL1144" s="52" t="n">
        <v>0</v>
      </c>
      <c r="AM1144" s="53" t="n">
        <v>0</v>
      </c>
      <c r="AN1144" s="53" t="n">
        <v>0</v>
      </c>
      <c r="AO1144" s="53" t="n">
        <v>0</v>
      </c>
      <c r="AP1144" s="53" t="n">
        <v>0</v>
      </c>
      <c r="AQ1144" s="52" t="n">
        <v>0</v>
      </c>
      <c r="AR1144" s="52" t="n">
        <v>0</v>
      </c>
      <c r="AS1144" s="52" t="n">
        <v>0</v>
      </c>
      <c r="AT1144" s="52" t="n">
        <v>0</v>
      </c>
      <c r="AU1144" s="53" t="n">
        <v>0</v>
      </c>
      <c r="AV1144" s="53" t="n">
        <v>0</v>
      </c>
      <c r="AW1144" s="53" t="n">
        <v>0</v>
      </c>
      <c r="AX1144" s="53" t="n">
        <v>0</v>
      </c>
      <c r="AY1144" s="52" t="n">
        <v>0</v>
      </c>
      <c r="AZ1144" s="52" t="n">
        <v>0</v>
      </c>
      <c r="BA1144" s="52" t="n">
        <v>0</v>
      </c>
      <c r="BB1144" s="52" t="n">
        <v>0</v>
      </c>
      <c r="BC1144" s="51" t="n">
        <v>0</v>
      </c>
      <c r="BD1144" s="51" t="n">
        <v>0</v>
      </c>
      <c r="BE1144" s="51" t="n">
        <v>0</v>
      </c>
      <c r="BF1144" s="51" t="n">
        <v>0</v>
      </c>
    </row>
    <row r="1145">
      <c r="A1145">
        <f>HYPERLINK("https://www.walmart.com/ip/663987373", "663987373")</f>
        <v/>
      </c>
      <c r="B1145" t="inlineStr">
        <is>
          <t>Tirrinia Women's Sun Hat with Wide Brim and Neck Flap, Fishing Safari Hat for Outdoors, Hiking, Camping, Gardening and Lawn Field Work, Pink</t>
        </is>
      </c>
      <c r="C1145" t="inlineStr">
        <is>
          <t>1TRSH910PK-TBCB</t>
        </is>
      </c>
      <c r="D1145" t="inlineStr">
        <is>
          <t>Hats</t>
        </is>
      </c>
      <c r="E1145" t="inlineStr">
        <is>
          <t>Tirrinia</t>
        </is>
      </c>
      <c r="F1145" t="inlineStr">
        <is>
          <t>Hats,Batch 1 - TR</t>
        </is>
      </c>
      <c r="G1145" s="48" t="n">
        <v>0</v>
      </c>
      <c r="H1145" s="48" t="n">
        <v>0</v>
      </c>
      <c r="I1145" s="48" t="n">
        <v>0</v>
      </c>
      <c r="J1145" s="48" t="n">
        <v>0</v>
      </c>
      <c r="K1145" s="49" t="n">
        <v>0</v>
      </c>
      <c r="L1145" s="49" t="n">
        <v>0</v>
      </c>
      <c r="M1145" s="49" t="n">
        <v>0</v>
      </c>
      <c r="N1145" s="49" t="n">
        <v>0</v>
      </c>
      <c r="O1145" s="49" t="n">
        <v>0</v>
      </c>
      <c r="P1145" s="49" t="n">
        <v>0</v>
      </c>
      <c r="Q1145" s="49" t="n">
        <v>0</v>
      </c>
      <c r="R1145" s="49" t="n">
        <v>0</v>
      </c>
      <c r="S1145" s="50" t="n">
        <v>0</v>
      </c>
      <c r="T1145" s="50" t="n">
        <v>0</v>
      </c>
      <c r="U1145" s="50" t="n">
        <v>0</v>
      </c>
      <c r="V1145" s="50" t="n">
        <v>0</v>
      </c>
      <c r="W1145" s="51" t="n">
        <v>0</v>
      </c>
      <c r="X1145" s="51" t="n">
        <v>0</v>
      </c>
      <c r="Y1145" s="51" t="n">
        <v>0</v>
      </c>
      <c r="Z1145" s="51" t="n">
        <v>0</v>
      </c>
      <c r="AA1145" s="52" t="n">
        <v>0</v>
      </c>
      <c r="AB1145" s="52" t="n">
        <v>0</v>
      </c>
      <c r="AC1145" s="52" t="n">
        <v>0</v>
      </c>
      <c r="AD1145" s="52" t="n">
        <v>0</v>
      </c>
      <c r="AE1145" s="52" t="n">
        <v>0</v>
      </c>
      <c r="AF1145" s="52" t="n">
        <v>0</v>
      </c>
      <c r="AG1145" s="52" t="n">
        <v>0</v>
      </c>
      <c r="AH1145" s="52" t="n">
        <v>0</v>
      </c>
      <c r="AI1145" s="52" t="n">
        <v>0</v>
      </c>
      <c r="AJ1145" s="52" t="n">
        <v>0</v>
      </c>
      <c r="AK1145" s="52" t="n">
        <v>0</v>
      </c>
      <c r="AL1145" s="52" t="n">
        <v>0</v>
      </c>
      <c r="AM1145" s="53" t="n">
        <v>0</v>
      </c>
      <c r="AN1145" s="53" t="n">
        <v>0</v>
      </c>
      <c r="AO1145" s="53" t="n">
        <v>0</v>
      </c>
      <c r="AP1145" s="53" t="n">
        <v>0</v>
      </c>
      <c r="AQ1145" s="52" t="n">
        <v>0</v>
      </c>
      <c r="AR1145" s="52" t="n">
        <v>0</v>
      </c>
      <c r="AS1145" s="52" t="n">
        <v>0</v>
      </c>
      <c r="AT1145" s="52" t="n">
        <v>0</v>
      </c>
      <c r="AU1145" s="53" t="n">
        <v>0</v>
      </c>
      <c r="AV1145" s="53" t="n">
        <v>0</v>
      </c>
      <c r="AW1145" s="53" t="n">
        <v>0</v>
      </c>
      <c r="AX1145" s="53" t="n">
        <v>0</v>
      </c>
      <c r="AY1145" s="52" t="n">
        <v>0</v>
      </c>
      <c r="AZ1145" s="52" t="n">
        <v>0</v>
      </c>
      <c r="BA1145" s="52" t="n">
        <v>0</v>
      </c>
      <c r="BB1145" s="52" t="n">
        <v>0</v>
      </c>
      <c r="BC1145" s="51" t="n">
        <v>0</v>
      </c>
      <c r="BD1145" s="51" t="n">
        <v>0</v>
      </c>
      <c r="BE1145" s="51" t="n">
        <v>0</v>
      </c>
      <c r="BF1145" s="51" t="n">
        <v>0</v>
      </c>
    </row>
    <row r="1146">
      <c r="A1146">
        <f>HYPERLINK("https://www.walmart.com/ip/664726003", "664726003")</f>
        <v/>
      </c>
      <c r="B1146" t="inlineStr">
        <is>
          <t>Catalonia Hooded Blanket Poncho | Wearable Blanket Wrap with Hand Pockets | Comfy Sherpa Fleece Throw Cape for Children and Adults, Christmas Thanksgiving Mother Gift, Cow Print</t>
        </is>
      </c>
      <c r="C1146" t="inlineStr">
        <is>
          <t>1CTBC100DMT</t>
        </is>
      </c>
      <c r="D1146" t="inlineStr">
        <is>
          <t>Throws</t>
        </is>
      </c>
      <c r="E1146" t="inlineStr">
        <is>
          <t>Catalonia</t>
        </is>
      </c>
      <c r="F1146" t="inlineStr">
        <is>
          <t>WFS,High AUR Items,WFS Item</t>
        </is>
      </c>
      <c r="G1146" s="48" t="n">
        <v>0</v>
      </c>
      <c r="H1146" s="48" t="n">
        <v>0</v>
      </c>
      <c r="I1146" s="48" t="n">
        <v>0</v>
      </c>
      <c r="J1146" s="48" t="n">
        <v>0</v>
      </c>
      <c r="K1146" s="49" t="n">
        <v>0</v>
      </c>
      <c r="L1146" s="49" t="n">
        <v>0</v>
      </c>
      <c r="M1146" s="49" t="n">
        <v>0</v>
      </c>
      <c r="N1146" s="49" t="n">
        <v>0</v>
      </c>
      <c r="O1146" s="49" t="n">
        <v>0</v>
      </c>
      <c r="P1146" s="49" t="n">
        <v>0</v>
      </c>
      <c r="Q1146" s="49" t="n">
        <v>0</v>
      </c>
      <c r="R1146" s="49" t="n">
        <v>0</v>
      </c>
      <c r="S1146" s="50" t="n">
        <v>0</v>
      </c>
      <c r="T1146" s="50" t="n">
        <v>0</v>
      </c>
      <c r="U1146" s="50" t="n">
        <v>0</v>
      </c>
      <c r="V1146" s="50" t="n">
        <v>0</v>
      </c>
      <c r="W1146" s="51" t="n">
        <v>0</v>
      </c>
      <c r="X1146" s="51" t="n">
        <v>0</v>
      </c>
      <c r="Y1146" s="51" t="n">
        <v>0</v>
      </c>
      <c r="Z1146" s="51" t="n">
        <v>0</v>
      </c>
      <c r="AA1146" s="52" t="n">
        <v>0</v>
      </c>
      <c r="AB1146" s="52" t="n">
        <v>0</v>
      </c>
      <c r="AC1146" s="52" t="n">
        <v>0</v>
      </c>
      <c r="AD1146" s="52" t="n">
        <v>0</v>
      </c>
      <c r="AE1146" s="52" t="n">
        <v>0</v>
      </c>
      <c r="AF1146" s="52" t="n">
        <v>0</v>
      </c>
      <c r="AG1146" s="52" t="n">
        <v>0</v>
      </c>
      <c r="AH1146" s="52" t="n">
        <v>0</v>
      </c>
      <c r="AI1146" s="52" t="n">
        <v>0</v>
      </c>
      <c r="AJ1146" s="52" t="n">
        <v>0</v>
      </c>
      <c r="AK1146" s="52" t="n">
        <v>0</v>
      </c>
      <c r="AL1146" s="52" t="n">
        <v>0</v>
      </c>
      <c r="AM1146" s="53" t="n">
        <v>0</v>
      </c>
      <c r="AN1146" s="53" t="n">
        <v>0</v>
      </c>
      <c r="AO1146" s="53" t="n">
        <v>0</v>
      </c>
      <c r="AP1146" s="53" t="n">
        <v>0</v>
      </c>
      <c r="AQ1146" s="52" t="n">
        <v>0</v>
      </c>
      <c r="AR1146" s="52" t="n">
        <v>0</v>
      </c>
      <c r="AS1146" s="52" t="n">
        <v>0</v>
      </c>
      <c r="AT1146" s="52" t="n">
        <v>0</v>
      </c>
      <c r="AU1146" s="53" t="n">
        <v>0</v>
      </c>
      <c r="AV1146" s="53" t="n">
        <v>0</v>
      </c>
      <c r="AW1146" s="53" t="n">
        <v>0</v>
      </c>
      <c r="AX1146" s="53" t="n">
        <v>0</v>
      </c>
      <c r="AY1146" s="52" t="n">
        <v>0</v>
      </c>
      <c r="AZ1146" s="52" t="n">
        <v>0</v>
      </c>
      <c r="BA1146" s="52" t="n">
        <v>0</v>
      </c>
      <c r="BB1146" s="52" t="n">
        <v>0</v>
      </c>
      <c r="BC1146" s="51" t="n">
        <v>0</v>
      </c>
      <c r="BD1146" s="51" t="n">
        <v>0</v>
      </c>
      <c r="BE1146" s="51" t="n">
        <v>0</v>
      </c>
      <c r="BF1146" s="51" t="n">
        <v>0</v>
      </c>
    </row>
    <row r="1147">
      <c r="A1147">
        <f>HYPERLINK("https://www.walmart.com/ip/665536454", "665536454")</f>
        <v/>
      </c>
      <c r="B1147" t="inlineStr">
        <is>
          <t>Kato Insulated Wine Carrier Tote - 4 Bottle Travel Padded Wine Carrying Cooler Bag with Handle and Adjustable Shoulder Strap, Great Gift for Wine Lover, Beige</t>
        </is>
      </c>
      <c r="C1147" t="inlineStr">
        <is>
          <t>1KTWB420BG</t>
        </is>
      </c>
      <c r="D1147" t="inlineStr">
        <is>
          <t>Wine Totes, Bags &amp; Backpacks</t>
        </is>
      </c>
      <c r="E1147" t="inlineStr">
        <is>
          <t>Kato</t>
        </is>
      </c>
      <c r="F1147" t="inlineStr">
        <is>
          <t>Wine,Christmas,Valentine</t>
        </is>
      </c>
      <c r="G1147" s="48" t="n">
        <v>0</v>
      </c>
      <c r="H1147" s="48" t="n">
        <v>0</v>
      </c>
      <c r="I1147" s="48" t="n">
        <v>0</v>
      </c>
      <c r="J1147" s="48" t="n">
        <v>0</v>
      </c>
      <c r="K1147" s="49" t="n">
        <v>0</v>
      </c>
      <c r="L1147" s="49" t="n">
        <v>0</v>
      </c>
      <c r="M1147" s="49" t="n">
        <v>0</v>
      </c>
      <c r="N1147" s="49" t="n">
        <v>0</v>
      </c>
      <c r="O1147" s="49" t="n">
        <v>0</v>
      </c>
      <c r="P1147" s="49" t="n">
        <v>0</v>
      </c>
      <c r="Q1147" s="49" t="n">
        <v>0</v>
      </c>
      <c r="R1147" s="49" t="n">
        <v>0</v>
      </c>
      <c r="S1147" s="50" t="n">
        <v>0</v>
      </c>
      <c r="T1147" s="50" t="n">
        <v>0</v>
      </c>
      <c r="U1147" s="50" t="n">
        <v>0</v>
      </c>
      <c r="V1147" s="50" t="n">
        <v>0</v>
      </c>
      <c r="W1147" s="51" t="n">
        <v>5</v>
      </c>
      <c r="X1147" s="51" t="n">
        <v>0</v>
      </c>
      <c r="Y1147" s="51" t="n">
        <v>0</v>
      </c>
      <c r="Z1147" s="51" t="n">
        <v>0</v>
      </c>
      <c r="AA1147" s="52" t="n">
        <v>2.16</v>
      </c>
      <c r="AB1147" s="52" t="n">
        <v>0</v>
      </c>
      <c r="AC1147" s="52" t="n">
        <v>0</v>
      </c>
      <c r="AD1147" s="52" t="n">
        <v>0</v>
      </c>
      <c r="AE1147" s="52" t="n">
        <v>0</v>
      </c>
      <c r="AF1147" s="52" t="n">
        <v>0</v>
      </c>
      <c r="AG1147" s="52" t="n">
        <v>0</v>
      </c>
      <c r="AH1147" s="52" t="n">
        <v>0</v>
      </c>
      <c r="AI1147" s="52" t="n">
        <v>0</v>
      </c>
      <c r="AJ1147" s="52" t="n">
        <v>0</v>
      </c>
      <c r="AK1147" s="52" t="n">
        <v>0</v>
      </c>
      <c r="AL1147" s="52" t="n">
        <v>0</v>
      </c>
      <c r="AM1147" s="53" t="n">
        <v>0.0048</v>
      </c>
      <c r="AN1147" s="53" t="n">
        <v>0</v>
      </c>
      <c r="AO1147" s="53" t="n">
        <v>0</v>
      </c>
      <c r="AP1147" s="53" t="n">
        <v>0</v>
      </c>
      <c r="AQ1147" s="52" t="n">
        <v>0.4320000000000001</v>
      </c>
      <c r="AR1147" s="52" t="n">
        <v>0</v>
      </c>
      <c r="AS1147" s="52" t="n">
        <v>0</v>
      </c>
      <c r="AT1147" s="52" t="n">
        <v>0</v>
      </c>
      <c r="AU1147" s="53" t="n">
        <v>0</v>
      </c>
      <c r="AV1147" s="53" t="n">
        <v>0</v>
      </c>
      <c r="AW1147" s="53" t="n">
        <v>0</v>
      </c>
      <c r="AX1147" s="53" t="n">
        <v>0</v>
      </c>
      <c r="AY1147" s="52" t="n">
        <v>0</v>
      </c>
      <c r="AZ1147" s="52" t="n">
        <v>0</v>
      </c>
      <c r="BA1147" s="52" t="n">
        <v>0</v>
      </c>
      <c r="BB1147" s="52" t="n">
        <v>0</v>
      </c>
      <c r="BC1147" s="51" t="n">
        <v>1033</v>
      </c>
      <c r="BD1147" s="51" t="n">
        <v>493</v>
      </c>
      <c r="BE1147" s="51" t="n">
        <v>508</v>
      </c>
      <c r="BF1147" s="51" t="n">
        <v>380</v>
      </c>
    </row>
    <row r="1148">
      <c r="A1148">
        <f>HYPERLINK("https://www.walmart.com/ip/665872536", "665872536")</f>
        <v/>
      </c>
      <c r="B1148" t="inlineStr">
        <is>
          <t>Women’s Swim Bathing Suit Cover Up, Summer Chiffon Backless Beach Dress Skirt</t>
        </is>
      </c>
      <c r="C1148" t="inlineStr">
        <is>
          <t>1WMDS110RD</t>
        </is>
      </c>
      <c r="D1148" t="inlineStr">
        <is>
          <t>Dresses</t>
        </is>
      </c>
      <c r="E1148" t="inlineStr">
        <is>
          <t>Flyingstar</t>
        </is>
      </c>
      <c r="F1148" t="inlineStr">
        <is>
          <t>Optimized</t>
        </is>
      </c>
      <c r="G1148" s="48" t="n">
        <v>0</v>
      </c>
      <c r="H1148" s="48" t="n">
        <v>0</v>
      </c>
      <c r="I1148" s="48" t="n">
        <v>0</v>
      </c>
      <c r="J1148" s="48" t="n">
        <v>0</v>
      </c>
      <c r="K1148" s="49" t="n">
        <v>0</v>
      </c>
      <c r="L1148" s="49" t="n">
        <v>0</v>
      </c>
      <c r="M1148" s="49" t="n">
        <v>0</v>
      </c>
      <c r="N1148" s="49" t="n">
        <v>0</v>
      </c>
      <c r="O1148" s="49" t="n">
        <v>0</v>
      </c>
      <c r="P1148" s="49" t="n">
        <v>0</v>
      </c>
      <c r="Q1148" s="49" t="n">
        <v>0</v>
      </c>
      <c r="R1148" s="49" t="n">
        <v>0</v>
      </c>
      <c r="S1148" s="50" t="n">
        <v>0</v>
      </c>
      <c r="T1148" s="50" t="n">
        <v>0</v>
      </c>
      <c r="U1148" s="50" t="n">
        <v>0</v>
      </c>
      <c r="V1148" s="50" t="n">
        <v>0</v>
      </c>
      <c r="W1148" s="51" t="n">
        <v>0</v>
      </c>
      <c r="X1148" s="51" t="n">
        <v>0</v>
      </c>
      <c r="Y1148" s="51" t="n">
        <v>0</v>
      </c>
      <c r="Z1148" s="51" t="n">
        <v>0</v>
      </c>
      <c r="AA1148" s="52" t="n">
        <v>0</v>
      </c>
      <c r="AB1148" s="52" t="n">
        <v>0</v>
      </c>
      <c r="AC1148" s="52" t="n">
        <v>0</v>
      </c>
      <c r="AD1148" s="52" t="n">
        <v>0</v>
      </c>
      <c r="AE1148" s="52" t="n">
        <v>0</v>
      </c>
      <c r="AF1148" s="52" t="n">
        <v>0</v>
      </c>
      <c r="AG1148" s="52" t="n">
        <v>0</v>
      </c>
      <c r="AH1148" s="52" t="n">
        <v>0</v>
      </c>
      <c r="AI1148" s="52" t="n">
        <v>0</v>
      </c>
      <c r="AJ1148" s="52" t="n">
        <v>0</v>
      </c>
      <c r="AK1148" s="52" t="n">
        <v>0</v>
      </c>
      <c r="AL1148" s="52" t="n">
        <v>0</v>
      </c>
      <c r="AM1148" s="53" t="n">
        <v>0</v>
      </c>
      <c r="AN1148" s="53" t="n">
        <v>0</v>
      </c>
      <c r="AO1148" s="53" t="n">
        <v>0</v>
      </c>
      <c r="AP1148" s="53" t="n">
        <v>0</v>
      </c>
      <c r="AQ1148" s="52" t="n">
        <v>0</v>
      </c>
      <c r="AR1148" s="52" t="n">
        <v>0</v>
      </c>
      <c r="AS1148" s="52" t="n">
        <v>0</v>
      </c>
      <c r="AT1148" s="52" t="n">
        <v>0</v>
      </c>
      <c r="AU1148" s="53" t="n">
        <v>0</v>
      </c>
      <c r="AV1148" s="53" t="n">
        <v>0</v>
      </c>
      <c r="AW1148" s="53" t="n">
        <v>0</v>
      </c>
      <c r="AX1148" s="53" t="n">
        <v>0</v>
      </c>
      <c r="AY1148" s="52" t="n">
        <v>0</v>
      </c>
      <c r="AZ1148" s="52" t="n">
        <v>0</v>
      </c>
      <c r="BA1148" s="52" t="n">
        <v>0</v>
      </c>
      <c r="BB1148" s="52" t="n">
        <v>0</v>
      </c>
      <c r="BC1148" s="51" t="n">
        <v>0</v>
      </c>
      <c r="BD1148" s="51" t="n">
        <v>0</v>
      </c>
      <c r="BE1148" s="51" t="n">
        <v>0</v>
      </c>
      <c r="BF1148" s="51" t="n">
        <v>0</v>
      </c>
    </row>
    <row r="1149">
      <c r="A1149">
        <f>HYPERLINK("https://www.walmart.com/ip/666068339", "666068339")</f>
        <v/>
      </c>
      <c r="B1149" t="inlineStr">
        <is>
          <t>Summer Outdoor UV Protection Sun Hats Unisex Caps Wide Brim Removable Crown Mesh Net Adjustable Drawstring</t>
        </is>
      </c>
      <c r="C1149" t="inlineStr">
        <is>
          <t>1SLSH895DG</t>
        </is>
      </c>
      <c r="D1149" t="inlineStr">
        <is>
          <t>Hats</t>
        </is>
      </c>
      <c r="E1149" t="inlineStr">
        <is>
          <t>Solaris</t>
        </is>
      </c>
      <c r="F1149" t="inlineStr">
        <is>
          <t>Batch 1 - TR</t>
        </is>
      </c>
      <c r="G1149" s="48" t="n">
        <v>0</v>
      </c>
      <c r="H1149" s="48" t="n">
        <v>0</v>
      </c>
      <c r="I1149" s="48" t="n">
        <v>0</v>
      </c>
      <c r="J1149" s="48" t="n">
        <v>0</v>
      </c>
      <c r="K1149" s="49" t="n">
        <v>0</v>
      </c>
      <c r="L1149" s="49" t="n">
        <v>0</v>
      </c>
      <c r="M1149" s="49" t="n">
        <v>0</v>
      </c>
      <c r="N1149" s="49" t="n">
        <v>0</v>
      </c>
      <c r="O1149" s="49" t="n">
        <v>0</v>
      </c>
      <c r="P1149" s="49" t="n">
        <v>0</v>
      </c>
      <c r="Q1149" s="49" t="n">
        <v>0</v>
      </c>
      <c r="R1149" s="49" t="n">
        <v>0</v>
      </c>
      <c r="S1149" s="50" t="n">
        <v>0</v>
      </c>
      <c r="T1149" s="50" t="n">
        <v>0</v>
      </c>
      <c r="U1149" s="50" t="n">
        <v>0</v>
      </c>
      <c r="V1149" s="50" t="n">
        <v>0</v>
      </c>
      <c r="W1149" s="51" t="n">
        <v>0</v>
      </c>
      <c r="X1149" s="51" t="n">
        <v>0</v>
      </c>
      <c r="Y1149" s="51" t="n">
        <v>0</v>
      </c>
      <c r="Z1149" s="51" t="n">
        <v>0</v>
      </c>
      <c r="AA1149" s="52" t="n">
        <v>0</v>
      </c>
      <c r="AB1149" s="52" t="n">
        <v>0</v>
      </c>
      <c r="AC1149" s="52" t="n">
        <v>0</v>
      </c>
      <c r="AD1149" s="52" t="n">
        <v>0</v>
      </c>
      <c r="AE1149" s="52" t="n">
        <v>0</v>
      </c>
      <c r="AF1149" s="52" t="n">
        <v>0</v>
      </c>
      <c r="AG1149" s="52" t="n">
        <v>0</v>
      </c>
      <c r="AH1149" s="52" t="n">
        <v>0</v>
      </c>
      <c r="AI1149" s="52" t="n">
        <v>0</v>
      </c>
      <c r="AJ1149" s="52" t="n">
        <v>0</v>
      </c>
      <c r="AK1149" s="52" t="n">
        <v>0</v>
      </c>
      <c r="AL1149" s="52" t="n">
        <v>0</v>
      </c>
      <c r="AM1149" s="53" t="n">
        <v>0</v>
      </c>
      <c r="AN1149" s="53" t="n">
        <v>0</v>
      </c>
      <c r="AO1149" s="53" t="n">
        <v>0</v>
      </c>
      <c r="AP1149" s="53" t="n">
        <v>0</v>
      </c>
      <c r="AQ1149" s="52" t="n">
        <v>0</v>
      </c>
      <c r="AR1149" s="52" t="n">
        <v>0</v>
      </c>
      <c r="AS1149" s="52" t="n">
        <v>0</v>
      </c>
      <c r="AT1149" s="52" t="n">
        <v>0</v>
      </c>
      <c r="AU1149" s="53" t="n">
        <v>0</v>
      </c>
      <c r="AV1149" s="53" t="n">
        <v>0</v>
      </c>
      <c r="AW1149" s="53" t="n">
        <v>0</v>
      </c>
      <c r="AX1149" s="53" t="n">
        <v>0</v>
      </c>
      <c r="AY1149" s="52" t="n">
        <v>0</v>
      </c>
      <c r="AZ1149" s="52" t="n">
        <v>0</v>
      </c>
      <c r="BA1149" s="52" t="n">
        <v>0</v>
      </c>
      <c r="BB1149" s="52" t="n">
        <v>0</v>
      </c>
      <c r="BC1149" s="51" t="n">
        <v>0</v>
      </c>
      <c r="BD1149" s="51" t="n">
        <v>0</v>
      </c>
      <c r="BE1149" s="51" t="n">
        <v>0</v>
      </c>
      <c r="BF1149" s="51" t="n">
        <v>0</v>
      </c>
    </row>
    <row r="1150">
      <c r="A1150">
        <f>HYPERLINK("https://www.walmart.com/ip/667681681", "667681681")</f>
        <v/>
      </c>
      <c r="B1150" t="inlineStr">
        <is>
          <t>Jennis Women's Sexy See-through Lingerie Lace Fishnet Suspender</t>
        </is>
      </c>
      <c r="C1150" t="inlineStr">
        <is>
          <t>JWBD01LE-3XL</t>
        </is>
      </c>
      <c r="D1150" t="inlineStr">
        <is>
          <t>Teddies &amp; Bodystockings</t>
        </is>
      </c>
      <c r="E1150" t="inlineStr">
        <is>
          <t>Jennis</t>
        </is>
      </c>
      <c r="F1150" t="inlineStr">
        <is>
          <t>Valentine</t>
        </is>
      </c>
      <c r="G1150" s="48" t="n">
        <v>0</v>
      </c>
      <c r="H1150" s="48" t="n">
        <v>0</v>
      </c>
      <c r="I1150" s="48" t="n">
        <v>0</v>
      </c>
      <c r="J1150" s="48" t="n">
        <v>0</v>
      </c>
      <c r="K1150" s="49" t="n">
        <v>0</v>
      </c>
      <c r="L1150" s="49" t="n">
        <v>0</v>
      </c>
      <c r="M1150" s="49" t="n">
        <v>0</v>
      </c>
      <c r="N1150" s="49" t="n">
        <v>0</v>
      </c>
      <c r="O1150" s="49" t="n">
        <v>0</v>
      </c>
      <c r="P1150" s="49" t="n">
        <v>0</v>
      </c>
      <c r="Q1150" s="49" t="n">
        <v>0</v>
      </c>
      <c r="R1150" s="49" t="n">
        <v>0</v>
      </c>
      <c r="S1150" s="50" t="n">
        <v>0</v>
      </c>
      <c r="T1150" s="50" t="n">
        <v>0</v>
      </c>
      <c r="U1150" s="50" t="n">
        <v>0</v>
      </c>
      <c r="V1150" s="50" t="n">
        <v>0</v>
      </c>
      <c r="W1150" s="51" t="n">
        <v>0</v>
      </c>
      <c r="X1150" s="51" t="n">
        <v>0</v>
      </c>
      <c r="Y1150" s="51" t="n">
        <v>0</v>
      </c>
      <c r="Z1150" s="51" t="n">
        <v>0</v>
      </c>
      <c r="AA1150" s="52" t="n">
        <v>0</v>
      </c>
      <c r="AB1150" s="52" t="n">
        <v>0</v>
      </c>
      <c r="AC1150" s="52" t="n">
        <v>0</v>
      </c>
      <c r="AD1150" s="52" t="n">
        <v>0</v>
      </c>
      <c r="AE1150" s="52" t="n">
        <v>0</v>
      </c>
      <c r="AF1150" s="52" t="n">
        <v>0</v>
      </c>
      <c r="AG1150" s="52" t="n">
        <v>0</v>
      </c>
      <c r="AH1150" s="52" t="n">
        <v>0</v>
      </c>
      <c r="AI1150" s="52" t="n">
        <v>0</v>
      </c>
      <c r="AJ1150" s="52" t="n">
        <v>0</v>
      </c>
      <c r="AK1150" s="52" t="n">
        <v>0</v>
      </c>
      <c r="AL1150" s="52" t="n">
        <v>0</v>
      </c>
      <c r="AM1150" s="53" t="n">
        <v>0</v>
      </c>
      <c r="AN1150" s="53" t="n">
        <v>0</v>
      </c>
      <c r="AO1150" s="53" t="n">
        <v>0</v>
      </c>
      <c r="AP1150" s="53" t="n">
        <v>0</v>
      </c>
      <c r="AQ1150" s="52" t="n">
        <v>0</v>
      </c>
      <c r="AR1150" s="52" t="n">
        <v>0</v>
      </c>
      <c r="AS1150" s="52" t="n">
        <v>0</v>
      </c>
      <c r="AT1150" s="52" t="n">
        <v>0</v>
      </c>
      <c r="AU1150" s="53" t="n">
        <v>0</v>
      </c>
      <c r="AV1150" s="53" t="n">
        <v>0</v>
      </c>
      <c r="AW1150" s="53" t="n">
        <v>0</v>
      </c>
      <c r="AX1150" s="53" t="n">
        <v>0</v>
      </c>
      <c r="AY1150" s="52" t="n">
        <v>0</v>
      </c>
      <c r="AZ1150" s="52" t="n">
        <v>0</v>
      </c>
      <c r="BA1150" s="52" t="n">
        <v>0</v>
      </c>
      <c r="BB1150" s="52" t="n">
        <v>0</v>
      </c>
      <c r="BC1150" s="51" t="n">
        <v>0</v>
      </c>
      <c r="BD1150" s="51" t="n">
        <v>0</v>
      </c>
      <c r="BE1150" s="51" t="n">
        <v>0</v>
      </c>
      <c r="BF1150" s="51" t="n">
        <v>0</v>
      </c>
    </row>
    <row r="1151">
      <c r="A1151">
        <f>HYPERLINK("https://www.walmart.com/ip/668408701", "668408701")</f>
        <v/>
      </c>
      <c r="B1151" t="inlineStr">
        <is>
          <t>sun blocker women's sun hat upf 50+ bucket cap packable outdoor travel hat</t>
        </is>
      </c>
      <c r="C1151" t="inlineStr">
        <is>
          <t>KC-S9200-GR</t>
        </is>
      </c>
      <c r="D1151" t="inlineStr">
        <is>
          <t>Hats</t>
        </is>
      </c>
      <c r="E1151" t="inlineStr">
        <is>
          <t>Sun Blocker</t>
        </is>
      </c>
      <c r="F1151" t="inlineStr">
        <is>
          <t>Batch 1 - TR</t>
        </is>
      </c>
      <c r="G1151" s="48" t="n">
        <v>0</v>
      </c>
      <c r="H1151" s="48" t="n">
        <v>0</v>
      </c>
      <c r="I1151" s="48" t="n">
        <v>0</v>
      </c>
      <c r="J1151" s="48" t="n">
        <v>0</v>
      </c>
      <c r="K1151" s="49" t="n">
        <v>0</v>
      </c>
      <c r="L1151" s="49" t="n">
        <v>0</v>
      </c>
      <c r="M1151" s="49" t="n">
        <v>0</v>
      </c>
      <c r="N1151" s="49" t="n">
        <v>0</v>
      </c>
      <c r="O1151" s="49" t="n">
        <v>0</v>
      </c>
      <c r="P1151" s="49" t="n">
        <v>0</v>
      </c>
      <c r="Q1151" s="49" t="n">
        <v>0</v>
      </c>
      <c r="R1151" s="49" t="n">
        <v>0</v>
      </c>
      <c r="S1151" s="50" t="n">
        <v>0</v>
      </c>
      <c r="T1151" s="50" t="n">
        <v>0</v>
      </c>
      <c r="U1151" s="50" t="n">
        <v>0</v>
      </c>
      <c r="V1151" s="50" t="n">
        <v>0</v>
      </c>
      <c r="W1151" s="51" t="n">
        <v>0</v>
      </c>
      <c r="X1151" s="51" t="n">
        <v>0</v>
      </c>
      <c r="Y1151" s="51" t="n">
        <v>0</v>
      </c>
      <c r="Z1151" s="51" t="n">
        <v>0</v>
      </c>
      <c r="AA1151" s="52" t="n">
        <v>0</v>
      </c>
      <c r="AB1151" s="52" t="n">
        <v>0</v>
      </c>
      <c r="AC1151" s="52" t="n">
        <v>0</v>
      </c>
      <c r="AD1151" s="52" t="n">
        <v>0</v>
      </c>
      <c r="AE1151" s="52" t="n">
        <v>0</v>
      </c>
      <c r="AF1151" s="52" t="n">
        <v>0</v>
      </c>
      <c r="AG1151" s="52" t="n">
        <v>0</v>
      </c>
      <c r="AH1151" s="52" t="n">
        <v>0</v>
      </c>
      <c r="AI1151" s="52" t="n">
        <v>0</v>
      </c>
      <c r="AJ1151" s="52" t="n">
        <v>0</v>
      </c>
      <c r="AK1151" s="52" t="n">
        <v>0</v>
      </c>
      <c r="AL1151" s="52" t="n">
        <v>0</v>
      </c>
      <c r="AM1151" s="53" t="n">
        <v>0</v>
      </c>
      <c r="AN1151" s="53" t="n">
        <v>0</v>
      </c>
      <c r="AO1151" s="53" t="n">
        <v>0</v>
      </c>
      <c r="AP1151" s="53" t="n">
        <v>0</v>
      </c>
      <c r="AQ1151" s="52" t="n">
        <v>0</v>
      </c>
      <c r="AR1151" s="52" t="n">
        <v>0</v>
      </c>
      <c r="AS1151" s="52" t="n">
        <v>0</v>
      </c>
      <c r="AT1151" s="52" t="n">
        <v>0</v>
      </c>
      <c r="AU1151" s="53" t="n">
        <v>0</v>
      </c>
      <c r="AV1151" s="53" t="n">
        <v>0</v>
      </c>
      <c r="AW1151" s="53" t="n">
        <v>0</v>
      </c>
      <c r="AX1151" s="53" t="n">
        <v>0</v>
      </c>
      <c r="AY1151" s="52" t="n">
        <v>0</v>
      </c>
      <c r="AZ1151" s="52" t="n">
        <v>0</v>
      </c>
      <c r="BA1151" s="52" t="n">
        <v>0</v>
      </c>
      <c r="BB1151" s="52" t="n">
        <v>0</v>
      </c>
      <c r="BC1151" s="51" t="n">
        <v>0</v>
      </c>
      <c r="BD1151" s="51" t="n">
        <v>0</v>
      </c>
      <c r="BE1151" s="51" t="n">
        <v>0</v>
      </c>
      <c r="BF1151" s="51" t="n">
        <v>0</v>
      </c>
    </row>
    <row r="1152">
      <c r="A1152">
        <f>HYPERLINK("https://www.walmart.com/ip/6698168886", "6698168886")</f>
        <v/>
      </c>
      <c r="B1152" t="inlineStr">
        <is>
          <t>Tirrinia Comfort All-Season Robe, Ultra-Smooth Womens Robe, Breathable,Luxury for Everyday Indulgence, Skin-friendly</t>
        </is>
      </c>
      <c r="C1152" t="inlineStr">
        <is>
          <t>1TRRB505PP-3-1</t>
        </is>
      </c>
      <c r="D1152" t="inlineStr">
        <is>
          <t>Sleepwear Robes &amp; Bathrobes</t>
        </is>
      </c>
      <c r="E1152" t="inlineStr">
        <is>
          <t>Tirrinia</t>
        </is>
      </c>
      <c r="G1152" s="48" t="n">
        <v>0</v>
      </c>
      <c r="H1152" s="48" t="n">
        <v>0</v>
      </c>
      <c r="I1152" s="48" t="n">
        <v>0</v>
      </c>
      <c r="J1152" s="48" t="n">
        <v>0</v>
      </c>
      <c r="K1152" s="49" t="n">
        <v>0</v>
      </c>
      <c r="L1152" s="49" t="n">
        <v>0</v>
      </c>
      <c r="M1152" s="49" t="n">
        <v>0</v>
      </c>
      <c r="N1152" s="49" t="n">
        <v>0</v>
      </c>
      <c r="O1152" s="49" t="n">
        <v>0</v>
      </c>
      <c r="P1152" s="49" t="n">
        <v>0</v>
      </c>
      <c r="Q1152" s="49" t="n">
        <v>0</v>
      </c>
      <c r="R1152" s="49" t="n">
        <v>0</v>
      </c>
      <c r="S1152" s="50" t="n">
        <v>0</v>
      </c>
      <c r="T1152" s="50" t="n">
        <v>0</v>
      </c>
      <c r="U1152" s="50" t="n">
        <v>0</v>
      </c>
      <c r="V1152" s="50" t="n">
        <v>0</v>
      </c>
      <c r="W1152" s="51" t="n">
        <v>0</v>
      </c>
      <c r="X1152" s="51" t="n">
        <v>0</v>
      </c>
      <c r="Y1152" s="51" t="n">
        <v>0</v>
      </c>
      <c r="Z1152" s="51" t="n">
        <v>0</v>
      </c>
      <c r="AA1152" s="52" t="n">
        <v>0</v>
      </c>
      <c r="AB1152" s="52" t="n">
        <v>0</v>
      </c>
      <c r="AC1152" s="52" t="n">
        <v>0</v>
      </c>
      <c r="AD1152" s="52" t="n">
        <v>0</v>
      </c>
      <c r="AE1152" s="52" t="n">
        <v>0</v>
      </c>
      <c r="AF1152" s="52" t="n">
        <v>0</v>
      </c>
      <c r="AG1152" s="52" t="n">
        <v>0</v>
      </c>
      <c r="AH1152" s="52" t="n">
        <v>0</v>
      </c>
      <c r="AI1152" s="52" t="n">
        <v>0</v>
      </c>
      <c r="AJ1152" s="52" t="n">
        <v>0</v>
      </c>
      <c r="AK1152" s="52" t="n">
        <v>0</v>
      </c>
      <c r="AL1152" s="52" t="n">
        <v>0</v>
      </c>
      <c r="AM1152" s="53" t="n">
        <v>0</v>
      </c>
      <c r="AN1152" s="53" t="n">
        <v>0</v>
      </c>
      <c r="AO1152" s="53" t="n">
        <v>0</v>
      </c>
      <c r="AP1152" s="53" t="n">
        <v>0</v>
      </c>
      <c r="AQ1152" s="52" t="n">
        <v>0</v>
      </c>
      <c r="AR1152" s="52" t="n">
        <v>0</v>
      </c>
      <c r="AS1152" s="52" t="n">
        <v>0</v>
      </c>
      <c r="AT1152" s="52" t="n">
        <v>0</v>
      </c>
      <c r="AU1152" s="53" t="n">
        <v>0</v>
      </c>
      <c r="AV1152" s="53" t="n">
        <v>0</v>
      </c>
      <c r="AW1152" s="53" t="n">
        <v>0</v>
      </c>
      <c r="AX1152" s="53" t="n">
        <v>0</v>
      </c>
      <c r="AY1152" s="52" t="n">
        <v>0</v>
      </c>
      <c r="AZ1152" s="52" t="n">
        <v>0</v>
      </c>
      <c r="BA1152" s="52" t="n">
        <v>0</v>
      </c>
      <c r="BB1152" s="52" t="n">
        <v>0</v>
      </c>
      <c r="BC1152" s="51" t="n">
        <v>0</v>
      </c>
      <c r="BD1152" s="51" t="n">
        <v>0</v>
      </c>
      <c r="BE1152" s="51" t="n">
        <v>0</v>
      </c>
      <c r="BF1152" s="51" t="n">
        <v>0</v>
      </c>
    </row>
    <row r="1153">
      <c r="A1153">
        <f>HYPERLINK("https://www.walmart.com/ip/738735577", "738735577")</f>
        <v/>
      </c>
      <c r="B1153" t="inlineStr">
        <is>
          <t>Catalonia 15lb Weighted Blanket for Kids Adult, Premium Heavy Blanket with Removable Cover, 60"×80", Cotton, Grey</t>
        </is>
      </c>
      <c r="C1153" t="inlineStr">
        <is>
          <t>1CTBG806GY-15M+C</t>
        </is>
      </c>
      <c r="D1153" t="inlineStr">
        <is>
          <t>Bed Blankets</t>
        </is>
      </c>
      <c r="E1153" t="inlineStr">
        <is>
          <t>Catalonia</t>
        </is>
      </c>
      <c r="F1153" t="inlineStr">
        <is>
          <t>WFS,Valentine,WFS Item</t>
        </is>
      </c>
      <c r="G1153" s="48" t="n">
        <v>0</v>
      </c>
      <c r="H1153" s="48" t="n">
        <v>0</v>
      </c>
      <c r="I1153" s="48" t="n">
        <v>0</v>
      </c>
      <c r="J1153" s="48" t="n">
        <v>0</v>
      </c>
      <c r="K1153" s="49" t="n">
        <v>0</v>
      </c>
      <c r="L1153" s="49" t="n">
        <v>0</v>
      </c>
      <c r="M1153" s="49" t="n">
        <v>0</v>
      </c>
      <c r="N1153" s="49" t="n">
        <v>0</v>
      </c>
      <c r="O1153" s="49" t="n">
        <v>0</v>
      </c>
      <c r="P1153" s="49" t="n">
        <v>0</v>
      </c>
      <c r="Q1153" s="49" t="n">
        <v>0</v>
      </c>
      <c r="R1153" s="49" t="n">
        <v>0</v>
      </c>
      <c r="S1153" s="50" t="n">
        <v>0</v>
      </c>
      <c r="T1153" s="50" t="n">
        <v>0</v>
      </c>
      <c r="U1153" s="50" t="n">
        <v>0</v>
      </c>
      <c r="V1153" s="50" t="n">
        <v>0</v>
      </c>
      <c r="W1153" s="51" t="n">
        <v>0</v>
      </c>
      <c r="X1153" s="51" t="n">
        <v>0</v>
      </c>
      <c r="Y1153" s="51" t="n">
        <v>0</v>
      </c>
      <c r="Z1153" s="51" t="n">
        <v>0</v>
      </c>
      <c r="AA1153" s="52" t="n">
        <v>0</v>
      </c>
      <c r="AB1153" s="52" t="n">
        <v>0</v>
      </c>
      <c r="AC1153" s="52" t="n">
        <v>0</v>
      </c>
      <c r="AD1153" s="52" t="n">
        <v>0</v>
      </c>
      <c r="AE1153" s="52" t="n">
        <v>0</v>
      </c>
      <c r="AF1153" s="52" t="n">
        <v>0</v>
      </c>
      <c r="AG1153" s="52" t="n">
        <v>0</v>
      </c>
      <c r="AH1153" s="52" t="n">
        <v>0</v>
      </c>
      <c r="AI1153" s="52" t="n">
        <v>0</v>
      </c>
      <c r="AJ1153" s="52" t="n">
        <v>0</v>
      </c>
      <c r="AK1153" s="52" t="n">
        <v>0</v>
      </c>
      <c r="AL1153" s="52" t="n">
        <v>0</v>
      </c>
      <c r="AM1153" s="53" t="n">
        <v>0</v>
      </c>
      <c r="AN1153" s="53" t="n">
        <v>0</v>
      </c>
      <c r="AO1153" s="53" t="n">
        <v>0</v>
      </c>
      <c r="AP1153" s="53" t="n">
        <v>0</v>
      </c>
      <c r="AQ1153" s="52" t="n">
        <v>0</v>
      </c>
      <c r="AR1153" s="52" t="n">
        <v>0</v>
      </c>
      <c r="AS1153" s="52" t="n">
        <v>0</v>
      </c>
      <c r="AT1153" s="52" t="n">
        <v>0</v>
      </c>
      <c r="AU1153" s="53" t="n">
        <v>0</v>
      </c>
      <c r="AV1153" s="53" t="n">
        <v>0</v>
      </c>
      <c r="AW1153" s="53" t="n">
        <v>0</v>
      </c>
      <c r="AX1153" s="53" t="n">
        <v>0</v>
      </c>
      <c r="AY1153" s="52" t="n">
        <v>0</v>
      </c>
      <c r="AZ1153" s="52" t="n">
        <v>0</v>
      </c>
      <c r="BA1153" s="52" t="n">
        <v>0</v>
      </c>
      <c r="BB1153" s="52" t="n">
        <v>0</v>
      </c>
      <c r="BC1153" s="51" t="n">
        <v>0</v>
      </c>
      <c r="BD1153" s="51" t="n">
        <v>0</v>
      </c>
      <c r="BE1153" s="51" t="n">
        <v>0</v>
      </c>
      <c r="BF1153" s="51" t="n">
        <v>0</v>
      </c>
    </row>
    <row r="1154">
      <c r="A1154">
        <f>HYPERLINK("https://www.walmart.com/ip/739132543", "739132543")</f>
        <v/>
      </c>
      <c r="B1154" t="inlineStr">
        <is>
          <t>Catalonia Sherpa Throw Blanket, Reversible Cozy Waffle Pattern Knitted Blanket Throw for Couch Bed 60"x50"</t>
        </is>
      </c>
      <c r="C1154" t="inlineStr">
        <is>
          <t>1CTBN300GY</t>
        </is>
      </c>
      <c r="D1154" t="inlineStr">
        <is>
          <t>Throws</t>
        </is>
      </c>
      <c r="E1154" t="inlineStr">
        <is>
          <t>Catalonia</t>
        </is>
      </c>
      <c r="F1154" t="inlineStr">
        <is>
          <t>Q2-Target,WFS,Coupon_Discount,WFS Item</t>
        </is>
      </c>
      <c r="G1154" s="48" t="n">
        <v>0</v>
      </c>
      <c r="H1154" s="48" t="n">
        <v>0</v>
      </c>
      <c r="I1154" s="48" t="n">
        <v>0</v>
      </c>
      <c r="J1154" s="48" t="n">
        <v>0</v>
      </c>
      <c r="K1154" s="49" t="n">
        <v>0</v>
      </c>
      <c r="L1154" s="49" t="n">
        <v>0</v>
      </c>
      <c r="M1154" s="49" t="n">
        <v>0</v>
      </c>
      <c r="N1154" s="49" t="n">
        <v>0</v>
      </c>
      <c r="O1154" s="49" t="n">
        <v>0</v>
      </c>
      <c r="P1154" s="49" t="n">
        <v>0</v>
      </c>
      <c r="Q1154" s="49" t="n">
        <v>0</v>
      </c>
      <c r="R1154" s="49" t="n">
        <v>0</v>
      </c>
      <c r="S1154" s="50" t="n">
        <v>0</v>
      </c>
      <c r="T1154" s="50" t="n">
        <v>0</v>
      </c>
      <c r="U1154" s="50" t="n">
        <v>0</v>
      </c>
      <c r="V1154" s="50" t="n">
        <v>0</v>
      </c>
      <c r="W1154" s="51" t="n">
        <v>0</v>
      </c>
      <c r="X1154" s="51" t="n">
        <v>0</v>
      </c>
      <c r="Y1154" s="51" t="n">
        <v>0</v>
      </c>
      <c r="Z1154" s="51" t="n">
        <v>0</v>
      </c>
      <c r="AA1154" s="52" t="n">
        <v>0</v>
      </c>
      <c r="AB1154" s="52" t="n">
        <v>0</v>
      </c>
      <c r="AC1154" s="52" t="n">
        <v>0</v>
      </c>
      <c r="AD1154" s="52" t="n">
        <v>0</v>
      </c>
      <c r="AE1154" s="52" t="n">
        <v>0</v>
      </c>
      <c r="AF1154" s="52" t="n">
        <v>0</v>
      </c>
      <c r="AG1154" s="52" t="n">
        <v>0</v>
      </c>
      <c r="AH1154" s="52" t="n">
        <v>0</v>
      </c>
      <c r="AI1154" s="52" t="n">
        <v>0</v>
      </c>
      <c r="AJ1154" s="52" t="n">
        <v>0</v>
      </c>
      <c r="AK1154" s="52" t="n">
        <v>0</v>
      </c>
      <c r="AL1154" s="52" t="n">
        <v>0</v>
      </c>
      <c r="AM1154" s="53" t="n">
        <v>0</v>
      </c>
      <c r="AN1154" s="53" t="n">
        <v>0</v>
      </c>
      <c r="AO1154" s="53" t="n">
        <v>0</v>
      </c>
      <c r="AP1154" s="53" t="n">
        <v>0</v>
      </c>
      <c r="AQ1154" s="52" t="n">
        <v>0</v>
      </c>
      <c r="AR1154" s="52" t="n">
        <v>0</v>
      </c>
      <c r="AS1154" s="52" t="n">
        <v>0</v>
      </c>
      <c r="AT1154" s="52" t="n">
        <v>0</v>
      </c>
      <c r="AU1154" s="53" t="n">
        <v>0</v>
      </c>
      <c r="AV1154" s="53" t="n">
        <v>0</v>
      </c>
      <c r="AW1154" s="53" t="n">
        <v>0</v>
      </c>
      <c r="AX1154" s="53" t="n">
        <v>0</v>
      </c>
      <c r="AY1154" s="52" t="n">
        <v>0</v>
      </c>
      <c r="AZ1154" s="52" t="n">
        <v>0</v>
      </c>
      <c r="BA1154" s="52" t="n">
        <v>0</v>
      </c>
      <c r="BB1154" s="52" t="n">
        <v>0</v>
      </c>
      <c r="BC1154" s="51" t="n">
        <v>0</v>
      </c>
      <c r="BD1154" s="51" t="n">
        <v>0</v>
      </c>
      <c r="BE1154" s="51" t="n">
        <v>0</v>
      </c>
      <c r="BF1154" s="51" t="n">
        <v>0</v>
      </c>
    </row>
    <row r="1155">
      <c r="A1155">
        <f>HYPERLINK("https://www.walmart.com/ip/740461992", "740461992")</f>
        <v/>
      </c>
      <c r="B1155" t="inlineStr">
        <is>
          <t>KC Caps® Sports Unisex plain Golf Flex Sandwich Baseball Cap Fitted Cotton Hat</t>
        </is>
      </c>
      <c r="C1155" t="inlineStr">
        <is>
          <t>KC Caps 8313 khaki</t>
        </is>
      </c>
      <c r="D1155" t="inlineStr">
        <is>
          <t>Golf Hats</t>
        </is>
      </c>
      <c r="E1155" t="inlineStr">
        <is>
          <t>KC Caps</t>
        </is>
      </c>
      <c r="F1155" t="inlineStr">
        <is>
          <t>Optimized</t>
        </is>
      </c>
      <c r="G1155" s="48" t="n">
        <v>0</v>
      </c>
      <c r="H1155" s="48" t="n">
        <v>0</v>
      </c>
      <c r="I1155" s="48" t="n">
        <v>0</v>
      </c>
      <c r="J1155" s="48" t="n">
        <v>8.99</v>
      </c>
      <c r="K1155" s="49" t="n">
        <v>0</v>
      </c>
      <c r="L1155" s="49" t="n">
        <v>0</v>
      </c>
      <c r="M1155" s="49" t="n">
        <v>0</v>
      </c>
      <c r="N1155" s="49" t="n">
        <v>1</v>
      </c>
      <c r="O1155" s="49" t="n">
        <v>0</v>
      </c>
      <c r="P1155" s="49" t="n">
        <v>0</v>
      </c>
      <c r="Q1155" s="49" t="n">
        <v>0</v>
      </c>
      <c r="R1155" s="49" t="n">
        <v>0</v>
      </c>
      <c r="S1155" s="50" t="n">
        <v>0</v>
      </c>
      <c r="T1155" s="50" t="n">
        <v>0</v>
      </c>
      <c r="U1155" s="50" t="n">
        <v>0</v>
      </c>
      <c r="V1155" s="50" t="n">
        <v>0</v>
      </c>
      <c r="W1155" s="51" t="n">
        <v>0</v>
      </c>
      <c r="X1155" s="51" t="n">
        <v>0</v>
      </c>
      <c r="Y1155" s="51" t="n">
        <v>0</v>
      </c>
      <c r="Z1155" s="51" t="n">
        <v>0</v>
      </c>
      <c r="AA1155" s="52" t="n">
        <v>0</v>
      </c>
      <c r="AB1155" s="52" t="n">
        <v>0</v>
      </c>
      <c r="AC1155" s="52" t="n">
        <v>0</v>
      </c>
      <c r="AD1155" s="52" t="n">
        <v>0</v>
      </c>
      <c r="AE1155" s="52" t="n">
        <v>0</v>
      </c>
      <c r="AF1155" s="52" t="n">
        <v>0</v>
      </c>
      <c r="AG1155" s="52" t="n">
        <v>0</v>
      </c>
      <c r="AH1155" s="52" t="n">
        <v>0</v>
      </c>
      <c r="AI1155" s="52" t="n">
        <v>0</v>
      </c>
      <c r="AJ1155" s="52" t="n">
        <v>0</v>
      </c>
      <c r="AK1155" s="52" t="n">
        <v>0</v>
      </c>
      <c r="AL1155" s="52" t="n">
        <v>0</v>
      </c>
      <c r="AM1155" s="53" t="n">
        <v>0</v>
      </c>
      <c r="AN1155" s="53" t="n">
        <v>0</v>
      </c>
      <c r="AO1155" s="53" t="n">
        <v>0</v>
      </c>
      <c r="AP1155" s="53" t="n">
        <v>0</v>
      </c>
      <c r="AQ1155" s="52" t="n">
        <v>0</v>
      </c>
      <c r="AR1155" s="52" t="n">
        <v>0</v>
      </c>
      <c r="AS1155" s="52" t="n">
        <v>0</v>
      </c>
      <c r="AT1155" s="52" t="n">
        <v>0</v>
      </c>
      <c r="AU1155" s="53" t="n">
        <v>0</v>
      </c>
      <c r="AV1155" s="53" t="n">
        <v>0</v>
      </c>
      <c r="AW1155" s="53" t="n">
        <v>0</v>
      </c>
      <c r="AX1155" s="53" t="n">
        <v>0</v>
      </c>
      <c r="AY1155" s="52" t="n">
        <v>0</v>
      </c>
      <c r="AZ1155" s="52" t="n">
        <v>0</v>
      </c>
      <c r="BA1155" s="52" t="n">
        <v>0</v>
      </c>
      <c r="BB1155" s="52" t="n">
        <v>8.99</v>
      </c>
      <c r="BC1155" s="51" t="n">
        <v>0</v>
      </c>
      <c r="BD1155" s="51" t="n">
        <v>0</v>
      </c>
      <c r="BE1155" s="51" t="n">
        <v>0</v>
      </c>
      <c r="BF1155" s="51" t="n">
        <v>0</v>
      </c>
    </row>
    <row r="1156">
      <c r="A1156">
        <f>HYPERLINK("https://www.walmart.com/ip/800195774", "800195774")</f>
        <v/>
      </c>
      <c r="B1156" t="inlineStr">
        <is>
          <t>Sherpa Wearable Blanket with Sleeves Arms, Super Soft Warm Comfy Large Fleece Plush Sleeved TV Throws Wrap Robe Blanket for Adult Women and Men, Zebra</t>
        </is>
      </c>
      <c r="C1156" t="inlineStr">
        <is>
          <t>1CTSN110ZEBRA</t>
        </is>
      </c>
      <c r="D1156" t="inlineStr">
        <is>
          <t>Throws</t>
        </is>
      </c>
      <c r="E1156" t="inlineStr">
        <is>
          <t>Catalonia</t>
        </is>
      </c>
      <c r="F1156" t="inlineStr">
        <is>
          <t>Q2-Target,Coupon_Discount,Batch 1 - TR</t>
        </is>
      </c>
      <c r="G1156" s="48" t="n">
        <v>0</v>
      </c>
      <c r="H1156" s="48" t="n">
        <v>0</v>
      </c>
      <c r="I1156" s="48" t="n">
        <v>0</v>
      </c>
      <c r="J1156" s="48" t="n">
        <v>0</v>
      </c>
      <c r="K1156" s="49" t="n">
        <v>0</v>
      </c>
      <c r="L1156" s="49" t="n">
        <v>0</v>
      </c>
      <c r="M1156" s="49" t="n">
        <v>0</v>
      </c>
      <c r="N1156" s="49" t="n">
        <v>0</v>
      </c>
      <c r="O1156" s="49" t="n">
        <v>0</v>
      </c>
      <c r="P1156" s="49" t="n">
        <v>0</v>
      </c>
      <c r="Q1156" s="49" t="n">
        <v>0</v>
      </c>
      <c r="R1156" s="49" t="n">
        <v>0</v>
      </c>
      <c r="S1156" s="50" t="n">
        <v>0</v>
      </c>
      <c r="T1156" s="50" t="n">
        <v>0</v>
      </c>
      <c r="U1156" s="50" t="n">
        <v>0</v>
      </c>
      <c r="V1156" s="50" t="n">
        <v>0</v>
      </c>
      <c r="W1156" s="51" t="n">
        <v>0</v>
      </c>
      <c r="X1156" s="51" t="n">
        <v>0</v>
      </c>
      <c r="Y1156" s="51" t="n">
        <v>0</v>
      </c>
      <c r="Z1156" s="51" t="n">
        <v>0</v>
      </c>
      <c r="AA1156" s="52" t="n">
        <v>0</v>
      </c>
      <c r="AB1156" s="52" t="n">
        <v>0</v>
      </c>
      <c r="AC1156" s="52" t="n">
        <v>0</v>
      </c>
      <c r="AD1156" s="52" t="n">
        <v>0</v>
      </c>
      <c r="AE1156" s="52" t="n">
        <v>0</v>
      </c>
      <c r="AF1156" s="52" t="n">
        <v>0</v>
      </c>
      <c r="AG1156" s="52" t="n">
        <v>0</v>
      </c>
      <c r="AH1156" s="52" t="n">
        <v>0</v>
      </c>
      <c r="AI1156" s="52" t="n">
        <v>0</v>
      </c>
      <c r="AJ1156" s="52" t="n">
        <v>0</v>
      </c>
      <c r="AK1156" s="52" t="n">
        <v>0</v>
      </c>
      <c r="AL1156" s="52" t="n">
        <v>0</v>
      </c>
      <c r="AM1156" s="53" t="n">
        <v>0</v>
      </c>
      <c r="AN1156" s="53" t="n">
        <v>0</v>
      </c>
      <c r="AO1156" s="53" t="n">
        <v>0</v>
      </c>
      <c r="AP1156" s="53" t="n">
        <v>0</v>
      </c>
      <c r="AQ1156" s="52" t="n">
        <v>0</v>
      </c>
      <c r="AR1156" s="52" t="n">
        <v>0</v>
      </c>
      <c r="AS1156" s="52" t="n">
        <v>0</v>
      </c>
      <c r="AT1156" s="52" t="n">
        <v>0</v>
      </c>
      <c r="AU1156" s="53" t="n">
        <v>0</v>
      </c>
      <c r="AV1156" s="53" t="n">
        <v>0</v>
      </c>
      <c r="AW1156" s="53" t="n">
        <v>0</v>
      </c>
      <c r="AX1156" s="53" t="n">
        <v>0</v>
      </c>
      <c r="AY1156" s="52" t="n">
        <v>0</v>
      </c>
      <c r="AZ1156" s="52" t="n">
        <v>0</v>
      </c>
      <c r="BA1156" s="52" t="n">
        <v>0</v>
      </c>
      <c r="BB1156" s="52" t="n">
        <v>0</v>
      </c>
      <c r="BC1156" s="51" t="n">
        <v>0</v>
      </c>
      <c r="BD1156" s="51" t="n">
        <v>0</v>
      </c>
      <c r="BE1156" s="51" t="n">
        <v>0</v>
      </c>
      <c r="BF1156" s="51" t="n">
        <v>0</v>
      </c>
    </row>
    <row r="1157">
      <c r="A1157">
        <f>HYPERLINK("https://www.walmart.com/ip/801338253", "801338253")</f>
        <v/>
      </c>
      <c r="B1157" t="inlineStr">
        <is>
          <t>Kato Wine Bottle Opener Set 5 Pcs – Corkscrew, Stopper, Aerator Pourer, Foil Cutter, Drip Ring</t>
        </is>
      </c>
      <c r="C1157" t="inlineStr">
        <is>
          <t>1KTWO50RDBK</t>
        </is>
      </c>
      <c r="D1157" t="inlineStr">
        <is>
          <t>Barware Sets</t>
        </is>
      </c>
      <c r="E1157" t="inlineStr">
        <is>
          <t>Kato</t>
        </is>
      </c>
      <c r="F1157" t="inlineStr">
        <is>
          <t>Wine,Christmas,WFS,Valentine,SEM,WFS Item</t>
        </is>
      </c>
      <c r="G1157" s="48" t="n">
        <v>0</v>
      </c>
      <c r="H1157" s="48" t="n">
        <v>0</v>
      </c>
      <c r="I1157" s="48" t="n">
        <v>0</v>
      </c>
      <c r="J1157" s="48" t="n">
        <v>0</v>
      </c>
      <c r="K1157" s="49" t="n">
        <v>0</v>
      </c>
      <c r="L1157" s="49" t="n">
        <v>0</v>
      </c>
      <c r="M1157" s="49" t="n">
        <v>0</v>
      </c>
      <c r="N1157" s="49" t="n">
        <v>0</v>
      </c>
      <c r="O1157" s="49" t="n">
        <v>0</v>
      </c>
      <c r="P1157" s="49" t="n">
        <v>0</v>
      </c>
      <c r="Q1157" s="49" t="n">
        <v>0</v>
      </c>
      <c r="R1157" s="49" t="n">
        <v>0</v>
      </c>
      <c r="S1157" s="50" t="n">
        <v>0</v>
      </c>
      <c r="T1157" s="50" t="n">
        <v>0</v>
      </c>
      <c r="U1157" s="50" t="n">
        <v>0</v>
      </c>
      <c r="V1157" s="50" t="n">
        <v>0</v>
      </c>
      <c r="W1157" s="51" t="n">
        <v>0</v>
      </c>
      <c r="X1157" s="51" t="n">
        <v>0</v>
      </c>
      <c r="Y1157" s="51" t="n">
        <v>0</v>
      </c>
      <c r="Z1157" s="51" t="n">
        <v>0</v>
      </c>
      <c r="AA1157" s="52" t="n">
        <v>0</v>
      </c>
      <c r="AB1157" s="52" t="n">
        <v>0</v>
      </c>
      <c r="AC1157" s="52" t="n">
        <v>0</v>
      </c>
      <c r="AD1157" s="52" t="n">
        <v>0</v>
      </c>
      <c r="AE1157" s="52" t="n">
        <v>0</v>
      </c>
      <c r="AF1157" s="52" t="n">
        <v>0</v>
      </c>
      <c r="AG1157" s="52" t="n">
        <v>0</v>
      </c>
      <c r="AH1157" s="52" t="n">
        <v>0</v>
      </c>
      <c r="AI1157" s="52" t="n">
        <v>0</v>
      </c>
      <c r="AJ1157" s="52" t="n">
        <v>0</v>
      </c>
      <c r="AK1157" s="52" t="n">
        <v>0</v>
      </c>
      <c r="AL1157" s="52" t="n">
        <v>0</v>
      </c>
      <c r="AM1157" s="53" t="n">
        <v>0</v>
      </c>
      <c r="AN1157" s="53" t="n">
        <v>0</v>
      </c>
      <c r="AO1157" s="53" t="n">
        <v>0</v>
      </c>
      <c r="AP1157" s="53" t="n">
        <v>0</v>
      </c>
      <c r="AQ1157" s="52" t="n">
        <v>0</v>
      </c>
      <c r="AR1157" s="52" t="n">
        <v>0</v>
      </c>
      <c r="AS1157" s="52" t="n">
        <v>0</v>
      </c>
      <c r="AT1157" s="52" t="n">
        <v>0</v>
      </c>
      <c r="AU1157" s="53" t="n">
        <v>0</v>
      </c>
      <c r="AV1157" s="53" t="n">
        <v>0</v>
      </c>
      <c r="AW1157" s="53" t="n">
        <v>0</v>
      </c>
      <c r="AX1157" s="53" t="n">
        <v>0</v>
      </c>
      <c r="AY1157" s="52" t="n">
        <v>0</v>
      </c>
      <c r="AZ1157" s="52" t="n">
        <v>0</v>
      </c>
      <c r="BA1157" s="52" t="n">
        <v>0</v>
      </c>
      <c r="BB1157" s="52" t="n">
        <v>0</v>
      </c>
      <c r="BC1157" s="51" t="n">
        <v>0</v>
      </c>
      <c r="BD1157" s="51" t="n">
        <v>0</v>
      </c>
      <c r="BE1157" s="51" t="n">
        <v>0</v>
      </c>
      <c r="BF1157" s="51" t="n">
        <v>0</v>
      </c>
    </row>
    <row r="1158">
      <c r="A1158">
        <f>HYPERLINK("https://www.walmart.com/ip/801604952", "801604952")</f>
        <v/>
      </c>
      <c r="B1158" t="inlineStr">
        <is>
          <t>Sherpa Fleece Throw Blanket, Cozy Fuzzy Jacquard Blanket for the Couch Bed | Fluffy Comfy Warm Heavy Throws | Comfort Caring Gift, 50x60 inches</t>
        </is>
      </c>
      <c r="C1158" t="inlineStr">
        <is>
          <t>1CTBF573CASOLE</t>
        </is>
      </c>
      <c r="D1158" t="inlineStr">
        <is>
          <t>Throws</t>
        </is>
      </c>
      <c r="E1158" t="inlineStr">
        <is>
          <t>Catalonia</t>
        </is>
      </c>
      <c r="F1158" t="inlineStr">
        <is>
          <t>Q2-Target,Coupon_Discount,Batch 1 - TR</t>
        </is>
      </c>
      <c r="G1158" s="48" t="n">
        <v>0</v>
      </c>
      <c r="H1158" s="48" t="n">
        <v>0</v>
      </c>
      <c r="I1158" s="48" t="n">
        <v>0</v>
      </c>
      <c r="J1158" s="48" t="n">
        <v>0</v>
      </c>
      <c r="K1158" s="49" t="n">
        <v>0</v>
      </c>
      <c r="L1158" s="49" t="n">
        <v>0</v>
      </c>
      <c r="M1158" s="49" t="n">
        <v>0</v>
      </c>
      <c r="N1158" s="49" t="n">
        <v>0</v>
      </c>
      <c r="O1158" s="49" t="n">
        <v>0</v>
      </c>
      <c r="P1158" s="49" t="n">
        <v>0</v>
      </c>
      <c r="Q1158" s="49" t="n">
        <v>0</v>
      </c>
      <c r="R1158" s="49" t="n">
        <v>0</v>
      </c>
      <c r="S1158" s="50" t="n">
        <v>0</v>
      </c>
      <c r="T1158" s="50" t="n">
        <v>0</v>
      </c>
      <c r="U1158" s="50" t="n">
        <v>0</v>
      </c>
      <c r="V1158" s="50" t="n">
        <v>0</v>
      </c>
      <c r="W1158" s="51" t="n">
        <v>0</v>
      </c>
      <c r="X1158" s="51" t="n">
        <v>0</v>
      </c>
      <c r="Y1158" s="51" t="n">
        <v>0</v>
      </c>
      <c r="Z1158" s="51" t="n">
        <v>0</v>
      </c>
      <c r="AA1158" s="52" t="n">
        <v>0</v>
      </c>
      <c r="AB1158" s="52" t="n">
        <v>0</v>
      </c>
      <c r="AC1158" s="52" t="n">
        <v>0</v>
      </c>
      <c r="AD1158" s="52" t="n">
        <v>0</v>
      </c>
      <c r="AE1158" s="52" t="n">
        <v>0</v>
      </c>
      <c r="AF1158" s="52" t="n">
        <v>0</v>
      </c>
      <c r="AG1158" s="52" t="n">
        <v>0</v>
      </c>
      <c r="AH1158" s="52" t="n">
        <v>0</v>
      </c>
      <c r="AI1158" s="52" t="n">
        <v>0</v>
      </c>
      <c r="AJ1158" s="52" t="n">
        <v>0</v>
      </c>
      <c r="AK1158" s="52" t="n">
        <v>0</v>
      </c>
      <c r="AL1158" s="52" t="n">
        <v>0</v>
      </c>
      <c r="AM1158" s="53" t="n">
        <v>0</v>
      </c>
      <c r="AN1158" s="53" t="n">
        <v>0</v>
      </c>
      <c r="AO1158" s="53" t="n">
        <v>0</v>
      </c>
      <c r="AP1158" s="53" t="n">
        <v>0</v>
      </c>
      <c r="AQ1158" s="52" t="n">
        <v>0</v>
      </c>
      <c r="AR1158" s="52" t="n">
        <v>0</v>
      </c>
      <c r="AS1158" s="52" t="n">
        <v>0</v>
      </c>
      <c r="AT1158" s="52" t="n">
        <v>0</v>
      </c>
      <c r="AU1158" s="53" t="n">
        <v>0</v>
      </c>
      <c r="AV1158" s="53" t="n">
        <v>0</v>
      </c>
      <c r="AW1158" s="53" t="n">
        <v>0</v>
      </c>
      <c r="AX1158" s="53" t="n">
        <v>0</v>
      </c>
      <c r="AY1158" s="52" t="n">
        <v>0</v>
      </c>
      <c r="AZ1158" s="52" t="n">
        <v>0</v>
      </c>
      <c r="BA1158" s="52" t="n">
        <v>0</v>
      </c>
      <c r="BB1158" s="52" t="n">
        <v>0</v>
      </c>
      <c r="BC1158" s="51" t="n">
        <v>0</v>
      </c>
      <c r="BD1158" s="51" t="n">
        <v>0</v>
      </c>
      <c r="BE1158" s="51" t="n">
        <v>0</v>
      </c>
      <c r="BF1158" s="51" t="n">
        <v>0</v>
      </c>
    </row>
    <row r="1159">
      <c r="A1159">
        <f>HYPERLINK("https://www.walmart.com/ip/801779048", "801779048")</f>
        <v/>
      </c>
      <c r="B1159" t="inlineStr">
        <is>
          <t>Terra Bed Blankets, Bedspreads, Bed throws, Soft Cozy Reversible Fuzzy Blanket  50" W x 60" L, Latte</t>
        </is>
      </c>
      <c r="C1159" t="inlineStr">
        <is>
          <t>1TRK9000WN-JWCB</t>
        </is>
      </c>
      <c r="D1159" t="inlineStr">
        <is>
          <t>Throws</t>
        </is>
      </c>
      <c r="E1159" t="inlineStr">
        <is>
          <t>NAPA</t>
        </is>
      </c>
      <c r="G1159" s="48" t="n">
        <v>0</v>
      </c>
      <c r="H1159" s="48" t="n">
        <v>0</v>
      </c>
      <c r="I1159" s="48" t="n">
        <v>0</v>
      </c>
      <c r="J1159" s="48" t="n">
        <v>0</v>
      </c>
      <c r="K1159" s="49" t="n">
        <v>0</v>
      </c>
      <c r="L1159" s="49" t="n">
        <v>0</v>
      </c>
      <c r="M1159" s="49" t="n">
        <v>0</v>
      </c>
      <c r="N1159" s="49" t="n">
        <v>0</v>
      </c>
      <c r="O1159" s="49" t="n">
        <v>0</v>
      </c>
      <c r="P1159" s="49" t="n">
        <v>0</v>
      </c>
      <c r="Q1159" s="49" t="n">
        <v>0</v>
      </c>
      <c r="R1159" s="49" t="n">
        <v>0</v>
      </c>
      <c r="S1159" s="50" t="n">
        <v>0</v>
      </c>
      <c r="T1159" s="50" t="n">
        <v>0</v>
      </c>
      <c r="U1159" s="50" t="n">
        <v>0</v>
      </c>
      <c r="V1159" s="50" t="n">
        <v>0</v>
      </c>
      <c r="W1159" s="51" t="n">
        <v>0</v>
      </c>
      <c r="X1159" s="51" t="n">
        <v>0</v>
      </c>
      <c r="Y1159" s="51" t="n">
        <v>0</v>
      </c>
      <c r="Z1159" s="51" t="n">
        <v>0</v>
      </c>
      <c r="AA1159" s="52" t="n">
        <v>0</v>
      </c>
      <c r="AB1159" s="52" t="n">
        <v>0</v>
      </c>
      <c r="AC1159" s="52" t="n">
        <v>0</v>
      </c>
      <c r="AD1159" s="52" t="n">
        <v>0</v>
      </c>
      <c r="AE1159" s="52" t="n">
        <v>0</v>
      </c>
      <c r="AF1159" s="52" t="n">
        <v>0</v>
      </c>
      <c r="AG1159" s="52" t="n">
        <v>0</v>
      </c>
      <c r="AH1159" s="52" t="n">
        <v>0</v>
      </c>
      <c r="AI1159" s="52" t="n">
        <v>0</v>
      </c>
      <c r="AJ1159" s="52" t="n">
        <v>0</v>
      </c>
      <c r="AK1159" s="52" t="n">
        <v>0</v>
      </c>
      <c r="AL1159" s="52" t="n">
        <v>0</v>
      </c>
      <c r="AM1159" s="53" t="n">
        <v>0</v>
      </c>
      <c r="AN1159" s="53" t="n">
        <v>0</v>
      </c>
      <c r="AO1159" s="53" t="n">
        <v>0</v>
      </c>
      <c r="AP1159" s="53" t="n">
        <v>0</v>
      </c>
      <c r="AQ1159" s="52" t="n">
        <v>0</v>
      </c>
      <c r="AR1159" s="52" t="n">
        <v>0</v>
      </c>
      <c r="AS1159" s="52" t="n">
        <v>0</v>
      </c>
      <c r="AT1159" s="52" t="n">
        <v>0</v>
      </c>
      <c r="AU1159" s="53" t="n">
        <v>0</v>
      </c>
      <c r="AV1159" s="53" t="n">
        <v>0</v>
      </c>
      <c r="AW1159" s="53" t="n">
        <v>0</v>
      </c>
      <c r="AX1159" s="53" t="n">
        <v>0</v>
      </c>
      <c r="AY1159" s="52" t="n">
        <v>0</v>
      </c>
      <c r="AZ1159" s="52" t="n">
        <v>0</v>
      </c>
      <c r="BA1159" s="52" t="n">
        <v>0</v>
      </c>
      <c r="BB1159" s="52" t="n">
        <v>0</v>
      </c>
      <c r="BC1159" s="51" t="n">
        <v>0</v>
      </c>
      <c r="BD1159" s="51" t="n">
        <v>0</v>
      </c>
      <c r="BE1159" s="51" t="n">
        <v>0</v>
      </c>
      <c r="BF1159" s="51" t="n">
        <v>0</v>
      </c>
    </row>
    <row r="1160">
      <c r="A1160">
        <f>HYPERLINK("https://www.walmart.com/ip/802198021", "802198021")</f>
        <v/>
      </c>
      <c r="B1160" t="inlineStr">
        <is>
          <t>Bear Oversized Sherpa Hoodie Blanket Sweatshirt for Women</t>
        </is>
      </c>
      <c r="C1160" t="inlineStr">
        <is>
          <t>1WMHD201BEA</t>
        </is>
      </c>
      <c r="D1160" t="inlineStr">
        <is>
          <t>Sweatshirts &amp; Hoodies</t>
        </is>
      </c>
      <c r="E1160" t="inlineStr">
        <is>
          <t>Flyingstar</t>
        </is>
      </c>
      <c r="F1160" t="inlineStr">
        <is>
          <t>Hoodie ForAdult,Optimized</t>
        </is>
      </c>
      <c r="G1160" s="48" t="n">
        <v>0</v>
      </c>
      <c r="H1160" s="48" t="n">
        <v>0</v>
      </c>
      <c r="I1160" s="48" t="n">
        <v>0</v>
      </c>
      <c r="J1160" s="48" t="n">
        <v>0</v>
      </c>
      <c r="K1160" s="49" t="n">
        <v>0</v>
      </c>
      <c r="L1160" s="49" t="n">
        <v>0</v>
      </c>
      <c r="M1160" s="49" t="n">
        <v>0</v>
      </c>
      <c r="N1160" s="49" t="n">
        <v>0</v>
      </c>
      <c r="O1160" s="49" t="n">
        <v>0</v>
      </c>
      <c r="P1160" s="49" t="n">
        <v>0</v>
      </c>
      <c r="Q1160" s="49" t="n">
        <v>0</v>
      </c>
      <c r="R1160" s="49" t="n">
        <v>0</v>
      </c>
      <c r="S1160" s="50" t="n">
        <v>0</v>
      </c>
      <c r="T1160" s="50" t="n">
        <v>0</v>
      </c>
      <c r="U1160" s="50" t="n">
        <v>0</v>
      </c>
      <c r="V1160" s="50" t="n">
        <v>0</v>
      </c>
      <c r="W1160" s="51" t="n">
        <v>0</v>
      </c>
      <c r="X1160" s="51" t="n">
        <v>0</v>
      </c>
      <c r="Y1160" s="51" t="n">
        <v>0</v>
      </c>
      <c r="Z1160" s="51" t="n">
        <v>0</v>
      </c>
      <c r="AA1160" s="52" t="n">
        <v>0</v>
      </c>
      <c r="AB1160" s="52" t="n">
        <v>0</v>
      </c>
      <c r="AC1160" s="52" t="n">
        <v>0</v>
      </c>
      <c r="AD1160" s="52" t="n">
        <v>0</v>
      </c>
      <c r="AE1160" s="52" t="n">
        <v>0</v>
      </c>
      <c r="AF1160" s="52" t="n">
        <v>0</v>
      </c>
      <c r="AG1160" s="52" t="n">
        <v>0</v>
      </c>
      <c r="AH1160" s="52" t="n">
        <v>0</v>
      </c>
      <c r="AI1160" s="52" t="n">
        <v>0</v>
      </c>
      <c r="AJ1160" s="52" t="n">
        <v>0</v>
      </c>
      <c r="AK1160" s="52" t="n">
        <v>0</v>
      </c>
      <c r="AL1160" s="52" t="n">
        <v>0</v>
      </c>
      <c r="AM1160" s="53" t="n">
        <v>0</v>
      </c>
      <c r="AN1160" s="53" t="n">
        <v>0</v>
      </c>
      <c r="AO1160" s="53" t="n">
        <v>0</v>
      </c>
      <c r="AP1160" s="53" t="n">
        <v>0</v>
      </c>
      <c r="AQ1160" s="52" t="n">
        <v>0</v>
      </c>
      <c r="AR1160" s="52" t="n">
        <v>0</v>
      </c>
      <c r="AS1160" s="52" t="n">
        <v>0</v>
      </c>
      <c r="AT1160" s="52" t="n">
        <v>0</v>
      </c>
      <c r="AU1160" s="53" t="n">
        <v>0</v>
      </c>
      <c r="AV1160" s="53" t="n">
        <v>0</v>
      </c>
      <c r="AW1160" s="53" t="n">
        <v>0</v>
      </c>
      <c r="AX1160" s="53" t="n">
        <v>0</v>
      </c>
      <c r="AY1160" s="52" t="n">
        <v>0</v>
      </c>
      <c r="AZ1160" s="52" t="n">
        <v>0</v>
      </c>
      <c r="BA1160" s="52" t="n">
        <v>0</v>
      </c>
      <c r="BB1160" s="52" t="n">
        <v>0</v>
      </c>
      <c r="BC1160" s="51" t="n">
        <v>0</v>
      </c>
      <c r="BD1160" s="51" t="n">
        <v>0</v>
      </c>
      <c r="BE1160" s="51" t="n">
        <v>0</v>
      </c>
      <c r="BF1160" s="51" t="n">
        <v>0</v>
      </c>
    </row>
    <row r="1161">
      <c r="A1161">
        <f>HYPERLINK("https://www.walmart.com/ip/802408755", "802408755")</f>
        <v/>
      </c>
      <c r="B1161" t="inlineStr">
        <is>
          <t>KC Caps® Realtree Mesh Baseball Cap Outdoor Sports Embroidery Duck Hunting Hat</t>
        </is>
      </c>
      <c r="C1161" t="inlineStr">
        <is>
          <t>KC Caps HT02</t>
        </is>
      </c>
      <c r="D1161" t="inlineStr">
        <is>
          <t>Hats</t>
        </is>
      </c>
      <c r="E1161" t="inlineStr">
        <is>
          <t>KC Caps</t>
        </is>
      </c>
      <c r="F1161" t="inlineStr">
        <is>
          <t>Optimized</t>
        </is>
      </c>
      <c r="G1161" s="48" t="n">
        <v>0</v>
      </c>
      <c r="H1161" s="48" t="n">
        <v>0</v>
      </c>
      <c r="I1161" s="48" t="n">
        <v>0</v>
      </c>
      <c r="J1161" s="48" t="n">
        <v>0</v>
      </c>
      <c r="K1161" s="49" t="n">
        <v>0</v>
      </c>
      <c r="L1161" s="49" t="n">
        <v>0</v>
      </c>
      <c r="M1161" s="49" t="n">
        <v>0</v>
      </c>
      <c r="N1161" s="49" t="n">
        <v>0</v>
      </c>
      <c r="O1161" s="49" t="n">
        <v>0</v>
      </c>
      <c r="P1161" s="49" t="n">
        <v>0</v>
      </c>
      <c r="Q1161" s="49" t="n">
        <v>0</v>
      </c>
      <c r="R1161" s="49" t="n">
        <v>0</v>
      </c>
      <c r="S1161" s="50" t="n">
        <v>0</v>
      </c>
      <c r="T1161" s="50" t="n">
        <v>0</v>
      </c>
      <c r="U1161" s="50" t="n">
        <v>0</v>
      </c>
      <c r="V1161" s="50" t="n">
        <v>0</v>
      </c>
      <c r="W1161" s="51" t="n">
        <v>0</v>
      </c>
      <c r="X1161" s="51" t="n">
        <v>0</v>
      </c>
      <c r="Y1161" s="51" t="n">
        <v>0</v>
      </c>
      <c r="Z1161" s="51" t="n">
        <v>0</v>
      </c>
      <c r="AA1161" s="52" t="n">
        <v>0</v>
      </c>
      <c r="AB1161" s="52" t="n">
        <v>0</v>
      </c>
      <c r="AC1161" s="52" t="n">
        <v>0</v>
      </c>
      <c r="AD1161" s="52" t="n">
        <v>0</v>
      </c>
      <c r="AE1161" s="52" t="n">
        <v>0</v>
      </c>
      <c r="AF1161" s="52" t="n">
        <v>0</v>
      </c>
      <c r="AG1161" s="52" t="n">
        <v>0</v>
      </c>
      <c r="AH1161" s="52" t="n">
        <v>0</v>
      </c>
      <c r="AI1161" s="52" t="n">
        <v>0</v>
      </c>
      <c r="AJ1161" s="52" t="n">
        <v>0</v>
      </c>
      <c r="AK1161" s="52" t="n">
        <v>0</v>
      </c>
      <c r="AL1161" s="52" t="n">
        <v>0</v>
      </c>
      <c r="AM1161" s="53" t="n">
        <v>0</v>
      </c>
      <c r="AN1161" s="53" t="n">
        <v>0</v>
      </c>
      <c r="AO1161" s="53" t="n">
        <v>0</v>
      </c>
      <c r="AP1161" s="53" t="n">
        <v>0</v>
      </c>
      <c r="AQ1161" s="52" t="n">
        <v>0</v>
      </c>
      <c r="AR1161" s="52" t="n">
        <v>0</v>
      </c>
      <c r="AS1161" s="52" t="n">
        <v>0</v>
      </c>
      <c r="AT1161" s="52" t="n">
        <v>0</v>
      </c>
      <c r="AU1161" s="53" t="n">
        <v>0</v>
      </c>
      <c r="AV1161" s="53" t="n">
        <v>0</v>
      </c>
      <c r="AW1161" s="53" t="n">
        <v>0</v>
      </c>
      <c r="AX1161" s="53" t="n">
        <v>0</v>
      </c>
      <c r="AY1161" s="52" t="n">
        <v>0</v>
      </c>
      <c r="AZ1161" s="52" t="n">
        <v>0</v>
      </c>
      <c r="BA1161" s="52" t="n">
        <v>0</v>
      </c>
      <c r="BB1161" s="52" t="n">
        <v>0</v>
      </c>
      <c r="BC1161" s="51" t="n">
        <v>0</v>
      </c>
      <c r="BD1161" s="51" t="n">
        <v>0</v>
      </c>
      <c r="BE1161" s="51" t="n">
        <v>0</v>
      </c>
      <c r="BF1161" s="51" t="n">
        <v>0</v>
      </c>
    </row>
    <row r="1162">
      <c r="A1162">
        <f>HYPERLINK("https://www.walmart.com/ip/803186607", "803186607")</f>
        <v/>
      </c>
      <c r="B1162" t="inlineStr">
        <is>
          <t>Catalonia King Size Sherpa Comforter Set, Ultra-soft Reversible Fluffy Micromink Bedding Set-3 Pieces, 1 Comforter and 2 Pillow Shams, 90x103 inches</t>
        </is>
      </c>
      <c r="C1162" t="inlineStr">
        <is>
          <t>1CTBQ300KI-GY</t>
        </is>
      </c>
      <c r="D1162" t="inlineStr">
        <is>
          <t>Bedding Sets</t>
        </is>
      </c>
      <c r="E1162" t="inlineStr">
        <is>
          <t>Catalonia</t>
        </is>
      </c>
      <c r="F1162" t="inlineStr">
        <is>
          <t>WFS,High AUR Items,Coupon_Discount,WFS Item</t>
        </is>
      </c>
      <c r="G1162" s="48" t="n">
        <v>0</v>
      </c>
      <c r="H1162" s="48" t="n">
        <v>79.98</v>
      </c>
      <c r="I1162" s="48" t="n">
        <v>0</v>
      </c>
      <c r="J1162" s="48" t="n">
        <v>0</v>
      </c>
      <c r="K1162" s="49" t="n">
        <v>0</v>
      </c>
      <c r="L1162" s="49" t="n">
        <v>2</v>
      </c>
      <c r="M1162" s="49" t="n">
        <v>0</v>
      </c>
      <c r="N1162" s="49" t="n">
        <v>0</v>
      </c>
      <c r="O1162" s="49" t="n">
        <v>6</v>
      </c>
      <c r="P1162" s="49" t="n">
        <v>4</v>
      </c>
      <c r="Q1162" s="49" t="n">
        <v>4</v>
      </c>
      <c r="R1162" s="49" t="n">
        <v>0</v>
      </c>
      <c r="S1162" s="50" t="n">
        <v>0</v>
      </c>
      <c r="T1162" s="50" t="n">
        <v>0.5</v>
      </c>
      <c r="U1162" s="50" t="n">
        <v>0</v>
      </c>
      <c r="V1162" s="50" t="n">
        <v>0</v>
      </c>
      <c r="W1162" s="51" t="n">
        <v>0</v>
      </c>
      <c r="X1162" s="51" t="n">
        <v>0</v>
      </c>
      <c r="Y1162" s="51" t="n">
        <v>0</v>
      </c>
      <c r="Z1162" s="51" t="n">
        <v>0</v>
      </c>
      <c r="AA1162" s="52" t="n">
        <v>0</v>
      </c>
      <c r="AB1162" s="52" t="n">
        <v>0</v>
      </c>
      <c r="AC1162" s="52" t="n">
        <v>0</v>
      </c>
      <c r="AD1162" s="52" t="n">
        <v>0</v>
      </c>
      <c r="AE1162" s="52" t="n">
        <v>0</v>
      </c>
      <c r="AF1162" s="52" t="n">
        <v>0</v>
      </c>
      <c r="AG1162" s="52" t="n">
        <v>0</v>
      </c>
      <c r="AH1162" s="52" t="n">
        <v>0</v>
      </c>
      <c r="AI1162" s="52" t="n">
        <v>0</v>
      </c>
      <c r="AJ1162" s="52" t="n">
        <v>0</v>
      </c>
      <c r="AK1162" s="52" t="n">
        <v>0</v>
      </c>
      <c r="AL1162" s="52" t="n">
        <v>0</v>
      </c>
      <c r="AM1162" s="53" t="n">
        <v>0</v>
      </c>
      <c r="AN1162" s="53" t="n">
        <v>0</v>
      </c>
      <c r="AO1162" s="53" t="n">
        <v>0</v>
      </c>
      <c r="AP1162" s="53" t="n">
        <v>0</v>
      </c>
      <c r="AQ1162" s="52" t="n">
        <v>0</v>
      </c>
      <c r="AR1162" s="52" t="n">
        <v>0</v>
      </c>
      <c r="AS1162" s="52" t="n">
        <v>0</v>
      </c>
      <c r="AT1162" s="52" t="n">
        <v>0</v>
      </c>
      <c r="AU1162" s="53" t="n">
        <v>0</v>
      </c>
      <c r="AV1162" s="53" t="n">
        <v>0</v>
      </c>
      <c r="AW1162" s="53" t="n">
        <v>0</v>
      </c>
      <c r="AX1162" s="53" t="n">
        <v>0</v>
      </c>
      <c r="AY1162" s="52" t="n">
        <v>0</v>
      </c>
      <c r="AZ1162" s="52" t="n">
        <v>39.99</v>
      </c>
      <c r="BA1162" s="52" t="n">
        <v>0</v>
      </c>
      <c r="BB1162" s="52" t="n">
        <v>0</v>
      </c>
      <c r="BC1162" s="51" t="n">
        <v>0</v>
      </c>
      <c r="BD1162" s="51" t="n">
        <v>0</v>
      </c>
      <c r="BE1162" s="51" t="n">
        <v>0</v>
      </c>
      <c r="BF1162" s="51" t="n">
        <v>0</v>
      </c>
    </row>
    <row r="1163">
      <c r="A1163">
        <f>HYPERLINK("https://www.walmart.com/ip/803240576", "803240576")</f>
        <v/>
      </c>
      <c r="B1163" t="inlineStr">
        <is>
          <t>Tirrinia Fashionable Insulated Lunch Tote Bag with Leather Handle for Women, Black Dot</t>
        </is>
      </c>
      <c r="C1163" t="inlineStr">
        <is>
          <t>1TRLB703BKDOT</t>
        </is>
      </c>
      <c r="D1163" t="inlineStr">
        <is>
          <t>Reusable Lunch Bags &amp; Boxes</t>
        </is>
      </c>
      <c r="E1163" t="inlineStr">
        <is>
          <t>Tirrinia</t>
        </is>
      </c>
      <c r="G1163" s="48" t="n">
        <v>0</v>
      </c>
      <c r="H1163" s="48" t="n">
        <v>0</v>
      </c>
      <c r="I1163" s="48" t="n">
        <v>0</v>
      </c>
      <c r="J1163" s="48" t="n">
        <v>0</v>
      </c>
      <c r="K1163" s="49" t="n">
        <v>0</v>
      </c>
      <c r="L1163" s="49" t="n">
        <v>0</v>
      </c>
      <c r="M1163" s="49" t="n">
        <v>0</v>
      </c>
      <c r="N1163" s="49" t="n">
        <v>0</v>
      </c>
      <c r="O1163" s="49" t="n">
        <v>0</v>
      </c>
      <c r="P1163" s="49" t="n">
        <v>0</v>
      </c>
      <c r="Q1163" s="49" t="n">
        <v>0</v>
      </c>
      <c r="R1163" s="49" t="n">
        <v>0</v>
      </c>
      <c r="S1163" s="50" t="n">
        <v>0</v>
      </c>
      <c r="T1163" s="50" t="n">
        <v>0</v>
      </c>
      <c r="U1163" s="50" t="n">
        <v>0</v>
      </c>
      <c r="V1163" s="50" t="n">
        <v>0</v>
      </c>
      <c r="W1163" s="51" t="n">
        <v>0</v>
      </c>
      <c r="X1163" s="51" t="n">
        <v>0</v>
      </c>
      <c r="Y1163" s="51" t="n">
        <v>0</v>
      </c>
      <c r="Z1163" s="51" t="n">
        <v>0</v>
      </c>
      <c r="AA1163" s="52" t="n">
        <v>0</v>
      </c>
      <c r="AB1163" s="52" t="n">
        <v>0</v>
      </c>
      <c r="AC1163" s="52" t="n">
        <v>0</v>
      </c>
      <c r="AD1163" s="52" t="n">
        <v>0</v>
      </c>
      <c r="AE1163" s="52" t="n">
        <v>0</v>
      </c>
      <c r="AF1163" s="52" t="n">
        <v>0</v>
      </c>
      <c r="AG1163" s="52" t="n">
        <v>0</v>
      </c>
      <c r="AH1163" s="52" t="n">
        <v>0</v>
      </c>
      <c r="AI1163" s="52" t="n">
        <v>0</v>
      </c>
      <c r="AJ1163" s="52" t="n">
        <v>0</v>
      </c>
      <c r="AK1163" s="52" t="n">
        <v>0</v>
      </c>
      <c r="AL1163" s="52" t="n">
        <v>0</v>
      </c>
      <c r="AM1163" s="53" t="n">
        <v>0</v>
      </c>
      <c r="AN1163" s="53" t="n">
        <v>0</v>
      </c>
      <c r="AO1163" s="53" t="n">
        <v>0</v>
      </c>
      <c r="AP1163" s="53" t="n">
        <v>0</v>
      </c>
      <c r="AQ1163" s="52" t="n">
        <v>0</v>
      </c>
      <c r="AR1163" s="52" t="n">
        <v>0</v>
      </c>
      <c r="AS1163" s="52" t="n">
        <v>0</v>
      </c>
      <c r="AT1163" s="52" t="n">
        <v>0</v>
      </c>
      <c r="AU1163" s="53" t="n">
        <v>0</v>
      </c>
      <c r="AV1163" s="53" t="n">
        <v>0</v>
      </c>
      <c r="AW1163" s="53" t="n">
        <v>0</v>
      </c>
      <c r="AX1163" s="53" t="n">
        <v>0</v>
      </c>
      <c r="AY1163" s="52" t="n">
        <v>0</v>
      </c>
      <c r="AZ1163" s="52" t="n">
        <v>0</v>
      </c>
      <c r="BA1163" s="52" t="n">
        <v>0</v>
      </c>
      <c r="BB1163" s="52" t="n">
        <v>0</v>
      </c>
      <c r="BC1163" s="51" t="n">
        <v>0</v>
      </c>
      <c r="BD1163" s="51" t="n">
        <v>0</v>
      </c>
      <c r="BE1163" s="51" t="n">
        <v>0</v>
      </c>
      <c r="BF1163" s="51" t="n">
        <v>0</v>
      </c>
    </row>
    <row r="1164">
      <c r="A1164">
        <f>HYPERLINK("https://www.walmart.com/ip/805161387", "805161387")</f>
        <v/>
      </c>
      <c r="B1164" t="inlineStr">
        <is>
          <t>Tirrinia Insulated 2 Bottle Wine Carrier Tote Cooler Bag for Travel Picnic Padded Champagne Glass</t>
        </is>
      </c>
      <c r="C1164" t="inlineStr">
        <is>
          <t>1WMWB231RDSTR</t>
        </is>
      </c>
      <c r="D1164" t="inlineStr">
        <is>
          <t>Wine Totes, Bags &amp; Backpacks</t>
        </is>
      </c>
      <c r="E1164" t="inlineStr">
        <is>
          <t>Flyingstar</t>
        </is>
      </c>
      <c r="F1164" t="inlineStr">
        <is>
          <t>Wine,Christmas,Valentine</t>
        </is>
      </c>
      <c r="G1164" s="48" t="n">
        <v>0</v>
      </c>
      <c r="H1164" s="48" t="n">
        <v>0</v>
      </c>
      <c r="I1164" s="48" t="n">
        <v>0</v>
      </c>
      <c r="J1164" s="48" t="n">
        <v>0</v>
      </c>
      <c r="K1164" s="49" t="n">
        <v>0</v>
      </c>
      <c r="L1164" s="49" t="n">
        <v>0</v>
      </c>
      <c r="M1164" s="49" t="n">
        <v>0</v>
      </c>
      <c r="N1164" s="49" t="n">
        <v>0</v>
      </c>
      <c r="O1164" s="49" t="n">
        <v>0</v>
      </c>
      <c r="P1164" s="49" t="n">
        <v>0</v>
      </c>
      <c r="Q1164" s="49" t="n">
        <v>0</v>
      </c>
      <c r="R1164" s="49" t="n">
        <v>0</v>
      </c>
      <c r="S1164" s="50" t="n">
        <v>0</v>
      </c>
      <c r="T1164" s="50" t="n">
        <v>0</v>
      </c>
      <c r="U1164" s="50" t="n">
        <v>0</v>
      </c>
      <c r="V1164" s="50" t="n">
        <v>0</v>
      </c>
      <c r="W1164" s="51" t="n">
        <v>0</v>
      </c>
      <c r="X1164" s="51" t="n">
        <v>0</v>
      </c>
      <c r="Y1164" s="51" t="n">
        <v>0</v>
      </c>
      <c r="Z1164" s="51" t="n">
        <v>0</v>
      </c>
      <c r="AA1164" s="52" t="n">
        <v>0</v>
      </c>
      <c r="AB1164" s="52" t="n">
        <v>0</v>
      </c>
      <c r="AC1164" s="52" t="n">
        <v>0</v>
      </c>
      <c r="AD1164" s="52" t="n">
        <v>0</v>
      </c>
      <c r="AE1164" s="52" t="n">
        <v>0</v>
      </c>
      <c r="AF1164" s="52" t="n">
        <v>0</v>
      </c>
      <c r="AG1164" s="52" t="n">
        <v>0</v>
      </c>
      <c r="AH1164" s="52" t="n">
        <v>0</v>
      </c>
      <c r="AI1164" s="52" t="n">
        <v>0</v>
      </c>
      <c r="AJ1164" s="52" t="n">
        <v>0</v>
      </c>
      <c r="AK1164" s="52" t="n">
        <v>0</v>
      </c>
      <c r="AL1164" s="52" t="n">
        <v>0</v>
      </c>
      <c r="AM1164" s="53" t="n">
        <v>0</v>
      </c>
      <c r="AN1164" s="53" t="n">
        <v>0</v>
      </c>
      <c r="AO1164" s="53" t="n">
        <v>0</v>
      </c>
      <c r="AP1164" s="53" t="n">
        <v>0</v>
      </c>
      <c r="AQ1164" s="52" t="n">
        <v>0</v>
      </c>
      <c r="AR1164" s="52" t="n">
        <v>0</v>
      </c>
      <c r="AS1164" s="52" t="n">
        <v>0</v>
      </c>
      <c r="AT1164" s="52" t="n">
        <v>0</v>
      </c>
      <c r="AU1164" s="53" t="n">
        <v>0</v>
      </c>
      <c r="AV1164" s="53" t="n">
        <v>0</v>
      </c>
      <c r="AW1164" s="53" t="n">
        <v>0</v>
      </c>
      <c r="AX1164" s="53" t="n">
        <v>0</v>
      </c>
      <c r="AY1164" s="52" t="n">
        <v>0</v>
      </c>
      <c r="AZ1164" s="52" t="n">
        <v>0</v>
      </c>
      <c r="BA1164" s="52" t="n">
        <v>0</v>
      </c>
      <c r="BB1164" s="52" t="n">
        <v>0</v>
      </c>
      <c r="BC1164" s="51" t="n">
        <v>0</v>
      </c>
      <c r="BD1164" s="51" t="n">
        <v>0</v>
      </c>
      <c r="BE1164" s="51" t="n">
        <v>0</v>
      </c>
      <c r="BF1164" s="51" t="n">
        <v>0</v>
      </c>
    </row>
    <row r="1165">
      <c r="A1165">
        <f>HYPERLINK("https://www.walmart.com/ip/805607895", "805607895")</f>
        <v/>
      </c>
      <c r="B1165" t="inlineStr">
        <is>
          <t>Catalonia Knit Throw Blanket with Pom-Pom Fringes, Soft and Warm Decorative Throws, 60" x 50", Brown</t>
        </is>
      </c>
      <c r="C1165" t="inlineStr">
        <is>
          <t>1CTBN200BN</t>
        </is>
      </c>
      <c r="D1165" t="inlineStr">
        <is>
          <t>Throws</t>
        </is>
      </c>
      <c r="E1165" t="inlineStr">
        <is>
          <t>Catalonia</t>
        </is>
      </c>
      <c r="F1165" t="inlineStr">
        <is>
          <t>Q2-Target,Optimized</t>
        </is>
      </c>
      <c r="G1165" s="48" t="n">
        <v>0</v>
      </c>
      <c r="H1165" s="48" t="n">
        <v>0</v>
      </c>
      <c r="I1165" s="48" t="n">
        <v>0</v>
      </c>
      <c r="J1165" s="48" t="n">
        <v>0</v>
      </c>
      <c r="K1165" s="49" t="n">
        <v>0</v>
      </c>
      <c r="L1165" s="49" t="n">
        <v>0</v>
      </c>
      <c r="M1165" s="49" t="n">
        <v>0</v>
      </c>
      <c r="N1165" s="49" t="n">
        <v>0</v>
      </c>
      <c r="O1165" s="49" t="n">
        <v>0</v>
      </c>
      <c r="P1165" s="49" t="n">
        <v>0</v>
      </c>
      <c r="Q1165" s="49" t="n">
        <v>0</v>
      </c>
      <c r="R1165" s="49" t="n">
        <v>0</v>
      </c>
      <c r="S1165" s="50" t="n">
        <v>0</v>
      </c>
      <c r="T1165" s="50" t="n">
        <v>0</v>
      </c>
      <c r="U1165" s="50" t="n">
        <v>0</v>
      </c>
      <c r="V1165" s="50" t="n">
        <v>0</v>
      </c>
      <c r="W1165" s="51" t="n">
        <v>0</v>
      </c>
      <c r="X1165" s="51" t="n">
        <v>0</v>
      </c>
      <c r="Y1165" s="51" t="n">
        <v>0</v>
      </c>
      <c r="Z1165" s="51" t="n">
        <v>0</v>
      </c>
      <c r="AA1165" s="52" t="n">
        <v>0</v>
      </c>
      <c r="AB1165" s="52" t="n">
        <v>0</v>
      </c>
      <c r="AC1165" s="52" t="n">
        <v>0</v>
      </c>
      <c r="AD1165" s="52" t="n">
        <v>0</v>
      </c>
      <c r="AE1165" s="52" t="n">
        <v>0</v>
      </c>
      <c r="AF1165" s="52" t="n">
        <v>0</v>
      </c>
      <c r="AG1165" s="52" t="n">
        <v>0</v>
      </c>
      <c r="AH1165" s="52" t="n">
        <v>0</v>
      </c>
      <c r="AI1165" s="52" t="n">
        <v>0</v>
      </c>
      <c r="AJ1165" s="52" t="n">
        <v>0</v>
      </c>
      <c r="AK1165" s="52" t="n">
        <v>0</v>
      </c>
      <c r="AL1165" s="52" t="n">
        <v>0</v>
      </c>
      <c r="AM1165" s="53" t="n">
        <v>0</v>
      </c>
      <c r="AN1165" s="53" t="n">
        <v>0</v>
      </c>
      <c r="AO1165" s="53" t="n">
        <v>0</v>
      </c>
      <c r="AP1165" s="53" t="n">
        <v>0</v>
      </c>
      <c r="AQ1165" s="52" t="n">
        <v>0</v>
      </c>
      <c r="AR1165" s="52" t="n">
        <v>0</v>
      </c>
      <c r="AS1165" s="52" t="n">
        <v>0</v>
      </c>
      <c r="AT1165" s="52" t="n">
        <v>0</v>
      </c>
      <c r="AU1165" s="53" t="n">
        <v>0</v>
      </c>
      <c r="AV1165" s="53" t="n">
        <v>0</v>
      </c>
      <c r="AW1165" s="53" t="n">
        <v>0</v>
      </c>
      <c r="AX1165" s="53" t="n">
        <v>0</v>
      </c>
      <c r="AY1165" s="52" t="n">
        <v>0</v>
      </c>
      <c r="AZ1165" s="52" t="n">
        <v>0</v>
      </c>
      <c r="BA1165" s="52" t="n">
        <v>0</v>
      </c>
      <c r="BB1165" s="52" t="n">
        <v>0</v>
      </c>
      <c r="BC1165" s="51" t="n">
        <v>0</v>
      </c>
      <c r="BD1165" s="51" t="n">
        <v>0</v>
      </c>
      <c r="BE1165" s="51" t="n">
        <v>0</v>
      </c>
      <c r="BF1165" s="51" t="n">
        <v>0</v>
      </c>
    </row>
    <row r="1166">
      <c r="A1166">
        <f>HYPERLINK("https://www.walmart.com/ip/805646855", "805646855")</f>
        <v/>
      </c>
      <c r="B1166" t="inlineStr">
        <is>
          <t>Catalonia Beach Changing Poncho Towel with Hood, Super Absorbent Microfiber Swim Robe for Men Women Surfing Bath Shower Pool, Quick Drying, Black</t>
        </is>
      </c>
      <c r="C1166" t="inlineStr">
        <is>
          <t>1CTBR100-BK-ES</t>
        </is>
      </c>
      <c r="D1166" t="inlineStr">
        <is>
          <t>Towels &amp; Washcloths</t>
        </is>
      </c>
      <c r="E1166" t="inlineStr">
        <is>
          <t>Catalonia</t>
        </is>
      </c>
      <c r="F1166" t="inlineStr">
        <is>
          <t>Optimized,Beach Robe Camp</t>
        </is>
      </c>
      <c r="G1166" s="48" t="n">
        <v>0</v>
      </c>
      <c r="H1166" s="48" t="n">
        <v>0</v>
      </c>
      <c r="I1166" s="48" t="n">
        <v>0</v>
      </c>
      <c r="J1166" s="48" t="n">
        <v>0</v>
      </c>
      <c r="K1166" s="49" t="n">
        <v>0</v>
      </c>
      <c r="L1166" s="49" t="n">
        <v>0</v>
      </c>
      <c r="M1166" s="49" t="n">
        <v>0</v>
      </c>
      <c r="N1166" s="49" t="n">
        <v>0</v>
      </c>
      <c r="O1166" s="49" t="n">
        <v>0</v>
      </c>
      <c r="P1166" s="49" t="n">
        <v>0</v>
      </c>
      <c r="Q1166" s="49" t="n">
        <v>0</v>
      </c>
      <c r="R1166" s="49" t="n">
        <v>0</v>
      </c>
      <c r="S1166" s="50" t="n">
        <v>0</v>
      </c>
      <c r="T1166" s="50" t="n">
        <v>0</v>
      </c>
      <c r="U1166" s="50" t="n">
        <v>0</v>
      </c>
      <c r="V1166" s="50" t="n">
        <v>0</v>
      </c>
      <c r="W1166" s="51" t="n">
        <v>0</v>
      </c>
      <c r="X1166" s="51" t="n">
        <v>0</v>
      </c>
      <c r="Y1166" s="51" t="n">
        <v>0</v>
      </c>
      <c r="Z1166" s="51" t="n">
        <v>0</v>
      </c>
      <c r="AA1166" s="52" t="n">
        <v>0</v>
      </c>
      <c r="AB1166" s="52" t="n">
        <v>0</v>
      </c>
      <c r="AC1166" s="52" t="n">
        <v>0</v>
      </c>
      <c r="AD1166" s="52" t="n">
        <v>0</v>
      </c>
      <c r="AE1166" s="52" t="n">
        <v>0</v>
      </c>
      <c r="AF1166" s="52" t="n">
        <v>0</v>
      </c>
      <c r="AG1166" s="52" t="n">
        <v>0</v>
      </c>
      <c r="AH1166" s="52" t="n">
        <v>0</v>
      </c>
      <c r="AI1166" s="52" t="n">
        <v>0</v>
      </c>
      <c r="AJ1166" s="52" t="n">
        <v>0</v>
      </c>
      <c r="AK1166" s="52" t="n">
        <v>0</v>
      </c>
      <c r="AL1166" s="52" t="n">
        <v>0</v>
      </c>
      <c r="AM1166" s="53" t="n">
        <v>0</v>
      </c>
      <c r="AN1166" s="53" t="n">
        <v>0</v>
      </c>
      <c r="AO1166" s="53" t="n">
        <v>0</v>
      </c>
      <c r="AP1166" s="53" t="n">
        <v>0</v>
      </c>
      <c r="AQ1166" s="52" t="n">
        <v>0</v>
      </c>
      <c r="AR1166" s="52" t="n">
        <v>0</v>
      </c>
      <c r="AS1166" s="52" t="n">
        <v>0</v>
      </c>
      <c r="AT1166" s="52" t="n">
        <v>0</v>
      </c>
      <c r="AU1166" s="53" t="n">
        <v>0</v>
      </c>
      <c r="AV1166" s="53" t="n">
        <v>0</v>
      </c>
      <c r="AW1166" s="53" t="n">
        <v>0</v>
      </c>
      <c r="AX1166" s="53" t="n">
        <v>0</v>
      </c>
      <c r="AY1166" s="52" t="n">
        <v>0</v>
      </c>
      <c r="AZ1166" s="52" t="n">
        <v>0</v>
      </c>
      <c r="BA1166" s="52" t="n">
        <v>0</v>
      </c>
      <c r="BB1166" s="52" t="n">
        <v>0</v>
      </c>
      <c r="BC1166" s="51" t="n">
        <v>0</v>
      </c>
      <c r="BD1166" s="51" t="n">
        <v>0</v>
      </c>
      <c r="BE1166" s="51" t="n">
        <v>0</v>
      </c>
      <c r="BF1166" s="51" t="n">
        <v>0</v>
      </c>
    </row>
    <row r="1167">
      <c r="A1167">
        <f>HYPERLINK("https://www.walmart.com/ip/806688161", "806688161")</f>
        <v/>
      </c>
      <c r="B1167" t="inlineStr">
        <is>
          <t>Tirrinia Womens Super Soft Warm Microfiber Fleece Plush Bathrobe Spa Robe with Pockets Large</t>
        </is>
      </c>
      <c r="C1167" t="inlineStr">
        <is>
          <t>1TRRB510GY-01</t>
        </is>
      </c>
      <c r="D1167" t="inlineStr">
        <is>
          <t>Sleepwear Robes &amp; Bathrobes</t>
        </is>
      </c>
      <c r="E1167" t="inlineStr">
        <is>
          <t>Tirrinia</t>
        </is>
      </c>
      <c r="F1167" t="inlineStr">
        <is>
          <t>WFS,Bathrobe</t>
        </is>
      </c>
      <c r="G1167" s="48" t="n">
        <v>0</v>
      </c>
      <c r="H1167" s="48" t="n">
        <v>0</v>
      </c>
      <c r="I1167" s="48" t="n">
        <v>0</v>
      </c>
      <c r="J1167" s="48" t="n">
        <v>0</v>
      </c>
      <c r="K1167" s="49" t="n">
        <v>0</v>
      </c>
      <c r="L1167" s="49" t="n">
        <v>0</v>
      </c>
      <c r="M1167" s="49" t="n">
        <v>0</v>
      </c>
      <c r="N1167" s="49" t="n">
        <v>0</v>
      </c>
      <c r="O1167" s="49" t="n">
        <v>0</v>
      </c>
      <c r="P1167" s="49" t="n">
        <v>0</v>
      </c>
      <c r="Q1167" s="49" t="n">
        <v>0</v>
      </c>
      <c r="R1167" s="49" t="n">
        <v>0</v>
      </c>
      <c r="S1167" s="50" t="n">
        <v>0</v>
      </c>
      <c r="T1167" s="50" t="n">
        <v>0</v>
      </c>
      <c r="U1167" s="50" t="n">
        <v>0</v>
      </c>
      <c r="V1167" s="50" t="n">
        <v>0</v>
      </c>
      <c r="W1167" s="51" t="n">
        <v>0</v>
      </c>
      <c r="X1167" s="51" t="n">
        <v>0</v>
      </c>
      <c r="Y1167" s="51" t="n">
        <v>0</v>
      </c>
      <c r="Z1167" s="51" t="n">
        <v>0</v>
      </c>
      <c r="AA1167" s="52" t="n">
        <v>0</v>
      </c>
      <c r="AB1167" s="52" t="n">
        <v>0</v>
      </c>
      <c r="AC1167" s="52" t="n">
        <v>0</v>
      </c>
      <c r="AD1167" s="52" t="n">
        <v>0</v>
      </c>
      <c r="AE1167" s="52" t="n">
        <v>0</v>
      </c>
      <c r="AF1167" s="52" t="n">
        <v>0</v>
      </c>
      <c r="AG1167" s="52" t="n">
        <v>0</v>
      </c>
      <c r="AH1167" s="52" t="n">
        <v>0</v>
      </c>
      <c r="AI1167" s="52" t="n">
        <v>0</v>
      </c>
      <c r="AJ1167" s="52" t="n">
        <v>0</v>
      </c>
      <c r="AK1167" s="52" t="n">
        <v>0</v>
      </c>
      <c r="AL1167" s="52" t="n">
        <v>0</v>
      </c>
      <c r="AM1167" s="53" t="n">
        <v>0</v>
      </c>
      <c r="AN1167" s="53" t="n">
        <v>0</v>
      </c>
      <c r="AO1167" s="53" t="n">
        <v>0</v>
      </c>
      <c r="AP1167" s="53" t="n">
        <v>0</v>
      </c>
      <c r="AQ1167" s="52" t="n">
        <v>0</v>
      </c>
      <c r="AR1167" s="52" t="n">
        <v>0</v>
      </c>
      <c r="AS1167" s="52" t="n">
        <v>0</v>
      </c>
      <c r="AT1167" s="52" t="n">
        <v>0</v>
      </c>
      <c r="AU1167" s="53" t="n">
        <v>0</v>
      </c>
      <c r="AV1167" s="53" t="n">
        <v>0</v>
      </c>
      <c r="AW1167" s="53" t="n">
        <v>0</v>
      </c>
      <c r="AX1167" s="53" t="n">
        <v>0</v>
      </c>
      <c r="AY1167" s="52" t="n">
        <v>0</v>
      </c>
      <c r="AZ1167" s="52" t="n">
        <v>0</v>
      </c>
      <c r="BA1167" s="52" t="n">
        <v>0</v>
      </c>
      <c r="BB1167" s="52" t="n">
        <v>0</v>
      </c>
      <c r="BC1167" s="51" t="n">
        <v>0</v>
      </c>
      <c r="BD1167" s="51" t="n">
        <v>0</v>
      </c>
      <c r="BE1167" s="51" t="n">
        <v>0</v>
      </c>
      <c r="BF1167" s="51" t="n">
        <v>0</v>
      </c>
    </row>
    <row r="1168">
      <c r="A1168">
        <f>HYPERLINK("https://www.walmart.com/ip/808607371", "808607371")</f>
        <v/>
      </c>
      <c r="B1168" t="inlineStr">
        <is>
          <t>Catalonia Fleece Wearable Blanket Poncho for Adult Women Men, Wrap Blanket Cape with Pocket | Warm, Soft, Cozy, Snuggly, Comfort Gift, No Sleeves | All-Season, Wine</t>
        </is>
      </c>
      <c r="C1168" t="inlineStr">
        <is>
          <t>1CTBP100WN</t>
        </is>
      </c>
      <c r="D1168" t="inlineStr">
        <is>
          <t>Throws</t>
        </is>
      </c>
      <c r="E1168" t="inlineStr">
        <is>
          <t>Catalonia</t>
        </is>
      </c>
      <c r="F1168" t="inlineStr">
        <is>
          <t>Hero 5 Holidays,Batch 1 - TR</t>
        </is>
      </c>
      <c r="G1168" s="48" t="n">
        <v>0</v>
      </c>
      <c r="H1168" s="48" t="n">
        <v>0</v>
      </c>
      <c r="I1168" s="48" t="n">
        <v>0</v>
      </c>
      <c r="J1168" s="48" t="n">
        <v>0</v>
      </c>
      <c r="K1168" s="49" t="n">
        <v>0</v>
      </c>
      <c r="L1168" s="49" t="n">
        <v>0</v>
      </c>
      <c r="M1168" s="49" t="n">
        <v>0</v>
      </c>
      <c r="N1168" s="49" t="n">
        <v>0</v>
      </c>
      <c r="O1168" s="49" t="n">
        <v>0</v>
      </c>
      <c r="P1168" s="49" t="n">
        <v>0</v>
      </c>
      <c r="Q1168" s="49" t="n">
        <v>0</v>
      </c>
      <c r="R1168" s="49" t="n">
        <v>0</v>
      </c>
      <c r="S1168" s="50" t="n">
        <v>0</v>
      </c>
      <c r="T1168" s="50" t="n">
        <v>0</v>
      </c>
      <c r="U1168" s="50" t="n">
        <v>0</v>
      </c>
      <c r="V1168" s="50" t="n">
        <v>0</v>
      </c>
      <c r="W1168" s="51" t="n">
        <v>0</v>
      </c>
      <c r="X1168" s="51" t="n">
        <v>0</v>
      </c>
      <c r="Y1168" s="51" t="n">
        <v>0</v>
      </c>
      <c r="Z1168" s="51" t="n">
        <v>0</v>
      </c>
      <c r="AA1168" s="52" t="n">
        <v>0</v>
      </c>
      <c r="AB1168" s="52" t="n">
        <v>0</v>
      </c>
      <c r="AC1168" s="52" t="n">
        <v>0</v>
      </c>
      <c r="AD1168" s="52" t="n">
        <v>0</v>
      </c>
      <c r="AE1168" s="52" t="n">
        <v>0</v>
      </c>
      <c r="AF1168" s="52" t="n">
        <v>0</v>
      </c>
      <c r="AG1168" s="52" t="n">
        <v>0</v>
      </c>
      <c r="AH1168" s="52" t="n">
        <v>0</v>
      </c>
      <c r="AI1168" s="52" t="n">
        <v>0</v>
      </c>
      <c r="AJ1168" s="52" t="n">
        <v>0</v>
      </c>
      <c r="AK1168" s="52" t="n">
        <v>0</v>
      </c>
      <c r="AL1168" s="52" t="n">
        <v>0</v>
      </c>
      <c r="AM1168" s="53" t="n">
        <v>0</v>
      </c>
      <c r="AN1168" s="53" t="n">
        <v>0</v>
      </c>
      <c r="AO1168" s="53" t="n">
        <v>0</v>
      </c>
      <c r="AP1168" s="53" t="n">
        <v>0</v>
      </c>
      <c r="AQ1168" s="52" t="n">
        <v>0</v>
      </c>
      <c r="AR1168" s="52" t="n">
        <v>0</v>
      </c>
      <c r="AS1168" s="52" t="n">
        <v>0</v>
      </c>
      <c r="AT1168" s="52" t="n">
        <v>0</v>
      </c>
      <c r="AU1168" s="53" t="n">
        <v>0</v>
      </c>
      <c r="AV1168" s="53" t="n">
        <v>0</v>
      </c>
      <c r="AW1168" s="53" t="n">
        <v>0</v>
      </c>
      <c r="AX1168" s="53" t="n">
        <v>0</v>
      </c>
      <c r="AY1168" s="52" t="n">
        <v>0</v>
      </c>
      <c r="AZ1168" s="52" t="n">
        <v>0</v>
      </c>
      <c r="BA1168" s="52" t="n">
        <v>0</v>
      </c>
      <c r="BB1168" s="52" t="n">
        <v>0</v>
      </c>
      <c r="BC1168" s="51" t="n">
        <v>0</v>
      </c>
      <c r="BD1168" s="51" t="n">
        <v>0</v>
      </c>
      <c r="BE1168" s="51" t="n">
        <v>0</v>
      </c>
      <c r="BF1168" s="51" t="n">
        <v>0</v>
      </c>
    </row>
    <row r="1169">
      <c r="A1169">
        <f>HYPERLINK("https://www.walmart.com/ip/811317492", "811317492")</f>
        <v/>
      </c>
      <c r="B1169" t="inlineStr">
        <is>
          <t>Silky Soft Sherpa Throw Blanket, Flannel Chevron Micro Plush Fleece Throws for Couch Sofa TV Bed, Reversible, Comfy, Fuzzy, 50"x60"  Charcoal</t>
        </is>
      </c>
      <c r="C1169" t="inlineStr">
        <is>
          <t>1CTBF560CH</t>
        </is>
      </c>
      <c r="D1169" t="inlineStr">
        <is>
          <t>Throws</t>
        </is>
      </c>
      <c r="E1169" t="inlineStr">
        <is>
          <t>Catalonia</t>
        </is>
      </c>
      <c r="F1169" t="inlineStr">
        <is>
          <t>Q2-Target,WFS,Coupon_Discount,WFS Item</t>
        </is>
      </c>
      <c r="G1169" s="48" t="n">
        <v>0</v>
      </c>
      <c r="H1169" s="48" t="n">
        <v>0</v>
      </c>
      <c r="I1169" s="48" t="n">
        <v>0</v>
      </c>
      <c r="J1169" s="48" t="n">
        <v>0</v>
      </c>
      <c r="K1169" s="49" t="n">
        <v>0</v>
      </c>
      <c r="L1169" s="49" t="n">
        <v>0</v>
      </c>
      <c r="M1169" s="49" t="n">
        <v>0</v>
      </c>
      <c r="N1169" s="49" t="n">
        <v>0</v>
      </c>
      <c r="O1169" s="49" t="n">
        <v>0</v>
      </c>
      <c r="P1169" s="49" t="n">
        <v>0</v>
      </c>
      <c r="Q1169" s="49" t="n">
        <v>0</v>
      </c>
      <c r="R1169" s="49" t="n">
        <v>0</v>
      </c>
      <c r="S1169" s="50" t="n">
        <v>0</v>
      </c>
      <c r="T1169" s="50" t="n">
        <v>0</v>
      </c>
      <c r="U1169" s="50" t="n">
        <v>0</v>
      </c>
      <c r="V1169" s="50" t="n">
        <v>0</v>
      </c>
      <c r="W1169" s="51" t="n">
        <v>0</v>
      </c>
      <c r="X1169" s="51" t="n">
        <v>0</v>
      </c>
      <c r="Y1169" s="51" t="n">
        <v>0</v>
      </c>
      <c r="Z1169" s="51" t="n">
        <v>0</v>
      </c>
      <c r="AA1169" s="52" t="n">
        <v>0</v>
      </c>
      <c r="AB1169" s="52" t="n">
        <v>0</v>
      </c>
      <c r="AC1169" s="52" t="n">
        <v>0</v>
      </c>
      <c r="AD1169" s="52" t="n">
        <v>0</v>
      </c>
      <c r="AE1169" s="52" t="n">
        <v>0</v>
      </c>
      <c r="AF1169" s="52" t="n">
        <v>0</v>
      </c>
      <c r="AG1169" s="52" t="n">
        <v>0</v>
      </c>
      <c r="AH1169" s="52" t="n">
        <v>0</v>
      </c>
      <c r="AI1169" s="52" t="n">
        <v>0</v>
      </c>
      <c r="AJ1169" s="52" t="n">
        <v>0</v>
      </c>
      <c r="AK1169" s="52" t="n">
        <v>0</v>
      </c>
      <c r="AL1169" s="52" t="n">
        <v>0</v>
      </c>
      <c r="AM1169" s="53" t="n">
        <v>0</v>
      </c>
      <c r="AN1169" s="53" t="n">
        <v>0</v>
      </c>
      <c r="AO1169" s="53" t="n">
        <v>0</v>
      </c>
      <c r="AP1169" s="53" t="n">
        <v>0</v>
      </c>
      <c r="AQ1169" s="52" t="n">
        <v>0</v>
      </c>
      <c r="AR1169" s="52" t="n">
        <v>0</v>
      </c>
      <c r="AS1169" s="52" t="n">
        <v>0</v>
      </c>
      <c r="AT1169" s="52" t="n">
        <v>0</v>
      </c>
      <c r="AU1169" s="53" t="n">
        <v>0</v>
      </c>
      <c r="AV1169" s="53" t="n">
        <v>0</v>
      </c>
      <c r="AW1169" s="53" t="n">
        <v>0</v>
      </c>
      <c r="AX1169" s="53" t="n">
        <v>0</v>
      </c>
      <c r="AY1169" s="52" t="n">
        <v>0</v>
      </c>
      <c r="AZ1169" s="52" t="n">
        <v>0</v>
      </c>
      <c r="BA1169" s="52" t="n">
        <v>0</v>
      </c>
      <c r="BB1169" s="52" t="n">
        <v>0</v>
      </c>
      <c r="BC1169" s="51" t="n">
        <v>0</v>
      </c>
      <c r="BD1169" s="51" t="n">
        <v>0</v>
      </c>
      <c r="BE1169" s="51" t="n">
        <v>0</v>
      </c>
      <c r="BF1169" s="51" t="n">
        <v>0</v>
      </c>
    </row>
    <row r="1170">
      <c r="A1170">
        <f>HYPERLINK("https://www.walmart.com/ip/811898847", "811898847")</f>
        <v/>
      </c>
      <c r="B1170" t="inlineStr">
        <is>
          <t>Sun Blocker Outdoor Sun Protection Fishing Cap with Neck Flap Wide Brim Hat for Men Women Baseball, Backpacking, Cycling, Hiking, Garden, Hunting, Camping, Tan</t>
        </is>
      </c>
      <c r="C1170" t="inlineStr">
        <is>
          <t>KC-S9155-TN</t>
        </is>
      </c>
      <c r="D1170" t="inlineStr">
        <is>
          <t>Hats</t>
        </is>
      </c>
      <c r="E1170" t="inlineStr">
        <is>
          <t>Sun Blocker</t>
        </is>
      </c>
      <c r="F1170" t="inlineStr">
        <is>
          <t>Hats,Batch 1 - TR</t>
        </is>
      </c>
      <c r="G1170" s="48" t="n">
        <v>0</v>
      </c>
      <c r="H1170" s="48" t="n">
        <v>0</v>
      </c>
      <c r="I1170" s="48" t="n">
        <v>17.99</v>
      </c>
      <c r="J1170" s="48" t="n">
        <v>0</v>
      </c>
      <c r="K1170" s="49" t="n">
        <v>0</v>
      </c>
      <c r="L1170" s="49" t="n">
        <v>0</v>
      </c>
      <c r="M1170" s="49" t="n">
        <v>1</v>
      </c>
      <c r="N1170" s="49" t="n">
        <v>0</v>
      </c>
      <c r="O1170" s="49" t="n">
        <v>1</v>
      </c>
      <c r="P1170" s="49" t="n">
        <v>1</v>
      </c>
      <c r="Q1170" s="49" t="n">
        <v>2</v>
      </c>
      <c r="R1170" s="49" t="n">
        <v>0</v>
      </c>
      <c r="S1170" s="50" t="n">
        <v>0</v>
      </c>
      <c r="T1170" s="50" t="n">
        <v>0</v>
      </c>
      <c r="U1170" s="50" t="n">
        <v>0.5</v>
      </c>
      <c r="V1170" s="50" t="n">
        <v>0</v>
      </c>
      <c r="W1170" s="51" t="n">
        <v>0</v>
      </c>
      <c r="X1170" s="51" t="n">
        <v>0</v>
      </c>
      <c r="Y1170" s="51" t="n">
        <v>0</v>
      </c>
      <c r="Z1170" s="51" t="n">
        <v>0</v>
      </c>
      <c r="AA1170" s="52" t="n">
        <v>0</v>
      </c>
      <c r="AB1170" s="52" t="n">
        <v>0</v>
      </c>
      <c r="AC1170" s="52" t="n">
        <v>0</v>
      </c>
      <c r="AD1170" s="52" t="n">
        <v>0</v>
      </c>
      <c r="AE1170" s="52" t="n">
        <v>0</v>
      </c>
      <c r="AF1170" s="52" t="n">
        <v>0</v>
      </c>
      <c r="AG1170" s="52" t="n">
        <v>0</v>
      </c>
      <c r="AH1170" s="52" t="n">
        <v>0</v>
      </c>
      <c r="AI1170" s="52" t="n">
        <v>0</v>
      </c>
      <c r="AJ1170" s="52" t="n">
        <v>0</v>
      </c>
      <c r="AK1170" s="52" t="n">
        <v>0</v>
      </c>
      <c r="AL1170" s="52" t="n">
        <v>0</v>
      </c>
      <c r="AM1170" s="53" t="n">
        <v>0</v>
      </c>
      <c r="AN1170" s="53" t="n">
        <v>0</v>
      </c>
      <c r="AO1170" s="53" t="n">
        <v>0</v>
      </c>
      <c r="AP1170" s="53" t="n">
        <v>0</v>
      </c>
      <c r="AQ1170" s="52" t="n">
        <v>0</v>
      </c>
      <c r="AR1170" s="52" t="n">
        <v>0</v>
      </c>
      <c r="AS1170" s="52" t="n">
        <v>0</v>
      </c>
      <c r="AT1170" s="52" t="n">
        <v>0</v>
      </c>
      <c r="AU1170" s="53" t="n">
        <v>0</v>
      </c>
      <c r="AV1170" s="53" t="n">
        <v>0</v>
      </c>
      <c r="AW1170" s="53" t="n">
        <v>0</v>
      </c>
      <c r="AX1170" s="53" t="n">
        <v>0</v>
      </c>
      <c r="AY1170" s="52" t="n">
        <v>0</v>
      </c>
      <c r="AZ1170" s="52" t="n">
        <v>0</v>
      </c>
      <c r="BA1170" s="52" t="n">
        <v>17.99</v>
      </c>
      <c r="BB1170" s="52" t="n">
        <v>0</v>
      </c>
      <c r="BC1170" s="51" t="n">
        <v>0</v>
      </c>
      <c r="BD1170" s="51" t="n">
        <v>0</v>
      </c>
      <c r="BE1170" s="51" t="n">
        <v>0</v>
      </c>
      <c r="BF1170" s="51" t="n">
        <v>0</v>
      </c>
    </row>
    <row r="1171">
      <c r="A1171">
        <f>HYPERLINK("https://www.walmart.com/ip/8122819724", "8122819724")</f>
        <v/>
      </c>
      <c r="B1171" t="inlineStr">
        <is>
          <t>Catalonia Hooded Blanket Poncho | Wearable Blanket Wrap with Hand Pockets | Comfy Sherpa Fleece Throw Cape for Children and Adults, Christmas Thanksgiving Mother Gift, Blue Cat</t>
        </is>
      </c>
      <c r="C1171" t="inlineStr">
        <is>
          <t>1CTBC100BLCAT</t>
        </is>
      </c>
      <c r="D1171" t="inlineStr">
        <is>
          <t>Throws</t>
        </is>
      </c>
      <c r="E1171" t="inlineStr">
        <is>
          <t>Catalonia</t>
        </is>
      </c>
      <c r="G1171" s="48" t="n">
        <v>0</v>
      </c>
      <c r="H1171" s="48" t="n">
        <v>0</v>
      </c>
      <c r="I1171" s="48" t="n">
        <v>0</v>
      </c>
      <c r="J1171" s="48" t="n">
        <v>0</v>
      </c>
      <c r="K1171" s="49" t="n">
        <v>0</v>
      </c>
      <c r="L1171" s="49" t="n">
        <v>0</v>
      </c>
      <c r="M1171" s="49" t="n">
        <v>0</v>
      </c>
      <c r="N1171" s="49" t="n">
        <v>0</v>
      </c>
      <c r="O1171" s="49" t="n">
        <v>0</v>
      </c>
      <c r="P1171" s="49" t="n">
        <v>0</v>
      </c>
      <c r="Q1171" s="49" t="n">
        <v>0</v>
      </c>
      <c r="R1171" s="49" t="n">
        <v>0</v>
      </c>
      <c r="S1171" s="50" t="n">
        <v>0</v>
      </c>
      <c r="T1171" s="50" t="n">
        <v>0</v>
      </c>
      <c r="U1171" s="50" t="n">
        <v>0</v>
      </c>
      <c r="V1171" s="50" t="n">
        <v>0</v>
      </c>
      <c r="W1171" s="51" t="n">
        <v>0</v>
      </c>
      <c r="X1171" s="51" t="n">
        <v>0</v>
      </c>
      <c r="Y1171" s="51" t="n">
        <v>0</v>
      </c>
      <c r="Z1171" s="51" t="n">
        <v>0</v>
      </c>
      <c r="AA1171" s="52" t="n">
        <v>0</v>
      </c>
      <c r="AB1171" s="52" t="n">
        <v>0</v>
      </c>
      <c r="AC1171" s="52" t="n">
        <v>0</v>
      </c>
      <c r="AD1171" s="52" t="n">
        <v>0</v>
      </c>
      <c r="AE1171" s="52" t="n">
        <v>0</v>
      </c>
      <c r="AF1171" s="52" t="n">
        <v>0</v>
      </c>
      <c r="AG1171" s="52" t="n">
        <v>0</v>
      </c>
      <c r="AH1171" s="52" t="n">
        <v>0</v>
      </c>
      <c r="AI1171" s="52" t="n">
        <v>0</v>
      </c>
      <c r="AJ1171" s="52" t="n">
        <v>0</v>
      </c>
      <c r="AK1171" s="52" t="n">
        <v>0</v>
      </c>
      <c r="AL1171" s="52" t="n">
        <v>0</v>
      </c>
      <c r="AM1171" s="53" t="n">
        <v>0</v>
      </c>
      <c r="AN1171" s="53" t="n">
        <v>0</v>
      </c>
      <c r="AO1171" s="53" t="n">
        <v>0</v>
      </c>
      <c r="AP1171" s="53" t="n">
        <v>0</v>
      </c>
      <c r="AQ1171" s="52" t="n">
        <v>0</v>
      </c>
      <c r="AR1171" s="52" t="n">
        <v>0</v>
      </c>
      <c r="AS1171" s="52" t="n">
        <v>0</v>
      </c>
      <c r="AT1171" s="52" t="n">
        <v>0</v>
      </c>
      <c r="AU1171" s="53" t="n">
        <v>0</v>
      </c>
      <c r="AV1171" s="53" t="n">
        <v>0</v>
      </c>
      <c r="AW1171" s="53" t="n">
        <v>0</v>
      </c>
      <c r="AX1171" s="53" t="n">
        <v>0</v>
      </c>
      <c r="AY1171" s="52" t="n">
        <v>0</v>
      </c>
      <c r="AZ1171" s="52" t="n">
        <v>0</v>
      </c>
      <c r="BA1171" s="52" t="n">
        <v>0</v>
      </c>
      <c r="BB1171" s="52" t="n">
        <v>0</v>
      </c>
      <c r="BC1171" s="51" t="n">
        <v>0</v>
      </c>
      <c r="BD1171" s="51" t="n">
        <v>0</v>
      </c>
      <c r="BE1171" s="51" t="n">
        <v>0</v>
      </c>
      <c r="BF1171" s="51" t="n">
        <v>0</v>
      </c>
    </row>
    <row r="1172">
      <c r="A1172">
        <f>HYPERLINK("https://www.walmart.com/ip/800386741", "800386741")</f>
        <v/>
      </c>
      <c r="B1172" t="inlineStr">
        <is>
          <t>Tirrinia Insulated Lunch Bag for Women, Men, and Kids, Leakproof Thermal Reusable Insulated Cooler Bag for Meal Prep, Office Work, and Back to School, Large, Light Grey, 10" X 8.5" X 9.3", 10L</t>
        </is>
      </c>
      <c r="C1172" t="inlineStr">
        <is>
          <t>1TRLB701LGY-T</t>
        </is>
      </c>
      <c r="D1172" t="inlineStr">
        <is>
          <t>Reusable Lunch Bags &amp; Boxes</t>
        </is>
      </c>
      <c r="E1172" t="inlineStr">
        <is>
          <t>Tirrinia</t>
        </is>
      </c>
      <c r="F1172" t="inlineStr">
        <is>
          <t>Q2-Target,Brand Camp VD,Lunch Bag,WFS,Lunch Bags,SEM,WFS Item</t>
        </is>
      </c>
      <c r="G1172" s="48" t="n">
        <v>0</v>
      </c>
      <c r="H1172" s="48" t="n">
        <v>0</v>
      </c>
      <c r="I1172" s="48" t="n">
        <v>0</v>
      </c>
      <c r="J1172" s="48" t="n">
        <v>0</v>
      </c>
      <c r="K1172" s="49" t="n">
        <v>0</v>
      </c>
      <c r="L1172" s="49" t="n">
        <v>0</v>
      </c>
      <c r="M1172" s="49" t="n">
        <v>0</v>
      </c>
      <c r="N1172" s="49" t="n">
        <v>0</v>
      </c>
      <c r="O1172" s="49" t="n">
        <v>0</v>
      </c>
      <c r="P1172" s="49" t="n">
        <v>0</v>
      </c>
      <c r="Q1172" s="49" t="n">
        <v>0</v>
      </c>
      <c r="R1172" s="49" t="n">
        <v>0</v>
      </c>
      <c r="S1172" s="50" t="n">
        <v>0</v>
      </c>
      <c r="T1172" s="50" t="n">
        <v>0</v>
      </c>
      <c r="U1172" s="50" t="n">
        <v>0</v>
      </c>
      <c r="V1172" s="50" t="n">
        <v>0</v>
      </c>
      <c r="W1172" s="51" t="n">
        <v>0</v>
      </c>
      <c r="X1172" s="51" t="n">
        <v>0</v>
      </c>
      <c r="Y1172" s="51" t="n">
        <v>0</v>
      </c>
      <c r="Z1172" s="51" t="n">
        <v>0</v>
      </c>
      <c r="AA1172" s="52" t="n">
        <v>0</v>
      </c>
      <c r="AB1172" s="52" t="n">
        <v>0</v>
      </c>
      <c r="AC1172" s="52" t="n">
        <v>0</v>
      </c>
      <c r="AD1172" s="52" t="n">
        <v>0</v>
      </c>
      <c r="AE1172" s="52" t="n">
        <v>0</v>
      </c>
      <c r="AF1172" s="52" t="n">
        <v>0</v>
      </c>
      <c r="AG1172" s="52" t="n">
        <v>0</v>
      </c>
      <c r="AH1172" s="52" t="n">
        <v>0</v>
      </c>
      <c r="AI1172" s="52" t="n">
        <v>0</v>
      </c>
      <c r="AJ1172" s="52" t="n">
        <v>0</v>
      </c>
      <c r="AK1172" s="52" t="n">
        <v>0</v>
      </c>
      <c r="AL1172" s="52" t="n">
        <v>0</v>
      </c>
      <c r="AM1172" s="53" t="n">
        <v>0</v>
      </c>
      <c r="AN1172" s="53" t="n">
        <v>0</v>
      </c>
      <c r="AO1172" s="53" t="n">
        <v>0</v>
      </c>
      <c r="AP1172" s="53" t="n">
        <v>0</v>
      </c>
      <c r="AQ1172" s="52" t="n">
        <v>0</v>
      </c>
      <c r="AR1172" s="52" t="n">
        <v>0</v>
      </c>
      <c r="AS1172" s="52" t="n">
        <v>0</v>
      </c>
      <c r="AT1172" s="52" t="n">
        <v>0</v>
      </c>
      <c r="AU1172" s="53" t="n">
        <v>0</v>
      </c>
      <c r="AV1172" s="53" t="n">
        <v>0</v>
      </c>
      <c r="AW1172" s="53" t="n">
        <v>0</v>
      </c>
      <c r="AX1172" s="53" t="n">
        <v>0</v>
      </c>
      <c r="AY1172" s="52" t="n">
        <v>0</v>
      </c>
      <c r="AZ1172" s="52" t="n">
        <v>0</v>
      </c>
      <c r="BA1172" s="52" t="n">
        <v>0</v>
      </c>
      <c r="BB1172" s="52" t="n">
        <v>0</v>
      </c>
      <c r="BC1172" s="51" t="n">
        <v>0</v>
      </c>
      <c r="BD1172" s="51" t="n">
        <v>0</v>
      </c>
      <c r="BE1172" s="51" t="n">
        <v>0</v>
      </c>
      <c r="BF1172" s="51" t="n">
        <v>0</v>
      </c>
    </row>
    <row r="1173">
      <c r="A1173">
        <f>HYPERLINK("https://www.walmart.com/ip/798908080", "798908080")</f>
        <v/>
      </c>
      <c r="B1173" t="inlineStr">
        <is>
          <t>Jennis Women's Awaken Desires Kimono Lace Lingerie Sleepwear Matching Cheeky Panty ( XXXL=US 12-14 )</t>
        </is>
      </c>
      <c r="C1173" t="inlineStr">
        <is>
          <t>JWRS01BL-3XL</t>
        </is>
      </c>
      <c r="D1173" t="inlineStr">
        <is>
          <t>Lingerie Sets</t>
        </is>
      </c>
      <c r="E1173" t="inlineStr">
        <is>
          <t>JenniWears</t>
        </is>
      </c>
      <c r="F1173" t="inlineStr">
        <is>
          <t>Optimized,Valentine</t>
        </is>
      </c>
      <c r="G1173" s="48" t="n">
        <v>0</v>
      </c>
      <c r="H1173" s="48" t="n">
        <v>0</v>
      </c>
      <c r="I1173" s="48" t="n">
        <v>0</v>
      </c>
      <c r="J1173" s="48" t="n">
        <v>0</v>
      </c>
      <c r="K1173" s="49" t="n">
        <v>0</v>
      </c>
      <c r="L1173" s="49" t="n">
        <v>0</v>
      </c>
      <c r="M1173" s="49" t="n">
        <v>0</v>
      </c>
      <c r="N1173" s="49" t="n">
        <v>0</v>
      </c>
      <c r="O1173" s="49" t="n">
        <v>0</v>
      </c>
      <c r="P1173" s="49" t="n">
        <v>0</v>
      </c>
      <c r="Q1173" s="49" t="n">
        <v>0</v>
      </c>
      <c r="R1173" s="49" t="n">
        <v>0</v>
      </c>
      <c r="S1173" s="50" t="n">
        <v>0</v>
      </c>
      <c r="T1173" s="50" t="n">
        <v>0</v>
      </c>
      <c r="U1173" s="50" t="n">
        <v>0</v>
      </c>
      <c r="V1173" s="50" t="n">
        <v>0</v>
      </c>
      <c r="W1173" s="51" t="n">
        <v>0</v>
      </c>
      <c r="X1173" s="51" t="n">
        <v>0</v>
      </c>
      <c r="Y1173" s="51" t="n">
        <v>0</v>
      </c>
      <c r="Z1173" s="51" t="n">
        <v>0</v>
      </c>
      <c r="AA1173" s="52" t="n">
        <v>0</v>
      </c>
      <c r="AB1173" s="52" t="n">
        <v>0</v>
      </c>
      <c r="AC1173" s="52" t="n">
        <v>0</v>
      </c>
      <c r="AD1173" s="52" t="n">
        <v>0</v>
      </c>
      <c r="AE1173" s="52" t="n">
        <v>0</v>
      </c>
      <c r="AF1173" s="52" t="n">
        <v>0</v>
      </c>
      <c r="AG1173" s="52" t="n">
        <v>0</v>
      </c>
      <c r="AH1173" s="52" t="n">
        <v>0</v>
      </c>
      <c r="AI1173" s="52" t="n">
        <v>0</v>
      </c>
      <c r="AJ1173" s="52" t="n">
        <v>0</v>
      </c>
      <c r="AK1173" s="52" t="n">
        <v>0</v>
      </c>
      <c r="AL1173" s="52" t="n">
        <v>0</v>
      </c>
      <c r="AM1173" s="53" t="n">
        <v>0</v>
      </c>
      <c r="AN1173" s="53" t="n">
        <v>0</v>
      </c>
      <c r="AO1173" s="53" t="n">
        <v>0</v>
      </c>
      <c r="AP1173" s="53" t="n">
        <v>0</v>
      </c>
      <c r="AQ1173" s="52" t="n">
        <v>0</v>
      </c>
      <c r="AR1173" s="52" t="n">
        <v>0</v>
      </c>
      <c r="AS1173" s="52" t="n">
        <v>0</v>
      </c>
      <c r="AT1173" s="52" t="n">
        <v>0</v>
      </c>
      <c r="AU1173" s="53" t="n">
        <v>0</v>
      </c>
      <c r="AV1173" s="53" t="n">
        <v>0</v>
      </c>
      <c r="AW1173" s="53" t="n">
        <v>0</v>
      </c>
      <c r="AX1173" s="53" t="n">
        <v>0</v>
      </c>
      <c r="AY1173" s="52" t="n">
        <v>0</v>
      </c>
      <c r="AZ1173" s="52" t="n">
        <v>0</v>
      </c>
      <c r="BA1173" s="52" t="n">
        <v>0</v>
      </c>
      <c r="BB1173" s="52" t="n">
        <v>0</v>
      </c>
      <c r="BC1173" s="51" t="n">
        <v>0</v>
      </c>
      <c r="BD1173" s="51" t="n">
        <v>0</v>
      </c>
      <c r="BE1173" s="51" t="n">
        <v>0</v>
      </c>
      <c r="BF1173" s="51" t="n">
        <v>0</v>
      </c>
    </row>
    <row r="1174">
      <c r="A1174">
        <f>HYPERLINK("https://www.walmart.com/ip/812918085", "812918085")</f>
        <v/>
      </c>
      <c r="B1174" t="inlineStr">
        <is>
          <t>Flyingstar Sherpa Throws Blanket, Fleece Soft Cozy Blanket Throws for Sofa Bed 50"x60"</t>
        </is>
      </c>
      <c r="C1174" t="inlineStr">
        <is>
          <t>1WMBF573BKDENTE</t>
        </is>
      </c>
      <c r="D1174" t="inlineStr">
        <is>
          <t>Throws</t>
        </is>
      </c>
      <c r="E1174" t="inlineStr">
        <is>
          <t>Flyingstar</t>
        </is>
      </c>
      <c r="F1174" t="inlineStr">
        <is>
          <t>Optimized</t>
        </is>
      </c>
      <c r="G1174" s="48" t="n">
        <v>0</v>
      </c>
      <c r="H1174" s="48" t="n">
        <v>0</v>
      </c>
      <c r="I1174" s="48" t="n">
        <v>0</v>
      </c>
      <c r="J1174" s="48" t="n">
        <v>0</v>
      </c>
      <c r="K1174" s="49" t="n">
        <v>0</v>
      </c>
      <c r="L1174" s="49" t="n">
        <v>0</v>
      </c>
      <c r="M1174" s="49" t="n">
        <v>0</v>
      </c>
      <c r="N1174" s="49" t="n">
        <v>0</v>
      </c>
      <c r="O1174" s="49" t="n">
        <v>0</v>
      </c>
      <c r="P1174" s="49" t="n">
        <v>0</v>
      </c>
      <c r="Q1174" s="49" t="n">
        <v>0</v>
      </c>
      <c r="R1174" s="49" t="n">
        <v>0</v>
      </c>
      <c r="S1174" s="50" t="n">
        <v>0</v>
      </c>
      <c r="T1174" s="50" t="n">
        <v>0</v>
      </c>
      <c r="U1174" s="50" t="n">
        <v>0</v>
      </c>
      <c r="V1174" s="50" t="n">
        <v>0</v>
      </c>
      <c r="W1174" s="51" t="n">
        <v>0</v>
      </c>
      <c r="X1174" s="51" t="n">
        <v>0</v>
      </c>
      <c r="Y1174" s="51" t="n">
        <v>0</v>
      </c>
      <c r="Z1174" s="51" t="n">
        <v>0</v>
      </c>
      <c r="AA1174" s="52" t="n">
        <v>0</v>
      </c>
      <c r="AB1174" s="52" t="n">
        <v>0</v>
      </c>
      <c r="AC1174" s="52" t="n">
        <v>0</v>
      </c>
      <c r="AD1174" s="52" t="n">
        <v>0</v>
      </c>
      <c r="AE1174" s="52" t="n">
        <v>0</v>
      </c>
      <c r="AF1174" s="52" t="n">
        <v>0</v>
      </c>
      <c r="AG1174" s="52" t="n">
        <v>0</v>
      </c>
      <c r="AH1174" s="52" t="n">
        <v>0</v>
      </c>
      <c r="AI1174" s="52" t="n">
        <v>0</v>
      </c>
      <c r="AJ1174" s="52" t="n">
        <v>0</v>
      </c>
      <c r="AK1174" s="52" t="n">
        <v>0</v>
      </c>
      <c r="AL1174" s="52" t="n">
        <v>0</v>
      </c>
      <c r="AM1174" s="53" t="n">
        <v>0</v>
      </c>
      <c r="AN1174" s="53" t="n">
        <v>0</v>
      </c>
      <c r="AO1174" s="53" t="n">
        <v>0</v>
      </c>
      <c r="AP1174" s="53" t="n">
        <v>0</v>
      </c>
      <c r="AQ1174" s="52" t="n">
        <v>0</v>
      </c>
      <c r="AR1174" s="52" t="n">
        <v>0</v>
      </c>
      <c r="AS1174" s="52" t="n">
        <v>0</v>
      </c>
      <c r="AT1174" s="52" t="n">
        <v>0</v>
      </c>
      <c r="AU1174" s="53" t="n">
        <v>0</v>
      </c>
      <c r="AV1174" s="53" t="n">
        <v>0</v>
      </c>
      <c r="AW1174" s="53" t="n">
        <v>0</v>
      </c>
      <c r="AX1174" s="53" t="n">
        <v>0</v>
      </c>
      <c r="AY1174" s="52" t="n">
        <v>0</v>
      </c>
      <c r="AZ1174" s="52" t="n">
        <v>0</v>
      </c>
      <c r="BA1174" s="52" t="n">
        <v>0</v>
      </c>
      <c r="BB1174" s="52" t="n">
        <v>0</v>
      </c>
      <c r="BC1174" s="51" t="n">
        <v>0</v>
      </c>
      <c r="BD1174" s="51" t="n">
        <v>0</v>
      </c>
      <c r="BE1174" s="51" t="n">
        <v>0</v>
      </c>
      <c r="BF1174" s="51" t="n">
        <v>0</v>
      </c>
    </row>
    <row r="1175">
      <c r="A1175">
        <f>HYPERLINK("https://www.walmart.com/ip/798889565", "798889565")</f>
        <v/>
      </c>
      <c r="B1175" t="inlineStr">
        <is>
          <t>Terra Cool Mens Baseball Cap Hat Camo Pattern Printed Flat Bill Buckle Closure</t>
        </is>
      </c>
      <c r="C1175" t="inlineStr">
        <is>
          <t>TERRACAP-B010</t>
        </is>
      </c>
      <c r="D1175" t="inlineStr">
        <is>
          <t>Hats</t>
        </is>
      </c>
      <c r="E1175" t="inlineStr">
        <is>
          <t>Terra</t>
        </is>
      </c>
      <c r="F1175" t="inlineStr">
        <is>
          <t>Optimized</t>
        </is>
      </c>
      <c r="G1175" s="48" t="n">
        <v>0</v>
      </c>
      <c r="H1175" s="48" t="n">
        <v>0</v>
      </c>
      <c r="I1175" s="48" t="n">
        <v>0</v>
      </c>
      <c r="J1175" s="48" t="n">
        <v>0</v>
      </c>
      <c r="K1175" s="49" t="n">
        <v>0</v>
      </c>
      <c r="L1175" s="49" t="n">
        <v>0</v>
      </c>
      <c r="M1175" s="49" t="n">
        <v>0</v>
      </c>
      <c r="N1175" s="49" t="n">
        <v>0</v>
      </c>
      <c r="O1175" s="49" t="n">
        <v>0</v>
      </c>
      <c r="P1175" s="49" t="n">
        <v>0</v>
      </c>
      <c r="Q1175" s="49" t="n">
        <v>0</v>
      </c>
      <c r="R1175" s="49" t="n">
        <v>0</v>
      </c>
      <c r="S1175" s="50" t="n">
        <v>0</v>
      </c>
      <c r="T1175" s="50" t="n">
        <v>0</v>
      </c>
      <c r="U1175" s="50" t="n">
        <v>0</v>
      </c>
      <c r="V1175" s="50" t="n">
        <v>0</v>
      </c>
      <c r="W1175" s="51" t="n">
        <v>0</v>
      </c>
      <c r="X1175" s="51" t="n">
        <v>0</v>
      </c>
      <c r="Y1175" s="51" t="n">
        <v>0</v>
      </c>
      <c r="Z1175" s="51" t="n">
        <v>0</v>
      </c>
      <c r="AA1175" s="52" t="n">
        <v>0</v>
      </c>
      <c r="AB1175" s="52" t="n">
        <v>0</v>
      </c>
      <c r="AC1175" s="52" t="n">
        <v>0</v>
      </c>
      <c r="AD1175" s="52" t="n">
        <v>0</v>
      </c>
      <c r="AE1175" s="52" t="n">
        <v>0</v>
      </c>
      <c r="AF1175" s="52" t="n">
        <v>0</v>
      </c>
      <c r="AG1175" s="52" t="n">
        <v>0</v>
      </c>
      <c r="AH1175" s="52" t="n">
        <v>0</v>
      </c>
      <c r="AI1175" s="52" t="n">
        <v>0</v>
      </c>
      <c r="AJ1175" s="52" t="n">
        <v>0</v>
      </c>
      <c r="AK1175" s="52" t="n">
        <v>0</v>
      </c>
      <c r="AL1175" s="52" t="n">
        <v>0</v>
      </c>
      <c r="AM1175" s="53" t="n">
        <v>0</v>
      </c>
      <c r="AN1175" s="53" t="n">
        <v>0</v>
      </c>
      <c r="AO1175" s="53" t="n">
        <v>0</v>
      </c>
      <c r="AP1175" s="53" t="n">
        <v>0</v>
      </c>
      <c r="AQ1175" s="52" t="n">
        <v>0</v>
      </c>
      <c r="AR1175" s="52" t="n">
        <v>0</v>
      </c>
      <c r="AS1175" s="52" t="n">
        <v>0</v>
      </c>
      <c r="AT1175" s="52" t="n">
        <v>0</v>
      </c>
      <c r="AU1175" s="53" t="n">
        <v>0</v>
      </c>
      <c r="AV1175" s="53" t="n">
        <v>0</v>
      </c>
      <c r="AW1175" s="53" t="n">
        <v>0</v>
      </c>
      <c r="AX1175" s="53" t="n">
        <v>0</v>
      </c>
      <c r="AY1175" s="52" t="n">
        <v>0</v>
      </c>
      <c r="AZ1175" s="52" t="n">
        <v>0</v>
      </c>
      <c r="BA1175" s="52" t="n">
        <v>0</v>
      </c>
      <c r="BB1175" s="52" t="n">
        <v>0</v>
      </c>
      <c r="BC1175" s="51" t="n">
        <v>0</v>
      </c>
      <c r="BD1175" s="51" t="n">
        <v>0</v>
      </c>
      <c r="BE1175" s="51" t="n">
        <v>0</v>
      </c>
      <c r="BF1175" s="51" t="n">
        <v>0</v>
      </c>
    </row>
    <row r="1176">
      <c r="A1176">
        <f>HYPERLINK("https://www.walmart.com/ip/788420613", "788420613")</f>
        <v/>
      </c>
      <c r="B1176" t="inlineStr">
        <is>
          <t>Catalonia Sherpa Wearable Blanket Poncho for Adult Women Men, Wrap Blanket Cape with Pocket, Warm, Soft, Cozy, Snuggly, Comfort Gift, No Sleeves, Wine</t>
        </is>
      </c>
      <c r="C1176" t="inlineStr">
        <is>
          <t>1CTBP110WN</t>
        </is>
      </c>
      <c r="D1176" t="inlineStr">
        <is>
          <t>Throws</t>
        </is>
      </c>
      <c r="E1176" t="inlineStr">
        <is>
          <t>Catalonia</t>
        </is>
      </c>
      <c r="F1176" t="inlineStr">
        <is>
          <t>Hero 5 Holidays,Batch 1 - TR</t>
        </is>
      </c>
      <c r="G1176" s="48" t="n">
        <v>0</v>
      </c>
      <c r="H1176" s="48" t="n">
        <v>0</v>
      </c>
      <c r="I1176" s="48" t="n">
        <v>0</v>
      </c>
      <c r="J1176" s="48" t="n">
        <v>0</v>
      </c>
      <c r="K1176" s="49" t="n">
        <v>0</v>
      </c>
      <c r="L1176" s="49" t="n">
        <v>0</v>
      </c>
      <c r="M1176" s="49" t="n">
        <v>0</v>
      </c>
      <c r="N1176" s="49" t="n">
        <v>0</v>
      </c>
      <c r="O1176" s="49" t="n">
        <v>0</v>
      </c>
      <c r="P1176" s="49" t="n">
        <v>0</v>
      </c>
      <c r="Q1176" s="49" t="n">
        <v>0</v>
      </c>
      <c r="R1176" s="49" t="n">
        <v>0</v>
      </c>
      <c r="S1176" s="50" t="n">
        <v>0</v>
      </c>
      <c r="T1176" s="50" t="n">
        <v>0</v>
      </c>
      <c r="U1176" s="50" t="n">
        <v>0</v>
      </c>
      <c r="V1176" s="50" t="n">
        <v>0</v>
      </c>
      <c r="W1176" s="51" t="n">
        <v>0</v>
      </c>
      <c r="X1176" s="51" t="n">
        <v>0</v>
      </c>
      <c r="Y1176" s="51" t="n">
        <v>0</v>
      </c>
      <c r="Z1176" s="51" t="n">
        <v>0</v>
      </c>
      <c r="AA1176" s="52" t="n">
        <v>0</v>
      </c>
      <c r="AB1176" s="52" t="n">
        <v>0</v>
      </c>
      <c r="AC1176" s="52" t="n">
        <v>0</v>
      </c>
      <c r="AD1176" s="52" t="n">
        <v>0</v>
      </c>
      <c r="AE1176" s="52" t="n">
        <v>0</v>
      </c>
      <c r="AF1176" s="52" t="n">
        <v>0</v>
      </c>
      <c r="AG1176" s="52" t="n">
        <v>0</v>
      </c>
      <c r="AH1176" s="52" t="n">
        <v>0</v>
      </c>
      <c r="AI1176" s="52" t="n">
        <v>0</v>
      </c>
      <c r="AJ1176" s="52" t="n">
        <v>0</v>
      </c>
      <c r="AK1176" s="52" t="n">
        <v>0</v>
      </c>
      <c r="AL1176" s="52" t="n">
        <v>0</v>
      </c>
      <c r="AM1176" s="53" t="n">
        <v>0</v>
      </c>
      <c r="AN1176" s="53" t="n">
        <v>0</v>
      </c>
      <c r="AO1176" s="53" t="n">
        <v>0</v>
      </c>
      <c r="AP1176" s="53" t="n">
        <v>0</v>
      </c>
      <c r="AQ1176" s="52" t="n">
        <v>0</v>
      </c>
      <c r="AR1176" s="52" t="n">
        <v>0</v>
      </c>
      <c r="AS1176" s="52" t="n">
        <v>0</v>
      </c>
      <c r="AT1176" s="52" t="n">
        <v>0</v>
      </c>
      <c r="AU1176" s="53" t="n">
        <v>0</v>
      </c>
      <c r="AV1176" s="53" t="n">
        <v>0</v>
      </c>
      <c r="AW1176" s="53" t="n">
        <v>0</v>
      </c>
      <c r="AX1176" s="53" t="n">
        <v>0</v>
      </c>
      <c r="AY1176" s="52" t="n">
        <v>0</v>
      </c>
      <c r="AZ1176" s="52" t="n">
        <v>0</v>
      </c>
      <c r="BA1176" s="52" t="n">
        <v>0</v>
      </c>
      <c r="BB1176" s="52" t="n">
        <v>0</v>
      </c>
      <c r="BC1176" s="51" t="n">
        <v>0</v>
      </c>
      <c r="BD1176" s="51" t="n">
        <v>0</v>
      </c>
      <c r="BE1176" s="51" t="n">
        <v>0</v>
      </c>
      <c r="BF1176" s="51" t="n">
        <v>0</v>
      </c>
    </row>
    <row r="1177">
      <c r="A1177">
        <f>HYPERLINK("https://www.walmart.com/ip/789179888", "789179888")</f>
        <v/>
      </c>
      <c r="B1177" t="inlineStr">
        <is>
          <t>Pawsse Pet Sherpa Throw Blanket, Fleece Snuggle Dog Blanket Cushion Mat for Puppy Cat Small Animals 45”x30”</t>
        </is>
      </c>
      <c r="C1177" t="inlineStr">
        <is>
          <t>1PSBF345LTLT</t>
        </is>
      </c>
      <c r="D1177" t="inlineStr">
        <is>
          <t>Pet Blankets</t>
        </is>
      </c>
      <c r="E1177" t="inlineStr">
        <is>
          <t>Pawsse</t>
        </is>
      </c>
      <c r="F1177" t="inlineStr">
        <is>
          <t>WFS,WFS Item</t>
        </is>
      </c>
      <c r="G1177" s="48" t="n">
        <v>0</v>
      </c>
      <c r="H1177" s="48" t="n">
        <v>0</v>
      </c>
      <c r="I1177" s="48" t="n">
        <v>0</v>
      </c>
      <c r="J1177" s="48" t="n">
        <v>0</v>
      </c>
      <c r="K1177" s="49" t="n">
        <v>0</v>
      </c>
      <c r="L1177" s="49" t="n">
        <v>0</v>
      </c>
      <c r="M1177" s="49" t="n">
        <v>0</v>
      </c>
      <c r="N1177" s="49" t="n">
        <v>0</v>
      </c>
      <c r="O1177" s="49" t="n">
        <v>0</v>
      </c>
      <c r="P1177" s="49" t="n">
        <v>0</v>
      </c>
      <c r="Q1177" s="49" t="n">
        <v>0</v>
      </c>
      <c r="R1177" s="49" t="n">
        <v>0</v>
      </c>
      <c r="S1177" s="50" t="n">
        <v>0</v>
      </c>
      <c r="T1177" s="50" t="n">
        <v>0</v>
      </c>
      <c r="U1177" s="50" t="n">
        <v>0</v>
      </c>
      <c r="V1177" s="50" t="n">
        <v>0</v>
      </c>
      <c r="W1177" s="51" t="n">
        <v>0</v>
      </c>
      <c r="X1177" s="51" t="n">
        <v>0</v>
      </c>
      <c r="Y1177" s="51" t="n">
        <v>0</v>
      </c>
      <c r="Z1177" s="51" t="n">
        <v>0</v>
      </c>
      <c r="AA1177" s="52" t="n">
        <v>0</v>
      </c>
      <c r="AB1177" s="52" t="n">
        <v>0</v>
      </c>
      <c r="AC1177" s="52" t="n">
        <v>0</v>
      </c>
      <c r="AD1177" s="52" t="n">
        <v>0</v>
      </c>
      <c r="AE1177" s="52" t="n">
        <v>0</v>
      </c>
      <c r="AF1177" s="52" t="n">
        <v>0</v>
      </c>
      <c r="AG1177" s="52" t="n">
        <v>0</v>
      </c>
      <c r="AH1177" s="52" t="n">
        <v>0</v>
      </c>
      <c r="AI1177" s="52" t="n">
        <v>0</v>
      </c>
      <c r="AJ1177" s="52" t="n">
        <v>0</v>
      </c>
      <c r="AK1177" s="52" t="n">
        <v>0</v>
      </c>
      <c r="AL1177" s="52" t="n">
        <v>0</v>
      </c>
      <c r="AM1177" s="53" t="n">
        <v>0</v>
      </c>
      <c r="AN1177" s="53" t="n">
        <v>0</v>
      </c>
      <c r="AO1177" s="53" t="n">
        <v>0</v>
      </c>
      <c r="AP1177" s="53" t="n">
        <v>0</v>
      </c>
      <c r="AQ1177" s="52" t="n">
        <v>0</v>
      </c>
      <c r="AR1177" s="52" t="n">
        <v>0</v>
      </c>
      <c r="AS1177" s="52" t="n">
        <v>0</v>
      </c>
      <c r="AT1177" s="52" t="n">
        <v>0</v>
      </c>
      <c r="AU1177" s="53" t="n">
        <v>0</v>
      </c>
      <c r="AV1177" s="53" t="n">
        <v>0</v>
      </c>
      <c r="AW1177" s="53" t="n">
        <v>0</v>
      </c>
      <c r="AX1177" s="53" t="n">
        <v>0</v>
      </c>
      <c r="AY1177" s="52" t="n">
        <v>0</v>
      </c>
      <c r="AZ1177" s="52" t="n">
        <v>0</v>
      </c>
      <c r="BA1177" s="52" t="n">
        <v>0</v>
      </c>
      <c r="BB1177" s="52" t="n">
        <v>0</v>
      </c>
      <c r="BC1177" s="51" t="n">
        <v>0</v>
      </c>
      <c r="BD1177" s="51" t="n">
        <v>0</v>
      </c>
      <c r="BE1177" s="51" t="n">
        <v>0</v>
      </c>
      <c r="BF1177" s="51" t="n">
        <v>0</v>
      </c>
    </row>
    <row r="1178">
      <c r="A1178">
        <f>HYPERLINK("https://www.walmart.com/ip/789931376", "789931376")</f>
        <v/>
      </c>
      <c r="B1178" t="inlineStr">
        <is>
          <t>Tirrinia Warm Comfy Foldable Waterproof Outdoor Blanket for Camping Stadium, 51'' X 59''</t>
        </is>
      </c>
      <c r="C1178" t="inlineStr">
        <is>
          <t>1TRBW506BKGY</t>
        </is>
      </c>
      <c r="D1178" t="inlineStr">
        <is>
          <t>Throws</t>
        </is>
      </c>
      <c r="E1178" t="inlineStr">
        <is>
          <t>Tirrinia</t>
        </is>
      </c>
      <c r="F1178" t="inlineStr">
        <is>
          <t>Q2-Target,Optimized</t>
        </is>
      </c>
      <c r="G1178" s="48" t="n">
        <v>0</v>
      </c>
      <c r="H1178" s="48" t="n">
        <v>29.99</v>
      </c>
      <c r="I1178" s="48" t="n">
        <v>29.99</v>
      </c>
      <c r="J1178" s="48" t="n">
        <v>0</v>
      </c>
      <c r="K1178" s="49" t="n">
        <v>0</v>
      </c>
      <c r="L1178" s="49" t="n">
        <v>1</v>
      </c>
      <c r="M1178" s="49" t="n">
        <v>1</v>
      </c>
      <c r="N1178" s="49" t="n">
        <v>0</v>
      </c>
      <c r="O1178" s="49" t="n">
        <v>2</v>
      </c>
      <c r="P1178" s="49" t="n">
        <v>4</v>
      </c>
      <c r="Q1178" s="49" t="n">
        <v>6</v>
      </c>
      <c r="R1178" s="49" t="n">
        <v>0</v>
      </c>
      <c r="S1178" s="50" t="n">
        <v>0</v>
      </c>
      <c r="T1178" s="50" t="n">
        <v>0.25</v>
      </c>
      <c r="U1178" s="50" t="n">
        <v>0.1666666666666667</v>
      </c>
      <c r="V1178" s="50" t="n">
        <v>0</v>
      </c>
      <c r="W1178" s="51" t="n">
        <v>0</v>
      </c>
      <c r="X1178" s="51" t="n">
        <v>0</v>
      </c>
      <c r="Y1178" s="51" t="n">
        <v>0</v>
      </c>
      <c r="Z1178" s="51" t="n">
        <v>0</v>
      </c>
      <c r="AA1178" s="52" t="n">
        <v>0</v>
      </c>
      <c r="AB1178" s="52" t="n">
        <v>0</v>
      </c>
      <c r="AC1178" s="52" t="n">
        <v>0</v>
      </c>
      <c r="AD1178" s="52" t="n">
        <v>0</v>
      </c>
      <c r="AE1178" s="52" t="n">
        <v>0</v>
      </c>
      <c r="AF1178" s="52" t="n">
        <v>0</v>
      </c>
      <c r="AG1178" s="52" t="n">
        <v>0</v>
      </c>
      <c r="AH1178" s="52" t="n">
        <v>0</v>
      </c>
      <c r="AI1178" s="52" t="n">
        <v>0</v>
      </c>
      <c r="AJ1178" s="52" t="n">
        <v>0</v>
      </c>
      <c r="AK1178" s="52" t="n">
        <v>0</v>
      </c>
      <c r="AL1178" s="52" t="n">
        <v>0</v>
      </c>
      <c r="AM1178" s="53" t="n">
        <v>0</v>
      </c>
      <c r="AN1178" s="53" t="n">
        <v>0</v>
      </c>
      <c r="AO1178" s="53" t="n">
        <v>0</v>
      </c>
      <c r="AP1178" s="53" t="n">
        <v>0</v>
      </c>
      <c r="AQ1178" s="52" t="n">
        <v>0</v>
      </c>
      <c r="AR1178" s="52" t="n">
        <v>0</v>
      </c>
      <c r="AS1178" s="52" t="n">
        <v>0</v>
      </c>
      <c r="AT1178" s="52" t="n">
        <v>0</v>
      </c>
      <c r="AU1178" s="53" t="n">
        <v>0</v>
      </c>
      <c r="AV1178" s="53" t="n">
        <v>0</v>
      </c>
      <c r="AW1178" s="53" t="n">
        <v>0</v>
      </c>
      <c r="AX1178" s="53" t="n">
        <v>0</v>
      </c>
      <c r="AY1178" s="52" t="n">
        <v>0</v>
      </c>
      <c r="AZ1178" s="52" t="n">
        <v>29.99</v>
      </c>
      <c r="BA1178" s="52" t="n">
        <v>29.99</v>
      </c>
      <c r="BB1178" s="52" t="n">
        <v>0</v>
      </c>
      <c r="BC1178" s="51" t="n">
        <v>0</v>
      </c>
      <c r="BD1178" s="51" t="n">
        <v>0</v>
      </c>
      <c r="BE1178" s="51" t="n">
        <v>0</v>
      </c>
      <c r="BF1178" s="51" t="n">
        <v>0</v>
      </c>
    </row>
    <row r="1179">
      <c r="A1179">
        <f>HYPERLINK("https://www.walmart.com/ip/790379186", "790379186")</f>
        <v/>
      </c>
      <c r="B1179" t="inlineStr">
        <is>
          <t>Sherpa Throw Blanket Fleece, Super Cozy Warm TV Blankets for Bed or Couch Reversible 50" x 60"</t>
        </is>
      </c>
      <c r="C1179" t="inlineStr">
        <is>
          <t>1TNBF300LA-TPB</t>
        </is>
      </c>
      <c r="D1179" t="inlineStr">
        <is>
          <t>Throws</t>
        </is>
      </c>
      <c r="E1179" t="inlineStr">
        <is>
          <t>Tirrinia</t>
        </is>
      </c>
      <c r="G1179" s="48" t="n">
        <v>0</v>
      </c>
      <c r="H1179" s="48" t="n">
        <v>0</v>
      </c>
      <c r="I1179" s="48" t="n">
        <v>0</v>
      </c>
      <c r="J1179" s="48" t="n">
        <v>0</v>
      </c>
      <c r="K1179" s="49" t="n">
        <v>0</v>
      </c>
      <c r="L1179" s="49" t="n">
        <v>0</v>
      </c>
      <c r="M1179" s="49" t="n">
        <v>0</v>
      </c>
      <c r="N1179" s="49" t="n">
        <v>0</v>
      </c>
      <c r="O1179" s="49" t="n">
        <v>0</v>
      </c>
      <c r="P1179" s="49" t="n">
        <v>0</v>
      </c>
      <c r="Q1179" s="49" t="n">
        <v>0</v>
      </c>
      <c r="R1179" s="49" t="n">
        <v>0</v>
      </c>
      <c r="S1179" s="50" t="n">
        <v>0</v>
      </c>
      <c r="T1179" s="50" t="n">
        <v>0</v>
      </c>
      <c r="U1179" s="50" t="n">
        <v>0</v>
      </c>
      <c r="V1179" s="50" t="n">
        <v>0</v>
      </c>
      <c r="W1179" s="51" t="n">
        <v>0</v>
      </c>
      <c r="X1179" s="51" t="n">
        <v>0</v>
      </c>
      <c r="Y1179" s="51" t="n">
        <v>0</v>
      </c>
      <c r="Z1179" s="51" t="n">
        <v>0</v>
      </c>
      <c r="AA1179" s="52" t="n">
        <v>0</v>
      </c>
      <c r="AB1179" s="52" t="n">
        <v>0</v>
      </c>
      <c r="AC1179" s="52" t="n">
        <v>0</v>
      </c>
      <c r="AD1179" s="52" t="n">
        <v>0</v>
      </c>
      <c r="AE1179" s="52" t="n">
        <v>0</v>
      </c>
      <c r="AF1179" s="52" t="n">
        <v>0</v>
      </c>
      <c r="AG1179" s="52" t="n">
        <v>0</v>
      </c>
      <c r="AH1179" s="52" t="n">
        <v>0</v>
      </c>
      <c r="AI1179" s="52" t="n">
        <v>0</v>
      </c>
      <c r="AJ1179" s="52" t="n">
        <v>0</v>
      </c>
      <c r="AK1179" s="52" t="n">
        <v>0</v>
      </c>
      <c r="AL1179" s="52" t="n">
        <v>0</v>
      </c>
      <c r="AM1179" s="53" t="n">
        <v>0</v>
      </c>
      <c r="AN1179" s="53" t="n">
        <v>0</v>
      </c>
      <c r="AO1179" s="53" t="n">
        <v>0</v>
      </c>
      <c r="AP1179" s="53" t="n">
        <v>0</v>
      </c>
      <c r="AQ1179" s="52" t="n">
        <v>0</v>
      </c>
      <c r="AR1179" s="52" t="n">
        <v>0</v>
      </c>
      <c r="AS1179" s="52" t="n">
        <v>0</v>
      </c>
      <c r="AT1179" s="52" t="n">
        <v>0</v>
      </c>
      <c r="AU1179" s="53" t="n">
        <v>0</v>
      </c>
      <c r="AV1179" s="53" t="n">
        <v>0</v>
      </c>
      <c r="AW1179" s="53" t="n">
        <v>0</v>
      </c>
      <c r="AX1179" s="53" t="n">
        <v>0</v>
      </c>
      <c r="AY1179" s="52" t="n">
        <v>0</v>
      </c>
      <c r="AZ1179" s="52" t="n">
        <v>0</v>
      </c>
      <c r="BA1179" s="52" t="n">
        <v>0</v>
      </c>
      <c r="BB1179" s="52" t="n">
        <v>0</v>
      </c>
      <c r="BC1179" s="51" t="n">
        <v>0</v>
      </c>
      <c r="BD1179" s="51" t="n">
        <v>0</v>
      </c>
      <c r="BE1179" s="51" t="n">
        <v>0</v>
      </c>
      <c r="BF1179" s="51" t="n">
        <v>0</v>
      </c>
    </row>
    <row r="1180">
      <c r="A1180">
        <f>HYPERLINK("https://www.walmart.com/ip/790807870", "790807870")</f>
        <v/>
      </c>
      <c r="B1180" t="inlineStr">
        <is>
          <t>Flyingstar Sherpa Throws Blanket, Fleece Soft Cozy Blanket Throws for Sofa Bed 50"x60"</t>
        </is>
      </c>
      <c r="C1180" t="inlineStr">
        <is>
          <t>1WMBF573CASOLE</t>
        </is>
      </c>
      <c r="D1180" t="inlineStr">
        <is>
          <t>Throws</t>
        </is>
      </c>
      <c r="E1180" t="inlineStr">
        <is>
          <t>Flyingstar</t>
        </is>
      </c>
      <c r="F1180" t="inlineStr">
        <is>
          <t>Optimized</t>
        </is>
      </c>
      <c r="G1180" s="48" t="n">
        <v>0</v>
      </c>
      <c r="H1180" s="48" t="n">
        <v>0</v>
      </c>
      <c r="I1180" s="48" t="n">
        <v>0</v>
      </c>
      <c r="J1180" s="48" t="n">
        <v>0</v>
      </c>
      <c r="K1180" s="49" t="n">
        <v>0</v>
      </c>
      <c r="L1180" s="49" t="n">
        <v>0</v>
      </c>
      <c r="M1180" s="49" t="n">
        <v>0</v>
      </c>
      <c r="N1180" s="49" t="n">
        <v>0</v>
      </c>
      <c r="O1180" s="49" t="n">
        <v>0</v>
      </c>
      <c r="P1180" s="49" t="n">
        <v>0</v>
      </c>
      <c r="Q1180" s="49" t="n">
        <v>0</v>
      </c>
      <c r="R1180" s="49" t="n">
        <v>0</v>
      </c>
      <c r="S1180" s="50" t="n">
        <v>0</v>
      </c>
      <c r="T1180" s="50" t="n">
        <v>0</v>
      </c>
      <c r="U1180" s="50" t="n">
        <v>0</v>
      </c>
      <c r="V1180" s="50" t="n">
        <v>0</v>
      </c>
      <c r="W1180" s="51" t="n">
        <v>0</v>
      </c>
      <c r="X1180" s="51" t="n">
        <v>0</v>
      </c>
      <c r="Y1180" s="51" t="n">
        <v>0</v>
      </c>
      <c r="Z1180" s="51" t="n">
        <v>0</v>
      </c>
      <c r="AA1180" s="52" t="n">
        <v>0</v>
      </c>
      <c r="AB1180" s="52" t="n">
        <v>0</v>
      </c>
      <c r="AC1180" s="52" t="n">
        <v>0</v>
      </c>
      <c r="AD1180" s="52" t="n">
        <v>0</v>
      </c>
      <c r="AE1180" s="52" t="n">
        <v>0</v>
      </c>
      <c r="AF1180" s="52" t="n">
        <v>0</v>
      </c>
      <c r="AG1180" s="52" t="n">
        <v>0</v>
      </c>
      <c r="AH1180" s="52" t="n">
        <v>0</v>
      </c>
      <c r="AI1180" s="52" t="n">
        <v>0</v>
      </c>
      <c r="AJ1180" s="52" t="n">
        <v>0</v>
      </c>
      <c r="AK1180" s="52" t="n">
        <v>0</v>
      </c>
      <c r="AL1180" s="52" t="n">
        <v>0</v>
      </c>
      <c r="AM1180" s="53" t="n">
        <v>0</v>
      </c>
      <c r="AN1180" s="53" t="n">
        <v>0</v>
      </c>
      <c r="AO1180" s="53" t="n">
        <v>0</v>
      </c>
      <c r="AP1180" s="53" t="n">
        <v>0</v>
      </c>
      <c r="AQ1180" s="52" t="n">
        <v>0</v>
      </c>
      <c r="AR1180" s="52" t="n">
        <v>0</v>
      </c>
      <c r="AS1180" s="52" t="n">
        <v>0</v>
      </c>
      <c r="AT1180" s="52" t="n">
        <v>0</v>
      </c>
      <c r="AU1180" s="53" t="n">
        <v>0</v>
      </c>
      <c r="AV1180" s="53" t="n">
        <v>0</v>
      </c>
      <c r="AW1180" s="53" t="n">
        <v>0</v>
      </c>
      <c r="AX1180" s="53" t="n">
        <v>0</v>
      </c>
      <c r="AY1180" s="52" t="n">
        <v>0</v>
      </c>
      <c r="AZ1180" s="52" t="n">
        <v>0</v>
      </c>
      <c r="BA1180" s="52" t="n">
        <v>0</v>
      </c>
      <c r="BB1180" s="52" t="n">
        <v>0</v>
      </c>
      <c r="BC1180" s="51" t="n">
        <v>0</v>
      </c>
      <c r="BD1180" s="51" t="n">
        <v>0</v>
      </c>
      <c r="BE1180" s="51" t="n">
        <v>0</v>
      </c>
      <c r="BF1180" s="51" t="n">
        <v>0</v>
      </c>
    </row>
    <row r="1181">
      <c r="A1181">
        <f>HYPERLINK("https://www.walmart.com/ip/791658599", "791658599")</f>
        <v/>
      </c>
      <c r="B1181" t="inlineStr">
        <is>
          <t>Sherpa Slipper Socks for Women,Winter Indoor Home Non Skid Booties</t>
        </is>
      </c>
      <c r="C1181" t="inlineStr">
        <is>
          <t>1CTST200PK-1</t>
        </is>
      </c>
      <c r="D1181" t="inlineStr">
        <is>
          <t>Socks</t>
        </is>
      </c>
      <c r="E1181" t="inlineStr">
        <is>
          <t>Catalonia</t>
        </is>
      </c>
      <c r="F1181" t="inlineStr">
        <is>
          <t>WFS,WFS Item</t>
        </is>
      </c>
      <c r="G1181" s="48" t="n">
        <v>0</v>
      </c>
      <c r="H1181" s="48" t="n">
        <v>0</v>
      </c>
      <c r="I1181" s="48" t="n">
        <v>0</v>
      </c>
      <c r="J1181" s="48" t="n">
        <v>0</v>
      </c>
      <c r="K1181" s="49" t="n">
        <v>0</v>
      </c>
      <c r="L1181" s="49" t="n">
        <v>0</v>
      </c>
      <c r="M1181" s="49" t="n">
        <v>0</v>
      </c>
      <c r="N1181" s="49" t="n">
        <v>0</v>
      </c>
      <c r="O1181" s="49" t="n">
        <v>0</v>
      </c>
      <c r="P1181" s="49" t="n">
        <v>0</v>
      </c>
      <c r="Q1181" s="49" t="n">
        <v>0</v>
      </c>
      <c r="R1181" s="49" t="n">
        <v>0</v>
      </c>
      <c r="S1181" s="50" t="n">
        <v>0</v>
      </c>
      <c r="T1181" s="50" t="n">
        <v>0</v>
      </c>
      <c r="U1181" s="50" t="n">
        <v>0</v>
      </c>
      <c r="V1181" s="50" t="n">
        <v>0</v>
      </c>
      <c r="W1181" s="51" t="n">
        <v>0</v>
      </c>
      <c r="X1181" s="51" t="n">
        <v>0</v>
      </c>
      <c r="Y1181" s="51" t="n">
        <v>0</v>
      </c>
      <c r="Z1181" s="51" t="n">
        <v>0</v>
      </c>
      <c r="AA1181" s="52" t="n">
        <v>0</v>
      </c>
      <c r="AB1181" s="52" t="n">
        <v>0</v>
      </c>
      <c r="AC1181" s="52" t="n">
        <v>0</v>
      </c>
      <c r="AD1181" s="52" t="n">
        <v>0</v>
      </c>
      <c r="AE1181" s="52" t="n">
        <v>0</v>
      </c>
      <c r="AF1181" s="52" t="n">
        <v>0</v>
      </c>
      <c r="AG1181" s="52" t="n">
        <v>0</v>
      </c>
      <c r="AH1181" s="52" t="n">
        <v>0</v>
      </c>
      <c r="AI1181" s="52" t="n">
        <v>0</v>
      </c>
      <c r="AJ1181" s="52" t="n">
        <v>0</v>
      </c>
      <c r="AK1181" s="52" t="n">
        <v>0</v>
      </c>
      <c r="AL1181" s="52" t="n">
        <v>0</v>
      </c>
      <c r="AM1181" s="53" t="n">
        <v>0</v>
      </c>
      <c r="AN1181" s="53" t="n">
        <v>0</v>
      </c>
      <c r="AO1181" s="53" t="n">
        <v>0</v>
      </c>
      <c r="AP1181" s="53" t="n">
        <v>0</v>
      </c>
      <c r="AQ1181" s="52" t="n">
        <v>0</v>
      </c>
      <c r="AR1181" s="52" t="n">
        <v>0</v>
      </c>
      <c r="AS1181" s="52" t="n">
        <v>0</v>
      </c>
      <c r="AT1181" s="52" t="n">
        <v>0</v>
      </c>
      <c r="AU1181" s="53" t="n">
        <v>0</v>
      </c>
      <c r="AV1181" s="53" t="n">
        <v>0</v>
      </c>
      <c r="AW1181" s="53" t="n">
        <v>0</v>
      </c>
      <c r="AX1181" s="53" t="n">
        <v>0</v>
      </c>
      <c r="AY1181" s="52" t="n">
        <v>0</v>
      </c>
      <c r="AZ1181" s="52" t="n">
        <v>0</v>
      </c>
      <c r="BA1181" s="52" t="n">
        <v>0</v>
      </c>
      <c r="BB1181" s="52" t="n">
        <v>0</v>
      </c>
      <c r="BC1181" s="51" t="n">
        <v>0</v>
      </c>
      <c r="BD1181" s="51" t="n">
        <v>0</v>
      </c>
      <c r="BE1181" s="51" t="n">
        <v>0</v>
      </c>
      <c r="BF1181" s="51" t="n">
        <v>0</v>
      </c>
    </row>
    <row r="1182">
      <c r="A1182">
        <f>HYPERLINK("https://www.walmart.com/ip/792163104", "792163104")</f>
        <v/>
      </c>
      <c r="B1182" t="inlineStr">
        <is>
          <t>Kato Insulated Expandable Lunch Bag, Thermal Cooler Leakproof Travel Container Food Case for Adults, Adjustable Shoulder</t>
        </is>
      </c>
      <c r="C1182" t="inlineStr">
        <is>
          <t>1KTLB110RD</t>
        </is>
      </c>
      <c r="D1182" t="inlineStr">
        <is>
          <t>Reusable Lunch Bags &amp; Boxes</t>
        </is>
      </c>
      <c r="E1182" t="inlineStr">
        <is>
          <t>Kato</t>
        </is>
      </c>
      <c r="F1182" t="inlineStr">
        <is>
          <t>Lunch Bag,Optimized,SEM</t>
        </is>
      </c>
      <c r="G1182" s="48" t="n">
        <v>0</v>
      </c>
      <c r="H1182" s="48" t="n">
        <v>0</v>
      </c>
      <c r="I1182" s="48" t="n">
        <v>0</v>
      </c>
      <c r="J1182" s="48" t="n">
        <v>0</v>
      </c>
      <c r="K1182" s="49" t="n">
        <v>0</v>
      </c>
      <c r="L1182" s="49" t="n">
        <v>0</v>
      </c>
      <c r="M1182" s="49" t="n">
        <v>0</v>
      </c>
      <c r="N1182" s="49" t="n">
        <v>0</v>
      </c>
      <c r="O1182" s="49" t="n">
        <v>0</v>
      </c>
      <c r="P1182" s="49" t="n">
        <v>0</v>
      </c>
      <c r="Q1182" s="49" t="n">
        <v>0</v>
      </c>
      <c r="R1182" s="49" t="n">
        <v>0</v>
      </c>
      <c r="S1182" s="50" t="n">
        <v>0</v>
      </c>
      <c r="T1182" s="50" t="n">
        <v>0</v>
      </c>
      <c r="U1182" s="50" t="n">
        <v>0</v>
      </c>
      <c r="V1182" s="50" t="n">
        <v>0</v>
      </c>
      <c r="W1182" s="51" t="n">
        <v>0</v>
      </c>
      <c r="X1182" s="51" t="n">
        <v>0</v>
      </c>
      <c r="Y1182" s="51" t="n">
        <v>0</v>
      </c>
      <c r="Z1182" s="51" t="n">
        <v>0</v>
      </c>
      <c r="AA1182" s="52" t="n">
        <v>0</v>
      </c>
      <c r="AB1182" s="52" t="n">
        <v>0</v>
      </c>
      <c r="AC1182" s="52" t="n">
        <v>0</v>
      </c>
      <c r="AD1182" s="52" t="n">
        <v>0</v>
      </c>
      <c r="AE1182" s="52" t="n">
        <v>0</v>
      </c>
      <c r="AF1182" s="52" t="n">
        <v>0</v>
      </c>
      <c r="AG1182" s="52" t="n">
        <v>0</v>
      </c>
      <c r="AH1182" s="52" t="n">
        <v>0</v>
      </c>
      <c r="AI1182" s="52" t="n">
        <v>0</v>
      </c>
      <c r="AJ1182" s="52" t="n">
        <v>0</v>
      </c>
      <c r="AK1182" s="52" t="n">
        <v>0</v>
      </c>
      <c r="AL1182" s="52" t="n">
        <v>0</v>
      </c>
      <c r="AM1182" s="53" t="n">
        <v>0</v>
      </c>
      <c r="AN1182" s="53" t="n">
        <v>0</v>
      </c>
      <c r="AO1182" s="53" t="n">
        <v>0</v>
      </c>
      <c r="AP1182" s="53" t="n">
        <v>0</v>
      </c>
      <c r="AQ1182" s="52" t="n">
        <v>0</v>
      </c>
      <c r="AR1182" s="52" t="n">
        <v>0</v>
      </c>
      <c r="AS1182" s="52" t="n">
        <v>0</v>
      </c>
      <c r="AT1182" s="52" t="n">
        <v>0</v>
      </c>
      <c r="AU1182" s="53" t="n">
        <v>0</v>
      </c>
      <c r="AV1182" s="53" t="n">
        <v>0</v>
      </c>
      <c r="AW1182" s="53" t="n">
        <v>0</v>
      </c>
      <c r="AX1182" s="53" t="n">
        <v>0</v>
      </c>
      <c r="AY1182" s="52" t="n">
        <v>0</v>
      </c>
      <c r="AZ1182" s="52" t="n">
        <v>0</v>
      </c>
      <c r="BA1182" s="52" t="n">
        <v>0</v>
      </c>
      <c r="BB1182" s="52" t="n">
        <v>0</v>
      </c>
      <c r="BC1182" s="51" t="n">
        <v>0</v>
      </c>
      <c r="BD1182" s="51" t="n">
        <v>0</v>
      </c>
      <c r="BE1182" s="51" t="n">
        <v>0</v>
      </c>
      <c r="BF1182" s="51" t="n">
        <v>0</v>
      </c>
    </row>
    <row r="1183">
      <c r="A1183">
        <f>HYPERLINK("https://www.walmart.com/ip/793017956", "793017956")</f>
        <v/>
      </c>
      <c r="B1183" t="inlineStr">
        <is>
          <t>Catalonia Sherpa Throw Blanket Reversible Match Color Super Soft Comfy Fuzzy Micro Plush Fleece Snuggle Blanket All Season for TV Bed or Couch 50" x 60" Gray</t>
        </is>
      </c>
      <c r="C1183" t="inlineStr">
        <is>
          <t>1CTBF301LG</t>
        </is>
      </c>
      <c r="D1183" t="inlineStr">
        <is>
          <t>Throws</t>
        </is>
      </c>
      <c r="E1183" t="inlineStr">
        <is>
          <t>Catalonia</t>
        </is>
      </c>
      <c r="F1183" t="inlineStr">
        <is>
          <t>WFS,WFS Item</t>
        </is>
      </c>
      <c r="G1183" s="48" t="n">
        <v>0</v>
      </c>
      <c r="H1183" s="48" t="n">
        <v>0</v>
      </c>
      <c r="I1183" s="48" t="n">
        <v>0</v>
      </c>
      <c r="J1183" s="48" t="n">
        <v>0</v>
      </c>
      <c r="K1183" s="49" t="n">
        <v>0</v>
      </c>
      <c r="L1183" s="49" t="n">
        <v>0</v>
      </c>
      <c r="M1183" s="49" t="n">
        <v>0</v>
      </c>
      <c r="N1183" s="49" t="n">
        <v>0</v>
      </c>
      <c r="O1183" s="49" t="n">
        <v>0</v>
      </c>
      <c r="P1183" s="49" t="n">
        <v>0</v>
      </c>
      <c r="Q1183" s="49" t="n">
        <v>0</v>
      </c>
      <c r="R1183" s="49" t="n">
        <v>0</v>
      </c>
      <c r="S1183" s="50" t="n">
        <v>0</v>
      </c>
      <c r="T1183" s="50" t="n">
        <v>0</v>
      </c>
      <c r="U1183" s="50" t="n">
        <v>0</v>
      </c>
      <c r="V1183" s="50" t="n">
        <v>0</v>
      </c>
      <c r="W1183" s="51" t="n">
        <v>0</v>
      </c>
      <c r="X1183" s="51" t="n">
        <v>0</v>
      </c>
      <c r="Y1183" s="51" t="n">
        <v>0</v>
      </c>
      <c r="Z1183" s="51" t="n">
        <v>0</v>
      </c>
      <c r="AA1183" s="52" t="n">
        <v>0</v>
      </c>
      <c r="AB1183" s="52" t="n">
        <v>0</v>
      </c>
      <c r="AC1183" s="52" t="n">
        <v>0</v>
      </c>
      <c r="AD1183" s="52" t="n">
        <v>0</v>
      </c>
      <c r="AE1183" s="52" t="n">
        <v>0</v>
      </c>
      <c r="AF1183" s="52" t="n">
        <v>0</v>
      </c>
      <c r="AG1183" s="52" t="n">
        <v>0</v>
      </c>
      <c r="AH1183" s="52" t="n">
        <v>0</v>
      </c>
      <c r="AI1183" s="52" t="n">
        <v>0</v>
      </c>
      <c r="AJ1183" s="52" t="n">
        <v>0</v>
      </c>
      <c r="AK1183" s="52" t="n">
        <v>0</v>
      </c>
      <c r="AL1183" s="52" t="n">
        <v>0</v>
      </c>
      <c r="AM1183" s="53" t="n">
        <v>0</v>
      </c>
      <c r="AN1183" s="53" t="n">
        <v>0</v>
      </c>
      <c r="AO1183" s="53" t="n">
        <v>0</v>
      </c>
      <c r="AP1183" s="53" t="n">
        <v>0</v>
      </c>
      <c r="AQ1183" s="52" t="n">
        <v>0</v>
      </c>
      <c r="AR1183" s="52" t="n">
        <v>0</v>
      </c>
      <c r="AS1183" s="52" t="n">
        <v>0</v>
      </c>
      <c r="AT1183" s="52" t="n">
        <v>0</v>
      </c>
      <c r="AU1183" s="53" t="n">
        <v>0</v>
      </c>
      <c r="AV1183" s="53" t="n">
        <v>0</v>
      </c>
      <c r="AW1183" s="53" t="n">
        <v>0</v>
      </c>
      <c r="AX1183" s="53" t="n">
        <v>0</v>
      </c>
      <c r="AY1183" s="52" t="n">
        <v>0</v>
      </c>
      <c r="AZ1183" s="52" t="n">
        <v>0</v>
      </c>
      <c r="BA1183" s="52" t="n">
        <v>0</v>
      </c>
      <c r="BB1183" s="52" t="n">
        <v>0</v>
      </c>
      <c r="BC1183" s="51" t="n">
        <v>0</v>
      </c>
      <c r="BD1183" s="51" t="n">
        <v>0</v>
      </c>
      <c r="BE1183" s="51" t="n">
        <v>0</v>
      </c>
      <c r="BF1183" s="51" t="n">
        <v>0</v>
      </c>
    </row>
    <row r="1184">
      <c r="A1184">
        <f>HYPERLINK("https://www.walmart.com/ip/793040786", "793040786")</f>
        <v/>
      </c>
      <c r="B1184" t="inlineStr">
        <is>
          <t>Women Floppy Sun Bucket Hats w/ Wide Brim Straw Edge Summer Beach UV Protection Foldable Gardening Hiking Cap</t>
        </is>
      </c>
      <c r="C1184" t="inlineStr">
        <is>
          <t>1TRSH031BE-TBCB</t>
        </is>
      </c>
      <c r="D1184" t="inlineStr">
        <is>
          <t>Hats</t>
        </is>
      </c>
      <c r="E1184" t="inlineStr">
        <is>
          <t>Tirrinia</t>
        </is>
      </c>
      <c r="F1184" t="inlineStr">
        <is>
          <t>Batch 1 - TR</t>
        </is>
      </c>
      <c r="G1184" s="48" t="n">
        <v>0</v>
      </c>
      <c r="H1184" s="48" t="n">
        <v>0</v>
      </c>
      <c r="I1184" s="48" t="n">
        <v>0</v>
      </c>
      <c r="J1184" s="48" t="n">
        <v>0</v>
      </c>
      <c r="K1184" s="49" t="n">
        <v>0</v>
      </c>
      <c r="L1184" s="49" t="n">
        <v>0</v>
      </c>
      <c r="M1184" s="49" t="n">
        <v>0</v>
      </c>
      <c r="N1184" s="49" t="n">
        <v>0</v>
      </c>
      <c r="O1184" s="49" t="n">
        <v>0</v>
      </c>
      <c r="P1184" s="49" t="n">
        <v>0</v>
      </c>
      <c r="Q1184" s="49" t="n">
        <v>0</v>
      </c>
      <c r="R1184" s="49" t="n">
        <v>0</v>
      </c>
      <c r="S1184" s="50" t="n">
        <v>0</v>
      </c>
      <c r="T1184" s="50" t="n">
        <v>0</v>
      </c>
      <c r="U1184" s="50" t="n">
        <v>0</v>
      </c>
      <c r="V1184" s="50" t="n">
        <v>0</v>
      </c>
      <c r="W1184" s="51" t="n">
        <v>0</v>
      </c>
      <c r="X1184" s="51" t="n">
        <v>0</v>
      </c>
      <c r="Y1184" s="51" t="n">
        <v>0</v>
      </c>
      <c r="Z1184" s="51" t="n">
        <v>0</v>
      </c>
      <c r="AA1184" s="52" t="n">
        <v>0</v>
      </c>
      <c r="AB1184" s="52" t="n">
        <v>0</v>
      </c>
      <c r="AC1184" s="52" t="n">
        <v>0</v>
      </c>
      <c r="AD1184" s="52" t="n">
        <v>0</v>
      </c>
      <c r="AE1184" s="52" t="n">
        <v>0</v>
      </c>
      <c r="AF1184" s="52" t="n">
        <v>0</v>
      </c>
      <c r="AG1184" s="52" t="n">
        <v>0</v>
      </c>
      <c r="AH1184" s="52" t="n">
        <v>0</v>
      </c>
      <c r="AI1184" s="52" t="n">
        <v>0</v>
      </c>
      <c r="AJ1184" s="52" t="n">
        <v>0</v>
      </c>
      <c r="AK1184" s="52" t="n">
        <v>0</v>
      </c>
      <c r="AL1184" s="52" t="n">
        <v>0</v>
      </c>
      <c r="AM1184" s="53" t="n">
        <v>0</v>
      </c>
      <c r="AN1184" s="53" t="n">
        <v>0</v>
      </c>
      <c r="AO1184" s="53" t="n">
        <v>0</v>
      </c>
      <c r="AP1184" s="53" t="n">
        <v>0</v>
      </c>
      <c r="AQ1184" s="52" t="n">
        <v>0</v>
      </c>
      <c r="AR1184" s="52" t="n">
        <v>0</v>
      </c>
      <c r="AS1184" s="52" t="n">
        <v>0</v>
      </c>
      <c r="AT1184" s="52" t="n">
        <v>0</v>
      </c>
      <c r="AU1184" s="53" t="n">
        <v>0</v>
      </c>
      <c r="AV1184" s="53" t="n">
        <v>0</v>
      </c>
      <c r="AW1184" s="53" t="n">
        <v>0</v>
      </c>
      <c r="AX1184" s="53" t="n">
        <v>0</v>
      </c>
      <c r="AY1184" s="52" t="n">
        <v>0</v>
      </c>
      <c r="AZ1184" s="52" t="n">
        <v>0</v>
      </c>
      <c r="BA1184" s="52" t="n">
        <v>0</v>
      </c>
      <c r="BB1184" s="52" t="n">
        <v>0</v>
      </c>
      <c r="BC1184" s="51" t="n">
        <v>0</v>
      </c>
      <c r="BD1184" s="51" t="n">
        <v>0</v>
      </c>
      <c r="BE1184" s="51" t="n">
        <v>0</v>
      </c>
      <c r="BF1184" s="51" t="n">
        <v>0</v>
      </c>
    </row>
    <row r="1185">
      <c r="A1185">
        <f>HYPERLINK("https://www.walmart.com/ip/795260720", "795260720")</f>
        <v/>
      </c>
      <c r="B1185" t="inlineStr">
        <is>
          <t>Tirrinia Sherpa Wearable Blanket for Adult Women and Men, Super Soft Comfy Warm Plush Throw with Sleeves TV Blanket Wrap Robe Cover for  Sofa, Couch 72" x 55" Zebra</t>
        </is>
      </c>
      <c r="C1185" t="inlineStr">
        <is>
          <t>1TRSN110ZEBRA</t>
        </is>
      </c>
      <c r="D1185" t="inlineStr">
        <is>
          <t>Throws</t>
        </is>
      </c>
      <c r="E1185" t="inlineStr">
        <is>
          <t>Terrania</t>
        </is>
      </c>
      <c r="F1185" t="inlineStr">
        <is>
          <t>Q2-Target,Coupon_Discount</t>
        </is>
      </c>
      <c r="G1185" s="48" t="n">
        <v>0</v>
      </c>
      <c r="H1185" s="48" t="n">
        <v>0</v>
      </c>
      <c r="I1185" s="48" t="n">
        <v>0</v>
      </c>
      <c r="J1185" s="48" t="n">
        <v>0</v>
      </c>
      <c r="K1185" s="49" t="n">
        <v>0</v>
      </c>
      <c r="L1185" s="49" t="n">
        <v>0</v>
      </c>
      <c r="M1185" s="49" t="n">
        <v>0</v>
      </c>
      <c r="N1185" s="49" t="n">
        <v>0</v>
      </c>
      <c r="O1185" s="49" t="n">
        <v>0</v>
      </c>
      <c r="P1185" s="49" t="n">
        <v>0</v>
      </c>
      <c r="Q1185" s="49" t="n">
        <v>0</v>
      </c>
      <c r="R1185" s="49" t="n">
        <v>0</v>
      </c>
      <c r="S1185" s="50" t="n">
        <v>0</v>
      </c>
      <c r="T1185" s="50" t="n">
        <v>0</v>
      </c>
      <c r="U1185" s="50" t="n">
        <v>0</v>
      </c>
      <c r="V1185" s="50" t="n">
        <v>0</v>
      </c>
      <c r="W1185" s="51" t="n">
        <v>0</v>
      </c>
      <c r="X1185" s="51" t="n">
        <v>0</v>
      </c>
      <c r="Y1185" s="51" t="n">
        <v>0</v>
      </c>
      <c r="Z1185" s="51" t="n">
        <v>0</v>
      </c>
      <c r="AA1185" s="52" t="n">
        <v>0</v>
      </c>
      <c r="AB1185" s="52" t="n">
        <v>0</v>
      </c>
      <c r="AC1185" s="52" t="n">
        <v>0</v>
      </c>
      <c r="AD1185" s="52" t="n">
        <v>0</v>
      </c>
      <c r="AE1185" s="52" t="n">
        <v>0</v>
      </c>
      <c r="AF1185" s="52" t="n">
        <v>0</v>
      </c>
      <c r="AG1185" s="52" t="n">
        <v>0</v>
      </c>
      <c r="AH1185" s="52" t="n">
        <v>0</v>
      </c>
      <c r="AI1185" s="52" t="n">
        <v>0</v>
      </c>
      <c r="AJ1185" s="52" t="n">
        <v>0</v>
      </c>
      <c r="AK1185" s="52" t="n">
        <v>0</v>
      </c>
      <c r="AL1185" s="52" t="n">
        <v>0</v>
      </c>
      <c r="AM1185" s="53" t="n">
        <v>0</v>
      </c>
      <c r="AN1185" s="53" t="n">
        <v>0</v>
      </c>
      <c r="AO1185" s="53" t="n">
        <v>0</v>
      </c>
      <c r="AP1185" s="53" t="n">
        <v>0</v>
      </c>
      <c r="AQ1185" s="52" t="n">
        <v>0</v>
      </c>
      <c r="AR1185" s="52" t="n">
        <v>0</v>
      </c>
      <c r="AS1185" s="52" t="n">
        <v>0</v>
      </c>
      <c r="AT1185" s="52" t="n">
        <v>0</v>
      </c>
      <c r="AU1185" s="53" t="n">
        <v>0</v>
      </c>
      <c r="AV1185" s="53" t="n">
        <v>0</v>
      </c>
      <c r="AW1185" s="53" t="n">
        <v>0</v>
      </c>
      <c r="AX1185" s="53" t="n">
        <v>0</v>
      </c>
      <c r="AY1185" s="52" t="n">
        <v>0</v>
      </c>
      <c r="AZ1185" s="52" t="n">
        <v>0</v>
      </c>
      <c r="BA1185" s="52" t="n">
        <v>0</v>
      </c>
      <c r="BB1185" s="52" t="n">
        <v>0</v>
      </c>
      <c r="BC1185" s="51" t="n">
        <v>0</v>
      </c>
      <c r="BD1185" s="51" t="n">
        <v>0</v>
      </c>
      <c r="BE1185" s="51" t="n">
        <v>0</v>
      </c>
      <c r="BF1185" s="51" t="n">
        <v>0</v>
      </c>
    </row>
    <row r="1186">
      <c r="A1186">
        <f>HYPERLINK("https://www.walmart.com/ip/795333184", "795333184")</f>
        <v/>
      </c>
      <c r="B1186" t="inlineStr">
        <is>
          <t>Kato 9 Cans Small Insulated Lunch Bag, Mini Thermal Portable Cooler Lunch Box Tote with Dual Zipper Closure for Students, Men and Women, Gray</t>
        </is>
      </c>
      <c r="C1186" t="inlineStr">
        <is>
          <t>1KTLB100BK</t>
        </is>
      </c>
      <c r="D1186" t="inlineStr">
        <is>
          <t>Reusable Lunch Bags &amp; Boxes</t>
        </is>
      </c>
      <c r="E1186" t="inlineStr">
        <is>
          <t>Kato</t>
        </is>
      </c>
      <c r="F1186" t="inlineStr">
        <is>
          <t>Q2-Target,Lunch Bag,Lunch Bags,SEM,Wal-Exl-Price</t>
        </is>
      </c>
      <c r="G1186" s="48" t="n">
        <v>0</v>
      </c>
      <c r="H1186" s="48" t="n">
        <v>0</v>
      </c>
      <c r="I1186" s="48" t="n">
        <v>0</v>
      </c>
      <c r="J1186" s="48" t="n">
        <v>0</v>
      </c>
      <c r="K1186" s="49" t="n">
        <v>0</v>
      </c>
      <c r="L1186" s="49" t="n">
        <v>0</v>
      </c>
      <c r="M1186" s="49" t="n">
        <v>0</v>
      </c>
      <c r="N1186" s="49" t="n">
        <v>0</v>
      </c>
      <c r="O1186" s="49" t="n">
        <v>5</v>
      </c>
      <c r="P1186" s="49" t="n">
        <v>0</v>
      </c>
      <c r="Q1186" s="49" t="n">
        <v>0</v>
      </c>
      <c r="R1186" s="49" t="n">
        <v>2</v>
      </c>
      <c r="S1186" s="50" t="n">
        <v>0</v>
      </c>
      <c r="T1186" s="50" t="n">
        <v>0</v>
      </c>
      <c r="U1186" s="50" t="n">
        <v>0</v>
      </c>
      <c r="V1186" s="50" t="n">
        <v>0</v>
      </c>
      <c r="W1186" s="51" t="n">
        <v>0</v>
      </c>
      <c r="X1186" s="51" t="n">
        <v>0</v>
      </c>
      <c r="Y1186" s="51" t="n">
        <v>0</v>
      </c>
      <c r="Z1186" s="51" t="n">
        <v>0</v>
      </c>
      <c r="AA1186" s="52" t="n">
        <v>0</v>
      </c>
      <c r="AB1186" s="52" t="n">
        <v>0</v>
      </c>
      <c r="AC1186" s="52" t="n">
        <v>0</v>
      </c>
      <c r="AD1186" s="52" t="n">
        <v>0</v>
      </c>
      <c r="AE1186" s="52" t="n">
        <v>0</v>
      </c>
      <c r="AF1186" s="52" t="n">
        <v>0</v>
      </c>
      <c r="AG1186" s="52" t="n">
        <v>0</v>
      </c>
      <c r="AH1186" s="52" t="n">
        <v>0</v>
      </c>
      <c r="AI1186" s="52" t="n">
        <v>0</v>
      </c>
      <c r="AJ1186" s="52" t="n">
        <v>0</v>
      </c>
      <c r="AK1186" s="52" t="n">
        <v>0</v>
      </c>
      <c r="AL1186" s="52" t="n">
        <v>0</v>
      </c>
      <c r="AM1186" s="53" t="n">
        <v>0</v>
      </c>
      <c r="AN1186" s="53" t="n">
        <v>0</v>
      </c>
      <c r="AO1186" s="53" t="n">
        <v>0</v>
      </c>
      <c r="AP1186" s="53" t="n">
        <v>0</v>
      </c>
      <c r="AQ1186" s="52" t="n">
        <v>0</v>
      </c>
      <c r="AR1186" s="52" t="n">
        <v>0</v>
      </c>
      <c r="AS1186" s="52" t="n">
        <v>0</v>
      </c>
      <c r="AT1186" s="52" t="n">
        <v>0</v>
      </c>
      <c r="AU1186" s="53" t="n">
        <v>0</v>
      </c>
      <c r="AV1186" s="53" t="n">
        <v>0</v>
      </c>
      <c r="AW1186" s="53" t="n">
        <v>0</v>
      </c>
      <c r="AX1186" s="53" t="n">
        <v>0</v>
      </c>
      <c r="AY1186" s="52" t="n">
        <v>0</v>
      </c>
      <c r="AZ1186" s="52" t="n">
        <v>0</v>
      </c>
      <c r="BA1186" s="52" t="n">
        <v>0</v>
      </c>
      <c r="BB1186" s="52" t="n">
        <v>0</v>
      </c>
      <c r="BC1186" s="51" t="n">
        <v>0</v>
      </c>
      <c r="BD1186" s="51" t="n">
        <v>0</v>
      </c>
      <c r="BE1186" s="51" t="n">
        <v>0</v>
      </c>
      <c r="BF1186" s="51" t="n">
        <v>0</v>
      </c>
    </row>
    <row r="1187">
      <c r="A1187">
        <f>HYPERLINK("https://www.walmart.com/ip/795351614", "795351614")</f>
        <v/>
      </c>
      <c r="B1187" t="inlineStr">
        <is>
          <t>Grey Plaid Decorative Throw TV Sherpa Blanket, Soft, Warm, Comfy, Plush Fleece for Bedding, Couch and Cabin, Red Blue Buffalo Throw Blanket, 50" x 60".</t>
        </is>
      </c>
      <c r="C1187" t="inlineStr">
        <is>
          <t>1CTBF569PGY</t>
        </is>
      </c>
      <c r="D1187" t="inlineStr">
        <is>
          <t>Throws</t>
        </is>
      </c>
      <c r="E1187" t="inlineStr">
        <is>
          <t>Catalonia</t>
        </is>
      </c>
      <c r="F1187" t="inlineStr">
        <is>
          <t>Q2-Target,WFS,WFS Item</t>
        </is>
      </c>
      <c r="G1187" s="48" t="n">
        <v>0</v>
      </c>
      <c r="H1187" s="48" t="n">
        <v>0</v>
      </c>
      <c r="I1187" s="48" t="n">
        <v>0</v>
      </c>
      <c r="J1187" s="48" t="n">
        <v>0</v>
      </c>
      <c r="K1187" s="49" t="n">
        <v>0</v>
      </c>
      <c r="L1187" s="49" t="n">
        <v>0</v>
      </c>
      <c r="M1187" s="49" t="n">
        <v>0</v>
      </c>
      <c r="N1187" s="49" t="n">
        <v>0</v>
      </c>
      <c r="O1187" s="49" t="n">
        <v>0</v>
      </c>
      <c r="P1187" s="49" t="n">
        <v>0</v>
      </c>
      <c r="Q1187" s="49" t="n">
        <v>0</v>
      </c>
      <c r="R1187" s="49" t="n">
        <v>0</v>
      </c>
      <c r="S1187" s="50" t="n">
        <v>0</v>
      </c>
      <c r="T1187" s="50" t="n">
        <v>0</v>
      </c>
      <c r="U1187" s="50" t="n">
        <v>0</v>
      </c>
      <c r="V1187" s="50" t="n">
        <v>0</v>
      </c>
      <c r="W1187" s="51" t="n">
        <v>0</v>
      </c>
      <c r="X1187" s="51" t="n">
        <v>0</v>
      </c>
      <c r="Y1187" s="51" t="n">
        <v>0</v>
      </c>
      <c r="Z1187" s="51" t="n">
        <v>0</v>
      </c>
      <c r="AA1187" s="52" t="n">
        <v>0</v>
      </c>
      <c r="AB1187" s="52" t="n">
        <v>0</v>
      </c>
      <c r="AC1187" s="52" t="n">
        <v>0</v>
      </c>
      <c r="AD1187" s="52" t="n">
        <v>0</v>
      </c>
      <c r="AE1187" s="52" t="n">
        <v>0</v>
      </c>
      <c r="AF1187" s="52" t="n">
        <v>0</v>
      </c>
      <c r="AG1187" s="52" t="n">
        <v>0</v>
      </c>
      <c r="AH1187" s="52" t="n">
        <v>0</v>
      </c>
      <c r="AI1187" s="52" t="n">
        <v>0</v>
      </c>
      <c r="AJ1187" s="52" t="n">
        <v>0</v>
      </c>
      <c r="AK1187" s="52" t="n">
        <v>0</v>
      </c>
      <c r="AL1187" s="52" t="n">
        <v>0</v>
      </c>
      <c r="AM1187" s="53" t="n">
        <v>0</v>
      </c>
      <c r="AN1187" s="53" t="n">
        <v>0</v>
      </c>
      <c r="AO1187" s="53" t="n">
        <v>0</v>
      </c>
      <c r="AP1187" s="53" t="n">
        <v>0</v>
      </c>
      <c r="AQ1187" s="52" t="n">
        <v>0</v>
      </c>
      <c r="AR1187" s="52" t="n">
        <v>0</v>
      </c>
      <c r="AS1187" s="52" t="n">
        <v>0</v>
      </c>
      <c r="AT1187" s="52" t="n">
        <v>0</v>
      </c>
      <c r="AU1187" s="53" t="n">
        <v>0</v>
      </c>
      <c r="AV1187" s="53" t="n">
        <v>0</v>
      </c>
      <c r="AW1187" s="53" t="n">
        <v>0</v>
      </c>
      <c r="AX1187" s="53" t="n">
        <v>0</v>
      </c>
      <c r="AY1187" s="52" t="n">
        <v>0</v>
      </c>
      <c r="AZ1187" s="52" t="n">
        <v>0</v>
      </c>
      <c r="BA1187" s="52" t="n">
        <v>0</v>
      </c>
      <c r="BB1187" s="52" t="n">
        <v>0</v>
      </c>
      <c r="BC1187" s="51" t="n">
        <v>0</v>
      </c>
      <c r="BD1187" s="51" t="n">
        <v>0</v>
      </c>
      <c r="BE1187" s="51" t="n">
        <v>0</v>
      </c>
      <c r="BF1187" s="51" t="n">
        <v>0</v>
      </c>
    </row>
    <row r="1188">
      <c r="A1188">
        <f>HYPERLINK("https://www.walmart.com/ip/795483021", "795483021")</f>
        <v/>
      </c>
      <c r="B1188" t="inlineStr">
        <is>
          <t>Kato Outdoor Wine Picnic Table, Folding Portable Bamboo Camping Table with Wine Glasses and Bottle Holder for Concerts at the Park or Beach, Ideal Wine Lover Gift</t>
        </is>
      </c>
      <c r="C1188" t="inlineStr">
        <is>
          <t>1KTPT100</t>
        </is>
      </c>
      <c r="D1188" t="inlineStr">
        <is>
          <t>Picnic Tables</t>
        </is>
      </c>
      <c r="E1188" t="inlineStr">
        <is>
          <t>Kato</t>
        </is>
      </c>
      <c r="F1188" t="inlineStr">
        <is>
          <t>Wine,Optimized,WFS,Wine WFS,Valentine,SEM,WFS Item</t>
        </is>
      </c>
      <c r="G1188" s="48" t="n">
        <v>0</v>
      </c>
      <c r="H1188" s="48" t="n">
        <v>0</v>
      </c>
      <c r="I1188" s="48" t="n">
        <v>0</v>
      </c>
      <c r="J1188" s="48" t="n">
        <v>0</v>
      </c>
      <c r="K1188" s="49" t="n">
        <v>0</v>
      </c>
      <c r="L1188" s="49" t="n">
        <v>0</v>
      </c>
      <c r="M1188" s="49" t="n">
        <v>0</v>
      </c>
      <c r="N1188" s="49" t="n">
        <v>0</v>
      </c>
      <c r="O1188" s="49" t="n">
        <v>0</v>
      </c>
      <c r="P1188" s="49" t="n">
        <v>0</v>
      </c>
      <c r="Q1188" s="49" t="n">
        <v>0</v>
      </c>
      <c r="R1188" s="49" t="n">
        <v>0</v>
      </c>
      <c r="S1188" s="50" t="n">
        <v>0</v>
      </c>
      <c r="T1188" s="50" t="n">
        <v>0</v>
      </c>
      <c r="U1188" s="50" t="n">
        <v>0</v>
      </c>
      <c r="V1188" s="50" t="n">
        <v>0</v>
      </c>
      <c r="W1188" s="51" t="n">
        <v>0</v>
      </c>
      <c r="X1188" s="51" t="n">
        <v>0</v>
      </c>
      <c r="Y1188" s="51" t="n">
        <v>0</v>
      </c>
      <c r="Z1188" s="51" t="n">
        <v>0</v>
      </c>
      <c r="AA1188" s="52" t="n">
        <v>0</v>
      </c>
      <c r="AB1188" s="52" t="n">
        <v>0</v>
      </c>
      <c r="AC1188" s="52" t="n">
        <v>0</v>
      </c>
      <c r="AD1188" s="52" t="n">
        <v>0</v>
      </c>
      <c r="AE1188" s="52" t="n">
        <v>0</v>
      </c>
      <c r="AF1188" s="52" t="n">
        <v>0</v>
      </c>
      <c r="AG1188" s="52" t="n">
        <v>0</v>
      </c>
      <c r="AH1188" s="52" t="n">
        <v>0</v>
      </c>
      <c r="AI1188" s="52" t="n">
        <v>0</v>
      </c>
      <c r="AJ1188" s="52" t="n">
        <v>0</v>
      </c>
      <c r="AK1188" s="52" t="n">
        <v>0</v>
      </c>
      <c r="AL1188" s="52" t="n">
        <v>0</v>
      </c>
      <c r="AM1188" s="53" t="n">
        <v>0</v>
      </c>
      <c r="AN1188" s="53" t="n">
        <v>0</v>
      </c>
      <c r="AO1188" s="53" t="n">
        <v>0</v>
      </c>
      <c r="AP1188" s="53" t="n">
        <v>0</v>
      </c>
      <c r="AQ1188" s="52" t="n">
        <v>0</v>
      </c>
      <c r="AR1188" s="52" t="n">
        <v>0</v>
      </c>
      <c r="AS1188" s="52" t="n">
        <v>0</v>
      </c>
      <c r="AT1188" s="52" t="n">
        <v>0</v>
      </c>
      <c r="AU1188" s="53" t="n">
        <v>0</v>
      </c>
      <c r="AV1188" s="53" t="n">
        <v>0</v>
      </c>
      <c r="AW1188" s="53" t="n">
        <v>0</v>
      </c>
      <c r="AX1188" s="53" t="n">
        <v>0</v>
      </c>
      <c r="AY1188" s="52" t="n">
        <v>0</v>
      </c>
      <c r="AZ1188" s="52" t="n">
        <v>0</v>
      </c>
      <c r="BA1188" s="52" t="n">
        <v>0</v>
      </c>
      <c r="BB1188" s="52" t="n">
        <v>0</v>
      </c>
      <c r="BC1188" s="51" t="n">
        <v>0</v>
      </c>
      <c r="BD1188" s="51" t="n">
        <v>0</v>
      </c>
      <c r="BE1188" s="51" t="n">
        <v>0</v>
      </c>
      <c r="BF1188" s="51" t="n">
        <v>0</v>
      </c>
    </row>
    <row r="1189">
      <c r="A1189">
        <f>HYPERLINK("https://www.walmart.com/ip/795661025", "795661025")</f>
        <v/>
      </c>
      <c r="B1189" t="inlineStr">
        <is>
          <t>Sun Hat for Men, Sun Cap with Neck Flap for Fishing, Safari, Cycling, Hiking, Garden, Backpacking, UPF50+, Grey</t>
        </is>
      </c>
      <c r="C1189" t="inlineStr">
        <is>
          <t>KC-S9153-GY</t>
        </is>
      </c>
      <c r="D1189" t="inlineStr">
        <is>
          <t>Hats</t>
        </is>
      </c>
      <c r="E1189" t="inlineStr">
        <is>
          <t>Sun Blocker</t>
        </is>
      </c>
      <c r="F1189" t="inlineStr">
        <is>
          <t>Hats</t>
        </is>
      </c>
      <c r="G1189" s="48" t="n">
        <v>0</v>
      </c>
      <c r="H1189" s="48" t="n">
        <v>14.99</v>
      </c>
      <c r="I1189" s="48" t="n">
        <v>0</v>
      </c>
      <c r="J1189" s="48" t="n">
        <v>0</v>
      </c>
      <c r="K1189" s="49" t="n">
        <v>0</v>
      </c>
      <c r="L1189" s="49" t="n">
        <v>1</v>
      </c>
      <c r="M1189" s="49" t="n">
        <v>0</v>
      </c>
      <c r="N1189" s="49" t="n">
        <v>0</v>
      </c>
      <c r="O1189" s="49" t="n">
        <v>0</v>
      </c>
      <c r="P1189" s="49" t="n">
        <v>0</v>
      </c>
      <c r="Q1189" s="49" t="n">
        <v>0</v>
      </c>
      <c r="R1189" s="49" t="n">
        <v>0</v>
      </c>
      <c r="S1189" s="50" t="n">
        <v>0</v>
      </c>
      <c r="T1189" s="50" t="n">
        <v>0</v>
      </c>
      <c r="U1189" s="50" t="n">
        <v>0</v>
      </c>
      <c r="V1189" s="50" t="n">
        <v>0</v>
      </c>
      <c r="W1189" s="51" t="n">
        <v>0</v>
      </c>
      <c r="X1189" s="51" t="n">
        <v>0</v>
      </c>
      <c r="Y1189" s="51" t="n">
        <v>0</v>
      </c>
      <c r="Z1189" s="51" t="n">
        <v>0</v>
      </c>
      <c r="AA1189" s="52" t="n">
        <v>0</v>
      </c>
      <c r="AB1189" s="52" t="n">
        <v>0</v>
      </c>
      <c r="AC1189" s="52" t="n">
        <v>0</v>
      </c>
      <c r="AD1189" s="52" t="n">
        <v>0</v>
      </c>
      <c r="AE1189" s="52" t="n">
        <v>0</v>
      </c>
      <c r="AF1189" s="52" t="n">
        <v>0</v>
      </c>
      <c r="AG1189" s="52" t="n">
        <v>0</v>
      </c>
      <c r="AH1189" s="52" t="n">
        <v>0</v>
      </c>
      <c r="AI1189" s="52" t="n">
        <v>0</v>
      </c>
      <c r="AJ1189" s="52" t="n">
        <v>0</v>
      </c>
      <c r="AK1189" s="52" t="n">
        <v>0</v>
      </c>
      <c r="AL1189" s="52" t="n">
        <v>0</v>
      </c>
      <c r="AM1189" s="53" t="n">
        <v>0</v>
      </c>
      <c r="AN1189" s="53" t="n">
        <v>0</v>
      </c>
      <c r="AO1189" s="53" t="n">
        <v>0</v>
      </c>
      <c r="AP1189" s="53" t="n">
        <v>0</v>
      </c>
      <c r="AQ1189" s="52" t="n">
        <v>0</v>
      </c>
      <c r="AR1189" s="52" t="n">
        <v>0</v>
      </c>
      <c r="AS1189" s="52" t="n">
        <v>0</v>
      </c>
      <c r="AT1189" s="52" t="n">
        <v>0</v>
      </c>
      <c r="AU1189" s="53" t="n">
        <v>0</v>
      </c>
      <c r="AV1189" s="53" t="n">
        <v>0</v>
      </c>
      <c r="AW1189" s="53" t="n">
        <v>0</v>
      </c>
      <c r="AX1189" s="53" t="n">
        <v>0</v>
      </c>
      <c r="AY1189" s="52" t="n">
        <v>0</v>
      </c>
      <c r="AZ1189" s="52" t="n">
        <v>14.99</v>
      </c>
      <c r="BA1189" s="52" t="n">
        <v>0</v>
      </c>
      <c r="BB1189" s="52" t="n">
        <v>0</v>
      </c>
      <c r="BC1189" s="51" t="n">
        <v>0</v>
      </c>
      <c r="BD1189" s="51" t="n">
        <v>0</v>
      </c>
      <c r="BE1189" s="51" t="n">
        <v>0</v>
      </c>
      <c r="BF1189" s="51" t="n">
        <v>0</v>
      </c>
    </row>
    <row r="1190">
      <c r="A1190">
        <f>HYPERLINK("https://www.walmart.com/ip/797276188", "797276188")</f>
        <v/>
      </c>
      <c r="B1190" t="inlineStr">
        <is>
          <t>Catalonia Sherpa Wearable Blanket Poncho for Adult Women Men, Wrap Blanket Cape with Pocket, Warm, Soft, Cozy, Snuggly, Comfort Gift, No Sleeves, Cow Print</t>
        </is>
      </c>
      <c r="C1190" t="inlineStr">
        <is>
          <t>1CTBP110DMT</t>
        </is>
      </c>
      <c r="D1190" t="inlineStr">
        <is>
          <t>Throws</t>
        </is>
      </c>
      <c r="E1190" t="inlineStr">
        <is>
          <t>Catalonia</t>
        </is>
      </c>
      <c r="F1190" t="inlineStr">
        <is>
          <t>Hero 5 Holidays,WFS,WFS Item</t>
        </is>
      </c>
      <c r="G1190" s="48" t="n">
        <v>0</v>
      </c>
      <c r="H1190" s="48" t="n">
        <v>0</v>
      </c>
      <c r="I1190" s="48" t="n">
        <v>0</v>
      </c>
      <c r="J1190" s="48" t="n">
        <v>0</v>
      </c>
      <c r="K1190" s="49" t="n">
        <v>0</v>
      </c>
      <c r="L1190" s="49" t="n">
        <v>0</v>
      </c>
      <c r="M1190" s="49" t="n">
        <v>0</v>
      </c>
      <c r="N1190" s="49" t="n">
        <v>0</v>
      </c>
      <c r="O1190" s="49" t="n">
        <v>0</v>
      </c>
      <c r="P1190" s="49" t="n">
        <v>0</v>
      </c>
      <c r="Q1190" s="49" t="n">
        <v>0</v>
      </c>
      <c r="R1190" s="49" t="n">
        <v>0</v>
      </c>
      <c r="S1190" s="50" t="n">
        <v>0</v>
      </c>
      <c r="T1190" s="50" t="n">
        <v>0</v>
      </c>
      <c r="U1190" s="50" t="n">
        <v>0</v>
      </c>
      <c r="V1190" s="50" t="n">
        <v>0</v>
      </c>
      <c r="W1190" s="51" t="n">
        <v>0</v>
      </c>
      <c r="X1190" s="51" t="n">
        <v>0</v>
      </c>
      <c r="Y1190" s="51" t="n">
        <v>0</v>
      </c>
      <c r="Z1190" s="51" t="n">
        <v>0</v>
      </c>
      <c r="AA1190" s="52" t="n">
        <v>0</v>
      </c>
      <c r="AB1190" s="52" t="n">
        <v>0</v>
      </c>
      <c r="AC1190" s="52" t="n">
        <v>0</v>
      </c>
      <c r="AD1190" s="52" t="n">
        <v>0</v>
      </c>
      <c r="AE1190" s="52" t="n">
        <v>0</v>
      </c>
      <c r="AF1190" s="52" t="n">
        <v>0</v>
      </c>
      <c r="AG1190" s="52" t="n">
        <v>0</v>
      </c>
      <c r="AH1190" s="52" t="n">
        <v>0</v>
      </c>
      <c r="AI1190" s="52" t="n">
        <v>0</v>
      </c>
      <c r="AJ1190" s="52" t="n">
        <v>0</v>
      </c>
      <c r="AK1190" s="52" t="n">
        <v>0</v>
      </c>
      <c r="AL1190" s="52" t="n">
        <v>0</v>
      </c>
      <c r="AM1190" s="53" t="n">
        <v>0</v>
      </c>
      <c r="AN1190" s="53" t="n">
        <v>0</v>
      </c>
      <c r="AO1190" s="53" t="n">
        <v>0</v>
      </c>
      <c r="AP1190" s="53" t="n">
        <v>0</v>
      </c>
      <c r="AQ1190" s="52" t="n">
        <v>0</v>
      </c>
      <c r="AR1190" s="52" t="n">
        <v>0</v>
      </c>
      <c r="AS1190" s="52" t="n">
        <v>0</v>
      </c>
      <c r="AT1190" s="52" t="n">
        <v>0</v>
      </c>
      <c r="AU1190" s="53" t="n">
        <v>0</v>
      </c>
      <c r="AV1190" s="53" t="n">
        <v>0</v>
      </c>
      <c r="AW1190" s="53" t="n">
        <v>0</v>
      </c>
      <c r="AX1190" s="53" t="n">
        <v>0</v>
      </c>
      <c r="AY1190" s="52" t="n">
        <v>0</v>
      </c>
      <c r="AZ1190" s="52" t="n">
        <v>0</v>
      </c>
      <c r="BA1190" s="52" t="n">
        <v>0</v>
      </c>
      <c r="BB1190" s="52" t="n">
        <v>0</v>
      </c>
      <c r="BC1190" s="51" t="n">
        <v>0</v>
      </c>
      <c r="BD1190" s="51" t="n">
        <v>0</v>
      </c>
      <c r="BE1190" s="51" t="n">
        <v>0</v>
      </c>
      <c r="BF1190" s="51" t="n">
        <v>0</v>
      </c>
    </row>
    <row r="1191">
      <c r="A1191">
        <f>HYPERLINK("https://www.walmart.com/ip/812625607", "812625607")</f>
        <v/>
      </c>
      <c r="B1191" t="inlineStr">
        <is>
          <t>Catalonia Mermaid Tail Fleece Blanket, Soft Flannel All Seasons Bed Blanket for Kids, Adults, Rainbow Ombre Fish Scale Design Snuggle Blanket, Ideal Gift for Holidays, 61" x 20"</t>
        </is>
      </c>
      <c r="C1191" t="inlineStr">
        <is>
          <t>1CTMM500MUL</t>
        </is>
      </c>
      <c r="D1191" t="inlineStr">
        <is>
          <t>Throws</t>
        </is>
      </c>
      <c r="E1191" t="inlineStr">
        <is>
          <t>Catalonia</t>
        </is>
      </c>
      <c r="F1191" t="inlineStr">
        <is>
          <t>Q2-Target,Baby days,Optimized,WFS,WFS Item</t>
        </is>
      </c>
      <c r="G1191" s="48" t="n">
        <v>0</v>
      </c>
      <c r="H1191" s="48" t="n">
        <v>53.97</v>
      </c>
      <c r="I1191" s="48" t="n">
        <v>17.99</v>
      </c>
      <c r="J1191" s="48" t="n">
        <v>35.98</v>
      </c>
      <c r="K1191" s="49" t="n">
        <v>0</v>
      </c>
      <c r="L1191" s="49" t="n">
        <v>3</v>
      </c>
      <c r="M1191" s="49" t="n">
        <v>1</v>
      </c>
      <c r="N1191" s="49" t="n">
        <v>2</v>
      </c>
      <c r="O1191" s="49" t="n">
        <v>12</v>
      </c>
      <c r="P1191" s="49" t="n">
        <v>14</v>
      </c>
      <c r="Q1191" s="49" t="n">
        <v>13</v>
      </c>
      <c r="R1191" s="49" t="n">
        <v>10</v>
      </c>
      <c r="S1191" s="50" t="n">
        <v>0</v>
      </c>
      <c r="T1191" s="50" t="n">
        <v>0.2142857142857143</v>
      </c>
      <c r="U1191" s="50" t="n">
        <v>0.07692307692307693</v>
      </c>
      <c r="V1191" s="50" t="n">
        <v>0.2</v>
      </c>
      <c r="W1191" s="51" t="n">
        <v>5</v>
      </c>
      <c r="X1191" s="51" t="n">
        <v>8</v>
      </c>
      <c r="Y1191" s="51" t="n">
        <v>9</v>
      </c>
      <c r="Z1191" s="51" t="n">
        <v>11</v>
      </c>
      <c r="AA1191" s="52" t="n">
        <v>1.04</v>
      </c>
      <c r="AB1191" s="52" t="n">
        <v>1.67</v>
      </c>
      <c r="AC1191" s="52" t="n">
        <v>1.89</v>
      </c>
      <c r="AD1191" s="52" t="n">
        <v>2.3</v>
      </c>
      <c r="AE1191" s="52" t="n">
        <v>17.99</v>
      </c>
      <c r="AF1191" s="52" t="n">
        <v>35.98</v>
      </c>
      <c r="AG1191" s="52" t="n">
        <v>17.99</v>
      </c>
      <c r="AH1191" s="52" t="n">
        <v>71.95999999999999</v>
      </c>
      <c r="AI1191" s="52" t="n">
        <v>17.3</v>
      </c>
      <c r="AJ1191" s="52" t="n">
        <v>21.54</v>
      </c>
      <c r="AK1191" s="52" t="n">
        <v>9.52</v>
      </c>
      <c r="AL1191" s="52" t="n">
        <v>31.29</v>
      </c>
      <c r="AM1191" s="53" t="n">
        <v>0.0024</v>
      </c>
      <c r="AN1191" s="53" t="n">
        <v>0.0037</v>
      </c>
      <c r="AO1191" s="53" t="n">
        <v>0.0038</v>
      </c>
      <c r="AP1191" s="53" t="n">
        <v>0.004</v>
      </c>
      <c r="AQ1191" s="52" t="n">
        <v>0.208</v>
      </c>
      <c r="AR1191" s="52" t="n">
        <v>0.20875</v>
      </c>
      <c r="AS1191" s="52" t="n">
        <v>0.21</v>
      </c>
      <c r="AT1191" s="52" t="n">
        <v>0.2090909090909091</v>
      </c>
      <c r="AU1191" s="53" t="n">
        <v>0</v>
      </c>
      <c r="AV1191" s="53" t="n">
        <v>0.03094311654622938</v>
      </c>
      <c r="AW1191" s="53" t="n">
        <v>0.1050583657587549</v>
      </c>
      <c r="AX1191" s="53" t="n">
        <v>0.06392440244580322</v>
      </c>
      <c r="AY1191" s="52" t="n">
        <v>0</v>
      </c>
      <c r="AZ1191" s="52" t="n">
        <v>17.99</v>
      </c>
      <c r="BA1191" s="52" t="n">
        <v>17.99</v>
      </c>
      <c r="BB1191" s="52" t="n">
        <v>17.99</v>
      </c>
      <c r="BC1191" s="51" t="n">
        <v>2065</v>
      </c>
      <c r="BD1191" s="51" t="n">
        <v>2169</v>
      </c>
      <c r="BE1191" s="51" t="n">
        <v>2391</v>
      </c>
      <c r="BF1191" s="51" t="n">
        <v>2779</v>
      </c>
    </row>
    <row r="1192">
      <c r="A1192">
        <f>HYPERLINK("https://www.walmart.com/ip/8132070606", "8132070606")</f>
        <v/>
      </c>
      <c r="B1192" t="inlineStr">
        <is>
          <t>Catalonia Hooded Blanket Poncho | Wearable Blanket Wrap with Hand Pockets | Comfy Sherpa Fleece Throw Cape for Children and Adults, Christmas Thanksgiving Mother Gift, Horse</t>
        </is>
      </c>
      <c r="C1192" t="inlineStr">
        <is>
          <t>1CTBC100TPHORSE</t>
        </is>
      </c>
      <c r="D1192" t="inlineStr">
        <is>
          <t>Throws</t>
        </is>
      </c>
      <c r="E1192" t="inlineStr">
        <is>
          <t>Catalonia</t>
        </is>
      </c>
      <c r="G1192" s="48" t="n">
        <v>0</v>
      </c>
      <c r="H1192" s="48" t="n">
        <v>0</v>
      </c>
      <c r="I1192" s="48" t="n">
        <v>0</v>
      </c>
      <c r="J1192" s="48" t="n">
        <v>0</v>
      </c>
      <c r="K1192" s="49" t="n">
        <v>0</v>
      </c>
      <c r="L1192" s="49" t="n">
        <v>0</v>
      </c>
      <c r="M1192" s="49" t="n">
        <v>0</v>
      </c>
      <c r="N1192" s="49" t="n">
        <v>0</v>
      </c>
      <c r="O1192" s="49" t="n">
        <v>0</v>
      </c>
      <c r="P1192" s="49" t="n">
        <v>0</v>
      </c>
      <c r="Q1192" s="49" t="n">
        <v>0</v>
      </c>
      <c r="R1192" s="49" t="n">
        <v>0</v>
      </c>
      <c r="S1192" s="50" t="n">
        <v>0</v>
      </c>
      <c r="T1192" s="50" t="n">
        <v>0</v>
      </c>
      <c r="U1192" s="50" t="n">
        <v>0</v>
      </c>
      <c r="V1192" s="50" t="n">
        <v>0</v>
      </c>
      <c r="W1192" s="51" t="n">
        <v>0</v>
      </c>
      <c r="X1192" s="51" t="n">
        <v>0</v>
      </c>
      <c r="Y1192" s="51" t="n">
        <v>0</v>
      </c>
      <c r="Z1192" s="51" t="n">
        <v>0</v>
      </c>
      <c r="AA1192" s="52" t="n">
        <v>0</v>
      </c>
      <c r="AB1192" s="52" t="n">
        <v>0</v>
      </c>
      <c r="AC1192" s="52" t="n">
        <v>0</v>
      </c>
      <c r="AD1192" s="52" t="n">
        <v>0</v>
      </c>
      <c r="AE1192" s="52" t="n">
        <v>0</v>
      </c>
      <c r="AF1192" s="52" t="n">
        <v>0</v>
      </c>
      <c r="AG1192" s="52" t="n">
        <v>0</v>
      </c>
      <c r="AH1192" s="52" t="n">
        <v>0</v>
      </c>
      <c r="AI1192" s="52" t="n">
        <v>0</v>
      </c>
      <c r="AJ1192" s="52" t="n">
        <v>0</v>
      </c>
      <c r="AK1192" s="52" t="n">
        <v>0</v>
      </c>
      <c r="AL1192" s="52" t="n">
        <v>0</v>
      </c>
      <c r="AM1192" s="53" t="n">
        <v>0</v>
      </c>
      <c r="AN1192" s="53" t="n">
        <v>0</v>
      </c>
      <c r="AO1192" s="53" t="n">
        <v>0</v>
      </c>
      <c r="AP1192" s="53" t="n">
        <v>0</v>
      </c>
      <c r="AQ1192" s="52" t="n">
        <v>0</v>
      </c>
      <c r="AR1192" s="52" t="n">
        <v>0</v>
      </c>
      <c r="AS1192" s="52" t="n">
        <v>0</v>
      </c>
      <c r="AT1192" s="52" t="n">
        <v>0</v>
      </c>
      <c r="AU1192" s="53" t="n">
        <v>0</v>
      </c>
      <c r="AV1192" s="53" t="n">
        <v>0</v>
      </c>
      <c r="AW1192" s="53" t="n">
        <v>0</v>
      </c>
      <c r="AX1192" s="53" t="n">
        <v>0</v>
      </c>
      <c r="AY1192" s="52" t="n">
        <v>0</v>
      </c>
      <c r="AZ1192" s="52" t="n">
        <v>0</v>
      </c>
      <c r="BA1192" s="52" t="n">
        <v>0</v>
      </c>
      <c r="BB1192" s="52" t="n">
        <v>0</v>
      </c>
      <c r="BC1192" s="51" t="n">
        <v>0</v>
      </c>
      <c r="BD1192" s="51" t="n">
        <v>0</v>
      </c>
      <c r="BE1192" s="51" t="n">
        <v>0</v>
      </c>
      <c r="BF1192" s="51" t="n">
        <v>0</v>
      </c>
    </row>
    <row r="1193">
      <c r="A1193">
        <f>HYPERLINK("https://www.walmart.com/ip/740898962", "740898962")</f>
        <v/>
      </c>
      <c r="B1193" t="inlineStr">
        <is>
          <t>Insulated Expandable Lunch Bags Tote Thermal Cooler Leak Proof Travel Container Food Case for Adults Adjustable Shoulder</t>
        </is>
      </c>
      <c r="C1193" t="inlineStr">
        <is>
          <t>1KTLB110PP</t>
        </is>
      </c>
      <c r="D1193" t="inlineStr">
        <is>
          <t>Reusable Lunch Bags &amp; Boxes</t>
        </is>
      </c>
      <c r="E1193" t="inlineStr">
        <is>
          <t>Kato</t>
        </is>
      </c>
      <c r="F1193" t="inlineStr">
        <is>
          <t>Lunch Bag,Optimized,Lunch Bags,SEM</t>
        </is>
      </c>
      <c r="G1193" s="48" t="n">
        <v>0</v>
      </c>
      <c r="H1193" s="48" t="n">
        <v>0</v>
      </c>
      <c r="I1193" s="48" t="n">
        <v>0</v>
      </c>
      <c r="J1193" s="48" t="n">
        <v>0</v>
      </c>
      <c r="K1193" s="49" t="n">
        <v>0</v>
      </c>
      <c r="L1193" s="49" t="n">
        <v>0</v>
      </c>
      <c r="M1193" s="49" t="n">
        <v>0</v>
      </c>
      <c r="N1193" s="49" t="n">
        <v>0</v>
      </c>
      <c r="O1193" s="49" t="n">
        <v>0</v>
      </c>
      <c r="P1193" s="49" t="n">
        <v>0</v>
      </c>
      <c r="Q1193" s="49" t="n">
        <v>0</v>
      </c>
      <c r="R1193" s="49" t="n">
        <v>0</v>
      </c>
      <c r="S1193" s="50" t="n">
        <v>0</v>
      </c>
      <c r="T1193" s="50" t="n">
        <v>0</v>
      </c>
      <c r="U1193" s="50" t="n">
        <v>0</v>
      </c>
      <c r="V1193" s="50" t="n">
        <v>0</v>
      </c>
      <c r="W1193" s="51" t="n">
        <v>0</v>
      </c>
      <c r="X1193" s="51" t="n">
        <v>0</v>
      </c>
      <c r="Y1193" s="51" t="n">
        <v>0</v>
      </c>
      <c r="Z1193" s="51" t="n">
        <v>0</v>
      </c>
      <c r="AA1193" s="52" t="n">
        <v>0</v>
      </c>
      <c r="AB1193" s="52" t="n">
        <v>0</v>
      </c>
      <c r="AC1193" s="52" t="n">
        <v>0</v>
      </c>
      <c r="AD1193" s="52" t="n">
        <v>0</v>
      </c>
      <c r="AE1193" s="52" t="n">
        <v>0</v>
      </c>
      <c r="AF1193" s="52" t="n">
        <v>0</v>
      </c>
      <c r="AG1193" s="52" t="n">
        <v>0</v>
      </c>
      <c r="AH1193" s="52" t="n">
        <v>0</v>
      </c>
      <c r="AI1193" s="52" t="n">
        <v>0</v>
      </c>
      <c r="AJ1193" s="52" t="n">
        <v>0</v>
      </c>
      <c r="AK1193" s="52" t="n">
        <v>0</v>
      </c>
      <c r="AL1193" s="52" t="n">
        <v>0</v>
      </c>
      <c r="AM1193" s="53" t="n">
        <v>0</v>
      </c>
      <c r="AN1193" s="53" t="n">
        <v>0</v>
      </c>
      <c r="AO1193" s="53" t="n">
        <v>0</v>
      </c>
      <c r="AP1193" s="53" t="n">
        <v>0</v>
      </c>
      <c r="AQ1193" s="52" t="n">
        <v>0</v>
      </c>
      <c r="AR1193" s="52" t="n">
        <v>0</v>
      </c>
      <c r="AS1193" s="52" t="n">
        <v>0</v>
      </c>
      <c r="AT1193" s="52" t="n">
        <v>0</v>
      </c>
      <c r="AU1193" s="53" t="n">
        <v>0</v>
      </c>
      <c r="AV1193" s="53" t="n">
        <v>0</v>
      </c>
      <c r="AW1193" s="53" t="n">
        <v>0</v>
      </c>
      <c r="AX1193" s="53" t="n">
        <v>0</v>
      </c>
      <c r="AY1193" s="52" t="n">
        <v>0</v>
      </c>
      <c r="AZ1193" s="52" t="n">
        <v>0</v>
      </c>
      <c r="BA1193" s="52" t="n">
        <v>0</v>
      </c>
      <c r="BB1193" s="52" t="n">
        <v>0</v>
      </c>
      <c r="BC1193" s="51" t="n">
        <v>0</v>
      </c>
      <c r="BD1193" s="51" t="n">
        <v>0</v>
      </c>
      <c r="BE1193" s="51" t="n">
        <v>0</v>
      </c>
      <c r="BF1193" s="51" t="n">
        <v>0</v>
      </c>
    </row>
    <row r="1194">
      <c r="A1194">
        <f>HYPERLINK("https://www.walmart.com/ip/8182168292", "8182168292")</f>
        <v/>
      </c>
      <c r="B1194" t="inlineStr">
        <is>
          <t>Tirrinia Wearable Blanket Poncho, Cloak with hood, Poncho capes for Women, Sherpa Wrap Shawl Blanket, Cozy Fluffy Lightweight Women Mom Gift</t>
        </is>
      </c>
      <c r="C1194" t="inlineStr">
        <is>
          <t>1TRBC101NYBARK</t>
        </is>
      </c>
      <c r="D1194" t="inlineStr">
        <is>
          <t>Throws</t>
        </is>
      </c>
      <c r="E1194" t="inlineStr">
        <is>
          <t>Tirrinia</t>
        </is>
      </c>
      <c r="G1194" s="48" t="n">
        <v>0</v>
      </c>
      <c r="H1194" s="48" t="n">
        <v>0</v>
      </c>
      <c r="I1194" s="48" t="n">
        <v>0</v>
      </c>
      <c r="J1194" s="48" t="n">
        <v>0</v>
      </c>
      <c r="K1194" s="49" t="n">
        <v>0</v>
      </c>
      <c r="L1194" s="49" t="n">
        <v>0</v>
      </c>
      <c r="M1194" s="49" t="n">
        <v>0</v>
      </c>
      <c r="N1194" s="49" t="n">
        <v>0</v>
      </c>
      <c r="O1194" s="49" t="n">
        <v>0</v>
      </c>
      <c r="P1194" s="49" t="n">
        <v>0</v>
      </c>
      <c r="Q1194" s="49" t="n">
        <v>0</v>
      </c>
      <c r="R1194" s="49" t="n">
        <v>0</v>
      </c>
      <c r="S1194" s="50" t="n">
        <v>0</v>
      </c>
      <c r="T1194" s="50" t="n">
        <v>0</v>
      </c>
      <c r="U1194" s="50" t="n">
        <v>0</v>
      </c>
      <c r="V1194" s="50" t="n">
        <v>0</v>
      </c>
      <c r="W1194" s="51" t="n">
        <v>0</v>
      </c>
      <c r="X1194" s="51" t="n">
        <v>0</v>
      </c>
      <c r="Y1194" s="51" t="n">
        <v>0</v>
      </c>
      <c r="Z1194" s="51" t="n">
        <v>0</v>
      </c>
      <c r="AA1194" s="52" t="n">
        <v>0</v>
      </c>
      <c r="AB1194" s="52" t="n">
        <v>0</v>
      </c>
      <c r="AC1194" s="52" t="n">
        <v>0</v>
      </c>
      <c r="AD1194" s="52" t="n">
        <v>0</v>
      </c>
      <c r="AE1194" s="52" t="n">
        <v>0</v>
      </c>
      <c r="AF1194" s="52" t="n">
        <v>0</v>
      </c>
      <c r="AG1194" s="52" t="n">
        <v>0</v>
      </c>
      <c r="AH1194" s="52" t="n">
        <v>0</v>
      </c>
      <c r="AI1194" s="52" t="n">
        <v>0</v>
      </c>
      <c r="AJ1194" s="52" t="n">
        <v>0</v>
      </c>
      <c r="AK1194" s="52" t="n">
        <v>0</v>
      </c>
      <c r="AL1194" s="52" t="n">
        <v>0</v>
      </c>
      <c r="AM1194" s="53" t="n">
        <v>0</v>
      </c>
      <c r="AN1194" s="53" t="n">
        <v>0</v>
      </c>
      <c r="AO1194" s="53" t="n">
        <v>0</v>
      </c>
      <c r="AP1194" s="53" t="n">
        <v>0</v>
      </c>
      <c r="AQ1194" s="52" t="n">
        <v>0</v>
      </c>
      <c r="AR1194" s="52" t="n">
        <v>0</v>
      </c>
      <c r="AS1194" s="52" t="n">
        <v>0</v>
      </c>
      <c r="AT1194" s="52" t="n">
        <v>0</v>
      </c>
      <c r="AU1194" s="53" t="n">
        <v>0</v>
      </c>
      <c r="AV1194" s="53" t="n">
        <v>0</v>
      </c>
      <c r="AW1194" s="53" t="n">
        <v>0</v>
      </c>
      <c r="AX1194" s="53" t="n">
        <v>0</v>
      </c>
      <c r="AY1194" s="52" t="n">
        <v>0</v>
      </c>
      <c r="AZ1194" s="52" t="n">
        <v>0</v>
      </c>
      <c r="BA1194" s="52" t="n">
        <v>0</v>
      </c>
      <c r="BB1194" s="52" t="n">
        <v>0</v>
      </c>
      <c r="BC1194" s="51" t="n">
        <v>0</v>
      </c>
      <c r="BD1194" s="51" t="n">
        <v>0</v>
      </c>
      <c r="BE1194" s="51" t="n">
        <v>0</v>
      </c>
      <c r="BF1194" s="51" t="n">
        <v>0</v>
      </c>
    </row>
    <row r="1195">
      <c r="A1195">
        <f>HYPERLINK("https://www.walmart.com/ip/818741888", "818741888")</f>
        <v/>
      </c>
      <c r="B1195" t="inlineStr">
        <is>
          <t>Catalonia Women’s Sherpa Hoodie Sweatshirt Dress, Casual Snuggle Wearable Blanket Pullover Sweater with Kangaroo Pocket, Warm and Soft, Gift for Her, Pink</t>
        </is>
      </c>
      <c r="C1195" t="inlineStr">
        <is>
          <t>1CTHD532PK</t>
        </is>
      </c>
      <c r="D1195" t="inlineStr">
        <is>
          <t>Sweatshirts &amp; Hoodies</t>
        </is>
      </c>
      <c r="E1195" t="inlineStr">
        <is>
          <t>Catalonia</t>
        </is>
      </c>
      <c r="F1195" t="inlineStr">
        <is>
          <t>Hoodie ForAdult,Optimized</t>
        </is>
      </c>
      <c r="G1195" s="48" t="n">
        <v>0</v>
      </c>
      <c r="H1195" s="48" t="n">
        <v>0</v>
      </c>
      <c r="I1195" s="48" t="n">
        <v>0</v>
      </c>
      <c r="J1195" s="48" t="n">
        <v>0</v>
      </c>
      <c r="K1195" s="49" t="n">
        <v>0</v>
      </c>
      <c r="L1195" s="49" t="n">
        <v>0</v>
      </c>
      <c r="M1195" s="49" t="n">
        <v>0</v>
      </c>
      <c r="N1195" s="49" t="n">
        <v>0</v>
      </c>
      <c r="O1195" s="49" t="n">
        <v>0</v>
      </c>
      <c r="P1195" s="49" t="n">
        <v>0</v>
      </c>
      <c r="Q1195" s="49" t="n">
        <v>0</v>
      </c>
      <c r="R1195" s="49" t="n">
        <v>0</v>
      </c>
      <c r="S1195" s="50" t="n">
        <v>0</v>
      </c>
      <c r="T1195" s="50" t="n">
        <v>0</v>
      </c>
      <c r="U1195" s="50" t="n">
        <v>0</v>
      </c>
      <c r="V1195" s="50" t="n">
        <v>0</v>
      </c>
      <c r="W1195" s="51" t="n">
        <v>0</v>
      </c>
      <c r="X1195" s="51" t="n">
        <v>0</v>
      </c>
      <c r="Y1195" s="51" t="n">
        <v>0</v>
      </c>
      <c r="Z1195" s="51" t="n">
        <v>0</v>
      </c>
      <c r="AA1195" s="52" t="n">
        <v>0</v>
      </c>
      <c r="AB1195" s="52" t="n">
        <v>0</v>
      </c>
      <c r="AC1195" s="52" t="n">
        <v>0</v>
      </c>
      <c r="AD1195" s="52" t="n">
        <v>0</v>
      </c>
      <c r="AE1195" s="52" t="n">
        <v>0</v>
      </c>
      <c r="AF1195" s="52" t="n">
        <v>0</v>
      </c>
      <c r="AG1195" s="52" t="n">
        <v>0</v>
      </c>
      <c r="AH1195" s="52" t="n">
        <v>0</v>
      </c>
      <c r="AI1195" s="52" t="n">
        <v>0</v>
      </c>
      <c r="AJ1195" s="52" t="n">
        <v>0</v>
      </c>
      <c r="AK1195" s="52" t="n">
        <v>0</v>
      </c>
      <c r="AL1195" s="52" t="n">
        <v>0</v>
      </c>
      <c r="AM1195" s="53" t="n">
        <v>0</v>
      </c>
      <c r="AN1195" s="53" t="n">
        <v>0</v>
      </c>
      <c r="AO1195" s="53" t="n">
        <v>0</v>
      </c>
      <c r="AP1195" s="53" t="n">
        <v>0</v>
      </c>
      <c r="AQ1195" s="52" t="n">
        <v>0</v>
      </c>
      <c r="AR1195" s="52" t="n">
        <v>0</v>
      </c>
      <c r="AS1195" s="52" t="n">
        <v>0</v>
      </c>
      <c r="AT1195" s="52" t="n">
        <v>0</v>
      </c>
      <c r="AU1195" s="53" t="n">
        <v>0</v>
      </c>
      <c r="AV1195" s="53" t="n">
        <v>0</v>
      </c>
      <c r="AW1195" s="53" t="n">
        <v>0</v>
      </c>
      <c r="AX1195" s="53" t="n">
        <v>0</v>
      </c>
      <c r="AY1195" s="52" t="n">
        <v>0</v>
      </c>
      <c r="AZ1195" s="52" t="n">
        <v>0</v>
      </c>
      <c r="BA1195" s="52" t="n">
        <v>0</v>
      </c>
      <c r="BB1195" s="52" t="n">
        <v>0</v>
      </c>
      <c r="BC1195" s="51" t="n">
        <v>0</v>
      </c>
      <c r="BD1195" s="51" t="n">
        <v>0</v>
      </c>
      <c r="BE1195" s="51" t="n">
        <v>0</v>
      </c>
      <c r="BF1195" s="51" t="n">
        <v>0</v>
      </c>
    </row>
    <row r="1196">
      <c r="A1196">
        <f>HYPERLINK("https://www.walmart.com/ip/818876677", "818876677")</f>
        <v/>
      </c>
      <c r="B1196" t="inlineStr">
        <is>
          <t>Bucket Sun Hat Cute Cap for Women Fashion Fold-up Brim Packable Summer Beach by Solaris</t>
        </is>
      </c>
      <c r="C1196" t="inlineStr">
        <is>
          <t>1SLSH9200FLWPK-FSCB</t>
        </is>
      </c>
      <c r="D1196" t="inlineStr">
        <is>
          <t>Hats</t>
        </is>
      </c>
      <c r="E1196" t="inlineStr">
        <is>
          <t>Solaris</t>
        </is>
      </c>
      <c r="G1196" s="48" t="n">
        <v>0</v>
      </c>
      <c r="H1196" s="48" t="n">
        <v>0</v>
      </c>
      <c r="I1196" s="48" t="n">
        <v>0</v>
      </c>
      <c r="J1196" s="48" t="n">
        <v>0</v>
      </c>
      <c r="K1196" s="49" t="n">
        <v>0</v>
      </c>
      <c r="L1196" s="49" t="n">
        <v>0</v>
      </c>
      <c r="M1196" s="49" t="n">
        <v>0</v>
      </c>
      <c r="N1196" s="49" t="n">
        <v>0</v>
      </c>
      <c r="O1196" s="49" t="n">
        <v>0</v>
      </c>
      <c r="P1196" s="49" t="n">
        <v>0</v>
      </c>
      <c r="Q1196" s="49" t="n">
        <v>0</v>
      </c>
      <c r="R1196" s="49" t="n">
        <v>0</v>
      </c>
      <c r="S1196" s="50" t="n">
        <v>0</v>
      </c>
      <c r="T1196" s="50" t="n">
        <v>0</v>
      </c>
      <c r="U1196" s="50" t="n">
        <v>0</v>
      </c>
      <c r="V1196" s="50" t="n">
        <v>0</v>
      </c>
      <c r="W1196" s="51" t="n">
        <v>0</v>
      </c>
      <c r="X1196" s="51" t="n">
        <v>0</v>
      </c>
      <c r="Y1196" s="51" t="n">
        <v>0</v>
      </c>
      <c r="Z1196" s="51" t="n">
        <v>0</v>
      </c>
      <c r="AA1196" s="52" t="n">
        <v>0</v>
      </c>
      <c r="AB1196" s="52" t="n">
        <v>0</v>
      </c>
      <c r="AC1196" s="52" t="n">
        <v>0</v>
      </c>
      <c r="AD1196" s="52" t="n">
        <v>0</v>
      </c>
      <c r="AE1196" s="52" t="n">
        <v>0</v>
      </c>
      <c r="AF1196" s="52" t="n">
        <v>0</v>
      </c>
      <c r="AG1196" s="52" t="n">
        <v>0</v>
      </c>
      <c r="AH1196" s="52" t="n">
        <v>0</v>
      </c>
      <c r="AI1196" s="52" t="n">
        <v>0</v>
      </c>
      <c r="AJ1196" s="52" t="n">
        <v>0</v>
      </c>
      <c r="AK1196" s="52" t="n">
        <v>0</v>
      </c>
      <c r="AL1196" s="52" t="n">
        <v>0</v>
      </c>
      <c r="AM1196" s="53" t="n">
        <v>0</v>
      </c>
      <c r="AN1196" s="53" t="n">
        <v>0</v>
      </c>
      <c r="AO1196" s="53" t="n">
        <v>0</v>
      </c>
      <c r="AP1196" s="53" t="n">
        <v>0</v>
      </c>
      <c r="AQ1196" s="52" t="n">
        <v>0</v>
      </c>
      <c r="AR1196" s="52" t="n">
        <v>0</v>
      </c>
      <c r="AS1196" s="52" t="n">
        <v>0</v>
      </c>
      <c r="AT1196" s="52" t="n">
        <v>0</v>
      </c>
      <c r="AU1196" s="53" t="n">
        <v>0</v>
      </c>
      <c r="AV1196" s="53" t="n">
        <v>0</v>
      </c>
      <c r="AW1196" s="53" t="n">
        <v>0</v>
      </c>
      <c r="AX1196" s="53" t="n">
        <v>0</v>
      </c>
      <c r="AY1196" s="52" t="n">
        <v>0</v>
      </c>
      <c r="AZ1196" s="52" t="n">
        <v>0</v>
      </c>
      <c r="BA1196" s="52" t="n">
        <v>0</v>
      </c>
      <c r="BB1196" s="52" t="n">
        <v>0</v>
      </c>
      <c r="BC1196" s="51" t="n">
        <v>0</v>
      </c>
      <c r="BD1196" s="51" t="n">
        <v>0</v>
      </c>
      <c r="BE1196" s="51" t="n">
        <v>0</v>
      </c>
      <c r="BF1196" s="51" t="n">
        <v>0</v>
      </c>
    </row>
    <row r="1197">
      <c r="A1197">
        <f>HYPERLINK("https://www.walmart.com/ip/818955209", "818955209")</f>
        <v/>
      </c>
      <c r="B1197" t="inlineStr">
        <is>
          <t>Kato Insulated Wine Carrier Bag - 4 Bottle Travel Padded Wine Carrying CoolerTote with Handle and Shoulder Strap, Great Wine Lover Gift, Black</t>
        </is>
      </c>
      <c r="C1197" t="inlineStr">
        <is>
          <t>1KTWB420BK</t>
        </is>
      </c>
      <c r="D1197" t="inlineStr">
        <is>
          <t>Wine Totes, Bags &amp; Backpacks</t>
        </is>
      </c>
      <c r="E1197" t="inlineStr">
        <is>
          <t>Kato</t>
        </is>
      </c>
      <c r="F1197" t="inlineStr">
        <is>
          <t>Wine,Christmas,WFS,Wine WFS,Valentine,SEM,WFS Item</t>
        </is>
      </c>
      <c r="G1197" s="48" t="n">
        <v>0</v>
      </c>
      <c r="H1197" s="48" t="n">
        <v>21.99</v>
      </c>
      <c r="I1197" s="48" t="n">
        <v>0</v>
      </c>
      <c r="J1197" s="48" t="n">
        <v>0</v>
      </c>
      <c r="K1197" s="49" t="n">
        <v>0</v>
      </c>
      <c r="L1197" s="49" t="n">
        <v>1</v>
      </c>
      <c r="M1197" s="49" t="n">
        <v>0</v>
      </c>
      <c r="N1197" s="49" t="n">
        <v>0</v>
      </c>
      <c r="O1197" s="49" t="n">
        <v>0</v>
      </c>
      <c r="P1197" s="49" t="n">
        <v>0</v>
      </c>
      <c r="Q1197" s="49" t="n">
        <v>0</v>
      </c>
      <c r="R1197" s="49" t="n">
        <v>0</v>
      </c>
      <c r="S1197" s="50" t="n">
        <v>0</v>
      </c>
      <c r="T1197" s="50" t="n">
        <v>0</v>
      </c>
      <c r="U1197" s="50" t="n">
        <v>0</v>
      </c>
      <c r="V1197" s="50" t="n">
        <v>0</v>
      </c>
      <c r="W1197" s="51" t="n">
        <v>5</v>
      </c>
      <c r="X1197" s="51" t="n">
        <v>8</v>
      </c>
      <c r="Y1197" s="51" t="n">
        <v>6</v>
      </c>
      <c r="Z1197" s="51" t="n">
        <v>3</v>
      </c>
      <c r="AA1197" s="52" t="n">
        <v>2.2</v>
      </c>
      <c r="AB1197" s="52" t="n">
        <v>3.52</v>
      </c>
      <c r="AC1197" s="52" t="n">
        <v>2.64</v>
      </c>
      <c r="AD1197" s="52" t="n">
        <v>1.32</v>
      </c>
      <c r="AE1197" s="52" t="n">
        <v>22.99</v>
      </c>
      <c r="AF1197" s="52" t="n">
        <v>21.99</v>
      </c>
      <c r="AG1197" s="52" t="n">
        <v>0</v>
      </c>
      <c r="AH1197" s="52" t="n">
        <v>0</v>
      </c>
      <c r="AI1197" s="52" t="n">
        <v>10.45</v>
      </c>
      <c r="AJ1197" s="52" t="n">
        <v>6.25</v>
      </c>
      <c r="AK1197" s="52" t="n">
        <v>0</v>
      </c>
      <c r="AL1197" s="52" t="n">
        <v>0</v>
      </c>
      <c r="AM1197" s="53" t="n">
        <v>0.0022</v>
      </c>
      <c r="AN1197" s="53" t="n">
        <v>0.0044</v>
      </c>
      <c r="AO1197" s="53" t="n">
        <v>0.0047</v>
      </c>
      <c r="AP1197" s="53" t="n">
        <v>0.0038</v>
      </c>
      <c r="AQ1197" s="52" t="n">
        <v>0.4400000000000001</v>
      </c>
      <c r="AR1197" s="52" t="n">
        <v>0.44</v>
      </c>
      <c r="AS1197" s="52" t="n">
        <v>0.44</v>
      </c>
      <c r="AT1197" s="52" t="n">
        <v>0.44</v>
      </c>
      <c r="AU1197" s="53" t="n">
        <v>0</v>
      </c>
      <c r="AV1197" s="53" t="n">
        <v>0.1600727603456117</v>
      </c>
      <c r="AW1197" s="53" t="n">
        <v>0</v>
      </c>
      <c r="AX1197" s="53" t="n">
        <v>0</v>
      </c>
      <c r="AY1197" s="52" t="n">
        <v>0</v>
      </c>
      <c r="AZ1197" s="52" t="n">
        <v>21.99</v>
      </c>
      <c r="BA1197" s="52" t="n">
        <v>0</v>
      </c>
      <c r="BB1197" s="52" t="n">
        <v>0</v>
      </c>
      <c r="BC1197" s="51" t="n">
        <v>2286</v>
      </c>
      <c r="BD1197" s="51" t="n">
        <v>1802</v>
      </c>
      <c r="BE1197" s="51" t="n">
        <v>1288</v>
      </c>
      <c r="BF1197" s="51" t="n">
        <v>792</v>
      </c>
    </row>
    <row r="1198">
      <c r="A1198">
        <f>HYPERLINK("https://www.walmart.com/ip/820497117", "820497117")</f>
        <v/>
      </c>
      <c r="B1198" t="inlineStr">
        <is>
          <t>Bucket Sun Hat Cute Cap for Women Fashion Fold-up Brim Packable Summer Beach by Solaris</t>
        </is>
      </c>
      <c r="C1198" t="inlineStr">
        <is>
          <t>1SLSH9200FLWBL-FSCB</t>
        </is>
      </c>
      <c r="D1198" t="inlineStr">
        <is>
          <t>Hats</t>
        </is>
      </c>
      <c r="E1198" t="inlineStr">
        <is>
          <t>Solaris</t>
        </is>
      </c>
      <c r="G1198" s="48" t="n">
        <v>0</v>
      </c>
      <c r="H1198" s="48" t="n">
        <v>0</v>
      </c>
      <c r="I1198" s="48" t="n">
        <v>0</v>
      </c>
      <c r="J1198" s="48" t="n">
        <v>0</v>
      </c>
      <c r="K1198" s="49" t="n">
        <v>0</v>
      </c>
      <c r="L1198" s="49" t="n">
        <v>0</v>
      </c>
      <c r="M1198" s="49" t="n">
        <v>0</v>
      </c>
      <c r="N1198" s="49" t="n">
        <v>0</v>
      </c>
      <c r="O1198" s="49" t="n">
        <v>0</v>
      </c>
      <c r="P1198" s="49" t="n">
        <v>0</v>
      </c>
      <c r="Q1198" s="49" t="n">
        <v>0</v>
      </c>
      <c r="R1198" s="49" t="n">
        <v>0</v>
      </c>
      <c r="S1198" s="50" t="n">
        <v>0</v>
      </c>
      <c r="T1198" s="50" t="n">
        <v>0</v>
      </c>
      <c r="U1198" s="50" t="n">
        <v>0</v>
      </c>
      <c r="V1198" s="50" t="n">
        <v>0</v>
      </c>
      <c r="W1198" s="51" t="n">
        <v>0</v>
      </c>
      <c r="X1198" s="51" t="n">
        <v>0</v>
      </c>
      <c r="Y1198" s="51" t="n">
        <v>0</v>
      </c>
      <c r="Z1198" s="51" t="n">
        <v>0</v>
      </c>
      <c r="AA1198" s="52" t="n">
        <v>0</v>
      </c>
      <c r="AB1198" s="52" t="n">
        <v>0</v>
      </c>
      <c r="AC1198" s="52" t="n">
        <v>0</v>
      </c>
      <c r="AD1198" s="52" t="n">
        <v>0</v>
      </c>
      <c r="AE1198" s="52" t="n">
        <v>0</v>
      </c>
      <c r="AF1198" s="52" t="n">
        <v>0</v>
      </c>
      <c r="AG1198" s="52" t="n">
        <v>0</v>
      </c>
      <c r="AH1198" s="52" t="n">
        <v>0</v>
      </c>
      <c r="AI1198" s="52" t="n">
        <v>0</v>
      </c>
      <c r="AJ1198" s="52" t="n">
        <v>0</v>
      </c>
      <c r="AK1198" s="52" t="n">
        <v>0</v>
      </c>
      <c r="AL1198" s="52" t="n">
        <v>0</v>
      </c>
      <c r="AM1198" s="53" t="n">
        <v>0</v>
      </c>
      <c r="AN1198" s="53" t="n">
        <v>0</v>
      </c>
      <c r="AO1198" s="53" t="n">
        <v>0</v>
      </c>
      <c r="AP1198" s="53" t="n">
        <v>0</v>
      </c>
      <c r="AQ1198" s="52" t="n">
        <v>0</v>
      </c>
      <c r="AR1198" s="52" t="n">
        <v>0</v>
      </c>
      <c r="AS1198" s="52" t="n">
        <v>0</v>
      </c>
      <c r="AT1198" s="52" t="n">
        <v>0</v>
      </c>
      <c r="AU1198" s="53" t="n">
        <v>0</v>
      </c>
      <c r="AV1198" s="53" t="n">
        <v>0</v>
      </c>
      <c r="AW1198" s="53" t="n">
        <v>0</v>
      </c>
      <c r="AX1198" s="53" t="n">
        <v>0</v>
      </c>
      <c r="AY1198" s="52" t="n">
        <v>0</v>
      </c>
      <c r="AZ1198" s="52" t="n">
        <v>0</v>
      </c>
      <c r="BA1198" s="52" t="n">
        <v>0</v>
      </c>
      <c r="BB1198" s="52" t="n">
        <v>0</v>
      </c>
      <c r="BC1198" s="51" t="n">
        <v>0</v>
      </c>
      <c r="BD1198" s="51" t="n">
        <v>0</v>
      </c>
      <c r="BE1198" s="51" t="n">
        <v>0</v>
      </c>
      <c r="BF1198" s="51" t="n">
        <v>0</v>
      </c>
    </row>
    <row r="1199">
      <c r="A1199">
        <f>HYPERLINK("https://www.walmart.com/ip/821016160", "821016160")</f>
        <v/>
      </c>
      <c r="B1199" t="inlineStr">
        <is>
          <t>Solaris Knit Beanie Hat for Women,  Faux Fuzzy Pom Pom Winter Ski Skullies Cap, Grey</t>
        </is>
      </c>
      <c r="C1199" t="inlineStr">
        <is>
          <t>1SLWH100GY</t>
        </is>
      </c>
      <c r="D1199" t="inlineStr">
        <is>
          <t>Hats</t>
        </is>
      </c>
      <c r="E1199" t="inlineStr">
        <is>
          <t>Solaris</t>
        </is>
      </c>
      <c r="F1199" t="inlineStr">
        <is>
          <t>Batch 1 - TR</t>
        </is>
      </c>
      <c r="G1199" s="48" t="n">
        <v>0</v>
      </c>
      <c r="H1199" s="48" t="n">
        <v>0</v>
      </c>
      <c r="I1199" s="48" t="n">
        <v>0</v>
      </c>
      <c r="J1199" s="48" t="n">
        <v>0</v>
      </c>
      <c r="K1199" s="49" t="n">
        <v>0</v>
      </c>
      <c r="L1199" s="49" t="n">
        <v>0</v>
      </c>
      <c r="M1199" s="49" t="n">
        <v>0</v>
      </c>
      <c r="N1199" s="49" t="n">
        <v>0</v>
      </c>
      <c r="O1199" s="49" t="n">
        <v>0</v>
      </c>
      <c r="P1199" s="49" t="n">
        <v>0</v>
      </c>
      <c r="Q1199" s="49" t="n">
        <v>0</v>
      </c>
      <c r="R1199" s="49" t="n">
        <v>0</v>
      </c>
      <c r="S1199" s="50" t="n">
        <v>0</v>
      </c>
      <c r="T1199" s="50" t="n">
        <v>0</v>
      </c>
      <c r="U1199" s="50" t="n">
        <v>0</v>
      </c>
      <c r="V1199" s="50" t="n">
        <v>0</v>
      </c>
      <c r="W1199" s="51" t="n">
        <v>0</v>
      </c>
      <c r="X1199" s="51" t="n">
        <v>0</v>
      </c>
      <c r="Y1199" s="51" t="n">
        <v>0</v>
      </c>
      <c r="Z1199" s="51" t="n">
        <v>0</v>
      </c>
      <c r="AA1199" s="52" t="n">
        <v>0</v>
      </c>
      <c r="AB1199" s="52" t="n">
        <v>0</v>
      </c>
      <c r="AC1199" s="52" t="n">
        <v>0</v>
      </c>
      <c r="AD1199" s="52" t="n">
        <v>0</v>
      </c>
      <c r="AE1199" s="52" t="n">
        <v>0</v>
      </c>
      <c r="AF1199" s="52" t="n">
        <v>0</v>
      </c>
      <c r="AG1199" s="52" t="n">
        <v>0</v>
      </c>
      <c r="AH1199" s="52" t="n">
        <v>0</v>
      </c>
      <c r="AI1199" s="52" t="n">
        <v>0</v>
      </c>
      <c r="AJ1199" s="52" t="n">
        <v>0</v>
      </c>
      <c r="AK1199" s="52" t="n">
        <v>0</v>
      </c>
      <c r="AL1199" s="52" t="n">
        <v>0</v>
      </c>
      <c r="AM1199" s="53" t="n">
        <v>0</v>
      </c>
      <c r="AN1199" s="53" t="n">
        <v>0</v>
      </c>
      <c r="AO1199" s="53" t="n">
        <v>0</v>
      </c>
      <c r="AP1199" s="53" t="n">
        <v>0</v>
      </c>
      <c r="AQ1199" s="52" t="n">
        <v>0</v>
      </c>
      <c r="AR1199" s="52" t="n">
        <v>0</v>
      </c>
      <c r="AS1199" s="52" t="n">
        <v>0</v>
      </c>
      <c r="AT1199" s="52" t="n">
        <v>0</v>
      </c>
      <c r="AU1199" s="53" t="n">
        <v>0</v>
      </c>
      <c r="AV1199" s="53" t="n">
        <v>0</v>
      </c>
      <c r="AW1199" s="53" t="n">
        <v>0</v>
      </c>
      <c r="AX1199" s="53" t="n">
        <v>0</v>
      </c>
      <c r="AY1199" s="52" t="n">
        <v>0</v>
      </c>
      <c r="AZ1199" s="52" t="n">
        <v>0</v>
      </c>
      <c r="BA1199" s="52" t="n">
        <v>0</v>
      </c>
      <c r="BB1199" s="52" t="n">
        <v>0</v>
      </c>
      <c r="BC1199" s="51" t="n">
        <v>0</v>
      </c>
      <c r="BD1199" s="51" t="n">
        <v>0</v>
      </c>
      <c r="BE1199" s="51" t="n">
        <v>0</v>
      </c>
      <c r="BF1199" s="51" t="n">
        <v>0</v>
      </c>
    </row>
    <row r="1200">
      <c r="A1200">
        <f>HYPERLINK("https://www.walmart.com/ip/821075669", "821075669")</f>
        <v/>
      </c>
      <c r="B1200" t="inlineStr">
        <is>
          <t>Vina Mini Stainless Steel Manual Salt and Pepper Grinder Set With bamboo stand</t>
        </is>
      </c>
      <c r="C1200" t="inlineStr">
        <is>
          <t>VINAESP656-2PK</t>
        </is>
      </c>
      <c r="D1200" t="inlineStr">
        <is>
          <t>Salt &amp; Pepper Mills</t>
        </is>
      </c>
      <c r="E1200" t="inlineStr">
        <is>
          <t>Vina</t>
        </is>
      </c>
      <c r="F1200" t="inlineStr">
        <is>
          <t>WFS,Kitchen Items,SEM,WFS Item</t>
        </is>
      </c>
      <c r="G1200" s="48" t="n">
        <v>0</v>
      </c>
      <c r="H1200" s="48" t="n">
        <v>0</v>
      </c>
      <c r="I1200" s="48" t="n">
        <v>0</v>
      </c>
      <c r="J1200" s="48" t="n">
        <v>0</v>
      </c>
      <c r="K1200" s="49" t="n">
        <v>0</v>
      </c>
      <c r="L1200" s="49" t="n">
        <v>0</v>
      </c>
      <c r="M1200" s="49" t="n">
        <v>0</v>
      </c>
      <c r="N1200" s="49" t="n">
        <v>0</v>
      </c>
      <c r="O1200" s="49" t="n">
        <v>0</v>
      </c>
      <c r="P1200" s="49" t="n">
        <v>0</v>
      </c>
      <c r="Q1200" s="49" t="n">
        <v>0</v>
      </c>
      <c r="R1200" s="49" t="n">
        <v>0</v>
      </c>
      <c r="S1200" s="50" t="n">
        <v>0</v>
      </c>
      <c r="T1200" s="50" t="n">
        <v>0</v>
      </c>
      <c r="U1200" s="50" t="n">
        <v>0</v>
      </c>
      <c r="V1200" s="50" t="n">
        <v>0</v>
      </c>
      <c r="W1200" s="51" t="n">
        <v>0</v>
      </c>
      <c r="X1200" s="51" t="n">
        <v>0</v>
      </c>
      <c r="Y1200" s="51" t="n">
        <v>0</v>
      </c>
      <c r="Z1200" s="51" t="n">
        <v>0</v>
      </c>
      <c r="AA1200" s="52" t="n">
        <v>0</v>
      </c>
      <c r="AB1200" s="52" t="n">
        <v>0</v>
      </c>
      <c r="AC1200" s="52" t="n">
        <v>0</v>
      </c>
      <c r="AD1200" s="52" t="n">
        <v>0</v>
      </c>
      <c r="AE1200" s="52" t="n">
        <v>0</v>
      </c>
      <c r="AF1200" s="52" t="n">
        <v>0</v>
      </c>
      <c r="AG1200" s="52" t="n">
        <v>0</v>
      </c>
      <c r="AH1200" s="52" t="n">
        <v>0</v>
      </c>
      <c r="AI1200" s="52" t="n">
        <v>0</v>
      </c>
      <c r="AJ1200" s="52" t="n">
        <v>0</v>
      </c>
      <c r="AK1200" s="52" t="n">
        <v>0</v>
      </c>
      <c r="AL1200" s="52" t="n">
        <v>0</v>
      </c>
      <c r="AM1200" s="53" t="n">
        <v>0</v>
      </c>
      <c r="AN1200" s="53" t="n">
        <v>0</v>
      </c>
      <c r="AO1200" s="53" t="n">
        <v>0</v>
      </c>
      <c r="AP1200" s="53" t="n">
        <v>0</v>
      </c>
      <c r="AQ1200" s="52" t="n">
        <v>0</v>
      </c>
      <c r="AR1200" s="52" t="n">
        <v>0</v>
      </c>
      <c r="AS1200" s="52" t="n">
        <v>0</v>
      </c>
      <c r="AT1200" s="52" t="n">
        <v>0</v>
      </c>
      <c r="AU1200" s="53" t="n">
        <v>0</v>
      </c>
      <c r="AV1200" s="53" t="n">
        <v>0</v>
      </c>
      <c r="AW1200" s="53" t="n">
        <v>0</v>
      </c>
      <c r="AX1200" s="53" t="n">
        <v>0</v>
      </c>
      <c r="AY1200" s="52" t="n">
        <v>0</v>
      </c>
      <c r="AZ1200" s="52" t="n">
        <v>0</v>
      </c>
      <c r="BA1200" s="52" t="n">
        <v>0</v>
      </c>
      <c r="BB1200" s="52" t="n">
        <v>0</v>
      </c>
      <c r="BC1200" s="51" t="n">
        <v>0</v>
      </c>
      <c r="BD1200" s="51" t="n">
        <v>0</v>
      </c>
      <c r="BE1200" s="51" t="n">
        <v>0</v>
      </c>
      <c r="BF1200" s="51" t="n">
        <v>0</v>
      </c>
    </row>
    <row r="1201">
      <c r="A1201">
        <f>HYPERLINK("https://www.walmart.com/ip/821635627", "821635627")</f>
        <v/>
      </c>
      <c r="B1201" t="inlineStr">
        <is>
          <t>Catalonia Bedding Quilt Set,Lightweight Bedspread for Summer and Spring, Bedding Coverlet - Quilt and Pillow Shams, Twin, Grey/White</t>
        </is>
      </c>
      <c r="C1201" t="inlineStr">
        <is>
          <t>1CTBQ203TW-GYWT</t>
        </is>
      </c>
      <c r="D1201" t="inlineStr">
        <is>
          <t>Bedding Sets</t>
        </is>
      </c>
      <c r="E1201" t="inlineStr">
        <is>
          <t>Catalonia</t>
        </is>
      </c>
      <c r="F1201" t="inlineStr">
        <is>
          <t>Optimized,WFS,WFS Item</t>
        </is>
      </c>
      <c r="G1201" s="48" t="n">
        <v>0</v>
      </c>
      <c r="H1201" s="48" t="n">
        <v>0</v>
      </c>
      <c r="I1201" s="48" t="n">
        <v>0</v>
      </c>
      <c r="J1201" s="48" t="n">
        <v>0</v>
      </c>
      <c r="K1201" s="49" t="n">
        <v>0</v>
      </c>
      <c r="L1201" s="49" t="n">
        <v>0</v>
      </c>
      <c r="M1201" s="49" t="n">
        <v>0</v>
      </c>
      <c r="N1201" s="49" t="n">
        <v>0</v>
      </c>
      <c r="O1201" s="49" t="n">
        <v>0</v>
      </c>
      <c r="P1201" s="49" t="n">
        <v>0</v>
      </c>
      <c r="Q1201" s="49" t="n">
        <v>0</v>
      </c>
      <c r="R1201" s="49" t="n">
        <v>0</v>
      </c>
      <c r="S1201" s="50" t="n">
        <v>0</v>
      </c>
      <c r="T1201" s="50" t="n">
        <v>0</v>
      </c>
      <c r="U1201" s="50" t="n">
        <v>0</v>
      </c>
      <c r="V1201" s="50" t="n">
        <v>0</v>
      </c>
      <c r="W1201" s="51" t="n">
        <v>0</v>
      </c>
      <c r="X1201" s="51" t="n">
        <v>0</v>
      </c>
      <c r="Y1201" s="51" t="n">
        <v>0</v>
      </c>
      <c r="Z1201" s="51" t="n">
        <v>0</v>
      </c>
      <c r="AA1201" s="52" t="n">
        <v>0</v>
      </c>
      <c r="AB1201" s="52" t="n">
        <v>0</v>
      </c>
      <c r="AC1201" s="52" t="n">
        <v>0</v>
      </c>
      <c r="AD1201" s="52" t="n">
        <v>0</v>
      </c>
      <c r="AE1201" s="52" t="n">
        <v>0</v>
      </c>
      <c r="AF1201" s="52" t="n">
        <v>0</v>
      </c>
      <c r="AG1201" s="52" t="n">
        <v>0</v>
      </c>
      <c r="AH1201" s="52" t="n">
        <v>0</v>
      </c>
      <c r="AI1201" s="52" t="n">
        <v>0</v>
      </c>
      <c r="AJ1201" s="52" t="n">
        <v>0</v>
      </c>
      <c r="AK1201" s="52" t="n">
        <v>0</v>
      </c>
      <c r="AL1201" s="52" t="n">
        <v>0</v>
      </c>
      <c r="AM1201" s="53" t="n">
        <v>0</v>
      </c>
      <c r="AN1201" s="53" t="n">
        <v>0</v>
      </c>
      <c r="AO1201" s="53" t="n">
        <v>0</v>
      </c>
      <c r="AP1201" s="53" t="n">
        <v>0</v>
      </c>
      <c r="AQ1201" s="52" t="n">
        <v>0</v>
      </c>
      <c r="AR1201" s="52" t="n">
        <v>0</v>
      </c>
      <c r="AS1201" s="52" t="n">
        <v>0</v>
      </c>
      <c r="AT1201" s="52" t="n">
        <v>0</v>
      </c>
      <c r="AU1201" s="53" t="n">
        <v>0</v>
      </c>
      <c r="AV1201" s="53" t="n">
        <v>0</v>
      </c>
      <c r="AW1201" s="53" t="n">
        <v>0</v>
      </c>
      <c r="AX1201" s="53" t="n">
        <v>0</v>
      </c>
      <c r="AY1201" s="52" t="n">
        <v>0</v>
      </c>
      <c r="AZ1201" s="52" t="n">
        <v>0</v>
      </c>
      <c r="BA1201" s="52" t="n">
        <v>0</v>
      </c>
      <c r="BB1201" s="52" t="n">
        <v>0</v>
      </c>
      <c r="BC1201" s="51" t="n">
        <v>0</v>
      </c>
      <c r="BD1201" s="51" t="n">
        <v>0</v>
      </c>
      <c r="BE1201" s="51" t="n">
        <v>0</v>
      </c>
      <c r="BF1201" s="51" t="n">
        <v>0</v>
      </c>
    </row>
    <row r="1202">
      <c r="A1202">
        <f>HYPERLINK("https://www.walmart.com/ip/822065966", "822065966")</f>
        <v/>
      </c>
      <c r="B1202" t="inlineStr">
        <is>
          <t>Flyingstar Foldable Soft Sided Airline-Approved Travel Pet Carrier Backpack,Light Grey</t>
        </is>
      </c>
      <c r="C1202" t="inlineStr">
        <is>
          <t>1WMPB200LGY</t>
        </is>
      </c>
      <c r="D1202" t="inlineStr">
        <is>
          <t>Pet Carriers</t>
        </is>
      </c>
      <c r="E1202" t="inlineStr">
        <is>
          <t>Flyingstar</t>
        </is>
      </c>
      <c r="F1202" t="inlineStr">
        <is>
          <t>Optimized</t>
        </is>
      </c>
      <c r="G1202" s="48" t="n">
        <v>0</v>
      </c>
      <c r="H1202" s="48" t="n">
        <v>0</v>
      </c>
      <c r="I1202" s="48" t="n">
        <v>0</v>
      </c>
      <c r="J1202" s="48" t="n">
        <v>0</v>
      </c>
      <c r="K1202" s="49" t="n">
        <v>0</v>
      </c>
      <c r="L1202" s="49" t="n">
        <v>0</v>
      </c>
      <c r="M1202" s="49" t="n">
        <v>0</v>
      </c>
      <c r="N1202" s="49" t="n">
        <v>0</v>
      </c>
      <c r="O1202" s="49" t="n">
        <v>0</v>
      </c>
      <c r="P1202" s="49" t="n">
        <v>0</v>
      </c>
      <c r="Q1202" s="49" t="n">
        <v>0</v>
      </c>
      <c r="R1202" s="49" t="n">
        <v>0</v>
      </c>
      <c r="S1202" s="50" t="n">
        <v>0</v>
      </c>
      <c r="T1202" s="50" t="n">
        <v>0</v>
      </c>
      <c r="U1202" s="50" t="n">
        <v>0</v>
      </c>
      <c r="V1202" s="50" t="n">
        <v>0</v>
      </c>
      <c r="W1202" s="51" t="n">
        <v>0</v>
      </c>
      <c r="X1202" s="51" t="n">
        <v>0</v>
      </c>
      <c r="Y1202" s="51" t="n">
        <v>0</v>
      </c>
      <c r="Z1202" s="51" t="n">
        <v>0</v>
      </c>
      <c r="AA1202" s="52" t="n">
        <v>0</v>
      </c>
      <c r="AB1202" s="52" t="n">
        <v>0</v>
      </c>
      <c r="AC1202" s="52" t="n">
        <v>0</v>
      </c>
      <c r="AD1202" s="52" t="n">
        <v>0</v>
      </c>
      <c r="AE1202" s="52" t="n">
        <v>0</v>
      </c>
      <c r="AF1202" s="52" t="n">
        <v>0</v>
      </c>
      <c r="AG1202" s="52" t="n">
        <v>0</v>
      </c>
      <c r="AH1202" s="52" t="n">
        <v>0</v>
      </c>
      <c r="AI1202" s="52" t="n">
        <v>0</v>
      </c>
      <c r="AJ1202" s="52" t="n">
        <v>0</v>
      </c>
      <c r="AK1202" s="52" t="n">
        <v>0</v>
      </c>
      <c r="AL1202" s="52" t="n">
        <v>0</v>
      </c>
      <c r="AM1202" s="53" t="n">
        <v>0</v>
      </c>
      <c r="AN1202" s="53" t="n">
        <v>0</v>
      </c>
      <c r="AO1202" s="53" t="n">
        <v>0</v>
      </c>
      <c r="AP1202" s="53" t="n">
        <v>0</v>
      </c>
      <c r="AQ1202" s="52" t="n">
        <v>0</v>
      </c>
      <c r="AR1202" s="52" t="n">
        <v>0</v>
      </c>
      <c r="AS1202" s="52" t="n">
        <v>0</v>
      </c>
      <c r="AT1202" s="52" t="n">
        <v>0</v>
      </c>
      <c r="AU1202" s="53" t="n">
        <v>0</v>
      </c>
      <c r="AV1202" s="53" t="n">
        <v>0</v>
      </c>
      <c r="AW1202" s="53" t="n">
        <v>0</v>
      </c>
      <c r="AX1202" s="53" t="n">
        <v>0</v>
      </c>
      <c r="AY1202" s="52" t="n">
        <v>0</v>
      </c>
      <c r="AZ1202" s="52" t="n">
        <v>0</v>
      </c>
      <c r="BA1202" s="52" t="n">
        <v>0</v>
      </c>
      <c r="BB1202" s="52" t="n">
        <v>0</v>
      </c>
      <c r="BC1202" s="51" t="n">
        <v>0</v>
      </c>
      <c r="BD1202" s="51" t="n">
        <v>0</v>
      </c>
      <c r="BE1202" s="51" t="n">
        <v>0</v>
      </c>
      <c r="BF1202" s="51" t="n">
        <v>0</v>
      </c>
    </row>
    <row r="1203">
      <c r="A1203">
        <f>HYPERLINK("https://www.walmart.com/ip/822070876", "822070876")</f>
        <v/>
      </c>
      <c r="B1203" t="inlineStr">
        <is>
          <t>Bucket Sun Hat Cute Cap for Women Fashion Fold-up Brim Packable Summer Beach by Solaris</t>
        </is>
      </c>
      <c r="C1203" t="inlineStr">
        <is>
          <t>1SLSH9200PK-FSCB</t>
        </is>
      </c>
      <c r="D1203" t="inlineStr">
        <is>
          <t>Hats</t>
        </is>
      </c>
      <c r="E1203" t="inlineStr">
        <is>
          <t>Solaris</t>
        </is>
      </c>
      <c r="G1203" s="48" t="n">
        <v>0</v>
      </c>
      <c r="H1203" s="48" t="n">
        <v>0</v>
      </c>
      <c r="I1203" s="48" t="n">
        <v>0</v>
      </c>
      <c r="J1203" s="48" t="n">
        <v>0</v>
      </c>
      <c r="K1203" s="49" t="n">
        <v>0</v>
      </c>
      <c r="L1203" s="49" t="n">
        <v>0</v>
      </c>
      <c r="M1203" s="49" t="n">
        <v>0</v>
      </c>
      <c r="N1203" s="49" t="n">
        <v>0</v>
      </c>
      <c r="O1203" s="49" t="n">
        <v>0</v>
      </c>
      <c r="P1203" s="49" t="n">
        <v>0</v>
      </c>
      <c r="Q1203" s="49" t="n">
        <v>0</v>
      </c>
      <c r="R1203" s="49" t="n">
        <v>0</v>
      </c>
      <c r="S1203" s="50" t="n">
        <v>0</v>
      </c>
      <c r="T1203" s="50" t="n">
        <v>0</v>
      </c>
      <c r="U1203" s="50" t="n">
        <v>0</v>
      </c>
      <c r="V1203" s="50" t="n">
        <v>0</v>
      </c>
      <c r="W1203" s="51" t="n">
        <v>0</v>
      </c>
      <c r="X1203" s="51" t="n">
        <v>0</v>
      </c>
      <c r="Y1203" s="51" t="n">
        <v>0</v>
      </c>
      <c r="Z1203" s="51" t="n">
        <v>0</v>
      </c>
      <c r="AA1203" s="52" t="n">
        <v>0</v>
      </c>
      <c r="AB1203" s="52" t="n">
        <v>0</v>
      </c>
      <c r="AC1203" s="52" t="n">
        <v>0</v>
      </c>
      <c r="AD1203" s="52" t="n">
        <v>0</v>
      </c>
      <c r="AE1203" s="52" t="n">
        <v>0</v>
      </c>
      <c r="AF1203" s="52" t="n">
        <v>0</v>
      </c>
      <c r="AG1203" s="52" t="n">
        <v>0</v>
      </c>
      <c r="AH1203" s="52" t="n">
        <v>0</v>
      </c>
      <c r="AI1203" s="52" t="n">
        <v>0</v>
      </c>
      <c r="AJ1203" s="52" t="n">
        <v>0</v>
      </c>
      <c r="AK1203" s="52" t="n">
        <v>0</v>
      </c>
      <c r="AL1203" s="52" t="n">
        <v>0</v>
      </c>
      <c r="AM1203" s="53" t="n">
        <v>0</v>
      </c>
      <c r="AN1203" s="53" t="n">
        <v>0</v>
      </c>
      <c r="AO1203" s="53" t="n">
        <v>0</v>
      </c>
      <c r="AP1203" s="53" t="n">
        <v>0</v>
      </c>
      <c r="AQ1203" s="52" t="n">
        <v>0</v>
      </c>
      <c r="AR1203" s="52" t="n">
        <v>0</v>
      </c>
      <c r="AS1203" s="52" t="n">
        <v>0</v>
      </c>
      <c r="AT1203" s="52" t="n">
        <v>0</v>
      </c>
      <c r="AU1203" s="53" t="n">
        <v>0</v>
      </c>
      <c r="AV1203" s="53" t="n">
        <v>0</v>
      </c>
      <c r="AW1203" s="53" t="n">
        <v>0</v>
      </c>
      <c r="AX1203" s="53" t="n">
        <v>0</v>
      </c>
      <c r="AY1203" s="52" t="n">
        <v>0</v>
      </c>
      <c r="AZ1203" s="52" t="n">
        <v>0</v>
      </c>
      <c r="BA1203" s="52" t="n">
        <v>0</v>
      </c>
      <c r="BB1203" s="52" t="n">
        <v>0</v>
      </c>
      <c r="BC1203" s="51" t="n">
        <v>0</v>
      </c>
      <c r="BD1203" s="51" t="n">
        <v>0</v>
      </c>
      <c r="BE1203" s="51" t="n">
        <v>0</v>
      </c>
      <c r="BF1203" s="51" t="n">
        <v>0</v>
      </c>
    </row>
    <row r="1204">
      <c r="A1204">
        <f>HYPERLINK("https://www.walmart.com/ip/823531741", "823531741")</f>
        <v/>
      </c>
      <c r="B1204" t="inlineStr">
        <is>
          <t>Pawsse Dog Cuddler Bed,Soft Plush Pet Sofa Thick Kennel Cushion Pad Crate Mat Blanket Car Seat Cover for Small Medium Large Dogs Puppy Cats Grey</t>
        </is>
      </c>
      <c r="C1204" t="inlineStr">
        <is>
          <t>1PSPB406GY</t>
        </is>
      </c>
      <c r="D1204" t="inlineStr">
        <is>
          <t>Pet Beds</t>
        </is>
      </c>
      <c r="E1204" t="inlineStr">
        <is>
          <t>Pawsse</t>
        </is>
      </c>
      <c r="F1204" t="inlineStr">
        <is>
          <t>Optimized</t>
        </is>
      </c>
      <c r="G1204" s="48" t="n">
        <v>0</v>
      </c>
      <c r="H1204" s="48" t="n">
        <v>0</v>
      </c>
      <c r="I1204" s="48" t="n">
        <v>0</v>
      </c>
      <c r="J1204" s="48" t="n">
        <v>0</v>
      </c>
      <c r="K1204" s="49" t="n">
        <v>0</v>
      </c>
      <c r="L1204" s="49" t="n">
        <v>0</v>
      </c>
      <c r="M1204" s="49" t="n">
        <v>0</v>
      </c>
      <c r="N1204" s="49" t="n">
        <v>0</v>
      </c>
      <c r="O1204" s="49" t="n">
        <v>0</v>
      </c>
      <c r="P1204" s="49" t="n">
        <v>0</v>
      </c>
      <c r="Q1204" s="49" t="n">
        <v>0</v>
      </c>
      <c r="R1204" s="49" t="n">
        <v>0</v>
      </c>
      <c r="S1204" s="50" t="n">
        <v>0</v>
      </c>
      <c r="T1204" s="50" t="n">
        <v>0</v>
      </c>
      <c r="U1204" s="50" t="n">
        <v>0</v>
      </c>
      <c r="V1204" s="50" t="n">
        <v>0</v>
      </c>
      <c r="W1204" s="51" t="n">
        <v>0</v>
      </c>
      <c r="X1204" s="51" t="n">
        <v>0</v>
      </c>
      <c r="Y1204" s="51" t="n">
        <v>0</v>
      </c>
      <c r="Z1204" s="51" t="n">
        <v>0</v>
      </c>
      <c r="AA1204" s="52" t="n">
        <v>0</v>
      </c>
      <c r="AB1204" s="52" t="n">
        <v>0</v>
      </c>
      <c r="AC1204" s="52" t="n">
        <v>0</v>
      </c>
      <c r="AD1204" s="52" t="n">
        <v>0</v>
      </c>
      <c r="AE1204" s="52" t="n">
        <v>0</v>
      </c>
      <c r="AF1204" s="52" t="n">
        <v>0</v>
      </c>
      <c r="AG1204" s="52" t="n">
        <v>0</v>
      </c>
      <c r="AH1204" s="52" t="n">
        <v>0</v>
      </c>
      <c r="AI1204" s="52" t="n">
        <v>0</v>
      </c>
      <c r="AJ1204" s="52" t="n">
        <v>0</v>
      </c>
      <c r="AK1204" s="52" t="n">
        <v>0</v>
      </c>
      <c r="AL1204" s="52" t="n">
        <v>0</v>
      </c>
      <c r="AM1204" s="53" t="n">
        <v>0</v>
      </c>
      <c r="AN1204" s="53" t="n">
        <v>0</v>
      </c>
      <c r="AO1204" s="53" t="n">
        <v>0</v>
      </c>
      <c r="AP1204" s="53" t="n">
        <v>0</v>
      </c>
      <c r="AQ1204" s="52" t="n">
        <v>0</v>
      </c>
      <c r="AR1204" s="52" t="n">
        <v>0</v>
      </c>
      <c r="AS1204" s="52" t="n">
        <v>0</v>
      </c>
      <c r="AT1204" s="52" t="n">
        <v>0</v>
      </c>
      <c r="AU1204" s="53" t="n">
        <v>0</v>
      </c>
      <c r="AV1204" s="53" t="n">
        <v>0</v>
      </c>
      <c r="AW1204" s="53" t="n">
        <v>0</v>
      </c>
      <c r="AX1204" s="53" t="n">
        <v>0</v>
      </c>
      <c r="AY1204" s="52" t="n">
        <v>0</v>
      </c>
      <c r="AZ1204" s="52" t="n">
        <v>0</v>
      </c>
      <c r="BA1204" s="52" t="n">
        <v>0</v>
      </c>
      <c r="BB1204" s="52" t="n">
        <v>0</v>
      </c>
      <c r="BC1204" s="51" t="n">
        <v>0</v>
      </c>
      <c r="BD1204" s="51" t="n">
        <v>0</v>
      </c>
      <c r="BE1204" s="51" t="n">
        <v>0</v>
      </c>
      <c r="BF1204" s="51" t="n">
        <v>0</v>
      </c>
    </row>
    <row r="1205">
      <c r="A1205">
        <f>HYPERLINK("https://www.walmart.com/ip/823917465", "823917465")</f>
        <v/>
      </c>
      <c r="B1205" t="inlineStr">
        <is>
          <t>Wearable Blanket with Sleeves and Kangaroo Pocket for Adult Soft Warm Comfy Throws Wrap Robe Blanket in Black.</t>
        </is>
      </c>
      <c r="C1205" t="inlineStr">
        <is>
          <t>1CTSN200BK</t>
        </is>
      </c>
      <c r="D1205" t="inlineStr">
        <is>
          <t>Throws</t>
        </is>
      </c>
      <c r="E1205" t="inlineStr">
        <is>
          <t>Catalonia</t>
        </is>
      </c>
      <c r="F1205" t="inlineStr">
        <is>
          <t>WFS,WFS Item</t>
        </is>
      </c>
      <c r="G1205" s="48" t="n">
        <v>0</v>
      </c>
      <c r="H1205" s="48" t="n">
        <v>0</v>
      </c>
      <c r="I1205" s="48" t="n">
        <v>0</v>
      </c>
      <c r="J1205" s="48" t="n">
        <v>0</v>
      </c>
      <c r="K1205" s="49" t="n">
        <v>0</v>
      </c>
      <c r="L1205" s="49" t="n">
        <v>0</v>
      </c>
      <c r="M1205" s="49" t="n">
        <v>0</v>
      </c>
      <c r="N1205" s="49" t="n">
        <v>0</v>
      </c>
      <c r="O1205" s="49" t="n">
        <v>0</v>
      </c>
      <c r="P1205" s="49" t="n">
        <v>0</v>
      </c>
      <c r="Q1205" s="49" t="n">
        <v>0</v>
      </c>
      <c r="R1205" s="49" t="n">
        <v>0</v>
      </c>
      <c r="S1205" s="50" t="n">
        <v>0</v>
      </c>
      <c r="T1205" s="50" t="n">
        <v>0</v>
      </c>
      <c r="U1205" s="50" t="n">
        <v>0</v>
      </c>
      <c r="V1205" s="50" t="n">
        <v>0</v>
      </c>
      <c r="W1205" s="51" t="n">
        <v>0</v>
      </c>
      <c r="X1205" s="51" t="n">
        <v>0</v>
      </c>
      <c r="Y1205" s="51" t="n">
        <v>0</v>
      </c>
      <c r="Z1205" s="51" t="n">
        <v>0</v>
      </c>
      <c r="AA1205" s="52" t="n">
        <v>0</v>
      </c>
      <c r="AB1205" s="52" t="n">
        <v>0</v>
      </c>
      <c r="AC1205" s="52" t="n">
        <v>0</v>
      </c>
      <c r="AD1205" s="52" t="n">
        <v>0</v>
      </c>
      <c r="AE1205" s="52" t="n">
        <v>0</v>
      </c>
      <c r="AF1205" s="52" t="n">
        <v>0</v>
      </c>
      <c r="AG1205" s="52" t="n">
        <v>0</v>
      </c>
      <c r="AH1205" s="52" t="n">
        <v>0</v>
      </c>
      <c r="AI1205" s="52" t="n">
        <v>0</v>
      </c>
      <c r="AJ1205" s="52" t="n">
        <v>0</v>
      </c>
      <c r="AK1205" s="52" t="n">
        <v>0</v>
      </c>
      <c r="AL1205" s="52" t="n">
        <v>0</v>
      </c>
      <c r="AM1205" s="53" t="n">
        <v>0</v>
      </c>
      <c r="AN1205" s="53" t="n">
        <v>0</v>
      </c>
      <c r="AO1205" s="53" t="n">
        <v>0</v>
      </c>
      <c r="AP1205" s="53" t="n">
        <v>0</v>
      </c>
      <c r="AQ1205" s="52" t="n">
        <v>0</v>
      </c>
      <c r="AR1205" s="52" t="n">
        <v>0</v>
      </c>
      <c r="AS1205" s="52" t="n">
        <v>0</v>
      </c>
      <c r="AT1205" s="52" t="n">
        <v>0</v>
      </c>
      <c r="AU1205" s="53" t="n">
        <v>0</v>
      </c>
      <c r="AV1205" s="53" t="n">
        <v>0</v>
      </c>
      <c r="AW1205" s="53" t="n">
        <v>0</v>
      </c>
      <c r="AX1205" s="53" t="n">
        <v>0</v>
      </c>
      <c r="AY1205" s="52" t="n">
        <v>0</v>
      </c>
      <c r="AZ1205" s="52" t="n">
        <v>0</v>
      </c>
      <c r="BA1205" s="52" t="n">
        <v>0</v>
      </c>
      <c r="BB1205" s="52" t="n">
        <v>0</v>
      </c>
      <c r="BC1205" s="51" t="n">
        <v>0</v>
      </c>
      <c r="BD1205" s="51" t="n">
        <v>0</v>
      </c>
      <c r="BE1205" s="51" t="n">
        <v>0</v>
      </c>
      <c r="BF1205" s="51" t="n">
        <v>0</v>
      </c>
    </row>
    <row r="1206">
      <c r="A1206">
        <f>HYPERLINK("https://www.walmart.com/ip/824264926", "824264926")</f>
        <v/>
      </c>
      <c r="B1206" t="inlineStr">
        <is>
          <t>Solaris Waterproof Snow Gloves for Men and Women, 100-Gram 3M Thinsulate Cold Weather Protection, Gray and Black, X-Large</t>
        </is>
      </c>
      <c r="C1206" t="inlineStr">
        <is>
          <t>1SLWG302BKGY-XL</t>
        </is>
      </c>
      <c r="D1206" t="inlineStr">
        <is>
          <t>Gloves &amp; Mittens</t>
        </is>
      </c>
      <c r="E1206" t="inlineStr">
        <is>
          <t>Solaris</t>
        </is>
      </c>
      <c r="F1206" t="inlineStr">
        <is>
          <t>Optimized,Gloves,WFS,WFS Item</t>
        </is>
      </c>
      <c r="G1206" s="48" t="n">
        <v>0</v>
      </c>
      <c r="H1206" s="48" t="n">
        <v>0</v>
      </c>
      <c r="I1206" s="48" t="n">
        <v>0</v>
      </c>
      <c r="J1206" s="48" t="n">
        <v>0</v>
      </c>
      <c r="K1206" s="49" t="n">
        <v>0</v>
      </c>
      <c r="L1206" s="49" t="n">
        <v>0</v>
      </c>
      <c r="M1206" s="49" t="n">
        <v>0</v>
      </c>
      <c r="N1206" s="49" t="n">
        <v>0</v>
      </c>
      <c r="O1206" s="49" t="n">
        <v>0</v>
      </c>
      <c r="P1206" s="49" t="n">
        <v>0</v>
      </c>
      <c r="Q1206" s="49" t="n">
        <v>0</v>
      </c>
      <c r="R1206" s="49" t="n">
        <v>0</v>
      </c>
      <c r="S1206" s="50" t="n">
        <v>0</v>
      </c>
      <c r="T1206" s="50" t="n">
        <v>0</v>
      </c>
      <c r="U1206" s="50" t="n">
        <v>0</v>
      </c>
      <c r="V1206" s="50" t="n">
        <v>0</v>
      </c>
      <c r="W1206" s="51" t="n">
        <v>0</v>
      </c>
      <c r="X1206" s="51" t="n">
        <v>0</v>
      </c>
      <c r="Y1206" s="51" t="n">
        <v>0</v>
      </c>
      <c r="Z1206" s="51" t="n">
        <v>0</v>
      </c>
      <c r="AA1206" s="52" t="n">
        <v>0</v>
      </c>
      <c r="AB1206" s="52" t="n">
        <v>0</v>
      </c>
      <c r="AC1206" s="52" t="n">
        <v>0</v>
      </c>
      <c r="AD1206" s="52" t="n">
        <v>0</v>
      </c>
      <c r="AE1206" s="52" t="n">
        <v>0</v>
      </c>
      <c r="AF1206" s="52" t="n">
        <v>0</v>
      </c>
      <c r="AG1206" s="52" t="n">
        <v>0</v>
      </c>
      <c r="AH1206" s="52" t="n">
        <v>0</v>
      </c>
      <c r="AI1206" s="52" t="n">
        <v>0</v>
      </c>
      <c r="AJ1206" s="52" t="n">
        <v>0</v>
      </c>
      <c r="AK1206" s="52" t="n">
        <v>0</v>
      </c>
      <c r="AL1206" s="52" t="n">
        <v>0</v>
      </c>
      <c r="AM1206" s="53" t="n">
        <v>0</v>
      </c>
      <c r="AN1206" s="53" t="n">
        <v>0</v>
      </c>
      <c r="AO1206" s="53" t="n">
        <v>0</v>
      </c>
      <c r="AP1206" s="53" t="n">
        <v>0</v>
      </c>
      <c r="AQ1206" s="52" t="n">
        <v>0</v>
      </c>
      <c r="AR1206" s="52" t="n">
        <v>0</v>
      </c>
      <c r="AS1206" s="52" t="n">
        <v>0</v>
      </c>
      <c r="AT1206" s="52" t="n">
        <v>0</v>
      </c>
      <c r="AU1206" s="53" t="n">
        <v>0</v>
      </c>
      <c r="AV1206" s="53" t="n">
        <v>0</v>
      </c>
      <c r="AW1206" s="53" t="n">
        <v>0</v>
      </c>
      <c r="AX1206" s="53" t="n">
        <v>0</v>
      </c>
      <c r="AY1206" s="52" t="n">
        <v>0</v>
      </c>
      <c r="AZ1206" s="52" t="n">
        <v>0</v>
      </c>
      <c r="BA1206" s="52" t="n">
        <v>0</v>
      </c>
      <c r="BB1206" s="52" t="n">
        <v>0</v>
      </c>
      <c r="BC1206" s="51" t="n">
        <v>0</v>
      </c>
      <c r="BD1206" s="51" t="n">
        <v>0</v>
      </c>
      <c r="BE1206" s="51" t="n">
        <v>0</v>
      </c>
      <c r="BF1206" s="51" t="n">
        <v>0</v>
      </c>
    </row>
    <row r="1207">
      <c r="A1207">
        <f>HYPERLINK("https://www.walmart.com/ip/824381021", "824381021")</f>
        <v/>
      </c>
      <c r="B1207" t="inlineStr">
        <is>
          <t>Sun Visor Sports Cotton Twill Plain Hat with Adjustable Strap for Men Women Outdoor Golf Tennis Running Jogging Hiking</t>
        </is>
      </c>
      <c r="C1207" t="inlineStr">
        <is>
          <t>1SLVS4130LIME</t>
        </is>
      </c>
      <c r="D1207" t="inlineStr">
        <is>
          <t>Hats</t>
        </is>
      </c>
      <c r="E1207" t="inlineStr">
        <is>
          <t>Solaris</t>
        </is>
      </c>
      <c r="G1207" s="48" t="n">
        <v>0</v>
      </c>
      <c r="H1207" s="48" t="n">
        <v>0</v>
      </c>
      <c r="I1207" s="48" t="n">
        <v>0</v>
      </c>
      <c r="J1207" s="48" t="n">
        <v>0</v>
      </c>
      <c r="K1207" s="49" t="n">
        <v>0</v>
      </c>
      <c r="L1207" s="49" t="n">
        <v>0</v>
      </c>
      <c r="M1207" s="49" t="n">
        <v>0</v>
      </c>
      <c r="N1207" s="49" t="n">
        <v>0</v>
      </c>
      <c r="O1207" s="49" t="n">
        <v>0</v>
      </c>
      <c r="P1207" s="49" t="n">
        <v>0</v>
      </c>
      <c r="Q1207" s="49" t="n">
        <v>0</v>
      </c>
      <c r="R1207" s="49" t="n">
        <v>0</v>
      </c>
      <c r="S1207" s="50" t="n">
        <v>0</v>
      </c>
      <c r="T1207" s="50" t="n">
        <v>0</v>
      </c>
      <c r="U1207" s="50" t="n">
        <v>0</v>
      </c>
      <c r="V1207" s="50" t="n">
        <v>0</v>
      </c>
      <c r="W1207" s="51" t="n">
        <v>0</v>
      </c>
      <c r="X1207" s="51" t="n">
        <v>0</v>
      </c>
      <c r="Y1207" s="51" t="n">
        <v>0</v>
      </c>
      <c r="Z1207" s="51" t="n">
        <v>0</v>
      </c>
      <c r="AA1207" s="52" t="n">
        <v>0</v>
      </c>
      <c r="AB1207" s="52" t="n">
        <v>0</v>
      </c>
      <c r="AC1207" s="52" t="n">
        <v>0</v>
      </c>
      <c r="AD1207" s="52" t="n">
        <v>0</v>
      </c>
      <c r="AE1207" s="52" t="n">
        <v>0</v>
      </c>
      <c r="AF1207" s="52" t="n">
        <v>0</v>
      </c>
      <c r="AG1207" s="52" t="n">
        <v>0</v>
      </c>
      <c r="AH1207" s="52" t="n">
        <v>0</v>
      </c>
      <c r="AI1207" s="52" t="n">
        <v>0</v>
      </c>
      <c r="AJ1207" s="52" t="n">
        <v>0</v>
      </c>
      <c r="AK1207" s="52" t="n">
        <v>0</v>
      </c>
      <c r="AL1207" s="52" t="n">
        <v>0</v>
      </c>
      <c r="AM1207" s="53" t="n">
        <v>0</v>
      </c>
      <c r="AN1207" s="53" t="n">
        <v>0</v>
      </c>
      <c r="AO1207" s="53" t="n">
        <v>0</v>
      </c>
      <c r="AP1207" s="53" t="n">
        <v>0</v>
      </c>
      <c r="AQ1207" s="52" t="n">
        <v>0</v>
      </c>
      <c r="AR1207" s="52" t="n">
        <v>0</v>
      </c>
      <c r="AS1207" s="52" t="n">
        <v>0</v>
      </c>
      <c r="AT1207" s="52" t="n">
        <v>0</v>
      </c>
      <c r="AU1207" s="53" t="n">
        <v>0</v>
      </c>
      <c r="AV1207" s="53" t="n">
        <v>0</v>
      </c>
      <c r="AW1207" s="53" t="n">
        <v>0</v>
      </c>
      <c r="AX1207" s="53" t="n">
        <v>0</v>
      </c>
      <c r="AY1207" s="52" t="n">
        <v>0</v>
      </c>
      <c r="AZ1207" s="52" t="n">
        <v>0</v>
      </c>
      <c r="BA1207" s="52" t="n">
        <v>0</v>
      </c>
      <c r="BB1207" s="52" t="n">
        <v>0</v>
      </c>
      <c r="BC1207" s="51" t="n">
        <v>0</v>
      </c>
      <c r="BD1207" s="51" t="n">
        <v>0</v>
      </c>
      <c r="BE1207" s="51" t="n">
        <v>0</v>
      </c>
      <c r="BF1207" s="51" t="n">
        <v>0</v>
      </c>
    </row>
    <row r="1208">
      <c r="A1208">
        <f>HYPERLINK("https://www.walmart.com/ip/824611421", "824611421")</f>
        <v/>
      </c>
      <c r="B1208" t="inlineStr">
        <is>
          <t>Pawsse Waterproof Pet Blanket, Pee Urine Proof Dog Blanket Cover for Couch Bed Furniture Protector, Liquid Proof Blanket for Small Medium Dogs, Buffale Red/Tuape, 50” x 30”.</t>
        </is>
      </c>
      <c r="C1208" t="inlineStr">
        <is>
          <t>1PSBW351BRTP</t>
        </is>
      </c>
      <c r="D1208" t="inlineStr">
        <is>
          <t>Pet Blankets</t>
        </is>
      </c>
      <c r="E1208" t="inlineStr">
        <is>
          <t>Pawsse</t>
        </is>
      </c>
      <c r="F1208" t="inlineStr">
        <is>
          <t>Q2-Target,Batch 1 - TR</t>
        </is>
      </c>
      <c r="G1208" s="48" t="n">
        <v>0</v>
      </c>
      <c r="H1208" s="48" t="n">
        <v>0</v>
      </c>
      <c r="I1208" s="48" t="n">
        <v>0</v>
      </c>
      <c r="J1208" s="48" t="n">
        <v>0</v>
      </c>
      <c r="K1208" s="49" t="n">
        <v>0</v>
      </c>
      <c r="L1208" s="49" t="n">
        <v>0</v>
      </c>
      <c r="M1208" s="49" t="n">
        <v>0</v>
      </c>
      <c r="N1208" s="49" t="n">
        <v>0</v>
      </c>
      <c r="O1208" s="49" t="n">
        <v>0</v>
      </c>
      <c r="P1208" s="49" t="n">
        <v>0</v>
      </c>
      <c r="Q1208" s="49" t="n">
        <v>0</v>
      </c>
      <c r="R1208" s="49" t="n">
        <v>0</v>
      </c>
      <c r="S1208" s="50" t="n">
        <v>0</v>
      </c>
      <c r="T1208" s="50" t="n">
        <v>0</v>
      </c>
      <c r="U1208" s="50" t="n">
        <v>0</v>
      </c>
      <c r="V1208" s="50" t="n">
        <v>0</v>
      </c>
      <c r="W1208" s="51" t="n">
        <v>1</v>
      </c>
      <c r="X1208" s="51" t="n">
        <v>3</v>
      </c>
      <c r="Y1208" s="51" t="n">
        <v>2</v>
      </c>
      <c r="Z1208" s="51" t="n">
        <v>1</v>
      </c>
      <c r="AA1208" s="52" t="n">
        <v>0.43</v>
      </c>
      <c r="AB1208" s="52" t="n">
        <v>1.29</v>
      </c>
      <c r="AC1208" s="52" t="n">
        <v>0.65</v>
      </c>
      <c r="AD1208" s="52" t="n">
        <v>0.43</v>
      </c>
      <c r="AE1208" s="52" t="n">
        <v>0</v>
      </c>
      <c r="AF1208" s="52" t="n">
        <v>0</v>
      </c>
      <c r="AG1208" s="52" t="n">
        <v>0</v>
      </c>
      <c r="AH1208" s="52" t="n">
        <v>0</v>
      </c>
      <c r="AI1208" s="52" t="n">
        <v>0</v>
      </c>
      <c r="AJ1208" s="52" t="n">
        <v>0</v>
      </c>
      <c r="AK1208" s="52" t="n">
        <v>0</v>
      </c>
      <c r="AL1208" s="52" t="n">
        <v>0</v>
      </c>
      <c r="AM1208" s="53" t="n">
        <v>0.0003</v>
      </c>
      <c r="AN1208" s="53" t="n">
        <v>0.0008</v>
      </c>
      <c r="AO1208" s="53" t="n">
        <v>0.0005</v>
      </c>
      <c r="AP1208" s="53" t="n">
        <v>0.0002</v>
      </c>
      <c r="AQ1208" s="52" t="n">
        <v>0.43</v>
      </c>
      <c r="AR1208" s="52" t="n">
        <v>0.43</v>
      </c>
      <c r="AS1208" s="52" t="n">
        <v>0.325</v>
      </c>
      <c r="AT1208" s="52" t="n">
        <v>0.43</v>
      </c>
      <c r="AU1208" s="53" t="n">
        <v>0</v>
      </c>
      <c r="AV1208" s="53" t="n">
        <v>0</v>
      </c>
      <c r="AW1208" s="53" t="n">
        <v>0</v>
      </c>
      <c r="AX1208" s="53" t="n">
        <v>0</v>
      </c>
      <c r="AY1208" s="52" t="n">
        <v>0</v>
      </c>
      <c r="AZ1208" s="52" t="n">
        <v>0</v>
      </c>
      <c r="BA1208" s="52" t="n">
        <v>0</v>
      </c>
      <c r="BB1208" s="52" t="n">
        <v>0</v>
      </c>
      <c r="BC1208" s="51" t="n">
        <v>3458</v>
      </c>
      <c r="BD1208" s="51" t="n">
        <v>3731</v>
      </c>
      <c r="BE1208" s="51" t="n">
        <v>4107</v>
      </c>
      <c r="BF1208" s="51" t="n">
        <v>4235</v>
      </c>
    </row>
    <row r="1209">
      <c r="A1209">
        <f>HYPERLINK("https://www.walmart.com/ip/828032967", "828032967")</f>
        <v/>
      </c>
      <c r="B1209" t="inlineStr">
        <is>
          <t>Catalonia Fleece Wearable Blanket Poncho for Adult Women Men, Wrap Blanket Cape with Pocket |Warm,Soft, Cozy,Snuggly, Comfort Gift, No Sleeves|All Season, Navy</t>
        </is>
      </c>
      <c r="C1209" t="inlineStr">
        <is>
          <t>1CTBP200NY</t>
        </is>
      </c>
      <c r="D1209" t="inlineStr">
        <is>
          <t>Throws</t>
        </is>
      </c>
      <c r="E1209" t="inlineStr">
        <is>
          <t>Catalonia</t>
        </is>
      </c>
      <c r="F1209" t="inlineStr">
        <is>
          <t>Hero 5 Holidays,WFS,WFS Item</t>
        </is>
      </c>
      <c r="G1209" s="48" t="n">
        <v>0</v>
      </c>
      <c r="H1209" s="48" t="n">
        <v>0</v>
      </c>
      <c r="I1209" s="48" t="n">
        <v>0</v>
      </c>
      <c r="J1209" s="48" t="n">
        <v>0</v>
      </c>
      <c r="K1209" s="49" t="n">
        <v>0</v>
      </c>
      <c r="L1209" s="49" t="n">
        <v>0</v>
      </c>
      <c r="M1209" s="49" t="n">
        <v>0</v>
      </c>
      <c r="N1209" s="49" t="n">
        <v>0</v>
      </c>
      <c r="O1209" s="49" t="n">
        <v>0</v>
      </c>
      <c r="P1209" s="49" t="n">
        <v>0</v>
      </c>
      <c r="Q1209" s="49" t="n">
        <v>0</v>
      </c>
      <c r="R1209" s="49" t="n">
        <v>0</v>
      </c>
      <c r="S1209" s="50" t="n">
        <v>0</v>
      </c>
      <c r="T1209" s="50" t="n">
        <v>0</v>
      </c>
      <c r="U1209" s="50" t="n">
        <v>0</v>
      </c>
      <c r="V1209" s="50" t="n">
        <v>0</v>
      </c>
      <c r="W1209" s="51" t="n">
        <v>0</v>
      </c>
      <c r="X1209" s="51" t="n">
        <v>0</v>
      </c>
      <c r="Y1209" s="51" t="n">
        <v>0</v>
      </c>
      <c r="Z1209" s="51" t="n">
        <v>0</v>
      </c>
      <c r="AA1209" s="52" t="n">
        <v>0</v>
      </c>
      <c r="AB1209" s="52" t="n">
        <v>0</v>
      </c>
      <c r="AC1209" s="52" t="n">
        <v>0</v>
      </c>
      <c r="AD1209" s="52" t="n">
        <v>0</v>
      </c>
      <c r="AE1209" s="52" t="n">
        <v>0</v>
      </c>
      <c r="AF1209" s="52" t="n">
        <v>0</v>
      </c>
      <c r="AG1209" s="52" t="n">
        <v>0</v>
      </c>
      <c r="AH1209" s="52" t="n">
        <v>0</v>
      </c>
      <c r="AI1209" s="52" t="n">
        <v>0</v>
      </c>
      <c r="AJ1209" s="52" t="n">
        <v>0</v>
      </c>
      <c r="AK1209" s="52" t="n">
        <v>0</v>
      </c>
      <c r="AL1209" s="52" t="n">
        <v>0</v>
      </c>
      <c r="AM1209" s="53" t="n">
        <v>0</v>
      </c>
      <c r="AN1209" s="53" t="n">
        <v>0</v>
      </c>
      <c r="AO1209" s="53" t="n">
        <v>0</v>
      </c>
      <c r="AP1209" s="53" t="n">
        <v>0</v>
      </c>
      <c r="AQ1209" s="52" t="n">
        <v>0</v>
      </c>
      <c r="AR1209" s="52" t="n">
        <v>0</v>
      </c>
      <c r="AS1209" s="52" t="n">
        <v>0</v>
      </c>
      <c r="AT1209" s="52" t="n">
        <v>0</v>
      </c>
      <c r="AU1209" s="53" t="n">
        <v>0</v>
      </c>
      <c r="AV1209" s="53" t="n">
        <v>0</v>
      </c>
      <c r="AW1209" s="53" t="n">
        <v>0</v>
      </c>
      <c r="AX1209" s="53" t="n">
        <v>0</v>
      </c>
      <c r="AY1209" s="52" t="n">
        <v>0</v>
      </c>
      <c r="AZ1209" s="52" t="n">
        <v>0</v>
      </c>
      <c r="BA1209" s="52" t="n">
        <v>0</v>
      </c>
      <c r="BB1209" s="52" t="n">
        <v>0</v>
      </c>
      <c r="BC1209" s="51" t="n">
        <v>4</v>
      </c>
      <c r="BD1209" s="51" t="n">
        <v>0</v>
      </c>
      <c r="BE1209" s="51" t="n">
        <v>0</v>
      </c>
      <c r="BF1209" s="51" t="n">
        <v>0</v>
      </c>
    </row>
    <row r="1210">
      <c r="A1210">
        <f>HYPERLINK("https://www.walmart.com/ip/818314436", "818314436")</f>
        <v/>
      </c>
      <c r="B1210" t="inlineStr">
        <is>
          <t>Tirrinia Sherpa Wearable Comfy Plush Fleece Blanket Poncho For Adult, 55'' x 80'', Camel</t>
        </is>
      </c>
      <c r="C1210" t="inlineStr">
        <is>
          <t>1TRBP110CA-TBCB</t>
        </is>
      </c>
      <c r="D1210" t="inlineStr">
        <is>
          <t>Throws</t>
        </is>
      </c>
      <c r="E1210" t="inlineStr">
        <is>
          <t>Tirrinia</t>
        </is>
      </c>
      <c r="F1210" t="inlineStr">
        <is>
          <t>Optimized</t>
        </is>
      </c>
      <c r="G1210" s="48" t="n">
        <v>0</v>
      </c>
      <c r="H1210" s="48" t="n">
        <v>0</v>
      </c>
      <c r="I1210" s="48" t="n">
        <v>0</v>
      </c>
      <c r="J1210" s="48" t="n">
        <v>0</v>
      </c>
      <c r="K1210" s="49" t="n">
        <v>0</v>
      </c>
      <c r="L1210" s="49" t="n">
        <v>0</v>
      </c>
      <c r="M1210" s="49" t="n">
        <v>0</v>
      </c>
      <c r="N1210" s="49" t="n">
        <v>0</v>
      </c>
      <c r="O1210" s="49" t="n">
        <v>0</v>
      </c>
      <c r="P1210" s="49" t="n">
        <v>0</v>
      </c>
      <c r="Q1210" s="49" t="n">
        <v>0</v>
      </c>
      <c r="R1210" s="49" t="n">
        <v>0</v>
      </c>
      <c r="S1210" s="50" t="n">
        <v>0</v>
      </c>
      <c r="T1210" s="50" t="n">
        <v>0</v>
      </c>
      <c r="U1210" s="50" t="n">
        <v>0</v>
      </c>
      <c r="V1210" s="50" t="n">
        <v>0</v>
      </c>
      <c r="W1210" s="51" t="n">
        <v>0</v>
      </c>
      <c r="X1210" s="51" t="n">
        <v>0</v>
      </c>
      <c r="Y1210" s="51" t="n">
        <v>0</v>
      </c>
      <c r="Z1210" s="51" t="n">
        <v>0</v>
      </c>
      <c r="AA1210" s="52" t="n">
        <v>0</v>
      </c>
      <c r="AB1210" s="52" t="n">
        <v>0</v>
      </c>
      <c r="AC1210" s="52" t="n">
        <v>0</v>
      </c>
      <c r="AD1210" s="52" t="n">
        <v>0</v>
      </c>
      <c r="AE1210" s="52" t="n">
        <v>0</v>
      </c>
      <c r="AF1210" s="52" t="n">
        <v>0</v>
      </c>
      <c r="AG1210" s="52" t="n">
        <v>0</v>
      </c>
      <c r="AH1210" s="52" t="n">
        <v>0</v>
      </c>
      <c r="AI1210" s="52" t="n">
        <v>0</v>
      </c>
      <c r="AJ1210" s="52" t="n">
        <v>0</v>
      </c>
      <c r="AK1210" s="52" t="n">
        <v>0</v>
      </c>
      <c r="AL1210" s="52" t="n">
        <v>0</v>
      </c>
      <c r="AM1210" s="53" t="n">
        <v>0</v>
      </c>
      <c r="AN1210" s="53" t="n">
        <v>0</v>
      </c>
      <c r="AO1210" s="53" t="n">
        <v>0</v>
      </c>
      <c r="AP1210" s="53" t="n">
        <v>0</v>
      </c>
      <c r="AQ1210" s="52" t="n">
        <v>0</v>
      </c>
      <c r="AR1210" s="52" t="n">
        <v>0</v>
      </c>
      <c r="AS1210" s="52" t="n">
        <v>0</v>
      </c>
      <c r="AT1210" s="52" t="n">
        <v>0</v>
      </c>
      <c r="AU1210" s="53" t="n">
        <v>0</v>
      </c>
      <c r="AV1210" s="53" t="n">
        <v>0</v>
      </c>
      <c r="AW1210" s="53" t="n">
        <v>0</v>
      </c>
      <c r="AX1210" s="53" t="n">
        <v>0</v>
      </c>
      <c r="AY1210" s="52" t="n">
        <v>0</v>
      </c>
      <c r="AZ1210" s="52" t="n">
        <v>0</v>
      </c>
      <c r="BA1210" s="52" t="n">
        <v>0</v>
      </c>
      <c r="BB1210" s="52" t="n">
        <v>0</v>
      </c>
      <c r="BC1210" s="51" t="n">
        <v>0</v>
      </c>
      <c r="BD1210" s="51" t="n">
        <v>0</v>
      </c>
      <c r="BE1210" s="51" t="n">
        <v>0</v>
      </c>
      <c r="BF1210" s="51" t="n">
        <v>0</v>
      </c>
    </row>
    <row r="1211">
      <c r="A1211">
        <f>HYPERLINK("https://www.walmart.com/ip/818171363", "818171363")</f>
        <v/>
      </c>
      <c r="B1211" t="inlineStr">
        <is>
          <t>Sun Blocker Outdoor Sun Protection Fishing Cap with Neck Flap Wide Brim Hat for Men Women Baseball, Backpacking, Cycling, Hiking, Garden, Hunting, Camping, Olive</t>
        </is>
      </c>
      <c r="C1211" t="inlineStr">
        <is>
          <t>KC-S9155-OL</t>
        </is>
      </c>
      <c r="D1211" t="inlineStr">
        <is>
          <t>Hats</t>
        </is>
      </c>
      <c r="E1211" t="inlineStr">
        <is>
          <t>Sun Blocker</t>
        </is>
      </c>
      <c r="F1211" t="inlineStr">
        <is>
          <t>Hats,Batch 1 - TR</t>
        </is>
      </c>
      <c r="G1211" s="48" t="n">
        <v>0</v>
      </c>
      <c r="H1211" s="48" t="n">
        <v>0</v>
      </c>
      <c r="I1211" s="48" t="n">
        <v>0</v>
      </c>
      <c r="J1211" s="48" t="n">
        <v>0</v>
      </c>
      <c r="K1211" s="49" t="n">
        <v>0</v>
      </c>
      <c r="L1211" s="49" t="n">
        <v>0</v>
      </c>
      <c r="M1211" s="49" t="n">
        <v>0</v>
      </c>
      <c r="N1211" s="49" t="n">
        <v>0</v>
      </c>
      <c r="O1211" s="49" t="n">
        <v>0</v>
      </c>
      <c r="P1211" s="49" t="n">
        <v>0</v>
      </c>
      <c r="Q1211" s="49" t="n">
        <v>0</v>
      </c>
      <c r="R1211" s="49" t="n">
        <v>0</v>
      </c>
      <c r="S1211" s="50" t="n">
        <v>0</v>
      </c>
      <c r="T1211" s="50" t="n">
        <v>0</v>
      </c>
      <c r="U1211" s="50" t="n">
        <v>0</v>
      </c>
      <c r="V1211" s="50" t="n">
        <v>0</v>
      </c>
      <c r="W1211" s="51" t="n">
        <v>0</v>
      </c>
      <c r="X1211" s="51" t="n">
        <v>0</v>
      </c>
      <c r="Y1211" s="51" t="n">
        <v>0</v>
      </c>
      <c r="Z1211" s="51" t="n">
        <v>0</v>
      </c>
      <c r="AA1211" s="52" t="n">
        <v>0</v>
      </c>
      <c r="AB1211" s="52" t="n">
        <v>0</v>
      </c>
      <c r="AC1211" s="52" t="n">
        <v>0</v>
      </c>
      <c r="AD1211" s="52" t="n">
        <v>0</v>
      </c>
      <c r="AE1211" s="52" t="n">
        <v>0</v>
      </c>
      <c r="AF1211" s="52" t="n">
        <v>0</v>
      </c>
      <c r="AG1211" s="52" t="n">
        <v>0</v>
      </c>
      <c r="AH1211" s="52" t="n">
        <v>0</v>
      </c>
      <c r="AI1211" s="52" t="n">
        <v>0</v>
      </c>
      <c r="AJ1211" s="52" t="n">
        <v>0</v>
      </c>
      <c r="AK1211" s="52" t="n">
        <v>0</v>
      </c>
      <c r="AL1211" s="52" t="n">
        <v>0</v>
      </c>
      <c r="AM1211" s="53" t="n">
        <v>0</v>
      </c>
      <c r="AN1211" s="53" t="n">
        <v>0</v>
      </c>
      <c r="AO1211" s="53" t="n">
        <v>0</v>
      </c>
      <c r="AP1211" s="53" t="n">
        <v>0</v>
      </c>
      <c r="AQ1211" s="52" t="n">
        <v>0</v>
      </c>
      <c r="AR1211" s="52" t="n">
        <v>0</v>
      </c>
      <c r="AS1211" s="52" t="n">
        <v>0</v>
      </c>
      <c r="AT1211" s="52" t="n">
        <v>0</v>
      </c>
      <c r="AU1211" s="53" t="n">
        <v>0</v>
      </c>
      <c r="AV1211" s="53" t="n">
        <v>0</v>
      </c>
      <c r="AW1211" s="53" t="n">
        <v>0</v>
      </c>
      <c r="AX1211" s="53" t="n">
        <v>0</v>
      </c>
      <c r="AY1211" s="52" t="n">
        <v>0</v>
      </c>
      <c r="AZ1211" s="52" t="n">
        <v>0</v>
      </c>
      <c r="BA1211" s="52" t="n">
        <v>0</v>
      </c>
      <c r="BB1211" s="52" t="n">
        <v>0</v>
      </c>
      <c r="BC1211" s="51" t="n">
        <v>0</v>
      </c>
      <c r="BD1211" s="51" t="n">
        <v>0</v>
      </c>
      <c r="BE1211" s="51" t="n">
        <v>0</v>
      </c>
      <c r="BF1211" s="51" t="n">
        <v>0</v>
      </c>
    </row>
    <row r="1212">
      <c r="A1212">
        <f>HYPERLINK("https://www.walmart.com/ip/813734406", "813734406")</f>
        <v/>
      </c>
      <c r="B1212" t="inlineStr">
        <is>
          <t>Terra Men Boxer Brief Underwear Best 3 Pack Most Comfortable Cotton Trunk Short</t>
        </is>
      </c>
      <c r="C1212" t="inlineStr">
        <is>
          <t>TERRA-BOXER9-M</t>
        </is>
      </c>
      <c r="D1212" t="inlineStr">
        <is>
          <t>Underpants</t>
        </is>
      </c>
      <c r="E1212" t="inlineStr">
        <is>
          <t>Terra</t>
        </is>
      </c>
      <c r="F1212" t="inlineStr">
        <is>
          <t>Batch 1 - TR</t>
        </is>
      </c>
      <c r="G1212" s="48" t="n">
        <v>0</v>
      </c>
      <c r="H1212" s="48" t="n">
        <v>0</v>
      </c>
      <c r="I1212" s="48" t="n">
        <v>0</v>
      </c>
      <c r="J1212" s="48" t="n">
        <v>0</v>
      </c>
      <c r="K1212" s="49" t="n">
        <v>0</v>
      </c>
      <c r="L1212" s="49" t="n">
        <v>0</v>
      </c>
      <c r="M1212" s="49" t="n">
        <v>0</v>
      </c>
      <c r="N1212" s="49" t="n">
        <v>0</v>
      </c>
      <c r="O1212" s="49" t="n">
        <v>0</v>
      </c>
      <c r="P1212" s="49" t="n">
        <v>0</v>
      </c>
      <c r="Q1212" s="49" t="n">
        <v>0</v>
      </c>
      <c r="R1212" s="49" t="n">
        <v>0</v>
      </c>
      <c r="S1212" s="50" t="n">
        <v>0</v>
      </c>
      <c r="T1212" s="50" t="n">
        <v>0</v>
      </c>
      <c r="U1212" s="50" t="n">
        <v>0</v>
      </c>
      <c r="V1212" s="50" t="n">
        <v>0</v>
      </c>
      <c r="W1212" s="51" t="n">
        <v>0</v>
      </c>
      <c r="X1212" s="51" t="n">
        <v>0</v>
      </c>
      <c r="Y1212" s="51" t="n">
        <v>0</v>
      </c>
      <c r="Z1212" s="51" t="n">
        <v>0</v>
      </c>
      <c r="AA1212" s="52" t="n">
        <v>0</v>
      </c>
      <c r="AB1212" s="52" t="n">
        <v>0</v>
      </c>
      <c r="AC1212" s="52" t="n">
        <v>0</v>
      </c>
      <c r="AD1212" s="52" t="n">
        <v>0</v>
      </c>
      <c r="AE1212" s="52" t="n">
        <v>0</v>
      </c>
      <c r="AF1212" s="52" t="n">
        <v>0</v>
      </c>
      <c r="AG1212" s="52" t="n">
        <v>0</v>
      </c>
      <c r="AH1212" s="52" t="n">
        <v>0</v>
      </c>
      <c r="AI1212" s="52" t="n">
        <v>0</v>
      </c>
      <c r="AJ1212" s="52" t="n">
        <v>0</v>
      </c>
      <c r="AK1212" s="52" t="n">
        <v>0</v>
      </c>
      <c r="AL1212" s="52" t="n">
        <v>0</v>
      </c>
      <c r="AM1212" s="53" t="n">
        <v>0</v>
      </c>
      <c r="AN1212" s="53" t="n">
        <v>0</v>
      </c>
      <c r="AO1212" s="53" t="n">
        <v>0</v>
      </c>
      <c r="AP1212" s="53" t="n">
        <v>0</v>
      </c>
      <c r="AQ1212" s="52" t="n">
        <v>0</v>
      </c>
      <c r="AR1212" s="52" t="n">
        <v>0</v>
      </c>
      <c r="AS1212" s="52" t="n">
        <v>0</v>
      </c>
      <c r="AT1212" s="52" t="n">
        <v>0</v>
      </c>
      <c r="AU1212" s="53" t="n">
        <v>0</v>
      </c>
      <c r="AV1212" s="53" t="n">
        <v>0</v>
      </c>
      <c r="AW1212" s="53" t="n">
        <v>0</v>
      </c>
      <c r="AX1212" s="53" t="n">
        <v>0</v>
      </c>
      <c r="AY1212" s="52" t="n">
        <v>0</v>
      </c>
      <c r="AZ1212" s="52" t="n">
        <v>0</v>
      </c>
      <c r="BA1212" s="52" t="n">
        <v>0</v>
      </c>
      <c r="BB1212" s="52" t="n">
        <v>0</v>
      </c>
      <c r="BC1212" s="51" t="n">
        <v>0</v>
      </c>
      <c r="BD1212" s="51" t="n">
        <v>0</v>
      </c>
      <c r="BE1212" s="51" t="n">
        <v>0</v>
      </c>
      <c r="BF1212" s="51" t="n">
        <v>0</v>
      </c>
    </row>
    <row r="1213">
      <c r="A1213">
        <f>HYPERLINK("https://www.walmart.com/ip/817140249", "817140249")</f>
        <v/>
      </c>
      <c r="B1213" t="inlineStr">
        <is>
          <t>Waterproof 3M Thinsulate Ski Gloves for Men Women, Winter Warm Cozy Snowboard Gloves with Half Ski Mask for Skiing, Snowboarding, Shoveling &amp; Outdoor Sports, with Pocket &amp; Wrist Leashes</t>
        </is>
      </c>
      <c r="C1213" t="inlineStr">
        <is>
          <t>1SLWG301GYBK-XL</t>
        </is>
      </c>
      <c r="D1213" t="inlineStr">
        <is>
          <t>Gloves &amp; Mittens</t>
        </is>
      </c>
      <c r="E1213" t="inlineStr">
        <is>
          <t>Solaris</t>
        </is>
      </c>
      <c r="F1213" t="inlineStr">
        <is>
          <t>Gloves,WFS,WFS Item</t>
        </is>
      </c>
      <c r="G1213" s="48" t="n">
        <v>0</v>
      </c>
      <c r="H1213" s="48" t="n">
        <v>0</v>
      </c>
      <c r="I1213" s="48" t="n">
        <v>0</v>
      </c>
      <c r="J1213" s="48" t="n">
        <v>0</v>
      </c>
      <c r="K1213" s="49" t="n">
        <v>0</v>
      </c>
      <c r="L1213" s="49" t="n">
        <v>0</v>
      </c>
      <c r="M1213" s="49" t="n">
        <v>0</v>
      </c>
      <c r="N1213" s="49" t="n">
        <v>0</v>
      </c>
      <c r="O1213" s="49" t="n">
        <v>0</v>
      </c>
      <c r="P1213" s="49" t="n">
        <v>0</v>
      </c>
      <c r="Q1213" s="49" t="n">
        <v>0</v>
      </c>
      <c r="R1213" s="49" t="n">
        <v>0</v>
      </c>
      <c r="S1213" s="50" t="n">
        <v>0</v>
      </c>
      <c r="T1213" s="50" t="n">
        <v>0</v>
      </c>
      <c r="U1213" s="50" t="n">
        <v>0</v>
      </c>
      <c r="V1213" s="50" t="n">
        <v>0</v>
      </c>
      <c r="W1213" s="51" t="n">
        <v>0</v>
      </c>
      <c r="X1213" s="51" t="n">
        <v>0</v>
      </c>
      <c r="Y1213" s="51" t="n">
        <v>0</v>
      </c>
      <c r="Z1213" s="51" t="n">
        <v>0</v>
      </c>
      <c r="AA1213" s="52" t="n">
        <v>0</v>
      </c>
      <c r="AB1213" s="52" t="n">
        <v>0</v>
      </c>
      <c r="AC1213" s="52" t="n">
        <v>0</v>
      </c>
      <c r="AD1213" s="52" t="n">
        <v>0</v>
      </c>
      <c r="AE1213" s="52" t="n">
        <v>0</v>
      </c>
      <c r="AF1213" s="52" t="n">
        <v>0</v>
      </c>
      <c r="AG1213" s="52" t="n">
        <v>0</v>
      </c>
      <c r="AH1213" s="52" t="n">
        <v>0</v>
      </c>
      <c r="AI1213" s="52" t="n">
        <v>0</v>
      </c>
      <c r="AJ1213" s="52" t="n">
        <v>0</v>
      </c>
      <c r="AK1213" s="52" t="n">
        <v>0</v>
      </c>
      <c r="AL1213" s="52" t="n">
        <v>0</v>
      </c>
      <c r="AM1213" s="53" t="n">
        <v>0</v>
      </c>
      <c r="AN1213" s="53" t="n">
        <v>0</v>
      </c>
      <c r="AO1213" s="53" t="n">
        <v>0</v>
      </c>
      <c r="AP1213" s="53" t="n">
        <v>0</v>
      </c>
      <c r="AQ1213" s="52" t="n">
        <v>0</v>
      </c>
      <c r="AR1213" s="52" t="n">
        <v>0</v>
      </c>
      <c r="AS1213" s="52" t="n">
        <v>0</v>
      </c>
      <c r="AT1213" s="52" t="n">
        <v>0</v>
      </c>
      <c r="AU1213" s="53" t="n">
        <v>0</v>
      </c>
      <c r="AV1213" s="53" t="n">
        <v>0</v>
      </c>
      <c r="AW1213" s="53" t="n">
        <v>0</v>
      </c>
      <c r="AX1213" s="53" t="n">
        <v>0</v>
      </c>
      <c r="AY1213" s="52" t="n">
        <v>0</v>
      </c>
      <c r="AZ1213" s="52" t="n">
        <v>0</v>
      </c>
      <c r="BA1213" s="52" t="n">
        <v>0</v>
      </c>
      <c r="BB1213" s="52" t="n">
        <v>0</v>
      </c>
      <c r="BC1213" s="51" t="n">
        <v>0</v>
      </c>
      <c r="BD1213" s="51" t="n">
        <v>0</v>
      </c>
      <c r="BE1213" s="51" t="n">
        <v>0</v>
      </c>
      <c r="BF1213" s="51" t="n">
        <v>0</v>
      </c>
    </row>
    <row r="1214">
      <c r="A1214">
        <f>HYPERLINK("https://www.walmart.com/ip/814050622", "814050622")</f>
        <v/>
      </c>
      <c r="B1214" t="inlineStr">
        <is>
          <t>&lt;span style="color: #46474a; font-family: BogleWeb, Helvetica Neue, Helvetica, Arial, sans-serif;"&gt;&lt;span style="background-color: #ffffff;"&gt;Catalonia &lt;/span&gt;&lt;/span&gt;Plaid Sherpa Throw Blanket 50" x 60", for Couch and Bed, Super Soft Comfort Caring Gift</t>
        </is>
      </c>
      <c r="C1214" t="inlineStr">
        <is>
          <t>1CTBF565PGY</t>
        </is>
      </c>
      <c r="D1214" t="inlineStr">
        <is>
          <t>Throws</t>
        </is>
      </c>
      <c r="E1214" t="inlineStr">
        <is>
          <t>Catalonia</t>
        </is>
      </c>
      <c r="F1214" t="inlineStr">
        <is>
          <t>Optimized,WFS,WFS Item</t>
        </is>
      </c>
      <c r="G1214" s="48" t="n">
        <v>0</v>
      </c>
      <c r="H1214" s="48" t="n">
        <v>0</v>
      </c>
      <c r="I1214" s="48" t="n">
        <v>0</v>
      </c>
      <c r="J1214" s="48" t="n">
        <v>0</v>
      </c>
      <c r="K1214" s="49" t="n">
        <v>0</v>
      </c>
      <c r="L1214" s="49" t="n">
        <v>0</v>
      </c>
      <c r="M1214" s="49" t="n">
        <v>0</v>
      </c>
      <c r="N1214" s="49" t="n">
        <v>0</v>
      </c>
      <c r="O1214" s="49" t="n">
        <v>0</v>
      </c>
      <c r="P1214" s="49" t="n">
        <v>0</v>
      </c>
      <c r="Q1214" s="49" t="n">
        <v>0</v>
      </c>
      <c r="R1214" s="49" t="n">
        <v>0</v>
      </c>
      <c r="S1214" s="50" t="n">
        <v>0</v>
      </c>
      <c r="T1214" s="50" t="n">
        <v>0</v>
      </c>
      <c r="U1214" s="50" t="n">
        <v>0</v>
      </c>
      <c r="V1214" s="50" t="n">
        <v>0</v>
      </c>
      <c r="W1214" s="51" t="n">
        <v>0</v>
      </c>
      <c r="X1214" s="51" t="n">
        <v>0</v>
      </c>
      <c r="Y1214" s="51" t="n">
        <v>0</v>
      </c>
      <c r="Z1214" s="51" t="n">
        <v>0</v>
      </c>
      <c r="AA1214" s="52" t="n">
        <v>0</v>
      </c>
      <c r="AB1214" s="52" t="n">
        <v>0</v>
      </c>
      <c r="AC1214" s="52" t="n">
        <v>0</v>
      </c>
      <c r="AD1214" s="52" t="n">
        <v>0</v>
      </c>
      <c r="AE1214" s="52" t="n">
        <v>0</v>
      </c>
      <c r="AF1214" s="52" t="n">
        <v>0</v>
      </c>
      <c r="AG1214" s="52" t="n">
        <v>0</v>
      </c>
      <c r="AH1214" s="52" t="n">
        <v>0</v>
      </c>
      <c r="AI1214" s="52" t="n">
        <v>0</v>
      </c>
      <c r="AJ1214" s="52" t="n">
        <v>0</v>
      </c>
      <c r="AK1214" s="52" t="n">
        <v>0</v>
      </c>
      <c r="AL1214" s="52" t="n">
        <v>0</v>
      </c>
      <c r="AM1214" s="53" t="n">
        <v>0</v>
      </c>
      <c r="AN1214" s="53" t="n">
        <v>0</v>
      </c>
      <c r="AO1214" s="53" t="n">
        <v>0</v>
      </c>
      <c r="AP1214" s="53" t="n">
        <v>0</v>
      </c>
      <c r="AQ1214" s="52" t="n">
        <v>0</v>
      </c>
      <c r="AR1214" s="52" t="n">
        <v>0</v>
      </c>
      <c r="AS1214" s="52" t="n">
        <v>0</v>
      </c>
      <c r="AT1214" s="52" t="n">
        <v>0</v>
      </c>
      <c r="AU1214" s="53" t="n">
        <v>0</v>
      </c>
      <c r="AV1214" s="53" t="n">
        <v>0</v>
      </c>
      <c r="AW1214" s="53" t="n">
        <v>0</v>
      </c>
      <c r="AX1214" s="53" t="n">
        <v>0</v>
      </c>
      <c r="AY1214" s="52" t="n">
        <v>0</v>
      </c>
      <c r="AZ1214" s="52" t="n">
        <v>0</v>
      </c>
      <c r="BA1214" s="52" t="n">
        <v>0</v>
      </c>
      <c r="BB1214" s="52" t="n">
        <v>0</v>
      </c>
      <c r="BC1214" s="51" t="n">
        <v>0</v>
      </c>
      <c r="BD1214" s="51" t="n">
        <v>0</v>
      </c>
      <c r="BE1214" s="51" t="n">
        <v>0</v>
      </c>
      <c r="BF1214" s="51" t="n">
        <v>0</v>
      </c>
    </row>
    <row r="1215">
      <c r="A1215">
        <f>HYPERLINK("https://www.walmart.com/ip/814209589", "814209589")</f>
        <v/>
      </c>
      <c r="B1215" t="inlineStr">
        <is>
          <t>Tirrinia Surf Poncho Changing Towel with Hood, Quick Dry Oversized Fits All Adult, Black</t>
        </is>
      </c>
      <c r="C1215" t="inlineStr">
        <is>
          <t>1TRBR100-BK-TB01</t>
        </is>
      </c>
      <c r="D1215" t="inlineStr">
        <is>
          <t>Towels &amp; Washcloths</t>
        </is>
      </c>
      <c r="E1215" t="inlineStr">
        <is>
          <t>Tirrinia</t>
        </is>
      </c>
      <c r="F1215" t="inlineStr">
        <is>
          <t>Batch 1 - TR</t>
        </is>
      </c>
      <c r="G1215" s="48" t="n">
        <v>0</v>
      </c>
      <c r="H1215" s="48" t="n">
        <v>0</v>
      </c>
      <c r="I1215" s="48" t="n">
        <v>0</v>
      </c>
      <c r="J1215" s="48" t="n">
        <v>0</v>
      </c>
      <c r="K1215" s="49" t="n">
        <v>0</v>
      </c>
      <c r="L1215" s="49" t="n">
        <v>0</v>
      </c>
      <c r="M1215" s="49" t="n">
        <v>0</v>
      </c>
      <c r="N1215" s="49" t="n">
        <v>0</v>
      </c>
      <c r="O1215" s="49" t="n">
        <v>0</v>
      </c>
      <c r="P1215" s="49" t="n">
        <v>0</v>
      </c>
      <c r="Q1215" s="49" t="n">
        <v>0</v>
      </c>
      <c r="R1215" s="49" t="n">
        <v>0</v>
      </c>
      <c r="S1215" s="50" t="n">
        <v>0</v>
      </c>
      <c r="T1215" s="50" t="n">
        <v>0</v>
      </c>
      <c r="U1215" s="50" t="n">
        <v>0</v>
      </c>
      <c r="V1215" s="50" t="n">
        <v>0</v>
      </c>
      <c r="W1215" s="51" t="n">
        <v>0</v>
      </c>
      <c r="X1215" s="51" t="n">
        <v>0</v>
      </c>
      <c r="Y1215" s="51" t="n">
        <v>0</v>
      </c>
      <c r="Z1215" s="51" t="n">
        <v>0</v>
      </c>
      <c r="AA1215" s="52" t="n">
        <v>0</v>
      </c>
      <c r="AB1215" s="52" t="n">
        <v>0</v>
      </c>
      <c r="AC1215" s="52" t="n">
        <v>0</v>
      </c>
      <c r="AD1215" s="52" t="n">
        <v>0</v>
      </c>
      <c r="AE1215" s="52" t="n">
        <v>0</v>
      </c>
      <c r="AF1215" s="52" t="n">
        <v>0</v>
      </c>
      <c r="AG1215" s="52" t="n">
        <v>0</v>
      </c>
      <c r="AH1215" s="52" t="n">
        <v>0</v>
      </c>
      <c r="AI1215" s="52" t="n">
        <v>0</v>
      </c>
      <c r="AJ1215" s="52" t="n">
        <v>0</v>
      </c>
      <c r="AK1215" s="52" t="n">
        <v>0</v>
      </c>
      <c r="AL1215" s="52" t="n">
        <v>0</v>
      </c>
      <c r="AM1215" s="53" t="n">
        <v>0</v>
      </c>
      <c r="AN1215" s="53" t="n">
        <v>0</v>
      </c>
      <c r="AO1215" s="53" t="n">
        <v>0</v>
      </c>
      <c r="AP1215" s="53" t="n">
        <v>0</v>
      </c>
      <c r="AQ1215" s="52" t="n">
        <v>0</v>
      </c>
      <c r="AR1215" s="52" t="n">
        <v>0</v>
      </c>
      <c r="AS1215" s="52" t="n">
        <v>0</v>
      </c>
      <c r="AT1215" s="52" t="n">
        <v>0</v>
      </c>
      <c r="AU1215" s="53" t="n">
        <v>0</v>
      </c>
      <c r="AV1215" s="53" t="n">
        <v>0</v>
      </c>
      <c r="AW1215" s="53" t="n">
        <v>0</v>
      </c>
      <c r="AX1215" s="53" t="n">
        <v>0</v>
      </c>
      <c r="AY1215" s="52" t="n">
        <v>0</v>
      </c>
      <c r="AZ1215" s="52" t="n">
        <v>0</v>
      </c>
      <c r="BA1215" s="52" t="n">
        <v>0</v>
      </c>
      <c r="BB1215" s="52" t="n">
        <v>0</v>
      </c>
      <c r="BC1215" s="51" t="n">
        <v>0</v>
      </c>
      <c r="BD1215" s="51" t="n">
        <v>0</v>
      </c>
      <c r="BE1215" s="51" t="n">
        <v>0</v>
      </c>
      <c r="BF1215" s="51" t="n">
        <v>0</v>
      </c>
    </row>
    <row r="1216">
      <c r="A1216">
        <f>HYPERLINK("https://www.walmart.com/ip/815170101", "815170101")</f>
        <v/>
      </c>
      <c r="B1216" t="inlineStr">
        <is>
          <t>Kato 6 Bottle Insulated Portable Wine Tote Bag for Travel/Picnic/Party, Black</t>
        </is>
      </c>
      <c r="C1216" t="inlineStr">
        <is>
          <t>1KTWB600BK-CDGM</t>
        </is>
      </c>
      <c r="D1216" t="inlineStr">
        <is>
          <t>Wine Totes, Bags &amp; Backpacks</t>
        </is>
      </c>
      <c r="E1216" t="inlineStr">
        <is>
          <t>Kato</t>
        </is>
      </c>
      <c r="G1216" s="48" t="n">
        <v>0</v>
      </c>
      <c r="H1216" s="48" t="n">
        <v>0</v>
      </c>
      <c r="I1216" s="48" t="n">
        <v>0</v>
      </c>
      <c r="J1216" s="48" t="n">
        <v>0</v>
      </c>
      <c r="K1216" s="49" t="n">
        <v>0</v>
      </c>
      <c r="L1216" s="49" t="n">
        <v>0</v>
      </c>
      <c r="M1216" s="49" t="n">
        <v>0</v>
      </c>
      <c r="N1216" s="49" t="n">
        <v>0</v>
      </c>
      <c r="O1216" s="49" t="n">
        <v>0</v>
      </c>
      <c r="P1216" s="49" t="n">
        <v>0</v>
      </c>
      <c r="Q1216" s="49" t="n">
        <v>0</v>
      </c>
      <c r="R1216" s="49" t="n">
        <v>0</v>
      </c>
      <c r="S1216" s="50" t="n">
        <v>0</v>
      </c>
      <c r="T1216" s="50" t="n">
        <v>0</v>
      </c>
      <c r="U1216" s="50" t="n">
        <v>0</v>
      </c>
      <c r="V1216" s="50" t="n">
        <v>0</v>
      </c>
      <c r="W1216" s="51" t="n">
        <v>0</v>
      </c>
      <c r="X1216" s="51" t="n">
        <v>0</v>
      </c>
      <c r="Y1216" s="51" t="n">
        <v>0</v>
      </c>
      <c r="Z1216" s="51" t="n">
        <v>0</v>
      </c>
      <c r="AA1216" s="52" t="n">
        <v>0</v>
      </c>
      <c r="AB1216" s="52" t="n">
        <v>0</v>
      </c>
      <c r="AC1216" s="52" t="n">
        <v>0</v>
      </c>
      <c r="AD1216" s="52" t="n">
        <v>0</v>
      </c>
      <c r="AE1216" s="52" t="n">
        <v>0</v>
      </c>
      <c r="AF1216" s="52" t="n">
        <v>0</v>
      </c>
      <c r="AG1216" s="52" t="n">
        <v>0</v>
      </c>
      <c r="AH1216" s="52" t="n">
        <v>0</v>
      </c>
      <c r="AI1216" s="52" t="n">
        <v>0</v>
      </c>
      <c r="AJ1216" s="52" t="n">
        <v>0</v>
      </c>
      <c r="AK1216" s="52" t="n">
        <v>0</v>
      </c>
      <c r="AL1216" s="52" t="n">
        <v>0</v>
      </c>
      <c r="AM1216" s="53" t="n">
        <v>0</v>
      </c>
      <c r="AN1216" s="53" t="n">
        <v>0</v>
      </c>
      <c r="AO1216" s="53" t="n">
        <v>0</v>
      </c>
      <c r="AP1216" s="53" t="n">
        <v>0</v>
      </c>
      <c r="AQ1216" s="52" t="n">
        <v>0</v>
      </c>
      <c r="AR1216" s="52" t="n">
        <v>0</v>
      </c>
      <c r="AS1216" s="52" t="n">
        <v>0</v>
      </c>
      <c r="AT1216" s="52" t="n">
        <v>0</v>
      </c>
      <c r="AU1216" s="53" t="n">
        <v>0</v>
      </c>
      <c r="AV1216" s="53" t="n">
        <v>0</v>
      </c>
      <c r="AW1216" s="53" t="n">
        <v>0</v>
      </c>
      <c r="AX1216" s="53" t="n">
        <v>0</v>
      </c>
      <c r="AY1216" s="52" t="n">
        <v>0</v>
      </c>
      <c r="AZ1216" s="52" t="n">
        <v>0</v>
      </c>
      <c r="BA1216" s="52" t="n">
        <v>0</v>
      </c>
      <c r="BB1216" s="52" t="n">
        <v>0</v>
      </c>
      <c r="BC1216" s="51" t="n">
        <v>0</v>
      </c>
      <c r="BD1216" s="51" t="n">
        <v>0</v>
      </c>
      <c r="BE1216" s="51" t="n">
        <v>0</v>
      </c>
      <c r="BF1216" s="51" t="n">
        <v>0</v>
      </c>
    </row>
    <row r="1217">
      <c r="A1217">
        <f>HYPERLINK("https://www.walmart.com/ip/815187851", "815187851")</f>
        <v/>
      </c>
      <c r="B1217" t="inlineStr">
        <is>
          <t>Catalonia Twin Size Quilt Set, Lightweight Bedspread for Summer and Spring, 2 Pieces Bedding Coverlet, 1 Quilt and 1 Pillow Sham, Blue Wave Pattern, 68'' x 90''</t>
        </is>
      </c>
      <c r="C1217" t="inlineStr">
        <is>
          <t>1CTBQ201TW-BLWT</t>
        </is>
      </c>
      <c r="D1217" t="inlineStr">
        <is>
          <t>Quilts</t>
        </is>
      </c>
      <c r="E1217" t="inlineStr">
        <is>
          <t>Catalonia</t>
        </is>
      </c>
      <c r="F1217" t="inlineStr">
        <is>
          <t>Optimized,WFS,WFS Item</t>
        </is>
      </c>
      <c r="G1217" s="48" t="n">
        <v>0</v>
      </c>
      <c r="H1217" s="48" t="n">
        <v>0</v>
      </c>
      <c r="I1217" s="48" t="n">
        <v>0</v>
      </c>
      <c r="J1217" s="48" t="n">
        <v>0</v>
      </c>
      <c r="K1217" s="49" t="n">
        <v>0</v>
      </c>
      <c r="L1217" s="49" t="n">
        <v>0</v>
      </c>
      <c r="M1217" s="49" t="n">
        <v>0</v>
      </c>
      <c r="N1217" s="49" t="n">
        <v>0</v>
      </c>
      <c r="O1217" s="49" t="n">
        <v>0</v>
      </c>
      <c r="P1217" s="49" t="n">
        <v>4</v>
      </c>
      <c r="Q1217" s="49" t="n">
        <v>3</v>
      </c>
      <c r="R1217" s="49" t="n">
        <v>0</v>
      </c>
      <c r="S1217" s="50" t="n">
        <v>0</v>
      </c>
      <c r="T1217" s="50" t="n">
        <v>0</v>
      </c>
      <c r="U1217" s="50" t="n">
        <v>0</v>
      </c>
      <c r="V1217" s="50" t="n">
        <v>0</v>
      </c>
      <c r="W1217" s="51" t="n">
        <v>0</v>
      </c>
      <c r="X1217" s="51" t="n">
        <v>0</v>
      </c>
      <c r="Y1217" s="51" t="n">
        <v>0</v>
      </c>
      <c r="Z1217" s="51" t="n">
        <v>0</v>
      </c>
      <c r="AA1217" s="52" t="n">
        <v>0</v>
      </c>
      <c r="AB1217" s="52" t="n">
        <v>0</v>
      </c>
      <c r="AC1217" s="52" t="n">
        <v>0</v>
      </c>
      <c r="AD1217" s="52" t="n">
        <v>0</v>
      </c>
      <c r="AE1217" s="52" t="n">
        <v>0</v>
      </c>
      <c r="AF1217" s="52" t="n">
        <v>0</v>
      </c>
      <c r="AG1217" s="52" t="n">
        <v>0</v>
      </c>
      <c r="AH1217" s="52" t="n">
        <v>0</v>
      </c>
      <c r="AI1217" s="52" t="n">
        <v>0</v>
      </c>
      <c r="AJ1217" s="52" t="n">
        <v>0</v>
      </c>
      <c r="AK1217" s="52" t="n">
        <v>0</v>
      </c>
      <c r="AL1217" s="52" t="n">
        <v>0</v>
      </c>
      <c r="AM1217" s="53" t="n">
        <v>0</v>
      </c>
      <c r="AN1217" s="53" t="n">
        <v>0</v>
      </c>
      <c r="AO1217" s="53" t="n">
        <v>0</v>
      </c>
      <c r="AP1217" s="53" t="n">
        <v>0</v>
      </c>
      <c r="AQ1217" s="52" t="n">
        <v>0</v>
      </c>
      <c r="AR1217" s="52" t="n">
        <v>0</v>
      </c>
      <c r="AS1217" s="52" t="n">
        <v>0</v>
      </c>
      <c r="AT1217" s="52" t="n">
        <v>0</v>
      </c>
      <c r="AU1217" s="53" t="n">
        <v>0</v>
      </c>
      <c r="AV1217" s="53" t="n">
        <v>0</v>
      </c>
      <c r="AW1217" s="53" t="n">
        <v>0</v>
      </c>
      <c r="AX1217" s="53" t="n">
        <v>0</v>
      </c>
      <c r="AY1217" s="52" t="n">
        <v>0</v>
      </c>
      <c r="AZ1217" s="52" t="n">
        <v>0</v>
      </c>
      <c r="BA1217" s="52" t="n">
        <v>0</v>
      </c>
      <c r="BB1217" s="52" t="n">
        <v>0</v>
      </c>
      <c r="BC1217" s="51" t="n">
        <v>0</v>
      </c>
      <c r="BD1217" s="51" t="n">
        <v>0</v>
      </c>
      <c r="BE1217" s="51" t="n">
        <v>0</v>
      </c>
      <c r="BF1217" s="51" t="n">
        <v>0</v>
      </c>
    </row>
    <row r="1218">
      <c r="A1218">
        <f>HYPERLINK("https://www.walmart.com/ip/815244005", "815244005")</f>
        <v/>
      </c>
      <c r="B1218" t="inlineStr">
        <is>
          <t>American Flag Sun Cap Patriotic Sports Baseball Tennis Golf Dad Hats for Men Women by Solaris</t>
        </is>
      </c>
      <c r="C1218" t="inlineStr">
        <is>
          <t>1SLBC120NV</t>
        </is>
      </c>
      <c r="D1218" t="inlineStr">
        <is>
          <t>Golf Hats</t>
        </is>
      </c>
      <c r="E1218" t="inlineStr">
        <is>
          <t>Solaris</t>
        </is>
      </c>
      <c r="F1218" t="inlineStr">
        <is>
          <t>Optimized</t>
        </is>
      </c>
      <c r="G1218" s="48" t="n">
        <v>0</v>
      </c>
      <c r="H1218" s="48" t="n">
        <v>0</v>
      </c>
      <c r="I1218" s="48" t="n">
        <v>0</v>
      </c>
      <c r="J1218" s="48" t="n">
        <v>0</v>
      </c>
      <c r="K1218" s="49" t="n">
        <v>0</v>
      </c>
      <c r="L1218" s="49" t="n">
        <v>0</v>
      </c>
      <c r="M1218" s="49" t="n">
        <v>0</v>
      </c>
      <c r="N1218" s="49" t="n">
        <v>0</v>
      </c>
      <c r="O1218" s="49" t="n">
        <v>0</v>
      </c>
      <c r="P1218" s="49" t="n">
        <v>0</v>
      </c>
      <c r="Q1218" s="49" t="n">
        <v>0</v>
      </c>
      <c r="R1218" s="49" t="n">
        <v>0</v>
      </c>
      <c r="S1218" s="50" t="n">
        <v>0</v>
      </c>
      <c r="T1218" s="50" t="n">
        <v>0</v>
      </c>
      <c r="U1218" s="50" t="n">
        <v>0</v>
      </c>
      <c r="V1218" s="50" t="n">
        <v>0</v>
      </c>
      <c r="W1218" s="51" t="n">
        <v>0</v>
      </c>
      <c r="X1218" s="51" t="n">
        <v>0</v>
      </c>
      <c r="Y1218" s="51" t="n">
        <v>0</v>
      </c>
      <c r="Z1218" s="51" t="n">
        <v>0</v>
      </c>
      <c r="AA1218" s="52" t="n">
        <v>0</v>
      </c>
      <c r="AB1218" s="52" t="n">
        <v>0</v>
      </c>
      <c r="AC1218" s="52" t="n">
        <v>0</v>
      </c>
      <c r="AD1218" s="52" t="n">
        <v>0</v>
      </c>
      <c r="AE1218" s="52" t="n">
        <v>0</v>
      </c>
      <c r="AF1218" s="52" t="n">
        <v>0</v>
      </c>
      <c r="AG1218" s="52" t="n">
        <v>0</v>
      </c>
      <c r="AH1218" s="52" t="n">
        <v>0</v>
      </c>
      <c r="AI1218" s="52" t="n">
        <v>0</v>
      </c>
      <c r="AJ1218" s="52" t="n">
        <v>0</v>
      </c>
      <c r="AK1218" s="52" t="n">
        <v>0</v>
      </c>
      <c r="AL1218" s="52" t="n">
        <v>0</v>
      </c>
      <c r="AM1218" s="53" t="n">
        <v>0</v>
      </c>
      <c r="AN1218" s="53" t="n">
        <v>0</v>
      </c>
      <c r="AO1218" s="53" t="n">
        <v>0</v>
      </c>
      <c r="AP1218" s="53" t="n">
        <v>0</v>
      </c>
      <c r="AQ1218" s="52" t="n">
        <v>0</v>
      </c>
      <c r="AR1218" s="52" t="n">
        <v>0</v>
      </c>
      <c r="AS1218" s="52" t="n">
        <v>0</v>
      </c>
      <c r="AT1218" s="52" t="n">
        <v>0</v>
      </c>
      <c r="AU1218" s="53" t="n">
        <v>0</v>
      </c>
      <c r="AV1218" s="53" t="n">
        <v>0</v>
      </c>
      <c r="AW1218" s="53" t="n">
        <v>0</v>
      </c>
      <c r="AX1218" s="53" t="n">
        <v>0</v>
      </c>
      <c r="AY1218" s="52" t="n">
        <v>0</v>
      </c>
      <c r="AZ1218" s="52" t="n">
        <v>0</v>
      </c>
      <c r="BA1218" s="52" t="n">
        <v>0</v>
      </c>
      <c r="BB1218" s="52" t="n">
        <v>0</v>
      </c>
      <c r="BC1218" s="51" t="n">
        <v>0</v>
      </c>
      <c r="BD1218" s="51" t="n">
        <v>0</v>
      </c>
      <c r="BE1218" s="51" t="n">
        <v>0</v>
      </c>
      <c r="BF1218" s="51" t="n">
        <v>0</v>
      </c>
    </row>
    <row r="1219">
      <c r="A1219">
        <f>HYPERLINK("https://www.walmart.com/ip/815484125", "815484125")</f>
        <v/>
      </c>
      <c r="B1219" t="inlineStr">
        <is>
          <t>Unisex Fishing Hat with Foldable Neck Flap Cover Wide Brim Sun UV Protection Hiking Safari Bucket Cap for Bug Free (Khaki)</t>
        </is>
      </c>
      <c r="C1219" t="inlineStr">
        <is>
          <t>1SLSH060KK</t>
        </is>
      </c>
      <c r="D1219" t="inlineStr">
        <is>
          <t>Hats</t>
        </is>
      </c>
      <c r="E1219" t="inlineStr">
        <is>
          <t>Solaris</t>
        </is>
      </c>
      <c r="F1219" t="inlineStr">
        <is>
          <t>Hats,Batch 1 - TR</t>
        </is>
      </c>
      <c r="G1219" s="48" t="n">
        <v>0</v>
      </c>
      <c r="H1219" s="48" t="n">
        <v>0</v>
      </c>
      <c r="I1219" s="48" t="n">
        <v>0</v>
      </c>
      <c r="J1219" s="48" t="n">
        <v>0</v>
      </c>
      <c r="K1219" s="49" t="n">
        <v>0</v>
      </c>
      <c r="L1219" s="49" t="n">
        <v>0</v>
      </c>
      <c r="M1219" s="49" t="n">
        <v>0</v>
      </c>
      <c r="N1219" s="49" t="n">
        <v>0</v>
      </c>
      <c r="O1219" s="49" t="n">
        <v>0</v>
      </c>
      <c r="P1219" s="49" t="n">
        <v>0</v>
      </c>
      <c r="Q1219" s="49" t="n">
        <v>0</v>
      </c>
      <c r="R1219" s="49" t="n">
        <v>0</v>
      </c>
      <c r="S1219" s="50" t="n">
        <v>0</v>
      </c>
      <c r="T1219" s="50" t="n">
        <v>0</v>
      </c>
      <c r="U1219" s="50" t="n">
        <v>0</v>
      </c>
      <c r="V1219" s="50" t="n">
        <v>0</v>
      </c>
      <c r="W1219" s="51" t="n">
        <v>0</v>
      </c>
      <c r="X1219" s="51" t="n">
        <v>0</v>
      </c>
      <c r="Y1219" s="51" t="n">
        <v>0</v>
      </c>
      <c r="Z1219" s="51" t="n">
        <v>0</v>
      </c>
      <c r="AA1219" s="52" t="n">
        <v>0</v>
      </c>
      <c r="AB1219" s="52" t="n">
        <v>0</v>
      </c>
      <c r="AC1219" s="52" t="n">
        <v>0</v>
      </c>
      <c r="AD1219" s="52" t="n">
        <v>0</v>
      </c>
      <c r="AE1219" s="52" t="n">
        <v>0</v>
      </c>
      <c r="AF1219" s="52" t="n">
        <v>0</v>
      </c>
      <c r="AG1219" s="52" t="n">
        <v>0</v>
      </c>
      <c r="AH1219" s="52" t="n">
        <v>0</v>
      </c>
      <c r="AI1219" s="52" t="n">
        <v>0</v>
      </c>
      <c r="AJ1219" s="52" t="n">
        <v>0</v>
      </c>
      <c r="AK1219" s="52" t="n">
        <v>0</v>
      </c>
      <c r="AL1219" s="52" t="n">
        <v>0</v>
      </c>
      <c r="AM1219" s="53" t="n">
        <v>0</v>
      </c>
      <c r="AN1219" s="53" t="n">
        <v>0</v>
      </c>
      <c r="AO1219" s="53" t="n">
        <v>0</v>
      </c>
      <c r="AP1219" s="53" t="n">
        <v>0</v>
      </c>
      <c r="AQ1219" s="52" t="n">
        <v>0</v>
      </c>
      <c r="AR1219" s="52" t="n">
        <v>0</v>
      </c>
      <c r="AS1219" s="52" t="n">
        <v>0</v>
      </c>
      <c r="AT1219" s="52" t="n">
        <v>0</v>
      </c>
      <c r="AU1219" s="53" t="n">
        <v>0</v>
      </c>
      <c r="AV1219" s="53" t="n">
        <v>0</v>
      </c>
      <c r="AW1219" s="53" t="n">
        <v>0</v>
      </c>
      <c r="AX1219" s="53" t="n">
        <v>0</v>
      </c>
      <c r="AY1219" s="52" t="n">
        <v>0</v>
      </c>
      <c r="AZ1219" s="52" t="n">
        <v>0</v>
      </c>
      <c r="BA1219" s="52" t="n">
        <v>0</v>
      </c>
      <c r="BB1219" s="52" t="n">
        <v>0</v>
      </c>
      <c r="BC1219" s="51" t="n">
        <v>0</v>
      </c>
      <c r="BD1219" s="51" t="n">
        <v>0</v>
      </c>
      <c r="BE1219" s="51" t="n">
        <v>0</v>
      </c>
      <c r="BF1219" s="51" t="n">
        <v>0</v>
      </c>
    </row>
    <row r="1220">
      <c r="A1220">
        <f>HYPERLINK("https://www.walmart.com/ip/815510126", "815510126")</f>
        <v/>
      </c>
      <c r="B1220" t="inlineStr">
        <is>
          <t>Fleece Blanket Wearable with Sleeves &amp; Foot pockets for Men and Women, Micro Plush Wrap Sleeved Throw Blanket Robe Multi-Colors 75”x53” by Catalonia</t>
        </is>
      </c>
      <c r="C1220" t="inlineStr">
        <is>
          <t>1CTSN101GY</t>
        </is>
      </c>
      <c r="D1220" t="inlineStr">
        <is>
          <t>Throws</t>
        </is>
      </c>
      <c r="E1220" t="inlineStr">
        <is>
          <t>Catalonia</t>
        </is>
      </c>
      <c r="F1220" t="inlineStr">
        <is>
          <t>WFS,Coupon_Discount,WFS Item,Fleece Blankets</t>
        </is>
      </c>
      <c r="G1220" s="48" t="n">
        <v>0</v>
      </c>
      <c r="H1220" s="48" t="n">
        <v>0</v>
      </c>
      <c r="I1220" s="48" t="n">
        <v>0</v>
      </c>
      <c r="J1220" s="48" t="n">
        <v>0</v>
      </c>
      <c r="K1220" s="49" t="n">
        <v>0</v>
      </c>
      <c r="L1220" s="49" t="n">
        <v>0</v>
      </c>
      <c r="M1220" s="49" t="n">
        <v>0</v>
      </c>
      <c r="N1220" s="49" t="n">
        <v>0</v>
      </c>
      <c r="O1220" s="49" t="n">
        <v>0</v>
      </c>
      <c r="P1220" s="49" t="n">
        <v>0</v>
      </c>
      <c r="Q1220" s="49" t="n">
        <v>0</v>
      </c>
      <c r="R1220" s="49" t="n">
        <v>0</v>
      </c>
      <c r="S1220" s="50" t="n">
        <v>0</v>
      </c>
      <c r="T1220" s="50" t="n">
        <v>0</v>
      </c>
      <c r="U1220" s="50" t="n">
        <v>0</v>
      </c>
      <c r="V1220" s="50" t="n">
        <v>0</v>
      </c>
      <c r="W1220" s="51" t="n">
        <v>0</v>
      </c>
      <c r="X1220" s="51" t="n">
        <v>0</v>
      </c>
      <c r="Y1220" s="51" t="n">
        <v>0</v>
      </c>
      <c r="Z1220" s="51" t="n">
        <v>0</v>
      </c>
      <c r="AA1220" s="52" t="n">
        <v>0</v>
      </c>
      <c r="AB1220" s="52" t="n">
        <v>0</v>
      </c>
      <c r="AC1220" s="52" t="n">
        <v>0</v>
      </c>
      <c r="AD1220" s="52" t="n">
        <v>0</v>
      </c>
      <c r="AE1220" s="52" t="n">
        <v>0</v>
      </c>
      <c r="AF1220" s="52" t="n">
        <v>0</v>
      </c>
      <c r="AG1220" s="52" t="n">
        <v>0</v>
      </c>
      <c r="AH1220" s="52" t="n">
        <v>0</v>
      </c>
      <c r="AI1220" s="52" t="n">
        <v>0</v>
      </c>
      <c r="AJ1220" s="52" t="n">
        <v>0</v>
      </c>
      <c r="AK1220" s="52" t="n">
        <v>0</v>
      </c>
      <c r="AL1220" s="52" t="n">
        <v>0</v>
      </c>
      <c r="AM1220" s="53" t="n">
        <v>0</v>
      </c>
      <c r="AN1220" s="53" t="n">
        <v>0</v>
      </c>
      <c r="AO1220" s="53" t="n">
        <v>0</v>
      </c>
      <c r="AP1220" s="53" t="n">
        <v>0</v>
      </c>
      <c r="AQ1220" s="52" t="n">
        <v>0</v>
      </c>
      <c r="AR1220" s="52" t="n">
        <v>0</v>
      </c>
      <c r="AS1220" s="52" t="n">
        <v>0</v>
      </c>
      <c r="AT1220" s="52" t="n">
        <v>0</v>
      </c>
      <c r="AU1220" s="53" t="n">
        <v>0</v>
      </c>
      <c r="AV1220" s="53" t="n">
        <v>0</v>
      </c>
      <c r="AW1220" s="53" t="n">
        <v>0</v>
      </c>
      <c r="AX1220" s="53" t="n">
        <v>0</v>
      </c>
      <c r="AY1220" s="52" t="n">
        <v>0</v>
      </c>
      <c r="AZ1220" s="52" t="n">
        <v>0</v>
      </c>
      <c r="BA1220" s="52" t="n">
        <v>0</v>
      </c>
      <c r="BB1220" s="52" t="n">
        <v>0</v>
      </c>
      <c r="BC1220" s="51" t="n">
        <v>0</v>
      </c>
      <c r="BD1220" s="51" t="n">
        <v>0</v>
      </c>
      <c r="BE1220" s="51" t="n">
        <v>0</v>
      </c>
      <c r="BF1220" s="51" t="n">
        <v>0</v>
      </c>
    </row>
    <row r="1221">
      <c r="A1221">
        <f>HYPERLINK("https://www.walmart.com/ip/815916743", "815916743")</f>
        <v/>
      </c>
      <c r="B1221" t="inlineStr">
        <is>
          <t>Kato Wine Bottle Opener Set 5 Pcs – Corkscrew, Stopper, Aerator Pourer, Foil Cutter, Sliver Glass Paint Marker With Free</t>
        </is>
      </c>
      <c r="C1221" t="inlineStr">
        <is>
          <t>1KTWO51SLBK</t>
        </is>
      </c>
      <c r="D1221" t="inlineStr">
        <is>
          <t>Barware Sets</t>
        </is>
      </c>
      <c r="E1221" t="inlineStr">
        <is>
          <t>Kato</t>
        </is>
      </c>
      <c r="F1221" t="inlineStr">
        <is>
          <t>Wine,Christmas,WFS,Valentine,WFS Item</t>
        </is>
      </c>
      <c r="G1221" s="48" t="n">
        <v>0</v>
      </c>
      <c r="H1221" s="48" t="n">
        <v>0</v>
      </c>
      <c r="I1221" s="48" t="n">
        <v>0</v>
      </c>
      <c r="J1221" s="48" t="n">
        <v>0</v>
      </c>
      <c r="K1221" s="49" t="n">
        <v>0</v>
      </c>
      <c r="L1221" s="49" t="n">
        <v>0</v>
      </c>
      <c r="M1221" s="49" t="n">
        <v>0</v>
      </c>
      <c r="N1221" s="49" t="n">
        <v>0</v>
      </c>
      <c r="O1221" s="49" t="n">
        <v>0</v>
      </c>
      <c r="P1221" s="49" t="n">
        <v>0</v>
      </c>
      <c r="Q1221" s="49" t="n">
        <v>0</v>
      </c>
      <c r="R1221" s="49" t="n">
        <v>0</v>
      </c>
      <c r="S1221" s="50" t="n">
        <v>0</v>
      </c>
      <c r="T1221" s="50" t="n">
        <v>0</v>
      </c>
      <c r="U1221" s="50" t="n">
        <v>0</v>
      </c>
      <c r="V1221" s="50" t="n">
        <v>0</v>
      </c>
      <c r="W1221" s="51" t="n">
        <v>0</v>
      </c>
      <c r="X1221" s="51" t="n">
        <v>0</v>
      </c>
      <c r="Y1221" s="51" t="n">
        <v>0</v>
      </c>
      <c r="Z1221" s="51" t="n">
        <v>0</v>
      </c>
      <c r="AA1221" s="52" t="n">
        <v>0</v>
      </c>
      <c r="AB1221" s="52" t="n">
        <v>0</v>
      </c>
      <c r="AC1221" s="52" t="n">
        <v>0</v>
      </c>
      <c r="AD1221" s="52" t="n">
        <v>0</v>
      </c>
      <c r="AE1221" s="52" t="n">
        <v>0</v>
      </c>
      <c r="AF1221" s="52" t="n">
        <v>0</v>
      </c>
      <c r="AG1221" s="52" t="n">
        <v>0</v>
      </c>
      <c r="AH1221" s="52" t="n">
        <v>0</v>
      </c>
      <c r="AI1221" s="52" t="n">
        <v>0</v>
      </c>
      <c r="AJ1221" s="52" t="n">
        <v>0</v>
      </c>
      <c r="AK1221" s="52" t="n">
        <v>0</v>
      </c>
      <c r="AL1221" s="52" t="n">
        <v>0</v>
      </c>
      <c r="AM1221" s="53" t="n">
        <v>0</v>
      </c>
      <c r="AN1221" s="53" t="n">
        <v>0</v>
      </c>
      <c r="AO1221" s="53" t="n">
        <v>0</v>
      </c>
      <c r="AP1221" s="53" t="n">
        <v>0</v>
      </c>
      <c r="AQ1221" s="52" t="n">
        <v>0</v>
      </c>
      <c r="AR1221" s="52" t="n">
        <v>0</v>
      </c>
      <c r="AS1221" s="52" t="n">
        <v>0</v>
      </c>
      <c r="AT1221" s="52" t="n">
        <v>0</v>
      </c>
      <c r="AU1221" s="53" t="n">
        <v>0</v>
      </c>
      <c r="AV1221" s="53" t="n">
        <v>0</v>
      </c>
      <c r="AW1221" s="53" t="n">
        <v>0</v>
      </c>
      <c r="AX1221" s="53" t="n">
        <v>0</v>
      </c>
      <c r="AY1221" s="52" t="n">
        <v>0</v>
      </c>
      <c r="AZ1221" s="52" t="n">
        <v>0</v>
      </c>
      <c r="BA1221" s="52" t="n">
        <v>0</v>
      </c>
      <c r="BB1221" s="52" t="n">
        <v>0</v>
      </c>
      <c r="BC1221" s="51" t="n">
        <v>0</v>
      </c>
      <c r="BD1221" s="51" t="n">
        <v>0</v>
      </c>
      <c r="BE1221" s="51" t="n">
        <v>0</v>
      </c>
      <c r="BF1221" s="51" t="n">
        <v>0</v>
      </c>
    </row>
    <row r="1222">
      <c r="A1222">
        <f>HYPERLINK("https://www.walmart.com/ip/8164251345", "8164251345")</f>
        <v/>
      </c>
      <c r="B1222" t="inlineStr">
        <is>
          <t>Tirrinia Wearable Throws Blanket Poncho, Cloak with Hood, Poncho Capes, Women, 1.68 lb, 67" x 43"</t>
        </is>
      </c>
      <c r="C1222" t="inlineStr">
        <is>
          <t>1TRBC101PKBARK</t>
        </is>
      </c>
      <c r="D1222" t="inlineStr">
        <is>
          <t>Throws</t>
        </is>
      </c>
      <c r="E1222" t="inlineStr">
        <is>
          <t>Tirrinia</t>
        </is>
      </c>
      <c r="G1222" s="48" t="n">
        <v>0</v>
      </c>
      <c r="H1222" s="48" t="n">
        <v>0</v>
      </c>
      <c r="I1222" s="48" t="n">
        <v>0</v>
      </c>
      <c r="J1222" s="48" t="n">
        <v>0</v>
      </c>
      <c r="K1222" s="49" t="n">
        <v>0</v>
      </c>
      <c r="L1222" s="49" t="n">
        <v>0</v>
      </c>
      <c r="M1222" s="49" t="n">
        <v>0</v>
      </c>
      <c r="N1222" s="49" t="n">
        <v>0</v>
      </c>
      <c r="O1222" s="49" t="n">
        <v>0</v>
      </c>
      <c r="P1222" s="49" t="n">
        <v>0</v>
      </c>
      <c r="Q1222" s="49" t="n">
        <v>0</v>
      </c>
      <c r="R1222" s="49" t="n">
        <v>0</v>
      </c>
      <c r="S1222" s="50" t="n">
        <v>0</v>
      </c>
      <c r="T1222" s="50" t="n">
        <v>0</v>
      </c>
      <c r="U1222" s="50" t="n">
        <v>0</v>
      </c>
      <c r="V1222" s="50" t="n">
        <v>0</v>
      </c>
      <c r="W1222" s="51" t="n">
        <v>0</v>
      </c>
      <c r="X1222" s="51" t="n">
        <v>0</v>
      </c>
      <c r="Y1222" s="51" t="n">
        <v>0</v>
      </c>
      <c r="Z1222" s="51" t="n">
        <v>0</v>
      </c>
      <c r="AA1222" s="52" t="n">
        <v>0</v>
      </c>
      <c r="AB1222" s="52" t="n">
        <v>0</v>
      </c>
      <c r="AC1222" s="52" t="n">
        <v>0</v>
      </c>
      <c r="AD1222" s="52" t="n">
        <v>0</v>
      </c>
      <c r="AE1222" s="52" t="n">
        <v>0</v>
      </c>
      <c r="AF1222" s="52" t="n">
        <v>0</v>
      </c>
      <c r="AG1222" s="52" t="n">
        <v>0</v>
      </c>
      <c r="AH1222" s="52" t="n">
        <v>0</v>
      </c>
      <c r="AI1222" s="52" t="n">
        <v>0</v>
      </c>
      <c r="AJ1222" s="52" t="n">
        <v>0</v>
      </c>
      <c r="AK1222" s="52" t="n">
        <v>0</v>
      </c>
      <c r="AL1222" s="52" t="n">
        <v>0</v>
      </c>
      <c r="AM1222" s="53" t="n">
        <v>0</v>
      </c>
      <c r="AN1222" s="53" t="n">
        <v>0</v>
      </c>
      <c r="AO1222" s="53" t="n">
        <v>0</v>
      </c>
      <c r="AP1222" s="53" t="n">
        <v>0</v>
      </c>
      <c r="AQ1222" s="52" t="n">
        <v>0</v>
      </c>
      <c r="AR1222" s="52" t="n">
        <v>0</v>
      </c>
      <c r="AS1222" s="52" t="n">
        <v>0</v>
      </c>
      <c r="AT1222" s="52" t="n">
        <v>0</v>
      </c>
      <c r="AU1222" s="53" t="n">
        <v>0</v>
      </c>
      <c r="AV1222" s="53" t="n">
        <v>0</v>
      </c>
      <c r="AW1222" s="53" t="n">
        <v>0</v>
      </c>
      <c r="AX1222" s="53" t="n">
        <v>0</v>
      </c>
      <c r="AY1222" s="52" t="n">
        <v>0</v>
      </c>
      <c r="AZ1222" s="52" t="n">
        <v>0</v>
      </c>
      <c r="BA1222" s="52" t="n">
        <v>0</v>
      </c>
      <c r="BB1222" s="52" t="n">
        <v>0</v>
      </c>
      <c r="BC1222" s="51" t="n">
        <v>0</v>
      </c>
      <c r="BD1222" s="51" t="n">
        <v>0</v>
      </c>
      <c r="BE1222" s="51" t="n">
        <v>0</v>
      </c>
      <c r="BF1222" s="51" t="n">
        <v>0</v>
      </c>
    </row>
    <row r="1223">
      <c r="A1223">
        <f>HYPERLINK("https://www.walmart.com/ip/8165519155", "8165519155")</f>
        <v/>
      </c>
      <c r="B1223" t="inlineStr">
        <is>
          <t>Tirrinia Wearable Throws Blanket Poncho, Cloak with Hood, Poncho Capes for Women, 1.68 lb</t>
        </is>
      </c>
      <c r="C1223" t="inlineStr">
        <is>
          <t>1TRBC101PPBARK</t>
        </is>
      </c>
      <c r="D1223" t="inlineStr">
        <is>
          <t>Throws</t>
        </is>
      </c>
      <c r="E1223" t="inlineStr">
        <is>
          <t>Tirrinia</t>
        </is>
      </c>
      <c r="G1223" s="48" t="n">
        <v>0</v>
      </c>
      <c r="H1223" s="48" t="n">
        <v>0</v>
      </c>
      <c r="I1223" s="48" t="n">
        <v>0</v>
      </c>
      <c r="J1223" s="48" t="n">
        <v>0</v>
      </c>
      <c r="K1223" s="49" t="n">
        <v>0</v>
      </c>
      <c r="L1223" s="49" t="n">
        <v>0</v>
      </c>
      <c r="M1223" s="49" t="n">
        <v>0</v>
      </c>
      <c r="N1223" s="49" t="n">
        <v>0</v>
      </c>
      <c r="O1223" s="49" t="n">
        <v>0</v>
      </c>
      <c r="P1223" s="49" t="n">
        <v>0</v>
      </c>
      <c r="Q1223" s="49" t="n">
        <v>0</v>
      </c>
      <c r="R1223" s="49" t="n">
        <v>0</v>
      </c>
      <c r="S1223" s="50" t="n">
        <v>0</v>
      </c>
      <c r="T1223" s="50" t="n">
        <v>0</v>
      </c>
      <c r="U1223" s="50" t="n">
        <v>0</v>
      </c>
      <c r="V1223" s="50" t="n">
        <v>0</v>
      </c>
      <c r="W1223" s="51" t="n">
        <v>0</v>
      </c>
      <c r="X1223" s="51" t="n">
        <v>0</v>
      </c>
      <c r="Y1223" s="51" t="n">
        <v>0</v>
      </c>
      <c r="Z1223" s="51" t="n">
        <v>0</v>
      </c>
      <c r="AA1223" s="52" t="n">
        <v>0</v>
      </c>
      <c r="AB1223" s="52" t="n">
        <v>0</v>
      </c>
      <c r="AC1223" s="52" t="n">
        <v>0</v>
      </c>
      <c r="AD1223" s="52" t="n">
        <v>0</v>
      </c>
      <c r="AE1223" s="52" t="n">
        <v>0</v>
      </c>
      <c r="AF1223" s="52" t="n">
        <v>0</v>
      </c>
      <c r="AG1223" s="52" t="n">
        <v>0</v>
      </c>
      <c r="AH1223" s="52" t="n">
        <v>0</v>
      </c>
      <c r="AI1223" s="52" t="n">
        <v>0</v>
      </c>
      <c r="AJ1223" s="52" t="n">
        <v>0</v>
      </c>
      <c r="AK1223" s="52" t="n">
        <v>0</v>
      </c>
      <c r="AL1223" s="52" t="n">
        <v>0</v>
      </c>
      <c r="AM1223" s="53" t="n">
        <v>0</v>
      </c>
      <c r="AN1223" s="53" t="n">
        <v>0</v>
      </c>
      <c r="AO1223" s="53" t="n">
        <v>0</v>
      </c>
      <c r="AP1223" s="53" t="n">
        <v>0</v>
      </c>
      <c r="AQ1223" s="52" t="n">
        <v>0</v>
      </c>
      <c r="AR1223" s="52" t="n">
        <v>0</v>
      </c>
      <c r="AS1223" s="52" t="n">
        <v>0</v>
      </c>
      <c r="AT1223" s="52" t="n">
        <v>0</v>
      </c>
      <c r="AU1223" s="53" t="n">
        <v>0</v>
      </c>
      <c r="AV1223" s="53" t="n">
        <v>0</v>
      </c>
      <c r="AW1223" s="53" t="n">
        <v>0</v>
      </c>
      <c r="AX1223" s="53" t="n">
        <v>0</v>
      </c>
      <c r="AY1223" s="52" t="n">
        <v>0</v>
      </c>
      <c r="AZ1223" s="52" t="n">
        <v>0</v>
      </c>
      <c r="BA1223" s="52" t="n">
        <v>0</v>
      </c>
      <c r="BB1223" s="52" t="n">
        <v>0</v>
      </c>
      <c r="BC1223" s="51" t="n">
        <v>0</v>
      </c>
      <c r="BD1223" s="51" t="n">
        <v>0</v>
      </c>
      <c r="BE1223" s="51" t="n">
        <v>0</v>
      </c>
      <c r="BF1223" s="51" t="n">
        <v>0</v>
      </c>
    </row>
    <row r="1224">
      <c r="A1224">
        <f>HYPERLINK("https://www.walmart.com/ip/816638440", "816638440")</f>
        <v/>
      </c>
      <c r="B1224" t="inlineStr">
        <is>
          <t>Ski Gloves for Women &amp; Men 3M Winter Snow Gloves Mittens Insulation Waterproof for Outdoors Sports</t>
        </is>
      </c>
      <c r="C1224" t="inlineStr">
        <is>
          <t>1SLWG100BLL</t>
        </is>
      </c>
      <c r="D1224" t="inlineStr">
        <is>
          <t>Gloves &amp; Mittens</t>
        </is>
      </c>
      <c r="E1224" t="inlineStr">
        <is>
          <t>Solaris</t>
        </is>
      </c>
      <c r="G1224" s="48" t="n">
        <v>0</v>
      </c>
      <c r="H1224" s="48" t="n">
        <v>0</v>
      </c>
      <c r="I1224" s="48" t="n">
        <v>0</v>
      </c>
      <c r="J1224" s="48" t="n">
        <v>0</v>
      </c>
      <c r="K1224" s="49" t="n">
        <v>0</v>
      </c>
      <c r="L1224" s="49" t="n">
        <v>0</v>
      </c>
      <c r="M1224" s="49" t="n">
        <v>0</v>
      </c>
      <c r="N1224" s="49" t="n">
        <v>0</v>
      </c>
      <c r="O1224" s="49" t="n">
        <v>0</v>
      </c>
      <c r="P1224" s="49" t="n">
        <v>0</v>
      </c>
      <c r="Q1224" s="49" t="n">
        <v>0</v>
      </c>
      <c r="R1224" s="49" t="n">
        <v>0</v>
      </c>
      <c r="S1224" s="50" t="n">
        <v>0</v>
      </c>
      <c r="T1224" s="50" t="n">
        <v>0</v>
      </c>
      <c r="U1224" s="50" t="n">
        <v>0</v>
      </c>
      <c r="V1224" s="50" t="n">
        <v>0</v>
      </c>
      <c r="W1224" s="51" t="n">
        <v>0</v>
      </c>
      <c r="X1224" s="51" t="n">
        <v>0</v>
      </c>
      <c r="Y1224" s="51" t="n">
        <v>0</v>
      </c>
      <c r="Z1224" s="51" t="n">
        <v>0</v>
      </c>
      <c r="AA1224" s="52" t="n">
        <v>0</v>
      </c>
      <c r="AB1224" s="52" t="n">
        <v>0</v>
      </c>
      <c r="AC1224" s="52" t="n">
        <v>0</v>
      </c>
      <c r="AD1224" s="52" t="n">
        <v>0</v>
      </c>
      <c r="AE1224" s="52" t="n">
        <v>0</v>
      </c>
      <c r="AF1224" s="52" t="n">
        <v>0</v>
      </c>
      <c r="AG1224" s="52" t="n">
        <v>0</v>
      </c>
      <c r="AH1224" s="52" t="n">
        <v>0</v>
      </c>
      <c r="AI1224" s="52" t="n">
        <v>0</v>
      </c>
      <c r="AJ1224" s="52" t="n">
        <v>0</v>
      </c>
      <c r="AK1224" s="52" t="n">
        <v>0</v>
      </c>
      <c r="AL1224" s="52" t="n">
        <v>0</v>
      </c>
      <c r="AM1224" s="53" t="n">
        <v>0</v>
      </c>
      <c r="AN1224" s="53" t="n">
        <v>0</v>
      </c>
      <c r="AO1224" s="53" t="n">
        <v>0</v>
      </c>
      <c r="AP1224" s="53" t="n">
        <v>0</v>
      </c>
      <c r="AQ1224" s="52" t="n">
        <v>0</v>
      </c>
      <c r="AR1224" s="52" t="n">
        <v>0</v>
      </c>
      <c r="AS1224" s="52" t="n">
        <v>0</v>
      </c>
      <c r="AT1224" s="52" t="n">
        <v>0</v>
      </c>
      <c r="AU1224" s="53" t="n">
        <v>0</v>
      </c>
      <c r="AV1224" s="53" t="n">
        <v>0</v>
      </c>
      <c r="AW1224" s="53" t="n">
        <v>0</v>
      </c>
      <c r="AX1224" s="53" t="n">
        <v>0</v>
      </c>
      <c r="AY1224" s="52" t="n">
        <v>0</v>
      </c>
      <c r="AZ1224" s="52" t="n">
        <v>0</v>
      </c>
      <c r="BA1224" s="52" t="n">
        <v>0</v>
      </c>
      <c r="BB1224" s="52" t="n">
        <v>0</v>
      </c>
      <c r="BC1224" s="51" t="n">
        <v>0</v>
      </c>
      <c r="BD1224" s="51" t="n">
        <v>0</v>
      </c>
      <c r="BE1224" s="51" t="n">
        <v>0</v>
      </c>
      <c r="BF1224" s="51" t="n">
        <v>0</v>
      </c>
    </row>
    <row r="1225">
      <c r="A1225">
        <f>HYPERLINK("https://www.walmart.com/ip/8166813267", "8166813267")</f>
        <v/>
      </c>
      <c r="B1225" t="inlineStr">
        <is>
          <t>Tirrinia Wearable Blanket Poncho, Cloak with hood, Women Mom Gift, Adult of All Ages, 1.68 lb</t>
        </is>
      </c>
      <c r="C1225" t="inlineStr">
        <is>
          <t>1TRBC101BKBARK</t>
        </is>
      </c>
      <c r="D1225" t="inlineStr">
        <is>
          <t>Throws</t>
        </is>
      </c>
      <c r="E1225" t="inlineStr">
        <is>
          <t>Tirrinia</t>
        </is>
      </c>
      <c r="G1225" s="48" t="n">
        <v>0</v>
      </c>
      <c r="H1225" s="48" t="n">
        <v>0</v>
      </c>
      <c r="I1225" s="48" t="n">
        <v>0</v>
      </c>
      <c r="J1225" s="48" t="n">
        <v>0</v>
      </c>
      <c r="K1225" s="49" t="n">
        <v>0</v>
      </c>
      <c r="L1225" s="49" t="n">
        <v>0</v>
      </c>
      <c r="M1225" s="49" t="n">
        <v>0</v>
      </c>
      <c r="N1225" s="49" t="n">
        <v>0</v>
      </c>
      <c r="O1225" s="49" t="n">
        <v>0</v>
      </c>
      <c r="P1225" s="49" t="n">
        <v>0</v>
      </c>
      <c r="Q1225" s="49" t="n">
        <v>0</v>
      </c>
      <c r="R1225" s="49" t="n">
        <v>0</v>
      </c>
      <c r="S1225" s="50" t="n">
        <v>0</v>
      </c>
      <c r="T1225" s="50" t="n">
        <v>0</v>
      </c>
      <c r="U1225" s="50" t="n">
        <v>0</v>
      </c>
      <c r="V1225" s="50" t="n">
        <v>0</v>
      </c>
      <c r="W1225" s="51" t="n">
        <v>0</v>
      </c>
      <c r="X1225" s="51" t="n">
        <v>0</v>
      </c>
      <c r="Y1225" s="51" t="n">
        <v>0</v>
      </c>
      <c r="Z1225" s="51" t="n">
        <v>0</v>
      </c>
      <c r="AA1225" s="52" t="n">
        <v>0</v>
      </c>
      <c r="AB1225" s="52" t="n">
        <v>0</v>
      </c>
      <c r="AC1225" s="52" t="n">
        <v>0</v>
      </c>
      <c r="AD1225" s="52" t="n">
        <v>0</v>
      </c>
      <c r="AE1225" s="52" t="n">
        <v>0</v>
      </c>
      <c r="AF1225" s="52" t="n">
        <v>0</v>
      </c>
      <c r="AG1225" s="52" t="n">
        <v>0</v>
      </c>
      <c r="AH1225" s="52" t="n">
        <v>0</v>
      </c>
      <c r="AI1225" s="52" t="n">
        <v>0</v>
      </c>
      <c r="AJ1225" s="52" t="n">
        <v>0</v>
      </c>
      <c r="AK1225" s="52" t="n">
        <v>0</v>
      </c>
      <c r="AL1225" s="52" t="n">
        <v>0</v>
      </c>
      <c r="AM1225" s="53" t="n">
        <v>0</v>
      </c>
      <c r="AN1225" s="53" t="n">
        <v>0</v>
      </c>
      <c r="AO1225" s="53" t="n">
        <v>0</v>
      </c>
      <c r="AP1225" s="53" t="n">
        <v>0</v>
      </c>
      <c r="AQ1225" s="52" t="n">
        <v>0</v>
      </c>
      <c r="AR1225" s="52" t="n">
        <v>0</v>
      </c>
      <c r="AS1225" s="52" t="n">
        <v>0</v>
      </c>
      <c r="AT1225" s="52" t="n">
        <v>0</v>
      </c>
      <c r="AU1225" s="53" t="n">
        <v>0</v>
      </c>
      <c r="AV1225" s="53" t="n">
        <v>0</v>
      </c>
      <c r="AW1225" s="53" t="n">
        <v>0</v>
      </c>
      <c r="AX1225" s="53" t="n">
        <v>0</v>
      </c>
      <c r="AY1225" s="52" t="n">
        <v>0</v>
      </c>
      <c r="AZ1225" s="52" t="n">
        <v>0</v>
      </c>
      <c r="BA1225" s="52" t="n">
        <v>0</v>
      </c>
      <c r="BB1225" s="52" t="n">
        <v>0</v>
      </c>
      <c r="BC1225" s="51" t="n">
        <v>0</v>
      </c>
      <c r="BD1225" s="51" t="n">
        <v>0</v>
      </c>
      <c r="BE1225" s="51" t="n">
        <v>0</v>
      </c>
      <c r="BF1225" s="51" t="n">
        <v>0</v>
      </c>
    </row>
    <row r="1226">
      <c r="A1226">
        <f>HYPERLINK("https://www.walmart.com/ip/816816275", "816816275")</f>
        <v/>
      </c>
      <c r="B1226" t="inlineStr">
        <is>
          <t>Catalonia Wine Colored Sherpa Throws Blanket,Super Soft Comfy Fuzzy Micro Plush Fleece Snuggle Blanket for TV Bed Sofa Couch Reversible Match Color All Season 50"x60"</t>
        </is>
      </c>
      <c r="C1226" t="inlineStr">
        <is>
          <t>1CTBF301RD</t>
        </is>
      </c>
      <c r="D1226" t="inlineStr">
        <is>
          <t>Throws</t>
        </is>
      </c>
      <c r="E1226" t="inlineStr">
        <is>
          <t>Catalonia</t>
        </is>
      </c>
      <c r="F1226" t="inlineStr">
        <is>
          <t>WFS,WFS Item</t>
        </is>
      </c>
      <c r="G1226" s="48" t="n">
        <v>0</v>
      </c>
      <c r="H1226" s="48" t="n">
        <v>0</v>
      </c>
      <c r="I1226" s="48" t="n">
        <v>0</v>
      </c>
      <c r="J1226" s="48" t="n">
        <v>0</v>
      </c>
      <c r="K1226" s="49" t="n">
        <v>0</v>
      </c>
      <c r="L1226" s="49" t="n">
        <v>0</v>
      </c>
      <c r="M1226" s="49" t="n">
        <v>0</v>
      </c>
      <c r="N1226" s="49" t="n">
        <v>0</v>
      </c>
      <c r="O1226" s="49" t="n">
        <v>0</v>
      </c>
      <c r="P1226" s="49" t="n">
        <v>0</v>
      </c>
      <c r="Q1226" s="49" t="n">
        <v>0</v>
      </c>
      <c r="R1226" s="49" t="n">
        <v>0</v>
      </c>
      <c r="S1226" s="50" t="n">
        <v>0</v>
      </c>
      <c r="T1226" s="50" t="n">
        <v>0</v>
      </c>
      <c r="U1226" s="50" t="n">
        <v>0</v>
      </c>
      <c r="V1226" s="50" t="n">
        <v>0</v>
      </c>
      <c r="W1226" s="51" t="n">
        <v>0</v>
      </c>
      <c r="X1226" s="51" t="n">
        <v>0</v>
      </c>
      <c r="Y1226" s="51" t="n">
        <v>0</v>
      </c>
      <c r="Z1226" s="51" t="n">
        <v>0</v>
      </c>
      <c r="AA1226" s="52" t="n">
        <v>0</v>
      </c>
      <c r="AB1226" s="52" t="n">
        <v>0</v>
      </c>
      <c r="AC1226" s="52" t="n">
        <v>0</v>
      </c>
      <c r="AD1226" s="52" t="n">
        <v>0</v>
      </c>
      <c r="AE1226" s="52" t="n">
        <v>0</v>
      </c>
      <c r="AF1226" s="52" t="n">
        <v>0</v>
      </c>
      <c r="AG1226" s="52" t="n">
        <v>0</v>
      </c>
      <c r="AH1226" s="52" t="n">
        <v>0</v>
      </c>
      <c r="AI1226" s="52" t="n">
        <v>0</v>
      </c>
      <c r="AJ1226" s="52" t="n">
        <v>0</v>
      </c>
      <c r="AK1226" s="52" t="n">
        <v>0</v>
      </c>
      <c r="AL1226" s="52" t="n">
        <v>0</v>
      </c>
      <c r="AM1226" s="53" t="n">
        <v>0</v>
      </c>
      <c r="AN1226" s="53" t="n">
        <v>0</v>
      </c>
      <c r="AO1226" s="53" t="n">
        <v>0</v>
      </c>
      <c r="AP1226" s="53" t="n">
        <v>0</v>
      </c>
      <c r="AQ1226" s="52" t="n">
        <v>0</v>
      </c>
      <c r="AR1226" s="52" t="n">
        <v>0</v>
      </c>
      <c r="AS1226" s="52" t="n">
        <v>0</v>
      </c>
      <c r="AT1226" s="52" t="n">
        <v>0</v>
      </c>
      <c r="AU1226" s="53" t="n">
        <v>0</v>
      </c>
      <c r="AV1226" s="53" t="n">
        <v>0</v>
      </c>
      <c r="AW1226" s="53" t="n">
        <v>0</v>
      </c>
      <c r="AX1226" s="53" t="n">
        <v>0</v>
      </c>
      <c r="AY1226" s="52" t="n">
        <v>0</v>
      </c>
      <c r="AZ1226" s="52" t="n">
        <v>0</v>
      </c>
      <c r="BA1226" s="52" t="n">
        <v>0</v>
      </c>
      <c r="BB1226" s="52" t="n">
        <v>0</v>
      </c>
      <c r="BC1226" s="51" t="n">
        <v>0</v>
      </c>
      <c r="BD1226" s="51" t="n">
        <v>0</v>
      </c>
      <c r="BE1226" s="51" t="n">
        <v>0</v>
      </c>
      <c r="BF1226" s="51" t="n">
        <v>0</v>
      </c>
    </row>
    <row r="1227">
      <c r="A1227">
        <f>HYPERLINK("https://www.walmart.com/ip/816832569", "816832569")</f>
        <v/>
      </c>
      <c r="B1227" t="inlineStr">
        <is>
          <t>Jennis Women's Plue Size Flower laced Sexy Babydoll</t>
        </is>
      </c>
      <c r="C1227" t="inlineStr">
        <is>
          <t>JWBD05PP-3XL</t>
        </is>
      </c>
      <c r="D1227" t="inlineStr">
        <is>
          <t>Lingerie Sets</t>
        </is>
      </c>
      <c r="E1227" t="inlineStr">
        <is>
          <t>JenniWears</t>
        </is>
      </c>
      <c r="F1227" t="inlineStr">
        <is>
          <t>Valentine</t>
        </is>
      </c>
      <c r="G1227" s="48" t="n">
        <v>0</v>
      </c>
      <c r="H1227" s="48" t="n">
        <v>0</v>
      </c>
      <c r="I1227" s="48" t="n">
        <v>0</v>
      </c>
      <c r="J1227" s="48" t="n">
        <v>0</v>
      </c>
      <c r="K1227" s="49" t="n">
        <v>0</v>
      </c>
      <c r="L1227" s="49" t="n">
        <v>0</v>
      </c>
      <c r="M1227" s="49" t="n">
        <v>0</v>
      </c>
      <c r="N1227" s="49" t="n">
        <v>0</v>
      </c>
      <c r="O1227" s="49" t="n">
        <v>0</v>
      </c>
      <c r="P1227" s="49" t="n">
        <v>0</v>
      </c>
      <c r="Q1227" s="49" t="n">
        <v>0</v>
      </c>
      <c r="R1227" s="49" t="n">
        <v>0</v>
      </c>
      <c r="S1227" s="50" t="n">
        <v>0</v>
      </c>
      <c r="T1227" s="50" t="n">
        <v>0</v>
      </c>
      <c r="U1227" s="50" t="n">
        <v>0</v>
      </c>
      <c r="V1227" s="50" t="n">
        <v>0</v>
      </c>
      <c r="W1227" s="51" t="n">
        <v>0</v>
      </c>
      <c r="X1227" s="51" t="n">
        <v>0</v>
      </c>
      <c r="Y1227" s="51" t="n">
        <v>0</v>
      </c>
      <c r="Z1227" s="51" t="n">
        <v>0</v>
      </c>
      <c r="AA1227" s="52" t="n">
        <v>0</v>
      </c>
      <c r="AB1227" s="52" t="n">
        <v>0</v>
      </c>
      <c r="AC1227" s="52" t="n">
        <v>0</v>
      </c>
      <c r="AD1227" s="52" t="n">
        <v>0</v>
      </c>
      <c r="AE1227" s="52" t="n">
        <v>0</v>
      </c>
      <c r="AF1227" s="52" t="n">
        <v>0</v>
      </c>
      <c r="AG1227" s="52" t="n">
        <v>0</v>
      </c>
      <c r="AH1227" s="52" t="n">
        <v>0</v>
      </c>
      <c r="AI1227" s="52" t="n">
        <v>0</v>
      </c>
      <c r="AJ1227" s="52" t="n">
        <v>0</v>
      </c>
      <c r="AK1227" s="52" t="n">
        <v>0</v>
      </c>
      <c r="AL1227" s="52" t="n">
        <v>0</v>
      </c>
      <c r="AM1227" s="53" t="n">
        <v>0</v>
      </c>
      <c r="AN1227" s="53" t="n">
        <v>0</v>
      </c>
      <c r="AO1227" s="53" t="n">
        <v>0</v>
      </c>
      <c r="AP1227" s="53" t="n">
        <v>0</v>
      </c>
      <c r="AQ1227" s="52" t="n">
        <v>0</v>
      </c>
      <c r="AR1227" s="52" t="n">
        <v>0</v>
      </c>
      <c r="AS1227" s="52" t="n">
        <v>0</v>
      </c>
      <c r="AT1227" s="52" t="n">
        <v>0</v>
      </c>
      <c r="AU1227" s="53" t="n">
        <v>0</v>
      </c>
      <c r="AV1227" s="53" t="n">
        <v>0</v>
      </c>
      <c r="AW1227" s="53" t="n">
        <v>0</v>
      </c>
      <c r="AX1227" s="53" t="n">
        <v>0</v>
      </c>
      <c r="AY1227" s="52" t="n">
        <v>0</v>
      </c>
      <c r="AZ1227" s="52" t="n">
        <v>0</v>
      </c>
      <c r="BA1227" s="52" t="n">
        <v>0</v>
      </c>
      <c r="BB1227" s="52" t="n">
        <v>0</v>
      </c>
      <c r="BC1227" s="51" t="n">
        <v>0</v>
      </c>
      <c r="BD1227" s="51" t="n">
        <v>0</v>
      </c>
      <c r="BE1227" s="51" t="n">
        <v>0</v>
      </c>
      <c r="BF1227" s="51" t="n">
        <v>0</v>
      </c>
    </row>
    <row r="1228">
      <c r="A1228">
        <f>HYPERLINK("https://www.walmart.com/ip/816840346", "816840346")</f>
        <v/>
      </c>
      <c r="B1228" t="inlineStr">
        <is>
          <t>Two-Piece Ladies Tankini Swimsuit for Women Swimsuits by Tirrinia</t>
        </is>
      </c>
      <c r="C1228" t="inlineStr">
        <is>
          <t>1TRSS003BL-M</t>
        </is>
      </c>
      <c r="D1228" t="inlineStr">
        <is>
          <t>Swimsuit Sets</t>
        </is>
      </c>
      <c r="E1228" t="inlineStr">
        <is>
          <t>Tirrinia</t>
        </is>
      </c>
      <c r="G1228" s="48" t="n">
        <v>0</v>
      </c>
      <c r="H1228" s="48" t="n">
        <v>0</v>
      </c>
      <c r="I1228" s="48" t="n">
        <v>0</v>
      </c>
      <c r="J1228" s="48" t="n">
        <v>0</v>
      </c>
      <c r="K1228" s="49" t="n">
        <v>0</v>
      </c>
      <c r="L1228" s="49" t="n">
        <v>0</v>
      </c>
      <c r="M1228" s="49" t="n">
        <v>0</v>
      </c>
      <c r="N1228" s="49" t="n">
        <v>0</v>
      </c>
      <c r="O1228" s="49" t="n">
        <v>0</v>
      </c>
      <c r="P1228" s="49" t="n">
        <v>0</v>
      </c>
      <c r="Q1228" s="49" t="n">
        <v>0</v>
      </c>
      <c r="R1228" s="49" t="n">
        <v>0</v>
      </c>
      <c r="S1228" s="50" t="n">
        <v>0</v>
      </c>
      <c r="T1228" s="50" t="n">
        <v>0</v>
      </c>
      <c r="U1228" s="50" t="n">
        <v>0</v>
      </c>
      <c r="V1228" s="50" t="n">
        <v>0</v>
      </c>
      <c r="W1228" s="51" t="n">
        <v>0</v>
      </c>
      <c r="X1228" s="51" t="n">
        <v>0</v>
      </c>
      <c r="Y1228" s="51" t="n">
        <v>0</v>
      </c>
      <c r="Z1228" s="51" t="n">
        <v>0</v>
      </c>
      <c r="AA1228" s="52" t="n">
        <v>0</v>
      </c>
      <c r="AB1228" s="52" t="n">
        <v>0</v>
      </c>
      <c r="AC1228" s="52" t="n">
        <v>0</v>
      </c>
      <c r="AD1228" s="52" t="n">
        <v>0</v>
      </c>
      <c r="AE1228" s="52" t="n">
        <v>0</v>
      </c>
      <c r="AF1228" s="52" t="n">
        <v>0</v>
      </c>
      <c r="AG1228" s="52" t="n">
        <v>0</v>
      </c>
      <c r="AH1228" s="52" t="n">
        <v>0</v>
      </c>
      <c r="AI1228" s="52" t="n">
        <v>0</v>
      </c>
      <c r="AJ1228" s="52" t="n">
        <v>0</v>
      </c>
      <c r="AK1228" s="52" t="n">
        <v>0</v>
      </c>
      <c r="AL1228" s="52" t="n">
        <v>0</v>
      </c>
      <c r="AM1228" s="53" t="n">
        <v>0</v>
      </c>
      <c r="AN1228" s="53" t="n">
        <v>0</v>
      </c>
      <c r="AO1228" s="53" t="n">
        <v>0</v>
      </c>
      <c r="AP1228" s="53" t="n">
        <v>0</v>
      </c>
      <c r="AQ1228" s="52" t="n">
        <v>0</v>
      </c>
      <c r="AR1228" s="52" t="n">
        <v>0</v>
      </c>
      <c r="AS1228" s="52" t="n">
        <v>0</v>
      </c>
      <c r="AT1228" s="52" t="n">
        <v>0</v>
      </c>
      <c r="AU1228" s="53" t="n">
        <v>0</v>
      </c>
      <c r="AV1228" s="53" t="n">
        <v>0</v>
      </c>
      <c r="AW1228" s="53" t="n">
        <v>0</v>
      </c>
      <c r="AX1228" s="53" t="n">
        <v>0</v>
      </c>
      <c r="AY1228" s="52" t="n">
        <v>0</v>
      </c>
      <c r="AZ1228" s="52" t="n">
        <v>0</v>
      </c>
      <c r="BA1228" s="52" t="n">
        <v>0</v>
      </c>
      <c r="BB1228" s="52" t="n">
        <v>0</v>
      </c>
      <c r="BC1228" s="51" t="n">
        <v>0</v>
      </c>
      <c r="BD1228" s="51" t="n">
        <v>0</v>
      </c>
      <c r="BE1228" s="51" t="n">
        <v>0</v>
      </c>
      <c r="BF1228" s="51" t="n">
        <v>0</v>
      </c>
    </row>
    <row r="1229">
      <c r="A1229">
        <f>HYPERLINK("https://www.walmart.com/ip/786923376", "786923376")</f>
        <v/>
      </c>
      <c r="B1229" t="inlineStr">
        <is>
          <t>Sherpa Wearable Blanket with Sleeves &amp; Foot Pockets for Adult Women Men, Comfy Snuggle Wrap Sleeved Throw Blanket Robe, Gift Idea, Brown</t>
        </is>
      </c>
      <c r="C1229" t="inlineStr">
        <is>
          <t>1CTSN310BR</t>
        </is>
      </c>
      <c r="D1229" t="inlineStr">
        <is>
          <t>Throws</t>
        </is>
      </c>
      <c r="E1229" t="inlineStr">
        <is>
          <t>Catalonia</t>
        </is>
      </c>
      <c r="F1229" t="inlineStr">
        <is>
          <t>Optimized,WFS,WFS Item</t>
        </is>
      </c>
      <c r="G1229" s="48" t="n">
        <v>0</v>
      </c>
      <c r="H1229" s="48" t="n">
        <v>0</v>
      </c>
      <c r="I1229" s="48" t="n">
        <v>0</v>
      </c>
      <c r="J1229" s="48" t="n">
        <v>0</v>
      </c>
      <c r="K1229" s="49" t="n">
        <v>0</v>
      </c>
      <c r="L1229" s="49" t="n">
        <v>0</v>
      </c>
      <c r="M1229" s="49" t="n">
        <v>0</v>
      </c>
      <c r="N1229" s="49" t="n">
        <v>0</v>
      </c>
      <c r="O1229" s="49" t="n">
        <v>0</v>
      </c>
      <c r="P1229" s="49" t="n">
        <v>0</v>
      </c>
      <c r="Q1229" s="49" t="n">
        <v>0</v>
      </c>
      <c r="R1229" s="49" t="n">
        <v>0</v>
      </c>
      <c r="S1229" s="50" t="n">
        <v>0</v>
      </c>
      <c r="T1229" s="50" t="n">
        <v>0</v>
      </c>
      <c r="U1229" s="50" t="n">
        <v>0</v>
      </c>
      <c r="V1229" s="50" t="n">
        <v>0</v>
      </c>
      <c r="W1229" s="51" t="n">
        <v>0</v>
      </c>
      <c r="X1229" s="51" t="n">
        <v>0</v>
      </c>
      <c r="Y1229" s="51" t="n">
        <v>0</v>
      </c>
      <c r="Z1229" s="51" t="n">
        <v>0</v>
      </c>
      <c r="AA1229" s="52" t="n">
        <v>0</v>
      </c>
      <c r="AB1229" s="52" t="n">
        <v>0</v>
      </c>
      <c r="AC1229" s="52" t="n">
        <v>0</v>
      </c>
      <c r="AD1229" s="52" t="n">
        <v>0</v>
      </c>
      <c r="AE1229" s="52" t="n">
        <v>0</v>
      </c>
      <c r="AF1229" s="52" t="n">
        <v>0</v>
      </c>
      <c r="AG1229" s="52" t="n">
        <v>0</v>
      </c>
      <c r="AH1229" s="52" t="n">
        <v>0</v>
      </c>
      <c r="AI1229" s="52" t="n">
        <v>0</v>
      </c>
      <c r="AJ1229" s="52" t="n">
        <v>0</v>
      </c>
      <c r="AK1229" s="52" t="n">
        <v>0</v>
      </c>
      <c r="AL1229" s="52" t="n">
        <v>0</v>
      </c>
      <c r="AM1229" s="53" t="n">
        <v>0</v>
      </c>
      <c r="AN1229" s="53" t="n">
        <v>0</v>
      </c>
      <c r="AO1229" s="53" t="n">
        <v>0</v>
      </c>
      <c r="AP1229" s="53" t="n">
        <v>0</v>
      </c>
      <c r="AQ1229" s="52" t="n">
        <v>0</v>
      </c>
      <c r="AR1229" s="52" t="n">
        <v>0</v>
      </c>
      <c r="AS1229" s="52" t="n">
        <v>0</v>
      </c>
      <c r="AT1229" s="52" t="n">
        <v>0</v>
      </c>
      <c r="AU1229" s="53" t="n">
        <v>0</v>
      </c>
      <c r="AV1229" s="53" t="n">
        <v>0</v>
      </c>
      <c r="AW1229" s="53" t="n">
        <v>0</v>
      </c>
      <c r="AX1229" s="53" t="n">
        <v>0</v>
      </c>
      <c r="AY1229" s="52" t="n">
        <v>0</v>
      </c>
      <c r="AZ1229" s="52" t="n">
        <v>0</v>
      </c>
      <c r="BA1229" s="52" t="n">
        <v>0</v>
      </c>
      <c r="BB1229" s="52" t="n">
        <v>0</v>
      </c>
      <c r="BC1229" s="51" t="n">
        <v>0</v>
      </c>
      <c r="BD1229" s="51" t="n">
        <v>0</v>
      </c>
      <c r="BE1229" s="51" t="n">
        <v>0</v>
      </c>
      <c r="BF1229" s="51" t="n">
        <v>0</v>
      </c>
    </row>
    <row r="1230">
      <c r="A1230">
        <f>HYPERLINK("https://www.walmart.com/ip/786288651", "786288651")</f>
        <v/>
      </c>
      <c r="B1230" t="inlineStr">
        <is>
          <t>Catalonia Snuggie Tails Toddlers Blanket Kids Sleep Bag Warm Plush Super Soft for Baby Children Teen Boy Girl</t>
        </is>
      </c>
      <c r="C1230" t="inlineStr">
        <is>
          <t>1CTMM200NM</t>
        </is>
      </c>
      <c r="D1230" t="inlineStr">
        <is>
          <t>Throws</t>
        </is>
      </c>
      <c r="E1230" t="inlineStr">
        <is>
          <t>Catalonia</t>
        </is>
      </c>
      <c r="F1230" t="inlineStr">
        <is>
          <t>Baby days,WFS,WFS Item</t>
        </is>
      </c>
      <c r="G1230" s="48" t="n">
        <v>0</v>
      </c>
      <c r="H1230" s="48" t="n">
        <v>0</v>
      </c>
      <c r="I1230" s="48" t="n">
        <v>0</v>
      </c>
      <c r="J1230" s="48" t="n">
        <v>0</v>
      </c>
      <c r="K1230" s="49" t="n">
        <v>0</v>
      </c>
      <c r="L1230" s="49" t="n">
        <v>0</v>
      </c>
      <c r="M1230" s="49" t="n">
        <v>0</v>
      </c>
      <c r="N1230" s="49" t="n">
        <v>0</v>
      </c>
      <c r="O1230" s="49" t="n">
        <v>0</v>
      </c>
      <c r="P1230" s="49" t="n">
        <v>0</v>
      </c>
      <c r="Q1230" s="49" t="n">
        <v>0</v>
      </c>
      <c r="R1230" s="49" t="n">
        <v>0</v>
      </c>
      <c r="S1230" s="50" t="n">
        <v>0</v>
      </c>
      <c r="T1230" s="50" t="n">
        <v>0</v>
      </c>
      <c r="U1230" s="50" t="n">
        <v>0</v>
      </c>
      <c r="V1230" s="50" t="n">
        <v>0</v>
      </c>
      <c r="W1230" s="51" t="n">
        <v>0</v>
      </c>
      <c r="X1230" s="51" t="n">
        <v>0</v>
      </c>
      <c r="Y1230" s="51" t="n">
        <v>0</v>
      </c>
      <c r="Z1230" s="51" t="n">
        <v>0</v>
      </c>
      <c r="AA1230" s="52" t="n">
        <v>0</v>
      </c>
      <c r="AB1230" s="52" t="n">
        <v>0</v>
      </c>
      <c r="AC1230" s="52" t="n">
        <v>0</v>
      </c>
      <c r="AD1230" s="52" t="n">
        <v>0</v>
      </c>
      <c r="AE1230" s="52" t="n">
        <v>0</v>
      </c>
      <c r="AF1230" s="52" t="n">
        <v>0</v>
      </c>
      <c r="AG1230" s="52" t="n">
        <v>0</v>
      </c>
      <c r="AH1230" s="52" t="n">
        <v>0</v>
      </c>
      <c r="AI1230" s="52" t="n">
        <v>0</v>
      </c>
      <c r="AJ1230" s="52" t="n">
        <v>0</v>
      </c>
      <c r="AK1230" s="52" t="n">
        <v>0</v>
      </c>
      <c r="AL1230" s="52" t="n">
        <v>0</v>
      </c>
      <c r="AM1230" s="53" t="n">
        <v>0</v>
      </c>
      <c r="AN1230" s="53" t="n">
        <v>0</v>
      </c>
      <c r="AO1230" s="53" t="n">
        <v>0</v>
      </c>
      <c r="AP1230" s="53" t="n">
        <v>0</v>
      </c>
      <c r="AQ1230" s="52" t="n">
        <v>0</v>
      </c>
      <c r="AR1230" s="52" t="n">
        <v>0</v>
      </c>
      <c r="AS1230" s="52" t="n">
        <v>0</v>
      </c>
      <c r="AT1230" s="52" t="n">
        <v>0</v>
      </c>
      <c r="AU1230" s="53" t="n">
        <v>0</v>
      </c>
      <c r="AV1230" s="53" t="n">
        <v>0</v>
      </c>
      <c r="AW1230" s="53" t="n">
        <v>0</v>
      </c>
      <c r="AX1230" s="53" t="n">
        <v>0</v>
      </c>
      <c r="AY1230" s="52" t="n">
        <v>0</v>
      </c>
      <c r="AZ1230" s="52" t="n">
        <v>0</v>
      </c>
      <c r="BA1230" s="52" t="n">
        <v>0</v>
      </c>
      <c r="BB1230" s="52" t="n">
        <v>0</v>
      </c>
      <c r="BC1230" s="51" t="n">
        <v>0</v>
      </c>
      <c r="BD1230" s="51" t="n">
        <v>0</v>
      </c>
      <c r="BE1230" s="51" t="n">
        <v>0</v>
      </c>
      <c r="BF1230" s="51" t="n">
        <v>0</v>
      </c>
    </row>
    <row r="1231">
      <c r="A1231">
        <f>HYPERLINK("https://www.walmart.com/ip/785889519", "785889519")</f>
        <v/>
      </c>
      <c r="B1231" t="inlineStr">
        <is>
          <t>Tirrinia Extra Large Lunch Bag - 13L/ 22 Can, Insulated &amp; Leakproof Adult Reusable Meal Prep Bento Box Cooler Tote for Men &amp; Women with Dual Compartment, Grey</t>
        </is>
      </c>
      <c r="C1231" t="inlineStr">
        <is>
          <t>1KTLB410GY</t>
        </is>
      </c>
      <c r="D1231" t="inlineStr">
        <is>
          <t>Reusable Lunch Bags &amp; Boxes</t>
        </is>
      </c>
      <c r="E1231" t="inlineStr">
        <is>
          <t>Tirrinia</t>
        </is>
      </c>
      <c r="F1231" t="inlineStr">
        <is>
          <t>Q2-Target,Brand Camp VD,Lunch Bag,Optimized,WFS,Lunch Bags,SEM,Wal-Exl-Price,WFS Item</t>
        </is>
      </c>
      <c r="G1231" s="48" t="n">
        <v>0</v>
      </c>
      <c r="H1231" s="48" t="n">
        <v>19.99</v>
      </c>
      <c r="I1231" s="48" t="n">
        <v>0</v>
      </c>
      <c r="J1231" s="48" t="n">
        <v>0</v>
      </c>
      <c r="K1231" s="49" t="n">
        <v>0</v>
      </c>
      <c r="L1231" s="49" t="n">
        <v>1</v>
      </c>
      <c r="M1231" s="49" t="n">
        <v>0</v>
      </c>
      <c r="N1231" s="49" t="n">
        <v>0</v>
      </c>
      <c r="O1231" s="49" t="n">
        <v>0</v>
      </c>
      <c r="P1231" s="49" t="n">
        <v>0</v>
      </c>
      <c r="Q1231" s="49" t="n">
        <v>0</v>
      </c>
      <c r="R1231" s="49" t="n">
        <v>0</v>
      </c>
      <c r="S1231" s="50" t="n">
        <v>0</v>
      </c>
      <c r="T1231" s="50" t="n">
        <v>0</v>
      </c>
      <c r="U1231" s="50" t="n">
        <v>0</v>
      </c>
      <c r="V1231" s="50" t="n">
        <v>0</v>
      </c>
      <c r="W1231" s="51" t="n">
        <v>0</v>
      </c>
      <c r="X1231" s="51" t="n">
        <v>0</v>
      </c>
      <c r="Y1231" s="51" t="n">
        <v>0</v>
      </c>
      <c r="Z1231" s="51" t="n">
        <v>0</v>
      </c>
      <c r="AA1231" s="52" t="n">
        <v>0</v>
      </c>
      <c r="AB1231" s="52" t="n">
        <v>0</v>
      </c>
      <c r="AC1231" s="52" t="n">
        <v>0</v>
      </c>
      <c r="AD1231" s="52" t="n">
        <v>0</v>
      </c>
      <c r="AE1231" s="52" t="n">
        <v>0</v>
      </c>
      <c r="AF1231" s="52" t="n">
        <v>0</v>
      </c>
      <c r="AG1231" s="52" t="n">
        <v>0</v>
      </c>
      <c r="AH1231" s="52" t="n">
        <v>0</v>
      </c>
      <c r="AI1231" s="52" t="n">
        <v>0</v>
      </c>
      <c r="AJ1231" s="52" t="n">
        <v>0</v>
      </c>
      <c r="AK1231" s="52" t="n">
        <v>0</v>
      </c>
      <c r="AL1231" s="52" t="n">
        <v>0</v>
      </c>
      <c r="AM1231" s="53" t="n">
        <v>0</v>
      </c>
      <c r="AN1231" s="53" t="n">
        <v>0</v>
      </c>
      <c r="AO1231" s="53" t="n">
        <v>0</v>
      </c>
      <c r="AP1231" s="53" t="n">
        <v>0</v>
      </c>
      <c r="AQ1231" s="52" t="n">
        <v>0</v>
      </c>
      <c r="AR1231" s="52" t="n">
        <v>0</v>
      </c>
      <c r="AS1231" s="52" t="n">
        <v>0</v>
      </c>
      <c r="AT1231" s="52" t="n">
        <v>0</v>
      </c>
      <c r="AU1231" s="53" t="n">
        <v>0</v>
      </c>
      <c r="AV1231" s="53" t="n">
        <v>0</v>
      </c>
      <c r="AW1231" s="53" t="n">
        <v>0</v>
      </c>
      <c r="AX1231" s="53" t="n">
        <v>0</v>
      </c>
      <c r="AY1231" s="52" t="n">
        <v>0</v>
      </c>
      <c r="AZ1231" s="52" t="n">
        <v>19.99</v>
      </c>
      <c r="BA1231" s="52" t="n">
        <v>0</v>
      </c>
      <c r="BB1231" s="52" t="n">
        <v>0</v>
      </c>
      <c r="BC1231" s="51" t="n">
        <v>0</v>
      </c>
      <c r="BD1231" s="51" t="n">
        <v>0</v>
      </c>
      <c r="BE1231" s="51" t="n">
        <v>0</v>
      </c>
      <c r="BF1231" s="51" t="n">
        <v>0</v>
      </c>
    </row>
    <row r="1232">
      <c r="A1232">
        <f>HYPERLINK("https://www.walmart.com/ip/759590349", "759590349")</f>
        <v/>
      </c>
      <c r="B1232" t="inlineStr">
        <is>
          <t>UK/ England Flag Sherpa Throw Blanket Polar Fleece, Super Cozy Warm TV Blankets for Bed or Couch Reversible 50" x 60"</t>
        </is>
      </c>
      <c r="C1232" t="inlineStr">
        <is>
          <t>1TRBF300UK-TPCB</t>
        </is>
      </c>
      <c r="D1232" t="inlineStr">
        <is>
          <t>Throws</t>
        </is>
      </c>
      <c r="E1232" t="inlineStr">
        <is>
          <t>Tirrinia</t>
        </is>
      </c>
      <c r="F1232" t="inlineStr">
        <is>
          <t>Batch 1 - TR</t>
        </is>
      </c>
      <c r="G1232" s="48" t="n">
        <v>0</v>
      </c>
      <c r="H1232" s="48" t="n">
        <v>0</v>
      </c>
      <c r="I1232" s="48" t="n">
        <v>0</v>
      </c>
      <c r="J1232" s="48" t="n">
        <v>0</v>
      </c>
      <c r="K1232" s="49" t="n">
        <v>0</v>
      </c>
      <c r="L1232" s="49" t="n">
        <v>0</v>
      </c>
      <c r="M1232" s="49" t="n">
        <v>0</v>
      </c>
      <c r="N1232" s="49" t="n">
        <v>0</v>
      </c>
      <c r="O1232" s="49" t="n">
        <v>0</v>
      </c>
      <c r="P1232" s="49" t="n">
        <v>0</v>
      </c>
      <c r="Q1232" s="49" t="n">
        <v>0</v>
      </c>
      <c r="R1232" s="49" t="n">
        <v>0</v>
      </c>
      <c r="S1232" s="50" t="n">
        <v>0</v>
      </c>
      <c r="T1232" s="50" t="n">
        <v>0</v>
      </c>
      <c r="U1232" s="50" t="n">
        <v>0</v>
      </c>
      <c r="V1232" s="50" t="n">
        <v>0</v>
      </c>
      <c r="W1232" s="51" t="n">
        <v>0</v>
      </c>
      <c r="X1232" s="51" t="n">
        <v>0</v>
      </c>
      <c r="Y1232" s="51" t="n">
        <v>0</v>
      </c>
      <c r="Z1232" s="51" t="n">
        <v>0</v>
      </c>
      <c r="AA1232" s="52" t="n">
        <v>0</v>
      </c>
      <c r="AB1232" s="52" t="n">
        <v>0</v>
      </c>
      <c r="AC1232" s="52" t="n">
        <v>0</v>
      </c>
      <c r="AD1232" s="52" t="n">
        <v>0</v>
      </c>
      <c r="AE1232" s="52" t="n">
        <v>0</v>
      </c>
      <c r="AF1232" s="52" t="n">
        <v>0</v>
      </c>
      <c r="AG1232" s="52" t="n">
        <v>0</v>
      </c>
      <c r="AH1232" s="52" t="n">
        <v>0</v>
      </c>
      <c r="AI1232" s="52" t="n">
        <v>0</v>
      </c>
      <c r="AJ1232" s="52" t="n">
        <v>0</v>
      </c>
      <c r="AK1232" s="52" t="n">
        <v>0</v>
      </c>
      <c r="AL1232" s="52" t="n">
        <v>0</v>
      </c>
      <c r="AM1232" s="53" t="n">
        <v>0</v>
      </c>
      <c r="AN1232" s="53" t="n">
        <v>0</v>
      </c>
      <c r="AO1232" s="53" t="n">
        <v>0</v>
      </c>
      <c r="AP1232" s="53" t="n">
        <v>0</v>
      </c>
      <c r="AQ1232" s="52" t="n">
        <v>0</v>
      </c>
      <c r="AR1232" s="52" t="n">
        <v>0</v>
      </c>
      <c r="AS1232" s="52" t="n">
        <v>0</v>
      </c>
      <c r="AT1232" s="52" t="n">
        <v>0</v>
      </c>
      <c r="AU1232" s="53" t="n">
        <v>0</v>
      </c>
      <c r="AV1232" s="53" t="n">
        <v>0</v>
      </c>
      <c r="AW1232" s="53" t="n">
        <v>0</v>
      </c>
      <c r="AX1232" s="53" t="n">
        <v>0</v>
      </c>
      <c r="AY1232" s="52" t="n">
        <v>0</v>
      </c>
      <c r="AZ1232" s="52" t="n">
        <v>0</v>
      </c>
      <c r="BA1232" s="52" t="n">
        <v>0</v>
      </c>
      <c r="BB1232" s="52" t="n">
        <v>0</v>
      </c>
      <c r="BC1232" s="51" t="n">
        <v>0</v>
      </c>
      <c r="BD1232" s="51" t="n">
        <v>0</v>
      </c>
      <c r="BE1232" s="51" t="n">
        <v>0</v>
      </c>
      <c r="BF1232" s="51" t="n">
        <v>0</v>
      </c>
    </row>
    <row r="1233">
      <c r="A1233">
        <f>HYPERLINK("https://www.walmart.com/ip/760775698", "760775698")</f>
        <v/>
      </c>
      <c r="B1233" t="inlineStr">
        <is>
          <t>Solaris Men Winter Ski Snow Gloves with Breathable Face Mask The Warmest 3M Insulation Waterproof Outdoor Snowboard Mitt</t>
        </is>
      </c>
      <c r="C1233" t="inlineStr">
        <is>
          <t>1SLWG300PKXL-FSGM</t>
        </is>
      </c>
      <c r="D1233" t="inlineStr">
        <is>
          <t>Gloves &amp; Mittens</t>
        </is>
      </c>
      <c r="E1233" t="inlineStr">
        <is>
          <t>Solaris</t>
        </is>
      </c>
      <c r="F1233" t="inlineStr">
        <is>
          <t>Optimized,Gloves</t>
        </is>
      </c>
      <c r="G1233" s="48" t="n">
        <v>0</v>
      </c>
      <c r="H1233" s="48" t="n">
        <v>0</v>
      </c>
      <c r="I1233" s="48" t="n">
        <v>0</v>
      </c>
      <c r="J1233" s="48" t="n">
        <v>0</v>
      </c>
      <c r="K1233" s="49" t="n">
        <v>0</v>
      </c>
      <c r="L1233" s="49" t="n">
        <v>0</v>
      </c>
      <c r="M1233" s="49" t="n">
        <v>0</v>
      </c>
      <c r="N1233" s="49" t="n">
        <v>0</v>
      </c>
      <c r="O1233" s="49" t="n">
        <v>0</v>
      </c>
      <c r="P1233" s="49" t="n">
        <v>0</v>
      </c>
      <c r="Q1233" s="49" t="n">
        <v>0</v>
      </c>
      <c r="R1233" s="49" t="n">
        <v>0</v>
      </c>
      <c r="S1233" s="50" t="n">
        <v>0</v>
      </c>
      <c r="T1233" s="50" t="n">
        <v>0</v>
      </c>
      <c r="U1233" s="50" t="n">
        <v>0</v>
      </c>
      <c r="V1233" s="50" t="n">
        <v>0</v>
      </c>
      <c r="W1233" s="51" t="n">
        <v>0</v>
      </c>
      <c r="X1233" s="51" t="n">
        <v>0</v>
      </c>
      <c r="Y1233" s="51" t="n">
        <v>0</v>
      </c>
      <c r="Z1233" s="51" t="n">
        <v>0</v>
      </c>
      <c r="AA1233" s="52" t="n">
        <v>0</v>
      </c>
      <c r="AB1233" s="52" t="n">
        <v>0</v>
      </c>
      <c r="AC1233" s="52" t="n">
        <v>0</v>
      </c>
      <c r="AD1233" s="52" t="n">
        <v>0</v>
      </c>
      <c r="AE1233" s="52" t="n">
        <v>0</v>
      </c>
      <c r="AF1233" s="52" t="n">
        <v>0</v>
      </c>
      <c r="AG1233" s="52" t="n">
        <v>0</v>
      </c>
      <c r="AH1233" s="52" t="n">
        <v>0</v>
      </c>
      <c r="AI1233" s="52" t="n">
        <v>0</v>
      </c>
      <c r="AJ1233" s="52" t="n">
        <v>0</v>
      </c>
      <c r="AK1233" s="52" t="n">
        <v>0</v>
      </c>
      <c r="AL1233" s="52" t="n">
        <v>0</v>
      </c>
      <c r="AM1233" s="53" t="n">
        <v>0</v>
      </c>
      <c r="AN1233" s="53" t="n">
        <v>0</v>
      </c>
      <c r="AO1233" s="53" t="n">
        <v>0</v>
      </c>
      <c r="AP1233" s="53" t="n">
        <v>0</v>
      </c>
      <c r="AQ1233" s="52" t="n">
        <v>0</v>
      </c>
      <c r="AR1233" s="52" t="n">
        <v>0</v>
      </c>
      <c r="AS1233" s="52" t="n">
        <v>0</v>
      </c>
      <c r="AT1233" s="52" t="n">
        <v>0</v>
      </c>
      <c r="AU1233" s="53" t="n">
        <v>0</v>
      </c>
      <c r="AV1233" s="53" t="n">
        <v>0</v>
      </c>
      <c r="AW1233" s="53" t="n">
        <v>0</v>
      </c>
      <c r="AX1233" s="53" t="n">
        <v>0</v>
      </c>
      <c r="AY1233" s="52" t="n">
        <v>0</v>
      </c>
      <c r="AZ1233" s="52" t="n">
        <v>0</v>
      </c>
      <c r="BA1233" s="52" t="n">
        <v>0</v>
      </c>
      <c r="BB1233" s="52" t="n">
        <v>0</v>
      </c>
      <c r="BC1233" s="51" t="n">
        <v>0</v>
      </c>
      <c r="BD1233" s="51" t="n">
        <v>0</v>
      </c>
      <c r="BE1233" s="51" t="n">
        <v>0</v>
      </c>
      <c r="BF1233" s="51" t="n">
        <v>0</v>
      </c>
    </row>
    <row r="1234">
      <c r="A1234">
        <f>HYPERLINK("https://www.walmart.com/ip/760825616", "760825616")</f>
        <v/>
      </c>
      <c r="B1234" t="inlineStr">
        <is>
          <t>Tirrinia Super-Soft Comfy Plush Wearable Fleece Blanket Poncho for Adults, 55'' x 80'', Grey</t>
        </is>
      </c>
      <c r="C1234" t="inlineStr">
        <is>
          <t>1TRBP100GY-TBCB</t>
        </is>
      </c>
      <c r="D1234" t="inlineStr">
        <is>
          <t>Throws</t>
        </is>
      </c>
      <c r="E1234" t="inlineStr">
        <is>
          <t>Tirrinia</t>
        </is>
      </c>
      <c r="F1234" t="inlineStr">
        <is>
          <t>Optimized,Fleece Blankets</t>
        </is>
      </c>
      <c r="G1234" s="48" t="n">
        <v>0</v>
      </c>
      <c r="H1234" s="48" t="n">
        <v>0</v>
      </c>
      <c r="I1234" s="48" t="n">
        <v>0</v>
      </c>
      <c r="J1234" s="48" t="n">
        <v>0</v>
      </c>
      <c r="K1234" s="49" t="n">
        <v>0</v>
      </c>
      <c r="L1234" s="49" t="n">
        <v>0</v>
      </c>
      <c r="M1234" s="49" t="n">
        <v>0</v>
      </c>
      <c r="N1234" s="49" t="n">
        <v>0</v>
      </c>
      <c r="O1234" s="49" t="n">
        <v>0</v>
      </c>
      <c r="P1234" s="49" t="n">
        <v>0</v>
      </c>
      <c r="Q1234" s="49" t="n">
        <v>0</v>
      </c>
      <c r="R1234" s="49" t="n">
        <v>0</v>
      </c>
      <c r="S1234" s="50" t="n">
        <v>0</v>
      </c>
      <c r="T1234" s="50" t="n">
        <v>0</v>
      </c>
      <c r="U1234" s="50" t="n">
        <v>0</v>
      </c>
      <c r="V1234" s="50" t="n">
        <v>0</v>
      </c>
      <c r="W1234" s="51" t="n">
        <v>0</v>
      </c>
      <c r="X1234" s="51" t="n">
        <v>0</v>
      </c>
      <c r="Y1234" s="51" t="n">
        <v>0</v>
      </c>
      <c r="Z1234" s="51" t="n">
        <v>0</v>
      </c>
      <c r="AA1234" s="52" t="n">
        <v>0</v>
      </c>
      <c r="AB1234" s="52" t="n">
        <v>0</v>
      </c>
      <c r="AC1234" s="52" t="n">
        <v>0</v>
      </c>
      <c r="AD1234" s="52" t="n">
        <v>0</v>
      </c>
      <c r="AE1234" s="52" t="n">
        <v>0</v>
      </c>
      <c r="AF1234" s="52" t="n">
        <v>0</v>
      </c>
      <c r="AG1234" s="52" t="n">
        <v>0</v>
      </c>
      <c r="AH1234" s="52" t="n">
        <v>0</v>
      </c>
      <c r="AI1234" s="52" t="n">
        <v>0</v>
      </c>
      <c r="AJ1234" s="52" t="n">
        <v>0</v>
      </c>
      <c r="AK1234" s="52" t="n">
        <v>0</v>
      </c>
      <c r="AL1234" s="52" t="n">
        <v>0</v>
      </c>
      <c r="AM1234" s="53" t="n">
        <v>0</v>
      </c>
      <c r="AN1234" s="53" t="n">
        <v>0</v>
      </c>
      <c r="AO1234" s="53" t="n">
        <v>0</v>
      </c>
      <c r="AP1234" s="53" t="n">
        <v>0</v>
      </c>
      <c r="AQ1234" s="52" t="n">
        <v>0</v>
      </c>
      <c r="AR1234" s="52" t="n">
        <v>0</v>
      </c>
      <c r="AS1234" s="52" t="n">
        <v>0</v>
      </c>
      <c r="AT1234" s="52" t="n">
        <v>0</v>
      </c>
      <c r="AU1234" s="53" t="n">
        <v>0</v>
      </c>
      <c r="AV1234" s="53" t="n">
        <v>0</v>
      </c>
      <c r="AW1234" s="53" t="n">
        <v>0</v>
      </c>
      <c r="AX1234" s="53" t="n">
        <v>0</v>
      </c>
      <c r="AY1234" s="52" t="n">
        <v>0</v>
      </c>
      <c r="AZ1234" s="52" t="n">
        <v>0</v>
      </c>
      <c r="BA1234" s="52" t="n">
        <v>0</v>
      </c>
      <c r="BB1234" s="52" t="n">
        <v>0</v>
      </c>
      <c r="BC1234" s="51" t="n">
        <v>0</v>
      </c>
      <c r="BD1234" s="51" t="n">
        <v>0</v>
      </c>
      <c r="BE1234" s="51" t="n">
        <v>0</v>
      </c>
      <c r="BF1234" s="51" t="n">
        <v>0</v>
      </c>
    </row>
    <row r="1235">
      <c r="A1235">
        <f>HYPERLINK("https://www.walmart.com/ip/761490287", "761490287")</f>
        <v/>
      </c>
      <c r="B1235" t="inlineStr">
        <is>
          <t>Tirrinia Sherpa Wearable Blanket Ultra Soft Comfy Warm Plush Full Body Throw with Sleeves, Reading Wrap TV Blankets Robe Cover for Adult Grandma Women and Men, Wine</t>
        </is>
      </c>
      <c r="C1235" t="inlineStr">
        <is>
          <t>1TRSN110WN</t>
        </is>
      </c>
      <c r="D1235" t="inlineStr">
        <is>
          <t>Throws</t>
        </is>
      </c>
      <c r="E1235" t="inlineStr">
        <is>
          <t>Tirrinia</t>
        </is>
      </c>
      <c r="F1235" t="inlineStr">
        <is>
          <t>Coupon_Discount,WFS Item</t>
        </is>
      </c>
      <c r="G1235" s="48" t="n">
        <v>0</v>
      </c>
      <c r="H1235" s="48" t="n">
        <v>0</v>
      </c>
      <c r="I1235" s="48" t="n">
        <v>0</v>
      </c>
      <c r="J1235" s="48" t="n">
        <v>0</v>
      </c>
      <c r="K1235" s="49" t="n">
        <v>0</v>
      </c>
      <c r="L1235" s="49" t="n">
        <v>0</v>
      </c>
      <c r="M1235" s="49" t="n">
        <v>0</v>
      </c>
      <c r="N1235" s="49" t="n">
        <v>0</v>
      </c>
      <c r="O1235" s="49" t="n">
        <v>0</v>
      </c>
      <c r="P1235" s="49" t="n">
        <v>0</v>
      </c>
      <c r="Q1235" s="49" t="n">
        <v>0</v>
      </c>
      <c r="R1235" s="49" t="n">
        <v>0</v>
      </c>
      <c r="S1235" s="50" t="n">
        <v>0</v>
      </c>
      <c r="T1235" s="50" t="n">
        <v>0</v>
      </c>
      <c r="U1235" s="50" t="n">
        <v>0</v>
      </c>
      <c r="V1235" s="50" t="n">
        <v>0</v>
      </c>
      <c r="W1235" s="51" t="n">
        <v>0</v>
      </c>
      <c r="X1235" s="51" t="n">
        <v>0</v>
      </c>
      <c r="Y1235" s="51" t="n">
        <v>0</v>
      </c>
      <c r="Z1235" s="51" t="n">
        <v>0</v>
      </c>
      <c r="AA1235" s="52" t="n">
        <v>0</v>
      </c>
      <c r="AB1235" s="52" t="n">
        <v>0</v>
      </c>
      <c r="AC1235" s="52" t="n">
        <v>0</v>
      </c>
      <c r="AD1235" s="52" t="n">
        <v>0</v>
      </c>
      <c r="AE1235" s="52" t="n">
        <v>0</v>
      </c>
      <c r="AF1235" s="52" t="n">
        <v>0</v>
      </c>
      <c r="AG1235" s="52" t="n">
        <v>0</v>
      </c>
      <c r="AH1235" s="52" t="n">
        <v>0</v>
      </c>
      <c r="AI1235" s="52" t="n">
        <v>0</v>
      </c>
      <c r="AJ1235" s="52" t="n">
        <v>0</v>
      </c>
      <c r="AK1235" s="52" t="n">
        <v>0</v>
      </c>
      <c r="AL1235" s="52" t="n">
        <v>0</v>
      </c>
      <c r="AM1235" s="53" t="n">
        <v>0</v>
      </c>
      <c r="AN1235" s="53" t="n">
        <v>0</v>
      </c>
      <c r="AO1235" s="53" t="n">
        <v>0</v>
      </c>
      <c r="AP1235" s="53" t="n">
        <v>0</v>
      </c>
      <c r="AQ1235" s="52" t="n">
        <v>0</v>
      </c>
      <c r="AR1235" s="52" t="n">
        <v>0</v>
      </c>
      <c r="AS1235" s="52" t="n">
        <v>0</v>
      </c>
      <c r="AT1235" s="52" t="n">
        <v>0</v>
      </c>
      <c r="AU1235" s="53" t="n">
        <v>0</v>
      </c>
      <c r="AV1235" s="53" t="n">
        <v>0</v>
      </c>
      <c r="AW1235" s="53" t="n">
        <v>0</v>
      </c>
      <c r="AX1235" s="53" t="n">
        <v>0</v>
      </c>
      <c r="AY1235" s="52" t="n">
        <v>0</v>
      </c>
      <c r="AZ1235" s="52" t="n">
        <v>0</v>
      </c>
      <c r="BA1235" s="52" t="n">
        <v>0</v>
      </c>
      <c r="BB1235" s="52" t="n">
        <v>0</v>
      </c>
      <c r="BC1235" s="51" t="n">
        <v>0</v>
      </c>
      <c r="BD1235" s="51" t="n">
        <v>0</v>
      </c>
      <c r="BE1235" s="51" t="n">
        <v>0</v>
      </c>
      <c r="BF1235" s="51" t="n">
        <v>0</v>
      </c>
    </row>
    <row r="1236">
      <c r="A1236">
        <f>HYPERLINK("https://www.walmart.com/ip/761838379", "761838379")</f>
        <v/>
      </c>
      <c r="B1236" t="inlineStr">
        <is>
          <t>KC Caps® Unisex Realtree Hunting Cap Camouflage Jungle Sports Hat</t>
        </is>
      </c>
      <c r="C1236" t="inlineStr">
        <is>
          <t>KC Caps 4730</t>
        </is>
      </c>
      <c r="D1236" t="inlineStr">
        <is>
          <t>Hats</t>
        </is>
      </c>
      <c r="E1236" t="inlineStr">
        <is>
          <t>KC Caps</t>
        </is>
      </c>
      <c r="F1236" t="inlineStr">
        <is>
          <t>Batch 1 - TR</t>
        </is>
      </c>
      <c r="G1236" s="48" t="n">
        <v>0</v>
      </c>
      <c r="H1236" s="48" t="n">
        <v>0</v>
      </c>
      <c r="I1236" s="48" t="n">
        <v>0</v>
      </c>
      <c r="J1236" s="48" t="n">
        <v>0</v>
      </c>
      <c r="K1236" s="49" t="n">
        <v>0</v>
      </c>
      <c r="L1236" s="49" t="n">
        <v>0</v>
      </c>
      <c r="M1236" s="49" t="n">
        <v>0</v>
      </c>
      <c r="N1236" s="49" t="n">
        <v>0</v>
      </c>
      <c r="O1236" s="49" t="n">
        <v>0</v>
      </c>
      <c r="P1236" s="49" t="n">
        <v>0</v>
      </c>
      <c r="Q1236" s="49" t="n">
        <v>0</v>
      </c>
      <c r="R1236" s="49" t="n">
        <v>0</v>
      </c>
      <c r="S1236" s="50" t="n">
        <v>0</v>
      </c>
      <c r="T1236" s="50" t="n">
        <v>0</v>
      </c>
      <c r="U1236" s="50" t="n">
        <v>0</v>
      </c>
      <c r="V1236" s="50" t="n">
        <v>0</v>
      </c>
      <c r="W1236" s="51" t="n">
        <v>0</v>
      </c>
      <c r="X1236" s="51" t="n">
        <v>0</v>
      </c>
      <c r="Y1236" s="51" t="n">
        <v>0</v>
      </c>
      <c r="Z1236" s="51" t="n">
        <v>0</v>
      </c>
      <c r="AA1236" s="52" t="n">
        <v>0</v>
      </c>
      <c r="AB1236" s="52" t="n">
        <v>0</v>
      </c>
      <c r="AC1236" s="52" t="n">
        <v>0</v>
      </c>
      <c r="AD1236" s="52" t="n">
        <v>0</v>
      </c>
      <c r="AE1236" s="52" t="n">
        <v>0</v>
      </c>
      <c r="AF1236" s="52" t="n">
        <v>0</v>
      </c>
      <c r="AG1236" s="52" t="n">
        <v>0</v>
      </c>
      <c r="AH1236" s="52" t="n">
        <v>0</v>
      </c>
      <c r="AI1236" s="52" t="n">
        <v>0</v>
      </c>
      <c r="AJ1236" s="52" t="n">
        <v>0</v>
      </c>
      <c r="AK1236" s="52" t="n">
        <v>0</v>
      </c>
      <c r="AL1236" s="52" t="n">
        <v>0</v>
      </c>
      <c r="AM1236" s="53" t="n">
        <v>0</v>
      </c>
      <c r="AN1236" s="53" t="n">
        <v>0</v>
      </c>
      <c r="AO1236" s="53" t="n">
        <v>0</v>
      </c>
      <c r="AP1236" s="53" t="n">
        <v>0</v>
      </c>
      <c r="AQ1236" s="52" t="n">
        <v>0</v>
      </c>
      <c r="AR1236" s="52" t="n">
        <v>0</v>
      </c>
      <c r="AS1236" s="52" t="n">
        <v>0</v>
      </c>
      <c r="AT1236" s="52" t="n">
        <v>0</v>
      </c>
      <c r="AU1236" s="53" t="n">
        <v>0</v>
      </c>
      <c r="AV1236" s="53" t="n">
        <v>0</v>
      </c>
      <c r="AW1236" s="53" t="n">
        <v>0</v>
      </c>
      <c r="AX1236" s="53" t="n">
        <v>0</v>
      </c>
      <c r="AY1236" s="52" t="n">
        <v>0</v>
      </c>
      <c r="AZ1236" s="52" t="n">
        <v>0</v>
      </c>
      <c r="BA1236" s="52" t="n">
        <v>0</v>
      </c>
      <c r="BB1236" s="52" t="n">
        <v>0</v>
      </c>
      <c r="BC1236" s="51" t="n">
        <v>0</v>
      </c>
      <c r="BD1236" s="51" t="n">
        <v>0</v>
      </c>
      <c r="BE1236" s="51" t="n">
        <v>0</v>
      </c>
      <c r="BF1236" s="51" t="n">
        <v>0</v>
      </c>
    </row>
    <row r="1237">
      <c r="A1237">
        <f>HYPERLINK("https://www.walmart.com/ip/762289566", "762289566")</f>
        <v/>
      </c>
      <c r="B1237" t="inlineStr">
        <is>
          <t>Tirrinia Insulated Lunch Bag for Women, Men, and Kids, Leakproof Thermal Reusable Insulated Cooler Bag for Office, Work, Back to School, Medium, Light Grey, 8L, 10" X 8.5" X 9.3"</t>
        </is>
      </c>
      <c r="C1237" t="inlineStr">
        <is>
          <t>1TRLB701LGY-N</t>
        </is>
      </c>
      <c r="D1237" t="inlineStr">
        <is>
          <t>Reusable Lunch Bags &amp; Boxes</t>
        </is>
      </c>
      <c r="E1237" t="inlineStr">
        <is>
          <t>Tirrinia</t>
        </is>
      </c>
      <c r="F1237" t="inlineStr">
        <is>
          <t>Q2-Target,Brand Camp VD,Lunch Bag,WFS,Lunch Bags,WFS Item</t>
        </is>
      </c>
      <c r="G1237" s="48" t="n">
        <v>0</v>
      </c>
      <c r="H1237" s="48" t="n">
        <v>0</v>
      </c>
      <c r="I1237" s="48" t="n">
        <v>0</v>
      </c>
      <c r="J1237" s="48" t="n">
        <v>0</v>
      </c>
      <c r="K1237" s="49" t="n">
        <v>0</v>
      </c>
      <c r="L1237" s="49" t="n">
        <v>0</v>
      </c>
      <c r="M1237" s="49" t="n">
        <v>0</v>
      </c>
      <c r="N1237" s="49" t="n">
        <v>0</v>
      </c>
      <c r="O1237" s="49" t="n">
        <v>5</v>
      </c>
      <c r="P1237" s="49" t="n">
        <v>1</v>
      </c>
      <c r="Q1237" s="49" t="n">
        <v>3</v>
      </c>
      <c r="R1237" s="49" t="n">
        <v>4</v>
      </c>
      <c r="S1237" s="50" t="n">
        <v>0</v>
      </c>
      <c r="T1237" s="50" t="n">
        <v>0</v>
      </c>
      <c r="U1237" s="50" t="n">
        <v>0</v>
      </c>
      <c r="V1237" s="50" t="n">
        <v>0</v>
      </c>
      <c r="W1237" s="51" t="n">
        <v>0</v>
      </c>
      <c r="X1237" s="51" t="n">
        <v>0</v>
      </c>
      <c r="Y1237" s="51" t="n">
        <v>0</v>
      </c>
      <c r="Z1237" s="51" t="n">
        <v>0</v>
      </c>
      <c r="AA1237" s="52" t="n">
        <v>0</v>
      </c>
      <c r="AB1237" s="52" t="n">
        <v>0</v>
      </c>
      <c r="AC1237" s="52" t="n">
        <v>0</v>
      </c>
      <c r="AD1237" s="52" t="n">
        <v>0</v>
      </c>
      <c r="AE1237" s="52" t="n">
        <v>0</v>
      </c>
      <c r="AF1237" s="52" t="n">
        <v>0</v>
      </c>
      <c r="AG1237" s="52" t="n">
        <v>0</v>
      </c>
      <c r="AH1237" s="52" t="n">
        <v>0</v>
      </c>
      <c r="AI1237" s="52" t="n">
        <v>0</v>
      </c>
      <c r="AJ1237" s="52" t="n">
        <v>0</v>
      </c>
      <c r="AK1237" s="52" t="n">
        <v>0</v>
      </c>
      <c r="AL1237" s="52" t="n">
        <v>0</v>
      </c>
      <c r="AM1237" s="53" t="n">
        <v>0</v>
      </c>
      <c r="AN1237" s="53" t="n">
        <v>0</v>
      </c>
      <c r="AO1237" s="53" t="n">
        <v>0</v>
      </c>
      <c r="AP1237" s="53" t="n">
        <v>0</v>
      </c>
      <c r="AQ1237" s="52" t="n">
        <v>0</v>
      </c>
      <c r="AR1237" s="52" t="n">
        <v>0</v>
      </c>
      <c r="AS1237" s="52" t="n">
        <v>0</v>
      </c>
      <c r="AT1237" s="52" t="n">
        <v>0</v>
      </c>
      <c r="AU1237" s="53" t="n">
        <v>0</v>
      </c>
      <c r="AV1237" s="53" t="n">
        <v>0</v>
      </c>
      <c r="AW1237" s="53" t="n">
        <v>0</v>
      </c>
      <c r="AX1237" s="53" t="n">
        <v>0</v>
      </c>
      <c r="AY1237" s="52" t="n">
        <v>0</v>
      </c>
      <c r="AZ1237" s="52" t="n">
        <v>0</v>
      </c>
      <c r="BA1237" s="52" t="n">
        <v>0</v>
      </c>
      <c r="BB1237" s="52" t="n">
        <v>0</v>
      </c>
      <c r="BC1237" s="51" t="n">
        <v>0</v>
      </c>
      <c r="BD1237" s="51" t="n">
        <v>0</v>
      </c>
      <c r="BE1237" s="51" t="n">
        <v>0</v>
      </c>
      <c r="BF1237" s="51" t="n">
        <v>0</v>
      </c>
    </row>
    <row r="1238">
      <c r="A1238">
        <f>HYPERLINK("https://www.walmart.com/ip/762459009", "762459009")</f>
        <v/>
      </c>
      <c r="B1238" t="inlineStr">
        <is>
          <t>Flyingstar Lunch Bag for Women Men, Insulated Lunch Tote for Working/School/Picnic Fashionable Cooler Bag</t>
        </is>
      </c>
      <c r="C1238" t="inlineStr">
        <is>
          <t>1WMLB704GYSTR</t>
        </is>
      </c>
      <c r="D1238" t="inlineStr">
        <is>
          <t>Reusable Lunch Bags &amp; Boxes</t>
        </is>
      </c>
      <c r="E1238" t="inlineStr">
        <is>
          <t>Flyingstar</t>
        </is>
      </c>
      <c r="F1238" t="inlineStr">
        <is>
          <t>Q2-Target,Lunch Bag,WFS,Lunch Bags,WFS Item</t>
        </is>
      </c>
      <c r="G1238" s="48" t="n">
        <v>0</v>
      </c>
      <c r="H1238" s="48" t="n">
        <v>0</v>
      </c>
      <c r="I1238" s="48" t="n">
        <v>0</v>
      </c>
      <c r="J1238" s="48" t="n">
        <v>0</v>
      </c>
      <c r="K1238" s="49" t="n">
        <v>0</v>
      </c>
      <c r="L1238" s="49" t="n">
        <v>0</v>
      </c>
      <c r="M1238" s="49" t="n">
        <v>0</v>
      </c>
      <c r="N1238" s="49" t="n">
        <v>0</v>
      </c>
      <c r="O1238" s="49" t="n">
        <v>0</v>
      </c>
      <c r="P1238" s="49" t="n">
        <v>0</v>
      </c>
      <c r="Q1238" s="49" t="n">
        <v>0</v>
      </c>
      <c r="R1238" s="49" t="n">
        <v>0</v>
      </c>
      <c r="S1238" s="50" t="n">
        <v>0</v>
      </c>
      <c r="T1238" s="50" t="n">
        <v>0</v>
      </c>
      <c r="U1238" s="50" t="n">
        <v>0</v>
      </c>
      <c r="V1238" s="50" t="n">
        <v>0</v>
      </c>
      <c r="W1238" s="51" t="n">
        <v>0</v>
      </c>
      <c r="X1238" s="51" t="n">
        <v>0</v>
      </c>
      <c r="Y1238" s="51" t="n">
        <v>0</v>
      </c>
      <c r="Z1238" s="51" t="n">
        <v>0</v>
      </c>
      <c r="AA1238" s="52" t="n">
        <v>0</v>
      </c>
      <c r="AB1238" s="52" t="n">
        <v>0</v>
      </c>
      <c r="AC1238" s="52" t="n">
        <v>0</v>
      </c>
      <c r="AD1238" s="52" t="n">
        <v>0</v>
      </c>
      <c r="AE1238" s="52" t="n">
        <v>0</v>
      </c>
      <c r="AF1238" s="52" t="n">
        <v>0</v>
      </c>
      <c r="AG1238" s="52" t="n">
        <v>0</v>
      </c>
      <c r="AH1238" s="52" t="n">
        <v>0</v>
      </c>
      <c r="AI1238" s="52" t="n">
        <v>0</v>
      </c>
      <c r="AJ1238" s="52" t="n">
        <v>0</v>
      </c>
      <c r="AK1238" s="52" t="n">
        <v>0</v>
      </c>
      <c r="AL1238" s="52" t="n">
        <v>0</v>
      </c>
      <c r="AM1238" s="53" t="n">
        <v>0</v>
      </c>
      <c r="AN1238" s="53" t="n">
        <v>0</v>
      </c>
      <c r="AO1238" s="53" t="n">
        <v>0</v>
      </c>
      <c r="AP1238" s="53" t="n">
        <v>0</v>
      </c>
      <c r="AQ1238" s="52" t="n">
        <v>0</v>
      </c>
      <c r="AR1238" s="52" t="n">
        <v>0</v>
      </c>
      <c r="AS1238" s="52" t="n">
        <v>0</v>
      </c>
      <c r="AT1238" s="52" t="n">
        <v>0</v>
      </c>
      <c r="AU1238" s="53" t="n">
        <v>0</v>
      </c>
      <c r="AV1238" s="53" t="n">
        <v>0</v>
      </c>
      <c r="AW1238" s="53" t="n">
        <v>0</v>
      </c>
      <c r="AX1238" s="53" t="n">
        <v>0</v>
      </c>
      <c r="AY1238" s="52" t="n">
        <v>0</v>
      </c>
      <c r="AZ1238" s="52" t="n">
        <v>0</v>
      </c>
      <c r="BA1238" s="52" t="n">
        <v>0</v>
      </c>
      <c r="BB1238" s="52" t="n">
        <v>0</v>
      </c>
      <c r="BC1238" s="51" t="n">
        <v>0</v>
      </c>
      <c r="BD1238" s="51" t="n">
        <v>0</v>
      </c>
      <c r="BE1238" s="51" t="n">
        <v>0</v>
      </c>
      <c r="BF1238" s="51" t="n">
        <v>0</v>
      </c>
    </row>
    <row r="1239">
      <c r="A1239">
        <f>HYPERLINK("https://www.walmart.com/ip/763048311", "763048311")</f>
        <v/>
      </c>
      <c r="B1239" t="inlineStr">
        <is>
          <t>Tirrinia Two Pieces Tankini Swimsuit for Women Open Back Swimwear Bathing Suits Set, Black, XLarge</t>
        </is>
      </c>
      <c r="C1239" t="inlineStr">
        <is>
          <t>1TRSS005BK-XL</t>
        </is>
      </c>
      <c r="D1239" t="inlineStr">
        <is>
          <t>Bikini &amp; Tankini Tops</t>
        </is>
      </c>
      <c r="E1239" t="inlineStr">
        <is>
          <t>Tirrinia</t>
        </is>
      </c>
      <c r="F1239" t="inlineStr">
        <is>
          <t>Optimized</t>
        </is>
      </c>
      <c r="G1239" s="48" t="n">
        <v>0</v>
      </c>
      <c r="H1239" s="48" t="n">
        <v>0</v>
      </c>
      <c r="I1239" s="48" t="n">
        <v>0</v>
      </c>
      <c r="J1239" s="48" t="n">
        <v>0</v>
      </c>
      <c r="K1239" s="49" t="n">
        <v>0</v>
      </c>
      <c r="L1239" s="49" t="n">
        <v>0</v>
      </c>
      <c r="M1239" s="49" t="n">
        <v>0</v>
      </c>
      <c r="N1239" s="49" t="n">
        <v>0</v>
      </c>
      <c r="O1239" s="49" t="n">
        <v>0</v>
      </c>
      <c r="P1239" s="49" t="n">
        <v>0</v>
      </c>
      <c r="Q1239" s="49" t="n">
        <v>0</v>
      </c>
      <c r="R1239" s="49" t="n">
        <v>0</v>
      </c>
      <c r="S1239" s="50" t="n">
        <v>0</v>
      </c>
      <c r="T1239" s="50" t="n">
        <v>0</v>
      </c>
      <c r="U1239" s="50" t="n">
        <v>0</v>
      </c>
      <c r="V1239" s="50" t="n">
        <v>0</v>
      </c>
      <c r="W1239" s="51" t="n">
        <v>0</v>
      </c>
      <c r="X1239" s="51" t="n">
        <v>0</v>
      </c>
      <c r="Y1239" s="51" t="n">
        <v>0</v>
      </c>
      <c r="Z1239" s="51" t="n">
        <v>0</v>
      </c>
      <c r="AA1239" s="52" t="n">
        <v>0</v>
      </c>
      <c r="AB1239" s="52" t="n">
        <v>0</v>
      </c>
      <c r="AC1239" s="52" t="n">
        <v>0</v>
      </c>
      <c r="AD1239" s="52" t="n">
        <v>0</v>
      </c>
      <c r="AE1239" s="52" t="n">
        <v>0</v>
      </c>
      <c r="AF1239" s="52" t="n">
        <v>0</v>
      </c>
      <c r="AG1239" s="52" t="n">
        <v>0</v>
      </c>
      <c r="AH1239" s="52" t="n">
        <v>0</v>
      </c>
      <c r="AI1239" s="52" t="n">
        <v>0</v>
      </c>
      <c r="AJ1239" s="52" t="n">
        <v>0</v>
      </c>
      <c r="AK1239" s="52" t="n">
        <v>0</v>
      </c>
      <c r="AL1239" s="52" t="n">
        <v>0</v>
      </c>
      <c r="AM1239" s="53" t="n">
        <v>0</v>
      </c>
      <c r="AN1239" s="53" t="n">
        <v>0</v>
      </c>
      <c r="AO1239" s="53" t="n">
        <v>0</v>
      </c>
      <c r="AP1239" s="53" t="n">
        <v>0</v>
      </c>
      <c r="AQ1239" s="52" t="n">
        <v>0</v>
      </c>
      <c r="AR1239" s="52" t="n">
        <v>0</v>
      </c>
      <c r="AS1239" s="52" t="n">
        <v>0</v>
      </c>
      <c r="AT1239" s="52" t="n">
        <v>0</v>
      </c>
      <c r="AU1239" s="53" t="n">
        <v>0</v>
      </c>
      <c r="AV1239" s="53" t="n">
        <v>0</v>
      </c>
      <c r="AW1239" s="53" t="n">
        <v>0</v>
      </c>
      <c r="AX1239" s="53" t="n">
        <v>0</v>
      </c>
      <c r="AY1239" s="52" t="n">
        <v>0</v>
      </c>
      <c r="AZ1239" s="52" t="n">
        <v>0</v>
      </c>
      <c r="BA1239" s="52" t="n">
        <v>0</v>
      </c>
      <c r="BB1239" s="52" t="n">
        <v>0</v>
      </c>
      <c r="BC1239" s="51" t="n">
        <v>0</v>
      </c>
      <c r="BD1239" s="51" t="n">
        <v>0</v>
      </c>
      <c r="BE1239" s="51" t="n">
        <v>0</v>
      </c>
      <c r="BF1239" s="51" t="n">
        <v>0</v>
      </c>
    </row>
    <row r="1240">
      <c r="A1240">
        <f>HYPERLINK("https://www.walmart.com/ip/763058423", "763058423")</f>
        <v/>
      </c>
      <c r="B1240" t="inlineStr">
        <is>
          <t>Catalonia Sherpa Wearable Blanket Poncho for Adult Women Men, Wrap Blanket Cape with Pocket, Warm, Soft, Cozy, Snuggly, Comfort Gift, No Sleeves, Plaid Buffalo Christmas</t>
        </is>
      </c>
      <c r="C1240" t="inlineStr">
        <is>
          <t>1CTBP110PRD</t>
        </is>
      </c>
      <c r="D1240" t="inlineStr">
        <is>
          <t>Throws</t>
        </is>
      </c>
      <c r="E1240" t="inlineStr">
        <is>
          <t>Catalonia</t>
        </is>
      </c>
      <c r="F1240" t="inlineStr">
        <is>
          <t>Q2-Target,Hero 5 Holidays,WFS,Coupon_Discount,WFS Item</t>
        </is>
      </c>
      <c r="G1240" s="48" t="n">
        <v>0</v>
      </c>
      <c r="H1240" s="48" t="n">
        <v>0</v>
      </c>
      <c r="I1240" s="48" t="n">
        <v>0</v>
      </c>
      <c r="J1240" s="48" t="n">
        <v>0</v>
      </c>
      <c r="K1240" s="49" t="n">
        <v>0</v>
      </c>
      <c r="L1240" s="49" t="n">
        <v>0</v>
      </c>
      <c r="M1240" s="49" t="n">
        <v>0</v>
      </c>
      <c r="N1240" s="49" t="n">
        <v>0</v>
      </c>
      <c r="O1240" s="49" t="n">
        <v>0</v>
      </c>
      <c r="P1240" s="49" t="n">
        <v>0</v>
      </c>
      <c r="Q1240" s="49" t="n">
        <v>0</v>
      </c>
      <c r="R1240" s="49" t="n">
        <v>0</v>
      </c>
      <c r="S1240" s="50" t="n">
        <v>0</v>
      </c>
      <c r="T1240" s="50" t="n">
        <v>0</v>
      </c>
      <c r="U1240" s="50" t="n">
        <v>0</v>
      </c>
      <c r="V1240" s="50" t="n">
        <v>0</v>
      </c>
      <c r="W1240" s="51" t="n">
        <v>0</v>
      </c>
      <c r="X1240" s="51" t="n">
        <v>0</v>
      </c>
      <c r="Y1240" s="51" t="n">
        <v>0</v>
      </c>
      <c r="Z1240" s="51" t="n">
        <v>0</v>
      </c>
      <c r="AA1240" s="52" t="n">
        <v>0</v>
      </c>
      <c r="AB1240" s="52" t="n">
        <v>0</v>
      </c>
      <c r="AC1240" s="52" t="n">
        <v>0</v>
      </c>
      <c r="AD1240" s="52" t="n">
        <v>0</v>
      </c>
      <c r="AE1240" s="52" t="n">
        <v>0</v>
      </c>
      <c r="AF1240" s="52" t="n">
        <v>0</v>
      </c>
      <c r="AG1240" s="52" t="n">
        <v>0</v>
      </c>
      <c r="AH1240" s="52" t="n">
        <v>0</v>
      </c>
      <c r="AI1240" s="52" t="n">
        <v>0</v>
      </c>
      <c r="AJ1240" s="52" t="n">
        <v>0</v>
      </c>
      <c r="AK1240" s="52" t="n">
        <v>0</v>
      </c>
      <c r="AL1240" s="52" t="n">
        <v>0</v>
      </c>
      <c r="AM1240" s="53" t="n">
        <v>0</v>
      </c>
      <c r="AN1240" s="53" t="n">
        <v>0</v>
      </c>
      <c r="AO1240" s="53" t="n">
        <v>0</v>
      </c>
      <c r="AP1240" s="53" t="n">
        <v>0</v>
      </c>
      <c r="AQ1240" s="52" t="n">
        <v>0</v>
      </c>
      <c r="AR1240" s="52" t="n">
        <v>0</v>
      </c>
      <c r="AS1240" s="52" t="n">
        <v>0</v>
      </c>
      <c r="AT1240" s="52" t="n">
        <v>0</v>
      </c>
      <c r="AU1240" s="53" t="n">
        <v>0</v>
      </c>
      <c r="AV1240" s="53" t="n">
        <v>0</v>
      </c>
      <c r="AW1240" s="53" t="n">
        <v>0</v>
      </c>
      <c r="AX1240" s="53" t="n">
        <v>0</v>
      </c>
      <c r="AY1240" s="52" t="n">
        <v>0</v>
      </c>
      <c r="AZ1240" s="52" t="n">
        <v>0</v>
      </c>
      <c r="BA1240" s="52" t="n">
        <v>0</v>
      </c>
      <c r="BB1240" s="52" t="n">
        <v>0</v>
      </c>
      <c r="BC1240" s="51" t="n">
        <v>0</v>
      </c>
      <c r="BD1240" s="51" t="n">
        <v>0</v>
      </c>
      <c r="BE1240" s="51" t="n">
        <v>0</v>
      </c>
      <c r="BF1240" s="51" t="n">
        <v>0</v>
      </c>
    </row>
    <row r="1241">
      <c r="A1241">
        <f>HYPERLINK("https://www.walmart.com/ip/765909574", "765909574")</f>
        <v/>
      </c>
      <c r="B1241" t="inlineStr">
        <is>
          <t>Tirrinia 2 Bottle Wine Tote Carrier - Leakproof &amp; Insulated Padded Versatile Wine Cooler Bag for Travel, BYOB Restaurant, Wine Tasting, Party, Dinner, Great Christmas Day Gift for Wine Lover, Grey</t>
        </is>
      </c>
      <c r="C1241" t="inlineStr">
        <is>
          <t>1KTWB220GY</t>
        </is>
      </c>
      <c r="D1241" t="inlineStr">
        <is>
          <t>Wine Totes, Bags &amp; Backpacks</t>
        </is>
      </c>
      <c r="E1241" t="inlineStr">
        <is>
          <t>Tirrinia</t>
        </is>
      </c>
      <c r="F1241" t="inlineStr">
        <is>
          <t>Wine,Wine Bag Camp,Christmas,WFS,Wine WFS,Valentine,WFS Item</t>
        </is>
      </c>
      <c r="G1241" s="48" t="n">
        <v>0</v>
      </c>
      <c r="H1241" s="48" t="n">
        <v>0</v>
      </c>
      <c r="I1241" s="48" t="n">
        <v>20.99</v>
      </c>
      <c r="J1241" s="48" t="n">
        <v>0</v>
      </c>
      <c r="K1241" s="49" t="n">
        <v>0</v>
      </c>
      <c r="L1241" s="49" t="n">
        <v>0</v>
      </c>
      <c r="M1241" s="49" t="n">
        <v>1</v>
      </c>
      <c r="N1241" s="49" t="n">
        <v>0</v>
      </c>
      <c r="O1241" s="49" t="n">
        <v>6</v>
      </c>
      <c r="P1241" s="49" t="n">
        <v>3</v>
      </c>
      <c r="Q1241" s="49" t="n">
        <v>5</v>
      </c>
      <c r="R1241" s="49" t="n">
        <v>4</v>
      </c>
      <c r="S1241" s="50" t="n">
        <v>0</v>
      </c>
      <c r="T1241" s="50" t="n">
        <v>0</v>
      </c>
      <c r="U1241" s="50" t="n">
        <v>0.2</v>
      </c>
      <c r="V1241" s="50" t="n">
        <v>0</v>
      </c>
      <c r="W1241" s="51" t="n">
        <v>9</v>
      </c>
      <c r="X1241" s="51" t="n">
        <v>12</v>
      </c>
      <c r="Y1241" s="51" t="n">
        <v>6</v>
      </c>
      <c r="Z1241" s="51" t="n">
        <v>6</v>
      </c>
      <c r="AA1241" s="52" t="n">
        <v>3.22</v>
      </c>
      <c r="AB1241" s="52" t="n">
        <v>4.45</v>
      </c>
      <c r="AC1241" s="52" t="n">
        <v>2.38</v>
      </c>
      <c r="AD1241" s="52" t="n">
        <v>2.31</v>
      </c>
      <c r="AE1241" s="52" t="n">
        <v>0</v>
      </c>
      <c r="AF1241" s="52" t="n">
        <v>36.98</v>
      </c>
      <c r="AG1241" s="52" t="n">
        <v>17.99</v>
      </c>
      <c r="AH1241" s="52" t="n">
        <v>0</v>
      </c>
      <c r="AI1241" s="52" t="n">
        <v>0</v>
      </c>
      <c r="AJ1241" s="52" t="n">
        <v>8.31</v>
      </c>
      <c r="AK1241" s="52" t="n">
        <v>7.56</v>
      </c>
      <c r="AL1241" s="52" t="n">
        <v>0</v>
      </c>
      <c r="AM1241" s="53" t="n">
        <v>0.0029</v>
      </c>
      <c r="AN1241" s="53" t="n">
        <v>0.0034</v>
      </c>
      <c r="AO1241" s="53" t="n">
        <v>0.002</v>
      </c>
      <c r="AP1241" s="53" t="n">
        <v>0.002</v>
      </c>
      <c r="AQ1241" s="52" t="n">
        <v>0.3577777777777778</v>
      </c>
      <c r="AR1241" s="52" t="n">
        <v>0.3708333333333333</v>
      </c>
      <c r="AS1241" s="52" t="n">
        <v>0.3966666666666667</v>
      </c>
      <c r="AT1241" s="52" t="n">
        <v>0.385</v>
      </c>
      <c r="AU1241" s="53" t="n">
        <v>0</v>
      </c>
      <c r="AV1241" s="53" t="n">
        <v>0</v>
      </c>
      <c r="AW1241" s="53" t="n">
        <v>0.1133873272987137</v>
      </c>
      <c r="AX1241" s="53" t="n">
        <v>0</v>
      </c>
      <c r="AY1241" s="52" t="n">
        <v>0</v>
      </c>
      <c r="AZ1241" s="52" t="n">
        <v>0</v>
      </c>
      <c r="BA1241" s="52" t="n">
        <v>20.99</v>
      </c>
      <c r="BB1241" s="52" t="n">
        <v>0</v>
      </c>
      <c r="BC1241" s="51" t="n">
        <v>3104</v>
      </c>
      <c r="BD1241" s="51" t="n">
        <v>3521</v>
      </c>
      <c r="BE1241" s="51" t="n">
        <v>2955</v>
      </c>
      <c r="BF1241" s="51" t="n">
        <v>3054</v>
      </c>
    </row>
    <row r="1242">
      <c r="A1242">
        <f>HYPERLINK("https://www.walmart.com/ip/766214747", "766214747")</f>
        <v/>
      </c>
      <c r="B1242" t="inlineStr">
        <is>
          <t>Sherpa Slipper Socks for Women,Winter Indoor Home Non Skid Booties</t>
        </is>
      </c>
      <c r="C1242" t="inlineStr">
        <is>
          <t>1CTST200RD-1</t>
        </is>
      </c>
      <c r="D1242" t="inlineStr">
        <is>
          <t>Socks</t>
        </is>
      </c>
      <c r="E1242" t="inlineStr">
        <is>
          <t>Catalonia</t>
        </is>
      </c>
      <c r="F1242" t="inlineStr">
        <is>
          <t>WFS,WFS Item</t>
        </is>
      </c>
      <c r="G1242" s="48" t="n">
        <v>0</v>
      </c>
      <c r="H1242" s="48" t="n">
        <v>0</v>
      </c>
      <c r="I1242" s="48" t="n">
        <v>0</v>
      </c>
      <c r="J1242" s="48" t="n">
        <v>0</v>
      </c>
      <c r="K1242" s="49" t="n">
        <v>0</v>
      </c>
      <c r="L1242" s="49" t="n">
        <v>0</v>
      </c>
      <c r="M1242" s="49" t="n">
        <v>0</v>
      </c>
      <c r="N1242" s="49" t="n">
        <v>0</v>
      </c>
      <c r="O1242" s="49" t="n">
        <v>0</v>
      </c>
      <c r="P1242" s="49" t="n">
        <v>0</v>
      </c>
      <c r="Q1242" s="49" t="n">
        <v>0</v>
      </c>
      <c r="R1242" s="49" t="n">
        <v>0</v>
      </c>
      <c r="S1242" s="50" t="n">
        <v>0</v>
      </c>
      <c r="T1242" s="50" t="n">
        <v>0</v>
      </c>
      <c r="U1242" s="50" t="n">
        <v>0</v>
      </c>
      <c r="V1242" s="50" t="n">
        <v>0</v>
      </c>
      <c r="W1242" s="51" t="n">
        <v>0</v>
      </c>
      <c r="X1242" s="51" t="n">
        <v>0</v>
      </c>
      <c r="Y1242" s="51" t="n">
        <v>0</v>
      </c>
      <c r="Z1242" s="51" t="n">
        <v>0</v>
      </c>
      <c r="AA1242" s="52" t="n">
        <v>0</v>
      </c>
      <c r="AB1242" s="52" t="n">
        <v>0</v>
      </c>
      <c r="AC1242" s="52" t="n">
        <v>0</v>
      </c>
      <c r="AD1242" s="52" t="n">
        <v>0</v>
      </c>
      <c r="AE1242" s="52" t="n">
        <v>0</v>
      </c>
      <c r="AF1242" s="52" t="n">
        <v>0</v>
      </c>
      <c r="AG1242" s="52" t="n">
        <v>0</v>
      </c>
      <c r="AH1242" s="52" t="n">
        <v>0</v>
      </c>
      <c r="AI1242" s="52" t="n">
        <v>0</v>
      </c>
      <c r="AJ1242" s="52" t="n">
        <v>0</v>
      </c>
      <c r="AK1242" s="52" t="n">
        <v>0</v>
      </c>
      <c r="AL1242" s="52" t="n">
        <v>0</v>
      </c>
      <c r="AM1242" s="53" t="n">
        <v>0</v>
      </c>
      <c r="AN1242" s="53" t="n">
        <v>0</v>
      </c>
      <c r="AO1242" s="53" t="n">
        <v>0</v>
      </c>
      <c r="AP1242" s="53" t="n">
        <v>0</v>
      </c>
      <c r="AQ1242" s="52" t="n">
        <v>0</v>
      </c>
      <c r="AR1242" s="52" t="n">
        <v>0</v>
      </c>
      <c r="AS1242" s="52" t="n">
        <v>0</v>
      </c>
      <c r="AT1242" s="52" t="n">
        <v>0</v>
      </c>
      <c r="AU1242" s="53" t="n">
        <v>0</v>
      </c>
      <c r="AV1242" s="53" t="n">
        <v>0</v>
      </c>
      <c r="AW1242" s="53" t="n">
        <v>0</v>
      </c>
      <c r="AX1242" s="53" t="n">
        <v>0</v>
      </c>
      <c r="AY1242" s="52" t="n">
        <v>0</v>
      </c>
      <c r="AZ1242" s="52" t="n">
        <v>0</v>
      </c>
      <c r="BA1242" s="52" t="n">
        <v>0</v>
      </c>
      <c r="BB1242" s="52" t="n">
        <v>0</v>
      </c>
      <c r="BC1242" s="51" t="n">
        <v>0</v>
      </c>
      <c r="BD1242" s="51" t="n">
        <v>0</v>
      </c>
      <c r="BE1242" s="51" t="n">
        <v>0</v>
      </c>
      <c r="BF1242" s="51" t="n">
        <v>0</v>
      </c>
    </row>
    <row r="1243">
      <c r="A1243">
        <f>HYPERLINK("https://www.walmart.com/ip/766236233", "766236233")</f>
        <v/>
      </c>
      <c r="B1243" t="inlineStr">
        <is>
          <t>Napa Soft Plush Fleece Throw Blanket 50”x 70” Microfiber Moroccan Lightweight Warm Bed Sofa Couch Brown</t>
        </is>
      </c>
      <c r="C1243" t="inlineStr">
        <is>
          <t>K8022-BRN</t>
        </is>
      </c>
      <c r="D1243" t="inlineStr">
        <is>
          <t>Throws</t>
        </is>
      </c>
      <c r="E1243" t="inlineStr">
        <is>
          <t>NAPA</t>
        </is>
      </c>
      <c r="F1243" t="inlineStr">
        <is>
          <t>Optimized</t>
        </is>
      </c>
      <c r="G1243" s="48" t="n">
        <v>0</v>
      </c>
      <c r="H1243" s="48" t="n">
        <v>0</v>
      </c>
      <c r="I1243" s="48" t="n">
        <v>0</v>
      </c>
      <c r="J1243" s="48" t="n">
        <v>0</v>
      </c>
      <c r="K1243" s="49" t="n">
        <v>0</v>
      </c>
      <c r="L1243" s="49" t="n">
        <v>0</v>
      </c>
      <c r="M1243" s="49" t="n">
        <v>0</v>
      </c>
      <c r="N1243" s="49" t="n">
        <v>0</v>
      </c>
      <c r="O1243" s="49" t="n">
        <v>0</v>
      </c>
      <c r="P1243" s="49" t="n">
        <v>0</v>
      </c>
      <c r="Q1243" s="49" t="n">
        <v>0</v>
      </c>
      <c r="R1243" s="49" t="n">
        <v>0</v>
      </c>
      <c r="S1243" s="50" t="n">
        <v>0</v>
      </c>
      <c r="T1243" s="50" t="n">
        <v>0</v>
      </c>
      <c r="U1243" s="50" t="n">
        <v>0</v>
      </c>
      <c r="V1243" s="50" t="n">
        <v>0</v>
      </c>
      <c r="W1243" s="51" t="n">
        <v>0</v>
      </c>
      <c r="X1243" s="51" t="n">
        <v>0</v>
      </c>
      <c r="Y1243" s="51" t="n">
        <v>0</v>
      </c>
      <c r="Z1243" s="51" t="n">
        <v>0</v>
      </c>
      <c r="AA1243" s="52" t="n">
        <v>0</v>
      </c>
      <c r="AB1243" s="52" t="n">
        <v>0</v>
      </c>
      <c r="AC1243" s="52" t="n">
        <v>0</v>
      </c>
      <c r="AD1243" s="52" t="n">
        <v>0</v>
      </c>
      <c r="AE1243" s="52" t="n">
        <v>0</v>
      </c>
      <c r="AF1243" s="52" t="n">
        <v>0</v>
      </c>
      <c r="AG1243" s="52" t="n">
        <v>0</v>
      </c>
      <c r="AH1243" s="52" t="n">
        <v>0</v>
      </c>
      <c r="AI1243" s="52" t="n">
        <v>0</v>
      </c>
      <c r="AJ1243" s="52" t="n">
        <v>0</v>
      </c>
      <c r="AK1243" s="52" t="n">
        <v>0</v>
      </c>
      <c r="AL1243" s="52" t="n">
        <v>0</v>
      </c>
      <c r="AM1243" s="53" t="n">
        <v>0</v>
      </c>
      <c r="AN1243" s="53" t="n">
        <v>0</v>
      </c>
      <c r="AO1243" s="53" t="n">
        <v>0</v>
      </c>
      <c r="AP1243" s="53" t="n">
        <v>0</v>
      </c>
      <c r="AQ1243" s="52" t="n">
        <v>0</v>
      </c>
      <c r="AR1243" s="52" t="n">
        <v>0</v>
      </c>
      <c r="AS1243" s="52" t="n">
        <v>0</v>
      </c>
      <c r="AT1243" s="52" t="n">
        <v>0</v>
      </c>
      <c r="AU1243" s="53" t="n">
        <v>0</v>
      </c>
      <c r="AV1243" s="53" t="n">
        <v>0</v>
      </c>
      <c r="AW1243" s="53" t="n">
        <v>0</v>
      </c>
      <c r="AX1243" s="53" t="n">
        <v>0</v>
      </c>
      <c r="AY1243" s="52" t="n">
        <v>0</v>
      </c>
      <c r="AZ1243" s="52" t="n">
        <v>0</v>
      </c>
      <c r="BA1243" s="52" t="n">
        <v>0</v>
      </c>
      <c r="BB1243" s="52" t="n">
        <v>0</v>
      </c>
      <c r="BC1243" s="51" t="n">
        <v>0</v>
      </c>
      <c r="BD1243" s="51" t="n">
        <v>0</v>
      </c>
      <c r="BE1243" s="51" t="n">
        <v>0</v>
      </c>
      <c r="BF1243" s="51" t="n">
        <v>0</v>
      </c>
    </row>
    <row r="1244">
      <c r="A1244">
        <f>HYPERLINK("https://www.walmart.com/ip/766256676", "766256676")</f>
        <v/>
      </c>
      <c r="B1244" t="inlineStr">
        <is>
          <t>Solaris Men Winter Ski Snow Gloves with Breathable Face Mask The Warmest 3M Insulation Waterproof Outdoor Snowboard Mitt</t>
        </is>
      </c>
      <c r="C1244" t="inlineStr">
        <is>
          <t>1SLWG301BKBK-M</t>
        </is>
      </c>
      <c r="D1244" t="inlineStr">
        <is>
          <t>Gloves &amp; Mittens</t>
        </is>
      </c>
      <c r="E1244" t="inlineStr">
        <is>
          <t>Solaris</t>
        </is>
      </c>
      <c r="F1244" t="inlineStr">
        <is>
          <t>Optimized</t>
        </is>
      </c>
      <c r="G1244" s="48" t="n">
        <v>0</v>
      </c>
      <c r="H1244" s="48" t="n">
        <v>0</v>
      </c>
      <c r="I1244" s="48" t="n">
        <v>0</v>
      </c>
      <c r="J1244" s="48" t="n">
        <v>0</v>
      </c>
      <c r="K1244" s="49" t="n">
        <v>0</v>
      </c>
      <c r="L1244" s="49" t="n">
        <v>0</v>
      </c>
      <c r="M1244" s="49" t="n">
        <v>0</v>
      </c>
      <c r="N1244" s="49" t="n">
        <v>0</v>
      </c>
      <c r="O1244" s="49" t="n">
        <v>0</v>
      </c>
      <c r="P1244" s="49" t="n">
        <v>0</v>
      </c>
      <c r="Q1244" s="49" t="n">
        <v>0</v>
      </c>
      <c r="R1244" s="49" t="n">
        <v>0</v>
      </c>
      <c r="S1244" s="50" t="n">
        <v>0</v>
      </c>
      <c r="T1244" s="50" t="n">
        <v>0</v>
      </c>
      <c r="U1244" s="50" t="n">
        <v>0</v>
      </c>
      <c r="V1244" s="50" t="n">
        <v>0</v>
      </c>
      <c r="W1244" s="51" t="n">
        <v>0</v>
      </c>
      <c r="X1244" s="51" t="n">
        <v>0</v>
      </c>
      <c r="Y1244" s="51" t="n">
        <v>0</v>
      </c>
      <c r="Z1244" s="51" t="n">
        <v>0</v>
      </c>
      <c r="AA1244" s="52" t="n">
        <v>0</v>
      </c>
      <c r="AB1244" s="52" t="n">
        <v>0</v>
      </c>
      <c r="AC1244" s="52" t="n">
        <v>0</v>
      </c>
      <c r="AD1244" s="52" t="n">
        <v>0</v>
      </c>
      <c r="AE1244" s="52" t="n">
        <v>0</v>
      </c>
      <c r="AF1244" s="52" t="n">
        <v>0</v>
      </c>
      <c r="AG1244" s="52" t="n">
        <v>0</v>
      </c>
      <c r="AH1244" s="52" t="n">
        <v>0</v>
      </c>
      <c r="AI1244" s="52" t="n">
        <v>0</v>
      </c>
      <c r="AJ1244" s="52" t="n">
        <v>0</v>
      </c>
      <c r="AK1244" s="52" t="n">
        <v>0</v>
      </c>
      <c r="AL1244" s="52" t="n">
        <v>0</v>
      </c>
      <c r="AM1244" s="53" t="n">
        <v>0</v>
      </c>
      <c r="AN1244" s="53" t="n">
        <v>0</v>
      </c>
      <c r="AO1244" s="53" t="n">
        <v>0</v>
      </c>
      <c r="AP1244" s="53" t="n">
        <v>0</v>
      </c>
      <c r="AQ1244" s="52" t="n">
        <v>0</v>
      </c>
      <c r="AR1244" s="52" t="n">
        <v>0</v>
      </c>
      <c r="AS1244" s="52" t="n">
        <v>0</v>
      </c>
      <c r="AT1244" s="52" t="n">
        <v>0</v>
      </c>
      <c r="AU1244" s="53" t="n">
        <v>0</v>
      </c>
      <c r="AV1244" s="53" t="n">
        <v>0</v>
      </c>
      <c r="AW1244" s="53" t="n">
        <v>0</v>
      </c>
      <c r="AX1244" s="53" t="n">
        <v>0</v>
      </c>
      <c r="AY1244" s="52" t="n">
        <v>0</v>
      </c>
      <c r="AZ1244" s="52" t="n">
        <v>0</v>
      </c>
      <c r="BA1244" s="52" t="n">
        <v>0</v>
      </c>
      <c r="BB1244" s="52" t="n">
        <v>0</v>
      </c>
      <c r="BC1244" s="51" t="n">
        <v>0</v>
      </c>
      <c r="BD1244" s="51" t="n">
        <v>0</v>
      </c>
      <c r="BE1244" s="51" t="n">
        <v>0</v>
      </c>
      <c r="BF1244" s="51" t="n">
        <v>0</v>
      </c>
    </row>
    <row r="1245">
      <c r="A1245">
        <f>HYPERLINK("https://www.walmart.com/ip/766276492", "766276492")</f>
        <v/>
      </c>
      <c r="B1245" t="inlineStr">
        <is>
          <t>Solaris Sun Hats UV Protection Wide Brim Hat Unisex Adult Multicolor</t>
        </is>
      </c>
      <c r="C1245" t="inlineStr">
        <is>
          <t>1SLSH910PK</t>
        </is>
      </c>
      <c r="D1245" t="inlineStr">
        <is>
          <t>Hats</t>
        </is>
      </c>
      <c r="E1245" t="inlineStr">
        <is>
          <t>Solaris</t>
        </is>
      </c>
      <c r="F1245" t="inlineStr">
        <is>
          <t>Hats,Batch 1 - TR</t>
        </is>
      </c>
      <c r="G1245" s="48" t="n">
        <v>0</v>
      </c>
      <c r="H1245" s="48" t="n">
        <v>0</v>
      </c>
      <c r="I1245" s="48" t="n">
        <v>17.99</v>
      </c>
      <c r="J1245" s="48" t="n">
        <v>0</v>
      </c>
      <c r="K1245" s="49" t="n">
        <v>0</v>
      </c>
      <c r="L1245" s="49" t="n">
        <v>0</v>
      </c>
      <c r="M1245" s="49" t="n">
        <v>1</v>
      </c>
      <c r="N1245" s="49" t="n">
        <v>0</v>
      </c>
      <c r="O1245" s="49" t="n">
        <v>0</v>
      </c>
      <c r="P1245" s="49" t="n">
        <v>0</v>
      </c>
      <c r="Q1245" s="49" t="n">
        <v>0</v>
      </c>
      <c r="R1245" s="49" t="n">
        <v>0</v>
      </c>
      <c r="S1245" s="50" t="n">
        <v>0</v>
      </c>
      <c r="T1245" s="50" t="n">
        <v>0</v>
      </c>
      <c r="U1245" s="50" t="n">
        <v>0</v>
      </c>
      <c r="V1245" s="50" t="n">
        <v>0</v>
      </c>
      <c r="W1245" s="51" t="n">
        <v>0</v>
      </c>
      <c r="X1245" s="51" t="n">
        <v>0</v>
      </c>
      <c r="Y1245" s="51" t="n">
        <v>0</v>
      </c>
      <c r="Z1245" s="51" t="n">
        <v>0</v>
      </c>
      <c r="AA1245" s="52" t="n">
        <v>0</v>
      </c>
      <c r="AB1245" s="52" t="n">
        <v>0</v>
      </c>
      <c r="AC1245" s="52" t="n">
        <v>0</v>
      </c>
      <c r="AD1245" s="52" t="n">
        <v>0</v>
      </c>
      <c r="AE1245" s="52" t="n">
        <v>0</v>
      </c>
      <c r="AF1245" s="52" t="n">
        <v>0</v>
      </c>
      <c r="AG1245" s="52" t="n">
        <v>0</v>
      </c>
      <c r="AH1245" s="52" t="n">
        <v>0</v>
      </c>
      <c r="AI1245" s="52" t="n">
        <v>0</v>
      </c>
      <c r="AJ1245" s="52" t="n">
        <v>0</v>
      </c>
      <c r="AK1245" s="52" t="n">
        <v>0</v>
      </c>
      <c r="AL1245" s="52" t="n">
        <v>0</v>
      </c>
      <c r="AM1245" s="53" t="n">
        <v>0</v>
      </c>
      <c r="AN1245" s="53" t="n">
        <v>0</v>
      </c>
      <c r="AO1245" s="53" t="n">
        <v>0</v>
      </c>
      <c r="AP1245" s="53" t="n">
        <v>0</v>
      </c>
      <c r="AQ1245" s="52" t="n">
        <v>0</v>
      </c>
      <c r="AR1245" s="52" t="n">
        <v>0</v>
      </c>
      <c r="AS1245" s="52" t="n">
        <v>0</v>
      </c>
      <c r="AT1245" s="52" t="n">
        <v>0</v>
      </c>
      <c r="AU1245" s="53" t="n">
        <v>0</v>
      </c>
      <c r="AV1245" s="53" t="n">
        <v>0</v>
      </c>
      <c r="AW1245" s="53" t="n">
        <v>0</v>
      </c>
      <c r="AX1245" s="53" t="n">
        <v>0</v>
      </c>
      <c r="AY1245" s="52" t="n">
        <v>0</v>
      </c>
      <c r="AZ1245" s="52" t="n">
        <v>0</v>
      </c>
      <c r="BA1245" s="52" t="n">
        <v>17.99</v>
      </c>
      <c r="BB1245" s="52" t="n">
        <v>0</v>
      </c>
      <c r="BC1245" s="51" t="n">
        <v>0</v>
      </c>
      <c r="BD1245" s="51" t="n">
        <v>0</v>
      </c>
      <c r="BE1245" s="51" t="n">
        <v>0</v>
      </c>
      <c r="BF1245" s="51" t="n">
        <v>0</v>
      </c>
    </row>
    <row r="1246">
      <c r="A1246">
        <f>HYPERLINK("https://www.walmart.com/ip/767166581", "767166581")</f>
        <v/>
      </c>
      <c r="B1246" t="inlineStr">
        <is>
          <t>Tirrinia Insulated 2 Bottle Wine Carrier Tote Cooler Bag for Travel Picnic Padded Champagne Glass</t>
        </is>
      </c>
      <c r="C1246" t="inlineStr">
        <is>
          <t>1TRWB230CH</t>
        </is>
      </c>
      <c r="D1246" t="inlineStr">
        <is>
          <t>Wine Totes, Bags &amp; Backpacks</t>
        </is>
      </c>
      <c r="E1246" t="inlineStr">
        <is>
          <t>Tirrinia</t>
        </is>
      </c>
      <c r="F1246" t="inlineStr">
        <is>
          <t>Wine,Christmas,Optimized,Valentine</t>
        </is>
      </c>
      <c r="G1246" s="48" t="n">
        <v>0</v>
      </c>
      <c r="H1246" s="48" t="n">
        <v>0</v>
      </c>
      <c r="I1246" s="48" t="n">
        <v>0</v>
      </c>
      <c r="J1246" s="48" t="n">
        <v>0</v>
      </c>
      <c r="K1246" s="49" t="n">
        <v>0</v>
      </c>
      <c r="L1246" s="49" t="n">
        <v>0</v>
      </c>
      <c r="M1246" s="49" t="n">
        <v>0</v>
      </c>
      <c r="N1246" s="49" t="n">
        <v>0</v>
      </c>
      <c r="O1246" s="49" t="n">
        <v>0</v>
      </c>
      <c r="P1246" s="49" t="n">
        <v>0</v>
      </c>
      <c r="Q1246" s="49" t="n">
        <v>0</v>
      </c>
      <c r="R1246" s="49" t="n">
        <v>0</v>
      </c>
      <c r="S1246" s="50" t="n">
        <v>0</v>
      </c>
      <c r="T1246" s="50" t="n">
        <v>0</v>
      </c>
      <c r="U1246" s="50" t="n">
        <v>0</v>
      </c>
      <c r="V1246" s="50" t="n">
        <v>0</v>
      </c>
      <c r="W1246" s="51" t="n">
        <v>0</v>
      </c>
      <c r="X1246" s="51" t="n">
        <v>0</v>
      </c>
      <c r="Y1246" s="51" t="n">
        <v>0</v>
      </c>
      <c r="Z1246" s="51" t="n">
        <v>0</v>
      </c>
      <c r="AA1246" s="52" t="n">
        <v>0</v>
      </c>
      <c r="AB1246" s="52" t="n">
        <v>0</v>
      </c>
      <c r="AC1246" s="52" t="n">
        <v>0</v>
      </c>
      <c r="AD1246" s="52" t="n">
        <v>0</v>
      </c>
      <c r="AE1246" s="52" t="n">
        <v>0</v>
      </c>
      <c r="AF1246" s="52" t="n">
        <v>0</v>
      </c>
      <c r="AG1246" s="52" t="n">
        <v>0</v>
      </c>
      <c r="AH1246" s="52" t="n">
        <v>0</v>
      </c>
      <c r="AI1246" s="52" t="n">
        <v>0</v>
      </c>
      <c r="AJ1246" s="52" t="n">
        <v>0</v>
      </c>
      <c r="AK1246" s="52" t="n">
        <v>0</v>
      </c>
      <c r="AL1246" s="52" t="n">
        <v>0</v>
      </c>
      <c r="AM1246" s="53" t="n">
        <v>0</v>
      </c>
      <c r="AN1246" s="53" t="n">
        <v>0</v>
      </c>
      <c r="AO1246" s="53" t="n">
        <v>0</v>
      </c>
      <c r="AP1246" s="53" t="n">
        <v>0</v>
      </c>
      <c r="AQ1246" s="52" t="n">
        <v>0</v>
      </c>
      <c r="AR1246" s="52" t="n">
        <v>0</v>
      </c>
      <c r="AS1246" s="52" t="n">
        <v>0</v>
      </c>
      <c r="AT1246" s="52" t="n">
        <v>0</v>
      </c>
      <c r="AU1246" s="53" t="n">
        <v>0</v>
      </c>
      <c r="AV1246" s="53" t="n">
        <v>0</v>
      </c>
      <c r="AW1246" s="53" t="n">
        <v>0</v>
      </c>
      <c r="AX1246" s="53" t="n">
        <v>0</v>
      </c>
      <c r="AY1246" s="52" t="n">
        <v>0</v>
      </c>
      <c r="AZ1246" s="52" t="n">
        <v>0</v>
      </c>
      <c r="BA1246" s="52" t="n">
        <v>0</v>
      </c>
      <c r="BB1246" s="52" t="n">
        <v>0</v>
      </c>
      <c r="BC1246" s="51" t="n">
        <v>0</v>
      </c>
      <c r="BD1246" s="51" t="n">
        <v>0</v>
      </c>
      <c r="BE1246" s="51" t="n">
        <v>0</v>
      </c>
      <c r="BF1246" s="51" t="n">
        <v>0</v>
      </c>
    </row>
    <row r="1247">
      <c r="A1247">
        <f>HYPERLINK("https://www.walmart.com/ip/768083940", "768083940")</f>
        <v/>
      </c>
      <c r="B1247" t="inlineStr">
        <is>
          <t>Microplush Sherpa Blanket with Sleeves for Women and Men Blue</t>
        </is>
      </c>
      <c r="C1247" t="inlineStr">
        <is>
          <t>1TRSN110BL</t>
        </is>
      </c>
      <c r="D1247" t="inlineStr">
        <is>
          <t>Throws</t>
        </is>
      </c>
      <c r="E1247" t="inlineStr">
        <is>
          <t>Tirrinia</t>
        </is>
      </c>
      <c r="F1247" t="inlineStr">
        <is>
          <t>WFS,Coupon_Discount,WFS Item</t>
        </is>
      </c>
      <c r="G1247" s="48" t="n">
        <v>0</v>
      </c>
      <c r="H1247" s="48" t="n">
        <v>0</v>
      </c>
      <c r="I1247" s="48" t="n">
        <v>0</v>
      </c>
      <c r="J1247" s="48" t="n">
        <v>0</v>
      </c>
      <c r="K1247" s="49" t="n">
        <v>0</v>
      </c>
      <c r="L1247" s="49" t="n">
        <v>0</v>
      </c>
      <c r="M1247" s="49" t="n">
        <v>0</v>
      </c>
      <c r="N1247" s="49" t="n">
        <v>0</v>
      </c>
      <c r="O1247" s="49" t="n">
        <v>0</v>
      </c>
      <c r="P1247" s="49" t="n">
        <v>0</v>
      </c>
      <c r="Q1247" s="49" t="n">
        <v>0</v>
      </c>
      <c r="R1247" s="49" t="n">
        <v>0</v>
      </c>
      <c r="S1247" s="50" t="n">
        <v>0</v>
      </c>
      <c r="T1247" s="50" t="n">
        <v>0</v>
      </c>
      <c r="U1247" s="50" t="n">
        <v>0</v>
      </c>
      <c r="V1247" s="50" t="n">
        <v>0</v>
      </c>
      <c r="W1247" s="51" t="n">
        <v>0</v>
      </c>
      <c r="X1247" s="51" t="n">
        <v>0</v>
      </c>
      <c r="Y1247" s="51" t="n">
        <v>0</v>
      </c>
      <c r="Z1247" s="51" t="n">
        <v>0</v>
      </c>
      <c r="AA1247" s="52" t="n">
        <v>0</v>
      </c>
      <c r="AB1247" s="52" t="n">
        <v>0</v>
      </c>
      <c r="AC1247" s="52" t="n">
        <v>0</v>
      </c>
      <c r="AD1247" s="52" t="n">
        <v>0</v>
      </c>
      <c r="AE1247" s="52" t="n">
        <v>0</v>
      </c>
      <c r="AF1247" s="52" t="n">
        <v>0</v>
      </c>
      <c r="AG1247" s="52" t="n">
        <v>0</v>
      </c>
      <c r="AH1247" s="52" t="n">
        <v>0</v>
      </c>
      <c r="AI1247" s="52" t="n">
        <v>0</v>
      </c>
      <c r="AJ1247" s="52" t="n">
        <v>0</v>
      </c>
      <c r="AK1247" s="52" t="n">
        <v>0</v>
      </c>
      <c r="AL1247" s="52" t="n">
        <v>0</v>
      </c>
      <c r="AM1247" s="53" t="n">
        <v>0</v>
      </c>
      <c r="AN1247" s="53" t="n">
        <v>0</v>
      </c>
      <c r="AO1247" s="53" t="n">
        <v>0</v>
      </c>
      <c r="AP1247" s="53" t="n">
        <v>0</v>
      </c>
      <c r="AQ1247" s="52" t="n">
        <v>0</v>
      </c>
      <c r="AR1247" s="52" t="n">
        <v>0</v>
      </c>
      <c r="AS1247" s="52" t="n">
        <v>0</v>
      </c>
      <c r="AT1247" s="52" t="n">
        <v>0</v>
      </c>
      <c r="AU1247" s="53" t="n">
        <v>0</v>
      </c>
      <c r="AV1247" s="53" t="n">
        <v>0</v>
      </c>
      <c r="AW1247" s="53" t="n">
        <v>0</v>
      </c>
      <c r="AX1247" s="53" t="n">
        <v>0</v>
      </c>
      <c r="AY1247" s="52" t="n">
        <v>0</v>
      </c>
      <c r="AZ1247" s="52" t="n">
        <v>0</v>
      </c>
      <c r="BA1247" s="52" t="n">
        <v>0</v>
      </c>
      <c r="BB1247" s="52" t="n">
        <v>0</v>
      </c>
      <c r="BC1247" s="51" t="n">
        <v>0</v>
      </c>
      <c r="BD1247" s="51" t="n">
        <v>0</v>
      </c>
      <c r="BE1247" s="51" t="n">
        <v>0</v>
      </c>
      <c r="BF1247" s="51" t="n">
        <v>0</v>
      </c>
    </row>
    <row r="1248">
      <c r="A1248">
        <f>HYPERLINK("https://www.walmart.com/ip/759888188", "759888188")</f>
        <v/>
      </c>
      <c r="B1248" t="inlineStr">
        <is>
          <t>Long Kinky Curly Wig Lace Front, Black Halloween Wigs for Women, Synthetic Fiber Deep Wave Hair Replacement Wig 19 Inch</t>
        </is>
      </c>
      <c r="C1248" t="inlineStr">
        <is>
          <t>1CTWIG001-2-ESCB</t>
        </is>
      </c>
      <c r="D1248" t="inlineStr">
        <is>
          <t>Wigs &amp; Toupees</t>
        </is>
      </c>
      <c r="E1248" t="inlineStr">
        <is>
          <t>Catalonia</t>
        </is>
      </c>
      <c r="G1248" s="48" t="n">
        <v>0</v>
      </c>
      <c r="H1248" s="48" t="n">
        <v>0</v>
      </c>
      <c r="I1248" s="48" t="n">
        <v>0</v>
      </c>
      <c r="J1248" s="48" t="n">
        <v>0</v>
      </c>
      <c r="K1248" s="49" t="n">
        <v>0</v>
      </c>
      <c r="L1248" s="49" t="n">
        <v>0</v>
      </c>
      <c r="M1248" s="49" t="n">
        <v>0</v>
      </c>
      <c r="N1248" s="49" t="n">
        <v>0</v>
      </c>
      <c r="O1248" s="49" t="n">
        <v>0</v>
      </c>
      <c r="P1248" s="49" t="n">
        <v>0</v>
      </c>
      <c r="Q1248" s="49" t="n">
        <v>0</v>
      </c>
      <c r="R1248" s="49" t="n">
        <v>0</v>
      </c>
      <c r="S1248" s="50" t="n">
        <v>0</v>
      </c>
      <c r="T1248" s="50" t="n">
        <v>0</v>
      </c>
      <c r="U1248" s="50" t="n">
        <v>0</v>
      </c>
      <c r="V1248" s="50" t="n">
        <v>0</v>
      </c>
      <c r="W1248" s="51" t="n">
        <v>0</v>
      </c>
      <c r="X1248" s="51" t="n">
        <v>0</v>
      </c>
      <c r="Y1248" s="51" t="n">
        <v>0</v>
      </c>
      <c r="Z1248" s="51" t="n">
        <v>0</v>
      </c>
      <c r="AA1248" s="52" t="n">
        <v>0</v>
      </c>
      <c r="AB1248" s="52" t="n">
        <v>0</v>
      </c>
      <c r="AC1248" s="52" t="n">
        <v>0</v>
      </c>
      <c r="AD1248" s="52" t="n">
        <v>0</v>
      </c>
      <c r="AE1248" s="52" t="n">
        <v>0</v>
      </c>
      <c r="AF1248" s="52" t="n">
        <v>0</v>
      </c>
      <c r="AG1248" s="52" t="n">
        <v>0</v>
      </c>
      <c r="AH1248" s="52" t="n">
        <v>0</v>
      </c>
      <c r="AI1248" s="52" t="n">
        <v>0</v>
      </c>
      <c r="AJ1248" s="52" t="n">
        <v>0</v>
      </c>
      <c r="AK1248" s="52" t="n">
        <v>0</v>
      </c>
      <c r="AL1248" s="52" t="n">
        <v>0</v>
      </c>
      <c r="AM1248" s="53" t="n">
        <v>0</v>
      </c>
      <c r="AN1248" s="53" t="n">
        <v>0</v>
      </c>
      <c r="AO1248" s="53" t="n">
        <v>0</v>
      </c>
      <c r="AP1248" s="53" t="n">
        <v>0</v>
      </c>
      <c r="AQ1248" s="52" t="n">
        <v>0</v>
      </c>
      <c r="AR1248" s="52" t="n">
        <v>0</v>
      </c>
      <c r="AS1248" s="52" t="n">
        <v>0</v>
      </c>
      <c r="AT1248" s="52" t="n">
        <v>0</v>
      </c>
      <c r="AU1248" s="53" t="n">
        <v>0</v>
      </c>
      <c r="AV1248" s="53" t="n">
        <v>0</v>
      </c>
      <c r="AW1248" s="53" t="n">
        <v>0</v>
      </c>
      <c r="AX1248" s="53" t="n">
        <v>0</v>
      </c>
      <c r="AY1248" s="52" t="n">
        <v>0</v>
      </c>
      <c r="AZ1248" s="52" t="n">
        <v>0</v>
      </c>
      <c r="BA1248" s="52" t="n">
        <v>0</v>
      </c>
      <c r="BB1248" s="52" t="n">
        <v>0</v>
      </c>
      <c r="BC1248" s="51" t="n">
        <v>0</v>
      </c>
      <c r="BD1248" s="51" t="n">
        <v>0</v>
      </c>
      <c r="BE1248" s="51" t="n">
        <v>0</v>
      </c>
      <c r="BF1248" s="51" t="n">
        <v>0</v>
      </c>
    </row>
    <row r="1249">
      <c r="A1249">
        <f>HYPERLINK("https://www.walmart.com/ip/759415807", "759415807")</f>
        <v/>
      </c>
      <c r="B1249" t="inlineStr">
        <is>
          <t>Tirrinia Women Floppy Straw Sun Hat Wide Brim Striped Beach Cap Foldable, Black, Head Circumference Measures 22.5”, Brim Measures 3.5”.</t>
        </is>
      </c>
      <c r="C1249" t="inlineStr">
        <is>
          <t>1TRSH101BK-TBCB</t>
        </is>
      </c>
      <c r="D1249" t="inlineStr">
        <is>
          <t>Hats</t>
        </is>
      </c>
      <c r="E1249" t="inlineStr">
        <is>
          <t>Tirrinia</t>
        </is>
      </c>
      <c r="F1249" t="inlineStr">
        <is>
          <t>Q2-Target</t>
        </is>
      </c>
      <c r="G1249" s="48" t="n">
        <v>0</v>
      </c>
      <c r="H1249" s="48" t="n">
        <v>0</v>
      </c>
      <c r="I1249" s="48" t="n">
        <v>0</v>
      </c>
      <c r="J1249" s="48" t="n">
        <v>0</v>
      </c>
      <c r="K1249" s="49" t="n">
        <v>0</v>
      </c>
      <c r="L1249" s="49" t="n">
        <v>0</v>
      </c>
      <c r="M1249" s="49" t="n">
        <v>0</v>
      </c>
      <c r="N1249" s="49" t="n">
        <v>0</v>
      </c>
      <c r="O1249" s="49" t="n">
        <v>0</v>
      </c>
      <c r="P1249" s="49" t="n">
        <v>0</v>
      </c>
      <c r="Q1249" s="49" t="n">
        <v>0</v>
      </c>
      <c r="R1249" s="49" t="n">
        <v>0</v>
      </c>
      <c r="S1249" s="50" t="n">
        <v>0</v>
      </c>
      <c r="T1249" s="50" t="n">
        <v>0</v>
      </c>
      <c r="U1249" s="50" t="n">
        <v>0</v>
      </c>
      <c r="V1249" s="50" t="n">
        <v>0</v>
      </c>
      <c r="W1249" s="51" t="n">
        <v>0</v>
      </c>
      <c r="X1249" s="51" t="n">
        <v>0</v>
      </c>
      <c r="Y1249" s="51" t="n">
        <v>0</v>
      </c>
      <c r="Z1249" s="51" t="n">
        <v>0</v>
      </c>
      <c r="AA1249" s="52" t="n">
        <v>0</v>
      </c>
      <c r="AB1249" s="52" t="n">
        <v>0</v>
      </c>
      <c r="AC1249" s="52" t="n">
        <v>0</v>
      </c>
      <c r="AD1249" s="52" t="n">
        <v>0</v>
      </c>
      <c r="AE1249" s="52" t="n">
        <v>0</v>
      </c>
      <c r="AF1249" s="52" t="n">
        <v>0</v>
      </c>
      <c r="AG1249" s="52" t="n">
        <v>0</v>
      </c>
      <c r="AH1249" s="52" t="n">
        <v>0</v>
      </c>
      <c r="AI1249" s="52" t="n">
        <v>0</v>
      </c>
      <c r="AJ1249" s="52" t="n">
        <v>0</v>
      </c>
      <c r="AK1249" s="52" t="n">
        <v>0</v>
      </c>
      <c r="AL1249" s="52" t="n">
        <v>0</v>
      </c>
      <c r="AM1249" s="53" t="n">
        <v>0</v>
      </c>
      <c r="AN1249" s="53" t="n">
        <v>0</v>
      </c>
      <c r="AO1249" s="53" t="n">
        <v>0</v>
      </c>
      <c r="AP1249" s="53" t="n">
        <v>0</v>
      </c>
      <c r="AQ1249" s="52" t="n">
        <v>0</v>
      </c>
      <c r="AR1249" s="52" t="n">
        <v>0</v>
      </c>
      <c r="AS1249" s="52" t="n">
        <v>0</v>
      </c>
      <c r="AT1249" s="52" t="n">
        <v>0</v>
      </c>
      <c r="AU1249" s="53" t="n">
        <v>0</v>
      </c>
      <c r="AV1249" s="53" t="n">
        <v>0</v>
      </c>
      <c r="AW1249" s="53" t="n">
        <v>0</v>
      </c>
      <c r="AX1249" s="53" t="n">
        <v>0</v>
      </c>
      <c r="AY1249" s="52" t="n">
        <v>0</v>
      </c>
      <c r="AZ1249" s="52" t="n">
        <v>0</v>
      </c>
      <c r="BA1249" s="52" t="n">
        <v>0</v>
      </c>
      <c r="BB1249" s="52" t="n">
        <v>0</v>
      </c>
      <c r="BC1249" s="51" t="n">
        <v>0</v>
      </c>
      <c r="BD1249" s="51" t="n">
        <v>0</v>
      </c>
      <c r="BE1249" s="51" t="n">
        <v>0</v>
      </c>
      <c r="BF1249" s="51" t="n">
        <v>0</v>
      </c>
    </row>
    <row r="1250">
      <c r="A1250">
        <f>HYPERLINK("https://www.walmart.com/ip/785813879", "785813879")</f>
        <v/>
      </c>
      <c r="B1250" t="inlineStr">
        <is>
          <t>Women’s Swim Bathing Suit Cover Up, Summer Chiffon Maxi Beach Dress Skirt</t>
        </is>
      </c>
      <c r="C1250" t="inlineStr">
        <is>
          <t>1WMDS100BG</t>
        </is>
      </c>
      <c r="D1250" t="inlineStr">
        <is>
          <t>Dresses</t>
        </is>
      </c>
      <c r="E1250" t="inlineStr">
        <is>
          <t>Flyingstar</t>
        </is>
      </c>
      <c r="F1250" t="inlineStr">
        <is>
          <t>Batch 1 - TR</t>
        </is>
      </c>
      <c r="G1250" s="48" t="n">
        <v>0</v>
      </c>
      <c r="H1250" s="48" t="n">
        <v>0</v>
      </c>
      <c r="I1250" s="48" t="n">
        <v>0</v>
      </c>
      <c r="J1250" s="48" t="n">
        <v>0</v>
      </c>
      <c r="K1250" s="49" t="n">
        <v>0</v>
      </c>
      <c r="L1250" s="49" t="n">
        <v>0</v>
      </c>
      <c r="M1250" s="49" t="n">
        <v>0</v>
      </c>
      <c r="N1250" s="49" t="n">
        <v>0</v>
      </c>
      <c r="O1250" s="49" t="n">
        <v>0</v>
      </c>
      <c r="P1250" s="49" t="n">
        <v>0</v>
      </c>
      <c r="Q1250" s="49" t="n">
        <v>0</v>
      </c>
      <c r="R1250" s="49" t="n">
        <v>0</v>
      </c>
      <c r="S1250" s="50" t="n">
        <v>0</v>
      </c>
      <c r="T1250" s="50" t="n">
        <v>0</v>
      </c>
      <c r="U1250" s="50" t="n">
        <v>0</v>
      </c>
      <c r="V1250" s="50" t="n">
        <v>0</v>
      </c>
      <c r="W1250" s="51" t="n">
        <v>0</v>
      </c>
      <c r="X1250" s="51" t="n">
        <v>0</v>
      </c>
      <c r="Y1250" s="51" t="n">
        <v>0</v>
      </c>
      <c r="Z1250" s="51" t="n">
        <v>0</v>
      </c>
      <c r="AA1250" s="52" t="n">
        <v>0</v>
      </c>
      <c r="AB1250" s="52" t="n">
        <v>0</v>
      </c>
      <c r="AC1250" s="52" t="n">
        <v>0</v>
      </c>
      <c r="AD1250" s="52" t="n">
        <v>0</v>
      </c>
      <c r="AE1250" s="52" t="n">
        <v>0</v>
      </c>
      <c r="AF1250" s="52" t="n">
        <v>0</v>
      </c>
      <c r="AG1250" s="52" t="n">
        <v>0</v>
      </c>
      <c r="AH1250" s="52" t="n">
        <v>0</v>
      </c>
      <c r="AI1250" s="52" t="n">
        <v>0</v>
      </c>
      <c r="AJ1250" s="52" t="n">
        <v>0</v>
      </c>
      <c r="AK1250" s="52" t="n">
        <v>0</v>
      </c>
      <c r="AL1250" s="52" t="n">
        <v>0</v>
      </c>
      <c r="AM1250" s="53" t="n">
        <v>0</v>
      </c>
      <c r="AN1250" s="53" t="n">
        <v>0</v>
      </c>
      <c r="AO1250" s="53" t="n">
        <v>0</v>
      </c>
      <c r="AP1250" s="53" t="n">
        <v>0</v>
      </c>
      <c r="AQ1250" s="52" t="n">
        <v>0</v>
      </c>
      <c r="AR1250" s="52" t="n">
        <v>0</v>
      </c>
      <c r="AS1250" s="52" t="n">
        <v>0</v>
      </c>
      <c r="AT1250" s="52" t="n">
        <v>0</v>
      </c>
      <c r="AU1250" s="53" t="n">
        <v>0</v>
      </c>
      <c r="AV1250" s="53" t="n">
        <v>0</v>
      </c>
      <c r="AW1250" s="53" t="n">
        <v>0</v>
      </c>
      <c r="AX1250" s="53" t="n">
        <v>0</v>
      </c>
      <c r="AY1250" s="52" t="n">
        <v>0</v>
      </c>
      <c r="AZ1250" s="52" t="n">
        <v>0</v>
      </c>
      <c r="BA1250" s="52" t="n">
        <v>0</v>
      </c>
      <c r="BB1250" s="52" t="n">
        <v>0</v>
      </c>
      <c r="BC1250" s="51" t="n">
        <v>0</v>
      </c>
      <c r="BD1250" s="51" t="n">
        <v>0</v>
      </c>
      <c r="BE1250" s="51" t="n">
        <v>0</v>
      </c>
      <c r="BF1250" s="51" t="n">
        <v>0</v>
      </c>
    </row>
    <row r="1251">
      <c r="A1251">
        <f>HYPERLINK("https://www.walmart.com/ip/759178264", "759178264")</f>
        <v/>
      </c>
      <c r="B1251" t="inlineStr">
        <is>
          <t>Wearable Fleece Blanket with Sleeves and Pocket for Women Men, Super Soft Microplush Adult Wrap Full Body Blanket Robe for Lounge Couch As Seen On TV 73" x 51" | Catalonia series by Terrania | Black</t>
        </is>
      </c>
      <c r="C1251" t="inlineStr">
        <is>
          <t>1TRSN100BK-TBCB</t>
        </is>
      </c>
      <c r="D1251" t="inlineStr">
        <is>
          <t>Throws</t>
        </is>
      </c>
      <c r="E1251" t="inlineStr">
        <is>
          <t>Tirrinia</t>
        </is>
      </c>
      <c r="F1251" t="inlineStr">
        <is>
          <t>Optimized,WFS,WFS Item,Fleece Blankets</t>
        </is>
      </c>
      <c r="G1251" s="48" t="n">
        <v>0</v>
      </c>
      <c r="H1251" s="48" t="n">
        <v>0</v>
      </c>
      <c r="I1251" s="48" t="n">
        <v>0</v>
      </c>
      <c r="J1251" s="48" t="n">
        <v>0</v>
      </c>
      <c r="K1251" s="49" t="n">
        <v>0</v>
      </c>
      <c r="L1251" s="49" t="n">
        <v>0</v>
      </c>
      <c r="M1251" s="49" t="n">
        <v>0</v>
      </c>
      <c r="N1251" s="49" t="n">
        <v>0</v>
      </c>
      <c r="O1251" s="49" t="n">
        <v>0</v>
      </c>
      <c r="P1251" s="49" t="n">
        <v>0</v>
      </c>
      <c r="Q1251" s="49" t="n">
        <v>0</v>
      </c>
      <c r="R1251" s="49" t="n">
        <v>0</v>
      </c>
      <c r="S1251" s="50" t="n">
        <v>0</v>
      </c>
      <c r="T1251" s="50" t="n">
        <v>0</v>
      </c>
      <c r="U1251" s="50" t="n">
        <v>0</v>
      </c>
      <c r="V1251" s="50" t="n">
        <v>0</v>
      </c>
      <c r="W1251" s="51" t="n">
        <v>0</v>
      </c>
      <c r="X1251" s="51" t="n">
        <v>0</v>
      </c>
      <c r="Y1251" s="51" t="n">
        <v>0</v>
      </c>
      <c r="Z1251" s="51" t="n">
        <v>0</v>
      </c>
      <c r="AA1251" s="52" t="n">
        <v>0</v>
      </c>
      <c r="AB1251" s="52" t="n">
        <v>0</v>
      </c>
      <c r="AC1251" s="52" t="n">
        <v>0</v>
      </c>
      <c r="AD1251" s="52" t="n">
        <v>0</v>
      </c>
      <c r="AE1251" s="52" t="n">
        <v>0</v>
      </c>
      <c r="AF1251" s="52" t="n">
        <v>0</v>
      </c>
      <c r="AG1251" s="52" t="n">
        <v>0</v>
      </c>
      <c r="AH1251" s="52" t="n">
        <v>0</v>
      </c>
      <c r="AI1251" s="52" t="n">
        <v>0</v>
      </c>
      <c r="AJ1251" s="52" t="n">
        <v>0</v>
      </c>
      <c r="AK1251" s="52" t="n">
        <v>0</v>
      </c>
      <c r="AL1251" s="52" t="n">
        <v>0</v>
      </c>
      <c r="AM1251" s="53" t="n">
        <v>0</v>
      </c>
      <c r="AN1251" s="53" t="n">
        <v>0</v>
      </c>
      <c r="AO1251" s="53" t="n">
        <v>0</v>
      </c>
      <c r="AP1251" s="53" t="n">
        <v>0</v>
      </c>
      <c r="AQ1251" s="52" t="n">
        <v>0</v>
      </c>
      <c r="AR1251" s="52" t="n">
        <v>0</v>
      </c>
      <c r="AS1251" s="52" t="n">
        <v>0</v>
      </c>
      <c r="AT1251" s="52" t="n">
        <v>0</v>
      </c>
      <c r="AU1251" s="53" t="n">
        <v>0</v>
      </c>
      <c r="AV1251" s="53" t="n">
        <v>0</v>
      </c>
      <c r="AW1251" s="53" t="n">
        <v>0</v>
      </c>
      <c r="AX1251" s="53" t="n">
        <v>0</v>
      </c>
      <c r="AY1251" s="52" t="n">
        <v>0</v>
      </c>
      <c r="AZ1251" s="52" t="n">
        <v>0</v>
      </c>
      <c r="BA1251" s="52" t="n">
        <v>0</v>
      </c>
      <c r="BB1251" s="52" t="n">
        <v>0</v>
      </c>
      <c r="BC1251" s="51" t="n">
        <v>0</v>
      </c>
      <c r="BD1251" s="51" t="n">
        <v>0</v>
      </c>
      <c r="BE1251" s="51" t="n">
        <v>0</v>
      </c>
      <c r="BF1251" s="51" t="n">
        <v>0</v>
      </c>
    </row>
    <row r="1252">
      <c r="A1252">
        <f>HYPERLINK("https://www.walmart.com/ip/741215290", "741215290")</f>
        <v/>
      </c>
      <c r="B1252" t="inlineStr">
        <is>
          <t>Flyingstar Insulated Thermal Lunch Bag, Reusable Tote Bag for Men, Women &amp; Kids with Floral Blue Pattern</t>
        </is>
      </c>
      <c r="C1252" t="inlineStr">
        <is>
          <t>1WMLB703BLFL</t>
        </is>
      </c>
      <c r="D1252" t="inlineStr">
        <is>
          <t>Reusable Lunch Bags &amp; Boxes</t>
        </is>
      </c>
      <c r="E1252" t="inlineStr">
        <is>
          <t>Flyingstar</t>
        </is>
      </c>
      <c r="F1252" t="inlineStr">
        <is>
          <t>Q2-Target,Lunch Bag,Optimized,Lunch Bags,WFS Item</t>
        </is>
      </c>
      <c r="G1252" s="48" t="n">
        <v>0</v>
      </c>
      <c r="H1252" s="48" t="n">
        <v>0</v>
      </c>
      <c r="I1252" s="48" t="n">
        <v>0</v>
      </c>
      <c r="J1252" s="48" t="n">
        <v>0</v>
      </c>
      <c r="K1252" s="49" t="n">
        <v>0</v>
      </c>
      <c r="L1252" s="49" t="n">
        <v>0</v>
      </c>
      <c r="M1252" s="49" t="n">
        <v>0</v>
      </c>
      <c r="N1252" s="49" t="n">
        <v>0</v>
      </c>
      <c r="O1252" s="49" t="n">
        <v>0</v>
      </c>
      <c r="P1252" s="49" t="n">
        <v>0</v>
      </c>
      <c r="Q1252" s="49" t="n">
        <v>0</v>
      </c>
      <c r="R1252" s="49" t="n">
        <v>0</v>
      </c>
      <c r="S1252" s="50" t="n">
        <v>0</v>
      </c>
      <c r="T1252" s="50" t="n">
        <v>0</v>
      </c>
      <c r="U1252" s="50" t="n">
        <v>0</v>
      </c>
      <c r="V1252" s="50" t="n">
        <v>0</v>
      </c>
      <c r="W1252" s="51" t="n">
        <v>0</v>
      </c>
      <c r="X1252" s="51" t="n">
        <v>0</v>
      </c>
      <c r="Y1252" s="51" t="n">
        <v>0</v>
      </c>
      <c r="Z1252" s="51" t="n">
        <v>0</v>
      </c>
      <c r="AA1252" s="52" t="n">
        <v>0</v>
      </c>
      <c r="AB1252" s="52" t="n">
        <v>0</v>
      </c>
      <c r="AC1252" s="52" t="n">
        <v>0</v>
      </c>
      <c r="AD1252" s="52" t="n">
        <v>0</v>
      </c>
      <c r="AE1252" s="52" t="n">
        <v>0</v>
      </c>
      <c r="AF1252" s="52" t="n">
        <v>0</v>
      </c>
      <c r="AG1252" s="52" t="n">
        <v>0</v>
      </c>
      <c r="AH1252" s="52" t="n">
        <v>0</v>
      </c>
      <c r="AI1252" s="52" t="n">
        <v>0</v>
      </c>
      <c r="AJ1252" s="52" t="n">
        <v>0</v>
      </c>
      <c r="AK1252" s="52" t="n">
        <v>0</v>
      </c>
      <c r="AL1252" s="52" t="n">
        <v>0</v>
      </c>
      <c r="AM1252" s="53" t="n">
        <v>0</v>
      </c>
      <c r="AN1252" s="53" t="n">
        <v>0</v>
      </c>
      <c r="AO1252" s="53" t="n">
        <v>0</v>
      </c>
      <c r="AP1252" s="53" t="n">
        <v>0</v>
      </c>
      <c r="AQ1252" s="52" t="n">
        <v>0</v>
      </c>
      <c r="AR1252" s="52" t="n">
        <v>0</v>
      </c>
      <c r="AS1252" s="52" t="n">
        <v>0</v>
      </c>
      <c r="AT1252" s="52" t="n">
        <v>0</v>
      </c>
      <c r="AU1252" s="53" t="n">
        <v>0</v>
      </c>
      <c r="AV1252" s="53" t="n">
        <v>0</v>
      </c>
      <c r="AW1252" s="53" t="n">
        <v>0</v>
      </c>
      <c r="AX1252" s="53" t="n">
        <v>0</v>
      </c>
      <c r="AY1252" s="52" t="n">
        <v>0</v>
      </c>
      <c r="AZ1252" s="52" t="n">
        <v>0</v>
      </c>
      <c r="BA1252" s="52" t="n">
        <v>0</v>
      </c>
      <c r="BB1252" s="52" t="n">
        <v>0</v>
      </c>
      <c r="BC1252" s="51" t="n">
        <v>0</v>
      </c>
      <c r="BD1252" s="51" t="n">
        <v>0</v>
      </c>
      <c r="BE1252" s="51" t="n">
        <v>0</v>
      </c>
      <c r="BF1252" s="51" t="n">
        <v>0</v>
      </c>
    </row>
    <row r="1253">
      <c r="A1253">
        <f>HYPERLINK("https://www.walmart.com/ip/742084694", "742084694")</f>
        <v/>
      </c>
      <c r="B1253" t="inlineStr">
        <is>
          <t>Tirrinia Wearable Fleece Blanket with Sleeves for Adult Women and Men, Super Soft Comfy Plush TV Blanket, Throw Wrap Cover for Lounge Couch, Red Buffalo Plaid, 73" x 51"</t>
        </is>
      </c>
      <c r="C1253" t="inlineStr">
        <is>
          <t>1TRSN100P2RD</t>
        </is>
      </c>
      <c r="D1253" t="inlineStr">
        <is>
          <t>Throws</t>
        </is>
      </c>
      <c r="E1253" t="inlineStr">
        <is>
          <t>Tirrinia</t>
        </is>
      </c>
      <c r="F1253" t="inlineStr">
        <is>
          <t>WFS,WFS Item,Fleece Blankets</t>
        </is>
      </c>
      <c r="G1253" s="48" t="n">
        <v>0</v>
      </c>
      <c r="H1253" s="48" t="n">
        <v>0</v>
      </c>
      <c r="I1253" s="48" t="n">
        <v>0</v>
      </c>
      <c r="J1253" s="48" t="n">
        <v>0</v>
      </c>
      <c r="K1253" s="49" t="n">
        <v>0</v>
      </c>
      <c r="L1253" s="49" t="n">
        <v>0</v>
      </c>
      <c r="M1253" s="49" t="n">
        <v>0</v>
      </c>
      <c r="N1253" s="49" t="n">
        <v>0</v>
      </c>
      <c r="O1253" s="49" t="n">
        <v>0</v>
      </c>
      <c r="P1253" s="49" t="n">
        <v>0</v>
      </c>
      <c r="Q1253" s="49" t="n">
        <v>0</v>
      </c>
      <c r="R1253" s="49" t="n">
        <v>0</v>
      </c>
      <c r="S1253" s="50" t="n">
        <v>0</v>
      </c>
      <c r="T1253" s="50" t="n">
        <v>0</v>
      </c>
      <c r="U1253" s="50" t="n">
        <v>0</v>
      </c>
      <c r="V1253" s="50" t="n">
        <v>0</v>
      </c>
      <c r="W1253" s="51" t="n">
        <v>0</v>
      </c>
      <c r="X1253" s="51" t="n">
        <v>0</v>
      </c>
      <c r="Y1253" s="51" t="n">
        <v>0</v>
      </c>
      <c r="Z1253" s="51" t="n">
        <v>0</v>
      </c>
      <c r="AA1253" s="52" t="n">
        <v>0</v>
      </c>
      <c r="AB1253" s="52" t="n">
        <v>0</v>
      </c>
      <c r="AC1253" s="52" t="n">
        <v>0</v>
      </c>
      <c r="AD1253" s="52" t="n">
        <v>0</v>
      </c>
      <c r="AE1253" s="52" t="n">
        <v>0</v>
      </c>
      <c r="AF1253" s="52" t="n">
        <v>0</v>
      </c>
      <c r="AG1253" s="52" t="n">
        <v>0</v>
      </c>
      <c r="AH1253" s="52" t="n">
        <v>0</v>
      </c>
      <c r="AI1253" s="52" t="n">
        <v>0</v>
      </c>
      <c r="AJ1253" s="52" t="n">
        <v>0</v>
      </c>
      <c r="AK1253" s="52" t="n">
        <v>0</v>
      </c>
      <c r="AL1253" s="52" t="n">
        <v>0</v>
      </c>
      <c r="AM1253" s="53" t="n">
        <v>0</v>
      </c>
      <c r="AN1253" s="53" t="n">
        <v>0</v>
      </c>
      <c r="AO1253" s="53" t="n">
        <v>0</v>
      </c>
      <c r="AP1253" s="53" t="n">
        <v>0</v>
      </c>
      <c r="AQ1253" s="52" t="n">
        <v>0</v>
      </c>
      <c r="AR1253" s="52" t="n">
        <v>0</v>
      </c>
      <c r="AS1253" s="52" t="n">
        <v>0</v>
      </c>
      <c r="AT1253" s="52" t="n">
        <v>0</v>
      </c>
      <c r="AU1253" s="53" t="n">
        <v>0</v>
      </c>
      <c r="AV1253" s="53" t="n">
        <v>0</v>
      </c>
      <c r="AW1253" s="53" t="n">
        <v>0</v>
      </c>
      <c r="AX1253" s="53" t="n">
        <v>0</v>
      </c>
      <c r="AY1253" s="52" t="n">
        <v>0</v>
      </c>
      <c r="AZ1253" s="52" t="n">
        <v>0</v>
      </c>
      <c r="BA1253" s="52" t="n">
        <v>0</v>
      </c>
      <c r="BB1253" s="52" t="n">
        <v>0</v>
      </c>
      <c r="BC1253" s="51" t="n">
        <v>0</v>
      </c>
      <c r="BD1253" s="51" t="n">
        <v>0</v>
      </c>
      <c r="BE1253" s="51" t="n">
        <v>0</v>
      </c>
      <c r="BF1253" s="51" t="n">
        <v>0</v>
      </c>
    </row>
    <row r="1254">
      <c r="A1254">
        <f>HYPERLINK("https://www.walmart.com/ip/742753618", "742753618")</f>
        <v/>
      </c>
      <c r="B1254" t="inlineStr">
        <is>
          <t>Women's High Waist Yoga Pants Workout Running Capri Legging Inner Pocket</t>
        </is>
      </c>
      <c r="C1254" t="inlineStr">
        <is>
          <t>1TRYP102BK-LXL</t>
        </is>
      </c>
      <c r="D1254" t="inlineStr">
        <is>
          <t>Leggings</t>
        </is>
      </c>
      <c r="E1254" t="inlineStr">
        <is>
          <t>Tirrinia</t>
        </is>
      </c>
      <c r="F1254" t="inlineStr">
        <is>
          <t>Optimized</t>
        </is>
      </c>
      <c r="G1254" s="48" t="n">
        <v>0</v>
      </c>
      <c r="H1254" s="48" t="n">
        <v>0</v>
      </c>
      <c r="I1254" s="48" t="n">
        <v>0</v>
      </c>
      <c r="J1254" s="48" t="n">
        <v>0</v>
      </c>
      <c r="K1254" s="49" t="n">
        <v>0</v>
      </c>
      <c r="L1254" s="49" t="n">
        <v>0</v>
      </c>
      <c r="M1254" s="49" t="n">
        <v>0</v>
      </c>
      <c r="N1254" s="49" t="n">
        <v>0</v>
      </c>
      <c r="O1254" s="49" t="n">
        <v>0</v>
      </c>
      <c r="P1254" s="49" t="n">
        <v>0</v>
      </c>
      <c r="Q1254" s="49" t="n">
        <v>0</v>
      </c>
      <c r="R1254" s="49" t="n">
        <v>0</v>
      </c>
      <c r="S1254" s="50" t="n">
        <v>0</v>
      </c>
      <c r="T1254" s="50" t="n">
        <v>0</v>
      </c>
      <c r="U1254" s="50" t="n">
        <v>0</v>
      </c>
      <c r="V1254" s="50" t="n">
        <v>0</v>
      </c>
      <c r="W1254" s="51" t="n">
        <v>0</v>
      </c>
      <c r="X1254" s="51" t="n">
        <v>0</v>
      </c>
      <c r="Y1254" s="51" t="n">
        <v>0</v>
      </c>
      <c r="Z1254" s="51" t="n">
        <v>0</v>
      </c>
      <c r="AA1254" s="52" t="n">
        <v>0</v>
      </c>
      <c r="AB1254" s="52" t="n">
        <v>0</v>
      </c>
      <c r="AC1254" s="52" t="n">
        <v>0</v>
      </c>
      <c r="AD1254" s="52" t="n">
        <v>0</v>
      </c>
      <c r="AE1254" s="52" t="n">
        <v>0</v>
      </c>
      <c r="AF1254" s="52" t="n">
        <v>0</v>
      </c>
      <c r="AG1254" s="52" t="n">
        <v>0</v>
      </c>
      <c r="AH1254" s="52" t="n">
        <v>0</v>
      </c>
      <c r="AI1254" s="52" t="n">
        <v>0</v>
      </c>
      <c r="AJ1254" s="52" t="n">
        <v>0</v>
      </c>
      <c r="AK1254" s="52" t="n">
        <v>0</v>
      </c>
      <c r="AL1254" s="52" t="n">
        <v>0</v>
      </c>
      <c r="AM1254" s="53" t="n">
        <v>0</v>
      </c>
      <c r="AN1254" s="53" t="n">
        <v>0</v>
      </c>
      <c r="AO1254" s="53" t="n">
        <v>0</v>
      </c>
      <c r="AP1254" s="53" t="n">
        <v>0</v>
      </c>
      <c r="AQ1254" s="52" t="n">
        <v>0</v>
      </c>
      <c r="AR1254" s="52" t="n">
        <v>0</v>
      </c>
      <c r="AS1254" s="52" t="n">
        <v>0</v>
      </c>
      <c r="AT1254" s="52" t="n">
        <v>0</v>
      </c>
      <c r="AU1254" s="53" t="n">
        <v>0</v>
      </c>
      <c r="AV1254" s="53" t="n">
        <v>0</v>
      </c>
      <c r="AW1254" s="53" t="n">
        <v>0</v>
      </c>
      <c r="AX1254" s="53" t="n">
        <v>0</v>
      </c>
      <c r="AY1254" s="52" t="n">
        <v>0</v>
      </c>
      <c r="AZ1254" s="52" t="n">
        <v>0</v>
      </c>
      <c r="BA1254" s="52" t="n">
        <v>0</v>
      </c>
      <c r="BB1254" s="52" t="n">
        <v>0</v>
      </c>
      <c r="BC1254" s="51" t="n">
        <v>0</v>
      </c>
      <c r="BD1254" s="51" t="n">
        <v>0</v>
      </c>
      <c r="BE1254" s="51" t="n">
        <v>0</v>
      </c>
      <c r="BF1254" s="51" t="n">
        <v>0</v>
      </c>
    </row>
    <row r="1255">
      <c r="A1255">
        <f>HYPERLINK("https://www.walmart.com/ip/744897977", "744897977")</f>
        <v/>
      </c>
      <c r="B1255" t="inlineStr">
        <is>
          <t>Women Floppy Sun Beach Hats w/ Bow Wide Brim Summer UV Protection Foldable Gardening Hiking Cap by Tirrinia</t>
        </is>
      </c>
      <c r="C1255" t="inlineStr">
        <is>
          <t>1TRSH260NV-TBCB</t>
        </is>
      </c>
      <c r="D1255" t="inlineStr">
        <is>
          <t>Hats</t>
        </is>
      </c>
      <c r="E1255" t="inlineStr">
        <is>
          <t>Tirrinia</t>
        </is>
      </c>
      <c r="F1255" t="inlineStr">
        <is>
          <t>Q2-Target,Optimized,Hats</t>
        </is>
      </c>
      <c r="G1255" s="48" t="n">
        <v>0</v>
      </c>
      <c r="H1255" s="48" t="n">
        <v>0</v>
      </c>
      <c r="I1255" s="48" t="n">
        <v>9.99</v>
      </c>
      <c r="J1255" s="48" t="n">
        <v>0</v>
      </c>
      <c r="K1255" s="49" t="n">
        <v>0</v>
      </c>
      <c r="L1255" s="49" t="n">
        <v>0</v>
      </c>
      <c r="M1255" s="49" t="n">
        <v>1</v>
      </c>
      <c r="N1255" s="49" t="n">
        <v>0</v>
      </c>
      <c r="O1255" s="49" t="n">
        <v>0</v>
      </c>
      <c r="P1255" s="49" t="n">
        <v>0</v>
      </c>
      <c r="Q1255" s="49" t="n">
        <v>0</v>
      </c>
      <c r="R1255" s="49" t="n">
        <v>0</v>
      </c>
      <c r="S1255" s="50" t="n">
        <v>0</v>
      </c>
      <c r="T1255" s="50" t="n">
        <v>0</v>
      </c>
      <c r="U1255" s="50" t="n">
        <v>0</v>
      </c>
      <c r="V1255" s="50" t="n">
        <v>0</v>
      </c>
      <c r="W1255" s="51" t="n">
        <v>0</v>
      </c>
      <c r="X1255" s="51" t="n">
        <v>0</v>
      </c>
      <c r="Y1255" s="51" t="n">
        <v>0</v>
      </c>
      <c r="Z1255" s="51" t="n">
        <v>0</v>
      </c>
      <c r="AA1255" s="52" t="n">
        <v>0</v>
      </c>
      <c r="AB1255" s="52" t="n">
        <v>0</v>
      </c>
      <c r="AC1255" s="52" t="n">
        <v>0</v>
      </c>
      <c r="AD1255" s="52" t="n">
        <v>0</v>
      </c>
      <c r="AE1255" s="52" t="n">
        <v>0</v>
      </c>
      <c r="AF1255" s="52" t="n">
        <v>0</v>
      </c>
      <c r="AG1255" s="52" t="n">
        <v>0</v>
      </c>
      <c r="AH1255" s="52" t="n">
        <v>0</v>
      </c>
      <c r="AI1255" s="52" t="n">
        <v>0</v>
      </c>
      <c r="AJ1255" s="52" t="n">
        <v>0</v>
      </c>
      <c r="AK1255" s="52" t="n">
        <v>0</v>
      </c>
      <c r="AL1255" s="52" t="n">
        <v>0</v>
      </c>
      <c r="AM1255" s="53" t="n">
        <v>0</v>
      </c>
      <c r="AN1255" s="53" t="n">
        <v>0</v>
      </c>
      <c r="AO1255" s="53" t="n">
        <v>0</v>
      </c>
      <c r="AP1255" s="53" t="n">
        <v>0</v>
      </c>
      <c r="AQ1255" s="52" t="n">
        <v>0</v>
      </c>
      <c r="AR1255" s="52" t="n">
        <v>0</v>
      </c>
      <c r="AS1255" s="52" t="n">
        <v>0</v>
      </c>
      <c r="AT1255" s="52" t="n">
        <v>0</v>
      </c>
      <c r="AU1255" s="53" t="n">
        <v>0</v>
      </c>
      <c r="AV1255" s="53" t="n">
        <v>0</v>
      </c>
      <c r="AW1255" s="53" t="n">
        <v>0</v>
      </c>
      <c r="AX1255" s="53" t="n">
        <v>0</v>
      </c>
      <c r="AY1255" s="52" t="n">
        <v>0</v>
      </c>
      <c r="AZ1255" s="52" t="n">
        <v>0</v>
      </c>
      <c r="BA1255" s="52" t="n">
        <v>9.99</v>
      </c>
      <c r="BB1255" s="52" t="n">
        <v>0</v>
      </c>
      <c r="BC1255" s="51" t="n">
        <v>0</v>
      </c>
      <c r="BD1255" s="51" t="n">
        <v>0</v>
      </c>
      <c r="BE1255" s="51" t="n">
        <v>0</v>
      </c>
      <c r="BF1255" s="51" t="n">
        <v>0</v>
      </c>
    </row>
    <row r="1256">
      <c r="A1256">
        <f>HYPERLINK("https://www.walmart.com/ip/748394104", "748394104")</f>
        <v/>
      </c>
      <c r="B1256" t="inlineStr">
        <is>
          <t>Sherpa Wearable Blanket with Sleeves Arms, Super Soft Warm Comfy Large Fleece Plush Sleeved TV Throws Wrap Robe Blanket for Adult Women and Men by Catalonia</t>
        </is>
      </c>
      <c r="C1256" t="inlineStr">
        <is>
          <t>1CTSN210GY</t>
        </is>
      </c>
      <c r="D1256" t="inlineStr">
        <is>
          <t>Throws</t>
        </is>
      </c>
      <c r="E1256" t="inlineStr">
        <is>
          <t>Catalonia</t>
        </is>
      </c>
      <c r="F1256" t="inlineStr">
        <is>
          <t>Optimized,Coupon_Discount</t>
        </is>
      </c>
      <c r="G1256" s="48" t="n">
        <v>0</v>
      </c>
      <c r="H1256" s="48" t="n">
        <v>0</v>
      </c>
      <c r="I1256" s="48" t="n">
        <v>0</v>
      </c>
      <c r="J1256" s="48" t="n">
        <v>0</v>
      </c>
      <c r="K1256" s="49" t="n">
        <v>0</v>
      </c>
      <c r="L1256" s="49" t="n">
        <v>0</v>
      </c>
      <c r="M1256" s="49" t="n">
        <v>0</v>
      </c>
      <c r="N1256" s="49" t="n">
        <v>0</v>
      </c>
      <c r="O1256" s="49" t="n">
        <v>0</v>
      </c>
      <c r="P1256" s="49" t="n">
        <v>0</v>
      </c>
      <c r="Q1256" s="49" t="n">
        <v>0</v>
      </c>
      <c r="R1256" s="49" t="n">
        <v>0</v>
      </c>
      <c r="S1256" s="50" t="n">
        <v>0</v>
      </c>
      <c r="T1256" s="50" t="n">
        <v>0</v>
      </c>
      <c r="U1256" s="50" t="n">
        <v>0</v>
      </c>
      <c r="V1256" s="50" t="n">
        <v>0</v>
      </c>
      <c r="W1256" s="51" t="n">
        <v>0</v>
      </c>
      <c r="X1256" s="51" t="n">
        <v>0</v>
      </c>
      <c r="Y1256" s="51" t="n">
        <v>0</v>
      </c>
      <c r="Z1256" s="51" t="n">
        <v>0</v>
      </c>
      <c r="AA1256" s="52" t="n">
        <v>0</v>
      </c>
      <c r="AB1256" s="52" t="n">
        <v>0</v>
      </c>
      <c r="AC1256" s="52" t="n">
        <v>0</v>
      </c>
      <c r="AD1256" s="52" t="n">
        <v>0</v>
      </c>
      <c r="AE1256" s="52" t="n">
        <v>0</v>
      </c>
      <c r="AF1256" s="52" t="n">
        <v>0</v>
      </c>
      <c r="AG1256" s="52" t="n">
        <v>0</v>
      </c>
      <c r="AH1256" s="52" t="n">
        <v>0</v>
      </c>
      <c r="AI1256" s="52" t="n">
        <v>0</v>
      </c>
      <c r="AJ1256" s="52" t="n">
        <v>0</v>
      </c>
      <c r="AK1256" s="52" t="n">
        <v>0</v>
      </c>
      <c r="AL1256" s="52" t="n">
        <v>0</v>
      </c>
      <c r="AM1256" s="53" t="n">
        <v>0</v>
      </c>
      <c r="AN1256" s="53" t="n">
        <v>0</v>
      </c>
      <c r="AO1256" s="53" t="n">
        <v>0</v>
      </c>
      <c r="AP1256" s="53" t="n">
        <v>0</v>
      </c>
      <c r="AQ1256" s="52" t="n">
        <v>0</v>
      </c>
      <c r="AR1256" s="52" t="n">
        <v>0</v>
      </c>
      <c r="AS1256" s="52" t="n">
        <v>0</v>
      </c>
      <c r="AT1256" s="52" t="n">
        <v>0</v>
      </c>
      <c r="AU1256" s="53" t="n">
        <v>0</v>
      </c>
      <c r="AV1256" s="53" t="n">
        <v>0</v>
      </c>
      <c r="AW1256" s="53" t="n">
        <v>0</v>
      </c>
      <c r="AX1256" s="53" t="n">
        <v>0</v>
      </c>
      <c r="AY1256" s="52" t="n">
        <v>0</v>
      </c>
      <c r="AZ1256" s="52" t="n">
        <v>0</v>
      </c>
      <c r="BA1256" s="52" t="n">
        <v>0</v>
      </c>
      <c r="BB1256" s="52" t="n">
        <v>0</v>
      </c>
      <c r="BC1256" s="51" t="n">
        <v>0</v>
      </c>
      <c r="BD1256" s="51" t="n">
        <v>0</v>
      </c>
      <c r="BE1256" s="51" t="n">
        <v>0</v>
      </c>
      <c r="BF1256" s="51" t="n">
        <v>0</v>
      </c>
    </row>
    <row r="1257">
      <c r="A1257">
        <f>HYPERLINK("https://www.walmart.com/ip/748854832", "748854832")</f>
        <v/>
      </c>
      <c r="B1257" t="inlineStr">
        <is>
          <t>Napa Plush Throw Blanket Dark Blue, 108"x90" King, Striped Reversible Velvet Luxury Fleece Warm Bed Couch Blanket, Super Soft and Cozy</t>
        </is>
      </c>
      <c r="C1257" t="inlineStr">
        <is>
          <t>K8030KI-LTT</t>
        </is>
      </c>
      <c r="D1257" t="inlineStr">
        <is>
          <t>Throws</t>
        </is>
      </c>
      <c r="E1257" t="inlineStr">
        <is>
          <t>NAPA</t>
        </is>
      </c>
      <c r="F1257" t="inlineStr">
        <is>
          <t>Optimized</t>
        </is>
      </c>
      <c r="G1257" s="48" t="n">
        <v>0</v>
      </c>
      <c r="H1257" s="48" t="n">
        <v>0</v>
      </c>
      <c r="I1257" s="48" t="n">
        <v>0</v>
      </c>
      <c r="J1257" s="48" t="n">
        <v>0</v>
      </c>
      <c r="K1257" s="49" t="n">
        <v>0</v>
      </c>
      <c r="L1257" s="49" t="n">
        <v>0</v>
      </c>
      <c r="M1257" s="49" t="n">
        <v>0</v>
      </c>
      <c r="N1257" s="49" t="n">
        <v>0</v>
      </c>
      <c r="O1257" s="49" t="n">
        <v>0</v>
      </c>
      <c r="P1257" s="49" t="n">
        <v>0</v>
      </c>
      <c r="Q1257" s="49" t="n">
        <v>0</v>
      </c>
      <c r="R1257" s="49" t="n">
        <v>0</v>
      </c>
      <c r="S1257" s="50" t="n">
        <v>0</v>
      </c>
      <c r="T1257" s="50" t="n">
        <v>0</v>
      </c>
      <c r="U1257" s="50" t="n">
        <v>0</v>
      </c>
      <c r="V1257" s="50" t="n">
        <v>0</v>
      </c>
      <c r="W1257" s="51" t="n">
        <v>0</v>
      </c>
      <c r="X1257" s="51" t="n">
        <v>0</v>
      </c>
      <c r="Y1257" s="51" t="n">
        <v>0</v>
      </c>
      <c r="Z1257" s="51" t="n">
        <v>0</v>
      </c>
      <c r="AA1257" s="52" t="n">
        <v>0</v>
      </c>
      <c r="AB1257" s="52" t="n">
        <v>0</v>
      </c>
      <c r="AC1257" s="52" t="n">
        <v>0</v>
      </c>
      <c r="AD1257" s="52" t="n">
        <v>0</v>
      </c>
      <c r="AE1257" s="52" t="n">
        <v>0</v>
      </c>
      <c r="AF1257" s="52" t="n">
        <v>0</v>
      </c>
      <c r="AG1257" s="52" t="n">
        <v>0</v>
      </c>
      <c r="AH1257" s="52" t="n">
        <v>0</v>
      </c>
      <c r="AI1257" s="52" t="n">
        <v>0</v>
      </c>
      <c r="AJ1257" s="52" t="n">
        <v>0</v>
      </c>
      <c r="AK1257" s="52" t="n">
        <v>0</v>
      </c>
      <c r="AL1257" s="52" t="n">
        <v>0</v>
      </c>
      <c r="AM1257" s="53" t="n">
        <v>0</v>
      </c>
      <c r="AN1257" s="53" t="n">
        <v>0</v>
      </c>
      <c r="AO1257" s="53" t="n">
        <v>0</v>
      </c>
      <c r="AP1257" s="53" t="n">
        <v>0</v>
      </c>
      <c r="AQ1257" s="52" t="n">
        <v>0</v>
      </c>
      <c r="AR1257" s="52" t="n">
        <v>0</v>
      </c>
      <c r="AS1257" s="52" t="n">
        <v>0</v>
      </c>
      <c r="AT1257" s="52" t="n">
        <v>0</v>
      </c>
      <c r="AU1257" s="53" t="n">
        <v>0</v>
      </c>
      <c r="AV1257" s="53" t="n">
        <v>0</v>
      </c>
      <c r="AW1257" s="53" t="n">
        <v>0</v>
      </c>
      <c r="AX1257" s="53" t="n">
        <v>0</v>
      </c>
      <c r="AY1257" s="52" t="n">
        <v>0</v>
      </c>
      <c r="AZ1257" s="52" t="n">
        <v>0</v>
      </c>
      <c r="BA1257" s="52" t="n">
        <v>0</v>
      </c>
      <c r="BB1257" s="52" t="n">
        <v>0</v>
      </c>
      <c r="BC1257" s="51" t="n">
        <v>0</v>
      </c>
      <c r="BD1257" s="51" t="n">
        <v>0</v>
      </c>
      <c r="BE1257" s="51" t="n">
        <v>0</v>
      </c>
      <c r="BF1257" s="51" t="n">
        <v>0</v>
      </c>
    </row>
    <row r="1258">
      <c r="A1258">
        <f>HYPERLINK("https://www.walmart.com/ip/752278729", "752278729")</f>
        <v/>
      </c>
      <c r="B1258" t="inlineStr">
        <is>
          <t>JenniWears Women Sexy Lace Boyshort Panty Plus Size Stretch Mesh Briefs Lingerie Underwear Sleepwear White</t>
        </is>
      </c>
      <c r="C1258" t="inlineStr">
        <is>
          <t>JWPT05WT-2XL</t>
        </is>
      </c>
      <c r="D1258" t="inlineStr">
        <is>
          <t>Panties</t>
        </is>
      </c>
      <c r="E1258" t="inlineStr">
        <is>
          <t>JenniWears</t>
        </is>
      </c>
      <c r="F1258" t="inlineStr">
        <is>
          <t>Valentine</t>
        </is>
      </c>
      <c r="G1258" s="48" t="n">
        <v>0</v>
      </c>
      <c r="H1258" s="48" t="n">
        <v>0</v>
      </c>
      <c r="I1258" s="48" t="n">
        <v>0</v>
      </c>
      <c r="J1258" s="48" t="n">
        <v>0</v>
      </c>
      <c r="K1258" s="49" t="n">
        <v>0</v>
      </c>
      <c r="L1258" s="49" t="n">
        <v>0</v>
      </c>
      <c r="M1258" s="49" t="n">
        <v>0</v>
      </c>
      <c r="N1258" s="49" t="n">
        <v>0</v>
      </c>
      <c r="O1258" s="49" t="n">
        <v>0</v>
      </c>
      <c r="P1258" s="49" t="n">
        <v>0</v>
      </c>
      <c r="Q1258" s="49" t="n">
        <v>0</v>
      </c>
      <c r="R1258" s="49" t="n">
        <v>0</v>
      </c>
      <c r="S1258" s="50" t="n">
        <v>0</v>
      </c>
      <c r="T1258" s="50" t="n">
        <v>0</v>
      </c>
      <c r="U1258" s="50" t="n">
        <v>0</v>
      </c>
      <c r="V1258" s="50" t="n">
        <v>0</v>
      </c>
      <c r="W1258" s="51" t="n">
        <v>0</v>
      </c>
      <c r="X1258" s="51" t="n">
        <v>0</v>
      </c>
      <c r="Y1258" s="51" t="n">
        <v>0</v>
      </c>
      <c r="Z1258" s="51" t="n">
        <v>0</v>
      </c>
      <c r="AA1258" s="52" t="n">
        <v>0</v>
      </c>
      <c r="AB1258" s="52" t="n">
        <v>0</v>
      </c>
      <c r="AC1258" s="52" t="n">
        <v>0</v>
      </c>
      <c r="AD1258" s="52" t="n">
        <v>0</v>
      </c>
      <c r="AE1258" s="52" t="n">
        <v>0</v>
      </c>
      <c r="AF1258" s="52" t="n">
        <v>0</v>
      </c>
      <c r="AG1258" s="52" t="n">
        <v>0</v>
      </c>
      <c r="AH1258" s="52" t="n">
        <v>0</v>
      </c>
      <c r="AI1258" s="52" t="n">
        <v>0</v>
      </c>
      <c r="AJ1258" s="52" t="n">
        <v>0</v>
      </c>
      <c r="AK1258" s="52" t="n">
        <v>0</v>
      </c>
      <c r="AL1258" s="52" t="n">
        <v>0</v>
      </c>
      <c r="AM1258" s="53" t="n">
        <v>0</v>
      </c>
      <c r="AN1258" s="53" t="n">
        <v>0</v>
      </c>
      <c r="AO1258" s="53" t="n">
        <v>0</v>
      </c>
      <c r="AP1258" s="53" t="n">
        <v>0</v>
      </c>
      <c r="AQ1258" s="52" t="n">
        <v>0</v>
      </c>
      <c r="AR1258" s="52" t="n">
        <v>0</v>
      </c>
      <c r="AS1258" s="52" t="n">
        <v>0</v>
      </c>
      <c r="AT1258" s="52" t="n">
        <v>0</v>
      </c>
      <c r="AU1258" s="53" t="n">
        <v>0</v>
      </c>
      <c r="AV1258" s="53" t="n">
        <v>0</v>
      </c>
      <c r="AW1258" s="53" t="n">
        <v>0</v>
      </c>
      <c r="AX1258" s="53" t="n">
        <v>0</v>
      </c>
      <c r="AY1258" s="52" t="n">
        <v>0</v>
      </c>
      <c r="AZ1258" s="52" t="n">
        <v>0</v>
      </c>
      <c r="BA1258" s="52" t="n">
        <v>0</v>
      </c>
      <c r="BB1258" s="52" t="n">
        <v>0</v>
      </c>
      <c r="BC1258" s="51" t="n">
        <v>0</v>
      </c>
      <c r="BD1258" s="51" t="n">
        <v>0</v>
      </c>
      <c r="BE1258" s="51" t="n">
        <v>0</v>
      </c>
      <c r="BF1258" s="51" t="n">
        <v>0</v>
      </c>
    </row>
    <row r="1259">
      <c r="A1259">
        <f>HYPERLINK("https://www.walmart.com/ip/752711430", "752711430")</f>
        <v/>
      </c>
      <c r="B1259" t="inlineStr">
        <is>
          <t>Catalonia Fluffy Sherpa Throw Blanket, Super Soft Mink Plush Couch Blanket, TV Bed Fuzzy Blanket, Comfy Warm Heavy Throws, Comfort Caring Gift,50x60 inches, Teal</t>
        </is>
      </c>
      <c r="C1259" t="inlineStr">
        <is>
          <t>1CTBF300GN</t>
        </is>
      </c>
      <c r="D1259" t="inlineStr">
        <is>
          <t>Throws</t>
        </is>
      </c>
      <c r="E1259" t="inlineStr">
        <is>
          <t>Catalonia</t>
        </is>
      </c>
      <c r="F1259" t="inlineStr">
        <is>
          <t>Q2-Target,WFS,Coupon_Discount,WFS Item</t>
        </is>
      </c>
      <c r="G1259" s="48" t="n">
        <v>0</v>
      </c>
      <c r="H1259" s="48" t="n">
        <v>0</v>
      </c>
      <c r="I1259" s="48" t="n">
        <v>24.99</v>
      </c>
      <c r="J1259" s="48" t="n">
        <v>0</v>
      </c>
      <c r="K1259" s="49" t="n">
        <v>0</v>
      </c>
      <c r="L1259" s="49" t="n">
        <v>0</v>
      </c>
      <c r="M1259" s="49" t="n">
        <v>1</v>
      </c>
      <c r="N1259" s="49" t="n">
        <v>0</v>
      </c>
      <c r="O1259" s="49" t="n">
        <v>0</v>
      </c>
      <c r="P1259" s="49" t="n">
        <v>0</v>
      </c>
      <c r="Q1259" s="49" t="n">
        <v>0</v>
      </c>
      <c r="R1259" s="49" t="n">
        <v>2</v>
      </c>
      <c r="S1259" s="50" t="n">
        <v>0</v>
      </c>
      <c r="T1259" s="50" t="n">
        <v>0</v>
      </c>
      <c r="U1259" s="50" t="n">
        <v>0</v>
      </c>
      <c r="V1259" s="50" t="n">
        <v>0</v>
      </c>
      <c r="W1259" s="51" t="n">
        <v>5</v>
      </c>
      <c r="X1259" s="51" t="n">
        <v>5</v>
      </c>
      <c r="Y1259" s="51" t="n">
        <v>5</v>
      </c>
      <c r="Z1259" s="51" t="n">
        <v>8</v>
      </c>
      <c r="AA1259" s="52" t="n">
        <v>1.05</v>
      </c>
      <c r="AB1259" s="52" t="n">
        <v>1.05</v>
      </c>
      <c r="AC1259" s="52" t="n">
        <v>1.05</v>
      </c>
      <c r="AD1259" s="52" t="n">
        <v>1.68</v>
      </c>
      <c r="AE1259" s="52" t="n">
        <v>0</v>
      </c>
      <c r="AF1259" s="52" t="n">
        <v>0</v>
      </c>
      <c r="AG1259" s="52" t="n">
        <v>0</v>
      </c>
      <c r="AH1259" s="52" t="n">
        <v>0</v>
      </c>
      <c r="AI1259" s="52" t="n">
        <v>0</v>
      </c>
      <c r="AJ1259" s="52" t="n">
        <v>0</v>
      </c>
      <c r="AK1259" s="52" t="n">
        <v>0</v>
      </c>
      <c r="AL1259" s="52" t="n">
        <v>0</v>
      </c>
      <c r="AM1259" s="53" t="n">
        <v>0.0016</v>
      </c>
      <c r="AN1259" s="53" t="n">
        <v>0.0016</v>
      </c>
      <c r="AO1259" s="53" t="n">
        <v>0.0015</v>
      </c>
      <c r="AP1259" s="53" t="n">
        <v>0.0015</v>
      </c>
      <c r="AQ1259" s="52" t="n">
        <v>0.21</v>
      </c>
      <c r="AR1259" s="52" t="n">
        <v>0.21</v>
      </c>
      <c r="AS1259" s="52" t="n">
        <v>0.21</v>
      </c>
      <c r="AT1259" s="52" t="n">
        <v>0.21</v>
      </c>
      <c r="AU1259" s="53" t="n">
        <v>0</v>
      </c>
      <c r="AV1259" s="53" t="n">
        <v>0</v>
      </c>
      <c r="AW1259" s="53" t="n">
        <v>0.04201680672268908</v>
      </c>
      <c r="AX1259" s="53" t="n">
        <v>0</v>
      </c>
      <c r="AY1259" s="52" t="n">
        <v>0</v>
      </c>
      <c r="AZ1259" s="52" t="n">
        <v>0</v>
      </c>
      <c r="BA1259" s="52" t="n">
        <v>24.99</v>
      </c>
      <c r="BB1259" s="52" t="n">
        <v>0</v>
      </c>
      <c r="BC1259" s="51" t="n">
        <v>3221</v>
      </c>
      <c r="BD1259" s="51" t="n">
        <v>3049</v>
      </c>
      <c r="BE1259" s="51" t="n">
        <v>3390</v>
      </c>
      <c r="BF1259" s="51" t="n">
        <v>5457</v>
      </c>
    </row>
    <row r="1260">
      <c r="A1260">
        <f>HYPERLINK("https://www.walmart.com/ip/753395977", "753395977")</f>
        <v/>
      </c>
      <c r="B1260" t="inlineStr">
        <is>
          <t>Oversized Hoodie Blanket Sweatshirt,Super Soft Warm Comfortable Fleece Giant Pullover with Large Front Pocket,for Adults Men Women Teenagers Kids Wife Girlfriend</t>
        </is>
      </c>
      <c r="C1260" t="inlineStr">
        <is>
          <t>1CTHD300RB-UPC</t>
        </is>
      </c>
      <c r="D1260" t="inlineStr">
        <is>
          <t>Sweatshirts &amp; Hoodies</t>
        </is>
      </c>
      <c r="E1260" t="inlineStr">
        <is>
          <t>Catalonia</t>
        </is>
      </c>
      <c r="F1260" t="inlineStr">
        <is>
          <t>Hoodie ForAdult,Optimized</t>
        </is>
      </c>
      <c r="G1260" s="48" t="n">
        <v>0</v>
      </c>
      <c r="H1260" s="48" t="n">
        <v>0</v>
      </c>
      <c r="I1260" s="48" t="n">
        <v>0</v>
      </c>
      <c r="J1260" s="48" t="n">
        <v>0</v>
      </c>
      <c r="K1260" s="49" t="n">
        <v>0</v>
      </c>
      <c r="L1260" s="49" t="n">
        <v>0</v>
      </c>
      <c r="M1260" s="49" t="n">
        <v>0</v>
      </c>
      <c r="N1260" s="49" t="n">
        <v>0</v>
      </c>
      <c r="O1260" s="49" t="n">
        <v>0</v>
      </c>
      <c r="P1260" s="49" t="n">
        <v>0</v>
      </c>
      <c r="Q1260" s="49" t="n">
        <v>0</v>
      </c>
      <c r="R1260" s="49" t="n">
        <v>0</v>
      </c>
      <c r="S1260" s="50" t="n">
        <v>0</v>
      </c>
      <c r="T1260" s="50" t="n">
        <v>0</v>
      </c>
      <c r="U1260" s="50" t="n">
        <v>0</v>
      </c>
      <c r="V1260" s="50" t="n">
        <v>0</v>
      </c>
      <c r="W1260" s="51" t="n">
        <v>0</v>
      </c>
      <c r="X1260" s="51" t="n">
        <v>0</v>
      </c>
      <c r="Y1260" s="51" t="n">
        <v>0</v>
      </c>
      <c r="Z1260" s="51" t="n">
        <v>0</v>
      </c>
      <c r="AA1260" s="52" t="n">
        <v>0</v>
      </c>
      <c r="AB1260" s="52" t="n">
        <v>0</v>
      </c>
      <c r="AC1260" s="52" t="n">
        <v>0</v>
      </c>
      <c r="AD1260" s="52" t="n">
        <v>0</v>
      </c>
      <c r="AE1260" s="52" t="n">
        <v>0</v>
      </c>
      <c r="AF1260" s="52" t="n">
        <v>0</v>
      </c>
      <c r="AG1260" s="52" t="n">
        <v>0</v>
      </c>
      <c r="AH1260" s="52" t="n">
        <v>0</v>
      </c>
      <c r="AI1260" s="52" t="n">
        <v>0</v>
      </c>
      <c r="AJ1260" s="52" t="n">
        <v>0</v>
      </c>
      <c r="AK1260" s="52" t="n">
        <v>0</v>
      </c>
      <c r="AL1260" s="52" t="n">
        <v>0</v>
      </c>
      <c r="AM1260" s="53" t="n">
        <v>0</v>
      </c>
      <c r="AN1260" s="53" t="n">
        <v>0</v>
      </c>
      <c r="AO1260" s="53" t="n">
        <v>0</v>
      </c>
      <c r="AP1260" s="53" t="n">
        <v>0</v>
      </c>
      <c r="AQ1260" s="52" t="n">
        <v>0</v>
      </c>
      <c r="AR1260" s="52" t="n">
        <v>0</v>
      </c>
      <c r="AS1260" s="52" t="n">
        <v>0</v>
      </c>
      <c r="AT1260" s="52" t="n">
        <v>0</v>
      </c>
      <c r="AU1260" s="53" t="n">
        <v>0</v>
      </c>
      <c r="AV1260" s="53" t="n">
        <v>0</v>
      </c>
      <c r="AW1260" s="53" t="n">
        <v>0</v>
      </c>
      <c r="AX1260" s="53" t="n">
        <v>0</v>
      </c>
      <c r="AY1260" s="52" t="n">
        <v>0</v>
      </c>
      <c r="AZ1260" s="52" t="n">
        <v>0</v>
      </c>
      <c r="BA1260" s="52" t="n">
        <v>0</v>
      </c>
      <c r="BB1260" s="52" t="n">
        <v>0</v>
      </c>
      <c r="BC1260" s="51" t="n">
        <v>0</v>
      </c>
      <c r="BD1260" s="51" t="n">
        <v>0</v>
      </c>
      <c r="BE1260" s="51" t="n">
        <v>0</v>
      </c>
      <c r="BF1260" s="51" t="n">
        <v>0</v>
      </c>
    </row>
    <row r="1261">
      <c r="A1261">
        <f>HYPERLINK("https://www.walmart.com/ip/753821563", "753821563")</f>
        <v/>
      </c>
      <c r="B1261" t="inlineStr">
        <is>
          <t>Flyingstar Woman Sweatshirt Dress, Casual Ladies Pullover, Juniors Hoodie Dress with Kangaroo Pocket, One Size, Red</t>
        </is>
      </c>
      <c r="C1261" t="inlineStr">
        <is>
          <t>1WMHD530S1RD</t>
        </is>
      </c>
      <c r="D1261" t="inlineStr">
        <is>
          <t>Sweatshirts &amp; Hoodies</t>
        </is>
      </c>
      <c r="E1261" t="inlineStr">
        <is>
          <t>Flyingstar</t>
        </is>
      </c>
      <c r="F1261" t="inlineStr">
        <is>
          <t>Hoodie ForAdult,Optimized</t>
        </is>
      </c>
      <c r="G1261" s="48" t="n">
        <v>0</v>
      </c>
      <c r="H1261" s="48" t="n">
        <v>0</v>
      </c>
      <c r="I1261" s="48" t="n">
        <v>0</v>
      </c>
      <c r="J1261" s="48" t="n">
        <v>0</v>
      </c>
      <c r="K1261" s="49" t="n">
        <v>0</v>
      </c>
      <c r="L1261" s="49" t="n">
        <v>0</v>
      </c>
      <c r="M1261" s="49" t="n">
        <v>0</v>
      </c>
      <c r="N1261" s="49" t="n">
        <v>0</v>
      </c>
      <c r="O1261" s="49" t="n">
        <v>0</v>
      </c>
      <c r="P1261" s="49" t="n">
        <v>0</v>
      </c>
      <c r="Q1261" s="49" t="n">
        <v>0</v>
      </c>
      <c r="R1261" s="49" t="n">
        <v>0</v>
      </c>
      <c r="S1261" s="50" t="n">
        <v>0</v>
      </c>
      <c r="T1261" s="50" t="n">
        <v>0</v>
      </c>
      <c r="U1261" s="50" t="n">
        <v>0</v>
      </c>
      <c r="V1261" s="50" t="n">
        <v>0</v>
      </c>
      <c r="W1261" s="51" t="n">
        <v>0</v>
      </c>
      <c r="X1261" s="51" t="n">
        <v>0</v>
      </c>
      <c r="Y1261" s="51" t="n">
        <v>0</v>
      </c>
      <c r="Z1261" s="51" t="n">
        <v>0</v>
      </c>
      <c r="AA1261" s="52" t="n">
        <v>0</v>
      </c>
      <c r="AB1261" s="52" t="n">
        <v>0</v>
      </c>
      <c r="AC1261" s="52" t="n">
        <v>0</v>
      </c>
      <c r="AD1261" s="52" t="n">
        <v>0</v>
      </c>
      <c r="AE1261" s="52" t="n">
        <v>0</v>
      </c>
      <c r="AF1261" s="52" t="n">
        <v>0</v>
      </c>
      <c r="AG1261" s="52" t="n">
        <v>0</v>
      </c>
      <c r="AH1261" s="52" t="n">
        <v>0</v>
      </c>
      <c r="AI1261" s="52" t="n">
        <v>0</v>
      </c>
      <c r="AJ1261" s="52" t="n">
        <v>0</v>
      </c>
      <c r="AK1261" s="52" t="n">
        <v>0</v>
      </c>
      <c r="AL1261" s="52" t="n">
        <v>0</v>
      </c>
      <c r="AM1261" s="53" t="n">
        <v>0</v>
      </c>
      <c r="AN1261" s="53" t="n">
        <v>0</v>
      </c>
      <c r="AO1261" s="53" t="n">
        <v>0</v>
      </c>
      <c r="AP1261" s="53" t="n">
        <v>0</v>
      </c>
      <c r="AQ1261" s="52" t="n">
        <v>0</v>
      </c>
      <c r="AR1261" s="52" t="n">
        <v>0</v>
      </c>
      <c r="AS1261" s="52" t="n">
        <v>0</v>
      </c>
      <c r="AT1261" s="52" t="n">
        <v>0</v>
      </c>
      <c r="AU1261" s="53" t="n">
        <v>0</v>
      </c>
      <c r="AV1261" s="53" t="n">
        <v>0</v>
      </c>
      <c r="AW1261" s="53" t="n">
        <v>0</v>
      </c>
      <c r="AX1261" s="53" t="n">
        <v>0</v>
      </c>
      <c r="AY1261" s="52" t="n">
        <v>0</v>
      </c>
      <c r="AZ1261" s="52" t="n">
        <v>0</v>
      </c>
      <c r="BA1261" s="52" t="n">
        <v>0</v>
      </c>
      <c r="BB1261" s="52" t="n">
        <v>0</v>
      </c>
      <c r="BC1261" s="51" t="n">
        <v>0</v>
      </c>
      <c r="BD1261" s="51" t="n">
        <v>0</v>
      </c>
      <c r="BE1261" s="51" t="n">
        <v>0</v>
      </c>
      <c r="BF1261" s="51" t="n">
        <v>0</v>
      </c>
    </row>
    <row r="1262">
      <c r="A1262">
        <f>HYPERLINK("https://www.walmart.com/ip/753873695", "753873695")</f>
        <v/>
      </c>
      <c r="B1262" t="inlineStr">
        <is>
          <t>Tirrinia Sherpa Wearable Snuggle Blanket, Unisex Soft Warm Blanket with Sleeves 72" x 55" Cheetah</t>
        </is>
      </c>
      <c r="C1262" t="inlineStr">
        <is>
          <t>1TRSN110CHEETAH</t>
        </is>
      </c>
      <c r="D1262" t="inlineStr">
        <is>
          <t>Throws</t>
        </is>
      </c>
      <c r="E1262" t="inlineStr">
        <is>
          <t>Terrania</t>
        </is>
      </c>
      <c r="F1262" t="inlineStr">
        <is>
          <t>Coupon_Discount,Batch 1 - TR</t>
        </is>
      </c>
      <c r="G1262" s="48" t="n">
        <v>0</v>
      </c>
      <c r="H1262" s="48" t="n">
        <v>0</v>
      </c>
      <c r="I1262" s="48" t="n">
        <v>0</v>
      </c>
      <c r="J1262" s="48" t="n">
        <v>0</v>
      </c>
      <c r="K1262" s="49" t="n">
        <v>0</v>
      </c>
      <c r="L1262" s="49" t="n">
        <v>0</v>
      </c>
      <c r="M1262" s="49" t="n">
        <v>0</v>
      </c>
      <c r="N1262" s="49" t="n">
        <v>0</v>
      </c>
      <c r="O1262" s="49" t="n">
        <v>0</v>
      </c>
      <c r="P1262" s="49" t="n">
        <v>0</v>
      </c>
      <c r="Q1262" s="49" t="n">
        <v>0</v>
      </c>
      <c r="R1262" s="49" t="n">
        <v>0</v>
      </c>
      <c r="S1262" s="50" t="n">
        <v>0</v>
      </c>
      <c r="T1262" s="50" t="n">
        <v>0</v>
      </c>
      <c r="U1262" s="50" t="n">
        <v>0</v>
      </c>
      <c r="V1262" s="50" t="n">
        <v>0</v>
      </c>
      <c r="W1262" s="51" t="n">
        <v>0</v>
      </c>
      <c r="X1262" s="51" t="n">
        <v>0</v>
      </c>
      <c r="Y1262" s="51" t="n">
        <v>0</v>
      </c>
      <c r="Z1262" s="51" t="n">
        <v>0</v>
      </c>
      <c r="AA1262" s="52" t="n">
        <v>0</v>
      </c>
      <c r="AB1262" s="52" t="n">
        <v>0</v>
      </c>
      <c r="AC1262" s="52" t="n">
        <v>0</v>
      </c>
      <c r="AD1262" s="52" t="n">
        <v>0</v>
      </c>
      <c r="AE1262" s="52" t="n">
        <v>0</v>
      </c>
      <c r="AF1262" s="52" t="n">
        <v>0</v>
      </c>
      <c r="AG1262" s="52" t="n">
        <v>0</v>
      </c>
      <c r="AH1262" s="52" t="n">
        <v>0</v>
      </c>
      <c r="AI1262" s="52" t="n">
        <v>0</v>
      </c>
      <c r="AJ1262" s="52" t="n">
        <v>0</v>
      </c>
      <c r="AK1262" s="52" t="n">
        <v>0</v>
      </c>
      <c r="AL1262" s="52" t="n">
        <v>0</v>
      </c>
      <c r="AM1262" s="53" t="n">
        <v>0</v>
      </c>
      <c r="AN1262" s="53" t="n">
        <v>0</v>
      </c>
      <c r="AO1262" s="53" t="n">
        <v>0</v>
      </c>
      <c r="AP1262" s="53" t="n">
        <v>0</v>
      </c>
      <c r="AQ1262" s="52" t="n">
        <v>0</v>
      </c>
      <c r="AR1262" s="52" t="n">
        <v>0</v>
      </c>
      <c r="AS1262" s="52" t="n">
        <v>0</v>
      </c>
      <c r="AT1262" s="52" t="n">
        <v>0</v>
      </c>
      <c r="AU1262" s="53" t="n">
        <v>0</v>
      </c>
      <c r="AV1262" s="53" t="n">
        <v>0</v>
      </c>
      <c r="AW1262" s="53" t="n">
        <v>0</v>
      </c>
      <c r="AX1262" s="53" t="n">
        <v>0</v>
      </c>
      <c r="AY1262" s="52" t="n">
        <v>0</v>
      </c>
      <c r="AZ1262" s="52" t="n">
        <v>0</v>
      </c>
      <c r="BA1262" s="52" t="n">
        <v>0</v>
      </c>
      <c r="BB1262" s="52" t="n">
        <v>0</v>
      </c>
      <c r="BC1262" s="51" t="n">
        <v>0</v>
      </c>
      <c r="BD1262" s="51" t="n">
        <v>0</v>
      </c>
      <c r="BE1262" s="51" t="n">
        <v>0</v>
      </c>
      <c r="BF1262" s="51" t="n">
        <v>0</v>
      </c>
    </row>
    <row r="1263">
      <c r="A1263">
        <f>HYPERLINK("https://www.walmart.com/ip/754680996", "754680996")</f>
        <v/>
      </c>
      <c r="B1263" t="inlineStr">
        <is>
          <t>Oversized Hoodie Blanket Sweatshirt,Super Soft Warm Comfortable Fleece Giant Pullover with Large Front Pocket,for Adults Men Women Teenagers Kids Wife Girlfriend</t>
        </is>
      </c>
      <c r="C1263" t="inlineStr">
        <is>
          <t>1CTHD300MN-UPC</t>
        </is>
      </c>
      <c r="D1263" t="inlineStr">
        <is>
          <t>Sweatshirts &amp; Hoodies</t>
        </is>
      </c>
      <c r="E1263" t="inlineStr">
        <is>
          <t>Catalonia</t>
        </is>
      </c>
      <c r="F1263" t="inlineStr">
        <is>
          <t>Hoodie ForAdult,Optimized</t>
        </is>
      </c>
      <c r="G1263" s="48" t="n">
        <v>0</v>
      </c>
      <c r="H1263" s="48" t="n">
        <v>0</v>
      </c>
      <c r="I1263" s="48" t="n">
        <v>0</v>
      </c>
      <c r="J1263" s="48" t="n">
        <v>0</v>
      </c>
      <c r="K1263" s="49" t="n">
        <v>0</v>
      </c>
      <c r="L1263" s="49" t="n">
        <v>0</v>
      </c>
      <c r="M1263" s="49" t="n">
        <v>0</v>
      </c>
      <c r="N1263" s="49" t="n">
        <v>0</v>
      </c>
      <c r="O1263" s="49" t="n">
        <v>0</v>
      </c>
      <c r="P1263" s="49" t="n">
        <v>0</v>
      </c>
      <c r="Q1263" s="49" t="n">
        <v>0</v>
      </c>
      <c r="R1263" s="49" t="n">
        <v>0</v>
      </c>
      <c r="S1263" s="50" t="n">
        <v>0</v>
      </c>
      <c r="T1263" s="50" t="n">
        <v>0</v>
      </c>
      <c r="U1263" s="50" t="n">
        <v>0</v>
      </c>
      <c r="V1263" s="50" t="n">
        <v>0</v>
      </c>
      <c r="W1263" s="51" t="n">
        <v>0</v>
      </c>
      <c r="X1263" s="51" t="n">
        <v>0</v>
      </c>
      <c r="Y1263" s="51" t="n">
        <v>0</v>
      </c>
      <c r="Z1263" s="51" t="n">
        <v>0</v>
      </c>
      <c r="AA1263" s="52" t="n">
        <v>0</v>
      </c>
      <c r="AB1263" s="52" t="n">
        <v>0</v>
      </c>
      <c r="AC1263" s="52" t="n">
        <v>0</v>
      </c>
      <c r="AD1263" s="52" t="n">
        <v>0</v>
      </c>
      <c r="AE1263" s="52" t="n">
        <v>0</v>
      </c>
      <c r="AF1263" s="52" t="n">
        <v>0</v>
      </c>
      <c r="AG1263" s="52" t="n">
        <v>0</v>
      </c>
      <c r="AH1263" s="52" t="n">
        <v>0</v>
      </c>
      <c r="AI1263" s="52" t="n">
        <v>0</v>
      </c>
      <c r="AJ1263" s="52" t="n">
        <v>0</v>
      </c>
      <c r="AK1263" s="52" t="n">
        <v>0</v>
      </c>
      <c r="AL1263" s="52" t="n">
        <v>0</v>
      </c>
      <c r="AM1263" s="53" t="n">
        <v>0</v>
      </c>
      <c r="AN1263" s="53" t="n">
        <v>0</v>
      </c>
      <c r="AO1263" s="53" t="n">
        <v>0</v>
      </c>
      <c r="AP1263" s="53" t="n">
        <v>0</v>
      </c>
      <c r="AQ1263" s="52" t="n">
        <v>0</v>
      </c>
      <c r="AR1263" s="52" t="n">
        <v>0</v>
      </c>
      <c r="AS1263" s="52" t="n">
        <v>0</v>
      </c>
      <c r="AT1263" s="52" t="n">
        <v>0</v>
      </c>
      <c r="AU1263" s="53" t="n">
        <v>0</v>
      </c>
      <c r="AV1263" s="53" t="n">
        <v>0</v>
      </c>
      <c r="AW1263" s="53" t="n">
        <v>0</v>
      </c>
      <c r="AX1263" s="53" t="n">
        <v>0</v>
      </c>
      <c r="AY1263" s="52" t="n">
        <v>0</v>
      </c>
      <c r="AZ1263" s="52" t="n">
        <v>0</v>
      </c>
      <c r="BA1263" s="52" t="n">
        <v>0</v>
      </c>
      <c r="BB1263" s="52" t="n">
        <v>0</v>
      </c>
      <c r="BC1263" s="51" t="n">
        <v>0</v>
      </c>
      <c r="BD1263" s="51" t="n">
        <v>0</v>
      </c>
      <c r="BE1263" s="51" t="n">
        <v>0</v>
      </c>
      <c r="BF1263" s="51" t="n">
        <v>0</v>
      </c>
    </row>
    <row r="1264">
      <c r="A1264">
        <f>HYPERLINK("https://www.walmart.com/ip/757558691", "757558691")</f>
        <v/>
      </c>
      <c r="B1264" t="inlineStr">
        <is>
          <t>Women’s Crop Top Hoodie Sweatshirt Oversized Casual 3/4 Sleeve One Size Grey</t>
        </is>
      </c>
      <c r="C1264" t="inlineStr">
        <is>
          <t>1WMHD520S1GY</t>
        </is>
      </c>
      <c r="D1264" t="inlineStr">
        <is>
          <t>Sweatshirts &amp; Hoodies</t>
        </is>
      </c>
      <c r="E1264" t="inlineStr">
        <is>
          <t>Flyingstar</t>
        </is>
      </c>
      <c r="F1264" t="inlineStr">
        <is>
          <t>Hoodie ForAdult,Optimized</t>
        </is>
      </c>
      <c r="G1264" s="48" t="n">
        <v>0</v>
      </c>
      <c r="H1264" s="48" t="n">
        <v>0</v>
      </c>
      <c r="I1264" s="48" t="n">
        <v>0</v>
      </c>
      <c r="J1264" s="48" t="n">
        <v>0</v>
      </c>
      <c r="K1264" s="49" t="n">
        <v>0</v>
      </c>
      <c r="L1264" s="49" t="n">
        <v>0</v>
      </c>
      <c r="M1264" s="49" t="n">
        <v>0</v>
      </c>
      <c r="N1264" s="49" t="n">
        <v>0</v>
      </c>
      <c r="O1264" s="49" t="n">
        <v>0</v>
      </c>
      <c r="P1264" s="49" t="n">
        <v>0</v>
      </c>
      <c r="Q1264" s="49" t="n">
        <v>0</v>
      </c>
      <c r="R1264" s="49" t="n">
        <v>0</v>
      </c>
      <c r="S1264" s="50" t="n">
        <v>0</v>
      </c>
      <c r="T1264" s="50" t="n">
        <v>0</v>
      </c>
      <c r="U1264" s="50" t="n">
        <v>0</v>
      </c>
      <c r="V1264" s="50" t="n">
        <v>0</v>
      </c>
      <c r="W1264" s="51" t="n">
        <v>0</v>
      </c>
      <c r="X1264" s="51" t="n">
        <v>0</v>
      </c>
      <c r="Y1264" s="51" t="n">
        <v>0</v>
      </c>
      <c r="Z1264" s="51" t="n">
        <v>0</v>
      </c>
      <c r="AA1264" s="52" t="n">
        <v>0</v>
      </c>
      <c r="AB1264" s="52" t="n">
        <v>0</v>
      </c>
      <c r="AC1264" s="52" t="n">
        <v>0</v>
      </c>
      <c r="AD1264" s="52" t="n">
        <v>0</v>
      </c>
      <c r="AE1264" s="52" t="n">
        <v>0</v>
      </c>
      <c r="AF1264" s="52" t="n">
        <v>0</v>
      </c>
      <c r="AG1264" s="52" t="n">
        <v>0</v>
      </c>
      <c r="AH1264" s="52" t="n">
        <v>0</v>
      </c>
      <c r="AI1264" s="52" t="n">
        <v>0</v>
      </c>
      <c r="AJ1264" s="52" t="n">
        <v>0</v>
      </c>
      <c r="AK1264" s="52" t="n">
        <v>0</v>
      </c>
      <c r="AL1264" s="52" t="n">
        <v>0</v>
      </c>
      <c r="AM1264" s="53" t="n">
        <v>0</v>
      </c>
      <c r="AN1264" s="53" t="n">
        <v>0</v>
      </c>
      <c r="AO1264" s="53" t="n">
        <v>0</v>
      </c>
      <c r="AP1264" s="53" t="n">
        <v>0</v>
      </c>
      <c r="AQ1264" s="52" t="n">
        <v>0</v>
      </c>
      <c r="AR1264" s="52" t="n">
        <v>0</v>
      </c>
      <c r="AS1264" s="52" t="n">
        <v>0</v>
      </c>
      <c r="AT1264" s="52" t="n">
        <v>0</v>
      </c>
      <c r="AU1264" s="53" t="n">
        <v>0</v>
      </c>
      <c r="AV1264" s="53" t="n">
        <v>0</v>
      </c>
      <c r="AW1264" s="53" t="n">
        <v>0</v>
      </c>
      <c r="AX1264" s="53" t="n">
        <v>0</v>
      </c>
      <c r="AY1264" s="52" t="n">
        <v>0</v>
      </c>
      <c r="AZ1264" s="52" t="n">
        <v>0</v>
      </c>
      <c r="BA1264" s="52" t="n">
        <v>0</v>
      </c>
      <c r="BB1264" s="52" t="n">
        <v>0</v>
      </c>
      <c r="BC1264" s="51" t="n">
        <v>0</v>
      </c>
      <c r="BD1264" s="51" t="n">
        <v>0</v>
      </c>
      <c r="BE1264" s="51" t="n">
        <v>0</v>
      </c>
      <c r="BF1264" s="51" t="n">
        <v>0</v>
      </c>
    </row>
    <row r="1265">
      <c r="A1265">
        <f>HYPERLINK("https://www.walmart.com/ip/758501304", "758501304")</f>
        <v/>
      </c>
      <c r="B1265" t="inlineStr">
        <is>
          <t>Youth Reflective Knit Beanie Hat For Sports Warm</t>
        </is>
      </c>
      <c r="C1265" t="inlineStr">
        <is>
          <t>1SLBN02OR-FSCB</t>
        </is>
      </c>
      <c r="D1265" t="inlineStr">
        <is>
          <t>Hats</t>
        </is>
      </c>
      <c r="E1265" t="inlineStr">
        <is>
          <t>Solaris</t>
        </is>
      </c>
      <c r="F1265" t="inlineStr">
        <is>
          <t>Optimized</t>
        </is>
      </c>
      <c r="G1265" s="48" t="n">
        <v>0</v>
      </c>
      <c r="H1265" s="48" t="n">
        <v>0</v>
      </c>
      <c r="I1265" s="48" t="n">
        <v>0</v>
      </c>
      <c r="J1265" s="48" t="n">
        <v>0</v>
      </c>
      <c r="K1265" s="49" t="n">
        <v>0</v>
      </c>
      <c r="L1265" s="49" t="n">
        <v>0</v>
      </c>
      <c r="M1265" s="49" t="n">
        <v>0</v>
      </c>
      <c r="N1265" s="49" t="n">
        <v>0</v>
      </c>
      <c r="O1265" s="49" t="n">
        <v>0</v>
      </c>
      <c r="P1265" s="49" t="n">
        <v>0</v>
      </c>
      <c r="Q1265" s="49" t="n">
        <v>0</v>
      </c>
      <c r="R1265" s="49" t="n">
        <v>0</v>
      </c>
      <c r="S1265" s="50" t="n">
        <v>0</v>
      </c>
      <c r="T1265" s="50" t="n">
        <v>0</v>
      </c>
      <c r="U1265" s="50" t="n">
        <v>0</v>
      </c>
      <c r="V1265" s="50" t="n">
        <v>0</v>
      </c>
      <c r="W1265" s="51" t="n">
        <v>0</v>
      </c>
      <c r="X1265" s="51" t="n">
        <v>0</v>
      </c>
      <c r="Y1265" s="51" t="n">
        <v>0</v>
      </c>
      <c r="Z1265" s="51" t="n">
        <v>0</v>
      </c>
      <c r="AA1265" s="52" t="n">
        <v>0</v>
      </c>
      <c r="AB1265" s="52" t="n">
        <v>0</v>
      </c>
      <c r="AC1265" s="52" t="n">
        <v>0</v>
      </c>
      <c r="AD1265" s="52" t="n">
        <v>0</v>
      </c>
      <c r="AE1265" s="52" t="n">
        <v>0</v>
      </c>
      <c r="AF1265" s="52" t="n">
        <v>0</v>
      </c>
      <c r="AG1265" s="52" t="n">
        <v>0</v>
      </c>
      <c r="AH1265" s="52" t="n">
        <v>0</v>
      </c>
      <c r="AI1265" s="52" t="n">
        <v>0</v>
      </c>
      <c r="AJ1265" s="52" t="n">
        <v>0</v>
      </c>
      <c r="AK1265" s="52" t="n">
        <v>0</v>
      </c>
      <c r="AL1265" s="52" t="n">
        <v>0</v>
      </c>
      <c r="AM1265" s="53" t="n">
        <v>0</v>
      </c>
      <c r="AN1265" s="53" t="n">
        <v>0</v>
      </c>
      <c r="AO1265" s="53" t="n">
        <v>0</v>
      </c>
      <c r="AP1265" s="53" t="n">
        <v>0</v>
      </c>
      <c r="AQ1265" s="52" t="n">
        <v>0</v>
      </c>
      <c r="AR1265" s="52" t="n">
        <v>0</v>
      </c>
      <c r="AS1265" s="52" t="n">
        <v>0</v>
      </c>
      <c r="AT1265" s="52" t="n">
        <v>0</v>
      </c>
      <c r="AU1265" s="53" t="n">
        <v>0</v>
      </c>
      <c r="AV1265" s="53" t="n">
        <v>0</v>
      </c>
      <c r="AW1265" s="53" t="n">
        <v>0</v>
      </c>
      <c r="AX1265" s="53" t="n">
        <v>0</v>
      </c>
      <c r="AY1265" s="52" t="n">
        <v>0</v>
      </c>
      <c r="AZ1265" s="52" t="n">
        <v>0</v>
      </c>
      <c r="BA1265" s="52" t="n">
        <v>0</v>
      </c>
      <c r="BB1265" s="52" t="n">
        <v>0</v>
      </c>
      <c r="BC1265" s="51" t="n">
        <v>0</v>
      </c>
      <c r="BD1265" s="51" t="n">
        <v>0</v>
      </c>
      <c r="BE1265" s="51" t="n">
        <v>0</v>
      </c>
      <c r="BF1265" s="51" t="n">
        <v>0</v>
      </c>
    </row>
    <row r="1266">
      <c r="A1266">
        <f>HYPERLINK("https://www.walmart.com/ip/758938048", "758938048")</f>
        <v/>
      </c>
      <c r="B1266" t="inlineStr">
        <is>
          <t>Terra Men Boxer Brief Underwear Best 3 Pack Most Comfortable Cotton Trunk Short</t>
        </is>
      </c>
      <c r="C1266" t="inlineStr">
        <is>
          <t>TERRA-BOXER6-L</t>
        </is>
      </c>
      <c r="D1266" t="inlineStr">
        <is>
          <t>Underpants</t>
        </is>
      </c>
      <c r="E1266" t="inlineStr">
        <is>
          <t>Terra</t>
        </is>
      </c>
      <c r="F1266" t="inlineStr">
        <is>
          <t>Batch 1 - TR</t>
        </is>
      </c>
      <c r="G1266" s="48" t="n">
        <v>0</v>
      </c>
      <c r="H1266" s="48" t="n">
        <v>0</v>
      </c>
      <c r="I1266" s="48" t="n">
        <v>0</v>
      </c>
      <c r="J1266" s="48" t="n">
        <v>0</v>
      </c>
      <c r="K1266" s="49" t="n">
        <v>0</v>
      </c>
      <c r="L1266" s="49" t="n">
        <v>0</v>
      </c>
      <c r="M1266" s="49" t="n">
        <v>0</v>
      </c>
      <c r="N1266" s="49" t="n">
        <v>0</v>
      </c>
      <c r="O1266" s="49" t="n">
        <v>0</v>
      </c>
      <c r="P1266" s="49" t="n">
        <v>0</v>
      </c>
      <c r="Q1266" s="49" t="n">
        <v>0</v>
      </c>
      <c r="R1266" s="49" t="n">
        <v>0</v>
      </c>
      <c r="S1266" s="50" t="n">
        <v>0</v>
      </c>
      <c r="T1266" s="50" t="n">
        <v>0</v>
      </c>
      <c r="U1266" s="50" t="n">
        <v>0</v>
      </c>
      <c r="V1266" s="50" t="n">
        <v>0</v>
      </c>
      <c r="W1266" s="51" t="n">
        <v>0</v>
      </c>
      <c r="X1266" s="51" t="n">
        <v>0</v>
      </c>
      <c r="Y1266" s="51" t="n">
        <v>0</v>
      </c>
      <c r="Z1266" s="51" t="n">
        <v>0</v>
      </c>
      <c r="AA1266" s="52" t="n">
        <v>0</v>
      </c>
      <c r="AB1266" s="52" t="n">
        <v>0</v>
      </c>
      <c r="AC1266" s="52" t="n">
        <v>0</v>
      </c>
      <c r="AD1266" s="52" t="n">
        <v>0</v>
      </c>
      <c r="AE1266" s="52" t="n">
        <v>0</v>
      </c>
      <c r="AF1266" s="52" t="n">
        <v>0</v>
      </c>
      <c r="AG1266" s="52" t="n">
        <v>0</v>
      </c>
      <c r="AH1266" s="52" t="n">
        <v>0</v>
      </c>
      <c r="AI1266" s="52" t="n">
        <v>0</v>
      </c>
      <c r="AJ1266" s="52" t="n">
        <v>0</v>
      </c>
      <c r="AK1266" s="52" t="n">
        <v>0</v>
      </c>
      <c r="AL1266" s="52" t="n">
        <v>0</v>
      </c>
      <c r="AM1266" s="53" t="n">
        <v>0</v>
      </c>
      <c r="AN1266" s="53" t="n">
        <v>0</v>
      </c>
      <c r="AO1266" s="53" t="n">
        <v>0</v>
      </c>
      <c r="AP1266" s="53" t="n">
        <v>0</v>
      </c>
      <c r="AQ1266" s="52" t="n">
        <v>0</v>
      </c>
      <c r="AR1266" s="52" t="n">
        <v>0</v>
      </c>
      <c r="AS1266" s="52" t="n">
        <v>0</v>
      </c>
      <c r="AT1266" s="52" t="n">
        <v>0</v>
      </c>
      <c r="AU1266" s="53" t="n">
        <v>0</v>
      </c>
      <c r="AV1266" s="53" t="n">
        <v>0</v>
      </c>
      <c r="AW1266" s="53" t="n">
        <v>0</v>
      </c>
      <c r="AX1266" s="53" t="n">
        <v>0</v>
      </c>
      <c r="AY1266" s="52" t="n">
        <v>0</v>
      </c>
      <c r="AZ1266" s="52" t="n">
        <v>0</v>
      </c>
      <c r="BA1266" s="52" t="n">
        <v>0</v>
      </c>
      <c r="BB1266" s="52" t="n">
        <v>0</v>
      </c>
      <c r="BC1266" s="51" t="n">
        <v>0</v>
      </c>
      <c r="BD1266" s="51" t="n">
        <v>0</v>
      </c>
      <c r="BE1266" s="51" t="n">
        <v>0</v>
      </c>
      <c r="BF1266" s="51" t="n">
        <v>0</v>
      </c>
    </row>
    <row r="1267">
      <c r="A1267">
        <f>HYPERLINK("https://www.walmart.com/ip/768292431", "768292431")</f>
        <v/>
      </c>
      <c r="B1267" t="inlineStr">
        <is>
          <t>Catalonia King Size Bed Quilt Set, Summer Bedspread Coverlet, 100x106 inches, Grey/White, Forest Pattern</t>
        </is>
      </c>
      <c r="C1267" t="inlineStr">
        <is>
          <t>1CTBQ202KI-GYWT</t>
        </is>
      </c>
      <c r="D1267" t="inlineStr">
        <is>
          <t>Bedding Sets</t>
        </is>
      </c>
      <c r="E1267" t="inlineStr">
        <is>
          <t>Catalonia</t>
        </is>
      </c>
      <c r="F1267" t="inlineStr">
        <is>
          <t>Optimized,Quilt_Vinay</t>
        </is>
      </c>
      <c r="G1267" s="48" t="n">
        <v>0</v>
      </c>
      <c r="H1267" s="48" t="n">
        <v>0</v>
      </c>
      <c r="I1267" s="48" t="n">
        <v>0</v>
      </c>
      <c r="J1267" s="48" t="n">
        <v>0</v>
      </c>
      <c r="K1267" s="49" t="n">
        <v>0</v>
      </c>
      <c r="L1267" s="49" t="n">
        <v>0</v>
      </c>
      <c r="M1267" s="49" t="n">
        <v>0</v>
      </c>
      <c r="N1267" s="49" t="n">
        <v>0</v>
      </c>
      <c r="O1267" s="49" t="n">
        <v>0</v>
      </c>
      <c r="P1267" s="49" t="n">
        <v>0</v>
      </c>
      <c r="Q1267" s="49" t="n">
        <v>0</v>
      </c>
      <c r="R1267" s="49" t="n">
        <v>0</v>
      </c>
      <c r="S1267" s="50" t="n">
        <v>0</v>
      </c>
      <c r="T1267" s="50" t="n">
        <v>0</v>
      </c>
      <c r="U1267" s="50" t="n">
        <v>0</v>
      </c>
      <c r="V1267" s="50" t="n">
        <v>0</v>
      </c>
      <c r="W1267" s="51" t="n">
        <v>0</v>
      </c>
      <c r="X1267" s="51" t="n">
        <v>0</v>
      </c>
      <c r="Y1267" s="51" t="n">
        <v>0</v>
      </c>
      <c r="Z1267" s="51" t="n">
        <v>0</v>
      </c>
      <c r="AA1267" s="52" t="n">
        <v>0</v>
      </c>
      <c r="AB1267" s="52" t="n">
        <v>0</v>
      </c>
      <c r="AC1267" s="52" t="n">
        <v>0</v>
      </c>
      <c r="AD1267" s="52" t="n">
        <v>0</v>
      </c>
      <c r="AE1267" s="52" t="n">
        <v>0</v>
      </c>
      <c r="AF1267" s="52" t="n">
        <v>0</v>
      </c>
      <c r="AG1267" s="52" t="n">
        <v>0</v>
      </c>
      <c r="AH1267" s="52" t="n">
        <v>0</v>
      </c>
      <c r="AI1267" s="52" t="n">
        <v>0</v>
      </c>
      <c r="AJ1267" s="52" t="n">
        <v>0</v>
      </c>
      <c r="AK1267" s="52" t="n">
        <v>0</v>
      </c>
      <c r="AL1267" s="52" t="n">
        <v>0</v>
      </c>
      <c r="AM1267" s="53" t="n">
        <v>0</v>
      </c>
      <c r="AN1267" s="53" t="n">
        <v>0</v>
      </c>
      <c r="AO1267" s="53" t="n">
        <v>0</v>
      </c>
      <c r="AP1267" s="53" t="n">
        <v>0</v>
      </c>
      <c r="AQ1267" s="52" t="n">
        <v>0</v>
      </c>
      <c r="AR1267" s="52" t="n">
        <v>0</v>
      </c>
      <c r="AS1267" s="52" t="n">
        <v>0</v>
      </c>
      <c r="AT1267" s="52" t="n">
        <v>0</v>
      </c>
      <c r="AU1267" s="53" t="n">
        <v>0</v>
      </c>
      <c r="AV1267" s="53" t="n">
        <v>0</v>
      </c>
      <c r="AW1267" s="53" t="n">
        <v>0</v>
      </c>
      <c r="AX1267" s="53" t="n">
        <v>0</v>
      </c>
      <c r="AY1267" s="52" t="n">
        <v>0</v>
      </c>
      <c r="AZ1267" s="52" t="n">
        <v>0</v>
      </c>
      <c r="BA1267" s="52" t="n">
        <v>0</v>
      </c>
      <c r="BB1267" s="52" t="n">
        <v>0</v>
      </c>
      <c r="BC1267" s="51" t="n">
        <v>0</v>
      </c>
      <c r="BD1267" s="51" t="n">
        <v>0</v>
      </c>
      <c r="BE1267" s="51" t="n">
        <v>0</v>
      </c>
      <c r="BF1267" s="51" t="n">
        <v>0</v>
      </c>
    </row>
    <row r="1268">
      <c r="A1268">
        <f>HYPERLINK("https://www.walmart.com/ip/768651483", "768651483")</f>
        <v/>
      </c>
      <c r="B1268" t="inlineStr">
        <is>
          <t>Catalonia Coral Fleece Throw Blanket for Couch, All Seasons Lightweight Soft Cozy Throws for Home Living Room Decoration, 50'' x 60'', Gray</t>
        </is>
      </c>
      <c r="C1268" t="inlineStr">
        <is>
          <t>1CTBF577GY</t>
        </is>
      </c>
      <c r="D1268" t="inlineStr">
        <is>
          <t>Throws</t>
        </is>
      </c>
      <c r="E1268" t="inlineStr">
        <is>
          <t>Catalonia</t>
        </is>
      </c>
      <c r="F1268" t="inlineStr">
        <is>
          <t>WFS,cost-added,WFS Item</t>
        </is>
      </c>
      <c r="G1268" s="48" t="n">
        <v>0</v>
      </c>
      <c r="H1268" s="48" t="n">
        <v>0</v>
      </c>
      <c r="I1268" s="48" t="n">
        <v>0</v>
      </c>
      <c r="J1268" s="48" t="n">
        <v>0</v>
      </c>
      <c r="K1268" s="49" t="n">
        <v>0</v>
      </c>
      <c r="L1268" s="49" t="n">
        <v>0</v>
      </c>
      <c r="M1268" s="49" t="n">
        <v>0</v>
      </c>
      <c r="N1268" s="49" t="n">
        <v>0</v>
      </c>
      <c r="O1268" s="49" t="n">
        <v>0</v>
      </c>
      <c r="P1268" s="49" t="n">
        <v>0</v>
      </c>
      <c r="Q1268" s="49" t="n">
        <v>0</v>
      </c>
      <c r="R1268" s="49" t="n">
        <v>0</v>
      </c>
      <c r="S1268" s="50" t="n">
        <v>0</v>
      </c>
      <c r="T1268" s="50" t="n">
        <v>0</v>
      </c>
      <c r="U1268" s="50" t="n">
        <v>0</v>
      </c>
      <c r="V1268" s="50" t="n">
        <v>0</v>
      </c>
      <c r="W1268" s="51" t="n">
        <v>0</v>
      </c>
      <c r="X1268" s="51" t="n">
        <v>0</v>
      </c>
      <c r="Y1268" s="51" t="n">
        <v>0</v>
      </c>
      <c r="Z1268" s="51" t="n">
        <v>0</v>
      </c>
      <c r="AA1268" s="52" t="n">
        <v>0</v>
      </c>
      <c r="AB1268" s="52" t="n">
        <v>0</v>
      </c>
      <c r="AC1268" s="52" t="n">
        <v>0</v>
      </c>
      <c r="AD1268" s="52" t="n">
        <v>0</v>
      </c>
      <c r="AE1268" s="52" t="n">
        <v>0</v>
      </c>
      <c r="AF1268" s="52" t="n">
        <v>0</v>
      </c>
      <c r="AG1268" s="52" t="n">
        <v>0</v>
      </c>
      <c r="AH1268" s="52" t="n">
        <v>0</v>
      </c>
      <c r="AI1268" s="52" t="n">
        <v>0</v>
      </c>
      <c r="AJ1268" s="52" t="n">
        <v>0</v>
      </c>
      <c r="AK1268" s="52" t="n">
        <v>0</v>
      </c>
      <c r="AL1268" s="52" t="n">
        <v>0</v>
      </c>
      <c r="AM1268" s="53" t="n">
        <v>0</v>
      </c>
      <c r="AN1268" s="53" t="n">
        <v>0</v>
      </c>
      <c r="AO1268" s="53" t="n">
        <v>0</v>
      </c>
      <c r="AP1268" s="53" t="n">
        <v>0</v>
      </c>
      <c r="AQ1268" s="52" t="n">
        <v>0</v>
      </c>
      <c r="AR1268" s="52" t="n">
        <v>0</v>
      </c>
      <c r="AS1268" s="52" t="n">
        <v>0</v>
      </c>
      <c r="AT1268" s="52" t="n">
        <v>0</v>
      </c>
      <c r="AU1268" s="53" t="n">
        <v>0</v>
      </c>
      <c r="AV1268" s="53" t="n">
        <v>0</v>
      </c>
      <c r="AW1268" s="53" t="n">
        <v>0</v>
      </c>
      <c r="AX1268" s="53" t="n">
        <v>0</v>
      </c>
      <c r="AY1268" s="52" t="n">
        <v>0</v>
      </c>
      <c r="AZ1268" s="52" t="n">
        <v>0</v>
      </c>
      <c r="BA1268" s="52" t="n">
        <v>0</v>
      </c>
      <c r="BB1268" s="52" t="n">
        <v>0</v>
      </c>
      <c r="BC1268" s="51" t="n">
        <v>0</v>
      </c>
      <c r="BD1268" s="51" t="n">
        <v>0</v>
      </c>
      <c r="BE1268" s="51" t="n">
        <v>0</v>
      </c>
      <c r="BF1268" s="51" t="n">
        <v>0</v>
      </c>
    </row>
    <row r="1269">
      <c r="A1269">
        <f>HYPERLINK("https://www.walmart.com/ip/768700910", "768700910")</f>
        <v/>
      </c>
      <c r="B1269" t="inlineStr">
        <is>
          <t>Catalonia Sherpa Throw Blanket, Fuzzy Snuggle Blanket for Camping, Traveling, Couch, and Bed, Super Soft, Light Weight, Reversible Blanket for all Season Use, Green Camo, 50'' x 60''</t>
        </is>
      </c>
      <c r="C1269" t="inlineStr">
        <is>
          <t>1CTBF579GNCAMO</t>
        </is>
      </c>
      <c r="D1269" t="inlineStr">
        <is>
          <t>Throws</t>
        </is>
      </c>
      <c r="E1269" t="inlineStr">
        <is>
          <t>Catalonia</t>
        </is>
      </c>
      <c r="F1269" t="inlineStr">
        <is>
          <t>WFS,WFS Item</t>
        </is>
      </c>
      <c r="G1269" s="48" t="n">
        <v>0</v>
      </c>
      <c r="H1269" s="48" t="n">
        <v>0</v>
      </c>
      <c r="I1269" s="48" t="n">
        <v>0</v>
      </c>
      <c r="J1269" s="48" t="n">
        <v>0</v>
      </c>
      <c r="K1269" s="49" t="n">
        <v>0</v>
      </c>
      <c r="L1269" s="49" t="n">
        <v>0</v>
      </c>
      <c r="M1269" s="49" t="n">
        <v>0</v>
      </c>
      <c r="N1269" s="49" t="n">
        <v>0</v>
      </c>
      <c r="O1269" s="49" t="n">
        <v>0</v>
      </c>
      <c r="P1269" s="49" t="n">
        <v>0</v>
      </c>
      <c r="Q1269" s="49" t="n">
        <v>0</v>
      </c>
      <c r="R1269" s="49" t="n">
        <v>0</v>
      </c>
      <c r="S1269" s="50" t="n">
        <v>0</v>
      </c>
      <c r="T1269" s="50" t="n">
        <v>0</v>
      </c>
      <c r="U1269" s="50" t="n">
        <v>0</v>
      </c>
      <c r="V1269" s="50" t="n">
        <v>0</v>
      </c>
      <c r="W1269" s="51" t="n">
        <v>1</v>
      </c>
      <c r="X1269" s="51" t="n">
        <v>4</v>
      </c>
      <c r="Y1269" s="51" t="n">
        <v>3</v>
      </c>
      <c r="Z1269" s="51" t="n">
        <v>7</v>
      </c>
      <c r="AA1269" s="52" t="n">
        <v>0.31</v>
      </c>
      <c r="AB1269" s="52" t="n">
        <v>1.23</v>
      </c>
      <c r="AC1269" s="52" t="n">
        <v>0.9099999999999999</v>
      </c>
      <c r="AD1269" s="52" t="n">
        <v>2.17</v>
      </c>
      <c r="AE1269" s="52" t="n">
        <v>0</v>
      </c>
      <c r="AF1269" s="52" t="n">
        <v>0</v>
      </c>
      <c r="AG1269" s="52" t="n">
        <v>0</v>
      </c>
      <c r="AH1269" s="52" t="n">
        <v>0</v>
      </c>
      <c r="AI1269" s="52" t="n">
        <v>0</v>
      </c>
      <c r="AJ1269" s="52" t="n">
        <v>0</v>
      </c>
      <c r="AK1269" s="52" t="n">
        <v>0</v>
      </c>
      <c r="AL1269" s="52" t="n">
        <v>0</v>
      </c>
      <c r="AM1269" s="53" t="n">
        <v>0.0016</v>
      </c>
      <c r="AN1269" s="53" t="n">
        <v>0.0023</v>
      </c>
      <c r="AO1269" s="53" t="n">
        <v>0.0016</v>
      </c>
      <c r="AP1269" s="53" t="n">
        <v>0.0034</v>
      </c>
      <c r="AQ1269" s="52" t="n">
        <v>0.31</v>
      </c>
      <c r="AR1269" s="52" t="n">
        <v>0.3075</v>
      </c>
      <c r="AS1269" s="52" t="n">
        <v>0.3033333333333333</v>
      </c>
      <c r="AT1269" s="52" t="n">
        <v>0.31</v>
      </c>
      <c r="AU1269" s="53" t="n">
        <v>0</v>
      </c>
      <c r="AV1269" s="53" t="n">
        <v>0</v>
      </c>
      <c r="AW1269" s="53" t="n">
        <v>0</v>
      </c>
      <c r="AX1269" s="53" t="n">
        <v>0</v>
      </c>
      <c r="AY1269" s="52" t="n">
        <v>0</v>
      </c>
      <c r="AZ1269" s="52" t="n">
        <v>0</v>
      </c>
      <c r="BA1269" s="52" t="n">
        <v>0</v>
      </c>
      <c r="BB1269" s="52" t="n">
        <v>0</v>
      </c>
      <c r="BC1269" s="51" t="n">
        <v>639</v>
      </c>
      <c r="BD1269" s="51" t="n">
        <v>1776</v>
      </c>
      <c r="BE1269" s="51" t="n">
        <v>1882</v>
      </c>
      <c r="BF1269" s="51" t="n">
        <v>2086</v>
      </c>
    </row>
    <row r="1270">
      <c r="A1270">
        <f>HYPERLINK("https://www.walmart.com/ip/769798241", "769798241")</f>
        <v/>
      </c>
      <c r="B1270" t="inlineStr">
        <is>
          <t>Waterproof Ski Gloves, Winter Warm 3M Insulation Snow Gloves for Skiing, Snowboarding, Shoveling, Cycling, Skating, Outdoor Sports, Gifts for Men Women, Black</t>
        </is>
      </c>
      <c r="C1270" t="inlineStr">
        <is>
          <t>1SLWG301BKBK-L</t>
        </is>
      </c>
      <c r="D1270" t="inlineStr">
        <is>
          <t>Gloves &amp; Mittens</t>
        </is>
      </c>
      <c r="E1270" t="inlineStr">
        <is>
          <t>Solaris</t>
        </is>
      </c>
      <c r="F1270" t="inlineStr">
        <is>
          <t>Gloves,WFS,WFS Item</t>
        </is>
      </c>
      <c r="G1270" s="48" t="n">
        <v>0</v>
      </c>
      <c r="H1270" s="48" t="n">
        <v>0</v>
      </c>
      <c r="I1270" s="48" t="n">
        <v>0</v>
      </c>
      <c r="J1270" s="48" t="n">
        <v>0</v>
      </c>
      <c r="K1270" s="49" t="n">
        <v>0</v>
      </c>
      <c r="L1270" s="49" t="n">
        <v>0</v>
      </c>
      <c r="M1270" s="49" t="n">
        <v>0</v>
      </c>
      <c r="N1270" s="49" t="n">
        <v>0</v>
      </c>
      <c r="O1270" s="49" t="n">
        <v>0</v>
      </c>
      <c r="P1270" s="49" t="n">
        <v>0</v>
      </c>
      <c r="Q1270" s="49" t="n">
        <v>0</v>
      </c>
      <c r="R1270" s="49" t="n">
        <v>0</v>
      </c>
      <c r="S1270" s="50" t="n">
        <v>0</v>
      </c>
      <c r="T1270" s="50" t="n">
        <v>0</v>
      </c>
      <c r="U1270" s="50" t="n">
        <v>0</v>
      </c>
      <c r="V1270" s="50" t="n">
        <v>0</v>
      </c>
      <c r="W1270" s="51" t="n">
        <v>0</v>
      </c>
      <c r="X1270" s="51" t="n">
        <v>0</v>
      </c>
      <c r="Y1270" s="51" t="n">
        <v>0</v>
      </c>
      <c r="Z1270" s="51" t="n">
        <v>0</v>
      </c>
      <c r="AA1270" s="52" t="n">
        <v>0</v>
      </c>
      <c r="AB1270" s="52" t="n">
        <v>0</v>
      </c>
      <c r="AC1270" s="52" t="n">
        <v>0</v>
      </c>
      <c r="AD1270" s="52" t="n">
        <v>0</v>
      </c>
      <c r="AE1270" s="52" t="n">
        <v>0</v>
      </c>
      <c r="AF1270" s="52" t="n">
        <v>0</v>
      </c>
      <c r="AG1270" s="52" t="n">
        <v>0</v>
      </c>
      <c r="AH1270" s="52" t="n">
        <v>0</v>
      </c>
      <c r="AI1270" s="52" t="n">
        <v>0</v>
      </c>
      <c r="AJ1270" s="52" t="n">
        <v>0</v>
      </c>
      <c r="AK1270" s="52" t="n">
        <v>0</v>
      </c>
      <c r="AL1270" s="52" t="n">
        <v>0</v>
      </c>
      <c r="AM1270" s="53" t="n">
        <v>0</v>
      </c>
      <c r="AN1270" s="53" t="n">
        <v>0</v>
      </c>
      <c r="AO1270" s="53" t="n">
        <v>0</v>
      </c>
      <c r="AP1270" s="53" t="n">
        <v>0</v>
      </c>
      <c r="AQ1270" s="52" t="n">
        <v>0</v>
      </c>
      <c r="AR1270" s="52" t="n">
        <v>0</v>
      </c>
      <c r="AS1270" s="52" t="n">
        <v>0</v>
      </c>
      <c r="AT1270" s="52" t="n">
        <v>0</v>
      </c>
      <c r="AU1270" s="53" t="n">
        <v>0</v>
      </c>
      <c r="AV1270" s="53" t="n">
        <v>0</v>
      </c>
      <c r="AW1270" s="53" t="n">
        <v>0</v>
      </c>
      <c r="AX1270" s="53" t="n">
        <v>0</v>
      </c>
      <c r="AY1270" s="52" t="n">
        <v>0</v>
      </c>
      <c r="AZ1270" s="52" t="n">
        <v>0</v>
      </c>
      <c r="BA1270" s="52" t="n">
        <v>0</v>
      </c>
      <c r="BB1270" s="52" t="n">
        <v>0</v>
      </c>
      <c r="BC1270" s="51" t="n">
        <v>0</v>
      </c>
      <c r="BD1270" s="51" t="n">
        <v>0</v>
      </c>
      <c r="BE1270" s="51" t="n">
        <v>0</v>
      </c>
      <c r="BF1270" s="51" t="n">
        <v>0</v>
      </c>
    </row>
    <row r="1271">
      <c r="A1271">
        <f>HYPERLINK("https://www.walmart.com/ip/779627389", "779627389")</f>
        <v/>
      </c>
      <c r="B1271" t="inlineStr">
        <is>
          <t>Solaris Winter Cable Knit Beanie Hats with Fur Pom Pom for Women Ski Cap</t>
        </is>
      </c>
      <c r="C1271" t="inlineStr">
        <is>
          <t>1SLPPH02BL</t>
        </is>
      </c>
      <c r="D1271" t="inlineStr">
        <is>
          <t>Hats</t>
        </is>
      </c>
      <c r="E1271" t="inlineStr">
        <is>
          <t>Solaris</t>
        </is>
      </c>
      <c r="F1271" t="inlineStr">
        <is>
          <t>Batch 1 - TR</t>
        </is>
      </c>
      <c r="G1271" s="48" t="n">
        <v>0</v>
      </c>
      <c r="H1271" s="48" t="n">
        <v>0</v>
      </c>
      <c r="I1271" s="48" t="n">
        <v>0</v>
      </c>
      <c r="J1271" s="48" t="n">
        <v>0</v>
      </c>
      <c r="K1271" s="49" t="n">
        <v>0</v>
      </c>
      <c r="L1271" s="49" t="n">
        <v>0</v>
      </c>
      <c r="M1271" s="49" t="n">
        <v>0</v>
      </c>
      <c r="N1271" s="49" t="n">
        <v>0</v>
      </c>
      <c r="O1271" s="49" t="n">
        <v>0</v>
      </c>
      <c r="P1271" s="49" t="n">
        <v>0</v>
      </c>
      <c r="Q1271" s="49" t="n">
        <v>0</v>
      </c>
      <c r="R1271" s="49" t="n">
        <v>0</v>
      </c>
      <c r="S1271" s="50" t="n">
        <v>0</v>
      </c>
      <c r="T1271" s="50" t="n">
        <v>0</v>
      </c>
      <c r="U1271" s="50" t="n">
        <v>0</v>
      </c>
      <c r="V1271" s="50" t="n">
        <v>0</v>
      </c>
      <c r="W1271" s="51" t="n">
        <v>0</v>
      </c>
      <c r="X1271" s="51" t="n">
        <v>0</v>
      </c>
      <c r="Y1271" s="51" t="n">
        <v>0</v>
      </c>
      <c r="Z1271" s="51" t="n">
        <v>0</v>
      </c>
      <c r="AA1271" s="52" t="n">
        <v>0</v>
      </c>
      <c r="AB1271" s="52" t="n">
        <v>0</v>
      </c>
      <c r="AC1271" s="52" t="n">
        <v>0</v>
      </c>
      <c r="AD1271" s="52" t="n">
        <v>0</v>
      </c>
      <c r="AE1271" s="52" t="n">
        <v>0</v>
      </c>
      <c r="AF1271" s="52" t="n">
        <v>0</v>
      </c>
      <c r="AG1271" s="52" t="n">
        <v>0</v>
      </c>
      <c r="AH1271" s="52" t="n">
        <v>0</v>
      </c>
      <c r="AI1271" s="52" t="n">
        <v>0</v>
      </c>
      <c r="AJ1271" s="52" t="n">
        <v>0</v>
      </c>
      <c r="AK1271" s="52" t="n">
        <v>0</v>
      </c>
      <c r="AL1271" s="52" t="n">
        <v>0</v>
      </c>
      <c r="AM1271" s="53" t="n">
        <v>0</v>
      </c>
      <c r="AN1271" s="53" t="n">
        <v>0</v>
      </c>
      <c r="AO1271" s="53" t="n">
        <v>0</v>
      </c>
      <c r="AP1271" s="53" t="n">
        <v>0</v>
      </c>
      <c r="AQ1271" s="52" t="n">
        <v>0</v>
      </c>
      <c r="AR1271" s="52" t="n">
        <v>0</v>
      </c>
      <c r="AS1271" s="52" t="n">
        <v>0</v>
      </c>
      <c r="AT1271" s="52" t="n">
        <v>0</v>
      </c>
      <c r="AU1271" s="53" t="n">
        <v>0</v>
      </c>
      <c r="AV1271" s="53" t="n">
        <v>0</v>
      </c>
      <c r="AW1271" s="53" t="n">
        <v>0</v>
      </c>
      <c r="AX1271" s="53" t="n">
        <v>0</v>
      </c>
      <c r="AY1271" s="52" t="n">
        <v>0</v>
      </c>
      <c r="AZ1271" s="52" t="n">
        <v>0</v>
      </c>
      <c r="BA1271" s="52" t="n">
        <v>0</v>
      </c>
      <c r="BB1271" s="52" t="n">
        <v>0</v>
      </c>
      <c r="BC1271" s="51" t="n">
        <v>0</v>
      </c>
      <c r="BD1271" s="51" t="n">
        <v>0</v>
      </c>
      <c r="BE1271" s="51" t="n">
        <v>0</v>
      </c>
      <c r="BF1271" s="51" t="n">
        <v>0</v>
      </c>
    </row>
    <row r="1272">
      <c r="A1272">
        <f>HYPERLINK("https://www.walmart.com/ip/780933748", "780933748")</f>
        <v/>
      </c>
      <c r="B1272" t="inlineStr">
        <is>
          <t>Flyingstar Sherpa Throws Blanket, Fleece Soft Cozy Blanket Throws for Sofa Bed 50"x60"</t>
        </is>
      </c>
      <c r="C1272" t="inlineStr">
        <is>
          <t>1WMBF571TRIBE</t>
        </is>
      </c>
      <c r="D1272" t="inlineStr">
        <is>
          <t>Throws</t>
        </is>
      </c>
      <c r="E1272" t="inlineStr">
        <is>
          <t>Flyingstar</t>
        </is>
      </c>
      <c r="F1272" t="inlineStr">
        <is>
          <t>Christmas,Optimized</t>
        </is>
      </c>
      <c r="G1272" s="48" t="n">
        <v>0</v>
      </c>
      <c r="H1272" s="48" t="n">
        <v>0</v>
      </c>
      <c r="I1272" s="48" t="n">
        <v>0</v>
      </c>
      <c r="J1272" s="48" t="n">
        <v>0</v>
      </c>
      <c r="K1272" s="49" t="n">
        <v>0</v>
      </c>
      <c r="L1272" s="49" t="n">
        <v>0</v>
      </c>
      <c r="M1272" s="49" t="n">
        <v>0</v>
      </c>
      <c r="N1272" s="49" t="n">
        <v>0</v>
      </c>
      <c r="O1272" s="49" t="n">
        <v>0</v>
      </c>
      <c r="P1272" s="49" t="n">
        <v>0</v>
      </c>
      <c r="Q1272" s="49" t="n">
        <v>0</v>
      </c>
      <c r="R1272" s="49" t="n">
        <v>0</v>
      </c>
      <c r="S1272" s="50" t="n">
        <v>0</v>
      </c>
      <c r="T1272" s="50" t="n">
        <v>0</v>
      </c>
      <c r="U1272" s="50" t="n">
        <v>0</v>
      </c>
      <c r="V1272" s="50" t="n">
        <v>0</v>
      </c>
      <c r="W1272" s="51" t="n">
        <v>0</v>
      </c>
      <c r="X1272" s="51" t="n">
        <v>0</v>
      </c>
      <c r="Y1272" s="51" t="n">
        <v>0</v>
      </c>
      <c r="Z1272" s="51" t="n">
        <v>0</v>
      </c>
      <c r="AA1272" s="52" t="n">
        <v>0</v>
      </c>
      <c r="AB1272" s="52" t="n">
        <v>0</v>
      </c>
      <c r="AC1272" s="52" t="n">
        <v>0</v>
      </c>
      <c r="AD1272" s="52" t="n">
        <v>0</v>
      </c>
      <c r="AE1272" s="52" t="n">
        <v>0</v>
      </c>
      <c r="AF1272" s="52" t="n">
        <v>0</v>
      </c>
      <c r="AG1272" s="52" t="n">
        <v>0</v>
      </c>
      <c r="AH1272" s="52" t="n">
        <v>0</v>
      </c>
      <c r="AI1272" s="52" t="n">
        <v>0</v>
      </c>
      <c r="AJ1272" s="52" t="n">
        <v>0</v>
      </c>
      <c r="AK1272" s="52" t="n">
        <v>0</v>
      </c>
      <c r="AL1272" s="52" t="n">
        <v>0</v>
      </c>
      <c r="AM1272" s="53" t="n">
        <v>0</v>
      </c>
      <c r="AN1272" s="53" t="n">
        <v>0</v>
      </c>
      <c r="AO1272" s="53" t="n">
        <v>0</v>
      </c>
      <c r="AP1272" s="53" t="n">
        <v>0</v>
      </c>
      <c r="AQ1272" s="52" t="n">
        <v>0</v>
      </c>
      <c r="AR1272" s="52" t="n">
        <v>0</v>
      </c>
      <c r="AS1272" s="52" t="n">
        <v>0</v>
      </c>
      <c r="AT1272" s="52" t="n">
        <v>0</v>
      </c>
      <c r="AU1272" s="53" t="n">
        <v>0</v>
      </c>
      <c r="AV1272" s="53" t="n">
        <v>0</v>
      </c>
      <c r="AW1272" s="53" t="n">
        <v>0</v>
      </c>
      <c r="AX1272" s="53" t="n">
        <v>0</v>
      </c>
      <c r="AY1272" s="52" t="n">
        <v>0</v>
      </c>
      <c r="AZ1272" s="52" t="n">
        <v>0</v>
      </c>
      <c r="BA1272" s="52" t="n">
        <v>0</v>
      </c>
      <c r="BB1272" s="52" t="n">
        <v>0</v>
      </c>
      <c r="BC1272" s="51" t="n">
        <v>0</v>
      </c>
      <c r="BD1272" s="51" t="n">
        <v>0</v>
      </c>
      <c r="BE1272" s="51" t="n">
        <v>0</v>
      </c>
      <c r="BF1272" s="51" t="n">
        <v>0</v>
      </c>
    </row>
    <row r="1273">
      <c r="A1273">
        <f>HYPERLINK("https://www.walmart.com/ip/781423419", "781423419")</f>
        <v/>
      </c>
      <c r="B1273" t="inlineStr">
        <is>
          <t>Flyingstar Mermaid Tail Blanket, Soft Flannel Fleece All Seasons Sleeping Blanket for Kids Adults, Rainbow Ombre Fish Scale Design Snuggle Blanket, Best Gifts</t>
        </is>
      </c>
      <c r="C1273" t="inlineStr">
        <is>
          <t>1WMMP100GN</t>
        </is>
      </c>
      <c r="D1273" t="inlineStr">
        <is>
          <t>Throws</t>
        </is>
      </c>
      <c r="E1273" t="inlineStr">
        <is>
          <t>Flyingstar</t>
        </is>
      </c>
      <c r="F1273" t="inlineStr">
        <is>
          <t>Baby days,Optimized</t>
        </is>
      </c>
      <c r="G1273" s="48" t="n">
        <v>0</v>
      </c>
      <c r="H1273" s="48" t="n">
        <v>0</v>
      </c>
      <c r="I1273" s="48" t="n">
        <v>0</v>
      </c>
      <c r="J1273" s="48" t="n">
        <v>0</v>
      </c>
      <c r="K1273" s="49" t="n">
        <v>0</v>
      </c>
      <c r="L1273" s="49" t="n">
        <v>0</v>
      </c>
      <c r="M1273" s="49" t="n">
        <v>0</v>
      </c>
      <c r="N1273" s="49" t="n">
        <v>0</v>
      </c>
      <c r="O1273" s="49" t="n">
        <v>0</v>
      </c>
      <c r="P1273" s="49" t="n">
        <v>0</v>
      </c>
      <c r="Q1273" s="49" t="n">
        <v>0</v>
      </c>
      <c r="R1273" s="49" t="n">
        <v>0</v>
      </c>
      <c r="S1273" s="50" t="n">
        <v>0</v>
      </c>
      <c r="T1273" s="50" t="n">
        <v>0</v>
      </c>
      <c r="U1273" s="50" t="n">
        <v>0</v>
      </c>
      <c r="V1273" s="50" t="n">
        <v>0</v>
      </c>
      <c r="W1273" s="51" t="n">
        <v>0</v>
      </c>
      <c r="X1273" s="51" t="n">
        <v>0</v>
      </c>
      <c r="Y1273" s="51" t="n">
        <v>0</v>
      </c>
      <c r="Z1273" s="51" t="n">
        <v>0</v>
      </c>
      <c r="AA1273" s="52" t="n">
        <v>0</v>
      </c>
      <c r="AB1273" s="52" t="n">
        <v>0</v>
      </c>
      <c r="AC1273" s="52" t="n">
        <v>0</v>
      </c>
      <c r="AD1273" s="52" t="n">
        <v>0</v>
      </c>
      <c r="AE1273" s="52" t="n">
        <v>0</v>
      </c>
      <c r="AF1273" s="52" t="n">
        <v>0</v>
      </c>
      <c r="AG1273" s="52" t="n">
        <v>0</v>
      </c>
      <c r="AH1273" s="52" t="n">
        <v>0</v>
      </c>
      <c r="AI1273" s="52" t="n">
        <v>0</v>
      </c>
      <c r="AJ1273" s="52" t="n">
        <v>0</v>
      </c>
      <c r="AK1273" s="52" t="n">
        <v>0</v>
      </c>
      <c r="AL1273" s="52" t="n">
        <v>0</v>
      </c>
      <c r="AM1273" s="53" t="n">
        <v>0</v>
      </c>
      <c r="AN1273" s="53" t="n">
        <v>0</v>
      </c>
      <c r="AO1273" s="53" t="n">
        <v>0</v>
      </c>
      <c r="AP1273" s="53" t="n">
        <v>0</v>
      </c>
      <c r="AQ1273" s="52" t="n">
        <v>0</v>
      </c>
      <c r="AR1273" s="52" t="n">
        <v>0</v>
      </c>
      <c r="AS1273" s="52" t="n">
        <v>0</v>
      </c>
      <c r="AT1273" s="52" t="n">
        <v>0</v>
      </c>
      <c r="AU1273" s="53" t="n">
        <v>0</v>
      </c>
      <c r="AV1273" s="53" t="n">
        <v>0</v>
      </c>
      <c r="AW1273" s="53" t="n">
        <v>0</v>
      </c>
      <c r="AX1273" s="53" t="n">
        <v>0</v>
      </c>
      <c r="AY1273" s="52" t="n">
        <v>0</v>
      </c>
      <c r="AZ1273" s="52" t="n">
        <v>0</v>
      </c>
      <c r="BA1273" s="52" t="n">
        <v>0</v>
      </c>
      <c r="BB1273" s="52" t="n">
        <v>0</v>
      </c>
      <c r="BC1273" s="51" t="n">
        <v>0</v>
      </c>
      <c r="BD1273" s="51" t="n">
        <v>0</v>
      </c>
      <c r="BE1273" s="51" t="n">
        <v>0</v>
      </c>
      <c r="BF1273" s="51" t="n">
        <v>0</v>
      </c>
    </row>
    <row r="1274">
      <c r="A1274">
        <f>HYPERLINK("https://www.walmart.com/ip/781753852", "781753852")</f>
        <v/>
      </c>
      <c r="B1274" t="inlineStr">
        <is>
          <t>Jennis Women's Plue Size Flower laced Sexy Babydoll</t>
        </is>
      </c>
      <c r="C1274" t="inlineStr">
        <is>
          <t>JWBD05BK-3XL</t>
        </is>
      </c>
      <c r="D1274" t="inlineStr">
        <is>
          <t>Lingerie Sets</t>
        </is>
      </c>
      <c r="E1274" t="inlineStr">
        <is>
          <t>JenniWears</t>
        </is>
      </c>
      <c r="F1274" t="inlineStr">
        <is>
          <t>Valentine</t>
        </is>
      </c>
      <c r="G1274" s="48" t="n">
        <v>0</v>
      </c>
      <c r="H1274" s="48" t="n">
        <v>0</v>
      </c>
      <c r="I1274" s="48" t="n">
        <v>0</v>
      </c>
      <c r="J1274" s="48" t="n">
        <v>0</v>
      </c>
      <c r="K1274" s="49" t="n">
        <v>0</v>
      </c>
      <c r="L1274" s="49" t="n">
        <v>0</v>
      </c>
      <c r="M1274" s="49" t="n">
        <v>0</v>
      </c>
      <c r="N1274" s="49" t="n">
        <v>0</v>
      </c>
      <c r="O1274" s="49" t="n">
        <v>0</v>
      </c>
      <c r="P1274" s="49" t="n">
        <v>0</v>
      </c>
      <c r="Q1274" s="49" t="n">
        <v>0</v>
      </c>
      <c r="R1274" s="49" t="n">
        <v>0</v>
      </c>
      <c r="S1274" s="50" t="n">
        <v>0</v>
      </c>
      <c r="T1274" s="50" t="n">
        <v>0</v>
      </c>
      <c r="U1274" s="50" t="n">
        <v>0</v>
      </c>
      <c r="V1274" s="50" t="n">
        <v>0</v>
      </c>
      <c r="W1274" s="51" t="n">
        <v>0</v>
      </c>
      <c r="X1274" s="51" t="n">
        <v>0</v>
      </c>
      <c r="Y1274" s="51" t="n">
        <v>0</v>
      </c>
      <c r="Z1274" s="51" t="n">
        <v>0</v>
      </c>
      <c r="AA1274" s="52" t="n">
        <v>0</v>
      </c>
      <c r="AB1274" s="52" t="n">
        <v>0</v>
      </c>
      <c r="AC1274" s="52" t="n">
        <v>0</v>
      </c>
      <c r="AD1274" s="52" t="n">
        <v>0</v>
      </c>
      <c r="AE1274" s="52" t="n">
        <v>0</v>
      </c>
      <c r="AF1274" s="52" t="n">
        <v>0</v>
      </c>
      <c r="AG1274" s="52" t="n">
        <v>0</v>
      </c>
      <c r="AH1274" s="52" t="n">
        <v>0</v>
      </c>
      <c r="AI1274" s="52" t="n">
        <v>0</v>
      </c>
      <c r="AJ1274" s="52" t="n">
        <v>0</v>
      </c>
      <c r="AK1274" s="52" t="n">
        <v>0</v>
      </c>
      <c r="AL1274" s="52" t="n">
        <v>0</v>
      </c>
      <c r="AM1274" s="53" t="n">
        <v>0</v>
      </c>
      <c r="AN1274" s="53" t="n">
        <v>0</v>
      </c>
      <c r="AO1274" s="53" t="n">
        <v>0</v>
      </c>
      <c r="AP1274" s="53" t="n">
        <v>0</v>
      </c>
      <c r="AQ1274" s="52" t="n">
        <v>0</v>
      </c>
      <c r="AR1274" s="52" t="n">
        <v>0</v>
      </c>
      <c r="AS1274" s="52" t="n">
        <v>0</v>
      </c>
      <c r="AT1274" s="52" t="n">
        <v>0</v>
      </c>
      <c r="AU1274" s="53" t="n">
        <v>0</v>
      </c>
      <c r="AV1274" s="53" t="n">
        <v>0</v>
      </c>
      <c r="AW1274" s="53" t="n">
        <v>0</v>
      </c>
      <c r="AX1274" s="53" t="n">
        <v>0</v>
      </c>
      <c r="AY1274" s="52" t="n">
        <v>0</v>
      </c>
      <c r="AZ1274" s="52" t="n">
        <v>0</v>
      </c>
      <c r="BA1274" s="52" t="n">
        <v>0</v>
      </c>
      <c r="BB1274" s="52" t="n">
        <v>0</v>
      </c>
      <c r="BC1274" s="51" t="n">
        <v>0</v>
      </c>
      <c r="BD1274" s="51" t="n">
        <v>0</v>
      </c>
      <c r="BE1274" s="51" t="n">
        <v>0</v>
      </c>
      <c r="BF1274" s="51" t="n">
        <v>0</v>
      </c>
    </row>
    <row r="1275">
      <c r="A1275">
        <f>HYPERLINK("https://www.walmart.com/ip/782074121", "782074121")</f>
        <v/>
      </c>
      <c r="B1275" t="inlineStr">
        <is>
          <t>Catalonia Mermaid Tail Blanket, Super Soft Blanket Sherpa Lined Knit with Non-slip Neck Strap, Best Gift for Girls Women Adult Teens, One Size, Grey</t>
        </is>
      </c>
      <c r="C1275" t="inlineStr">
        <is>
          <t>1CTMM300GY</t>
        </is>
      </c>
      <c r="D1275" t="inlineStr">
        <is>
          <t>Bed Blankets</t>
        </is>
      </c>
      <c r="E1275" t="inlineStr">
        <is>
          <t>Catalonia</t>
        </is>
      </c>
      <c r="F1275" t="inlineStr">
        <is>
          <t>Batch 1 - TR</t>
        </is>
      </c>
      <c r="G1275" s="48" t="n">
        <v>0</v>
      </c>
      <c r="H1275" s="48" t="n">
        <v>0</v>
      </c>
      <c r="I1275" s="48" t="n">
        <v>0</v>
      </c>
      <c r="J1275" s="48" t="n">
        <v>0</v>
      </c>
      <c r="K1275" s="49" t="n">
        <v>0</v>
      </c>
      <c r="L1275" s="49" t="n">
        <v>0</v>
      </c>
      <c r="M1275" s="49" t="n">
        <v>0</v>
      </c>
      <c r="N1275" s="49" t="n">
        <v>0</v>
      </c>
      <c r="O1275" s="49" t="n">
        <v>0</v>
      </c>
      <c r="P1275" s="49" t="n">
        <v>0</v>
      </c>
      <c r="Q1275" s="49" t="n">
        <v>0</v>
      </c>
      <c r="R1275" s="49" t="n">
        <v>0</v>
      </c>
      <c r="S1275" s="50" t="n">
        <v>0</v>
      </c>
      <c r="T1275" s="50" t="n">
        <v>0</v>
      </c>
      <c r="U1275" s="50" t="n">
        <v>0</v>
      </c>
      <c r="V1275" s="50" t="n">
        <v>0</v>
      </c>
      <c r="W1275" s="51" t="n">
        <v>0</v>
      </c>
      <c r="X1275" s="51" t="n">
        <v>0</v>
      </c>
      <c r="Y1275" s="51" t="n">
        <v>0</v>
      </c>
      <c r="Z1275" s="51" t="n">
        <v>0</v>
      </c>
      <c r="AA1275" s="52" t="n">
        <v>0</v>
      </c>
      <c r="AB1275" s="52" t="n">
        <v>0</v>
      </c>
      <c r="AC1275" s="52" t="n">
        <v>0</v>
      </c>
      <c r="AD1275" s="52" t="n">
        <v>0</v>
      </c>
      <c r="AE1275" s="52" t="n">
        <v>0</v>
      </c>
      <c r="AF1275" s="52" t="n">
        <v>0</v>
      </c>
      <c r="AG1275" s="52" t="n">
        <v>0</v>
      </c>
      <c r="AH1275" s="52" t="n">
        <v>0</v>
      </c>
      <c r="AI1275" s="52" t="n">
        <v>0</v>
      </c>
      <c r="AJ1275" s="52" t="n">
        <v>0</v>
      </c>
      <c r="AK1275" s="52" t="n">
        <v>0</v>
      </c>
      <c r="AL1275" s="52" t="n">
        <v>0</v>
      </c>
      <c r="AM1275" s="53" t="n">
        <v>0</v>
      </c>
      <c r="AN1275" s="53" t="n">
        <v>0</v>
      </c>
      <c r="AO1275" s="53" t="n">
        <v>0</v>
      </c>
      <c r="AP1275" s="53" t="n">
        <v>0</v>
      </c>
      <c r="AQ1275" s="52" t="n">
        <v>0</v>
      </c>
      <c r="AR1275" s="52" t="n">
        <v>0</v>
      </c>
      <c r="AS1275" s="52" t="n">
        <v>0</v>
      </c>
      <c r="AT1275" s="52" t="n">
        <v>0</v>
      </c>
      <c r="AU1275" s="53" t="n">
        <v>0</v>
      </c>
      <c r="AV1275" s="53" t="n">
        <v>0</v>
      </c>
      <c r="AW1275" s="53" t="n">
        <v>0</v>
      </c>
      <c r="AX1275" s="53" t="n">
        <v>0</v>
      </c>
      <c r="AY1275" s="52" t="n">
        <v>0</v>
      </c>
      <c r="AZ1275" s="52" t="n">
        <v>0</v>
      </c>
      <c r="BA1275" s="52" t="n">
        <v>0</v>
      </c>
      <c r="BB1275" s="52" t="n">
        <v>0</v>
      </c>
      <c r="BC1275" s="51" t="n">
        <v>0</v>
      </c>
      <c r="BD1275" s="51" t="n">
        <v>0</v>
      </c>
      <c r="BE1275" s="51" t="n">
        <v>0</v>
      </c>
      <c r="BF1275" s="51" t="n">
        <v>0</v>
      </c>
    </row>
    <row r="1276">
      <c r="A1276">
        <f>HYPERLINK("https://www.walmart.com/ip/782090688", "782090688")</f>
        <v/>
      </c>
      <c r="B1276" t="inlineStr">
        <is>
          <t>Tirrinia Insulated Lunch Bag, Leakproof Thermal Bento Cooler Tote for Women and Men, Dual Compartment with Shoulder Strap, 10.2" x 7.5" x 9",Red</t>
        </is>
      </c>
      <c r="C1276" t="inlineStr">
        <is>
          <t>1TRLB601RD</t>
        </is>
      </c>
      <c r="D1276" t="inlineStr">
        <is>
          <t>Reusable Lunch Bags &amp; Boxes</t>
        </is>
      </c>
      <c r="E1276" t="inlineStr">
        <is>
          <t>Tirrinia</t>
        </is>
      </c>
      <c r="F1276" t="inlineStr">
        <is>
          <t>Q2-Target,Brand Camp VD,Lunch Bag,WFS,Lunch Bags,WFS Item</t>
        </is>
      </c>
      <c r="G1276" s="48" t="n">
        <v>0</v>
      </c>
      <c r="H1276" s="48" t="n">
        <v>0</v>
      </c>
      <c r="I1276" s="48" t="n">
        <v>0</v>
      </c>
      <c r="J1276" s="48" t="n">
        <v>18.99</v>
      </c>
      <c r="K1276" s="49" t="n">
        <v>0</v>
      </c>
      <c r="L1276" s="49" t="n">
        <v>0</v>
      </c>
      <c r="M1276" s="49" t="n">
        <v>0</v>
      </c>
      <c r="N1276" s="49" t="n">
        <v>1</v>
      </c>
      <c r="O1276" s="49" t="n">
        <v>0</v>
      </c>
      <c r="P1276" s="49" t="n">
        <v>0</v>
      </c>
      <c r="Q1276" s="49" t="n">
        <v>0</v>
      </c>
      <c r="R1276" s="49" t="n">
        <v>0</v>
      </c>
      <c r="S1276" s="50" t="n">
        <v>0</v>
      </c>
      <c r="T1276" s="50" t="n">
        <v>0</v>
      </c>
      <c r="U1276" s="50" t="n">
        <v>0</v>
      </c>
      <c r="V1276" s="50" t="n">
        <v>0</v>
      </c>
      <c r="W1276" s="51" t="n">
        <v>0</v>
      </c>
      <c r="X1276" s="51" t="n">
        <v>0</v>
      </c>
      <c r="Y1276" s="51" t="n">
        <v>0</v>
      </c>
      <c r="Z1276" s="51" t="n">
        <v>0</v>
      </c>
      <c r="AA1276" s="52" t="n">
        <v>0</v>
      </c>
      <c r="AB1276" s="52" t="n">
        <v>0</v>
      </c>
      <c r="AC1276" s="52" t="n">
        <v>0</v>
      </c>
      <c r="AD1276" s="52" t="n">
        <v>0</v>
      </c>
      <c r="AE1276" s="52" t="n">
        <v>0</v>
      </c>
      <c r="AF1276" s="52" t="n">
        <v>0</v>
      </c>
      <c r="AG1276" s="52" t="n">
        <v>0</v>
      </c>
      <c r="AH1276" s="52" t="n">
        <v>0</v>
      </c>
      <c r="AI1276" s="52" t="n">
        <v>0</v>
      </c>
      <c r="AJ1276" s="52" t="n">
        <v>0</v>
      </c>
      <c r="AK1276" s="52" t="n">
        <v>0</v>
      </c>
      <c r="AL1276" s="52" t="n">
        <v>0</v>
      </c>
      <c r="AM1276" s="53" t="n">
        <v>0</v>
      </c>
      <c r="AN1276" s="53" t="n">
        <v>0</v>
      </c>
      <c r="AO1276" s="53" t="n">
        <v>0</v>
      </c>
      <c r="AP1276" s="53" t="n">
        <v>0</v>
      </c>
      <c r="AQ1276" s="52" t="n">
        <v>0</v>
      </c>
      <c r="AR1276" s="52" t="n">
        <v>0</v>
      </c>
      <c r="AS1276" s="52" t="n">
        <v>0</v>
      </c>
      <c r="AT1276" s="52" t="n">
        <v>0</v>
      </c>
      <c r="AU1276" s="53" t="n">
        <v>0</v>
      </c>
      <c r="AV1276" s="53" t="n">
        <v>0</v>
      </c>
      <c r="AW1276" s="53" t="n">
        <v>0</v>
      </c>
      <c r="AX1276" s="53" t="n">
        <v>0</v>
      </c>
      <c r="AY1276" s="52" t="n">
        <v>0</v>
      </c>
      <c r="AZ1276" s="52" t="n">
        <v>0</v>
      </c>
      <c r="BA1276" s="52" t="n">
        <v>0</v>
      </c>
      <c r="BB1276" s="52" t="n">
        <v>18.99</v>
      </c>
      <c r="BC1276" s="51" t="n">
        <v>0</v>
      </c>
      <c r="BD1276" s="51" t="n">
        <v>0</v>
      </c>
      <c r="BE1276" s="51" t="n">
        <v>0</v>
      </c>
      <c r="BF1276" s="51" t="n">
        <v>0</v>
      </c>
    </row>
    <row r="1277">
      <c r="A1277">
        <f>HYPERLINK("https://www.walmart.com/ip/782469893", "782469893")</f>
        <v/>
      </c>
      <c r="B1277" t="inlineStr">
        <is>
          <t>Fleece Blanket Wearable with Sleeves and Pocket, Micro Plush Warm Comfy Sleeved TV Throw Blanket Robe for Women and Men Multi-Colors 72”X55” by Catalonia</t>
        </is>
      </c>
      <c r="C1277" t="inlineStr">
        <is>
          <t>1CTSN110BR-ESGM</t>
        </is>
      </c>
      <c r="D1277" t="inlineStr">
        <is>
          <t>Throws</t>
        </is>
      </c>
      <c r="E1277" t="inlineStr">
        <is>
          <t>Catalonia</t>
        </is>
      </c>
      <c r="F1277" t="inlineStr">
        <is>
          <t>Fleece Blankets,Batch 1 - TR</t>
        </is>
      </c>
      <c r="G1277" s="48" t="n">
        <v>0</v>
      </c>
      <c r="H1277" s="48" t="n">
        <v>0</v>
      </c>
      <c r="I1277" s="48" t="n">
        <v>0</v>
      </c>
      <c r="J1277" s="48" t="n">
        <v>0</v>
      </c>
      <c r="K1277" s="49" t="n">
        <v>0</v>
      </c>
      <c r="L1277" s="49" t="n">
        <v>0</v>
      </c>
      <c r="M1277" s="49" t="n">
        <v>0</v>
      </c>
      <c r="N1277" s="49" t="n">
        <v>0</v>
      </c>
      <c r="O1277" s="49" t="n">
        <v>0</v>
      </c>
      <c r="P1277" s="49" t="n">
        <v>0</v>
      </c>
      <c r="Q1277" s="49" t="n">
        <v>0</v>
      </c>
      <c r="R1277" s="49" t="n">
        <v>0</v>
      </c>
      <c r="S1277" s="50" t="n">
        <v>0</v>
      </c>
      <c r="T1277" s="50" t="n">
        <v>0</v>
      </c>
      <c r="U1277" s="50" t="n">
        <v>0</v>
      </c>
      <c r="V1277" s="50" t="n">
        <v>0</v>
      </c>
      <c r="W1277" s="51" t="n">
        <v>0</v>
      </c>
      <c r="X1277" s="51" t="n">
        <v>0</v>
      </c>
      <c r="Y1277" s="51" t="n">
        <v>0</v>
      </c>
      <c r="Z1277" s="51" t="n">
        <v>0</v>
      </c>
      <c r="AA1277" s="52" t="n">
        <v>0</v>
      </c>
      <c r="AB1277" s="52" t="n">
        <v>0</v>
      </c>
      <c r="AC1277" s="52" t="n">
        <v>0</v>
      </c>
      <c r="AD1277" s="52" t="n">
        <v>0</v>
      </c>
      <c r="AE1277" s="52" t="n">
        <v>0</v>
      </c>
      <c r="AF1277" s="52" t="n">
        <v>0</v>
      </c>
      <c r="AG1277" s="52" t="n">
        <v>0</v>
      </c>
      <c r="AH1277" s="52" t="n">
        <v>0</v>
      </c>
      <c r="AI1277" s="52" t="n">
        <v>0</v>
      </c>
      <c r="AJ1277" s="52" t="n">
        <v>0</v>
      </c>
      <c r="AK1277" s="52" t="n">
        <v>0</v>
      </c>
      <c r="AL1277" s="52" t="n">
        <v>0</v>
      </c>
      <c r="AM1277" s="53" t="n">
        <v>0</v>
      </c>
      <c r="AN1277" s="53" t="n">
        <v>0</v>
      </c>
      <c r="AO1277" s="53" t="n">
        <v>0</v>
      </c>
      <c r="AP1277" s="53" t="n">
        <v>0</v>
      </c>
      <c r="AQ1277" s="52" t="n">
        <v>0</v>
      </c>
      <c r="AR1277" s="52" t="n">
        <v>0</v>
      </c>
      <c r="AS1277" s="52" t="n">
        <v>0</v>
      </c>
      <c r="AT1277" s="52" t="n">
        <v>0</v>
      </c>
      <c r="AU1277" s="53" t="n">
        <v>0</v>
      </c>
      <c r="AV1277" s="53" t="n">
        <v>0</v>
      </c>
      <c r="AW1277" s="53" t="n">
        <v>0</v>
      </c>
      <c r="AX1277" s="53" t="n">
        <v>0</v>
      </c>
      <c r="AY1277" s="52" t="n">
        <v>0</v>
      </c>
      <c r="AZ1277" s="52" t="n">
        <v>0</v>
      </c>
      <c r="BA1277" s="52" t="n">
        <v>0</v>
      </c>
      <c r="BB1277" s="52" t="n">
        <v>0</v>
      </c>
      <c r="BC1277" s="51" t="n">
        <v>0</v>
      </c>
      <c r="BD1277" s="51" t="n">
        <v>0</v>
      </c>
      <c r="BE1277" s="51" t="n">
        <v>0</v>
      </c>
      <c r="BF1277" s="51" t="n">
        <v>0</v>
      </c>
    </row>
    <row r="1278">
      <c r="A1278">
        <f>HYPERLINK("https://www.walmart.com/ip/782528984", "782528984")</f>
        <v/>
      </c>
      <c r="B1278" t="inlineStr">
        <is>
          <t>Women's Sherpa Bathrobe, Soft Warm Fleece Long Robe, Shawl Collar, Comfy, Full Length</t>
        </is>
      </c>
      <c r="C1278" t="inlineStr">
        <is>
          <t>1CTRB510GY-01</t>
        </is>
      </c>
      <c r="D1278" t="inlineStr">
        <is>
          <t>Sleepwear Robes &amp; Bathrobes</t>
        </is>
      </c>
      <c r="E1278" t="inlineStr">
        <is>
          <t>Catalonia</t>
        </is>
      </c>
      <c r="F1278" t="inlineStr">
        <is>
          <t>WFS,Bathrobe,WFS Item</t>
        </is>
      </c>
      <c r="G1278" s="48" t="n">
        <v>0</v>
      </c>
      <c r="H1278" s="48" t="n">
        <v>0</v>
      </c>
      <c r="I1278" s="48" t="n">
        <v>0</v>
      </c>
      <c r="J1278" s="48" t="n">
        <v>0</v>
      </c>
      <c r="K1278" s="49" t="n">
        <v>0</v>
      </c>
      <c r="L1278" s="49" t="n">
        <v>0</v>
      </c>
      <c r="M1278" s="49" t="n">
        <v>0</v>
      </c>
      <c r="N1278" s="49" t="n">
        <v>0</v>
      </c>
      <c r="O1278" s="49" t="n">
        <v>0</v>
      </c>
      <c r="P1278" s="49" t="n">
        <v>0</v>
      </c>
      <c r="Q1278" s="49" t="n">
        <v>0</v>
      </c>
      <c r="R1278" s="49" t="n">
        <v>0</v>
      </c>
      <c r="S1278" s="50" t="n">
        <v>0</v>
      </c>
      <c r="T1278" s="50" t="n">
        <v>0</v>
      </c>
      <c r="U1278" s="50" t="n">
        <v>0</v>
      </c>
      <c r="V1278" s="50" t="n">
        <v>0</v>
      </c>
      <c r="W1278" s="51" t="n">
        <v>0</v>
      </c>
      <c r="X1278" s="51" t="n">
        <v>0</v>
      </c>
      <c r="Y1278" s="51" t="n">
        <v>0</v>
      </c>
      <c r="Z1278" s="51" t="n">
        <v>0</v>
      </c>
      <c r="AA1278" s="52" t="n">
        <v>0</v>
      </c>
      <c r="AB1278" s="52" t="n">
        <v>0</v>
      </c>
      <c r="AC1278" s="52" t="n">
        <v>0</v>
      </c>
      <c r="AD1278" s="52" t="n">
        <v>0</v>
      </c>
      <c r="AE1278" s="52" t="n">
        <v>0</v>
      </c>
      <c r="AF1278" s="52" t="n">
        <v>0</v>
      </c>
      <c r="AG1278" s="52" t="n">
        <v>0</v>
      </c>
      <c r="AH1278" s="52" t="n">
        <v>0</v>
      </c>
      <c r="AI1278" s="52" t="n">
        <v>0</v>
      </c>
      <c r="AJ1278" s="52" t="n">
        <v>0</v>
      </c>
      <c r="AK1278" s="52" t="n">
        <v>0</v>
      </c>
      <c r="AL1278" s="52" t="n">
        <v>0</v>
      </c>
      <c r="AM1278" s="53" t="n">
        <v>0</v>
      </c>
      <c r="AN1278" s="53" t="n">
        <v>0</v>
      </c>
      <c r="AO1278" s="53" t="n">
        <v>0</v>
      </c>
      <c r="AP1278" s="53" t="n">
        <v>0</v>
      </c>
      <c r="AQ1278" s="52" t="n">
        <v>0</v>
      </c>
      <c r="AR1278" s="52" t="n">
        <v>0</v>
      </c>
      <c r="AS1278" s="52" t="n">
        <v>0</v>
      </c>
      <c r="AT1278" s="52" t="n">
        <v>0</v>
      </c>
      <c r="AU1278" s="53" t="n">
        <v>0</v>
      </c>
      <c r="AV1278" s="53" t="n">
        <v>0</v>
      </c>
      <c r="AW1278" s="53" t="n">
        <v>0</v>
      </c>
      <c r="AX1278" s="53" t="n">
        <v>0</v>
      </c>
      <c r="AY1278" s="52" t="n">
        <v>0</v>
      </c>
      <c r="AZ1278" s="52" t="n">
        <v>0</v>
      </c>
      <c r="BA1278" s="52" t="n">
        <v>0</v>
      </c>
      <c r="BB1278" s="52" t="n">
        <v>0</v>
      </c>
      <c r="BC1278" s="51" t="n">
        <v>0</v>
      </c>
      <c r="BD1278" s="51" t="n">
        <v>0</v>
      </c>
      <c r="BE1278" s="51" t="n">
        <v>0</v>
      </c>
      <c r="BF1278" s="51" t="n">
        <v>0</v>
      </c>
    </row>
    <row r="1279">
      <c r="A1279">
        <f>HYPERLINK("https://www.walmart.com/ip/783067096", "783067096")</f>
        <v/>
      </c>
      <c r="B1279" t="inlineStr">
        <is>
          <t>Men's Sun Hat with Neck Flap, Wide Brim Fishing Safari Hiking Hat, UPF 50+ Protection, Adjustable Chin Strap</t>
        </is>
      </c>
      <c r="C1279" t="inlineStr">
        <is>
          <t>1SLSH923OL</t>
        </is>
      </c>
      <c r="D1279" t="inlineStr">
        <is>
          <t>Hats</t>
        </is>
      </c>
      <c r="E1279" t="inlineStr">
        <is>
          <t>Solaris</t>
        </is>
      </c>
      <c r="F1279" t="inlineStr">
        <is>
          <t>Q2-Target,WFS,Hats,WFS Item</t>
        </is>
      </c>
      <c r="G1279" s="48" t="n">
        <v>0</v>
      </c>
      <c r="H1279" s="48" t="n">
        <v>27.98</v>
      </c>
      <c r="I1279" s="48" t="n">
        <v>13.99</v>
      </c>
      <c r="J1279" s="48" t="n">
        <v>13.99</v>
      </c>
      <c r="K1279" s="49" t="n">
        <v>0</v>
      </c>
      <c r="L1279" s="49" t="n">
        <v>2</v>
      </c>
      <c r="M1279" s="49" t="n">
        <v>1</v>
      </c>
      <c r="N1279" s="49" t="n">
        <v>1</v>
      </c>
      <c r="O1279" s="49" t="n">
        <v>15</v>
      </c>
      <c r="P1279" s="49" t="n">
        <v>10</v>
      </c>
      <c r="Q1279" s="49" t="n">
        <v>5</v>
      </c>
      <c r="R1279" s="49" t="n">
        <v>6</v>
      </c>
      <c r="S1279" s="50" t="n">
        <v>0</v>
      </c>
      <c r="T1279" s="50" t="n">
        <v>0.2</v>
      </c>
      <c r="U1279" s="50" t="n">
        <v>0.2</v>
      </c>
      <c r="V1279" s="50" t="n">
        <v>0.1666666666666667</v>
      </c>
      <c r="W1279" s="51" t="n">
        <v>0</v>
      </c>
      <c r="X1279" s="51" t="n">
        <v>0</v>
      </c>
      <c r="Y1279" s="51" t="n">
        <v>0</v>
      </c>
      <c r="Z1279" s="51" t="n">
        <v>0</v>
      </c>
      <c r="AA1279" s="52" t="n">
        <v>0</v>
      </c>
      <c r="AB1279" s="52" t="n">
        <v>0</v>
      </c>
      <c r="AC1279" s="52" t="n">
        <v>0</v>
      </c>
      <c r="AD1279" s="52" t="n">
        <v>0</v>
      </c>
      <c r="AE1279" s="52" t="n">
        <v>0</v>
      </c>
      <c r="AF1279" s="52" t="n">
        <v>0</v>
      </c>
      <c r="AG1279" s="52" t="n">
        <v>0</v>
      </c>
      <c r="AH1279" s="52" t="n">
        <v>0</v>
      </c>
      <c r="AI1279" s="52" t="n">
        <v>0</v>
      </c>
      <c r="AJ1279" s="52" t="n">
        <v>0</v>
      </c>
      <c r="AK1279" s="52" t="n">
        <v>0</v>
      </c>
      <c r="AL1279" s="52" t="n">
        <v>0</v>
      </c>
      <c r="AM1279" s="53" t="n">
        <v>0</v>
      </c>
      <c r="AN1279" s="53" t="n">
        <v>0</v>
      </c>
      <c r="AO1279" s="53" t="n">
        <v>0</v>
      </c>
      <c r="AP1279" s="53" t="n">
        <v>0</v>
      </c>
      <c r="AQ1279" s="52" t="n">
        <v>0</v>
      </c>
      <c r="AR1279" s="52" t="n">
        <v>0</v>
      </c>
      <c r="AS1279" s="52" t="n">
        <v>0</v>
      </c>
      <c r="AT1279" s="52" t="n">
        <v>0</v>
      </c>
      <c r="AU1279" s="53" t="n">
        <v>0</v>
      </c>
      <c r="AV1279" s="53" t="n">
        <v>0</v>
      </c>
      <c r="AW1279" s="53" t="n">
        <v>0</v>
      </c>
      <c r="AX1279" s="53" t="n">
        <v>0</v>
      </c>
      <c r="AY1279" s="52" t="n">
        <v>0</v>
      </c>
      <c r="AZ1279" s="52" t="n">
        <v>13.99</v>
      </c>
      <c r="BA1279" s="52" t="n">
        <v>13.99</v>
      </c>
      <c r="BB1279" s="52" t="n">
        <v>13.99</v>
      </c>
      <c r="BC1279" s="51" t="n">
        <v>0</v>
      </c>
      <c r="BD1279" s="51" t="n">
        <v>0</v>
      </c>
      <c r="BE1279" s="51" t="n">
        <v>0</v>
      </c>
      <c r="BF1279" s="51" t="n">
        <v>0</v>
      </c>
    </row>
    <row r="1280">
      <c r="A1280">
        <f>HYPERLINK("https://www.walmart.com/ip/783068964", "783068964")</f>
        <v/>
      </c>
      <c r="B1280" t="inlineStr">
        <is>
          <t>Catalonia Wearable Fleece Blanket with Sleeves and Foot Pockets for Adult Women Men, Micro Plush Comfy Wrap Sleeved Throw Blanket Robe Large, Dalmatian</t>
        </is>
      </c>
      <c r="C1280" t="inlineStr">
        <is>
          <t>1CTSN101RDDOT</t>
        </is>
      </c>
      <c r="D1280" t="inlineStr">
        <is>
          <t>Throws</t>
        </is>
      </c>
      <c r="E1280" t="inlineStr">
        <is>
          <t>Catalonia</t>
        </is>
      </c>
      <c r="F1280" t="inlineStr">
        <is>
          <t>Fleece Blankets,Batch 1 - TR</t>
        </is>
      </c>
      <c r="G1280" s="48" t="n">
        <v>0</v>
      </c>
      <c r="H1280" s="48" t="n">
        <v>0</v>
      </c>
      <c r="I1280" s="48" t="n">
        <v>0</v>
      </c>
      <c r="J1280" s="48" t="n">
        <v>0</v>
      </c>
      <c r="K1280" s="49" t="n">
        <v>0</v>
      </c>
      <c r="L1280" s="49" t="n">
        <v>0</v>
      </c>
      <c r="M1280" s="49" t="n">
        <v>0</v>
      </c>
      <c r="N1280" s="49" t="n">
        <v>0</v>
      </c>
      <c r="O1280" s="49" t="n">
        <v>0</v>
      </c>
      <c r="P1280" s="49" t="n">
        <v>0</v>
      </c>
      <c r="Q1280" s="49" t="n">
        <v>0</v>
      </c>
      <c r="R1280" s="49" t="n">
        <v>0</v>
      </c>
      <c r="S1280" s="50" t="n">
        <v>0</v>
      </c>
      <c r="T1280" s="50" t="n">
        <v>0</v>
      </c>
      <c r="U1280" s="50" t="n">
        <v>0</v>
      </c>
      <c r="V1280" s="50" t="n">
        <v>0</v>
      </c>
      <c r="W1280" s="51" t="n">
        <v>0</v>
      </c>
      <c r="X1280" s="51" t="n">
        <v>0</v>
      </c>
      <c r="Y1280" s="51" t="n">
        <v>0</v>
      </c>
      <c r="Z1280" s="51" t="n">
        <v>0</v>
      </c>
      <c r="AA1280" s="52" t="n">
        <v>0</v>
      </c>
      <c r="AB1280" s="52" t="n">
        <v>0</v>
      </c>
      <c r="AC1280" s="52" t="n">
        <v>0</v>
      </c>
      <c r="AD1280" s="52" t="n">
        <v>0</v>
      </c>
      <c r="AE1280" s="52" t="n">
        <v>0</v>
      </c>
      <c r="AF1280" s="52" t="n">
        <v>0</v>
      </c>
      <c r="AG1280" s="52" t="n">
        <v>0</v>
      </c>
      <c r="AH1280" s="52" t="n">
        <v>0</v>
      </c>
      <c r="AI1280" s="52" t="n">
        <v>0</v>
      </c>
      <c r="AJ1280" s="52" t="n">
        <v>0</v>
      </c>
      <c r="AK1280" s="52" t="n">
        <v>0</v>
      </c>
      <c r="AL1280" s="52" t="n">
        <v>0</v>
      </c>
      <c r="AM1280" s="53" t="n">
        <v>0</v>
      </c>
      <c r="AN1280" s="53" t="n">
        <v>0</v>
      </c>
      <c r="AO1280" s="53" t="n">
        <v>0</v>
      </c>
      <c r="AP1280" s="53" t="n">
        <v>0</v>
      </c>
      <c r="AQ1280" s="52" t="n">
        <v>0</v>
      </c>
      <c r="AR1280" s="52" t="n">
        <v>0</v>
      </c>
      <c r="AS1280" s="52" t="n">
        <v>0</v>
      </c>
      <c r="AT1280" s="52" t="n">
        <v>0</v>
      </c>
      <c r="AU1280" s="53" t="n">
        <v>0</v>
      </c>
      <c r="AV1280" s="53" t="n">
        <v>0</v>
      </c>
      <c r="AW1280" s="53" t="n">
        <v>0</v>
      </c>
      <c r="AX1280" s="53" t="n">
        <v>0</v>
      </c>
      <c r="AY1280" s="52" t="n">
        <v>0</v>
      </c>
      <c r="AZ1280" s="52" t="n">
        <v>0</v>
      </c>
      <c r="BA1280" s="52" t="n">
        <v>0</v>
      </c>
      <c r="BB1280" s="52" t="n">
        <v>0</v>
      </c>
      <c r="BC1280" s="51" t="n">
        <v>0</v>
      </c>
      <c r="BD1280" s="51" t="n">
        <v>0</v>
      </c>
      <c r="BE1280" s="51" t="n">
        <v>0</v>
      </c>
      <c r="BF1280" s="51" t="n">
        <v>0</v>
      </c>
    </row>
    <row r="1281">
      <c r="A1281">
        <f>HYPERLINK("https://www.walmart.com/ip/783266374", "783266374")</f>
        <v/>
      </c>
      <c r="B1281" t="inlineStr">
        <is>
          <t>JenniWears® Women's Sexy See-through Lingerie Lace Fishnet Suspender</t>
        </is>
      </c>
      <c r="C1281" t="inlineStr">
        <is>
          <t>JWBD01BKPK-3XL</t>
        </is>
      </c>
      <c r="D1281" t="inlineStr">
        <is>
          <t>Lingerie Sets</t>
        </is>
      </c>
      <c r="E1281" t="inlineStr">
        <is>
          <t>JenniWears</t>
        </is>
      </c>
      <c r="F1281" t="inlineStr">
        <is>
          <t>Valentine</t>
        </is>
      </c>
      <c r="G1281" s="48" t="n">
        <v>0</v>
      </c>
      <c r="H1281" s="48" t="n">
        <v>0</v>
      </c>
      <c r="I1281" s="48" t="n">
        <v>0</v>
      </c>
      <c r="J1281" s="48" t="n">
        <v>0</v>
      </c>
      <c r="K1281" s="49" t="n">
        <v>0</v>
      </c>
      <c r="L1281" s="49" t="n">
        <v>0</v>
      </c>
      <c r="M1281" s="49" t="n">
        <v>0</v>
      </c>
      <c r="N1281" s="49" t="n">
        <v>0</v>
      </c>
      <c r="O1281" s="49" t="n">
        <v>0</v>
      </c>
      <c r="P1281" s="49" t="n">
        <v>0</v>
      </c>
      <c r="Q1281" s="49" t="n">
        <v>0</v>
      </c>
      <c r="R1281" s="49" t="n">
        <v>0</v>
      </c>
      <c r="S1281" s="50" t="n">
        <v>0</v>
      </c>
      <c r="T1281" s="50" t="n">
        <v>0</v>
      </c>
      <c r="U1281" s="50" t="n">
        <v>0</v>
      </c>
      <c r="V1281" s="50" t="n">
        <v>0</v>
      </c>
      <c r="W1281" s="51" t="n">
        <v>0</v>
      </c>
      <c r="X1281" s="51" t="n">
        <v>0</v>
      </c>
      <c r="Y1281" s="51" t="n">
        <v>0</v>
      </c>
      <c r="Z1281" s="51" t="n">
        <v>0</v>
      </c>
      <c r="AA1281" s="52" t="n">
        <v>0</v>
      </c>
      <c r="AB1281" s="52" t="n">
        <v>0</v>
      </c>
      <c r="AC1281" s="52" t="n">
        <v>0</v>
      </c>
      <c r="AD1281" s="52" t="n">
        <v>0</v>
      </c>
      <c r="AE1281" s="52" t="n">
        <v>0</v>
      </c>
      <c r="AF1281" s="52" t="n">
        <v>0</v>
      </c>
      <c r="AG1281" s="52" t="n">
        <v>0</v>
      </c>
      <c r="AH1281" s="52" t="n">
        <v>0</v>
      </c>
      <c r="AI1281" s="52" t="n">
        <v>0</v>
      </c>
      <c r="AJ1281" s="52" t="n">
        <v>0</v>
      </c>
      <c r="AK1281" s="52" t="n">
        <v>0</v>
      </c>
      <c r="AL1281" s="52" t="n">
        <v>0</v>
      </c>
      <c r="AM1281" s="53" t="n">
        <v>0</v>
      </c>
      <c r="AN1281" s="53" t="n">
        <v>0</v>
      </c>
      <c r="AO1281" s="53" t="n">
        <v>0</v>
      </c>
      <c r="AP1281" s="53" t="n">
        <v>0</v>
      </c>
      <c r="AQ1281" s="52" t="n">
        <v>0</v>
      </c>
      <c r="AR1281" s="52" t="n">
        <v>0</v>
      </c>
      <c r="AS1281" s="52" t="n">
        <v>0</v>
      </c>
      <c r="AT1281" s="52" t="n">
        <v>0</v>
      </c>
      <c r="AU1281" s="53" t="n">
        <v>0</v>
      </c>
      <c r="AV1281" s="53" t="n">
        <v>0</v>
      </c>
      <c r="AW1281" s="53" t="n">
        <v>0</v>
      </c>
      <c r="AX1281" s="53" t="n">
        <v>0</v>
      </c>
      <c r="AY1281" s="52" t="n">
        <v>0</v>
      </c>
      <c r="AZ1281" s="52" t="n">
        <v>0</v>
      </c>
      <c r="BA1281" s="52" t="n">
        <v>0</v>
      </c>
      <c r="BB1281" s="52" t="n">
        <v>0</v>
      </c>
      <c r="BC1281" s="51" t="n">
        <v>0</v>
      </c>
      <c r="BD1281" s="51" t="n">
        <v>0</v>
      </c>
      <c r="BE1281" s="51" t="n">
        <v>0</v>
      </c>
      <c r="BF1281" s="51" t="n">
        <v>0</v>
      </c>
    </row>
    <row r="1282">
      <c r="A1282">
        <f>HYPERLINK("https://www.walmart.com/ip/783283732", "783283732")</f>
        <v/>
      </c>
      <c r="B1282" t="inlineStr">
        <is>
          <t>Flyingstar Blanket with Sleeves and Pocket, Wearable Throws Blanket, Robe for Women and Men 73” x 51” Cheetah</t>
        </is>
      </c>
      <c r="C1282" t="inlineStr">
        <is>
          <t>1WMSN100CHEETAH-ESGM</t>
        </is>
      </c>
      <c r="D1282" t="inlineStr">
        <is>
          <t>Throws</t>
        </is>
      </c>
      <c r="E1282" t="inlineStr">
        <is>
          <t>Flyingstar</t>
        </is>
      </c>
      <c r="F1282" t="inlineStr">
        <is>
          <t>Batch 1 - TR</t>
        </is>
      </c>
      <c r="G1282" s="48" t="n">
        <v>0</v>
      </c>
      <c r="H1282" s="48" t="n">
        <v>0</v>
      </c>
      <c r="I1282" s="48" t="n">
        <v>0</v>
      </c>
      <c r="J1282" s="48" t="n">
        <v>0</v>
      </c>
      <c r="K1282" s="49" t="n">
        <v>0</v>
      </c>
      <c r="L1282" s="49" t="n">
        <v>0</v>
      </c>
      <c r="M1282" s="49" t="n">
        <v>0</v>
      </c>
      <c r="N1282" s="49" t="n">
        <v>0</v>
      </c>
      <c r="O1282" s="49" t="n">
        <v>0</v>
      </c>
      <c r="P1282" s="49" t="n">
        <v>0</v>
      </c>
      <c r="Q1282" s="49" t="n">
        <v>0</v>
      </c>
      <c r="R1282" s="49" t="n">
        <v>0</v>
      </c>
      <c r="S1282" s="50" t="n">
        <v>0</v>
      </c>
      <c r="T1282" s="50" t="n">
        <v>0</v>
      </c>
      <c r="U1282" s="50" t="n">
        <v>0</v>
      </c>
      <c r="V1282" s="50" t="n">
        <v>0</v>
      </c>
      <c r="W1282" s="51" t="n">
        <v>0</v>
      </c>
      <c r="X1282" s="51" t="n">
        <v>0</v>
      </c>
      <c r="Y1282" s="51" t="n">
        <v>0</v>
      </c>
      <c r="Z1282" s="51" t="n">
        <v>0</v>
      </c>
      <c r="AA1282" s="52" t="n">
        <v>0</v>
      </c>
      <c r="AB1282" s="52" t="n">
        <v>0</v>
      </c>
      <c r="AC1282" s="52" t="n">
        <v>0</v>
      </c>
      <c r="AD1282" s="52" t="n">
        <v>0</v>
      </c>
      <c r="AE1282" s="52" t="n">
        <v>0</v>
      </c>
      <c r="AF1282" s="52" t="n">
        <v>0</v>
      </c>
      <c r="AG1282" s="52" t="n">
        <v>0</v>
      </c>
      <c r="AH1282" s="52" t="n">
        <v>0</v>
      </c>
      <c r="AI1282" s="52" t="n">
        <v>0</v>
      </c>
      <c r="AJ1282" s="52" t="n">
        <v>0</v>
      </c>
      <c r="AK1282" s="52" t="n">
        <v>0</v>
      </c>
      <c r="AL1282" s="52" t="n">
        <v>0</v>
      </c>
      <c r="AM1282" s="53" t="n">
        <v>0</v>
      </c>
      <c r="AN1282" s="53" t="n">
        <v>0</v>
      </c>
      <c r="AO1282" s="53" t="n">
        <v>0</v>
      </c>
      <c r="AP1282" s="53" t="n">
        <v>0</v>
      </c>
      <c r="AQ1282" s="52" t="n">
        <v>0</v>
      </c>
      <c r="AR1282" s="52" t="n">
        <v>0</v>
      </c>
      <c r="AS1282" s="52" t="n">
        <v>0</v>
      </c>
      <c r="AT1282" s="52" t="n">
        <v>0</v>
      </c>
      <c r="AU1282" s="53" t="n">
        <v>0</v>
      </c>
      <c r="AV1282" s="53" t="n">
        <v>0</v>
      </c>
      <c r="AW1282" s="53" t="n">
        <v>0</v>
      </c>
      <c r="AX1282" s="53" t="n">
        <v>0</v>
      </c>
      <c r="AY1282" s="52" t="n">
        <v>0</v>
      </c>
      <c r="AZ1282" s="52" t="n">
        <v>0</v>
      </c>
      <c r="BA1282" s="52" t="n">
        <v>0</v>
      </c>
      <c r="BB1282" s="52" t="n">
        <v>0</v>
      </c>
      <c r="BC1282" s="51" t="n">
        <v>0</v>
      </c>
      <c r="BD1282" s="51" t="n">
        <v>0</v>
      </c>
      <c r="BE1282" s="51" t="n">
        <v>0</v>
      </c>
      <c r="BF1282" s="51" t="n">
        <v>0</v>
      </c>
    </row>
    <row r="1283">
      <c r="A1283">
        <f>HYPERLINK("https://www.walmart.com/ip/784406173", "784406173")</f>
        <v/>
      </c>
      <c r="B1283" t="inlineStr">
        <is>
          <t>JenniWears 2 Women's Beileise Sexy Pantyhose Lace Stockings Black Sheer Socks</t>
        </is>
      </c>
      <c r="C1283" t="inlineStr">
        <is>
          <t>JWBLSPH2091-2 Pack</t>
        </is>
      </c>
      <c r="D1283" t="inlineStr">
        <is>
          <t>Pantyhose &amp; Tights</t>
        </is>
      </c>
      <c r="E1283" t="inlineStr">
        <is>
          <t>JenniWears</t>
        </is>
      </c>
      <c r="F1283" t="inlineStr">
        <is>
          <t>WFS,Valentine,WFS Item</t>
        </is>
      </c>
      <c r="G1283" s="48" t="n">
        <v>0</v>
      </c>
      <c r="H1283" s="48" t="n">
        <v>0</v>
      </c>
      <c r="I1283" s="48" t="n">
        <v>0</v>
      </c>
      <c r="J1283" s="48" t="n">
        <v>0</v>
      </c>
      <c r="K1283" s="49" t="n">
        <v>0</v>
      </c>
      <c r="L1283" s="49" t="n">
        <v>0</v>
      </c>
      <c r="M1283" s="49" t="n">
        <v>0</v>
      </c>
      <c r="N1283" s="49" t="n">
        <v>0</v>
      </c>
      <c r="O1283" s="49" t="n">
        <v>0</v>
      </c>
      <c r="P1283" s="49" t="n">
        <v>0</v>
      </c>
      <c r="Q1283" s="49" t="n">
        <v>0</v>
      </c>
      <c r="R1283" s="49" t="n">
        <v>0</v>
      </c>
      <c r="S1283" s="50" t="n">
        <v>0</v>
      </c>
      <c r="T1283" s="50" t="n">
        <v>0</v>
      </c>
      <c r="U1283" s="50" t="n">
        <v>0</v>
      </c>
      <c r="V1283" s="50" t="n">
        <v>0</v>
      </c>
      <c r="W1283" s="51" t="n">
        <v>0</v>
      </c>
      <c r="X1283" s="51" t="n">
        <v>0</v>
      </c>
      <c r="Y1283" s="51" t="n">
        <v>0</v>
      </c>
      <c r="Z1283" s="51" t="n">
        <v>0</v>
      </c>
      <c r="AA1283" s="52" t="n">
        <v>0</v>
      </c>
      <c r="AB1283" s="52" t="n">
        <v>0</v>
      </c>
      <c r="AC1283" s="52" t="n">
        <v>0</v>
      </c>
      <c r="AD1283" s="52" t="n">
        <v>0</v>
      </c>
      <c r="AE1283" s="52" t="n">
        <v>0</v>
      </c>
      <c r="AF1283" s="52" t="n">
        <v>0</v>
      </c>
      <c r="AG1283" s="52" t="n">
        <v>0</v>
      </c>
      <c r="AH1283" s="52" t="n">
        <v>0</v>
      </c>
      <c r="AI1283" s="52" t="n">
        <v>0</v>
      </c>
      <c r="AJ1283" s="52" t="n">
        <v>0</v>
      </c>
      <c r="AK1283" s="52" t="n">
        <v>0</v>
      </c>
      <c r="AL1283" s="52" t="n">
        <v>0</v>
      </c>
      <c r="AM1283" s="53" t="n">
        <v>0</v>
      </c>
      <c r="AN1283" s="53" t="n">
        <v>0</v>
      </c>
      <c r="AO1283" s="53" t="n">
        <v>0</v>
      </c>
      <c r="AP1283" s="53" t="n">
        <v>0</v>
      </c>
      <c r="AQ1283" s="52" t="n">
        <v>0</v>
      </c>
      <c r="AR1283" s="52" t="n">
        <v>0</v>
      </c>
      <c r="AS1283" s="52" t="n">
        <v>0</v>
      </c>
      <c r="AT1283" s="52" t="n">
        <v>0</v>
      </c>
      <c r="AU1283" s="53" t="n">
        <v>0</v>
      </c>
      <c r="AV1283" s="53" t="n">
        <v>0</v>
      </c>
      <c r="AW1283" s="53" t="n">
        <v>0</v>
      </c>
      <c r="AX1283" s="53" t="n">
        <v>0</v>
      </c>
      <c r="AY1283" s="52" t="n">
        <v>0</v>
      </c>
      <c r="AZ1283" s="52" t="n">
        <v>0</v>
      </c>
      <c r="BA1283" s="52" t="n">
        <v>0</v>
      </c>
      <c r="BB1283" s="52" t="n">
        <v>0</v>
      </c>
      <c r="BC1283" s="51" t="n">
        <v>0</v>
      </c>
      <c r="BD1283" s="51" t="n">
        <v>0</v>
      </c>
      <c r="BE1283" s="51" t="n">
        <v>0</v>
      </c>
      <c r="BF1283" s="51" t="n">
        <v>0</v>
      </c>
    </row>
    <row r="1284">
      <c r="A1284">
        <f>HYPERLINK("https://www.walmart.com/ip/785071963", "785071963")</f>
        <v/>
      </c>
      <c r="B1284" t="inlineStr">
        <is>
          <t>Sherpa Slipper Socks for Women,Winter Indoor Home Non Skid Booties</t>
        </is>
      </c>
      <c r="C1284" t="inlineStr">
        <is>
          <t>1CTST200DBL-1</t>
        </is>
      </c>
      <c r="D1284" t="inlineStr">
        <is>
          <t>Socks</t>
        </is>
      </c>
      <c r="E1284" t="inlineStr">
        <is>
          <t>Catalonia</t>
        </is>
      </c>
      <c r="F1284" t="inlineStr">
        <is>
          <t>WFS,WFS Item</t>
        </is>
      </c>
      <c r="G1284" s="48" t="n">
        <v>0</v>
      </c>
      <c r="H1284" s="48" t="n">
        <v>0</v>
      </c>
      <c r="I1284" s="48" t="n">
        <v>0</v>
      </c>
      <c r="J1284" s="48" t="n">
        <v>0</v>
      </c>
      <c r="K1284" s="49" t="n">
        <v>0</v>
      </c>
      <c r="L1284" s="49" t="n">
        <v>0</v>
      </c>
      <c r="M1284" s="49" t="n">
        <v>0</v>
      </c>
      <c r="N1284" s="49" t="n">
        <v>0</v>
      </c>
      <c r="O1284" s="49" t="n">
        <v>0</v>
      </c>
      <c r="P1284" s="49" t="n">
        <v>0</v>
      </c>
      <c r="Q1284" s="49" t="n">
        <v>0</v>
      </c>
      <c r="R1284" s="49" t="n">
        <v>0</v>
      </c>
      <c r="S1284" s="50" t="n">
        <v>0</v>
      </c>
      <c r="T1284" s="50" t="n">
        <v>0</v>
      </c>
      <c r="U1284" s="50" t="n">
        <v>0</v>
      </c>
      <c r="V1284" s="50" t="n">
        <v>0</v>
      </c>
      <c r="W1284" s="51" t="n">
        <v>0</v>
      </c>
      <c r="X1284" s="51" t="n">
        <v>0</v>
      </c>
      <c r="Y1284" s="51" t="n">
        <v>0</v>
      </c>
      <c r="Z1284" s="51" t="n">
        <v>0</v>
      </c>
      <c r="AA1284" s="52" t="n">
        <v>0</v>
      </c>
      <c r="AB1284" s="52" t="n">
        <v>0</v>
      </c>
      <c r="AC1284" s="52" t="n">
        <v>0</v>
      </c>
      <c r="AD1284" s="52" t="n">
        <v>0</v>
      </c>
      <c r="AE1284" s="52" t="n">
        <v>0</v>
      </c>
      <c r="AF1284" s="52" t="n">
        <v>0</v>
      </c>
      <c r="AG1284" s="52" t="n">
        <v>0</v>
      </c>
      <c r="AH1284" s="52" t="n">
        <v>0</v>
      </c>
      <c r="AI1284" s="52" t="n">
        <v>0</v>
      </c>
      <c r="AJ1284" s="52" t="n">
        <v>0</v>
      </c>
      <c r="AK1284" s="52" t="n">
        <v>0</v>
      </c>
      <c r="AL1284" s="52" t="n">
        <v>0</v>
      </c>
      <c r="AM1284" s="53" t="n">
        <v>0</v>
      </c>
      <c r="AN1284" s="53" t="n">
        <v>0</v>
      </c>
      <c r="AO1284" s="53" t="n">
        <v>0</v>
      </c>
      <c r="AP1284" s="53" t="n">
        <v>0</v>
      </c>
      <c r="AQ1284" s="52" t="n">
        <v>0</v>
      </c>
      <c r="AR1284" s="52" t="n">
        <v>0</v>
      </c>
      <c r="AS1284" s="52" t="n">
        <v>0</v>
      </c>
      <c r="AT1284" s="52" t="n">
        <v>0</v>
      </c>
      <c r="AU1284" s="53" t="n">
        <v>0</v>
      </c>
      <c r="AV1284" s="53" t="n">
        <v>0</v>
      </c>
      <c r="AW1284" s="53" t="n">
        <v>0</v>
      </c>
      <c r="AX1284" s="53" t="n">
        <v>0</v>
      </c>
      <c r="AY1284" s="52" t="n">
        <v>0</v>
      </c>
      <c r="AZ1284" s="52" t="n">
        <v>0</v>
      </c>
      <c r="BA1284" s="52" t="n">
        <v>0</v>
      </c>
      <c r="BB1284" s="52" t="n">
        <v>0</v>
      </c>
      <c r="BC1284" s="51" t="n">
        <v>0</v>
      </c>
      <c r="BD1284" s="51" t="n">
        <v>0</v>
      </c>
      <c r="BE1284" s="51" t="n">
        <v>0</v>
      </c>
      <c r="BF1284" s="51" t="n">
        <v>0</v>
      </c>
    </row>
    <row r="1285">
      <c r="A1285">
        <f>HYPERLINK("https://www.walmart.com/ip/785175130", "785175130")</f>
        <v/>
      </c>
      <c r="B1285" t="inlineStr">
        <is>
          <t>Tirrinia Reversible Fuzzy Super Soft Ultra Plush Throw Blanket, Brown Moroccan, 50in x 70in</t>
        </is>
      </c>
      <c r="C1285" t="inlineStr">
        <is>
          <t>1TRBF8022BRN-TBCB</t>
        </is>
      </c>
      <c r="D1285" t="inlineStr">
        <is>
          <t>Throws</t>
        </is>
      </c>
      <c r="E1285" t="inlineStr">
        <is>
          <t>Tirrinia</t>
        </is>
      </c>
      <c r="F1285" t="inlineStr">
        <is>
          <t>Optimized</t>
        </is>
      </c>
      <c r="G1285" s="48" t="n">
        <v>0</v>
      </c>
      <c r="H1285" s="48" t="n">
        <v>0</v>
      </c>
      <c r="I1285" s="48" t="n">
        <v>0</v>
      </c>
      <c r="J1285" s="48" t="n">
        <v>0</v>
      </c>
      <c r="K1285" s="49" t="n">
        <v>0</v>
      </c>
      <c r="L1285" s="49" t="n">
        <v>0</v>
      </c>
      <c r="M1285" s="49" t="n">
        <v>0</v>
      </c>
      <c r="N1285" s="49" t="n">
        <v>0</v>
      </c>
      <c r="O1285" s="49" t="n">
        <v>0</v>
      </c>
      <c r="P1285" s="49" t="n">
        <v>0</v>
      </c>
      <c r="Q1285" s="49" t="n">
        <v>0</v>
      </c>
      <c r="R1285" s="49" t="n">
        <v>0</v>
      </c>
      <c r="S1285" s="50" t="n">
        <v>0</v>
      </c>
      <c r="T1285" s="50" t="n">
        <v>0</v>
      </c>
      <c r="U1285" s="50" t="n">
        <v>0</v>
      </c>
      <c r="V1285" s="50" t="n">
        <v>0</v>
      </c>
      <c r="W1285" s="51" t="n">
        <v>0</v>
      </c>
      <c r="X1285" s="51" t="n">
        <v>0</v>
      </c>
      <c r="Y1285" s="51" t="n">
        <v>0</v>
      </c>
      <c r="Z1285" s="51" t="n">
        <v>0</v>
      </c>
      <c r="AA1285" s="52" t="n">
        <v>0</v>
      </c>
      <c r="AB1285" s="52" t="n">
        <v>0</v>
      </c>
      <c r="AC1285" s="52" t="n">
        <v>0</v>
      </c>
      <c r="AD1285" s="52" t="n">
        <v>0</v>
      </c>
      <c r="AE1285" s="52" t="n">
        <v>0</v>
      </c>
      <c r="AF1285" s="52" t="n">
        <v>0</v>
      </c>
      <c r="AG1285" s="52" t="n">
        <v>0</v>
      </c>
      <c r="AH1285" s="52" t="n">
        <v>0</v>
      </c>
      <c r="AI1285" s="52" t="n">
        <v>0</v>
      </c>
      <c r="AJ1285" s="52" t="n">
        <v>0</v>
      </c>
      <c r="AK1285" s="52" t="n">
        <v>0</v>
      </c>
      <c r="AL1285" s="52" t="n">
        <v>0</v>
      </c>
      <c r="AM1285" s="53" t="n">
        <v>0</v>
      </c>
      <c r="AN1285" s="53" t="n">
        <v>0</v>
      </c>
      <c r="AO1285" s="53" t="n">
        <v>0</v>
      </c>
      <c r="AP1285" s="53" t="n">
        <v>0</v>
      </c>
      <c r="AQ1285" s="52" t="n">
        <v>0</v>
      </c>
      <c r="AR1285" s="52" t="n">
        <v>0</v>
      </c>
      <c r="AS1285" s="52" t="n">
        <v>0</v>
      </c>
      <c r="AT1285" s="52" t="n">
        <v>0</v>
      </c>
      <c r="AU1285" s="53" t="n">
        <v>0</v>
      </c>
      <c r="AV1285" s="53" t="n">
        <v>0</v>
      </c>
      <c r="AW1285" s="53" t="n">
        <v>0</v>
      </c>
      <c r="AX1285" s="53" t="n">
        <v>0</v>
      </c>
      <c r="AY1285" s="52" t="n">
        <v>0</v>
      </c>
      <c r="AZ1285" s="52" t="n">
        <v>0</v>
      </c>
      <c r="BA1285" s="52" t="n">
        <v>0</v>
      </c>
      <c r="BB1285" s="52" t="n">
        <v>0</v>
      </c>
      <c r="BC1285" s="51" t="n">
        <v>0</v>
      </c>
      <c r="BD1285" s="51" t="n">
        <v>0</v>
      </c>
      <c r="BE1285" s="51" t="n">
        <v>0</v>
      </c>
      <c r="BF1285" s="51" t="n">
        <v>0</v>
      </c>
    </row>
    <row r="1286">
      <c r="A1286">
        <f>HYPERLINK("https://www.walmart.com/ip/779483691", "779483691")</f>
        <v/>
      </c>
      <c r="B1286" t="inlineStr">
        <is>
          <t>Sun Hat for Women, Summer Beach UPF 50+ Packable Wide Brim Bucket Hat, Line Stripe Pattern Design</t>
        </is>
      </c>
      <c r="C1286" t="inlineStr">
        <is>
          <t>TERRACAP-F065-BLK</t>
        </is>
      </c>
      <c r="D1286" t="inlineStr">
        <is>
          <t>Hats</t>
        </is>
      </c>
      <c r="E1286" t="inlineStr">
        <is>
          <t>Terra</t>
        </is>
      </c>
      <c r="F1286" t="inlineStr">
        <is>
          <t>Optimized,Hats</t>
        </is>
      </c>
      <c r="G1286" s="48" t="n">
        <v>0</v>
      </c>
      <c r="H1286" s="48" t="n">
        <v>0</v>
      </c>
      <c r="I1286" s="48" t="n">
        <v>0</v>
      </c>
      <c r="J1286" s="48" t="n">
        <v>0</v>
      </c>
      <c r="K1286" s="49" t="n">
        <v>0</v>
      </c>
      <c r="L1286" s="49" t="n">
        <v>0</v>
      </c>
      <c r="M1286" s="49" t="n">
        <v>0</v>
      </c>
      <c r="N1286" s="49" t="n">
        <v>0</v>
      </c>
      <c r="O1286" s="49" t="n">
        <v>0</v>
      </c>
      <c r="P1286" s="49" t="n">
        <v>0</v>
      </c>
      <c r="Q1286" s="49" t="n">
        <v>0</v>
      </c>
      <c r="R1286" s="49" t="n">
        <v>0</v>
      </c>
      <c r="S1286" s="50" t="n">
        <v>0</v>
      </c>
      <c r="T1286" s="50" t="n">
        <v>0</v>
      </c>
      <c r="U1286" s="50" t="n">
        <v>0</v>
      </c>
      <c r="V1286" s="50" t="n">
        <v>0</v>
      </c>
      <c r="W1286" s="51" t="n">
        <v>0</v>
      </c>
      <c r="X1286" s="51" t="n">
        <v>0</v>
      </c>
      <c r="Y1286" s="51" t="n">
        <v>0</v>
      </c>
      <c r="Z1286" s="51" t="n">
        <v>0</v>
      </c>
      <c r="AA1286" s="52" t="n">
        <v>0</v>
      </c>
      <c r="AB1286" s="52" t="n">
        <v>0</v>
      </c>
      <c r="AC1286" s="52" t="n">
        <v>0</v>
      </c>
      <c r="AD1286" s="52" t="n">
        <v>0</v>
      </c>
      <c r="AE1286" s="52" t="n">
        <v>0</v>
      </c>
      <c r="AF1286" s="52" t="n">
        <v>0</v>
      </c>
      <c r="AG1286" s="52" t="n">
        <v>0</v>
      </c>
      <c r="AH1286" s="52" t="n">
        <v>0</v>
      </c>
      <c r="AI1286" s="52" t="n">
        <v>0</v>
      </c>
      <c r="AJ1286" s="52" t="n">
        <v>0</v>
      </c>
      <c r="AK1286" s="52" t="n">
        <v>0</v>
      </c>
      <c r="AL1286" s="52" t="n">
        <v>0</v>
      </c>
      <c r="AM1286" s="53" t="n">
        <v>0</v>
      </c>
      <c r="AN1286" s="53" t="n">
        <v>0</v>
      </c>
      <c r="AO1286" s="53" t="n">
        <v>0</v>
      </c>
      <c r="AP1286" s="53" t="n">
        <v>0</v>
      </c>
      <c r="AQ1286" s="52" t="n">
        <v>0</v>
      </c>
      <c r="AR1286" s="52" t="n">
        <v>0</v>
      </c>
      <c r="AS1286" s="52" t="n">
        <v>0</v>
      </c>
      <c r="AT1286" s="52" t="n">
        <v>0</v>
      </c>
      <c r="AU1286" s="53" t="n">
        <v>0</v>
      </c>
      <c r="AV1286" s="53" t="n">
        <v>0</v>
      </c>
      <c r="AW1286" s="53" t="n">
        <v>0</v>
      </c>
      <c r="AX1286" s="53" t="n">
        <v>0</v>
      </c>
      <c r="AY1286" s="52" t="n">
        <v>0</v>
      </c>
      <c r="AZ1286" s="52" t="n">
        <v>0</v>
      </c>
      <c r="BA1286" s="52" t="n">
        <v>0</v>
      </c>
      <c r="BB1286" s="52" t="n">
        <v>0</v>
      </c>
      <c r="BC1286" s="51" t="n">
        <v>0</v>
      </c>
      <c r="BD1286" s="51" t="n">
        <v>0</v>
      </c>
      <c r="BE1286" s="51" t="n">
        <v>0</v>
      </c>
      <c r="BF1286" s="51" t="n">
        <v>0</v>
      </c>
    </row>
    <row r="1287">
      <c r="A1287">
        <f>HYPERLINK("https://www.walmart.com/ip/779044410", "779044410")</f>
        <v/>
      </c>
      <c r="B1287" t="inlineStr">
        <is>
          <t>Tirrinia Single Wine Tote Bag, Insulated Padded Thermal Wine Bottle Carrying Cooler Carrier for Travel, Picnic, Perfect Gift for Wine Lover, Canvas Beige</t>
        </is>
      </c>
      <c r="C1287" t="inlineStr">
        <is>
          <t>1KTWB100BG</t>
        </is>
      </c>
      <c r="D1287" t="inlineStr">
        <is>
          <t>Wine Totes, Bags &amp; Backpacks</t>
        </is>
      </c>
      <c r="E1287" t="inlineStr">
        <is>
          <t>Tirrinia</t>
        </is>
      </c>
      <c r="F1287" t="inlineStr">
        <is>
          <t>Wine,Christmas,WFS,Wine WFS,Valentine,SEM,WFS Item</t>
        </is>
      </c>
      <c r="G1287" s="48" t="n">
        <v>0</v>
      </c>
      <c r="H1287" s="48" t="n">
        <v>0</v>
      </c>
      <c r="I1287" s="48" t="n">
        <v>0</v>
      </c>
      <c r="J1287" s="48" t="n">
        <v>0</v>
      </c>
      <c r="K1287" s="49" t="n">
        <v>0</v>
      </c>
      <c r="L1287" s="49" t="n">
        <v>0</v>
      </c>
      <c r="M1287" s="49" t="n">
        <v>0</v>
      </c>
      <c r="N1287" s="49" t="n">
        <v>0</v>
      </c>
      <c r="O1287" s="49" t="n">
        <v>0</v>
      </c>
      <c r="P1287" s="49" t="n">
        <v>0</v>
      </c>
      <c r="Q1287" s="49" t="n">
        <v>0</v>
      </c>
      <c r="R1287" s="49" t="n">
        <v>0</v>
      </c>
      <c r="S1287" s="50" t="n">
        <v>0</v>
      </c>
      <c r="T1287" s="50" t="n">
        <v>0</v>
      </c>
      <c r="U1287" s="50" t="n">
        <v>0</v>
      </c>
      <c r="V1287" s="50" t="n">
        <v>0</v>
      </c>
      <c r="W1287" s="51" t="n">
        <v>0</v>
      </c>
      <c r="X1287" s="51" t="n">
        <v>0</v>
      </c>
      <c r="Y1287" s="51" t="n">
        <v>0</v>
      </c>
      <c r="Z1287" s="51" t="n">
        <v>0</v>
      </c>
      <c r="AA1287" s="52" t="n">
        <v>0</v>
      </c>
      <c r="AB1287" s="52" t="n">
        <v>0</v>
      </c>
      <c r="AC1287" s="52" t="n">
        <v>0</v>
      </c>
      <c r="AD1287" s="52" t="n">
        <v>0</v>
      </c>
      <c r="AE1287" s="52" t="n">
        <v>0</v>
      </c>
      <c r="AF1287" s="52" t="n">
        <v>0</v>
      </c>
      <c r="AG1287" s="52" t="n">
        <v>0</v>
      </c>
      <c r="AH1287" s="52" t="n">
        <v>0</v>
      </c>
      <c r="AI1287" s="52" t="n">
        <v>0</v>
      </c>
      <c r="AJ1287" s="52" t="n">
        <v>0</v>
      </c>
      <c r="AK1287" s="52" t="n">
        <v>0</v>
      </c>
      <c r="AL1287" s="52" t="n">
        <v>0</v>
      </c>
      <c r="AM1287" s="53" t="n">
        <v>0</v>
      </c>
      <c r="AN1287" s="53" t="n">
        <v>0</v>
      </c>
      <c r="AO1287" s="53" t="n">
        <v>0</v>
      </c>
      <c r="AP1287" s="53" t="n">
        <v>0</v>
      </c>
      <c r="AQ1287" s="52" t="n">
        <v>0</v>
      </c>
      <c r="AR1287" s="52" t="n">
        <v>0</v>
      </c>
      <c r="AS1287" s="52" t="n">
        <v>0</v>
      </c>
      <c r="AT1287" s="52" t="n">
        <v>0</v>
      </c>
      <c r="AU1287" s="53" t="n">
        <v>0</v>
      </c>
      <c r="AV1287" s="53" t="n">
        <v>0</v>
      </c>
      <c r="AW1287" s="53" t="n">
        <v>0</v>
      </c>
      <c r="AX1287" s="53" t="n">
        <v>0</v>
      </c>
      <c r="AY1287" s="52" t="n">
        <v>0</v>
      </c>
      <c r="AZ1287" s="52" t="n">
        <v>0</v>
      </c>
      <c r="BA1287" s="52" t="n">
        <v>0</v>
      </c>
      <c r="BB1287" s="52" t="n">
        <v>0</v>
      </c>
      <c r="BC1287" s="51" t="n">
        <v>0</v>
      </c>
      <c r="BD1287" s="51" t="n">
        <v>0</v>
      </c>
      <c r="BE1287" s="51" t="n">
        <v>0</v>
      </c>
      <c r="BF1287" s="51" t="n">
        <v>0</v>
      </c>
    </row>
    <row r="1288">
      <c r="A1288">
        <f>HYPERLINK("https://www.walmart.com/ip/777666039", "777666039")</f>
        <v/>
      </c>
      <c r="B1288" t="inlineStr">
        <is>
          <t>Tirrinia Pressure Pump Opener Set Corkscrew+foil cutter+wine pourer+Vacuum Stopper, Pink</t>
        </is>
      </c>
      <c r="C1288" t="inlineStr">
        <is>
          <t>1KTWO400PK</t>
        </is>
      </c>
      <c r="D1288" t="inlineStr">
        <is>
          <t>Barware Sets</t>
        </is>
      </c>
      <c r="E1288" t="inlineStr">
        <is>
          <t>Tirrinia</t>
        </is>
      </c>
      <c r="F1288" t="inlineStr">
        <is>
          <t>Wine,Christmas,Optimized,WFS,Valentine,WFS Item</t>
        </is>
      </c>
      <c r="G1288" s="48" t="n">
        <v>0</v>
      </c>
      <c r="H1288" s="48" t="n">
        <v>0</v>
      </c>
      <c r="I1288" s="48" t="n">
        <v>0</v>
      </c>
      <c r="J1288" s="48" t="n">
        <v>0</v>
      </c>
      <c r="K1288" s="49" t="n">
        <v>0</v>
      </c>
      <c r="L1288" s="49" t="n">
        <v>0</v>
      </c>
      <c r="M1288" s="49" t="n">
        <v>0</v>
      </c>
      <c r="N1288" s="49" t="n">
        <v>0</v>
      </c>
      <c r="O1288" s="49" t="n">
        <v>0</v>
      </c>
      <c r="P1288" s="49" t="n">
        <v>0</v>
      </c>
      <c r="Q1288" s="49" t="n">
        <v>0</v>
      </c>
      <c r="R1288" s="49" t="n">
        <v>0</v>
      </c>
      <c r="S1288" s="50" t="n">
        <v>0</v>
      </c>
      <c r="T1288" s="50" t="n">
        <v>0</v>
      </c>
      <c r="U1288" s="50" t="n">
        <v>0</v>
      </c>
      <c r="V1288" s="50" t="n">
        <v>0</v>
      </c>
      <c r="W1288" s="51" t="n">
        <v>0</v>
      </c>
      <c r="X1288" s="51" t="n">
        <v>0</v>
      </c>
      <c r="Y1288" s="51" t="n">
        <v>0</v>
      </c>
      <c r="Z1288" s="51" t="n">
        <v>0</v>
      </c>
      <c r="AA1288" s="52" t="n">
        <v>0</v>
      </c>
      <c r="AB1288" s="52" t="n">
        <v>0</v>
      </c>
      <c r="AC1288" s="52" t="n">
        <v>0</v>
      </c>
      <c r="AD1288" s="52" t="n">
        <v>0</v>
      </c>
      <c r="AE1288" s="52" t="n">
        <v>0</v>
      </c>
      <c r="AF1288" s="52" t="n">
        <v>0</v>
      </c>
      <c r="AG1288" s="52" t="n">
        <v>0</v>
      </c>
      <c r="AH1288" s="52" t="n">
        <v>0</v>
      </c>
      <c r="AI1288" s="52" t="n">
        <v>0</v>
      </c>
      <c r="AJ1288" s="52" t="n">
        <v>0</v>
      </c>
      <c r="AK1288" s="52" t="n">
        <v>0</v>
      </c>
      <c r="AL1288" s="52" t="n">
        <v>0</v>
      </c>
      <c r="AM1288" s="53" t="n">
        <v>0</v>
      </c>
      <c r="AN1288" s="53" t="n">
        <v>0</v>
      </c>
      <c r="AO1288" s="53" t="n">
        <v>0</v>
      </c>
      <c r="AP1288" s="53" t="n">
        <v>0</v>
      </c>
      <c r="AQ1288" s="52" t="n">
        <v>0</v>
      </c>
      <c r="AR1288" s="52" t="n">
        <v>0</v>
      </c>
      <c r="AS1288" s="52" t="n">
        <v>0</v>
      </c>
      <c r="AT1288" s="52" t="n">
        <v>0</v>
      </c>
      <c r="AU1288" s="53" t="n">
        <v>0</v>
      </c>
      <c r="AV1288" s="53" t="n">
        <v>0</v>
      </c>
      <c r="AW1288" s="53" t="n">
        <v>0</v>
      </c>
      <c r="AX1288" s="53" t="n">
        <v>0</v>
      </c>
      <c r="AY1288" s="52" t="n">
        <v>0</v>
      </c>
      <c r="AZ1288" s="52" t="n">
        <v>0</v>
      </c>
      <c r="BA1288" s="52" t="n">
        <v>0</v>
      </c>
      <c r="BB1288" s="52" t="n">
        <v>0</v>
      </c>
      <c r="BC1288" s="51" t="n">
        <v>0</v>
      </c>
      <c r="BD1288" s="51" t="n">
        <v>0</v>
      </c>
      <c r="BE1288" s="51" t="n">
        <v>0</v>
      </c>
      <c r="BF1288" s="51" t="n">
        <v>0</v>
      </c>
    </row>
    <row r="1289">
      <c r="A1289">
        <f>HYPERLINK("https://www.walmart.com/ip/773018457", "773018457")</f>
        <v/>
      </c>
      <c r="B1289" t="inlineStr">
        <is>
          <t>Tirrinia Waterproof Outdoor Blanket with Sherpa Lining, Windproof Triple Layers Warm Comfy Foldable for Camping Stadium, Sports, Picnic, Concerts and Pets, Machine Washable, Light Grey, 60'' X 80''.</t>
        </is>
      </c>
      <c r="C1289" t="inlineStr">
        <is>
          <t>1TRBW608LGDG-CDCB</t>
        </is>
      </c>
      <c r="D1289" t="inlineStr">
        <is>
          <t>Throws</t>
        </is>
      </c>
      <c r="E1289" t="inlineStr">
        <is>
          <t>Tirrinia</t>
        </is>
      </c>
      <c r="F1289" t="inlineStr">
        <is>
          <t>Q2-Target,Optimized</t>
        </is>
      </c>
      <c r="G1289" s="48" t="n">
        <v>0</v>
      </c>
      <c r="H1289" s="48" t="n">
        <v>0</v>
      </c>
      <c r="I1289" s="48" t="n">
        <v>0</v>
      </c>
      <c r="J1289" s="48" t="n">
        <v>0</v>
      </c>
      <c r="K1289" s="49" t="n">
        <v>0</v>
      </c>
      <c r="L1289" s="49" t="n">
        <v>0</v>
      </c>
      <c r="M1289" s="49" t="n">
        <v>0</v>
      </c>
      <c r="N1289" s="49" t="n">
        <v>0</v>
      </c>
      <c r="O1289" s="49" t="n">
        <v>0</v>
      </c>
      <c r="P1289" s="49" t="n">
        <v>0</v>
      </c>
      <c r="Q1289" s="49" t="n">
        <v>0</v>
      </c>
      <c r="R1289" s="49" t="n">
        <v>0</v>
      </c>
      <c r="S1289" s="50" t="n">
        <v>0</v>
      </c>
      <c r="T1289" s="50" t="n">
        <v>0</v>
      </c>
      <c r="U1289" s="50" t="n">
        <v>0</v>
      </c>
      <c r="V1289" s="50" t="n">
        <v>0</v>
      </c>
      <c r="W1289" s="51" t="n">
        <v>5</v>
      </c>
      <c r="X1289" s="51" t="n">
        <v>2</v>
      </c>
      <c r="Y1289" s="51" t="n">
        <v>0</v>
      </c>
      <c r="Z1289" s="51" t="n">
        <v>3</v>
      </c>
      <c r="AA1289" s="52" t="n">
        <v>1.5</v>
      </c>
      <c r="AB1289" s="52" t="n">
        <v>0.42</v>
      </c>
      <c r="AC1289" s="52" t="n">
        <v>0</v>
      </c>
      <c r="AD1289" s="52" t="n">
        <v>1.41</v>
      </c>
      <c r="AE1289" s="52" t="n">
        <v>0</v>
      </c>
      <c r="AF1289" s="52" t="n">
        <v>0</v>
      </c>
      <c r="AG1289" s="52" t="n">
        <v>0</v>
      </c>
      <c r="AH1289" s="52" t="n">
        <v>0</v>
      </c>
      <c r="AI1289" s="52" t="n">
        <v>0</v>
      </c>
      <c r="AJ1289" s="52" t="n">
        <v>0</v>
      </c>
      <c r="AK1289" s="52" t="n">
        <v>0</v>
      </c>
      <c r="AL1289" s="52" t="n">
        <v>0</v>
      </c>
      <c r="AM1289" s="53" t="n">
        <v>0.0011</v>
      </c>
      <c r="AN1289" s="53" t="n">
        <v>0.0003</v>
      </c>
      <c r="AO1289" s="53" t="n">
        <v>0</v>
      </c>
      <c r="AP1289" s="53" t="n">
        <v>0.0038</v>
      </c>
      <c r="AQ1289" s="52" t="n">
        <v>0.3</v>
      </c>
      <c r="AR1289" s="52" t="n">
        <v>0.21</v>
      </c>
      <c r="AS1289" s="52" t="n">
        <v>0</v>
      </c>
      <c r="AT1289" s="52" t="n">
        <v>0.47</v>
      </c>
      <c r="AU1289" s="53" t="n">
        <v>0</v>
      </c>
      <c r="AV1289" s="53" t="n">
        <v>0</v>
      </c>
      <c r="AW1289" s="53" t="n">
        <v>0</v>
      </c>
      <c r="AX1289" s="53" t="n">
        <v>0</v>
      </c>
      <c r="AY1289" s="52" t="n">
        <v>0</v>
      </c>
      <c r="AZ1289" s="52" t="n">
        <v>0</v>
      </c>
      <c r="BA1289" s="52" t="n">
        <v>0</v>
      </c>
      <c r="BB1289" s="52" t="n">
        <v>0</v>
      </c>
      <c r="BC1289" s="51" t="n">
        <v>4613</v>
      </c>
      <c r="BD1289" s="51" t="n">
        <v>6032</v>
      </c>
      <c r="BE1289" s="51" t="n">
        <v>0</v>
      </c>
      <c r="BF1289" s="51" t="n">
        <v>793</v>
      </c>
    </row>
    <row r="1290">
      <c r="A1290">
        <f>HYPERLINK("https://www.walmart.com/ip/771364230", "771364230")</f>
        <v/>
      </c>
      <c r="B1290" t="inlineStr">
        <is>
          <t>Flyingstar High SPF Men's Sun Hat,UV Protection Wide-Brimmed with Air Panels, Olive</t>
        </is>
      </c>
      <c r="C1290" t="inlineStr">
        <is>
          <t>1WMSH911OL</t>
        </is>
      </c>
      <c r="D1290" t="inlineStr">
        <is>
          <t>Hats</t>
        </is>
      </c>
      <c r="E1290" t="inlineStr">
        <is>
          <t>Flyingstar</t>
        </is>
      </c>
      <c r="F1290" t="inlineStr">
        <is>
          <t>Optimized</t>
        </is>
      </c>
      <c r="G1290" s="48" t="n">
        <v>0</v>
      </c>
      <c r="H1290" s="48" t="n">
        <v>0</v>
      </c>
      <c r="I1290" s="48" t="n">
        <v>0</v>
      </c>
      <c r="J1290" s="48" t="n">
        <v>0</v>
      </c>
      <c r="K1290" s="49" t="n">
        <v>0</v>
      </c>
      <c r="L1290" s="49" t="n">
        <v>0</v>
      </c>
      <c r="M1290" s="49" t="n">
        <v>0</v>
      </c>
      <c r="N1290" s="49" t="n">
        <v>0</v>
      </c>
      <c r="O1290" s="49" t="n">
        <v>0</v>
      </c>
      <c r="P1290" s="49" t="n">
        <v>0</v>
      </c>
      <c r="Q1290" s="49" t="n">
        <v>0</v>
      </c>
      <c r="R1290" s="49" t="n">
        <v>0</v>
      </c>
      <c r="S1290" s="50" t="n">
        <v>0</v>
      </c>
      <c r="T1290" s="50" t="n">
        <v>0</v>
      </c>
      <c r="U1290" s="50" t="n">
        <v>0</v>
      </c>
      <c r="V1290" s="50" t="n">
        <v>0</v>
      </c>
      <c r="W1290" s="51" t="n">
        <v>0</v>
      </c>
      <c r="X1290" s="51" t="n">
        <v>0</v>
      </c>
      <c r="Y1290" s="51" t="n">
        <v>0</v>
      </c>
      <c r="Z1290" s="51" t="n">
        <v>0</v>
      </c>
      <c r="AA1290" s="52" t="n">
        <v>0</v>
      </c>
      <c r="AB1290" s="52" t="n">
        <v>0</v>
      </c>
      <c r="AC1290" s="52" t="n">
        <v>0</v>
      </c>
      <c r="AD1290" s="52" t="n">
        <v>0</v>
      </c>
      <c r="AE1290" s="52" t="n">
        <v>0</v>
      </c>
      <c r="AF1290" s="52" t="n">
        <v>0</v>
      </c>
      <c r="AG1290" s="52" t="n">
        <v>0</v>
      </c>
      <c r="AH1290" s="52" t="n">
        <v>0</v>
      </c>
      <c r="AI1290" s="52" t="n">
        <v>0</v>
      </c>
      <c r="AJ1290" s="52" t="n">
        <v>0</v>
      </c>
      <c r="AK1290" s="52" t="n">
        <v>0</v>
      </c>
      <c r="AL1290" s="52" t="n">
        <v>0</v>
      </c>
      <c r="AM1290" s="53" t="n">
        <v>0</v>
      </c>
      <c r="AN1290" s="53" t="n">
        <v>0</v>
      </c>
      <c r="AO1290" s="53" t="n">
        <v>0</v>
      </c>
      <c r="AP1290" s="53" t="n">
        <v>0</v>
      </c>
      <c r="AQ1290" s="52" t="n">
        <v>0</v>
      </c>
      <c r="AR1290" s="52" t="n">
        <v>0</v>
      </c>
      <c r="AS1290" s="52" t="n">
        <v>0</v>
      </c>
      <c r="AT1290" s="52" t="n">
        <v>0</v>
      </c>
      <c r="AU1290" s="53" t="n">
        <v>0</v>
      </c>
      <c r="AV1290" s="53" t="n">
        <v>0</v>
      </c>
      <c r="AW1290" s="53" t="n">
        <v>0</v>
      </c>
      <c r="AX1290" s="53" t="n">
        <v>0</v>
      </c>
      <c r="AY1290" s="52" t="n">
        <v>0</v>
      </c>
      <c r="AZ1290" s="52" t="n">
        <v>0</v>
      </c>
      <c r="BA1290" s="52" t="n">
        <v>0</v>
      </c>
      <c r="BB1290" s="52" t="n">
        <v>0</v>
      </c>
      <c r="BC1290" s="51" t="n">
        <v>0</v>
      </c>
      <c r="BD1290" s="51" t="n">
        <v>0</v>
      </c>
      <c r="BE1290" s="51" t="n">
        <v>0</v>
      </c>
      <c r="BF1290" s="51" t="n">
        <v>0</v>
      </c>
    </row>
    <row r="1291">
      <c r="A1291">
        <f>HYPERLINK("https://www.walmart.com/ip/771666786", "771666786")</f>
        <v/>
      </c>
      <c r="B1291" t="inlineStr">
        <is>
          <t>Two Pieces Double up Tankini Swimsuit for Women Bathing Suits Set by Tirrinia</t>
        </is>
      </c>
      <c r="C1291" t="inlineStr">
        <is>
          <t>1TRSS002WH-L</t>
        </is>
      </c>
      <c r="D1291" t="inlineStr">
        <is>
          <t>Swimsuit Sets</t>
        </is>
      </c>
      <c r="E1291" t="inlineStr">
        <is>
          <t>Tirrinia</t>
        </is>
      </c>
      <c r="F1291" t="inlineStr">
        <is>
          <t>Batch 1 - TR</t>
        </is>
      </c>
      <c r="G1291" s="48" t="n">
        <v>0</v>
      </c>
      <c r="H1291" s="48" t="n">
        <v>0</v>
      </c>
      <c r="I1291" s="48" t="n">
        <v>0</v>
      </c>
      <c r="J1291" s="48" t="n">
        <v>0</v>
      </c>
      <c r="K1291" s="49" t="n">
        <v>0</v>
      </c>
      <c r="L1291" s="49" t="n">
        <v>0</v>
      </c>
      <c r="M1291" s="49" t="n">
        <v>0</v>
      </c>
      <c r="N1291" s="49" t="n">
        <v>0</v>
      </c>
      <c r="O1291" s="49" t="n">
        <v>0</v>
      </c>
      <c r="P1291" s="49" t="n">
        <v>0</v>
      </c>
      <c r="Q1291" s="49" t="n">
        <v>0</v>
      </c>
      <c r="R1291" s="49" t="n">
        <v>0</v>
      </c>
      <c r="S1291" s="50" t="n">
        <v>0</v>
      </c>
      <c r="T1291" s="50" t="n">
        <v>0</v>
      </c>
      <c r="U1291" s="50" t="n">
        <v>0</v>
      </c>
      <c r="V1291" s="50" t="n">
        <v>0</v>
      </c>
      <c r="W1291" s="51" t="n">
        <v>0</v>
      </c>
      <c r="X1291" s="51" t="n">
        <v>0</v>
      </c>
      <c r="Y1291" s="51" t="n">
        <v>0</v>
      </c>
      <c r="Z1291" s="51" t="n">
        <v>0</v>
      </c>
      <c r="AA1291" s="52" t="n">
        <v>0</v>
      </c>
      <c r="AB1291" s="52" t="n">
        <v>0</v>
      </c>
      <c r="AC1291" s="52" t="n">
        <v>0</v>
      </c>
      <c r="AD1291" s="52" t="n">
        <v>0</v>
      </c>
      <c r="AE1291" s="52" t="n">
        <v>0</v>
      </c>
      <c r="AF1291" s="52" t="n">
        <v>0</v>
      </c>
      <c r="AG1291" s="52" t="n">
        <v>0</v>
      </c>
      <c r="AH1291" s="52" t="n">
        <v>0</v>
      </c>
      <c r="AI1291" s="52" t="n">
        <v>0</v>
      </c>
      <c r="AJ1291" s="52" t="n">
        <v>0</v>
      </c>
      <c r="AK1291" s="52" t="n">
        <v>0</v>
      </c>
      <c r="AL1291" s="52" t="n">
        <v>0</v>
      </c>
      <c r="AM1291" s="53" t="n">
        <v>0</v>
      </c>
      <c r="AN1291" s="53" t="n">
        <v>0</v>
      </c>
      <c r="AO1291" s="53" t="n">
        <v>0</v>
      </c>
      <c r="AP1291" s="53" t="n">
        <v>0</v>
      </c>
      <c r="AQ1291" s="52" t="n">
        <v>0</v>
      </c>
      <c r="AR1291" s="52" t="n">
        <v>0</v>
      </c>
      <c r="AS1291" s="52" t="n">
        <v>0</v>
      </c>
      <c r="AT1291" s="52" t="n">
        <v>0</v>
      </c>
      <c r="AU1291" s="53" t="n">
        <v>0</v>
      </c>
      <c r="AV1291" s="53" t="n">
        <v>0</v>
      </c>
      <c r="AW1291" s="53" t="n">
        <v>0</v>
      </c>
      <c r="AX1291" s="53" t="n">
        <v>0</v>
      </c>
      <c r="AY1291" s="52" t="n">
        <v>0</v>
      </c>
      <c r="AZ1291" s="52" t="n">
        <v>0</v>
      </c>
      <c r="BA1291" s="52" t="n">
        <v>0</v>
      </c>
      <c r="BB1291" s="52" t="n">
        <v>0</v>
      </c>
      <c r="BC1291" s="51" t="n">
        <v>0</v>
      </c>
      <c r="BD1291" s="51" t="n">
        <v>0</v>
      </c>
      <c r="BE1291" s="51" t="n">
        <v>0</v>
      </c>
      <c r="BF1291" s="51" t="n">
        <v>0</v>
      </c>
    </row>
    <row r="1292">
      <c r="A1292">
        <f>HYPERLINK("https://www.walmart.com/ip/772250682", "772250682")</f>
        <v/>
      </c>
      <c r="B1292" t="inlineStr">
        <is>
          <t>Napa Plush  Throw Blanket Dark Blue, 90"x90" Queen/Full, Striped Reversible Velvet Luxury Fleece Warm Bed Couch Blanket, Super Soft and Cozy</t>
        </is>
      </c>
      <c r="C1292" t="inlineStr">
        <is>
          <t>K8030QF-DBL</t>
        </is>
      </c>
      <c r="D1292" t="inlineStr">
        <is>
          <t>Throws</t>
        </is>
      </c>
      <c r="E1292" t="inlineStr">
        <is>
          <t>NAPA</t>
        </is>
      </c>
      <c r="F1292" t="inlineStr">
        <is>
          <t>Optimized</t>
        </is>
      </c>
      <c r="G1292" s="48" t="n">
        <v>0</v>
      </c>
      <c r="H1292" s="48" t="n">
        <v>0</v>
      </c>
      <c r="I1292" s="48" t="n">
        <v>0</v>
      </c>
      <c r="J1292" s="48" t="n">
        <v>0</v>
      </c>
      <c r="K1292" s="49" t="n">
        <v>0</v>
      </c>
      <c r="L1292" s="49" t="n">
        <v>0</v>
      </c>
      <c r="M1292" s="49" t="n">
        <v>0</v>
      </c>
      <c r="N1292" s="49" t="n">
        <v>0</v>
      </c>
      <c r="O1292" s="49" t="n">
        <v>0</v>
      </c>
      <c r="P1292" s="49" t="n">
        <v>0</v>
      </c>
      <c r="Q1292" s="49" t="n">
        <v>0</v>
      </c>
      <c r="R1292" s="49" t="n">
        <v>0</v>
      </c>
      <c r="S1292" s="50" t="n">
        <v>0</v>
      </c>
      <c r="T1292" s="50" t="n">
        <v>0</v>
      </c>
      <c r="U1292" s="50" t="n">
        <v>0</v>
      </c>
      <c r="V1292" s="50" t="n">
        <v>0</v>
      </c>
      <c r="W1292" s="51" t="n">
        <v>0</v>
      </c>
      <c r="X1292" s="51" t="n">
        <v>0</v>
      </c>
      <c r="Y1292" s="51" t="n">
        <v>0</v>
      </c>
      <c r="Z1292" s="51" t="n">
        <v>0</v>
      </c>
      <c r="AA1292" s="52" t="n">
        <v>0</v>
      </c>
      <c r="AB1292" s="52" t="n">
        <v>0</v>
      </c>
      <c r="AC1292" s="52" t="n">
        <v>0</v>
      </c>
      <c r="AD1292" s="52" t="n">
        <v>0</v>
      </c>
      <c r="AE1292" s="52" t="n">
        <v>0</v>
      </c>
      <c r="AF1292" s="52" t="n">
        <v>0</v>
      </c>
      <c r="AG1292" s="52" t="n">
        <v>0</v>
      </c>
      <c r="AH1292" s="52" t="n">
        <v>0</v>
      </c>
      <c r="AI1292" s="52" t="n">
        <v>0</v>
      </c>
      <c r="AJ1292" s="52" t="n">
        <v>0</v>
      </c>
      <c r="AK1292" s="52" t="n">
        <v>0</v>
      </c>
      <c r="AL1292" s="52" t="n">
        <v>0</v>
      </c>
      <c r="AM1292" s="53" t="n">
        <v>0</v>
      </c>
      <c r="AN1292" s="53" t="n">
        <v>0</v>
      </c>
      <c r="AO1292" s="53" t="n">
        <v>0</v>
      </c>
      <c r="AP1292" s="53" t="n">
        <v>0</v>
      </c>
      <c r="AQ1292" s="52" t="n">
        <v>0</v>
      </c>
      <c r="AR1292" s="52" t="n">
        <v>0</v>
      </c>
      <c r="AS1292" s="52" t="n">
        <v>0</v>
      </c>
      <c r="AT1292" s="52" t="n">
        <v>0</v>
      </c>
      <c r="AU1292" s="53" t="n">
        <v>0</v>
      </c>
      <c r="AV1292" s="53" t="n">
        <v>0</v>
      </c>
      <c r="AW1292" s="53" t="n">
        <v>0</v>
      </c>
      <c r="AX1292" s="53" t="n">
        <v>0</v>
      </c>
      <c r="AY1292" s="52" t="n">
        <v>0</v>
      </c>
      <c r="AZ1292" s="52" t="n">
        <v>0</v>
      </c>
      <c r="BA1292" s="52" t="n">
        <v>0</v>
      </c>
      <c r="BB1292" s="52" t="n">
        <v>0</v>
      </c>
      <c r="BC1292" s="51" t="n">
        <v>0</v>
      </c>
      <c r="BD1292" s="51" t="n">
        <v>0</v>
      </c>
      <c r="BE1292" s="51" t="n">
        <v>0</v>
      </c>
      <c r="BF1292" s="51" t="n">
        <v>0</v>
      </c>
    </row>
    <row r="1293">
      <c r="A1293">
        <f>HYPERLINK("https://www.walmart.com/ip/772452784", "772452784")</f>
        <v/>
      </c>
      <c r="B1293" t="inlineStr">
        <is>
          <t>Tirrinia Super Soft Fluffy Hooded Robe Long Plush Fuzzy Bathrobe for Women with Hood Sherpa Lined, Machine Washable, Dalmation</t>
        </is>
      </c>
      <c r="C1293" t="inlineStr">
        <is>
          <t>1TRRB100DMT</t>
        </is>
      </c>
      <c r="D1293" t="inlineStr">
        <is>
          <t>Sleepwear Robes &amp; Bathrobes</t>
        </is>
      </c>
      <c r="E1293" t="inlineStr">
        <is>
          <t>Tirrinia</t>
        </is>
      </c>
      <c r="F1293" t="inlineStr">
        <is>
          <t>WFS,Bathrobe,Coupon_Discount,WFS Item</t>
        </is>
      </c>
      <c r="G1293" s="48" t="n">
        <v>0</v>
      </c>
      <c r="H1293" s="48" t="n">
        <v>0</v>
      </c>
      <c r="I1293" s="48" t="n">
        <v>0</v>
      </c>
      <c r="J1293" s="48" t="n">
        <v>0</v>
      </c>
      <c r="K1293" s="49" t="n">
        <v>0</v>
      </c>
      <c r="L1293" s="49" t="n">
        <v>0</v>
      </c>
      <c r="M1293" s="49" t="n">
        <v>0</v>
      </c>
      <c r="N1293" s="49" t="n">
        <v>0</v>
      </c>
      <c r="O1293" s="49" t="n">
        <v>0</v>
      </c>
      <c r="P1293" s="49" t="n">
        <v>0</v>
      </c>
      <c r="Q1293" s="49" t="n">
        <v>0</v>
      </c>
      <c r="R1293" s="49" t="n">
        <v>0</v>
      </c>
      <c r="S1293" s="50" t="n">
        <v>0</v>
      </c>
      <c r="T1293" s="50" t="n">
        <v>0</v>
      </c>
      <c r="U1293" s="50" t="n">
        <v>0</v>
      </c>
      <c r="V1293" s="50" t="n">
        <v>0</v>
      </c>
      <c r="W1293" s="51" t="n">
        <v>0</v>
      </c>
      <c r="X1293" s="51" t="n">
        <v>0</v>
      </c>
      <c r="Y1293" s="51" t="n">
        <v>0</v>
      </c>
      <c r="Z1293" s="51" t="n">
        <v>0</v>
      </c>
      <c r="AA1293" s="52" t="n">
        <v>0</v>
      </c>
      <c r="AB1293" s="52" t="n">
        <v>0</v>
      </c>
      <c r="AC1293" s="52" t="n">
        <v>0</v>
      </c>
      <c r="AD1293" s="52" t="n">
        <v>0</v>
      </c>
      <c r="AE1293" s="52" t="n">
        <v>0</v>
      </c>
      <c r="AF1293" s="52" t="n">
        <v>0</v>
      </c>
      <c r="AG1293" s="52" t="n">
        <v>0</v>
      </c>
      <c r="AH1293" s="52" t="n">
        <v>0</v>
      </c>
      <c r="AI1293" s="52" t="n">
        <v>0</v>
      </c>
      <c r="AJ1293" s="52" t="n">
        <v>0</v>
      </c>
      <c r="AK1293" s="52" t="n">
        <v>0</v>
      </c>
      <c r="AL1293" s="52" t="n">
        <v>0</v>
      </c>
      <c r="AM1293" s="53" t="n">
        <v>0</v>
      </c>
      <c r="AN1293" s="53" t="n">
        <v>0</v>
      </c>
      <c r="AO1293" s="53" t="n">
        <v>0</v>
      </c>
      <c r="AP1293" s="53" t="n">
        <v>0</v>
      </c>
      <c r="AQ1293" s="52" t="n">
        <v>0</v>
      </c>
      <c r="AR1293" s="52" t="n">
        <v>0</v>
      </c>
      <c r="AS1293" s="52" t="n">
        <v>0</v>
      </c>
      <c r="AT1293" s="52" t="n">
        <v>0</v>
      </c>
      <c r="AU1293" s="53" t="n">
        <v>0</v>
      </c>
      <c r="AV1293" s="53" t="n">
        <v>0</v>
      </c>
      <c r="AW1293" s="53" t="n">
        <v>0</v>
      </c>
      <c r="AX1293" s="53" t="n">
        <v>0</v>
      </c>
      <c r="AY1293" s="52" t="n">
        <v>0</v>
      </c>
      <c r="AZ1293" s="52" t="n">
        <v>0</v>
      </c>
      <c r="BA1293" s="52" t="n">
        <v>0</v>
      </c>
      <c r="BB1293" s="52" t="n">
        <v>0</v>
      </c>
      <c r="BC1293" s="51" t="n">
        <v>0</v>
      </c>
      <c r="BD1293" s="51" t="n">
        <v>0</v>
      </c>
      <c r="BE1293" s="51" t="n">
        <v>0</v>
      </c>
      <c r="BF1293" s="51" t="n">
        <v>0</v>
      </c>
    </row>
    <row r="1294">
      <c r="A1294">
        <f>HYPERLINK("https://www.walmart.com/ip/772519607", "772519607")</f>
        <v/>
      </c>
      <c r="B1294" t="inlineStr">
        <is>
          <t>Waterproof Dog Blanket for Bed,Pee Proof Pet Blankets for Couch Sofa Cover, Reversible Furniture Protector Sherpa Cushion Mat for Small to Medium Large Dogs, Puppies and Cats, King Size, 80" x 90"</t>
        </is>
      </c>
      <c r="C1294" t="inlineStr">
        <is>
          <t>1PSBW981WNTP</t>
        </is>
      </c>
      <c r="D1294" t="inlineStr">
        <is>
          <t>Pet Blankets</t>
        </is>
      </c>
      <c r="E1294" t="inlineStr">
        <is>
          <t>Pawsse</t>
        </is>
      </c>
      <c r="F1294" t="inlineStr">
        <is>
          <t>Q2-Target,Batch 1 - TR</t>
        </is>
      </c>
      <c r="G1294" s="48" t="n">
        <v>0</v>
      </c>
      <c r="H1294" s="48" t="n">
        <v>0</v>
      </c>
      <c r="I1294" s="48" t="n">
        <v>0</v>
      </c>
      <c r="J1294" s="48" t="n">
        <v>0</v>
      </c>
      <c r="K1294" s="49" t="n">
        <v>0</v>
      </c>
      <c r="L1294" s="49" t="n">
        <v>0</v>
      </c>
      <c r="M1294" s="49" t="n">
        <v>0</v>
      </c>
      <c r="N1294" s="49" t="n">
        <v>0</v>
      </c>
      <c r="O1294" s="49" t="n">
        <v>0</v>
      </c>
      <c r="P1294" s="49" t="n">
        <v>0</v>
      </c>
      <c r="Q1294" s="49" t="n">
        <v>0</v>
      </c>
      <c r="R1294" s="49" t="n">
        <v>0</v>
      </c>
      <c r="S1294" s="50" t="n">
        <v>0</v>
      </c>
      <c r="T1294" s="50" t="n">
        <v>0</v>
      </c>
      <c r="U1294" s="50" t="n">
        <v>0</v>
      </c>
      <c r="V1294" s="50" t="n">
        <v>0</v>
      </c>
      <c r="W1294" s="51" t="n">
        <v>0</v>
      </c>
      <c r="X1294" s="51" t="n">
        <v>0</v>
      </c>
      <c r="Y1294" s="51" t="n">
        <v>0</v>
      </c>
      <c r="Z1294" s="51" t="n">
        <v>2</v>
      </c>
      <c r="AA1294" s="52" t="n">
        <v>0</v>
      </c>
      <c r="AB1294" s="52" t="n">
        <v>0</v>
      </c>
      <c r="AC1294" s="52" t="n">
        <v>0</v>
      </c>
      <c r="AD1294" s="52" t="n">
        <v>0.65</v>
      </c>
      <c r="AE1294" s="52" t="n">
        <v>0</v>
      </c>
      <c r="AF1294" s="52" t="n">
        <v>0</v>
      </c>
      <c r="AG1294" s="52" t="n">
        <v>0</v>
      </c>
      <c r="AH1294" s="52" t="n">
        <v>0</v>
      </c>
      <c r="AI1294" s="52" t="n">
        <v>0</v>
      </c>
      <c r="AJ1294" s="52" t="n">
        <v>0</v>
      </c>
      <c r="AK1294" s="52" t="n">
        <v>0</v>
      </c>
      <c r="AL1294" s="52" t="n">
        <v>0</v>
      </c>
      <c r="AM1294" s="53" t="n">
        <v>0</v>
      </c>
      <c r="AN1294" s="53" t="n">
        <v>0</v>
      </c>
      <c r="AO1294" s="53" t="n">
        <v>0</v>
      </c>
      <c r="AP1294" s="53" t="n">
        <v>0.0022</v>
      </c>
      <c r="AQ1294" s="52" t="n">
        <v>0</v>
      </c>
      <c r="AR1294" s="52" t="n">
        <v>0</v>
      </c>
      <c r="AS1294" s="52" t="n">
        <v>0</v>
      </c>
      <c r="AT1294" s="52" t="n">
        <v>0.325</v>
      </c>
      <c r="AU1294" s="53" t="n">
        <v>0</v>
      </c>
      <c r="AV1294" s="53" t="n">
        <v>0</v>
      </c>
      <c r="AW1294" s="53" t="n">
        <v>0</v>
      </c>
      <c r="AX1294" s="53" t="n">
        <v>0</v>
      </c>
      <c r="AY1294" s="52" t="n">
        <v>0</v>
      </c>
      <c r="AZ1294" s="52" t="n">
        <v>0</v>
      </c>
      <c r="BA1294" s="52" t="n">
        <v>0</v>
      </c>
      <c r="BB1294" s="52" t="n">
        <v>0</v>
      </c>
      <c r="BC1294" s="51" t="n">
        <v>364</v>
      </c>
      <c r="BD1294" s="51" t="n">
        <v>509</v>
      </c>
      <c r="BE1294" s="51" t="n">
        <v>765</v>
      </c>
      <c r="BF1294" s="51" t="n">
        <v>927</v>
      </c>
    </row>
    <row r="1295">
      <c r="A1295">
        <f>HYPERLINK("https://www.walmart.com/ip/772543692", "772543692")</f>
        <v/>
      </c>
      <c r="B1295" t="inlineStr">
        <is>
          <t>Tirrinia Insulated 2 Bottle Wine Carrier Tote Cooler Bag for Travel Picnic Padded Champagne Glass Carrying Case</t>
        </is>
      </c>
      <c r="C1295" t="inlineStr">
        <is>
          <t>1WMWB220GY</t>
        </is>
      </c>
      <c r="D1295" t="inlineStr">
        <is>
          <t>Wine Totes, Bags &amp; Backpacks</t>
        </is>
      </c>
      <c r="E1295" t="inlineStr">
        <is>
          <t>Flyingstar</t>
        </is>
      </c>
      <c r="F1295" t="inlineStr">
        <is>
          <t>Wine,Christmas,Valentine</t>
        </is>
      </c>
      <c r="G1295" s="48" t="n">
        <v>0</v>
      </c>
      <c r="H1295" s="48" t="n">
        <v>0</v>
      </c>
      <c r="I1295" s="48" t="n">
        <v>0</v>
      </c>
      <c r="J1295" s="48" t="n">
        <v>0</v>
      </c>
      <c r="K1295" s="49" t="n">
        <v>0</v>
      </c>
      <c r="L1295" s="49" t="n">
        <v>0</v>
      </c>
      <c r="M1295" s="49" t="n">
        <v>0</v>
      </c>
      <c r="N1295" s="49" t="n">
        <v>0</v>
      </c>
      <c r="O1295" s="49" t="n">
        <v>0</v>
      </c>
      <c r="P1295" s="49" t="n">
        <v>0</v>
      </c>
      <c r="Q1295" s="49" t="n">
        <v>0</v>
      </c>
      <c r="R1295" s="49" t="n">
        <v>0</v>
      </c>
      <c r="S1295" s="50" t="n">
        <v>0</v>
      </c>
      <c r="T1295" s="50" t="n">
        <v>0</v>
      </c>
      <c r="U1295" s="50" t="n">
        <v>0</v>
      </c>
      <c r="V1295" s="50" t="n">
        <v>0</v>
      </c>
      <c r="W1295" s="51" t="n">
        <v>0</v>
      </c>
      <c r="X1295" s="51" t="n">
        <v>0</v>
      </c>
      <c r="Y1295" s="51" t="n">
        <v>0</v>
      </c>
      <c r="Z1295" s="51" t="n">
        <v>0</v>
      </c>
      <c r="AA1295" s="52" t="n">
        <v>0</v>
      </c>
      <c r="AB1295" s="52" t="n">
        <v>0</v>
      </c>
      <c r="AC1295" s="52" t="n">
        <v>0</v>
      </c>
      <c r="AD1295" s="52" t="n">
        <v>0</v>
      </c>
      <c r="AE1295" s="52" t="n">
        <v>0</v>
      </c>
      <c r="AF1295" s="52" t="n">
        <v>0</v>
      </c>
      <c r="AG1295" s="52" t="n">
        <v>0</v>
      </c>
      <c r="AH1295" s="52" t="n">
        <v>0</v>
      </c>
      <c r="AI1295" s="52" t="n">
        <v>0</v>
      </c>
      <c r="AJ1295" s="52" t="n">
        <v>0</v>
      </c>
      <c r="AK1295" s="52" t="n">
        <v>0</v>
      </c>
      <c r="AL1295" s="52" t="n">
        <v>0</v>
      </c>
      <c r="AM1295" s="53" t="n">
        <v>0</v>
      </c>
      <c r="AN1295" s="53" t="n">
        <v>0</v>
      </c>
      <c r="AO1295" s="53" t="n">
        <v>0</v>
      </c>
      <c r="AP1295" s="53" t="n">
        <v>0</v>
      </c>
      <c r="AQ1295" s="52" t="n">
        <v>0</v>
      </c>
      <c r="AR1295" s="52" t="n">
        <v>0</v>
      </c>
      <c r="AS1295" s="52" t="n">
        <v>0</v>
      </c>
      <c r="AT1295" s="52" t="n">
        <v>0</v>
      </c>
      <c r="AU1295" s="53" t="n">
        <v>0</v>
      </c>
      <c r="AV1295" s="53" t="n">
        <v>0</v>
      </c>
      <c r="AW1295" s="53" t="n">
        <v>0</v>
      </c>
      <c r="AX1295" s="53" t="n">
        <v>0</v>
      </c>
      <c r="AY1295" s="52" t="n">
        <v>0</v>
      </c>
      <c r="AZ1295" s="52" t="n">
        <v>0</v>
      </c>
      <c r="BA1295" s="52" t="n">
        <v>0</v>
      </c>
      <c r="BB1295" s="52" t="n">
        <v>0</v>
      </c>
      <c r="BC1295" s="51" t="n">
        <v>0</v>
      </c>
      <c r="BD1295" s="51" t="n">
        <v>0</v>
      </c>
      <c r="BE1295" s="51" t="n">
        <v>0</v>
      </c>
      <c r="BF1295" s="51" t="n">
        <v>0</v>
      </c>
    </row>
    <row r="1296">
      <c r="A1296">
        <f>HYPERLINK("https://www.walmart.com/ip/773830545", "773830545")</f>
        <v/>
      </c>
      <c r="B1296" t="inlineStr">
        <is>
          <t>Napa Plush  Throw Blanket Mocha, 90"x90" Queen/Full, Striped Reversible Velvet Luxury Fleece Warm Bed Couch Blanket, Super Soft and Cozy</t>
        </is>
      </c>
      <c r="C1296" t="inlineStr">
        <is>
          <t>K8030QF-MOC</t>
        </is>
      </c>
      <c r="D1296" t="inlineStr">
        <is>
          <t>Throws</t>
        </is>
      </c>
      <c r="E1296" t="inlineStr">
        <is>
          <t>NAPA</t>
        </is>
      </c>
      <c r="F1296" t="inlineStr">
        <is>
          <t>Optimized,cost-added</t>
        </is>
      </c>
      <c r="G1296" s="48" t="n">
        <v>0</v>
      </c>
      <c r="H1296" s="48" t="n">
        <v>0</v>
      </c>
      <c r="I1296" s="48" t="n">
        <v>0</v>
      </c>
      <c r="J1296" s="48" t="n">
        <v>0</v>
      </c>
      <c r="K1296" s="49" t="n">
        <v>0</v>
      </c>
      <c r="L1296" s="49" t="n">
        <v>0</v>
      </c>
      <c r="M1296" s="49" t="n">
        <v>0</v>
      </c>
      <c r="N1296" s="49" t="n">
        <v>0</v>
      </c>
      <c r="O1296" s="49" t="n">
        <v>0</v>
      </c>
      <c r="P1296" s="49" t="n">
        <v>0</v>
      </c>
      <c r="Q1296" s="49" t="n">
        <v>0</v>
      </c>
      <c r="R1296" s="49" t="n">
        <v>0</v>
      </c>
      <c r="S1296" s="50" t="n">
        <v>0</v>
      </c>
      <c r="T1296" s="50" t="n">
        <v>0</v>
      </c>
      <c r="U1296" s="50" t="n">
        <v>0</v>
      </c>
      <c r="V1296" s="50" t="n">
        <v>0</v>
      </c>
      <c r="W1296" s="51" t="n">
        <v>0</v>
      </c>
      <c r="X1296" s="51" t="n">
        <v>0</v>
      </c>
      <c r="Y1296" s="51" t="n">
        <v>0</v>
      </c>
      <c r="Z1296" s="51" t="n">
        <v>0</v>
      </c>
      <c r="AA1296" s="52" t="n">
        <v>0</v>
      </c>
      <c r="AB1296" s="52" t="n">
        <v>0</v>
      </c>
      <c r="AC1296" s="52" t="n">
        <v>0</v>
      </c>
      <c r="AD1296" s="52" t="n">
        <v>0</v>
      </c>
      <c r="AE1296" s="52" t="n">
        <v>0</v>
      </c>
      <c r="AF1296" s="52" t="n">
        <v>0</v>
      </c>
      <c r="AG1296" s="52" t="n">
        <v>0</v>
      </c>
      <c r="AH1296" s="52" t="n">
        <v>0</v>
      </c>
      <c r="AI1296" s="52" t="n">
        <v>0</v>
      </c>
      <c r="AJ1296" s="52" t="n">
        <v>0</v>
      </c>
      <c r="AK1296" s="52" t="n">
        <v>0</v>
      </c>
      <c r="AL1296" s="52" t="n">
        <v>0</v>
      </c>
      <c r="AM1296" s="53" t="n">
        <v>0</v>
      </c>
      <c r="AN1296" s="53" t="n">
        <v>0</v>
      </c>
      <c r="AO1296" s="53" t="n">
        <v>0</v>
      </c>
      <c r="AP1296" s="53" t="n">
        <v>0</v>
      </c>
      <c r="AQ1296" s="52" t="n">
        <v>0</v>
      </c>
      <c r="AR1296" s="52" t="n">
        <v>0</v>
      </c>
      <c r="AS1296" s="52" t="n">
        <v>0</v>
      </c>
      <c r="AT1296" s="52" t="n">
        <v>0</v>
      </c>
      <c r="AU1296" s="53" t="n">
        <v>0</v>
      </c>
      <c r="AV1296" s="53" t="n">
        <v>0</v>
      </c>
      <c r="AW1296" s="53" t="n">
        <v>0</v>
      </c>
      <c r="AX1296" s="53" t="n">
        <v>0</v>
      </c>
      <c r="AY1296" s="52" t="n">
        <v>0</v>
      </c>
      <c r="AZ1296" s="52" t="n">
        <v>0</v>
      </c>
      <c r="BA1296" s="52" t="n">
        <v>0</v>
      </c>
      <c r="BB1296" s="52" t="n">
        <v>0</v>
      </c>
      <c r="BC1296" s="51" t="n">
        <v>0</v>
      </c>
      <c r="BD1296" s="51" t="n">
        <v>0</v>
      </c>
      <c r="BE1296" s="51" t="n">
        <v>0</v>
      </c>
      <c r="BF1296" s="51" t="n">
        <v>0</v>
      </c>
    </row>
    <row r="1297">
      <c r="A1297">
        <f>HYPERLINK("https://www.walmart.com/ip/777545397", "777545397")</f>
        <v/>
      </c>
      <c r="B1297" t="inlineStr">
        <is>
          <t>Bucket Sun Hat Cute Cap for Women Fashion Fold-up Brim Packable Summer Beach by Solaris</t>
        </is>
      </c>
      <c r="C1297" t="inlineStr">
        <is>
          <t>1SLSH9200FLWGR-FSCB</t>
        </is>
      </c>
      <c r="D1297" t="inlineStr">
        <is>
          <t>Hats</t>
        </is>
      </c>
      <c r="E1297" t="inlineStr">
        <is>
          <t>Solaris</t>
        </is>
      </c>
      <c r="G1297" s="48" t="n">
        <v>0</v>
      </c>
      <c r="H1297" s="48" t="n">
        <v>0</v>
      </c>
      <c r="I1297" s="48" t="n">
        <v>0</v>
      </c>
      <c r="J1297" s="48" t="n">
        <v>0</v>
      </c>
      <c r="K1297" s="49" t="n">
        <v>0</v>
      </c>
      <c r="L1297" s="49" t="n">
        <v>0</v>
      </c>
      <c r="M1297" s="49" t="n">
        <v>0</v>
      </c>
      <c r="N1297" s="49" t="n">
        <v>0</v>
      </c>
      <c r="O1297" s="49" t="n">
        <v>0</v>
      </c>
      <c r="P1297" s="49" t="n">
        <v>0</v>
      </c>
      <c r="Q1297" s="49" t="n">
        <v>0</v>
      </c>
      <c r="R1297" s="49" t="n">
        <v>0</v>
      </c>
      <c r="S1297" s="50" t="n">
        <v>0</v>
      </c>
      <c r="T1297" s="50" t="n">
        <v>0</v>
      </c>
      <c r="U1297" s="50" t="n">
        <v>0</v>
      </c>
      <c r="V1297" s="50" t="n">
        <v>0</v>
      </c>
      <c r="W1297" s="51" t="n">
        <v>0</v>
      </c>
      <c r="X1297" s="51" t="n">
        <v>0</v>
      </c>
      <c r="Y1297" s="51" t="n">
        <v>0</v>
      </c>
      <c r="Z1297" s="51" t="n">
        <v>0</v>
      </c>
      <c r="AA1297" s="52" t="n">
        <v>0</v>
      </c>
      <c r="AB1297" s="52" t="n">
        <v>0</v>
      </c>
      <c r="AC1297" s="52" t="n">
        <v>0</v>
      </c>
      <c r="AD1297" s="52" t="n">
        <v>0</v>
      </c>
      <c r="AE1297" s="52" t="n">
        <v>0</v>
      </c>
      <c r="AF1297" s="52" t="n">
        <v>0</v>
      </c>
      <c r="AG1297" s="52" t="n">
        <v>0</v>
      </c>
      <c r="AH1297" s="52" t="n">
        <v>0</v>
      </c>
      <c r="AI1297" s="52" t="n">
        <v>0</v>
      </c>
      <c r="AJ1297" s="52" t="n">
        <v>0</v>
      </c>
      <c r="AK1297" s="52" t="n">
        <v>0</v>
      </c>
      <c r="AL1297" s="52" t="n">
        <v>0</v>
      </c>
      <c r="AM1297" s="53" t="n">
        <v>0</v>
      </c>
      <c r="AN1297" s="53" t="n">
        <v>0</v>
      </c>
      <c r="AO1297" s="53" t="n">
        <v>0</v>
      </c>
      <c r="AP1297" s="53" t="n">
        <v>0</v>
      </c>
      <c r="AQ1297" s="52" t="n">
        <v>0</v>
      </c>
      <c r="AR1297" s="52" t="n">
        <v>0</v>
      </c>
      <c r="AS1297" s="52" t="n">
        <v>0</v>
      </c>
      <c r="AT1297" s="52" t="n">
        <v>0</v>
      </c>
      <c r="AU1297" s="53" t="n">
        <v>0</v>
      </c>
      <c r="AV1297" s="53" t="n">
        <v>0</v>
      </c>
      <c r="AW1297" s="53" t="n">
        <v>0</v>
      </c>
      <c r="AX1297" s="53" t="n">
        <v>0</v>
      </c>
      <c r="AY1297" s="52" t="n">
        <v>0</v>
      </c>
      <c r="AZ1297" s="52" t="n">
        <v>0</v>
      </c>
      <c r="BA1297" s="52" t="n">
        <v>0</v>
      </c>
      <c r="BB1297" s="52" t="n">
        <v>0</v>
      </c>
      <c r="BC1297" s="51" t="n">
        <v>0</v>
      </c>
      <c r="BD1297" s="51" t="n">
        <v>0</v>
      </c>
      <c r="BE1297" s="51" t="n">
        <v>0</v>
      </c>
      <c r="BF1297" s="51" t="n">
        <v>0</v>
      </c>
    </row>
    <row r="1298">
      <c r="A1298">
        <f>HYPERLINK("https://www.walmart.com/ip/774715896", "774715896")</f>
        <v/>
      </c>
      <c r="B1298" t="inlineStr">
        <is>
          <t>Tirrinia Insulated 3 Bottle Wine Carrier Tote Cooler Bag for Travel Picnic Padded Champagne Glass Carrying Case</t>
        </is>
      </c>
      <c r="C1298" t="inlineStr">
        <is>
          <t>1WMWB300GY-SC</t>
        </is>
      </c>
      <c r="D1298" t="inlineStr">
        <is>
          <t>Wine Totes, Bags &amp; Backpacks</t>
        </is>
      </c>
      <c r="E1298" t="inlineStr">
        <is>
          <t>Flyingstar</t>
        </is>
      </c>
      <c r="F1298" t="inlineStr">
        <is>
          <t>Wine,Christmas,Optimized,Wine WFS,Valentine</t>
        </is>
      </c>
      <c r="G1298" s="48" t="n">
        <v>0</v>
      </c>
      <c r="H1298" s="48" t="n">
        <v>0</v>
      </c>
      <c r="I1298" s="48" t="n">
        <v>0</v>
      </c>
      <c r="J1298" s="48" t="n">
        <v>0</v>
      </c>
      <c r="K1298" s="49" t="n">
        <v>0</v>
      </c>
      <c r="L1298" s="49" t="n">
        <v>0</v>
      </c>
      <c r="M1298" s="49" t="n">
        <v>0</v>
      </c>
      <c r="N1298" s="49" t="n">
        <v>0</v>
      </c>
      <c r="O1298" s="49" t="n">
        <v>0</v>
      </c>
      <c r="P1298" s="49" t="n">
        <v>0</v>
      </c>
      <c r="Q1298" s="49" t="n">
        <v>0</v>
      </c>
      <c r="R1298" s="49" t="n">
        <v>0</v>
      </c>
      <c r="S1298" s="50" t="n">
        <v>0</v>
      </c>
      <c r="T1298" s="50" t="n">
        <v>0</v>
      </c>
      <c r="U1298" s="50" t="n">
        <v>0</v>
      </c>
      <c r="V1298" s="50" t="n">
        <v>0</v>
      </c>
      <c r="W1298" s="51" t="n">
        <v>0</v>
      </c>
      <c r="X1298" s="51" t="n">
        <v>0</v>
      </c>
      <c r="Y1298" s="51" t="n">
        <v>0</v>
      </c>
      <c r="Z1298" s="51" t="n">
        <v>0</v>
      </c>
      <c r="AA1298" s="52" t="n">
        <v>0</v>
      </c>
      <c r="AB1298" s="52" t="n">
        <v>0</v>
      </c>
      <c r="AC1298" s="52" t="n">
        <v>0</v>
      </c>
      <c r="AD1298" s="52" t="n">
        <v>0</v>
      </c>
      <c r="AE1298" s="52" t="n">
        <v>0</v>
      </c>
      <c r="AF1298" s="52" t="n">
        <v>0</v>
      </c>
      <c r="AG1298" s="52" t="n">
        <v>0</v>
      </c>
      <c r="AH1298" s="52" t="n">
        <v>0</v>
      </c>
      <c r="AI1298" s="52" t="n">
        <v>0</v>
      </c>
      <c r="AJ1298" s="52" t="n">
        <v>0</v>
      </c>
      <c r="AK1298" s="52" t="n">
        <v>0</v>
      </c>
      <c r="AL1298" s="52" t="n">
        <v>0</v>
      </c>
      <c r="AM1298" s="53" t="n">
        <v>0</v>
      </c>
      <c r="AN1298" s="53" t="n">
        <v>0</v>
      </c>
      <c r="AO1298" s="53" t="n">
        <v>0</v>
      </c>
      <c r="AP1298" s="53" t="n">
        <v>0</v>
      </c>
      <c r="AQ1298" s="52" t="n">
        <v>0</v>
      </c>
      <c r="AR1298" s="52" t="n">
        <v>0</v>
      </c>
      <c r="AS1298" s="52" t="n">
        <v>0</v>
      </c>
      <c r="AT1298" s="52" t="n">
        <v>0</v>
      </c>
      <c r="AU1298" s="53" t="n">
        <v>0</v>
      </c>
      <c r="AV1298" s="53" t="n">
        <v>0</v>
      </c>
      <c r="AW1298" s="53" t="n">
        <v>0</v>
      </c>
      <c r="AX1298" s="53" t="n">
        <v>0</v>
      </c>
      <c r="AY1298" s="52" t="n">
        <v>0</v>
      </c>
      <c r="AZ1298" s="52" t="n">
        <v>0</v>
      </c>
      <c r="BA1298" s="52" t="n">
        <v>0</v>
      </c>
      <c r="BB1298" s="52" t="n">
        <v>0</v>
      </c>
      <c r="BC1298" s="51" t="n">
        <v>0</v>
      </c>
      <c r="BD1298" s="51" t="n">
        <v>0</v>
      </c>
      <c r="BE1298" s="51" t="n">
        <v>0</v>
      </c>
      <c r="BF1298" s="51" t="n">
        <v>0</v>
      </c>
    </row>
    <row r="1299">
      <c r="A1299">
        <f>HYPERLINK("https://www.walmart.com/ip/774962388", "774962388")</f>
        <v/>
      </c>
      <c r="B1299" t="inlineStr">
        <is>
          <t>Women Floppy Sun Bucket Hats w/ Wide Brim Straw Edge Summer Beach UV Protection Foldable Gardening Hiking Cap</t>
        </is>
      </c>
      <c r="C1299" t="inlineStr">
        <is>
          <t>1TRSH031WH-TBCB01</t>
        </is>
      </c>
      <c r="D1299" t="inlineStr">
        <is>
          <t>Hats</t>
        </is>
      </c>
      <c r="E1299" t="inlineStr">
        <is>
          <t>Tirrinia</t>
        </is>
      </c>
      <c r="F1299" t="inlineStr">
        <is>
          <t>Batch 1 - TR</t>
        </is>
      </c>
      <c r="G1299" s="48" t="n">
        <v>0</v>
      </c>
      <c r="H1299" s="48" t="n">
        <v>0</v>
      </c>
      <c r="I1299" s="48" t="n">
        <v>0</v>
      </c>
      <c r="J1299" s="48" t="n">
        <v>0</v>
      </c>
      <c r="K1299" s="49" t="n">
        <v>0</v>
      </c>
      <c r="L1299" s="49" t="n">
        <v>0</v>
      </c>
      <c r="M1299" s="49" t="n">
        <v>0</v>
      </c>
      <c r="N1299" s="49" t="n">
        <v>0</v>
      </c>
      <c r="O1299" s="49" t="n">
        <v>0</v>
      </c>
      <c r="P1299" s="49" t="n">
        <v>0</v>
      </c>
      <c r="Q1299" s="49" t="n">
        <v>0</v>
      </c>
      <c r="R1299" s="49" t="n">
        <v>0</v>
      </c>
      <c r="S1299" s="50" t="n">
        <v>0</v>
      </c>
      <c r="T1299" s="50" t="n">
        <v>0</v>
      </c>
      <c r="U1299" s="50" t="n">
        <v>0</v>
      </c>
      <c r="V1299" s="50" t="n">
        <v>0</v>
      </c>
      <c r="W1299" s="51" t="n">
        <v>0</v>
      </c>
      <c r="X1299" s="51" t="n">
        <v>0</v>
      </c>
      <c r="Y1299" s="51" t="n">
        <v>0</v>
      </c>
      <c r="Z1299" s="51" t="n">
        <v>0</v>
      </c>
      <c r="AA1299" s="52" t="n">
        <v>0</v>
      </c>
      <c r="AB1299" s="52" t="n">
        <v>0</v>
      </c>
      <c r="AC1299" s="52" t="n">
        <v>0</v>
      </c>
      <c r="AD1299" s="52" t="n">
        <v>0</v>
      </c>
      <c r="AE1299" s="52" t="n">
        <v>0</v>
      </c>
      <c r="AF1299" s="52" t="n">
        <v>0</v>
      </c>
      <c r="AG1299" s="52" t="n">
        <v>0</v>
      </c>
      <c r="AH1299" s="52" t="n">
        <v>0</v>
      </c>
      <c r="AI1299" s="52" t="n">
        <v>0</v>
      </c>
      <c r="AJ1299" s="52" t="n">
        <v>0</v>
      </c>
      <c r="AK1299" s="52" t="n">
        <v>0</v>
      </c>
      <c r="AL1299" s="52" t="n">
        <v>0</v>
      </c>
      <c r="AM1299" s="53" t="n">
        <v>0</v>
      </c>
      <c r="AN1299" s="53" t="n">
        <v>0</v>
      </c>
      <c r="AO1299" s="53" t="n">
        <v>0</v>
      </c>
      <c r="AP1299" s="53" t="n">
        <v>0</v>
      </c>
      <c r="AQ1299" s="52" t="n">
        <v>0</v>
      </c>
      <c r="AR1299" s="52" t="n">
        <v>0</v>
      </c>
      <c r="AS1299" s="52" t="n">
        <v>0</v>
      </c>
      <c r="AT1299" s="52" t="n">
        <v>0</v>
      </c>
      <c r="AU1299" s="53" t="n">
        <v>0</v>
      </c>
      <c r="AV1299" s="53" t="n">
        <v>0</v>
      </c>
      <c r="AW1299" s="53" t="n">
        <v>0</v>
      </c>
      <c r="AX1299" s="53" t="n">
        <v>0</v>
      </c>
      <c r="AY1299" s="52" t="n">
        <v>0</v>
      </c>
      <c r="AZ1299" s="52" t="n">
        <v>0</v>
      </c>
      <c r="BA1299" s="52" t="n">
        <v>0</v>
      </c>
      <c r="BB1299" s="52" t="n">
        <v>0</v>
      </c>
      <c r="BC1299" s="51" t="n">
        <v>0</v>
      </c>
      <c r="BD1299" s="51" t="n">
        <v>0</v>
      </c>
      <c r="BE1299" s="51" t="n">
        <v>0</v>
      </c>
      <c r="BF1299" s="51" t="n">
        <v>0</v>
      </c>
    </row>
    <row r="1300">
      <c r="A1300">
        <f>HYPERLINK("https://www.walmart.com/ip/775704271", "775704271")</f>
        <v/>
      </c>
      <c r="B1300" t="inlineStr">
        <is>
          <t>Catalonia Buffalo Plaid Sherpa Throw TV Blanket 50" x 60" Super Soft Reversible Fleece Blanket for Cabin Bed or Couch | Cabin Plaid Check, Blue Plaid</t>
        </is>
      </c>
      <c r="C1300" t="inlineStr">
        <is>
          <t>1CTBF300PBL</t>
        </is>
      </c>
      <c r="D1300" t="inlineStr">
        <is>
          <t>Throws</t>
        </is>
      </c>
      <c r="E1300" t="inlineStr">
        <is>
          <t>Catalonia</t>
        </is>
      </c>
      <c r="F1300" t="inlineStr">
        <is>
          <t>Q2-Target,WFS,Coupon_Discount,WFS Item,Fleece Blankets</t>
        </is>
      </c>
      <c r="G1300" s="48" t="n">
        <v>0</v>
      </c>
      <c r="H1300" s="48" t="n">
        <v>0</v>
      </c>
      <c r="I1300" s="48" t="n">
        <v>0</v>
      </c>
      <c r="J1300" s="48" t="n">
        <v>0</v>
      </c>
      <c r="K1300" s="49" t="n">
        <v>0</v>
      </c>
      <c r="L1300" s="49" t="n">
        <v>0</v>
      </c>
      <c r="M1300" s="49" t="n">
        <v>0</v>
      </c>
      <c r="N1300" s="49" t="n">
        <v>0</v>
      </c>
      <c r="O1300" s="49" t="n">
        <v>2</v>
      </c>
      <c r="P1300" s="49" t="n">
        <v>2</v>
      </c>
      <c r="Q1300" s="49" t="n">
        <v>1</v>
      </c>
      <c r="R1300" s="49" t="n">
        <v>2</v>
      </c>
      <c r="S1300" s="50" t="n">
        <v>0</v>
      </c>
      <c r="T1300" s="50" t="n">
        <v>0</v>
      </c>
      <c r="U1300" s="50" t="n">
        <v>0</v>
      </c>
      <c r="V1300" s="50" t="n">
        <v>0</v>
      </c>
      <c r="W1300" s="51" t="n">
        <v>0</v>
      </c>
      <c r="X1300" s="51" t="n">
        <v>0</v>
      </c>
      <c r="Y1300" s="51" t="n">
        <v>0</v>
      </c>
      <c r="Z1300" s="51" t="n">
        <v>0</v>
      </c>
      <c r="AA1300" s="52" t="n">
        <v>0</v>
      </c>
      <c r="AB1300" s="52" t="n">
        <v>0</v>
      </c>
      <c r="AC1300" s="52" t="n">
        <v>0</v>
      </c>
      <c r="AD1300" s="52" t="n">
        <v>0</v>
      </c>
      <c r="AE1300" s="52" t="n">
        <v>0</v>
      </c>
      <c r="AF1300" s="52" t="n">
        <v>0</v>
      </c>
      <c r="AG1300" s="52" t="n">
        <v>0</v>
      </c>
      <c r="AH1300" s="52" t="n">
        <v>0</v>
      </c>
      <c r="AI1300" s="52" t="n">
        <v>0</v>
      </c>
      <c r="AJ1300" s="52" t="n">
        <v>0</v>
      </c>
      <c r="AK1300" s="52" t="n">
        <v>0</v>
      </c>
      <c r="AL1300" s="52" t="n">
        <v>0</v>
      </c>
      <c r="AM1300" s="53" t="n">
        <v>0</v>
      </c>
      <c r="AN1300" s="53" t="n">
        <v>0</v>
      </c>
      <c r="AO1300" s="53" t="n">
        <v>0</v>
      </c>
      <c r="AP1300" s="53" t="n">
        <v>0</v>
      </c>
      <c r="AQ1300" s="52" t="n">
        <v>0</v>
      </c>
      <c r="AR1300" s="52" t="n">
        <v>0</v>
      </c>
      <c r="AS1300" s="52" t="n">
        <v>0</v>
      </c>
      <c r="AT1300" s="52" t="n">
        <v>0</v>
      </c>
      <c r="AU1300" s="53" t="n">
        <v>0</v>
      </c>
      <c r="AV1300" s="53" t="n">
        <v>0</v>
      </c>
      <c r="AW1300" s="53" t="n">
        <v>0</v>
      </c>
      <c r="AX1300" s="53" t="n">
        <v>0</v>
      </c>
      <c r="AY1300" s="52" t="n">
        <v>0</v>
      </c>
      <c r="AZ1300" s="52" t="n">
        <v>0</v>
      </c>
      <c r="BA1300" s="52" t="n">
        <v>0</v>
      </c>
      <c r="BB1300" s="52" t="n">
        <v>0</v>
      </c>
      <c r="BC1300" s="51" t="n">
        <v>0</v>
      </c>
      <c r="BD1300" s="51" t="n">
        <v>0</v>
      </c>
      <c r="BE1300" s="51" t="n">
        <v>0</v>
      </c>
      <c r="BF1300" s="51" t="n">
        <v>0</v>
      </c>
    </row>
    <row r="1301">
      <c r="A1301">
        <f>HYPERLINK("https://www.walmart.com/ip/775933127", "775933127")</f>
        <v/>
      </c>
      <c r="B1301" t="inlineStr">
        <is>
          <t>Tirrinia Comfy Plush Wearable Fleece Blanket Poncho For Adults And Children, 55'' x 80'', Navy</t>
        </is>
      </c>
      <c r="C1301" t="inlineStr">
        <is>
          <t>1TRBP100NY-TBCB</t>
        </is>
      </c>
      <c r="D1301" t="inlineStr">
        <is>
          <t>Throws</t>
        </is>
      </c>
      <c r="E1301" t="inlineStr">
        <is>
          <t>Tirrinia</t>
        </is>
      </c>
      <c r="F1301" t="inlineStr">
        <is>
          <t>Optimized,Fleece Blankets</t>
        </is>
      </c>
      <c r="G1301" s="48" t="n">
        <v>0</v>
      </c>
      <c r="H1301" s="48" t="n">
        <v>0</v>
      </c>
      <c r="I1301" s="48" t="n">
        <v>0</v>
      </c>
      <c r="J1301" s="48" t="n">
        <v>0</v>
      </c>
      <c r="K1301" s="49" t="n">
        <v>0</v>
      </c>
      <c r="L1301" s="49" t="n">
        <v>0</v>
      </c>
      <c r="M1301" s="49" t="n">
        <v>0</v>
      </c>
      <c r="N1301" s="49" t="n">
        <v>0</v>
      </c>
      <c r="O1301" s="49" t="n">
        <v>0</v>
      </c>
      <c r="P1301" s="49" t="n">
        <v>0</v>
      </c>
      <c r="Q1301" s="49" t="n">
        <v>0</v>
      </c>
      <c r="R1301" s="49" t="n">
        <v>0</v>
      </c>
      <c r="S1301" s="50" t="n">
        <v>0</v>
      </c>
      <c r="T1301" s="50" t="n">
        <v>0</v>
      </c>
      <c r="U1301" s="50" t="n">
        <v>0</v>
      </c>
      <c r="V1301" s="50" t="n">
        <v>0</v>
      </c>
      <c r="W1301" s="51" t="n">
        <v>0</v>
      </c>
      <c r="X1301" s="51" t="n">
        <v>0</v>
      </c>
      <c r="Y1301" s="51" t="n">
        <v>0</v>
      </c>
      <c r="Z1301" s="51" t="n">
        <v>0</v>
      </c>
      <c r="AA1301" s="52" t="n">
        <v>0</v>
      </c>
      <c r="AB1301" s="52" t="n">
        <v>0</v>
      </c>
      <c r="AC1301" s="52" t="n">
        <v>0</v>
      </c>
      <c r="AD1301" s="52" t="n">
        <v>0</v>
      </c>
      <c r="AE1301" s="52" t="n">
        <v>0</v>
      </c>
      <c r="AF1301" s="52" t="n">
        <v>0</v>
      </c>
      <c r="AG1301" s="52" t="n">
        <v>0</v>
      </c>
      <c r="AH1301" s="52" t="n">
        <v>0</v>
      </c>
      <c r="AI1301" s="52" t="n">
        <v>0</v>
      </c>
      <c r="AJ1301" s="52" t="n">
        <v>0</v>
      </c>
      <c r="AK1301" s="52" t="n">
        <v>0</v>
      </c>
      <c r="AL1301" s="52" t="n">
        <v>0</v>
      </c>
      <c r="AM1301" s="53" t="n">
        <v>0</v>
      </c>
      <c r="AN1301" s="53" t="n">
        <v>0</v>
      </c>
      <c r="AO1301" s="53" t="n">
        <v>0</v>
      </c>
      <c r="AP1301" s="53" t="n">
        <v>0</v>
      </c>
      <c r="AQ1301" s="52" t="n">
        <v>0</v>
      </c>
      <c r="AR1301" s="52" t="n">
        <v>0</v>
      </c>
      <c r="AS1301" s="52" t="n">
        <v>0</v>
      </c>
      <c r="AT1301" s="52" t="n">
        <v>0</v>
      </c>
      <c r="AU1301" s="53" t="n">
        <v>0</v>
      </c>
      <c r="AV1301" s="53" t="n">
        <v>0</v>
      </c>
      <c r="AW1301" s="53" t="n">
        <v>0</v>
      </c>
      <c r="AX1301" s="53" t="n">
        <v>0</v>
      </c>
      <c r="AY1301" s="52" t="n">
        <v>0</v>
      </c>
      <c r="AZ1301" s="52" t="n">
        <v>0</v>
      </c>
      <c r="BA1301" s="52" t="n">
        <v>0</v>
      </c>
      <c r="BB1301" s="52" t="n">
        <v>0</v>
      </c>
      <c r="BC1301" s="51" t="n">
        <v>0</v>
      </c>
      <c r="BD1301" s="51" t="n">
        <v>0</v>
      </c>
      <c r="BE1301" s="51" t="n">
        <v>0</v>
      </c>
      <c r="BF1301" s="51" t="n">
        <v>0</v>
      </c>
    </row>
    <row r="1302">
      <c r="A1302">
        <f>HYPERLINK("https://www.walmart.com/ip/776025923", "776025923")</f>
        <v/>
      </c>
      <c r="B1302" t="inlineStr">
        <is>
          <t>Women's Poncho Cape, Sherpa Fleece Cloak Coat, Snuggly Hooded Wearable Blanket, Gift Idea for Adults and Teen Girls</t>
        </is>
      </c>
      <c r="C1302" t="inlineStr">
        <is>
          <t>1CTBC300PP</t>
        </is>
      </c>
      <c r="D1302" t="inlineStr">
        <is>
          <t>Throws</t>
        </is>
      </c>
      <c r="E1302" t="inlineStr">
        <is>
          <t>Catalonia</t>
        </is>
      </c>
      <c r="F1302" t="inlineStr">
        <is>
          <t>WFS,WFS Item</t>
        </is>
      </c>
      <c r="G1302" s="48" t="n">
        <v>0</v>
      </c>
      <c r="H1302" s="48" t="n">
        <v>0</v>
      </c>
      <c r="I1302" s="48" t="n">
        <v>0</v>
      </c>
      <c r="J1302" s="48" t="n">
        <v>0</v>
      </c>
      <c r="K1302" s="49" t="n">
        <v>0</v>
      </c>
      <c r="L1302" s="49" t="n">
        <v>0</v>
      </c>
      <c r="M1302" s="49" t="n">
        <v>0</v>
      </c>
      <c r="N1302" s="49" t="n">
        <v>0</v>
      </c>
      <c r="O1302" s="49" t="n">
        <v>0</v>
      </c>
      <c r="P1302" s="49" t="n">
        <v>0</v>
      </c>
      <c r="Q1302" s="49" t="n">
        <v>0</v>
      </c>
      <c r="R1302" s="49" t="n">
        <v>0</v>
      </c>
      <c r="S1302" s="50" t="n">
        <v>0</v>
      </c>
      <c r="T1302" s="50" t="n">
        <v>0</v>
      </c>
      <c r="U1302" s="50" t="n">
        <v>0</v>
      </c>
      <c r="V1302" s="50" t="n">
        <v>0</v>
      </c>
      <c r="W1302" s="51" t="n">
        <v>0</v>
      </c>
      <c r="X1302" s="51" t="n">
        <v>0</v>
      </c>
      <c r="Y1302" s="51" t="n">
        <v>0</v>
      </c>
      <c r="Z1302" s="51" t="n">
        <v>0</v>
      </c>
      <c r="AA1302" s="52" t="n">
        <v>0</v>
      </c>
      <c r="AB1302" s="52" t="n">
        <v>0</v>
      </c>
      <c r="AC1302" s="52" t="n">
        <v>0</v>
      </c>
      <c r="AD1302" s="52" t="n">
        <v>0</v>
      </c>
      <c r="AE1302" s="52" t="n">
        <v>0</v>
      </c>
      <c r="AF1302" s="52" t="n">
        <v>0</v>
      </c>
      <c r="AG1302" s="52" t="n">
        <v>0</v>
      </c>
      <c r="AH1302" s="52" t="n">
        <v>0</v>
      </c>
      <c r="AI1302" s="52" t="n">
        <v>0</v>
      </c>
      <c r="AJ1302" s="52" t="n">
        <v>0</v>
      </c>
      <c r="AK1302" s="52" t="n">
        <v>0</v>
      </c>
      <c r="AL1302" s="52" t="n">
        <v>0</v>
      </c>
      <c r="AM1302" s="53" t="n">
        <v>0</v>
      </c>
      <c r="AN1302" s="53" t="n">
        <v>0</v>
      </c>
      <c r="AO1302" s="53" t="n">
        <v>0</v>
      </c>
      <c r="AP1302" s="53" t="n">
        <v>0</v>
      </c>
      <c r="AQ1302" s="52" t="n">
        <v>0</v>
      </c>
      <c r="AR1302" s="52" t="n">
        <v>0</v>
      </c>
      <c r="AS1302" s="52" t="n">
        <v>0</v>
      </c>
      <c r="AT1302" s="52" t="n">
        <v>0</v>
      </c>
      <c r="AU1302" s="53" t="n">
        <v>0</v>
      </c>
      <c r="AV1302" s="53" t="n">
        <v>0</v>
      </c>
      <c r="AW1302" s="53" t="n">
        <v>0</v>
      </c>
      <c r="AX1302" s="53" t="n">
        <v>0</v>
      </c>
      <c r="AY1302" s="52" t="n">
        <v>0</v>
      </c>
      <c r="AZ1302" s="52" t="n">
        <v>0</v>
      </c>
      <c r="BA1302" s="52" t="n">
        <v>0</v>
      </c>
      <c r="BB1302" s="52" t="n">
        <v>0</v>
      </c>
      <c r="BC1302" s="51" t="n">
        <v>0</v>
      </c>
      <c r="BD1302" s="51" t="n">
        <v>0</v>
      </c>
      <c r="BE1302" s="51" t="n">
        <v>0</v>
      </c>
      <c r="BF1302" s="51" t="n">
        <v>0</v>
      </c>
    </row>
    <row r="1303">
      <c r="A1303">
        <f>HYPERLINK("https://www.walmart.com/ip/776370550", "776370550")</f>
        <v/>
      </c>
      <c r="B1303" t="inlineStr">
        <is>
          <t>Cable Knit Sherpa Blanket, Throw Blanket, Reversible Ultra-Soft Sherpa Sweater Blanket Warm Cozy 60"x50" Multi-Color By Catalonia</t>
        </is>
      </c>
      <c r="C1303" t="inlineStr">
        <is>
          <t>1CTBN100BL</t>
        </is>
      </c>
      <c r="D1303" t="inlineStr">
        <is>
          <t>Throws</t>
        </is>
      </c>
      <c r="E1303" t="inlineStr">
        <is>
          <t>Catalonia</t>
        </is>
      </c>
      <c r="G1303" s="48" t="n">
        <v>0</v>
      </c>
      <c r="H1303" s="48" t="n">
        <v>0</v>
      </c>
      <c r="I1303" s="48" t="n">
        <v>0</v>
      </c>
      <c r="J1303" s="48" t="n">
        <v>0</v>
      </c>
      <c r="K1303" s="49" t="n">
        <v>0</v>
      </c>
      <c r="L1303" s="49" t="n">
        <v>0</v>
      </c>
      <c r="M1303" s="49" t="n">
        <v>0</v>
      </c>
      <c r="N1303" s="49" t="n">
        <v>0</v>
      </c>
      <c r="O1303" s="49" t="n">
        <v>0</v>
      </c>
      <c r="P1303" s="49" t="n">
        <v>0</v>
      </c>
      <c r="Q1303" s="49" t="n">
        <v>0</v>
      </c>
      <c r="R1303" s="49" t="n">
        <v>0</v>
      </c>
      <c r="S1303" s="50" t="n">
        <v>0</v>
      </c>
      <c r="T1303" s="50" t="n">
        <v>0</v>
      </c>
      <c r="U1303" s="50" t="n">
        <v>0</v>
      </c>
      <c r="V1303" s="50" t="n">
        <v>0</v>
      </c>
      <c r="W1303" s="51" t="n">
        <v>0</v>
      </c>
      <c r="X1303" s="51" t="n">
        <v>0</v>
      </c>
      <c r="Y1303" s="51" t="n">
        <v>0</v>
      </c>
      <c r="Z1303" s="51" t="n">
        <v>0</v>
      </c>
      <c r="AA1303" s="52" t="n">
        <v>0</v>
      </c>
      <c r="AB1303" s="52" t="n">
        <v>0</v>
      </c>
      <c r="AC1303" s="52" t="n">
        <v>0</v>
      </c>
      <c r="AD1303" s="52" t="n">
        <v>0</v>
      </c>
      <c r="AE1303" s="52" t="n">
        <v>0</v>
      </c>
      <c r="AF1303" s="52" t="n">
        <v>0</v>
      </c>
      <c r="AG1303" s="52" t="n">
        <v>0</v>
      </c>
      <c r="AH1303" s="52" t="n">
        <v>0</v>
      </c>
      <c r="AI1303" s="52" t="n">
        <v>0</v>
      </c>
      <c r="AJ1303" s="52" t="n">
        <v>0</v>
      </c>
      <c r="AK1303" s="52" t="n">
        <v>0</v>
      </c>
      <c r="AL1303" s="52" t="n">
        <v>0</v>
      </c>
      <c r="AM1303" s="53" t="n">
        <v>0</v>
      </c>
      <c r="AN1303" s="53" t="n">
        <v>0</v>
      </c>
      <c r="AO1303" s="53" t="n">
        <v>0</v>
      </c>
      <c r="AP1303" s="53" t="n">
        <v>0</v>
      </c>
      <c r="AQ1303" s="52" t="n">
        <v>0</v>
      </c>
      <c r="AR1303" s="52" t="n">
        <v>0</v>
      </c>
      <c r="AS1303" s="52" t="n">
        <v>0</v>
      </c>
      <c r="AT1303" s="52" t="n">
        <v>0</v>
      </c>
      <c r="AU1303" s="53" t="n">
        <v>0</v>
      </c>
      <c r="AV1303" s="53" t="n">
        <v>0</v>
      </c>
      <c r="AW1303" s="53" t="n">
        <v>0</v>
      </c>
      <c r="AX1303" s="53" t="n">
        <v>0</v>
      </c>
      <c r="AY1303" s="52" t="n">
        <v>0</v>
      </c>
      <c r="AZ1303" s="52" t="n">
        <v>0</v>
      </c>
      <c r="BA1303" s="52" t="n">
        <v>0</v>
      </c>
      <c r="BB1303" s="52" t="n">
        <v>0</v>
      </c>
      <c r="BC1303" s="51" t="n">
        <v>0</v>
      </c>
      <c r="BD1303" s="51" t="n">
        <v>0</v>
      </c>
      <c r="BE1303" s="51" t="n">
        <v>0</v>
      </c>
      <c r="BF1303" s="51" t="n">
        <v>0</v>
      </c>
    </row>
    <row r="1304">
      <c r="A1304">
        <f>HYPERLINK("https://www.walmart.com/ip/371450378", "371450378")</f>
        <v/>
      </c>
      <c r="B1304" t="inlineStr">
        <is>
          <t>Sherpa Hood Wearable Blanket for Adult Women and Men, Super Soft Comfy Warm Plush Throw with Sleeves TV Blanket Wrap Robe Hoodie Cover for Lounge Chair Couch 72" x 55" Black</t>
        </is>
      </c>
      <c r="C1304" t="inlineStr">
        <is>
          <t>1TRSN410BK</t>
        </is>
      </c>
      <c r="D1304" t="inlineStr">
        <is>
          <t>Throws</t>
        </is>
      </c>
      <c r="E1304" t="inlineStr">
        <is>
          <t>Tirrinia</t>
        </is>
      </c>
      <c r="F1304" t="inlineStr">
        <is>
          <t>WFS,WFS Item</t>
        </is>
      </c>
      <c r="G1304" s="48" t="n">
        <v>0</v>
      </c>
      <c r="H1304" s="48" t="n">
        <v>0</v>
      </c>
      <c r="I1304" s="48" t="n">
        <v>0</v>
      </c>
      <c r="J1304" s="48" t="n">
        <v>0</v>
      </c>
      <c r="K1304" s="49" t="n">
        <v>0</v>
      </c>
      <c r="L1304" s="49" t="n">
        <v>0</v>
      </c>
      <c r="M1304" s="49" t="n">
        <v>0</v>
      </c>
      <c r="N1304" s="49" t="n">
        <v>0</v>
      </c>
      <c r="O1304" s="49" t="n">
        <v>0</v>
      </c>
      <c r="P1304" s="49" t="n">
        <v>0</v>
      </c>
      <c r="Q1304" s="49" t="n">
        <v>0</v>
      </c>
      <c r="R1304" s="49" t="n">
        <v>0</v>
      </c>
      <c r="S1304" s="50" t="n">
        <v>0</v>
      </c>
      <c r="T1304" s="50" t="n">
        <v>0</v>
      </c>
      <c r="U1304" s="50" t="n">
        <v>0</v>
      </c>
      <c r="V1304" s="50" t="n">
        <v>0</v>
      </c>
      <c r="W1304" s="51" t="n">
        <v>0</v>
      </c>
      <c r="X1304" s="51" t="n">
        <v>0</v>
      </c>
      <c r="Y1304" s="51" t="n">
        <v>0</v>
      </c>
      <c r="Z1304" s="51" t="n">
        <v>0</v>
      </c>
      <c r="AA1304" s="52" t="n">
        <v>0</v>
      </c>
      <c r="AB1304" s="52" t="n">
        <v>0</v>
      </c>
      <c r="AC1304" s="52" t="n">
        <v>0</v>
      </c>
      <c r="AD1304" s="52" t="n">
        <v>0</v>
      </c>
      <c r="AE1304" s="52" t="n">
        <v>0</v>
      </c>
      <c r="AF1304" s="52" t="n">
        <v>0</v>
      </c>
      <c r="AG1304" s="52" t="n">
        <v>0</v>
      </c>
      <c r="AH1304" s="52" t="n">
        <v>0</v>
      </c>
      <c r="AI1304" s="52" t="n">
        <v>0</v>
      </c>
      <c r="AJ1304" s="52" t="n">
        <v>0</v>
      </c>
      <c r="AK1304" s="52" t="n">
        <v>0</v>
      </c>
      <c r="AL1304" s="52" t="n">
        <v>0</v>
      </c>
      <c r="AM1304" s="53" t="n">
        <v>0</v>
      </c>
      <c r="AN1304" s="53" t="n">
        <v>0</v>
      </c>
      <c r="AO1304" s="53" t="n">
        <v>0</v>
      </c>
      <c r="AP1304" s="53" t="n">
        <v>0</v>
      </c>
      <c r="AQ1304" s="52" t="n">
        <v>0</v>
      </c>
      <c r="AR1304" s="52" t="n">
        <v>0</v>
      </c>
      <c r="AS1304" s="52" t="n">
        <v>0</v>
      </c>
      <c r="AT1304" s="52" t="n">
        <v>0</v>
      </c>
      <c r="AU1304" s="53" t="n">
        <v>0</v>
      </c>
      <c r="AV1304" s="53" t="n">
        <v>0</v>
      </c>
      <c r="AW1304" s="53" t="n">
        <v>0</v>
      </c>
      <c r="AX1304" s="53" t="n">
        <v>0</v>
      </c>
      <c r="AY1304" s="52" t="n">
        <v>0</v>
      </c>
      <c r="AZ1304" s="52" t="n">
        <v>0</v>
      </c>
      <c r="BA1304" s="52" t="n">
        <v>0</v>
      </c>
      <c r="BB1304" s="52" t="n">
        <v>0</v>
      </c>
      <c r="BC1304" s="51" t="n">
        <v>0</v>
      </c>
      <c r="BD1304" s="51" t="n">
        <v>0</v>
      </c>
      <c r="BE1304" s="51" t="n">
        <v>0</v>
      </c>
      <c r="BF1304" s="51" t="n">
        <v>0</v>
      </c>
    </row>
    <row r="1305">
      <c r="A1305">
        <f>HYPERLINK("https://www.walmart.com/ip/348595969", "348595969")</f>
        <v/>
      </c>
      <c r="B1305" t="inlineStr">
        <is>
          <t>KC Caps® Large 2 Pocket Bib Cooking Restaurant Kitchen Chef Apron Dress Canvas</t>
        </is>
      </c>
      <c r="C1305" t="inlineStr">
        <is>
          <t>KC-A9324-ROYAL</t>
        </is>
      </c>
      <c r="D1305" t="inlineStr">
        <is>
          <t>Cooking Aprons</t>
        </is>
      </c>
      <c r="E1305" t="inlineStr">
        <is>
          <t>KC Caps</t>
        </is>
      </c>
      <c r="F1305" t="inlineStr">
        <is>
          <t>Batch 1 - TR</t>
        </is>
      </c>
      <c r="G1305" s="48" t="n">
        <v>0</v>
      </c>
      <c r="H1305" s="48" t="n">
        <v>0</v>
      </c>
      <c r="I1305" s="48" t="n">
        <v>0</v>
      </c>
      <c r="J1305" s="48" t="n">
        <v>0</v>
      </c>
      <c r="K1305" s="49" t="n">
        <v>0</v>
      </c>
      <c r="L1305" s="49" t="n">
        <v>0</v>
      </c>
      <c r="M1305" s="49" t="n">
        <v>0</v>
      </c>
      <c r="N1305" s="49" t="n">
        <v>0</v>
      </c>
      <c r="O1305" s="49" t="n">
        <v>0</v>
      </c>
      <c r="P1305" s="49" t="n">
        <v>0</v>
      </c>
      <c r="Q1305" s="49" t="n">
        <v>0</v>
      </c>
      <c r="R1305" s="49" t="n">
        <v>0</v>
      </c>
      <c r="S1305" s="50" t="n">
        <v>0</v>
      </c>
      <c r="T1305" s="50" t="n">
        <v>0</v>
      </c>
      <c r="U1305" s="50" t="n">
        <v>0</v>
      </c>
      <c r="V1305" s="50" t="n">
        <v>0</v>
      </c>
      <c r="W1305" s="51" t="n">
        <v>0</v>
      </c>
      <c r="X1305" s="51" t="n">
        <v>0</v>
      </c>
      <c r="Y1305" s="51" t="n">
        <v>0</v>
      </c>
      <c r="Z1305" s="51" t="n">
        <v>0</v>
      </c>
      <c r="AA1305" s="52" t="n">
        <v>0</v>
      </c>
      <c r="AB1305" s="52" t="n">
        <v>0</v>
      </c>
      <c r="AC1305" s="52" t="n">
        <v>0</v>
      </c>
      <c r="AD1305" s="52" t="n">
        <v>0</v>
      </c>
      <c r="AE1305" s="52" t="n">
        <v>0</v>
      </c>
      <c r="AF1305" s="52" t="n">
        <v>0</v>
      </c>
      <c r="AG1305" s="52" t="n">
        <v>0</v>
      </c>
      <c r="AH1305" s="52" t="n">
        <v>0</v>
      </c>
      <c r="AI1305" s="52" t="n">
        <v>0</v>
      </c>
      <c r="AJ1305" s="52" t="n">
        <v>0</v>
      </c>
      <c r="AK1305" s="52" t="n">
        <v>0</v>
      </c>
      <c r="AL1305" s="52" t="n">
        <v>0</v>
      </c>
      <c r="AM1305" s="53" t="n">
        <v>0</v>
      </c>
      <c r="AN1305" s="53" t="n">
        <v>0</v>
      </c>
      <c r="AO1305" s="53" t="n">
        <v>0</v>
      </c>
      <c r="AP1305" s="53" t="n">
        <v>0</v>
      </c>
      <c r="AQ1305" s="52" t="n">
        <v>0</v>
      </c>
      <c r="AR1305" s="52" t="n">
        <v>0</v>
      </c>
      <c r="AS1305" s="52" t="n">
        <v>0</v>
      </c>
      <c r="AT1305" s="52" t="n">
        <v>0</v>
      </c>
      <c r="AU1305" s="53" t="n">
        <v>0</v>
      </c>
      <c r="AV1305" s="53" t="n">
        <v>0</v>
      </c>
      <c r="AW1305" s="53" t="n">
        <v>0</v>
      </c>
      <c r="AX1305" s="53" t="n">
        <v>0</v>
      </c>
      <c r="AY1305" s="52" t="n">
        <v>0</v>
      </c>
      <c r="AZ1305" s="52" t="n">
        <v>0</v>
      </c>
      <c r="BA1305" s="52" t="n">
        <v>0</v>
      </c>
      <c r="BB1305" s="52" t="n">
        <v>0</v>
      </c>
      <c r="BC1305" s="51" t="n">
        <v>0</v>
      </c>
      <c r="BD1305" s="51" t="n">
        <v>0</v>
      </c>
      <c r="BE1305" s="51" t="n">
        <v>0</v>
      </c>
      <c r="BF1305" s="51" t="n">
        <v>0</v>
      </c>
    </row>
    <row r="1306">
      <c r="A1306">
        <f>HYPERLINK("https://www.walmart.com/ip/371292642", "371292642")</f>
        <v/>
      </c>
      <c r="B1306" t="inlineStr">
        <is>
          <t>Stemless Insulated Wine Tumbler with Lid, 12oz 2 Pack Stainless Steel Double Walled Metal Wine &amp; Champagne Tumbler, Silver</t>
        </is>
      </c>
      <c r="C1306" t="inlineStr">
        <is>
          <t>1WMWT120SL-2PK</t>
        </is>
      </c>
      <c r="D1306" t="inlineStr">
        <is>
          <t>Tumblers</t>
        </is>
      </c>
      <c r="E1306" t="inlineStr">
        <is>
          <t>Flyingstar</t>
        </is>
      </c>
      <c r="F1306" t="inlineStr">
        <is>
          <t>Wine,Christmas,Valentine</t>
        </is>
      </c>
      <c r="G1306" s="48" t="n">
        <v>0</v>
      </c>
      <c r="H1306" s="48" t="n">
        <v>0</v>
      </c>
      <c r="I1306" s="48" t="n">
        <v>0</v>
      </c>
      <c r="J1306" s="48" t="n">
        <v>0</v>
      </c>
      <c r="K1306" s="49" t="n">
        <v>0</v>
      </c>
      <c r="L1306" s="49" t="n">
        <v>0</v>
      </c>
      <c r="M1306" s="49" t="n">
        <v>0</v>
      </c>
      <c r="N1306" s="49" t="n">
        <v>0</v>
      </c>
      <c r="O1306" s="49" t="n">
        <v>0</v>
      </c>
      <c r="P1306" s="49" t="n">
        <v>0</v>
      </c>
      <c r="Q1306" s="49" t="n">
        <v>0</v>
      </c>
      <c r="R1306" s="49" t="n">
        <v>0</v>
      </c>
      <c r="S1306" s="50" t="n">
        <v>0</v>
      </c>
      <c r="T1306" s="50" t="n">
        <v>0</v>
      </c>
      <c r="U1306" s="50" t="n">
        <v>0</v>
      </c>
      <c r="V1306" s="50" t="n">
        <v>0</v>
      </c>
      <c r="W1306" s="51" t="n">
        <v>0</v>
      </c>
      <c r="X1306" s="51" t="n">
        <v>0</v>
      </c>
      <c r="Y1306" s="51" t="n">
        <v>0</v>
      </c>
      <c r="Z1306" s="51" t="n">
        <v>0</v>
      </c>
      <c r="AA1306" s="52" t="n">
        <v>0</v>
      </c>
      <c r="AB1306" s="52" t="n">
        <v>0</v>
      </c>
      <c r="AC1306" s="52" t="n">
        <v>0</v>
      </c>
      <c r="AD1306" s="52" t="n">
        <v>0</v>
      </c>
      <c r="AE1306" s="52" t="n">
        <v>0</v>
      </c>
      <c r="AF1306" s="52" t="n">
        <v>0</v>
      </c>
      <c r="AG1306" s="52" t="n">
        <v>0</v>
      </c>
      <c r="AH1306" s="52" t="n">
        <v>0</v>
      </c>
      <c r="AI1306" s="52" t="n">
        <v>0</v>
      </c>
      <c r="AJ1306" s="52" t="n">
        <v>0</v>
      </c>
      <c r="AK1306" s="52" t="n">
        <v>0</v>
      </c>
      <c r="AL1306" s="52" t="n">
        <v>0</v>
      </c>
      <c r="AM1306" s="53" t="n">
        <v>0</v>
      </c>
      <c r="AN1306" s="53" t="n">
        <v>0</v>
      </c>
      <c r="AO1306" s="53" t="n">
        <v>0</v>
      </c>
      <c r="AP1306" s="53" t="n">
        <v>0</v>
      </c>
      <c r="AQ1306" s="52" t="n">
        <v>0</v>
      </c>
      <c r="AR1306" s="52" t="n">
        <v>0</v>
      </c>
      <c r="AS1306" s="52" t="n">
        <v>0</v>
      </c>
      <c r="AT1306" s="52" t="n">
        <v>0</v>
      </c>
      <c r="AU1306" s="53" t="n">
        <v>0</v>
      </c>
      <c r="AV1306" s="53" t="n">
        <v>0</v>
      </c>
      <c r="AW1306" s="53" t="n">
        <v>0</v>
      </c>
      <c r="AX1306" s="53" t="n">
        <v>0</v>
      </c>
      <c r="AY1306" s="52" t="n">
        <v>0</v>
      </c>
      <c r="AZ1306" s="52" t="n">
        <v>0</v>
      </c>
      <c r="BA1306" s="52" t="n">
        <v>0</v>
      </c>
      <c r="BB1306" s="52" t="n">
        <v>0</v>
      </c>
      <c r="BC1306" s="51" t="n">
        <v>0</v>
      </c>
      <c r="BD1306" s="51" t="n">
        <v>0</v>
      </c>
      <c r="BE1306" s="51" t="n">
        <v>0</v>
      </c>
      <c r="BF1306" s="51" t="n">
        <v>0</v>
      </c>
    </row>
    <row r="1307">
      <c r="A1307">
        <f>HYPERLINK("https://www.walmart.com/ip/14505655140", "14505655140")</f>
        <v/>
      </c>
      <c r="B1307" t="inlineStr">
        <is>
          <t>Catalonia Blanket Hoodie for Kids, Oversized Wearable Fleece Sweatshirt Pullover for 7-16 yr Teens Youth, Kids Gift Idea, Pink Dot</t>
        </is>
      </c>
      <c r="C1307" t="inlineStr">
        <is>
          <t>1CTOSH401PKDOT-FS</t>
        </is>
      </c>
      <c r="D1307" t="inlineStr">
        <is>
          <t>Sweatshirts &amp; Hoodies</t>
        </is>
      </c>
      <c r="E1307" t="inlineStr">
        <is>
          <t>Catalonia</t>
        </is>
      </c>
      <c r="G1307" s="48" t="n">
        <v>0</v>
      </c>
      <c r="H1307" s="48" t="n">
        <v>0</v>
      </c>
      <c r="I1307" s="48" t="n">
        <v>0</v>
      </c>
      <c r="J1307" s="48" t="n">
        <v>0</v>
      </c>
      <c r="K1307" s="49" t="n">
        <v>0</v>
      </c>
      <c r="L1307" s="49" t="n">
        <v>0</v>
      </c>
      <c r="M1307" s="49" t="n">
        <v>0</v>
      </c>
      <c r="N1307" s="49" t="n">
        <v>0</v>
      </c>
      <c r="O1307" s="49" t="n">
        <v>0</v>
      </c>
      <c r="P1307" s="49" t="n">
        <v>0</v>
      </c>
      <c r="Q1307" s="49" t="n">
        <v>0</v>
      </c>
      <c r="R1307" s="49" t="n">
        <v>0</v>
      </c>
      <c r="S1307" s="50" t="n">
        <v>0</v>
      </c>
      <c r="T1307" s="50" t="n">
        <v>0</v>
      </c>
      <c r="U1307" s="50" t="n">
        <v>0</v>
      </c>
      <c r="V1307" s="50" t="n">
        <v>0</v>
      </c>
      <c r="W1307" s="51" t="n">
        <v>0</v>
      </c>
      <c r="X1307" s="51" t="n">
        <v>0</v>
      </c>
      <c r="Y1307" s="51" t="n">
        <v>0</v>
      </c>
      <c r="Z1307" s="51" t="n">
        <v>0</v>
      </c>
      <c r="AA1307" s="52" t="n">
        <v>0</v>
      </c>
      <c r="AB1307" s="52" t="n">
        <v>0</v>
      </c>
      <c r="AC1307" s="52" t="n">
        <v>0</v>
      </c>
      <c r="AD1307" s="52" t="n">
        <v>0</v>
      </c>
      <c r="AE1307" s="52" t="n">
        <v>0</v>
      </c>
      <c r="AF1307" s="52" t="n">
        <v>0</v>
      </c>
      <c r="AG1307" s="52" t="n">
        <v>0</v>
      </c>
      <c r="AH1307" s="52" t="n">
        <v>0</v>
      </c>
      <c r="AI1307" s="52" t="n">
        <v>0</v>
      </c>
      <c r="AJ1307" s="52" t="n">
        <v>0</v>
      </c>
      <c r="AK1307" s="52" t="n">
        <v>0</v>
      </c>
      <c r="AL1307" s="52" t="n">
        <v>0</v>
      </c>
      <c r="AM1307" s="53" t="n">
        <v>0</v>
      </c>
      <c r="AN1307" s="53" t="n">
        <v>0</v>
      </c>
      <c r="AO1307" s="53" t="n">
        <v>0</v>
      </c>
      <c r="AP1307" s="53" t="n">
        <v>0</v>
      </c>
      <c r="AQ1307" s="52" t="n">
        <v>0</v>
      </c>
      <c r="AR1307" s="52" t="n">
        <v>0</v>
      </c>
      <c r="AS1307" s="52" t="n">
        <v>0</v>
      </c>
      <c r="AT1307" s="52" t="n">
        <v>0</v>
      </c>
      <c r="AU1307" s="53" t="n">
        <v>0</v>
      </c>
      <c r="AV1307" s="53" t="n">
        <v>0</v>
      </c>
      <c r="AW1307" s="53" t="n">
        <v>0</v>
      </c>
      <c r="AX1307" s="53" t="n">
        <v>0</v>
      </c>
      <c r="AY1307" s="52" t="n">
        <v>0</v>
      </c>
      <c r="AZ1307" s="52" t="n">
        <v>0</v>
      </c>
      <c r="BA1307" s="52" t="n">
        <v>0</v>
      </c>
      <c r="BB1307" s="52" t="n">
        <v>0</v>
      </c>
      <c r="BC1307" s="51" t="n">
        <v>0</v>
      </c>
      <c r="BD1307" s="51" t="n">
        <v>0</v>
      </c>
      <c r="BE1307" s="51" t="n">
        <v>0</v>
      </c>
      <c r="BF1307" s="51" t="n">
        <v>0</v>
      </c>
    </row>
    <row r="1308">
      <c r="A1308">
        <f>HYPERLINK("https://www.walmart.com/ip/14505655960", "14505655960")</f>
        <v/>
      </c>
      <c r="B1308" t="inlineStr">
        <is>
          <t>Ultra Long Fleece Blanket Hoodie Sweatshirt for Mens Womens, Full Body Warm Lounging Pullover, Southwestern Aztec - Catalonia</t>
        </is>
      </c>
      <c r="C1308" t="inlineStr">
        <is>
          <t>1CTOSH310SW-FS</t>
        </is>
      </c>
      <c r="D1308" t="inlineStr">
        <is>
          <t>Sweatshirts &amp; Hoodies</t>
        </is>
      </c>
      <c r="E1308" t="inlineStr">
        <is>
          <t>Catalonia</t>
        </is>
      </c>
      <c r="G1308" s="48" t="n">
        <v>0</v>
      </c>
      <c r="H1308" s="48" t="n">
        <v>0</v>
      </c>
      <c r="I1308" s="48" t="n">
        <v>0</v>
      </c>
      <c r="J1308" s="48" t="n">
        <v>0</v>
      </c>
      <c r="K1308" s="49" t="n">
        <v>0</v>
      </c>
      <c r="L1308" s="49" t="n">
        <v>0</v>
      </c>
      <c r="M1308" s="49" t="n">
        <v>0</v>
      </c>
      <c r="N1308" s="49" t="n">
        <v>0</v>
      </c>
      <c r="O1308" s="49" t="n">
        <v>0</v>
      </c>
      <c r="P1308" s="49" t="n">
        <v>0</v>
      </c>
      <c r="Q1308" s="49" t="n">
        <v>0</v>
      </c>
      <c r="R1308" s="49" t="n">
        <v>0</v>
      </c>
      <c r="S1308" s="50" t="n">
        <v>0</v>
      </c>
      <c r="T1308" s="50" t="n">
        <v>0</v>
      </c>
      <c r="U1308" s="50" t="n">
        <v>0</v>
      </c>
      <c r="V1308" s="50" t="n">
        <v>0</v>
      </c>
      <c r="W1308" s="51" t="n">
        <v>0</v>
      </c>
      <c r="X1308" s="51" t="n">
        <v>0</v>
      </c>
      <c r="Y1308" s="51" t="n">
        <v>0</v>
      </c>
      <c r="Z1308" s="51" t="n">
        <v>0</v>
      </c>
      <c r="AA1308" s="52" t="n">
        <v>0</v>
      </c>
      <c r="AB1308" s="52" t="n">
        <v>0</v>
      </c>
      <c r="AC1308" s="52" t="n">
        <v>0</v>
      </c>
      <c r="AD1308" s="52" t="n">
        <v>0</v>
      </c>
      <c r="AE1308" s="52" t="n">
        <v>0</v>
      </c>
      <c r="AF1308" s="52" t="n">
        <v>0</v>
      </c>
      <c r="AG1308" s="52" t="n">
        <v>0</v>
      </c>
      <c r="AH1308" s="52" t="n">
        <v>0</v>
      </c>
      <c r="AI1308" s="52" t="n">
        <v>0</v>
      </c>
      <c r="AJ1308" s="52" t="n">
        <v>0</v>
      </c>
      <c r="AK1308" s="52" t="n">
        <v>0</v>
      </c>
      <c r="AL1308" s="52" t="n">
        <v>0</v>
      </c>
      <c r="AM1308" s="53" t="n">
        <v>0</v>
      </c>
      <c r="AN1308" s="53" t="n">
        <v>0</v>
      </c>
      <c r="AO1308" s="53" t="n">
        <v>0</v>
      </c>
      <c r="AP1308" s="53" t="n">
        <v>0</v>
      </c>
      <c r="AQ1308" s="52" t="n">
        <v>0</v>
      </c>
      <c r="AR1308" s="52" t="n">
        <v>0</v>
      </c>
      <c r="AS1308" s="52" t="n">
        <v>0</v>
      </c>
      <c r="AT1308" s="52" t="n">
        <v>0</v>
      </c>
      <c r="AU1308" s="53" t="n">
        <v>0</v>
      </c>
      <c r="AV1308" s="53" t="n">
        <v>0</v>
      </c>
      <c r="AW1308" s="53" t="n">
        <v>0</v>
      </c>
      <c r="AX1308" s="53" t="n">
        <v>0</v>
      </c>
      <c r="AY1308" s="52" t="n">
        <v>0</v>
      </c>
      <c r="AZ1308" s="52" t="n">
        <v>0</v>
      </c>
      <c r="BA1308" s="52" t="n">
        <v>0</v>
      </c>
      <c r="BB1308" s="52" t="n">
        <v>0</v>
      </c>
      <c r="BC1308" s="51" t="n">
        <v>0</v>
      </c>
      <c r="BD1308" s="51" t="n">
        <v>0</v>
      </c>
      <c r="BE1308" s="51" t="n">
        <v>0</v>
      </c>
      <c r="BF1308" s="51" t="n">
        <v>0</v>
      </c>
    </row>
    <row r="1309">
      <c r="A1309">
        <f>HYPERLINK("https://www.walmart.com/ip/14505655972", "14505655972")</f>
        <v/>
      </c>
      <c r="B1309" t="inlineStr">
        <is>
          <t>Womens Oversized Flannel Blanket Hoodie Sweatshirt, Plush Fleece Lined Lounging Pullover, Christmas Gift for Women (Charcoal) - Catalonia</t>
        </is>
      </c>
      <c r="C1309" t="inlineStr">
        <is>
          <t>1CTOSH400BKASH-FS</t>
        </is>
      </c>
      <c r="D1309" t="inlineStr">
        <is>
          <t>Sweatshirts &amp; Hoodies</t>
        </is>
      </c>
      <c r="E1309" t="inlineStr">
        <is>
          <t>Catalonia</t>
        </is>
      </c>
      <c r="G1309" s="48" t="n">
        <v>0</v>
      </c>
      <c r="H1309" s="48" t="n">
        <v>0</v>
      </c>
      <c r="I1309" s="48" t="n">
        <v>0</v>
      </c>
      <c r="J1309" s="48" t="n">
        <v>0</v>
      </c>
      <c r="K1309" s="49" t="n">
        <v>0</v>
      </c>
      <c r="L1309" s="49" t="n">
        <v>0</v>
      </c>
      <c r="M1309" s="49" t="n">
        <v>0</v>
      </c>
      <c r="N1309" s="49" t="n">
        <v>0</v>
      </c>
      <c r="O1309" s="49" t="n">
        <v>0</v>
      </c>
      <c r="P1309" s="49" t="n">
        <v>0</v>
      </c>
      <c r="Q1309" s="49" t="n">
        <v>0</v>
      </c>
      <c r="R1309" s="49" t="n">
        <v>0</v>
      </c>
      <c r="S1309" s="50" t="n">
        <v>0</v>
      </c>
      <c r="T1309" s="50" t="n">
        <v>0</v>
      </c>
      <c r="U1309" s="50" t="n">
        <v>0</v>
      </c>
      <c r="V1309" s="50" t="n">
        <v>0</v>
      </c>
      <c r="W1309" s="51" t="n">
        <v>0</v>
      </c>
      <c r="X1309" s="51" t="n">
        <v>0</v>
      </c>
      <c r="Y1309" s="51" t="n">
        <v>0</v>
      </c>
      <c r="Z1309" s="51" t="n">
        <v>0</v>
      </c>
      <c r="AA1309" s="52" t="n">
        <v>0</v>
      </c>
      <c r="AB1309" s="52" t="n">
        <v>0</v>
      </c>
      <c r="AC1309" s="52" t="n">
        <v>0</v>
      </c>
      <c r="AD1309" s="52" t="n">
        <v>0</v>
      </c>
      <c r="AE1309" s="52" t="n">
        <v>0</v>
      </c>
      <c r="AF1309" s="52" t="n">
        <v>0</v>
      </c>
      <c r="AG1309" s="52" t="n">
        <v>0</v>
      </c>
      <c r="AH1309" s="52" t="n">
        <v>0</v>
      </c>
      <c r="AI1309" s="52" t="n">
        <v>0</v>
      </c>
      <c r="AJ1309" s="52" t="n">
        <v>0</v>
      </c>
      <c r="AK1309" s="52" t="n">
        <v>0</v>
      </c>
      <c r="AL1309" s="52" t="n">
        <v>0</v>
      </c>
      <c r="AM1309" s="53" t="n">
        <v>0</v>
      </c>
      <c r="AN1309" s="53" t="n">
        <v>0</v>
      </c>
      <c r="AO1309" s="53" t="n">
        <v>0</v>
      </c>
      <c r="AP1309" s="53" t="n">
        <v>0</v>
      </c>
      <c r="AQ1309" s="52" t="n">
        <v>0</v>
      </c>
      <c r="AR1309" s="52" t="n">
        <v>0</v>
      </c>
      <c r="AS1309" s="52" t="n">
        <v>0</v>
      </c>
      <c r="AT1309" s="52" t="n">
        <v>0</v>
      </c>
      <c r="AU1309" s="53" t="n">
        <v>0</v>
      </c>
      <c r="AV1309" s="53" t="n">
        <v>0</v>
      </c>
      <c r="AW1309" s="53" t="n">
        <v>0</v>
      </c>
      <c r="AX1309" s="53" t="n">
        <v>0</v>
      </c>
      <c r="AY1309" s="52" t="n">
        <v>0</v>
      </c>
      <c r="AZ1309" s="52" t="n">
        <v>0</v>
      </c>
      <c r="BA1309" s="52" t="n">
        <v>0</v>
      </c>
      <c r="BB1309" s="52" t="n">
        <v>0</v>
      </c>
      <c r="BC1309" s="51" t="n">
        <v>0</v>
      </c>
      <c r="BD1309" s="51" t="n">
        <v>0</v>
      </c>
      <c r="BE1309" s="51" t="n">
        <v>0</v>
      </c>
      <c r="BF1309" s="51" t="n">
        <v>0</v>
      </c>
    </row>
    <row r="1310">
      <c r="A1310">
        <f>HYPERLINK("https://www.walmart.com/ip/14505705633", "14505705633")</f>
        <v/>
      </c>
      <c r="B1310" t="inlineStr">
        <is>
          <t>Catalonia Blanket Hoodie for Kids, Oversized Wearable Fleece Sweatshirt Pullover for 7-16 yr Teens Youth, Kids Gift Idea, Latte</t>
        </is>
      </c>
      <c r="C1310" t="inlineStr">
        <is>
          <t>1CTOSH401LT-FS</t>
        </is>
      </c>
      <c r="D1310" t="inlineStr">
        <is>
          <t>Sweatshirts &amp; Hoodies</t>
        </is>
      </c>
      <c r="E1310" t="inlineStr">
        <is>
          <t>Catalonia</t>
        </is>
      </c>
      <c r="G1310" s="48" t="n">
        <v>0</v>
      </c>
      <c r="H1310" s="48" t="n">
        <v>0</v>
      </c>
      <c r="I1310" s="48" t="n">
        <v>0</v>
      </c>
      <c r="J1310" s="48" t="n">
        <v>0</v>
      </c>
      <c r="K1310" s="49" t="n">
        <v>0</v>
      </c>
      <c r="L1310" s="49" t="n">
        <v>0</v>
      </c>
      <c r="M1310" s="49" t="n">
        <v>0</v>
      </c>
      <c r="N1310" s="49" t="n">
        <v>0</v>
      </c>
      <c r="O1310" s="49" t="n">
        <v>0</v>
      </c>
      <c r="P1310" s="49" t="n">
        <v>0</v>
      </c>
      <c r="Q1310" s="49" t="n">
        <v>0</v>
      </c>
      <c r="R1310" s="49" t="n">
        <v>0</v>
      </c>
      <c r="S1310" s="50" t="n">
        <v>0</v>
      </c>
      <c r="T1310" s="50" t="n">
        <v>0</v>
      </c>
      <c r="U1310" s="50" t="n">
        <v>0</v>
      </c>
      <c r="V1310" s="50" t="n">
        <v>0</v>
      </c>
      <c r="W1310" s="51" t="n">
        <v>0</v>
      </c>
      <c r="X1310" s="51" t="n">
        <v>0</v>
      </c>
      <c r="Y1310" s="51" t="n">
        <v>0</v>
      </c>
      <c r="Z1310" s="51" t="n">
        <v>0</v>
      </c>
      <c r="AA1310" s="52" t="n">
        <v>0</v>
      </c>
      <c r="AB1310" s="52" t="n">
        <v>0</v>
      </c>
      <c r="AC1310" s="52" t="n">
        <v>0</v>
      </c>
      <c r="AD1310" s="52" t="n">
        <v>0</v>
      </c>
      <c r="AE1310" s="52" t="n">
        <v>0</v>
      </c>
      <c r="AF1310" s="52" t="n">
        <v>0</v>
      </c>
      <c r="AG1310" s="52" t="n">
        <v>0</v>
      </c>
      <c r="AH1310" s="52" t="n">
        <v>0</v>
      </c>
      <c r="AI1310" s="52" t="n">
        <v>0</v>
      </c>
      <c r="AJ1310" s="52" t="n">
        <v>0</v>
      </c>
      <c r="AK1310" s="52" t="n">
        <v>0</v>
      </c>
      <c r="AL1310" s="52" t="n">
        <v>0</v>
      </c>
      <c r="AM1310" s="53" t="n">
        <v>0</v>
      </c>
      <c r="AN1310" s="53" t="n">
        <v>0</v>
      </c>
      <c r="AO1310" s="53" t="n">
        <v>0</v>
      </c>
      <c r="AP1310" s="53" t="n">
        <v>0</v>
      </c>
      <c r="AQ1310" s="52" t="n">
        <v>0</v>
      </c>
      <c r="AR1310" s="52" t="n">
        <v>0</v>
      </c>
      <c r="AS1310" s="52" t="n">
        <v>0</v>
      </c>
      <c r="AT1310" s="52" t="n">
        <v>0</v>
      </c>
      <c r="AU1310" s="53" t="n">
        <v>0</v>
      </c>
      <c r="AV1310" s="53" t="n">
        <v>0</v>
      </c>
      <c r="AW1310" s="53" t="n">
        <v>0</v>
      </c>
      <c r="AX1310" s="53" t="n">
        <v>0</v>
      </c>
      <c r="AY1310" s="52" t="n">
        <v>0</v>
      </c>
      <c r="AZ1310" s="52" t="n">
        <v>0</v>
      </c>
      <c r="BA1310" s="52" t="n">
        <v>0</v>
      </c>
      <c r="BB1310" s="52" t="n">
        <v>0</v>
      </c>
      <c r="BC1310" s="51" t="n">
        <v>0</v>
      </c>
      <c r="BD1310" s="51" t="n">
        <v>0</v>
      </c>
      <c r="BE1310" s="51" t="n">
        <v>0</v>
      </c>
      <c r="BF1310" s="51" t="n">
        <v>0</v>
      </c>
    </row>
    <row r="1311">
      <c r="A1311">
        <f>HYPERLINK("https://www.walmart.com/ip/14505705639", "14505705639")</f>
        <v/>
      </c>
      <c r="B1311" t="inlineStr">
        <is>
          <t>Catalonia Oversized Blanket Hoodie Sweatshirt, Fleece Hooded Lounging Pullover with Giant Pocket, Birthday Gifts Christmas Gifts, Southwestern Aztec</t>
        </is>
      </c>
      <c r="C1311" t="inlineStr">
        <is>
          <t>1CTOSH300SW-FS</t>
        </is>
      </c>
      <c r="D1311" t="inlineStr">
        <is>
          <t>Sweatshirts &amp; Hoodies</t>
        </is>
      </c>
      <c r="E1311" t="inlineStr">
        <is>
          <t>Catalonia</t>
        </is>
      </c>
      <c r="G1311" s="48" t="n">
        <v>0</v>
      </c>
      <c r="H1311" s="48" t="n">
        <v>0</v>
      </c>
      <c r="I1311" s="48" t="n">
        <v>0</v>
      </c>
      <c r="J1311" s="48" t="n">
        <v>0</v>
      </c>
      <c r="K1311" s="49" t="n">
        <v>0</v>
      </c>
      <c r="L1311" s="49" t="n">
        <v>0</v>
      </c>
      <c r="M1311" s="49" t="n">
        <v>0</v>
      </c>
      <c r="N1311" s="49" t="n">
        <v>0</v>
      </c>
      <c r="O1311" s="49" t="n">
        <v>0</v>
      </c>
      <c r="P1311" s="49" t="n">
        <v>0</v>
      </c>
      <c r="Q1311" s="49" t="n">
        <v>0</v>
      </c>
      <c r="R1311" s="49" t="n">
        <v>0</v>
      </c>
      <c r="S1311" s="50" t="n">
        <v>0</v>
      </c>
      <c r="T1311" s="50" t="n">
        <v>0</v>
      </c>
      <c r="U1311" s="50" t="n">
        <v>0</v>
      </c>
      <c r="V1311" s="50" t="n">
        <v>0</v>
      </c>
      <c r="W1311" s="51" t="n">
        <v>0</v>
      </c>
      <c r="X1311" s="51" t="n">
        <v>0</v>
      </c>
      <c r="Y1311" s="51" t="n">
        <v>0</v>
      </c>
      <c r="Z1311" s="51" t="n">
        <v>0</v>
      </c>
      <c r="AA1311" s="52" t="n">
        <v>0</v>
      </c>
      <c r="AB1311" s="52" t="n">
        <v>0</v>
      </c>
      <c r="AC1311" s="52" t="n">
        <v>0</v>
      </c>
      <c r="AD1311" s="52" t="n">
        <v>0</v>
      </c>
      <c r="AE1311" s="52" t="n">
        <v>0</v>
      </c>
      <c r="AF1311" s="52" t="n">
        <v>0</v>
      </c>
      <c r="AG1311" s="52" t="n">
        <v>0</v>
      </c>
      <c r="AH1311" s="52" t="n">
        <v>0</v>
      </c>
      <c r="AI1311" s="52" t="n">
        <v>0</v>
      </c>
      <c r="AJ1311" s="52" t="n">
        <v>0</v>
      </c>
      <c r="AK1311" s="52" t="n">
        <v>0</v>
      </c>
      <c r="AL1311" s="52" t="n">
        <v>0</v>
      </c>
      <c r="AM1311" s="53" t="n">
        <v>0</v>
      </c>
      <c r="AN1311" s="53" t="n">
        <v>0</v>
      </c>
      <c r="AO1311" s="53" t="n">
        <v>0</v>
      </c>
      <c r="AP1311" s="53" t="n">
        <v>0</v>
      </c>
      <c r="AQ1311" s="52" t="n">
        <v>0</v>
      </c>
      <c r="AR1311" s="52" t="n">
        <v>0</v>
      </c>
      <c r="AS1311" s="52" t="n">
        <v>0</v>
      </c>
      <c r="AT1311" s="52" t="n">
        <v>0</v>
      </c>
      <c r="AU1311" s="53" t="n">
        <v>0</v>
      </c>
      <c r="AV1311" s="53" t="n">
        <v>0</v>
      </c>
      <c r="AW1311" s="53" t="n">
        <v>0</v>
      </c>
      <c r="AX1311" s="53" t="n">
        <v>0</v>
      </c>
      <c r="AY1311" s="52" t="n">
        <v>0</v>
      </c>
      <c r="AZ1311" s="52" t="n">
        <v>0</v>
      </c>
      <c r="BA1311" s="52" t="n">
        <v>0</v>
      </c>
      <c r="BB1311" s="52" t="n">
        <v>0</v>
      </c>
      <c r="BC1311" s="51" t="n">
        <v>0</v>
      </c>
      <c r="BD1311" s="51" t="n">
        <v>0</v>
      </c>
      <c r="BE1311" s="51" t="n">
        <v>0</v>
      </c>
      <c r="BF1311" s="51" t="n">
        <v>0</v>
      </c>
    </row>
    <row r="1312">
      <c r="A1312">
        <f>HYPERLINK("https://www.walmart.com/ip/14505710525", "14505710525")</f>
        <v/>
      </c>
      <c r="B1312" t="inlineStr">
        <is>
          <t>Catalonia Blanket Hoodie for Kids, Oversized Wearable Fleece Sweatshirt Pullover for 7-16 yr Teens Youth, Kids Gift Idea</t>
        </is>
      </c>
      <c r="C1312" t="inlineStr">
        <is>
          <t>1CTOSH401GYASH-FS</t>
        </is>
      </c>
      <c r="D1312" t="inlineStr">
        <is>
          <t>Sweatshirts &amp; Hoodies</t>
        </is>
      </c>
      <c r="E1312" t="inlineStr">
        <is>
          <t>Catalonia</t>
        </is>
      </c>
      <c r="G1312" s="48" t="n">
        <v>0</v>
      </c>
      <c r="H1312" s="48" t="n">
        <v>0</v>
      </c>
      <c r="I1312" s="48" t="n">
        <v>0</v>
      </c>
      <c r="J1312" s="48" t="n">
        <v>0</v>
      </c>
      <c r="K1312" s="49" t="n">
        <v>0</v>
      </c>
      <c r="L1312" s="49" t="n">
        <v>0</v>
      </c>
      <c r="M1312" s="49" t="n">
        <v>0</v>
      </c>
      <c r="N1312" s="49" t="n">
        <v>0</v>
      </c>
      <c r="O1312" s="49" t="n">
        <v>0</v>
      </c>
      <c r="P1312" s="49" t="n">
        <v>0</v>
      </c>
      <c r="Q1312" s="49" t="n">
        <v>0</v>
      </c>
      <c r="R1312" s="49" t="n">
        <v>0</v>
      </c>
      <c r="S1312" s="50" t="n">
        <v>0</v>
      </c>
      <c r="T1312" s="50" t="n">
        <v>0</v>
      </c>
      <c r="U1312" s="50" t="n">
        <v>0</v>
      </c>
      <c r="V1312" s="50" t="n">
        <v>0</v>
      </c>
      <c r="W1312" s="51" t="n">
        <v>0</v>
      </c>
      <c r="X1312" s="51" t="n">
        <v>0</v>
      </c>
      <c r="Y1312" s="51" t="n">
        <v>0</v>
      </c>
      <c r="Z1312" s="51" t="n">
        <v>0</v>
      </c>
      <c r="AA1312" s="52" t="n">
        <v>0</v>
      </c>
      <c r="AB1312" s="52" t="n">
        <v>0</v>
      </c>
      <c r="AC1312" s="52" t="n">
        <v>0</v>
      </c>
      <c r="AD1312" s="52" t="n">
        <v>0</v>
      </c>
      <c r="AE1312" s="52" t="n">
        <v>0</v>
      </c>
      <c r="AF1312" s="52" t="n">
        <v>0</v>
      </c>
      <c r="AG1312" s="52" t="n">
        <v>0</v>
      </c>
      <c r="AH1312" s="52" t="n">
        <v>0</v>
      </c>
      <c r="AI1312" s="52" t="n">
        <v>0</v>
      </c>
      <c r="AJ1312" s="52" t="n">
        <v>0</v>
      </c>
      <c r="AK1312" s="52" t="n">
        <v>0</v>
      </c>
      <c r="AL1312" s="52" t="n">
        <v>0</v>
      </c>
      <c r="AM1312" s="53" t="n">
        <v>0</v>
      </c>
      <c r="AN1312" s="53" t="n">
        <v>0</v>
      </c>
      <c r="AO1312" s="53" t="n">
        <v>0</v>
      </c>
      <c r="AP1312" s="53" t="n">
        <v>0</v>
      </c>
      <c r="AQ1312" s="52" t="n">
        <v>0</v>
      </c>
      <c r="AR1312" s="52" t="n">
        <v>0</v>
      </c>
      <c r="AS1312" s="52" t="n">
        <v>0</v>
      </c>
      <c r="AT1312" s="52" t="n">
        <v>0</v>
      </c>
      <c r="AU1312" s="53" t="n">
        <v>0</v>
      </c>
      <c r="AV1312" s="53" t="n">
        <v>0</v>
      </c>
      <c r="AW1312" s="53" t="n">
        <v>0</v>
      </c>
      <c r="AX1312" s="53" t="n">
        <v>0</v>
      </c>
      <c r="AY1312" s="52" t="n">
        <v>0</v>
      </c>
      <c r="AZ1312" s="52" t="n">
        <v>0</v>
      </c>
      <c r="BA1312" s="52" t="n">
        <v>0</v>
      </c>
      <c r="BB1312" s="52" t="n">
        <v>0</v>
      </c>
      <c r="BC1312" s="51" t="n">
        <v>0</v>
      </c>
      <c r="BD1312" s="51" t="n">
        <v>0</v>
      </c>
      <c r="BE1312" s="51" t="n">
        <v>0</v>
      </c>
      <c r="BF1312" s="51" t="n">
        <v>0</v>
      </c>
    </row>
    <row r="1313">
      <c r="A1313">
        <f>HYPERLINK("https://www.walmart.com/ip/14505710529", "14505710529")</f>
        <v/>
      </c>
      <c r="B1313" t="inlineStr">
        <is>
          <t>Catalonia Women's Hoodie Sweatshirt, Casual Pullover Sweater with front Pocket, Womens Fall Winter Clothing, Blanket Hoodie Sweatshirt, Dog Pattern</t>
        </is>
      </c>
      <c r="C1313" t="inlineStr">
        <is>
          <t>1CTOSH300S1GYDOG-FS</t>
        </is>
      </c>
      <c r="D1313" t="inlineStr">
        <is>
          <t>Sweatshirts &amp; Hoodies</t>
        </is>
      </c>
      <c r="E1313" t="inlineStr">
        <is>
          <t>Catalonia</t>
        </is>
      </c>
      <c r="G1313" s="48" t="n">
        <v>0</v>
      </c>
      <c r="H1313" s="48" t="n">
        <v>0</v>
      </c>
      <c r="I1313" s="48" t="n">
        <v>0</v>
      </c>
      <c r="J1313" s="48" t="n">
        <v>0</v>
      </c>
      <c r="K1313" s="49" t="n">
        <v>0</v>
      </c>
      <c r="L1313" s="49" t="n">
        <v>0</v>
      </c>
      <c r="M1313" s="49" t="n">
        <v>0</v>
      </c>
      <c r="N1313" s="49" t="n">
        <v>0</v>
      </c>
      <c r="O1313" s="49" t="n">
        <v>0</v>
      </c>
      <c r="P1313" s="49" t="n">
        <v>0</v>
      </c>
      <c r="Q1313" s="49" t="n">
        <v>0</v>
      </c>
      <c r="R1313" s="49" t="n">
        <v>0</v>
      </c>
      <c r="S1313" s="50" t="n">
        <v>0</v>
      </c>
      <c r="T1313" s="50" t="n">
        <v>0</v>
      </c>
      <c r="U1313" s="50" t="n">
        <v>0</v>
      </c>
      <c r="V1313" s="50" t="n">
        <v>0</v>
      </c>
      <c r="W1313" s="51" t="n">
        <v>0</v>
      </c>
      <c r="X1313" s="51" t="n">
        <v>0</v>
      </c>
      <c r="Y1313" s="51" t="n">
        <v>0</v>
      </c>
      <c r="Z1313" s="51" t="n">
        <v>0</v>
      </c>
      <c r="AA1313" s="52" t="n">
        <v>0</v>
      </c>
      <c r="AB1313" s="52" t="n">
        <v>0</v>
      </c>
      <c r="AC1313" s="52" t="n">
        <v>0</v>
      </c>
      <c r="AD1313" s="52" t="n">
        <v>0</v>
      </c>
      <c r="AE1313" s="52" t="n">
        <v>0</v>
      </c>
      <c r="AF1313" s="52" t="n">
        <v>0</v>
      </c>
      <c r="AG1313" s="52" t="n">
        <v>0</v>
      </c>
      <c r="AH1313" s="52" t="n">
        <v>0</v>
      </c>
      <c r="AI1313" s="52" t="n">
        <v>0</v>
      </c>
      <c r="AJ1313" s="52" t="n">
        <v>0</v>
      </c>
      <c r="AK1313" s="52" t="n">
        <v>0</v>
      </c>
      <c r="AL1313" s="52" t="n">
        <v>0</v>
      </c>
      <c r="AM1313" s="53" t="n">
        <v>0</v>
      </c>
      <c r="AN1313" s="53" t="n">
        <v>0</v>
      </c>
      <c r="AO1313" s="53" t="n">
        <v>0</v>
      </c>
      <c r="AP1313" s="53" t="n">
        <v>0</v>
      </c>
      <c r="AQ1313" s="52" t="n">
        <v>0</v>
      </c>
      <c r="AR1313" s="52" t="n">
        <v>0</v>
      </c>
      <c r="AS1313" s="52" t="n">
        <v>0</v>
      </c>
      <c r="AT1313" s="52" t="n">
        <v>0</v>
      </c>
      <c r="AU1313" s="53" t="n">
        <v>0</v>
      </c>
      <c r="AV1313" s="53" t="n">
        <v>0</v>
      </c>
      <c r="AW1313" s="53" t="n">
        <v>0</v>
      </c>
      <c r="AX1313" s="53" t="n">
        <v>0</v>
      </c>
      <c r="AY1313" s="52" t="n">
        <v>0</v>
      </c>
      <c r="AZ1313" s="52" t="n">
        <v>0</v>
      </c>
      <c r="BA1313" s="52" t="n">
        <v>0</v>
      </c>
      <c r="BB1313" s="52" t="n">
        <v>0</v>
      </c>
      <c r="BC1313" s="51" t="n">
        <v>0</v>
      </c>
      <c r="BD1313" s="51" t="n">
        <v>0</v>
      </c>
      <c r="BE1313" s="51" t="n">
        <v>0</v>
      </c>
      <c r="BF1313" s="51" t="n">
        <v>0</v>
      </c>
    </row>
    <row r="1314">
      <c r="A1314">
        <f>HYPERLINK("https://www.walmart.com/ip/14508550385", "14508550385")</f>
        <v/>
      </c>
      <c r="B1314" t="inlineStr">
        <is>
          <t>PEANUTS Womens 100% Cotton Family Matching Pajamas Holiday Festive Nightwear Sleepwear 2-Piece Sets for Christmas Gifts (Green Polka Dot, S)</t>
        </is>
      </c>
      <c r="C1314" t="inlineStr">
        <is>
          <t>PEA-PJS-FAMILY-WOMEN-GREEN-S</t>
        </is>
      </c>
      <c r="D1314" t="inlineStr">
        <is>
          <t>Pajamas</t>
        </is>
      </c>
      <c r="E1314" t="inlineStr">
        <is>
          <t>Peanuts</t>
        </is>
      </c>
      <c r="G1314" s="48" t="n">
        <v>0</v>
      </c>
      <c r="H1314" s="48" t="n">
        <v>0</v>
      </c>
      <c r="I1314" s="48" t="n">
        <v>0</v>
      </c>
      <c r="J1314" s="48" t="n">
        <v>0</v>
      </c>
      <c r="K1314" s="49" t="n">
        <v>0</v>
      </c>
      <c r="L1314" s="49" t="n">
        <v>0</v>
      </c>
      <c r="M1314" s="49" t="n">
        <v>0</v>
      </c>
      <c r="N1314" s="49" t="n">
        <v>0</v>
      </c>
      <c r="O1314" s="49" t="n">
        <v>0</v>
      </c>
      <c r="P1314" s="49" t="n">
        <v>0</v>
      </c>
      <c r="Q1314" s="49" t="n">
        <v>0</v>
      </c>
      <c r="R1314" s="49" t="n">
        <v>0</v>
      </c>
      <c r="S1314" s="50" t="n">
        <v>0</v>
      </c>
      <c r="T1314" s="50" t="n">
        <v>0</v>
      </c>
      <c r="U1314" s="50" t="n">
        <v>0</v>
      </c>
      <c r="V1314" s="50" t="n">
        <v>0</v>
      </c>
      <c r="W1314" s="51" t="n">
        <v>0</v>
      </c>
      <c r="X1314" s="51" t="n">
        <v>0</v>
      </c>
      <c r="Y1314" s="51" t="n">
        <v>0</v>
      </c>
      <c r="Z1314" s="51" t="n">
        <v>0</v>
      </c>
      <c r="AA1314" s="52" t="n">
        <v>0</v>
      </c>
      <c r="AB1314" s="52" t="n">
        <v>0</v>
      </c>
      <c r="AC1314" s="52" t="n">
        <v>0</v>
      </c>
      <c r="AD1314" s="52" t="n">
        <v>0</v>
      </c>
      <c r="AE1314" s="52" t="n">
        <v>0</v>
      </c>
      <c r="AF1314" s="52" t="n">
        <v>0</v>
      </c>
      <c r="AG1314" s="52" t="n">
        <v>0</v>
      </c>
      <c r="AH1314" s="52" t="n">
        <v>0</v>
      </c>
      <c r="AI1314" s="52" t="n">
        <v>0</v>
      </c>
      <c r="AJ1314" s="52" t="n">
        <v>0</v>
      </c>
      <c r="AK1314" s="52" t="n">
        <v>0</v>
      </c>
      <c r="AL1314" s="52" t="n">
        <v>0</v>
      </c>
      <c r="AM1314" s="53" t="n">
        <v>0</v>
      </c>
      <c r="AN1314" s="53" t="n">
        <v>0</v>
      </c>
      <c r="AO1314" s="53" t="n">
        <v>0</v>
      </c>
      <c r="AP1314" s="53" t="n">
        <v>0</v>
      </c>
      <c r="AQ1314" s="52" t="n">
        <v>0</v>
      </c>
      <c r="AR1314" s="52" t="n">
        <v>0</v>
      </c>
      <c r="AS1314" s="52" t="n">
        <v>0</v>
      </c>
      <c r="AT1314" s="52" t="n">
        <v>0</v>
      </c>
      <c r="AU1314" s="53" t="n">
        <v>0</v>
      </c>
      <c r="AV1314" s="53" t="n">
        <v>0</v>
      </c>
      <c r="AW1314" s="53" t="n">
        <v>0</v>
      </c>
      <c r="AX1314" s="53" t="n">
        <v>0</v>
      </c>
      <c r="AY1314" s="52" t="n">
        <v>0</v>
      </c>
      <c r="AZ1314" s="52" t="n">
        <v>0</v>
      </c>
      <c r="BA1314" s="52" t="n">
        <v>0</v>
      </c>
      <c r="BB1314" s="52" t="n">
        <v>0</v>
      </c>
      <c r="BC1314" s="51" t="n">
        <v>0</v>
      </c>
      <c r="BD1314" s="51" t="n">
        <v>0</v>
      </c>
      <c r="BE1314" s="51" t="n">
        <v>0</v>
      </c>
      <c r="BF1314" s="51" t="n">
        <v>0</v>
      </c>
    </row>
    <row r="1315">
      <c r="A1315">
        <f>HYPERLINK("https://www.walmart.com/ip/14508600270", "14508600270")</f>
        <v/>
      </c>
      <c r="B1315" t="inlineStr">
        <is>
          <t>PEANUTS Womens 100% Cotton Family Matching Pajamas Holiday Festive Nightwear Sleepwear 2-Piece Sets for Christmas Gifts (Red Polka Dot, XL)</t>
        </is>
      </c>
      <c r="C1315" t="inlineStr">
        <is>
          <t>PEA-PJS-FAMILY-WOMEN-RED-XL</t>
        </is>
      </c>
      <c r="D1315" t="inlineStr">
        <is>
          <t>Pajamas</t>
        </is>
      </c>
      <c r="E1315" t="inlineStr">
        <is>
          <t>Peanuts</t>
        </is>
      </c>
      <c r="G1315" s="48" t="n">
        <v>0</v>
      </c>
      <c r="H1315" s="48" t="n">
        <v>0</v>
      </c>
      <c r="I1315" s="48" t="n">
        <v>0</v>
      </c>
      <c r="J1315" s="48" t="n">
        <v>0</v>
      </c>
      <c r="K1315" s="49" t="n">
        <v>0</v>
      </c>
      <c r="L1315" s="49" t="n">
        <v>0</v>
      </c>
      <c r="M1315" s="49" t="n">
        <v>0</v>
      </c>
      <c r="N1315" s="49" t="n">
        <v>0</v>
      </c>
      <c r="O1315" s="49" t="n">
        <v>0</v>
      </c>
      <c r="P1315" s="49" t="n">
        <v>0</v>
      </c>
      <c r="Q1315" s="49" t="n">
        <v>0</v>
      </c>
      <c r="R1315" s="49" t="n">
        <v>0</v>
      </c>
      <c r="S1315" s="50" t="n">
        <v>0</v>
      </c>
      <c r="T1315" s="50" t="n">
        <v>0</v>
      </c>
      <c r="U1315" s="50" t="n">
        <v>0</v>
      </c>
      <c r="V1315" s="50" t="n">
        <v>0</v>
      </c>
      <c r="W1315" s="51" t="n">
        <v>0</v>
      </c>
      <c r="X1315" s="51" t="n">
        <v>0</v>
      </c>
      <c r="Y1315" s="51" t="n">
        <v>0</v>
      </c>
      <c r="Z1315" s="51" t="n">
        <v>0</v>
      </c>
      <c r="AA1315" s="52" t="n">
        <v>0</v>
      </c>
      <c r="AB1315" s="52" t="n">
        <v>0</v>
      </c>
      <c r="AC1315" s="52" t="n">
        <v>0</v>
      </c>
      <c r="AD1315" s="52" t="n">
        <v>0</v>
      </c>
      <c r="AE1315" s="52" t="n">
        <v>0</v>
      </c>
      <c r="AF1315" s="52" t="n">
        <v>0</v>
      </c>
      <c r="AG1315" s="52" t="n">
        <v>0</v>
      </c>
      <c r="AH1315" s="52" t="n">
        <v>0</v>
      </c>
      <c r="AI1315" s="52" t="n">
        <v>0</v>
      </c>
      <c r="AJ1315" s="52" t="n">
        <v>0</v>
      </c>
      <c r="AK1315" s="52" t="n">
        <v>0</v>
      </c>
      <c r="AL1315" s="52" t="n">
        <v>0</v>
      </c>
      <c r="AM1315" s="53" t="n">
        <v>0</v>
      </c>
      <c r="AN1315" s="53" t="n">
        <v>0</v>
      </c>
      <c r="AO1315" s="53" t="n">
        <v>0</v>
      </c>
      <c r="AP1315" s="53" t="n">
        <v>0</v>
      </c>
      <c r="AQ1315" s="52" t="n">
        <v>0</v>
      </c>
      <c r="AR1315" s="52" t="n">
        <v>0</v>
      </c>
      <c r="AS1315" s="52" t="n">
        <v>0</v>
      </c>
      <c r="AT1315" s="52" t="n">
        <v>0</v>
      </c>
      <c r="AU1315" s="53" t="n">
        <v>0</v>
      </c>
      <c r="AV1315" s="53" t="n">
        <v>0</v>
      </c>
      <c r="AW1315" s="53" t="n">
        <v>0</v>
      </c>
      <c r="AX1315" s="53" t="n">
        <v>0</v>
      </c>
      <c r="AY1315" s="52" t="n">
        <v>0</v>
      </c>
      <c r="AZ1315" s="52" t="n">
        <v>0</v>
      </c>
      <c r="BA1315" s="52" t="n">
        <v>0</v>
      </c>
      <c r="BB1315" s="52" t="n">
        <v>0</v>
      </c>
      <c r="BC1315" s="51" t="n">
        <v>0</v>
      </c>
      <c r="BD1315" s="51" t="n">
        <v>0</v>
      </c>
      <c r="BE1315" s="51" t="n">
        <v>0</v>
      </c>
      <c r="BF1315" s="51" t="n">
        <v>0</v>
      </c>
    </row>
    <row r="1316">
      <c r="A1316">
        <f>HYPERLINK("https://www.walmart.com/ip/14509171581", "14509171581")</f>
        <v/>
      </c>
      <c r="B1316" t="inlineStr">
        <is>
          <t>PEANUTS Toddler Boys Girls Snoopy Family Matching Pajamas Sleepwear 2-Piece Sets for Christmas with Woodstock Charlie Brown Linus (Red Polka Dot, 2T)</t>
        </is>
      </c>
      <c r="C1316" t="inlineStr">
        <is>
          <t>PEA-PJS-FAMILY-TODDLER-RED-2T</t>
        </is>
      </c>
      <c r="D1316" t="inlineStr">
        <is>
          <t>Pajamas</t>
        </is>
      </c>
      <c r="E1316" t="inlineStr">
        <is>
          <t>Peanuts</t>
        </is>
      </c>
      <c r="G1316" s="48" t="n">
        <v>0</v>
      </c>
      <c r="H1316" s="48" t="n">
        <v>0</v>
      </c>
      <c r="I1316" s="48" t="n">
        <v>0</v>
      </c>
      <c r="J1316" s="48" t="n">
        <v>0</v>
      </c>
      <c r="K1316" s="49" t="n">
        <v>0</v>
      </c>
      <c r="L1316" s="49" t="n">
        <v>0</v>
      </c>
      <c r="M1316" s="49" t="n">
        <v>0</v>
      </c>
      <c r="N1316" s="49" t="n">
        <v>0</v>
      </c>
      <c r="O1316" s="49" t="n">
        <v>0</v>
      </c>
      <c r="P1316" s="49" t="n">
        <v>0</v>
      </c>
      <c r="Q1316" s="49" t="n">
        <v>0</v>
      </c>
      <c r="R1316" s="49" t="n">
        <v>0</v>
      </c>
      <c r="S1316" s="50" t="n">
        <v>0</v>
      </c>
      <c r="T1316" s="50" t="n">
        <v>0</v>
      </c>
      <c r="U1316" s="50" t="n">
        <v>0</v>
      </c>
      <c r="V1316" s="50" t="n">
        <v>0</v>
      </c>
      <c r="W1316" s="51" t="n">
        <v>0</v>
      </c>
      <c r="X1316" s="51" t="n">
        <v>0</v>
      </c>
      <c r="Y1316" s="51" t="n">
        <v>0</v>
      </c>
      <c r="Z1316" s="51" t="n">
        <v>0</v>
      </c>
      <c r="AA1316" s="52" t="n">
        <v>0</v>
      </c>
      <c r="AB1316" s="52" t="n">
        <v>0</v>
      </c>
      <c r="AC1316" s="52" t="n">
        <v>0</v>
      </c>
      <c r="AD1316" s="52" t="n">
        <v>0</v>
      </c>
      <c r="AE1316" s="52" t="n">
        <v>0</v>
      </c>
      <c r="AF1316" s="52" t="n">
        <v>0</v>
      </c>
      <c r="AG1316" s="52" t="n">
        <v>0</v>
      </c>
      <c r="AH1316" s="52" t="n">
        <v>0</v>
      </c>
      <c r="AI1316" s="52" t="n">
        <v>0</v>
      </c>
      <c r="AJ1316" s="52" t="n">
        <v>0</v>
      </c>
      <c r="AK1316" s="52" t="n">
        <v>0</v>
      </c>
      <c r="AL1316" s="52" t="n">
        <v>0</v>
      </c>
      <c r="AM1316" s="53" t="n">
        <v>0</v>
      </c>
      <c r="AN1316" s="53" t="n">
        <v>0</v>
      </c>
      <c r="AO1316" s="53" t="n">
        <v>0</v>
      </c>
      <c r="AP1316" s="53" t="n">
        <v>0</v>
      </c>
      <c r="AQ1316" s="52" t="n">
        <v>0</v>
      </c>
      <c r="AR1316" s="52" t="n">
        <v>0</v>
      </c>
      <c r="AS1316" s="52" t="n">
        <v>0</v>
      </c>
      <c r="AT1316" s="52" t="n">
        <v>0</v>
      </c>
      <c r="AU1316" s="53" t="n">
        <v>0</v>
      </c>
      <c r="AV1316" s="53" t="n">
        <v>0</v>
      </c>
      <c r="AW1316" s="53" t="n">
        <v>0</v>
      </c>
      <c r="AX1316" s="53" t="n">
        <v>0</v>
      </c>
      <c r="AY1316" s="52" t="n">
        <v>0</v>
      </c>
      <c r="AZ1316" s="52" t="n">
        <v>0</v>
      </c>
      <c r="BA1316" s="52" t="n">
        <v>0</v>
      </c>
      <c r="BB1316" s="52" t="n">
        <v>0</v>
      </c>
      <c r="BC1316" s="51" t="n">
        <v>0</v>
      </c>
      <c r="BD1316" s="51" t="n">
        <v>0</v>
      </c>
      <c r="BE1316" s="51" t="n">
        <v>0</v>
      </c>
      <c r="BF1316" s="51" t="n">
        <v>0</v>
      </c>
    </row>
    <row r="1317">
      <c r="A1317">
        <f>HYPERLINK("https://www.walmart.com/ip/1451015655", "1451015655")</f>
        <v/>
      </c>
      <c r="B1317" t="inlineStr">
        <is>
          <t>Catalonia Oversized Hoodie Blanket with Zipper, Wearable Sherpa Sweatshirt Pullover, Soft Warm Comfortable Jacket for Adults Men Women, Red Checkered</t>
        </is>
      </c>
      <c r="C1317" t="inlineStr">
        <is>
          <t>1CTHD220P2RD</t>
        </is>
      </c>
      <c r="D1317" t="inlineStr">
        <is>
          <t>Sweatshirts &amp; Hoodies</t>
        </is>
      </c>
      <c r="E1317" t="inlineStr">
        <is>
          <t>Catalonia</t>
        </is>
      </c>
      <c r="F1317" t="inlineStr">
        <is>
          <t>Coupon_Discount</t>
        </is>
      </c>
      <c r="G1317" s="48" t="n">
        <v>0</v>
      </c>
      <c r="H1317" s="48" t="n">
        <v>0</v>
      </c>
      <c r="I1317" s="48" t="n">
        <v>0</v>
      </c>
      <c r="J1317" s="48" t="n">
        <v>0</v>
      </c>
      <c r="K1317" s="49" t="n">
        <v>0</v>
      </c>
      <c r="L1317" s="49" t="n">
        <v>0</v>
      </c>
      <c r="M1317" s="49" t="n">
        <v>0</v>
      </c>
      <c r="N1317" s="49" t="n">
        <v>0</v>
      </c>
      <c r="O1317" s="49" t="n">
        <v>0</v>
      </c>
      <c r="P1317" s="49" t="n">
        <v>0</v>
      </c>
      <c r="Q1317" s="49" t="n">
        <v>0</v>
      </c>
      <c r="R1317" s="49" t="n">
        <v>0</v>
      </c>
      <c r="S1317" s="50" t="n">
        <v>0</v>
      </c>
      <c r="T1317" s="50" t="n">
        <v>0</v>
      </c>
      <c r="U1317" s="50" t="n">
        <v>0</v>
      </c>
      <c r="V1317" s="50" t="n">
        <v>0</v>
      </c>
      <c r="W1317" s="51" t="n">
        <v>0</v>
      </c>
      <c r="X1317" s="51" t="n">
        <v>0</v>
      </c>
      <c r="Y1317" s="51" t="n">
        <v>0</v>
      </c>
      <c r="Z1317" s="51" t="n">
        <v>0</v>
      </c>
      <c r="AA1317" s="52" t="n">
        <v>0</v>
      </c>
      <c r="AB1317" s="52" t="n">
        <v>0</v>
      </c>
      <c r="AC1317" s="52" t="n">
        <v>0</v>
      </c>
      <c r="AD1317" s="52" t="n">
        <v>0</v>
      </c>
      <c r="AE1317" s="52" t="n">
        <v>0</v>
      </c>
      <c r="AF1317" s="52" t="n">
        <v>0</v>
      </c>
      <c r="AG1317" s="52" t="n">
        <v>0</v>
      </c>
      <c r="AH1317" s="52" t="n">
        <v>0</v>
      </c>
      <c r="AI1317" s="52" t="n">
        <v>0</v>
      </c>
      <c r="AJ1317" s="52" t="n">
        <v>0</v>
      </c>
      <c r="AK1317" s="52" t="n">
        <v>0</v>
      </c>
      <c r="AL1317" s="52" t="n">
        <v>0</v>
      </c>
      <c r="AM1317" s="53" t="n">
        <v>0</v>
      </c>
      <c r="AN1317" s="53" t="n">
        <v>0</v>
      </c>
      <c r="AO1317" s="53" t="n">
        <v>0</v>
      </c>
      <c r="AP1317" s="53" t="n">
        <v>0</v>
      </c>
      <c r="AQ1317" s="52" t="n">
        <v>0</v>
      </c>
      <c r="AR1317" s="52" t="n">
        <v>0</v>
      </c>
      <c r="AS1317" s="52" t="n">
        <v>0</v>
      </c>
      <c r="AT1317" s="52" t="n">
        <v>0</v>
      </c>
      <c r="AU1317" s="53" t="n">
        <v>0</v>
      </c>
      <c r="AV1317" s="53" t="n">
        <v>0</v>
      </c>
      <c r="AW1317" s="53" t="n">
        <v>0</v>
      </c>
      <c r="AX1317" s="53" t="n">
        <v>0</v>
      </c>
      <c r="AY1317" s="52" t="n">
        <v>0</v>
      </c>
      <c r="AZ1317" s="52" t="n">
        <v>0</v>
      </c>
      <c r="BA1317" s="52" t="n">
        <v>0</v>
      </c>
      <c r="BB1317" s="52" t="n">
        <v>0</v>
      </c>
      <c r="BC1317" s="51" t="n">
        <v>0</v>
      </c>
      <c r="BD1317" s="51" t="n">
        <v>0</v>
      </c>
      <c r="BE1317" s="51" t="n">
        <v>0</v>
      </c>
      <c r="BF1317" s="51" t="n">
        <v>0</v>
      </c>
    </row>
    <row r="1318">
      <c r="A1318">
        <f>HYPERLINK("https://www.walmart.com/ip/14510259690", "14510259690")</f>
        <v/>
      </c>
      <c r="B1318" t="inlineStr">
        <is>
          <t>PEANUTS Snoopy 100% Cotton Family Matching Pajamas Holiday 2-Piece Sets for Christmas with Woodstock Charlie Brown Linus for Baby (Red Polka Dot, 12M)</t>
        </is>
      </c>
      <c r="C1318" t="inlineStr">
        <is>
          <t>PEA-PJS-FAMILY-INFANT-RED-12M</t>
        </is>
      </c>
      <c r="D1318" t="inlineStr">
        <is>
          <t>Pajamas</t>
        </is>
      </c>
      <c r="E1318" t="inlineStr">
        <is>
          <t>Peanuts</t>
        </is>
      </c>
      <c r="G1318" s="48" t="n">
        <v>0</v>
      </c>
      <c r="H1318" s="48" t="n">
        <v>0</v>
      </c>
      <c r="I1318" s="48" t="n">
        <v>0</v>
      </c>
      <c r="J1318" s="48" t="n">
        <v>0</v>
      </c>
      <c r="K1318" s="49" t="n">
        <v>0</v>
      </c>
      <c r="L1318" s="49" t="n">
        <v>0</v>
      </c>
      <c r="M1318" s="49" t="n">
        <v>0</v>
      </c>
      <c r="N1318" s="49" t="n">
        <v>0</v>
      </c>
      <c r="O1318" s="49" t="n">
        <v>0</v>
      </c>
      <c r="P1318" s="49" t="n">
        <v>0</v>
      </c>
      <c r="Q1318" s="49" t="n">
        <v>0</v>
      </c>
      <c r="R1318" s="49" t="n">
        <v>0</v>
      </c>
      <c r="S1318" s="50" t="n">
        <v>0</v>
      </c>
      <c r="T1318" s="50" t="n">
        <v>0</v>
      </c>
      <c r="U1318" s="50" t="n">
        <v>0</v>
      </c>
      <c r="V1318" s="50" t="n">
        <v>0</v>
      </c>
      <c r="W1318" s="51" t="n">
        <v>0</v>
      </c>
      <c r="X1318" s="51" t="n">
        <v>0</v>
      </c>
      <c r="Y1318" s="51" t="n">
        <v>0</v>
      </c>
      <c r="Z1318" s="51" t="n">
        <v>0</v>
      </c>
      <c r="AA1318" s="52" t="n">
        <v>0</v>
      </c>
      <c r="AB1318" s="52" t="n">
        <v>0</v>
      </c>
      <c r="AC1318" s="52" t="n">
        <v>0</v>
      </c>
      <c r="AD1318" s="52" t="n">
        <v>0</v>
      </c>
      <c r="AE1318" s="52" t="n">
        <v>0</v>
      </c>
      <c r="AF1318" s="52" t="n">
        <v>0</v>
      </c>
      <c r="AG1318" s="52" t="n">
        <v>0</v>
      </c>
      <c r="AH1318" s="52" t="n">
        <v>0</v>
      </c>
      <c r="AI1318" s="52" t="n">
        <v>0</v>
      </c>
      <c r="AJ1318" s="52" t="n">
        <v>0</v>
      </c>
      <c r="AK1318" s="52" t="n">
        <v>0</v>
      </c>
      <c r="AL1318" s="52" t="n">
        <v>0</v>
      </c>
      <c r="AM1318" s="53" t="n">
        <v>0</v>
      </c>
      <c r="AN1318" s="53" t="n">
        <v>0</v>
      </c>
      <c r="AO1318" s="53" t="n">
        <v>0</v>
      </c>
      <c r="AP1318" s="53" t="n">
        <v>0</v>
      </c>
      <c r="AQ1318" s="52" t="n">
        <v>0</v>
      </c>
      <c r="AR1318" s="52" t="n">
        <v>0</v>
      </c>
      <c r="AS1318" s="52" t="n">
        <v>0</v>
      </c>
      <c r="AT1318" s="52" t="n">
        <v>0</v>
      </c>
      <c r="AU1318" s="53" t="n">
        <v>0</v>
      </c>
      <c r="AV1318" s="53" t="n">
        <v>0</v>
      </c>
      <c r="AW1318" s="53" t="n">
        <v>0</v>
      </c>
      <c r="AX1318" s="53" t="n">
        <v>0</v>
      </c>
      <c r="AY1318" s="52" t="n">
        <v>0</v>
      </c>
      <c r="AZ1318" s="52" t="n">
        <v>0</v>
      </c>
      <c r="BA1318" s="52" t="n">
        <v>0</v>
      </c>
      <c r="BB1318" s="52" t="n">
        <v>0</v>
      </c>
      <c r="BC1318" s="51" t="n">
        <v>0</v>
      </c>
      <c r="BD1318" s="51" t="n">
        <v>0</v>
      </c>
      <c r="BE1318" s="51" t="n">
        <v>0</v>
      </c>
      <c r="BF1318" s="51" t="n">
        <v>0</v>
      </c>
    </row>
    <row r="1319">
      <c r="A1319">
        <f>HYPERLINK("https://www.walmart.com/ip/14510359194", "14510359194")</f>
        <v/>
      </c>
      <c r="B1319" t="inlineStr">
        <is>
          <t>PEANUTS Snoopy 100% Cotton Family Matching Pajamas Holiday 2-Piece Sets for Christmas with Woodstock Charlie Brown Linus for Baby (Black Plaid, 6M)</t>
        </is>
      </c>
      <c r="C1319" t="inlineStr">
        <is>
          <t>PEA-PJS-FAMILY-INFANT-BLACKPLAID-6M</t>
        </is>
      </c>
      <c r="D1319" t="inlineStr">
        <is>
          <t>Pajamas</t>
        </is>
      </c>
      <c r="E1319" t="inlineStr">
        <is>
          <t>Peanuts</t>
        </is>
      </c>
      <c r="G1319" s="48" t="n">
        <v>0</v>
      </c>
      <c r="H1319" s="48" t="n">
        <v>0</v>
      </c>
      <c r="I1319" s="48" t="n">
        <v>0</v>
      </c>
      <c r="J1319" s="48" t="n">
        <v>0</v>
      </c>
      <c r="K1319" s="49" t="n">
        <v>0</v>
      </c>
      <c r="L1319" s="49" t="n">
        <v>0</v>
      </c>
      <c r="M1319" s="49" t="n">
        <v>0</v>
      </c>
      <c r="N1319" s="49" t="n">
        <v>0</v>
      </c>
      <c r="O1319" s="49" t="n">
        <v>0</v>
      </c>
      <c r="P1319" s="49" t="n">
        <v>0</v>
      </c>
      <c r="Q1319" s="49" t="n">
        <v>0</v>
      </c>
      <c r="R1319" s="49" t="n">
        <v>0</v>
      </c>
      <c r="S1319" s="50" t="n">
        <v>0</v>
      </c>
      <c r="T1319" s="50" t="n">
        <v>0</v>
      </c>
      <c r="U1319" s="50" t="n">
        <v>0</v>
      </c>
      <c r="V1319" s="50" t="n">
        <v>0</v>
      </c>
      <c r="W1319" s="51" t="n">
        <v>0</v>
      </c>
      <c r="X1319" s="51" t="n">
        <v>0</v>
      </c>
      <c r="Y1319" s="51" t="n">
        <v>0</v>
      </c>
      <c r="Z1319" s="51" t="n">
        <v>0</v>
      </c>
      <c r="AA1319" s="52" t="n">
        <v>0</v>
      </c>
      <c r="AB1319" s="52" t="n">
        <v>0</v>
      </c>
      <c r="AC1319" s="52" t="n">
        <v>0</v>
      </c>
      <c r="AD1319" s="52" t="n">
        <v>0</v>
      </c>
      <c r="AE1319" s="52" t="n">
        <v>0</v>
      </c>
      <c r="AF1319" s="52" t="n">
        <v>0</v>
      </c>
      <c r="AG1319" s="52" t="n">
        <v>0</v>
      </c>
      <c r="AH1319" s="52" t="n">
        <v>0</v>
      </c>
      <c r="AI1319" s="52" t="n">
        <v>0</v>
      </c>
      <c r="AJ1319" s="52" t="n">
        <v>0</v>
      </c>
      <c r="AK1319" s="52" t="n">
        <v>0</v>
      </c>
      <c r="AL1319" s="52" t="n">
        <v>0</v>
      </c>
      <c r="AM1319" s="53" t="n">
        <v>0</v>
      </c>
      <c r="AN1319" s="53" t="n">
        <v>0</v>
      </c>
      <c r="AO1319" s="53" t="n">
        <v>0</v>
      </c>
      <c r="AP1319" s="53" t="n">
        <v>0</v>
      </c>
      <c r="AQ1319" s="52" t="n">
        <v>0</v>
      </c>
      <c r="AR1319" s="52" t="n">
        <v>0</v>
      </c>
      <c r="AS1319" s="52" t="n">
        <v>0</v>
      </c>
      <c r="AT1319" s="52" t="n">
        <v>0</v>
      </c>
      <c r="AU1319" s="53" t="n">
        <v>0</v>
      </c>
      <c r="AV1319" s="53" t="n">
        <v>0</v>
      </c>
      <c r="AW1319" s="53" t="n">
        <v>0</v>
      </c>
      <c r="AX1319" s="53" t="n">
        <v>0</v>
      </c>
      <c r="AY1319" s="52" t="n">
        <v>0</v>
      </c>
      <c r="AZ1319" s="52" t="n">
        <v>0</v>
      </c>
      <c r="BA1319" s="52" t="n">
        <v>0</v>
      </c>
      <c r="BB1319" s="52" t="n">
        <v>0</v>
      </c>
      <c r="BC1319" s="51" t="n">
        <v>0</v>
      </c>
      <c r="BD1319" s="51" t="n">
        <v>0</v>
      </c>
      <c r="BE1319" s="51" t="n">
        <v>0</v>
      </c>
      <c r="BF1319" s="51" t="n">
        <v>0</v>
      </c>
    </row>
    <row r="1320">
      <c r="A1320">
        <f>HYPERLINK("https://www.walmart.com/ip/14510674941", "14510674941")</f>
        <v/>
      </c>
      <c r="B1320" t="inlineStr">
        <is>
          <t>PEANUTS Mens' Cotton Snoopy Family Matching Pajamas 2-Piece Sets for Christmas with Woodstock Charlie Brown Linus, Gift for him (Black Plaid, S)</t>
        </is>
      </c>
      <c r="C1320" t="inlineStr">
        <is>
          <t>PEA-PJS-FAMILY-MEN-BLACKPLAID-S</t>
        </is>
      </c>
      <c r="D1320" t="inlineStr">
        <is>
          <t>Pajamas</t>
        </is>
      </c>
      <c r="E1320" t="inlineStr">
        <is>
          <t>Peanuts</t>
        </is>
      </c>
      <c r="G1320" s="48" t="n">
        <v>0</v>
      </c>
      <c r="H1320" s="48" t="n">
        <v>0</v>
      </c>
      <c r="I1320" s="48" t="n">
        <v>0</v>
      </c>
      <c r="J1320" s="48" t="n">
        <v>0</v>
      </c>
      <c r="K1320" s="49" t="n">
        <v>0</v>
      </c>
      <c r="L1320" s="49" t="n">
        <v>0</v>
      </c>
      <c r="M1320" s="49" t="n">
        <v>0</v>
      </c>
      <c r="N1320" s="49" t="n">
        <v>0</v>
      </c>
      <c r="O1320" s="49" t="n">
        <v>0</v>
      </c>
      <c r="P1320" s="49" t="n">
        <v>0</v>
      </c>
      <c r="Q1320" s="49" t="n">
        <v>0</v>
      </c>
      <c r="R1320" s="49" t="n">
        <v>0</v>
      </c>
      <c r="S1320" s="50" t="n">
        <v>0</v>
      </c>
      <c r="T1320" s="50" t="n">
        <v>0</v>
      </c>
      <c r="U1320" s="50" t="n">
        <v>0</v>
      </c>
      <c r="V1320" s="50" t="n">
        <v>0</v>
      </c>
      <c r="W1320" s="51" t="n">
        <v>0</v>
      </c>
      <c r="X1320" s="51" t="n">
        <v>0</v>
      </c>
      <c r="Y1320" s="51" t="n">
        <v>0</v>
      </c>
      <c r="Z1320" s="51" t="n">
        <v>0</v>
      </c>
      <c r="AA1320" s="52" t="n">
        <v>0</v>
      </c>
      <c r="AB1320" s="52" t="n">
        <v>0</v>
      </c>
      <c r="AC1320" s="52" t="n">
        <v>0</v>
      </c>
      <c r="AD1320" s="52" t="n">
        <v>0</v>
      </c>
      <c r="AE1320" s="52" t="n">
        <v>0</v>
      </c>
      <c r="AF1320" s="52" t="n">
        <v>0</v>
      </c>
      <c r="AG1320" s="52" t="n">
        <v>0</v>
      </c>
      <c r="AH1320" s="52" t="n">
        <v>0</v>
      </c>
      <c r="AI1320" s="52" t="n">
        <v>0</v>
      </c>
      <c r="AJ1320" s="52" t="n">
        <v>0</v>
      </c>
      <c r="AK1320" s="52" t="n">
        <v>0</v>
      </c>
      <c r="AL1320" s="52" t="n">
        <v>0</v>
      </c>
      <c r="AM1320" s="53" t="n">
        <v>0</v>
      </c>
      <c r="AN1320" s="53" t="n">
        <v>0</v>
      </c>
      <c r="AO1320" s="53" t="n">
        <v>0</v>
      </c>
      <c r="AP1320" s="53" t="n">
        <v>0</v>
      </c>
      <c r="AQ1320" s="52" t="n">
        <v>0</v>
      </c>
      <c r="AR1320" s="52" t="n">
        <v>0</v>
      </c>
      <c r="AS1320" s="52" t="n">
        <v>0</v>
      </c>
      <c r="AT1320" s="52" t="n">
        <v>0</v>
      </c>
      <c r="AU1320" s="53" t="n">
        <v>0</v>
      </c>
      <c r="AV1320" s="53" t="n">
        <v>0</v>
      </c>
      <c r="AW1320" s="53" t="n">
        <v>0</v>
      </c>
      <c r="AX1320" s="53" t="n">
        <v>0</v>
      </c>
      <c r="AY1320" s="52" t="n">
        <v>0</v>
      </c>
      <c r="AZ1320" s="52" t="n">
        <v>0</v>
      </c>
      <c r="BA1320" s="52" t="n">
        <v>0</v>
      </c>
      <c r="BB1320" s="52" t="n">
        <v>0</v>
      </c>
      <c r="BC1320" s="51" t="n">
        <v>0</v>
      </c>
      <c r="BD1320" s="51" t="n">
        <v>0</v>
      </c>
      <c r="BE1320" s="51" t="n">
        <v>0</v>
      </c>
      <c r="BF1320" s="51" t="n">
        <v>0</v>
      </c>
    </row>
    <row r="1321">
      <c r="A1321">
        <f>HYPERLINK("https://www.walmart.com/ip/14510674943", "14510674943")</f>
        <v/>
      </c>
      <c r="B1321" t="inlineStr">
        <is>
          <t>PEANUTS Womens 100% Cotton Family Matching Pajamas Holiday Festive Nightwear Sleepwear 2-Piece Sets for Christmas Gifts (Black Plaid, XS)</t>
        </is>
      </c>
      <c r="C1321" t="inlineStr">
        <is>
          <t>PEA-PJS-FAMILY-WOMEN-BLACKPLAID-XS</t>
        </is>
      </c>
      <c r="D1321" t="inlineStr">
        <is>
          <t>Pajamas</t>
        </is>
      </c>
      <c r="E1321" t="inlineStr">
        <is>
          <t>Peanuts</t>
        </is>
      </c>
      <c r="G1321" s="48" t="n">
        <v>0</v>
      </c>
      <c r="H1321" s="48" t="n">
        <v>0</v>
      </c>
      <c r="I1321" s="48" t="n">
        <v>0</v>
      </c>
      <c r="J1321" s="48" t="n">
        <v>0</v>
      </c>
      <c r="K1321" s="49" t="n">
        <v>0</v>
      </c>
      <c r="L1321" s="49" t="n">
        <v>0</v>
      </c>
      <c r="M1321" s="49" t="n">
        <v>0</v>
      </c>
      <c r="N1321" s="49" t="n">
        <v>0</v>
      </c>
      <c r="O1321" s="49" t="n">
        <v>0</v>
      </c>
      <c r="P1321" s="49" t="n">
        <v>0</v>
      </c>
      <c r="Q1321" s="49" t="n">
        <v>0</v>
      </c>
      <c r="R1321" s="49" t="n">
        <v>0</v>
      </c>
      <c r="S1321" s="50" t="n">
        <v>0</v>
      </c>
      <c r="T1321" s="50" t="n">
        <v>0</v>
      </c>
      <c r="U1321" s="50" t="n">
        <v>0</v>
      </c>
      <c r="V1321" s="50" t="n">
        <v>0</v>
      </c>
      <c r="W1321" s="51" t="n">
        <v>0</v>
      </c>
      <c r="X1321" s="51" t="n">
        <v>0</v>
      </c>
      <c r="Y1321" s="51" t="n">
        <v>0</v>
      </c>
      <c r="Z1321" s="51" t="n">
        <v>0</v>
      </c>
      <c r="AA1321" s="52" t="n">
        <v>0</v>
      </c>
      <c r="AB1321" s="52" t="n">
        <v>0</v>
      </c>
      <c r="AC1321" s="52" t="n">
        <v>0</v>
      </c>
      <c r="AD1321" s="52" t="n">
        <v>0</v>
      </c>
      <c r="AE1321" s="52" t="n">
        <v>0</v>
      </c>
      <c r="AF1321" s="52" t="n">
        <v>0</v>
      </c>
      <c r="AG1321" s="52" t="n">
        <v>0</v>
      </c>
      <c r="AH1321" s="52" t="n">
        <v>0</v>
      </c>
      <c r="AI1321" s="52" t="n">
        <v>0</v>
      </c>
      <c r="AJ1321" s="52" t="n">
        <v>0</v>
      </c>
      <c r="AK1321" s="52" t="n">
        <v>0</v>
      </c>
      <c r="AL1321" s="52" t="n">
        <v>0</v>
      </c>
      <c r="AM1321" s="53" t="n">
        <v>0</v>
      </c>
      <c r="AN1321" s="53" t="n">
        <v>0</v>
      </c>
      <c r="AO1321" s="53" t="n">
        <v>0</v>
      </c>
      <c r="AP1321" s="53" t="n">
        <v>0</v>
      </c>
      <c r="AQ1321" s="52" t="n">
        <v>0</v>
      </c>
      <c r="AR1321" s="52" t="n">
        <v>0</v>
      </c>
      <c r="AS1321" s="52" t="n">
        <v>0</v>
      </c>
      <c r="AT1321" s="52" t="n">
        <v>0</v>
      </c>
      <c r="AU1321" s="53" t="n">
        <v>0</v>
      </c>
      <c r="AV1321" s="53" t="n">
        <v>0</v>
      </c>
      <c r="AW1321" s="53" t="n">
        <v>0</v>
      </c>
      <c r="AX1321" s="53" t="n">
        <v>0</v>
      </c>
      <c r="AY1321" s="52" t="n">
        <v>0</v>
      </c>
      <c r="AZ1321" s="52" t="n">
        <v>0</v>
      </c>
      <c r="BA1321" s="52" t="n">
        <v>0</v>
      </c>
      <c r="BB1321" s="52" t="n">
        <v>0</v>
      </c>
      <c r="BC1321" s="51" t="n">
        <v>0</v>
      </c>
      <c r="BD1321" s="51" t="n">
        <v>0</v>
      </c>
      <c r="BE1321" s="51" t="n">
        <v>0</v>
      </c>
      <c r="BF1321" s="51" t="n">
        <v>0</v>
      </c>
    </row>
    <row r="1322">
      <c r="A1322">
        <f>HYPERLINK("https://www.walmart.com/ip/14511051595", "14511051595")</f>
        <v/>
      </c>
      <c r="B1322" t="inlineStr">
        <is>
          <t>Aeropostale  Backpack for School, College, and Travel， Water Resistant Bookbag Lilac BOBA</t>
        </is>
      </c>
      <c r="C1322" t="inlineStr">
        <is>
          <t>1AEBPK92029LLBOBA</t>
        </is>
      </c>
      <c r="D1322" t="inlineStr">
        <is>
          <t>Backpacks</t>
        </is>
      </c>
      <c r="E1322" t="inlineStr">
        <is>
          <t>Aeropostale</t>
        </is>
      </c>
      <c r="G1322" s="48" t="n">
        <v>0</v>
      </c>
      <c r="H1322" s="48" t="n">
        <v>0</v>
      </c>
      <c r="I1322" s="48" t="n">
        <v>0</v>
      </c>
      <c r="J1322" s="48" t="n">
        <v>0</v>
      </c>
      <c r="K1322" s="49" t="n">
        <v>0</v>
      </c>
      <c r="L1322" s="49" t="n">
        <v>0</v>
      </c>
      <c r="M1322" s="49" t="n">
        <v>0</v>
      </c>
      <c r="N1322" s="49" t="n">
        <v>0</v>
      </c>
      <c r="O1322" s="49" t="n">
        <v>0</v>
      </c>
      <c r="P1322" s="49" t="n">
        <v>0</v>
      </c>
      <c r="Q1322" s="49" t="n">
        <v>0</v>
      </c>
      <c r="R1322" s="49" t="n">
        <v>0</v>
      </c>
      <c r="S1322" s="50" t="n">
        <v>0</v>
      </c>
      <c r="T1322" s="50" t="n">
        <v>0</v>
      </c>
      <c r="U1322" s="50" t="n">
        <v>0</v>
      </c>
      <c r="V1322" s="50" t="n">
        <v>0</v>
      </c>
      <c r="W1322" s="51" t="n">
        <v>0</v>
      </c>
      <c r="X1322" s="51" t="n">
        <v>0</v>
      </c>
      <c r="Y1322" s="51" t="n">
        <v>0</v>
      </c>
      <c r="Z1322" s="51" t="n">
        <v>0</v>
      </c>
      <c r="AA1322" s="52" t="n">
        <v>0</v>
      </c>
      <c r="AB1322" s="52" t="n">
        <v>0</v>
      </c>
      <c r="AC1322" s="52" t="n">
        <v>0</v>
      </c>
      <c r="AD1322" s="52" t="n">
        <v>0</v>
      </c>
      <c r="AE1322" s="52" t="n">
        <v>0</v>
      </c>
      <c r="AF1322" s="52" t="n">
        <v>0</v>
      </c>
      <c r="AG1322" s="52" t="n">
        <v>0</v>
      </c>
      <c r="AH1322" s="52" t="n">
        <v>0</v>
      </c>
      <c r="AI1322" s="52" t="n">
        <v>0</v>
      </c>
      <c r="AJ1322" s="52" t="n">
        <v>0</v>
      </c>
      <c r="AK1322" s="52" t="n">
        <v>0</v>
      </c>
      <c r="AL1322" s="52" t="n">
        <v>0</v>
      </c>
      <c r="AM1322" s="53" t="n">
        <v>0</v>
      </c>
      <c r="AN1322" s="53" t="n">
        <v>0</v>
      </c>
      <c r="AO1322" s="53" t="n">
        <v>0</v>
      </c>
      <c r="AP1322" s="53" t="n">
        <v>0</v>
      </c>
      <c r="AQ1322" s="52" t="n">
        <v>0</v>
      </c>
      <c r="AR1322" s="52" t="n">
        <v>0</v>
      </c>
      <c r="AS1322" s="52" t="n">
        <v>0</v>
      </c>
      <c r="AT1322" s="52" t="n">
        <v>0</v>
      </c>
      <c r="AU1322" s="53" t="n">
        <v>0</v>
      </c>
      <c r="AV1322" s="53" t="n">
        <v>0</v>
      </c>
      <c r="AW1322" s="53" t="n">
        <v>0</v>
      </c>
      <c r="AX1322" s="53" t="n">
        <v>0</v>
      </c>
      <c r="AY1322" s="52" t="n">
        <v>0</v>
      </c>
      <c r="AZ1322" s="52" t="n">
        <v>0</v>
      </c>
      <c r="BA1322" s="52" t="n">
        <v>0</v>
      </c>
      <c r="BB1322" s="52" t="n">
        <v>0</v>
      </c>
      <c r="BC1322" s="51" t="n">
        <v>0</v>
      </c>
      <c r="BD1322" s="51" t="n">
        <v>0</v>
      </c>
      <c r="BE1322" s="51" t="n">
        <v>0</v>
      </c>
      <c r="BF1322" s="51" t="n">
        <v>0</v>
      </c>
    </row>
    <row r="1323">
      <c r="A1323">
        <f>HYPERLINK("https://www.walmart.com/ip/14505655144", "14505655144")</f>
        <v/>
      </c>
      <c r="B1323" t="inlineStr">
        <is>
          <t>Womens Oversized Flannel Blanket Hoodie Sweatshirt, Plush Fleece Lined Lounging Pullover, Christmas Gift for Women (Cheetah) - Catalonia</t>
        </is>
      </c>
      <c r="C1323" t="inlineStr">
        <is>
          <t>1CTOSH400CHEETAH-FS</t>
        </is>
      </c>
      <c r="D1323" t="inlineStr">
        <is>
          <t>Sweatshirts &amp; Hoodies</t>
        </is>
      </c>
      <c r="E1323" t="inlineStr">
        <is>
          <t>Catalonia</t>
        </is>
      </c>
      <c r="G1323" s="48" t="n">
        <v>0</v>
      </c>
      <c r="H1323" s="48" t="n">
        <v>0</v>
      </c>
      <c r="I1323" s="48" t="n">
        <v>0</v>
      </c>
      <c r="J1323" s="48" t="n">
        <v>0</v>
      </c>
      <c r="K1323" s="49" t="n">
        <v>0</v>
      </c>
      <c r="L1323" s="49" t="n">
        <v>0</v>
      </c>
      <c r="M1323" s="49" t="n">
        <v>0</v>
      </c>
      <c r="N1323" s="49" t="n">
        <v>0</v>
      </c>
      <c r="O1323" s="49" t="n">
        <v>0</v>
      </c>
      <c r="P1323" s="49" t="n">
        <v>0</v>
      </c>
      <c r="Q1323" s="49" t="n">
        <v>0</v>
      </c>
      <c r="R1323" s="49" t="n">
        <v>0</v>
      </c>
      <c r="S1323" s="50" t="n">
        <v>0</v>
      </c>
      <c r="T1323" s="50" t="n">
        <v>0</v>
      </c>
      <c r="U1323" s="50" t="n">
        <v>0</v>
      </c>
      <c r="V1323" s="50" t="n">
        <v>0</v>
      </c>
      <c r="W1323" s="51" t="n">
        <v>0</v>
      </c>
      <c r="X1323" s="51" t="n">
        <v>0</v>
      </c>
      <c r="Y1323" s="51" t="n">
        <v>0</v>
      </c>
      <c r="Z1323" s="51" t="n">
        <v>0</v>
      </c>
      <c r="AA1323" s="52" t="n">
        <v>0</v>
      </c>
      <c r="AB1323" s="52" t="n">
        <v>0</v>
      </c>
      <c r="AC1323" s="52" t="n">
        <v>0</v>
      </c>
      <c r="AD1323" s="52" t="n">
        <v>0</v>
      </c>
      <c r="AE1323" s="52" t="n">
        <v>0</v>
      </c>
      <c r="AF1323" s="52" t="n">
        <v>0</v>
      </c>
      <c r="AG1323" s="52" t="n">
        <v>0</v>
      </c>
      <c r="AH1323" s="52" t="n">
        <v>0</v>
      </c>
      <c r="AI1323" s="52" t="n">
        <v>0</v>
      </c>
      <c r="AJ1323" s="52" t="n">
        <v>0</v>
      </c>
      <c r="AK1323" s="52" t="n">
        <v>0</v>
      </c>
      <c r="AL1323" s="52" t="n">
        <v>0</v>
      </c>
      <c r="AM1323" s="53" t="n">
        <v>0</v>
      </c>
      <c r="AN1323" s="53" t="n">
        <v>0</v>
      </c>
      <c r="AO1323" s="53" t="n">
        <v>0</v>
      </c>
      <c r="AP1323" s="53" t="n">
        <v>0</v>
      </c>
      <c r="AQ1323" s="52" t="n">
        <v>0</v>
      </c>
      <c r="AR1323" s="52" t="n">
        <v>0</v>
      </c>
      <c r="AS1323" s="52" t="n">
        <v>0</v>
      </c>
      <c r="AT1323" s="52" t="n">
        <v>0</v>
      </c>
      <c r="AU1323" s="53" t="n">
        <v>0</v>
      </c>
      <c r="AV1323" s="53" t="n">
        <v>0</v>
      </c>
      <c r="AW1323" s="53" t="n">
        <v>0</v>
      </c>
      <c r="AX1323" s="53" t="n">
        <v>0</v>
      </c>
      <c r="AY1323" s="52" t="n">
        <v>0</v>
      </c>
      <c r="AZ1323" s="52" t="n">
        <v>0</v>
      </c>
      <c r="BA1323" s="52" t="n">
        <v>0</v>
      </c>
      <c r="BB1323" s="52" t="n">
        <v>0</v>
      </c>
      <c r="BC1323" s="51" t="n">
        <v>0</v>
      </c>
      <c r="BD1323" s="51" t="n">
        <v>0</v>
      </c>
      <c r="BE1323" s="51" t="n">
        <v>0</v>
      </c>
      <c r="BF1323" s="51" t="n">
        <v>0</v>
      </c>
    </row>
    <row r="1324">
      <c r="A1324">
        <f>HYPERLINK("https://www.walmart.com/ip/14505610982", "14505610982")</f>
        <v/>
      </c>
      <c r="B1324" t="inlineStr">
        <is>
          <t>Womens Oversized Flannel Blanket Hoodie Sweatshirt, Plush Fleece Lined Lounging Pullover, Christmas Gift for Women (Black) - Catalonia</t>
        </is>
      </c>
      <c r="C1324" t="inlineStr">
        <is>
          <t>1CTOSH310S1PK-FS</t>
        </is>
      </c>
      <c r="D1324" t="inlineStr">
        <is>
          <t>Sweatshirts &amp; Hoodies</t>
        </is>
      </c>
      <c r="E1324" t="inlineStr">
        <is>
          <t>Catalonia</t>
        </is>
      </c>
      <c r="G1324" s="48" t="n">
        <v>0</v>
      </c>
      <c r="H1324" s="48" t="n">
        <v>0</v>
      </c>
      <c r="I1324" s="48" t="n">
        <v>0</v>
      </c>
      <c r="J1324" s="48" t="n">
        <v>0</v>
      </c>
      <c r="K1324" s="49" t="n">
        <v>0</v>
      </c>
      <c r="L1324" s="49" t="n">
        <v>0</v>
      </c>
      <c r="M1324" s="49" t="n">
        <v>0</v>
      </c>
      <c r="N1324" s="49" t="n">
        <v>0</v>
      </c>
      <c r="O1324" s="49" t="n">
        <v>0</v>
      </c>
      <c r="P1324" s="49" t="n">
        <v>0</v>
      </c>
      <c r="Q1324" s="49" t="n">
        <v>0</v>
      </c>
      <c r="R1324" s="49" t="n">
        <v>0</v>
      </c>
      <c r="S1324" s="50" t="n">
        <v>0</v>
      </c>
      <c r="T1324" s="50" t="n">
        <v>0</v>
      </c>
      <c r="U1324" s="50" t="n">
        <v>0</v>
      </c>
      <c r="V1324" s="50" t="n">
        <v>0</v>
      </c>
      <c r="W1324" s="51" t="n">
        <v>0</v>
      </c>
      <c r="X1324" s="51" t="n">
        <v>0</v>
      </c>
      <c r="Y1324" s="51" t="n">
        <v>0</v>
      </c>
      <c r="Z1324" s="51" t="n">
        <v>0</v>
      </c>
      <c r="AA1324" s="52" t="n">
        <v>0</v>
      </c>
      <c r="AB1324" s="52" t="n">
        <v>0</v>
      </c>
      <c r="AC1324" s="52" t="n">
        <v>0</v>
      </c>
      <c r="AD1324" s="52" t="n">
        <v>0</v>
      </c>
      <c r="AE1324" s="52" t="n">
        <v>0</v>
      </c>
      <c r="AF1324" s="52" t="n">
        <v>0</v>
      </c>
      <c r="AG1324" s="52" t="n">
        <v>0</v>
      </c>
      <c r="AH1324" s="52" t="n">
        <v>0</v>
      </c>
      <c r="AI1324" s="52" t="n">
        <v>0</v>
      </c>
      <c r="AJ1324" s="52" t="n">
        <v>0</v>
      </c>
      <c r="AK1324" s="52" t="n">
        <v>0</v>
      </c>
      <c r="AL1324" s="52" t="n">
        <v>0</v>
      </c>
      <c r="AM1324" s="53" t="n">
        <v>0</v>
      </c>
      <c r="AN1324" s="53" t="n">
        <v>0</v>
      </c>
      <c r="AO1324" s="53" t="n">
        <v>0</v>
      </c>
      <c r="AP1324" s="53" t="n">
        <v>0</v>
      </c>
      <c r="AQ1324" s="52" t="n">
        <v>0</v>
      </c>
      <c r="AR1324" s="52" t="n">
        <v>0</v>
      </c>
      <c r="AS1324" s="52" t="n">
        <v>0</v>
      </c>
      <c r="AT1324" s="52" t="n">
        <v>0</v>
      </c>
      <c r="AU1324" s="53" t="n">
        <v>0</v>
      </c>
      <c r="AV1324" s="53" t="n">
        <v>0</v>
      </c>
      <c r="AW1324" s="53" t="n">
        <v>0</v>
      </c>
      <c r="AX1324" s="53" t="n">
        <v>0</v>
      </c>
      <c r="AY1324" s="52" t="n">
        <v>0</v>
      </c>
      <c r="AZ1324" s="52" t="n">
        <v>0</v>
      </c>
      <c r="BA1324" s="52" t="n">
        <v>0</v>
      </c>
      <c r="BB1324" s="52" t="n">
        <v>0</v>
      </c>
      <c r="BC1324" s="51" t="n">
        <v>0</v>
      </c>
      <c r="BD1324" s="51" t="n">
        <v>0</v>
      </c>
      <c r="BE1324" s="51" t="n">
        <v>0</v>
      </c>
      <c r="BF1324" s="51" t="n">
        <v>0</v>
      </c>
    </row>
    <row r="1325">
      <c r="A1325">
        <f>HYPERLINK("https://www.walmart.com/ip/14514109808", "14514109808")</f>
        <v/>
      </c>
      <c r="B1325" t="inlineStr">
        <is>
          <t>PEANUTS Womens Family Matching Pajamas Comfy Cotton PJ Sleepwear 2-Piece Sets for Christmas with Woodstock Charlie Brown (Green Polka Dot, XL)</t>
        </is>
      </c>
      <c r="C1325" t="inlineStr">
        <is>
          <t>PEA-PJS-FAMILY-WOMEN-GREEN-XL</t>
        </is>
      </c>
      <c r="D1325" t="inlineStr">
        <is>
          <t>Pajamas</t>
        </is>
      </c>
      <c r="E1325" t="inlineStr">
        <is>
          <t>Peanuts</t>
        </is>
      </c>
      <c r="G1325" s="48" t="n">
        <v>0</v>
      </c>
      <c r="H1325" s="48" t="n">
        <v>0</v>
      </c>
      <c r="I1325" s="48" t="n">
        <v>0</v>
      </c>
      <c r="J1325" s="48" t="n">
        <v>0</v>
      </c>
      <c r="K1325" s="49" t="n">
        <v>0</v>
      </c>
      <c r="L1325" s="49" t="n">
        <v>0</v>
      </c>
      <c r="M1325" s="49" t="n">
        <v>0</v>
      </c>
      <c r="N1325" s="49" t="n">
        <v>0</v>
      </c>
      <c r="O1325" s="49" t="n">
        <v>0</v>
      </c>
      <c r="P1325" s="49" t="n">
        <v>0</v>
      </c>
      <c r="Q1325" s="49" t="n">
        <v>0</v>
      </c>
      <c r="R1325" s="49" t="n">
        <v>0</v>
      </c>
      <c r="S1325" s="50" t="n">
        <v>0</v>
      </c>
      <c r="T1325" s="50" t="n">
        <v>0</v>
      </c>
      <c r="U1325" s="50" t="n">
        <v>0</v>
      </c>
      <c r="V1325" s="50" t="n">
        <v>0</v>
      </c>
      <c r="W1325" s="51" t="n">
        <v>0</v>
      </c>
      <c r="X1325" s="51" t="n">
        <v>0</v>
      </c>
      <c r="Y1325" s="51" t="n">
        <v>0</v>
      </c>
      <c r="Z1325" s="51" t="n">
        <v>0</v>
      </c>
      <c r="AA1325" s="52" t="n">
        <v>0</v>
      </c>
      <c r="AB1325" s="52" t="n">
        <v>0</v>
      </c>
      <c r="AC1325" s="52" t="n">
        <v>0</v>
      </c>
      <c r="AD1325" s="52" t="n">
        <v>0</v>
      </c>
      <c r="AE1325" s="52" t="n">
        <v>0</v>
      </c>
      <c r="AF1325" s="52" t="n">
        <v>0</v>
      </c>
      <c r="AG1325" s="52" t="n">
        <v>0</v>
      </c>
      <c r="AH1325" s="52" t="n">
        <v>0</v>
      </c>
      <c r="AI1325" s="52" t="n">
        <v>0</v>
      </c>
      <c r="AJ1325" s="52" t="n">
        <v>0</v>
      </c>
      <c r="AK1325" s="52" t="n">
        <v>0</v>
      </c>
      <c r="AL1325" s="52" t="n">
        <v>0</v>
      </c>
      <c r="AM1325" s="53" t="n">
        <v>0</v>
      </c>
      <c r="AN1325" s="53" t="n">
        <v>0</v>
      </c>
      <c r="AO1325" s="53" t="n">
        <v>0</v>
      </c>
      <c r="AP1325" s="53" t="n">
        <v>0</v>
      </c>
      <c r="AQ1325" s="52" t="n">
        <v>0</v>
      </c>
      <c r="AR1325" s="52" t="n">
        <v>0</v>
      </c>
      <c r="AS1325" s="52" t="n">
        <v>0</v>
      </c>
      <c r="AT1325" s="52" t="n">
        <v>0</v>
      </c>
      <c r="AU1325" s="53" t="n">
        <v>0</v>
      </c>
      <c r="AV1325" s="53" t="n">
        <v>0</v>
      </c>
      <c r="AW1325" s="53" t="n">
        <v>0</v>
      </c>
      <c r="AX1325" s="53" t="n">
        <v>0</v>
      </c>
      <c r="AY1325" s="52" t="n">
        <v>0</v>
      </c>
      <c r="AZ1325" s="52" t="n">
        <v>0</v>
      </c>
      <c r="BA1325" s="52" t="n">
        <v>0</v>
      </c>
      <c r="BB1325" s="52" t="n">
        <v>0</v>
      </c>
      <c r="BC1325" s="51" t="n">
        <v>0</v>
      </c>
      <c r="BD1325" s="51" t="n">
        <v>0</v>
      </c>
      <c r="BE1325" s="51" t="n">
        <v>0</v>
      </c>
      <c r="BF1325" s="51" t="n">
        <v>0</v>
      </c>
    </row>
    <row r="1326">
      <c r="A1326">
        <f>HYPERLINK("https://www.walmart.com/ip/14505610242", "14505610242")</f>
        <v/>
      </c>
      <c r="B1326" t="inlineStr">
        <is>
          <t>Catalonia Women's Hoodie Sweatshirt, Casual Pullover Sweater with front Pocket, Womens Fall Winter Clothing, Blanket Hoodie Sweatshirt, Cotton Candy</t>
        </is>
      </c>
      <c r="C1326" t="inlineStr">
        <is>
          <t>1CTOSH300S1COTTONCANDY-FS</t>
        </is>
      </c>
      <c r="D1326" t="inlineStr">
        <is>
          <t>Sweatshirts &amp; Hoodies</t>
        </is>
      </c>
      <c r="E1326" t="inlineStr">
        <is>
          <t>Catalonia</t>
        </is>
      </c>
      <c r="G1326" s="48" t="n">
        <v>0</v>
      </c>
      <c r="H1326" s="48" t="n">
        <v>0</v>
      </c>
      <c r="I1326" s="48" t="n">
        <v>0</v>
      </c>
      <c r="J1326" s="48" t="n">
        <v>0</v>
      </c>
      <c r="K1326" s="49" t="n">
        <v>0</v>
      </c>
      <c r="L1326" s="49" t="n">
        <v>0</v>
      </c>
      <c r="M1326" s="49" t="n">
        <v>0</v>
      </c>
      <c r="N1326" s="49" t="n">
        <v>0</v>
      </c>
      <c r="O1326" s="49" t="n">
        <v>0</v>
      </c>
      <c r="P1326" s="49" t="n">
        <v>0</v>
      </c>
      <c r="Q1326" s="49" t="n">
        <v>0</v>
      </c>
      <c r="R1326" s="49" t="n">
        <v>0</v>
      </c>
      <c r="S1326" s="50" t="n">
        <v>0</v>
      </c>
      <c r="T1326" s="50" t="n">
        <v>0</v>
      </c>
      <c r="U1326" s="50" t="n">
        <v>0</v>
      </c>
      <c r="V1326" s="50" t="n">
        <v>0</v>
      </c>
      <c r="W1326" s="51" t="n">
        <v>0</v>
      </c>
      <c r="X1326" s="51" t="n">
        <v>0</v>
      </c>
      <c r="Y1326" s="51" t="n">
        <v>0</v>
      </c>
      <c r="Z1326" s="51" t="n">
        <v>0</v>
      </c>
      <c r="AA1326" s="52" t="n">
        <v>0</v>
      </c>
      <c r="AB1326" s="52" t="n">
        <v>0</v>
      </c>
      <c r="AC1326" s="52" t="n">
        <v>0</v>
      </c>
      <c r="AD1326" s="52" t="n">
        <v>0</v>
      </c>
      <c r="AE1326" s="52" t="n">
        <v>0</v>
      </c>
      <c r="AF1326" s="52" t="n">
        <v>0</v>
      </c>
      <c r="AG1326" s="52" t="n">
        <v>0</v>
      </c>
      <c r="AH1326" s="52" t="n">
        <v>0</v>
      </c>
      <c r="AI1326" s="52" t="n">
        <v>0</v>
      </c>
      <c r="AJ1326" s="52" t="n">
        <v>0</v>
      </c>
      <c r="AK1326" s="52" t="n">
        <v>0</v>
      </c>
      <c r="AL1326" s="52" t="n">
        <v>0</v>
      </c>
      <c r="AM1326" s="53" t="n">
        <v>0</v>
      </c>
      <c r="AN1326" s="53" t="n">
        <v>0</v>
      </c>
      <c r="AO1326" s="53" t="n">
        <v>0</v>
      </c>
      <c r="AP1326" s="53" t="n">
        <v>0</v>
      </c>
      <c r="AQ1326" s="52" t="n">
        <v>0</v>
      </c>
      <c r="AR1326" s="52" t="n">
        <v>0</v>
      </c>
      <c r="AS1326" s="52" t="n">
        <v>0</v>
      </c>
      <c r="AT1326" s="52" t="n">
        <v>0</v>
      </c>
      <c r="AU1326" s="53" t="n">
        <v>0</v>
      </c>
      <c r="AV1326" s="53" t="n">
        <v>0</v>
      </c>
      <c r="AW1326" s="53" t="n">
        <v>0</v>
      </c>
      <c r="AX1326" s="53" t="n">
        <v>0</v>
      </c>
      <c r="AY1326" s="52" t="n">
        <v>0</v>
      </c>
      <c r="AZ1326" s="52" t="n">
        <v>0</v>
      </c>
      <c r="BA1326" s="52" t="n">
        <v>0</v>
      </c>
      <c r="BB1326" s="52" t="n">
        <v>0</v>
      </c>
      <c r="BC1326" s="51" t="n">
        <v>0</v>
      </c>
      <c r="BD1326" s="51" t="n">
        <v>0</v>
      </c>
      <c r="BE1326" s="51" t="n">
        <v>0</v>
      </c>
      <c r="BF1326" s="51" t="n">
        <v>0</v>
      </c>
    </row>
    <row r="1327">
      <c r="A1327">
        <f>HYPERLINK("https://www.walmart.com/ip/14489068821", "14489068821")</f>
        <v/>
      </c>
      <c r="B1327" t="inlineStr">
        <is>
          <t>Tirrinia Womens' Hoodie Blanket Sweatshirt, Oversized Comfortable Fleece Giant Wearable Blankets, Hoodie Blanket for Men, Gift for Her Him, Latte</t>
        </is>
      </c>
      <c r="C1327" t="inlineStr">
        <is>
          <t>1TROSH400LT-FS</t>
        </is>
      </c>
      <c r="D1327" t="inlineStr">
        <is>
          <t>Sweatshirts &amp; Hoodies</t>
        </is>
      </c>
      <c r="E1327" t="inlineStr">
        <is>
          <t>Tirrinia</t>
        </is>
      </c>
      <c r="G1327" s="48" t="n">
        <v>0</v>
      </c>
      <c r="H1327" s="48" t="n">
        <v>0</v>
      </c>
      <c r="I1327" s="48" t="n">
        <v>0</v>
      </c>
      <c r="J1327" s="48" t="n">
        <v>0</v>
      </c>
      <c r="K1327" s="49" t="n">
        <v>0</v>
      </c>
      <c r="L1327" s="49" t="n">
        <v>0</v>
      </c>
      <c r="M1327" s="49" t="n">
        <v>0</v>
      </c>
      <c r="N1327" s="49" t="n">
        <v>0</v>
      </c>
      <c r="O1327" s="49" t="n">
        <v>0</v>
      </c>
      <c r="P1327" s="49" t="n">
        <v>0</v>
      </c>
      <c r="Q1327" s="49" t="n">
        <v>0</v>
      </c>
      <c r="R1327" s="49" t="n">
        <v>0</v>
      </c>
      <c r="S1327" s="50" t="n">
        <v>0</v>
      </c>
      <c r="T1327" s="50" t="n">
        <v>0</v>
      </c>
      <c r="U1327" s="50" t="n">
        <v>0</v>
      </c>
      <c r="V1327" s="50" t="n">
        <v>0</v>
      </c>
      <c r="W1327" s="51" t="n">
        <v>0</v>
      </c>
      <c r="X1327" s="51" t="n">
        <v>0</v>
      </c>
      <c r="Y1327" s="51" t="n">
        <v>0</v>
      </c>
      <c r="Z1327" s="51" t="n">
        <v>0</v>
      </c>
      <c r="AA1327" s="52" t="n">
        <v>0</v>
      </c>
      <c r="AB1327" s="52" t="n">
        <v>0</v>
      </c>
      <c r="AC1327" s="52" t="n">
        <v>0</v>
      </c>
      <c r="AD1327" s="52" t="n">
        <v>0</v>
      </c>
      <c r="AE1327" s="52" t="n">
        <v>0</v>
      </c>
      <c r="AF1327" s="52" t="n">
        <v>0</v>
      </c>
      <c r="AG1327" s="52" t="n">
        <v>0</v>
      </c>
      <c r="AH1327" s="52" t="n">
        <v>0</v>
      </c>
      <c r="AI1327" s="52" t="n">
        <v>0</v>
      </c>
      <c r="AJ1327" s="52" t="n">
        <v>0</v>
      </c>
      <c r="AK1327" s="52" t="n">
        <v>0</v>
      </c>
      <c r="AL1327" s="52" t="n">
        <v>0</v>
      </c>
      <c r="AM1327" s="53" t="n">
        <v>0</v>
      </c>
      <c r="AN1327" s="53" t="n">
        <v>0</v>
      </c>
      <c r="AO1327" s="53" t="n">
        <v>0</v>
      </c>
      <c r="AP1327" s="53" t="n">
        <v>0</v>
      </c>
      <c r="AQ1327" s="52" t="n">
        <v>0</v>
      </c>
      <c r="AR1327" s="52" t="n">
        <v>0</v>
      </c>
      <c r="AS1327" s="52" t="n">
        <v>0</v>
      </c>
      <c r="AT1327" s="52" t="n">
        <v>0</v>
      </c>
      <c r="AU1327" s="53" t="n">
        <v>0</v>
      </c>
      <c r="AV1327" s="53" t="n">
        <v>0</v>
      </c>
      <c r="AW1327" s="53" t="n">
        <v>0</v>
      </c>
      <c r="AX1327" s="53" t="n">
        <v>0</v>
      </c>
      <c r="AY1327" s="52" t="n">
        <v>0</v>
      </c>
      <c r="AZ1327" s="52" t="n">
        <v>0</v>
      </c>
      <c r="BA1327" s="52" t="n">
        <v>0</v>
      </c>
      <c r="BB1327" s="52" t="n">
        <v>0</v>
      </c>
      <c r="BC1327" s="51" t="n">
        <v>0</v>
      </c>
      <c r="BD1327" s="51" t="n">
        <v>0</v>
      </c>
      <c r="BE1327" s="51" t="n">
        <v>0</v>
      </c>
      <c r="BF1327" s="51" t="n">
        <v>0</v>
      </c>
    </row>
    <row r="1328">
      <c r="A1328">
        <f>HYPERLINK("https://www.walmart.com/ip/14489118467", "14489118467")</f>
        <v/>
      </c>
      <c r="B1328" t="inlineStr">
        <is>
          <t>Tirrinia Oversized Blanket Hoodie Sweatshirts, Wearable Fluffy Fleece Plush Blanket, Lightweight Cozy Sweatshirt Blanket Gift for Women Men, Black</t>
        </is>
      </c>
      <c r="C1328" t="inlineStr">
        <is>
          <t>1TROSH340PP-FS</t>
        </is>
      </c>
      <c r="D1328" t="inlineStr">
        <is>
          <t>Sweatshirts &amp; Hoodies</t>
        </is>
      </c>
      <c r="E1328" t="inlineStr">
        <is>
          <t>Tirrinia</t>
        </is>
      </c>
      <c r="G1328" s="48" t="n">
        <v>0</v>
      </c>
      <c r="H1328" s="48" t="n">
        <v>0</v>
      </c>
      <c r="I1328" s="48" t="n">
        <v>0</v>
      </c>
      <c r="J1328" s="48" t="n">
        <v>0</v>
      </c>
      <c r="K1328" s="49" t="n">
        <v>0</v>
      </c>
      <c r="L1328" s="49" t="n">
        <v>0</v>
      </c>
      <c r="M1328" s="49" t="n">
        <v>0</v>
      </c>
      <c r="N1328" s="49" t="n">
        <v>0</v>
      </c>
      <c r="O1328" s="49" t="n">
        <v>0</v>
      </c>
      <c r="P1328" s="49" t="n">
        <v>0</v>
      </c>
      <c r="Q1328" s="49" t="n">
        <v>0</v>
      </c>
      <c r="R1328" s="49" t="n">
        <v>0</v>
      </c>
      <c r="S1328" s="50" t="n">
        <v>0</v>
      </c>
      <c r="T1328" s="50" t="n">
        <v>0</v>
      </c>
      <c r="U1328" s="50" t="n">
        <v>0</v>
      </c>
      <c r="V1328" s="50" t="n">
        <v>0</v>
      </c>
      <c r="W1328" s="51" t="n">
        <v>0</v>
      </c>
      <c r="X1328" s="51" t="n">
        <v>0</v>
      </c>
      <c r="Y1328" s="51" t="n">
        <v>0</v>
      </c>
      <c r="Z1328" s="51" t="n">
        <v>0</v>
      </c>
      <c r="AA1328" s="52" t="n">
        <v>0</v>
      </c>
      <c r="AB1328" s="52" t="n">
        <v>0</v>
      </c>
      <c r="AC1328" s="52" t="n">
        <v>0</v>
      </c>
      <c r="AD1328" s="52" t="n">
        <v>0</v>
      </c>
      <c r="AE1328" s="52" t="n">
        <v>0</v>
      </c>
      <c r="AF1328" s="52" t="n">
        <v>0</v>
      </c>
      <c r="AG1328" s="52" t="n">
        <v>0</v>
      </c>
      <c r="AH1328" s="52" t="n">
        <v>0</v>
      </c>
      <c r="AI1328" s="52" t="n">
        <v>0</v>
      </c>
      <c r="AJ1328" s="52" t="n">
        <v>0</v>
      </c>
      <c r="AK1328" s="52" t="n">
        <v>0</v>
      </c>
      <c r="AL1328" s="52" t="n">
        <v>0</v>
      </c>
      <c r="AM1328" s="53" t="n">
        <v>0</v>
      </c>
      <c r="AN1328" s="53" t="n">
        <v>0</v>
      </c>
      <c r="AO1328" s="53" t="n">
        <v>0</v>
      </c>
      <c r="AP1328" s="53" t="n">
        <v>0</v>
      </c>
      <c r="AQ1328" s="52" t="n">
        <v>0</v>
      </c>
      <c r="AR1328" s="52" t="n">
        <v>0</v>
      </c>
      <c r="AS1328" s="52" t="n">
        <v>0</v>
      </c>
      <c r="AT1328" s="52" t="n">
        <v>0</v>
      </c>
      <c r="AU1328" s="53" t="n">
        <v>0</v>
      </c>
      <c r="AV1328" s="53" t="n">
        <v>0</v>
      </c>
      <c r="AW1328" s="53" t="n">
        <v>0</v>
      </c>
      <c r="AX1328" s="53" t="n">
        <v>0</v>
      </c>
      <c r="AY1328" s="52" t="n">
        <v>0</v>
      </c>
      <c r="AZ1328" s="52" t="n">
        <v>0</v>
      </c>
      <c r="BA1328" s="52" t="n">
        <v>0</v>
      </c>
      <c r="BB1328" s="52" t="n">
        <v>0</v>
      </c>
      <c r="BC1328" s="51" t="n">
        <v>0</v>
      </c>
      <c r="BD1328" s="51" t="n">
        <v>0</v>
      </c>
      <c r="BE1328" s="51" t="n">
        <v>0</v>
      </c>
      <c r="BF1328" s="51" t="n">
        <v>0</v>
      </c>
    </row>
    <row r="1329">
      <c r="A1329">
        <f>HYPERLINK("https://www.walmart.com/ip/144903691", "144903691")</f>
        <v/>
      </c>
      <c r="B1329" t="inlineStr">
        <is>
          <t>Women's Plus Size Floral Lace Mesh Chemise Sleepwear and G-string</t>
        </is>
      </c>
      <c r="C1329" t="inlineStr">
        <is>
          <t>JWBD05BK-XL</t>
        </is>
      </c>
      <c r="D1329" t="inlineStr">
        <is>
          <t>Lingerie Sets</t>
        </is>
      </c>
      <c r="E1329" t="inlineStr">
        <is>
          <t>JenniWears</t>
        </is>
      </c>
      <c r="F1329" t="inlineStr">
        <is>
          <t>Optimized,Valentine</t>
        </is>
      </c>
      <c r="G1329" s="48" t="n">
        <v>0</v>
      </c>
      <c r="H1329" s="48" t="n">
        <v>0</v>
      </c>
      <c r="I1329" s="48" t="n">
        <v>0</v>
      </c>
      <c r="J1329" s="48" t="n">
        <v>0</v>
      </c>
      <c r="K1329" s="49" t="n">
        <v>0</v>
      </c>
      <c r="L1329" s="49" t="n">
        <v>0</v>
      </c>
      <c r="M1329" s="49" t="n">
        <v>0</v>
      </c>
      <c r="N1329" s="49" t="n">
        <v>0</v>
      </c>
      <c r="O1329" s="49" t="n">
        <v>0</v>
      </c>
      <c r="P1329" s="49" t="n">
        <v>0</v>
      </c>
      <c r="Q1329" s="49" t="n">
        <v>0</v>
      </c>
      <c r="R1329" s="49" t="n">
        <v>0</v>
      </c>
      <c r="S1329" s="50" t="n">
        <v>0</v>
      </c>
      <c r="T1329" s="50" t="n">
        <v>0</v>
      </c>
      <c r="U1329" s="50" t="n">
        <v>0</v>
      </c>
      <c r="V1329" s="50" t="n">
        <v>0</v>
      </c>
      <c r="W1329" s="51" t="n">
        <v>0</v>
      </c>
      <c r="X1329" s="51" t="n">
        <v>0</v>
      </c>
      <c r="Y1329" s="51" t="n">
        <v>0</v>
      </c>
      <c r="Z1329" s="51" t="n">
        <v>0</v>
      </c>
      <c r="AA1329" s="52" t="n">
        <v>0</v>
      </c>
      <c r="AB1329" s="52" t="n">
        <v>0</v>
      </c>
      <c r="AC1329" s="52" t="n">
        <v>0</v>
      </c>
      <c r="AD1329" s="52" t="n">
        <v>0</v>
      </c>
      <c r="AE1329" s="52" t="n">
        <v>0</v>
      </c>
      <c r="AF1329" s="52" t="n">
        <v>0</v>
      </c>
      <c r="AG1329" s="52" t="n">
        <v>0</v>
      </c>
      <c r="AH1329" s="52" t="n">
        <v>0</v>
      </c>
      <c r="AI1329" s="52" t="n">
        <v>0</v>
      </c>
      <c r="AJ1329" s="52" t="n">
        <v>0</v>
      </c>
      <c r="AK1329" s="52" t="n">
        <v>0</v>
      </c>
      <c r="AL1329" s="52" t="n">
        <v>0</v>
      </c>
      <c r="AM1329" s="53" t="n">
        <v>0</v>
      </c>
      <c r="AN1329" s="53" t="n">
        <v>0</v>
      </c>
      <c r="AO1329" s="53" t="n">
        <v>0</v>
      </c>
      <c r="AP1329" s="53" t="n">
        <v>0</v>
      </c>
      <c r="AQ1329" s="52" t="n">
        <v>0</v>
      </c>
      <c r="AR1329" s="52" t="n">
        <v>0</v>
      </c>
      <c r="AS1329" s="52" t="n">
        <v>0</v>
      </c>
      <c r="AT1329" s="52" t="n">
        <v>0</v>
      </c>
      <c r="AU1329" s="53" t="n">
        <v>0</v>
      </c>
      <c r="AV1329" s="53" t="n">
        <v>0</v>
      </c>
      <c r="AW1329" s="53" t="n">
        <v>0</v>
      </c>
      <c r="AX1329" s="53" t="n">
        <v>0</v>
      </c>
      <c r="AY1329" s="52" t="n">
        <v>0</v>
      </c>
      <c r="AZ1329" s="52" t="n">
        <v>0</v>
      </c>
      <c r="BA1329" s="52" t="n">
        <v>0</v>
      </c>
      <c r="BB1329" s="52" t="n">
        <v>0</v>
      </c>
      <c r="BC1329" s="51" t="n">
        <v>0</v>
      </c>
      <c r="BD1329" s="51" t="n">
        <v>0</v>
      </c>
      <c r="BE1329" s="51" t="n">
        <v>0</v>
      </c>
      <c r="BF1329" s="51" t="n">
        <v>0</v>
      </c>
    </row>
    <row r="1330">
      <c r="A1330">
        <f>HYPERLINK("https://www.walmart.com/ip/14490451678", "14490451678")</f>
        <v/>
      </c>
      <c r="B1330" t="inlineStr">
        <is>
          <t>PEANUTS Womens 100% Cotton Family Matching Pajamas Holiday Festive Nightwear Sleepwear 2-Piece Sets for Christmas Gifts (Red Plaid, S)</t>
        </is>
      </c>
      <c r="C1330" t="inlineStr">
        <is>
          <t>PEA-PJS-FAMILY-WOMEN-REDPLAID-S</t>
        </is>
      </c>
      <c r="D1330" t="inlineStr">
        <is>
          <t>Pajamas</t>
        </is>
      </c>
      <c r="E1330" t="inlineStr">
        <is>
          <t>Peanuts</t>
        </is>
      </c>
      <c r="G1330" s="48" t="n">
        <v>0</v>
      </c>
      <c r="H1330" s="48" t="n">
        <v>0</v>
      </c>
      <c r="I1330" s="48" t="n">
        <v>0</v>
      </c>
      <c r="J1330" s="48" t="n">
        <v>0</v>
      </c>
      <c r="K1330" s="49" t="n">
        <v>0</v>
      </c>
      <c r="L1330" s="49" t="n">
        <v>0</v>
      </c>
      <c r="M1330" s="49" t="n">
        <v>0</v>
      </c>
      <c r="N1330" s="49" t="n">
        <v>0</v>
      </c>
      <c r="O1330" s="49" t="n">
        <v>0</v>
      </c>
      <c r="P1330" s="49" t="n">
        <v>0</v>
      </c>
      <c r="Q1330" s="49" t="n">
        <v>0</v>
      </c>
      <c r="R1330" s="49" t="n">
        <v>0</v>
      </c>
      <c r="S1330" s="50" t="n">
        <v>0</v>
      </c>
      <c r="T1330" s="50" t="n">
        <v>0</v>
      </c>
      <c r="U1330" s="50" t="n">
        <v>0</v>
      </c>
      <c r="V1330" s="50" t="n">
        <v>0</v>
      </c>
      <c r="W1330" s="51" t="n">
        <v>0</v>
      </c>
      <c r="X1330" s="51" t="n">
        <v>0</v>
      </c>
      <c r="Y1330" s="51" t="n">
        <v>0</v>
      </c>
      <c r="Z1330" s="51" t="n">
        <v>0</v>
      </c>
      <c r="AA1330" s="52" t="n">
        <v>0</v>
      </c>
      <c r="AB1330" s="52" t="n">
        <v>0</v>
      </c>
      <c r="AC1330" s="52" t="n">
        <v>0</v>
      </c>
      <c r="AD1330" s="52" t="n">
        <v>0</v>
      </c>
      <c r="AE1330" s="52" t="n">
        <v>0</v>
      </c>
      <c r="AF1330" s="52" t="n">
        <v>0</v>
      </c>
      <c r="AG1330" s="52" t="n">
        <v>0</v>
      </c>
      <c r="AH1330" s="52" t="n">
        <v>0</v>
      </c>
      <c r="AI1330" s="52" t="n">
        <v>0</v>
      </c>
      <c r="AJ1330" s="52" t="n">
        <v>0</v>
      </c>
      <c r="AK1330" s="52" t="n">
        <v>0</v>
      </c>
      <c r="AL1330" s="52" t="n">
        <v>0</v>
      </c>
      <c r="AM1330" s="53" t="n">
        <v>0</v>
      </c>
      <c r="AN1330" s="53" t="n">
        <v>0</v>
      </c>
      <c r="AO1330" s="53" t="n">
        <v>0</v>
      </c>
      <c r="AP1330" s="53" t="n">
        <v>0</v>
      </c>
      <c r="AQ1330" s="52" t="n">
        <v>0</v>
      </c>
      <c r="AR1330" s="52" t="n">
        <v>0</v>
      </c>
      <c r="AS1330" s="52" t="n">
        <v>0</v>
      </c>
      <c r="AT1330" s="52" t="n">
        <v>0</v>
      </c>
      <c r="AU1330" s="53" t="n">
        <v>0</v>
      </c>
      <c r="AV1330" s="53" t="n">
        <v>0</v>
      </c>
      <c r="AW1330" s="53" t="n">
        <v>0</v>
      </c>
      <c r="AX1330" s="53" t="n">
        <v>0</v>
      </c>
      <c r="AY1330" s="52" t="n">
        <v>0</v>
      </c>
      <c r="AZ1330" s="52" t="n">
        <v>0</v>
      </c>
      <c r="BA1330" s="52" t="n">
        <v>0</v>
      </c>
      <c r="BB1330" s="52" t="n">
        <v>0</v>
      </c>
      <c r="BC1330" s="51" t="n">
        <v>0</v>
      </c>
      <c r="BD1330" s="51" t="n">
        <v>0</v>
      </c>
      <c r="BE1330" s="51" t="n">
        <v>0</v>
      </c>
      <c r="BF1330" s="51" t="n">
        <v>0</v>
      </c>
    </row>
    <row r="1331">
      <c r="A1331">
        <f>HYPERLINK("https://www.walmart.com/ip/14490551303", "14490551303")</f>
        <v/>
      </c>
      <c r="B1331" t="inlineStr">
        <is>
          <t>PEANUTS Mens' Cotton Snoopy Family Matching Pajamas 2-Piece Sets for Christmas with Woodstock Charlie Brown Linus, Gift for him (Red Polka Dot, S)</t>
        </is>
      </c>
      <c r="C1331" t="inlineStr">
        <is>
          <t>PEA-PJS-FAMILY-MEN-RED-S</t>
        </is>
      </c>
      <c r="D1331" t="inlineStr">
        <is>
          <t>Pajamas</t>
        </is>
      </c>
      <c r="E1331" t="inlineStr">
        <is>
          <t>Peanuts</t>
        </is>
      </c>
      <c r="G1331" s="48" t="n">
        <v>0</v>
      </c>
      <c r="H1331" s="48" t="n">
        <v>0</v>
      </c>
      <c r="I1331" s="48" t="n">
        <v>0</v>
      </c>
      <c r="J1331" s="48" t="n">
        <v>0</v>
      </c>
      <c r="K1331" s="49" t="n">
        <v>0</v>
      </c>
      <c r="L1331" s="49" t="n">
        <v>0</v>
      </c>
      <c r="M1331" s="49" t="n">
        <v>0</v>
      </c>
      <c r="N1331" s="49" t="n">
        <v>0</v>
      </c>
      <c r="O1331" s="49" t="n">
        <v>0</v>
      </c>
      <c r="P1331" s="49" t="n">
        <v>0</v>
      </c>
      <c r="Q1331" s="49" t="n">
        <v>0</v>
      </c>
      <c r="R1331" s="49" t="n">
        <v>0</v>
      </c>
      <c r="S1331" s="50" t="n">
        <v>0</v>
      </c>
      <c r="T1331" s="50" t="n">
        <v>0</v>
      </c>
      <c r="U1331" s="50" t="n">
        <v>0</v>
      </c>
      <c r="V1331" s="50" t="n">
        <v>0</v>
      </c>
      <c r="W1331" s="51" t="n">
        <v>0</v>
      </c>
      <c r="X1331" s="51" t="n">
        <v>0</v>
      </c>
      <c r="Y1331" s="51" t="n">
        <v>0</v>
      </c>
      <c r="Z1331" s="51" t="n">
        <v>0</v>
      </c>
      <c r="AA1331" s="52" t="n">
        <v>0</v>
      </c>
      <c r="AB1331" s="52" t="n">
        <v>0</v>
      </c>
      <c r="AC1331" s="52" t="n">
        <v>0</v>
      </c>
      <c r="AD1331" s="52" t="n">
        <v>0</v>
      </c>
      <c r="AE1331" s="52" t="n">
        <v>0</v>
      </c>
      <c r="AF1331" s="52" t="n">
        <v>0</v>
      </c>
      <c r="AG1331" s="52" t="n">
        <v>0</v>
      </c>
      <c r="AH1331" s="52" t="n">
        <v>0</v>
      </c>
      <c r="AI1331" s="52" t="n">
        <v>0</v>
      </c>
      <c r="AJ1331" s="52" t="n">
        <v>0</v>
      </c>
      <c r="AK1331" s="52" t="n">
        <v>0</v>
      </c>
      <c r="AL1331" s="52" t="n">
        <v>0</v>
      </c>
      <c r="AM1331" s="53" t="n">
        <v>0</v>
      </c>
      <c r="AN1331" s="53" t="n">
        <v>0</v>
      </c>
      <c r="AO1331" s="53" t="n">
        <v>0</v>
      </c>
      <c r="AP1331" s="53" t="n">
        <v>0</v>
      </c>
      <c r="AQ1331" s="52" t="n">
        <v>0</v>
      </c>
      <c r="AR1331" s="52" t="n">
        <v>0</v>
      </c>
      <c r="AS1331" s="52" t="n">
        <v>0</v>
      </c>
      <c r="AT1331" s="52" t="n">
        <v>0</v>
      </c>
      <c r="AU1331" s="53" t="n">
        <v>0</v>
      </c>
      <c r="AV1331" s="53" t="n">
        <v>0</v>
      </c>
      <c r="AW1331" s="53" t="n">
        <v>0</v>
      </c>
      <c r="AX1331" s="53" t="n">
        <v>0</v>
      </c>
      <c r="AY1331" s="52" t="n">
        <v>0</v>
      </c>
      <c r="AZ1331" s="52" t="n">
        <v>0</v>
      </c>
      <c r="BA1331" s="52" t="n">
        <v>0</v>
      </c>
      <c r="BB1331" s="52" t="n">
        <v>0</v>
      </c>
      <c r="BC1331" s="51" t="n">
        <v>0</v>
      </c>
      <c r="BD1331" s="51" t="n">
        <v>0</v>
      </c>
      <c r="BE1331" s="51" t="n">
        <v>0</v>
      </c>
      <c r="BF1331" s="51" t="n">
        <v>0</v>
      </c>
    </row>
    <row r="1332">
      <c r="A1332">
        <f>HYPERLINK("https://www.walmart.com/ip/14490551305", "14490551305")</f>
        <v/>
      </c>
      <c r="B1332" t="inlineStr">
        <is>
          <t>PEANUTS Mens' Cotton Snoopy Family Matching Pajamas 2-Piece Sets for Christmas with Woodstock Charlie Brown Linus, Gift for him (Green Polka Dot, M)</t>
        </is>
      </c>
      <c r="C1332" t="inlineStr">
        <is>
          <t>PEA-PJS-FAMILY-MEN-GREEN-M</t>
        </is>
      </c>
      <c r="D1332" t="inlineStr">
        <is>
          <t>Pajamas</t>
        </is>
      </c>
      <c r="E1332" t="inlineStr">
        <is>
          <t>Peanuts</t>
        </is>
      </c>
      <c r="G1332" s="48" t="n">
        <v>0</v>
      </c>
      <c r="H1332" s="48" t="n">
        <v>0</v>
      </c>
      <c r="I1332" s="48" t="n">
        <v>0</v>
      </c>
      <c r="J1332" s="48" t="n">
        <v>0</v>
      </c>
      <c r="K1332" s="49" t="n">
        <v>0</v>
      </c>
      <c r="L1332" s="49" t="n">
        <v>0</v>
      </c>
      <c r="M1332" s="49" t="n">
        <v>0</v>
      </c>
      <c r="N1332" s="49" t="n">
        <v>0</v>
      </c>
      <c r="O1332" s="49" t="n">
        <v>0</v>
      </c>
      <c r="P1332" s="49" t="n">
        <v>0</v>
      </c>
      <c r="Q1332" s="49" t="n">
        <v>0</v>
      </c>
      <c r="R1332" s="49" t="n">
        <v>0</v>
      </c>
      <c r="S1332" s="50" t="n">
        <v>0</v>
      </c>
      <c r="T1332" s="50" t="n">
        <v>0</v>
      </c>
      <c r="U1332" s="50" t="n">
        <v>0</v>
      </c>
      <c r="V1332" s="50" t="n">
        <v>0</v>
      </c>
      <c r="W1332" s="51" t="n">
        <v>0</v>
      </c>
      <c r="X1332" s="51" t="n">
        <v>0</v>
      </c>
      <c r="Y1332" s="51" t="n">
        <v>0</v>
      </c>
      <c r="Z1332" s="51" t="n">
        <v>0</v>
      </c>
      <c r="AA1332" s="52" t="n">
        <v>0</v>
      </c>
      <c r="AB1332" s="52" t="n">
        <v>0</v>
      </c>
      <c r="AC1332" s="52" t="n">
        <v>0</v>
      </c>
      <c r="AD1332" s="52" t="n">
        <v>0</v>
      </c>
      <c r="AE1332" s="52" t="n">
        <v>0</v>
      </c>
      <c r="AF1332" s="52" t="n">
        <v>0</v>
      </c>
      <c r="AG1332" s="52" t="n">
        <v>0</v>
      </c>
      <c r="AH1332" s="52" t="n">
        <v>0</v>
      </c>
      <c r="AI1332" s="52" t="n">
        <v>0</v>
      </c>
      <c r="AJ1332" s="52" t="n">
        <v>0</v>
      </c>
      <c r="AK1332" s="52" t="n">
        <v>0</v>
      </c>
      <c r="AL1332" s="52" t="n">
        <v>0</v>
      </c>
      <c r="AM1332" s="53" t="n">
        <v>0</v>
      </c>
      <c r="AN1332" s="53" t="n">
        <v>0</v>
      </c>
      <c r="AO1332" s="53" t="n">
        <v>0</v>
      </c>
      <c r="AP1332" s="53" t="n">
        <v>0</v>
      </c>
      <c r="AQ1332" s="52" t="n">
        <v>0</v>
      </c>
      <c r="AR1332" s="52" t="n">
        <v>0</v>
      </c>
      <c r="AS1332" s="52" t="n">
        <v>0</v>
      </c>
      <c r="AT1332" s="52" t="n">
        <v>0</v>
      </c>
      <c r="AU1332" s="53" t="n">
        <v>0</v>
      </c>
      <c r="AV1332" s="53" t="n">
        <v>0</v>
      </c>
      <c r="AW1332" s="53" t="n">
        <v>0</v>
      </c>
      <c r="AX1332" s="53" t="n">
        <v>0</v>
      </c>
      <c r="AY1332" s="52" t="n">
        <v>0</v>
      </c>
      <c r="AZ1332" s="52" t="n">
        <v>0</v>
      </c>
      <c r="BA1332" s="52" t="n">
        <v>0</v>
      </c>
      <c r="BB1332" s="52" t="n">
        <v>0</v>
      </c>
      <c r="BC1332" s="51" t="n">
        <v>0</v>
      </c>
      <c r="BD1332" s="51" t="n">
        <v>0</v>
      </c>
      <c r="BE1332" s="51" t="n">
        <v>0</v>
      </c>
      <c r="BF1332" s="51" t="n">
        <v>0</v>
      </c>
    </row>
    <row r="1333">
      <c r="A1333">
        <f>HYPERLINK("https://www.walmart.com/ip/14490601203", "14490601203")</f>
        <v/>
      </c>
      <c r="B1333" t="inlineStr">
        <is>
          <t>PEANUTS Toddler Boys Girls Snoopy Family Matching Pajamas Sleepwear 2-Piece Sets for Christmas with Woodstock Charlie Brown Linus (Black Plaid, 5T)</t>
        </is>
      </c>
      <c r="C1333" t="inlineStr">
        <is>
          <t>PEA-PJS-FAMILY-TODDLER-BLACKPLAID-5T</t>
        </is>
      </c>
      <c r="D1333" t="inlineStr">
        <is>
          <t>Pajamas</t>
        </is>
      </c>
      <c r="E1333" t="inlineStr">
        <is>
          <t>Peanuts</t>
        </is>
      </c>
      <c r="G1333" s="48" t="n">
        <v>0</v>
      </c>
      <c r="H1333" s="48" t="n">
        <v>0</v>
      </c>
      <c r="I1333" s="48" t="n">
        <v>0</v>
      </c>
      <c r="J1333" s="48" t="n">
        <v>0</v>
      </c>
      <c r="K1333" s="49" t="n">
        <v>0</v>
      </c>
      <c r="L1333" s="49" t="n">
        <v>0</v>
      </c>
      <c r="M1333" s="49" t="n">
        <v>0</v>
      </c>
      <c r="N1333" s="49" t="n">
        <v>0</v>
      </c>
      <c r="O1333" s="49" t="n">
        <v>0</v>
      </c>
      <c r="P1333" s="49" t="n">
        <v>0</v>
      </c>
      <c r="Q1333" s="49" t="n">
        <v>0</v>
      </c>
      <c r="R1333" s="49" t="n">
        <v>0</v>
      </c>
      <c r="S1333" s="50" t="n">
        <v>0</v>
      </c>
      <c r="T1333" s="50" t="n">
        <v>0</v>
      </c>
      <c r="U1333" s="50" t="n">
        <v>0</v>
      </c>
      <c r="V1333" s="50" t="n">
        <v>0</v>
      </c>
      <c r="W1333" s="51" t="n">
        <v>0</v>
      </c>
      <c r="X1333" s="51" t="n">
        <v>0</v>
      </c>
      <c r="Y1333" s="51" t="n">
        <v>0</v>
      </c>
      <c r="Z1333" s="51" t="n">
        <v>0</v>
      </c>
      <c r="AA1333" s="52" t="n">
        <v>0</v>
      </c>
      <c r="AB1333" s="52" t="n">
        <v>0</v>
      </c>
      <c r="AC1333" s="52" t="n">
        <v>0</v>
      </c>
      <c r="AD1333" s="52" t="n">
        <v>0</v>
      </c>
      <c r="AE1333" s="52" t="n">
        <v>0</v>
      </c>
      <c r="AF1333" s="52" t="n">
        <v>0</v>
      </c>
      <c r="AG1333" s="52" t="n">
        <v>0</v>
      </c>
      <c r="AH1333" s="52" t="n">
        <v>0</v>
      </c>
      <c r="AI1333" s="52" t="n">
        <v>0</v>
      </c>
      <c r="AJ1333" s="52" t="n">
        <v>0</v>
      </c>
      <c r="AK1333" s="52" t="n">
        <v>0</v>
      </c>
      <c r="AL1333" s="52" t="n">
        <v>0</v>
      </c>
      <c r="AM1333" s="53" t="n">
        <v>0</v>
      </c>
      <c r="AN1333" s="53" t="n">
        <v>0</v>
      </c>
      <c r="AO1333" s="53" t="n">
        <v>0</v>
      </c>
      <c r="AP1333" s="53" t="n">
        <v>0</v>
      </c>
      <c r="AQ1333" s="52" t="n">
        <v>0</v>
      </c>
      <c r="AR1333" s="52" t="n">
        <v>0</v>
      </c>
      <c r="AS1333" s="52" t="n">
        <v>0</v>
      </c>
      <c r="AT1333" s="52" t="n">
        <v>0</v>
      </c>
      <c r="AU1333" s="53" t="n">
        <v>0</v>
      </c>
      <c r="AV1333" s="53" t="n">
        <v>0</v>
      </c>
      <c r="AW1333" s="53" t="n">
        <v>0</v>
      </c>
      <c r="AX1333" s="53" t="n">
        <v>0</v>
      </c>
      <c r="AY1333" s="52" t="n">
        <v>0</v>
      </c>
      <c r="AZ1333" s="52" t="n">
        <v>0</v>
      </c>
      <c r="BA1333" s="52" t="n">
        <v>0</v>
      </c>
      <c r="BB1333" s="52" t="n">
        <v>0</v>
      </c>
      <c r="BC1333" s="51" t="n">
        <v>0</v>
      </c>
      <c r="BD1333" s="51" t="n">
        <v>0</v>
      </c>
      <c r="BE1333" s="51" t="n">
        <v>0</v>
      </c>
      <c r="BF1333" s="51" t="n">
        <v>0</v>
      </c>
    </row>
    <row r="1334">
      <c r="A1334">
        <f>HYPERLINK("https://www.walmart.com/ip/14491120088", "14491120088")</f>
        <v/>
      </c>
      <c r="B1334" t="inlineStr">
        <is>
          <t>Tirrinia Womens' Hoodie Blanket Sweatshirt, Oversized Comfortable Fleece Giant Wearable Blankets, Hoodie Blanket for Men, Gift for Her Him, Red Solid</t>
        </is>
      </c>
      <c r="C1334" t="inlineStr">
        <is>
          <t>1TROSH400WN-FS</t>
        </is>
      </c>
      <c r="D1334" t="inlineStr">
        <is>
          <t>Sweatshirts &amp; Hoodies</t>
        </is>
      </c>
      <c r="E1334" t="inlineStr">
        <is>
          <t>Tirrinia</t>
        </is>
      </c>
      <c r="G1334" s="48" t="n">
        <v>0</v>
      </c>
      <c r="H1334" s="48" t="n">
        <v>0</v>
      </c>
      <c r="I1334" s="48" t="n">
        <v>0</v>
      </c>
      <c r="J1334" s="48" t="n">
        <v>0</v>
      </c>
      <c r="K1334" s="49" t="n">
        <v>0</v>
      </c>
      <c r="L1334" s="49" t="n">
        <v>0</v>
      </c>
      <c r="M1334" s="49" t="n">
        <v>0</v>
      </c>
      <c r="N1334" s="49" t="n">
        <v>0</v>
      </c>
      <c r="O1334" s="49" t="n">
        <v>0</v>
      </c>
      <c r="P1334" s="49" t="n">
        <v>0</v>
      </c>
      <c r="Q1334" s="49" t="n">
        <v>0</v>
      </c>
      <c r="R1334" s="49" t="n">
        <v>0</v>
      </c>
      <c r="S1334" s="50" t="n">
        <v>0</v>
      </c>
      <c r="T1334" s="50" t="n">
        <v>0</v>
      </c>
      <c r="U1334" s="50" t="n">
        <v>0</v>
      </c>
      <c r="V1334" s="50" t="n">
        <v>0</v>
      </c>
      <c r="W1334" s="51" t="n">
        <v>0</v>
      </c>
      <c r="X1334" s="51" t="n">
        <v>0</v>
      </c>
      <c r="Y1334" s="51" t="n">
        <v>0</v>
      </c>
      <c r="Z1334" s="51" t="n">
        <v>0</v>
      </c>
      <c r="AA1334" s="52" t="n">
        <v>0</v>
      </c>
      <c r="AB1334" s="52" t="n">
        <v>0</v>
      </c>
      <c r="AC1334" s="52" t="n">
        <v>0</v>
      </c>
      <c r="AD1334" s="52" t="n">
        <v>0</v>
      </c>
      <c r="AE1334" s="52" t="n">
        <v>0</v>
      </c>
      <c r="AF1334" s="52" t="n">
        <v>0</v>
      </c>
      <c r="AG1334" s="52" t="n">
        <v>0</v>
      </c>
      <c r="AH1334" s="52" t="n">
        <v>0</v>
      </c>
      <c r="AI1334" s="52" t="n">
        <v>0</v>
      </c>
      <c r="AJ1334" s="52" t="n">
        <v>0</v>
      </c>
      <c r="AK1334" s="52" t="n">
        <v>0</v>
      </c>
      <c r="AL1334" s="52" t="n">
        <v>0</v>
      </c>
      <c r="AM1334" s="53" t="n">
        <v>0</v>
      </c>
      <c r="AN1334" s="53" t="n">
        <v>0</v>
      </c>
      <c r="AO1334" s="53" t="n">
        <v>0</v>
      </c>
      <c r="AP1334" s="53" t="n">
        <v>0</v>
      </c>
      <c r="AQ1334" s="52" t="n">
        <v>0</v>
      </c>
      <c r="AR1334" s="52" t="n">
        <v>0</v>
      </c>
      <c r="AS1334" s="52" t="n">
        <v>0</v>
      </c>
      <c r="AT1334" s="52" t="n">
        <v>0</v>
      </c>
      <c r="AU1334" s="53" t="n">
        <v>0</v>
      </c>
      <c r="AV1334" s="53" t="n">
        <v>0</v>
      </c>
      <c r="AW1334" s="53" t="n">
        <v>0</v>
      </c>
      <c r="AX1334" s="53" t="n">
        <v>0</v>
      </c>
      <c r="AY1334" s="52" t="n">
        <v>0</v>
      </c>
      <c r="AZ1334" s="52" t="n">
        <v>0</v>
      </c>
      <c r="BA1334" s="52" t="n">
        <v>0</v>
      </c>
      <c r="BB1334" s="52" t="n">
        <v>0</v>
      </c>
      <c r="BC1334" s="51" t="n">
        <v>0</v>
      </c>
      <c r="BD1334" s="51" t="n">
        <v>0</v>
      </c>
      <c r="BE1334" s="51" t="n">
        <v>0</v>
      </c>
      <c r="BF1334" s="51" t="n">
        <v>0</v>
      </c>
    </row>
    <row r="1335">
      <c r="A1335">
        <f>HYPERLINK("https://www.walmart.com/ip/14492273638", "14492273638")</f>
        <v/>
      </c>
      <c r="B1335" t="inlineStr">
        <is>
          <t>PEANUTS Womens 100% Cotton Family Matching Pajamas Holiday Festive Nightwear Sleepwear 2-Piece Sets for Christmas Gifts (Green Polka Dot, L)</t>
        </is>
      </c>
      <c r="C1335" t="inlineStr">
        <is>
          <t>PEA-PJS-FAMILY-WOMEN-GREEN-L</t>
        </is>
      </c>
      <c r="D1335" t="inlineStr">
        <is>
          <t>Pajamas</t>
        </is>
      </c>
      <c r="E1335" t="inlineStr">
        <is>
          <t>Peanuts</t>
        </is>
      </c>
      <c r="G1335" s="48" t="n">
        <v>0</v>
      </c>
      <c r="H1335" s="48" t="n">
        <v>0</v>
      </c>
      <c r="I1335" s="48" t="n">
        <v>0</v>
      </c>
      <c r="J1335" s="48" t="n">
        <v>0</v>
      </c>
      <c r="K1335" s="49" t="n">
        <v>0</v>
      </c>
      <c r="L1335" s="49" t="n">
        <v>0</v>
      </c>
      <c r="M1335" s="49" t="n">
        <v>0</v>
      </c>
      <c r="N1335" s="49" t="n">
        <v>0</v>
      </c>
      <c r="O1335" s="49" t="n">
        <v>0</v>
      </c>
      <c r="P1335" s="49" t="n">
        <v>0</v>
      </c>
      <c r="Q1335" s="49" t="n">
        <v>0</v>
      </c>
      <c r="R1335" s="49" t="n">
        <v>0</v>
      </c>
      <c r="S1335" s="50" t="n">
        <v>0</v>
      </c>
      <c r="T1335" s="50" t="n">
        <v>0</v>
      </c>
      <c r="U1335" s="50" t="n">
        <v>0</v>
      </c>
      <c r="V1335" s="50" t="n">
        <v>0</v>
      </c>
      <c r="W1335" s="51" t="n">
        <v>0</v>
      </c>
      <c r="X1335" s="51" t="n">
        <v>0</v>
      </c>
      <c r="Y1335" s="51" t="n">
        <v>0</v>
      </c>
      <c r="Z1335" s="51" t="n">
        <v>0</v>
      </c>
      <c r="AA1335" s="52" t="n">
        <v>0</v>
      </c>
      <c r="AB1335" s="52" t="n">
        <v>0</v>
      </c>
      <c r="AC1335" s="52" t="n">
        <v>0</v>
      </c>
      <c r="AD1335" s="52" t="n">
        <v>0</v>
      </c>
      <c r="AE1335" s="52" t="n">
        <v>0</v>
      </c>
      <c r="AF1335" s="52" t="n">
        <v>0</v>
      </c>
      <c r="AG1335" s="52" t="n">
        <v>0</v>
      </c>
      <c r="AH1335" s="52" t="n">
        <v>0</v>
      </c>
      <c r="AI1335" s="52" t="n">
        <v>0</v>
      </c>
      <c r="AJ1335" s="52" t="n">
        <v>0</v>
      </c>
      <c r="AK1335" s="52" t="n">
        <v>0</v>
      </c>
      <c r="AL1335" s="52" t="n">
        <v>0</v>
      </c>
      <c r="AM1335" s="53" t="n">
        <v>0</v>
      </c>
      <c r="AN1335" s="53" t="n">
        <v>0</v>
      </c>
      <c r="AO1335" s="53" t="n">
        <v>0</v>
      </c>
      <c r="AP1335" s="53" t="n">
        <v>0</v>
      </c>
      <c r="AQ1335" s="52" t="n">
        <v>0</v>
      </c>
      <c r="AR1335" s="52" t="n">
        <v>0</v>
      </c>
      <c r="AS1335" s="52" t="n">
        <v>0</v>
      </c>
      <c r="AT1335" s="52" t="n">
        <v>0</v>
      </c>
      <c r="AU1335" s="53" t="n">
        <v>0</v>
      </c>
      <c r="AV1335" s="53" t="n">
        <v>0</v>
      </c>
      <c r="AW1335" s="53" t="n">
        <v>0</v>
      </c>
      <c r="AX1335" s="53" t="n">
        <v>0</v>
      </c>
      <c r="AY1335" s="52" t="n">
        <v>0</v>
      </c>
      <c r="AZ1335" s="52" t="n">
        <v>0</v>
      </c>
      <c r="BA1335" s="52" t="n">
        <v>0</v>
      </c>
      <c r="BB1335" s="52" t="n">
        <v>0</v>
      </c>
      <c r="BC1335" s="51" t="n">
        <v>0</v>
      </c>
      <c r="BD1335" s="51" t="n">
        <v>0</v>
      </c>
      <c r="BE1335" s="51" t="n">
        <v>0</v>
      </c>
      <c r="BF1335" s="51" t="n">
        <v>0</v>
      </c>
    </row>
    <row r="1336">
      <c r="A1336">
        <f>HYPERLINK("https://www.walmart.com/ip/14498457694", "14498457694")</f>
        <v/>
      </c>
      <c r="B1336" t="inlineStr">
        <is>
          <t>Catalonia Oversized Blanket Hoodie Sweatshirt, Fleece Hooded Lounging Pullover with Giant Pocket, Birthday Gifts Christmas Gifts, Buffalo Plaid Black</t>
        </is>
      </c>
      <c r="C1336" t="inlineStr">
        <is>
          <t>1CTOSH300PPK-FS</t>
        </is>
      </c>
      <c r="D1336" t="inlineStr">
        <is>
          <t>Sweatshirts &amp; Hoodies</t>
        </is>
      </c>
      <c r="E1336" t="inlineStr">
        <is>
          <t>Catalonia</t>
        </is>
      </c>
      <c r="G1336" s="48" t="n">
        <v>0</v>
      </c>
      <c r="H1336" s="48" t="n">
        <v>0</v>
      </c>
      <c r="I1336" s="48" t="n">
        <v>0</v>
      </c>
      <c r="J1336" s="48" t="n">
        <v>0</v>
      </c>
      <c r="K1336" s="49" t="n">
        <v>0</v>
      </c>
      <c r="L1336" s="49" t="n">
        <v>0</v>
      </c>
      <c r="M1336" s="49" t="n">
        <v>0</v>
      </c>
      <c r="N1336" s="49" t="n">
        <v>0</v>
      </c>
      <c r="O1336" s="49" t="n">
        <v>0</v>
      </c>
      <c r="P1336" s="49" t="n">
        <v>0</v>
      </c>
      <c r="Q1336" s="49" t="n">
        <v>0</v>
      </c>
      <c r="R1336" s="49" t="n">
        <v>0</v>
      </c>
      <c r="S1336" s="50" t="n">
        <v>0</v>
      </c>
      <c r="T1336" s="50" t="n">
        <v>0</v>
      </c>
      <c r="U1336" s="50" t="n">
        <v>0</v>
      </c>
      <c r="V1336" s="50" t="n">
        <v>0</v>
      </c>
      <c r="W1336" s="51" t="n">
        <v>0</v>
      </c>
      <c r="X1336" s="51" t="n">
        <v>0</v>
      </c>
      <c r="Y1336" s="51" t="n">
        <v>0</v>
      </c>
      <c r="Z1336" s="51" t="n">
        <v>0</v>
      </c>
      <c r="AA1336" s="52" t="n">
        <v>0</v>
      </c>
      <c r="AB1336" s="52" t="n">
        <v>0</v>
      </c>
      <c r="AC1336" s="52" t="n">
        <v>0</v>
      </c>
      <c r="AD1336" s="52" t="n">
        <v>0</v>
      </c>
      <c r="AE1336" s="52" t="n">
        <v>0</v>
      </c>
      <c r="AF1336" s="52" t="n">
        <v>0</v>
      </c>
      <c r="AG1336" s="52" t="n">
        <v>0</v>
      </c>
      <c r="AH1336" s="52" t="n">
        <v>0</v>
      </c>
      <c r="AI1336" s="52" t="n">
        <v>0</v>
      </c>
      <c r="AJ1336" s="52" t="n">
        <v>0</v>
      </c>
      <c r="AK1336" s="52" t="n">
        <v>0</v>
      </c>
      <c r="AL1336" s="52" t="n">
        <v>0</v>
      </c>
      <c r="AM1336" s="53" t="n">
        <v>0</v>
      </c>
      <c r="AN1336" s="53" t="n">
        <v>0</v>
      </c>
      <c r="AO1336" s="53" t="n">
        <v>0</v>
      </c>
      <c r="AP1336" s="53" t="n">
        <v>0</v>
      </c>
      <c r="AQ1336" s="52" t="n">
        <v>0</v>
      </c>
      <c r="AR1336" s="52" t="n">
        <v>0</v>
      </c>
      <c r="AS1336" s="52" t="n">
        <v>0</v>
      </c>
      <c r="AT1336" s="52" t="n">
        <v>0</v>
      </c>
      <c r="AU1336" s="53" t="n">
        <v>0</v>
      </c>
      <c r="AV1336" s="53" t="n">
        <v>0</v>
      </c>
      <c r="AW1336" s="53" t="n">
        <v>0</v>
      </c>
      <c r="AX1336" s="53" t="n">
        <v>0</v>
      </c>
      <c r="AY1336" s="52" t="n">
        <v>0</v>
      </c>
      <c r="AZ1336" s="52" t="n">
        <v>0</v>
      </c>
      <c r="BA1336" s="52" t="n">
        <v>0</v>
      </c>
      <c r="BB1336" s="52" t="n">
        <v>0</v>
      </c>
      <c r="BC1336" s="51" t="n">
        <v>0</v>
      </c>
      <c r="BD1336" s="51" t="n">
        <v>0</v>
      </c>
      <c r="BE1336" s="51" t="n">
        <v>0</v>
      </c>
      <c r="BF1336" s="51" t="n">
        <v>0</v>
      </c>
    </row>
    <row r="1337">
      <c r="A1337">
        <f>HYPERLINK("https://www.walmart.com/ip/14498457702", "14498457702")</f>
        <v/>
      </c>
      <c r="B1337" t="inlineStr">
        <is>
          <t>Womens Oversized Flannel Blanket Hoodie Sweatshirt, Plush Fleece Lined Lounging Pullover, Christmas Gift for Women (Red) - Catalonia</t>
        </is>
      </c>
      <c r="C1337" t="inlineStr">
        <is>
          <t>1CTOSH400RD-FS</t>
        </is>
      </c>
      <c r="D1337" t="inlineStr">
        <is>
          <t>Sweatshirts &amp; Hoodies</t>
        </is>
      </c>
      <c r="E1337" t="inlineStr">
        <is>
          <t>Catalonia</t>
        </is>
      </c>
      <c r="G1337" s="48" t="n">
        <v>0</v>
      </c>
      <c r="H1337" s="48" t="n">
        <v>0</v>
      </c>
      <c r="I1337" s="48" t="n">
        <v>0</v>
      </c>
      <c r="J1337" s="48" t="n">
        <v>0</v>
      </c>
      <c r="K1337" s="49" t="n">
        <v>0</v>
      </c>
      <c r="L1337" s="49" t="n">
        <v>0</v>
      </c>
      <c r="M1337" s="49" t="n">
        <v>0</v>
      </c>
      <c r="N1337" s="49" t="n">
        <v>0</v>
      </c>
      <c r="O1337" s="49" t="n">
        <v>0</v>
      </c>
      <c r="P1337" s="49" t="n">
        <v>0</v>
      </c>
      <c r="Q1337" s="49" t="n">
        <v>0</v>
      </c>
      <c r="R1337" s="49" t="n">
        <v>0</v>
      </c>
      <c r="S1337" s="50" t="n">
        <v>0</v>
      </c>
      <c r="T1337" s="50" t="n">
        <v>0</v>
      </c>
      <c r="U1337" s="50" t="n">
        <v>0</v>
      </c>
      <c r="V1337" s="50" t="n">
        <v>0</v>
      </c>
      <c r="W1337" s="51" t="n">
        <v>0</v>
      </c>
      <c r="X1337" s="51" t="n">
        <v>0</v>
      </c>
      <c r="Y1337" s="51" t="n">
        <v>0</v>
      </c>
      <c r="Z1337" s="51" t="n">
        <v>0</v>
      </c>
      <c r="AA1337" s="52" t="n">
        <v>0</v>
      </c>
      <c r="AB1337" s="52" t="n">
        <v>0</v>
      </c>
      <c r="AC1337" s="52" t="n">
        <v>0</v>
      </c>
      <c r="AD1337" s="52" t="n">
        <v>0</v>
      </c>
      <c r="AE1337" s="52" t="n">
        <v>0</v>
      </c>
      <c r="AF1337" s="52" t="n">
        <v>0</v>
      </c>
      <c r="AG1337" s="52" t="n">
        <v>0</v>
      </c>
      <c r="AH1337" s="52" t="n">
        <v>0</v>
      </c>
      <c r="AI1337" s="52" t="n">
        <v>0</v>
      </c>
      <c r="AJ1337" s="52" t="n">
        <v>0</v>
      </c>
      <c r="AK1337" s="52" t="n">
        <v>0</v>
      </c>
      <c r="AL1337" s="52" t="n">
        <v>0</v>
      </c>
      <c r="AM1337" s="53" t="n">
        <v>0</v>
      </c>
      <c r="AN1337" s="53" t="n">
        <v>0</v>
      </c>
      <c r="AO1337" s="53" t="n">
        <v>0</v>
      </c>
      <c r="AP1337" s="53" t="n">
        <v>0</v>
      </c>
      <c r="AQ1337" s="52" t="n">
        <v>0</v>
      </c>
      <c r="AR1337" s="52" t="n">
        <v>0</v>
      </c>
      <c r="AS1337" s="52" t="n">
        <v>0</v>
      </c>
      <c r="AT1337" s="52" t="n">
        <v>0</v>
      </c>
      <c r="AU1337" s="53" t="n">
        <v>0</v>
      </c>
      <c r="AV1337" s="53" t="n">
        <v>0</v>
      </c>
      <c r="AW1337" s="53" t="n">
        <v>0</v>
      </c>
      <c r="AX1337" s="53" t="n">
        <v>0</v>
      </c>
      <c r="AY1337" s="52" t="n">
        <v>0</v>
      </c>
      <c r="AZ1337" s="52" t="n">
        <v>0</v>
      </c>
      <c r="BA1337" s="52" t="n">
        <v>0</v>
      </c>
      <c r="BB1337" s="52" t="n">
        <v>0</v>
      </c>
      <c r="BC1337" s="51" t="n">
        <v>0</v>
      </c>
      <c r="BD1337" s="51" t="n">
        <v>0</v>
      </c>
      <c r="BE1337" s="51" t="n">
        <v>0</v>
      </c>
      <c r="BF1337" s="51" t="n">
        <v>0</v>
      </c>
    </row>
    <row r="1338">
      <c r="A1338">
        <f>HYPERLINK("https://www.walmart.com/ip/14500306112", "14500306112")</f>
        <v/>
      </c>
      <c r="B1338" t="inlineStr">
        <is>
          <t>Catalonia Blanket Hoodie for Kids, Oversized Wearable Fleece Sweatshirt Pullover for 7-16 yr Teens Youth, Kids Gift Idea, Sea Blue</t>
        </is>
      </c>
      <c r="C1338" t="inlineStr">
        <is>
          <t>1CTOSH400P2RD-FS</t>
        </is>
      </c>
      <c r="D1338" t="inlineStr">
        <is>
          <t>Sweatshirts &amp; Hoodies</t>
        </is>
      </c>
      <c r="E1338" t="inlineStr">
        <is>
          <t>Catalonia</t>
        </is>
      </c>
      <c r="G1338" s="48" t="n">
        <v>0</v>
      </c>
      <c r="H1338" s="48" t="n">
        <v>0</v>
      </c>
      <c r="I1338" s="48" t="n">
        <v>0</v>
      </c>
      <c r="J1338" s="48" t="n">
        <v>0</v>
      </c>
      <c r="K1338" s="49" t="n">
        <v>0</v>
      </c>
      <c r="L1338" s="49" t="n">
        <v>0</v>
      </c>
      <c r="M1338" s="49" t="n">
        <v>0</v>
      </c>
      <c r="N1338" s="49" t="n">
        <v>0</v>
      </c>
      <c r="O1338" s="49" t="n">
        <v>0</v>
      </c>
      <c r="P1338" s="49" t="n">
        <v>0</v>
      </c>
      <c r="Q1338" s="49" t="n">
        <v>0</v>
      </c>
      <c r="R1338" s="49" t="n">
        <v>0</v>
      </c>
      <c r="S1338" s="50" t="n">
        <v>0</v>
      </c>
      <c r="T1338" s="50" t="n">
        <v>0</v>
      </c>
      <c r="U1338" s="50" t="n">
        <v>0</v>
      </c>
      <c r="V1338" s="50" t="n">
        <v>0</v>
      </c>
      <c r="W1338" s="51" t="n">
        <v>0</v>
      </c>
      <c r="X1338" s="51" t="n">
        <v>0</v>
      </c>
      <c r="Y1338" s="51" t="n">
        <v>0</v>
      </c>
      <c r="Z1338" s="51" t="n">
        <v>0</v>
      </c>
      <c r="AA1338" s="52" t="n">
        <v>0</v>
      </c>
      <c r="AB1338" s="52" t="n">
        <v>0</v>
      </c>
      <c r="AC1338" s="52" t="n">
        <v>0</v>
      </c>
      <c r="AD1338" s="52" t="n">
        <v>0</v>
      </c>
      <c r="AE1338" s="52" t="n">
        <v>0</v>
      </c>
      <c r="AF1338" s="52" t="n">
        <v>0</v>
      </c>
      <c r="AG1338" s="52" t="n">
        <v>0</v>
      </c>
      <c r="AH1338" s="52" t="n">
        <v>0</v>
      </c>
      <c r="AI1338" s="52" t="n">
        <v>0</v>
      </c>
      <c r="AJ1338" s="52" t="n">
        <v>0</v>
      </c>
      <c r="AK1338" s="52" t="n">
        <v>0</v>
      </c>
      <c r="AL1338" s="52" t="n">
        <v>0</v>
      </c>
      <c r="AM1338" s="53" t="n">
        <v>0</v>
      </c>
      <c r="AN1338" s="53" t="n">
        <v>0</v>
      </c>
      <c r="AO1338" s="53" t="n">
        <v>0</v>
      </c>
      <c r="AP1338" s="53" t="n">
        <v>0</v>
      </c>
      <c r="AQ1338" s="52" t="n">
        <v>0</v>
      </c>
      <c r="AR1338" s="52" t="n">
        <v>0</v>
      </c>
      <c r="AS1338" s="52" t="n">
        <v>0</v>
      </c>
      <c r="AT1338" s="52" t="n">
        <v>0</v>
      </c>
      <c r="AU1338" s="53" t="n">
        <v>0</v>
      </c>
      <c r="AV1338" s="53" t="n">
        <v>0</v>
      </c>
      <c r="AW1338" s="53" t="n">
        <v>0</v>
      </c>
      <c r="AX1338" s="53" t="n">
        <v>0</v>
      </c>
      <c r="AY1338" s="52" t="n">
        <v>0</v>
      </c>
      <c r="AZ1338" s="52" t="n">
        <v>0</v>
      </c>
      <c r="BA1338" s="52" t="n">
        <v>0</v>
      </c>
      <c r="BB1338" s="52" t="n">
        <v>0</v>
      </c>
      <c r="BC1338" s="51" t="n">
        <v>0</v>
      </c>
      <c r="BD1338" s="51" t="n">
        <v>0</v>
      </c>
      <c r="BE1338" s="51" t="n">
        <v>0</v>
      </c>
      <c r="BF1338" s="51" t="n">
        <v>0</v>
      </c>
    </row>
    <row r="1339">
      <c r="A1339">
        <f>HYPERLINK("https://www.walmart.com/ip/14503719010", "14503719010")</f>
        <v/>
      </c>
      <c r="B1339" t="inlineStr">
        <is>
          <t>PEANUTS Womens 100% Cotton Family Matching Pajamas Holiday Festive Nightwear Sleepwear 2-Piece Sets for Christmas Gifts (Red Polka Dot, L)</t>
        </is>
      </c>
      <c r="C1339" t="inlineStr">
        <is>
          <t>PEA-PJS-FAMILY-WOMEN-RED-L</t>
        </is>
      </c>
      <c r="D1339" t="inlineStr">
        <is>
          <t>Pajamas</t>
        </is>
      </c>
      <c r="E1339" t="inlineStr">
        <is>
          <t>Peanuts</t>
        </is>
      </c>
      <c r="G1339" s="48" t="n">
        <v>0</v>
      </c>
      <c r="H1339" s="48" t="n">
        <v>0</v>
      </c>
      <c r="I1339" s="48" t="n">
        <v>0</v>
      </c>
      <c r="J1339" s="48" t="n">
        <v>0</v>
      </c>
      <c r="K1339" s="49" t="n">
        <v>0</v>
      </c>
      <c r="L1339" s="49" t="n">
        <v>0</v>
      </c>
      <c r="M1339" s="49" t="n">
        <v>0</v>
      </c>
      <c r="N1339" s="49" t="n">
        <v>0</v>
      </c>
      <c r="O1339" s="49" t="n">
        <v>0</v>
      </c>
      <c r="P1339" s="49" t="n">
        <v>0</v>
      </c>
      <c r="Q1339" s="49" t="n">
        <v>0</v>
      </c>
      <c r="R1339" s="49" t="n">
        <v>0</v>
      </c>
      <c r="S1339" s="50" t="n">
        <v>0</v>
      </c>
      <c r="T1339" s="50" t="n">
        <v>0</v>
      </c>
      <c r="U1339" s="50" t="n">
        <v>0</v>
      </c>
      <c r="V1339" s="50" t="n">
        <v>0</v>
      </c>
      <c r="W1339" s="51" t="n">
        <v>0</v>
      </c>
      <c r="X1339" s="51" t="n">
        <v>0</v>
      </c>
      <c r="Y1339" s="51" t="n">
        <v>0</v>
      </c>
      <c r="Z1339" s="51" t="n">
        <v>0</v>
      </c>
      <c r="AA1339" s="52" t="n">
        <v>0</v>
      </c>
      <c r="AB1339" s="52" t="n">
        <v>0</v>
      </c>
      <c r="AC1339" s="52" t="n">
        <v>0</v>
      </c>
      <c r="AD1339" s="52" t="n">
        <v>0</v>
      </c>
      <c r="AE1339" s="52" t="n">
        <v>0</v>
      </c>
      <c r="AF1339" s="52" t="n">
        <v>0</v>
      </c>
      <c r="AG1339" s="52" t="n">
        <v>0</v>
      </c>
      <c r="AH1339" s="52" t="n">
        <v>0</v>
      </c>
      <c r="AI1339" s="52" t="n">
        <v>0</v>
      </c>
      <c r="AJ1339" s="52" t="n">
        <v>0</v>
      </c>
      <c r="AK1339" s="52" t="n">
        <v>0</v>
      </c>
      <c r="AL1339" s="52" t="n">
        <v>0</v>
      </c>
      <c r="AM1339" s="53" t="n">
        <v>0</v>
      </c>
      <c r="AN1339" s="53" t="n">
        <v>0</v>
      </c>
      <c r="AO1339" s="53" t="n">
        <v>0</v>
      </c>
      <c r="AP1339" s="53" t="n">
        <v>0</v>
      </c>
      <c r="AQ1339" s="52" t="n">
        <v>0</v>
      </c>
      <c r="AR1339" s="52" t="n">
        <v>0</v>
      </c>
      <c r="AS1339" s="52" t="n">
        <v>0</v>
      </c>
      <c r="AT1339" s="52" t="n">
        <v>0</v>
      </c>
      <c r="AU1339" s="53" t="n">
        <v>0</v>
      </c>
      <c r="AV1339" s="53" t="n">
        <v>0</v>
      </c>
      <c r="AW1339" s="53" t="n">
        <v>0</v>
      </c>
      <c r="AX1339" s="53" t="n">
        <v>0</v>
      </c>
      <c r="AY1339" s="52" t="n">
        <v>0</v>
      </c>
      <c r="AZ1339" s="52" t="n">
        <v>0</v>
      </c>
      <c r="BA1339" s="52" t="n">
        <v>0</v>
      </c>
      <c r="BB1339" s="52" t="n">
        <v>0</v>
      </c>
      <c r="BC1339" s="51" t="n">
        <v>0</v>
      </c>
      <c r="BD1339" s="51" t="n">
        <v>0</v>
      </c>
      <c r="BE1339" s="51" t="n">
        <v>0</v>
      </c>
      <c r="BF1339" s="51" t="n">
        <v>0</v>
      </c>
    </row>
    <row r="1340">
      <c r="A1340">
        <f>HYPERLINK("https://www.walmart.com/ip/14503719585", "14503719585")</f>
        <v/>
      </c>
      <c r="B1340" t="inlineStr">
        <is>
          <t>PEANUTS Toddler Boys Girls Snoopy Family Matching Pajamas Sleepwear 2-Piece Sets for Christmas with Woodstock Charlie Brown Linus (Black Plaid, 3T)</t>
        </is>
      </c>
      <c r="C1340" t="inlineStr">
        <is>
          <t>PEA-PJS-FAMILY-TODDLER-BLACKPLAID-3T</t>
        </is>
      </c>
      <c r="D1340" t="inlineStr">
        <is>
          <t>Pajamas</t>
        </is>
      </c>
      <c r="E1340" t="inlineStr">
        <is>
          <t>Peanuts</t>
        </is>
      </c>
      <c r="G1340" s="48" t="n">
        <v>0</v>
      </c>
      <c r="H1340" s="48" t="n">
        <v>0</v>
      </c>
      <c r="I1340" s="48" t="n">
        <v>0</v>
      </c>
      <c r="J1340" s="48" t="n">
        <v>0</v>
      </c>
      <c r="K1340" s="49" t="n">
        <v>0</v>
      </c>
      <c r="L1340" s="49" t="n">
        <v>0</v>
      </c>
      <c r="M1340" s="49" t="n">
        <v>0</v>
      </c>
      <c r="N1340" s="49" t="n">
        <v>0</v>
      </c>
      <c r="O1340" s="49" t="n">
        <v>0</v>
      </c>
      <c r="P1340" s="49" t="n">
        <v>0</v>
      </c>
      <c r="Q1340" s="49" t="n">
        <v>0</v>
      </c>
      <c r="R1340" s="49" t="n">
        <v>0</v>
      </c>
      <c r="S1340" s="50" t="n">
        <v>0</v>
      </c>
      <c r="T1340" s="50" t="n">
        <v>0</v>
      </c>
      <c r="U1340" s="50" t="n">
        <v>0</v>
      </c>
      <c r="V1340" s="50" t="n">
        <v>0</v>
      </c>
      <c r="W1340" s="51" t="n">
        <v>0</v>
      </c>
      <c r="X1340" s="51" t="n">
        <v>0</v>
      </c>
      <c r="Y1340" s="51" t="n">
        <v>0</v>
      </c>
      <c r="Z1340" s="51" t="n">
        <v>0</v>
      </c>
      <c r="AA1340" s="52" t="n">
        <v>0</v>
      </c>
      <c r="AB1340" s="52" t="n">
        <v>0</v>
      </c>
      <c r="AC1340" s="52" t="n">
        <v>0</v>
      </c>
      <c r="AD1340" s="52" t="n">
        <v>0</v>
      </c>
      <c r="AE1340" s="52" t="n">
        <v>0</v>
      </c>
      <c r="AF1340" s="52" t="n">
        <v>0</v>
      </c>
      <c r="AG1340" s="52" t="n">
        <v>0</v>
      </c>
      <c r="AH1340" s="52" t="n">
        <v>0</v>
      </c>
      <c r="AI1340" s="52" t="n">
        <v>0</v>
      </c>
      <c r="AJ1340" s="52" t="n">
        <v>0</v>
      </c>
      <c r="AK1340" s="52" t="n">
        <v>0</v>
      </c>
      <c r="AL1340" s="52" t="n">
        <v>0</v>
      </c>
      <c r="AM1340" s="53" t="n">
        <v>0</v>
      </c>
      <c r="AN1340" s="53" t="n">
        <v>0</v>
      </c>
      <c r="AO1340" s="53" t="n">
        <v>0</v>
      </c>
      <c r="AP1340" s="53" t="n">
        <v>0</v>
      </c>
      <c r="AQ1340" s="52" t="n">
        <v>0</v>
      </c>
      <c r="AR1340" s="52" t="n">
        <v>0</v>
      </c>
      <c r="AS1340" s="52" t="n">
        <v>0</v>
      </c>
      <c r="AT1340" s="52" t="n">
        <v>0</v>
      </c>
      <c r="AU1340" s="53" t="n">
        <v>0</v>
      </c>
      <c r="AV1340" s="53" t="n">
        <v>0</v>
      </c>
      <c r="AW1340" s="53" t="n">
        <v>0</v>
      </c>
      <c r="AX1340" s="53" t="n">
        <v>0</v>
      </c>
      <c r="AY1340" s="52" t="n">
        <v>0</v>
      </c>
      <c r="AZ1340" s="52" t="n">
        <v>0</v>
      </c>
      <c r="BA1340" s="52" t="n">
        <v>0</v>
      </c>
      <c r="BB1340" s="52" t="n">
        <v>0</v>
      </c>
      <c r="BC1340" s="51" t="n">
        <v>0</v>
      </c>
      <c r="BD1340" s="51" t="n">
        <v>0</v>
      </c>
      <c r="BE1340" s="51" t="n">
        <v>0</v>
      </c>
      <c r="BF1340" s="51" t="n">
        <v>0</v>
      </c>
    </row>
    <row r="1341">
      <c r="A1341">
        <f>HYPERLINK("https://www.walmart.com/ip/14504171589", "14504171589")</f>
        <v/>
      </c>
      <c r="B1341" t="inlineStr">
        <is>
          <t>PEANUTS Snoopy Cotton Family Matching Pajamas Holiday 2-Piece Sets for Christmas with Woodstock Charlie Brown Linus for Baby (Green Polka Dot, 12M)</t>
        </is>
      </c>
      <c r="C1341" t="inlineStr">
        <is>
          <t>PEA-PJS-FAMILY-INFANT-GREEN-12M</t>
        </is>
      </c>
      <c r="D1341" t="inlineStr">
        <is>
          <t>Pajamas</t>
        </is>
      </c>
      <c r="E1341" t="inlineStr">
        <is>
          <t>Peanuts</t>
        </is>
      </c>
      <c r="G1341" s="48" t="n">
        <v>0</v>
      </c>
      <c r="H1341" s="48" t="n">
        <v>0</v>
      </c>
      <c r="I1341" s="48" t="n">
        <v>0</v>
      </c>
      <c r="J1341" s="48" t="n">
        <v>0</v>
      </c>
      <c r="K1341" s="49" t="n">
        <v>0</v>
      </c>
      <c r="L1341" s="49" t="n">
        <v>0</v>
      </c>
      <c r="M1341" s="49" t="n">
        <v>0</v>
      </c>
      <c r="N1341" s="49" t="n">
        <v>0</v>
      </c>
      <c r="O1341" s="49" t="n">
        <v>0</v>
      </c>
      <c r="P1341" s="49" t="n">
        <v>0</v>
      </c>
      <c r="Q1341" s="49" t="n">
        <v>0</v>
      </c>
      <c r="R1341" s="49" t="n">
        <v>0</v>
      </c>
      <c r="S1341" s="50" t="n">
        <v>0</v>
      </c>
      <c r="T1341" s="50" t="n">
        <v>0</v>
      </c>
      <c r="U1341" s="50" t="n">
        <v>0</v>
      </c>
      <c r="V1341" s="50" t="n">
        <v>0</v>
      </c>
      <c r="W1341" s="51" t="n">
        <v>0</v>
      </c>
      <c r="X1341" s="51" t="n">
        <v>0</v>
      </c>
      <c r="Y1341" s="51" t="n">
        <v>0</v>
      </c>
      <c r="Z1341" s="51" t="n">
        <v>0</v>
      </c>
      <c r="AA1341" s="52" t="n">
        <v>0</v>
      </c>
      <c r="AB1341" s="52" t="n">
        <v>0</v>
      </c>
      <c r="AC1341" s="52" t="n">
        <v>0</v>
      </c>
      <c r="AD1341" s="52" t="n">
        <v>0</v>
      </c>
      <c r="AE1341" s="52" t="n">
        <v>0</v>
      </c>
      <c r="AF1341" s="52" t="n">
        <v>0</v>
      </c>
      <c r="AG1341" s="52" t="n">
        <v>0</v>
      </c>
      <c r="AH1341" s="52" t="n">
        <v>0</v>
      </c>
      <c r="AI1341" s="52" t="n">
        <v>0</v>
      </c>
      <c r="AJ1341" s="52" t="n">
        <v>0</v>
      </c>
      <c r="AK1341" s="52" t="n">
        <v>0</v>
      </c>
      <c r="AL1341" s="52" t="n">
        <v>0</v>
      </c>
      <c r="AM1341" s="53" t="n">
        <v>0</v>
      </c>
      <c r="AN1341" s="53" t="n">
        <v>0</v>
      </c>
      <c r="AO1341" s="53" t="n">
        <v>0</v>
      </c>
      <c r="AP1341" s="53" t="n">
        <v>0</v>
      </c>
      <c r="AQ1341" s="52" t="n">
        <v>0</v>
      </c>
      <c r="AR1341" s="52" t="n">
        <v>0</v>
      </c>
      <c r="AS1341" s="52" t="n">
        <v>0</v>
      </c>
      <c r="AT1341" s="52" t="n">
        <v>0</v>
      </c>
      <c r="AU1341" s="53" t="n">
        <v>0</v>
      </c>
      <c r="AV1341" s="53" t="n">
        <v>0</v>
      </c>
      <c r="AW1341" s="53" t="n">
        <v>0</v>
      </c>
      <c r="AX1341" s="53" t="n">
        <v>0</v>
      </c>
      <c r="AY1341" s="52" t="n">
        <v>0</v>
      </c>
      <c r="AZ1341" s="52" t="n">
        <v>0</v>
      </c>
      <c r="BA1341" s="52" t="n">
        <v>0</v>
      </c>
      <c r="BB1341" s="52" t="n">
        <v>0</v>
      </c>
      <c r="BC1341" s="51" t="n">
        <v>0</v>
      </c>
      <c r="BD1341" s="51" t="n">
        <v>0</v>
      </c>
      <c r="BE1341" s="51" t="n">
        <v>0</v>
      </c>
      <c r="BF1341" s="51" t="n">
        <v>0</v>
      </c>
    </row>
    <row r="1342">
      <c r="A1342">
        <f>HYPERLINK("https://www.walmart.com/ip/14514109806", "14514109806")</f>
        <v/>
      </c>
      <c r="B1342" t="inlineStr">
        <is>
          <t>PEANUTS Mens' Cotton Snoopy Family Matching Pajamas 2-Piece Sets for Christmas with Woodstock Charlie Brown Linus, Gift for him (Black Plaid, M)</t>
        </is>
      </c>
      <c r="C1342" t="inlineStr">
        <is>
          <t>PEA-PJS-FAMILY-MEN-BLACKPLAID-M</t>
        </is>
      </c>
      <c r="D1342" t="inlineStr">
        <is>
          <t>Pajamas</t>
        </is>
      </c>
      <c r="E1342" t="inlineStr">
        <is>
          <t>Peanuts</t>
        </is>
      </c>
      <c r="G1342" s="48" t="n">
        <v>0</v>
      </c>
      <c r="H1342" s="48" t="n">
        <v>0</v>
      </c>
      <c r="I1342" s="48" t="n">
        <v>0</v>
      </c>
      <c r="J1342" s="48" t="n">
        <v>0</v>
      </c>
      <c r="K1342" s="49" t="n">
        <v>0</v>
      </c>
      <c r="L1342" s="49" t="n">
        <v>0</v>
      </c>
      <c r="M1342" s="49" t="n">
        <v>0</v>
      </c>
      <c r="N1342" s="49" t="n">
        <v>0</v>
      </c>
      <c r="O1342" s="49" t="n">
        <v>0</v>
      </c>
      <c r="P1342" s="49" t="n">
        <v>0</v>
      </c>
      <c r="Q1342" s="49" t="n">
        <v>0</v>
      </c>
      <c r="R1342" s="49" t="n">
        <v>0</v>
      </c>
      <c r="S1342" s="50" t="n">
        <v>0</v>
      </c>
      <c r="T1342" s="50" t="n">
        <v>0</v>
      </c>
      <c r="U1342" s="50" t="n">
        <v>0</v>
      </c>
      <c r="V1342" s="50" t="n">
        <v>0</v>
      </c>
      <c r="W1342" s="51" t="n">
        <v>0</v>
      </c>
      <c r="X1342" s="51" t="n">
        <v>0</v>
      </c>
      <c r="Y1342" s="51" t="n">
        <v>0</v>
      </c>
      <c r="Z1342" s="51" t="n">
        <v>0</v>
      </c>
      <c r="AA1342" s="52" t="n">
        <v>0</v>
      </c>
      <c r="AB1342" s="52" t="n">
        <v>0</v>
      </c>
      <c r="AC1342" s="52" t="n">
        <v>0</v>
      </c>
      <c r="AD1342" s="52" t="n">
        <v>0</v>
      </c>
      <c r="AE1342" s="52" t="n">
        <v>0</v>
      </c>
      <c r="AF1342" s="52" t="n">
        <v>0</v>
      </c>
      <c r="AG1342" s="52" t="n">
        <v>0</v>
      </c>
      <c r="AH1342" s="52" t="n">
        <v>0</v>
      </c>
      <c r="AI1342" s="52" t="n">
        <v>0</v>
      </c>
      <c r="AJ1342" s="52" t="n">
        <v>0</v>
      </c>
      <c r="AK1342" s="52" t="n">
        <v>0</v>
      </c>
      <c r="AL1342" s="52" t="n">
        <v>0</v>
      </c>
      <c r="AM1342" s="53" t="n">
        <v>0</v>
      </c>
      <c r="AN1342" s="53" t="n">
        <v>0</v>
      </c>
      <c r="AO1342" s="53" t="n">
        <v>0</v>
      </c>
      <c r="AP1342" s="53" t="n">
        <v>0</v>
      </c>
      <c r="AQ1342" s="52" t="n">
        <v>0</v>
      </c>
      <c r="AR1342" s="52" t="n">
        <v>0</v>
      </c>
      <c r="AS1342" s="52" t="n">
        <v>0</v>
      </c>
      <c r="AT1342" s="52" t="n">
        <v>0</v>
      </c>
      <c r="AU1342" s="53" t="n">
        <v>0</v>
      </c>
      <c r="AV1342" s="53" t="n">
        <v>0</v>
      </c>
      <c r="AW1342" s="53" t="n">
        <v>0</v>
      </c>
      <c r="AX1342" s="53" t="n">
        <v>0</v>
      </c>
      <c r="AY1342" s="52" t="n">
        <v>0</v>
      </c>
      <c r="AZ1342" s="52" t="n">
        <v>0</v>
      </c>
      <c r="BA1342" s="52" t="n">
        <v>0</v>
      </c>
      <c r="BB1342" s="52" t="n">
        <v>0</v>
      </c>
      <c r="BC1342" s="51" t="n">
        <v>0</v>
      </c>
      <c r="BD1342" s="51" t="n">
        <v>0</v>
      </c>
      <c r="BE1342" s="51" t="n">
        <v>0</v>
      </c>
      <c r="BF1342" s="51" t="n">
        <v>0</v>
      </c>
    </row>
    <row r="1343">
      <c r="A1343">
        <f>HYPERLINK("https://www.walmart.com/ip/14514159362", "14514159362")</f>
        <v/>
      </c>
      <c r="B1343" t="inlineStr">
        <is>
          <t>PEANUTS Snoopy 100% Cotton Family Matching Pajamas Holiday 2-Piece Sets for Christmas with Woodstock Charlie Brown Linus for Baby (Red Polka Dot, 6M)</t>
        </is>
      </c>
      <c r="C1343" t="inlineStr">
        <is>
          <t>PEA-PJS-FAMILY-INFANT-RED-6M</t>
        </is>
      </c>
      <c r="D1343" t="inlineStr">
        <is>
          <t>Pajamas</t>
        </is>
      </c>
      <c r="E1343" t="inlineStr">
        <is>
          <t>Peanuts</t>
        </is>
      </c>
      <c r="G1343" s="48" t="n">
        <v>0</v>
      </c>
      <c r="H1343" s="48" t="n">
        <v>0</v>
      </c>
      <c r="I1343" s="48" t="n">
        <v>0</v>
      </c>
      <c r="J1343" s="48" t="n">
        <v>0</v>
      </c>
      <c r="K1343" s="49" t="n">
        <v>0</v>
      </c>
      <c r="L1343" s="49" t="n">
        <v>0</v>
      </c>
      <c r="M1343" s="49" t="n">
        <v>0</v>
      </c>
      <c r="N1343" s="49" t="n">
        <v>0</v>
      </c>
      <c r="O1343" s="49" t="n">
        <v>0</v>
      </c>
      <c r="P1343" s="49" t="n">
        <v>0</v>
      </c>
      <c r="Q1343" s="49" t="n">
        <v>0</v>
      </c>
      <c r="R1343" s="49" t="n">
        <v>0</v>
      </c>
      <c r="S1343" s="50" t="n">
        <v>0</v>
      </c>
      <c r="T1343" s="50" t="n">
        <v>0</v>
      </c>
      <c r="U1343" s="50" t="n">
        <v>0</v>
      </c>
      <c r="V1343" s="50" t="n">
        <v>0</v>
      </c>
      <c r="W1343" s="51" t="n">
        <v>0</v>
      </c>
      <c r="X1343" s="51" t="n">
        <v>0</v>
      </c>
      <c r="Y1343" s="51" t="n">
        <v>0</v>
      </c>
      <c r="Z1343" s="51" t="n">
        <v>0</v>
      </c>
      <c r="AA1343" s="52" t="n">
        <v>0</v>
      </c>
      <c r="AB1343" s="52" t="n">
        <v>0</v>
      </c>
      <c r="AC1343" s="52" t="n">
        <v>0</v>
      </c>
      <c r="AD1343" s="52" t="n">
        <v>0</v>
      </c>
      <c r="AE1343" s="52" t="n">
        <v>0</v>
      </c>
      <c r="AF1343" s="52" t="n">
        <v>0</v>
      </c>
      <c r="AG1343" s="52" t="n">
        <v>0</v>
      </c>
      <c r="AH1343" s="52" t="n">
        <v>0</v>
      </c>
      <c r="AI1343" s="52" t="n">
        <v>0</v>
      </c>
      <c r="AJ1343" s="52" t="n">
        <v>0</v>
      </c>
      <c r="AK1343" s="52" t="n">
        <v>0</v>
      </c>
      <c r="AL1343" s="52" t="n">
        <v>0</v>
      </c>
      <c r="AM1343" s="53" t="n">
        <v>0</v>
      </c>
      <c r="AN1343" s="53" t="n">
        <v>0</v>
      </c>
      <c r="AO1343" s="53" t="n">
        <v>0</v>
      </c>
      <c r="AP1343" s="53" t="n">
        <v>0</v>
      </c>
      <c r="AQ1343" s="52" t="n">
        <v>0</v>
      </c>
      <c r="AR1343" s="52" t="n">
        <v>0</v>
      </c>
      <c r="AS1343" s="52" t="n">
        <v>0</v>
      </c>
      <c r="AT1343" s="52" t="n">
        <v>0</v>
      </c>
      <c r="AU1343" s="53" t="n">
        <v>0</v>
      </c>
      <c r="AV1343" s="53" t="n">
        <v>0</v>
      </c>
      <c r="AW1343" s="53" t="n">
        <v>0</v>
      </c>
      <c r="AX1343" s="53" t="n">
        <v>0</v>
      </c>
      <c r="AY1343" s="52" t="n">
        <v>0</v>
      </c>
      <c r="AZ1343" s="52" t="n">
        <v>0</v>
      </c>
      <c r="BA1343" s="52" t="n">
        <v>0</v>
      </c>
      <c r="BB1343" s="52" t="n">
        <v>0</v>
      </c>
      <c r="BC1343" s="51" t="n">
        <v>0</v>
      </c>
      <c r="BD1343" s="51" t="n">
        <v>0</v>
      </c>
      <c r="BE1343" s="51" t="n">
        <v>0</v>
      </c>
      <c r="BF1343" s="51" t="n">
        <v>0</v>
      </c>
    </row>
    <row r="1344">
      <c r="A1344">
        <f>HYPERLINK("https://www.walmart.com/ip/14489014458", "14489014458")</f>
        <v/>
      </c>
      <c r="B1344" t="inlineStr">
        <is>
          <t>Tirrinia Womens' Hoodie Blanket Sweatshirt, Oversized Comfortable Fleece Giant Wearable Blankets, Hoodie Blanket for Men, Gift for Her Him, Black</t>
        </is>
      </c>
      <c r="C1344" t="inlineStr">
        <is>
          <t>1TROSH400BK-FS</t>
        </is>
      </c>
      <c r="D1344" t="inlineStr">
        <is>
          <t>Sweatshirts &amp; Hoodies</t>
        </is>
      </c>
      <c r="E1344" t="inlineStr">
        <is>
          <t>Tirrinia</t>
        </is>
      </c>
      <c r="G1344" s="48" t="n">
        <v>0</v>
      </c>
      <c r="H1344" s="48" t="n">
        <v>0</v>
      </c>
      <c r="I1344" s="48" t="n">
        <v>0</v>
      </c>
      <c r="J1344" s="48" t="n">
        <v>0</v>
      </c>
      <c r="K1344" s="49" t="n">
        <v>0</v>
      </c>
      <c r="L1344" s="49" t="n">
        <v>0</v>
      </c>
      <c r="M1344" s="49" t="n">
        <v>0</v>
      </c>
      <c r="N1344" s="49" t="n">
        <v>0</v>
      </c>
      <c r="O1344" s="49" t="n">
        <v>0</v>
      </c>
      <c r="P1344" s="49" t="n">
        <v>0</v>
      </c>
      <c r="Q1344" s="49" t="n">
        <v>0</v>
      </c>
      <c r="R1344" s="49" t="n">
        <v>0</v>
      </c>
      <c r="S1344" s="50" t="n">
        <v>0</v>
      </c>
      <c r="T1344" s="50" t="n">
        <v>0</v>
      </c>
      <c r="U1344" s="50" t="n">
        <v>0</v>
      </c>
      <c r="V1344" s="50" t="n">
        <v>0</v>
      </c>
      <c r="W1344" s="51" t="n">
        <v>0</v>
      </c>
      <c r="X1344" s="51" t="n">
        <v>0</v>
      </c>
      <c r="Y1344" s="51" t="n">
        <v>0</v>
      </c>
      <c r="Z1344" s="51" t="n">
        <v>0</v>
      </c>
      <c r="AA1344" s="52" t="n">
        <v>0</v>
      </c>
      <c r="AB1344" s="52" t="n">
        <v>0</v>
      </c>
      <c r="AC1344" s="52" t="n">
        <v>0</v>
      </c>
      <c r="AD1344" s="52" t="n">
        <v>0</v>
      </c>
      <c r="AE1344" s="52" t="n">
        <v>0</v>
      </c>
      <c r="AF1344" s="52" t="n">
        <v>0</v>
      </c>
      <c r="AG1344" s="52" t="n">
        <v>0</v>
      </c>
      <c r="AH1344" s="52" t="n">
        <v>0</v>
      </c>
      <c r="AI1344" s="52" t="n">
        <v>0</v>
      </c>
      <c r="AJ1344" s="52" t="n">
        <v>0</v>
      </c>
      <c r="AK1344" s="52" t="n">
        <v>0</v>
      </c>
      <c r="AL1344" s="52" t="n">
        <v>0</v>
      </c>
      <c r="AM1344" s="53" t="n">
        <v>0</v>
      </c>
      <c r="AN1344" s="53" t="n">
        <v>0</v>
      </c>
      <c r="AO1344" s="53" t="n">
        <v>0</v>
      </c>
      <c r="AP1344" s="53" t="n">
        <v>0</v>
      </c>
      <c r="AQ1344" s="52" t="n">
        <v>0</v>
      </c>
      <c r="AR1344" s="52" t="n">
        <v>0</v>
      </c>
      <c r="AS1344" s="52" t="n">
        <v>0</v>
      </c>
      <c r="AT1344" s="52" t="n">
        <v>0</v>
      </c>
      <c r="AU1344" s="53" t="n">
        <v>0</v>
      </c>
      <c r="AV1344" s="53" t="n">
        <v>0</v>
      </c>
      <c r="AW1344" s="53" t="n">
        <v>0</v>
      </c>
      <c r="AX1344" s="53" t="n">
        <v>0</v>
      </c>
      <c r="AY1344" s="52" t="n">
        <v>0</v>
      </c>
      <c r="AZ1344" s="52" t="n">
        <v>0</v>
      </c>
      <c r="BA1344" s="52" t="n">
        <v>0</v>
      </c>
      <c r="BB1344" s="52" t="n">
        <v>0</v>
      </c>
      <c r="BC1344" s="51" t="n">
        <v>0</v>
      </c>
      <c r="BD1344" s="51" t="n">
        <v>0</v>
      </c>
      <c r="BE1344" s="51" t="n">
        <v>0</v>
      </c>
      <c r="BF1344" s="51" t="n">
        <v>0</v>
      </c>
    </row>
    <row r="1345">
      <c r="A1345">
        <f>HYPERLINK("https://www.walmart.com/ip/14525011718", "14525011718")</f>
        <v/>
      </c>
      <c r="B1345" t="inlineStr">
        <is>
          <t>PEANUTS Snoopy 100% Cotton Family Matching Pajamas Holiday 2-Piece Sets for Christmas with Woodstock Charlie Brown Linus for Baby (Red Polka Dot, 18M)</t>
        </is>
      </c>
      <c r="C1345" t="inlineStr">
        <is>
          <t>PEA-PJS-FAMILY-INFANT-RED-18M</t>
        </is>
      </c>
      <c r="D1345" t="inlineStr">
        <is>
          <t>Pajamas</t>
        </is>
      </c>
      <c r="E1345" t="inlineStr">
        <is>
          <t>Peanuts</t>
        </is>
      </c>
      <c r="G1345" s="48" t="n">
        <v>0</v>
      </c>
      <c r="H1345" s="48" t="n">
        <v>0</v>
      </c>
      <c r="I1345" s="48" t="n">
        <v>0</v>
      </c>
      <c r="J1345" s="48" t="n">
        <v>0</v>
      </c>
      <c r="K1345" s="49" t="n">
        <v>0</v>
      </c>
      <c r="L1345" s="49" t="n">
        <v>0</v>
      </c>
      <c r="M1345" s="49" t="n">
        <v>0</v>
      </c>
      <c r="N1345" s="49" t="n">
        <v>0</v>
      </c>
      <c r="O1345" s="49" t="n">
        <v>0</v>
      </c>
      <c r="P1345" s="49" t="n">
        <v>0</v>
      </c>
      <c r="Q1345" s="49" t="n">
        <v>0</v>
      </c>
      <c r="R1345" s="49" t="n">
        <v>0</v>
      </c>
      <c r="S1345" s="50" t="n">
        <v>0</v>
      </c>
      <c r="T1345" s="50" t="n">
        <v>0</v>
      </c>
      <c r="U1345" s="50" t="n">
        <v>0</v>
      </c>
      <c r="V1345" s="50" t="n">
        <v>0</v>
      </c>
      <c r="W1345" s="51" t="n">
        <v>0</v>
      </c>
      <c r="X1345" s="51" t="n">
        <v>0</v>
      </c>
      <c r="Y1345" s="51" t="n">
        <v>0</v>
      </c>
      <c r="Z1345" s="51" t="n">
        <v>0</v>
      </c>
      <c r="AA1345" s="52" t="n">
        <v>0</v>
      </c>
      <c r="AB1345" s="52" t="n">
        <v>0</v>
      </c>
      <c r="AC1345" s="52" t="n">
        <v>0</v>
      </c>
      <c r="AD1345" s="52" t="n">
        <v>0</v>
      </c>
      <c r="AE1345" s="52" t="n">
        <v>0</v>
      </c>
      <c r="AF1345" s="52" t="n">
        <v>0</v>
      </c>
      <c r="AG1345" s="52" t="n">
        <v>0</v>
      </c>
      <c r="AH1345" s="52" t="n">
        <v>0</v>
      </c>
      <c r="AI1345" s="52" t="n">
        <v>0</v>
      </c>
      <c r="AJ1345" s="52" t="n">
        <v>0</v>
      </c>
      <c r="AK1345" s="52" t="n">
        <v>0</v>
      </c>
      <c r="AL1345" s="52" t="n">
        <v>0</v>
      </c>
      <c r="AM1345" s="53" t="n">
        <v>0</v>
      </c>
      <c r="AN1345" s="53" t="n">
        <v>0</v>
      </c>
      <c r="AO1345" s="53" t="n">
        <v>0</v>
      </c>
      <c r="AP1345" s="53" t="n">
        <v>0</v>
      </c>
      <c r="AQ1345" s="52" t="n">
        <v>0</v>
      </c>
      <c r="AR1345" s="52" t="n">
        <v>0</v>
      </c>
      <c r="AS1345" s="52" t="n">
        <v>0</v>
      </c>
      <c r="AT1345" s="52" t="n">
        <v>0</v>
      </c>
      <c r="AU1345" s="53" t="n">
        <v>0</v>
      </c>
      <c r="AV1345" s="53" t="n">
        <v>0</v>
      </c>
      <c r="AW1345" s="53" t="n">
        <v>0</v>
      </c>
      <c r="AX1345" s="53" t="n">
        <v>0</v>
      </c>
      <c r="AY1345" s="52" t="n">
        <v>0</v>
      </c>
      <c r="AZ1345" s="52" t="n">
        <v>0</v>
      </c>
      <c r="BA1345" s="52" t="n">
        <v>0</v>
      </c>
      <c r="BB1345" s="52" t="n">
        <v>0</v>
      </c>
      <c r="BC1345" s="51" t="n">
        <v>0</v>
      </c>
      <c r="BD1345" s="51" t="n">
        <v>0</v>
      </c>
      <c r="BE1345" s="51" t="n">
        <v>0</v>
      </c>
      <c r="BF1345" s="51" t="n">
        <v>0</v>
      </c>
    </row>
    <row r="1346">
      <c r="A1346">
        <f>HYPERLINK("https://www.walmart.com/ip/14527013541", "14527013541")</f>
        <v/>
      </c>
      <c r="B1346" t="inlineStr">
        <is>
          <t>PEANUTS Mens' Cotton Snoopy Family Matching Pajamas 2-Piece Sets for Christmas with Woodstock Charlie Brown Linus, Gift for him (Black Plaid, L)</t>
        </is>
      </c>
      <c r="C1346" t="inlineStr">
        <is>
          <t>PEA-PJS-FAMILY-MEN-BLACKPLAID-L</t>
        </is>
      </c>
      <c r="D1346" t="inlineStr">
        <is>
          <t>Pajamas</t>
        </is>
      </c>
      <c r="E1346" t="inlineStr">
        <is>
          <t>Peanuts</t>
        </is>
      </c>
      <c r="G1346" s="48" t="n">
        <v>0</v>
      </c>
      <c r="H1346" s="48" t="n">
        <v>0</v>
      </c>
      <c r="I1346" s="48" t="n">
        <v>0</v>
      </c>
      <c r="J1346" s="48" t="n">
        <v>0</v>
      </c>
      <c r="K1346" s="49" t="n">
        <v>0</v>
      </c>
      <c r="L1346" s="49" t="n">
        <v>0</v>
      </c>
      <c r="M1346" s="49" t="n">
        <v>0</v>
      </c>
      <c r="N1346" s="49" t="n">
        <v>0</v>
      </c>
      <c r="O1346" s="49" t="n">
        <v>0</v>
      </c>
      <c r="P1346" s="49" t="n">
        <v>0</v>
      </c>
      <c r="Q1346" s="49" t="n">
        <v>0</v>
      </c>
      <c r="R1346" s="49" t="n">
        <v>0</v>
      </c>
      <c r="S1346" s="50" t="n">
        <v>0</v>
      </c>
      <c r="T1346" s="50" t="n">
        <v>0</v>
      </c>
      <c r="U1346" s="50" t="n">
        <v>0</v>
      </c>
      <c r="V1346" s="50" t="n">
        <v>0</v>
      </c>
      <c r="W1346" s="51" t="n">
        <v>0</v>
      </c>
      <c r="X1346" s="51" t="n">
        <v>0</v>
      </c>
      <c r="Y1346" s="51" t="n">
        <v>0</v>
      </c>
      <c r="Z1346" s="51" t="n">
        <v>0</v>
      </c>
      <c r="AA1346" s="52" t="n">
        <v>0</v>
      </c>
      <c r="AB1346" s="52" t="n">
        <v>0</v>
      </c>
      <c r="AC1346" s="52" t="n">
        <v>0</v>
      </c>
      <c r="AD1346" s="52" t="n">
        <v>0</v>
      </c>
      <c r="AE1346" s="52" t="n">
        <v>0</v>
      </c>
      <c r="AF1346" s="52" t="n">
        <v>0</v>
      </c>
      <c r="AG1346" s="52" t="n">
        <v>0</v>
      </c>
      <c r="AH1346" s="52" t="n">
        <v>0</v>
      </c>
      <c r="AI1346" s="52" t="n">
        <v>0</v>
      </c>
      <c r="AJ1346" s="52" t="n">
        <v>0</v>
      </c>
      <c r="AK1346" s="52" t="n">
        <v>0</v>
      </c>
      <c r="AL1346" s="52" t="n">
        <v>0</v>
      </c>
      <c r="AM1346" s="53" t="n">
        <v>0</v>
      </c>
      <c r="AN1346" s="53" t="n">
        <v>0</v>
      </c>
      <c r="AO1346" s="53" t="n">
        <v>0</v>
      </c>
      <c r="AP1346" s="53" t="n">
        <v>0</v>
      </c>
      <c r="AQ1346" s="52" t="n">
        <v>0</v>
      </c>
      <c r="AR1346" s="52" t="n">
        <v>0</v>
      </c>
      <c r="AS1346" s="52" t="n">
        <v>0</v>
      </c>
      <c r="AT1346" s="52" t="n">
        <v>0</v>
      </c>
      <c r="AU1346" s="53" t="n">
        <v>0</v>
      </c>
      <c r="AV1346" s="53" t="n">
        <v>0</v>
      </c>
      <c r="AW1346" s="53" t="n">
        <v>0</v>
      </c>
      <c r="AX1346" s="53" t="n">
        <v>0</v>
      </c>
      <c r="AY1346" s="52" t="n">
        <v>0</v>
      </c>
      <c r="AZ1346" s="52" t="n">
        <v>0</v>
      </c>
      <c r="BA1346" s="52" t="n">
        <v>0</v>
      </c>
      <c r="BB1346" s="52" t="n">
        <v>0</v>
      </c>
      <c r="BC1346" s="51" t="n">
        <v>0</v>
      </c>
      <c r="BD1346" s="51" t="n">
        <v>0</v>
      </c>
      <c r="BE1346" s="51" t="n">
        <v>0</v>
      </c>
      <c r="BF1346" s="51" t="n">
        <v>0</v>
      </c>
    </row>
    <row r="1347">
      <c r="A1347">
        <f>HYPERLINK("https://www.walmart.com/ip/14527013543", "14527013543")</f>
        <v/>
      </c>
      <c r="B1347" t="inlineStr">
        <is>
          <t>PEANUTS Womens 100% Cotton Family Matching Pajamas Holiday Festive Nightwear Sleepwear 2-Piece Sets for Christmas Gifts Gifts (Black Plaid, L)</t>
        </is>
      </c>
      <c r="C1347" t="inlineStr">
        <is>
          <t>PEA-PJS-FAMILY-WOMEN-BLACKPLAID-L</t>
        </is>
      </c>
      <c r="D1347" t="inlineStr">
        <is>
          <t>Pajamas</t>
        </is>
      </c>
      <c r="E1347" t="inlineStr">
        <is>
          <t>Peanuts</t>
        </is>
      </c>
      <c r="G1347" s="48" t="n">
        <v>0</v>
      </c>
      <c r="H1347" s="48" t="n">
        <v>0</v>
      </c>
      <c r="I1347" s="48" t="n">
        <v>0</v>
      </c>
      <c r="J1347" s="48" t="n">
        <v>0</v>
      </c>
      <c r="K1347" s="49" t="n">
        <v>0</v>
      </c>
      <c r="L1347" s="49" t="n">
        <v>0</v>
      </c>
      <c r="M1347" s="49" t="n">
        <v>0</v>
      </c>
      <c r="N1347" s="49" t="n">
        <v>0</v>
      </c>
      <c r="O1347" s="49" t="n">
        <v>0</v>
      </c>
      <c r="P1347" s="49" t="n">
        <v>0</v>
      </c>
      <c r="Q1347" s="49" t="n">
        <v>0</v>
      </c>
      <c r="R1347" s="49" t="n">
        <v>0</v>
      </c>
      <c r="S1347" s="50" t="n">
        <v>0</v>
      </c>
      <c r="T1347" s="50" t="n">
        <v>0</v>
      </c>
      <c r="U1347" s="50" t="n">
        <v>0</v>
      </c>
      <c r="V1347" s="50" t="n">
        <v>0</v>
      </c>
      <c r="W1347" s="51" t="n">
        <v>0</v>
      </c>
      <c r="X1347" s="51" t="n">
        <v>0</v>
      </c>
      <c r="Y1347" s="51" t="n">
        <v>0</v>
      </c>
      <c r="Z1347" s="51" t="n">
        <v>0</v>
      </c>
      <c r="AA1347" s="52" t="n">
        <v>0</v>
      </c>
      <c r="AB1347" s="52" t="n">
        <v>0</v>
      </c>
      <c r="AC1347" s="52" t="n">
        <v>0</v>
      </c>
      <c r="AD1347" s="52" t="n">
        <v>0</v>
      </c>
      <c r="AE1347" s="52" t="n">
        <v>0</v>
      </c>
      <c r="AF1347" s="52" t="n">
        <v>0</v>
      </c>
      <c r="AG1347" s="52" t="n">
        <v>0</v>
      </c>
      <c r="AH1347" s="52" t="n">
        <v>0</v>
      </c>
      <c r="AI1347" s="52" t="n">
        <v>0</v>
      </c>
      <c r="AJ1347" s="52" t="n">
        <v>0</v>
      </c>
      <c r="AK1347" s="52" t="n">
        <v>0</v>
      </c>
      <c r="AL1347" s="52" t="n">
        <v>0</v>
      </c>
      <c r="AM1347" s="53" t="n">
        <v>0</v>
      </c>
      <c r="AN1347" s="53" t="n">
        <v>0</v>
      </c>
      <c r="AO1347" s="53" t="n">
        <v>0</v>
      </c>
      <c r="AP1347" s="53" t="n">
        <v>0</v>
      </c>
      <c r="AQ1347" s="52" t="n">
        <v>0</v>
      </c>
      <c r="AR1347" s="52" t="n">
        <v>0</v>
      </c>
      <c r="AS1347" s="52" t="n">
        <v>0</v>
      </c>
      <c r="AT1347" s="52" t="n">
        <v>0</v>
      </c>
      <c r="AU1347" s="53" t="n">
        <v>0</v>
      </c>
      <c r="AV1347" s="53" t="n">
        <v>0</v>
      </c>
      <c r="AW1347" s="53" t="n">
        <v>0</v>
      </c>
      <c r="AX1347" s="53" t="n">
        <v>0</v>
      </c>
      <c r="AY1347" s="52" t="n">
        <v>0</v>
      </c>
      <c r="AZ1347" s="52" t="n">
        <v>0</v>
      </c>
      <c r="BA1347" s="52" t="n">
        <v>0</v>
      </c>
      <c r="BB1347" s="52" t="n">
        <v>0</v>
      </c>
      <c r="BC1347" s="51" t="n">
        <v>0</v>
      </c>
      <c r="BD1347" s="51" t="n">
        <v>0</v>
      </c>
      <c r="BE1347" s="51" t="n">
        <v>0</v>
      </c>
      <c r="BF1347" s="51" t="n">
        <v>0</v>
      </c>
    </row>
    <row r="1348">
      <c r="A1348">
        <f>HYPERLINK("https://www.walmart.com/ip/14527764278", "14527764278")</f>
        <v/>
      </c>
      <c r="B1348" t="inlineStr">
        <is>
          <t>PEANUTS Womens 100% Cotton Family Matching Pajamas Holiday Festive Nightwear Sleepwear 2-Piece Sets for Christmas Gifts (Red Polka Dot, S)</t>
        </is>
      </c>
      <c r="C1348" t="inlineStr">
        <is>
          <t>PEA-PJS-FAMILY-WOMEN-RED-S</t>
        </is>
      </c>
      <c r="D1348" t="inlineStr">
        <is>
          <t>Pajamas</t>
        </is>
      </c>
      <c r="E1348" t="inlineStr">
        <is>
          <t>Peanuts</t>
        </is>
      </c>
      <c r="G1348" s="48" t="n">
        <v>0</v>
      </c>
      <c r="H1348" s="48" t="n">
        <v>0</v>
      </c>
      <c r="I1348" s="48" t="n">
        <v>0</v>
      </c>
      <c r="J1348" s="48" t="n">
        <v>0</v>
      </c>
      <c r="K1348" s="49" t="n">
        <v>0</v>
      </c>
      <c r="L1348" s="49" t="n">
        <v>0</v>
      </c>
      <c r="M1348" s="49" t="n">
        <v>0</v>
      </c>
      <c r="N1348" s="49" t="n">
        <v>0</v>
      </c>
      <c r="O1348" s="49" t="n">
        <v>0</v>
      </c>
      <c r="P1348" s="49" t="n">
        <v>0</v>
      </c>
      <c r="Q1348" s="49" t="n">
        <v>0</v>
      </c>
      <c r="R1348" s="49" t="n">
        <v>0</v>
      </c>
      <c r="S1348" s="50" t="n">
        <v>0</v>
      </c>
      <c r="T1348" s="50" t="n">
        <v>0</v>
      </c>
      <c r="U1348" s="50" t="n">
        <v>0</v>
      </c>
      <c r="V1348" s="50" t="n">
        <v>0</v>
      </c>
      <c r="W1348" s="51" t="n">
        <v>0</v>
      </c>
      <c r="X1348" s="51" t="n">
        <v>0</v>
      </c>
      <c r="Y1348" s="51" t="n">
        <v>0</v>
      </c>
      <c r="Z1348" s="51" t="n">
        <v>0</v>
      </c>
      <c r="AA1348" s="52" t="n">
        <v>0</v>
      </c>
      <c r="AB1348" s="52" t="n">
        <v>0</v>
      </c>
      <c r="AC1348" s="52" t="n">
        <v>0</v>
      </c>
      <c r="AD1348" s="52" t="n">
        <v>0</v>
      </c>
      <c r="AE1348" s="52" t="n">
        <v>0</v>
      </c>
      <c r="AF1348" s="52" t="n">
        <v>0</v>
      </c>
      <c r="AG1348" s="52" t="n">
        <v>0</v>
      </c>
      <c r="AH1348" s="52" t="n">
        <v>0</v>
      </c>
      <c r="AI1348" s="52" t="n">
        <v>0</v>
      </c>
      <c r="AJ1348" s="52" t="n">
        <v>0</v>
      </c>
      <c r="AK1348" s="52" t="n">
        <v>0</v>
      </c>
      <c r="AL1348" s="52" t="n">
        <v>0</v>
      </c>
      <c r="AM1348" s="53" t="n">
        <v>0</v>
      </c>
      <c r="AN1348" s="53" t="n">
        <v>0</v>
      </c>
      <c r="AO1348" s="53" t="n">
        <v>0</v>
      </c>
      <c r="AP1348" s="53" t="n">
        <v>0</v>
      </c>
      <c r="AQ1348" s="52" t="n">
        <v>0</v>
      </c>
      <c r="AR1348" s="52" t="n">
        <v>0</v>
      </c>
      <c r="AS1348" s="52" t="n">
        <v>0</v>
      </c>
      <c r="AT1348" s="52" t="n">
        <v>0</v>
      </c>
      <c r="AU1348" s="53" t="n">
        <v>0</v>
      </c>
      <c r="AV1348" s="53" t="n">
        <v>0</v>
      </c>
      <c r="AW1348" s="53" t="n">
        <v>0</v>
      </c>
      <c r="AX1348" s="53" t="n">
        <v>0</v>
      </c>
      <c r="AY1348" s="52" t="n">
        <v>0</v>
      </c>
      <c r="AZ1348" s="52" t="n">
        <v>0</v>
      </c>
      <c r="BA1348" s="52" t="n">
        <v>0</v>
      </c>
      <c r="BB1348" s="52" t="n">
        <v>0</v>
      </c>
      <c r="BC1348" s="51" t="n">
        <v>0</v>
      </c>
      <c r="BD1348" s="51" t="n">
        <v>0</v>
      </c>
      <c r="BE1348" s="51" t="n">
        <v>0</v>
      </c>
      <c r="BF1348" s="51" t="n">
        <v>0</v>
      </c>
    </row>
    <row r="1349">
      <c r="A1349">
        <f>HYPERLINK("https://www.walmart.com/ip/14527764280", "14527764280")</f>
        <v/>
      </c>
      <c r="B1349" t="inlineStr">
        <is>
          <t>PEANUTS Mens' Cotton Snoopy Family Matching Pajamas 2-Piece Sets for Christmas with Woodstock Charlie Brown Linus, Gift for him (Red Plaid, S)</t>
        </is>
      </c>
      <c r="C1349" t="inlineStr">
        <is>
          <t>PEA-PJS-FAMILY-MEN-REDPLAID-S</t>
        </is>
      </c>
      <c r="D1349" t="inlineStr">
        <is>
          <t>Pajamas</t>
        </is>
      </c>
      <c r="E1349" t="inlineStr">
        <is>
          <t>Peanuts</t>
        </is>
      </c>
      <c r="G1349" s="48" t="n">
        <v>0</v>
      </c>
      <c r="H1349" s="48" t="n">
        <v>0</v>
      </c>
      <c r="I1349" s="48" t="n">
        <v>0</v>
      </c>
      <c r="J1349" s="48" t="n">
        <v>0</v>
      </c>
      <c r="K1349" s="49" t="n">
        <v>0</v>
      </c>
      <c r="L1349" s="49" t="n">
        <v>0</v>
      </c>
      <c r="M1349" s="49" t="n">
        <v>0</v>
      </c>
      <c r="N1349" s="49" t="n">
        <v>0</v>
      </c>
      <c r="O1349" s="49" t="n">
        <v>0</v>
      </c>
      <c r="P1349" s="49" t="n">
        <v>0</v>
      </c>
      <c r="Q1349" s="49" t="n">
        <v>0</v>
      </c>
      <c r="R1349" s="49" t="n">
        <v>0</v>
      </c>
      <c r="S1349" s="50" t="n">
        <v>0</v>
      </c>
      <c r="T1349" s="50" t="n">
        <v>0</v>
      </c>
      <c r="U1349" s="50" t="n">
        <v>0</v>
      </c>
      <c r="V1349" s="50" t="n">
        <v>0</v>
      </c>
      <c r="W1349" s="51" t="n">
        <v>0</v>
      </c>
      <c r="X1349" s="51" t="n">
        <v>0</v>
      </c>
      <c r="Y1349" s="51" t="n">
        <v>0</v>
      </c>
      <c r="Z1349" s="51" t="n">
        <v>0</v>
      </c>
      <c r="AA1349" s="52" t="n">
        <v>0</v>
      </c>
      <c r="AB1349" s="52" t="n">
        <v>0</v>
      </c>
      <c r="AC1349" s="52" t="n">
        <v>0</v>
      </c>
      <c r="AD1349" s="52" t="n">
        <v>0</v>
      </c>
      <c r="AE1349" s="52" t="n">
        <v>0</v>
      </c>
      <c r="AF1349" s="52" t="n">
        <v>0</v>
      </c>
      <c r="AG1349" s="52" t="n">
        <v>0</v>
      </c>
      <c r="AH1349" s="52" t="n">
        <v>0</v>
      </c>
      <c r="AI1349" s="52" t="n">
        <v>0</v>
      </c>
      <c r="AJ1349" s="52" t="n">
        <v>0</v>
      </c>
      <c r="AK1349" s="52" t="n">
        <v>0</v>
      </c>
      <c r="AL1349" s="52" t="n">
        <v>0</v>
      </c>
      <c r="AM1349" s="53" t="n">
        <v>0</v>
      </c>
      <c r="AN1349" s="53" t="n">
        <v>0</v>
      </c>
      <c r="AO1349" s="53" t="n">
        <v>0</v>
      </c>
      <c r="AP1349" s="53" t="n">
        <v>0</v>
      </c>
      <c r="AQ1349" s="52" t="n">
        <v>0</v>
      </c>
      <c r="AR1349" s="52" t="n">
        <v>0</v>
      </c>
      <c r="AS1349" s="52" t="n">
        <v>0</v>
      </c>
      <c r="AT1349" s="52" t="n">
        <v>0</v>
      </c>
      <c r="AU1349" s="53" t="n">
        <v>0</v>
      </c>
      <c r="AV1349" s="53" t="n">
        <v>0</v>
      </c>
      <c r="AW1349" s="53" t="n">
        <v>0</v>
      </c>
      <c r="AX1349" s="53" t="n">
        <v>0</v>
      </c>
      <c r="AY1349" s="52" t="n">
        <v>0</v>
      </c>
      <c r="AZ1349" s="52" t="n">
        <v>0</v>
      </c>
      <c r="BA1349" s="52" t="n">
        <v>0</v>
      </c>
      <c r="BB1349" s="52" t="n">
        <v>0</v>
      </c>
      <c r="BC1349" s="51" t="n">
        <v>0</v>
      </c>
      <c r="BD1349" s="51" t="n">
        <v>0</v>
      </c>
      <c r="BE1349" s="51" t="n">
        <v>0</v>
      </c>
      <c r="BF1349" s="51" t="n">
        <v>0</v>
      </c>
    </row>
    <row r="1350">
      <c r="A1350">
        <f>HYPERLINK("https://www.walmart.com/ip/14527764282", "14527764282")</f>
        <v/>
      </c>
      <c r="B1350" t="inlineStr">
        <is>
          <t>PEANUTS Mens' Cotton Snoopy Family Matching Pajamas 2-Piece Sets for Christmas with Woodstock Charlie Brown Linus, Gift for him (Green Polka Dot, XXL)</t>
        </is>
      </c>
      <c r="C1350" t="inlineStr">
        <is>
          <t>PEA-PJS-FAMILY-MEN-GREEN-2XL</t>
        </is>
      </c>
      <c r="D1350" t="inlineStr">
        <is>
          <t>Pajamas</t>
        </is>
      </c>
      <c r="E1350" t="inlineStr">
        <is>
          <t>Peanuts</t>
        </is>
      </c>
      <c r="G1350" s="48" t="n">
        <v>0</v>
      </c>
      <c r="H1350" s="48" t="n">
        <v>0</v>
      </c>
      <c r="I1350" s="48" t="n">
        <v>0</v>
      </c>
      <c r="J1350" s="48" t="n">
        <v>0</v>
      </c>
      <c r="K1350" s="49" t="n">
        <v>0</v>
      </c>
      <c r="L1350" s="49" t="n">
        <v>0</v>
      </c>
      <c r="M1350" s="49" t="n">
        <v>0</v>
      </c>
      <c r="N1350" s="49" t="n">
        <v>0</v>
      </c>
      <c r="O1350" s="49" t="n">
        <v>0</v>
      </c>
      <c r="P1350" s="49" t="n">
        <v>0</v>
      </c>
      <c r="Q1350" s="49" t="n">
        <v>0</v>
      </c>
      <c r="R1350" s="49" t="n">
        <v>0</v>
      </c>
      <c r="S1350" s="50" t="n">
        <v>0</v>
      </c>
      <c r="T1350" s="50" t="n">
        <v>0</v>
      </c>
      <c r="U1350" s="50" t="n">
        <v>0</v>
      </c>
      <c r="V1350" s="50" t="n">
        <v>0</v>
      </c>
      <c r="W1350" s="51" t="n">
        <v>0</v>
      </c>
      <c r="X1350" s="51" t="n">
        <v>0</v>
      </c>
      <c r="Y1350" s="51" t="n">
        <v>0</v>
      </c>
      <c r="Z1350" s="51" t="n">
        <v>0</v>
      </c>
      <c r="AA1350" s="52" t="n">
        <v>0</v>
      </c>
      <c r="AB1350" s="52" t="n">
        <v>0</v>
      </c>
      <c r="AC1350" s="52" t="n">
        <v>0</v>
      </c>
      <c r="AD1350" s="52" t="n">
        <v>0</v>
      </c>
      <c r="AE1350" s="52" t="n">
        <v>0</v>
      </c>
      <c r="AF1350" s="52" t="n">
        <v>0</v>
      </c>
      <c r="AG1350" s="52" t="n">
        <v>0</v>
      </c>
      <c r="AH1350" s="52" t="n">
        <v>0</v>
      </c>
      <c r="AI1350" s="52" t="n">
        <v>0</v>
      </c>
      <c r="AJ1350" s="52" t="n">
        <v>0</v>
      </c>
      <c r="AK1350" s="52" t="n">
        <v>0</v>
      </c>
      <c r="AL1350" s="52" t="n">
        <v>0</v>
      </c>
      <c r="AM1350" s="53" t="n">
        <v>0</v>
      </c>
      <c r="AN1350" s="53" t="n">
        <v>0</v>
      </c>
      <c r="AO1350" s="53" t="n">
        <v>0</v>
      </c>
      <c r="AP1350" s="53" t="n">
        <v>0</v>
      </c>
      <c r="AQ1350" s="52" t="n">
        <v>0</v>
      </c>
      <c r="AR1350" s="52" t="n">
        <v>0</v>
      </c>
      <c r="AS1350" s="52" t="n">
        <v>0</v>
      </c>
      <c r="AT1350" s="52" t="n">
        <v>0</v>
      </c>
      <c r="AU1350" s="53" t="n">
        <v>0</v>
      </c>
      <c r="AV1350" s="53" t="n">
        <v>0</v>
      </c>
      <c r="AW1350" s="53" t="n">
        <v>0</v>
      </c>
      <c r="AX1350" s="53" t="n">
        <v>0</v>
      </c>
      <c r="AY1350" s="52" t="n">
        <v>0</v>
      </c>
      <c r="AZ1350" s="52" t="n">
        <v>0</v>
      </c>
      <c r="BA1350" s="52" t="n">
        <v>0</v>
      </c>
      <c r="BB1350" s="52" t="n">
        <v>0</v>
      </c>
      <c r="BC1350" s="51" t="n">
        <v>0</v>
      </c>
      <c r="BD1350" s="51" t="n">
        <v>0</v>
      </c>
      <c r="BE1350" s="51" t="n">
        <v>0</v>
      </c>
      <c r="BF1350" s="51" t="n">
        <v>0</v>
      </c>
    </row>
    <row r="1351">
      <c r="A1351">
        <f>HYPERLINK("https://www.walmart.com/ip/1452831611", "1452831611")</f>
        <v/>
      </c>
      <c r="B1351" t="inlineStr">
        <is>
          <t>Tirrinia Men's Trout Ventilate Mesh Fish Embroidery Cap Fishing Hat Navy Blue</t>
        </is>
      </c>
      <c r="C1351" t="inlineStr">
        <is>
          <t>1TRHT7180INFI-TBCB</t>
        </is>
      </c>
      <c r="D1351" t="inlineStr">
        <is>
          <t>Hats</t>
        </is>
      </c>
      <c r="E1351" t="inlineStr">
        <is>
          <t>Tirrinia</t>
        </is>
      </c>
      <c r="F1351" t="inlineStr">
        <is>
          <t>Batch 1 - TR</t>
        </is>
      </c>
      <c r="G1351" s="48" t="n">
        <v>0</v>
      </c>
      <c r="H1351" s="48" t="n">
        <v>0</v>
      </c>
      <c r="I1351" s="48" t="n">
        <v>0</v>
      </c>
      <c r="J1351" s="48" t="n">
        <v>0</v>
      </c>
      <c r="K1351" s="49" t="n">
        <v>0</v>
      </c>
      <c r="L1351" s="49" t="n">
        <v>0</v>
      </c>
      <c r="M1351" s="49" t="n">
        <v>0</v>
      </c>
      <c r="N1351" s="49" t="n">
        <v>0</v>
      </c>
      <c r="O1351" s="49" t="n">
        <v>0</v>
      </c>
      <c r="P1351" s="49" t="n">
        <v>0</v>
      </c>
      <c r="Q1351" s="49" t="n">
        <v>0</v>
      </c>
      <c r="R1351" s="49" t="n">
        <v>0</v>
      </c>
      <c r="S1351" s="50" t="n">
        <v>0</v>
      </c>
      <c r="T1351" s="50" t="n">
        <v>0</v>
      </c>
      <c r="U1351" s="50" t="n">
        <v>0</v>
      </c>
      <c r="V1351" s="50" t="n">
        <v>0</v>
      </c>
      <c r="W1351" s="51" t="n">
        <v>0</v>
      </c>
      <c r="X1351" s="51" t="n">
        <v>0</v>
      </c>
      <c r="Y1351" s="51" t="n">
        <v>0</v>
      </c>
      <c r="Z1351" s="51" t="n">
        <v>0</v>
      </c>
      <c r="AA1351" s="52" t="n">
        <v>0</v>
      </c>
      <c r="AB1351" s="52" t="n">
        <v>0</v>
      </c>
      <c r="AC1351" s="52" t="n">
        <v>0</v>
      </c>
      <c r="AD1351" s="52" t="n">
        <v>0</v>
      </c>
      <c r="AE1351" s="52" t="n">
        <v>0</v>
      </c>
      <c r="AF1351" s="52" t="n">
        <v>0</v>
      </c>
      <c r="AG1351" s="52" t="n">
        <v>0</v>
      </c>
      <c r="AH1351" s="52" t="n">
        <v>0</v>
      </c>
      <c r="AI1351" s="52" t="n">
        <v>0</v>
      </c>
      <c r="AJ1351" s="52" t="n">
        <v>0</v>
      </c>
      <c r="AK1351" s="52" t="n">
        <v>0</v>
      </c>
      <c r="AL1351" s="52" t="n">
        <v>0</v>
      </c>
      <c r="AM1351" s="53" t="n">
        <v>0</v>
      </c>
      <c r="AN1351" s="53" t="n">
        <v>0</v>
      </c>
      <c r="AO1351" s="53" t="n">
        <v>0</v>
      </c>
      <c r="AP1351" s="53" t="n">
        <v>0</v>
      </c>
      <c r="AQ1351" s="52" t="n">
        <v>0</v>
      </c>
      <c r="AR1351" s="52" t="n">
        <v>0</v>
      </c>
      <c r="AS1351" s="52" t="n">
        <v>0</v>
      </c>
      <c r="AT1351" s="52" t="n">
        <v>0</v>
      </c>
      <c r="AU1351" s="53" t="n">
        <v>0</v>
      </c>
      <c r="AV1351" s="53" t="n">
        <v>0</v>
      </c>
      <c r="AW1351" s="53" t="n">
        <v>0</v>
      </c>
      <c r="AX1351" s="53" t="n">
        <v>0</v>
      </c>
      <c r="AY1351" s="52" t="n">
        <v>0</v>
      </c>
      <c r="AZ1351" s="52" t="n">
        <v>0</v>
      </c>
      <c r="BA1351" s="52" t="n">
        <v>0</v>
      </c>
      <c r="BB1351" s="52" t="n">
        <v>0</v>
      </c>
      <c r="BC1351" s="51" t="n">
        <v>0</v>
      </c>
      <c r="BD1351" s="51" t="n">
        <v>0</v>
      </c>
      <c r="BE1351" s="51" t="n">
        <v>0</v>
      </c>
      <c r="BF1351" s="51" t="n">
        <v>0</v>
      </c>
    </row>
    <row r="1352">
      <c r="A1352">
        <f>HYPERLINK("https://www.walmart.com/ip/14529374149", "14529374149")</f>
        <v/>
      </c>
      <c r="B1352" t="inlineStr">
        <is>
          <t>Aeropostale  Backpack for School, College, and Travel， Water Resistant Bookbag Black</t>
        </is>
      </c>
      <c r="C1352" t="inlineStr">
        <is>
          <t>1AEBPK92029BK</t>
        </is>
      </c>
      <c r="D1352" t="inlineStr">
        <is>
          <t>Backpacks</t>
        </is>
      </c>
      <c r="E1352" t="inlineStr">
        <is>
          <t>Aeropostale</t>
        </is>
      </c>
      <c r="G1352" s="48" t="n">
        <v>0</v>
      </c>
      <c r="H1352" s="48" t="n">
        <v>0</v>
      </c>
      <c r="I1352" s="48" t="n">
        <v>0</v>
      </c>
      <c r="J1352" s="48" t="n">
        <v>0</v>
      </c>
      <c r="K1352" s="49" t="n">
        <v>0</v>
      </c>
      <c r="L1352" s="49" t="n">
        <v>0</v>
      </c>
      <c r="M1352" s="49" t="n">
        <v>0</v>
      </c>
      <c r="N1352" s="49" t="n">
        <v>0</v>
      </c>
      <c r="O1352" s="49" t="n">
        <v>0</v>
      </c>
      <c r="P1352" s="49" t="n">
        <v>0</v>
      </c>
      <c r="Q1352" s="49" t="n">
        <v>0</v>
      </c>
      <c r="R1352" s="49" t="n">
        <v>0</v>
      </c>
      <c r="S1352" s="50" t="n">
        <v>0</v>
      </c>
      <c r="T1352" s="50" t="n">
        <v>0</v>
      </c>
      <c r="U1352" s="50" t="n">
        <v>0</v>
      </c>
      <c r="V1352" s="50" t="n">
        <v>0</v>
      </c>
      <c r="W1352" s="51" t="n">
        <v>0</v>
      </c>
      <c r="X1352" s="51" t="n">
        <v>0</v>
      </c>
      <c r="Y1352" s="51" t="n">
        <v>0</v>
      </c>
      <c r="Z1352" s="51" t="n">
        <v>0</v>
      </c>
      <c r="AA1352" s="52" t="n">
        <v>0</v>
      </c>
      <c r="AB1352" s="52" t="n">
        <v>0</v>
      </c>
      <c r="AC1352" s="52" t="n">
        <v>0</v>
      </c>
      <c r="AD1352" s="52" t="n">
        <v>0</v>
      </c>
      <c r="AE1352" s="52" t="n">
        <v>0</v>
      </c>
      <c r="AF1352" s="52" t="n">
        <v>0</v>
      </c>
      <c r="AG1352" s="52" t="n">
        <v>0</v>
      </c>
      <c r="AH1352" s="52" t="n">
        <v>0</v>
      </c>
      <c r="AI1352" s="52" t="n">
        <v>0</v>
      </c>
      <c r="AJ1352" s="52" t="n">
        <v>0</v>
      </c>
      <c r="AK1352" s="52" t="n">
        <v>0</v>
      </c>
      <c r="AL1352" s="52" t="n">
        <v>0</v>
      </c>
      <c r="AM1352" s="53" t="n">
        <v>0</v>
      </c>
      <c r="AN1352" s="53" t="n">
        <v>0</v>
      </c>
      <c r="AO1352" s="53" t="n">
        <v>0</v>
      </c>
      <c r="AP1352" s="53" t="n">
        <v>0</v>
      </c>
      <c r="AQ1352" s="52" t="n">
        <v>0</v>
      </c>
      <c r="AR1352" s="52" t="n">
        <v>0</v>
      </c>
      <c r="AS1352" s="52" t="n">
        <v>0</v>
      </c>
      <c r="AT1352" s="52" t="n">
        <v>0</v>
      </c>
      <c r="AU1352" s="53" t="n">
        <v>0</v>
      </c>
      <c r="AV1352" s="53" t="n">
        <v>0</v>
      </c>
      <c r="AW1352" s="53" t="n">
        <v>0</v>
      </c>
      <c r="AX1352" s="53" t="n">
        <v>0</v>
      </c>
      <c r="AY1352" s="52" t="n">
        <v>0</v>
      </c>
      <c r="AZ1352" s="52" t="n">
        <v>0</v>
      </c>
      <c r="BA1352" s="52" t="n">
        <v>0</v>
      </c>
      <c r="BB1352" s="52" t="n">
        <v>0</v>
      </c>
      <c r="BC1352" s="51" t="n">
        <v>0</v>
      </c>
      <c r="BD1352" s="51" t="n">
        <v>0</v>
      </c>
      <c r="BE1352" s="51" t="n">
        <v>0</v>
      </c>
      <c r="BF1352" s="51" t="n">
        <v>0</v>
      </c>
    </row>
    <row r="1353">
      <c r="A1353">
        <f>HYPERLINK("https://www.walmart.com/ip/14529374153", "14529374153")</f>
        <v/>
      </c>
      <c r="B1353" t="inlineStr">
        <is>
          <t>Aeropostale  Backpack for School, College, and Travel， Water Resistant Bookbag Navy Red</t>
        </is>
      </c>
      <c r="C1353" t="inlineStr">
        <is>
          <t>1AEBPK92029NYRD</t>
        </is>
      </c>
      <c r="D1353" t="inlineStr">
        <is>
          <t>Backpacks</t>
        </is>
      </c>
      <c r="E1353" t="inlineStr">
        <is>
          <t>Aeropostale</t>
        </is>
      </c>
      <c r="G1353" s="48" t="n">
        <v>0</v>
      </c>
      <c r="H1353" s="48" t="n">
        <v>0</v>
      </c>
      <c r="I1353" s="48" t="n">
        <v>0</v>
      </c>
      <c r="J1353" s="48" t="n">
        <v>0</v>
      </c>
      <c r="K1353" s="49" t="n">
        <v>0</v>
      </c>
      <c r="L1353" s="49" t="n">
        <v>0</v>
      </c>
      <c r="M1353" s="49" t="n">
        <v>0</v>
      </c>
      <c r="N1353" s="49" t="n">
        <v>0</v>
      </c>
      <c r="O1353" s="49" t="n">
        <v>0</v>
      </c>
      <c r="P1353" s="49" t="n">
        <v>0</v>
      </c>
      <c r="Q1353" s="49" t="n">
        <v>0</v>
      </c>
      <c r="R1353" s="49" t="n">
        <v>0</v>
      </c>
      <c r="S1353" s="50" t="n">
        <v>0</v>
      </c>
      <c r="T1353" s="50" t="n">
        <v>0</v>
      </c>
      <c r="U1353" s="50" t="n">
        <v>0</v>
      </c>
      <c r="V1353" s="50" t="n">
        <v>0</v>
      </c>
      <c r="W1353" s="51" t="n">
        <v>0</v>
      </c>
      <c r="X1353" s="51" t="n">
        <v>0</v>
      </c>
      <c r="Y1353" s="51" t="n">
        <v>0</v>
      </c>
      <c r="Z1353" s="51" t="n">
        <v>0</v>
      </c>
      <c r="AA1353" s="52" t="n">
        <v>0</v>
      </c>
      <c r="AB1353" s="52" t="n">
        <v>0</v>
      </c>
      <c r="AC1353" s="52" t="n">
        <v>0</v>
      </c>
      <c r="AD1353" s="52" t="n">
        <v>0</v>
      </c>
      <c r="AE1353" s="52" t="n">
        <v>0</v>
      </c>
      <c r="AF1353" s="52" t="n">
        <v>0</v>
      </c>
      <c r="AG1353" s="52" t="n">
        <v>0</v>
      </c>
      <c r="AH1353" s="52" t="n">
        <v>0</v>
      </c>
      <c r="AI1353" s="52" t="n">
        <v>0</v>
      </c>
      <c r="AJ1353" s="52" t="n">
        <v>0</v>
      </c>
      <c r="AK1353" s="52" t="n">
        <v>0</v>
      </c>
      <c r="AL1353" s="52" t="n">
        <v>0</v>
      </c>
      <c r="AM1353" s="53" t="n">
        <v>0</v>
      </c>
      <c r="AN1353" s="53" t="n">
        <v>0</v>
      </c>
      <c r="AO1353" s="53" t="n">
        <v>0</v>
      </c>
      <c r="AP1353" s="53" t="n">
        <v>0</v>
      </c>
      <c r="AQ1353" s="52" t="n">
        <v>0</v>
      </c>
      <c r="AR1353" s="52" t="n">
        <v>0</v>
      </c>
      <c r="AS1353" s="52" t="n">
        <v>0</v>
      </c>
      <c r="AT1353" s="52" t="n">
        <v>0</v>
      </c>
      <c r="AU1353" s="53" t="n">
        <v>0</v>
      </c>
      <c r="AV1353" s="53" t="n">
        <v>0</v>
      </c>
      <c r="AW1353" s="53" t="n">
        <v>0</v>
      </c>
      <c r="AX1353" s="53" t="n">
        <v>0</v>
      </c>
      <c r="AY1353" s="52" t="n">
        <v>0</v>
      </c>
      <c r="AZ1353" s="52" t="n">
        <v>0</v>
      </c>
      <c r="BA1353" s="52" t="n">
        <v>0</v>
      </c>
      <c r="BB1353" s="52" t="n">
        <v>0</v>
      </c>
      <c r="BC1353" s="51" t="n">
        <v>0</v>
      </c>
      <c r="BD1353" s="51" t="n">
        <v>0</v>
      </c>
      <c r="BE1353" s="51" t="n">
        <v>0</v>
      </c>
      <c r="BF1353" s="51" t="n">
        <v>0</v>
      </c>
    </row>
    <row r="1354">
      <c r="A1354">
        <f>HYPERLINK("https://www.walmart.com/ip/14529424212", "14529424212")</f>
        <v/>
      </c>
      <c r="B1354" t="inlineStr">
        <is>
          <t>Aeropostale  Backpack for School, College, and Travel， Water Resistant Bookbag Pink Rose</t>
        </is>
      </c>
      <c r="C1354" t="inlineStr">
        <is>
          <t>1AEBPK92029PKROSE</t>
        </is>
      </c>
      <c r="D1354" t="inlineStr">
        <is>
          <t>Backpacks</t>
        </is>
      </c>
      <c r="E1354" t="inlineStr">
        <is>
          <t>Aeropostale</t>
        </is>
      </c>
      <c r="G1354" s="48" t="n">
        <v>0</v>
      </c>
      <c r="H1354" s="48" t="n">
        <v>0</v>
      </c>
      <c r="I1354" s="48" t="n">
        <v>0</v>
      </c>
      <c r="J1354" s="48" t="n">
        <v>0</v>
      </c>
      <c r="K1354" s="49" t="n">
        <v>0</v>
      </c>
      <c r="L1354" s="49" t="n">
        <v>0</v>
      </c>
      <c r="M1354" s="49" t="n">
        <v>0</v>
      </c>
      <c r="N1354" s="49" t="n">
        <v>0</v>
      </c>
      <c r="O1354" s="49" t="n">
        <v>0</v>
      </c>
      <c r="P1354" s="49" t="n">
        <v>0</v>
      </c>
      <c r="Q1354" s="49" t="n">
        <v>0</v>
      </c>
      <c r="R1354" s="49" t="n">
        <v>0</v>
      </c>
      <c r="S1354" s="50" t="n">
        <v>0</v>
      </c>
      <c r="T1354" s="50" t="n">
        <v>0</v>
      </c>
      <c r="U1354" s="50" t="n">
        <v>0</v>
      </c>
      <c r="V1354" s="50" t="n">
        <v>0</v>
      </c>
      <c r="W1354" s="51" t="n">
        <v>0</v>
      </c>
      <c r="X1354" s="51" t="n">
        <v>0</v>
      </c>
      <c r="Y1354" s="51" t="n">
        <v>0</v>
      </c>
      <c r="Z1354" s="51" t="n">
        <v>0</v>
      </c>
      <c r="AA1354" s="52" t="n">
        <v>0</v>
      </c>
      <c r="AB1354" s="52" t="n">
        <v>0</v>
      </c>
      <c r="AC1354" s="52" t="n">
        <v>0</v>
      </c>
      <c r="AD1354" s="52" t="n">
        <v>0</v>
      </c>
      <c r="AE1354" s="52" t="n">
        <v>0</v>
      </c>
      <c r="AF1354" s="52" t="n">
        <v>0</v>
      </c>
      <c r="AG1354" s="52" t="n">
        <v>0</v>
      </c>
      <c r="AH1354" s="52" t="n">
        <v>0</v>
      </c>
      <c r="AI1354" s="52" t="n">
        <v>0</v>
      </c>
      <c r="AJ1354" s="52" t="n">
        <v>0</v>
      </c>
      <c r="AK1354" s="52" t="n">
        <v>0</v>
      </c>
      <c r="AL1354" s="52" t="n">
        <v>0</v>
      </c>
      <c r="AM1354" s="53" t="n">
        <v>0</v>
      </c>
      <c r="AN1354" s="53" t="n">
        <v>0</v>
      </c>
      <c r="AO1354" s="53" t="n">
        <v>0</v>
      </c>
      <c r="AP1354" s="53" t="n">
        <v>0</v>
      </c>
      <c r="AQ1354" s="52" t="n">
        <v>0</v>
      </c>
      <c r="AR1354" s="52" t="n">
        <v>0</v>
      </c>
      <c r="AS1354" s="52" t="n">
        <v>0</v>
      </c>
      <c r="AT1354" s="52" t="n">
        <v>0</v>
      </c>
      <c r="AU1354" s="53" t="n">
        <v>0</v>
      </c>
      <c r="AV1354" s="53" t="n">
        <v>0</v>
      </c>
      <c r="AW1354" s="53" t="n">
        <v>0</v>
      </c>
      <c r="AX1354" s="53" t="n">
        <v>0</v>
      </c>
      <c r="AY1354" s="52" t="n">
        <v>0</v>
      </c>
      <c r="AZ1354" s="52" t="n">
        <v>0</v>
      </c>
      <c r="BA1354" s="52" t="n">
        <v>0</v>
      </c>
      <c r="BB1354" s="52" t="n">
        <v>0</v>
      </c>
      <c r="BC1354" s="51" t="n">
        <v>0</v>
      </c>
      <c r="BD1354" s="51" t="n">
        <v>0</v>
      </c>
      <c r="BE1354" s="51" t="n">
        <v>0</v>
      </c>
      <c r="BF1354" s="51" t="n">
        <v>0</v>
      </c>
    </row>
    <row r="1355">
      <c r="A1355">
        <f>HYPERLINK("https://www.walmart.com/ip/14529970211", "14529970211")</f>
        <v/>
      </c>
      <c r="B1355" t="inlineStr">
        <is>
          <t>PEANUTS Womens 100% Cotton Family Matching Pajamas Holiday Festive Nightwear Sleepwear 2-Piece Sets for Christmas Gifts (Green Polka Dot, M)</t>
        </is>
      </c>
      <c r="C1355" t="inlineStr">
        <is>
          <t>PEA-PJS-FAMILY-WOMEN-GREEN-M</t>
        </is>
      </c>
      <c r="D1355" t="inlineStr">
        <is>
          <t>Pajamas</t>
        </is>
      </c>
      <c r="E1355" t="inlineStr">
        <is>
          <t>Peanuts</t>
        </is>
      </c>
      <c r="G1355" s="48" t="n">
        <v>0</v>
      </c>
      <c r="H1355" s="48" t="n">
        <v>0</v>
      </c>
      <c r="I1355" s="48" t="n">
        <v>0</v>
      </c>
      <c r="J1355" s="48" t="n">
        <v>0</v>
      </c>
      <c r="K1355" s="49" t="n">
        <v>0</v>
      </c>
      <c r="L1355" s="49" t="n">
        <v>0</v>
      </c>
      <c r="M1355" s="49" t="n">
        <v>0</v>
      </c>
      <c r="N1355" s="49" t="n">
        <v>0</v>
      </c>
      <c r="O1355" s="49" t="n">
        <v>0</v>
      </c>
      <c r="P1355" s="49" t="n">
        <v>0</v>
      </c>
      <c r="Q1355" s="49" t="n">
        <v>0</v>
      </c>
      <c r="R1355" s="49" t="n">
        <v>0</v>
      </c>
      <c r="S1355" s="50" t="n">
        <v>0</v>
      </c>
      <c r="T1355" s="50" t="n">
        <v>0</v>
      </c>
      <c r="U1355" s="50" t="n">
        <v>0</v>
      </c>
      <c r="V1355" s="50" t="n">
        <v>0</v>
      </c>
      <c r="W1355" s="51" t="n">
        <v>0</v>
      </c>
      <c r="X1355" s="51" t="n">
        <v>0</v>
      </c>
      <c r="Y1355" s="51" t="n">
        <v>0</v>
      </c>
      <c r="Z1355" s="51" t="n">
        <v>0</v>
      </c>
      <c r="AA1355" s="52" t="n">
        <v>0</v>
      </c>
      <c r="AB1355" s="52" t="n">
        <v>0</v>
      </c>
      <c r="AC1355" s="52" t="n">
        <v>0</v>
      </c>
      <c r="AD1355" s="52" t="n">
        <v>0</v>
      </c>
      <c r="AE1355" s="52" t="n">
        <v>0</v>
      </c>
      <c r="AF1355" s="52" t="n">
        <v>0</v>
      </c>
      <c r="AG1355" s="52" t="n">
        <v>0</v>
      </c>
      <c r="AH1355" s="52" t="n">
        <v>0</v>
      </c>
      <c r="AI1355" s="52" t="n">
        <v>0</v>
      </c>
      <c r="AJ1355" s="52" t="n">
        <v>0</v>
      </c>
      <c r="AK1355" s="52" t="n">
        <v>0</v>
      </c>
      <c r="AL1355" s="52" t="n">
        <v>0</v>
      </c>
      <c r="AM1355" s="53" t="n">
        <v>0</v>
      </c>
      <c r="AN1355" s="53" t="n">
        <v>0</v>
      </c>
      <c r="AO1355" s="53" t="n">
        <v>0</v>
      </c>
      <c r="AP1355" s="53" t="n">
        <v>0</v>
      </c>
      <c r="AQ1355" s="52" t="n">
        <v>0</v>
      </c>
      <c r="AR1355" s="52" t="n">
        <v>0</v>
      </c>
      <c r="AS1355" s="52" t="n">
        <v>0</v>
      </c>
      <c r="AT1355" s="52" t="n">
        <v>0</v>
      </c>
      <c r="AU1355" s="53" t="n">
        <v>0</v>
      </c>
      <c r="AV1355" s="53" t="n">
        <v>0</v>
      </c>
      <c r="AW1355" s="53" t="n">
        <v>0</v>
      </c>
      <c r="AX1355" s="53" t="n">
        <v>0</v>
      </c>
      <c r="AY1355" s="52" t="n">
        <v>0</v>
      </c>
      <c r="AZ1355" s="52" t="n">
        <v>0</v>
      </c>
      <c r="BA1355" s="52" t="n">
        <v>0</v>
      </c>
      <c r="BB1355" s="52" t="n">
        <v>0</v>
      </c>
      <c r="BC1355" s="51" t="n">
        <v>0</v>
      </c>
      <c r="BD1355" s="51" t="n">
        <v>0</v>
      </c>
      <c r="BE1355" s="51" t="n">
        <v>0</v>
      </c>
      <c r="BF1355" s="51" t="n">
        <v>0</v>
      </c>
    </row>
    <row r="1356">
      <c r="A1356">
        <f>HYPERLINK("https://www.walmart.com/ip/14531053130", "14531053130")</f>
        <v/>
      </c>
      <c r="B1356" t="inlineStr">
        <is>
          <t>PEANUTS Womens 100% Cotton Family Matching Pajamas Holiday Festive Nightwear Sleepwear 2-Piece Sets for Christmas Gifts (Red Plaid, XL)</t>
        </is>
      </c>
      <c r="C1356" t="inlineStr">
        <is>
          <t>PEA-PJS-FAMILY-WOMEN-REDPLAID-XL</t>
        </is>
      </c>
      <c r="D1356" t="inlineStr">
        <is>
          <t>Pajamas</t>
        </is>
      </c>
      <c r="E1356" t="inlineStr">
        <is>
          <t>Peanuts</t>
        </is>
      </c>
      <c r="G1356" s="48" t="n">
        <v>0</v>
      </c>
      <c r="H1356" s="48" t="n">
        <v>0</v>
      </c>
      <c r="I1356" s="48" t="n">
        <v>0</v>
      </c>
      <c r="J1356" s="48" t="n">
        <v>0</v>
      </c>
      <c r="K1356" s="49" t="n">
        <v>0</v>
      </c>
      <c r="L1356" s="49" t="n">
        <v>0</v>
      </c>
      <c r="M1356" s="49" t="n">
        <v>0</v>
      </c>
      <c r="N1356" s="49" t="n">
        <v>0</v>
      </c>
      <c r="O1356" s="49" t="n">
        <v>0</v>
      </c>
      <c r="P1356" s="49" t="n">
        <v>0</v>
      </c>
      <c r="Q1356" s="49" t="n">
        <v>0</v>
      </c>
      <c r="R1356" s="49" t="n">
        <v>0</v>
      </c>
      <c r="S1356" s="50" t="n">
        <v>0</v>
      </c>
      <c r="T1356" s="50" t="n">
        <v>0</v>
      </c>
      <c r="U1356" s="50" t="n">
        <v>0</v>
      </c>
      <c r="V1356" s="50" t="n">
        <v>0</v>
      </c>
      <c r="W1356" s="51" t="n">
        <v>0</v>
      </c>
      <c r="X1356" s="51" t="n">
        <v>0</v>
      </c>
      <c r="Y1356" s="51" t="n">
        <v>0</v>
      </c>
      <c r="Z1356" s="51" t="n">
        <v>0</v>
      </c>
      <c r="AA1356" s="52" t="n">
        <v>0</v>
      </c>
      <c r="AB1356" s="52" t="n">
        <v>0</v>
      </c>
      <c r="AC1356" s="52" t="n">
        <v>0</v>
      </c>
      <c r="AD1356" s="52" t="n">
        <v>0</v>
      </c>
      <c r="AE1356" s="52" t="n">
        <v>0</v>
      </c>
      <c r="AF1356" s="52" t="n">
        <v>0</v>
      </c>
      <c r="AG1356" s="52" t="n">
        <v>0</v>
      </c>
      <c r="AH1356" s="52" t="n">
        <v>0</v>
      </c>
      <c r="AI1356" s="52" t="n">
        <v>0</v>
      </c>
      <c r="AJ1356" s="52" t="n">
        <v>0</v>
      </c>
      <c r="AK1356" s="52" t="n">
        <v>0</v>
      </c>
      <c r="AL1356" s="52" t="n">
        <v>0</v>
      </c>
      <c r="AM1356" s="53" t="n">
        <v>0</v>
      </c>
      <c r="AN1356" s="53" t="n">
        <v>0</v>
      </c>
      <c r="AO1356" s="53" t="n">
        <v>0</v>
      </c>
      <c r="AP1356" s="53" t="n">
        <v>0</v>
      </c>
      <c r="AQ1356" s="52" t="n">
        <v>0</v>
      </c>
      <c r="AR1356" s="52" t="n">
        <v>0</v>
      </c>
      <c r="AS1356" s="52" t="n">
        <v>0</v>
      </c>
      <c r="AT1356" s="52" t="n">
        <v>0</v>
      </c>
      <c r="AU1356" s="53" t="n">
        <v>0</v>
      </c>
      <c r="AV1356" s="53" t="n">
        <v>0</v>
      </c>
      <c r="AW1356" s="53" t="n">
        <v>0</v>
      </c>
      <c r="AX1356" s="53" t="n">
        <v>0</v>
      </c>
      <c r="AY1356" s="52" t="n">
        <v>0</v>
      </c>
      <c r="AZ1356" s="52" t="n">
        <v>0</v>
      </c>
      <c r="BA1356" s="52" t="n">
        <v>0</v>
      </c>
      <c r="BB1356" s="52" t="n">
        <v>0</v>
      </c>
      <c r="BC1356" s="51" t="n">
        <v>0</v>
      </c>
      <c r="BD1356" s="51" t="n">
        <v>0</v>
      </c>
      <c r="BE1356" s="51" t="n">
        <v>0</v>
      </c>
      <c r="BF1356" s="51" t="n">
        <v>0</v>
      </c>
    </row>
    <row r="1357">
      <c r="A1357">
        <f>HYPERLINK("https://www.walmart.com/ip/14531053132", "14531053132")</f>
        <v/>
      </c>
      <c r="B1357" t="inlineStr">
        <is>
          <t>PEANUTS Mens' Cotton Snoopy Family Matching Pajamas 2-Piece Sets for Christmas with Woodstock Charlie Brown Linus, Gift for him (Red Polka Dot, M)</t>
        </is>
      </c>
      <c r="C1357" t="inlineStr">
        <is>
          <t>PEA-PJS-FAMILY-MEN-RED-M</t>
        </is>
      </c>
      <c r="D1357" t="inlineStr">
        <is>
          <t>Pajamas</t>
        </is>
      </c>
      <c r="E1357" t="inlineStr">
        <is>
          <t>Peanuts</t>
        </is>
      </c>
      <c r="G1357" s="48" t="n">
        <v>0</v>
      </c>
      <c r="H1357" s="48" t="n">
        <v>0</v>
      </c>
      <c r="I1357" s="48" t="n">
        <v>0</v>
      </c>
      <c r="J1357" s="48" t="n">
        <v>0</v>
      </c>
      <c r="K1357" s="49" t="n">
        <v>0</v>
      </c>
      <c r="L1357" s="49" t="n">
        <v>0</v>
      </c>
      <c r="M1357" s="49" t="n">
        <v>0</v>
      </c>
      <c r="N1357" s="49" t="n">
        <v>0</v>
      </c>
      <c r="O1357" s="49" t="n">
        <v>0</v>
      </c>
      <c r="P1357" s="49" t="n">
        <v>0</v>
      </c>
      <c r="Q1357" s="49" t="n">
        <v>0</v>
      </c>
      <c r="R1357" s="49" t="n">
        <v>0</v>
      </c>
      <c r="S1357" s="50" t="n">
        <v>0</v>
      </c>
      <c r="T1357" s="50" t="n">
        <v>0</v>
      </c>
      <c r="U1357" s="50" t="n">
        <v>0</v>
      </c>
      <c r="V1357" s="50" t="n">
        <v>0</v>
      </c>
      <c r="W1357" s="51" t="n">
        <v>0</v>
      </c>
      <c r="X1357" s="51" t="n">
        <v>0</v>
      </c>
      <c r="Y1357" s="51" t="n">
        <v>0</v>
      </c>
      <c r="Z1357" s="51" t="n">
        <v>0</v>
      </c>
      <c r="AA1357" s="52" t="n">
        <v>0</v>
      </c>
      <c r="AB1357" s="52" t="n">
        <v>0</v>
      </c>
      <c r="AC1357" s="52" t="n">
        <v>0</v>
      </c>
      <c r="AD1357" s="52" t="n">
        <v>0</v>
      </c>
      <c r="AE1357" s="52" t="n">
        <v>0</v>
      </c>
      <c r="AF1357" s="52" t="n">
        <v>0</v>
      </c>
      <c r="AG1357" s="52" t="n">
        <v>0</v>
      </c>
      <c r="AH1357" s="52" t="n">
        <v>0</v>
      </c>
      <c r="AI1357" s="52" t="n">
        <v>0</v>
      </c>
      <c r="AJ1357" s="52" t="n">
        <v>0</v>
      </c>
      <c r="AK1357" s="52" t="n">
        <v>0</v>
      </c>
      <c r="AL1357" s="52" t="n">
        <v>0</v>
      </c>
      <c r="AM1357" s="53" t="n">
        <v>0</v>
      </c>
      <c r="AN1357" s="53" t="n">
        <v>0</v>
      </c>
      <c r="AO1357" s="53" t="n">
        <v>0</v>
      </c>
      <c r="AP1357" s="53" t="n">
        <v>0</v>
      </c>
      <c r="AQ1357" s="52" t="n">
        <v>0</v>
      </c>
      <c r="AR1357" s="52" t="n">
        <v>0</v>
      </c>
      <c r="AS1357" s="52" t="n">
        <v>0</v>
      </c>
      <c r="AT1357" s="52" t="n">
        <v>0</v>
      </c>
      <c r="AU1357" s="53" t="n">
        <v>0</v>
      </c>
      <c r="AV1357" s="53" t="n">
        <v>0</v>
      </c>
      <c r="AW1357" s="53" t="n">
        <v>0</v>
      </c>
      <c r="AX1357" s="53" t="n">
        <v>0</v>
      </c>
      <c r="AY1357" s="52" t="n">
        <v>0</v>
      </c>
      <c r="AZ1357" s="52" t="n">
        <v>0</v>
      </c>
      <c r="BA1357" s="52" t="n">
        <v>0</v>
      </c>
      <c r="BB1357" s="52" t="n">
        <v>0</v>
      </c>
      <c r="BC1357" s="51" t="n">
        <v>0</v>
      </c>
      <c r="BD1357" s="51" t="n">
        <v>0</v>
      </c>
      <c r="BE1357" s="51" t="n">
        <v>0</v>
      </c>
      <c r="BF1357" s="51" t="n">
        <v>0</v>
      </c>
    </row>
    <row r="1358">
      <c r="A1358">
        <f>HYPERLINK("https://www.walmart.com/ip/14531053915", "14531053915")</f>
        <v/>
      </c>
      <c r="B1358" t="inlineStr">
        <is>
          <t>PEANUTS Toddler Boys Girls Snoopy Family Matching Pajamas 2-Piece Sets for Christmas with Woodstock Charlie Brown Linus (Green Polka Dot, 2T)</t>
        </is>
      </c>
      <c r="C1358" t="inlineStr">
        <is>
          <t>PEA-PJS-FAMILY-TODDLER-GREEN-2T</t>
        </is>
      </c>
      <c r="D1358" t="inlineStr">
        <is>
          <t>Pajamas</t>
        </is>
      </c>
      <c r="E1358" t="inlineStr">
        <is>
          <t>Peanuts</t>
        </is>
      </c>
      <c r="G1358" s="48" t="n">
        <v>0</v>
      </c>
      <c r="H1358" s="48" t="n">
        <v>0</v>
      </c>
      <c r="I1358" s="48" t="n">
        <v>0</v>
      </c>
      <c r="J1358" s="48" t="n">
        <v>0</v>
      </c>
      <c r="K1358" s="49" t="n">
        <v>0</v>
      </c>
      <c r="L1358" s="49" t="n">
        <v>0</v>
      </c>
      <c r="M1358" s="49" t="n">
        <v>0</v>
      </c>
      <c r="N1358" s="49" t="n">
        <v>0</v>
      </c>
      <c r="O1358" s="49" t="n">
        <v>0</v>
      </c>
      <c r="P1358" s="49" t="n">
        <v>0</v>
      </c>
      <c r="Q1358" s="49" t="n">
        <v>0</v>
      </c>
      <c r="R1358" s="49" t="n">
        <v>0</v>
      </c>
      <c r="S1358" s="50" t="n">
        <v>0</v>
      </c>
      <c r="T1358" s="50" t="n">
        <v>0</v>
      </c>
      <c r="U1358" s="50" t="n">
        <v>0</v>
      </c>
      <c r="V1358" s="50" t="n">
        <v>0</v>
      </c>
      <c r="W1358" s="51" t="n">
        <v>0</v>
      </c>
      <c r="X1358" s="51" t="n">
        <v>0</v>
      </c>
      <c r="Y1358" s="51" t="n">
        <v>0</v>
      </c>
      <c r="Z1358" s="51" t="n">
        <v>0</v>
      </c>
      <c r="AA1358" s="52" t="n">
        <v>0</v>
      </c>
      <c r="AB1358" s="52" t="n">
        <v>0</v>
      </c>
      <c r="AC1358" s="52" t="n">
        <v>0</v>
      </c>
      <c r="AD1358" s="52" t="n">
        <v>0</v>
      </c>
      <c r="AE1358" s="52" t="n">
        <v>0</v>
      </c>
      <c r="AF1358" s="52" t="n">
        <v>0</v>
      </c>
      <c r="AG1358" s="52" t="n">
        <v>0</v>
      </c>
      <c r="AH1358" s="52" t="n">
        <v>0</v>
      </c>
      <c r="AI1358" s="52" t="n">
        <v>0</v>
      </c>
      <c r="AJ1358" s="52" t="n">
        <v>0</v>
      </c>
      <c r="AK1358" s="52" t="n">
        <v>0</v>
      </c>
      <c r="AL1358" s="52" t="n">
        <v>0</v>
      </c>
      <c r="AM1358" s="53" t="n">
        <v>0</v>
      </c>
      <c r="AN1358" s="53" t="n">
        <v>0</v>
      </c>
      <c r="AO1358" s="53" t="n">
        <v>0</v>
      </c>
      <c r="AP1358" s="53" t="n">
        <v>0</v>
      </c>
      <c r="AQ1358" s="52" t="n">
        <v>0</v>
      </c>
      <c r="AR1358" s="52" t="n">
        <v>0</v>
      </c>
      <c r="AS1358" s="52" t="n">
        <v>0</v>
      </c>
      <c r="AT1358" s="52" t="n">
        <v>0</v>
      </c>
      <c r="AU1358" s="53" t="n">
        <v>0</v>
      </c>
      <c r="AV1358" s="53" t="n">
        <v>0</v>
      </c>
      <c r="AW1358" s="53" t="n">
        <v>0</v>
      </c>
      <c r="AX1358" s="53" t="n">
        <v>0</v>
      </c>
      <c r="AY1358" s="52" t="n">
        <v>0</v>
      </c>
      <c r="AZ1358" s="52" t="n">
        <v>0</v>
      </c>
      <c r="BA1358" s="52" t="n">
        <v>0</v>
      </c>
      <c r="BB1358" s="52" t="n">
        <v>0</v>
      </c>
      <c r="BC1358" s="51" t="n">
        <v>0</v>
      </c>
      <c r="BD1358" s="51" t="n">
        <v>0</v>
      </c>
      <c r="BE1358" s="51" t="n">
        <v>0</v>
      </c>
      <c r="BF1358" s="51" t="n">
        <v>0</v>
      </c>
    </row>
    <row r="1359">
      <c r="A1359">
        <f>HYPERLINK("https://www.walmart.com/ip/14531053917", "14531053917")</f>
        <v/>
      </c>
      <c r="B1359" t="inlineStr">
        <is>
          <t>PEANUTS Mens' Cotton Snoopy Family Matching Pajamas 2-Piece Sets for Christmas with Woodstock Charlie Brown Linus, Gift for him (Green Polka Dot, S)</t>
        </is>
      </c>
      <c r="C1359" t="inlineStr">
        <is>
          <t>PEA-PJS-FAMILY-MEN-GREEN-S</t>
        </is>
      </c>
      <c r="D1359" t="inlineStr">
        <is>
          <t>Pajamas</t>
        </is>
      </c>
      <c r="E1359" t="inlineStr">
        <is>
          <t>Peanuts</t>
        </is>
      </c>
      <c r="G1359" s="48" t="n">
        <v>0</v>
      </c>
      <c r="H1359" s="48" t="n">
        <v>0</v>
      </c>
      <c r="I1359" s="48" t="n">
        <v>0</v>
      </c>
      <c r="J1359" s="48" t="n">
        <v>0</v>
      </c>
      <c r="K1359" s="49" t="n">
        <v>0</v>
      </c>
      <c r="L1359" s="49" t="n">
        <v>0</v>
      </c>
      <c r="M1359" s="49" t="n">
        <v>0</v>
      </c>
      <c r="N1359" s="49" t="n">
        <v>0</v>
      </c>
      <c r="O1359" s="49" t="n">
        <v>0</v>
      </c>
      <c r="P1359" s="49" t="n">
        <v>0</v>
      </c>
      <c r="Q1359" s="49" t="n">
        <v>0</v>
      </c>
      <c r="R1359" s="49" t="n">
        <v>0</v>
      </c>
      <c r="S1359" s="50" t="n">
        <v>0</v>
      </c>
      <c r="T1359" s="50" t="n">
        <v>0</v>
      </c>
      <c r="U1359" s="50" t="n">
        <v>0</v>
      </c>
      <c r="V1359" s="50" t="n">
        <v>0</v>
      </c>
      <c r="W1359" s="51" t="n">
        <v>0</v>
      </c>
      <c r="X1359" s="51" t="n">
        <v>0</v>
      </c>
      <c r="Y1359" s="51" t="n">
        <v>0</v>
      </c>
      <c r="Z1359" s="51" t="n">
        <v>0</v>
      </c>
      <c r="AA1359" s="52" t="n">
        <v>0</v>
      </c>
      <c r="AB1359" s="52" t="n">
        <v>0</v>
      </c>
      <c r="AC1359" s="52" t="n">
        <v>0</v>
      </c>
      <c r="AD1359" s="52" t="n">
        <v>0</v>
      </c>
      <c r="AE1359" s="52" t="n">
        <v>0</v>
      </c>
      <c r="AF1359" s="52" t="n">
        <v>0</v>
      </c>
      <c r="AG1359" s="52" t="n">
        <v>0</v>
      </c>
      <c r="AH1359" s="52" t="n">
        <v>0</v>
      </c>
      <c r="AI1359" s="52" t="n">
        <v>0</v>
      </c>
      <c r="AJ1359" s="52" t="n">
        <v>0</v>
      </c>
      <c r="AK1359" s="52" t="n">
        <v>0</v>
      </c>
      <c r="AL1359" s="52" t="n">
        <v>0</v>
      </c>
      <c r="AM1359" s="53" t="n">
        <v>0</v>
      </c>
      <c r="AN1359" s="53" t="n">
        <v>0</v>
      </c>
      <c r="AO1359" s="53" t="n">
        <v>0</v>
      </c>
      <c r="AP1359" s="53" t="n">
        <v>0</v>
      </c>
      <c r="AQ1359" s="52" t="n">
        <v>0</v>
      </c>
      <c r="AR1359" s="52" t="n">
        <v>0</v>
      </c>
      <c r="AS1359" s="52" t="n">
        <v>0</v>
      </c>
      <c r="AT1359" s="52" t="n">
        <v>0</v>
      </c>
      <c r="AU1359" s="53" t="n">
        <v>0</v>
      </c>
      <c r="AV1359" s="53" t="n">
        <v>0</v>
      </c>
      <c r="AW1359" s="53" t="n">
        <v>0</v>
      </c>
      <c r="AX1359" s="53" t="n">
        <v>0</v>
      </c>
      <c r="AY1359" s="52" t="n">
        <v>0</v>
      </c>
      <c r="AZ1359" s="52" t="n">
        <v>0</v>
      </c>
      <c r="BA1359" s="52" t="n">
        <v>0</v>
      </c>
      <c r="BB1359" s="52" t="n">
        <v>0</v>
      </c>
      <c r="BC1359" s="51" t="n">
        <v>0</v>
      </c>
      <c r="BD1359" s="51" t="n">
        <v>0</v>
      </c>
      <c r="BE1359" s="51" t="n">
        <v>0</v>
      </c>
      <c r="BF1359" s="51" t="n">
        <v>0</v>
      </c>
    </row>
    <row r="1360">
      <c r="A1360">
        <f>HYPERLINK("https://www.walmart.com/ip/14531103493", "14531103493")</f>
        <v/>
      </c>
      <c r="B1360" t="inlineStr">
        <is>
          <t>PEANUTS Mens' Cotton Snoopy Family Matching Pajamas 2-Piece Sets for Christmas with Woodstock Charlie Brown Linus, Gift for him (Red Plaid, L)</t>
        </is>
      </c>
      <c r="C1360" t="inlineStr">
        <is>
          <t>PEA-PJS-FAMILY-MEN-REDPLAID-L</t>
        </is>
      </c>
      <c r="D1360" t="inlineStr">
        <is>
          <t>Pajamas</t>
        </is>
      </c>
      <c r="E1360" t="inlineStr">
        <is>
          <t>Peanuts</t>
        </is>
      </c>
      <c r="G1360" s="48" t="n">
        <v>0</v>
      </c>
      <c r="H1360" s="48" t="n">
        <v>0</v>
      </c>
      <c r="I1360" s="48" t="n">
        <v>0</v>
      </c>
      <c r="J1360" s="48" t="n">
        <v>0</v>
      </c>
      <c r="K1360" s="49" t="n">
        <v>0</v>
      </c>
      <c r="L1360" s="49" t="n">
        <v>0</v>
      </c>
      <c r="M1360" s="49" t="n">
        <v>0</v>
      </c>
      <c r="N1360" s="49" t="n">
        <v>0</v>
      </c>
      <c r="O1360" s="49" t="n">
        <v>0</v>
      </c>
      <c r="P1360" s="49" t="n">
        <v>0</v>
      </c>
      <c r="Q1360" s="49" t="n">
        <v>0</v>
      </c>
      <c r="R1360" s="49" t="n">
        <v>0</v>
      </c>
      <c r="S1360" s="50" t="n">
        <v>0</v>
      </c>
      <c r="T1360" s="50" t="n">
        <v>0</v>
      </c>
      <c r="U1360" s="50" t="n">
        <v>0</v>
      </c>
      <c r="V1360" s="50" t="n">
        <v>0</v>
      </c>
      <c r="W1360" s="51" t="n">
        <v>0</v>
      </c>
      <c r="X1360" s="51" t="n">
        <v>0</v>
      </c>
      <c r="Y1360" s="51" t="n">
        <v>0</v>
      </c>
      <c r="Z1360" s="51" t="n">
        <v>0</v>
      </c>
      <c r="AA1360" s="52" t="n">
        <v>0</v>
      </c>
      <c r="AB1360" s="52" t="n">
        <v>0</v>
      </c>
      <c r="AC1360" s="52" t="n">
        <v>0</v>
      </c>
      <c r="AD1360" s="52" t="n">
        <v>0</v>
      </c>
      <c r="AE1360" s="52" t="n">
        <v>0</v>
      </c>
      <c r="AF1360" s="52" t="n">
        <v>0</v>
      </c>
      <c r="AG1360" s="52" t="n">
        <v>0</v>
      </c>
      <c r="AH1360" s="52" t="n">
        <v>0</v>
      </c>
      <c r="AI1360" s="52" t="n">
        <v>0</v>
      </c>
      <c r="AJ1360" s="52" t="n">
        <v>0</v>
      </c>
      <c r="AK1360" s="52" t="n">
        <v>0</v>
      </c>
      <c r="AL1360" s="52" t="n">
        <v>0</v>
      </c>
      <c r="AM1360" s="53" t="n">
        <v>0</v>
      </c>
      <c r="AN1360" s="53" t="n">
        <v>0</v>
      </c>
      <c r="AO1360" s="53" t="n">
        <v>0</v>
      </c>
      <c r="AP1360" s="53" t="n">
        <v>0</v>
      </c>
      <c r="AQ1360" s="52" t="n">
        <v>0</v>
      </c>
      <c r="AR1360" s="52" t="n">
        <v>0</v>
      </c>
      <c r="AS1360" s="52" t="n">
        <v>0</v>
      </c>
      <c r="AT1360" s="52" t="n">
        <v>0</v>
      </c>
      <c r="AU1360" s="53" t="n">
        <v>0</v>
      </c>
      <c r="AV1360" s="53" t="n">
        <v>0</v>
      </c>
      <c r="AW1360" s="53" t="n">
        <v>0</v>
      </c>
      <c r="AX1360" s="53" t="n">
        <v>0</v>
      </c>
      <c r="AY1360" s="52" t="n">
        <v>0</v>
      </c>
      <c r="AZ1360" s="52" t="n">
        <v>0</v>
      </c>
      <c r="BA1360" s="52" t="n">
        <v>0</v>
      </c>
      <c r="BB1360" s="52" t="n">
        <v>0</v>
      </c>
      <c r="BC1360" s="51" t="n">
        <v>0</v>
      </c>
      <c r="BD1360" s="51" t="n">
        <v>0</v>
      </c>
      <c r="BE1360" s="51" t="n">
        <v>0</v>
      </c>
      <c r="BF1360" s="51" t="n">
        <v>0</v>
      </c>
    </row>
    <row r="1361">
      <c r="A1361">
        <f>HYPERLINK("https://www.walmart.com/ip/14526353104", "14526353104")</f>
        <v/>
      </c>
      <c r="B1361" t="inlineStr">
        <is>
          <t>PEANUTS Snoopy Cotton Family Matching Pajamas Holiday 2-Piece Sets for Christmas with Woodstock Charlie Brown Linus for Baby (Green Polka Dot, 18M)</t>
        </is>
      </c>
      <c r="C1361" t="inlineStr">
        <is>
          <t>PEA-PJS-FAMILY-INFANT-GREEN-18M</t>
        </is>
      </c>
      <c r="D1361" t="inlineStr">
        <is>
          <t>Pajamas</t>
        </is>
      </c>
      <c r="E1361" t="inlineStr">
        <is>
          <t>Peanuts</t>
        </is>
      </c>
      <c r="G1361" s="48" t="n">
        <v>0</v>
      </c>
      <c r="H1361" s="48" t="n">
        <v>0</v>
      </c>
      <c r="I1361" s="48" t="n">
        <v>0</v>
      </c>
      <c r="J1361" s="48" t="n">
        <v>0</v>
      </c>
      <c r="K1361" s="49" t="n">
        <v>0</v>
      </c>
      <c r="L1361" s="49" t="n">
        <v>0</v>
      </c>
      <c r="M1361" s="49" t="n">
        <v>0</v>
      </c>
      <c r="N1361" s="49" t="n">
        <v>0</v>
      </c>
      <c r="O1361" s="49" t="n">
        <v>0</v>
      </c>
      <c r="P1361" s="49" t="n">
        <v>0</v>
      </c>
      <c r="Q1361" s="49" t="n">
        <v>0</v>
      </c>
      <c r="R1361" s="49" t="n">
        <v>0</v>
      </c>
      <c r="S1361" s="50" t="n">
        <v>0</v>
      </c>
      <c r="T1361" s="50" t="n">
        <v>0</v>
      </c>
      <c r="U1361" s="50" t="n">
        <v>0</v>
      </c>
      <c r="V1361" s="50" t="n">
        <v>0</v>
      </c>
      <c r="W1361" s="51" t="n">
        <v>0</v>
      </c>
      <c r="X1361" s="51" t="n">
        <v>0</v>
      </c>
      <c r="Y1361" s="51" t="n">
        <v>0</v>
      </c>
      <c r="Z1361" s="51" t="n">
        <v>0</v>
      </c>
      <c r="AA1361" s="52" t="n">
        <v>0</v>
      </c>
      <c r="AB1361" s="52" t="n">
        <v>0</v>
      </c>
      <c r="AC1361" s="52" t="n">
        <v>0</v>
      </c>
      <c r="AD1361" s="52" t="n">
        <v>0</v>
      </c>
      <c r="AE1361" s="52" t="n">
        <v>0</v>
      </c>
      <c r="AF1361" s="52" t="n">
        <v>0</v>
      </c>
      <c r="AG1361" s="52" t="n">
        <v>0</v>
      </c>
      <c r="AH1361" s="52" t="n">
        <v>0</v>
      </c>
      <c r="AI1361" s="52" t="n">
        <v>0</v>
      </c>
      <c r="AJ1361" s="52" t="n">
        <v>0</v>
      </c>
      <c r="AK1361" s="52" t="n">
        <v>0</v>
      </c>
      <c r="AL1361" s="52" t="n">
        <v>0</v>
      </c>
      <c r="AM1361" s="53" t="n">
        <v>0</v>
      </c>
      <c r="AN1361" s="53" t="n">
        <v>0</v>
      </c>
      <c r="AO1361" s="53" t="n">
        <v>0</v>
      </c>
      <c r="AP1361" s="53" t="n">
        <v>0</v>
      </c>
      <c r="AQ1361" s="52" t="n">
        <v>0</v>
      </c>
      <c r="AR1361" s="52" t="n">
        <v>0</v>
      </c>
      <c r="AS1361" s="52" t="n">
        <v>0</v>
      </c>
      <c r="AT1361" s="52" t="n">
        <v>0</v>
      </c>
      <c r="AU1361" s="53" t="n">
        <v>0</v>
      </c>
      <c r="AV1361" s="53" t="n">
        <v>0</v>
      </c>
      <c r="AW1361" s="53" t="n">
        <v>0</v>
      </c>
      <c r="AX1361" s="53" t="n">
        <v>0</v>
      </c>
      <c r="AY1361" s="52" t="n">
        <v>0</v>
      </c>
      <c r="AZ1361" s="52" t="n">
        <v>0</v>
      </c>
      <c r="BA1361" s="52" t="n">
        <v>0</v>
      </c>
      <c r="BB1361" s="52" t="n">
        <v>0</v>
      </c>
      <c r="BC1361" s="51" t="n">
        <v>0</v>
      </c>
      <c r="BD1361" s="51" t="n">
        <v>0</v>
      </c>
      <c r="BE1361" s="51" t="n">
        <v>0</v>
      </c>
      <c r="BF1361" s="51" t="n">
        <v>0</v>
      </c>
    </row>
    <row r="1362">
      <c r="A1362">
        <f>HYPERLINK("https://www.walmart.com/ip/14524812334", "14524812334")</f>
        <v/>
      </c>
      <c r="B1362" t="inlineStr">
        <is>
          <t>PEANUTS Toddler Boys Girls Snoopy Family Matching Pajamas Sleepwear 2-Piece Sets for Christmas with Woodstock Charlie Brown Linus (Red Plaid, 5T)</t>
        </is>
      </c>
      <c r="C1362" t="inlineStr">
        <is>
          <t>PEA-PJS-FAMILY-TODDLER-REDPLAID-5T</t>
        </is>
      </c>
      <c r="D1362" t="inlineStr">
        <is>
          <t>Pajamas</t>
        </is>
      </c>
      <c r="E1362" t="inlineStr">
        <is>
          <t>Peanuts</t>
        </is>
      </c>
      <c r="G1362" s="48" t="n">
        <v>0</v>
      </c>
      <c r="H1362" s="48" t="n">
        <v>0</v>
      </c>
      <c r="I1362" s="48" t="n">
        <v>0</v>
      </c>
      <c r="J1362" s="48" t="n">
        <v>0</v>
      </c>
      <c r="K1362" s="49" t="n">
        <v>0</v>
      </c>
      <c r="L1362" s="49" t="n">
        <v>0</v>
      </c>
      <c r="M1362" s="49" t="n">
        <v>0</v>
      </c>
      <c r="N1362" s="49" t="n">
        <v>0</v>
      </c>
      <c r="O1362" s="49" t="n">
        <v>0</v>
      </c>
      <c r="P1362" s="49" t="n">
        <v>0</v>
      </c>
      <c r="Q1362" s="49" t="n">
        <v>0</v>
      </c>
      <c r="R1362" s="49" t="n">
        <v>0</v>
      </c>
      <c r="S1362" s="50" t="n">
        <v>0</v>
      </c>
      <c r="T1362" s="50" t="n">
        <v>0</v>
      </c>
      <c r="U1362" s="50" t="n">
        <v>0</v>
      </c>
      <c r="V1362" s="50" t="n">
        <v>0</v>
      </c>
      <c r="W1362" s="51" t="n">
        <v>0</v>
      </c>
      <c r="X1362" s="51" t="n">
        <v>0</v>
      </c>
      <c r="Y1362" s="51" t="n">
        <v>0</v>
      </c>
      <c r="Z1362" s="51" t="n">
        <v>0</v>
      </c>
      <c r="AA1362" s="52" t="n">
        <v>0</v>
      </c>
      <c r="AB1362" s="52" t="n">
        <v>0</v>
      </c>
      <c r="AC1362" s="52" t="n">
        <v>0</v>
      </c>
      <c r="AD1362" s="52" t="n">
        <v>0</v>
      </c>
      <c r="AE1362" s="52" t="n">
        <v>0</v>
      </c>
      <c r="AF1362" s="52" t="n">
        <v>0</v>
      </c>
      <c r="AG1362" s="52" t="n">
        <v>0</v>
      </c>
      <c r="AH1362" s="52" t="n">
        <v>0</v>
      </c>
      <c r="AI1362" s="52" t="n">
        <v>0</v>
      </c>
      <c r="AJ1362" s="52" t="n">
        <v>0</v>
      </c>
      <c r="AK1362" s="52" t="n">
        <v>0</v>
      </c>
      <c r="AL1362" s="52" t="n">
        <v>0</v>
      </c>
      <c r="AM1362" s="53" t="n">
        <v>0</v>
      </c>
      <c r="AN1362" s="53" t="n">
        <v>0</v>
      </c>
      <c r="AO1362" s="53" t="n">
        <v>0</v>
      </c>
      <c r="AP1362" s="53" t="n">
        <v>0</v>
      </c>
      <c r="AQ1362" s="52" t="n">
        <v>0</v>
      </c>
      <c r="AR1362" s="52" t="n">
        <v>0</v>
      </c>
      <c r="AS1362" s="52" t="n">
        <v>0</v>
      </c>
      <c r="AT1362" s="52" t="n">
        <v>0</v>
      </c>
      <c r="AU1362" s="53" t="n">
        <v>0</v>
      </c>
      <c r="AV1362" s="53" t="n">
        <v>0</v>
      </c>
      <c r="AW1362" s="53" t="n">
        <v>0</v>
      </c>
      <c r="AX1362" s="53" t="n">
        <v>0</v>
      </c>
      <c r="AY1362" s="52" t="n">
        <v>0</v>
      </c>
      <c r="AZ1362" s="52" t="n">
        <v>0</v>
      </c>
      <c r="BA1362" s="52" t="n">
        <v>0</v>
      </c>
      <c r="BB1362" s="52" t="n">
        <v>0</v>
      </c>
      <c r="BC1362" s="51" t="n">
        <v>0</v>
      </c>
      <c r="BD1362" s="51" t="n">
        <v>0</v>
      </c>
      <c r="BE1362" s="51" t="n">
        <v>0</v>
      </c>
      <c r="BF1362" s="51" t="n">
        <v>0</v>
      </c>
    </row>
    <row r="1363">
      <c r="A1363">
        <f>HYPERLINK("https://www.walmart.com/ip/14514159364", "14514159364")</f>
        <v/>
      </c>
      <c r="B1363" t="inlineStr">
        <is>
          <t>PEANUTS Toddler Boys Girls Snoopy Family Matching Pajamas Sleepwear 2-Piece Sets for Christmas with Woodstock Charlie Brown Linus (Red Plaid, 2T)</t>
        </is>
      </c>
      <c r="C1363" t="inlineStr">
        <is>
          <t>PEA-PJS-FAMILY-TODDLER-REDPLAID-2T</t>
        </is>
      </c>
      <c r="D1363" t="inlineStr">
        <is>
          <t>Pajamas</t>
        </is>
      </c>
      <c r="E1363" t="inlineStr">
        <is>
          <t>Peanuts</t>
        </is>
      </c>
      <c r="G1363" s="48" t="n">
        <v>0</v>
      </c>
      <c r="H1363" s="48" t="n">
        <v>0</v>
      </c>
      <c r="I1363" s="48" t="n">
        <v>0</v>
      </c>
      <c r="J1363" s="48" t="n">
        <v>0</v>
      </c>
      <c r="K1363" s="49" t="n">
        <v>0</v>
      </c>
      <c r="L1363" s="49" t="n">
        <v>0</v>
      </c>
      <c r="M1363" s="49" t="n">
        <v>0</v>
      </c>
      <c r="N1363" s="49" t="n">
        <v>0</v>
      </c>
      <c r="O1363" s="49" t="n">
        <v>0</v>
      </c>
      <c r="P1363" s="49" t="n">
        <v>0</v>
      </c>
      <c r="Q1363" s="49" t="n">
        <v>0</v>
      </c>
      <c r="R1363" s="49" t="n">
        <v>0</v>
      </c>
      <c r="S1363" s="50" t="n">
        <v>0</v>
      </c>
      <c r="T1363" s="50" t="n">
        <v>0</v>
      </c>
      <c r="U1363" s="50" t="n">
        <v>0</v>
      </c>
      <c r="V1363" s="50" t="n">
        <v>0</v>
      </c>
      <c r="W1363" s="51" t="n">
        <v>0</v>
      </c>
      <c r="X1363" s="51" t="n">
        <v>0</v>
      </c>
      <c r="Y1363" s="51" t="n">
        <v>0</v>
      </c>
      <c r="Z1363" s="51" t="n">
        <v>0</v>
      </c>
      <c r="AA1363" s="52" t="n">
        <v>0</v>
      </c>
      <c r="AB1363" s="52" t="n">
        <v>0</v>
      </c>
      <c r="AC1363" s="52" t="n">
        <v>0</v>
      </c>
      <c r="AD1363" s="52" t="n">
        <v>0</v>
      </c>
      <c r="AE1363" s="52" t="n">
        <v>0</v>
      </c>
      <c r="AF1363" s="52" t="n">
        <v>0</v>
      </c>
      <c r="AG1363" s="52" t="n">
        <v>0</v>
      </c>
      <c r="AH1363" s="52" t="n">
        <v>0</v>
      </c>
      <c r="AI1363" s="52" t="n">
        <v>0</v>
      </c>
      <c r="AJ1363" s="52" t="n">
        <v>0</v>
      </c>
      <c r="AK1363" s="52" t="n">
        <v>0</v>
      </c>
      <c r="AL1363" s="52" t="n">
        <v>0</v>
      </c>
      <c r="AM1363" s="53" t="n">
        <v>0</v>
      </c>
      <c r="AN1363" s="53" t="n">
        <v>0</v>
      </c>
      <c r="AO1363" s="53" t="n">
        <v>0</v>
      </c>
      <c r="AP1363" s="53" t="n">
        <v>0</v>
      </c>
      <c r="AQ1363" s="52" t="n">
        <v>0</v>
      </c>
      <c r="AR1363" s="52" t="n">
        <v>0</v>
      </c>
      <c r="AS1363" s="52" t="n">
        <v>0</v>
      </c>
      <c r="AT1363" s="52" t="n">
        <v>0</v>
      </c>
      <c r="AU1363" s="53" t="n">
        <v>0</v>
      </c>
      <c r="AV1363" s="53" t="n">
        <v>0</v>
      </c>
      <c r="AW1363" s="53" t="n">
        <v>0</v>
      </c>
      <c r="AX1363" s="53" t="n">
        <v>0</v>
      </c>
      <c r="AY1363" s="52" t="n">
        <v>0</v>
      </c>
      <c r="AZ1363" s="52" t="n">
        <v>0</v>
      </c>
      <c r="BA1363" s="52" t="n">
        <v>0</v>
      </c>
      <c r="BB1363" s="52" t="n">
        <v>0</v>
      </c>
      <c r="BC1363" s="51" t="n">
        <v>0</v>
      </c>
      <c r="BD1363" s="51" t="n">
        <v>0</v>
      </c>
      <c r="BE1363" s="51" t="n">
        <v>0</v>
      </c>
      <c r="BF1363" s="51" t="n">
        <v>0</v>
      </c>
    </row>
    <row r="1364">
      <c r="A1364">
        <f>HYPERLINK("https://www.walmart.com/ip/14523702239", "14523702239")</f>
        <v/>
      </c>
      <c r="B1364" t="inlineStr">
        <is>
          <t>PEANUTS Toddler Boys Girls Snoopy Family Matching Pajamas Sleepwear 2-Piece Sets for Christmas with Woodstock Charlie Brown Linus (Red Polka Dot, 5T)</t>
        </is>
      </c>
      <c r="C1364" t="inlineStr">
        <is>
          <t>PEA-PJS-FAMILY-TODDLER-RED-5T</t>
        </is>
      </c>
      <c r="D1364" t="inlineStr">
        <is>
          <t>Pajamas</t>
        </is>
      </c>
      <c r="E1364" t="inlineStr">
        <is>
          <t>Peanuts</t>
        </is>
      </c>
      <c r="G1364" s="48" t="n">
        <v>0</v>
      </c>
      <c r="H1364" s="48" t="n">
        <v>0</v>
      </c>
      <c r="I1364" s="48" t="n">
        <v>0</v>
      </c>
      <c r="J1364" s="48" t="n">
        <v>0</v>
      </c>
      <c r="K1364" s="49" t="n">
        <v>0</v>
      </c>
      <c r="L1364" s="49" t="n">
        <v>0</v>
      </c>
      <c r="M1364" s="49" t="n">
        <v>0</v>
      </c>
      <c r="N1364" s="49" t="n">
        <v>0</v>
      </c>
      <c r="O1364" s="49" t="n">
        <v>0</v>
      </c>
      <c r="P1364" s="49" t="n">
        <v>0</v>
      </c>
      <c r="Q1364" s="49" t="n">
        <v>0</v>
      </c>
      <c r="R1364" s="49" t="n">
        <v>0</v>
      </c>
      <c r="S1364" s="50" t="n">
        <v>0</v>
      </c>
      <c r="T1364" s="50" t="n">
        <v>0</v>
      </c>
      <c r="U1364" s="50" t="n">
        <v>0</v>
      </c>
      <c r="V1364" s="50" t="n">
        <v>0</v>
      </c>
      <c r="W1364" s="51" t="n">
        <v>0</v>
      </c>
      <c r="X1364" s="51" t="n">
        <v>0</v>
      </c>
      <c r="Y1364" s="51" t="n">
        <v>0</v>
      </c>
      <c r="Z1364" s="51" t="n">
        <v>0</v>
      </c>
      <c r="AA1364" s="52" t="n">
        <v>0</v>
      </c>
      <c r="AB1364" s="52" t="n">
        <v>0</v>
      </c>
      <c r="AC1364" s="52" t="n">
        <v>0</v>
      </c>
      <c r="AD1364" s="52" t="n">
        <v>0</v>
      </c>
      <c r="AE1364" s="52" t="n">
        <v>0</v>
      </c>
      <c r="AF1364" s="52" t="n">
        <v>0</v>
      </c>
      <c r="AG1364" s="52" t="n">
        <v>0</v>
      </c>
      <c r="AH1364" s="52" t="n">
        <v>0</v>
      </c>
      <c r="AI1364" s="52" t="n">
        <v>0</v>
      </c>
      <c r="AJ1364" s="52" t="n">
        <v>0</v>
      </c>
      <c r="AK1364" s="52" t="n">
        <v>0</v>
      </c>
      <c r="AL1364" s="52" t="n">
        <v>0</v>
      </c>
      <c r="AM1364" s="53" t="n">
        <v>0</v>
      </c>
      <c r="AN1364" s="53" t="n">
        <v>0</v>
      </c>
      <c r="AO1364" s="53" t="n">
        <v>0</v>
      </c>
      <c r="AP1364" s="53" t="n">
        <v>0</v>
      </c>
      <c r="AQ1364" s="52" t="n">
        <v>0</v>
      </c>
      <c r="AR1364" s="52" t="n">
        <v>0</v>
      </c>
      <c r="AS1364" s="52" t="n">
        <v>0</v>
      </c>
      <c r="AT1364" s="52" t="n">
        <v>0</v>
      </c>
      <c r="AU1364" s="53" t="n">
        <v>0</v>
      </c>
      <c r="AV1364" s="53" t="n">
        <v>0</v>
      </c>
      <c r="AW1364" s="53" t="n">
        <v>0</v>
      </c>
      <c r="AX1364" s="53" t="n">
        <v>0</v>
      </c>
      <c r="AY1364" s="52" t="n">
        <v>0</v>
      </c>
      <c r="AZ1364" s="52" t="n">
        <v>0</v>
      </c>
      <c r="BA1364" s="52" t="n">
        <v>0</v>
      </c>
      <c r="BB1364" s="52" t="n">
        <v>0</v>
      </c>
      <c r="BC1364" s="51" t="n">
        <v>0</v>
      </c>
      <c r="BD1364" s="51" t="n">
        <v>0</v>
      </c>
      <c r="BE1364" s="51" t="n">
        <v>0</v>
      </c>
      <c r="BF1364" s="51" t="n">
        <v>0</v>
      </c>
    </row>
    <row r="1365">
      <c r="A1365">
        <f>HYPERLINK("https://www.walmart.com/ip/14514565156", "14514565156")</f>
        <v/>
      </c>
      <c r="B1365" t="inlineStr">
        <is>
          <t>Tirrinia Oversized Blanket Hoodie Sweatshirts, Wearable Fluffy Fleece Plush Blanket, Lightweight Cozy Sweatshirt Blanket Gift for Women Men, Blue</t>
        </is>
      </c>
      <c r="C1365" t="inlineStr">
        <is>
          <t>1TROSH360BK-FS</t>
        </is>
      </c>
      <c r="D1365" t="inlineStr">
        <is>
          <t>Sweatshirts &amp; Hoodies</t>
        </is>
      </c>
      <c r="E1365" t="inlineStr">
        <is>
          <t>Tirrinia</t>
        </is>
      </c>
      <c r="G1365" s="48" t="n">
        <v>0</v>
      </c>
      <c r="H1365" s="48" t="n">
        <v>0</v>
      </c>
      <c r="I1365" s="48" t="n">
        <v>0</v>
      </c>
      <c r="J1365" s="48" t="n">
        <v>0</v>
      </c>
      <c r="K1365" s="49" t="n">
        <v>0</v>
      </c>
      <c r="L1365" s="49" t="n">
        <v>0</v>
      </c>
      <c r="M1365" s="49" t="n">
        <v>0</v>
      </c>
      <c r="N1365" s="49" t="n">
        <v>0</v>
      </c>
      <c r="O1365" s="49" t="n">
        <v>0</v>
      </c>
      <c r="P1365" s="49" t="n">
        <v>0</v>
      </c>
      <c r="Q1365" s="49" t="n">
        <v>0</v>
      </c>
      <c r="R1365" s="49" t="n">
        <v>0</v>
      </c>
      <c r="S1365" s="50" t="n">
        <v>0</v>
      </c>
      <c r="T1365" s="50" t="n">
        <v>0</v>
      </c>
      <c r="U1365" s="50" t="n">
        <v>0</v>
      </c>
      <c r="V1365" s="50" t="n">
        <v>0</v>
      </c>
      <c r="W1365" s="51" t="n">
        <v>0</v>
      </c>
      <c r="X1365" s="51" t="n">
        <v>0</v>
      </c>
      <c r="Y1365" s="51" t="n">
        <v>0</v>
      </c>
      <c r="Z1365" s="51" t="n">
        <v>0</v>
      </c>
      <c r="AA1365" s="52" t="n">
        <v>0</v>
      </c>
      <c r="AB1365" s="52" t="n">
        <v>0</v>
      </c>
      <c r="AC1365" s="52" t="n">
        <v>0</v>
      </c>
      <c r="AD1365" s="52" t="n">
        <v>0</v>
      </c>
      <c r="AE1365" s="52" t="n">
        <v>0</v>
      </c>
      <c r="AF1365" s="52" t="n">
        <v>0</v>
      </c>
      <c r="AG1365" s="52" t="n">
        <v>0</v>
      </c>
      <c r="AH1365" s="52" t="n">
        <v>0</v>
      </c>
      <c r="AI1365" s="52" t="n">
        <v>0</v>
      </c>
      <c r="AJ1365" s="52" t="n">
        <v>0</v>
      </c>
      <c r="AK1365" s="52" t="n">
        <v>0</v>
      </c>
      <c r="AL1365" s="52" t="n">
        <v>0</v>
      </c>
      <c r="AM1365" s="53" t="n">
        <v>0</v>
      </c>
      <c r="AN1365" s="53" t="n">
        <v>0</v>
      </c>
      <c r="AO1365" s="53" t="n">
        <v>0</v>
      </c>
      <c r="AP1365" s="53" t="n">
        <v>0</v>
      </c>
      <c r="AQ1365" s="52" t="n">
        <v>0</v>
      </c>
      <c r="AR1365" s="52" t="n">
        <v>0</v>
      </c>
      <c r="AS1365" s="52" t="n">
        <v>0</v>
      </c>
      <c r="AT1365" s="52" t="n">
        <v>0</v>
      </c>
      <c r="AU1365" s="53" t="n">
        <v>0</v>
      </c>
      <c r="AV1365" s="53" t="n">
        <v>0</v>
      </c>
      <c r="AW1365" s="53" t="n">
        <v>0</v>
      </c>
      <c r="AX1365" s="53" t="n">
        <v>0</v>
      </c>
      <c r="AY1365" s="52" t="n">
        <v>0</v>
      </c>
      <c r="AZ1365" s="52" t="n">
        <v>0</v>
      </c>
      <c r="BA1365" s="52" t="n">
        <v>0</v>
      </c>
      <c r="BB1365" s="52" t="n">
        <v>0</v>
      </c>
      <c r="BC1365" s="51" t="n">
        <v>0</v>
      </c>
      <c r="BD1365" s="51" t="n">
        <v>0</v>
      </c>
      <c r="BE1365" s="51" t="n">
        <v>0</v>
      </c>
      <c r="BF1365" s="51" t="n">
        <v>0</v>
      </c>
    </row>
    <row r="1366">
      <c r="A1366">
        <f>HYPERLINK("https://www.walmart.com/ip/14514615100", "14514615100")</f>
        <v/>
      </c>
      <c r="B1366" t="inlineStr">
        <is>
          <t>Tirrinia Oversized Blanket Hoodie Sweatshirts, Wearable Fluffy Fleece Plush Blanket, Lightweight Cozy Sweatshirt Blanket Gift for Women Men, Gray</t>
        </is>
      </c>
      <c r="C1366" t="inlineStr">
        <is>
          <t>1TROSH360BL-FS</t>
        </is>
      </c>
      <c r="D1366" t="inlineStr">
        <is>
          <t>Sweatshirts &amp; Hoodies</t>
        </is>
      </c>
      <c r="E1366" t="inlineStr">
        <is>
          <t>Tirrinia</t>
        </is>
      </c>
      <c r="G1366" s="48" t="n">
        <v>0</v>
      </c>
      <c r="H1366" s="48" t="n">
        <v>0</v>
      </c>
      <c r="I1366" s="48" t="n">
        <v>0</v>
      </c>
      <c r="J1366" s="48" t="n">
        <v>0</v>
      </c>
      <c r="K1366" s="49" t="n">
        <v>0</v>
      </c>
      <c r="L1366" s="49" t="n">
        <v>0</v>
      </c>
      <c r="M1366" s="49" t="n">
        <v>0</v>
      </c>
      <c r="N1366" s="49" t="n">
        <v>0</v>
      </c>
      <c r="O1366" s="49" t="n">
        <v>0</v>
      </c>
      <c r="P1366" s="49" t="n">
        <v>0</v>
      </c>
      <c r="Q1366" s="49" t="n">
        <v>0</v>
      </c>
      <c r="R1366" s="49" t="n">
        <v>0</v>
      </c>
      <c r="S1366" s="50" t="n">
        <v>0</v>
      </c>
      <c r="T1366" s="50" t="n">
        <v>0</v>
      </c>
      <c r="U1366" s="50" t="n">
        <v>0</v>
      </c>
      <c r="V1366" s="50" t="n">
        <v>0</v>
      </c>
      <c r="W1366" s="51" t="n">
        <v>0</v>
      </c>
      <c r="X1366" s="51" t="n">
        <v>0</v>
      </c>
      <c r="Y1366" s="51" t="n">
        <v>0</v>
      </c>
      <c r="Z1366" s="51" t="n">
        <v>0</v>
      </c>
      <c r="AA1366" s="52" t="n">
        <v>0</v>
      </c>
      <c r="AB1366" s="52" t="n">
        <v>0</v>
      </c>
      <c r="AC1366" s="52" t="n">
        <v>0</v>
      </c>
      <c r="AD1366" s="52" t="n">
        <v>0</v>
      </c>
      <c r="AE1366" s="52" t="n">
        <v>0</v>
      </c>
      <c r="AF1366" s="52" t="n">
        <v>0</v>
      </c>
      <c r="AG1366" s="52" t="n">
        <v>0</v>
      </c>
      <c r="AH1366" s="52" t="n">
        <v>0</v>
      </c>
      <c r="AI1366" s="52" t="n">
        <v>0</v>
      </c>
      <c r="AJ1366" s="52" t="n">
        <v>0</v>
      </c>
      <c r="AK1366" s="52" t="n">
        <v>0</v>
      </c>
      <c r="AL1366" s="52" t="n">
        <v>0</v>
      </c>
      <c r="AM1366" s="53" t="n">
        <v>0</v>
      </c>
      <c r="AN1366" s="53" t="n">
        <v>0</v>
      </c>
      <c r="AO1366" s="53" t="n">
        <v>0</v>
      </c>
      <c r="AP1366" s="53" t="n">
        <v>0</v>
      </c>
      <c r="AQ1366" s="52" t="n">
        <v>0</v>
      </c>
      <c r="AR1366" s="52" t="n">
        <v>0</v>
      </c>
      <c r="AS1366" s="52" t="n">
        <v>0</v>
      </c>
      <c r="AT1366" s="52" t="n">
        <v>0</v>
      </c>
      <c r="AU1366" s="53" t="n">
        <v>0</v>
      </c>
      <c r="AV1366" s="53" t="n">
        <v>0</v>
      </c>
      <c r="AW1366" s="53" t="n">
        <v>0</v>
      </c>
      <c r="AX1366" s="53" t="n">
        <v>0</v>
      </c>
      <c r="AY1366" s="52" t="n">
        <v>0</v>
      </c>
      <c r="AZ1366" s="52" t="n">
        <v>0</v>
      </c>
      <c r="BA1366" s="52" t="n">
        <v>0</v>
      </c>
      <c r="BB1366" s="52" t="n">
        <v>0</v>
      </c>
      <c r="BC1366" s="51" t="n">
        <v>0</v>
      </c>
      <c r="BD1366" s="51" t="n">
        <v>0</v>
      </c>
      <c r="BE1366" s="51" t="n">
        <v>0</v>
      </c>
      <c r="BF1366" s="51" t="n">
        <v>0</v>
      </c>
    </row>
    <row r="1367">
      <c r="A1367">
        <f>HYPERLINK("https://www.walmart.com/ip/14515567521", "14515567521")</f>
        <v/>
      </c>
      <c r="B1367" t="inlineStr">
        <is>
          <t>PEANUTS Snoopy Family Matching Pajamas Holiday Festive Nightwear Sleepwear 2-Piece Sets for Christmas - Women (Red Plaid, M)</t>
        </is>
      </c>
      <c r="C1367" t="inlineStr">
        <is>
          <t>PEA-PJS-FAMILY-WOMEN-REDPLAID-M</t>
        </is>
      </c>
      <c r="D1367" t="inlineStr">
        <is>
          <t>Pajamas</t>
        </is>
      </c>
      <c r="E1367" t="inlineStr">
        <is>
          <t>Peanuts</t>
        </is>
      </c>
      <c r="G1367" s="48" t="n">
        <v>0</v>
      </c>
      <c r="H1367" s="48" t="n">
        <v>0</v>
      </c>
      <c r="I1367" s="48" t="n">
        <v>0</v>
      </c>
      <c r="J1367" s="48" t="n">
        <v>0</v>
      </c>
      <c r="K1367" s="49" t="n">
        <v>0</v>
      </c>
      <c r="L1367" s="49" t="n">
        <v>0</v>
      </c>
      <c r="M1367" s="49" t="n">
        <v>0</v>
      </c>
      <c r="N1367" s="49" t="n">
        <v>0</v>
      </c>
      <c r="O1367" s="49" t="n">
        <v>0</v>
      </c>
      <c r="P1367" s="49" t="n">
        <v>0</v>
      </c>
      <c r="Q1367" s="49" t="n">
        <v>0</v>
      </c>
      <c r="R1367" s="49" t="n">
        <v>0</v>
      </c>
      <c r="S1367" s="50" t="n">
        <v>0</v>
      </c>
      <c r="T1367" s="50" t="n">
        <v>0</v>
      </c>
      <c r="U1367" s="50" t="n">
        <v>0</v>
      </c>
      <c r="V1367" s="50" t="n">
        <v>0</v>
      </c>
      <c r="W1367" s="51" t="n">
        <v>0</v>
      </c>
      <c r="X1367" s="51" t="n">
        <v>0</v>
      </c>
      <c r="Y1367" s="51" t="n">
        <v>0</v>
      </c>
      <c r="Z1367" s="51" t="n">
        <v>0</v>
      </c>
      <c r="AA1367" s="52" t="n">
        <v>0</v>
      </c>
      <c r="AB1367" s="52" t="n">
        <v>0</v>
      </c>
      <c r="AC1367" s="52" t="n">
        <v>0</v>
      </c>
      <c r="AD1367" s="52" t="n">
        <v>0</v>
      </c>
      <c r="AE1367" s="52" t="n">
        <v>0</v>
      </c>
      <c r="AF1367" s="52" t="n">
        <v>0</v>
      </c>
      <c r="AG1367" s="52" t="n">
        <v>0</v>
      </c>
      <c r="AH1367" s="52" t="n">
        <v>0</v>
      </c>
      <c r="AI1367" s="52" t="n">
        <v>0</v>
      </c>
      <c r="AJ1367" s="52" t="n">
        <v>0</v>
      </c>
      <c r="AK1367" s="52" t="n">
        <v>0</v>
      </c>
      <c r="AL1367" s="52" t="n">
        <v>0</v>
      </c>
      <c r="AM1367" s="53" t="n">
        <v>0</v>
      </c>
      <c r="AN1367" s="53" t="n">
        <v>0</v>
      </c>
      <c r="AO1367" s="53" t="n">
        <v>0</v>
      </c>
      <c r="AP1367" s="53" t="n">
        <v>0</v>
      </c>
      <c r="AQ1367" s="52" t="n">
        <v>0</v>
      </c>
      <c r="AR1367" s="52" t="n">
        <v>0</v>
      </c>
      <c r="AS1367" s="52" t="n">
        <v>0</v>
      </c>
      <c r="AT1367" s="52" t="n">
        <v>0</v>
      </c>
      <c r="AU1367" s="53" t="n">
        <v>0</v>
      </c>
      <c r="AV1367" s="53" t="n">
        <v>0</v>
      </c>
      <c r="AW1367" s="53" t="n">
        <v>0</v>
      </c>
      <c r="AX1367" s="53" t="n">
        <v>0</v>
      </c>
      <c r="AY1367" s="52" t="n">
        <v>0</v>
      </c>
      <c r="AZ1367" s="52" t="n">
        <v>0</v>
      </c>
      <c r="BA1367" s="52" t="n">
        <v>0</v>
      </c>
      <c r="BB1367" s="52" t="n">
        <v>0</v>
      </c>
      <c r="BC1367" s="51" t="n">
        <v>0</v>
      </c>
      <c r="BD1367" s="51" t="n">
        <v>0</v>
      </c>
      <c r="BE1367" s="51" t="n">
        <v>0</v>
      </c>
      <c r="BF1367" s="51" t="n">
        <v>0</v>
      </c>
    </row>
    <row r="1368">
      <c r="A1368">
        <f>HYPERLINK("https://www.walmart.com/ip/14515617539", "14515617539")</f>
        <v/>
      </c>
      <c r="B1368" t="inlineStr">
        <is>
          <t>PEANUTS Mens' Cotton Snoopy Family Matching Pajamas 2-Piece Sets for Christmas with Woodstock Charlie Brown Linus, Gift for him (Red Polka Dot, XXL)</t>
        </is>
      </c>
      <c r="C1368" t="inlineStr">
        <is>
          <t>PEA-PJS-FAMILY-MEN-RED-2XL</t>
        </is>
      </c>
      <c r="D1368" t="inlineStr">
        <is>
          <t>Pajamas</t>
        </is>
      </c>
      <c r="E1368" t="inlineStr">
        <is>
          <t>Peanuts</t>
        </is>
      </c>
      <c r="G1368" s="48" t="n">
        <v>0</v>
      </c>
      <c r="H1368" s="48" t="n">
        <v>0</v>
      </c>
      <c r="I1368" s="48" t="n">
        <v>0</v>
      </c>
      <c r="J1368" s="48" t="n">
        <v>0</v>
      </c>
      <c r="K1368" s="49" t="n">
        <v>0</v>
      </c>
      <c r="L1368" s="49" t="n">
        <v>0</v>
      </c>
      <c r="M1368" s="49" t="n">
        <v>0</v>
      </c>
      <c r="N1368" s="49" t="n">
        <v>0</v>
      </c>
      <c r="O1368" s="49" t="n">
        <v>0</v>
      </c>
      <c r="P1368" s="49" t="n">
        <v>0</v>
      </c>
      <c r="Q1368" s="49" t="n">
        <v>0</v>
      </c>
      <c r="R1368" s="49" t="n">
        <v>0</v>
      </c>
      <c r="S1368" s="50" t="n">
        <v>0</v>
      </c>
      <c r="T1368" s="50" t="n">
        <v>0</v>
      </c>
      <c r="U1368" s="50" t="n">
        <v>0</v>
      </c>
      <c r="V1368" s="50" t="n">
        <v>0</v>
      </c>
      <c r="W1368" s="51" t="n">
        <v>0</v>
      </c>
      <c r="X1368" s="51" t="n">
        <v>0</v>
      </c>
      <c r="Y1368" s="51" t="n">
        <v>0</v>
      </c>
      <c r="Z1368" s="51" t="n">
        <v>0</v>
      </c>
      <c r="AA1368" s="52" t="n">
        <v>0</v>
      </c>
      <c r="AB1368" s="52" t="n">
        <v>0</v>
      </c>
      <c r="AC1368" s="52" t="n">
        <v>0</v>
      </c>
      <c r="AD1368" s="52" t="n">
        <v>0</v>
      </c>
      <c r="AE1368" s="52" t="n">
        <v>0</v>
      </c>
      <c r="AF1368" s="52" t="n">
        <v>0</v>
      </c>
      <c r="AG1368" s="52" t="n">
        <v>0</v>
      </c>
      <c r="AH1368" s="52" t="n">
        <v>0</v>
      </c>
      <c r="AI1368" s="52" t="n">
        <v>0</v>
      </c>
      <c r="AJ1368" s="52" t="n">
        <v>0</v>
      </c>
      <c r="AK1368" s="52" t="n">
        <v>0</v>
      </c>
      <c r="AL1368" s="52" t="n">
        <v>0</v>
      </c>
      <c r="AM1368" s="53" t="n">
        <v>0</v>
      </c>
      <c r="AN1368" s="53" t="n">
        <v>0</v>
      </c>
      <c r="AO1368" s="53" t="n">
        <v>0</v>
      </c>
      <c r="AP1368" s="53" t="n">
        <v>0</v>
      </c>
      <c r="AQ1368" s="52" t="n">
        <v>0</v>
      </c>
      <c r="AR1368" s="52" t="n">
        <v>0</v>
      </c>
      <c r="AS1368" s="52" t="n">
        <v>0</v>
      </c>
      <c r="AT1368" s="52" t="n">
        <v>0</v>
      </c>
      <c r="AU1368" s="53" t="n">
        <v>0</v>
      </c>
      <c r="AV1368" s="53" t="n">
        <v>0</v>
      </c>
      <c r="AW1368" s="53" t="n">
        <v>0</v>
      </c>
      <c r="AX1368" s="53" t="n">
        <v>0</v>
      </c>
      <c r="AY1368" s="52" t="n">
        <v>0</v>
      </c>
      <c r="AZ1368" s="52" t="n">
        <v>0</v>
      </c>
      <c r="BA1368" s="52" t="n">
        <v>0</v>
      </c>
      <c r="BB1368" s="52" t="n">
        <v>0</v>
      </c>
      <c r="BC1368" s="51" t="n">
        <v>0</v>
      </c>
      <c r="BD1368" s="51" t="n">
        <v>0</v>
      </c>
      <c r="BE1368" s="51" t="n">
        <v>0</v>
      </c>
      <c r="BF1368" s="51" t="n">
        <v>0</v>
      </c>
    </row>
    <row r="1369">
      <c r="A1369">
        <f>HYPERLINK("https://www.walmart.com/ip/14515667164", "14515667164")</f>
        <v/>
      </c>
      <c r="B1369" t="inlineStr">
        <is>
          <t>PEANUTS Snoopy 100% Cotton Family Matching Pajamas Holiday 2-Piece Sets for Christmas with Woodstock Charlie Brown Linus for Baby (Red Plaid, 18M)</t>
        </is>
      </c>
      <c r="C1369" t="inlineStr">
        <is>
          <t>PEA-PJS-FAMILY-INFANT-REDPLAID-18M</t>
        </is>
      </c>
      <c r="D1369" t="inlineStr">
        <is>
          <t>Pajamas</t>
        </is>
      </c>
      <c r="E1369" t="inlineStr">
        <is>
          <t>Peanuts</t>
        </is>
      </c>
      <c r="G1369" s="48" t="n">
        <v>0</v>
      </c>
      <c r="H1369" s="48" t="n">
        <v>0</v>
      </c>
      <c r="I1369" s="48" t="n">
        <v>0</v>
      </c>
      <c r="J1369" s="48" t="n">
        <v>0</v>
      </c>
      <c r="K1369" s="49" t="n">
        <v>0</v>
      </c>
      <c r="L1369" s="49" t="n">
        <v>0</v>
      </c>
      <c r="M1369" s="49" t="n">
        <v>0</v>
      </c>
      <c r="N1369" s="49" t="n">
        <v>0</v>
      </c>
      <c r="O1369" s="49" t="n">
        <v>0</v>
      </c>
      <c r="P1369" s="49" t="n">
        <v>0</v>
      </c>
      <c r="Q1369" s="49" t="n">
        <v>0</v>
      </c>
      <c r="R1369" s="49" t="n">
        <v>0</v>
      </c>
      <c r="S1369" s="50" t="n">
        <v>0</v>
      </c>
      <c r="T1369" s="50" t="n">
        <v>0</v>
      </c>
      <c r="U1369" s="50" t="n">
        <v>0</v>
      </c>
      <c r="V1369" s="50" t="n">
        <v>0</v>
      </c>
      <c r="W1369" s="51" t="n">
        <v>0</v>
      </c>
      <c r="X1369" s="51" t="n">
        <v>0</v>
      </c>
      <c r="Y1369" s="51" t="n">
        <v>0</v>
      </c>
      <c r="Z1369" s="51" t="n">
        <v>0</v>
      </c>
      <c r="AA1369" s="52" t="n">
        <v>0</v>
      </c>
      <c r="AB1369" s="52" t="n">
        <v>0</v>
      </c>
      <c r="AC1369" s="52" t="n">
        <v>0</v>
      </c>
      <c r="AD1369" s="52" t="n">
        <v>0</v>
      </c>
      <c r="AE1369" s="52" t="n">
        <v>0</v>
      </c>
      <c r="AF1369" s="52" t="n">
        <v>0</v>
      </c>
      <c r="AG1369" s="52" t="n">
        <v>0</v>
      </c>
      <c r="AH1369" s="52" t="n">
        <v>0</v>
      </c>
      <c r="AI1369" s="52" t="n">
        <v>0</v>
      </c>
      <c r="AJ1369" s="52" t="n">
        <v>0</v>
      </c>
      <c r="AK1369" s="52" t="n">
        <v>0</v>
      </c>
      <c r="AL1369" s="52" t="n">
        <v>0</v>
      </c>
      <c r="AM1369" s="53" t="n">
        <v>0</v>
      </c>
      <c r="AN1369" s="53" t="n">
        <v>0</v>
      </c>
      <c r="AO1369" s="53" t="n">
        <v>0</v>
      </c>
      <c r="AP1369" s="53" t="n">
        <v>0</v>
      </c>
      <c r="AQ1369" s="52" t="n">
        <v>0</v>
      </c>
      <c r="AR1369" s="52" t="n">
        <v>0</v>
      </c>
      <c r="AS1369" s="52" t="n">
        <v>0</v>
      </c>
      <c r="AT1369" s="52" t="n">
        <v>0</v>
      </c>
      <c r="AU1369" s="53" t="n">
        <v>0</v>
      </c>
      <c r="AV1369" s="53" t="n">
        <v>0</v>
      </c>
      <c r="AW1369" s="53" t="n">
        <v>0</v>
      </c>
      <c r="AX1369" s="53" t="n">
        <v>0</v>
      </c>
      <c r="AY1369" s="52" t="n">
        <v>0</v>
      </c>
      <c r="AZ1369" s="52" t="n">
        <v>0</v>
      </c>
      <c r="BA1369" s="52" t="n">
        <v>0</v>
      </c>
      <c r="BB1369" s="52" t="n">
        <v>0</v>
      </c>
      <c r="BC1369" s="51" t="n">
        <v>0</v>
      </c>
      <c r="BD1369" s="51" t="n">
        <v>0</v>
      </c>
      <c r="BE1369" s="51" t="n">
        <v>0</v>
      </c>
      <c r="BF1369" s="51" t="n">
        <v>0</v>
      </c>
    </row>
    <row r="1370">
      <c r="A1370">
        <f>HYPERLINK("https://www.walmart.com/ip/14515717039", "14515717039")</f>
        <v/>
      </c>
      <c r="B1370" t="inlineStr">
        <is>
          <t>PEANUTS Mens' Cotton Snoopy Family Matching Pajamas 2-Piece Sets for Christmas with Woodstock Charlie Brown Linus, Gift for him (Black Plaid, XL)</t>
        </is>
      </c>
      <c r="C1370" t="inlineStr">
        <is>
          <t>PEA-PJS-FAMILY-MEN-BLACKPLAID-XL</t>
        </is>
      </c>
      <c r="D1370" t="inlineStr">
        <is>
          <t>Pajamas</t>
        </is>
      </c>
      <c r="E1370" t="inlineStr">
        <is>
          <t>Peanuts</t>
        </is>
      </c>
      <c r="G1370" s="48" t="n">
        <v>0</v>
      </c>
      <c r="H1370" s="48" t="n">
        <v>0</v>
      </c>
      <c r="I1370" s="48" t="n">
        <v>0</v>
      </c>
      <c r="J1370" s="48" t="n">
        <v>0</v>
      </c>
      <c r="K1370" s="49" t="n">
        <v>0</v>
      </c>
      <c r="L1370" s="49" t="n">
        <v>0</v>
      </c>
      <c r="M1370" s="49" t="n">
        <v>0</v>
      </c>
      <c r="N1370" s="49" t="n">
        <v>0</v>
      </c>
      <c r="O1370" s="49" t="n">
        <v>0</v>
      </c>
      <c r="P1370" s="49" t="n">
        <v>0</v>
      </c>
      <c r="Q1370" s="49" t="n">
        <v>0</v>
      </c>
      <c r="R1370" s="49" t="n">
        <v>0</v>
      </c>
      <c r="S1370" s="50" t="n">
        <v>0</v>
      </c>
      <c r="T1370" s="50" t="n">
        <v>0</v>
      </c>
      <c r="U1370" s="50" t="n">
        <v>0</v>
      </c>
      <c r="V1370" s="50" t="n">
        <v>0</v>
      </c>
      <c r="W1370" s="51" t="n">
        <v>0</v>
      </c>
      <c r="X1370" s="51" t="n">
        <v>0</v>
      </c>
      <c r="Y1370" s="51" t="n">
        <v>0</v>
      </c>
      <c r="Z1370" s="51" t="n">
        <v>0</v>
      </c>
      <c r="AA1370" s="52" t="n">
        <v>0</v>
      </c>
      <c r="AB1370" s="52" t="n">
        <v>0</v>
      </c>
      <c r="AC1370" s="52" t="n">
        <v>0</v>
      </c>
      <c r="AD1370" s="52" t="n">
        <v>0</v>
      </c>
      <c r="AE1370" s="52" t="n">
        <v>0</v>
      </c>
      <c r="AF1370" s="52" t="n">
        <v>0</v>
      </c>
      <c r="AG1370" s="52" t="n">
        <v>0</v>
      </c>
      <c r="AH1370" s="52" t="n">
        <v>0</v>
      </c>
      <c r="AI1370" s="52" t="n">
        <v>0</v>
      </c>
      <c r="AJ1370" s="52" t="n">
        <v>0</v>
      </c>
      <c r="AK1370" s="52" t="n">
        <v>0</v>
      </c>
      <c r="AL1370" s="52" t="n">
        <v>0</v>
      </c>
      <c r="AM1370" s="53" t="n">
        <v>0</v>
      </c>
      <c r="AN1370" s="53" t="n">
        <v>0</v>
      </c>
      <c r="AO1370" s="53" t="n">
        <v>0</v>
      </c>
      <c r="AP1370" s="53" t="n">
        <v>0</v>
      </c>
      <c r="AQ1370" s="52" t="n">
        <v>0</v>
      </c>
      <c r="AR1370" s="52" t="n">
        <v>0</v>
      </c>
      <c r="AS1370" s="52" t="n">
        <v>0</v>
      </c>
      <c r="AT1370" s="52" t="n">
        <v>0</v>
      </c>
      <c r="AU1370" s="53" t="n">
        <v>0</v>
      </c>
      <c r="AV1370" s="53" t="n">
        <v>0</v>
      </c>
      <c r="AW1370" s="53" t="n">
        <v>0</v>
      </c>
      <c r="AX1370" s="53" t="n">
        <v>0</v>
      </c>
      <c r="AY1370" s="52" t="n">
        <v>0</v>
      </c>
      <c r="AZ1370" s="52" t="n">
        <v>0</v>
      </c>
      <c r="BA1370" s="52" t="n">
        <v>0</v>
      </c>
      <c r="BB1370" s="52" t="n">
        <v>0</v>
      </c>
      <c r="BC1370" s="51" t="n">
        <v>0</v>
      </c>
      <c r="BD1370" s="51" t="n">
        <v>0</v>
      </c>
      <c r="BE1370" s="51" t="n">
        <v>0</v>
      </c>
      <c r="BF1370" s="51" t="n">
        <v>0</v>
      </c>
    </row>
    <row r="1371">
      <c r="A1371">
        <f>HYPERLINK("https://www.walmart.com/ip/14516958875", "14516958875")</f>
        <v/>
      </c>
      <c r="B1371" t="inlineStr">
        <is>
          <t>PEANUTS Mens' Cotton Snoopy Family Matching Pajamas 2-Piece Sets for Christmas with Woodstock Charlie Brown Linus, Gift for him (Red Plaid, XXL)</t>
        </is>
      </c>
      <c r="C1371" t="inlineStr">
        <is>
          <t>PEA-PJS-FAMILY-MEN-REDPLAID-2XL</t>
        </is>
      </c>
      <c r="D1371" t="inlineStr">
        <is>
          <t>Pajamas</t>
        </is>
      </c>
      <c r="E1371" t="inlineStr">
        <is>
          <t>Peanuts</t>
        </is>
      </c>
      <c r="G1371" s="48" t="n">
        <v>0</v>
      </c>
      <c r="H1371" s="48" t="n">
        <v>0</v>
      </c>
      <c r="I1371" s="48" t="n">
        <v>0</v>
      </c>
      <c r="J1371" s="48" t="n">
        <v>0</v>
      </c>
      <c r="K1371" s="49" t="n">
        <v>0</v>
      </c>
      <c r="L1371" s="49" t="n">
        <v>0</v>
      </c>
      <c r="M1371" s="49" t="n">
        <v>0</v>
      </c>
      <c r="N1371" s="49" t="n">
        <v>0</v>
      </c>
      <c r="O1371" s="49" t="n">
        <v>0</v>
      </c>
      <c r="P1371" s="49" t="n">
        <v>0</v>
      </c>
      <c r="Q1371" s="49" t="n">
        <v>0</v>
      </c>
      <c r="R1371" s="49" t="n">
        <v>0</v>
      </c>
      <c r="S1371" s="50" t="n">
        <v>0</v>
      </c>
      <c r="T1371" s="50" t="n">
        <v>0</v>
      </c>
      <c r="U1371" s="50" t="n">
        <v>0</v>
      </c>
      <c r="V1371" s="50" t="n">
        <v>0</v>
      </c>
      <c r="W1371" s="51" t="n">
        <v>0</v>
      </c>
      <c r="X1371" s="51" t="n">
        <v>0</v>
      </c>
      <c r="Y1371" s="51" t="n">
        <v>0</v>
      </c>
      <c r="Z1371" s="51" t="n">
        <v>0</v>
      </c>
      <c r="AA1371" s="52" t="n">
        <v>0</v>
      </c>
      <c r="AB1371" s="52" t="n">
        <v>0</v>
      </c>
      <c r="AC1371" s="52" t="n">
        <v>0</v>
      </c>
      <c r="AD1371" s="52" t="n">
        <v>0</v>
      </c>
      <c r="AE1371" s="52" t="n">
        <v>0</v>
      </c>
      <c r="AF1371" s="52" t="n">
        <v>0</v>
      </c>
      <c r="AG1371" s="52" t="n">
        <v>0</v>
      </c>
      <c r="AH1371" s="52" t="n">
        <v>0</v>
      </c>
      <c r="AI1371" s="52" t="n">
        <v>0</v>
      </c>
      <c r="AJ1371" s="52" t="n">
        <v>0</v>
      </c>
      <c r="AK1371" s="52" t="n">
        <v>0</v>
      </c>
      <c r="AL1371" s="52" t="n">
        <v>0</v>
      </c>
      <c r="AM1371" s="53" t="n">
        <v>0</v>
      </c>
      <c r="AN1371" s="53" t="n">
        <v>0</v>
      </c>
      <c r="AO1371" s="53" t="n">
        <v>0</v>
      </c>
      <c r="AP1371" s="53" t="n">
        <v>0</v>
      </c>
      <c r="AQ1371" s="52" t="n">
        <v>0</v>
      </c>
      <c r="AR1371" s="52" t="n">
        <v>0</v>
      </c>
      <c r="AS1371" s="52" t="n">
        <v>0</v>
      </c>
      <c r="AT1371" s="52" t="n">
        <v>0</v>
      </c>
      <c r="AU1371" s="53" t="n">
        <v>0</v>
      </c>
      <c r="AV1371" s="53" t="n">
        <v>0</v>
      </c>
      <c r="AW1371" s="53" t="n">
        <v>0</v>
      </c>
      <c r="AX1371" s="53" t="n">
        <v>0</v>
      </c>
      <c r="AY1371" s="52" t="n">
        <v>0</v>
      </c>
      <c r="AZ1371" s="52" t="n">
        <v>0</v>
      </c>
      <c r="BA1371" s="52" t="n">
        <v>0</v>
      </c>
      <c r="BB1371" s="52" t="n">
        <v>0</v>
      </c>
      <c r="BC1371" s="51" t="n">
        <v>0</v>
      </c>
      <c r="BD1371" s="51" t="n">
        <v>0</v>
      </c>
      <c r="BE1371" s="51" t="n">
        <v>0</v>
      </c>
      <c r="BF1371" s="51" t="n">
        <v>0</v>
      </c>
    </row>
    <row r="1372">
      <c r="A1372">
        <f>HYPERLINK("https://www.walmart.com/ip/14516958877", "14516958877")</f>
        <v/>
      </c>
      <c r="B1372" t="inlineStr">
        <is>
          <t>PEANUTS Mens' Cotton Snoopy Family Matching Pajamas 2-Piece Sets for Christmas with Woodstock Charlie Brown Linus, Gift for him (Green Polka Dot, L)</t>
        </is>
      </c>
      <c r="C1372" t="inlineStr">
        <is>
          <t>PEA-PJS-FAMILY-MEN-GREEN-L</t>
        </is>
      </c>
      <c r="D1372" t="inlineStr">
        <is>
          <t>Pajamas</t>
        </is>
      </c>
      <c r="E1372" t="inlineStr">
        <is>
          <t>Peanuts</t>
        </is>
      </c>
      <c r="G1372" s="48" t="n">
        <v>0</v>
      </c>
      <c r="H1372" s="48" t="n">
        <v>0</v>
      </c>
      <c r="I1372" s="48" t="n">
        <v>0</v>
      </c>
      <c r="J1372" s="48" t="n">
        <v>0</v>
      </c>
      <c r="K1372" s="49" t="n">
        <v>0</v>
      </c>
      <c r="L1372" s="49" t="n">
        <v>0</v>
      </c>
      <c r="M1372" s="49" t="n">
        <v>0</v>
      </c>
      <c r="N1372" s="49" t="n">
        <v>0</v>
      </c>
      <c r="O1372" s="49" t="n">
        <v>0</v>
      </c>
      <c r="P1372" s="49" t="n">
        <v>0</v>
      </c>
      <c r="Q1372" s="49" t="n">
        <v>0</v>
      </c>
      <c r="R1372" s="49" t="n">
        <v>0</v>
      </c>
      <c r="S1372" s="50" t="n">
        <v>0</v>
      </c>
      <c r="T1372" s="50" t="n">
        <v>0</v>
      </c>
      <c r="U1372" s="50" t="n">
        <v>0</v>
      </c>
      <c r="V1372" s="50" t="n">
        <v>0</v>
      </c>
      <c r="W1372" s="51" t="n">
        <v>0</v>
      </c>
      <c r="X1372" s="51" t="n">
        <v>0</v>
      </c>
      <c r="Y1372" s="51" t="n">
        <v>0</v>
      </c>
      <c r="Z1372" s="51" t="n">
        <v>0</v>
      </c>
      <c r="AA1372" s="52" t="n">
        <v>0</v>
      </c>
      <c r="AB1372" s="52" t="n">
        <v>0</v>
      </c>
      <c r="AC1372" s="52" t="n">
        <v>0</v>
      </c>
      <c r="AD1372" s="52" t="n">
        <v>0</v>
      </c>
      <c r="AE1372" s="52" t="n">
        <v>0</v>
      </c>
      <c r="AF1372" s="52" t="n">
        <v>0</v>
      </c>
      <c r="AG1372" s="52" t="n">
        <v>0</v>
      </c>
      <c r="AH1372" s="52" t="n">
        <v>0</v>
      </c>
      <c r="AI1372" s="52" t="n">
        <v>0</v>
      </c>
      <c r="AJ1372" s="52" t="n">
        <v>0</v>
      </c>
      <c r="AK1372" s="52" t="n">
        <v>0</v>
      </c>
      <c r="AL1372" s="52" t="n">
        <v>0</v>
      </c>
      <c r="AM1372" s="53" t="n">
        <v>0</v>
      </c>
      <c r="AN1372" s="53" t="n">
        <v>0</v>
      </c>
      <c r="AO1372" s="53" t="n">
        <v>0</v>
      </c>
      <c r="AP1372" s="53" t="n">
        <v>0</v>
      </c>
      <c r="AQ1372" s="52" t="n">
        <v>0</v>
      </c>
      <c r="AR1372" s="52" t="n">
        <v>0</v>
      </c>
      <c r="AS1372" s="52" t="n">
        <v>0</v>
      </c>
      <c r="AT1372" s="52" t="n">
        <v>0</v>
      </c>
      <c r="AU1372" s="53" t="n">
        <v>0</v>
      </c>
      <c r="AV1372" s="53" t="n">
        <v>0</v>
      </c>
      <c r="AW1372" s="53" t="n">
        <v>0</v>
      </c>
      <c r="AX1372" s="53" t="n">
        <v>0</v>
      </c>
      <c r="AY1372" s="52" t="n">
        <v>0</v>
      </c>
      <c r="AZ1372" s="52" t="n">
        <v>0</v>
      </c>
      <c r="BA1372" s="52" t="n">
        <v>0</v>
      </c>
      <c r="BB1372" s="52" t="n">
        <v>0</v>
      </c>
      <c r="BC1372" s="51" t="n">
        <v>0</v>
      </c>
      <c r="BD1372" s="51" t="n">
        <v>0</v>
      </c>
      <c r="BE1372" s="51" t="n">
        <v>0</v>
      </c>
      <c r="BF1372" s="51" t="n">
        <v>0</v>
      </c>
    </row>
    <row r="1373">
      <c r="A1373">
        <f>HYPERLINK("https://www.walmart.com/ip/14516958879", "14516958879")</f>
        <v/>
      </c>
      <c r="B1373" t="inlineStr">
        <is>
          <t>PEANUTS Snoopy 100% Cotton Family Matching Pajamas Holiday 2-Piece Sets for Christmas with Woodstock Charlie Brown Linus for Baby (Red Plaid, 6M)</t>
        </is>
      </c>
      <c r="C1373" t="inlineStr">
        <is>
          <t>PEA-PJS-FAMILY-INFANT-REDPLAID-6M</t>
        </is>
      </c>
      <c r="D1373" t="inlineStr">
        <is>
          <t>Pajamas</t>
        </is>
      </c>
      <c r="E1373" t="inlineStr">
        <is>
          <t>Peanuts</t>
        </is>
      </c>
      <c r="G1373" s="48" t="n">
        <v>0</v>
      </c>
      <c r="H1373" s="48" t="n">
        <v>0</v>
      </c>
      <c r="I1373" s="48" t="n">
        <v>0</v>
      </c>
      <c r="J1373" s="48" t="n">
        <v>0</v>
      </c>
      <c r="K1373" s="49" t="n">
        <v>0</v>
      </c>
      <c r="L1373" s="49" t="n">
        <v>0</v>
      </c>
      <c r="M1373" s="49" t="n">
        <v>0</v>
      </c>
      <c r="N1373" s="49" t="n">
        <v>0</v>
      </c>
      <c r="O1373" s="49" t="n">
        <v>0</v>
      </c>
      <c r="P1373" s="49" t="n">
        <v>0</v>
      </c>
      <c r="Q1373" s="49" t="n">
        <v>0</v>
      </c>
      <c r="R1373" s="49" t="n">
        <v>0</v>
      </c>
      <c r="S1373" s="50" t="n">
        <v>0</v>
      </c>
      <c r="T1373" s="50" t="n">
        <v>0</v>
      </c>
      <c r="U1373" s="50" t="n">
        <v>0</v>
      </c>
      <c r="V1373" s="50" t="n">
        <v>0</v>
      </c>
      <c r="W1373" s="51" t="n">
        <v>0</v>
      </c>
      <c r="X1373" s="51" t="n">
        <v>0</v>
      </c>
      <c r="Y1373" s="51" t="n">
        <v>0</v>
      </c>
      <c r="Z1373" s="51" t="n">
        <v>0</v>
      </c>
      <c r="AA1373" s="52" t="n">
        <v>0</v>
      </c>
      <c r="AB1373" s="52" t="n">
        <v>0</v>
      </c>
      <c r="AC1373" s="52" t="n">
        <v>0</v>
      </c>
      <c r="AD1373" s="52" t="n">
        <v>0</v>
      </c>
      <c r="AE1373" s="52" t="n">
        <v>0</v>
      </c>
      <c r="AF1373" s="52" t="n">
        <v>0</v>
      </c>
      <c r="AG1373" s="52" t="n">
        <v>0</v>
      </c>
      <c r="AH1373" s="52" t="n">
        <v>0</v>
      </c>
      <c r="AI1373" s="52" t="n">
        <v>0</v>
      </c>
      <c r="AJ1373" s="52" t="n">
        <v>0</v>
      </c>
      <c r="AK1373" s="52" t="n">
        <v>0</v>
      </c>
      <c r="AL1373" s="52" t="n">
        <v>0</v>
      </c>
      <c r="AM1373" s="53" t="n">
        <v>0</v>
      </c>
      <c r="AN1373" s="53" t="n">
        <v>0</v>
      </c>
      <c r="AO1373" s="53" t="n">
        <v>0</v>
      </c>
      <c r="AP1373" s="53" t="n">
        <v>0</v>
      </c>
      <c r="AQ1373" s="52" t="n">
        <v>0</v>
      </c>
      <c r="AR1373" s="52" t="n">
        <v>0</v>
      </c>
      <c r="AS1373" s="52" t="n">
        <v>0</v>
      </c>
      <c r="AT1373" s="52" t="n">
        <v>0</v>
      </c>
      <c r="AU1373" s="53" t="n">
        <v>0</v>
      </c>
      <c r="AV1373" s="53" t="n">
        <v>0</v>
      </c>
      <c r="AW1373" s="53" t="n">
        <v>0</v>
      </c>
      <c r="AX1373" s="53" t="n">
        <v>0</v>
      </c>
      <c r="AY1373" s="52" t="n">
        <v>0</v>
      </c>
      <c r="AZ1373" s="52" t="n">
        <v>0</v>
      </c>
      <c r="BA1373" s="52" t="n">
        <v>0</v>
      </c>
      <c r="BB1373" s="52" t="n">
        <v>0</v>
      </c>
      <c r="BC1373" s="51" t="n">
        <v>0</v>
      </c>
      <c r="BD1373" s="51" t="n">
        <v>0</v>
      </c>
      <c r="BE1373" s="51" t="n">
        <v>0</v>
      </c>
      <c r="BF1373" s="51" t="n">
        <v>0</v>
      </c>
    </row>
    <row r="1374">
      <c r="A1374">
        <f>HYPERLINK("https://www.walmart.com/ip/14516958881", "14516958881")</f>
        <v/>
      </c>
      <c r="B1374" t="inlineStr">
        <is>
          <t>PEANUTS Womens 100% Cotton Family Matching Pajamas Holiday Festive Nightwear Sleepwear 2-Piece Sets for Christmas Gifts (Green Polka Dot, XS)</t>
        </is>
      </c>
      <c r="C1374" t="inlineStr">
        <is>
          <t>PEA-PJS-FAMILY-WOMEN-GREEN-XS</t>
        </is>
      </c>
      <c r="D1374" t="inlineStr">
        <is>
          <t>Pajamas</t>
        </is>
      </c>
      <c r="E1374" t="inlineStr">
        <is>
          <t>Peanuts</t>
        </is>
      </c>
      <c r="G1374" s="48" t="n">
        <v>0</v>
      </c>
      <c r="H1374" s="48" t="n">
        <v>0</v>
      </c>
      <c r="I1374" s="48" t="n">
        <v>0</v>
      </c>
      <c r="J1374" s="48" t="n">
        <v>0</v>
      </c>
      <c r="K1374" s="49" t="n">
        <v>0</v>
      </c>
      <c r="L1374" s="49" t="n">
        <v>0</v>
      </c>
      <c r="M1374" s="49" t="n">
        <v>0</v>
      </c>
      <c r="N1374" s="49" t="n">
        <v>0</v>
      </c>
      <c r="O1374" s="49" t="n">
        <v>0</v>
      </c>
      <c r="P1374" s="49" t="n">
        <v>0</v>
      </c>
      <c r="Q1374" s="49" t="n">
        <v>0</v>
      </c>
      <c r="R1374" s="49" t="n">
        <v>0</v>
      </c>
      <c r="S1374" s="50" t="n">
        <v>0</v>
      </c>
      <c r="T1374" s="50" t="n">
        <v>0</v>
      </c>
      <c r="U1374" s="50" t="n">
        <v>0</v>
      </c>
      <c r="V1374" s="50" t="n">
        <v>0</v>
      </c>
      <c r="W1374" s="51" t="n">
        <v>0</v>
      </c>
      <c r="X1374" s="51" t="n">
        <v>0</v>
      </c>
      <c r="Y1374" s="51" t="n">
        <v>0</v>
      </c>
      <c r="Z1374" s="51" t="n">
        <v>0</v>
      </c>
      <c r="AA1374" s="52" t="n">
        <v>0</v>
      </c>
      <c r="AB1374" s="52" t="n">
        <v>0</v>
      </c>
      <c r="AC1374" s="52" t="n">
        <v>0</v>
      </c>
      <c r="AD1374" s="52" t="n">
        <v>0</v>
      </c>
      <c r="AE1374" s="52" t="n">
        <v>0</v>
      </c>
      <c r="AF1374" s="52" t="n">
        <v>0</v>
      </c>
      <c r="AG1374" s="52" t="n">
        <v>0</v>
      </c>
      <c r="AH1374" s="52" t="n">
        <v>0</v>
      </c>
      <c r="AI1374" s="52" t="n">
        <v>0</v>
      </c>
      <c r="AJ1374" s="52" t="n">
        <v>0</v>
      </c>
      <c r="AK1374" s="52" t="n">
        <v>0</v>
      </c>
      <c r="AL1374" s="52" t="n">
        <v>0</v>
      </c>
      <c r="AM1374" s="53" t="n">
        <v>0</v>
      </c>
      <c r="AN1374" s="53" t="n">
        <v>0</v>
      </c>
      <c r="AO1374" s="53" t="n">
        <v>0</v>
      </c>
      <c r="AP1374" s="53" t="n">
        <v>0</v>
      </c>
      <c r="AQ1374" s="52" t="n">
        <v>0</v>
      </c>
      <c r="AR1374" s="52" t="n">
        <v>0</v>
      </c>
      <c r="AS1374" s="52" t="n">
        <v>0</v>
      </c>
      <c r="AT1374" s="52" t="n">
        <v>0</v>
      </c>
      <c r="AU1374" s="53" t="n">
        <v>0</v>
      </c>
      <c r="AV1374" s="53" t="n">
        <v>0</v>
      </c>
      <c r="AW1374" s="53" t="n">
        <v>0</v>
      </c>
      <c r="AX1374" s="53" t="n">
        <v>0</v>
      </c>
      <c r="AY1374" s="52" t="n">
        <v>0</v>
      </c>
      <c r="AZ1374" s="52" t="n">
        <v>0</v>
      </c>
      <c r="BA1374" s="52" t="n">
        <v>0</v>
      </c>
      <c r="BB1374" s="52" t="n">
        <v>0</v>
      </c>
      <c r="BC1374" s="51" t="n">
        <v>0</v>
      </c>
      <c r="BD1374" s="51" t="n">
        <v>0</v>
      </c>
      <c r="BE1374" s="51" t="n">
        <v>0</v>
      </c>
      <c r="BF1374" s="51" t="n">
        <v>0</v>
      </c>
    </row>
    <row r="1375">
      <c r="A1375">
        <f>HYPERLINK("https://www.walmart.com/ip/14522665306", "14522665306")</f>
        <v/>
      </c>
      <c r="B1375" t="inlineStr">
        <is>
          <t>Catalonia Oversized Blanket Hoodie Sweatshirt, Comfortable Wearable Blanket Pullover Adults, Black Golden</t>
        </is>
      </c>
      <c r="C1375" t="inlineStr">
        <is>
          <t>1CTOSH401RAINBOW-FS</t>
        </is>
      </c>
      <c r="D1375" t="inlineStr">
        <is>
          <t>Sweatshirts &amp; Hoodies</t>
        </is>
      </c>
      <c r="E1375" t="inlineStr">
        <is>
          <t>Catalonia</t>
        </is>
      </c>
      <c r="G1375" s="48" t="n">
        <v>0</v>
      </c>
      <c r="H1375" s="48" t="n">
        <v>0</v>
      </c>
      <c r="I1375" s="48" t="n">
        <v>0</v>
      </c>
      <c r="J1375" s="48" t="n">
        <v>0</v>
      </c>
      <c r="K1375" s="49" t="n">
        <v>0</v>
      </c>
      <c r="L1375" s="49" t="n">
        <v>0</v>
      </c>
      <c r="M1375" s="49" t="n">
        <v>0</v>
      </c>
      <c r="N1375" s="49" t="n">
        <v>0</v>
      </c>
      <c r="O1375" s="49" t="n">
        <v>0</v>
      </c>
      <c r="P1375" s="49" t="n">
        <v>0</v>
      </c>
      <c r="Q1375" s="49" t="n">
        <v>0</v>
      </c>
      <c r="R1375" s="49" t="n">
        <v>0</v>
      </c>
      <c r="S1375" s="50" t="n">
        <v>0</v>
      </c>
      <c r="T1375" s="50" t="n">
        <v>0</v>
      </c>
      <c r="U1375" s="50" t="n">
        <v>0</v>
      </c>
      <c r="V1375" s="50" t="n">
        <v>0</v>
      </c>
      <c r="W1375" s="51" t="n">
        <v>0</v>
      </c>
      <c r="X1375" s="51" t="n">
        <v>0</v>
      </c>
      <c r="Y1375" s="51" t="n">
        <v>0</v>
      </c>
      <c r="Z1375" s="51" t="n">
        <v>0</v>
      </c>
      <c r="AA1375" s="52" t="n">
        <v>0</v>
      </c>
      <c r="AB1375" s="52" t="n">
        <v>0</v>
      </c>
      <c r="AC1375" s="52" t="n">
        <v>0</v>
      </c>
      <c r="AD1375" s="52" t="n">
        <v>0</v>
      </c>
      <c r="AE1375" s="52" t="n">
        <v>0</v>
      </c>
      <c r="AF1375" s="52" t="n">
        <v>0</v>
      </c>
      <c r="AG1375" s="52" t="n">
        <v>0</v>
      </c>
      <c r="AH1375" s="52" t="n">
        <v>0</v>
      </c>
      <c r="AI1375" s="52" t="n">
        <v>0</v>
      </c>
      <c r="AJ1375" s="52" t="n">
        <v>0</v>
      </c>
      <c r="AK1375" s="52" t="n">
        <v>0</v>
      </c>
      <c r="AL1375" s="52" t="n">
        <v>0</v>
      </c>
      <c r="AM1375" s="53" t="n">
        <v>0</v>
      </c>
      <c r="AN1375" s="53" t="n">
        <v>0</v>
      </c>
      <c r="AO1375" s="53" t="n">
        <v>0</v>
      </c>
      <c r="AP1375" s="53" t="n">
        <v>0</v>
      </c>
      <c r="AQ1375" s="52" t="n">
        <v>0</v>
      </c>
      <c r="AR1375" s="52" t="n">
        <v>0</v>
      </c>
      <c r="AS1375" s="52" t="n">
        <v>0</v>
      </c>
      <c r="AT1375" s="52" t="n">
        <v>0</v>
      </c>
      <c r="AU1375" s="53" t="n">
        <v>0</v>
      </c>
      <c r="AV1375" s="53" t="n">
        <v>0</v>
      </c>
      <c r="AW1375" s="53" t="n">
        <v>0</v>
      </c>
      <c r="AX1375" s="53" t="n">
        <v>0</v>
      </c>
      <c r="AY1375" s="52" t="n">
        <v>0</v>
      </c>
      <c r="AZ1375" s="52" t="n">
        <v>0</v>
      </c>
      <c r="BA1375" s="52" t="n">
        <v>0</v>
      </c>
      <c r="BB1375" s="52" t="n">
        <v>0</v>
      </c>
      <c r="BC1375" s="51" t="n">
        <v>0</v>
      </c>
      <c r="BD1375" s="51" t="n">
        <v>0</v>
      </c>
      <c r="BE1375" s="51" t="n">
        <v>0</v>
      </c>
      <c r="BF1375" s="51" t="n">
        <v>0</v>
      </c>
    </row>
    <row r="1376">
      <c r="A1376">
        <f>HYPERLINK("https://www.walmart.com/ip/14522704428", "14522704428")</f>
        <v/>
      </c>
      <c r="B1376" t="inlineStr">
        <is>
          <t>PEANUTS Toddler Boys Girls Snoopy Family Matching Pajamas Sleepwear 2-Piece Sets for Christmas with Woodstock Charlie Brown Linus (Black Plaid, 2T)</t>
        </is>
      </c>
      <c r="C1376" t="inlineStr">
        <is>
          <t>PEA-PJS-FAMILY-TODDLER-BLACKPLAID-2T</t>
        </is>
      </c>
      <c r="D1376" t="inlineStr">
        <is>
          <t>Pajamas</t>
        </is>
      </c>
      <c r="E1376" t="inlineStr">
        <is>
          <t>Peanuts</t>
        </is>
      </c>
      <c r="G1376" s="48" t="n">
        <v>0</v>
      </c>
      <c r="H1376" s="48" t="n">
        <v>0</v>
      </c>
      <c r="I1376" s="48" t="n">
        <v>0</v>
      </c>
      <c r="J1376" s="48" t="n">
        <v>0</v>
      </c>
      <c r="K1376" s="49" t="n">
        <v>0</v>
      </c>
      <c r="L1376" s="49" t="n">
        <v>0</v>
      </c>
      <c r="M1376" s="49" t="n">
        <v>0</v>
      </c>
      <c r="N1376" s="49" t="n">
        <v>0</v>
      </c>
      <c r="O1376" s="49" t="n">
        <v>0</v>
      </c>
      <c r="P1376" s="49" t="n">
        <v>0</v>
      </c>
      <c r="Q1376" s="49" t="n">
        <v>0</v>
      </c>
      <c r="R1376" s="49" t="n">
        <v>0</v>
      </c>
      <c r="S1376" s="50" t="n">
        <v>0</v>
      </c>
      <c r="T1376" s="50" t="n">
        <v>0</v>
      </c>
      <c r="U1376" s="50" t="n">
        <v>0</v>
      </c>
      <c r="V1376" s="50" t="n">
        <v>0</v>
      </c>
      <c r="W1376" s="51" t="n">
        <v>0</v>
      </c>
      <c r="X1376" s="51" t="n">
        <v>0</v>
      </c>
      <c r="Y1376" s="51" t="n">
        <v>0</v>
      </c>
      <c r="Z1376" s="51" t="n">
        <v>0</v>
      </c>
      <c r="AA1376" s="52" t="n">
        <v>0</v>
      </c>
      <c r="AB1376" s="52" t="n">
        <v>0</v>
      </c>
      <c r="AC1376" s="52" t="n">
        <v>0</v>
      </c>
      <c r="AD1376" s="52" t="n">
        <v>0</v>
      </c>
      <c r="AE1376" s="52" t="n">
        <v>0</v>
      </c>
      <c r="AF1376" s="52" t="n">
        <v>0</v>
      </c>
      <c r="AG1376" s="52" t="n">
        <v>0</v>
      </c>
      <c r="AH1376" s="52" t="n">
        <v>0</v>
      </c>
      <c r="AI1376" s="52" t="n">
        <v>0</v>
      </c>
      <c r="AJ1376" s="52" t="n">
        <v>0</v>
      </c>
      <c r="AK1376" s="52" t="n">
        <v>0</v>
      </c>
      <c r="AL1376" s="52" t="n">
        <v>0</v>
      </c>
      <c r="AM1376" s="53" t="n">
        <v>0</v>
      </c>
      <c r="AN1376" s="53" t="n">
        <v>0</v>
      </c>
      <c r="AO1376" s="53" t="n">
        <v>0</v>
      </c>
      <c r="AP1376" s="53" t="n">
        <v>0</v>
      </c>
      <c r="AQ1376" s="52" t="n">
        <v>0</v>
      </c>
      <c r="AR1376" s="52" t="n">
        <v>0</v>
      </c>
      <c r="AS1376" s="52" t="n">
        <v>0</v>
      </c>
      <c r="AT1376" s="52" t="n">
        <v>0</v>
      </c>
      <c r="AU1376" s="53" t="n">
        <v>0</v>
      </c>
      <c r="AV1376" s="53" t="n">
        <v>0</v>
      </c>
      <c r="AW1376" s="53" t="n">
        <v>0</v>
      </c>
      <c r="AX1376" s="53" t="n">
        <v>0</v>
      </c>
      <c r="AY1376" s="52" t="n">
        <v>0</v>
      </c>
      <c r="AZ1376" s="52" t="n">
        <v>0</v>
      </c>
      <c r="BA1376" s="52" t="n">
        <v>0</v>
      </c>
      <c r="BB1376" s="52" t="n">
        <v>0</v>
      </c>
      <c r="BC1376" s="51" t="n">
        <v>0</v>
      </c>
      <c r="BD1376" s="51" t="n">
        <v>0</v>
      </c>
      <c r="BE1376" s="51" t="n">
        <v>0</v>
      </c>
      <c r="BF1376" s="51" t="n">
        <v>0</v>
      </c>
    </row>
    <row r="1377">
      <c r="A1377">
        <f>HYPERLINK("https://www.walmart.com/ip/14523702233", "14523702233")</f>
        <v/>
      </c>
      <c r="B1377" t="inlineStr">
        <is>
          <t>PEANUTS Womens 100% Cotton Family Matching Pajamas Holiday Festive Nightwear Sleepwear 2-Piece Sets for Christmas Gifts (Red Plaid, XS)</t>
        </is>
      </c>
      <c r="C1377" t="inlineStr">
        <is>
          <t>PEA-PJS-FAMILY-WOMEN-REDPLAID-XS</t>
        </is>
      </c>
      <c r="D1377" t="inlineStr">
        <is>
          <t>Pajamas</t>
        </is>
      </c>
      <c r="E1377" t="inlineStr">
        <is>
          <t>Peanuts</t>
        </is>
      </c>
      <c r="G1377" s="48" t="n">
        <v>0</v>
      </c>
      <c r="H1377" s="48" t="n">
        <v>0</v>
      </c>
      <c r="I1377" s="48" t="n">
        <v>0</v>
      </c>
      <c r="J1377" s="48" t="n">
        <v>0</v>
      </c>
      <c r="K1377" s="49" t="n">
        <v>0</v>
      </c>
      <c r="L1377" s="49" t="n">
        <v>0</v>
      </c>
      <c r="M1377" s="49" t="n">
        <v>0</v>
      </c>
      <c r="N1377" s="49" t="n">
        <v>0</v>
      </c>
      <c r="O1377" s="49" t="n">
        <v>0</v>
      </c>
      <c r="P1377" s="49" t="n">
        <v>0</v>
      </c>
      <c r="Q1377" s="49" t="n">
        <v>0</v>
      </c>
      <c r="R1377" s="49" t="n">
        <v>0</v>
      </c>
      <c r="S1377" s="50" t="n">
        <v>0</v>
      </c>
      <c r="T1377" s="50" t="n">
        <v>0</v>
      </c>
      <c r="U1377" s="50" t="n">
        <v>0</v>
      </c>
      <c r="V1377" s="50" t="n">
        <v>0</v>
      </c>
      <c r="W1377" s="51" t="n">
        <v>0</v>
      </c>
      <c r="X1377" s="51" t="n">
        <v>0</v>
      </c>
      <c r="Y1377" s="51" t="n">
        <v>0</v>
      </c>
      <c r="Z1377" s="51" t="n">
        <v>0</v>
      </c>
      <c r="AA1377" s="52" t="n">
        <v>0</v>
      </c>
      <c r="AB1377" s="52" t="n">
        <v>0</v>
      </c>
      <c r="AC1377" s="52" t="n">
        <v>0</v>
      </c>
      <c r="AD1377" s="52" t="n">
        <v>0</v>
      </c>
      <c r="AE1377" s="52" t="n">
        <v>0</v>
      </c>
      <c r="AF1377" s="52" t="n">
        <v>0</v>
      </c>
      <c r="AG1377" s="52" t="n">
        <v>0</v>
      </c>
      <c r="AH1377" s="52" t="n">
        <v>0</v>
      </c>
      <c r="AI1377" s="52" t="n">
        <v>0</v>
      </c>
      <c r="AJ1377" s="52" t="n">
        <v>0</v>
      </c>
      <c r="AK1377" s="52" t="n">
        <v>0</v>
      </c>
      <c r="AL1377" s="52" t="n">
        <v>0</v>
      </c>
      <c r="AM1377" s="53" t="n">
        <v>0</v>
      </c>
      <c r="AN1377" s="53" t="n">
        <v>0</v>
      </c>
      <c r="AO1377" s="53" t="n">
        <v>0</v>
      </c>
      <c r="AP1377" s="53" t="n">
        <v>0</v>
      </c>
      <c r="AQ1377" s="52" t="n">
        <v>0</v>
      </c>
      <c r="AR1377" s="52" t="n">
        <v>0</v>
      </c>
      <c r="AS1377" s="52" t="n">
        <v>0</v>
      </c>
      <c r="AT1377" s="52" t="n">
        <v>0</v>
      </c>
      <c r="AU1377" s="53" t="n">
        <v>0</v>
      </c>
      <c r="AV1377" s="53" t="n">
        <v>0</v>
      </c>
      <c r="AW1377" s="53" t="n">
        <v>0</v>
      </c>
      <c r="AX1377" s="53" t="n">
        <v>0</v>
      </c>
      <c r="AY1377" s="52" t="n">
        <v>0</v>
      </c>
      <c r="AZ1377" s="52" t="n">
        <v>0</v>
      </c>
      <c r="BA1377" s="52" t="n">
        <v>0</v>
      </c>
      <c r="BB1377" s="52" t="n">
        <v>0</v>
      </c>
      <c r="BC1377" s="51" t="n">
        <v>0</v>
      </c>
      <c r="BD1377" s="51" t="n">
        <v>0</v>
      </c>
      <c r="BE1377" s="51" t="n">
        <v>0</v>
      </c>
      <c r="BF1377" s="51" t="n">
        <v>0</v>
      </c>
    </row>
    <row r="1378">
      <c r="A1378">
        <f>HYPERLINK("https://www.walmart.com/ip/14523702235", "14523702235")</f>
        <v/>
      </c>
      <c r="B1378" t="inlineStr">
        <is>
          <t>PEANUTS Womens 100% Cotton Family Matching Pajamas Holiday Festive Nightwear Sleepwear 2-Piece Sets for Christmas Gifts (Black Plaid, XL)</t>
        </is>
      </c>
      <c r="C1378" t="inlineStr">
        <is>
          <t>PEA-PJS-FAMILY-WOMEN-BLACKPLAID-XL</t>
        </is>
      </c>
      <c r="D1378" t="inlineStr">
        <is>
          <t>Pajamas</t>
        </is>
      </c>
      <c r="E1378" t="inlineStr">
        <is>
          <t>Peanuts</t>
        </is>
      </c>
      <c r="G1378" s="48" t="n">
        <v>0</v>
      </c>
      <c r="H1378" s="48" t="n">
        <v>0</v>
      </c>
      <c r="I1378" s="48" t="n">
        <v>0</v>
      </c>
      <c r="J1378" s="48" t="n">
        <v>0</v>
      </c>
      <c r="K1378" s="49" t="n">
        <v>0</v>
      </c>
      <c r="L1378" s="49" t="n">
        <v>0</v>
      </c>
      <c r="M1378" s="49" t="n">
        <v>0</v>
      </c>
      <c r="N1378" s="49" t="n">
        <v>0</v>
      </c>
      <c r="O1378" s="49" t="n">
        <v>0</v>
      </c>
      <c r="P1378" s="49" t="n">
        <v>0</v>
      </c>
      <c r="Q1378" s="49" t="n">
        <v>0</v>
      </c>
      <c r="R1378" s="49" t="n">
        <v>0</v>
      </c>
      <c r="S1378" s="50" t="n">
        <v>0</v>
      </c>
      <c r="T1378" s="50" t="n">
        <v>0</v>
      </c>
      <c r="U1378" s="50" t="n">
        <v>0</v>
      </c>
      <c r="V1378" s="50" t="n">
        <v>0</v>
      </c>
      <c r="W1378" s="51" t="n">
        <v>0</v>
      </c>
      <c r="X1378" s="51" t="n">
        <v>0</v>
      </c>
      <c r="Y1378" s="51" t="n">
        <v>0</v>
      </c>
      <c r="Z1378" s="51" t="n">
        <v>0</v>
      </c>
      <c r="AA1378" s="52" t="n">
        <v>0</v>
      </c>
      <c r="AB1378" s="52" t="n">
        <v>0</v>
      </c>
      <c r="AC1378" s="52" t="n">
        <v>0</v>
      </c>
      <c r="AD1378" s="52" t="n">
        <v>0</v>
      </c>
      <c r="AE1378" s="52" t="n">
        <v>0</v>
      </c>
      <c r="AF1378" s="52" t="n">
        <v>0</v>
      </c>
      <c r="AG1378" s="52" t="n">
        <v>0</v>
      </c>
      <c r="AH1378" s="52" t="n">
        <v>0</v>
      </c>
      <c r="AI1378" s="52" t="n">
        <v>0</v>
      </c>
      <c r="AJ1378" s="52" t="n">
        <v>0</v>
      </c>
      <c r="AK1378" s="52" t="n">
        <v>0</v>
      </c>
      <c r="AL1378" s="52" t="n">
        <v>0</v>
      </c>
      <c r="AM1378" s="53" t="n">
        <v>0</v>
      </c>
      <c r="AN1378" s="53" t="n">
        <v>0</v>
      </c>
      <c r="AO1378" s="53" t="n">
        <v>0</v>
      </c>
      <c r="AP1378" s="53" t="n">
        <v>0</v>
      </c>
      <c r="AQ1378" s="52" t="n">
        <v>0</v>
      </c>
      <c r="AR1378" s="52" t="n">
        <v>0</v>
      </c>
      <c r="AS1378" s="52" t="n">
        <v>0</v>
      </c>
      <c r="AT1378" s="52" t="n">
        <v>0</v>
      </c>
      <c r="AU1378" s="53" t="n">
        <v>0</v>
      </c>
      <c r="AV1378" s="53" t="n">
        <v>0</v>
      </c>
      <c r="AW1378" s="53" t="n">
        <v>0</v>
      </c>
      <c r="AX1378" s="53" t="n">
        <v>0</v>
      </c>
      <c r="AY1378" s="52" t="n">
        <v>0</v>
      </c>
      <c r="AZ1378" s="52" t="n">
        <v>0</v>
      </c>
      <c r="BA1378" s="52" t="n">
        <v>0</v>
      </c>
      <c r="BB1378" s="52" t="n">
        <v>0</v>
      </c>
      <c r="BC1378" s="51" t="n">
        <v>0</v>
      </c>
      <c r="BD1378" s="51" t="n">
        <v>0</v>
      </c>
      <c r="BE1378" s="51" t="n">
        <v>0</v>
      </c>
      <c r="BF1378" s="51" t="n">
        <v>0</v>
      </c>
    </row>
    <row r="1379">
      <c r="A1379">
        <f>HYPERLINK("https://www.walmart.com/ip/14523702237", "14523702237")</f>
        <v/>
      </c>
      <c r="B1379" t="inlineStr">
        <is>
          <t>PEANUTS Toddler Boys Girls Snoopy Family Matching Pajamas Sleepwear 2-Piece Sets for Christmas with Woodstock Charlie Brown Linus (Red Plaid, 3T)</t>
        </is>
      </c>
      <c r="C1379" t="inlineStr">
        <is>
          <t>PEA-PJS-FAMILY-TODDLER-REDPLAID-3T</t>
        </is>
      </c>
      <c r="D1379" t="inlineStr">
        <is>
          <t>Pajamas</t>
        </is>
      </c>
      <c r="E1379" t="inlineStr">
        <is>
          <t>Peanuts</t>
        </is>
      </c>
      <c r="G1379" s="48" t="n">
        <v>0</v>
      </c>
      <c r="H1379" s="48" t="n">
        <v>0</v>
      </c>
      <c r="I1379" s="48" t="n">
        <v>0</v>
      </c>
      <c r="J1379" s="48" t="n">
        <v>0</v>
      </c>
      <c r="K1379" s="49" t="n">
        <v>0</v>
      </c>
      <c r="L1379" s="49" t="n">
        <v>0</v>
      </c>
      <c r="M1379" s="49" t="n">
        <v>0</v>
      </c>
      <c r="N1379" s="49" t="n">
        <v>0</v>
      </c>
      <c r="O1379" s="49" t="n">
        <v>0</v>
      </c>
      <c r="P1379" s="49" t="n">
        <v>0</v>
      </c>
      <c r="Q1379" s="49" t="n">
        <v>0</v>
      </c>
      <c r="R1379" s="49" t="n">
        <v>0</v>
      </c>
      <c r="S1379" s="50" t="n">
        <v>0</v>
      </c>
      <c r="T1379" s="50" t="n">
        <v>0</v>
      </c>
      <c r="U1379" s="50" t="n">
        <v>0</v>
      </c>
      <c r="V1379" s="50" t="n">
        <v>0</v>
      </c>
      <c r="W1379" s="51" t="n">
        <v>0</v>
      </c>
      <c r="X1379" s="51" t="n">
        <v>0</v>
      </c>
      <c r="Y1379" s="51" t="n">
        <v>0</v>
      </c>
      <c r="Z1379" s="51" t="n">
        <v>0</v>
      </c>
      <c r="AA1379" s="52" t="n">
        <v>0</v>
      </c>
      <c r="AB1379" s="52" t="n">
        <v>0</v>
      </c>
      <c r="AC1379" s="52" t="n">
        <v>0</v>
      </c>
      <c r="AD1379" s="52" t="n">
        <v>0</v>
      </c>
      <c r="AE1379" s="52" t="n">
        <v>0</v>
      </c>
      <c r="AF1379" s="52" t="n">
        <v>0</v>
      </c>
      <c r="AG1379" s="52" t="n">
        <v>0</v>
      </c>
      <c r="AH1379" s="52" t="n">
        <v>0</v>
      </c>
      <c r="AI1379" s="52" t="n">
        <v>0</v>
      </c>
      <c r="AJ1379" s="52" t="n">
        <v>0</v>
      </c>
      <c r="AK1379" s="52" t="n">
        <v>0</v>
      </c>
      <c r="AL1379" s="52" t="n">
        <v>0</v>
      </c>
      <c r="AM1379" s="53" t="n">
        <v>0</v>
      </c>
      <c r="AN1379" s="53" t="n">
        <v>0</v>
      </c>
      <c r="AO1379" s="53" t="n">
        <v>0</v>
      </c>
      <c r="AP1379" s="53" t="n">
        <v>0</v>
      </c>
      <c r="AQ1379" s="52" t="n">
        <v>0</v>
      </c>
      <c r="AR1379" s="52" t="n">
        <v>0</v>
      </c>
      <c r="AS1379" s="52" t="n">
        <v>0</v>
      </c>
      <c r="AT1379" s="52" t="n">
        <v>0</v>
      </c>
      <c r="AU1379" s="53" t="n">
        <v>0</v>
      </c>
      <c r="AV1379" s="53" t="n">
        <v>0</v>
      </c>
      <c r="AW1379" s="53" t="n">
        <v>0</v>
      </c>
      <c r="AX1379" s="53" t="n">
        <v>0</v>
      </c>
      <c r="AY1379" s="52" t="n">
        <v>0</v>
      </c>
      <c r="AZ1379" s="52" t="n">
        <v>0</v>
      </c>
      <c r="BA1379" s="52" t="n">
        <v>0</v>
      </c>
      <c r="BB1379" s="52" t="n">
        <v>0</v>
      </c>
      <c r="BC1379" s="51" t="n">
        <v>0</v>
      </c>
      <c r="BD1379" s="51" t="n">
        <v>0</v>
      </c>
      <c r="BE1379" s="51" t="n">
        <v>0</v>
      </c>
      <c r="BF1379" s="51" t="n">
        <v>0</v>
      </c>
    </row>
    <row r="1380">
      <c r="A1380">
        <f>HYPERLINK("https://www.walmart.com/ip/14489068782", "14489068782")</f>
        <v/>
      </c>
      <c r="B1380" t="inlineStr">
        <is>
          <t>Catalonia Pink Blanket Hoodie for Kids, Oversized Wearable Fleece Sweatshirt Pullover for 7-16 yr Teens Youth, Kids Gift Idea</t>
        </is>
      </c>
      <c r="C1380" t="inlineStr">
        <is>
          <t>1CTOSH401LBL-FS</t>
        </is>
      </c>
      <c r="D1380" t="inlineStr">
        <is>
          <t>Sweatshirts &amp; Hoodies</t>
        </is>
      </c>
      <c r="E1380" t="inlineStr">
        <is>
          <t>Catalonia</t>
        </is>
      </c>
      <c r="G1380" s="48" t="n">
        <v>0</v>
      </c>
      <c r="H1380" s="48" t="n">
        <v>0</v>
      </c>
      <c r="I1380" s="48" t="n">
        <v>0</v>
      </c>
      <c r="J1380" s="48" t="n">
        <v>0</v>
      </c>
      <c r="K1380" s="49" t="n">
        <v>0</v>
      </c>
      <c r="L1380" s="49" t="n">
        <v>0</v>
      </c>
      <c r="M1380" s="49" t="n">
        <v>0</v>
      </c>
      <c r="N1380" s="49" t="n">
        <v>0</v>
      </c>
      <c r="O1380" s="49" t="n">
        <v>0</v>
      </c>
      <c r="P1380" s="49" t="n">
        <v>0</v>
      </c>
      <c r="Q1380" s="49" t="n">
        <v>0</v>
      </c>
      <c r="R1380" s="49" t="n">
        <v>0</v>
      </c>
      <c r="S1380" s="50" t="n">
        <v>0</v>
      </c>
      <c r="T1380" s="50" t="n">
        <v>0</v>
      </c>
      <c r="U1380" s="50" t="n">
        <v>0</v>
      </c>
      <c r="V1380" s="50" t="n">
        <v>0</v>
      </c>
      <c r="W1380" s="51" t="n">
        <v>0</v>
      </c>
      <c r="X1380" s="51" t="n">
        <v>0</v>
      </c>
      <c r="Y1380" s="51" t="n">
        <v>0</v>
      </c>
      <c r="Z1380" s="51" t="n">
        <v>0</v>
      </c>
      <c r="AA1380" s="52" t="n">
        <v>0</v>
      </c>
      <c r="AB1380" s="52" t="n">
        <v>0</v>
      </c>
      <c r="AC1380" s="52" t="n">
        <v>0</v>
      </c>
      <c r="AD1380" s="52" t="n">
        <v>0</v>
      </c>
      <c r="AE1380" s="52" t="n">
        <v>0</v>
      </c>
      <c r="AF1380" s="52" t="n">
        <v>0</v>
      </c>
      <c r="AG1380" s="52" t="n">
        <v>0</v>
      </c>
      <c r="AH1380" s="52" t="n">
        <v>0</v>
      </c>
      <c r="AI1380" s="52" t="n">
        <v>0</v>
      </c>
      <c r="AJ1380" s="52" t="n">
        <v>0</v>
      </c>
      <c r="AK1380" s="52" t="n">
        <v>0</v>
      </c>
      <c r="AL1380" s="52" t="n">
        <v>0</v>
      </c>
      <c r="AM1380" s="53" t="n">
        <v>0</v>
      </c>
      <c r="AN1380" s="53" t="n">
        <v>0</v>
      </c>
      <c r="AO1380" s="53" t="n">
        <v>0</v>
      </c>
      <c r="AP1380" s="53" t="n">
        <v>0</v>
      </c>
      <c r="AQ1380" s="52" t="n">
        <v>0</v>
      </c>
      <c r="AR1380" s="52" t="n">
        <v>0</v>
      </c>
      <c r="AS1380" s="52" t="n">
        <v>0</v>
      </c>
      <c r="AT1380" s="52" t="n">
        <v>0</v>
      </c>
      <c r="AU1380" s="53" t="n">
        <v>0</v>
      </c>
      <c r="AV1380" s="53" t="n">
        <v>0</v>
      </c>
      <c r="AW1380" s="53" t="n">
        <v>0</v>
      </c>
      <c r="AX1380" s="53" t="n">
        <v>0</v>
      </c>
      <c r="AY1380" s="52" t="n">
        <v>0</v>
      </c>
      <c r="AZ1380" s="52" t="n">
        <v>0</v>
      </c>
      <c r="BA1380" s="52" t="n">
        <v>0</v>
      </c>
      <c r="BB1380" s="52" t="n">
        <v>0</v>
      </c>
      <c r="BC1380" s="51" t="n">
        <v>0</v>
      </c>
      <c r="BD1380" s="51" t="n">
        <v>0</v>
      </c>
      <c r="BE1380" s="51" t="n">
        <v>0</v>
      </c>
      <c r="BF1380" s="51" t="n">
        <v>0</v>
      </c>
    </row>
    <row r="1381">
      <c r="A1381">
        <f>HYPERLINK("https://www.walmart.com/ip/14488964547", "14488964547")</f>
        <v/>
      </c>
      <c r="B1381" t="inlineStr">
        <is>
          <t>Catalonia Women's Hoodie Sweatshirt, Casual Pullover Sweater with front Pocket, Womens Fall Winter Clothing, Blanket Hoodie Sweatshirt, Cat Print</t>
        </is>
      </c>
      <c r="C1381" t="inlineStr">
        <is>
          <t>1CTOSH300S1BLCAT-FS</t>
        </is>
      </c>
      <c r="D1381" t="inlineStr">
        <is>
          <t>Sweatshirts &amp; Hoodies</t>
        </is>
      </c>
      <c r="E1381" t="inlineStr">
        <is>
          <t>Catalonia</t>
        </is>
      </c>
      <c r="G1381" s="48" t="n">
        <v>0</v>
      </c>
      <c r="H1381" s="48" t="n">
        <v>0</v>
      </c>
      <c r="I1381" s="48" t="n">
        <v>0</v>
      </c>
      <c r="J1381" s="48" t="n">
        <v>0</v>
      </c>
      <c r="K1381" s="49" t="n">
        <v>0</v>
      </c>
      <c r="L1381" s="49" t="n">
        <v>0</v>
      </c>
      <c r="M1381" s="49" t="n">
        <v>0</v>
      </c>
      <c r="N1381" s="49" t="n">
        <v>0</v>
      </c>
      <c r="O1381" s="49" t="n">
        <v>0</v>
      </c>
      <c r="P1381" s="49" t="n">
        <v>0</v>
      </c>
      <c r="Q1381" s="49" t="n">
        <v>0</v>
      </c>
      <c r="R1381" s="49" t="n">
        <v>0</v>
      </c>
      <c r="S1381" s="50" t="n">
        <v>0</v>
      </c>
      <c r="T1381" s="50" t="n">
        <v>0</v>
      </c>
      <c r="U1381" s="50" t="n">
        <v>0</v>
      </c>
      <c r="V1381" s="50" t="n">
        <v>0</v>
      </c>
      <c r="W1381" s="51" t="n">
        <v>0</v>
      </c>
      <c r="X1381" s="51" t="n">
        <v>0</v>
      </c>
      <c r="Y1381" s="51" t="n">
        <v>0</v>
      </c>
      <c r="Z1381" s="51" t="n">
        <v>0</v>
      </c>
      <c r="AA1381" s="52" t="n">
        <v>0</v>
      </c>
      <c r="AB1381" s="52" t="n">
        <v>0</v>
      </c>
      <c r="AC1381" s="52" t="n">
        <v>0</v>
      </c>
      <c r="AD1381" s="52" t="n">
        <v>0</v>
      </c>
      <c r="AE1381" s="52" t="n">
        <v>0</v>
      </c>
      <c r="AF1381" s="52" t="n">
        <v>0</v>
      </c>
      <c r="AG1381" s="52" t="n">
        <v>0</v>
      </c>
      <c r="AH1381" s="52" t="n">
        <v>0</v>
      </c>
      <c r="AI1381" s="52" t="n">
        <v>0</v>
      </c>
      <c r="AJ1381" s="52" t="n">
        <v>0</v>
      </c>
      <c r="AK1381" s="52" t="n">
        <v>0</v>
      </c>
      <c r="AL1381" s="52" t="n">
        <v>0</v>
      </c>
      <c r="AM1381" s="53" t="n">
        <v>0</v>
      </c>
      <c r="AN1381" s="53" t="n">
        <v>0</v>
      </c>
      <c r="AO1381" s="53" t="n">
        <v>0</v>
      </c>
      <c r="AP1381" s="53" t="n">
        <v>0</v>
      </c>
      <c r="AQ1381" s="52" t="n">
        <v>0</v>
      </c>
      <c r="AR1381" s="52" t="n">
        <v>0</v>
      </c>
      <c r="AS1381" s="52" t="n">
        <v>0</v>
      </c>
      <c r="AT1381" s="52" t="n">
        <v>0</v>
      </c>
      <c r="AU1381" s="53" t="n">
        <v>0</v>
      </c>
      <c r="AV1381" s="53" t="n">
        <v>0</v>
      </c>
      <c r="AW1381" s="53" t="n">
        <v>0</v>
      </c>
      <c r="AX1381" s="53" t="n">
        <v>0</v>
      </c>
      <c r="AY1381" s="52" t="n">
        <v>0</v>
      </c>
      <c r="AZ1381" s="52" t="n">
        <v>0</v>
      </c>
      <c r="BA1381" s="52" t="n">
        <v>0</v>
      </c>
      <c r="BB1381" s="52" t="n">
        <v>0</v>
      </c>
      <c r="BC1381" s="51" t="n">
        <v>0</v>
      </c>
      <c r="BD1381" s="51" t="n">
        <v>0</v>
      </c>
      <c r="BE1381" s="51" t="n">
        <v>0</v>
      </c>
      <c r="BF1381" s="51" t="n">
        <v>0</v>
      </c>
    </row>
    <row r="1382">
      <c r="A1382">
        <f>HYPERLINK("https://www.walmart.com/ip/139817363", "139817363")</f>
        <v/>
      </c>
      <c r="B1382" t="inlineStr">
        <is>
          <t>JenniWears® Women's Sexy Lace Nightgown Sleepwear Bathrobe 2 Piece Set</t>
        </is>
      </c>
      <c r="C1382" t="inlineStr">
        <is>
          <t>JWRS02BK-M</t>
        </is>
      </c>
      <c r="D1382" t="inlineStr">
        <is>
          <t>Nightgowns &amp; Sleepshirts</t>
        </is>
      </c>
      <c r="E1382" t="inlineStr">
        <is>
          <t>JenniWears</t>
        </is>
      </c>
      <c r="F1382" t="inlineStr">
        <is>
          <t>Optimized,Valentine,Bathrobe</t>
        </is>
      </c>
      <c r="G1382" s="48" t="n">
        <v>0</v>
      </c>
      <c r="H1382" s="48" t="n">
        <v>0</v>
      </c>
      <c r="I1382" s="48" t="n">
        <v>0</v>
      </c>
      <c r="J1382" s="48" t="n">
        <v>0</v>
      </c>
      <c r="K1382" s="49" t="n">
        <v>0</v>
      </c>
      <c r="L1382" s="49" t="n">
        <v>0</v>
      </c>
      <c r="M1382" s="49" t="n">
        <v>0</v>
      </c>
      <c r="N1382" s="49" t="n">
        <v>0</v>
      </c>
      <c r="O1382" s="49" t="n">
        <v>0</v>
      </c>
      <c r="P1382" s="49" t="n">
        <v>0</v>
      </c>
      <c r="Q1382" s="49" t="n">
        <v>0</v>
      </c>
      <c r="R1382" s="49" t="n">
        <v>0</v>
      </c>
      <c r="S1382" s="50" t="n">
        <v>0</v>
      </c>
      <c r="T1382" s="50" t="n">
        <v>0</v>
      </c>
      <c r="U1382" s="50" t="n">
        <v>0</v>
      </c>
      <c r="V1382" s="50" t="n">
        <v>0</v>
      </c>
      <c r="W1382" s="51" t="n">
        <v>0</v>
      </c>
      <c r="X1382" s="51" t="n">
        <v>0</v>
      </c>
      <c r="Y1382" s="51" t="n">
        <v>0</v>
      </c>
      <c r="Z1382" s="51" t="n">
        <v>0</v>
      </c>
      <c r="AA1382" s="52" t="n">
        <v>0</v>
      </c>
      <c r="AB1382" s="52" t="n">
        <v>0</v>
      </c>
      <c r="AC1382" s="52" t="n">
        <v>0</v>
      </c>
      <c r="AD1382" s="52" t="n">
        <v>0</v>
      </c>
      <c r="AE1382" s="52" t="n">
        <v>0</v>
      </c>
      <c r="AF1382" s="52" t="n">
        <v>0</v>
      </c>
      <c r="AG1382" s="52" t="n">
        <v>0</v>
      </c>
      <c r="AH1382" s="52" t="n">
        <v>0</v>
      </c>
      <c r="AI1382" s="52" t="n">
        <v>0</v>
      </c>
      <c r="AJ1382" s="52" t="n">
        <v>0</v>
      </c>
      <c r="AK1382" s="52" t="n">
        <v>0</v>
      </c>
      <c r="AL1382" s="52" t="n">
        <v>0</v>
      </c>
      <c r="AM1382" s="53" t="n">
        <v>0</v>
      </c>
      <c r="AN1382" s="53" t="n">
        <v>0</v>
      </c>
      <c r="AO1382" s="53" t="n">
        <v>0</v>
      </c>
      <c r="AP1382" s="53" t="n">
        <v>0</v>
      </c>
      <c r="AQ1382" s="52" t="n">
        <v>0</v>
      </c>
      <c r="AR1382" s="52" t="n">
        <v>0</v>
      </c>
      <c r="AS1382" s="52" t="n">
        <v>0</v>
      </c>
      <c r="AT1382" s="52" t="n">
        <v>0</v>
      </c>
      <c r="AU1382" s="53" t="n">
        <v>0</v>
      </c>
      <c r="AV1382" s="53" t="n">
        <v>0</v>
      </c>
      <c r="AW1382" s="53" t="n">
        <v>0</v>
      </c>
      <c r="AX1382" s="53" t="n">
        <v>0</v>
      </c>
      <c r="AY1382" s="52" t="n">
        <v>0</v>
      </c>
      <c r="AZ1382" s="52" t="n">
        <v>0</v>
      </c>
      <c r="BA1382" s="52" t="n">
        <v>0</v>
      </c>
      <c r="BB1382" s="52" t="n">
        <v>0</v>
      </c>
      <c r="BC1382" s="51" t="n">
        <v>0</v>
      </c>
      <c r="BD1382" s="51" t="n">
        <v>0</v>
      </c>
      <c r="BE1382" s="51" t="n">
        <v>0</v>
      </c>
      <c r="BF1382" s="51" t="n">
        <v>0</v>
      </c>
    </row>
    <row r="1383">
      <c r="A1383">
        <f>HYPERLINK("https://www.walmart.com/ip/142982610", "142982610")</f>
        <v/>
      </c>
      <c r="B1383" t="inlineStr">
        <is>
          <t>JenniWears® Women's Stretch Mesh Bikini Panty with Open Back Heart Detail</t>
        </is>
      </c>
      <c r="C1383" t="inlineStr">
        <is>
          <t>JWPT02RD-2XL</t>
        </is>
      </c>
      <c r="D1383" t="inlineStr">
        <is>
          <t>Panties</t>
        </is>
      </c>
      <c r="E1383" t="inlineStr">
        <is>
          <t>JenniWears</t>
        </is>
      </c>
      <c r="F1383" t="inlineStr">
        <is>
          <t>Valentine</t>
        </is>
      </c>
      <c r="G1383" s="48" t="n">
        <v>0</v>
      </c>
      <c r="H1383" s="48" t="n">
        <v>0</v>
      </c>
      <c r="I1383" s="48" t="n">
        <v>0</v>
      </c>
      <c r="J1383" s="48" t="n">
        <v>0</v>
      </c>
      <c r="K1383" s="49" t="n">
        <v>0</v>
      </c>
      <c r="L1383" s="49" t="n">
        <v>0</v>
      </c>
      <c r="M1383" s="49" t="n">
        <v>0</v>
      </c>
      <c r="N1383" s="49" t="n">
        <v>0</v>
      </c>
      <c r="O1383" s="49" t="n">
        <v>0</v>
      </c>
      <c r="P1383" s="49" t="n">
        <v>0</v>
      </c>
      <c r="Q1383" s="49" t="n">
        <v>0</v>
      </c>
      <c r="R1383" s="49" t="n">
        <v>0</v>
      </c>
      <c r="S1383" s="50" t="n">
        <v>0</v>
      </c>
      <c r="T1383" s="50" t="n">
        <v>0</v>
      </c>
      <c r="U1383" s="50" t="n">
        <v>0</v>
      </c>
      <c r="V1383" s="50" t="n">
        <v>0</v>
      </c>
      <c r="W1383" s="51" t="n">
        <v>0</v>
      </c>
      <c r="X1383" s="51" t="n">
        <v>0</v>
      </c>
      <c r="Y1383" s="51" t="n">
        <v>0</v>
      </c>
      <c r="Z1383" s="51" t="n">
        <v>0</v>
      </c>
      <c r="AA1383" s="52" t="n">
        <v>0</v>
      </c>
      <c r="AB1383" s="52" t="n">
        <v>0</v>
      </c>
      <c r="AC1383" s="52" t="n">
        <v>0</v>
      </c>
      <c r="AD1383" s="52" t="n">
        <v>0</v>
      </c>
      <c r="AE1383" s="52" t="n">
        <v>0</v>
      </c>
      <c r="AF1383" s="52" t="n">
        <v>0</v>
      </c>
      <c r="AG1383" s="52" t="n">
        <v>0</v>
      </c>
      <c r="AH1383" s="52" t="n">
        <v>0</v>
      </c>
      <c r="AI1383" s="52" t="n">
        <v>0</v>
      </c>
      <c r="AJ1383" s="52" t="n">
        <v>0</v>
      </c>
      <c r="AK1383" s="52" t="n">
        <v>0</v>
      </c>
      <c r="AL1383" s="52" t="n">
        <v>0</v>
      </c>
      <c r="AM1383" s="53" t="n">
        <v>0</v>
      </c>
      <c r="AN1383" s="53" t="n">
        <v>0</v>
      </c>
      <c r="AO1383" s="53" t="n">
        <v>0</v>
      </c>
      <c r="AP1383" s="53" t="n">
        <v>0</v>
      </c>
      <c r="AQ1383" s="52" t="n">
        <v>0</v>
      </c>
      <c r="AR1383" s="52" t="n">
        <v>0</v>
      </c>
      <c r="AS1383" s="52" t="n">
        <v>0</v>
      </c>
      <c r="AT1383" s="52" t="n">
        <v>0</v>
      </c>
      <c r="AU1383" s="53" t="n">
        <v>0</v>
      </c>
      <c r="AV1383" s="53" t="n">
        <v>0</v>
      </c>
      <c r="AW1383" s="53" t="n">
        <v>0</v>
      </c>
      <c r="AX1383" s="53" t="n">
        <v>0</v>
      </c>
      <c r="AY1383" s="52" t="n">
        <v>0</v>
      </c>
      <c r="AZ1383" s="52" t="n">
        <v>0</v>
      </c>
      <c r="BA1383" s="52" t="n">
        <v>0</v>
      </c>
      <c r="BB1383" s="52" t="n">
        <v>0</v>
      </c>
      <c r="BC1383" s="51" t="n">
        <v>0</v>
      </c>
      <c r="BD1383" s="51" t="n">
        <v>0</v>
      </c>
      <c r="BE1383" s="51" t="n">
        <v>0</v>
      </c>
      <c r="BF1383" s="51" t="n">
        <v>0</v>
      </c>
    </row>
    <row r="1384">
      <c r="A1384">
        <f>HYPERLINK("https://www.walmart.com/ip/143242589", "143242589")</f>
        <v/>
      </c>
      <c r="B1384" t="inlineStr">
        <is>
          <t>Real Tree Unisex Real Tree Hunting Mesh Cap trucker hat</t>
        </is>
      </c>
      <c r="C1384" t="inlineStr">
        <is>
          <t>7140-Break</t>
        </is>
      </c>
      <c r="D1384" t="inlineStr">
        <is>
          <t>Hats</t>
        </is>
      </c>
      <c r="E1384" t="inlineStr">
        <is>
          <t>KC Caps</t>
        </is>
      </c>
      <c r="F1384" t="inlineStr">
        <is>
          <t>Optimized</t>
        </is>
      </c>
      <c r="G1384" s="48" t="n">
        <v>0</v>
      </c>
      <c r="H1384" s="48" t="n">
        <v>0</v>
      </c>
      <c r="I1384" s="48" t="n">
        <v>0</v>
      </c>
      <c r="J1384" s="48" t="n">
        <v>0</v>
      </c>
      <c r="K1384" s="49" t="n">
        <v>0</v>
      </c>
      <c r="L1384" s="49" t="n">
        <v>0</v>
      </c>
      <c r="M1384" s="49" t="n">
        <v>0</v>
      </c>
      <c r="N1384" s="49" t="n">
        <v>0</v>
      </c>
      <c r="O1384" s="49" t="n">
        <v>0</v>
      </c>
      <c r="P1384" s="49" t="n">
        <v>0</v>
      </c>
      <c r="Q1384" s="49" t="n">
        <v>0</v>
      </c>
      <c r="R1384" s="49" t="n">
        <v>0</v>
      </c>
      <c r="S1384" s="50" t="n">
        <v>0</v>
      </c>
      <c r="T1384" s="50" t="n">
        <v>0</v>
      </c>
      <c r="U1384" s="50" t="n">
        <v>0</v>
      </c>
      <c r="V1384" s="50" t="n">
        <v>0</v>
      </c>
      <c r="W1384" s="51" t="n">
        <v>0</v>
      </c>
      <c r="X1384" s="51" t="n">
        <v>0</v>
      </c>
      <c r="Y1384" s="51" t="n">
        <v>0</v>
      </c>
      <c r="Z1384" s="51" t="n">
        <v>0</v>
      </c>
      <c r="AA1384" s="52" t="n">
        <v>0</v>
      </c>
      <c r="AB1384" s="52" t="n">
        <v>0</v>
      </c>
      <c r="AC1384" s="52" t="n">
        <v>0</v>
      </c>
      <c r="AD1384" s="52" t="n">
        <v>0</v>
      </c>
      <c r="AE1384" s="52" t="n">
        <v>0</v>
      </c>
      <c r="AF1384" s="52" t="n">
        <v>0</v>
      </c>
      <c r="AG1384" s="52" t="n">
        <v>0</v>
      </c>
      <c r="AH1384" s="52" t="n">
        <v>0</v>
      </c>
      <c r="AI1384" s="52" t="n">
        <v>0</v>
      </c>
      <c r="AJ1384" s="52" t="n">
        <v>0</v>
      </c>
      <c r="AK1384" s="52" t="n">
        <v>0</v>
      </c>
      <c r="AL1384" s="52" t="n">
        <v>0</v>
      </c>
      <c r="AM1384" s="53" t="n">
        <v>0</v>
      </c>
      <c r="AN1384" s="53" t="n">
        <v>0</v>
      </c>
      <c r="AO1384" s="53" t="n">
        <v>0</v>
      </c>
      <c r="AP1384" s="53" t="n">
        <v>0</v>
      </c>
      <c r="AQ1384" s="52" t="n">
        <v>0</v>
      </c>
      <c r="AR1384" s="52" t="n">
        <v>0</v>
      </c>
      <c r="AS1384" s="52" t="n">
        <v>0</v>
      </c>
      <c r="AT1384" s="52" t="n">
        <v>0</v>
      </c>
      <c r="AU1384" s="53" t="n">
        <v>0</v>
      </c>
      <c r="AV1384" s="53" t="n">
        <v>0</v>
      </c>
      <c r="AW1384" s="53" t="n">
        <v>0</v>
      </c>
      <c r="AX1384" s="53" t="n">
        <v>0</v>
      </c>
      <c r="AY1384" s="52" t="n">
        <v>0</v>
      </c>
      <c r="AZ1384" s="52" t="n">
        <v>0</v>
      </c>
      <c r="BA1384" s="52" t="n">
        <v>0</v>
      </c>
      <c r="BB1384" s="52" t="n">
        <v>0</v>
      </c>
      <c r="BC1384" s="51" t="n">
        <v>0</v>
      </c>
      <c r="BD1384" s="51" t="n">
        <v>0</v>
      </c>
      <c r="BE1384" s="51" t="n">
        <v>0</v>
      </c>
      <c r="BF1384" s="51" t="n">
        <v>0</v>
      </c>
    </row>
    <row r="1385">
      <c r="A1385">
        <f>HYPERLINK("https://www.walmart.com/ip/143410315", "143410315")</f>
        <v/>
      </c>
      <c r="B1385" t="inlineStr">
        <is>
          <t>Flyingstar Insulated Lunch Bag for Women Men, Leakproof Thermal Reusable Lunch Box Tote for Adult &amp; Kids Lunch Cooler for Office Work</t>
        </is>
      </c>
      <c r="C1385" t="inlineStr">
        <is>
          <t>1WMLB701P1OL</t>
        </is>
      </c>
      <c r="D1385" t="inlineStr">
        <is>
          <t>Reusable Lunch Bags &amp; Boxes</t>
        </is>
      </c>
      <c r="E1385" t="inlineStr">
        <is>
          <t>Flyingstar</t>
        </is>
      </c>
      <c r="F1385" t="inlineStr">
        <is>
          <t>Lunch Bag,Optimized,Lunch Bags</t>
        </is>
      </c>
      <c r="G1385" s="48" t="n">
        <v>0</v>
      </c>
      <c r="H1385" s="48" t="n">
        <v>0</v>
      </c>
      <c r="I1385" s="48" t="n">
        <v>0</v>
      </c>
      <c r="J1385" s="48" t="n">
        <v>0</v>
      </c>
      <c r="K1385" s="49" t="n">
        <v>0</v>
      </c>
      <c r="L1385" s="49" t="n">
        <v>0</v>
      </c>
      <c r="M1385" s="49" t="n">
        <v>0</v>
      </c>
      <c r="N1385" s="49" t="n">
        <v>0</v>
      </c>
      <c r="O1385" s="49" t="n">
        <v>0</v>
      </c>
      <c r="P1385" s="49" t="n">
        <v>0</v>
      </c>
      <c r="Q1385" s="49" t="n">
        <v>0</v>
      </c>
      <c r="R1385" s="49" t="n">
        <v>0</v>
      </c>
      <c r="S1385" s="50" t="n">
        <v>0</v>
      </c>
      <c r="T1385" s="50" t="n">
        <v>0</v>
      </c>
      <c r="U1385" s="50" t="n">
        <v>0</v>
      </c>
      <c r="V1385" s="50" t="n">
        <v>0</v>
      </c>
      <c r="W1385" s="51" t="n">
        <v>0</v>
      </c>
      <c r="X1385" s="51" t="n">
        <v>0</v>
      </c>
      <c r="Y1385" s="51" t="n">
        <v>0</v>
      </c>
      <c r="Z1385" s="51" t="n">
        <v>0</v>
      </c>
      <c r="AA1385" s="52" t="n">
        <v>0</v>
      </c>
      <c r="AB1385" s="52" t="n">
        <v>0</v>
      </c>
      <c r="AC1385" s="52" t="n">
        <v>0</v>
      </c>
      <c r="AD1385" s="52" t="n">
        <v>0</v>
      </c>
      <c r="AE1385" s="52" t="n">
        <v>0</v>
      </c>
      <c r="AF1385" s="52" t="n">
        <v>0</v>
      </c>
      <c r="AG1385" s="52" t="n">
        <v>0</v>
      </c>
      <c r="AH1385" s="52" t="n">
        <v>0</v>
      </c>
      <c r="AI1385" s="52" t="n">
        <v>0</v>
      </c>
      <c r="AJ1385" s="52" t="n">
        <v>0</v>
      </c>
      <c r="AK1385" s="52" t="n">
        <v>0</v>
      </c>
      <c r="AL1385" s="52" t="n">
        <v>0</v>
      </c>
      <c r="AM1385" s="53" t="n">
        <v>0</v>
      </c>
      <c r="AN1385" s="53" t="n">
        <v>0</v>
      </c>
      <c r="AO1385" s="53" t="n">
        <v>0</v>
      </c>
      <c r="AP1385" s="53" t="n">
        <v>0</v>
      </c>
      <c r="AQ1385" s="52" t="n">
        <v>0</v>
      </c>
      <c r="AR1385" s="52" t="n">
        <v>0</v>
      </c>
      <c r="AS1385" s="52" t="n">
        <v>0</v>
      </c>
      <c r="AT1385" s="52" t="n">
        <v>0</v>
      </c>
      <c r="AU1385" s="53" t="n">
        <v>0</v>
      </c>
      <c r="AV1385" s="53" t="n">
        <v>0</v>
      </c>
      <c r="AW1385" s="53" t="n">
        <v>0</v>
      </c>
      <c r="AX1385" s="53" t="n">
        <v>0</v>
      </c>
      <c r="AY1385" s="52" t="n">
        <v>0</v>
      </c>
      <c r="AZ1385" s="52" t="n">
        <v>0</v>
      </c>
      <c r="BA1385" s="52" t="n">
        <v>0</v>
      </c>
      <c r="BB1385" s="52" t="n">
        <v>0</v>
      </c>
      <c r="BC1385" s="51" t="n">
        <v>0</v>
      </c>
      <c r="BD1385" s="51" t="n">
        <v>0</v>
      </c>
      <c r="BE1385" s="51" t="n">
        <v>0</v>
      </c>
      <c r="BF1385" s="51" t="n">
        <v>0</v>
      </c>
    </row>
    <row r="1386">
      <c r="A1386">
        <f>HYPERLINK("https://www.walmart.com/ip/143469985", "143469985")</f>
        <v/>
      </c>
      <c r="B1386" t="inlineStr">
        <is>
          <t>Catalonia Cheetah Fluffy Sherpa Throw Blanket, Super Soft Mink Fleece Couch Blanket, TV Bed Fuzzy Blanket, Fluffy Comfy Warm Heavy Throws, Comfort Caring Gift,50x60 inches</t>
        </is>
      </c>
      <c r="C1386" t="inlineStr">
        <is>
          <t>1CTBF300CHEETAHMUL</t>
        </is>
      </c>
      <c r="D1386" t="inlineStr">
        <is>
          <t>Throws</t>
        </is>
      </c>
      <c r="E1386" t="inlineStr">
        <is>
          <t>Catalonia</t>
        </is>
      </c>
      <c r="F1386" t="inlineStr">
        <is>
          <t>WFS,WFS Item</t>
        </is>
      </c>
      <c r="G1386" s="48" t="n">
        <v>0</v>
      </c>
      <c r="H1386" s="48" t="n">
        <v>0</v>
      </c>
      <c r="I1386" s="48" t="n">
        <v>0</v>
      </c>
      <c r="J1386" s="48" t="n">
        <v>0</v>
      </c>
      <c r="K1386" s="49" t="n">
        <v>0</v>
      </c>
      <c r="L1386" s="49" t="n">
        <v>0</v>
      </c>
      <c r="M1386" s="49" t="n">
        <v>0</v>
      </c>
      <c r="N1386" s="49" t="n">
        <v>0</v>
      </c>
      <c r="O1386" s="49" t="n">
        <v>0</v>
      </c>
      <c r="P1386" s="49" t="n">
        <v>0</v>
      </c>
      <c r="Q1386" s="49" t="n">
        <v>0</v>
      </c>
      <c r="R1386" s="49" t="n">
        <v>0</v>
      </c>
      <c r="S1386" s="50" t="n">
        <v>0</v>
      </c>
      <c r="T1386" s="50" t="n">
        <v>0</v>
      </c>
      <c r="U1386" s="50" t="n">
        <v>0</v>
      </c>
      <c r="V1386" s="50" t="n">
        <v>0</v>
      </c>
      <c r="W1386" s="51" t="n">
        <v>0</v>
      </c>
      <c r="X1386" s="51" t="n">
        <v>0</v>
      </c>
      <c r="Y1386" s="51" t="n">
        <v>0</v>
      </c>
      <c r="Z1386" s="51" t="n">
        <v>0</v>
      </c>
      <c r="AA1386" s="52" t="n">
        <v>0</v>
      </c>
      <c r="AB1386" s="52" t="n">
        <v>0</v>
      </c>
      <c r="AC1386" s="52" t="n">
        <v>0</v>
      </c>
      <c r="AD1386" s="52" t="n">
        <v>0</v>
      </c>
      <c r="AE1386" s="52" t="n">
        <v>0</v>
      </c>
      <c r="AF1386" s="52" t="n">
        <v>0</v>
      </c>
      <c r="AG1386" s="52" t="n">
        <v>0</v>
      </c>
      <c r="AH1386" s="52" t="n">
        <v>0</v>
      </c>
      <c r="AI1386" s="52" t="n">
        <v>0</v>
      </c>
      <c r="AJ1386" s="52" t="n">
        <v>0</v>
      </c>
      <c r="AK1386" s="52" t="n">
        <v>0</v>
      </c>
      <c r="AL1386" s="52" t="n">
        <v>0</v>
      </c>
      <c r="AM1386" s="53" t="n">
        <v>0</v>
      </c>
      <c r="AN1386" s="53" t="n">
        <v>0</v>
      </c>
      <c r="AO1386" s="53" t="n">
        <v>0</v>
      </c>
      <c r="AP1386" s="53" t="n">
        <v>0</v>
      </c>
      <c r="AQ1386" s="52" t="n">
        <v>0</v>
      </c>
      <c r="AR1386" s="52" t="n">
        <v>0</v>
      </c>
      <c r="AS1386" s="52" t="n">
        <v>0</v>
      </c>
      <c r="AT1386" s="52" t="n">
        <v>0</v>
      </c>
      <c r="AU1386" s="53" t="n">
        <v>0</v>
      </c>
      <c r="AV1386" s="53" t="n">
        <v>0</v>
      </c>
      <c r="AW1386" s="53" t="n">
        <v>0</v>
      </c>
      <c r="AX1386" s="53" t="n">
        <v>0</v>
      </c>
      <c r="AY1386" s="52" t="n">
        <v>0</v>
      </c>
      <c r="AZ1386" s="52" t="n">
        <v>0</v>
      </c>
      <c r="BA1386" s="52" t="n">
        <v>0</v>
      </c>
      <c r="BB1386" s="52" t="n">
        <v>0</v>
      </c>
      <c r="BC1386" s="51" t="n">
        <v>0</v>
      </c>
      <c r="BD1386" s="51" t="n">
        <v>0</v>
      </c>
      <c r="BE1386" s="51" t="n">
        <v>0</v>
      </c>
      <c r="BF1386" s="51" t="n">
        <v>0</v>
      </c>
    </row>
    <row r="1387">
      <c r="A1387">
        <f>HYPERLINK("https://www.walmart.com/ip/143619828", "143619828")</f>
        <v/>
      </c>
      <c r="B1387" t="inlineStr">
        <is>
          <t>Women's High Waist Yoga Pants Workout Running Capri Legging Inner Pocket</t>
        </is>
      </c>
      <c r="C1387" t="inlineStr">
        <is>
          <t>1TRYP102PK-SM</t>
        </is>
      </c>
      <c r="D1387" t="inlineStr">
        <is>
          <t>Leggings</t>
        </is>
      </c>
      <c r="E1387" t="inlineStr">
        <is>
          <t>Tirrinia</t>
        </is>
      </c>
      <c r="F1387" t="inlineStr">
        <is>
          <t>Optimized</t>
        </is>
      </c>
      <c r="G1387" s="48" t="n">
        <v>0</v>
      </c>
      <c r="H1387" s="48" t="n">
        <v>0</v>
      </c>
      <c r="I1387" s="48" t="n">
        <v>0</v>
      </c>
      <c r="J1387" s="48" t="n">
        <v>0</v>
      </c>
      <c r="K1387" s="49" t="n">
        <v>0</v>
      </c>
      <c r="L1387" s="49" t="n">
        <v>0</v>
      </c>
      <c r="M1387" s="49" t="n">
        <v>0</v>
      </c>
      <c r="N1387" s="49" t="n">
        <v>0</v>
      </c>
      <c r="O1387" s="49" t="n">
        <v>0</v>
      </c>
      <c r="P1387" s="49" t="n">
        <v>0</v>
      </c>
      <c r="Q1387" s="49" t="n">
        <v>0</v>
      </c>
      <c r="R1387" s="49" t="n">
        <v>0</v>
      </c>
      <c r="S1387" s="50" t="n">
        <v>0</v>
      </c>
      <c r="T1387" s="50" t="n">
        <v>0</v>
      </c>
      <c r="U1387" s="50" t="n">
        <v>0</v>
      </c>
      <c r="V1387" s="50" t="n">
        <v>0</v>
      </c>
      <c r="W1387" s="51" t="n">
        <v>0</v>
      </c>
      <c r="X1387" s="51" t="n">
        <v>0</v>
      </c>
      <c r="Y1387" s="51" t="n">
        <v>0</v>
      </c>
      <c r="Z1387" s="51" t="n">
        <v>0</v>
      </c>
      <c r="AA1387" s="52" t="n">
        <v>0</v>
      </c>
      <c r="AB1387" s="52" t="n">
        <v>0</v>
      </c>
      <c r="AC1387" s="52" t="n">
        <v>0</v>
      </c>
      <c r="AD1387" s="52" t="n">
        <v>0</v>
      </c>
      <c r="AE1387" s="52" t="n">
        <v>0</v>
      </c>
      <c r="AF1387" s="52" t="n">
        <v>0</v>
      </c>
      <c r="AG1387" s="52" t="n">
        <v>0</v>
      </c>
      <c r="AH1387" s="52" t="n">
        <v>0</v>
      </c>
      <c r="AI1387" s="52" t="n">
        <v>0</v>
      </c>
      <c r="AJ1387" s="52" t="n">
        <v>0</v>
      </c>
      <c r="AK1387" s="52" t="n">
        <v>0</v>
      </c>
      <c r="AL1387" s="52" t="n">
        <v>0</v>
      </c>
      <c r="AM1387" s="53" t="n">
        <v>0</v>
      </c>
      <c r="AN1387" s="53" t="n">
        <v>0</v>
      </c>
      <c r="AO1387" s="53" t="n">
        <v>0</v>
      </c>
      <c r="AP1387" s="53" t="n">
        <v>0</v>
      </c>
      <c r="AQ1387" s="52" t="n">
        <v>0</v>
      </c>
      <c r="AR1387" s="52" t="n">
        <v>0</v>
      </c>
      <c r="AS1387" s="52" t="n">
        <v>0</v>
      </c>
      <c r="AT1387" s="52" t="n">
        <v>0</v>
      </c>
      <c r="AU1387" s="53" t="n">
        <v>0</v>
      </c>
      <c r="AV1387" s="53" t="n">
        <v>0</v>
      </c>
      <c r="AW1387" s="53" t="n">
        <v>0</v>
      </c>
      <c r="AX1387" s="53" t="n">
        <v>0</v>
      </c>
      <c r="AY1387" s="52" t="n">
        <v>0</v>
      </c>
      <c r="AZ1387" s="52" t="n">
        <v>0</v>
      </c>
      <c r="BA1387" s="52" t="n">
        <v>0</v>
      </c>
      <c r="BB1387" s="52" t="n">
        <v>0</v>
      </c>
      <c r="BC1387" s="51" t="n">
        <v>0</v>
      </c>
      <c r="BD1387" s="51" t="n">
        <v>0</v>
      </c>
      <c r="BE1387" s="51" t="n">
        <v>0</v>
      </c>
      <c r="BF1387" s="51" t="n">
        <v>0</v>
      </c>
    </row>
    <row r="1388">
      <c r="A1388">
        <f>HYPERLINK("https://www.walmart.com/ip/143730342", "143730342")</f>
        <v/>
      </c>
      <c r="B1388" t="inlineStr">
        <is>
          <t>Male Female Adjustable Buckle Closure USA Flag Embroidered Cap</t>
        </is>
      </c>
      <c r="C1388" t="inlineStr">
        <is>
          <t>kc-ae8010-nv</t>
        </is>
      </c>
      <c r="D1388" t="inlineStr">
        <is>
          <t>Hats</t>
        </is>
      </c>
      <c r="E1388" t="inlineStr">
        <is>
          <t>KC Caps</t>
        </is>
      </c>
      <c r="F1388" t="inlineStr">
        <is>
          <t>Optimized</t>
        </is>
      </c>
      <c r="G1388" s="48" t="n">
        <v>0</v>
      </c>
      <c r="H1388" s="48" t="n">
        <v>0</v>
      </c>
      <c r="I1388" s="48" t="n">
        <v>0</v>
      </c>
      <c r="J1388" s="48" t="n">
        <v>0</v>
      </c>
      <c r="K1388" s="49" t="n">
        <v>0</v>
      </c>
      <c r="L1388" s="49" t="n">
        <v>0</v>
      </c>
      <c r="M1388" s="49" t="n">
        <v>0</v>
      </c>
      <c r="N1388" s="49" t="n">
        <v>0</v>
      </c>
      <c r="O1388" s="49" t="n">
        <v>0</v>
      </c>
      <c r="P1388" s="49" t="n">
        <v>0</v>
      </c>
      <c r="Q1388" s="49" t="n">
        <v>0</v>
      </c>
      <c r="R1388" s="49" t="n">
        <v>0</v>
      </c>
      <c r="S1388" s="50" t="n">
        <v>0</v>
      </c>
      <c r="T1388" s="50" t="n">
        <v>0</v>
      </c>
      <c r="U1388" s="50" t="n">
        <v>0</v>
      </c>
      <c r="V1388" s="50" t="n">
        <v>0</v>
      </c>
      <c r="W1388" s="51" t="n">
        <v>0</v>
      </c>
      <c r="X1388" s="51" t="n">
        <v>0</v>
      </c>
      <c r="Y1388" s="51" t="n">
        <v>0</v>
      </c>
      <c r="Z1388" s="51" t="n">
        <v>0</v>
      </c>
      <c r="AA1388" s="52" t="n">
        <v>0</v>
      </c>
      <c r="AB1388" s="52" t="n">
        <v>0</v>
      </c>
      <c r="AC1388" s="52" t="n">
        <v>0</v>
      </c>
      <c r="AD1388" s="52" t="n">
        <v>0</v>
      </c>
      <c r="AE1388" s="52" t="n">
        <v>0</v>
      </c>
      <c r="AF1388" s="52" t="n">
        <v>0</v>
      </c>
      <c r="AG1388" s="52" t="n">
        <v>0</v>
      </c>
      <c r="AH1388" s="52" t="n">
        <v>0</v>
      </c>
      <c r="AI1388" s="52" t="n">
        <v>0</v>
      </c>
      <c r="AJ1388" s="52" t="n">
        <v>0</v>
      </c>
      <c r="AK1388" s="52" t="n">
        <v>0</v>
      </c>
      <c r="AL1388" s="52" t="n">
        <v>0</v>
      </c>
      <c r="AM1388" s="53" t="n">
        <v>0</v>
      </c>
      <c r="AN1388" s="53" t="n">
        <v>0</v>
      </c>
      <c r="AO1388" s="53" t="n">
        <v>0</v>
      </c>
      <c r="AP1388" s="53" t="n">
        <v>0</v>
      </c>
      <c r="AQ1388" s="52" t="n">
        <v>0</v>
      </c>
      <c r="AR1388" s="52" t="n">
        <v>0</v>
      </c>
      <c r="AS1388" s="52" t="n">
        <v>0</v>
      </c>
      <c r="AT1388" s="52" t="n">
        <v>0</v>
      </c>
      <c r="AU1388" s="53" t="n">
        <v>0</v>
      </c>
      <c r="AV1388" s="53" t="n">
        <v>0</v>
      </c>
      <c r="AW1388" s="53" t="n">
        <v>0</v>
      </c>
      <c r="AX1388" s="53" t="n">
        <v>0</v>
      </c>
      <c r="AY1388" s="52" t="n">
        <v>0</v>
      </c>
      <c r="AZ1388" s="52" t="n">
        <v>0</v>
      </c>
      <c r="BA1388" s="52" t="n">
        <v>0</v>
      </c>
      <c r="BB1388" s="52" t="n">
        <v>0</v>
      </c>
      <c r="BC1388" s="51" t="n">
        <v>0</v>
      </c>
      <c r="BD1388" s="51" t="n">
        <v>0</v>
      </c>
      <c r="BE1388" s="51" t="n">
        <v>0</v>
      </c>
      <c r="BF1388" s="51" t="n">
        <v>0</v>
      </c>
    </row>
    <row r="1389">
      <c r="A1389">
        <f>HYPERLINK("https://www.walmart.com/ip/144091535", "144091535")</f>
        <v/>
      </c>
      <c r="B1389" t="inlineStr">
        <is>
          <t>Tirrinia Insulated Wine Carrier Tote - Travel Padded 2 Bottle Wine/Champagne Cooler Bag with Handle and Adjustable Shoulder Strap + Free Corkscrew, Great Wine Lover Gift, Grey</t>
        </is>
      </c>
      <c r="C1389" t="inlineStr">
        <is>
          <t>1KTWB210GY</t>
        </is>
      </c>
      <c r="D1389" t="inlineStr">
        <is>
          <t>Wine Totes, Bags &amp; Backpacks</t>
        </is>
      </c>
      <c r="E1389" t="inlineStr">
        <is>
          <t>Tirrinia</t>
        </is>
      </c>
      <c r="F1389" t="inlineStr">
        <is>
          <t>Wine,Christmas,Valentine,Lily Brand Camp</t>
        </is>
      </c>
      <c r="G1389" s="48" t="n">
        <v>0</v>
      </c>
      <c r="H1389" s="48" t="n">
        <v>0</v>
      </c>
      <c r="I1389" s="48" t="n">
        <v>0</v>
      </c>
      <c r="J1389" s="48" t="n">
        <v>0</v>
      </c>
      <c r="K1389" s="49" t="n">
        <v>0</v>
      </c>
      <c r="L1389" s="49" t="n">
        <v>0</v>
      </c>
      <c r="M1389" s="49" t="n">
        <v>0</v>
      </c>
      <c r="N1389" s="49" t="n">
        <v>0</v>
      </c>
      <c r="O1389" s="49" t="n">
        <v>0</v>
      </c>
      <c r="P1389" s="49" t="n">
        <v>0</v>
      </c>
      <c r="Q1389" s="49" t="n">
        <v>0</v>
      </c>
      <c r="R1389" s="49" t="n">
        <v>0</v>
      </c>
      <c r="S1389" s="50" t="n">
        <v>0</v>
      </c>
      <c r="T1389" s="50" t="n">
        <v>0</v>
      </c>
      <c r="U1389" s="50" t="n">
        <v>0</v>
      </c>
      <c r="V1389" s="50" t="n">
        <v>0</v>
      </c>
      <c r="W1389" s="51" t="n">
        <v>1</v>
      </c>
      <c r="X1389" s="51" t="n">
        <v>0</v>
      </c>
      <c r="Y1389" s="51" t="n">
        <v>0</v>
      </c>
      <c r="Z1389" s="51" t="n">
        <v>0</v>
      </c>
      <c r="AA1389" s="52" t="n">
        <v>0.44</v>
      </c>
      <c r="AB1389" s="52" t="n">
        <v>0</v>
      </c>
      <c r="AC1389" s="52" t="n">
        <v>0</v>
      </c>
      <c r="AD1389" s="52" t="n">
        <v>0</v>
      </c>
      <c r="AE1389" s="52" t="n">
        <v>0</v>
      </c>
      <c r="AF1389" s="52" t="n">
        <v>0</v>
      </c>
      <c r="AG1389" s="52" t="n">
        <v>0</v>
      </c>
      <c r="AH1389" s="52" t="n">
        <v>0</v>
      </c>
      <c r="AI1389" s="52" t="n">
        <v>0</v>
      </c>
      <c r="AJ1389" s="52" t="n">
        <v>0</v>
      </c>
      <c r="AK1389" s="52" t="n">
        <v>0</v>
      </c>
      <c r="AL1389" s="52" t="n">
        <v>0</v>
      </c>
      <c r="AM1389" s="53" t="n">
        <v>0.0011</v>
      </c>
      <c r="AN1389" s="53" t="n">
        <v>0</v>
      </c>
      <c r="AO1389" s="53" t="n">
        <v>0</v>
      </c>
      <c r="AP1389" s="53" t="n">
        <v>0</v>
      </c>
      <c r="AQ1389" s="52" t="n">
        <v>0.44</v>
      </c>
      <c r="AR1389" s="52" t="n">
        <v>0</v>
      </c>
      <c r="AS1389" s="52" t="n">
        <v>0</v>
      </c>
      <c r="AT1389" s="52" t="n">
        <v>0</v>
      </c>
      <c r="AU1389" s="53" t="n">
        <v>0</v>
      </c>
      <c r="AV1389" s="53" t="n">
        <v>0</v>
      </c>
      <c r="AW1389" s="53" t="n">
        <v>0</v>
      </c>
      <c r="AX1389" s="53" t="n">
        <v>0</v>
      </c>
      <c r="AY1389" s="52" t="n">
        <v>0</v>
      </c>
      <c r="AZ1389" s="52" t="n">
        <v>0</v>
      </c>
      <c r="BA1389" s="52" t="n">
        <v>0</v>
      </c>
      <c r="BB1389" s="52" t="n">
        <v>0</v>
      </c>
      <c r="BC1389" s="51" t="n">
        <v>885</v>
      </c>
      <c r="BD1389" s="51" t="n">
        <v>530</v>
      </c>
      <c r="BE1389" s="51" t="n">
        <v>447</v>
      </c>
      <c r="BF1389" s="51" t="n">
        <v>171</v>
      </c>
    </row>
    <row r="1390">
      <c r="A1390">
        <f>HYPERLINK("https://www.walmart.com/ip/144108904", "144108904")</f>
        <v/>
      </c>
      <c r="B1390" t="inlineStr">
        <is>
          <t>KC Caps Washed Denim Bucket Hat, Summer Fishing Hat for Women and Men, Red</t>
        </is>
      </c>
      <c r="C1390" t="inlineStr">
        <is>
          <t>KC9120RD-L</t>
        </is>
      </c>
      <c r="D1390" t="inlineStr">
        <is>
          <t>Hats</t>
        </is>
      </c>
      <c r="E1390" t="inlineStr">
        <is>
          <t>KC Caps</t>
        </is>
      </c>
      <c r="F1390" t="inlineStr">
        <is>
          <t>Optimized</t>
        </is>
      </c>
      <c r="G1390" s="48" t="n">
        <v>0</v>
      </c>
      <c r="H1390" s="48" t="n">
        <v>0</v>
      </c>
      <c r="I1390" s="48" t="n">
        <v>0</v>
      </c>
      <c r="J1390" s="48" t="n">
        <v>0</v>
      </c>
      <c r="K1390" s="49" t="n">
        <v>0</v>
      </c>
      <c r="L1390" s="49" t="n">
        <v>0</v>
      </c>
      <c r="M1390" s="49" t="n">
        <v>0</v>
      </c>
      <c r="N1390" s="49" t="n">
        <v>0</v>
      </c>
      <c r="O1390" s="49" t="n">
        <v>0</v>
      </c>
      <c r="P1390" s="49" t="n">
        <v>0</v>
      </c>
      <c r="Q1390" s="49" t="n">
        <v>0</v>
      </c>
      <c r="R1390" s="49" t="n">
        <v>0</v>
      </c>
      <c r="S1390" s="50" t="n">
        <v>0</v>
      </c>
      <c r="T1390" s="50" t="n">
        <v>0</v>
      </c>
      <c r="U1390" s="50" t="n">
        <v>0</v>
      </c>
      <c r="V1390" s="50" t="n">
        <v>0</v>
      </c>
      <c r="W1390" s="51" t="n">
        <v>0</v>
      </c>
      <c r="X1390" s="51" t="n">
        <v>0</v>
      </c>
      <c r="Y1390" s="51" t="n">
        <v>0</v>
      </c>
      <c r="Z1390" s="51" t="n">
        <v>0</v>
      </c>
      <c r="AA1390" s="52" t="n">
        <v>0</v>
      </c>
      <c r="AB1390" s="52" t="n">
        <v>0</v>
      </c>
      <c r="AC1390" s="52" t="n">
        <v>0</v>
      </c>
      <c r="AD1390" s="52" t="n">
        <v>0</v>
      </c>
      <c r="AE1390" s="52" t="n">
        <v>0</v>
      </c>
      <c r="AF1390" s="52" t="n">
        <v>0</v>
      </c>
      <c r="AG1390" s="52" t="n">
        <v>0</v>
      </c>
      <c r="AH1390" s="52" t="n">
        <v>0</v>
      </c>
      <c r="AI1390" s="52" t="n">
        <v>0</v>
      </c>
      <c r="AJ1390" s="52" t="n">
        <v>0</v>
      </c>
      <c r="AK1390" s="52" t="n">
        <v>0</v>
      </c>
      <c r="AL1390" s="52" t="n">
        <v>0</v>
      </c>
      <c r="AM1390" s="53" t="n">
        <v>0</v>
      </c>
      <c r="AN1390" s="53" t="n">
        <v>0</v>
      </c>
      <c r="AO1390" s="53" t="n">
        <v>0</v>
      </c>
      <c r="AP1390" s="53" t="n">
        <v>0</v>
      </c>
      <c r="AQ1390" s="52" t="n">
        <v>0</v>
      </c>
      <c r="AR1390" s="52" t="n">
        <v>0</v>
      </c>
      <c r="AS1390" s="52" t="n">
        <v>0</v>
      </c>
      <c r="AT1390" s="52" t="n">
        <v>0</v>
      </c>
      <c r="AU1390" s="53" t="n">
        <v>0</v>
      </c>
      <c r="AV1390" s="53" t="n">
        <v>0</v>
      </c>
      <c r="AW1390" s="53" t="n">
        <v>0</v>
      </c>
      <c r="AX1390" s="53" t="n">
        <v>0</v>
      </c>
      <c r="AY1390" s="52" t="n">
        <v>0</v>
      </c>
      <c r="AZ1390" s="52" t="n">
        <v>0</v>
      </c>
      <c r="BA1390" s="52" t="n">
        <v>0</v>
      </c>
      <c r="BB1390" s="52" t="n">
        <v>0</v>
      </c>
      <c r="BC1390" s="51" t="n">
        <v>0</v>
      </c>
      <c r="BD1390" s="51" t="n">
        <v>0</v>
      </c>
      <c r="BE1390" s="51" t="n">
        <v>0</v>
      </c>
      <c r="BF1390" s="51" t="n">
        <v>0</v>
      </c>
    </row>
    <row r="1391">
      <c r="A1391">
        <f>HYPERLINK("https://www.walmart.com/ip/1442443725", "1442443725")</f>
        <v/>
      </c>
      <c r="B1391" t="inlineStr">
        <is>
          <t>Every Day is Christmas Glass Blown Ornaments 2022 Cute Hand Made Figurines Tree Decoration - 12.7cm glass wrench and vice and hammer and screwdriver ornament</t>
        </is>
      </c>
      <c r="C1391" t="inlineStr">
        <is>
          <t>EDC-FIGURINE-TOOLS</t>
        </is>
      </c>
      <c r="D1391" t="inlineStr">
        <is>
          <t>Ornaments</t>
        </is>
      </c>
      <c r="E1391" t="inlineStr">
        <is>
          <t>Every Day is Christmas</t>
        </is>
      </c>
      <c r="G1391" s="48" t="n">
        <v>0</v>
      </c>
      <c r="H1391" s="48" t="n">
        <v>0</v>
      </c>
      <c r="I1391" s="48" t="n">
        <v>0</v>
      </c>
      <c r="J1391" s="48" t="n">
        <v>0</v>
      </c>
      <c r="K1391" s="49" t="n">
        <v>0</v>
      </c>
      <c r="L1391" s="49" t="n">
        <v>0</v>
      </c>
      <c r="M1391" s="49" t="n">
        <v>0</v>
      </c>
      <c r="N1391" s="49" t="n">
        <v>0</v>
      </c>
      <c r="O1391" s="49" t="n">
        <v>0</v>
      </c>
      <c r="P1391" s="49" t="n">
        <v>0</v>
      </c>
      <c r="Q1391" s="49" t="n">
        <v>0</v>
      </c>
      <c r="R1391" s="49" t="n">
        <v>0</v>
      </c>
      <c r="S1391" s="50" t="n">
        <v>0</v>
      </c>
      <c r="T1391" s="50" t="n">
        <v>0</v>
      </c>
      <c r="U1391" s="50" t="n">
        <v>0</v>
      </c>
      <c r="V1391" s="50" t="n">
        <v>0</v>
      </c>
      <c r="W1391" s="51" t="n">
        <v>0</v>
      </c>
      <c r="X1391" s="51" t="n">
        <v>0</v>
      </c>
      <c r="Y1391" s="51" t="n">
        <v>0</v>
      </c>
      <c r="Z1391" s="51" t="n">
        <v>0</v>
      </c>
      <c r="AA1391" s="52" t="n">
        <v>0</v>
      </c>
      <c r="AB1391" s="52" t="n">
        <v>0</v>
      </c>
      <c r="AC1391" s="52" t="n">
        <v>0</v>
      </c>
      <c r="AD1391" s="52" t="n">
        <v>0</v>
      </c>
      <c r="AE1391" s="52" t="n">
        <v>0</v>
      </c>
      <c r="AF1391" s="52" t="n">
        <v>0</v>
      </c>
      <c r="AG1391" s="52" t="n">
        <v>0</v>
      </c>
      <c r="AH1391" s="52" t="n">
        <v>0</v>
      </c>
      <c r="AI1391" s="52" t="n">
        <v>0</v>
      </c>
      <c r="AJ1391" s="52" t="n">
        <v>0</v>
      </c>
      <c r="AK1391" s="52" t="n">
        <v>0</v>
      </c>
      <c r="AL1391" s="52" t="n">
        <v>0</v>
      </c>
      <c r="AM1391" s="53" t="n">
        <v>0</v>
      </c>
      <c r="AN1391" s="53" t="n">
        <v>0</v>
      </c>
      <c r="AO1391" s="53" t="n">
        <v>0</v>
      </c>
      <c r="AP1391" s="53" t="n">
        <v>0</v>
      </c>
      <c r="AQ1391" s="52" t="n">
        <v>0</v>
      </c>
      <c r="AR1391" s="52" t="n">
        <v>0</v>
      </c>
      <c r="AS1391" s="52" t="n">
        <v>0</v>
      </c>
      <c r="AT1391" s="52" t="n">
        <v>0</v>
      </c>
      <c r="AU1391" s="53" t="n">
        <v>0</v>
      </c>
      <c r="AV1391" s="53" t="n">
        <v>0</v>
      </c>
      <c r="AW1391" s="53" t="n">
        <v>0</v>
      </c>
      <c r="AX1391" s="53" t="n">
        <v>0</v>
      </c>
      <c r="AY1391" s="52" t="n">
        <v>0</v>
      </c>
      <c r="AZ1391" s="52" t="n">
        <v>0</v>
      </c>
      <c r="BA1391" s="52" t="n">
        <v>0</v>
      </c>
      <c r="BB1391" s="52" t="n">
        <v>0</v>
      </c>
      <c r="BC1391" s="51" t="n">
        <v>0</v>
      </c>
      <c r="BD1391" s="51" t="n">
        <v>0</v>
      </c>
      <c r="BE1391" s="51" t="n">
        <v>0</v>
      </c>
      <c r="BF1391" s="51" t="n">
        <v>0</v>
      </c>
    </row>
    <row r="1392">
      <c r="A1392">
        <f>HYPERLINK("https://www.walmart.com/ip/144276925", "144276925")</f>
        <v/>
      </c>
      <c r="B1392" t="inlineStr">
        <is>
          <t>JenniWears® Women's Plus Size Sexy Lingerie Lace Babydolls 2 Pieces Mesh Chemises and G-string for Halloween</t>
        </is>
      </c>
      <c r="C1392" t="inlineStr">
        <is>
          <t>JWBD06BKPP-XL</t>
        </is>
      </c>
      <c r="D1392" t="inlineStr">
        <is>
          <t>Lingerie Sets</t>
        </is>
      </c>
      <c r="E1392" t="inlineStr">
        <is>
          <t>JenniWears</t>
        </is>
      </c>
      <c r="F1392" t="inlineStr">
        <is>
          <t>Valentine</t>
        </is>
      </c>
      <c r="G1392" s="48" t="n">
        <v>0</v>
      </c>
      <c r="H1392" s="48" t="n">
        <v>0</v>
      </c>
      <c r="I1392" s="48" t="n">
        <v>0</v>
      </c>
      <c r="J1392" s="48" t="n">
        <v>7.99</v>
      </c>
      <c r="K1392" s="49" t="n">
        <v>0</v>
      </c>
      <c r="L1392" s="49" t="n">
        <v>0</v>
      </c>
      <c r="M1392" s="49" t="n">
        <v>0</v>
      </c>
      <c r="N1392" s="49" t="n">
        <v>1</v>
      </c>
      <c r="O1392" s="49" t="n">
        <v>0</v>
      </c>
      <c r="P1392" s="49" t="n">
        <v>0</v>
      </c>
      <c r="Q1392" s="49" t="n">
        <v>0</v>
      </c>
      <c r="R1392" s="49" t="n">
        <v>0</v>
      </c>
      <c r="S1392" s="50" t="n">
        <v>0</v>
      </c>
      <c r="T1392" s="50" t="n">
        <v>0</v>
      </c>
      <c r="U1392" s="50" t="n">
        <v>0</v>
      </c>
      <c r="V1392" s="50" t="n">
        <v>0</v>
      </c>
      <c r="W1392" s="51" t="n">
        <v>0</v>
      </c>
      <c r="X1392" s="51" t="n">
        <v>0</v>
      </c>
      <c r="Y1392" s="51" t="n">
        <v>0</v>
      </c>
      <c r="Z1392" s="51" t="n">
        <v>0</v>
      </c>
      <c r="AA1392" s="52" t="n">
        <v>0</v>
      </c>
      <c r="AB1392" s="52" t="n">
        <v>0</v>
      </c>
      <c r="AC1392" s="52" t="n">
        <v>0</v>
      </c>
      <c r="AD1392" s="52" t="n">
        <v>0</v>
      </c>
      <c r="AE1392" s="52" t="n">
        <v>0</v>
      </c>
      <c r="AF1392" s="52" t="n">
        <v>0</v>
      </c>
      <c r="AG1392" s="52" t="n">
        <v>0</v>
      </c>
      <c r="AH1392" s="52" t="n">
        <v>0</v>
      </c>
      <c r="AI1392" s="52" t="n">
        <v>0</v>
      </c>
      <c r="AJ1392" s="52" t="n">
        <v>0</v>
      </c>
      <c r="AK1392" s="52" t="n">
        <v>0</v>
      </c>
      <c r="AL1392" s="52" t="n">
        <v>0</v>
      </c>
      <c r="AM1392" s="53" t="n">
        <v>0</v>
      </c>
      <c r="AN1392" s="53" t="n">
        <v>0</v>
      </c>
      <c r="AO1392" s="53" t="n">
        <v>0</v>
      </c>
      <c r="AP1392" s="53" t="n">
        <v>0</v>
      </c>
      <c r="AQ1392" s="52" t="n">
        <v>0</v>
      </c>
      <c r="AR1392" s="52" t="n">
        <v>0</v>
      </c>
      <c r="AS1392" s="52" t="n">
        <v>0</v>
      </c>
      <c r="AT1392" s="52" t="n">
        <v>0</v>
      </c>
      <c r="AU1392" s="53" t="n">
        <v>0</v>
      </c>
      <c r="AV1392" s="53" t="n">
        <v>0</v>
      </c>
      <c r="AW1392" s="53" t="n">
        <v>0</v>
      </c>
      <c r="AX1392" s="53" t="n">
        <v>0</v>
      </c>
      <c r="AY1392" s="52" t="n">
        <v>0</v>
      </c>
      <c r="AZ1392" s="52" t="n">
        <v>0</v>
      </c>
      <c r="BA1392" s="52" t="n">
        <v>0</v>
      </c>
      <c r="BB1392" s="52" t="n">
        <v>7.99</v>
      </c>
      <c r="BC1392" s="51" t="n">
        <v>0</v>
      </c>
      <c r="BD1392" s="51" t="n">
        <v>0</v>
      </c>
      <c r="BE1392" s="51" t="n">
        <v>0</v>
      </c>
      <c r="BF1392" s="51" t="n">
        <v>0</v>
      </c>
    </row>
    <row r="1393">
      <c r="A1393">
        <f>HYPERLINK("https://www.walmart.com/ip/14440922018", "14440922018")</f>
        <v/>
      </c>
      <c r="B1393" t="inlineStr">
        <is>
          <t>Catalonia Blanket Hoodie for Kids, Oversized Wearable Fleece Sweatshirt Pullover for 7-16 yr Teens Youth, Kids Gift Idea, Rose</t>
        </is>
      </c>
      <c r="C1393" t="inlineStr">
        <is>
          <t>1CTOSH401HP-FS</t>
        </is>
      </c>
      <c r="D1393" t="inlineStr">
        <is>
          <t>Sweatshirts &amp; Hoodies</t>
        </is>
      </c>
      <c r="E1393" t="inlineStr">
        <is>
          <t>Catalonia</t>
        </is>
      </c>
      <c r="G1393" s="48" t="n">
        <v>0</v>
      </c>
      <c r="H1393" s="48" t="n">
        <v>0</v>
      </c>
      <c r="I1393" s="48" t="n">
        <v>0</v>
      </c>
      <c r="J1393" s="48" t="n">
        <v>0</v>
      </c>
      <c r="K1393" s="49" t="n">
        <v>0</v>
      </c>
      <c r="L1393" s="49" t="n">
        <v>0</v>
      </c>
      <c r="M1393" s="49" t="n">
        <v>0</v>
      </c>
      <c r="N1393" s="49" t="n">
        <v>0</v>
      </c>
      <c r="O1393" s="49" t="n">
        <v>0</v>
      </c>
      <c r="P1393" s="49" t="n">
        <v>0</v>
      </c>
      <c r="Q1393" s="49" t="n">
        <v>0</v>
      </c>
      <c r="R1393" s="49" t="n">
        <v>0</v>
      </c>
      <c r="S1393" s="50" t="n">
        <v>0</v>
      </c>
      <c r="T1393" s="50" t="n">
        <v>0</v>
      </c>
      <c r="U1393" s="50" t="n">
        <v>0</v>
      </c>
      <c r="V1393" s="50" t="n">
        <v>0</v>
      </c>
      <c r="W1393" s="51" t="n">
        <v>0</v>
      </c>
      <c r="X1393" s="51" t="n">
        <v>0</v>
      </c>
      <c r="Y1393" s="51" t="n">
        <v>0</v>
      </c>
      <c r="Z1393" s="51" t="n">
        <v>0</v>
      </c>
      <c r="AA1393" s="52" t="n">
        <v>0</v>
      </c>
      <c r="AB1393" s="52" t="n">
        <v>0</v>
      </c>
      <c r="AC1393" s="52" t="n">
        <v>0</v>
      </c>
      <c r="AD1393" s="52" t="n">
        <v>0</v>
      </c>
      <c r="AE1393" s="52" t="n">
        <v>0</v>
      </c>
      <c r="AF1393" s="52" t="n">
        <v>0</v>
      </c>
      <c r="AG1393" s="52" t="n">
        <v>0</v>
      </c>
      <c r="AH1393" s="52" t="n">
        <v>0</v>
      </c>
      <c r="AI1393" s="52" t="n">
        <v>0</v>
      </c>
      <c r="AJ1393" s="52" t="n">
        <v>0</v>
      </c>
      <c r="AK1393" s="52" t="n">
        <v>0</v>
      </c>
      <c r="AL1393" s="52" t="n">
        <v>0</v>
      </c>
      <c r="AM1393" s="53" t="n">
        <v>0</v>
      </c>
      <c r="AN1393" s="53" t="n">
        <v>0</v>
      </c>
      <c r="AO1393" s="53" t="n">
        <v>0</v>
      </c>
      <c r="AP1393" s="53" t="n">
        <v>0</v>
      </c>
      <c r="AQ1393" s="52" t="n">
        <v>0</v>
      </c>
      <c r="AR1393" s="52" t="n">
        <v>0</v>
      </c>
      <c r="AS1393" s="52" t="n">
        <v>0</v>
      </c>
      <c r="AT1393" s="52" t="n">
        <v>0</v>
      </c>
      <c r="AU1393" s="53" t="n">
        <v>0</v>
      </c>
      <c r="AV1393" s="53" t="n">
        <v>0</v>
      </c>
      <c r="AW1393" s="53" t="n">
        <v>0</v>
      </c>
      <c r="AX1393" s="53" t="n">
        <v>0</v>
      </c>
      <c r="AY1393" s="52" t="n">
        <v>0</v>
      </c>
      <c r="AZ1393" s="52" t="n">
        <v>0</v>
      </c>
      <c r="BA1393" s="52" t="n">
        <v>0</v>
      </c>
      <c r="BB1393" s="52" t="n">
        <v>0</v>
      </c>
      <c r="BC1393" s="51" t="n">
        <v>0</v>
      </c>
      <c r="BD1393" s="51" t="n">
        <v>0</v>
      </c>
      <c r="BE1393" s="51" t="n">
        <v>0</v>
      </c>
      <c r="BF1393" s="51" t="n">
        <v>0</v>
      </c>
    </row>
    <row r="1394">
      <c r="A1394">
        <f>HYPERLINK("https://www.walmart.com/ip/144430959", "144430959")</f>
        <v/>
      </c>
      <c r="B1394" t="inlineStr">
        <is>
          <t>Orange Adjustable Embroidery Cap Sports baseball Hat personalized Unisex Hat</t>
        </is>
      </c>
      <c r="C1394" t="inlineStr">
        <is>
          <t>ht22-Neonquail</t>
        </is>
      </c>
      <c r="D1394" t="inlineStr">
        <is>
          <t>Hats</t>
        </is>
      </c>
      <c r="E1394" t="inlineStr">
        <is>
          <t>Tirrinia</t>
        </is>
      </c>
      <c r="F1394" t="inlineStr">
        <is>
          <t>WFS,WFS Item</t>
        </is>
      </c>
      <c r="G1394" s="48" t="n">
        <v>0</v>
      </c>
      <c r="H1394" s="48" t="n">
        <v>0</v>
      </c>
      <c r="I1394" s="48" t="n">
        <v>0</v>
      </c>
      <c r="J1394" s="48" t="n">
        <v>0</v>
      </c>
      <c r="K1394" s="49" t="n">
        <v>0</v>
      </c>
      <c r="L1394" s="49" t="n">
        <v>0</v>
      </c>
      <c r="M1394" s="49" t="n">
        <v>0</v>
      </c>
      <c r="N1394" s="49" t="n">
        <v>0</v>
      </c>
      <c r="O1394" s="49" t="n">
        <v>0</v>
      </c>
      <c r="P1394" s="49" t="n">
        <v>0</v>
      </c>
      <c r="Q1394" s="49" t="n">
        <v>0</v>
      </c>
      <c r="R1394" s="49" t="n">
        <v>0</v>
      </c>
      <c r="S1394" s="50" t="n">
        <v>0</v>
      </c>
      <c r="T1394" s="50" t="n">
        <v>0</v>
      </c>
      <c r="U1394" s="50" t="n">
        <v>0</v>
      </c>
      <c r="V1394" s="50" t="n">
        <v>0</v>
      </c>
      <c r="W1394" s="51" t="n">
        <v>0</v>
      </c>
      <c r="X1394" s="51" t="n">
        <v>0</v>
      </c>
      <c r="Y1394" s="51" t="n">
        <v>0</v>
      </c>
      <c r="Z1394" s="51" t="n">
        <v>0</v>
      </c>
      <c r="AA1394" s="52" t="n">
        <v>0</v>
      </c>
      <c r="AB1394" s="52" t="n">
        <v>0</v>
      </c>
      <c r="AC1394" s="52" t="n">
        <v>0</v>
      </c>
      <c r="AD1394" s="52" t="n">
        <v>0</v>
      </c>
      <c r="AE1394" s="52" t="n">
        <v>0</v>
      </c>
      <c r="AF1394" s="52" t="n">
        <v>0</v>
      </c>
      <c r="AG1394" s="52" t="n">
        <v>0</v>
      </c>
      <c r="AH1394" s="52" t="n">
        <v>0</v>
      </c>
      <c r="AI1394" s="52" t="n">
        <v>0</v>
      </c>
      <c r="AJ1394" s="52" t="n">
        <v>0</v>
      </c>
      <c r="AK1394" s="52" t="n">
        <v>0</v>
      </c>
      <c r="AL1394" s="52" t="n">
        <v>0</v>
      </c>
      <c r="AM1394" s="53" t="n">
        <v>0</v>
      </c>
      <c r="AN1394" s="53" t="n">
        <v>0</v>
      </c>
      <c r="AO1394" s="53" t="n">
        <v>0</v>
      </c>
      <c r="AP1394" s="53" t="n">
        <v>0</v>
      </c>
      <c r="AQ1394" s="52" t="n">
        <v>0</v>
      </c>
      <c r="AR1394" s="52" t="n">
        <v>0</v>
      </c>
      <c r="AS1394" s="52" t="n">
        <v>0</v>
      </c>
      <c r="AT1394" s="52" t="n">
        <v>0</v>
      </c>
      <c r="AU1394" s="53" t="n">
        <v>0</v>
      </c>
      <c r="AV1394" s="53" t="n">
        <v>0</v>
      </c>
      <c r="AW1394" s="53" t="n">
        <v>0</v>
      </c>
      <c r="AX1394" s="53" t="n">
        <v>0</v>
      </c>
      <c r="AY1394" s="52" t="n">
        <v>0</v>
      </c>
      <c r="AZ1394" s="52" t="n">
        <v>0</v>
      </c>
      <c r="BA1394" s="52" t="n">
        <v>0</v>
      </c>
      <c r="BB1394" s="52" t="n">
        <v>0</v>
      </c>
      <c r="BC1394" s="51" t="n">
        <v>0</v>
      </c>
      <c r="BD1394" s="51" t="n">
        <v>0</v>
      </c>
      <c r="BE1394" s="51" t="n">
        <v>0</v>
      </c>
      <c r="BF1394" s="51" t="n">
        <v>0</v>
      </c>
    </row>
    <row r="1395">
      <c r="A1395">
        <f>HYPERLINK("https://www.walmart.com/ip/144433784", "144433784")</f>
        <v/>
      </c>
      <c r="B1395" t="inlineStr">
        <is>
          <t>KC Caps Super Soft and Comfy Knit Beanie Winter Cap Pink</t>
        </is>
      </c>
      <c r="C1395" t="inlineStr">
        <is>
          <t>kc-w1710pk</t>
        </is>
      </c>
      <c r="D1395" t="inlineStr">
        <is>
          <t>Hats</t>
        </is>
      </c>
      <c r="E1395" t="inlineStr">
        <is>
          <t>KC Caps</t>
        </is>
      </c>
      <c r="F1395" t="inlineStr">
        <is>
          <t>Optimized</t>
        </is>
      </c>
      <c r="G1395" s="48" t="n">
        <v>0</v>
      </c>
      <c r="H1395" s="48" t="n">
        <v>0</v>
      </c>
      <c r="I1395" s="48" t="n">
        <v>0</v>
      </c>
      <c r="J1395" s="48" t="n">
        <v>0</v>
      </c>
      <c r="K1395" s="49" t="n">
        <v>0</v>
      </c>
      <c r="L1395" s="49" t="n">
        <v>0</v>
      </c>
      <c r="M1395" s="49" t="n">
        <v>0</v>
      </c>
      <c r="N1395" s="49" t="n">
        <v>0</v>
      </c>
      <c r="O1395" s="49" t="n">
        <v>0</v>
      </c>
      <c r="P1395" s="49" t="n">
        <v>0</v>
      </c>
      <c r="Q1395" s="49" t="n">
        <v>0</v>
      </c>
      <c r="R1395" s="49" t="n">
        <v>0</v>
      </c>
      <c r="S1395" s="50" t="n">
        <v>0</v>
      </c>
      <c r="T1395" s="50" t="n">
        <v>0</v>
      </c>
      <c r="U1395" s="50" t="n">
        <v>0</v>
      </c>
      <c r="V1395" s="50" t="n">
        <v>0</v>
      </c>
      <c r="W1395" s="51" t="n">
        <v>0</v>
      </c>
      <c r="X1395" s="51" t="n">
        <v>0</v>
      </c>
      <c r="Y1395" s="51" t="n">
        <v>0</v>
      </c>
      <c r="Z1395" s="51" t="n">
        <v>0</v>
      </c>
      <c r="AA1395" s="52" t="n">
        <v>0</v>
      </c>
      <c r="AB1395" s="52" t="n">
        <v>0</v>
      </c>
      <c r="AC1395" s="52" t="n">
        <v>0</v>
      </c>
      <c r="AD1395" s="52" t="n">
        <v>0</v>
      </c>
      <c r="AE1395" s="52" t="n">
        <v>0</v>
      </c>
      <c r="AF1395" s="52" t="n">
        <v>0</v>
      </c>
      <c r="AG1395" s="52" t="n">
        <v>0</v>
      </c>
      <c r="AH1395" s="52" t="n">
        <v>0</v>
      </c>
      <c r="AI1395" s="52" t="n">
        <v>0</v>
      </c>
      <c r="AJ1395" s="52" t="n">
        <v>0</v>
      </c>
      <c r="AK1395" s="52" t="n">
        <v>0</v>
      </c>
      <c r="AL1395" s="52" t="n">
        <v>0</v>
      </c>
      <c r="AM1395" s="53" t="n">
        <v>0</v>
      </c>
      <c r="AN1395" s="53" t="n">
        <v>0</v>
      </c>
      <c r="AO1395" s="53" t="n">
        <v>0</v>
      </c>
      <c r="AP1395" s="53" t="n">
        <v>0</v>
      </c>
      <c r="AQ1395" s="52" t="n">
        <v>0</v>
      </c>
      <c r="AR1395" s="52" t="n">
        <v>0</v>
      </c>
      <c r="AS1395" s="52" t="n">
        <v>0</v>
      </c>
      <c r="AT1395" s="52" t="n">
        <v>0</v>
      </c>
      <c r="AU1395" s="53" t="n">
        <v>0</v>
      </c>
      <c r="AV1395" s="53" t="n">
        <v>0</v>
      </c>
      <c r="AW1395" s="53" t="n">
        <v>0</v>
      </c>
      <c r="AX1395" s="53" t="n">
        <v>0</v>
      </c>
      <c r="AY1395" s="52" t="n">
        <v>0</v>
      </c>
      <c r="AZ1395" s="52" t="n">
        <v>0</v>
      </c>
      <c r="BA1395" s="52" t="n">
        <v>0</v>
      </c>
      <c r="BB1395" s="52" t="n">
        <v>0</v>
      </c>
      <c r="BC1395" s="51" t="n">
        <v>0</v>
      </c>
      <c r="BD1395" s="51" t="n">
        <v>0</v>
      </c>
      <c r="BE1395" s="51" t="n">
        <v>0</v>
      </c>
      <c r="BF1395" s="51" t="n">
        <v>0</v>
      </c>
    </row>
    <row r="1396">
      <c r="A1396">
        <f>HYPERLINK("https://www.walmart.com/ip/144503035", "144503035")</f>
        <v/>
      </c>
      <c r="B1396" t="inlineStr">
        <is>
          <t>Stemless Insulated Wine Tumbler Set with Lid, Stainless Steel Double Walled Metal Wine &amp; Champagne Tumbler with Straw and Brush for Camping, Travel and Outdoor, Rose Gold, 12oz, 2 Pack.</t>
        </is>
      </c>
      <c r="C1396" t="inlineStr">
        <is>
          <t>1TRWT120RG -2PK</t>
        </is>
      </c>
      <c r="D1396" t="inlineStr">
        <is>
          <t>Tumblers</t>
        </is>
      </c>
      <c r="E1396" t="inlineStr">
        <is>
          <t>Tirrinia</t>
        </is>
      </c>
      <c r="F1396" t="inlineStr">
        <is>
          <t>Wine,Christmas,Optimized,WFS,Wine WFS,Valentine,SEM,WFS Item</t>
        </is>
      </c>
      <c r="G1396" s="48" t="n">
        <v>0</v>
      </c>
      <c r="H1396" s="48" t="n">
        <v>0</v>
      </c>
      <c r="I1396" s="48" t="n">
        <v>0</v>
      </c>
      <c r="J1396" s="48" t="n">
        <v>0</v>
      </c>
      <c r="K1396" s="49" t="n">
        <v>0</v>
      </c>
      <c r="L1396" s="49" t="n">
        <v>0</v>
      </c>
      <c r="M1396" s="49" t="n">
        <v>0</v>
      </c>
      <c r="N1396" s="49" t="n">
        <v>0</v>
      </c>
      <c r="O1396" s="49" t="n">
        <v>0</v>
      </c>
      <c r="P1396" s="49" t="n">
        <v>0</v>
      </c>
      <c r="Q1396" s="49" t="n">
        <v>0</v>
      </c>
      <c r="R1396" s="49" t="n">
        <v>0</v>
      </c>
      <c r="S1396" s="50" t="n">
        <v>0</v>
      </c>
      <c r="T1396" s="50" t="n">
        <v>0</v>
      </c>
      <c r="U1396" s="50" t="n">
        <v>0</v>
      </c>
      <c r="V1396" s="50" t="n">
        <v>0</v>
      </c>
      <c r="W1396" s="51" t="n">
        <v>0</v>
      </c>
      <c r="X1396" s="51" t="n">
        <v>0</v>
      </c>
      <c r="Y1396" s="51" t="n">
        <v>0</v>
      </c>
      <c r="Z1396" s="51" t="n">
        <v>0</v>
      </c>
      <c r="AA1396" s="52" t="n">
        <v>0</v>
      </c>
      <c r="AB1396" s="52" t="n">
        <v>0</v>
      </c>
      <c r="AC1396" s="52" t="n">
        <v>0</v>
      </c>
      <c r="AD1396" s="52" t="n">
        <v>0</v>
      </c>
      <c r="AE1396" s="52" t="n">
        <v>0</v>
      </c>
      <c r="AF1396" s="52" t="n">
        <v>0</v>
      </c>
      <c r="AG1396" s="52" t="n">
        <v>0</v>
      </c>
      <c r="AH1396" s="52" t="n">
        <v>0</v>
      </c>
      <c r="AI1396" s="52" t="n">
        <v>0</v>
      </c>
      <c r="AJ1396" s="52" t="n">
        <v>0</v>
      </c>
      <c r="AK1396" s="52" t="n">
        <v>0</v>
      </c>
      <c r="AL1396" s="52" t="n">
        <v>0</v>
      </c>
      <c r="AM1396" s="53" t="n">
        <v>0</v>
      </c>
      <c r="AN1396" s="53" t="n">
        <v>0</v>
      </c>
      <c r="AO1396" s="53" t="n">
        <v>0</v>
      </c>
      <c r="AP1396" s="53" t="n">
        <v>0</v>
      </c>
      <c r="AQ1396" s="52" t="n">
        <v>0</v>
      </c>
      <c r="AR1396" s="52" t="n">
        <v>0</v>
      </c>
      <c r="AS1396" s="52" t="n">
        <v>0</v>
      </c>
      <c r="AT1396" s="52" t="n">
        <v>0</v>
      </c>
      <c r="AU1396" s="53" t="n">
        <v>0</v>
      </c>
      <c r="AV1396" s="53" t="n">
        <v>0</v>
      </c>
      <c r="AW1396" s="53" t="n">
        <v>0</v>
      </c>
      <c r="AX1396" s="53" t="n">
        <v>0</v>
      </c>
      <c r="AY1396" s="52" t="n">
        <v>0</v>
      </c>
      <c r="AZ1396" s="52" t="n">
        <v>0</v>
      </c>
      <c r="BA1396" s="52" t="n">
        <v>0</v>
      </c>
      <c r="BB1396" s="52" t="n">
        <v>0</v>
      </c>
      <c r="BC1396" s="51" t="n">
        <v>5</v>
      </c>
      <c r="BD1396" s="51" t="n">
        <v>0</v>
      </c>
      <c r="BE1396" s="51" t="n">
        <v>0</v>
      </c>
      <c r="BF1396" s="51" t="n">
        <v>0</v>
      </c>
    </row>
    <row r="1397">
      <c r="A1397">
        <f>HYPERLINK("https://www.walmart.com/ip/14453423581", "14453423581")</f>
        <v/>
      </c>
      <c r="B1397" t="inlineStr">
        <is>
          <t>Tirrinia Oversized Wearable Blanket Hoodie, Fleece Home Blanket Sweatshirt, Warm Blanket with Sleeves, Gift for lover</t>
        </is>
      </c>
      <c r="C1397" t="inlineStr">
        <is>
          <t>1TROSH340BK-FS</t>
        </is>
      </c>
      <c r="D1397" t="inlineStr">
        <is>
          <t>Sweatshirts &amp; Hoodies</t>
        </is>
      </c>
      <c r="E1397" t="inlineStr">
        <is>
          <t>Tirrinia</t>
        </is>
      </c>
      <c r="G1397" s="48" t="n">
        <v>0</v>
      </c>
      <c r="H1397" s="48" t="n">
        <v>0</v>
      </c>
      <c r="I1397" s="48" t="n">
        <v>0</v>
      </c>
      <c r="J1397" s="48" t="n">
        <v>0</v>
      </c>
      <c r="K1397" s="49" t="n">
        <v>0</v>
      </c>
      <c r="L1397" s="49" t="n">
        <v>0</v>
      </c>
      <c r="M1397" s="49" t="n">
        <v>0</v>
      </c>
      <c r="N1397" s="49" t="n">
        <v>0</v>
      </c>
      <c r="O1397" s="49" t="n">
        <v>0</v>
      </c>
      <c r="P1397" s="49" t="n">
        <v>0</v>
      </c>
      <c r="Q1397" s="49" t="n">
        <v>0</v>
      </c>
      <c r="R1397" s="49" t="n">
        <v>0</v>
      </c>
      <c r="S1397" s="50" t="n">
        <v>0</v>
      </c>
      <c r="T1397" s="50" t="n">
        <v>0</v>
      </c>
      <c r="U1397" s="50" t="n">
        <v>0</v>
      </c>
      <c r="V1397" s="50" t="n">
        <v>0</v>
      </c>
      <c r="W1397" s="51" t="n">
        <v>0</v>
      </c>
      <c r="X1397" s="51" t="n">
        <v>0</v>
      </c>
      <c r="Y1397" s="51" t="n">
        <v>0</v>
      </c>
      <c r="Z1397" s="51" t="n">
        <v>0</v>
      </c>
      <c r="AA1397" s="52" t="n">
        <v>0</v>
      </c>
      <c r="AB1397" s="52" t="n">
        <v>0</v>
      </c>
      <c r="AC1397" s="52" t="n">
        <v>0</v>
      </c>
      <c r="AD1397" s="52" t="n">
        <v>0</v>
      </c>
      <c r="AE1397" s="52" t="n">
        <v>0</v>
      </c>
      <c r="AF1397" s="52" t="n">
        <v>0</v>
      </c>
      <c r="AG1397" s="52" t="n">
        <v>0</v>
      </c>
      <c r="AH1397" s="52" t="n">
        <v>0</v>
      </c>
      <c r="AI1397" s="52" t="n">
        <v>0</v>
      </c>
      <c r="AJ1397" s="52" t="n">
        <v>0</v>
      </c>
      <c r="AK1397" s="52" t="n">
        <v>0</v>
      </c>
      <c r="AL1397" s="52" t="n">
        <v>0</v>
      </c>
      <c r="AM1397" s="53" t="n">
        <v>0</v>
      </c>
      <c r="AN1397" s="53" t="n">
        <v>0</v>
      </c>
      <c r="AO1397" s="53" t="n">
        <v>0</v>
      </c>
      <c r="AP1397" s="53" t="n">
        <v>0</v>
      </c>
      <c r="AQ1397" s="52" t="n">
        <v>0</v>
      </c>
      <c r="AR1397" s="52" t="n">
        <v>0</v>
      </c>
      <c r="AS1397" s="52" t="n">
        <v>0</v>
      </c>
      <c r="AT1397" s="52" t="n">
        <v>0</v>
      </c>
      <c r="AU1397" s="53" t="n">
        <v>0</v>
      </c>
      <c r="AV1397" s="53" t="n">
        <v>0</v>
      </c>
      <c r="AW1397" s="53" t="n">
        <v>0</v>
      </c>
      <c r="AX1397" s="53" t="n">
        <v>0</v>
      </c>
      <c r="AY1397" s="52" t="n">
        <v>0</v>
      </c>
      <c r="AZ1397" s="52" t="n">
        <v>0</v>
      </c>
      <c r="BA1397" s="52" t="n">
        <v>0</v>
      </c>
      <c r="BB1397" s="52" t="n">
        <v>0</v>
      </c>
      <c r="BC1397" s="51" t="n">
        <v>0</v>
      </c>
      <c r="BD1397" s="51" t="n">
        <v>0</v>
      </c>
      <c r="BE1397" s="51" t="n">
        <v>0</v>
      </c>
      <c r="BF1397" s="51" t="n">
        <v>0</v>
      </c>
    </row>
    <row r="1398">
      <c r="A1398">
        <f>HYPERLINK("https://www.walmart.com/ip/14453423588", "14453423588")</f>
        <v/>
      </c>
      <c r="B1398" t="inlineStr">
        <is>
          <t>Womens Oversized Flannel Blanket Hoodie Sweatshirt, Plush Fleece Lined Lounging Pullover, Christmas Gift for Women (Purple) - Catalonia</t>
        </is>
      </c>
      <c r="C1398" t="inlineStr">
        <is>
          <t>1CTOSH400PP-FS</t>
        </is>
      </c>
      <c r="D1398" t="inlineStr">
        <is>
          <t>Sweatshirts &amp; Hoodies</t>
        </is>
      </c>
      <c r="E1398" t="inlineStr">
        <is>
          <t>Catalonia</t>
        </is>
      </c>
      <c r="G1398" s="48" t="n">
        <v>0</v>
      </c>
      <c r="H1398" s="48" t="n">
        <v>0</v>
      </c>
      <c r="I1398" s="48" t="n">
        <v>0</v>
      </c>
      <c r="J1398" s="48" t="n">
        <v>0</v>
      </c>
      <c r="K1398" s="49" t="n">
        <v>0</v>
      </c>
      <c r="L1398" s="49" t="n">
        <v>0</v>
      </c>
      <c r="M1398" s="49" t="n">
        <v>0</v>
      </c>
      <c r="N1398" s="49" t="n">
        <v>0</v>
      </c>
      <c r="O1398" s="49" t="n">
        <v>0</v>
      </c>
      <c r="P1398" s="49" t="n">
        <v>0</v>
      </c>
      <c r="Q1398" s="49" t="n">
        <v>0</v>
      </c>
      <c r="R1398" s="49" t="n">
        <v>0</v>
      </c>
      <c r="S1398" s="50" t="n">
        <v>0</v>
      </c>
      <c r="T1398" s="50" t="n">
        <v>0</v>
      </c>
      <c r="U1398" s="50" t="n">
        <v>0</v>
      </c>
      <c r="V1398" s="50" t="n">
        <v>0</v>
      </c>
      <c r="W1398" s="51" t="n">
        <v>0</v>
      </c>
      <c r="X1398" s="51" t="n">
        <v>0</v>
      </c>
      <c r="Y1398" s="51" t="n">
        <v>0</v>
      </c>
      <c r="Z1398" s="51" t="n">
        <v>0</v>
      </c>
      <c r="AA1398" s="52" t="n">
        <v>0</v>
      </c>
      <c r="AB1398" s="52" t="n">
        <v>0</v>
      </c>
      <c r="AC1398" s="52" t="n">
        <v>0</v>
      </c>
      <c r="AD1398" s="52" t="n">
        <v>0</v>
      </c>
      <c r="AE1398" s="52" t="n">
        <v>0</v>
      </c>
      <c r="AF1398" s="52" t="n">
        <v>0</v>
      </c>
      <c r="AG1398" s="52" t="n">
        <v>0</v>
      </c>
      <c r="AH1398" s="52" t="n">
        <v>0</v>
      </c>
      <c r="AI1398" s="52" t="n">
        <v>0</v>
      </c>
      <c r="AJ1398" s="52" t="n">
        <v>0</v>
      </c>
      <c r="AK1398" s="52" t="n">
        <v>0</v>
      </c>
      <c r="AL1398" s="52" t="n">
        <v>0</v>
      </c>
      <c r="AM1398" s="53" t="n">
        <v>0</v>
      </c>
      <c r="AN1398" s="53" t="n">
        <v>0</v>
      </c>
      <c r="AO1398" s="53" t="n">
        <v>0</v>
      </c>
      <c r="AP1398" s="53" t="n">
        <v>0</v>
      </c>
      <c r="AQ1398" s="52" t="n">
        <v>0</v>
      </c>
      <c r="AR1398" s="52" t="n">
        <v>0</v>
      </c>
      <c r="AS1398" s="52" t="n">
        <v>0</v>
      </c>
      <c r="AT1398" s="52" t="n">
        <v>0</v>
      </c>
      <c r="AU1398" s="53" t="n">
        <v>0</v>
      </c>
      <c r="AV1398" s="53" t="n">
        <v>0</v>
      </c>
      <c r="AW1398" s="53" t="n">
        <v>0</v>
      </c>
      <c r="AX1398" s="53" t="n">
        <v>0</v>
      </c>
      <c r="AY1398" s="52" t="n">
        <v>0</v>
      </c>
      <c r="AZ1398" s="52" t="n">
        <v>0</v>
      </c>
      <c r="BA1398" s="52" t="n">
        <v>0</v>
      </c>
      <c r="BB1398" s="52" t="n">
        <v>0</v>
      </c>
      <c r="BC1398" s="51" t="n">
        <v>0</v>
      </c>
      <c r="BD1398" s="51" t="n">
        <v>0</v>
      </c>
      <c r="BE1398" s="51" t="n">
        <v>0</v>
      </c>
      <c r="BF1398" s="51" t="n">
        <v>0</v>
      </c>
    </row>
    <row r="1399">
      <c r="A1399">
        <f>HYPERLINK("https://www.walmart.com/ip/143098345", "143098345")</f>
        <v/>
      </c>
      <c r="B1399" t="inlineStr">
        <is>
          <t>KC Caps Unisex Two-Tone Cotton Twill Adjustable Baseball Cap with Suede Bill, White/Black</t>
        </is>
      </c>
      <c r="C1399" t="inlineStr">
        <is>
          <t>KC-S6300-WH/BK</t>
        </is>
      </c>
      <c r="D1399" t="inlineStr">
        <is>
          <t>Hats</t>
        </is>
      </c>
      <c r="E1399" t="inlineStr">
        <is>
          <t>KC Caps</t>
        </is>
      </c>
      <c r="G1399" s="48" t="n">
        <v>0</v>
      </c>
      <c r="H1399" s="48" t="n">
        <v>0</v>
      </c>
      <c r="I1399" s="48" t="n">
        <v>0</v>
      </c>
      <c r="J1399" s="48" t="n">
        <v>0</v>
      </c>
      <c r="K1399" s="49" t="n">
        <v>0</v>
      </c>
      <c r="L1399" s="49" t="n">
        <v>0</v>
      </c>
      <c r="M1399" s="49" t="n">
        <v>0</v>
      </c>
      <c r="N1399" s="49" t="n">
        <v>0</v>
      </c>
      <c r="O1399" s="49" t="n">
        <v>0</v>
      </c>
      <c r="P1399" s="49" t="n">
        <v>0</v>
      </c>
      <c r="Q1399" s="49" t="n">
        <v>0</v>
      </c>
      <c r="R1399" s="49" t="n">
        <v>0</v>
      </c>
      <c r="S1399" s="50" t="n">
        <v>0</v>
      </c>
      <c r="T1399" s="50" t="n">
        <v>0</v>
      </c>
      <c r="U1399" s="50" t="n">
        <v>0</v>
      </c>
      <c r="V1399" s="50" t="n">
        <v>0</v>
      </c>
      <c r="W1399" s="51" t="n">
        <v>0</v>
      </c>
      <c r="X1399" s="51" t="n">
        <v>0</v>
      </c>
      <c r="Y1399" s="51" t="n">
        <v>0</v>
      </c>
      <c r="Z1399" s="51" t="n">
        <v>0</v>
      </c>
      <c r="AA1399" s="52" t="n">
        <v>0</v>
      </c>
      <c r="AB1399" s="52" t="n">
        <v>0</v>
      </c>
      <c r="AC1399" s="52" t="n">
        <v>0</v>
      </c>
      <c r="AD1399" s="52" t="n">
        <v>0</v>
      </c>
      <c r="AE1399" s="52" t="n">
        <v>0</v>
      </c>
      <c r="AF1399" s="52" t="n">
        <v>0</v>
      </c>
      <c r="AG1399" s="52" t="n">
        <v>0</v>
      </c>
      <c r="AH1399" s="52" t="n">
        <v>0</v>
      </c>
      <c r="AI1399" s="52" t="n">
        <v>0</v>
      </c>
      <c r="AJ1399" s="52" t="n">
        <v>0</v>
      </c>
      <c r="AK1399" s="52" t="n">
        <v>0</v>
      </c>
      <c r="AL1399" s="52" t="n">
        <v>0</v>
      </c>
      <c r="AM1399" s="53" t="n">
        <v>0</v>
      </c>
      <c r="AN1399" s="53" t="n">
        <v>0</v>
      </c>
      <c r="AO1399" s="53" t="n">
        <v>0</v>
      </c>
      <c r="AP1399" s="53" t="n">
        <v>0</v>
      </c>
      <c r="AQ1399" s="52" t="n">
        <v>0</v>
      </c>
      <c r="AR1399" s="52" t="n">
        <v>0</v>
      </c>
      <c r="AS1399" s="52" t="n">
        <v>0</v>
      </c>
      <c r="AT1399" s="52" t="n">
        <v>0</v>
      </c>
      <c r="AU1399" s="53" t="n">
        <v>0</v>
      </c>
      <c r="AV1399" s="53" t="n">
        <v>0</v>
      </c>
      <c r="AW1399" s="53" t="n">
        <v>0</v>
      </c>
      <c r="AX1399" s="53" t="n">
        <v>0</v>
      </c>
      <c r="AY1399" s="52" t="n">
        <v>0</v>
      </c>
      <c r="AZ1399" s="52" t="n">
        <v>0</v>
      </c>
      <c r="BA1399" s="52" t="n">
        <v>0</v>
      </c>
      <c r="BB1399" s="52" t="n">
        <v>0</v>
      </c>
      <c r="BC1399" s="51" t="n">
        <v>0</v>
      </c>
      <c r="BD1399" s="51" t="n">
        <v>0</v>
      </c>
      <c r="BE1399" s="51" t="n">
        <v>0</v>
      </c>
      <c r="BF1399" s="51" t="n">
        <v>0</v>
      </c>
    </row>
    <row r="1400">
      <c r="A1400">
        <f>HYPERLINK("https://www.walmart.com/ip/142905199", "142905199")</f>
        <v/>
      </c>
      <c r="B1400" t="inlineStr">
        <is>
          <t>KC Caps Washed Cotton Twill Hat</t>
        </is>
      </c>
      <c r="C1400" t="inlineStr">
        <is>
          <t>KCS4130ROY</t>
        </is>
      </c>
      <c r="D1400" t="inlineStr">
        <is>
          <t>Hats</t>
        </is>
      </c>
      <c r="E1400" t="inlineStr">
        <is>
          <t>KC Caps</t>
        </is>
      </c>
      <c r="F1400" t="inlineStr">
        <is>
          <t>Optimized</t>
        </is>
      </c>
      <c r="G1400" s="48" t="n">
        <v>0</v>
      </c>
      <c r="H1400" s="48" t="n">
        <v>0</v>
      </c>
      <c r="I1400" s="48" t="n">
        <v>0</v>
      </c>
      <c r="J1400" s="48" t="n">
        <v>0</v>
      </c>
      <c r="K1400" s="49" t="n">
        <v>0</v>
      </c>
      <c r="L1400" s="49" t="n">
        <v>0</v>
      </c>
      <c r="M1400" s="49" t="n">
        <v>0</v>
      </c>
      <c r="N1400" s="49" t="n">
        <v>0</v>
      </c>
      <c r="O1400" s="49" t="n">
        <v>0</v>
      </c>
      <c r="P1400" s="49" t="n">
        <v>0</v>
      </c>
      <c r="Q1400" s="49" t="n">
        <v>0</v>
      </c>
      <c r="R1400" s="49" t="n">
        <v>0</v>
      </c>
      <c r="S1400" s="50" t="n">
        <v>0</v>
      </c>
      <c r="T1400" s="50" t="n">
        <v>0</v>
      </c>
      <c r="U1400" s="50" t="n">
        <v>0</v>
      </c>
      <c r="V1400" s="50" t="n">
        <v>0</v>
      </c>
      <c r="W1400" s="51" t="n">
        <v>0</v>
      </c>
      <c r="X1400" s="51" t="n">
        <v>0</v>
      </c>
      <c r="Y1400" s="51" t="n">
        <v>0</v>
      </c>
      <c r="Z1400" s="51" t="n">
        <v>0</v>
      </c>
      <c r="AA1400" s="52" t="n">
        <v>0</v>
      </c>
      <c r="AB1400" s="52" t="n">
        <v>0</v>
      </c>
      <c r="AC1400" s="52" t="n">
        <v>0</v>
      </c>
      <c r="AD1400" s="52" t="n">
        <v>0</v>
      </c>
      <c r="AE1400" s="52" t="n">
        <v>0</v>
      </c>
      <c r="AF1400" s="52" t="n">
        <v>0</v>
      </c>
      <c r="AG1400" s="52" t="n">
        <v>0</v>
      </c>
      <c r="AH1400" s="52" t="n">
        <v>0</v>
      </c>
      <c r="AI1400" s="52" t="n">
        <v>0</v>
      </c>
      <c r="AJ1400" s="52" t="n">
        <v>0</v>
      </c>
      <c r="AK1400" s="52" t="n">
        <v>0</v>
      </c>
      <c r="AL1400" s="52" t="n">
        <v>0</v>
      </c>
      <c r="AM1400" s="53" t="n">
        <v>0</v>
      </c>
      <c r="AN1400" s="53" t="n">
        <v>0</v>
      </c>
      <c r="AO1400" s="53" t="n">
        <v>0</v>
      </c>
      <c r="AP1400" s="53" t="n">
        <v>0</v>
      </c>
      <c r="AQ1400" s="52" t="n">
        <v>0</v>
      </c>
      <c r="AR1400" s="52" t="n">
        <v>0</v>
      </c>
      <c r="AS1400" s="52" t="n">
        <v>0</v>
      </c>
      <c r="AT1400" s="52" t="n">
        <v>0</v>
      </c>
      <c r="AU1400" s="53" t="n">
        <v>0</v>
      </c>
      <c r="AV1400" s="53" t="n">
        <v>0</v>
      </c>
      <c r="AW1400" s="53" t="n">
        <v>0</v>
      </c>
      <c r="AX1400" s="53" t="n">
        <v>0</v>
      </c>
      <c r="AY1400" s="52" t="n">
        <v>0</v>
      </c>
      <c r="AZ1400" s="52" t="n">
        <v>0</v>
      </c>
      <c r="BA1400" s="52" t="n">
        <v>0</v>
      </c>
      <c r="BB1400" s="52" t="n">
        <v>0</v>
      </c>
      <c r="BC1400" s="51" t="n">
        <v>0</v>
      </c>
      <c r="BD1400" s="51" t="n">
        <v>0</v>
      </c>
      <c r="BE1400" s="51" t="n">
        <v>0</v>
      </c>
      <c r="BF1400" s="51" t="n">
        <v>0</v>
      </c>
    </row>
    <row r="1401">
      <c r="A1401">
        <f>HYPERLINK("https://www.walmart.com/ip/1446754753", "1446754753")</f>
        <v/>
      </c>
      <c r="B1401" t="inlineStr">
        <is>
          <t>Tirrinia Insulated Lunch Box for Women Men, Leakproof Thermal Reusable Lunch Bag with 4 Pockets for Adult &amp; Kids, Lunch Bag Cooler Tote for Office Work Back to School, Green</t>
        </is>
      </c>
      <c r="C1401" t="inlineStr">
        <is>
          <t>1TRLB702GN-T</t>
        </is>
      </c>
      <c r="D1401" t="inlineStr">
        <is>
          <t>Reusable Lunch Bags &amp; Boxes</t>
        </is>
      </c>
      <c r="E1401" t="inlineStr">
        <is>
          <t>Tirrinia</t>
        </is>
      </c>
      <c r="F1401" t="inlineStr">
        <is>
          <t>Q2-Target,Brand Camp VD,Lunch Bags,Batch 1 - TR</t>
        </is>
      </c>
      <c r="G1401" s="48" t="n">
        <v>0</v>
      </c>
      <c r="H1401" s="48" t="n">
        <v>0</v>
      </c>
      <c r="I1401" s="48" t="n">
        <v>0</v>
      </c>
      <c r="J1401" s="48" t="n">
        <v>0</v>
      </c>
      <c r="K1401" s="49" t="n">
        <v>0</v>
      </c>
      <c r="L1401" s="49" t="n">
        <v>0</v>
      </c>
      <c r="M1401" s="49" t="n">
        <v>0</v>
      </c>
      <c r="N1401" s="49" t="n">
        <v>0</v>
      </c>
      <c r="O1401" s="49" t="n">
        <v>0</v>
      </c>
      <c r="P1401" s="49" t="n">
        <v>0</v>
      </c>
      <c r="Q1401" s="49" t="n">
        <v>0</v>
      </c>
      <c r="R1401" s="49" t="n">
        <v>0</v>
      </c>
      <c r="S1401" s="50" t="n">
        <v>0</v>
      </c>
      <c r="T1401" s="50" t="n">
        <v>0</v>
      </c>
      <c r="U1401" s="50" t="n">
        <v>0</v>
      </c>
      <c r="V1401" s="50" t="n">
        <v>0</v>
      </c>
      <c r="W1401" s="51" t="n">
        <v>0</v>
      </c>
      <c r="X1401" s="51" t="n">
        <v>0</v>
      </c>
      <c r="Y1401" s="51" t="n">
        <v>0</v>
      </c>
      <c r="Z1401" s="51" t="n">
        <v>0</v>
      </c>
      <c r="AA1401" s="52" t="n">
        <v>0</v>
      </c>
      <c r="AB1401" s="52" t="n">
        <v>0</v>
      </c>
      <c r="AC1401" s="52" t="n">
        <v>0</v>
      </c>
      <c r="AD1401" s="52" t="n">
        <v>0</v>
      </c>
      <c r="AE1401" s="52" t="n">
        <v>0</v>
      </c>
      <c r="AF1401" s="52" t="n">
        <v>0</v>
      </c>
      <c r="AG1401" s="52" t="n">
        <v>0</v>
      </c>
      <c r="AH1401" s="52" t="n">
        <v>0</v>
      </c>
      <c r="AI1401" s="52" t="n">
        <v>0</v>
      </c>
      <c r="AJ1401" s="52" t="n">
        <v>0</v>
      </c>
      <c r="AK1401" s="52" t="n">
        <v>0</v>
      </c>
      <c r="AL1401" s="52" t="n">
        <v>0</v>
      </c>
      <c r="AM1401" s="53" t="n">
        <v>0</v>
      </c>
      <c r="AN1401" s="53" t="n">
        <v>0</v>
      </c>
      <c r="AO1401" s="53" t="n">
        <v>0</v>
      </c>
      <c r="AP1401" s="53" t="n">
        <v>0</v>
      </c>
      <c r="AQ1401" s="52" t="n">
        <v>0</v>
      </c>
      <c r="AR1401" s="52" t="n">
        <v>0</v>
      </c>
      <c r="AS1401" s="52" t="n">
        <v>0</v>
      </c>
      <c r="AT1401" s="52" t="n">
        <v>0</v>
      </c>
      <c r="AU1401" s="53" t="n">
        <v>0</v>
      </c>
      <c r="AV1401" s="53" t="n">
        <v>0</v>
      </c>
      <c r="AW1401" s="53" t="n">
        <v>0</v>
      </c>
      <c r="AX1401" s="53" t="n">
        <v>0</v>
      </c>
      <c r="AY1401" s="52" t="n">
        <v>0</v>
      </c>
      <c r="AZ1401" s="52" t="n">
        <v>0</v>
      </c>
      <c r="BA1401" s="52" t="n">
        <v>0</v>
      </c>
      <c r="BB1401" s="52" t="n">
        <v>0</v>
      </c>
      <c r="BC1401" s="51" t="n">
        <v>0</v>
      </c>
      <c r="BD1401" s="51" t="n">
        <v>0</v>
      </c>
      <c r="BE1401" s="51" t="n">
        <v>0</v>
      </c>
      <c r="BF1401" s="51" t="n">
        <v>0</v>
      </c>
    </row>
    <row r="1402">
      <c r="A1402">
        <f>HYPERLINK("https://www.walmart.com/ip/142622275", "142622275")</f>
        <v/>
      </c>
      <c r="B1402" t="inlineStr">
        <is>
          <t>Napa Women's Super Soft Warm Sherpa Bathrobe Micro Fleece Kimono Collar Plush Thick Spa Robe Sleepwear with Side Pockets Blue</t>
        </is>
      </c>
      <c r="C1402" t="inlineStr">
        <is>
          <t>R5010COBLUE-01</t>
        </is>
      </c>
      <c r="D1402" t="inlineStr">
        <is>
          <t>Sleepwear Robes &amp; Bathrobes</t>
        </is>
      </c>
      <c r="E1402" t="inlineStr">
        <is>
          <t>NAPA</t>
        </is>
      </c>
      <c r="F1402" t="inlineStr">
        <is>
          <t>Optimized,Bathrobe</t>
        </is>
      </c>
      <c r="G1402" s="48" t="n">
        <v>0</v>
      </c>
      <c r="H1402" s="48" t="n">
        <v>0</v>
      </c>
      <c r="I1402" s="48" t="n">
        <v>0</v>
      </c>
      <c r="J1402" s="48" t="n">
        <v>0</v>
      </c>
      <c r="K1402" s="49" t="n">
        <v>0</v>
      </c>
      <c r="L1402" s="49" t="n">
        <v>0</v>
      </c>
      <c r="M1402" s="49" t="n">
        <v>0</v>
      </c>
      <c r="N1402" s="49" t="n">
        <v>0</v>
      </c>
      <c r="O1402" s="49" t="n">
        <v>0</v>
      </c>
      <c r="P1402" s="49" t="n">
        <v>0</v>
      </c>
      <c r="Q1402" s="49" t="n">
        <v>0</v>
      </c>
      <c r="R1402" s="49" t="n">
        <v>0</v>
      </c>
      <c r="S1402" s="50" t="n">
        <v>0</v>
      </c>
      <c r="T1402" s="50" t="n">
        <v>0</v>
      </c>
      <c r="U1402" s="50" t="n">
        <v>0</v>
      </c>
      <c r="V1402" s="50" t="n">
        <v>0</v>
      </c>
      <c r="W1402" s="51" t="n">
        <v>0</v>
      </c>
      <c r="X1402" s="51" t="n">
        <v>0</v>
      </c>
      <c r="Y1402" s="51" t="n">
        <v>0</v>
      </c>
      <c r="Z1402" s="51" t="n">
        <v>0</v>
      </c>
      <c r="AA1402" s="52" t="n">
        <v>0</v>
      </c>
      <c r="AB1402" s="52" t="n">
        <v>0</v>
      </c>
      <c r="AC1402" s="52" t="n">
        <v>0</v>
      </c>
      <c r="AD1402" s="52" t="n">
        <v>0</v>
      </c>
      <c r="AE1402" s="52" t="n">
        <v>0</v>
      </c>
      <c r="AF1402" s="52" t="n">
        <v>0</v>
      </c>
      <c r="AG1402" s="52" t="n">
        <v>0</v>
      </c>
      <c r="AH1402" s="52" t="n">
        <v>0</v>
      </c>
      <c r="AI1402" s="52" t="n">
        <v>0</v>
      </c>
      <c r="AJ1402" s="52" t="n">
        <v>0</v>
      </c>
      <c r="AK1402" s="52" t="n">
        <v>0</v>
      </c>
      <c r="AL1402" s="52" t="n">
        <v>0</v>
      </c>
      <c r="AM1402" s="53" t="n">
        <v>0</v>
      </c>
      <c r="AN1402" s="53" t="n">
        <v>0</v>
      </c>
      <c r="AO1402" s="53" t="n">
        <v>0</v>
      </c>
      <c r="AP1402" s="53" t="n">
        <v>0</v>
      </c>
      <c r="AQ1402" s="52" t="n">
        <v>0</v>
      </c>
      <c r="AR1402" s="52" t="n">
        <v>0</v>
      </c>
      <c r="AS1402" s="52" t="n">
        <v>0</v>
      </c>
      <c r="AT1402" s="52" t="n">
        <v>0</v>
      </c>
      <c r="AU1402" s="53" t="n">
        <v>0</v>
      </c>
      <c r="AV1402" s="53" t="n">
        <v>0</v>
      </c>
      <c r="AW1402" s="53" t="n">
        <v>0</v>
      </c>
      <c r="AX1402" s="53" t="n">
        <v>0</v>
      </c>
      <c r="AY1402" s="52" t="n">
        <v>0</v>
      </c>
      <c r="AZ1402" s="52" t="n">
        <v>0</v>
      </c>
      <c r="BA1402" s="52" t="n">
        <v>0</v>
      </c>
      <c r="BB1402" s="52" t="n">
        <v>0</v>
      </c>
      <c r="BC1402" s="51" t="n">
        <v>0</v>
      </c>
      <c r="BD1402" s="51" t="n">
        <v>0</v>
      </c>
      <c r="BE1402" s="51" t="n">
        <v>0</v>
      </c>
      <c r="BF1402" s="51" t="n">
        <v>0</v>
      </c>
    </row>
    <row r="1403">
      <c r="A1403">
        <f>HYPERLINK("https://www.walmart.com/ip/1399629963", "1399629963")</f>
        <v/>
      </c>
      <c r="B1403" t="inlineStr">
        <is>
          <t>Catalonia Waterproof Dog Blanket for Couch, Reversible Sofa and Bed Coverlet Protector, Leak Proof, Comfortable Blanket for People and Pets, Camel/Taupe, 80" x 90"</t>
        </is>
      </c>
      <c r="C1403" t="inlineStr">
        <is>
          <t>1CTBW985TPTP</t>
        </is>
      </c>
      <c r="D1403" t="inlineStr">
        <is>
          <t>Bed Blankets</t>
        </is>
      </c>
      <c r="E1403" t="inlineStr">
        <is>
          <t>Catalonia</t>
        </is>
      </c>
      <c r="F1403" t="inlineStr">
        <is>
          <t>Wproof Blanket,Batch 1 - TR</t>
        </is>
      </c>
      <c r="G1403" s="48" t="n">
        <v>0</v>
      </c>
      <c r="H1403" s="48" t="n">
        <v>0</v>
      </c>
      <c r="I1403" s="48" t="n">
        <v>0</v>
      </c>
      <c r="J1403" s="48" t="n">
        <v>0</v>
      </c>
      <c r="K1403" s="49" t="n">
        <v>0</v>
      </c>
      <c r="L1403" s="49" t="n">
        <v>0</v>
      </c>
      <c r="M1403" s="49" t="n">
        <v>0</v>
      </c>
      <c r="N1403" s="49" t="n">
        <v>0</v>
      </c>
      <c r="O1403" s="49" t="n">
        <v>6</v>
      </c>
      <c r="P1403" s="49" t="n">
        <v>7</v>
      </c>
      <c r="Q1403" s="49" t="n">
        <v>0</v>
      </c>
      <c r="R1403" s="49" t="n">
        <v>0</v>
      </c>
      <c r="S1403" s="50" t="n">
        <v>0</v>
      </c>
      <c r="T1403" s="50" t="n">
        <v>0</v>
      </c>
      <c r="U1403" s="50" t="n">
        <v>0</v>
      </c>
      <c r="V1403" s="50" t="n">
        <v>0</v>
      </c>
      <c r="W1403" s="51" t="n">
        <v>1</v>
      </c>
      <c r="X1403" s="51" t="n">
        <v>4</v>
      </c>
      <c r="Y1403" s="51" t="n">
        <v>1</v>
      </c>
      <c r="Z1403" s="51" t="n">
        <v>2</v>
      </c>
      <c r="AA1403" s="52" t="n">
        <v>0.45</v>
      </c>
      <c r="AB1403" s="52" t="n">
        <v>1.8</v>
      </c>
      <c r="AC1403" s="52" t="n">
        <v>0.45</v>
      </c>
      <c r="AD1403" s="52" t="n">
        <v>0.88</v>
      </c>
      <c r="AE1403" s="52" t="n">
        <v>0</v>
      </c>
      <c r="AF1403" s="52" t="n">
        <v>0</v>
      </c>
      <c r="AG1403" s="52" t="n">
        <v>0</v>
      </c>
      <c r="AH1403" s="52" t="n">
        <v>0</v>
      </c>
      <c r="AI1403" s="52" t="n">
        <v>0</v>
      </c>
      <c r="AJ1403" s="52" t="n">
        <v>0</v>
      </c>
      <c r="AK1403" s="52" t="n">
        <v>0</v>
      </c>
      <c r="AL1403" s="52" t="n">
        <v>0</v>
      </c>
      <c r="AM1403" s="53" t="n">
        <v>0.0009</v>
      </c>
      <c r="AN1403" s="53" t="n">
        <v>0.0037</v>
      </c>
      <c r="AO1403" s="53" t="n">
        <v>0.0012</v>
      </c>
      <c r="AP1403" s="53" t="n">
        <v>0.0036</v>
      </c>
      <c r="AQ1403" s="52" t="n">
        <v>0.45</v>
      </c>
      <c r="AR1403" s="52" t="n">
        <v>0.45</v>
      </c>
      <c r="AS1403" s="52" t="n">
        <v>0.45</v>
      </c>
      <c r="AT1403" s="52" t="n">
        <v>0.44</v>
      </c>
      <c r="AU1403" s="53" t="n">
        <v>0</v>
      </c>
      <c r="AV1403" s="53" t="n">
        <v>0</v>
      </c>
      <c r="AW1403" s="53" t="n">
        <v>0</v>
      </c>
      <c r="AX1403" s="53" t="n">
        <v>0</v>
      </c>
      <c r="AY1403" s="52" t="n">
        <v>0</v>
      </c>
      <c r="AZ1403" s="52" t="n">
        <v>0</v>
      </c>
      <c r="BA1403" s="52" t="n">
        <v>0</v>
      </c>
      <c r="BB1403" s="52" t="n">
        <v>0</v>
      </c>
      <c r="BC1403" s="51" t="n">
        <v>1108</v>
      </c>
      <c r="BD1403" s="51" t="n">
        <v>1095</v>
      </c>
      <c r="BE1403" s="51" t="n">
        <v>857</v>
      </c>
      <c r="BF1403" s="51" t="n">
        <v>553</v>
      </c>
    </row>
    <row r="1404">
      <c r="A1404">
        <f>HYPERLINK("https://www.walmart.com/ip/14010066234", "14010066234")</f>
        <v/>
      </c>
      <c r="B1404" t="inlineStr">
        <is>
          <t>American Flag Throw Blanket Warm Eagle Flannel Fleece Blanket for Couch, Super Soft Fuzzy Throws Fashion Decorative Plush Fleece Blanket for Sofa Bed Office(50 x 70 in, American Flag &amp; Eagle)</t>
        </is>
      </c>
      <c r="C1404" t="inlineStr">
        <is>
          <t>1TRBF601USA1</t>
        </is>
      </c>
      <c r="D1404" t="inlineStr">
        <is>
          <t>Throws</t>
        </is>
      </c>
      <c r="E1404" t="inlineStr">
        <is>
          <t>Tirrinia</t>
        </is>
      </c>
      <c r="G1404" s="48" t="n">
        <v>0</v>
      </c>
      <c r="H1404" s="48" t="n">
        <v>0</v>
      </c>
      <c r="I1404" s="48" t="n">
        <v>0</v>
      </c>
      <c r="J1404" s="48" t="n">
        <v>0</v>
      </c>
      <c r="K1404" s="49" t="n">
        <v>0</v>
      </c>
      <c r="L1404" s="49" t="n">
        <v>0</v>
      </c>
      <c r="M1404" s="49" t="n">
        <v>0</v>
      </c>
      <c r="N1404" s="49" t="n">
        <v>0</v>
      </c>
      <c r="O1404" s="49" t="n">
        <v>0</v>
      </c>
      <c r="P1404" s="49" t="n">
        <v>0</v>
      </c>
      <c r="Q1404" s="49" t="n">
        <v>0</v>
      </c>
      <c r="R1404" s="49" t="n">
        <v>0</v>
      </c>
      <c r="S1404" s="50" t="n">
        <v>0</v>
      </c>
      <c r="T1404" s="50" t="n">
        <v>0</v>
      </c>
      <c r="U1404" s="50" t="n">
        <v>0</v>
      </c>
      <c r="V1404" s="50" t="n">
        <v>0</v>
      </c>
      <c r="W1404" s="51" t="n">
        <v>0</v>
      </c>
      <c r="X1404" s="51" t="n">
        <v>0</v>
      </c>
      <c r="Y1404" s="51" t="n">
        <v>0</v>
      </c>
      <c r="Z1404" s="51" t="n">
        <v>0</v>
      </c>
      <c r="AA1404" s="52" t="n">
        <v>0</v>
      </c>
      <c r="AB1404" s="52" t="n">
        <v>0</v>
      </c>
      <c r="AC1404" s="52" t="n">
        <v>0</v>
      </c>
      <c r="AD1404" s="52" t="n">
        <v>0</v>
      </c>
      <c r="AE1404" s="52" t="n">
        <v>0</v>
      </c>
      <c r="AF1404" s="52" t="n">
        <v>0</v>
      </c>
      <c r="AG1404" s="52" t="n">
        <v>0</v>
      </c>
      <c r="AH1404" s="52" t="n">
        <v>0</v>
      </c>
      <c r="AI1404" s="52" t="n">
        <v>0</v>
      </c>
      <c r="AJ1404" s="52" t="n">
        <v>0</v>
      </c>
      <c r="AK1404" s="52" t="n">
        <v>0</v>
      </c>
      <c r="AL1404" s="52" t="n">
        <v>0</v>
      </c>
      <c r="AM1404" s="53" t="n">
        <v>0</v>
      </c>
      <c r="AN1404" s="53" t="n">
        <v>0</v>
      </c>
      <c r="AO1404" s="53" t="n">
        <v>0</v>
      </c>
      <c r="AP1404" s="53" t="n">
        <v>0</v>
      </c>
      <c r="AQ1404" s="52" t="n">
        <v>0</v>
      </c>
      <c r="AR1404" s="52" t="n">
        <v>0</v>
      </c>
      <c r="AS1404" s="52" t="n">
        <v>0</v>
      </c>
      <c r="AT1404" s="52" t="n">
        <v>0</v>
      </c>
      <c r="AU1404" s="53" t="n">
        <v>0</v>
      </c>
      <c r="AV1404" s="53" t="n">
        <v>0</v>
      </c>
      <c r="AW1404" s="53" t="n">
        <v>0</v>
      </c>
      <c r="AX1404" s="53" t="n">
        <v>0</v>
      </c>
      <c r="AY1404" s="52" t="n">
        <v>0</v>
      </c>
      <c r="AZ1404" s="52" t="n">
        <v>0</v>
      </c>
      <c r="BA1404" s="52" t="n">
        <v>0</v>
      </c>
      <c r="BB1404" s="52" t="n">
        <v>0</v>
      </c>
      <c r="BC1404" s="51" t="n">
        <v>0</v>
      </c>
      <c r="BD1404" s="51" t="n">
        <v>0</v>
      </c>
      <c r="BE1404" s="51" t="n">
        <v>0</v>
      </c>
      <c r="BF1404" s="51" t="n">
        <v>0</v>
      </c>
    </row>
    <row r="1405">
      <c r="A1405">
        <f>HYPERLINK("https://www.walmart.com/ip/140259963", "140259963")</f>
        <v/>
      </c>
      <c r="B1405" t="inlineStr">
        <is>
          <t>Women's Plus Size Floral Lace Mesh Chemise Sleepwear and G-string</t>
        </is>
      </c>
      <c r="C1405" t="inlineStr">
        <is>
          <t>JWBD05PP-XL</t>
        </is>
      </c>
      <c r="D1405" t="inlineStr">
        <is>
          <t>Lingerie Sets</t>
        </is>
      </c>
      <c r="E1405" t="inlineStr">
        <is>
          <t>JenniWears</t>
        </is>
      </c>
      <c r="F1405" t="inlineStr">
        <is>
          <t>Valentine</t>
        </is>
      </c>
      <c r="G1405" s="48" t="n">
        <v>0</v>
      </c>
      <c r="H1405" s="48" t="n">
        <v>0</v>
      </c>
      <c r="I1405" s="48" t="n">
        <v>0</v>
      </c>
      <c r="J1405" s="48" t="n">
        <v>0</v>
      </c>
      <c r="K1405" s="49" t="n">
        <v>0</v>
      </c>
      <c r="L1405" s="49" t="n">
        <v>0</v>
      </c>
      <c r="M1405" s="49" t="n">
        <v>0</v>
      </c>
      <c r="N1405" s="49" t="n">
        <v>0</v>
      </c>
      <c r="O1405" s="49" t="n">
        <v>0</v>
      </c>
      <c r="P1405" s="49" t="n">
        <v>0</v>
      </c>
      <c r="Q1405" s="49" t="n">
        <v>0</v>
      </c>
      <c r="R1405" s="49" t="n">
        <v>0</v>
      </c>
      <c r="S1405" s="50" t="n">
        <v>0</v>
      </c>
      <c r="T1405" s="50" t="n">
        <v>0</v>
      </c>
      <c r="U1405" s="50" t="n">
        <v>0</v>
      </c>
      <c r="V1405" s="50" t="n">
        <v>0</v>
      </c>
      <c r="W1405" s="51" t="n">
        <v>0</v>
      </c>
      <c r="X1405" s="51" t="n">
        <v>0</v>
      </c>
      <c r="Y1405" s="51" t="n">
        <v>0</v>
      </c>
      <c r="Z1405" s="51" t="n">
        <v>0</v>
      </c>
      <c r="AA1405" s="52" t="n">
        <v>0</v>
      </c>
      <c r="AB1405" s="52" t="n">
        <v>0</v>
      </c>
      <c r="AC1405" s="52" t="n">
        <v>0</v>
      </c>
      <c r="AD1405" s="52" t="n">
        <v>0</v>
      </c>
      <c r="AE1405" s="52" t="n">
        <v>0</v>
      </c>
      <c r="AF1405" s="52" t="n">
        <v>0</v>
      </c>
      <c r="AG1405" s="52" t="n">
        <v>0</v>
      </c>
      <c r="AH1405" s="52" t="n">
        <v>0</v>
      </c>
      <c r="AI1405" s="52" t="n">
        <v>0</v>
      </c>
      <c r="AJ1405" s="52" t="n">
        <v>0</v>
      </c>
      <c r="AK1405" s="52" t="n">
        <v>0</v>
      </c>
      <c r="AL1405" s="52" t="n">
        <v>0</v>
      </c>
      <c r="AM1405" s="53" t="n">
        <v>0</v>
      </c>
      <c r="AN1405" s="53" t="n">
        <v>0</v>
      </c>
      <c r="AO1405" s="53" t="n">
        <v>0</v>
      </c>
      <c r="AP1405" s="53" t="n">
        <v>0</v>
      </c>
      <c r="AQ1405" s="52" t="n">
        <v>0</v>
      </c>
      <c r="AR1405" s="52" t="n">
        <v>0</v>
      </c>
      <c r="AS1405" s="52" t="n">
        <v>0</v>
      </c>
      <c r="AT1405" s="52" t="n">
        <v>0</v>
      </c>
      <c r="AU1405" s="53" t="n">
        <v>0</v>
      </c>
      <c r="AV1405" s="53" t="n">
        <v>0</v>
      </c>
      <c r="AW1405" s="53" t="n">
        <v>0</v>
      </c>
      <c r="AX1405" s="53" t="n">
        <v>0</v>
      </c>
      <c r="AY1405" s="52" t="n">
        <v>0</v>
      </c>
      <c r="AZ1405" s="52" t="n">
        <v>0</v>
      </c>
      <c r="BA1405" s="52" t="n">
        <v>0</v>
      </c>
      <c r="BB1405" s="52" t="n">
        <v>0</v>
      </c>
      <c r="BC1405" s="51" t="n">
        <v>0</v>
      </c>
      <c r="BD1405" s="51" t="n">
        <v>0</v>
      </c>
      <c r="BE1405" s="51" t="n">
        <v>0</v>
      </c>
      <c r="BF1405" s="51" t="n">
        <v>0</v>
      </c>
    </row>
    <row r="1406">
      <c r="A1406">
        <f>HYPERLINK("https://www.walmart.com/ip/14058965608", "14058965608")</f>
        <v/>
      </c>
      <c r="B1406" t="inlineStr">
        <is>
          <t>Tirrinia Beach Wine Tote Bag, Wine Cooler Bag Leakproof Insulated Purse Carrier with Spout Hidden Compartments, Holds 2 bottles of Wine for Travel, BYOB Restaurant, Party, Dinner</t>
        </is>
      </c>
      <c r="C1406" t="inlineStr">
        <is>
          <t>1TRWT100RAINBOW</t>
        </is>
      </c>
      <c r="D1406" t="inlineStr">
        <is>
          <t>Wine Totes, Bags &amp; Backpacks</t>
        </is>
      </c>
      <c r="E1406" t="inlineStr">
        <is>
          <t>Tirrinia</t>
        </is>
      </c>
      <c r="G1406" s="48" t="n">
        <v>0</v>
      </c>
      <c r="H1406" s="48" t="n">
        <v>0</v>
      </c>
      <c r="I1406" s="48" t="n">
        <v>0</v>
      </c>
      <c r="J1406" s="48" t="n">
        <v>0</v>
      </c>
      <c r="K1406" s="49" t="n">
        <v>0</v>
      </c>
      <c r="L1406" s="49" t="n">
        <v>0</v>
      </c>
      <c r="M1406" s="49" t="n">
        <v>0</v>
      </c>
      <c r="N1406" s="49" t="n">
        <v>0</v>
      </c>
      <c r="O1406" s="49" t="n">
        <v>0</v>
      </c>
      <c r="P1406" s="49" t="n">
        <v>0</v>
      </c>
      <c r="Q1406" s="49" t="n">
        <v>0</v>
      </c>
      <c r="R1406" s="49" t="n">
        <v>0</v>
      </c>
      <c r="S1406" s="50" t="n">
        <v>0</v>
      </c>
      <c r="T1406" s="50" t="n">
        <v>0</v>
      </c>
      <c r="U1406" s="50" t="n">
        <v>0</v>
      </c>
      <c r="V1406" s="50" t="n">
        <v>0</v>
      </c>
      <c r="W1406" s="51" t="n">
        <v>0</v>
      </c>
      <c r="X1406" s="51" t="n">
        <v>0</v>
      </c>
      <c r="Y1406" s="51" t="n">
        <v>0</v>
      </c>
      <c r="Z1406" s="51" t="n">
        <v>0</v>
      </c>
      <c r="AA1406" s="52" t="n">
        <v>0</v>
      </c>
      <c r="AB1406" s="52" t="n">
        <v>0</v>
      </c>
      <c r="AC1406" s="52" t="n">
        <v>0</v>
      </c>
      <c r="AD1406" s="52" t="n">
        <v>0</v>
      </c>
      <c r="AE1406" s="52" t="n">
        <v>0</v>
      </c>
      <c r="AF1406" s="52" t="n">
        <v>0</v>
      </c>
      <c r="AG1406" s="52" t="n">
        <v>0</v>
      </c>
      <c r="AH1406" s="52" t="n">
        <v>0</v>
      </c>
      <c r="AI1406" s="52" t="n">
        <v>0</v>
      </c>
      <c r="AJ1406" s="52" t="n">
        <v>0</v>
      </c>
      <c r="AK1406" s="52" t="n">
        <v>0</v>
      </c>
      <c r="AL1406" s="52" t="n">
        <v>0</v>
      </c>
      <c r="AM1406" s="53" t="n">
        <v>0</v>
      </c>
      <c r="AN1406" s="53" t="n">
        <v>0</v>
      </c>
      <c r="AO1406" s="53" t="n">
        <v>0</v>
      </c>
      <c r="AP1406" s="53" t="n">
        <v>0</v>
      </c>
      <c r="AQ1406" s="52" t="n">
        <v>0</v>
      </c>
      <c r="AR1406" s="52" t="n">
        <v>0</v>
      </c>
      <c r="AS1406" s="52" t="n">
        <v>0</v>
      </c>
      <c r="AT1406" s="52" t="n">
        <v>0</v>
      </c>
      <c r="AU1406" s="53" t="n">
        <v>0</v>
      </c>
      <c r="AV1406" s="53" t="n">
        <v>0</v>
      </c>
      <c r="AW1406" s="53" t="n">
        <v>0</v>
      </c>
      <c r="AX1406" s="53" t="n">
        <v>0</v>
      </c>
      <c r="AY1406" s="52" t="n">
        <v>0</v>
      </c>
      <c r="AZ1406" s="52" t="n">
        <v>0</v>
      </c>
      <c r="BA1406" s="52" t="n">
        <v>0</v>
      </c>
      <c r="BB1406" s="52" t="n">
        <v>0</v>
      </c>
      <c r="BC1406" s="51" t="n">
        <v>0</v>
      </c>
      <c r="BD1406" s="51" t="n">
        <v>0</v>
      </c>
      <c r="BE1406" s="51" t="n">
        <v>0</v>
      </c>
      <c r="BF1406" s="51" t="n">
        <v>0</v>
      </c>
    </row>
    <row r="1407">
      <c r="A1407">
        <f>HYPERLINK("https://www.walmart.com/ip/14099269232", "14099269232")</f>
        <v/>
      </c>
      <c r="B1407" t="inlineStr">
        <is>
          <t>Tirrinia 2 Bottle Wine Tote Carrier, Leakproof, Insulated and Padded Versatile Cooler Bag for Travel, BYOB Restaurant, Wine Tasting, Party, Wine Gifts Bag, Cork</t>
        </is>
      </c>
      <c r="C1407" t="inlineStr">
        <is>
          <t>1TRWB220BR</t>
        </is>
      </c>
      <c r="D1407" t="inlineStr">
        <is>
          <t>Wine Totes, Bags &amp; Backpacks</t>
        </is>
      </c>
      <c r="E1407" t="inlineStr">
        <is>
          <t>Tirrinia</t>
        </is>
      </c>
      <c r="G1407" s="48" t="n">
        <v>0</v>
      </c>
      <c r="H1407" s="48" t="n">
        <v>0</v>
      </c>
      <c r="I1407" s="48" t="n">
        <v>0</v>
      </c>
      <c r="J1407" s="48" t="n">
        <v>0</v>
      </c>
      <c r="K1407" s="49" t="n">
        <v>0</v>
      </c>
      <c r="L1407" s="49" t="n">
        <v>0</v>
      </c>
      <c r="M1407" s="49" t="n">
        <v>0</v>
      </c>
      <c r="N1407" s="49" t="n">
        <v>0</v>
      </c>
      <c r="O1407" s="49" t="n">
        <v>0</v>
      </c>
      <c r="P1407" s="49" t="n">
        <v>0</v>
      </c>
      <c r="Q1407" s="49" t="n">
        <v>0</v>
      </c>
      <c r="R1407" s="49" t="n">
        <v>0</v>
      </c>
      <c r="S1407" s="50" t="n">
        <v>0</v>
      </c>
      <c r="T1407" s="50" t="n">
        <v>0</v>
      </c>
      <c r="U1407" s="50" t="n">
        <v>0</v>
      </c>
      <c r="V1407" s="50" t="n">
        <v>0</v>
      </c>
      <c r="W1407" s="51" t="n">
        <v>0</v>
      </c>
      <c r="X1407" s="51" t="n">
        <v>0</v>
      </c>
      <c r="Y1407" s="51" t="n">
        <v>0</v>
      </c>
      <c r="Z1407" s="51" t="n">
        <v>0</v>
      </c>
      <c r="AA1407" s="52" t="n">
        <v>0</v>
      </c>
      <c r="AB1407" s="52" t="n">
        <v>0</v>
      </c>
      <c r="AC1407" s="52" t="n">
        <v>0</v>
      </c>
      <c r="AD1407" s="52" t="n">
        <v>0</v>
      </c>
      <c r="AE1407" s="52" t="n">
        <v>0</v>
      </c>
      <c r="AF1407" s="52" t="n">
        <v>0</v>
      </c>
      <c r="AG1407" s="52" t="n">
        <v>0</v>
      </c>
      <c r="AH1407" s="52" t="n">
        <v>0</v>
      </c>
      <c r="AI1407" s="52" t="n">
        <v>0</v>
      </c>
      <c r="AJ1407" s="52" t="n">
        <v>0</v>
      </c>
      <c r="AK1407" s="52" t="n">
        <v>0</v>
      </c>
      <c r="AL1407" s="52" t="n">
        <v>0</v>
      </c>
      <c r="AM1407" s="53" t="n">
        <v>0</v>
      </c>
      <c r="AN1407" s="53" t="n">
        <v>0</v>
      </c>
      <c r="AO1407" s="53" t="n">
        <v>0</v>
      </c>
      <c r="AP1407" s="53" t="n">
        <v>0</v>
      </c>
      <c r="AQ1407" s="52" t="n">
        <v>0</v>
      </c>
      <c r="AR1407" s="52" t="n">
        <v>0</v>
      </c>
      <c r="AS1407" s="52" t="n">
        <v>0</v>
      </c>
      <c r="AT1407" s="52" t="n">
        <v>0</v>
      </c>
      <c r="AU1407" s="53" t="n">
        <v>0</v>
      </c>
      <c r="AV1407" s="53" t="n">
        <v>0</v>
      </c>
      <c r="AW1407" s="53" t="n">
        <v>0</v>
      </c>
      <c r="AX1407" s="53" t="n">
        <v>0</v>
      </c>
      <c r="AY1407" s="52" t="n">
        <v>0</v>
      </c>
      <c r="AZ1407" s="52" t="n">
        <v>0</v>
      </c>
      <c r="BA1407" s="52" t="n">
        <v>0</v>
      </c>
      <c r="BB1407" s="52" t="n">
        <v>0</v>
      </c>
      <c r="BC1407" s="51" t="n">
        <v>0</v>
      </c>
      <c r="BD1407" s="51" t="n">
        <v>0</v>
      </c>
      <c r="BE1407" s="51" t="n">
        <v>0</v>
      </c>
      <c r="BF1407" s="51" t="n">
        <v>0</v>
      </c>
    </row>
    <row r="1408">
      <c r="A1408">
        <f>HYPERLINK("https://www.walmart.com/ip/141299301", "141299301")</f>
        <v/>
      </c>
      <c r="B1408" t="inlineStr">
        <is>
          <t>KC Caps Vintage Style Cotton Gatsby Ivy Newsboy Hat Cap</t>
        </is>
      </c>
      <c r="C1408" t="inlineStr">
        <is>
          <t>KC 8080GATSBY-BL-M</t>
        </is>
      </c>
      <c r="D1408" t="inlineStr">
        <is>
          <t>Hats</t>
        </is>
      </c>
      <c r="E1408" t="inlineStr">
        <is>
          <t>KC Caps</t>
        </is>
      </c>
      <c r="F1408" t="inlineStr">
        <is>
          <t>Hats,WFS Item</t>
        </is>
      </c>
      <c r="G1408" s="48" t="n">
        <v>0</v>
      </c>
      <c r="H1408" s="48" t="n">
        <v>0</v>
      </c>
      <c r="I1408" s="48" t="n">
        <v>0</v>
      </c>
      <c r="J1408" s="48" t="n">
        <v>0</v>
      </c>
      <c r="K1408" s="49" t="n">
        <v>0</v>
      </c>
      <c r="L1408" s="49" t="n">
        <v>0</v>
      </c>
      <c r="M1408" s="49" t="n">
        <v>0</v>
      </c>
      <c r="N1408" s="49" t="n">
        <v>0</v>
      </c>
      <c r="O1408" s="49" t="n">
        <v>0</v>
      </c>
      <c r="P1408" s="49" t="n">
        <v>0</v>
      </c>
      <c r="Q1408" s="49" t="n">
        <v>0</v>
      </c>
      <c r="R1408" s="49" t="n">
        <v>0</v>
      </c>
      <c r="S1408" s="50" t="n">
        <v>0</v>
      </c>
      <c r="T1408" s="50" t="n">
        <v>0</v>
      </c>
      <c r="U1408" s="50" t="n">
        <v>0</v>
      </c>
      <c r="V1408" s="50" t="n">
        <v>0</v>
      </c>
      <c r="W1408" s="51" t="n">
        <v>0</v>
      </c>
      <c r="X1408" s="51" t="n">
        <v>0</v>
      </c>
      <c r="Y1408" s="51" t="n">
        <v>0</v>
      </c>
      <c r="Z1408" s="51" t="n">
        <v>0</v>
      </c>
      <c r="AA1408" s="52" t="n">
        <v>0</v>
      </c>
      <c r="AB1408" s="52" t="n">
        <v>0</v>
      </c>
      <c r="AC1408" s="52" t="n">
        <v>0</v>
      </c>
      <c r="AD1408" s="52" t="n">
        <v>0</v>
      </c>
      <c r="AE1408" s="52" t="n">
        <v>0</v>
      </c>
      <c r="AF1408" s="52" t="n">
        <v>0</v>
      </c>
      <c r="AG1408" s="52" t="n">
        <v>0</v>
      </c>
      <c r="AH1408" s="52" t="n">
        <v>0</v>
      </c>
      <c r="AI1408" s="52" t="n">
        <v>0</v>
      </c>
      <c r="AJ1408" s="52" t="n">
        <v>0</v>
      </c>
      <c r="AK1408" s="52" t="n">
        <v>0</v>
      </c>
      <c r="AL1408" s="52" t="n">
        <v>0</v>
      </c>
      <c r="AM1408" s="53" t="n">
        <v>0</v>
      </c>
      <c r="AN1408" s="53" t="n">
        <v>0</v>
      </c>
      <c r="AO1408" s="53" t="n">
        <v>0</v>
      </c>
      <c r="AP1408" s="53" t="n">
        <v>0</v>
      </c>
      <c r="AQ1408" s="52" t="n">
        <v>0</v>
      </c>
      <c r="AR1408" s="52" t="n">
        <v>0</v>
      </c>
      <c r="AS1408" s="52" t="n">
        <v>0</v>
      </c>
      <c r="AT1408" s="52" t="n">
        <v>0</v>
      </c>
      <c r="AU1408" s="53" t="n">
        <v>0</v>
      </c>
      <c r="AV1408" s="53" t="n">
        <v>0</v>
      </c>
      <c r="AW1408" s="53" t="n">
        <v>0</v>
      </c>
      <c r="AX1408" s="53" t="n">
        <v>0</v>
      </c>
      <c r="AY1408" s="52" t="n">
        <v>0</v>
      </c>
      <c r="AZ1408" s="52" t="n">
        <v>0</v>
      </c>
      <c r="BA1408" s="52" t="n">
        <v>0</v>
      </c>
      <c r="BB1408" s="52" t="n">
        <v>0</v>
      </c>
      <c r="BC1408" s="51" t="n">
        <v>0</v>
      </c>
      <c r="BD1408" s="51" t="n">
        <v>0</v>
      </c>
      <c r="BE1408" s="51" t="n">
        <v>0</v>
      </c>
      <c r="BF1408" s="51" t="n">
        <v>0</v>
      </c>
    </row>
    <row r="1409">
      <c r="A1409">
        <f>HYPERLINK("https://www.walmart.com/ip/141341554", "141341554")</f>
        <v/>
      </c>
      <c r="B1409" t="inlineStr">
        <is>
          <t>KC Caps Warm Winter Hat Soft Solid Knit Beanie Acrylic Adult</t>
        </is>
      </c>
      <c r="C1409" t="inlineStr">
        <is>
          <t>KC-W1710-OR</t>
        </is>
      </c>
      <c r="D1409" t="inlineStr">
        <is>
          <t>Hats</t>
        </is>
      </c>
      <c r="E1409" t="inlineStr">
        <is>
          <t>KC Caps</t>
        </is>
      </c>
      <c r="F1409" t="inlineStr">
        <is>
          <t>Optimized</t>
        </is>
      </c>
      <c r="G1409" s="48" t="n">
        <v>0</v>
      </c>
      <c r="H1409" s="48" t="n">
        <v>0</v>
      </c>
      <c r="I1409" s="48" t="n">
        <v>0</v>
      </c>
      <c r="J1409" s="48" t="n">
        <v>0</v>
      </c>
      <c r="K1409" s="49" t="n">
        <v>0</v>
      </c>
      <c r="L1409" s="49" t="n">
        <v>0</v>
      </c>
      <c r="M1409" s="49" t="n">
        <v>0</v>
      </c>
      <c r="N1409" s="49" t="n">
        <v>0</v>
      </c>
      <c r="O1409" s="49" t="n">
        <v>0</v>
      </c>
      <c r="P1409" s="49" t="n">
        <v>0</v>
      </c>
      <c r="Q1409" s="49" t="n">
        <v>0</v>
      </c>
      <c r="R1409" s="49" t="n">
        <v>0</v>
      </c>
      <c r="S1409" s="50" t="n">
        <v>0</v>
      </c>
      <c r="T1409" s="50" t="n">
        <v>0</v>
      </c>
      <c r="U1409" s="50" t="n">
        <v>0</v>
      </c>
      <c r="V1409" s="50" t="n">
        <v>0</v>
      </c>
      <c r="W1409" s="51" t="n">
        <v>0</v>
      </c>
      <c r="X1409" s="51" t="n">
        <v>0</v>
      </c>
      <c r="Y1409" s="51" t="n">
        <v>0</v>
      </c>
      <c r="Z1409" s="51" t="n">
        <v>0</v>
      </c>
      <c r="AA1409" s="52" t="n">
        <v>0</v>
      </c>
      <c r="AB1409" s="52" t="n">
        <v>0</v>
      </c>
      <c r="AC1409" s="52" t="n">
        <v>0</v>
      </c>
      <c r="AD1409" s="52" t="n">
        <v>0</v>
      </c>
      <c r="AE1409" s="52" t="n">
        <v>0</v>
      </c>
      <c r="AF1409" s="52" t="n">
        <v>0</v>
      </c>
      <c r="AG1409" s="52" t="n">
        <v>0</v>
      </c>
      <c r="AH1409" s="52" t="n">
        <v>0</v>
      </c>
      <c r="AI1409" s="52" t="n">
        <v>0</v>
      </c>
      <c r="AJ1409" s="52" t="n">
        <v>0</v>
      </c>
      <c r="AK1409" s="52" t="n">
        <v>0</v>
      </c>
      <c r="AL1409" s="52" t="n">
        <v>0</v>
      </c>
      <c r="AM1409" s="53" t="n">
        <v>0</v>
      </c>
      <c r="AN1409" s="53" t="n">
        <v>0</v>
      </c>
      <c r="AO1409" s="53" t="n">
        <v>0</v>
      </c>
      <c r="AP1409" s="53" t="n">
        <v>0</v>
      </c>
      <c r="AQ1409" s="52" t="n">
        <v>0</v>
      </c>
      <c r="AR1409" s="52" t="n">
        <v>0</v>
      </c>
      <c r="AS1409" s="52" t="n">
        <v>0</v>
      </c>
      <c r="AT1409" s="52" t="n">
        <v>0</v>
      </c>
      <c r="AU1409" s="53" t="n">
        <v>0</v>
      </c>
      <c r="AV1409" s="53" t="n">
        <v>0</v>
      </c>
      <c r="AW1409" s="53" t="n">
        <v>0</v>
      </c>
      <c r="AX1409" s="53" t="n">
        <v>0</v>
      </c>
      <c r="AY1409" s="52" t="n">
        <v>0</v>
      </c>
      <c r="AZ1409" s="52" t="n">
        <v>0</v>
      </c>
      <c r="BA1409" s="52" t="n">
        <v>0</v>
      </c>
      <c r="BB1409" s="52" t="n">
        <v>0</v>
      </c>
      <c r="BC1409" s="51" t="n">
        <v>0</v>
      </c>
      <c r="BD1409" s="51" t="n">
        <v>0</v>
      </c>
      <c r="BE1409" s="51" t="n">
        <v>0</v>
      </c>
      <c r="BF1409" s="51" t="n">
        <v>0</v>
      </c>
    </row>
    <row r="1410">
      <c r="A1410">
        <f>HYPERLINK("https://www.walmart.com/ip/14143910129", "14143910129")</f>
        <v/>
      </c>
      <c r="B1410" t="inlineStr">
        <is>
          <t>Tirrinia 2 Bottle Wine Tote Carrier, Leakproof, Insulated and Padded Versatile Cooler Bag for Travel, BYOB Restaurant, Wine Tasting, Party, Wine Gifts Bag, Cork</t>
        </is>
      </c>
      <c r="C1410" t="inlineStr">
        <is>
          <t>1TRWB222BR</t>
        </is>
      </c>
      <c r="D1410" t="inlineStr">
        <is>
          <t>Wine Totes, Bags &amp; Backpacks</t>
        </is>
      </c>
      <c r="E1410" t="inlineStr">
        <is>
          <t>Tirrinia</t>
        </is>
      </c>
      <c r="G1410" s="48" t="n">
        <v>0</v>
      </c>
      <c r="H1410" s="48" t="n">
        <v>0</v>
      </c>
      <c r="I1410" s="48" t="n">
        <v>0</v>
      </c>
      <c r="J1410" s="48" t="n">
        <v>0</v>
      </c>
      <c r="K1410" s="49" t="n">
        <v>0</v>
      </c>
      <c r="L1410" s="49" t="n">
        <v>0</v>
      </c>
      <c r="M1410" s="49" t="n">
        <v>0</v>
      </c>
      <c r="N1410" s="49" t="n">
        <v>0</v>
      </c>
      <c r="O1410" s="49" t="n">
        <v>0</v>
      </c>
      <c r="P1410" s="49" t="n">
        <v>0</v>
      </c>
      <c r="Q1410" s="49" t="n">
        <v>0</v>
      </c>
      <c r="R1410" s="49" t="n">
        <v>0</v>
      </c>
      <c r="S1410" s="50" t="n">
        <v>0</v>
      </c>
      <c r="T1410" s="50" t="n">
        <v>0</v>
      </c>
      <c r="U1410" s="50" t="n">
        <v>0</v>
      </c>
      <c r="V1410" s="50" t="n">
        <v>0</v>
      </c>
      <c r="W1410" s="51" t="n">
        <v>0</v>
      </c>
      <c r="X1410" s="51" t="n">
        <v>0</v>
      </c>
      <c r="Y1410" s="51" t="n">
        <v>0</v>
      </c>
      <c r="Z1410" s="51" t="n">
        <v>0</v>
      </c>
      <c r="AA1410" s="52" t="n">
        <v>0</v>
      </c>
      <c r="AB1410" s="52" t="n">
        <v>0</v>
      </c>
      <c r="AC1410" s="52" t="n">
        <v>0</v>
      </c>
      <c r="AD1410" s="52" t="n">
        <v>0</v>
      </c>
      <c r="AE1410" s="52" t="n">
        <v>0</v>
      </c>
      <c r="AF1410" s="52" t="n">
        <v>0</v>
      </c>
      <c r="AG1410" s="52" t="n">
        <v>0</v>
      </c>
      <c r="AH1410" s="52" t="n">
        <v>0</v>
      </c>
      <c r="AI1410" s="52" t="n">
        <v>0</v>
      </c>
      <c r="AJ1410" s="52" t="n">
        <v>0</v>
      </c>
      <c r="AK1410" s="52" t="n">
        <v>0</v>
      </c>
      <c r="AL1410" s="52" t="n">
        <v>0</v>
      </c>
      <c r="AM1410" s="53" t="n">
        <v>0</v>
      </c>
      <c r="AN1410" s="53" t="n">
        <v>0</v>
      </c>
      <c r="AO1410" s="53" t="n">
        <v>0</v>
      </c>
      <c r="AP1410" s="53" t="n">
        <v>0</v>
      </c>
      <c r="AQ1410" s="52" t="n">
        <v>0</v>
      </c>
      <c r="AR1410" s="52" t="n">
        <v>0</v>
      </c>
      <c r="AS1410" s="52" t="n">
        <v>0</v>
      </c>
      <c r="AT1410" s="52" t="n">
        <v>0</v>
      </c>
      <c r="AU1410" s="53" t="n">
        <v>0</v>
      </c>
      <c r="AV1410" s="53" t="n">
        <v>0</v>
      </c>
      <c r="AW1410" s="53" t="n">
        <v>0</v>
      </c>
      <c r="AX1410" s="53" t="n">
        <v>0</v>
      </c>
      <c r="AY1410" s="52" t="n">
        <v>0</v>
      </c>
      <c r="AZ1410" s="52" t="n">
        <v>0</v>
      </c>
      <c r="BA1410" s="52" t="n">
        <v>0</v>
      </c>
      <c r="BB1410" s="52" t="n">
        <v>0</v>
      </c>
      <c r="BC1410" s="51" t="n">
        <v>0</v>
      </c>
      <c r="BD1410" s="51" t="n">
        <v>0</v>
      </c>
      <c r="BE1410" s="51" t="n">
        <v>0</v>
      </c>
      <c r="BF1410" s="51" t="n">
        <v>0</v>
      </c>
    </row>
    <row r="1411">
      <c r="A1411">
        <f>HYPERLINK("https://www.walmart.com/ip/141549630", "141549630")</f>
        <v/>
      </c>
      <c r="B1411" t="inlineStr">
        <is>
          <t>Tirrinia Leakproof Thermal Bento Lunch Bag For Women, Men And Kids, Heat-welded Technology, 20 Cans Capacity, Purple, 10L</t>
        </is>
      </c>
      <c r="C1411" t="inlineStr">
        <is>
          <t>1TRLB702PP-T</t>
        </is>
      </c>
      <c r="D1411" t="inlineStr">
        <is>
          <t>Reusable Lunch Bags &amp; Boxes</t>
        </is>
      </c>
      <c r="E1411" t="inlineStr">
        <is>
          <t>Tirrinia</t>
        </is>
      </c>
      <c r="F1411" t="inlineStr">
        <is>
          <t>Q2-Target,Brand Camp VD,Lunch Bag,Lunch Bags,SEM</t>
        </is>
      </c>
      <c r="G1411" s="48" t="n">
        <v>0</v>
      </c>
      <c r="H1411" s="48" t="n">
        <v>0</v>
      </c>
      <c r="I1411" s="48" t="n">
        <v>0</v>
      </c>
      <c r="J1411" s="48" t="n">
        <v>0</v>
      </c>
      <c r="K1411" s="49" t="n">
        <v>0</v>
      </c>
      <c r="L1411" s="49" t="n">
        <v>0</v>
      </c>
      <c r="M1411" s="49" t="n">
        <v>0</v>
      </c>
      <c r="N1411" s="49" t="n">
        <v>0</v>
      </c>
      <c r="O1411" s="49" t="n">
        <v>0</v>
      </c>
      <c r="P1411" s="49" t="n">
        <v>0</v>
      </c>
      <c r="Q1411" s="49" t="n">
        <v>0</v>
      </c>
      <c r="R1411" s="49" t="n">
        <v>0</v>
      </c>
      <c r="S1411" s="50" t="n">
        <v>0</v>
      </c>
      <c r="T1411" s="50" t="n">
        <v>0</v>
      </c>
      <c r="U1411" s="50" t="n">
        <v>0</v>
      </c>
      <c r="V1411" s="50" t="n">
        <v>0</v>
      </c>
      <c r="W1411" s="51" t="n">
        <v>0</v>
      </c>
      <c r="X1411" s="51" t="n">
        <v>0</v>
      </c>
      <c r="Y1411" s="51" t="n">
        <v>0</v>
      </c>
      <c r="Z1411" s="51" t="n">
        <v>0</v>
      </c>
      <c r="AA1411" s="52" t="n">
        <v>0</v>
      </c>
      <c r="AB1411" s="52" t="n">
        <v>0</v>
      </c>
      <c r="AC1411" s="52" t="n">
        <v>0</v>
      </c>
      <c r="AD1411" s="52" t="n">
        <v>0</v>
      </c>
      <c r="AE1411" s="52" t="n">
        <v>0</v>
      </c>
      <c r="AF1411" s="52" t="n">
        <v>0</v>
      </c>
      <c r="AG1411" s="52" t="n">
        <v>0</v>
      </c>
      <c r="AH1411" s="52" t="n">
        <v>0</v>
      </c>
      <c r="AI1411" s="52" t="n">
        <v>0</v>
      </c>
      <c r="AJ1411" s="52" t="n">
        <v>0</v>
      </c>
      <c r="AK1411" s="52" t="n">
        <v>0</v>
      </c>
      <c r="AL1411" s="52" t="n">
        <v>0</v>
      </c>
      <c r="AM1411" s="53" t="n">
        <v>0</v>
      </c>
      <c r="AN1411" s="53" t="n">
        <v>0</v>
      </c>
      <c r="AO1411" s="53" t="n">
        <v>0</v>
      </c>
      <c r="AP1411" s="53" t="n">
        <v>0</v>
      </c>
      <c r="AQ1411" s="52" t="n">
        <v>0</v>
      </c>
      <c r="AR1411" s="52" t="n">
        <v>0</v>
      </c>
      <c r="AS1411" s="52" t="n">
        <v>0</v>
      </c>
      <c r="AT1411" s="52" t="n">
        <v>0</v>
      </c>
      <c r="AU1411" s="53" t="n">
        <v>0</v>
      </c>
      <c r="AV1411" s="53" t="n">
        <v>0</v>
      </c>
      <c r="AW1411" s="53" t="n">
        <v>0</v>
      </c>
      <c r="AX1411" s="53" t="n">
        <v>0</v>
      </c>
      <c r="AY1411" s="52" t="n">
        <v>0</v>
      </c>
      <c r="AZ1411" s="52" t="n">
        <v>0</v>
      </c>
      <c r="BA1411" s="52" t="n">
        <v>0</v>
      </c>
      <c r="BB1411" s="52" t="n">
        <v>0</v>
      </c>
      <c r="BC1411" s="51" t="n">
        <v>0</v>
      </c>
      <c r="BD1411" s="51" t="n">
        <v>0</v>
      </c>
      <c r="BE1411" s="51" t="n">
        <v>0</v>
      </c>
      <c r="BF1411" s="51" t="n">
        <v>0</v>
      </c>
    </row>
    <row r="1412">
      <c r="A1412">
        <f>HYPERLINK("https://www.walmart.com/ip/141628269", "141628269")</f>
        <v/>
      </c>
      <c r="B1412" t="inlineStr">
        <is>
          <t>KC Caps® Camouflage Adjustable Hunting Cap Hiking Jungle Mossy Oak Realtree Hat</t>
        </is>
      </c>
      <c r="C1412" t="inlineStr">
        <is>
          <t>KC Caps HT03</t>
        </is>
      </c>
      <c r="D1412" t="inlineStr">
        <is>
          <t>Hats</t>
        </is>
      </c>
      <c r="E1412" t="inlineStr">
        <is>
          <t>KC Caps</t>
        </is>
      </c>
      <c r="F1412" t="inlineStr">
        <is>
          <t>Optimized</t>
        </is>
      </c>
      <c r="G1412" s="48" t="n">
        <v>0</v>
      </c>
      <c r="H1412" s="48" t="n">
        <v>0</v>
      </c>
      <c r="I1412" s="48" t="n">
        <v>0</v>
      </c>
      <c r="J1412" s="48" t="n">
        <v>0</v>
      </c>
      <c r="K1412" s="49" t="n">
        <v>0</v>
      </c>
      <c r="L1412" s="49" t="n">
        <v>0</v>
      </c>
      <c r="M1412" s="49" t="n">
        <v>0</v>
      </c>
      <c r="N1412" s="49" t="n">
        <v>0</v>
      </c>
      <c r="O1412" s="49" t="n">
        <v>0</v>
      </c>
      <c r="P1412" s="49" t="n">
        <v>0</v>
      </c>
      <c r="Q1412" s="49" t="n">
        <v>0</v>
      </c>
      <c r="R1412" s="49" t="n">
        <v>0</v>
      </c>
      <c r="S1412" s="50" t="n">
        <v>0</v>
      </c>
      <c r="T1412" s="50" t="n">
        <v>0</v>
      </c>
      <c r="U1412" s="50" t="n">
        <v>0</v>
      </c>
      <c r="V1412" s="50" t="n">
        <v>0</v>
      </c>
      <c r="W1412" s="51" t="n">
        <v>0</v>
      </c>
      <c r="X1412" s="51" t="n">
        <v>0</v>
      </c>
      <c r="Y1412" s="51" t="n">
        <v>0</v>
      </c>
      <c r="Z1412" s="51" t="n">
        <v>0</v>
      </c>
      <c r="AA1412" s="52" t="n">
        <v>0</v>
      </c>
      <c r="AB1412" s="52" t="n">
        <v>0</v>
      </c>
      <c r="AC1412" s="52" t="n">
        <v>0</v>
      </c>
      <c r="AD1412" s="52" t="n">
        <v>0</v>
      </c>
      <c r="AE1412" s="52" t="n">
        <v>0</v>
      </c>
      <c r="AF1412" s="52" t="n">
        <v>0</v>
      </c>
      <c r="AG1412" s="52" t="n">
        <v>0</v>
      </c>
      <c r="AH1412" s="52" t="n">
        <v>0</v>
      </c>
      <c r="AI1412" s="52" t="n">
        <v>0</v>
      </c>
      <c r="AJ1412" s="52" t="n">
        <v>0</v>
      </c>
      <c r="AK1412" s="52" t="n">
        <v>0</v>
      </c>
      <c r="AL1412" s="52" t="n">
        <v>0</v>
      </c>
      <c r="AM1412" s="53" t="n">
        <v>0</v>
      </c>
      <c r="AN1412" s="53" t="n">
        <v>0</v>
      </c>
      <c r="AO1412" s="53" t="n">
        <v>0</v>
      </c>
      <c r="AP1412" s="53" t="n">
        <v>0</v>
      </c>
      <c r="AQ1412" s="52" t="n">
        <v>0</v>
      </c>
      <c r="AR1412" s="52" t="n">
        <v>0</v>
      </c>
      <c r="AS1412" s="52" t="n">
        <v>0</v>
      </c>
      <c r="AT1412" s="52" t="n">
        <v>0</v>
      </c>
      <c r="AU1412" s="53" t="n">
        <v>0</v>
      </c>
      <c r="AV1412" s="53" t="n">
        <v>0</v>
      </c>
      <c r="AW1412" s="53" t="n">
        <v>0</v>
      </c>
      <c r="AX1412" s="53" t="n">
        <v>0</v>
      </c>
      <c r="AY1412" s="52" t="n">
        <v>0</v>
      </c>
      <c r="AZ1412" s="52" t="n">
        <v>0</v>
      </c>
      <c r="BA1412" s="52" t="n">
        <v>0</v>
      </c>
      <c r="BB1412" s="52" t="n">
        <v>0</v>
      </c>
      <c r="BC1412" s="51" t="n">
        <v>0</v>
      </c>
      <c r="BD1412" s="51" t="n">
        <v>0</v>
      </c>
      <c r="BE1412" s="51" t="n">
        <v>0</v>
      </c>
      <c r="BF1412" s="51" t="n">
        <v>0</v>
      </c>
    </row>
    <row r="1413">
      <c r="A1413">
        <f>HYPERLINK("https://www.walmart.com/ip/1419081868", "1419081868")</f>
        <v/>
      </c>
      <c r="B1413" t="inlineStr">
        <is>
          <t>Catalonia Reversible Soft Breathable Summer Comforter,Unisex Lightweight Cooling Blanket for Hot Sleepers, Summer Duvet for Bed Sofa Office, 50x60 inches, Aqua</t>
        </is>
      </c>
      <c r="C1413" t="inlineStr">
        <is>
          <t>1CTBQ100AQ</t>
        </is>
      </c>
      <c r="D1413" t="inlineStr">
        <is>
          <t>Bed Blankets</t>
        </is>
      </c>
      <c r="E1413" t="inlineStr">
        <is>
          <t>Catalonia</t>
        </is>
      </c>
      <c r="F1413" t="inlineStr">
        <is>
          <t>Batch 1 - TR</t>
        </is>
      </c>
      <c r="G1413" s="48" t="n">
        <v>0</v>
      </c>
      <c r="H1413" s="48" t="n">
        <v>0</v>
      </c>
      <c r="I1413" s="48" t="n">
        <v>0</v>
      </c>
      <c r="J1413" s="48" t="n">
        <v>0</v>
      </c>
      <c r="K1413" s="49" t="n">
        <v>0</v>
      </c>
      <c r="L1413" s="49" t="n">
        <v>0</v>
      </c>
      <c r="M1413" s="49" t="n">
        <v>0</v>
      </c>
      <c r="N1413" s="49" t="n">
        <v>0</v>
      </c>
      <c r="O1413" s="49" t="n">
        <v>0</v>
      </c>
      <c r="P1413" s="49" t="n">
        <v>0</v>
      </c>
      <c r="Q1413" s="49" t="n">
        <v>0</v>
      </c>
      <c r="R1413" s="49" t="n">
        <v>0</v>
      </c>
      <c r="S1413" s="50" t="n">
        <v>0</v>
      </c>
      <c r="T1413" s="50" t="n">
        <v>0</v>
      </c>
      <c r="U1413" s="50" t="n">
        <v>0</v>
      </c>
      <c r="V1413" s="50" t="n">
        <v>0</v>
      </c>
      <c r="W1413" s="51" t="n">
        <v>0</v>
      </c>
      <c r="X1413" s="51" t="n">
        <v>0</v>
      </c>
      <c r="Y1413" s="51" t="n">
        <v>0</v>
      </c>
      <c r="Z1413" s="51" t="n">
        <v>0</v>
      </c>
      <c r="AA1413" s="52" t="n">
        <v>0</v>
      </c>
      <c r="AB1413" s="52" t="n">
        <v>0</v>
      </c>
      <c r="AC1413" s="52" t="n">
        <v>0</v>
      </c>
      <c r="AD1413" s="52" t="n">
        <v>0</v>
      </c>
      <c r="AE1413" s="52" t="n">
        <v>0</v>
      </c>
      <c r="AF1413" s="52" t="n">
        <v>0</v>
      </c>
      <c r="AG1413" s="52" t="n">
        <v>0</v>
      </c>
      <c r="AH1413" s="52" t="n">
        <v>0</v>
      </c>
      <c r="AI1413" s="52" t="n">
        <v>0</v>
      </c>
      <c r="AJ1413" s="52" t="n">
        <v>0</v>
      </c>
      <c r="AK1413" s="52" t="n">
        <v>0</v>
      </c>
      <c r="AL1413" s="52" t="n">
        <v>0</v>
      </c>
      <c r="AM1413" s="53" t="n">
        <v>0</v>
      </c>
      <c r="AN1413" s="53" t="n">
        <v>0</v>
      </c>
      <c r="AO1413" s="53" t="n">
        <v>0</v>
      </c>
      <c r="AP1413" s="53" t="n">
        <v>0</v>
      </c>
      <c r="AQ1413" s="52" t="n">
        <v>0</v>
      </c>
      <c r="AR1413" s="52" t="n">
        <v>0</v>
      </c>
      <c r="AS1413" s="52" t="n">
        <v>0</v>
      </c>
      <c r="AT1413" s="52" t="n">
        <v>0</v>
      </c>
      <c r="AU1413" s="53" t="n">
        <v>0</v>
      </c>
      <c r="AV1413" s="53" t="n">
        <v>0</v>
      </c>
      <c r="AW1413" s="53" t="n">
        <v>0</v>
      </c>
      <c r="AX1413" s="53" t="n">
        <v>0</v>
      </c>
      <c r="AY1413" s="52" t="n">
        <v>0</v>
      </c>
      <c r="AZ1413" s="52" t="n">
        <v>0</v>
      </c>
      <c r="BA1413" s="52" t="n">
        <v>0</v>
      </c>
      <c r="BB1413" s="52" t="n">
        <v>0</v>
      </c>
      <c r="BC1413" s="51" t="n">
        <v>0</v>
      </c>
      <c r="BD1413" s="51" t="n">
        <v>0</v>
      </c>
      <c r="BE1413" s="51" t="n">
        <v>0</v>
      </c>
      <c r="BF1413" s="51" t="n">
        <v>0</v>
      </c>
    </row>
    <row r="1414">
      <c r="A1414">
        <f>HYPERLINK("https://www.walmart.com/ip/141921360", "141921360")</f>
        <v/>
      </c>
      <c r="B1414" t="inlineStr">
        <is>
          <t>Napa Super Soft Warm Micro Plush TV Blanket with Sleeves for Women and Men, Fleece Sherpa Cozy Wrap Warm Wearable Throw Robe 72" x 50" - Brown</t>
        </is>
      </c>
      <c r="C1414" t="inlineStr">
        <is>
          <t>K3080BROWN</t>
        </is>
      </c>
      <c r="D1414" t="inlineStr">
        <is>
          <t>Throws</t>
        </is>
      </c>
      <c r="E1414" t="inlineStr">
        <is>
          <t>NAPA</t>
        </is>
      </c>
      <c r="F1414" t="inlineStr">
        <is>
          <t>Batch 1 - TR</t>
        </is>
      </c>
      <c r="G1414" s="48" t="n">
        <v>0</v>
      </c>
      <c r="H1414" s="48" t="n">
        <v>0</v>
      </c>
      <c r="I1414" s="48" t="n">
        <v>0</v>
      </c>
      <c r="J1414" s="48" t="n">
        <v>0</v>
      </c>
      <c r="K1414" s="49" t="n">
        <v>0</v>
      </c>
      <c r="L1414" s="49" t="n">
        <v>0</v>
      </c>
      <c r="M1414" s="49" t="n">
        <v>0</v>
      </c>
      <c r="N1414" s="49" t="n">
        <v>0</v>
      </c>
      <c r="O1414" s="49" t="n">
        <v>0</v>
      </c>
      <c r="P1414" s="49" t="n">
        <v>0</v>
      </c>
      <c r="Q1414" s="49" t="n">
        <v>0</v>
      </c>
      <c r="R1414" s="49" t="n">
        <v>0</v>
      </c>
      <c r="S1414" s="50" t="n">
        <v>0</v>
      </c>
      <c r="T1414" s="50" t="n">
        <v>0</v>
      </c>
      <c r="U1414" s="50" t="n">
        <v>0</v>
      </c>
      <c r="V1414" s="50" t="n">
        <v>0</v>
      </c>
      <c r="W1414" s="51" t="n">
        <v>0</v>
      </c>
      <c r="X1414" s="51" t="n">
        <v>0</v>
      </c>
      <c r="Y1414" s="51" t="n">
        <v>0</v>
      </c>
      <c r="Z1414" s="51" t="n">
        <v>0</v>
      </c>
      <c r="AA1414" s="52" t="n">
        <v>0</v>
      </c>
      <c r="AB1414" s="52" t="n">
        <v>0</v>
      </c>
      <c r="AC1414" s="52" t="n">
        <v>0</v>
      </c>
      <c r="AD1414" s="52" t="n">
        <v>0</v>
      </c>
      <c r="AE1414" s="52" t="n">
        <v>0</v>
      </c>
      <c r="AF1414" s="52" t="n">
        <v>0</v>
      </c>
      <c r="AG1414" s="52" t="n">
        <v>0</v>
      </c>
      <c r="AH1414" s="52" t="n">
        <v>0</v>
      </c>
      <c r="AI1414" s="52" t="n">
        <v>0</v>
      </c>
      <c r="AJ1414" s="52" t="n">
        <v>0</v>
      </c>
      <c r="AK1414" s="52" t="n">
        <v>0</v>
      </c>
      <c r="AL1414" s="52" t="n">
        <v>0</v>
      </c>
      <c r="AM1414" s="53" t="n">
        <v>0</v>
      </c>
      <c r="AN1414" s="53" t="n">
        <v>0</v>
      </c>
      <c r="AO1414" s="53" t="n">
        <v>0</v>
      </c>
      <c r="AP1414" s="53" t="n">
        <v>0</v>
      </c>
      <c r="AQ1414" s="52" t="n">
        <v>0</v>
      </c>
      <c r="AR1414" s="52" t="n">
        <v>0</v>
      </c>
      <c r="AS1414" s="52" t="n">
        <v>0</v>
      </c>
      <c r="AT1414" s="52" t="n">
        <v>0</v>
      </c>
      <c r="AU1414" s="53" t="n">
        <v>0</v>
      </c>
      <c r="AV1414" s="53" t="n">
        <v>0</v>
      </c>
      <c r="AW1414" s="53" t="n">
        <v>0</v>
      </c>
      <c r="AX1414" s="53" t="n">
        <v>0</v>
      </c>
      <c r="AY1414" s="52" t="n">
        <v>0</v>
      </c>
      <c r="AZ1414" s="52" t="n">
        <v>0</v>
      </c>
      <c r="BA1414" s="52" t="n">
        <v>0</v>
      </c>
      <c r="BB1414" s="52" t="n">
        <v>0</v>
      </c>
      <c r="BC1414" s="51" t="n">
        <v>0</v>
      </c>
      <c r="BD1414" s="51" t="n">
        <v>0</v>
      </c>
      <c r="BE1414" s="51" t="n">
        <v>0</v>
      </c>
      <c r="BF1414" s="51" t="n">
        <v>0</v>
      </c>
    </row>
    <row r="1415">
      <c r="A1415">
        <f>HYPERLINK("https://www.walmart.com/ip/1419593821", "1419593821")</f>
        <v/>
      </c>
      <c r="B1415" t="inlineStr">
        <is>
          <t>Every Day is Christmas Glass Blown Ornaments 2022 Cute Hand Made Figurines Tree Decoration - 12.7cm glass wrench and vice and hammer and screwdriver ornament</t>
        </is>
      </c>
      <c r="C1415" t="inlineStr">
        <is>
          <t>EDC-FIGURINE-SCHOOLBUS</t>
        </is>
      </c>
      <c r="D1415" t="inlineStr">
        <is>
          <t>Ornaments</t>
        </is>
      </c>
      <c r="E1415" t="inlineStr">
        <is>
          <t>Every Day is Christmas</t>
        </is>
      </c>
      <c r="G1415" s="48" t="n">
        <v>0</v>
      </c>
      <c r="H1415" s="48" t="n">
        <v>0</v>
      </c>
      <c r="I1415" s="48" t="n">
        <v>0</v>
      </c>
      <c r="J1415" s="48" t="n">
        <v>0</v>
      </c>
      <c r="K1415" s="49" t="n">
        <v>0</v>
      </c>
      <c r="L1415" s="49" t="n">
        <v>0</v>
      </c>
      <c r="M1415" s="49" t="n">
        <v>0</v>
      </c>
      <c r="N1415" s="49" t="n">
        <v>0</v>
      </c>
      <c r="O1415" s="49" t="n">
        <v>0</v>
      </c>
      <c r="P1415" s="49" t="n">
        <v>0</v>
      </c>
      <c r="Q1415" s="49" t="n">
        <v>0</v>
      </c>
      <c r="R1415" s="49" t="n">
        <v>0</v>
      </c>
      <c r="S1415" s="50" t="n">
        <v>0</v>
      </c>
      <c r="T1415" s="50" t="n">
        <v>0</v>
      </c>
      <c r="U1415" s="50" t="n">
        <v>0</v>
      </c>
      <c r="V1415" s="50" t="n">
        <v>0</v>
      </c>
      <c r="W1415" s="51" t="n">
        <v>0</v>
      </c>
      <c r="X1415" s="51" t="n">
        <v>0</v>
      </c>
      <c r="Y1415" s="51" t="n">
        <v>0</v>
      </c>
      <c r="Z1415" s="51" t="n">
        <v>0</v>
      </c>
      <c r="AA1415" s="52" t="n">
        <v>0</v>
      </c>
      <c r="AB1415" s="52" t="n">
        <v>0</v>
      </c>
      <c r="AC1415" s="52" t="n">
        <v>0</v>
      </c>
      <c r="AD1415" s="52" t="n">
        <v>0</v>
      </c>
      <c r="AE1415" s="52" t="n">
        <v>0</v>
      </c>
      <c r="AF1415" s="52" t="n">
        <v>0</v>
      </c>
      <c r="AG1415" s="52" t="n">
        <v>0</v>
      </c>
      <c r="AH1415" s="52" t="n">
        <v>0</v>
      </c>
      <c r="AI1415" s="52" t="n">
        <v>0</v>
      </c>
      <c r="AJ1415" s="52" t="n">
        <v>0</v>
      </c>
      <c r="AK1415" s="52" t="n">
        <v>0</v>
      </c>
      <c r="AL1415" s="52" t="n">
        <v>0</v>
      </c>
      <c r="AM1415" s="53" t="n">
        <v>0</v>
      </c>
      <c r="AN1415" s="53" t="n">
        <v>0</v>
      </c>
      <c r="AO1415" s="53" t="n">
        <v>0</v>
      </c>
      <c r="AP1415" s="53" t="n">
        <v>0</v>
      </c>
      <c r="AQ1415" s="52" t="n">
        <v>0</v>
      </c>
      <c r="AR1415" s="52" t="n">
        <v>0</v>
      </c>
      <c r="AS1415" s="52" t="n">
        <v>0</v>
      </c>
      <c r="AT1415" s="52" t="n">
        <v>0</v>
      </c>
      <c r="AU1415" s="53" t="n">
        <v>0</v>
      </c>
      <c r="AV1415" s="53" t="n">
        <v>0</v>
      </c>
      <c r="AW1415" s="53" t="n">
        <v>0</v>
      </c>
      <c r="AX1415" s="53" t="n">
        <v>0</v>
      </c>
      <c r="AY1415" s="52" t="n">
        <v>0</v>
      </c>
      <c r="AZ1415" s="52" t="n">
        <v>0</v>
      </c>
      <c r="BA1415" s="52" t="n">
        <v>0</v>
      </c>
      <c r="BB1415" s="52" t="n">
        <v>0</v>
      </c>
      <c r="BC1415" s="51" t="n">
        <v>0</v>
      </c>
      <c r="BD1415" s="51" t="n">
        <v>0</v>
      </c>
      <c r="BE1415" s="51" t="n">
        <v>0</v>
      </c>
      <c r="BF1415" s="51" t="n">
        <v>0</v>
      </c>
    </row>
    <row r="1416">
      <c r="A1416">
        <f>HYPERLINK("https://www.walmart.com/ip/142062899", "142062899")</f>
        <v/>
      </c>
      <c r="B1416" t="inlineStr">
        <is>
          <t>KC Caps Thick Weave Waffle Knit Beanie</t>
        </is>
      </c>
      <c r="C1416" t="inlineStr">
        <is>
          <t>KCW1600ROY</t>
        </is>
      </c>
      <c r="D1416" t="inlineStr">
        <is>
          <t>Hats</t>
        </is>
      </c>
      <c r="E1416" t="inlineStr">
        <is>
          <t>KC Caps</t>
        </is>
      </c>
      <c r="F1416" t="inlineStr">
        <is>
          <t>Optimized</t>
        </is>
      </c>
      <c r="G1416" s="48" t="n">
        <v>0</v>
      </c>
      <c r="H1416" s="48" t="n">
        <v>0</v>
      </c>
      <c r="I1416" s="48" t="n">
        <v>0</v>
      </c>
      <c r="J1416" s="48" t="n">
        <v>0</v>
      </c>
      <c r="K1416" s="49" t="n">
        <v>0</v>
      </c>
      <c r="L1416" s="49" t="n">
        <v>0</v>
      </c>
      <c r="M1416" s="49" t="n">
        <v>0</v>
      </c>
      <c r="N1416" s="49" t="n">
        <v>0</v>
      </c>
      <c r="O1416" s="49" t="n">
        <v>0</v>
      </c>
      <c r="P1416" s="49" t="n">
        <v>0</v>
      </c>
      <c r="Q1416" s="49" t="n">
        <v>0</v>
      </c>
      <c r="R1416" s="49" t="n">
        <v>0</v>
      </c>
      <c r="S1416" s="50" t="n">
        <v>0</v>
      </c>
      <c r="T1416" s="50" t="n">
        <v>0</v>
      </c>
      <c r="U1416" s="50" t="n">
        <v>0</v>
      </c>
      <c r="V1416" s="50" t="n">
        <v>0</v>
      </c>
      <c r="W1416" s="51" t="n">
        <v>0</v>
      </c>
      <c r="X1416" s="51" t="n">
        <v>0</v>
      </c>
      <c r="Y1416" s="51" t="n">
        <v>0</v>
      </c>
      <c r="Z1416" s="51" t="n">
        <v>0</v>
      </c>
      <c r="AA1416" s="52" t="n">
        <v>0</v>
      </c>
      <c r="AB1416" s="52" t="n">
        <v>0</v>
      </c>
      <c r="AC1416" s="52" t="n">
        <v>0</v>
      </c>
      <c r="AD1416" s="52" t="n">
        <v>0</v>
      </c>
      <c r="AE1416" s="52" t="n">
        <v>0</v>
      </c>
      <c r="AF1416" s="52" t="n">
        <v>0</v>
      </c>
      <c r="AG1416" s="52" t="n">
        <v>0</v>
      </c>
      <c r="AH1416" s="52" t="n">
        <v>0</v>
      </c>
      <c r="AI1416" s="52" t="n">
        <v>0</v>
      </c>
      <c r="AJ1416" s="52" t="n">
        <v>0</v>
      </c>
      <c r="AK1416" s="52" t="n">
        <v>0</v>
      </c>
      <c r="AL1416" s="52" t="n">
        <v>0</v>
      </c>
      <c r="AM1416" s="53" t="n">
        <v>0</v>
      </c>
      <c r="AN1416" s="53" t="n">
        <v>0</v>
      </c>
      <c r="AO1416" s="53" t="n">
        <v>0</v>
      </c>
      <c r="AP1416" s="53" t="n">
        <v>0</v>
      </c>
      <c r="AQ1416" s="52" t="n">
        <v>0</v>
      </c>
      <c r="AR1416" s="52" t="n">
        <v>0</v>
      </c>
      <c r="AS1416" s="52" t="n">
        <v>0</v>
      </c>
      <c r="AT1416" s="52" t="n">
        <v>0</v>
      </c>
      <c r="AU1416" s="53" t="n">
        <v>0</v>
      </c>
      <c r="AV1416" s="53" t="n">
        <v>0</v>
      </c>
      <c r="AW1416" s="53" t="n">
        <v>0</v>
      </c>
      <c r="AX1416" s="53" t="n">
        <v>0</v>
      </c>
      <c r="AY1416" s="52" t="n">
        <v>0</v>
      </c>
      <c r="AZ1416" s="52" t="n">
        <v>0</v>
      </c>
      <c r="BA1416" s="52" t="n">
        <v>0</v>
      </c>
      <c r="BB1416" s="52" t="n">
        <v>0</v>
      </c>
      <c r="BC1416" s="51" t="n">
        <v>0</v>
      </c>
      <c r="BD1416" s="51" t="n">
        <v>0</v>
      </c>
      <c r="BE1416" s="51" t="n">
        <v>0</v>
      </c>
      <c r="BF1416" s="51" t="n">
        <v>0</v>
      </c>
    </row>
    <row r="1417">
      <c r="A1417">
        <f>HYPERLINK("https://www.walmart.com/ip/142323341", "142323341")</f>
        <v/>
      </c>
      <c r="B1417" t="inlineStr">
        <is>
          <t>Terra Faux Fur Pom Pom Beanie Hat Thick Slouchy Cable Knit Unisex Stretches to Fit Most</t>
        </is>
      </c>
      <c r="C1417" t="inlineStr">
        <is>
          <t>TERRAPPH02PK</t>
        </is>
      </c>
      <c r="D1417" t="inlineStr">
        <is>
          <t>Hats</t>
        </is>
      </c>
      <c r="E1417" t="inlineStr">
        <is>
          <t>Terra</t>
        </is>
      </c>
      <c r="F1417" t="inlineStr">
        <is>
          <t>Optimized</t>
        </is>
      </c>
      <c r="G1417" s="48" t="n">
        <v>0</v>
      </c>
      <c r="H1417" s="48" t="n">
        <v>0</v>
      </c>
      <c r="I1417" s="48" t="n">
        <v>0</v>
      </c>
      <c r="J1417" s="48" t="n">
        <v>0</v>
      </c>
      <c r="K1417" s="49" t="n">
        <v>0</v>
      </c>
      <c r="L1417" s="49" t="n">
        <v>0</v>
      </c>
      <c r="M1417" s="49" t="n">
        <v>0</v>
      </c>
      <c r="N1417" s="49" t="n">
        <v>0</v>
      </c>
      <c r="O1417" s="49" t="n">
        <v>0</v>
      </c>
      <c r="P1417" s="49" t="n">
        <v>0</v>
      </c>
      <c r="Q1417" s="49" t="n">
        <v>0</v>
      </c>
      <c r="R1417" s="49" t="n">
        <v>0</v>
      </c>
      <c r="S1417" s="50" t="n">
        <v>0</v>
      </c>
      <c r="T1417" s="50" t="n">
        <v>0</v>
      </c>
      <c r="U1417" s="50" t="n">
        <v>0</v>
      </c>
      <c r="V1417" s="50" t="n">
        <v>0</v>
      </c>
      <c r="W1417" s="51" t="n">
        <v>0</v>
      </c>
      <c r="X1417" s="51" t="n">
        <v>0</v>
      </c>
      <c r="Y1417" s="51" t="n">
        <v>0</v>
      </c>
      <c r="Z1417" s="51" t="n">
        <v>0</v>
      </c>
      <c r="AA1417" s="52" t="n">
        <v>0</v>
      </c>
      <c r="AB1417" s="52" t="n">
        <v>0</v>
      </c>
      <c r="AC1417" s="52" t="n">
        <v>0</v>
      </c>
      <c r="AD1417" s="52" t="n">
        <v>0</v>
      </c>
      <c r="AE1417" s="52" t="n">
        <v>0</v>
      </c>
      <c r="AF1417" s="52" t="n">
        <v>0</v>
      </c>
      <c r="AG1417" s="52" t="n">
        <v>0</v>
      </c>
      <c r="AH1417" s="52" t="n">
        <v>0</v>
      </c>
      <c r="AI1417" s="52" t="n">
        <v>0</v>
      </c>
      <c r="AJ1417" s="52" t="n">
        <v>0</v>
      </c>
      <c r="AK1417" s="52" t="n">
        <v>0</v>
      </c>
      <c r="AL1417" s="52" t="n">
        <v>0</v>
      </c>
      <c r="AM1417" s="53" t="n">
        <v>0</v>
      </c>
      <c r="AN1417" s="53" t="n">
        <v>0</v>
      </c>
      <c r="AO1417" s="53" t="n">
        <v>0</v>
      </c>
      <c r="AP1417" s="53" t="n">
        <v>0</v>
      </c>
      <c r="AQ1417" s="52" t="n">
        <v>0</v>
      </c>
      <c r="AR1417" s="52" t="n">
        <v>0</v>
      </c>
      <c r="AS1417" s="52" t="n">
        <v>0</v>
      </c>
      <c r="AT1417" s="52" t="n">
        <v>0</v>
      </c>
      <c r="AU1417" s="53" t="n">
        <v>0</v>
      </c>
      <c r="AV1417" s="53" t="n">
        <v>0</v>
      </c>
      <c r="AW1417" s="53" t="n">
        <v>0</v>
      </c>
      <c r="AX1417" s="53" t="n">
        <v>0</v>
      </c>
      <c r="AY1417" s="52" t="n">
        <v>0</v>
      </c>
      <c r="AZ1417" s="52" t="n">
        <v>0</v>
      </c>
      <c r="BA1417" s="52" t="n">
        <v>0</v>
      </c>
      <c r="BB1417" s="52" t="n">
        <v>0</v>
      </c>
      <c r="BC1417" s="51" t="n">
        <v>0</v>
      </c>
      <c r="BD1417" s="51" t="n">
        <v>0</v>
      </c>
      <c r="BE1417" s="51" t="n">
        <v>0</v>
      </c>
      <c r="BF1417" s="51" t="n">
        <v>0</v>
      </c>
    </row>
    <row r="1418">
      <c r="A1418">
        <f>HYPERLINK("https://www.walmart.com/ip/14464804270", "14464804270")</f>
        <v/>
      </c>
      <c r="B1418" t="inlineStr">
        <is>
          <t>PEANUTS Snoopy 100% Cotton Family Matching Pajamas Holiday 2-Piece Sets for Christmas with Woodstock Charlie Brown Linus for Baby (Black Plaid, 12M)</t>
        </is>
      </c>
      <c r="C1418" t="inlineStr">
        <is>
          <t>PEA-PJS-FAMILY-INFANT-BLACKPLAID-12M</t>
        </is>
      </c>
      <c r="D1418" t="inlineStr">
        <is>
          <t>Pajamas</t>
        </is>
      </c>
      <c r="E1418" t="inlineStr">
        <is>
          <t>Peanuts</t>
        </is>
      </c>
      <c r="G1418" s="48" t="n">
        <v>0</v>
      </c>
      <c r="H1418" s="48" t="n">
        <v>0</v>
      </c>
      <c r="I1418" s="48" t="n">
        <v>0</v>
      </c>
      <c r="J1418" s="48" t="n">
        <v>0</v>
      </c>
      <c r="K1418" s="49" t="n">
        <v>0</v>
      </c>
      <c r="L1418" s="49" t="n">
        <v>0</v>
      </c>
      <c r="M1418" s="49" t="n">
        <v>0</v>
      </c>
      <c r="N1418" s="49" t="n">
        <v>0</v>
      </c>
      <c r="O1418" s="49" t="n">
        <v>0</v>
      </c>
      <c r="P1418" s="49" t="n">
        <v>0</v>
      </c>
      <c r="Q1418" s="49" t="n">
        <v>0</v>
      </c>
      <c r="R1418" s="49" t="n">
        <v>0</v>
      </c>
      <c r="S1418" s="50" t="n">
        <v>0</v>
      </c>
      <c r="T1418" s="50" t="n">
        <v>0</v>
      </c>
      <c r="U1418" s="50" t="n">
        <v>0</v>
      </c>
      <c r="V1418" s="50" t="n">
        <v>0</v>
      </c>
      <c r="W1418" s="51" t="n">
        <v>0</v>
      </c>
      <c r="X1418" s="51" t="n">
        <v>0</v>
      </c>
      <c r="Y1418" s="51" t="n">
        <v>0</v>
      </c>
      <c r="Z1418" s="51" t="n">
        <v>0</v>
      </c>
      <c r="AA1418" s="52" t="n">
        <v>0</v>
      </c>
      <c r="AB1418" s="52" t="n">
        <v>0</v>
      </c>
      <c r="AC1418" s="52" t="n">
        <v>0</v>
      </c>
      <c r="AD1418" s="52" t="n">
        <v>0</v>
      </c>
      <c r="AE1418" s="52" t="n">
        <v>0</v>
      </c>
      <c r="AF1418" s="52" t="n">
        <v>0</v>
      </c>
      <c r="AG1418" s="52" t="n">
        <v>0</v>
      </c>
      <c r="AH1418" s="52" t="n">
        <v>0</v>
      </c>
      <c r="AI1418" s="52" t="n">
        <v>0</v>
      </c>
      <c r="AJ1418" s="52" t="n">
        <v>0</v>
      </c>
      <c r="AK1418" s="52" t="n">
        <v>0</v>
      </c>
      <c r="AL1418" s="52" t="n">
        <v>0</v>
      </c>
      <c r="AM1418" s="53" t="n">
        <v>0</v>
      </c>
      <c r="AN1418" s="53" t="n">
        <v>0</v>
      </c>
      <c r="AO1418" s="53" t="n">
        <v>0</v>
      </c>
      <c r="AP1418" s="53" t="n">
        <v>0</v>
      </c>
      <c r="AQ1418" s="52" t="n">
        <v>0</v>
      </c>
      <c r="AR1418" s="52" t="n">
        <v>0</v>
      </c>
      <c r="AS1418" s="52" t="n">
        <v>0</v>
      </c>
      <c r="AT1418" s="52" t="n">
        <v>0</v>
      </c>
      <c r="AU1418" s="53" t="n">
        <v>0</v>
      </c>
      <c r="AV1418" s="53" t="n">
        <v>0</v>
      </c>
      <c r="AW1418" s="53" t="n">
        <v>0</v>
      </c>
      <c r="AX1418" s="53" t="n">
        <v>0</v>
      </c>
      <c r="AY1418" s="52" t="n">
        <v>0</v>
      </c>
      <c r="AZ1418" s="52" t="n">
        <v>0</v>
      </c>
      <c r="BA1418" s="52" t="n">
        <v>0</v>
      </c>
      <c r="BB1418" s="52" t="n">
        <v>0</v>
      </c>
      <c r="BC1418" s="51" t="n">
        <v>0</v>
      </c>
      <c r="BD1418" s="51" t="n">
        <v>0</v>
      </c>
      <c r="BE1418" s="51" t="n">
        <v>0</v>
      </c>
      <c r="BF1418" s="51" t="n">
        <v>0</v>
      </c>
    </row>
    <row r="1419">
      <c r="A1419">
        <f>HYPERLINK("https://www.walmart.com/ip/14468700704", "14468700704")</f>
        <v/>
      </c>
      <c r="B1419" t="inlineStr">
        <is>
          <t>Tirrinia Oversized Wearable Blanket Hoodie, Fleece Home Blanket Sweatshirt, Warm Blanket with Sleeves, Gift for lover</t>
        </is>
      </c>
      <c r="C1419" t="inlineStr">
        <is>
          <t>1TROSH340PK-FS</t>
        </is>
      </c>
      <c r="D1419" t="inlineStr">
        <is>
          <t>Sweatshirts &amp; Hoodies</t>
        </is>
      </c>
      <c r="E1419" t="inlineStr">
        <is>
          <t>Tirrinia</t>
        </is>
      </c>
      <c r="G1419" s="48" t="n">
        <v>0</v>
      </c>
      <c r="H1419" s="48" t="n">
        <v>0</v>
      </c>
      <c r="I1419" s="48" t="n">
        <v>0</v>
      </c>
      <c r="J1419" s="48" t="n">
        <v>0</v>
      </c>
      <c r="K1419" s="49" t="n">
        <v>0</v>
      </c>
      <c r="L1419" s="49" t="n">
        <v>0</v>
      </c>
      <c r="M1419" s="49" t="n">
        <v>0</v>
      </c>
      <c r="N1419" s="49" t="n">
        <v>0</v>
      </c>
      <c r="O1419" s="49" t="n">
        <v>0</v>
      </c>
      <c r="P1419" s="49" t="n">
        <v>0</v>
      </c>
      <c r="Q1419" s="49" t="n">
        <v>0</v>
      </c>
      <c r="R1419" s="49" t="n">
        <v>0</v>
      </c>
      <c r="S1419" s="50" t="n">
        <v>0</v>
      </c>
      <c r="T1419" s="50" t="n">
        <v>0</v>
      </c>
      <c r="U1419" s="50" t="n">
        <v>0</v>
      </c>
      <c r="V1419" s="50" t="n">
        <v>0</v>
      </c>
      <c r="W1419" s="51" t="n">
        <v>0</v>
      </c>
      <c r="X1419" s="51" t="n">
        <v>0</v>
      </c>
      <c r="Y1419" s="51" t="n">
        <v>0</v>
      </c>
      <c r="Z1419" s="51" t="n">
        <v>0</v>
      </c>
      <c r="AA1419" s="52" t="n">
        <v>0</v>
      </c>
      <c r="AB1419" s="52" t="n">
        <v>0</v>
      </c>
      <c r="AC1419" s="52" t="n">
        <v>0</v>
      </c>
      <c r="AD1419" s="52" t="n">
        <v>0</v>
      </c>
      <c r="AE1419" s="52" t="n">
        <v>0</v>
      </c>
      <c r="AF1419" s="52" t="n">
        <v>0</v>
      </c>
      <c r="AG1419" s="52" t="n">
        <v>0</v>
      </c>
      <c r="AH1419" s="52" t="n">
        <v>0</v>
      </c>
      <c r="AI1419" s="52" t="n">
        <v>0</v>
      </c>
      <c r="AJ1419" s="52" t="n">
        <v>0</v>
      </c>
      <c r="AK1419" s="52" t="n">
        <v>0</v>
      </c>
      <c r="AL1419" s="52" t="n">
        <v>0</v>
      </c>
      <c r="AM1419" s="53" t="n">
        <v>0</v>
      </c>
      <c r="AN1419" s="53" t="n">
        <v>0</v>
      </c>
      <c r="AO1419" s="53" t="n">
        <v>0</v>
      </c>
      <c r="AP1419" s="53" t="n">
        <v>0</v>
      </c>
      <c r="AQ1419" s="52" t="n">
        <v>0</v>
      </c>
      <c r="AR1419" s="52" t="n">
        <v>0</v>
      </c>
      <c r="AS1419" s="52" t="n">
        <v>0</v>
      </c>
      <c r="AT1419" s="52" t="n">
        <v>0</v>
      </c>
      <c r="AU1419" s="53" t="n">
        <v>0</v>
      </c>
      <c r="AV1419" s="53" t="n">
        <v>0</v>
      </c>
      <c r="AW1419" s="53" t="n">
        <v>0</v>
      </c>
      <c r="AX1419" s="53" t="n">
        <v>0</v>
      </c>
      <c r="AY1419" s="52" t="n">
        <v>0</v>
      </c>
      <c r="AZ1419" s="52" t="n">
        <v>0</v>
      </c>
      <c r="BA1419" s="52" t="n">
        <v>0</v>
      </c>
      <c r="BB1419" s="52" t="n">
        <v>0</v>
      </c>
      <c r="BC1419" s="51" t="n">
        <v>0</v>
      </c>
      <c r="BD1419" s="51" t="n">
        <v>0</v>
      </c>
      <c r="BE1419" s="51" t="n">
        <v>0</v>
      </c>
      <c r="BF1419" s="51" t="n">
        <v>0</v>
      </c>
    </row>
    <row r="1420">
      <c r="A1420">
        <f>HYPERLINK("https://www.walmart.com/ip/14488914626", "14488914626")</f>
        <v/>
      </c>
      <c r="B1420" t="inlineStr">
        <is>
          <t>Tirrinia Womens' Hoodie Blanket Sweatshirt, Oversized Comfortable Fleece Giant Wearable Blankets, Hoodie Blanket for Men, Gift for Her Him, Horse</t>
        </is>
      </c>
      <c r="C1420" t="inlineStr">
        <is>
          <t>1TROSH400HP-FS</t>
        </is>
      </c>
      <c r="D1420" t="inlineStr">
        <is>
          <t>Sweatshirts &amp; Hoodies</t>
        </is>
      </c>
      <c r="E1420" t="inlineStr">
        <is>
          <t>Tirrinia</t>
        </is>
      </c>
      <c r="G1420" s="48" t="n">
        <v>0</v>
      </c>
      <c r="H1420" s="48" t="n">
        <v>0</v>
      </c>
      <c r="I1420" s="48" t="n">
        <v>0</v>
      </c>
      <c r="J1420" s="48" t="n">
        <v>0</v>
      </c>
      <c r="K1420" s="49" t="n">
        <v>0</v>
      </c>
      <c r="L1420" s="49" t="n">
        <v>0</v>
      </c>
      <c r="M1420" s="49" t="n">
        <v>0</v>
      </c>
      <c r="N1420" s="49" t="n">
        <v>0</v>
      </c>
      <c r="O1420" s="49" t="n">
        <v>0</v>
      </c>
      <c r="P1420" s="49" t="n">
        <v>0</v>
      </c>
      <c r="Q1420" s="49" t="n">
        <v>0</v>
      </c>
      <c r="R1420" s="49" t="n">
        <v>0</v>
      </c>
      <c r="S1420" s="50" t="n">
        <v>0</v>
      </c>
      <c r="T1420" s="50" t="n">
        <v>0</v>
      </c>
      <c r="U1420" s="50" t="n">
        <v>0</v>
      </c>
      <c r="V1420" s="50" t="n">
        <v>0</v>
      </c>
      <c r="W1420" s="51" t="n">
        <v>0</v>
      </c>
      <c r="X1420" s="51" t="n">
        <v>0</v>
      </c>
      <c r="Y1420" s="51" t="n">
        <v>0</v>
      </c>
      <c r="Z1420" s="51" t="n">
        <v>0</v>
      </c>
      <c r="AA1420" s="52" t="n">
        <v>0</v>
      </c>
      <c r="AB1420" s="52" t="n">
        <v>0</v>
      </c>
      <c r="AC1420" s="52" t="n">
        <v>0</v>
      </c>
      <c r="AD1420" s="52" t="n">
        <v>0</v>
      </c>
      <c r="AE1420" s="52" t="n">
        <v>0</v>
      </c>
      <c r="AF1420" s="52" t="n">
        <v>0</v>
      </c>
      <c r="AG1420" s="52" t="n">
        <v>0</v>
      </c>
      <c r="AH1420" s="52" t="n">
        <v>0</v>
      </c>
      <c r="AI1420" s="52" t="n">
        <v>0</v>
      </c>
      <c r="AJ1420" s="52" t="n">
        <v>0</v>
      </c>
      <c r="AK1420" s="52" t="n">
        <v>0</v>
      </c>
      <c r="AL1420" s="52" t="n">
        <v>0</v>
      </c>
      <c r="AM1420" s="53" t="n">
        <v>0</v>
      </c>
      <c r="AN1420" s="53" t="n">
        <v>0</v>
      </c>
      <c r="AO1420" s="53" t="n">
        <v>0</v>
      </c>
      <c r="AP1420" s="53" t="n">
        <v>0</v>
      </c>
      <c r="AQ1420" s="52" t="n">
        <v>0</v>
      </c>
      <c r="AR1420" s="52" t="n">
        <v>0</v>
      </c>
      <c r="AS1420" s="52" t="n">
        <v>0</v>
      </c>
      <c r="AT1420" s="52" t="n">
        <v>0</v>
      </c>
      <c r="AU1420" s="53" t="n">
        <v>0</v>
      </c>
      <c r="AV1420" s="53" t="n">
        <v>0</v>
      </c>
      <c r="AW1420" s="53" t="n">
        <v>0</v>
      </c>
      <c r="AX1420" s="53" t="n">
        <v>0</v>
      </c>
      <c r="AY1420" s="52" t="n">
        <v>0</v>
      </c>
      <c r="AZ1420" s="52" t="n">
        <v>0</v>
      </c>
      <c r="BA1420" s="52" t="n">
        <v>0</v>
      </c>
      <c r="BB1420" s="52" t="n">
        <v>0</v>
      </c>
      <c r="BC1420" s="51" t="n">
        <v>0</v>
      </c>
      <c r="BD1420" s="51" t="n">
        <v>0</v>
      </c>
      <c r="BE1420" s="51" t="n">
        <v>0</v>
      </c>
      <c r="BF1420" s="51" t="n">
        <v>0</v>
      </c>
    </row>
    <row r="1421">
      <c r="A1421">
        <f>HYPERLINK("https://www.walmart.com/ip/14485554639", "14485554639")</f>
        <v/>
      </c>
      <c r="B1421" t="inlineStr">
        <is>
          <t>Catalonia Women's Blanket Hoodie Sweatshirt, Cozy Comfortable Fluffy Soft Fleece Lounging Pullover, Warm Fleece Hooded with Pockets Gift,  Ombre Blue</t>
        </is>
      </c>
      <c r="C1421" t="inlineStr">
        <is>
          <t>1CTOSH330BL-FS</t>
        </is>
      </c>
      <c r="D1421" t="inlineStr">
        <is>
          <t>Sweatshirts &amp; Hoodies</t>
        </is>
      </c>
      <c r="E1421" t="inlineStr">
        <is>
          <t>Catalonia</t>
        </is>
      </c>
      <c r="G1421" s="48" t="n">
        <v>0</v>
      </c>
      <c r="H1421" s="48" t="n">
        <v>0</v>
      </c>
      <c r="I1421" s="48" t="n">
        <v>0</v>
      </c>
      <c r="J1421" s="48" t="n">
        <v>0</v>
      </c>
      <c r="K1421" s="49" t="n">
        <v>0</v>
      </c>
      <c r="L1421" s="49" t="n">
        <v>0</v>
      </c>
      <c r="M1421" s="49" t="n">
        <v>0</v>
      </c>
      <c r="N1421" s="49" t="n">
        <v>0</v>
      </c>
      <c r="O1421" s="49" t="n">
        <v>0</v>
      </c>
      <c r="P1421" s="49" t="n">
        <v>0</v>
      </c>
      <c r="Q1421" s="49" t="n">
        <v>0</v>
      </c>
      <c r="R1421" s="49" t="n">
        <v>0</v>
      </c>
      <c r="S1421" s="50" t="n">
        <v>0</v>
      </c>
      <c r="T1421" s="50" t="n">
        <v>0</v>
      </c>
      <c r="U1421" s="50" t="n">
        <v>0</v>
      </c>
      <c r="V1421" s="50" t="n">
        <v>0</v>
      </c>
      <c r="W1421" s="51" t="n">
        <v>0</v>
      </c>
      <c r="X1421" s="51" t="n">
        <v>0</v>
      </c>
      <c r="Y1421" s="51" t="n">
        <v>0</v>
      </c>
      <c r="Z1421" s="51" t="n">
        <v>0</v>
      </c>
      <c r="AA1421" s="52" t="n">
        <v>0</v>
      </c>
      <c r="AB1421" s="52" t="n">
        <v>0</v>
      </c>
      <c r="AC1421" s="52" t="n">
        <v>0</v>
      </c>
      <c r="AD1421" s="52" t="n">
        <v>0</v>
      </c>
      <c r="AE1421" s="52" t="n">
        <v>0</v>
      </c>
      <c r="AF1421" s="52" t="n">
        <v>0</v>
      </c>
      <c r="AG1421" s="52" t="n">
        <v>0</v>
      </c>
      <c r="AH1421" s="52" t="n">
        <v>0</v>
      </c>
      <c r="AI1421" s="52" t="n">
        <v>0</v>
      </c>
      <c r="AJ1421" s="52" t="n">
        <v>0</v>
      </c>
      <c r="AK1421" s="52" t="n">
        <v>0</v>
      </c>
      <c r="AL1421" s="52" t="n">
        <v>0</v>
      </c>
      <c r="AM1421" s="53" t="n">
        <v>0</v>
      </c>
      <c r="AN1421" s="53" t="n">
        <v>0</v>
      </c>
      <c r="AO1421" s="53" t="n">
        <v>0</v>
      </c>
      <c r="AP1421" s="53" t="n">
        <v>0</v>
      </c>
      <c r="AQ1421" s="52" t="n">
        <v>0</v>
      </c>
      <c r="AR1421" s="52" t="n">
        <v>0</v>
      </c>
      <c r="AS1421" s="52" t="n">
        <v>0</v>
      </c>
      <c r="AT1421" s="52" t="n">
        <v>0</v>
      </c>
      <c r="AU1421" s="53" t="n">
        <v>0</v>
      </c>
      <c r="AV1421" s="53" t="n">
        <v>0</v>
      </c>
      <c r="AW1421" s="53" t="n">
        <v>0</v>
      </c>
      <c r="AX1421" s="53" t="n">
        <v>0</v>
      </c>
      <c r="AY1421" s="52" t="n">
        <v>0</v>
      </c>
      <c r="AZ1421" s="52" t="n">
        <v>0</v>
      </c>
      <c r="BA1421" s="52" t="n">
        <v>0</v>
      </c>
      <c r="BB1421" s="52" t="n">
        <v>0</v>
      </c>
      <c r="BC1421" s="51" t="n">
        <v>0</v>
      </c>
      <c r="BD1421" s="51" t="n">
        <v>0</v>
      </c>
      <c r="BE1421" s="51" t="n">
        <v>0</v>
      </c>
      <c r="BF1421" s="51" t="n">
        <v>0</v>
      </c>
    </row>
    <row r="1422">
      <c r="A1422">
        <f>HYPERLINK("https://www.walmart.com/ip/14486463816", "14486463816")</f>
        <v/>
      </c>
      <c r="B1422" t="inlineStr">
        <is>
          <t>Catalonia Women's Hoodie Sweatshirt, Casual Long Sleeves Pullover Sweater with front Pocket, Blanket Hoodie Sweatshirt, Pinkash</t>
        </is>
      </c>
      <c r="C1422" t="inlineStr">
        <is>
          <t>1CTOSH300S1PKASH-FS</t>
        </is>
      </c>
      <c r="D1422" t="inlineStr">
        <is>
          <t>Sweatshirts &amp; Hoodies</t>
        </is>
      </c>
      <c r="E1422" t="inlineStr">
        <is>
          <t>Catalonia</t>
        </is>
      </c>
      <c r="G1422" s="48" t="n">
        <v>0</v>
      </c>
      <c r="H1422" s="48" t="n">
        <v>0</v>
      </c>
      <c r="I1422" s="48" t="n">
        <v>0</v>
      </c>
      <c r="J1422" s="48" t="n">
        <v>0</v>
      </c>
      <c r="K1422" s="49" t="n">
        <v>0</v>
      </c>
      <c r="L1422" s="49" t="n">
        <v>0</v>
      </c>
      <c r="M1422" s="49" t="n">
        <v>0</v>
      </c>
      <c r="N1422" s="49" t="n">
        <v>0</v>
      </c>
      <c r="O1422" s="49" t="n">
        <v>0</v>
      </c>
      <c r="P1422" s="49" t="n">
        <v>0</v>
      </c>
      <c r="Q1422" s="49" t="n">
        <v>0</v>
      </c>
      <c r="R1422" s="49" t="n">
        <v>0</v>
      </c>
      <c r="S1422" s="50" t="n">
        <v>0</v>
      </c>
      <c r="T1422" s="50" t="n">
        <v>0</v>
      </c>
      <c r="U1422" s="50" t="n">
        <v>0</v>
      </c>
      <c r="V1422" s="50" t="n">
        <v>0</v>
      </c>
      <c r="W1422" s="51" t="n">
        <v>0</v>
      </c>
      <c r="X1422" s="51" t="n">
        <v>0</v>
      </c>
      <c r="Y1422" s="51" t="n">
        <v>0</v>
      </c>
      <c r="Z1422" s="51" t="n">
        <v>0</v>
      </c>
      <c r="AA1422" s="52" t="n">
        <v>0</v>
      </c>
      <c r="AB1422" s="52" t="n">
        <v>0</v>
      </c>
      <c r="AC1422" s="52" t="n">
        <v>0</v>
      </c>
      <c r="AD1422" s="52" t="n">
        <v>0</v>
      </c>
      <c r="AE1422" s="52" t="n">
        <v>0</v>
      </c>
      <c r="AF1422" s="52" t="n">
        <v>0</v>
      </c>
      <c r="AG1422" s="52" t="n">
        <v>0</v>
      </c>
      <c r="AH1422" s="52" t="n">
        <v>0</v>
      </c>
      <c r="AI1422" s="52" t="n">
        <v>0</v>
      </c>
      <c r="AJ1422" s="52" t="n">
        <v>0</v>
      </c>
      <c r="AK1422" s="52" t="n">
        <v>0</v>
      </c>
      <c r="AL1422" s="52" t="n">
        <v>0</v>
      </c>
      <c r="AM1422" s="53" t="n">
        <v>0</v>
      </c>
      <c r="AN1422" s="53" t="n">
        <v>0</v>
      </c>
      <c r="AO1422" s="53" t="n">
        <v>0</v>
      </c>
      <c r="AP1422" s="53" t="n">
        <v>0</v>
      </c>
      <c r="AQ1422" s="52" t="n">
        <v>0</v>
      </c>
      <c r="AR1422" s="52" t="n">
        <v>0</v>
      </c>
      <c r="AS1422" s="52" t="n">
        <v>0</v>
      </c>
      <c r="AT1422" s="52" t="n">
        <v>0</v>
      </c>
      <c r="AU1422" s="53" t="n">
        <v>0</v>
      </c>
      <c r="AV1422" s="53" t="n">
        <v>0</v>
      </c>
      <c r="AW1422" s="53" t="n">
        <v>0</v>
      </c>
      <c r="AX1422" s="53" t="n">
        <v>0</v>
      </c>
      <c r="AY1422" s="52" t="n">
        <v>0</v>
      </c>
      <c r="AZ1422" s="52" t="n">
        <v>0</v>
      </c>
      <c r="BA1422" s="52" t="n">
        <v>0</v>
      </c>
      <c r="BB1422" s="52" t="n">
        <v>0</v>
      </c>
      <c r="BC1422" s="51" t="n">
        <v>0</v>
      </c>
      <c r="BD1422" s="51" t="n">
        <v>0</v>
      </c>
      <c r="BE1422" s="51" t="n">
        <v>0</v>
      </c>
      <c r="BF1422" s="51" t="n">
        <v>0</v>
      </c>
    </row>
    <row r="1423">
      <c r="A1423">
        <f>HYPERLINK("https://www.walmart.com/ip/14486513709", "14486513709")</f>
        <v/>
      </c>
      <c r="B1423" t="inlineStr">
        <is>
          <t>Catalonia Oversized Blanket Hoodie Sweatshirt, Fleece Hooded Lounging Pullover with Giant Pocket, Birthday Gifts Christmas Gifts, Buffalo Plaid Green</t>
        </is>
      </c>
      <c r="C1423" t="inlineStr">
        <is>
          <t>1CTOSH300GNCAMO-FS</t>
        </is>
      </c>
      <c r="D1423" t="inlineStr">
        <is>
          <t>Sweatshirts &amp; Hoodies</t>
        </is>
      </c>
      <c r="E1423" t="inlineStr">
        <is>
          <t>Catalonia</t>
        </is>
      </c>
      <c r="G1423" s="48" t="n">
        <v>0</v>
      </c>
      <c r="H1423" s="48" t="n">
        <v>0</v>
      </c>
      <c r="I1423" s="48" t="n">
        <v>0</v>
      </c>
      <c r="J1423" s="48" t="n">
        <v>0</v>
      </c>
      <c r="K1423" s="49" t="n">
        <v>0</v>
      </c>
      <c r="L1423" s="49" t="n">
        <v>0</v>
      </c>
      <c r="M1423" s="49" t="n">
        <v>0</v>
      </c>
      <c r="N1423" s="49" t="n">
        <v>0</v>
      </c>
      <c r="O1423" s="49" t="n">
        <v>0</v>
      </c>
      <c r="P1423" s="49" t="n">
        <v>0</v>
      </c>
      <c r="Q1423" s="49" t="n">
        <v>0</v>
      </c>
      <c r="R1423" s="49" t="n">
        <v>0</v>
      </c>
      <c r="S1423" s="50" t="n">
        <v>0</v>
      </c>
      <c r="T1423" s="50" t="n">
        <v>0</v>
      </c>
      <c r="U1423" s="50" t="n">
        <v>0</v>
      </c>
      <c r="V1423" s="50" t="n">
        <v>0</v>
      </c>
      <c r="W1423" s="51" t="n">
        <v>0</v>
      </c>
      <c r="X1423" s="51" t="n">
        <v>0</v>
      </c>
      <c r="Y1423" s="51" t="n">
        <v>0</v>
      </c>
      <c r="Z1423" s="51" t="n">
        <v>0</v>
      </c>
      <c r="AA1423" s="52" t="n">
        <v>0</v>
      </c>
      <c r="AB1423" s="52" t="n">
        <v>0</v>
      </c>
      <c r="AC1423" s="52" t="n">
        <v>0</v>
      </c>
      <c r="AD1423" s="52" t="n">
        <v>0</v>
      </c>
      <c r="AE1423" s="52" t="n">
        <v>0</v>
      </c>
      <c r="AF1423" s="52" t="n">
        <v>0</v>
      </c>
      <c r="AG1423" s="52" t="n">
        <v>0</v>
      </c>
      <c r="AH1423" s="52" t="n">
        <v>0</v>
      </c>
      <c r="AI1423" s="52" t="n">
        <v>0</v>
      </c>
      <c r="AJ1423" s="52" t="n">
        <v>0</v>
      </c>
      <c r="AK1423" s="52" t="n">
        <v>0</v>
      </c>
      <c r="AL1423" s="52" t="n">
        <v>0</v>
      </c>
      <c r="AM1423" s="53" t="n">
        <v>0</v>
      </c>
      <c r="AN1423" s="53" t="n">
        <v>0</v>
      </c>
      <c r="AO1423" s="53" t="n">
        <v>0</v>
      </c>
      <c r="AP1423" s="53" t="n">
        <v>0</v>
      </c>
      <c r="AQ1423" s="52" t="n">
        <v>0</v>
      </c>
      <c r="AR1423" s="52" t="n">
        <v>0</v>
      </c>
      <c r="AS1423" s="52" t="n">
        <v>0</v>
      </c>
      <c r="AT1423" s="52" t="n">
        <v>0</v>
      </c>
      <c r="AU1423" s="53" t="n">
        <v>0</v>
      </c>
      <c r="AV1423" s="53" t="n">
        <v>0</v>
      </c>
      <c r="AW1423" s="53" t="n">
        <v>0</v>
      </c>
      <c r="AX1423" s="53" t="n">
        <v>0</v>
      </c>
      <c r="AY1423" s="52" t="n">
        <v>0</v>
      </c>
      <c r="AZ1423" s="52" t="n">
        <v>0</v>
      </c>
      <c r="BA1423" s="52" t="n">
        <v>0</v>
      </c>
      <c r="BB1423" s="52" t="n">
        <v>0</v>
      </c>
      <c r="BC1423" s="51" t="n">
        <v>0</v>
      </c>
      <c r="BD1423" s="51" t="n">
        <v>0</v>
      </c>
      <c r="BE1423" s="51" t="n">
        <v>0</v>
      </c>
      <c r="BF1423" s="51" t="n">
        <v>0</v>
      </c>
    </row>
    <row r="1424">
      <c r="A1424">
        <f>HYPERLINK("https://www.walmart.com/ip/14486513711", "14486513711")</f>
        <v/>
      </c>
      <c r="B1424" t="inlineStr">
        <is>
          <t>Catalonia Women's Hoodie Sweatshirt, Casual Long Sleeves Pullover Sweater with front Pocket, Blanket Hoodie Sweatshirt, Black</t>
        </is>
      </c>
      <c r="C1424" t="inlineStr">
        <is>
          <t>1CTOSH300PWT-FS</t>
        </is>
      </c>
      <c r="D1424" t="inlineStr">
        <is>
          <t>Sweatshirts &amp; Hoodies</t>
        </is>
      </c>
      <c r="E1424" t="inlineStr">
        <is>
          <t>Catalonia</t>
        </is>
      </c>
      <c r="G1424" s="48" t="n">
        <v>0</v>
      </c>
      <c r="H1424" s="48" t="n">
        <v>0</v>
      </c>
      <c r="I1424" s="48" t="n">
        <v>0</v>
      </c>
      <c r="J1424" s="48" t="n">
        <v>0</v>
      </c>
      <c r="K1424" s="49" t="n">
        <v>0</v>
      </c>
      <c r="L1424" s="49" t="n">
        <v>0</v>
      </c>
      <c r="M1424" s="49" t="n">
        <v>0</v>
      </c>
      <c r="N1424" s="49" t="n">
        <v>0</v>
      </c>
      <c r="O1424" s="49" t="n">
        <v>0</v>
      </c>
      <c r="P1424" s="49" t="n">
        <v>0</v>
      </c>
      <c r="Q1424" s="49" t="n">
        <v>0</v>
      </c>
      <c r="R1424" s="49" t="n">
        <v>0</v>
      </c>
      <c r="S1424" s="50" t="n">
        <v>0</v>
      </c>
      <c r="T1424" s="50" t="n">
        <v>0</v>
      </c>
      <c r="U1424" s="50" t="n">
        <v>0</v>
      </c>
      <c r="V1424" s="50" t="n">
        <v>0</v>
      </c>
      <c r="W1424" s="51" t="n">
        <v>0</v>
      </c>
      <c r="X1424" s="51" t="n">
        <v>0</v>
      </c>
      <c r="Y1424" s="51" t="n">
        <v>0</v>
      </c>
      <c r="Z1424" s="51" t="n">
        <v>0</v>
      </c>
      <c r="AA1424" s="52" t="n">
        <v>0</v>
      </c>
      <c r="AB1424" s="52" t="n">
        <v>0</v>
      </c>
      <c r="AC1424" s="52" t="n">
        <v>0</v>
      </c>
      <c r="AD1424" s="52" t="n">
        <v>0</v>
      </c>
      <c r="AE1424" s="52" t="n">
        <v>0</v>
      </c>
      <c r="AF1424" s="52" t="n">
        <v>0</v>
      </c>
      <c r="AG1424" s="52" t="n">
        <v>0</v>
      </c>
      <c r="AH1424" s="52" t="n">
        <v>0</v>
      </c>
      <c r="AI1424" s="52" t="n">
        <v>0</v>
      </c>
      <c r="AJ1424" s="52" t="n">
        <v>0</v>
      </c>
      <c r="AK1424" s="52" t="n">
        <v>0</v>
      </c>
      <c r="AL1424" s="52" t="n">
        <v>0</v>
      </c>
      <c r="AM1424" s="53" t="n">
        <v>0</v>
      </c>
      <c r="AN1424" s="53" t="n">
        <v>0</v>
      </c>
      <c r="AO1424" s="53" t="n">
        <v>0</v>
      </c>
      <c r="AP1424" s="53" t="n">
        <v>0</v>
      </c>
      <c r="AQ1424" s="52" t="n">
        <v>0</v>
      </c>
      <c r="AR1424" s="52" t="n">
        <v>0</v>
      </c>
      <c r="AS1424" s="52" t="n">
        <v>0</v>
      </c>
      <c r="AT1424" s="52" t="n">
        <v>0</v>
      </c>
      <c r="AU1424" s="53" t="n">
        <v>0</v>
      </c>
      <c r="AV1424" s="53" t="n">
        <v>0</v>
      </c>
      <c r="AW1424" s="53" t="n">
        <v>0</v>
      </c>
      <c r="AX1424" s="53" t="n">
        <v>0</v>
      </c>
      <c r="AY1424" s="52" t="n">
        <v>0</v>
      </c>
      <c r="AZ1424" s="52" t="n">
        <v>0</v>
      </c>
      <c r="BA1424" s="52" t="n">
        <v>0</v>
      </c>
      <c r="BB1424" s="52" t="n">
        <v>0</v>
      </c>
      <c r="BC1424" s="51" t="n">
        <v>0</v>
      </c>
      <c r="BD1424" s="51" t="n">
        <v>0</v>
      </c>
      <c r="BE1424" s="51" t="n">
        <v>0</v>
      </c>
      <c r="BF1424" s="51" t="n">
        <v>0</v>
      </c>
    </row>
    <row r="1425">
      <c r="A1425">
        <f>HYPERLINK("https://www.walmart.com/ip/14486513723", "14486513723")</f>
        <v/>
      </c>
      <c r="B1425" t="inlineStr">
        <is>
          <t>Catalonia Womens' Full Body Blanket Hoodie Sweatshirt, Extra Long Wearable Fleece Pullover, Gift for Adult Men Women Wife Girlfriend, Purple</t>
        </is>
      </c>
      <c r="C1425" t="inlineStr">
        <is>
          <t>1CTOSH310S1PP-FS</t>
        </is>
      </c>
      <c r="D1425" t="inlineStr">
        <is>
          <t>Sweatshirts &amp; Hoodies</t>
        </is>
      </c>
      <c r="E1425" t="inlineStr">
        <is>
          <t>Catalonia</t>
        </is>
      </c>
      <c r="G1425" s="48" t="n">
        <v>0</v>
      </c>
      <c r="H1425" s="48" t="n">
        <v>0</v>
      </c>
      <c r="I1425" s="48" t="n">
        <v>0</v>
      </c>
      <c r="J1425" s="48" t="n">
        <v>0</v>
      </c>
      <c r="K1425" s="49" t="n">
        <v>0</v>
      </c>
      <c r="L1425" s="49" t="n">
        <v>0</v>
      </c>
      <c r="M1425" s="49" t="n">
        <v>0</v>
      </c>
      <c r="N1425" s="49" t="n">
        <v>0</v>
      </c>
      <c r="O1425" s="49" t="n">
        <v>0</v>
      </c>
      <c r="P1425" s="49" t="n">
        <v>0</v>
      </c>
      <c r="Q1425" s="49" t="n">
        <v>0</v>
      </c>
      <c r="R1425" s="49" t="n">
        <v>0</v>
      </c>
      <c r="S1425" s="50" t="n">
        <v>0</v>
      </c>
      <c r="T1425" s="50" t="n">
        <v>0</v>
      </c>
      <c r="U1425" s="50" t="n">
        <v>0</v>
      </c>
      <c r="V1425" s="50" t="n">
        <v>0</v>
      </c>
      <c r="W1425" s="51" t="n">
        <v>0</v>
      </c>
      <c r="X1425" s="51" t="n">
        <v>0</v>
      </c>
      <c r="Y1425" s="51" t="n">
        <v>0</v>
      </c>
      <c r="Z1425" s="51" t="n">
        <v>0</v>
      </c>
      <c r="AA1425" s="52" t="n">
        <v>0</v>
      </c>
      <c r="AB1425" s="52" t="n">
        <v>0</v>
      </c>
      <c r="AC1425" s="52" t="n">
        <v>0</v>
      </c>
      <c r="AD1425" s="52" t="n">
        <v>0</v>
      </c>
      <c r="AE1425" s="52" t="n">
        <v>0</v>
      </c>
      <c r="AF1425" s="52" t="n">
        <v>0</v>
      </c>
      <c r="AG1425" s="52" t="n">
        <v>0</v>
      </c>
      <c r="AH1425" s="52" t="n">
        <v>0</v>
      </c>
      <c r="AI1425" s="52" t="n">
        <v>0</v>
      </c>
      <c r="AJ1425" s="52" t="n">
        <v>0</v>
      </c>
      <c r="AK1425" s="52" t="n">
        <v>0</v>
      </c>
      <c r="AL1425" s="52" t="n">
        <v>0</v>
      </c>
      <c r="AM1425" s="53" t="n">
        <v>0</v>
      </c>
      <c r="AN1425" s="53" t="n">
        <v>0</v>
      </c>
      <c r="AO1425" s="53" t="n">
        <v>0</v>
      </c>
      <c r="AP1425" s="53" t="n">
        <v>0</v>
      </c>
      <c r="AQ1425" s="52" t="n">
        <v>0</v>
      </c>
      <c r="AR1425" s="52" t="n">
        <v>0</v>
      </c>
      <c r="AS1425" s="52" t="n">
        <v>0</v>
      </c>
      <c r="AT1425" s="52" t="n">
        <v>0</v>
      </c>
      <c r="AU1425" s="53" t="n">
        <v>0</v>
      </c>
      <c r="AV1425" s="53" t="n">
        <v>0</v>
      </c>
      <c r="AW1425" s="53" t="n">
        <v>0</v>
      </c>
      <c r="AX1425" s="53" t="n">
        <v>0</v>
      </c>
      <c r="AY1425" s="52" t="n">
        <v>0</v>
      </c>
      <c r="AZ1425" s="52" t="n">
        <v>0</v>
      </c>
      <c r="BA1425" s="52" t="n">
        <v>0</v>
      </c>
      <c r="BB1425" s="52" t="n">
        <v>0</v>
      </c>
      <c r="BC1425" s="51" t="n">
        <v>0</v>
      </c>
      <c r="BD1425" s="51" t="n">
        <v>0</v>
      </c>
      <c r="BE1425" s="51" t="n">
        <v>0</v>
      </c>
      <c r="BF1425" s="51" t="n">
        <v>0</v>
      </c>
    </row>
    <row r="1426">
      <c r="A1426">
        <f>HYPERLINK("https://www.walmart.com/ip/14486811190", "14486811190")</f>
        <v/>
      </c>
      <c r="B1426" t="inlineStr">
        <is>
          <t>Catalonia Cat Print Blanket Hoodie for Kids, Oversized Wearable Fleece Sweatshirt Pullover for 7-16 yr Teens Youth, Kids Gift Idea</t>
        </is>
      </c>
      <c r="C1426" t="inlineStr">
        <is>
          <t>1CTOSH401BLCAT-FS</t>
        </is>
      </c>
      <c r="D1426" t="inlineStr">
        <is>
          <t>Sweatshirts &amp; Hoodies</t>
        </is>
      </c>
      <c r="E1426" t="inlineStr">
        <is>
          <t>Catalonia</t>
        </is>
      </c>
      <c r="G1426" s="48" t="n">
        <v>0</v>
      </c>
      <c r="H1426" s="48" t="n">
        <v>0</v>
      </c>
      <c r="I1426" s="48" t="n">
        <v>0</v>
      </c>
      <c r="J1426" s="48" t="n">
        <v>0</v>
      </c>
      <c r="K1426" s="49" t="n">
        <v>0</v>
      </c>
      <c r="L1426" s="49" t="n">
        <v>0</v>
      </c>
      <c r="M1426" s="49" t="n">
        <v>0</v>
      </c>
      <c r="N1426" s="49" t="n">
        <v>0</v>
      </c>
      <c r="O1426" s="49" t="n">
        <v>0</v>
      </c>
      <c r="P1426" s="49" t="n">
        <v>0</v>
      </c>
      <c r="Q1426" s="49" t="n">
        <v>0</v>
      </c>
      <c r="R1426" s="49" t="n">
        <v>0</v>
      </c>
      <c r="S1426" s="50" t="n">
        <v>0</v>
      </c>
      <c r="T1426" s="50" t="n">
        <v>0</v>
      </c>
      <c r="U1426" s="50" t="n">
        <v>0</v>
      </c>
      <c r="V1426" s="50" t="n">
        <v>0</v>
      </c>
      <c r="W1426" s="51" t="n">
        <v>0</v>
      </c>
      <c r="X1426" s="51" t="n">
        <v>0</v>
      </c>
      <c r="Y1426" s="51" t="n">
        <v>0</v>
      </c>
      <c r="Z1426" s="51" t="n">
        <v>0</v>
      </c>
      <c r="AA1426" s="52" t="n">
        <v>0</v>
      </c>
      <c r="AB1426" s="52" t="n">
        <v>0</v>
      </c>
      <c r="AC1426" s="52" t="n">
        <v>0</v>
      </c>
      <c r="AD1426" s="52" t="n">
        <v>0</v>
      </c>
      <c r="AE1426" s="52" t="n">
        <v>0</v>
      </c>
      <c r="AF1426" s="52" t="n">
        <v>0</v>
      </c>
      <c r="AG1426" s="52" t="n">
        <v>0</v>
      </c>
      <c r="AH1426" s="52" t="n">
        <v>0</v>
      </c>
      <c r="AI1426" s="52" t="n">
        <v>0</v>
      </c>
      <c r="AJ1426" s="52" t="n">
        <v>0</v>
      </c>
      <c r="AK1426" s="52" t="n">
        <v>0</v>
      </c>
      <c r="AL1426" s="52" t="n">
        <v>0</v>
      </c>
      <c r="AM1426" s="53" t="n">
        <v>0</v>
      </c>
      <c r="AN1426" s="53" t="n">
        <v>0</v>
      </c>
      <c r="AO1426" s="53" t="n">
        <v>0</v>
      </c>
      <c r="AP1426" s="53" t="n">
        <v>0</v>
      </c>
      <c r="AQ1426" s="52" t="n">
        <v>0</v>
      </c>
      <c r="AR1426" s="52" t="n">
        <v>0</v>
      </c>
      <c r="AS1426" s="52" t="n">
        <v>0</v>
      </c>
      <c r="AT1426" s="52" t="n">
        <v>0</v>
      </c>
      <c r="AU1426" s="53" t="n">
        <v>0</v>
      </c>
      <c r="AV1426" s="53" t="n">
        <v>0</v>
      </c>
      <c r="AW1426" s="53" t="n">
        <v>0</v>
      </c>
      <c r="AX1426" s="53" t="n">
        <v>0</v>
      </c>
      <c r="AY1426" s="52" t="n">
        <v>0</v>
      </c>
      <c r="AZ1426" s="52" t="n">
        <v>0</v>
      </c>
      <c r="BA1426" s="52" t="n">
        <v>0</v>
      </c>
      <c r="BB1426" s="52" t="n">
        <v>0</v>
      </c>
      <c r="BC1426" s="51" t="n">
        <v>0</v>
      </c>
      <c r="BD1426" s="51" t="n">
        <v>0</v>
      </c>
      <c r="BE1426" s="51" t="n">
        <v>0</v>
      </c>
      <c r="BF1426" s="51" t="n">
        <v>0</v>
      </c>
    </row>
    <row r="1427">
      <c r="A1427">
        <f>HYPERLINK("https://www.walmart.com/ip/14487262810", "14487262810")</f>
        <v/>
      </c>
      <c r="B1427" t="inlineStr">
        <is>
          <t>Catalonia Cotton Candy Blanket Hoodie for Kids, Oversized Wearable Fleece Sweatshirt Pullover for 7-16 yr Teens Youth, Kids Gift Idea</t>
        </is>
      </c>
      <c r="C1427" t="inlineStr">
        <is>
          <t>1CTOSH401COTTONCANDY-FS</t>
        </is>
      </c>
      <c r="D1427" t="inlineStr">
        <is>
          <t>Sweatshirts &amp; Hoodies</t>
        </is>
      </c>
      <c r="E1427" t="inlineStr">
        <is>
          <t>Catalonia</t>
        </is>
      </c>
      <c r="G1427" s="48" t="n">
        <v>0</v>
      </c>
      <c r="H1427" s="48" t="n">
        <v>0</v>
      </c>
      <c r="I1427" s="48" t="n">
        <v>0</v>
      </c>
      <c r="J1427" s="48" t="n">
        <v>0</v>
      </c>
      <c r="K1427" s="49" t="n">
        <v>0</v>
      </c>
      <c r="L1427" s="49" t="n">
        <v>0</v>
      </c>
      <c r="M1427" s="49" t="n">
        <v>0</v>
      </c>
      <c r="N1427" s="49" t="n">
        <v>0</v>
      </c>
      <c r="O1427" s="49" t="n">
        <v>0</v>
      </c>
      <c r="P1427" s="49" t="n">
        <v>0</v>
      </c>
      <c r="Q1427" s="49" t="n">
        <v>0</v>
      </c>
      <c r="R1427" s="49" t="n">
        <v>0</v>
      </c>
      <c r="S1427" s="50" t="n">
        <v>0</v>
      </c>
      <c r="T1427" s="50" t="n">
        <v>0</v>
      </c>
      <c r="U1427" s="50" t="n">
        <v>0</v>
      </c>
      <c r="V1427" s="50" t="n">
        <v>0</v>
      </c>
      <c r="W1427" s="51" t="n">
        <v>0</v>
      </c>
      <c r="X1427" s="51" t="n">
        <v>0</v>
      </c>
      <c r="Y1427" s="51" t="n">
        <v>0</v>
      </c>
      <c r="Z1427" s="51" t="n">
        <v>0</v>
      </c>
      <c r="AA1427" s="52" t="n">
        <v>0</v>
      </c>
      <c r="AB1427" s="52" t="n">
        <v>0</v>
      </c>
      <c r="AC1427" s="52" t="n">
        <v>0</v>
      </c>
      <c r="AD1427" s="52" t="n">
        <v>0</v>
      </c>
      <c r="AE1427" s="52" t="n">
        <v>0</v>
      </c>
      <c r="AF1427" s="52" t="n">
        <v>0</v>
      </c>
      <c r="AG1427" s="52" t="n">
        <v>0</v>
      </c>
      <c r="AH1427" s="52" t="n">
        <v>0</v>
      </c>
      <c r="AI1427" s="52" t="n">
        <v>0</v>
      </c>
      <c r="AJ1427" s="52" t="n">
        <v>0</v>
      </c>
      <c r="AK1427" s="52" t="n">
        <v>0</v>
      </c>
      <c r="AL1427" s="52" t="n">
        <v>0</v>
      </c>
      <c r="AM1427" s="53" t="n">
        <v>0</v>
      </c>
      <c r="AN1427" s="53" t="n">
        <v>0</v>
      </c>
      <c r="AO1427" s="53" t="n">
        <v>0</v>
      </c>
      <c r="AP1427" s="53" t="n">
        <v>0</v>
      </c>
      <c r="AQ1427" s="52" t="n">
        <v>0</v>
      </c>
      <c r="AR1427" s="52" t="n">
        <v>0</v>
      </c>
      <c r="AS1427" s="52" t="n">
        <v>0</v>
      </c>
      <c r="AT1427" s="52" t="n">
        <v>0</v>
      </c>
      <c r="AU1427" s="53" t="n">
        <v>0</v>
      </c>
      <c r="AV1427" s="53" t="n">
        <v>0</v>
      </c>
      <c r="AW1427" s="53" t="n">
        <v>0</v>
      </c>
      <c r="AX1427" s="53" t="n">
        <v>0</v>
      </c>
      <c r="AY1427" s="52" t="n">
        <v>0</v>
      </c>
      <c r="AZ1427" s="52" t="n">
        <v>0</v>
      </c>
      <c r="BA1427" s="52" t="n">
        <v>0</v>
      </c>
      <c r="BB1427" s="52" t="n">
        <v>0</v>
      </c>
      <c r="BC1427" s="51" t="n">
        <v>0</v>
      </c>
      <c r="BD1427" s="51" t="n">
        <v>0</v>
      </c>
      <c r="BE1427" s="51" t="n">
        <v>0</v>
      </c>
      <c r="BF1427" s="51" t="n">
        <v>0</v>
      </c>
    </row>
    <row r="1428">
      <c r="A1428">
        <f>HYPERLINK("https://www.walmart.com/ip/14487312722", "14487312722")</f>
        <v/>
      </c>
      <c r="B1428" t="inlineStr">
        <is>
          <t>Womens Oversized Flannel Blanket Hoodie Sweatshirt, Plush Fleece Lined Lounging Pullover, Christmas Gift for Women (Cow Print) - Catalonia</t>
        </is>
      </c>
      <c r="C1428" t="inlineStr">
        <is>
          <t>1CTOSH400DMT-FS</t>
        </is>
      </c>
      <c r="D1428" t="inlineStr">
        <is>
          <t>Sweatshirts &amp; Hoodies</t>
        </is>
      </c>
      <c r="E1428" t="inlineStr">
        <is>
          <t>Catalonia</t>
        </is>
      </c>
      <c r="G1428" s="48" t="n">
        <v>0</v>
      </c>
      <c r="H1428" s="48" t="n">
        <v>0</v>
      </c>
      <c r="I1428" s="48" t="n">
        <v>0</v>
      </c>
      <c r="J1428" s="48" t="n">
        <v>0</v>
      </c>
      <c r="K1428" s="49" t="n">
        <v>0</v>
      </c>
      <c r="L1428" s="49" t="n">
        <v>0</v>
      </c>
      <c r="M1428" s="49" t="n">
        <v>0</v>
      </c>
      <c r="N1428" s="49" t="n">
        <v>0</v>
      </c>
      <c r="O1428" s="49" t="n">
        <v>0</v>
      </c>
      <c r="P1428" s="49" t="n">
        <v>0</v>
      </c>
      <c r="Q1428" s="49" t="n">
        <v>0</v>
      </c>
      <c r="R1428" s="49" t="n">
        <v>0</v>
      </c>
      <c r="S1428" s="50" t="n">
        <v>0</v>
      </c>
      <c r="T1428" s="50" t="n">
        <v>0</v>
      </c>
      <c r="U1428" s="50" t="n">
        <v>0</v>
      </c>
      <c r="V1428" s="50" t="n">
        <v>0</v>
      </c>
      <c r="W1428" s="51" t="n">
        <v>0</v>
      </c>
      <c r="X1428" s="51" t="n">
        <v>0</v>
      </c>
      <c r="Y1428" s="51" t="n">
        <v>0</v>
      </c>
      <c r="Z1428" s="51" t="n">
        <v>0</v>
      </c>
      <c r="AA1428" s="52" t="n">
        <v>0</v>
      </c>
      <c r="AB1428" s="52" t="n">
        <v>0</v>
      </c>
      <c r="AC1428" s="52" t="n">
        <v>0</v>
      </c>
      <c r="AD1428" s="52" t="n">
        <v>0</v>
      </c>
      <c r="AE1428" s="52" t="n">
        <v>0</v>
      </c>
      <c r="AF1428" s="52" t="n">
        <v>0</v>
      </c>
      <c r="AG1428" s="52" t="n">
        <v>0</v>
      </c>
      <c r="AH1428" s="52" t="n">
        <v>0</v>
      </c>
      <c r="AI1428" s="52" t="n">
        <v>0</v>
      </c>
      <c r="AJ1428" s="52" t="n">
        <v>0</v>
      </c>
      <c r="AK1428" s="52" t="n">
        <v>0</v>
      </c>
      <c r="AL1428" s="52" t="n">
        <v>0</v>
      </c>
      <c r="AM1428" s="53" t="n">
        <v>0</v>
      </c>
      <c r="AN1428" s="53" t="n">
        <v>0</v>
      </c>
      <c r="AO1428" s="53" t="n">
        <v>0</v>
      </c>
      <c r="AP1428" s="53" t="n">
        <v>0</v>
      </c>
      <c r="AQ1428" s="52" t="n">
        <v>0</v>
      </c>
      <c r="AR1428" s="52" t="n">
        <v>0</v>
      </c>
      <c r="AS1428" s="52" t="n">
        <v>0</v>
      </c>
      <c r="AT1428" s="52" t="n">
        <v>0</v>
      </c>
      <c r="AU1428" s="53" t="n">
        <v>0</v>
      </c>
      <c r="AV1428" s="53" t="n">
        <v>0</v>
      </c>
      <c r="AW1428" s="53" t="n">
        <v>0</v>
      </c>
      <c r="AX1428" s="53" t="n">
        <v>0</v>
      </c>
      <c r="AY1428" s="52" t="n">
        <v>0</v>
      </c>
      <c r="AZ1428" s="52" t="n">
        <v>0</v>
      </c>
      <c r="BA1428" s="52" t="n">
        <v>0</v>
      </c>
      <c r="BB1428" s="52" t="n">
        <v>0</v>
      </c>
      <c r="BC1428" s="51" t="n">
        <v>0</v>
      </c>
      <c r="BD1428" s="51" t="n">
        <v>0</v>
      </c>
      <c r="BE1428" s="51" t="n">
        <v>0</v>
      </c>
      <c r="BF1428" s="51" t="n">
        <v>0</v>
      </c>
    </row>
    <row r="1429">
      <c r="A1429">
        <f>HYPERLINK("https://www.walmart.com/ip/14488058718", "14488058718")</f>
        <v/>
      </c>
      <c r="B1429" t="inlineStr">
        <is>
          <t>Aeropostale  Backpack for School, College, and Travel， Water Resistant Bookbag</t>
        </is>
      </c>
      <c r="C1429" t="inlineStr">
        <is>
          <t>1AEBPK92079BK</t>
        </is>
      </c>
      <c r="D1429" t="inlineStr">
        <is>
          <t>Backpacks</t>
        </is>
      </c>
      <c r="E1429" t="inlineStr">
        <is>
          <t>Aeropostale</t>
        </is>
      </c>
      <c r="G1429" s="48" t="n">
        <v>0</v>
      </c>
      <c r="H1429" s="48" t="n">
        <v>0</v>
      </c>
      <c r="I1429" s="48" t="n">
        <v>0</v>
      </c>
      <c r="J1429" s="48" t="n">
        <v>0</v>
      </c>
      <c r="K1429" s="49" t="n">
        <v>0</v>
      </c>
      <c r="L1429" s="49" t="n">
        <v>0</v>
      </c>
      <c r="M1429" s="49" t="n">
        <v>0</v>
      </c>
      <c r="N1429" s="49" t="n">
        <v>0</v>
      </c>
      <c r="O1429" s="49" t="n">
        <v>0</v>
      </c>
      <c r="P1429" s="49" t="n">
        <v>0</v>
      </c>
      <c r="Q1429" s="49" t="n">
        <v>0</v>
      </c>
      <c r="R1429" s="49" t="n">
        <v>0</v>
      </c>
      <c r="S1429" s="50" t="n">
        <v>0</v>
      </c>
      <c r="T1429" s="50" t="n">
        <v>0</v>
      </c>
      <c r="U1429" s="50" t="n">
        <v>0</v>
      </c>
      <c r="V1429" s="50" t="n">
        <v>0</v>
      </c>
      <c r="W1429" s="51" t="n">
        <v>0</v>
      </c>
      <c r="X1429" s="51" t="n">
        <v>0</v>
      </c>
      <c r="Y1429" s="51" t="n">
        <v>0</v>
      </c>
      <c r="Z1429" s="51" t="n">
        <v>0</v>
      </c>
      <c r="AA1429" s="52" t="n">
        <v>0</v>
      </c>
      <c r="AB1429" s="52" t="n">
        <v>0</v>
      </c>
      <c r="AC1429" s="52" t="n">
        <v>0</v>
      </c>
      <c r="AD1429" s="52" t="n">
        <v>0</v>
      </c>
      <c r="AE1429" s="52" t="n">
        <v>0</v>
      </c>
      <c r="AF1429" s="52" t="n">
        <v>0</v>
      </c>
      <c r="AG1429" s="52" t="n">
        <v>0</v>
      </c>
      <c r="AH1429" s="52" t="n">
        <v>0</v>
      </c>
      <c r="AI1429" s="52" t="n">
        <v>0</v>
      </c>
      <c r="AJ1429" s="52" t="n">
        <v>0</v>
      </c>
      <c r="AK1429" s="52" t="n">
        <v>0</v>
      </c>
      <c r="AL1429" s="52" t="n">
        <v>0</v>
      </c>
      <c r="AM1429" s="53" t="n">
        <v>0</v>
      </c>
      <c r="AN1429" s="53" t="n">
        <v>0</v>
      </c>
      <c r="AO1429" s="53" t="n">
        <v>0</v>
      </c>
      <c r="AP1429" s="53" t="n">
        <v>0</v>
      </c>
      <c r="AQ1429" s="52" t="n">
        <v>0</v>
      </c>
      <c r="AR1429" s="52" t="n">
        <v>0</v>
      </c>
      <c r="AS1429" s="52" t="n">
        <v>0</v>
      </c>
      <c r="AT1429" s="52" t="n">
        <v>0</v>
      </c>
      <c r="AU1429" s="53" t="n">
        <v>0</v>
      </c>
      <c r="AV1429" s="53" t="n">
        <v>0</v>
      </c>
      <c r="AW1429" s="53" t="n">
        <v>0</v>
      </c>
      <c r="AX1429" s="53" t="n">
        <v>0</v>
      </c>
      <c r="AY1429" s="52" t="n">
        <v>0</v>
      </c>
      <c r="AZ1429" s="52" t="n">
        <v>0</v>
      </c>
      <c r="BA1429" s="52" t="n">
        <v>0</v>
      </c>
      <c r="BB1429" s="52" t="n">
        <v>0</v>
      </c>
      <c r="BC1429" s="51" t="n">
        <v>0</v>
      </c>
      <c r="BD1429" s="51" t="n">
        <v>0</v>
      </c>
      <c r="BE1429" s="51" t="n">
        <v>0</v>
      </c>
      <c r="BF1429" s="51" t="n">
        <v>0</v>
      </c>
    </row>
    <row r="1430">
      <c r="A1430">
        <f>HYPERLINK("https://www.walmart.com/ip/14488664374", "14488664374")</f>
        <v/>
      </c>
      <c r="B1430" t="inlineStr">
        <is>
          <t>Catalonia Oversized Blanket Hoodie Sweatshirt, Fleece Hooded Lounging Pullover with Giant Pocket, Birthday Gifts Christmas Gifts, Pink Plaid</t>
        </is>
      </c>
      <c r="C1430" t="inlineStr">
        <is>
          <t>1CTOSH300PGN-FS</t>
        </is>
      </c>
      <c r="D1430" t="inlineStr">
        <is>
          <t>Sweatshirts &amp; Hoodies</t>
        </is>
      </c>
      <c r="E1430" t="inlineStr">
        <is>
          <t>Catalonia</t>
        </is>
      </c>
      <c r="G1430" s="48" t="n">
        <v>0</v>
      </c>
      <c r="H1430" s="48" t="n">
        <v>0</v>
      </c>
      <c r="I1430" s="48" t="n">
        <v>0</v>
      </c>
      <c r="J1430" s="48" t="n">
        <v>0</v>
      </c>
      <c r="K1430" s="49" t="n">
        <v>0</v>
      </c>
      <c r="L1430" s="49" t="n">
        <v>0</v>
      </c>
      <c r="M1430" s="49" t="n">
        <v>0</v>
      </c>
      <c r="N1430" s="49" t="n">
        <v>0</v>
      </c>
      <c r="O1430" s="49" t="n">
        <v>0</v>
      </c>
      <c r="P1430" s="49" t="n">
        <v>0</v>
      </c>
      <c r="Q1430" s="49" t="n">
        <v>0</v>
      </c>
      <c r="R1430" s="49" t="n">
        <v>0</v>
      </c>
      <c r="S1430" s="50" t="n">
        <v>0</v>
      </c>
      <c r="T1430" s="50" t="n">
        <v>0</v>
      </c>
      <c r="U1430" s="50" t="n">
        <v>0</v>
      </c>
      <c r="V1430" s="50" t="n">
        <v>0</v>
      </c>
      <c r="W1430" s="51" t="n">
        <v>0</v>
      </c>
      <c r="X1430" s="51" t="n">
        <v>0</v>
      </c>
      <c r="Y1430" s="51" t="n">
        <v>0</v>
      </c>
      <c r="Z1430" s="51" t="n">
        <v>0</v>
      </c>
      <c r="AA1430" s="52" t="n">
        <v>0</v>
      </c>
      <c r="AB1430" s="52" t="n">
        <v>0</v>
      </c>
      <c r="AC1430" s="52" t="n">
        <v>0</v>
      </c>
      <c r="AD1430" s="52" t="n">
        <v>0</v>
      </c>
      <c r="AE1430" s="52" t="n">
        <v>0</v>
      </c>
      <c r="AF1430" s="52" t="n">
        <v>0</v>
      </c>
      <c r="AG1430" s="52" t="n">
        <v>0</v>
      </c>
      <c r="AH1430" s="52" t="n">
        <v>0</v>
      </c>
      <c r="AI1430" s="52" t="n">
        <v>0</v>
      </c>
      <c r="AJ1430" s="52" t="n">
        <v>0</v>
      </c>
      <c r="AK1430" s="52" t="n">
        <v>0</v>
      </c>
      <c r="AL1430" s="52" t="n">
        <v>0</v>
      </c>
      <c r="AM1430" s="53" t="n">
        <v>0</v>
      </c>
      <c r="AN1430" s="53" t="n">
        <v>0</v>
      </c>
      <c r="AO1430" s="53" t="n">
        <v>0</v>
      </c>
      <c r="AP1430" s="53" t="n">
        <v>0</v>
      </c>
      <c r="AQ1430" s="52" t="n">
        <v>0</v>
      </c>
      <c r="AR1430" s="52" t="n">
        <v>0</v>
      </c>
      <c r="AS1430" s="52" t="n">
        <v>0</v>
      </c>
      <c r="AT1430" s="52" t="n">
        <v>0</v>
      </c>
      <c r="AU1430" s="53" t="n">
        <v>0</v>
      </c>
      <c r="AV1430" s="53" t="n">
        <v>0</v>
      </c>
      <c r="AW1430" s="53" t="n">
        <v>0</v>
      </c>
      <c r="AX1430" s="53" t="n">
        <v>0</v>
      </c>
      <c r="AY1430" s="52" t="n">
        <v>0</v>
      </c>
      <c r="AZ1430" s="52" t="n">
        <v>0</v>
      </c>
      <c r="BA1430" s="52" t="n">
        <v>0</v>
      </c>
      <c r="BB1430" s="52" t="n">
        <v>0</v>
      </c>
      <c r="BC1430" s="51" t="n">
        <v>0</v>
      </c>
      <c r="BD1430" s="51" t="n">
        <v>0</v>
      </c>
      <c r="BE1430" s="51" t="n">
        <v>0</v>
      </c>
      <c r="BF1430" s="51" t="n">
        <v>0</v>
      </c>
    </row>
    <row r="1431">
      <c r="A1431">
        <f>HYPERLINK("https://www.walmart.com/ip/14488764892", "14488764892")</f>
        <v/>
      </c>
      <c r="B1431" t="inlineStr">
        <is>
          <t>Catalonia Cow Print Kid's Oversized Wearable Blanket Hoodie Sweatshirt,  Comfortable Fleece  Pullover for 7-16 yr Teens Youth, Cow Gift for Cow Lovers</t>
        </is>
      </c>
      <c r="C1431" t="inlineStr">
        <is>
          <t>1CTOSH401DMT-FS</t>
        </is>
      </c>
      <c r="D1431" t="inlineStr">
        <is>
          <t>Sweatshirts &amp; Hoodies</t>
        </is>
      </c>
      <c r="E1431" t="inlineStr">
        <is>
          <t>Catalonia</t>
        </is>
      </c>
      <c r="G1431" s="48" t="n">
        <v>0</v>
      </c>
      <c r="H1431" s="48" t="n">
        <v>0</v>
      </c>
      <c r="I1431" s="48" t="n">
        <v>0</v>
      </c>
      <c r="J1431" s="48" t="n">
        <v>0</v>
      </c>
      <c r="K1431" s="49" t="n">
        <v>0</v>
      </c>
      <c r="L1431" s="49" t="n">
        <v>0</v>
      </c>
      <c r="M1431" s="49" t="n">
        <v>0</v>
      </c>
      <c r="N1431" s="49" t="n">
        <v>0</v>
      </c>
      <c r="O1431" s="49" t="n">
        <v>0</v>
      </c>
      <c r="P1431" s="49" t="n">
        <v>0</v>
      </c>
      <c r="Q1431" s="49" t="n">
        <v>0</v>
      </c>
      <c r="R1431" s="49" t="n">
        <v>0</v>
      </c>
      <c r="S1431" s="50" t="n">
        <v>0</v>
      </c>
      <c r="T1431" s="50" t="n">
        <v>0</v>
      </c>
      <c r="U1431" s="50" t="n">
        <v>0</v>
      </c>
      <c r="V1431" s="50" t="n">
        <v>0</v>
      </c>
      <c r="W1431" s="51" t="n">
        <v>0</v>
      </c>
      <c r="X1431" s="51" t="n">
        <v>0</v>
      </c>
      <c r="Y1431" s="51" t="n">
        <v>0</v>
      </c>
      <c r="Z1431" s="51" t="n">
        <v>0</v>
      </c>
      <c r="AA1431" s="52" t="n">
        <v>0</v>
      </c>
      <c r="AB1431" s="52" t="n">
        <v>0</v>
      </c>
      <c r="AC1431" s="52" t="n">
        <v>0</v>
      </c>
      <c r="AD1431" s="52" t="n">
        <v>0</v>
      </c>
      <c r="AE1431" s="52" t="n">
        <v>0</v>
      </c>
      <c r="AF1431" s="52" t="n">
        <v>0</v>
      </c>
      <c r="AG1431" s="52" t="n">
        <v>0</v>
      </c>
      <c r="AH1431" s="52" t="n">
        <v>0</v>
      </c>
      <c r="AI1431" s="52" t="n">
        <v>0</v>
      </c>
      <c r="AJ1431" s="52" t="n">
        <v>0</v>
      </c>
      <c r="AK1431" s="52" t="n">
        <v>0</v>
      </c>
      <c r="AL1431" s="52" t="n">
        <v>0</v>
      </c>
      <c r="AM1431" s="53" t="n">
        <v>0</v>
      </c>
      <c r="AN1431" s="53" t="n">
        <v>0</v>
      </c>
      <c r="AO1431" s="53" t="n">
        <v>0</v>
      </c>
      <c r="AP1431" s="53" t="n">
        <v>0</v>
      </c>
      <c r="AQ1431" s="52" t="n">
        <v>0</v>
      </c>
      <c r="AR1431" s="52" t="n">
        <v>0</v>
      </c>
      <c r="AS1431" s="52" t="n">
        <v>0</v>
      </c>
      <c r="AT1431" s="52" t="n">
        <v>0</v>
      </c>
      <c r="AU1431" s="53" t="n">
        <v>0</v>
      </c>
      <c r="AV1431" s="53" t="n">
        <v>0</v>
      </c>
      <c r="AW1431" s="53" t="n">
        <v>0</v>
      </c>
      <c r="AX1431" s="53" t="n">
        <v>0</v>
      </c>
      <c r="AY1431" s="52" t="n">
        <v>0</v>
      </c>
      <c r="AZ1431" s="52" t="n">
        <v>0</v>
      </c>
      <c r="BA1431" s="52" t="n">
        <v>0</v>
      </c>
      <c r="BB1431" s="52" t="n">
        <v>0</v>
      </c>
      <c r="BC1431" s="51" t="n">
        <v>0</v>
      </c>
      <c r="BD1431" s="51" t="n">
        <v>0</v>
      </c>
      <c r="BE1431" s="51" t="n">
        <v>0</v>
      </c>
      <c r="BF1431" s="51" t="n">
        <v>0</v>
      </c>
    </row>
    <row r="1432">
      <c r="A1432">
        <f>HYPERLINK("https://www.walmart.com/ip/14488764906", "14488764906")</f>
        <v/>
      </c>
      <c r="B1432" t="inlineStr">
        <is>
          <t>Tirrinia Womens' Hoodie Blanket Sweatshirt, Oversized Comfortable Fleece Giant Wearable Blankets, Hoodie Blanket for Men, Gift for Her Him, Gray</t>
        </is>
      </c>
      <c r="C1432" t="inlineStr">
        <is>
          <t>1TROSH400GY-FS</t>
        </is>
      </c>
      <c r="D1432" t="inlineStr">
        <is>
          <t>Sweatshirts &amp; Hoodies</t>
        </is>
      </c>
      <c r="E1432" t="inlineStr">
        <is>
          <t>Tirrinia</t>
        </is>
      </c>
      <c r="G1432" s="48" t="n">
        <v>0</v>
      </c>
      <c r="H1432" s="48" t="n">
        <v>0</v>
      </c>
      <c r="I1432" s="48" t="n">
        <v>0</v>
      </c>
      <c r="J1432" s="48" t="n">
        <v>0</v>
      </c>
      <c r="K1432" s="49" t="n">
        <v>0</v>
      </c>
      <c r="L1432" s="49" t="n">
        <v>0</v>
      </c>
      <c r="M1432" s="49" t="n">
        <v>0</v>
      </c>
      <c r="N1432" s="49" t="n">
        <v>0</v>
      </c>
      <c r="O1432" s="49" t="n">
        <v>0</v>
      </c>
      <c r="P1432" s="49" t="n">
        <v>0</v>
      </c>
      <c r="Q1432" s="49" t="n">
        <v>0</v>
      </c>
      <c r="R1432" s="49" t="n">
        <v>0</v>
      </c>
      <c r="S1432" s="50" t="n">
        <v>0</v>
      </c>
      <c r="T1432" s="50" t="n">
        <v>0</v>
      </c>
      <c r="U1432" s="50" t="n">
        <v>0</v>
      </c>
      <c r="V1432" s="50" t="n">
        <v>0</v>
      </c>
      <c r="W1432" s="51" t="n">
        <v>0</v>
      </c>
      <c r="X1432" s="51" t="n">
        <v>0</v>
      </c>
      <c r="Y1432" s="51" t="n">
        <v>0</v>
      </c>
      <c r="Z1432" s="51" t="n">
        <v>0</v>
      </c>
      <c r="AA1432" s="52" t="n">
        <v>0</v>
      </c>
      <c r="AB1432" s="52" t="n">
        <v>0</v>
      </c>
      <c r="AC1432" s="52" t="n">
        <v>0</v>
      </c>
      <c r="AD1432" s="52" t="n">
        <v>0</v>
      </c>
      <c r="AE1432" s="52" t="n">
        <v>0</v>
      </c>
      <c r="AF1432" s="52" t="n">
        <v>0</v>
      </c>
      <c r="AG1432" s="52" t="n">
        <v>0</v>
      </c>
      <c r="AH1432" s="52" t="n">
        <v>0</v>
      </c>
      <c r="AI1432" s="52" t="n">
        <v>0</v>
      </c>
      <c r="AJ1432" s="52" t="n">
        <v>0</v>
      </c>
      <c r="AK1432" s="52" t="n">
        <v>0</v>
      </c>
      <c r="AL1432" s="52" t="n">
        <v>0</v>
      </c>
      <c r="AM1432" s="53" t="n">
        <v>0</v>
      </c>
      <c r="AN1432" s="53" t="n">
        <v>0</v>
      </c>
      <c r="AO1432" s="53" t="n">
        <v>0</v>
      </c>
      <c r="AP1432" s="53" t="n">
        <v>0</v>
      </c>
      <c r="AQ1432" s="52" t="n">
        <v>0</v>
      </c>
      <c r="AR1432" s="52" t="n">
        <v>0</v>
      </c>
      <c r="AS1432" s="52" t="n">
        <v>0</v>
      </c>
      <c r="AT1432" s="52" t="n">
        <v>0</v>
      </c>
      <c r="AU1432" s="53" t="n">
        <v>0</v>
      </c>
      <c r="AV1432" s="53" t="n">
        <v>0</v>
      </c>
      <c r="AW1432" s="53" t="n">
        <v>0</v>
      </c>
      <c r="AX1432" s="53" t="n">
        <v>0</v>
      </c>
      <c r="AY1432" s="52" t="n">
        <v>0</v>
      </c>
      <c r="AZ1432" s="52" t="n">
        <v>0</v>
      </c>
      <c r="BA1432" s="52" t="n">
        <v>0</v>
      </c>
      <c r="BB1432" s="52" t="n">
        <v>0</v>
      </c>
      <c r="BC1432" s="51" t="n">
        <v>0</v>
      </c>
      <c r="BD1432" s="51" t="n">
        <v>0</v>
      </c>
      <c r="BE1432" s="51" t="n">
        <v>0</v>
      </c>
      <c r="BF1432" s="51" t="n">
        <v>0</v>
      </c>
    </row>
    <row r="1433">
      <c r="A1433">
        <f>HYPERLINK("https://www.walmart.com/ip/14488814816", "14488814816")</f>
        <v/>
      </c>
      <c r="B1433" t="inlineStr">
        <is>
          <t>Catalonia Womens' Full Body Blanket Hoodie Sweatshirt, Extra Long Wearable Fleece Pullover, Gift for Adult Men Women Wife Girlfriend, Pink</t>
        </is>
      </c>
      <c r="C1433" t="inlineStr">
        <is>
          <t>1CTOSH310S1AQ-FS</t>
        </is>
      </c>
      <c r="D1433" t="inlineStr">
        <is>
          <t>Sweatshirts &amp; Hoodies</t>
        </is>
      </c>
      <c r="E1433" t="inlineStr">
        <is>
          <t>Catalonia</t>
        </is>
      </c>
      <c r="G1433" s="48" t="n">
        <v>0</v>
      </c>
      <c r="H1433" s="48" t="n">
        <v>0</v>
      </c>
      <c r="I1433" s="48" t="n">
        <v>0</v>
      </c>
      <c r="J1433" s="48" t="n">
        <v>0</v>
      </c>
      <c r="K1433" s="49" t="n">
        <v>0</v>
      </c>
      <c r="L1433" s="49" t="n">
        <v>0</v>
      </c>
      <c r="M1433" s="49" t="n">
        <v>0</v>
      </c>
      <c r="N1433" s="49" t="n">
        <v>0</v>
      </c>
      <c r="O1433" s="49" t="n">
        <v>0</v>
      </c>
      <c r="P1433" s="49" t="n">
        <v>0</v>
      </c>
      <c r="Q1433" s="49" t="n">
        <v>0</v>
      </c>
      <c r="R1433" s="49" t="n">
        <v>0</v>
      </c>
      <c r="S1433" s="50" t="n">
        <v>0</v>
      </c>
      <c r="T1433" s="50" t="n">
        <v>0</v>
      </c>
      <c r="U1433" s="50" t="n">
        <v>0</v>
      </c>
      <c r="V1433" s="50" t="n">
        <v>0</v>
      </c>
      <c r="W1433" s="51" t="n">
        <v>0</v>
      </c>
      <c r="X1433" s="51" t="n">
        <v>0</v>
      </c>
      <c r="Y1433" s="51" t="n">
        <v>0</v>
      </c>
      <c r="Z1433" s="51" t="n">
        <v>0</v>
      </c>
      <c r="AA1433" s="52" t="n">
        <v>0</v>
      </c>
      <c r="AB1433" s="52" t="n">
        <v>0</v>
      </c>
      <c r="AC1433" s="52" t="n">
        <v>0</v>
      </c>
      <c r="AD1433" s="52" t="n">
        <v>0</v>
      </c>
      <c r="AE1433" s="52" t="n">
        <v>0</v>
      </c>
      <c r="AF1433" s="52" t="n">
        <v>0</v>
      </c>
      <c r="AG1433" s="52" t="n">
        <v>0</v>
      </c>
      <c r="AH1433" s="52" t="n">
        <v>0</v>
      </c>
      <c r="AI1433" s="52" t="n">
        <v>0</v>
      </c>
      <c r="AJ1433" s="52" t="n">
        <v>0</v>
      </c>
      <c r="AK1433" s="52" t="n">
        <v>0</v>
      </c>
      <c r="AL1433" s="52" t="n">
        <v>0</v>
      </c>
      <c r="AM1433" s="53" t="n">
        <v>0</v>
      </c>
      <c r="AN1433" s="53" t="n">
        <v>0</v>
      </c>
      <c r="AO1433" s="53" t="n">
        <v>0</v>
      </c>
      <c r="AP1433" s="53" t="n">
        <v>0</v>
      </c>
      <c r="AQ1433" s="52" t="n">
        <v>0</v>
      </c>
      <c r="AR1433" s="52" t="n">
        <v>0</v>
      </c>
      <c r="AS1433" s="52" t="n">
        <v>0</v>
      </c>
      <c r="AT1433" s="52" t="n">
        <v>0</v>
      </c>
      <c r="AU1433" s="53" t="n">
        <v>0</v>
      </c>
      <c r="AV1433" s="53" t="n">
        <v>0</v>
      </c>
      <c r="AW1433" s="53" t="n">
        <v>0</v>
      </c>
      <c r="AX1433" s="53" t="n">
        <v>0</v>
      </c>
      <c r="AY1433" s="52" t="n">
        <v>0</v>
      </c>
      <c r="AZ1433" s="52" t="n">
        <v>0</v>
      </c>
      <c r="BA1433" s="52" t="n">
        <v>0</v>
      </c>
      <c r="BB1433" s="52" t="n">
        <v>0</v>
      </c>
      <c r="BC1433" s="51" t="n">
        <v>0</v>
      </c>
      <c r="BD1433" s="51" t="n">
        <v>0</v>
      </c>
      <c r="BE1433" s="51" t="n">
        <v>0</v>
      </c>
      <c r="BF1433" s="51" t="n">
        <v>0</v>
      </c>
    </row>
    <row r="1434">
      <c r="A1434">
        <f>HYPERLINK("https://www.walmart.com/ip/14488814829", "14488814829")</f>
        <v/>
      </c>
      <c r="B1434" t="inlineStr">
        <is>
          <t>Tirrinia Womens' Hoodie Blanket Sweatshirt, Oversized Comfortable Fleece Giant Wearable Blankets, Hoodie Blanket for Men, Gift for Her Him, Purple</t>
        </is>
      </c>
      <c r="C1434" t="inlineStr">
        <is>
          <t>1TROSH400PP-FS</t>
        </is>
      </c>
      <c r="D1434" t="inlineStr">
        <is>
          <t>Sweatshirts &amp; Hoodies</t>
        </is>
      </c>
      <c r="E1434" t="inlineStr">
        <is>
          <t>Tirrinia</t>
        </is>
      </c>
      <c r="G1434" s="48" t="n">
        <v>0</v>
      </c>
      <c r="H1434" s="48" t="n">
        <v>0</v>
      </c>
      <c r="I1434" s="48" t="n">
        <v>0</v>
      </c>
      <c r="J1434" s="48" t="n">
        <v>0</v>
      </c>
      <c r="K1434" s="49" t="n">
        <v>0</v>
      </c>
      <c r="L1434" s="49" t="n">
        <v>0</v>
      </c>
      <c r="M1434" s="49" t="n">
        <v>0</v>
      </c>
      <c r="N1434" s="49" t="n">
        <v>0</v>
      </c>
      <c r="O1434" s="49" t="n">
        <v>0</v>
      </c>
      <c r="P1434" s="49" t="n">
        <v>0</v>
      </c>
      <c r="Q1434" s="49" t="n">
        <v>0</v>
      </c>
      <c r="R1434" s="49" t="n">
        <v>0</v>
      </c>
      <c r="S1434" s="50" t="n">
        <v>0</v>
      </c>
      <c r="T1434" s="50" t="n">
        <v>0</v>
      </c>
      <c r="U1434" s="50" t="n">
        <v>0</v>
      </c>
      <c r="V1434" s="50" t="n">
        <v>0</v>
      </c>
      <c r="W1434" s="51" t="n">
        <v>0</v>
      </c>
      <c r="X1434" s="51" t="n">
        <v>0</v>
      </c>
      <c r="Y1434" s="51" t="n">
        <v>0</v>
      </c>
      <c r="Z1434" s="51" t="n">
        <v>0</v>
      </c>
      <c r="AA1434" s="52" t="n">
        <v>0</v>
      </c>
      <c r="AB1434" s="52" t="n">
        <v>0</v>
      </c>
      <c r="AC1434" s="52" t="n">
        <v>0</v>
      </c>
      <c r="AD1434" s="52" t="n">
        <v>0</v>
      </c>
      <c r="AE1434" s="52" t="n">
        <v>0</v>
      </c>
      <c r="AF1434" s="52" t="n">
        <v>0</v>
      </c>
      <c r="AG1434" s="52" t="n">
        <v>0</v>
      </c>
      <c r="AH1434" s="52" t="n">
        <v>0</v>
      </c>
      <c r="AI1434" s="52" t="n">
        <v>0</v>
      </c>
      <c r="AJ1434" s="52" t="n">
        <v>0</v>
      </c>
      <c r="AK1434" s="52" t="n">
        <v>0</v>
      </c>
      <c r="AL1434" s="52" t="n">
        <v>0</v>
      </c>
      <c r="AM1434" s="53" t="n">
        <v>0</v>
      </c>
      <c r="AN1434" s="53" t="n">
        <v>0</v>
      </c>
      <c r="AO1434" s="53" t="n">
        <v>0</v>
      </c>
      <c r="AP1434" s="53" t="n">
        <v>0</v>
      </c>
      <c r="AQ1434" s="52" t="n">
        <v>0</v>
      </c>
      <c r="AR1434" s="52" t="n">
        <v>0</v>
      </c>
      <c r="AS1434" s="52" t="n">
        <v>0</v>
      </c>
      <c r="AT1434" s="52" t="n">
        <v>0</v>
      </c>
      <c r="AU1434" s="53" t="n">
        <v>0</v>
      </c>
      <c r="AV1434" s="53" t="n">
        <v>0</v>
      </c>
      <c r="AW1434" s="53" t="n">
        <v>0</v>
      </c>
      <c r="AX1434" s="53" t="n">
        <v>0</v>
      </c>
      <c r="AY1434" s="52" t="n">
        <v>0</v>
      </c>
      <c r="AZ1434" s="52" t="n">
        <v>0</v>
      </c>
      <c r="BA1434" s="52" t="n">
        <v>0</v>
      </c>
      <c r="BB1434" s="52" t="n">
        <v>0</v>
      </c>
      <c r="BC1434" s="51" t="n">
        <v>0</v>
      </c>
      <c r="BD1434" s="51" t="n">
        <v>0</v>
      </c>
      <c r="BE1434" s="51" t="n">
        <v>0</v>
      </c>
      <c r="BF1434" s="51" t="n">
        <v>0</v>
      </c>
    </row>
    <row r="1435">
      <c r="A1435">
        <f>HYPERLINK("https://www.walmart.com/ip/14488864795", "14488864795")</f>
        <v/>
      </c>
      <c r="B1435" t="inlineStr">
        <is>
          <t>Womens Oversized Flannel Blanket Hoodie Sweatshirt, Plush Fleece Lined Lounging Pullover, Christmas Gift for Women (Red Checkered) - Catalonia</t>
        </is>
      </c>
      <c r="C1435" t="inlineStr">
        <is>
          <t>1CTOSH400LBL-FS</t>
        </is>
      </c>
      <c r="D1435" t="inlineStr">
        <is>
          <t>Sweatshirts &amp; Hoodies</t>
        </is>
      </c>
      <c r="E1435" t="inlineStr">
        <is>
          <t>Catalonia</t>
        </is>
      </c>
      <c r="G1435" s="48" t="n">
        <v>0</v>
      </c>
      <c r="H1435" s="48" t="n">
        <v>0</v>
      </c>
      <c r="I1435" s="48" t="n">
        <v>0</v>
      </c>
      <c r="J1435" s="48" t="n">
        <v>0</v>
      </c>
      <c r="K1435" s="49" t="n">
        <v>0</v>
      </c>
      <c r="L1435" s="49" t="n">
        <v>0</v>
      </c>
      <c r="M1435" s="49" t="n">
        <v>0</v>
      </c>
      <c r="N1435" s="49" t="n">
        <v>0</v>
      </c>
      <c r="O1435" s="49" t="n">
        <v>0</v>
      </c>
      <c r="P1435" s="49" t="n">
        <v>0</v>
      </c>
      <c r="Q1435" s="49" t="n">
        <v>0</v>
      </c>
      <c r="R1435" s="49" t="n">
        <v>0</v>
      </c>
      <c r="S1435" s="50" t="n">
        <v>0</v>
      </c>
      <c r="T1435" s="50" t="n">
        <v>0</v>
      </c>
      <c r="U1435" s="50" t="n">
        <v>0</v>
      </c>
      <c r="V1435" s="50" t="n">
        <v>0</v>
      </c>
      <c r="W1435" s="51" t="n">
        <v>0</v>
      </c>
      <c r="X1435" s="51" t="n">
        <v>0</v>
      </c>
      <c r="Y1435" s="51" t="n">
        <v>0</v>
      </c>
      <c r="Z1435" s="51" t="n">
        <v>0</v>
      </c>
      <c r="AA1435" s="52" t="n">
        <v>0</v>
      </c>
      <c r="AB1435" s="52" t="n">
        <v>0</v>
      </c>
      <c r="AC1435" s="52" t="n">
        <v>0</v>
      </c>
      <c r="AD1435" s="52" t="n">
        <v>0</v>
      </c>
      <c r="AE1435" s="52" t="n">
        <v>0</v>
      </c>
      <c r="AF1435" s="52" t="n">
        <v>0</v>
      </c>
      <c r="AG1435" s="52" t="n">
        <v>0</v>
      </c>
      <c r="AH1435" s="52" t="n">
        <v>0</v>
      </c>
      <c r="AI1435" s="52" t="n">
        <v>0</v>
      </c>
      <c r="AJ1435" s="52" t="n">
        <v>0</v>
      </c>
      <c r="AK1435" s="52" t="n">
        <v>0</v>
      </c>
      <c r="AL1435" s="52" t="n">
        <v>0</v>
      </c>
      <c r="AM1435" s="53" t="n">
        <v>0</v>
      </c>
      <c r="AN1435" s="53" t="n">
        <v>0</v>
      </c>
      <c r="AO1435" s="53" t="n">
        <v>0</v>
      </c>
      <c r="AP1435" s="53" t="n">
        <v>0</v>
      </c>
      <c r="AQ1435" s="52" t="n">
        <v>0</v>
      </c>
      <c r="AR1435" s="52" t="n">
        <v>0</v>
      </c>
      <c r="AS1435" s="52" t="n">
        <v>0</v>
      </c>
      <c r="AT1435" s="52" t="n">
        <v>0</v>
      </c>
      <c r="AU1435" s="53" t="n">
        <v>0</v>
      </c>
      <c r="AV1435" s="53" t="n">
        <v>0</v>
      </c>
      <c r="AW1435" s="53" t="n">
        <v>0</v>
      </c>
      <c r="AX1435" s="53" t="n">
        <v>0</v>
      </c>
      <c r="AY1435" s="52" t="n">
        <v>0</v>
      </c>
      <c r="AZ1435" s="52" t="n">
        <v>0</v>
      </c>
      <c r="BA1435" s="52" t="n">
        <v>0</v>
      </c>
      <c r="BB1435" s="52" t="n">
        <v>0</v>
      </c>
      <c r="BC1435" s="51" t="n">
        <v>0</v>
      </c>
      <c r="BD1435" s="51" t="n">
        <v>0</v>
      </c>
      <c r="BE1435" s="51" t="n">
        <v>0</v>
      </c>
      <c r="BF1435" s="51" t="n">
        <v>0</v>
      </c>
    </row>
    <row r="1436">
      <c r="A1436">
        <f>HYPERLINK("https://www.walmart.com/ip/14488914614", "14488914614")</f>
        <v/>
      </c>
      <c r="B1436" t="inlineStr">
        <is>
          <t>Womens Oversized Flannel Blanket Hoodie Sweatshirt, Plush Fleece Lined Lounging Pullover, Christmas Gift for Women (Dark Red) - Catalonia</t>
        </is>
      </c>
      <c r="C1436" t="inlineStr">
        <is>
          <t>1CTOSH400WN-FS</t>
        </is>
      </c>
      <c r="D1436" t="inlineStr">
        <is>
          <t>Sweatshirts &amp; Hoodies</t>
        </is>
      </c>
      <c r="E1436" t="inlineStr">
        <is>
          <t>Catalonia</t>
        </is>
      </c>
      <c r="G1436" s="48" t="n">
        <v>0</v>
      </c>
      <c r="H1436" s="48" t="n">
        <v>0</v>
      </c>
      <c r="I1436" s="48" t="n">
        <v>0</v>
      </c>
      <c r="J1436" s="48" t="n">
        <v>0</v>
      </c>
      <c r="K1436" s="49" t="n">
        <v>0</v>
      </c>
      <c r="L1436" s="49" t="n">
        <v>0</v>
      </c>
      <c r="M1436" s="49" t="n">
        <v>0</v>
      </c>
      <c r="N1436" s="49" t="n">
        <v>0</v>
      </c>
      <c r="O1436" s="49" t="n">
        <v>0</v>
      </c>
      <c r="P1436" s="49" t="n">
        <v>0</v>
      </c>
      <c r="Q1436" s="49" t="n">
        <v>0</v>
      </c>
      <c r="R1436" s="49" t="n">
        <v>0</v>
      </c>
      <c r="S1436" s="50" t="n">
        <v>0</v>
      </c>
      <c r="T1436" s="50" t="n">
        <v>0</v>
      </c>
      <c r="U1436" s="50" t="n">
        <v>0</v>
      </c>
      <c r="V1436" s="50" t="n">
        <v>0</v>
      </c>
      <c r="W1436" s="51" t="n">
        <v>0</v>
      </c>
      <c r="X1436" s="51" t="n">
        <v>0</v>
      </c>
      <c r="Y1436" s="51" t="n">
        <v>0</v>
      </c>
      <c r="Z1436" s="51" t="n">
        <v>0</v>
      </c>
      <c r="AA1436" s="52" t="n">
        <v>0</v>
      </c>
      <c r="AB1436" s="52" t="n">
        <v>0</v>
      </c>
      <c r="AC1436" s="52" t="n">
        <v>0</v>
      </c>
      <c r="AD1436" s="52" t="n">
        <v>0</v>
      </c>
      <c r="AE1436" s="52" t="n">
        <v>0</v>
      </c>
      <c r="AF1436" s="52" t="n">
        <v>0</v>
      </c>
      <c r="AG1436" s="52" t="n">
        <v>0</v>
      </c>
      <c r="AH1436" s="52" t="n">
        <v>0</v>
      </c>
      <c r="AI1436" s="52" t="n">
        <v>0</v>
      </c>
      <c r="AJ1436" s="52" t="n">
        <v>0</v>
      </c>
      <c r="AK1436" s="52" t="n">
        <v>0</v>
      </c>
      <c r="AL1436" s="52" t="n">
        <v>0</v>
      </c>
      <c r="AM1436" s="53" t="n">
        <v>0</v>
      </c>
      <c r="AN1436" s="53" t="n">
        <v>0</v>
      </c>
      <c r="AO1436" s="53" t="n">
        <v>0</v>
      </c>
      <c r="AP1436" s="53" t="n">
        <v>0</v>
      </c>
      <c r="AQ1436" s="52" t="n">
        <v>0</v>
      </c>
      <c r="AR1436" s="52" t="n">
        <v>0</v>
      </c>
      <c r="AS1436" s="52" t="n">
        <v>0</v>
      </c>
      <c r="AT1436" s="52" t="n">
        <v>0</v>
      </c>
      <c r="AU1436" s="53" t="n">
        <v>0</v>
      </c>
      <c r="AV1436" s="53" t="n">
        <v>0</v>
      </c>
      <c r="AW1436" s="53" t="n">
        <v>0</v>
      </c>
      <c r="AX1436" s="53" t="n">
        <v>0</v>
      </c>
      <c r="AY1436" s="52" t="n">
        <v>0</v>
      </c>
      <c r="AZ1436" s="52" t="n">
        <v>0</v>
      </c>
      <c r="BA1436" s="52" t="n">
        <v>0</v>
      </c>
      <c r="BB1436" s="52" t="n">
        <v>0</v>
      </c>
      <c r="BC1436" s="51" t="n">
        <v>0</v>
      </c>
      <c r="BD1436" s="51" t="n">
        <v>0</v>
      </c>
      <c r="BE1436" s="51" t="n">
        <v>0</v>
      </c>
      <c r="BF1436" s="51" t="n">
        <v>0</v>
      </c>
    </row>
    <row r="1437">
      <c r="A1437">
        <f>HYPERLINK("https://www.walmart.com/ip/14486463813", "14486463813")</f>
        <v/>
      </c>
      <c r="B1437" t="inlineStr">
        <is>
          <t>Catalonia Womens' Full Body Blanket Hoodie Sweatshirt, Extra Long Wearable Fleece Pullover, Gift for Adult Men Women Wife Girlfriend, Black</t>
        </is>
      </c>
      <c r="C1437" t="inlineStr">
        <is>
          <t>1CTOSH310S1BK-FS</t>
        </is>
      </c>
      <c r="D1437" t="inlineStr">
        <is>
          <t>Sweatshirts &amp; Hoodies</t>
        </is>
      </c>
      <c r="E1437" t="inlineStr">
        <is>
          <t>Catalonia</t>
        </is>
      </c>
      <c r="G1437" s="48" t="n">
        <v>0</v>
      </c>
      <c r="H1437" s="48" t="n">
        <v>32.99</v>
      </c>
      <c r="I1437" s="48" t="n">
        <v>0</v>
      </c>
      <c r="J1437" s="48" t="n">
        <v>0</v>
      </c>
      <c r="K1437" s="49" t="n">
        <v>0</v>
      </c>
      <c r="L1437" s="49" t="n">
        <v>1</v>
      </c>
      <c r="M1437" s="49" t="n">
        <v>0</v>
      </c>
      <c r="N1437" s="49" t="n">
        <v>0</v>
      </c>
      <c r="O1437" s="49" t="n">
        <v>0</v>
      </c>
      <c r="P1437" s="49" t="n">
        <v>0</v>
      </c>
      <c r="Q1437" s="49" t="n">
        <v>0</v>
      </c>
      <c r="R1437" s="49" t="n">
        <v>0</v>
      </c>
      <c r="S1437" s="50" t="n">
        <v>0</v>
      </c>
      <c r="T1437" s="50" t="n">
        <v>0</v>
      </c>
      <c r="U1437" s="50" t="n">
        <v>0</v>
      </c>
      <c r="V1437" s="50" t="n">
        <v>0</v>
      </c>
      <c r="W1437" s="51" t="n">
        <v>0</v>
      </c>
      <c r="X1437" s="51" t="n">
        <v>0</v>
      </c>
      <c r="Y1437" s="51" t="n">
        <v>0</v>
      </c>
      <c r="Z1437" s="51" t="n">
        <v>0</v>
      </c>
      <c r="AA1437" s="52" t="n">
        <v>0</v>
      </c>
      <c r="AB1437" s="52" t="n">
        <v>0</v>
      </c>
      <c r="AC1437" s="52" t="n">
        <v>0</v>
      </c>
      <c r="AD1437" s="52" t="n">
        <v>0</v>
      </c>
      <c r="AE1437" s="52" t="n">
        <v>0</v>
      </c>
      <c r="AF1437" s="52" t="n">
        <v>0</v>
      </c>
      <c r="AG1437" s="52" t="n">
        <v>0</v>
      </c>
      <c r="AH1437" s="52" t="n">
        <v>0</v>
      </c>
      <c r="AI1437" s="52" t="n">
        <v>0</v>
      </c>
      <c r="AJ1437" s="52" t="n">
        <v>0</v>
      </c>
      <c r="AK1437" s="52" t="n">
        <v>0</v>
      </c>
      <c r="AL1437" s="52" t="n">
        <v>0</v>
      </c>
      <c r="AM1437" s="53" t="n">
        <v>0</v>
      </c>
      <c r="AN1437" s="53" t="n">
        <v>0</v>
      </c>
      <c r="AO1437" s="53" t="n">
        <v>0</v>
      </c>
      <c r="AP1437" s="53" t="n">
        <v>0</v>
      </c>
      <c r="AQ1437" s="52" t="n">
        <v>0</v>
      </c>
      <c r="AR1437" s="52" t="n">
        <v>0</v>
      </c>
      <c r="AS1437" s="52" t="n">
        <v>0</v>
      </c>
      <c r="AT1437" s="52" t="n">
        <v>0</v>
      </c>
      <c r="AU1437" s="53" t="n">
        <v>0</v>
      </c>
      <c r="AV1437" s="53" t="n">
        <v>0</v>
      </c>
      <c r="AW1437" s="53" t="n">
        <v>0</v>
      </c>
      <c r="AX1437" s="53" t="n">
        <v>0</v>
      </c>
      <c r="AY1437" s="52" t="n">
        <v>0</v>
      </c>
      <c r="AZ1437" s="52" t="n">
        <v>32.99</v>
      </c>
      <c r="BA1437" s="52" t="n">
        <v>0</v>
      </c>
      <c r="BB1437" s="52" t="n">
        <v>0</v>
      </c>
      <c r="BC1437" s="51" t="n">
        <v>0</v>
      </c>
      <c r="BD1437" s="51" t="n">
        <v>0</v>
      </c>
      <c r="BE1437" s="51" t="n">
        <v>0</v>
      </c>
      <c r="BF1437" s="51" t="n">
        <v>0</v>
      </c>
    </row>
    <row r="1438">
      <c r="A1438">
        <f>HYPERLINK("https://www.walmart.com/ip/14483052398", "14483052398")</f>
        <v/>
      </c>
      <c r="B1438" t="inlineStr">
        <is>
          <t>Catalonia Women's Hoodie Sweatshirt, Casual Pullover Sweater with front Pocket, Womens Fall Winter Clothing, Blanket Hoodie Sweatshirt, Banana Cat</t>
        </is>
      </c>
      <c r="C1438" t="inlineStr">
        <is>
          <t>1CTOSH300S1BANANACATBL-FS</t>
        </is>
      </c>
      <c r="D1438" t="inlineStr">
        <is>
          <t>Sweatshirts &amp; Hoodies</t>
        </is>
      </c>
      <c r="E1438" t="inlineStr">
        <is>
          <t>Catalonia</t>
        </is>
      </c>
      <c r="G1438" s="48" t="n">
        <v>0</v>
      </c>
      <c r="H1438" s="48" t="n">
        <v>0</v>
      </c>
      <c r="I1438" s="48" t="n">
        <v>0</v>
      </c>
      <c r="J1438" s="48" t="n">
        <v>0</v>
      </c>
      <c r="K1438" s="49" t="n">
        <v>0</v>
      </c>
      <c r="L1438" s="49" t="n">
        <v>0</v>
      </c>
      <c r="M1438" s="49" t="n">
        <v>0</v>
      </c>
      <c r="N1438" s="49" t="n">
        <v>0</v>
      </c>
      <c r="O1438" s="49" t="n">
        <v>0</v>
      </c>
      <c r="P1438" s="49" t="n">
        <v>0</v>
      </c>
      <c r="Q1438" s="49" t="n">
        <v>0</v>
      </c>
      <c r="R1438" s="49" t="n">
        <v>0</v>
      </c>
      <c r="S1438" s="50" t="n">
        <v>0</v>
      </c>
      <c r="T1438" s="50" t="n">
        <v>0</v>
      </c>
      <c r="U1438" s="50" t="n">
        <v>0</v>
      </c>
      <c r="V1438" s="50" t="n">
        <v>0</v>
      </c>
      <c r="W1438" s="51" t="n">
        <v>0</v>
      </c>
      <c r="X1438" s="51" t="n">
        <v>0</v>
      </c>
      <c r="Y1438" s="51" t="n">
        <v>0</v>
      </c>
      <c r="Z1438" s="51" t="n">
        <v>0</v>
      </c>
      <c r="AA1438" s="52" t="n">
        <v>0</v>
      </c>
      <c r="AB1438" s="52" t="n">
        <v>0</v>
      </c>
      <c r="AC1438" s="52" t="n">
        <v>0</v>
      </c>
      <c r="AD1438" s="52" t="n">
        <v>0</v>
      </c>
      <c r="AE1438" s="52" t="n">
        <v>0</v>
      </c>
      <c r="AF1438" s="52" t="n">
        <v>0</v>
      </c>
      <c r="AG1438" s="52" t="n">
        <v>0</v>
      </c>
      <c r="AH1438" s="52" t="n">
        <v>0</v>
      </c>
      <c r="AI1438" s="52" t="n">
        <v>0</v>
      </c>
      <c r="AJ1438" s="52" t="n">
        <v>0</v>
      </c>
      <c r="AK1438" s="52" t="n">
        <v>0</v>
      </c>
      <c r="AL1438" s="52" t="n">
        <v>0</v>
      </c>
      <c r="AM1438" s="53" t="n">
        <v>0</v>
      </c>
      <c r="AN1438" s="53" t="n">
        <v>0</v>
      </c>
      <c r="AO1438" s="53" t="n">
        <v>0</v>
      </c>
      <c r="AP1438" s="53" t="n">
        <v>0</v>
      </c>
      <c r="AQ1438" s="52" t="n">
        <v>0</v>
      </c>
      <c r="AR1438" s="52" t="n">
        <v>0</v>
      </c>
      <c r="AS1438" s="52" t="n">
        <v>0</v>
      </c>
      <c r="AT1438" s="52" t="n">
        <v>0</v>
      </c>
      <c r="AU1438" s="53" t="n">
        <v>0</v>
      </c>
      <c r="AV1438" s="53" t="n">
        <v>0</v>
      </c>
      <c r="AW1438" s="53" t="n">
        <v>0</v>
      </c>
      <c r="AX1438" s="53" t="n">
        <v>0</v>
      </c>
      <c r="AY1438" s="52" t="n">
        <v>0</v>
      </c>
      <c r="AZ1438" s="52" t="n">
        <v>0</v>
      </c>
      <c r="BA1438" s="52" t="n">
        <v>0</v>
      </c>
      <c r="BB1438" s="52" t="n">
        <v>0</v>
      </c>
      <c r="BC1438" s="51" t="n">
        <v>0</v>
      </c>
      <c r="BD1438" s="51" t="n">
        <v>0</v>
      </c>
      <c r="BE1438" s="51" t="n">
        <v>0</v>
      </c>
      <c r="BF1438" s="51" t="n">
        <v>0</v>
      </c>
    </row>
    <row r="1439">
      <c r="A1439">
        <f>HYPERLINK("https://www.walmart.com/ip/14472471073", "14472471073")</f>
        <v/>
      </c>
      <c r="B1439" t="inlineStr">
        <is>
          <t>Womens Oversized Flannel Blanket Hoodie Sweatshirt, Plush Fleece Lined Lounging Pullover, Christmas Gift for Women (Rose Print, Pink) - Catalonia</t>
        </is>
      </c>
      <c r="C1439" t="inlineStr">
        <is>
          <t>1CTOSH400GYDOG-FS</t>
        </is>
      </c>
      <c r="D1439" t="inlineStr">
        <is>
          <t>Sweatshirts &amp; Hoodies</t>
        </is>
      </c>
      <c r="E1439" t="inlineStr">
        <is>
          <t>Catalonia</t>
        </is>
      </c>
      <c r="G1439" s="48" t="n">
        <v>0</v>
      </c>
      <c r="H1439" s="48" t="n">
        <v>0</v>
      </c>
      <c r="I1439" s="48" t="n">
        <v>0</v>
      </c>
      <c r="J1439" s="48" t="n">
        <v>0</v>
      </c>
      <c r="K1439" s="49" t="n">
        <v>0</v>
      </c>
      <c r="L1439" s="49" t="n">
        <v>0</v>
      </c>
      <c r="M1439" s="49" t="n">
        <v>0</v>
      </c>
      <c r="N1439" s="49" t="n">
        <v>0</v>
      </c>
      <c r="O1439" s="49" t="n">
        <v>0</v>
      </c>
      <c r="P1439" s="49" t="n">
        <v>0</v>
      </c>
      <c r="Q1439" s="49" t="n">
        <v>0</v>
      </c>
      <c r="R1439" s="49" t="n">
        <v>0</v>
      </c>
      <c r="S1439" s="50" t="n">
        <v>0</v>
      </c>
      <c r="T1439" s="50" t="n">
        <v>0</v>
      </c>
      <c r="U1439" s="50" t="n">
        <v>0</v>
      </c>
      <c r="V1439" s="50" t="n">
        <v>0</v>
      </c>
      <c r="W1439" s="51" t="n">
        <v>0</v>
      </c>
      <c r="X1439" s="51" t="n">
        <v>0</v>
      </c>
      <c r="Y1439" s="51" t="n">
        <v>0</v>
      </c>
      <c r="Z1439" s="51" t="n">
        <v>0</v>
      </c>
      <c r="AA1439" s="52" t="n">
        <v>0</v>
      </c>
      <c r="AB1439" s="52" t="n">
        <v>0</v>
      </c>
      <c r="AC1439" s="52" t="n">
        <v>0</v>
      </c>
      <c r="AD1439" s="52" t="n">
        <v>0</v>
      </c>
      <c r="AE1439" s="52" t="n">
        <v>0</v>
      </c>
      <c r="AF1439" s="52" t="n">
        <v>0</v>
      </c>
      <c r="AG1439" s="52" t="n">
        <v>0</v>
      </c>
      <c r="AH1439" s="52" t="n">
        <v>0</v>
      </c>
      <c r="AI1439" s="52" t="n">
        <v>0</v>
      </c>
      <c r="AJ1439" s="52" t="n">
        <v>0</v>
      </c>
      <c r="AK1439" s="52" t="n">
        <v>0</v>
      </c>
      <c r="AL1439" s="52" t="n">
        <v>0</v>
      </c>
      <c r="AM1439" s="53" t="n">
        <v>0</v>
      </c>
      <c r="AN1439" s="53" t="n">
        <v>0</v>
      </c>
      <c r="AO1439" s="53" t="n">
        <v>0</v>
      </c>
      <c r="AP1439" s="53" t="n">
        <v>0</v>
      </c>
      <c r="AQ1439" s="52" t="n">
        <v>0</v>
      </c>
      <c r="AR1439" s="52" t="n">
        <v>0</v>
      </c>
      <c r="AS1439" s="52" t="n">
        <v>0</v>
      </c>
      <c r="AT1439" s="52" t="n">
        <v>0</v>
      </c>
      <c r="AU1439" s="53" t="n">
        <v>0</v>
      </c>
      <c r="AV1439" s="53" t="n">
        <v>0</v>
      </c>
      <c r="AW1439" s="53" t="n">
        <v>0</v>
      </c>
      <c r="AX1439" s="53" t="n">
        <v>0</v>
      </c>
      <c r="AY1439" s="52" t="n">
        <v>0</v>
      </c>
      <c r="AZ1439" s="52" t="n">
        <v>0</v>
      </c>
      <c r="BA1439" s="52" t="n">
        <v>0</v>
      </c>
      <c r="BB1439" s="52" t="n">
        <v>0</v>
      </c>
      <c r="BC1439" s="51" t="n">
        <v>0</v>
      </c>
      <c r="BD1439" s="51" t="n">
        <v>0</v>
      </c>
      <c r="BE1439" s="51" t="n">
        <v>0</v>
      </c>
      <c r="BF1439" s="51" t="n">
        <v>0</v>
      </c>
    </row>
    <row r="1440">
      <c r="A1440">
        <f>HYPERLINK("https://www.walmart.com/ip/14483052392", "14483052392")</f>
        <v/>
      </c>
      <c r="B1440" t="inlineStr">
        <is>
          <t>Womens Oversized Flannel Blanket Hoodie Sweatshirt, Plush Fleece Lined Lounging Pullover, Christmas Gift for Women (Ash Gray) - Catalonia</t>
        </is>
      </c>
      <c r="C1440" t="inlineStr">
        <is>
          <t>1CTOSH400GYASH-FS</t>
        </is>
      </c>
      <c r="D1440" t="inlineStr">
        <is>
          <t>Sweatshirts &amp; Hoodies</t>
        </is>
      </c>
      <c r="E1440" t="inlineStr">
        <is>
          <t>Catalonia</t>
        </is>
      </c>
      <c r="G1440" s="48" t="n">
        <v>0</v>
      </c>
      <c r="H1440" s="48" t="n">
        <v>0</v>
      </c>
      <c r="I1440" s="48" t="n">
        <v>0</v>
      </c>
      <c r="J1440" s="48" t="n">
        <v>0</v>
      </c>
      <c r="K1440" s="49" t="n">
        <v>0</v>
      </c>
      <c r="L1440" s="49" t="n">
        <v>0</v>
      </c>
      <c r="M1440" s="49" t="n">
        <v>0</v>
      </c>
      <c r="N1440" s="49" t="n">
        <v>0</v>
      </c>
      <c r="O1440" s="49" t="n">
        <v>0</v>
      </c>
      <c r="P1440" s="49" t="n">
        <v>0</v>
      </c>
      <c r="Q1440" s="49" t="n">
        <v>0</v>
      </c>
      <c r="R1440" s="49" t="n">
        <v>0</v>
      </c>
      <c r="S1440" s="50" t="n">
        <v>0</v>
      </c>
      <c r="T1440" s="50" t="n">
        <v>0</v>
      </c>
      <c r="U1440" s="50" t="n">
        <v>0</v>
      </c>
      <c r="V1440" s="50" t="n">
        <v>0</v>
      </c>
      <c r="W1440" s="51" t="n">
        <v>0</v>
      </c>
      <c r="X1440" s="51" t="n">
        <v>0</v>
      </c>
      <c r="Y1440" s="51" t="n">
        <v>0</v>
      </c>
      <c r="Z1440" s="51" t="n">
        <v>0</v>
      </c>
      <c r="AA1440" s="52" t="n">
        <v>0</v>
      </c>
      <c r="AB1440" s="52" t="n">
        <v>0</v>
      </c>
      <c r="AC1440" s="52" t="n">
        <v>0</v>
      </c>
      <c r="AD1440" s="52" t="n">
        <v>0</v>
      </c>
      <c r="AE1440" s="52" t="n">
        <v>0</v>
      </c>
      <c r="AF1440" s="52" t="n">
        <v>0</v>
      </c>
      <c r="AG1440" s="52" t="n">
        <v>0</v>
      </c>
      <c r="AH1440" s="52" t="n">
        <v>0</v>
      </c>
      <c r="AI1440" s="52" t="n">
        <v>0</v>
      </c>
      <c r="AJ1440" s="52" t="n">
        <v>0</v>
      </c>
      <c r="AK1440" s="52" t="n">
        <v>0</v>
      </c>
      <c r="AL1440" s="52" t="n">
        <v>0</v>
      </c>
      <c r="AM1440" s="53" t="n">
        <v>0</v>
      </c>
      <c r="AN1440" s="53" t="n">
        <v>0</v>
      </c>
      <c r="AO1440" s="53" t="n">
        <v>0</v>
      </c>
      <c r="AP1440" s="53" t="n">
        <v>0</v>
      </c>
      <c r="AQ1440" s="52" t="n">
        <v>0</v>
      </c>
      <c r="AR1440" s="52" t="n">
        <v>0</v>
      </c>
      <c r="AS1440" s="52" t="n">
        <v>0</v>
      </c>
      <c r="AT1440" s="52" t="n">
        <v>0</v>
      </c>
      <c r="AU1440" s="53" t="n">
        <v>0</v>
      </c>
      <c r="AV1440" s="53" t="n">
        <v>0</v>
      </c>
      <c r="AW1440" s="53" t="n">
        <v>0</v>
      </c>
      <c r="AX1440" s="53" t="n">
        <v>0</v>
      </c>
      <c r="AY1440" s="52" t="n">
        <v>0</v>
      </c>
      <c r="AZ1440" s="52" t="n">
        <v>0</v>
      </c>
      <c r="BA1440" s="52" t="n">
        <v>0</v>
      </c>
      <c r="BB1440" s="52" t="n">
        <v>0</v>
      </c>
      <c r="BC1440" s="51" t="n">
        <v>0</v>
      </c>
      <c r="BD1440" s="51" t="n">
        <v>0</v>
      </c>
      <c r="BE1440" s="51" t="n">
        <v>0</v>
      </c>
      <c r="BF1440" s="51" t="n">
        <v>0</v>
      </c>
    </row>
    <row r="1441">
      <c r="A1441">
        <f>HYPERLINK("https://www.walmart.com/ip/14472471094", "14472471094")</f>
        <v/>
      </c>
      <c r="B1441" t="inlineStr">
        <is>
          <t>Catalonia Oversized Blanket Hoodie Sweatshirt, Fleece Hooded Lounging Pullover with Giant Pocket, Birthday Gifts Christmas Gifts, Red Plaid</t>
        </is>
      </c>
      <c r="C1441" t="inlineStr">
        <is>
          <t>1CTOSH300PRD-FS</t>
        </is>
      </c>
      <c r="D1441" t="inlineStr">
        <is>
          <t>Sweatshirts &amp; Hoodies</t>
        </is>
      </c>
      <c r="E1441" t="inlineStr">
        <is>
          <t>Catalonia</t>
        </is>
      </c>
      <c r="G1441" s="48" t="n">
        <v>0</v>
      </c>
      <c r="H1441" s="48" t="n">
        <v>0</v>
      </c>
      <c r="I1441" s="48" t="n">
        <v>0</v>
      </c>
      <c r="J1441" s="48" t="n">
        <v>0</v>
      </c>
      <c r="K1441" s="49" t="n">
        <v>0</v>
      </c>
      <c r="L1441" s="49" t="n">
        <v>0</v>
      </c>
      <c r="M1441" s="49" t="n">
        <v>0</v>
      </c>
      <c r="N1441" s="49" t="n">
        <v>0</v>
      </c>
      <c r="O1441" s="49" t="n">
        <v>0</v>
      </c>
      <c r="P1441" s="49" t="n">
        <v>0</v>
      </c>
      <c r="Q1441" s="49" t="n">
        <v>0</v>
      </c>
      <c r="R1441" s="49" t="n">
        <v>0</v>
      </c>
      <c r="S1441" s="50" t="n">
        <v>0</v>
      </c>
      <c r="T1441" s="50" t="n">
        <v>0</v>
      </c>
      <c r="U1441" s="50" t="n">
        <v>0</v>
      </c>
      <c r="V1441" s="50" t="n">
        <v>0</v>
      </c>
      <c r="W1441" s="51" t="n">
        <v>0</v>
      </c>
      <c r="X1441" s="51" t="n">
        <v>0</v>
      </c>
      <c r="Y1441" s="51" t="n">
        <v>0</v>
      </c>
      <c r="Z1441" s="51" t="n">
        <v>0</v>
      </c>
      <c r="AA1441" s="52" t="n">
        <v>0</v>
      </c>
      <c r="AB1441" s="52" t="n">
        <v>0</v>
      </c>
      <c r="AC1441" s="52" t="n">
        <v>0</v>
      </c>
      <c r="AD1441" s="52" t="n">
        <v>0</v>
      </c>
      <c r="AE1441" s="52" t="n">
        <v>0</v>
      </c>
      <c r="AF1441" s="52" t="n">
        <v>0</v>
      </c>
      <c r="AG1441" s="52" t="n">
        <v>0</v>
      </c>
      <c r="AH1441" s="52" t="n">
        <v>0</v>
      </c>
      <c r="AI1441" s="52" t="n">
        <v>0</v>
      </c>
      <c r="AJ1441" s="52" t="n">
        <v>0</v>
      </c>
      <c r="AK1441" s="52" t="n">
        <v>0</v>
      </c>
      <c r="AL1441" s="52" t="n">
        <v>0</v>
      </c>
      <c r="AM1441" s="53" t="n">
        <v>0</v>
      </c>
      <c r="AN1441" s="53" t="n">
        <v>0</v>
      </c>
      <c r="AO1441" s="53" t="n">
        <v>0</v>
      </c>
      <c r="AP1441" s="53" t="n">
        <v>0</v>
      </c>
      <c r="AQ1441" s="52" t="n">
        <v>0</v>
      </c>
      <c r="AR1441" s="52" t="n">
        <v>0</v>
      </c>
      <c r="AS1441" s="52" t="n">
        <v>0</v>
      </c>
      <c r="AT1441" s="52" t="n">
        <v>0</v>
      </c>
      <c r="AU1441" s="53" t="n">
        <v>0</v>
      </c>
      <c r="AV1441" s="53" t="n">
        <v>0</v>
      </c>
      <c r="AW1441" s="53" t="n">
        <v>0</v>
      </c>
      <c r="AX1441" s="53" t="n">
        <v>0</v>
      </c>
      <c r="AY1441" s="52" t="n">
        <v>0</v>
      </c>
      <c r="AZ1441" s="52" t="n">
        <v>0</v>
      </c>
      <c r="BA1441" s="52" t="n">
        <v>0</v>
      </c>
      <c r="BB1441" s="52" t="n">
        <v>0</v>
      </c>
      <c r="BC1441" s="51" t="n">
        <v>0</v>
      </c>
      <c r="BD1441" s="51" t="n">
        <v>0</v>
      </c>
      <c r="BE1441" s="51" t="n">
        <v>0</v>
      </c>
      <c r="BF1441" s="51" t="n">
        <v>0</v>
      </c>
    </row>
    <row r="1442">
      <c r="A1442">
        <f>HYPERLINK("https://www.walmart.com/ip/14473700583", "14473700583")</f>
        <v/>
      </c>
      <c r="B1442" t="inlineStr">
        <is>
          <t>Tirrinia Polar Fleece Balaclava Hood Face Mask,Ski Mask Windproof Cycling Mask,Full Face Mask</t>
        </is>
      </c>
      <c r="C1442" t="inlineStr">
        <is>
          <t>1TRWH002ORBK</t>
        </is>
      </c>
      <c r="D1442" t="inlineStr">
        <is>
          <t>Balaclavas</t>
        </is>
      </c>
      <c r="E1442" t="inlineStr">
        <is>
          <t>Tirrinia</t>
        </is>
      </c>
      <c r="G1442" s="48" t="n">
        <v>0</v>
      </c>
      <c r="H1442" s="48" t="n">
        <v>0</v>
      </c>
      <c r="I1442" s="48" t="n">
        <v>0</v>
      </c>
      <c r="J1442" s="48" t="n">
        <v>0</v>
      </c>
      <c r="K1442" s="49" t="n">
        <v>0</v>
      </c>
      <c r="L1442" s="49" t="n">
        <v>0</v>
      </c>
      <c r="M1442" s="49" t="n">
        <v>0</v>
      </c>
      <c r="N1442" s="49" t="n">
        <v>0</v>
      </c>
      <c r="O1442" s="49" t="n">
        <v>0</v>
      </c>
      <c r="P1442" s="49" t="n">
        <v>0</v>
      </c>
      <c r="Q1442" s="49" t="n">
        <v>0</v>
      </c>
      <c r="R1442" s="49" t="n">
        <v>0</v>
      </c>
      <c r="S1442" s="50" t="n">
        <v>0</v>
      </c>
      <c r="T1442" s="50" t="n">
        <v>0</v>
      </c>
      <c r="U1442" s="50" t="n">
        <v>0</v>
      </c>
      <c r="V1442" s="50" t="n">
        <v>0</v>
      </c>
      <c r="W1442" s="51" t="n">
        <v>0</v>
      </c>
      <c r="X1442" s="51" t="n">
        <v>0</v>
      </c>
      <c r="Y1442" s="51" t="n">
        <v>0</v>
      </c>
      <c r="Z1442" s="51" t="n">
        <v>0</v>
      </c>
      <c r="AA1442" s="52" t="n">
        <v>0</v>
      </c>
      <c r="AB1442" s="52" t="n">
        <v>0</v>
      </c>
      <c r="AC1442" s="52" t="n">
        <v>0</v>
      </c>
      <c r="AD1442" s="52" t="n">
        <v>0</v>
      </c>
      <c r="AE1442" s="52" t="n">
        <v>0</v>
      </c>
      <c r="AF1442" s="52" t="n">
        <v>0</v>
      </c>
      <c r="AG1442" s="52" t="n">
        <v>0</v>
      </c>
      <c r="AH1442" s="52" t="n">
        <v>0</v>
      </c>
      <c r="AI1442" s="52" t="n">
        <v>0</v>
      </c>
      <c r="AJ1442" s="52" t="n">
        <v>0</v>
      </c>
      <c r="AK1442" s="52" t="n">
        <v>0</v>
      </c>
      <c r="AL1442" s="52" t="n">
        <v>0</v>
      </c>
      <c r="AM1442" s="53" t="n">
        <v>0</v>
      </c>
      <c r="AN1442" s="53" t="n">
        <v>0</v>
      </c>
      <c r="AO1442" s="53" t="n">
        <v>0</v>
      </c>
      <c r="AP1442" s="53" t="n">
        <v>0</v>
      </c>
      <c r="AQ1442" s="52" t="n">
        <v>0</v>
      </c>
      <c r="AR1442" s="52" t="n">
        <v>0</v>
      </c>
      <c r="AS1442" s="52" t="n">
        <v>0</v>
      </c>
      <c r="AT1442" s="52" t="n">
        <v>0</v>
      </c>
      <c r="AU1442" s="53" t="n">
        <v>0</v>
      </c>
      <c r="AV1442" s="53" t="n">
        <v>0</v>
      </c>
      <c r="AW1442" s="53" t="n">
        <v>0</v>
      </c>
      <c r="AX1442" s="53" t="n">
        <v>0</v>
      </c>
      <c r="AY1442" s="52" t="n">
        <v>0</v>
      </c>
      <c r="AZ1442" s="52" t="n">
        <v>0</v>
      </c>
      <c r="BA1442" s="52" t="n">
        <v>0</v>
      </c>
      <c r="BB1442" s="52" t="n">
        <v>0</v>
      </c>
      <c r="BC1442" s="51" t="n">
        <v>0</v>
      </c>
      <c r="BD1442" s="51" t="n">
        <v>0</v>
      </c>
      <c r="BE1442" s="51" t="n">
        <v>0</v>
      </c>
      <c r="BF1442" s="51" t="n">
        <v>0</v>
      </c>
    </row>
    <row r="1443">
      <c r="A1443">
        <f>HYPERLINK("https://www.walmart.com/ip/14475608139", "14475608139")</f>
        <v/>
      </c>
      <c r="B1443" t="inlineStr">
        <is>
          <t>Tirrinia Oversized Wearable Blanket Hoodie, Fleece Home Blanket Sweatshirt, Warm Blanket with Sleeves, Gift for lover</t>
        </is>
      </c>
      <c r="C1443" t="inlineStr">
        <is>
          <t>1TROSH340GY-FS</t>
        </is>
      </c>
      <c r="D1443" t="inlineStr">
        <is>
          <t>Sweatshirts &amp; Hoodies</t>
        </is>
      </c>
      <c r="E1443" t="inlineStr">
        <is>
          <t>Tirrinia</t>
        </is>
      </c>
      <c r="G1443" s="48" t="n">
        <v>0</v>
      </c>
      <c r="H1443" s="48" t="n">
        <v>0</v>
      </c>
      <c r="I1443" s="48" t="n">
        <v>0</v>
      </c>
      <c r="J1443" s="48" t="n">
        <v>0</v>
      </c>
      <c r="K1443" s="49" t="n">
        <v>0</v>
      </c>
      <c r="L1443" s="49" t="n">
        <v>0</v>
      </c>
      <c r="M1443" s="49" t="n">
        <v>0</v>
      </c>
      <c r="N1443" s="49" t="n">
        <v>0</v>
      </c>
      <c r="O1443" s="49" t="n">
        <v>0</v>
      </c>
      <c r="P1443" s="49" t="n">
        <v>0</v>
      </c>
      <c r="Q1443" s="49" t="n">
        <v>0</v>
      </c>
      <c r="R1443" s="49" t="n">
        <v>0</v>
      </c>
      <c r="S1443" s="50" t="n">
        <v>0</v>
      </c>
      <c r="T1443" s="50" t="n">
        <v>0</v>
      </c>
      <c r="U1443" s="50" t="n">
        <v>0</v>
      </c>
      <c r="V1443" s="50" t="n">
        <v>0</v>
      </c>
      <c r="W1443" s="51" t="n">
        <v>0</v>
      </c>
      <c r="X1443" s="51" t="n">
        <v>0</v>
      </c>
      <c r="Y1443" s="51" t="n">
        <v>0</v>
      </c>
      <c r="Z1443" s="51" t="n">
        <v>0</v>
      </c>
      <c r="AA1443" s="52" t="n">
        <v>0</v>
      </c>
      <c r="AB1443" s="52" t="n">
        <v>0</v>
      </c>
      <c r="AC1443" s="52" t="n">
        <v>0</v>
      </c>
      <c r="AD1443" s="52" t="n">
        <v>0</v>
      </c>
      <c r="AE1443" s="52" t="n">
        <v>0</v>
      </c>
      <c r="AF1443" s="52" t="n">
        <v>0</v>
      </c>
      <c r="AG1443" s="52" t="n">
        <v>0</v>
      </c>
      <c r="AH1443" s="52" t="n">
        <v>0</v>
      </c>
      <c r="AI1443" s="52" t="n">
        <v>0</v>
      </c>
      <c r="AJ1443" s="52" t="n">
        <v>0</v>
      </c>
      <c r="AK1443" s="52" t="n">
        <v>0</v>
      </c>
      <c r="AL1443" s="52" t="n">
        <v>0</v>
      </c>
      <c r="AM1443" s="53" t="n">
        <v>0</v>
      </c>
      <c r="AN1443" s="53" t="n">
        <v>0</v>
      </c>
      <c r="AO1443" s="53" t="n">
        <v>0</v>
      </c>
      <c r="AP1443" s="53" t="n">
        <v>0</v>
      </c>
      <c r="AQ1443" s="52" t="n">
        <v>0</v>
      </c>
      <c r="AR1443" s="52" t="n">
        <v>0</v>
      </c>
      <c r="AS1443" s="52" t="n">
        <v>0</v>
      </c>
      <c r="AT1443" s="52" t="n">
        <v>0</v>
      </c>
      <c r="AU1443" s="53" t="n">
        <v>0</v>
      </c>
      <c r="AV1443" s="53" t="n">
        <v>0</v>
      </c>
      <c r="AW1443" s="53" t="n">
        <v>0</v>
      </c>
      <c r="AX1443" s="53" t="n">
        <v>0</v>
      </c>
      <c r="AY1443" s="52" t="n">
        <v>0</v>
      </c>
      <c r="AZ1443" s="52" t="n">
        <v>0</v>
      </c>
      <c r="BA1443" s="52" t="n">
        <v>0</v>
      </c>
      <c r="BB1443" s="52" t="n">
        <v>0</v>
      </c>
      <c r="BC1443" s="51" t="n">
        <v>0</v>
      </c>
      <c r="BD1443" s="51" t="n">
        <v>0</v>
      </c>
      <c r="BE1443" s="51" t="n">
        <v>0</v>
      </c>
      <c r="BF1443" s="51" t="n">
        <v>0</v>
      </c>
    </row>
    <row r="1444">
      <c r="A1444">
        <f>HYPERLINK("https://www.walmart.com/ip/14475608149", "14475608149")</f>
        <v/>
      </c>
      <c r="B1444" t="inlineStr">
        <is>
          <t>Catalonia Women's Blanket Hoodie Sweatshirt, Cozy Comfortable Fluffy Soft Fleece Lounging Pullover, Warm Fleece Hooded with Pockets Gift, Ombre Grey</t>
        </is>
      </c>
      <c r="C1444" t="inlineStr">
        <is>
          <t>1CTOSH330GY-FS</t>
        </is>
      </c>
      <c r="D1444" t="inlineStr">
        <is>
          <t>Sweatshirts &amp; Hoodies</t>
        </is>
      </c>
      <c r="E1444" t="inlineStr">
        <is>
          <t>Catalonia</t>
        </is>
      </c>
      <c r="G1444" s="48" t="n">
        <v>0</v>
      </c>
      <c r="H1444" s="48" t="n">
        <v>0</v>
      </c>
      <c r="I1444" s="48" t="n">
        <v>0</v>
      </c>
      <c r="J1444" s="48" t="n">
        <v>0</v>
      </c>
      <c r="K1444" s="49" t="n">
        <v>0</v>
      </c>
      <c r="L1444" s="49" t="n">
        <v>0</v>
      </c>
      <c r="M1444" s="49" t="n">
        <v>0</v>
      </c>
      <c r="N1444" s="49" t="n">
        <v>0</v>
      </c>
      <c r="O1444" s="49" t="n">
        <v>0</v>
      </c>
      <c r="P1444" s="49" t="n">
        <v>0</v>
      </c>
      <c r="Q1444" s="49" t="n">
        <v>0</v>
      </c>
      <c r="R1444" s="49" t="n">
        <v>0</v>
      </c>
      <c r="S1444" s="50" t="n">
        <v>0</v>
      </c>
      <c r="T1444" s="50" t="n">
        <v>0</v>
      </c>
      <c r="U1444" s="50" t="n">
        <v>0</v>
      </c>
      <c r="V1444" s="50" t="n">
        <v>0</v>
      </c>
      <c r="W1444" s="51" t="n">
        <v>0</v>
      </c>
      <c r="X1444" s="51" t="n">
        <v>0</v>
      </c>
      <c r="Y1444" s="51" t="n">
        <v>0</v>
      </c>
      <c r="Z1444" s="51" t="n">
        <v>0</v>
      </c>
      <c r="AA1444" s="52" t="n">
        <v>0</v>
      </c>
      <c r="AB1444" s="52" t="n">
        <v>0</v>
      </c>
      <c r="AC1444" s="52" t="n">
        <v>0</v>
      </c>
      <c r="AD1444" s="52" t="n">
        <v>0</v>
      </c>
      <c r="AE1444" s="52" t="n">
        <v>0</v>
      </c>
      <c r="AF1444" s="52" t="n">
        <v>0</v>
      </c>
      <c r="AG1444" s="52" t="n">
        <v>0</v>
      </c>
      <c r="AH1444" s="52" t="n">
        <v>0</v>
      </c>
      <c r="AI1444" s="52" t="n">
        <v>0</v>
      </c>
      <c r="AJ1444" s="52" t="n">
        <v>0</v>
      </c>
      <c r="AK1444" s="52" t="n">
        <v>0</v>
      </c>
      <c r="AL1444" s="52" t="n">
        <v>0</v>
      </c>
      <c r="AM1444" s="53" t="n">
        <v>0</v>
      </c>
      <c r="AN1444" s="53" t="n">
        <v>0</v>
      </c>
      <c r="AO1444" s="53" t="n">
        <v>0</v>
      </c>
      <c r="AP1444" s="53" t="n">
        <v>0</v>
      </c>
      <c r="AQ1444" s="52" t="n">
        <v>0</v>
      </c>
      <c r="AR1444" s="52" t="n">
        <v>0</v>
      </c>
      <c r="AS1444" s="52" t="n">
        <v>0</v>
      </c>
      <c r="AT1444" s="52" t="n">
        <v>0</v>
      </c>
      <c r="AU1444" s="53" t="n">
        <v>0</v>
      </c>
      <c r="AV1444" s="53" t="n">
        <v>0</v>
      </c>
      <c r="AW1444" s="53" t="n">
        <v>0</v>
      </c>
      <c r="AX1444" s="53" t="n">
        <v>0</v>
      </c>
      <c r="AY1444" s="52" t="n">
        <v>0</v>
      </c>
      <c r="AZ1444" s="52" t="n">
        <v>0</v>
      </c>
      <c r="BA1444" s="52" t="n">
        <v>0</v>
      </c>
      <c r="BB1444" s="52" t="n">
        <v>0</v>
      </c>
      <c r="BC1444" s="51" t="n">
        <v>0</v>
      </c>
      <c r="BD1444" s="51" t="n">
        <v>0</v>
      </c>
      <c r="BE1444" s="51" t="n">
        <v>0</v>
      </c>
      <c r="BF1444" s="51" t="n">
        <v>0</v>
      </c>
    </row>
    <row r="1445">
      <c r="A1445">
        <f>HYPERLINK("https://www.walmart.com/ip/14475608810", "14475608810")</f>
        <v/>
      </c>
      <c r="B1445" t="inlineStr">
        <is>
          <t>Catalonia Blanket Hoodie for Kids, Oversized Purple Wearable Fleece Sweatshirt Pullover for 7-16 yr Teens Youth, Kids Gift Idea</t>
        </is>
      </c>
      <c r="C1445" t="inlineStr">
        <is>
          <t>1CTOSH401PK-FS</t>
        </is>
      </c>
      <c r="D1445" t="inlineStr">
        <is>
          <t>Sweatshirts &amp; Hoodies</t>
        </is>
      </c>
      <c r="E1445" t="inlineStr">
        <is>
          <t>Catalonia</t>
        </is>
      </c>
      <c r="G1445" s="48" t="n">
        <v>0</v>
      </c>
      <c r="H1445" s="48" t="n">
        <v>0</v>
      </c>
      <c r="I1445" s="48" t="n">
        <v>0</v>
      </c>
      <c r="J1445" s="48" t="n">
        <v>0</v>
      </c>
      <c r="K1445" s="49" t="n">
        <v>0</v>
      </c>
      <c r="L1445" s="49" t="n">
        <v>0</v>
      </c>
      <c r="M1445" s="49" t="n">
        <v>0</v>
      </c>
      <c r="N1445" s="49" t="n">
        <v>0</v>
      </c>
      <c r="O1445" s="49" t="n">
        <v>0</v>
      </c>
      <c r="P1445" s="49" t="n">
        <v>0</v>
      </c>
      <c r="Q1445" s="49" t="n">
        <v>0</v>
      </c>
      <c r="R1445" s="49" t="n">
        <v>0</v>
      </c>
      <c r="S1445" s="50" t="n">
        <v>0</v>
      </c>
      <c r="T1445" s="50" t="n">
        <v>0</v>
      </c>
      <c r="U1445" s="50" t="n">
        <v>0</v>
      </c>
      <c r="V1445" s="50" t="n">
        <v>0</v>
      </c>
      <c r="W1445" s="51" t="n">
        <v>0</v>
      </c>
      <c r="X1445" s="51" t="n">
        <v>0</v>
      </c>
      <c r="Y1445" s="51" t="n">
        <v>0</v>
      </c>
      <c r="Z1445" s="51" t="n">
        <v>0</v>
      </c>
      <c r="AA1445" s="52" t="n">
        <v>0</v>
      </c>
      <c r="AB1445" s="52" t="n">
        <v>0</v>
      </c>
      <c r="AC1445" s="52" t="n">
        <v>0</v>
      </c>
      <c r="AD1445" s="52" t="n">
        <v>0</v>
      </c>
      <c r="AE1445" s="52" t="n">
        <v>0</v>
      </c>
      <c r="AF1445" s="52" t="n">
        <v>0</v>
      </c>
      <c r="AG1445" s="52" t="n">
        <v>0</v>
      </c>
      <c r="AH1445" s="52" t="n">
        <v>0</v>
      </c>
      <c r="AI1445" s="52" t="n">
        <v>0</v>
      </c>
      <c r="AJ1445" s="52" t="n">
        <v>0</v>
      </c>
      <c r="AK1445" s="52" t="n">
        <v>0</v>
      </c>
      <c r="AL1445" s="52" t="n">
        <v>0</v>
      </c>
      <c r="AM1445" s="53" t="n">
        <v>0</v>
      </c>
      <c r="AN1445" s="53" t="n">
        <v>0</v>
      </c>
      <c r="AO1445" s="53" t="n">
        <v>0</v>
      </c>
      <c r="AP1445" s="53" t="n">
        <v>0</v>
      </c>
      <c r="AQ1445" s="52" t="n">
        <v>0</v>
      </c>
      <c r="AR1445" s="52" t="n">
        <v>0</v>
      </c>
      <c r="AS1445" s="52" t="n">
        <v>0</v>
      </c>
      <c r="AT1445" s="52" t="n">
        <v>0</v>
      </c>
      <c r="AU1445" s="53" t="n">
        <v>0</v>
      </c>
      <c r="AV1445" s="53" t="n">
        <v>0</v>
      </c>
      <c r="AW1445" s="53" t="n">
        <v>0</v>
      </c>
      <c r="AX1445" s="53" t="n">
        <v>0</v>
      </c>
      <c r="AY1445" s="52" t="n">
        <v>0</v>
      </c>
      <c r="AZ1445" s="52" t="n">
        <v>0</v>
      </c>
      <c r="BA1445" s="52" t="n">
        <v>0</v>
      </c>
      <c r="BB1445" s="52" t="n">
        <v>0</v>
      </c>
      <c r="BC1445" s="51" t="n">
        <v>0</v>
      </c>
      <c r="BD1445" s="51" t="n">
        <v>0</v>
      </c>
      <c r="BE1445" s="51" t="n">
        <v>0</v>
      </c>
      <c r="BF1445" s="51" t="n">
        <v>0</v>
      </c>
    </row>
    <row r="1446">
      <c r="A1446">
        <f>HYPERLINK("https://www.walmart.com/ip/14475608815", "14475608815")</f>
        <v/>
      </c>
      <c r="B1446" t="inlineStr">
        <is>
          <t>Tirrinia Oversized Wearable Blanket Hoodie, Fleece Home Blanket Sweatshirt, Warm Blanket with Sleeves, Gift for lover</t>
        </is>
      </c>
      <c r="C1446" t="inlineStr">
        <is>
          <t>1TROSH340AQ-FS</t>
        </is>
      </c>
      <c r="D1446" t="inlineStr">
        <is>
          <t>Sweatshirts &amp; Hoodies</t>
        </is>
      </c>
      <c r="E1446" t="inlineStr">
        <is>
          <t>Tirrinia</t>
        </is>
      </c>
      <c r="G1446" s="48" t="n">
        <v>0</v>
      </c>
      <c r="H1446" s="48" t="n">
        <v>0</v>
      </c>
      <c r="I1446" s="48" t="n">
        <v>0</v>
      </c>
      <c r="J1446" s="48" t="n">
        <v>0</v>
      </c>
      <c r="K1446" s="49" t="n">
        <v>0</v>
      </c>
      <c r="L1446" s="49" t="n">
        <v>0</v>
      </c>
      <c r="M1446" s="49" t="n">
        <v>0</v>
      </c>
      <c r="N1446" s="49" t="n">
        <v>0</v>
      </c>
      <c r="O1446" s="49" t="n">
        <v>0</v>
      </c>
      <c r="P1446" s="49" t="n">
        <v>0</v>
      </c>
      <c r="Q1446" s="49" t="n">
        <v>0</v>
      </c>
      <c r="R1446" s="49" t="n">
        <v>0</v>
      </c>
      <c r="S1446" s="50" t="n">
        <v>0</v>
      </c>
      <c r="T1446" s="50" t="n">
        <v>0</v>
      </c>
      <c r="U1446" s="50" t="n">
        <v>0</v>
      </c>
      <c r="V1446" s="50" t="n">
        <v>0</v>
      </c>
      <c r="W1446" s="51" t="n">
        <v>0</v>
      </c>
      <c r="X1446" s="51" t="n">
        <v>0</v>
      </c>
      <c r="Y1446" s="51" t="n">
        <v>0</v>
      </c>
      <c r="Z1446" s="51" t="n">
        <v>0</v>
      </c>
      <c r="AA1446" s="52" t="n">
        <v>0</v>
      </c>
      <c r="AB1446" s="52" t="n">
        <v>0</v>
      </c>
      <c r="AC1446" s="52" t="n">
        <v>0</v>
      </c>
      <c r="AD1446" s="52" t="n">
        <v>0</v>
      </c>
      <c r="AE1446" s="52" t="n">
        <v>0</v>
      </c>
      <c r="AF1446" s="52" t="n">
        <v>0</v>
      </c>
      <c r="AG1446" s="52" t="n">
        <v>0</v>
      </c>
      <c r="AH1446" s="52" t="n">
        <v>0</v>
      </c>
      <c r="AI1446" s="52" t="n">
        <v>0</v>
      </c>
      <c r="AJ1446" s="52" t="n">
        <v>0</v>
      </c>
      <c r="AK1446" s="52" t="n">
        <v>0</v>
      </c>
      <c r="AL1446" s="52" t="n">
        <v>0</v>
      </c>
      <c r="AM1446" s="53" t="n">
        <v>0</v>
      </c>
      <c r="AN1446" s="53" t="n">
        <v>0</v>
      </c>
      <c r="AO1446" s="53" t="n">
        <v>0</v>
      </c>
      <c r="AP1446" s="53" t="n">
        <v>0</v>
      </c>
      <c r="AQ1446" s="52" t="n">
        <v>0</v>
      </c>
      <c r="AR1446" s="52" t="n">
        <v>0</v>
      </c>
      <c r="AS1446" s="52" t="n">
        <v>0</v>
      </c>
      <c r="AT1446" s="52" t="n">
        <v>0</v>
      </c>
      <c r="AU1446" s="53" t="n">
        <v>0</v>
      </c>
      <c r="AV1446" s="53" t="n">
        <v>0</v>
      </c>
      <c r="AW1446" s="53" t="n">
        <v>0</v>
      </c>
      <c r="AX1446" s="53" t="n">
        <v>0</v>
      </c>
      <c r="AY1446" s="52" t="n">
        <v>0</v>
      </c>
      <c r="AZ1446" s="52" t="n">
        <v>0</v>
      </c>
      <c r="BA1446" s="52" t="n">
        <v>0</v>
      </c>
      <c r="BB1446" s="52" t="n">
        <v>0</v>
      </c>
      <c r="BC1446" s="51" t="n">
        <v>0</v>
      </c>
      <c r="BD1446" s="51" t="n">
        <v>0</v>
      </c>
      <c r="BE1446" s="51" t="n">
        <v>0</v>
      </c>
      <c r="BF1446" s="51" t="n">
        <v>0</v>
      </c>
    </row>
    <row r="1447">
      <c r="A1447">
        <f>HYPERLINK("https://www.walmart.com/ip/14475759266", "14475759266")</f>
        <v/>
      </c>
      <c r="B1447" t="inlineStr">
        <is>
          <t>Womens Oversized Flannel Blanket Hoodie Sweatshirt, Plush Fleece Lined Lounging Pullover, Christmas Gift for Women (Sea Blue) - Catalonia</t>
        </is>
      </c>
      <c r="C1447" t="inlineStr">
        <is>
          <t>1CTOSH400HP-FS</t>
        </is>
      </c>
      <c r="G1447" s="48" t="n">
        <v>0</v>
      </c>
      <c r="H1447" s="48" t="n">
        <v>0</v>
      </c>
      <c r="I1447" s="48" t="n">
        <v>0</v>
      </c>
      <c r="J1447" s="48" t="n">
        <v>0</v>
      </c>
      <c r="K1447" s="49" t="n">
        <v>0</v>
      </c>
      <c r="L1447" s="49" t="n">
        <v>0</v>
      </c>
      <c r="M1447" s="49" t="n">
        <v>0</v>
      </c>
      <c r="N1447" s="49" t="n">
        <v>0</v>
      </c>
      <c r="O1447" s="49" t="n">
        <v>0</v>
      </c>
      <c r="P1447" s="49" t="n">
        <v>0</v>
      </c>
      <c r="Q1447" s="49" t="n">
        <v>0</v>
      </c>
      <c r="R1447" s="49" t="n">
        <v>0</v>
      </c>
      <c r="S1447" s="50" t="n">
        <v>0</v>
      </c>
      <c r="T1447" s="50" t="n">
        <v>0</v>
      </c>
      <c r="U1447" s="50" t="n">
        <v>0</v>
      </c>
      <c r="V1447" s="50" t="n">
        <v>0</v>
      </c>
      <c r="W1447" s="51" t="n">
        <v>0</v>
      </c>
      <c r="X1447" s="51" t="n">
        <v>0</v>
      </c>
      <c r="Y1447" s="51" t="n">
        <v>0</v>
      </c>
      <c r="Z1447" s="51" t="n">
        <v>0</v>
      </c>
      <c r="AA1447" s="52" t="n">
        <v>0</v>
      </c>
      <c r="AB1447" s="52" t="n">
        <v>0</v>
      </c>
      <c r="AC1447" s="52" t="n">
        <v>0</v>
      </c>
      <c r="AD1447" s="52" t="n">
        <v>0</v>
      </c>
      <c r="AE1447" s="52" t="n">
        <v>0</v>
      </c>
      <c r="AF1447" s="52" t="n">
        <v>0</v>
      </c>
      <c r="AG1447" s="52" t="n">
        <v>0</v>
      </c>
      <c r="AH1447" s="52" t="n">
        <v>0</v>
      </c>
      <c r="AI1447" s="52" t="n">
        <v>0</v>
      </c>
      <c r="AJ1447" s="52" t="n">
        <v>0</v>
      </c>
      <c r="AK1447" s="52" t="n">
        <v>0</v>
      </c>
      <c r="AL1447" s="52" t="n">
        <v>0</v>
      </c>
      <c r="AM1447" s="53" t="n">
        <v>0</v>
      </c>
      <c r="AN1447" s="53" t="n">
        <v>0</v>
      </c>
      <c r="AO1447" s="53" t="n">
        <v>0</v>
      </c>
      <c r="AP1447" s="53" t="n">
        <v>0</v>
      </c>
      <c r="AQ1447" s="52" t="n">
        <v>0</v>
      </c>
      <c r="AR1447" s="52" t="n">
        <v>0</v>
      </c>
      <c r="AS1447" s="52" t="n">
        <v>0</v>
      </c>
      <c r="AT1447" s="52" t="n">
        <v>0</v>
      </c>
      <c r="AU1447" s="53" t="n">
        <v>0</v>
      </c>
      <c r="AV1447" s="53" t="n">
        <v>0</v>
      </c>
      <c r="AW1447" s="53" t="n">
        <v>0</v>
      </c>
      <c r="AX1447" s="53" t="n">
        <v>0</v>
      </c>
      <c r="AY1447" s="52" t="n">
        <v>0</v>
      </c>
      <c r="AZ1447" s="52" t="n">
        <v>0</v>
      </c>
      <c r="BA1447" s="52" t="n">
        <v>0</v>
      </c>
      <c r="BB1447" s="52" t="n">
        <v>0</v>
      </c>
      <c r="BC1447" s="51" t="n">
        <v>0</v>
      </c>
      <c r="BD1447" s="51" t="n">
        <v>0</v>
      </c>
      <c r="BE1447" s="51" t="n">
        <v>0</v>
      </c>
      <c r="BF1447" s="51" t="n">
        <v>0</v>
      </c>
    </row>
    <row r="1448">
      <c r="A1448">
        <f>HYPERLINK("https://www.walmart.com/ip/14475759275", "14475759275")</f>
        <v/>
      </c>
      <c r="B1448" t="inlineStr">
        <is>
          <t>Catalonia Oversized Blanket Hoodie Sweatshirt, Comfortable Wearable Blanket Pullover Adults, Blue Silver</t>
        </is>
      </c>
      <c r="C1448" t="inlineStr">
        <is>
          <t>1CTOSH410BLSL-FS</t>
        </is>
      </c>
      <c r="D1448" t="inlineStr">
        <is>
          <t>Sweatshirts &amp; Hoodies</t>
        </is>
      </c>
      <c r="E1448" t="inlineStr">
        <is>
          <t>Catalonia</t>
        </is>
      </c>
      <c r="G1448" s="48" t="n">
        <v>0</v>
      </c>
      <c r="H1448" s="48" t="n">
        <v>0</v>
      </c>
      <c r="I1448" s="48" t="n">
        <v>0</v>
      </c>
      <c r="J1448" s="48" t="n">
        <v>0</v>
      </c>
      <c r="K1448" s="49" t="n">
        <v>0</v>
      </c>
      <c r="L1448" s="49" t="n">
        <v>0</v>
      </c>
      <c r="M1448" s="49" t="n">
        <v>0</v>
      </c>
      <c r="N1448" s="49" t="n">
        <v>0</v>
      </c>
      <c r="O1448" s="49" t="n">
        <v>0</v>
      </c>
      <c r="P1448" s="49" t="n">
        <v>0</v>
      </c>
      <c r="Q1448" s="49" t="n">
        <v>0</v>
      </c>
      <c r="R1448" s="49" t="n">
        <v>0</v>
      </c>
      <c r="S1448" s="50" t="n">
        <v>0</v>
      </c>
      <c r="T1448" s="50" t="n">
        <v>0</v>
      </c>
      <c r="U1448" s="50" t="n">
        <v>0</v>
      </c>
      <c r="V1448" s="50" t="n">
        <v>0</v>
      </c>
      <c r="W1448" s="51" t="n">
        <v>0</v>
      </c>
      <c r="X1448" s="51" t="n">
        <v>0</v>
      </c>
      <c r="Y1448" s="51" t="n">
        <v>0</v>
      </c>
      <c r="Z1448" s="51" t="n">
        <v>0</v>
      </c>
      <c r="AA1448" s="52" t="n">
        <v>0</v>
      </c>
      <c r="AB1448" s="52" t="n">
        <v>0</v>
      </c>
      <c r="AC1448" s="52" t="n">
        <v>0</v>
      </c>
      <c r="AD1448" s="52" t="n">
        <v>0</v>
      </c>
      <c r="AE1448" s="52" t="n">
        <v>0</v>
      </c>
      <c r="AF1448" s="52" t="n">
        <v>0</v>
      </c>
      <c r="AG1448" s="52" t="n">
        <v>0</v>
      </c>
      <c r="AH1448" s="52" t="n">
        <v>0</v>
      </c>
      <c r="AI1448" s="52" t="n">
        <v>0</v>
      </c>
      <c r="AJ1448" s="52" t="n">
        <v>0</v>
      </c>
      <c r="AK1448" s="52" t="n">
        <v>0</v>
      </c>
      <c r="AL1448" s="52" t="n">
        <v>0</v>
      </c>
      <c r="AM1448" s="53" t="n">
        <v>0</v>
      </c>
      <c r="AN1448" s="53" t="n">
        <v>0</v>
      </c>
      <c r="AO1448" s="53" t="n">
        <v>0</v>
      </c>
      <c r="AP1448" s="53" t="n">
        <v>0</v>
      </c>
      <c r="AQ1448" s="52" t="n">
        <v>0</v>
      </c>
      <c r="AR1448" s="52" t="n">
        <v>0</v>
      </c>
      <c r="AS1448" s="52" t="n">
        <v>0</v>
      </c>
      <c r="AT1448" s="52" t="n">
        <v>0</v>
      </c>
      <c r="AU1448" s="53" t="n">
        <v>0</v>
      </c>
      <c r="AV1448" s="53" t="n">
        <v>0</v>
      </c>
      <c r="AW1448" s="53" t="n">
        <v>0</v>
      </c>
      <c r="AX1448" s="53" t="n">
        <v>0</v>
      </c>
      <c r="AY1448" s="52" t="n">
        <v>0</v>
      </c>
      <c r="AZ1448" s="52" t="n">
        <v>0</v>
      </c>
      <c r="BA1448" s="52" t="n">
        <v>0</v>
      </c>
      <c r="BB1448" s="52" t="n">
        <v>0</v>
      </c>
      <c r="BC1448" s="51" t="n">
        <v>0</v>
      </c>
      <c r="BD1448" s="51" t="n">
        <v>0</v>
      </c>
      <c r="BE1448" s="51" t="n">
        <v>0</v>
      </c>
      <c r="BF1448" s="51" t="n">
        <v>0</v>
      </c>
    </row>
    <row r="1449">
      <c r="A1449">
        <f>HYPERLINK("https://www.walmart.com/ip/14476367286", "14476367286")</f>
        <v/>
      </c>
      <c r="B1449" t="inlineStr">
        <is>
          <t>Catalonia Women's Blanket Hoodie Sweatshirt, Cozy Comfortable Fluffy Soft Fleece Lounging Pullover, Warm Fleece Hooded with Pockets Gift,  Ombre Purple</t>
        </is>
      </c>
      <c r="C1449" t="inlineStr">
        <is>
          <t>1CTOSH330PP-FS</t>
        </is>
      </c>
      <c r="D1449" t="inlineStr">
        <is>
          <t>Sweatshirts &amp; Hoodies</t>
        </is>
      </c>
      <c r="E1449" t="inlineStr">
        <is>
          <t>Catalonia</t>
        </is>
      </c>
      <c r="G1449" s="48" t="n">
        <v>0</v>
      </c>
      <c r="H1449" s="48" t="n">
        <v>0</v>
      </c>
      <c r="I1449" s="48" t="n">
        <v>0</v>
      </c>
      <c r="J1449" s="48" t="n">
        <v>0</v>
      </c>
      <c r="K1449" s="49" t="n">
        <v>0</v>
      </c>
      <c r="L1449" s="49" t="n">
        <v>0</v>
      </c>
      <c r="M1449" s="49" t="n">
        <v>0</v>
      </c>
      <c r="N1449" s="49" t="n">
        <v>0</v>
      </c>
      <c r="O1449" s="49" t="n">
        <v>0</v>
      </c>
      <c r="P1449" s="49" t="n">
        <v>0</v>
      </c>
      <c r="Q1449" s="49" t="n">
        <v>0</v>
      </c>
      <c r="R1449" s="49" t="n">
        <v>0</v>
      </c>
      <c r="S1449" s="50" t="n">
        <v>0</v>
      </c>
      <c r="T1449" s="50" t="n">
        <v>0</v>
      </c>
      <c r="U1449" s="50" t="n">
        <v>0</v>
      </c>
      <c r="V1449" s="50" t="n">
        <v>0</v>
      </c>
      <c r="W1449" s="51" t="n">
        <v>0</v>
      </c>
      <c r="X1449" s="51" t="n">
        <v>0</v>
      </c>
      <c r="Y1449" s="51" t="n">
        <v>0</v>
      </c>
      <c r="Z1449" s="51" t="n">
        <v>0</v>
      </c>
      <c r="AA1449" s="52" t="n">
        <v>0</v>
      </c>
      <c r="AB1449" s="52" t="n">
        <v>0</v>
      </c>
      <c r="AC1449" s="52" t="n">
        <v>0</v>
      </c>
      <c r="AD1449" s="52" t="n">
        <v>0</v>
      </c>
      <c r="AE1449" s="52" t="n">
        <v>0</v>
      </c>
      <c r="AF1449" s="52" t="n">
        <v>0</v>
      </c>
      <c r="AG1449" s="52" t="n">
        <v>0</v>
      </c>
      <c r="AH1449" s="52" t="n">
        <v>0</v>
      </c>
      <c r="AI1449" s="52" t="n">
        <v>0</v>
      </c>
      <c r="AJ1449" s="52" t="n">
        <v>0</v>
      </c>
      <c r="AK1449" s="52" t="n">
        <v>0</v>
      </c>
      <c r="AL1449" s="52" t="n">
        <v>0</v>
      </c>
      <c r="AM1449" s="53" t="n">
        <v>0</v>
      </c>
      <c r="AN1449" s="53" t="n">
        <v>0</v>
      </c>
      <c r="AO1449" s="53" t="n">
        <v>0</v>
      </c>
      <c r="AP1449" s="53" t="n">
        <v>0</v>
      </c>
      <c r="AQ1449" s="52" t="n">
        <v>0</v>
      </c>
      <c r="AR1449" s="52" t="n">
        <v>0</v>
      </c>
      <c r="AS1449" s="52" t="n">
        <v>0</v>
      </c>
      <c r="AT1449" s="52" t="n">
        <v>0</v>
      </c>
      <c r="AU1449" s="53" t="n">
        <v>0</v>
      </c>
      <c r="AV1449" s="53" t="n">
        <v>0</v>
      </c>
      <c r="AW1449" s="53" t="n">
        <v>0</v>
      </c>
      <c r="AX1449" s="53" t="n">
        <v>0</v>
      </c>
      <c r="AY1449" s="52" t="n">
        <v>0</v>
      </c>
      <c r="AZ1449" s="52" t="n">
        <v>0</v>
      </c>
      <c r="BA1449" s="52" t="n">
        <v>0</v>
      </c>
      <c r="BB1449" s="52" t="n">
        <v>0</v>
      </c>
      <c r="BC1449" s="51" t="n">
        <v>0</v>
      </c>
      <c r="BD1449" s="51" t="n">
        <v>0</v>
      </c>
      <c r="BE1449" s="51" t="n">
        <v>0</v>
      </c>
      <c r="BF1449" s="51" t="n">
        <v>0</v>
      </c>
    </row>
    <row r="1450">
      <c r="A1450">
        <f>HYPERLINK("https://www.walmart.com/ip/14476467012", "14476467012")</f>
        <v/>
      </c>
      <c r="B1450" t="inlineStr">
        <is>
          <t>Womens Oversized Flannel Blanket Hoodie Sweatshirt, Plush Fleece Lined Lounging Pullover, Christmas Gift for Women (Latte) - Catalonia</t>
        </is>
      </c>
      <c r="C1450" t="inlineStr">
        <is>
          <t>1CTOSH400LT-FS</t>
        </is>
      </c>
      <c r="D1450" t="inlineStr">
        <is>
          <t>Sweatshirts &amp; Hoodies</t>
        </is>
      </c>
      <c r="E1450" t="inlineStr">
        <is>
          <t>Catalonia</t>
        </is>
      </c>
      <c r="G1450" s="48" t="n">
        <v>0</v>
      </c>
      <c r="H1450" s="48" t="n">
        <v>0</v>
      </c>
      <c r="I1450" s="48" t="n">
        <v>0</v>
      </c>
      <c r="J1450" s="48" t="n">
        <v>0</v>
      </c>
      <c r="K1450" s="49" t="n">
        <v>0</v>
      </c>
      <c r="L1450" s="49" t="n">
        <v>0</v>
      </c>
      <c r="M1450" s="49" t="n">
        <v>0</v>
      </c>
      <c r="N1450" s="49" t="n">
        <v>0</v>
      </c>
      <c r="O1450" s="49" t="n">
        <v>0</v>
      </c>
      <c r="P1450" s="49" t="n">
        <v>0</v>
      </c>
      <c r="Q1450" s="49" t="n">
        <v>0</v>
      </c>
      <c r="R1450" s="49" t="n">
        <v>0</v>
      </c>
      <c r="S1450" s="50" t="n">
        <v>0</v>
      </c>
      <c r="T1450" s="50" t="n">
        <v>0</v>
      </c>
      <c r="U1450" s="50" t="n">
        <v>0</v>
      </c>
      <c r="V1450" s="50" t="n">
        <v>0</v>
      </c>
      <c r="W1450" s="51" t="n">
        <v>0</v>
      </c>
      <c r="X1450" s="51" t="n">
        <v>0</v>
      </c>
      <c r="Y1450" s="51" t="n">
        <v>0</v>
      </c>
      <c r="Z1450" s="51" t="n">
        <v>0</v>
      </c>
      <c r="AA1450" s="52" t="n">
        <v>0</v>
      </c>
      <c r="AB1450" s="52" t="n">
        <v>0</v>
      </c>
      <c r="AC1450" s="52" t="n">
        <v>0</v>
      </c>
      <c r="AD1450" s="52" t="n">
        <v>0</v>
      </c>
      <c r="AE1450" s="52" t="n">
        <v>0</v>
      </c>
      <c r="AF1450" s="52" t="n">
        <v>0</v>
      </c>
      <c r="AG1450" s="52" t="n">
        <v>0</v>
      </c>
      <c r="AH1450" s="52" t="n">
        <v>0</v>
      </c>
      <c r="AI1450" s="52" t="n">
        <v>0</v>
      </c>
      <c r="AJ1450" s="52" t="n">
        <v>0</v>
      </c>
      <c r="AK1450" s="52" t="n">
        <v>0</v>
      </c>
      <c r="AL1450" s="52" t="n">
        <v>0</v>
      </c>
      <c r="AM1450" s="53" t="n">
        <v>0</v>
      </c>
      <c r="AN1450" s="53" t="n">
        <v>0</v>
      </c>
      <c r="AO1450" s="53" t="n">
        <v>0</v>
      </c>
      <c r="AP1450" s="53" t="n">
        <v>0</v>
      </c>
      <c r="AQ1450" s="52" t="n">
        <v>0</v>
      </c>
      <c r="AR1450" s="52" t="n">
        <v>0</v>
      </c>
      <c r="AS1450" s="52" t="n">
        <v>0</v>
      </c>
      <c r="AT1450" s="52" t="n">
        <v>0</v>
      </c>
      <c r="AU1450" s="53" t="n">
        <v>0</v>
      </c>
      <c r="AV1450" s="53" t="n">
        <v>0</v>
      </c>
      <c r="AW1450" s="53" t="n">
        <v>0</v>
      </c>
      <c r="AX1450" s="53" t="n">
        <v>0</v>
      </c>
      <c r="AY1450" s="52" t="n">
        <v>0</v>
      </c>
      <c r="AZ1450" s="52" t="n">
        <v>0</v>
      </c>
      <c r="BA1450" s="52" t="n">
        <v>0</v>
      </c>
      <c r="BB1450" s="52" t="n">
        <v>0</v>
      </c>
      <c r="BC1450" s="51" t="n">
        <v>0</v>
      </c>
      <c r="BD1450" s="51" t="n">
        <v>0</v>
      </c>
      <c r="BE1450" s="51" t="n">
        <v>0</v>
      </c>
      <c r="BF1450" s="51" t="n">
        <v>0</v>
      </c>
    </row>
    <row r="1451">
      <c r="A1451">
        <f>HYPERLINK("https://www.walmart.com/ip/14477116774", "14477116774")</f>
        <v/>
      </c>
      <c r="B1451" t="inlineStr">
        <is>
          <t>PEANUTS Mens' Cotton Snoopy Family Matching Pajamas 2-Piece Sets for Christmas with Woodstock Charlie Brown Linus, Gift for him (Green Polka Dot, XL)</t>
        </is>
      </c>
      <c r="C1451" t="inlineStr">
        <is>
          <t>PEA-PJS-FAMILY-MEN-GREEN-XL</t>
        </is>
      </c>
      <c r="D1451" t="inlineStr">
        <is>
          <t>Pajamas</t>
        </is>
      </c>
      <c r="E1451" t="inlineStr">
        <is>
          <t>Peanuts</t>
        </is>
      </c>
      <c r="G1451" s="48" t="n">
        <v>0</v>
      </c>
      <c r="H1451" s="48" t="n">
        <v>0</v>
      </c>
      <c r="I1451" s="48" t="n">
        <v>0</v>
      </c>
      <c r="J1451" s="48" t="n">
        <v>0</v>
      </c>
      <c r="K1451" s="49" t="n">
        <v>0</v>
      </c>
      <c r="L1451" s="49" t="n">
        <v>0</v>
      </c>
      <c r="M1451" s="49" t="n">
        <v>0</v>
      </c>
      <c r="N1451" s="49" t="n">
        <v>0</v>
      </c>
      <c r="O1451" s="49" t="n">
        <v>0</v>
      </c>
      <c r="P1451" s="49" t="n">
        <v>0</v>
      </c>
      <c r="Q1451" s="49" t="n">
        <v>0</v>
      </c>
      <c r="R1451" s="49" t="n">
        <v>0</v>
      </c>
      <c r="S1451" s="50" t="n">
        <v>0</v>
      </c>
      <c r="T1451" s="50" t="n">
        <v>0</v>
      </c>
      <c r="U1451" s="50" t="n">
        <v>0</v>
      </c>
      <c r="V1451" s="50" t="n">
        <v>0</v>
      </c>
      <c r="W1451" s="51" t="n">
        <v>0</v>
      </c>
      <c r="X1451" s="51" t="n">
        <v>0</v>
      </c>
      <c r="Y1451" s="51" t="n">
        <v>0</v>
      </c>
      <c r="Z1451" s="51" t="n">
        <v>0</v>
      </c>
      <c r="AA1451" s="52" t="n">
        <v>0</v>
      </c>
      <c r="AB1451" s="52" t="n">
        <v>0</v>
      </c>
      <c r="AC1451" s="52" t="n">
        <v>0</v>
      </c>
      <c r="AD1451" s="52" t="n">
        <v>0</v>
      </c>
      <c r="AE1451" s="52" t="n">
        <v>0</v>
      </c>
      <c r="AF1451" s="52" t="n">
        <v>0</v>
      </c>
      <c r="AG1451" s="52" t="n">
        <v>0</v>
      </c>
      <c r="AH1451" s="52" t="n">
        <v>0</v>
      </c>
      <c r="AI1451" s="52" t="n">
        <v>0</v>
      </c>
      <c r="AJ1451" s="52" t="n">
        <v>0</v>
      </c>
      <c r="AK1451" s="52" t="n">
        <v>0</v>
      </c>
      <c r="AL1451" s="52" t="n">
        <v>0</v>
      </c>
      <c r="AM1451" s="53" t="n">
        <v>0</v>
      </c>
      <c r="AN1451" s="53" t="n">
        <v>0</v>
      </c>
      <c r="AO1451" s="53" t="n">
        <v>0</v>
      </c>
      <c r="AP1451" s="53" t="n">
        <v>0</v>
      </c>
      <c r="AQ1451" s="52" t="n">
        <v>0</v>
      </c>
      <c r="AR1451" s="52" t="n">
        <v>0</v>
      </c>
      <c r="AS1451" s="52" t="n">
        <v>0</v>
      </c>
      <c r="AT1451" s="52" t="n">
        <v>0</v>
      </c>
      <c r="AU1451" s="53" t="n">
        <v>0</v>
      </c>
      <c r="AV1451" s="53" t="n">
        <v>0</v>
      </c>
      <c r="AW1451" s="53" t="n">
        <v>0</v>
      </c>
      <c r="AX1451" s="53" t="n">
        <v>0</v>
      </c>
      <c r="AY1451" s="52" t="n">
        <v>0</v>
      </c>
      <c r="AZ1451" s="52" t="n">
        <v>0</v>
      </c>
      <c r="BA1451" s="52" t="n">
        <v>0</v>
      </c>
      <c r="BB1451" s="52" t="n">
        <v>0</v>
      </c>
      <c r="BC1451" s="51" t="n">
        <v>0</v>
      </c>
      <c r="BD1451" s="51" t="n">
        <v>0</v>
      </c>
      <c r="BE1451" s="51" t="n">
        <v>0</v>
      </c>
      <c r="BF1451" s="51" t="n">
        <v>0</v>
      </c>
    </row>
    <row r="1452">
      <c r="A1452">
        <f>HYPERLINK("https://www.walmart.com/ip/14477166539", "14477166539")</f>
        <v/>
      </c>
      <c r="B1452" t="inlineStr">
        <is>
          <t>PEANUTS Toddler Boys Girls Snoopy Family Matching Pajamas Sleepwear 2-Piece Sets for Christmas with Woodstock Charlie Brown Linus (Black Plaid, 4T)</t>
        </is>
      </c>
      <c r="C1452" t="inlineStr">
        <is>
          <t>PEA-PJS-FAMILY-TODDLER-BLACKPLAID-4T</t>
        </is>
      </c>
      <c r="D1452" t="inlineStr">
        <is>
          <t>Pajamas</t>
        </is>
      </c>
      <c r="E1452" t="inlineStr">
        <is>
          <t>Peanuts</t>
        </is>
      </c>
      <c r="G1452" s="48" t="n">
        <v>0</v>
      </c>
      <c r="H1452" s="48" t="n">
        <v>0</v>
      </c>
      <c r="I1452" s="48" t="n">
        <v>0</v>
      </c>
      <c r="J1452" s="48" t="n">
        <v>0</v>
      </c>
      <c r="K1452" s="49" t="n">
        <v>0</v>
      </c>
      <c r="L1452" s="49" t="n">
        <v>0</v>
      </c>
      <c r="M1452" s="49" t="n">
        <v>0</v>
      </c>
      <c r="N1452" s="49" t="n">
        <v>0</v>
      </c>
      <c r="O1452" s="49" t="n">
        <v>0</v>
      </c>
      <c r="P1452" s="49" t="n">
        <v>0</v>
      </c>
      <c r="Q1452" s="49" t="n">
        <v>0</v>
      </c>
      <c r="R1452" s="49" t="n">
        <v>0</v>
      </c>
      <c r="S1452" s="50" t="n">
        <v>0</v>
      </c>
      <c r="T1452" s="50" t="n">
        <v>0</v>
      </c>
      <c r="U1452" s="50" t="n">
        <v>0</v>
      </c>
      <c r="V1452" s="50" t="n">
        <v>0</v>
      </c>
      <c r="W1452" s="51" t="n">
        <v>0</v>
      </c>
      <c r="X1452" s="51" t="n">
        <v>0</v>
      </c>
      <c r="Y1452" s="51" t="n">
        <v>0</v>
      </c>
      <c r="Z1452" s="51" t="n">
        <v>0</v>
      </c>
      <c r="AA1452" s="52" t="n">
        <v>0</v>
      </c>
      <c r="AB1452" s="52" t="n">
        <v>0</v>
      </c>
      <c r="AC1452" s="52" t="n">
        <v>0</v>
      </c>
      <c r="AD1452" s="52" t="n">
        <v>0</v>
      </c>
      <c r="AE1452" s="52" t="n">
        <v>0</v>
      </c>
      <c r="AF1452" s="52" t="n">
        <v>0</v>
      </c>
      <c r="AG1452" s="52" t="n">
        <v>0</v>
      </c>
      <c r="AH1452" s="52" t="n">
        <v>0</v>
      </c>
      <c r="AI1452" s="52" t="n">
        <v>0</v>
      </c>
      <c r="AJ1452" s="52" t="n">
        <v>0</v>
      </c>
      <c r="AK1452" s="52" t="n">
        <v>0</v>
      </c>
      <c r="AL1452" s="52" t="n">
        <v>0</v>
      </c>
      <c r="AM1452" s="53" t="n">
        <v>0</v>
      </c>
      <c r="AN1452" s="53" t="n">
        <v>0</v>
      </c>
      <c r="AO1452" s="53" t="n">
        <v>0</v>
      </c>
      <c r="AP1452" s="53" t="n">
        <v>0</v>
      </c>
      <c r="AQ1452" s="52" t="n">
        <v>0</v>
      </c>
      <c r="AR1452" s="52" t="n">
        <v>0</v>
      </c>
      <c r="AS1452" s="52" t="n">
        <v>0</v>
      </c>
      <c r="AT1452" s="52" t="n">
        <v>0</v>
      </c>
      <c r="AU1452" s="53" t="n">
        <v>0</v>
      </c>
      <c r="AV1452" s="53" t="n">
        <v>0</v>
      </c>
      <c r="AW1452" s="53" t="n">
        <v>0</v>
      </c>
      <c r="AX1452" s="53" t="n">
        <v>0</v>
      </c>
      <c r="AY1452" s="52" t="n">
        <v>0</v>
      </c>
      <c r="AZ1452" s="52" t="n">
        <v>0</v>
      </c>
      <c r="BA1452" s="52" t="n">
        <v>0</v>
      </c>
      <c r="BB1452" s="52" t="n">
        <v>0</v>
      </c>
      <c r="BC1452" s="51" t="n">
        <v>0</v>
      </c>
      <c r="BD1452" s="51" t="n">
        <v>0</v>
      </c>
      <c r="BE1452" s="51" t="n">
        <v>0</v>
      </c>
      <c r="BF1452" s="51" t="n">
        <v>0</v>
      </c>
    </row>
    <row r="1453">
      <c r="A1453">
        <f>HYPERLINK("https://www.walmart.com/ip/14477216504", "14477216504")</f>
        <v/>
      </c>
      <c r="B1453" t="inlineStr">
        <is>
          <t>PEANUTS Toddler Boys Girls Snoopy Family Matching Pajamas Sleepwear 2-Piece Sets for Christmas with Woodstock Charlie Brown Linus (Red Polka Dot, 4T)</t>
        </is>
      </c>
      <c r="C1453" t="inlineStr">
        <is>
          <t>PEA-PJS-FAMILY-TODDLER-RED-4T</t>
        </is>
      </c>
      <c r="D1453" t="inlineStr">
        <is>
          <t>Pajamas</t>
        </is>
      </c>
      <c r="E1453" t="inlineStr">
        <is>
          <t>Peanuts</t>
        </is>
      </c>
      <c r="G1453" s="48" t="n">
        <v>0</v>
      </c>
      <c r="H1453" s="48" t="n">
        <v>0</v>
      </c>
      <c r="I1453" s="48" t="n">
        <v>0</v>
      </c>
      <c r="J1453" s="48" t="n">
        <v>0</v>
      </c>
      <c r="K1453" s="49" t="n">
        <v>0</v>
      </c>
      <c r="L1453" s="49" t="n">
        <v>0</v>
      </c>
      <c r="M1453" s="49" t="n">
        <v>0</v>
      </c>
      <c r="N1453" s="49" t="n">
        <v>0</v>
      </c>
      <c r="O1453" s="49" t="n">
        <v>0</v>
      </c>
      <c r="P1453" s="49" t="n">
        <v>0</v>
      </c>
      <c r="Q1453" s="49" t="n">
        <v>0</v>
      </c>
      <c r="R1453" s="49" t="n">
        <v>0</v>
      </c>
      <c r="S1453" s="50" t="n">
        <v>0</v>
      </c>
      <c r="T1453" s="50" t="n">
        <v>0</v>
      </c>
      <c r="U1453" s="50" t="n">
        <v>0</v>
      </c>
      <c r="V1453" s="50" t="n">
        <v>0</v>
      </c>
      <c r="W1453" s="51" t="n">
        <v>0</v>
      </c>
      <c r="X1453" s="51" t="n">
        <v>0</v>
      </c>
      <c r="Y1453" s="51" t="n">
        <v>0</v>
      </c>
      <c r="Z1453" s="51" t="n">
        <v>0</v>
      </c>
      <c r="AA1453" s="52" t="n">
        <v>0</v>
      </c>
      <c r="AB1453" s="52" t="n">
        <v>0</v>
      </c>
      <c r="AC1453" s="52" t="n">
        <v>0</v>
      </c>
      <c r="AD1453" s="52" t="n">
        <v>0</v>
      </c>
      <c r="AE1453" s="52" t="n">
        <v>0</v>
      </c>
      <c r="AF1453" s="52" t="n">
        <v>0</v>
      </c>
      <c r="AG1453" s="52" t="n">
        <v>0</v>
      </c>
      <c r="AH1453" s="52" t="n">
        <v>0</v>
      </c>
      <c r="AI1453" s="52" t="n">
        <v>0</v>
      </c>
      <c r="AJ1453" s="52" t="n">
        <v>0</v>
      </c>
      <c r="AK1453" s="52" t="n">
        <v>0</v>
      </c>
      <c r="AL1453" s="52" t="n">
        <v>0</v>
      </c>
      <c r="AM1453" s="53" t="n">
        <v>0</v>
      </c>
      <c r="AN1453" s="53" t="n">
        <v>0</v>
      </c>
      <c r="AO1453" s="53" t="n">
        <v>0</v>
      </c>
      <c r="AP1453" s="53" t="n">
        <v>0</v>
      </c>
      <c r="AQ1453" s="52" t="n">
        <v>0</v>
      </c>
      <c r="AR1453" s="52" t="n">
        <v>0</v>
      </c>
      <c r="AS1453" s="52" t="n">
        <v>0</v>
      </c>
      <c r="AT1453" s="52" t="n">
        <v>0</v>
      </c>
      <c r="AU1453" s="53" t="n">
        <v>0</v>
      </c>
      <c r="AV1453" s="53" t="n">
        <v>0</v>
      </c>
      <c r="AW1453" s="53" t="n">
        <v>0</v>
      </c>
      <c r="AX1453" s="53" t="n">
        <v>0</v>
      </c>
      <c r="AY1453" s="52" t="n">
        <v>0</v>
      </c>
      <c r="AZ1453" s="52" t="n">
        <v>0</v>
      </c>
      <c r="BA1453" s="52" t="n">
        <v>0</v>
      </c>
      <c r="BB1453" s="52" t="n">
        <v>0</v>
      </c>
      <c r="BC1453" s="51" t="n">
        <v>0</v>
      </c>
      <c r="BD1453" s="51" t="n">
        <v>0</v>
      </c>
      <c r="BE1453" s="51" t="n">
        <v>0</v>
      </c>
      <c r="BF1453" s="51" t="n">
        <v>0</v>
      </c>
    </row>
    <row r="1454">
      <c r="A1454">
        <f>HYPERLINK("https://www.walmart.com/ip/14477216506", "14477216506")</f>
        <v/>
      </c>
      <c r="B1454" t="inlineStr">
        <is>
          <t>PEANUTS Snoopy 100% Cotton Family Matching Pajamas Holiday 2-Piece Sets for Christmas with Woodstock Charlie Brown Linus for Baby (Red Plaid, 12M)</t>
        </is>
      </c>
      <c r="C1454" t="inlineStr">
        <is>
          <t>PEA-PJS-FAMILY-INFANT-REDPLAID-12M</t>
        </is>
      </c>
      <c r="D1454" t="inlineStr">
        <is>
          <t>Pajamas</t>
        </is>
      </c>
      <c r="E1454" t="inlineStr">
        <is>
          <t>Peanuts</t>
        </is>
      </c>
      <c r="G1454" s="48" t="n">
        <v>0</v>
      </c>
      <c r="H1454" s="48" t="n">
        <v>0</v>
      </c>
      <c r="I1454" s="48" t="n">
        <v>0</v>
      </c>
      <c r="J1454" s="48" t="n">
        <v>0</v>
      </c>
      <c r="K1454" s="49" t="n">
        <v>0</v>
      </c>
      <c r="L1454" s="49" t="n">
        <v>0</v>
      </c>
      <c r="M1454" s="49" t="n">
        <v>0</v>
      </c>
      <c r="N1454" s="49" t="n">
        <v>0</v>
      </c>
      <c r="O1454" s="49" t="n">
        <v>0</v>
      </c>
      <c r="P1454" s="49" t="n">
        <v>0</v>
      </c>
      <c r="Q1454" s="49" t="n">
        <v>0</v>
      </c>
      <c r="R1454" s="49" t="n">
        <v>0</v>
      </c>
      <c r="S1454" s="50" t="n">
        <v>0</v>
      </c>
      <c r="T1454" s="50" t="n">
        <v>0</v>
      </c>
      <c r="U1454" s="50" t="n">
        <v>0</v>
      </c>
      <c r="V1454" s="50" t="n">
        <v>0</v>
      </c>
      <c r="W1454" s="51" t="n">
        <v>0</v>
      </c>
      <c r="X1454" s="51" t="n">
        <v>0</v>
      </c>
      <c r="Y1454" s="51" t="n">
        <v>0</v>
      </c>
      <c r="Z1454" s="51" t="n">
        <v>0</v>
      </c>
      <c r="AA1454" s="52" t="n">
        <v>0</v>
      </c>
      <c r="AB1454" s="52" t="n">
        <v>0</v>
      </c>
      <c r="AC1454" s="52" t="n">
        <v>0</v>
      </c>
      <c r="AD1454" s="52" t="n">
        <v>0</v>
      </c>
      <c r="AE1454" s="52" t="n">
        <v>0</v>
      </c>
      <c r="AF1454" s="52" t="n">
        <v>0</v>
      </c>
      <c r="AG1454" s="52" t="n">
        <v>0</v>
      </c>
      <c r="AH1454" s="52" t="n">
        <v>0</v>
      </c>
      <c r="AI1454" s="52" t="n">
        <v>0</v>
      </c>
      <c r="AJ1454" s="52" t="n">
        <v>0</v>
      </c>
      <c r="AK1454" s="52" t="n">
        <v>0</v>
      </c>
      <c r="AL1454" s="52" t="n">
        <v>0</v>
      </c>
      <c r="AM1454" s="53" t="n">
        <v>0</v>
      </c>
      <c r="AN1454" s="53" t="n">
        <v>0</v>
      </c>
      <c r="AO1454" s="53" t="n">
        <v>0</v>
      </c>
      <c r="AP1454" s="53" t="n">
        <v>0</v>
      </c>
      <c r="AQ1454" s="52" t="n">
        <v>0</v>
      </c>
      <c r="AR1454" s="52" t="n">
        <v>0</v>
      </c>
      <c r="AS1454" s="52" t="n">
        <v>0</v>
      </c>
      <c r="AT1454" s="52" t="n">
        <v>0</v>
      </c>
      <c r="AU1454" s="53" t="n">
        <v>0</v>
      </c>
      <c r="AV1454" s="53" t="n">
        <v>0</v>
      </c>
      <c r="AW1454" s="53" t="n">
        <v>0</v>
      </c>
      <c r="AX1454" s="53" t="n">
        <v>0</v>
      </c>
      <c r="AY1454" s="52" t="n">
        <v>0</v>
      </c>
      <c r="AZ1454" s="52" t="n">
        <v>0</v>
      </c>
      <c r="BA1454" s="52" t="n">
        <v>0</v>
      </c>
      <c r="BB1454" s="52" t="n">
        <v>0</v>
      </c>
      <c r="BC1454" s="51" t="n">
        <v>0</v>
      </c>
      <c r="BD1454" s="51" t="n">
        <v>0</v>
      </c>
      <c r="BE1454" s="51" t="n">
        <v>0</v>
      </c>
      <c r="BF1454" s="51" t="n">
        <v>0</v>
      </c>
    </row>
    <row r="1455">
      <c r="A1455">
        <f>HYPERLINK("https://www.walmart.com/ip/14483052382", "14483052382")</f>
        <v/>
      </c>
      <c r="B1455" t="inlineStr">
        <is>
          <t>Catalonia Women's Hoodie Sweatshirt, Casual Long Sleeves Pullover Sweater with front Pocket, Blanket Hoodie Sweatshirt, Dark Gray</t>
        </is>
      </c>
      <c r="C1455" t="inlineStr">
        <is>
          <t>1CTOSH300S1CHEETAH-FS</t>
        </is>
      </c>
      <c r="D1455" t="inlineStr">
        <is>
          <t>Sweatshirts &amp; Hoodies</t>
        </is>
      </c>
      <c r="E1455" t="inlineStr">
        <is>
          <t>Catalonia</t>
        </is>
      </c>
      <c r="G1455" s="48" t="n">
        <v>0</v>
      </c>
      <c r="H1455" s="48" t="n">
        <v>0</v>
      </c>
      <c r="I1455" s="48" t="n">
        <v>0</v>
      </c>
      <c r="J1455" s="48" t="n">
        <v>0</v>
      </c>
      <c r="K1455" s="49" t="n">
        <v>0</v>
      </c>
      <c r="L1455" s="49" t="n">
        <v>0</v>
      </c>
      <c r="M1455" s="49" t="n">
        <v>0</v>
      </c>
      <c r="N1455" s="49" t="n">
        <v>0</v>
      </c>
      <c r="O1455" s="49" t="n">
        <v>0</v>
      </c>
      <c r="P1455" s="49" t="n">
        <v>0</v>
      </c>
      <c r="Q1455" s="49" t="n">
        <v>0</v>
      </c>
      <c r="R1455" s="49" t="n">
        <v>0</v>
      </c>
      <c r="S1455" s="50" t="n">
        <v>0</v>
      </c>
      <c r="T1455" s="50" t="n">
        <v>0</v>
      </c>
      <c r="U1455" s="50" t="n">
        <v>0</v>
      </c>
      <c r="V1455" s="50" t="n">
        <v>0</v>
      </c>
      <c r="W1455" s="51" t="n">
        <v>0</v>
      </c>
      <c r="X1455" s="51" t="n">
        <v>0</v>
      </c>
      <c r="Y1455" s="51" t="n">
        <v>0</v>
      </c>
      <c r="Z1455" s="51" t="n">
        <v>0</v>
      </c>
      <c r="AA1455" s="52" t="n">
        <v>0</v>
      </c>
      <c r="AB1455" s="52" t="n">
        <v>0</v>
      </c>
      <c r="AC1455" s="52" t="n">
        <v>0</v>
      </c>
      <c r="AD1455" s="52" t="n">
        <v>0</v>
      </c>
      <c r="AE1455" s="52" t="n">
        <v>0</v>
      </c>
      <c r="AF1455" s="52" t="n">
        <v>0</v>
      </c>
      <c r="AG1455" s="52" t="n">
        <v>0</v>
      </c>
      <c r="AH1455" s="52" t="n">
        <v>0</v>
      </c>
      <c r="AI1455" s="52" t="n">
        <v>0</v>
      </c>
      <c r="AJ1455" s="52" t="n">
        <v>0</v>
      </c>
      <c r="AK1455" s="52" t="n">
        <v>0</v>
      </c>
      <c r="AL1455" s="52" t="n">
        <v>0</v>
      </c>
      <c r="AM1455" s="53" t="n">
        <v>0</v>
      </c>
      <c r="AN1455" s="53" t="n">
        <v>0</v>
      </c>
      <c r="AO1455" s="53" t="n">
        <v>0</v>
      </c>
      <c r="AP1455" s="53" t="n">
        <v>0</v>
      </c>
      <c r="AQ1455" s="52" t="n">
        <v>0</v>
      </c>
      <c r="AR1455" s="52" t="n">
        <v>0</v>
      </c>
      <c r="AS1455" s="52" t="n">
        <v>0</v>
      </c>
      <c r="AT1455" s="52" t="n">
        <v>0</v>
      </c>
      <c r="AU1455" s="53" t="n">
        <v>0</v>
      </c>
      <c r="AV1455" s="53" t="n">
        <v>0</v>
      </c>
      <c r="AW1455" s="53" t="n">
        <v>0</v>
      </c>
      <c r="AX1455" s="53" t="n">
        <v>0</v>
      </c>
      <c r="AY1455" s="52" t="n">
        <v>0</v>
      </c>
      <c r="AZ1455" s="52" t="n">
        <v>0</v>
      </c>
      <c r="BA1455" s="52" t="n">
        <v>0</v>
      </c>
      <c r="BB1455" s="52" t="n">
        <v>0</v>
      </c>
      <c r="BC1455" s="51" t="n">
        <v>0</v>
      </c>
      <c r="BD1455" s="51" t="n">
        <v>0</v>
      </c>
      <c r="BE1455" s="51" t="n">
        <v>0</v>
      </c>
      <c r="BF1455" s="51" t="n">
        <v>0</v>
      </c>
    </row>
    <row r="1456">
      <c r="A1456">
        <f>HYPERLINK("https://www.walmart.com/ip/14534159424", "14534159424")</f>
        <v/>
      </c>
      <c r="B1456" t="inlineStr">
        <is>
          <t>Aeropostale  Backpack for School, College, and Travel， Water Resistant Bookbag Plaid Blue</t>
        </is>
      </c>
      <c r="C1456" t="inlineStr">
        <is>
          <t>1AEBPK92029PBL</t>
        </is>
      </c>
      <c r="D1456" t="inlineStr">
        <is>
          <t>Backpacks</t>
        </is>
      </c>
      <c r="E1456" t="inlineStr">
        <is>
          <t>Aeropostale</t>
        </is>
      </c>
      <c r="G1456" s="48" t="n">
        <v>0</v>
      </c>
      <c r="H1456" s="48" t="n">
        <v>0</v>
      </c>
      <c r="I1456" s="48" t="n">
        <v>0</v>
      </c>
      <c r="J1456" s="48" t="n">
        <v>0</v>
      </c>
      <c r="K1456" s="49" t="n">
        <v>0</v>
      </c>
      <c r="L1456" s="49" t="n">
        <v>0</v>
      </c>
      <c r="M1456" s="49" t="n">
        <v>0</v>
      </c>
      <c r="N1456" s="49" t="n">
        <v>0</v>
      </c>
      <c r="O1456" s="49" t="n">
        <v>0</v>
      </c>
      <c r="P1456" s="49" t="n">
        <v>0</v>
      </c>
      <c r="Q1456" s="49" t="n">
        <v>0</v>
      </c>
      <c r="R1456" s="49" t="n">
        <v>0</v>
      </c>
      <c r="S1456" s="50" t="n">
        <v>0</v>
      </c>
      <c r="T1456" s="50" t="n">
        <v>0</v>
      </c>
      <c r="U1456" s="50" t="n">
        <v>0</v>
      </c>
      <c r="V1456" s="50" t="n">
        <v>0</v>
      </c>
      <c r="W1456" s="51" t="n">
        <v>0</v>
      </c>
      <c r="X1456" s="51" t="n">
        <v>0</v>
      </c>
      <c r="Y1456" s="51" t="n">
        <v>0</v>
      </c>
      <c r="Z1456" s="51" t="n">
        <v>0</v>
      </c>
      <c r="AA1456" s="52" t="n">
        <v>0</v>
      </c>
      <c r="AB1456" s="52" t="n">
        <v>0</v>
      </c>
      <c r="AC1456" s="52" t="n">
        <v>0</v>
      </c>
      <c r="AD1456" s="52" t="n">
        <v>0</v>
      </c>
      <c r="AE1456" s="52" t="n">
        <v>0</v>
      </c>
      <c r="AF1456" s="52" t="n">
        <v>0</v>
      </c>
      <c r="AG1456" s="52" t="n">
        <v>0</v>
      </c>
      <c r="AH1456" s="52" t="n">
        <v>0</v>
      </c>
      <c r="AI1456" s="52" t="n">
        <v>0</v>
      </c>
      <c r="AJ1456" s="52" t="n">
        <v>0</v>
      </c>
      <c r="AK1456" s="52" t="n">
        <v>0</v>
      </c>
      <c r="AL1456" s="52" t="n">
        <v>0</v>
      </c>
      <c r="AM1456" s="53" t="n">
        <v>0</v>
      </c>
      <c r="AN1456" s="53" t="n">
        <v>0</v>
      </c>
      <c r="AO1456" s="53" t="n">
        <v>0</v>
      </c>
      <c r="AP1456" s="53" t="n">
        <v>0</v>
      </c>
      <c r="AQ1456" s="52" t="n">
        <v>0</v>
      </c>
      <c r="AR1456" s="52" t="n">
        <v>0</v>
      </c>
      <c r="AS1456" s="52" t="n">
        <v>0</v>
      </c>
      <c r="AT1456" s="52" t="n">
        <v>0</v>
      </c>
      <c r="AU1456" s="53" t="n">
        <v>0</v>
      </c>
      <c r="AV1456" s="53" t="n">
        <v>0</v>
      </c>
      <c r="AW1456" s="53" t="n">
        <v>0</v>
      </c>
      <c r="AX1456" s="53" t="n">
        <v>0</v>
      </c>
      <c r="AY1456" s="52" t="n">
        <v>0</v>
      </c>
      <c r="AZ1456" s="52" t="n">
        <v>0</v>
      </c>
      <c r="BA1456" s="52" t="n">
        <v>0</v>
      </c>
      <c r="BB1456" s="52" t="n">
        <v>0</v>
      </c>
      <c r="BC1456" s="51" t="n">
        <v>0</v>
      </c>
      <c r="BD1456" s="51" t="n">
        <v>0</v>
      </c>
      <c r="BE1456" s="51" t="n">
        <v>0</v>
      </c>
      <c r="BF1456" s="51" t="n">
        <v>0</v>
      </c>
    </row>
    <row r="1457">
      <c r="A1457">
        <f>HYPERLINK("https://www.walmart.com/ip/14534159426", "14534159426")</f>
        <v/>
      </c>
      <c r="B1457" t="inlineStr">
        <is>
          <t>Aeropostale  Backpack for School, College, and Travel， Water Resistant Bookbag Black Astro</t>
        </is>
      </c>
      <c r="C1457" t="inlineStr">
        <is>
          <t>1AEBPK92029BKASTRO</t>
        </is>
      </c>
      <c r="D1457" t="inlineStr">
        <is>
          <t>Backpacks</t>
        </is>
      </c>
      <c r="E1457" t="inlineStr">
        <is>
          <t>Aeropostale</t>
        </is>
      </c>
      <c r="G1457" s="48" t="n">
        <v>0</v>
      </c>
      <c r="H1457" s="48" t="n">
        <v>0</v>
      </c>
      <c r="I1457" s="48" t="n">
        <v>0</v>
      </c>
      <c r="J1457" s="48" t="n">
        <v>0</v>
      </c>
      <c r="K1457" s="49" t="n">
        <v>0</v>
      </c>
      <c r="L1457" s="49" t="n">
        <v>0</v>
      </c>
      <c r="M1457" s="49" t="n">
        <v>0</v>
      </c>
      <c r="N1457" s="49" t="n">
        <v>0</v>
      </c>
      <c r="O1457" s="49" t="n">
        <v>0</v>
      </c>
      <c r="P1457" s="49" t="n">
        <v>0</v>
      </c>
      <c r="Q1457" s="49" t="n">
        <v>0</v>
      </c>
      <c r="R1457" s="49" t="n">
        <v>0</v>
      </c>
      <c r="S1457" s="50" t="n">
        <v>0</v>
      </c>
      <c r="T1457" s="50" t="n">
        <v>0</v>
      </c>
      <c r="U1457" s="50" t="n">
        <v>0</v>
      </c>
      <c r="V1457" s="50" t="n">
        <v>0</v>
      </c>
      <c r="W1457" s="51" t="n">
        <v>0</v>
      </c>
      <c r="X1457" s="51" t="n">
        <v>0</v>
      </c>
      <c r="Y1457" s="51" t="n">
        <v>0</v>
      </c>
      <c r="Z1457" s="51" t="n">
        <v>0</v>
      </c>
      <c r="AA1457" s="52" t="n">
        <v>0</v>
      </c>
      <c r="AB1457" s="52" t="n">
        <v>0</v>
      </c>
      <c r="AC1457" s="52" t="n">
        <v>0</v>
      </c>
      <c r="AD1457" s="52" t="n">
        <v>0</v>
      </c>
      <c r="AE1457" s="52" t="n">
        <v>0</v>
      </c>
      <c r="AF1457" s="52" t="n">
        <v>0</v>
      </c>
      <c r="AG1457" s="52" t="n">
        <v>0</v>
      </c>
      <c r="AH1457" s="52" t="n">
        <v>0</v>
      </c>
      <c r="AI1457" s="52" t="n">
        <v>0</v>
      </c>
      <c r="AJ1457" s="52" t="n">
        <v>0</v>
      </c>
      <c r="AK1457" s="52" t="n">
        <v>0</v>
      </c>
      <c r="AL1457" s="52" t="n">
        <v>0</v>
      </c>
      <c r="AM1457" s="53" t="n">
        <v>0</v>
      </c>
      <c r="AN1457" s="53" t="n">
        <v>0</v>
      </c>
      <c r="AO1457" s="53" t="n">
        <v>0</v>
      </c>
      <c r="AP1457" s="53" t="n">
        <v>0</v>
      </c>
      <c r="AQ1457" s="52" t="n">
        <v>0</v>
      </c>
      <c r="AR1457" s="52" t="n">
        <v>0</v>
      </c>
      <c r="AS1457" s="52" t="n">
        <v>0</v>
      </c>
      <c r="AT1457" s="52" t="n">
        <v>0</v>
      </c>
      <c r="AU1457" s="53" t="n">
        <v>0</v>
      </c>
      <c r="AV1457" s="53" t="n">
        <v>0</v>
      </c>
      <c r="AW1457" s="53" t="n">
        <v>0</v>
      </c>
      <c r="AX1457" s="53" t="n">
        <v>0</v>
      </c>
      <c r="AY1457" s="52" t="n">
        <v>0</v>
      </c>
      <c r="AZ1457" s="52" t="n">
        <v>0</v>
      </c>
      <c r="BA1457" s="52" t="n">
        <v>0</v>
      </c>
      <c r="BB1457" s="52" t="n">
        <v>0</v>
      </c>
      <c r="BC1457" s="51" t="n">
        <v>0</v>
      </c>
      <c r="BD1457" s="51" t="n">
        <v>0</v>
      </c>
      <c r="BE1457" s="51" t="n">
        <v>0</v>
      </c>
      <c r="BF1457" s="51" t="n">
        <v>0</v>
      </c>
    </row>
    <row r="1458">
      <c r="A1458">
        <f>HYPERLINK("https://www.walmart.com/ip/14534159428", "14534159428")</f>
        <v/>
      </c>
      <c r="B1458" t="inlineStr">
        <is>
          <t>Aeropostale  Backpack for School, College, and Travel， Water Resistant Bookbag Navy Bear</t>
        </is>
      </c>
      <c r="C1458" t="inlineStr">
        <is>
          <t>1AEBPK92029NYBEAR</t>
        </is>
      </c>
      <c r="D1458" t="inlineStr">
        <is>
          <t>Backpacks</t>
        </is>
      </c>
      <c r="E1458" t="inlineStr">
        <is>
          <t>Aeropostale</t>
        </is>
      </c>
      <c r="G1458" s="48" t="n">
        <v>0</v>
      </c>
      <c r="H1458" s="48" t="n">
        <v>0</v>
      </c>
      <c r="I1458" s="48" t="n">
        <v>0</v>
      </c>
      <c r="J1458" s="48" t="n">
        <v>0</v>
      </c>
      <c r="K1458" s="49" t="n">
        <v>0</v>
      </c>
      <c r="L1458" s="49" t="n">
        <v>0</v>
      </c>
      <c r="M1458" s="49" t="n">
        <v>0</v>
      </c>
      <c r="N1458" s="49" t="n">
        <v>0</v>
      </c>
      <c r="O1458" s="49" t="n">
        <v>0</v>
      </c>
      <c r="P1458" s="49" t="n">
        <v>0</v>
      </c>
      <c r="Q1458" s="49" t="n">
        <v>0</v>
      </c>
      <c r="R1458" s="49" t="n">
        <v>0</v>
      </c>
      <c r="S1458" s="50" t="n">
        <v>0</v>
      </c>
      <c r="T1458" s="50" t="n">
        <v>0</v>
      </c>
      <c r="U1458" s="50" t="n">
        <v>0</v>
      </c>
      <c r="V1458" s="50" t="n">
        <v>0</v>
      </c>
      <c r="W1458" s="51" t="n">
        <v>0</v>
      </c>
      <c r="X1458" s="51" t="n">
        <v>0</v>
      </c>
      <c r="Y1458" s="51" t="n">
        <v>0</v>
      </c>
      <c r="Z1458" s="51" t="n">
        <v>0</v>
      </c>
      <c r="AA1458" s="52" t="n">
        <v>0</v>
      </c>
      <c r="AB1458" s="52" t="n">
        <v>0</v>
      </c>
      <c r="AC1458" s="52" t="n">
        <v>0</v>
      </c>
      <c r="AD1458" s="52" t="n">
        <v>0</v>
      </c>
      <c r="AE1458" s="52" t="n">
        <v>0</v>
      </c>
      <c r="AF1458" s="52" t="n">
        <v>0</v>
      </c>
      <c r="AG1458" s="52" t="n">
        <v>0</v>
      </c>
      <c r="AH1458" s="52" t="n">
        <v>0</v>
      </c>
      <c r="AI1458" s="52" t="n">
        <v>0</v>
      </c>
      <c r="AJ1458" s="52" t="n">
        <v>0</v>
      </c>
      <c r="AK1458" s="52" t="n">
        <v>0</v>
      </c>
      <c r="AL1458" s="52" t="n">
        <v>0</v>
      </c>
      <c r="AM1458" s="53" t="n">
        <v>0</v>
      </c>
      <c r="AN1458" s="53" t="n">
        <v>0</v>
      </c>
      <c r="AO1458" s="53" t="n">
        <v>0</v>
      </c>
      <c r="AP1458" s="53" t="n">
        <v>0</v>
      </c>
      <c r="AQ1458" s="52" t="n">
        <v>0</v>
      </c>
      <c r="AR1458" s="52" t="n">
        <v>0</v>
      </c>
      <c r="AS1458" s="52" t="n">
        <v>0</v>
      </c>
      <c r="AT1458" s="52" t="n">
        <v>0</v>
      </c>
      <c r="AU1458" s="53" t="n">
        <v>0</v>
      </c>
      <c r="AV1458" s="53" t="n">
        <v>0</v>
      </c>
      <c r="AW1458" s="53" t="n">
        <v>0</v>
      </c>
      <c r="AX1458" s="53" t="n">
        <v>0</v>
      </c>
      <c r="AY1458" s="52" t="n">
        <v>0</v>
      </c>
      <c r="AZ1458" s="52" t="n">
        <v>0</v>
      </c>
      <c r="BA1458" s="52" t="n">
        <v>0</v>
      </c>
      <c r="BB1458" s="52" t="n">
        <v>0</v>
      </c>
      <c r="BC1458" s="51" t="n">
        <v>0</v>
      </c>
      <c r="BD1458" s="51" t="n">
        <v>0</v>
      </c>
      <c r="BE1458" s="51" t="n">
        <v>0</v>
      </c>
      <c r="BF1458" s="51" t="n">
        <v>0</v>
      </c>
    </row>
    <row r="1459">
      <c r="A1459">
        <f>HYPERLINK("https://www.walmart.com/ip/15419556673", "15419556673")</f>
        <v/>
      </c>
      <c r="B1459" t="inlineStr">
        <is>
          <t>Catalonia Kids Waterproof Swim Parka with Hood, Windproof Fleece Swim Jacket, Warm Winter Swim Coat for Boys Girls Youth, Perfect for Swim Lessons, Beach, Pool</t>
        </is>
      </c>
      <c r="C1459" t="inlineStr">
        <is>
          <t>1CTPKR200BL-1</t>
        </is>
      </c>
      <c r="D1459" t="inlineStr">
        <is>
          <t>Swim Parkas</t>
        </is>
      </c>
      <c r="E1459" t="inlineStr">
        <is>
          <t>Catalonia</t>
        </is>
      </c>
      <c r="G1459" s="48" t="n">
        <v>0</v>
      </c>
      <c r="H1459" s="48" t="n">
        <v>59.99</v>
      </c>
      <c r="I1459" s="48" t="n">
        <v>0</v>
      </c>
      <c r="J1459" s="48" t="n">
        <v>0</v>
      </c>
      <c r="K1459" s="49" t="n">
        <v>0</v>
      </c>
      <c r="L1459" s="49" t="n">
        <v>1</v>
      </c>
      <c r="M1459" s="49" t="n">
        <v>0</v>
      </c>
      <c r="N1459" s="49" t="n">
        <v>0</v>
      </c>
      <c r="O1459" s="49" t="n">
        <v>0</v>
      </c>
      <c r="P1459" s="49" t="n">
        <v>0</v>
      </c>
      <c r="Q1459" s="49" t="n">
        <v>0</v>
      </c>
      <c r="R1459" s="49" t="n">
        <v>0</v>
      </c>
      <c r="S1459" s="50" t="n">
        <v>0</v>
      </c>
      <c r="T1459" s="50" t="n">
        <v>0</v>
      </c>
      <c r="U1459" s="50" t="n">
        <v>0</v>
      </c>
      <c r="V1459" s="50" t="n">
        <v>0</v>
      </c>
      <c r="W1459" s="51" t="n">
        <v>0</v>
      </c>
      <c r="X1459" s="51" t="n">
        <v>0</v>
      </c>
      <c r="Y1459" s="51" t="n">
        <v>0</v>
      </c>
      <c r="Z1459" s="51" t="n">
        <v>0</v>
      </c>
      <c r="AA1459" s="52" t="n">
        <v>0</v>
      </c>
      <c r="AB1459" s="52" t="n">
        <v>0</v>
      </c>
      <c r="AC1459" s="52" t="n">
        <v>0</v>
      </c>
      <c r="AD1459" s="52" t="n">
        <v>0</v>
      </c>
      <c r="AE1459" s="52" t="n">
        <v>0</v>
      </c>
      <c r="AF1459" s="52" t="n">
        <v>0</v>
      </c>
      <c r="AG1459" s="52" t="n">
        <v>0</v>
      </c>
      <c r="AH1459" s="52" t="n">
        <v>0</v>
      </c>
      <c r="AI1459" s="52" t="n">
        <v>0</v>
      </c>
      <c r="AJ1459" s="52" t="n">
        <v>0</v>
      </c>
      <c r="AK1459" s="52" t="n">
        <v>0</v>
      </c>
      <c r="AL1459" s="52" t="n">
        <v>0</v>
      </c>
      <c r="AM1459" s="53" t="n">
        <v>0</v>
      </c>
      <c r="AN1459" s="53" t="n">
        <v>0</v>
      </c>
      <c r="AO1459" s="53" t="n">
        <v>0</v>
      </c>
      <c r="AP1459" s="53" t="n">
        <v>0</v>
      </c>
      <c r="AQ1459" s="52" t="n">
        <v>0</v>
      </c>
      <c r="AR1459" s="52" t="n">
        <v>0</v>
      </c>
      <c r="AS1459" s="52" t="n">
        <v>0</v>
      </c>
      <c r="AT1459" s="52" t="n">
        <v>0</v>
      </c>
      <c r="AU1459" s="53" t="n">
        <v>0</v>
      </c>
      <c r="AV1459" s="53" t="n">
        <v>0</v>
      </c>
      <c r="AW1459" s="53" t="n">
        <v>0</v>
      </c>
      <c r="AX1459" s="53" t="n">
        <v>0</v>
      </c>
      <c r="AY1459" s="52" t="n">
        <v>0</v>
      </c>
      <c r="AZ1459" s="52" t="n">
        <v>59.99</v>
      </c>
      <c r="BA1459" s="52" t="n">
        <v>0</v>
      </c>
      <c r="BB1459" s="52" t="n">
        <v>0</v>
      </c>
      <c r="BC1459" s="51" t="n">
        <v>0</v>
      </c>
      <c r="BD1459" s="51" t="n">
        <v>0</v>
      </c>
      <c r="BE1459" s="51" t="n">
        <v>0</v>
      </c>
      <c r="BF1459" s="51" t="n">
        <v>0</v>
      </c>
    </row>
    <row r="1460">
      <c r="A1460">
        <f>HYPERLINK("https://www.walmart.com/ip/15434400660", "15434400660")</f>
        <v/>
      </c>
      <c r="B1460" t="inlineStr">
        <is>
          <t>Tirrinia 2 In 1 Outdoors UPF 50+ UV Protection Sun Hat for Women, One Size Female Sports Baseball Cap Gardening Fishing Hat with Neck Flap</t>
        </is>
      </c>
      <c r="C1460" t="inlineStr">
        <is>
          <t>1TRSH9153WT</t>
        </is>
      </c>
      <c r="D1460" t="inlineStr">
        <is>
          <t>Hats</t>
        </is>
      </c>
      <c r="E1460" t="inlineStr">
        <is>
          <t>Tirrinia</t>
        </is>
      </c>
      <c r="G1460" s="48" t="n">
        <v>0</v>
      </c>
      <c r="H1460" s="48" t="n">
        <v>0</v>
      </c>
      <c r="I1460" s="48" t="n">
        <v>0</v>
      </c>
      <c r="J1460" s="48" t="n">
        <v>0</v>
      </c>
      <c r="K1460" s="49" t="n">
        <v>0</v>
      </c>
      <c r="L1460" s="49" t="n">
        <v>0</v>
      </c>
      <c r="M1460" s="49" t="n">
        <v>0</v>
      </c>
      <c r="N1460" s="49" t="n">
        <v>0</v>
      </c>
      <c r="O1460" s="49" t="n">
        <v>0</v>
      </c>
      <c r="P1460" s="49" t="n">
        <v>0</v>
      </c>
      <c r="Q1460" s="49" t="n">
        <v>0</v>
      </c>
      <c r="R1460" s="49" t="n">
        <v>0</v>
      </c>
      <c r="S1460" s="50" t="n">
        <v>0</v>
      </c>
      <c r="T1460" s="50" t="n">
        <v>0</v>
      </c>
      <c r="U1460" s="50" t="n">
        <v>0</v>
      </c>
      <c r="V1460" s="50" t="n">
        <v>0</v>
      </c>
      <c r="W1460" s="51" t="n">
        <v>0</v>
      </c>
      <c r="X1460" s="51" t="n">
        <v>0</v>
      </c>
      <c r="Y1460" s="51" t="n">
        <v>0</v>
      </c>
      <c r="Z1460" s="51" t="n">
        <v>0</v>
      </c>
      <c r="AA1460" s="52" t="n">
        <v>0</v>
      </c>
      <c r="AB1460" s="52" t="n">
        <v>0</v>
      </c>
      <c r="AC1460" s="52" t="n">
        <v>0</v>
      </c>
      <c r="AD1460" s="52" t="n">
        <v>0</v>
      </c>
      <c r="AE1460" s="52" t="n">
        <v>0</v>
      </c>
      <c r="AF1460" s="52" t="n">
        <v>0</v>
      </c>
      <c r="AG1460" s="52" t="n">
        <v>0</v>
      </c>
      <c r="AH1460" s="52" t="n">
        <v>0</v>
      </c>
      <c r="AI1460" s="52" t="n">
        <v>0</v>
      </c>
      <c r="AJ1460" s="52" t="n">
        <v>0</v>
      </c>
      <c r="AK1460" s="52" t="n">
        <v>0</v>
      </c>
      <c r="AL1460" s="52" t="n">
        <v>0</v>
      </c>
      <c r="AM1460" s="53" t="n">
        <v>0</v>
      </c>
      <c r="AN1460" s="53" t="n">
        <v>0</v>
      </c>
      <c r="AO1460" s="53" t="n">
        <v>0</v>
      </c>
      <c r="AP1460" s="53" t="n">
        <v>0</v>
      </c>
      <c r="AQ1460" s="52" t="n">
        <v>0</v>
      </c>
      <c r="AR1460" s="52" t="n">
        <v>0</v>
      </c>
      <c r="AS1460" s="52" t="n">
        <v>0</v>
      </c>
      <c r="AT1460" s="52" t="n">
        <v>0</v>
      </c>
      <c r="AU1460" s="53" t="n">
        <v>0</v>
      </c>
      <c r="AV1460" s="53" t="n">
        <v>0</v>
      </c>
      <c r="AW1460" s="53" t="n">
        <v>0</v>
      </c>
      <c r="AX1460" s="53" t="n">
        <v>0</v>
      </c>
      <c r="AY1460" s="52" t="n">
        <v>0</v>
      </c>
      <c r="AZ1460" s="52" t="n">
        <v>0</v>
      </c>
      <c r="BA1460" s="52" t="n">
        <v>0</v>
      </c>
      <c r="BB1460" s="52" t="n">
        <v>0</v>
      </c>
      <c r="BC1460" s="51" t="n">
        <v>0</v>
      </c>
      <c r="BD1460" s="51" t="n">
        <v>0</v>
      </c>
      <c r="BE1460" s="51" t="n">
        <v>0</v>
      </c>
      <c r="BF1460" s="51" t="n">
        <v>0</v>
      </c>
    </row>
    <row r="1461">
      <c r="A1461">
        <f>HYPERLINK("https://www.walmart.com/ip/154366253", "154366253")</f>
        <v/>
      </c>
      <c r="B1461" t="inlineStr">
        <is>
          <t>Jenniwears Women's Sexy Lingerie Lace Mesh 2-Piece Bowknot Halter Chemise with G-String</t>
        </is>
      </c>
      <c r="C1461" t="inlineStr">
        <is>
          <t>JWND03WT</t>
        </is>
      </c>
      <c r="D1461" t="inlineStr">
        <is>
          <t>Lingerie Sets</t>
        </is>
      </c>
      <c r="E1461" t="inlineStr">
        <is>
          <t>JenniWears</t>
        </is>
      </c>
      <c r="F1461" t="inlineStr">
        <is>
          <t>Optimized,Valentine</t>
        </is>
      </c>
      <c r="G1461" s="48" t="n">
        <v>0</v>
      </c>
      <c r="H1461" s="48" t="n">
        <v>0</v>
      </c>
      <c r="I1461" s="48" t="n">
        <v>0</v>
      </c>
      <c r="J1461" s="48" t="n">
        <v>0</v>
      </c>
      <c r="K1461" s="49" t="n">
        <v>0</v>
      </c>
      <c r="L1461" s="49" t="n">
        <v>0</v>
      </c>
      <c r="M1461" s="49" t="n">
        <v>0</v>
      </c>
      <c r="N1461" s="49" t="n">
        <v>0</v>
      </c>
      <c r="O1461" s="49" t="n">
        <v>0</v>
      </c>
      <c r="P1461" s="49" t="n">
        <v>0</v>
      </c>
      <c r="Q1461" s="49" t="n">
        <v>0</v>
      </c>
      <c r="R1461" s="49" t="n">
        <v>0</v>
      </c>
      <c r="S1461" s="50" t="n">
        <v>0</v>
      </c>
      <c r="T1461" s="50" t="n">
        <v>0</v>
      </c>
      <c r="U1461" s="50" t="n">
        <v>0</v>
      </c>
      <c r="V1461" s="50" t="n">
        <v>0</v>
      </c>
      <c r="W1461" s="51" t="n">
        <v>0</v>
      </c>
      <c r="X1461" s="51" t="n">
        <v>0</v>
      </c>
      <c r="Y1461" s="51" t="n">
        <v>0</v>
      </c>
      <c r="Z1461" s="51" t="n">
        <v>0</v>
      </c>
      <c r="AA1461" s="52" t="n">
        <v>0</v>
      </c>
      <c r="AB1461" s="52" t="n">
        <v>0</v>
      </c>
      <c r="AC1461" s="52" t="n">
        <v>0</v>
      </c>
      <c r="AD1461" s="52" t="n">
        <v>0</v>
      </c>
      <c r="AE1461" s="52" t="n">
        <v>0</v>
      </c>
      <c r="AF1461" s="52" t="n">
        <v>0</v>
      </c>
      <c r="AG1461" s="52" t="n">
        <v>0</v>
      </c>
      <c r="AH1461" s="52" t="n">
        <v>0</v>
      </c>
      <c r="AI1461" s="52" t="n">
        <v>0</v>
      </c>
      <c r="AJ1461" s="52" t="n">
        <v>0</v>
      </c>
      <c r="AK1461" s="52" t="n">
        <v>0</v>
      </c>
      <c r="AL1461" s="52" t="n">
        <v>0</v>
      </c>
      <c r="AM1461" s="53" t="n">
        <v>0</v>
      </c>
      <c r="AN1461" s="53" t="n">
        <v>0</v>
      </c>
      <c r="AO1461" s="53" t="n">
        <v>0</v>
      </c>
      <c r="AP1461" s="53" t="n">
        <v>0</v>
      </c>
      <c r="AQ1461" s="52" t="n">
        <v>0</v>
      </c>
      <c r="AR1461" s="52" t="n">
        <v>0</v>
      </c>
      <c r="AS1461" s="52" t="n">
        <v>0</v>
      </c>
      <c r="AT1461" s="52" t="n">
        <v>0</v>
      </c>
      <c r="AU1461" s="53" t="n">
        <v>0</v>
      </c>
      <c r="AV1461" s="53" t="n">
        <v>0</v>
      </c>
      <c r="AW1461" s="53" t="n">
        <v>0</v>
      </c>
      <c r="AX1461" s="53" t="n">
        <v>0</v>
      </c>
      <c r="AY1461" s="52" t="n">
        <v>0</v>
      </c>
      <c r="AZ1461" s="52" t="n">
        <v>0</v>
      </c>
      <c r="BA1461" s="52" t="n">
        <v>0</v>
      </c>
      <c r="BB1461" s="52" t="n">
        <v>0</v>
      </c>
      <c r="BC1461" s="51" t="n">
        <v>0</v>
      </c>
      <c r="BD1461" s="51" t="n">
        <v>0</v>
      </c>
      <c r="BE1461" s="51" t="n">
        <v>0</v>
      </c>
      <c r="BF1461" s="51" t="n">
        <v>0</v>
      </c>
    </row>
    <row r="1462">
      <c r="A1462">
        <f>HYPERLINK("https://www.walmart.com/ip/1544312564", "1544312564")</f>
        <v/>
      </c>
      <c r="B1462" t="inlineStr">
        <is>
          <t>Every Day is Christmas Glass Blown Ornaments Cute Hand Made Figurines Tree Decoration, Rocket</t>
        </is>
      </c>
      <c r="C1462" t="inlineStr">
        <is>
          <t>EDC-FIGURINE-ROCKET</t>
        </is>
      </c>
      <c r="D1462" t="inlineStr">
        <is>
          <t>Ornaments</t>
        </is>
      </c>
      <c r="E1462" t="inlineStr">
        <is>
          <t>Every Day is Christmas</t>
        </is>
      </c>
      <c r="G1462" s="48" t="n">
        <v>0</v>
      </c>
      <c r="H1462" s="48" t="n">
        <v>0</v>
      </c>
      <c r="I1462" s="48" t="n">
        <v>0</v>
      </c>
      <c r="J1462" s="48" t="n">
        <v>0</v>
      </c>
      <c r="K1462" s="49" t="n">
        <v>0</v>
      </c>
      <c r="L1462" s="49" t="n">
        <v>0</v>
      </c>
      <c r="M1462" s="49" t="n">
        <v>0</v>
      </c>
      <c r="N1462" s="49" t="n">
        <v>0</v>
      </c>
      <c r="O1462" s="49" t="n">
        <v>0</v>
      </c>
      <c r="P1462" s="49" t="n">
        <v>0</v>
      </c>
      <c r="Q1462" s="49" t="n">
        <v>0</v>
      </c>
      <c r="R1462" s="49" t="n">
        <v>0</v>
      </c>
      <c r="S1462" s="50" t="n">
        <v>0</v>
      </c>
      <c r="T1462" s="50" t="n">
        <v>0</v>
      </c>
      <c r="U1462" s="50" t="n">
        <v>0</v>
      </c>
      <c r="V1462" s="50" t="n">
        <v>0</v>
      </c>
      <c r="W1462" s="51" t="n">
        <v>0</v>
      </c>
      <c r="X1462" s="51" t="n">
        <v>0</v>
      </c>
      <c r="Y1462" s="51" t="n">
        <v>0</v>
      </c>
      <c r="Z1462" s="51" t="n">
        <v>0</v>
      </c>
      <c r="AA1462" s="52" t="n">
        <v>0</v>
      </c>
      <c r="AB1462" s="52" t="n">
        <v>0</v>
      </c>
      <c r="AC1462" s="52" t="n">
        <v>0</v>
      </c>
      <c r="AD1462" s="52" t="n">
        <v>0</v>
      </c>
      <c r="AE1462" s="52" t="n">
        <v>0</v>
      </c>
      <c r="AF1462" s="52" t="n">
        <v>0</v>
      </c>
      <c r="AG1462" s="52" t="n">
        <v>0</v>
      </c>
      <c r="AH1462" s="52" t="n">
        <v>0</v>
      </c>
      <c r="AI1462" s="52" t="n">
        <v>0</v>
      </c>
      <c r="AJ1462" s="52" t="n">
        <v>0</v>
      </c>
      <c r="AK1462" s="52" t="n">
        <v>0</v>
      </c>
      <c r="AL1462" s="52" t="n">
        <v>0</v>
      </c>
      <c r="AM1462" s="53" t="n">
        <v>0</v>
      </c>
      <c r="AN1462" s="53" t="n">
        <v>0</v>
      </c>
      <c r="AO1462" s="53" t="n">
        <v>0</v>
      </c>
      <c r="AP1462" s="53" t="n">
        <v>0</v>
      </c>
      <c r="AQ1462" s="52" t="n">
        <v>0</v>
      </c>
      <c r="AR1462" s="52" t="n">
        <v>0</v>
      </c>
      <c r="AS1462" s="52" t="n">
        <v>0</v>
      </c>
      <c r="AT1462" s="52" t="n">
        <v>0</v>
      </c>
      <c r="AU1462" s="53" t="n">
        <v>0</v>
      </c>
      <c r="AV1462" s="53" t="n">
        <v>0</v>
      </c>
      <c r="AW1462" s="53" t="n">
        <v>0</v>
      </c>
      <c r="AX1462" s="53" t="n">
        <v>0</v>
      </c>
      <c r="AY1462" s="52" t="n">
        <v>0</v>
      </c>
      <c r="AZ1462" s="52" t="n">
        <v>0</v>
      </c>
      <c r="BA1462" s="52" t="n">
        <v>0</v>
      </c>
      <c r="BB1462" s="52" t="n">
        <v>0</v>
      </c>
      <c r="BC1462" s="51" t="n">
        <v>0</v>
      </c>
      <c r="BD1462" s="51" t="n">
        <v>0</v>
      </c>
      <c r="BE1462" s="51" t="n">
        <v>0</v>
      </c>
      <c r="BF1462" s="51" t="n">
        <v>0</v>
      </c>
    </row>
    <row r="1463">
      <c r="A1463">
        <f>HYPERLINK("https://www.walmart.com/ip/15444408347", "15444408347")</f>
        <v/>
      </c>
      <c r="B1463" t="inlineStr">
        <is>
          <t>Wrangler Men’s Leather Embossed Logo Casual Every Day Belt for Jeans, Khakis Brown</t>
        </is>
      </c>
      <c r="C1463" t="inlineStr">
        <is>
          <t>WR-BELT-MENS-EMBOSSED-BROWN-44</t>
        </is>
      </c>
      <c r="D1463" t="inlineStr">
        <is>
          <t>Belts</t>
        </is>
      </c>
      <c r="E1463" t="inlineStr">
        <is>
          <t>Wrangler</t>
        </is>
      </c>
      <c r="G1463" s="48" t="n">
        <v>0</v>
      </c>
      <c r="H1463" s="48" t="n">
        <v>0</v>
      </c>
      <c r="I1463" s="48" t="n">
        <v>0</v>
      </c>
      <c r="J1463" s="48" t="n">
        <v>0</v>
      </c>
      <c r="K1463" s="49" t="n">
        <v>0</v>
      </c>
      <c r="L1463" s="49" t="n">
        <v>0</v>
      </c>
      <c r="M1463" s="49" t="n">
        <v>0</v>
      </c>
      <c r="N1463" s="49" t="n">
        <v>0</v>
      </c>
      <c r="O1463" s="49" t="n">
        <v>0</v>
      </c>
      <c r="P1463" s="49" t="n">
        <v>0</v>
      </c>
      <c r="Q1463" s="49" t="n">
        <v>0</v>
      </c>
      <c r="R1463" s="49" t="n">
        <v>0</v>
      </c>
      <c r="S1463" s="50" t="n">
        <v>0</v>
      </c>
      <c r="T1463" s="50" t="n">
        <v>0</v>
      </c>
      <c r="U1463" s="50" t="n">
        <v>0</v>
      </c>
      <c r="V1463" s="50" t="n">
        <v>0</v>
      </c>
      <c r="W1463" s="51" t="n">
        <v>0</v>
      </c>
      <c r="X1463" s="51" t="n">
        <v>0</v>
      </c>
      <c r="Y1463" s="51" t="n">
        <v>0</v>
      </c>
      <c r="Z1463" s="51" t="n">
        <v>0</v>
      </c>
      <c r="AA1463" s="52" t="n">
        <v>0</v>
      </c>
      <c r="AB1463" s="52" t="n">
        <v>0</v>
      </c>
      <c r="AC1463" s="52" t="n">
        <v>0</v>
      </c>
      <c r="AD1463" s="52" t="n">
        <v>0</v>
      </c>
      <c r="AE1463" s="52" t="n">
        <v>0</v>
      </c>
      <c r="AF1463" s="52" t="n">
        <v>0</v>
      </c>
      <c r="AG1463" s="52" t="n">
        <v>0</v>
      </c>
      <c r="AH1463" s="52" t="n">
        <v>0</v>
      </c>
      <c r="AI1463" s="52" t="n">
        <v>0</v>
      </c>
      <c r="AJ1463" s="52" t="n">
        <v>0</v>
      </c>
      <c r="AK1463" s="52" t="n">
        <v>0</v>
      </c>
      <c r="AL1463" s="52" t="n">
        <v>0</v>
      </c>
      <c r="AM1463" s="53" t="n">
        <v>0</v>
      </c>
      <c r="AN1463" s="53" t="n">
        <v>0</v>
      </c>
      <c r="AO1463" s="53" t="n">
        <v>0</v>
      </c>
      <c r="AP1463" s="53" t="n">
        <v>0</v>
      </c>
      <c r="AQ1463" s="52" t="n">
        <v>0</v>
      </c>
      <c r="AR1463" s="52" t="n">
        <v>0</v>
      </c>
      <c r="AS1463" s="52" t="n">
        <v>0</v>
      </c>
      <c r="AT1463" s="52" t="n">
        <v>0</v>
      </c>
      <c r="AU1463" s="53" t="n">
        <v>0</v>
      </c>
      <c r="AV1463" s="53" t="n">
        <v>0</v>
      </c>
      <c r="AW1463" s="53" t="n">
        <v>0</v>
      </c>
      <c r="AX1463" s="53" t="n">
        <v>0</v>
      </c>
      <c r="AY1463" s="52" t="n">
        <v>0</v>
      </c>
      <c r="AZ1463" s="52" t="n">
        <v>0</v>
      </c>
      <c r="BA1463" s="52" t="n">
        <v>0</v>
      </c>
      <c r="BB1463" s="52" t="n">
        <v>0</v>
      </c>
      <c r="BC1463" s="51" t="n">
        <v>0</v>
      </c>
      <c r="BD1463" s="51" t="n">
        <v>0</v>
      </c>
      <c r="BE1463" s="51" t="n">
        <v>0</v>
      </c>
      <c r="BF1463" s="51" t="n">
        <v>0</v>
      </c>
    </row>
    <row r="1464">
      <c r="A1464">
        <f>HYPERLINK("https://www.walmart.com/ip/15457112508", "15457112508")</f>
        <v/>
      </c>
      <c r="B1464" t="inlineStr">
        <is>
          <t>Sun Blocker Unisex Sun Hat with Neck Flap Large Brim Packable Summer Beach Fishing Cap</t>
        </is>
      </c>
      <c r="C1464" t="inlineStr">
        <is>
          <t>1SLSH9153WT</t>
        </is>
      </c>
      <c r="D1464" t="inlineStr">
        <is>
          <t>Hats</t>
        </is>
      </c>
      <c r="E1464" t="inlineStr">
        <is>
          <t>Sun Blocker</t>
        </is>
      </c>
      <c r="G1464" s="48" t="n">
        <v>0</v>
      </c>
      <c r="H1464" s="48" t="n">
        <v>0</v>
      </c>
      <c r="I1464" s="48" t="n">
        <v>0</v>
      </c>
      <c r="J1464" s="48" t="n">
        <v>0</v>
      </c>
      <c r="K1464" s="49" t="n">
        <v>0</v>
      </c>
      <c r="L1464" s="49" t="n">
        <v>0</v>
      </c>
      <c r="M1464" s="49" t="n">
        <v>0</v>
      </c>
      <c r="N1464" s="49" t="n">
        <v>0</v>
      </c>
      <c r="O1464" s="49" t="n">
        <v>0</v>
      </c>
      <c r="P1464" s="49" t="n">
        <v>0</v>
      </c>
      <c r="Q1464" s="49" t="n">
        <v>0</v>
      </c>
      <c r="R1464" s="49" t="n">
        <v>0</v>
      </c>
      <c r="S1464" s="50" t="n">
        <v>0</v>
      </c>
      <c r="T1464" s="50" t="n">
        <v>0</v>
      </c>
      <c r="U1464" s="50" t="n">
        <v>0</v>
      </c>
      <c r="V1464" s="50" t="n">
        <v>0</v>
      </c>
      <c r="W1464" s="51" t="n">
        <v>0</v>
      </c>
      <c r="X1464" s="51" t="n">
        <v>0</v>
      </c>
      <c r="Y1464" s="51" t="n">
        <v>0</v>
      </c>
      <c r="Z1464" s="51" t="n">
        <v>0</v>
      </c>
      <c r="AA1464" s="52" t="n">
        <v>0</v>
      </c>
      <c r="AB1464" s="52" t="n">
        <v>0</v>
      </c>
      <c r="AC1464" s="52" t="n">
        <v>0</v>
      </c>
      <c r="AD1464" s="52" t="n">
        <v>0</v>
      </c>
      <c r="AE1464" s="52" t="n">
        <v>0</v>
      </c>
      <c r="AF1464" s="52" t="n">
        <v>0</v>
      </c>
      <c r="AG1464" s="52" t="n">
        <v>0</v>
      </c>
      <c r="AH1464" s="52" t="n">
        <v>0</v>
      </c>
      <c r="AI1464" s="52" t="n">
        <v>0</v>
      </c>
      <c r="AJ1464" s="52" t="n">
        <v>0</v>
      </c>
      <c r="AK1464" s="52" t="n">
        <v>0</v>
      </c>
      <c r="AL1464" s="52" t="n">
        <v>0</v>
      </c>
      <c r="AM1464" s="53" t="n">
        <v>0</v>
      </c>
      <c r="AN1464" s="53" t="n">
        <v>0</v>
      </c>
      <c r="AO1464" s="53" t="n">
        <v>0</v>
      </c>
      <c r="AP1464" s="53" t="n">
        <v>0</v>
      </c>
      <c r="AQ1464" s="52" t="n">
        <v>0</v>
      </c>
      <c r="AR1464" s="52" t="n">
        <v>0</v>
      </c>
      <c r="AS1464" s="52" t="n">
        <v>0</v>
      </c>
      <c r="AT1464" s="52" t="n">
        <v>0</v>
      </c>
      <c r="AU1464" s="53" t="n">
        <v>0</v>
      </c>
      <c r="AV1464" s="53" t="n">
        <v>0</v>
      </c>
      <c r="AW1464" s="53" t="n">
        <v>0</v>
      </c>
      <c r="AX1464" s="53" t="n">
        <v>0</v>
      </c>
      <c r="AY1464" s="52" t="n">
        <v>0</v>
      </c>
      <c r="AZ1464" s="52" t="n">
        <v>0</v>
      </c>
      <c r="BA1464" s="52" t="n">
        <v>0</v>
      </c>
      <c r="BB1464" s="52" t="n">
        <v>0</v>
      </c>
      <c r="BC1464" s="51" t="n">
        <v>0</v>
      </c>
      <c r="BD1464" s="51" t="n">
        <v>0</v>
      </c>
      <c r="BE1464" s="51" t="n">
        <v>0</v>
      </c>
      <c r="BF1464" s="51" t="n">
        <v>0</v>
      </c>
    </row>
    <row r="1465">
      <c r="A1465">
        <f>HYPERLINK("https://www.walmart.com/ip/15460468762", "15460468762")</f>
        <v/>
      </c>
      <c r="B1465" t="inlineStr">
        <is>
          <t>Wrangler Men’s Bifold Wallet Genuine Leather, RFID Blocking, Casual Everyday 10-20 Cards Purse with AirTag Holder, Gift for Him</t>
        </is>
      </c>
      <c r="C1465" t="inlineStr">
        <is>
          <t>WR-WALLET-59007-BLACK</t>
        </is>
      </c>
      <c r="D1465" t="inlineStr">
        <is>
          <t>Wallets</t>
        </is>
      </c>
      <c r="E1465" t="inlineStr">
        <is>
          <t>Wrangler</t>
        </is>
      </c>
      <c r="G1465" s="48" t="n">
        <v>0</v>
      </c>
      <c r="H1465" s="48" t="n">
        <v>29.99</v>
      </c>
      <c r="I1465" s="48" t="n">
        <v>59.98</v>
      </c>
      <c r="J1465" s="48" t="n">
        <v>0</v>
      </c>
      <c r="K1465" s="49" t="n">
        <v>0</v>
      </c>
      <c r="L1465" s="49" t="n">
        <v>1</v>
      </c>
      <c r="M1465" s="49" t="n">
        <v>2</v>
      </c>
      <c r="N1465" s="49" t="n">
        <v>0</v>
      </c>
      <c r="O1465" s="49" t="n">
        <v>0</v>
      </c>
      <c r="P1465" s="49" t="n">
        <v>1</v>
      </c>
      <c r="Q1465" s="49" t="n">
        <v>1</v>
      </c>
      <c r="R1465" s="49" t="n">
        <v>0</v>
      </c>
      <c r="S1465" s="50" t="n">
        <v>0</v>
      </c>
      <c r="T1465" s="50" t="n">
        <v>1</v>
      </c>
      <c r="U1465" s="50" t="n">
        <v>2</v>
      </c>
      <c r="V1465" s="50" t="n">
        <v>0</v>
      </c>
      <c r="W1465" s="51" t="n">
        <v>0</v>
      </c>
      <c r="X1465" s="51" t="n">
        <v>0</v>
      </c>
      <c r="Y1465" s="51" t="n">
        <v>0</v>
      </c>
      <c r="Z1465" s="51" t="n">
        <v>0</v>
      </c>
      <c r="AA1465" s="52" t="n">
        <v>0</v>
      </c>
      <c r="AB1465" s="52" t="n">
        <v>0</v>
      </c>
      <c r="AC1465" s="52" t="n">
        <v>0</v>
      </c>
      <c r="AD1465" s="52" t="n">
        <v>0</v>
      </c>
      <c r="AE1465" s="52" t="n">
        <v>0</v>
      </c>
      <c r="AF1465" s="52" t="n">
        <v>0</v>
      </c>
      <c r="AG1465" s="52" t="n">
        <v>0</v>
      </c>
      <c r="AH1465" s="52" t="n">
        <v>0</v>
      </c>
      <c r="AI1465" s="52" t="n">
        <v>0</v>
      </c>
      <c r="AJ1465" s="52" t="n">
        <v>0</v>
      </c>
      <c r="AK1465" s="52" t="n">
        <v>0</v>
      </c>
      <c r="AL1465" s="52" t="n">
        <v>0</v>
      </c>
      <c r="AM1465" s="53" t="n">
        <v>0</v>
      </c>
      <c r="AN1465" s="53" t="n">
        <v>0</v>
      </c>
      <c r="AO1465" s="53" t="n">
        <v>0</v>
      </c>
      <c r="AP1465" s="53" t="n">
        <v>0</v>
      </c>
      <c r="AQ1465" s="52" t="n">
        <v>0</v>
      </c>
      <c r="AR1465" s="52" t="n">
        <v>0</v>
      </c>
      <c r="AS1465" s="52" t="n">
        <v>0</v>
      </c>
      <c r="AT1465" s="52" t="n">
        <v>0</v>
      </c>
      <c r="AU1465" s="53" t="n">
        <v>0</v>
      </c>
      <c r="AV1465" s="53" t="n">
        <v>0</v>
      </c>
      <c r="AW1465" s="53" t="n">
        <v>0</v>
      </c>
      <c r="AX1465" s="53" t="n">
        <v>0</v>
      </c>
      <c r="AY1465" s="52" t="n">
        <v>0</v>
      </c>
      <c r="AZ1465" s="52" t="n">
        <v>29.99</v>
      </c>
      <c r="BA1465" s="52" t="n">
        <v>29.99</v>
      </c>
      <c r="BB1465" s="52" t="n">
        <v>0</v>
      </c>
      <c r="BC1465" s="51" t="n">
        <v>0</v>
      </c>
      <c r="BD1465" s="51" t="n">
        <v>0</v>
      </c>
      <c r="BE1465" s="51" t="n">
        <v>0</v>
      </c>
      <c r="BF1465" s="51" t="n">
        <v>0</v>
      </c>
    </row>
    <row r="1466">
      <c r="A1466">
        <f>HYPERLINK("https://www.walmart.com/ip/15463062376", "15463062376")</f>
        <v/>
      </c>
      <c r="B1466" t="inlineStr">
        <is>
          <t>Wrangler Men’s Leather Embossed Logo Casual Every Day Belt for Jeans, Khakis Brown</t>
        </is>
      </c>
      <c r="C1466" t="inlineStr">
        <is>
          <t>WR-BELT-MENS-EMBOSSED-BROWN-42</t>
        </is>
      </c>
      <c r="D1466" t="inlineStr">
        <is>
          <t>Belts</t>
        </is>
      </c>
      <c r="E1466" t="inlineStr">
        <is>
          <t>Wrangler</t>
        </is>
      </c>
      <c r="G1466" s="48" t="n">
        <v>0</v>
      </c>
      <c r="H1466" s="48" t="n">
        <v>0</v>
      </c>
      <c r="I1466" s="48" t="n">
        <v>0</v>
      </c>
      <c r="J1466" s="48" t="n">
        <v>0</v>
      </c>
      <c r="K1466" s="49" t="n">
        <v>0</v>
      </c>
      <c r="L1466" s="49" t="n">
        <v>0</v>
      </c>
      <c r="M1466" s="49" t="n">
        <v>0</v>
      </c>
      <c r="N1466" s="49" t="n">
        <v>0</v>
      </c>
      <c r="O1466" s="49" t="n">
        <v>0</v>
      </c>
      <c r="P1466" s="49" t="n">
        <v>0</v>
      </c>
      <c r="Q1466" s="49" t="n">
        <v>0</v>
      </c>
      <c r="R1466" s="49" t="n">
        <v>0</v>
      </c>
      <c r="S1466" s="50" t="n">
        <v>0</v>
      </c>
      <c r="T1466" s="50" t="n">
        <v>0</v>
      </c>
      <c r="U1466" s="50" t="n">
        <v>0</v>
      </c>
      <c r="V1466" s="50" t="n">
        <v>0</v>
      </c>
      <c r="W1466" s="51" t="n">
        <v>0</v>
      </c>
      <c r="X1466" s="51" t="n">
        <v>0</v>
      </c>
      <c r="Y1466" s="51" t="n">
        <v>0</v>
      </c>
      <c r="Z1466" s="51" t="n">
        <v>0</v>
      </c>
      <c r="AA1466" s="52" t="n">
        <v>0</v>
      </c>
      <c r="AB1466" s="52" t="n">
        <v>0</v>
      </c>
      <c r="AC1466" s="52" t="n">
        <v>0</v>
      </c>
      <c r="AD1466" s="52" t="n">
        <v>0</v>
      </c>
      <c r="AE1466" s="52" t="n">
        <v>0</v>
      </c>
      <c r="AF1466" s="52" t="n">
        <v>0</v>
      </c>
      <c r="AG1466" s="52" t="n">
        <v>0</v>
      </c>
      <c r="AH1466" s="52" t="n">
        <v>0</v>
      </c>
      <c r="AI1466" s="52" t="n">
        <v>0</v>
      </c>
      <c r="AJ1466" s="52" t="n">
        <v>0</v>
      </c>
      <c r="AK1466" s="52" t="n">
        <v>0</v>
      </c>
      <c r="AL1466" s="52" t="n">
        <v>0</v>
      </c>
      <c r="AM1466" s="53" t="n">
        <v>0</v>
      </c>
      <c r="AN1466" s="53" t="n">
        <v>0</v>
      </c>
      <c r="AO1466" s="53" t="n">
        <v>0</v>
      </c>
      <c r="AP1466" s="53" t="n">
        <v>0</v>
      </c>
      <c r="AQ1466" s="52" t="n">
        <v>0</v>
      </c>
      <c r="AR1466" s="52" t="n">
        <v>0</v>
      </c>
      <c r="AS1466" s="52" t="n">
        <v>0</v>
      </c>
      <c r="AT1466" s="52" t="n">
        <v>0</v>
      </c>
      <c r="AU1466" s="53" t="n">
        <v>0</v>
      </c>
      <c r="AV1466" s="53" t="n">
        <v>0</v>
      </c>
      <c r="AW1466" s="53" t="n">
        <v>0</v>
      </c>
      <c r="AX1466" s="53" t="n">
        <v>0</v>
      </c>
      <c r="AY1466" s="52" t="n">
        <v>0</v>
      </c>
      <c r="AZ1466" s="52" t="n">
        <v>0</v>
      </c>
      <c r="BA1466" s="52" t="n">
        <v>0</v>
      </c>
      <c r="BB1466" s="52" t="n">
        <v>0</v>
      </c>
      <c r="BC1466" s="51" t="n">
        <v>0</v>
      </c>
      <c r="BD1466" s="51" t="n">
        <v>0</v>
      </c>
      <c r="BE1466" s="51" t="n">
        <v>0</v>
      </c>
      <c r="BF1466" s="51" t="n">
        <v>0</v>
      </c>
    </row>
    <row r="1467">
      <c r="A1467">
        <f>HYPERLINK("https://www.walmart.com/ip/15479600412", "15479600412")</f>
        <v/>
      </c>
      <c r="B1467" t="inlineStr">
        <is>
          <t>Tirrinia Large Insulated Lunch Tote Bag for Women,Waterproof Oxford Cloth Leakproof Cooler Bag</t>
        </is>
      </c>
      <c r="C1467" t="inlineStr">
        <is>
          <t>1TRCB800RAINBOWHEART</t>
        </is>
      </c>
      <c r="D1467" t="inlineStr">
        <is>
          <t>Reusable Lunch Bags &amp; Boxes</t>
        </is>
      </c>
      <c r="E1467" t="inlineStr">
        <is>
          <t>Tirrinia</t>
        </is>
      </c>
      <c r="G1467" s="48" t="n">
        <v>0</v>
      </c>
      <c r="H1467" s="48" t="n">
        <v>0</v>
      </c>
      <c r="I1467" s="48" t="n">
        <v>0</v>
      </c>
      <c r="J1467" s="48" t="n">
        <v>0</v>
      </c>
      <c r="K1467" s="49" t="n">
        <v>0</v>
      </c>
      <c r="L1467" s="49" t="n">
        <v>0</v>
      </c>
      <c r="M1467" s="49" t="n">
        <v>0</v>
      </c>
      <c r="N1467" s="49" t="n">
        <v>0</v>
      </c>
      <c r="O1467" s="49" t="n">
        <v>0</v>
      </c>
      <c r="P1467" s="49" t="n">
        <v>0</v>
      </c>
      <c r="Q1467" s="49" t="n">
        <v>0</v>
      </c>
      <c r="R1467" s="49" t="n">
        <v>0</v>
      </c>
      <c r="S1467" s="50" t="n">
        <v>0</v>
      </c>
      <c r="T1467" s="50" t="n">
        <v>0</v>
      </c>
      <c r="U1467" s="50" t="n">
        <v>0</v>
      </c>
      <c r="V1467" s="50" t="n">
        <v>0</v>
      </c>
      <c r="W1467" s="51" t="n">
        <v>0</v>
      </c>
      <c r="X1467" s="51" t="n">
        <v>0</v>
      </c>
      <c r="Y1467" s="51" t="n">
        <v>0</v>
      </c>
      <c r="Z1467" s="51" t="n">
        <v>0</v>
      </c>
      <c r="AA1467" s="52" t="n">
        <v>0</v>
      </c>
      <c r="AB1467" s="52" t="n">
        <v>0</v>
      </c>
      <c r="AC1467" s="52" t="n">
        <v>0</v>
      </c>
      <c r="AD1467" s="52" t="n">
        <v>0</v>
      </c>
      <c r="AE1467" s="52" t="n">
        <v>0</v>
      </c>
      <c r="AF1467" s="52" t="n">
        <v>0</v>
      </c>
      <c r="AG1467" s="52" t="n">
        <v>0</v>
      </c>
      <c r="AH1467" s="52" t="n">
        <v>0</v>
      </c>
      <c r="AI1467" s="52" t="n">
        <v>0</v>
      </c>
      <c r="AJ1467" s="52" t="n">
        <v>0</v>
      </c>
      <c r="AK1467" s="52" t="n">
        <v>0</v>
      </c>
      <c r="AL1467" s="52" t="n">
        <v>0</v>
      </c>
      <c r="AM1467" s="53" t="n">
        <v>0</v>
      </c>
      <c r="AN1467" s="53" t="n">
        <v>0</v>
      </c>
      <c r="AO1467" s="53" t="n">
        <v>0</v>
      </c>
      <c r="AP1467" s="53" t="n">
        <v>0</v>
      </c>
      <c r="AQ1467" s="52" t="n">
        <v>0</v>
      </c>
      <c r="AR1467" s="52" t="n">
        <v>0</v>
      </c>
      <c r="AS1467" s="52" t="n">
        <v>0</v>
      </c>
      <c r="AT1467" s="52" t="n">
        <v>0</v>
      </c>
      <c r="AU1467" s="53" t="n">
        <v>0</v>
      </c>
      <c r="AV1467" s="53" t="n">
        <v>0</v>
      </c>
      <c r="AW1467" s="53" t="n">
        <v>0</v>
      </c>
      <c r="AX1467" s="53" t="n">
        <v>0</v>
      </c>
      <c r="AY1467" s="52" t="n">
        <v>0</v>
      </c>
      <c r="AZ1467" s="52" t="n">
        <v>0</v>
      </c>
      <c r="BA1467" s="52" t="n">
        <v>0</v>
      </c>
      <c r="BB1467" s="52" t="n">
        <v>0</v>
      </c>
      <c r="BC1467" s="51" t="n">
        <v>0</v>
      </c>
      <c r="BD1467" s="51" t="n">
        <v>0</v>
      </c>
      <c r="BE1467" s="51" t="n">
        <v>0</v>
      </c>
      <c r="BF1467" s="51" t="n">
        <v>0</v>
      </c>
    </row>
    <row r="1468">
      <c r="A1468">
        <f>HYPERLINK("https://www.walmart.com/ip/15481655976", "15481655976")</f>
        <v/>
      </c>
      <c r="B1468" t="inlineStr">
        <is>
          <t>Wrangler Men’s Leather Embossed Logo Casual Every Day Belt for Jeans, Khakis Brown</t>
        </is>
      </c>
      <c r="C1468" t="inlineStr">
        <is>
          <t>WR-BELT-MENS-EMBOSSED-BROWN-40</t>
        </is>
      </c>
      <c r="D1468" t="inlineStr">
        <is>
          <t>Belts</t>
        </is>
      </c>
      <c r="E1468" t="inlineStr">
        <is>
          <t>Wrangler</t>
        </is>
      </c>
      <c r="G1468" s="48" t="n">
        <v>0</v>
      </c>
      <c r="H1468" s="48" t="n">
        <v>19.99</v>
      </c>
      <c r="I1468" s="48" t="n">
        <v>0</v>
      </c>
      <c r="J1468" s="48" t="n">
        <v>0</v>
      </c>
      <c r="K1468" s="49" t="n">
        <v>0</v>
      </c>
      <c r="L1468" s="49" t="n">
        <v>1</v>
      </c>
      <c r="M1468" s="49" t="n">
        <v>0</v>
      </c>
      <c r="N1468" s="49" t="n">
        <v>0</v>
      </c>
      <c r="O1468" s="49" t="n">
        <v>0</v>
      </c>
      <c r="P1468" s="49" t="n">
        <v>0</v>
      </c>
      <c r="Q1468" s="49" t="n">
        <v>0</v>
      </c>
      <c r="R1468" s="49" t="n">
        <v>0</v>
      </c>
      <c r="S1468" s="50" t="n">
        <v>0</v>
      </c>
      <c r="T1468" s="50" t="n">
        <v>0</v>
      </c>
      <c r="U1468" s="50" t="n">
        <v>0</v>
      </c>
      <c r="V1468" s="50" t="n">
        <v>0</v>
      </c>
      <c r="W1468" s="51" t="n">
        <v>0</v>
      </c>
      <c r="X1468" s="51" t="n">
        <v>0</v>
      </c>
      <c r="Y1468" s="51" t="n">
        <v>0</v>
      </c>
      <c r="Z1468" s="51" t="n">
        <v>0</v>
      </c>
      <c r="AA1468" s="52" t="n">
        <v>0</v>
      </c>
      <c r="AB1468" s="52" t="n">
        <v>0</v>
      </c>
      <c r="AC1468" s="52" t="n">
        <v>0</v>
      </c>
      <c r="AD1468" s="52" t="n">
        <v>0</v>
      </c>
      <c r="AE1468" s="52" t="n">
        <v>0</v>
      </c>
      <c r="AF1468" s="52" t="n">
        <v>0</v>
      </c>
      <c r="AG1468" s="52" t="n">
        <v>0</v>
      </c>
      <c r="AH1468" s="52" t="n">
        <v>0</v>
      </c>
      <c r="AI1468" s="52" t="n">
        <v>0</v>
      </c>
      <c r="AJ1468" s="52" t="n">
        <v>0</v>
      </c>
      <c r="AK1468" s="52" t="n">
        <v>0</v>
      </c>
      <c r="AL1468" s="52" t="n">
        <v>0</v>
      </c>
      <c r="AM1468" s="53" t="n">
        <v>0</v>
      </c>
      <c r="AN1468" s="53" t="n">
        <v>0</v>
      </c>
      <c r="AO1468" s="53" t="n">
        <v>0</v>
      </c>
      <c r="AP1468" s="53" t="n">
        <v>0</v>
      </c>
      <c r="AQ1468" s="52" t="n">
        <v>0</v>
      </c>
      <c r="AR1468" s="52" t="n">
        <v>0</v>
      </c>
      <c r="AS1468" s="52" t="n">
        <v>0</v>
      </c>
      <c r="AT1468" s="52" t="n">
        <v>0</v>
      </c>
      <c r="AU1468" s="53" t="n">
        <v>0</v>
      </c>
      <c r="AV1468" s="53" t="n">
        <v>0</v>
      </c>
      <c r="AW1468" s="53" t="n">
        <v>0</v>
      </c>
      <c r="AX1468" s="53" t="n">
        <v>0</v>
      </c>
      <c r="AY1468" s="52" t="n">
        <v>0</v>
      </c>
      <c r="AZ1468" s="52" t="n">
        <v>19.99</v>
      </c>
      <c r="BA1468" s="52" t="n">
        <v>0</v>
      </c>
      <c r="BB1468" s="52" t="n">
        <v>0</v>
      </c>
      <c r="BC1468" s="51" t="n">
        <v>0</v>
      </c>
      <c r="BD1468" s="51" t="n">
        <v>0</v>
      </c>
      <c r="BE1468" s="51" t="n">
        <v>0</v>
      </c>
      <c r="BF1468" s="51" t="n">
        <v>0</v>
      </c>
    </row>
    <row r="1469">
      <c r="A1469">
        <f>HYPERLINK("https://www.walmart.com/ip/15486570695", "15486570695")</f>
        <v/>
      </c>
      <c r="B1469" t="inlineStr">
        <is>
          <t>Dickies Journeyman Large Capacity Backpack Classic Logo Water Resistant Casual Daypack for Travel Fits 15.6 Inch Notebook</t>
        </is>
      </c>
      <c r="C1469" t="inlineStr">
        <is>
          <t>DK-BACKPACK-15169-BLACK</t>
        </is>
      </c>
      <c r="D1469" t="inlineStr">
        <is>
          <t>Backpacks</t>
        </is>
      </c>
      <c r="E1469" t="inlineStr">
        <is>
          <t>Dickies</t>
        </is>
      </c>
      <c r="G1469" s="48" t="n">
        <v>0</v>
      </c>
      <c r="H1469" s="48" t="n">
        <v>0</v>
      </c>
      <c r="I1469" s="48" t="n">
        <v>-34.99</v>
      </c>
      <c r="J1469" s="48" t="n">
        <v>0</v>
      </c>
      <c r="K1469" s="49" t="n">
        <v>0</v>
      </c>
      <c r="L1469" s="49" t="n">
        <v>0</v>
      </c>
      <c r="M1469" s="49" t="n">
        <v>-1</v>
      </c>
      <c r="N1469" s="49" t="n">
        <v>0</v>
      </c>
      <c r="O1469" s="49" t="n">
        <v>0</v>
      </c>
      <c r="P1469" s="49" t="n">
        <v>0</v>
      </c>
      <c r="Q1469" s="49" t="n">
        <v>0</v>
      </c>
      <c r="R1469" s="49" t="n">
        <v>0</v>
      </c>
      <c r="S1469" s="50" t="n">
        <v>0</v>
      </c>
      <c r="T1469" s="50" t="n">
        <v>0</v>
      </c>
      <c r="U1469" s="50" t="n">
        <v>0</v>
      </c>
      <c r="V1469" s="50" t="n">
        <v>0</v>
      </c>
      <c r="W1469" s="51" t="n">
        <v>0</v>
      </c>
      <c r="X1469" s="51" t="n">
        <v>0</v>
      </c>
      <c r="Y1469" s="51" t="n">
        <v>0</v>
      </c>
      <c r="Z1469" s="51" t="n">
        <v>0</v>
      </c>
      <c r="AA1469" s="52" t="n">
        <v>0</v>
      </c>
      <c r="AB1469" s="52" t="n">
        <v>0</v>
      </c>
      <c r="AC1469" s="52" t="n">
        <v>0</v>
      </c>
      <c r="AD1469" s="52" t="n">
        <v>0</v>
      </c>
      <c r="AE1469" s="52" t="n">
        <v>0</v>
      </c>
      <c r="AF1469" s="52" t="n">
        <v>0</v>
      </c>
      <c r="AG1469" s="52" t="n">
        <v>0</v>
      </c>
      <c r="AH1469" s="52" t="n">
        <v>0</v>
      </c>
      <c r="AI1469" s="52" t="n">
        <v>0</v>
      </c>
      <c r="AJ1469" s="52" t="n">
        <v>0</v>
      </c>
      <c r="AK1469" s="52" t="n">
        <v>0</v>
      </c>
      <c r="AL1469" s="52" t="n">
        <v>0</v>
      </c>
      <c r="AM1469" s="53" t="n">
        <v>0</v>
      </c>
      <c r="AN1469" s="53" t="n">
        <v>0</v>
      </c>
      <c r="AO1469" s="53" t="n">
        <v>0</v>
      </c>
      <c r="AP1469" s="53" t="n">
        <v>0</v>
      </c>
      <c r="AQ1469" s="52" t="n">
        <v>0</v>
      </c>
      <c r="AR1469" s="52" t="n">
        <v>0</v>
      </c>
      <c r="AS1469" s="52" t="n">
        <v>0</v>
      </c>
      <c r="AT1469" s="52" t="n">
        <v>0</v>
      </c>
      <c r="AU1469" s="53" t="n">
        <v>0</v>
      </c>
      <c r="AV1469" s="53" t="n">
        <v>0</v>
      </c>
      <c r="AW1469" s="53" t="n">
        <v>0</v>
      </c>
      <c r="AX1469" s="53" t="n">
        <v>0</v>
      </c>
      <c r="AY1469" s="52" t="n">
        <v>0</v>
      </c>
      <c r="AZ1469" s="52" t="n">
        <v>0</v>
      </c>
      <c r="BA1469" s="52" t="n">
        <v>0</v>
      </c>
      <c r="BB1469" s="52" t="n">
        <v>0</v>
      </c>
      <c r="BC1469" s="51" t="n">
        <v>0</v>
      </c>
      <c r="BD1469" s="51" t="n">
        <v>0</v>
      </c>
      <c r="BE1469" s="51" t="n">
        <v>0</v>
      </c>
      <c r="BF1469" s="51" t="n">
        <v>0</v>
      </c>
    </row>
    <row r="1470">
      <c r="A1470">
        <f>HYPERLINK("https://www.walmart.com/ip/15491064007", "15491064007")</f>
        <v/>
      </c>
      <c r="B1470" t="inlineStr">
        <is>
          <t>Dickies Journeyman Large Capacity Backpack Classic Logo Water Resistant Casual Daypack for Travel Fits 15.6 Inch Notebook</t>
        </is>
      </c>
      <c r="C1470" t="inlineStr">
        <is>
          <t>DK-BACKPACK-15169-BROWNDUCK</t>
        </is>
      </c>
      <c r="D1470" t="inlineStr">
        <is>
          <t>Backpacks</t>
        </is>
      </c>
      <c r="E1470" t="inlineStr">
        <is>
          <t>Dickies</t>
        </is>
      </c>
      <c r="G1470" s="48" t="n">
        <v>0</v>
      </c>
      <c r="H1470" s="48" t="n">
        <v>0</v>
      </c>
      <c r="I1470" s="48" t="n">
        <v>0</v>
      </c>
      <c r="J1470" s="48" t="n">
        <v>0</v>
      </c>
      <c r="K1470" s="49" t="n">
        <v>0</v>
      </c>
      <c r="L1470" s="49" t="n">
        <v>0</v>
      </c>
      <c r="M1470" s="49" t="n">
        <v>0</v>
      </c>
      <c r="N1470" s="49" t="n">
        <v>0</v>
      </c>
      <c r="O1470" s="49" t="n">
        <v>0</v>
      </c>
      <c r="P1470" s="49" t="n">
        <v>0</v>
      </c>
      <c r="Q1470" s="49" t="n">
        <v>0</v>
      </c>
      <c r="R1470" s="49" t="n">
        <v>0</v>
      </c>
      <c r="S1470" s="50" t="n">
        <v>0</v>
      </c>
      <c r="T1470" s="50" t="n">
        <v>0</v>
      </c>
      <c r="U1470" s="50" t="n">
        <v>0</v>
      </c>
      <c r="V1470" s="50" t="n">
        <v>0</v>
      </c>
      <c r="W1470" s="51" t="n">
        <v>0</v>
      </c>
      <c r="X1470" s="51" t="n">
        <v>0</v>
      </c>
      <c r="Y1470" s="51" t="n">
        <v>0</v>
      </c>
      <c r="Z1470" s="51" t="n">
        <v>0</v>
      </c>
      <c r="AA1470" s="52" t="n">
        <v>0</v>
      </c>
      <c r="AB1470" s="52" t="n">
        <v>0</v>
      </c>
      <c r="AC1470" s="52" t="n">
        <v>0</v>
      </c>
      <c r="AD1470" s="52" t="n">
        <v>0</v>
      </c>
      <c r="AE1470" s="52" t="n">
        <v>0</v>
      </c>
      <c r="AF1470" s="52" t="n">
        <v>0</v>
      </c>
      <c r="AG1470" s="52" t="n">
        <v>0</v>
      </c>
      <c r="AH1470" s="52" t="n">
        <v>0</v>
      </c>
      <c r="AI1470" s="52" t="n">
        <v>0</v>
      </c>
      <c r="AJ1470" s="52" t="n">
        <v>0</v>
      </c>
      <c r="AK1470" s="52" t="n">
        <v>0</v>
      </c>
      <c r="AL1470" s="52" t="n">
        <v>0</v>
      </c>
      <c r="AM1470" s="53" t="n">
        <v>0</v>
      </c>
      <c r="AN1470" s="53" t="n">
        <v>0</v>
      </c>
      <c r="AO1470" s="53" t="n">
        <v>0</v>
      </c>
      <c r="AP1470" s="53" t="n">
        <v>0</v>
      </c>
      <c r="AQ1470" s="52" t="n">
        <v>0</v>
      </c>
      <c r="AR1470" s="52" t="n">
        <v>0</v>
      </c>
      <c r="AS1470" s="52" t="n">
        <v>0</v>
      </c>
      <c r="AT1470" s="52" t="n">
        <v>0</v>
      </c>
      <c r="AU1470" s="53" t="n">
        <v>0</v>
      </c>
      <c r="AV1470" s="53" t="n">
        <v>0</v>
      </c>
      <c r="AW1470" s="53" t="n">
        <v>0</v>
      </c>
      <c r="AX1470" s="53" t="n">
        <v>0</v>
      </c>
      <c r="AY1470" s="52" t="n">
        <v>0</v>
      </c>
      <c r="AZ1470" s="52" t="n">
        <v>0</v>
      </c>
      <c r="BA1470" s="52" t="n">
        <v>0</v>
      </c>
      <c r="BB1470" s="52" t="n">
        <v>0</v>
      </c>
      <c r="BC1470" s="51" t="n">
        <v>0</v>
      </c>
      <c r="BD1470" s="51" t="n">
        <v>0</v>
      </c>
      <c r="BE1470" s="51" t="n">
        <v>0</v>
      </c>
      <c r="BF1470" s="51" t="n">
        <v>0</v>
      </c>
    </row>
    <row r="1471">
      <c r="A1471">
        <f>HYPERLINK("https://www.walmart.com/ip/15494818039", "15494818039")</f>
        <v/>
      </c>
      <c r="B1471" t="inlineStr">
        <is>
          <t>Dickies Tradesman Backpack, Water Resistant Casual Daypack for Travel Work School, Fits 15.6 Inch Notebook (Brown Duck)</t>
        </is>
      </c>
      <c r="C1471" t="inlineStr">
        <is>
          <t>DK-BACKPACK-15168-BROWNDUCK</t>
        </is>
      </c>
      <c r="D1471" t="inlineStr">
        <is>
          <t>Backpacks</t>
        </is>
      </c>
      <c r="E1471" t="inlineStr">
        <is>
          <t>Dickies</t>
        </is>
      </c>
      <c r="G1471" s="48" t="n">
        <v>0</v>
      </c>
      <c r="H1471" s="48" t="n">
        <v>0</v>
      </c>
      <c r="I1471" s="48" t="n">
        <v>0</v>
      </c>
      <c r="J1471" s="48" t="n">
        <v>0</v>
      </c>
      <c r="K1471" s="49" t="n">
        <v>0</v>
      </c>
      <c r="L1471" s="49" t="n">
        <v>0</v>
      </c>
      <c r="M1471" s="49" t="n">
        <v>0</v>
      </c>
      <c r="N1471" s="49" t="n">
        <v>0</v>
      </c>
      <c r="O1471" s="49" t="n">
        <v>0</v>
      </c>
      <c r="P1471" s="49" t="n">
        <v>0</v>
      </c>
      <c r="Q1471" s="49" t="n">
        <v>0</v>
      </c>
      <c r="R1471" s="49" t="n">
        <v>0</v>
      </c>
      <c r="S1471" s="50" t="n">
        <v>0</v>
      </c>
      <c r="T1471" s="50" t="n">
        <v>0</v>
      </c>
      <c r="U1471" s="50" t="n">
        <v>0</v>
      </c>
      <c r="V1471" s="50" t="n">
        <v>0</v>
      </c>
      <c r="W1471" s="51" t="n">
        <v>0</v>
      </c>
      <c r="X1471" s="51" t="n">
        <v>0</v>
      </c>
      <c r="Y1471" s="51" t="n">
        <v>0</v>
      </c>
      <c r="Z1471" s="51" t="n">
        <v>0</v>
      </c>
      <c r="AA1471" s="52" t="n">
        <v>0</v>
      </c>
      <c r="AB1471" s="52" t="n">
        <v>0</v>
      </c>
      <c r="AC1471" s="52" t="n">
        <v>0</v>
      </c>
      <c r="AD1471" s="52" t="n">
        <v>0</v>
      </c>
      <c r="AE1471" s="52" t="n">
        <v>0</v>
      </c>
      <c r="AF1471" s="52" t="n">
        <v>0</v>
      </c>
      <c r="AG1471" s="52" t="n">
        <v>0</v>
      </c>
      <c r="AH1471" s="52" t="n">
        <v>0</v>
      </c>
      <c r="AI1471" s="52" t="n">
        <v>0</v>
      </c>
      <c r="AJ1471" s="52" t="n">
        <v>0</v>
      </c>
      <c r="AK1471" s="52" t="n">
        <v>0</v>
      </c>
      <c r="AL1471" s="52" t="n">
        <v>0</v>
      </c>
      <c r="AM1471" s="53" t="n">
        <v>0</v>
      </c>
      <c r="AN1471" s="53" t="n">
        <v>0</v>
      </c>
      <c r="AO1471" s="53" t="n">
        <v>0</v>
      </c>
      <c r="AP1471" s="53" t="n">
        <v>0</v>
      </c>
      <c r="AQ1471" s="52" t="n">
        <v>0</v>
      </c>
      <c r="AR1471" s="52" t="n">
        <v>0</v>
      </c>
      <c r="AS1471" s="52" t="n">
        <v>0</v>
      </c>
      <c r="AT1471" s="52" t="n">
        <v>0</v>
      </c>
      <c r="AU1471" s="53" t="n">
        <v>0</v>
      </c>
      <c r="AV1471" s="53" t="n">
        <v>0</v>
      </c>
      <c r="AW1471" s="53" t="n">
        <v>0</v>
      </c>
      <c r="AX1471" s="53" t="n">
        <v>0</v>
      </c>
      <c r="AY1471" s="52" t="n">
        <v>0</v>
      </c>
      <c r="AZ1471" s="52" t="n">
        <v>0</v>
      </c>
      <c r="BA1471" s="52" t="n">
        <v>0</v>
      </c>
      <c r="BB1471" s="52" t="n">
        <v>0</v>
      </c>
      <c r="BC1471" s="51" t="n">
        <v>0</v>
      </c>
      <c r="BD1471" s="51" t="n">
        <v>0</v>
      </c>
      <c r="BE1471" s="51" t="n">
        <v>0</v>
      </c>
      <c r="BF1471" s="51" t="n">
        <v>0</v>
      </c>
    </row>
    <row r="1472">
      <c r="A1472">
        <f>HYPERLINK("https://www.walmart.com/ip/1550368797", "1550368797")</f>
        <v/>
      </c>
      <c r="B1472" t="inlineStr">
        <is>
          <t>12 Pack Sun Blocker Women's Hawaiian Floral Sun Hat Outdoor Travel Bucket Cap, Hawaii Flower Print Green Pattern</t>
        </is>
      </c>
      <c r="C1472" t="inlineStr">
        <is>
          <t>KC-S9200FLW-GR-12pcs</t>
        </is>
      </c>
      <c r="D1472" t="inlineStr">
        <is>
          <t>Hats</t>
        </is>
      </c>
      <c r="E1472" t="inlineStr">
        <is>
          <t>Sun Blocker</t>
        </is>
      </c>
      <c r="F1472" t="inlineStr">
        <is>
          <t>Batch 1 - TR</t>
        </is>
      </c>
      <c r="G1472" s="48" t="n">
        <v>0</v>
      </c>
      <c r="H1472" s="48" t="n">
        <v>0</v>
      </c>
      <c r="I1472" s="48" t="n">
        <v>0</v>
      </c>
      <c r="J1472" s="48" t="n">
        <v>0</v>
      </c>
      <c r="K1472" s="49" t="n">
        <v>0</v>
      </c>
      <c r="L1472" s="49" t="n">
        <v>0</v>
      </c>
      <c r="M1472" s="49" t="n">
        <v>0</v>
      </c>
      <c r="N1472" s="49" t="n">
        <v>0</v>
      </c>
      <c r="O1472" s="49" t="n">
        <v>0</v>
      </c>
      <c r="P1472" s="49" t="n">
        <v>0</v>
      </c>
      <c r="Q1472" s="49" t="n">
        <v>0</v>
      </c>
      <c r="R1472" s="49" t="n">
        <v>0</v>
      </c>
      <c r="S1472" s="50" t="n">
        <v>0</v>
      </c>
      <c r="T1472" s="50" t="n">
        <v>0</v>
      </c>
      <c r="U1472" s="50" t="n">
        <v>0</v>
      </c>
      <c r="V1472" s="50" t="n">
        <v>0</v>
      </c>
      <c r="W1472" s="51" t="n">
        <v>0</v>
      </c>
      <c r="X1472" s="51" t="n">
        <v>0</v>
      </c>
      <c r="Y1472" s="51" t="n">
        <v>0</v>
      </c>
      <c r="Z1472" s="51" t="n">
        <v>0</v>
      </c>
      <c r="AA1472" s="52" t="n">
        <v>0</v>
      </c>
      <c r="AB1472" s="52" t="n">
        <v>0</v>
      </c>
      <c r="AC1472" s="52" t="n">
        <v>0</v>
      </c>
      <c r="AD1472" s="52" t="n">
        <v>0</v>
      </c>
      <c r="AE1472" s="52" t="n">
        <v>0</v>
      </c>
      <c r="AF1472" s="52" t="n">
        <v>0</v>
      </c>
      <c r="AG1472" s="52" t="n">
        <v>0</v>
      </c>
      <c r="AH1472" s="52" t="n">
        <v>0</v>
      </c>
      <c r="AI1472" s="52" t="n">
        <v>0</v>
      </c>
      <c r="AJ1472" s="52" t="n">
        <v>0</v>
      </c>
      <c r="AK1472" s="52" t="n">
        <v>0</v>
      </c>
      <c r="AL1472" s="52" t="n">
        <v>0</v>
      </c>
      <c r="AM1472" s="53" t="n">
        <v>0</v>
      </c>
      <c r="AN1472" s="53" t="n">
        <v>0</v>
      </c>
      <c r="AO1472" s="53" t="n">
        <v>0</v>
      </c>
      <c r="AP1472" s="53" t="n">
        <v>0</v>
      </c>
      <c r="AQ1472" s="52" t="n">
        <v>0</v>
      </c>
      <c r="AR1472" s="52" t="n">
        <v>0</v>
      </c>
      <c r="AS1472" s="52" t="n">
        <v>0</v>
      </c>
      <c r="AT1472" s="52" t="n">
        <v>0</v>
      </c>
      <c r="AU1472" s="53" t="n">
        <v>0</v>
      </c>
      <c r="AV1472" s="53" t="n">
        <v>0</v>
      </c>
      <c r="AW1472" s="53" t="n">
        <v>0</v>
      </c>
      <c r="AX1472" s="53" t="n">
        <v>0</v>
      </c>
      <c r="AY1472" s="52" t="n">
        <v>0</v>
      </c>
      <c r="AZ1472" s="52" t="n">
        <v>0</v>
      </c>
      <c r="BA1472" s="52" t="n">
        <v>0</v>
      </c>
      <c r="BB1472" s="52" t="n">
        <v>0</v>
      </c>
      <c r="BC1472" s="51" t="n">
        <v>0</v>
      </c>
      <c r="BD1472" s="51" t="n">
        <v>0</v>
      </c>
      <c r="BE1472" s="51" t="n">
        <v>0</v>
      </c>
      <c r="BF1472" s="51" t="n">
        <v>0</v>
      </c>
    </row>
    <row r="1473">
      <c r="A1473">
        <f>HYPERLINK("https://www.walmart.com/ip/1551280501", "1551280501")</f>
        <v/>
      </c>
      <c r="B1473" t="inlineStr">
        <is>
          <t>Every Day is Christmas Glass Blown Ornaments Cute Hand Made Figurines Tree Decoration, Books</t>
        </is>
      </c>
      <c r="C1473" t="inlineStr">
        <is>
          <t>EDC-FIGURINE-BOOKS</t>
        </is>
      </c>
      <c r="D1473" t="inlineStr">
        <is>
          <t>Ornaments</t>
        </is>
      </c>
      <c r="E1473" t="inlineStr">
        <is>
          <t>Every Day is Christmas</t>
        </is>
      </c>
      <c r="G1473" s="48" t="n">
        <v>0</v>
      </c>
      <c r="H1473" s="48" t="n">
        <v>0</v>
      </c>
      <c r="I1473" s="48" t="n">
        <v>0</v>
      </c>
      <c r="J1473" s="48" t="n">
        <v>0</v>
      </c>
      <c r="K1473" s="49" t="n">
        <v>0</v>
      </c>
      <c r="L1473" s="49" t="n">
        <v>0</v>
      </c>
      <c r="M1473" s="49" t="n">
        <v>0</v>
      </c>
      <c r="N1473" s="49" t="n">
        <v>0</v>
      </c>
      <c r="O1473" s="49" t="n">
        <v>0</v>
      </c>
      <c r="P1473" s="49" t="n">
        <v>0</v>
      </c>
      <c r="Q1473" s="49" t="n">
        <v>0</v>
      </c>
      <c r="R1473" s="49" t="n">
        <v>0</v>
      </c>
      <c r="S1473" s="50" t="n">
        <v>0</v>
      </c>
      <c r="T1473" s="50" t="n">
        <v>0</v>
      </c>
      <c r="U1473" s="50" t="n">
        <v>0</v>
      </c>
      <c r="V1473" s="50" t="n">
        <v>0</v>
      </c>
      <c r="W1473" s="51" t="n">
        <v>0</v>
      </c>
      <c r="X1473" s="51" t="n">
        <v>0</v>
      </c>
      <c r="Y1473" s="51" t="n">
        <v>0</v>
      </c>
      <c r="Z1473" s="51" t="n">
        <v>0</v>
      </c>
      <c r="AA1473" s="52" t="n">
        <v>0</v>
      </c>
      <c r="AB1473" s="52" t="n">
        <v>0</v>
      </c>
      <c r="AC1473" s="52" t="n">
        <v>0</v>
      </c>
      <c r="AD1473" s="52" t="n">
        <v>0</v>
      </c>
      <c r="AE1473" s="52" t="n">
        <v>0</v>
      </c>
      <c r="AF1473" s="52" t="n">
        <v>0</v>
      </c>
      <c r="AG1473" s="52" t="n">
        <v>0</v>
      </c>
      <c r="AH1473" s="52" t="n">
        <v>0</v>
      </c>
      <c r="AI1473" s="52" t="n">
        <v>0</v>
      </c>
      <c r="AJ1473" s="52" t="n">
        <v>0</v>
      </c>
      <c r="AK1473" s="52" t="n">
        <v>0</v>
      </c>
      <c r="AL1473" s="52" t="n">
        <v>0</v>
      </c>
      <c r="AM1473" s="53" t="n">
        <v>0</v>
      </c>
      <c r="AN1473" s="53" t="n">
        <v>0</v>
      </c>
      <c r="AO1473" s="53" t="n">
        <v>0</v>
      </c>
      <c r="AP1473" s="53" t="n">
        <v>0</v>
      </c>
      <c r="AQ1473" s="52" t="n">
        <v>0</v>
      </c>
      <c r="AR1473" s="52" t="n">
        <v>0</v>
      </c>
      <c r="AS1473" s="52" t="n">
        <v>0</v>
      </c>
      <c r="AT1473" s="52" t="n">
        <v>0</v>
      </c>
      <c r="AU1473" s="53" t="n">
        <v>0</v>
      </c>
      <c r="AV1473" s="53" t="n">
        <v>0</v>
      </c>
      <c r="AW1473" s="53" t="n">
        <v>0</v>
      </c>
      <c r="AX1473" s="53" t="n">
        <v>0</v>
      </c>
      <c r="AY1473" s="52" t="n">
        <v>0</v>
      </c>
      <c r="AZ1473" s="52" t="n">
        <v>0</v>
      </c>
      <c r="BA1473" s="52" t="n">
        <v>0</v>
      </c>
      <c r="BB1473" s="52" t="n">
        <v>0</v>
      </c>
      <c r="BC1473" s="51" t="n">
        <v>0</v>
      </c>
      <c r="BD1473" s="51" t="n">
        <v>0</v>
      </c>
      <c r="BE1473" s="51" t="n">
        <v>0</v>
      </c>
      <c r="BF1473" s="51" t="n">
        <v>0</v>
      </c>
    </row>
    <row r="1474">
      <c r="A1474">
        <f>HYPERLINK("https://www.walmart.com/ip/155182167", "155182167")</f>
        <v/>
      </c>
      <c r="B1474" t="inlineStr">
        <is>
          <t>JenniWears® Women's Plus Size Sexy Lingerie Lace Babydolls 2 Pieces Mesh Chemises and G-string for Halloween</t>
        </is>
      </c>
      <c r="C1474" t="inlineStr">
        <is>
          <t>JWBD06BKPP-M</t>
        </is>
      </c>
      <c r="D1474" t="inlineStr">
        <is>
          <t>Lingerie Sets</t>
        </is>
      </c>
      <c r="E1474" t="inlineStr">
        <is>
          <t>JenniWears</t>
        </is>
      </c>
      <c r="F1474" t="inlineStr">
        <is>
          <t>Valentine</t>
        </is>
      </c>
      <c r="G1474" s="48" t="n">
        <v>0</v>
      </c>
      <c r="H1474" s="48" t="n">
        <v>0</v>
      </c>
      <c r="I1474" s="48" t="n">
        <v>0</v>
      </c>
      <c r="J1474" s="48" t="n">
        <v>-7.99</v>
      </c>
      <c r="K1474" s="49" t="n">
        <v>0</v>
      </c>
      <c r="L1474" s="49" t="n">
        <v>0</v>
      </c>
      <c r="M1474" s="49" t="n">
        <v>0</v>
      </c>
      <c r="N1474" s="49" t="n">
        <v>-1</v>
      </c>
      <c r="O1474" s="49" t="n">
        <v>0</v>
      </c>
      <c r="P1474" s="49" t="n">
        <v>0</v>
      </c>
      <c r="Q1474" s="49" t="n">
        <v>0</v>
      </c>
      <c r="R1474" s="49" t="n">
        <v>0</v>
      </c>
      <c r="S1474" s="50" t="n">
        <v>0</v>
      </c>
      <c r="T1474" s="50" t="n">
        <v>0</v>
      </c>
      <c r="U1474" s="50" t="n">
        <v>0</v>
      </c>
      <c r="V1474" s="50" t="n">
        <v>0</v>
      </c>
      <c r="W1474" s="51" t="n">
        <v>0</v>
      </c>
      <c r="X1474" s="51" t="n">
        <v>0</v>
      </c>
      <c r="Y1474" s="51" t="n">
        <v>0</v>
      </c>
      <c r="Z1474" s="51" t="n">
        <v>0</v>
      </c>
      <c r="AA1474" s="52" t="n">
        <v>0</v>
      </c>
      <c r="AB1474" s="52" t="n">
        <v>0</v>
      </c>
      <c r="AC1474" s="52" t="n">
        <v>0</v>
      </c>
      <c r="AD1474" s="52" t="n">
        <v>0</v>
      </c>
      <c r="AE1474" s="52" t="n">
        <v>0</v>
      </c>
      <c r="AF1474" s="52" t="n">
        <v>0</v>
      </c>
      <c r="AG1474" s="52" t="n">
        <v>0</v>
      </c>
      <c r="AH1474" s="52" t="n">
        <v>0</v>
      </c>
      <c r="AI1474" s="52" t="n">
        <v>0</v>
      </c>
      <c r="AJ1474" s="52" t="n">
        <v>0</v>
      </c>
      <c r="AK1474" s="52" t="n">
        <v>0</v>
      </c>
      <c r="AL1474" s="52" t="n">
        <v>0</v>
      </c>
      <c r="AM1474" s="53" t="n">
        <v>0</v>
      </c>
      <c r="AN1474" s="53" t="n">
        <v>0</v>
      </c>
      <c r="AO1474" s="53" t="n">
        <v>0</v>
      </c>
      <c r="AP1474" s="53" t="n">
        <v>0</v>
      </c>
      <c r="AQ1474" s="52" t="n">
        <v>0</v>
      </c>
      <c r="AR1474" s="52" t="n">
        <v>0</v>
      </c>
      <c r="AS1474" s="52" t="n">
        <v>0</v>
      </c>
      <c r="AT1474" s="52" t="n">
        <v>0</v>
      </c>
      <c r="AU1474" s="53" t="n">
        <v>0</v>
      </c>
      <c r="AV1474" s="53" t="n">
        <v>0</v>
      </c>
      <c r="AW1474" s="53" t="n">
        <v>0</v>
      </c>
      <c r="AX1474" s="53" t="n">
        <v>0</v>
      </c>
      <c r="AY1474" s="52" t="n">
        <v>0</v>
      </c>
      <c r="AZ1474" s="52" t="n">
        <v>0</v>
      </c>
      <c r="BA1474" s="52" t="n">
        <v>0</v>
      </c>
      <c r="BB1474" s="52" t="n">
        <v>0</v>
      </c>
      <c r="BC1474" s="51" t="n">
        <v>0</v>
      </c>
      <c r="BD1474" s="51" t="n">
        <v>0</v>
      </c>
      <c r="BE1474" s="51" t="n">
        <v>0</v>
      </c>
      <c r="BF1474" s="51" t="n">
        <v>0</v>
      </c>
    </row>
    <row r="1475">
      <c r="A1475">
        <f>HYPERLINK("https://www.walmart.com/ip/15419901412", "15419901412")</f>
        <v/>
      </c>
      <c r="B1475" t="inlineStr">
        <is>
          <t>Sun Blocker Unisex Sun Hat with Neck Flap Large Brim Packable Summer Beach Fishing Cap</t>
        </is>
      </c>
      <c r="C1475" t="inlineStr">
        <is>
          <t>1SLSH9153GN</t>
        </is>
      </c>
      <c r="D1475" t="inlineStr">
        <is>
          <t>Hats</t>
        </is>
      </c>
      <c r="E1475" t="inlineStr">
        <is>
          <t>Sun Blocker</t>
        </is>
      </c>
      <c r="G1475" s="48" t="n">
        <v>0</v>
      </c>
      <c r="H1475" s="48" t="n">
        <v>0</v>
      </c>
      <c r="I1475" s="48" t="n">
        <v>0</v>
      </c>
      <c r="J1475" s="48" t="n">
        <v>0</v>
      </c>
      <c r="K1475" s="49" t="n">
        <v>0</v>
      </c>
      <c r="L1475" s="49" t="n">
        <v>0</v>
      </c>
      <c r="M1475" s="49" t="n">
        <v>0</v>
      </c>
      <c r="N1475" s="49" t="n">
        <v>0</v>
      </c>
      <c r="O1475" s="49" t="n">
        <v>0</v>
      </c>
      <c r="P1475" s="49" t="n">
        <v>0</v>
      </c>
      <c r="Q1475" s="49" t="n">
        <v>0</v>
      </c>
      <c r="R1475" s="49" t="n">
        <v>0</v>
      </c>
      <c r="S1475" s="50" t="n">
        <v>0</v>
      </c>
      <c r="T1475" s="50" t="n">
        <v>0</v>
      </c>
      <c r="U1475" s="50" t="n">
        <v>0</v>
      </c>
      <c r="V1475" s="50" t="n">
        <v>0</v>
      </c>
      <c r="W1475" s="51" t="n">
        <v>0</v>
      </c>
      <c r="X1475" s="51" t="n">
        <v>0</v>
      </c>
      <c r="Y1475" s="51" t="n">
        <v>0</v>
      </c>
      <c r="Z1475" s="51" t="n">
        <v>0</v>
      </c>
      <c r="AA1475" s="52" t="n">
        <v>0</v>
      </c>
      <c r="AB1475" s="52" t="n">
        <v>0</v>
      </c>
      <c r="AC1475" s="52" t="n">
        <v>0</v>
      </c>
      <c r="AD1475" s="52" t="n">
        <v>0</v>
      </c>
      <c r="AE1475" s="52" t="n">
        <v>0</v>
      </c>
      <c r="AF1475" s="52" t="n">
        <v>0</v>
      </c>
      <c r="AG1475" s="52" t="n">
        <v>0</v>
      </c>
      <c r="AH1475" s="52" t="n">
        <v>0</v>
      </c>
      <c r="AI1475" s="52" t="n">
        <v>0</v>
      </c>
      <c r="AJ1475" s="52" t="n">
        <v>0</v>
      </c>
      <c r="AK1475" s="52" t="n">
        <v>0</v>
      </c>
      <c r="AL1475" s="52" t="n">
        <v>0</v>
      </c>
      <c r="AM1475" s="53" t="n">
        <v>0</v>
      </c>
      <c r="AN1475" s="53" t="n">
        <v>0</v>
      </c>
      <c r="AO1475" s="53" t="n">
        <v>0</v>
      </c>
      <c r="AP1475" s="53" t="n">
        <v>0</v>
      </c>
      <c r="AQ1475" s="52" t="n">
        <v>0</v>
      </c>
      <c r="AR1475" s="52" t="n">
        <v>0</v>
      </c>
      <c r="AS1475" s="52" t="n">
        <v>0</v>
      </c>
      <c r="AT1475" s="52" t="n">
        <v>0</v>
      </c>
      <c r="AU1475" s="53" t="n">
        <v>0</v>
      </c>
      <c r="AV1475" s="53" t="n">
        <v>0</v>
      </c>
      <c r="AW1475" s="53" t="n">
        <v>0</v>
      </c>
      <c r="AX1475" s="53" t="n">
        <v>0</v>
      </c>
      <c r="AY1475" s="52" t="n">
        <v>0</v>
      </c>
      <c r="AZ1475" s="52" t="n">
        <v>0</v>
      </c>
      <c r="BA1475" s="52" t="n">
        <v>0</v>
      </c>
      <c r="BB1475" s="52" t="n">
        <v>0</v>
      </c>
      <c r="BC1475" s="51" t="n">
        <v>0</v>
      </c>
      <c r="BD1475" s="51" t="n">
        <v>0</v>
      </c>
      <c r="BE1475" s="51" t="n">
        <v>0</v>
      </c>
      <c r="BF1475" s="51" t="n">
        <v>0</v>
      </c>
    </row>
    <row r="1476">
      <c r="A1476">
        <f>HYPERLINK("https://www.walmart.com/ip/15416260678", "15416260678")</f>
        <v/>
      </c>
      <c r="B1476" t="inlineStr">
        <is>
          <t>Catalonia Kids Waterproof Swim Parka with Hood, Windproof Fleece Swim Jacket, Warm Winter Swim Coat for Boys Girls Youth, Perfect for Swim Lessons, Beach, Pool</t>
        </is>
      </c>
      <c r="C1476" t="inlineStr">
        <is>
          <t>1CTPKR200BK-1</t>
        </is>
      </c>
      <c r="D1476" t="inlineStr">
        <is>
          <t>Swim Parkas</t>
        </is>
      </c>
      <c r="E1476" t="inlineStr">
        <is>
          <t>Catalonia</t>
        </is>
      </c>
      <c r="G1476" s="48" t="n">
        <v>0</v>
      </c>
      <c r="H1476" s="48" t="n">
        <v>0</v>
      </c>
      <c r="I1476" s="48" t="n">
        <v>0</v>
      </c>
      <c r="J1476" s="48" t="n">
        <v>0</v>
      </c>
      <c r="K1476" s="49" t="n">
        <v>0</v>
      </c>
      <c r="L1476" s="49" t="n">
        <v>0</v>
      </c>
      <c r="M1476" s="49" t="n">
        <v>0</v>
      </c>
      <c r="N1476" s="49" t="n">
        <v>0</v>
      </c>
      <c r="O1476" s="49" t="n">
        <v>0</v>
      </c>
      <c r="P1476" s="49" t="n">
        <v>0</v>
      </c>
      <c r="Q1476" s="49" t="n">
        <v>0</v>
      </c>
      <c r="R1476" s="49" t="n">
        <v>0</v>
      </c>
      <c r="S1476" s="50" t="n">
        <v>0</v>
      </c>
      <c r="T1476" s="50" t="n">
        <v>0</v>
      </c>
      <c r="U1476" s="50" t="n">
        <v>0</v>
      </c>
      <c r="V1476" s="50" t="n">
        <v>0</v>
      </c>
      <c r="W1476" s="51" t="n">
        <v>0</v>
      </c>
      <c r="X1476" s="51" t="n">
        <v>0</v>
      </c>
      <c r="Y1476" s="51" t="n">
        <v>0</v>
      </c>
      <c r="Z1476" s="51" t="n">
        <v>0</v>
      </c>
      <c r="AA1476" s="52" t="n">
        <v>0</v>
      </c>
      <c r="AB1476" s="52" t="n">
        <v>0</v>
      </c>
      <c r="AC1476" s="52" t="n">
        <v>0</v>
      </c>
      <c r="AD1476" s="52" t="n">
        <v>0</v>
      </c>
      <c r="AE1476" s="52" t="n">
        <v>0</v>
      </c>
      <c r="AF1476" s="52" t="n">
        <v>0</v>
      </c>
      <c r="AG1476" s="52" t="n">
        <v>0</v>
      </c>
      <c r="AH1476" s="52" t="n">
        <v>0</v>
      </c>
      <c r="AI1476" s="52" t="n">
        <v>0</v>
      </c>
      <c r="AJ1476" s="52" t="n">
        <v>0</v>
      </c>
      <c r="AK1476" s="52" t="n">
        <v>0</v>
      </c>
      <c r="AL1476" s="52" t="n">
        <v>0</v>
      </c>
      <c r="AM1476" s="53" t="n">
        <v>0</v>
      </c>
      <c r="AN1476" s="53" t="n">
        <v>0</v>
      </c>
      <c r="AO1476" s="53" t="n">
        <v>0</v>
      </c>
      <c r="AP1476" s="53" t="n">
        <v>0</v>
      </c>
      <c r="AQ1476" s="52" t="n">
        <v>0</v>
      </c>
      <c r="AR1476" s="52" t="n">
        <v>0</v>
      </c>
      <c r="AS1476" s="52" t="n">
        <v>0</v>
      </c>
      <c r="AT1476" s="52" t="n">
        <v>0</v>
      </c>
      <c r="AU1476" s="53" t="n">
        <v>0</v>
      </c>
      <c r="AV1476" s="53" t="n">
        <v>0</v>
      </c>
      <c r="AW1476" s="53" t="n">
        <v>0</v>
      </c>
      <c r="AX1476" s="53" t="n">
        <v>0</v>
      </c>
      <c r="AY1476" s="52" t="n">
        <v>0</v>
      </c>
      <c r="AZ1476" s="52" t="n">
        <v>0</v>
      </c>
      <c r="BA1476" s="52" t="n">
        <v>0</v>
      </c>
      <c r="BB1476" s="52" t="n">
        <v>0</v>
      </c>
      <c r="BC1476" s="51" t="n">
        <v>0</v>
      </c>
      <c r="BD1476" s="51" t="n">
        <v>0</v>
      </c>
      <c r="BE1476" s="51" t="n">
        <v>0</v>
      </c>
      <c r="BF1476" s="51" t="n">
        <v>0</v>
      </c>
    </row>
    <row r="1477">
      <c r="A1477">
        <f>HYPERLINK("https://www.walmart.com/ip/15523208717", "15523208717")</f>
        <v/>
      </c>
      <c r="B1477" t="inlineStr">
        <is>
          <t>Tirrinia Waterproof Outdoor Blanket with Sherpa Lining, Windproof Triple Layers Warm Comfy Foldable for Camping Stadium, Sports, Picnic, Grass, Concerts, Pet, 51''X 59'' Grey - Machine Washable</t>
        </is>
      </c>
      <c r="C1477" t="inlineStr">
        <is>
          <t>1TRBW608CAMOOR</t>
        </is>
      </c>
      <c r="D1477" t="inlineStr">
        <is>
          <t>Picnic Blankets &amp; Mats</t>
        </is>
      </c>
      <c r="E1477" t="inlineStr">
        <is>
          <t>Tirrinia</t>
        </is>
      </c>
      <c r="G1477" s="48" t="n">
        <v>0</v>
      </c>
      <c r="H1477" s="48" t="n">
        <v>0</v>
      </c>
      <c r="I1477" s="48" t="n">
        <v>0</v>
      </c>
      <c r="J1477" s="48" t="n">
        <v>0</v>
      </c>
      <c r="K1477" s="49" t="n">
        <v>0</v>
      </c>
      <c r="L1477" s="49" t="n">
        <v>0</v>
      </c>
      <c r="M1477" s="49" t="n">
        <v>0</v>
      </c>
      <c r="N1477" s="49" t="n">
        <v>0</v>
      </c>
      <c r="O1477" s="49" t="n">
        <v>0</v>
      </c>
      <c r="P1477" s="49" t="n">
        <v>0</v>
      </c>
      <c r="Q1477" s="49" t="n">
        <v>0</v>
      </c>
      <c r="R1477" s="49" t="n">
        <v>0</v>
      </c>
      <c r="S1477" s="50" t="n">
        <v>0</v>
      </c>
      <c r="T1477" s="50" t="n">
        <v>0</v>
      </c>
      <c r="U1477" s="50" t="n">
        <v>0</v>
      </c>
      <c r="V1477" s="50" t="n">
        <v>0</v>
      </c>
      <c r="W1477" s="51" t="n">
        <v>0</v>
      </c>
      <c r="X1477" s="51" t="n">
        <v>0</v>
      </c>
      <c r="Y1477" s="51" t="n">
        <v>0</v>
      </c>
      <c r="Z1477" s="51" t="n">
        <v>0</v>
      </c>
      <c r="AA1477" s="52" t="n">
        <v>0</v>
      </c>
      <c r="AB1477" s="52" t="n">
        <v>0</v>
      </c>
      <c r="AC1477" s="52" t="n">
        <v>0</v>
      </c>
      <c r="AD1477" s="52" t="n">
        <v>0</v>
      </c>
      <c r="AE1477" s="52" t="n">
        <v>0</v>
      </c>
      <c r="AF1477" s="52" t="n">
        <v>0</v>
      </c>
      <c r="AG1477" s="52" t="n">
        <v>0</v>
      </c>
      <c r="AH1477" s="52" t="n">
        <v>0</v>
      </c>
      <c r="AI1477" s="52" t="n">
        <v>0</v>
      </c>
      <c r="AJ1477" s="52" t="n">
        <v>0</v>
      </c>
      <c r="AK1477" s="52" t="n">
        <v>0</v>
      </c>
      <c r="AL1477" s="52" t="n">
        <v>0</v>
      </c>
      <c r="AM1477" s="53" t="n">
        <v>0</v>
      </c>
      <c r="AN1477" s="53" t="n">
        <v>0</v>
      </c>
      <c r="AO1477" s="53" t="n">
        <v>0</v>
      </c>
      <c r="AP1477" s="53" t="n">
        <v>0</v>
      </c>
      <c r="AQ1477" s="52" t="n">
        <v>0</v>
      </c>
      <c r="AR1477" s="52" t="n">
        <v>0</v>
      </c>
      <c r="AS1477" s="52" t="n">
        <v>0</v>
      </c>
      <c r="AT1477" s="52" t="n">
        <v>0</v>
      </c>
      <c r="AU1477" s="53" t="n">
        <v>0</v>
      </c>
      <c r="AV1477" s="53" t="n">
        <v>0</v>
      </c>
      <c r="AW1477" s="53" t="n">
        <v>0</v>
      </c>
      <c r="AX1477" s="53" t="n">
        <v>0</v>
      </c>
      <c r="AY1477" s="52" t="n">
        <v>0</v>
      </c>
      <c r="AZ1477" s="52" t="n">
        <v>0</v>
      </c>
      <c r="BA1477" s="52" t="n">
        <v>0</v>
      </c>
      <c r="BB1477" s="52" t="n">
        <v>0</v>
      </c>
      <c r="BC1477" s="51" t="n">
        <v>0</v>
      </c>
      <c r="BD1477" s="51" t="n">
        <v>0</v>
      </c>
      <c r="BE1477" s="51" t="n">
        <v>0</v>
      </c>
      <c r="BF1477" s="51" t="n">
        <v>0</v>
      </c>
    </row>
    <row r="1478">
      <c r="A1478">
        <f>HYPERLINK("https://www.walmart.com/ip/154084434", "154084434")</f>
        <v/>
      </c>
      <c r="B1478" t="inlineStr">
        <is>
          <t>Napa Plush Warm Bathrobe Micro Fleece Spa Robe 48" Sleepwear with Sherpa Trim and Pockets Grey</t>
        </is>
      </c>
      <c r="C1478" t="inlineStr">
        <is>
          <t>R5010GRAY-01</t>
        </is>
      </c>
      <c r="D1478" t="inlineStr">
        <is>
          <t>Sleepwear Robes &amp; Bathrobes</t>
        </is>
      </c>
      <c r="E1478" t="inlineStr">
        <is>
          <t>NAPA</t>
        </is>
      </c>
      <c r="F1478" t="inlineStr">
        <is>
          <t>Optimized,Bathrobe</t>
        </is>
      </c>
      <c r="G1478" s="48" t="n">
        <v>0</v>
      </c>
      <c r="H1478" s="48" t="n">
        <v>0</v>
      </c>
      <c r="I1478" s="48" t="n">
        <v>0</v>
      </c>
      <c r="J1478" s="48" t="n">
        <v>0</v>
      </c>
      <c r="K1478" s="49" t="n">
        <v>0</v>
      </c>
      <c r="L1478" s="49" t="n">
        <v>0</v>
      </c>
      <c r="M1478" s="49" t="n">
        <v>0</v>
      </c>
      <c r="N1478" s="49" t="n">
        <v>0</v>
      </c>
      <c r="O1478" s="49" t="n">
        <v>0</v>
      </c>
      <c r="P1478" s="49" t="n">
        <v>0</v>
      </c>
      <c r="Q1478" s="49" t="n">
        <v>0</v>
      </c>
      <c r="R1478" s="49" t="n">
        <v>0</v>
      </c>
      <c r="S1478" s="50" t="n">
        <v>0</v>
      </c>
      <c r="T1478" s="50" t="n">
        <v>0</v>
      </c>
      <c r="U1478" s="50" t="n">
        <v>0</v>
      </c>
      <c r="V1478" s="50" t="n">
        <v>0</v>
      </c>
      <c r="W1478" s="51" t="n">
        <v>0</v>
      </c>
      <c r="X1478" s="51" t="n">
        <v>0</v>
      </c>
      <c r="Y1478" s="51" t="n">
        <v>0</v>
      </c>
      <c r="Z1478" s="51" t="n">
        <v>0</v>
      </c>
      <c r="AA1478" s="52" t="n">
        <v>0</v>
      </c>
      <c r="AB1478" s="52" t="n">
        <v>0</v>
      </c>
      <c r="AC1478" s="52" t="n">
        <v>0</v>
      </c>
      <c r="AD1478" s="52" t="n">
        <v>0</v>
      </c>
      <c r="AE1478" s="52" t="n">
        <v>0</v>
      </c>
      <c r="AF1478" s="52" t="n">
        <v>0</v>
      </c>
      <c r="AG1478" s="52" t="n">
        <v>0</v>
      </c>
      <c r="AH1478" s="52" t="n">
        <v>0</v>
      </c>
      <c r="AI1478" s="52" t="n">
        <v>0</v>
      </c>
      <c r="AJ1478" s="52" t="n">
        <v>0</v>
      </c>
      <c r="AK1478" s="52" t="n">
        <v>0</v>
      </c>
      <c r="AL1478" s="52" t="n">
        <v>0</v>
      </c>
      <c r="AM1478" s="53" t="n">
        <v>0</v>
      </c>
      <c r="AN1478" s="53" t="n">
        <v>0</v>
      </c>
      <c r="AO1478" s="53" t="n">
        <v>0</v>
      </c>
      <c r="AP1478" s="53" t="n">
        <v>0</v>
      </c>
      <c r="AQ1478" s="52" t="n">
        <v>0</v>
      </c>
      <c r="AR1478" s="52" t="n">
        <v>0</v>
      </c>
      <c r="AS1478" s="52" t="n">
        <v>0</v>
      </c>
      <c r="AT1478" s="52" t="n">
        <v>0</v>
      </c>
      <c r="AU1478" s="53" t="n">
        <v>0</v>
      </c>
      <c r="AV1478" s="53" t="n">
        <v>0</v>
      </c>
      <c r="AW1478" s="53" t="n">
        <v>0</v>
      </c>
      <c r="AX1478" s="53" t="n">
        <v>0</v>
      </c>
      <c r="AY1478" s="52" t="n">
        <v>0</v>
      </c>
      <c r="AZ1478" s="52" t="n">
        <v>0</v>
      </c>
      <c r="BA1478" s="52" t="n">
        <v>0</v>
      </c>
      <c r="BB1478" s="52" t="n">
        <v>0</v>
      </c>
      <c r="BC1478" s="51" t="n">
        <v>0</v>
      </c>
      <c r="BD1478" s="51" t="n">
        <v>0</v>
      </c>
      <c r="BE1478" s="51" t="n">
        <v>0</v>
      </c>
      <c r="BF1478" s="51" t="n">
        <v>0</v>
      </c>
    </row>
    <row r="1479">
      <c r="A1479">
        <f>HYPERLINK("https://www.walmart.com/ip/152482497", "152482497")</f>
        <v/>
      </c>
      <c r="B1479" t="inlineStr">
        <is>
          <t>JenniWears Sexy Lingerie Fishnet Open Crotch Body Stocking Mini Chemise Dress</t>
        </is>
      </c>
      <c r="C1479" t="inlineStr">
        <is>
          <t>JWBS8836</t>
        </is>
      </c>
      <c r="D1479" t="inlineStr">
        <is>
          <t>Teddies &amp; Bodystockings</t>
        </is>
      </c>
      <c r="E1479" t="inlineStr">
        <is>
          <t>JenniWears</t>
        </is>
      </c>
      <c r="F1479" t="inlineStr">
        <is>
          <t>Valentine</t>
        </is>
      </c>
      <c r="G1479" s="48" t="n">
        <v>0</v>
      </c>
      <c r="H1479" s="48" t="n">
        <v>0</v>
      </c>
      <c r="I1479" s="48" t="n">
        <v>0</v>
      </c>
      <c r="J1479" s="48" t="n">
        <v>0</v>
      </c>
      <c r="K1479" s="49" t="n">
        <v>0</v>
      </c>
      <c r="L1479" s="49" t="n">
        <v>0</v>
      </c>
      <c r="M1479" s="49" t="n">
        <v>0</v>
      </c>
      <c r="N1479" s="49" t="n">
        <v>0</v>
      </c>
      <c r="O1479" s="49" t="n">
        <v>0</v>
      </c>
      <c r="P1479" s="49" t="n">
        <v>0</v>
      </c>
      <c r="Q1479" s="49" t="n">
        <v>0</v>
      </c>
      <c r="R1479" s="49" t="n">
        <v>0</v>
      </c>
      <c r="S1479" s="50" t="n">
        <v>0</v>
      </c>
      <c r="T1479" s="50" t="n">
        <v>0</v>
      </c>
      <c r="U1479" s="50" t="n">
        <v>0</v>
      </c>
      <c r="V1479" s="50" t="n">
        <v>0</v>
      </c>
      <c r="W1479" s="51" t="n">
        <v>0</v>
      </c>
      <c r="X1479" s="51" t="n">
        <v>0</v>
      </c>
      <c r="Y1479" s="51" t="n">
        <v>0</v>
      </c>
      <c r="Z1479" s="51" t="n">
        <v>0</v>
      </c>
      <c r="AA1479" s="52" t="n">
        <v>0</v>
      </c>
      <c r="AB1479" s="52" t="n">
        <v>0</v>
      </c>
      <c r="AC1479" s="52" t="n">
        <v>0</v>
      </c>
      <c r="AD1479" s="52" t="n">
        <v>0</v>
      </c>
      <c r="AE1479" s="52" t="n">
        <v>0</v>
      </c>
      <c r="AF1479" s="52" t="n">
        <v>0</v>
      </c>
      <c r="AG1479" s="52" t="n">
        <v>0</v>
      </c>
      <c r="AH1479" s="52" t="n">
        <v>0</v>
      </c>
      <c r="AI1479" s="52" t="n">
        <v>0</v>
      </c>
      <c r="AJ1479" s="52" t="n">
        <v>0</v>
      </c>
      <c r="AK1479" s="52" t="n">
        <v>0</v>
      </c>
      <c r="AL1479" s="52" t="n">
        <v>0</v>
      </c>
      <c r="AM1479" s="53" t="n">
        <v>0</v>
      </c>
      <c r="AN1479" s="53" t="n">
        <v>0</v>
      </c>
      <c r="AO1479" s="53" t="n">
        <v>0</v>
      </c>
      <c r="AP1479" s="53" t="n">
        <v>0</v>
      </c>
      <c r="AQ1479" s="52" t="n">
        <v>0</v>
      </c>
      <c r="AR1479" s="52" t="n">
        <v>0</v>
      </c>
      <c r="AS1479" s="52" t="n">
        <v>0</v>
      </c>
      <c r="AT1479" s="52" t="n">
        <v>0</v>
      </c>
      <c r="AU1479" s="53" t="n">
        <v>0</v>
      </c>
      <c r="AV1479" s="53" t="n">
        <v>0</v>
      </c>
      <c r="AW1479" s="53" t="n">
        <v>0</v>
      </c>
      <c r="AX1479" s="53" t="n">
        <v>0</v>
      </c>
      <c r="AY1479" s="52" t="n">
        <v>0</v>
      </c>
      <c r="AZ1479" s="52" t="n">
        <v>0</v>
      </c>
      <c r="BA1479" s="52" t="n">
        <v>0</v>
      </c>
      <c r="BB1479" s="52" t="n">
        <v>0</v>
      </c>
      <c r="BC1479" s="51" t="n">
        <v>0</v>
      </c>
      <c r="BD1479" s="51" t="n">
        <v>0</v>
      </c>
      <c r="BE1479" s="51" t="n">
        <v>0</v>
      </c>
      <c r="BF1479" s="51" t="n">
        <v>0</v>
      </c>
    </row>
    <row r="1480">
      <c r="A1480">
        <f>HYPERLINK("https://www.walmart.com/ip/152494455", "152494455")</f>
        <v/>
      </c>
      <c r="B1480" t="inlineStr">
        <is>
          <t>JenniWears® Women's Sexy See-through Lingerie Lace Fishnet Suspender</t>
        </is>
      </c>
      <c r="C1480" t="inlineStr">
        <is>
          <t>JWBD01BKPK-XL</t>
        </is>
      </c>
      <c r="D1480" t="inlineStr">
        <is>
          <t>Lingerie Camisoles</t>
        </is>
      </c>
      <c r="E1480" t="inlineStr">
        <is>
          <t>JenniWears</t>
        </is>
      </c>
      <c r="F1480" t="inlineStr">
        <is>
          <t>Valentine</t>
        </is>
      </c>
      <c r="G1480" s="48" t="n">
        <v>0</v>
      </c>
      <c r="H1480" s="48" t="n">
        <v>0</v>
      </c>
      <c r="I1480" s="48" t="n">
        <v>0</v>
      </c>
      <c r="J1480" s="48" t="n">
        <v>0</v>
      </c>
      <c r="K1480" s="49" t="n">
        <v>0</v>
      </c>
      <c r="L1480" s="49" t="n">
        <v>0</v>
      </c>
      <c r="M1480" s="49" t="n">
        <v>0</v>
      </c>
      <c r="N1480" s="49" t="n">
        <v>0</v>
      </c>
      <c r="O1480" s="49" t="n">
        <v>0</v>
      </c>
      <c r="P1480" s="49" t="n">
        <v>0</v>
      </c>
      <c r="Q1480" s="49" t="n">
        <v>0</v>
      </c>
      <c r="R1480" s="49" t="n">
        <v>0</v>
      </c>
      <c r="S1480" s="50" t="n">
        <v>0</v>
      </c>
      <c r="T1480" s="50" t="n">
        <v>0</v>
      </c>
      <c r="U1480" s="50" t="n">
        <v>0</v>
      </c>
      <c r="V1480" s="50" t="n">
        <v>0</v>
      </c>
      <c r="W1480" s="51" t="n">
        <v>0</v>
      </c>
      <c r="X1480" s="51" t="n">
        <v>0</v>
      </c>
      <c r="Y1480" s="51" t="n">
        <v>0</v>
      </c>
      <c r="Z1480" s="51" t="n">
        <v>0</v>
      </c>
      <c r="AA1480" s="52" t="n">
        <v>0</v>
      </c>
      <c r="AB1480" s="52" t="n">
        <v>0</v>
      </c>
      <c r="AC1480" s="52" t="n">
        <v>0</v>
      </c>
      <c r="AD1480" s="52" t="n">
        <v>0</v>
      </c>
      <c r="AE1480" s="52" t="n">
        <v>0</v>
      </c>
      <c r="AF1480" s="52" t="n">
        <v>0</v>
      </c>
      <c r="AG1480" s="52" t="n">
        <v>0</v>
      </c>
      <c r="AH1480" s="52" t="n">
        <v>0</v>
      </c>
      <c r="AI1480" s="52" t="n">
        <v>0</v>
      </c>
      <c r="AJ1480" s="52" t="n">
        <v>0</v>
      </c>
      <c r="AK1480" s="52" t="n">
        <v>0</v>
      </c>
      <c r="AL1480" s="52" t="n">
        <v>0</v>
      </c>
      <c r="AM1480" s="53" t="n">
        <v>0</v>
      </c>
      <c r="AN1480" s="53" t="n">
        <v>0</v>
      </c>
      <c r="AO1480" s="53" t="n">
        <v>0</v>
      </c>
      <c r="AP1480" s="53" t="n">
        <v>0</v>
      </c>
      <c r="AQ1480" s="52" t="n">
        <v>0</v>
      </c>
      <c r="AR1480" s="52" t="n">
        <v>0</v>
      </c>
      <c r="AS1480" s="52" t="n">
        <v>0</v>
      </c>
      <c r="AT1480" s="52" t="n">
        <v>0</v>
      </c>
      <c r="AU1480" s="53" t="n">
        <v>0</v>
      </c>
      <c r="AV1480" s="53" t="n">
        <v>0</v>
      </c>
      <c r="AW1480" s="53" t="n">
        <v>0</v>
      </c>
      <c r="AX1480" s="53" t="n">
        <v>0</v>
      </c>
      <c r="AY1480" s="52" t="n">
        <v>0</v>
      </c>
      <c r="AZ1480" s="52" t="n">
        <v>0</v>
      </c>
      <c r="BA1480" s="52" t="n">
        <v>0</v>
      </c>
      <c r="BB1480" s="52" t="n">
        <v>0</v>
      </c>
      <c r="BC1480" s="51" t="n">
        <v>0</v>
      </c>
      <c r="BD1480" s="51" t="n">
        <v>0</v>
      </c>
      <c r="BE1480" s="51" t="n">
        <v>0</v>
      </c>
      <c r="BF1480" s="51" t="n">
        <v>0</v>
      </c>
    </row>
    <row r="1481">
      <c r="A1481">
        <f>HYPERLINK("https://www.walmart.com/ip/152513714", "152513714")</f>
        <v/>
      </c>
      <c r="B1481" t="inlineStr">
        <is>
          <t>KC Caps Thick Weave Waffle Knit Beanie</t>
        </is>
      </c>
      <c r="C1481" t="inlineStr">
        <is>
          <t>KCW1600GY</t>
        </is>
      </c>
      <c r="D1481" t="inlineStr">
        <is>
          <t>Hats</t>
        </is>
      </c>
      <c r="E1481" t="inlineStr">
        <is>
          <t>KC Caps</t>
        </is>
      </c>
      <c r="F1481" t="inlineStr">
        <is>
          <t>Optimized</t>
        </is>
      </c>
      <c r="G1481" s="48" t="n">
        <v>0</v>
      </c>
      <c r="H1481" s="48" t="n">
        <v>0</v>
      </c>
      <c r="I1481" s="48" t="n">
        <v>0</v>
      </c>
      <c r="J1481" s="48" t="n">
        <v>0</v>
      </c>
      <c r="K1481" s="49" t="n">
        <v>0</v>
      </c>
      <c r="L1481" s="49" t="n">
        <v>0</v>
      </c>
      <c r="M1481" s="49" t="n">
        <v>0</v>
      </c>
      <c r="N1481" s="49" t="n">
        <v>0</v>
      </c>
      <c r="O1481" s="49" t="n">
        <v>0</v>
      </c>
      <c r="P1481" s="49" t="n">
        <v>0</v>
      </c>
      <c r="Q1481" s="49" t="n">
        <v>0</v>
      </c>
      <c r="R1481" s="49" t="n">
        <v>0</v>
      </c>
      <c r="S1481" s="50" t="n">
        <v>0</v>
      </c>
      <c r="T1481" s="50" t="n">
        <v>0</v>
      </c>
      <c r="U1481" s="50" t="n">
        <v>0</v>
      </c>
      <c r="V1481" s="50" t="n">
        <v>0</v>
      </c>
      <c r="W1481" s="51" t="n">
        <v>0</v>
      </c>
      <c r="X1481" s="51" t="n">
        <v>0</v>
      </c>
      <c r="Y1481" s="51" t="n">
        <v>0</v>
      </c>
      <c r="Z1481" s="51" t="n">
        <v>0</v>
      </c>
      <c r="AA1481" s="52" t="n">
        <v>0</v>
      </c>
      <c r="AB1481" s="52" t="n">
        <v>0</v>
      </c>
      <c r="AC1481" s="52" t="n">
        <v>0</v>
      </c>
      <c r="AD1481" s="52" t="n">
        <v>0</v>
      </c>
      <c r="AE1481" s="52" t="n">
        <v>0</v>
      </c>
      <c r="AF1481" s="52" t="n">
        <v>0</v>
      </c>
      <c r="AG1481" s="52" t="n">
        <v>0</v>
      </c>
      <c r="AH1481" s="52" t="n">
        <v>0</v>
      </c>
      <c r="AI1481" s="52" t="n">
        <v>0</v>
      </c>
      <c r="AJ1481" s="52" t="n">
        <v>0</v>
      </c>
      <c r="AK1481" s="52" t="n">
        <v>0</v>
      </c>
      <c r="AL1481" s="52" t="n">
        <v>0</v>
      </c>
      <c r="AM1481" s="53" t="n">
        <v>0</v>
      </c>
      <c r="AN1481" s="53" t="n">
        <v>0</v>
      </c>
      <c r="AO1481" s="53" t="n">
        <v>0</v>
      </c>
      <c r="AP1481" s="53" t="n">
        <v>0</v>
      </c>
      <c r="AQ1481" s="52" t="n">
        <v>0</v>
      </c>
      <c r="AR1481" s="52" t="n">
        <v>0</v>
      </c>
      <c r="AS1481" s="52" t="n">
        <v>0</v>
      </c>
      <c r="AT1481" s="52" t="n">
        <v>0</v>
      </c>
      <c r="AU1481" s="53" t="n">
        <v>0</v>
      </c>
      <c r="AV1481" s="53" t="n">
        <v>0</v>
      </c>
      <c r="AW1481" s="53" t="n">
        <v>0</v>
      </c>
      <c r="AX1481" s="53" t="n">
        <v>0</v>
      </c>
      <c r="AY1481" s="52" t="n">
        <v>0</v>
      </c>
      <c r="AZ1481" s="52" t="n">
        <v>0</v>
      </c>
      <c r="BA1481" s="52" t="n">
        <v>0</v>
      </c>
      <c r="BB1481" s="52" t="n">
        <v>0</v>
      </c>
      <c r="BC1481" s="51" t="n">
        <v>0</v>
      </c>
      <c r="BD1481" s="51" t="n">
        <v>0</v>
      </c>
      <c r="BE1481" s="51" t="n">
        <v>0</v>
      </c>
      <c r="BF1481" s="51" t="n">
        <v>0</v>
      </c>
    </row>
    <row r="1482">
      <c r="A1482">
        <f>HYPERLINK("https://www.walmart.com/ip/153044946", "153044946")</f>
        <v/>
      </c>
      <c r="B1482" t="inlineStr">
        <is>
          <t>Adjustable Buckle Closure USA Flag Embroidered Cap</t>
        </is>
      </c>
      <c r="C1482" t="inlineStr">
        <is>
          <t>kc-aeflag-rd</t>
        </is>
      </c>
      <c r="D1482" t="inlineStr">
        <is>
          <t>Hats</t>
        </is>
      </c>
      <c r="E1482" t="inlineStr">
        <is>
          <t>KC Caps</t>
        </is>
      </c>
      <c r="F1482" t="inlineStr">
        <is>
          <t>Optimized</t>
        </is>
      </c>
      <c r="G1482" s="48" t="n">
        <v>0</v>
      </c>
      <c r="H1482" s="48" t="n">
        <v>0</v>
      </c>
      <c r="I1482" s="48" t="n">
        <v>0</v>
      </c>
      <c r="J1482" s="48" t="n">
        <v>0</v>
      </c>
      <c r="K1482" s="49" t="n">
        <v>0</v>
      </c>
      <c r="L1482" s="49" t="n">
        <v>0</v>
      </c>
      <c r="M1482" s="49" t="n">
        <v>0</v>
      </c>
      <c r="N1482" s="49" t="n">
        <v>0</v>
      </c>
      <c r="O1482" s="49" t="n">
        <v>0</v>
      </c>
      <c r="P1482" s="49" t="n">
        <v>0</v>
      </c>
      <c r="Q1482" s="49" t="n">
        <v>0</v>
      </c>
      <c r="R1482" s="49" t="n">
        <v>0</v>
      </c>
      <c r="S1482" s="50" t="n">
        <v>0</v>
      </c>
      <c r="T1482" s="50" t="n">
        <v>0</v>
      </c>
      <c r="U1482" s="50" t="n">
        <v>0</v>
      </c>
      <c r="V1482" s="50" t="n">
        <v>0</v>
      </c>
      <c r="W1482" s="51" t="n">
        <v>0</v>
      </c>
      <c r="X1482" s="51" t="n">
        <v>0</v>
      </c>
      <c r="Y1482" s="51" t="n">
        <v>0</v>
      </c>
      <c r="Z1482" s="51" t="n">
        <v>0</v>
      </c>
      <c r="AA1482" s="52" t="n">
        <v>0</v>
      </c>
      <c r="AB1482" s="52" t="n">
        <v>0</v>
      </c>
      <c r="AC1482" s="52" t="n">
        <v>0</v>
      </c>
      <c r="AD1482" s="52" t="n">
        <v>0</v>
      </c>
      <c r="AE1482" s="52" t="n">
        <v>0</v>
      </c>
      <c r="AF1482" s="52" t="n">
        <v>0</v>
      </c>
      <c r="AG1482" s="52" t="n">
        <v>0</v>
      </c>
      <c r="AH1482" s="52" t="n">
        <v>0</v>
      </c>
      <c r="AI1482" s="52" t="n">
        <v>0</v>
      </c>
      <c r="AJ1482" s="52" t="n">
        <v>0</v>
      </c>
      <c r="AK1482" s="52" t="n">
        <v>0</v>
      </c>
      <c r="AL1482" s="52" t="n">
        <v>0</v>
      </c>
      <c r="AM1482" s="53" t="n">
        <v>0</v>
      </c>
      <c r="AN1482" s="53" t="n">
        <v>0</v>
      </c>
      <c r="AO1482" s="53" t="n">
        <v>0</v>
      </c>
      <c r="AP1482" s="53" t="n">
        <v>0</v>
      </c>
      <c r="AQ1482" s="52" t="n">
        <v>0</v>
      </c>
      <c r="AR1482" s="52" t="n">
        <v>0</v>
      </c>
      <c r="AS1482" s="52" t="n">
        <v>0</v>
      </c>
      <c r="AT1482" s="52" t="n">
        <v>0</v>
      </c>
      <c r="AU1482" s="53" t="n">
        <v>0</v>
      </c>
      <c r="AV1482" s="53" t="n">
        <v>0</v>
      </c>
      <c r="AW1482" s="53" t="n">
        <v>0</v>
      </c>
      <c r="AX1482" s="53" t="n">
        <v>0</v>
      </c>
      <c r="AY1482" s="52" t="n">
        <v>0</v>
      </c>
      <c r="AZ1482" s="52" t="n">
        <v>0</v>
      </c>
      <c r="BA1482" s="52" t="n">
        <v>0</v>
      </c>
      <c r="BB1482" s="52" t="n">
        <v>0</v>
      </c>
      <c r="BC1482" s="51" t="n">
        <v>0</v>
      </c>
      <c r="BD1482" s="51" t="n">
        <v>0</v>
      </c>
      <c r="BE1482" s="51" t="n">
        <v>0</v>
      </c>
      <c r="BF1482" s="51" t="n">
        <v>0</v>
      </c>
    </row>
    <row r="1483">
      <c r="A1483">
        <f>HYPERLINK("https://www.walmart.com/ip/1533101659", "1533101659")</f>
        <v/>
      </c>
      <c r="B1483" t="inlineStr">
        <is>
          <t>Catalonia Reversible Cooling Blanket, Lightweight Summer Comforter for Hot Sleepers, Silky Soft Summer Duvet Throw Size, 50x60 inches, Soft Breathable, Grey</t>
        </is>
      </c>
      <c r="C1483" t="inlineStr">
        <is>
          <t>1CTBQ100GY</t>
        </is>
      </c>
      <c r="D1483" t="inlineStr">
        <is>
          <t>Throws</t>
        </is>
      </c>
      <c r="E1483" t="inlineStr">
        <is>
          <t>Catalonia</t>
        </is>
      </c>
      <c r="F1483" t="inlineStr">
        <is>
          <t>Batch 1 - TR</t>
        </is>
      </c>
      <c r="G1483" s="48" t="n">
        <v>0</v>
      </c>
      <c r="H1483" s="48" t="n">
        <v>0</v>
      </c>
      <c r="I1483" s="48" t="n">
        <v>19.98</v>
      </c>
      <c r="J1483" s="48" t="n">
        <v>0</v>
      </c>
      <c r="K1483" s="49" t="n">
        <v>0</v>
      </c>
      <c r="L1483" s="49" t="n">
        <v>0</v>
      </c>
      <c r="M1483" s="49" t="n">
        <v>1</v>
      </c>
      <c r="N1483" s="49" t="n">
        <v>0</v>
      </c>
      <c r="O1483" s="49" t="n">
        <v>0</v>
      </c>
      <c r="P1483" s="49" t="n">
        <v>0</v>
      </c>
      <c r="Q1483" s="49" t="n">
        <v>0</v>
      </c>
      <c r="R1483" s="49" t="n">
        <v>0</v>
      </c>
      <c r="S1483" s="50" t="n">
        <v>0</v>
      </c>
      <c r="T1483" s="50" t="n">
        <v>0</v>
      </c>
      <c r="U1483" s="50" t="n">
        <v>0</v>
      </c>
      <c r="V1483" s="50" t="n">
        <v>0</v>
      </c>
      <c r="W1483" s="51" t="n">
        <v>0</v>
      </c>
      <c r="X1483" s="51" t="n">
        <v>0</v>
      </c>
      <c r="Y1483" s="51" t="n">
        <v>0</v>
      </c>
      <c r="Z1483" s="51" t="n">
        <v>0</v>
      </c>
      <c r="AA1483" s="52" t="n">
        <v>0</v>
      </c>
      <c r="AB1483" s="52" t="n">
        <v>0</v>
      </c>
      <c r="AC1483" s="52" t="n">
        <v>0</v>
      </c>
      <c r="AD1483" s="52" t="n">
        <v>0</v>
      </c>
      <c r="AE1483" s="52" t="n">
        <v>0</v>
      </c>
      <c r="AF1483" s="52" t="n">
        <v>0</v>
      </c>
      <c r="AG1483" s="52" t="n">
        <v>0</v>
      </c>
      <c r="AH1483" s="52" t="n">
        <v>0</v>
      </c>
      <c r="AI1483" s="52" t="n">
        <v>0</v>
      </c>
      <c r="AJ1483" s="52" t="n">
        <v>0</v>
      </c>
      <c r="AK1483" s="52" t="n">
        <v>0</v>
      </c>
      <c r="AL1483" s="52" t="n">
        <v>0</v>
      </c>
      <c r="AM1483" s="53" t="n">
        <v>0</v>
      </c>
      <c r="AN1483" s="53" t="n">
        <v>0</v>
      </c>
      <c r="AO1483" s="53" t="n">
        <v>0</v>
      </c>
      <c r="AP1483" s="53" t="n">
        <v>0</v>
      </c>
      <c r="AQ1483" s="52" t="n">
        <v>0</v>
      </c>
      <c r="AR1483" s="52" t="n">
        <v>0</v>
      </c>
      <c r="AS1483" s="52" t="n">
        <v>0</v>
      </c>
      <c r="AT1483" s="52" t="n">
        <v>0</v>
      </c>
      <c r="AU1483" s="53" t="n">
        <v>0</v>
      </c>
      <c r="AV1483" s="53" t="n">
        <v>0</v>
      </c>
      <c r="AW1483" s="53" t="n">
        <v>0</v>
      </c>
      <c r="AX1483" s="53" t="n">
        <v>0</v>
      </c>
      <c r="AY1483" s="52" t="n">
        <v>0</v>
      </c>
      <c r="AZ1483" s="52" t="n">
        <v>0</v>
      </c>
      <c r="BA1483" s="52" t="n">
        <v>19.98</v>
      </c>
      <c r="BB1483" s="52" t="n">
        <v>0</v>
      </c>
      <c r="BC1483" s="51" t="n">
        <v>0</v>
      </c>
      <c r="BD1483" s="51" t="n">
        <v>0</v>
      </c>
      <c r="BE1483" s="51" t="n">
        <v>0</v>
      </c>
      <c r="BF1483" s="51" t="n">
        <v>0</v>
      </c>
    </row>
    <row r="1484">
      <c r="A1484">
        <f>HYPERLINK("https://www.walmart.com/ip/15343066717", "15343066717")</f>
        <v/>
      </c>
      <c r="B1484" t="inlineStr">
        <is>
          <t>Catalonia Swim Parka Kids with Hood, Lightweight Youth Surf Swim Jacket, Waterproof &amp; Warm Sherpa Lined Swim Coat for Boys Girls, Changing Poncho Robe for Pool Beach Stadium, Blue, 5-9 Years</t>
        </is>
      </c>
      <c r="C1484" t="inlineStr">
        <is>
          <t>1CTPKR202BL-0</t>
        </is>
      </c>
      <c r="D1484" t="inlineStr">
        <is>
          <t>Swim Parkas</t>
        </is>
      </c>
      <c r="E1484" t="inlineStr">
        <is>
          <t>Catalonia</t>
        </is>
      </c>
      <c r="G1484" s="48" t="n">
        <v>0</v>
      </c>
      <c r="H1484" s="48" t="n">
        <v>0</v>
      </c>
      <c r="I1484" s="48" t="n">
        <v>0</v>
      </c>
      <c r="J1484" s="48" t="n">
        <v>0</v>
      </c>
      <c r="K1484" s="49" t="n">
        <v>0</v>
      </c>
      <c r="L1484" s="49" t="n">
        <v>0</v>
      </c>
      <c r="M1484" s="49" t="n">
        <v>0</v>
      </c>
      <c r="N1484" s="49" t="n">
        <v>0</v>
      </c>
      <c r="O1484" s="49" t="n">
        <v>0</v>
      </c>
      <c r="P1484" s="49" t="n">
        <v>0</v>
      </c>
      <c r="Q1484" s="49" t="n">
        <v>0</v>
      </c>
      <c r="R1484" s="49" t="n">
        <v>0</v>
      </c>
      <c r="S1484" s="50" t="n">
        <v>0</v>
      </c>
      <c r="T1484" s="50" t="n">
        <v>0</v>
      </c>
      <c r="U1484" s="50" t="n">
        <v>0</v>
      </c>
      <c r="V1484" s="50" t="n">
        <v>0</v>
      </c>
      <c r="W1484" s="51" t="n">
        <v>0</v>
      </c>
      <c r="X1484" s="51" t="n">
        <v>0</v>
      </c>
      <c r="Y1484" s="51" t="n">
        <v>0</v>
      </c>
      <c r="Z1484" s="51" t="n">
        <v>0</v>
      </c>
      <c r="AA1484" s="52" t="n">
        <v>0</v>
      </c>
      <c r="AB1484" s="52" t="n">
        <v>0</v>
      </c>
      <c r="AC1484" s="52" t="n">
        <v>0</v>
      </c>
      <c r="AD1484" s="52" t="n">
        <v>0</v>
      </c>
      <c r="AE1484" s="52" t="n">
        <v>0</v>
      </c>
      <c r="AF1484" s="52" t="n">
        <v>0</v>
      </c>
      <c r="AG1484" s="52" t="n">
        <v>0</v>
      </c>
      <c r="AH1484" s="52" t="n">
        <v>0</v>
      </c>
      <c r="AI1484" s="52" t="n">
        <v>0</v>
      </c>
      <c r="AJ1484" s="52" t="n">
        <v>0</v>
      </c>
      <c r="AK1484" s="52" t="n">
        <v>0</v>
      </c>
      <c r="AL1484" s="52" t="n">
        <v>0</v>
      </c>
      <c r="AM1484" s="53" t="n">
        <v>0</v>
      </c>
      <c r="AN1484" s="53" t="n">
        <v>0</v>
      </c>
      <c r="AO1484" s="53" t="n">
        <v>0</v>
      </c>
      <c r="AP1484" s="53" t="n">
        <v>0</v>
      </c>
      <c r="AQ1484" s="52" t="n">
        <v>0</v>
      </c>
      <c r="AR1484" s="52" t="n">
        <v>0</v>
      </c>
      <c r="AS1484" s="52" t="n">
        <v>0</v>
      </c>
      <c r="AT1484" s="52" t="n">
        <v>0</v>
      </c>
      <c r="AU1484" s="53" t="n">
        <v>0</v>
      </c>
      <c r="AV1484" s="53" t="n">
        <v>0</v>
      </c>
      <c r="AW1484" s="53" t="n">
        <v>0</v>
      </c>
      <c r="AX1484" s="53" t="n">
        <v>0</v>
      </c>
      <c r="AY1484" s="52" t="n">
        <v>0</v>
      </c>
      <c r="AZ1484" s="52" t="n">
        <v>0</v>
      </c>
      <c r="BA1484" s="52" t="n">
        <v>0</v>
      </c>
      <c r="BB1484" s="52" t="n">
        <v>0</v>
      </c>
      <c r="BC1484" s="51" t="n">
        <v>0</v>
      </c>
      <c r="BD1484" s="51" t="n">
        <v>0</v>
      </c>
      <c r="BE1484" s="51" t="n">
        <v>0</v>
      </c>
      <c r="BF1484" s="51" t="n">
        <v>0</v>
      </c>
    </row>
    <row r="1485">
      <c r="A1485">
        <f>HYPERLINK("https://www.walmart.com/ip/153531952", "153531952")</f>
        <v/>
      </c>
      <c r="B1485" t="inlineStr">
        <is>
          <t>Tirrinia Womens Floppy Beach Summer Hat Reversible Sunhat Packable Wide Brim Flower Pattern Blue</t>
        </is>
      </c>
      <c r="C1485" t="inlineStr">
        <is>
          <t>1TRSH069BL-TBCB</t>
        </is>
      </c>
      <c r="D1485" t="inlineStr">
        <is>
          <t>Hats</t>
        </is>
      </c>
      <c r="E1485" t="inlineStr">
        <is>
          <t>Tirrinia</t>
        </is>
      </c>
      <c r="G1485" s="48" t="n">
        <v>0</v>
      </c>
      <c r="H1485" s="48" t="n">
        <v>0</v>
      </c>
      <c r="I1485" s="48" t="n">
        <v>0</v>
      </c>
      <c r="J1485" s="48" t="n">
        <v>0</v>
      </c>
      <c r="K1485" s="49" t="n">
        <v>0</v>
      </c>
      <c r="L1485" s="49" t="n">
        <v>0</v>
      </c>
      <c r="M1485" s="49" t="n">
        <v>0</v>
      </c>
      <c r="N1485" s="49" t="n">
        <v>0</v>
      </c>
      <c r="O1485" s="49" t="n">
        <v>0</v>
      </c>
      <c r="P1485" s="49" t="n">
        <v>0</v>
      </c>
      <c r="Q1485" s="49" t="n">
        <v>0</v>
      </c>
      <c r="R1485" s="49" t="n">
        <v>0</v>
      </c>
      <c r="S1485" s="50" t="n">
        <v>0</v>
      </c>
      <c r="T1485" s="50" t="n">
        <v>0</v>
      </c>
      <c r="U1485" s="50" t="n">
        <v>0</v>
      </c>
      <c r="V1485" s="50" t="n">
        <v>0</v>
      </c>
      <c r="W1485" s="51" t="n">
        <v>0</v>
      </c>
      <c r="X1485" s="51" t="n">
        <v>0</v>
      </c>
      <c r="Y1485" s="51" t="n">
        <v>0</v>
      </c>
      <c r="Z1485" s="51" t="n">
        <v>0</v>
      </c>
      <c r="AA1485" s="52" t="n">
        <v>0</v>
      </c>
      <c r="AB1485" s="52" t="n">
        <v>0</v>
      </c>
      <c r="AC1485" s="52" t="n">
        <v>0</v>
      </c>
      <c r="AD1485" s="52" t="n">
        <v>0</v>
      </c>
      <c r="AE1485" s="52" t="n">
        <v>0</v>
      </c>
      <c r="AF1485" s="52" t="n">
        <v>0</v>
      </c>
      <c r="AG1485" s="52" t="n">
        <v>0</v>
      </c>
      <c r="AH1485" s="52" t="n">
        <v>0</v>
      </c>
      <c r="AI1485" s="52" t="n">
        <v>0</v>
      </c>
      <c r="AJ1485" s="52" t="n">
        <v>0</v>
      </c>
      <c r="AK1485" s="52" t="n">
        <v>0</v>
      </c>
      <c r="AL1485" s="52" t="n">
        <v>0</v>
      </c>
      <c r="AM1485" s="53" t="n">
        <v>0</v>
      </c>
      <c r="AN1485" s="53" t="n">
        <v>0</v>
      </c>
      <c r="AO1485" s="53" t="n">
        <v>0</v>
      </c>
      <c r="AP1485" s="53" t="n">
        <v>0</v>
      </c>
      <c r="AQ1485" s="52" t="n">
        <v>0</v>
      </c>
      <c r="AR1485" s="52" t="n">
        <v>0</v>
      </c>
      <c r="AS1485" s="52" t="n">
        <v>0</v>
      </c>
      <c r="AT1485" s="52" t="n">
        <v>0</v>
      </c>
      <c r="AU1485" s="53" t="n">
        <v>0</v>
      </c>
      <c r="AV1485" s="53" t="n">
        <v>0</v>
      </c>
      <c r="AW1485" s="53" t="n">
        <v>0</v>
      </c>
      <c r="AX1485" s="53" t="n">
        <v>0</v>
      </c>
      <c r="AY1485" s="52" t="n">
        <v>0</v>
      </c>
      <c r="AZ1485" s="52" t="n">
        <v>0</v>
      </c>
      <c r="BA1485" s="52" t="n">
        <v>0</v>
      </c>
      <c r="BB1485" s="52" t="n">
        <v>0</v>
      </c>
      <c r="BC1485" s="51" t="n">
        <v>0</v>
      </c>
      <c r="BD1485" s="51" t="n">
        <v>0</v>
      </c>
      <c r="BE1485" s="51" t="n">
        <v>0</v>
      </c>
      <c r="BF1485" s="51" t="n">
        <v>0</v>
      </c>
    </row>
    <row r="1486">
      <c r="A1486">
        <f>HYPERLINK("https://www.walmart.com/ip/15359673525", "15359673525")</f>
        <v/>
      </c>
      <c r="B1486" t="inlineStr">
        <is>
          <t>Tirrinia Large Pop-Up Cooler Bag- Insulated Collapsible Cooler with Flat Drink Table, Lightweight and Portable Ice Round Cooler for Travel, Fishing, Picnics, Hiking, Camping and Beach</t>
        </is>
      </c>
      <c r="C1486" t="inlineStr">
        <is>
          <t>1TRCB20139RD</t>
        </is>
      </c>
      <c r="D1486" t="inlineStr">
        <is>
          <t>Soft-Sided Coolers</t>
        </is>
      </c>
      <c r="E1486" t="inlineStr">
        <is>
          <t>Tirrinia</t>
        </is>
      </c>
      <c r="G1486" s="48" t="n">
        <v>0</v>
      </c>
      <c r="H1486" s="48" t="n">
        <v>0</v>
      </c>
      <c r="I1486" s="48" t="n">
        <v>0</v>
      </c>
      <c r="J1486" s="48" t="n">
        <v>0</v>
      </c>
      <c r="K1486" s="49" t="n">
        <v>0</v>
      </c>
      <c r="L1486" s="49" t="n">
        <v>0</v>
      </c>
      <c r="M1486" s="49" t="n">
        <v>0</v>
      </c>
      <c r="N1486" s="49" t="n">
        <v>0</v>
      </c>
      <c r="O1486" s="49" t="n">
        <v>0</v>
      </c>
      <c r="P1486" s="49" t="n">
        <v>0</v>
      </c>
      <c r="Q1486" s="49" t="n">
        <v>0</v>
      </c>
      <c r="R1486" s="49" t="n">
        <v>0</v>
      </c>
      <c r="S1486" s="50" t="n">
        <v>0</v>
      </c>
      <c r="T1486" s="50" t="n">
        <v>0</v>
      </c>
      <c r="U1486" s="50" t="n">
        <v>0</v>
      </c>
      <c r="V1486" s="50" t="n">
        <v>0</v>
      </c>
      <c r="W1486" s="51" t="n">
        <v>0</v>
      </c>
      <c r="X1486" s="51" t="n">
        <v>0</v>
      </c>
      <c r="Y1486" s="51" t="n">
        <v>0</v>
      </c>
      <c r="Z1486" s="51" t="n">
        <v>0</v>
      </c>
      <c r="AA1486" s="52" t="n">
        <v>0</v>
      </c>
      <c r="AB1486" s="52" t="n">
        <v>0</v>
      </c>
      <c r="AC1486" s="52" t="n">
        <v>0</v>
      </c>
      <c r="AD1486" s="52" t="n">
        <v>0</v>
      </c>
      <c r="AE1486" s="52" t="n">
        <v>0</v>
      </c>
      <c r="AF1486" s="52" t="n">
        <v>0</v>
      </c>
      <c r="AG1486" s="52" t="n">
        <v>0</v>
      </c>
      <c r="AH1486" s="52" t="n">
        <v>0</v>
      </c>
      <c r="AI1486" s="52" t="n">
        <v>0</v>
      </c>
      <c r="AJ1486" s="52" t="n">
        <v>0</v>
      </c>
      <c r="AK1486" s="52" t="n">
        <v>0</v>
      </c>
      <c r="AL1486" s="52" t="n">
        <v>0</v>
      </c>
      <c r="AM1486" s="53" t="n">
        <v>0</v>
      </c>
      <c r="AN1486" s="53" t="n">
        <v>0</v>
      </c>
      <c r="AO1486" s="53" t="n">
        <v>0</v>
      </c>
      <c r="AP1486" s="53" t="n">
        <v>0</v>
      </c>
      <c r="AQ1486" s="52" t="n">
        <v>0</v>
      </c>
      <c r="AR1486" s="52" t="n">
        <v>0</v>
      </c>
      <c r="AS1486" s="52" t="n">
        <v>0</v>
      </c>
      <c r="AT1486" s="52" t="n">
        <v>0</v>
      </c>
      <c r="AU1486" s="53" t="n">
        <v>0</v>
      </c>
      <c r="AV1486" s="53" t="n">
        <v>0</v>
      </c>
      <c r="AW1486" s="53" t="n">
        <v>0</v>
      </c>
      <c r="AX1486" s="53" t="n">
        <v>0</v>
      </c>
      <c r="AY1486" s="52" t="n">
        <v>0</v>
      </c>
      <c r="AZ1486" s="52" t="n">
        <v>0</v>
      </c>
      <c r="BA1486" s="52" t="n">
        <v>0</v>
      </c>
      <c r="BB1486" s="52" t="n">
        <v>0</v>
      </c>
      <c r="BC1486" s="51" t="n">
        <v>0</v>
      </c>
      <c r="BD1486" s="51" t="n">
        <v>0</v>
      </c>
      <c r="BE1486" s="51" t="n">
        <v>0</v>
      </c>
      <c r="BF1486" s="51" t="n">
        <v>0</v>
      </c>
    </row>
    <row r="1487">
      <c r="A1487">
        <f>HYPERLINK("https://www.walmart.com/ip/153765024", "153765024")</f>
        <v/>
      </c>
      <c r="B1487" t="inlineStr">
        <is>
          <t>JenniWears Women Beileise Sexy Garter Belt Suspender - 3 Packs</t>
        </is>
      </c>
      <c r="C1487" t="inlineStr">
        <is>
          <t>JWBLSPH5002-3pcs</t>
        </is>
      </c>
      <c r="D1487" t="inlineStr">
        <is>
          <t>Garter Belts</t>
        </is>
      </c>
      <c r="E1487" t="inlineStr">
        <is>
          <t>JenniWears</t>
        </is>
      </c>
      <c r="F1487" t="inlineStr">
        <is>
          <t>Optimized,Valentine</t>
        </is>
      </c>
      <c r="G1487" s="48" t="n">
        <v>0</v>
      </c>
      <c r="H1487" s="48" t="n">
        <v>0</v>
      </c>
      <c r="I1487" s="48" t="n">
        <v>0</v>
      </c>
      <c r="J1487" s="48" t="n">
        <v>0</v>
      </c>
      <c r="K1487" s="49" t="n">
        <v>0</v>
      </c>
      <c r="L1487" s="49" t="n">
        <v>0</v>
      </c>
      <c r="M1487" s="49" t="n">
        <v>0</v>
      </c>
      <c r="N1487" s="49" t="n">
        <v>0</v>
      </c>
      <c r="O1487" s="49" t="n">
        <v>0</v>
      </c>
      <c r="P1487" s="49" t="n">
        <v>0</v>
      </c>
      <c r="Q1487" s="49" t="n">
        <v>0</v>
      </c>
      <c r="R1487" s="49" t="n">
        <v>0</v>
      </c>
      <c r="S1487" s="50" t="n">
        <v>0</v>
      </c>
      <c r="T1487" s="50" t="n">
        <v>0</v>
      </c>
      <c r="U1487" s="50" t="n">
        <v>0</v>
      </c>
      <c r="V1487" s="50" t="n">
        <v>0</v>
      </c>
      <c r="W1487" s="51" t="n">
        <v>0</v>
      </c>
      <c r="X1487" s="51" t="n">
        <v>0</v>
      </c>
      <c r="Y1487" s="51" t="n">
        <v>0</v>
      </c>
      <c r="Z1487" s="51" t="n">
        <v>0</v>
      </c>
      <c r="AA1487" s="52" t="n">
        <v>0</v>
      </c>
      <c r="AB1487" s="52" t="n">
        <v>0</v>
      </c>
      <c r="AC1487" s="52" t="n">
        <v>0</v>
      </c>
      <c r="AD1487" s="52" t="n">
        <v>0</v>
      </c>
      <c r="AE1487" s="52" t="n">
        <v>0</v>
      </c>
      <c r="AF1487" s="52" t="n">
        <v>0</v>
      </c>
      <c r="AG1487" s="52" t="n">
        <v>0</v>
      </c>
      <c r="AH1487" s="52" t="n">
        <v>0</v>
      </c>
      <c r="AI1487" s="52" t="n">
        <v>0</v>
      </c>
      <c r="AJ1487" s="52" t="n">
        <v>0</v>
      </c>
      <c r="AK1487" s="52" t="n">
        <v>0</v>
      </c>
      <c r="AL1487" s="52" t="n">
        <v>0</v>
      </c>
      <c r="AM1487" s="53" t="n">
        <v>0</v>
      </c>
      <c r="AN1487" s="53" t="n">
        <v>0</v>
      </c>
      <c r="AO1487" s="53" t="n">
        <v>0</v>
      </c>
      <c r="AP1487" s="53" t="n">
        <v>0</v>
      </c>
      <c r="AQ1487" s="52" t="n">
        <v>0</v>
      </c>
      <c r="AR1487" s="52" t="n">
        <v>0</v>
      </c>
      <c r="AS1487" s="52" t="n">
        <v>0</v>
      </c>
      <c r="AT1487" s="52" t="n">
        <v>0</v>
      </c>
      <c r="AU1487" s="53" t="n">
        <v>0</v>
      </c>
      <c r="AV1487" s="53" t="n">
        <v>0</v>
      </c>
      <c r="AW1487" s="53" t="n">
        <v>0</v>
      </c>
      <c r="AX1487" s="53" t="n">
        <v>0</v>
      </c>
      <c r="AY1487" s="52" t="n">
        <v>0</v>
      </c>
      <c r="AZ1487" s="52" t="n">
        <v>0</v>
      </c>
      <c r="BA1487" s="52" t="n">
        <v>0</v>
      </c>
      <c r="BB1487" s="52" t="n">
        <v>0</v>
      </c>
      <c r="BC1487" s="51" t="n">
        <v>0</v>
      </c>
      <c r="BD1487" s="51" t="n">
        <v>0</v>
      </c>
      <c r="BE1487" s="51" t="n">
        <v>0</v>
      </c>
      <c r="BF1487" s="51" t="n">
        <v>0</v>
      </c>
    </row>
    <row r="1488">
      <c r="A1488">
        <f>HYPERLINK("https://www.walmart.com/ip/15386769738", "15386769738")</f>
        <v/>
      </c>
      <c r="B1488" t="inlineStr">
        <is>
          <t>Catalonia Kids Waterproof Swim Parka with Hood, Windproof Fleece Swim Jacket, Warm Winter Swim Coat for Boys Girls Youth, Perfect for Swim Lessons, Beach, Pool</t>
        </is>
      </c>
      <c r="C1488" t="inlineStr">
        <is>
          <t>1CTPKR200BK-0</t>
        </is>
      </c>
      <c r="D1488" t="inlineStr">
        <is>
          <t>Swim Parkas</t>
        </is>
      </c>
      <c r="E1488" t="inlineStr">
        <is>
          <t>Catalonia</t>
        </is>
      </c>
      <c r="G1488" s="48" t="n">
        <v>0</v>
      </c>
      <c r="H1488" s="48" t="n">
        <v>0</v>
      </c>
      <c r="I1488" s="48" t="n">
        <v>0</v>
      </c>
      <c r="J1488" s="48" t="n">
        <v>0</v>
      </c>
      <c r="K1488" s="49" t="n">
        <v>0</v>
      </c>
      <c r="L1488" s="49" t="n">
        <v>0</v>
      </c>
      <c r="M1488" s="49" t="n">
        <v>0</v>
      </c>
      <c r="N1488" s="49" t="n">
        <v>0</v>
      </c>
      <c r="O1488" s="49" t="n">
        <v>0</v>
      </c>
      <c r="P1488" s="49" t="n">
        <v>0</v>
      </c>
      <c r="Q1488" s="49" t="n">
        <v>0</v>
      </c>
      <c r="R1488" s="49" t="n">
        <v>0</v>
      </c>
      <c r="S1488" s="50" t="n">
        <v>0</v>
      </c>
      <c r="T1488" s="50" t="n">
        <v>0</v>
      </c>
      <c r="U1488" s="50" t="n">
        <v>0</v>
      </c>
      <c r="V1488" s="50" t="n">
        <v>0</v>
      </c>
      <c r="W1488" s="51" t="n">
        <v>0</v>
      </c>
      <c r="X1488" s="51" t="n">
        <v>0</v>
      </c>
      <c r="Y1488" s="51" t="n">
        <v>0</v>
      </c>
      <c r="Z1488" s="51" t="n">
        <v>0</v>
      </c>
      <c r="AA1488" s="52" t="n">
        <v>0</v>
      </c>
      <c r="AB1488" s="52" t="n">
        <v>0</v>
      </c>
      <c r="AC1488" s="52" t="n">
        <v>0</v>
      </c>
      <c r="AD1488" s="52" t="n">
        <v>0</v>
      </c>
      <c r="AE1488" s="52" t="n">
        <v>0</v>
      </c>
      <c r="AF1488" s="52" t="n">
        <v>0</v>
      </c>
      <c r="AG1488" s="52" t="n">
        <v>0</v>
      </c>
      <c r="AH1488" s="52" t="n">
        <v>0</v>
      </c>
      <c r="AI1488" s="52" t="n">
        <v>0</v>
      </c>
      <c r="AJ1488" s="52" t="n">
        <v>0</v>
      </c>
      <c r="AK1488" s="52" t="n">
        <v>0</v>
      </c>
      <c r="AL1488" s="52" t="n">
        <v>0</v>
      </c>
      <c r="AM1488" s="53" t="n">
        <v>0</v>
      </c>
      <c r="AN1488" s="53" t="n">
        <v>0</v>
      </c>
      <c r="AO1488" s="53" t="n">
        <v>0</v>
      </c>
      <c r="AP1488" s="53" t="n">
        <v>0</v>
      </c>
      <c r="AQ1488" s="52" t="n">
        <v>0</v>
      </c>
      <c r="AR1488" s="52" t="n">
        <v>0</v>
      </c>
      <c r="AS1488" s="52" t="n">
        <v>0</v>
      </c>
      <c r="AT1488" s="52" t="n">
        <v>0</v>
      </c>
      <c r="AU1488" s="53" t="n">
        <v>0</v>
      </c>
      <c r="AV1488" s="53" t="n">
        <v>0</v>
      </c>
      <c r="AW1488" s="53" t="n">
        <v>0</v>
      </c>
      <c r="AX1488" s="53" t="n">
        <v>0</v>
      </c>
      <c r="AY1488" s="52" t="n">
        <v>0</v>
      </c>
      <c r="AZ1488" s="52" t="n">
        <v>0</v>
      </c>
      <c r="BA1488" s="52" t="n">
        <v>0</v>
      </c>
      <c r="BB1488" s="52" t="n">
        <v>0</v>
      </c>
      <c r="BC1488" s="51" t="n">
        <v>0</v>
      </c>
      <c r="BD1488" s="51" t="n">
        <v>0</v>
      </c>
      <c r="BE1488" s="51" t="n">
        <v>0</v>
      </c>
      <c r="BF1488" s="51" t="n">
        <v>0</v>
      </c>
    </row>
    <row r="1489">
      <c r="A1489">
        <f>HYPERLINK("https://www.walmart.com/ip/15386869189", "15386869189")</f>
        <v/>
      </c>
      <c r="B1489" t="inlineStr">
        <is>
          <t>Tirrinia Large Pop-Up Cooler Bag- Insulated Collapsible Cooler with Flat Drink Table, Lightweight and Portable Ice Round Cooler for Travel, Fishing, Picnics, Hiking, Camping and Beach</t>
        </is>
      </c>
      <c r="C1489" t="inlineStr">
        <is>
          <t>1TRCB20139BK</t>
        </is>
      </c>
      <c r="D1489" t="inlineStr">
        <is>
          <t>Soft-Sided Coolers</t>
        </is>
      </c>
      <c r="E1489" t="inlineStr">
        <is>
          <t>Tirrinia</t>
        </is>
      </c>
      <c r="G1489" s="48" t="n">
        <v>0</v>
      </c>
      <c r="H1489" s="48" t="n">
        <v>0</v>
      </c>
      <c r="I1489" s="48" t="n">
        <v>0</v>
      </c>
      <c r="J1489" s="48" t="n">
        <v>0</v>
      </c>
      <c r="K1489" s="49" t="n">
        <v>0</v>
      </c>
      <c r="L1489" s="49" t="n">
        <v>0</v>
      </c>
      <c r="M1489" s="49" t="n">
        <v>0</v>
      </c>
      <c r="N1489" s="49" t="n">
        <v>0</v>
      </c>
      <c r="O1489" s="49" t="n">
        <v>0</v>
      </c>
      <c r="P1489" s="49" t="n">
        <v>0</v>
      </c>
      <c r="Q1489" s="49" t="n">
        <v>0</v>
      </c>
      <c r="R1489" s="49" t="n">
        <v>0</v>
      </c>
      <c r="S1489" s="50" t="n">
        <v>0</v>
      </c>
      <c r="T1489" s="50" t="n">
        <v>0</v>
      </c>
      <c r="U1489" s="50" t="n">
        <v>0</v>
      </c>
      <c r="V1489" s="50" t="n">
        <v>0</v>
      </c>
      <c r="W1489" s="51" t="n">
        <v>0</v>
      </c>
      <c r="X1489" s="51" t="n">
        <v>0</v>
      </c>
      <c r="Y1489" s="51" t="n">
        <v>0</v>
      </c>
      <c r="Z1489" s="51" t="n">
        <v>0</v>
      </c>
      <c r="AA1489" s="52" t="n">
        <v>0</v>
      </c>
      <c r="AB1489" s="52" t="n">
        <v>0</v>
      </c>
      <c r="AC1489" s="52" t="n">
        <v>0</v>
      </c>
      <c r="AD1489" s="52" t="n">
        <v>0</v>
      </c>
      <c r="AE1489" s="52" t="n">
        <v>0</v>
      </c>
      <c r="AF1489" s="52" t="n">
        <v>0</v>
      </c>
      <c r="AG1489" s="52" t="n">
        <v>0</v>
      </c>
      <c r="AH1489" s="52" t="n">
        <v>0</v>
      </c>
      <c r="AI1489" s="52" t="n">
        <v>0</v>
      </c>
      <c r="AJ1489" s="52" t="n">
        <v>0</v>
      </c>
      <c r="AK1489" s="52" t="n">
        <v>0</v>
      </c>
      <c r="AL1489" s="52" t="n">
        <v>0</v>
      </c>
      <c r="AM1489" s="53" t="n">
        <v>0</v>
      </c>
      <c r="AN1489" s="53" t="n">
        <v>0</v>
      </c>
      <c r="AO1489" s="53" t="n">
        <v>0</v>
      </c>
      <c r="AP1489" s="53" t="n">
        <v>0</v>
      </c>
      <c r="AQ1489" s="52" t="n">
        <v>0</v>
      </c>
      <c r="AR1489" s="52" t="n">
        <v>0</v>
      </c>
      <c r="AS1489" s="52" t="n">
        <v>0</v>
      </c>
      <c r="AT1489" s="52" t="n">
        <v>0</v>
      </c>
      <c r="AU1489" s="53" t="n">
        <v>0</v>
      </c>
      <c r="AV1489" s="53" t="n">
        <v>0</v>
      </c>
      <c r="AW1489" s="53" t="n">
        <v>0</v>
      </c>
      <c r="AX1489" s="53" t="n">
        <v>0</v>
      </c>
      <c r="AY1489" s="52" t="n">
        <v>0</v>
      </c>
      <c r="AZ1489" s="52" t="n">
        <v>0</v>
      </c>
      <c r="BA1489" s="52" t="n">
        <v>0</v>
      </c>
      <c r="BB1489" s="52" t="n">
        <v>0</v>
      </c>
      <c r="BC1489" s="51" t="n">
        <v>0</v>
      </c>
      <c r="BD1489" s="51" t="n">
        <v>0</v>
      </c>
      <c r="BE1489" s="51" t="n">
        <v>0</v>
      </c>
      <c r="BF1489" s="51" t="n">
        <v>0</v>
      </c>
    </row>
    <row r="1490">
      <c r="A1490">
        <f>HYPERLINK("https://www.walmart.com/ip/153934717", "153934717")</f>
        <v/>
      </c>
      <c r="B1490" t="inlineStr">
        <is>
          <t>JenniWears Women Beileise Sexy Garter Belt Suspender</t>
        </is>
      </c>
      <c r="C1490" t="inlineStr">
        <is>
          <t>JWBLSPH2073</t>
        </is>
      </c>
      <c r="D1490" t="inlineStr">
        <is>
          <t>Garters</t>
        </is>
      </c>
      <c r="E1490" t="inlineStr">
        <is>
          <t>JenniWears</t>
        </is>
      </c>
      <c r="F1490" t="inlineStr">
        <is>
          <t>WFS,Valentine,WFS Item</t>
        </is>
      </c>
      <c r="G1490" s="48" t="n">
        <v>0</v>
      </c>
      <c r="H1490" s="48" t="n">
        <v>0</v>
      </c>
      <c r="I1490" s="48" t="n">
        <v>0</v>
      </c>
      <c r="J1490" s="48" t="n">
        <v>0</v>
      </c>
      <c r="K1490" s="49" t="n">
        <v>0</v>
      </c>
      <c r="L1490" s="49" t="n">
        <v>0</v>
      </c>
      <c r="M1490" s="49" t="n">
        <v>0</v>
      </c>
      <c r="N1490" s="49" t="n">
        <v>0</v>
      </c>
      <c r="O1490" s="49" t="n">
        <v>0</v>
      </c>
      <c r="P1490" s="49" t="n">
        <v>0</v>
      </c>
      <c r="Q1490" s="49" t="n">
        <v>0</v>
      </c>
      <c r="R1490" s="49" t="n">
        <v>0</v>
      </c>
      <c r="S1490" s="50" t="n">
        <v>0</v>
      </c>
      <c r="T1490" s="50" t="n">
        <v>0</v>
      </c>
      <c r="U1490" s="50" t="n">
        <v>0</v>
      </c>
      <c r="V1490" s="50" t="n">
        <v>0</v>
      </c>
      <c r="W1490" s="51" t="n">
        <v>0</v>
      </c>
      <c r="X1490" s="51" t="n">
        <v>0</v>
      </c>
      <c r="Y1490" s="51" t="n">
        <v>0</v>
      </c>
      <c r="Z1490" s="51" t="n">
        <v>0</v>
      </c>
      <c r="AA1490" s="52" t="n">
        <v>0</v>
      </c>
      <c r="AB1490" s="52" t="n">
        <v>0</v>
      </c>
      <c r="AC1490" s="52" t="n">
        <v>0</v>
      </c>
      <c r="AD1490" s="52" t="n">
        <v>0</v>
      </c>
      <c r="AE1490" s="52" t="n">
        <v>0</v>
      </c>
      <c r="AF1490" s="52" t="n">
        <v>0</v>
      </c>
      <c r="AG1490" s="52" t="n">
        <v>0</v>
      </c>
      <c r="AH1490" s="52" t="n">
        <v>0</v>
      </c>
      <c r="AI1490" s="52" t="n">
        <v>0</v>
      </c>
      <c r="AJ1490" s="52" t="n">
        <v>0</v>
      </c>
      <c r="AK1490" s="52" t="n">
        <v>0</v>
      </c>
      <c r="AL1490" s="52" t="n">
        <v>0</v>
      </c>
      <c r="AM1490" s="53" t="n">
        <v>0</v>
      </c>
      <c r="AN1490" s="53" t="n">
        <v>0</v>
      </c>
      <c r="AO1490" s="53" t="n">
        <v>0</v>
      </c>
      <c r="AP1490" s="53" t="n">
        <v>0</v>
      </c>
      <c r="AQ1490" s="52" t="n">
        <v>0</v>
      </c>
      <c r="AR1490" s="52" t="n">
        <v>0</v>
      </c>
      <c r="AS1490" s="52" t="n">
        <v>0</v>
      </c>
      <c r="AT1490" s="52" t="n">
        <v>0</v>
      </c>
      <c r="AU1490" s="53" t="n">
        <v>0</v>
      </c>
      <c r="AV1490" s="53" t="n">
        <v>0</v>
      </c>
      <c r="AW1490" s="53" t="n">
        <v>0</v>
      </c>
      <c r="AX1490" s="53" t="n">
        <v>0</v>
      </c>
      <c r="AY1490" s="52" t="n">
        <v>0</v>
      </c>
      <c r="AZ1490" s="52" t="n">
        <v>0</v>
      </c>
      <c r="BA1490" s="52" t="n">
        <v>0</v>
      </c>
      <c r="BB1490" s="52" t="n">
        <v>0</v>
      </c>
      <c r="BC1490" s="51" t="n">
        <v>0</v>
      </c>
      <c r="BD1490" s="51" t="n">
        <v>0</v>
      </c>
      <c r="BE1490" s="51" t="n">
        <v>0</v>
      </c>
      <c r="BF1490" s="51" t="n">
        <v>0</v>
      </c>
    </row>
    <row r="1491">
      <c r="A1491">
        <f>HYPERLINK("https://www.walmart.com/ip/15401122451", "15401122451")</f>
        <v/>
      </c>
      <c r="B1491" t="inlineStr">
        <is>
          <t>Tirrinia 2 In 1 Outdoors UPF 50+ UV Protection Sun Hat for Women, One Size Female Sports Baseball Cap Gardening Fishing Hat with Neck Flap</t>
        </is>
      </c>
      <c r="C1491" t="inlineStr">
        <is>
          <t>1TRSH9153GN</t>
        </is>
      </c>
      <c r="D1491" t="inlineStr">
        <is>
          <t>Hats</t>
        </is>
      </c>
      <c r="E1491" t="inlineStr">
        <is>
          <t>Tirrinia</t>
        </is>
      </c>
      <c r="G1491" s="48" t="n">
        <v>0</v>
      </c>
      <c r="H1491" s="48" t="n">
        <v>0</v>
      </c>
      <c r="I1491" s="48" t="n">
        <v>0</v>
      </c>
      <c r="J1491" s="48" t="n">
        <v>0</v>
      </c>
      <c r="K1491" s="49" t="n">
        <v>0</v>
      </c>
      <c r="L1491" s="49" t="n">
        <v>0</v>
      </c>
      <c r="M1491" s="49" t="n">
        <v>0</v>
      </c>
      <c r="N1491" s="49" t="n">
        <v>0</v>
      </c>
      <c r="O1491" s="49" t="n">
        <v>0</v>
      </c>
      <c r="P1491" s="49" t="n">
        <v>0</v>
      </c>
      <c r="Q1491" s="49" t="n">
        <v>0</v>
      </c>
      <c r="R1491" s="49" t="n">
        <v>0</v>
      </c>
      <c r="S1491" s="50" t="n">
        <v>0</v>
      </c>
      <c r="T1491" s="50" t="n">
        <v>0</v>
      </c>
      <c r="U1491" s="50" t="n">
        <v>0</v>
      </c>
      <c r="V1491" s="50" t="n">
        <v>0</v>
      </c>
      <c r="W1491" s="51" t="n">
        <v>0</v>
      </c>
      <c r="X1491" s="51" t="n">
        <v>0</v>
      </c>
      <c r="Y1491" s="51" t="n">
        <v>0</v>
      </c>
      <c r="Z1491" s="51" t="n">
        <v>0</v>
      </c>
      <c r="AA1491" s="52" t="n">
        <v>0</v>
      </c>
      <c r="AB1491" s="52" t="n">
        <v>0</v>
      </c>
      <c r="AC1491" s="52" t="n">
        <v>0</v>
      </c>
      <c r="AD1491" s="52" t="n">
        <v>0</v>
      </c>
      <c r="AE1491" s="52" t="n">
        <v>0</v>
      </c>
      <c r="AF1491" s="52" t="n">
        <v>0</v>
      </c>
      <c r="AG1491" s="52" t="n">
        <v>0</v>
      </c>
      <c r="AH1491" s="52" t="n">
        <v>0</v>
      </c>
      <c r="AI1491" s="52" t="n">
        <v>0</v>
      </c>
      <c r="AJ1491" s="52" t="n">
        <v>0</v>
      </c>
      <c r="AK1491" s="52" t="n">
        <v>0</v>
      </c>
      <c r="AL1491" s="52" t="n">
        <v>0</v>
      </c>
      <c r="AM1491" s="53" t="n">
        <v>0</v>
      </c>
      <c r="AN1491" s="53" t="n">
        <v>0</v>
      </c>
      <c r="AO1491" s="53" t="n">
        <v>0</v>
      </c>
      <c r="AP1491" s="53" t="n">
        <v>0</v>
      </c>
      <c r="AQ1491" s="52" t="n">
        <v>0</v>
      </c>
      <c r="AR1491" s="52" t="n">
        <v>0</v>
      </c>
      <c r="AS1491" s="52" t="n">
        <v>0</v>
      </c>
      <c r="AT1491" s="52" t="n">
        <v>0</v>
      </c>
      <c r="AU1491" s="53" t="n">
        <v>0</v>
      </c>
      <c r="AV1491" s="53" t="n">
        <v>0</v>
      </c>
      <c r="AW1491" s="53" t="n">
        <v>0</v>
      </c>
      <c r="AX1491" s="53" t="n">
        <v>0</v>
      </c>
      <c r="AY1491" s="52" t="n">
        <v>0</v>
      </c>
      <c r="AZ1491" s="52" t="n">
        <v>0</v>
      </c>
      <c r="BA1491" s="52" t="n">
        <v>0</v>
      </c>
      <c r="BB1491" s="52" t="n">
        <v>0</v>
      </c>
      <c r="BC1491" s="51" t="n">
        <v>0</v>
      </c>
      <c r="BD1491" s="51" t="n">
        <v>0</v>
      </c>
      <c r="BE1491" s="51" t="n">
        <v>0</v>
      </c>
      <c r="BF1491" s="51" t="n">
        <v>0</v>
      </c>
    </row>
    <row r="1492">
      <c r="A1492">
        <f>HYPERLINK("https://www.walmart.com/ip/15402953619", "15402953619")</f>
        <v/>
      </c>
      <c r="B1492" t="inlineStr">
        <is>
          <t>Catalonia Kids Waterproof Swim Parka with Hood, Windproof Fleece Swim Jacket, Warm Winter Swim Coat for Boys Girls Youth, Perfect for Swim Lessons, Beach, Pool</t>
        </is>
      </c>
      <c r="C1492" t="inlineStr">
        <is>
          <t>1CTPKR200BL-0</t>
        </is>
      </c>
      <c r="D1492" t="inlineStr">
        <is>
          <t>Swim Parkas</t>
        </is>
      </c>
      <c r="E1492" t="inlineStr">
        <is>
          <t>Catalonia</t>
        </is>
      </c>
      <c r="G1492" s="48" t="n">
        <v>0</v>
      </c>
      <c r="H1492" s="48" t="n">
        <v>0</v>
      </c>
      <c r="I1492" s="48" t="n">
        <v>0</v>
      </c>
      <c r="J1492" s="48" t="n">
        <v>0</v>
      </c>
      <c r="K1492" s="49" t="n">
        <v>0</v>
      </c>
      <c r="L1492" s="49" t="n">
        <v>0</v>
      </c>
      <c r="M1492" s="49" t="n">
        <v>0</v>
      </c>
      <c r="N1492" s="49" t="n">
        <v>0</v>
      </c>
      <c r="O1492" s="49" t="n">
        <v>0</v>
      </c>
      <c r="P1492" s="49" t="n">
        <v>0</v>
      </c>
      <c r="Q1492" s="49" t="n">
        <v>0</v>
      </c>
      <c r="R1492" s="49" t="n">
        <v>0</v>
      </c>
      <c r="S1492" s="50" t="n">
        <v>0</v>
      </c>
      <c r="T1492" s="50" t="n">
        <v>0</v>
      </c>
      <c r="U1492" s="50" t="n">
        <v>0</v>
      </c>
      <c r="V1492" s="50" t="n">
        <v>0</v>
      </c>
      <c r="W1492" s="51" t="n">
        <v>0</v>
      </c>
      <c r="X1492" s="51" t="n">
        <v>0</v>
      </c>
      <c r="Y1492" s="51" t="n">
        <v>0</v>
      </c>
      <c r="Z1492" s="51" t="n">
        <v>0</v>
      </c>
      <c r="AA1492" s="52" t="n">
        <v>0</v>
      </c>
      <c r="AB1492" s="52" t="n">
        <v>0</v>
      </c>
      <c r="AC1492" s="52" t="n">
        <v>0</v>
      </c>
      <c r="AD1492" s="52" t="n">
        <v>0</v>
      </c>
      <c r="AE1492" s="52" t="n">
        <v>0</v>
      </c>
      <c r="AF1492" s="52" t="n">
        <v>0</v>
      </c>
      <c r="AG1492" s="52" t="n">
        <v>0</v>
      </c>
      <c r="AH1492" s="52" t="n">
        <v>0</v>
      </c>
      <c r="AI1492" s="52" t="n">
        <v>0</v>
      </c>
      <c r="AJ1492" s="52" t="n">
        <v>0</v>
      </c>
      <c r="AK1492" s="52" t="n">
        <v>0</v>
      </c>
      <c r="AL1492" s="52" t="n">
        <v>0</v>
      </c>
      <c r="AM1492" s="53" t="n">
        <v>0</v>
      </c>
      <c r="AN1492" s="53" t="n">
        <v>0</v>
      </c>
      <c r="AO1492" s="53" t="n">
        <v>0</v>
      </c>
      <c r="AP1492" s="53" t="n">
        <v>0</v>
      </c>
      <c r="AQ1492" s="52" t="n">
        <v>0</v>
      </c>
      <c r="AR1492" s="52" t="n">
        <v>0</v>
      </c>
      <c r="AS1492" s="52" t="n">
        <v>0</v>
      </c>
      <c r="AT1492" s="52" t="n">
        <v>0</v>
      </c>
      <c r="AU1492" s="53" t="n">
        <v>0</v>
      </c>
      <c r="AV1492" s="53" t="n">
        <v>0</v>
      </c>
      <c r="AW1492" s="53" t="n">
        <v>0</v>
      </c>
      <c r="AX1492" s="53" t="n">
        <v>0</v>
      </c>
      <c r="AY1492" s="52" t="n">
        <v>0</v>
      </c>
      <c r="AZ1492" s="52" t="n">
        <v>0</v>
      </c>
      <c r="BA1492" s="52" t="n">
        <v>0</v>
      </c>
      <c r="BB1492" s="52" t="n">
        <v>0</v>
      </c>
      <c r="BC1492" s="51" t="n">
        <v>0</v>
      </c>
      <c r="BD1492" s="51" t="n">
        <v>0</v>
      </c>
      <c r="BE1492" s="51" t="n">
        <v>0</v>
      </c>
      <c r="BF1492" s="51" t="n">
        <v>0</v>
      </c>
    </row>
    <row r="1493">
      <c r="A1493">
        <f>HYPERLINK("https://www.walmart.com/ip/15406902328", "15406902328")</f>
        <v/>
      </c>
      <c r="B1493" t="inlineStr">
        <is>
          <t>Tirrinia Large Pop-Up Cooler Bag- Insulated Collapsible Cooler with Flat Drink Table, Lightweight and Portable Ice Round Cooler for Travel, Fishing, Picnics, Hiking, Camping and Beach</t>
        </is>
      </c>
      <c r="C1493" t="inlineStr">
        <is>
          <t>1TRCB20139BL</t>
        </is>
      </c>
      <c r="D1493" t="inlineStr">
        <is>
          <t>Soft-Sided Coolers</t>
        </is>
      </c>
      <c r="E1493" t="inlineStr">
        <is>
          <t>Tirrinia</t>
        </is>
      </c>
      <c r="G1493" s="48" t="n">
        <v>0</v>
      </c>
      <c r="H1493" s="48" t="n">
        <v>0</v>
      </c>
      <c r="I1493" s="48" t="n">
        <v>0</v>
      </c>
      <c r="J1493" s="48" t="n">
        <v>0</v>
      </c>
      <c r="K1493" s="49" t="n">
        <v>0</v>
      </c>
      <c r="L1493" s="49" t="n">
        <v>0</v>
      </c>
      <c r="M1493" s="49" t="n">
        <v>0</v>
      </c>
      <c r="N1493" s="49" t="n">
        <v>0</v>
      </c>
      <c r="O1493" s="49" t="n">
        <v>0</v>
      </c>
      <c r="P1493" s="49" t="n">
        <v>0</v>
      </c>
      <c r="Q1493" s="49" t="n">
        <v>0</v>
      </c>
      <c r="R1493" s="49" t="n">
        <v>0</v>
      </c>
      <c r="S1493" s="50" t="n">
        <v>0</v>
      </c>
      <c r="T1493" s="50" t="n">
        <v>0</v>
      </c>
      <c r="U1493" s="50" t="n">
        <v>0</v>
      </c>
      <c r="V1493" s="50" t="n">
        <v>0</v>
      </c>
      <c r="W1493" s="51" t="n">
        <v>0</v>
      </c>
      <c r="X1493" s="51" t="n">
        <v>0</v>
      </c>
      <c r="Y1493" s="51" t="n">
        <v>0</v>
      </c>
      <c r="Z1493" s="51" t="n">
        <v>0</v>
      </c>
      <c r="AA1493" s="52" t="n">
        <v>0</v>
      </c>
      <c r="AB1493" s="52" t="n">
        <v>0</v>
      </c>
      <c r="AC1493" s="52" t="n">
        <v>0</v>
      </c>
      <c r="AD1493" s="52" t="n">
        <v>0</v>
      </c>
      <c r="AE1493" s="52" t="n">
        <v>0</v>
      </c>
      <c r="AF1493" s="52" t="n">
        <v>0</v>
      </c>
      <c r="AG1493" s="52" t="n">
        <v>0</v>
      </c>
      <c r="AH1493" s="52" t="n">
        <v>0</v>
      </c>
      <c r="AI1493" s="52" t="n">
        <v>0</v>
      </c>
      <c r="AJ1493" s="52" t="n">
        <v>0</v>
      </c>
      <c r="AK1493" s="52" t="n">
        <v>0</v>
      </c>
      <c r="AL1493" s="52" t="n">
        <v>0</v>
      </c>
      <c r="AM1493" s="53" t="n">
        <v>0</v>
      </c>
      <c r="AN1493" s="53" t="n">
        <v>0</v>
      </c>
      <c r="AO1493" s="53" t="n">
        <v>0</v>
      </c>
      <c r="AP1493" s="53" t="n">
        <v>0</v>
      </c>
      <c r="AQ1493" s="52" t="n">
        <v>0</v>
      </c>
      <c r="AR1493" s="52" t="n">
        <v>0</v>
      </c>
      <c r="AS1493" s="52" t="n">
        <v>0</v>
      </c>
      <c r="AT1493" s="52" t="n">
        <v>0</v>
      </c>
      <c r="AU1493" s="53" t="n">
        <v>0</v>
      </c>
      <c r="AV1493" s="53" t="n">
        <v>0</v>
      </c>
      <c r="AW1493" s="53" t="n">
        <v>0</v>
      </c>
      <c r="AX1493" s="53" t="n">
        <v>0</v>
      </c>
      <c r="AY1493" s="52" t="n">
        <v>0</v>
      </c>
      <c r="AZ1493" s="52" t="n">
        <v>0</v>
      </c>
      <c r="BA1493" s="52" t="n">
        <v>0</v>
      </c>
      <c r="BB1493" s="52" t="n">
        <v>0</v>
      </c>
      <c r="BC1493" s="51" t="n">
        <v>0</v>
      </c>
      <c r="BD1493" s="51" t="n">
        <v>0</v>
      </c>
      <c r="BE1493" s="51" t="n">
        <v>0</v>
      </c>
      <c r="BF1493" s="51" t="n">
        <v>0</v>
      </c>
    </row>
    <row r="1494">
      <c r="A1494">
        <f>HYPERLINK("https://www.walmart.com/ip/1552094819", "1552094819")</f>
        <v/>
      </c>
      <c r="B1494" t="inlineStr">
        <is>
          <t>Every Day is Christmas Glass Blown Ornaments Cute Hand Made Figurines Tree Decoration, Set of 2 Drill and Saw</t>
        </is>
      </c>
      <c r="C1494" t="inlineStr">
        <is>
          <t>EDC-FIGURINE-SAWDRILL</t>
        </is>
      </c>
      <c r="D1494" t="inlineStr">
        <is>
          <t>Ornaments</t>
        </is>
      </c>
      <c r="E1494" t="inlineStr">
        <is>
          <t>Every Day is Christmas</t>
        </is>
      </c>
      <c r="G1494" s="48" t="n">
        <v>0</v>
      </c>
      <c r="H1494" s="48" t="n">
        <v>0</v>
      </c>
      <c r="I1494" s="48" t="n">
        <v>0</v>
      </c>
      <c r="J1494" s="48" t="n">
        <v>0</v>
      </c>
      <c r="K1494" s="49" t="n">
        <v>0</v>
      </c>
      <c r="L1494" s="49" t="n">
        <v>0</v>
      </c>
      <c r="M1494" s="49" t="n">
        <v>0</v>
      </c>
      <c r="N1494" s="49" t="n">
        <v>0</v>
      </c>
      <c r="O1494" s="49" t="n">
        <v>0</v>
      </c>
      <c r="P1494" s="49" t="n">
        <v>0</v>
      </c>
      <c r="Q1494" s="49" t="n">
        <v>0</v>
      </c>
      <c r="R1494" s="49" t="n">
        <v>0</v>
      </c>
      <c r="S1494" s="50" t="n">
        <v>0</v>
      </c>
      <c r="T1494" s="50" t="n">
        <v>0</v>
      </c>
      <c r="U1494" s="50" t="n">
        <v>0</v>
      </c>
      <c r="V1494" s="50" t="n">
        <v>0</v>
      </c>
      <c r="W1494" s="51" t="n">
        <v>0</v>
      </c>
      <c r="X1494" s="51" t="n">
        <v>0</v>
      </c>
      <c r="Y1494" s="51" t="n">
        <v>0</v>
      </c>
      <c r="Z1494" s="51" t="n">
        <v>0</v>
      </c>
      <c r="AA1494" s="52" t="n">
        <v>0</v>
      </c>
      <c r="AB1494" s="52" t="n">
        <v>0</v>
      </c>
      <c r="AC1494" s="52" t="n">
        <v>0</v>
      </c>
      <c r="AD1494" s="52" t="n">
        <v>0</v>
      </c>
      <c r="AE1494" s="52" t="n">
        <v>0</v>
      </c>
      <c r="AF1494" s="52" t="n">
        <v>0</v>
      </c>
      <c r="AG1494" s="52" t="n">
        <v>0</v>
      </c>
      <c r="AH1494" s="52" t="n">
        <v>0</v>
      </c>
      <c r="AI1494" s="52" t="n">
        <v>0</v>
      </c>
      <c r="AJ1494" s="52" t="n">
        <v>0</v>
      </c>
      <c r="AK1494" s="52" t="n">
        <v>0</v>
      </c>
      <c r="AL1494" s="52" t="n">
        <v>0</v>
      </c>
      <c r="AM1494" s="53" t="n">
        <v>0</v>
      </c>
      <c r="AN1494" s="53" t="n">
        <v>0</v>
      </c>
      <c r="AO1494" s="53" t="n">
        <v>0</v>
      </c>
      <c r="AP1494" s="53" t="n">
        <v>0</v>
      </c>
      <c r="AQ1494" s="52" t="n">
        <v>0</v>
      </c>
      <c r="AR1494" s="52" t="n">
        <v>0</v>
      </c>
      <c r="AS1494" s="52" t="n">
        <v>0</v>
      </c>
      <c r="AT1494" s="52" t="n">
        <v>0</v>
      </c>
      <c r="AU1494" s="53" t="n">
        <v>0</v>
      </c>
      <c r="AV1494" s="53" t="n">
        <v>0</v>
      </c>
      <c r="AW1494" s="53" t="n">
        <v>0</v>
      </c>
      <c r="AX1494" s="53" t="n">
        <v>0</v>
      </c>
      <c r="AY1494" s="52" t="n">
        <v>0</v>
      </c>
      <c r="AZ1494" s="52" t="n">
        <v>0</v>
      </c>
      <c r="BA1494" s="52" t="n">
        <v>0</v>
      </c>
      <c r="BB1494" s="52" t="n">
        <v>0</v>
      </c>
      <c r="BC1494" s="51" t="n">
        <v>0</v>
      </c>
      <c r="BD1494" s="51" t="n">
        <v>0</v>
      </c>
      <c r="BE1494" s="51" t="n">
        <v>0</v>
      </c>
      <c r="BF1494" s="51" t="n">
        <v>0</v>
      </c>
    </row>
    <row r="1495">
      <c r="A1495">
        <f>HYPERLINK("https://www.walmart.com/ip/15534620848", "15534620848")</f>
        <v/>
      </c>
      <c r="B1495" t="inlineStr">
        <is>
          <t>Tirrinia Waterproof Outdoor Blanket with Sherpa Lining, Windproof Triple Layers Warm Comfy Foldable for Camping Stadium, Sports, Picnic, Grass, Concerts, Pet, 51''X 59''- Machine Washable</t>
        </is>
      </c>
      <c r="C1495" t="inlineStr">
        <is>
          <t>1TRBW506CAMOOR</t>
        </is>
      </c>
      <c r="D1495" t="inlineStr">
        <is>
          <t>Picnic Blankets &amp; Mats</t>
        </is>
      </c>
      <c r="E1495" t="inlineStr">
        <is>
          <t>Tirrinia</t>
        </is>
      </c>
      <c r="G1495" s="48" t="n">
        <v>0</v>
      </c>
      <c r="H1495" s="48" t="n">
        <v>0</v>
      </c>
      <c r="I1495" s="48" t="n">
        <v>0</v>
      </c>
      <c r="J1495" s="48" t="n">
        <v>0</v>
      </c>
      <c r="K1495" s="49" t="n">
        <v>0</v>
      </c>
      <c r="L1495" s="49" t="n">
        <v>0</v>
      </c>
      <c r="M1495" s="49" t="n">
        <v>0</v>
      </c>
      <c r="N1495" s="49" t="n">
        <v>0</v>
      </c>
      <c r="O1495" s="49" t="n">
        <v>0</v>
      </c>
      <c r="P1495" s="49" t="n">
        <v>0</v>
      </c>
      <c r="Q1495" s="49" t="n">
        <v>0</v>
      </c>
      <c r="R1495" s="49" t="n">
        <v>0</v>
      </c>
      <c r="S1495" s="50" t="n">
        <v>0</v>
      </c>
      <c r="T1495" s="50" t="n">
        <v>0</v>
      </c>
      <c r="U1495" s="50" t="n">
        <v>0</v>
      </c>
      <c r="V1495" s="50" t="n">
        <v>0</v>
      </c>
      <c r="W1495" s="51" t="n">
        <v>0</v>
      </c>
      <c r="X1495" s="51" t="n">
        <v>0</v>
      </c>
      <c r="Y1495" s="51" t="n">
        <v>0</v>
      </c>
      <c r="Z1495" s="51" t="n">
        <v>0</v>
      </c>
      <c r="AA1495" s="52" t="n">
        <v>0</v>
      </c>
      <c r="AB1495" s="52" t="n">
        <v>0</v>
      </c>
      <c r="AC1495" s="52" t="n">
        <v>0</v>
      </c>
      <c r="AD1495" s="52" t="n">
        <v>0</v>
      </c>
      <c r="AE1495" s="52" t="n">
        <v>0</v>
      </c>
      <c r="AF1495" s="52" t="n">
        <v>0</v>
      </c>
      <c r="AG1495" s="52" t="n">
        <v>0</v>
      </c>
      <c r="AH1495" s="52" t="n">
        <v>0</v>
      </c>
      <c r="AI1495" s="52" t="n">
        <v>0</v>
      </c>
      <c r="AJ1495" s="52" t="n">
        <v>0</v>
      </c>
      <c r="AK1495" s="52" t="n">
        <v>0</v>
      </c>
      <c r="AL1495" s="52" t="n">
        <v>0</v>
      </c>
      <c r="AM1495" s="53" t="n">
        <v>0</v>
      </c>
      <c r="AN1495" s="53" t="n">
        <v>0</v>
      </c>
      <c r="AO1495" s="53" t="n">
        <v>0</v>
      </c>
      <c r="AP1495" s="53" t="n">
        <v>0</v>
      </c>
      <c r="AQ1495" s="52" t="n">
        <v>0</v>
      </c>
      <c r="AR1495" s="52" t="n">
        <v>0</v>
      </c>
      <c r="AS1495" s="52" t="n">
        <v>0</v>
      </c>
      <c r="AT1495" s="52" t="n">
        <v>0</v>
      </c>
      <c r="AU1495" s="53" t="n">
        <v>0</v>
      </c>
      <c r="AV1495" s="53" t="n">
        <v>0</v>
      </c>
      <c r="AW1495" s="53" t="n">
        <v>0</v>
      </c>
      <c r="AX1495" s="53" t="n">
        <v>0</v>
      </c>
      <c r="AY1495" s="52" t="n">
        <v>0</v>
      </c>
      <c r="AZ1495" s="52" t="n">
        <v>0</v>
      </c>
      <c r="BA1495" s="52" t="n">
        <v>0</v>
      </c>
      <c r="BB1495" s="52" t="n">
        <v>0</v>
      </c>
      <c r="BC1495" s="51" t="n">
        <v>0</v>
      </c>
      <c r="BD1495" s="51" t="n">
        <v>0</v>
      </c>
      <c r="BE1495" s="51" t="n">
        <v>0</v>
      </c>
      <c r="BF1495" s="51" t="n">
        <v>0</v>
      </c>
    </row>
    <row r="1496">
      <c r="A1496">
        <f>HYPERLINK("https://www.walmart.com/ip/14535917854", "14535917854")</f>
        <v/>
      </c>
      <c r="B1496" t="inlineStr">
        <is>
          <t>Aeropostale  Backpack for School, College, and Travel， Water Resistant Bookbag Gray Aero</t>
        </is>
      </c>
      <c r="C1496" t="inlineStr">
        <is>
          <t>1AEBPK92029GYAERO</t>
        </is>
      </c>
      <c r="D1496" t="inlineStr">
        <is>
          <t>Backpacks</t>
        </is>
      </c>
      <c r="E1496" t="inlineStr">
        <is>
          <t>Aeropostale</t>
        </is>
      </c>
      <c r="G1496" s="48" t="n">
        <v>0</v>
      </c>
      <c r="H1496" s="48" t="n">
        <v>0</v>
      </c>
      <c r="I1496" s="48" t="n">
        <v>0</v>
      </c>
      <c r="J1496" s="48" t="n">
        <v>0</v>
      </c>
      <c r="K1496" s="49" t="n">
        <v>0</v>
      </c>
      <c r="L1496" s="49" t="n">
        <v>0</v>
      </c>
      <c r="M1496" s="49" t="n">
        <v>0</v>
      </c>
      <c r="N1496" s="49" t="n">
        <v>0</v>
      </c>
      <c r="O1496" s="49" t="n">
        <v>0</v>
      </c>
      <c r="P1496" s="49" t="n">
        <v>0</v>
      </c>
      <c r="Q1496" s="49" t="n">
        <v>0</v>
      </c>
      <c r="R1496" s="49" t="n">
        <v>0</v>
      </c>
      <c r="S1496" s="50" t="n">
        <v>0</v>
      </c>
      <c r="T1496" s="50" t="n">
        <v>0</v>
      </c>
      <c r="U1496" s="50" t="n">
        <v>0</v>
      </c>
      <c r="V1496" s="50" t="n">
        <v>0</v>
      </c>
      <c r="W1496" s="51" t="n">
        <v>0</v>
      </c>
      <c r="X1496" s="51" t="n">
        <v>0</v>
      </c>
      <c r="Y1496" s="51" t="n">
        <v>0</v>
      </c>
      <c r="Z1496" s="51" t="n">
        <v>0</v>
      </c>
      <c r="AA1496" s="52" t="n">
        <v>0</v>
      </c>
      <c r="AB1496" s="52" t="n">
        <v>0</v>
      </c>
      <c r="AC1496" s="52" t="n">
        <v>0</v>
      </c>
      <c r="AD1496" s="52" t="n">
        <v>0</v>
      </c>
      <c r="AE1496" s="52" t="n">
        <v>0</v>
      </c>
      <c r="AF1496" s="52" t="n">
        <v>0</v>
      </c>
      <c r="AG1496" s="52" t="n">
        <v>0</v>
      </c>
      <c r="AH1496" s="52" t="n">
        <v>0</v>
      </c>
      <c r="AI1496" s="52" t="n">
        <v>0</v>
      </c>
      <c r="AJ1496" s="52" t="n">
        <v>0</v>
      </c>
      <c r="AK1496" s="52" t="n">
        <v>0</v>
      </c>
      <c r="AL1496" s="52" t="n">
        <v>0</v>
      </c>
      <c r="AM1496" s="53" t="n">
        <v>0</v>
      </c>
      <c r="AN1496" s="53" t="n">
        <v>0</v>
      </c>
      <c r="AO1496" s="53" t="n">
        <v>0</v>
      </c>
      <c r="AP1496" s="53" t="n">
        <v>0</v>
      </c>
      <c r="AQ1496" s="52" t="n">
        <v>0</v>
      </c>
      <c r="AR1496" s="52" t="n">
        <v>0</v>
      </c>
      <c r="AS1496" s="52" t="n">
        <v>0</v>
      </c>
      <c r="AT1496" s="52" t="n">
        <v>0</v>
      </c>
      <c r="AU1496" s="53" t="n">
        <v>0</v>
      </c>
      <c r="AV1496" s="53" t="n">
        <v>0</v>
      </c>
      <c r="AW1496" s="53" t="n">
        <v>0</v>
      </c>
      <c r="AX1496" s="53" t="n">
        <v>0</v>
      </c>
      <c r="AY1496" s="52" t="n">
        <v>0</v>
      </c>
      <c r="AZ1496" s="52" t="n">
        <v>0</v>
      </c>
      <c r="BA1496" s="52" t="n">
        <v>0</v>
      </c>
      <c r="BB1496" s="52" t="n">
        <v>0</v>
      </c>
      <c r="BC1496" s="51" t="n">
        <v>0</v>
      </c>
      <c r="BD1496" s="51" t="n">
        <v>0</v>
      </c>
      <c r="BE1496" s="51" t="n">
        <v>0</v>
      </c>
      <c r="BF1496" s="51" t="n">
        <v>0</v>
      </c>
    </row>
    <row r="1497">
      <c r="A1497">
        <f>HYPERLINK("https://www.walmart.com/ip/158660462", "158660462")</f>
        <v/>
      </c>
      <c r="B1497" t="inlineStr">
        <is>
          <t>Solaris Men Winter Ski Snow Gloves with Breathable Face Mask The Warmest 3M Insulation Waterproof Outdoor Snowboard Mitt</t>
        </is>
      </c>
      <c r="C1497" t="inlineStr">
        <is>
          <t>1SLWG301GYBK-S</t>
        </is>
      </c>
      <c r="D1497" t="inlineStr">
        <is>
          <t>Gloves &amp; Mittens</t>
        </is>
      </c>
      <c r="E1497" t="inlineStr">
        <is>
          <t>Solaris</t>
        </is>
      </c>
      <c r="F1497" t="inlineStr">
        <is>
          <t>Gloves,WFS,WFS Item</t>
        </is>
      </c>
      <c r="G1497" s="48" t="n">
        <v>0</v>
      </c>
      <c r="H1497" s="48" t="n">
        <v>0</v>
      </c>
      <c r="I1497" s="48" t="n">
        <v>0</v>
      </c>
      <c r="J1497" s="48" t="n">
        <v>0</v>
      </c>
      <c r="K1497" s="49" t="n">
        <v>0</v>
      </c>
      <c r="L1497" s="49" t="n">
        <v>0</v>
      </c>
      <c r="M1497" s="49" t="n">
        <v>0</v>
      </c>
      <c r="N1497" s="49" t="n">
        <v>0</v>
      </c>
      <c r="O1497" s="49" t="n">
        <v>0</v>
      </c>
      <c r="P1497" s="49" t="n">
        <v>0</v>
      </c>
      <c r="Q1497" s="49" t="n">
        <v>0</v>
      </c>
      <c r="R1497" s="49" t="n">
        <v>0</v>
      </c>
      <c r="S1497" s="50" t="n">
        <v>0</v>
      </c>
      <c r="T1497" s="50" t="n">
        <v>0</v>
      </c>
      <c r="U1497" s="50" t="n">
        <v>0</v>
      </c>
      <c r="V1497" s="50" t="n">
        <v>0</v>
      </c>
      <c r="W1497" s="51" t="n">
        <v>0</v>
      </c>
      <c r="X1497" s="51" t="n">
        <v>0</v>
      </c>
      <c r="Y1497" s="51" t="n">
        <v>0</v>
      </c>
      <c r="Z1497" s="51" t="n">
        <v>0</v>
      </c>
      <c r="AA1497" s="52" t="n">
        <v>0</v>
      </c>
      <c r="AB1497" s="52" t="n">
        <v>0</v>
      </c>
      <c r="AC1497" s="52" t="n">
        <v>0</v>
      </c>
      <c r="AD1497" s="52" t="n">
        <v>0</v>
      </c>
      <c r="AE1497" s="52" t="n">
        <v>0</v>
      </c>
      <c r="AF1497" s="52" t="n">
        <v>0</v>
      </c>
      <c r="AG1497" s="52" t="n">
        <v>0</v>
      </c>
      <c r="AH1497" s="52" t="n">
        <v>0</v>
      </c>
      <c r="AI1497" s="52" t="n">
        <v>0</v>
      </c>
      <c r="AJ1497" s="52" t="n">
        <v>0</v>
      </c>
      <c r="AK1497" s="52" t="n">
        <v>0</v>
      </c>
      <c r="AL1497" s="52" t="n">
        <v>0</v>
      </c>
      <c r="AM1497" s="53" t="n">
        <v>0</v>
      </c>
      <c r="AN1497" s="53" t="n">
        <v>0</v>
      </c>
      <c r="AO1497" s="53" t="n">
        <v>0</v>
      </c>
      <c r="AP1497" s="53" t="n">
        <v>0</v>
      </c>
      <c r="AQ1497" s="52" t="n">
        <v>0</v>
      </c>
      <c r="AR1497" s="52" t="n">
        <v>0</v>
      </c>
      <c r="AS1497" s="52" t="n">
        <v>0</v>
      </c>
      <c r="AT1497" s="52" t="n">
        <v>0</v>
      </c>
      <c r="AU1497" s="53" t="n">
        <v>0</v>
      </c>
      <c r="AV1497" s="53" t="n">
        <v>0</v>
      </c>
      <c r="AW1497" s="53" t="n">
        <v>0</v>
      </c>
      <c r="AX1497" s="53" t="n">
        <v>0</v>
      </c>
      <c r="AY1497" s="52" t="n">
        <v>0</v>
      </c>
      <c r="AZ1497" s="52" t="n">
        <v>0</v>
      </c>
      <c r="BA1497" s="52" t="n">
        <v>0</v>
      </c>
      <c r="BB1497" s="52" t="n">
        <v>0</v>
      </c>
      <c r="BC1497" s="51" t="n">
        <v>0</v>
      </c>
      <c r="BD1497" s="51" t="n">
        <v>0</v>
      </c>
      <c r="BE1497" s="51" t="n">
        <v>0</v>
      </c>
      <c r="BF1497" s="51" t="n">
        <v>0</v>
      </c>
    </row>
    <row r="1498">
      <c r="A1498">
        <f>HYPERLINK("https://www.walmart.com/ip/158840453", "158840453")</f>
        <v/>
      </c>
      <c r="B1498" t="inlineStr">
        <is>
          <t>Vina® Wine Accessory Set,Stainless Steel Wine Bottle Opener Hippocampal Knife Corkscrew + Vacuum Wine Stopper</t>
        </is>
      </c>
      <c r="C1498" t="inlineStr">
        <is>
          <t>VinaWO004SL</t>
        </is>
      </c>
      <c r="D1498" t="inlineStr">
        <is>
          <t>Corkscrews &amp; Wine Bottle Openers</t>
        </is>
      </c>
      <c r="E1498" t="inlineStr">
        <is>
          <t>Vina</t>
        </is>
      </c>
      <c r="F1498" t="inlineStr">
        <is>
          <t>Wine,Christmas,Optimized</t>
        </is>
      </c>
      <c r="G1498" s="48" t="n">
        <v>0</v>
      </c>
      <c r="H1498" s="48" t="n">
        <v>0</v>
      </c>
      <c r="I1498" s="48" t="n">
        <v>0</v>
      </c>
      <c r="J1498" s="48" t="n">
        <v>0</v>
      </c>
      <c r="K1498" s="49" t="n">
        <v>0</v>
      </c>
      <c r="L1498" s="49" t="n">
        <v>0</v>
      </c>
      <c r="M1498" s="49" t="n">
        <v>0</v>
      </c>
      <c r="N1498" s="49" t="n">
        <v>0</v>
      </c>
      <c r="O1498" s="49" t="n">
        <v>0</v>
      </c>
      <c r="P1498" s="49" t="n">
        <v>0</v>
      </c>
      <c r="Q1498" s="49" t="n">
        <v>0</v>
      </c>
      <c r="R1498" s="49" t="n">
        <v>0</v>
      </c>
      <c r="S1498" s="50" t="n">
        <v>0</v>
      </c>
      <c r="T1498" s="50" t="n">
        <v>0</v>
      </c>
      <c r="U1498" s="50" t="n">
        <v>0</v>
      </c>
      <c r="V1498" s="50" t="n">
        <v>0</v>
      </c>
      <c r="W1498" s="51" t="n">
        <v>0</v>
      </c>
      <c r="X1498" s="51" t="n">
        <v>0</v>
      </c>
      <c r="Y1498" s="51" t="n">
        <v>0</v>
      </c>
      <c r="Z1498" s="51" t="n">
        <v>0</v>
      </c>
      <c r="AA1498" s="52" t="n">
        <v>0</v>
      </c>
      <c r="AB1498" s="52" t="n">
        <v>0</v>
      </c>
      <c r="AC1498" s="52" t="n">
        <v>0</v>
      </c>
      <c r="AD1498" s="52" t="n">
        <v>0</v>
      </c>
      <c r="AE1498" s="52" t="n">
        <v>0</v>
      </c>
      <c r="AF1498" s="52" t="n">
        <v>0</v>
      </c>
      <c r="AG1498" s="52" t="n">
        <v>0</v>
      </c>
      <c r="AH1498" s="52" t="n">
        <v>0</v>
      </c>
      <c r="AI1498" s="52" t="n">
        <v>0</v>
      </c>
      <c r="AJ1498" s="52" t="n">
        <v>0</v>
      </c>
      <c r="AK1498" s="52" t="n">
        <v>0</v>
      </c>
      <c r="AL1498" s="52" t="n">
        <v>0</v>
      </c>
      <c r="AM1498" s="53" t="n">
        <v>0</v>
      </c>
      <c r="AN1498" s="53" t="n">
        <v>0</v>
      </c>
      <c r="AO1498" s="53" t="n">
        <v>0</v>
      </c>
      <c r="AP1498" s="53" t="n">
        <v>0</v>
      </c>
      <c r="AQ1498" s="52" t="n">
        <v>0</v>
      </c>
      <c r="AR1498" s="52" t="n">
        <v>0</v>
      </c>
      <c r="AS1498" s="52" t="n">
        <v>0</v>
      </c>
      <c r="AT1498" s="52" t="n">
        <v>0</v>
      </c>
      <c r="AU1498" s="53" t="n">
        <v>0</v>
      </c>
      <c r="AV1498" s="53" t="n">
        <v>0</v>
      </c>
      <c r="AW1498" s="53" t="n">
        <v>0</v>
      </c>
      <c r="AX1498" s="53" t="n">
        <v>0</v>
      </c>
      <c r="AY1498" s="52" t="n">
        <v>0</v>
      </c>
      <c r="AZ1498" s="52" t="n">
        <v>0</v>
      </c>
      <c r="BA1498" s="52" t="n">
        <v>0</v>
      </c>
      <c r="BB1498" s="52" t="n">
        <v>0</v>
      </c>
      <c r="BC1498" s="51" t="n">
        <v>0</v>
      </c>
      <c r="BD1498" s="51" t="n">
        <v>0</v>
      </c>
      <c r="BE1498" s="51" t="n">
        <v>0</v>
      </c>
      <c r="BF1498" s="51" t="n">
        <v>0</v>
      </c>
    </row>
    <row r="1499">
      <c r="A1499">
        <f>HYPERLINK("https://www.walmart.com/ip/158876400", "158876400")</f>
        <v/>
      </c>
      <c r="B1499" t="inlineStr">
        <is>
          <t>JenniWears LED Light Up Sheer Lace Venetian Mask Floral Mardi Gras Masquerade Costume Ice Blue</t>
        </is>
      </c>
      <c r="C1499" t="inlineStr">
        <is>
          <t>JWLEDMK02-LBL</t>
        </is>
      </c>
      <c r="D1499" t="inlineStr">
        <is>
          <t>Costume Masks</t>
        </is>
      </c>
      <c r="E1499" t="inlineStr">
        <is>
          <t>JenniWears</t>
        </is>
      </c>
      <c r="F1499" t="inlineStr">
        <is>
          <t>Halloween</t>
        </is>
      </c>
      <c r="G1499" s="48" t="n">
        <v>0</v>
      </c>
      <c r="H1499" s="48" t="n">
        <v>0</v>
      </c>
      <c r="I1499" s="48" t="n">
        <v>0</v>
      </c>
      <c r="J1499" s="48" t="n">
        <v>0</v>
      </c>
      <c r="K1499" s="49" t="n">
        <v>0</v>
      </c>
      <c r="L1499" s="49" t="n">
        <v>0</v>
      </c>
      <c r="M1499" s="49" t="n">
        <v>0</v>
      </c>
      <c r="N1499" s="49" t="n">
        <v>0</v>
      </c>
      <c r="O1499" s="49" t="n">
        <v>0</v>
      </c>
      <c r="P1499" s="49" t="n">
        <v>0</v>
      </c>
      <c r="Q1499" s="49" t="n">
        <v>0</v>
      </c>
      <c r="R1499" s="49" t="n">
        <v>0</v>
      </c>
      <c r="S1499" s="50" t="n">
        <v>0</v>
      </c>
      <c r="T1499" s="50" t="n">
        <v>0</v>
      </c>
      <c r="U1499" s="50" t="n">
        <v>0</v>
      </c>
      <c r="V1499" s="50" t="n">
        <v>0</v>
      </c>
      <c r="W1499" s="51" t="n">
        <v>0</v>
      </c>
      <c r="X1499" s="51" t="n">
        <v>0</v>
      </c>
      <c r="Y1499" s="51" t="n">
        <v>0</v>
      </c>
      <c r="Z1499" s="51" t="n">
        <v>0</v>
      </c>
      <c r="AA1499" s="52" t="n">
        <v>0</v>
      </c>
      <c r="AB1499" s="52" t="n">
        <v>0</v>
      </c>
      <c r="AC1499" s="52" t="n">
        <v>0</v>
      </c>
      <c r="AD1499" s="52" t="n">
        <v>0</v>
      </c>
      <c r="AE1499" s="52" t="n">
        <v>0</v>
      </c>
      <c r="AF1499" s="52" t="n">
        <v>0</v>
      </c>
      <c r="AG1499" s="52" t="n">
        <v>0</v>
      </c>
      <c r="AH1499" s="52" t="n">
        <v>0</v>
      </c>
      <c r="AI1499" s="52" t="n">
        <v>0</v>
      </c>
      <c r="AJ1499" s="52" t="n">
        <v>0</v>
      </c>
      <c r="AK1499" s="52" t="n">
        <v>0</v>
      </c>
      <c r="AL1499" s="52" t="n">
        <v>0</v>
      </c>
      <c r="AM1499" s="53" t="n">
        <v>0</v>
      </c>
      <c r="AN1499" s="53" t="n">
        <v>0</v>
      </c>
      <c r="AO1499" s="53" t="n">
        <v>0</v>
      </c>
      <c r="AP1499" s="53" t="n">
        <v>0</v>
      </c>
      <c r="AQ1499" s="52" t="n">
        <v>0</v>
      </c>
      <c r="AR1499" s="52" t="n">
        <v>0</v>
      </c>
      <c r="AS1499" s="52" t="n">
        <v>0</v>
      </c>
      <c r="AT1499" s="52" t="n">
        <v>0</v>
      </c>
      <c r="AU1499" s="53" t="n">
        <v>0</v>
      </c>
      <c r="AV1499" s="53" t="n">
        <v>0</v>
      </c>
      <c r="AW1499" s="53" t="n">
        <v>0</v>
      </c>
      <c r="AX1499" s="53" t="n">
        <v>0</v>
      </c>
      <c r="AY1499" s="52" t="n">
        <v>0</v>
      </c>
      <c r="AZ1499" s="52" t="n">
        <v>0</v>
      </c>
      <c r="BA1499" s="52" t="n">
        <v>0</v>
      </c>
      <c r="BB1499" s="52" t="n">
        <v>0</v>
      </c>
      <c r="BC1499" s="51" t="n">
        <v>0</v>
      </c>
      <c r="BD1499" s="51" t="n">
        <v>0</v>
      </c>
      <c r="BE1499" s="51" t="n">
        <v>0</v>
      </c>
      <c r="BF1499" s="51" t="n">
        <v>0</v>
      </c>
    </row>
    <row r="1500">
      <c r="A1500">
        <f>HYPERLINK("https://www.walmart.com/ip/158898316", "158898316")</f>
        <v/>
      </c>
      <c r="B1500" t="inlineStr">
        <is>
          <t>KC Caps Pom Pom Toque Beanie</t>
        </is>
      </c>
      <c r="C1500" t="inlineStr">
        <is>
          <t>KCW1711NV</t>
        </is>
      </c>
      <c r="D1500" t="inlineStr">
        <is>
          <t>Hats</t>
        </is>
      </c>
      <c r="E1500" t="inlineStr">
        <is>
          <t>KC Caps</t>
        </is>
      </c>
      <c r="F1500" t="inlineStr">
        <is>
          <t>Optimized</t>
        </is>
      </c>
      <c r="G1500" s="48" t="n">
        <v>0</v>
      </c>
      <c r="H1500" s="48" t="n">
        <v>0</v>
      </c>
      <c r="I1500" s="48" t="n">
        <v>0</v>
      </c>
      <c r="J1500" s="48" t="n">
        <v>0</v>
      </c>
      <c r="K1500" s="49" t="n">
        <v>0</v>
      </c>
      <c r="L1500" s="49" t="n">
        <v>0</v>
      </c>
      <c r="M1500" s="49" t="n">
        <v>0</v>
      </c>
      <c r="N1500" s="49" t="n">
        <v>0</v>
      </c>
      <c r="O1500" s="49" t="n">
        <v>0</v>
      </c>
      <c r="P1500" s="49" t="n">
        <v>0</v>
      </c>
      <c r="Q1500" s="49" t="n">
        <v>0</v>
      </c>
      <c r="R1500" s="49" t="n">
        <v>0</v>
      </c>
      <c r="S1500" s="50" t="n">
        <v>0</v>
      </c>
      <c r="T1500" s="50" t="n">
        <v>0</v>
      </c>
      <c r="U1500" s="50" t="n">
        <v>0</v>
      </c>
      <c r="V1500" s="50" t="n">
        <v>0</v>
      </c>
      <c r="W1500" s="51" t="n">
        <v>0</v>
      </c>
      <c r="X1500" s="51" t="n">
        <v>0</v>
      </c>
      <c r="Y1500" s="51" t="n">
        <v>0</v>
      </c>
      <c r="Z1500" s="51" t="n">
        <v>0</v>
      </c>
      <c r="AA1500" s="52" t="n">
        <v>0</v>
      </c>
      <c r="AB1500" s="52" t="n">
        <v>0</v>
      </c>
      <c r="AC1500" s="52" t="n">
        <v>0</v>
      </c>
      <c r="AD1500" s="52" t="n">
        <v>0</v>
      </c>
      <c r="AE1500" s="52" t="n">
        <v>0</v>
      </c>
      <c r="AF1500" s="52" t="n">
        <v>0</v>
      </c>
      <c r="AG1500" s="52" t="n">
        <v>0</v>
      </c>
      <c r="AH1500" s="52" t="n">
        <v>0</v>
      </c>
      <c r="AI1500" s="52" t="n">
        <v>0</v>
      </c>
      <c r="AJ1500" s="52" t="n">
        <v>0</v>
      </c>
      <c r="AK1500" s="52" t="n">
        <v>0</v>
      </c>
      <c r="AL1500" s="52" t="n">
        <v>0</v>
      </c>
      <c r="AM1500" s="53" t="n">
        <v>0</v>
      </c>
      <c r="AN1500" s="53" t="n">
        <v>0</v>
      </c>
      <c r="AO1500" s="53" t="n">
        <v>0</v>
      </c>
      <c r="AP1500" s="53" t="n">
        <v>0</v>
      </c>
      <c r="AQ1500" s="52" t="n">
        <v>0</v>
      </c>
      <c r="AR1500" s="52" t="n">
        <v>0</v>
      </c>
      <c r="AS1500" s="52" t="n">
        <v>0</v>
      </c>
      <c r="AT1500" s="52" t="n">
        <v>0</v>
      </c>
      <c r="AU1500" s="53" t="n">
        <v>0</v>
      </c>
      <c r="AV1500" s="53" t="n">
        <v>0</v>
      </c>
      <c r="AW1500" s="53" t="n">
        <v>0</v>
      </c>
      <c r="AX1500" s="53" t="n">
        <v>0</v>
      </c>
      <c r="AY1500" s="52" t="n">
        <v>0</v>
      </c>
      <c r="AZ1500" s="52" t="n">
        <v>0</v>
      </c>
      <c r="BA1500" s="52" t="n">
        <v>0</v>
      </c>
      <c r="BB1500" s="52" t="n">
        <v>0</v>
      </c>
      <c r="BC1500" s="51" t="n">
        <v>0</v>
      </c>
      <c r="BD1500" s="51" t="n">
        <v>0</v>
      </c>
      <c r="BE1500" s="51" t="n">
        <v>0</v>
      </c>
      <c r="BF1500" s="51" t="n">
        <v>0</v>
      </c>
    </row>
    <row r="1501">
      <c r="A1501">
        <f>HYPERLINK("https://www.walmart.com/ip/158908102", "158908102")</f>
        <v/>
      </c>
      <c r="B1501" t="inlineStr">
        <is>
          <t>Flyingstar 2 Bottle Insulated Wine Tote Carrier, Wine Cooler Bag for Travel, Beige</t>
        </is>
      </c>
      <c r="C1501" t="inlineStr">
        <is>
          <t>1WMWB220BG</t>
        </is>
      </c>
      <c r="D1501" t="inlineStr">
        <is>
          <t>Wine Totes, Bags &amp; Backpacks</t>
        </is>
      </c>
      <c r="E1501" t="inlineStr">
        <is>
          <t>Flyingstar</t>
        </is>
      </c>
      <c r="F1501" t="inlineStr">
        <is>
          <t>Wine,Christmas,Optimized,Valentine,SEM</t>
        </is>
      </c>
      <c r="G1501" s="48" t="n">
        <v>0</v>
      </c>
      <c r="H1501" s="48" t="n">
        <v>0</v>
      </c>
      <c r="I1501" s="48" t="n">
        <v>0</v>
      </c>
      <c r="J1501" s="48" t="n">
        <v>0</v>
      </c>
      <c r="K1501" s="49" t="n">
        <v>0</v>
      </c>
      <c r="L1501" s="49" t="n">
        <v>0</v>
      </c>
      <c r="M1501" s="49" t="n">
        <v>0</v>
      </c>
      <c r="N1501" s="49" t="n">
        <v>0</v>
      </c>
      <c r="O1501" s="49" t="n">
        <v>0</v>
      </c>
      <c r="P1501" s="49" t="n">
        <v>0</v>
      </c>
      <c r="Q1501" s="49" t="n">
        <v>0</v>
      </c>
      <c r="R1501" s="49" t="n">
        <v>0</v>
      </c>
      <c r="S1501" s="50" t="n">
        <v>0</v>
      </c>
      <c r="T1501" s="50" t="n">
        <v>0</v>
      </c>
      <c r="U1501" s="50" t="n">
        <v>0</v>
      </c>
      <c r="V1501" s="50" t="n">
        <v>0</v>
      </c>
      <c r="W1501" s="51" t="n">
        <v>0</v>
      </c>
      <c r="X1501" s="51" t="n">
        <v>0</v>
      </c>
      <c r="Y1501" s="51" t="n">
        <v>0</v>
      </c>
      <c r="Z1501" s="51" t="n">
        <v>0</v>
      </c>
      <c r="AA1501" s="52" t="n">
        <v>0</v>
      </c>
      <c r="AB1501" s="52" t="n">
        <v>0</v>
      </c>
      <c r="AC1501" s="52" t="n">
        <v>0</v>
      </c>
      <c r="AD1501" s="52" t="n">
        <v>0</v>
      </c>
      <c r="AE1501" s="52" t="n">
        <v>0</v>
      </c>
      <c r="AF1501" s="52" t="n">
        <v>0</v>
      </c>
      <c r="AG1501" s="52" t="n">
        <v>0</v>
      </c>
      <c r="AH1501" s="52" t="n">
        <v>0</v>
      </c>
      <c r="AI1501" s="52" t="n">
        <v>0</v>
      </c>
      <c r="AJ1501" s="52" t="n">
        <v>0</v>
      </c>
      <c r="AK1501" s="52" t="n">
        <v>0</v>
      </c>
      <c r="AL1501" s="52" t="n">
        <v>0</v>
      </c>
      <c r="AM1501" s="53" t="n">
        <v>0</v>
      </c>
      <c r="AN1501" s="53" t="n">
        <v>0</v>
      </c>
      <c r="AO1501" s="53" t="n">
        <v>0</v>
      </c>
      <c r="AP1501" s="53" t="n">
        <v>0</v>
      </c>
      <c r="AQ1501" s="52" t="n">
        <v>0</v>
      </c>
      <c r="AR1501" s="52" t="n">
        <v>0</v>
      </c>
      <c r="AS1501" s="52" t="n">
        <v>0</v>
      </c>
      <c r="AT1501" s="52" t="n">
        <v>0</v>
      </c>
      <c r="AU1501" s="53" t="n">
        <v>0</v>
      </c>
      <c r="AV1501" s="53" t="n">
        <v>0</v>
      </c>
      <c r="AW1501" s="53" t="n">
        <v>0</v>
      </c>
      <c r="AX1501" s="53" t="n">
        <v>0</v>
      </c>
      <c r="AY1501" s="52" t="n">
        <v>0</v>
      </c>
      <c r="AZ1501" s="52" t="n">
        <v>0</v>
      </c>
      <c r="BA1501" s="52" t="n">
        <v>0</v>
      </c>
      <c r="BB1501" s="52" t="n">
        <v>0</v>
      </c>
      <c r="BC1501" s="51" t="n">
        <v>0</v>
      </c>
      <c r="BD1501" s="51" t="n">
        <v>0</v>
      </c>
      <c r="BE1501" s="51" t="n">
        <v>0</v>
      </c>
      <c r="BF1501" s="51" t="n">
        <v>0</v>
      </c>
    </row>
    <row r="1502">
      <c r="A1502">
        <f>HYPERLINK("https://www.walmart.com/ip/158936654", "158936654")</f>
        <v/>
      </c>
      <c r="B1502" t="inlineStr">
        <is>
          <t>Vina 2-bottle Red Wine Carrier Bag Champagne Carrying Tote Picnic Cooler Insulated Travel Wine Case Brown +Free Corkscrew</t>
        </is>
      </c>
      <c r="C1502" t="inlineStr">
        <is>
          <t>VINAWB001BK</t>
        </is>
      </c>
      <c r="E1502" t="inlineStr">
        <is>
          <t>Vina</t>
        </is>
      </c>
      <c r="G1502" s="48" t="n">
        <v>0</v>
      </c>
      <c r="H1502" s="48" t="n">
        <v>0</v>
      </c>
      <c r="I1502" s="48" t="n">
        <v>0</v>
      </c>
      <c r="J1502" s="48" t="n">
        <v>0</v>
      </c>
      <c r="K1502" s="49" t="n">
        <v>0</v>
      </c>
      <c r="L1502" s="49" t="n">
        <v>0</v>
      </c>
      <c r="M1502" s="49" t="n">
        <v>0</v>
      </c>
      <c r="N1502" s="49" t="n">
        <v>0</v>
      </c>
      <c r="O1502" s="49" t="n">
        <v>0</v>
      </c>
      <c r="P1502" s="49" t="n">
        <v>0</v>
      </c>
      <c r="Q1502" s="49" t="n">
        <v>0</v>
      </c>
      <c r="R1502" s="49" t="n">
        <v>0</v>
      </c>
      <c r="S1502" s="50" t="n">
        <v>0</v>
      </c>
      <c r="T1502" s="50" t="n">
        <v>0</v>
      </c>
      <c r="U1502" s="50" t="n">
        <v>0</v>
      </c>
      <c r="V1502" s="50" t="n">
        <v>0</v>
      </c>
      <c r="W1502" s="51" t="n">
        <v>0</v>
      </c>
      <c r="X1502" s="51" t="n">
        <v>0</v>
      </c>
      <c r="Y1502" s="51" t="n">
        <v>0</v>
      </c>
      <c r="Z1502" s="51" t="n">
        <v>0</v>
      </c>
      <c r="AA1502" s="52" t="n">
        <v>0</v>
      </c>
      <c r="AB1502" s="52" t="n">
        <v>0</v>
      </c>
      <c r="AC1502" s="52" t="n">
        <v>0</v>
      </c>
      <c r="AD1502" s="52" t="n">
        <v>0</v>
      </c>
      <c r="AE1502" s="52" t="n">
        <v>0</v>
      </c>
      <c r="AF1502" s="52" t="n">
        <v>0</v>
      </c>
      <c r="AG1502" s="52" t="n">
        <v>0</v>
      </c>
      <c r="AH1502" s="52" t="n">
        <v>0</v>
      </c>
      <c r="AI1502" s="52" t="n">
        <v>0</v>
      </c>
      <c r="AJ1502" s="52" t="n">
        <v>0</v>
      </c>
      <c r="AK1502" s="52" t="n">
        <v>0</v>
      </c>
      <c r="AL1502" s="52" t="n">
        <v>0</v>
      </c>
      <c r="AM1502" s="53" t="n">
        <v>0</v>
      </c>
      <c r="AN1502" s="53" t="n">
        <v>0</v>
      </c>
      <c r="AO1502" s="53" t="n">
        <v>0</v>
      </c>
      <c r="AP1502" s="53" t="n">
        <v>0</v>
      </c>
      <c r="AQ1502" s="52" t="n">
        <v>0</v>
      </c>
      <c r="AR1502" s="52" t="n">
        <v>0</v>
      </c>
      <c r="AS1502" s="52" t="n">
        <v>0</v>
      </c>
      <c r="AT1502" s="52" t="n">
        <v>0</v>
      </c>
      <c r="AU1502" s="53" t="n">
        <v>0</v>
      </c>
      <c r="AV1502" s="53" t="n">
        <v>0</v>
      </c>
      <c r="AW1502" s="53" t="n">
        <v>0</v>
      </c>
      <c r="AX1502" s="53" t="n">
        <v>0</v>
      </c>
      <c r="AY1502" s="52" t="n">
        <v>0</v>
      </c>
      <c r="AZ1502" s="52" t="n">
        <v>0</v>
      </c>
      <c r="BA1502" s="52" t="n">
        <v>0</v>
      </c>
      <c r="BB1502" s="52" t="n">
        <v>0</v>
      </c>
      <c r="BC1502" s="51" t="n">
        <v>0</v>
      </c>
      <c r="BD1502" s="51" t="n">
        <v>0</v>
      </c>
      <c r="BE1502" s="51" t="n">
        <v>0</v>
      </c>
      <c r="BF1502" s="51" t="n">
        <v>0</v>
      </c>
    </row>
    <row r="1503">
      <c r="A1503">
        <f>HYPERLINK("https://www.walmart.com/ip/159002752", "159002752")</f>
        <v/>
      </c>
      <c r="B1503" t="inlineStr">
        <is>
          <t>Terra Wide Brim Sun Hat with Neck Flap, Adjustable Strap Fishing Camping Cap for Unisex Adult, Khak</t>
        </is>
      </c>
      <c r="C1503" t="inlineStr">
        <is>
          <t>TR-S9152KK-JWCB</t>
        </is>
      </c>
      <c r="D1503" t="inlineStr">
        <is>
          <t>Hats</t>
        </is>
      </c>
      <c r="E1503" t="inlineStr">
        <is>
          <t>Terra</t>
        </is>
      </c>
      <c r="F1503" t="inlineStr">
        <is>
          <t>Optimized</t>
        </is>
      </c>
      <c r="G1503" s="48" t="n">
        <v>0</v>
      </c>
      <c r="H1503" s="48" t="n">
        <v>0</v>
      </c>
      <c r="I1503" s="48" t="n">
        <v>0</v>
      </c>
      <c r="J1503" s="48" t="n">
        <v>0</v>
      </c>
      <c r="K1503" s="49" t="n">
        <v>0</v>
      </c>
      <c r="L1503" s="49" t="n">
        <v>0</v>
      </c>
      <c r="M1503" s="49" t="n">
        <v>0</v>
      </c>
      <c r="N1503" s="49" t="n">
        <v>0</v>
      </c>
      <c r="O1503" s="49" t="n">
        <v>0</v>
      </c>
      <c r="P1503" s="49" t="n">
        <v>0</v>
      </c>
      <c r="Q1503" s="49" t="n">
        <v>0</v>
      </c>
      <c r="R1503" s="49" t="n">
        <v>0</v>
      </c>
      <c r="S1503" s="50" t="n">
        <v>0</v>
      </c>
      <c r="T1503" s="50" t="n">
        <v>0</v>
      </c>
      <c r="U1503" s="50" t="n">
        <v>0</v>
      </c>
      <c r="V1503" s="50" t="n">
        <v>0</v>
      </c>
      <c r="W1503" s="51" t="n">
        <v>0</v>
      </c>
      <c r="X1503" s="51" t="n">
        <v>0</v>
      </c>
      <c r="Y1503" s="51" t="n">
        <v>0</v>
      </c>
      <c r="Z1503" s="51" t="n">
        <v>0</v>
      </c>
      <c r="AA1503" s="52" t="n">
        <v>0</v>
      </c>
      <c r="AB1503" s="52" t="n">
        <v>0</v>
      </c>
      <c r="AC1503" s="52" t="n">
        <v>0</v>
      </c>
      <c r="AD1503" s="52" t="n">
        <v>0</v>
      </c>
      <c r="AE1503" s="52" t="n">
        <v>0</v>
      </c>
      <c r="AF1503" s="52" t="n">
        <v>0</v>
      </c>
      <c r="AG1503" s="52" t="n">
        <v>0</v>
      </c>
      <c r="AH1503" s="52" t="n">
        <v>0</v>
      </c>
      <c r="AI1503" s="52" t="n">
        <v>0</v>
      </c>
      <c r="AJ1503" s="52" t="n">
        <v>0</v>
      </c>
      <c r="AK1503" s="52" t="n">
        <v>0</v>
      </c>
      <c r="AL1503" s="52" t="n">
        <v>0</v>
      </c>
      <c r="AM1503" s="53" t="n">
        <v>0</v>
      </c>
      <c r="AN1503" s="53" t="n">
        <v>0</v>
      </c>
      <c r="AO1503" s="53" t="n">
        <v>0</v>
      </c>
      <c r="AP1503" s="53" t="n">
        <v>0</v>
      </c>
      <c r="AQ1503" s="52" t="n">
        <v>0</v>
      </c>
      <c r="AR1503" s="52" t="n">
        <v>0</v>
      </c>
      <c r="AS1503" s="52" t="n">
        <v>0</v>
      </c>
      <c r="AT1503" s="52" t="n">
        <v>0</v>
      </c>
      <c r="AU1503" s="53" t="n">
        <v>0</v>
      </c>
      <c r="AV1503" s="53" t="n">
        <v>0</v>
      </c>
      <c r="AW1503" s="53" t="n">
        <v>0</v>
      </c>
      <c r="AX1503" s="53" t="n">
        <v>0</v>
      </c>
      <c r="AY1503" s="52" t="n">
        <v>0</v>
      </c>
      <c r="AZ1503" s="52" t="n">
        <v>0</v>
      </c>
      <c r="BA1503" s="52" t="n">
        <v>0</v>
      </c>
      <c r="BB1503" s="52" t="n">
        <v>0</v>
      </c>
      <c r="BC1503" s="51" t="n">
        <v>0</v>
      </c>
      <c r="BD1503" s="51" t="n">
        <v>0</v>
      </c>
      <c r="BE1503" s="51" t="n">
        <v>0</v>
      </c>
      <c r="BF1503" s="51" t="n">
        <v>0</v>
      </c>
    </row>
    <row r="1504">
      <c r="A1504">
        <f>HYPERLINK("https://www.walmart.com/ip/159046288", "159046288")</f>
        <v/>
      </c>
      <c r="B1504" t="inlineStr">
        <is>
          <t>Sherpa Wearable Blanket with Sleeves Arms, Super Soft Warm Comfy Large Fleece Plush Sleeved TV Throws Wrap Robe Blanket for Adult Women and Men, Cow</t>
        </is>
      </c>
      <c r="C1504" t="inlineStr">
        <is>
          <t>1CTSN110DMT</t>
        </is>
      </c>
      <c r="D1504" t="inlineStr">
        <is>
          <t>Throws</t>
        </is>
      </c>
      <c r="E1504" t="inlineStr">
        <is>
          <t>Catalonia</t>
        </is>
      </c>
      <c r="F1504" t="inlineStr">
        <is>
          <t>Q2-Target,WFS,Coupon_Discount,WFS Item</t>
        </is>
      </c>
      <c r="G1504" s="48" t="n">
        <v>0</v>
      </c>
      <c r="H1504" s="48" t="n">
        <v>0</v>
      </c>
      <c r="I1504" s="48" t="n">
        <v>0</v>
      </c>
      <c r="J1504" s="48" t="n">
        <v>0</v>
      </c>
      <c r="K1504" s="49" t="n">
        <v>0</v>
      </c>
      <c r="L1504" s="49" t="n">
        <v>0</v>
      </c>
      <c r="M1504" s="49" t="n">
        <v>0</v>
      </c>
      <c r="N1504" s="49" t="n">
        <v>0</v>
      </c>
      <c r="O1504" s="49" t="n">
        <v>0</v>
      </c>
      <c r="P1504" s="49" t="n">
        <v>0</v>
      </c>
      <c r="Q1504" s="49" t="n">
        <v>0</v>
      </c>
      <c r="R1504" s="49" t="n">
        <v>0</v>
      </c>
      <c r="S1504" s="50" t="n">
        <v>0</v>
      </c>
      <c r="T1504" s="50" t="n">
        <v>0</v>
      </c>
      <c r="U1504" s="50" t="n">
        <v>0</v>
      </c>
      <c r="V1504" s="50" t="n">
        <v>0</v>
      </c>
      <c r="W1504" s="51" t="n">
        <v>0</v>
      </c>
      <c r="X1504" s="51" t="n">
        <v>0</v>
      </c>
      <c r="Y1504" s="51" t="n">
        <v>0</v>
      </c>
      <c r="Z1504" s="51" t="n">
        <v>0</v>
      </c>
      <c r="AA1504" s="52" t="n">
        <v>0</v>
      </c>
      <c r="AB1504" s="52" t="n">
        <v>0</v>
      </c>
      <c r="AC1504" s="52" t="n">
        <v>0</v>
      </c>
      <c r="AD1504" s="52" t="n">
        <v>0</v>
      </c>
      <c r="AE1504" s="52" t="n">
        <v>0</v>
      </c>
      <c r="AF1504" s="52" t="n">
        <v>0</v>
      </c>
      <c r="AG1504" s="52" t="n">
        <v>0</v>
      </c>
      <c r="AH1504" s="52" t="n">
        <v>0</v>
      </c>
      <c r="AI1504" s="52" t="n">
        <v>0</v>
      </c>
      <c r="AJ1504" s="52" t="n">
        <v>0</v>
      </c>
      <c r="AK1504" s="52" t="n">
        <v>0</v>
      </c>
      <c r="AL1504" s="52" t="n">
        <v>0</v>
      </c>
      <c r="AM1504" s="53" t="n">
        <v>0</v>
      </c>
      <c r="AN1504" s="53" t="n">
        <v>0</v>
      </c>
      <c r="AO1504" s="53" t="n">
        <v>0</v>
      </c>
      <c r="AP1504" s="53" t="n">
        <v>0</v>
      </c>
      <c r="AQ1504" s="52" t="n">
        <v>0</v>
      </c>
      <c r="AR1504" s="52" t="n">
        <v>0</v>
      </c>
      <c r="AS1504" s="52" t="n">
        <v>0</v>
      </c>
      <c r="AT1504" s="52" t="n">
        <v>0</v>
      </c>
      <c r="AU1504" s="53" t="n">
        <v>0</v>
      </c>
      <c r="AV1504" s="53" t="n">
        <v>0</v>
      </c>
      <c r="AW1504" s="53" t="n">
        <v>0</v>
      </c>
      <c r="AX1504" s="53" t="n">
        <v>0</v>
      </c>
      <c r="AY1504" s="52" t="n">
        <v>0</v>
      </c>
      <c r="AZ1504" s="52" t="n">
        <v>0</v>
      </c>
      <c r="BA1504" s="52" t="n">
        <v>0</v>
      </c>
      <c r="BB1504" s="52" t="n">
        <v>0</v>
      </c>
      <c r="BC1504" s="51" t="n">
        <v>0</v>
      </c>
      <c r="BD1504" s="51" t="n">
        <v>0</v>
      </c>
      <c r="BE1504" s="51" t="n">
        <v>0</v>
      </c>
      <c r="BF1504" s="51" t="n">
        <v>0</v>
      </c>
    </row>
    <row r="1505">
      <c r="A1505">
        <f>HYPERLINK("https://www.walmart.com/ip/159141420", "159141420")</f>
        <v/>
      </c>
      <c r="B1505" t="inlineStr">
        <is>
          <t>Tirrinia Single Wine Tote Bag, Insulated Padded Thermal Wine Bottle Carrying Cooler Carrier for Travel, Picnic, Perfect Gift for Wine Lover, Blue Stripe</t>
        </is>
      </c>
      <c r="C1505" t="inlineStr">
        <is>
          <t>1KTWB100STR</t>
        </is>
      </c>
      <c r="D1505" t="inlineStr">
        <is>
          <t>Wine Totes, Bags &amp; Backpacks</t>
        </is>
      </c>
      <c r="E1505" t="inlineStr">
        <is>
          <t>Tirrinia</t>
        </is>
      </c>
      <c r="F1505" t="inlineStr">
        <is>
          <t>Wine,Wine Bag Camp,Christmas,Optimized,Wine WFS,Valentine,SEM</t>
        </is>
      </c>
      <c r="G1505" s="48" t="n">
        <v>0</v>
      </c>
      <c r="H1505" s="48" t="n">
        <v>0</v>
      </c>
      <c r="I1505" s="48" t="n">
        <v>0</v>
      </c>
      <c r="J1505" s="48" t="n">
        <v>0</v>
      </c>
      <c r="K1505" s="49" t="n">
        <v>0</v>
      </c>
      <c r="L1505" s="49" t="n">
        <v>0</v>
      </c>
      <c r="M1505" s="49" t="n">
        <v>0</v>
      </c>
      <c r="N1505" s="49" t="n">
        <v>0</v>
      </c>
      <c r="O1505" s="49" t="n">
        <v>0</v>
      </c>
      <c r="P1505" s="49" t="n">
        <v>0</v>
      </c>
      <c r="Q1505" s="49" t="n">
        <v>0</v>
      </c>
      <c r="R1505" s="49" t="n">
        <v>0</v>
      </c>
      <c r="S1505" s="50" t="n">
        <v>0</v>
      </c>
      <c r="T1505" s="50" t="n">
        <v>0</v>
      </c>
      <c r="U1505" s="50" t="n">
        <v>0</v>
      </c>
      <c r="V1505" s="50" t="n">
        <v>0</v>
      </c>
      <c r="W1505" s="51" t="n">
        <v>0</v>
      </c>
      <c r="X1505" s="51" t="n">
        <v>0</v>
      </c>
      <c r="Y1505" s="51" t="n">
        <v>0</v>
      </c>
      <c r="Z1505" s="51" t="n">
        <v>0</v>
      </c>
      <c r="AA1505" s="52" t="n">
        <v>0</v>
      </c>
      <c r="AB1505" s="52" t="n">
        <v>0</v>
      </c>
      <c r="AC1505" s="52" t="n">
        <v>0</v>
      </c>
      <c r="AD1505" s="52" t="n">
        <v>0</v>
      </c>
      <c r="AE1505" s="52" t="n">
        <v>0</v>
      </c>
      <c r="AF1505" s="52" t="n">
        <v>0</v>
      </c>
      <c r="AG1505" s="52" t="n">
        <v>0</v>
      </c>
      <c r="AH1505" s="52" t="n">
        <v>0</v>
      </c>
      <c r="AI1505" s="52" t="n">
        <v>0</v>
      </c>
      <c r="AJ1505" s="52" t="n">
        <v>0</v>
      </c>
      <c r="AK1505" s="52" t="n">
        <v>0</v>
      </c>
      <c r="AL1505" s="52" t="n">
        <v>0</v>
      </c>
      <c r="AM1505" s="53" t="n">
        <v>0</v>
      </c>
      <c r="AN1505" s="53" t="n">
        <v>0</v>
      </c>
      <c r="AO1505" s="53" t="n">
        <v>0</v>
      </c>
      <c r="AP1505" s="53" t="n">
        <v>0</v>
      </c>
      <c r="AQ1505" s="52" t="n">
        <v>0</v>
      </c>
      <c r="AR1505" s="52" t="n">
        <v>0</v>
      </c>
      <c r="AS1505" s="52" t="n">
        <v>0</v>
      </c>
      <c r="AT1505" s="52" t="n">
        <v>0</v>
      </c>
      <c r="AU1505" s="53" t="n">
        <v>0</v>
      </c>
      <c r="AV1505" s="53" t="n">
        <v>0</v>
      </c>
      <c r="AW1505" s="53" t="n">
        <v>0</v>
      </c>
      <c r="AX1505" s="53" t="n">
        <v>0</v>
      </c>
      <c r="AY1505" s="52" t="n">
        <v>0</v>
      </c>
      <c r="AZ1505" s="52" t="n">
        <v>0</v>
      </c>
      <c r="BA1505" s="52" t="n">
        <v>0</v>
      </c>
      <c r="BB1505" s="52" t="n">
        <v>0</v>
      </c>
      <c r="BC1505" s="51" t="n">
        <v>0</v>
      </c>
      <c r="BD1505" s="51" t="n">
        <v>0</v>
      </c>
      <c r="BE1505" s="51" t="n">
        <v>0</v>
      </c>
      <c r="BF1505" s="51" t="n">
        <v>0</v>
      </c>
    </row>
    <row r="1506">
      <c r="A1506">
        <f>HYPERLINK("https://www.walmart.com/ip/159298222", "159298222")</f>
        <v/>
      </c>
      <c r="B1506" t="inlineStr">
        <is>
          <t>Tirrinia Insulated 2 Bottle Wine Carrier Tote Cooler Bag for Travel Picnic Padded Champagne Glass</t>
        </is>
      </c>
      <c r="C1506" t="inlineStr">
        <is>
          <t>1WMWB230GY</t>
        </is>
      </c>
      <c r="D1506" t="inlineStr">
        <is>
          <t>Wine Totes, Bags &amp; Backpacks</t>
        </is>
      </c>
      <c r="E1506" t="inlineStr">
        <is>
          <t>Flyingstar</t>
        </is>
      </c>
      <c r="F1506" t="inlineStr">
        <is>
          <t>Wine,Christmas,Valentine</t>
        </is>
      </c>
      <c r="G1506" s="48" t="n">
        <v>0</v>
      </c>
      <c r="H1506" s="48" t="n">
        <v>0</v>
      </c>
      <c r="I1506" s="48" t="n">
        <v>0</v>
      </c>
      <c r="J1506" s="48" t="n">
        <v>0</v>
      </c>
      <c r="K1506" s="49" t="n">
        <v>0</v>
      </c>
      <c r="L1506" s="49" t="n">
        <v>0</v>
      </c>
      <c r="M1506" s="49" t="n">
        <v>0</v>
      </c>
      <c r="N1506" s="49" t="n">
        <v>0</v>
      </c>
      <c r="O1506" s="49" t="n">
        <v>0</v>
      </c>
      <c r="P1506" s="49" t="n">
        <v>0</v>
      </c>
      <c r="Q1506" s="49" t="n">
        <v>0</v>
      </c>
      <c r="R1506" s="49" t="n">
        <v>0</v>
      </c>
      <c r="S1506" s="50" t="n">
        <v>0</v>
      </c>
      <c r="T1506" s="50" t="n">
        <v>0</v>
      </c>
      <c r="U1506" s="50" t="n">
        <v>0</v>
      </c>
      <c r="V1506" s="50" t="n">
        <v>0</v>
      </c>
      <c r="W1506" s="51" t="n">
        <v>0</v>
      </c>
      <c r="X1506" s="51" t="n">
        <v>0</v>
      </c>
      <c r="Y1506" s="51" t="n">
        <v>0</v>
      </c>
      <c r="Z1506" s="51" t="n">
        <v>0</v>
      </c>
      <c r="AA1506" s="52" t="n">
        <v>0</v>
      </c>
      <c r="AB1506" s="52" t="n">
        <v>0</v>
      </c>
      <c r="AC1506" s="52" t="n">
        <v>0</v>
      </c>
      <c r="AD1506" s="52" t="n">
        <v>0</v>
      </c>
      <c r="AE1506" s="52" t="n">
        <v>0</v>
      </c>
      <c r="AF1506" s="52" t="n">
        <v>0</v>
      </c>
      <c r="AG1506" s="52" t="n">
        <v>0</v>
      </c>
      <c r="AH1506" s="52" t="n">
        <v>0</v>
      </c>
      <c r="AI1506" s="52" t="n">
        <v>0</v>
      </c>
      <c r="AJ1506" s="52" t="n">
        <v>0</v>
      </c>
      <c r="AK1506" s="52" t="n">
        <v>0</v>
      </c>
      <c r="AL1506" s="52" t="n">
        <v>0</v>
      </c>
      <c r="AM1506" s="53" t="n">
        <v>0</v>
      </c>
      <c r="AN1506" s="53" t="n">
        <v>0</v>
      </c>
      <c r="AO1506" s="53" t="n">
        <v>0</v>
      </c>
      <c r="AP1506" s="53" t="n">
        <v>0</v>
      </c>
      <c r="AQ1506" s="52" t="n">
        <v>0</v>
      </c>
      <c r="AR1506" s="52" t="n">
        <v>0</v>
      </c>
      <c r="AS1506" s="52" t="n">
        <v>0</v>
      </c>
      <c r="AT1506" s="52" t="n">
        <v>0</v>
      </c>
      <c r="AU1506" s="53" t="n">
        <v>0</v>
      </c>
      <c r="AV1506" s="53" t="n">
        <v>0</v>
      </c>
      <c r="AW1506" s="53" t="n">
        <v>0</v>
      </c>
      <c r="AX1506" s="53" t="n">
        <v>0</v>
      </c>
      <c r="AY1506" s="52" t="n">
        <v>0</v>
      </c>
      <c r="AZ1506" s="52" t="n">
        <v>0</v>
      </c>
      <c r="BA1506" s="52" t="n">
        <v>0</v>
      </c>
      <c r="BB1506" s="52" t="n">
        <v>0</v>
      </c>
      <c r="BC1506" s="51" t="n">
        <v>0</v>
      </c>
      <c r="BD1506" s="51" t="n">
        <v>0</v>
      </c>
      <c r="BE1506" s="51" t="n">
        <v>0</v>
      </c>
      <c r="BF1506" s="51" t="n">
        <v>0</v>
      </c>
    </row>
    <row r="1507">
      <c r="A1507">
        <f>HYPERLINK("https://www.walmart.com/ip/159323359", "159323359")</f>
        <v/>
      </c>
      <c r="B1507" t="inlineStr">
        <is>
          <t>JenniWears® Women's Sexy Eyelash Underwire Sleepwear Bra and Skirt Set</t>
        </is>
      </c>
      <c r="C1507" t="inlineStr">
        <is>
          <t>JWBASS01BK-M</t>
        </is>
      </c>
      <c r="D1507" t="inlineStr">
        <is>
          <t>Lingerie Sets</t>
        </is>
      </c>
      <c r="E1507" t="inlineStr">
        <is>
          <t>JenniWears</t>
        </is>
      </c>
      <c r="F1507" t="inlineStr">
        <is>
          <t>Optimized,Valentine</t>
        </is>
      </c>
      <c r="G1507" s="48" t="n">
        <v>0</v>
      </c>
      <c r="H1507" s="48" t="n">
        <v>0</v>
      </c>
      <c r="I1507" s="48" t="n">
        <v>0</v>
      </c>
      <c r="J1507" s="48" t="n">
        <v>0</v>
      </c>
      <c r="K1507" s="49" t="n">
        <v>0</v>
      </c>
      <c r="L1507" s="49" t="n">
        <v>0</v>
      </c>
      <c r="M1507" s="49" t="n">
        <v>0</v>
      </c>
      <c r="N1507" s="49" t="n">
        <v>0</v>
      </c>
      <c r="O1507" s="49" t="n">
        <v>0</v>
      </c>
      <c r="P1507" s="49" t="n">
        <v>0</v>
      </c>
      <c r="Q1507" s="49" t="n">
        <v>0</v>
      </c>
      <c r="R1507" s="49" t="n">
        <v>0</v>
      </c>
      <c r="S1507" s="50" t="n">
        <v>0</v>
      </c>
      <c r="T1507" s="50" t="n">
        <v>0</v>
      </c>
      <c r="U1507" s="50" t="n">
        <v>0</v>
      </c>
      <c r="V1507" s="50" t="n">
        <v>0</v>
      </c>
      <c r="W1507" s="51" t="n">
        <v>0</v>
      </c>
      <c r="X1507" s="51" t="n">
        <v>0</v>
      </c>
      <c r="Y1507" s="51" t="n">
        <v>0</v>
      </c>
      <c r="Z1507" s="51" t="n">
        <v>0</v>
      </c>
      <c r="AA1507" s="52" t="n">
        <v>0</v>
      </c>
      <c r="AB1507" s="52" t="n">
        <v>0</v>
      </c>
      <c r="AC1507" s="52" t="n">
        <v>0</v>
      </c>
      <c r="AD1507" s="52" t="n">
        <v>0</v>
      </c>
      <c r="AE1507" s="52" t="n">
        <v>0</v>
      </c>
      <c r="AF1507" s="52" t="n">
        <v>0</v>
      </c>
      <c r="AG1507" s="52" t="n">
        <v>0</v>
      </c>
      <c r="AH1507" s="52" t="n">
        <v>0</v>
      </c>
      <c r="AI1507" s="52" t="n">
        <v>0</v>
      </c>
      <c r="AJ1507" s="52" t="n">
        <v>0</v>
      </c>
      <c r="AK1507" s="52" t="n">
        <v>0</v>
      </c>
      <c r="AL1507" s="52" t="n">
        <v>0</v>
      </c>
      <c r="AM1507" s="53" t="n">
        <v>0</v>
      </c>
      <c r="AN1507" s="53" t="n">
        <v>0</v>
      </c>
      <c r="AO1507" s="53" t="n">
        <v>0</v>
      </c>
      <c r="AP1507" s="53" t="n">
        <v>0</v>
      </c>
      <c r="AQ1507" s="52" t="n">
        <v>0</v>
      </c>
      <c r="AR1507" s="52" t="n">
        <v>0</v>
      </c>
      <c r="AS1507" s="52" t="n">
        <v>0</v>
      </c>
      <c r="AT1507" s="52" t="n">
        <v>0</v>
      </c>
      <c r="AU1507" s="53" t="n">
        <v>0</v>
      </c>
      <c r="AV1507" s="53" t="n">
        <v>0</v>
      </c>
      <c r="AW1507" s="53" t="n">
        <v>0</v>
      </c>
      <c r="AX1507" s="53" t="n">
        <v>0</v>
      </c>
      <c r="AY1507" s="52" t="n">
        <v>0</v>
      </c>
      <c r="AZ1507" s="52" t="n">
        <v>0</v>
      </c>
      <c r="BA1507" s="52" t="n">
        <v>0</v>
      </c>
      <c r="BB1507" s="52" t="n">
        <v>0</v>
      </c>
      <c r="BC1507" s="51" t="n">
        <v>0</v>
      </c>
      <c r="BD1507" s="51" t="n">
        <v>0</v>
      </c>
      <c r="BE1507" s="51" t="n">
        <v>0</v>
      </c>
      <c r="BF1507" s="51" t="n">
        <v>0</v>
      </c>
    </row>
    <row r="1508">
      <c r="A1508">
        <f>HYPERLINK("https://www.walmart.com/ip/159343795", "159343795")</f>
        <v/>
      </c>
      <c r="B1508" t="inlineStr">
        <is>
          <t>KC Caps Pom Pom Toque Beanie</t>
        </is>
      </c>
      <c r="C1508" t="inlineStr">
        <is>
          <t>KCW1711PK</t>
        </is>
      </c>
      <c r="D1508" t="inlineStr">
        <is>
          <t>Hats</t>
        </is>
      </c>
      <c r="E1508" t="inlineStr">
        <is>
          <t>KC Caps</t>
        </is>
      </c>
      <c r="F1508" t="inlineStr">
        <is>
          <t>Optimized</t>
        </is>
      </c>
      <c r="G1508" s="48" t="n">
        <v>0</v>
      </c>
      <c r="H1508" s="48" t="n">
        <v>0</v>
      </c>
      <c r="I1508" s="48" t="n">
        <v>0</v>
      </c>
      <c r="J1508" s="48" t="n">
        <v>0</v>
      </c>
      <c r="K1508" s="49" t="n">
        <v>0</v>
      </c>
      <c r="L1508" s="49" t="n">
        <v>0</v>
      </c>
      <c r="M1508" s="49" t="n">
        <v>0</v>
      </c>
      <c r="N1508" s="49" t="n">
        <v>0</v>
      </c>
      <c r="O1508" s="49" t="n">
        <v>0</v>
      </c>
      <c r="P1508" s="49" t="n">
        <v>0</v>
      </c>
      <c r="Q1508" s="49" t="n">
        <v>0</v>
      </c>
      <c r="R1508" s="49" t="n">
        <v>0</v>
      </c>
      <c r="S1508" s="50" t="n">
        <v>0</v>
      </c>
      <c r="T1508" s="50" t="n">
        <v>0</v>
      </c>
      <c r="U1508" s="50" t="n">
        <v>0</v>
      </c>
      <c r="V1508" s="50" t="n">
        <v>0</v>
      </c>
      <c r="W1508" s="51" t="n">
        <v>0</v>
      </c>
      <c r="X1508" s="51" t="n">
        <v>0</v>
      </c>
      <c r="Y1508" s="51" t="n">
        <v>0</v>
      </c>
      <c r="Z1508" s="51" t="n">
        <v>0</v>
      </c>
      <c r="AA1508" s="52" t="n">
        <v>0</v>
      </c>
      <c r="AB1508" s="52" t="n">
        <v>0</v>
      </c>
      <c r="AC1508" s="52" t="n">
        <v>0</v>
      </c>
      <c r="AD1508" s="52" t="n">
        <v>0</v>
      </c>
      <c r="AE1508" s="52" t="n">
        <v>0</v>
      </c>
      <c r="AF1508" s="52" t="n">
        <v>0</v>
      </c>
      <c r="AG1508" s="52" t="n">
        <v>0</v>
      </c>
      <c r="AH1508" s="52" t="n">
        <v>0</v>
      </c>
      <c r="AI1508" s="52" t="n">
        <v>0</v>
      </c>
      <c r="AJ1508" s="52" t="n">
        <v>0</v>
      </c>
      <c r="AK1508" s="52" t="n">
        <v>0</v>
      </c>
      <c r="AL1508" s="52" t="n">
        <v>0</v>
      </c>
      <c r="AM1508" s="53" t="n">
        <v>0</v>
      </c>
      <c r="AN1508" s="53" t="n">
        <v>0</v>
      </c>
      <c r="AO1508" s="53" t="n">
        <v>0</v>
      </c>
      <c r="AP1508" s="53" t="n">
        <v>0</v>
      </c>
      <c r="AQ1508" s="52" t="n">
        <v>0</v>
      </c>
      <c r="AR1508" s="52" t="n">
        <v>0</v>
      </c>
      <c r="AS1508" s="52" t="n">
        <v>0</v>
      </c>
      <c r="AT1508" s="52" t="n">
        <v>0</v>
      </c>
      <c r="AU1508" s="53" t="n">
        <v>0</v>
      </c>
      <c r="AV1508" s="53" t="n">
        <v>0</v>
      </c>
      <c r="AW1508" s="53" t="n">
        <v>0</v>
      </c>
      <c r="AX1508" s="53" t="n">
        <v>0</v>
      </c>
      <c r="AY1508" s="52" t="n">
        <v>0</v>
      </c>
      <c r="AZ1508" s="52" t="n">
        <v>0</v>
      </c>
      <c r="BA1508" s="52" t="n">
        <v>0</v>
      </c>
      <c r="BB1508" s="52" t="n">
        <v>0</v>
      </c>
      <c r="BC1508" s="51" t="n">
        <v>0</v>
      </c>
      <c r="BD1508" s="51" t="n">
        <v>0</v>
      </c>
      <c r="BE1508" s="51" t="n">
        <v>0</v>
      </c>
      <c r="BF1508" s="51" t="n">
        <v>0</v>
      </c>
    </row>
    <row r="1509">
      <c r="A1509">
        <f>HYPERLINK("https://www.walmart.com/ip/15943151925", "15943151925")</f>
        <v/>
      </c>
      <c r="B1509" t="inlineStr">
        <is>
          <t>Wrangler Backpack for Men and Women, Water Resistant Casual Daypack for Travel, Work School</t>
        </is>
      </c>
      <c r="C1509" t="inlineStr">
        <is>
          <t>1WRBPK93932BK</t>
        </is>
      </c>
      <c r="D1509" t="inlineStr">
        <is>
          <t>Backpacks</t>
        </is>
      </c>
      <c r="E1509" t="inlineStr">
        <is>
          <t>Wrangler</t>
        </is>
      </c>
      <c r="G1509" s="48" t="n">
        <v>0</v>
      </c>
      <c r="H1509" s="48" t="n">
        <v>0</v>
      </c>
      <c r="I1509" s="48" t="n">
        <v>0</v>
      </c>
      <c r="J1509" s="48" t="n">
        <v>0</v>
      </c>
      <c r="K1509" s="49" t="n">
        <v>0</v>
      </c>
      <c r="L1509" s="49" t="n">
        <v>0</v>
      </c>
      <c r="M1509" s="49" t="n">
        <v>0</v>
      </c>
      <c r="N1509" s="49" t="n">
        <v>0</v>
      </c>
      <c r="O1509" s="49" t="n">
        <v>0</v>
      </c>
      <c r="P1509" s="49" t="n">
        <v>0</v>
      </c>
      <c r="Q1509" s="49" t="n">
        <v>0</v>
      </c>
      <c r="R1509" s="49" t="n">
        <v>0</v>
      </c>
      <c r="S1509" s="50" t="n">
        <v>0</v>
      </c>
      <c r="T1509" s="50" t="n">
        <v>0</v>
      </c>
      <c r="U1509" s="50" t="n">
        <v>0</v>
      </c>
      <c r="V1509" s="50" t="n">
        <v>0</v>
      </c>
      <c r="W1509" s="51" t="n">
        <v>0</v>
      </c>
      <c r="X1509" s="51" t="n">
        <v>0</v>
      </c>
      <c r="Y1509" s="51" t="n">
        <v>0</v>
      </c>
      <c r="Z1509" s="51" t="n">
        <v>0</v>
      </c>
      <c r="AA1509" s="52" t="n">
        <v>0</v>
      </c>
      <c r="AB1509" s="52" t="n">
        <v>0</v>
      </c>
      <c r="AC1509" s="52" t="n">
        <v>0</v>
      </c>
      <c r="AD1509" s="52" t="n">
        <v>0</v>
      </c>
      <c r="AE1509" s="52" t="n">
        <v>0</v>
      </c>
      <c r="AF1509" s="52" t="n">
        <v>0</v>
      </c>
      <c r="AG1509" s="52" t="n">
        <v>0</v>
      </c>
      <c r="AH1509" s="52" t="n">
        <v>0</v>
      </c>
      <c r="AI1509" s="52" t="n">
        <v>0</v>
      </c>
      <c r="AJ1509" s="52" t="n">
        <v>0</v>
      </c>
      <c r="AK1509" s="52" t="n">
        <v>0</v>
      </c>
      <c r="AL1509" s="52" t="n">
        <v>0</v>
      </c>
      <c r="AM1509" s="53" t="n">
        <v>0</v>
      </c>
      <c r="AN1509" s="53" t="n">
        <v>0</v>
      </c>
      <c r="AO1509" s="53" t="n">
        <v>0</v>
      </c>
      <c r="AP1509" s="53" t="n">
        <v>0</v>
      </c>
      <c r="AQ1509" s="52" t="n">
        <v>0</v>
      </c>
      <c r="AR1509" s="52" t="n">
        <v>0</v>
      </c>
      <c r="AS1509" s="52" t="n">
        <v>0</v>
      </c>
      <c r="AT1509" s="52" t="n">
        <v>0</v>
      </c>
      <c r="AU1509" s="53" t="n">
        <v>0</v>
      </c>
      <c r="AV1509" s="53" t="n">
        <v>0</v>
      </c>
      <c r="AW1509" s="53" t="n">
        <v>0</v>
      </c>
      <c r="AX1509" s="53" t="n">
        <v>0</v>
      </c>
      <c r="AY1509" s="52" t="n">
        <v>0</v>
      </c>
      <c r="AZ1509" s="52" t="n">
        <v>0</v>
      </c>
      <c r="BA1509" s="52" t="n">
        <v>0</v>
      </c>
      <c r="BB1509" s="52" t="n">
        <v>0</v>
      </c>
      <c r="BC1509" s="51" t="n">
        <v>0</v>
      </c>
      <c r="BD1509" s="51" t="n">
        <v>0</v>
      </c>
      <c r="BE1509" s="51" t="n">
        <v>0</v>
      </c>
      <c r="BF1509" s="51" t="n">
        <v>0</v>
      </c>
    </row>
    <row r="1510">
      <c r="A1510">
        <f>HYPERLINK("https://www.walmart.com/ip/15947921277", "15947921277")</f>
        <v/>
      </c>
      <c r="B1510" t="inlineStr">
        <is>
          <t>Wrangler Toiletry Bag for Men, Travel Shaving Dopp Kit, Oxford Fabric Tech Kit Bathroom Organizer, Gifts for Men</t>
        </is>
      </c>
      <c r="C1510" t="inlineStr">
        <is>
          <t>1WRTTB93954BK</t>
        </is>
      </c>
      <c r="D1510" t="inlineStr">
        <is>
          <t>Toiletry Kits &amp; Bags</t>
        </is>
      </c>
      <c r="E1510" t="inlineStr">
        <is>
          <t>Wrangler</t>
        </is>
      </c>
      <c r="G1510" s="48" t="n">
        <v>0</v>
      </c>
      <c r="H1510" s="48" t="n">
        <v>0</v>
      </c>
      <c r="I1510" s="48" t="n">
        <v>0</v>
      </c>
      <c r="J1510" s="48" t="n">
        <v>0</v>
      </c>
      <c r="K1510" s="49" t="n">
        <v>0</v>
      </c>
      <c r="L1510" s="49" t="n">
        <v>0</v>
      </c>
      <c r="M1510" s="49" t="n">
        <v>0</v>
      </c>
      <c r="N1510" s="49" t="n">
        <v>0</v>
      </c>
      <c r="O1510" s="49" t="n">
        <v>0</v>
      </c>
      <c r="P1510" s="49" t="n">
        <v>0</v>
      </c>
      <c r="Q1510" s="49" t="n">
        <v>0</v>
      </c>
      <c r="R1510" s="49" t="n">
        <v>0</v>
      </c>
      <c r="S1510" s="50" t="n">
        <v>0</v>
      </c>
      <c r="T1510" s="50" t="n">
        <v>0</v>
      </c>
      <c r="U1510" s="50" t="n">
        <v>0</v>
      </c>
      <c r="V1510" s="50" t="n">
        <v>0</v>
      </c>
      <c r="W1510" s="51" t="n">
        <v>0</v>
      </c>
      <c r="X1510" s="51" t="n">
        <v>0</v>
      </c>
      <c r="Y1510" s="51" t="n">
        <v>0</v>
      </c>
      <c r="Z1510" s="51" t="n">
        <v>0</v>
      </c>
      <c r="AA1510" s="52" t="n">
        <v>0</v>
      </c>
      <c r="AB1510" s="52" t="n">
        <v>0</v>
      </c>
      <c r="AC1510" s="52" t="n">
        <v>0</v>
      </c>
      <c r="AD1510" s="52" t="n">
        <v>0</v>
      </c>
      <c r="AE1510" s="52" t="n">
        <v>0</v>
      </c>
      <c r="AF1510" s="52" t="n">
        <v>0</v>
      </c>
      <c r="AG1510" s="52" t="n">
        <v>0</v>
      </c>
      <c r="AH1510" s="52" t="n">
        <v>0</v>
      </c>
      <c r="AI1510" s="52" t="n">
        <v>0</v>
      </c>
      <c r="AJ1510" s="52" t="n">
        <v>0</v>
      </c>
      <c r="AK1510" s="52" t="n">
        <v>0</v>
      </c>
      <c r="AL1510" s="52" t="n">
        <v>0</v>
      </c>
      <c r="AM1510" s="53" t="n">
        <v>0</v>
      </c>
      <c r="AN1510" s="53" t="n">
        <v>0</v>
      </c>
      <c r="AO1510" s="53" t="n">
        <v>0</v>
      </c>
      <c r="AP1510" s="53" t="n">
        <v>0</v>
      </c>
      <c r="AQ1510" s="52" t="n">
        <v>0</v>
      </c>
      <c r="AR1510" s="52" t="n">
        <v>0</v>
      </c>
      <c r="AS1510" s="52" t="n">
        <v>0</v>
      </c>
      <c r="AT1510" s="52" t="n">
        <v>0</v>
      </c>
      <c r="AU1510" s="53" t="n">
        <v>0</v>
      </c>
      <c r="AV1510" s="53" t="n">
        <v>0</v>
      </c>
      <c r="AW1510" s="53" t="n">
        <v>0</v>
      </c>
      <c r="AX1510" s="53" t="n">
        <v>0</v>
      </c>
      <c r="AY1510" s="52" t="n">
        <v>0</v>
      </c>
      <c r="AZ1510" s="52" t="n">
        <v>0</v>
      </c>
      <c r="BA1510" s="52" t="n">
        <v>0</v>
      </c>
      <c r="BB1510" s="52" t="n">
        <v>0</v>
      </c>
      <c r="BC1510" s="51" t="n">
        <v>0</v>
      </c>
      <c r="BD1510" s="51" t="n">
        <v>0</v>
      </c>
      <c r="BE1510" s="51" t="n">
        <v>0</v>
      </c>
      <c r="BF1510" s="51" t="n">
        <v>0</v>
      </c>
    </row>
    <row r="1511">
      <c r="A1511">
        <f>HYPERLINK("https://www.walmart.com/ip/370524398", "370524398")</f>
        <v/>
      </c>
      <c r="B1511" t="inlineStr">
        <is>
          <t>Tirrinia Hooded Sherpa Bathrobe for Women, Long Plush Fuzzy Robe, Blue</t>
        </is>
      </c>
      <c r="C1511" t="inlineStr">
        <is>
          <t>1TRRB100BL</t>
        </is>
      </c>
      <c r="D1511" t="inlineStr">
        <is>
          <t>Sleepwear Robes &amp; Bathrobes</t>
        </is>
      </c>
      <c r="E1511" t="inlineStr">
        <is>
          <t>Tirrinia</t>
        </is>
      </c>
      <c r="F1511" t="inlineStr">
        <is>
          <t>Optimized,WFS,Bathrobe,Coupon_Discount,WFS Item</t>
        </is>
      </c>
      <c r="G1511" s="48" t="n">
        <v>0</v>
      </c>
      <c r="H1511" s="48" t="n">
        <v>0</v>
      </c>
      <c r="I1511" s="48" t="n">
        <v>0</v>
      </c>
      <c r="J1511" s="48" t="n">
        <v>0</v>
      </c>
      <c r="K1511" s="49" t="n">
        <v>0</v>
      </c>
      <c r="L1511" s="49" t="n">
        <v>0</v>
      </c>
      <c r="M1511" s="49" t="n">
        <v>0</v>
      </c>
      <c r="N1511" s="49" t="n">
        <v>0</v>
      </c>
      <c r="O1511" s="49" t="n">
        <v>0</v>
      </c>
      <c r="P1511" s="49" t="n">
        <v>0</v>
      </c>
      <c r="Q1511" s="49" t="n">
        <v>0</v>
      </c>
      <c r="R1511" s="49" t="n">
        <v>0</v>
      </c>
      <c r="S1511" s="50" t="n">
        <v>0</v>
      </c>
      <c r="T1511" s="50" t="n">
        <v>0</v>
      </c>
      <c r="U1511" s="50" t="n">
        <v>0</v>
      </c>
      <c r="V1511" s="50" t="n">
        <v>0</v>
      </c>
      <c r="W1511" s="51" t="n">
        <v>0</v>
      </c>
      <c r="X1511" s="51" t="n">
        <v>0</v>
      </c>
      <c r="Y1511" s="51" t="n">
        <v>0</v>
      </c>
      <c r="Z1511" s="51" t="n">
        <v>0</v>
      </c>
      <c r="AA1511" s="52" t="n">
        <v>0</v>
      </c>
      <c r="AB1511" s="52" t="n">
        <v>0</v>
      </c>
      <c r="AC1511" s="52" t="n">
        <v>0</v>
      </c>
      <c r="AD1511" s="52" t="n">
        <v>0</v>
      </c>
      <c r="AE1511" s="52" t="n">
        <v>0</v>
      </c>
      <c r="AF1511" s="52" t="n">
        <v>0</v>
      </c>
      <c r="AG1511" s="52" t="n">
        <v>0</v>
      </c>
      <c r="AH1511" s="52" t="n">
        <v>0</v>
      </c>
      <c r="AI1511" s="52" t="n">
        <v>0</v>
      </c>
      <c r="AJ1511" s="52" t="n">
        <v>0</v>
      </c>
      <c r="AK1511" s="52" t="n">
        <v>0</v>
      </c>
      <c r="AL1511" s="52" t="n">
        <v>0</v>
      </c>
      <c r="AM1511" s="53" t="n">
        <v>0</v>
      </c>
      <c r="AN1511" s="53" t="n">
        <v>0</v>
      </c>
      <c r="AO1511" s="53" t="n">
        <v>0</v>
      </c>
      <c r="AP1511" s="53" t="n">
        <v>0</v>
      </c>
      <c r="AQ1511" s="52" t="n">
        <v>0</v>
      </c>
      <c r="AR1511" s="52" t="n">
        <v>0</v>
      </c>
      <c r="AS1511" s="52" t="n">
        <v>0</v>
      </c>
      <c r="AT1511" s="52" t="n">
        <v>0</v>
      </c>
      <c r="AU1511" s="53" t="n">
        <v>0</v>
      </c>
      <c r="AV1511" s="53" t="n">
        <v>0</v>
      </c>
      <c r="AW1511" s="53" t="n">
        <v>0</v>
      </c>
      <c r="AX1511" s="53" t="n">
        <v>0</v>
      </c>
      <c r="AY1511" s="52" t="n">
        <v>0</v>
      </c>
      <c r="AZ1511" s="52" t="n">
        <v>0</v>
      </c>
      <c r="BA1511" s="52" t="n">
        <v>0</v>
      </c>
      <c r="BB1511" s="52" t="n">
        <v>0</v>
      </c>
      <c r="BC1511" s="51" t="n">
        <v>0</v>
      </c>
      <c r="BD1511" s="51" t="n">
        <v>0</v>
      </c>
      <c r="BE1511" s="51" t="n">
        <v>0</v>
      </c>
      <c r="BF1511" s="51" t="n">
        <v>0</v>
      </c>
    </row>
    <row r="1512">
      <c r="A1512">
        <f>HYPERLINK("https://www.walmart.com/ip/15978813433", "15978813433")</f>
        <v/>
      </c>
      <c r="B1512" t="inlineStr">
        <is>
          <t>Wrangler Backpack for Men and Women, Water Resistant Casual Daypack for Travel, Work School</t>
        </is>
      </c>
      <c r="C1512" t="inlineStr">
        <is>
          <t>1WRBPK93932KK</t>
        </is>
      </c>
      <c r="D1512" t="inlineStr">
        <is>
          <t>Backpacks</t>
        </is>
      </c>
      <c r="E1512" t="inlineStr">
        <is>
          <t>Wrangler</t>
        </is>
      </c>
      <c r="G1512" s="48" t="n">
        <v>0</v>
      </c>
      <c r="H1512" s="48" t="n">
        <v>0</v>
      </c>
      <c r="I1512" s="48" t="n">
        <v>0</v>
      </c>
      <c r="J1512" s="48" t="n">
        <v>0</v>
      </c>
      <c r="K1512" s="49" t="n">
        <v>0</v>
      </c>
      <c r="L1512" s="49" t="n">
        <v>0</v>
      </c>
      <c r="M1512" s="49" t="n">
        <v>0</v>
      </c>
      <c r="N1512" s="49" t="n">
        <v>0</v>
      </c>
      <c r="O1512" s="49" t="n">
        <v>0</v>
      </c>
      <c r="P1512" s="49" t="n">
        <v>0</v>
      </c>
      <c r="Q1512" s="49" t="n">
        <v>0</v>
      </c>
      <c r="R1512" s="49" t="n">
        <v>0</v>
      </c>
      <c r="S1512" s="50" t="n">
        <v>0</v>
      </c>
      <c r="T1512" s="50" t="n">
        <v>0</v>
      </c>
      <c r="U1512" s="50" t="n">
        <v>0</v>
      </c>
      <c r="V1512" s="50" t="n">
        <v>0</v>
      </c>
      <c r="W1512" s="51" t="n">
        <v>0</v>
      </c>
      <c r="X1512" s="51" t="n">
        <v>0</v>
      </c>
      <c r="Y1512" s="51" t="n">
        <v>0</v>
      </c>
      <c r="Z1512" s="51" t="n">
        <v>0</v>
      </c>
      <c r="AA1512" s="52" t="n">
        <v>0</v>
      </c>
      <c r="AB1512" s="52" t="n">
        <v>0</v>
      </c>
      <c r="AC1512" s="52" t="n">
        <v>0</v>
      </c>
      <c r="AD1512" s="52" t="n">
        <v>0</v>
      </c>
      <c r="AE1512" s="52" t="n">
        <v>0</v>
      </c>
      <c r="AF1512" s="52" t="n">
        <v>0</v>
      </c>
      <c r="AG1512" s="52" t="n">
        <v>0</v>
      </c>
      <c r="AH1512" s="52" t="n">
        <v>0</v>
      </c>
      <c r="AI1512" s="52" t="n">
        <v>0</v>
      </c>
      <c r="AJ1512" s="52" t="n">
        <v>0</v>
      </c>
      <c r="AK1512" s="52" t="n">
        <v>0</v>
      </c>
      <c r="AL1512" s="52" t="n">
        <v>0</v>
      </c>
      <c r="AM1512" s="53" t="n">
        <v>0</v>
      </c>
      <c r="AN1512" s="53" t="n">
        <v>0</v>
      </c>
      <c r="AO1512" s="53" t="n">
        <v>0</v>
      </c>
      <c r="AP1512" s="53" t="n">
        <v>0</v>
      </c>
      <c r="AQ1512" s="52" t="n">
        <v>0</v>
      </c>
      <c r="AR1512" s="52" t="n">
        <v>0</v>
      </c>
      <c r="AS1512" s="52" t="n">
        <v>0</v>
      </c>
      <c r="AT1512" s="52" t="n">
        <v>0</v>
      </c>
      <c r="AU1512" s="53" t="n">
        <v>0</v>
      </c>
      <c r="AV1512" s="53" t="n">
        <v>0</v>
      </c>
      <c r="AW1512" s="53" t="n">
        <v>0</v>
      </c>
      <c r="AX1512" s="53" t="n">
        <v>0</v>
      </c>
      <c r="AY1512" s="52" t="n">
        <v>0</v>
      </c>
      <c r="AZ1512" s="52" t="n">
        <v>0</v>
      </c>
      <c r="BA1512" s="52" t="n">
        <v>0</v>
      </c>
      <c r="BB1512" s="52" t="n">
        <v>0</v>
      </c>
      <c r="BC1512" s="51" t="n">
        <v>0</v>
      </c>
      <c r="BD1512" s="51" t="n">
        <v>0</v>
      </c>
      <c r="BE1512" s="51" t="n">
        <v>0</v>
      </c>
      <c r="BF1512" s="51" t="n">
        <v>0</v>
      </c>
    </row>
    <row r="1513">
      <c r="A1513">
        <f>HYPERLINK("https://www.walmart.com/ip/158738643", "158738643")</f>
        <v/>
      </c>
      <c r="B1513" t="inlineStr">
        <is>
          <t>JenniWears® Women's 6-Pack Leopard Lace Garter Belt Stretch Stocking Suspender</t>
        </is>
      </c>
      <c r="C1513" t="inlineStr">
        <is>
          <t>JWBLSPH2108-6pcs</t>
        </is>
      </c>
      <c r="D1513" t="inlineStr">
        <is>
          <t>Garter Belts</t>
        </is>
      </c>
      <c r="E1513" t="inlineStr">
        <is>
          <t>JenniWears</t>
        </is>
      </c>
      <c r="F1513" t="inlineStr">
        <is>
          <t>Optimized,Valentine</t>
        </is>
      </c>
      <c r="G1513" s="48" t="n">
        <v>0</v>
      </c>
      <c r="H1513" s="48" t="n">
        <v>0</v>
      </c>
      <c r="I1513" s="48" t="n">
        <v>0</v>
      </c>
      <c r="J1513" s="48" t="n">
        <v>0</v>
      </c>
      <c r="K1513" s="49" t="n">
        <v>0</v>
      </c>
      <c r="L1513" s="49" t="n">
        <v>0</v>
      </c>
      <c r="M1513" s="49" t="n">
        <v>0</v>
      </c>
      <c r="N1513" s="49" t="n">
        <v>0</v>
      </c>
      <c r="O1513" s="49" t="n">
        <v>0</v>
      </c>
      <c r="P1513" s="49" t="n">
        <v>0</v>
      </c>
      <c r="Q1513" s="49" t="n">
        <v>0</v>
      </c>
      <c r="R1513" s="49" t="n">
        <v>0</v>
      </c>
      <c r="S1513" s="50" t="n">
        <v>0</v>
      </c>
      <c r="T1513" s="50" t="n">
        <v>0</v>
      </c>
      <c r="U1513" s="50" t="n">
        <v>0</v>
      </c>
      <c r="V1513" s="50" t="n">
        <v>0</v>
      </c>
      <c r="W1513" s="51" t="n">
        <v>0</v>
      </c>
      <c r="X1513" s="51" t="n">
        <v>0</v>
      </c>
      <c r="Y1513" s="51" t="n">
        <v>0</v>
      </c>
      <c r="Z1513" s="51" t="n">
        <v>0</v>
      </c>
      <c r="AA1513" s="52" t="n">
        <v>0</v>
      </c>
      <c r="AB1513" s="52" t="n">
        <v>0</v>
      </c>
      <c r="AC1513" s="52" t="n">
        <v>0</v>
      </c>
      <c r="AD1513" s="52" t="n">
        <v>0</v>
      </c>
      <c r="AE1513" s="52" t="n">
        <v>0</v>
      </c>
      <c r="AF1513" s="52" t="n">
        <v>0</v>
      </c>
      <c r="AG1513" s="52" t="n">
        <v>0</v>
      </c>
      <c r="AH1513" s="52" t="n">
        <v>0</v>
      </c>
      <c r="AI1513" s="52" t="n">
        <v>0</v>
      </c>
      <c r="AJ1513" s="52" t="n">
        <v>0</v>
      </c>
      <c r="AK1513" s="52" t="n">
        <v>0</v>
      </c>
      <c r="AL1513" s="52" t="n">
        <v>0</v>
      </c>
      <c r="AM1513" s="53" t="n">
        <v>0</v>
      </c>
      <c r="AN1513" s="53" t="n">
        <v>0</v>
      </c>
      <c r="AO1513" s="53" t="n">
        <v>0</v>
      </c>
      <c r="AP1513" s="53" t="n">
        <v>0</v>
      </c>
      <c r="AQ1513" s="52" t="n">
        <v>0</v>
      </c>
      <c r="AR1513" s="52" t="n">
        <v>0</v>
      </c>
      <c r="AS1513" s="52" t="n">
        <v>0</v>
      </c>
      <c r="AT1513" s="52" t="n">
        <v>0</v>
      </c>
      <c r="AU1513" s="53" t="n">
        <v>0</v>
      </c>
      <c r="AV1513" s="53" t="n">
        <v>0</v>
      </c>
      <c r="AW1513" s="53" t="n">
        <v>0</v>
      </c>
      <c r="AX1513" s="53" t="n">
        <v>0</v>
      </c>
      <c r="AY1513" s="52" t="n">
        <v>0</v>
      </c>
      <c r="AZ1513" s="52" t="n">
        <v>0</v>
      </c>
      <c r="BA1513" s="52" t="n">
        <v>0</v>
      </c>
      <c r="BB1513" s="52" t="n">
        <v>0</v>
      </c>
      <c r="BC1513" s="51" t="n">
        <v>0</v>
      </c>
      <c r="BD1513" s="51" t="n">
        <v>0</v>
      </c>
      <c r="BE1513" s="51" t="n">
        <v>0</v>
      </c>
      <c r="BF1513" s="51" t="n">
        <v>0</v>
      </c>
    </row>
    <row r="1514">
      <c r="A1514">
        <f>HYPERLINK("https://www.walmart.com/ip/158512208", "158512208")</f>
        <v/>
      </c>
      <c r="B1514" t="inlineStr">
        <is>
          <t>Jenniwears Women's Sexy Lingerie Lace Mesh 2-Piece Bowknot Halter Chemise with G-String</t>
        </is>
      </c>
      <c r="C1514" t="inlineStr">
        <is>
          <t>JWND03LP</t>
        </is>
      </c>
      <c r="D1514" t="inlineStr">
        <is>
          <t>Lingerie Sets</t>
        </is>
      </c>
      <c r="E1514" t="inlineStr">
        <is>
          <t>JenniWears</t>
        </is>
      </c>
      <c r="F1514" t="inlineStr">
        <is>
          <t>Valentine</t>
        </is>
      </c>
      <c r="G1514" s="48" t="n">
        <v>0</v>
      </c>
      <c r="H1514" s="48" t="n">
        <v>0</v>
      </c>
      <c r="I1514" s="48" t="n">
        <v>0</v>
      </c>
      <c r="J1514" s="48" t="n">
        <v>0</v>
      </c>
      <c r="K1514" s="49" t="n">
        <v>0</v>
      </c>
      <c r="L1514" s="49" t="n">
        <v>0</v>
      </c>
      <c r="M1514" s="49" t="n">
        <v>0</v>
      </c>
      <c r="N1514" s="49" t="n">
        <v>0</v>
      </c>
      <c r="O1514" s="49" t="n">
        <v>0</v>
      </c>
      <c r="P1514" s="49" t="n">
        <v>0</v>
      </c>
      <c r="Q1514" s="49" t="n">
        <v>0</v>
      </c>
      <c r="R1514" s="49" t="n">
        <v>0</v>
      </c>
      <c r="S1514" s="50" t="n">
        <v>0</v>
      </c>
      <c r="T1514" s="50" t="n">
        <v>0</v>
      </c>
      <c r="U1514" s="50" t="n">
        <v>0</v>
      </c>
      <c r="V1514" s="50" t="n">
        <v>0</v>
      </c>
      <c r="W1514" s="51" t="n">
        <v>0</v>
      </c>
      <c r="X1514" s="51" t="n">
        <v>0</v>
      </c>
      <c r="Y1514" s="51" t="n">
        <v>0</v>
      </c>
      <c r="Z1514" s="51" t="n">
        <v>0</v>
      </c>
      <c r="AA1514" s="52" t="n">
        <v>0</v>
      </c>
      <c r="AB1514" s="52" t="n">
        <v>0</v>
      </c>
      <c r="AC1514" s="52" t="n">
        <v>0</v>
      </c>
      <c r="AD1514" s="52" t="n">
        <v>0</v>
      </c>
      <c r="AE1514" s="52" t="n">
        <v>0</v>
      </c>
      <c r="AF1514" s="52" t="n">
        <v>0</v>
      </c>
      <c r="AG1514" s="52" t="n">
        <v>0</v>
      </c>
      <c r="AH1514" s="52" t="n">
        <v>0</v>
      </c>
      <c r="AI1514" s="52" t="n">
        <v>0</v>
      </c>
      <c r="AJ1514" s="52" t="n">
        <v>0</v>
      </c>
      <c r="AK1514" s="52" t="n">
        <v>0</v>
      </c>
      <c r="AL1514" s="52" t="n">
        <v>0</v>
      </c>
      <c r="AM1514" s="53" t="n">
        <v>0</v>
      </c>
      <c r="AN1514" s="53" t="n">
        <v>0</v>
      </c>
      <c r="AO1514" s="53" t="n">
        <v>0</v>
      </c>
      <c r="AP1514" s="53" t="n">
        <v>0</v>
      </c>
      <c r="AQ1514" s="52" t="n">
        <v>0</v>
      </c>
      <c r="AR1514" s="52" t="n">
        <v>0</v>
      </c>
      <c r="AS1514" s="52" t="n">
        <v>0</v>
      </c>
      <c r="AT1514" s="52" t="n">
        <v>0</v>
      </c>
      <c r="AU1514" s="53" t="n">
        <v>0</v>
      </c>
      <c r="AV1514" s="53" t="n">
        <v>0</v>
      </c>
      <c r="AW1514" s="53" t="n">
        <v>0</v>
      </c>
      <c r="AX1514" s="53" t="n">
        <v>0</v>
      </c>
      <c r="AY1514" s="52" t="n">
        <v>0</v>
      </c>
      <c r="AZ1514" s="52" t="n">
        <v>0</v>
      </c>
      <c r="BA1514" s="52" t="n">
        <v>0</v>
      </c>
      <c r="BB1514" s="52" t="n">
        <v>0</v>
      </c>
      <c r="BC1514" s="51" t="n">
        <v>0</v>
      </c>
      <c r="BD1514" s="51" t="n">
        <v>0</v>
      </c>
      <c r="BE1514" s="51" t="n">
        <v>0</v>
      </c>
      <c r="BF1514" s="51" t="n">
        <v>0</v>
      </c>
    </row>
    <row r="1515">
      <c r="A1515">
        <f>HYPERLINK("https://www.walmart.com/ip/15538203735", "15538203735")</f>
        <v/>
      </c>
      <c r="B1515" t="inlineStr">
        <is>
          <t>Tirrinia Wine Gift Bags with Hidden Dispenser, Insulated Large Wine Bag Set with Wine Bladder, Perfect Wine Bags for Gifts for Byob, Movie Theater, Concert, Sports Events, Pool &amp; Beach, Black</t>
        </is>
      </c>
      <c r="C1515" t="inlineStr">
        <is>
          <t>1TRWT100BLSTR</t>
        </is>
      </c>
      <c r="D1515" t="inlineStr">
        <is>
          <t>Wine Totes, Bags &amp; Backpacks</t>
        </is>
      </c>
      <c r="E1515" t="inlineStr">
        <is>
          <t>Tirrinia</t>
        </is>
      </c>
      <c r="G1515" s="48" t="n">
        <v>0</v>
      </c>
      <c r="H1515" s="48" t="n">
        <v>0</v>
      </c>
      <c r="I1515" s="48" t="n">
        <v>0</v>
      </c>
      <c r="J1515" s="48" t="n">
        <v>0</v>
      </c>
      <c r="K1515" s="49" t="n">
        <v>0</v>
      </c>
      <c r="L1515" s="49" t="n">
        <v>0</v>
      </c>
      <c r="M1515" s="49" t="n">
        <v>0</v>
      </c>
      <c r="N1515" s="49" t="n">
        <v>0</v>
      </c>
      <c r="O1515" s="49" t="n">
        <v>0</v>
      </c>
      <c r="P1515" s="49" t="n">
        <v>0</v>
      </c>
      <c r="Q1515" s="49" t="n">
        <v>0</v>
      </c>
      <c r="R1515" s="49" t="n">
        <v>0</v>
      </c>
      <c r="S1515" s="50" t="n">
        <v>0</v>
      </c>
      <c r="T1515" s="50" t="n">
        <v>0</v>
      </c>
      <c r="U1515" s="50" t="n">
        <v>0</v>
      </c>
      <c r="V1515" s="50" t="n">
        <v>0</v>
      </c>
      <c r="W1515" s="51" t="n">
        <v>0</v>
      </c>
      <c r="X1515" s="51" t="n">
        <v>0</v>
      </c>
      <c r="Y1515" s="51" t="n">
        <v>0</v>
      </c>
      <c r="Z1515" s="51" t="n">
        <v>0</v>
      </c>
      <c r="AA1515" s="52" t="n">
        <v>0</v>
      </c>
      <c r="AB1515" s="52" t="n">
        <v>0</v>
      </c>
      <c r="AC1515" s="52" t="n">
        <v>0</v>
      </c>
      <c r="AD1515" s="52" t="n">
        <v>0</v>
      </c>
      <c r="AE1515" s="52" t="n">
        <v>0</v>
      </c>
      <c r="AF1515" s="52" t="n">
        <v>0</v>
      </c>
      <c r="AG1515" s="52" t="n">
        <v>0</v>
      </c>
      <c r="AH1515" s="52" t="n">
        <v>0</v>
      </c>
      <c r="AI1515" s="52" t="n">
        <v>0</v>
      </c>
      <c r="AJ1515" s="52" t="n">
        <v>0</v>
      </c>
      <c r="AK1515" s="52" t="n">
        <v>0</v>
      </c>
      <c r="AL1515" s="52" t="n">
        <v>0</v>
      </c>
      <c r="AM1515" s="53" t="n">
        <v>0</v>
      </c>
      <c r="AN1515" s="53" t="n">
        <v>0</v>
      </c>
      <c r="AO1515" s="53" t="n">
        <v>0</v>
      </c>
      <c r="AP1515" s="53" t="n">
        <v>0</v>
      </c>
      <c r="AQ1515" s="52" t="n">
        <v>0</v>
      </c>
      <c r="AR1515" s="52" t="n">
        <v>0</v>
      </c>
      <c r="AS1515" s="52" t="n">
        <v>0</v>
      </c>
      <c r="AT1515" s="52" t="n">
        <v>0</v>
      </c>
      <c r="AU1515" s="53" t="n">
        <v>0</v>
      </c>
      <c r="AV1515" s="53" t="n">
        <v>0</v>
      </c>
      <c r="AW1515" s="53" t="n">
        <v>0</v>
      </c>
      <c r="AX1515" s="53" t="n">
        <v>0</v>
      </c>
      <c r="AY1515" s="52" t="n">
        <v>0</v>
      </c>
      <c r="AZ1515" s="52" t="n">
        <v>0</v>
      </c>
      <c r="BA1515" s="52" t="n">
        <v>0</v>
      </c>
      <c r="BB1515" s="52" t="n">
        <v>0</v>
      </c>
      <c r="BC1515" s="51" t="n">
        <v>0</v>
      </c>
      <c r="BD1515" s="51" t="n">
        <v>0</v>
      </c>
      <c r="BE1515" s="51" t="n">
        <v>0</v>
      </c>
      <c r="BF1515" s="51" t="n">
        <v>0</v>
      </c>
    </row>
    <row r="1516">
      <c r="A1516">
        <f>HYPERLINK("https://www.walmart.com/ip/158344559", "158344559")</f>
        <v/>
      </c>
      <c r="B1516" t="inlineStr">
        <is>
          <t>Tirrinia Picnic Blanket, Lightweight Waterproof Blanket, Portable Camping Blanket for Travel, Park, Hiking, Outdoor, Stadium and Concerts, Machine Washable, Extra Large, Striped, 70'' x 80''</t>
        </is>
      </c>
      <c r="C1516" t="inlineStr">
        <is>
          <t>1TRBW781STR</t>
        </is>
      </c>
      <c r="D1516" t="inlineStr">
        <is>
          <t>Picnic Blankets &amp; Mats</t>
        </is>
      </c>
      <c r="E1516" t="inlineStr">
        <is>
          <t>Tirrinia</t>
        </is>
      </c>
      <c r="F1516" t="inlineStr">
        <is>
          <t>WFS,WFS Item</t>
        </is>
      </c>
      <c r="G1516" s="48" t="n">
        <v>0</v>
      </c>
      <c r="H1516" s="48" t="n">
        <v>0</v>
      </c>
      <c r="I1516" s="48" t="n">
        <v>0</v>
      </c>
      <c r="J1516" s="48" t="n">
        <v>0</v>
      </c>
      <c r="K1516" s="49" t="n">
        <v>0</v>
      </c>
      <c r="L1516" s="49" t="n">
        <v>0</v>
      </c>
      <c r="M1516" s="49" t="n">
        <v>0</v>
      </c>
      <c r="N1516" s="49" t="n">
        <v>0</v>
      </c>
      <c r="O1516" s="49" t="n">
        <v>0</v>
      </c>
      <c r="P1516" s="49" t="n">
        <v>0</v>
      </c>
      <c r="Q1516" s="49" t="n">
        <v>0</v>
      </c>
      <c r="R1516" s="49" t="n">
        <v>0</v>
      </c>
      <c r="S1516" s="50" t="n">
        <v>0</v>
      </c>
      <c r="T1516" s="50" t="n">
        <v>0</v>
      </c>
      <c r="U1516" s="50" t="n">
        <v>0</v>
      </c>
      <c r="V1516" s="50" t="n">
        <v>0</v>
      </c>
      <c r="W1516" s="51" t="n">
        <v>0</v>
      </c>
      <c r="X1516" s="51" t="n">
        <v>0</v>
      </c>
      <c r="Y1516" s="51" t="n">
        <v>0</v>
      </c>
      <c r="Z1516" s="51" t="n">
        <v>0</v>
      </c>
      <c r="AA1516" s="52" t="n">
        <v>0</v>
      </c>
      <c r="AB1516" s="52" t="n">
        <v>0</v>
      </c>
      <c r="AC1516" s="52" t="n">
        <v>0</v>
      </c>
      <c r="AD1516" s="52" t="n">
        <v>0</v>
      </c>
      <c r="AE1516" s="52" t="n">
        <v>0</v>
      </c>
      <c r="AF1516" s="52" t="n">
        <v>0</v>
      </c>
      <c r="AG1516" s="52" t="n">
        <v>0</v>
      </c>
      <c r="AH1516" s="52" t="n">
        <v>0</v>
      </c>
      <c r="AI1516" s="52" t="n">
        <v>0</v>
      </c>
      <c r="AJ1516" s="52" t="n">
        <v>0</v>
      </c>
      <c r="AK1516" s="52" t="n">
        <v>0</v>
      </c>
      <c r="AL1516" s="52" t="n">
        <v>0</v>
      </c>
      <c r="AM1516" s="53" t="n">
        <v>0</v>
      </c>
      <c r="AN1516" s="53" t="n">
        <v>0</v>
      </c>
      <c r="AO1516" s="53" t="n">
        <v>0</v>
      </c>
      <c r="AP1516" s="53" t="n">
        <v>0</v>
      </c>
      <c r="AQ1516" s="52" t="n">
        <v>0</v>
      </c>
      <c r="AR1516" s="52" t="n">
        <v>0</v>
      </c>
      <c r="AS1516" s="52" t="n">
        <v>0</v>
      </c>
      <c r="AT1516" s="52" t="n">
        <v>0</v>
      </c>
      <c r="AU1516" s="53" t="n">
        <v>0</v>
      </c>
      <c r="AV1516" s="53" t="n">
        <v>0</v>
      </c>
      <c r="AW1516" s="53" t="n">
        <v>0</v>
      </c>
      <c r="AX1516" s="53" t="n">
        <v>0</v>
      </c>
      <c r="AY1516" s="52" t="n">
        <v>0</v>
      </c>
      <c r="AZ1516" s="52" t="n">
        <v>0</v>
      </c>
      <c r="BA1516" s="52" t="n">
        <v>0</v>
      </c>
      <c r="BB1516" s="52" t="n">
        <v>0</v>
      </c>
      <c r="BC1516" s="51" t="n">
        <v>0</v>
      </c>
      <c r="BD1516" s="51" t="n">
        <v>0</v>
      </c>
      <c r="BE1516" s="51" t="n">
        <v>0</v>
      </c>
      <c r="BF1516" s="51" t="n">
        <v>0</v>
      </c>
    </row>
    <row r="1517">
      <c r="A1517">
        <f>HYPERLINK("https://www.walmart.com/ip/155436747", "155436747")</f>
        <v/>
      </c>
      <c r="B1517" t="inlineStr">
        <is>
          <t>JenniWears® Women's Seamless Mesh Hole Pothole Tube Dress</t>
        </is>
      </c>
      <c r="C1517" t="inlineStr">
        <is>
          <t>JWBD012YL-M</t>
        </is>
      </c>
      <c r="D1517" t="inlineStr">
        <is>
          <t>Dresses</t>
        </is>
      </c>
      <c r="E1517" t="inlineStr">
        <is>
          <t>JenniWears</t>
        </is>
      </c>
      <c r="F1517" t="inlineStr">
        <is>
          <t>Optimized,Valentine</t>
        </is>
      </c>
      <c r="G1517" s="48" t="n">
        <v>0</v>
      </c>
      <c r="H1517" s="48" t="n">
        <v>0</v>
      </c>
      <c r="I1517" s="48" t="n">
        <v>0</v>
      </c>
      <c r="J1517" s="48" t="n">
        <v>0</v>
      </c>
      <c r="K1517" s="49" t="n">
        <v>0</v>
      </c>
      <c r="L1517" s="49" t="n">
        <v>0</v>
      </c>
      <c r="M1517" s="49" t="n">
        <v>0</v>
      </c>
      <c r="N1517" s="49" t="n">
        <v>0</v>
      </c>
      <c r="O1517" s="49" t="n">
        <v>0</v>
      </c>
      <c r="P1517" s="49" t="n">
        <v>0</v>
      </c>
      <c r="Q1517" s="49" t="n">
        <v>0</v>
      </c>
      <c r="R1517" s="49" t="n">
        <v>0</v>
      </c>
      <c r="S1517" s="50" t="n">
        <v>0</v>
      </c>
      <c r="T1517" s="50" t="n">
        <v>0</v>
      </c>
      <c r="U1517" s="50" t="n">
        <v>0</v>
      </c>
      <c r="V1517" s="50" t="n">
        <v>0</v>
      </c>
      <c r="W1517" s="51" t="n">
        <v>0</v>
      </c>
      <c r="X1517" s="51" t="n">
        <v>0</v>
      </c>
      <c r="Y1517" s="51" t="n">
        <v>0</v>
      </c>
      <c r="Z1517" s="51" t="n">
        <v>0</v>
      </c>
      <c r="AA1517" s="52" t="n">
        <v>0</v>
      </c>
      <c r="AB1517" s="52" t="n">
        <v>0</v>
      </c>
      <c r="AC1517" s="52" t="n">
        <v>0</v>
      </c>
      <c r="AD1517" s="52" t="n">
        <v>0</v>
      </c>
      <c r="AE1517" s="52" t="n">
        <v>0</v>
      </c>
      <c r="AF1517" s="52" t="n">
        <v>0</v>
      </c>
      <c r="AG1517" s="52" t="n">
        <v>0</v>
      </c>
      <c r="AH1517" s="52" t="n">
        <v>0</v>
      </c>
      <c r="AI1517" s="52" t="n">
        <v>0</v>
      </c>
      <c r="AJ1517" s="52" t="n">
        <v>0</v>
      </c>
      <c r="AK1517" s="52" t="n">
        <v>0</v>
      </c>
      <c r="AL1517" s="52" t="n">
        <v>0</v>
      </c>
      <c r="AM1517" s="53" t="n">
        <v>0</v>
      </c>
      <c r="AN1517" s="53" t="n">
        <v>0</v>
      </c>
      <c r="AO1517" s="53" t="n">
        <v>0</v>
      </c>
      <c r="AP1517" s="53" t="n">
        <v>0</v>
      </c>
      <c r="AQ1517" s="52" t="n">
        <v>0</v>
      </c>
      <c r="AR1517" s="52" t="n">
        <v>0</v>
      </c>
      <c r="AS1517" s="52" t="n">
        <v>0</v>
      </c>
      <c r="AT1517" s="52" t="n">
        <v>0</v>
      </c>
      <c r="AU1517" s="53" t="n">
        <v>0</v>
      </c>
      <c r="AV1517" s="53" t="n">
        <v>0</v>
      </c>
      <c r="AW1517" s="53" t="n">
        <v>0</v>
      </c>
      <c r="AX1517" s="53" t="n">
        <v>0</v>
      </c>
      <c r="AY1517" s="52" t="n">
        <v>0</v>
      </c>
      <c r="AZ1517" s="52" t="n">
        <v>0</v>
      </c>
      <c r="BA1517" s="52" t="n">
        <v>0</v>
      </c>
      <c r="BB1517" s="52" t="n">
        <v>0</v>
      </c>
      <c r="BC1517" s="51" t="n">
        <v>0</v>
      </c>
      <c r="BD1517" s="51" t="n">
        <v>0</v>
      </c>
      <c r="BE1517" s="51" t="n">
        <v>0</v>
      </c>
      <c r="BF1517" s="51" t="n">
        <v>0</v>
      </c>
    </row>
    <row r="1518">
      <c r="A1518">
        <f>HYPERLINK("https://www.walmart.com/ip/155704180", "155704180")</f>
        <v/>
      </c>
      <c r="B1518" t="inlineStr">
        <is>
          <t>JenniWears® Women's Plus Size Sexy Lingerie Lace Babydolls 2 Pieces Mesh Chemises and G-string for Halloween</t>
        </is>
      </c>
      <c r="C1518" t="inlineStr">
        <is>
          <t>JWBD06BKGN-M</t>
        </is>
      </c>
      <c r="D1518" t="inlineStr">
        <is>
          <t>Lingerie Sets</t>
        </is>
      </c>
      <c r="E1518" t="inlineStr">
        <is>
          <t>JenniWears</t>
        </is>
      </c>
      <c r="F1518" t="inlineStr">
        <is>
          <t>Valentine</t>
        </is>
      </c>
      <c r="G1518" s="48" t="n">
        <v>0</v>
      </c>
      <c r="H1518" s="48" t="n">
        <v>0</v>
      </c>
      <c r="I1518" s="48" t="n">
        <v>0</v>
      </c>
      <c r="J1518" s="48" t="n">
        <v>0</v>
      </c>
      <c r="K1518" s="49" t="n">
        <v>0</v>
      </c>
      <c r="L1518" s="49" t="n">
        <v>0</v>
      </c>
      <c r="M1518" s="49" t="n">
        <v>0</v>
      </c>
      <c r="N1518" s="49" t="n">
        <v>0</v>
      </c>
      <c r="O1518" s="49" t="n">
        <v>0</v>
      </c>
      <c r="P1518" s="49" t="n">
        <v>0</v>
      </c>
      <c r="Q1518" s="49" t="n">
        <v>0</v>
      </c>
      <c r="R1518" s="49" t="n">
        <v>0</v>
      </c>
      <c r="S1518" s="50" t="n">
        <v>0</v>
      </c>
      <c r="T1518" s="50" t="n">
        <v>0</v>
      </c>
      <c r="U1518" s="50" t="n">
        <v>0</v>
      </c>
      <c r="V1518" s="50" t="n">
        <v>0</v>
      </c>
      <c r="W1518" s="51" t="n">
        <v>0</v>
      </c>
      <c r="X1518" s="51" t="n">
        <v>0</v>
      </c>
      <c r="Y1518" s="51" t="n">
        <v>0</v>
      </c>
      <c r="Z1518" s="51" t="n">
        <v>0</v>
      </c>
      <c r="AA1518" s="52" t="n">
        <v>0</v>
      </c>
      <c r="AB1518" s="52" t="n">
        <v>0</v>
      </c>
      <c r="AC1518" s="52" t="n">
        <v>0</v>
      </c>
      <c r="AD1518" s="52" t="n">
        <v>0</v>
      </c>
      <c r="AE1518" s="52" t="n">
        <v>0</v>
      </c>
      <c r="AF1518" s="52" t="n">
        <v>0</v>
      </c>
      <c r="AG1518" s="52" t="n">
        <v>0</v>
      </c>
      <c r="AH1518" s="52" t="n">
        <v>0</v>
      </c>
      <c r="AI1518" s="52" t="n">
        <v>0</v>
      </c>
      <c r="AJ1518" s="52" t="n">
        <v>0</v>
      </c>
      <c r="AK1518" s="52" t="n">
        <v>0</v>
      </c>
      <c r="AL1518" s="52" t="n">
        <v>0</v>
      </c>
      <c r="AM1518" s="53" t="n">
        <v>0</v>
      </c>
      <c r="AN1518" s="53" t="n">
        <v>0</v>
      </c>
      <c r="AO1518" s="53" t="n">
        <v>0</v>
      </c>
      <c r="AP1518" s="53" t="n">
        <v>0</v>
      </c>
      <c r="AQ1518" s="52" t="n">
        <v>0</v>
      </c>
      <c r="AR1518" s="52" t="n">
        <v>0</v>
      </c>
      <c r="AS1518" s="52" t="n">
        <v>0</v>
      </c>
      <c r="AT1518" s="52" t="n">
        <v>0</v>
      </c>
      <c r="AU1518" s="53" t="n">
        <v>0</v>
      </c>
      <c r="AV1518" s="53" t="n">
        <v>0</v>
      </c>
      <c r="AW1518" s="53" t="n">
        <v>0</v>
      </c>
      <c r="AX1518" s="53" t="n">
        <v>0</v>
      </c>
      <c r="AY1518" s="52" t="n">
        <v>0</v>
      </c>
      <c r="AZ1518" s="52" t="n">
        <v>0</v>
      </c>
      <c r="BA1518" s="52" t="n">
        <v>0</v>
      </c>
      <c r="BB1518" s="52" t="n">
        <v>0</v>
      </c>
      <c r="BC1518" s="51" t="n">
        <v>0</v>
      </c>
      <c r="BD1518" s="51" t="n">
        <v>0</v>
      </c>
      <c r="BE1518" s="51" t="n">
        <v>0</v>
      </c>
      <c r="BF1518" s="51" t="n">
        <v>0</v>
      </c>
    </row>
    <row r="1519">
      <c r="A1519">
        <f>HYPERLINK("https://www.walmart.com/ip/155786211", "155786211")</f>
        <v/>
      </c>
      <c r="B1519" t="inlineStr">
        <is>
          <t>JenniWears Sexy Sheer Black Fishnet Suspender Crotchless Pantyhose, Stockings for Women, One size, Waist 33", Hip 42" and Leg Length 32"-40"</t>
        </is>
      </c>
      <c r="C1519" t="inlineStr">
        <is>
          <t>JWBLSPH2029</t>
        </is>
      </c>
      <c r="D1519" t="inlineStr">
        <is>
          <t>Pantyhose &amp; Tights</t>
        </is>
      </c>
      <c r="E1519" t="inlineStr">
        <is>
          <t>JenniWears</t>
        </is>
      </c>
      <c r="F1519" t="inlineStr">
        <is>
          <t>Valentine</t>
        </is>
      </c>
      <c r="G1519" s="48" t="n">
        <v>0</v>
      </c>
      <c r="H1519" s="48" t="n">
        <v>0</v>
      </c>
      <c r="I1519" s="48" t="n">
        <v>0</v>
      </c>
      <c r="J1519" s="48" t="n">
        <v>0</v>
      </c>
      <c r="K1519" s="49" t="n">
        <v>0</v>
      </c>
      <c r="L1519" s="49" t="n">
        <v>0</v>
      </c>
      <c r="M1519" s="49" t="n">
        <v>0</v>
      </c>
      <c r="N1519" s="49" t="n">
        <v>0</v>
      </c>
      <c r="O1519" s="49" t="n">
        <v>0</v>
      </c>
      <c r="P1519" s="49" t="n">
        <v>0</v>
      </c>
      <c r="Q1519" s="49" t="n">
        <v>0</v>
      </c>
      <c r="R1519" s="49" t="n">
        <v>0</v>
      </c>
      <c r="S1519" s="50" t="n">
        <v>0</v>
      </c>
      <c r="T1519" s="50" t="n">
        <v>0</v>
      </c>
      <c r="U1519" s="50" t="n">
        <v>0</v>
      </c>
      <c r="V1519" s="50" t="n">
        <v>0</v>
      </c>
      <c r="W1519" s="51" t="n">
        <v>0</v>
      </c>
      <c r="X1519" s="51" t="n">
        <v>0</v>
      </c>
      <c r="Y1519" s="51" t="n">
        <v>0</v>
      </c>
      <c r="Z1519" s="51" t="n">
        <v>0</v>
      </c>
      <c r="AA1519" s="52" t="n">
        <v>0</v>
      </c>
      <c r="AB1519" s="52" t="n">
        <v>0</v>
      </c>
      <c r="AC1519" s="52" t="n">
        <v>0</v>
      </c>
      <c r="AD1519" s="52" t="n">
        <v>0</v>
      </c>
      <c r="AE1519" s="52" t="n">
        <v>0</v>
      </c>
      <c r="AF1519" s="52" t="n">
        <v>0</v>
      </c>
      <c r="AG1519" s="52" t="n">
        <v>0</v>
      </c>
      <c r="AH1519" s="52" t="n">
        <v>0</v>
      </c>
      <c r="AI1519" s="52" t="n">
        <v>0</v>
      </c>
      <c r="AJ1519" s="52" t="n">
        <v>0</v>
      </c>
      <c r="AK1519" s="52" t="n">
        <v>0</v>
      </c>
      <c r="AL1519" s="52" t="n">
        <v>0</v>
      </c>
      <c r="AM1519" s="53" t="n">
        <v>0</v>
      </c>
      <c r="AN1519" s="53" t="n">
        <v>0</v>
      </c>
      <c r="AO1519" s="53" t="n">
        <v>0</v>
      </c>
      <c r="AP1519" s="53" t="n">
        <v>0</v>
      </c>
      <c r="AQ1519" s="52" t="n">
        <v>0</v>
      </c>
      <c r="AR1519" s="52" t="n">
        <v>0</v>
      </c>
      <c r="AS1519" s="52" t="n">
        <v>0</v>
      </c>
      <c r="AT1519" s="52" t="n">
        <v>0</v>
      </c>
      <c r="AU1519" s="53" t="n">
        <v>0</v>
      </c>
      <c r="AV1519" s="53" t="n">
        <v>0</v>
      </c>
      <c r="AW1519" s="53" t="n">
        <v>0</v>
      </c>
      <c r="AX1519" s="53" t="n">
        <v>0</v>
      </c>
      <c r="AY1519" s="52" t="n">
        <v>0</v>
      </c>
      <c r="AZ1519" s="52" t="n">
        <v>0</v>
      </c>
      <c r="BA1519" s="52" t="n">
        <v>0</v>
      </c>
      <c r="BB1519" s="52" t="n">
        <v>0</v>
      </c>
      <c r="BC1519" s="51" t="n">
        <v>0</v>
      </c>
      <c r="BD1519" s="51" t="n">
        <v>0</v>
      </c>
      <c r="BE1519" s="51" t="n">
        <v>0</v>
      </c>
      <c r="BF1519" s="51" t="n">
        <v>0</v>
      </c>
    </row>
    <row r="1520">
      <c r="A1520">
        <f>HYPERLINK("https://www.walmart.com/ip/155885921", "155885921")</f>
        <v/>
      </c>
      <c r="B1520" t="inlineStr">
        <is>
          <t>Fashion Light Up LED Luminous Sequin Neck Ties Changeable Colors Necktie Led Fiber Tie Flashing Tie For Male/Female</t>
        </is>
      </c>
      <c r="C1520" t="inlineStr">
        <is>
          <t>LEDTIE01- GD</t>
        </is>
      </c>
      <c r="D1520" t="inlineStr">
        <is>
          <t>Party Favors</t>
        </is>
      </c>
      <c r="E1520" t="inlineStr">
        <is>
          <t>JenniWears</t>
        </is>
      </c>
      <c r="F1520" t="inlineStr">
        <is>
          <t>Optimized,Halloween</t>
        </is>
      </c>
      <c r="G1520" s="48" t="n">
        <v>0</v>
      </c>
      <c r="H1520" s="48" t="n">
        <v>0</v>
      </c>
      <c r="I1520" s="48" t="n">
        <v>0</v>
      </c>
      <c r="J1520" s="48" t="n">
        <v>0</v>
      </c>
      <c r="K1520" s="49" t="n">
        <v>0</v>
      </c>
      <c r="L1520" s="49" t="n">
        <v>0</v>
      </c>
      <c r="M1520" s="49" t="n">
        <v>0</v>
      </c>
      <c r="N1520" s="49" t="n">
        <v>0</v>
      </c>
      <c r="O1520" s="49" t="n">
        <v>0</v>
      </c>
      <c r="P1520" s="49" t="n">
        <v>0</v>
      </c>
      <c r="Q1520" s="49" t="n">
        <v>0</v>
      </c>
      <c r="R1520" s="49" t="n">
        <v>0</v>
      </c>
      <c r="S1520" s="50" t="n">
        <v>0</v>
      </c>
      <c r="T1520" s="50" t="n">
        <v>0</v>
      </c>
      <c r="U1520" s="50" t="n">
        <v>0</v>
      </c>
      <c r="V1520" s="50" t="n">
        <v>0</v>
      </c>
      <c r="W1520" s="51" t="n">
        <v>0</v>
      </c>
      <c r="X1520" s="51" t="n">
        <v>0</v>
      </c>
      <c r="Y1520" s="51" t="n">
        <v>0</v>
      </c>
      <c r="Z1520" s="51" t="n">
        <v>0</v>
      </c>
      <c r="AA1520" s="52" t="n">
        <v>0</v>
      </c>
      <c r="AB1520" s="52" t="n">
        <v>0</v>
      </c>
      <c r="AC1520" s="52" t="n">
        <v>0</v>
      </c>
      <c r="AD1520" s="52" t="n">
        <v>0</v>
      </c>
      <c r="AE1520" s="52" t="n">
        <v>0</v>
      </c>
      <c r="AF1520" s="52" t="n">
        <v>0</v>
      </c>
      <c r="AG1520" s="52" t="n">
        <v>0</v>
      </c>
      <c r="AH1520" s="52" t="n">
        <v>0</v>
      </c>
      <c r="AI1520" s="52" t="n">
        <v>0</v>
      </c>
      <c r="AJ1520" s="52" t="n">
        <v>0</v>
      </c>
      <c r="AK1520" s="52" t="n">
        <v>0</v>
      </c>
      <c r="AL1520" s="52" t="n">
        <v>0</v>
      </c>
      <c r="AM1520" s="53" t="n">
        <v>0</v>
      </c>
      <c r="AN1520" s="53" t="n">
        <v>0</v>
      </c>
      <c r="AO1520" s="53" t="n">
        <v>0</v>
      </c>
      <c r="AP1520" s="53" t="n">
        <v>0</v>
      </c>
      <c r="AQ1520" s="52" t="n">
        <v>0</v>
      </c>
      <c r="AR1520" s="52" t="n">
        <v>0</v>
      </c>
      <c r="AS1520" s="52" t="n">
        <v>0</v>
      </c>
      <c r="AT1520" s="52" t="n">
        <v>0</v>
      </c>
      <c r="AU1520" s="53" t="n">
        <v>0</v>
      </c>
      <c r="AV1520" s="53" t="n">
        <v>0</v>
      </c>
      <c r="AW1520" s="53" t="n">
        <v>0</v>
      </c>
      <c r="AX1520" s="53" t="n">
        <v>0</v>
      </c>
      <c r="AY1520" s="52" t="n">
        <v>0</v>
      </c>
      <c r="AZ1520" s="52" t="n">
        <v>0</v>
      </c>
      <c r="BA1520" s="52" t="n">
        <v>0</v>
      </c>
      <c r="BB1520" s="52" t="n">
        <v>0</v>
      </c>
      <c r="BC1520" s="51" t="n">
        <v>0</v>
      </c>
      <c r="BD1520" s="51" t="n">
        <v>0</v>
      </c>
      <c r="BE1520" s="51" t="n">
        <v>0</v>
      </c>
      <c r="BF1520" s="51" t="n">
        <v>0</v>
      </c>
    </row>
    <row r="1521">
      <c r="A1521">
        <f>HYPERLINK("https://www.walmart.com/ip/1559042104", "1559042104")</f>
        <v/>
      </c>
      <c r="B1521" t="inlineStr">
        <is>
          <t>Every Day is Christmas Glass Blown Ornaments 2021 Cute Hand Made Figurines Tree Decoration, Rocket Santa</t>
        </is>
      </c>
      <c r="C1521" t="inlineStr">
        <is>
          <t>EDC-FIGURINE-ROCKETSANTA</t>
        </is>
      </c>
      <c r="D1521" t="inlineStr">
        <is>
          <t>Ornaments</t>
        </is>
      </c>
      <c r="E1521" t="inlineStr">
        <is>
          <t>Every Day is Christmas</t>
        </is>
      </c>
      <c r="G1521" s="48" t="n">
        <v>0</v>
      </c>
      <c r="H1521" s="48" t="n">
        <v>0</v>
      </c>
      <c r="I1521" s="48" t="n">
        <v>0</v>
      </c>
      <c r="J1521" s="48" t="n">
        <v>0</v>
      </c>
      <c r="K1521" s="49" t="n">
        <v>0</v>
      </c>
      <c r="L1521" s="49" t="n">
        <v>0</v>
      </c>
      <c r="M1521" s="49" t="n">
        <v>0</v>
      </c>
      <c r="N1521" s="49" t="n">
        <v>0</v>
      </c>
      <c r="O1521" s="49" t="n">
        <v>0</v>
      </c>
      <c r="P1521" s="49" t="n">
        <v>0</v>
      </c>
      <c r="Q1521" s="49" t="n">
        <v>0</v>
      </c>
      <c r="R1521" s="49" t="n">
        <v>0</v>
      </c>
      <c r="S1521" s="50" t="n">
        <v>0</v>
      </c>
      <c r="T1521" s="50" t="n">
        <v>0</v>
      </c>
      <c r="U1521" s="50" t="n">
        <v>0</v>
      </c>
      <c r="V1521" s="50" t="n">
        <v>0</v>
      </c>
      <c r="W1521" s="51" t="n">
        <v>0</v>
      </c>
      <c r="X1521" s="51" t="n">
        <v>0</v>
      </c>
      <c r="Y1521" s="51" t="n">
        <v>0</v>
      </c>
      <c r="Z1521" s="51" t="n">
        <v>0</v>
      </c>
      <c r="AA1521" s="52" t="n">
        <v>0</v>
      </c>
      <c r="AB1521" s="52" t="n">
        <v>0</v>
      </c>
      <c r="AC1521" s="52" t="n">
        <v>0</v>
      </c>
      <c r="AD1521" s="52" t="n">
        <v>0</v>
      </c>
      <c r="AE1521" s="52" t="n">
        <v>0</v>
      </c>
      <c r="AF1521" s="52" t="n">
        <v>0</v>
      </c>
      <c r="AG1521" s="52" t="n">
        <v>0</v>
      </c>
      <c r="AH1521" s="52" t="n">
        <v>0</v>
      </c>
      <c r="AI1521" s="52" t="n">
        <v>0</v>
      </c>
      <c r="AJ1521" s="52" t="n">
        <v>0</v>
      </c>
      <c r="AK1521" s="52" t="n">
        <v>0</v>
      </c>
      <c r="AL1521" s="52" t="n">
        <v>0</v>
      </c>
      <c r="AM1521" s="53" t="n">
        <v>0</v>
      </c>
      <c r="AN1521" s="53" t="n">
        <v>0</v>
      </c>
      <c r="AO1521" s="53" t="n">
        <v>0</v>
      </c>
      <c r="AP1521" s="53" t="n">
        <v>0</v>
      </c>
      <c r="AQ1521" s="52" t="n">
        <v>0</v>
      </c>
      <c r="AR1521" s="52" t="n">
        <v>0</v>
      </c>
      <c r="AS1521" s="52" t="n">
        <v>0</v>
      </c>
      <c r="AT1521" s="52" t="n">
        <v>0</v>
      </c>
      <c r="AU1521" s="53" t="n">
        <v>0</v>
      </c>
      <c r="AV1521" s="53" t="n">
        <v>0</v>
      </c>
      <c r="AW1521" s="53" t="n">
        <v>0</v>
      </c>
      <c r="AX1521" s="53" t="n">
        <v>0</v>
      </c>
      <c r="AY1521" s="52" t="n">
        <v>0</v>
      </c>
      <c r="AZ1521" s="52" t="n">
        <v>0</v>
      </c>
      <c r="BA1521" s="52" t="n">
        <v>0</v>
      </c>
      <c r="BB1521" s="52" t="n">
        <v>0</v>
      </c>
      <c r="BC1521" s="51" t="n">
        <v>0</v>
      </c>
      <c r="BD1521" s="51" t="n">
        <v>0</v>
      </c>
      <c r="BE1521" s="51" t="n">
        <v>0</v>
      </c>
      <c r="BF1521" s="51" t="n">
        <v>0</v>
      </c>
    </row>
    <row r="1522">
      <c r="A1522">
        <f>HYPERLINK("https://www.walmart.com/ip/1560127534", "1560127534")</f>
        <v/>
      </c>
      <c r="B1522" t="inlineStr">
        <is>
          <t>Every Day is Christmas Glass Blown Ornaments Cute Hand Made Figurines Tree Decoration, Calculator</t>
        </is>
      </c>
      <c r="C1522" t="inlineStr">
        <is>
          <t>EDC-FIGURINE-CALCULATOR</t>
        </is>
      </c>
      <c r="D1522" t="inlineStr">
        <is>
          <t>Ornaments</t>
        </is>
      </c>
      <c r="E1522" t="inlineStr">
        <is>
          <t>Every Day is Christmas</t>
        </is>
      </c>
      <c r="G1522" s="48" t="n">
        <v>0</v>
      </c>
      <c r="H1522" s="48" t="n">
        <v>0</v>
      </c>
      <c r="I1522" s="48" t="n">
        <v>0</v>
      </c>
      <c r="J1522" s="48" t="n">
        <v>0</v>
      </c>
      <c r="K1522" s="49" t="n">
        <v>0</v>
      </c>
      <c r="L1522" s="49" t="n">
        <v>0</v>
      </c>
      <c r="M1522" s="49" t="n">
        <v>0</v>
      </c>
      <c r="N1522" s="49" t="n">
        <v>0</v>
      </c>
      <c r="O1522" s="49" t="n">
        <v>0</v>
      </c>
      <c r="P1522" s="49" t="n">
        <v>0</v>
      </c>
      <c r="Q1522" s="49" t="n">
        <v>0</v>
      </c>
      <c r="R1522" s="49" t="n">
        <v>0</v>
      </c>
      <c r="S1522" s="50" t="n">
        <v>0</v>
      </c>
      <c r="T1522" s="50" t="n">
        <v>0</v>
      </c>
      <c r="U1522" s="50" t="n">
        <v>0</v>
      </c>
      <c r="V1522" s="50" t="n">
        <v>0</v>
      </c>
      <c r="W1522" s="51" t="n">
        <v>0</v>
      </c>
      <c r="X1522" s="51" t="n">
        <v>0</v>
      </c>
      <c r="Y1522" s="51" t="n">
        <v>0</v>
      </c>
      <c r="Z1522" s="51" t="n">
        <v>0</v>
      </c>
      <c r="AA1522" s="52" t="n">
        <v>0</v>
      </c>
      <c r="AB1522" s="52" t="n">
        <v>0</v>
      </c>
      <c r="AC1522" s="52" t="n">
        <v>0</v>
      </c>
      <c r="AD1522" s="52" t="n">
        <v>0</v>
      </c>
      <c r="AE1522" s="52" t="n">
        <v>0</v>
      </c>
      <c r="AF1522" s="52" t="n">
        <v>0</v>
      </c>
      <c r="AG1522" s="52" t="n">
        <v>0</v>
      </c>
      <c r="AH1522" s="52" t="n">
        <v>0</v>
      </c>
      <c r="AI1522" s="52" t="n">
        <v>0</v>
      </c>
      <c r="AJ1522" s="52" t="n">
        <v>0</v>
      </c>
      <c r="AK1522" s="52" t="n">
        <v>0</v>
      </c>
      <c r="AL1522" s="52" t="n">
        <v>0</v>
      </c>
      <c r="AM1522" s="53" t="n">
        <v>0</v>
      </c>
      <c r="AN1522" s="53" t="n">
        <v>0</v>
      </c>
      <c r="AO1522" s="53" t="n">
        <v>0</v>
      </c>
      <c r="AP1522" s="53" t="n">
        <v>0</v>
      </c>
      <c r="AQ1522" s="52" t="n">
        <v>0</v>
      </c>
      <c r="AR1522" s="52" t="n">
        <v>0</v>
      </c>
      <c r="AS1522" s="52" t="n">
        <v>0</v>
      </c>
      <c r="AT1522" s="52" t="n">
        <v>0</v>
      </c>
      <c r="AU1522" s="53" t="n">
        <v>0</v>
      </c>
      <c r="AV1522" s="53" t="n">
        <v>0</v>
      </c>
      <c r="AW1522" s="53" t="n">
        <v>0</v>
      </c>
      <c r="AX1522" s="53" t="n">
        <v>0</v>
      </c>
      <c r="AY1522" s="52" t="n">
        <v>0</v>
      </c>
      <c r="AZ1522" s="52" t="n">
        <v>0</v>
      </c>
      <c r="BA1522" s="52" t="n">
        <v>0</v>
      </c>
      <c r="BB1522" s="52" t="n">
        <v>0</v>
      </c>
      <c r="BC1522" s="51" t="n">
        <v>0</v>
      </c>
      <c r="BD1522" s="51" t="n">
        <v>0</v>
      </c>
      <c r="BE1522" s="51" t="n">
        <v>0</v>
      </c>
      <c r="BF1522" s="51" t="n">
        <v>0</v>
      </c>
    </row>
    <row r="1523">
      <c r="A1523">
        <f>HYPERLINK("https://www.walmart.com/ip/1565698344", "1565698344")</f>
        <v/>
      </c>
      <c r="B1523" t="inlineStr">
        <is>
          <t>Women’s Plush Hoodie Sweatshirt Dress, Casual Pullover Sweater with Kangaroo Pocket, One Size</t>
        </is>
      </c>
      <c r="C1523" t="inlineStr">
        <is>
          <t>1CTHD531DGY</t>
        </is>
      </c>
      <c r="D1523" t="inlineStr">
        <is>
          <t>Sweatshirts &amp; Hoodies</t>
        </is>
      </c>
      <c r="E1523" t="inlineStr">
        <is>
          <t>Catalonia</t>
        </is>
      </c>
      <c r="F1523" t="inlineStr">
        <is>
          <t>Batch 1 - TR</t>
        </is>
      </c>
      <c r="G1523" s="48" t="n">
        <v>0</v>
      </c>
      <c r="H1523" s="48" t="n">
        <v>0</v>
      </c>
      <c r="I1523" s="48" t="n">
        <v>0</v>
      </c>
      <c r="J1523" s="48" t="n">
        <v>0</v>
      </c>
      <c r="K1523" s="49" t="n">
        <v>0</v>
      </c>
      <c r="L1523" s="49" t="n">
        <v>0</v>
      </c>
      <c r="M1523" s="49" t="n">
        <v>0</v>
      </c>
      <c r="N1523" s="49" t="n">
        <v>0</v>
      </c>
      <c r="O1523" s="49" t="n">
        <v>0</v>
      </c>
      <c r="P1523" s="49" t="n">
        <v>0</v>
      </c>
      <c r="Q1523" s="49" t="n">
        <v>0</v>
      </c>
      <c r="R1523" s="49" t="n">
        <v>0</v>
      </c>
      <c r="S1523" s="50" t="n">
        <v>0</v>
      </c>
      <c r="T1523" s="50" t="n">
        <v>0</v>
      </c>
      <c r="U1523" s="50" t="n">
        <v>0</v>
      </c>
      <c r="V1523" s="50" t="n">
        <v>0</v>
      </c>
      <c r="W1523" s="51" t="n">
        <v>0</v>
      </c>
      <c r="X1523" s="51" t="n">
        <v>0</v>
      </c>
      <c r="Y1523" s="51" t="n">
        <v>0</v>
      </c>
      <c r="Z1523" s="51" t="n">
        <v>0</v>
      </c>
      <c r="AA1523" s="52" t="n">
        <v>0</v>
      </c>
      <c r="AB1523" s="52" t="n">
        <v>0</v>
      </c>
      <c r="AC1523" s="52" t="n">
        <v>0</v>
      </c>
      <c r="AD1523" s="52" t="n">
        <v>0</v>
      </c>
      <c r="AE1523" s="52" t="n">
        <v>0</v>
      </c>
      <c r="AF1523" s="52" t="n">
        <v>0</v>
      </c>
      <c r="AG1523" s="52" t="n">
        <v>0</v>
      </c>
      <c r="AH1523" s="52" t="n">
        <v>0</v>
      </c>
      <c r="AI1523" s="52" t="n">
        <v>0</v>
      </c>
      <c r="AJ1523" s="52" t="n">
        <v>0</v>
      </c>
      <c r="AK1523" s="52" t="n">
        <v>0</v>
      </c>
      <c r="AL1523" s="52" t="n">
        <v>0</v>
      </c>
      <c r="AM1523" s="53" t="n">
        <v>0</v>
      </c>
      <c r="AN1523" s="53" t="n">
        <v>0</v>
      </c>
      <c r="AO1523" s="53" t="n">
        <v>0</v>
      </c>
      <c r="AP1523" s="53" t="n">
        <v>0</v>
      </c>
      <c r="AQ1523" s="52" t="n">
        <v>0</v>
      </c>
      <c r="AR1523" s="52" t="n">
        <v>0</v>
      </c>
      <c r="AS1523" s="52" t="n">
        <v>0</v>
      </c>
      <c r="AT1523" s="52" t="n">
        <v>0</v>
      </c>
      <c r="AU1523" s="53" t="n">
        <v>0</v>
      </c>
      <c r="AV1523" s="53" t="n">
        <v>0</v>
      </c>
      <c r="AW1523" s="53" t="n">
        <v>0</v>
      </c>
      <c r="AX1523" s="53" t="n">
        <v>0</v>
      </c>
      <c r="AY1523" s="52" t="n">
        <v>0</v>
      </c>
      <c r="AZ1523" s="52" t="n">
        <v>0</v>
      </c>
      <c r="BA1523" s="52" t="n">
        <v>0</v>
      </c>
      <c r="BB1523" s="52" t="n">
        <v>0</v>
      </c>
      <c r="BC1523" s="51" t="n">
        <v>0</v>
      </c>
      <c r="BD1523" s="51" t="n">
        <v>0</v>
      </c>
      <c r="BE1523" s="51" t="n">
        <v>0</v>
      </c>
      <c r="BF1523" s="51" t="n">
        <v>0</v>
      </c>
    </row>
    <row r="1524">
      <c r="A1524">
        <f>HYPERLINK("https://www.walmart.com/ip/1566465841", "1566465841")</f>
        <v/>
      </c>
      <c r="B1524" t="inlineStr">
        <is>
          <t>12 Pack Sun Blocker Women's Sun Hat UPF 50+ Bucket Cap Packable Outdoor Travel Hat , Blue Pattern</t>
        </is>
      </c>
      <c r="C1524" t="inlineStr">
        <is>
          <t>KC-S9200-BL-12pcs</t>
        </is>
      </c>
      <c r="D1524" t="inlineStr">
        <is>
          <t>Hats</t>
        </is>
      </c>
      <c r="E1524" t="inlineStr">
        <is>
          <t>Sun Blocker</t>
        </is>
      </c>
      <c r="F1524" t="inlineStr">
        <is>
          <t>Batch 1 - TR</t>
        </is>
      </c>
      <c r="G1524" s="48" t="n">
        <v>0</v>
      </c>
      <c r="H1524" s="48" t="n">
        <v>0</v>
      </c>
      <c r="I1524" s="48" t="n">
        <v>0</v>
      </c>
      <c r="J1524" s="48" t="n">
        <v>0</v>
      </c>
      <c r="K1524" s="49" t="n">
        <v>0</v>
      </c>
      <c r="L1524" s="49" t="n">
        <v>0</v>
      </c>
      <c r="M1524" s="49" t="n">
        <v>0</v>
      </c>
      <c r="N1524" s="49" t="n">
        <v>0</v>
      </c>
      <c r="O1524" s="49" t="n">
        <v>0</v>
      </c>
      <c r="P1524" s="49" t="n">
        <v>0</v>
      </c>
      <c r="Q1524" s="49" t="n">
        <v>0</v>
      </c>
      <c r="R1524" s="49" t="n">
        <v>0</v>
      </c>
      <c r="S1524" s="50" t="n">
        <v>0</v>
      </c>
      <c r="T1524" s="50" t="n">
        <v>0</v>
      </c>
      <c r="U1524" s="50" t="n">
        <v>0</v>
      </c>
      <c r="V1524" s="50" t="n">
        <v>0</v>
      </c>
      <c r="W1524" s="51" t="n">
        <v>0</v>
      </c>
      <c r="X1524" s="51" t="n">
        <v>0</v>
      </c>
      <c r="Y1524" s="51" t="n">
        <v>0</v>
      </c>
      <c r="Z1524" s="51" t="n">
        <v>0</v>
      </c>
      <c r="AA1524" s="52" t="n">
        <v>0</v>
      </c>
      <c r="AB1524" s="52" t="n">
        <v>0</v>
      </c>
      <c r="AC1524" s="52" t="n">
        <v>0</v>
      </c>
      <c r="AD1524" s="52" t="n">
        <v>0</v>
      </c>
      <c r="AE1524" s="52" t="n">
        <v>0</v>
      </c>
      <c r="AF1524" s="52" t="n">
        <v>0</v>
      </c>
      <c r="AG1524" s="52" t="n">
        <v>0</v>
      </c>
      <c r="AH1524" s="52" t="n">
        <v>0</v>
      </c>
      <c r="AI1524" s="52" t="n">
        <v>0</v>
      </c>
      <c r="AJ1524" s="52" t="n">
        <v>0</v>
      </c>
      <c r="AK1524" s="52" t="n">
        <v>0</v>
      </c>
      <c r="AL1524" s="52" t="n">
        <v>0</v>
      </c>
      <c r="AM1524" s="53" t="n">
        <v>0</v>
      </c>
      <c r="AN1524" s="53" t="n">
        <v>0</v>
      </c>
      <c r="AO1524" s="53" t="n">
        <v>0</v>
      </c>
      <c r="AP1524" s="53" t="n">
        <v>0</v>
      </c>
      <c r="AQ1524" s="52" t="n">
        <v>0</v>
      </c>
      <c r="AR1524" s="52" t="n">
        <v>0</v>
      </c>
      <c r="AS1524" s="52" t="n">
        <v>0</v>
      </c>
      <c r="AT1524" s="52" t="n">
        <v>0</v>
      </c>
      <c r="AU1524" s="53" t="n">
        <v>0</v>
      </c>
      <c r="AV1524" s="53" t="n">
        <v>0</v>
      </c>
      <c r="AW1524" s="53" t="n">
        <v>0</v>
      </c>
      <c r="AX1524" s="53" t="n">
        <v>0</v>
      </c>
      <c r="AY1524" s="52" t="n">
        <v>0</v>
      </c>
      <c r="AZ1524" s="52" t="n">
        <v>0</v>
      </c>
      <c r="BA1524" s="52" t="n">
        <v>0</v>
      </c>
      <c r="BB1524" s="52" t="n">
        <v>0</v>
      </c>
      <c r="BC1524" s="51" t="n">
        <v>0</v>
      </c>
      <c r="BD1524" s="51" t="n">
        <v>0</v>
      </c>
      <c r="BE1524" s="51" t="n">
        <v>0</v>
      </c>
      <c r="BF1524" s="51" t="n">
        <v>0</v>
      </c>
    </row>
    <row r="1525">
      <c r="A1525">
        <f>HYPERLINK("https://www.walmart.com/ip/1568272692", "1568272692")</f>
        <v/>
      </c>
      <c r="B1525" t="inlineStr">
        <is>
          <t>Tirrinia Outdoors Waterproof Throw Blanket, Stadium Windproof Sherpa Fleece Blanket for Traveling, Camping, Hiking, and Football, Machine Washable,Green/Black, 60'' x 80''</t>
        </is>
      </c>
      <c r="C1525" t="inlineStr">
        <is>
          <t>1TRBW608GNBK</t>
        </is>
      </c>
      <c r="D1525" t="inlineStr">
        <is>
          <t>Throws</t>
        </is>
      </c>
      <c r="E1525" t="inlineStr">
        <is>
          <t>Tirrinia</t>
        </is>
      </c>
      <c r="F1525" t="inlineStr">
        <is>
          <t>Q2-Target,Batch 1 - TR</t>
        </is>
      </c>
      <c r="G1525" s="48" t="n">
        <v>0</v>
      </c>
      <c r="H1525" s="48" t="n">
        <v>0</v>
      </c>
      <c r="I1525" s="48" t="n">
        <v>0</v>
      </c>
      <c r="J1525" s="48" t="n">
        <v>0</v>
      </c>
      <c r="K1525" s="49" t="n">
        <v>0</v>
      </c>
      <c r="L1525" s="49" t="n">
        <v>0</v>
      </c>
      <c r="M1525" s="49" t="n">
        <v>0</v>
      </c>
      <c r="N1525" s="49" t="n">
        <v>0</v>
      </c>
      <c r="O1525" s="49" t="n">
        <v>0</v>
      </c>
      <c r="P1525" s="49" t="n">
        <v>0</v>
      </c>
      <c r="Q1525" s="49" t="n">
        <v>0</v>
      </c>
      <c r="R1525" s="49" t="n">
        <v>0</v>
      </c>
      <c r="S1525" s="50" t="n">
        <v>0</v>
      </c>
      <c r="T1525" s="50" t="n">
        <v>0</v>
      </c>
      <c r="U1525" s="50" t="n">
        <v>0</v>
      </c>
      <c r="V1525" s="50" t="n">
        <v>0</v>
      </c>
      <c r="W1525" s="51" t="n">
        <v>5</v>
      </c>
      <c r="X1525" s="51" t="n">
        <v>3</v>
      </c>
      <c r="Y1525" s="51" t="n">
        <v>0</v>
      </c>
      <c r="Z1525" s="51" t="n">
        <v>0</v>
      </c>
      <c r="AA1525" s="52" t="n">
        <v>1.24</v>
      </c>
      <c r="AB1525" s="52" t="n">
        <v>0.9299999999999999</v>
      </c>
      <c r="AC1525" s="52" t="n">
        <v>0</v>
      </c>
      <c r="AD1525" s="52" t="n">
        <v>0</v>
      </c>
      <c r="AE1525" s="52" t="n">
        <v>0</v>
      </c>
      <c r="AF1525" s="52" t="n">
        <v>0</v>
      </c>
      <c r="AG1525" s="52" t="n">
        <v>0</v>
      </c>
      <c r="AH1525" s="52" t="n">
        <v>0</v>
      </c>
      <c r="AI1525" s="52" t="n">
        <v>0</v>
      </c>
      <c r="AJ1525" s="52" t="n">
        <v>0</v>
      </c>
      <c r="AK1525" s="52" t="n">
        <v>0</v>
      </c>
      <c r="AL1525" s="52" t="n">
        <v>0</v>
      </c>
      <c r="AM1525" s="53" t="n">
        <v>0.0022</v>
      </c>
      <c r="AN1525" s="53" t="n">
        <v>0.0013</v>
      </c>
      <c r="AO1525" s="53" t="n">
        <v>0</v>
      </c>
      <c r="AP1525" s="53" t="n">
        <v>0</v>
      </c>
      <c r="AQ1525" s="52" t="n">
        <v>0.248</v>
      </c>
      <c r="AR1525" s="52" t="n">
        <v>0.31</v>
      </c>
      <c r="AS1525" s="52" t="n">
        <v>0</v>
      </c>
      <c r="AT1525" s="52" t="n">
        <v>0</v>
      </c>
      <c r="AU1525" s="53" t="n">
        <v>0</v>
      </c>
      <c r="AV1525" s="53" t="n">
        <v>0</v>
      </c>
      <c r="AW1525" s="53" t="n">
        <v>0</v>
      </c>
      <c r="AX1525" s="53" t="n">
        <v>0</v>
      </c>
      <c r="AY1525" s="52" t="n">
        <v>0</v>
      </c>
      <c r="AZ1525" s="52" t="n">
        <v>0</v>
      </c>
      <c r="BA1525" s="52" t="n">
        <v>0</v>
      </c>
      <c r="BB1525" s="52" t="n">
        <v>0</v>
      </c>
      <c r="BC1525" s="51" t="n">
        <v>2298</v>
      </c>
      <c r="BD1525" s="51" t="n">
        <v>2318</v>
      </c>
      <c r="BE1525" s="51" t="n">
        <v>0</v>
      </c>
      <c r="BF1525" s="51" t="n">
        <v>528</v>
      </c>
    </row>
    <row r="1526">
      <c r="A1526">
        <f>HYPERLINK("https://www.walmart.com/ip/1573024516", "1573024516")</f>
        <v/>
      </c>
      <c r="B1526" t="inlineStr">
        <is>
          <t>Tirrinia Wearable Fleece Blanket for Women &amp; Men, Super-Soft Microplush TV Blanket Adult Wrap Full Body Robe for Lounge Couch, Red Christmas, 73" x 51".</t>
        </is>
      </c>
      <c r="C1526" t="inlineStr">
        <is>
          <t>1TRSN100RDDOT-TBCB</t>
        </is>
      </c>
      <c r="D1526" t="inlineStr">
        <is>
          <t>Throws</t>
        </is>
      </c>
      <c r="E1526" t="inlineStr">
        <is>
          <t>Tirrinia</t>
        </is>
      </c>
      <c r="F1526" t="inlineStr">
        <is>
          <t>Q2-Target,Coupon_Discount,Fleece Blankets</t>
        </is>
      </c>
      <c r="G1526" s="48" t="n">
        <v>0</v>
      </c>
      <c r="H1526" s="48" t="n">
        <v>0</v>
      </c>
      <c r="I1526" s="48" t="n">
        <v>0</v>
      </c>
      <c r="J1526" s="48" t="n">
        <v>0</v>
      </c>
      <c r="K1526" s="49" t="n">
        <v>0</v>
      </c>
      <c r="L1526" s="49" t="n">
        <v>0</v>
      </c>
      <c r="M1526" s="49" t="n">
        <v>0</v>
      </c>
      <c r="N1526" s="49" t="n">
        <v>0</v>
      </c>
      <c r="O1526" s="49" t="n">
        <v>1</v>
      </c>
      <c r="P1526" s="49" t="n">
        <v>1</v>
      </c>
      <c r="Q1526" s="49" t="n">
        <v>1</v>
      </c>
      <c r="R1526" s="49" t="n">
        <v>1</v>
      </c>
      <c r="S1526" s="50" t="n">
        <v>0</v>
      </c>
      <c r="T1526" s="50" t="n">
        <v>0</v>
      </c>
      <c r="U1526" s="50" t="n">
        <v>0</v>
      </c>
      <c r="V1526" s="50" t="n">
        <v>0</v>
      </c>
      <c r="W1526" s="51" t="n">
        <v>0</v>
      </c>
      <c r="X1526" s="51" t="n">
        <v>0</v>
      </c>
      <c r="Y1526" s="51" t="n">
        <v>0</v>
      </c>
      <c r="Z1526" s="51" t="n">
        <v>0</v>
      </c>
      <c r="AA1526" s="52" t="n">
        <v>0</v>
      </c>
      <c r="AB1526" s="52" t="n">
        <v>0</v>
      </c>
      <c r="AC1526" s="52" t="n">
        <v>0</v>
      </c>
      <c r="AD1526" s="52" t="n">
        <v>0</v>
      </c>
      <c r="AE1526" s="52" t="n">
        <v>0</v>
      </c>
      <c r="AF1526" s="52" t="n">
        <v>0</v>
      </c>
      <c r="AG1526" s="52" t="n">
        <v>0</v>
      </c>
      <c r="AH1526" s="52" t="n">
        <v>0</v>
      </c>
      <c r="AI1526" s="52" t="n">
        <v>0</v>
      </c>
      <c r="AJ1526" s="52" t="n">
        <v>0</v>
      </c>
      <c r="AK1526" s="52" t="n">
        <v>0</v>
      </c>
      <c r="AL1526" s="52" t="n">
        <v>0</v>
      </c>
      <c r="AM1526" s="53" t="n">
        <v>0</v>
      </c>
      <c r="AN1526" s="53" t="n">
        <v>0</v>
      </c>
      <c r="AO1526" s="53" t="n">
        <v>0</v>
      </c>
      <c r="AP1526" s="53" t="n">
        <v>0</v>
      </c>
      <c r="AQ1526" s="52" t="n">
        <v>0</v>
      </c>
      <c r="AR1526" s="52" t="n">
        <v>0</v>
      </c>
      <c r="AS1526" s="52" t="n">
        <v>0</v>
      </c>
      <c r="AT1526" s="52" t="n">
        <v>0</v>
      </c>
      <c r="AU1526" s="53" t="n">
        <v>0</v>
      </c>
      <c r="AV1526" s="53" t="n">
        <v>0</v>
      </c>
      <c r="AW1526" s="53" t="n">
        <v>0</v>
      </c>
      <c r="AX1526" s="53" t="n">
        <v>0</v>
      </c>
      <c r="AY1526" s="52" t="n">
        <v>0</v>
      </c>
      <c r="AZ1526" s="52" t="n">
        <v>0</v>
      </c>
      <c r="BA1526" s="52" t="n">
        <v>0</v>
      </c>
      <c r="BB1526" s="52" t="n">
        <v>0</v>
      </c>
      <c r="BC1526" s="51" t="n">
        <v>0</v>
      </c>
      <c r="BD1526" s="51" t="n">
        <v>0</v>
      </c>
      <c r="BE1526" s="51" t="n">
        <v>0</v>
      </c>
      <c r="BF1526" s="51" t="n">
        <v>0</v>
      </c>
    </row>
    <row r="1527">
      <c r="A1527">
        <f>HYPERLINK("https://www.walmart.com/ip/157648196", "157648196")</f>
        <v/>
      </c>
      <c r="B1527" t="inlineStr">
        <is>
          <t>Jenniwears Women's Sexy Lingerie Lace Mesh 2-Piece Bowknot Halter Chemise with G-String</t>
        </is>
      </c>
      <c r="C1527" t="inlineStr">
        <is>
          <t>JWND03GN</t>
        </is>
      </c>
      <c r="D1527" t="inlineStr">
        <is>
          <t>Lingerie Sets</t>
        </is>
      </c>
      <c r="E1527" t="inlineStr">
        <is>
          <t>JenniWears</t>
        </is>
      </c>
      <c r="F1527" t="inlineStr">
        <is>
          <t>Optimized,Valentine</t>
        </is>
      </c>
      <c r="G1527" s="48" t="n">
        <v>0</v>
      </c>
      <c r="H1527" s="48" t="n">
        <v>0</v>
      </c>
      <c r="I1527" s="48" t="n">
        <v>0</v>
      </c>
      <c r="J1527" s="48" t="n">
        <v>0</v>
      </c>
      <c r="K1527" s="49" t="n">
        <v>0</v>
      </c>
      <c r="L1527" s="49" t="n">
        <v>0</v>
      </c>
      <c r="M1527" s="49" t="n">
        <v>0</v>
      </c>
      <c r="N1527" s="49" t="n">
        <v>0</v>
      </c>
      <c r="O1527" s="49" t="n">
        <v>0</v>
      </c>
      <c r="P1527" s="49" t="n">
        <v>0</v>
      </c>
      <c r="Q1527" s="49" t="n">
        <v>0</v>
      </c>
      <c r="R1527" s="49" t="n">
        <v>0</v>
      </c>
      <c r="S1527" s="50" t="n">
        <v>0</v>
      </c>
      <c r="T1527" s="50" t="n">
        <v>0</v>
      </c>
      <c r="U1527" s="50" t="n">
        <v>0</v>
      </c>
      <c r="V1527" s="50" t="n">
        <v>0</v>
      </c>
      <c r="W1527" s="51" t="n">
        <v>0</v>
      </c>
      <c r="X1527" s="51" t="n">
        <v>0</v>
      </c>
      <c r="Y1527" s="51" t="n">
        <v>0</v>
      </c>
      <c r="Z1527" s="51" t="n">
        <v>0</v>
      </c>
      <c r="AA1527" s="52" t="n">
        <v>0</v>
      </c>
      <c r="AB1527" s="52" t="n">
        <v>0</v>
      </c>
      <c r="AC1527" s="52" t="n">
        <v>0</v>
      </c>
      <c r="AD1527" s="52" t="n">
        <v>0</v>
      </c>
      <c r="AE1527" s="52" t="n">
        <v>0</v>
      </c>
      <c r="AF1527" s="52" t="n">
        <v>0</v>
      </c>
      <c r="AG1527" s="52" t="n">
        <v>0</v>
      </c>
      <c r="AH1527" s="52" t="n">
        <v>0</v>
      </c>
      <c r="AI1527" s="52" t="n">
        <v>0</v>
      </c>
      <c r="AJ1527" s="52" t="n">
        <v>0</v>
      </c>
      <c r="AK1527" s="52" t="n">
        <v>0</v>
      </c>
      <c r="AL1527" s="52" t="n">
        <v>0</v>
      </c>
      <c r="AM1527" s="53" t="n">
        <v>0</v>
      </c>
      <c r="AN1527" s="53" t="n">
        <v>0</v>
      </c>
      <c r="AO1527" s="53" t="n">
        <v>0</v>
      </c>
      <c r="AP1527" s="53" t="n">
        <v>0</v>
      </c>
      <c r="AQ1527" s="52" t="n">
        <v>0</v>
      </c>
      <c r="AR1527" s="52" t="n">
        <v>0</v>
      </c>
      <c r="AS1527" s="52" t="n">
        <v>0</v>
      </c>
      <c r="AT1527" s="52" t="n">
        <v>0</v>
      </c>
      <c r="AU1527" s="53" t="n">
        <v>0</v>
      </c>
      <c r="AV1527" s="53" t="n">
        <v>0</v>
      </c>
      <c r="AW1527" s="53" t="n">
        <v>0</v>
      </c>
      <c r="AX1527" s="53" t="n">
        <v>0</v>
      </c>
      <c r="AY1527" s="52" t="n">
        <v>0</v>
      </c>
      <c r="AZ1527" s="52" t="n">
        <v>0</v>
      </c>
      <c r="BA1527" s="52" t="n">
        <v>0</v>
      </c>
      <c r="BB1527" s="52" t="n">
        <v>0</v>
      </c>
      <c r="BC1527" s="51" t="n">
        <v>0</v>
      </c>
      <c r="BD1527" s="51" t="n">
        <v>0</v>
      </c>
      <c r="BE1527" s="51" t="n">
        <v>0</v>
      </c>
      <c r="BF1527" s="51" t="n">
        <v>0</v>
      </c>
    </row>
    <row r="1528">
      <c r="A1528">
        <f>HYPERLINK("https://www.walmart.com/ip/157792900", "157792900")</f>
        <v/>
      </c>
      <c r="B1528" t="inlineStr">
        <is>
          <t>Headshots Fishing Hats with Anti-Mosquito Facemask, UV Protection Sun Hat for Men Women Unisex Adult Multicolor</t>
        </is>
      </c>
      <c r="C1528" t="inlineStr">
        <is>
          <t>kc-s9198-forgn</t>
        </is>
      </c>
      <c r="D1528" t="inlineStr">
        <is>
          <t>Hats</t>
        </is>
      </c>
      <c r="E1528" t="inlineStr">
        <is>
          <t>Headshots</t>
        </is>
      </c>
      <c r="F1528" t="inlineStr">
        <is>
          <t>Batch 1 - TR</t>
        </is>
      </c>
      <c r="G1528" s="48" t="n">
        <v>0</v>
      </c>
      <c r="H1528" s="48" t="n">
        <v>0</v>
      </c>
      <c r="I1528" s="48" t="n">
        <v>0</v>
      </c>
      <c r="J1528" s="48" t="n">
        <v>0</v>
      </c>
      <c r="K1528" s="49" t="n">
        <v>0</v>
      </c>
      <c r="L1528" s="49" t="n">
        <v>0</v>
      </c>
      <c r="M1528" s="49" t="n">
        <v>0</v>
      </c>
      <c r="N1528" s="49" t="n">
        <v>0</v>
      </c>
      <c r="O1528" s="49" t="n">
        <v>0</v>
      </c>
      <c r="P1528" s="49" t="n">
        <v>0</v>
      </c>
      <c r="Q1528" s="49" t="n">
        <v>0</v>
      </c>
      <c r="R1528" s="49" t="n">
        <v>0</v>
      </c>
      <c r="S1528" s="50" t="n">
        <v>0</v>
      </c>
      <c r="T1528" s="50" t="n">
        <v>0</v>
      </c>
      <c r="U1528" s="50" t="n">
        <v>0</v>
      </c>
      <c r="V1528" s="50" t="n">
        <v>0</v>
      </c>
      <c r="W1528" s="51" t="n">
        <v>0</v>
      </c>
      <c r="X1528" s="51" t="n">
        <v>0</v>
      </c>
      <c r="Y1528" s="51" t="n">
        <v>0</v>
      </c>
      <c r="Z1528" s="51" t="n">
        <v>0</v>
      </c>
      <c r="AA1528" s="52" t="n">
        <v>0</v>
      </c>
      <c r="AB1528" s="52" t="n">
        <v>0</v>
      </c>
      <c r="AC1528" s="52" t="n">
        <v>0</v>
      </c>
      <c r="AD1528" s="52" t="n">
        <v>0</v>
      </c>
      <c r="AE1528" s="52" t="n">
        <v>0</v>
      </c>
      <c r="AF1528" s="52" t="n">
        <v>0</v>
      </c>
      <c r="AG1528" s="52" t="n">
        <v>0</v>
      </c>
      <c r="AH1528" s="52" t="n">
        <v>0</v>
      </c>
      <c r="AI1528" s="52" t="n">
        <v>0</v>
      </c>
      <c r="AJ1528" s="52" t="n">
        <v>0</v>
      </c>
      <c r="AK1528" s="52" t="n">
        <v>0</v>
      </c>
      <c r="AL1528" s="52" t="n">
        <v>0</v>
      </c>
      <c r="AM1528" s="53" t="n">
        <v>0</v>
      </c>
      <c r="AN1528" s="53" t="n">
        <v>0</v>
      </c>
      <c r="AO1528" s="53" t="n">
        <v>0</v>
      </c>
      <c r="AP1528" s="53" t="n">
        <v>0</v>
      </c>
      <c r="AQ1528" s="52" t="n">
        <v>0</v>
      </c>
      <c r="AR1528" s="52" t="n">
        <v>0</v>
      </c>
      <c r="AS1528" s="52" t="n">
        <v>0</v>
      </c>
      <c r="AT1528" s="52" t="n">
        <v>0</v>
      </c>
      <c r="AU1528" s="53" t="n">
        <v>0</v>
      </c>
      <c r="AV1528" s="53" t="n">
        <v>0</v>
      </c>
      <c r="AW1528" s="53" t="n">
        <v>0</v>
      </c>
      <c r="AX1528" s="53" t="n">
        <v>0</v>
      </c>
      <c r="AY1528" s="52" t="n">
        <v>0</v>
      </c>
      <c r="AZ1528" s="52" t="n">
        <v>0</v>
      </c>
      <c r="BA1528" s="52" t="n">
        <v>0</v>
      </c>
      <c r="BB1528" s="52" t="n">
        <v>0</v>
      </c>
      <c r="BC1528" s="51" t="n">
        <v>0</v>
      </c>
      <c r="BD1528" s="51" t="n">
        <v>0</v>
      </c>
      <c r="BE1528" s="51" t="n">
        <v>0</v>
      </c>
      <c r="BF1528" s="51" t="n">
        <v>0</v>
      </c>
    </row>
    <row r="1529">
      <c r="A1529">
        <f>HYPERLINK("https://www.walmart.com/ip/157960013", "157960013")</f>
        <v/>
      </c>
      <c r="B1529" t="inlineStr">
        <is>
          <t>JenniWears Women Strappy Dress Babydoll Hollow Lace Nightwear Chemises Sleepwear</t>
        </is>
      </c>
      <c r="C1529" t="inlineStr">
        <is>
          <t>JWND03PK</t>
        </is>
      </c>
      <c r="D1529" t="inlineStr">
        <is>
          <t>Lingerie Sets</t>
        </is>
      </c>
      <c r="E1529" t="inlineStr">
        <is>
          <t>JenniWears</t>
        </is>
      </c>
      <c r="F1529" t="inlineStr">
        <is>
          <t>Optimized,Valentine</t>
        </is>
      </c>
      <c r="G1529" s="48" t="n">
        <v>0</v>
      </c>
      <c r="H1529" s="48" t="n">
        <v>0</v>
      </c>
      <c r="I1529" s="48" t="n">
        <v>0</v>
      </c>
      <c r="J1529" s="48" t="n">
        <v>0</v>
      </c>
      <c r="K1529" s="49" t="n">
        <v>0</v>
      </c>
      <c r="L1529" s="49" t="n">
        <v>0</v>
      </c>
      <c r="M1529" s="49" t="n">
        <v>0</v>
      </c>
      <c r="N1529" s="49" t="n">
        <v>0</v>
      </c>
      <c r="O1529" s="49" t="n">
        <v>0</v>
      </c>
      <c r="P1529" s="49" t="n">
        <v>0</v>
      </c>
      <c r="Q1529" s="49" t="n">
        <v>0</v>
      </c>
      <c r="R1529" s="49" t="n">
        <v>0</v>
      </c>
      <c r="S1529" s="50" t="n">
        <v>0</v>
      </c>
      <c r="T1529" s="50" t="n">
        <v>0</v>
      </c>
      <c r="U1529" s="50" t="n">
        <v>0</v>
      </c>
      <c r="V1529" s="50" t="n">
        <v>0</v>
      </c>
      <c r="W1529" s="51" t="n">
        <v>0</v>
      </c>
      <c r="X1529" s="51" t="n">
        <v>0</v>
      </c>
      <c r="Y1529" s="51" t="n">
        <v>0</v>
      </c>
      <c r="Z1529" s="51" t="n">
        <v>0</v>
      </c>
      <c r="AA1529" s="52" t="n">
        <v>0</v>
      </c>
      <c r="AB1529" s="52" t="n">
        <v>0</v>
      </c>
      <c r="AC1529" s="52" t="n">
        <v>0</v>
      </c>
      <c r="AD1529" s="52" t="n">
        <v>0</v>
      </c>
      <c r="AE1529" s="52" t="n">
        <v>0</v>
      </c>
      <c r="AF1529" s="52" t="n">
        <v>0</v>
      </c>
      <c r="AG1529" s="52" t="n">
        <v>0</v>
      </c>
      <c r="AH1529" s="52" t="n">
        <v>0</v>
      </c>
      <c r="AI1529" s="52" t="n">
        <v>0</v>
      </c>
      <c r="AJ1529" s="52" t="n">
        <v>0</v>
      </c>
      <c r="AK1529" s="52" t="n">
        <v>0</v>
      </c>
      <c r="AL1529" s="52" t="n">
        <v>0</v>
      </c>
      <c r="AM1529" s="53" t="n">
        <v>0</v>
      </c>
      <c r="AN1529" s="53" t="n">
        <v>0</v>
      </c>
      <c r="AO1529" s="53" t="n">
        <v>0</v>
      </c>
      <c r="AP1529" s="53" t="n">
        <v>0</v>
      </c>
      <c r="AQ1529" s="52" t="n">
        <v>0</v>
      </c>
      <c r="AR1529" s="52" t="n">
        <v>0</v>
      </c>
      <c r="AS1529" s="52" t="n">
        <v>0</v>
      </c>
      <c r="AT1529" s="52" t="n">
        <v>0</v>
      </c>
      <c r="AU1529" s="53" t="n">
        <v>0</v>
      </c>
      <c r="AV1529" s="53" t="n">
        <v>0</v>
      </c>
      <c r="AW1529" s="53" t="n">
        <v>0</v>
      </c>
      <c r="AX1529" s="53" t="n">
        <v>0</v>
      </c>
      <c r="AY1529" s="52" t="n">
        <v>0</v>
      </c>
      <c r="AZ1529" s="52" t="n">
        <v>0</v>
      </c>
      <c r="BA1529" s="52" t="n">
        <v>0</v>
      </c>
      <c r="BB1529" s="52" t="n">
        <v>0</v>
      </c>
      <c r="BC1529" s="51" t="n">
        <v>0</v>
      </c>
      <c r="BD1529" s="51" t="n">
        <v>0</v>
      </c>
      <c r="BE1529" s="51" t="n">
        <v>0</v>
      </c>
      <c r="BF1529" s="51" t="n">
        <v>0</v>
      </c>
    </row>
    <row r="1530">
      <c r="A1530">
        <f>HYPERLINK("https://www.walmart.com/ip/1583266534", "1583266534")</f>
        <v/>
      </c>
      <c r="B1530" t="inlineStr">
        <is>
          <t>Every Day is Christmas Glass Blown Ornaments Cute Hand Made Figurines Tree Decoration, Unicorn</t>
        </is>
      </c>
      <c r="C1530" t="inlineStr">
        <is>
          <t>EDC-FIGURINE-UNICORN</t>
        </is>
      </c>
      <c r="D1530" t="inlineStr">
        <is>
          <t>Ornaments</t>
        </is>
      </c>
      <c r="E1530" t="inlineStr">
        <is>
          <t>Every Day is Christmas</t>
        </is>
      </c>
      <c r="G1530" s="48" t="n">
        <v>0</v>
      </c>
      <c r="H1530" s="48" t="n">
        <v>0</v>
      </c>
      <c r="I1530" s="48" t="n">
        <v>0</v>
      </c>
      <c r="J1530" s="48" t="n">
        <v>0</v>
      </c>
      <c r="K1530" s="49" t="n">
        <v>0</v>
      </c>
      <c r="L1530" s="49" t="n">
        <v>0</v>
      </c>
      <c r="M1530" s="49" t="n">
        <v>0</v>
      </c>
      <c r="N1530" s="49" t="n">
        <v>0</v>
      </c>
      <c r="O1530" s="49" t="n">
        <v>0</v>
      </c>
      <c r="P1530" s="49" t="n">
        <v>0</v>
      </c>
      <c r="Q1530" s="49" t="n">
        <v>0</v>
      </c>
      <c r="R1530" s="49" t="n">
        <v>0</v>
      </c>
      <c r="S1530" s="50" t="n">
        <v>0</v>
      </c>
      <c r="T1530" s="50" t="n">
        <v>0</v>
      </c>
      <c r="U1530" s="50" t="n">
        <v>0</v>
      </c>
      <c r="V1530" s="50" t="n">
        <v>0</v>
      </c>
      <c r="W1530" s="51" t="n">
        <v>0</v>
      </c>
      <c r="X1530" s="51" t="n">
        <v>0</v>
      </c>
      <c r="Y1530" s="51" t="n">
        <v>0</v>
      </c>
      <c r="Z1530" s="51" t="n">
        <v>0</v>
      </c>
      <c r="AA1530" s="52" t="n">
        <v>0</v>
      </c>
      <c r="AB1530" s="52" t="n">
        <v>0</v>
      </c>
      <c r="AC1530" s="52" t="n">
        <v>0</v>
      </c>
      <c r="AD1530" s="52" t="n">
        <v>0</v>
      </c>
      <c r="AE1530" s="52" t="n">
        <v>0</v>
      </c>
      <c r="AF1530" s="52" t="n">
        <v>0</v>
      </c>
      <c r="AG1530" s="52" t="n">
        <v>0</v>
      </c>
      <c r="AH1530" s="52" t="n">
        <v>0</v>
      </c>
      <c r="AI1530" s="52" t="n">
        <v>0</v>
      </c>
      <c r="AJ1530" s="52" t="n">
        <v>0</v>
      </c>
      <c r="AK1530" s="52" t="n">
        <v>0</v>
      </c>
      <c r="AL1530" s="52" t="n">
        <v>0</v>
      </c>
      <c r="AM1530" s="53" t="n">
        <v>0</v>
      </c>
      <c r="AN1530" s="53" t="n">
        <v>0</v>
      </c>
      <c r="AO1530" s="53" t="n">
        <v>0</v>
      </c>
      <c r="AP1530" s="53" t="n">
        <v>0</v>
      </c>
      <c r="AQ1530" s="52" t="n">
        <v>0</v>
      </c>
      <c r="AR1530" s="52" t="n">
        <v>0</v>
      </c>
      <c r="AS1530" s="52" t="n">
        <v>0</v>
      </c>
      <c r="AT1530" s="52" t="n">
        <v>0</v>
      </c>
      <c r="AU1530" s="53" t="n">
        <v>0</v>
      </c>
      <c r="AV1530" s="53" t="n">
        <v>0</v>
      </c>
      <c r="AW1530" s="53" t="n">
        <v>0</v>
      </c>
      <c r="AX1530" s="53" t="n">
        <v>0</v>
      </c>
      <c r="AY1530" s="52" t="n">
        <v>0</v>
      </c>
      <c r="AZ1530" s="52" t="n">
        <v>0</v>
      </c>
      <c r="BA1530" s="52" t="n">
        <v>0</v>
      </c>
      <c r="BB1530" s="52" t="n">
        <v>0</v>
      </c>
      <c r="BC1530" s="51" t="n">
        <v>0</v>
      </c>
      <c r="BD1530" s="51" t="n">
        <v>0</v>
      </c>
      <c r="BE1530" s="51" t="n">
        <v>0</v>
      </c>
      <c r="BF1530" s="51" t="n">
        <v>0</v>
      </c>
    </row>
    <row r="1531">
      <c r="A1531">
        <f>HYPERLINK("https://www.walmart.com/ip/158329569", "158329569")</f>
        <v/>
      </c>
      <c r="B1531" t="inlineStr">
        <is>
          <t>Ultimate Sport Unisex Running belt, Water Resistant, Touch Screen, Reflective Zipper, Fanny Waist Pouch for Exercise and</t>
        </is>
      </c>
      <c r="C1531" t="inlineStr">
        <is>
          <t>TARGETWB01L-NG</t>
        </is>
      </c>
      <c r="D1531" t="inlineStr">
        <is>
          <t>Running Belts</t>
        </is>
      </c>
      <c r="E1531" t="inlineStr">
        <is>
          <t>Target</t>
        </is>
      </c>
      <c r="F1531" t="inlineStr">
        <is>
          <t>Optimized,ST Patrick Day</t>
        </is>
      </c>
      <c r="G1531" s="48" t="n">
        <v>0</v>
      </c>
      <c r="H1531" s="48" t="n">
        <v>0</v>
      </c>
      <c r="I1531" s="48" t="n">
        <v>0</v>
      </c>
      <c r="J1531" s="48" t="n">
        <v>0</v>
      </c>
      <c r="K1531" s="49" t="n">
        <v>0</v>
      </c>
      <c r="L1531" s="49" t="n">
        <v>0</v>
      </c>
      <c r="M1531" s="49" t="n">
        <v>0</v>
      </c>
      <c r="N1531" s="49" t="n">
        <v>0</v>
      </c>
      <c r="O1531" s="49" t="n">
        <v>0</v>
      </c>
      <c r="P1531" s="49" t="n">
        <v>0</v>
      </c>
      <c r="Q1531" s="49" t="n">
        <v>0</v>
      </c>
      <c r="R1531" s="49" t="n">
        <v>0</v>
      </c>
      <c r="S1531" s="50" t="n">
        <v>0</v>
      </c>
      <c r="T1531" s="50" t="n">
        <v>0</v>
      </c>
      <c r="U1531" s="50" t="n">
        <v>0</v>
      </c>
      <c r="V1531" s="50" t="n">
        <v>0</v>
      </c>
      <c r="W1531" s="51" t="n">
        <v>0</v>
      </c>
      <c r="X1531" s="51" t="n">
        <v>0</v>
      </c>
      <c r="Y1531" s="51" t="n">
        <v>0</v>
      </c>
      <c r="Z1531" s="51" t="n">
        <v>0</v>
      </c>
      <c r="AA1531" s="52" t="n">
        <v>0</v>
      </c>
      <c r="AB1531" s="52" t="n">
        <v>0</v>
      </c>
      <c r="AC1531" s="52" t="n">
        <v>0</v>
      </c>
      <c r="AD1531" s="52" t="n">
        <v>0</v>
      </c>
      <c r="AE1531" s="52" t="n">
        <v>0</v>
      </c>
      <c r="AF1531" s="52" t="n">
        <v>0</v>
      </c>
      <c r="AG1531" s="52" t="n">
        <v>0</v>
      </c>
      <c r="AH1531" s="52" t="n">
        <v>0</v>
      </c>
      <c r="AI1531" s="52" t="n">
        <v>0</v>
      </c>
      <c r="AJ1531" s="52" t="n">
        <v>0</v>
      </c>
      <c r="AK1531" s="52" t="n">
        <v>0</v>
      </c>
      <c r="AL1531" s="52" t="n">
        <v>0</v>
      </c>
      <c r="AM1531" s="53" t="n">
        <v>0</v>
      </c>
      <c r="AN1531" s="53" t="n">
        <v>0</v>
      </c>
      <c r="AO1531" s="53" t="n">
        <v>0</v>
      </c>
      <c r="AP1531" s="53" t="n">
        <v>0</v>
      </c>
      <c r="AQ1531" s="52" t="n">
        <v>0</v>
      </c>
      <c r="AR1531" s="52" t="n">
        <v>0</v>
      </c>
      <c r="AS1531" s="52" t="n">
        <v>0</v>
      </c>
      <c r="AT1531" s="52" t="n">
        <v>0</v>
      </c>
      <c r="AU1531" s="53" t="n">
        <v>0</v>
      </c>
      <c r="AV1531" s="53" t="n">
        <v>0</v>
      </c>
      <c r="AW1531" s="53" t="n">
        <v>0</v>
      </c>
      <c r="AX1531" s="53" t="n">
        <v>0</v>
      </c>
      <c r="AY1531" s="52" t="n">
        <v>0</v>
      </c>
      <c r="AZ1531" s="52" t="n">
        <v>0</v>
      </c>
      <c r="BA1531" s="52" t="n">
        <v>0</v>
      </c>
      <c r="BB1531" s="52" t="n">
        <v>0</v>
      </c>
      <c r="BC1531" s="51" t="n">
        <v>0</v>
      </c>
      <c r="BD1531" s="51" t="n">
        <v>0</v>
      </c>
      <c r="BE1531" s="51" t="n">
        <v>0</v>
      </c>
      <c r="BF1531" s="51" t="n">
        <v>0</v>
      </c>
    </row>
    <row r="1532">
      <c r="A1532">
        <f>HYPERLINK("https://www.walmart.com/ip/152283264", "152283264")</f>
        <v/>
      </c>
      <c r="B1532" t="inlineStr">
        <is>
          <t>Catalonia Wearable TV Blanket with Sleeves Arms Warm Micro Plush Sherpa Fleece for Adult Large Wrap Throw Robe 72 x 55”</t>
        </is>
      </c>
      <c r="C1532" t="inlineStr">
        <is>
          <t>1CTSN110CA</t>
        </is>
      </c>
      <c r="D1532" t="inlineStr">
        <is>
          <t>Throws</t>
        </is>
      </c>
      <c r="E1532" t="inlineStr">
        <is>
          <t>Catalonia</t>
        </is>
      </c>
      <c r="F1532" t="inlineStr">
        <is>
          <t>Optimized,WFS,WFS Item</t>
        </is>
      </c>
      <c r="G1532" s="48" t="n">
        <v>0</v>
      </c>
      <c r="H1532" s="48" t="n">
        <v>0</v>
      </c>
      <c r="I1532" s="48" t="n">
        <v>0</v>
      </c>
      <c r="J1532" s="48" t="n">
        <v>0</v>
      </c>
      <c r="K1532" s="49" t="n">
        <v>0</v>
      </c>
      <c r="L1532" s="49" t="n">
        <v>0</v>
      </c>
      <c r="M1532" s="49" t="n">
        <v>0</v>
      </c>
      <c r="N1532" s="49" t="n">
        <v>0</v>
      </c>
      <c r="O1532" s="49" t="n">
        <v>0</v>
      </c>
      <c r="P1532" s="49" t="n">
        <v>0</v>
      </c>
      <c r="Q1532" s="49" t="n">
        <v>0</v>
      </c>
      <c r="R1532" s="49" t="n">
        <v>0</v>
      </c>
      <c r="S1532" s="50" t="n">
        <v>0</v>
      </c>
      <c r="T1532" s="50" t="n">
        <v>0</v>
      </c>
      <c r="U1532" s="50" t="n">
        <v>0</v>
      </c>
      <c r="V1532" s="50" t="n">
        <v>0</v>
      </c>
      <c r="W1532" s="51" t="n">
        <v>0</v>
      </c>
      <c r="X1532" s="51" t="n">
        <v>0</v>
      </c>
      <c r="Y1532" s="51" t="n">
        <v>0</v>
      </c>
      <c r="Z1532" s="51" t="n">
        <v>0</v>
      </c>
      <c r="AA1532" s="52" t="n">
        <v>0</v>
      </c>
      <c r="AB1532" s="52" t="n">
        <v>0</v>
      </c>
      <c r="AC1532" s="52" t="n">
        <v>0</v>
      </c>
      <c r="AD1532" s="52" t="n">
        <v>0</v>
      </c>
      <c r="AE1532" s="52" t="n">
        <v>0</v>
      </c>
      <c r="AF1532" s="52" t="n">
        <v>0</v>
      </c>
      <c r="AG1532" s="52" t="n">
        <v>0</v>
      </c>
      <c r="AH1532" s="52" t="n">
        <v>0</v>
      </c>
      <c r="AI1532" s="52" t="n">
        <v>0</v>
      </c>
      <c r="AJ1532" s="52" t="n">
        <v>0</v>
      </c>
      <c r="AK1532" s="52" t="n">
        <v>0</v>
      </c>
      <c r="AL1532" s="52" t="n">
        <v>0</v>
      </c>
      <c r="AM1532" s="53" t="n">
        <v>0</v>
      </c>
      <c r="AN1532" s="53" t="n">
        <v>0</v>
      </c>
      <c r="AO1532" s="53" t="n">
        <v>0</v>
      </c>
      <c r="AP1532" s="53" t="n">
        <v>0</v>
      </c>
      <c r="AQ1532" s="52" t="n">
        <v>0</v>
      </c>
      <c r="AR1532" s="52" t="n">
        <v>0</v>
      </c>
      <c r="AS1532" s="52" t="n">
        <v>0</v>
      </c>
      <c r="AT1532" s="52" t="n">
        <v>0</v>
      </c>
      <c r="AU1532" s="53" t="n">
        <v>0</v>
      </c>
      <c r="AV1532" s="53" t="n">
        <v>0</v>
      </c>
      <c r="AW1532" s="53" t="n">
        <v>0</v>
      </c>
      <c r="AX1532" s="53" t="n">
        <v>0</v>
      </c>
      <c r="AY1532" s="52" t="n">
        <v>0</v>
      </c>
      <c r="AZ1532" s="52" t="n">
        <v>0</v>
      </c>
      <c r="BA1532" s="52" t="n">
        <v>0</v>
      </c>
      <c r="BB1532" s="52" t="n">
        <v>0</v>
      </c>
      <c r="BC1532" s="51" t="n">
        <v>0</v>
      </c>
      <c r="BD1532" s="51" t="n">
        <v>0</v>
      </c>
      <c r="BE1532" s="51" t="n">
        <v>0</v>
      </c>
      <c r="BF1532" s="51" t="n">
        <v>0</v>
      </c>
    </row>
    <row r="1533">
      <c r="A1533">
        <f>HYPERLINK("https://www.walmart.com/ip/152145176", "152145176")</f>
        <v/>
      </c>
      <c r="B1533" t="inlineStr">
        <is>
          <t>Jenniwears Women's Leopard Print Bodysuit Jumpsuit</t>
        </is>
      </c>
      <c r="C1533" t="inlineStr">
        <is>
          <t>JWND04LE</t>
        </is>
      </c>
      <c r="D1533" t="inlineStr">
        <is>
          <t>Lingerie Sets</t>
        </is>
      </c>
      <c r="E1533" t="inlineStr">
        <is>
          <t>JenniWears</t>
        </is>
      </c>
      <c r="F1533" t="inlineStr">
        <is>
          <t>Optimized,Valentine</t>
        </is>
      </c>
      <c r="G1533" s="48" t="n">
        <v>0</v>
      </c>
      <c r="H1533" s="48" t="n">
        <v>0</v>
      </c>
      <c r="I1533" s="48" t="n">
        <v>0</v>
      </c>
      <c r="J1533" s="48" t="n">
        <v>0</v>
      </c>
      <c r="K1533" s="49" t="n">
        <v>0</v>
      </c>
      <c r="L1533" s="49" t="n">
        <v>0</v>
      </c>
      <c r="M1533" s="49" t="n">
        <v>0</v>
      </c>
      <c r="N1533" s="49" t="n">
        <v>0</v>
      </c>
      <c r="O1533" s="49" t="n">
        <v>0</v>
      </c>
      <c r="P1533" s="49" t="n">
        <v>0</v>
      </c>
      <c r="Q1533" s="49" t="n">
        <v>0</v>
      </c>
      <c r="R1533" s="49" t="n">
        <v>0</v>
      </c>
      <c r="S1533" s="50" t="n">
        <v>0</v>
      </c>
      <c r="T1533" s="50" t="n">
        <v>0</v>
      </c>
      <c r="U1533" s="50" t="n">
        <v>0</v>
      </c>
      <c r="V1533" s="50" t="n">
        <v>0</v>
      </c>
      <c r="W1533" s="51" t="n">
        <v>0</v>
      </c>
      <c r="X1533" s="51" t="n">
        <v>0</v>
      </c>
      <c r="Y1533" s="51" t="n">
        <v>0</v>
      </c>
      <c r="Z1533" s="51" t="n">
        <v>0</v>
      </c>
      <c r="AA1533" s="52" t="n">
        <v>0</v>
      </c>
      <c r="AB1533" s="52" t="n">
        <v>0</v>
      </c>
      <c r="AC1533" s="52" t="n">
        <v>0</v>
      </c>
      <c r="AD1533" s="52" t="n">
        <v>0</v>
      </c>
      <c r="AE1533" s="52" t="n">
        <v>0</v>
      </c>
      <c r="AF1533" s="52" t="n">
        <v>0</v>
      </c>
      <c r="AG1533" s="52" t="n">
        <v>0</v>
      </c>
      <c r="AH1533" s="52" t="n">
        <v>0</v>
      </c>
      <c r="AI1533" s="52" t="n">
        <v>0</v>
      </c>
      <c r="AJ1533" s="52" t="n">
        <v>0</v>
      </c>
      <c r="AK1533" s="52" t="n">
        <v>0</v>
      </c>
      <c r="AL1533" s="52" t="n">
        <v>0</v>
      </c>
      <c r="AM1533" s="53" t="n">
        <v>0</v>
      </c>
      <c r="AN1533" s="53" t="n">
        <v>0</v>
      </c>
      <c r="AO1533" s="53" t="n">
        <v>0</v>
      </c>
      <c r="AP1533" s="53" t="n">
        <v>0</v>
      </c>
      <c r="AQ1533" s="52" t="n">
        <v>0</v>
      </c>
      <c r="AR1533" s="52" t="n">
        <v>0</v>
      </c>
      <c r="AS1533" s="52" t="n">
        <v>0</v>
      </c>
      <c r="AT1533" s="52" t="n">
        <v>0</v>
      </c>
      <c r="AU1533" s="53" t="n">
        <v>0</v>
      </c>
      <c r="AV1533" s="53" t="n">
        <v>0</v>
      </c>
      <c r="AW1533" s="53" t="n">
        <v>0</v>
      </c>
      <c r="AX1533" s="53" t="n">
        <v>0</v>
      </c>
      <c r="AY1533" s="52" t="n">
        <v>0</v>
      </c>
      <c r="AZ1533" s="52" t="n">
        <v>0</v>
      </c>
      <c r="BA1533" s="52" t="n">
        <v>0</v>
      </c>
      <c r="BB1533" s="52" t="n">
        <v>0</v>
      </c>
      <c r="BC1533" s="51" t="n">
        <v>0</v>
      </c>
      <c r="BD1533" s="51" t="n">
        <v>0</v>
      </c>
      <c r="BE1533" s="51" t="n">
        <v>0</v>
      </c>
      <c r="BF1533" s="51" t="n">
        <v>0</v>
      </c>
    </row>
    <row r="1534">
      <c r="A1534">
        <f>HYPERLINK("https://www.walmart.com/ip/15190256647", "15190256647")</f>
        <v/>
      </c>
      <c r="B1534" t="inlineStr">
        <is>
          <t>Catalonia Kids Mermaid Tail Blanket,Super Soft Plush Flannel Sleeping Snuggle Blanket for Girls,Rainbow Ombre,Fish Scale Pattern,Gift Idea</t>
        </is>
      </c>
      <c r="C1534" t="inlineStr">
        <is>
          <t>1CTMM210STARLIGHT</t>
        </is>
      </c>
      <c r="D1534" t="inlineStr">
        <is>
          <t>Throws</t>
        </is>
      </c>
      <c r="E1534" t="inlineStr">
        <is>
          <t>Catalonia</t>
        </is>
      </c>
      <c r="G1534" s="48" t="n">
        <v>0</v>
      </c>
      <c r="H1534" s="48" t="n">
        <v>0</v>
      </c>
      <c r="I1534" s="48" t="n">
        <v>0</v>
      </c>
      <c r="J1534" s="48" t="n">
        <v>0</v>
      </c>
      <c r="K1534" s="49" t="n">
        <v>0</v>
      </c>
      <c r="L1534" s="49" t="n">
        <v>0</v>
      </c>
      <c r="M1534" s="49" t="n">
        <v>0</v>
      </c>
      <c r="N1534" s="49" t="n">
        <v>0</v>
      </c>
      <c r="O1534" s="49" t="n">
        <v>0</v>
      </c>
      <c r="P1534" s="49" t="n">
        <v>0</v>
      </c>
      <c r="Q1534" s="49" t="n">
        <v>0</v>
      </c>
      <c r="R1534" s="49" t="n">
        <v>0</v>
      </c>
      <c r="S1534" s="50" t="n">
        <v>0</v>
      </c>
      <c r="T1534" s="50" t="n">
        <v>0</v>
      </c>
      <c r="U1534" s="50" t="n">
        <v>0</v>
      </c>
      <c r="V1534" s="50" t="n">
        <v>0</v>
      </c>
      <c r="W1534" s="51" t="n">
        <v>0</v>
      </c>
      <c r="X1534" s="51" t="n">
        <v>0</v>
      </c>
      <c r="Y1534" s="51" t="n">
        <v>0</v>
      </c>
      <c r="Z1534" s="51" t="n">
        <v>0</v>
      </c>
      <c r="AA1534" s="52" t="n">
        <v>0</v>
      </c>
      <c r="AB1534" s="52" t="n">
        <v>0</v>
      </c>
      <c r="AC1534" s="52" t="n">
        <v>0</v>
      </c>
      <c r="AD1534" s="52" t="n">
        <v>0</v>
      </c>
      <c r="AE1534" s="52" t="n">
        <v>0</v>
      </c>
      <c r="AF1534" s="52" t="n">
        <v>0</v>
      </c>
      <c r="AG1534" s="52" t="n">
        <v>0</v>
      </c>
      <c r="AH1534" s="52" t="n">
        <v>0</v>
      </c>
      <c r="AI1534" s="52" t="n">
        <v>0</v>
      </c>
      <c r="AJ1534" s="52" t="n">
        <v>0</v>
      </c>
      <c r="AK1534" s="52" t="n">
        <v>0</v>
      </c>
      <c r="AL1534" s="52" t="n">
        <v>0</v>
      </c>
      <c r="AM1534" s="53" t="n">
        <v>0</v>
      </c>
      <c r="AN1534" s="53" t="n">
        <v>0</v>
      </c>
      <c r="AO1534" s="53" t="n">
        <v>0</v>
      </c>
      <c r="AP1534" s="53" t="n">
        <v>0</v>
      </c>
      <c r="AQ1534" s="52" t="n">
        <v>0</v>
      </c>
      <c r="AR1534" s="52" t="n">
        <v>0</v>
      </c>
      <c r="AS1534" s="52" t="n">
        <v>0</v>
      </c>
      <c r="AT1534" s="52" t="n">
        <v>0</v>
      </c>
      <c r="AU1534" s="53" t="n">
        <v>0</v>
      </c>
      <c r="AV1534" s="53" t="n">
        <v>0</v>
      </c>
      <c r="AW1534" s="53" t="n">
        <v>0</v>
      </c>
      <c r="AX1534" s="53" t="n">
        <v>0</v>
      </c>
      <c r="AY1534" s="52" t="n">
        <v>0</v>
      </c>
      <c r="AZ1534" s="52" t="n">
        <v>0</v>
      </c>
      <c r="BA1534" s="52" t="n">
        <v>0</v>
      </c>
      <c r="BB1534" s="52" t="n">
        <v>0</v>
      </c>
      <c r="BC1534" s="51" t="n">
        <v>0</v>
      </c>
      <c r="BD1534" s="51" t="n">
        <v>0</v>
      </c>
      <c r="BE1534" s="51" t="n">
        <v>0</v>
      </c>
      <c r="BF1534" s="51" t="n">
        <v>0</v>
      </c>
    </row>
    <row r="1535">
      <c r="A1535">
        <f>HYPERLINK("https://www.walmart.com/ip/14544860347", "14544860347")</f>
        <v/>
      </c>
      <c r="B1535" t="inlineStr">
        <is>
          <t>PEANUTS Toddler Boys Girls Snoopy Family Matching Pajamas 2-Piece Sets for Christmas with Woodstock Charlie Brown Linus (Green Polka Dot, 3T)</t>
        </is>
      </c>
      <c r="C1535" t="inlineStr">
        <is>
          <t>PEA-PJS-FAMILY-TODDLER-GREEN-3T</t>
        </is>
      </c>
      <c r="D1535" t="inlineStr">
        <is>
          <t>Pajamas</t>
        </is>
      </c>
      <c r="E1535" t="inlineStr">
        <is>
          <t>Peanuts</t>
        </is>
      </c>
      <c r="G1535" s="48" t="n">
        <v>0</v>
      </c>
      <c r="H1535" s="48" t="n">
        <v>0</v>
      </c>
      <c r="I1535" s="48" t="n">
        <v>0</v>
      </c>
      <c r="J1535" s="48" t="n">
        <v>0</v>
      </c>
      <c r="K1535" s="49" t="n">
        <v>0</v>
      </c>
      <c r="L1535" s="49" t="n">
        <v>0</v>
      </c>
      <c r="M1535" s="49" t="n">
        <v>0</v>
      </c>
      <c r="N1535" s="49" t="n">
        <v>0</v>
      </c>
      <c r="O1535" s="49" t="n">
        <v>0</v>
      </c>
      <c r="P1535" s="49" t="n">
        <v>0</v>
      </c>
      <c r="Q1535" s="49" t="n">
        <v>0</v>
      </c>
      <c r="R1535" s="49" t="n">
        <v>0</v>
      </c>
      <c r="S1535" s="50" t="n">
        <v>0</v>
      </c>
      <c r="T1535" s="50" t="n">
        <v>0</v>
      </c>
      <c r="U1535" s="50" t="n">
        <v>0</v>
      </c>
      <c r="V1535" s="50" t="n">
        <v>0</v>
      </c>
      <c r="W1535" s="51" t="n">
        <v>0</v>
      </c>
      <c r="X1535" s="51" t="n">
        <v>0</v>
      </c>
      <c r="Y1535" s="51" t="n">
        <v>0</v>
      </c>
      <c r="Z1535" s="51" t="n">
        <v>0</v>
      </c>
      <c r="AA1535" s="52" t="n">
        <v>0</v>
      </c>
      <c r="AB1535" s="52" t="n">
        <v>0</v>
      </c>
      <c r="AC1535" s="52" t="n">
        <v>0</v>
      </c>
      <c r="AD1535" s="52" t="n">
        <v>0</v>
      </c>
      <c r="AE1535" s="52" t="n">
        <v>0</v>
      </c>
      <c r="AF1535" s="52" t="n">
        <v>0</v>
      </c>
      <c r="AG1535" s="52" t="n">
        <v>0</v>
      </c>
      <c r="AH1535" s="52" t="n">
        <v>0</v>
      </c>
      <c r="AI1535" s="52" t="n">
        <v>0</v>
      </c>
      <c r="AJ1535" s="52" t="n">
        <v>0</v>
      </c>
      <c r="AK1535" s="52" t="n">
        <v>0</v>
      </c>
      <c r="AL1535" s="52" t="n">
        <v>0</v>
      </c>
      <c r="AM1535" s="53" t="n">
        <v>0</v>
      </c>
      <c r="AN1535" s="53" t="n">
        <v>0</v>
      </c>
      <c r="AO1535" s="53" t="n">
        <v>0</v>
      </c>
      <c r="AP1535" s="53" t="n">
        <v>0</v>
      </c>
      <c r="AQ1535" s="52" t="n">
        <v>0</v>
      </c>
      <c r="AR1535" s="52" t="n">
        <v>0</v>
      </c>
      <c r="AS1535" s="52" t="n">
        <v>0</v>
      </c>
      <c r="AT1535" s="52" t="n">
        <v>0</v>
      </c>
      <c r="AU1535" s="53" t="n">
        <v>0</v>
      </c>
      <c r="AV1535" s="53" t="n">
        <v>0</v>
      </c>
      <c r="AW1535" s="53" t="n">
        <v>0</v>
      </c>
      <c r="AX1535" s="53" t="n">
        <v>0</v>
      </c>
      <c r="AY1535" s="52" t="n">
        <v>0</v>
      </c>
      <c r="AZ1535" s="52" t="n">
        <v>0</v>
      </c>
      <c r="BA1535" s="52" t="n">
        <v>0</v>
      </c>
      <c r="BB1535" s="52" t="n">
        <v>0</v>
      </c>
      <c r="BC1535" s="51" t="n">
        <v>0</v>
      </c>
      <c r="BD1535" s="51" t="n">
        <v>0</v>
      </c>
      <c r="BE1535" s="51" t="n">
        <v>0</v>
      </c>
      <c r="BF1535" s="51" t="n">
        <v>0</v>
      </c>
    </row>
    <row r="1536">
      <c r="A1536">
        <f>HYPERLINK("https://www.walmart.com/ip/14546152958", "14546152958")</f>
        <v/>
      </c>
      <c r="B1536" t="inlineStr">
        <is>
          <t>Aeropostale  Backpack for School, College, and Travel， Water Resistant Bookbag Black Aero</t>
        </is>
      </c>
      <c r="C1536" t="inlineStr">
        <is>
          <t>1AEBPK92029BKAERO</t>
        </is>
      </c>
      <c r="D1536" t="inlineStr">
        <is>
          <t>Backpacks</t>
        </is>
      </c>
      <c r="E1536" t="inlineStr">
        <is>
          <t>Aeropostale</t>
        </is>
      </c>
      <c r="G1536" s="48" t="n">
        <v>0</v>
      </c>
      <c r="H1536" s="48" t="n">
        <v>0</v>
      </c>
      <c r="I1536" s="48" t="n">
        <v>0</v>
      </c>
      <c r="J1536" s="48" t="n">
        <v>0</v>
      </c>
      <c r="K1536" s="49" t="n">
        <v>0</v>
      </c>
      <c r="L1536" s="49" t="n">
        <v>0</v>
      </c>
      <c r="M1536" s="49" t="n">
        <v>0</v>
      </c>
      <c r="N1536" s="49" t="n">
        <v>0</v>
      </c>
      <c r="O1536" s="49" t="n">
        <v>0</v>
      </c>
      <c r="P1536" s="49" t="n">
        <v>0</v>
      </c>
      <c r="Q1536" s="49" t="n">
        <v>0</v>
      </c>
      <c r="R1536" s="49" t="n">
        <v>0</v>
      </c>
      <c r="S1536" s="50" t="n">
        <v>0</v>
      </c>
      <c r="T1536" s="50" t="n">
        <v>0</v>
      </c>
      <c r="U1536" s="50" t="n">
        <v>0</v>
      </c>
      <c r="V1536" s="50" t="n">
        <v>0</v>
      </c>
      <c r="W1536" s="51" t="n">
        <v>0</v>
      </c>
      <c r="X1536" s="51" t="n">
        <v>0</v>
      </c>
      <c r="Y1536" s="51" t="n">
        <v>0</v>
      </c>
      <c r="Z1536" s="51" t="n">
        <v>0</v>
      </c>
      <c r="AA1536" s="52" t="n">
        <v>0</v>
      </c>
      <c r="AB1536" s="52" t="n">
        <v>0</v>
      </c>
      <c r="AC1536" s="52" t="n">
        <v>0</v>
      </c>
      <c r="AD1536" s="52" t="n">
        <v>0</v>
      </c>
      <c r="AE1536" s="52" t="n">
        <v>0</v>
      </c>
      <c r="AF1536" s="52" t="n">
        <v>0</v>
      </c>
      <c r="AG1536" s="52" t="n">
        <v>0</v>
      </c>
      <c r="AH1536" s="52" t="n">
        <v>0</v>
      </c>
      <c r="AI1536" s="52" t="n">
        <v>0</v>
      </c>
      <c r="AJ1536" s="52" t="n">
        <v>0</v>
      </c>
      <c r="AK1536" s="52" t="n">
        <v>0</v>
      </c>
      <c r="AL1536" s="52" t="n">
        <v>0</v>
      </c>
      <c r="AM1536" s="53" t="n">
        <v>0</v>
      </c>
      <c r="AN1536" s="53" t="n">
        <v>0</v>
      </c>
      <c r="AO1536" s="53" t="n">
        <v>0</v>
      </c>
      <c r="AP1536" s="53" t="n">
        <v>0</v>
      </c>
      <c r="AQ1536" s="52" t="n">
        <v>0</v>
      </c>
      <c r="AR1536" s="52" t="n">
        <v>0</v>
      </c>
      <c r="AS1536" s="52" t="n">
        <v>0</v>
      </c>
      <c r="AT1536" s="52" t="n">
        <v>0</v>
      </c>
      <c r="AU1536" s="53" t="n">
        <v>0</v>
      </c>
      <c r="AV1536" s="53" t="n">
        <v>0</v>
      </c>
      <c r="AW1536" s="53" t="n">
        <v>0</v>
      </c>
      <c r="AX1536" s="53" t="n">
        <v>0</v>
      </c>
      <c r="AY1536" s="52" t="n">
        <v>0</v>
      </c>
      <c r="AZ1536" s="52" t="n">
        <v>0</v>
      </c>
      <c r="BA1536" s="52" t="n">
        <v>0</v>
      </c>
      <c r="BB1536" s="52" t="n">
        <v>0</v>
      </c>
      <c r="BC1536" s="51" t="n">
        <v>0</v>
      </c>
      <c r="BD1536" s="51" t="n">
        <v>0</v>
      </c>
      <c r="BE1536" s="51" t="n">
        <v>0</v>
      </c>
      <c r="BF1536" s="51" t="n">
        <v>0</v>
      </c>
    </row>
    <row r="1537">
      <c r="A1537">
        <f>HYPERLINK("https://www.walmart.com/ip/14546152960", "14546152960")</f>
        <v/>
      </c>
      <c r="B1537" t="inlineStr">
        <is>
          <t>Aeropostale  Backpack for School, College, and Travel， Water Resistant Bookbag Blue</t>
        </is>
      </c>
      <c r="C1537" t="inlineStr">
        <is>
          <t>1AEBPK92029BL</t>
        </is>
      </c>
      <c r="D1537" t="inlineStr">
        <is>
          <t>Backpacks</t>
        </is>
      </c>
      <c r="E1537" t="inlineStr">
        <is>
          <t>Aeropostale</t>
        </is>
      </c>
      <c r="G1537" s="48" t="n">
        <v>0</v>
      </c>
      <c r="H1537" s="48" t="n">
        <v>0</v>
      </c>
      <c r="I1537" s="48" t="n">
        <v>0</v>
      </c>
      <c r="J1537" s="48" t="n">
        <v>0</v>
      </c>
      <c r="K1537" s="49" t="n">
        <v>0</v>
      </c>
      <c r="L1537" s="49" t="n">
        <v>0</v>
      </c>
      <c r="M1537" s="49" t="n">
        <v>0</v>
      </c>
      <c r="N1537" s="49" t="n">
        <v>0</v>
      </c>
      <c r="O1537" s="49" t="n">
        <v>0</v>
      </c>
      <c r="P1537" s="49" t="n">
        <v>0</v>
      </c>
      <c r="Q1537" s="49" t="n">
        <v>0</v>
      </c>
      <c r="R1537" s="49" t="n">
        <v>0</v>
      </c>
      <c r="S1537" s="50" t="n">
        <v>0</v>
      </c>
      <c r="T1537" s="50" t="n">
        <v>0</v>
      </c>
      <c r="U1537" s="50" t="n">
        <v>0</v>
      </c>
      <c r="V1537" s="50" t="n">
        <v>0</v>
      </c>
      <c r="W1537" s="51" t="n">
        <v>0</v>
      </c>
      <c r="X1537" s="51" t="n">
        <v>0</v>
      </c>
      <c r="Y1537" s="51" t="n">
        <v>0</v>
      </c>
      <c r="Z1537" s="51" t="n">
        <v>0</v>
      </c>
      <c r="AA1537" s="52" t="n">
        <v>0</v>
      </c>
      <c r="AB1537" s="52" t="n">
        <v>0</v>
      </c>
      <c r="AC1537" s="52" t="n">
        <v>0</v>
      </c>
      <c r="AD1537" s="52" t="n">
        <v>0</v>
      </c>
      <c r="AE1537" s="52" t="n">
        <v>0</v>
      </c>
      <c r="AF1537" s="52" t="n">
        <v>0</v>
      </c>
      <c r="AG1537" s="52" t="n">
        <v>0</v>
      </c>
      <c r="AH1537" s="52" t="n">
        <v>0</v>
      </c>
      <c r="AI1537" s="52" t="n">
        <v>0</v>
      </c>
      <c r="AJ1537" s="52" t="n">
        <v>0</v>
      </c>
      <c r="AK1537" s="52" t="n">
        <v>0</v>
      </c>
      <c r="AL1537" s="52" t="n">
        <v>0</v>
      </c>
      <c r="AM1537" s="53" t="n">
        <v>0</v>
      </c>
      <c r="AN1537" s="53" t="n">
        <v>0</v>
      </c>
      <c r="AO1537" s="53" t="n">
        <v>0</v>
      </c>
      <c r="AP1537" s="53" t="n">
        <v>0</v>
      </c>
      <c r="AQ1537" s="52" t="n">
        <v>0</v>
      </c>
      <c r="AR1537" s="52" t="n">
        <v>0</v>
      </c>
      <c r="AS1537" s="52" t="n">
        <v>0</v>
      </c>
      <c r="AT1537" s="52" t="n">
        <v>0</v>
      </c>
      <c r="AU1537" s="53" t="n">
        <v>0</v>
      </c>
      <c r="AV1537" s="53" t="n">
        <v>0</v>
      </c>
      <c r="AW1537" s="53" t="n">
        <v>0</v>
      </c>
      <c r="AX1537" s="53" t="n">
        <v>0</v>
      </c>
      <c r="AY1537" s="52" t="n">
        <v>0</v>
      </c>
      <c r="AZ1537" s="52" t="n">
        <v>0</v>
      </c>
      <c r="BA1537" s="52" t="n">
        <v>0</v>
      </c>
      <c r="BB1537" s="52" t="n">
        <v>0</v>
      </c>
      <c r="BC1537" s="51" t="n">
        <v>0</v>
      </c>
      <c r="BD1537" s="51" t="n">
        <v>0</v>
      </c>
      <c r="BE1537" s="51" t="n">
        <v>0</v>
      </c>
      <c r="BF1537" s="51" t="n">
        <v>0</v>
      </c>
    </row>
    <row r="1538">
      <c r="A1538">
        <f>HYPERLINK("https://www.walmart.com/ip/14546161227", "14546161227")</f>
        <v/>
      </c>
      <c r="B1538" t="inlineStr">
        <is>
          <t>Aeropostale  Backpack for School, College, and Travel， Water Resistant Bookbag Black White</t>
        </is>
      </c>
      <c r="C1538" t="inlineStr">
        <is>
          <t>1AEBPK92029BKWH</t>
        </is>
      </c>
      <c r="D1538" t="inlineStr">
        <is>
          <t>Backpacks</t>
        </is>
      </c>
      <c r="E1538" t="inlineStr">
        <is>
          <t>Aeropostale</t>
        </is>
      </c>
      <c r="G1538" s="48" t="n">
        <v>0</v>
      </c>
      <c r="H1538" s="48" t="n">
        <v>0</v>
      </c>
      <c r="I1538" s="48" t="n">
        <v>0</v>
      </c>
      <c r="J1538" s="48" t="n">
        <v>0</v>
      </c>
      <c r="K1538" s="49" t="n">
        <v>0</v>
      </c>
      <c r="L1538" s="49" t="n">
        <v>0</v>
      </c>
      <c r="M1538" s="49" t="n">
        <v>0</v>
      </c>
      <c r="N1538" s="49" t="n">
        <v>0</v>
      </c>
      <c r="O1538" s="49" t="n">
        <v>0</v>
      </c>
      <c r="P1538" s="49" t="n">
        <v>0</v>
      </c>
      <c r="Q1538" s="49" t="n">
        <v>0</v>
      </c>
      <c r="R1538" s="49" t="n">
        <v>0</v>
      </c>
      <c r="S1538" s="50" t="n">
        <v>0</v>
      </c>
      <c r="T1538" s="50" t="n">
        <v>0</v>
      </c>
      <c r="U1538" s="50" t="n">
        <v>0</v>
      </c>
      <c r="V1538" s="50" t="n">
        <v>0</v>
      </c>
      <c r="W1538" s="51" t="n">
        <v>0</v>
      </c>
      <c r="X1538" s="51" t="n">
        <v>0</v>
      </c>
      <c r="Y1538" s="51" t="n">
        <v>0</v>
      </c>
      <c r="Z1538" s="51" t="n">
        <v>0</v>
      </c>
      <c r="AA1538" s="52" t="n">
        <v>0</v>
      </c>
      <c r="AB1538" s="52" t="n">
        <v>0</v>
      </c>
      <c r="AC1538" s="52" t="n">
        <v>0</v>
      </c>
      <c r="AD1538" s="52" t="n">
        <v>0</v>
      </c>
      <c r="AE1538" s="52" t="n">
        <v>0</v>
      </c>
      <c r="AF1538" s="52" t="n">
        <v>0</v>
      </c>
      <c r="AG1538" s="52" t="n">
        <v>0</v>
      </c>
      <c r="AH1538" s="52" t="n">
        <v>0</v>
      </c>
      <c r="AI1538" s="52" t="n">
        <v>0</v>
      </c>
      <c r="AJ1538" s="52" t="n">
        <v>0</v>
      </c>
      <c r="AK1538" s="52" t="n">
        <v>0</v>
      </c>
      <c r="AL1538" s="52" t="n">
        <v>0</v>
      </c>
      <c r="AM1538" s="53" t="n">
        <v>0</v>
      </c>
      <c r="AN1538" s="53" t="n">
        <v>0</v>
      </c>
      <c r="AO1538" s="53" t="n">
        <v>0</v>
      </c>
      <c r="AP1538" s="53" t="n">
        <v>0</v>
      </c>
      <c r="AQ1538" s="52" t="n">
        <v>0</v>
      </c>
      <c r="AR1538" s="52" t="n">
        <v>0</v>
      </c>
      <c r="AS1538" s="52" t="n">
        <v>0</v>
      </c>
      <c r="AT1538" s="52" t="n">
        <v>0</v>
      </c>
      <c r="AU1538" s="53" t="n">
        <v>0</v>
      </c>
      <c r="AV1538" s="53" t="n">
        <v>0</v>
      </c>
      <c r="AW1538" s="53" t="n">
        <v>0</v>
      </c>
      <c r="AX1538" s="53" t="n">
        <v>0</v>
      </c>
      <c r="AY1538" s="52" t="n">
        <v>0</v>
      </c>
      <c r="AZ1538" s="52" t="n">
        <v>0</v>
      </c>
      <c r="BA1538" s="52" t="n">
        <v>0</v>
      </c>
      <c r="BB1538" s="52" t="n">
        <v>0</v>
      </c>
      <c r="BC1538" s="51" t="n">
        <v>0</v>
      </c>
      <c r="BD1538" s="51" t="n">
        <v>0</v>
      </c>
      <c r="BE1538" s="51" t="n">
        <v>0</v>
      </c>
      <c r="BF1538" s="51" t="n">
        <v>0</v>
      </c>
    </row>
    <row r="1539">
      <c r="A1539">
        <f>HYPERLINK("https://www.walmart.com/ip/14546252468", "14546252468")</f>
        <v/>
      </c>
      <c r="B1539" t="inlineStr">
        <is>
          <t>Aeropostale  Backpack for School, College, and Travel， Water Resistant Bookbag Black Game</t>
        </is>
      </c>
      <c r="C1539" t="inlineStr">
        <is>
          <t>1AEBPK92029BKGAME</t>
        </is>
      </c>
      <c r="D1539" t="inlineStr">
        <is>
          <t>Backpacks</t>
        </is>
      </c>
      <c r="E1539" t="inlineStr">
        <is>
          <t>Aeropostale</t>
        </is>
      </c>
      <c r="G1539" s="48" t="n">
        <v>0</v>
      </c>
      <c r="H1539" s="48" t="n">
        <v>0</v>
      </c>
      <c r="I1539" s="48" t="n">
        <v>0</v>
      </c>
      <c r="J1539" s="48" t="n">
        <v>0</v>
      </c>
      <c r="K1539" s="49" t="n">
        <v>0</v>
      </c>
      <c r="L1539" s="49" t="n">
        <v>0</v>
      </c>
      <c r="M1539" s="49" t="n">
        <v>0</v>
      </c>
      <c r="N1539" s="49" t="n">
        <v>0</v>
      </c>
      <c r="O1539" s="49" t="n">
        <v>0</v>
      </c>
      <c r="P1539" s="49" t="n">
        <v>0</v>
      </c>
      <c r="Q1539" s="49" t="n">
        <v>0</v>
      </c>
      <c r="R1539" s="49" t="n">
        <v>0</v>
      </c>
      <c r="S1539" s="50" t="n">
        <v>0</v>
      </c>
      <c r="T1539" s="50" t="n">
        <v>0</v>
      </c>
      <c r="U1539" s="50" t="n">
        <v>0</v>
      </c>
      <c r="V1539" s="50" t="n">
        <v>0</v>
      </c>
      <c r="W1539" s="51" t="n">
        <v>0</v>
      </c>
      <c r="X1539" s="51" t="n">
        <v>0</v>
      </c>
      <c r="Y1539" s="51" t="n">
        <v>0</v>
      </c>
      <c r="Z1539" s="51" t="n">
        <v>0</v>
      </c>
      <c r="AA1539" s="52" t="n">
        <v>0</v>
      </c>
      <c r="AB1539" s="52" t="n">
        <v>0</v>
      </c>
      <c r="AC1539" s="52" t="n">
        <v>0</v>
      </c>
      <c r="AD1539" s="52" t="n">
        <v>0</v>
      </c>
      <c r="AE1539" s="52" t="n">
        <v>0</v>
      </c>
      <c r="AF1539" s="52" t="n">
        <v>0</v>
      </c>
      <c r="AG1539" s="52" t="n">
        <v>0</v>
      </c>
      <c r="AH1539" s="52" t="n">
        <v>0</v>
      </c>
      <c r="AI1539" s="52" t="n">
        <v>0</v>
      </c>
      <c r="AJ1539" s="52" t="n">
        <v>0</v>
      </c>
      <c r="AK1539" s="52" t="n">
        <v>0</v>
      </c>
      <c r="AL1539" s="52" t="n">
        <v>0</v>
      </c>
      <c r="AM1539" s="53" t="n">
        <v>0</v>
      </c>
      <c r="AN1539" s="53" t="n">
        <v>0</v>
      </c>
      <c r="AO1539" s="53" t="n">
        <v>0</v>
      </c>
      <c r="AP1539" s="53" t="n">
        <v>0</v>
      </c>
      <c r="AQ1539" s="52" t="n">
        <v>0</v>
      </c>
      <c r="AR1539" s="52" t="n">
        <v>0</v>
      </c>
      <c r="AS1539" s="52" t="n">
        <v>0</v>
      </c>
      <c r="AT1539" s="52" t="n">
        <v>0</v>
      </c>
      <c r="AU1539" s="53" t="n">
        <v>0</v>
      </c>
      <c r="AV1539" s="53" t="n">
        <v>0</v>
      </c>
      <c r="AW1539" s="53" t="n">
        <v>0</v>
      </c>
      <c r="AX1539" s="53" t="n">
        <v>0</v>
      </c>
      <c r="AY1539" s="52" t="n">
        <v>0</v>
      </c>
      <c r="AZ1539" s="52" t="n">
        <v>0</v>
      </c>
      <c r="BA1539" s="52" t="n">
        <v>0</v>
      </c>
      <c r="BB1539" s="52" t="n">
        <v>0</v>
      </c>
      <c r="BC1539" s="51" t="n">
        <v>0</v>
      </c>
      <c r="BD1539" s="51" t="n">
        <v>0</v>
      </c>
      <c r="BE1539" s="51" t="n">
        <v>0</v>
      </c>
      <c r="BF1539" s="51" t="n">
        <v>0</v>
      </c>
    </row>
    <row r="1540">
      <c r="A1540">
        <f>HYPERLINK("https://www.walmart.com/ip/14546302305", "14546302305")</f>
        <v/>
      </c>
      <c r="B1540" t="inlineStr">
        <is>
          <t>Aeropostale  Backpack for School, College, and Travel， Water Resistant Bookbag Brown</t>
        </is>
      </c>
      <c r="C1540" t="inlineStr">
        <is>
          <t>1AEBPK92029BR</t>
        </is>
      </c>
      <c r="D1540" t="inlineStr">
        <is>
          <t>Backpacks</t>
        </is>
      </c>
      <c r="E1540" t="inlineStr">
        <is>
          <t>Aeropostale</t>
        </is>
      </c>
      <c r="G1540" s="48" t="n">
        <v>0</v>
      </c>
      <c r="H1540" s="48" t="n">
        <v>0</v>
      </c>
      <c r="I1540" s="48" t="n">
        <v>0</v>
      </c>
      <c r="J1540" s="48" t="n">
        <v>0</v>
      </c>
      <c r="K1540" s="49" t="n">
        <v>0</v>
      </c>
      <c r="L1540" s="49" t="n">
        <v>0</v>
      </c>
      <c r="M1540" s="49" t="n">
        <v>0</v>
      </c>
      <c r="N1540" s="49" t="n">
        <v>0</v>
      </c>
      <c r="O1540" s="49" t="n">
        <v>0</v>
      </c>
      <c r="P1540" s="49" t="n">
        <v>0</v>
      </c>
      <c r="Q1540" s="49" t="n">
        <v>0</v>
      </c>
      <c r="R1540" s="49" t="n">
        <v>0</v>
      </c>
      <c r="S1540" s="50" t="n">
        <v>0</v>
      </c>
      <c r="T1540" s="50" t="n">
        <v>0</v>
      </c>
      <c r="U1540" s="50" t="n">
        <v>0</v>
      </c>
      <c r="V1540" s="50" t="n">
        <v>0</v>
      </c>
      <c r="W1540" s="51" t="n">
        <v>0</v>
      </c>
      <c r="X1540" s="51" t="n">
        <v>0</v>
      </c>
      <c r="Y1540" s="51" t="n">
        <v>0</v>
      </c>
      <c r="Z1540" s="51" t="n">
        <v>0</v>
      </c>
      <c r="AA1540" s="52" t="n">
        <v>0</v>
      </c>
      <c r="AB1540" s="52" t="n">
        <v>0</v>
      </c>
      <c r="AC1540" s="52" t="n">
        <v>0</v>
      </c>
      <c r="AD1540" s="52" t="n">
        <v>0</v>
      </c>
      <c r="AE1540" s="52" t="n">
        <v>0</v>
      </c>
      <c r="AF1540" s="52" t="n">
        <v>0</v>
      </c>
      <c r="AG1540" s="52" t="n">
        <v>0</v>
      </c>
      <c r="AH1540" s="52" t="n">
        <v>0</v>
      </c>
      <c r="AI1540" s="52" t="n">
        <v>0</v>
      </c>
      <c r="AJ1540" s="52" t="n">
        <v>0</v>
      </c>
      <c r="AK1540" s="52" t="n">
        <v>0</v>
      </c>
      <c r="AL1540" s="52" t="n">
        <v>0</v>
      </c>
      <c r="AM1540" s="53" t="n">
        <v>0</v>
      </c>
      <c r="AN1540" s="53" t="n">
        <v>0</v>
      </c>
      <c r="AO1540" s="53" t="n">
        <v>0</v>
      </c>
      <c r="AP1540" s="53" t="n">
        <v>0</v>
      </c>
      <c r="AQ1540" s="52" t="n">
        <v>0</v>
      </c>
      <c r="AR1540" s="52" t="n">
        <v>0</v>
      </c>
      <c r="AS1540" s="52" t="n">
        <v>0</v>
      </c>
      <c r="AT1540" s="52" t="n">
        <v>0</v>
      </c>
      <c r="AU1540" s="53" t="n">
        <v>0</v>
      </c>
      <c r="AV1540" s="53" t="n">
        <v>0</v>
      </c>
      <c r="AW1540" s="53" t="n">
        <v>0</v>
      </c>
      <c r="AX1540" s="53" t="n">
        <v>0</v>
      </c>
      <c r="AY1540" s="52" t="n">
        <v>0</v>
      </c>
      <c r="AZ1540" s="52" t="n">
        <v>0</v>
      </c>
      <c r="BA1540" s="52" t="n">
        <v>0</v>
      </c>
      <c r="BB1540" s="52" t="n">
        <v>0</v>
      </c>
      <c r="BC1540" s="51" t="n">
        <v>0</v>
      </c>
      <c r="BD1540" s="51" t="n">
        <v>0</v>
      </c>
      <c r="BE1540" s="51" t="n">
        <v>0</v>
      </c>
      <c r="BF1540" s="51" t="n">
        <v>0</v>
      </c>
    </row>
    <row r="1541">
      <c r="A1541">
        <f>HYPERLINK("https://www.walmart.com/ip/14550170058", "14550170058")</f>
        <v/>
      </c>
      <c r="B1541" t="inlineStr">
        <is>
          <t>Aeropostale  Backpack for School, College, and Travel， Water Resistant Bookbag Lilac Heart</t>
        </is>
      </c>
      <c r="C1541" t="inlineStr">
        <is>
          <t>1AEBPK92029LLHEART</t>
        </is>
      </c>
      <c r="D1541" t="inlineStr">
        <is>
          <t>Backpacks</t>
        </is>
      </c>
      <c r="E1541" t="inlineStr">
        <is>
          <t>Aeropostale</t>
        </is>
      </c>
      <c r="G1541" s="48" t="n">
        <v>0</v>
      </c>
      <c r="H1541" s="48" t="n">
        <v>0</v>
      </c>
      <c r="I1541" s="48" t="n">
        <v>0</v>
      </c>
      <c r="J1541" s="48" t="n">
        <v>23.99</v>
      </c>
      <c r="K1541" s="49" t="n">
        <v>0</v>
      </c>
      <c r="L1541" s="49" t="n">
        <v>0</v>
      </c>
      <c r="M1541" s="49" t="n">
        <v>0</v>
      </c>
      <c r="N1541" s="49" t="n">
        <v>1</v>
      </c>
      <c r="O1541" s="49" t="n">
        <v>0</v>
      </c>
      <c r="P1541" s="49" t="n">
        <v>0</v>
      </c>
      <c r="Q1541" s="49" t="n">
        <v>0</v>
      </c>
      <c r="R1541" s="49" t="n">
        <v>0</v>
      </c>
      <c r="S1541" s="50" t="n">
        <v>0</v>
      </c>
      <c r="T1541" s="50" t="n">
        <v>0</v>
      </c>
      <c r="U1541" s="50" t="n">
        <v>0</v>
      </c>
      <c r="V1541" s="50" t="n">
        <v>0</v>
      </c>
      <c r="W1541" s="51" t="n">
        <v>0</v>
      </c>
      <c r="X1541" s="51" t="n">
        <v>0</v>
      </c>
      <c r="Y1541" s="51" t="n">
        <v>0</v>
      </c>
      <c r="Z1541" s="51" t="n">
        <v>0</v>
      </c>
      <c r="AA1541" s="52" t="n">
        <v>0</v>
      </c>
      <c r="AB1541" s="52" t="n">
        <v>0</v>
      </c>
      <c r="AC1541" s="52" t="n">
        <v>0</v>
      </c>
      <c r="AD1541" s="52" t="n">
        <v>0</v>
      </c>
      <c r="AE1541" s="52" t="n">
        <v>0</v>
      </c>
      <c r="AF1541" s="52" t="n">
        <v>0</v>
      </c>
      <c r="AG1541" s="52" t="n">
        <v>0</v>
      </c>
      <c r="AH1541" s="52" t="n">
        <v>0</v>
      </c>
      <c r="AI1541" s="52" t="n">
        <v>0</v>
      </c>
      <c r="AJ1541" s="52" t="n">
        <v>0</v>
      </c>
      <c r="AK1541" s="52" t="n">
        <v>0</v>
      </c>
      <c r="AL1541" s="52" t="n">
        <v>0</v>
      </c>
      <c r="AM1541" s="53" t="n">
        <v>0</v>
      </c>
      <c r="AN1541" s="53" t="n">
        <v>0</v>
      </c>
      <c r="AO1541" s="53" t="n">
        <v>0</v>
      </c>
      <c r="AP1541" s="53" t="n">
        <v>0</v>
      </c>
      <c r="AQ1541" s="52" t="n">
        <v>0</v>
      </c>
      <c r="AR1541" s="52" t="n">
        <v>0</v>
      </c>
      <c r="AS1541" s="52" t="n">
        <v>0</v>
      </c>
      <c r="AT1541" s="52" t="n">
        <v>0</v>
      </c>
      <c r="AU1541" s="53" t="n">
        <v>0</v>
      </c>
      <c r="AV1541" s="53" t="n">
        <v>0</v>
      </c>
      <c r="AW1541" s="53" t="n">
        <v>0</v>
      </c>
      <c r="AX1541" s="53" t="n">
        <v>0</v>
      </c>
      <c r="AY1541" s="52" t="n">
        <v>0</v>
      </c>
      <c r="AZ1541" s="52" t="n">
        <v>0</v>
      </c>
      <c r="BA1541" s="52" t="n">
        <v>0</v>
      </c>
      <c r="BB1541" s="52" t="n">
        <v>23.99</v>
      </c>
      <c r="BC1541" s="51" t="n">
        <v>0</v>
      </c>
      <c r="BD1541" s="51" t="n">
        <v>0</v>
      </c>
      <c r="BE1541" s="51" t="n">
        <v>0</v>
      </c>
      <c r="BF1541" s="51" t="n">
        <v>0</v>
      </c>
    </row>
    <row r="1542">
      <c r="A1542">
        <f>HYPERLINK("https://www.walmart.com/ip/14550674659", "14550674659")</f>
        <v/>
      </c>
      <c r="B1542" t="inlineStr">
        <is>
          <t>Solaris Womens Wigs Double Long Braid Plaits Costume Wigs Hairpiece Rainbow Shade</t>
        </is>
      </c>
      <c r="C1542" t="inlineStr">
        <is>
          <t>FZWIGHW1384-FS</t>
        </is>
      </c>
      <c r="D1542" t="inlineStr">
        <is>
          <t>Costume Wigs</t>
        </is>
      </c>
      <c r="E1542" t="inlineStr">
        <is>
          <t>Solaris</t>
        </is>
      </c>
      <c r="G1542" s="48" t="n">
        <v>0</v>
      </c>
      <c r="H1542" s="48" t="n">
        <v>0</v>
      </c>
      <c r="I1542" s="48" t="n">
        <v>0</v>
      </c>
      <c r="J1542" s="48" t="n">
        <v>0</v>
      </c>
      <c r="K1542" s="49" t="n">
        <v>0</v>
      </c>
      <c r="L1542" s="49" t="n">
        <v>0</v>
      </c>
      <c r="M1542" s="49" t="n">
        <v>0</v>
      </c>
      <c r="N1542" s="49" t="n">
        <v>0</v>
      </c>
      <c r="O1542" s="49" t="n">
        <v>0</v>
      </c>
      <c r="P1542" s="49" t="n">
        <v>0</v>
      </c>
      <c r="Q1542" s="49" t="n">
        <v>0</v>
      </c>
      <c r="R1542" s="49" t="n">
        <v>0</v>
      </c>
      <c r="S1542" s="50" t="n">
        <v>0</v>
      </c>
      <c r="T1542" s="50" t="n">
        <v>0</v>
      </c>
      <c r="U1542" s="50" t="n">
        <v>0</v>
      </c>
      <c r="V1542" s="50" t="n">
        <v>0</v>
      </c>
      <c r="W1542" s="51" t="n">
        <v>0</v>
      </c>
      <c r="X1542" s="51" t="n">
        <v>0</v>
      </c>
      <c r="Y1542" s="51" t="n">
        <v>0</v>
      </c>
      <c r="Z1542" s="51" t="n">
        <v>0</v>
      </c>
      <c r="AA1542" s="52" t="n">
        <v>0</v>
      </c>
      <c r="AB1542" s="52" t="n">
        <v>0</v>
      </c>
      <c r="AC1542" s="52" t="n">
        <v>0</v>
      </c>
      <c r="AD1542" s="52" t="n">
        <v>0</v>
      </c>
      <c r="AE1542" s="52" t="n">
        <v>0</v>
      </c>
      <c r="AF1542" s="52" t="n">
        <v>0</v>
      </c>
      <c r="AG1542" s="52" t="n">
        <v>0</v>
      </c>
      <c r="AH1542" s="52" t="n">
        <v>0</v>
      </c>
      <c r="AI1542" s="52" t="n">
        <v>0</v>
      </c>
      <c r="AJ1542" s="52" t="n">
        <v>0</v>
      </c>
      <c r="AK1542" s="52" t="n">
        <v>0</v>
      </c>
      <c r="AL1542" s="52" t="n">
        <v>0</v>
      </c>
      <c r="AM1542" s="53" t="n">
        <v>0</v>
      </c>
      <c r="AN1542" s="53" t="n">
        <v>0</v>
      </c>
      <c r="AO1542" s="53" t="n">
        <v>0</v>
      </c>
      <c r="AP1542" s="53" t="n">
        <v>0</v>
      </c>
      <c r="AQ1542" s="52" t="n">
        <v>0</v>
      </c>
      <c r="AR1542" s="52" t="n">
        <v>0</v>
      </c>
      <c r="AS1542" s="52" t="n">
        <v>0</v>
      </c>
      <c r="AT1542" s="52" t="n">
        <v>0</v>
      </c>
      <c r="AU1542" s="53" t="n">
        <v>0</v>
      </c>
      <c r="AV1542" s="53" t="n">
        <v>0</v>
      </c>
      <c r="AW1542" s="53" t="n">
        <v>0</v>
      </c>
      <c r="AX1542" s="53" t="n">
        <v>0</v>
      </c>
      <c r="AY1542" s="52" t="n">
        <v>0</v>
      </c>
      <c r="AZ1542" s="52" t="n">
        <v>0</v>
      </c>
      <c r="BA1542" s="52" t="n">
        <v>0</v>
      </c>
      <c r="BB1542" s="52" t="n">
        <v>0</v>
      </c>
      <c r="BC1542" s="51" t="n">
        <v>0</v>
      </c>
      <c r="BD1542" s="51" t="n">
        <v>0</v>
      </c>
      <c r="BE1542" s="51" t="n">
        <v>0</v>
      </c>
      <c r="BF1542" s="51" t="n">
        <v>0</v>
      </c>
    </row>
    <row r="1543">
      <c r="A1543">
        <f>HYPERLINK("https://www.walmart.com/ip/14554421927", "14554421927")</f>
        <v/>
      </c>
      <c r="B1543" t="inlineStr">
        <is>
          <t>Solaris Open Crotch Boyshort Panties Underwear Black Lace Lingerie Thong for Women with Ribbons Removable Garters M</t>
        </is>
      </c>
      <c r="C1543" t="inlineStr">
        <is>
          <t>CCPT100BK-M-FS</t>
        </is>
      </c>
      <c r="D1543" t="inlineStr">
        <is>
          <t>Panties</t>
        </is>
      </c>
      <c r="E1543" t="inlineStr">
        <is>
          <t>Solaris</t>
        </is>
      </c>
      <c r="G1543" s="48" t="n">
        <v>0</v>
      </c>
      <c r="H1543" s="48" t="n">
        <v>0</v>
      </c>
      <c r="I1543" s="48" t="n">
        <v>0</v>
      </c>
      <c r="J1543" s="48" t="n">
        <v>0</v>
      </c>
      <c r="K1543" s="49" t="n">
        <v>0</v>
      </c>
      <c r="L1543" s="49" t="n">
        <v>0</v>
      </c>
      <c r="M1543" s="49" t="n">
        <v>0</v>
      </c>
      <c r="N1543" s="49" t="n">
        <v>0</v>
      </c>
      <c r="O1543" s="49" t="n">
        <v>0</v>
      </c>
      <c r="P1543" s="49" t="n">
        <v>0</v>
      </c>
      <c r="Q1543" s="49" t="n">
        <v>0</v>
      </c>
      <c r="R1543" s="49" t="n">
        <v>0</v>
      </c>
      <c r="S1543" s="50" t="n">
        <v>0</v>
      </c>
      <c r="T1543" s="50" t="n">
        <v>0</v>
      </c>
      <c r="U1543" s="50" t="n">
        <v>0</v>
      </c>
      <c r="V1543" s="50" t="n">
        <v>0</v>
      </c>
      <c r="W1543" s="51" t="n">
        <v>0</v>
      </c>
      <c r="X1543" s="51" t="n">
        <v>0</v>
      </c>
      <c r="Y1543" s="51" t="n">
        <v>0</v>
      </c>
      <c r="Z1543" s="51" t="n">
        <v>0</v>
      </c>
      <c r="AA1543" s="52" t="n">
        <v>0</v>
      </c>
      <c r="AB1543" s="52" t="n">
        <v>0</v>
      </c>
      <c r="AC1543" s="52" t="n">
        <v>0</v>
      </c>
      <c r="AD1543" s="52" t="n">
        <v>0</v>
      </c>
      <c r="AE1543" s="52" t="n">
        <v>0</v>
      </c>
      <c r="AF1543" s="52" t="n">
        <v>0</v>
      </c>
      <c r="AG1543" s="52" t="n">
        <v>0</v>
      </c>
      <c r="AH1543" s="52" t="n">
        <v>0</v>
      </c>
      <c r="AI1543" s="52" t="n">
        <v>0</v>
      </c>
      <c r="AJ1543" s="52" t="n">
        <v>0</v>
      </c>
      <c r="AK1543" s="52" t="n">
        <v>0</v>
      </c>
      <c r="AL1543" s="52" t="n">
        <v>0</v>
      </c>
      <c r="AM1543" s="53" t="n">
        <v>0</v>
      </c>
      <c r="AN1543" s="53" t="n">
        <v>0</v>
      </c>
      <c r="AO1543" s="53" t="n">
        <v>0</v>
      </c>
      <c r="AP1543" s="53" t="n">
        <v>0</v>
      </c>
      <c r="AQ1543" s="52" t="n">
        <v>0</v>
      </c>
      <c r="AR1543" s="52" t="n">
        <v>0</v>
      </c>
      <c r="AS1543" s="52" t="n">
        <v>0</v>
      </c>
      <c r="AT1543" s="52" t="n">
        <v>0</v>
      </c>
      <c r="AU1543" s="53" t="n">
        <v>0</v>
      </c>
      <c r="AV1543" s="53" t="n">
        <v>0</v>
      </c>
      <c r="AW1543" s="53" t="n">
        <v>0</v>
      </c>
      <c r="AX1543" s="53" t="n">
        <v>0</v>
      </c>
      <c r="AY1543" s="52" t="n">
        <v>0</v>
      </c>
      <c r="AZ1543" s="52" t="n">
        <v>0</v>
      </c>
      <c r="BA1543" s="52" t="n">
        <v>0</v>
      </c>
      <c r="BB1543" s="52" t="n">
        <v>0</v>
      </c>
      <c r="BC1543" s="51" t="n">
        <v>0</v>
      </c>
      <c r="BD1543" s="51" t="n">
        <v>0</v>
      </c>
      <c r="BE1543" s="51" t="n">
        <v>0</v>
      </c>
      <c r="BF1543" s="51" t="n">
        <v>0</v>
      </c>
    </row>
    <row r="1544">
      <c r="A1544">
        <f>HYPERLINK("https://www.walmart.com/ip/14554465241", "14554465241")</f>
        <v/>
      </c>
      <c r="B1544" t="inlineStr">
        <is>
          <t>PEANUTS Mens' Cotton Snoopy Family Matching Pajamas 2-Piece Sets for Christmas with Woodstock Charlie Brown Linus, Gift for him (Red Polka Dot, L)</t>
        </is>
      </c>
      <c r="C1544" t="inlineStr">
        <is>
          <t>PEA-PJS-FAMILY-MEN-RED-L</t>
        </is>
      </c>
      <c r="D1544" t="inlineStr">
        <is>
          <t>Pajamas</t>
        </is>
      </c>
      <c r="E1544" t="inlineStr">
        <is>
          <t>Peanuts</t>
        </is>
      </c>
      <c r="G1544" s="48" t="n">
        <v>0</v>
      </c>
      <c r="H1544" s="48" t="n">
        <v>0</v>
      </c>
      <c r="I1544" s="48" t="n">
        <v>0</v>
      </c>
      <c r="J1544" s="48" t="n">
        <v>0</v>
      </c>
      <c r="K1544" s="49" t="n">
        <v>0</v>
      </c>
      <c r="L1544" s="49" t="n">
        <v>0</v>
      </c>
      <c r="M1544" s="49" t="n">
        <v>0</v>
      </c>
      <c r="N1544" s="49" t="n">
        <v>0</v>
      </c>
      <c r="O1544" s="49" t="n">
        <v>0</v>
      </c>
      <c r="P1544" s="49" t="n">
        <v>0</v>
      </c>
      <c r="Q1544" s="49" t="n">
        <v>0</v>
      </c>
      <c r="R1544" s="49" t="n">
        <v>0</v>
      </c>
      <c r="S1544" s="50" t="n">
        <v>0</v>
      </c>
      <c r="T1544" s="50" t="n">
        <v>0</v>
      </c>
      <c r="U1544" s="50" t="n">
        <v>0</v>
      </c>
      <c r="V1544" s="50" t="n">
        <v>0</v>
      </c>
      <c r="W1544" s="51" t="n">
        <v>0</v>
      </c>
      <c r="X1544" s="51" t="n">
        <v>0</v>
      </c>
      <c r="Y1544" s="51" t="n">
        <v>0</v>
      </c>
      <c r="Z1544" s="51" t="n">
        <v>0</v>
      </c>
      <c r="AA1544" s="52" t="n">
        <v>0</v>
      </c>
      <c r="AB1544" s="52" t="n">
        <v>0</v>
      </c>
      <c r="AC1544" s="52" t="n">
        <v>0</v>
      </c>
      <c r="AD1544" s="52" t="n">
        <v>0</v>
      </c>
      <c r="AE1544" s="52" t="n">
        <v>0</v>
      </c>
      <c r="AF1544" s="52" t="n">
        <v>0</v>
      </c>
      <c r="AG1544" s="52" t="n">
        <v>0</v>
      </c>
      <c r="AH1544" s="52" t="n">
        <v>0</v>
      </c>
      <c r="AI1544" s="52" t="n">
        <v>0</v>
      </c>
      <c r="AJ1544" s="52" t="n">
        <v>0</v>
      </c>
      <c r="AK1544" s="52" t="n">
        <v>0</v>
      </c>
      <c r="AL1544" s="52" t="n">
        <v>0</v>
      </c>
      <c r="AM1544" s="53" t="n">
        <v>0</v>
      </c>
      <c r="AN1544" s="53" t="n">
        <v>0</v>
      </c>
      <c r="AO1544" s="53" t="n">
        <v>0</v>
      </c>
      <c r="AP1544" s="53" t="n">
        <v>0</v>
      </c>
      <c r="AQ1544" s="52" t="n">
        <v>0</v>
      </c>
      <c r="AR1544" s="52" t="n">
        <v>0</v>
      </c>
      <c r="AS1544" s="52" t="n">
        <v>0</v>
      </c>
      <c r="AT1544" s="52" t="n">
        <v>0</v>
      </c>
      <c r="AU1544" s="53" t="n">
        <v>0</v>
      </c>
      <c r="AV1544" s="53" t="n">
        <v>0</v>
      </c>
      <c r="AW1544" s="53" t="n">
        <v>0</v>
      </c>
      <c r="AX1544" s="53" t="n">
        <v>0</v>
      </c>
      <c r="AY1544" s="52" t="n">
        <v>0</v>
      </c>
      <c r="AZ1544" s="52" t="n">
        <v>0</v>
      </c>
      <c r="BA1544" s="52" t="n">
        <v>0</v>
      </c>
      <c r="BB1544" s="52" t="n">
        <v>0</v>
      </c>
      <c r="BC1544" s="51" t="n">
        <v>0</v>
      </c>
      <c r="BD1544" s="51" t="n">
        <v>0</v>
      </c>
      <c r="BE1544" s="51" t="n">
        <v>0</v>
      </c>
      <c r="BF1544" s="51" t="n">
        <v>0</v>
      </c>
    </row>
    <row r="1545">
      <c r="A1545">
        <f>HYPERLINK("https://www.walmart.com/ip/14560258399", "14560258399")</f>
        <v/>
      </c>
      <c r="B1545" t="inlineStr">
        <is>
          <t>Solaris Womens Wigs Two Tone Long Curly Wigs with Straight Bangs Pink Themed Party Lavender and Black</t>
        </is>
      </c>
      <c r="C1545" t="inlineStr">
        <is>
          <t>FZWIGHW-558-FS</t>
        </is>
      </c>
      <c r="D1545" t="inlineStr">
        <is>
          <t>Costume Wigs</t>
        </is>
      </c>
      <c r="E1545" t="inlineStr">
        <is>
          <t>Solaris</t>
        </is>
      </c>
      <c r="G1545" s="48" t="n">
        <v>0</v>
      </c>
      <c r="H1545" s="48" t="n">
        <v>0</v>
      </c>
      <c r="I1545" s="48" t="n">
        <v>0</v>
      </c>
      <c r="J1545" s="48" t="n">
        <v>0</v>
      </c>
      <c r="K1545" s="49" t="n">
        <v>0</v>
      </c>
      <c r="L1545" s="49" t="n">
        <v>0</v>
      </c>
      <c r="M1545" s="49" t="n">
        <v>0</v>
      </c>
      <c r="N1545" s="49" t="n">
        <v>0</v>
      </c>
      <c r="O1545" s="49" t="n">
        <v>0</v>
      </c>
      <c r="P1545" s="49" t="n">
        <v>0</v>
      </c>
      <c r="Q1545" s="49" t="n">
        <v>0</v>
      </c>
      <c r="R1545" s="49" t="n">
        <v>0</v>
      </c>
      <c r="S1545" s="50" t="n">
        <v>0</v>
      </c>
      <c r="T1545" s="50" t="n">
        <v>0</v>
      </c>
      <c r="U1545" s="50" t="n">
        <v>0</v>
      </c>
      <c r="V1545" s="50" t="n">
        <v>0</v>
      </c>
      <c r="W1545" s="51" t="n">
        <v>0</v>
      </c>
      <c r="X1545" s="51" t="n">
        <v>0</v>
      </c>
      <c r="Y1545" s="51" t="n">
        <v>0</v>
      </c>
      <c r="Z1545" s="51" t="n">
        <v>0</v>
      </c>
      <c r="AA1545" s="52" t="n">
        <v>0</v>
      </c>
      <c r="AB1545" s="52" t="n">
        <v>0</v>
      </c>
      <c r="AC1545" s="52" t="n">
        <v>0</v>
      </c>
      <c r="AD1545" s="52" t="n">
        <v>0</v>
      </c>
      <c r="AE1545" s="52" t="n">
        <v>0</v>
      </c>
      <c r="AF1545" s="52" t="n">
        <v>0</v>
      </c>
      <c r="AG1545" s="52" t="n">
        <v>0</v>
      </c>
      <c r="AH1545" s="52" t="n">
        <v>0</v>
      </c>
      <c r="AI1545" s="52" t="n">
        <v>0</v>
      </c>
      <c r="AJ1545" s="52" t="n">
        <v>0</v>
      </c>
      <c r="AK1545" s="52" t="n">
        <v>0</v>
      </c>
      <c r="AL1545" s="52" t="n">
        <v>0</v>
      </c>
      <c r="AM1545" s="53" t="n">
        <v>0</v>
      </c>
      <c r="AN1545" s="53" t="n">
        <v>0</v>
      </c>
      <c r="AO1545" s="53" t="n">
        <v>0</v>
      </c>
      <c r="AP1545" s="53" t="n">
        <v>0</v>
      </c>
      <c r="AQ1545" s="52" t="n">
        <v>0</v>
      </c>
      <c r="AR1545" s="52" t="n">
        <v>0</v>
      </c>
      <c r="AS1545" s="52" t="n">
        <v>0</v>
      </c>
      <c r="AT1545" s="52" t="n">
        <v>0</v>
      </c>
      <c r="AU1545" s="53" t="n">
        <v>0</v>
      </c>
      <c r="AV1545" s="53" t="n">
        <v>0</v>
      </c>
      <c r="AW1545" s="53" t="n">
        <v>0</v>
      </c>
      <c r="AX1545" s="53" t="n">
        <v>0</v>
      </c>
      <c r="AY1545" s="52" t="n">
        <v>0</v>
      </c>
      <c r="AZ1545" s="52" t="n">
        <v>0</v>
      </c>
      <c r="BA1545" s="52" t="n">
        <v>0</v>
      </c>
      <c r="BB1545" s="52" t="n">
        <v>0</v>
      </c>
      <c r="BC1545" s="51" t="n">
        <v>0</v>
      </c>
      <c r="BD1545" s="51" t="n">
        <v>0</v>
      </c>
      <c r="BE1545" s="51" t="n">
        <v>0</v>
      </c>
      <c r="BF1545" s="51" t="n">
        <v>0</v>
      </c>
    </row>
    <row r="1546">
      <c r="A1546">
        <f>HYPERLINK("https://www.walmart.com/ip/14564610338", "14564610338")</f>
        <v/>
      </c>
      <c r="B1546" t="inlineStr">
        <is>
          <t>Aeropostale  Backpack for School, College, and Travel， Water Resistant Bookbag Light Blue Egg</t>
        </is>
      </c>
      <c r="C1546" t="inlineStr">
        <is>
          <t>1AEBPK92029LBLEGG</t>
        </is>
      </c>
      <c r="D1546" t="inlineStr">
        <is>
          <t>Backpacks</t>
        </is>
      </c>
      <c r="E1546" t="inlineStr">
        <is>
          <t>Aeropostale</t>
        </is>
      </c>
      <c r="G1546" s="48" t="n">
        <v>0</v>
      </c>
      <c r="H1546" s="48" t="n">
        <v>0</v>
      </c>
      <c r="I1546" s="48" t="n">
        <v>0</v>
      </c>
      <c r="J1546" s="48" t="n">
        <v>0</v>
      </c>
      <c r="K1546" s="49" t="n">
        <v>0</v>
      </c>
      <c r="L1546" s="49" t="n">
        <v>0</v>
      </c>
      <c r="M1546" s="49" t="n">
        <v>0</v>
      </c>
      <c r="N1546" s="49" t="n">
        <v>0</v>
      </c>
      <c r="O1546" s="49" t="n">
        <v>0</v>
      </c>
      <c r="P1546" s="49" t="n">
        <v>0</v>
      </c>
      <c r="Q1546" s="49" t="n">
        <v>0</v>
      </c>
      <c r="R1546" s="49" t="n">
        <v>0</v>
      </c>
      <c r="S1546" s="50" t="n">
        <v>0</v>
      </c>
      <c r="T1546" s="50" t="n">
        <v>0</v>
      </c>
      <c r="U1546" s="50" t="n">
        <v>0</v>
      </c>
      <c r="V1546" s="50" t="n">
        <v>0</v>
      </c>
      <c r="W1546" s="51" t="n">
        <v>0</v>
      </c>
      <c r="X1546" s="51" t="n">
        <v>0</v>
      </c>
      <c r="Y1546" s="51" t="n">
        <v>0</v>
      </c>
      <c r="Z1546" s="51" t="n">
        <v>0</v>
      </c>
      <c r="AA1546" s="52" t="n">
        <v>0</v>
      </c>
      <c r="AB1546" s="52" t="n">
        <v>0</v>
      </c>
      <c r="AC1546" s="52" t="n">
        <v>0</v>
      </c>
      <c r="AD1546" s="52" t="n">
        <v>0</v>
      </c>
      <c r="AE1546" s="52" t="n">
        <v>0</v>
      </c>
      <c r="AF1546" s="52" t="n">
        <v>0</v>
      </c>
      <c r="AG1546" s="52" t="n">
        <v>0</v>
      </c>
      <c r="AH1546" s="52" t="n">
        <v>0</v>
      </c>
      <c r="AI1546" s="52" t="n">
        <v>0</v>
      </c>
      <c r="AJ1546" s="52" t="n">
        <v>0</v>
      </c>
      <c r="AK1546" s="52" t="n">
        <v>0</v>
      </c>
      <c r="AL1546" s="52" t="n">
        <v>0</v>
      </c>
      <c r="AM1546" s="53" t="n">
        <v>0</v>
      </c>
      <c r="AN1546" s="53" t="n">
        <v>0</v>
      </c>
      <c r="AO1546" s="53" t="n">
        <v>0</v>
      </c>
      <c r="AP1546" s="53" t="n">
        <v>0</v>
      </c>
      <c r="AQ1546" s="52" t="n">
        <v>0</v>
      </c>
      <c r="AR1546" s="52" t="n">
        <v>0</v>
      </c>
      <c r="AS1546" s="52" t="n">
        <v>0</v>
      </c>
      <c r="AT1546" s="52" t="n">
        <v>0</v>
      </c>
      <c r="AU1546" s="53" t="n">
        <v>0</v>
      </c>
      <c r="AV1546" s="53" t="n">
        <v>0</v>
      </c>
      <c r="AW1546" s="53" t="n">
        <v>0</v>
      </c>
      <c r="AX1546" s="53" t="n">
        <v>0</v>
      </c>
      <c r="AY1546" s="52" t="n">
        <v>0</v>
      </c>
      <c r="AZ1546" s="52" t="n">
        <v>0</v>
      </c>
      <c r="BA1546" s="52" t="n">
        <v>0</v>
      </c>
      <c r="BB1546" s="52" t="n">
        <v>0</v>
      </c>
      <c r="BC1546" s="51" t="n">
        <v>0</v>
      </c>
      <c r="BD1546" s="51" t="n">
        <v>0</v>
      </c>
      <c r="BE1546" s="51" t="n">
        <v>0</v>
      </c>
      <c r="BF1546" s="51" t="n">
        <v>0</v>
      </c>
    </row>
    <row r="1547">
      <c r="A1547">
        <f>HYPERLINK("https://www.walmart.com/ip/1456609186", "1456609186")</f>
        <v/>
      </c>
      <c r="B1547" t="inlineStr">
        <is>
          <t>Tirrinia Portable Picnic Table with 4 Wine Glasses Holder, Functional Bamboo Snack Tray Table -Foldable for Party, Picnic, Camping, Beach (12.5" x 12.5" x 7.5")</t>
        </is>
      </c>
      <c r="C1547" t="inlineStr">
        <is>
          <t>1TRPT401</t>
        </is>
      </c>
      <c r="D1547" t="inlineStr">
        <is>
          <t>Picnic Tables</t>
        </is>
      </c>
      <c r="E1547" t="inlineStr">
        <is>
          <t>Tirrinia</t>
        </is>
      </c>
      <c r="F1547" t="inlineStr">
        <is>
          <t>Wine,Batch 1 - TR</t>
        </is>
      </c>
      <c r="G1547" s="48" t="n">
        <v>0</v>
      </c>
      <c r="H1547" s="48" t="n">
        <v>0</v>
      </c>
      <c r="I1547" s="48" t="n">
        <v>0</v>
      </c>
      <c r="J1547" s="48" t="n">
        <v>0</v>
      </c>
      <c r="K1547" s="49" t="n">
        <v>0</v>
      </c>
      <c r="L1547" s="49" t="n">
        <v>0</v>
      </c>
      <c r="M1547" s="49" t="n">
        <v>0</v>
      </c>
      <c r="N1547" s="49" t="n">
        <v>0</v>
      </c>
      <c r="O1547" s="49" t="n">
        <v>0</v>
      </c>
      <c r="P1547" s="49" t="n">
        <v>0</v>
      </c>
      <c r="Q1547" s="49" t="n">
        <v>0</v>
      </c>
      <c r="R1547" s="49" t="n">
        <v>0</v>
      </c>
      <c r="S1547" s="50" t="n">
        <v>0</v>
      </c>
      <c r="T1547" s="50" t="n">
        <v>0</v>
      </c>
      <c r="U1547" s="50" t="n">
        <v>0</v>
      </c>
      <c r="V1547" s="50" t="n">
        <v>0</v>
      </c>
      <c r="W1547" s="51" t="n">
        <v>3</v>
      </c>
      <c r="X1547" s="51" t="n">
        <v>0</v>
      </c>
      <c r="Y1547" s="51" t="n">
        <v>0</v>
      </c>
      <c r="Z1547" s="51" t="n">
        <v>0</v>
      </c>
      <c r="AA1547" s="52" t="n">
        <v>1.13</v>
      </c>
      <c r="AB1547" s="52" t="n">
        <v>0</v>
      </c>
      <c r="AC1547" s="52" t="n">
        <v>0</v>
      </c>
      <c r="AD1547" s="52" t="n">
        <v>0</v>
      </c>
      <c r="AE1547" s="52" t="n">
        <v>0</v>
      </c>
      <c r="AF1547" s="52" t="n">
        <v>0</v>
      </c>
      <c r="AG1547" s="52" t="n">
        <v>0</v>
      </c>
      <c r="AH1547" s="52" t="n">
        <v>0</v>
      </c>
      <c r="AI1547" s="52" t="n">
        <v>0</v>
      </c>
      <c r="AJ1547" s="52" t="n">
        <v>0</v>
      </c>
      <c r="AK1547" s="52" t="n">
        <v>0</v>
      </c>
      <c r="AL1547" s="52" t="n">
        <v>0</v>
      </c>
      <c r="AM1547" s="53" t="n">
        <v>0.0049</v>
      </c>
      <c r="AN1547" s="53" t="n">
        <v>0</v>
      </c>
      <c r="AO1547" s="53" t="n">
        <v>0</v>
      </c>
      <c r="AP1547" s="53" t="n">
        <v>0</v>
      </c>
      <c r="AQ1547" s="52" t="n">
        <v>0.3766666666666666</v>
      </c>
      <c r="AR1547" s="52" t="n">
        <v>0</v>
      </c>
      <c r="AS1547" s="52" t="n">
        <v>0</v>
      </c>
      <c r="AT1547" s="52" t="n">
        <v>0</v>
      </c>
      <c r="AU1547" s="53" t="n">
        <v>0</v>
      </c>
      <c r="AV1547" s="53" t="n">
        <v>0</v>
      </c>
      <c r="AW1547" s="53" t="n">
        <v>0</v>
      </c>
      <c r="AX1547" s="53" t="n">
        <v>0</v>
      </c>
      <c r="AY1547" s="52" t="n">
        <v>0</v>
      </c>
      <c r="AZ1547" s="52" t="n">
        <v>0</v>
      </c>
      <c r="BA1547" s="52" t="n">
        <v>0</v>
      </c>
      <c r="BB1547" s="52" t="n">
        <v>0</v>
      </c>
      <c r="BC1547" s="51" t="n">
        <v>609</v>
      </c>
      <c r="BD1547" s="51" t="n">
        <v>0</v>
      </c>
      <c r="BE1547" s="51" t="n">
        <v>0</v>
      </c>
      <c r="BF1547" s="51" t="n">
        <v>0</v>
      </c>
    </row>
    <row r="1548">
      <c r="A1548">
        <f>HYPERLINK("https://www.walmart.com/ip/1456630097", "1456630097")</f>
        <v/>
      </c>
      <c r="B1548" t="inlineStr">
        <is>
          <t>Pawsse Pet Carrier Backpack for Dogs and Cats up to 15 lbs, 16" H x13.2" L x12" W, Black</t>
        </is>
      </c>
      <c r="C1548" t="inlineStr">
        <is>
          <t>1PSPB200BK</t>
        </is>
      </c>
      <c r="D1548" t="inlineStr">
        <is>
          <t>Pet Carriers</t>
        </is>
      </c>
      <c r="E1548" t="inlineStr">
        <is>
          <t>Pawsse</t>
        </is>
      </c>
      <c r="G1548" s="48" t="n">
        <v>0</v>
      </c>
      <c r="H1548" s="48" t="n">
        <v>29.99</v>
      </c>
      <c r="I1548" s="48" t="n">
        <v>0</v>
      </c>
      <c r="J1548" s="48" t="n">
        <v>0</v>
      </c>
      <c r="K1548" s="49" t="n">
        <v>0</v>
      </c>
      <c r="L1548" s="49" t="n">
        <v>1</v>
      </c>
      <c r="M1548" s="49" t="n">
        <v>0</v>
      </c>
      <c r="N1548" s="49" t="n">
        <v>0</v>
      </c>
      <c r="O1548" s="49" t="n">
        <v>0</v>
      </c>
      <c r="P1548" s="49" t="n">
        <v>0</v>
      </c>
      <c r="Q1548" s="49" t="n">
        <v>0</v>
      </c>
      <c r="R1548" s="49" t="n">
        <v>0</v>
      </c>
      <c r="S1548" s="50" t="n">
        <v>0</v>
      </c>
      <c r="T1548" s="50" t="n">
        <v>0</v>
      </c>
      <c r="U1548" s="50" t="n">
        <v>0</v>
      </c>
      <c r="V1548" s="50" t="n">
        <v>0</v>
      </c>
      <c r="W1548" s="51" t="n">
        <v>0</v>
      </c>
      <c r="X1548" s="51" t="n">
        <v>0</v>
      </c>
      <c r="Y1548" s="51" t="n">
        <v>0</v>
      </c>
      <c r="Z1548" s="51" t="n">
        <v>0</v>
      </c>
      <c r="AA1548" s="52" t="n">
        <v>0</v>
      </c>
      <c r="AB1548" s="52" t="n">
        <v>0</v>
      </c>
      <c r="AC1548" s="52" t="n">
        <v>0</v>
      </c>
      <c r="AD1548" s="52" t="n">
        <v>0</v>
      </c>
      <c r="AE1548" s="52" t="n">
        <v>0</v>
      </c>
      <c r="AF1548" s="52" t="n">
        <v>0</v>
      </c>
      <c r="AG1548" s="52" t="n">
        <v>0</v>
      </c>
      <c r="AH1548" s="52" t="n">
        <v>0</v>
      </c>
      <c r="AI1548" s="52" t="n">
        <v>0</v>
      </c>
      <c r="AJ1548" s="52" t="n">
        <v>0</v>
      </c>
      <c r="AK1548" s="52" t="n">
        <v>0</v>
      </c>
      <c r="AL1548" s="52" t="n">
        <v>0</v>
      </c>
      <c r="AM1548" s="53" t="n">
        <v>0</v>
      </c>
      <c r="AN1548" s="53" t="n">
        <v>0</v>
      </c>
      <c r="AO1548" s="53" t="n">
        <v>0</v>
      </c>
      <c r="AP1548" s="53" t="n">
        <v>0</v>
      </c>
      <c r="AQ1548" s="52" t="n">
        <v>0</v>
      </c>
      <c r="AR1548" s="52" t="n">
        <v>0</v>
      </c>
      <c r="AS1548" s="52" t="n">
        <v>0</v>
      </c>
      <c r="AT1548" s="52" t="n">
        <v>0</v>
      </c>
      <c r="AU1548" s="53" t="n">
        <v>0</v>
      </c>
      <c r="AV1548" s="53" t="n">
        <v>0</v>
      </c>
      <c r="AW1548" s="53" t="n">
        <v>0</v>
      </c>
      <c r="AX1548" s="53" t="n">
        <v>0</v>
      </c>
      <c r="AY1548" s="52" t="n">
        <v>0</v>
      </c>
      <c r="AZ1548" s="52" t="n">
        <v>29.99</v>
      </c>
      <c r="BA1548" s="52" t="n">
        <v>0</v>
      </c>
      <c r="BB1548" s="52" t="n">
        <v>0</v>
      </c>
      <c r="BC1548" s="51" t="n">
        <v>0</v>
      </c>
      <c r="BD1548" s="51" t="n">
        <v>0</v>
      </c>
      <c r="BE1548" s="51" t="n">
        <v>0</v>
      </c>
      <c r="BF1548" s="51" t="n">
        <v>0</v>
      </c>
    </row>
    <row r="1549">
      <c r="A1549">
        <f>HYPERLINK("https://www.walmart.com/ip/145663992", "145663992")</f>
        <v/>
      </c>
      <c r="B1549" t="inlineStr">
        <is>
          <t>Terra Faux Fur Pom Pom Beanie Hat Thick Slouchy Cable Knit Soft Warm Micro Fleece Lined Unisex Stretches to Fit Most</t>
        </is>
      </c>
      <c r="C1549" t="inlineStr">
        <is>
          <t>TERRAPPH01PK</t>
        </is>
      </c>
      <c r="D1549" t="inlineStr">
        <is>
          <t>Hats</t>
        </is>
      </c>
      <c r="E1549" t="inlineStr">
        <is>
          <t>Terra</t>
        </is>
      </c>
      <c r="F1549" t="inlineStr">
        <is>
          <t>Optimized</t>
        </is>
      </c>
      <c r="G1549" s="48" t="n">
        <v>0</v>
      </c>
      <c r="H1549" s="48" t="n">
        <v>0</v>
      </c>
      <c r="I1549" s="48" t="n">
        <v>0</v>
      </c>
      <c r="J1549" s="48" t="n">
        <v>0</v>
      </c>
      <c r="K1549" s="49" t="n">
        <v>0</v>
      </c>
      <c r="L1549" s="49" t="n">
        <v>0</v>
      </c>
      <c r="M1549" s="49" t="n">
        <v>0</v>
      </c>
      <c r="N1549" s="49" t="n">
        <v>0</v>
      </c>
      <c r="O1549" s="49" t="n">
        <v>0</v>
      </c>
      <c r="P1549" s="49" t="n">
        <v>0</v>
      </c>
      <c r="Q1549" s="49" t="n">
        <v>0</v>
      </c>
      <c r="R1549" s="49" t="n">
        <v>0</v>
      </c>
      <c r="S1549" s="50" t="n">
        <v>0</v>
      </c>
      <c r="T1549" s="50" t="n">
        <v>0</v>
      </c>
      <c r="U1549" s="50" t="n">
        <v>0</v>
      </c>
      <c r="V1549" s="50" t="n">
        <v>0</v>
      </c>
      <c r="W1549" s="51" t="n">
        <v>0</v>
      </c>
      <c r="X1549" s="51" t="n">
        <v>0</v>
      </c>
      <c r="Y1549" s="51" t="n">
        <v>0</v>
      </c>
      <c r="Z1549" s="51" t="n">
        <v>0</v>
      </c>
      <c r="AA1549" s="52" t="n">
        <v>0</v>
      </c>
      <c r="AB1549" s="52" t="n">
        <v>0</v>
      </c>
      <c r="AC1549" s="52" t="n">
        <v>0</v>
      </c>
      <c r="AD1549" s="52" t="n">
        <v>0</v>
      </c>
      <c r="AE1549" s="52" t="n">
        <v>0</v>
      </c>
      <c r="AF1549" s="52" t="n">
        <v>0</v>
      </c>
      <c r="AG1549" s="52" t="n">
        <v>0</v>
      </c>
      <c r="AH1549" s="52" t="n">
        <v>0</v>
      </c>
      <c r="AI1549" s="52" t="n">
        <v>0</v>
      </c>
      <c r="AJ1549" s="52" t="n">
        <v>0</v>
      </c>
      <c r="AK1549" s="52" t="n">
        <v>0</v>
      </c>
      <c r="AL1549" s="52" t="n">
        <v>0</v>
      </c>
      <c r="AM1549" s="53" t="n">
        <v>0</v>
      </c>
      <c r="AN1549" s="53" t="n">
        <v>0</v>
      </c>
      <c r="AO1549" s="53" t="n">
        <v>0</v>
      </c>
      <c r="AP1549" s="53" t="n">
        <v>0</v>
      </c>
      <c r="AQ1549" s="52" t="n">
        <v>0</v>
      </c>
      <c r="AR1549" s="52" t="n">
        <v>0</v>
      </c>
      <c r="AS1549" s="52" t="n">
        <v>0</v>
      </c>
      <c r="AT1549" s="52" t="n">
        <v>0</v>
      </c>
      <c r="AU1549" s="53" t="n">
        <v>0</v>
      </c>
      <c r="AV1549" s="53" t="n">
        <v>0</v>
      </c>
      <c r="AW1549" s="53" t="n">
        <v>0</v>
      </c>
      <c r="AX1549" s="53" t="n">
        <v>0</v>
      </c>
      <c r="AY1549" s="52" t="n">
        <v>0</v>
      </c>
      <c r="AZ1549" s="52" t="n">
        <v>0</v>
      </c>
      <c r="BA1549" s="52" t="n">
        <v>0</v>
      </c>
      <c r="BB1549" s="52" t="n">
        <v>0</v>
      </c>
      <c r="BC1549" s="51" t="n">
        <v>0</v>
      </c>
      <c r="BD1549" s="51" t="n">
        <v>0</v>
      </c>
      <c r="BE1549" s="51" t="n">
        <v>0</v>
      </c>
      <c r="BF1549" s="51" t="n">
        <v>0</v>
      </c>
    </row>
    <row r="1550">
      <c r="A1550">
        <f>HYPERLINK("https://www.walmart.com/ip/145739849", "145739849")</f>
        <v/>
      </c>
      <c r="B1550" t="inlineStr">
        <is>
          <t>Deluxe Stylish Microplush Sleeved Fleece Blanket Soft Home Sofa Snuggie</t>
        </is>
      </c>
      <c r="C1550" t="inlineStr">
        <is>
          <t>k3000-Brown</t>
        </is>
      </c>
      <c r="D1550" t="inlineStr">
        <is>
          <t>Sleepwear Robes &amp; Bathrobes</t>
        </is>
      </c>
      <c r="E1550" t="inlineStr">
        <is>
          <t>NAPA</t>
        </is>
      </c>
      <c r="F1550" t="inlineStr">
        <is>
          <t>Optimized,Fleece Blankets</t>
        </is>
      </c>
      <c r="G1550" s="48" t="n">
        <v>0</v>
      </c>
      <c r="H1550" s="48" t="n">
        <v>0</v>
      </c>
      <c r="I1550" s="48" t="n">
        <v>0</v>
      </c>
      <c r="J1550" s="48" t="n">
        <v>0</v>
      </c>
      <c r="K1550" s="49" t="n">
        <v>0</v>
      </c>
      <c r="L1550" s="49" t="n">
        <v>0</v>
      </c>
      <c r="M1550" s="49" t="n">
        <v>0</v>
      </c>
      <c r="N1550" s="49" t="n">
        <v>0</v>
      </c>
      <c r="O1550" s="49" t="n">
        <v>0</v>
      </c>
      <c r="P1550" s="49" t="n">
        <v>0</v>
      </c>
      <c r="Q1550" s="49" t="n">
        <v>0</v>
      </c>
      <c r="R1550" s="49" t="n">
        <v>0</v>
      </c>
      <c r="S1550" s="50" t="n">
        <v>0</v>
      </c>
      <c r="T1550" s="50" t="n">
        <v>0</v>
      </c>
      <c r="U1550" s="50" t="n">
        <v>0</v>
      </c>
      <c r="V1550" s="50" t="n">
        <v>0</v>
      </c>
      <c r="W1550" s="51" t="n">
        <v>0</v>
      </c>
      <c r="X1550" s="51" t="n">
        <v>0</v>
      </c>
      <c r="Y1550" s="51" t="n">
        <v>0</v>
      </c>
      <c r="Z1550" s="51" t="n">
        <v>0</v>
      </c>
      <c r="AA1550" s="52" t="n">
        <v>0</v>
      </c>
      <c r="AB1550" s="52" t="n">
        <v>0</v>
      </c>
      <c r="AC1550" s="52" t="n">
        <v>0</v>
      </c>
      <c r="AD1550" s="52" t="n">
        <v>0</v>
      </c>
      <c r="AE1550" s="52" t="n">
        <v>0</v>
      </c>
      <c r="AF1550" s="52" t="n">
        <v>0</v>
      </c>
      <c r="AG1550" s="52" t="n">
        <v>0</v>
      </c>
      <c r="AH1550" s="52" t="n">
        <v>0</v>
      </c>
      <c r="AI1550" s="52" t="n">
        <v>0</v>
      </c>
      <c r="AJ1550" s="52" t="n">
        <v>0</v>
      </c>
      <c r="AK1550" s="52" t="n">
        <v>0</v>
      </c>
      <c r="AL1550" s="52" t="n">
        <v>0</v>
      </c>
      <c r="AM1550" s="53" t="n">
        <v>0</v>
      </c>
      <c r="AN1550" s="53" t="n">
        <v>0</v>
      </c>
      <c r="AO1550" s="53" t="n">
        <v>0</v>
      </c>
      <c r="AP1550" s="53" t="n">
        <v>0</v>
      </c>
      <c r="AQ1550" s="52" t="n">
        <v>0</v>
      </c>
      <c r="AR1550" s="52" t="n">
        <v>0</v>
      </c>
      <c r="AS1550" s="52" t="n">
        <v>0</v>
      </c>
      <c r="AT1550" s="52" t="n">
        <v>0</v>
      </c>
      <c r="AU1550" s="53" t="n">
        <v>0</v>
      </c>
      <c r="AV1550" s="53" t="n">
        <v>0</v>
      </c>
      <c r="AW1550" s="53" t="n">
        <v>0</v>
      </c>
      <c r="AX1550" s="53" t="n">
        <v>0</v>
      </c>
      <c r="AY1550" s="52" t="n">
        <v>0</v>
      </c>
      <c r="AZ1550" s="52" t="n">
        <v>0</v>
      </c>
      <c r="BA1550" s="52" t="n">
        <v>0</v>
      </c>
      <c r="BB1550" s="52" t="n">
        <v>0</v>
      </c>
      <c r="BC1550" s="51" t="n">
        <v>0</v>
      </c>
      <c r="BD1550" s="51" t="n">
        <v>0</v>
      </c>
      <c r="BE1550" s="51" t="n">
        <v>0</v>
      </c>
      <c r="BF1550" s="51" t="n">
        <v>0</v>
      </c>
    </row>
    <row r="1551">
      <c r="A1551">
        <f>HYPERLINK("https://www.walmart.com/ip/14544860349", "14544860349")</f>
        <v/>
      </c>
      <c r="B1551" t="inlineStr">
        <is>
          <t>PEANUTS Mens' Cotton Snoopy Family Matching Pajamas 2-Piece Sets for Christmas with Woodstock Charlie Brown Linus, Gift for him (Black Plaid, XXL)</t>
        </is>
      </c>
      <c r="C1551" t="inlineStr">
        <is>
          <t>PEA-PJS-FAMILY-MEN-BLACKPLAID-2XL</t>
        </is>
      </c>
      <c r="D1551" t="inlineStr">
        <is>
          <t>Pajamas</t>
        </is>
      </c>
      <c r="E1551" t="inlineStr">
        <is>
          <t>Peanuts</t>
        </is>
      </c>
      <c r="G1551" s="48" t="n">
        <v>0</v>
      </c>
      <c r="H1551" s="48" t="n">
        <v>0</v>
      </c>
      <c r="I1551" s="48" t="n">
        <v>0</v>
      </c>
      <c r="J1551" s="48" t="n">
        <v>0</v>
      </c>
      <c r="K1551" s="49" t="n">
        <v>0</v>
      </c>
      <c r="L1551" s="49" t="n">
        <v>0</v>
      </c>
      <c r="M1551" s="49" t="n">
        <v>0</v>
      </c>
      <c r="N1551" s="49" t="n">
        <v>0</v>
      </c>
      <c r="O1551" s="49" t="n">
        <v>0</v>
      </c>
      <c r="P1551" s="49" t="n">
        <v>0</v>
      </c>
      <c r="Q1551" s="49" t="n">
        <v>0</v>
      </c>
      <c r="R1551" s="49" t="n">
        <v>0</v>
      </c>
      <c r="S1551" s="50" t="n">
        <v>0</v>
      </c>
      <c r="T1551" s="50" t="n">
        <v>0</v>
      </c>
      <c r="U1551" s="50" t="n">
        <v>0</v>
      </c>
      <c r="V1551" s="50" t="n">
        <v>0</v>
      </c>
      <c r="W1551" s="51" t="n">
        <v>0</v>
      </c>
      <c r="X1551" s="51" t="n">
        <v>0</v>
      </c>
      <c r="Y1551" s="51" t="n">
        <v>0</v>
      </c>
      <c r="Z1551" s="51" t="n">
        <v>0</v>
      </c>
      <c r="AA1551" s="52" t="n">
        <v>0</v>
      </c>
      <c r="AB1551" s="52" t="n">
        <v>0</v>
      </c>
      <c r="AC1551" s="52" t="n">
        <v>0</v>
      </c>
      <c r="AD1551" s="52" t="n">
        <v>0</v>
      </c>
      <c r="AE1551" s="52" t="n">
        <v>0</v>
      </c>
      <c r="AF1551" s="52" t="n">
        <v>0</v>
      </c>
      <c r="AG1551" s="52" t="n">
        <v>0</v>
      </c>
      <c r="AH1551" s="52" t="n">
        <v>0</v>
      </c>
      <c r="AI1551" s="52" t="n">
        <v>0</v>
      </c>
      <c r="AJ1551" s="52" t="n">
        <v>0</v>
      </c>
      <c r="AK1551" s="52" t="n">
        <v>0</v>
      </c>
      <c r="AL1551" s="52" t="n">
        <v>0</v>
      </c>
      <c r="AM1551" s="53" t="n">
        <v>0</v>
      </c>
      <c r="AN1551" s="53" t="n">
        <v>0</v>
      </c>
      <c r="AO1551" s="53" t="n">
        <v>0</v>
      </c>
      <c r="AP1551" s="53" t="n">
        <v>0</v>
      </c>
      <c r="AQ1551" s="52" t="n">
        <v>0</v>
      </c>
      <c r="AR1551" s="52" t="n">
        <v>0</v>
      </c>
      <c r="AS1551" s="52" t="n">
        <v>0</v>
      </c>
      <c r="AT1551" s="52" t="n">
        <v>0</v>
      </c>
      <c r="AU1551" s="53" t="n">
        <v>0</v>
      </c>
      <c r="AV1551" s="53" t="n">
        <v>0</v>
      </c>
      <c r="AW1551" s="53" t="n">
        <v>0</v>
      </c>
      <c r="AX1551" s="53" t="n">
        <v>0</v>
      </c>
      <c r="AY1551" s="52" t="n">
        <v>0</v>
      </c>
      <c r="AZ1551" s="52" t="n">
        <v>0</v>
      </c>
      <c r="BA1551" s="52" t="n">
        <v>0</v>
      </c>
      <c r="BB1551" s="52" t="n">
        <v>0</v>
      </c>
      <c r="BC1551" s="51" t="n">
        <v>0</v>
      </c>
      <c r="BD1551" s="51" t="n">
        <v>0</v>
      </c>
      <c r="BE1551" s="51" t="n">
        <v>0</v>
      </c>
      <c r="BF1551" s="51" t="n">
        <v>0</v>
      </c>
    </row>
    <row r="1552">
      <c r="A1552">
        <f>HYPERLINK("https://www.walmart.com/ip/14544254613", "14544254613")</f>
        <v/>
      </c>
      <c r="B1552" t="inlineStr">
        <is>
          <t>Aeropostale  Backpack for School, College, and Travel， Water Resistant Bookbag Dark Green Smile</t>
        </is>
      </c>
      <c r="C1552" t="inlineStr">
        <is>
          <t>1AEBPK92029DGNSMILE</t>
        </is>
      </c>
      <c r="D1552" t="inlineStr">
        <is>
          <t>Backpacks</t>
        </is>
      </c>
      <c r="E1552" t="inlineStr">
        <is>
          <t>Aeropostale</t>
        </is>
      </c>
      <c r="G1552" s="48" t="n">
        <v>0</v>
      </c>
      <c r="H1552" s="48" t="n">
        <v>0</v>
      </c>
      <c r="I1552" s="48" t="n">
        <v>0</v>
      </c>
      <c r="J1552" s="48" t="n">
        <v>0</v>
      </c>
      <c r="K1552" s="49" t="n">
        <v>0</v>
      </c>
      <c r="L1552" s="49" t="n">
        <v>0</v>
      </c>
      <c r="M1552" s="49" t="n">
        <v>0</v>
      </c>
      <c r="N1552" s="49" t="n">
        <v>0</v>
      </c>
      <c r="O1552" s="49" t="n">
        <v>0</v>
      </c>
      <c r="P1552" s="49" t="n">
        <v>0</v>
      </c>
      <c r="Q1552" s="49" t="n">
        <v>0</v>
      </c>
      <c r="R1552" s="49" t="n">
        <v>0</v>
      </c>
      <c r="S1552" s="50" t="n">
        <v>0</v>
      </c>
      <c r="T1552" s="50" t="n">
        <v>0</v>
      </c>
      <c r="U1552" s="50" t="n">
        <v>0</v>
      </c>
      <c r="V1552" s="50" t="n">
        <v>0</v>
      </c>
      <c r="W1552" s="51" t="n">
        <v>0</v>
      </c>
      <c r="X1552" s="51" t="n">
        <v>0</v>
      </c>
      <c r="Y1552" s="51" t="n">
        <v>0</v>
      </c>
      <c r="Z1552" s="51" t="n">
        <v>0</v>
      </c>
      <c r="AA1552" s="52" t="n">
        <v>0</v>
      </c>
      <c r="AB1552" s="52" t="n">
        <v>0</v>
      </c>
      <c r="AC1552" s="52" t="n">
        <v>0</v>
      </c>
      <c r="AD1552" s="52" t="n">
        <v>0</v>
      </c>
      <c r="AE1552" s="52" t="n">
        <v>0</v>
      </c>
      <c r="AF1552" s="52" t="n">
        <v>0</v>
      </c>
      <c r="AG1552" s="52" t="n">
        <v>0</v>
      </c>
      <c r="AH1552" s="52" t="n">
        <v>0</v>
      </c>
      <c r="AI1552" s="52" t="n">
        <v>0</v>
      </c>
      <c r="AJ1552" s="52" t="n">
        <v>0</v>
      </c>
      <c r="AK1552" s="52" t="n">
        <v>0</v>
      </c>
      <c r="AL1552" s="52" t="n">
        <v>0</v>
      </c>
      <c r="AM1552" s="53" t="n">
        <v>0</v>
      </c>
      <c r="AN1552" s="53" t="n">
        <v>0</v>
      </c>
      <c r="AO1552" s="53" t="n">
        <v>0</v>
      </c>
      <c r="AP1552" s="53" t="n">
        <v>0</v>
      </c>
      <c r="AQ1552" s="52" t="n">
        <v>0</v>
      </c>
      <c r="AR1552" s="52" t="n">
        <v>0</v>
      </c>
      <c r="AS1552" s="52" t="n">
        <v>0</v>
      </c>
      <c r="AT1552" s="52" t="n">
        <v>0</v>
      </c>
      <c r="AU1552" s="53" t="n">
        <v>0</v>
      </c>
      <c r="AV1552" s="53" t="n">
        <v>0</v>
      </c>
      <c r="AW1552" s="53" t="n">
        <v>0</v>
      </c>
      <c r="AX1552" s="53" t="n">
        <v>0</v>
      </c>
      <c r="AY1552" s="52" t="n">
        <v>0</v>
      </c>
      <c r="AZ1552" s="52" t="n">
        <v>0</v>
      </c>
      <c r="BA1552" s="52" t="n">
        <v>0</v>
      </c>
      <c r="BB1552" s="52" t="n">
        <v>0</v>
      </c>
      <c r="BC1552" s="51" t="n">
        <v>0</v>
      </c>
      <c r="BD1552" s="51" t="n">
        <v>0</v>
      </c>
      <c r="BE1552" s="51" t="n">
        <v>0</v>
      </c>
      <c r="BF1552" s="51" t="n">
        <v>0</v>
      </c>
    </row>
    <row r="1553">
      <c r="A1553">
        <f>HYPERLINK("https://www.walmart.com/ip/15179452594", "15179452594")</f>
        <v/>
      </c>
      <c r="B1553" t="inlineStr">
        <is>
          <t>Tirrinia Small Insulated Lunch Bag for Men Women Youth, Portable Reusable Thermal Lunch Box Cooler Tote for Adults, Polyester, Purple</t>
        </is>
      </c>
      <c r="C1553" t="inlineStr">
        <is>
          <t>1TRLB100PPDOL</t>
        </is>
      </c>
      <c r="D1553" t="inlineStr">
        <is>
          <t>Reusable Lunch Bags &amp; Boxes</t>
        </is>
      </c>
      <c r="E1553" t="inlineStr">
        <is>
          <t>Tirrinia</t>
        </is>
      </c>
      <c r="G1553" s="48" t="n">
        <v>0</v>
      </c>
      <c r="H1553" s="48" t="n">
        <v>38.97</v>
      </c>
      <c r="I1553" s="48" t="n">
        <v>12.99</v>
      </c>
      <c r="J1553" s="48" t="n">
        <v>0</v>
      </c>
      <c r="K1553" s="49" t="n">
        <v>0</v>
      </c>
      <c r="L1553" s="49" t="n">
        <v>3</v>
      </c>
      <c r="M1553" s="49" t="n">
        <v>1</v>
      </c>
      <c r="N1553" s="49" t="n">
        <v>0</v>
      </c>
      <c r="O1553" s="49" t="n">
        <v>0</v>
      </c>
      <c r="P1553" s="49" t="n">
        <v>3</v>
      </c>
      <c r="Q1553" s="49" t="n">
        <v>0</v>
      </c>
      <c r="R1553" s="49" t="n">
        <v>0</v>
      </c>
      <c r="S1553" s="50" t="n">
        <v>0</v>
      </c>
      <c r="T1553" s="50" t="n">
        <v>1</v>
      </c>
      <c r="U1553" s="50" t="n">
        <v>0</v>
      </c>
      <c r="V1553" s="50" t="n">
        <v>0</v>
      </c>
      <c r="W1553" s="51" t="n">
        <v>0</v>
      </c>
      <c r="X1553" s="51" t="n">
        <v>0</v>
      </c>
      <c r="Y1553" s="51" t="n">
        <v>0</v>
      </c>
      <c r="Z1553" s="51" t="n">
        <v>0</v>
      </c>
      <c r="AA1553" s="52" t="n">
        <v>0</v>
      </c>
      <c r="AB1553" s="52" t="n">
        <v>0</v>
      </c>
      <c r="AC1553" s="52" t="n">
        <v>0</v>
      </c>
      <c r="AD1553" s="52" t="n">
        <v>0</v>
      </c>
      <c r="AE1553" s="52" t="n">
        <v>0</v>
      </c>
      <c r="AF1553" s="52" t="n">
        <v>0</v>
      </c>
      <c r="AG1553" s="52" t="n">
        <v>0</v>
      </c>
      <c r="AH1553" s="52" t="n">
        <v>0</v>
      </c>
      <c r="AI1553" s="52" t="n">
        <v>0</v>
      </c>
      <c r="AJ1553" s="52" t="n">
        <v>0</v>
      </c>
      <c r="AK1553" s="52" t="n">
        <v>0</v>
      </c>
      <c r="AL1553" s="52" t="n">
        <v>0</v>
      </c>
      <c r="AM1553" s="53" t="n">
        <v>0</v>
      </c>
      <c r="AN1553" s="53" t="n">
        <v>0</v>
      </c>
      <c r="AO1553" s="53" t="n">
        <v>0</v>
      </c>
      <c r="AP1553" s="53" t="n">
        <v>0</v>
      </c>
      <c r="AQ1553" s="52" t="n">
        <v>0</v>
      </c>
      <c r="AR1553" s="52" t="n">
        <v>0</v>
      </c>
      <c r="AS1553" s="52" t="n">
        <v>0</v>
      </c>
      <c r="AT1553" s="52" t="n">
        <v>0</v>
      </c>
      <c r="AU1553" s="53" t="n">
        <v>0</v>
      </c>
      <c r="AV1553" s="53" t="n">
        <v>0</v>
      </c>
      <c r="AW1553" s="53" t="n">
        <v>0</v>
      </c>
      <c r="AX1553" s="53" t="n">
        <v>0</v>
      </c>
      <c r="AY1553" s="52" t="n">
        <v>0</v>
      </c>
      <c r="AZ1553" s="52" t="n">
        <v>12.99</v>
      </c>
      <c r="BA1553" s="52" t="n">
        <v>12.99</v>
      </c>
      <c r="BB1553" s="52" t="n">
        <v>0</v>
      </c>
      <c r="BC1553" s="51" t="n">
        <v>0</v>
      </c>
      <c r="BD1553" s="51" t="n">
        <v>0</v>
      </c>
      <c r="BE1553" s="51" t="n">
        <v>0</v>
      </c>
      <c r="BF1553" s="51" t="n">
        <v>0</v>
      </c>
    </row>
    <row r="1554">
      <c r="A1554">
        <f>HYPERLINK("https://www.walmart.com/ip/14544254611", "14544254611")</f>
        <v/>
      </c>
      <c r="B1554" t="inlineStr">
        <is>
          <t>Aeropostale  Backpack for School, College, and Travel， Water Resistant Bookbag Blue Smile</t>
        </is>
      </c>
      <c r="C1554" t="inlineStr">
        <is>
          <t>1AEBPK92029BLSMILE</t>
        </is>
      </c>
      <c r="D1554" t="inlineStr">
        <is>
          <t>Backpacks</t>
        </is>
      </c>
      <c r="E1554" t="inlineStr">
        <is>
          <t>Aeropostale</t>
        </is>
      </c>
      <c r="G1554" s="48" t="n">
        <v>0</v>
      </c>
      <c r="H1554" s="48" t="n">
        <v>0</v>
      </c>
      <c r="I1554" s="48" t="n">
        <v>0</v>
      </c>
      <c r="J1554" s="48" t="n">
        <v>0</v>
      </c>
      <c r="K1554" s="49" t="n">
        <v>0</v>
      </c>
      <c r="L1554" s="49" t="n">
        <v>0</v>
      </c>
      <c r="M1554" s="49" t="n">
        <v>0</v>
      </c>
      <c r="N1554" s="49" t="n">
        <v>0</v>
      </c>
      <c r="O1554" s="49" t="n">
        <v>0</v>
      </c>
      <c r="P1554" s="49" t="n">
        <v>0</v>
      </c>
      <c r="Q1554" s="49" t="n">
        <v>0</v>
      </c>
      <c r="R1554" s="49" t="n">
        <v>0</v>
      </c>
      <c r="S1554" s="50" t="n">
        <v>0</v>
      </c>
      <c r="T1554" s="50" t="n">
        <v>0</v>
      </c>
      <c r="U1554" s="50" t="n">
        <v>0</v>
      </c>
      <c r="V1554" s="50" t="n">
        <v>0</v>
      </c>
      <c r="W1554" s="51" t="n">
        <v>0</v>
      </c>
      <c r="X1554" s="51" t="n">
        <v>0</v>
      </c>
      <c r="Y1554" s="51" t="n">
        <v>0</v>
      </c>
      <c r="Z1554" s="51" t="n">
        <v>0</v>
      </c>
      <c r="AA1554" s="52" t="n">
        <v>0</v>
      </c>
      <c r="AB1554" s="52" t="n">
        <v>0</v>
      </c>
      <c r="AC1554" s="52" t="n">
        <v>0</v>
      </c>
      <c r="AD1554" s="52" t="n">
        <v>0</v>
      </c>
      <c r="AE1554" s="52" t="n">
        <v>0</v>
      </c>
      <c r="AF1554" s="52" t="n">
        <v>0</v>
      </c>
      <c r="AG1554" s="52" t="n">
        <v>0</v>
      </c>
      <c r="AH1554" s="52" t="n">
        <v>0</v>
      </c>
      <c r="AI1554" s="52" t="n">
        <v>0</v>
      </c>
      <c r="AJ1554" s="52" t="n">
        <v>0</v>
      </c>
      <c r="AK1554" s="52" t="n">
        <v>0</v>
      </c>
      <c r="AL1554" s="52" t="n">
        <v>0</v>
      </c>
      <c r="AM1554" s="53" t="n">
        <v>0</v>
      </c>
      <c r="AN1554" s="53" t="n">
        <v>0</v>
      </c>
      <c r="AO1554" s="53" t="n">
        <v>0</v>
      </c>
      <c r="AP1554" s="53" t="n">
        <v>0</v>
      </c>
      <c r="AQ1554" s="52" t="n">
        <v>0</v>
      </c>
      <c r="AR1554" s="52" t="n">
        <v>0</v>
      </c>
      <c r="AS1554" s="52" t="n">
        <v>0</v>
      </c>
      <c r="AT1554" s="52" t="n">
        <v>0</v>
      </c>
      <c r="AU1554" s="53" t="n">
        <v>0</v>
      </c>
      <c r="AV1554" s="53" t="n">
        <v>0</v>
      </c>
      <c r="AW1554" s="53" t="n">
        <v>0</v>
      </c>
      <c r="AX1554" s="53" t="n">
        <v>0</v>
      </c>
      <c r="AY1554" s="52" t="n">
        <v>0</v>
      </c>
      <c r="AZ1554" s="52" t="n">
        <v>0</v>
      </c>
      <c r="BA1554" s="52" t="n">
        <v>0</v>
      </c>
      <c r="BB1554" s="52" t="n">
        <v>0</v>
      </c>
      <c r="BC1554" s="51" t="n">
        <v>0</v>
      </c>
      <c r="BD1554" s="51" t="n">
        <v>0</v>
      </c>
      <c r="BE1554" s="51" t="n">
        <v>0</v>
      </c>
      <c r="BF1554" s="51" t="n">
        <v>0</v>
      </c>
    </row>
    <row r="1555">
      <c r="A1555">
        <f>HYPERLINK("https://www.walmart.com/ip/14535967778", "14535967778")</f>
        <v/>
      </c>
      <c r="B1555" t="inlineStr">
        <is>
          <t>Aeropostale  Backpack for School, College, and Travel， Water Resistant Bookbag Pink Cloud</t>
        </is>
      </c>
      <c r="C1555" t="inlineStr">
        <is>
          <t>1AEBPK92029PKCLOUD</t>
        </is>
      </c>
      <c r="D1555" t="inlineStr">
        <is>
          <t>Backpacks</t>
        </is>
      </c>
      <c r="E1555" t="inlineStr">
        <is>
          <t>Aeropostale</t>
        </is>
      </c>
      <c r="G1555" s="48" t="n">
        <v>0</v>
      </c>
      <c r="H1555" s="48" t="n">
        <v>0</v>
      </c>
      <c r="I1555" s="48" t="n">
        <v>0</v>
      </c>
      <c r="J1555" s="48" t="n">
        <v>0</v>
      </c>
      <c r="K1555" s="49" t="n">
        <v>0</v>
      </c>
      <c r="L1555" s="49" t="n">
        <v>0</v>
      </c>
      <c r="M1555" s="49" t="n">
        <v>0</v>
      </c>
      <c r="N1555" s="49" t="n">
        <v>0</v>
      </c>
      <c r="O1555" s="49" t="n">
        <v>0</v>
      </c>
      <c r="P1555" s="49" t="n">
        <v>0</v>
      </c>
      <c r="Q1555" s="49" t="n">
        <v>0</v>
      </c>
      <c r="R1555" s="49" t="n">
        <v>0</v>
      </c>
      <c r="S1555" s="50" t="n">
        <v>0</v>
      </c>
      <c r="T1555" s="50" t="n">
        <v>0</v>
      </c>
      <c r="U1555" s="50" t="n">
        <v>0</v>
      </c>
      <c r="V1555" s="50" t="n">
        <v>0</v>
      </c>
      <c r="W1555" s="51" t="n">
        <v>0</v>
      </c>
      <c r="X1555" s="51" t="n">
        <v>0</v>
      </c>
      <c r="Y1555" s="51" t="n">
        <v>0</v>
      </c>
      <c r="Z1555" s="51" t="n">
        <v>0</v>
      </c>
      <c r="AA1555" s="52" t="n">
        <v>0</v>
      </c>
      <c r="AB1555" s="52" t="n">
        <v>0</v>
      </c>
      <c r="AC1555" s="52" t="n">
        <v>0</v>
      </c>
      <c r="AD1555" s="52" t="n">
        <v>0</v>
      </c>
      <c r="AE1555" s="52" t="n">
        <v>0</v>
      </c>
      <c r="AF1555" s="52" t="n">
        <v>0</v>
      </c>
      <c r="AG1555" s="52" t="n">
        <v>0</v>
      </c>
      <c r="AH1555" s="52" t="n">
        <v>0</v>
      </c>
      <c r="AI1555" s="52" t="n">
        <v>0</v>
      </c>
      <c r="AJ1555" s="52" t="n">
        <v>0</v>
      </c>
      <c r="AK1555" s="52" t="n">
        <v>0</v>
      </c>
      <c r="AL1555" s="52" t="n">
        <v>0</v>
      </c>
      <c r="AM1555" s="53" t="n">
        <v>0</v>
      </c>
      <c r="AN1555" s="53" t="n">
        <v>0</v>
      </c>
      <c r="AO1555" s="53" t="n">
        <v>0</v>
      </c>
      <c r="AP1555" s="53" t="n">
        <v>0</v>
      </c>
      <c r="AQ1555" s="52" t="n">
        <v>0</v>
      </c>
      <c r="AR1555" s="52" t="n">
        <v>0</v>
      </c>
      <c r="AS1555" s="52" t="n">
        <v>0</v>
      </c>
      <c r="AT1555" s="52" t="n">
        <v>0</v>
      </c>
      <c r="AU1555" s="53" t="n">
        <v>0</v>
      </c>
      <c r="AV1555" s="53" t="n">
        <v>0</v>
      </c>
      <c r="AW1555" s="53" t="n">
        <v>0</v>
      </c>
      <c r="AX1555" s="53" t="n">
        <v>0</v>
      </c>
      <c r="AY1555" s="52" t="n">
        <v>0</v>
      </c>
      <c r="AZ1555" s="52" t="n">
        <v>0</v>
      </c>
      <c r="BA1555" s="52" t="n">
        <v>0</v>
      </c>
      <c r="BB1555" s="52" t="n">
        <v>0</v>
      </c>
      <c r="BC1555" s="51" t="n">
        <v>0</v>
      </c>
      <c r="BD1555" s="51" t="n">
        <v>0</v>
      </c>
      <c r="BE1555" s="51" t="n">
        <v>0</v>
      </c>
      <c r="BF1555" s="51" t="n">
        <v>0</v>
      </c>
    </row>
    <row r="1556">
      <c r="A1556">
        <f>HYPERLINK("https://www.walmart.com/ip/14537357555", "14537357555")</f>
        <v/>
      </c>
      <c r="B1556" t="inlineStr">
        <is>
          <t>PEANUTS Womens 100% Cotton Family Matching Pajamas Holiday Festive Nightwear Sleepwear 2-Piece Sets for Christmas Gifts (Red Plaid, L)</t>
        </is>
      </c>
      <c r="C1556" t="inlineStr">
        <is>
          <t>PEA-PJS-FAMILY-WOMEN-REDPLAID-L</t>
        </is>
      </c>
      <c r="D1556" t="inlineStr">
        <is>
          <t>Pajamas</t>
        </is>
      </c>
      <c r="E1556" t="inlineStr">
        <is>
          <t>Peanuts</t>
        </is>
      </c>
      <c r="G1556" s="48" t="n">
        <v>0</v>
      </c>
      <c r="H1556" s="48" t="n">
        <v>0</v>
      </c>
      <c r="I1556" s="48" t="n">
        <v>0</v>
      </c>
      <c r="J1556" s="48" t="n">
        <v>0</v>
      </c>
      <c r="K1556" s="49" t="n">
        <v>0</v>
      </c>
      <c r="L1556" s="49" t="n">
        <v>0</v>
      </c>
      <c r="M1556" s="49" t="n">
        <v>0</v>
      </c>
      <c r="N1556" s="49" t="n">
        <v>0</v>
      </c>
      <c r="O1556" s="49" t="n">
        <v>0</v>
      </c>
      <c r="P1556" s="49" t="n">
        <v>0</v>
      </c>
      <c r="Q1556" s="49" t="n">
        <v>0</v>
      </c>
      <c r="R1556" s="49" t="n">
        <v>0</v>
      </c>
      <c r="S1556" s="50" t="n">
        <v>0</v>
      </c>
      <c r="T1556" s="50" t="n">
        <v>0</v>
      </c>
      <c r="U1556" s="50" t="n">
        <v>0</v>
      </c>
      <c r="V1556" s="50" t="n">
        <v>0</v>
      </c>
      <c r="W1556" s="51" t="n">
        <v>0</v>
      </c>
      <c r="X1556" s="51" t="n">
        <v>0</v>
      </c>
      <c r="Y1556" s="51" t="n">
        <v>0</v>
      </c>
      <c r="Z1556" s="51" t="n">
        <v>0</v>
      </c>
      <c r="AA1556" s="52" t="n">
        <v>0</v>
      </c>
      <c r="AB1556" s="52" t="n">
        <v>0</v>
      </c>
      <c r="AC1556" s="52" t="n">
        <v>0</v>
      </c>
      <c r="AD1556" s="52" t="n">
        <v>0</v>
      </c>
      <c r="AE1556" s="52" t="n">
        <v>0</v>
      </c>
      <c r="AF1556" s="52" t="n">
        <v>0</v>
      </c>
      <c r="AG1556" s="52" t="n">
        <v>0</v>
      </c>
      <c r="AH1556" s="52" t="n">
        <v>0</v>
      </c>
      <c r="AI1556" s="52" t="n">
        <v>0</v>
      </c>
      <c r="AJ1556" s="52" t="n">
        <v>0</v>
      </c>
      <c r="AK1556" s="52" t="n">
        <v>0</v>
      </c>
      <c r="AL1556" s="52" t="n">
        <v>0</v>
      </c>
      <c r="AM1556" s="53" t="n">
        <v>0</v>
      </c>
      <c r="AN1556" s="53" t="n">
        <v>0</v>
      </c>
      <c r="AO1556" s="53" t="n">
        <v>0</v>
      </c>
      <c r="AP1556" s="53" t="n">
        <v>0</v>
      </c>
      <c r="AQ1556" s="52" t="n">
        <v>0</v>
      </c>
      <c r="AR1556" s="52" t="n">
        <v>0</v>
      </c>
      <c r="AS1556" s="52" t="n">
        <v>0</v>
      </c>
      <c r="AT1556" s="52" t="n">
        <v>0</v>
      </c>
      <c r="AU1556" s="53" t="n">
        <v>0</v>
      </c>
      <c r="AV1556" s="53" t="n">
        <v>0</v>
      </c>
      <c r="AW1556" s="53" t="n">
        <v>0</v>
      </c>
      <c r="AX1556" s="53" t="n">
        <v>0</v>
      </c>
      <c r="AY1556" s="52" t="n">
        <v>0</v>
      </c>
      <c r="AZ1556" s="52" t="n">
        <v>0</v>
      </c>
      <c r="BA1556" s="52" t="n">
        <v>0</v>
      </c>
      <c r="BB1556" s="52" t="n">
        <v>0</v>
      </c>
      <c r="BC1556" s="51" t="n">
        <v>0</v>
      </c>
      <c r="BD1556" s="51" t="n">
        <v>0</v>
      </c>
      <c r="BE1556" s="51" t="n">
        <v>0</v>
      </c>
      <c r="BF1556" s="51" t="n">
        <v>0</v>
      </c>
    </row>
    <row r="1557">
      <c r="A1557">
        <f>HYPERLINK("https://www.walmart.com/ip/14537357557", "14537357557")</f>
        <v/>
      </c>
      <c r="B1557" t="inlineStr">
        <is>
          <t>PEANUTS Toddler Boys Girls Snoopy Family Matching Pajamas Sleepwear 2-Piece Sets for Christmas with Woodstock Charlie Brown Linus (Red Polka Dot, 3T)</t>
        </is>
      </c>
      <c r="C1557" t="inlineStr">
        <is>
          <t>PEA-PJS-FAMILY-TODDLER-RED-3T</t>
        </is>
      </c>
      <c r="D1557" t="inlineStr">
        <is>
          <t>Pajamas</t>
        </is>
      </c>
      <c r="E1557" t="inlineStr">
        <is>
          <t>Peanuts</t>
        </is>
      </c>
      <c r="G1557" s="48" t="n">
        <v>0</v>
      </c>
      <c r="H1557" s="48" t="n">
        <v>0</v>
      </c>
      <c r="I1557" s="48" t="n">
        <v>0</v>
      </c>
      <c r="J1557" s="48" t="n">
        <v>0</v>
      </c>
      <c r="K1557" s="49" t="n">
        <v>0</v>
      </c>
      <c r="L1557" s="49" t="n">
        <v>0</v>
      </c>
      <c r="M1557" s="49" t="n">
        <v>0</v>
      </c>
      <c r="N1557" s="49" t="n">
        <v>0</v>
      </c>
      <c r="O1557" s="49" t="n">
        <v>0</v>
      </c>
      <c r="P1557" s="49" t="n">
        <v>0</v>
      </c>
      <c r="Q1557" s="49" t="n">
        <v>0</v>
      </c>
      <c r="R1557" s="49" t="n">
        <v>0</v>
      </c>
      <c r="S1557" s="50" t="n">
        <v>0</v>
      </c>
      <c r="T1557" s="50" t="n">
        <v>0</v>
      </c>
      <c r="U1557" s="50" t="n">
        <v>0</v>
      </c>
      <c r="V1557" s="50" t="n">
        <v>0</v>
      </c>
      <c r="W1557" s="51" t="n">
        <v>0</v>
      </c>
      <c r="X1557" s="51" t="n">
        <v>0</v>
      </c>
      <c r="Y1557" s="51" t="n">
        <v>0</v>
      </c>
      <c r="Z1557" s="51" t="n">
        <v>0</v>
      </c>
      <c r="AA1557" s="52" t="n">
        <v>0</v>
      </c>
      <c r="AB1557" s="52" t="n">
        <v>0</v>
      </c>
      <c r="AC1557" s="52" t="n">
        <v>0</v>
      </c>
      <c r="AD1557" s="52" t="n">
        <v>0</v>
      </c>
      <c r="AE1557" s="52" t="n">
        <v>0</v>
      </c>
      <c r="AF1557" s="52" t="n">
        <v>0</v>
      </c>
      <c r="AG1557" s="52" t="n">
        <v>0</v>
      </c>
      <c r="AH1557" s="52" t="n">
        <v>0</v>
      </c>
      <c r="AI1557" s="52" t="n">
        <v>0</v>
      </c>
      <c r="AJ1557" s="52" t="n">
        <v>0</v>
      </c>
      <c r="AK1557" s="52" t="n">
        <v>0</v>
      </c>
      <c r="AL1557" s="52" t="n">
        <v>0</v>
      </c>
      <c r="AM1557" s="53" t="n">
        <v>0</v>
      </c>
      <c r="AN1557" s="53" t="n">
        <v>0</v>
      </c>
      <c r="AO1557" s="53" t="n">
        <v>0</v>
      </c>
      <c r="AP1557" s="53" t="n">
        <v>0</v>
      </c>
      <c r="AQ1557" s="52" t="n">
        <v>0</v>
      </c>
      <c r="AR1557" s="52" t="n">
        <v>0</v>
      </c>
      <c r="AS1557" s="52" t="n">
        <v>0</v>
      </c>
      <c r="AT1557" s="52" t="n">
        <v>0</v>
      </c>
      <c r="AU1557" s="53" t="n">
        <v>0</v>
      </c>
      <c r="AV1557" s="53" t="n">
        <v>0</v>
      </c>
      <c r="AW1557" s="53" t="n">
        <v>0</v>
      </c>
      <c r="AX1557" s="53" t="n">
        <v>0</v>
      </c>
      <c r="AY1557" s="52" t="n">
        <v>0</v>
      </c>
      <c r="AZ1557" s="52" t="n">
        <v>0</v>
      </c>
      <c r="BA1557" s="52" t="n">
        <v>0</v>
      </c>
      <c r="BB1557" s="52" t="n">
        <v>0</v>
      </c>
      <c r="BC1557" s="51" t="n">
        <v>0</v>
      </c>
      <c r="BD1557" s="51" t="n">
        <v>0</v>
      </c>
      <c r="BE1557" s="51" t="n">
        <v>0</v>
      </c>
      <c r="BF1557" s="51" t="n">
        <v>0</v>
      </c>
    </row>
    <row r="1558">
      <c r="A1558">
        <f>HYPERLINK("https://www.walmart.com/ip/14537357559", "14537357559")</f>
        <v/>
      </c>
      <c r="B1558" t="inlineStr">
        <is>
          <t>PEANUTS Womens 100% Cotton Family Matching Pajamas Holiday Festive Nightwear Sleepwear 2-Piece Sets for Christmas Gifts (Black Plaid, S)</t>
        </is>
      </c>
      <c r="C1558" t="inlineStr">
        <is>
          <t>PEA-PJS-FAMILY-WOMEN-BLACKPLAID-S</t>
        </is>
      </c>
      <c r="D1558" t="inlineStr">
        <is>
          <t>Pajamas</t>
        </is>
      </c>
      <c r="E1558" t="inlineStr">
        <is>
          <t>Peanuts</t>
        </is>
      </c>
      <c r="G1558" s="48" t="n">
        <v>0</v>
      </c>
      <c r="H1558" s="48" t="n">
        <v>0</v>
      </c>
      <c r="I1558" s="48" t="n">
        <v>0</v>
      </c>
      <c r="J1558" s="48" t="n">
        <v>0</v>
      </c>
      <c r="K1558" s="49" t="n">
        <v>0</v>
      </c>
      <c r="L1558" s="49" t="n">
        <v>0</v>
      </c>
      <c r="M1558" s="49" t="n">
        <v>0</v>
      </c>
      <c r="N1558" s="49" t="n">
        <v>0</v>
      </c>
      <c r="O1558" s="49" t="n">
        <v>0</v>
      </c>
      <c r="P1558" s="49" t="n">
        <v>0</v>
      </c>
      <c r="Q1558" s="49" t="n">
        <v>0</v>
      </c>
      <c r="R1558" s="49" t="n">
        <v>0</v>
      </c>
      <c r="S1558" s="50" t="n">
        <v>0</v>
      </c>
      <c r="T1558" s="50" t="n">
        <v>0</v>
      </c>
      <c r="U1558" s="50" t="n">
        <v>0</v>
      </c>
      <c r="V1558" s="50" t="n">
        <v>0</v>
      </c>
      <c r="W1558" s="51" t="n">
        <v>0</v>
      </c>
      <c r="X1558" s="51" t="n">
        <v>0</v>
      </c>
      <c r="Y1558" s="51" t="n">
        <v>0</v>
      </c>
      <c r="Z1558" s="51" t="n">
        <v>0</v>
      </c>
      <c r="AA1558" s="52" t="n">
        <v>0</v>
      </c>
      <c r="AB1558" s="52" t="n">
        <v>0</v>
      </c>
      <c r="AC1558" s="52" t="n">
        <v>0</v>
      </c>
      <c r="AD1558" s="52" t="n">
        <v>0</v>
      </c>
      <c r="AE1558" s="52" t="n">
        <v>0</v>
      </c>
      <c r="AF1558" s="52" t="n">
        <v>0</v>
      </c>
      <c r="AG1558" s="52" t="n">
        <v>0</v>
      </c>
      <c r="AH1558" s="52" t="n">
        <v>0</v>
      </c>
      <c r="AI1558" s="52" t="n">
        <v>0</v>
      </c>
      <c r="AJ1558" s="52" t="n">
        <v>0</v>
      </c>
      <c r="AK1558" s="52" t="n">
        <v>0</v>
      </c>
      <c r="AL1558" s="52" t="n">
        <v>0</v>
      </c>
      <c r="AM1558" s="53" t="n">
        <v>0</v>
      </c>
      <c r="AN1558" s="53" t="n">
        <v>0</v>
      </c>
      <c r="AO1558" s="53" t="n">
        <v>0</v>
      </c>
      <c r="AP1558" s="53" t="n">
        <v>0</v>
      </c>
      <c r="AQ1558" s="52" t="n">
        <v>0</v>
      </c>
      <c r="AR1558" s="52" t="n">
        <v>0</v>
      </c>
      <c r="AS1558" s="52" t="n">
        <v>0</v>
      </c>
      <c r="AT1558" s="52" t="n">
        <v>0</v>
      </c>
      <c r="AU1558" s="53" t="n">
        <v>0</v>
      </c>
      <c r="AV1558" s="53" t="n">
        <v>0</v>
      </c>
      <c r="AW1558" s="53" t="n">
        <v>0</v>
      </c>
      <c r="AX1558" s="53" t="n">
        <v>0</v>
      </c>
      <c r="AY1558" s="52" t="n">
        <v>0</v>
      </c>
      <c r="AZ1558" s="52" t="n">
        <v>0</v>
      </c>
      <c r="BA1558" s="52" t="n">
        <v>0</v>
      </c>
      <c r="BB1558" s="52" t="n">
        <v>0</v>
      </c>
      <c r="BC1558" s="51" t="n">
        <v>0</v>
      </c>
      <c r="BD1558" s="51" t="n">
        <v>0</v>
      </c>
      <c r="BE1558" s="51" t="n">
        <v>0</v>
      </c>
      <c r="BF1558" s="51" t="n">
        <v>0</v>
      </c>
    </row>
    <row r="1559">
      <c r="A1559">
        <f>HYPERLINK("https://www.walmart.com/ip/1453878306", "1453878306")</f>
        <v/>
      </c>
      <c r="B1559" t="inlineStr">
        <is>
          <t>Catalonia Oversized Hoodie Blanket with Zipper, Wearable Sherpa Sweatshirt Pullover, Soft Warm Comfortable Jacket for Adults Men Women, Dalmatian</t>
        </is>
      </c>
      <c r="C1559" t="inlineStr">
        <is>
          <t>1CTHD220DMT</t>
        </is>
      </c>
      <c r="D1559" t="inlineStr">
        <is>
          <t>Throws</t>
        </is>
      </c>
      <c r="E1559" t="inlineStr">
        <is>
          <t>Catalonia</t>
        </is>
      </c>
      <c r="F1559" t="inlineStr">
        <is>
          <t>Coupon_Discount,Batch 1 - TR</t>
        </is>
      </c>
      <c r="G1559" s="48" t="n">
        <v>0</v>
      </c>
      <c r="H1559" s="48" t="n">
        <v>0</v>
      </c>
      <c r="I1559" s="48" t="n">
        <v>0</v>
      </c>
      <c r="J1559" s="48" t="n">
        <v>0</v>
      </c>
      <c r="K1559" s="49" t="n">
        <v>0</v>
      </c>
      <c r="L1559" s="49" t="n">
        <v>0</v>
      </c>
      <c r="M1559" s="49" t="n">
        <v>0</v>
      </c>
      <c r="N1559" s="49" t="n">
        <v>0</v>
      </c>
      <c r="O1559" s="49" t="n">
        <v>0</v>
      </c>
      <c r="P1559" s="49" t="n">
        <v>0</v>
      </c>
      <c r="Q1559" s="49" t="n">
        <v>0</v>
      </c>
      <c r="R1559" s="49" t="n">
        <v>0</v>
      </c>
      <c r="S1559" s="50" t="n">
        <v>0</v>
      </c>
      <c r="T1559" s="50" t="n">
        <v>0</v>
      </c>
      <c r="U1559" s="50" t="n">
        <v>0</v>
      </c>
      <c r="V1559" s="50" t="n">
        <v>0</v>
      </c>
      <c r="W1559" s="51" t="n">
        <v>0</v>
      </c>
      <c r="X1559" s="51" t="n">
        <v>0</v>
      </c>
      <c r="Y1559" s="51" t="n">
        <v>0</v>
      </c>
      <c r="Z1559" s="51" t="n">
        <v>0</v>
      </c>
      <c r="AA1559" s="52" t="n">
        <v>0</v>
      </c>
      <c r="AB1559" s="52" t="n">
        <v>0</v>
      </c>
      <c r="AC1559" s="52" t="n">
        <v>0</v>
      </c>
      <c r="AD1559" s="52" t="n">
        <v>0</v>
      </c>
      <c r="AE1559" s="52" t="n">
        <v>0</v>
      </c>
      <c r="AF1559" s="52" t="n">
        <v>0</v>
      </c>
      <c r="AG1559" s="52" t="n">
        <v>0</v>
      </c>
      <c r="AH1559" s="52" t="n">
        <v>0</v>
      </c>
      <c r="AI1559" s="52" t="n">
        <v>0</v>
      </c>
      <c r="AJ1559" s="52" t="n">
        <v>0</v>
      </c>
      <c r="AK1559" s="52" t="n">
        <v>0</v>
      </c>
      <c r="AL1559" s="52" t="n">
        <v>0</v>
      </c>
      <c r="AM1559" s="53" t="n">
        <v>0</v>
      </c>
      <c r="AN1559" s="53" t="n">
        <v>0</v>
      </c>
      <c r="AO1559" s="53" t="n">
        <v>0</v>
      </c>
      <c r="AP1559" s="53" t="n">
        <v>0</v>
      </c>
      <c r="AQ1559" s="52" t="n">
        <v>0</v>
      </c>
      <c r="AR1559" s="52" t="n">
        <v>0</v>
      </c>
      <c r="AS1559" s="52" t="n">
        <v>0</v>
      </c>
      <c r="AT1559" s="52" t="n">
        <v>0</v>
      </c>
      <c r="AU1559" s="53" t="n">
        <v>0</v>
      </c>
      <c r="AV1559" s="53" t="n">
        <v>0</v>
      </c>
      <c r="AW1559" s="53" t="n">
        <v>0</v>
      </c>
      <c r="AX1559" s="53" t="n">
        <v>0</v>
      </c>
      <c r="AY1559" s="52" t="n">
        <v>0</v>
      </c>
      <c r="AZ1559" s="52" t="n">
        <v>0</v>
      </c>
      <c r="BA1559" s="52" t="n">
        <v>0</v>
      </c>
      <c r="BB1559" s="52" t="n">
        <v>0</v>
      </c>
      <c r="BC1559" s="51" t="n">
        <v>0</v>
      </c>
      <c r="BD1559" s="51" t="n">
        <v>0</v>
      </c>
      <c r="BE1559" s="51" t="n">
        <v>0</v>
      </c>
      <c r="BF1559" s="51" t="n">
        <v>0</v>
      </c>
    </row>
    <row r="1560">
      <c r="A1560">
        <f>HYPERLINK("https://www.walmart.com/ip/14539058447", "14539058447")</f>
        <v/>
      </c>
      <c r="B1560" t="inlineStr">
        <is>
          <t>Aeropostale  Backpack for School, College, and Travel， Water Resistant Bookbag Green</t>
        </is>
      </c>
      <c r="C1560" t="inlineStr">
        <is>
          <t>1AEBPK92029GN</t>
        </is>
      </c>
      <c r="D1560" t="inlineStr">
        <is>
          <t>Backpacks</t>
        </is>
      </c>
      <c r="E1560" t="inlineStr">
        <is>
          <t>Aeropostale</t>
        </is>
      </c>
      <c r="G1560" s="48" t="n">
        <v>0</v>
      </c>
      <c r="H1560" s="48" t="n">
        <v>0</v>
      </c>
      <c r="I1560" s="48" t="n">
        <v>0</v>
      </c>
      <c r="J1560" s="48" t="n">
        <v>0</v>
      </c>
      <c r="K1560" s="49" t="n">
        <v>0</v>
      </c>
      <c r="L1560" s="49" t="n">
        <v>0</v>
      </c>
      <c r="M1560" s="49" t="n">
        <v>0</v>
      </c>
      <c r="N1560" s="49" t="n">
        <v>0</v>
      </c>
      <c r="O1560" s="49" t="n">
        <v>0</v>
      </c>
      <c r="P1560" s="49" t="n">
        <v>0</v>
      </c>
      <c r="Q1560" s="49" t="n">
        <v>0</v>
      </c>
      <c r="R1560" s="49" t="n">
        <v>0</v>
      </c>
      <c r="S1560" s="50" t="n">
        <v>0</v>
      </c>
      <c r="T1560" s="50" t="n">
        <v>0</v>
      </c>
      <c r="U1560" s="50" t="n">
        <v>0</v>
      </c>
      <c r="V1560" s="50" t="n">
        <v>0</v>
      </c>
      <c r="W1560" s="51" t="n">
        <v>0</v>
      </c>
      <c r="X1560" s="51" t="n">
        <v>0</v>
      </c>
      <c r="Y1560" s="51" t="n">
        <v>0</v>
      </c>
      <c r="Z1560" s="51" t="n">
        <v>0</v>
      </c>
      <c r="AA1560" s="52" t="n">
        <v>0</v>
      </c>
      <c r="AB1560" s="52" t="n">
        <v>0</v>
      </c>
      <c r="AC1560" s="52" t="n">
        <v>0</v>
      </c>
      <c r="AD1560" s="52" t="n">
        <v>0</v>
      </c>
      <c r="AE1560" s="52" t="n">
        <v>0</v>
      </c>
      <c r="AF1560" s="52" t="n">
        <v>0</v>
      </c>
      <c r="AG1560" s="52" t="n">
        <v>0</v>
      </c>
      <c r="AH1560" s="52" t="n">
        <v>0</v>
      </c>
      <c r="AI1560" s="52" t="n">
        <v>0</v>
      </c>
      <c r="AJ1560" s="52" t="n">
        <v>0</v>
      </c>
      <c r="AK1560" s="52" t="n">
        <v>0</v>
      </c>
      <c r="AL1560" s="52" t="n">
        <v>0</v>
      </c>
      <c r="AM1560" s="53" t="n">
        <v>0</v>
      </c>
      <c r="AN1560" s="53" t="n">
        <v>0</v>
      </c>
      <c r="AO1560" s="53" t="n">
        <v>0</v>
      </c>
      <c r="AP1560" s="53" t="n">
        <v>0</v>
      </c>
      <c r="AQ1560" s="52" t="n">
        <v>0</v>
      </c>
      <c r="AR1560" s="52" t="n">
        <v>0</v>
      </c>
      <c r="AS1560" s="52" t="n">
        <v>0</v>
      </c>
      <c r="AT1560" s="52" t="n">
        <v>0</v>
      </c>
      <c r="AU1560" s="53" t="n">
        <v>0</v>
      </c>
      <c r="AV1560" s="53" t="n">
        <v>0</v>
      </c>
      <c r="AW1560" s="53" t="n">
        <v>0</v>
      </c>
      <c r="AX1560" s="53" t="n">
        <v>0</v>
      </c>
      <c r="AY1560" s="52" t="n">
        <v>0</v>
      </c>
      <c r="AZ1560" s="52" t="n">
        <v>0</v>
      </c>
      <c r="BA1560" s="52" t="n">
        <v>0</v>
      </c>
      <c r="BB1560" s="52" t="n">
        <v>0</v>
      </c>
      <c r="BC1560" s="51" t="n">
        <v>0</v>
      </c>
      <c r="BD1560" s="51" t="n">
        <v>0</v>
      </c>
      <c r="BE1560" s="51" t="n">
        <v>0</v>
      </c>
      <c r="BF1560" s="51" t="n">
        <v>0</v>
      </c>
    </row>
    <row r="1561">
      <c r="A1561">
        <f>HYPERLINK("https://www.walmart.com/ip/14539058939", "14539058939")</f>
        <v/>
      </c>
      <c r="B1561" t="inlineStr">
        <is>
          <t>Aeropostale  Backpack for School, College, and Travel， Water Resistant Bookbag Hot Pink Cherry</t>
        </is>
      </c>
      <c r="C1561" t="inlineStr">
        <is>
          <t>1AEBPK92029HPCHERRY</t>
        </is>
      </c>
      <c r="D1561" t="inlineStr">
        <is>
          <t>Backpacks</t>
        </is>
      </c>
      <c r="E1561" t="inlineStr">
        <is>
          <t>Aeropostale</t>
        </is>
      </c>
      <c r="G1561" s="48" t="n">
        <v>0</v>
      </c>
      <c r="H1561" s="48" t="n">
        <v>0</v>
      </c>
      <c r="I1561" s="48" t="n">
        <v>0</v>
      </c>
      <c r="J1561" s="48" t="n">
        <v>0</v>
      </c>
      <c r="K1561" s="49" t="n">
        <v>0</v>
      </c>
      <c r="L1561" s="49" t="n">
        <v>0</v>
      </c>
      <c r="M1561" s="49" t="n">
        <v>0</v>
      </c>
      <c r="N1561" s="49" t="n">
        <v>0</v>
      </c>
      <c r="O1561" s="49" t="n">
        <v>0</v>
      </c>
      <c r="P1561" s="49" t="n">
        <v>0</v>
      </c>
      <c r="Q1561" s="49" t="n">
        <v>0</v>
      </c>
      <c r="R1561" s="49" t="n">
        <v>0</v>
      </c>
      <c r="S1561" s="50" t="n">
        <v>0</v>
      </c>
      <c r="T1561" s="50" t="n">
        <v>0</v>
      </c>
      <c r="U1561" s="50" t="n">
        <v>0</v>
      </c>
      <c r="V1561" s="50" t="n">
        <v>0</v>
      </c>
      <c r="W1561" s="51" t="n">
        <v>0</v>
      </c>
      <c r="X1561" s="51" t="n">
        <v>0</v>
      </c>
      <c r="Y1561" s="51" t="n">
        <v>0</v>
      </c>
      <c r="Z1561" s="51" t="n">
        <v>0</v>
      </c>
      <c r="AA1561" s="52" t="n">
        <v>0</v>
      </c>
      <c r="AB1561" s="52" t="n">
        <v>0</v>
      </c>
      <c r="AC1561" s="52" t="n">
        <v>0</v>
      </c>
      <c r="AD1561" s="52" t="n">
        <v>0</v>
      </c>
      <c r="AE1561" s="52" t="n">
        <v>0</v>
      </c>
      <c r="AF1561" s="52" t="n">
        <v>0</v>
      </c>
      <c r="AG1561" s="52" t="n">
        <v>0</v>
      </c>
      <c r="AH1561" s="52" t="n">
        <v>0</v>
      </c>
      <c r="AI1561" s="52" t="n">
        <v>0</v>
      </c>
      <c r="AJ1561" s="52" t="n">
        <v>0</v>
      </c>
      <c r="AK1561" s="52" t="n">
        <v>0</v>
      </c>
      <c r="AL1561" s="52" t="n">
        <v>0</v>
      </c>
      <c r="AM1561" s="53" t="n">
        <v>0</v>
      </c>
      <c r="AN1561" s="53" t="n">
        <v>0</v>
      </c>
      <c r="AO1561" s="53" t="n">
        <v>0</v>
      </c>
      <c r="AP1561" s="53" t="n">
        <v>0</v>
      </c>
      <c r="AQ1561" s="52" t="n">
        <v>0</v>
      </c>
      <c r="AR1561" s="52" t="n">
        <v>0</v>
      </c>
      <c r="AS1561" s="52" t="n">
        <v>0</v>
      </c>
      <c r="AT1561" s="52" t="n">
        <v>0</v>
      </c>
      <c r="AU1561" s="53" t="n">
        <v>0</v>
      </c>
      <c r="AV1561" s="53" t="n">
        <v>0</v>
      </c>
      <c r="AW1561" s="53" t="n">
        <v>0</v>
      </c>
      <c r="AX1561" s="53" t="n">
        <v>0</v>
      </c>
      <c r="AY1561" s="52" t="n">
        <v>0</v>
      </c>
      <c r="AZ1561" s="52" t="n">
        <v>0</v>
      </c>
      <c r="BA1561" s="52" t="n">
        <v>0</v>
      </c>
      <c r="BB1561" s="52" t="n">
        <v>0</v>
      </c>
      <c r="BC1561" s="51" t="n">
        <v>0</v>
      </c>
      <c r="BD1561" s="51" t="n">
        <v>0</v>
      </c>
      <c r="BE1561" s="51" t="n">
        <v>0</v>
      </c>
      <c r="BF1561" s="51" t="n">
        <v>0</v>
      </c>
    </row>
    <row r="1562">
      <c r="A1562">
        <f>HYPERLINK("https://www.walmart.com/ip/14541560073", "14541560073")</f>
        <v/>
      </c>
      <c r="B1562" t="inlineStr">
        <is>
          <t>PEANUTS Snoopy Cotton Family Matching Pajamas Holiday 2-Piece Sets for Christmas with Woodstock Charlie Brown Linus for Baby (Green Polka Dot, 6M)</t>
        </is>
      </c>
      <c r="C1562" t="inlineStr">
        <is>
          <t>PEA-PJS-FAMILY-INFANT-GREEN-6M</t>
        </is>
      </c>
      <c r="D1562" t="inlineStr">
        <is>
          <t>Pajamas</t>
        </is>
      </c>
      <c r="E1562" t="inlineStr">
        <is>
          <t>Peanuts</t>
        </is>
      </c>
      <c r="G1562" s="48" t="n">
        <v>0</v>
      </c>
      <c r="H1562" s="48" t="n">
        <v>0</v>
      </c>
      <c r="I1562" s="48" t="n">
        <v>0</v>
      </c>
      <c r="J1562" s="48" t="n">
        <v>0</v>
      </c>
      <c r="K1562" s="49" t="n">
        <v>0</v>
      </c>
      <c r="L1562" s="49" t="n">
        <v>0</v>
      </c>
      <c r="M1562" s="49" t="n">
        <v>0</v>
      </c>
      <c r="N1562" s="49" t="n">
        <v>0</v>
      </c>
      <c r="O1562" s="49" t="n">
        <v>0</v>
      </c>
      <c r="P1562" s="49" t="n">
        <v>0</v>
      </c>
      <c r="Q1562" s="49" t="n">
        <v>0</v>
      </c>
      <c r="R1562" s="49" t="n">
        <v>0</v>
      </c>
      <c r="S1562" s="50" t="n">
        <v>0</v>
      </c>
      <c r="T1562" s="50" t="n">
        <v>0</v>
      </c>
      <c r="U1562" s="50" t="n">
        <v>0</v>
      </c>
      <c r="V1562" s="50" t="n">
        <v>0</v>
      </c>
      <c r="W1562" s="51" t="n">
        <v>0</v>
      </c>
      <c r="X1562" s="51" t="n">
        <v>0</v>
      </c>
      <c r="Y1562" s="51" t="n">
        <v>0</v>
      </c>
      <c r="Z1562" s="51" t="n">
        <v>0</v>
      </c>
      <c r="AA1562" s="52" t="n">
        <v>0</v>
      </c>
      <c r="AB1562" s="52" t="n">
        <v>0</v>
      </c>
      <c r="AC1562" s="52" t="n">
        <v>0</v>
      </c>
      <c r="AD1562" s="52" t="n">
        <v>0</v>
      </c>
      <c r="AE1562" s="52" t="n">
        <v>0</v>
      </c>
      <c r="AF1562" s="52" t="n">
        <v>0</v>
      </c>
      <c r="AG1562" s="52" t="n">
        <v>0</v>
      </c>
      <c r="AH1562" s="52" t="n">
        <v>0</v>
      </c>
      <c r="AI1562" s="52" t="n">
        <v>0</v>
      </c>
      <c r="AJ1562" s="52" t="n">
        <v>0</v>
      </c>
      <c r="AK1562" s="52" t="n">
        <v>0</v>
      </c>
      <c r="AL1562" s="52" t="n">
        <v>0</v>
      </c>
      <c r="AM1562" s="53" t="n">
        <v>0</v>
      </c>
      <c r="AN1562" s="53" t="n">
        <v>0</v>
      </c>
      <c r="AO1562" s="53" t="n">
        <v>0</v>
      </c>
      <c r="AP1562" s="53" t="n">
        <v>0</v>
      </c>
      <c r="AQ1562" s="52" t="n">
        <v>0</v>
      </c>
      <c r="AR1562" s="52" t="n">
        <v>0</v>
      </c>
      <c r="AS1562" s="52" t="n">
        <v>0</v>
      </c>
      <c r="AT1562" s="52" t="n">
        <v>0</v>
      </c>
      <c r="AU1562" s="53" t="n">
        <v>0</v>
      </c>
      <c r="AV1562" s="53" t="n">
        <v>0</v>
      </c>
      <c r="AW1562" s="53" t="n">
        <v>0</v>
      </c>
      <c r="AX1562" s="53" t="n">
        <v>0</v>
      </c>
      <c r="AY1562" s="52" t="n">
        <v>0</v>
      </c>
      <c r="AZ1562" s="52" t="n">
        <v>0</v>
      </c>
      <c r="BA1562" s="52" t="n">
        <v>0</v>
      </c>
      <c r="BB1562" s="52" t="n">
        <v>0</v>
      </c>
      <c r="BC1562" s="51" t="n">
        <v>0</v>
      </c>
      <c r="BD1562" s="51" t="n">
        <v>0</v>
      </c>
      <c r="BE1562" s="51" t="n">
        <v>0</v>
      </c>
      <c r="BF1562" s="51" t="n">
        <v>0</v>
      </c>
    </row>
    <row r="1563">
      <c r="A1563">
        <f>HYPERLINK("https://www.walmart.com/ip/14541560711", "14541560711")</f>
        <v/>
      </c>
      <c r="B1563" t="inlineStr">
        <is>
          <t>PEANUTS Snoopy 100% Cotton Family Matching Pajamas Holiday 2-Piece Sets for Christmas with Woodstock Charlie Brown Linus for Baby (Black Plaid, 18M)</t>
        </is>
      </c>
      <c r="C1563" t="inlineStr">
        <is>
          <t>PEA-PJS-FAMILY-INFANT-BLACKPLAID-18M</t>
        </is>
      </c>
      <c r="D1563" t="inlineStr">
        <is>
          <t>Pajamas</t>
        </is>
      </c>
      <c r="E1563" t="inlineStr">
        <is>
          <t>Peanuts</t>
        </is>
      </c>
      <c r="G1563" s="48" t="n">
        <v>0</v>
      </c>
      <c r="H1563" s="48" t="n">
        <v>0</v>
      </c>
      <c r="I1563" s="48" t="n">
        <v>0</v>
      </c>
      <c r="J1563" s="48" t="n">
        <v>0</v>
      </c>
      <c r="K1563" s="49" t="n">
        <v>0</v>
      </c>
      <c r="L1563" s="49" t="n">
        <v>0</v>
      </c>
      <c r="M1563" s="49" t="n">
        <v>0</v>
      </c>
      <c r="N1563" s="49" t="n">
        <v>0</v>
      </c>
      <c r="O1563" s="49" t="n">
        <v>0</v>
      </c>
      <c r="P1563" s="49" t="n">
        <v>0</v>
      </c>
      <c r="Q1563" s="49" t="n">
        <v>0</v>
      </c>
      <c r="R1563" s="49" t="n">
        <v>0</v>
      </c>
      <c r="S1563" s="50" t="n">
        <v>0</v>
      </c>
      <c r="T1563" s="50" t="n">
        <v>0</v>
      </c>
      <c r="U1563" s="50" t="n">
        <v>0</v>
      </c>
      <c r="V1563" s="50" t="n">
        <v>0</v>
      </c>
      <c r="W1563" s="51" t="n">
        <v>0</v>
      </c>
      <c r="X1563" s="51" t="n">
        <v>0</v>
      </c>
      <c r="Y1563" s="51" t="n">
        <v>0</v>
      </c>
      <c r="Z1563" s="51" t="n">
        <v>0</v>
      </c>
      <c r="AA1563" s="52" t="n">
        <v>0</v>
      </c>
      <c r="AB1563" s="52" t="n">
        <v>0</v>
      </c>
      <c r="AC1563" s="52" t="n">
        <v>0</v>
      </c>
      <c r="AD1563" s="52" t="n">
        <v>0</v>
      </c>
      <c r="AE1563" s="52" t="n">
        <v>0</v>
      </c>
      <c r="AF1563" s="52" t="n">
        <v>0</v>
      </c>
      <c r="AG1563" s="52" t="n">
        <v>0</v>
      </c>
      <c r="AH1563" s="52" t="n">
        <v>0</v>
      </c>
      <c r="AI1563" s="52" t="n">
        <v>0</v>
      </c>
      <c r="AJ1563" s="52" t="n">
        <v>0</v>
      </c>
      <c r="AK1563" s="52" t="n">
        <v>0</v>
      </c>
      <c r="AL1563" s="52" t="n">
        <v>0</v>
      </c>
      <c r="AM1563" s="53" t="n">
        <v>0</v>
      </c>
      <c r="AN1563" s="53" t="n">
        <v>0</v>
      </c>
      <c r="AO1563" s="53" t="n">
        <v>0</v>
      </c>
      <c r="AP1563" s="53" t="n">
        <v>0</v>
      </c>
      <c r="AQ1563" s="52" t="n">
        <v>0</v>
      </c>
      <c r="AR1563" s="52" t="n">
        <v>0</v>
      </c>
      <c r="AS1563" s="52" t="n">
        <v>0</v>
      </c>
      <c r="AT1563" s="52" t="n">
        <v>0</v>
      </c>
      <c r="AU1563" s="53" t="n">
        <v>0</v>
      </c>
      <c r="AV1563" s="53" t="n">
        <v>0</v>
      </c>
      <c r="AW1563" s="53" t="n">
        <v>0</v>
      </c>
      <c r="AX1563" s="53" t="n">
        <v>0</v>
      </c>
      <c r="AY1563" s="52" t="n">
        <v>0</v>
      </c>
      <c r="AZ1563" s="52" t="n">
        <v>0</v>
      </c>
      <c r="BA1563" s="52" t="n">
        <v>0</v>
      </c>
      <c r="BB1563" s="52" t="n">
        <v>0</v>
      </c>
      <c r="BC1563" s="51" t="n">
        <v>0</v>
      </c>
      <c r="BD1563" s="51" t="n">
        <v>0</v>
      </c>
      <c r="BE1563" s="51" t="n">
        <v>0</v>
      </c>
      <c r="BF1563" s="51" t="n">
        <v>0</v>
      </c>
    </row>
    <row r="1564">
      <c r="A1564">
        <f>HYPERLINK("https://www.walmart.com/ip/14542705719", "14542705719")</f>
        <v/>
      </c>
      <c r="B1564" t="inlineStr">
        <is>
          <t>PEANUTS Mens' Cotton Snoopy Family Matching Pajamas 2-Piece Sets for Christmas with Woodstock Charlie Brown Linus, Gift for him (Red Plaid, XL)</t>
        </is>
      </c>
      <c r="C1564" t="inlineStr">
        <is>
          <t>PEA-PJS-FAMILY-MEN-REDPLAID-XL</t>
        </is>
      </c>
      <c r="D1564" t="inlineStr">
        <is>
          <t>Pajamas</t>
        </is>
      </c>
      <c r="E1564" t="inlineStr">
        <is>
          <t>Peanuts</t>
        </is>
      </c>
      <c r="G1564" s="48" t="n">
        <v>0</v>
      </c>
      <c r="H1564" s="48" t="n">
        <v>0</v>
      </c>
      <c r="I1564" s="48" t="n">
        <v>0</v>
      </c>
      <c r="J1564" s="48" t="n">
        <v>0</v>
      </c>
      <c r="K1564" s="49" t="n">
        <v>0</v>
      </c>
      <c r="L1564" s="49" t="n">
        <v>0</v>
      </c>
      <c r="M1564" s="49" t="n">
        <v>0</v>
      </c>
      <c r="N1564" s="49" t="n">
        <v>0</v>
      </c>
      <c r="O1564" s="49" t="n">
        <v>0</v>
      </c>
      <c r="P1564" s="49" t="n">
        <v>0</v>
      </c>
      <c r="Q1564" s="49" t="n">
        <v>0</v>
      </c>
      <c r="R1564" s="49" t="n">
        <v>0</v>
      </c>
      <c r="S1564" s="50" t="n">
        <v>0</v>
      </c>
      <c r="T1564" s="50" t="n">
        <v>0</v>
      </c>
      <c r="U1564" s="50" t="n">
        <v>0</v>
      </c>
      <c r="V1564" s="50" t="n">
        <v>0</v>
      </c>
      <c r="W1564" s="51" t="n">
        <v>0</v>
      </c>
      <c r="X1564" s="51" t="n">
        <v>0</v>
      </c>
      <c r="Y1564" s="51" t="n">
        <v>0</v>
      </c>
      <c r="Z1564" s="51" t="n">
        <v>0</v>
      </c>
      <c r="AA1564" s="52" t="n">
        <v>0</v>
      </c>
      <c r="AB1564" s="52" t="n">
        <v>0</v>
      </c>
      <c r="AC1564" s="52" t="n">
        <v>0</v>
      </c>
      <c r="AD1564" s="52" t="n">
        <v>0</v>
      </c>
      <c r="AE1564" s="52" t="n">
        <v>0</v>
      </c>
      <c r="AF1564" s="52" t="n">
        <v>0</v>
      </c>
      <c r="AG1564" s="52" t="n">
        <v>0</v>
      </c>
      <c r="AH1564" s="52" t="n">
        <v>0</v>
      </c>
      <c r="AI1564" s="52" t="n">
        <v>0</v>
      </c>
      <c r="AJ1564" s="52" t="n">
        <v>0</v>
      </c>
      <c r="AK1564" s="52" t="n">
        <v>0</v>
      </c>
      <c r="AL1564" s="52" t="n">
        <v>0</v>
      </c>
      <c r="AM1564" s="53" t="n">
        <v>0</v>
      </c>
      <c r="AN1564" s="53" t="n">
        <v>0</v>
      </c>
      <c r="AO1564" s="53" t="n">
        <v>0</v>
      </c>
      <c r="AP1564" s="53" t="n">
        <v>0</v>
      </c>
      <c r="AQ1564" s="52" t="n">
        <v>0</v>
      </c>
      <c r="AR1564" s="52" t="n">
        <v>0</v>
      </c>
      <c r="AS1564" s="52" t="n">
        <v>0</v>
      </c>
      <c r="AT1564" s="52" t="n">
        <v>0</v>
      </c>
      <c r="AU1564" s="53" t="n">
        <v>0</v>
      </c>
      <c r="AV1564" s="53" t="n">
        <v>0</v>
      </c>
      <c r="AW1564" s="53" t="n">
        <v>0</v>
      </c>
      <c r="AX1564" s="53" t="n">
        <v>0</v>
      </c>
      <c r="AY1564" s="52" t="n">
        <v>0</v>
      </c>
      <c r="AZ1564" s="52" t="n">
        <v>0</v>
      </c>
      <c r="BA1564" s="52" t="n">
        <v>0</v>
      </c>
      <c r="BB1564" s="52" t="n">
        <v>0</v>
      </c>
      <c r="BC1564" s="51" t="n">
        <v>0</v>
      </c>
      <c r="BD1564" s="51" t="n">
        <v>0</v>
      </c>
      <c r="BE1564" s="51" t="n">
        <v>0</v>
      </c>
      <c r="BF1564" s="51" t="n">
        <v>0</v>
      </c>
    </row>
    <row r="1565">
      <c r="A1565">
        <f>HYPERLINK("https://www.walmart.com/ip/14542705721", "14542705721")</f>
        <v/>
      </c>
      <c r="B1565" t="inlineStr">
        <is>
          <t>PEANUTS Toddler Boys Girls Snoopy Family Matching Pajamas Sleepwear 2-Piece Sets for Christmas with Woodstock Charlie Brown Linus (Red Plaid, 4T)</t>
        </is>
      </c>
      <c r="C1565" t="inlineStr">
        <is>
          <t>PEA-PJS-FAMILY-TODDLER-REDPLAID-4T</t>
        </is>
      </c>
      <c r="D1565" t="inlineStr">
        <is>
          <t>Pajamas</t>
        </is>
      </c>
      <c r="E1565" t="inlineStr">
        <is>
          <t>Peanuts</t>
        </is>
      </c>
      <c r="G1565" s="48" t="n">
        <v>0</v>
      </c>
      <c r="H1565" s="48" t="n">
        <v>0</v>
      </c>
      <c r="I1565" s="48" t="n">
        <v>0</v>
      </c>
      <c r="J1565" s="48" t="n">
        <v>0</v>
      </c>
      <c r="K1565" s="49" t="n">
        <v>0</v>
      </c>
      <c r="L1565" s="49" t="n">
        <v>0</v>
      </c>
      <c r="M1565" s="49" t="n">
        <v>0</v>
      </c>
      <c r="N1565" s="49" t="n">
        <v>0</v>
      </c>
      <c r="O1565" s="49" t="n">
        <v>0</v>
      </c>
      <c r="P1565" s="49" t="n">
        <v>0</v>
      </c>
      <c r="Q1565" s="49" t="n">
        <v>0</v>
      </c>
      <c r="R1565" s="49" t="n">
        <v>0</v>
      </c>
      <c r="S1565" s="50" t="n">
        <v>0</v>
      </c>
      <c r="T1565" s="50" t="n">
        <v>0</v>
      </c>
      <c r="U1565" s="50" t="n">
        <v>0</v>
      </c>
      <c r="V1565" s="50" t="n">
        <v>0</v>
      </c>
      <c r="W1565" s="51" t="n">
        <v>0</v>
      </c>
      <c r="X1565" s="51" t="n">
        <v>0</v>
      </c>
      <c r="Y1565" s="51" t="n">
        <v>0</v>
      </c>
      <c r="Z1565" s="51" t="n">
        <v>0</v>
      </c>
      <c r="AA1565" s="52" t="n">
        <v>0</v>
      </c>
      <c r="AB1565" s="52" t="n">
        <v>0</v>
      </c>
      <c r="AC1565" s="52" t="n">
        <v>0</v>
      </c>
      <c r="AD1565" s="52" t="n">
        <v>0</v>
      </c>
      <c r="AE1565" s="52" t="n">
        <v>0</v>
      </c>
      <c r="AF1565" s="52" t="n">
        <v>0</v>
      </c>
      <c r="AG1565" s="52" t="n">
        <v>0</v>
      </c>
      <c r="AH1565" s="52" t="n">
        <v>0</v>
      </c>
      <c r="AI1565" s="52" t="n">
        <v>0</v>
      </c>
      <c r="AJ1565" s="52" t="n">
        <v>0</v>
      </c>
      <c r="AK1565" s="52" t="n">
        <v>0</v>
      </c>
      <c r="AL1565" s="52" t="n">
        <v>0</v>
      </c>
      <c r="AM1565" s="53" t="n">
        <v>0</v>
      </c>
      <c r="AN1565" s="53" t="n">
        <v>0</v>
      </c>
      <c r="AO1565" s="53" t="n">
        <v>0</v>
      </c>
      <c r="AP1565" s="53" t="n">
        <v>0</v>
      </c>
      <c r="AQ1565" s="52" t="n">
        <v>0</v>
      </c>
      <c r="AR1565" s="52" t="n">
        <v>0</v>
      </c>
      <c r="AS1565" s="52" t="n">
        <v>0</v>
      </c>
      <c r="AT1565" s="52" t="n">
        <v>0</v>
      </c>
      <c r="AU1565" s="53" t="n">
        <v>0</v>
      </c>
      <c r="AV1565" s="53" t="n">
        <v>0</v>
      </c>
      <c r="AW1565" s="53" t="n">
        <v>0</v>
      </c>
      <c r="AX1565" s="53" t="n">
        <v>0</v>
      </c>
      <c r="AY1565" s="52" t="n">
        <v>0</v>
      </c>
      <c r="AZ1565" s="52" t="n">
        <v>0</v>
      </c>
      <c r="BA1565" s="52" t="n">
        <v>0</v>
      </c>
      <c r="BB1565" s="52" t="n">
        <v>0</v>
      </c>
      <c r="BC1565" s="51" t="n">
        <v>0</v>
      </c>
      <c r="BD1565" s="51" t="n">
        <v>0</v>
      </c>
      <c r="BE1565" s="51" t="n">
        <v>0</v>
      </c>
      <c r="BF1565" s="51" t="n">
        <v>0</v>
      </c>
    </row>
    <row r="1566">
      <c r="A1566">
        <f>HYPERLINK("https://www.walmart.com/ip/14542755471", "14542755471")</f>
        <v/>
      </c>
      <c r="B1566" t="inlineStr">
        <is>
          <t>PEANUTS Womens 100% Cotton Family Matching Pajamas Holiday Festive Nightwear Sleepwear 2-Piece Sets for Christmas Gifts (Red Polka Dot, XS)</t>
        </is>
      </c>
      <c r="C1566" t="inlineStr">
        <is>
          <t>PEA-PJS-FAMILY-WOMEN-RED-XS</t>
        </is>
      </c>
      <c r="D1566" t="inlineStr">
        <is>
          <t>Pajamas</t>
        </is>
      </c>
      <c r="E1566" t="inlineStr">
        <is>
          <t>Peanuts</t>
        </is>
      </c>
      <c r="G1566" s="48" t="n">
        <v>0</v>
      </c>
      <c r="H1566" s="48" t="n">
        <v>0</v>
      </c>
      <c r="I1566" s="48" t="n">
        <v>0</v>
      </c>
      <c r="J1566" s="48" t="n">
        <v>0</v>
      </c>
      <c r="K1566" s="49" t="n">
        <v>0</v>
      </c>
      <c r="L1566" s="49" t="n">
        <v>0</v>
      </c>
      <c r="M1566" s="49" t="n">
        <v>0</v>
      </c>
      <c r="N1566" s="49" t="n">
        <v>0</v>
      </c>
      <c r="O1566" s="49" t="n">
        <v>0</v>
      </c>
      <c r="P1566" s="49" t="n">
        <v>0</v>
      </c>
      <c r="Q1566" s="49" t="n">
        <v>0</v>
      </c>
      <c r="R1566" s="49" t="n">
        <v>0</v>
      </c>
      <c r="S1566" s="50" t="n">
        <v>0</v>
      </c>
      <c r="T1566" s="50" t="n">
        <v>0</v>
      </c>
      <c r="U1566" s="50" t="n">
        <v>0</v>
      </c>
      <c r="V1566" s="50" t="n">
        <v>0</v>
      </c>
      <c r="W1566" s="51" t="n">
        <v>0</v>
      </c>
      <c r="X1566" s="51" t="n">
        <v>0</v>
      </c>
      <c r="Y1566" s="51" t="n">
        <v>0</v>
      </c>
      <c r="Z1566" s="51" t="n">
        <v>0</v>
      </c>
      <c r="AA1566" s="52" t="n">
        <v>0</v>
      </c>
      <c r="AB1566" s="52" t="n">
        <v>0</v>
      </c>
      <c r="AC1566" s="52" t="n">
        <v>0</v>
      </c>
      <c r="AD1566" s="52" t="n">
        <v>0</v>
      </c>
      <c r="AE1566" s="52" t="n">
        <v>0</v>
      </c>
      <c r="AF1566" s="52" t="n">
        <v>0</v>
      </c>
      <c r="AG1566" s="52" t="n">
        <v>0</v>
      </c>
      <c r="AH1566" s="52" t="n">
        <v>0</v>
      </c>
      <c r="AI1566" s="52" t="n">
        <v>0</v>
      </c>
      <c r="AJ1566" s="52" t="n">
        <v>0</v>
      </c>
      <c r="AK1566" s="52" t="n">
        <v>0</v>
      </c>
      <c r="AL1566" s="52" t="n">
        <v>0</v>
      </c>
      <c r="AM1566" s="53" t="n">
        <v>0</v>
      </c>
      <c r="AN1566" s="53" t="n">
        <v>0</v>
      </c>
      <c r="AO1566" s="53" t="n">
        <v>0</v>
      </c>
      <c r="AP1566" s="53" t="n">
        <v>0</v>
      </c>
      <c r="AQ1566" s="52" t="n">
        <v>0</v>
      </c>
      <c r="AR1566" s="52" t="n">
        <v>0</v>
      </c>
      <c r="AS1566" s="52" t="n">
        <v>0</v>
      </c>
      <c r="AT1566" s="52" t="n">
        <v>0</v>
      </c>
      <c r="AU1566" s="53" t="n">
        <v>0</v>
      </c>
      <c r="AV1566" s="53" t="n">
        <v>0</v>
      </c>
      <c r="AW1566" s="53" t="n">
        <v>0</v>
      </c>
      <c r="AX1566" s="53" t="n">
        <v>0</v>
      </c>
      <c r="AY1566" s="52" t="n">
        <v>0</v>
      </c>
      <c r="AZ1566" s="52" t="n">
        <v>0</v>
      </c>
      <c r="BA1566" s="52" t="n">
        <v>0</v>
      </c>
      <c r="BB1566" s="52" t="n">
        <v>0</v>
      </c>
      <c r="BC1566" s="51" t="n">
        <v>0</v>
      </c>
      <c r="BD1566" s="51" t="n">
        <v>0</v>
      </c>
      <c r="BE1566" s="51" t="n">
        <v>0</v>
      </c>
      <c r="BF1566" s="51" t="n">
        <v>0</v>
      </c>
    </row>
    <row r="1567">
      <c r="A1567">
        <f>HYPERLINK("https://www.walmart.com/ip/14542755473", "14542755473")</f>
        <v/>
      </c>
      <c r="B1567" t="inlineStr">
        <is>
          <t>PEANUTS Mens' Cotton Snoopy Family Matching Pajamas 2-Piece Sets for Christmas with Woodstock Charlie Brown Linus, Gift for him (Red Plaid, M)</t>
        </is>
      </c>
      <c r="C1567" t="inlineStr">
        <is>
          <t>PEA-PJS-FAMILY-MEN-REDPLAID-M</t>
        </is>
      </c>
      <c r="D1567" t="inlineStr">
        <is>
          <t>Pajamas</t>
        </is>
      </c>
      <c r="E1567" t="inlineStr">
        <is>
          <t>Peanuts</t>
        </is>
      </c>
      <c r="G1567" s="48" t="n">
        <v>0</v>
      </c>
      <c r="H1567" s="48" t="n">
        <v>0</v>
      </c>
      <c r="I1567" s="48" t="n">
        <v>0</v>
      </c>
      <c r="J1567" s="48" t="n">
        <v>0</v>
      </c>
      <c r="K1567" s="49" t="n">
        <v>0</v>
      </c>
      <c r="L1567" s="49" t="n">
        <v>0</v>
      </c>
      <c r="M1567" s="49" t="n">
        <v>0</v>
      </c>
      <c r="N1567" s="49" t="n">
        <v>0</v>
      </c>
      <c r="O1567" s="49" t="n">
        <v>0</v>
      </c>
      <c r="P1567" s="49" t="n">
        <v>0</v>
      </c>
      <c r="Q1567" s="49" t="n">
        <v>0</v>
      </c>
      <c r="R1567" s="49" t="n">
        <v>0</v>
      </c>
      <c r="S1567" s="50" t="n">
        <v>0</v>
      </c>
      <c r="T1567" s="50" t="n">
        <v>0</v>
      </c>
      <c r="U1567" s="50" t="n">
        <v>0</v>
      </c>
      <c r="V1567" s="50" t="n">
        <v>0</v>
      </c>
      <c r="W1567" s="51" t="n">
        <v>0</v>
      </c>
      <c r="X1567" s="51" t="n">
        <v>0</v>
      </c>
      <c r="Y1567" s="51" t="n">
        <v>0</v>
      </c>
      <c r="Z1567" s="51" t="n">
        <v>0</v>
      </c>
      <c r="AA1567" s="52" t="n">
        <v>0</v>
      </c>
      <c r="AB1567" s="52" t="n">
        <v>0</v>
      </c>
      <c r="AC1567" s="52" t="n">
        <v>0</v>
      </c>
      <c r="AD1567" s="52" t="n">
        <v>0</v>
      </c>
      <c r="AE1567" s="52" t="n">
        <v>0</v>
      </c>
      <c r="AF1567" s="52" t="n">
        <v>0</v>
      </c>
      <c r="AG1567" s="52" t="n">
        <v>0</v>
      </c>
      <c r="AH1567" s="52" t="n">
        <v>0</v>
      </c>
      <c r="AI1567" s="52" t="n">
        <v>0</v>
      </c>
      <c r="AJ1567" s="52" t="n">
        <v>0</v>
      </c>
      <c r="AK1567" s="52" t="n">
        <v>0</v>
      </c>
      <c r="AL1567" s="52" t="n">
        <v>0</v>
      </c>
      <c r="AM1567" s="53" t="n">
        <v>0</v>
      </c>
      <c r="AN1567" s="53" t="n">
        <v>0</v>
      </c>
      <c r="AO1567" s="53" t="n">
        <v>0</v>
      </c>
      <c r="AP1567" s="53" t="n">
        <v>0</v>
      </c>
      <c r="AQ1567" s="52" t="n">
        <v>0</v>
      </c>
      <c r="AR1567" s="52" t="n">
        <v>0</v>
      </c>
      <c r="AS1567" s="52" t="n">
        <v>0</v>
      </c>
      <c r="AT1567" s="52" t="n">
        <v>0</v>
      </c>
      <c r="AU1567" s="53" t="n">
        <v>0</v>
      </c>
      <c r="AV1567" s="53" t="n">
        <v>0</v>
      </c>
      <c r="AW1567" s="53" t="n">
        <v>0</v>
      </c>
      <c r="AX1567" s="53" t="n">
        <v>0</v>
      </c>
      <c r="AY1567" s="52" t="n">
        <v>0</v>
      </c>
      <c r="AZ1567" s="52" t="n">
        <v>0</v>
      </c>
      <c r="BA1567" s="52" t="n">
        <v>0</v>
      </c>
      <c r="BB1567" s="52" t="n">
        <v>0</v>
      </c>
      <c r="BC1567" s="51" t="n">
        <v>0</v>
      </c>
      <c r="BD1567" s="51" t="n">
        <v>0</v>
      </c>
      <c r="BE1567" s="51" t="n">
        <v>0</v>
      </c>
      <c r="BF1567" s="51" t="n">
        <v>0</v>
      </c>
    </row>
    <row r="1568">
      <c r="A1568">
        <f>HYPERLINK("https://www.walmart.com/ip/145434740", "145434740")</f>
        <v/>
      </c>
      <c r="B1568" t="inlineStr">
        <is>
          <t>Vina® Premium Bamboo Cutting Board – Medium 12”x 8” Kitchen Chopping board</t>
        </is>
      </c>
      <c r="C1568" t="inlineStr">
        <is>
          <t>VINABCB03</t>
        </is>
      </c>
      <c r="D1568" t="inlineStr">
        <is>
          <t>Cutting Boards &amp; Butcher Blocks</t>
        </is>
      </c>
      <c r="E1568" t="inlineStr">
        <is>
          <t>Vina</t>
        </is>
      </c>
      <c r="F1568" t="inlineStr">
        <is>
          <t>Batch 1 - TR</t>
        </is>
      </c>
      <c r="G1568" s="48" t="n">
        <v>0</v>
      </c>
      <c r="H1568" s="48" t="n">
        <v>0</v>
      </c>
      <c r="I1568" s="48" t="n">
        <v>0</v>
      </c>
      <c r="J1568" s="48" t="n">
        <v>0</v>
      </c>
      <c r="K1568" s="49" t="n">
        <v>0</v>
      </c>
      <c r="L1568" s="49" t="n">
        <v>0</v>
      </c>
      <c r="M1568" s="49" t="n">
        <v>0</v>
      </c>
      <c r="N1568" s="49" t="n">
        <v>0</v>
      </c>
      <c r="O1568" s="49" t="n">
        <v>0</v>
      </c>
      <c r="P1568" s="49" t="n">
        <v>0</v>
      </c>
      <c r="Q1568" s="49" t="n">
        <v>0</v>
      </c>
      <c r="R1568" s="49" t="n">
        <v>0</v>
      </c>
      <c r="S1568" s="50" t="n">
        <v>0</v>
      </c>
      <c r="T1568" s="50" t="n">
        <v>0</v>
      </c>
      <c r="U1568" s="50" t="n">
        <v>0</v>
      </c>
      <c r="V1568" s="50" t="n">
        <v>0</v>
      </c>
      <c r="W1568" s="51" t="n">
        <v>0</v>
      </c>
      <c r="X1568" s="51" t="n">
        <v>0</v>
      </c>
      <c r="Y1568" s="51" t="n">
        <v>0</v>
      </c>
      <c r="Z1568" s="51" t="n">
        <v>0</v>
      </c>
      <c r="AA1568" s="52" t="n">
        <v>0</v>
      </c>
      <c r="AB1568" s="52" t="n">
        <v>0</v>
      </c>
      <c r="AC1568" s="52" t="n">
        <v>0</v>
      </c>
      <c r="AD1568" s="52" t="n">
        <v>0</v>
      </c>
      <c r="AE1568" s="52" t="n">
        <v>0</v>
      </c>
      <c r="AF1568" s="52" t="n">
        <v>0</v>
      </c>
      <c r="AG1568" s="52" t="n">
        <v>0</v>
      </c>
      <c r="AH1568" s="52" t="n">
        <v>0</v>
      </c>
      <c r="AI1568" s="52" t="n">
        <v>0</v>
      </c>
      <c r="AJ1568" s="52" t="n">
        <v>0</v>
      </c>
      <c r="AK1568" s="52" t="n">
        <v>0</v>
      </c>
      <c r="AL1568" s="52" t="n">
        <v>0</v>
      </c>
      <c r="AM1568" s="53" t="n">
        <v>0</v>
      </c>
      <c r="AN1568" s="53" t="n">
        <v>0</v>
      </c>
      <c r="AO1568" s="53" t="n">
        <v>0</v>
      </c>
      <c r="AP1568" s="53" t="n">
        <v>0</v>
      </c>
      <c r="AQ1568" s="52" t="n">
        <v>0</v>
      </c>
      <c r="AR1568" s="52" t="n">
        <v>0</v>
      </c>
      <c r="AS1568" s="52" t="n">
        <v>0</v>
      </c>
      <c r="AT1568" s="52" t="n">
        <v>0</v>
      </c>
      <c r="AU1568" s="53" t="n">
        <v>0</v>
      </c>
      <c r="AV1568" s="53" t="n">
        <v>0</v>
      </c>
      <c r="AW1568" s="53" t="n">
        <v>0</v>
      </c>
      <c r="AX1568" s="53" t="n">
        <v>0</v>
      </c>
      <c r="AY1568" s="52" t="n">
        <v>0</v>
      </c>
      <c r="AZ1568" s="52" t="n">
        <v>0</v>
      </c>
      <c r="BA1568" s="52" t="n">
        <v>0</v>
      </c>
      <c r="BB1568" s="52" t="n">
        <v>0</v>
      </c>
      <c r="BC1568" s="51" t="n">
        <v>0</v>
      </c>
      <c r="BD1568" s="51" t="n">
        <v>0</v>
      </c>
      <c r="BE1568" s="51" t="n">
        <v>0</v>
      </c>
      <c r="BF1568" s="51" t="n">
        <v>0</v>
      </c>
    </row>
    <row r="1569">
      <c r="A1569">
        <f>HYPERLINK("https://www.walmart.com/ip/14543512940", "14543512940")</f>
        <v/>
      </c>
      <c r="B1569" t="inlineStr">
        <is>
          <t>Aeropostale  Backpack for School, College, and Travel， Water Resistant Bookbag Taupe Marble</t>
        </is>
      </c>
      <c r="C1569" t="inlineStr">
        <is>
          <t>1AEBPK92029TPMARBLE</t>
        </is>
      </c>
      <c r="D1569" t="inlineStr">
        <is>
          <t>Backpacks</t>
        </is>
      </c>
      <c r="E1569" t="inlineStr">
        <is>
          <t>Aeropostale</t>
        </is>
      </c>
      <c r="G1569" s="48" t="n">
        <v>0</v>
      </c>
      <c r="H1569" s="48" t="n">
        <v>0</v>
      </c>
      <c r="I1569" s="48" t="n">
        <v>0</v>
      </c>
      <c r="J1569" s="48" t="n">
        <v>0</v>
      </c>
      <c r="K1569" s="49" t="n">
        <v>0</v>
      </c>
      <c r="L1569" s="49" t="n">
        <v>0</v>
      </c>
      <c r="M1569" s="49" t="n">
        <v>0</v>
      </c>
      <c r="N1569" s="49" t="n">
        <v>0</v>
      </c>
      <c r="O1569" s="49" t="n">
        <v>0</v>
      </c>
      <c r="P1569" s="49" t="n">
        <v>0</v>
      </c>
      <c r="Q1569" s="49" t="n">
        <v>0</v>
      </c>
      <c r="R1569" s="49" t="n">
        <v>0</v>
      </c>
      <c r="S1569" s="50" t="n">
        <v>0</v>
      </c>
      <c r="T1569" s="50" t="n">
        <v>0</v>
      </c>
      <c r="U1569" s="50" t="n">
        <v>0</v>
      </c>
      <c r="V1569" s="50" t="n">
        <v>0</v>
      </c>
      <c r="W1569" s="51" t="n">
        <v>0</v>
      </c>
      <c r="X1569" s="51" t="n">
        <v>0</v>
      </c>
      <c r="Y1569" s="51" t="n">
        <v>0</v>
      </c>
      <c r="Z1569" s="51" t="n">
        <v>0</v>
      </c>
      <c r="AA1569" s="52" t="n">
        <v>0</v>
      </c>
      <c r="AB1569" s="52" t="n">
        <v>0</v>
      </c>
      <c r="AC1569" s="52" t="n">
        <v>0</v>
      </c>
      <c r="AD1569" s="52" t="n">
        <v>0</v>
      </c>
      <c r="AE1569" s="52" t="n">
        <v>0</v>
      </c>
      <c r="AF1569" s="52" t="n">
        <v>0</v>
      </c>
      <c r="AG1569" s="52" t="n">
        <v>0</v>
      </c>
      <c r="AH1569" s="52" t="n">
        <v>0</v>
      </c>
      <c r="AI1569" s="52" t="n">
        <v>0</v>
      </c>
      <c r="AJ1569" s="52" t="n">
        <v>0</v>
      </c>
      <c r="AK1569" s="52" t="n">
        <v>0</v>
      </c>
      <c r="AL1569" s="52" t="n">
        <v>0</v>
      </c>
      <c r="AM1569" s="53" t="n">
        <v>0</v>
      </c>
      <c r="AN1569" s="53" t="n">
        <v>0</v>
      </c>
      <c r="AO1569" s="53" t="n">
        <v>0</v>
      </c>
      <c r="AP1569" s="53" t="n">
        <v>0</v>
      </c>
      <c r="AQ1569" s="52" t="n">
        <v>0</v>
      </c>
      <c r="AR1569" s="52" t="n">
        <v>0</v>
      </c>
      <c r="AS1569" s="52" t="n">
        <v>0</v>
      </c>
      <c r="AT1569" s="52" t="n">
        <v>0</v>
      </c>
      <c r="AU1569" s="53" t="n">
        <v>0</v>
      </c>
      <c r="AV1569" s="53" t="n">
        <v>0</v>
      </c>
      <c r="AW1569" s="53" t="n">
        <v>0</v>
      </c>
      <c r="AX1569" s="53" t="n">
        <v>0</v>
      </c>
      <c r="AY1569" s="52" t="n">
        <v>0</v>
      </c>
      <c r="AZ1569" s="52" t="n">
        <v>0</v>
      </c>
      <c r="BA1569" s="52" t="n">
        <v>0</v>
      </c>
      <c r="BB1569" s="52" t="n">
        <v>0</v>
      </c>
      <c r="BC1569" s="51" t="n">
        <v>0</v>
      </c>
      <c r="BD1569" s="51" t="n">
        <v>0</v>
      </c>
      <c r="BE1569" s="51" t="n">
        <v>0</v>
      </c>
      <c r="BF1569" s="51" t="n">
        <v>0</v>
      </c>
    </row>
    <row r="1570">
      <c r="A1570">
        <f>HYPERLINK("https://www.walmart.com/ip/145817835", "145817835")</f>
        <v/>
      </c>
      <c r="B1570" t="inlineStr">
        <is>
          <t>JenniWears LED Light Up Sheer Lace Venetian Mask Floral Mardi Gras Masquerade Costume Purple</t>
        </is>
      </c>
      <c r="C1570" t="inlineStr">
        <is>
          <t>JWLEDMK02-PP</t>
        </is>
      </c>
      <c r="D1570" t="inlineStr">
        <is>
          <t>Costume Masks</t>
        </is>
      </c>
      <c r="E1570" t="inlineStr">
        <is>
          <t>JenniWears</t>
        </is>
      </c>
      <c r="F1570" t="inlineStr">
        <is>
          <t>Halloween</t>
        </is>
      </c>
      <c r="G1570" s="48" t="n">
        <v>0</v>
      </c>
      <c r="H1570" s="48" t="n">
        <v>0</v>
      </c>
      <c r="I1570" s="48" t="n">
        <v>0</v>
      </c>
      <c r="J1570" s="48" t="n">
        <v>0</v>
      </c>
      <c r="K1570" s="49" t="n">
        <v>0</v>
      </c>
      <c r="L1570" s="49" t="n">
        <v>0</v>
      </c>
      <c r="M1570" s="49" t="n">
        <v>0</v>
      </c>
      <c r="N1570" s="49" t="n">
        <v>0</v>
      </c>
      <c r="O1570" s="49" t="n">
        <v>0</v>
      </c>
      <c r="P1570" s="49" t="n">
        <v>0</v>
      </c>
      <c r="Q1570" s="49" t="n">
        <v>0</v>
      </c>
      <c r="R1570" s="49" t="n">
        <v>0</v>
      </c>
      <c r="S1570" s="50" t="n">
        <v>0</v>
      </c>
      <c r="T1570" s="50" t="n">
        <v>0</v>
      </c>
      <c r="U1570" s="50" t="n">
        <v>0</v>
      </c>
      <c r="V1570" s="50" t="n">
        <v>0</v>
      </c>
      <c r="W1570" s="51" t="n">
        <v>0</v>
      </c>
      <c r="X1570" s="51" t="n">
        <v>0</v>
      </c>
      <c r="Y1570" s="51" t="n">
        <v>0</v>
      </c>
      <c r="Z1570" s="51" t="n">
        <v>0</v>
      </c>
      <c r="AA1570" s="52" t="n">
        <v>0</v>
      </c>
      <c r="AB1570" s="52" t="n">
        <v>0</v>
      </c>
      <c r="AC1570" s="52" t="n">
        <v>0</v>
      </c>
      <c r="AD1570" s="52" t="n">
        <v>0</v>
      </c>
      <c r="AE1570" s="52" t="n">
        <v>0</v>
      </c>
      <c r="AF1570" s="52" t="n">
        <v>0</v>
      </c>
      <c r="AG1570" s="52" t="n">
        <v>0</v>
      </c>
      <c r="AH1570" s="52" t="n">
        <v>0</v>
      </c>
      <c r="AI1570" s="52" t="n">
        <v>0</v>
      </c>
      <c r="AJ1570" s="52" t="n">
        <v>0</v>
      </c>
      <c r="AK1570" s="52" t="n">
        <v>0</v>
      </c>
      <c r="AL1570" s="52" t="n">
        <v>0</v>
      </c>
      <c r="AM1570" s="53" t="n">
        <v>0</v>
      </c>
      <c r="AN1570" s="53" t="n">
        <v>0</v>
      </c>
      <c r="AO1570" s="53" t="n">
        <v>0</v>
      </c>
      <c r="AP1570" s="53" t="n">
        <v>0</v>
      </c>
      <c r="AQ1570" s="52" t="n">
        <v>0</v>
      </c>
      <c r="AR1570" s="52" t="n">
        <v>0</v>
      </c>
      <c r="AS1570" s="52" t="n">
        <v>0</v>
      </c>
      <c r="AT1570" s="52" t="n">
        <v>0</v>
      </c>
      <c r="AU1570" s="53" t="n">
        <v>0</v>
      </c>
      <c r="AV1570" s="53" t="n">
        <v>0</v>
      </c>
      <c r="AW1570" s="53" t="n">
        <v>0</v>
      </c>
      <c r="AX1570" s="53" t="n">
        <v>0</v>
      </c>
      <c r="AY1570" s="52" t="n">
        <v>0</v>
      </c>
      <c r="AZ1570" s="52" t="n">
        <v>0</v>
      </c>
      <c r="BA1570" s="52" t="n">
        <v>0</v>
      </c>
      <c r="BB1570" s="52" t="n">
        <v>0</v>
      </c>
      <c r="BC1570" s="51" t="n">
        <v>0</v>
      </c>
      <c r="BD1570" s="51" t="n">
        <v>0</v>
      </c>
      <c r="BE1570" s="51" t="n">
        <v>0</v>
      </c>
      <c r="BF1570" s="51" t="n">
        <v>0</v>
      </c>
    </row>
    <row r="1571">
      <c r="A1571">
        <f>HYPERLINK("https://www.walmart.com/ip/14597465043", "14597465043")</f>
        <v/>
      </c>
      <c r="B1571" t="inlineStr">
        <is>
          <t>Solaris Open Crotch Boyshort Panties Underwear Black Lace Lingerie Thong for Women with Ribbons Removable Garters XL</t>
        </is>
      </c>
      <c r="C1571" t="inlineStr">
        <is>
          <t>CCPT100BK-XL-FS</t>
        </is>
      </c>
      <c r="D1571" t="inlineStr">
        <is>
          <t>Panties</t>
        </is>
      </c>
      <c r="E1571" t="inlineStr">
        <is>
          <t>Solaris</t>
        </is>
      </c>
      <c r="G1571" s="48" t="n">
        <v>0</v>
      </c>
      <c r="H1571" s="48" t="n">
        <v>0</v>
      </c>
      <c r="I1571" s="48" t="n">
        <v>0</v>
      </c>
      <c r="J1571" s="48" t="n">
        <v>0</v>
      </c>
      <c r="K1571" s="49" t="n">
        <v>0</v>
      </c>
      <c r="L1571" s="49" t="n">
        <v>0</v>
      </c>
      <c r="M1571" s="49" t="n">
        <v>0</v>
      </c>
      <c r="N1571" s="49" t="n">
        <v>0</v>
      </c>
      <c r="O1571" s="49" t="n">
        <v>0</v>
      </c>
      <c r="P1571" s="49" t="n">
        <v>0</v>
      </c>
      <c r="Q1571" s="49" t="n">
        <v>0</v>
      </c>
      <c r="R1571" s="49" t="n">
        <v>0</v>
      </c>
      <c r="S1571" s="50" t="n">
        <v>0</v>
      </c>
      <c r="T1571" s="50" t="n">
        <v>0</v>
      </c>
      <c r="U1571" s="50" t="n">
        <v>0</v>
      </c>
      <c r="V1571" s="50" t="n">
        <v>0</v>
      </c>
      <c r="W1571" s="51" t="n">
        <v>0</v>
      </c>
      <c r="X1571" s="51" t="n">
        <v>0</v>
      </c>
      <c r="Y1571" s="51" t="n">
        <v>0</v>
      </c>
      <c r="Z1571" s="51" t="n">
        <v>0</v>
      </c>
      <c r="AA1571" s="52" t="n">
        <v>0</v>
      </c>
      <c r="AB1571" s="52" t="n">
        <v>0</v>
      </c>
      <c r="AC1571" s="52" t="n">
        <v>0</v>
      </c>
      <c r="AD1571" s="52" t="n">
        <v>0</v>
      </c>
      <c r="AE1571" s="52" t="n">
        <v>0</v>
      </c>
      <c r="AF1571" s="52" t="n">
        <v>0</v>
      </c>
      <c r="AG1571" s="52" t="n">
        <v>0</v>
      </c>
      <c r="AH1571" s="52" t="n">
        <v>0</v>
      </c>
      <c r="AI1571" s="52" t="n">
        <v>0</v>
      </c>
      <c r="AJ1571" s="52" t="n">
        <v>0</v>
      </c>
      <c r="AK1571" s="52" t="n">
        <v>0</v>
      </c>
      <c r="AL1571" s="52" t="n">
        <v>0</v>
      </c>
      <c r="AM1571" s="53" t="n">
        <v>0</v>
      </c>
      <c r="AN1571" s="53" t="n">
        <v>0</v>
      </c>
      <c r="AO1571" s="53" t="n">
        <v>0</v>
      </c>
      <c r="AP1571" s="53" t="n">
        <v>0</v>
      </c>
      <c r="AQ1571" s="52" t="n">
        <v>0</v>
      </c>
      <c r="AR1571" s="52" t="n">
        <v>0</v>
      </c>
      <c r="AS1571" s="52" t="n">
        <v>0</v>
      </c>
      <c r="AT1571" s="52" t="n">
        <v>0</v>
      </c>
      <c r="AU1571" s="53" t="n">
        <v>0</v>
      </c>
      <c r="AV1571" s="53" t="n">
        <v>0</v>
      </c>
      <c r="AW1571" s="53" t="n">
        <v>0</v>
      </c>
      <c r="AX1571" s="53" t="n">
        <v>0</v>
      </c>
      <c r="AY1571" s="52" t="n">
        <v>0</v>
      </c>
      <c r="AZ1571" s="52" t="n">
        <v>0</v>
      </c>
      <c r="BA1571" s="52" t="n">
        <v>0</v>
      </c>
      <c r="BB1571" s="52" t="n">
        <v>0</v>
      </c>
      <c r="BC1571" s="51" t="n">
        <v>0</v>
      </c>
      <c r="BD1571" s="51" t="n">
        <v>0</v>
      </c>
      <c r="BE1571" s="51" t="n">
        <v>0</v>
      </c>
      <c r="BF1571" s="51" t="n">
        <v>0</v>
      </c>
    </row>
    <row r="1572">
      <c r="A1572">
        <f>HYPERLINK("https://www.walmart.com/ip/145984059", "145984059")</f>
        <v/>
      </c>
      <c r="B1572" t="inlineStr">
        <is>
          <t>JenniWears® Women's Ultra Sheer Lace Top Thigh High Pantyhose - 3 Packs</t>
        </is>
      </c>
      <c r="C1572" t="inlineStr">
        <is>
          <t>JWBLSPH2015-3pcs</t>
        </is>
      </c>
      <c r="D1572" t="inlineStr">
        <is>
          <t>Pantyhose &amp; Tights</t>
        </is>
      </c>
      <c r="E1572" t="inlineStr">
        <is>
          <t>JenniWears</t>
        </is>
      </c>
      <c r="F1572" t="inlineStr">
        <is>
          <t>Optimized,Valentine</t>
        </is>
      </c>
      <c r="G1572" s="48" t="n">
        <v>0</v>
      </c>
      <c r="H1572" s="48" t="n">
        <v>0</v>
      </c>
      <c r="I1572" s="48" t="n">
        <v>0</v>
      </c>
      <c r="J1572" s="48" t="n">
        <v>0</v>
      </c>
      <c r="K1572" s="49" t="n">
        <v>0</v>
      </c>
      <c r="L1572" s="49" t="n">
        <v>0</v>
      </c>
      <c r="M1572" s="49" t="n">
        <v>0</v>
      </c>
      <c r="N1572" s="49" t="n">
        <v>0</v>
      </c>
      <c r="O1572" s="49" t="n">
        <v>0</v>
      </c>
      <c r="P1572" s="49" t="n">
        <v>0</v>
      </c>
      <c r="Q1572" s="49" t="n">
        <v>0</v>
      </c>
      <c r="R1572" s="49" t="n">
        <v>0</v>
      </c>
      <c r="S1572" s="50" t="n">
        <v>0</v>
      </c>
      <c r="T1572" s="50" t="n">
        <v>0</v>
      </c>
      <c r="U1572" s="50" t="n">
        <v>0</v>
      </c>
      <c r="V1572" s="50" t="n">
        <v>0</v>
      </c>
      <c r="W1572" s="51" t="n">
        <v>0</v>
      </c>
      <c r="X1572" s="51" t="n">
        <v>0</v>
      </c>
      <c r="Y1572" s="51" t="n">
        <v>0</v>
      </c>
      <c r="Z1572" s="51" t="n">
        <v>0</v>
      </c>
      <c r="AA1572" s="52" t="n">
        <v>0</v>
      </c>
      <c r="AB1572" s="52" t="n">
        <v>0</v>
      </c>
      <c r="AC1572" s="52" t="n">
        <v>0</v>
      </c>
      <c r="AD1572" s="52" t="n">
        <v>0</v>
      </c>
      <c r="AE1572" s="52" t="n">
        <v>0</v>
      </c>
      <c r="AF1572" s="52" t="n">
        <v>0</v>
      </c>
      <c r="AG1572" s="52" t="n">
        <v>0</v>
      </c>
      <c r="AH1572" s="52" t="n">
        <v>0</v>
      </c>
      <c r="AI1572" s="52" t="n">
        <v>0</v>
      </c>
      <c r="AJ1572" s="52" t="n">
        <v>0</v>
      </c>
      <c r="AK1572" s="52" t="n">
        <v>0</v>
      </c>
      <c r="AL1572" s="52" t="n">
        <v>0</v>
      </c>
      <c r="AM1572" s="53" t="n">
        <v>0</v>
      </c>
      <c r="AN1572" s="53" t="n">
        <v>0</v>
      </c>
      <c r="AO1572" s="53" t="n">
        <v>0</v>
      </c>
      <c r="AP1572" s="53" t="n">
        <v>0</v>
      </c>
      <c r="AQ1572" s="52" t="n">
        <v>0</v>
      </c>
      <c r="AR1572" s="52" t="n">
        <v>0</v>
      </c>
      <c r="AS1572" s="52" t="n">
        <v>0</v>
      </c>
      <c r="AT1572" s="52" t="n">
        <v>0</v>
      </c>
      <c r="AU1572" s="53" t="n">
        <v>0</v>
      </c>
      <c r="AV1572" s="53" t="n">
        <v>0</v>
      </c>
      <c r="AW1572" s="53" t="n">
        <v>0</v>
      </c>
      <c r="AX1572" s="53" t="n">
        <v>0</v>
      </c>
      <c r="AY1572" s="52" t="n">
        <v>0</v>
      </c>
      <c r="AZ1572" s="52" t="n">
        <v>0</v>
      </c>
      <c r="BA1572" s="52" t="n">
        <v>0</v>
      </c>
      <c r="BB1572" s="52" t="n">
        <v>0</v>
      </c>
      <c r="BC1572" s="51" t="n">
        <v>0</v>
      </c>
      <c r="BD1572" s="51" t="n">
        <v>0</v>
      </c>
      <c r="BE1572" s="51" t="n">
        <v>0</v>
      </c>
      <c r="BF1572" s="51" t="n">
        <v>0</v>
      </c>
    </row>
    <row r="1573">
      <c r="A1573">
        <f>HYPERLINK("https://www.walmart.com/ip/146068453", "146068453")</f>
        <v/>
      </c>
      <c r="B1573" t="inlineStr">
        <is>
          <t>Catalonia Hooded Wearable Blanket Poncho for Adult Women and Men, Fleece Wrap Blanket Cape with Hood, Warm, Soft, Cozy, and Snuggly, Comfort Gift, No Sleeves, Blue</t>
        </is>
      </c>
      <c r="C1573" t="inlineStr">
        <is>
          <t>1CTBP120AQ</t>
        </is>
      </c>
      <c r="D1573" t="inlineStr">
        <is>
          <t>Throws</t>
        </is>
      </c>
      <c r="E1573" t="inlineStr">
        <is>
          <t>Catalonia</t>
        </is>
      </c>
      <c r="F1573" t="inlineStr">
        <is>
          <t>Hero 5 Holidays,WFS,WFS Item</t>
        </is>
      </c>
      <c r="G1573" s="48" t="n">
        <v>0</v>
      </c>
      <c r="H1573" s="48" t="n">
        <v>0</v>
      </c>
      <c r="I1573" s="48" t="n">
        <v>0</v>
      </c>
      <c r="J1573" s="48" t="n">
        <v>0</v>
      </c>
      <c r="K1573" s="49" t="n">
        <v>0</v>
      </c>
      <c r="L1573" s="49" t="n">
        <v>0</v>
      </c>
      <c r="M1573" s="49" t="n">
        <v>0</v>
      </c>
      <c r="N1573" s="49" t="n">
        <v>0</v>
      </c>
      <c r="O1573" s="49" t="n">
        <v>2</v>
      </c>
      <c r="P1573" s="49" t="n">
        <v>4</v>
      </c>
      <c r="Q1573" s="49" t="n">
        <v>2</v>
      </c>
      <c r="R1573" s="49" t="n">
        <v>3</v>
      </c>
      <c r="S1573" s="50" t="n">
        <v>0</v>
      </c>
      <c r="T1573" s="50" t="n">
        <v>0</v>
      </c>
      <c r="U1573" s="50" t="n">
        <v>0</v>
      </c>
      <c r="V1573" s="50" t="n">
        <v>0</v>
      </c>
      <c r="W1573" s="51" t="n">
        <v>4</v>
      </c>
      <c r="X1573" s="51" t="n">
        <v>3</v>
      </c>
      <c r="Y1573" s="51" t="n">
        <v>0</v>
      </c>
      <c r="Z1573" s="51" t="n">
        <v>4</v>
      </c>
      <c r="AA1573" s="52" t="n">
        <v>1.13</v>
      </c>
      <c r="AB1573" s="52" t="n">
        <v>0.73</v>
      </c>
      <c r="AC1573" s="52" t="n">
        <v>0</v>
      </c>
      <c r="AD1573" s="52" t="n">
        <v>0.88</v>
      </c>
      <c r="AE1573" s="52" t="n">
        <v>0</v>
      </c>
      <c r="AF1573" s="52" t="n">
        <v>0</v>
      </c>
      <c r="AG1573" s="52" t="n">
        <v>0</v>
      </c>
      <c r="AH1573" s="52" t="n">
        <v>0</v>
      </c>
      <c r="AI1573" s="52" t="n">
        <v>0</v>
      </c>
      <c r="AJ1573" s="52" t="n">
        <v>0</v>
      </c>
      <c r="AK1573" s="52" t="n">
        <v>0</v>
      </c>
      <c r="AL1573" s="52" t="n">
        <v>0</v>
      </c>
      <c r="AM1573" s="53" t="n">
        <v>0.001</v>
      </c>
      <c r="AN1573" s="53" t="n">
        <v>0.0005</v>
      </c>
      <c r="AO1573" s="53" t="n">
        <v>0</v>
      </c>
      <c r="AP1573" s="53" t="n">
        <v>0.0013</v>
      </c>
      <c r="AQ1573" s="52" t="n">
        <v>0.2825</v>
      </c>
      <c r="AR1573" s="52" t="n">
        <v>0.2433333333333333</v>
      </c>
      <c r="AS1573" s="52" t="n">
        <v>0</v>
      </c>
      <c r="AT1573" s="52" t="n">
        <v>0.22</v>
      </c>
      <c r="AU1573" s="53" t="n">
        <v>0</v>
      </c>
      <c r="AV1573" s="53" t="n">
        <v>0</v>
      </c>
      <c r="AW1573" s="53" t="n">
        <v>0</v>
      </c>
      <c r="AX1573" s="53" t="n">
        <v>0</v>
      </c>
      <c r="AY1573" s="52" t="n">
        <v>0</v>
      </c>
      <c r="AZ1573" s="52" t="n">
        <v>0</v>
      </c>
      <c r="BA1573" s="52" t="n">
        <v>0</v>
      </c>
      <c r="BB1573" s="52" t="n">
        <v>0</v>
      </c>
      <c r="BC1573" s="51" t="n">
        <v>4156</v>
      </c>
      <c r="BD1573" s="51" t="n">
        <v>5899</v>
      </c>
      <c r="BE1573" s="51" t="n">
        <v>0</v>
      </c>
      <c r="BF1573" s="51" t="n">
        <v>3048</v>
      </c>
    </row>
    <row r="1574">
      <c r="A1574">
        <f>HYPERLINK("https://www.walmart.com/ip/149506671", "149506671")</f>
        <v/>
      </c>
      <c r="B1574" t="inlineStr">
        <is>
          <t>JenniWears Women's Beileise  Sexy Net Pantyhose  Stockings Black Sheer Socks - 6 Packs</t>
        </is>
      </c>
      <c r="C1574" t="inlineStr">
        <is>
          <t>JWBLSPH2085-6pcs</t>
        </is>
      </c>
      <c r="D1574" t="inlineStr">
        <is>
          <t>Pantyhose &amp; Tights</t>
        </is>
      </c>
      <c r="E1574" t="inlineStr">
        <is>
          <t>JenniWears</t>
        </is>
      </c>
      <c r="F1574" t="inlineStr">
        <is>
          <t>Optimized,Valentine</t>
        </is>
      </c>
      <c r="G1574" s="48" t="n">
        <v>0</v>
      </c>
      <c r="H1574" s="48" t="n">
        <v>0</v>
      </c>
      <c r="I1574" s="48" t="n">
        <v>0</v>
      </c>
      <c r="J1574" s="48" t="n">
        <v>0</v>
      </c>
      <c r="K1574" s="49" t="n">
        <v>0</v>
      </c>
      <c r="L1574" s="49" t="n">
        <v>0</v>
      </c>
      <c r="M1574" s="49" t="n">
        <v>0</v>
      </c>
      <c r="N1574" s="49" t="n">
        <v>0</v>
      </c>
      <c r="O1574" s="49" t="n">
        <v>0</v>
      </c>
      <c r="P1574" s="49" t="n">
        <v>0</v>
      </c>
      <c r="Q1574" s="49" t="n">
        <v>0</v>
      </c>
      <c r="R1574" s="49" t="n">
        <v>0</v>
      </c>
      <c r="S1574" s="50" t="n">
        <v>0</v>
      </c>
      <c r="T1574" s="50" t="n">
        <v>0</v>
      </c>
      <c r="U1574" s="50" t="n">
        <v>0</v>
      </c>
      <c r="V1574" s="50" t="n">
        <v>0</v>
      </c>
      <c r="W1574" s="51" t="n">
        <v>0</v>
      </c>
      <c r="X1574" s="51" t="n">
        <v>0</v>
      </c>
      <c r="Y1574" s="51" t="n">
        <v>0</v>
      </c>
      <c r="Z1574" s="51" t="n">
        <v>0</v>
      </c>
      <c r="AA1574" s="52" t="n">
        <v>0</v>
      </c>
      <c r="AB1574" s="52" t="n">
        <v>0</v>
      </c>
      <c r="AC1574" s="52" t="n">
        <v>0</v>
      </c>
      <c r="AD1574" s="52" t="n">
        <v>0</v>
      </c>
      <c r="AE1574" s="52" t="n">
        <v>0</v>
      </c>
      <c r="AF1574" s="52" t="n">
        <v>0</v>
      </c>
      <c r="AG1574" s="52" t="n">
        <v>0</v>
      </c>
      <c r="AH1574" s="52" t="n">
        <v>0</v>
      </c>
      <c r="AI1574" s="52" t="n">
        <v>0</v>
      </c>
      <c r="AJ1574" s="52" t="n">
        <v>0</v>
      </c>
      <c r="AK1574" s="52" t="n">
        <v>0</v>
      </c>
      <c r="AL1574" s="52" t="n">
        <v>0</v>
      </c>
      <c r="AM1574" s="53" t="n">
        <v>0</v>
      </c>
      <c r="AN1574" s="53" t="n">
        <v>0</v>
      </c>
      <c r="AO1574" s="53" t="n">
        <v>0</v>
      </c>
      <c r="AP1574" s="53" t="n">
        <v>0</v>
      </c>
      <c r="AQ1574" s="52" t="n">
        <v>0</v>
      </c>
      <c r="AR1574" s="52" t="n">
        <v>0</v>
      </c>
      <c r="AS1574" s="52" t="n">
        <v>0</v>
      </c>
      <c r="AT1574" s="52" t="n">
        <v>0</v>
      </c>
      <c r="AU1574" s="53" t="n">
        <v>0</v>
      </c>
      <c r="AV1574" s="53" t="n">
        <v>0</v>
      </c>
      <c r="AW1574" s="53" t="n">
        <v>0</v>
      </c>
      <c r="AX1574" s="53" t="n">
        <v>0</v>
      </c>
      <c r="AY1574" s="52" t="n">
        <v>0</v>
      </c>
      <c r="AZ1574" s="52" t="n">
        <v>0</v>
      </c>
      <c r="BA1574" s="52" t="n">
        <v>0</v>
      </c>
      <c r="BB1574" s="52" t="n">
        <v>0</v>
      </c>
      <c r="BC1574" s="51" t="n">
        <v>0</v>
      </c>
      <c r="BD1574" s="51" t="n">
        <v>0</v>
      </c>
      <c r="BE1574" s="51" t="n">
        <v>0</v>
      </c>
      <c r="BF1574" s="51" t="n">
        <v>0</v>
      </c>
    </row>
    <row r="1575">
      <c r="A1575">
        <f>HYPERLINK("https://www.walmart.com/ip/149596874", "149596874")</f>
        <v/>
      </c>
      <c r="B1575" t="inlineStr">
        <is>
          <t>KC Caps Casual Unisex Adjustable Snap Closure USA Flag Embroidered Unconstructed Cap Hat (US SHIP)</t>
        </is>
      </c>
      <c r="C1575" t="inlineStr">
        <is>
          <t>kc-ae-6110-kk</t>
        </is>
      </c>
      <c r="D1575" t="inlineStr">
        <is>
          <t>Hats</t>
        </is>
      </c>
      <c r="E1575" t="inlineStr">
        <is>
          <t>KC Caps</t>
        </is>
      </c>
      <c r="G1575" s="48" t="n">
        <v>0</v>
      </c>
      <c r="H1575" s="48" t="n">
        <v>0</v>
      </c>
      <c r="I1575" s="48" t="n">
        <v>0</v>
      </c>
      <c r="J1575" s="48" t="n">
        <v>0</v>
      </c>
      <c r="K1575" s="49" t="n">
        <v>0</v>
      </c>
      <c r="L1575" s="49" t="n">
        <v>0</v>
      </c>
      <c r="M1575" s="49" t="n">
        <v>0</v>
      </c>
      <c r="N1575" s="49" t="n">
        <v>0</v>
      </c>
      <c r="O1575" s="49" t="n">
        <v>0</v>
      </c>
      <c r="P1575" s="49" t="n">
        <v>0</v>
      </c>
      <c r="Q1575" s="49" t="n">
        <v>0</v>
      </c>
      <c r="R1575" s="49" t="n">
        <v>0</v>
      </c>
      <c r="S1575" s="50" t="n">
        <v>0</v>
      </c>
      <c r="T1575" s="50" t="n">
        <v>0</v>
      </c>
      <c r="U1575" s="50" t="n">
        <v>0</v>
      </c>
      <c r="V1575" s="50" t="n">
        <v>0</v>
      </c>
      <c r="W1575" s="51" t="n">
        <v>0</v>
      </c>
      <c r="X1575" s="51" t="n">
        <v>0</v>
      </c>
      <c r="Y1575" s="51" t="n">
        <v>0</v>
      </c>
      <c r="Z1575" s="51" t="n">
        <v>0</v>
      </c>
      <c r="AA1575" s="52" t="n">
        <v>0</v>
      </c>
      <c r="AB1575" s="52" t="n">
        <v>0</v>
      </c>
      <c r="AC1575" s="52" t="n">
        <v>0</v>
      </c>
      <c r="AD1575" s="52" t="n">
        <v>0</v>
      </c>
      <c r="AE1575" s="52" t="n">
        <v>0</v>
      </c>
      <c r="AF1575" s="52" t="n">
        <v>0</v>
      </c>
      <c r="AG1575" s="52" t="n">
        <v>0</v>
      </c>
      <c r="AH1575" s="52" t="n">
        <v>0</v>
      </c>
      <c r="AI1575" s="52" t="n">
        <v>0</v>
      </c>
      <c r="AJ1575" s="52" t="n">
        <v>0</v>
      </c>
      <c r="AK1575" s="52" t="n">
        <v>0</v>
      </c>
      <c r="AL1575" s="52" t="n">
        <v>0</v>
      </c>
      <c r="AM1575" s="53" t="n">
        <v>0</v>
      </c>
      <c r="AN1575" s="53" t="n">
        <v>0</v>
      </c>
      <c r="AO1575" s="53" t="n">
        <v>0</v>
      </c>
      <c r="AP1575" s="53" t="n">
        <v>0</v>
      </c>
      <c r="AQ1575" s="52" t="n">
        <v>0</v>
      </c>
      <c r="AR1575" s="52" t="n">
        <v>0</v>
      </c>
      <c r="AS1575" s="52" t="n">
        <v>0</v>
      </c>
      <c r="AT1575" s="52" t="n">
        <v>0</v>
      </c>
      <c r="AU1575" s="53" t="n">
        <v>0</v>
      </c>
      <c r="AV1575" s="53" t="n">
        <v>0</v>
      </c>
      <c r="AW1575" s="53" t="n">
        <v>0</v>
      </c>
      <c r="AX1575" s="53" t="n">
        <v>0</v>
      </c>
      <c r="AY1575" s="52" t="n">
        <v>0</v>
      </c>
      <c r="AZ1575" s="52" t="n">
        <v>0</v>
      </c>
      <c r="BA1575" s="52" t="n">
        <v>0</v>
      </c>
      <c r="BB1575" s="52" t="n">
        <v>0</v>
      </c>
      <c r="BC1575" s="51" t="n">
        <v>0</v>
      </c>
      <c r="BD1575" s="51" t="n">
        <v>0</v>
      </c>
      <c r="BE1575" s="51" t="n">
        <v>0</v>
      </c>
      <c r="BF1575" s="51" t="n">
        <v>0</v>
      </c>
    </row>
    <row r="1576">
      <c r="A1576">
        <f>HYPERLINK("https://www.walmart.com/ip/149892132", "149892132")</f>
        <v/>
      </c>
      <c r="B1576" t="inlineStr">
        <is>
          <t>Men's Boxer Briefs Assorted Mens Underwear with Cotton Classic Stretch , 3-Pack by Terra</t>
        </is>
      </c>
      <c r="C1576" t="inlineStr">
        <is>
          <t>TERRABOXERSET2-S</t>
        </is>
      </c>
      <c r="D1576" t="inlineStr">
        <is>
          <t>Underpants</t>
        </is>
      </c>
      <c r="E1576" t="inlineStr">
        <is>
          <t>Terra</t>
        </is>
      </c>
      <c r="F1576" t="inlineStr">
        <is>
          <t>WFS,WFS Item</t>
        </is>
      </c>
      <c r="G1576" s="48" t="n">
        <v>0</v>
      </c>
      <c r="H1576" s="48" t="n">
        <v>0</v>
      </c>
      <c r="I1576" s="48" t="n">
        <v>0</v>
      </c>
      <c r="J1576" s="48" t="n">
        <v>0</v>
      </c>
      <c r="K1576" s="49" t="n">
        <v>0</v>
      </c>
      <c r="L1576" s="49" t="n">
        <v>0</v>
      </c>
      <c r="M1576" s="49" t="n">
        <v>0</v>
      </c>
      <c r="N1576" s="49" t="n">
        <v>0</v>
      </c>
      <c r="O1576" s="49" t="n">
        <v>0</v>
      </c>
      <c r="P1576" s="49" t="n">
        <v>0</v>
      </c>
      <c r="Q1576" s="49" t="n">
        <v>0</v>
      </c>
      <c r="R1576" s="49" t="n">
        <v>0</v>
      </c>
      <c r="S1576" s="50" t="n">
        <v>0</v>
      </c>
      <c r="T1576" s="50" t="n">
        <v>0</v>
      </c>
      <c r="U1576" s="50" t="n">
        <v>0</v>
      </c>
      <c r="V1576" s="50" t="n">
        <v>0</v>
      </c>
      <c r="W1576" s="51" t="n">
        <v>0</v>
      </c>
      <c r="X1576" s="51" t="n">
        <v>0</v>
      </c>
      <c r="Y1576" s="51" t="n">
        <v>0</v>
      </c>
      <c r="Z1576" s="51" t="n">
        <v>0</v>
      </c>
      <c r="AA1576" s="52" t="n">
        <v>0</v>
      </c>
      <c r="AB1576" s="52" t="n">
        <v>0</v>
      </c>
      <c r="AC1576" s="52" t="n">
        <v>0</v>
      </c>
      <c r="AD1576" s="52" t="n">
        <v>0</v>
      </c>
      <c r="AE1576" s="52" t="n">
        <v>0</v>
      </c>
      <c r="AF1576" s="52" t="n">
        <v>0</v>
      </c>
      <c r="AG1576" s="52" t="n">
        <v>0</v>
      </c>
      <c r="AH1576" s="52" t="n">
        <v>0</v>
      </c>
      <c r="AI1576" s="52" t="n">
        <v>0</v>
      </c>
      <c r="AJ1576" s="52" t="n">
        <v>0</v>
      </c>
      <c r="AK1576" s="52" t="n">
        <v>0</v>
      </c>
      <c r="AL1576" s="52" t="n">
        <v>0</v>
      </c>
      <c r="AM1576" s="53" t="n">
        <v>0</v>
      </c>
      <c r="AN1576" s="53" t="n">
        <v>0</v>
      </c>
      <c r="AO1576" s="53" t="n">
        <v>0</v>
      </c>
      <c r="AP1576" s="53" t="n">
        <v>0</v>
      </c>
      <c r="AQ1576" s="52" t="n">
        <v>0</v>
      </c>
      <c r="AR1576" s="52" t="n">
        <v>0</v>
      </c>
      <c r="AS1576" s="52" t="n">
        <v>0</v>
      </c>
      <c r="AT1576" s="52" t="n">
        <v>0</v>
      </c>
      <c r="AU1576" s="53" t="n">
        <v>0</v>
      </c>
      <c r="AV1576" s="53" t="n">
        <v>0</v>
      </c>
      <c r="AW1576" s="53" t="n">
        <v>0</v>
      </c>
      <c r="AX1576" s="53" t="n">
        <v>0</v>
      </c>
      <c r="AY1576" s="52" t="n">
        <v>0</v>
      </c>
      <c r="AZ1576" s="52" t="n">
        <v>0</v>
      </c>
      <c r="BA1576" s="52" t="n">
        <v>0</v>
      </c>
      <c r="BB1576" s="52" t="n">
        <v>0</v>
      </c>
      <c r="BC1576" s="51" t="n">
        <v>0</v>
      </c>
      <c r="BD1576" s="51" t="n">
        <v>0</v>
      </c>
      <c r="BE1576" s="51" t="n">
        <v>0</v>
      </c>
      <c r="BF1576" s="51" t="n">
        <v>0</v>
      </c>
    </row>
    <row r="1577">
      <c r="A1577">
        <f>HYPERLINK("https://www.walmart.com/ip/1502359239", "1502359239")</f>
        <v/>
      </c>
      <c r="B1577" t="inlineStr">
        <is>
          <t>Every Day is Christmas Glass Blown Ornaments Cute Hand Made Figurines Tree Decoration, Pineapple</t>
        </is>
      </c>
      <c r="C1577" t="inlineStr">
        <is>
          <t>EDC-FIGURINE-PINEAPPLE</t>
        </is>
      </c>
      <c r="D1577" t="inlineStr">
        <is>
          <t>Ornaments</t>
        </is>
      </c>
      <c r="E1577" t="inlineStr">
        <is>
          <t>Every Day is Christmas</t>
        </is>
      </c>
      <c r="G1577" s="48" t="n">
        <v>0</v>
      </c>
      <c r="H1577" s="48" t="n">
        <v>0</v>
      </c>
      <c r="I1577" s="48" t="n">
        <v>0</v>
      </c>
      <c r="J1577" s="48" t="n">
        <v>0</v>
      </c>
      <c r="K1577" s="49" t="n">
        <v>0</v>
      </c>
      <c r="L1577" s="49" t="n">
        <v>0</v>
      </c>
      <c r="M1577" s="49" t="n">
        <v>0</v>
      </c>
      <c r="N1577" s="49" t="n">
        <v>0</v>
      </c>
      <c r="O1577" s="49" t="n">
        <v>0</v>
      </c>
      <c r="P1577" s="49" t="n">
        <v>0</v>
      </c>
      <c r="Q1577" s="49" t="n">
        <v>0</v>
      </c>
      <c r="R1577" s="49" t="n">
        <v>0</v>
      </c>
      <c r="S1577" s="50" t="n">
        <v>0</v>
      </c>
      <c r="T1577" s="50" t="n">
        <v>0</v>
      </c>
      <c r="U1577" s="50" t="n">
        <v>0</v>
      </c>
      <c r="V1577" s="50" t="n">
        <v>0</v>
      </c>
      <c r="W1577" s="51" t="n">
        <v>0</v>
      </c>
      <c r="X1577" s="51" t="n">
        <v>0</v>
      </c>
      <c r="Y1577" s="51" t="n">
        <v>0</v>
      </c>
      <c r="Z1577" s="51" t="n">
        <v>0</v>
      </c>
      <c r="AA1577" s="52" t="n">
        <v>0</v>
      </c>
      <c r="AB1577" s="52" t="n">
        <v>0</v>
      </c>
      <c r="AC1577" s="52" t="n">
        <v>0</v>
      </c>
      <c r="AD1577" s="52" t="n">
        <v>0</v>
      </c>
      <c r="AE1577" s="52" t="n">
        <v>0</v>
      </c>
      <c r="AF1577" s="52" t="n">
        <v>0</v>
      </c>
      <c r="AG1577" s="52" t="n">
        <v>0</v>
      </c>
      <c r="AH1577" s="52" t="n">
        <v>0</v>
      </c>
      <c r="AI1577" s="52" t="n">
        <v>0</v>
      </c>
      <c r="AJ1577" s="52" t="n">
        <v>0</v>
      </c>
      <c r="AK1577" s="52" t="n">
        <v>0</v>
      </c>
      <c r="AL1577" s="52" t="n">
        <v>0</v>
      </c>
      <c r="AM1577" s="53" t="n">
        <v>0</v>
      </c>
      <c r="AN1577" s="53" t="n">
        <v>0</v>
      </c>
      <c r="AO1577" s="53" t="n">
        <v>0</v>
      </c>
      <c r="AP1577" s="53" t="n">
        <v>0</v>
      </c>
      <c r="AQ1577" s="52" t="n">
        <v>0</v>
      </c>
      <c r="AR1577" s="52" t="n">
        <v>0</v>
      </c>
      <c r="AS1577" s="52" t="n">
        <v>0</v>
      </c>
      <c r="AT1577" s="52" t="n">
        <v>0</v>
      </c>
      <c r="AU1577" s="53" t="n">
        <v>0</v>
      </c>
      <c r="AV1577" s="53" t="n">
        <v>0</v>
      </c>
      <c r="AW1577" s="53" t="n">
        <v>0</v>
      </c>
      <c r="AX1577" s="53" t="n">
        <v>0</v>
      </c>
      <c r="AY1577" s="52" t="n">
        <v>0</v>
      </c>
      <c r="AZ1577" s="52" t="n">
        <v>0</v>
      </c>
      <c r="BA1577" s="52" t="n">
        <v>0</v>
      </c>
      <c r="BB1577" s="52" t="n">
        <v>0</v>
      </c>
      <c r="BC1577" s="51" t="n">
        <v>0</v>
      </c>
      <c r="BD1577" s="51" t="n">
        <v>0</v>
      </c>
      <c r="BE1577" s="51" t="n">
        <v>0</v>
      </c>
      <c r="BF1577" s="51" t="n">
        <v>0</v>
      </c>
    </row>
    <row r="1578">
      <c r="A1578">
        <f>HYPERLINK("https://www.walmart.com/ip/150263762", "150263762")</f>
        <v/>
      </c>
      <c r="B1578" t="inlineStr">
        <is>
          <t>JenniWears® Women's Seamless Mesh Hole Pothole Tube Dress</t>
        </is>
      </c>
      <c r="C1578" t="inlineStr">
        <is>
          <t>JWBD012PP-M</t>
        </is>
      </c>
      <c r="D1578" t="inlineStr">
        <is>
          <t>Dresses</t>
        </is>
      </c>
      <c r="E1578" t="inlineStr">
        <is>
          <t>JenniWears</t>
        </is>
      </c>
      <c r="F1578" t="inlineStr">
        <is>
          <t>Optimized,Valentine</t>
        </is>
      </c>
      <c r="G1578" s="48" t="n">
        <v>0</v>
      </c>
      <c r="H1578" s="48" t="n">
        <v>0</v>
      </c>
      <c r="I1578" s="48" t="n">
        <v>0</v>
      </c>
      <c r="J1578" s="48" t="n">
        <v>0</v>
      </c>
      <c r="K1578" s="49" t="n">
        <v>0</v>
      </c>
      <c r="L1578" s="49" t="n">
        <v>0</v>
      </c>
      <c r="M1578" s="49" t="n">
        <v>0</v>
      </c>
      <c r="N1578" s="49" t="n">
        <v>0</v>
      </c>
      <c r="O1578" s="49" t="n">
        <v>0</v>
      </c>
      <c r="P1578" s="49" t="n">
        <v>0</v>
      </c>
      <c r="Q1578" s="49" t="n">
        <v>0</v>
      </c>
      <c r="R1578" s="49" t="n">
        <v>0</v>
      </c>
      <c r="S1578" s="50" t="n">
        <v>0</v>
      </c>
      <c r="T1578" s="50" t="n">
        <v>0</v>
      </c>
      <c r="U1578" s="50" t="n">
        <v>0</v>
      </c>
      <c r="V1578" s="50" t="n">
        <v>0</v>
      </c>
      <c r="W1578" s="51" t="n">
        <v>0</v>
      </c>
      <c r="X1578" s="51" t="n">
        <v>0</v>
      </c>
      <c r="Y1578" s="51" t="n">
        <v>0</v>
      </c>
      <c r="Z1578" s="51" t="n">
        <v>0</v>
      </c>
      <c r="AA1578" s="52" t="n">
        <v>0</v>
      </c>
      <c r="AB1578" s="52" t="n">
        <v>0</v>
      </c>
      <c r="AC1578" s="52" t="n">
        <v>0</v>
      </c>
      <c r="AD1578" s="52" t="n">
        <v>0</v>
      </c>
      <c r="AE1578" s="52" t="n">
        <v>0</v>
      </c>
      <c r="AF1578" s="52" t="n">
        <v>0</v>
      </c>
      <c r="AG1578" s="52" t="n">
        <v>0</v>
      </c>
      <c r="AH1578" s="52" t="n">
        <v>0</v>
      </c>
      <c r="AI1578" s="52" t="n">
        <v>0</v>
      </c>
      <c r="AJ1578" s="52" t="n">
        <v>0</v>
      </c>
      <c r="AK1578" s="52" t="n">
        <v>0</v>
      </c>
      <c r="AL1578" s="52" t="n">
        <v>0</v>
      </c>
      <c r="AM1578" s="53" t="n">
        <v>0</v>
      </c>
      <c r="AN1578" s="53" t="n">
        <v>0</v>
      </c>
      <c r="AO1578" s="53" t="n">
        <v>0</v>
      </c>
      <c r="AP1578" s="53" t="n">
        <v>0</v>
      </c>
      <c r="AQ1578" s="52" t="n">
        <v>0</v>
      </c>
      <c r="AR1578" s="52" t="n">
        <v>0</v>
      </c>
      <c r="AS1578" s="52" t="n">
        <v>0</v>
      </c>
      <c r="AT1578" s="52" t="n">
        <v>0</v>
      </c>
      <c r="AU1578" s="53" t="n">
        <v>0</v>
      </c>
      <c r="AV1578" s="53" t="n">
        <v>0</v>
      </c>
      <c r="AW1578" s="53" t="n">
        <v>0</v>
      </c>
      <c r="AX1578" s="53" t="n">
        <v>0</v>
      </c>
      <c r="AY1578" s="52" t="n">
        <v>0</v>
      </c>
      <c r="AZ1578" s="52" t="n">
        <v>0</v>
      </c>
      <c r="BA1578" s="52" t="n">
        <v>0</v>
      </c>
      <c r="BB1578" s="52" t="n">
        <v>0</v>
      </c>
      <c r="BC1578" s="51" t="n">
        <v>0</v>
      </c>
      <c r="BD1578" s="51" t="n">
        <v>0</v>
      </c>
      <c r="BE1578" s="51" t="n">
        <v>0</v>
      </c>
      <c r="BF1578" s="51" t="n">
        <v>0</v>
      </c>
    </row>
    <row r="1579">
      <c r="A1579">
        <f>HYPERLINK("https://www.walmart.com/ip/150366933", "150366933")</f>
        <v/>
      </c>
      <c r="B1579" t="inlineStr">
        <is>
          <t>Solaris Winter Cable Knit Beanie Hats with Fur Pom Pom for Women Ski Cap</t>
        </is>
      </c>
      <c r="C1579" t="inlineStr">
        <is>
          <t>1SLWH101GY</t>
        </is>
      </c>
      <c r="D1579" t="inlineStr">
        <is>
          <t>Hats</t>
        </is>
      </c>
      <c r="E1579" t="inlineStr">
        <is>
          <t>Solaris</t>
        </is>
      </c>
      <c r="F1579" t="inlineStr">
        <is>
          <t>Batch 1 - TR</t>
        </is>
      </c>
      <c r="G1579" s="48" t="n">
        <v>0</v>
      </c>
      <c r="H1579" s="48" t="n">
        <v>0</v>
      </c>
      <c r="I1579" s="48" t="n">
        <v>0</v>
      </c>
      <c r="J1579" s="48" t="n">
        <v>0</v>
      </c>
      <c r="K1579" s="49" t="n">
        <v>0</v>
      </c>
      <c r="L1579" s="49" t="n">
        <v>0</v>
      </c>
      <c r="M1579" s="49" t="n">
        <v>0</v>
      </c>
      <c r="N1579" s="49" t="n">
        <v>0</v>
      </c>
      <c r="O1579" s="49" t="n">
        <v>0</v>
      </c>
      <c r="P1579" s="49" t="n">
        <v>0</v>
      </c>
      <c r="Q1579" s="49" t="n">
        <v>0</v>
      </c>
      <c r="R1579" s="49" t="n">
        <v>0</v>
      </c>
      <c r="S1579" s="50" t="n">
        <v>0</v>
      </c>
      <c r="T1579" s="50" t="n">
        <v>0</v>
      </c>
      <c r="U1579" s="50" t="n">
        <v>0</v>
      </c>
      <c r="V1579" s="50" t="n">
        <v>0</v>
      </c>
      <c r="W1579" s="51" t="n">
        <v>0</v>
      </c>
      <c r="X1579" s="51" t="n">
        <v>0</v>
      </c>
      <c r="Y1579" s="51" t="n">
        <v>0</v>
      </c>
      <c r="Z1579" s="51" t="n">
        <v>0</v>
      </c>
      <c r="AA1579" s="52" t="n">
        <v>0</v>
      </c>
      <c r="AB1579" s="52" t="n">
        <v>0</v>
      </c>
      <c r="AC1579" s="52" t="n">
        <v>0</v>
      </c>
      <c r="AD1579" s="52" t="n">
        <v>0</v>
      </c>
      <c r="AE1579" s="52" t="n">
        <v>0</v>
      </c>
      <c r="AF1579" s="52" t="n">
        <v>0</v>
      </c>
      <c r="AG1579" s="52" t="n">
        <v>0</v>
      </c>
      <c r="AH1579" s="52" t="n">
        <v>0</v>
      </c>
      <c r="AI1579" s="52" t="n">
        <v>0</v>
      </c>
      <c r="AJ1579" s="52" t="n">
        <v>0</v>
      </c>
      <c r="AK1579" s="52" t="n">
        <v>0</v>
      </c>
      <c r="AL1579" s="52" t="n">
        <v>0</v>
      </c>
      <c r="AM1579" s="53" t="n">
        <v>0</v>
      </c>
      <c r="AN1579" s="53" t="n">
        <v>0</v>
      </c>
      <c r="AO1579" s="53" t="n">
        <v>0</v>
      </c>
      <c r="AP1579" s="53" t="n">
        <v>0</v>
      </c>
      <c r="AQ1579" s="52" t="n">
        <v>0</v>
      </c>
      <c r="AR1579" s="52" t="n">
        <v>0</v>
      </c>
      <c r="AS1579" s="52" t="n">
        <v>0</v>
      </c>
      <c r="AT1579" s="52" t="n">
        <v>0</v>
      </c>
      <c r="AU1579" s="53" t="n">
        <v>0</v>
      </c>
      <c r="AV1579" s="53" t="n">
        <v>0</v>
      </c>
      <c r="AW1579" s="53" t="n">
        <v>0</v>
      </c>
      <c r="AX1579" s="53" t="n">
        <v>0</v>
      </c>
      <c r="AY1579" s="52" t="n">
        <v>0</v>
      </c>
      <c r="AZ1579" s="52" t="n">
        <v>0</v>
      </c>
      <c r="BA1579" s="52" t="n">
        <v>0</v>
      </c>
      <c r="BB1579" s="52" t="n">
        <v>0</v>
      </c>
      <c r="BC1579" s="51" t="n">
        <v>0</v>
      </c>
      <c r="BD1579" s="51" t="n">
        <v>0</v>
      </c>
      <c r="BE1579" s="51" t="n">
        <v>0</v>
      </c>
      <c r="BF1579" s="51" t="n">
        <v>0</v>
      </c>
    </row>
    <row r="1580">
      <c r="A1580">
        <f>HYPERLINK("https://www.walmart.com/ip/150486317", "150486317")</f>
        <v/>
      </c>
      <c r="B1580" t="inlineStr">
        <is>
          <t>Catalonia Wearable Blanket with Sleeves and Pocket, Cozy Soft Fleece Micro Plush Wrap Adult Blanket Robe for Women Men, Cow Pattern Makes a Great Gift for Holidays, 73" x 51".</t>
        </is>
      </c>
      <c r="C1580" t="inlineStr">
        <is>
          <t>1CTSN100DMT</t>
        </is>
      </c>
      <c r="D1580" t="inlineStr">
        <is>
          <t>Throws</t>
        </is>
      </c>
      <c r="E1580" t="inlineStr">
        <is>
          <t>Catalonia</t>
        </is>
      </c>
      <c r="F1580" t="inlineStr">
        <is>
          <t>Q2-Target,WFS,WFS Item</t>
        </is>
      </c>
      <c r="G1580" s="48" t="n">
        <v>0</v>
      </c>
      <c r="H1580" s="48" t="n">
        <v>0</v>
      </c>
      <c r="I1580" s="48" t="n">
        <v>0</v>
      </c>
      <c r="J1580" s="48" t="n">
        <v>0</v>
      </c>
      <c r="K1580" s="49" t="n">
        <v>0</v>
      </c>
      <c r="L1580" s="49" t="n">
        <v>0</v>
      </c>
      <c r="M1580" s="49" t="n">
        <v>0</v>
      </c>
      <c r="N1580" s="49" t="n">
        <v>0</v>
      </c>
      <c r="O1580" s="49" t="n">
        <v>0</v>
      </c>
      <c r="P1580" s="49" t="n">
        <v>0</v>
      </c>
      <c r="Q1580" s="49" t="n">
        <v>0</v>
      </c>
      <c r="R1580" s="49" t="n">
        <v>0</v>
      </c>
      <c r="S1580" s="50" t="n">
        <v>0</v>
      </c>
      <c r="T1580" s="50" t="n">
        <v>0</v>
      </c>
      <c r="U1580" s="50" t="n">
        <v>0</v>
      </c>
      <c r="V1580" s="50" t="n">
        <v>0</v>
      </c>
      <c r="W1580" s="51" t="n">
        <v>1</v>
      </c>
      <c r="X1580" s="51" t="n">
        <v>0</v>
      </c>
      <c r="Y1580" s="51" t="n">
        <v>0</v>
      </c>
      <c r="Z1580" s="51" t="n">
        <v>0</v>
      </c>
      <c r="AA1580" s="52" t="n">
        <v>0.21</v>
      </c>
      <c r="AB1580" s="52" t="n">
        <v>0</v>
      </c>
      <c r="AC1580" s="52" t="n">
        <v>0</v>
      </c>
      <c r="AD1580" s="52" t="n">
        <v>0</v>
      </c>
      <c r="AE1580" s="52" t="n">
        <v>0</v>
      </c>
      <c r="AF1580" s="52" t="n">
        <v>0</v>
      </c>
      <c r="AG1580" s="52" t="n">
        <v>0</v>
      </c>
      <c r="AH1580" s="52" t="n">
        <v>0</v>
      </c>
      <c r="AI1580" s="52" t="n">
        <v>0</v>
      </c>
      <c r="AJ1580" s="52" t="n">
        <v>0</v>
      </c>
      <c r="AK1580" s="52" t="n">
        <v>0</v>
      </c>
      <c r="AL1580" s="52" t="n">
        <v>0</v>
      </c>
      <c r="AM1580" s="53" t="n">
        <v>0.0037</v>
      </c>
      <c r="AN1580" s="53" t="n">
        <v>0</v>
      </c>
      <c r="AO1580" s="53" t="n">
        <v>0</v>
      </c>
      <c r="AP1580" s="53" t="n">
        <v>0</v>
      </c>
      <c r="AQ1580" s="52" t="n">
        <v>0.21</v>
      </c>
      <c r="AR1580" s="52" t="n">
        <v>0</v>
      </c>
      <c r="AS1580" s="52" t="n">
        <v>0</v>
      </c>
      <c r="AT1580" s="52" t="n">
        <v>0</v>
      </c>
      <c r="AU1580" s="53" t="n">
        <v>0</v>
      </c>
      <c r="AV1580" s="53" t="n">
        <v>0</v>
      </c>
      <c r="AW1580" s="53" t="n">
        <v>0</v>
      </c>
      <c r="AX1580" s="53" t="n">
        <v>0</v>
      </c>
      <c r="AY1580" s="52" t="n">
        <v>0</v>
      </c>
      <c r="AZ1580" s="52" t="n">
        <v>0</v>
      </c>
      <c r="BA1580" s="52" t="n">
        <v>0</v>
      </c>
      <c r="BB1580" s="52" t="n">
        <v>0</v>
      </c>
      <c r="BC1580" s="51" t="n">
        <v>271</v>
      </c>
      <c r="BD1580" s="51" t="n">
        <v>982</v>
      </c>
      <c r="BE1580" s="51" t="n">
        <v>0</v>
      </c>
      <c r="BF1580" s="51" t="n">
        <v>0</v>
      </c>
    </row>
    <row r="1581">
      <c r="A1581">
        <f>HYPERLINK("https://www.walmart.com/ip/150616094", "150616094")</f>
        <v/>
      </c>
      <c r="B1581" t="inlineStr">
        <is>
          <t>JenniWears® Women's Seamless Mesh Hole Pothole Tube Dress</t>
        </is>
      </c>
      <c r="C1581" t="inlineStr">
        <is>
          <t>JWBD012WT-M</t>
        </is>
      </c>
      <c r="D1581" t="inlineStr">
        <is>
          <t>Dresses</t>
        </is>
      </c>
      <c r="E1581" t="inlineStr">
        <is>
          <t>JenniWears</t>
        </is>
      </c>
      <c r="F1581" t="inlineStr">
        <is>
          <t>Optimized,Valentine</t>
        </is>
      </c>
      <c r="G1581" s="48" t="n">
        <v>0</v>
      </c>
      <c r="H1581" s="48" t="n">
        <v>0</v>
      </c>
      <c r="I1581" s="48" t="n">
        <v>0</v>
      </c>
      <c r="J1581" s="48" t="n">
        <v>0</v>
      </c>
      <c r="K1581" s="49" t="n">
        <v>0</v>
      </c>
      <c r="L1581" s="49" t="n">
        <v>0</v>
      </c>
      <c r="M1581" s="49" t="n">
        <v>0</v>
      </c>
      <c r="N1581" s="49" t="n">
        <v>0</v>
      </c>
      <c r="O1581" s="49" t="n">
        <v>0</v>
      </c>
      <c r="P1581" s="49" t="n">
        <v>0</v>
      </c>
      <c r="Q1581" s="49" t="n">
        <v>0</v>
      </c>
      <c r="R1581" s="49" t="n">
        <v>0</v>
      </c>
      <c r="S1581" s="50" t="n">
        <v>0</v>
      </c>
      <c r="T1581" s="50" t="n">
        <v>0</v>
      </c>
      <c r="U1581" s="50" t="n">
        <v>0</v>
      </c>
      <c r="V1581" s="50" t="n">
        <v>0</v>
      </c>
      <c r="W1581" s="51" t="n">
        <v>0</v>
      </c>
      <c r="X1581" s="51" t="n">
        <v>0</v>
      </c>
      <c r="Y1581" s="51" t="n">
        <v>0</v>
      </c>
      <c r="Z1581" s="51" t="n">
        <v>0</v>
      </c>
      <c r="AA1581" s="52" t="n">
        <v>0</v>
      </c>
      <c r="AB1581" s="52" t="n">
        <v>0</v>
      </c>
      <c r="AC1581" s="52" t="n">
        <v>0</v>
      </c>
      <c r="AD1581" s="52" t="n">
        <v>0</v>
      </c>
      <c r="AE1581" s="52" t="n">
        <v>0</v>
      </c>
      <c r="AF1581" s="52" t="n">
        <v>0</v>
      </c>
      <c r="AG1581" s="52" t="n">
        <v>0</v>
      </c>
      <c r="AH1581" s="52" t="n">
        <v>0</v>
      </c>
      <c r="AI1581" s="52" t="n">
        <v>0</v>
      </c>
      <c r="AJ1581" s="52" t="n">
        <v>0</v>
      </c>
      <c r="AK1581" s="52" t="n">
        <v>0</v>
      </c>
      <c r="AL1581" s="52" t="n">
        <v>0</v>
      </c>
      <c r="AM1581" s="53" t="n">
        <v>0</v>
      </c>
      <c r="AN1581" s="53" t="n">
        <v>0</v>
      </c>
      <c r="AO1581" s="53" t="n">
        <v>0</v>
      </c>
      <c r="AP1581" s="53" t="n">
        <v>0</v>
      </c>
      <c r="AQ1581" s="52" t="n">
        <v>0</v>
      </c>
      <c r="AR1581" s="52" t="n">
        <v>0</v>
      </c>
      <c r="AS1581" s="52" t="n">
        <v>0</v>
      </c>
      <c r="AT1581" s="52" t="n">
        <v>0</v>
      </c>
      <c r="AU1581" s="53" t="n">
        <v>0</v>
      </c>
      <c r="AV1581" s="53" t="n">
        <v>0</v>
      </c>
      <c r="AW1581" s="53" t="n">
        <v>0</v>
      </c>
      <c r="AX1581" s="53" t="n">
        <v>0</v>
      </c>
      <c r="AY1581" s="52" t="n">
        <v>0</v>
      </c>
      <c r="AZ1581" s="52" t="n">
        <v>0</v>
      </c>
      <c r="BA1581" s="52" t="n">
        <v>0</v>
      </c>
      <c r="BB1581" s="52" t="n">
        <v>0</v>
      </c>
      <c r="BC1581" s="51" t="n">
        <v>0</v>
      </c>
      <c r="BD1581" s="51" t="n">
        <v>0</v>
      </c>
      <c r="BE1581" s="51" t="n">
        <v>0</v>
      </c>
      <c r="BF1581" s="51" t="n">
        <v>0</v>
      </c>
    </row>
    <row r="1582">
      <c r="A1582">
        <f>HYPERLINK("https://www.walmart.com/ip/1506505566", "1506505566")</f>
        <v/>
      </c>
      <c r="B1582" t="inlineStr">
        <is>
          <t>Catalonia Sherpa Fleece Blanket for Bed, Super Soft  Plush Sofa Couch Throw Blanket, TV Bed Blanket, Comfy Cozy Fluffy Warm Comforter, Red Plaid, 60'' x 80''</t>
        </is>
      </c>
      <c r="C1582" t="inlineStr">
        <is>
          <t>1CTBF368PRD</t>
        </is>
      </c>
      <c r="D1582" t="inlineStr">
        <is>
          <t>Throws</t>
        </is>
      </c>
      <c r="E1582" t="inlineStr">
        <is>
          <t>Catalonia</t>
        </is>
      </c>
      <c r="F1582" t="inlineStr">
        <is>
          <t>Fleece Blankets,Batch 1 - TR</t>
        </is>
      </c>
      <c r="G1582" s="48" t="n">
        <v>0</v>
      </c>
      <c r="H1582" s="48" t="n">
        <v>0</v>
      </c>
      <c r="I1582" s="48" t="n">
        <v>0</v>
      </c>
      <c r="J1582" s="48" t="n">
        <v>0</v>
      </c>
      <c r="K1582" s="49" t="n">
        <v>0</v>
      </c>
      <c r="L1582" s="49" t="n">
        <v>0</v>
      </c>
      <c r="M1582" s="49" t="n">
        <v>0</v>
      </c>
      <c r="N1582" s="49" t="n">
        <v>0</v>
      </c>
      <c r="O1582" s="49" t="n">
        <v>0</v>
      </c>
      <c r="P1582" s="49" t="n">
        <v>0</v>
      </c>
      <c r="Q1582" s="49" t="n">
        <v>0</v>
      </c>
      <c r="R1582" s="49" t="n">
        <v>0</v>
      </c>
      <c r="S1582" s="50" t="n">
        <v>0</v>
      </c>
      <c r="T1582" s="50" t="n">
        <v>0</v>
      </c>
      <c r="U1582" s="50" t="n">
        <v>0</v>
      </c>
      <c r="V1582" s="50" t="n">
        <v>0</v>
      </c>
      <c r="W1582" s="51" t="n">
        <v>0</v>
      </c>
      <c r="X1582" s="51" t="n">
        <v>0</v>
      </c>
      <c r="Y1582" s="51" t="n">
        <v>0</v>
      </c>
      <c r="Z1582" s="51" t="n">
        <v>0</v>
      </c>
      <c r="AA1582" s="52" t="n">
        <v>0</v>
      </c>
      <c r="AB1582" s="52" t="n">
        <v>0</v>
      </c>
      <c r="AC1582" s="52" t="n">
        <v>0</v>
      </c>
      <c r="AD1582" s="52" t="n">
        <v>0</v>
      </c>
      <c r="AE1582" s="52" t="n">
        <v>0</v>
      </c>
      <c r="AF1582" s="52" t="n">
        <v>0</v>
      </c>
      <c r="AG1582" s="52" t="n">
        <v>0</v>
      </c>
      <c r="AH1582" s="52" t="n">
        <v>0</v>
      </c>
      <c r="AI1582" s="52" t="n">
        <v>0</v>
      </c>
      <c r="AJ1582" s="52" t="n">
        <v>0</v>
      </c>
      <c r="AK1582" s="52" t="n">
        <v>0</v>
      </c>
      <c r="AL1582" s="52" t="n">
        <v>0</v>
      </c>
      <c r="AM1582" s="53" t="n">
        <v>0</v>
      </c>
      <c r="AN1582" s="53" t="n">
        <v>0</v>
      </c>
      <c r="AO1582" s="53" t="n">
        <v>0</v>
      </c>
      <c r="AP1582" s="53" t="n">
        <v>0</v>
      </c>
      <c r="AQ1582" s="52" t="n">
        <v>0</v>
      </c>
      <c r="AR1582" s="52" t="n">
        <v>0</v>
      </c>
      <c r="AS1582" s="52" t="n">
        <v>0</v>
      </c>
      <c r="AT1582" s="52" t="n">
        <v>0</v>
      </c>
      <c r="AU1582" s="53" t="n">
        <v>0</v>
      </c>
      <c r="AV1582" s="53" t="n">
        <v>0</v>
      </c>
      <c r="AW1582" s="53" t="n">
        <v>0</v>
      </c>
      <c r="AX1582" s="53" t="n">
        <v>0</v>
      </c>
      <c r="AY1582" s="52" t="n">
        <v>0</v>
      </c>
      <c r="AZ1582" s="52" t="n">
        <v>0</v>
      </c>
      <c r="BA1582" s="52" t="n">
        <v>0</v>
      </c>
      <c r="BB1582" s="52" t="n">
        <v>0</v>
      </c>
      <c r="BC1582" s="51" t="n">
        <v>0</v>
      </c>
      <c r="BD1582" s="51" t="n">
        <v>0</v>
      </c>
      <c r="BE1582" s="51" t="n">
        <v>0</v>
      </c>
      <c r="BF1582" s="51" t="n">
        <v>0</v>
      </c>
    </row>
    <row r="1583">
      <c r="A1583">
        <f>HYPERLINK("https://www.walmart.com/ip/150658449", "150658449")</f>
        <v/>
      </c>
      <c r="B1583" t="inlineStr">
        <is>
          <t>KC Caps® Unisex Cotton Baseball Cap Adjustable Plain Hat (21 Styles/Colors)</t>
        </is>
      </c>
      <c r="C1583" t="inlineStr">
        <is>
          <t>KC8010PP</t>
        </is>
      </c>
      <c r="D1583" t="inlineStr">
        <is>
          <t>Hats</t>
        </is>
      </c>
      <c r="E1583" t="inlineStr">
        <is>
          <t>KC Caps</t>
        </is>
      </c>
      <c r="F1583" t="inlineStr">
        <is>
          <t>Optimized</t>
        </is>
      </c>
      <c r="G1583" s="48" t="n">
        <v>0</v>
      </c>
      <c r="H1583" s="48" t="n">
        <v>0</v>
      </c>
      <c r="I1583" s="48" t="n">
        <v>0</v>
      </c>
      <c r="J1583" s="48" t="n">
        <v>0</v>
      </c>
      <c r="K1583" s="49" t="n">
        <v>0</v>
      </c>
      <c r="L1583" s="49" t="n">
        <v>0</v>
      </c>
      <c r="M1583" s="49" t="n">
        <v>0</v>
      </c>
      <c r="N1583" s="49" t="n">
        <v>0</v>
      </c>
      <c r="O1583" s="49" t="n">
        <v>0</v>
      </c>
      <c r="P1583" s="49" t="n">
        <v>0</v>
      </c>
      <c r="Q1583" s="49" t="n">
        <v>0</v>
      </c>
      <c r="R1583" s="49" t="n">
        <v>0</v>
      </c>
      <c r="S1583" s="50" t="n">
        <v>0</v>
      </c>
      <c r="T1583" s="50" t="n">
        <v>0</v>
      </c>
      <c r="U1583" s="50" t="n">
        <v>0</v>
      </c>
      <c r="V1583" s="50" t="n">
        <v>0</v>
      </c>
      <c r="W1583" s="51" t="n">
        <v>0</v>
      </c>
      <c r="X1583" s="51" t="n">
        <v>0</v>
      </c>
      <c r="Y1583" s="51" t="n">
        <v>0</v>
      </c>
      <c r="Z1583" s="51" t="n">
        <v>0</v>
      </c>
      <c r="AA1583" s="52" t="n">
        <v>0</v>
      </c>
      <c r="AB1583" s="52" t="n">
        <v>0</v>
      </c>
      <c r="AC1583" s="52" t="n">
        <v>0</v>
      </c>
      <c r="AD1583" s="52" t="n">
        <v>0</v>
      </c>
      <c r="AE1583" s="52" t="n">
        <v>0</v>
      </c>
      <c r="AF1583" s="52" t="n">
        <v>0</v>
      </c>
      <c r="AG1583" s="52" t="n">
        <v>0</v>
      </c>
      <c r="AH1583" s="52" t="n">
        <v>0</v>
      </c>
      <c r="AI1583" s="52" t="n">
        <v>0</v>
      </c>
      <c r="AJ1583" s="52" t="n">
        <v>0</v>
      </c>
      <c r="AK1583" s="52" t="n">
        <v>0</v>
      </c>
      <c r="AL1583" s="52" t="n">
        <v>0</v>
      </c>
      <c r="AM1583" s="53" t="n">
        <v>0</v>
      </c>
      <c r="AN1583" s="53" t="n">
        <v>0</v>
      </c>
      <c r="AO1583" s="53" t="n">
        <v>0</v>
      </c>
      <c r="AP1583" s="53" t="n">
        <v>0</v>
      </c>
      <c r="AQ1583" s="52" t="n">
        <v>0</v>
      </c>
      <c r="AR1583" s="52" t="n">
        <v>0</v>
      </c>
      <c r="AS1583" s="52" t="n">
        <v>0</v>
      </c>
      <c r="AT1583" s="52" t="n">
        <v>0</v>
      </c>
      <c r="AU1583" s="53" t="n">
        <v>0</v>
      </c>
      <c r="AV1583" s="53" t="n">
        <v>0</v>
      </c>
      <c r="AW1583" s="53" t="n">
        <v>0</v>
      </c>
      <c r="AX1583" s="53" t="n">
        <v>0</v>
      </c>
      <c r="AY1583" s="52" t="n">
        <v>0</v>
      </c>
      <c r="AZ1583" s="52" t="n">
        <v>0</v>
      </c>
      <c r="BA1583" s="52" t="n">
        <v>0</v>
      </c>
      <c r="BB1583" s="52" t="n">
        <v>0</v>
      </c>
      <c r="BC1583" s="51" t="n">
        <v>0</v>
      </c>
      <c r="BD1583" s="51" t="n">
        <v>0</v>
      </c>
      <c r="BE1583" s="51" t="n">
        <v>0</v>
      </c>
      <c r="BF1583" s="51" t="n">
        <v>0</v>
      </c>
    </row>
    <row r="1584">
      <c r="A1584">
        <f>HYPERLINK("https://www.walmart.com/ip/1508580006", "1508580006")</f>
        <v/>
      </c>
      <c r="B1584" t="inlineStr">
        <is>
          <t>Sun Visor Sports Cotton Twill Plain Hat with Adjustable Strap for Men Women Outdoor Golf Tennis Running Jogging Hiking</t>
        </is>
      </c>
      <c r="C1584" t="inlineStr">
        <is>
          <t>1SLVS4130RD - 12pcs</t>
        </is>
      </c>
      <c r="D1584" t="inlineStr">
        <is>
          <t>Tennis Visors</t>
        </is>
      </c>
      <c r="E1584" t="inlineStr">
        <is>
          <t>Solaris</t>
        </is>
      </c>
      <c r="G1584" s="48" t="n">
        <v>0</v>
      </c>
      <c r="H1584" s="48" t="n">
        <v>0</v>
      </c>
      <c r="I1584" s="48" t="n">
        <v>0</v>
      </c>
      <c r="J1584" s="48" t="n">
        <v>0</v>
      </c>
      <c r="K1584" s="49" t="n">
        <v>0</v>
      </c>
      <c r="L1584" s="49" t="n">
        <v>0</v>
      </c>
      <c r="M1584" s="49" t="n">
        <v>0</v>
      </c>
      <c r="N1584" s="49" t="n">
        <v>0</v>
      </c>
      <c r="O1584" s="49" t="n">
        <v>0</v>
      </c>
      <c r="P1584" s="49" t="n">
        <v>0</v>
      </c>
      <c r="Q1584" s="49" t="n">
        <v>0</v>
      </c>
      <c r="R1584" s="49" t="n">
        <v>0</v>
      </c>
      <c r="S1584" s="50" t="n">
        <v>0</v>
      </c>
      <c r="T1584" s="50" t="n">
        <v>0</v>
      </c>
      <c r="U1584" s="50" t="n">
        <v>0</v>
      </c>
      <c r="V1584" s="50" t="n">
        <v>0</v>
      </c>
      <c r="W1584" s="51" t="n">
        <v>0</v>
      </c>
      <c r="X1584" s="51" t="n">
        <v>0</v>
      </c>
      <c r="Y1584" s="51" t="n">
        <v>0</v>
      </c>
      <c r="Z1584" s="51" t="n">
        <v>0</v>
      </c>
      <c r="AA1584" s="52" t="n">
        <v>0</v>
      </c>
      <c r="AB1584" s="52" t="n">
        <v>0</v>
      </c>
      <c r="AC1584" s="52" t="n">
        <v>0</v>
      </c>
      <c r="AD1584" s="52" t="n">
        <v>0</v>
      </c>
      <c r="AE1584" s="52" t="n">
        <v>0</v>
      </c>
      <c r="AF1584" s="52" t="n">
        <v>0</v>
      </c>
      <c r="AG1584" s="52" t="n">
        <v>0</v>
      </c>
      <c r="AH1584" s="52" t="n">
        <v>0</v>
      </c>
      <c r="AI1584" s="52" t="n">
        <v>0</v>
      </c>
      <c r="AJ1584" s="52" t="n">
        <v>0</v>
      </c>
      <c r="AK1584" s="52" t="n">
        <v>0</v>
      </c>
      <c r="AL1584" s="52" t="n">
        <v>0</v>
      </c>
      <c r="AM1584" s="53" t="n">
        <v>0</v>
      </c>
      <c r="AN1584" s="53" t="n">
        <v>0</v>
      </c>
      <c r="AO1584" s="53" t="n">
        <v>0</v>
      </c>
      <c r="AP1584" s="53" t="n">
        <v>0</v>
      </c>
      <c r="AQ1584" s="52" t="n">
        <v>0</v>
      </c>
      <c r="AR1584" s="52" t="n">
        <v>0</v>
      </c>
      <c r="AS1584" s="52" t="n">
        <v>0</v>
      </c>
      <c r="AT1584" s="52" t="n">
        <v>0</v>
      </c>
      <c r="AU1584" s="53" t="n">
        <v>0</v>
      </c>
      <c r="AV1584" s="53" t="n">
        <v>0</v>
      </c>
      <c r="AW1584" s="53" t="n">
        <v>0</v>
      </c>
      <c r="AX1584" s="53" t="n">
        <v>0</v>
      </c>
      <c r="AY1584" s="52" t="n">
        <v>0</v>
      </c>
      <c r="AZ1584" s="52" t="n">
        <v>0</v>
      </c>
      <c r="BA1584" s="52" t="n">
        <v>0</v>
      </c>
      <c r="BB1584" s="52" t="n">
        <v>0</v>
      </c>
      <c r="BC1584" s="51" t="n">
        <v>0</v>
      </c>
      <c r="BD1584" s="51" t="n">
        <v>0</v>
      </c>
      <c r="BE1584" s="51" t="n">
        <v>0</v>
      </c>
      <c r="BF1584" s="51" t="n">
        <v>0</v>
      </c>
    </row>
    <row r="1585">
      <c r="A1585">
        <f>HYPERLINK("https://www.walmart.com/ip/1512227422", "1512227422")</f>
        <v/>
      </c>
      <c r="B1585" t="inlineStr">
        <is>
          <t>Sun Visor Sports Cotton Twill Plain Hat with Adjustable Strap for Men Women Outdoor Golf Tennis Running Jogging Hiking</t>
        </is>
      </c>
      <c r="C1585" t="inlineStr">
        <is>
          <t>1SLVS4130DKGN</t>
        </is>
      </c>
      <c r="D1585" t="inlineStr">
        <is>
          <t>Tennis Visors</t>
        </is>
      </c>
      <c r="E1585" t="inlineStr">
        <is>
          <t>Solaris</t>
        </is>
      </c>
      <c r="G1585" s="48" t="n">
        <v>0</v>
      </c>
      <c r="H1585" s="48" t="n">
        <v>0</v>
      </c>
      <c r="I1585" s="48" t="n">
        <v>0</v>
      </c>
      <c r="J1585" s="48" t="n">
        <v>0</v>
      </c>
      <c r="K1585" s="49" t="n">
        <v>0</v>
      </c>
      <c r="L1585" s="49" t="n">
        <v>0</v>
      </c>
      <c r="M1585" s="49" t="n">
        <v>0</v>
      </c>
      <c r="N1585" s="49" t="n">
        <v>0</v>
      </c>
      <c r="O1585" s="49" t="n">
        <v>0</v>
      </c>
      <c r="P1585" s="49" t="n">
        <v>0</v>
      </c>
      <c r="Q1585" s="49" t="n">
        <v>0</v>
      </c>
      <c r="R1585" s="49" t="n">
        <v>0</v>
      </c>
      <c r="S1585" s="50" t="n">
        <v>0</v>
      </c>
      <c r="T1585" s="50" t="n">
        <v>0</v>
      </c>
      <c r="U1585" s="50" t="n">
        <v>0</v>
      </c>
      <c r="V1585" s="50" t="n">
        <v>0</v>
      </c>
      <c r="W1585" s="51" t="n">
        <v>0</v>
      </c>
      <c r="X1585" s="51" t="n">
        <v>0</v>
      </c>
      <c r="Y1585" s="51" t="n">
        <v>0</v>
      </c>
      <c r="Z1585" s="51" t="n">
        <v>0</v>
      </c>
      <c r="AA1585" s="52" t="n">
        <v>0</v>
      </c>
      <c r="AB1585" s="52" t="n">
        <v>0</v>
      </c>
      <c r="AC1585" s="52" t="n">
        <v>0</v>
      </c>
      <c r="AD1585" s="52" t="n">
        <v>0</v>
      </c>
      <c r="AE1585" s="52" t="n">
        <v>0</v>
      </c>
      <c r="AF1585" s="52" t="n">
        <v>0</v>
      </c>
      <c r="AG1585" s="52" t="n">
        <v>0</v>
      </c>
      <c r="AH1585" s="52" t="n">
        <v>0</v>
      </c>
      <c r="AI1585" s="52" t="n">
        <v>0</v>
      </c>
      <c r="AJ1585" s="52" t="n">
        <v>0</v>
      </c>
      <c r="AK1585" s="52" t="n">
        <v>0</v>
      </c>
      <c r="AL1585" s="52" t="n">
        <v>0</v>
      </c>
      <c r="AM1585" s="53" t="n">
        <v>0</v>
      </c>
      <c r="AN1585" s="53" t="n">
        <v>0</v>
      </c>
      <c r="AO1585" s="53" t="n">
        <v>0</v>
      </c>
      <c r="AP1585" s="53" t="n">
        <v>0</v>
      </c>
      <c r="AQ1585" s="52" t="n">
        <v>0</v>
      </c>
      <c r="AR1585" s="52" t="n">
        <v>0</v>
      </c>
      <c r="AS1585" s="52" t="n">
        <v>0</v>
      </c>
      <c r="AT1585" s="52" t="n">
        <v>0</v>
      </c>
      <c r="AU1585" s="53" t="n">
        <v>0</v>
      </c>
      <c r="AV1585" s="53" t="n">
        <v>0</v>
      </c>
      <c r="AW1585" s="53" t="n">
        <v>0</v>
      </c>
      <c r="AX1585" s="53" t="n">
        <v>0</v>
      </c>
      <c r="AY1585" s="52" t="n">
        <v>0</v>
      </c>
      <c r="AZ1585" s="52" t="n">
        <v>0</v>
      </c>
      <c r="BA1585" s="52" t="n">
        <v>0</v>
      </c>
      <c r="BB1585" s="52" t="n">
        <v>0</v>
      </c>
      <c r="BC1585" s="51" t="n">
        <v>0</v>
      </c>
      <c r="BD1585" s="51" t="n">
        <v>0</v>
      </c>
      <c r="BE1585" s="51" t="n">
        <v>0</v>
      </c>
      <c r="BF1585" s="51" t="n">
        <v>0</v>
      </c>
    </row>
    <row r="1586">
      <c r="A1586">
        <f>HYPERLINK("https://www.walmart.com/ip/151458400", "151458400")</f>
        <v/>
      </c>
      <c r="B1586" t="inlineStr">
        <is>
          <t>Tirrinia Reversible Sherpa Chevron Throw Blanket, 50" x 60", Blue</t>
        </is>
      </c>
      <c r="C1586" t="inlineStr">
        <is>
          <t>1TRBF320BL-TBCB</t>
        </is>
      </c>
      <c r="D1586" t="inlineStr">
        <is>
          <t>Throws</t>
        </is>
      </c>
      <c r="E1586" t="inlineStr">
        <is>
          <t>Tirrinia</t>
        </is>
      </c>
      <c r="F1586" t="inlineStr">
        <is>
          <t>Batch 1 - TR</t>
        </is>
      </c>
      <c r="G1586" s="48" t="n">
        <v>0</v>
      </c>
      <c r="H1586" s="48" t="n">
        <v>0</v>
      </c>
      <c r="I1586" s="48" t="n">
        <v>0</v>
      </c>
      <c r="J1586" s="48" t="n">
        <v>0</v>
      </c>
      <c r="K1586" s="49" t="n">
        <v>0</v>
      </c>
      <c r="L1586" s="49" t="n">
        <v>0</v>
      </c>
      <c r="M1586" s="49" t="n">
        <v>0</v>
      </c>
      <c r="N1586" s="49" t="n">
        <v>0</v>
      </c>
      <c r="O1586" s="49" t="n">
        <v>0</v>
      </c>
      <c r="P1586" s="49" t="n">
        <v>0</v>
      </c>
      <c r="Q1586" s="49" t="n">
        <v>0</v>
      </c>
      <c r="R1586" s="49" t="n">
        <v>0</v>
      </c>
      <c r="S1586" s="50" t="n">
        <v>0</v>
      </c>
      <c r="T1586" s="50" t="n">
        <v>0</v>
      </c>
      <c r="U1586" s="50" t="n">
        <v>0</v>
      </c>
      <c r="V1586" s="50" t="n">
        <v>0</v>
      </c>
      <c r="W1586" s="51" t="n">
        <v>0</v>
      </c>
      <c r="X1586" s="51" t="n">
        <v>0</v>
      </c>
      <c r="Y1586" s="51" t="n">
        <v>0</v>
      </c>
      <c r="Z1586" s="51" t="n">
        <v>0</v>
      </c>
      <c r="AA1586" s="52" t="n">
        <v>0</v>
      </c>
      <c r="AB1586" s="52" t="n">
        <v>0</v>
      </c>
      <c r="AC1586" s="52" t="n">
        <v>0</v>
      </c>
      <c r="AD1586" s="52" t="n">
        <v>0</v>
      </c>
      <c r="AE1586" s="52" t="n">
        <v>0</v>
      </c>
      <c r="AF1586" s="52" t="n">
        <v>0</v>
      </c>
      <c r="AG1586" s="52" t="n">
        <v>0</v>
      </c>
      <c r="AH1586" s="52" t="n">
        <v>0</v>
      </c>
      <c r="AI1586" s="52" t="n">
        <v>0</v>
      </c>
      <c r="AJ1586" s="52" t="n">
        <v>0</v>
      </c>
      <c r="AK1586" s="52" t="n">
        <v>0</v>
      </c>
      <c r="AL1586" s="52" t="n">
        <v>0</v>
      </c>
      <c r="AM1586" s="53" t="n">
        <v>0</v>
      </c>
      <c r="AN1586" s="53" t="n">
        <v>0</v>
      </c>
      <c r="AO1586" s="53" t="n">
        <v>0</v>
      </c>
      <c r="AP1586" s="53" t="n">
        <v>0</v>
      </c>
      <c r="AQ1586" s="52" t="n">
        <v>0</v>
      </c>
      <c r="AR1586" s="52" t="n">
        <v>0</v>
      </c>
      <c r="AS1586" s="52" t="n">
        <v>0</v>
      </c>
      <c r="AT1586" s="52" t="n">
        <v>0</v>
      </c>
      <c r="AU1586" s="53" t="n">
        <v>0</v>
      </c>
      <c r="AV1586" s="53" t="n">
        <v>0</v>
      </c>
      <c r="AW1586" s="53" t="n">
        <v>0</v>
      </c>
      <c r="AX1586" s="53" t="n">
        <v>0</v>
      </c>
      <c r="AY1586" s="52" t="n">
        <v>0</v>
      </c>
      <c r="AZ1586" s="52" t="n">
        <v>0</v>
      </c>
      <c r="BA1586" s="52" t="n">
        <v>0</v>
      </c>
      <c r="BB1586" s="52" t="n">
        <v>0</v>
      </c>
      <c r="BC1586" s="51" t="n">
        <v>0</v>
      </c>
      <c r="BD1586" s="51" t="n">
        <v>0</v>
      </c>
      <c r="BE1586" s="51" t="n">
        <v>0</v>
      </c>
      <c r="BF1586" s="51" t="n">
        <v>0</v>
      </c>
    </row>
    <row r="1587">
      <c r="A1587">
        <f>HYPERLINK("https://www.walmart.com/ip/15169814317", "15169814317")</f>
        <v/>
      </c>
      <c r="B1587" t="inlineStr">
        <is>
          <t>Catalonia Kids Mermaid Tail Blanket,Super Soft Plush Flannel Sleeping Snuggle Blanket for Girls,Rainbow Ombre,Fish Scale Pattern,Gift Idea</t>
        </is>
      </c>
      <c r="C1587" t="inlineStr">
        <is>
          <t>1CTMM510STARLIGHT</t>
        </is>
      </c>
      <c r="D1587" t="inlineStr">
        <is>
          <t>Throws</t>
        </is>
      </c>
      <c r="E1587" t="inlineStr">
        <is>
          <t>Catalonia</t>
        </is>
      </c>
      <c r="G1587" s="48" t="n">
        <v>0</v>
      </c>
      <c r="H1587" s="48" t="n">
        <v>0</v>
      </c>
      <c r="I1587" s="48" t="n">
        <v>0</v>
      </c>
      <c r="J1587" s="48" t="n">
        <v>0</v>
      </c>
      <c r="K1587" s="49" t="n">
        <v>0</v>
      </c>
      <c r="L1587" s="49" t="n">
        <v>0</v>
      </c>
      <c r="M1587" s="49" t="n">
        <v>0</v>
      </c>
      <c r="N1587" s="49" t="n">
        <v>0</v>
      </c>
      <c r="O1587" s="49" t="n">
        <v>0</v>
      </c>
      <c r="P1587" s="49" t="n">
        <v>0</v>
      </c>
      <c r="Q1587" s="49" t="n">
        <v>0</v>
      </c>
      <c r="R1587" s="49" t="n">
        <v>0</v>
      </c>
      <c r="S1587" s="50" t="n">
        <v>0</v>
      </c>
      <c r="T1587" s="50" t="n">
        <v>0</v>
      </c>
      <c r="U1587" s="50" t="n">
        <v>0</v>
      </c>
      <c r="V1587" s="50" t="n">
        <v>0</v>
      </c>
      <c r="W1587" s="51" t="n">
        <v>0</v>
      </c>
      <c r="X1587" s="51" t="n">
        <v>0</v>
      </c>
      <c r="Y1587" s="51" t="n">
        <v>0</v>
      </c>
      <c r="Z1587" s="51" t="n">
        <v>0</v>
      </c>
      <c r="AA1587" s="52" t="n">
        <v>0</v>
      </c>
      <c r="AB1587" s="52" t="n">
        <v>0</v>
      </c>
      <c r="AC1587" s="52" t="n">
        <v>0</v>
      </c>
      <c r="AD1587" s="52" t="n">
        <v>0</v>
      </c>
      <c r="AE1587" s="52" t="n">
        <v>0</v>
      </c>
      <c r="AF1587" s="52" t="n">
        <v>0</v>
      </c>
      <c r="AG1587" s="52" t="n">
        <v>0</v>
      </c>
      <c r="AH1587" s="52" t="n">
        <v>0</v>
      </c>
      <c r="AI1587" s="52" t="n">
        <v>0</v>
      </c>
      <c r="AJ1587" s="52" t="n">
        <v>0</v>
      </c>
      <c r="AK1587" s="52" t="n">
        <v>0</v>
      </c>
      <c r="AL1587" s="52" t="n">
        <v>0</v>
      </c>
      <c r="AM1587" s="53" t="n">
        <v>0</v>
      </c>
      <c r="AN1587" s="53" t="n">
        <v>0</v>
      </c>
      <c r="AO1587" s="53" t="n">
        <v>0</v>
      </c>
      <c r="AP1587" s="53" t="n">
        <v>0</v>
      </c>
      <c r="AQ1587" s="52" t="n">
        <v>0</v>
      </c>
      <c r="AR1587" s="52" t="n">
        <v>0</v>
      </c>
      <c r="AS1587" s="52" t="n">
        <v>0</v>
      </c>
      <c r="AT1587" s="52" t="n">
        <v>0</v>
      </c>
      <c r="AU1587" s="53" t="n">
        <v>0</v>
      </c>
      <c r="AV1587" s="53" t="n">
        <v>0</v>
      </c>
      <c r="AW1587" s="53" t="n">
        <v>0</v>
      </c>
      <c r="AX1587" s="53" t="n">
        <v>0</v>
      </c>
      <c r="AY1587" s="52" t="n">
        <v>0</v>
      </c>
      <c r="AZ1587" s="52" t="n">
        <v>0</v>
      </c>
      <c r="BA1587" s="52" t="n">
        <v>0</v>
      </c>
      <c r="BB1587" s="52" t="n">
        <v>0</v>
      </c>
      <c r="BC1587" s="51" t="n">
        <v>0</v>
      </c>
      <c r="BD1587" s="51" t="n">
        <v>0</v>
      </c>
      <c r="BE1587" s="51" t="n">
        <v>0</v>
      </c>
      <c r="BF1587" s="51" t="n">
        <v>0</v>
      </c>
    </row>
    <row r="1588">
      <c r="A1588">
        <f>HYPERLINK("https://www.walmart.com/ip/1517667797", "1517667797")</f>
        <v/>
      </c>
      <c r="B1588" t="inlineStr">
        <is>
          <t>Every Day is Christmas Glass Blown Ornaments 2021 Cute Hand Made Figurines Tree Decoration, Motorcyle Santa</t>
        </is>
      </c>
      <c r="C1588" t="inlineStr">
        <is>
          <t>EDC-FIGURINE-MOTORSANTA</t>
        </is>
      </c>
      <c r="D1588" t="inlineStr">
        <is>
          <t>Ornaments</t>
        </is>
      </c>
      <c r="E1588" t="inlineStr">
        <is>
          <t>Every Day is Christmas</t>
        </is>
      </c>
      <c r="G1588" s="48" t="n">
        <v>0</v>
      </c>
      <c r="H1588" s="48" t="n">
        <v>0</v>
      </c>
      <c r="I1588" s="48" t="n">
        <v>0</v>
      </c>
      <c r="J1588" s="48" t="n">
        <v>0</v>
      </c>
      <c r="K1588" s="49" t="n">
        <v>0</v>
      </c>
      <c r="L1588" s="49" t="n">
        <v>0</v>
      </c>
      <c r="M1588" s="49" t="n">
        <v>0</v>
      </c>
      <c r="N1588" s="49" t="n">
        <v>0</v>
      </c>
      <c r="O1588" s="49" t="n">
        <v>0</v>
      </c>
      <c r="P1588" s="49" t="n">
        <v>0</v>
      </c>
      <c r="Q1588" s="49" t="n">
        <v>0</v>
      </c>
      <c r="R1588" s="49" t="n">
        <v>0</v>
      </c>
      <c r="S1588" s="50" t="n">
        <v>0</v>
      </c>
      <c r="T1588" s="50" t="n">
        <v>0</v>
      </c>
      <c r="U1588" s="50" t="n">
        <v>0</v>
      </c>
      <c r="V1588" s="50" t="n">
        <v>0</v>
      </c>
      <c r="W1588" s="51" t="n">
        <v>0</v>
      </c>
      <c r="X1588" s="51" t="n">
        <v>0</v>
      </c>
      <c r="Y1588" s="51" t="n">
        <v>0</v>
      </c>
      <c r="Z1588" s="51" t="n">
        <v>0</v>
      </c>
      <c r="AA1588" s="52" t="n">
        <v>0</v>
      </c>
      <c r="AB1588" s="52" t="n">
        <v>0</v>
      </c>
      <c r="AC1588" s="52" t="n">
        <v>0</v>
      </c>
      <c r="AD1588" s="52" t="n">
        <v>0</v>
      </c>
      <c r="AE1588" s="52" t="n">
        <v>0</v>
      </c>
      <c r="AF1588" s="52" t="n">
        <v>0</v>
      </c>
      <c r="AG1588" s="52" t="n">
        <v>0</v>
      </c>
      <c r="AH1588" s="52" t="n">
        <v>0</v>
      </c>
      <c r="AI1588" s="52" t="n">
        <v>0</v>
      </c>
      <c r="AJ1588" s="52" t="n">
        <v>0</v>
      </c>
      <c r="AK1588" s="52" t="n">
        <v>0</v>
      </c>
      <c r="AL1588" s="52" t="n">
        <v>0</v>
      </c>
      <c r="AM1588" s="53" t="n">
        <v>0</v>
      </c>
      <c r="AN1588" s="53" t="n">
        <v>0</v>
      </c>
      <c r="AO1588" s="53" t="n">
        <v>0</v>
      </c>
      <c r="AP1588" s="53" t="n">
        <v>0</v>
      </c>
      <c r="AQ1588" s="52" t="n">
        <v>0</v>
      </c>
      <c r="AR1588" s="52" t="n">
        <v>0</v>
      </c>
      <c r="AS1588" s="52" t="n">
        <v>0</v>
      </c>
      <c r="AT1588" s="52" t="n">
        <v>0</v>
      </c>
      <c r="AU1588" s="53" t="n">
        <v>0</v>
      </c>
      <c r="AV1588" s="53" t="n">
        <v>0</v>
      </c>
      <c r="AW1588" s="53" t="n">
        <v>0</v>
      </c>
      <c r="AX1588" s="53" t="n">
        <v>0</v>
      </c>
      <c r="AY1588" s="52" t="n">
        <v>0</v>
      </c>
      <c r="AZ1588" s="52" t="n">
        <v>0</v>
      </c>
      <c r="BA1588" s="52" t="n">
        <v>0</v>
      </c>
      <c r="BB1588" s="52" t="n">
        <v>0</v>
      </c>
      <c r="BC1588" s="51" t="n">
        <v>0</v>
      </c>
      <c r="BD1588" s="51" t="n">
        <v>0</v>
      </c>
      <c r="BE1588" s="51" t="n">
        <v>0</v>
      </c>
      <c r="BF1588" s="51" t="n">
        <v>0</v>
      </c>
    </row>
    <row r="1589">
      <c r="A1589">
        <f>HYPERLINK("https://www.walmart.com/ip/1495047112", "1495047112")</f>
        <v/>
      </c>
      <c r="B1589" t="inlineStr">
        <is>
          <t>Tirrinia Insulated Lunch Bag for Women Men, Leakproof Thermal Reusable Lunch Box for Adult &amp; Kids by Tirrinia, Lunch Cooler Tote for Office Work, Space Pattern</t>
        </is>
      </c>
      <c r="C1589" t="inlineStr">
        <is>
          <t>1TRLB701SPACE-N</t>
        </is>
      </c>
      <c r="D1589" t="inlineStr">
        <is>
          <t>Reusable Lunch Bags &amp; Boxes</t>
        </is>
      </c>
      <c r="E1589" t="inlineStr">
        <is>
          <t>Tirrinia</t>
        </is>
      </c>
      <c r="F1589" t="inlineStr">
        <is>
          <t>Q2-Target,Brand Camp VD,Batch 1 - TR</t>
        </is>
      </c>
      <c r="G1589" s="48" t="n">
        <v>0</v>
      </c>
      <c r="H1589" s="48" t="n">
        <v>41.97</v>
      </c>
      <c r="I1589" s="48" t="n">
        <v>0</v>
      </c>
      <c r="J1589" s="48" t="n">
        <v>0</v>
      </c>
      <c r="K1589" s="49" t="n">
        <v>0</v>
      </c>
      <c r="L1589" s="49" t="n">
        <v>3</v>
      </c>
      <c r="M1589" s="49" t="n">
        <v>0</v>
      </c>
      <c r="N1589" s="49" t="n">
        <v>0</v>
      </c>
      <c r="O1589" s="49" t="n">
        <v>4</v>
      </c>
      <c r="P1589" s="49" t="n">
        <v>18</v>
      </c>
      <c r="Q1589" s="49" t="n">
        <v>14</v>
      </c>
      <c r="R1589" s="49" t="n">
        <v>12</v>
      </c>
      <c r="S1589" s="50" t="n">
        <v>0</v>
      </c>
      <c r="T1589" s="50" t="n">
        <v>0.1666666666666667</v>
      </c>
      <c r="U1589" s="50" t="n">
        <v>0</v>
      </c>
      <c r="V1589" s="50" t="n">
        <v>0</v>
      </c>
      <c r="W1589" s="51" t="n">
        <v>0</v>
      </c>
      <c r="X1589" s="51" t="n">
        <v>0</v>
      </c>
      <c r="Y1589" s="51" t="n">
        <v>0</v>
      </c>
      <c r="Z1589" s="51" t="n">
        <v>0</v>
      </c>
      <c r="AA1589" s="52" t="n">
        <v>0</v>
      </c>
      <c r="AB1589" s="52" t="n">
        <v>0</v>
      </c>
      <c r="AC1589" s="52" t="n">
        <v>0</v>
      </c>
      <c r="AD1589" s="52" t="n">
        <v>0</v>
      </c>
      <c r="AE1589" s="52" t="n">
        <v>0</v>
      </c>
      <c r="AF1589" s="52" t="n">
        <v>0</v>
      </c>
      <c r="AG1589" s="52" t="n">
        <v>0</v>
      </c>
      <c r="AH1589" s="52" t="n">
        <v>0</v>
      </c>
      <c r="AI1589" s="52" t="n">
        <v>0</v>
      </c>
      <c r="AJ1589" s="52" t="n">
        <v>0</v>
      </c>
      <c r="AK1589" s="52" t="n">
        <v>0</v>
      </c>
      <c r="AL1589" s="52" t="n">
        <v>0</v>
      </c>
      <c r="AM1589" s="53" t="n">
        <v>0</v>
      </c>
      <c r="AN1589" s="53" t="n">
        <v>0</v>
      </c>
      <c r="AO1589" s="53" t="n">
        <v>0</v>
      </c>
      <c r="AP1589" s="53" t="n">
        <v>0</v>
      </c>
      <c r="AQ1589" s="52" t="n">
        <v>0</v>
      </c>
      <c r="AR1589" s="52" t="n">
        <v>0</v>
      </c>
      <c r="AS1589" s="52" t="n">
        <v>0</v>
      </c>
      <c r="AT1589" s="52" t="n">
        <v>0</v>
      </c>
      <c r="AU1589" s="53" t="n">
        <v>0</v>
      </c>
      <c r="AV1589" s="53" t="n">
        <v>0</v>
      </c>
      <c r="AW1589" s="53" t="n">
        <v>0</v>
      </c>
      <c r="AX1589" s="53" t="n">
        <v>0</v>
      </c>
      <c r="AY1589" s="52" t="n">
        <v>0</v>
      </c>
      <c r="AZ1589" s="52" t="n">
        <v>13.99</v>
      </c>
      <c r="BA1589" s="52" t="n">
        <v>0</v>
      </c>
      <c r="BB1589" s="52" t="n">
        <v>0</v>
      </c>
      <c r="BC1589" s="51" t="n">
        <v>0</v>
      </c>
      <c r="BD1589" s="51" t="n">
        <v>0</v>
      </c>
      <c r="BE1589" s="51" t="n">
        <v>0</v>
      </c>
      <c r="BF1589" s="51" t="n">
        <v>0</v>
      </c>
    </row>
    <row r="1590">
      <c r="A1590">
        <f>HYPERLINK("https://www.walmart.com/ip/149457462", "149457462")</f>
        <v/>
      </c>
      <c r="B1590" t="inlineStr">
        <is>
          <t>Napa® Mens Super Soft Warm Microfiber Fleece Plush Bathrobe Spa Robe with Pockets Latte</t>
        </is>
      </c>
      <c r="C1590" t="inlineStr">
        <is>
          <t>R5000LATTE-02</t>
        </is>
      </c>
      <c r="D1590" t="inlineStr">
        <is>
          <t>Sleepwear Robes &amp; Bathrobes</t>
        </is>
      </c>
      <c r="E1590" t="inlineStr">
        <is>
          <t>NAPA</t>
        </is>
      </c>
      <c r="G1590" s="48" t="n">
        <v>0</v>
      </c>
      <c r="H1590" s="48" t="n">
        <v>0</v>
      </c>
      <c r="I1590" s="48" t="n">
        <v>0</v>
      </c>
      <c r="J1590" s="48" t="n">
        <v>0</v>
      </c>
      <c r="K1590" s="49" t="n">
        <v>0</v>
      </c>
      <c r="L1590" s="49" t="n">
        <v>0</v>
      </c>
      <c r="M1590" s="49" t="n">
        <v>0</v>
      </c>
      <c r="N1590" s="49" t="n">
        <v>0</v>
      </c>
      <c r="O1590" s="49" t="n">
        <v>0</v>
      </c>
      <c r="P1590" s="49" t="n">
        <v>0</v>
      </c>
      <c r="Q1590" s="49" t="n">
        <v>0</v>
      </c>
      <c r="R1590" s="49" t="n">
        <v>0</v>
      </c>
      <c r="S1590" s="50" t="n">
        <v>0</v>
      </c>
      <c r="T1590" s="50" t="n">
        <v>0</v>
      </c>
      <c r="U1590" s="50" t="n">
        <v>0</v>
      </c>
      <c r="V1590" s="50" t="n">
        <v>0</v>
      </c>
      <c r="W1590" s="51" t="n">
        <v>0</v>
      </c>
      <c r="X1590" s="51" t="n">
        <v>0</v>
      </c>
      <c r="Y1590" s="51" t="n">
        <v>0</v>
      </c>
      <c r="Z1590" s="51" t="n">
        <v>0</v>
      </c>
      <c r="AA1590" s="52" t="n">
        <v>0</v>
      </c>
      <c r="AB1590" s="52" t="n">
        <v>0</v>
      </c>
      <c r="AC1590" s="52" t="n">
        <v>0</v>
      </c>
      <c r="AD1590" s="52" t="n">
        <v>0</v>
      </c>
      <c r="AE1590" s="52" t="n">
        <v>0</v>
      </c>
      <c r="AF1590" s="52" t="n">
        <v>0</v>
      </c>
      <c r="AG1590" s="52" t="n">
        <v>0</v>
      </c>
      <c r="AH1590" s="52" t="n">
        <v>0</v>
      </c>
      <c r="AI1590" s="52" t="n">
        <v>0</v>
      </c>
      <c r="AJ1590" s="52" t="n">
        <v>0</v>
      </c>
      <c r="AK1590" s="52" t="n">
        <v>0</v>
      </c>
      <c r="AL1590" s="52" t="n">
        <v>0</v>
      </c>
      <c r="AM1590" s="53" t="n">
        <v>0</v>
      </c>
      <c r="AN1590" s="53" t="n">
        <v>0</v>
      </c>
      <c r="AO1590" s="53" t="n">
        <v>0</v>
      </c>
      <c r="AP1590" s="53" t="n">
        <v>0</v>
      </c>
      <c r="AQ1590" s="52" t="n">
        <v>0</v>
      </c>
      <c r="AR1590" s="52" t="n">
        <v>0</v>
      </c>
      <c r="AS1590" s="52" t="n">
        <v>0</v>
      </c>
      <c r="AT1590" s="52" t="n">
        <v>0</v>
      </c>
      <c r="AU1590" s="53" t="n">
        <v>0</v>
      </c>
      <c r="AV1590" s="53" t="n">
        <v>0</v>
      </c>
      <c r="AW1590" s="53" t="n">
        <v>0</v>
      </c>
      <c r="AX1590" s="53" t="n">
        <v>0</v>
      </c>
      <c r="AY1590" s="52" t="n">
        <v>0</v>
      </c>
      <c r="AZ1590" s="52" t="n">
        <v>0</v>
      </c>
      <c r="BA1590" s="52" t="n">
        <v>0</v>
      </c>
      <c r="BB1590" s="52" t="n">
        <v>0</v>
      </c>
      <c r="BC1590" s="51" t="n">
        <v>0</v>
      </c>
      <c r="BD1590" s="51" t="n">
        <v>0</v>
      </c>
      <c r="BE1590" s="51" t="n">
        <v>0</v>
      </c>
      <c r="BF1590" s="51" t="n">
        <v>0</v>
      </c>
    </row>
    <row r="1591">
      <c r="A1591">
        <f>HYPERLINK("https://www.walmart.com/ip/149440579", "149440579")</f>
        <v/>
      </c>
      <c r="B1591" t="inlineStr">
        <is>
          <t>JenniWears Halloween Mask for Women Light Up Venetian Lace Mask LED Party Eye Mask, Perfect for Valentine’s carnivals,night club,wedding reception,costume party, Orange</t>
        </is>
      </c>
      <c r="C1591" t="inlineStr">
        <is>
          <t>JWLEDMK02-OR</t>
        </is>
      </c>
      <c r="D1591" t="inlineStr">
        <is>
          <t>Costume Masks</t>
        </is>
      </c>
      <c r="E1591" t="inlineStr">
        <is>
          <t>JenniWears</t>
        </is>
      </c>
      <c r="F1591" t="inlineStr">
        <is>
          <t>Halloween</t>
        </is>
      </c>
      <c r="G1591" s="48" t="n">
        <v>0</v>
      </c>
      <c r="H1591" s="48" t="n">
        <v>0</v>
      </c>
      <c r="I1591" s="48" t="n">
        <v>0</v>
      </c>
      <c r="J1591" s="48" t="n">
        <v>0</v>
      </c>
      <c r="K1591" s="49" t="n">
        <v>0</v>
      </c>
      <c r="L1591" s="49" t="n">
        <v>0</v>
      </c>
      <c r="M1591" s="49" t="n">
        <v>0</v>
      </c>
      <c r="N1591" s="49" t="n">
        <v>0</v>
      </c>
      <c r="O1591" s="49" t="n">
        <v>0</v>
      </c>
      <c r="P1591" s="49" t="n">
        <v>0</v>
      </c>
      <c r="Q1591" s="49" t="n">
        <v>0</v>
      </c>
      <c r="R1591" s="49" t="n">
        <v>0</v>
      </c>
      <c r="S1591" s="50" t="n">
        <v>0</v>
      </c>
      <c r="T1591" s="50" t="n">
        <v>0</v>
      </c>
      <c r="U1591" s="50" t="n">
        <v>0</v>
      </c>
      <c r="V1591" s="50" t="n">
        <v>0</v>
      </c>
      <c r="W1591" s="51" t="n">
        <v>0</v>
      </c>
      <c r="X1591" s="51" t="n">
        <v>0</v>
      </c>
      <c r="Y1591" s="51" t="n">
        <v>0</v>
      </c>
      <c r="Z1591" s="51" t="n">
        <v>0</v>
      </c>
      <c r="AA1591" s="52" t="n">
        <v>0</v>
      </c>
      <c r="AB1591" s="52" t="n">
        <v>0</v>
      </c>
      <c r="AC1591" s="52" t="n">
        <v>0</v>
      </c>
      <c r="AD1591" s="52" t="n">
        <v>0</v>
      </c>
      <c r="AE1591" s="52" t="n">
        <v>0</v>
      </c>
      <c r="AF1591" s="52" t="n">
        <v>0</v>
      </c>
      <c r="AG1591" s="52" t="n">
        <v>0</v>
      </c>
      <c r="AH1591" s="52" t="n">
        <v>0</v>
      </c>
      <c r="AI1591" s="52" t="n">
        <v>0</v>
      </c>
      <c r="AJ1591" s="52" t="n">
        <v>0</v>
      </c>
      <c r="AK1591" s="52" t="n">
        <v>0</v>
      </c>
      <c r="AL1591" s="52" t="n">
        <v>0</v>
      </c>
      <c r="AM1591" s="53" t="n">
        <v>0</v>
      </c>
      <c r="AN1591" s="53" t="n">
        <v>0</v>
      </c>
      <c r="AO1591" s="53" t="n">
        <v>0</v>
      </c>
      <c r="AP1591" s="53" t="n">
        <v>0</v>
      </c>
      <c r="AQ1591" s="52" t="n">
        <v>0</v>
      </c>
      <c r="AR1591" s="52" t="n">
        <v>0</v>
      </c>
      <c r="AS1591" s="52" t="n">
        <v>0</v>
      </c>
      <c r="AT1591" s="52" t="n">
        <v>0</v>
      </c>
      <c r="AU1591" s="53" t="n">
        <v>0</v>
      </c>
      <c r="AV1591" s="53" t="n">
        <v>0</v>
      </c>
      <c r="AW1591" s="53" t="n">
        <v>0</v>
      </c>
      <c r="AX1591" s="53" t="n">
        <v>0</v>
      </c>
      <c r="AY1591" s="52" t="n">
        <v>0</v>
      </c>
      <c r="AZ1591" s="52" t="n">
        <v>0</v>
      </c>
      <c r="BA1591" s="52" t="n">
        <v>0</v>
      </c>
      <c r="BB1591" s="52" t="n">
        <v>0</v>
      </c>
      <c r="BC1591" s="51" t="n">
        <v>0</v>
      </c>
      <c r="BD1591" s="51" t="n">
        <v>0</v>
      </c>
      <c r="BE1591" s="51" t="n">
        <v>0</v>
      </c>
      <c r="BF1591" s="51" t="n">
        <v>0</v>
      </c>
    </row>
    <row r="1592">
      <c r="A1592">
        <f>HYPERLINK("https://www.walmart.com/ip/147481123", "147481123")</f>
        <v/>
      </c>
      <c r="B1592" t="inlineStr">
        <is>
          <t>JenniWears Women Elegant Robe Satin Sleepwear Lace Chemise Nightgown</t>
        </is>
      </c>
      <c r="C1592" t="inlineStr">
        <is>
          <t>JWRS02RD-XL</t>
        </is>
      </c>
      <c r="D1592" t="inlineStr">
        <is>
          <t>Nightgowns &amp; Sleepshirts</t>
        </is>
      </c>
      <c r="E1592" t="inlineStr">
        <is>
          <t>JenniWears</t>
        </is>
      </c>
      <c r="F1592" t="inlineStr">
        <is>
          <t>Optimized,Valentine</t>
        </is>
      </c>
      <c r="G1592" s="48" t="n">
        <v>0</v>
      </c>
      <c r="H1592" s="48" t="n">
        <v>0</v>
      </c>
      <c r="I1592" s="48" t="n">
        <v>0</v>
      </c>
      <c r="J1592" s="48" t="n">
        <v>0</v>
      </c>
      <c r="K1592" s="49" t="n">
        <v>0</v>
      </c>
      <c r="L1592" s="49" t="n">
        <v>0</v>
      </c>
      <c r="M1592" s="49" t="n">
        <v>0</v>
      </c>
      <c r="N1592" s="49" t="n">
        <v>0</v>
      </c>
      <c r="O1592" s="49" t="n">
        <v>0</v>
      </c>
      <c r="P1592" s="49" t="n">
        <v>0</v>
      </c>
      <c r="Q1592" s="49" t="n">
        <v>0</v>
      </c>
      <c r="R1592" s="49" t="n">
        <v>0</v>
      </c>
      <c r="S1592" s="50" t="n">
        <v>0</v>
      </c>
      <c r="T1592" s="50" t="n">
        <v>0</v>
      </c>
      <c r="U1592" s="50" t="n">
        <v>0</v>
      </c>
      <c r="V1592" s="50" t="n">
        <v>0</v>
      </c>
      <c r="W1592" s="51" t="n">
        <v>0</v>
      </c>
      <c r="X1592" s="51" t="n">
        <v>0</v>
      </c>
      <c r="Y1592" s="51" t="n">
        <v>0</v>
      </c>
      <c r="Z1592" s="51" t="n">
        <v>0</v>
      </c>
      <c r="AA1592" s="52" t="n">
        <v>0</v>
      </c>
      <c r="AB1592" s="52" t="n">
        <v>0</v>
      </c>
      <c r="AC1592" s="52" t="n">
        <v>0</v>
      </c>
      <c r="AD1592" s="52" t="n">
        <v>0</v>
      </c>
      <c r="AE1592" s="52" t="n">
        <v>0</v>
      </c>
      <c r="AF1592" s="52" t="n">
        <v>0</v>
      </c>
      <c r="AG1592" s="52" t="n">
        <v>0</v>
      </c>
      <c r="AH1592" s="52" t="n">
        <v>0</v>
      </c>
      <c r="AI1592" s="52" t="n">
        <v>0</v>
      </c>
      <c r="AJ1592" s="52" t="n">
        <v>0</v>
      </c>
      <c r="AK1592" s="52" t="n">
        <v>0</v>
      </c>
      <c r="AL1592" s="52" t="n">
        <v>0</v>
      </c>
      <c r="AM1592" s="53" t="n">
        <v>0</v>
      </c>
      <c r="AN1592" s="53" t="n">
        <v>0</v>
      </c>
      <c r="AO1592" s="53" t="n">
        <v>0</v>
      </c>
      <c r="AP1592" s="53" t="n">
        <v>0</v>
      </c>
      <c r="AQ1592" s="52" t="n">
        <v>0</v>
      </c>
      <c r="AR1592" s="52" t="n">
        <v>0</v>
      </c>
      <c r="AS1592" s="52" t="n">
        <v>0</v>
      </c>
      <c r="AT1592" s="52" t="n">
        <v>0</v>
      </c>
      <c r="AU1592" s="53" t="n">
        <v>0</v>
      </c>
      <c r="AV1592" s="53" t="n">
        <v>0</v>
      </c>
      <c r="AW1592" s="53" t="n">
        <v>0</v>
      </c>
      <c r="AX1592" s="53" t="n">
        <v>0</v>
      </c>
      <c r="AY1592" s="52" t="n">
        <v>0</v>
      </c>
      <c r="AZ1592" s="52" t="n">
        <v>0</v>
      </c>
      <c r="BA1592" s="52" t="n">
        <v>0</v>
      </c>
      <c r="BB1592" s="52" t="n">
        <v>0</v>
      </c>
      <c r="BC1592" s="51" t="n">
        <v>0</v>
      </c>
      <c r="BD1592" s="51" t="n">
        <v>0</v>
      </c>
      <c r="BE1592" s="51" t="n">
        <v>0</v>
      </c>
      <c r="BF1592" s="51" t="n">
        <v>0</v>
      </c>
    </row>
    <row r="1593">
      <c r="A1593">
        <f>HYPERLINK("https://www.walmart.com/ip/146084848", "146084848")</f>
        <v/>
      </c>
      <c r="B1593" t="inlineStr">
        <is>
          <t>KC Caps Race Collection Caps Navy with Flame Flare Graphics</t>
        </is>
      </c>
      <c r="C1593" t="inlineStr">
        <is>
          <t>KC-HR06</t>
        </is>
      </c>
      <c r="D1593" t="inlineStr">
        <is>
          <t>Hats</t>
        </is>
      </c>
      <c r="E1593" t="inlineStr">
        <is>
          <t>KC Caps</t>
        </is>
      </c>
      <c r="F1593" t="inlineStr">
        <is>
          <t>Optimized</t>
        </is>
      </c>
      <c r="G1593" s="48" t="n">
        <v>0</v>
      </c>
      <c r="H1593" s="48" t="n">
        <v>0</v>
      </c>
      <c r="I1593" s="48" t="n">
        <v>0</v>
      </c>
      <c r="J1593" s="48" t="n">
        <v>0</v>
      </c>
      <c r="K1593" s="49" t="n">
        <v>0</v>
      </c>
      <c r="L1593" s="49" t="n">
        <v>0</v>
      </c>
      <c r="M1593" s="49" t="n">
        <v>0</v>
      </c>
      <c r="N1593" s="49" t="n">
        <v>0</v>
      </c>
      <c r="O1593" s="49" t="n">
        <v>0</v>
      </c>
      <c r="P1593" s="49" t="n">
        <v>0</v>
      </c>
      <c r="Q1593" s="49" t="n">
        <v>0</v>
      </c>
      <c r="R1593" s="49" t="n">
        <v>0</v>
      </c>
      <c r="S1593" s="50" t="n">
        <v>0</v>
      </c>
      <c r="T1593" s="50" t="n">
        <v>0</v>
      </c>
      <c r="U1593" s="50" t="n">
        <v>0</v>
      </c>
      <c r="V1593" s="50" t="n">
        <v>0</v>
      </c>
      <c r="W1593" s="51" t="n">
        <v>0</v>
      </c>
      <c r="X1593" s="51" t="n">
        <v>0</v>
      </c>
      <c r="Y1593" s="51" t="n">
        <v>0</v>
      </c>
      <c r="Z1593" s="51" t="n">
        <v>0</v>
      </c>
      <c r="AA1593" s="52" t="n">
        <v>0</v>
      </c>
      <c r="AB1593" s="52" t="n">
        <v>0</v>
      </c>
      <c r="AC1593" s="52" t="n">
        <v>0</v>
      </c>
      <c r="AD1593" s="52" t="n">
        <v>0</v>
      </c>
      <c r="AE1593" s="52" t="n">
        <v>0</v>
      </c>
      <c r="AF1593" s="52" t="n">
        <v>0</v>
      </c>
      <c r="AG1593" s="52" t="n">
        <v>0</v>
      </c>
      <c r="AH1593" s="52" t="n">
        <v>0</v>
      </c>
      <c r="AI1593" s="52" t="n">
        <v>0</v>
      </c>
      <c r="AJ1593" s="52" t="n">
        <v>0</v>
      </c>
      <c r="AK1593" s="52" t="n">
        <v>0</v>
      </c>
      <c r="AL1593" s="52" t="n">
        <v>0</v>
      </c>
      <c r="AM1593" s="53" t="n">
        <v>0</v>
      </c>
      <c r="AN1593" s="53" t="n">
        <v>0</v>
      </c>
      <c r="AO1593" s="53" t="n">
        <v>0</v>
      </c>
      <c r="AP1593" s="53" t="n">
        <v>0</v>
      </c>
      <c r="AQ1593" s="52" t="n">
        <v>0</v>
      </c>
      <c r="AR1593" s="52" t="n">
        <v>0</v>
      </c>
      <c r="AS1593" s="52" t="n">
        <v>0</v>
      </c>
      <c r="AT1593" s="52" t="n">
        <v>0</v>
      </c>
      <c r="AU1593" s="53" t="n">
        <v>0</v>
      </c>
      <c r="AV1593" s="53" t="n">
        <v>0</v>
      </c>
      <c r="AW1593" s="53" t="n">
        <v>0</v>
      </c>
      <c r="AX1593" s="53" t="n">
        <v>0</v>
      </c>
      <c r="AY1593" s="52" t="n">
        <v>0</v>
      </c>
      <c r="AZ1593" s="52" t="n">
        <v>0</v>
      </c>
      <c r="BA1593" s="52" t="n">
        <v>0</v>
      </c>
      <c r="BB1593" s="52" t="n">
        <v>0</v>
      </c>
      <c r="BC1593" s="51" t="n">
        <v>0</v>
      </c>
      <c r="BD1593" s="51" t="n">
        <v>0</v>
      </c>
      <c r="BE1593" s="51" t="n">
        <v>0</v>
      </c>
      <c r="BF1593" s="51" t="n">
        <v>0</v>
      </c>
    </row>
    <row r="1594">
      <c r="A1594">
        <f>HYPERLINK("https://www.walmart.com/ip/146774668", "146774668")</f>
        <v/>
      </c>
      <c r="B1594" t="inlineStr">
        <is>
          <t>Sun Blocker Adventure hat UPF 50+ rated Outdoor hat Wide brim with Back flap</t>
        </is>
      </c>
      <c r="C1594" t="inlineStr">
        <is>
          <t>kc-s9150-gy</t>
        </is>
      </c>
      <c r="D1594" t="inlineStr">
        <is>
          <t>Hats</t>
        </is>
      </c>
      <c r="E1594" t="inlineStr">
        <is>
          <t>Sun Blocker</t>
        </is>
      </c>
      <c r="G1594" s="48" t="n">
        <v>0</v>
      </c>
      <c r="H1594" s="48" t="n">
        <v>0</v>
      </c>
      <c r="I1594" s="48" t="n">
        <v>0</v>
      </c>
      <c r="J1594" s="48" t="n">
        <v>0</v>
      </c>
      <c r="K1594" s="49" t="n">
        <v>0</v>
      </c>
      <c r="L1594" s="49" t="n">
        <v>0</v>
      </c>
      <c r="M1594" s="49" t="n">
        <v>0</v>
      </c>
      <c r="N1594" s="49" t="n">
        <v>0</v>
      </c>
      <c r="O1594" s="49" t="n">
        <v>0</v>
      </c>
      <c r="P1594" s="49" t="n">
        <v>0</v>
      </c>
      <c r="Q1594" s="49" t="n">
        <v>0</v>
      </c>
      <c r="R1594" s="49" t="n">
        <v>0</v>
      </c>
      <c r="S1594" s="50" t="n">
        <v>0</v>
      </c>
      <c r="T1594" s="50" t="n">
        <v>0</v>
      </c>
      <c r="U1594" s="50" t="n">
        <v>0</v>
      </c>
      <c r="V1594" s="50" t="n">
        <v>0</v>
      </c>
      <c r="W1594" s="51" t="n">
        <v>0</v>
      </c>
      <c r="X1594" s="51" t="n">
        <v>0</v>
      </c>
      <c r="Y1594" s="51" t="n">
        <v>0</v>
      </c>
      <c r="Z1594" s="51" t="n">
        <v>0</v>
      </c>
      <c r="AA1594" s="52" t="n">
        <v>0</v>
      </c>
      <c r="AB1594" s="52" t="n">
        <v>0</v>
      </c>
      <c r="AC1594" s="52" t="n">
        <v>0</v>
      </c>
      <c r="AD1594" s="52" t="n">
        <v>0</v>
      </c>
      <c r="AE1594" s="52" t="n">
        <v>0</v>
      </c>
      <c r="AF1594" s="52" t="n">
        <v>0</v>
      </c>
      <c r="AG1594" s="52" t="n">
        <v>0</v>
      </c>
      <c r="AH1594" s="52" t="n">
        <v>0</v>
      </c>
      <c r="AI1594" s="52" t="n">
        <v>0</v>
      </c>
      <c r="AJ1594" s="52" t="n">
        <v>0</v>
      </c>
      <c r="AK1594" s="52" t="n">
        <v>0</v>
      </c>
      <c r="AL1594" s="52" t="n">
        <v>0</v>
      </c>
      <c r="AM1594" s="53" t="n">
        <v>0</v>
      </c>
      <c r="AN1594" s="53" t="n">
        <v>0</v>
      </c>
      <c r="AO1594" s="53" t="n">
        <v>0</v>
      </c>
      <c r="AP1594" s="53" t="n">
        <v>0</v>
      </c>
      <c r="AQ1594" s="52" t="n">
        <v>0</v>
      </c>
      <c r="AR1594" s="52" t="n">
        <v>0</v>
      </c>
      <c r="AS1594" s="52" t="n">
        <v>0</v>
      </c>
      <c r="AT1594" s="52" t="n">
        <v>0</v>
      </c>
      <c r="AU1594" s="53" t="n">
        <v>0</v>
      </c>
      <c r="AV1594" s="53" t="n">
        <v>0</v>
      </c>
      <c r="AW1594" s="53" t="n">
        <v>0</v>
      </c>
      <c r="AX1594" s="53" t="n">
        <v>0</v>
      </c>
      <c r="AY1594" s="52" t="n">
        <v>0</v>
      </c>
      <c r="AZ1594" s="52" t="n">
        <v>0</v>
      </c>
      <c r="BA1594" s="52" t="n">
        <v>0</v>
      </c>
      <c r="BB1594" s="52" t="n">
        <v>0</v>
      </c>
      <c r="BC1594" s="51" t="n">
        <v>0</v>
      </c>
      <c r="BD1594" s="51" t="n">
        <v>0</v>
      </c>
      <c r="BE1594" s="51" t="n">
        <v>0</v>
      </c>
      <c r="BF1594" s="51" t="n">
        <v>0</v>
      </c>
    </row>
    <row r="1595">
      <c r="A1595">
        <f>HYPERLINK("https://www.walmart.com/ip/146784092", "146784092")</f>
        <v/>
      </c>
      <c r="B1595" t="inlineStr">
        <is>
          <t>JenniWears® Women's Kimono Lace Lingerie Sleepwear Matching Cheeky Seductive Panty</t>
        </is>
      </c>
      <c r="C1595" t="inlineStr">
        <is>
          <t>JWRS01BK-XL</t>
        </is>
      </c>
      <c r="D1595" t="inlineStr">
        <is>
          <t>Lingerie Sets</t>
        </is>
      </c>
      <c r="E1595" t="inlineStr">
        <is>
          <t>JenniWears</t>
        </is>
      </c>
      <c r="F1595" t="inlineStr">
        <is>
          <t>Optimized,Valentine</t>
        </is>
      </c>
      <c r="G1595" s="48" t="n">
        <v>0</v>
      </c>
      <c r="H1595" s="48" t="n">
        <v>0</v>
      </c>
      <c r="I1595" s="48" t="n">
        <v>0</v>
      </c>
      <c r="J1595" s="48" t="n">
        <v>0</v>
      </c>
      <c r="K1595" s="49" t="n">
        <v>0</v>
      </c>
      <c r="L1595" s="49" t="n">
        <v>0</v>
      </c>
      <c r="M1595" s="49" t="n">
        <v>0</v>
      </c>
      <c r="N1595" s="49" t="n">
        <v>0</v>
      </c>
      <c r="O1595" s="49" t="n">
        <v>0</v>
      </c>
      <c r="P1595" s="49" t="n">
        <v>0</v>
      </c>
      <c r="Q1595" s="49" t="n">
        <v>0</v>
      </c>
      <c r="R1595" s="49" t="n">
        <v>0</v>
      </c>
      <c r="S1595" s="50" t="n">
        <v>0</v>
      </c>
      <c r="T1595" s="50" t="n">
        <v>0</v>
      </c>
      <c r="U1595" s="50" t="n">
        <v>0</v>
      </c>
      <c r="V1595" s="50" t="n">
        <v>0</v>
      </c>
      <c r="W1595" s="51" t="n">
        <v>0</v>
      </c>
      <c r="X1595" s="51" t="n">
        <v>0</v>
      </c>
      <c r="Y1595" s="51" t="n">
        <v>0</v>
      </c>
      <c r="Z1595" s="51" t="n">
        <v>0</v>
      </c>
      <c r="AA1595" s="52" t="n">
        <v>0</v>
      </c>
      <c r="AB1595" s="52" t="n">
        <v>0</v>
      </c>
      <c r="AC1595" s="52" t="n">
        <v>0</v>
      </c>
      <c r="AD1595" s="52" t="n">
        <v>0</v>
      </c>
      <c r="AE1595" s="52" t="n">
        <v>0</v>
      </c>
      <c r="AF1595" s="52" t="n">
        <v>0</v>
      </c>
      <c r="AG1595" s="52" t="n">
        <v>0</v>
      </c>
      <c r="AH1595" s="52" t="n">
        <v>0</v>
      </c>
      <c r="AI1595" s="52" t="n">
        <v>0</v>
      </c>
      <c r="AJ1595" s="52" t="n">
        <v>0</v>
      </c>
      <c r="AK1595" s="52" t="n">
        <v>0</v>
      </c>
      <c r="AL1595" s="52" t="n">
        <v>0</v>
      </c>
      <c r="AM1595" s="53" t="n">
        <v>0</v>
      </c>
      <c r="AN1595" s="53" t="n">
        <v>0</v>
      </c>
      <c r="AO1595" s="53" t="n">
        <v>0</v>
      </c>
      <c r="AP1595" s="53" t="n">
        <v>0</v>
      </c>
      <c r="AQ1595" s="52" t="n">
        <v>0</v>
      </c>
      <c r="AR1595" s="52" t="n">
        <v>0</v>
      </c>
      <c r="AS1595" s="52" t="n">
        <v>0</v>
      </c>
      <c r="AT1595" s="52" t="n">
        <v>0</v>
      </c>
      <c r="AU1595" s="53" t="n">
        <v>0</v>
      </c>
      <c r="AV1595" s="53" t="n">
        <v>0</v>
      </c>
      <c r="AW1595" s="53" t="n">
        <v>0</v>
      </c>
      <c r="AX1595" s="53" t="n">
        <v>0</v>
      </c>
      <c r="AY1595" s="52" t="n">
        <v>0</v>
      </c>
      <c r="AZ1595" s="52" t="n">
        <v>0</v>
      </c>
      <c r="BA1595" s="52" t="n">
        <v>0</v>
      </c>
      <c r="BB1595" s="52" t="n">
        <v>0</v>
      </c>
      <c r="BC1595" s="51" t="n">
        <v>0</v>
      </c>
      <c r="BD1595" s="51" t="n">
        <v>0</v>
      </c>
      <c r="BE1595" s="51" t="n">
        <v>0</v>
      </c>
      <c r="BF1595" s="51" t="n">
        <v>0</v>
      </c>
    </row>
    <row r="1596">
      <c r="A1596">
        <f>HYPERLINK("https://www.walmart.com/ip/1470055620", "1470055620")</f>
        <v/>
      </c>
      <c r="B1596" t="inlineStr">
        <is>
          <t>Tirrinia Mossy Oak New Break Up Elk Hunting Cap Hat</t>
        </is>
      </c>
      <c r="C1596" t="inlineStr">
        <is>
          <t>1TRHT03ELK-TBCB</t>
        </is>
      </c>
      <c r="D1596" t="inlineStr">
        <is>
          <t>Hats</t>
        </is>
      </c>
      <c r="E1596" t="inlineStr">
        <is>
          <t>Tirrinia</t>
        </is>
      </c>
      <c r="F1596" t="inlineStr">
        <is>
          <t>Batch 1 - TR</t>
        </is>
      </c>
      <c r="G1596" s="48" t="n">
        <v>0</v>
      </c>
      <c r="H1596" s="48" t="n">
        <v>0</v>
      </c>
      <c r="I1596" s="48" t="n">
        <v>0</v>
      </c>
      <c r="J1596" s="48" t="n">
        <v>0</v>
      </c>
      <c r="K1596" s="49" t="n">
        <v>0</v>
      </c>
      <c r="L1596" s="49" t="n">
        <v>0</v>
      </c>
      <c r="M1596" s="49" t="n">
        <v>0</v>
      </c>
      <c r="N1596" s="49" t="n">
        <v>0</v>
      </c>
      <c r="O1596" s="49" t="n">
        <v>0</v>
      </c>
      <c r="P1596" s="49" t="n">
        <v>0</v>
      </c>
      <c r="Q1596" s="49" t="n">
        <v>0</v>
      </c>
      <c r="R1596" s="49" t="n">
        <v>0</v>
      </c>
      <c r="S1596" s="50" t="n">
        <v>0</v>
      </c>
      <c r="T1596" s="50" t="n">
        <v>0</v>
      </c>
      <c r="U1596" s="50" t="n">
        <v>0</v>
      </c>
      <c r="V1596" s="50" t="n">
        <v>0</v>
      </c>
      <c r="W1596" s="51" t="n">
        <v>0</v>
      </c>
      <c r="X1596" s="51" t="n">
        <v>0</v>
      </c>
      <c r="Y1596" s="51" t="n">
        <v>0</v>
      </c>
      <c r="Z1596" s="51" t="n">
        <v>0</v>
      </c>
      <c r="AA1596" s="52" t="n">
        <v>0</v>
      </c>
      <c r="AB1596" s="52" t="n">
        <v>0</v>
      </c>
      <c r="AC1596" s="52" t="n">
        <v>0</v>
      </c>
      <c r="AD1596" s="52" t="n">
        <v>0</v>
      </c>
      <c r="AE1596" s="52" t="n">
        <v>0</v>
      </c>
      <c r="AF1596" s="52" t="n">
        <v>0</v>
      </c>
      <c r="AG1596" s="52" t="n">
        <v>0</v>
      </c>
      <c r="AH1596" s="52" t="n">
        <v>0</v>
      </c>
      <c r="AI1596" s="52" t="n">
        <v>0</v>
      </c>
      <c r="AJ1596" s="52" t="n">
        <v>0</v>
      </c>
      <c r="AK1596" s="52" t="n">
        <v>0</v>
      </c>
      <c r="AL1596" s="52" t="n">
        <v>0</v>
      </c>
      <c r="AM1596" s="53" t="n">
        <v>0</v>
      </c>
      <c r="AN1596" s="53" t="n">
        <v>0</v>
      </c>
      <c r="AO1596" s="53" t="n">
        <v>0</v>
      </c>
      <c r="AP1596" s="53" t="n">
        <v>0</v>
      </c>
      <c r="AQ1596" s="52" t="n">
        <v>0</v>
      </c>
      <c r="AR1596" s="52" t="n">
        <v>0</v>
      </c>
      <c r="AS1596" s="52" t="n">
        <v>0</v>
      </c>
      <c r="AT1596" s="52" t="n">
        <v>0</v>
      </c>
      <c r="AU1596" s="53" t="n">
        <v>0</v>
      </c>
      <c r="AV1596" s="53" t="n">
        <v>0</v>
      </c>
      <c r="AW1596" s="53" t="n">
        <v>0</v>
      </c>
      <c r="AX1596" s="53" t="n">
        <v>0</v>
      </c>
      <c r="AY1596" s="52" t="n">
        <v>0</v>
      </c>
      <c r="AZ1596" s="52" t="n">
        <v>0</v>
      </c>
      <c r="BA1596" s="52" t="n">
        <v>0</v>
      </c>
      <c r="BB1596" s="52" t="n">
        <v>0</v>
      </c>
      <c r="BC1596" s="51" t="n">
        <v>0</v>
      </c>
      <c r="BD1596" s="51" t="n">
        <v>0</v>
      </c>
      <c r="BE1596" s="51" t="n">
        <v>0</v>
      </c>
      <c r="BF1596" s="51" t="n">
        <v>0</v>
      </c>
    </row>
    <row r="1597">
      <c r="A1597">
        <f>HYPERLINK("https://www.walmart.com/ip/147137806", "147137806")</f>
        <v/>
      </c>
      <c r="B1597" t="inlineStr">
        <is>
          <t>JenniWears Women's Floral Open Crotch Mesh Body Stockings Bodysuits Lingerie</t>
        </is>
      </c>
      <c r="C1597" t="inlineStr">
        <is>
          <t>JWBS8855</t>
        </is>
      </c>
      <c r="D1597" t="inlineStr">
        <is>
          <t>Teddies &amp; Bodystockings</t>
        </is>
      </c>
      <c r="E1597" t="inlineStr">
        <is>
          <t>JenniWears</t>
        </is>
      </c>
      <c r="F1597" t="inlineStr">
        <is>
          <t>Valentine</t>
        </is>
      </c>
      <c r="G1597" s="48" t="n">
        <v>0</v>
      </c>
      <c r="H1597" s="48" t="n">
        <v>0</v>
      </c>
      <c r="I1597" s="48" t="n">
        <v>0</v>
      </c>
      <c r="J1597" s="48" t="n">
        <v>0</v>
      </c>
      <c r="K1597" s="49" t="n">
        <v>0</v>
      </c>
      <c r="L1597" s="49" t="n">
        <v>0</v>
      </c>
      <c r="M1597" s="49" t="n">
        <v>0</v>
      </c>
      <c r="N1597" s="49" t="n">
        <v>0</v>
      </c>
      <c r="O1597" s="49" t="n">
        <v>0</v>
      </c>
      <c r="P1597" s="49" t="n">
        <v>0</v>
      </c>
      <c r="Q1597" s="49" t="n">
        <v>0</v>
      </c>
      <c r="R1597" s="49" t="n">
        <v>0</v>
      </c>
      <c r="S1597" s="50" t="n">
        <v>0</v>
      </c>
      <c r="T1597" s="50" t="n">
        <v>0</v>
      </c>
      <c r="U1597" s="50" t="n">
        <v>0</v>
      </c>
      <c r="V1597" s="50" t="n">
        <v>0</v>
      </c>
      <c r="W1597" s="51" t="n">
        <v>0</v>
      </c>
      <c r="X1597" s="51" t="n">
        <v>0</v>
      </c>
      <c r="Y1597" s="51" t="n">
        <v>0</v>
      </c>
      <c r="Z1597" s="51" t="n">
        <v>0</v>
      </c>
      <c r="AA1597" s="52" t="n">
        <v>0</v>
      </c>
      <c r="AB1597" s="52" t="n">
        <v>0</v>
      </c>
      <c r="AC1597" s="52" t="n">
        <v>0</v>
      </c>
      <c r="AD1597" s="52" t="n">
        <v>0</v>
      </c>
      <c r="AE1597" s="52" t="n">
        <v>0</v>
      </c>
      <c r="AF1597" s="52" t="n">
        <v>0</v>
      </c>
      <c r="AG1597" s="52" t="n">
        <v>0</v>
      </c>
      <c r="AH1597" s="52" t="n">
        <v>0</v>
      </c>
      <c r="AI1597" s="52" t="n">
        <v>0</v>
      </c>
      <c r="AJ1597" s="52" t="n">
        <v>0</v>
      </c>
      <c r="AK1597" s="52" t="n">
        <v>0</v>
      </c>
      <c r="AL1597" s="52" t="n">
        <v>0</v>
      </c>
      <c r="AM1597" s="53" t="n">
        <v>0</v>
      </c>
      <c r="AN1597" s="53" t="n">
        <v>0</v>
      </c>
      <c r="AO1597" s="53" t="n">
        <v>0</v>
      </c>
      <c r="AP1597" s="53" t="n">
        <v>0</v>
      </c>
      <c r="AQ1597" s="52" t="n">
        <v>0</v>
      </c>
      <c r="AR1597" s="52" t="n">
        <v>0</v>
      </c>
      <c r="AS1597" s="52" t="n">
        <v>0</v>
      </c>
      <c r="AT1597" s="52" t="n">
        <v>0</v>
      </c>
      <c r="AU1597" s="53" t="n">
        <v>0</v>
      </c>
      <c r="AV1597" s="53" t="n">
        <v>0</v>
      </c>
      <c r="AW1597" s="53" t="n">
        <v>0</v>
      </c>
      <c r="AX1597" s="53" t="n">
        <v>0</v>
      </c>
      <c r="AY1597" s="52" t="n">
        <v>0</v>
      </c>
      <c r="AZ1597" s="52" t="n">
        <v>0</v>
      </c>
      <c r="BA1597" s="52" t="n">
        <v>0</v>
      </c>
      <c r="BB1597" s="52" t="n">
        <v>0</v>
      </c>
      <c r="BC1597" s="51" t="n">
        <v>0</v>
      </c>
      <c r="BD1597" s="51" t="n">
        <v>0</v>
      </c>
      <c r="BE1597" s="51" t="n">
        <v>0</v>
      </c>
      <c r="BF1597" s="51" t="n">
        <v>0</v>
      </c>
    </row>
    <row r="1598">
      <c r="A1598">
        <f>HYPERLINK("https://www.walmart.com/ip/1473126477", "1473126477")</f>
        <v/>
      </c>
      <c r="B1598" t="inlineStr">
        <is>
          <t>Catalonia Kids Mermaid Tail Blanket, Cozy Mermaid Sleeping Bag, Fish Scale Pattern, Perfect Gift for Girls Teen, Rainbow, 61" x 20"</t>
        </is>
      </c>
      <c r="C1598" t="inlineStr">
        <is>
          <t>1CTMM506MUL</t>
        </is>
      </c>
      <c r="D1598" t="inlineStr">
        <is>
          <t>Throws</t>
        </is>
      </c>
      <c r="E1598" t="inlineStr">
        <is>
          <t>Catalonia</t>
        </is>
      </c>
      <c r="F1598" t="inlineStr">
        <is>
          <t>Q2-Target</t>
        </is>
      </c>
      <c r="G1598" s="48" t="n">
        <v>0</v>
      </c>
      <c r="H1598" s="48" t="n">
        <v>19.99</v>
      </c>
      <c r="I1598" s="48" t="n">
        <v>0</v>
      </c>
      <c r="J1598" s="48" t="n">
        <v>19.99</v>
      </c>
      <c r="K1598" s="49" t="n">
        <v>0</v>
      </c>
      <c r="L1598" s="49" t="n">
        <v>1</v>
      </c>
      <c r="M1598" s="49" t="n">
        <v>0</v>
      </c>
      <c r="N1598" s="49" t="n">
        <v>1</v>
      </c>
      <c r="O1598" s="49" t="n">
        <v>0</v>
      </c>
      <c r="P1598" s="49" t="n">
        <v>2</v>
      </c>
      <c r="Q1598" s="49" t="n">
        <v>1</v>
      </c>
      <c r="R1598" s="49" t="n">
        <v>5</v>
      </c>
      <c r="S1598" s="50" t="n">
        <v>0</v>
      </c>
      <c r="T1598" s="50" t="n">
        <v>0.5</v>
      </c>
      <c r="U1598" s="50" t="n">
        <v>0</v>
      </c>
      <c r="V1598" s="50" t="n">
        <v>0.2</v>
      </c>
      <c r="W1598" s="51" t="n">
        <v>0</v>
      </c>
      <c r="X1598" s="51" t="n">
        <v>0</v>
      </c>
      <c r="Y1598" s="51" t="n">
        <v>0</v>
      </c>
      <c r="Z1598" s="51" t="n">
        <v>0</v>
      </c>
      <c r="AA1598" s="52" t="n">
        <v>0</v>
      </c>
      <c r="AB1598" s="52" t="n">
        <v>0</v>
      </c>
      <c r="AC1598" s="52" t="n">
        <v>0</v>
      </c>
      <c r="AD1598" s="52" t="n">
        <v>0</v>
      </c>
      <c r="AE1598" s="52" t="n">
        <v>0</v>
      </c>
      <c r="AF1598" s="52" t="n">
        <v>0</v>
      </c>
      <c r="AG1598" s="52" t="n">
        <v>0</v>
      </c>
      <c r="AH1598" s="52" t="n">
        <v>0</v>
      </c>
      <c r="AI1598" s="52" t="n">
        <v>0</v>
      </c>
      <c r="AJ1598" s="52" t="n">
        <v>0</v>
      </c>
      <c r="AK1598" s="52" t="n">
        <v>0</v>
      </c>
      <c r="AL1598" s="52" t="n">
        <v>0</v>
      </c>
      <c r="AM1598" s="53" t="n">
        <v>0</v>
      </c>
      <c r="AN1598" s="53" t="n">
        <v>0</v>
      </c>
      <c r="AO1598" s="53" t="n">
        <v>0</v>
      </c>
      <c r="AP1598" s="53" t="n">
        <v>0</v>
      </c>
      <c r="AQ1598" s="52" t="n">
        <v>0</v>
      </c>
      <c r="AR1598" s="52" t="n">
        <v>0</v>
      </c>
      <c r="AS1598" s="52" t="n">
        <v>0</v>
      </c>
      <c r="AT1598" s="52" t="n">
        <v>0</v>
      </c>
      <c r="AU1598" s="53" t="n">
        <v>0</v>
      </c>
      <c r="AV1598" s="53" t="n">
        <v>0</v>
      </c>
      <c r="AW1598" s="53" t="n">
        <v>0</v>
      </c>
      <c r="AX1598" s="53" t="n">
        <v>0</v>
      </c>
      <c r="AY1598" s="52" t="n">
        <v>0</v>
      </c>
      <c r="AZ1598" s="52" t="n">
        <v>19.99</v>
      </c>
      <c r="BA1598" s="52" t="n">
        <v>0</v>
      </c>
      <c r="BB1598" s="52" t="n">
        <v>19.99</v>
      </c>
      <c r="BC1598" s="51" t="n">
        <v>0</v>
      </c>
      <c r="BD1598" s="51" t="n">
        <v>0</v>
      </c>
      <c r="BE1598" s="51" t="n">
        <v>0</v>
      </c>
      <c r="BF1598" s="51" t="n">
        <v>0</v>
      </c>
    </row>
    <row r="1599">
      <c r="A1599">
        <f>HYPERLINK("https://www.walmart.com/ip/147549406", "147549406")</f>
        <v/>
      </c>
      <c r="B1599" t="inlineStr">
        <is>
          <t>JenniWears® Women's Ultra Sheer Lace Top Thigh High Pantyhose - 6 Packs</t>
        </is>
      </c>
      <c r="C1599" t="inlineStr">
        <is>
          <t>JWBLSPH2015-6pcs</t>
        </is>
      </c>
      <c r="D1599" t="inlineStr">
        <is>
          <t>Pantyhose &amp; Tights</t>
        </is>
      </c>
      <c r="E1599" t="inlineStr">
        <is>
          <t>JenniWears</t>
        </is>
      </c>
      <c r="F1599" t="inlineStr">
        <is>
          <t>Optimized,Valentine</t>
        </is>
      </c>
      <c r="G1599" s="48" t="n">
        <v>0</v>
      </c>
      <c r="H1599" s="48" t="n">
        <v>0</v>
      </c>
      <c r="I1599" s="48" t="n">
        <v>0</v>
      </c>
      <c r="J1599" s="48" t="n">
        <v>0</v>
      </c>
      <c r="K1599" s="49" t="n">
        <v>0</v>
      </c>
      <c r="L1599" s="49" t="n">
        <v>0</v>
      </c>
      <c r="M1599" s="49" t="n">
        <v>0</v>
      </c>
      <c r="N1599" s="49" t="n">
        <v>0</v>
      </c>
      <c r="O1599" s="49" t="n">
        <v>0</v>
      </c>
      <c r="P1599" s="49" t="n">
        <v>0</v>
      </c>
      <c r="Q1599" s="49" t="n">
        <v>0</v>
      </c>
      <c r="R1599" s="49" t="n">
        <v>0</v>
      </c>
      <c r="S1599" s="50" t="n">
        <v>0</v>
      </c>
      <c r="T1599" s="50" t="n">
        <v>0</v>
      </c>
      <c r="U1599" s="50" t="n">
        <v>0</v>
      </c>
      <c r="V1599" s="50" t="n">
        <v>0</v>
      </c>
      <c r="W1599" s="51" t="n">
        <v>0</v>
      </c>
      <c r="X1599" s="51" t="n">
        <v>0</v>
      </c>
      <c r="Y1599" s="51" t="n">
        <v>0</v>
      </c>
      <c r="Z1599" s="51" t="n">
        <v>0</v>
      </c>
      <c r="AA1599" s="52" t="n">
        <v>0</v>
      </c>
      <c r="AB1599" s="52" t="n">
        <v>0</v>
      </c>
      <c r="AC1599" s="52" t="n">
        <v>0</v>
      </c>
      <c r="AD1599" s="52" t="n">
        <v>0</v>
      </c>
      <c r="AE1599" s="52" t="n">
        <v>0</v>
      </c>
      <c r="AF1599" s="52" t="n">
        <v>0</v>
      </c>
      <c r="AG1599" s="52" t="n">
        <v>0</v>
      </c>
      <c r="AH1599" s="52" t="n">
        <v>0</v>
      </c>
      <c r="AI1599" s="52" t="n">
        <v>0</v>
      </c>
      <c r="AJ1599" s="52" t="n">
        <v>0</v>
      </c>
      <c r="AK1599" s="52" t="n">
        <v>0</v>
      </c>
      <c r="AL1599" s="52" t="n">
        <v>0</v>
      </c>
      <c r="AM1599" s="53" t="n">
        <v>0</v>
      </c>
      <c r="AN1599" s="53" t="n">
        <v>0</v>
      </c>
      <c r="AO1599" s="53" t="n">
        <v>0</v>
      </c>
      <c r="AP1599" s="53" t="n">
        <v>0</v>
      </c>
      <c r="AQ1599" s="52" t="n">
        <v>0</v>
      </c>
      <c r="AR1599" s="52" t="n">
        <v>0</v>
      </c>
      <c r="AS1599" s="52" t="n">
        <v>0</v>
      </c>
      <c r="AT1599" s="52" t="n">
        <v>0</v>
      </c>
      <c r="AU1599" s="53" t="n">
        <v>0</v>
      </c>
      <c r="AV1599" s="53" t="n">
        <v>0</v>
      </c>
      <c r="AW1599" s="53" t="n">
        <v>0</v>
      </c>
      <c r="AX1599" s="53" t="n">
        <v>0</v>
      </c>
      <c r="AY1599" s="52" t="n">
        <v>0</v>
      </c>
      <c r="AZ1599" s="52" t="n">
        <v>0</v>
      </c>
      <c r="BA1599" s="52" t="n">
        <v>0</v>
      </c>
      <c r="BB1599" s="52" t="n">
        <v>0</v>
      </c>
      <c r="BC1599" s="51" t="n">
        <v>0</v>
      </c>
      <c r="BD1599" s="51" t="n">
        <v>0</v>
      </c>
      <c r="BE1599" s="51" t="n">
        <v>0</v>
      </c>
      <c r="BF1599" s="51" t="n">
        <v>0</v>
      </c>
    </row>
    <row r="1600">
      <c r="A1600">
        <f>HYPERLINK("https://www.walmart.com/ip/149357126", "149357126")</f>
        <v/>
      </c>
      <c r="B1600" t="inlineStr">
        <is>
          <t>Tirrinia Snow Micro Fleece Sherpa Plush Bed Throw TV Blanket 50” x 60”</t>
        </is>
      </c>
      <c r="C1600" t="inlineStr">
        <is>
          <t>1TRBF321BL-TBGM</t>
        </is>
      </c>
      <c r="D1600" t="inlineStr">
        <is>
          <t>Throws</t>
        </is>
      </c>
      <c r="E1600" t="inlineStr">
        <is>
          <t>Tirrinia</t>
        </is>
      </c>
      <c r="F1600" t="inlineStr">
        <is>
          <t>Batch 1 - TR</t>
        </is>
      </c>
      <c r="G1600" s="48" t="n">
        <v>0</v>
      </c>
      <c r="H1600" s="48" t="n">
        <v>0</v>
      </c>
      <c r="I1600" s="48" t="n">
        <v>0</v>
      </c>
      <c r="J1600" s="48" t="n">
        <v>0</v>
      </c>
      <c r="K1600" s="49" t="n">
        <v>0</v>
      </c>
      <c r="L1600" s="49" t="n">
        <v>0</v>
      </c>
      <c r="M1600" s="49" t="n">
        <v>0</v>
      </c>
      <c r="N1600" s="49" t="n">
        <v>0</v>
      </c>
      <c r="O1600" s="49" t="n">
        <v>0</v>
      </c>
      <c r="P1600" s="49" t="n">
        <v>0</v>
      </c>
      <c r="Q1600" s="49" t="n">
        <v>0</v>
      </c>
      <c r="R1600" s="49" t="n">
        <v>0</v>
      </c>
      <c r="S1600" s="50" t="n">
        <v>0</v>
      </c>
      <c r="T1600" s="50" t="n">
        <v>0</v>
      </c>
      <c r="U1600" s="50" t="n">
        <v>0</v>
      </c>
      <c r="V1600" s="50" t="n">
        <v>0</v>
      </c>
      <c r="W1600" s="51" t="n">
        <v>0</v>
      </c>
      <c r="X1600" s="51" t="n">
        <v>0</v>
      </c>
      <c r="Y1600" s="51" t="n">
        <v>0</v>
      </c>
      <c r="Z1600" s="51" t="n">
        <v>0</v>
      </c>
      <c r="AA1600" s="52" t="n">
        <v>0</v>
      </c>
      <c r="AB1600" s="52" t="n">
        <v>0</v>
      </c>
      <c r="AC1600" s="52" t="n">
        <v>0</v>
      </c>
      <c r="AD1600" s="52" t="n">
        <v>0</v>
      </c>
      <c r="AE1600" s="52" t="n">
        <v>0</v>
      </c>
      <c r="AF1600" s="52" t="n">
        <v>0</v>
      </c>
      <c r="AG1600" s="52" t="n">
        <v>0</v>
      </c>
      <c r="AH1600" s="52" t="n">
        <v>0</v>
      </c>
      <c r="AI1600" s="52" t="n">
        <v>0</v>
      </c>
      <c r="AJ1600" s="52" t="n">
        <v>0</v>
      </c>
      <c r="AK1600" s="52" t="n">
        <v>0</v>
      </c>
      <c r="AL1600" s="52" t="n">
        <v>0</v>
      </c>
      <c r="AM1600" s="53" t="n">
        <v>0</v>
      </c>
      <c r="AN1600" s="53" t="n">
        <v>0</v>
      </c>
      <c r="AO1600" s="53" t="n">
        <v>0</v>
      </c>
      <c r="AP1600" s="53" t="n">
        <v>0</v>
      </c>
      <c r="AQ1600" s="52" t="n">
        <v>0</v>
      </c>
      <c r="AR1600" s="52" t="n">
        <v>0</v>
      </c>
      <c r="AS1600" s="52" t="n">
        <v>0</v>
      </c>
      <c r="AT1600" s="52" t="n">
        <v>0</v>
      </c>
      <c r="AU1600" s="53" t="n">
        <v>0</v>
      </c>
      <c r="AV1600" s="53" t="n">
        <v>0</v>
      </c>
      <c r="AW1600" s="53" t="n">
        <v>0</v>
      </c>
      <c r="AX1600" s="53" t="n">
        <v>0</v>
      </c>
      <c r="AY1600" s="52" t="n">
        <v>0</v>
      </c>
      <c r="AZ1600" s="52" t="n">
        <v>0</v>
      </c>
      <c r="BA1600" s="52" t="n">
        <v>0</v>
      </c>
      <c r="BB1600" s="52" t="n">
        <v>0</v>
      </c>
      <c r="BC1600" s="51" t="n">
        <v>0</v>
      </c>
      <c r="BD1600" s="51" t="n">
        <v>0</v>
      </c>
      <c r="BE1600" s="51" t="n">
        <v>0</v>
      </c>
      <c r="BF1600" s="51" t="n">
        <v>0</v>
      </c>
    </row>
    <row r="1601">
      <c r="A1601">
        <f>HYPERLINK("https://www.walmart.com/ip/1477066822", "1477066822")</f>
        <v/>
      </c>
      <c r="B1601" t="inlineStr">
        <is>
          <t>Catalonia All Season Knitted Acrylic Throw Blanket, Cozy Leisure Lightweight Decorative Blanket with Fringe for Bed, Couch, Living Room, Machine Washable, Gey, 50'' × 60''</t>
        </is>
      </c>
      <c r="C1601" t="inlineStr">
        <is>
          <t>1CTBN510GY</t>
        </is>
      </c>
      <c r="D1601" t="inlineStr">
        <is>
          <t>Throws</t>
        </is>
      </c>
      <c r="E1601" t="inlineStr">
        <is>
          <t>Catalonia</t>
        </is>
      </c>
      <c r="F1601" t="inlineStr">
        <is>
          <t>Q2-Target,Coupon_Discount,Batch 1 - TR</t>
        </is>
      </c>
      <c r="G1601" s="48" t="n">
        <v>0</v>
      </c>
      <c r="H1601" s="48" t="n">
        <v>0</v>
      </c>
      <c r="I1601" s="48" t="n">
        <v>0</v>
      </c>
      <c r="J1601" s="48" t="n">
        <v>0</v>
      </c>
      <c r="K1601" s="49" t="n">
        <v>0</v>
      </c>
      <c r="L1601" s="49" t="n">
        <v>0</v>
      </c>
      <c r="M1601" s="49" t="n">
        <v>0</v>
      </c>
      <c r="N1601" s="49" t="n">
        <v>0</v>
      </c>
      <c r="O1601" s="49" t="n">
        <v>0</v>
      </c>
      <c r="P1601" s="49" t="n">
        <v>0</v>
      </c>
      <c r="Q1601" s="49" t="n">
        <v>0</v>
      </c>
      <c r="R1601" s="49" t="n">
        <v>0</v>
      </c>
      <c r="S1601" s="50" t="n">
        <v>0</v>
      </c>
      <c r="T1601" s="50" t="n">
        <v>0</v>
      </c>
      <c r="U1601" s="50" t="n">
        <v>0</v>
      </c>
      <c r="V1601" s="50" t="n">
        <v>0</v>
      </c>
      <c r="W1601" s="51" t="n">
        <v>0</v>
      </c>
      <c r="X1601" s="51" t="n">
        <v>0</v>
      </c>
      <c r="Y1601" s="51" t="n">
        <v>0</v>
      </c>
      <c r="Z1601" s="51" t="n">
        <v>0</v>
      </c>
      <c r="AA1601" s="52" t="n">
        <v>0</v>
      </c>
      <c r="AB1601" s="52" t="n">
        <v>0</v>
      </c>
      <c r="AC1601" s="52" t="n">
        <v>0</v>
      </c>
      <c r="AD1601" s="52" t="n">
        <v>0</v>
      </c>
      <c r="AE1601" s="52" t="n">
        <v>0</v>
      </c>
      <c r="AF1601" s="52" t="n">
        <v>0</v>
      </c>
      <c r="AG1601" s="52" t="n">
        <v>0</v>
      </c>
      <c r="AH1601" s="52" t="n">
        <v>0</v>
      </c>
      <c r="AI1601" s="52" t="n">
        <v>0</v>
      </c>
      <c r="AJ1601" s="52" t="n">
        <v>0</v>
      </c>
      <c r="AK1601" s="52" t="n">
        <v>0</v>
      </c>
      <c r="AL1601" s="52" t="n">
        <v>0</v>
      </c>
      <c r="AM1601" s="53" t="n">
        <v>0</v>
      </c>
      <c r="AN1601" s="53" t="n">
        <v>0</v>
      </c>
      <c r="AO1601" s="53" t="n">
        <v>0</v>
      </c>
      <c r="AP1601" s="53" t="n">
        <v>0</v>
      </c>
      <c r="AQ1601" s="52" t="n">
        <v>0</v>
      </c>
      <c r="AR1601" s="52" t="n">
        <v>0</v>
      </c>
      <c r="AS1601" s="52" t="n">
        <v>0</v>
      </c>
      <c r="AT1601" s="52" t="n">
        <v>0</v>
      </c>
      <c r="AU1601" s="53" t="n">
        <v>0</v>
      </c>
      <c r="AV1601" s="53" t="n">
        <v>0</v>
      </c>
      <c r="AW1601" s="53" t="n">
        <v>0</v>
      </c>
      <c r="AX1601" s="53" t="n">
        <v>0</v>
      </c>
      <c r="AY1601" s="52" t="n">
        <v>0</v>
      </c>
      <c r="AZ1601" s="52" t="n">
        <v>0</v>
      </c>
      <c r="BA1601" s="52" t="n">
        <v>0</v>
      </c>
      <c r="BB1601" s="52" t="n">
        <v>0</v>
      </c>
      <c r="BC1601" s="51" t="n">
        <v>0</v>
      </c>
      <c r="BD1601" s="51" t="n">
        <v>0</v>
      </c>
      <c r="BE1601" s="51" t="n">
        <v>0</v>
      </c>
      <c r="BF1601" s="51" t="n">
        <v>0</v>
      </c>
    </row>
    <row r="1602">
      <c r="A1602">
        <f>HYPERLINK("https://www.walmart.com/ip/147800222", "147800222")</f>
        <v/>
      </c>
      <c r="B1602" t="inlineStr">
        <is>
          <t>JenniWears® Women's Sexy See-through Lingerie Lace Fishnet Suspender</t>
        </is>
      </c>
      <c r="C1602" t="inlineStr">
        <is>
          <t>JWBD01BKRD-XL</t>
        </is>
      </c>
      <c r="D1602" t="inlineStr">
        <is>
          <t>Lingerie Sets</t>
        </is>
      </c>
      <c r="E1602" t="inlineStr">
        <is>
          <t>JenniWears</t>
        </is>
      </c>
      <c r="F1602" t="inlineStr">
        <is>
          <t>Batch 1 - TR</t>
        </is>
      </c>
      <c r="G1602" s="48" t="n">
        <v>0</v>
      </c>
      <c r="H1602" s="48" t="n">
        <v>0</v>
      </c>
      <c r="I1602" s="48" t="n">
        <v>0</v>
      </c>
      <c r="J1602" s="48" t="n">
        <v>0</v>
      </c>
      <c r="K1602" s="49" t="n">
        <v>0</v>
      </c>
      <c r="L1602" s="49" t="n">
        <v>0</v>
      </c>
      <c r="M1602" s="49" t="n">
        <v>0</v>
      </c>
      <c r="N1602" s="49" t="n">
        <v>0</v>
      </c>
      <c r="O1602" s="49" t="n">
        <v>0</v>
      </c>
      <c r="P1602" s="49" t="n">
        <v>0</v>
      </c>
      <c r="Q1602" s="49" t="n">
        <v>0</v>
      </c>
      <c r="R1602" s="49" t="n">
        <v>0</v>
      </c>
      <c r="S1602" s="50" t="n">
        <v>0</v>
      </c>
      <c r="T1602" s="50" t="n">
        <v>0</v>
      </c>
      <c r="U1602" s="50" t="n">
        <v>0</v>
      </c>
      <c r="V1602" s="50" t="n">
        <v>0</v>
      </c>
      <c r="W1602" s="51" t="n">
        <v>0</v>
      </c>
      <c r="X1602" s="51" t="n">
        <v>0</v>
      </c>
      <c r="Y1602" s="51" t="n">
        <v>0</v>
      </c>
      <c r="Z1602" s="51" t="n">
        <v>0</v>
      </c>
      <c r="AA1602" s="52" t="n">
        <v>0</v>
      </c>
      <c r="AB1602" s="52" t="n">
        <v>0</v>
      </c>
      <c r="AC1602" s="52" t="n">
        <v>0</v>
      </c>
      <c r="AD1602" s="52" t="n">
        <v>0</v>
      </c>
      <c r="AE1602" s="52" t="n">
        <v>0</v>
      </c>
      <c r="AF1602" s="52" t="n">
        <v>0</v>
      </c>
      <c r="AG1602" s="52" t="n">
        <v>0</v>
      </c>
      <c r="AH1602" s="52" t="n">
        <v>0</v>
      </c>
      <c r="AI1602" s="52" t="n">
        <v>0</v>
      </c>
      <c r="AJ1602" s="52" t="n">
        <v>0</v>
      </c>
      <c r="AK1602" s="52" t="n">
        <v>0</v>
      </c>
      <c r="AL1602" s="52" t="n">
        <v>0</v>
      </c>
      <c r="AM1602" s="53" t="n">
        <v>0</v>
      </c>
      <c r="AN1602" s="53" t="n">
        <v>0</v>
      </c>
      <c r="AO1602" s="53" t="n">
        <v>0</v>
      </c>
      <c r="AP1602" s="53" t="n">
        <v>0</v>
      </c>
      <c r="AQ1602" s="52" t="n">
        <v>0</v>
      </c>
      <c r="AR1602" s="52" t="n">
        <v>0</v>
      </c>
      <c r="AS1602" s="52" t="n">
        <v>0</v>
      </c>
      <c r="AT1602" s="52" t="n">
        <v>0</v>
      </c>
      <c r="AU1602" s="53" t="n">
        <v>0</v>
      </c>
      <c r="AV1602" s="53" t="n">
        <v>0</v>
      </c>
      <c r="AW1602" s="53" t="n">
        <v>0</v>
      </c>
      <c r="AX1602" s="53" t="n">
        <v>0</v>
      </c>
      <c r="AY1602" s="52" t="n">
        <v>0</v>
      </c>
      <c r="AZ1602" s="52" t="n">
        <v>0</v>
      </c>
      <c r="BA1602" s="52" t="n">
        <v>0</v>
      </c>
      <c r="BB1602" s="52" t="n">
        <v>0</v>
      </c>
      <c r="BC1602" s="51" t="n">
        <v>0</v>
      </c>
      <c r="BD1602" s="51" t="n">
        <v>0</v>
      </c>
      <c r="BE1602" s="51" t="n">
        <v>0</v>
      </c>
      <c r="BF1602" s="51" t="n">
        <v>0</v>
      </c>
    </row>
    <row r="1603">
      <c r="A1603">
        <f>HYPERLINK("https://www.walmart.com/ip/1478723664", "1478723664")</f>
        <v/>
      </c>
      <c r="B1603" t="inlineStr">
        <is>
          <t>Catalonia Hooded Blanket Poncho | Wearable Blanket Wrap with Hand Pockets | Comfy Sherpa Fleece Throw Cape for Children and Adults, Christmas Thanksgiving Mother Gift, Light Grey</t>
        </is>
      </c>
      <c r="C1603" t="inlineStr">
        <is>
          <t>1CTBC100LG</t>
        </is>
      </c>
      <c r="D1603" t="inlineStr">
        <is>
          <t>Throws</t>
        </is>
      </c>
      <c r="E1603" t="inlineStr">
        <is>
          <t>Catalonia</t>
        </is>
      </c>
      <c r="F1603" t="inlineStr">
        <is>
          <t>Batch 1 - TR</t>
        </is>
      </c>
      <c r="G1603" s="48" t="n">
        <v>0</v>
      </c>
      <c r="H1603" s="48" t="n">
        <v>0</v>
      </c>
      <c r="I1603" s="48" t="n">
        <v>0</v>
      </c>
      <c r="J1603" s="48" t="n">
        <v>0</v>
      </c>
      <c r="K1603" s="49" t="n">
        <v>0</v>
      </c>
      <c r="L1603" s="49" t="n">
        <v>0</v>
      </c>
      <c r="M1603" s="49" t="n">
        <v>0</v>
      </c>
      <c r="N1603" s="49" t="n">
        <v>0</v>
      </c>
      <c r="O1603" s="49" t="n">
        <v>0</v>
      </c>
      <c r="P1603" s="49" t="n">
        <v>0</v>
      </c>
      <c r="Q1603" s="49" t="n">
        <v>0</v>
      </c>
      <c r="R1603" s="49" t="n">
        <v>0</v>
      </c>
      <c r="S1603" s="50" t="n">
        <v>0</v>
      </c>
      <c r="T1603" s="50" t="n">
        <v>0</v>
      </c>
      <c r="U1603" s="50" t="n">
        <v>0</v>
      </c>
      <c r="V1603" s="50" t="n">
        <v>0</v>
      </c>
      <c r="W1603" s="51" t="n">
        <v>0</v>
      </c>
      <c r="X1603" s="51" t="n">
        <v>0</v>
      </c>
      <c r="Y1603" s="51" t="n">
        <v>0</v>
      </c>
      <c r="Z1603" s="51" t="n">
        <v>0</v>
      </c>
      <c r="AA1603" s="52" t="n">
        <v>0</v>
      </c>
      <c r="AB1603" s="52" t="n">
        <v>0</v>
      </c>
      <c r="AC1603" s="52" t="n">
        <v>0</v>
      </c>
      <c r="AD1603" s="52" t="n">
        <v>0</v>
      </c>
      <c r="AE1603" s="52" t="n">
        <v>0</v>
      </c>
      <c r="AF1603" s="52" t="n">
        <v>0</v>
      </c>
      <c r="AG1603" s="52" t="n">
        <v>0</v>
      </c>
      <c r="AH1603" s="52" t="n">
        <v>0</v>
      </c>
      <c r="AI1603" s="52" t="n">
        <v>0</v>
      </c>
      <c r="AJ1603" s="52" t="n">
        <v>0</v>
      </c>
      <c r="AK1603" s="52" t="n">
        <v>0</v>
      </c>
      <c r="AL1603" s="52" t="n">
        <v>0</v>
      </c>
      <c r="AM1603" s="53" t="n">
        <v>0</v>
      </c>
      <c r="AN1603" s="53" t="n">
        <v>0</v>
      </c>
      <c r="AO1603" s="53" t="n">
        <v>0</v>
      </c>
      <c r="AP1603" s="53" t="n">
        <v>0</v>
      </c>
      <c r="AQ1603" s="52" t="n">
        <v>0</v>
      </c>
      <c r="AR1603" s="52" t="n">
        <v>0</v>
      </c>
      <c r="AS1603" s="52" t="n">
        <v>0</v>
      </c>
      <c r="AT1603" s="52" t="n">
        <v>0</v>
      </c>
      <c r="AU1603" s="53" t="n">
        <v>0</v>
      </c>
      <c r="AV1603" s="53" t="n">
        <v>0</v>
      </c>
      <c r="AW1603" s="53" t="n">
        <v>0</v>
      </c>
      <c r="AX1603" s="53" t="n">
        <v>0</v>
      </c>
      <c r="AY1603" s="52" t="n">
        <v>0</v>
      </c>
      <c r="AZ1603" s="52" t="n">
        <v>0</v>
      </c>
      <c r="BA1603" s="52" t="n">
        <v>0</v>
      </c>
      <c r="BB1603" s="52" t="n">
        <v>0</v>
      </c>
      <c r="BC1603" s="51" t="n">
        <v>0</v>
      </c>
      <c r="BD1603" s="51" t="n">
        <v>0</v>
      </c>
      <c r="BE1603" s="51" t="n">
        <v>0</v>
      </c>
      <c r="BF1603" s="51" t="n">
        <v>0</v>
      </c>
    </row>
    <row r="1604">
      <c r="A1604">
        <f>HYPERLINK("https://www.walmart.com/ip/1478976346", "1478976346")</f>
        <v/>
      </c>
      <c r="B1604" t="inlineStr">
        <is>
          <t>Sun Visor Sports Cotton Twill Plain Hat with Adjustable Strap for Men Women Outdoor Golf Tennis Running Jogging Hiking</t>
        </is>
      </c>
      <c r="C1604" t="inlineStr">
        <is>
          <t>1SLVS4130DKGN - 12pcs</t>
        </is>
      </c>
      <c r="D1604" t="inlineStr">
        <is>
          <t>Tennis Visors</t>
        </is>
      </c>
      <c r="E1604" t="inlineStr">
        <is>
          <t>Solaris</t>
        </is>
      </c>
      <c r="F1604" t="inlineStr">
        <is>
          <t>Batch 1 - TR</t>
        </is>
      </c>
      <c r="G1604" s="48" t="n">
        <v>0</v>
      </c>
      <c r="H1604" s="48" t="n">
        <v>0</v>
      </c>
      <c r="I1604" s="48" t="n">
        <v>0</v>
      </c>
      <c r="J1604" s="48" t="n">
        <v>0</v>
      </c>
      <c r="K1604" s="49" t="n">
        <v>0</v>
      </c>
      <c r="L1604" s="49" t="n">
        <v>0</v>
      </c>
      <c r="M1604" s="49" t="n">
        <v>0</v>
      </c>
      <c r="N1604" s="49" t="n">
        <v>0</v>
      </c>
      <c r="O1604" s="49" t="n">
        <v>0</v>
      </c>
      <c r="P1604" s="49" t="n">
        <v>0</v>
      </c>
      <c r="Q1604" s="49" t="n">
        <v>0</v>
      </c>
      <c r="R1604" s="49" t="n">
        <v>0</v>
      </c>
      <c r="S1604" s="50" t="n">
        <v>0</v>
      </c>
      <c r="T1604" s="50" t="n">
        <v>0</v>
      </c>
      <c r="U1604" s="50" t="n">
        <v>0</v>
      </c>
      <c r="V1604" s="50" t="n">
        <v>0</v>
      </c>
      <c r="W1604" s="51" t="n">
        <v>0</v>
      </c>
      <c r="X1604" s="51" t="n">
        <v>0</v>
      </c>
      <c r="Y1604" s="51" t="n">
        <v>0</v>
      </c>
      <c r="Z1604" s="51" t="n">
        <v>0</v>
      </c>
      <c r="AA1604" s="52" t="n">
        <v>0</v>
      </c>
      <c r="AB1604" s="52" t="n">
        <v>0</v>
      </c>
      <c r="AC1604" s="52" t="n">
        <v>0</v>
      </c>
      <c r="AD1604" s="52" t="n">
        <v>0</v>
      </c>
      <c r="AE1604" s="52" t="n">
        <v>0</v>
      </c>
      <c r="AF1604" s="52" t="n">
        <v>0</v>
      </c>
      <c r="AG1604" s="52" t="n">
        <v>0</v>
      </c>
      <c r="AH1604" s="52" t="n">
        <v>0</v>
      </c>
      <c r="AI1604" s="52" t="n">
        <v>0</v>
      </c>
      <c r="AJ1604" s="52" t="n">
        <v>0</v>
      </c>
      <c r="AK1604" s="52" t="n">
        <v>0</v>
      </c>
      <c r="AL1604" s="52" t="n">
        <v>0</v>
      </c>
      <c r="AM1604" s="53" t="n">
        <v>0</v>
      </c>
      <c r="AN1604" s="53" t="n">
        <v>0</v>
      </c>
      <c r="AO1604" s="53" t="n">
        <v>0</v>
      </c>
      <c r="AP1604" s="53" t="n">
        <v>0</v>
      </c>
      <c r="AQ1604" s="52" t="n">
        <v>0</v>
      </c>
      <c r="AR1604" s="52" t="n">
        <v>0</v>
      </c>
      <c r="AS1604" s="52" t="n">
        <v>0</v>
      </c>
      <c r="AT1604" s="52" t="n">
        <v>0</v>
      </c>
      <c r="AU1604" s="53" t="n">
        <v>0</v>
      </c>
      <c r="AV1604" s="53" t="n">
        <v>0</v>
      </c>
      <c r="AW1604" s="53" t="n">
        <v>0</v>
      </c>
      <c r="AX1604" s="53" t="n">
        <v>0</v>
      </c>
      <c r="AY1604" s="52" t="n">
        <v>0</v>
      </c>
      <c r="AZ1604" s="52" t="n">
        <v>0</v>
      </c>
      <c r="BA1604" s="52" t="n">
        <v>0</v>
      </c>
      <c r="BB1604" s="52" t="n">
        <v>0</v>
      </c>
      <c r="BC1604" s="51" t="n">
        <v>0</v>
      </c>
      <c r="BD1604" s="51" t="n">
        <v>0</v>
      </c>
      <c r="BE1604" s="51" t="n">
        <v>0</v>
      </c>
      <c r="BF1604" s="51" t="n">
        <v>0</v>
      </c>
    </row>
    <row r="1605">
      <c r="A1605">
        <f>HYPERLINK("https://www.walmart.com/ip/1481775930", "1481775930")</f>
        <v/>
      </c>
      <c r="B1605" t="inlineStr">
        <is>
          <t>Every Day is Christmas Glass Blown Ornaments Cute Hand Made Figurines Tree Decoration, Bacon Eggs</t>
        </is>
      </c>
      <c r="C1605" t="inlineStr">
        <is>
          <t>EDC-FIGURINE-BACONEGGS</t>
        </is>
      </c>
      <c r="D1605" t="inlineStr">
        <is>
          <t>Ornaments</t>
        </is>
      </c>
      <c r="E1605" t="inlineStr">
        <is>
          <t>Every Day is Christmas</t>
        </is>
      </c>
      <c r="G1605" s="48" t="n">
        <v>0</v>
      </c>
      <c r="H1605" s="48" t="n">
        <v>0</v>
      </c>
      <c r="I1605" s="48" t="n">
        <v>0</v>
      </c>
      <c r="J1605" s="48" t="n">
        <v>0</v>
      </c>
      <c r="K1605" s="49" t="n">
        <v>0</v>
      </c>
      <c r="L1605" s="49" t="n">
        <v>0</v>
      </c>
      <c r="M1605" s="49" t="n">
        <v>0</v>
      </c>
      <c r="N1605" s="49" t="n">
        <v>0</v>
      </c>
      <c r="O1605" s="49" t="n">
        <v>0</v>
      </c>
      <c r="P1605" s="49" t="n">
        <v>0</v>
      </c>
      <c r="Q1605" s="49" t="n">
        <v>0</v>
      </c>
      <c r="R1605" s="49" t="n">
        <v>0</v>
      </c>
      <c r="S1605" s="50" t="n">
        <v>0</v>
      </c>
      <c r="T1605" s="50" t="n">
        <v>0</v>
      </c>
      <c r="U1605" s="50" t="n">
        <v>0</v>
      </c>
      <c r="V1605" s="50" t="n">
        <v>0</v>
      </c>
      <c r="W1605" s="51" t="n">
        <v>0</v>
      </c>
      <c r="X1605" s="51" t="n">
        <v>0</v>
      </c>
      <c r="Y1605" s="51" t="n">
        <v>0</v>
      </c>
      <c r="Z1605" s="51" t="n">
        <v>0</v>
      </c>
      <c r="AA1605" s="52" t="n">
        <v>0</v>
      </c>
      <c r="AB1605" s="52" t="n">
        <v>0</v>
      </c>
      <c r="AC1605" s="52" t="n">
        <v>0</v>
      </c>
      <c r="AD1605" s="52" t="n">
        <v>0</v>
      </c>
      <c r="AE1605" s="52" t="n">
        <v>0</v>
      </c>
      <c r="AF1605" s="52" t="n">
        <v>0</v>
      </c>
      <c r="AG1605" s="52" t="n">
        <v>0</v>
      </c>
      <c r="AH1605" s="52" t="n">
        <v>0</v>
      </c>
      <c r="AI1605" s="52" t="n">
        <v>0</v>
      </c>
      <c r="AJ1605" s="52" t="n">
        <v>0</v>
      </c>
      <c r="AK1605" s="52" t="n">
        <v>0</v>
      </c>
      <c r="AL1605" s="52" t="n">
        <v>0</v>
      </c>
      <c r="AM1605" s="53" t="n">
        <v>0</v>
      </c>
      <c r="AN1605" s="53" t="n">
        <v>0</v>
      </c>
      <c r="AO1605" s="53" t="n">
        <v>0</v>
      </c>
      <c r="AP1605" s="53" t="n">
        <v>0</v>
      </c>
      <c r="AQ1605" s="52" t="n">
        <v>0</v>
      </c>
      <c r="AR1605" s="52" t="n">
        <v>0</v>
      </c>
      <c r="AS1605" s="52" t="n">
        <v>0</v>
      </c>
      <c r="AT1605" s="52" t="n">
        <v>0</v>
      </c>
      <c r="AU1605" s="53" t="n">
        <v>0</v>
      </c>
      <c r="AV1605" s="53" t="n">
        <v>0</v>
      </c>
      <c r="AW1605" s="53" t="n">
        <v>0</v>
      </c>
      <c r="AX1605" s="53" t="n">
        <v>0</v>
      </c>
      <c r="AY1605" s="52" t="n">
        <v>0</v>
      </c>
      <c r="AZ1605" s="52" t="n">
        <v>0</v>
      </c>
      <c r="BA1605" s="52" t="n">
        <v>0</v>
      </c>
      <c r="BB1605" s="52" t="n">
        <v>0</v>
      </c>
      <c r="BC1605" s="51" t="n">
        <v>0</v>
      </c>
      <c r="BD1605" s="51" t="n">
        <v>0</v>
      </c>
      <c r="BE1605" s="51" t="n">
        <v>0</v>
      </c>
      <c r="BF1605" s="51" t="n">
        <v>0</v>
      </c>
    </row>
    <row r="1606">
      <c r="A1606">
        <f>HYPERLINK("https://www.walmart.com/ip/1491470197", "1491470197")</f>
        <v/>
      </c>
      <c r="B1606" t="inlineStr">
        <is>
          <t>Every Day is Christmas Glass Blown Ornaments Cute Hand Made Figurines Tree Decoration, Pagoda</t>
        </is>
      </c>
      <c r="C1606" t="inlineStr">
        <is>
          <t>EDC-FIGURINE-PAGODA</t>
        </is>
      </c>
      <c r="D1606" t="inlineStr">
        <is>
          <t>Ornaments</t>
        </is>
      </c>
      <c r="E1606" t="inlineStr">
        <is>
          <t>Every Day is Christmas</t>
        </is>
      </c>
      <c r="G1606" s="48" t="n">
        <v>0</v>
      </c>
      <c r="H1606" s="48" t="n">
        <v>0</v>
      </c>
      <c r="I1606" s="48" t="n">
        <v>0</v>
      </c>
      <c r="J1606" s="48" t="n">
        <v>0</v>
      </c>
      <c r="K1606" s="49" t="n">
        <v>0</v>
      </c>
      <c r="L1606" s="49" t="n">
        <v>0</v>
      </c>
      <c r="M1606" s="49" t="n">
        <v>0</v>
      </c>
      <c r="N1606" s="49" t="n">
        <v>0</v>
      </c>
      <c r="O1606" s="49" t="n">
        <v>0</v>
      </c>
      <c r="P1606" s="49" t="n">
        <v>0</v>
      </c>
      <c r="Q1606" s="49" t="n">
        <v>0</v>
      </c>
      <c r="R1606" s="49" t="n">
        <v>0</v>
      </c>
      <c r="S1606" s="50" t="n">
        <v>0</v>
      </c>
      <c r="T1606" s="50" t="n">
        <v>0</v>
      </c>
      <c r="U1606" s="50" t="n">
        <v>0</v>
      </c>
      <c r="V1606" s="50" t="n">
        <v>0</v>
      </c>
      <c r="W1606" s="51" t="n">
        <v>0</v>
      </c>
      <c r="X1606" s="51" t="n">
        <v>0</v>
      </c>
      <c r="Y1606" s="51" t="n">
        <v>0</v>
      </c>
      <c r="Z1606" s="51" t="n">
        <v>0</v>
      </c>
      <c r="AA1606" s="52" t="n">
        <v>0</v>
      </c>
      <c r="AB1606" s="52" t="n">
        <v>0</v>
      </c>
      <c r="AC1606" s="52" t="n">
        <v>0</v>
      </c>
      <c r="AD1606" s="52" t="n">
        <v>0</v>
      </c>
      <c r="AE1606" s="52" t="n">
        <v>0</v>
      </c>
      <c r="AF1606" s="52" t="n">
        <v>0</v>
      </c>
      <c r="AG1606" s="52" t="n">
        <v>0</v>
      </c>
      <c r="AH1606" s="52" t="n">
        <v>0</v>
      </c>
      <c r="AI1606" s="52" t="n">
        <v>0</v>
      </c>
      <c r="AJ1606" s="52" t="n">
        <v>0</v>
      </c>
      <c r="AK1606" s="52" t="n">
        <v>0</v>
      </c>
      <c r="AL1606" s="52" t="n">
        <v>0</v>
      </c>
      <c r="AM1606" s="53" t="n">
        <v>0</v>
      </c>
      <c r="AN1606" s="53" t="n">
        <v>0</v>
      </c>
      <c r="AO1606" s="53" t="n">
        <v>0</v>
      </c>
      <c r="AP1606" s="53" t="n">
        <v>0</v>
      </c>
      <c r="AQ1606" s="52" t="n">
        <v>0</v>
      </c>
      <c r="AR1606" s="52" t="n">
        <v>0</v>
      </c>
      <c r="AS1606" s="52" t="n">
        <v>0</v>
      </c>
      <c r="AT1606" s="52" t="n">
        <v>0</v>
      </c>
      <c r="AU1606" s="53" t="n">
        <v>0</v>
      </c>
      <c r="AV1606" s="53" t="n">
        <v>0</v>
      </c>
      <c r="AW1606" s="53" t="n">
        <v>0</v>
      </c>
      <c r="AX1606" s="53" t="n">
        <v>0</v>
      </c>
      <c r="AY1606" s="52" t="n">
        <v>0</v>
      </c>
      <c r="AZ1606" s="52" t="n">
        <v>0</v>
      </c>
      <c r="BA1606" s="52" t="n">
        <v>0</v>
      </c>
      <c r="BB1606" s="52" t="n">
        <v>0</v>
      </c>
      <c r="BC1606" s="51" t="n">
        <v>0</v>
      </c>
      <c r="BD1606" s="51" t="n">
        <v>0</v>
      </c>
      <c r="BE1606" s="51" t="n">
        <v>0</v>
      </c>
      <c r="BF1606" s="51" t="n">
        <v>0</v>
      </c>
    </row>
    <row r="1607">
      <c r="A1607">
        <f>HYPERLINK("https://www.walmart.com/ip/139877519", "139877519")</f>
        <v/>
      </c>
      <c r="B1607" t="inlineStr">
        <is>
          <t>JenniWears® Women's 3-Pack Leopard Lace Garter Belt Stretch Stocking Suspender</t>
        </is>
      </c>
      <c r="C1607" t="inlineStr">
        <is>
          <t>JWBLSPH2108-3pcs</t>
        </is>
      </c>
      <c r="D1607" t="inlineStr">
        <is>
          <t>Garter Belts</t>
        </is>
      </c>
      <c r="E1607" t="inlineStr">
        <is>
          <t>JenniWears</t>
        </is>
      </c>
      <c r="F1607" t="inlineStr">
        <is>
          <t>Optimized,Valentine</t>
        </is>
      </c>
      <c r="G1607" s="48" t="n">
        <v>0</v>
      </c>
      <c r="H1607" s="48" t="n">
        <v>0</v>
      </c>
      <c r="I1607" s="48" t="n">
        <v>0</v>
      </c>
      <c r="J1607" s="48" t="n">
        <v>0</v>
      </c>
      <c r="K1607" s="49" t="n">
        <v>0</v>
      </c>
      <c r="L1607" s="49" t="n">
        <v>0</v>
      </c>
      <c r="M1607" s="49" t="n">
        <v>0</v>
      </c>
      <c r="N1607" s="49" t="n">
        <v>0</v>
      </c>
      <c r="O1607" s="49" t="n">
        <v>0</v>
      </c>
      <c r="P1607" s="49" t="n">
        <v>0</v>
      </c>
      <c r="Q1607" s="49" t="n">
        <v>0</v>
      </c>
      <c r="R1607" s="49" t="n">
        <v>0</v>
      </c>
      <c r="S1607" s="50" t="n">
        <v>0</v>
      </c>
      <c r="T1607" s="50" t="n">
        <v>0</v>
      </c>
      <c r="U1607" s="50" t="n">
        <v>0</v>
      </c>
      <c r="V1607" s="50" t="n">
        <v>0</v>
      </c>
      <c r="W1607" s="51" t="n">
        <v>0</v>
      </c>
      <c r="X1607" s="51" t="n">
        <v>0</v>
      </c>
      <c r="Y1607" s="51" t="n">
        <v>0</v>
      </c>
      <c r="Z1607" s="51" t="n">
        <v>0</v>
      </c>
      <c r="AA1607" s="52" t="n">
        <v>0</v>
      </c>
      <c r="AB1607" s="52" t="n">
        <v>0</v>
      </c>
      <c r="AC1607" s="52" t="n">
        <v>0</v>
      </c>
      <c r="AD1607" s="52" t="n">
        <v>0</v>
      </c>
      <c r="AE1607" s="52" t="n">
        <v>0</v>
      </c>
      <c r="AF1607" s="52" t="n">
        <v>0</v>
      </c>
      <c r="AG1607" s="52" t="n">
        <v>0</v>
      </c>
      <c r="AH1607" s="52" t="n">
        <v>0</v>
      </c>
      <c r="AI1607" s="52" t="n">
        <v>0</v>
      </c>
      <c r="AJ1607" s="52" t="n">
        <v>0</v>
      </c>
      <c r="AK1607" s="52" t="n">
        <v>0</v>
      </c>
      <c r="AL1607" s="52" t="n">
        <v>0</v>
      </c>
      <c r="AM1607" s="53" t="n">
        <v>0</v>
      </c>
      <c r="AN1607" s="53" t="n">
        <v>0</v>
      </c>
      <c r="AO1607" s="53" t="n">
        <v>0</v>
      </c>
      <c r="AP1607" s="53" t="n">
        <v>0</v>
      </c>
      <c r="AQ1607" s="52" t="n">
        <v>0</v>
      </c>
      <c r="AR1607" s="52" t="n">
        <v>0</v>
      </c>
      <c r="AS1607" s="52" t="n">
        <v>0</v>
      </c>
      <c r="AT1607" s="52" t="n">
        <v>0</v>
      </c>
      <c r="AU1607" s="53" t="n">
        <v>0</v>
      </c>
      <c r="AV1607" s="53" t="n">
        <v>0</v>
      </c>
      <c r="AW1607" s="53" t="n">
        <v>0</v>
      </c>
      <c r="AX1607" s="53" t="n">
        <v>0</v>
      </c>
      <c r="AY1607" s="52" t="n">
        <v>0</v>
      </c>
      <c r="AZ1607" s="52" t="n">
        <v>0</v>
      </c>
      <c r="BA1607" s="52" t="n">
        <v>0</v>
      </c>
      <c r="BB1607" s="52" t="n">
        <v>0</v>
      </c>
      <c r="BC1607" s="51" t="n">
        <v>0</v>
      </c>
      <c r="BD1607" s="51" t="n">
        <v>0</v>
      </c>
      <c r="BE1607" s="51" t="n">
        <v>0</v>
      </c>
      <c r="BF1607" s="51" t="n">
        <v>0</v>
      </c>
    </row>
    <row r="1608">
      <c r="A1608">
        <f>HYPERLINK("https://www.walmart.com/ip/139794494", "139794494")</f>
        <v/>
      </c>
      <c r="B1608" t="inlineStr">
        <is>
          <t>Catalonia Super Soft Sherpa Throw Blanket 50" x 60" Reversible Match Color Fuzzy Micro Plush All Season Fleece TV Blanke</t>
        </is>
      </c>
      <c r="C1608" t="inlineStr">
        <is>
          <t>1CTBF301LT</t>
        </is>
      </c>
      <c r="D1608" t="inlineStr">
        <is>
          <t>Throws</t>
        </is>
      </c>
      <c r="E1608" t="inlineStr">
        <is>
          <t>Catalonia</t>
        </is>
      </c>
      <c r="F1608" t="inlineStr">
        <is>
          <t>WFS,WFS Item</t>
        </is>
      </c>
      <c r="G1608" s="48" t="n">
        <v>0</v>
      </c>
      <c r="H1608" s="48" t="n">
        <v>0</v>
      </c>
      <c r="I1608" s="48" t="n">
        <v>0</v>
      </c>
      <c r="J1608" s="48" t="n">
        <v>0</v>
      </c>
      <c r="K1608" s="49" t="n">
        <v>0</v>
      </c>
      <c r="L1608" s="49" t="n">
        <v>0</v>
      </c>
      <c r="M1608" s="49" t="n">
        <v>0</v>
      </c>
      <c r="N1608" s="49" t="n">
        <v>0</v>
      </c>
      <c r="O1608" s="49" t="n">
        <v>0</v>
      </c>
      <c r="P1608" s="49" t="n">
        <v>0</v>
      </c>
      <c r="Q1608" s="49" t="n">
        <v>0</v>
      </c>
      <c r="R1608" s="49" t="n">
        <v>0</v>
      </c>
      <c r="S1608" s="50" t="n">
        <v>0</v>
      </c>
      <c r="T1608" s="50" t="n">
        <v>0</v>
      </c>
      <c r="U1608" s="50" t="n">
        <v>0</v>
      </c>
      <c r="V1608" s="50" t="n">
        <v>0</v>
      </c>
      <c r="W1608" s="51" t="n">
        <v>0</v>
      </c>
      <c r="X1608" s="51" t="n">
        <v>0</v>
      </c>
      <c r="Y1608" s="51" t="n">
        <v>0</v>
      </c>
      <c r="Z1608" s="51" t="n">
        <v>0</v>
      </c>
      <c r="AA1608" s="52" t="n">
        <v>0</v>
      </c>
      <c r="AB1608" s="52" t="n">
        <v>0</v>
      </c>
      <c r="AC1608" s="52" t="n">
        <v>0</v>
      </c>
      <c r="AD1608" s="52" t="n">
        <v>0</v>
      </c>
      <c r="AE1608" s="52" t="n">
        <v>0</v>
      </c>
      <c r="AF1608" s="52" t="n">
        <v>0</v>
      </c>
      <c r="AG1608" s="52" t="n">
        <v>0</v>
      </c>
      <c r="AH1608" s="52" t="n">
        <v>0</v>
      </c>
      <c r="AI1608" s="52" t="n">
        <v>0</v>
      </c>
      <c r="AJ1608" s="52" t="n">
        <v>0</v>
      </c>
      <c r="AK1608" s="52" t="n">
        <v>0</v>
      </c>
      <c r="AL1608" s="52" t="n">
        <v>0</v>
      </c>
      <c r="AM1608" s="53" t="n">
        <v>0</v>
      </c>
      <c r="AN1608" s="53" t="n">
        <v>0</v>
      </c>
      <c r="AO1608" s="53" t="n">
        <v>0</v>
      </c>
      <c r="AP1608" s="53" t="n">
        <v>0</v>
      </c>
      <c r="AQ1608" s="52" t="n">
        <v>0</v>
      </c>
      <c r="AR1608" s="52" t="n">
        <v>0</v>
      </c>
      <c r="AS1608" s="52" t="n">
        <v>0</v>
      </c>
      <c r="AT1608" s="52" t="n">
        <v>0</v>
      </c>
      <c r="AU1608" s="53" t="n">
        <v>0</v>
      </c>
      <c r="AV1608" s="53" t="n">
        <v>0</v>
      </c>
      <c r="AW1608" s="53" t="n">
        <v>0</v>
      </c>
      <c r="AX1608" s="53" t="n">
        <v>0</v>
      </c>
      <c r="AY1608" s="52" t="n">
        <v>0</v>
      </c>
      <c r="AZ1608" s="52" t="n">
        <v>0</v>
      </c>
      <c r="BA1608" s="52" t="n">
        <v>0</v>
      </c>
      <c r="BB1608" s="52" t="n">
        <v>0</v>
      </c>
      <c r="BC1608" s="51" t="n">
        <v>0</v>
      </c>
      <c r="BD1608" s="51" t="n">
        <v>0</v>
      </c>
      <c r="BE1608" s="51" t="n">
        <v>0</v>
      </c>
      <c r="BF1608" s="51" t="n">
        <v>0</v>
      </c>
    </row>
    <row r="1609">
      <c r="A1609">
        <f>HYPERLINK("https://www.walmart.com/ip/159895923", "159895923")</f>
        <v/>
      </c>
      <c r="B1609" t="inlineStr">
        <is>
          <t>JenniWears Women Beileise Sexy Garter Belt Suspender - 6 Packs</t>
        </is>
      </c>
      <c r="C1609" t="inlineStr">
        <is>
          <t>JWBLSPH2073-6pcs</t>
        </is>
      </c>
      <c r="D1609" t="inlineStr">
        <is>
          <t>Garter Belts</t>
        </is>
      </c>
      <c r="E1609" t="inlineStr">
        <is>
          <t>JenniWears</t>
        </is>
      </c>
      <c r="G1609" s="48" t="n">
        <v>0</v>
      </c>
      <c r="H1609" s="48" t="n">
        <v>0</v>
      </c>
      <c r="I1609" s="48" t="n">
        <v>0</v>
      </c>
      <c r="J1609" s="48" t="n">
        <v>0</v>
      </c>
      <c r="K1609" s="49" t="n">
        <v>0</v>
      </c>
      <c r="L1609" s="49" t="n">
        <v>0</v>
      </c>
      <c r="M1609" s="49" t="n">
        <v>0</v>
      </c>
      <c r="N1609" s="49" t="n">
        <v>0</v>
      </c>
      <c r="O1609" s="49" t="n">
        <v>0</v>
      </c>
      <c r="P1609" s="49" t="n">
        <v>0</v>
      </c>
      <c r="Q1609" s="49" t="n">
        <v>0</v>
      </c>
      <c r="R1609" s="49" t="n">
        <v>0</v>
      </c>
      <c r="S1609" s="50" t="n">
        <v>0</v>
      </c>
      <c r="T1609" s="50" t="n">
        <v>0</v>
      </c>
      <c r="U1609" s="50" t="n">
        <v>0</v>
      </c>
      <c r="V1609" s="50" t="n">
        <v>0</v>
      </c>
      <c r="W1609" s="51" t="n">
        <v>0</v>
      </c>
      <c r="X1609" s="51" t="n">
        <v>0</v>
      </c>
      <c r="Y1609" s="51" t="n">
        <v>0</v>
      </c>
      <c r="Z1609" s="51" t="n">
        <v>0</v>
      </c>
      <c r="AA1609" s="52" t="n">
        <v>0</v>
      </c>
      <c r="AB1609" s="52" t="n">
        <v>0</v>
      </c>
      <c r="AC1609" s="52" t="n">
        <v>0</v>
      </c>
      <c r="AD1609" s="52" t="n">
        <v>0</v>
      </c>
      <c r="AE1609" s="52" t="n">
        <v>0</v>
      </c>
      <c r="AF1609" s="52" t="n">
        <v>0</v>
      </c>
      <c r="AG1609" s="52" t="n">
        <v>0</v>
      </c>
      <c r="AH1609" s="52" t="n">
        <v>0</v>
      </c>
      <c r="AI1609" s="52" t="n">
        <v>0</v>
      </c>
      <c r="AJ1609" s="52" t="n">
        <v>0</v>
      </c>
      <c r="AK1609" s="52" t="n">
        <v>0</v>
      </c>
      <c r="AL1609" s="52" t="n">
        <v>0</v>
      </c>
      <c r="AM1609" s="53" t="n">
        <v>0</v>
      </c>
      <c r="AN1609" s="53" t="n">
        <v>0</v>
      </c>
      <c r="AO1609" s="53" t="n">
        <v>0</v>
      </c>
      <c r="AP1609" s="53" t="n">
        <v>0</v>
      </c>
      <c r="AQ1609" s="52" t="n">
        <v>0</v>
      </c>
      <c r="AR1609" s="52" t="n">
        <v>0</v>
      </c>
      <c r="AS1609" s="52" t="n">
        <v>0</v>
      </c>
      <c r="AT1609" s="52" t="n">
        <v>0</v>
      </c>
      <c r="AU1609" s="53" t="n">
        <v>0</v>
      </c>
      <c r="AV1609" s="53" t="n">
        <v>0</v>
      </c>
      <c r="AW1609" s="53" t="n">
        <v>0</v>
      </c>
      <c r="AX1609" s="53" t="n">
        <v>0</v>
      </c>
      <c r="AY1609" s="52" t="n">
        <v>0</v>
      </c>
      <c r="AZ1609" s="52" t="n">
        <v>0</v>
      </c>
      <c r="BA1609" s="52" t="n">
        <v>0</v>
      </c>
      <c r="BB1609" s="52" t="n">
        <v>0</v>
      </c>
      <c r="BC1609" s="51" t="n">
        <v>0</v>
      </c>
      <c r="BD1609" s="51" t="n">
        <v>0</v>
      </c>
      <c r="BE1609" s="51" t="n">
        <v>0</v>
      </c>
      <c r="BF1609" s="51" t="n">
        <v>0</v>
      </c>
    </row>
    <row r="1610">
      <c r="A1610">
        <f>HYPERLINK("https://www.walmart.com/ip/111482853", "111482853")</f>
        <v/>
      </c>
      <c r="B1610" t="inlineStr">
        <is>
          <t>Womens Sun Hats Neck Flap Large Brim UV Protection Foldable and Breathable Fishing Hiking Beach Cap</t>
        </is>
      </c>
      <c r="C1610" t="inlineStr">
        <is>
          <t>1SLSH922OR</t>
        </is>
      </c>
      <c r="D1610" t="inlineStr">
        <is>
          <t>Hats</t>
        </is>
      </c>
      <c r="E1610" t="inlineStr">
        <is>
          <t>Solaris</t>
        </is>
      </c>
      <c r="F1610" t="inlineStr">
        <is>
          <t>Hats,Batch 1 - TR</t>
        </is>
      </c>
      <c r="G1610" s="48" t="n">
        <v>0</v>
      </c>
      <c r="H1610" s="48" t="n">
        <v>17.99</v>
      </c>
      <c r="I1610" s="48" t="n">
        <v>24.98</v>
      </c>
      <c r="J1610" s="48" t="n">
        <v>17.99</v>
      </c>
      <c r="K1610" s="49" t="n">
        <v>0</v>
      </c>
      <c r="L1610" s="49" t="n">
        <v>1</v>
      </c>
      <c r="M1610" s="49" t="n">
        <v>1</v>
      </c>
      <c r="N1610" s="49" t="n">
        <v>1</v>
      </c>
      <c r="O1610" s="49" t="n">
        <v>4</v>
      </c>
      <c r="P1610" s="49" t="n">
        <v>5</v>
      </c>
      <c r="Q1610" s="49" t="n">
        <v>4</v>
      </c>
      <c r="R1610" s="49" t="n">
        <v>0</v>
      </c>
      <c r="S1610" s="50" t="n">
        <v>0</v>
      </c>
      <c r="T1610" s="50" t="n">
        <v>0.2</v>
      </c>
      <c r="U1610" s="50" t="n">
        <v>0.25</v>
      </c>
      <c r="V1610" s="50" t="n">
        <v>0</v>
      </c>
      <c r="W1610" s="51" t="n">
        <v>0</v>
      </c>
      <c r="X1610" s="51" t="n">
        <v>0</v>
      </c>
      <c r="Y1610" s="51" t="n">
        <v>0</v>
      </c>
      <c r="Z1610" s="51" t="n">
        <v>0</v>
      </c>
      <c r="AA1610" s="52" t="n">
        <v>0</v>
      </c>
      <c r="AB1610" s="52" t="n">
        <v>0</v>
      </c>
      <c r="AC1610" s="52" t="n">
        <v>0</v>
      </c>
      <c r="AD1610" s="52" t="n">
        <v>0</v>
      </c>
      <c r="AE1610" s="52" t="n">
        <v>0</v>
      </c>
      <c r="AF1610" s="52" t="n">
        <v>0</v>
      </c>
      <c r="AG1610" s="52" t="n">
        <v>0</v>
      </c>
      <c r="AH1610" s="52" t="n">
        <v>0</v>
      </c>
      <c r="AI1610" s="52" t="n">
        <v>0</v>
      </c>
      <c r="AJ1610" s="52" t="n">
        <v>0</v>
      </c>
      <c r="AK1610" s="52" t="n">
        <v>0</v>
      </c>
      <c r="AL1610" s="52" t="n">
        <v>0</v>
      </c>
      <c r="AM1610" s="53" t="n">
        <v>0</v>
      </c>
      <c r="AN1610" s="53" t="n">
        <v>0</v>
      </c>
      <c r="AO1610" s="53" t="n">
        <v>0</v>
      </c>
      <c r="AP1610" s="53" t="n">
        <v>0</v>
      </c>
      <c r="AQ1610" s="52" t="n">
        <v>0</v>
      </c>
      <c r="AR1610" s="52" t="n">
        <v>0</v>
      </c>
      <c r="AS1610" s="52" t="n">
        <v>0</v>
      </c>
      <c r="AT1610" s="52" t="n">
        <v>0</v>
      </c>
      <c r="AU1610" s="53" t="n">
        <v>0</v>
      </c>
      <c r="AV1610" s="53" t="n">
        <v>0</v>
      </c>
      <c r="AW1610" s="53" t="n">
        <v>0</v>
      </c>
      <c r="AX1610" s="53" t="n">
        <v>0</v>
      </c>
      <c r="AY1610" s="52" t="n">
        <v>0</v>
      </c>
      <c r="AZ1610" s="52" t="n">
        <v>17.99</v>
      </c>
      <c r="BA1610" s="52" t="n">
        <v>24.98</v>
      </c>
      <c r="BB1610" s="52" t="n">
        <v>17.99</v>
      </c>
      <c r="BC1610" s="51" t="n">
        <v>0</v>
      </c>
      <c r="BD1610" s="51" t="n">
        <v>0</v>
      </c>
      <c r="BE1610" s="51" t="n">
        <v>0</v>
      </c>
      <c r="BF1610" s="51" t="n">
        <v>0</v>
      </c>
    </row>
    <row r="1611">
      <c r="A1611">
        <f>HYPERLINK("https://www.walmart.com/ip/1117710069", "1117710069")</f>
        <v/>
      </c>
      <c r="B1611" t="inlineStr">
        <is>
          <t>Tirrinia Men's Olive Color Quail Cap</t>
        </is>
      </c>
      <c r="C1611" t="inlineStr">
        <is>
          <t>1TRHT32QUAIL-TBCB</t>
        </is>
      </c>
      <c r="D1611" t="inlineStr">
        <is>
          <t>Hats</t>
        </is>
      </c>
      <c r="E1611" t="inlineStr">
        <is>
          <t>Tirrinia</t>
        </is>
      </c>
      <c r="F1611" t="inlineStr">
        <is>
          <t>Batch 1 - TR</t>
        </is>
      </c>
      <c r="G1611" s="48" t="n">
        <v>0</v>
      </c>
      <c r="H1611" s="48" t="n">
        <v>0</v>
      </c>
      <c r="I1611" s="48" t="n">
        <v>0</v>
      </c>
      <c r="J1611" s="48" t="n">
        <v>0</v>
      </c>
      <c r="K1611" s="49" t="n">
        <v>0</v>
      </c>
      <c r="L1611" s="49" t="n">
        <v>0</v>
      </c>
      <c r="M1611" s="49" t="n">
        <v>0</v>
      </c>
      <c r="N1611" s="49" t="n">
        <v>0</v>
      </c>
      <c r="O1611" s="49" t="n">
        <v>0</v>
      </c>
      <c r="P1611" s="49" t="n">
        <v>0</v>
      </c>
      <c r="Q1611" s="49" t="n">
        <v>0</v>
      </c>
      <c r="R1611" s="49" t="n">
        <v>0</v>
      </c>
      <c r="S1611" s="50" t="n">
        <v>0</v>
      </c>
      <c r="T1611" s="50" t="n">
        <v>0</v>
      </c>
      <c r="U1611" s="50" t="n">
        <v>0</v>
      </c>
      <c r="V1611" s="50" t="n">
        <v>0</v>
      </c>
      <c r="W1611" s="51" t="n">
        <v>0</v>
      </c>
      <c r="X1611" s="51" t="n">
        <v>0</v>
      </c>
      <c r="Y1611" s="51" t="n">
        <v>0</v>
      </c>
      <c r="Z1611" s="51" t="n">
        <v>0</v>
      </c>
      <c r="AA1611" s="52" t="n">
        <v>0</v>
      </c>
      <c r="AB1611" s="52" t="n">
        <v>0</v>
      </c>
      <c r="AC1611" s="52" t="n">
        <v>0</v>
      </c>
      <c r="AD1611" s="52" t="n">
        <v>0</v>
      </c>
      <c r="AE1611" s="52" t="n">
        <v>0</v>
      </c>
      <c r="AF1611" s="52" t="n">
        <v>0</v>
      </c>
      <c r="AG1611" s="52" t="n">
        <v>0</v>
      </c>
      <c r="AH1611" s="52" t="n">
        <v>0</v>
      </c>
      <c r="AI1611" s="52" t="n">
        <v>0</v>
      </c>
      <c r="AJ1611" s="52" t="n">
        <v>0</v>
      </c>
      <c r="AK1611" s="52" t="n">
        <v>0</v>
      </c>
      <c r="AL1611" s="52" t="n">
        <v>0</v>
      </c>
      <c r="AM1611" s="53" t="n">
        <v>0</v>
      </c>
      <c r="AN1611" s="53" t="n">
        <v>0</v>
      </c>
      <c r="AO1611" s="53" t="n">
        <v>0</v>
      </c>
      <c r="AP1611" s="53" t="n">
        <v>0</v>
      </c>
      <c r="AQ1611" s="52" t="n">
        <v>0</v>
      </c>
      <c r="AR1611" s="52" t="n">
        <v>0</v>
      </c>
      <c r="AS1611" s="52" t="n">
        <v>0</v>
      </c>
      <c r="AT1611" s="52" t="n">
        <v>0</v>
      </c>
      <c r="AU1611" s="53" t="n">
        <v>0</v>
      </c>
      <c r="AV1611" s="53" t="n">
        <v>0</v>
      </c>
      <c r="AW1611" s="53" t="n">
        <v>0</v>
      </c>
      <c r="AX1611" s="53" t="n">
        <v>0</v>
      </c>
      <c r="AY1611" s="52" t="n">
        <v>0</v>
      </c>
      <c r="AZ1611" s="52" t="n">
        <v>0</v>
      </c>
      <c r="BA1611" s="52" t="n">
        <v>0</v>
      </c>
      <c r="BB1611" s="52" t="n">
        <v>0</v>
      </c>
      <c r="BC1611" s="51" t="n">
        <v>0</v>
      </c>
      <c r="BD1611" s="51" t="n">
        <v>0</v>
      </c>
      <c r="BE1611" s="51" t="n">
        <v>0</v>
      </c>
      <c r="BF1611" s="51" t="n">
        <v>0</v>
      </c>
    </row>
    <row r="1612">
      <c r="A1612">
        <f>HYPERLINK("https://www.walmart.com/ip/111893217", "111893217")</f>
        <v/>
      </c>
      <c r="B1612" t="inlineStr">
        <is>
          <t>Pawsse Water Resistant Dog Blanket, Premium Pet Puppy Furniture Protector Cover, Large 80" x 60", Gray</t>
        </is>
      </c>
      <c r="C1612" t="inlineStr">
        <is>
          <t>1PSBW681GYTP</t>
        </is>
      </c>
      <c r="D1612" t="inlineStr">
        <is>
          <t>Pet Blankets</t>
        </is>
      </c>
      <c r="E1612" t="inlineStr">
        <is>
          <t>Pawsse</t>
        </is>
      </c>
      <c r="F1612" t="inlineStr">
        <is>
          <t>Optimized,WFS,WFS Item</t>
        </is>
      </c>
      <c r="G1612" s="48" t="n">
        <v>0</v>
      </c>
      <c r="H1612" s="48" t="n">
        <v>0</v>
      </c>
      <c r="I1612" s="48" t="n">
        <v>0</v>
      </c>
      <c r="J1612" s="48" t="n">
        <v>0</v>
      </c>
      <c r="K1612" s="49" t="n">
        <v>0</v>
      </c>
      <c r="L1612" s="49" t="n">
        <v>0</v>
      </c>
      <c r="M1612" s="49" t="n">
        <v>0</v>
      </c>
      <c r="N1612" s="49" t="n">
        <v>0</v>
      </c>
      <c r="O1612" s="49" t="n">
        <v>0</v>
      </c>
      <c r="P1612" s="49" t="n">
        <v>0</v>
      </c>
      <c r="Q1612" s="49" t="n">
        <v>0</v>
      </c>
      <c r="R1612" s="49" t="n">
        <v>0</v>
      </c>
      <c r="S1612" s="50" t="n">
        <v>0</v>
      </c>
      <c r="T1612" s="50" t="n">
        <v>0</v>
      </c>
      <c r="U1612" s="50" t="n">
        <v>0</v>
      </c>
      <c r="V1612" s="50" t="n">
        <v>0</v>
      </c>
      <c r="W1612" s="51" t="n">
        <v>0</v>
      </c>
      <c r="X1612" s="51" t="n">
        <v>0</v>
      </c>
      <c r="Y1612" s="51" t="n">
        <v>0</v>
      </c>
      <c r="Z1612" s="51" t="n">
        <v>0</v>
      </c>
      <c r="AA1612" s="52" t="n">
        <v>0</v>
      </c>
      <c r="AB1612" s="52" t="n">
        <v>0</v>
      </c>
      <c r="AC1612" s="52" t="n">
        <v>0</v>
      </c>
      <c r="AD1612" s="52" t="n">
        <v>0</v>
      </c>
      <c r="AE1612" s="52" t="n">
        <v>0</v>
      </c>
      <c r="AF1612" s="52" t="n">
        <v>0</v>
      </c>
      <c r="AG1612" s="52" t="n">
        <v>0</v>
      </c>
      <c r="AH1612" s="52" t="n">
        <v>0</v>
      </c>
      <c r="AI1612" s="52" t="n">
        <v>0</v>
      </c>
      <c r="AJ1612" s="52" t="n">
        <v>0</v>
      </c>
      <c r="AK1612" s="52" t="n">
        <v>0</v>
      </c>
      <c r="AL1612" s="52" t="n">
        <v>0</v>
      </c>
      <c r="AM1612" s="53" t="n">
        <v>0</v>
      </c>
      <c r="AN1612" s="53" t="n">
        <v>0</v>
      </c>
      <c r="AO1612" s="53" t="n">
        <v>0</v>
      </c>
      <c r="AP1612" s="53" t="n">
        <v>0</v>
      </c>
      <c r="AQ1612" s="52" t="n">
        <v>0</v>
      </c>
      <c r="AR1612" s="52" t="n">
        <v>0</v>
      </c>
      <c r="AS1612" s="52" t="n">
        <v>0</v>
      </c>
      <c r="AT1612" s="52" t="n">
        <v>0</v>
      </c>
      <c r="AU1612" s="53" t="n">
        <v>0</v>
      </c>
      <c r="AV1612" s="53" t="n">
        <v>0</v>
      </c>
      <c r="AW1612" s="53" t="n">
        <v>0</v>
      </c>
      <c r="AX1612" s="53" t="n">
        <v>0</v>
      </c>
      <c r="AY1612" s="52" t="n">
        <v>0</v>
      </c>
      <c r="AZ1612" s="52" t="n">
        <v>0</v>
      </c>
      <c r="BA1612" s="52" t="n">
        <v>0</v>
      </c>
      <c r="BB1612" s="52" t="n">
        <v>0</v>
      </c>
      <c r="BC1612" s="51" t="n">
        <v>0</v>
      </c>
      <c r="BD1612" s="51" t="n">
        <v>0</v>
      </c>
      <c r="BE1612" s="51" t="n">
        <v>0</v>
      </c>
      <c r="BF1612" s="51" t="n">
        <v>0</v>
      </c>
    </row>
    <row r="1613">
      <c r="A1613">
        <f>HYPERLINK("https://www.walmart.com/ip/112404502", "112404502")</f>
        <v/>
      </c>
      <c r="B1613" t="inlineStr">
        <is>
          <t>KC Caps® Unisex Cotton Baseball Cap Adjustable Plain Hat (21 Styles/Colors)</t>
        </is>
      </c>
      <c r="C1613" t="inlineStr">
        <is>
          <t>KC8010KKBK</t>
        </is>
      </c>
      <c r="D1613" t="inlineStr">
        <is>
          <t>Hats</t>
        </is>
      </c>
      <c r="E1613" t="inlineStr">
        <is>
          <t>KC Caps</t>
        </is>
      </c>
      <c r="F1613" t="inlineStr">
        <is>
          <t>Optimized</t>
        </is>
      </c>
      <c r="G1613" s="48" t="n">
        <v>0</v>
      </c>
      <c r="H1613" s="48" t="n">
        <v>0</v>
      </c>
      <c r="I1613" s="48" t="n">
        <v>0</v>
      </c>
      <c r="J1613" s="48" t="n">
        <v>0</v>
      </c>
      <c r="K1613" s="49" t="n">
        <v>0</v>
      </c>
      <c r="L1613" s="49" t="n">
        <v>0</v>
      </c>
      <c r="M1613" s="49" t="n">
        <v>0</v>
      </c>
      <c r="N1613" s="49" t="n">
        <v>0</v>
      </c>
      <c r="O1613" s="49" t="n">
        <v>0</v>
      </c>
      <c r="P1613" s="49" t="n">
        <v>0</v>
      </c>
      <c r="Q1613" s="49" t="n">
        <v>0</v>
      </c>
      <c r="R1613" s="49" t="n">
        <v>0</v>
      </c>
      <c r="S1613" s="50" t="n">
        <v>0</v>
      </c>
      <c r="T1613" s="50" t="n">
        <v>0</v>
      </c>
      <c r="U1613" s="50" t="n">
        <v>0</v>
      </c>
      <c r="V1613" s="50" t="n">
        <v>0</v>
      </c>
      <c r="W1613" s="51" t="n">
        <v>0</v>
      </c>
      <c r="X1613" s="51" t="n">
        <v>0</v>
      </c>
      <c r="Y1613" s="51" t="n">
        <v>0</v>
      </c>
      <c r="Z1613" s="51" t="n">
        <v>0</v>
      </c>
      <c r="AA1613" s="52" t="n">
        <v>0</v>
      </c>
      <c r="AB1613" s="52" t="n">
        <v>0</v>
      </c>
      <c r="AC1613" s="52" t="n">
        <v>0</v>
      </c>
      <c r="AD1613" s="52" t="n">
        <v>0</v>
      </c>
      <c r="AE1613" s="52" t="n">
        <v>0</v>
      </c>
      <c r="AF1613" s="52" t="n">
        <v>0</v>
      </c>
      <c r="AG1613" s="52" t="n">
        <v>0</v>
      </c>
      <c r="AH1613" s="52" t="n">
        <v>0</v>
      </c>
      <c r="AI1613" s="52" t="n">
        <v>0</v>
      </c>
      <c r="AJ1613" s="52" t="n">
        <v>0</v>
      </c>
      <c r="AK1613" s="52" t="n">
        <v>0</v>
      </c>
      <c r="AL1613" s="52" t="n">
        <v>0</v>
      </c>
      <c r="AM1613" s="53" t="n">
        <v>0</v>
      </c>
      <c r="AN1613" s="53" t="n">
        <v>0</v>
      </c>
      <c r="AO1613" s="53" t="n">
        <v>0</v>
      </c>
      <c r="AP1613" s="53" t="n">
        <v>0</v>
      </c>
      <c r="AQ1613" s="52" t="n">
        <v>0</v>
      </c>
      <c r="AR1613" s="52" t="n">
        <v>0</v>
      </c>
      <c r="AS1613" s="52" t="n">
        <v>0</v>
      </c>
      <c r="AT1613" s="52" t="n">
        <v>0</v>
      </c>
      <c r="AU1613" s="53" t="n">
        <v>0</v>
      </c>
      <c r="AV1613" s="53" t="n">
        <v>0</v>
      </c>
      <c r="AW1613" s="53" t="n">
        <v>0</v>
      </c>
      <c r="AX1613" s="53" t="n">
        <v>0</v>
      </c>
      <c r="AY1613" s="52" t="n">
        <v>0</v>
      </c>
      <c r="AZ1613" s="52" t="n">
        <v>0</v>
      </c>
      <c r="BA1613" s="52" t="n">
        <v>0</v>
      </c>
      <c r="BB1613" s="52" t="n">
        <v>0</v>
      </c>
      <c r="BC1613" s="51" t="n">
        <v>0</v>
      </c>
      <c r="BD1613" s="51" t="n">
        <v>0</v>
      </c>
      <c r="BE1613" s="51" t="n">
        <v>0</v>
      </c>
      <c r="BF1613" s="51" t="n">
        <v>0</v>
      </c>
    </row>
    <row r="1614">
      <c r="A1614">
        <f>HYPERLINK("https://www.walmart.com/ip/1124120160", "1124120160")</f>
        <v/>
      </c>
      <c r="B1614" t="inlineStr">
        <is>
          <t>Bucket Summer Mens Sun Hat Water Repel Mesh Net Light Weight UV Protection Outdoor Cap by Solaris</t>
        </is>
      </c>
      <c r="C1614" t="inlineStr">
        <is>
          <t>1SLSH191GN-12pcs</t>
        </is>
      </c>
      <c r="D1614" t="inlineStr">
        <is>
          <t>Hats</t>
        </is>
      </c>
      <c r="E1614" t="inlineStr">
        <is>
          <t>Solaris</t>
        </is>
      </c>
      <c r="F1614" t="inlineStr">
        <is>
          <t>Batch 1 - TR</t>
        </is>
      </c>
      <c r="G1614" s="48" t="n">
        <v>0</v>
      </c>
      <c r="H1614" s="48" t="n">
        <v>0</v>
      </c>
      <c r="I1614" s="48" t="n">
        <v>0</v>
      </c>
      <c r="J1614" s="48" t="n">
        <v>0</v>
      </c>
      <c r="K1614" s="49" t="n">
        <v>0</v>
      </c>
      <c r="L1614" s="49" t="n">
        <v>0</v>
      </c>
      <c r="M1614" s="49" t="n">
        <v>0</v>
      </c>
      <c r="N1614" s="49" t="n">
        <v>0</v>
      </c>
      <c r="O1614" s="49" t="n">
        <v>0</v>
      </c>
      <c r="P1614" s="49" t="n">
        <v>0</v>
      </c>
      <c r="Q1614" s="49" t="n">
        <v>0</v>
      </c>
      <c r="R1614" s="49" t="n">
        <v>0</v>
      </c>
      <c r="S1614" s="50" t="n">
        <v>0</v>
      </c>
      <c r="T1614" s="50" t="n">
        <v>0</v>
      </c>
      <c r="U1614" s="50" t="n">
        <v>0</v>
      </c>
      <c r="V1614" s="50" t="n">
        <v>0</v>
      </c>
      <c r="W1614" s="51" t="n">
        <v>0</v>
      </c>
      <c r="X1614" s="51" t="n">
        <v>0</v>
      </c>
      <c r="Y1614" s="51" t="n">
        <v>0</v>
      </c>
      <c r="Z1614" s="51" t="n">
        <v>0</v>
      </c>
      <c r="AA1614" s="52" t="n">
        <v>0</v>
      </c>
      <c r="AB1614" s="52" t="n">
        <v>0</v>
      </c>
      <c r="AC1614" s="52" t="n">
        <v>0</v>
      </c>
      <c r="AD1614" s="52" t="n">
        <v>0</v>
      </c>
      <c r="AE1614" s="52" t="n">
        <v>0</v>
      </c>
      <c r="AF1614" s="52" t="n">
        <v>0</v>
      </c>
      <c r="AG1614" s="52" t="n">
        <v>0</v>
      </c>
      <c r="AH1614" s="52" t="n">
        <v>0</v>
      </c>
      <c r="AI1614" s="52" t="n">
        <v>0</v>
      </c>
      <c r="AJ1614" s="52" t="n">
        <v>0</v>
      </c>
      <c r="AK1614" s="52" t="n">
        <v>0</v>
      </c>
      <c r="AL1614" s="52" t="n">
        <v>0</v>
      </c>
      <c r="AM1614" s="53" t="n">
        <v>0</v>
      </c>
      <c r="AN1614" s="53" t="n">
        <v>0</v>
      </c>
      <c r="AO1614" s="53" t="n">
        <v>0</v>
      </c>
      <c r="AP1614" s="53" t="n">
        <v>0</v>
      </c>
      <c r="AQ1614" s="52" t="n">
        <v>0</v>
      </c>
      <c r="AR1614" s="52" t="n">
        <v>0</v>
      </c>
      <c r="AS1614" s="52" t="n">
        <v>0</v>
      </c>
      <c r="AT1614" s="52" t="n">
        <v>0</v>
      </c>
      <c r="AU1614" s="53" t="n">
        <v>0</v>
      </c>
      <c r="AV1614" s="53" t="n">
        <v>0</v>
      </c>
      <c r="AW1614" s="53" t="n">
        <v>0</v>
      </c>
      <c r="AX1614" s="53" t="n">
        <v>0</v>
      </c>
      <c r="AY1614" s="52" t="n">
        <v>0</v>
      </c>
      <c r="AZ1614" s="52" t="n">
        <v>0</v>
      </c>
      <c r="BA1614" s="52" t="n">
        <v>0</v>
      </c>
      <c r="BB1614" s="52" t="n">
        <v>0</v>
      </c>
      <c r="BC1614" s="51" t="n">
        <v>0</v>
      </c>
      <c r="BD1614" s="51" t="n">
        <v>0</v>
      </c>
      <c r="BE1614" s="51" t="n">
        <v>0</v>
      </c>
      <c r="BF1614" s="51" t="n">
        <v>0</v>
      </c>
    </row>
    <row r="1615">
      <c r="A1615">
        <f>HYPERLINK("https://www.walmart.com/ip/112436825", "112436825")</f>
        <v/>
      </c>
      <c r="B1615" t="inlineStr">
        <is>
          <t>Terra Faux Fur Pom Pom Beanie Hat Slouchy Solid Plain Knit Unisex Stretches to Fit Most</t>
        </is>
      </c>
      <c r="C1615" t="inlineStr">
        <is>
          <t>TERRAPPH03BK</t>
        </is>
      </c>
      <c r="D1615" t="inlineStr">
        <is>
          <t>Hats</t>
        </is>
      </c>
      <c r="E1615" t="inlineStr">
        <is>
          <t>Terra</t>
        </is>
      </c>
      <c r="F1615" t="inlineStr">
        <is>
          <t>Batch 1 - TR</t>
        </is>
      </c>
      <c r="G1615" s="48" t="n">
        <v>0</v>
      </c>
      <c r="H1615" s="48" t="n">
        <v>0</v>
      </c>
      <c r="I1615" s="48" t="n">
        <v>0</v>
      </c>
      <c r="J1615" s="48" t="n">
        <v>0</v>
      </c>
      <c r="K1615" s="49" t="n">
        <v>0</v>
      </c>
      <c r="L1615" s="49" t="n">
        <v>0</v>
      </c>
      <c r="M1615" s="49" t="n">
        <v>0</v>
      </c>
      <c r="N1615" s="49" t="n">
        <v>0</v>
      </c>
      <c r="O1615" s="49" t="n">
        <v>0</v>
      </c>
      <c r="P1615" s="49" t="n">
        <v>0</v>
      </c>
      <c r="Q1615" s="49" t="n">
        <v>0</v>
      </c>
      <c r="R1615" s="49" t="n">
        <v>0</v>
      </c>
      <c r="S1615" s="50" t="n">
        <v>0</v>
      </c>
      <c r="T1615" s="50" t="n">
        <v>0</v>
      </c>
      <c r="U1615" s="50" t="n">
        <v>0</v>
      </c>
      <c r="V1615" s="50" t="n">
        <v>0</v>
      </c>
      <c r="W1615" s="51" t="n">
        <v>0</v>
      </c>
      <c r="X1615" s="51" t="n">
        <v>0</v>
      </c>
      <c r="Y1615" s="51" t="n">
        <v>0</v>
      </c>
      <c r="Z1615" s="51" t="n">
        <v>0</v>
      </c>
      <c r="AA1615" s="52" t="n">
        <v>0</v>
      </c>
      <c r="AB1615" s="52" t="n">
        <v>0</v>
      </c>
      <c r="AC1615" s="52" t="n">
        <v>0</v>
      </c>
      <c r="AD1615" s="52" t="n">
        <v>0</v>
      </c>
      <c r="AE1615" s="52" t="n">
        <v>0</v>
      </c>
      <c r="AF1615" s="52" t="n">
        <v>0</v>
      </c>
      <c r="AG1615" s="52" t="n">
        <v>0</v>
      </c>
      <c r="AH1615" s="52" t="n">
        <v>0</v>
      </c>
      <c r="AI1615" s="52" t="n">
        <v>0</v>
      </c>
      <c r="AJ1615" s="52" t="n">
        <v>0</v>
      </c>
      <c r="AK1615" s="52" t="n">
        <v>0</v>
      </c>
      <c r="AL1615" s="52" t="n">
        <v>0</v>
      </c>
      <c r="AM1615" s="53" t="n">
        <v>0</v>
      </c>
      <c r="AN1615" s="53" t="n">
        <v>0</v>
      </c>
      <c r="AO1615" s="53" t="n">
        <v>0</v>
      </c>
      <c r="AP1615" s="53" t="n">
        <v>0</v>
      </c>
      <c r="AQ1615" s="52" t="n">
        <v>0</v>
      </c>
      <c r="AR1615" s="52" t="n">
        <v>0</v>
      </c>
      <c r="AS1615" s="52" t="n">
        <v>0</v>
      </c>
      <c r="AT1615" s="52" t="n">
        <v>0</v>
      </c>
      <c r="AU1615" s="53" t="n">
        <v>0</v>
      </c>
      <c r="AV1615" s="53" t="n">
        <v>0</v>
      </c>
      <c r="AW1615" s="53" t="n">
        <v>0</v>
      </c>
      <c r="AX1615" s="53" t="n">
        <v>0</v>
      </c>
      <c r="AY1615" s="52" t="n">
        <v>0</v>
      </c>
      <c r="AZ1615" s="52" t="n">
        <v>0</v>
      </c>
      <c r="BA1615" s="52" t="n">
        <v>0</v>
      </c>
      <c r="BB1615" s="52" t="n">
        <v>0</v>
      </c>
      <c r="BC1615" s="51" t="n">
        <v>0</v>
      </c>
      <c r="BD1615" s="51" t="n">
        <v>0</v>
      </c>
      <c r="BE1615" s="51" t="n">
        <v>0</v>
      </c>
      <c r="BF1615" s="51" t="n">
        <v>0</v>
      </c>
    </row>
    <row r="1616">
      <c r="A1616">
        <f>HYPERLINK("https://www.walmart.com/ip/112681610", "112681610")</f>
        <v/>
      </c>
      <c r="B1616" t="inlineStr">
        <is>
          <t>Male Female Adjustable Buckle Closure USA Flag Embroidered Cap</t>
        </is>
      </c>
      <c r="C1616" t="inlineStr">
        <is>
          <t>kc-ae8010-rd</t>
        </is>
      </c>
      <c r="D1616" t="inlineStr">
        <is>
          <t>Hats</t>
        </is>
      </c>
      <c r="E1616" t="inlineStr">
        <is>
          <t>KC Caps</t>
        </is>
      </c>
      <c r="F1616" t="inlineStr">
        <is>
          <t>Optimized</t>
        </is>
      </c>
      <c r="G1616" s="48" t="n">
        <v>0</v>
      </c>
      <c r="H1616" s="48" t="n">
        <v>0</v>
      </c>
      <c r="I1616" s="48" t="n">
        <v>0</v>
      </c>
      <c r="J1616" s="48" t="n">
        <v>0</v>
      </c>
      <c r="K1616" s="49" t="n">
        <v>0</v>
      </c>
      <c r="L1616" s="49" t="n">
        <v>0</v>
      </c>
      <c r="M1616" s="49" t="n">
        <v>0</v>
      </c>
      <c r="N1616" s="49" t="n">
        <v>0</v>
      </c>
      <c r="O1616" s="49" t="n">
        <v>0</v>
      </c>
      <c r="P1616" s="49" t="n">
        <v>0</v>
      </c>
      <c r="Q1616" s="49" t="n">
        <v>0</v>
      </c>
      <c r="R1616" s="49" t="n">
        <v>0</v>
      </c>
      <c r="S1616" s="50" t="n">
        <v>0</v>
      </c>
      <c r="T1616" s="50" t="n">
        <v>0</v>
      </c>
      <c r="U1616" s="50" t="n">
        <v>0</v>
      </c>
      <c r="V1616" s="50" t="n">
        <v>0</v>
      </c>
      <c r="W1616" s="51" t="n">
        <v>0</v>
      </c>
      <c r="X1616" s="51" t="n">
        <v>0</v>
      </c>
      <c r="Y1616" s="51" t="n">
        <v>0</v>
      </c>
      <c r="Z1616" s="51" t="n">
        <v>0</v>
      </c>
      <c r="AA1616" s="52" t="n">
        <v>0</v>
      </c>
      <c r="AB1616" s="52" t="n">
        <v>0</v>
      </c>
      <c r="AC1616" s="52" t="n">
        <v>0</v>
      </c>
      <c r="AD1616" s="52" t="n">
        <v>0</v>
      </c>
      <c r="AE1616" s="52" t="n">
        <v>0</v>
      </c>
      <c r="AF1616" s="52" t="n">
        <v>0</v>
      </c>
      <c r="AG1616" s="52" t="n">
        <v>0</v>
      </c>
      <c r="AH1616" s="52" t="n">
        <v>0</v>
      </c>
      <c r="AI1616" s="52" t="n">
        <v>0</v>
      </c>
      <c r="AJ1616" s="52" t="n">
        <v>0</v>
      </c>
      <c r="AK1616" s="52" t="n">
        <v>0</v>
      </c>
      <c r="AL1616" s="52" t="n">
        <v>0</v>
      </c>
      <c r="AM1616" s="53" t="n">
        <v>0</v>
      </c>
      <c r="AN1616" s="53" t="n">
        <v>0</v>
      </c>
      <c r="AO1616" s="53" t="n">
        <v>0</v>
      </c>
      <c r="AP1616" s="53" t="n">
        <v>0</v>
      </c>
      <c r="AQ1616" s="52" t="n">
        <v>0</v>
      </c>
      <c r="AR1616" s="52" t="n">
        <v>0</v>
      </c>
      <c r="AS1616" s="52" t="n">
        <v>0</v>
      </c>
      <c r="AT1616" s="52" t="n">
        <v>0</v>
      </c>
      <c r="AU1616" s="53" t="n">
        <v>0</v>
      </c>
      <c r="AV1616" s="53" t="n">
        <v>0</v>
      </c>
      <c r="AW1616" s="53" t="n">
        <v>0</v>
      </c>
      <c r="AX1616" s="53" t="n">
        <v>0</v>
      </c>
      <c r="AY1616" s="52" t="n">
        <v>0</v>
      </c>
      <c r="AZ1616" s="52" t="n">
        <v>0</v>
      </c>
      <c r="BA1616" s="52" t="n">
        <v>0</v>
      </c>
      <c r="BB1616" s="52" t="n">
        <v>0</v>
      </c>
      <c r="BC1616" s="51" t="n">
        <v>0</v>
      </c>
      <c r="BD1616" s="51" t="n">
        <v>0</v>
      </c>
      <c r="BE1616" s="51" t="n">
        <v>0</v>
      </c>
      <c r="BF1616" s="51" t="n">
        <v>0</v>
      </c>
    </row>
    <row r="1617">
      <c r="A1617">
        <f>HYPERLINK("https://www.walmart.com/ip/112690273", "112690273")</f>
        <v/>
      </c>
      <c r="B1617" t="inlineStr">
        <is>
          <t>KC Caps Blank Cuff Hat Knit Beanie</t>
        </is>
      </c>
      <c r="C1617" t="inlineStr">
        <is>
          <t>KCW1720RD</t>
        </is>
      </c>
      <c r="D1617" t="inlineStr">
        <is>
          <t>Hats</t>
        </is>
      </c>
      <c r="E1617" t="inlineStr">
        <is>
          <t>KC Caps</t>
        </is>
      </c>
      <c r="F1617" t="inlineStr">
        <is>
          <t>Optimized</t>
        </is>
      </c>
      <c r="G1617" s="48" t="n">
        <v>0</v>
      </c>
      <c r="H1617" s="48" t="n">
        <v>0</v>
      </c>
      <c r="I1617" s="48" t="n">
        <v>0</v>
      </c>
      <c r="J1617" s="48" t="n">
        <v>0</v>
      </c>
      <c r="K1617" s="49" t="n">
        <v>0</v>
      </c>
      <c r="L1617" s="49" t="n">
        <v>0</v>
      </c>
      <c r="M1617" s="49" t="n">
        <v>0</v>
      </c>
      <c r="N1617" s="49" t="n">
        <v>0</v>
      </c>
      <c r="O1617" s="49" t="n">
        <v>0</v>
      </c>
      <c r="P1617" s="49" t="n">
        <v>0</v>
      </c>
      <c r="Q1617" s="49" t="n">
        <v>0</v>
      </c>
      <c r="R1617" s="49" t="n">
        <v>0</v>
      </c>
      <c r="S1617" s="50" t="n">
        <v>0</v>
      </c>
      <c r="T1617" s="50" t="n">
        <v>0</v>
      </c>
      <c r="U1617" s="50" t="n">
        <v>0</v>
      </c>
      <c r="V1617" s="50" t="n">
        <v>0</v>
      </c>
      <c r="W1617" s="51" t="n">
        <v>0</v>
      </c>
      <c r="X1617" s="51" t="n">
        <v>0</v>
      </c>
      <c r="Y1617" s="51" t="n">
        <v>0</v>
      </c>
      <c r="Z1617" s="51" t="n">
        <v>0</v>
      </c>
      <c r="AA1617" s="52" t="n">
        <v>0</v>
      </c>
      <c r="AB1617" s="52" t="n">
        <v>0</v>
      </c>
      <c r="AC1617" s="52" t="n">
        <v>0</v>
      </c>
      <c r="AD1617" s="52" t="n">
        <v>0</v>
      </c>
      <c r="AE1617" s="52" t="n">
        <v>0</v>
      </c>
      <c r="AF1617" s="52" t="n">
        <v>0</v>
      </c>
      <c r="AG1617" s="52" t="n">
        <v>0</v>
      </c>
      <c r="AH1617" s="52" t="n">
        <v>0</v>
      </c>
      <c r="AI1617" s="52" t="n">
        <v>0</v>
      </c>
      <c r="AJ1617" s="52" t="n">
        <v>0</v>
      </c>
      <c r="AK1617" s="52" t="n">
        <v>0</v>
      </c>
      <c r="AL1617" s="52" t="n">
        <v>0</v>
      </c>
      <c r="AM1617" s="53" t="n">
        <v>0</v>
      </c>
      <c r="AN1617" s="53" t="n">
        <v>0</v>
      </c>
      <c r="AO1617" s="53" t="n">
        <v>0</v>
      </c>
      <c r="AP1617" s="53" t="n">
        <v>0</v>
      </c>
      <c r="AQ1617" s="52" t="n">
        <v>0</v>
      </c>
      <c r="AR1617" s="52" t="n">
        <v>0</v>
      </c>
      <c r="AS1617" s="52" t="n">
        <v>0</v>
      </c>
      <c r="AT1617" s="52" t="n">
        <v>0</v>
      </c>
      <c r="AU1617" s="53" t="n">
        <v>0</v>
      </c>
      <c r="AV1617" s="53" t="n">
        <v>0</v>
      </c>
      <c r="AW1617" s="53" t="n">
        <v>0</v>
      </c>
      <c r="AX1617" s="53" t="n">
        <v>0</v>
      </c>
      <c r="AY1617" s="52" t="n">
        <v>0</v>
      </c>
      <c r="AZ1617" s="52" t="n">
        <v>0</v>
      </c>
      <c r="BA1617" s="52" t="n">
        <v>0</v>
      </c>
      <c r="BB1617" s="52" t="n">
        <v>0</v>
      </c>
      <c r="BC1617" s="51" t="n">
        <v>0</v>
      </c>
      <c r="BD1617" s="51" t="n">
        <v>0</v>
      </c>
      <c r="BE1617" s="51" t="n">
        <v>0</v>
      </c>
      <c r="BF1617" s="51" t="n">
        <v>0</v>
      </c>
    </row>
    <row r="1618">
      <c r="A1618">
        <f>HYPERLINK("https://www.walmart.com/ip/112835741", "112835741")</f>
        <v/>
      </c>
      <c r="B1618" t="inlineStr">
        <is>
          <t>JenniWears® Women's Stretch Mesh Bikini Panty with Open Back Heart Detail</t>
        </is>
      </c>
      <c r="C1618" t="inlineStr">
        <is>
          <t>JWPT02LE-2XL</t>
        </is>
      </c>
      <c r="D1618" t="inlineStr">
        <is>
          <t>Panties</t>
        </is>
      </c>
      <c r="E1618" t="inlineStr">
        <is>
          <t>JenniWears</t>
        </is>
      </c>
      <c r="F1618" t="inlineStr">
        <is>
          <t>Optimized,Valentine</t>
        </is>
      </c>
      <c r="G1618" s="48" t="n">
        <v>0</v>
      </c>
      <c r="H1618" s="48" t="n">
        <v>0</v>
      </c>
      <c r="I1618" s="48" t="n">
        <v>0</v>
      </c>
      <c r="J1618" s="48" t="n">
        <v>0</v>
      </c>
      <c r="K1618" s="49" t="n">
        <v>0</v>
      </c>
      <c r="L1618" s="49" t="n">
        <v>0</v>
      </c>
      <c r="M1618" s="49" t="n">
        <v>0</v>
      </c>
      <c r="N1618" s="49" t="n">
        <v>0</v>
      </c>
      <c r="O1618" s="49" t="n">
        <v>0</v>
      </c>
      <c r="P1618" s="49" t="n">
        <v>0</v>
      </c>
      <c r="Q1618" s="49" t="n">
        <v>0</v>
      </c>
      <c r="R1618" s="49" t="n">
        <v>0</v>
      </c>
      <c r="S1618" s="50" t="n">
        <v>0</v>
      </c>
      <c r="T1618" s="50" t="n">
        <v>0</v>
      </c>
      <c r="U1618" s="50" t="n">
        <v>0</v>
      </c>
      <c r="V1618" s="50" t="n">
        <v>0</v>
      </c>
      <c r="W1618" s="51" t="n">
        <v>0</v>
      </c>
      <c r="X1618" s="51" t="n">
        <v>0</v>
      </c>
      <c r="Y1618" s="51" t="n">
        <v>0</v>
      </c>
      <c r="Z1618" s="51" t="n">
        <v>0</v>
      </c>
      <c r="AA1618" s="52" t="n">
        <v>0</v>
      </c>
      <c r="AB1618" s="52" t="n">
        <v>0</v>
      </c>
      <c r="AC1618" s="52" t="n">
        <v>0</v>
      </c>
      <c r="AD1618" s="52" t="n">
        <v>0</v>
      </c>
      <c r="AE1618" s="52" t="n">
        <v>0</v>
      </c>
      <c r="AF1618" s="52" t="n">
        <v>0</v>
      </c>
      <c r="AG1618" s="52" t="n">
        <v>0</v>
      </c>
      <c r="AH1618" s="52" t="n">
        <v>0</v>
      </c>
      <c r="AI1618" s="52" t="n">
        <v>0</v>
      </c>
      <c r="AJ1618" s="52" t="n">
        <v>0</v>
      </c>
      <c r="AK1618" s="52" t="n">
        <v>0</v>
      </c>
      <c r="AL1618" s="52" t="n">
        <v>0</v>
      </c>
      <c r="AM1618" s="53" t="n">
        <v>0</v>
      </c>
      <c r="AN1618" s="53" t="n">
        <v>0</v>
      </c>
      <c r="AO1618" s="53" t="n">
        <v>0</v>
      </c>
      <c r="AP1618" s="53" t="n">
        <v>0</v>
      </c>
      <c r="AQ1618" s="52" t="n">
        <v>0</v>
      </c>
      <c r="AR1618" s="52" t="n">
        <v>0</v>
      </c>
      <c r="AS1618" s="52" t="n">
        <v>0</v>
      </c>
      <c r="AT1618" s="52" t="n">
        <v>0</v>
      </c>
      <c r="AU1618" s="53" t="n">
        <v>0</v>
      </c>
      <c r="AV1618" s="53" t="n">
        <v>0</v>
      </c>
      <c r="AW1618" s="53" t="n">
        <v>0</v>
      </c>
      <c r="AX1618" s="53" t="n">
        <v>0</v>
      </c>
      <c r="AY1618" s="52" t="n">
        <v>0</v>
      </c>
      <c r="AZ1618" s="52" t="n">
        <v>0</v>
      </c>
      <c r="BA1618" s="52" t="n">
        <v>0</v>
      </c>
      <c r="BB1618" s="52" t="n">
        <v>0</v>
      </c>
      <c r="BC1618" s="51" t="n">
        <v>0</v>
      </c>
      <c r="BD1618" s="51" t="n">
        <v>0</v>
      </c>
      <c r="BE1618" s="51" t="n">
        <v>0</v>
      </c>
      <c r="BF1618" s="51" t="n">
        <v>0</v>
      </c>
    </row>
    <row r="1619">
      <c r="A1619">
        <f>HYPERLINK("https://www.walmart.com/ip/112872395", "112872395")</f>
        <v/>
      </c>
      <c r="B1619" t="inlineStr">
        <is>
          <t>Sherpa Wearable Blanket with Sleeves &amp; Foot Pockets for Adult Women Men, Comfy Snuggle Wrap Sleeved Throw Blanket Robe, Gift Idea, Plaid, 75" x 53"</t>
        </is>
      </c>
      <c r="C1619" t="inlineStr">
        <is>
          <t>1CTSN310PRD</t>
        </is>
      </c>
      <c r="D1619" t="inlineStr">
        <is>
          <t>Throws</t>
        </is>
      </c>
      <c r="E1619" t="inlineStr">
        <is>
          <t>Catalonia</t>
        </is>
      </c>
      <c r="F1619" t="inlineStr">
        <is>
          <t>Q2-Target,Optimized,WFS,Coupon_Discount,WFS Item</t>
        </is>
      </c>
      <c r="G1619" s="48" t="n">
        <v>0</v>
      </c>
      <c r="H1619" s="48" t="n">
        <v>0</v>
      </c>
      <c r="I1619" s="48" t="n">
        <v>0</v>
      </c>
      <c r="J1619" s="48" t="n">
        <v>0</v>
      </c>
      <c r="K1619" s="49" t="n">
        <v>0</v>
      </c>
      <c r="L1619" s="49" t="n">
        <v>0</v>
      </c>
      <c r="M1619" s="49" t="n">
        <v>0</v>
      </c>
      <c r="N1619" s="49" t="n">
        <v>0</v>
      </c>
      <c r="O1619" s="49" t="n">
        <v>0</v>
      </c>
      <c r="P1619" s="49" t="n">
        <v>0</v>
      </c>
      <c r="Q1619" s="49" t="n">
        <v>0</v>
      </c>
      <c r="R1619" s="49" t="n">
        <v>0</v>
      </c>
      <c r="S1619" s="50" t="n">
        <v>0</v>
      </c>
      <c r="T1619" s="50" t="n">
        <v>0</v>
      </c>
      <c r="U1619" s="50" t="n">
        <v>0</v>
      </c>
      <c r="V1619" s="50" t="n">
        <v>0</v>
      </c>
      <c r="W1619" s="51" t="n">
        <v>0</v>
      </c>
      <c r="X1619" s="51" t="n">
        <v>0</v>
      </c>
      <c r="Y1619" s="51" t="n">
        <v>0</v>
      </c>
      <c r="Z1619" s="51" t="n">
        <v>0</v>
      </c>
      <c r="AA1619" s="52" t="n">
        <v>0</v>
      </c>
      <c r="AB1619" s="52" t="n">
        <v>0</v>
      </c>
      <c r="AC1619" s="52" t="n">
        <v>0</v>
      </c>
      <c r="AD1619" s="52" t="n">
        <v>0</v>
      </c>
      <c r="AE1619" s="52" t="n">
        <v>0</v>
      </c>
      <c r="AF1619" s="52" t="n">
        <v>0</v>
      </c>
      <c r="AG1619" s="52" t="n">
        <v>0</v>
      </c>
      <c r="AH1619" s="52" t="n">
        <v>0</v>
      </c>
      <c r="AI1619" s="52" t="n">
        <v>0</v>
      </c>
      <c r="AJ1619" s="52" t="n">
        <v>0</v>
      </c>
      <c r="AK1619" s="52" t="n">
        <v>0</v>
      </c>
      <c r="AL1619" s="52" t="n">
        <v>0</v>
      </c>
      <c r="AM1619" s="53" t="n">
        <v>0</v>
      </c>
      <c r="AN1619" s="53" t="n">
        <v>0</v>
      </c>
      <c r="AO1619" s="53" t="n">
        <v>0</v>
      </c>
      <c r="AP1619" s="53" t="n">
        <v>0</v>
      </c>
      <c r="AQ1619" s="52" t="n">
        <v>0</v>
      </c>
      <c r="AR1619" s="52" t="n">
        <v>0</v>
      </c>
      <c r="AS1619" s="52" t="n">
        <v>0</v>
      </c>
      <c r="AT1619" s="52" t="n">
        <v>0</v>
      </c>
      <c r="AU1619" s="53" t="n">
        <v>0</v>
      </c>
      <c r="AV1619" s="53" t="n">
        <v>0</v>
      </c>
      <c r="AW1619" s="53" t="n">
        <v>0</v>
      </c>
      <c r="AX1619" s="53" t="n">
        <v>0</v>
      </c>
      <c r="AY1619" s="52" t="n">
        <v>0</v>
      </c>
      <c r="AZ1619" s="52" t="n">
        <v>0</v>
      </c>
      <c r="BA1619" s="52" t="n">
        <v>0</v>
      </c>
      <c r="BB1619" s="52" t="n">
        <v>0</v>
      </c>
      <c r="BC1619" s="51" t="n">
        <v>0</v>
      </c>
      <c r="BD1619" s="51" t="n">
        <v>0</v>
      </c>
      <c r="BE1619" s="51" t="n">
        <v>0</v>
      </c>
      <c r="BF1619" s="51" t="n">
        <v>0</v>
      </c>
    </row>
    <row r="1620">
      <c r="A1620">
        <f>HYPERLINK("https://www.walmart.com/ip/113173878", "113173878")</f>
        <v/>
      </c>
      <c r="B1620" t="inlineStr">
        <is>
          <t>Target Golf Laser Rangefinder 600M Flag Seeker Ultimate Portability Binocular</t>
        </is>
      </c>
      <c r="C1620" t="inlineStr">
        <is>
          <t>TARGETGRF003WT</t>
        </is>
      </c>
      <c r="D1620" t="inlineStr">
        <is>
          <t>Golf Rangefinders</t>
        </is>
      </c>
      <c r="E1620" t="inlineStr">
        <is>
          <t>Target</t>
        </is>
      </c>
      <c r="F1620" t="inlineStr">
        <is>
          <t>Optimized</t>
        </is>
      </c>
      <c r="G1620" s="48" t="n">
        <v>0</v>
      </c>
      <c r="H1620" s="48" t="n">
        <v>0</v>
      </c>
      <c r="I1620" s="48" t="n">
        <v>0</v>
      </c>
      <c r="J1620" s="48" t="n">
        <v>0</v>
      </c>
      <c r="K1620" s="49" t="n">
        <v>0</v>
      </c>
      <c r="L1620" s="49" t="n">
        <v>0</v>
      </c>
      <c r="M1620" s="49" t="n">
        <v>0</v>
      </c>
      <c r="N1620" s="49" t="n">
        <v>0</v>
      </c>
      <c r="O1620" s="49" t="n">
        <v>0</v>
      </c>
      <c r="P1620" s="49" t="n">
        <v>0</v>
      </c>
      <c r="Q1620" s="49" t="n">
        <v>0</v>
      </c>
      <c r="R1620" s="49" t="n">
        <v>0</v>
      </c>
      <c r="S1620" s="50" t="n">
        <v>0</v>
      </c>
      <c r="T1620" s="50" t="n">
        <v>0</v>
      </c>
      <c r="U1620" s="50" t="n">
        <v>0</v>
      </c>
      <c r="V1620" s="50" t="n">
        <v>0</v>
      </c>
      <c r="W1620" s="51" t="n">
        <v>0</v>
      </c>
      <c r="X1620" s="51" t="n">
        <v>0</v>
      </c>
      <c r="Y1620" s="51" t="n">
        <v>0</v>
      </c>
      <c r="Z1620" s="51" t="n">
        <v>0</v>
      </c>
      <c r="AA1620" s="52" t="n">
        <v>0</v>
      </c>
      <c r="AB1620" s="52" t="n">
        <v>0</v>
      </c>
      <c r="AC1620" s="52" t="n">
        <v>0</v>
      </c>
      <c r="AD1620" s="52" t="n">
        <v>0</v>
      </c>
      <c r="AE1620" s="52" t="n">
        <v>0</v>
      </c>
      <c r="AF1620" s="52" t="n">
        <v>0</v>
      </c>
      <c r="AG1620" s="52" t="n">
        <v>0</v>
      </c>
      <c r="AH1620" s="52" t="n">
        <v>0</v>
      </c>
      <c r="AI1620" s="52" t="n">
        <v>0</v>
      </c>
      <c r="AJ1620" s="52" t="n">
        <v>0</v>
      </c>
      <c r="AK1620" s="52" t="n">
        <v>0</v>
      </c>
      <c r="AL1620" s="52" t="n">
        <v>0</v>
      </c>
      <c r="AM1620" s="53" t="n">
        <v>0</v>
      </c>
      <c r="AN1620" s="53" t="n">
        <v>0</v>
      </c>
      <c r="AO1620" s="53" t="n">
        <v>0</v>
      </c>
      <c r="AP1620" s="53" t="n">
        <v>0</v>
      </c>
      <c r="AQ1620" s="52" t="n">
        <v>0</v>
      </c>
      <c r="AR1620" s="52" t="n">
        <v>0</v>
      </c>
      <c r="AS1620" s="52" t="n">
        <v>0</v>
      </c>
      <c r="AT1620" s="52" t="n">
        <v>0</v>
      </c>
      <c r="AU1620" s="53" t="n">
        <v>0</v>
      </c>
      <c r="AV1620" s="53" t="n">
        <v>0</v>
      </c>
      <c r="AW1620" s="53" t="n">
        <v>0</v>
      </c>
      <c r="AX1620" s="53" t="n">
        <v>0</v>
      </c>
      <c r="AY1620" s="52" t="n">
        <v>0</v>
      </c>
      <c r="AZ1620" s="52" t="n">
        <v>0</v>
      </c>
      <c r="BA1620" s="52" t="n">
        <v>0</v>
      </c>
      <c r="BB1620" s="52" t="n">
        <v>0</v>
      </c>
      <c r="BC1620" s="51" t="n">
        <v>0</v>
      </c>
      <c r="BD1620" s="51" t="n">
        <v>0</v>
      </c>
      <c r="BE1620" s="51" t="n">
        <v>0</v>
      </c>
      <c r="BF1620" s="51" t="n">
        <v>0</v>
      </c>
    </row>
    <row r="1621">
      <c r="A1621">
        <f>HYPERLINK("https://www.walmart.com/ip/113394835", "113394835")</f>
        <v/>
      </c>
      <c r="B1621" t="inlineStr">
        <is>
          <t>KC Caps® Cotton Twill Deluxe Super Soft Mesh Adjustable Snapback Low Profile Trucker Baseball Cap</t>
        </is>
      </c>
      <c r="C1621" t="inlineStr">
        <is>
          <t>KCCAPSSZK641CB/ST</t>
        </is>
      </c>
      <c r="D1621" t="inlineStr">
        <is>
          <t>Hats</t>
        </is>
      </c>
      <c r="E1621" t="inlineStr">
        <is>
          <t>KC Caps</t>
        </is>
      </c>
      <c r="F1621" t="inlineStr">
        <is>
          <t>Optimized</t>
        </is>
      </c>
      <c r="G1621" s="48" t="n">
        <v>0</v>
      </c>
      <c r="H1621" s="48" t="n">
        <v>0</v>
      </c>
      <c r="I1621" s="48" t="n">
        <v>0</v>
      </c>
      <c r="J1621" s="48" t="n">
        <v>0</v>
      </c>
      <c r="K1621" s="49" t="n">
        <v>0</v>
      </c>
      <c r="L1621" s="49" t="n">
        <v>0</v>
      </c>
      <c r="M1621" s="49" t="n">
        <v>0</v>
      </c>
      <c r="N1621" s="49" t="n">
        <v>0</v>
      </c>
      <c r="O1621" s="49" t="n">
        <v>0</v>
      </c>
      <c r="P1621" s="49" t="n">
        <v>0</v>
      </c>
      <c r="Q1621" s="49" t="n">
        <v>0</v>
      </c>
      <c r="R1621" s="49" t="n">
        <v>0</v>
      </c>
      <c r="S1621" s="50" t="n">
        <v>0</v>
      </c>
      <c r="T1621" s="50" t="n">
        <v>0</v>
      </c>
      <c r="U1621" s="50" t="n">
        <v>0</v>
      </c>
      <c r="V1621" s="50" t="n">
        <v>0</v>
      </c>
      <c r="W1621" s="51" t="n">
        <v>0</v>
      </c>
      <c r="X1621" s="51" t="n">
        <v>0</v>
      </c>
      <c r="Y1621" s="51" t="n">
        <v>0</v>
      </c>
      <c r="Z1621" s="51" t="n">
        <v>0</v>
      </c>
      <c r="AA1621" s="52" t="n">
        <v>0</v>
      </c>
      <c r="AB1621" s="52" t="n">
        <v>0</v>
      </c>
      <c r="AC1621" s="52" t="n">
        <v>0</v>
      </c>
      <c r="AD1621" s="52" t="n">
        <v>0</v>
      </c>
      <c r="AE1621" s="52" t="n">
        <v>0</v>
      </c>
      <c r="AF1621" s="52" t="n">
        <v>0</v>
      </c>
      <c r="AG1621" s="52" t="n">
        <v>0</v>
      </c>
      <c r="AH1621" s="52" t="n">
        <v>0</v>
      </c>
      <c r="AI1621" s="52" t="n">
        <v>0</v>
      </c>
      <c r="AJ1621" s="52" t="n">
        <v>0</v>
      </c>
      <c r="AK1621" s="52" t="n">
        <v>0</v>
      </c>
      <c r="AL1621" s="52" t="n">
        <v>0</v>
      </c>
      <c r="AM1621" s="53" t="n">
        <v>0</v>
      </c>
      <c r="AN1621" s="53" t="n">
        <v>0</v>
      </c>
      <c r="AO1621" s="53" t="n">
        <v>0</v>
      </c>
      <c r="AP1621" s="53" t="n">
        <v>0</v>
      </c>
      <c r="AQ1621" s="52" t="n">
        <v>0</v>
      </c>
      <c r="AR1621" s="52" t="n">
        <v>0</v>
      </c>
      <c r="AS1621" s="52" t="n">
        <v>0</v>
      </c>
      <c r="AT1621" s="52" t="n">
        <v>0</v>
      </c>
      <c r="AU1621" s="53" t="n">
        <v>0</v>
      </c>
      <c r="AV1621" s="53" t="n">
        <v>0</v>
      </c>
      <c r="AW1621" s="53" t="n">
        <v>0</v>
      </c>
      <c r="AX1621" s="53" t="n">
        <v>0</v>
      </c>
      <c r="AY1621" s="52" t="n">
        <v>0</v>
      </c>
      <c r="AZ1621" s="52" t="n">
        <v>0</v>
      </c>
      <c r="BA1621" s="52" t="n">
        <v>0</v>
      </c>
      <c r="BB1621" s="52" t="n">
        <v>0</v>
      </c>
      <c r="BC1621" s="51" t="n">
        <v>0</v>
      </c>
      <c r="BD1621" s="51" t="n">
        <v>0</v>
      </c>
      <c r="BE1621" s="51" t="n">
        <v>0</v>
      </c>
      <c r="BF1621" s="51" t="n">
        <v>0</v>
      </c>
    </row>
    <row r="1622">
      <c r="A1622">
        <f>HYPERLINK("https://www.walmart.com/ip/113647065", "113647065")</f>
        <v/>
      </c>
      <c r="B1622" t="inlineStr">
        <is>
          <t>KC Caps Washed Cotton Twill Hat</t>
        </is>
      </c>
      <c r="C1622" t="inlineStr">
        <is>
          <t>KCS4130RD</t>
        </is>
      </c>
      <c r="D1622" t="inlineStr">
        <is>
          <t>Hats</t>
        </is>
      </c>
      <c r="E1622" t="inlineStr">
        <is>
          <t>KC Caps</t>
        </is>
      </c>
      <c r="F1622" t="inlineStr">
        <is>
          <t>Optimized</t>
        </is>
      </c>
      <c r="G1622" s="48" t="n">
        <v>0</v>
      </c>
      <c r="H1622" s="48" t="n">
        <v>0</v>
      </c>
      <c r="I1622" s="48" t="n">
        <v>0</v>
      </c>
      <c r="J1622" s="48" t="n">
        <v>0</v>
      </c>
      <c r="K1622" s="49" t="n">
        <v>0</v>
      </c>
      <c r="L1622" s="49" t="n">
        <v>0</v>
      </c>
      <c r="M1622" s="49" t="n">
        <v>0</v>
      </c>
      <c r="N1622" s="49" t="n">
        <v>0</v>
      </c>
      <c r="O1622" s="49" t="n">
        <v>0</v>
      </c>
      <c r="P1622" s="49" t="n">
        <v>0</v>
      </c>
      <c r="Q1622" s="49" t="n">
        <v>0</v>
      </c>
      <c r="R1622" s="49" t="n">
        <v>0</v>
      </c>
      <c r="S1622" s="50" t="n">
        <v>0</v>
      </c>
      <c r="T1622" s="50" t="n">
        <v>0</v>
      </c>
      <c r="U1622" s="50" t="n">
        <v>0</v>
      </c>
      <c r="V1622" s="50" t="n">
        <v>0</v>
      </c>
      <c r="W1622" s="51" t="n">
        <v>0</v>
      </c>
      <c r="X1622" s="51" t="n">
        <v>0</v>
      </c>
      <c r="Y1622" s="51" t="n">
        <v>0</v>
      </c>
      <c r="Z1622" s="51" t="n">
        <v>0</v>
      </c>
      <c r="AA1622" s="52" t="n">
        <v>0</v>
      </c>
      <c r="AB1622" s="52" t="n">
        <v>0</v>
      </c>
      <c r="AC1622" s="52" t="n">
        <v>0</v>
      </c>
      <c r="AD1622" s="52" t="n">
        <v>0</v>
      </c>
      <c r="AE1622" s="52" t="n">
        <v>0</v>
      </c>
      <c r="AF1622" s="52" t="n">
        <v>0</v>
      </c>
      <c r="AG1622" s="52" t="n">
        <v>0</v>
      </c>
      <c r="AH1622" s="52" t="n">
        <v>0</v>
      </c>
      <c r="AI1622" s="52" t="n">
        <v>0</v>
      </c>
      <c r="AJ1622" s="52" t="n">
        <v>0</v>
      </c>
      <c r="AK1622" s="52" t="n">
        <v>0</v>
      </c>
      <c r="AL1622" s="52" t="n">
        <v>0</v>
      </c>
      <c r="AM1622" s="53" t="n">
        <v>0</v>
      </c>
      <c r="AN1622" s="53" t="n">
        <v>0</v>
      </c>
      <c r="AO1622" s="53" t="n">
        <v>0</v>
      </c>
      <c r="AP1622" s="53" t="n">
        <v>0</v>
      </c>
      <c r="AQ1622" s="52" t="n">
        <v>0</v>
      </c>
      <c r="AR1622" s="52" t="n">
        <v>0</v>
      </c>
      <c r="AS1622" s="52" t="n">
        <v>0</v>
      </c>
      <c r="AT1622" s="52" t="n">
        <v>0</v>
      </c>
      <c r="AU1622" s="53" t="n">
        <v>0</v>
      </c>
      <c r="AV1622" s="53" t="n">
        <v>0</v>
      </c>
      <c r="AW1622" s="53" t="n">
        <v>0</v>
      </c>
      <c r="AX1622" s="53" t="n">
        <v>0</v>
      </c>
      <c r="AY1622" s="52" t="n">
        <v>0</v>
      </c>
      <c r="AZ1622" s="52" t="n">
        <v>0</v>
      </c>
      <c r="BA1622" s="52" t="n">
        <v>0</v>
      </c>
      <c r="BB1622" s="52" t="n">
        <v>0</v>
      </c>
      <c r="BC1622" s="51" t="n">
        <v>0</v>
      </c>
      <c r="BD1622" s="51" t="n">
        <v>0</v>
      </c>
      <c r="BE1622" s="51" t="n">
        <v>0</v>
      </c>
      <c r="BF1622" s="51" t="n">
        <v>0</v>
      </c>
    </row>
    <row r="1623">
      <c r="A1623">
        <f>HYPERLINK("https://www.walmart.com/ip/1136628377", "1136628377")</f>
        <v/>
      </c>
      <c r="B1623" t="inlineStr">
        <is>
          <t>Tirrinia Waterproof Outdoor Blanket with Sherpa Lining, Windproof Triple Layers Warm Comfy Foldable for Camping Stadium, Sports, Picnic, Grass, Concerts, Camo/Black, Pet, 51''X 59''.</t>
        </is>
      </c>
      <c r="C1623" t="inlineStr">
        <is>
          <t>1TRBW506CAMOBK</t>
        </is>
      </c>
      <c r="D1623" t="inlineStr">
        <is>
          <t>Picnic Blankets &amp; Mats</t>
        </is>
      </c>
      <c r="E1623" t="inlineStr">
        <is>
          <t>Tirrinia</t>
        </is>
      </c>
      <c r="F1623" t="inlineStr">
        <is>
          <t>Q2-Target</t>
        </is>
      </c>
      <c r="G1623" s="48" t="n">
        <v>0</v>
      </c>
      <c r="H1623" s="48" t="n">
        <v>0</v>
      </c>
      <c r="I1623" s="48" t="n">
        <v>0</v>
      </c>
      <c r="J1623" s="48" t="n">
        <v>0</v>
      </c>
      <c r="K1623" s="49" t="n">
        <v>0</v>
      </c>
      <c r="L1623" s="49" t="n">
        <v>0</v>
      </c>
      <c r="M1623" s="49" t="n">
        <v>0</v>
      </c>
      <c r="N1623" s="49" t="n">
        <v>0</v>
      </c>
      <c r="O1623" s="49" t="n">
        <v>0</v>
      </c>
      <c r="P1623" s="49" t="n">
        <v>0</v>
      </c>
      <c r="Q1623" s="49" t="n">
        <v>0</v>
      </c>
      <c r="R1623" s="49" t="n">
        <v>0</v>
      </c>
      <c r="S1623" s="50" t="n">
        <v>0</v>
      </c>
      <c r="T1623" s="50" t="n">
        <v>0</v>
      </c>
      <c r="U1623" s="50" t="n">
        <v>0</v>
      </c>
      <c r="V1623" s="50" t="n">
        <v>0</v>
      </c>
      <c r="W1623" s="51" t="n">
        <v>7</v>
      </c>
      <c r="X1623" s="51" t="n">
        <v>8</v>
      </c>
      <c r="Y1623" s="51" t="n">
        <v>11</v>
      </c>
      <c r="Z1623" s="51" t="n">
        <v>10</v>
      </c>
      <c r="AA1623" s="52" t="n">
        <v>2.87</v>
      </c>
      <c r="AB1623" s="52" t="n">
        <v>3.18</v>
      </c>
      <c r="AC1623" s="52" t="n">
        <v>4.44</v>
      </c>
      <c r="AD1623" s="52" t="n">
        <v>4.1</v>
      </c>
      <c r="AE1623" s="52" t="n">
        <v>0</v>
      </c>
      <c r="AF1623" s="52" t="n">
        <v>0</v>
      </c>
      <c r="AG1623" s="52" t="n">
        <v>0</v>
      </c>
      <c r="AH1623" s="52" t="n">
        <v>0</v>
      </c>
      <c r="AI1623" s="52" t="n">
        <v>0</v>
      </c>
      <c r="AJ1623" s="52" t="n">
        <v>0</v>
      </c>
      <c r="AK1623" s="52" t="n">
        <v>0</v>
      </c>
      <c r="AL1623" s="52" t="n">
        <v>0</v>
      </c>
      <c r="AM1623" s="53" t="n">
        <v>0.001</v>
      </c>
      <c r="AN1623" s="53" t="n">
        <v>0.0013</v>
      </c>
      <c r="AO1623" s="53" t="n">
        <v>0.0015</v>
      </c>
      <c r="AP1623" s="53" t="n">
        <v>0.0018</v>
      </c>
      <c r="AQ1623" s="52" t="n">
        <v>0.41</v>
      </c>
      <c r="AR1623" s="52" t="n">
        <v>0.3975</v>
      </c>
      <c r="AS1623" s="52" t="n">
        <v>0.4036363636363636</v>
      </c>
      <c r="AT1623" s="52" t="n">
        <v>0.41</v>
      </c>
      <c r="AU1623" s="53" t="n">
        <v>0</v>
      </c>
      <c r="AV1623" s="53" t="n">
        <v>0</v>
      </c>
      <c r="AW1623" s="53" t="n">
        <v>0</v>
      </c>
      <c r="AX1623" s="53" t="n">
        <v>0</v>
      </c>
      <c r="AY1623" s="52" t="n">
        <v>0</v>
      </c>
      <c r="AZ1623" s="52" t="n">
        <v>0</v>
      </c>
      <c r="BA1623" s="52" t="n">
        <v>0</v>
      </c>
      <c r="BB1623" s="52" t="n">
        <v>0</v>
      </c>
      <c r="BC1623" s="51" t="n">
        <v>7085</v>
      </c>
      <c r="BD1623" s="51" t="n">
        <v>5979</v>
      </c>
      <c r="BE1623" s="51" t="n">
        <v>7152</v>
      </c>
      <c r="BF1623" s="51" t="n">
        <v>5492</v>
      </c>
    </row>
    <row r="1624">
      <c r="A1624">
        <f>HYPERLINK("https://www.walmart.com/ip/113714018", "113714018")</f>
        <v/>
      </c>
      <c r="B1624" t="inlineStr">
        <is>
          <t>KC Caps® Unstructured Low-profile Two-Tone Denim Garment Washed Baseball Cap</t>
        </is>
      </c>
      <c r="C1624" t="inlineStr">
        <is>
          <t>KC8080JEANKK</t>
        </is>
      </c>
      <c r="D1624" t="inlineStr">
        <is>
          <t>Hats</t>
        </is>
      </c>
      <c r="E1624" t="inlineStr">
        <is>
          <t>KC Caps</t>
        </is>
      </c>
      <c r="F1624" t="inlineStr">
        <is>
          <t>Optimized</t>
        </is>
      </c>
      <c r="G1624" s="48" t="n">
        <v>0</v>
      </c>
      <c r="H1624" s="48" t="n">
        <v>0</v>
      </c>
      <c r="I1624" s="48" t="n">
        <v>0</v>
      </c>
      <c r="J1624" s="48" t="n">
        <v>0</v>
      </c>
      <c r="K1624" s="49" t="n">
        <v>0</v>
      </c>
      <c r="L1624" s="49" t="n">
        <v>0</v>
      </c>
      <c r="M1624" s="49" t="n">
        <v>0</v>
      </c>
      <c r="N1624" s="49" t="n">
        <v>0</v>
      </c>
      <c r="O1624" s="49" t="n">
        <v>0</v>
      </c>
      <c r="P1624" s="49" t="n">
        <v>0</v>
      </c>
      <c r="Q1624" s="49" t="n">
        <v>0</v>
      </c>
      <c r="R1624" s="49" t="n">
        <v>0</v>
      </c>
      <c r="S1624" s="50" t="n">
        <v>0</v>
      </c>
      <c r="T1624" s="50" t="n">
        <v>0</v>
      </c>
      <c r="U1624" s="50" t="n">
        <v>0</v>
      </c>
      <c r="V1624" s="50" t="n">
        <v>0</v>
      </c>
      <c r="W1624" s="51" t="n">
        <v>0</v>
      </c>
      <c r="X1624" s="51" t="n">
        <v>0</v>
      </c>
      <c r="Y1624" s="51" t="n">
        <v>0</v>
      </c>
      <c r="Z1624" s="51" t="n">
        <v>0</v>
      </c>
      <c r="AA1624" s="52" t="n">
        <v>0</v>
      </c>
      <c r="AB1624" s="52" t="n">
        <v>0</v>
      </c>
      <c r="AC1624" s="52" t="n">
        <v>0</v>
      </c>
      <c r="AD1624" s="52" t="n">
        <v>0</v>
      </c>
      <c r="AE1624" s="52" t="n">
        <v>0</v>
      </c>
      <c r="AF1624" s="52" t="n">
        <v>0</v>
      </c>
      <c r="AG1624" s="52" t="n">
        <v>0</v>
      </c>
      <c r="AH1624" s="52" t="n">
        <v>0</v>
      </c>
      <c r="AI1624" s="52" t="n">
        <v>0</v>
      </c>
      <c r="AJ1624" s="52" t="n">
        <v>0</v>
      </c>
      <c r="AK1624" s="52" t="n">
        <v>0</v>
      </c>
      <c r="AL1624" s="52" t="n">
        <v>0</v>
      </c>
      <c r="AM1624" s="53" t="n">
        <v>0</v>
      </c>
      <c r="AN1624" s="53" t="n">
        <v>0</v>
      </c>
      <c r="AO1624" s="53" t="n">
        <v>0</v>
      </c>
      <c r="AP1624" s="53" t="n">
        <v>0</v>
      </c>
      <c r="AQ1624" s="52" t="n">
        <v>0</v>
      </c>
      <c r="AR1624" s="52" t="n">
        <v>0</v>
      </c>
      <c r="AS1624" s="52" t="n">
        <v>0</v>
      </c>
      <c r="AT1624" s="52" t="n">
        <v>0</v>
      </c>
      <c r="AU1624" s="53" t="n">
        <v>0</v>
      </c>
      <c r="AV1624" s="53" t="n">
        <v>0</v>
      </c>
      <c r="AW1624" s="53" t="n">
        <v>0</v>
      </c>
      <c r="AX1624" s="53" t="n">
        <v>0</v>
      </c>
      <c r="AY1624" s="52" t="n">
        <v>0</v>
      </c>
      <c r="AZ1624" s="52" t="n">
        <v>0</v>
      </c>
      <c r="BA1624" s="52" t="n">
        <v>0</v>
      </c>
      <c r="BB1624" s="52" t="n">
        <v>0</v>
      </c>
      <c r="BC1624" s="51" t="n">
        <v>0</v>
      </c>
      <c r="BD1624" s="51" t="n">
        <v>0</v>
      </c>
      <c r="BE1624" s="51" t="n">
        <v>0</v>
      </c>
      <c r="BF1624" s="51" t="n">
        <v>0</v>
      </c>
    </row>
    <row r="1625">
      <c r="A1625">
        <f>HYPERLINK("https://www.walmart.com/ip/113717558", "113717558")</f>
        <v/>
      </c>
      <c r="B1625" t="inlineStr">
        <is>
          <t>Deluxe Stylish Microplush Sleeved Fleece Blanket Soft Home Sofa Snuggie</t>
        </is>
      </c>
      <c r="C1625" t="inlineStr">
        <is>
          <t>k3000-Latte</t>
        </is>
      </c>
      <c r="D1625" t="inlineStr">
        <is>
          <t>Bed Blankets</t>
        </is>
      </c>
      <c r="E1625" t="inlineStr">
        <is>
          <t>NAPA</t>
        </is>
      </c>
      <c r="F1625" t="inlineStr">
        <is>
          <t>Fleece Blankets,Batch 1 - TR</t>
        </is>
      </c>
      <c r="G1625" s="48" t="n">
        <v>0</v>
      </c>
      <c r="H1625" s="48" t="n">
        <v>0</v>
      </c>
      <c r="I1625" s="48" t="n">
        <v>0</v>
      </c>
      <c r="J1625" s="48" t="n">
        <v>0</v>
      </c>
      <c r="K1625" s="49" t="n">
        <v>0</v>
      </c>
      <c r="L1625" s="49" t="n">
        <v>0</v>
      </c>
      <c r="M1625" s="49" t="n">
        <v>0</v>
      </c>
      <c r="N1625" s="49" t="n">
        <v>0</v>
      </c>
      <c r="O1625" s="49" t="n">
        <v>0</v>
      </c>
      <c r="P1625" s="49" t="n">
        <v>0</v>
      </c>
      <c r="Q1625" s="49" t="n">
        <v>0</v>
      </c>
      <c r="R1625" s="49" t="n">
        <v>0</v>
      </c>
      <c r="S1625" s="50" t="n">
        <v>0</v>
      </c>
      <c r="T1625" s="50" t="n">
        <v>0</v>
      </c>
      <c r="U1625" s="50" t="n">
        <v>0</v>
      </c>
      <c r="V1625" s="50" t="n">
        <v>0</v>
      </c>
      <c r="W1625" s="51" t="n">
        <v>0</v>
      </c>
      <c r="X1625" s="51" t="n">
        <v>0</v>
      </c>
      <c r="Y1625" s="51" t="n">
        <v>0</v>
      </c>
      <c r="Z1625" s="51" t="n">
        <v>0</v>
      </c>
      <c r="AA1625" s="52" t="n">
        <v>0</v>
      </c>
      <c r="AB1625" s="52" t="n">
        <v>0</v>
      </c>
      <c r="AC1625" s="52" t="n">
        <v>0</v>
      </c>
      <c r="AD1625" s="52" t="n">
        <v>0</v>
      </c>
      <c r="AE1625" s="52" t="n">
        <v>0</v>
      </c>
      <c r="AF1625" s="52" t="n">
        <v>0</v>
      </c>
      <c r="AG1625" s="52" t="n">
        <v>0</v>
      </c>
      <c r="AH1625" s="52" t="n">
        <v>0</v>
      </c>
      <c r="AI1625" s="52" t="n">
        <v>0</v>
      </c>
      <c r="AJ1625" s="52" t="n">
        <v>0</v>
      </c>
      <c r="AK1625" s="52" t="n">
        <v>0</v>
      </c>
      <c r="AL1625" s="52" t="n">
        <v>0</v>
      </c>
      <c r="AM1625" s="53" t="n">
        <v>0</v>
      </c>
      <c r="AN1625" s="53" t="n">
        <v>0</v>
      </c>
      <c r="AO1625" s="53" t="n">
        <v>0</v>
      </c>
      <c r="AP1625" s="53" t="n">
        <v>0</v>
      </c>
      <c r="AQ1625" s="52" t="n">
        <v>0</v>
      </c>
      <c r="AR1625" s="52" t="n">
        <v>0</v>
      </c>
      <c r="AS1625" s="52" t="n">
        <v>0</v>
      </c>
      <c r="AT1625" s="52" t="n">
        <v>0</v>
      </c>
      <c r="AU1625" s="53" t="n">
        <v>0</v>
      </c>
      <c r="AV1625" s="53" t="n">
        <v>0</v>
      </c>
      <c r="AW1625" s="53" t="n">
        <v>0</v>
      </c>
      <c r="AX1625" s="53" t="n">
        <v>0</v>
      </c>
      <c r="AY1625" s="52" t="n">
        <v>0</v>
      </c>
      <c r="AZ1625" s="52" t="n">
        <v>0</v>
      </c>
      <c r="BA1625" s="52" t="n">
        <v>0</v>
      </c>
      <c r="BB1625" s="52" t="n">
        <v>0</v>
      </c>
      <c r="BC1625" s="51" t="n">
        <v>0</v>
      </c>
      <c r="BD1625" s="51" t="n">
        <v>0</v>
      </c>
      <c r="BE1625" s="51" t="n">
        <v>0</v>
      </c>
      <c r="BF1625" s="51" t="n">
        <v>0</v>
      </c>
    </row>
    <row r="1626">
      <c r="A1626">
        <f>HYPERLINK("https://www.walmart.com/ip/111627641", "111627641")</f>
        <v/>
      </c>
      <c r="B1626" t="inlineStr">
        <is>
          <t>JenniWears Women Beileise Sexy Garter Belt Suspender - 3 Packs</t>
        </is>
      </c>
      <c r="C1626" t="inlineStr">
        <is>
          <t>JWBLSPH2073-3pcs</t>
        </is>
      </c>
      <c r="D1626" t="inlineStr">
        <is>
          <t>Garter Belts</t>
        </is>
      </c>
      <c r="E1626" t="inlineStr">
        <is>
          <t>JenniWears</t>
        </is>
      </c>
      <c r="F1626" t="inlineStr">
        <is>
          <t>Optimized,Valentine</t>
        </is>
      </c>
      <c r="G1626" s="48" t="n">
        <v>0</v>
      </c>
      <c r="H1626" s="48" t="n">
        <v>0</v>
      </c>
      <c r="I1626" s="48" t="n">
        <v>0</v>
      </c>
      <c r="J1626" s="48" t="n">
        <v>0</v>
      </c>
      <c r="K1626" s="49" t="n">
        <v>0</v>
      </c>
      <c r="L1626" s="49" t="n">
        <v>0</v>
      </c>
      <c r="M1626" s="49" t="n">
        <v>0</v>
      </c>
      <c r="N1626" s="49" t="n">
        <v>0</v>
      </c>
      <c r="O1626" s="49" t="n">
        <v>0</v>
      </c>
      <c r="P1626" s="49" t="n">
        <v>0</v>
      </c>
      <c r="Q1626" s="49" t="n">
        <v>0</v>
      </c>
      <c r="R1626" s="49" t="n">
        <v>0</v>
      </c>
      <c r="S1626" s="50" t="n">
        <v>0</v>
      </c>
      <c r="T1626" s="50" t="n">
        <v>0</v>
      </c>
      <c r="U1626" s="50" t="n">
        <v>0</v>
      </c>
      <c r="V1626" s="50" t="n">
        <v>0</v>
      </c>
      <c r="W1626" s="51" t="n">
        <v>0</v>
      </c>
      <c r="X1626" s="51" t="n">
        <v>0</v>
      </c>
      <c r="Y1626" s="51" t="n">
        <v>0</v>
      </c>
      <c r="Z1626" s="51" t="n">
        <v>0</v>
      </c>
      <c r="AA1626" s="52" t="n">
        <v>0</v>
      </c>
      <c r="AB1626" s="52" t="n">
        <v>0</v>
      </c>
      <c r="AC1626" s="52" t="n">
        <v>0</v>
      </c>
      <c r="AD1626" s="52" t="n">
        <v>0</v>
      </c>
      <c r="AE1626" s="52" t="n">
        <v>0</v>
      </c>
      <c r="AF1626" s="52" t="n">
        <v>0</v>
      </c>
      <c r="AG1626" s="52" t="n">
        <v>0</v>
      </c>
      <c r="AH1626" s="52" t="n">
        <v>0</v>
      </c>
      <c r="AI1626" s="52" t="n">
        <v>0</v>
      </c>
      <c r="AJ1626" s="52" t="n">
        <v>0</v>
      </c>
      <c r="AK1626" s="52" t="n">
        <v>0</v>
      </c>
      <c r="AL1626" s="52" t="n">
        <v>0</v>
      </c>
      <c r="AM1626" s="53" t="n">
        <v>0</v>
      </c>
      <c r="AN1626" s="53" t="n">
        <v>0</v>
      </c>
      <c r="AO1626" s="53" t="n">
        <v>0</v>
      </c>
      <c r="AP1626" s="53" t="n">
        <v>0</v>
      </c>
      <c r="AQ1626" s="52" t="n">
        <v>0</v>
      </c>
      <c r="AR1626" s="52" t="n">
        <v>0</v>
      </c>
      <c r="AS1626" s="52" t="n">
        <v>0</v>
      </c>
      <c r="AT1626" s="52" t="n">
        <v>0</v>
      </c>
      <c r="AU1626" s="53" t="n">
        <v>0</v>
      </c>
      <c r="AV1626" s="53" t="n">
        <v>0</v>
      </c>
      <c r="AW1626" s="53" t="n">
        <v>0</v>
      </c>
      <c r="AX1626" s="53" t="n">
        <v>0</v>
      </c>
      <c r="AY1626" s="52" t="n">
        <v>0</v>
      </c>
      <c r="AZ1626" s="52" t="n">
        <v>0</v>
      </c>
      <c r="BA1626" s="52" t="n">
        <v>0</v>
      </c>
      <c r="BB1626" s="52" t="n">
        <v>0</v>
      </c>
      <c r="BC1626" s="51" t="n">
        <v>0</v>
      </c>
      <c r="BD1626" s="51" t="n">
        <v>0</v>
      </c>
      <c r="BE1626" s="51" t="n">
        <v>0</v>
      </c>
      <c r="BF1626" s="51" t="n">
        <v>0</v>
      </c>
    </row>
    <row r="1627">
      <c r="A1627">
        <f>HYPERLINK("https://www.walmart.com/ip/111420113", "111420113")</f>
        <v/>
      </c>
      <c r="B1627" t="inlineStr">
        <is>
          <t>Dog Blankets for Large Dogs,Super Soft Warm Sherpa Fleece Plush Doggie Blankets and Throws for Small Medium Puppy Doggy Pet Cats</t>
        </is>
      </c>
      <c r="C1627" t="inlineStr">
        <is>
          <t>1PSBF301MK</t>
        </is>
      </c>
      <c r="D1627" t="inlineStr">
        <is>
          <t>Pet Blankets</t>
        </is>
      </c>
      <c r="E1627" t="inlineStr">
        <is>
          <t>Pawsse</t>
        </is>
      </c>
      <c r="F1627" t="inlineStr">
        <is>
          <t>Batch 1 - TR</t>
        </is>
      </c>
      <c r="G1627" s="48" t="n">
        <v>0</v>
      </c>
      <c r="H1627" s="48" t="n">
        <v>0</v>
      </c>
      <c r="I1627" s="48" t="n">
        <v>0</v>
      </c>
      <c r="J1627" s="48" t="n">
        <v>0</v>
      </c>
      <c r="K1627" s="49" t="n">
        <v>0</v>
      </c>
      <c r="L1627" s="49" t="n">
        <v>0</v>
      </c>
      <c r="M1627" s="49" t="n">
        <v>0</v>
      </c>
      <c r="N1627" s="49" t="n">
        <v>0</v>
      </c>
      <c r="O1627" s="49" t="n">
        <v>0</v>
      </c>
      <c r="P1627" s="49" t="n">
        <v>0</v>
      </c>
      <c r="Q1627" s="49" t="n">
        <v>0</v>
      </c>
      <c r="R1627" s="49" t="n">
        <v>0</v>
      </c>
      <c r="S1627" s="50" t="n">
        <v>0</v>
      </c>
      <c r="T1627" s="50" t="n">
        <v>0</v>
      </c>
      <c r="U1627" s="50" t="n">
        <v>0</v>
      </c>
      <c r="V1627" s="50" t="n">
        <v>0</v>
      </c>
      <c r="W1627" s="51" t="n">
        <v>0</v>
      </c>
      <c r="X1627" s="51" t="n">
        <v>0</v>
      </c>
      <c r="Y1627" s="51" t="n">
        <v>0</v>
      </c>
      <c r="Z1627" s="51" t="n">
        <v>0</v>
      </c>
      <c r="AA1627" s="52" t="n">
        <v>0</v>
      </c>
      <c r="AB1627" s="52" t="n">
        <v>0</v>
      </c>
      <c r="AC1627" s="52" t="n">
        <v>0</v>
      </c>
      <c r="AD1627" s="52" t="n">
        <v>0</v>
      </c>
      <c r="AE1627" s="52" t="n">
        <v>0</v>
      </c>
      <c r="AF1627" s="52" t="n">
        <v>0</v>
      </c>
      <c r="AG1627" s="52" t="n">
        <v>0</v>
      </c>
      <c r="AH1627" s="52" t="n">
        <v>0</v>
      </c>
      <c r="AI1627" s="52" t="n">
        <v>0</v>
      </c>
      <c r="AJ1627" s="52" t="n">
        <v>0</v>
      </c>
      <c r="AK1627" s="52" t="n">
        <v>0</v>
      </c>
      <c r="AL1627" s="52" t="n">
        <v>0</v>
      </c>
      <c r="AM1627" s="53" t="n">
        <v>0</v>
      </c>
      <c r="AN1627" s="53" t="n">
        <v>0</v>
      </c>
      <c r="AO1627" s="53" t="n">
        <v>0</v>
      </c>
      <c r="AP1627" s="53" t="n">
        <v>0</v>
      </c>
      <c r="AQ1627" s="52" t="n">
        <v>0</v>
      </c>
      <c r="AR1627" s="52" t="n">
        <v>0</v>
      </c>
      <c r="AS1627" s="52" t="n">
        <v>0</v>
      </c>
      <c r="AT1627" s="52" t="n">
        <v>0</v>
      </c>
      <c r="AU1627" s="53" t="n">
        <v>0</v>
      </c>
      <c r="AV1627" s="53" t="n">
        <v>0</v>
      </c>
      <c r="AW1627" s="53" t="n">
        <v>0</v>
      </c>
      <c r="AX1627" s="53" t="n">
        <v>0</v>
      </c>
      <c r="AY1627" s="52" t="n">
        <v>0</v>
      </c>
      <c r="AZ1627" s="52" t="n">
        <v>0</v>
      </c>
      <c r="BA1627" s="52" t="n">
        <v>0</v>
      </c>
      <c r="BB1627" s="52" t="n">
        <v>0</v>
      </c>
      <c r="BC1627" s="51" t="n">
        <v>0</v>
      </c>
      <c r="BD1627" s="51" t="n">
        <v>0</v>
      </c>
      <c r="BE1627" s="51" t="n">
        <v>0</v>
      </c>
      <c r="BF1627" s="51" t="n">
        <v>0</v>
      </c>
    </row>
    <row r="1628">
      <c r="A1628">
        <f>HYPERLINK("https://www.walmart.com/ip/113898325", "113898325")</f>
        <v/>
      </c>
      <c r="B1628" t="inlineStr">
        <is>
          <t>KC Caps Unisex Two-Tone Cotton Twill Baseball Hat with Suede Bill Adult, Black/Red</t>
        </is>
      </c>
      <c r="C1628" t="inlineStr">
        <is>
          <t>KC-S6300-BK/RD</t>
        </is>
      </c>
      <c r="D1628" t="inlineStr">
        <is>
          <t>Hats</t>
        </is>
      </c>
      <c r="E1628" t="inlineStr">
        <is>
          <t>KC Caps</t>
        </is>
      </c>
      <c r="F1628" t="inlineStr">
        <is>
          <t>Optimized</t>
        </is>
      </c>
      <c r="G1628" s="48" t="n">
        <v>0</v>
      </c>
      <c r="H1628" s="48" t="n">
        <v>0</v>
      </c>
      <c r="I1628" s="48" t="n">
        <v>0</v>
      </c>
      <c r="J1628" s="48" t="n">
        <v>0</v>
      </c>
      <c r="K1628" s="49" t="n">
        <v>0</v>
      </c>
      <c r="L1628" s="49" t="n">
        <v>0</v>
      </c>
      <c r="M1628" s="49" t="n">
        <v>0</v>
      </c>
      <c r="N1628" s="49" t="n">
        <v>0</v>
      </c>
      <c r="O1628" s="49" t="n">
        <v>0</v>
      </c>
      <c r="P1628" s="49" t="n">
        <v>0</v>
      </c>
      <c r="Q1628" s="49" t="n">
        <v>0</v>
      </c>
      <c r="R1628" s="49" t="n">
        <v>0</v>
      </c>
      <c r="S1628" s="50" t="n">
        <v>0</v>
      </c>
      <c r="T1628" s="50" t="n">
        <v>0</v>
      </c>
      <c r="U1628" s="50" t="n">
        <v>0</v>
      </c>
      <c r="V1628" s="50" t="n">
        <v>0</v>
      </c>
      <c r="W1628" s="51" t="n">
        <v>0</v>
      </c>
      <c r="X1628" s="51" t="n">
        <v>0</v>
      </c>
      <c r="Y1628" s="51" t="n">
        <v>0</v>
      </c>
      <c r="Z1628" s="51" t="n">
        <v>0</v>
      </c>
      <c r="AA1628" s="52" t="n">
        <v>0</v>
      </c>
      <c r="AB1628" s="52" t="n">
        <v>0</v>
      </c>
      <c r="AC1628" s="52" t="n">
        <v>0</v>
      </c>
      <c r="AD1628" s="52" t="n">
        <v>0</v>
      </c>
      <c r="AE1628" s="52" t="n">
        <v>0</v>
      </c>
      <c r="AF1628" s="52" t="n">
        <v>0</v>
      </c>
      <c r="AG1628" s="52" t="n">
        <v>0</v>
      </c>
      <c r="AH1628" s="52" t="n">
        <v>0</v>
      </c>
      <c r="AI1628" s="52" t="n">
        <v>0</v>
      </c>
      <c r="AJ1628" s="52" t="n">
        <v>0</v>
      </c>
      <c r="AK1628" s="52" t="n">
        <v>0</v>
      </c>
      <c r="AL1628" s="52" t="n">
        <v>0</v>
      </c>
      <c r="AM1628" s="53" t="n">
        <v>0</v>
      </c>
      <c r="AN1628" s="53" t="n">
        <v>0</v>
      </c>
      <c r="AO1628" s="53" t="n">
        <v>0</v>
      </c>
      <c r="AP1628" s="53" t="n">
        <v>0</v>
      </c>
      <c r="AQ1628" s="52" t="n">
        <v>0</v>
      </c>
      <c r="AR1628" s="52" t="n">
        <v>0</v>
      </c>
      <c r="AS1628" s="52" t="n">
        <v>0</v>
      </c>
      <c r="AT1628" s="52" t="n">
        <v>0</v>
      </c>
      <c r="AU1628" s="53" t="n">
        <v>0</v>
      </c>
      <c r="AV1628" s="53" t="n">
        <v>0</v>
      </c>
      <c r="AW1628" s="53" t="n">
        <v>0</v>
      </c>
      <c r="AX1628" s="53" t="n">
        <v>0</v>
      </c>
      <c r="AY1628" s="52" t="n">
        <v>0</v>
      </c>
      <c r="AZ1628" s="52" t="n">
        <v>0</v>
      </c>
      <c r="BA1628" s="52" t="n">
        <v>0</v>
      </c>
      <c r="BB1628" s="52" t="n">
        <v>0</v>
      </c>
      <c r="BC1628" s="51" t="n">
        <v>0</v>
      </c>
      <c r="BD1628" s="51" t="n">
        <v>0</v>
      </c>
      <c r="BE1628" s="51" t="n">
        <v>0</v>
      </c>
      <c r="BF1628" s="51" t="n">
        <v>0</v>
      </c>
    </row>
    <row r="1629">
      <c r="A1629">
        <f>HYPERLINK("https://www.walmart.com/ip/111372747", "111372747")</f>
        <v/>
      </c>
      <c r="B1629" t="inlineStr">
        <is>
          <t>KritterWorld® Pet Dog Cat Puppy Kitten Microplush Sherpa Snuggle Blanket for Couch, Car, Trunk, Cage, Kennel, Dog House, 45" x30" Chocolate</t>
        </is>
      </c>
      <c r="C1629" t="inlineStr">
        <is>
          <t>dog3045-chocolate</t>
        </is>
      </c>
      <c r="D1629" t="inlineStr">
        <is>
          <t>Pet Blankets</t>
        </is>
      </c>
      <c r="E1629" t="inlineStr">
        <is>
          <t>KritterWorld</t>
        </is>
      </c>
      <c r="F1629" t="inlineStr">
        <is>
          <t>Batch 1 - TR</t>
        </is>
      </c>
      <c r="G1629" s="48" t="n">
        <v>0</v>
      </c>
      <c r="H1629" s="48" t="n">
        <v>0</v>
      </c>
      <c r="I1629" s="48" t="n">
        <v>0</v>
      </c>
      <c r="J1629" s="48" t="n">
        <v>0</v>
      </c>
      <c r="K1629" s="49" t="n">
        <v>0</v>
      </c>
      <c r="L1629" s="49" t="n">
        <v>0</v>
      </c>
      <c r="M1629" s="49" t="n">
        <v>0</v>
      </c>
      <c r="N1629" s="49" t="n">
        <v>0</v>
      </c>
      <c r="O1629" s="49" t="n">
        <v>0</v>
      </c>
      <c r="P1629" s="49" t="n">
        <v>0</v>
      </c>
      <c r="Q1629" s="49" t="n">
        <v>0</v>
      </c>
      <c r="R1629" s="49" t="n">
        <v>0</v>
      </c>
      <c r="S1629" s="50" t="n">
        <v>0</v>
      </c>
      <c r="T1629" s="50" t="n">
        <v>0</v>
      </c>
      <c r="U1629" s="50" t="n">
        <v>0</v>
      </c>
      <c r="V1629" s="50" t="n">
        <v>0</v>
      </c>
      <c r="W1629" s="51" t="n">
        <v>0</v>
      </c>
      <c r="X1629" s="51" t="n">
        <v>0</v>
      </c>
      <c r="Y1629" s="51" t="n">
        <v>0</v>
      </c>
      <c r="Z1629" s="51" t="n">
        <v>0</v>
      </c>
      <c r="AA1629" s="52" t="n">
        <v>0</v>
      </c>
      <c r="AB1629" s="52" t="n">
        <v>0</v>
      </c>
      <c r="AC1629" s="52" t="n">
        <v>0</v>
      </c>
      <c r="AD1629" s="52" t="n">
        <v>0</v>
      </c>
      <c r="AE1629" s="52" t="n">
        <v>0</v>
      </c>
      <c r="AF1629" s="52" t="n">
        <v>0</v>
      </c>
      <c r="AG1629" s="52" t="n">
        <v>0</v>
      </c>
      <c r="AH1629" s="52" t="n">
        <v>0</v>
      </c>
      <c r="AI1629" s="52" t="n">
        <v>0</v>
      </c>
      <c r="AJ1629" s="52" t="n">
        <v>0</v>
      </c>
      <c r="AK1629" s="52" t="n">
        <v>0</v>
      </c>
      <c r="AL1629" s="52" t="n">
        <v>0</v>
      </c>
      <c r="AM1629" s="53" t="n">
        <v>0</v>
      </c>
      <c r="AN1629" s="53" t="n">
        <v>0</v>
      </c>
      <c r="AO1629" s="53" t="n">
        <v>0</v>
      </c>
      <c r="AP1629" s="53" t="n">
        <v>0</v>
      </c>
      <c r="AQ1629" s="52" t="n">
        <v>0</v>
      </c>
      <c r="AR1629" s="52" t="n">
        <v>0</v>
      </c>
      <c r="AS1629" s="52" t="n">
        <v>0</v>
      </c>
      <c r="AT1629" s="52" t="n">
        <v>0</v>
      </c>
      <c r="AU1629" s="53" t="n">
        <v>0</v>
      </c>
      <c r="AV1629" s="53" t="n">
        <v>0</v>
      </c>
      <c r="AW1629" s="53" t="n">
        <v>0</v>
      </c>
      <c r="AX1629" s="53" t="n">
        <v>0</v>
      </c>
      <c r="AY1629" s="52" t="n">
        <v>0</v>
      </c>
      <c r="AZ1629" s="52" t="n">
        <v>0</v>
      </c>
      <c r="BA1629" s="52" t="n">
        <v>0</v>
      </c>
      <c r="BB1629" s="52" t="n">
        <v>0</v>
      </c>
      <c r="BC1629" s="51" t="n">
        <v>0</v>
      </c>
      <c r="BD1629" s="51" t="n">
        <v>0</v>
      </c>
      <c r="BE1629" s="51" t="n">
        <v>0</v>
      </c>
      <c r="BF1629" s="51" t="n">
        <v>0</v>
      </c>
    </row>
    <row r="1630">
      <c r="A1630">
        <f>HYPERLINK("https://www.walmart.com/ip/108428499", "108428499")</f>
        <v/>
      </c>
      <c r="B1630" t="inlineStr">
        <is>
          <t>JenniWears Girls Tulle Tutu Skirt, Ballet Dance Fluffy Skirt, Assorted Colors for Night Clubs, Party, Cosplay, and Halloween, Pink</t>
        </is>
      </c>
      <c r="C1630" t="inlineStr">
        <is>
          <t>tutus-pink</t>
        </is>
      </c>
      <c r="D1630" t="inlineStr">
        <is>
          <t>Skirts</t>
        </is>
      </c>
      <c r="E1630" t="inlineStr">
        <is>
          <t>JenniWears</t>
        </is>
      </c>
      <c r="G1630" s="48" t="n">
        <v>0</v>
      </c>
      <c r="H1630" s="48" t="n">
        <v>0</v>
      </c>
      <c r="I1630" s="48" t="n">
        <v>0</v>
      </c>
      <c r="J1630" s="48" t="n">
        <v>0</v>
      </c>
      <c r="K1630" s="49" t="n">
        <v>0</v>
      </c>
      <c r="L1630" s="49" t="n">
        <v>0</v>
      </c>
      <c r="M1630" s="49" t="n">
        <v>0</v>
      </c>
      <c r="N1630" s="49" t="n">
        <v>0</v>
      </c>
      <c r="O1630" s="49" t="n">
        <v>0</v>
      </c>
      <c r="P1630" s="49" t="n">
        <v>0</v>
      </c>
      <c r="Q1630" s="49" t="n">
        <v>0</v>
      </c>
      <c r="R1630" s="49" t="n">
        <v>0</v>
      </c>
      <c r="S1630" s="50" t="n">
        <v>0</v>
      </c>
      <c r="T1630" s="50" t="n">
        <v>0</v>
      </c>
      <c r="U1630" s="50" t="n">
        <v>0</v>
      </c>
      <c r="V1630" s="50" t="n">
        <v>0</v>
      </c>
      <c r="W1630" s="51" t="n">
        <v>0</v>
      </c>
      <c r="X1630" s="51" t="n">
        <v>0</v>
      </c>
      <c r="Y1630" s="51" t="n">
        <v>0</v>
      </c>
      <c r="Z1630" s="51" t="n">
        <v>0</v>
      </c>
      <c r="AA1630" s="52" t="n">
        <v>0</v>
      </c>
      <c r="AB1630" s="52" t="n">
        <v>0</v>
      </c>
      <c r="AC1630" s="52" t="n">
        <v>0</v>
      </c>
      <c r="AD1630" s="52" t="n">
        <v>0</v>
      </c>
      <c r="AE1630" s="52" t="n">
        <v>0</v>
      </c>
      <c r="AF1630" s="52" t="n">
        <v>0</v>
      </c>
      <c r="AG1630" s="52" t="n">
        <v>0</v>
      </c>
      <c r="AH1630" s="52" t="n">
        <v>0</v>
      </c>
      <c r="AI1630" s="52" t="n">
        <v>0</v>
      </c>
      <c r="AJ1630" s="52" t="n">
        <v>0</v>
      </c>
      <c r="AK1630" s="52" t="n">
        <v>0</v>
      </c>
      <c r="AL1630" s="52" t="n">
        <v>0</v>
      </c>
      <c r="AM1630" s="53" t="n">
        <v>0</v>
      </c>
      <c r="AN1630" s="53" t="n">
        <v>0</v>
      </c>
      <c r="AO1630" s="53" t="n">
        <v>0</v>
      </c>
      <c r="AP1630" s="53" t="n">
        <v>0</v>
      </c>
      <c r="AQ1630" s="52" t="n">
        <v>0</v>
      </c>
      <c r="AR1630" s="52" t="n">
        <v>0</v>
      </c>
      <c r="AS1630" s="52" t="n">
        <v>0</v>
      </c>
      <c r="AT1630" s="52" t="n">
        <v>0</v>
      </c>
      <c r="AU1630" s="53" t="n">
        <v>0</v>
      </c>
      <c r="AV1630" s="53" t="n">
        <v>0</v>
      </c>
      <c r="AW1630" s="53" t="n">
        <v>0</v>
      </c>
      <c r="AX1630" s="53" t="n">
        <v>0</v>
      </c>
      <c r="AY1630" s="52" t="n">
        <v>0</v>
      </c>
      <c r="AZ1630" s="52" t="n">
        <v>0</v>
      </c>
      <c r="BA1630" s="52" t="n">
        <v>0</v>
      </c>
      <c r="BB1630" s="52" t="n">
        <v>0</v>
      </c>
      <c r="BC1630" s="51" t="n">
        <v>0</v>
      </c>
      <c r="BD1630" s="51" t="n">
        <v>0</v>
      </c>
      <c r="BE1630" s="51" t="n">
        <v>0</v>
      </c>
      <c r="BF1630" s="51" t="n">
        <v>0</v>
      </c>
    </row>
    <row r="1631">
      <c r="A1631">
        <f>HYPERLINK("https://www.walmart.com/ip/1085403991", "1085403991")</f>
        <v/>
      </c>
      <c r="B1631" t="inlineStr">
        <is>
          <t>KC Caps Unisex Two-Tone Cotton Twill Baseball Cap with Suede Bill Adult</t>
        </is>
      </c>
      <c r="C1631" t="inlineStr">
        <is>
          <t>KC-S6300-BK/RD-12pcs</t>
        </is>
      </c>
      <c r="D1631" t="inlineStr">
        <is>
          <t>Hats</t>
        </is>
      </c>
      <c r="E1631" t="inlineStr">
        <is>
          <t>KC Caps</t>
        </is>
      </c>
      <c r="G1631" s="48" t="n">
        <v>0</v>
      </c>
      <c r="H1631" s="48" t="n">
        <v>0</v>
      </c>
      <c r="I1631" s="48" t="n">
        <v>0</v>
      </c>
      <c r="J1631" s="48" t="n">
        <v>0</v>
      </c>
      <c r="K1631" s="49" t="n">
        <v>0</v>
      </c>
      <c r="L1631" s="49" t="n">
        <v>0</v>
      </c>
      <c r="M1631" s="49" t="n">
        <v>0</v>
      </c>
      <c r="N1631" s="49" t="n">
        <v>0</v>
      </c>
      <c r="O1631" s="49" t="n">
        <v>0</v>
      </c>
      <c r="P1631" s="49" t="n">
        <v>0</v>
      </c>
      <c r="Q1631" s="49" t="n">
        <v>0</v>
      </c>
      <c r="R1631" s="49" t="n">
        <v>0</v>
      </c>
      <c r="S1631" s="50" t="n">
        <v>0</v>
      </c>
      <c r="T1631" s="50" t="n">
        <v>0</v>
      </c>
      <c r="U1631" s="50" t="n">
        <v>0</v>
      </c>
      <c r="V1631" s="50" t="n">
        <v>0</v>
      </c>
      <c r="W1631" s="51" t="n">
        <v>0</v>
      </c>
      <c r="X1631" s="51" t="n">
        <v>0</v>
      </c>
      <c r="Y1631" s="51" t="n">
        <v>0</v>
      </c>
      <c r="Z1631" s="51" t="n">
        <v>0</v>
      </c>
      <c r="AA1631" s="52" t="n">
        <v>0</v>
      </c>
      <c r="AB1631" s="52" t="n">
        <v>0</v>
      </c>
      <c r="AC1631" s="52" t="n">
        <v>0</v>
      </c>
      <c r="AD1631" s="52" t="n">
        <v>0</v>
      </c>
      <c r="AE1631" s="52" t="n">
        <v>0</v>
      </c>
      <c r="AF1631" s="52" t="n">
        <v>0</v>
      </c>
      <c r="AG1631" s="52" t="n">
        <v>0</v>
      </c>
      <c r="AH1631" s="52" t="n">
        <v>0</v>
      </c>
      <c r="AI1631" s="52" t="n">
        <v>0</v>
      </c>
      <c r="AJ1631" s="52" t="n">
        <v>0</v>
      </c>
      <c r="AK1631" s="52" t="n">
        <v>0</v>
      </c>
      <c r="AL1631" s="52" t="n">
        <v>0</v>
      </c>
      <c r="AM1631" s="53" t="n">
        <v>0</v>
      </c>
      <c r="AN1631" s="53" t="n">
        <v>0</v>
      </c>
      <c r="AO1631" s="53" t="n">
        <v>0</v>
      </c>
      <c r="AP1631" s="53" t="n">
        <v>0</v>
      </c>
      <c r="AQ1631" s="52" t="n">
        <v>0</v>
      </c>
      <c r="AR1631" s="52" t="n">
        <v>0</v>
      </c>
      <c r="AS1631" s="52" t="n">
        <v>0</v>
      </c>
      <c r="AT1631" s="52" t="n">
        <v>0</v>
      </c>
      <c r="AU1631" s="53" t="n">
        <v>0</v>
      </c>
      <c r="AV1631" s="53" t="n">
        <v>0</v>
      </c>
      <c r="AW1631" s="53" t="n">
        <v>0</v>
      </c>
      <c r="AX1631" s="53" t="n">
        <v>0</v>
      </c>
      <c r="AY1631" s="52" t="n">
        <v>0</v>
      </c>
      <c r="AZ1631" s="52" t="n">
        <v>0</v>
      </c>
      <c r="BA1631" s="52" t="n">
        <v>0</v>
      </c>
      <c r="BB1631" s="52" t="n">
        <v>0</v>
      </c>
      <c r="BC1631" s="51" t="n">
        <v>0</v>
      </c>
      <c r="BD1631" s="51" t="n">
        <v>0</v>
      </c>
      <c r="BE1631" s="51" t="n">
        <v>0</v>
      </c>
      <c r="BF1631" s="51" t="n">
        <v>0</v>
      </c>
    </row>
    <row r="1632">
      <c r="A1632">
        <f>HYPERLINK("https://www.walmart.com/ip/1089944334", "1089944334")</f>
        <v/>
      </c>
      <c r="B1632" t="inlineStr">
        <is>
          <t>Women’s Plush Hoodie Sweatshirt Dress, Casual Pullover Sweater with Kangaroo Pocket, One Size</t>
        </is>
      </c>
      <c r="C1632" t="inlineStr">
        <is>
          <t>1CTHD531AQ</t>
        </is>
      </c>
      <c r="D1632" t="inlineStr">
        <is>
          <t>Sweatshirts &amp; Hoodies</t>
        </is>
      </c>
      <c r="E1632" t="inlineStr">
        <is>
          <t>Catalonia</t>
        </is>
      </c>
      <c r="F1632" t="inlineStr">
        <is>
          <t>Batch 1 - TR</t>
        </is>
      </c>
      <c r="G1632" s="48" t="n">
        <v>0</v>
      </c>
      <c r="H1632" s="48" t="n">
        <v>0</v>
      </c>
      <c r="I1632" s="48" t="n">
        <v>0</v>
      </c>
      <c r="J1632" s="48" t="n">
        <v>0</v>
      </c>
      <c r="K1632" s="49" t="n">
        <v>0</v>
      </c>
      <c r="L1632" s="49" t="n">
        <v>0</v>
      </c>
      <c r="M1632" s="49" t="n">
        <v>0</v>
      </c>
      <c r="N1632" s="49" t="n">
        <v>0</v>
      </c>
      <c r="O1632" s="49" t="n">
        <v>0</v>
      </c>
      <c r="P1632" s="49" t="n">
        <v>0</v>
      </c>
      <c r="Q1632" s="49" t="n">
        <v>0</v>
      </c>
      <c r="R1632" s="49" t="n">
        <v>0</v>
      </c>
      <c r="S1632" s="50" t="n">
        <v>0</v>
      </c>
      <c r="T1632" s="50" t="n">
        <v>0</v>
      </c>
      <c r="U1632" s="50" t="n">
        <v>0</v>
      </c>
      <c r="V1632" s="50" t="n">
        <v>0</v>
      </c>
      <c r="W1632" s="51" t="n">
        <v>0</v>
      </c>
      <c r="X1632" s="51" t="n">
        <v>0</v>
      </c>
      <c r="Y1632" s="51" t="n">
        <v>0</v>
      </c>
      <c r="Z1632" s="51" t="n">
        <v>0</v>
      </c>
      <c r="AA1632" s="52" t="n">
        <v>0</v>
      </c>
      <c r="AB1632" s="52" t="n">
        <v>0</v>
      </c>
      <c r="AC1632" s="52" t="n">
        <v>0</v>
      </c>
      <c r="AD1632" s="52" t="n">
        <v>0</v>
      </c>
      <c r="AE1632" s="52" t="n">
        <v>0</v>
      </c>
      <c r="AF1632" s="52" t="n">
        <v>0</v>
      </c>
      <c r="AG1632" s="52" t="n">
        <v>0</v>
      </c>
      <c r="AH1632" s="52" t="n">
        <v>0</v>
      </c>
      <c r="AI1632" s="52" t="n">
        <v>0</v>
      </c>
      <c r="AJ1632" s="52" t="n">
        <v>0</v>
      </c>
      <c r="AK1632" s="52" t="n">
        <v>0</v>
      </c>
      <c r="AL1632" s="52" t="n">
        <v>0</v>
      </c>
      <c r="AM1632" s="53" t="n">
        <v>0</v>
      </c>
      <c r="AN1632" s="53" t="n">
        <v>0</v>
      </c>
      <c r="AO1632" s="53" t="n">
        <v>0</v>
      </c>
      <c r="AP1632" s="53" t="n">
        <v>0</v>
      </c>
      <c r="AQ1632" s="52" t="n">
        <v>0</v>
      </c>
      <c r="AR1632" s="52" t="n">
        <v>0</v>
      </c>
      <c r="AS1632" s="52" t="n">
        <v>0</v>
      </c>
      <c r="AT1632" s="52" t="n">
        <v>0</v>
      </c>
      <c r="AU1632" s="53" t="n">
        <v>0</v>
      </c>
      <c r="AV1632" s="53" t="n">
        <v>0</v>
      </c>
      <c r="AW1632" s="53" t="n">
        <v>0</v>
      </c>
      <c r="AX1632" s="53" t="n">
        <v>0</v>
      </c>
      <c r="AY1632" s="52" t="n">
        <v>0</v>
      </c>
      <c r="AZ1632" s="52" t="n">
        <v>0</v>
      </c>
      <c r="BA1632" s="52" t="n">
        <v>0</v>
      </c>
      <c r="BB1632" s="52" t="n">
        <v>0</v>
      </c>
      <c r="BC1632" s="51" t="n">
        <v>0</v>
      </c>
      <c r="BD1632" s="51" t="n">
        <v>0</v>
      </c>
      <c r="BE1632" s="51" t="n">
        <v>0</v>
      </c>
      <c r="BF1632" s="51" t="n">
        <v>0</v>
      </c>
    </row>
    <row r="1633">
      <c r="A1633">
        <f>HYPERLINK("https://www.walmart.com/ip/109086491", "109086491")</f>
        <v/>
      </c>
      <c r="B1633" t="inlineStr">
        <is>
          <t>Light up Sequin Fedora LED Hat Neon Rave Costumes Glow in Dark Party</t>
        </is>
      </c>
      <c r="C1633" t="inlineStr">
        <is>
          <t>SLLEDHATWT</t>
        </is>
      </c>
      <c r="D1633" t="inlineStr">
        <is>
          <t>Hats</t>
        </is>
      </c>
      <c r="E1633" t="inlineStr">
        <is>
          <t>Solaris</t>
        </is>
      </c>
      <c r="F1633" t="inlineStr">
        <is>
          <t>Optimized,Halloween</t>
        </is>
      </c>
      <c r="G1633" s="48" t="n">
        <v>0</v>
      </c>
      <c r="H1633" s="48" t="n">
        <v>0</v>
      </c>
      <c r="I1633" s="48" t="n">
        <v>0</v>
      </c>
      <c r="J1633" s="48" t="n">
        <v>0</v>
      </c>
      <c r="K1633" s="49" t="n">
        <v>0</v>
      </c>
      <c r="L1633" s="49" t="n">
        <v>0</v>
      </c>
      <c r="M1633" s="49" t="n">
        <v>0</v>
      </c>
      <c r="N1633" s="49" t="n">
        <v>0</v>
      </c>
      <c r="O1633" s="49" t="n">
        <v>0</v>
      </c>
      <c r="P1633" s="49" t="n">
        <v>0</v>
      </c>
      <c r="Q1633" s="49" t="n">
        <v>0</v>
      </c>
      <c r="R1633" s="49" t="n">
        <v>0</v>
      </c>
      <c r="S1633" s="50" t="n">
        <v>0</v>
      </c>
      <c r="T1633" s="50" t="n">
        <v>0</v>
      </c>
      <c r="U1633" s="50" t="n">
        <v>0</v>
      </c>
      <c r="V1633" s="50" t="n">
        <v>0</v>
      </c>
      <c r="W1633" s="51" t="n">
        <v>0</v>
      </c>
      <c r="X1633" s="51" t="n">
        <v>0</v>
      </c>
      <c r="Y1633" s="51" t="n">
        <v>0</v>
      </c>
      <c r="Z1633" s="51" t="n">
        <v>0</v>
      </c>
      <c r="AA1633" s="52" t="n">
        <v>0</v>
      </c>
      <c r="AB1633" s="52" t="n">
        <v>0</v>
      </c>
      <c r="AC1633" s="52" t="n">
        <v>0</v>
      </c>
      <c r="AD1633" s="52" t="n">
        <v>0</v>
      </c>
      <c r="AE1633" s="52" t="n">
        <v>0</v>
      </c>
      <c r="AF1633" s="52" t="n">
        <v>0</v>
      </c>
      <c r="AG1633" s="52" t="n">
        <v>0</v>
      </c>
      <c r="AH1633" s="52" t="n">
        <v>0</v>
      </c>
      <c r="AI1633" s="52" t="n">
        <v>0</v>
      </c>
      <c r="AJ1633" s="52" t="n">
        <v>0</v>
      </c>
      <c r="AK1633" s="52" t="n">
        <v>0</v>
      </c>
      <c r="AL1633" s="52" t="n">
        <v>0</v>
      </c>
      <c r="AM1633" s="53" t="n">
        <v>0</v>
      </c>
      <c r="AN1633" s="53" t="n">
        <v>0</v>
      </c>
      <c r="AO1633" s="53" t="n">
        <v>0</v>
      </c>
      <c r="AP1633" s="53" t="n">
        <v>0</v>
      </c>
      <c r="AQ1633" s="52" t="n">
        <v>0</v>
      </c>
      <c r="AR1633" s="52" t="n">
        <v>0</v>
      </c>
      <c r="AS1633" s="52" t="n">
        <v>0</v>
      </c>
      <c r="AT1633" s="52" t="n">
        <v>0</v>
      </c>
      <c r="AU1633" s="53" t="n">
        <v>0</v>
      </c>
      <c r="AV1633" s="53" t="n">
        <v>0</v>
      </c>
      <c r="AW1633" s="53" t="n">
        <v>0</v>
      </c>
      <c r="AX1633" s="53" t="n">
        <v>0</v>
      </c>
      <c r="AY1633" s="52" t="n">
        <v>0</v>
      </c>
      <c r="AZ1633" s="52" t="n">
        <v>0</v>
      </c>
      <c r="BA1633" s="52" t="n">
        <v>0</v>
      </c>
      <c r="BB1633" s="52" t="n">
        <v>0</v>
      </c>
      <c r="BC1633" s="51" t="n">
        <v>0</v>
      </c>
      <c r="BD1633" s="51" t="n">
        <v>0</v>
      </c>
      <c r="BE1633" s="51" t="n">
        <v>0</v>
      </c>
      <c r="BF1633" s="51" t="n">
        <v>0</v>
      </c>
    </row>
    <row r="1634">
      <c r="A1634">
        <f>HYPERLINK("https://www.walmart.com/ip/109273590", "109273590")</f>
        <v/>
      </c>
      <c r="B1634" t="inlineStr">
        <is>
          <t>Vina® Premium Bamboo Cutting Board – Medium 12" x 9" Kitchen Chopping board with</t>
        </is>
      </c>
      <c r="C1634" t="inlineStr">
        <is>
          <t>VINABCB05</t>
        </is>
      </c>
      <c r="D1634" t="inlineStr">
        <is>
          <t>Cutting Boards &amp; Butcher Blocks</t>
        </is>
      </c>
      <c r="E1634" t="inlineStr">
        <is>
          <t>Vina</t>
        </is>
      </c>
      <c r="G1634" s="48" t="n">
        <v>0</v>
      </c>
      <c r="H1634" s="48" t="n">
        <v>0</v>
      </c>
      <c r="I1634" s="48" t="n">
        <v>0</v>
      </c>
      <c r="J1634" s="48" t="n">
        <v>0</v>
      </c>
      <c r="K1634" s="49" t="n">
        <v>0</v>
      </c>
      <c r="L1634" s="49" t="n">
        <v>0</v>
      </c>
      <c r="M1634" s="49" t="n">
        <v>0</v>
      </c>
      <c r="N1634" s="49" t="n">
        <v>0</v>
      </c>
      <c r="O1634" s="49" t="n">
        <v>0</v>
      </c>
      <c r="P1634" s="49" t="n">
        <v>0</v>
      </c>
      <c r="Q1634" s="49" t="n">
        <v>0</v>
      </c>
      <c r="R1634" s="49" t="n">
        <v>0</v>
      </c>
      <c r="S1634" s="50" t="n">
        <v>0</v>
      </c>
      <c r="T1634" s="50" t="n">
        <v>0</v>
      </c>
      <c r="U1634" s="50" t="n">
        <v>0</v>
      </c>
      <c r="V1634" s="50" t="n">
        <v>0</v>
      </c>
      <c r="W1634" s="51" t="n">
        <v>0</v>
      </c>
      <c r="X1634" s="51" t="n">
        <v>0</v>
      </c>
      <c r="Y1634" s="51" t="n">
        <v>0</v>
      </c>
      <c r="Z1634" s="51" t="n">
        <v>0</v>
      </c>
      <c r="AA1634" s="52" t="n">
        <v>0</v>
      </c>
      <c r="AB1634" s="52" t="n">
        <v>0</v>
      </c>
      <c r="AC1634" s="52" t="n">
        <v>0</v>
      </c>
      <c r="AD1634" s="52" t="n">
        <v>0</v>
      </c>
      <c r="AE1634" s="52" t="n">
        <v>0</v>
      </c>
      <c r="AF1634" s="52" t="n">
        <v>0</v>
      </c>
      <c r="AG1634" s="52" t="n">
        <v>0</v>
      </c>
      <c r="AH1634" s="52" t="n">
        <v>0</v>
      </c>
      <c r="AI1634" s="52" t="n">
        <v>0</v>
      </c>
      <c r="AJ1634" s="52" t="n">
        <v>0</v>
      </c>
      <c r="AK1634" s="52" t="n">
        <v>0</v>
      </c>
      <c r="AL1634" s="52" t="n">
        <v>0</v>
      </c>
      <c r="AM1634" s="53" t="n">
        <v>0</v>
      </c>
      <c r="AN1634" s="53" t="n">
        <v>0</v>
      </c>
      <c r="AO1634" s="53" t="n">
        <v>0</v>
      </c>
      <c r="AP1634" s="53" t="n">
        <v>0</v>
      </c>
      <c r="AQ1634" s="52" t="n">
        <v>0</v>
      </c>
      <c r="AR1634" s="52" t="n">
        <v>0</v>
      </c>
      <c r="AS1634" s="52" t="n">
        <v>0</v>
      </c>
      <c r="AT1634" s="52" t="n">
        <v>0</v>
      </c>
      <c r="AU1634" s="53" t="n">
        <v>0</v>
      </c>
      <c r="AV1634" s="53" t="n">
        <v>0</v>
      </c>
      <c r="AW1634" s="53" t="n">
        <v>0</v>
      </c>
      <c r="AX1634" s="53" t="n">
        <v>0</v>
      </c>
      <c r="AY1634" s="52" t="n">
        <v>0</v>
      </c>
      <c r="AZ1634" s="52" t="n">
        <v>0</v>
      </c>
      <c r="BA1634" s="52" t="n">
        <v>0</v>
      </c>
      <c r="BB1634" s="52" t="n">
        <v>0</v>
      </c>
      <c r="BC1634" s="51" t="n">
        <v>0</v>
      </c>
      <c r="BD1634" s="51" t="n">
        <v>0</v>
      </c>
      <c r="BE1634" s="51" t="n">
        <v>0</v>
      </c>
      <c r="BF1634" s="51" t="n">
        <v>0</v>
      </c>
    </row>
    <row r="1635">
      <c r="A1635">
        <f>HYPERLINK("https://www.walmart.com/ip/109360952", "109360952")</f>
        <v/>
      </c>
      <c r="B1635" t="inlineStr">
        <is>
          <t>Napa Super Soft Micro Mink Fleece Sherpa Bed Throw TV Blanket, Reversible, Grey, 50" x 60"</t>
        </is>
      </c>
      <c r="C1635" t="inlineStr">
        <is>
          <t>K8010GRAY</t>
        </is>
      </c>
      <c r="D1635" t="inlineStr">
        <is>
          <t>Throws</t>
        </is>
      </c>
      <c r="E1635" t="inlineStr">
        <is>
          <t>NAPA</t>
        </is>
      </c>
      <c r="F1635" t="inlineStr">
        <is>
          <t>Q2-Target,Coupon_Discount,Batch 1 - TR</t>
        </is>
      </c>
      <c r="G1635" s="48" t="n">
        <v>0</v>
      </c>
      <c r="H1635" s="48" t="n">
        <v>0</v>
      </c>
      <c r="I1635" s="48" t="n">
        <v>0</v>
      </c>
      <c r="J1635" s="48" t="n">
        <v>0</v>
      </c>
      <c r="K1635" s="49" t="n">
        <v>0</v>
      </c>
      <c r="L1635" s="49" t="n">
        <v>0</v>
      </c>
      <c r="M1635" s="49" t="n">
        <v>0</v>
      </c>
      <c r="N1635" s="49" t="n">
        <v>0</v>
      </c>
      <c r="O1635" s="49" t="n">
        <v>0</v>
      </c>
      <c r="P1635" s="49" t="n">
        <v>0</v>
      </c>
      <c r="Q1635" s="49" t="n">
        <v>0</v>
      </c>
      <c r="R1635" s="49" t="n">
        <v>0</v>
      </c>
      <c r="S1635" s="50" t="n">
        <v>0</v>
      </c>
      <c r="T1635" s="50" t="n">
        <v>0</v>
      </c>
      <c r="U1635" s="50" t="n">
        <v>0</v>
      </c>
      <c r="V1635" s="50" t="n">
        <v>0</v>
      </c>
      <c r="W1635" s="51" t="n">
        <v>0</v>
      </c>
      <c r="X1635" s="51" t="n">
        <v>0</v>
      </c>
      <c r="Y1635" s="51" t="n">
        <v>0</v>
      </c>
      <c r="Z1635" s="51" t="n">
        <v>0</v>
      </c>
      <c r="AA1635" s="52" t="n">
        <v>0</v>
      </c>
      <c r="AB1635" s="52" t="n">
        <v>0</v>
      </c>
      <c r="AC1635" s="52" t="n">
        <v>0</v>
      </c>
      <c r="AD1635" s="52" t="n">
        <v>0</v>
      </c>
      <c r="AE1635" s="52" t="n">
        <v>0</v>
      </c>
      <c r="AF1635" s="52" t="n">
        <v>0</v>
      </c>
      <c r="AG1635" s="52" t="n">
        <v>0</v>
      </c>
      <c r="AH1635" s="52" t="n">
        <v>0</v>
      </c>
      <c r="AI1635" s="52" t="n">
        <v>0</v>
      </c>
      <c r="AJ1635" s="52" t="n">
        <v>0</v>
      </c>
      <c r="AK1635" s="52" t="n">
        <v>0</v>
      </c>
      <c r="AL1635" s="52" t="n">
        <v>0</v>
      </c>
      <c r="AM1635" s="53" t="n">
        <v>0</v>
      </c>
      <c r="AN1635" s="53" t="n">
        <v>0</v>
      </c>
      <c r="AO1635" s="53" t="n">
        <v>0</v>
      </c>
      <c r="AP1635" s="53" t="n">
        <v>0</v>
      </c>
      <c r="AQ1635" s="52" t="n">
        <v>0</v>
      </c>
      <c r="AR1635" s="52" t="n">
        <v>0</v>
      </c>
      <c r="AS1635" s="52" t="n">
        <v>0</v>
      </c>
      <c r="AT1635" s="52" t="n">
        <v>0</v>
      </c>
      <c r="AU1635" s="53" t="n">
        <v>0</v>
      </c>
      <c r="AV1635" s="53" t="n">
        <v>0</v>
      </c>
      <c r="AW1635" s="53" t="n">
        <v>0</v>
      </c>
      <c r="AX1635" s="53" t="n">
        <v>0</v>
      </c>
      <c r="AY1635" s="52" t="n">
        <v>0</v>
      </c>
      <c r="AZ1635" s="52" t="n">
        <v>0</v>
      </c>
      <c r="BA1635" s="52" t="n">
        <v>0</v>
      </c>
      <c r="BB1635" s="52" t="n">
        <v>0</v>
      </c>
      <c r="BC1635" s="51" t="n">
        <v>0</v>
      </c>
      <c r="BD1635" s="51" t="n">
        <v>0</v>
      </c>
      <c r="BE1635" s="51" t="n">
        <v>0</v>
      </c>
      <c r="BF1635" s="51" t="n">
        <v>0</v>
      </c>
    </row>
    <row r="1636">
      <c r="A1636">
        <f>HYPERLINK("https://www.walmart.com/ip/109524282", "109524282")</f>
        <v/>
      </c>
      <c r="B1636" t="inlineStr">
        <is>
          <t>Terra Active Wrap- Stylish Running workout travel waist belt w/ hidden pocket</t>
        </is>
      </c>
      <c r="C1636" t="inlineStr">
        <is>
          <t>TERRA-3CB-L</t>
        </is>
      </c>
      <c r="D1636" t="inlineStr">
        <is>
          <t>Running Belts</t>
        </is>
      </c>
      <c r="E1636" t="inlineStr">
        <is>
          <t>Terra</t>
        </is>
      </c>
      <c r="F1636" t="inlineStr">
        <is>
          <t>Batch 1 - TR</t>
        </is>
      </c>
      <c r="G1636" s="48" t="n">
        <v>0</v>
      </c>
      <c r="H1636" s="48" t="n">
        <v>0</v>
      </c>
      <c r="I1636" s="48" t="n">
        <v>0</v>
      </c>
      <c r="J1636" s="48" t="n">
        <v>0</v>
      </c>
      <c r="K1636" s="49" t="n">
        <v>0</v>
      </c>
      <c r="L1636" s="49" t="n">
        <v>0</v>
      </c>
      <c r="M1636" s="49" t="n">
        <v>0</v>
      </c>
      <c r="N1636" s="49" t="n">
        <v>0</v>
      </c>
      <c r="O1636" s="49" t="n">
        <v>0</v>
      </c>
      <c r="P1636" s="49" t="n">
        <v>0</v>
      </c>
      <c r="Q1636" s="49" t="n">
        <v>0</v>
      </c>
      <c r="R1636" s="49" t="n">
        <v>0</v>
      </c>
      <c r="S1636" s="50" t="n">
        <v>0</v>
      </c>
      <c r="T1636" s="50" t="n">
        <v>0</v>
      </c>
      <c r="U1636" s="50" t="n">
        <v>0</v>
      </c>
      <c r="V1636" s="50" t="n">
        <v>0</v>
      </c>
      <c r="W1636" s="51" t="n">
        <v>0</v>
      </c>
      <c r="X1636" s="51" t="n">
        <v>0</v>
      </c>
      <c r="Y1636" s="51" t="n">
        <v>0</v>
      </c>
      <c r="Z1636" s="51" t="n">
        <v>0</v>
      </c>
      <c r="AA1636" s="52" t="n">
        <v>0</v>
      </c>
      <c r="AB1636" s="52" t="n">
        <v>0</v>
      </c>
      <c r="AC1636" s="52" t="n">
        <v>0</v>
      </c>
      <c r="AD1636" s="52" t="n">
        <v>0</v>
      </c>
      <c r="AE1636" s="52" t="n">
        <v>0</v>
      </c>
      <c r="AF1636" s="52" t="n">
        <v>0</v>
      </c>
      <c r="AG1636" s="52" t="n">
        <v>0</v>
      </c>
      <c r="AH1636" s="52" t="n">
        <v>0</v>
      </c>
      <c r="AI1636" s="52" t="n">
        <v>0</v>
      </c>
      <c r="AJ1636" s="52" t="n">
        <v>0</v>
      </c>
      <c r="AK1636" s="52" t="n">
        <v>0</v>
      </c>
      <c r="AL1636" s="52" t="n">
        <v>0</v>
      </c>
      <c r="AM1636" s="53" t="n">
        <v>0</v>
      </c>
      <c r="AN1636" s="53" t="n">
        <v>0</v>
      </c>
      <c r="AO1636" s="53" t="n">
        <v>0</v>
      </c>
      <c r="AP1636" s="53" t="n">
        <v>0</v>
      </c>
      <c r="AQ1636" s="52" t="n">
        <v>0</v>
      </c>
      <c r="AR1636" s="52" t="n">
        <v>0</v>
      </c>
      <c r="AS1636" s="52" t="n">
        <v>0</v>
      </c>
      <c r="AT1636" s="52" t="n">
        <v>0</v>
      </c>
      <c r="AU1636" s="53" t="n">
        <v>0</v>
      </c>
      <c r="AV1636" s="53" t="n">
        <v>0</v>
      </c>
      <c r="AW1636" s="53" t="n">
        <v>0</v>
      </c>
      <c r="AX1636" s="53" t="n">
        <v>0</v>
      </c>
      <c r="AY1636" s="52" t="n">
        <v>0</v>
      </c>
      <c r="AZ1636" s="52" t="n">
        <v>0</v>
      </c>
      <c r="BA1636" s="52" t="n">
        <v>0</v>
      </c>
      <c r="BB1636" s="52" t="n">
        <v>0</v>
      </c>
      <c r="BC1636" s="51" t="n">
        <v>0</v>
      </c>
      <c r="BD1636" s="51" t="n">
        <v>0</v>
      </c>
      <c r="BE1636" s="51" t="n">
        <v>0</v>
      </c>
      <c r="BF1636" s="51" t="n">
        <v>0</v>
      </c>
    </row>
    <row r="1637">
      <c r="A1637">
        <f>HYPERLINK("https://www.walmart.com/ip/109986935", "109986935")</f>
        <v/>
      </c>
      <c r="B1637" t="inlineStr">
        <is>
          <t>JenniWears® Women V Neck Babydoll Strap Lingerie Lace Chemise Teddy Outfits</t>
        </is>
      </c>
      <c r="C1637" t="inlineStr">
        <is>
          <t>JWBD011PP-M</t>
        </is>
      </c>
      <c r="D1637" t="inlineStr">
        <is>
          <t>Nightgowns &amp; Sleepshirts</t>
        </is>
      </c>
      <c r="E1637" t="inlineStr">
        <is>
          <t>JenniWears</t>
        </is>
      </c>
      <c r="F1637" t="inlineStr">
        <is>
          <t>Optimized,Valentine</t>
        </is>
      </c>
      <c r="G1637" s="48" t="n">
        <v>0</v>
      </c>
      <c r="H1637" s="48" t="n">
        <v>0</v>
      </c>
      <c r="I1637" s="48" t="n">
        <v>0</v>
      </c>
      <c r="J1637" s="48" t="n">
        <v>0</v>
      </c>
      <c r="K1637" s="49" t="n">
        <v>0</v>
      </c>
      <c r="L1637" s="49" t="n">
        <v>0</v>
      </c>
      <c r="M1637" s="49" t="n">
        <v>0</v>
      </c>
      <c r="N1637" s="49" t="n">
        <v>0</v>
      </c>
      <c r="O1637" s="49" t="n">
        <v>0</v>
      </c>
      <c r="P1637" s="49" t="n">
        <v>0</v>
      </c>
      <c r="Q1637" s="49" t="n">
        <v>0</v>
      </c>
      <c r="R1637" s="49" t="n">
        <v>0</v>
      </c>
      <c r="S1637" s="50" t="n">
        <v>0</v>
      </c>
      <c r="T1637" s="50" t="n">
        <v>0</v>
      </c>
      <c r="U1637" s="50" t="n">
        <v>0</v>
      </c>
      <c r="V1637" s="50" t="n">
        <v>0</v>
      </c>
      <c r="W1637" s="51" t="n">
        <v>0</v>
      </c>
      <c r="X1637" s="51" t="n">
        <v>0</v>
      </c>
      <c r="Y1637" s="51" t="n">
        <v>0</v>
      </c>
      <c r="Z1637" s="51" t="n">
        <v>0</v>
      </c>
      <c r="AA1637" s="52" t="n">
        <v>0</v>
      </c>
      <c r="AB1637" s="52" t="n">
        <v>0</v>
      </c>
      <c r="AC1637" s="52" t="n">
        <v>0</v>
      </c>
      <c r="AD1637" s="52" t="n">
        <v>0</v>
      </c>
      <c r="AE1637" s="52" t="n">
        <v>0</v>
      </c>
      <c r="AF1637" s="52" t="n">
        <v>0</v>
      </c>
      <c r="AG1637" s="52" t="n">
        <v>0</v>
      </c>
      <c r="AH1637" s="52" t="n">
        <v>0</v>
      </c>
      <c r="AI1637" s="52" t="n">
        <v>0</v>
      </c>
      <c r="AJ1637" s="52" t="n">
        <v>0</v>
      </c>
      <c r="AK1637" s="52" t="n">
        <v>0</v>
      </c>
      <c r="AL1637" s="52" t="n">
        <v>0</v>
      </c>
      <c r="AM1637" s="53" t="n">
        <v>0</v>
      </c>
      <c r="AN1637" s="53" t="n">
        <v>0</v>
      </c>
      <c r="AO1637" s="53" t="n">
        <v>0</v>
      </c>
      <c r="AP1637" s="53" t="n">
        <v>0</v>
      </c>
      <c r="AQ1637" s="52" t="n">
        <v>0</v>
      </c>
      <c r="AR1637" s="52" t="n">
        <v>0</v>
      </c>
      <c r="AS1637" s="52" t="n">
        <v>0</v>
      </c>
      <c r="AT1637" s="52" t="n">
        <v>0</v>
      </c>
      <c r="AU1637" s="53" t="n">
        <v>0</v>
      </c>
      <c r="AV1637" s="53" t="n">
        <v>0</v>
      </c>
      <c r="AW1637" s="53" t="n">
        <v>0</v>
      </c>
      <c r="AX1637" s="53" t="n">
        <v>0</v>
      </c>
      <c r="AY1637" s="52" t="n">
        <v>0</v>
      </c>
      <c r="AZ1637" s="52" t="n">
        <v>0</v>
      </c>
      <c r="BA1637" s="52" t="n">
        <v>0</v>
      </c>
      <c r="BB1637" s="52" t="n">
        <v>0</v>
      </c>
      <c r="BC1637" s="51" t="n">
        <v>0</v>
      </c>
      <c r="BD1637" s="51" t="n">
        <v>0</v>
      </c>
      <c r="BE1637" s="51" t="n">
        <v>0</v>
      </c>
      <c r="BF1637" s="51" t="n">
        <v>0</v>
      </c>
    </row>
    <row r="1638">
      <c r="A1638">
        <f>HYPERLINK("https://www.walmart.com/ip/110024410", "110024410")</f>
        <v/>
      </c>
      <c r="B1638" t="inlineStr">
        <is>
          <t>undefined</t>
        </is>
      </c>
      <c r="C1638" t="inlineStr">
        <is>
          <t>JWBLSPH2012-3pcs</t>
        </is>
      </c>
      <c r="G1638" s="48" t="n">
        <v>0</v>
      </c>
      <c r="H1638" s="48" t="n">
        <v>0</v>
      </c>
      <c r="I1638" s="48" t="n">
        <v>0</v>
      </c>
      <c r="J1638" s="48" t="n">
        <v>0</v>
      </c>
      <c r="K1638" s="49" t="n">
        <v>0</v>
      </c>
      <c r="L1638" s="49" t="n">
        <v>0</v>
      </c>
      <c r="M1638" s="49" t="n">
        <v>0</v>
      </c>
      <c r="N1638" s="49" t="n">
        <v>0</v>
      </c>
      <c r="O1638" s="49" t="n">
        <v>0</v>
      </c>
      <c r="P1638" s="49" t="n">
        <v>0</v>
      </c>
      <c r="Q1638" s="49" t="n">
        <v>0</v>
      </c>
      <c r="R1638" s="49" t="n">
        <v>0</v>
      </c>
      <c r="S1638" s="50" t="n">
        <v>0</v>
      </c>
      <c r="T1638" s="50" t="n">
        <v>0</v>
      </c>
      <c r="U1638" s="50" t="n">
        <v>0</v>
      </c>
      <c r="V1638" s="50" t="n">
        <v>0</v>
      </c>
      <c r="W1638" s="51" t="n">
        <v>0</v>
      </c>
      <c r="X1638" s="51" t="n">
        <v>0</v>
      </c>
      <c r="Y1638" s="51" t="n">
        <v>0</v>
      </c>
      <c r="Z1638" s="51" t="n">
        <v>0</v>
      </c>
      <c r="AA1638" s="52" t="n">
        <v>0</v>
      </c>
      <c r="AB1638" s="52" t="n">
        <v>0</v>
      </c>
      <c r="AC1638" s="52" t="n">
        <v>0</v>
      </c>
      <c r="AD1638" s="52" t="n">
        <v>0</v>
      </c>
      <c r="AE1638" s="52" t="n">
        <v>0</v>
      </c>
      <c r="AF1638" s="52" t="n">
        <v>0</v>
      </c>
      <c r="AG1638" s="52" t="n">
        <v>0</v>
      </c>
      <c r="AH1638" s="52" t="n">
        <v>0</v>
      </c>
      <c r="AI1638" s="52" t="n">
        <v>0</v>
      </c>
      <c r="AJ1638" s="52" t="n">
        <v>0</v>
      </c>
      <c r="AK1638" s="52" t="n">
        <v>0</v>
      </c>
      <c r="AL1638" s="52" t="n">
        <v>0</v>
      </c>
      <c r="AM1638" s="53" t="n">
        <v>0</v>
      </c>
      <c r="AN1638" s="53" t="n">
        <v>0</v>
      </c>
      <c r="AO1638" s="53" t="n">
        <v>0</v>
      </c>
      <c r="AP1638" s="53" t="n">
        <v>0</v>
      </c>
      <c r="AQ1638" s="52" t="n">
        <v>0</v>
      </c>
      <c r="AR1638" s="52" t="n">
        <v>0</v>
      </c>
      <c r="AS1638" s="52" t="n">
        <v>0</v>
      </c>
      <c r="AT1638" s="52" t="n">
        <v>0</v>
      </c>
      <c r="AU1638" s="53" t="n">
        <v>0</v>
      </c>
      <c r="AV1638" s="53" t="n">
        <v>0</v>
      </c>
      <c r="AW1638" s="53" t="n">
        <v>0</v>
      </c>
      <c r="AX1638" s="53" t="n">
        <v>0</v>
      </c>
      <c r="AY1638" s="52" t="n">
        <v>0</v>
      </c>
      <c r="AZ1638" s="52" t="n">
        <v>0</v>
      </c>
      <c r="BA1638" s="52" t="n">
        <v>0</v>
      </c>
      <c r="BB1638" s="52" t="n">
        <v>0</v>
      </c>
      <c r="BC1638" s="51" t="n">
        <v>0</v>
      </c>
      <c r="BD1638" s="51" t="n">
        <v>0</v>
      </c>
      <c r="BE1638" s="51" t="n">
        <v>0</v>
      </c>
      <c r="BF1638" s="51" t="n">
        <v>0</v>
      </c>
    </row>
    <row r="1639">
      <c r="A1639">
        <f>HYPERLINK("https://www.walmart.com/ip/1103097538", "1103097538")</f>
        <v/>
      </c>
      <c r="B1639" t="inlineStr">
        <is>
          <t>Tirrinia Small Portable Reusable Thermal Insulated Lunch Bag To Keep Your Snacks,Drinks And Meals At A Consistent Temperature For Adult Kids, Space Pattern</t>
        </is>
      </c>
      <c r="C1639" t="inlineStr">
        <is>
          <t>1TRLB100SPACE</t>
        </is>
      </c>
      <c r="D1639" t="inlineStr">
        <is>
          <t>Reusable Lunch Bags &amp; Boxes</t>
        </is>
      </c>
      <c r="E1639" t="inlineStr">
        <is>
          <t>Tirrinia</t>
        </is>
      </c>
      <c r="F1639" t="inlineStr">
        <is>
          <t>Q2-Target,Brand Camp VD,Batch 1 - TR</t>
        </is>
      </c>
      <c r="G1639" s="48" t="n">
        <v>0</v>
      </c>
      <c r="H1639" s="48" t="n">
        <v>0</v>
      </c>
      <c r="I1639" s="48" t="n">
        <v>9.99</v>
      </c>
      <c r="J1639" s="48" t="n">
        <v>0</v>
      </c>
      <c r="K1639" s="49" t="n">
        <v>0</v>
      </c>
      <c r="L1639" s="49" t="n">
        <v>0</v>
      </c>
      <c r="M1639" s="49" t="n">
        <v>1</v>
      </c>
      <c r="N1639" s="49" t="n">
        <v>0</v>
      </c>
      <c r="O1639" s="49" t="n">
        <v>0</v>
      </c>
      <c r="P1639" s="49" t="n">
        <v>0</v>
      </c>
      <c r="Q1639" s="49" t="n">
        <v>0</v>
      </c>
      <c r="R1639" s="49" t="n">
        <v>0</v>
      </c>
      <c r="S1639" s="50" t="n">
        <v>0</v>
      </c>
      <c r="T1639" s="50" t="n">
        <v>0</v>
      </c>
      <c r="U1639" s="50" t="n">
        <v>0</v>
      </c>
      <c r="V1639" s="50" t="n">
        <v>0</v>
      </c>
      <c r="W1639" s="51" t="n">
        <v>0</v>
      </c>
      <c r="X1639" s="51" t="n">
        <v>0</v>
      </c>
      <c r="Y1639" s="51" t="n">
        <v>0</v>
      </c>
      <c r="Z1639" s="51" t="n">
        <v>0</v>
      </c>
      <c r="AA1639" s="52" t="n">
        <v>0</v>
      </c>
      <c r="AB1639" s="52" t="n">
        <v>0</v>
      </c>
      <c r="AC1639" s="52" t="n">
        <v>0</v>
      </c>
      <c r="AD1639" s="52" t="n">
        <v>0</v>
      </c>
      <c r="AE1639" s="52" t="n">
        <v>0</v>
      </c>
      <c r="AF1639" s="52" t="n">
        <v>0</v>
      </c>
      <c r="AG1639" s="52" t="n">
        <v>0</v>
      </c>
      <c r="AH1639" s="52" t="n">
        <v>0</v>
      </c>
      <c r="AI1639" s="52" t="n">
        <v>0</v>
      </c>
      <c r="AJ1639" s="52" t="n">
        <v>0</v>
      </c>
      <c r="AK1639" s="52" t="n">
        <v>0</v>
      </c>
      <c r="AL1639" s="52" t="n">
        <v>0</v>
      </c>
      <c r="AM1639" s="53" t="n">
        <v>0</v>
      </c>
      <c r="AN1639" s="53" t="n">
        <v>0</v>
      </c>
      <c r="AO1639" s="53" t="n">
        <v>0</v>
      </c>
      <c r="AP1639" s="53" t="n">
        <v>0</v>
      </c>
      <c r="AQ1639" s="52" t="n">
        <v>0</v>
      </c>
      <c r="AR1639" s="52" t="n">
        <v>0</v>
      </c>
      <c r="AS1639" s="52" t="n">
        <v>0</v>
      </c>
      <c r="AT1639" s="52" t="n">
        <v>0</v>
      </c>
      <c r="AU1639" s="53" t="n">
        <v>0</v>
      </c>
      <c r="AV1639" s="53" t="n">
        <v>0</v>
      </c>
      <c r="AW1639" s="53" t="n">
        <v>0</v>
      </c>
      <c r="AX1639" s="53" t="n">
        <v>0</v>
      </c>
      <c r="AY1639" s="52" t="n">
        <v>0</v>
      </c>
      <c r="AZ1639" s="52" t="n">
        <v>0</v>
      </c>
      <c r="BA1639" s="52" t="n">
        <v>9.99</v>
      </c>
      <c r="BB1639" s="52" t="n">
        <v>0</v>
      </c>
      <c r="BC1639" s="51" t="n">
        <v>0</v>
      </c>
      <c r="BD1639" s="51" t="n">
        <v>0</v>
      </c>
      <c r="BE1639" s="51" t="n">
        <v>0</v>
      </c>
      <c r="BF1639" s="51" t="n">
        <v>0</v>
      </c>
    </row>
    <row r="1640">
      <c r="A1640">
        <f>HYPERLINK("https://www.walmart.com/ip/110405877", "110405877")</f>
        <v/>
      </c>
      <c r="B1640" t="inlineStr">
        <is>
          <t>Sherpa Wearable Blanket with Sleeves &amp; Foot Pockets for Adult Women Men, Comfy Snuggle Wrap Sleeved Throw Blanket Robe, Gift Idea, Wine</t>
        </is>
      </c>
      <c r="C1640" t="inlineStr">
        <is>
          <t>1CTSN310WN</t>
        </is>
      </c>
      <c r="D1640" t="inlineStr">
        <is>
          <t>Throws</t>
        </is>
      </c>
      <c r="E1640" t="inlineStr">
        <is>
          <t>Catalonia</t>
        </is>
      </c>
      <c r="F1640" t="inlineStr">
        <is>
          <t>Optimized,WFS,WFS Item</t>
        </is>
      </c>
      <c r="G1640" s="48" t="n">
        <v>0</v>
      </c>
      <c r="H1640" s="48" t="n">
        <v>0</v>
      </c>
      <c r="I1640" s="48" t="n">
        <v>0</v>
      </c>
      <c r="J1640" s="48" t="n">
        <v>0</v>
      </c>
      <c r="K1640" s="49" t="n">
        <v>0</v>
      </c>
      <c r="L1640" s="49" t="n">
        <v>0</v>
      </c>
      <c r="M1640" s="49" t="n">
        <v>0</v>
      </c>
      <c r="N1640" s="49" t="n">
        <v>0</v>
      </c>
      <c r="O1640" s="49" t="n">
        <v>0</v>
      </c>
      <c r="P1640" s="49" t="n">
        <v>0</v>
      </c>
      <c r="Q1640" s="49" t="n">
        <v>0</v>
      </c>
      <c r="R1640" s="49" t="n">
        <v>0</v>
      </c>
      <c r="S1640" s="50" t="n">
        <v>0</v>
      </c>
      <c r="T1640" s="50" t="n">
        <v>0</v>
      </c>
      <c r="U1640" s="50" t="n">
        <v>0</v>
      </c>
      <c r="V1640" s="50" t="n">
        <v>0</v>
      </c>
      <c r="W1640" s="51" t="n">
        <v>0</v>
      </c>
      <c r="X1640" s="51" t="n">
        <v>0</v>
      </c>
      <c r="Y1640" s="51" t="n">
        <v>0</v>
      </c>
      <c r="Z1640" s="51" t="n">
        <v>0</v>
      </c>
      <c r="AA1640" s="52" t="n">
        <v>0</v>
      </c>
      <c r="AB1640" s="52" t="n">
        <v>0</v>
      </c>
      <c r="AC1640" s="52" t="n">
        <v>0</v>
      </c>
      <c r="AD1640" s="52" t="n">
        <v>0</v>
      </c>
      <c r="AE1640" s="52" t="n">
        <v>0</v>
      </c>
      <c r="AF1640" s="52" t="n">
        <v>0</v>
      </c>
      <c r="AG1640" s="52" t="n">
        <v>0</v>
      </c>
      <c r="AH1640" s="52" t="n">
        <v>0</v>
      </c>
      <c r="AI1640" s="52" t="n">
        <v>0</v>
      </c>
      <c r="AJ1640" s="52" t="n">
        <v>0</v>
      </c>
      <c r="AK1640" s="52" t="n">
        <v>0</v>
      </c>
      <c r="AL1640" s="52" t="n">
        <v>0</v>
      </c>
      <c r="AM1640" s="53" t="n">
        <v>0</v>
      </c>
      <c r="AN1640" s="53" t="n">
        <v>0</v>
      </c>
      <c r="AO1640" s="53" t="n">
        <v>0</v>
      </c>
      <c r="AP1640" s="53" t="n">
        <v>0</v>
      </c>
      <c r="AQ1640" s="52" t="n">
        <v>0</v>
      </c>
      <c r="AR1640" s="52" t="n">
        <v>0</v>
      </c>
      <c r="AS1640" s="52" t="n">
        <v>0</v>
      </c>
      <c r="AT1640" s="52" t="n">
        <v>0</v>
      </c>
      <c r="AU1640" s="53" t="n">
        <v>0</v>
      </c>
      <c r="AV1640" s="53" t="n">
        <v>0</v>
      </c>
      <c r="AW1640" s="53" t="n">
        <v>0</v>
      </c>
      <c r="AX1640" s="53" t="n">
        <v>0</v>
      </c>
      <c r="AY1640" s="52" t="n">
        <v>0</v>
      </c>
      <c r="AZ1640" s="52" t="n">
        <v>0</v>
      </c>
      <c r="BA1640" s="52" t="n">
        <v>0</v>
      </c>
      <c r="BB1640" s="52" t="n">
        <v>0</v>
      </c>
      <c r="BC1640" s="51" t="n">
        <v>0</v>
      </c>
      <c r="BD1640" s="51" t="n">
        <v>0</v>
      </c>
      <c r="BE1640" s="51" t="n">
        <v>0</v>
      </c>
      <c r="BF1640" s="51" t="n">
        <v>0</v>
      </c>
    </row>
    <row r="1641">
      <c r="A1641">
        <f>HYPERLINK("https://www.walmart.com/ip/110966533", "110966533")</f>
        <v/>
      </c>
      <c r="B1641" t="inlineStr">
        <is>
          <t>KC Caps® Unstructured Low-profile Two-Tone Denim Garment Washed Baseball Cap</t>
        </is>
      </c>
      <c r="C1641" t="inlineStr">
        <is>
          <t>KC8080JEANGY</t>
        </is>
      </c>
      <c r="D1641" t="inlineStr">
        <is>
          <t>Hats</t>
        </is>
      </c>
      <c r="E1641" t="inlineStr">
        <is>
          <t>KC Caps</t>
        </is>
      </c>
      <c r="F1641" t="inlineStr">
        <is>
          <t>Optimized</t>
        </is>
      </c>
      <c r="G1641" s="48" t="n">
        <v>0</v>
      </c>
      <c r="H1641" s="48" t="n">
        <v>0</v>
      </c>
      <c r="I1641" s="48" t="n">
        <v>0</v>
      </c>
      <c r="J1641" s="48" t="n">
        <v>0</v>
      </c>
      <c r="K1641" s="49" t="n">
        <v>0</v>
      </c>
      <c r="L1641" s="49" t="n">
        <v>0</v>
      </c>
      <c r="M1641" s="49" t="n">
        <v>0</v>
      </c>
      <c r="N1641" s="49" t="n">
        <v>0</v>
      </c>
      <c r="O1641" s="49" t="n">
        <v>0</v>
      </c>
      <c r="P1641" s="49" t="n">
        <v>0</v>
      </c>
      <c r="Q1641" s="49" t="n">
        <v>0</v>
      </c>
      <c r="R1641" s="49" t="n">
        <v>0</v>
      </c>
      <c r="S1641" s="50" t="n">
        <v>0</v>
      </c>
      <c r="T1641" s="50" t="n">
        <v>0</v>
      </c>
      <c r="U1641" s="50" t="n">
        <v>0</v>
      </c>
      <c r="V1641" s="50" t="n">
        <v>0</v>
      </c>
      <c r="W1641" s="51" t="n">
        <v>0</v>
      </c>
      <c r="X1641" s="51" t="n">
        <v>0</v>
      </c>
      <c r="Y1641" s="51" t="n">
        <v>0</v>
      </c>
      <c r="Z1641" s="51" t="n">
        <v>0</v>
      </c>
      <c r="AA1641" s="52" t="n">
        <v>0</v>
      </c>
      <c r="AB1641" s="52" t="n">
        <v>0</v>
      </c>
      <c r="AC1641" s="52" t="n">
        <v>0</v>
      </c>
      <c r="AD1641" s="52" t="n">
        <v>0</v>
      </c>
      <c r="AE1641" s="52" t="n">
        <v>0</v>
      </c>
      <c r="AF1641" s="52" t="n">
        <v>0</v>
      </c>
      <c r="AG1641" s="52" t="n">
        <v>0</v>
      </c>
      <c r="AH1641" s="52" t="n">
        <v>0</v>
      </c>
      <c r="AI1641" s="52" t="n">
        <v>0</v>
      </c>
      <c r="AJ1641" s="52" t="n">
        <v>0</v>
      </c>
      <c r="AK1641" s="52" t="n">
        <v>0</v>
      </c>
      <c r="AL1641" s="52" t="n">
        <v>0</v>
      </c>
      <c r="AM1641" s="53" t="n">
        <v>0</v>
      </c>
      <c r="AN1641" s="53" t="n">
        <v>0</v>
      </c>
      <c r="AO1641" s="53" t="n">
        <v>0</v>
      </c>
      <c r="AP1641" s="53" t="n">
        <v>0</v>
      </c>
      <c r="AQ1641" s="52" t="n">
        <v>0</v>
      </c>
      <c r="AR1641" s="52" t="n">
        <v>0</v>
      </c>
      <c r="AS1641" s="52" t="n">
        <v>0</v>
      </c>
      <c r="AT1641" s="52" t="n">
        <v>0</v>
      </c>
      <c r="AU1641" s="53" t="n">
        <v>0</v>
      </c>
      <c r="AV1641" s="53" t="n">
        <v>0</v>
      </c>
      <c r="AW1641" s="53" t="n">
        <v>0</v>
      </c>
      <c r="AX1641" s="53" t="n">
        <v>0</v>
      </c>
      <c r="AY1641" s="52" t="n">
        <v>0</v>
      </c>
      <c r="AZ1641" s="52" t="n">
        <v>0</v>
      </c>
      <c r="BA1641" s="52" t="n">
        <v>0</v>
      </c>
      <c r="BB1641" s="52" t="n">
        <v>0</v>
      </c>
      <c r="BC1641" s="51" t="n">
        <v>0</v>
      </c>
      <c r="BD1641" s="51" t="n">
        <v>0</v>
      </c>
      <c r="BE1641" s="51" t="n">
        <v>0</v>
      </c>
      <c r="BF1641" s="51" t="n">
        <v>0</v>
      </c>
    </row>
    <row r="1642">
      <c r="A1642">
        <f>HYPERLINK("https://www.walmart.com/ip/111065430", "111065430")</f>
        <v/>
      </c>
      <c r="B1642" t="inlineStr">
        <is>
          <t>KC Caps Race Collection Caps with High Quality USA Fag Racing Graphic</t>
        </is>
      </c>
      <c r="C1642" t="inlineStr">
        <is>
          <t>KC-AS09</t>
        </is>
      </c>
      <c r="D1642" t="inlineStr">
        <is>
          <t>Hats</t>
        </is>
      </c>
      <c r="E1642" t="inlineStr">
        <is>
          <t>KC Caps</t>
        </is>
      </c>
      <c r="F1642" t="inlineStr">
        <is>
          <t>Optimized</t>
        </is>
      </c>
      <c r="G1642" s="48" t="n">
        <v>0</v>
      </c>
      <c r="H1642" s="48" t="n">
        <v>0</v>
      </c>
      <c r="I1642" s="48" t="n">
        <v>0</v>
      </c>
      <c r="J1642" s="48" t="n">
        <v>0</v>
      </c>
      <c r="K1642" s="49" t="n">
        <v>0</v>
      </c>
      <c r="L1642" s="49" t="n">
        <v>0</v>
      </c>
      <c r="M1642" s="49" t="n">
        <v>0</v>
      </c>
      <c r="N1642" s="49" t="n">
        <v>0</v>
      </c>
      <c r="O1642" s="49" t="n">
        <v>0</v>
      </c>
      <c r="P1642" s="49" t="n">
        <v>0</v>
      </c>
      <c r="Q1642" s="49" t="n">
        <v>0</v>
      </c>
      <c r="R1642" s="49" t="n">
        <v>0</v>
      </c>
      <c r="S1642" s="50" t="n">
        <v>0</v>
      </c>
      <c r="T1642" s="50" t="n">
        <v>0</v>
      </c>
      <c r="U1642" s="50" t="n">
        <v>0</v>
      </c>
      <c r="V1642" s="50" t="n">
        <v>0</v>
      </c>
      <c r="W1642" s="51" t="n">
        <v>0</v>
      </c>
      <c r="X1642" s="51" t="n">
        <v>0</v>
      </c>
      <c r="Y1642" s="51" t="n">
        <v>0</v>
      </c>
      <c r="Z1642" s="51" t="n">
        <v>0</v>
      </c>
      <c r="AA1642" s="52" t="n">
        <v>0</v>
      </c>
      <c r="AB1642" s="52" t="n">
        <v>0</v>
      </c>
      <c r="AC1642" s="52" t="n">
        <v>0</v>
      </c>
      <c r="AD1642" s="52" t="n">
        <v>0</v>
      </c>
      <c r="AE1642" s="52" t="n">
        <v>0</v>
      </c>
      <c r="AF1642" s="52" t="n">
        <v>0</v>
      </c>
      <c r="AG1642" s="52" t="n">
        <v>0</v>
      </c>
      <c r="AH1642" s="52" t="n">
        <v>0</v>
      </c>
      <c r="AI1642" s="52" t="n">
        <v>0</v>
      </c>
      <c r="AJ1642" s="52" t="n">
        <v>0</v>
      </c>
      <c r="AK1642" s="52" t="n">
        <v>0</v>
      </c>
      <c r="AL1642" s="52" t="n">
        <v>0</v>
      </c>
      <c r="AM1642" s="53" t="n">
        <v>0</v>
      </c>
      <c r="AN1642" s="53" t="n">
        <v>0</v>
      </c>
      <c r="AO1642" s="53" t="n">
        <v>0</v>
      </c>
      <c r="AP1642" s="53" t="n">
        <v>0</v>
      </c>
      <c r="AQ1642" s="52" t="n">
        <v>0</v>
      </c>
      <c r="AR1642" s="52" t="n">
        <v>0</v>
      </c>
      <c r="AS1642" s="52" t="n">
        <v>0</v>
      </c>
      <c r="AT1642" s="52" t="n">
        <v>0</v>
      </c>
      <c r="AU1642" s="53" t="n">
        <v>0</v>
      </c>
      <c r="AV1642" s="53" t="n">
        <v>0</v>
      </c>
      <c r="AW1642" s="53" t="n">
        <v>0</v>
      </c>
      <c r="AX1642" s="53" t="n">
        <v>0</v>
      </c>
      <c r="AY1642" s="52" t="n">
        <v>0</v>
      </c>
      <c r="AZ1642" s="52" t="n">
        <v>0</v>
      </c>
      <c r="BA1642" s="52" t="n">
        <v>0</v>
      </c>
      <c r="BB1642" s="52" t="n">
        <v>0</v>
      </c>
      <c r="BC1642" s="51" t="n">
        <v>0</v>
      </c>
      <c r="BD1642" s="51" t="n">
        <v>0</v>
      </c>
      <c r="BE1642" s="51" t="n">
        <v>0</v>
      </c>
      <c r="BF1642" s="51" t="n">
        <v>0</v>
      </c>
    </row>
    <row r="1643">
      <c r="A1643">
        <f>HYPERLINK("https://www.walmart.com/ip/111109317", "111109317")</f>
        <v/>
      </c>
      <c r="B1643" t="inlineStr">
        <is>
          <t>Jenniwears Women's Sexy Lingerie Lace Mesh 2-Piece Bowknot Halter Chemise with G-String</t>
        </is>
      </c>
      <c r="C1643" t="inlineStr">
        <is>
          <t>JWND03RD</t>
        </is>
      </c>
      <c r="D1643" t="inlineStr">
        <is>
          <t>Lingerie Sets</t>
        </is>
      </c>
      <c r="E1643" t="inlineStr">
        <is>
          <t>JenniWears</t>
        </is>
      </c>
      <c r="F1643" t="inlineStr">
        <is>
          <t>Optimized,Valentine</t>
        </is>
      </c>
      <c r="G1643" s="48" t="n">
        <v>0</v>
      </c>
      <c r="H1643" s="48" t="n">
        <v>0</v>
      </c>
      <c r="I1643" s="48" t="n">
        <v>0</v>
      </c>
      <c r="J1643" s="48" t="n">
        <v>0</v>
      </c>
      <c r="K1643" s="49" t="n">
        <v>0</v>
      </c>
      <c r="L1643" s="49" t="n">
        <v>0</v>
      </c>
      <c r="M1643" s="49" t="n">
        <v>0</v>
      </c>
      <c r="N1643" s="49" t="n">
        <v>0</v>
      </c>
      <c r="O1643" s="49" t="n">
        <v>0</v>
      </c>
      <c r="P1643" s="49" t="n">
        <v>0</v>
      </c>
      <c r="Q1643" s="49" t="n">
        <v>0</v>
      </c>
      <c r="R1643" s="49" t="n">
        <v>0</v>
      </c>
      <c r="S1643" s="50" t="n">
        <v>0</v>
      </c>
      <c r="T1643" s="50" t="n">
        <v>0</v>
      </c>
      <c r="U1643" s="50" t="n">
        <v>0</v>
      </c>
      <c r="V1643" s="50" t="n">
        <v>0</v>
      </c>
      <c r="W1643" s="51" t="n">
        <v>0</v>
      </c>
      <c r="X1643" s="51" t="n">
        <v>0</v>
      </c>
      <c r="Y1643" s="51" t="n">
        <v>0</v>
      </c>
      <c r="Z1643" s="51" t="n">
        <v>0</v>
      </c>
      <c r="AA1643" s="52" t="n">
        <v>0</v>
      </c>
      <c r="AB1643" s="52" t="n">
        <v>0</v>
      </c>
      <c r="AC1643" s="52" t="n">
        <v>0</v>
      </c>
      <c r="AD1643" s="52" t="n">
        <v>0</v>
      </c>
      <c r="AE1643" s="52" t="n">
        <v>0</v>
      </c>
      <c r="AF1643" s="52" t="n">
        <v>0</v>
      </c>
      <c r="AG1643" s="52" t="n">
        <v>0</v>
      </c>
      <c r="AH1643" s="52" t="n">
        <v>0</v>
      </c>
      <c r="AI1643" s="52" t="n">
        <v>0</v>
      </c>
      <c r="AJ1643" s="52" t="n">
        <v>0</v>
      </c>
      <c r="AK1643" s="52" t="n">
        <v>0</v>
      </c>
      <c r="AL1643" s="52" t="n">
        <v>0</v>
      </c>
      <c r="AM1643" s="53" t="n">
        <v>0</v>
      </c>
      <c r="AN1643" s="53" t="n">
        <v>0</v>
      </c>
      <c r="AO1643" s="53" t="n">
        <v>0</v>
      </c>
      <c r="AP1643" s="53" t="n">
        <v>0</v>
      </c>
      <c r="AQ1643" s="52" t="n">
        <v>0</v>
      </c>
      <c r="AR1643" s="52" t="n">
        <v>0</v>
      </c>
      <c r="AS1643" s="52" t="n">
        <v>0</v>
      </c>
      <c r="AT1643" s="52" t="n">
        <v>0</v>
      </c>
      <c r="AU1643" s="53" t="n">
        <v>0</v>
      </c>
      <c r="AV1643" s="53" t="n">
        <v>0</v>
      </c>
      <c r="AW1643" s="53" t="n">
        <v>0</v>
      </c>
      <c r="AX1643" s="53" t="n">
        <v>0</v>
      </c>
      <c r="AY1643" s="52" t="n">
        <v>0</v>
      </c>
      <c r="AZ1643" s="52" t="n">
        <v>0</v>
      </c>
      <c r="BA1643" s="52" t="n">
        <v>0</v>
      </c>
      <c r="BB1643" s="52" t="n">
        <v>0</v>
      </c>
      <c r="BC1643" s="51" t="n">
        <v>0</v>
      </c>
      <c r="BD1643" s="51" t="n">
        <v>0</v>
      </c>
      <c r="BE1643" s="51" t="n">
        <v>0</v>
      </c>
      <c r="BF1643" s="51" t="n">
        <v>0</v>
      </c>
    </row>
    <row r="1644">
      <c r="A1644">
        <f>HYPERLINK("https://www.walmart.com/ip/111128114", "111128114")</f>
        <v/>
      </c>
      <c r="B1644" t="inlineStr">
        <is>
          <t>JenniWears® Women's Sexy Lace Nightgown Sleepwear Bathrobe 2 Piece Set</t>
        </is>
      </c>
      <c r="C1644" t="inlineStr">
        <is>
          <t>JWRS02RD-M</t>
        </is>
      </c>
      <c r="D1644" t="inlineStr">
        <is>
          <t>Nightgowns &amp; Sleepshirts</t>
        </is>
      </c>
      <c r="E1644" t="inlineStr">
        <is>
          <t>JenniWears</t>
        </is>
      </c>
      <c r="F1644" t="inlineStr">
        <is>
          <t>Optimized,Valentine,Bathrobe</t>
        </is>
      </c>
      <c r="G1644" s="48" t="n">
        <v>0</v>
      </c>
      <c r="H1644" s="48" t="n">
        <v>0</v>
      </c>
      <c r="I1644" s="48" t="n">
        <v>0</v>
      </c>
      <c r="J1644" s="48" t="n">
        <v>0</v>
      </c>
      <c r="K1644" s="49" t="n">
        <v>0</v>
      </c>
      <c r="L1644" s="49" t="n">
        <v>0</v>
      </c>
      <c r="M1644" s="49" t="n">
        <v>0</v>
      </c>
      <c r="N1644" s="49" t="n">
        <v>0</v>
      </c>
      <c r="O1644" s="49" t="n">
        <v>0</v>
      </c>
      <c r="P1644" s="49" t="n">
        <v>0</v>
      </c>
      <c r="Q1644" s="49" t="n">
        <v>0</v>
      </c>
      <c r="R1644" s="49" t="n">
        <v>0</v>
      </c>
      <c r="S1644" s="50" t="n">
        <v>0</v>
      </c>
      <c r="T1644" s="50" t="n">
        <v>0</v>
      </c>
      <c r="U1644" s="50" t="n">
        <v>0</v>
      </c>
      <c r="V1644" s="50" t="n">
        <v>0</v>
      </c>
      <c r="W1644" s="51" t="n">
        <v>0</v>
      </c>
      <c r="X1644" s="51" t="n">
        <v>0</v>
      </c>
      <c r="Y1644" s="51" t="n">
        <v>0</v>
      </c>
      <c r="Z1644" s="51" t="n">
        <v>0</v>
      </c>
      <c r="AA1644" s="52" t="n">
        <v>0</v>
      </c>
      <c r="AB1644" s="52" t="n">
        <v>0</v>
      </c>
      <c r="AC1644" s="52" t="n">
        <v>0</v>
      </c>
      <c r="AD1644" s="52" t="n">
        <v>0</v>
      </c>
      <c r="AE1644" s="52" t="n">
        <v>0</v>
      </c>
      <c r="AF1644" s="52" t="n">
        <v>0</v>
      </c>
      <c r="AG1644" s="52" t="n">
        <v>0</v>
      </c>
      <c r="AH1644" s="52" t="n">
        <v>0</v>
      </c>
      <c r="AI1644" s="52" t="n">
        <v>0</v>
      </c>
      <c r="AJ1644" s="52" t="n">
        <v>0</v>
      </c>
      <c r="AK1644" s="52" t="n">
        <v>0</v>
      </c>
      <c r="AL1644" s="52" t="n">
        <v>0</v>
      </c>
      <c r="AM1644" s="53" t="n">
        <v>0</v>
      </c>
      <c r="AN1644" s="53" t="n">
        <v>0</v>
      </c>
      <c r="AO1644" s="53" t="n">
        <v>0</v>
      </c>
      <c r="AP1644" s="53" t="n">
        <v>0</v>
      </c>
      <c r="AQ1644" s="52" t="n">
        <v>0</v>
      </c>
      <c r="AR1644" s="52" t="n">
        <v>0</v>
      </c>
      <c r="AS1644" s="52" t="n">
        <v>0</v>
      </c>
      <c r="AT1644" s="52" t="n">
        <v>0</v>
      </c>
      <c r="AU1644" s="53" t="n">
        <v>0</v>
      </c>
      <c r="AV1644" s="53" t="n">
        <v>0</v>
      </c>
      <c r="AW1644" s="53" t="n">
        <v>0</v>
      </c>
      <c r="AX1644" s="53" t="n">
        <v>0</v>
      </c>
      <c r="AY1644" s="52" t="n">
        <v>0</v>
      </c>
      <c r="AZ1644" s="52" t="n">
        <v>0</v>
      </c>
      <c r="BA1644" s="52" t="n">
        <v>0</v>
      </c>
      <c r="BB1644" s="52" t="n">
        <v>0</v>
      </c>
      <c r="BC1644" s="51" t="n">
        <v>0</v>
      </c>
      <c r="BD1644" s="51" t="n">
        <v>0</v>
      </c>
      <c r="BE1644" s="51" t="n">
        <v>0</v>
      </c>
      <c r="BF1644" s="51" t="n">
        <v>0</v>
      </c>
    </row>
    <row r="1645">
      <c r="A1645">
        <f>HYPERLINK("https://www.walmart.com/ip/113817246", "113817246")</f>
        <v/>
      </c>
      <c r="B1645" t="inlineStr">
        <is>
          <t>KC Caps Unisex Adjustable Snap Closure USA Flag Embroidered Cap Hat</t>
        </is>
      </c>
      <c r="C1645" t="inlineStr">
        <is>
          <t>kc-ae-6100-ry</t>
        </is>
      </c>
      <c r="D1645" t="inlineStr">
        <is>
          <t>Hats</t>
        </is>
      </c>
      <c r="E1645" t="inlineStr">
        <is>
          <t>KC Caps</t>
        </is>
      </c>
      <c r="F1645" t="inlineStr">
        <is>
          <t>Optimized</t>
        </is>
      </c>
      <c r="G1645" s="48" t="n">
        <v>0</v>
      </c>
      <c r="H1645" s="48" t="n">
        <v>0</v>
      </c>
      <c r="I1645" s="48" t="n">
        <v>0</v>
      </c>
      <c r="J1645" s="48" t="n">
        <v>0</v>
      </c>
      <c r="K1645" s="49" t="n">
        <v>0</v>
      </c>
      <c r="L1645" s="49" t="n">
        <v>0</v>
      </c>
      <c r="M1645" s="49" t="n">
        <v>0</v>
      </c>
      <c r="N1645" s="49" t="n">
        <v>0</v>
      </c>
      <c r="O1645" s="49" t="n">
        <v>0</v>
      </c>
      <c r="P1645" s="49" t="n">
        <v>0</v>
      </c>
      <c r="Q1645" s="49" t="n">
        <v>0</v>
      </c>
      <c r="R1645" s="49" t="n">
        <v>0</v>
      </c>
      <c r="S1645" s="50" t="n">
        <v>0</v>
      </c>
      <c r="T1645" s="50" t="n">
        <v>0</v>
      </c>
      <c r="U1645" s="50" t="n">
        <v>0</v>
      </c>
      <c r="V1645" s="50" t="n">
        <v>0</v>
      </c>
      <c r="W1645" s="51" t="n">
        <v>0</v>
      </c>
      <c r="X1645" s="51" t="n">
        <v>0</v>
      </c>
      <c r="Y1645" s="51" t="n">
        <v>0</v>
      </c>
      <c r="Z1645" s="51" t="n">
        <v>0</v>
      </c>
      <c r="AA1645" s="52" t="n">
        <v>0</v>
      </c>
      <c r="AB1645" s="52" t="n">
        <v>0</v>
      </c>
      <c r="AC1645" s="52" t="n">
        <v>0</v>
      </c>
      <c r="AD1645" s="52" t="n">
        <v>0</v>
      </c>
      <c r="AE1645" s="52" t="n">
        <v>0</v>
      </c>
      <c r="AF1645" s="52" t="n">
        <v>0</v>
      </c>
      <c r="AG1645" s="52" t="n">
        <v>0</v>
      </c>
      <c r="AH1645" s="52" t="n">
        <v>0</v>
      </c>
      <c r="AI1645" s="52" t="n">
        <v>0</v>
      </c>
      <c r="AJ1645" s="52" t="n">
        <v>0</v>
      </c>
      <c r="AK1645" s="52" t="n">
        <v>0</v>
      </c>
      <c r="AL1645" s="52" t="n">
        <v>0</v>
      </c>
      <c r="AM1645" s="53" t="n">
        <v>0</v>
      </c>
      <c r="AN1645" s="53" t="n">
        <v>0</v>
      </c>
      <c r="AO1645" s="53" t="n">
        <v>0</v>
      </c>
      <c r="AP1645" s="53" t="n">
        <v>0</v>
      </c>
      <c r="AQ1645" s="52" t="n">
        <v>0</v>
      </c>
      <c r="AR1645" s="52" t="n">
        <v>0</v>
      </c>
      <c r="AS1645" s="52" t="n">
        <v>0</v>
      </c>
      <c r="AT1645" s="52" t="n">
        <v>0</v>
      </c>
      <c r="AU1645" s="53" t="n">
        <v>0</v>
      </c>
      <c r="AV1645" s="53" t="n">
        <v>0</v>
      </c>
      <c r="AW1645" s="53" t="n">
        <v>0</v>
      </c>
      <c r="AX1645" s="53" t="n">
        <v>0</v>
      </c>
      <c r="AY1645" s="52" t="n">
        <v>0</v>
      </c>
      <c r="AZ1645" s="52" t="n">
        <v>0</v>
      </c>
      <c r="BA1645" s="52" t="n">
        <v>0</v>
      </c>
      <c r="BB1645" s="52" t="n">
        <v>0</v>
      </c>
      <c r="BC1645" s="51" t="n">
        <v>0</v>
      </c>
      <c r="BD1645" s="51" t="n">
        <v>0</v>
      </c>
      <c r="BE1645" s="51" t="n">
        <v>0</v>
      </c>
      <c r="BF1645" s="51" t="n">
        <v>0</v>
      </c>
    </row>
    <row r="1646">
      <c r="A1646">
        <f>HYPERLINK("https://www.walmart.com/ip/1140481665", "1140481665")</f>
        <v/>
      </c>
      <c r="B1646" t="inlineStr">
        <is>
          <t>Sun Visor Sports Cotton Twill Plain Hat with Adjustable Strap for Men Women Outdoor Golf Tennis Running Jogging Hiking</t>
        </is>
      </c>
      <c r="C1646" t="inlineStr">
        <is>
          <t>1SLVS4130RD</t>
        </is>
      </c>
      <c r="D1646" t="inlineStr">
        <is>
          <t>Tennis Visors</t>
        </is>
      </c>
      <c r="E1646" t="inlineStr">
        <is>
          <t>Solaris</t>
        </is>
      </c>
      <c r="G1646" s="48" t="n">
        <v>0</v>
      </c>
      <c r="H1646" s="48" t="n">
        <v>0</v>
      </c>
      <c r="I1646" s="48" t="n">
        <v>0</v>
      </c>
      <c r="J1646" s="48" t="n">
        <v>0</v>
      </c>
      <c r="K1646" s="49" t="n">
        <v>0</v>
      </c>
      <c r="L1646" s="49" t="n">
        <v>0</v>
      </c>
      <c r="M1646" s="49" t="n">
        <v>0</v>
      </c>
      <c r="N1646" s="49" t="n">
        <v>0</v>
      </c>
      <c r="O1646" s="49" t="n">
        <v>0</v>
      </c>
      <c r="P1646" s="49" t="n">
        <v>0</v>
      </c>
      <c r="Q1646" s="49" t="n">
        <v>0</v>
      </c>
      <c r="R1646" s="49" t="n">
        <v>0</v>
      </c>
      <c r="S1646" s="50" t="n">
        <v>0</v>
      </c>
      <c r="T1646" s="50" t="n">
        <v>0</v>
      </c>
      <c r="U1646" s="50" t="n">
        <v>0</v>
      </c>
      <c r="V1646" s="50" t="n">
        <v>0</v>
      </c>
      <c r="W1646" s="51" t="n">
        <v>0</v>
      </c>
      <c r="X1646" s="51" t="n">
        <v>0</v>
      </c>
      <c r="Y1646" s="51" t="n">
        <v>0</v>
      </c>
      <c r="Z1646" s="51" t="n">
        <v>0</v>
      </c>
      <c r="AA1646" s="52" t="n">
        <v>0</v>
      </c>
      <c r="AB1646" s="52" t="n">
        <v>0</v>
      </c>
      <c r="AC1646" s="52" t="n">
        <v>0</v>
      </c>
      <c r="AD1646" s="52" t="n">
        <v>0</v>
      </c>
      <c r="AE1646" s="52" t="n">
        <v>0</v>
      </c>
      <c r="AF1646" s="52" t="n">
        <v>0</v>
      </c>
      <c r="AG1646" s="52" t="n">
        <v>0</v>
      </c>
      <c r="AH1646" s="52" t="n">
        <v>0</v>
      </c>
      <c r="AI1646" s="52" t="n">
        <v>0</v>
      </c>
      <c r="AJ1646" s="52" t="n">
        <v>0</v>
      </c>
      <c r="AK1646" s="52" t="n">
        <v>0</v>
      </c>
      <c r="AL1646" s="52" t="n">
        <v>0</v>
      </c>
      <c r="AM1646" s="53" t="n">
        <v>0</v>
      </c>
      <c r="AN1646" s="53" t="n">
        <v>0</v>
      </c>
      <c r="AO1646" s="53" t="n">
        <v>0</v>
      </c>
      <c r="AP1646" s="53" t="n">
        <v>0</v>
      </c>
      <c r="AQ1646" s="52" t="n">
        <v>0</v>
      </c>
      <c r="AR1646" s="52" t="n">
        <v>0</v>
      </c>
      <c r="AS1646" s="52" t="n">
        <v>0</v>
      </c>
      <c r="AT1646" s="52" t="n">
        <v>0</v>
      </c>
      <c r="AU1646" s="53" t="n">
        <v>0</v>
      </c>
      <c r="AV1646" s="53" t="n">
        <v>0</v>
      </c>
      <c r="AW1646" s="53" t="n">
        <v>0</v>
      </c>
      <c r="AX1646" s="53" t="n">
        <v>0</v>
      </c>
      <c r="AY1646" s="52" t="n">
        <v>0</v>
      </c>
      <c r="AZ1646" s="52" t="n">
        <v>0</v>
      </c>
      <c r="BA1646" s="52" t="n">
        <v>0</v>
      </c>
      <c r="BB1646" s="52" t="n">
        <v>0</v>
      </c>
      <c r="BC1646" s="51" t="n">
        <v>0</v>
      </c>
      <c r="BD1646" s="51" t="n">
        <v>0</v>
      </c>
      <c r="BE1646" s="51" t="n">
        <v>0</v>
      </c>
      <c r="BF1646" s="51" t="n">
        <v>0</v>
      </c>
    </row>
    <row r="1647">
      <c r="A1647">
        <f>HYPERLINK("https://www.walmart.com/ip/1081547339", "1081547339")</f>
        <v/>
      </c>
      <c r="B1647" t="inlineStr">
        <is>
          <t>Tirrinia Wearable Blanket with Foot Pockets for Women Men | Zippered Front Pocket | Super Soft &amp; Cozy Fleece Throw Snuggie for Adults, One Size Fits All, No Sleeve Travel Blanket, Light Grey</t>
        </is>
      </c>
      <c r="C1647" t="inlineStr">
        <is>
          <t>1TRTB102LG</t>
        </is>
      </c>
      <c r="D1647" t="inlineStr">
        <is>
          <t>Throws</t>
        </is>
      </c>
      <c r="E1647" t="inlineStr">
        <is>
          <t>Tirrinia</t>
        </is>
      </c>
      <c r="F1647" t="inlineStr">
        <is>
          <t>Q2-Target</t>
        </is>
      </c>
      <c r="G1647" s="48" t="n">
        <v>0</v>
      </c>
      <c r="H1647" s="48" t="n">
        <v>0</v>
      </c>
      <c r="I1647" s="48" t="n">
        <v>0</v>
      </c>
      <c r="J1647" s="48" t="n">
        <v>0</v>
      </c>
      <c r="K1647" s="49" t="n">
        <v>0</v>
      </c>
      <c r="L1647" s="49" t="n">
        <v>0</v>
      </c>
      <c r="M1647" s="49" t="n">
        <v>0</v>
      </c>
      <c r="N1647" s="49" t="n">
        <v>0</v>
      </c>
      <c r="O1647" s="49" t="n">
        <v>0</v>
      </c>
      <c r="P1647" s="49" t="n">
        <v>0</v>
      </c>
      <c r="Q1647" s="49" t="n">
        <v>0</v>
      </c>
      <c r="R1647" s="49" t="n">
        <v>0</v>
      </c>
      <c r="S1647" s="50" t="n">
        <v>0</v>
      </c>
      <c r="T1647" s="50" t="n">
        <v>0</v>
      </c>
      <c r="U1647" s="50" t="n">
        <v>0</v>
      </c>
      <c r="V1647" s="50" t="n">
        <v>0</v>
      </c>
      <c r="W1647" s="51" t="n">
        <v>0</v>
      </c>
      <c r="X1647" s="51" t="n">
        <v>0</v>
      </c>
      <c r="Y1647" s="51" t="n">
        <v>0</v>
      </c>
      <c r="Z1647" s="51" t="n">
        <v>0</v>
      </c>
      <c r="AA1647" s="52" t="n">
        <v>0</v>
      </c>
      <c r="AB1647" s="52" t="n">
        <v>0</v>
      </c>
      <c r="AC1647" s="52" t="n">
        <v>0</v>
      </c>
      <c r="AD1647" s="52" t="n">
        <v>0</v>
      </c>
      <c r="AE1647" s="52" t="n">
        <v>0</v>
      </c>
      <c r="AF1647" s="52" t="n">
        <v>0</v>
      </c>
      <c r="AG1647" s="52" t="n">
        <v>0</v>
      </c>
      <c r="AH1647" s="52" t="n">
        <v>0</v>
      </c>
      <c r="AI1647" s="52" t="n">
        <v>0</v>
      </c>
      <c r="AJ1647" s="52" t="n">
        <v>0</v>
      </c>
      <c r="AK1647" s="52" t="n">
        <v>0</v>
      </c>
      <c r="AL1647" s="52" t="n">
        <v>0</v>
      </c>
      <c r="AM1647" s="53" t="n">
        <v>0</v>
      </c>
      <c r="AN1647" s="53" t="n">
        <v>0</v>
      </c>
      <c r="AO1647" s="53" t="n">
        <v>0</v>
      </c>
      <c r="AP1647" s="53" t="n">
        <v>0</v>
      </c>
      <c r="AQ1647" s="52" t="n">
        <v>0</v>
      </c>
      <c r="AR1647" s="52" t="n">
        <v>0</v>
      </c>
      <c r="AS1647" s="52" t="n">
        <v>0</v>
      </c>
      <c r="AT1647" s="52" t="n">
        <v>0</v>
      </c>
      <c r="AU1647" s="53" t="n">
        <v>0</v>
      </c>
      <c r="AV1647" s="53" t="n">
        <v>0</v>
      </c>
      <c r="AW1647" s="53" t="n">
        <v>0</v>
      </c>
      <c r="AX1647" s="53" t="n">
        <v>0</v>
      </c>
      <c r="AY1647" s="52" t="n">
        <v>0</v>
      </c>
      <c r="AZ1647" s="52" t="n">
        <v>0</v>
      </c>
      <c r="BA1647" s="52" t="n">
        <v>0</v>
      </c>
      <c r="BB1647" s="52" t="n">
        <v>0</v>
      </c>
      <c r="BC1647" s="51" t="n">
        <v>0</v>
      </c>
      <c r="BD1647" s="51" t="n">
        <v>0</v>
      </c>
      <c r="BE1647" s="51" t="n">
        <v>0</v>
      </c>
      <c r="BF1647" s="51" t="n">
        <v>0</v>
      </c>
    </row>
    <row r="1648">
      <c r="A1648">
        <f>HYPERLINK("https://www.walmart.com/ip/116992042", "116992042")</f>
        <v/>
      </c>
      <c r="B1648" t="inlineStr">
        <is>
          <t>100% Polar Fleece Skull Cap Warm and Cozy Beanie</t>
        </is>
      </c>
      <c r="C1648" t="inlineStr">
        <is>
          <t>1SLW1810GN-FSCB</t>
        </is>
      </c>
      <c r="D1648" t="inlineStr">
        <is>
          <t>Hats</t>
        </is>
      </c>
      <c r="E1648" t="inlineStr">
        <is>
          <t>Solaris</t>
        </is>
      </c>
      <c r="F1648" t="inlineStr">
        <is>
          <t>ST Patrick Day</t>
        </is>
      </c>
      <c r="G1648" s="48" t="n">
        <v>0</v>
      </c>
      <c r="H1648" s="48" t="n">
        <v>0</v>
      </c>
      <c r="I1648" s="48" t="n">
        <v>0</v>
      </c>
      <c r="J1648" s="48" t="n">
        <v>0</v>
      </c>
      <c r="K1648" s="49" t="n">
        <v>0</v>
      </c>
      <c r="L1648" s="49" t="n">
        <v>0</v>
      </c>
      <c r="M1648" s="49" t="n">
        <v>0</v>
      </c>
      <c r="N1648" s="49" t="n">
        <v>0</v>
      </c>
      <c r="O1648" s="49" t="n">
        <v>0</v>
      </c>
      <c r="P1648" s="49" t="n">
        <v>0</v>
      </c>
      <c r="Q1648" s="49" t="n">
        <v>0</v>
      </c>
      <c r="R1648" s="49" t="n">
        <v>0</v>
      </c>
      <c r="S1648" s="50" t="n">
        <v>0</v>
      </c>
      <c r="T1648" s="50" t="n">
        <v>0</v>
      </c>
      <c r="U1648" s="50" t="n">
        <v>0</v>
      </c>
      <c r="V1648" s="50" t="n">
        <v>0</v>
      </c>
      <c r="W1648" s="51" t="n">
        <v>0</v>
      </c>
      <c r="X1648" s="51" t="n">
        <v>0</v>
      </c>
      <c r="Y1648" s="51" t="n">
        <v>0</v>
      </c>
      <c r="Z1648" s="51" t="n">
        <v>0</v>
      </c>
      <c r="AA1648" s="52" t="n">
        <v>0</v>
      </c>
      <c r="AB1648" s="52" t="n">
        <v>0</v>
      </c>
      <c r="AC1648" s="52" t="n">
        <v>0</v>
      </c>
      <c r="AD1648" s="52" t="n">
        <v>0</v>
      </c>
      <c r="AE1648" s="52" t="n">
        <v>0</v>
      </c>
      <c r="AF1648" s="52" t="n">
        <v>0</v>
      </c>
      <c r="AG1648" s="52" t="n">
        <v>0</v>
      </c>
      <c r="AH1648" s="52" t="n">
        <v>0</v>
      </c>
      <c r="AI1648" s="52" t="n">
        <v>0</v>
      </c>
      <c r="AJ1648" s="52" t="n">
        <v>0</v>
      </c>
      <c r="AK1648" s="52" t="n">
        <v>0</v>
      </c>
      <c r="AL1648" s="52" t="n">
        <v>0</v>
      </c>
      <c r="AM1648" s="53" t="n">
        <v>0</v>
      </c>
      <c r="AN1648" s="53" t="n">
        <v>0</v>
      </c>
      <c r="AO1648" s="53" t="n">
        <v>0</v>
      </c>
      <c r="AP1648" s="53" t="n">
        <v>0</v>
      </c>
      <c r="AQ1648" s="52" t="n">
        <v>0</v>
      </c>
      <c r="AR1648" s="52" t="n">
        <v>0</v>
      </c>
      <c r="AS1648" s="52" t="n">
        <v>0</v>
      </c>
      <c r="AT1648" s="52" t="n">
        <v>0</v>
      </c>
      <c r="AU1648" s="53" t="n">
        <v>0</v>
      </c>
      <c r="AV1648" s="53" t="n">
        <v>0</v>
      </c>
      <c r="AW1648" s="53" t="n">
        <v>0</v>
      </c>
      <c r="AX1648" s="53" t="n">
        <v>0</v>
      </c>
      <c r="AY1648" s="52" t="n">
        <v>0</v>
      </c>
      <c r="AZ1648" s="52" t="n">
        <v>0</v>
      </c>
      <c r="BA1648" s="52" t="n">
        <v>0</v>
      </c>
      <c r="BB1648" s="52" t="n">
        <v>0</v>
      </c>
      <c r="BC1648" s="51" t="n">
        <v>0</v>
      </c>
      <c r="BD1648" s="51" t="n">
        <v>0</v>
      </c>
      <c r="BE1648" s="51" t="n">
        <v>0</v>
      </c>
      <c r="BF1648" s="51" t="n">
        <v>0</v>
      </c>
    </row>
    <row r="1649">
      <c r="A1649">
        <f>HYPERLINK("https://www.walmart.com/ip/117134027", "117134027")</f>
        <v/>
      </c>
      <c r="B1649" t="inlineStr">
        <is>
          <t>Terra Faux Fur Pom Pom Beanie Hat Slouchy Solid Plain Knit Unisex Stretches to Fit Most</t>
        </is>
      </c>
      <c r="C1649" t="inlineStr">
        <is>
          <t>TERRAPPH03PK</t>
        </is>
      </c>
      <c r="D1649" t="inlineStr">
        <is>
          <t>Hats</t>
        </is>
      </c>
      <c r="E1649" t="inlineStr">
        <is>
          <t>Terra</t>
        </is>
      </c>
      <c r="F1649" t="inlineStr">
        <is>
          <t>Batch 1 - TR</t>
        </is>
      </c>
      <c r="G1649" s="48" t="n">
        <v>0</v>
      </c>
      <c r="H1649" s="48" t="n">
        <v>0</v>
      </c>
      <c r="I1649" s="48" t="n">
        <v>0</v>
      </c>
      <c r="J1649" s="48" t="n">
        <v>0</v>
      </c>
      <c r="K1649" s="49" t="n">
        <v>0</v>
      </c>
      <c r="L1649" s="49" t="n">
        <v>0</v>
      </c>
      <c r="M1649" s="49" t="n">
        <v>0</v>
      </c>
      <c r="N1649" s="49" t="n">
        <v>0</v>
      </c>
      <c r="O1649" s="49" t="n">
        <v>0</v>
      </c>
      <c r="P1649" s="49" t="n">
        <v>0</v>
      </c>
      <c r="Q1649" s="49" t="n">
        <v>0</v>
      </c>
      <c r="R1649" s="49" t="n">
        <v>0</v>
      </c>
      <c r="S1649" s="50" t="n">
        <v>0</v>
      </c>
      <c r="T1649" s="50" t="n">
        <v>0</v>
      </c>
      <c r="U1649" s="50" t="n">
        <v>0</v>
      </c>
      <c r="V1649" s="50" t="n">
        <v>0</v>
      </c>
      <c r="W1649" s="51" t="n">
        <v>0</v>
      </c>
      <c r="X1649" s="51" t="n">
        <v>0</v>
      </c>
      <c r="Y1649" s="51" t="n">
        <v>0</v>
      </c>
      <c r="Z1649" s="51" t="n">
        <v>0</v>
      </c>
      <c r="AA1649" s="52" t="n">
        <v>0</v>
      </c>
      <c r="AB1649" s="52" t="n">
        <v>0</v>
      </c>
      <c r="AC1649" s="52" t="n">
        <v>0</v>
      </c>
      <c r="AD1649" s="52" t="n">
        <v>0</v>
      </c>
      <c r="AE1649" s="52" t="n">
        <v>0</v>
      </c>
      <c r="AF1649" s="52" t="n">
        <v>0</v>
      </c>
      <c r="AG1649" s="52" t="n">
        <v>0</v>
      </c>
      <c r="AH1649" s="52" t="n">
        <v>0</v>
      </c>
      <c r="AI1649" s="52" t="n">
        <v>0</v>
      </c>
      <c r="AJ1649" s="52" t="n">
        <v>0</v>
      </c>
      <c r="AK1649" s="52" t="n">
        <v>0</v>
      </c>
      <c r="AL1649" s="52" t="n">
        <v>0</v>
      </c>
      <c r="AM1649" s="53" t="n">
        <v>0</v>
      </c>
      <c r="AN1649" s="53" t="n">
        <v>0</v>
      </c>
      <c r="AO1649" s="53" t="n">
        <v>0</v>
      </c>
      <c r="AP1649" s="53" t="n">
        <v>0</v>
      </c>
      <c r="AQ1649" s="52" t="n">
        <v>0</v>
      </c>
      <c r="AR1649" s="52" t="n">
        <v>0</v>
      </c>
      <c r="AS1649" s="52" t="n">
        <v>0</v>
      </c>
      <c r="AT1649" s="52" t="n">
        <v>0</v>
      </c>
      <c r="AU1649" s="53" t="n">
        <v>0</v>
      </c>
      <c r="AV1649" s="53" t="n">
        <v>0</v>
      </c>
      <c r="AW1649" s="53" t="n">
        <v>0</v>
      </c>
      <c r="AX1649" s="53" t="n">
        <v>0</v>
      </c>
      <c r="AY1649" s="52" t="n">
        <v>0</v>
      </c>
      <c r="AZ1649" s="52" t="n">
        <v>0</v>
      </c>
      <c r="BA1649" s="52" t="n">
        <v>0</v>
      </c>
      <c r="BB1649" s="52" t="n">
        <v>0</v>
      </c>
      <c r="BC1649" s="51" t="n">
        <v>0</v>
      </c>
      <c r="BD1649" s="51" t="n">
        <v>0</v>
      </c>
      <c r="BE1649" s="51" t="n">
        <v>0</v>
      </c>
      <c r="BF1649" s="51" t="n">
        <v>0</v>
      </c>
    </row>
    <row r="1650">
      <c r="A1650">
        <f>HYPERLINK("https://www.walmart.com/ip/1171855060", "1171855060")</f>
        <v/>
      </c>
      <c r="B1650" t="inlineStr">
        <is>
          <t>Wrangler Men’s Leather Country Casual Every Day Dress Belt for Jeans, Khakis Black 38</t>
        </is>
      </c>
      <c r="C1650" t="inlineStr">
        <is>
          <t>WR-BELT-MENS-COUNTRY-BLACK-38</t>
        </is>
      </c>
      <c r="D1650" t="inlineStr">
        <is>
          <t>Belts</t>
        </is>
      </c>
      <c r="E1650" t="inlineStr">
        <is>
          <t>Wrangler</t>
        </is>
      </c>
      <c r="F1650" t="inlineStr">
        <is>
          <t>Belts</t>
        </is>
      </c>
      <c r="G1650" s="48" t="n">
        <v>0</v>
      </c>
      <c r="H1650" s="48" t="n">
        <v>19.99</v>
      </c>
      <c r="I1650" s="48" t="n">
        <v>59.97</v>
      </c>
      <c r="J1650" s="48" t="n">
        <v>19.99</v>
      </c>
      <c r="K1650" s="49" t="n">
        <v>0</v>
      </c>
      <c r="L1650" s="49" t="n">
        <v>1</v>
      </c>
      <c r="M1650" s="49" t="n">
        <v>3</v>
      </c>
      <c r="N1650" s="49" t="n">
        <v>1</v>
      </c>
      <c r="O1650" s="49" t="n">
        <v>10</v>
      </c>
      <c r="P1650" s="49" t="n">
        <v>10</v>
      </c>
      <c r="Q1650" s="49" t="n">
        <v>14</v>
      </c>
      <c r="R1650" s="49" t="n">
        <v>11</v>
      </c>
      <c r="S1650" s="50" t="n">
        <v>0</v>
      </c>
      <c r="T1650" s="50" t="n">
        <v>0.1</v>
      </c>
      <c r="U1650" s="50" t="n">
        <v>0.2142857142857143</v>
      </c>
      <c r="V1650" s="50" t="n">
        <v>0.09090909090909091</v>
      </c>
      <c r="W1650" s="51" t="n">
        <v>0</v>
      </c>
      <c r="X1650" s="51" t="n">
        <v>0</v>
      </c>
      <c r="Y1650" s="51" t="n">
        <v>0</v>
      </c>
      <c r="Z1650" s="51" t="n">
        <v>0</v>
      </c>
      <c r="AA1650" s="52" t="n">
        <v>0</v>
      </c>
      <c r="AB1650" s="52" t="n">
        <v>0</v>
      </c>
      <c r="AC1650" s="52" t="n">
        <v>0</v>
      </c>
      <c r="AD1650" s="52" t="n">
        <v>0</v>
      </c>
      <c r="AE1650" s="52" t="n">
        <v>0</v>
      </c>
      <c r="AF1650" s="52" t="n">
        <v>0</v>
      </c>
      <c r="AG1650" s="52" t="n">
        <v>0</v>
      </c>
      <c r="AH1650" s="52" t="n">
        <v>0</v>
      </c>
      <c r="AI1650" s="52" t="n">
        <v>0</v>
      </c>
      <c r="AJ1650" s="52" t="n">
        <v>0</v>
      </c>
      <c r="AK1650" s="52" t="n">
        <v>0</v>
      </c>
      <c r="AL1650" s="52" t="n">
        <v>0</v>
      </c>
      <c r="AM1650" s="53" t="n">
        <v>0</v>
      </c>
      <c r="AN1650" s="53" t="n">
        <v>0</v>
      </c>
      <c r="AO1650" s="53" t="n">
        <v>0</v>
      </c>
      <c r="AP1650" s="53" t="n">
        <v>0</v>
      </c>
      <c r="AQ1650" s="52" t="n">
        <v>0</v>
      </c>
      <c r="AR1650" s="52" t="n">
        <v>0</v>
      </c>
      <c r="AS1650" s="52" t="n">
        <v>0</v>
      </c>
      <c r="AT1650" s="52" t="n">
        <v>0</v>
      </c>
      <c r="AU1650" s="53" t="n">
        <v>0</v>
      </c>
      <c r="AV1650" s="53" t="n">
        <v>0</v>
      </c>
      <c r="AW1650" s="53" t="n">
        <v>0</v>
      </c>
      <c r="AX1650" s="53" t="n">
        <v>0</v>
      </c>
      <c r="AY1650" s="52" t="n">
        <v>0</v>
      </c>
      <c r="AZ1650" s="52" t="n">
        <v>19.99</v>
      </c>
      <c r="BA1650" s="52" t="n">
        <v>19.99</v>
      </c>
      <c r="BB1650" s="52" t="n">
        <v>19.99</v>
      </c>
      <c r="BC1650" s="51" t="n">
        <v>0</v>
      </c>
      <c r="BD1650" s="51" t="n">
        <v>0</v>
      </c>
      <c r="BE1650" s="51" t="n">
        <v>0</v>
      </c>
      <c r="BF1650" s="51" t="n">
        <v>0</v>
      </c>
    </row>
    <row r="1651">
      <c r="A1651">
        <f>HYPERLINK("https://www.walmart.com/ip/117539586", "117539586")</f>
        <v/>
      </c>
      <c r="B1651" t="inlineStr">
        <is>
          <t>Unisex Outdoor Sun Hat Protection Fishing Cap Boonie Hat with Neck Flap Wide Brim for Safari Camping Hiking Hunting Boating and Outdoor Adventures by Sun Blocker, Olive</t>
        </is>
      </c>
      <c r="C1651" t="inlineStr">
        <is>
          <t>KC-S9150-OLIVE-ZFH</t>
        </is>
      </c>
      <c r="D1651" t="inlineStr">
        <is>
          <t>Hats</t>
        </is>
      </c>
      <c r="E1651" t="inlineStr">
        <is>
          <t>Sun Blocker</t>
        </is>
      </c>
      <c r="F1651" t="inlineStr">
        <is>
          <t>Optimized</t>
        </is>
      </c>
      <c r="G1651" s="48" t="n">
        <v>0</v>
      </c>
      <c r="H1651" s="48" t="n">
        <v>0</v>
      </c>
      <c r="I1651" s="48" t="n">
        <v>0</v>
      </c>
      <c r="J1651" s="48" t="n">
        <v>0</v>
      </c>
      <c r="K1651" s="49" t="n">
        <v>0</v>
      </c>
      <c r="L1651" s="49" t="n">
        <v>0</v>
      </c>
      <c r="M1651" s="49" t="n">
        <v>0</v>
      </c>
      <c r="N1651" s="49" t="n">
        <v>0</v>
      </c>
      <c r="O1651" s="49" t="n">
        <v>0</v>
      </c>
      <c r="P1651" s="49" t="n">
        <v>0</v>
      </c>
      <c r="Q1651" s="49" t="n">
        <v>0</v>
      </c>
      <c r="R1651" s="49" t="n">
        <v>0</v>
      </c>
      <c r="S1651" s="50" t="n">
        <v>0</v>
      </c>
      <c r="T1651" s="50" t="n">
        <v>0</v>
      </c>
      <c r="U1651" s="50" t="n">
        <v>0</v>
      </c>
      <c r="V1651" s="50" t="n">
        <v>0</v>
      </c>
      <c r="W1651" s="51" t="n">
        <v>0</v>
      </c>
      <c r="X1651" s="51" t="n">
        <v>0</v>
      </c>
      <c r="Y1651" s="51" t="n">
        <v>0</v>
      </c>
      <c r="Z1651" s="51" t="n">
        <v>0</v>
      </c>
      <c r="AA1651" s="52" t="n">
        <v>0</v>
      </c>
      <c r="AB1651" s="52" t="n">
        <v>0</v>
      </c>
      <c r="AC1651" s="52" t="n">
        <v>0</v>
      </c>
      <c r="AD1651" s="52" t="n">
        <v>0</v>
      </c>
      <c r="AE1651" s="52" t="n">
        <v>0</v>
      </c>
      <c r="AF1651" s="52" t="n">
        <v>0</v>
      </c>
      <c r="AG1651" s="52" t="n">
        <v>0</v>
      </c>
      <c r="AH1651" s="52" t="n">
        <v>0</v>
      </c>
      <c r="AI1651" s="52" t="n">
        <v>0</v>
      </c>
      <c r="AJ1651" s="52" t="n">
        <v>0</v>
      </c>
      <c r="AK1651" s="52" t="n">
        <v>0</v>
      </c>
      <c r="AL1651" s="52" t="n">
        <v>0</v>
      </c>
      <c r="AM1651" s="53" t="n">
        <v>0</v>
      </c>
      <c r="AN1651" s="53" t="n">
        <v>0</v>
      </c>
      <c r="AO1651" s="53" t="n">
        <v>0</v>
      </c>
      <c r="AP1651" s="53" t="n">
        <v>0</v>
      </c>
      <c r="AQ1651" s="52" t="n">
        <v>0</v>
      </c>
      <c r="AR1651" s="52" t="n">
        <v>0</v>
      </c>
      <c r="AS1651" s="52" t="n">
        <v>0</v>
      </c>
      <c r="AT1651" s="52" t="n">
        <v>0</v>
      </c>
      <c r="AU1651" s="53" t="n">
        <v>0</v>
      </c>
      <c r="AV1651" s="53" t="n">
        <v>0</v>
      </c>
      <c r="AW1651" s="53" t="n">
        <v>0</v>
      </c>
      <c r="AX1651" s="53" t="n">
        <v>0</v>
      </c>
      <c r="AY1651" s="52" t="n">
        <v>0</v>
      </c>
      <c r="AZ1651" s="52" t="n">
        <v>0</v>
      </c>
      <c r="BA1651" s="52" t="n">
        <v>0</v>
      </c>
      <c r="BB1651" s="52" t="n">
        <v>0</v>
      </c>
      <c r="BC1651" s="51" t="n">
        <v>0</v>
      </c>
      <c r="BD1651" s="51" t="n">
        <v>0</v>
      </c>
      <c r="BE1651" s="51" t="n">
        <v>0</v>
      </c>
      <c r="BF1651" s="51" t="n">
        <v>0</v>
      </c>
    </row>
    <row r="1652">
      <c r="A1652">
        <f>HYPERLINK("https://www.walmart.com/ip/1179537793", "1179537793")</f>
        <v/>
      </c>
      <c r="B1652" t="inlineStr">
        <is>
          <t>Every Day is Christmas Glass Blown Ornaments Cute Hand Made Figurines Tree Decoration, Garbage Truck</t>
        </is>
      </c>
      <c r="C1652" t="inlineStr">
        <is>
          <t>EDC-FIGURINE-GARBAGETRUCK</t>
        </is>
      </c>
      <c r="D1652" t="inlineStr">
        <is>
          <t>Ornaments</t>
        </is>
      </c>
      <c r="E1652" t="inlineStr">
        <is>
          <t>Every Day is Christmas</t>
        </is>
      </c>
      <c r="G1652" s="48" t="n">
        <v>0</v>
      </c>
      <c r="H1652" s="48" t="n">
        <v>0</v>
      </c>
      <c r="I1652" s="48" t="n">
        <v>0</v>
      </c>
      <c r="J1652" s="48" t="n">
        <v>0</v>
      </c>
      <c r="K1652" s="49" t="n">
        <v>0</v>
      </c>
      <c r="L1652" s="49" t="n">
        <v>0</v>
      </c>
      <c r="M1652" s="49" t="n">
        <v>0</v>
      </c>
      <c r="N1652" s="49" t="n">
        <v>0</v>
      </c>
      <c r="O1652" s="49" t="n">
        <v>0</v>
      </c>
      <c r="P1652" s="49" t="n">
        <v>0</v>
      </c>
      <c r="Q1652" s="49" t="n">
        <v>0</v>
      </c>
      <c r="R1652" s="49" t="n">
        <v>0</v>
      </c>
      <c r="S1652" s="50" t="n">
        <v>0</v>
      </c>
      <c r="T1652" s="50" t="n">
        <v>0</v>
      </c>
      <c r="U1652" s="50" t="n">
        <v>0</v>
      </c>
      <c r="V1652" s="50" t="n">
        <v>0</v>
      </c>
      <c r="W1652" s="51" t="n">
        <v>0</v>
      </c>
      <c r="X1652" s="51" t="n">
        <v>0</v>
      </c>
      <c r="Y1652" s="51" t="n">
        <v>0</v>
      </c>
      <c r="Z1652" s="51" t="n">
        <v>0</v>
      </c>
      <c r="AA1652" s="52" t="n">
        <v>0</v>
      </c>
      <c r="AB1652" s="52" t="n">
        <v>0</v>
      </c>
      <c r="AC1652" s="52" t="n">
        <v>0</v>
      </c>
      <c r="AD1652" s="52" t="n">
        <v>0</v>
      </c>
      <c r="AE1652" s="52" t="n">
        <v>0</v>
      </c>
      <c r="AF1652" s="52" t="n">
        <v>0</v>
      </c>
      <c r="AG1652" s="52" t="n">
        <v>0</v>
      </c>
      <c r="AH1652" s="52" t="n">
        <v>0</v>
      </c>
      <c r="AI1652" s="52" t="n">
        <v>0</v>
      </c>
      <c r="AJ1652" s="52" t="n">
        <v>0</v>
      </c>
      <c r="AK1652" s="52" t="n">
        <v>0</v>
      </c>
      <c r="AL1652" s="52" t="n">
        <v>0</v>
      </c>
      <c r="AM1652" s="53" t="n">
        <v>0</v>
      </c>
      <c r="AN1652" s="53" t="n">
        <v>0</v>
      </c>
      <c r="AO1652" s="53" t="n">
        <v>0</v>
      </c>
      <c r="AP1652" s="53" t="n">
        <v>0</v>
      </c>
      <c r="AQ1652" s="52" t="n">
        <v>0</v>
      </c>
      <c r="AR1652" s="52" t="n">
        <v>0</v>
      </c>
      <c r="AS1652" s="52" t="n">
        <v>0</v>
      </c>
      <c r="AT1652" s="52" t="n">
        <v>0</v>
      </c>
      <c r="AU1652" s="53" t="n">
        <v>0</v>
      </c>
      <c r="AV1652" s="53" t="n">
        <v>0</v>
      </c>
      <c r="AW1652" s="53" t="n">
        <v>0</v>
      </c>
      <c r="AX1652" s="53" t="n">
        <v>0</v>
      </c>
      <c r="AY1652" s="52" t="n">
        <v>0</v>
      </c>
      <c r="AZ1652" s="52" t="n">
        <v>0</v>
      </c>
      <c r="BA1652" s="52" t="n">
        <v>0</v>
      </c>
      <c r="BB1652" s="52" t="n">
        <v>0</v>
      </c>
      <c r="BC1652" s="51" t="n">
        <v>0</v>
      </c>
      <c r="BD1652" s="51" t="n">
        <v>0</v>
      </c>
      <c r="BE1652" s="51" t="n">
        <v>0</v>
      </c>
      <c r="BF1652" s="51" t="n">
        <v>0</v>
      </c>
    </row>
    <row r="1653">
      <c r="A1653">
        <f>HYPERLINK("https://www.walmart.com/ip/118001985", "118001985")</f>
        <v/>
      </c>
      <c r="B1653" t="inlineStr">
        <is>
          <t>Tirrinia Women Tankini Swimsuit Flyaway Swimdress Top Two Pieces Bathing Suits Set, Black, X Large</t>
        </is>
      </c>
      <c r="C1653" t="inlineStr">
        <is>
          <t>1TRSS006BKBK-XL</t>
        </is>
      </c>
      <c r="D1653" t="inlineStr">
        <is>
          <t>Swimsuit Sets</t>
        </is>
      </c>
      <c r="E1653" t="inlineStr">
        <is>
          <t>Tirrinia</t>
        </is>
      </c>
      <c r="F1653" t="inlineStr">
        <is>
          <t>Batch 1 - TR</t>
        </is>
      </c>
      <c r="G1653" s="48" t="n">
        <v>0</v>
      </c>
      <c r="H1653" s="48" t="n">
        <v>0</v>
      </c>
      <c r="I1653" s="48" t="n">
        <v>0</v>
      </c>
      <c r="J1653" s="48" t="n">
        <v>0</v>
      </c>
      <c r="K1653" s="49" t="n">
        <v>0</v>
      </c>
      <c r="L1653" s="49" t="n">
        <v>0</v>
      </c>
      <c r="M1653" s="49" t="n">
        <v>0</v>
      </c>
      <c r="N1653" s="49" t="n">
        <v>0</v>
      </c>
      <c r="O1653" s="49" t="n">
        <v>0</v>
      </c>
      <c r="P1653" s="49" t="n">
        <v>0</v>
      </c>
      <c r="Q1653" s="49" t="n">
        <v>0</v>
      </c>
      <c r="R1653" s="49" t="n">
        <v>0</v>
      </c>
      <c r="S1653" s="50" t="n">
        <v>0</v>
      </c>
      <c r="T1653" s="50" t="n">
        <v>0</v>
      </c>
      <c r="U1653" s="50" t="n">
        <v>0</v>
      </c>
      <c r="V1653" s="50" t="n">
        <v>0</v>
      </c>
      <c r="W1653" s="51" t="n">
        <v>0</v>
      </c>
      <c r="X1653" s="51" t="n">
        <v>0</v>
      </c>
      <c r="Y1653" s="51" t="n">
        <v>0</v>
      </c>
      <c r="Z1653" s="51" t="n">
        <v>0</v>
      </c>
      <c r="AA1653" s="52" t="n">
        <v>0</v>
      </c>
      <c r="AB1653" s="52" t="n">
        <v>0</v>
      </c>
      <c r="AC1653" s="52" t="n">
        <v>0</v>
      </c>
      <c r="AD1653" s="52" t="n">
        <v>0</v>
      </c>
      <c r="AE1653" s="52" t="n">
        <v>0</v>
      </c>
      <c r="AF1653" s="52" t="n">
        <v>0</v>
      </c>
      <c r="AG1653" s="52" t="n">
        <v>0</v>
      </c>
      <c r="AH1653" s="52" t="n">
        <v>0</v>
      </c>
      <c r="AI1653" s="52" t="n">
        <v>0</v>
      </c>
      <c r="AJ1653" s="52" t="n">
        <v>0</v>
      </c>
      <c r="AK1653" s="52" t="n">
        <v>0</v>
      </c>
      <c r="AL1653" s="52" t="n">
        <v>0</v>
      </c>
      <c r="AM1653" s="53" t="n">
        <v>0</v>
      </c>
      <c r="AN1653" s="53" t="n">
        <v>0</v>
      </c>
      <c r="AO1653" s="53" t="n">
        <v>0</v>
      </c>
      <c r="AP1653" s="53" t="n">
        <v>0</v>
      </c>
      <c r="AQ1653" s="52" t="n">
        <v>0</v>
      </c>
      <c r="AR1653" s="52" t="n">
        <v>0</v>
      </c>
      <c r="AS1653" s="52" t="n">
        <v>0</v>
      </c>
      <c r="AT1653" s="52" t="n">
        <v>0</v>
      </c>
      <c r="AU1653" s="53" t="n">
        <v>0</v>
      </c>
      <c r="AV1653" s="53" t="n">
        <v>0</v>
      </c>
      <c r="AW1653" s="53" t="n">
        <v>0</v>
      </c>
      <c r="AX1653" s="53" t="n">
        <v>0</v>
      </c>
      <c r="AY1653" s="52" t="n">
        <v>0</v>
      </c>
      <c r="AZ1653" s="52" t="n">
        <v>0</v>
      </c>
      <c r="BA1653" s="52" t="n">
        <v>0</v>
      </c>
      <c r="BB1653" s="52" t="n">
        <v>0</v>
      </c>
      <c r="BC1653" s="51" t="n">
        <v>0</v>
      </c>
      <c r="BD1653" s="51" t="n">
        <v>0</v>
      </c>
      <c r="BE1653" s="51" t="n">
        <v>0</v>
      </c>
      <c r="BF1653" s="51" t="n">
        <v>0</v>
      </c>
    </row>
    <row r="1654">
      <c r="A1654">
        <f>HYPERLINK("https://www.walmart.com/ip/1183180689", "1183180689")</f>
        <v/>
      </c>
      <c r="B1654" t="inlineStr">
        <is>
          <t>Every Day is Christmas Glass Blown Ornaments Cute Hand Made Figurines Tree Decoration, Set of 2 Forklift</t>
        </is>
      </c>
      <c r="C1654" t="inlineStr">
        <is>
          <t>EDC-FIGURINE-FORKLIFT</t>
        </is>
      </c>
      <c r="D1654" t="inlineStr">
        <is>
          <t>Ornaments</t>
        </is>
      </c>
      <c r="E1654" t="inlineStr">
        <is>
          <t>Every Day is Christmas</t>
        </is>
      </c>
      <c r="G1654" s="48" t="n">
        <v>0</v>
      </c>
      <c r="H1654" s="48" t="n">
        <v>0</v>
      </c>
      <c r="I1654" s="48" t="n">
        <v>0</v>
      </c>
      <c r="J1654" s="48" t="n">
        <v>0</v>
      </c>
      <c r="K1654" s="49" t="n">
        <v>0</v>
      </c>
      <c r="L1654" s="49" t="n">
        <v>0</v>
      </c>
      <c r="M1654" s="49" t="n">
        <v>0</v>
      </c>
      <c r="N1654" s="49" t="n">
        <v>0</v>
      </c>
      <c r="O1654" s="49" t="n">
        <v>0</v>
      </c>
      <c r="P1654" s="49" t="n">
        <v>0</v>
      </c>
      <c r="Q1654" s="49" t="n">
        <v>0</v>
      </c>
      <c r="R1654" s="49" t="n">
        <v>0</v>
      </c>
      <c r="S1654" s="50" t="n">
        <v>0</v>
      </c>
      <c r="T1654" s="50" t="n">
        <v>0</v>
      </c>
      <c r="U1654" s="50" t="n">
        <v>0</v>
      </c>
      <c r="V1654" s="50" t="n">
        <v>0</v>
      </c>
      <c r="W1654" s="51" t="n">
        <v>0</v>
      </c>
      <c r="X1654" s="51" t="n">
        <v>0</v>
      </c>
      <c r="Y1654" s="51" t="n">
        <v>0</v>
      </c>
      <c r="Z1654" s="51" t="n">
        <v>0</v>
      </c>
      <c r="AA1654" s="52" t="n">
        <v>0</v>
      </c>
      <c r="AB1654" s="52" t="n">
        <v>0</v>
      </c>
      <c r="AC1654" s="52" t="n">
        <v>0</v>
      </c>
      <c r="AD1654" s="52" t="n">
        <v>0</v>
      </c>
      <c r="AE1654" s="52" t="n">
        <v>0</v>
      </c>
      <c r="AF1654" s="52" t="n">
        <v>0</v>
      </c>
      <c r="AG1654" s="52" t="n">
        <v>0</v>
      </c>
      <c r="AH1654" s="52" t="n">
        <v>0</v>
      </c>
      <c r="AI1654" s="52" t="n">
        <v>0</v>
      </c>
      <c r="AJ1654" s="52" t="n">
        <v>0</v>
      </c>
      <c r="AK1654" s="52" t="n">
        <v>0</v>
      </c>
      <c r="AL1654" s="52" t="n">
        <v>0</v>
      </c>
      <c r="AM1654" s="53" t="n">
        <v>0</v>
      </c>
      <c r="AN1654" s="53" t="n">
        <v>0</v>
      </c>
      <c r="AO1654" s="53" t="n">
        <v>0</v>
      </c>
      <c r="AP1654" s="53" t="n">
        <v>0</v>
      </c>
      <c r="AQ1654" s="52" t="n">
        <v>0</v>
      </c>
      <c r="AR1654" s="52" t="n">
        <v>0</v>
      </c>
      <c r="AS1654" s="52" t="n">
        <v>0</v>
      </c>
      <c r="AT1654" s="52" t="n">
        <v>0</v>
      </c>
      <c r="AU1654" s="53" t="n">
        <v>0</v>
      </c>
      <c r="AV1654" s="53" t="n">
        <v>0</v>
      </c>
      <c r="AW1654" s="53" t="n">
        <v>0</v>
      </c>
      <c r="AX1654" s="53" t="n">
        <v>0</v>
      </c>
      <c r="AY1654" s="52" t="n">
        <v>0</v>
      </c>
      <c r="AZ1654" s="52" t="n">
        <v>0</v>
      </c>
      <c r="BA1654" s="52" t="n">
        <v>0</v>
      </c>
      <c r="BB1654" s="52" t="n">
        <v>0</v>
      </c>
      <c r="BC1654" s="51" t="n">
        <v>0</v>
      </c>
      <c r="BD1654" s="51" t="n">
        <v>0</v>
      </c>
      <c r="BE1654" s="51" t="n">
        <v>0</v>
      </c>
      <c r="BF1654" s="51" t="n">
        <v>0</v>
      </c>
    </row>
    <row r="1655">
      <c r="A1655">
        <f>HYPERLINK("https://www.walmart.com/ip/118436957", "118436957")</f>
        <v/>
      </c>
      <c r="B1655" t="inlineStr">
        <is>
          <t>KC Caps Unisex Khaki Sports Baseball Flat Top Cap, Outdoor Travel Washed Canvas Hat, Casual Military Style</t>
        </is>
      </c>
      <c r="C1655" t="inlineStr">
        <is>
          <t>KC Caps 8320 Khaki</t>
        </is>
      </c>
      <c r="D1655" t="inlineStr">
        <is>
          <t>Hats</t>
        </is>
      </c>
      <c r="E1655" t="inlineStr">
        <is>
          <t>KC Caps</t>
        </is>
      </c>
      <c r="F1655" t="inlineStr">
        <is>
          <t>Batch 1 - TR</t>
        </is>
      </c>
      <c r="G1655" s="48" t="n">
        <v>0</v>
      </c>
      <c r="H1655" s="48" t="n">
        <v>0</v>
      </c>
      <c r="I1655" s="48" t="n">
        <v>0</v>
      </c>
      <c r="J1655" s="48" t="n">
        <v>0</v>
      </c>
      <c r="K1655" s="49" t="n">
        <v>0</v>
      </c>
      <c r="L1655" s="49" t="n">
        <v>0</v>
      </c>
      <c r="M1655" s="49" t="n">
        <v>0</v>
      </c>
      <c r="N1655" s="49" t="n">
        <v>0</v>
      </c>
      <c r="O1655" s="49" t="n">
        <v>0</v>
      </c>
      <c r="P1655" s="49" t="n">
        <v>0</v>
      </c>
      <c r="Q1655" s="49" t="n">
        <v>0</v>
      </c>
      <c r="R1655" s="49" t="n">
        <v>0</v>
      </c>
      <c r="S1655" s="50" t="n">
        <v>0</v>
      </c>
      <c r="T1655" s="50" t="n">
        <v>0</v>
      </c>
      <c r="U1655" s="50" t="n">
        <v>0</v>
      </c>
      <c r="V1655" s="50" t="n">
        <v>0</v>
      </c>
      <c r="W1655" s="51" t="n">
        <v>0</v>
      </c>
      <c r="X1655" s="51" t="n">
        <v>0</v>
      </c>
      <c r="Y1655" s="51" t="n">
        <v>0</v>
      </c>
      <c r="Z1655" s="51" t="n">
        <v>0</v>
      </c>
      <c r="AA1655" s="52" t="n">
        <v>0</v>
      </c>
      <c r="AB1655" s="52" t="n">
        <v>0</v>
      </c>
      <c r="AC1655" s="52" t="n">
        <v>0</v>
      </c>
      <c r="AD1655" s="52" t="n">
        <v>0</v>
      </c>
      <c r="AE1655" s="52" t="n">
        <v>0</v>
      </c>
      <c r="AF1655" s="52" t="n">
        <v>0</v>
      </c>
      <c r="AG1655" s="52" t="n">
        <v>0</v>
      </c>
      <c r="AH1655" s="52" t="n">
        <v>0</v>
      </c>
      <c r="AI1655" s="52" t="n">
        <v>0</v>
      </c>
      <c r="AJ1655" s="52" t="n">
        <v>0</v>
      </c>
      <c r="AK1655" s="52" t="n">
        <v>0</v>
      </c>
      <c r="AL1655" s="52" t="n">
        <v>0</v>
      </c>
      <c r="AM1655" s="53" t="n">
        <v>0</v>
      </c>
      <c r="AN1655" s="53" t="n">
        <v>0</v>
      </c>
      <c r="AO1655" s="53" t="n">
        <v>0</v>
      </c>
      <c r="AP1655" s="53" t="n">
        <v>0</v>
      </c>
      <c r="AQ1655" s="52" t="n">
        <v>0</v>
      </c>
      <c r="AR1655" s="52" t="n">
        <v>0</v>
      </c>
      <c r="AS1655" s="52" t="n">
        <v>0</v>
      </c>
      <c r="AT1655" s="52" t="n">
        <v>0</v>
      </c>
      <c r="AU1655" s="53" t="n">
        <v>0</v>
      </c>
      <c r="AV1655" s="53" t="n">
        <v>0</v>
      </c>
      <c r="AW1655" s="53" t="n">
        <v>0</v>
      </c>
      <c r="AX1655" s="53" t="n">
        <v>0</v>
      </c>
      <c r="AY1655" s="52" t="n">
        <v>0</v>
      </c>
      <c r="AZ1655" s="52" t="n">
        <v>0</v>
      </c>
      <c r="BA1655" s="52" t="n">
        <v>0</v>
      </c>
      <c r="BB1655" s="52" t="n">
        <v>0</v>
      </c>
      <c r="BC1655" s="51" t="n">
        <v>0</v>
      </c>
      <c r="BD1655" s="51" t="n">
        <v>0</v>
      </c>
      <c r="BE1655" s="51" t="n">
        <v>0</v>
      </c>
      <c r="BF1655" s="51" t="n">
        <v>0</v>
      </c>
    </row>
    <row r="1656">
      <c r="A1656">
        <f>HYPERLINK("https://www.walmart.com/ip/118475298", "118475298")</f>
        <v/>
      </c>
      <c r="B1656" t="inlineStr">
        <is>
          <t>JenniWears® Women's Plus Size Sexy Lingeri Darque Babydoll And G-string</t>
        </is>
      </c>
      <c r="C1656" t="inlineStr">
        <is>
          <t>JWBD07BK-XL</t>
        </is>
      </c>
      <c r="D1656" t="inlineStr">
        <is>
          <t>Lingerie Sets</t>
        </is>
      </c>
      <c r="E1656" t="inlineStr">
        <is>
          <t>JenniWears</t>
        </is>
      </c>
      <c r="F1656" t="inlineStr">
        <is>
          <t>Optimized,WFS,Valentine,WFS Item</t>
        </is>
      </c>
      <c r="G1656" s="48" t="n">
        <v>0</v>
      </c>
      <c r="H1656" s="48" t="n">
        <v>0</v>
      </c>
      <c r="I1656" s="48" t="n">
        <v>0</v>
      </c>
      <c r="J1656" s="48" t="n">
        <v>0</v>
      </c>
      <c r="K1656" s="49" t="n">
        <v>0</v>
      </c>
      <c r="L1656" s="49" t="n">
        <v>0</v>
      </c>
      <c r="M1656" s="49" t="n">
        <v>0</v>
      </c>
      <c r="N1656" s="49" t="n">
        <v>0</v>
      </c>
      <c r="O1656" s="49" t="n">
        <v>0</v>
      </c>
      <c r="P1656" s="49" t="n">
        <v>0</v>
      </c>
      <c r="Q1656" s="49" t="n">
        <v>0</v>
      </c>
      <c r="R1656" s="49" t="n">
        <v>0</v>
      </c>
      <c r="S1656" s="50" t="n">
        <v>0</v>
      </c>
      <c r="T1656" s="50" t="n">
        <v>0</v>
      </c>
      <c r="U1656" s="50" t="n">
        <v>0</v>
      </c>
      <c r="V1656" s="50" t="n">
        <v>0</v>
      </c>
      <c r="W1656" s="51" t="n">
        <v>0</v>
      </c>
      <c r="X1656" s="51" t="n">
        <v>0</v>
      </c>
      <c r="Y1656" s="51" t="n">
        <v>0</v>
      </c>
      <c r="Z1656" s="51" t="n">
        <v>0</v>
      </c>
      <c r="AA1656" s="52" t="n">
        <v>0</v>
      </c>
      <c r="AB1656" s="52" t="n">
        <v>0</v>
      </c>
      <c r="AC1656" s="52" t="n">
        <v>0</v>
      </c>
      <c r="AD1656" s="52" t="n">
        <v>0</v>
      </c>
      <c r="AE1656" s="52" t="n">
        <v>0</v>
      </c>
      <c r="AF1656" s="52" t="n">
        <v>0</v>
      </c>
      <c r="AG1656" s="52" t="n">
        <v>0</v>
      </c>
      <c r="AH1656" s="52" t="n">
        <v>0</v>
      </c>
      <c r="AI1656" s="52" t="n">
        <v>0</v>
      </c>
      <c r="AJ1656" s="52" t="n">
        <v>0</v>
      </c>
      <c r="AK1656" s="52" t="n">
        <v>0</v>
      </c>
      <c r="AL1656" s="52" t="n">
        <v>0</v>
      </c>
      <c r="AM1656" s="53" t="n">
        <v>0</v>
      </c>
      <c r="AN1656" s="53" t="n">
        <v>0</v>
      </c>
      <c r="AO1656" s="53" t="n">
        <v>0</v>
      </c>
      <c r="AP1656" s="53" t="n">
        <v>0</v>
      </c>
      <c r="AQ1656" s="52" t="n">
        <v>0</v>
      </c>
      <c r="AR1656" s="52" t="n">
        <v>0</v>
      </c>
      <c r="AS1656" s="52" t="n">
        <v>0</v>
      </c>
      <c r="AT1656" s="52" t="n">
        <v>0</v>
      </c>
      <c r="AU1656" s="53" t="n">
        <v>0</v>
      </c>
      <c r="AV1656" s="53" t="n">
        <v>0</v>
      </c>
      <c r="AW1656" s="53" t="n">
        <v>0</v>
      </c>
      <c r="AX1656" s="53" t="n">
        <v>0</v>
      </c>
      <c r="AY1656" s="52" t="n">
        <v>0</v>
      </c>
      <c r="AZ1656" s="52" t="n">
        <v>0</v>
      </c>
      <c r="BA1656" s="52" t="n">
        <v>0</v>
      </c>
      <c r="BB1656" s="52" t="n">
        <v>0</v>
      </c>
      <c r="BC1656" s="51" t="n">
        <v>0</v>
      </c>
      <c r="BD1656" s="51" t="n">
        <v>0</v>
      </c>
      <c r="BE1656" s="51" t="n">
        <v>0</v>
      </c>
      <c r="BF1656" s="51" t="n">
        <v>0</v>
      </c>
    </row>
    <row r="1657">
      <c r="A1657">
        <f>HYPERLINK("https://www.walmart.com/ip/118796796", "118796796")</f>
        <v/>
      </c>
      <c r="B1657" t="inlineStr">
        <is>
          <t>Catalonia Queen Size Sherpa Comforter Set,  Ultra-soft Reversible Fluffy Micromink Bedding Set-3 Pieces, 1 Comforter and 2 Pillow Shams, 88x90 inches</t>
        </is>
      </c>
      <c r="C1657" t="inlineStr">
        <is>
          <t>1CTBQ300QF-BL</t>
        </is>
      </c>
      <c r="D1657" t="inlineStr">
        <is>
          <t>Bedding Sets</t>
        </is>
      </c>
      <c r="E1657" t="inlineStr">
        <is>
          <t>Catalonia</t>
        </is>
      </c>
      <c r="F1657" t="inlineStr">
        <is>
          <t>WFS,WFS Item</t>
        </is>
      </c>
      <c r="G1657" s="48" t="n">
        <v>0</v>
      </c>
      <c r="H1657" s="48" t="n">
        <v>0</v>
      </c>
      <c r="I1657" s="48" t="n">
        <v>0</v>
      </c>
      <c r="J1657" s="48" t="n">
        <v>0</v>
      </c>
      <c r="K1657" s="49" t="n">
        <v>0</v>
      </c>
      <c r="L1657" s="49" t="n">
        <v>0</v>
      </c>
      <c r="M1657" s="49" t="n">
        <v>0</v>
      </c>
      <c r="N1657" s="49" t="n">
        <v>0</v>
      </c>
      <c r="O1657" s="49" t="n">
        <v>0</v>
      </c>
      <c r="P1657" s="49" t="n">
        <v>0</v>
      </c>
      <c r="Q1657" s="49" t="n">
        <v>0</v>
      </c>
      <c r="R1657" s="49" t="n">
        <v>0</v>
      </c>
      <c r="S1657" s="50" t="n">
        <v>0</v>
      </c>
      <c r="T1657" s="50" t="n">
        <v>0</v>
      </c>
      <c r="U1657" s="50" t="n">
        <v>0</v>
      </c>
      <c r="V1657" s="50" t="n">
        <v>0</v>
      </c>
      <c r="W1657" s="51" t="n">
        <v>0</v>
      </c>
      <c r="X1657" s="51" t="n">
        <v>0</v>
      </c>
      <c r="Y1657" s="51" t="n">
        <v>0</v>
      </c>
      <c r="Z1657" s="51" t="n">
        <v>0</v>
      </c>
      <c r="AA1657" s="52" t="n">
        <v>0</v>
      </c>
      <c r="AB1657" s="52" t="n">
        <v>0</v>
      </c>
      <c r="AC1657" s="52" t="n">
        <v>0</v>
      </c>
      <c r="AD1657" s="52" t="n">
        <v>0</v>
      </c>
      <c r="AE1657" s="52" t="n">
        <v>0</v>
      </c>
      <c r="AF1657" s="52" t="n">
        <v>0</v>
      </c>
      <c r="AG1657" s="52" t="n">
        <v>0</v>
      </c>
      <c r="AH1657" s="52" t="n">
        <v>0</v>
      </c>
      <c r="AI1657" s="52" t="n">
        <v>0</v>
      </c>
      <c r="AJ1657" s="52" t="n">
        <v>0</v>
      </c>
      <c r="AK1657" s="52" t="n">
        <v>0</v>
      </c>
      <c r="AL1657" s="52" t="n">
        <v>0</v>
      </c>
      <c r="AM1657" s="53" t="n">
        <v>0</v>
      </c>
      <c r="AN1657" s="53" t="n">
        <v>0</v>
      </c>
      <c r="AO1657" s="53" t="n">
        <v>0</v>
      </c>
      <c r="AP1657" s="53" t="n">
        <v>0</v>
      </c>
      <c r="AQ1657" s="52" t="n">
        <v>0</v>
      </c>
      <c r="AR1657" s="52" t="n">
        <v>0</v>
      </c>
      <c r="AS1657" s="52" t="n">
        <v>0</v>
      </c>
      <c r="AT1657" s="52" t="n">
        <v>0</v>
      </c>
      <c r="AU1657" s="53" t="n">
        <v>0</v>
      </c>
      <c r="AV1657" s="53" t="n">
        <v>0</v>
      </c>
      <c r="AW1657" s="53" t="n">
        <v>0</v>
      </c>
      <c r="AX1657" s="53" t="n">
        <v>0</v>
      </c>
      <c r="AY1657" s="52" t="n">
        <v>0</v>
      </c>
      <c r="AZ1657" s="52" t="n">
        <v>0</v>
      </c>
      <c r="BA1657" s="52" t="n">
        <v>0</v>
      </c>
      <c r="BB1657" s="52" t="n">
        <v>0</v>
      </c>
      <c r="BC1657" s="51" t="n">
        <v>0</v>
      </c>
      <c r="BD1657" s="51" t="n">
        <v>0</v>
      </c>
      <c r="BE1657" s="51" t="n">
        <v>0</v>
      </c>
      <c r="BF1657" s="51" t="n">
        <v>0</v>
      </c>
    </row>
    <row r="1658">
      <c r="A1658">
        <f>HYPERLINK("https://www.walmart.com/ip/1188666950", "1188666950")</f>
        <v/>
      </c>
      <c r="B1658" t="inlineStr">
        <is>
          <t>Every Day is Christmas Glass Blown Ornaments Cute Hand Made Figurines Tree Decoration, Banana Split</t>
        </is>
      </c>
      <c r="C1658" t="inlineStr">
        <is>
          <t>EDC-FIGURINE-BANANASPLIT</t>
        </is>
      </c>
      <c r="D1658" t="inlineStr">
        <is>
          <t>Ornaments</t>
        </is>
      </c>
      <c r="E1658" t="inlineStr">
        <is>
          <t>Every Day is Christmas</t>
        </is>
      </c>
      <c r="G1658" s="48" t="n">
        <v>0</v>
      </c>
      <c r="H1658" s="48" t="n">
        <v>0</v>
      </c>
      <c r="I1658" s="48" t="n">
        <v>0</v>
      </c>
      <c r="J1658" s="48" t="n">
        <v>0</v>
      </c>
      <c r="K1658" s="49" t="n">
        <v>0</v>
      </c>
      <c r="L1658" s="49" t="n">
        <v>0</v>
      </c>
      <c r="M1658" s="49" t="n">
        <v>0</v>
      </c>
      <c r="N1658" s="49" t="n">
        <v>0</v>
      </c>
      <c r="O1658" s="49" t="n">
        <v>0</v>
      </c>
      <c r="P1658" s="49" t="n">
        <v>0</v>
      </c>
      <c r="Q1658" s="49" t="n">
        <v>0</v>
      </c>
      <c r="R1658" s="49" t="n">
        <v>0</v>
      </c>
      <c r="S1658" s="50" t="n">
        <v>0</v>
      </c>
      <c r="T1658" s="50" t="n">
        <v>0</v>
      </c>
      <c r="U1658" s="50" t="n">
        <v>0</v>
      </c>
      <c r="V1658" s="50" t="n">
        <v>0</v>
      </c>
      <c r="W1658" s="51" t="n">
        <v>0</v>
      </c>
      <c r="X1658" s="51" t="n">
        <v>0</v>
      </c>
      <c r="Y1658" s="51" t="n">
        <v>0</v>
      </c>
      <c r="Z1658" s="51" t="n">
        <v>0</v>
      </c>
      <c r="AA1658" s="52" t="n">
        <v>0</v>
      </c>
      <c r="AB1658" s="52" t="n">
        <v>0</v>
      </c>
      <c r="AC1658" s="52" t="n">
        <v>0</v>
      </c>
      <c r="AD1658" s="52" t="n">
        <v>0</v>
      </c>
      <c r="AE1658" s="52" t="n">
        <v>0</v>
      </c>
      <c r="AF1658" s="52" t="n">
        <v>0</v>
      </c>
      <c r="AG1658" s="52" t="n">
        <v>0</v>
      </c>
      <c r="AH1658" s="52" t="n">
        <v>0</v>
      </c>
      <c r="AI1658" s="52" t="n">
        <v>0</v>
      </c>
      <c r="AJ1658" s="52" t="n">
        <v>0</v>
      </c>
      <c r="AK1658" s="52" t="n">
        <v>0</v>
      </c>
      <c r="AL1658" s="52" t="n">
        <v>0</v>
      </c>
      <c r="AM1658" s="53" t="n">
        <v>0</v>
      </c>
      <c r="AN1658" s="53" t="n">
        <v>0</v>
      </c>
      <c r="AO1658" s="53" t="n">
        <v>0</v>
      </c>
      <c r="AP1658" s="53" t="n">
        <v>0</v>
      </c>
      <c r="AQ1658" s="52" t="n">
        <v>0</v>
      </c>
      <c r="AR1658" s="52" t="n">
        <v>0</v>
      </c>
      <c r="AS1658" s="52" t="n">
        <v>0</v>
      </c>
      <c r="AT1658" s="52" t="n">
        <v>0</v>
      </c>
      <c r="AU1658" s="53" t="n">
        <v>0</v>
      </c>
      <c r="AV1658" s="53" t="n">
        <v>0</v>
      </c>
      <c r="AW1658" s="53" t="n">
        <v>0</v>
      </c>
      <c r="AX1658" s="53" t="n">
        <v>0</v>
      </c>
      <c r="AY1658" s="52" t="n">
        <v>0</v>
      </c>
      <c r="AZ1658" s="52" t="n">
        <v>0</v>
      </c>
      <c r="BA1658" s="52" t="n">
        <v>0</v>
      </c>
      <c r="BB1658" s="52" t="n">
        <v>0</v>
      </c>
      <c r="BC1658" s="51" t="n">
        <v>0</v>
      </c>
      <c r="BD1658" s="51" t="n">
        <v>0</v>
      </c>
      <c r="BE1658" s="51" t="n">
        <v>0</v>
      </c>
      <c r="BF1658" s="51" t="n">
        <v>0</v>
      </c>
    </row>
    <row r="1659">
      <c r="A1659">
        <f>HYPERLINK("https://www.walmart.com/ip/119396476", "119396476")</f>
        <v/>
      </c>
      <c r="B1659" t="inlineStr">
        <is>
          <t>KC Caps Army Style Surplus Beanie Cap</t>
        </is>
      </c>
      <c r="C1659" t="inlineStr">
        <is>
          <t>KCW1721OLI</t>
        </is>
      </c>
      <c r="D1659" t="inlineStr">
        <is>
          <t>Hats</t>
        </is>
      </c>
      <c r="E1659" t="inlineStr">
        <is>
          <t>KC Caps</t>
        </is>
      </c>
      <c r="F1659" t="inlineStr">
        <is>
          <t>Batch 1 - TR</t>
        </is>
      </c>
      <c r="G1659" s="48" t="n">
        <v>0</v>
      </c>
      <c r="H1659" s="48" t="n">
        <v>0</v>
      </c>
      <c r="I1659" s="48" t="n">
        <v>0</v>
      </c>
      <c r="J1659" s="48" t="n">
        <v>0</v>
      </c>
      <c r="K1659" s="49" t="n">
        <v>0</v>
      </c>
      <c r="L1659" s="49" t="n">
        <v>0</v>
      </c>
      <c r="M1659" s="49" t="n">
        <v>0</v>
      </c>
      <c r="N1659" s="49" t="n">
        <v>0</v>
      </c>
      <c r="O1659" s="49" t="n">
        <v>0</v>
      </c>
      <c r="P1659" s="49" t="n">
        <v>0</v>
      </c>
      <c r="Q1659" s="49" t="n">
        <v>0</v>
      </c>
      <c r="R1659" s="49" t="n">
        <v>0</v>
      </c>
      <c r="S1659" s="50" t="n">
        <v>0</v>
      </c>
      <c r="T1659" s="50" t="n">
        <v>0</v>
      </c>
      <c r="U1659" s="50" t="n">
        <v>0</v>
      </c>
      <c r="V1659" s="50" t="n">
        <v>0</v>
      </c>
      <c r="W1659" s="51" t="n">
        <v>0</v>
      </c>
      <c r="X1659" s="51" t="n">
        <v>0</v>
      </c>
      <c r="Y1659" s="51" t="n">
        <v>0</v>
      </c>
      <c r="Z1659" s="51" t="n">
        <v>0</v>
      </c>
      <c r="AA1659" s="52" t="n">
        <v>0</v>
      </c>
      <c r="AB1659" s="52" t="n">
        <v>0</v>
      </c>
      <c r="AC1659" s="52" t="n">
        <v>0</v>
      </c>
      <c r="AD1659" s="52" t="n">
        <v>0</v>
      </c>
      <c r="AE1659" s="52" t="n">
        <v>0</v>
      </c>
      <c r="AF1659" s="52" t="n">
        <v>0</v>
      </c>
      <c r="AG1659" s="52" t="n">
        <v>0</v>
      </c>
      <c r="AH1659" s="52" t="n">
        <v>0</v>
      </c>
      <c r="AI1659" s="52" t="n">
        <v>0</v>
      </c>
      <c r="AJ1659" s="52" t="n">
        <v>0</v>
      </c>
      <c r="AK1659" s="52" t="n">
        <v>0</v>
      </c>
      <c r="AL1659" s="52" t="n">
        <v>0</v>
      </c>
      <c r="AM1659" s="53" t="n">
        <v>0</v>
      </c>
      <c r="AN1659" s="53" t="n">
        <v>0</v>
      </c>
      <c r="AO1659" s="53" t="n">
        <v>0</v>
      </c>
      <c r="AP1659" s="53" t="n">
        <v>0</v>
      </c>
      <c r="AQ1659" s="52" t="n">
        <v>0</v>
      </c>
      <c r="AR1659" s="52" t="n">
        <v>0</v>
      </c>
      <c r="AS1659" s="52" t="n">
        <v>0</v>
      </c>
      <c r="AT1659" s="52" t="n">
        <v>0</v>
      </c>
      <c r="AU1659" s="53" t="n">
        <v>0</v>
      </c>
      <c r="AV1659" s="53" t="n">
        <v>0</v>
      </c>
      <c r="AW1659" s="53" t="n">
        <v>0</v>
      </c>
      <c r="AX1659" s="53" t="n">
        <v>0</v>
      </c>
      <c r="AY1659" s="52" t="n">
        <v>0</v>
      </c>
      <c r="AZ1659" s="52" t="n">
        <v>0</v>
      </c>
      <c r="BA1659" s="52" t="n">
        <v>0</v>
      </c>
      <c r="BB1659" s="52" t="n">
        <v>0</v>
      </c>
      <c r="BC1659" s="51" t="n">
        <v>0</v>
      </c>
      <c r="BD1659" s="51" t="n">
        <v>0</v>
      </c>
      <c r="BE1659" s="51" t="n">
        <v>0</v>
      </c>
      <c r="BF1659" s="51" t="n">
        <v>0</v>
      </c>
    </row>
    <row r="1660">
      <c r="A1660">
        <f>HYPERLINK("https://www.walmart.com/ip/119730579", "119730579")</f>
        <v/>
      </c>
      <c r="B1660" t="inlineStr">
        <is>
          <t>JenniWears® Women's Sexy Lace Nightgown Sleepwear Bathrobe 2 Piece Set</t>
        </is>
      </c>
      <c r="C1660" t="inlineStr">
        <is>
          <t>JWRS02BK-XL</t>
        </is>
      </c>
      <c r="D1660" t="inlineStr">
        <is>
          <t>Nightgowns &amp; Sleepshirts</t>
        </is>
      </c>
      <c r="E1660" t="inlineStr">
        <is>
          <t>JenniWears</t>
        </is>
      </c>
      <c r="F1660" t="inlineStr">
        <is>
          <t>Valentine,Bathrobe</t>
        </is>
      </c>
      <c r="G1660" s="48" t="n">
        <v>0</v>
      </c>
      <c r="H1660" s="48" t="n">
        <v>0</v>
      </c>
      <c r="I1660" s="48" t="n">
        <v>0</v>
      </c>
      <c r="J1660" s="48" t="n">
        <v>0</v>
      </c>
      <c r="K1660" s="49" t="n">
        <v>0</v>
      </c>
      <c r="L1660" s="49" t="n">
        <v>0</v>
      </c>
      <c r="M1660" s="49" t="n">
        <v>0</v>
      </c>
      <c r="N1660" s="49" t="n">
        <v>0</v>
      </c>
      <c r="O1660" s="49" t="n">
        <v>0</v>
      </c>
      <c r="P1660" s="49" t="n">
        <v>0</v>
      </c>
      <c r="Q1660" s="49" t="n">
        <v>0</v>
      </c>
      <c r="R1660" s="49" t="n">
        <v>0</v>
      </c>
      <c r="S1660" s="50" t="n">
        <v>0</v>
      </c>
      <c r="T1660" s="50" t="n">
        <v>0</v>
      </c>
      <c r="U1660" s="50" t="n">
        <v>0</v>
      </c>
      <c r="V1660" s="50" t="n">
        <v>0</v>
      </c>
      <c r="W1660" s="51" t="n">
        <v>0</v>
      </c>
      <c r="X1660" s="51" t="n">
        <v>0</v>
      </c>
      <c r="Y1660" s="51" t="n">
        <v>0</v>
      </c>
      <c r="Z1660" s="51" t="n">
        <v>0</v>
      </c>
      <c r="AA1660" s="52" t="n">
        <v>0</v>
      </c>
      <c r="AB1660" s="52" t="n">
        <v>0</v>
      </c>
      <c r="AC1660" s="52" t="n">
        <v>0</v>
      </c>
      <c r="AD1660" s="52" t="n">
        <v>0</v>
      </c>
      <c r="AE1660" s="52" t="n">
        <v>0</v>
      </c>
      <c r="AF1660" s="52" t="n">
        <v>0</v>
      </c>
      <c r="AG1660" s="52" t="n">
        <v>0</v>
      </c>
      <c r="AH1660" s="52" t="n">
        <v>0</v>
      </c>
      <c r="AI1660" s="52" t="n">
        <v>0</v>
      </c>
      <c r="AJ1660" s="52" t="n">
        <v>0</v>
      </c>
      <c r="AK1660" s="52" t="n">
        <v>0</v>
      </c>
      <c r="AL1660" s="52" t="n">
        <v>0</v>
      </c>
      <c r="AM1660" s="53" t="n">
        <v>0</v>
      </c>
      <c r="AN1660" s="53" t="n">
        <v>0</v>
      </c>
      <c r="AO1660" s="53" t="n">
        <v>0</v>
      </c>
      <c r="AP1660" s="53" t="n">
        <v>0</v>
      </c>
      <c r="AQ1660" s="52" t="n">
        <v>0</v>
      </c>
      <c r="AR1660" s="52" t="n">
        <v>0</v>
      </c>
      <c r="AS1660" s="52" t="n">
        <v>0</v>
      </c>
      <c r="AT1660" s="52" t="n">
        <v>0</v>
      </c>
      <c r="AU1660" s="53" t="n">
        <v>0</v>
      </c>
      <c r="AV1660" s="53" t="n">
        <v>0</v>
      </c>
      <c r="AW1660" s="53" t="n">
        <v>0</v>
      </c>
      <c r="AX1660" s="53" t="n">
        <v>0</v>
      </c>
      <c r="AY1660" s="52" t="n">
        <v>0</v>
      </c>
      <c r="AZ1660" s="52" t="n">
        <v>0</v>
      </c>
      <c r="BA1660" s="52" t="n">
        <v>0</v>
      </c>
      <c r="BB1660" s="52" t="n">
        <v>0</v>
      </c>
      <c r="BC1660" s="51" t="n">
        <v>0</v>
      </c>
      <c r="BD1660" s="51" t="n">
        <v>0</v>
      </c>
      <c r="BE1660" s="51" t="n">
        <v>0</v>
      </c>
      <c r="BF1660" s="51" t="n">
        <v>0</v>
      </c>
    </row>
    <row r="1661">
      <c r="A1661">
        <f>HYPERLINK("https://www.walmart.com/ip/120083298", "120083298")</f>
        <v/>
      </c>
      <c r="B1661" t="inlineStr">
        <is>
          <t>Puppy Blanket,Super Soft Sherpa Dog Blankets and Throws Cat Fleece Sleeping Mat for Pet Small Animals 45x30 Blue</t>
        </is>
      </c>
      <c r="C1661" t="inlineStr">
        <is>
          <t>1PSBF345BLLT</t>
        </is>
      </c>
      <c r="D1661" t="inlineStr">
        <is>
          <t>Pet Blankets</t>
        </is>
      </c>
      <c r="E1661" t="inlineStr">
        <is>
          <t>Pawsse</t>
        </is>
      </c>
      <c r="F1661" t="inlineStr">
        <is>
          <t>WFS,WFS Item</t>
        </is>
      </c>
      <c r="G1661" s="48" t="n">
        <v>0</v>
      </c>
      <c r="H1661" s="48" t="n">
        <v>0</v>
      </c>
      <c r="I1661" s="48" t="n">
        <v>0</v>
      </c>
      <c r="J1661" s="48" t="n">
        <v>0</v>
      </c>
      <c r="K1661" s="49" t="n">
        <v>0</v>
      </c>
      <c r="L1661" s="49" t="n">
        <v>0</v>
      </c>
      <c r="M1661" s="49" t="n">
        <v>0</v>
      </c>
      <c r="N1661" s="49" t="n">
        <v>0</v>
      </c>
      <c r="O1661" s="49" t="n">
        <v>0</v>
      </c>
      <c r="P1661" s="49" t="n">
        <v>0</v>
      </c>
      <c r="Q1661" s="49" t="n">
        <v>0</v>
      </c>
      <c r="R1661" s="49" t="n">
        <v>0</v>
      </c>
      <c r="S1661" s="50" t="n">
        <v>0</v>
      </c>
      <c r="T1661" s="50" t="n">
        <v>0</v>
      </c>
      <c r="U1661" s="50" t="n">
        <v>0</v>
      </c>
      <c r="V1661" s="50" t="n">
        <v>0</v>
      </c>
      <c r="W1661" s="51" t="n">
        <v>1</v>
      </c>
      <c r="X1661" s="51" t="n">
        <v>0</v>
      </c>
      <c r="Y1661" s="51" t="n">
        <v>0</v>
      </c>
      <c r="Z1661" s="51" t="n">
        <v>0</v>
      </c>
      <c r="AA1661" s="52" t="n">
        <v>0.45</v>
      </c>
      <c r="AB1661" s="52" t="n">
        <v>0</v>
      </c>
      <c r="AC1661" s="52" t="n">
        <v>0</v>
      </c>
      <c r="AD1661" s="52" t="n">
        <v>0</v>
      </c>
      <c r="AE1661" s="52" t="n">
        <v>17.99</v>
      </c>
      <c r="AF1661" s="52" t="n">
        <v>0</v>
      </c>
      <c r="AG1661" s="52" t="n">
        <v>0</v>
      </c>
      <c r="AH1661" s="52" t="n">
        <v>0</v>
      </c>
      <c r="AI1661" s="52" t="n">
        <v>39.98</v>
      </c>
      <c r="AJ1661" s="52" t="n">
        <v>0</v>
      </c>
      <c r="AK1661" s="52" t="n">
        <v>0</v>
      </c>
      <c r="AL1661" s="52" t="n">
        <v>0</v>
      </c>
      <c r="AM1661" s="53" t="n">
        <v>0.5</v>
      </c>
      <c r="AN1661" s="53" t="n">
        <v>0</v>
      </c>
      <c r="AO1661" s="53" t="n">
        <v>0</v>
      </c>
      <c r="AP1661" s="53" t="n">
        <v>0</v>
      </c>
      <c r="AQ1661" s="52" t="n">
        <v>0.45</v>
      </c>
      <c r="AR1661" s="52" t="n">
        <v>0</v>
      </c>
      <c r="AS1661" s="52" t="n">
        <v>0</v>
      </c>
      <c r="AT1661" s="52" t="n">
        <v>0</v>
      </c>
      <c r="AU1661" s="53" t="n">
        <v>0</v>
      </c>
      <c r="AV1661" s="53" t="n">
        <v>0</v>
      </c>
      <c r="AW1661" s="53" t="n">
        <v>0</v>
      </c>
      <c r="AX1661" s="53" t="n">
        <v>0</v>
      </c>
      <c r="AY1661" s="52" t="n">
        <v>0</v>
      </c>
      <c r="AZ1661" s="52" t="n">
        <v>0</v>
      </c>
      <c r="BA1661" s="52" t="n">
        <v>0</v>
      </c>
      <c r="BB1661" s="52" t="n">
        <v>0</v>
      </c>
      <c r="BC1661" s="51" t="n">
        <v>2</v>
      </c>
      <c r="BD1661" s="51" t="n">
        <v>0</v>
      </c>
      <c r="BE1661" s="51" t="n">
        <v>0</v>
      </c>
      <c r="BF1661" s="51" t="n">
        <v>0</v>
      </c>
    </row>
    <row r="1662">
      <c r="A1662">
        <f>HYPERLINK("https://www.walmart.com/ip/1203728050", "1203728050")</f>
        <v/>
      </c>
      <c r="B1662" t="inlineStr">
        <is>
          <t>Catalonia Waterproof Dog Blanket, Peeproof Couch Sofa Bed Protector Cover for Baby, Super Cozy Plush Fleece Warm Sherpa Lining Throws and Blankets for Boating and Camping, Navy, 60'' x 80''</t>
        </is>
      </c>
      <c r="C1662" t="inlineStr">
        <is>
          <t>1CTBW682NYTP</t>
        </is>
      </c>
      <c r="D1662" t="inlineStr">
        <is>
          <t>Pet Bed Covers</t>
        </is>
      </c>
      <c r="E1662" t="inlineStr">
        <is>
          <t>Catalonia</t>
        </is>
      </c>
      <c r="F1662" t="inlineStr">
        <is>
          <t>Wproof Blanket,Batch 1 - TR</t>
        </is>
      </c>
      <c r="G1662" s="48" t="n">
        <v>0</v>
      </c>
      <c r="H1662" s="48" t="n">
        <v>0</v>
      </c>
      <c r="I1662" s="48" t="n">
        <v>0</v>
      </c>
      <c r="J1662" s="48" t="n">
        <v>0</v>
      </c>
      <c r="K1662" s="49" t="n">
        <v>0</v>
      </c>
      <c r="L1662" s="49" t="n">
        <v>0</v>
      </c>
      <c r="M1662" s="49" t="n">
        <v>0</v>
      </c>
      <c r="N1662" s="49" t="n">
        <v>0</v>
      </c>
      <c r="O1662" s="49" t="n">
        <v>0</v>
      </c>
      <c r="P1662" s="49" t="n">
        <v>0</v>
      </c>
      <c r="Q1662" s="49" t="n">
        <v>0</v>
      </c>
      <c r="R1662" s="49" t="n">
        <v>0</v>
      </c>
      <c r="S1662" s="50" t="n">
        <v>0</v>
      </c>
      <c r="T1662" s="50" t="n">
        <v>0</v>
      </c>
      <c r="U1662" s="50" t="n">
        <v>0</v>
      </c>
      <c r="V1662" s="50" t="n">
        <v>0</v>
      </c>
      <c r="W1662" s="51" t="n">
        <v>0</v>
      </c>
      <c r="X1662" s="51" t="n">
        <v>0</v>
      </c>
      <c r="Y1662" s="51" t="n">
        <v>0</v>
      </c>
      <c r="Z1662" s="51" t="n">
        <v>0</v>
      </c>
      <c r="AA1662" s="52" t="n">
        <v>0</v>
      </c>
      <c r="AB1662" s="52" t="n">
        <v>0</v>
      </c>
      <c r="AC1662" s="52" t="n">
        <v>0</v>
      </c>
      <c r="AD1662" s="52" t="n">
        <v>0</v>
      </c>
      <c r="AE1662" s="52" t="n">
        <v>0</v>
      </c>
      <c r="AF1662" s="52" t="n">
        <v>0</v>
      </c>
      <c r="AG1662" s="52" t="n">
        <v>0</v>
      </c>
      <c r="AH1662" s="52" t="n">
        <v>0</v>
      </c>
      <c r="AI1662" s="52" t="n">
        <v>0</v>
      </c>
      <c r="AJ1662" s="52" t="n">
        <v>0</v>
      </c>
      <c r="AK1662" s="52" t="n">
        <v>0</v>
      </c>
      <c r="AL1662" s="52" t="n">
        <v>0</v>
      </c>
      <c r="AM1662" s="53" t="n">
        <v>0</v>
      </c>
      <c r="AN1662" s="53" t="n">
        <v>0</v>
      </c>
      <c r="AO1662" s="53" t="n">
        <v>0</v>
      </c>
      <c r="AP1662" s="53" t="n">
        <v>0</v>
      </c>
      <c r="AQ1662" s="52" t="n">
        <v>0</v>
      </c>
      <c r="AR1662" s="52" t="n">
        <v>0</v>
      </c>
      <c r="AS1662" s="52" t="n">
        <v>0</v>
      </c>
      <c r="AT1662" s="52" t="n">
        <v>0</v>
      </c>
      <c r="AU1662" s="53" t="n">
        <v>0</v>
      </c>
      <c r="AV1662" s="53" t="n">
        <v>0</v>
      </c>
      <c r="AW1662" s="53" t="n">
        <v>0</v>
      </c>
      <c r="AX1662" s="53" t="n">
        <v>0</v>
      </c>
      <c r="AY1662" s="52" t="n">
        <v>0</v>
      </c>
      <c r="AZ1662" s="52" t="n">
        <v>0</v>
      </c>
      <c r="BA1662" s="52" t="n">
        <v>0</v>
      </c>
      <c r="BB1662" s="52" t="n">
        <v>0</v>
      </c>
      <c r="BC1662" s="51" t="n">
        <v>0</v>
      </c>
      <c r="BD1662" s="51" t="n">
        <v>0</v>
      </c>
      <c r="BE1662" s="51" t="n">
        <v>0</v>
      </c>
      <c r="BF1662" s="51" t="n">
        <v>0</v>
      </c>
    </row>
    <row r="1663">
      <c r="A1663">
        <f>HYPERLINK("https://www.walmart.com/ip/120589079", "120589079")</f>
        <v/>
      </c>
      <c r="B1663" t="inlineStr">
        <is>
          <t>KC Caps Race Collection Caps with High Quality USA Fag Racing Graphic</t>
        </is>
      </c>
      <c r="C1663" t="inlineStr">
        <is>
          <t>KC-AS04</t>
        </is>
      </c>
      <c r="D1663" t="inlineStr">
        <is>
          <t>Hats</t>
        </is>
      </c>
      <c r="E1663" t="inlineStr">
        <is>
          <t>KC Caps</t>
        </is>
      </c>
      <c r="F1663" t="inlineStr">
        <is>
          <t>Batch 1 - TR</t>
        </is>
      </c>
      <c r="G1663" s="48" t="n">
        <v>0</v>
      </c>
      <c r="H1663" s="48" t="n">
        <v>0</v>
      </c>
      <c r="I1663" s="48" t="n">
        <v>0</v>
      </c>
      <c r="J1663" s="48" t="n">
        <v>0</v>
      </c>
      <c r="K1663" s="49" t="n">
        <v>0</v>
      </c>
      <c r="L1663" s="49" t="n">
        <v>0</v>
      </c>
      <c r="M1663" s="49" t="n">
        <v>0</v>
      </c>
      <c r="N1663" s="49" t="n">
        <v>0</v>
      </c>
      <c r="O1663" s="49" t="n">
        <v>0</v>
      </c>
      <c r="P1663" s="49" t="n">
        <v>0</v>
      </c>
      <c r="Q1663" s="49" t="n">
        <v>0</v>
      </c>
      <c r="R1663" s="49" t="n">
        <v>0</v>
      </c>
      <c r="S1663" s="50" t="n">
        <v>0</v>
      </c>
      <c r="T1663" s="50" t="n">
        <v>0</v>
      </c>
      <c r="U1663" s="50" t="n">
        <v>0</v>
      </c>
      <c r="V1663" s="50" t="n">
        <v>0</v>
      </c>
      <c r="W1663" s="51" t="n">
        <v>0</v>
      </c>
      <c r="X1663" s="51" t="n">
        <v>0</v>
      </c>
      <c r="Y1663" s="51" t="n">
        <v>0</v>
      </c>
      <c r="Z1663" s="51" t="n">
        <v>0</v>
      </c>
      <c r="AA1663" s="52" t="n">
        <v>0</v>
      </c>
      <c r="AB1663" s="52" t="n">
        <v>0</v>
      </c>
      <c r="AC1663" s="52" t="n">
        <v>0</v>
      </c>
      <c r="AD1663" s="52" t="n">
        <v>0</v>
      </c>
      <c r="AE1663" s="52" t="n">
        <v>0</v>
      </c>
      <c r="AF1663" s="52" t="n">
        <v>0</v>
      </c>
      <c r="AG1663" s="52" t="n">
        <v>0</v>
      </c>
      <c r="AH1663" s="52" t="n">
        <v>0</v>
      </c>
      <c r="AI1663" s="52" t="n">
        <v>0</v>
      </c>
      <c r="AJ1663" s="52" t="n">
        <v>0</v>
      </c>
      <c r="AK1663" s="52" t="n">
        <v>0</v>
      </c>
      <c r="AL1663" s="52" t="n">
        <v>0</v>
      </c>
      <c r="AM1663" s="53" t="n">
        <v>0</v>
      </c>
      <c r="AN1663" s="53" t="n">
        <v>0</v>
      </c>
      <c r="AO1663" s="53" t="n">
        <v>0</v>
      </c>
      <c r="AP1663" s="53" t="n">
        <v>0</v>
      </c>
      <c r="AQ1663" s="52" t="n">
        <v>0</v>
      </c>
      <c r="AR1663" s="52" t="n">
        <v>0</v>
      </c>
      <c r="AS1663" s="52" t="n">
        <v>0</v>
      </c>
      <c r="AT1663" s="52" t="n">
        <v>0</v>
      </c>
      <c r="AU1663" s="53" t="n">
        <v>0</v>
      </c>
      <c r="AV1663" s="53" t="n">
        <v>0</v>
      </c>
      <c r="AW1663" s="53" t="n">
        <v>0</v>
      </c>
      <c r="AX1663" s="53" t="n">
        <v>0</v>
      </c>
      <c r="AY1663" s="52" t="n">
        <v>0</v>
      </c>
      <c r="AZ1663" s="52" t="n">
        <v>0</v>
      </c>
      <c r="BA1663" s="52" t="n">
        <v>0</v>
      </c>
      <c r="BB1663" s="52" t="n">
        <v>0</v>
      </c>
      <c r="BC1663" s="51" t="n">
        <v>0</v>
      </c>
      <c r="BD1663" s="51" t="n">
        <v>0</v>
      </c>
      <c r="BE1663" s="51" t="n">
        <v>0</v>
      </c>
      <c r="BF1663" s="51" t="n">
        <v>0</v>
      </c>
    </row>
    <row r="1664">
      <c r="A1664">
        <f>HYPERLINK("https://www.walmart.com/ip/117100856", "117100856")</f>
        <v/>
      </c>
      <c r="B1664" t="inlineStr">
        <is>
          <t>Catalonia Adult Knitted Mermaid Tail Blanket with Anti-Slip Neck Strap Soft Snuggie Throw All Seasons Sleep Bag 66.5” x</t>
        </is>
      </c>
      <c r="C1664" t="inlineStr">
        <is>
          <t>1CTMM100PK</t>
        </is>
      </c>
      <c r="D1664" t="inlineStr">
        <is>
          <t>Throws</t>
        </is>
      </c>
      <c r="E1664" t="inlineStr">
        <is>
          <t>Catalonia</t>
        </is>
      </c>
      <c r="F1664" t="inlineStr">
        <is>
          <t>Optimized</t>
        </is>
      </c>
      <c r="G1664" s="48" t="n">
        <v>0</v>
      </c>
      <c r="H1664" s="48" t="n">
        <v>0</v>
      </c>
      <c r="I1664" s="48" t="n">
        <v>0</v>
      </c>
      <c r="J1664" s="48" t="n">
        <v>0</v>
      </c>
      <c r="K1664" s="49" t="n">
        <v>0</v>
      </c>
      <c r="L1664" s="49" t="n">
        <v>0</v>
      </c>
      <c r="M1664" s="49" t="n">
        <v>0</v>
      </c>
      <c r="N1664" s="49" t="n">
        <v>0</v>
      </c>
      <c r="O1664" s="49" t="n">
        <v>0</v>
      </c>
      <c r="P1664" s="49" t="n">
        <v>0</v>
      </c>
      <c r="Q1664" s="49" t="n">
        <v>0</v>
      </c>
      <c r="R1664" s="49" t="n">
        <v>0</v>
      </c>
      <c r="S1664" s="50" t="n">
        <v>0</v>
      </c>
      <c r="T1664" s="50" t="n">
        <v>0</v>
      </c>
      <c r="U1664" s="50" t="n">
        <v>0</v>
      </c>
      <c r="V1664" s="50" t="n">
        <v>0</v>
      </c>
      <c r="W1664" s="51" t="n">
        <v>0</v>
      </c>
      <c r="X1664" s="51" t="n">
        <v>0</v>
      </c>
      <c r="Y1664" s="51" t="n">
        <v>0</v>
      </c>
      <c r="Z1664" s="51" t="n">
        <v>0</v>
      </c>
      <c r="AA1664" s="52" t="n">
        <v>0</v>
      </c>
      <c r="AB1664" s="52" t="n">
        <v>0</v>
      </c>
      <c r="AC1664" s="52" t="n">
        <v>0</v>
      </c>
      <c r="AD1664" s="52" t="n">
        <v>0</v>
      </c>
      <c r="AE1664" s="52" t="n">
        <v>0</v>
      </c>
      <c r="AF1664" s="52" t="n">
        <v>0</v>
      </c>
      <c r="AG1664" s="52" t="n">
        <v>0</v>
      </c>
      <c r="AH1664" s="52" t="n">
        <v>0</v>
      </c>
      <c r="AI1664" s="52" t="n">
        <v>0</v>
      </c>
      <c r="AJ1664" s="52" t="n">
        <v>0</v>
      </c>
      <c r="AK1664" s="52" t="n">
        <v>0</v>
      </c>
      <c r="AL1664" s="52" t="n">
        <v>0</v>
      </c>
      <c r="AM1664" s="53" t="n">
        <v>0</v>
      </c>
      <c r="AN1664" s="53" t="n">
        <v>0</v>
      </c>
      <c r="AO1664" s="53" t="n">
        <v>0</v>
      </c>
      <c r="AP1664" s="53" t="n">
        <v>0</v>
      </c>
      <c r="AQ1664" s="52" t="n">
        <v>0</v>
      </c>
      <c r="AR1664" s="52" t="n">
        <v>0</v>
      </c>
      <c r="AS1664" s="52" t="n">
        <v>0</v>
      </c>
      <c r="AT1664" s="52" t="n">
        <v>0</v>
      </c>
      <c r="AU1664" s="53" t="n">
        <v>0</v>
      </c>
      <c r="AV1664" s="53" t="n">
        <v>0</v>
      </c>
      <c r="AW1664" s="53" t="n">
        <v>0</v>
      </c>
      <c r="AX1664" s="53" t="n">
        <v>0</v>
      </c>
      <c r="AY1664" s="52" t="n">
        <v>0</v>
      </c>
      <c r="AZ1664" s="52" t="n">
        <v>0</v>
      </c>
      <c r="BA1664" s="52" t="n">
        <v>0</v>
      </c>
      <c r="BB1664" s="52" t="n">
        <v>0</v>
      </c>
      <c r="BC1664" s="51" t="n">
        <v>0</v>
      </c>
      <c r="BD1664" s="51" t="n">
        <v>0</v>
      </c>
      <c r="BE1664" s="51" t="n">
        <v>0</v>
      </c>
      <c r="BF1664" s="51" t="n">
        <v>0</v>
      </c>
    </row>
    <row r="1665">
      <c r="A1665">
        <f>HYPERLINK("https://www.walmart.com/ip/116809211", "116809211")</f>
        <v/>
      </c>
      <c r="B1665" t="inlineStr">
        <is>
          <t>Catalonia Queen Size Sherpa Comforter Set,  Ultra-soft Reversible Fluffy Micromink Bedding Set-3 Pieces, 1 Comforter and 2 Pillow Shams, 88x90 inches</t>
        </is>
      </c>
      <c r="C1665" t="inlineStr">
        <is>
          <t>1CTBQ300QF-GY</t>
        </is>
      </c>
      <c r="D1665" t="inlineStr">
        <is>
          <t>Bedding Sets</t>
        </is>
      </c>
      <c r="E1665" t="inlineStr">
        <is>
          <t>Catalonia</t>
        </is>
      </c>
      <c r="F1665" t="inlineStr">
        <is>
          <t>WFS,WFS Item</t>
        </is>
      </c>
      <c r="G1665" s="48" t="n">
        <v>0</v>
      </c>
      <c r="H1665" s="48" t="n">
        <v>0</v>
      </c>
      <c r="I1665" s="48" t="n">
        <v>0</v>
      </c>
      <c r="J1665" s="48" t="n">
        <v>0</v>
      </c>
      <c r="K1665" s="49" t="n">
        <v>0</v>
      </c>
      <c r="L1665" s="49" t="n">
        <v>0</v>
      </c>
      <c r="M1665" s="49" t="n">
        <v>0</v>
      </c>
      <c r="N1665" s="49" t="n">
        <v>0</v>
      </c>
      <c r="O1665" s="49" t="n">
        <v>0</v>
      </c>
      <c r="P1665" s="49" t="n">
        <v>0</v>
      </c>
      <c r="Q1665" s="49" t="n">
        <v>0</v>
      </c>
      <c r="R1665" s="49" t="n">
        <v>0</v>
      </c>
      <c r="S1665" s="50" t="n">
        <v>0</v>
      </c>
      <c r="T1665" s="50" t="n">
        <v>0</v>
      </c>
      <c r="U1665" s="50" t="n">
        <v>0</v>
      </c>
      <c r="V1665" s="50" t="n">
        <v>0</v>
      </c>
      <c r="W1665" s="51" t="n">
        <v>0</v>
      </c>
      <c r="X1665" s="51" t="n">
        <v>0</v>
      </c>
      <c r="Y1665" s="51" t="n">
        <v>0</v>
      </c>
      <c r="Z1665" s="51" t="n">
        <v>0</v>
      </c>
      <c r="AA1665" s="52" t="n">
        <v>0</v>
      </c>
      <c r="AB1665" s="52" t="n">
        <v>0</v>
      </c>
      <c r="AC1665" s="52" t="n">
        <v>0</v>
      </c>
      <c r="AD1665" s="52" t="n">
        <v>0</v>
      </c>
      <c r="AE1665" s="52" t="n">
        <v>0</v>
      </c>
      <c r="AF1665" s="52" t="n">
        <v>0</v>
      </c>
      <c r="AG1665" s="52" t="n">
        <v>0</v>
      </c>
      <c r="AH1665" s="52" t="n">
        <v>0</v>
      </c>
      <c r="AI1665" s="52" t="n">
        <v>0</v>
      </c>
      <c r="AJ1665" s="52" t="n">
        <v>0</v>
      </c>
      <c r="AK1665" s="52" t="n">
        <v>0</v>
      </c>
      <c r="AL1665" s="52" t="n">
        <v>0</v>
      </c>
      <c r="AM1665" s="53" t="n">
        <v>0</v>
      </c>
      <c r="AN1665" s="53" t="n">
        <v>0</v>
      </c>
      <c r="AO1665" s="53" t="n">
        <v>0</v>
      </c>
      <c r="AP1665" s="53" t="n">
        <v>0</v>
      </c>
      <c r="AQ1665" s="52" t="n">
        <v>0</v>
      </c>
      <c r="AR1665" s="52" t="n">
        <v>0</v>
      </c>
      <c r="AS1665" s="52" t="n">
        <v>0</v>
      </c>
      <c r="AT1665" s="52" t="n">
        <v>0</v>
      </c>
      <c r="AU1665" s="53" t="n">
        <v>0</v>
      </c>
      <c r="AV1665" s="53" t="n">
        <v>0</v>
      </c>
      <c r="AW1665" s="53" t="n">
        <v>0</v>
      </c>
      <c r="AX1665" s="53" t="n">
        <v>0</v>
      </c>
      <c r="AY1665" s="52" t="n">
        <v>0</v>
      </c>
      <c r="AZ1665" s="52" t="n">
        <v>0</v>
      </c>
      <c r="BA1665" s="52" t="n">
        <v>0</v>
      </c>
      <c r="BB1665" s="52" t="n">
        <v>0</v>
      </c>
      <c r="BC1665" s="51" t="n">
        <v>0</v>
      </c>
      <c r="BD1665" s="51" t="n">
        <v>0</v>
      </c>
      <c r="BE1665" s="51" t="n">
        <v>0</v>
      </c>
      <c r="BF1665" s="51" t="n">
        <v>0</v>
      </c>
    </row>
    <row r="1666">
      <c r="A1666">
        <f>HYPERLINK("https://www.walmart.com/ip/114176686", "114176686")</f>
        <v/>
      </c>
      <c r="B1666" t="inlineStr">
        <is>
          <t>Terra Faux Fur Pom Pom Beanie Hat Thick Slouchy Cable Knit Soft Warm Micro Fleece Lined Unisex Stretches to Fit Most</t>
        </is>
      </c>
      <c r="C1666" t="inlineStr">
        <is>
          <t>TERRAPPH01RD</t>
        </is>
      </c>
      <c r="D1666" t="inlineStr">
        <is>
          <t>Hats</t>
        </is>
      </c>
      <c r="E1666" t="inlineStr">
        <is>
          <t>Terra</t>
        </is>
      </c>
      <c r="F1666" t="inlineStr">
        <is>
          <t>Optimized</t>
        </is>
      </c>
      <c r="G1666" s="48" t="n">
        <v>0</v>
      </c>
      <c r="H1666" s="48" t="n">
        <v>0</v>
      </c>
      <c r="I1666" s="48" t="n">
        <v>0</v>
      </c>
      <c r="J1666" s="48" t="n">
        <v>0</v>
      </c>
      <c r="K1666" s="49" t="n">
        <v>0</v>
      </c>
      <c r="L1666" s="49" t="n">
        <v>0</v>
      </c>
      <c r="M1666" s="49" t="n">
        <v>0</v>
      </c>
      <c r="N1666" s="49" t="n">
        <v>0</v>
      </c>
      <c r="O1666" s="49" t="n">
        <v>0</v>
      </c>
      <c r="P1666" s="49" t="n">
        <v>0</v>
      </c>
      <c r="Q1666" s="49" t="n">
        <v>0</v>
      </c>
      <c r="R1666" s="49" t="n">
        <v>0</v>
      </c>
      <c r="S1666" s="50" t="n">
        <v>0</v>
      </c>
      <c r="T1666" s="50" t="n">
        <v>0</v>
      </c>
      <c r="U1666" s="50" t="n">
        <v>0</v>
      </c>
      <c r="V1666" s="50" t="n">
        <v>0</v>
      </c>
      <c r="W1666" s="51" t="n">
        <v>0</v>
      </c>
      <c r="X1666" s="51" t="n">
        <v>0</v>
      </c>
      <c r="Y1666" s="51" t="n">
        <v>0</v>
      </c>
      <c r="Z1666" s="51" t="n">
        <v>0</v>
      </c>
      <c r="AA1666" s="52" t="n">
        <v>0</v>
      </c>
      <c r="AB1666" s="52" t="n">
        <v>0</v>
      </c>
      <c r="AC1666" s="52" t="n">
        <v>0</v>
      </c>
      <c r="AD1666" s="52" t="n">
        <v>0</v>
      </c>
      <c r="AE1666" s="52" t="n">
        <v>0</v>
      </c>
      <c r="AF1666" s="52" t="n">
        <v>0</v>
      </c>
      <c r="AG1666" s="52" t="n">
        <v>0</v>
      </c>
      <c r="AH1666" s="52" t="n">
        <v>0</v>
      </c>
      <c r="AI1666" s="52" t="n">
        <v>0</v>
      </c>
      <c r="AJ1666" s="52" t="n">
        <v>0</v>
      </c>
      <c r="AK1666" s="52" t="n">
        <v>0</v>
      </c>
      <c r="AL1666" s="52" t="n">
        <v>0</v>
      </c>
      <c r="AM1666" s="53" t="n">
        <v>0</v>
      </c>
      <c r="AN1666" s="53" t="n">
        <v>0</v>
      </c>
      <c r="AO1666" s="53" t="n">
        <v>0</v>
      </c>
      <c r="AP1666" s="53" t="n">
        <v>0</v>
      </c>
      <c r="AQ1666" s="52" t="n">
        <v>0</v>
      </c>
      <c r="AR1666" s="52" t="n">
        <v>0</v>
      </c>
      <c r="AS1666" s="52" t="n">
        <v>0</v>
      </c>
      <c r="AT1666" s="52" t="n">
        <v>0</v>
      </c>
      <c r="AU1666" s="53" t="n">
        <v>0</v>
      </c>
      <c r="AV1666" s="53" t="n">
        <v>0</v>
      </c>
      <c r="AW1666" s="53" t="n">
        <v>0</v>
      </c>
      <c r="AX1666" s="53" t="n">
        <v>0</v>
      </c>
      <c r="AY1666" s="52" t="n">
        <v>0</v>
      </c>
      <c r="AZ1666" s="52" t="n">
        <v>0</v>
      </c>
      <c r="BA1666" s="52" t="n">
        <v>0</v>
      </c>
      <c r="BB1666" s="52" t="n">
        <v>0</v>
      </c>
      <c r="BC1666" s="51" t="n">
        <v>0</v>
      </c>
      <c r="BD1666" s="51" t="n">
        <v>0</v>
      </c>
      <c r="BE1666" s="51" t="n">
        <v>0</v>
      </c>
      <c r="BF1666" s="51" t="n">
        <v>0</v>
      </c>
    </row>
    <row r="1667">
      <c r="A1667">
        <f>HYPERLINK("https://www.walmart.com/ip/116474060", "116474060")</f>
        <v/>
      </c>
      <c r="B1667" t="inlineStr">
        <is>
          <t>Deluxe Stylish Microplush Sleeved Fleece Blanket Soft Home Sofa Snuggie</t>
        </is>
      </c>
      <c r="C1667" t="inlineStr">
        <is>
          <t>k3000-blue</t>
        </is>
      </c>
      <c r="D1667" t="inlineStr">
        <is>
          <t>Throws</t>
        </is>
      </c>
      <c r="E1667" t="inlineStr">
        <is>
          <t>NAPA</t>
        </is>
      </c>
      <c r="F1667" t="inlineStr">
        <is>
          <t>Batch 1 - TR</t>
        </is>
      </c>
      <c r="G1667" s="48" t="n">
        <v>0</v>
      </c>
      <c r="H1667" s="48" t="n">
        <v>0</v>
      </c>
      <c r="I1667" s="48" t="n">
        <v>0</v>
      </c>
      <c r="J1667" s="48" t="n">
        <v>0</v>
      </c>
      <c r="K1667" s="49" t="n">
        <v>0</v>
      </c>
      <c r="L1667" s="49" t="n">
        <v>0</v>
      </c>
      <c r="M1667" s="49" t="n">
        <v>0</v>
      </c>
      <c r="N1667" s="49" t="n">
        <v>0</v>
      </c>
      <c r="O1667" s="49" t="n">
        <v>0</v>
      </c>
      <c r="P1667" s="49" t="n">
        <v>0</v>
      </c>
      <c r="Q1667" s="49" t="n">
        <v>0</v>
      </c>
      <c r="R1667" s="49" t="n">
        <v>0</v>
      </c>
      <c r="S1667" s="50" t="n">
        <v>0</v>
      </c>
      <c r="T1667" s="50" t="n">
        <v>0</v>
      </c>
      <c r="U1667" s="50" t="n">
        <v>0</v>
      </c>
      <c r="V1667" s="50" t="n">
        <v>0</v>
      </c>
      <c r="W1667" s="51" t="n">
        <v>0</v>
      </c>
      <c r="X1667" s="51" t="n">
        <v>0</v>
      </c>
      <c r="Y1667" s="51" t="n">
        <v>0</v>
      </c>
      <c r="Z1667" s="51" t="n">
        <v>0</v>
      </c>
      <c r="AA1667" s="52" t="n">
        <v>0</v>
      </c>
      <c r="AB1667" s="52" t="n">
        <v>0</v>
      </c>
      <c r="AC1667" s="52" t="n">
        <v>0</v>
      </c>
      <c r="AD1667" s="52" t="n">
        <v>0</v>
      </c>
      <c r="AE1667" s="52" t="n">
        <v>0</v>
      </c>
      <c r="AF1667" s="52" t="n">
        <v>0</v>
      </c>
      <c r="AG1667" s="52" t="n">
        <v>0</v>
      </c>
      <c r="AH1667" s="52" t="n">
        <v>0</v>
      </c>
      <c r="AI1667" s="52" t="n">
        <v>0</v>
      </c>
      <c r="AJ1667" s="52" t="n">
        <v>0</v>
      </c>
      <c r="AK1667" s="52" t="n">
        <v>0</v>
      </c>
      <c r="AL1667" s="52" t="n">
        <v>0</v>
      </c>
      <c r="AM1667" s="53" t="n">
        <v>0</v>
      </c>
      <c r="AN1667" s="53" t="n">
        <v>0</v>
      </c>
      <c r="AO1667" s="53" t="n">
        <v>0</v>
      </c>
      <c r="AP1667" s="53" t="n">
        <v>0</v>
      </c>
      <c r="AQ1667" s="52" t="n">
        <v>0</v>
      </c>
      <c r="AR1667" s="52" t="n">
        <v>0</v>
      </c>
      <c r="AS1667" s="52" t="n">
        <v>0</v>
      </c>
      <c r="AT1667" s="52" t="n">
        <v>0</v>
      </c>
      <c r="AU1667" s="53" t="n">
        <v>0</v>
      </c>
      <c r="AV1667" s="53" t="n">
        <v>0</v>
      </c>
      <c r="AW1667" s="53" t="n">
        <v>0</v>
      </c>
      <c r="AX1667" s="53" t="n">
        <v>0</v>
      </c>
      <c r="AY1667" s="52" t="n">
        <v>0</v>
      </c>
      <c r="AZ1667" s="52" t="n">
        <v>0</v>
      </c>
      <c r="BA1667" s="52" t="n">
        <v>0</v>
      </c>
      <c r="BB1667" s="52" t="n">
        <v>0</v>
      </c>
      <c r="BC1667" s="51" t="n">
        <v>0</v>
      </c>
      <c r="BD1667" s="51" t="n">
        <v>0</v>
      </c>
      <c r="BE1667" s="51" t="n">
        <v>0</v>
      </c>
      <c r="BF1667" s="51" t="n">
        <v>0</v>
      </c>
    </row>
    <row r="1668">
      <c r="A1668">
        <f>HYPERLINK("https://www.walmart.com/ip/114178501", "114178501")</f>
        <v/>
      </c>
      <c r="B1668" t="inlineStr">
        <is>
          <t>Catalonia Wearable Blanket with Sleeves and Pocket, Cozy Soft Fleece Micro Plush Wrap Adult Blanket Robe for Women Men, Zebra Pattern Makes a Great Gift for Holidays.</t>
        </is>
      </c>
      <c r="C1668" t="inlineStr">
        <is>
          <t>1CTSN100ZEBRA</t>
        </is>
      </c>
      <c r="D1668" t="inlineStr">
        <is>
          <t>Throws</t>
        </is>
      </c>
      <c r="E1668" t="inlineStr">
        <is>
          <t>Catalonia</t>
        </is>
      </c>
      <c r="F1668" t="inlineStr">
        <is>
          <t>Q2-Target,WFS,Coupon_Discount,WFS Item</t>
        </is>
      </c>
      <c r="G1668" s="48" t="n">
        <v>0</v>
      </c>
      <c r="H1668" s="48" t="n">
        <v>0</v>
      </c>
      <c r="I1668" s="48" t="n">
        <v>0</v>
      </c>
      <c r="J1668" s="48" t="n">
        <v>0</v>
      </c>
      <c r="K1668" s="49" t="n">
        <v>0</v>
      </c>
      <c r="L1668" s="49" t="n">
        <v>0</v>
      </c>
      <c r="M1668" s="49" t="n">
        <v>0</v>
      </c>
      <c r="N1668" s="49" t="n">
        <v>0</v>
      </c>
      <c r="O1668" s="49" t="n">
        <v>0</v>
      </c>
      <c r="P1668" s="49" t="n">
        <v>0</v>
      </c>
      <c r="Q1668" s="49" t="n">
        <v>0</v>
      </c>
      <c r="R1668" s="49" t="n">
        <v>0</v>
      </c>
      <c r="S1668" s="50" t="n">
        <v>0</v>
      </c>
      <c r="T1668" s="50" t="n">
        <v>0</v>
      </c>
      <c r="U1668" s="50" t="n">
        <v>0</v>
      </c>
      <c r="V1668" s="50" t="n">
        <v>0</v>
      </c>
      <c r="W1668" s="51" t="n">
        <v>0</v>
      </c>
      <c r="X1668" s="51" t="n">
        <v>0</v>
      </c>
      <c r="Y1668" s="51" t="n">
        <v>0</v>
      </c>
      <c r="Z1668" s="51" t="n">
        <v>0</v>
      </c>
      <c r="AA1668" s="52" t="n">
        <v>0</v>
      </c>
      <c r="AB1668" s="52" t="n">
        <v>0</v>
      </c>
      <c r="AC1668" s="52" t="n">
        <v>0</v>
      </c>
      <c r="AD1668" s="52" t="n">
        <v>0</v>
      </c>
      <c r="AE1668" s="52" t="n">
        <v>0</v>
      </c>
      <c r="AF1668" s="52" t="n">
        <v>0</v>
      </c>
      <c r="AG1668" s="52" t="n">
        <v>0</v>
      </c>
      <c r="AH1668" s="52" t="n">
        <v>0</v>
      </c>
      <c r="AI1668" s="52" t="n">
        <v>0</v>
      </c>
      <c r="AJ1668" s="52" t="n">
        <v>0</v>
      </c>
      <c r="AK1668" s="52" t="n">
        <v>0</v>
      </c>
      <c r="AL1668" s="52" t="n">
        <v>0</v>
      </c>
      <c r="AM1668" s="53" t="n">
        <v>0</v>
      </c>
      <c r="AN1668" s="53" t="n">
        <v>0</v>
      </c>
      <c r="AO1668" s="53" t="n">
        <v>0</v>
      </c>
      <c r="AP1668" s="53" t="n">
        <v>0</v>
      </c>
      <c r="AQ1668" s="52" t="n">
        <v>0</v>
      </c>
      <c r="AR1668" s="52" t="n">
        <v>0</v>
      </c>
      <c r="AS1668" s="52" t="n">
        <v>0</v>
      </c>
      <c r="AT1668" s="52" t="n">
        <v>0</v>
      </c>
      <c r="AU1668" s="53" t="n">
        <v>0</v>
      </c>
      <c r="AV1668" s="53" t="n">
        <v>0</v>
      </c>
      <c r="AW1668" s="53" t="n">
        <v>0</v>
      </c>
      <c r="AX1668" s="53" t="n">
        <v>0</v>
      </c>
      <c r="AY1668" s="52" t="n">
        <v>0</v>
      </c>
      <c r="AZ1668" s="52" t="n">
        <v>0</v>
      </c>
      <c r="BA1668" s="52" t="n">
        <v>0</v>
      </c>
      <c r="BB1668" s="52" t="n">
        <v>0</v>
      </c>
      <c r="BC1668" s="51" t="n">
        <v>0</v>
      </c>
      <c r="BD1668" s="51" t="n">
        <v>0</v>
      </c>
      <c r="BE1668" s="51" t="n">
        <v>0</v>
      </c>
      <c r="BF1668" s="51" t="n">
        <v>0</v>
      </c>
    </row>
    <row r="1669">
      <c r="A1669">
        <f>HYPERLINK("https://www.walmart.com/ip/114442162", "114442162")</f>
        <v/>
      </c>
      <c r="B1669" t="inlineStr">
        <is>
          <t>Tirrinia Outdoor Wide Brim Sun Hat for Men Women Bucket Hat Safari Hiking Hunting Boonie Cap Grey</t>
        </is>
      </c>
      <c r="C1669" t="inlineStr">
        <is>
          <t>1TRSH191GY-TBCB</t>
        </is>
      </c>
      <c r="D1669" t="inlineStr">
        <is>
          <t>Hats</t>
        </is>
      </c>
      <c r="E1669" t="inlineStr">
        <is>
          <t>Sun Blocker</t>
        </is>
      </c>
      <c r="G1669" s="48" t="n">
        <v>0</v>
      </c>
      <c r="H1669" s="48" t="n">
        <v>0</v>
      </c>
      <c r="I1669" s="48" t="n">
        <v>0</v>
      </c>
      <c r="J1669" s="48" t="n">
        <v>0</v>
      </c>
      <c r="K1669" s="49" t="n">
        <v>0</v>
      </c>
      <c r="L1669" s="49" t="n">
        <v>0</v>
      </c>
      <c r="M1669" s="49" t="n">
        <v>0</v>
      </c>
      <c r="N1669" s="49" t="n">
        <v>0</v>
      </c>
      <c r="O1669" s="49" t="n">
        <v>0</v>
      </c>
      <c r="P1669" s="49" t="n">
        <v>0</v>
      </c>
      <c r="Q1669" s="49" t="n">
        <v>0</v>
      </c>
      <c r="R1669" s="49" t="n">
        <v>0</v>
      </c>
      <c r="S1669" s="50" t="n">
        <v>0</v>
      </c>
      <c r="T1669" s="50" t="n">
        <v>0</v>
      </c>
      <c r="U1669" s="50" t="n">
        <v>0</v>
      </c>
      <c r="V1669" s="50" t="n">
        <v>0</v>
      </c>
      <c r="W1669" s="51" t="n">
        <v>0</v>
      </c>
      <c r="X1669" s="51" t="n">
        <v>0</v>
      </c>
      <c r="Y1669" s="51" t="n">
        <v>0</v>
      </c>
      <c r="Z1669" s="51" t="n">
        <v>0</v>
      </c>
      <c r="AA1669" s="52" t="n">
        <v>0</v>
      </c>
      <c r="AB1669" s="52" t="n">
        <v>0</v>
      </c>
      <c r="AC1669" s="52" t="n">
        <v>0</v>
      </c>
      <c r="AD1669" s="52" t="n">
        <v>0</v>
      </c>
      <c r="AE1669" s="52" t="n">
        <v>0</v>
      </c>
      <c r="AF1669" s="52" t="n">
        <v>0</v>
      </c>
      <c r="AG1669" s="52" t="n">
        <v>0</v>
      </c>
      <c r="AH1669" s="52" t="n">
        <v>0</v>
      </c>
      <c r="AI1669" s="52" t="n">
        <v>0</v>
      </c>
      <c r="AJ1669" s="52" t="n">
        <v>0</v>
      </c>
      <c r="AK1669" s="52" t="n">
        <v>0</v>
      </c>
      <c r="AL1669" s="52" t="n">
        <v>0</v>
      </c>
      <c r="AM1669" s="53" t="n">
        <v>0</v>
      </c>
      <c r="AN1669" s="53" t="n">
        <v>0</v>
      </c>
      <c r="AO1669" s="53" t="n">
        <v>0</v>
      </c>
      <c r="AP1669" s="53" t="n">
        <v>0</v>
      </c>
      <c r="AQ1669" s="52" t="n">
        <v>0</v>
      </c>
      <c r="AR1669" s="52" t="n">
        <v>0</v>
      </c>
      <c r="AS1669" s="52" t="n">
        <v>0</v>
      </c>
      <c r="AT1669" s="52" t="n">
        <v>0</v>
      </c>
      <c r="AU1669" s="53" t="n">
        <v>0</v>
      </c>
      <c r="AV1669" s="53" t="n">
        <v>0</v>
      </c>
      <c r="AW1669" s="53" t="n">
        <v>0</v>
      </c>
      <c r="AX1669" s="53" t="n">
        <v>0</v>
      </c>
      <c r="AY1669" s="52" t="n">
        <v>0</v>
      </c>
      <c r="AZ1669" s="52" t="n">
        <v>0</v>
      </c>
      <c r="BA1669" s="52" t="n">
        <v>0</v>
      </c>
      <c r="BB1669" s="52" t="n">
        <v>0</v>
      </c>
      <c r="BC1669" s="51" t="n">
        <v>0</v>
      </c>
      <c r="BD1669" s="51" t="n">
        <v>0</v>
      </c>
      <c r="BE1669" s="51" t="n">
        <v>0</v>
      </c>
      <c r="BF1669" s="51" t="n">
        <v>0</v>
      </c>
    </row>
    <row r="1670">
      <c r="A1670">
        <f>HYPERLINK("https://www.walmart.com/ip/1145889350", "1145889350")</f>
        <v/>
      </c>
      <c r="B1670" t="inlineStr">
        <is>
          <t>Tirrinia Neon Hunting Orange Safety Cap Closure</t>
        </is>
      </c>
      <c r="C1670" t="inlineStr">
        <is>
          <t>1TRHT7121NEON-12pcs</t>
        </is>
      </c>
      <c r="D1670" t="inlineStr">
        <is>
          <t>Hats</t>
        </is>
      </c>
      <c r="E1670" t="inlineStr">
        <is>
          <t>Tirrinia</t>
        </is>
      </c>
      <c r="F1670" t="inlineStr">
        <is>
          <t>Batch 1 - TR</t>
        </is>
      </c>
      <c r="G1670" s="48" t="n">
        <v>0</v>
      </c>
      <c r="H1670" s="48" t="n">
        <v>0</v>
      </c>
      <c r="I1670" s="48" t="n">
        <v>0</v>
      </c>
      <c r="J1670" s="48" t="n">
        <v>0</v>
      </c>
      <c r="K1670" s="49" t="n">
        <v>0</v>
      </c>
      <c r="L1670" s="49" t="n">
        <v>0</v>
      </c>
      <c r="M1670" s="49" t="n">
        <v>0</v>
      </c>
      <c r="N1670" s="49" t="n">
        <v>0</v>
      </c>
      <c r="O1670" s="49" t="n">
        <v>0</v>
      </c>
      <c r="P1670" s="49" t="n">
        <v>0</v>
      </c>
      <c r="Q1670" s="49" t="n">
        <v>0</v>
      </c>
      <c r="R1670" s="49" t="n">
        <v>0</v>
      </c>
      <c r="S1670" s="50" t="n">
        <v>0</v>
      </c>
      <c r="T1670" s="50" t="n">
        <v>0</v>
      </c>
      <c r="U1670" s="50" t="n">
        <v>0</v>
      </c>
      <c r="V1670" s="50" t="n">
        <v>0</v>
      </c>
      <c r="W1670" s="51" t="n">
        <v>0</v>
      </c>
      <c r="X1670" s="51" t="n">
        <v>0</v>
      </c>
      <c r="Y1670" s="51" t="n">
        <v>0</v>
      </c>
      <c r="Z1670" s="51" t="n">
        <v>0</v>
      </c>
      <c r="AA1670" s="52" t="n">
        <v>0</v>
      </c>
      <c r="AB1670" s="52" t="n">
        <v>0</v>
      </c>
      <c r="AC1670" s="52" t="n">
        <v>0</v>
      </c>
      <c r="AD1670" s="52" t="n">
        <v>0</v>
      </c>
      <c r="AE1670" s="52" t="n">
        <v>0</v>
      </c>
      <c r="AF1670" s="52" t="n">
        <v>0</v>
      </c>
      <c r="AG1670" s="52" t="n">
        <v>0</v>
      </c>
      <c r="AH1670" s="52" t="n">
        <v>0</v>
      </c>
      <c r="AI1670" s="52" t="n">
        <v>0</v>
      </c>
      <c r="AJ1670" s="52" t="n">
        <v>0</v>
      </c>
      <c r="AK1670" s="52" t="n">
        <v>0</v>
      </c>
      <c r="AL1670" s="52" t="n">
        <v>0</v>
      </c>
      <c r="AM1670" s="53" t="n">
        <v>0</v>
      </c>
      <c r="AN1670" s="53" t="n">
        <v>0</v>
      </c>
      <c r="AO1670" s="53" t="n">
        <v>0</v>
      </c>
      <c r="AP1670" s="53" t="n">
        <v>0</v>
      </c>
      <c r="AQ1670" s="52" t="n">
        <v>0</v>
      </c>
      <c r="AR1670" s="52" t="n">
        <v>0</v>
      </c>
      <c r="AS1670" s="52" t="n">
        <v>0</v>
      </c>
      <c r="AT1670" s="52" t="n">
        <v>0</v>
      </c>
      <c r="AU1670" s="53" t="n">
        <v>0</v>
      </c>
      <c r="AV1670" s="53" t="n">
        <v>0</v>
      </c>
      <c r="AW1670" s="53" t="n">
        <v>0</v>
      </c>
      <c r="AX1670" s="53" t="n">
        <v>0</v>
      </c>
      <c r="AY1670" s="52" t="n">
        <v>0</v>
      </c>
      <c r="AZ1670" s="52" t="n">
        <v>0</v>
      </c>
      <c r="BA1670" s="52" t="n">
        <v>0</v>
      </c>
      <c r="BB1670" s="52" t="n">
        <v>0</v>
      </c>
      <c r="BC1670" s="51" t="n">
        <v>0</v>
      </c>
      <c r="BD1670" s="51" t="n">
        <v>0</v>
      </c>
      <c r="BE1670" s="51" t="n">
        <v>0</v>
      </c>
      <c r="BF1670" s="51" t="n">
        <v>0</v>
      </c>
    </row>
    <row r="1671">
      <c r="A1671">
        <f>HYPERLINK("https://www.walmart.com/ip/114654734", "114654734")</f>
        <v/>
      </c>
      <c r="B1671" t="inlineStr">
        <is>
          <t>undefined</t>
        </is>
      </c>
      <c r="C1671" t="inlineStr">
        <is>
          <t>JWBLSPH2041-6pcs</t>
        </is>
      </c>
      <c r="G1671" s="48" t="n">
        <v>0</v>
      </c>
      <c r="H1671" s="48" t="n">
        <v>0</v>
      </c>
      <c r="I1671" s="48" t="n">
        <v>0</v>
      </c>
      <c r="J1671" s="48" t="n">
        <v>0</v>
      </c>
      <c r="K1671" s="49" t="n">
        <v>0</v>
      </c>
      <c r="L1671" s="49" t="n">
        <v>0</v>
      </c>
      <c r="M1671" s="49" t="n">
        <v>0</v>
      </c>
      <c r="N1671" s="49" t="n">
        <v>0</v>
      </c>
      <c r="O1671" s="49" t="n">
        <v>0</v>
      </c>
      <c r="P1671" s="49" t="n">
        <v>0</v>
      </c>
      <c r="Q1671" s="49" t="n">
        <v>0</v>
      </c>
      <c r="R1671" s="49" t="n">
        <v>0</v>
      </c>
      <c r="S1671" s="50" t="n">
        <v>0</v>
      </c>
      <c r="T1671" s="50" t="n">
        <v>0</v>
      </c>
      <c r="U1671" s="50" t="n">
        <v>0</v>
      </c>
      <c r="V1671" s="50" t="n">
        <v>0</v>
      </c>
      <c r="W1671" s="51" t="n">
        <v>0</v>
      </c>
      <c r="X1671" s="51" t="n">
        <v>0</v>
      </c>
      <c r="Y1671" s="51" t="n">
        <v>0</v>
      </c>
      <c r="Z1671" s="51" t="n">
        <v>0</v>
      </c>
      <c r="AA1671" s="52" t="n">
        <v>0</v>
      </c>
      <c r="AB1671" s="52" t="n">
        <v>0</v>
      </c>
      <c r="AC1671" s="52" t="n">
        <v>0</v>
      </c>
      <c r="AD1671" s="52" t="n">
        <v>0</v>
      </c>
      <c r="AE1671" s="52" t="n">
        <v>0</v>
      </c>
      <c r="AF1671" s="52" t="n">
        <v>0</v>
      </c>
      <c r="AG1671" s="52" t="n">
        <v>0</v>
      </c>
      <c r="AH1671" s="52" t="n">
        <v>0</v>
      </c>
      <c r="AI1671" s="52" t="n">
        <v>0</v>
      </c>
      <c r="AJ1671" s="52" t="n">
        <v>0</v>
      </c>
      <c r="AK1671" s="52" t="n">
        <v>0</v>
      </c>
      <c r="AL1671" s="52" t="n">
        <v>0</v>
      </c>
      <c r="AM1671" s="53" t="n">
        <v>0</v>
      </c>
      <c r="AN1671" s="53" t="n">
        <v>0</v>
      </c>
      <c r="AO1671" s="53" t="n">
        <v>0</v>
      </c>
      <c r="AP1671" s="53" t="n">
        <v>0</v>
      </c>
      <c r="AQ1671" s="52" t="n">
        <v>0</v>
      </c>
      <c r="AR1671" s="52" t="n">
        <v>0</v>
      </c>
      <c r="AS1671" s="52" t="n">
        <v>0</v>
      </c>
      <c r="AT1671" s="52" t="n">
        <v>0</v>
      </c>
      <c r="AU1671" s="53" t="n">
        <v>0</v>
      </c>
      <c r="AV1671" s="53" t="n">
        <v>0</v>
      </c>
      <c r="AW1671" s="53" t="n">
        <v>0</v>
      </c>
      <c r="AX1671" s="53" t="n">
        <v>0</v>
      </c>
      <c r="AY1671" s="52" t="n">
        <v>0</v>
      </c>
      <c r="AZ1671" s="52" t="n">
        <v>0</v>
      </c>
      <c r="BA1671" s="52" t="n">
        <v>0</v>
      </c>
      <c r="BB1671" s="52" t="n">
        <v>0</v>
      </c>
      <c r="BC1671" s="51" t="n">
        <v>0</v>
      </c>
      <c r="BD1671" s="51" t="n">
        <v>0</v>
      </c>
      <c r="BE1671" s="51" t="n">
        <v>0</v>
      </c>
      <c r="BF1671" s="51" t="n">
        <v>0</v>
      </c>
    </row>
    <row r="1672">
      <c r="A1672">
        <f>HYPERLINK("https://www.walmart.com/ip/114742690", "114742690")</f>
        <v/>
      </c>
      <c r="B1672" t="inlineStr">
        <is>
          <t>JenniWears Women's Beileise Sexy Pantyhose Lace Stockings Black Sheer Socks</t>
        </is>
      </c>
      <c r="C1672" t="inlineStr">
        <is>
          <t>JWBLSPH2091</t>
        </is>
      </c>
      <c r="D1672" t="inlineStr">
        <is>
          <t>Pantyhose &amp; Tights</t>
        </is>
      </c>
      <c r="E1672" t="inlineStr">
        <is>
          <t>JenniWears</t>
        </is>
      </c>
      <c r="F1672" t="inlineStr">
        <is>
          <t>Valentine,WFS Item</t>
        </is>
      </c>
      <c r="G1672" s="48" t="n">
        <v>0</v>
      </c>
      <c r="H1672" s="48" t="n">
        <v>0</v>
      </c>
      <c r="I1672" s="48" t="n">
        <v>0</v>
      </c>
      <c r="J1672" s="48" t="n">
        <v>0</v>
      </c>
      <c r="K1672" s="49" t="n">
        <v>0</v>
      </c>
      <c r="L1672" s="49" t="n">
        <v>0</v>
      </c>
      <c r="M1672" s="49" t="n">
        <v>0</v>
      </c>
      <c r="N1672" s="49" t="n">
        <v>0</v>
      </c>
      <c r="O1672" s="49" t="n">
        <v>0</v>
      </c>
      <c r="P1672" s="49" t="n">
        <v>0</v>
      </c>
      <c r="Q1672" s="49" t="n">
        <v>0</v>
      </c>
      <c r="R1672" s="49" t="n">
        <v>0</v>
      </c>
      <c r="S1672" s="50" t="n">
        <v>0</v>
      </c>
      <c r="T1672" s="50" t="n">
        <v>0</v>
      </c>
      <c r="U1672" s="50" t="n">
        <v>0</v>
      </c>
      <c r="V1672" s="50" t="n">
        <v>0</v>
      </c>
      <c r="W1672" s="51" t="n">
        <v>0</v>
      </c>
      <c r="X1672" s="51" t="n">
        <v>0</v>
      </c>
      <c r="Y1672" s="51" t="n">
        <v>0</v>
      </c>
      <c r="Z1672" s="51" t="n">
        <v>0</v>
      </c>
      <c r="AA1672" s="52" t="n">
        <v>0</v>
      </c>
      <c r="AB1672" s="52" t="n">
        <v>0</v>
      </c>
      <c r="AC1672" s="52" t="n">
        <v>0</v>
      </c>
      <c r="AD1672" s="52" t="n">
        <v>0</v>
      </c>
      <c r="AE1672" s="52" t="n">
        <v>0</v>
      </c>
      <c r="AF1672" s="52" t="n">
        <v>0</v>
      </c>
      <c r="AG1672" s="52" t="n">
        <v>0</v>
      </c>
      <c r="AH1672" s="52" t="n">
        <v>0</v>
      </c>
      <c r="AI1672" s="52" t="n">
        <v>0</v>
      </c>
      <c r="AJ1672" s="52" t="n">
        <v>0</v>
      </c>
      <c r="AK1672" s="52" t="n">
        <v>0</v>
      </c>
      <c r="AL1672" s="52" t="n">
        <v>0</v>
      </c>
      <c r="AM1672" s="53" t="n">
        <v>0</v>
      </c>
      <c r="AN1672" s="53" t="n">
        <v>0</v>
      </c>
      <c r="AO1672" s="53" t="n">
        <v>0</v>
      </c>
      <c r="AP1672" s="53" t="n">
        <v>0</v>
      </c>
      <c r="AQ1672" s="52" t="n">
        <v>0</v>
      </c>
      <c r="AR1672" s="52" t="n">
        <v>0</v>
      </c>
      <c r="AS1672" s="52" t="n">
        <v>0</v>
      </c>
      <c r="AT1672" s="52" t="n">
        <v>0</v>
      </c>
      <c r="AU1672" s="53" t="n">
        <v>0</v>
      </c>
      <c r="AV1672" s="53" t="n">
        <v>0</v>
      </c>
      <c r="AW1672" s="53" t="n">
        <v>0</v>
      </c>
      <c r="AX1672" s="53" t="n">
        <v>0</v>
      </c>
      <c r="AY1672" s="52" t="n">
        <v>0</v>
      </c>
      <c r="AZ1672" s="52" t="n">
        <v>0</v>
      </c>
      <c r="BA1672" s="52" t="n">
        <v>0</v>
      </c>
      <c r="BB1672" s="52" t="n">
        <v>0</v>
      </c>
      <c r="BC1672" s="51" t="n">
        <v>0</v>
      </c>
      <c r="BD1672" s="51" t="n">
        <v>0</v>
      </c>
      <c r="BE1672" s="51" t="n">
        <v>0</v>
      </c>
      <c r="BF1672" s="51" t="n">
        <v>0</v>
      </c>
    </row>
    <row r="1673">
      <c r="A1673">
        <f>HYPERLINK("https://www.walmart.com/ip/115422991", "115422991")</f>
        <v/>
      </c>
      <c r="B1673" t="inlineStr">
        <is>
          <t>JenniWears® Women's Kimono Lace Lingerie Sleepwear Matching Cheeky Panty</t>
        </is>
      </c>
      <c r="C1673" t="inlineStr">
        <is>
          <t>JWRS01PK-XL</t>
        </is>
      </c>
      <c r="D1673" t="inlineStr">
        <is>
          <t>Lingerie Sets</t>
        </is>
      </c>
      <c r="E1673" t="inlineStr">
        <is>
          <t>JenniWears</t>
        </is>
      </c>
      <c r="F1673" t="inlineStr">
        <is>
          <t>Optimized,Valentine</t>
        </is>
      </c>
      <c r="G1673" s="48" t="n">
        <v>0</v>
      </c>
      <c r="H1673" s="48" t="n">
        <v>0</v>
      </c>
      <c r="I1673" s="48" t="n">
        <v>0</v>
      </c>
      <c r="J1673" s="48" t="n">
        <v>0</v>
      </c>
      <c r="K1673" s="49" t="n">
        <v>0</v>
      </c>
      <c r="L1673" s="49" t="n">
        <v>0</v>
      </c>
      <c r="M1673" s="49" t="n">
        <v>0</v>
      </c>
      <c r="N1673" s="49" t="n">
        <v>0</v>
      </c>
      <c r="O1673" s="49" t="n">
        <v>0</v>
      </c>
      <c r="P1673" s="49" t="n">
        <v>0</v>
      </c>
      <c r="Q1673" s="49" t="n">
        <v>0</v>
      </c>
      <c r="R1673" s="49" t="n">
        <v>0</v>
      </c>
      <c r="S1673" s="50" t="n">
        <v>0</v>
      </c>
      <c r="T1673" s="50" t="n">
        <v>0</v>
      </c>
      <c r="U1673" s="50" t="n">
        <v>0</v>
      </c>
      <c r="V1673" s="50" t="n">
        <v>0</v>
      </c>
      <c r="W1673" s="51" t="n">
        <v>0</v>
      </c>
      <c r="X1673" s="51" t="n">
        <v>0</v>
      </c>
      <c r="Y1673" s="51" t="n">
        <v>0</v>
      </c>
      <c r="Z1673" s="51" t="n">
        <v>0</v>
      </c>
      <c r="AA1673" s="52" t="n">
        <v>0</v>
      </c>
      <c r="AB1673" s="52" t="n">
        <v>0</v>
      </c>
      <c r="AC1673" s="52" t="n">
        <v>0</v>
      </c>
      <c r="AD1673" s="52" t="n">
        <v>0</v>
      </c>
      <c r="AE1673" s="52" t="n">
        <v>0</v>
      </c>
      <c r="AF1673" s="52" t="n">
        <v>0</v>
      </c>
      <c r="AG1673" s="52" t="n">
        <v>0</v>
      </c>
      <c r="AH1673" s="52" t="n">
        <v>0</v>
      </c>
      <c r="AI1673" s="52" t="n">
        <v>0</v>
      </c>
      <c r="AJ1673" s="52" t="n">
        <v>0</v>
      </c>
      <c r="AK1673" s="52" t="n">
        <v>0</v>
      </c>
      <c r="AL1673" s="52" t="n">
        <v>0</v>
      </c>
      <c r="AM1673" s="53" t="n">
        <v>0</v>
      </c>
      <c r="AN1673" s="53" t="n">
        <v>0</v>
      </c>
      <c r="AO1673" s="53" t="n">
        <v>0</v>
      </c>
      <c r="AP1673" s="53" t="n">
        <v>0</v>
      </c>
      <c r="AQ1673" s="52" t="n">
        <v>0</v>
      </c>
      <c r="AR1673" s="52" t="n">
        <v>0</v>
      </c>
      <c r="AS1673" s="52" t="n">
        <v>0</v>
      </c>
      <c r="AT1673" s="52" t="n">
        <v>0</v>
      </c>
      <c r="AU1673" s="53" t="n">
        <v>0</v>
      </c>
      <c r="AV1673" s="53" t="n">
        <v>0</v>
      </c>
      <c r="AW1673" s="53" t="n">
        <v>0</v>
      </c>
      <c r="AX1673" s="53" t="n">
        <v>0</v>
      </c>
      <c r="AY1673" s="52" t="n">
        <v>0</v>
      </c>
      <c r="AZ1673" s="52" t="n">
        <v>0</v>
      </c>
      <c r="BA1673" s="52" t="n">
        <v>0</v>
      </c>
      <c r="BB1673" s="52" t="n">
        <v>0</v>
      </c>
      <c r="BC1673" s="51" t="n">
        <v>0</v>
      </c>
      <c r="BD1673" s="51" t="n">
        <v>0</v>
      </c>
      <c r="BE1673" s="51" t="n">
        <v>0</v>
      </c>
      <c r="BF1673" s="51" t="n">
        <v>0</v>
      </c>
    </row>
    <row r="1674">
      <c r="A1674">
        <f>HYPERLINK("https://www.walmart.com/ip/115573533", "115573533")</f>
        <v/>
      </c>
      <c r="B1674" t="inlineStr">
        <is>
          <t>JenniWears Women's Intimate Fishnet Bodystocking Chemise Lingerie Dress</t>
        </is>
      </c>
      <c r="C1674" t="inlineStr">
        <is>
          <t>JWBS8817</t>
        </is>
      </c>
      <c r="D1674" t="inlineStr">
        <is>
          <t>Teddies &amp; Bodystockings</t>
        </is>
      </c>
      <c r="E1674" t="inlineStr">
        <is>
          <t>JenniWears</t>
        </is>
      </c>
      <c r="F1674" t="inlineStr">
        <is>
          <t>Valentine</t>
        </is>
      </c>
      <c r="G1674" s="48" t="n">
        <v>0</v>
      </c>
      <c r="H1674" s="48" t="n">
        <v>0</v>
      </c>
      <c r="I1674" s="48" t="n">
        <v>0</v>
      </c>
      <c r="J1674" s="48" t="n">
        <v>0</v>
      </c>
      <c r="K1674" s="49" t="n">
        <v>0</v>
      </c>
      <c r="L1674" s="49" t="n">
        <v>0</v>
      </c>
      <c r="M1674" s="49" t="n">
        <v>0</v>
      </c>
      <c r="N1674" s="49" t="n">
        <v>0</v>
      </c>
      <c r="O1674" s="49" t="n">
        <v>0</v>
      </c>
      <c r="P1674" s="49" t="n">
        <v>0</v>
      </c>
      <c r="Q1674" s="49" t="n">
        <v>0</v>
      </c>
      <c r="R1674" s="49" t="n">
        <v>0</v>
      </c>
      <c r="S1674" s="50" t="n">
        <v>0</v>
      </c>
      <c r="T1674" s="50" t="n">
        <v>0</v>
      </c>
      <c r="U1674" s="50" t="n">
        <v>0</v>
      </c>
      <c r="V1674" s="50" t="n">
        <v>0</v>
      </c>
      <c r="W1674" s="51" t="n">
        <v>0</v>
      </c>
      <c r="X1674" s="51" t="n">
        <v>0</v>
      </c>
      <c r="Y1674" s="51" t="n">
        <v>0</v>
      </c>
      <c r="Z1674" s="51" t="n">
        <v>0</v>
      </c>
      <c r="AA1674" s="52" t="n">
        <v>0</v>
      </c>
      <c r="AB1674" s="52" t="n">
        <v>0</v>
      </c>
      <c r="AC1674" s="52" t="n">
        <v>0</v>
      </c>
      <c r="AD1674" s="52" t="n">
        <v>0</v>
      </c>
      <c r="AE1674" s="52" t="n">
        <v>0</v>
      </c>
      <c r="AF1674" s="52" t="n">
        <v>0</v>
      </c>
      <c r="AG1674" s="52" t="n">
        <v>0</v>
      </c>
      <c r="AH1674" s="52" t="n">
        <v>0</v>
      </c>
      <c r="AI1674" s="52" t="n">
        <v>0</v>
      </c>
      <c r="AJ1674" s="52" t="n">
        <v>0</v>
      </c>
      <c r="AK1674" s="52" t="n">
        <v>0</v>
      </c>
      <c r="AL1674" s="52" t="n">
        <v>0</v>
      </c>
      <c r="AM1674" s="53" t="n">
        <v>0</v>
      </c>
      <c r="AN1674" s="53" t="n">
        <v>0</v>
      </c>
      <c r="AO1674" s="53" t="n">
        <v>0</v>
      </c>
      <c r="AP1674" s="53" t="n">
        <v>0</v>
      </c>
      <c r="AQ1674" s="52" t="n">
        <v>0</v>
      </c>
      <c r="AR1674" s="52" t="n">
        <v>0</v>
      </c>
      <c r="AS1674" s="52" t="n">
        <v>0</v>
      </c>
      <c r="AT1674" s="52" t="n">
        <v>0</v>
      </c>
      <c r="AU1674" s="53" t="n">
        <v>0</v>
      </c>
      <c r="AV1674" s="53" t="n">
        <v>0</v>
      </c>
      <c r="AW1674" s="53" t="n">
        <v>0</v>
      </c>
      <c r="AX1674" s="53" t="n">
        <v>0</v>
      </c>
      <c r="AY1674" s="52" t="n">
        <v>0</v>
      </c>
      <c r="AZ1674" s="52" t="n">
        <v>0</v>
      </c>
      <c r="BA1674" s="52" t="n">
        <v>0</v>
      </c>
      <c r="BB1674" s="52" t="n">
        <v>0</v>
      </c>
      <c r="BC1674" s="51" t="n">
        <v>0</v>
      </c>
      <c r="BD1674" s="51" t="n">
        <v>0</v>
      </c>
      <c r="BE1674" s="51" t="n">
        <v>0</v>
      </c>
      <c r="BF1674" s="51" t="n">
        <v>0</v>
      </c>
    </row>
    <row r="1675">
      <c r="A1675">
        <f>HYPERLINK("https://www.walmart.com/ip/115623032", "115623032")</f>
        <v/>
      </c>
      <c r="B1675" t="inlineStr">
        <is>
          <t>JenniWears® Women's Sexy Strappy Lace Mesh Chemise Lingerie with G-string</t>
        </is>
      </c>
      <c r="C1675" t="inlineStr">
        <is>
          <t>JWBD03BKPP-M</t>
        </is>
      </c>
      <c r="D1675" t="inlineStr">
        <is>
          <t>Lingerie Sets</t>
        </is>
      </c>
      <c r="E1675" t="inlineStr">
        <is>
          <t>JenniWears</t>
        </is>
      </c>
      <c r="F1675" t="inlineStr">
        <is>
          <t>Optimized,Valentine</t>
        </is>
      </c>
      <c r="G1675" s="48" t="n">
        <v>0</v>
      </c>
      <c r="H1675" s="48" t="n">
        <v>0</v>
      </c>
      <c r="I1675" s="48" t="n">
        <v>0</v>
      </c>
      <c r="J1675" s="48" t="n">
        <v>0</v>
      </c>
      <c r="K1675" s="49" t="n">
        <v>0</v>
      </c>
      <c r="L1675" s="49" t="n">
        <v>0</v>
      </c>
      <c r="M1675" s="49" t="n">
        <v>0</v>
      </c>
      <c r="N1675" s="49" t="n">
        <v>0</v>
      </c>
      <c r="O1675" s="49" t="n">
        <v>1</v>
      </c>
      <c r="P1675" s="49" t="n">
        <v>0</v>
      </c>
      <c r="Q1675" s="49" t="n">
        <v>0</v>
      </c>
      <c r="R1675" s="49" t="n">
        <v>0</v>
      </c>
      <c r="S1675" s="50" t="n">
        <v>0</v>
      </c>
      <c r="T1675" s="50" t="n">
        <v>0</v>
      </c>
      <c r="U1675" s="50" t="n">
        <v>0</v>
      </c>
      <c r="V1675" s="50" t="n">
        <v>0</v>
      </c>
      <c r="W1675" s="51" t="n">
        <v>0</v>
      </c>
      <c r="X1675" s="51" t="n">
        <v>0</v>
      </c>
      <c r="Y1675" s="51" t="n">
        <v>0</v>
      </c>
      <c r="Z1675" s="51" t="n">
        <v>0</v>
      </c>
      <c r="AA1675" s="52" t="n">
        <v>0</v>
      </c>
      <c r="AB1675" s="52" t="n">
        <v>0</v>
      </c>
      <c r="AC1675" s="52" t="n">
        <v>0</v>
      </c>
      <c r="AD1675" s="52" t="n">
        <v>0</v>
      </c>
      <c r="AE1675" s="52" t="n">
        <v>0</v>
      </c>
      <c r="AF1675" s="52" t="n">
        <v>0</v>
      </c>
      <c r="AG1675" s="52" t="n">
        <v>0</v>
      </c>
      <c r="AH1675" s="52" t="n">
        <v>0</v>
      </c>
      <c r="AI1675" s="52" t="n">
        <v>0</v>
      </c>
      <c r="AJ1675" s="52" t="n">
        <v>0</v>
      </c>
      <c r="AK1675" s="52" t="n">
        <v>0</v>
      </c>
      <c r="AL1675" s="52" t="n">
        <v>0</v>
      </c>
      <c r="AM1675" s="53" t="n">
        <v>0</v>
      </c>
      <c r="AN1675" s="53" t="n">
        <v>0</v>
      </c>
      <c r="AO1675" s="53" t="n">
        <v>0</v>
      </c>
      <c r="AP1675" s="53" t="n">
        <v>0</v>
      </c>
      <c r="AQ1675" s="52" t="n">
        <v>0</v>
      </c>
      <c r="AR1675" s="52" t="n">
        <v>0</v>
      </c>
      <c r="AS1675" s="52" t="n">
        <v>0</v>
      </c>
      <c r="AT1675" s="52" t="n">
        <v>0</v>
      </c>
      <c r="AU1675" s="53" t="n">
        <v>0</v>
      </c>
      <c r="AV1675" s="53" t="n">
        <v>0</v>
      </c>
      <c r="AW1675" s="53" t="n">
        <v>0</v>
      </c>
      <c r="AX1675" s="53" t="n">
        <v>0</v>
      </c>
      <c r="AY1675" s="52" t="n">
        <v>0</v>
      </c>
      <c r="AZ1675" s="52" t="n">
        <v>0</v>
      </c>
      <c r="BA1675" s="52" t="n">
        <v>0</v>
      </c>
      <c r="BB1675" s="52" t="n">
        <v>0</v>
      </c>
      <c r="BC1675" s="51" t="n">
        <v>0</v>
      </c>
      <c r="BD1675" s="51" t="n">
        <v>0</v>
      </c>
      <c r="BE1675" s="51" t="n">
        <v>0</v>
      </c>
      <c r="BF1675" s="51" t="n">
        <v>0</v>
      </c>
    </row>
    <row r="1676">
      <c r="A1676">
        <f>HYPERLINK("https://www.walmart.com/ip/1158723968", "1158723968")</f>
        <v/>
      </c>
      <c r="B1676" t="inlineStr">
        <is>
          <t>12 Pack Sun Blocker Women's Sun Hat Reversible Bucket Cap UPF 50+ Outdoor Travel Beach Hat, Pink</t>
        </is>
      </c>
      <c r="C1676" t="inlineStr">
        <is>
          <t>KC-S9200-PK-12pcs</t>
        </is>
      </c>
      <c r="D1676" t="inlineStr">
        <is>
          <t>Hats</t>
        </is>
      </c>
      <c r="E1676" t="inlineStr">
        <is>
          <t>Sun Blocker</t>
        </is>
      </c>
      <c r="F1676" t="inlineStr">
        <is>
          <t>Batch 1 - TR</t>
        </is>
      </c>
      <c r="G1676" s="48" t="n">
        <v>0</v>
      </c>
      <c r="H1676" s="48" t="n">
        <v>0</v>
      </c>
      <c r="I1676" s="48" t="n">
        <v>0</v>
      </c>
      <c r="J1676" s="48" t="n">
        <v>0</v>
      </c>
      <c r="K1676" s="49" t="n">
        <v>0</v>
      </c>
      <c r="L1676" s="49" t="n">
        <v>0</v>
      </c>
      <c r="M1676" s="49" t="n">
        <v>0</v>
      </c>
      <c r="N1676" s="49" t="n">
        <v>0</v>
      </c>
      <c r="O1676" s="49" t="n">
        <v>0</v>
      </c>
      <c r="P1676" s="49" t="n">
        <v>0</v>
      </c>
      <c r="Q1676" s="49" t="n">
        <v>0</v>
      </c>
      <c r="R1676" s="49" t="n">
        <v>0</v>
      </c>
      <c r="S1676" s="50" t="n">
        <v>0</v>
      </c>
      <c r="T1676" s="50" t="n">
        <v>0</v>
      </c>
      <c r="U1676" s="50" t="n">
        <v>0</v>
      </c>
      <c r="V1676" s="50" t="n">
        <v>0</v>
      </c>
      <c r="W1676" s="51" t="n">
        <v>0</v>
      </c>
      <c r="X1676" s="51" t="n">
        <v>0</v>
      </c>
      <c r="Y1676" s="51" t="n">
        <v>0</v>
      </c>
      <c r="Z1676" s="51" t="n">
        <v>0</v>
      </c>
      <c r="AA1676" s="52" t="n">
        <v>0</v>
      </c>
      <c r="AB1676" s="52" t="n">
        <v>0</v>
      </c>
      <c r="AC1676" s="52" t="n">
        <v>0</v>
      </c>
      <c r="AD1676" s="52" t="n">
        <v>0</v>
      </c>
      <c r="AE1676" s="52" t="n">
        <v>0</v>
      </c>
      <c r="AF1676" s="52" t="n">
        <v>0</v>
      </c>
      <c r="AG1676" s="52" t="n">
        <v>0</v>
      </c>
      <c r="AH1676" s="52" t="n">
        <v>0</v>
      </c>
      <c r="AI1676" s="52" t="n">
        <v>0</v>
      </c>
      <c r="AJ1676" s="52" t="n">
        <v>0</v>
      </c>
      <c r="AK1676" s="52" t="n">
        <v>0</v>
      </c>
      <c r="AL1676" s="52" t="n">
        <v>0</v>
      </c>
      <c r="AM1676" s="53" t="n">
        <v>0</v>
      </c>
      <c r="AN1676" s="53" t="n">
        <v>0</v>
      </c>
      <c r="AO1676" s="53" t="n">
        <v>0</v>
      </c>
      <c r="AP1676" s="53" t="n">
        <v>0</v>
      </c>
      <c r="AQ1676" s="52" t="n">
        <v>0</v>
      </c>
      <c r="AR1676" s="52" t="n">
        <v>0</v>
      </c>
      <c r="AS1676" s="52" t="n">
        <v>0</v>
      </c>
      <c r="AT1676" s="52" t="n">
        <v>0</v>
      </c>
      <c r="AU1676" s="53" t="n">
        <v>0</v>
      </c>
      <c r="AV1676" s="53" t="n">
        <v>0</v>
      </c>
      <c r="AW1676" s="53" t="n">
        <v>0</v>
      </c>
      <c r="AX1676" s="53" t="n">
        <v>0</v>
      </c>
      <c r="AY1676" s="52" t="n">
        <v>0</v>
      </c>
      <c r="AZ1676" s="52" t="n">
        <v>0</v>
      </c>
      <c r="BA1676" s="52" t="n">
        <v>0</v>
      </c>
      <c r="BB1676" s="52" t="n">
        <v>0</v>
      </c>
      <c r="BC1676" s="51" t="n">
        <v>0</v>
      </c>
      <c r="BD1676" s="51" t="n">
        <v>0</v>
      </c>
      <c r="BE1676" s="51" t="n">
        <v>0</v>
      </c>
      <c r="BF1676" s="51" t="n">
        <v>0</v>
      </c>
    </row>
    <row r="1677">
      <c r="A1677">
        <f>HYPERLINK("https://www.walmart.com/ip/116106539", "116106539")</f>
        <v/>
      </c>
      <c r="B1677" t="inlineStr">
        <is>
          <t>Sherpa Slipper Socks for Women,Winter Indoor Home Non Skid Booties</t>
        </is>
      </c>
      <c r="C1677" t="inlineStr">
        <is>
          <t>1CTST200PP-1</t>
        </is>
      </c>
      <c r="D1677" t="inlineStr">
        <is>
          <t>Socks</t>
        </is>
      </c>
      <c r="E1677" t="inlineStr">
        <is>
          <t>Catalonia</t>
        </is>
      </c>
      <c r="F1677" t="inlineStr">
        <is>
          <t>WFS,WFS Item</t>
        </is>
      </c>
      <c r="G1677" s="48" t="n">
        <v>0</v>
      </c>
      <c r="H1677" s="48" t="n">
        <v>0</v>
      </c>
      <c r="I1677" s="48" t="n">
        <v>0</v>
      </c>
      <c r="J1677" s="48" t="n">
        <v>0</v>
      </c>
      <c r="K1677" s="49" t="n">
        <v>0</v>
      </c>
      <c r="L1677" s="49" t="n">
        <v>0</v>
      </c>
      <c r="M1677" s="49" t="n">
        <v>0</v>
      </c>
      <c r="N1677" s="49" t="n">
        <v>0</v>
      </c>
      <c r="O1677" s="49" t="n">
        <v>0</v>
      </c>
      <c r="P1677" s="49" t="n">
        <v>0</v>
      </c>
      <c r="Q1677" s="49" t="n">
        <v>0</v>
      </c>
      <c r="R1677" s="49" t="n">
        <v>0</v>
      </c>
      <c r="S1677" s="50" t="n">
        <v>0</v>
      </c>
      <c r="T1677" s="50" t="n">
        <v>0</v>
      </c>
      <c r="U1677" s="50" t="n">
        <v>0</v>
      </c>
      <c r="V1677" s="50" t="n">
        <v>0</v>
      </c>
      <c r="W1677" s="51" t="n">
        <v>0</v>
      </c>
      <c r="X1677" s="51" t="n">
        <v>0</v>
      </c>
      <c r="Y1677" s="51" t="n">
        <v>0</v>
      </c>
      <c r="Z1677" s="51" t="n">
        <v>0</v>
      </c>
      <c r="AA1677" s="52" t="n">
        <v>0</v>
      </c>
      <c r="AB1677" s="52" t="n">
        <v>0</v>
      </c>
      <c r="AC1677" s="52" t="n">
        <v>0</v>
      </c>
      <c r="AD1677" s="52" t="n">
        <v>0</v>
      </c>
      <c r="AE1677" s="52" t="n">
        <v>0</v>
      </c>
      <c r="AF1677" s="52" t="n">
        <v>0</v>
      </c>
      <c r="AG1677" s="52" t="n">
        <v>0</v>
      </c>
      <c r="AH1677" s="52" t="n">
        <v>0</v>
      </c>
      <c r="AI1677" s="52" t="n">
        <v>0</v>
      </c>
      <c r="AJ1677" s="52" t="n">
        <v>0</v>
      </c>
      <c r="AK1677" s="52" t="n">
        <v>0</v>
      </c>
      <c r="AL1677" s="52" t="n">
        <v>0</v>
      </c>
      <c r="AM1677" s="53" t="n">
        <v>0</v>
      </c>
      <c r="AN1677" s="53" t="n">
        <v>0</v>
      </c>
      <c r="AO1677" s="53" t="n">
        <v>0</v>
      </c>
      <c r="AP1677" s="53" t="n">
        <v>0</v>
      </c>
      <c r="AQ1677" s="52" t="n">
        <v>0</v>
      </c>
      <c r="AR1677" s="52" t="n">
        <v>0</v>
      </c>
      <c r="AS1677" s="52" t="n">
        <v>0</v>
      </c>
      <c r="AT1677" s="52" t="n">
        <v>0</v>
      </c>
      <c r="AU1677" s="53" t="n">
        <v>0</v>
      </c>
      <c r="AV1677" s="53" t="n">
        <v>0</v>
      </c>
      <c r="AW1677" s="53" t="n">
        <v>0</v>
      </c>
      <c r="AX1677" s="53" t="n">
        <v>0</v>
      </c>
      <c r="AY1677" s="52" t="n">
        <v>0</v>
      </c>
      <c r="AZ1677" s="52" t="n">
        <v>0</v>
      </c>
      <c r="BA1677" s="52" t="n">
        <v>0</v>
      </c>
      <c r="BB1677" s="52" t="n">
        <v>0</v>
      </c>
      <c r="BC1677" s="51" t="n">
        <v>0</v>
      </c>
      <c r="BD1677" s="51" t="n">
        <v>0</v>
      </c>
      <c r="BE1677" s="51" t="n">
        <v>0</v>
      </c>
      <c r="BF1677" s="51" t="n">
        <v>0</v>
      </c>
    </row>
    <row r="1678">
      <c r="A1678">
        <f>HYPERLINK("https://www.walmart.com/ip/1161344645", "1161344645")</f>
        <v/>
      </c>
      <c r="B1678" t="inlineStr">
        <is>
          <t>Tirrinia Lunch Bags for Women Men, Cute Insulated Lunch Tote Bag for Girls, Fashionable Lunch Box for Adult Kids, Reusable Large Cooler Lunch Bag for School, Work, Office, Picnic | Yellow Lemon</t>
        </is>
      </c>
      <c r="C1678" t="inlineStr">
        <is>
          <t>1WMLB707YLLEM</t>
        </is>
      </c>
      <c r="D1678" t="inlineStr">
        <is>
          <t>Reusable Lunch Bags &amp; Boxes</t>
        </is>
      </c>
      <c r="E1678" t="inlineStr">
        <is>
          <t>Tirrinia</t>
        </is>
      </c>
      <c r="F1678" t="inlineStr">
        <is>
          <t>Q2-Target,Brand Camp VD</t>
        </is>
      </c>
      <c r="G1678" s="48" t="n">
        <v>0</v>
      </c>
      <c r="H1678" s="48" t="n">
        <v>0</v>
      </c>
      <c r="I1678" s="48" t="n">
        <v>0</v>
      </c>
      <c r="J1678" s="48" t="n">
        <v>0</v>
      </c>
      <c r="K1678" s="49" t="n">
        <v>0</v>
      </c>
      <c r="L1678" s="49" t="n">
        <v>0</v>
      </c>
      <c r="M1678" s="49" t="n">
        <v>0</v>
      </c>
      <c r="N1678" s="49" t="n">
        <v>0</v>
      </c>
      <c r="O1678" s="49" t="n">
        <v>0</v>
      </c>
      <c r="P1678" s="49" t="n">
        <v>0</v>
      </c>
      <c r="Q1678" s="49" t="n">
        <v>0</v>
      </c>
      <c r="R1678" s="49" t="n">
        <v>0</v>
      </c>
      <c r="S1678" s="50" t="n">
        <v>0</v>
      </c>
      <c r="T1678" s="50" t="n">
        <v>0</v>
      </c>
      <c r="U1678" s="50" t="n">
        <v>0</v>
      </c>
      <c r="V1678" s="50" t="n">
        <v>0</v>
      </c>
      <c r="W1678" s="51" t="n">
        <v>0</v>
      </c>
      <c r="X1678" s="51" t="n">
        <v>0</v>
      </c>
      <c r="Y1678" s="51" t="n">
        <v>0</v>
      </c>
      <c r="Z1678" s="51" t="n">
        <v>0</v>
      </c>
      <c r="AA1678" s="52" t="n">
        <v>0</v>
      </c>
      <c r="AB1678" s="52" t="n">
        <v>0</v>
      </c>
      <c r="AC1678" s="52" t="n">
        <v>0</v>
      </c>
      <c r="AD1678" s="52" t="n">
        <v>0</v>
      </c>
      <c r="AE1678" s="52" t="n">
        <v>0</v>
      </c>
      <c r="AF1678" s="52" t="n">
        <v>0</v>
      </c>
      <c r="AG1678" s="52" t="n">
        <v>0</v>
      </c>
      <c r="AH1678" s="52" t="n">
        <v>0</v>
      </c>
      <c r="AI1678" s="52" t="n">
        <v>0</v>
      </c>
      <c r="AJ1678" s="52" t="n">
        <v>0</v>
      </c>
      <c r="AK1678" s="52" t="n">
        <v>0</v>
      </c>
      <c r="AL1678" s="52" t="n">
        <v>0</v>
      </c>
      <c r="AM1678" s="53" t="n">
        <v>0</v>
      </c>
      <c r="AN1678" s="53" t="n">
        <v>0</v>
      </c>
      <c r="AO1678" s="53" t="n">
        <v>0</v>
      </c>
      <c r="AP1678" s="53" t="n">
        <v>0</v>
      </c>
      <c r="AQ1678" s="52" t="n">
        <v>0</v>
      </c>
      <c r="AR1678" s="52" t="n">
        <v>0</v>
      </c>
      <c r="AS1678" s="52" t="n">
        <v>0</v>
      </c>
      <c r="AT1678" s="52" t="n">
        <v>0</v>
      </c>
      <c r="AU1678" s="53" t="n">
        <v>0</v>
      </c>
      <c r="AV1678" s="53" t="n">
        <v>0</v>
      </c>
      <c r="AW1678" s="53" t="n">
        <v>0</v>
      </c>
      <c r="AX1678" s="53" t="n">
        <v>0</v>
      </c>
      <c r="AY1678" s="52" t="n">
        <v>0</v>
      </c>
      <c r="AZ1678" s="52" t="n">
        <v>0</v>
      </c>
      <c r="BA1678" s="52" t="n">
        <v>0</v>
      </c>
      <c r="BB1678" s="52" t="n">
        <v>0</v>
      </c>
      <c r="BC1678" s="51" t="n">
        <v>0</v>
      </c>
      <c r="BD1678" s="51" t="n">
        <v>0</v>
      </c>
      <c r="BE1678" s="51" t="n">
        <v>0</v>
      </c>
      <c r="BF1678" s="51" t="n">
        <v>0</v>
      </c>
    </row>
    <row r="1679">
      <c r="A1679">
        <f>HYPERLINK("https://www.walmart.com/ip/116168425", "116168425")</f>
        <v/>
      </c>
      <c r="B1679" t="inlineStr">
        <is>
          <t>Male Female Adjustable Buckle Closure USA Flag Embroidered Cap</t>
        </is>
      </c>
      <c r="C1679" t="inlineStr">
        <is>
          <t>kc-ae8010-kk</t>
        </is>
      </c>
      <c r="D1679" t="inlineStr">
        <is>
          <t>Hats</t>
        </is>
      </c>
      <c r="E1679" t="inlineStr">
        <is>
          <t>KC Caps</t>
        </is>
      </c>
      <c r="F1679" t="inlineStr">
        <is>
          <t>Optimized</t>
        </is>
      </c>
      <c r="G1679" s="48" t="n">
        <v>0</v>
      </c>
      <c r="H1679" s="48" t="n">
        <v>0</v>
      </c>
      <c r="I1679" s="48" t="n">
        <v>0</v>
      </c>
      <c r="J1679" s="48" t="n">
        <v>0</v>
      </c>
      <c r="K1679" s="49" t="n">
        <v>0</v>
      </c>
      <c r="L1679" s="49" t="n">
        <v>0</v>
      </c>
      <c r="M1679" s="49" t="n">
        <v>0</v>
      </c>
      <c r="N1679" s="49" t="n">
        <v>0</v>
      </c>
      <c r="O1679" s="49" t="n">
        <v>0</v>
      </c>
      <c r="P1679" s="49" t="n">
        <v>0</v>
      </c>
      <c r="Q1679" s="49" t="n">
        <v>0</v>
      </c>
      <c r="R1679" s="49" t="n">
        <v>0</v>
      </c>
      <c r="S1679" s="50" t="n">
        <v>0</v>
      </c>
      <c r="T1679" s="50" t="n">
        <v>0</v>
      </c>
      <c r="U1679" s="50" t="n">
        <v>0</v>
      </c>
      <c r="V1679" s="50" t="n">
        <v>0</v>
      </c>
      <c r="W1679" s="51" t="n">
        <v>0</v>
      </c>
      <c r="X1679" s="51" t="n">
        <v>0</v>
      </c>
      <c r="Y1679" s="51" t="n">
        <v>0</v>
      </c>
      <c r="Z1679" s="51" t="n">
        <v>0</v>
      </c>
      <c r="AA1679" s="52" t="n">
        <v>0</v>
      </c>
      <c r="AB1679" s="52" t="n">
        <v>0</v>
      </c>
      <c r="AC1679" s="52" t="n">
        <v>0</v>
      </c>
      <c r="AD1679" s="52" t="n">
        <v>0</v>
      </c>
      <c r="AE1679" s="52" t="n">
        <v>0</v>
      </c>
      <c r="AF1679" s="52" t="n">
        <v>0</v>
      </c>
      <c r="AG1679" s="52" t="n">
        <v>0</v>
      </c>
      <c r="AH1679" s="52" t="n">
        <v>0</v>
      </c>
      <c r="AI1679" s="52" t="n">
        <v>0</v>
      </c>
      <c r="AJ1679" s="52" t="n">
        <v>0</v>
      </c>
      <c r="AK1679" s="52" t="n">
        <v>0</v>
      </c>
      <c r="AL1679" s="52" t="n">
        <v>0</v>
      </c>
      <c r="AM1679" s="53" t="n">
        <v>0</v>
      </c>
      <c r="AN1679" s="53" t="n">
        <v>0</v>
      </c>
      <c r="AO1679" s="53" t="n">
        <v>0</v>
      </c>
      <c r="AP1679" s="53" t="n">
        <v>0</v>
      </c>
      <c r="AQ1679" s="52" t="n">
        <v>0</v>
      </c>
      <c r="AR1679" s="52" t="n">
        <v>0</v>
      </c>
      <c r="AS1679" s="52" t="n">
        <v>0</v>
      </c>
      <c r="AT1679" s="52" t="n">
        <v>0</v>
      </c>
      <c r="AU1679" s="53" t="n">
        <v>0</v>
      </c>
      <c r="AV1679" s="53" t="n">
        <v>0</v>
      </c>
      <c r="AW1679" s="53" t="n">
        <v>0</v>
      </c>
      <c r="AX1679" s="53" t="n">
        <v>0</v>
      </c>
      <c r="AY1679" s="52" t="n">
        <v>0</v>
      </c>
      <c r="AZ1679" s="52" t="n">
        <v>0</v>
      </c>
      <c r="BA1679" s="52" t="n">
        <v>0</v>
      </c>
      <c r="BB1679" s="52" t="n">
        <v>0</v>
      </c>
      <c r="BC1679" s="51" t="n">
        <v>0</v>
      </c>
      <c r="BD1679" s="51" t="n">
        <v>0</v>
      </c>
      <c r="BE1679" s="51" t="n">
        <v>0</v>
      </c>
      <c r="BF1679" s="51" t="n">
        <v>0</v>
      </c>
    </row>
    <row r="1680">
      <c r="A1680">
        <f>HYPERLINK("https://www.walmart.com/ip/116188703", "116188703")</f>
        <v/>
      </c>
      <c r="B1680" t="inlineStr">
        <is>
          <t>Vina® 5 Pcs/set Deluxe Wine Bottle Opener Accessories Gift Set - Wine Bottle Opener, Wine Stopper, Wine Drip Ring, Wine Foil Cutter and Wine Pourer</t>
        </is>
      </c>
      <c r="C1680" t="inlineStr">
        <is>
          <t>VinaWO002RD</t>
        </is>
      </c>
      <c r="D1680" t="inlineStr">
        <is>
          <t>Corkscrews &amp; Wine Bottle Openers</t>
        </is>
      </c>
      <c r="E1680" t="inlineStr">
        <is>
          <t>Vina</t>
        </is>
      </c>
      <c r="F1680" t="inlineStr">
        <is>
          <t>Wine,Christmas,Optimized</t>
        </is>
      </c>
      <c r="G1680" s="48" t="n">
        <v>0</v>
      </c>
      <c r="H1680" s="48" t="n">
        <v>0</v>
      </c>
      <c r="I1680" s="48" t="n">
        <v>0</v>
      </c>
      <c r="J1680" s="48" t="n">
        <v>0</v>
      </c>
      <c r="K1680" s="49" t="n">
        <v>0</v>
      </c>
      <c r="L1680" s="49" t="n">
        <v>0</v>
      </c>
      <c r="M1680" s="49" t="n">
        <v>0</v>
      </c>
      <c r="N1680" s="49" t="n">
        <v>0</v>
      </c>
      <c r="O1680" s="49" t="n">
        <v>0</v>
      </c>
      <c r="P1680" s="49" t="n">
        <v>0</v>
      </c>
      <c r="Q1680" s="49" t="n">
        <v>0</v>
      </c>
      <c r="R1680" s="49" t="n">
        <v>0</v>
      </c>
      <c r="S1680" s="50" t="n">
        <v>0</v>
      </c>
      <c r="T1680" s="50" t="n">
        <v>0</v>
      </c>
      <c r="U1680" s="50" t="n">
        <v>0</v>
      </c>
      <c r="V1680" s="50" t="n">
        <v>0</v>
      </c>
      <c r="W1680" s="51" t="n">
        <v>0</v>
      </c>
      <c r="X1680" s="51" t="n">
        <v>0</v>
      </c>
      <c r="Y1680" s="51" t="n">
        <v>0</v>
      </c>
      <c r="Z1680" s="51" t="n">
        <v>0</v>
      </c>
      <c r="AA1680" s="52" t="n">
        <v>0</v>
      </c>
      <c r="AB1680" s="52" t="n">
        <v>0</v>
      </c>
      <c r="AC1680" s="52" t="n">
        <v>0</v>
      </c>
      <c r="AD1680" s="52" t="n">
        <v>0</v>
      </c>
      <c r="AE1680" s="52" t="n">
        <v>0</v>
      </c>
      <c r="AF1680" s="52" t="n">
        <v>0</v>
      </c>
      <c r="AG1680" s="52" t="n">
        <v>0</v>
      </c>
      <c r="AH1680" s="52" t="n">
        <v>0</v>
      </c>
      <c r="AI1680" s="52" t="n">
        <v>0</v>
      </c>
      <c r="AJ1680" s="52" t="n">
        <v>0</v>
      </c>
      <c r="AK1680" s="52" t="n">
        <v>0</v>
      </c>
      <c r="AL1680" s="52" t="n">
        <v>0</v>
      </c>
      <c r="AM1680" s="53" t="n">
        <v>0</v>
      </c>
      <c r="AN1680" s="53" t="n">
        <v>0</v>
      </c>
      <c r="AO1680" s="53" t="n">
        <v>0</v>
      </c>
      <c r="AP1680" s="53" t="n">
        <v>0</v>
      </c>
      <c r="AQ1680" s="52" t="n">
        <v>0</v>
      </c>
      <c r="AR1680" s="52" t="n">
        <v>0</v>
      </c>
      <c r="AS1680" s="52" t="n">
        <v>0</v>
      </c>
      <c r="AT1680" s="52" t="n">
        <v>0</v>
      </c>
      <c r="AU1680" s="53" t="n">
        <v>0</v>
      </c>
      <c r="AV1680" s="53" t="n">
        <v>0</v>
      </c>
      <c r="AW1680" s="53" t="n">
        <v>0</v>
      </c>
      <c r="AX1680" s="53" t="n">
        <v>0</v>
      </c>
      <c r="AY1680" s="52" t="n">
        <v>0</v>
      </c>
      <c r="AZ1680" s="52" t="n">
        <v>0</v>
      </c>
      <c r="BA1680" s="52" t="n">
        <v>0</v>
      </c>
      <c r="BB1680" s="52" t="n">
        <v>0</v>
      </c>
      <c r="BC1680" s="51" t="n">
        <v>0</v>
      </c>
      <c r="BD1680" s="51" t="n">
        <v>0</v>
      </c>
      <c r="BE1680" s="51" t="n">
        <v>0</v>
      </c>
      <c r="BF1680" s="51" t="n">
        <v>0</v>
      </c>
    </row>
    <row r="1681">
      <c r="A1681">
        <f>HYPERLINK("https://www.walmart.com/ip/116302560", "116302560")</f>
        <v/>
      </c>
      <c r="B1681" t="inlineStr">
        <is>
          <t>JenniWears Beileise Women's Sheer Silicone Lace Jumbo Net Pantyhose Top Thigh High Black</t>
        </is>
      </c>
      <c r="C1681" t="inlineStr">
        <is>
          <t>JWBLSPH2122</t>
        </is>
      </c>
      <c r="D1681" t="inlineStr">
        <is>
          <t>Pantyhose &amp; Tights</t>
        </is>
      </c>
      <c r="E1681" t="inlineStr">
        <is>
          <t>JenniWears</t>
        </is>
      </c>
      <c r="F1681" t="inlineStr">
        <is>
          <t>Valentine</t>
        </is>
      </c>
      <c r="G1681" s="48" t="n">
        <v>0</v>
      </c>
      <c r="H1681" s="48" t="n">
        <v>0</v>
      </c>
      <c r="I1681" s="48" t="n">
        <v>0</v>
      </c>
      <c r="J1681" s="48" t="n">
        <v>0</v>
      </c>
      <c r="K1681" s="49" t="n">
        <v>0</v>
      </c>
      <c r="L1681" s="49" t="n">
        <v>0</v>
      </c>
      <c r="M1681" s="49" t="n">
        <v>0</v>
      </c>
      <c r="N1681" s="49" t="n">
        <v>0</v>
      </c>
      <c r="O1681" s="49" t="n">
        <v>0</v>
      </c>
      <c r="P1681" s="49" t="n">
        <v>0</v>
      </c>
      <c r="Q1681" s="49" t="n">
        <v>0</v>
      </c>
      <c r="R1681" s="49" t="n">
        <v>0</v>
      </c>
      <c r="S1681" s="50" t="n">
        <v>0</v>
      </c>
      <c r="T1681" s="50" t="n">
        <v>0</v>
      </c>
      <c r="U1681" s="50" t="n">
        <v>0</v>
      </c>
      <c r="V1681" s="50" t="n">
        <v>0</v>
      </c>
      <c r="W1681" s="51" t="n">
        <v>0</v>
      </c>
      <c r="X1681" s="51" t="n">
        <v>0</v>
      </c>
      <c r="Y1681" s="51" t="n">
        <v>0</v>
      </c>
      <c r="Z1681" s="51" t="n">
        <v>0</v>
      </c>
      <c r="AA1681" s="52" t="n">
        <v>0</v>
      </c>
      <c r="AB1681" s="52" t="n">
        <v>0</v>
      </c>
      <c r="AC1681" s="52" t="n">
        <v>0</v>
      </c>
      <c r="AD1681" s="52" t="n">
        <v>0</v>
      </c>
      <c r="AE1681" s="52" t="n">
        <v>0</v>
      </c>
      <c r="AF1681" s="52" t="n">
        <v>0</v>
      </c>
      <c r="AG1681" s="52" t="n">
        <v>0</v>
      </c>
      <c r="AH1681" s="52" t="n">
        <v>0</v>
      </c>
      <c r="AI1681" s="52" t="n">
        <v>0</v>
      </c>
      <c r="AJ1681" s="52" t="n">
        <v>0</v>
      </c>
      <c r="AK1681" s="52" t="n">
        <v>0</v>
      </c>
      <c r="AL1681" s="52" t="n">
        <v>0</v>
      </c>
      <c r="AM1681" s="53" t="n">
        <v>0</v>
      </c>
      <c r="AN1681" s="53" t="n">
        <v>0</v>
      </c>
      <c r="AO1681" s="53" t="n">
        <v>0</v>
      </c>
      <c r="AP1681" s="53" t="n">
        <v>0</v>
      </c>
      <c r="AQ1681" s="52" t="n">
        <v>0</v>
      </c>
      <c r="AR1681" s="52" t="n">
        <v>0</v>
      </c>
      <c r="AS1681" s="52" t="n">
        <v>0</v>
      </c>
      <c r="AT1681" s="52" t="n">
        <v>0</v>
      </c>
      <c r="AU1681" s="53" t="n">
        <v>0</v>
      </c>
      <c r="AV1681" s="53" t="n">
        <v>0</v>
      </c>
      <c r="AW1681" s="53" t="n">
        <v>0</v>
      </c>
      <c r="AX1681" s="53" t="n">
        <v>0</v>
      </c>
      <c r="AY1681" s="52" t="n">
        <v>0</v>
      </c>
      <c r="AZ1681" s="52" t="n">
        <v>0</v>
      </c>
      <c r="BA1681" s="52" t="n">
        <v>0</v>
      </c>
      <c r="BB1681" s="52" t="n">
        <v>0</v>
      </c>
      <c r="BC1681" s="51" t="n">
        <v>0</v>
      </c>
      <c r="BD1681" s="51" t="n">
        <v>0</v>
      </c>
      <c r="BE1681" s="51" t="n">
        <v>0</v>
      </c>
      <c r="BF1681" s="51" t="n">
        <v>0</v>
      </c>
    </row>
    <row r="1682">
      <c r="A1682">
        <f>HYPERLINK("https://www.walmart.com/ip/116455117", "116455117")</f>
        <v/>
      </c>
      <c r="B1682" t="inlineStr">
        <is>
          <t>JenniWears® Women's Kimono Lace Lingerie Sleepwear Matching Cheeky Panty</t>
        </is>
      </c>
      <c r="C1682" t="inlineStr">
        <is>
          <t>JWRS01PK-M</t>
        </is>
      </c>
      <c r="D1682" t="inlineStr">
        <is>
          <t>Lingerie Sets</t>
        </is>
      </c>
      <c r="E1682" t="inlineStr">
        <is>
          <t>JenniWears</t>
        </is>
      </c>
      <c r="F1682" t="inlineStr">
        <is>
          <t>Optimized,Valentine</t>
        </is>
      </c>
      <c r="G1682" s="48" t="n">
        <v>0</v>
      </c>
      <c r="H1682" s="48" t="n">
        <v>0</v>
      </c>
      <c r="I1682" s="48" t="n">
        <v>7.99</v>
      </c>
      <c r="J1682" s="48" t="n">
        <v>0</v>
      </c>
      <c r="K1682" s="49" t="n">
        <v>0</v>
      </c>
      <c r="L1682" s="49" t="n">
        <v>0</v>
      </c>
      <c r="M1682" s="49" t="n">
        <v>1</v>
      </c>
      <c r="N1682" s="49" t="n">
        <v>0</v>
      </c>
      <c r="O1682" s="49" t="n">
        <v>0</v>
      </c>
      <c r="P1682" s="49" t="n">
        <v>0</v>
      </c>
      <c r="Q1682" s="49" t="n">
        <v>0</v>
      </c>
      <c r="R1682" s="49" t="n">
        <v>0</v>
      </c>
      <c r="S1682" s="50" t="n">
        <v>0</v>
      </c>
      <c r="T1682" s="50" t="n">
        <v>0</v>
      </c>
      <c r="U1682" s="50" t="n">
        <v>0</v>
      </c>
      <c r="V1682" s="50" t="n">
        <v>0</v>
      </c>
      <c r="W1682" s="51" t="n">
        <v>0</v>
      </c>
      <c r="X1682" s="51" t="n">
        <v>0</v>
      </c>
      <c r="Y1682" s="51" t="n">
        <v>0</v>
      </c>
      <c r="Z1682" s="51" t="n">
        <v>0</v>
      </c>
      <c r="AA1682" s="52" t="n">
        <v>0</v>
      </c>
      <c r="AB1682" s="52" t="n">
        <v>0</v>
      </c>
      <c r="AC1682" s="52" t="n">
        <v>0</v>
      </c>
      <c r="AD1682" s="52" t="n">
        <v>0</v>
      </c>
      <c r="AE1682" s="52" t="n">
        <v>0</v>
      </c>
      <c r="AF1682" s="52" t="n">
        <v>0</v>
      </c>
      <c r="AG1682" s="52" t="n">
        <v>0</v>
      </c>
      <c r="AH1682" s="52" t="n">
        <v>0</v>
      </c>
      <c r="AI1682" s="52" t="n">
        <v>0</v>
      </c>
      <c r="AJ1682" s="52" t="n">
        <v>0</v>
      </c>
      <c r="AK1682" s="52" t="n">
        <v>0</v>
      </c>
      <c r="AL1682" s="52" t="n">
        <v>0</v>
      </c>
      <c r="AM1682" s="53" t="n">
        <v>0</v>
      </c>
      <c r="AN1682" s="53" t="n">
        <v>0</v>
      </c>
      <c r="AO1682" s="53" t="n">
        <v>0</v>
      </c>
      <c r="AP1682" s="53" t="n">
        <v>0</v>
      </c>
      <c r="AQ1682" s="52" t="n">
        <v>0</v>
      </c>
      <c r="AR1682" s="52" t="n">
        <v>0</v>
      </c>
      <c r="AS1682" s="52" t="n">
        <v>0</v>
      </c>
      <c r="AT1682" s="52" t="n">
        <v>0</v>
      </c>
      <c r="AU1682" s="53" t="n">
        <v>0</v>
      </c>
      <c r="AV1682" s="53" t="n">
        <v>0</v>
      </c>
      <c r="AW1682" s="53" t="n">
        <v>0</v>
      </c>
      <c r="AX1682" s="53" t="n">
        <v>0</v>
      </c>
      <c r="AY1682" s="52" t="n">
        <v>0</v>
      </c>
      <c r="AZ1682" s="52" t="n">
        <v>0</v>
      </c>
      <c r="BA1682" s="52" t="n">
        <v>7.99</v>
      </c>
      <c r="BB1682" s="52" t="n">
        <v>0</v>
      </c>
      <c r="BC1682" s="51" t="n">
        <v>0</v>
      </c>
      <c r="BD1682" s="51" t="n">
        <v>0</v>
      </c>
      <c r="BE1682" s="51" t="n">
        <v>0</v>
      </c>
      <c r="BF1682" s="51" t="n">
        <v>0</v>
      </c>
    </row>
    <row r="1683">
      <c r="A1683">
        <f>HYPERLINK("https://www.walmart.com/ip/108181843", "108181843")</f>
        <v/>
      </c>
      <c r="B1683" t="inlineStr">
        <is>
          <t>Tirrinia Insulated Lunch Bag for Women Men, Leakproof Thermal Reusable Lunch Box for Adult, Kids, Student, Lunch Cooler Tote for Office Work, Back to School, Medium, Purple</t>
        </is>
      </c>
      <c r="C1683" t="inlineStr">
        <is>
          <t>1TRLB701PP-N</t>
        </is>
      </c>
      <c r="D1683" t="inlineStr">
        <is>
          <t>Reusable Lunch Bags &amp; Boxes</t>
        </is>
      </c>
      <c r="E1683" t="inlineStr">
        <is>
          <t>Tirrinia</t>
        </is>
      </c>
      <c r="F1683" t="inlineStr">
        <is>
          <t>Q2-Target,Brand Camp VD,Lunch Bag,WFS,Lunch Bags,SEM,WFS Item</t>
        </is>
      </c>
      <c r="G1683" s="48" t="n">
        <v>0</v>
      </c>
      <c r="H1683" s="48" t="n">
        <v>0</v>
      </c>
      <c r="I1683" s="48" t="n">
        <v>13.99</v>
      </c>
      <c r="J1683" s="48" t="n">
        <v>0</v>
      </c>
      <c r="K1683" s="49" t="n">
        <v>0</v>
      </c>
      <c r="L1683" s="49" t="n">
        <v>0</v>
      </c>
      <c r="M1683" s="49" t="n">
        <v>1</v>
      </c>
      <c r="N1683" s="49" t="n">
        <v>0</v>
      </c>
      <c r="O1683" s="49" t="n">
        <v>0</v>
      </c>
      <c r="P1683" s="49" t="n">
        <v>0</v>
      </c>
      <c r="Q1683" s="49" t="n">
        <v>1</v>
      </c>
      <c r="R1683" s="49" t="n">
        <v>4</v>
      </c>
      <c r="S1683" s="50" t="n">
        <v>0</v>
      </c>
      <c r="T1683" s="50" t="n">
        <v>0</v>
      </c>
      <c r="U1683" s="50" t="n">
        <v>1</v>
      </c>
      <c r="V1683" s="50" t="n">
        <v>0</v>
      </c>
      <c r="W1683" s="51" t="n">
        <v>0</v>
      </c>
      <c r="X1683" s="51" t="n">
        <v>0</v>
      </c>
      <c r="Y1683" s="51" t="n">
        <v>0</v>
      </c>
      <c r="Z1683" s="51" t="n">
        <v>0</v>
      </c>
      <c r="AA1683" s="52" t="n">
        <v>0</v>
      </c>
      <c r="AB1683" s="52" t="n">
        <v>0</v>
      </c>
      <c r="AC1683" s="52" t="n">
        <v>0</v>
      </c>
      <c r="AD1683" s="52" t="n">
        <v>0</v>
      </c>
      <c r="AE1683" s="52" t="n">
        <v>0</v>
      </c>
      <c r="AF1683" s="52" t="n">
        <v>0</v>
      </c>
      <c r="AG1683" s="52" t="n">
        <v>0</v>
      </c>
      <c r="AH1683" s="52" t="n">
        <v>0</v>
      </c>
      <c r="AI1683" s="52" t="n">
        <v>0</v>
      </c>
      <c r="AJ1683" s="52" t="n">
        <v>0</v>
      </c>
      <c r="AK1683" s="52" t="n">
        <v>0</v>
      </c>
      <c r="AL1683" s="52" t="n">
        <v>0</v>
      </c>
      <c r="AM1683" s="53" t="n">
        <v>0</v>
      </c>
      <c r="AN1683" s="53" t="n">
        <v>0</v>
      </c>
      <c r="AO1683" s="53" t="n">
        <v>0</v>
      </c>
      <c r="AP1683" s="53" t="n">
        <v>0</v>
      </c>
      <c r="AQ1683" s="52" t="n">
        <v>0</v>
      </c>
      <c r="AR1683" s="52" t="n">
        <v>0</v>
      </c>
      <c r="AS1683" s="52" t="n">
        <v>0</v>
      </c>
      <c r="AT1683" s="52" t="n">
        <v>0</v>
      </c>
      <c r="AU1683" s="53" t="n">
        <v>0</v>
      </c>
      <c r="AV1683" s="53" t="n">
        <v>0</v>
      </c>
      <c r="AW1683" s="53" t="n">
        <v>0</v>
      </c>
      <c r="AX1683" s="53" t="n">
        <v>0</v>
      </c>
      <c r="AY1683" s="52" t="n">
        <v>0</v>
      </c>
      <c r="AZ1683" s="52" t="n">
        <v>0</v>
      </c>
      <c r="BA1683" s="52" t="n">
        <v>13.99</v>
      </c>
      <c r="BB1683" s="52" t="n">
        <v>0</v>
      </c>
      <c r="BC1683" s="51" t="n">
        <v>0</v>
      </c>
      <c r="BD1683" s="51" t="n">
        <v>0</v>
      </c>
      <c r="BE1683" s="51" t="n">
        <v>0</v>
      </c>
      <c r="BF1683" s="51" t="n">
        <v>0</v>
      </c>
    </row>
    <row r="1684">
      <c r="A1684">
        <f>HYPERLINK("https://www.walmart.com/ip/1080329917", "1080329917")</f>
        <v/>
      </c>
      <c r="B1684" t="inlineStr">
        <is>
          <t>Kritter Planet Waterproof Pet Blanket, Pee-Proof Dog Blanket Cover for Couch and Bed, Liquid-Proof Furniture Protector for Small and Large Dogs and Cats, Black/Green, 80'' x 60''</t>
        </is>
      </c>
      <c r="C1684" t="inlineStr">
        <is>
          <t>1KPBW681GNBK</t>
        </is>
      </c>
      <c r="D1684" t="inlineStr">
        <is>
          <t>Pet Blankets</t>
        </is>
      </c>
      <c r="E1684" t="inlineStr">
        <is>
          <t>Kritter Planet</t>
        </is>
      </c>
      <c r="F1684" t="inlineStr">
        <is>
          <t>Batch 1 - TR</t>
        </is>
      </c>
      <c r="G1684" s="48" t="n">
        <v>0</v>
      </c>
      <c r="H1684" s="48" t="n">
        <v>0</v>
      </c>
      <c r="I1684" s="48" t="n">
        <v>0</v>
      </c>
      <c r="J1684" s="48" t="n">
        <v>0</v>
      </c>
      <c r="K1684" s="49" t="n">
        <v>0</v>
      </c>
      <c r="L1684" s="49" t="n">
        <v>0</v>
      </c>
      <c r="M1684" s="49" t="n">
        <v>0</v>
      </c>
      <c r="N1684" s="49" t="n">
        <v>0</v>
      </c>
      <c r="O1684" s="49" t="n">
        <v>0</v>
      </c>
      <c r="P1684" s="49" t="n">
        <v>0</v>
      </c>
      <c r="Q1684" s="49" t="n">
        <v>0</v>
      </c>
      <c r="R1684" s="49" t="n">
        <v>0</v>
      </c>
      <c r="S1684" s="50" t="n">
        <v>0</v>
      </c>
      <c r="T1684" s="50" t="n">
        <v>0</v>
      </c>
      <c r="U1684" s="50" t="n">
        <v>0</v>
      </c>
      <c r="V1684" s="50" t="n">
        <v>0</v>
      </c>
      <c r="W1684" s="51" t="n">
        <v>0</v>
      </c>
      <c r="X1684" s="51" t="n">
        <v>2</v>
      </c>
      <c r="Y1684" s="51" t="n">
        <v>1</v>
      </c>
      <c r="Z1684" s="51" t="n">
        <v>0</v>
      </c>
      <c r="AA1684" s="52" t="n">
        <v>0</v>
      </c>
      <c r="AB1684" s="52" t="n">
        <v>0.86</v>
      </c>
      <c r="AC1684" s="52" t="n">
        <v>0.43</v>
      </c>
      <c r="AD1684" s="52" t="n">
        <v>0</v>
      </c>
      <c r="AE1684" s="52" t="n">
        <v>0</v>
      </c>
      <c r="AF1684" s="52" t="n">
        <v>0</v>
      </c>
      <c r="AG1684" s="52" t="n">
        <v>0</v>
      </c>
      <c r="AH1684" s="52" t="n">
        <v>0</v>
      </c>
      <c r="AI1684" s="52" t="n">
        <v>0</v>
      </c>
      <c r="AJ1684" s="52" t="n">
        <v>0</v>
      </c>
      <c r="AK1684" s="52" t="n">
        <v>0</v>
      </c>
      <c r="AL1684" s="52" t="n">
        <v>0</v>
      </c>
      <c r="AM1684" s="53" t="n">
        <v>0</v>
      </c>
      <c r="AN1684" s="53" t="n">
        <v>0.0021</v>
      </c>
      <c r="AO1684" s="53" t="n">
        <v>0.0013</v>
      </c>
      <c r="AP1684" s="53" t="n">
        <v>0</v>
      </c>
      <c r="AQ1684" s="52" t="n">
        <v>0</v>
      </c>
      <c r="AR1684" s="52" t="n">
        <v>0.43</v>
      </c>
      <c r="AS1684" s="52" t="n">
        <v>0.43</v>
      </c>
      <c r="AT1684" s="52" t="n">
        <v>0</v>
      </c>
      <c r="AU1684" s="53" t="n">
        <v>0</v>
      </c>
      <c r="AV1684" s="53" t="n">
        <v>0</v>
      </c>
      <c r="AW1684" s="53" t="n">
        <v>0</v>
      </c>
      <c r="AX1684" s="53" t="n">
        <v>0</v>
      </c>
      <c r="AY1684" s="52" t="n">
        <v>0</v>
      </c>
      <c r="AZ1684" s="52" t="n">
        <v>0</v>
      </c>
      <c r="BA1684" s="52" t="n">
        <v>0</v>
      </c>
      <c r="BB1684" s="52" t="n">
        <v>0</v>
      </c>
      <c r="BC1684" s="51" t="n">
        <v>1123</v>
      </c>
      <c r="BD1684" s="51" t="n">
        <v>975</v>
      </c>
      <c r="BE1684" s="51" t="n">
        <v>752</v>
      </c>
      <c r="BF1684" s="51" t="n">
        <v>540</v>
      </c>
    </row>
    <row r="1685">
      <c r="A1685">
        <f>HYPERLINK("https://www.walmart.com/ip/1397492556", "1397492556")</f>
        <v/>
      </c>
      <c r="B1685" t="inlineStr">
        <is>
          <t>Tirrinia Neon Hunting Orange Safety Cap Closure</t>
        </is>
      </c>
      <c r="C1685" t="inlineStr">
        <is>
          <t>1TRHT7120NEON-TBCB</t>
        </is>
      </c>
      <c r="D1685" t="inlineStr">
        <is>
          <t>Hats</t>
        </is>
      </c>
      <c r="E1685" t="inlineStr">
        <is>
          <t>Tirrinia</t>
        </is>
      </c>
      <c r="F1685" t="inlineStr">
        <is>
          <t>Batch 1 - TR</t>
        </is>
      </c>
      <c r="G1685" s="48" t="n">
        <v>0</v>
      </c>
      <c r="H1685" s="48" t="n">
        <v>0</v>
      </c>
      <c r="I1685" s="48" t="n">
        <v>0</v>
      </c>
      <c r="J1685" s="48" t="n">
        <v>0</v>
      </c>
      <c r="K1685" s="49" t="n">
        <v>0</v>
      </c>
      <c r="L1685" s="49" t="n">
        <v>0</v>
      </c>
      <c r="M1685" s="49" t="n">
        <v>0</v>
      </c>
      <c r="N1685" s="49" t="n">
        <v>0</v>
      </c>
      <c r="O1685" s="49" t="n">
        <v>0</v>
      </c>
      <c r="P1685" s="49" t="n">
        <v>0</v>
      </c>
      <c r="Q1685" s="49" t="n">
        <v>0</v>
      </c>
      <c r="R1685" s="49" t="n">
        <v>0</v>
      </c>
      <c r="S1685" s="50" t="n">
        <v>0</v>
      </c>
      <c r="T1685" s="50" t="n">
        <v>0</v>
      </c>
      <c r="U1685" s="50" t="n">
        <v>0</v>
      </c>
      <c r="V1685" s="50" t="n">
        <v>0</v>
      </c>
      <c r="W1685" s="51" t="n">
        <v>0</v>
      </c>
      <c r="X1685" s="51" t="n">
        <v>0</v>
      </c>
      <c r="Y1685" s="51" t="n">
        <v>0</v>
      </c>
      <c r="Z1685" s="51" t="n">
        <v>0</v>
      </c>
      <c r="AA1685" s="52" t="n">
        <v>0</v>
      </c>
      <c r="AB1685" s="52" t="n">
        <v>0</v>
      </c>
      <c r="AC1685" s="52" t="n">
        <v>0</v>
      </c>
      <c r="AD1685" s="52" t="n">
        <v>0</v>
      </c>
      <c r="AE1685" s="52" t="n">
        <v>0</v>
      </c>
      <c r="AF1685" s="52" t="n">
        <v>0</v>
      </c>
      <c r="AG1685" s="52" t="n">
        <v>0</v>
      </c>
      <c r="AH1685" s="52" t="n">
        <v>0</v>
      </c>
      <c r="AI1685" s="52" t="n">
        <v>0</v>
      </c>
      <c r="AJ1685" s="52" t="n">
        <v>0</v>
      </c>
      <c r="AK1685" s="52" t="n">
        <v>0</v>
      </c>
      <c r="AL1685" s="52" t="n">
        <v>0</v>
      </c>
      <c r="AM1685" s="53" t="n">
        <v>0</v>
      </c>
      <c r="AN1685" s="53" t="n">
        <v>0</v>
      </c>
      <c r="AO1685" s="53" t="n">
        <v>0</v>
      </c>
      <c r="AP1685" s="53" t="n">
        <v>0</v>
      </c>
      <c r="AQ1685" s="52" t="n">
        <v>0</v>
      </c>
      <c r="AR1685" s="52" t="n">
        <v>0</v>
      </c>
      <c r="AS1685" s="52" t="n">
        <v>0</v>
      </c>
      <c r="AT1685" s="52" t="n">
        <v>0</v>
      </c>
      <c r="AU1685" s="53" t="n">
        <v>0</v>
      </c>
      <c r="AV1685" s="53" t="n">
        <v>0</v>
      </c>
      <c r="AW1685" s="53" t="n">
        <v>0</v>
      </c>
      <c r="AX1685" s="53" t="n">
        <v>0</v>
      </c>
      <c r="AY1685" s="52" t="n">
        <v>0</v>
      </c>
      <c r="AZ1685" s="52" t="n">
        <v>0</v>
      </c>
      <c r="BA1685" s="52" t="n">
        <v>0</v>
      </c>
      <c r="BB1685" s="52" t="n">
        <v>0</v>
      </c>
      <c r="BC1685" s="51" t="n">
        <v>0</v>
      </c>
      <c r="BD1685" s="51" t="n">
        <v>0</v>
      </c>
      <c r="BE1685" s="51" t="n">
        <v>0</v>
      </c>
      <c r="BF1685" s="51" t="n">
        <v>0</v>
      </c>
    </row>
    <row r="1686">
      <c r="A1686">
        <f>HYPERLINK("https://www.walmart.com/ip/10282211018", "10282211018")</f>
        <v/>
      </c>
      <c r="B1686" t="inlineStr">
        <is>
          <t>Every Day is Christmas Glass Blown Ornaments Cute Hand Made Figurines Tree Decoration, Set of 2 Beer</t>
        </is>
      </c>
      <c r="C1686" t="inlineStr">
        <is>
          <t>EDC-FIGURINE-BEER-2PACK</t>
        </is>
      </c>
      <c r="D1686" t="inlineStr">
        <is>
          <t>Ornaments</t>
        </is>
      </c>
      <c r="E1686" t="inlineStr">
        <is>
          <t>Every Day is Christmas</t>
        </is>
      </c>
      <c r="G1686" s="48" t="n">
        <v>0</v>
      </c>
      <c r="H1686" s="48" t="n">
        <v>0</v>
      </c>
      <c r="I1686" s="48" t="n">
        <v>0</v>
      </c>
      <c r="J1686" s="48" t="n">
        <v>0</v>
      </c>
      <c r="K1686" s="49" t="n">
        <v>0</v>
      </c>
      <c r="L1686" s="49" t="n">
        <v>0</v>
      </c>
      <c r="M1686" s="49" t="n">
        <v>0</v>
      </c>
      <c r="N1686" s="49" t="n">
        <v>0</v>
      </c>
      <c r="O1686" s="49" t="n">
        <v>0</v>
      </c>
      <c r="P1686" s="49" t="n">
        <v>0</v>
      </c>
      <c r="Q1686" s="49" t="n">
        <v>0</v>
      </c>
      <c r="R1686" s="49" t="n">
        <v>0</v>
      </c>
      <c r="S1686" s="50" t="n">
        <v>0</v>
      </c>
      <c r="T1686" s="50" t="n">
        <v>0</v>
      </c>
      <c r="U1686" s="50" t="n">
        <v>0</v>
      </c>
      <c r="V1686" s="50" t="n">
        <v>0</v>
      </c>
      <c r="W1686" s="51" t="n">
        <v>0</v>
      </c>
      <c r="X1686" s="51" t="n">
        <v>0</v>
      </c>
      <c r="Y1686" s="51" t="n">
        <v>0</v>
      </c>
      <c r="Z1686" s="51" t="n">
        <v>0</v>
      </c>
      <c r="AA1686" s="52" t="n">
        <v>0</v>
      </c>
      <c r="AB1686" s="52" t="n">
        <v>0</v>
      </c>
      <c r="AC1686" s="52" t="n">
        <v>0</v>
      </c>
      <c r="AD1686" s="52" t="n">
        <v>0</v>
      </c>
      <c r="AE1686" s="52" t="n">
        <v>0</v>
      </c>
      <c r="AF1686" s="52" t="n">
        <v>0</v>
      </c>
      <c r="AG1686" s="52" t="n">
        <v>0</v>
      </c>
      <c r="AH1686" s="52" t="n">
        <v>0</v>
      </c>
      <c r="AI1686" s="52" t="n">
        <v>0</v>
      </c>
      <c r="AJ1686" s="52" t="n">
        <v>0</v>
      </c>
      <c r="AK1686" s="52" t="n">
        <v>0</v>
      </c>
      <c r="AL1686" s="52" t="n">
        <v>0</v>
      </c>
      <c r="AM1686" s="53" t="n">
        <v>0</v>
      </c>
      <c r="AN1686" s="53" t="n">
        <v>0</v>
      </c>
      <c r="AO1686" s="53" t="n">
        <v>0</v>
      </c>
      <c r="AP1686" s="53" t="n">
        <v>0</v>
      </c>
      <c r="AQ1686" s="52" t="n">
        <v>0</v>
      </c>
      <c r="AR1686" s="52" t="n">
        <v>0</v>
      </c>
      <c r="AS1686" s="52" t="n">
        <v>0</v>
      </c>
      <c r="AT1686" s="52" t="n">
        <v>0</v>
      </c>
      <c r="AU1686" s="53" t="n">
        <v>0</v>
      </c>
      <c r="AV1686" s="53" t="n">
        <v>0</v>
      </c>
      <c r="AW1686" s="53" t="n">
        <v>0</v>
      </c>
      <c r="AX1686" s="53" t="n">
        <v>0</v>
      </c>
      <c r="AY1686" s="52" t="n">
        <v>0</v>
      </c>
      <c r="AZ1686" s="52" t="n">
        <v>0</v>
      </c>
      <c r="BA1686" s="52" t="n">
        <v>0</v>
      </c>
      <c r="BB1686" s="52" t="n">
        <v>0</v>
      </c>
      <c r="BC1686" s="51" t="n">
        <v>0</v>
      </c>
      <c r="BD1686" s="51" t="n">
        <v>0</v>
      </c>
      <c r="BE1686" s="51" t="n">
        <v>0</v>
      </c>
      <c r="BF1686" s="51" t="n">
        <v>0</v>
      </c>
    </row>
    <row r="1687">
      <c r="A1687">
        <f>HYPERLINK("https://www.walmart.com/ip/10282357784", "10282357784")</f>
        <v/>
      </c>
      <c r="B1687" t="inlineStr">
        <is>
          <t>Wrangler Men’s Full Grain Genuine Leather 35mm Thick Casual Belt for Jeans, Pants - Light Brown, 36</t>
        </is>
      </c>
      <c r="C1687" t="inlineStr">
        <is>
          <t>WR-BELT-MENS-35MM-LTBROWN-36</t>
        </is>
      </c>
      <c r="D1687" t="inlineStr">
        <is>
          <t>Belts</t>
        </is>
      </c>
      <c r="E1687" t="inlineStr">
        <is>
          <t>Wrangler</t>
        </is>
      </c>
      <c r="F1687" t="inlineStr">
        <is>
          <t>Belts</t>
        </is>
      </c>
      <c r="G1687" s="48" t="n">
        <v>0</v>
      </c>
      <c r="H1687" s="48" t="n">
        <v>0</v>
      </c>
      <c r="I1687" s="48" t="n">
        <v>0</v>
      </c>
      <c r="J1687" s="48" t="n">
        <v>0</v>
      </c>
      <c r="K1687" s="49" t="n">
        <v>0</v>
      </c>
      <c r="L1687" s="49" t="n">
        <v>0</v>
      </c>
      <c r="M1687" s="49" t="n">
        <v>0</v>
      </c>
      <c r="N1687" s="49" t="n">
        <v>0</v>
      </c>
      <c r="O1687" s="49" t="n">
        <v>0</v>
      </c>
      <c r="P1687" s="49" t="n">
        <v>1</v>
      </c>
      <c r="Q1687" s="49" t="n">
        <v>2</v>
      </c>
      <c r="R1687" s="49" t="n">
        <v>1</v>
      </c>
      <c r="S1687" s="50" t="n">
        <v>0</v>
      </c>
      <c r="T1687" s="50" t="n">
        <v>0</v>
      </c>
      <c r="U1687" s="50" t="n">
        <v>0</v>
      </c>
      <c r="V1687" s="50" t="n">
        <v>0</v>
      </c>
      <c r="W1687" s="51" t="n">
        <v>0</v>
      </c>
      <c r="X1687" s="51" t="n">
        <v>0</v>
      </c>
      <c r="Y1687" s="51" t="n">
        <v>0</v>
      </c>
      <c r="Z1687" s="51" t="n">
        <v>0</v>
      </c>
      <c r="AA1687" s="52" t="n">
        <v>0</v>
      </c>
      <c r="AB1687" s="52" t="n">
        <v>0</v>
      </c>
      <c r="AC1687" s="52" t="n">
        <v>0</v>
      </c>
      <c r="AD1687" s="52" t="n">
        <v>0</v>
      </c>
      <c r="AE1687" s="52" t="n">
        <v>0</v>
      </c>
      <c r="AF1687" s="52" t="n">
        <v>0</v>
      </c>
      <c r="AG1687" s="52" t="n">
        <v>0</v>
      </c>
      <c r="AH1687" s="52" t="n">
        <v>0</v>
      </c>
      <c r="AI1687" s="52" t="n">
        <v>0</v>
      </c>
      <c r="AJ1687" s="52" t="n">
        <v>0</v>
      </c>
      <c r="AK1687" s="52" t="n">
        <v>0</v>
      </c>
      <c r="AL1687" s="52" t="n">
        <v>0</v>
      </c>
      <c r="AM1687" s="53" t="n">
        <v>0</v>
      </c>
      <c r="AN1687" s="53" t="n">
        <v>0</v>
      </c>
      <c r="AO1687" s="53" t="n">
        <v>0</v>
      </c>
      <c r="AP1687" s="53" t="n">
        <v>0</v>
      </c>
      <c r="AQ1687" s="52" t="n">
        <v>0</v>
      </c>
      <c r="AR1687" s="52" t="n">
        <v>0</v>
      </c>
      <c r="AS1687" s="52" t="n">
        <v>0</v>
      </c>
      <c r="AT1687" s="52" t="n">
        <v>0</v>
      </c>
      <c r="AU1687" s="53" t="n">
        <v>0</v>
      </c>
      <c r="AV1687" s="53" t="n">
        <v>0</v>
      </c>
      <c r="AW1687" s="53" t="n">
        <v>0</v>
      </c>
      <c r="AX1687" s="53" t="n">
        <v>0</v>
      </c>
      <c r="AY1687" s="52" t="n">
        <v>0</v>
      </c>
      <c r="AZ1687" s="52" t="n">
        <v>0</v>
      </c>
      <c r="BA1687" s="52" t="n">
        <v>0</v>
      </c>
      <c r="BB1687" s="52" t="n">
        <v>0</v>
      </c>
      <c r="BC1687" s="51" t="n">
        <v>0</v>
      </c>
      <c r="BD1687" s="51" t="n">
        <v>0</v>
      </c>
      <c r="BE1687" s="51" t="n">
        <v>0</v>
      </c>
      <c r="BF1687" s="51" t="n">
        <v>0</v>
      </c>
    </row>
    <row r="1688">
      <c r="A1688">
        <f>HYPERLINK("https://www.walmart.com/ip/10283609251", "10283609251")</f>
        <v/>
      </c>
      <c r="B1688" t="inlineStr">
        <is>
          <t>Wrangler Men’s Full Grain Genuine Leather 35mm Thick Casual Belt for Jeans, Pants - Brown, 34</t>
        </is>
      </c>
      <c r="C1688" t="inlineStr">
        <is>
          <t>WR-BELT-MENS-35MM-BROWN-34</t>
        </is>
      </c>
      <c r="D1688" t="inlineStr">
        <is>
          <t>Belts</t>
        </is>
      </c>
      <c r="E1688" t="inlineStr">
        <is>
          <t>Wrangler</t>
        </is>
      </c>
      <c r="F1688" t="inlineStr">
        <is>
          <t>Belts</t>
        </is>
      </c>
      <c r="G1688" s="48" t="n">
        <v>0</v>
      </c>
      <c r="H1688" s="48" t="n">
        <v>19.99</v>
      </c>
      <c r="I1688" s="48" t="n">
        <v>19.99</v>
      </c>
      <c r="J1688" s="48" t="n">
        <v>19.99</v>
      </c>
      <c r="K1688" s="49" t="n">
        <v>0</v>
      </c>
      <c r="L1688" s="49" t="n">
        <v>1</v>
      </c>
      <c r="M1688" s="49" t="n">
        <v>1</v>
      </c>
      <c r="N1688" s="49" t="n">
        <v>1</v>
      </c>
      <c r="O1688" s="49" t="n">
        <v>0</v>
      </c>
      <c r="P1688" s="49" t="n">
        <v>0</v>
      </c>
      <c r="Q1688" s="49" t="n">
        <v>0</v>
      </c>
      <c r="R1688" s="49" t="n">
        <v>0</v>
      </c>
      <c r="S1688" s="50" t="n">
        <v>0</v>
      </c>
      <c r="T1688" s="50" t="n">
        <v>0</v>
      </c>
      <c r="U1688" s="50" t="n">
        <v>0</v>
      </c>
      <c r="V1688" s="50" t="n">
        <v>0</v>
      </c>
      <c r="W1688" s="51" t="n">
        <v>0</v>
      </c>
      <c r="X1688" s="51" t="n">
        <v>0</v>
      </c>
      <c r="Y1688" s="51" t="n">
        <v>0</v>
      </c>
      <c r="Z1688" s="51" t="n">
        <v>0</v>
      </c>
      <c r="AA1688" s="52" t="n">
        <v>0</v>
      </c>
      <c r="AB1688" s="52" t="n">
        <v>0</v>
      </c>
      <c r="AC1688" s="52" t="n">
        <v>0</v>
      </c>
      <c r="AD1688" s="52" t="n">
        <v>0</v>
      </c>
      <c r="AE1688" s="52" t="n">
        <v>0</v>
      </c>
      <c r="AF1688" s="52" t="n">
        <v>0</v>
      </c>
      <c r="AG1688" s="52" t="n">
        <v>0</v>
      </c>
      <c r="AH1688" s="52" t="n">
        <v>0</v>
      </c>
      <c r="AI1688" s="52" t="n">
        <v>0</v>
      </c>
      <c r="AJ1688" s="52" t="n">
        <v>0</v>
      </c>
      <c r="AK1688" s="52" t="n">
        <v>0</v>
      </c>
      <c r="AL1688" s="52" t="n">
        <v>0</v>
      </c>
      <c r="AM1688" s="53" t="n">
        <v>0</v>
      </c>
      <c r="AN1688" s="53" t="n">
        <v>0</v>
      </c>
      <c r="AO1688" s="53" t="n">
        <v>0</v>
      </c>
      <c r="AP1688" s="53" t="n">
        <v>0</v>
      </c>
      <c r="AQ1688" s="52" t="n">
        <v>0</v>
      </c>
      <c r="AR1688" s="52" t="n">
        <v>0</v>
      </c>
      <c r="AS1688" s="52" t="n">
        <v>0</v>
      </c>
      <c r="AT1688" s="52" t="n">
        <v>0</v>
      </c>
      <c r="AU1688" s="53" t="n">
        <v>0</v>
      </c>
      <c r="AV1688" s="53" t="n">
        <v>0</v>
      </c>
      <c r="AW1688" s="53" t="n">
        <v>0</v>
      </c>
      <c r="AX1688" s="53" t="n">
        <v>0</v>
      </c>
      <c r="AY1688" s="52" t="n">
        <v>0</v>
      </c>
      <c r="AZ1688" s="52" t="n">
        <v>19.99</v>
      </c>
      <c r="BA1688" s="52" t="n">
        <v>19.99</v>
      </c>
      <c r="BB1688" s="52" t="n">
        <v>19.99</v>
      </c>
      <c r="BC1688" s="51" t="n">
        <v>0</v>
      </c>
      <c r="BD1688" s="51" t="n">
        <v>0</v>
      </c>
      <c r="BE1688" s="51" t="n">
        <v>0</v>
      </c>
      <c r="BF1688" s="51" t="n">
        <v>0</v>
      </c>
    </row>
    <row r="1689">
      <c r="A1689">
        <f>HYPERLINK("https://www.walmart.com/ip/10286419607", "10286419607")</f>
        <v/>
      </c>
      <c r="B1689" t="inlineStr">
        <is>
          <t>Wrangler Men’s Full Grain Genuine Leather 35mm Thick Casual Belt for Jeans, Pants - Black, 42</t>
        </is>
      </c>
      <c r="C1689" t="inlineStr">
        <is>
          <t>WR-BELT-MENS-35MM-BLACK-42</t>
        </is>
      </c>
      <c r="D1689" t="inlineStr">
        <is>
          <t>Belts</t>
        </is>
      </c>
      <c r="E1689" t="inlineStr">
        <is>
          <t>Wrangler</t>
        </is>
      </c>
      <c r="F1689" t="inlineStr">
        <is>
          <t>Belts</t>
        </is>
      </c>
      <c r="G1689" s="48" t="n">
        <v>0</v>
      </c>
      <c r="H1689" s="48" t="n">
        <v>0</v>
      </c>
      <c r="I1689" s="48" t="n">
        <v>19.99</v>
      </c>
      <c r="J1689" s="48" t="n">
        <v>0</v>
      </c>
      <c r="K1689" s="49" t="n">
        <v>0</v>
      </c>
      <c r="L1689" s="49" t="n">
        <v>0</v>
      </c>
      <c r="M1689" s="49" t="n">
        <v>1</v>
      </c>
      <c r="N1689" s="49" t="n">
        <v>0</v>
      </c>
      <c r="O1689" s="49" t="n">
        <v>0</v>
      </c>
      <c r="P1689" s="49" t="n">
        <v>0</v>
      </c>
      <c r="Q1689" s="49" t="n">
        <v>0</v>
      </c>
      <c r="R1689" s="49" t="n">
        <v>0</v>
      </c>
      <c r="S1689" s="50" t="n">
        <v>0</v>
      </c>
      <c r="T1689" s="50" t="n">
        <v>0</v>
      </c>
      <c r="U1689" s="50" t="n">
        <v>0</v>
      </c>
      <c r="V1689" s="50" t="n">
        <v>0</v>
      </c>
      <c r="W1689" s="51" t="n">
        <v>0</v>
      </c>
      <c r="X1689" s="51" t="n">
        <v>0</v>
      </c>
      <c r="Y1689" s="51" t="n">
        <v>0</v>
      </c>
      <c r="Z1689" s="51" t="n">
        <v>0</v>
      </c>
      <c r="AA1689" s="52" t="n">
        <v>0</v>
      </c>
      <c r="AB1689" s="52" t="n">
        <v>0</v>
      </c>
      <c r="AC1689" s="52" t="n">
        <v>0</v>
      </c>
      <c r="AD1689" s="52" t="n">
        <v>0</v>
      </c>
      <c r="AE1689" s="52" t="n">
        <v>0</v>
      </c>
      <c r="AF1689" s="52" t="n">
        <v>0</v>
      </c>
      <c r="AG1689" s="52" t="n">
        <v>0</v>
      </c>
      <c r="AH1689" s="52" t="n">
        <v>0</v>
      </c>
      <c r="AI1689" s="52" t="n">
        <v>0</v>
      </c>
      <c r="AJ1689" s="52" t="n">
        <v>0</v>
      </c>
      <c r="AK1689" s="52" t="n">
        <v>0</v>
      </c>
      <c r="AL1689" s="52" t="n">
        <v>0</v>
      </c>
      <c r="AM1689" s="53" t="n">
        <v>0</v>
      </c>
      <c r="AN1689" s="53" t="n">
        <v>0</v>
      </c>
      <c r="AO1689" s="53" t="n">
        <v>0</v>
      </c>
      <c r="AP1689" s="53" t="n">
        <v>0</v>
      </c>
      <c r="AQ1689" s="52" t="n">
        <v>0</v>
      </c>
      <c r="AR1689" s="52" t="n">
        <v>0</v>
      </c>
      <c r="AS1689" s="52" t="n">
        <v>0</v>
      </c>
      <c r="AT1689" s="52" t="n">
        <v>0</v>
      </c>
      <c r="AU1689" s="53" t="n">
        <v>0</v>
      </c>
      <c r="AV1689" s="53" t="n">
        <v>0</v>
      </c>
      <c r="AW1689" s="53" t="n">
        <v>0</v>
      </c>
      <c r="AX1689" s="53" t="n">
        <v>0</v>
      </c>
      <c r="AY1689" s="52" t="n">
        <v>0</v>
      </c>
      <c r="AZ1689" s="52" t="n">
        <v>0</v>
      </c>
      <c r="BA1689" s="52" t="n">
        <v>19.99</v>
      </c>
      <c r="BB1689" s="52" t="n">
        <v>0</v>
      </c>
      <c r="BC1689" s="51" t="n">
        <v>0</v>
      </c>
      <c r="BD1689" s="51" t="n">
        <v>0</v>
      </c>
      <c r="BE1689" s="51" t="n">
        <v>0</v>
      </c>
      <c r="BF1689" s="51" t="n">
        <v>0</v>
      </c>
    </row>
    <row r="1690">
      <c r="A1690">
        <f>HYPERLINK("https://www.walmart.com/ip/10286419609", "10286419609")</f>
        <v/>
      </c>
      <c r="B1690" t="inlineStr">
        <is>
          <t>Wrangler Men’s Full Grain Genuine Leather 35mm Thick Casual Belt for Jeans, Pants - Black, 34</t>
        </is>
      </c>
      <c r="C1690" t="inlineStr">
        <is>
          <t>WR-BELT-MENS-35MM-BLACK-34</t>
        </is>
      </c>
      <c r="D1690" t="inlineStr">
        <is>
          <t>Belts</t>
        </is>
      </c>
      <c r="E1690" t="inlineStr">
        <is>
          <t>Wrangler</t>
        </is>
      </c>
      <c r="F1690" t="inlineStr">
        <is>
          <t>Belts</t>
        </is>
      </c>
      <c r="G1690" s="48" t="n">
        <v>0</v>
      </c>
      <c r="H1690" s="48" t="n">
        <v>0</v>
      </c>
      <c r="I1690" s="48" t="n">
        <v>0</v>
      </c>
      <c r="J1690" s="48" t="n">
        <v>0</v>
      </c>
      <c r="K1690" s="49" t="n">
        <v>0</v>
      </c>
      <c r="L1690" s="49" t="n">
        <v>0</v>
      </c>
      <c r="M1690" s="49" t="n">
        <v>0</v>
      </c>
      <c r="N1690" s="49" t="n">
        <v>0</v>
      </c>
      <c r="O1690" s="49" t="n">
        <v>0</v>
      </c>
      <c r="P1690" s="49" t="n">
        <v>0</v>
      </c>
      <c r="Q1690" s="49" t="n">
        <v>0</v>
      </c>
      <c r="R1690" s="49" t="n">
        <v>0</v>
      </c>
      <c r="S1690" s="50" t="n">
        <v>0</v>
      </c>
      <c r="T1690" s="50" t="n">
        <v>0</v>
      </c>
      <c r="U1690" s="50" t="n">
        <v>0</v>
      </c>
      <c r="V1690" s="50" t="n">
        <v>0</v>
      </c>
      <c r="W1690" s="51" t="n">
        <v>0</v>
      </c>
      <c r="X1690" s="51" t="n">
        <v>0</v>
      </c>
      <c r="Y1690" s="51" t="n">
        <v>0</v>
      </c>
      <c r="Z1690" s="51" t="n">
        <v>0</v>
      </c>
      <c r="AA1690" s="52" t="n">
        <v>0</v>
      </c>
      <c r="AB1690" s="52" t="n">
        <v>0</v>
      </c>
      <c r="AC1690" s="52" t="n">
        <v>0</v>
      </c>
      <c r="AD1690" s="52" t="n">
        <v>0</v>
      </c>
      <c r="AE1690" s="52" t="n">
        <v>0</v>
      </c>
      <c r="AF1690" s="52" t="n">
        <v>0</v>
      </c>
      <c r="AG1690" s="52" t="n">
        <v>0</v>
      </c>
      <c r="AH1690" s="52" t="n">
        <v>0</v>
      </c>
      <c r="AI1690" s="52" t="n">
        <v>0</v>
      </c>
      <c r="AJ1690" s="52" t="n">
        <v>0</v>
      </c>
      <c r="AK1690" s="52" t="n">
        <v>0</v>
      </c>
      <c r="AL1690" s="52" t="n">
        <v>0</v>
      </c>
      <c r="AM1690" s="53" t="n">
        <v>0</v>
      </c>
      <c r="AN1690" s="53" t="n">
        <v>0</v>
      </c>
      <c r="AO1690" s="53" t="n">
        <v>0</v>
      </c>
      <c r="AP1690" s="53" t="n">
        <v>0</v>
      </c>
      <c r="AQ1690" s="52" t="n">
        <v>0</v>
      </c>
      <c r="AR1690" s="52" t="n">
        <v>0</v>
      </c>
      <c r="AS1690" s="52" t="n">
        <v>0</v>
      </c>
      <c r="AT1690" s="52" t="n">
        <v>0</v>
      </c>
      <c r="AU1690" s="53" t="n">
        <v>0</v>
      </c>
      <c r="AV1690" s="53" t="n">
        <v>0</v>
      </c>
      <c r="AW1690" s="53" t="n">
        <v>0</v>
      </c>
      <c r="AX1690" s="53" t="n">
        <v>0</v>
      </c>
      <c r="AY1690" s="52" t="n">
        <v>0</v>
      </c>
      <c r="AZ1690" s="52" t="n">
        <v>0</v>
      </c>
      <c r="BA1690" s="52" t="n">
        <v>0</v>
      </c>
      <c r="BB1690" s="52" t="n">
        <v>0</v>
      </c>
      <c r="BC1690" s="51" t="n">
        <v>0</v>
      </c>
      <c r="BD1690" s="51" t="n">
        <v>0</v>
      </c>
      <c r="BE1690" s="51" t="n">
        <v>0</v>
      </c>
      <c r="BF1690" s="51" t="n">
        <v>0</v>
      </c>
    </row>
    <row r="1691">
      <c r="A1691">
        <f>HYPERLINK("https://www.walmart.com/ip/10288719989", "10288719989")</f>
        <v/>
      </c>
      <c r="B1691" t="inlineStr">
        <is>
          <t>Every Day is Christmas Glass Blown Ornaments Cute Hand Made Figurines Tree Decoration, Cupcake Set of 2</t>
        </is>
      </c>
      <c r="C1691" t="inlineStr">
        <is>
          <t>EDC-FIGURINE-WP286</t>
        </is>
      </c>
      <c r="D1691" t="inlineStr">
        <is>
          <t>Ornaments</t>
        </is>
      </c>
      <c r="E1691" t="inlineStr">
        <is>
          <t>Every Day is Christmas</t>
        </is>
      </c>
      <c r="G1691" s="48" t="n">
        <v>0</v>
      </c>
      <c r="H1691" s="48" t="n">
        <v>0</v>
      </c>
      <c r="I1691" s="48" t="n">
        <v>0</v>
      </c>
      <c r="J1691" s="48" t="n">
        <v>0</v>
      </c>
      <c r="K1691" s="49" t="n">
        <v>0</v>
      </c>
      <c r="L1691" s="49" t="n">
        <v>0</v>
      </c>
      <c r="M1691" s="49" t="n">
        <v>0</v>
      </c>
      <c r="N1691" s="49" t="n">
        <v>0</v>
      </c>
      <c r="O1691" s="49" t="n">
        <v>0</v>
      </c>
      <c r="P1691" s="49" t="n">
        <v>0</v>
      </c>
      <c r="Q1691" s="49" t="n">
        <v>0</v>
      </c>
      <c r="R1691" s="49" t="n">
        <v>0</v>
      </c>
      <c r="S1691" s="50" t="n">
        <v>0</v>
      </c>
      <c r="T1691" s="50" t="n">
        <v>0</v>
      </c>
      <c r="U1691" s="50" t="n">
        <v>0</v>
      </c>
      <c r="V1691" s="50" t="n">
        <v>0</v>
      </c>
      <c r="W1691" s="51" t="n">
        <v>0</v>
      </c>
      <c r="X1691" s="51" t="n">
        <v>0</v>
      </c>
      <c r="Y1691" s="51" t="n">
        <v>0</v>
      </c>
      <c r="Z1691" s="51" t="n">
        <v>0</v>
      </c>
      <c r="AA1691" s="52" t="n">
        <v>0</v>
      </c>
      <c r="AB1691" s="52" t="n">
        <v>0</v>
      </c>
      <c r="AC1691" s="52" t="n">
        <v>0</v>
      </c>
      <c r="AD1691" s="52" t="n">
        <v>0</v>
      </c>
      <c r="AE1691" s="52" t="n">
        <v>0</v>
      </c>
      <c r="AF1691" s="52" t="n">
        <v>0</v>
      </c>
      <c r="AG1691" s="52" t="n">
        <v>0</v>
      </c>
      <c r="AH1691" s="52" t="n">
        <v>0</v>
      </c>
      <c r="AI1691" s="52" t="n">
        <v>0</v>
      </c>
      <c r="AJ1691" s="52" t="n">
        <v>0</v>
      </c>
      <c r="AK1691" s="52" t="n">
        <v>0</v>
      </c>
      <c r="AL1691" s="52" t="n">
        <v>0</v>
      </c>
      <c r="AM1691" s="53" t="n">
        <v>0</v>
      </c>
      <c r="AN1691" s="53" t="n">
        <v>0</v>
      </c>
      <c r="AO1691" s="53" t="n">
        <v>0</v>
      </c>
      <c r="AP1691" s="53" t="n">
        <v>0</v>
      </c>
      <c r="AQ1691" s="52" t="n">
        <v>0</v>
      </c>
      <c r="AR1691" s="52" t="n">
        <v>0</v>
      </c>
      <c r="AS1691" s="52" t="n">
        <v>0</v>
      </c>
      <c r="AT1691" s="52" t="n">
        <v>0</v>
      </c>
      <c r="AU1691" s="53" t="n">
        <v>0</v>
      </c>
      <c r="AV1691" s="53" t="n">
        <v>0</v>
      </c>
      <c r="AW1691" s="53" t="n">
        <v>0</v>
      </c>
      <c r="AX1691" s="53" t="n">
        <v>0</v>
      </c>
      <c r="AY1691" s="52" t="n">
        <v>0</v>
      </c>
      <c r="AZ1691" s="52" t="n">
        <v>0</v>
      </c>
      <c r="BA1691" s="52" t="n">
        <v>0</v>
      </c>
      <c r="BB1691" s="52" t="n">
        <v>0</v>
      </c>
      <c r="BC1691" s="51" t="n">
        <v>0</v>
      </c>
      <c r="BD1691" s="51" t="n">
        <v>0</v>
      </c>
      <c r="BE1691" s="51" t="n">
        <v>0</v>
      </c>
      <c r="BF1691" s="51" t="n">
        <v>0</v>
      </c>
    </row>
    <row r="1692">
      <c r="A1692">
        <f>HYPERLINK("https://www.walmart.com/ip/10290901200", "10290901200")</f>
        <v/>
      </c>
      <c r="B1692" t="inlineStr">
        <is>
          <t>Wrangler Men’s Leather Country Casual Every Day Dress Belt for Jeans, Khakis Light Brown 32</t>
        </is>
      </c>
      <c r="C1692" t="inlineStr">
        <is>
          <t>WR-BELT-MENS-COUNTRY-LTBROWN-32</t>
        </is>
      </c>
      <c r="D1692" t="inlineStr">
        <is>
          <t>Belts</t>
        </is>
      </c>
      <c r="E1692" t="inlineStr">
        <is>
          <t>Wrangler</t>
        </is>
      </c>
      <c r="F1692" t="inlineStr">
        <is>
          <t>Belts</t>
        </is>
      </c>
      <c r="G1692" s="48" t="n">
        <v>0</v>
      </c>
      <c r="H1692" s="48" t="n">
        <v>0</v>
      </c>
      <c r="I1692" s="48" t="n">
        <v>0</v>
      </c>
      <c r="J1692" s="48" t="n">
        <v>0</v>
      </c>
      <c r="K1692" s="49" t="n">
        <v>0</v>
      </c>
      <c r="L1692" s="49" t="n">
        <v>0</v>
      </c>
      <c r="M1692" s="49" t="n">
        <v>0</v>
      </c>
      <c r="N1692" s="49" t="n">
        <v>0</v>
      </c>
      <c r="O1692" s="49" t="n">
        <v>0</v>
      </c>
      <c r="P1692" s="49" t="n">
        <v>0</v>
      </c>
      <c r="Q1692" s="49" t="n">
        <v>0</v>
      </c>
      <c r="R1692" s="49" t="n">
        <v>0</v>
      </c>
      <c r="S1692" s="50" t="n">
        <v>0</v>
      </c>
      <c r="T1692" s="50" t="n">
        <v>0</v>
      </c>
      <c r="U1692" s="50" t="n">
        <v>0</v>
      </c>
      <c r="V1692" s="50" t="n">
        <v>0</v>
      </c>
      <c r="W1692" s="51" t="n">
        <v>0</v>
      </c>
      <c r="X1692" s="51" t="n">
        <v>0</v>
      </c>
      <c r="Y1692" s="51" t="n">
        <v>0</v>
      </c>
      <c r="Z1692" s="51" t="n">
        <v>0</v>
      </c>
      <c r="AA1692" s="52" t="n">
        <v>0</v>
      </c>
      <c r="AB1692" s="52" t="n">
        <v>0</v>
      </c>
      <c r="AC1692" s="52" t="n">
        <v>0</v>
      </c>
      <c r="AD1692" s="52" t="n">
        <v>0</v>
      </c>
      <c r="AE1692" s="52" t="n">
        <v>0</v>
      </c>
      <c r="AF1692" s="52" t="n">
        <v>0</v>
      </c>
      <c r="AG1692" s="52" t="n">
        <v>0</v>
      </c>
      <c r="AH1692" s="52" t="n">
        <v>0</v>
      </c>
      <c r="AI1692" s="52" t="n">
        <v>0</v>
      </c>
      <c r="AJ1692" s="52" t="n">
        <v>0</v>
      </c>
      <c r="AK1692" s="52" t="n">
        <v>0</v>
      </c>
      <c r="AL1692" s="52" t="n">
        <v>0</v>
      </c>
      <c r="AM1692" s="53" t="n">
        <v>0</v>
      </c>
      <c r="AN1692" s="53" t="n">
        <v>0</v>
      </c>
      <c r="AO1692" s="53" t="n">
        <v>0</v>
      </c>
      <c r="AP1692" s="53" t="n">
        <v>0</v>
      </c>
      <c r="AQ1692" s="52" t="n">
        <v>0</v>
      </c>
      <c r="AR1692" s="52" t="n">
        <v>0</v>
      </c>
      <c r="AS1692" s="52" t="n">
        <v>0</v>
      </c>
      <c r="AT1692" s="52" t="n">
        <v>0</v>
      </c>
      <c r="AU1692" s="53" t="n">
        <v>0</v>
      </c>
      <c r="AV1692" s="53" t="n">
        <v>0</v>
      </c>
      <c r="AW1692" s="53" t="n">
        <v>0</v>
      </c>
      <c r="AX1692" s="53" t="n">
        <v>0</v>
      </c>
      <c r="AY1692" s="52" t="n">
        <v>0</v>
      </c>
      <c r="AZ1692" s="52" t="n">
        <v>0</v>
      </c>
      <c r="BA1692" s="52" t="n">
        <v>0</v>
      </c>
      <c r="BB1692" s="52" t="n">
        <v>0</v>
      </c>
      <c r="BC1692" s="51" t="n">
        <v>0</v>
      </c>
      <c r="BD1692" s="51" t="n">
        <v>0</v>
      </c>
      <c r="BE1692" s="51" t="n">
        <v>0</v>
      </c>
      <c r="BF1692" s="51" t="n">
        <v>0</v>
      </c>
    </row>
    <row r="1693">
      <c r="A1693">
        <f>HYPERLINK("https://www.walmart.com/ip/10291650549", "10291650549")</f>
        <v/>
      </c>
      <c r="B1693" t="inlineStr">
        <is>
          <t>Wrangler Men’s Leather Country Casual Every Day Dress Belt for Jeans, Khakis Light Brown 38</t>
        </is>
      </c>
      <c r="C1693" t="inlineStr">
        <is>
          <t>WR-BELT-MENS-COUNTRY-LTBROWN-38</t>
        </is>
      </c>
      <c r="D1693" t="inlineStr">
        <is>
          <t>Belts</t>
        </is>
      </c>
      <c r="E1693" t="inlineStr">
        <is>
          <t>Wrangler</t>
        </is>
      </c>
      <c r="F1693" t="inlineStr">
        <is>
          <t>Belts</t>
        </is>
      </c>
      <c r="G1693" s="48" t="n">
        <v>0</v>
      </c>
      <c r="H1693" s="48" t="n">
        <v>0</v>
      </c>
      <c r="I1693" s="48" t="n">
        <v>0</v>
      </c>
      <c r="J1693" s="48" t="n">
        <v>19.99</v>
      </c>
      <c r="K1693" s="49" t="n">
        <v>0</v>
      </c>
      <c r="L1693" s="49" t="n">
        <v>0</v>
      </c>
      <c r="M1693" s="49" t="n">
        <v>0</v>
      </c>
      <c r="N1693" s="49" t="n">
        <v>1</v>
      </c>
      <c r="O1693" s="49" t="n">
        <v>0</v>
      </c>
      <c r="P1693" s="49" t="n">
        <v>0</v>
      </c>
      <c r="Q1693" s="49" t="n">
        <v>0</v>
      </c>
      <c r="R1693" s="49" t="n">
        <v>0</v>
      </c>
      <c r="S1693" s="50" t="n">
        <v>0</v>
      </c>
      <c r="T1693" s="50" t="n">
        <v>0</v>
      </c>
      <c r="U1693" s="50" t="n">
        <v>0</v>
      </c>
      <c r="V1693" s="50" t="n">
        <v>0</v>
      </c>
      <c r="W1693" s="51" t="n">
        <v>0</v>
      </c>
      <c r="X1693" s="51" t="n">
        <v>5</v>
      </c>
      <c r="Y1693" s="51" t="n">
        <v>3</v>
      </c>
      <c r="Z1693" s="51" t="n">
        <v>5</v>
      </c>
      <c r="AA1693" s="52" t="n">
        <v>0</v>
      </c>
      <c r="AB1693" s="52" t="n">
        <v>2.91</v>
      </c>
      <c r="AC1693" s="52" t="n">
        <v>1.77</v>
      </c>
      <c r="AD1693" s="52" t="n">
        <v>2.89</v>
      </c>
      <c r="AE1693" s="52" t="n">
        <v>0</v>
      </c>
      <c r="AF1693" s="52" t="n">
        <v>0</v>
      </c>
      <c r="AG1693" s="52" t="n">
        <v>0</v>
      </c>
      <c r="AH1693" s="52" t="n">
        <v>0</v>
      </c>
      <c r="AI1693" s="52" t="n">
        <v>0</v>
      </c>
      <c r="AJ1693" s="52" t="n">
        <v>0</v>
      </c>
      <c r="AK1693" s="52" t="n">
        <v>0</v>
      </c>
      <c r="AL1693" s="52" t="n">
        <v>0</v>
      </c>
      <c r="AM1693" s="53" t="n">
        <v>0</v>
      </c>
      <c r="AN1693" s="53" t="n">
        <v>0.0025</v>
      </c>
      <c r="AO1693" s="53" t="n">
        <v>0.0029</v>
      </c>
      <c r="AP1693" s="53" t="n">
        <v>0.0038</v>
      </c>
      <c r="AQ1693" s="52" t="n">
        <v>0</v>
      </c>
      <c r="AR1693" s="52" t="n">
        <v>0.582</v>
      </c>
      <c r="AS1693" s="52" t="n">
        <v>0.59</v>
      </c>
      <c r="AT1693" s="52" t="n">
        <v>0.578</v>
      </c>
      <c r="AU1693" s="53" t="n">
        <v>0</v>
      </c>
      <c r="AV1693" s="53" t="n">
        <v>0</v>
      </c>
      <c r="AW1693" s="53" t="n">
        <v>0</v>
      </c>
      <c r="AX1693" s="53" t="n">
        <v>0.1445722861430715</v>
      </c>
      <c r="AY1693" s="52" t="n">
        <v>0</v>
      </c>
      <c r="AZ1693" s="52" t="n">
        <v>0</v>
      </c>
      <c r="BA1693" s="52" t="n">
        <v>0</v>
      </c>
      <c r="BB1693" s="52" t="n">
        <v>19.99</v>
      </c>
      <c r="BC1693" s="51" t="n">
        <v>336</v>
      </c>
      <c r="BD1693" s="51" t="n">
        <v>2017</v>
      </c>
      <c r="BE1693" s="51" t="n">
        <v>1031</v>
      </c>
      <c r="BF1693" s="51" t="n">
        <v>1316</v>
      </c>
    </row>
    <row r="1694">
      <c r="A1694">
        <f>HYPERLINK("https://www.walmart.com/ip/10291650556", "10291650556")</f>
        <v/>
      </c>
      <c r="B1694" t="inlineStr">
        <is>
          <t>Wrangler Men’s Full Grain Genuine Leather 35mm Thick Casual Belt for Jeans, Pants - Black, 44</t>
        </is>
      </c>
      <c r="C1694" t="inlineStr">
        <is>
          <t>WR-BELT-MENS-35MM-BLACK-44</t>
        </is>
      </c>
      <c r="D1694" t="inlineStr">
        <is>
          <t>Belts</t>
        </is>
      </c>
      <c r="E1694" t="inlineStr">
        <is>
          <t>Wrangler</t>
        </is>
      </c>
      <c r="F1694" t="inlineStr">
        <is>
          <t>Belts</t>
        </is>
      </c>
      <c r="G1694" s="48" t="n">
        <v>0</v>
      </c>
      <c r="H1694" s="48" t="n">
        <v>0</v>
      </c>
      <c r="I1694" s="48" t="n">
        <v>0</v>
      </c>
      <c r="J1694" s="48" t="n">
        <v>0</v>
      </c>
      <c r="K1694" s="49" t="n">
        <v>0</v>
      </c>
      <c r="L1694" s="49" t="n">
        <v>0</v>
      </c>
      <c r="M1694" s="49" t="n">
        <v>0</v>
      </c>
      <c r="N1694" s="49" t="n">
        <v>0</v>
      </c>
      <c r="O1694" s="49" t="n">
        <v>0</v>
      </c>
      <c r="P1694" s="49" t="n">
        <v>0</v>
      </c>
      <c r="Q1694" s="49" t="n">
        <v>0</v>
      </c>
      <c r="R1694" s="49" t="n">
        <v>0</v>
      </c>
      <c r="S1694" s="50" t="n">
        <v>0</v>
      </c>
      <c r="T1694" s="50" t="n">
        <v>0</v>
      </c>
      <c r="U1694" s="50" t="n">
        <v>0</v>
      </c>
      <c r="V1694" s="50" t="n">
        <v>0</v>
      </c>
      <c r="W1694" s="51" t="n">
        <v>0</v>
      </c>
      <c r="X1694" s="51" t="n">
        <v>0</v>
      </c>
      <c r="Y1694" s="51" t="n">
        <v>0</v>
      </c>
      <c r="Z1694" s="51" t="n">
        <v>0</v>
      </c>
      <c r="AA1694" s="52" t="n">
        <v>0</v>
      </c>
      <c r="AB1694" s="52" t="n">
        <v>0</v>
      </c>
      <c r="AC1694" s="52" t="n">
        <v>0</v>
      </c>
      <c r="AD1694" s="52" t="n">
        <v>0</v>
      </c>
      <c r="AE1694" s="52" t="n">
        <v>0</v>
      </c>
      <c r="AF1694" s="52" t="n">
        <v>0</v>
      </c>
      <c r="AG1694" s="52" t="n">
        <v>0</v>
      </c>
      <c r="AH1694" s="52" t="n">
        <v>0</v>
      </c>
      <c r="AI1694" s="52" t="n">
        <v>0</v>
      </c>
      <c r="AJ1694" s="52" t="n">
        <v>0</v>
      </c>
      <c r="AK1694" s="52" t="n">
        <v>0</v>
      </c>
      <c r="AL1694" s="52" t="n">
        <v>0</v>
      </c>
      <c r="AM1694" s="53" t="n">
        <v>0</v>
      </c>
      <c r="AN1694" s="53" t="n">
        <v>0</v>
      </c>
      <c r="AO1694" s="53" t="n">
        <v>0</v>
      </c>
      <c r="AP1694" s="53" t="n">
        <v>0</v>
      </c>
      <c r="AQ1694" s="52" t="n">
        <v>0</v>
      </c>
      <c r="AR1694" s="52" t="n">
        <v>0</v>
      </c>
      <c r="AS1694" s="52" t="n">
        <v>0</v>
      </c>
      <c r="AT1694" s="52" t="n">
        <v>0</v>
      </c>
      <c r="AU1694" s="53" t="n">
        <v>0</v>
      </c>
      <c r="AV1694" s="53" t="n">
        <v>0</v>
      </c>
      <c r="AW1694" s="53" t="n">
        <v>0</v>
      </c>
      <c r="AX1694" s="53" t="n">
        <v>0</v>
      </c>
      <c r="AY1694" s="52" t="n">
        <v>0</v>
      </c>
      <c r="AZ1694" s="52" t="n">
        <v>0</v>
      </c>
      <c r="BA1694" s="52" t="n">
        <v>0</v>
      </c>
      <c r="BB1694" s="52" t="n">
        <v>0</v>
      </c>
      <c r="BC1694" s="51" t="n">
        <v>0</v>
      </c>
      <c r="BD1694" s="51" t="n">
        <v>0</v>
      </c>
      <c r="BE1694" s="51" t="n">
        <v>0</v>
      </c>
      <c r="BF1694" s="51" t="n">
        <v>0</v>
      </c>
    </row>
    <row r="1695">
      <c r="A1695">
        <f>HYPERLINK("https://www.walmart.com/ip/10291700387", "10291700387")</f>
        <v/>
      </c>
      <c r="B1695" t="inlineStr">
        <is>
          <t>Wrangler Men’s Full Grain Genuine Leather 35mm Thick Casual Belt for Jeans, Pants - Black, 40</t>
        </is>
      </c>
      <c r="C1695" t="inlineStr">
        <is>
          <t>WR-BELT-MENS-35MM-BLACK-40</t>
        </is>
      </c>
      <c r="D1695" t="inlineStr">
        <is>
          <t>Belts</t>
        </is>
      </c>
      <c r="E1695" t="inlineStr">
        <is>
          <t>Wrangler</t>
        </is>
      </c>
      <c r="F1695" t="inlineStr">
        <is>
          <t>Belts</t>
        </is>
      </c>
      <c r="G1695" s="48" t="n">
        <v>0</v>
      </c>
      <c r="H1695" s="48" t="n">
        <v>19.99</v>
      </c>
      <c r="I1695" s="48" t="n">
        <v>0</v>
      </c>
      <c r="J1695" s="48" t="n">
        <v>0</v>
      </c>
      <c r="K1695" s="49" t="n">
        <v>0</v>
      </c>
      <c r="L1695" s="49" t="n">
        <v>1</v>
      </c>
      <c r="M1695" s="49" t="n">
        <v>0</v>
      </c>
      <c r="N1695" s="49" t="n">
        <v>0</v>
      </c>
      <c r="O1695" s="49" t="n">
        <v>0</v>
      </c>
      <c r="P1695" s="49" t="n">
        <v>0</v>
      </c>
      <c r="Q1695" s="49" t="n">
        <v>0</v>
      </c>
      <c r="R1695" s="49" t="n">
        <v>0</v>
      </c>
      <c r="S1695" s="50" t="n">
        <v>0</v>
      </c>
      <c r="T1695" s="50" t="n">
        <v>0</v>
      </c>
      <c r="U1695" s="50" t="n">
        <v>0</v>
      </c>
      <c r="V1695" s="50" t="n">
        <v>0</v>
      </c>
      <c r="W1695" s="51" t="n">
        <v>0</v>
      </c>
      <c r="X1695" s="51" t="n">
        <v>0</v>
      </c>
      <c r="Y1695" s="51" t="n">
        <v>0</v>
      </c>
      <c r="Z1695" s="51" t="n">
        <v>0</v>
      </c>
      <c r="AA1695" s="52" t="n">
        <v>0</v>
      </c>
      <c r="AB1695" s="52" t="n">
        <v>0</v>
      </c>
      <c r="AC1695" s="52" t="n">
        <v>0</v>
      </c>
      <c r="AD1695" s="52" t="n">
        <v>0</v>
      </c>
      <c r="AE1695" s="52" t="n">
        <v>0</v>
      </c>
      <c r="AF1695" s="52" t="n">
        <v>0</v>
      </c>
      <c r="AG1695" s="52" t="n">
        <v>0</v>
      </c>
      <c r="AH1695" s="52" t="n">
        <v>0</v>
      </c>
      <c r="AI1695" s="52" t="n">
        <v>0</v>
      </c>
      <c r="AJ1695" s="52" t="n">
        <v>0</v>
      </c>
      <c r="AK1695" s="52" t="n">
        <v>0</v>
      </c>
      <c r="AL1695" s="52" t="n">
        <v>0</v>
      </c>
      <c r="AM1695" s="53" t="n">
        <v>0</v>
      </c>
      <c r="AN1695" s="53" t="n">
        <v>0</v>
      </c>
      <c r="AO1695" s="53" t="n">
        <v>0</v>
      </c>
      <c r="AP1695" s="53" t="n">
        <v>0</v>
      </c>
      <c r="AQ1695" s="52" t="n">
        <v>0</v>
      </c>
      <c r="AR1695" s="52" t="n">
        <v>0</v>
      </c>
      <c r="AS1695" s="52" t="n">
        <v>0</v>
      </c>
      <c r="AT1695" s="52" t="n">
        <v>0</v>
      </c>
      <c r="AU1695" s="53" t="n">
        <v>0</v>
      </c>
      <c r="AV1695" s="53" t="n">
        <v>0</v>
      </c>
      <c r="AW1695" s="53" t="n">
        <v>0</v>
      </c>
      <c r="AX1695" s="53" t="n">
        <v>0</v>
      </c>
      <c r="AY1695" s="52" t="n">
        <v>0</v>
      </c>
      <c r="AZ1695" s="52" t="n">
        <v>19.99</v>
      </c>
      <c r="BA1695" s="52" t="n">
        <v>0</v>
      </c>
      <c r="BB1695" s="52" t="n">
        <v>0</v>
      </c>
      <c r="BC1695" s="51" t="n">
        <v>0</v>
      </c>
      <c r="BD1695" s="51" t="n">
        <v>0</v>
      </c>
      <c r="BE1695" s="51" t="n">
        <v>0</v>
      </c>
      <c r="BF1695" s="51" t="n">
        <v>0</v>
      </c>
    </row>
    <row r="1696">
      <c r="A1696">
        <f>HYPERLINK("https://www.walmart.com/ip/10291750201", "10291750201")</f>
        <v/>
      </c>
      <c r="B1696" t="inlineStr">
        <is>
          <t>Wrangler Men’s Full Grain Genuine Leather 35mm Thick Casual Belt for Jeans, Pants - Light Brown, 38</t>
        </is>
      </c>
      <c r="C1696" t="inlineStr">
        <is>
          <t>WR-BELT-MENS-35MM-LTBROWN-38</t>
        </is>
      </c>
      <c r="D1696" t="inlineStr">
        <is>
          <t>Belts</t>
        </is>
      </c>
      <c r="E1696" t="inlineStr">
        <is>
          <t>Wrangler</t>
        </is>
      </c>
      <c r="F1696" t="inlineStr">
        <is>
          <t>Belts</t>
        </is>
      </c>
      <c r="G1696" s="48" t="n">
        <v>0</v>
      </c>
      <c r="H1696" s="48" t="n">
        <v>19.99</v>
      </c>
      <c r="I1696" s="48" t="n">
        <v>19.99</v>
      </c>
      <c r="J1696" s="48" t="n">
        <v>0</v>
      </c>
      <c r="K1696" s="49" t="n">
        <v>0</v>
      </c>
      <c r="L1696" s="49" t="n">
        <v>1</v>
      </c>
      <c r="M1696" s="49" t="n">
        <v>1</v>
      </c>
      <c r="N1696" s="49" t="n">
        <v>0</v>
      </c>
      <c r="O1696" s="49" t="n">
        <v>0</v>
      </c>
      <c r="P1696" s="49" t="n">
        <v>0</v>
      </c>
      <c r="Q1696" s="49" t="n">
        <v>0</v>
      </c>
      <c r="R1696" s="49" t="n">
        <v>0</v>
      </c>
      <c r="S1696" s="50" t="n">
        <v>0</v>
      </c>
      <c r="T1696" s="50" t="n">
        <v>0</v>
      </c>
      <c r="U1696" s="50" t="n">
        <v>0</v>
      </c>
      <c r="V1696" s="50" t="n">
        <v>0</v>
      </c>
      <c r="W1696" s="51" t="n">
        <v>0</v>
      </c>
      <c r="X1696" s="51" t="n">
        <v>0</v>
      </c>
      <c r="Y1696" s="51" t="n">
        <v>0</v>
      </c>
      <c r="Z1696" s="51" t="n">
        <v>0</v>
      </c>
      <c r="AA1696" s="52" t="n">
        <v>0</v>
      </c>
      <c r="AB1696" s="52" t="n">
        <v>0</v>
      </c>
      <c r="AC1696" s="52" t="n">
        <v>0</v>
      </c>
      <c r="AD1696" s="52" t="n">
        <v>0</v>
      </c>
      <c r="AE1696" s="52" t="n">
        <v>0</v>
      </c>
      <c r="AF1696" s="52" t="n">
        <v>0</v>
      </c>
      <c r="AG1696" s="52" t="n">
        <v>0</v>
      </c>
      <c r="AH1696" s="52" t="n">
        <v>0</v>
      </c>
      <c r="AI1696" s="52" t="n">
        <v>0</v>
      </c>
      <c r="AJ1696" s="52" t="n">
        <v>0</v>
      </c>
      <c r="AK1696" s="52" t="n">
        <v>0</v>
      </c>
      <c r="AL1696" s="52" t="n">
        <v>0</v>
      </c>
      <c r="AM1696" s="53" t="n">
        <v>0</v>
      </c>
      <c r="AN1696" s="53" t="n">
        <v>0</v>
      </c>
      <c r="AO1696" s="53" t="n">
        <v>0</v>
      </c>
      <c r="AP1696" s="53" t="n">
        <v>0</v>
      </c>
      <c r="AQ1696" s="52" t="n">
        <v>0</v>
      </c>
      <c r="AR1696" s="52" t="n">
        <v>0</v>
      </c>
      <c r="AS1696" s="52" t="n">
        <v>0</v>
      </c>
      <c r="AT1696" s="52" t="n">
        <v>0</v>
      </c>
      <c r="AU1696" s="53" t="n">
        <v>0</v>
      </c>
      <c r="AV1696" s="53" t="n">
        <v>0</v>
      </c>
      <c r="AW1696" s="53" t="n">
        <v>0</v>
      </c>
      <c r="AX1696" s="53" t="n">
        <v>0</v>
      </c>
      <c r="AY1696" s="52" t="n">
        <v>0</v>
      </c>
      <c r="AZ1696" s="52" t="n">
        <v>19.99</v>
      </c>
      <c r="BA1696" s="52" t="n">
        <v>19.99</v>
      </c>
      <c r="BB1696" s="52" t="n">
        <v>0</v>
      </c>
      <c r="BC1696" s="51" t="n">
        <v>0</v>
      </c>
      <c r="BD1696" s="51" t="n">
        <v>0</v>
      </c>
      <c r="BE1696" s="51" t="n">
        <v>0</v>
      </c>
      <c r="BF1696" s="51" t="n">
        <v>0</v>
      </c>
    </row>
    <row r="1697">
      <c r="A1697">
        <f>HYPERLINK("https://www.walmart.com/ip/10292551967", "10292551967")</f>
        <v/>
      </c>
      <c r="B1697" t="inlineStr">
        <is>
          <t>PEANUTS Toddler Boys Girls Snoopy Family Matching Pajamas 2-Piece Sets for Christmas with Woodstock Charlie Brown Linus (Green Polka Dot, 5T)</t>
        </is>
      </c>
      <c r="C1697" t="inlineStr">
        <is>
          <t>PEA-PJS-FAMILY-TODDLER-GREEN-5T</t>
        </is>
      </c>
      <c r="D1697" t="inlineStr">
        <is>
          <t>Pajamas</t>
        </is>
      </c>
      <c r="E1697" t="inlineStr">
        <is>
          <t>Peanuts</t>
        </is>
      </c>
      <c r="G1697" s="48" t="n">
        <v>0</v>
      </c>
      <c r="H1697" s="48" t="n">
        <v>0</v>
      </c>
      <c r="I1697" s="48" t="n">
        <v>0</v>
      </c>
      <c r="J1697" s="48" t="n">
        <v>0</v>
      </c>
      <c r="K1697" s="49" t="n">
        <v>0</v>
      </c>
      <c r="L1697" s="49" t="n">
        <v>0</v>
      </c>
      <c r="M1697" s="49" t="n">
        <v>0</v>
      </c>
      <c r="N1697" s="49" t="n">
        <v>0</v>
      </c>
      <c r="O1697" s="49" t="n">
        <v>0</v>
      </c>
      <c r="P1697" s="49" t="n">
        <v>0</v>
      </c>
      <c r="Q1697" s="49" t="n">
        <v>0</v>
      </c>
      <c r="R1697" s="49" t="n">
        <v>0</v>
      </c>
      <c r="S1697" s="50" t="n">
        <v>0</v>
      </c>
      <c r="T1697" s="50" t="n">
        <v>0</v>
      </c>
      <c r="U1697" s="50" t="n">
        <v>0</v>
      </c>
      <c r="V1697" s="50" t="n">
        <v>0</v>
      </c>
      <c r="W1697" s="51" t="n">
        <v>0</v>
      </c>
      <c r="X1697" s="51" t="n">
        <v>0</v>
      </c>
      <c r="Y1697" s="51" t="n">
        <v>0</v>
      </c>
      <c r="Z1697" s="51" t="n">
        <v>0</v>
      </c>
      <c r="AA1697" s="52" t="n">
        <v>0</v>
      </c>
      <c r="AB1697" s="52" t="n">
        <v>0</v>
      </c>
      <c r="AC1697" s="52" t="n">
        <v>0</v>
      </c>
      <c r="AD1697" s="52" t="n">
        <v>0</v>
      </c>
      <c r="AE1697" s="52" t="n">
        <v>0</v>
      </c>
      <c r="AF1697" s="52" t="n">
        <v>0</v>
      </c>
      <c r="AG1697" s="52" t="n">
        <v>0</v>
      </c>
      <c r="AH1697" s="52" t="n">
        <v>0</v>
      </c>
      <c r="AI1697" s="52" t="n">
        <v>0</v>
      </c>
      <c r="AJ1697" s="52" t="n">
        <v>0</v>
      </c>
      <c r="AK1697" s="52" t="n">
        <v>0</v>
      </c>
      <c r="AL1697" s="52" t="n">
        <v>0</v>
      </c>
      <c r="AM1697" s="53" t="n">
        <v>0</v>
      </c>
      <c r="AN1697" s="53" t="n">
        <v>0</v>
      </c>
      <c r="AO1697" s="53" t="n">
        <v>0</v>
      </c>
      <c r="AP1697" s="53" t="n">
        <v>0</v>
      </c>
      <c r="AQ1697" s="52" t="n">
        <v>0</v>
      </c>
      <c r="AR1697" s="52" t="n">
        <v>0</v>
      </c>
      <c r="AS1697" s="52" t="n">
        <v>0</v>
      </c>
      <c r="AT1697" s="52" t="n">
        <v>0</v>
      </c>
      <c r="AU1697" s="53" t="n">
        <v>0</v>
      </c>
      <c r="AV1697" s="53" t="n">
        <v>0</v>
      </c>
      <c r="AW1697" s="53" t="n">
        <v>0</v>
      </c>
      <c r="AX1697" s="53" t="n">
        <v>0</v>
      </c>
      <c r="AY1697" s="52" t="n">
        <v>0</v>
      </c>
      <c r="AZ1697" s="52" t="n">
        <v>0</v>
      </c>
      <c r="BA1697" s="52" t="n">
        <v>0</v>
      </c>
      <c r="BB1697" s="52" t="n">
        <v>0</v>
      </c>
      <c r="BC1697" s="51" t="n">
        <v>0</v>
      </c>
      <c r="BD1697" s="51" t="n">
        <v>0</v>
      </c>
      <c r="BE1697" s="51" t="n">
        <v>0</v>
      </c>
      <c r="BF1697" s="51" t="n">
        <v>0</v>
      </c>
    </row>
    <row r="1698">
      <c r="A1698">
        <f>HYPERLINK("https://www.walmart.com/ip/10292804837", "10292804837")</f>
        <v/>
      </c>
      <c r="B1698" t="inlineStr">
        <is>
          <t>Every Day is Christmas Glass Blown Ornaments Cute Hand Made Figurines Tree Decoration, Set of 2 Strawberry</t>
        </is>
      </c>
      <c r="C1698" t="inlineStr">
        <is>
          <t>EDC-FIGURINE-STRAWBERRY-2PACK</t>
        </is>
      </c>
      <c r="D1698" t="inlineStr">
        <is>
          <t>Ornaments</t>
        </is>
      </c>
      <c r="E1698" t="inlineStr">
        <is>
          <t>Every Day is Christmas</t>
        </is>
      </c>
      <c r="G1698" s="48" t="n">
        <v>0</v>
      </c>
      <c r="H1698" s="48" t="n">
        <v>0</v>
      </c>
      <c r="I1698" s="48" t="n">
        <v>0</v>
      </c>
      <c r="J1698" s="48" t="n">
        <v>0</v>
      </c>
      <c r="K1698" s="49" t="n">
        <v>0</v>
      </c>
      <c r="L1698" s="49" t="n">
        <v>0</v>
      </c>
      <c r="M1698" s="49" t="n">
        <v>0</v>
      </c>
      <c r="N1698" s="49" t="n">
        <v>0</v>
      </c>
      <c r="O1698" s="49" t="n">
        <v>0</v>
      </c>
      <c r="P1698" s="49" t="n">
        <v>0</v>
      </c>
      <c r="Q1698" s="49" t="n">
        <v>0</v>
      </c>
      <c r="R1698" s="49" t="n">
        <v>0</v>
      </c>
      <c r="S1698" s="50" t="n">
        <v>0</v>
      </c>
      <c r="T1698" s="50" t="n">
        <v>0</v>
      </c>
      <c r="U1698" s="50" t="n">
        <v>0</v>
      </c>
      <c r="V1698" s="50" t="n">
        <v>0</v>
      </c>
      <c r="W1698" s="51" t="n">
        <v>0</v>
      </c>
      <c r="X1698" s="51" t="n">
        <v>0</v>
      </c>
      <c r="Y1698" s="51" t="n">
        <v>0</v>
      </c>
      <c r="Z1698" s="51" t="n">
        <v>0</v>
      </c>
      <c r="AA1698" s="52" t="n">
        <v>0</v>
      </c>
      <c r="AB1698" s="52" t="n">
        <v>0</v>
      </c>
      <c r="AC1698" s="52" t="n">
        <v>0</v>
      </c>
      <c r="AD1698" s="52" t="n">
        <v>0</v>
      </c>
      <c r="AE1698" s="52" t="n">
        <v>0</v>
      </c>
      <c r="AF1698" s="52" t="n">
        <v>0</v>
      </c>
      <c r="AG1698" s="52" t="n">
        <v>0</v>
      </c>
      <c r="AH1698" s="52" t="n">
        <v>0</v>
      </c>
      <c r="AI1698" s="52" t="n">
        <v>0</v>
      </c>
      <c r="AJ1698" s="52" t="n">
        <v>0</v>
      </c>
      <c r="AK1698" s="52" t="n">
        <v>0</v>
      </c>
      <c r="AL1698" s="52" t="n">
        <v>0</v>
      </c>
      <c r="AM1698" s="53" t="n">
        <v>0</v>
      </c>
      <c r="AN1698" s="53" t="n">
        <v>0</v>
      </c>
      <c r="AO1698" s="53" t="n">
        <v>0</v>
      </c>
      <c r="AP1698" s="53" t="n">
        <v>0</v>
      </c>
      <c r="AQ1698" s="52" t="n">
        <v>0</v>
      </c>
      <c r="AR1698" s="52" t="n">
        <v>0</v>
      </c>
      <c r="AS1698" s="52" t="n">
        <v>0</v>
      </c>
      <c r="AT1698" s="52" t="n">
        <v>0</v>
      </c>
      <c r="AU1698" s="53" t="n">
        <v>0</v>
      </c>
      <c r="AV1698" s="53" t="n">
        <v>0</v>
      </c>
      <c r="AW1698" s="53" t="n">
        <v>0</v>
      </c>
      <c r="AX1698" s="53" t="n">
        <v>0</v>
      </c>
      <c r="AY1698" s="52" t="n">
        <v>0</v>
      </c>
      <c r="AZ1698" s="52" t="n">
        <v>0</v>
      </c>
      <c r="BA1698" s="52" t="n">
        <v>0</v>
      </c>
      <c r="BB1698" s="52" t="n">
        <v>0</v>
      </c>
      <c r="BC1698" s="51" t="n">
        <v>0</v>
      </c>
      <c r="BD1698" s="51" t="n">
        <v>0</v>
      </c>
      <c r="BE1698" s="51" t="n">
        <v>0</v>
      </c>
      <c r="BF1698" s="51" t="n">
        <v>0</v>
      </c>
    </row>
    <row r="1699">
      <c r="A1699">
        <f>HYPERLINK("https://www.walmart.com/ip/10294113697", "10294113697")</f>
        <v/>
      </c>
      <c r="B1699" t="inlineStr">
        <is>
          <t>Wrangler Men’s Full Grain Genuine Leather 35mm Thick Casual Belt for Jeans, Pants - Light Brown, 42</t>
        </is>
      </c>
      <c r="C1699" t="inlineStr">
        <is>
          <t>WR-BELT-MENS-35MM-LTBROWN-42</t>
        </is>
      </c>
      <c r="D1699" t="inlineStr">
        <is>
          <t>Belts</t>
        </is>
      </c>
      <c r="E1699" t="inlineStr">
        <is>
          <t>Wrangler</t>
        </is>
      </c>
      <c r="F1699" t="inlineStr">
        <is>
          <t>Belts</t>
        </is>
      </c>
      <c r="G1699" s="48" t="n">
        <v>0</v>
      </c>
      <c r="H1699" s="48" t="n">
        <v>0</v>
      </c>
      <c r="I1699" s="48" t="n">
        <v>0</v>
      </c>
      <c r="J1699" s="48" t="n">
        <v>0</v>
      </c>
      <c r="K1699" s="49" t="n">
        <v>0</v>
      </c>
      <c r="L1699" s="49" t="n">
        <v>0</v>
      </c>
      <c r="M1699" s="49" t="n">
        <v>0</v>
      </c>
      <c r="N1699" s="49" t="n">
        <v>0</v>
      </c>
      <c r="O1699" s="49" t="n">
        <v>0</v>
      </c>
      <c r="P1699" s="49" t="n">
        <v>0</v>
      </c>
      <c r="Q1699" s="49" t="n">
        <v>0</v>
      </c>
      <c r="R1699" s="49" t="n">
        <v>0</v>
      </c>
      <c r="S1699" s="50" t="n">
        <v>0</v>
      </c>
      <c r="T1699" s="50" t="n">
        <v>0</v>
      </c>
      <c r="U1699" s="50" t="n">
        <v>0</v>
      </c>
      <c r="V1699" s="50" t="n">
        <v>0</v>
      </c>
      <c r="W1699" s="51" t="n">
        <v>0</v>
      </c>
      <c r="X1699" s="51" t="n">
        <v>0</v>
      </c>
      <c r="Y1699" s="51" t="n">
        <v>0</v>
      </c>
      <c r="Z1699" s="51" t="n">
        <v>0</v>
      </c>
      <c r="AA1699" s="52" t="n">
        <v>0</v>
      </c>
      <c r="AB1699" s="52" t="n">
        <v>0</v>
      </c>
      <c r="AC1699" s="52" t="n">
        <v>0</v>
      </c>
      <c r="AD1699" s="52" t="n">
        <v>0</v>
      </c>
      <c r="AE1699" s="52" t="n">
        <v>0</v>
      </c>
      <c r="AF1699" s="52" t="n">
        <v>0</v>
      </c>
      <c r="AG1699" s="52" t="n">
        <v>0</v>
      </c>
      <c r="AH1699" s="52" t="n">
        <v>0</v>
      </c>
      <c r="AI1699" s="52" t="n">
        <v>0</v>
      </c>
      <c r="AJ1699" s="52" t="n">
        <v>0</v>
      </c>
      <c r="AK1699" s="52" t="n">
        <v>0</v>
      </c>
      <c r="AL1699" s="52" t="n">
        <v>0</v>
      </c>
      <c r="AM1699" s="53" t="n">
        <v>0</v>
      </c>
      <c r="AN1699" s="53" t="n">
        <v>0</v>
      </c>
      <c r="AO1699" s="53" t="n">
        <v>0</v>
      </c>
      <c r="AP1699" s="53" t="n">
        <v>0</v>
      </c>
      <c r="AQ1699" s="52" t="n">
        <v>0</v>
      </c>
      <c r="AR1699" s="52" t="n">
        <v>0</v>
      </c>
      <c r="AS1699" s="52" t="n">
        <v>0</v>
      </c>
      <c r="AT1699" s="52" t="n">
        <v>0</v>
      </c>
      <c r="AU1699" s="53" t="n">
        <v>0</v>
      </c>
      <c r="AV1699" s="53" t="n">
        <v>0</v>
      </c>
      <c r="AW1699" s="53" t="n">
        <v>0</v>
      </c>
      <c r="AX1699" s="53" t="n">
        <v>0</v>
      </c>
      <c r="AY1699" s="52" t="n">
        <v>0</v>
      </c>
      <c r="AZ1699" s="52" t="n">
        <v>0</v>
      </c>
      <c r="BA1699" s="52" t="n">
        <v>0</v>
      </c>
      <c r="BB1699" s="52" t="n">
        <v>0</v>
      </c>
      <c r="BC1699" s="51" t="n">
        <v>0</v>
      </c>
      <c r="BD1699" s="51" t="n">
        <v>0</v>
      </c>
      <c r="BE1699" s="51" t="n">
        <v>0</v>
      </c>
      <c r="BF1699" s="51" t="n">
        <v>0</v>
      </c>
    </row>
    <row r="1700">
      <c r="A1700">
        <f>HYPERLINK("https://www.walmart.com/ip/10294163529", "10294163529")</f>
        <v/>
      </c>
      <c r="B1700" t="inlineStr">
        <is>
          <t>Wrangler Men’s Full Grain Genuine Leather 35mm Thick Casual Belt for Jeans, Pants - Brown, 38</t>
        </is>
      </c>
      <c r="C1700" t="inlineStr">
        <is>
          <t>WR-BELT-MENS-35MM-BROWN-38</t>
        </is>
      </c>
      <c r="D1700" t="inlineStr">
        <is>
          <t>Belts</t>
        </is>
      </c>
      <c r="E1700" t="inlineStr">
        <is>
          <t>Wrangler</t>
        </is>
      </c>
      <c r="F1700" t="inlineStr">
        <is>
          <t>Belts</t>
        </is>
      </c>
      <c r="G1700" s="48" t="n">
        <v>0</v>
      </c>
      <c r="H1700" s="48" t="n">
        <v>0</v>
      </c>
      <c r="I1700" s="48" t="n">
        <v>0</v>
      </c>
      <c r="J1700" s="48" t="n">
        <v>19.99</v>
      </c>
      <c r="K1700" s="49" t="n">
        <v>0</v>
      </c>
      <c r="L1700" s="49" t="n">
        <v>0</v>
      </c>
      <c r="M1700" s="49" t="n">
        <v>0</v>
      </c>
      <c r="N1700" s="49" t="n">
        <v>1</v>
      </c>
      <c r="O1700" s="49" t="n">
        <v>0</v>
      </c>
      <c r="P1700" s="49" t="n">
        <v>0</v>
      </c>
      <c r="Q1700" s="49" t="n">
        <v>0</v>
      </c>
      <c r="R1700" s="49" t="n">
        <v>0</v>
      </c>
      <c r="S1700" s="50" t="n">
        <v>0</v>
      </c>
      <c r="T1700" s="50" t="n">
        <v>0</v>
      </c>
      <c r="U1700" s="50" t="n">
        <v>0</v>
      </c>
      <c r="V1700" s="50" t="n">
        <v>0</v>
      </c>
      <c r="W1700" s="51" t="n">
        <v>0</v>
      </c>
      <c r="X1700" s="51" t="n">
        <v>0</v>
      </c>
      <c r="Y1700" s="51" t="n">
        <v>0</v>
      </c>
      <c r="Z1700" s="51" t="n">
        <v>0</v>
      </c>
      <c r="AA1700" s="52" t="n">
        <v>0</v>
      </c>
      <c r="AB1700" s="52" t="n">
        <v>0</v>
      </c>
      <c r="AC1700" s="52" t="n">
        <v>0</v>
      </c>
      <c r="AD1700" s="52" t="n">
        <v>0</v>
      </c>
      <c r="AE1700" s="52" t="n">
        <v>0</v>
      </c>
      <c r="AF1700" s="52" t="n">
        <v>0</v>
      </c>
      <c r="AG1700" s="52" t="n">
        <v>0</v>
      </c>
      <c r="AH1700" s="52" t="n">
        <v>0</v>
      </c>
      <c r="AI1700" s="52" t="n">
        <v>0</v>
      </c>
      <c r="AJ1700" s="52" t="n">
        <v>0</v>
      </c>
      <c r="AK1700" s="52" t="n">
        <v>0</v>
      </c>
      <c r="AL1700" s="52" t="n">
        <v>0</v>
      </c>
      <c r="AM1700" s="53" t="n">
        <v>0</v>
      </c>
      <c r="AN1700" s="53" t="n">
        <v>0</v>
      </c>
      <c r="AO1700" s="53" t="n">
        <v>0</v>
      </c>
      <c r="AP1700" s="53" t="n">
        <v>0</v>
      </c>
      <c r="AQ1700" s="52" t="n">
        <v>0</v>
      </c>
      <c r="AR1700" s="52" t="n">
        <v>0</v>
      </c>
      <c r="AS1700" s="52" t="n">
        <v>0</v>
      </c>
      <c r="AT1700" s="52" t="n">
        <v>0</v>
      </c>
      <c r="AU1700" s="53" t="n">
        <v>0</v>
      </c>
      <c r="AV1700" s="53" t="n">
        <v>0</v>
      </c>
      <c r="AW1700" s="53" t="n">
        <v>0</v>
      </c>
      <c r="AX1700" s="53" t="n">
        <v>0</v>
      </c>
      <c r="AY1700" s="52" t="n">
        <v>0</v>
      </c>
      <c r="AZ1700" s="52" t="n">
        <v>0</v>
      </c>
      <c r="BA1700" s="52" t="n">
        <v>0</v>
      </c>
      <c r="BB1700" s="52" t="n">
        <v>19.99</v>
      </c>
      <c r="BC1700" s="51" t="n">
        <v>0</v>
      </c>
      <c r="BD1700" s="51" t="n">
        <v>0</v>
      </c>
      <c r="BE1700" s="51" t="n">
        <v>0</v>
      </c>
      <c r="BF1700" s="51" t="n">
        <v>0</v>
      </c>
    </row>
    <row r="1701">
      <c r="A1701">
        <f>HYPERLINK("https://www.walmart.com/ip/10297918357", "10297918357")</f>
        <v/>
      </c>
      <c r="B1701" t="inlineStr">
        <is>
          <t>PEANUTS Womens 100% Cotton Family Matching Pajamas Holiday Festive Nightwear Sleepwear 2-Piece Sets for Christmas Gifts (Red Polka Dot, M)</t>
        </is>
      </c>
      <c r="C1701" t="inlineStr">
        <is>
          <t>PEA-PJS-FAMILY-WOMEN-RED-M</t>
        </is>
      </c>
      <c r="D1701" t="inlineStr">
        <is>
          <t>Pajamas</t>
        </is>
      </c>
      <c r="E1701" t="inlineStr">
        <is>
          <t>Peanuts</t>
        </is>
      </c>
      <c r="G1701" s="48" t="n">
        <v>0</v>
      </c>
      <c r="H1701" s="48" t="n">
        <v>0</v>
      </c>
      <c r="I1701" s="48" t="n">
        <v>0</v>
      </c>
      <c r="J1701" s="48" t="n">
        <v>0</v>
      </c>
      <c r="K1701" s="49" t="n">
        <v>0</v>
      </c>
      <c r="L1701" s="49" t="n">
        <v>0</v>
      </c>
      <c r="M1701" s="49" t="n">
        <v>0</v>
      </c>
      <c r="N1701" s="49" t="n">
        <v>0</v>
      </c>
      <c r="O1701" s="49" t="n">
        <v>0</v>
      </c>
      <c r="P1701" s="49" t="n">
        <v>0</v>
      </c>
      <c r="Q1701" s="49" t="n">
        <v>0</v>
      </c>
      <c r="R1701" s="49" t="n">
        <v>0</v>
      </c>
      <c r="S1701" s="50" t="n">
        <v>0</v>
      </c>
      <c r="T1701" s="50" t="n">
        <v>0</v>
      </c>
      <c r="U1701" s="50" t="n">
        <v>0</v>
      </c>
      <c r="V1701" s="50" t="n">
        <v>0</v>
      </c>
      <c r="W1701" s="51" t="n">
        <v>0</v>
      </c>
      <c r="X1701" s="51" t="n">
        <v>0</v>
      </c>
      <c r="Y1701" s="51" t="n">
        <v>0</v>
      </c>
      <c r="Z1701" s="51" t="n">
        <v>0</v>
      </c>
      <c r="AA1701" s="52" t="n">
        <v>0</v>
      </c>
      <c r="AB1701" s="52" t="n">
        <v>0</v>
      </c>
      <c r="AC1701" s="52" t="n">
        <v>0</v>
      </c>
      <c r="AD1701" s="52" t="n">
        <v>0</v>
      </c>
      <c r="AE1701" s="52" t="n">
        <v>0</v>
      </c>
      <c r="AF1701" s="52" t="n">
        <v>0</v>
      </c>
      <c r="AG1701" s="52" t="n">
        <v>0</v>
      </c>
      <c r="AH1701" s="52" t="n">
        <v>0</v>
      </c>
      <c r="AI1701" s="52" t="n">
        <v>0</v>
      </c>
      <c r="AJ1701" s="52" t="n">
        <v>0</v>
      </c>
      <c r="AK1701" s="52" t="n">
        <v>0</v>
      </c>
      <c r="AL1701" s="52" t="n">
        <v>0</v>
      </c>
      <c r="AM1701" s="53" t="n">
        <v>0</v>
      </c>
      <c r="AN1701" s="53" t="n">
        <v>0</v>
      </c>
      <c r="AO1701" s="53" t="n">
        <v>0</v>
      </c>
      <c r="AP1701" s="53" t="n">
        <v>0</v>
      </c>
      <c r="AQ1701" s="52" t="n">
        <v>0</v>
      </c>
      <c r="AR1701" s="52" t="n">
        <v>0</v>
      </c>
      <c r="AS1701" s="52" t="n">
        <v>0</v>
      </c>
      <c r="AT1701" s="52" t="n">
        <v>0</v>
      </c>
      <c r="AU1701" s="53" t="n">
        <v>0</v>
      </c>
      <c r="AV1701" s="53" t="n">
        <v>0</v>
      </c>
      <c r="AW1701" s="53" t="n">
        <v>0</v>
      </c>
      <c r="AX1701" s="53" t="n">
        <v>0</v>
      </c>
      <c r="AY1701" s="52" t="n">
        <v>0</v>
      </c>
      <c r="AZ1701" s="52" t="n">
        <v>0</v>
      </c>
      <c r="BA1701" s="52" t="n">
        <v>0</v>
      </c>
      <c r="BB1701" s="52" t="n">
        <v>0</v>
      </c>
      <c r="BC1701" s="51" t="n">
        <v>0</v>
      </c>
      <c r="BD1701" s="51" t="n">
        <v>0</v>
      </c>
      <c r="BE1701" s="51" t="n">
        <v>0</v>
      </c>
      <c r="BF1701" s="51" t="n">
        <v>0</v>
      </c>
    </row>
    <row r="1702">
      <c r="A1702">
        <f>HYPERLINK("https://www.walmart.com/ip/10282257020", "10282257020")</f>
        <v/>
      </c>
      <c r="B1702" t="inlineStr">
        <is>
          <t>Wrangler Men’s Leather Country Casual Every Day Dress Belt for Jeans, Khakis Light Brown 42</t>
        </is>
      </c>
      <c r="C1702" t="inlineStr">
        <is>
          <t>WR-BELT-MENS-COUNTRY-LTBROWN-42</t>
        </is>
      </c>
      <c r="D1702" t="inlineStr">
        <is>
          <t>Belts</t>
        </is>
      </c>
      <c r="E1702" t="inlineStr">
        <is>
          <t>Wrangler</t>
        </is>
      </c>
      <c r="F1702" t="inlineStr">
        <is>
          <t>Belts</t>
        </is>
      </c>
      <c r="G1702" s="48" t="n">
        <v>0</v>
      </c>
      <c r="H1702" s="48" t="n">
        <v>19.99</v>
      </c>
      <c r="I1702" s="48" t="n">
        <v>19.99</v>
      </c>
      <c r="J1702" s="48" t="n">
        <v>0</v>
      </c>
      <c r="K1702" s="49" t="n">
        <v>0</v>
      </c>
      <c r="L1702" s="49" t="n">
        <v>1</v>
      </c>
      <c r="M1702" s="49" t="n">
        <v>1</v>
      </c>
      <c r="N1702" s="49" t="n">
        <v>0</v>
      </c>
      <c r="O1702" s="49" t="n">
        <v>0</v>
      </c>
      <c r="P1702" s="49" t="n">
        <v>0</v>
      </c>
      <c r="Q1702" s="49" t="n">
        <v>0</v>
      </c>
      <c r="R1702" s="49" t="n">
        <v>0</v>
      </c>
      <c r="S1702" s="50" t="n">
        <v>0</v>
      </c>
      <c r="T1702" s="50" t="n">
        <v>0</v>
      </c>
      <c r="U1702" s="50" t="n">
        <v>0</v>
      </c>
      <c r="V1702" s="50" t="n">
        <v>0</v>
      </c>
      <c r="W1702" s="51" t="n">
        <v>0</v>
      </c>
      <c r="X1702" s="51" t="n">
        <v>0</v>
      </c>
      <c r="Y1702" s="51" t="n">
        <v>0</v>
      </c>
      <c r="Z1702" s="51" t="n">
        <v>0</v>
      </c>
      <c r="AA1702" s="52" t="n">
        <v>0</v>
      </c>
      <c r="AB1702" s="52" t="n">
        <v>0</v>
      </c>
      <c r="AC1702" s="52" t="n">
        <v>0</v>
      </c>
      <c r="AD1702" s="52" t="n">
        <v>0</v>
      </c>
      <c r="AE1702" s="52" t="n">
        <v>0</v>
      </c>
      <c r="AF1702" s="52" t="n">
        <v>0</v>
      </c>
      <c r="AG1702" s="52" t="n">
        <v>0</v>
      </c>
      <c r="AH1702" s="52" t="n">
        <v>0</v>
      </c>
      <c r="AI1702" s="52" t="n">
        <v>0</v>
      </c>
      <c r="AJ1702" s="52" t="n">
        <v>0</v>
      </c>
      <c r="AK1702" s="52" t="n">
        <v>0</v>
      </c>
      <c r="AL1702" s="52" t="n">
        <v>0</v>
      </c>
      <c r="AM1702" s="53" t="n">
        <v>0</v>
      </c>
      <c r="AN1702" s="53" t="n">
        <v>0</v>
      </c>
      <c r="AO1702" s="53" t="n">
        <v>0</v>
      </c>
      <c r="AP1702" s="53" t="n">
        <v>0</v>
      </c>
      <c r="AQ1702" s="52" t="n">
        <v>0</v>
      </c>
      <c r="AR1702" s="52" t="n">
        <v>0</v>
      </c>
      <c r="AS1702" s="52" t="n">
        <v>0</v>
      </c>
      <c r="AT1702" s="52" t="n">
        <v>0</v>
      </c>
      <c r="AU1702" s="53" t="n">
        <v>0</v>
      </c>
      <c r="AV1702" s="53" t="n">
        <v>0</v>
      </c>
      <c r="AW1702" s="53" t="n">
        <v>0</v>
      </c>
      <c r="AX1702" s="53" t="n">
        <v>0</v>
      </c>
      <c r="AY1702" s="52" t="n">
        <v>0</v>
      </c>
      <c r="AZ1702" s="52" t="n">
        <v>19.99</v>
      </c>
      <c r="BA1702" s="52" t="n">
        <v>19.99</v>
      </c>
      <c r="BB1702" s="52" t="n">
        <v>0</v>
      </c>
      <c r="BC1702" s="51" t="n">
        <v>0</v>
      </c>
      <c r="BD1702" s="51" t="n">
        <v>0</v>
      </c>
      <c r="BE1702" s="51" t="n">
        <v>0</v>
      </c>
      <c r="BF1702" s="51" t="n">
        <v>0</v>
      </c>
    </row>
    <row r="1703">
      <c r="A1703">
        <f>HYPERLINK("https://www.walmart.com/ip/10282157255", "10282157255")</f>
        <v/>
      </c>
      <c r="B1703" t="inlineStr">
        <is>
          <t>Wrangler Men’s Leather Country Casual Every Day Dress Belt for Jeans, Khakis Light Brown 36</t>
        </is>
      </c>
      <c r="C1703" t="inlineStr">
        <is>
          <t>WR-BELT-MENS-COUNTRY-LTBROWN-36</t>
        </is>
      </c>
      <c r="D1703" t="inlineStr">
        <is>
          <t>Belts</t>
        </is>
      </c>
      <c r="E1703" t="inlineStr">
        <is>
          <t>Wrangler</t>
        </is>
      </c>
      <c r="F1703" t="inlineStr">
        <is>
          <t>Belts</t>
        </is>
      </c>
      <c r="G1703" s="48" t="n">
        <v>0</v>
      </c>
      <c r="H1703" s="48" t="n">
        <v>0</v>
      </c>
      <c r="I1703" s="48" t="n">
        <v>0</v>
      </c>
      <c r="J1703" s="48" t="n">
        <v>0</v>
      </c>
      <c r="K1703" s="49" t="n">
        <v>0</v>
      </c>
      <c r="L1703" s="49" t="n">
        <v>0</v>
      </c>
      <c r="M1703" s="49" t="n">
        <v>0</v>
      </c>
      <c r="N1703" s="49" t="n">
        <v>0</v>
      </c>
      <c r="O1703" s="49" t="n">
        <v>0</v>
      </c>
      <c r="P1703" s="49" t="n">
        <v>0</v>
      </c>
      <c r="Q1703" s="49" t="n">
        <v>0</v>
      </c>
      <c r="R1703" s="49" t="n">
        <v>0</v>
      </c>
      <c r="S1703" s="50" t="n">
        <v>0</v>
      </c>
      <c r="T1703" s="50" t="n">
        <v>0</v>
      </c>
      <c r="U1703" s="50" t="n">
        <v>0</v>
      </c>
      <c r="V1703" s="50" t="n">
        <v>0</v>
      </c>
      <c r="W1703" s="51" t="n">
        <v>0</v>
      </c>
      <c r="X1703" s="51" t="n">
        <v>0</v>
      </c>
      <c r="Y1703" s="51" t="n">
        <v>0</v>
      </c>
      <c r="Z1703" s="51" t="n">
        <v>0</v>
      </c>
      <c r="AA1703" s="52" t="n">
        <v>0</v>
      </c>
      <c r="AB1703" s="52" t="n">
        <v>0</v>
      </c>
      <c r="AC1703" s="52" t="n">
        <v>0</v>
      </c>
      <c r="AD1703" s="52" t="n">
        <v>0</v>
      </c>
      <c r="AE1703" s="52" t="n">
        <v>0</v>
      </c>
      <c r="AF1703" s="52" t="n">
        <v>0</v>
      </c>
      <c r="AG1703" s="52" t="n">
        <v>0</v>
      </c>
      <c r="AH1703" s="52" t="n">
        <v>0</v>
      </c>
      <c r="AI1703" s="52" t="n">
        <v>0</v>
      </c>
      <c r="AJ1703" s="52" t="n">
        <v>0</v>
      </c>
      <c r="AK1703" s="52" t="n">
        <v>0</v>
      </c>
      <c r="AL1703" s="52" t="n">
        <v>0</v>
      </c>
      <c r="AM1703" s="53" t="n">
        <v>0</v>
      </c>
      <c r="AN1703" s="53" t="n">
        <v>0</v>
      </c>
      <c r="AO1703" s="53" t="n">
        <v>0</v>
      </c>
      <c r="AP1703" s="53" t="n">
        <v>0</v>
      </c>
      <c r="AQ1703" s="52" t="n">
        <v>0</v>
      </c>
      <c r="AR1703" s="52" t="n">
        <v>0</v>
      </c>
      <c r="AS1703" s="52" t="n">
        <v>0</v>
      </c>
      <c r="AT1703" s="52" t="n">
        <v>0</v>
      </c>
      <c r="AU1703" s="53" t="n">
        <v>0</v>
      </c>
      <c r="AV1703" s="53" t="n">
        <v>0</v>
      </c>
      <c r="AW1703" s="53" t="n">
        <v>0</v>
      </c>
      <c r="AX1703" s="53" t="n">
        <v>0</v>
      </c>
      <c r="AY1703" s="52" t="n">
        <v>0</v>
      </c>
      <c r="AZ1703" s="52" t="n">
        <v>0</v>
      </c>
      <c r="BA1703" s="52" t="n">
        <v>0</v>
      </c>
      <c r="BB1703" s="52" t="n">
        <v>0</v>
      </c>
      <c r="BC1703" s="51" t="n">
        <v>0</v>
      </c>
      <c r="BD1703" s="51" t="n">
        <v>0</v>
      </c>
      <c r="BE1703" s="51" t="n">
        <v>0</v>
      </c>
      <c r="BF1703" s="51" t="n">
        <v>0</v>
      </c>
    </row>
    <row r="1704">
      <c r="A1704">
        <f>HYPERLINK("https://www.walmart.com/ip/10298068836", "10298068836")</f>
        <v/>
      </c>
      <c r="B1704" t="inlineStr">
        <is>
          <t>Wrangler Men’s Full Grain Genuine Leather 35mm Thick Casual Belt for Jeans, Pants - Brown, 44</t>
        </is>
      </c>
      <c r="C1704" t="inlineStr">
        <is>
          <t>WR-BELT-MENS-35MM-BROWN-44</t>
        </is>
      </c>
      <c r="D1704" t="inlineStr">
        <is>
          <t>Belts</t>
        </is>
      </c>
      <c r="E1704" t="inlineStr">
        <is>
          <t>Wrangler</t>
        </is>
      </c>
      <c r="F1704" t="inlineStr">
        <is>
          <t>Belts</t>
        </is>
      </c>
      <c r="G1704" s="48" t="n">
        <v>0</v>
      </c>
      <c r="H1704" s="48" t="n">
        <v>0</v>
      </c>
      <c r="I1704" s="48" t="n">
        <v>0</v>
      </c>
      <c r="J1704" s="48" t="n">
        <v>19.99</v>
      </c>
      <c r="K1704" s="49" t="n">
        <v>0</v>
      </c>
      <c r="L1704" s="49" t="n">
        <v>0</v>
      </c>
      <c r="M1704" s="49" t="n">
        <v>0</v>
      </c>
      <c r="N1704" s="49" t="n">
        <v>1</v>
      </c>
      <c r="O1704" s="49" t="n">
        <v>0</v>
      </c>
      <c r="P1704" s="49" t="n">
        <v>0</v>
      </c>
      <c r="Q1704" s="49" t="n">
        <v>0</v>
      </c>
      <c r="R1704" s="49" t="n">
        <v>0</v>
      </c>
      <c r="S1704" s="50" t="n">
        <v>0</v>
      </c>
      <c r="T1704" s="50" t="n">
        <v>0</v>
      </c>
      <c r="U1704" s="50" t="n">
        <v>0</v>
      </c>
      <c r="V1704" s="50" t="n">
        <v>0</v>
      </c>
      <c r="W1704" s="51" t="n">
        <v>0</v>
      </c>
      <c r="X1704" s="51" t="n">
        <v>0</v>
      </c>
      <c r="Y1704" s="51" t="n">
        <v>0</v>
      </c>
      <c r="Z1704" s="51" t="n">
        <v>0</v>
      </c>
      <c r="AA1704" s="52" t="n">
        <v>0</v>
      </c>
      <c r="AB1704" s="52" t="n">
        <v>0</v>
      </c>
      <c r="AC1704" s="52" t="n">
        <v>0</v>
      </c>
      <c r="AD1704" s="52" t="n">
        <v>0</v>
      </c>
      <c r="AE1704" s="52" t="n">
        <v>0</v>
      </c>
      <c r="AF1704" s="52" t="n">
        <v>0</v>
      </c>
      <c r="AG1704" s="52" t="n">
        <v>0</v>
      </c>
      <c r="AH1704" s="52" t="n">
        <v>0</v>
      </c>
      <c r="AI1704" s="52" t="n">
        <v>0</v>
      </c>
      <c r="AJ1704" s="52" t="n">
        <v>0</v>
      </c>
      <c r="AK1704" s="52" t="n">
        <v>0</v>
      </c>
      <c r="AL1704" s="52" t="n">
        <v>0</v>
      </c>
      <c r="AM1704" s="53" t="n">
        <v>0</v>
      </c>
      <c r="AN1704" s="53" t="n">
        <v>0</v>
      </c>
      <c r="AO1704" s="53" t="n">
        <v>0</v>
      </c>
      <c r="AP1704" s="53" t="n">
        <v>0</v>
      </c>
      <c r="AQ1704" s="52" t="n">
        <v>0</v>
      </c>
      <c r="AR1704" s="52" t="n">
        <v>0</v>
      </c>
      <c r="AS1704" s="52" t="n">
        <v>0</v>
      </c>
      <c r="AT1704" s="52" t="n">
        <v>0</v>
      </c>
      <c r="AU1704" s="53" t="n">
        <v>0</v>
      </c>
      <c r="AV1704" s="53" t="n">
        <v>0</v>
      </c>
      <c r="AW1704" s="53" t="n">
        <v>0</v>
      </c>
      <c r="AX1704" s="53" t="n">
        <v>0</v>
      </c>
      <c r="AY1704" s="52" t="n">
        <v>0</v>
      </c>
      <c r="AZ1704" s="52" t="n">
        <v>0</v>
      </c>
      <c r="BA1704" s="52" t="n">
        <v>0</v>
      </c>
      <c r="BB1704" s="52" t="n">
        <v>19.99</v>
      </c>
      <c r="BC1704" s="51" t="n">
        <v>0</v>
      </c>
      <c r="BD1704" s="51" t="n">
        <v>0</v>
      </c>
      <c r="BE1704" s="51" t="n">
        <v>0</v>
      </c>
      <c r="BF1704" s="51" t="n">
        <v>0</v>
      </c>
    </row>
    <row r="1705">
      <c r="A1705">
        <f>HYPERLINK("https://www.walmart.com/ip/10282157253", "10282157253")</f>
        <v/>
      </c>
      <c r="B1705" t="inlineStr">
        <is>
          <t>Wrangler Men’s Full Grain Genuine Leather 35mm Thick Casual Belt for Jeans, Pants - Light Brown, 44</t>
        </is>
      </c>
      <c r="C1705" t="inlineStr">
        <is>
          <t>WR-BELT-MENS-35MM-LTBROWN-44</t>
        </is>
      </c>
      <c r="D1705" t="inlineStr">
        <is>
          <t>Belts</t>
        </is>
      </c>
      <c r="E1705" t="inlineStr">
        <is>
          <t>Wrangler</t>
        </is>
      </c>
      <c r="F1705" t="inlineStr">
        <is>
          <t>Belts</t>
        </is>
      </c>
      <c r="G1705" s="48" t="n">
        <v>0</v>
      </c>
      <c r="H1705" s="48" t="n">
        <v>0</v>
      </c>
      <c r="I1705" s="48" t="n">
        <v>0</v>
      </c>
      <c r="J1705" s="48" t="n">
        <v>0</v>
      </c>
      <c r="K1705" s="49" t="n">
        <v>0</v>
      </c>
      <c r="L1705" s="49" t="n">
        <v>0</v>
      </c>
      <c r="M1705" s="49" t="n">
        <v>0</v>
      </c>
      <c r="N1705" s="49" t="n">
        <v>0</v>
      </c>
      <c r="O1705" s="49" t="n">
        <v>0</v>
      </c>
      <c r="P1705" s="49" t="n">
        <v>0</v>
      </c>
      <c r="Q1705" s="49" t="n">
        <v>0</v>
      </c>
      <c r="R1705" s="49" t="n">
        <v>0</v>
      </c>
      <c r="S1705" s="50" t="n">
        <v>0</v>
      </c>
      <c r="T1705" s="50" t="n">
        <v>0</v>
      </c>
      <c r="U1705" s="50" t="n">
        <v>0</v>
      </c>
      <c r="V1705" s="50" t="n">
        <v>0</v>
      </c>
      <c r="W1705" s="51" t="n">
        <v>0</v>
      </c>
      <c r="X1705" s="51" t="n">
        <v>0</v>
      </c>
      <c r="Y1705" s="51" t="n">
        <v>0</v>
      </c>
      <c r="Z1705" s="51" t="n">
        <v>0</v>
      </c>
      <c r="AA1705" s="52" t="n">
        <v>0</v>
      </c>
      <c r="AB1705" s="52" t="n">
        <v>0</v>
      </c>
      <c r="AC1705" s="52" t="n">
        <v>0</v>
      </c>
      <c r="AD1705" s="52" t="n">
        <v>0</v>
      </c>
      <c r="AE1705" s="52" t="n">
        <v>0</v>
      </c>
      <c r="AF1705" s="52" t="n">
        <v>0</v>
      </c>
      <c r="AG1705" s="52" t="n">
        <v>0</v>
      </c>
      <c r="AH1705" s="52" t="n">
        <v>0</v>
      </c>
      <c r="AI1705" s="52" t="n">
        <v>0</v>
      </c>
      <c r="AJ1705" s="52" t="n">
        <v>0</v>
      </c>
      <c r="AK1705" s="52" t="n">
        <v>0</v>
      </c>
      <c r="AL1705" s="52" t="n">
        <v>0</v>
      </c>
      <c r="AM1705" s="53" t="n">
        <v>0</v>
      </c>
      <c r="AN1705" s="53" t="n">
        <v>0</v>
      </c>
      <c r="AO1705" s="53" t="n">
        <v>0</v>
      </c>
      <c r="AP1705" s="53" t="n">
        <v>0</v>
      </c>
      <c r="AQ1705" s="52" t="n">
        <v>0</v>
      </c>
      <c r="AR1705" s="52" t="n">
        <v>0</v>
      </c>
      <c r="AS1705" s="52" t="n">
        <v>0</v>
      </c>
      <c r="AT1705" s="52" t="n">
        <v>0</v>
      </c>
      <c r="AU1705" s="53" t="n">
        <v>0</v>
      </c>
      <c r="AV1705" s="53" t="n">
        <v>0</v>
      </c>
      <c r="AW1705" s="53" t="n">
        <v>0</v>
      </c>
      <c r="AX1705" s="53" t="n">
        <v>0</v>
      </c>
      <c r="AY1705" s="52" t="n">
        <v>0</v>
      </c>
      <c r="AZ1705" s="52" t="n">
        <v>0</v>
      </c>
      <c r="BA1705" s="52" t="n">
        <v>0</v>
      </c>
      <c r="BB1705" s="52" t="n">
        <v>0</v>
      </c>
      <c r="BC1705" s="51" t="n">
        <v>0</v>
      </c>
      <c r="BD1705" s="51" t="n">
        <v>0</v>
      </c>
      <c r="BE1705" s="51" t="n">
        <v>0</v>
      </c>
      <c r="BF1705" s="51" t="n">
        <v>0</v>
      </c>
    </row>
    <row r="1706">
      <c r="A1706">
        <f>HYPERLINK("https://www.walmart.com/ip/1002222629", "1002222629")</f>
        <v/>
      </c>
      <c r="B1706" t="inlineStr">
        <is>
          <t>Every Day is Christmas Glass Blown Ornaments Cute Hand Made Figurines Tree Decoration, $10,000 Stack</t>
        </is>
      </c>
      <c r="C1706" t="inlineStr">
        <is>
          <t>EDC-FIGURINE-10KSTACK</t>
        </is>
      </c>
      <c r="D1706" t="inlineStr">
        <is>
          <t>Ornaments</t>
        </is>
      </c>
      <c r="E1706" t="inlineStr">
        <is>
          <t>Every Day is Christmas</t>
        </is>
      </c>
      <c r="G1706" s="48" t="n">
        <v>0</v>
      </c>
      <c r="H1706" s="48" t="n">
        <v>0</v>
      </c>
      <c r="I1706" s="48" t="n">
        <v>0</v>
      </c>
      <c r="J1706" s="48" t="n">
        <v>0</v>
      </c>
      <c r="K1706" s="49" t="n">
        <v>0</v>
      </c>
      <c r="L1706" s="49" t="n">
        <v>0</v>
      </c>
      <c r="M1706" s="49" t="n">
        <v>0</v>
      </c>
      <c r="N1706" s="49" t="n">
        <v>0</v>
      </c>
      <c r="O1706" s="49" t="n">
        <v>0</v>
      </c>
      <c r="P1706" s="49" t="n">
        <v>0</v>
      </c>
      <c r="Q1706" s="49" t="n">
        <v>0</v>
      </c>
      <c r="R1706" s="49" t="n">
        <v>0</v>
      </c>
      <c r="S1706" s="50" t="n">
        <v>0</v>
      </c>
      <c r="T1706" s="50" t="n">
        <v>0</v>
      </c>
      <c r="U1706" s="50" t="n">
        <v>0</v>
      </c>
      <c r="V1706" s="50" t="n">
        <v>0</v>
      </c>
      <c r="W1706" s="51" t="n">
        <v>0</v>
      </c>
      <c r="X1706" s="51" t="n">
        <v>0</v>
      </c>
      <c r="Y1706" s="51" t="n">
        <v>0</v>
      </c>
      <c r="Z1706" s="51" t="n">
        <v>0</v>
      </c>
      <c r="AA1706" s="52" t="n">
        <v>0</v>
      </c>
      <c r="AB1706" s="52" t="n">
        <v>0</v>
      </c>
      <c r="AC1706" s="52" t="n">
        <v>0</v>
      </c>
      <c r="AD1706" s="52" t="n">
        <v>0</v>
      </c>
      <c r="AE1706" s="52" t="n">
        <v>0</v>
      </c>
      <c r="AF1706" s="52" t="n">
        <v>0</v>
      </c>
      <c r="AG1706" s="52" t="n">
        <v>0</v>
      </c>
      <c r="AH1706" s="52" t="n">
        <v>0</v>
      </c>
      <c r="AI1706" s="52" t="n">
        <v>0</v>
      </c>
      <c r="AJ1706" s="52" t="n">
        <v>0</v>
      </c>
      <c r="AK1706" s="52" t="n">
        <v>0</v>
      </c>
      <c r="AL1706" s="52" t="n">
        <v>0</v>
      </c>
      <c r="AM1706" s="53" t="n">
        <v>0</v>
      </c>
      <c r="AN1706" s="53" t="n">
        <v>0</v>
      </c>
      <c r="AO1706" s="53" t="n">
        <v>0</v>
      </c>
      <c r="AP1706" s="53" t="n">
        <v>0</v>
      </c>
      <c r="AQ1706" s="52" t="n">
        <v>0</v>
      </c>
      <c r="AR1706" s="52" t="n">
        <v>0</v>
      </c>
      <c r="AS1706" s="52" t="n">
        <v>0</v>
      </c>
      <c r="AT1706" s="52" t="n">
        <v>0</v>
      </c>
      <c r="AU1706" s="53" t="n">
        <v>0</v>
      </c>
      <c r="AV1706" s="53" t="n">
        <v>0</v>
      </c>
      <c r="AW1706" s="53" t="n">
        <v>0</v>
      </c>
      <c r="AX1706" s="53" t="n">
        <v>0</v>
      </c>
      <c r="AY1706" s="52" t="n">
        <v>0</v>
      </c>
      <c r="AZ1706" s="52" t="n">
        <v>0</v>
      </c>
      <c r="BA1706" s="52" t="n">
        <v>0</v>
      </c>
      <c r="BB1706" s="52" t="n">
        <v>0</v>
      </c>
      <c r="BC1706" s="51" t="n">
        <v>0</v>
      </c>
      <c r="BD1706" s="51" t="n">
        <v>0</v>
      </c>
      <c r="BE1706" s="51" t="n">
        <v>0</v>
      </c>
      <c r="BF1706" s="51" t="n">
        <v>0</v>
      </c>
    </row>
    <row r="1707">
      <c r="A1707">
        <f>HYPERLINK("https://www.walmart.com/ip/100883042", "100883042")</f>
        <v/>
      </c>
      <c r="B1707" t="inlineStr">
        <is>
          <t>Vina® Premium Bamboo Cheese Board Set with Storage Drawer &amp; 4 Piece Cheese Knife</t>
        </is>
      </c>
      <c r="C1707" t="inlineStr">
        <is>
          <t>VINABCB07-4T</t>
        </is>
      </c>
      <c r="D1707" t="inlineStr">
        <is>
          <t>Cheese Board Sets</t>
        </is>
      </c>
      <c r="E1707" t="inlineStr">
        <is>
          <t>Tirrinia</t>
        </is>
      </c>
      <c r="F1707" t="inlineStr">
        <is>
          <t>WFS Item</t>
        </is>
      </c>
      <c r="G1707" s="48" t="n">
        <v>0</v>
      </c>
      <c r="H1707" s="48" t="n">
        <v>0</v>
      </c>
      <c r="I1707" s="48" t="n">
        <v>0</v>
      </c>
      <c r="J1707" s="48" t="n">
        <v>0</v>
      </c>
      <c r="K1707" s="49" t="n">
        <v>0</v>
      </c>
      <c r="L1707" s="49" t="n">
        <v>0</v>
      </c>
      <c r="M1707" s="49" t="n">
        <v>0</v>
      </c>
      <c r="N1707" s="49" t="n">
        <v>0</v>
      </c>
      <c r="O1707" s="49" t="n">
        <v>0</v>
      </c>
      <c r="P1707" s="49" t="n">
        <v>0</v>
      </c>
      <c r="Q1707" s="49" t="n">
        <v>0</v>
      </c>
      <c r="R1707" s="49" t="n">
        <v>0</v>
      </c>
      <c r="S1707" s="50" t="n">
        <v>0</v>
      </c>
      <c r="T1707" s="50" t="n">
        <v>0</v>
      </c>
      <c r="U1707" s="50" t="n">
        <v>0</v>
      </c>
      <c r="V1707" s="50" t="n">
        <v>0</v>
      </c>
      <c r="W1707" s="51" t="n">
        <v>0</v>
      </c>
      <c r="X1707" s="51" t="n">
        <v>0</v>
      </c>
      <c r="Y1707" s="51" t="n">
        <v>0</v>
      </c>
      <c r="Z1707" s="51" t="n">
        <v>0</v>
      </c>
      <c r="AA1707" s="52" t="n">
        <v>0</v>
      </c>
      <c r="AB1707" s="52" t="n">
        <v>0</v>
      </c>
      <c r="AC1707" s="52" t="n">
        <v>0</v>
      </c>
      <c r="AD1707" s="52" t="n">
        <v>0</v>
      </c>
      <c r="AE1707" s="52" t="n">
        <v>0</v>
      </c>
      <c r="AF1707" s="52" t="n">
        <v>0</v>
      </c>
      <c r="AG1707" s="52" t="n">
        <v>0</v>
      </c>
      <c r="AH1707" s="52" t="n">
        <v>0</v>
      </c>
      <c r="AI1707" s="52" t="n">
        <v>0</v>
      </c>
      <c r="AJ1707" s="52" t="n">
        <v>0</v>
      </c>
      <c r="AK1707" s="52" t="n">
        <v>0</v>
      </c>
      <c r="AL1707" s="52" t="n">
        <v>0</v>
      </c>
      <c r="AM1707" s="53" t="n">
        <v>0</v>
      </c>
      <c r="AN1707" s="53" t="n">
        <v>0</v>
      </c>
      <c r="AO1707" s="53" t="n">
        <v>0</v>
      </c>
      <c r="AP1707" s="53" t="n">
        <v>0</v>
      </c>
      <c r="AQ1707" s="52" t="n">
        <v>0</v>
      </c>
      <c r="AR1707" s="52" t="n">
        <v>0</v>
      </c>
      <c r="AS1707" s="52" t="n">
        <v>0</v>
      </c>
      <c r="AT1707" s="52" t="n">
        <v>0</v>
      </c>
      <c r="AU1707" s="53" t="n">
        <v>0</v>
      </c>
      <c r="AV1707" s="53" t="n">
        <v>0</v>
      </c>
      <c r="AW1707" s="53" t="n">
        <v>0</v>
      </c>
      <c r="AX1707" s="53" t="n">
        <v>0</v>
      </c>
      <c r="AY1707" s="52" t="n">
        <v>0</v>
      </c>
      <c r="AZ1707" s="52" t="n">
        <v>0</v>
      </c>
      <c r="BA1707" s="52" t="n">
        <v>0</v>
      </c>
      <c r="BB1707" s="52" t="n">
        <v>0</v>
      </c>
      <c r="BC1707" s="51" t="n">
        <v>0</v>
      </c>
      <c r="BD1707" s="51" t="n">
        <v>0</v>
      </c>
      <c r="BE1707" s="51" t="n">
        <v>0</v>
      </c>
      <c r="BF1707" s="51" t="n">
        <v>0</v>
      </c>
    </row>
    <row r="1708">
      <c r="A1708">
        <f>HYPERLINK("https://www.walmart.com/ip/100963902", "100963902")</f>
        <v/>
      </c>
      <c r="B1708" t="inlineStr">
        <is>
          <t>JenniWears Women's Beileise Sexy Suspender Pantyhose Stockings Black Socks - 3 Packs</t>
        </is>
      </c>
      <c r="C1708" t="inlineStr">
        <is>
          <t>JWBLSPH2010-3pcs</t>
        </is>
      </c>
      <c r="D1708" t="inlineStr">
        <is>
          <t>Pantyhose &amp; Tights</t>
        </is>
      </c>
      <c r="E1708" t="inlineStr">
        <is>
          <t>JenniWears</t>
        </is>
      </c>
      <c r="F1708" t="inlineStr">
        <is>
          <t>Optimized,Valentine</t>
        </is>
      </c>
      <c r="G1708" s="48" t="n">
        <v>0</v>
      </c>
      <c r="H1708" s="48" t="n">
        <v>0</v>
      </c>
      <c r="I1708" s="48" t="n">
        <v>0</v>
      </c>
      <c r="J1708" s="48" t="n">
        <v>0</v>
      </c>
      <c r="K1708" s="49" t="n">
        <v>0</v>
      </c>
      <c r="L1708" s="49" t="n">
        <v>0</v>
      </c>
      <c r="M1708" s="49" t="n">
        <v>0</v>
      </c>
      <c r="N1708" s="49" t="n">
        <v>0</v>
      </c>
      <c r="O1708" s="49" t="n">
        <v>0</v>
      </c>
      <c r="P1708" s="49" t="n">
        <v>0</v>
      </c>
      <c r="Q1708" s="49" t="n">
        <v>0</v>
      </c>
      <c r="R1708" s="49" t="n">
        <v>0</v>
      </c>
      <c r="S1708" s="50" t="n">
        <v>0</v>
      </c>
      <c r="T1708" s="50" t="n">
        <v>0</v>
      </c>
      <c r="U1708" s="50" t="n">
        <v>0</v>
      </c>
      <c r="V1708" s="50" t="n">
        <v>0</v>
      </c>
      <c r="W1708" s="51" t="n">
        <v>0</v>
      </c>
      <c r="X1708" s="51" t="n">
        <v>0</v>
      </c>
      <c r="Y1708" s="51" t="n">
        <v>0</v>
      </c>
      <c r="Z1708" s="51" t="n">
        <v>0</v>
      </c>
      <c r="AA1708" s="52" t="n">
        <v>0</v>
      </c>
      <c r="AB1708" s="52" t="n">
        <v>0</v>
      </c>
      <c r="AC1708" s="52" t="n">
        <v>0</v>
      </c>
      <c r="AD1708" s="52" t="n">
        <v>0</v>
      </c>
      <c r="AE1708" s="52" t="n">
        <v>0</v>
      </c>
      <c r="AF1708" s="52" t="n">
        <v>0</v>
      </c>
      <c r="AG1708" s="52" t="n">
        <v>0</v>
      </c>
      <c r="AH1708" s="52" t="n">
        <v>0</v>
      </c>
      <c r="AI1708" s="52" t="n">
        <v>0</v>
      </c>
      <c r="AJ1708" s="52" t="n">
        <v>0</v>
      </c>
      <c r="AK1708" s="52" t="n">
        <v>0</v>
      </c>
      <c r="AL1708" s="52" t="n">
        <v>0</v>
      </c>
      <c r="AM1708" s="53" t="n">
        <v>0</v>
      </c>
      <c r="AN1708" s="53" t="n">
        <v>0</v>
      </c>
      <c r="AO1708" s="53" t="n">
        <v>0</v>
      </c>
      <c r="AP1708" s="53" t="n">
        <v>0</v>
      </c>
      <c r="AQ1708" s="52" t="n">
        <v>0</v>
      </c>
      <c r="AR1708" s="52" t="n">
        <v>0</v>
      </c>
      <c r="AS1708" s="52" t="n">
        <v>0</v>
      </c>
      <c r="AT1708" s="52" t="n">
        <v>0</v>
      </c>
      <c r="AU1708" s="53" t="n">
        <v>0</v>
      </c>
      <c r="AV1708" s="53" t="n">
        <v>0</v>
      </c>
      <c r="AW1708" s="53" t="n">
        <v>0</v>
      </c>
      <c r="AX1708" s="53" t="n">
        <v>0</v>
      </c>
      <c r="AY1708" s="52" t="n">
        <v>0</v>
      </c>
      <c r="AZ1708" s="52" t="n">
        <v>0</v>
      </c>
      <c r="BA1708" s="52" t="n">
        <v>0</v>
      </c>
      <c r="BB1708" s="52" t="n">
        <v>0</v>
      </c>
      <c r="BC1708" s="51" t="n">
        <v>0</v>
      </c>
      <c r="BD1708" s="51" t="n">
        <v>0</v>
      </c>
      <c r="BE1708" s="51" t="n">
        <v>0</v>
      </c>
      <c r="BF1708" s="51" t="n">
        <v>0</v>
      </c>
    </row>
    <row r="1709">
      <c r="A1709">
        <f>HYPERLINK("https://www.walmart.com/ip/1012779361", "1012779361")</f>
        <v/>
      </c>
      <c r="B1709" t="inlineStr">
        <is>
          <t>Sun Visor Sports Cotton Twill Plain Hat with Adjustable Strap for Men Women Outdoor Golf Tennis Running Jogging Hiking</t>
        </is>
      </c>
      <c r="C1709" t="inlineStr">
        <is>
          <t>1SLVS4130ROY - 12pcs</t>
        </is>
      </c>
      <c r="D1709" t="inlineStr">
        <is>
          <t>Tennis Visors</t>
        </is>
      </c>
      <c r="E1709" t="inlineStr">
        <is>
          <t>Solaris</t>
        </is>
      </c>
      <c r="G1709" s="48" t="n">
        <v>0</v>
      </c>
      <c r="H1709" s="48" t="n">
        <v>0</v>
      </c>
      <c r="I1709" s="48" t="n">
        <v>0</v>
      </c>
      <c r="J1709" s="48" t="n">
        <v>0</v>
      </c>
      <c r="K1709" s="49" t="n">
        <v>0</v>
      </c>
      <c r="L1709" s="49" t="n">
        <v>0</v>
      </c>
      <c r="M1709" s="49" t="n">
        <v>0</v>
      </c>
      <c r="N1709" s="49" t="n">
        <v>0</v>
      </c>
      <c r="O1709" s="49" t="n">
        <v>0</v>
      </c>
      <c r="P1709" s="49" t="n">
        <v>0</v>
      </c>
      <c r="Q1709" s="49" t="n">
        <v>0</v>
      </c>
      <c r="R1709" s="49" t="n">
        <v>0</v>
      </c>
      <c r="S1709" s="50" t="n">
        <v>0</v>
      </c>
      <c r="T1709" s="50" t="n">
        <v>0</v>
      </c>
      <c r="U1709" s="50" t="n">
        <v>0</v>
      </c>
      <c r="V1709" s="50" t="n">
        <v>0</v>
      </c>
      <c r="W1709" s="51" t="n">
        <v>0</v>
      </c>
      <c r="X1709" s="51" t="n">
        <v>0</v>
      </c>
      <c r="Y1709" s="51" t="n">
        <v>0</v>
      </c>
      <c r="Z1709" s="51" t="n">
        <v>0</v>
      </c>
      <c r="AA1709" s="52" t="n">
        <v>0</v>
      </c>
      <c r="AB1709" s="52" t="n">
        <v>0</v>
      </c>
      <c r="AC1709" s="52" t="n">
        <v>0</v>
      </c>
      <c r="AD1709" s="52" t="n">
        <v>0</v>
      </c>
      <c r="AE1709" s="52" t="n">
        <v>0</v>
      </c>
      <c r="AF1709" s="52" t="n">
        <v>0</v>
      </c>
      <c r="AG1709" s="52" t="n">
        <v>0</v>
      </c>
      <c r="AH1709" s="52" t="n">
        <v>0</v>
      </c>
      <c r="AI1709" s="52" t="n">
        <v>0</v>
      </c>
      <c r="AJ1709" s="52" t="n">
        <v>0</v>
      </c>
      <c r="AK1709" s="52" t="n">
        <v>0</v>
      </c>
      <c r="AL1709" s="52" t="n">
        <v>0</v>
      </c>
      <c r="AM1709" s="53" t="n">
        <v>0</v>
      </c>
      <c r="AN1709" s="53" t="n">
        <v>0</v>
      </c>
      <c r="AO1709" s="53" t="n">
        <v>0</v>
      </c>
      <c r="AP1709" s="53" t="n">
        <v>0</v>
      </c>
      <c r="AQ1709" s="52" t="n">
        <v>0</v>
      </c>
      <c r="AR1709" s="52" t="n">
        <v>0</v>
      </c>
      <c r="AS1709" s="52" t="n">
        <v>0</v>
      </c>
      <c r="AT1709" s="52" t="n">
        <v>0</v>
      </c>
      <c r="AU1709" s="53" t="n">
        <v>0</v>
      </c>
      <c r="AV1709" s="53" t="n">
        <v>0</v>
      </c>
      <c r="AW1709" s="53" t="n">
        <v>0</v>
      </c>
      <c r="AX1709" s="53" t="n">
        <v>0</v>
      </c>
      <c r="AY1709" s="52" t="n">
        <v>0</v>
      </c>
      <c r="AZ1709" s="52" t="n">
        <v>0</v>
      </c>
      <c r="BA1709" s="52" t="n">
        <v>0</v>
      </c>
      <c r="BB1709" s="52" t="n">
        <v>0</v>
      </c>
      <c r="BC1709" s="51" t="n">
        <v>0</v>
      </c>
      <c r="BD1709" s="51" t="n">
        <v>0</v>
      </c>
      <c r="BE1709" s="51" t="n">
        <v>0</v>
      </c>
      <c r="BF1709" s="51" t="n">
        <v>0</v>
      </c>
    </row>
    <row r="1710">
      <c r="A1710">
        <f>HYPERLINK("https://www.walmart.com/ip/101337304", "101337304")</f>
        <v/>
      </c>
      <c r="B1710" t="inlineStr">
        <is>
          <t>Jennis 8in1 Stylish Ladies Magic Scarf Shawl Woolly Charcoal Fiber Head Wrap</t>
        </is>
      </c>
      <c r="C1710" t="inlineStr">
        <is>
          <t>MagicScarfDPBK</t>
        </is>
      </c>
      <c r="D1710" t="inlineStr">
        <is>
          <t>Scarves</t>
        </is>
      </c>
      <c r="E1710" t="inlineStr">
        <is>
          <t>JenniWears</t>
        </is>
      </c>
      <c r="F1710" t="inlineStr">
        <is>
          <t>Optimized</t>
        </is>
      </c>
      <c r="G1710" s="48" t="n">
        <v>0</v>
      </c>
      <c r="H1710" s="48" t="n">
        <v>0</v>
      </c>
      <c r="I1710" s="48" t="n">
        <v>0</v>
      </c>
      <c r="J1710" s="48" t="n">
        <v>0</v>
      </c>
      <c r="K1710" s="49" t="n">
        <v>0</v>
      </c>
      <c r="L1710" s="49" t="n">
        <v>0</v>
      </c>
      <c r="M1710" s="49" t="n">
        <v>0</v>
      </c>
      <c r="N1710" s="49" t="n">
        <v>0</v>
      </c>
      <c r="O1710" s="49" t="n">
        <v>0</v>
      </c>
      <c r="P1710" s="49" t="n">
        <v>0</v>
      </c>
      <c r="Q1710" s="49" t="n">
        <v>0</v>
      </c>
      <c r="R1710" s="49" t="n">
        <v>0</v>
      </c>
      <c r="S1710" s="50" t="n">
        <v>0</v>
      </c>
      <c r="T1710" s="50" t="n">
        <v>0</v>
      </c>
      <c r="U1710" s="50" t="n">
        <v>0</v>
      </c>
      <c r="V1710" s="50" t="n">
        <v>0</v>
      </c>
      <c r="W1710" s="51" t="n">
        <v>0</v>
      </c>
      <c r="X1710" s="51" t="n">
        <v>0</v>
      </c>
      <c r="Y1710" s="51" t="n">
        <v>0</v>
      </c>
      <c r="Z1710" s="51" t="n">
        <v>0</v>
      </c>
      <c r="AA1710" s="52" t="n">
        <v>0</v>
      </c>
      <c r="AB1710" s="52" t="n">
        <v>0</v>
      </c>
      <c r="AC1710" s="52" t="n">
        <v>0</v>
      </c>
      <c r="AD1710" s="52" t="n">
        <v>0</v>
      </c>
      <c r="AE1710" s="52" t="n">
        <v>0</v>
      </c>
      <c r="AF1710" s="52" t="n">
        <v>0</v>
      </c>
      <c r="AG1710" s="52" t="n">
        <v>0</v>
      </c>
      <c r="AH1710" s="52" t="n">
        <v>0</v>
      </c>
      <c r="AI1710" s="52" t="n">
        <v>0</v>
      </c>
      <c r="AJ1710" s="52" t="n">
        <v>0</v>
      </c>
      <c r="AK1710" s="52" t="n">
        <v>0</v>
      </c>
      <c r="AL1710" s="52" t="n">
        <v>0</v>
      </c>
      <c r="AM1710" s="53" t="n">
        <v>0</v>
      </c>
      <c r="AN1710" s="53" t="n">
        <v>0</v>
      </c>
      <c r="AO1710" s="53" t="n">
        <v>0</v>
      </c>
      <c r="AP1710" s="53" t="n">
        <v>0</v>
      </c>
      <c r="AQ1710" s="52" t="n">
        <v>0</v>
      </c>
      <c r="AR1710" s="52" t="n">
        <v>0</v>
      </c>
      <c r="AS1710" s="52" t="n">
        <v>0</v>
      </c>
      <c r="AT1710" s="52" t="n">
        <v>0</v>
      </c>
      <c r="AU1710" s="53" t="n">
        <v>0</v>
      </c>
      <c r="AV1710" s="53" t="n">
        <v>0</v>
      </c>
      <c r="AW1710" s="53" t="n">
        <v>0</v>
      </c>
      <c r="AX1710" s="53" t="n">
        <v>0</v>
      </c>
      <c r="AY1710" s="52" t="n">
        <v>0</v>
      </c>
      <c r="AZ1710" s="52" t="n">
        <v>0</v>
      </c>
      <c r="BA1710" s="52" t="n">
        <v>0</v>
      </c>
      <c r="BB1710" s="52" t="n">
        <v>0</v>
      </c>
      <c r="BC1710" s="51" t="n">
        <v>0</v>
      </c>
      <c r="BD1710" s="51" t="n">
        <v>0</v>
      </c>
      <c r="BE1710" s="51" t="n">
        <v>0</v>
      </c>
      <c r="BF1710" s="51" t="n">
        <v>0</v>
      </c>
    </row>
    <row r="1711">
      <c r="A1711">
        <f>HYPERLINK("https://www.walmart.com/ip/1014471610", "1014471610")</f>
        <v/>
      </c>
      <c r="B1711" t="inlineStr">
        <is>
          <t>Catalonia Wearable TV Blanket with Sleeves Arms Micro Plush Fleece Wrap Throw Robe 73 x 51”</t>
        </is>
      </c>
      <c r="C1711" t="inlineStr">
        <is>
          <t>1CTSN150PK</t>
        </is>
      </c>
      <c r="D1711" t="inlineStr">
        <is>
          <t>Throws</t>
        </is>
      </c>
      <c r="E1711" t="inlineStr">
        <is>
          <t>Catalonia</t>
        </is>
      </c>
      <c r="F1711" t="inlineStr">
        <is>
          <t>Batch 1 - TR</t>
        </is>
      </c>
      <c r="G1711" s="48" t="n">
        <v>0</v>
      </c>
      <c r="H1711" s="48" t="n">
        <v>0</v>
      </c>
      <c r="I1711" s="48" t="n">
        <v>0</v>
      </c>
      <c r="J1711" s="48" t="n">
        <v>0</v>
      </c>
      <c r="K1711" s="49" t="n">
        <v>0</v>
      </c>
      <c r="L1711" s="49" t="n">
        <v>0</v>
      </c>
      <c r="M1711" s="49" t="n">
        <v>0</v>
      </c>
      <c r="N1711" s="49" t="n">
        <v>0</v>
      </c>
      <c r="O1711" s="49" t="n">
        <v>0</v>
      </c>
      <c r="P1711" s="49" t="n">
        <v>0</v>
      </c>
      <c r="Q1711" s="49" t="n">
        <v>0</v>
      </c>
      <c r="R1711" s="49" t="n">
        <v>0</v>
      </c>
      <c r="S1711" s="50" t="n">
        <v>0</v>
      </c>
      <c r="T1711" s="50" t="n">
        <v>0</v>
      </c>
      <c r="U1711" s="50" t="n">
        <v>0</v>
      </c>
      <c r="V1711" s="50" t="n">
        <v>0</v>
      </c>
      <c r="W1711" s="51" t="n">
        <v>0</v>
      </c>
      <c r="X1711" s="51" t="n">
        <v>0</v>
      </c>
      <c r="Y1711" s="51" t="n">
        <v>0</v>
      </c>
      <c r="Z1711" s="51" t="n">
        <v>0</v>
      </c>
      <c r="AA1711" s="52" t="n">
        <v>0</v>
      </c>
      <c r="AB1711" s="52" t="n">
        <v>0</v>
      </c>
      <c r="AC1711" s="52" t="n">
        <v>0</v>
      </c>
      <c r="AD1711" s="52" t="n">
        <v>0</v>
      </c>
      <c r="AE1711" s="52" t="n">
        <v>0</v>
      </c>
      <c r="AF1711" s="52" t="n">
        <v>0</v>
      </c>
      <c r="AG1711" s="52" t="n">
        <v>0</v>
      </c>
      <c r="AH1711" s="52" t="n">
        <v>0</v>
      </c>
      <c r="AI1711" s="52" t="n">
        <v>0</v>
      </c>
      <c r="AJ1711" s="52" t="n">
        <v>0</v>
      </c>
      <c r="AK1711" s="52" t="n">
        <v>0</v>
      </c>
      <c r="AL1711" s="52" t="n">
        <v>0</v>
      </c>
      <c r="AM1711" s="53" t="n">
        <v>0</v>
      </c>
      <c r="AN1711" s="53" t="n">
        <v>0</v>
      </c>
      <c r="AO1711" s="53" t="n">
        <v>0</v>
      </c>
      <c r="AP1711" s="53" t="n">
        <v>0</v>
      </c>
      <c r="AQ1711" s="52" t="n">
        <v>0</v>
      </c>
      <c r="AR1711" s="52" t="n">
        <v>0</v>
      </c>
      <c r="AS1711" s="52" t="n">
        <v>0</v>
      </c>
      <c r="AT1711" s="52" t="n">
        <v>0</v>
      </c>
      <c r="AU1711" s="53" t="n">
        <v>0</v>
      </c>
      <c r="AV1711" s="53" t="n">
        <v>0</v>
      </c>
      <c r="AW1711" s="53" t="n">
        <v>0</v>
      </c>
      <c r="AX1711" s="53" t="n">
        <v>0</v>
      </c>
      <c r="AY1711" s="52" t="n">
        <v>0</v>
      </c>
      <c r="AZ1711" s="52" t="n">
        <v>0</v>
      </c>
      <c r="BA1711" s="52" t="n">
        <v>0</v>
      </c>
      <c r="BB1711" s="52" t="n">
        <v>0</v>
      </c>
      <c r="BC1711" s="51" t="n">
        <v>0</v>
      </c>
      <c r="BD1711" s="51" t="n">
        <v>0</v>
      </c>
      <c r="BE1711" s="51" t="n">
        <v>0</v>
      </c>
      <c r="BF1711" s="51" t="n">
        <v>0</v>
      </c>
    </row>
    <row r="1712">
      <c r="A1712">
        <f>HYPERLINK("https://www.walmart.com/ip/101677245", "101677245")</f>
        <v/>
      </c>
      <c r="B1712" t="inlineStr">
        <is>
          <t>JenniWears Women's Beileise Sexy Net Pantyhose Stockings Sheer Ultrathin Socks - 6 Packs</t>
        </is>
      </c>
      <c r="C1712" t="inlineStr">
        <is>
          <t>JWBLSPH2086-6pcs</t>
        </is>
      </c>
      <c r="D1712" t="inlineStr">
        <is>
          <t>Pantyhose &amp; Tights</t>
        </is>
      </c>
      <c r="E1712" t="inlineStr">
        <is>
          <t>JenniWears</t>
        </is>
      </c>
      <c r="F1712" t="inlineStr">
        <is>
          <t>Optimized,Valentine</t>
        </is>
      </c>
      <c r="G1712" s="48" t="n">
        <v>0</v>
      </c>
      <c r="H1712" s="48" t="n">
        <v>0</v>
      </c>
      <c r="I1712" s="48" t="n">
        <v>0</v>
      </c>
      <c r="J1712" s="48" t="n">
        <v>0</v>
      </c>
      <c r="K1712" s="49" t="n">
        <v>0</v>
      </c>
      <c r="L1712" s="49" t="n">
        <v>0</v>
      </c>
      <c r="M1712" s="49" t="n">
        <v>0</v>
      </c>
      <c r="N1712" s="49" t="n">
        <v>0</v>
      </c>
      <c r="O1712" s="49" t="n">
        <v>0</v>
      </c>
      <c r="P1712" s="49" t="n">
        <v>0</v>
      </c>
      <c r="Q1712" s="49" t="n">
        <v>0</v>
      </c>
      <c r="R1712" s="49" t="n">
        <v>0</v>
      </c>
      <c r="S1712" s="50" t="n">
        <v>0</v>
      </c>
      <c r="T1712" s="50" t="n">
        <v>0</v>
      </c>
      <c r="U1712" s="50" t="n">
        <v>0</v>
      </c>
      <c r="V1712" s="50" t="n">
        <v>0</v>
      </c>
      <c r="W1712" s="51" t="n">
        <v>0</v>
      </c>
      <c r="X1712" s="51" t="n">
        <v>0</v>
      </c>
      <c r="Y1712" s="51" t="n">
        <v>0</v>
      </c>
      <c r="Z1712" s="51" t="n">
        <v>0</v>
      </c>
      <c r="AA1712" s="52" t="n">
        <v>0</v>
      </c>
      <c r="AB1712" s="52" t="n">
        <v>0</v>
      </c>
      <c r="AC1712" s="52" t="n">
        <v>0</v>
      </c>
      <c r="AD1712" s="52" t="n">
        <v>0</v>
      </c>
      <c r="AE1712" s="52" t="n">
        <v>0</v>
      </c>
      <c r="AF1712" s="52" t="n">
        <v>0</v>
      </c>
      <c r="AG1712" s="52" t="n">
        <v>0</v>
      </c>
      <c r="AH1712" s="52" t="n">
        <v>0</v>
      </c>
      <c r="AI1712" s="52" t="n">
        <v>0</v>
      </c>
      <c r="AJ1712" s="52" t="n">
        <v>0</v>
      </c>
      <c r="AK1712" s="52" t="n">
        <v>0</v>
      </c>
      <c r="AL1712" s="52" t="n">
        <v>0</v>
      </c>
      <c r="AM1712" s="53" t="n">
        <v>0</v>
      </c>
      <c r="AN1712" s="53" t="n">
        <v>0</v>
      </c>
      <c r="AO1712" s="53" t="n">
        <v>0</v>
      </c>
      <c r="AP1712" s="53" t="n">
        <v>0</v>
      </c>
      <c r="AQ1712" s="52" t="n">
        <v>0</v>
      </c>
      <c r="AR1712" s="52" t="n">
        <v>0</v>
      </c>
      <c r="AS1712" s="52" t="n">
        <v>0</v>
      </c>
      <c r="AT1712" s="52" t="n">
        <v>0</v>
      </c>
      <c r="AU1712" s="53" t="n">
        <v>0</v>
      </c>
      <c r="AV1712" s="53" t="n">
        <v>0</v>
      </c>
      <c r="AW1712" s="53" t="n">
        <v>0</v>
      </c>
      <c r="AX1712" s="53" t="n">
        <v>0</v>
      </c>
      <c r="AY1712" s="52" t="n">
        <v>0</v>
      </c>
      <c r="AZ1712" s="52" t="n">
        <v>0</v>
      </c>
      <c r="BA1712" s="52" t="n">
        <v>0</v>
      </c>
      <c r="BB1712" s="52" t="n">
        <v>0</v>
      </c>
      <c r="BC1712" s="51" t="n">
        <v>0</v>
      </c>
      <c r="BD1712" s="51" t="n">
        <v>0</v>
      </c>
      <c r="BE1712" s="51" t="n">
        <v>0</v>
      </c>
      <c r="BF1712" s="51" t="n">
        <v>0</v>
      </c>
    </row>
    <row r="1713">
      <c r="A1713">
        <f>HYPERLINK("https://www.walmart.com/ip/1016893576", "1016893576")</f>
        <v/>
      </c>
      <c r="B1713" t="inlineStr">
        <is>
          <t>Child Cotton Hooded Poncho Towels Surfer Cartoon Changing Robe Swimmer Outdoor Beach 23” x 52” By Tirrinia</t>
        </is>
      </c>
      <c r="C1713" t="inlineStr">
        <is>
          <t>1TRBR200-Princess</t>
        </is>
      </c>
      <c r="D1713" t="inlineStr">
        <is>
          <t>Towels &amp; Washcloths</t>
        </is>
      </c>
      <c r="E1713" t="inlineStr">
        <is>
          <t>Tirrinia</t>
        </is>
      </c>
      <c r="F1713" t="inlineStr">
        <is>
          <t>Beach Robe Camp,Batch 1 - TR</t>
        </is>
      </c>
      <c r="G1713" s="48" t="n">
        <v>0</v>
      </c>
      <c r="H1713" s="48" t="n">
        <v>0</v>
      </c>
      <c r="I1713" s="48" t="n">
        <v>0</v>
      </c>
      <c r="J1713" s="48" t="n">
        <v>0</v>
      </c>
      <c r="K1713" s="49" t="n">
        <v>0</v>
      </c>
      <c r="L1713" s="49" t="n">
        <v>0</v>
      </c>
      <c r="M1713" s="49" t="n">
        <v>0</v>
      </c>
      <c r="N1713" s="49" t="n">
        <v>0</v>
      </c>
      <c r="O1713" s="49" t="n">
        <v>0</v>
      </c>
      <c r="P1713" s="49" t="n">
        <v>0</v>
      </c>
      <c r="Q1713" s="49" t="n">
        <v>0</v>
      </c>
      <c r="R1713" s="49" t="n">
        <v>0</v>
      </c>
      <c r="S1713" s="50" t="n">
        <v>0</v>
      </c>
      <c r="T1713" s="50" t="n">
        <v>0</v>
      </c>
      <c r="U1713" s="50" t="n">
        <v>0</v>
      </c>
      <c r="V1713" s="50" t="n">
        <v>0</v>
      </c>
      <c r="W1713" s="51" t="n">
        <v>0</v>
      </c>
      <c r="X1713" s="51" t="n">
        <v>0</v>
      </c>
      <c r="Y1713" s="51" t="n">
        <v>0</v>
      </c>
      <c r="Z1713" s="51" t="n">
        <v>0</v>
      </c>
      <c r="AA1713" s="52" t="n">
        <v>0</v>
      </c>
      <c r="AB1713" s="52" t="n">
        <v>0</v>
      </c>
      <c r="AC1713" s="52" t="n">
        <v>0</v>
      </c>
      <c r="AD1713" s="52" t="n">
        <v>0</v>
      </c>
      <c r="AE1713" s="52" t="n">
        <v>0</v>
      </c>
      <c r="AF1713" s="52" t="n">
        <v>0</v>
      </c>
      <c r="AG1713" s="52" t="n">
        <v>0</v>
      </c>
      <c r="AH1713" s="52" t="n">
        <v>0</v>
      </c>
      <c r="AI1713" s="52" t="n">
        <v>0</v>
      </c>
      <c r="AJ1713" s="52" t="n">
        <v>0</v>
      </c>
      <c r="AK1713" s="52" t="n">
        <v>0</v>
      </c>
      <c r="AL1713" s="52" t="n">
        <v>0</v>
      </c>
      <c r="AM1713" s="53" t="n">
        <v>0</v>
      </c>
      <c r="AN1713" s="53" t="n">
        <v>0</v>
      </c>
      <c r="AO1713" s="53" t="n">
        <v>0</v>
      </c>
      <c r="AP1713" s="53" t="n">
        <v>0</v>
      </c>
      <c r="AQ1713" s="52" t="n">
        <v>0</v>
      </c>
      <c r="AR1713" s="52" t="n">
        <v>0</v>
      </c>
      <c r="AS1713" s="52" t="n">
        <v>0</v>
      </c>
      <c r="AT1713" s="52" t="n">
        <v>0</v>
      </c>
      <c r="AU1713" s="53" t="n">
        <v>0</v>
      </c>
      <c r="AV1713" s="53" t="n">
        <v>0</v>
      </c>
      <c r="AW1713" s="53" t="n">
        <v>0</v>
      </c>
      <c r="AX1713" s="53" t="n">
        <v>0</v>
      </c>
      <c r="AY1713" s="52" t="n">
        <v>0</v>
      </c>
      <c r="AZ1713" s="52" t="n">
        <v>0</v>
      </c>
      <c r="BA1713" s="52" t="n">
        <v>0</v>
      </c>
      <c r="BB1713" s="52" t="n">
        <v>0</v>
      </c>
      <c r="BC1713" s="51" t="n">
        <v>0</v>
      </c>
      <c r="BD1713" s="51" t="n">
        <v>0</v>
      </c>
      <c r="BE1713" s="51" t="n">
        <v>0</v>
      </c>
      <c r="BF1713" s="51" t="n">
        <v>0</v>
      </c>
    </row>
    <row r="1714">
      <c r="A1714">
        <f>HYPERLINK("https://www.walmart.com/ip/101797775", "101797775")</f>
        <v/>
      </c>
      <c r="B1714" t="inlineStr">
        <is>
          <t>JenniWears Light-Up Sequin Fedora LED Hat, Sparkly Sequin Black Fedora Hat for Women and Men, Neon Green</t>
        </is>
      </c>
      <c r="C1714" t="inlineStr">
        <is>
          <t>JWLEDHAT01-GN</t>
        </is>
      </c>
      <c r="D1714" t="inlineStr">
        <is>
          <t>Party Hats</t>
        </is>
      </c>
      <c r="E1714" t="inlineStr">
        <is>
          <t>JenniWears</t>
        </is>
      </c>
      <c r="F1714" t="inlineStr">
        <is>
          <t>Halloween</t>
        </is>
      </c>
      <c r="G1714" s="48" t="n">
        <v>0</v>
      </c>
      <c r="H1714" s="48" t="n">
        <v>0</v>
      </c>
      <c r="I1714" s="48" t="n">
        <v>0</v>
      </c>
      <c r="J1714" s="48" t="n">
        <v>0</v>
      </c>
      <c r="K1714" s="49" t="n">
        <v>0</v>
      </c>
      <c r="L1714" s="49" t="n">
        <v>0</v>
      </c>
      <c r="M1714" s="49" t="n">
        <v>0</v>
      </c>
      <c r="N1714" s="49" t="n">
        <v>0</v>
      </c>
      <c r="O1714" s="49" t="n">
        <v>0</v>
      </c>
      <c r="P1714" s="49" t="n">
        <v>0</v>
      </c>
      <c r="Q1714" s="49" t="n">
        <v>0</v>
      </c>
      <c r="R1714" s="49" t="n">
        <v>0</v>
      </c>
      <c r="S1714" s="50" t="n">
        <v>0</v>
      </c>
      <c r="T1714" s="50" t="n">
        <v>0</v>
      </c>
      <c r="U1714" s="50" t="n">
        <v>0</v>
      </c>
      <c r="V1714" s="50" t="n">
        <v>0</v>
      </c>
      <c r="W1714" s="51" t="n">
        <v>0</v>
      </c>
      <c r="X1714" s="51" t="n">
        <v>0</v>
      </c>
      <c r="Y1714" s="51" t="n">
        <v>0</v>
      </c>
      <c r="Z1714" s="51" t="n">
        <v>0</v>
      </c>
      <c r="AA1714" s="52" t="n">
        <v>0</v>
      </c>
      <c r="AB1714" s="52" t="n">
        <v>0</v>
      </c>
      <c r="AC1714" s="52" t="n">
        <v>0</v>
      </c>
      <c r="AD1714" s="52" t="n">
        <v>0</v>
      </c>
      <c r="AE1714" s="52" t="n">
        <v>0</v>
      </c>
      <c r="AF1714" s="52" t="n">
        <v>0</v>
      </c>
      <c r="AG1714" s="52" t="n">
        <v>0</v>
      </c>
      <c r="AH1714" s="52" t="n">
        <v>0</v>
      </c>
      <c r="AI1714" s="52" t="n">
        <v>0</v>
      </c>
      <c r="AJ1714" s="52" t="n">
        <v>0</v>
      </c>
      <c r="AK1714" s="52" t="n">
        <v>0</v>
      </c>
      <c r="AL1714" s="52" t="n">
        <v>0</v>
      </c>
      <c r="AM1714" s="53" t="n">
        <v>0</v>
      </c>
      <c r="AN1714" s="53" t="n">
        <v>0</v>
      </c>
      <c r="AO1714" s="53" t="n">
        <v>0</v>
      </c>
      <c r="AP1714" s="53" t="n">
        <v>0</v>
      </c>
      <c r="AQ1714" s="52" t="n">
        <v>0</v>
      </c>
      <c r="AR1714" s="52" t="n">
        <v>0</v>
      </c>
      <c r="AS1714" s="52" t="n">
        <v>0</v>
      </c>
      <c r="AT1714" s="52" t="n">
        <v>0</v>
      </c>
      <c r="AU1714" s="53" t="n">
        <v>0</v>
      </c>
      <c r="AV1714" s="53" t="n">
        <v>0</v>
      </c>
      <c r="AW1714" s="53" t="n">
        <v>0</v>
      </c>
      <c r="AX1714" s="53" t="n">
        <v>0</v>
      </c>
      <c r="AY1714" s="52" t="n">
        <v>0</v>
      </c>
      <c r="AZ1714" s="52" t="n">
        <v>0</v>
      </c>
      <c r="BA1714" s="52" t="n">
        <v>0</v>
      </c>
      <c r="BB1714" s="52" t="n">
        <v>0</v>
      </c>
      <c r="BC1714" s="51" t="n">
        <v>0</v>
      </c>
      <c r="BD1714" s="51" t="n">
        <v>0</v>
      </c>
      <c r="BE1714" s="51" t="n">
        <v>0</v>
      </c>
      <c r="BF1714" s="51" t="n">
        <v>0</v>
      </c>
    </row>
    <row r="1715">
      <c r="A1715">
        <f>HYPERLINK("https://www.walmart.com/ip/102014052", "102014052")</f>
        <v/>
      </c>
      <c r="B1715" t="inlineStr">
        <is>
          <t>JenniWears Women Beileise Sexy Garter Belt Suspender</t>
        </is>
      </c>
      <c r="C1715" t="inlineStr">
        <is>
          <t>JWBLSPH5002</t>
        </is>
      </c>
      <c r="D1715" t="inlineStr">
        <is>
          <t>Garters</t>
        </is>
      </c>
      <c r="E1715" t="inlineStr">
        <is>
          <t>JenniWears</t>
        </is>
      </c>
      <c r="F1715" t="inlineStr">
        <is>
          <t>Valentine</t>
        </is>
      </c>
      <c r="G1715" s="48" t="n">
        <v>0</v>
      </c>
      <c r="H1715" s="48" t="n">
        <v>0</v>
      </c>
      <c r="I1715" s="48" t="n">
        <v>0</v>
      </c>
      <c r="J1715" s="48" t="n">
        <v>0</v>
      </c>
      <c r="K1715" s="49" t="n">
        <v>0</v>
      </c>
      <c r="L1715" s="49" t="n">
        <v>0</v>
      </c>
      <c r="M1715" s="49" t="n">
        <v>0</v>
      </c>
      <c r="N1715" s="49" t="n">
        <v>0</v>
      </c>
      <c r="O1715" s="49" t="n">
        <v>0</v>
      </c>
      <c r="P1715" s="49" t="n">
        <v>0</v>
      </c>
      <c r="Q1715" s="49" t="n">
        <v>0</v>
      </c>
      <c r="R1715" s="49" t="n">
        <v>0</v>
      </c>
      <c r="S1715" s="50" t="n">
        <v>0</v>
      </c>
      <c r="T1715" s="50" t="n">
        <v>0</v>
      </c>
      <c r="U1715" s="50" t="n">
        <v>0</v>
      </c>
      <c r="V1715" s="50" t="n">
        <v>0</v>
      </c>
      <c r="W1715" s="51" t="n">
        <v>0</v>
      </c>
      <c r="X1715" s="51" t="n">
        <v>0</v>
      </c>
      <c r="Y1715" s="51" t="n">
        <v>0</v>
      </c>
      <c r="Z1715" s="51" t="n">
        <v>0</v>
      </c>
      <c r="AA1715" s="52" t="n">
        <v>0</v>
      </c>
      <c r="AB1715" s="52" t="n">
        <v>0</v>
      </c>
      <c r="AC1715" s="52" t="n">
        <v>0</v>
      </c>
      <c r="AD1715" s="52" t="n">
        <v>0</v>
      </c>
      <c r="AE1715" s="52" t="n">
        <v>0</v>
      </c>
      <c r="AF1715" s="52" t="n">
        <v>0</v>
      </c>
      <c r="AG1715" s="52" t="n">
        <v>0</v>
      </c>
      <c r="AH1715" s="52" t="n">
        <v>0</v>
      </c>
      <c r="AI1715" s="52" t="n">
        <v>0</v>
      </c>
      <c r="AJ1715" s="52" t="n">
        <v>0</v>
      </c>
      <c r="AK1715" s="52" t="n">
        <v>0</v>
      </c>
      <c r="AL1715" s="52" t="n">
        <v>0</v>
      </c>
      <c r="AM1715" s="53" t="n">
        <v>0</v>
      </c>
      <c r="AN1715" s="53" t="n">
        <v>0</v>
      </c>
      <c r="AO1715" s="53" t="n">
        <v>0</v>
      </c>
      <c r="AP1715" s="53" t="n">
        <v>0</v>
      </c>
      <c r="AQ1715" s="52" t="n">
        <v>0</v>
      </c>
      <c r="AR1715" s="52" t="n">
        <v>0</v>
      </c>
      <c r="AS1715" s="52" t="n">
        <v>0</v>
      </c>
      <c r="AT1715" s="52" t="n">
        <v>0</v>
      </c>
      <c r="AU1715" s="53" t="n">
        <v>0</v>
      </c>
      <c r="AV1715" s="53" t="n">
        <v>0</v>
      </c>
      <c r="AW1715" s="53" t="n">
        <v>0</v>
      </c>
      <c r="AX1715" s="53" t="n">
        <v>0</v>
      </c>
      <c r="AY1715" s="52" t="n">
        <v>0</v>
      </c>
      <c r="AZ1715" s="52" t="n">
        <v>0</v>
      </c>
      <c r="BA1715" s="52" t="n">
        <v>0</v>
      </c>
      <c r="BB1715" s="52" t="n">
        <v>0</v>
      </c>
      <c r="BC1715" s="51" t="n">
        <v>0</v>
      </c>
      <c r="BD1715" s="51" t="n">
        <v>0</v>
      </c>
      <c r="BE1715" s="51" t="n">
        <v>0</v>
      </c>
      <c r="BF1715" s="51" t="n">
        <v>0</v>
      </c>
    </row>
    <row r="1716">
      <c r="A1716">
        <f>HYPERLINK("https://www.walmart.com/ip/10217567126", "10217567126")</f>
        <v/>
      </c>
      <c r="B1716" t="inlineStr">
        <is>
          <t>Wrangler Men’s Leather Country Casual Every Day Dress Belt for Jeans, Khakis Light Brown 44</t>
        </is>
      </c>
      <c r="C1716" t="inlineStr">
        <is>
          <t>WR-BELT-MENS-COUNTRY-LTBROWN-44</t>
        </is>
      </c>
      <c r="D1716" t="inlineStr">
        <is>
          <t>Belts</t>
        </is>
      </c>
      <c r="E1716" t="inlineStr">
        <is>
          <t>Wrangler</t>
        </is>
      </c>
      <c r="F1716" t="inlineStr">
        <is>
          <t>Belts</t>
        </is>
      </c>
      <c r="G1716" s="48" t="n">
        <v>0</v>
      </c>
      <c r="H1716" s="48" t="n">
        <v>0</v>
      </c>
      <c r="I1716" s="48" t="n">
        <v>0</v>
      </c>
      <c r="J1716" s="48" t="n">
        <v>0</v>
      </c>
      <c r="K1716" s="49" t="n">
        <v>0</v>
      </c>
      <c r="L1716" s="49" t="n">
        <v>0</v>
      </c>
      <c r="M1716" s="49" t="n">
        <v>0</v>
      </c>
      <c r="N1716" s="49" t="n">
        <v>0</v>
      </c>
      <c r="O1716" s="49" t="n">
        <v>0</v>
      </c>
      <c r="P1716" s="49" t="n">
        <v>0</v>
      </c>
      <c r="Q1716" s="49" t="n">
        <v>0</v>
      </c>
      <c r="R1716" s="49" t="n">
        <v>0</v>
      </c>
      <c r="S1716" s="50" t="n">
        <v>0</v>
      </c>
      <c r="T1716" s="50" t="n">
        <v>0</v>
      </c>
      <c r="U1716" s="50" t="n">
        <v>0</v>
      </c>
      <c r="V1716" s="50" t="n">
        <v>0</v>
      </c>
      <c r="W1716" s="51" t="n">
        <v>0</v>
      </c>
      <c r="X1716" s="51" t="n">
        <v>0</v>
      </c>
      <c r="Y1716" s="51" t="n">
        <v>0</v>
      </c>
      <c r="Z1716" s="51" t="n">
        <v>0</v>
      </c>
      <c r="AA1716" s="52" t="n">
        <v>0</v>
      </c>
      <c r="AB1716" s="52" t="n">
        <v>0</v>
      </c>
      <c r="AC1716" s="52" t="n">
        <v>0</v>
      </c>
      <c r="AD1716" s="52" t="n">
        <v>0</v>
      </c>
      <c r="AE1716" s="52" t="n">
        <v>0</v>
      </c>
      <c r="AF1716" s="52" t="n">
        <v>0</v>
      </c>
      <c r="AG1716" s="52" t="n">
        <v>0</v>
      </c>
      <c r="AH1716" s="52" t="n">
        <v>0</v>
      </c>
      <c r="AI1716" s="52" t="n">
        <v>0</v>
      </c>
      <c r="AJ1716" s="52" t="n">
        <v>0</v>
      </c>
      <c r="AK1716" s="52" t="n">
        <v>0</v>
      </c>
      <c r="AL1716" s="52" t="n">
        <v>0</v>
      </c>
      <c r="AM1716" s="53" t="n">
        <v>0</v>
      </c>
      <c r="AN1716" s="53" t="n">
        <v>0</v>
      </c>
      <c r="AO1716" s="53" t="n">
        <v>0</v>
      </c>
      <c r="AP1716" s="53" t="n">
        <v>0</v>
      </c>
      <c r="AQ1716" s="52" t="n">
        <v>0</v>
      </c>
      <c r="AR1716" s="52" t="n">
        <v>0</v>
      </c>
      <c r="AS1716" s="52" t="n">
        <v>0</v>
      </c>
      <c r="AT1716" s="52" t="n">
        <v>0</v>
      </c>
      <c r="AU1716" s="53" t="n">
        <v>0</v>
      </c>
      <c r="AV1716" s="53" t="n">
        <v>0</v>
      </c>
      <c r="AW1716" s="53" t="n">
        <v>0</v>
      </c>
      <c r="AX1716" s="53" t="n">
        <v>0</v>
      </c>
      <c r="AY1716" s="52" t="n">
        <v>0</v>
      </c>
      <c r="AZ1716" s="52" t="n">
        <v>0</v>
      </c>
      <c r="BA1716" s="52" t="n">
        <v>0</v>
      </c>
      <c r="BB1716" s="52" t="n">
        <v>0</v>
      </c>
      <c r="BC1716" s="51" t="n">
        <v>0</v>
      </c>
      <c r="BD1716" s="51" t="n">
        <v>0</v>
      </c>
      <c r="BE1716" s="51" t="n">
        <v>0</v>
      </c>
      <c r="BF1716" s="51" t="n">
        <v>0</v>
      </c>
    </row>
    <row r="1717">
      <c r="A1717">
        <f>HYPERLINK("https://www.walmart.com/ip/102208083", "102208083")</f>
        <v/>
      </c>
      <c r="B1717" t="inlineStr">
        <is>
          <t>Terra Youth Reflective Knit Beanie Hat For Sports Warm One Size</t>
        </is>
      </c>
      <c r="C1717" t="inlineStr">
        <is>
          <t>TERRABN01-BK</t>
        </is>
      </c>
      <c r="D1717" t="inlineStr">
        <is>
          <t>Hats</t>
        </is>
      </c>
      <c r="E1717" t="inlineStr">
        <is>
          <t>Terra</t>
        </is>
      </c>
      <c r="G1717" s="48" t="n">
        <v>0</v>
      </c>
      <c r="H1717" s="48" t="n">
        <v>0</v>
      </c>
      <c r="I1717" s="48" t="n">
        <v>0</v>
      </c>
      <c r="J1717" s="48" t="n">
        <v>0</v>
      </c>
      <c r="K1717" s="49" t="n">
        <v>0</v>
      </c>
      <c r="L1717" s="49" t="n">
        <v>0</v>
      </c>
      <c r="M1717" s="49" t="n">
        <v>0</v>
      </c>
      <c r="N1717" s="49" t="n">
        <v>0</v>
      </c>
      <c r="O1717" s="49" t="n">
        <v>0</v>
      </c>
      <c r="P1717" s="49" t="n">
        <v>0</v>
      </c>
      <c r="Q1717" s="49" t="n">
        <v>0</v>
      </c>
      <c r="R1717" s="49" t="n">
        <v>0</v>
      </c>
      <c r="S1717" s="50" t="n">
        <v>0</v>
      </c>
      <c r="T1717" s="50" t="n">
        <v>0</v>
      </c>
      <c r="U1717" s="50" t="n">
        <v>0</v>
      </c>
      <c r="V1717" s="50" t="n">
        <v>0</v>
      </c>
      <c r="W1717" s="51" t="n">
        <v>0</v>
      </c>
      <c r="X1717" s="51" t="n">
        <v>0</v>
      </c>
      <c r="Y1717" s="51" t="n">
        <v>0</v>
      </c>
      <c r="Z1717" s="51" t="n">
        <v>0</v>
      </c>
      <c r="AA1717" s="52" t="n">
        <v>0</v>
      </c>
      <c r="AB1717" s="52" t="n">
        <v>0</v>
      </c>
      <c r="AC1717" s="52" t="n">
        <v>0</v>
      </c>
      <c r="AD1717" s="52" t="n">
        <v>0</v>
      </c>
      <c r="AE1717" s="52" t="n">
        <v>0</v>
      </c>
      <c r="AF1717" s="52" t="n">
        <v>0</v>
      </c>
      <c r="AG1717" s="52" t="n">
        <v>0</v>
      </c>
      <c r="AH1717" s="52" t="n">
        <v>0</v>
      </c>
      <c r="AI1717" s="52" t="n">
        <v>0</v>
      </c>
      <c r="AJ1717" s="52" t="n">
        <v>0</v>
      </c>
      <c r="AK1717" s="52" t="n">
        <v>0</v>
      </c>
      <c r="AL1717" s="52" t="n">
        <v>0</v>
      </c>
      <c r="AM1717" s="53" t="n">
        <v>0</v>
      </c>
      <c r="AN1717" s="53" t="n">
        <v>0</v>
      </c>
      <c r="AO1717" s="53" t="n">
        <v>0</v>
      </c>
      <c r="AP1717" s="53" t="n">
        <v>0</v>
      </c>
      <c r="AQ1717" s="52" t="n">
        <v>0</v>
      </c>
      <c r="AR1717" s="52" t="n">
        <v>0</v>
      </c>
      <c r="AS1717" s="52" t="n">
        <v>0</v>
      </c>
      <c r="AT1717" s="52" t="n">
        <v>0</v>
      </c>
      <c r="AU1717" s="53" t="n">
        <v>0</v>
      </c>
      <c r="AV1717" s="53" t="n">
        <v>0</v>
      </c>
      <c r="AW1717" s="53" t="n">
        <v>0</v>
      </c>
      <c r="AX1717" s="53" t="n">
        <v>0</v>
      </c>
      <c r="AY1717" s="52" t="n">
        <v>0</v>
      </c>
      <c r="AZ1717" s="52" t="n">
        <v>0</v>
      </c>
      <c r="BA1717" s="52" t="n">
        <v>0</v>
      </c>
      <c r="BB1717" s="52" t="n">
        <v>0</v>
      </c>
      <c r="BC1717" s="51" t="n">
        <v>0</v>
      </c>
      <c r="BD1717" s="51" t="n">
        <v>0</v>
      </c>
      <c r="BE1717" s="51" t="n">
        <v>0</v>
      </c>
      <c r="BF1717" s="51" t="n">
        <v>0</v>
      </c>
    </row>
    <row r="1718">
      <c r="A1718">
        <f>HYPERLINK("https://www.walmart.com/ip/102441654", "102441654")</f>
        <v/>
      </c>
      <c r="B1718" t="inlineStr">
        <is>
          <t>KC Caps Unisex Two-Tone Cotton Twill Adjustable Baseball Cap with Suede Bill, Black/Brown</t>
        </is>
      </c>
      <c r="C1718" t="inlineStr">
        <is>
          <t>KC-S6300-BK/BR</t>
        </is>
      </c>
      <c r="D1718" t="inlineStr">
        <is>
          <t>Hats</t>
        </is>
      </c>
      <c r="E1718" t="inlineStr">
        <is>
          <t>KC Caps</t>
        </is>
      </c>
      <c r="F1718" t="inlineStr">
        <is>
          <t>Optimized</t>
        </is>
      </c>
      <c r="G1718" s="48" t="n">
        <v>0</v>
      </c>
      <c r="H1718" s="48" t="n">
        <v>0</v>
      </c>
      <c r="I1718" s="48" t="n">
        <v>0</v>
      </c>
      <c r="J1718" s="48" t="n">
        <v>0</v>
      </c>
      <c r="K1718" s="49" t="n">
        <v>0</v>
      </c>
      <c r="L1718" s="49" t="n">
        <v>0</v>
      </c>
      <c r="M1718" s="49" t="n">
        <v>0</v>
      </c>
      <c r="N1718" s="49" t="n">
        <v>0</v>
      </c>
      <c r="O1718" s="49" t="n">
        <v>0</v>
      </c>
      <c r="P1718" s="49" t="n">
        <v>0</v>
      </c>
      <c r="Q1718" s="49" t="n">
        <v>0</v>
      </c>
      <c r="R1718" s="49" t="n">
        <v>0</v>
      </c>
      <c r="S1718" s="50" t="n">
        <v>0</v>
      </c>
      <c r="T1718" s="50" t="n">
        <v>0</v>
      </c>
      <c r="U1718" s="50" t="n">
        <v>0</v>
      </c>
      <c r="V1718" s="50" t="n">
        <v>0</v>
      </c>
      <c r="W1718" s="51" t="n">
        <v>0</v>
      </c>
      <c r="X1718" s="51" t="n">
        <v>0</v>
      </c>
      <c r="Y1718" s="51" t="n">
        <v>0</v>
      </c>
      <c r="Z1718" s="51" t="n">
        <v>0</v>
      </c>
      <c r="AA1718" s="52" t="n">
        <v>0</v>
      </c>
      <c r="AB1718" s="52" t="n">
        <v>0</v>
      </c>
      <c r="AC1718" s="52" t="n">
        <v>0</v>
      </c>
      <c r="AD1718" s="52" t="n">
        <v>0</v>
      </c>
      <c r="AE1718" s="52" t="n">
        <v>0</v>
      </c>
      <c r="AF1718" s="52" t="n">
        <v>0</v>
      </c>
      <c r="AG1718" s="52" t="n">
        <v>0</v>
      </c>
      <c r="AH1718" s="52" t="n">
        <v>0</v>
      </c>
      <c r="AI1718" s="52" t="n">
        <v>0</v>
      </c>
      <c r="AJ1718" s="52" t="n">
        <v>0</v>
      </c>
      <c r="AK1718" s="52" t="n">
        <v>0</v>
      </c>
      <c r="AL1718" s="52" t="n">
        <v>0</v>
      </c>
      <c r="AM1718" s="53" t="n">
        <v>0</v>
      </c>
      <c r="AN1718" s="53" t="n">
        <v>0</v>
      </c>
      <c r="AO1718" s="53" t="n">
        <v>0</v>
      </c>
      <c r="AP1718" s="53" t="n">
        <v>0</v>
      </c>
      <c r="AQ1718" s="52" t="n">
        <v>0</v>
      </c>
      <c r="AR1718" s="52" t="n">
        <v>0</v>
      </c>
      <c r="AS1718" s="52" t="n">
        <v>0</v>
      </c>
      <c r="AT1718" s="52" t="n">
        <v>0</v>
      </c>
      <c r="AU1718" s="53" t="n">
        <v>0</v>
      </c>
      <c r="AV1718" s="53" t="n">
        <v>0</v>
      </c>
      <c r="AW1718" s="53" t="n">
        <v>0</v>
      </c>
      <c r="AX1718" s="53" t="n">
        <v>0</v>
      </c>
      <c r="AY1718" s="52" t="n">
        <v>0</v>
      </c>
      <c r="AZ1718" s="52" t="n">
        <v>0</v>
      </c>
      <c r="BA1718" s="52" t="n">
        <v>0</v>
      </c>
      <c r="BB1718" s="52" t="n">
        <v>0</v>
      </c>
      <c r="BC1718" s="51" t="n">
        <v>0</v>
      </c>
      <c r="BD1718" s="51" t="n">
        <v>0</v>
      </c>
      <c r="BE1718" s="51" t="n">
        <v>0</v>
      </c>
      <c r="BF1718" s="51" t="n">
        <v>0</v>
      </c>
    </row>
    <row r="1719">
      <c r="A1719">
        <f>HYPERLINK("https://www.walmart.com/ip/1025403822", "1025403822")</f>
        <v/>
      </c>
      <c r="B1719" t="inlineStr">
        <is>
          <t>Catalonia Knitted Throw Blanket for Bed,Sofa,Living Room,All Seasons Cozy Leisure Acrylic Lightweight Decorative Blanket with Fringe,Machine Washable,60×80 inches, Pink</t>
        </is>
      </c>
      <c r="C1719" t="inlineStr">
        <is>
          <t>1CTBN610PK</t>
        </is>
      </c>
      <c r="D1719" t="inlineStr">
        <is>
          <t>Throws</t>
        </is>
      </c>
      <c r="E1719" t="inlineStr">
        <is>
          <t>Catalonia</t>
        </is>
      </c>
      <c r="F1719" t="inlineStr">
        <is>
          <t>Batch 1 - TR</t>
        </is>
      </c>
      <c r="G1719" s="48" t="n">
        <v>0</v>
      </c>
      <c r="H1719" s="48" t="n">
        <v>0</v>
      </c>
      <c r="I1719" s="48" t="n">
        <v>0</v>
      </c>
      <c r="J1719" s="48" t="n">
        <v>0</v>
      </c>
      <c r="K1719" s="49" t="n">
        <v>0</v>
      </c>
      <c r="L1719" s="49" t="n">
        <v>0</v>
      </c>
      <c r="M1719" s="49" t="n">
        <v>0</v>
      </c>
      <c r="N1719" s="49" t="n">
        <v>0</v>
      </c>
      <c r="O1719" s="49" t="n">
        <v>0</v>
      </c>
      <c r="P1719" s="49" t="n">
        <v>0</v>
      </c>
      <c r="Q1719" s="49" t="n">
        <v>0</v>
      </c>
      <c r="R1719" s="49" t="n">
        <v>0</v>
      </c>
      <c r="S1719" s="50" t="n">
        <v>0</v>
      </c>
      <c r="T1719" s="50" t="n">
        <v>0</v>
      </c>
      <c r="U1719" s="50" t="n">
        <v>0</v>
      </c>
      <c r="V1719" s="50" t="n">
        <v>0</v>
      </c>
      <c r="W1719" s="51" t="n">
        <v>0</v>
      </c>
      <c r="X1719" s="51" t="n">
        <v>0</v>
      </c>
      <c r="Y1719" s="51" t="n">
        <v>0</v>
      </c>
      <c r="Z1719" s="51" t="n">
        <v>0</v>
      </c>
      <c r="AA1719" s="52" t="n">
        <v>0</v>
      </c>
      <c r="AB1719" s="52" t="n">
        <v>0</v>
      </c>
      <c r="AC1719" s="52" t="n">
        <v>0</v>
      </c>
      <c r="AD1719" s="52" t="n">
        <v>0</v>
      </c>
      <c r="AE1719" s="52" t="n">
        <v>0</v>
      </c>
      <c r="AF1719" s="52" t="n">
        <v>0</v>
      </c>
      <c r="AG1719" s="52" t="n">
        <v>0</v>
      </c>
      <c r="AH1719" s="52" t="n">
        <v>0</v>
      </c>
      <c r="AI1719" s="52" t="n">
        <v>0</v>
      </c>
      <c r="AJ1719" s="52" t="n">
        <v>0</v>
      </c>
      <c r="AK1719" s="52" t="n">
        <v>0</v>
      </c>
      <c r="AL1719" s="52" t="n">
        <v>0</v>
      </c>
      <c r="AM1719" s="53" t="n">
        <v>0</v>
      </c>
      <c r="AN1719" s="53" t="n">
        <v>0</v>
      </c>
      <c r="AO1719" s="53" t="n">
        <v>0</v>
      </c>
      <c r="AP1719" s="53" t="n">
        <v>0</v>
      </c>
      <c r="AQ1719" s="52" t="n">
        <v>0</v>
      </c>
      <c r="AR1719" s="52" t="n">
        <v>0</v>
      </c>
      <c r="AS1719" s="52" t="n">
        <v>0</v>
      </c>
      <c r="AT1719" s="52" t="n">
        <v>0</v>
      </c>
      <c r="AU1719" s="53" t="n">
        <v>0</v>
      </c>
      <c r="AV1719" s="53" t="n">
        <v>0</v>
      </c>
      <c r="AW1719" s="53" t="n">
        <v>0</v>
      </c>
      <c r="AX1719" s="53" t="n">
        <v>0</v>
      </c>
      <c r="AY1719" s="52" t="n">
        <v>0</v>
      </c>
      <c r="AZ1719" s="52" t="n">
        <v>0</v>
      </c>
      <c r="BA1719" s="52" t="n">
        <v>0</v>
      </c>
      <c r="BB1719" s="52" t="n">
        <v>0</v>
      </c>
      <c r="BC1719" s="51" t="n">
        <v>0</v>
      </c>
      <c r="BD1719" s="51" t="n">
        <v>0</v>
      </c>
      <c r="BE1719" s="51" t="n">
        <v>0</v>
      </c>
      <c r="BF1719" s="51" t="n">
        <v>0</v>
      </c>
    </row>
    <row r="1720">
      <c r="A1720">
        <f>HYPERLINK("https://www.walmart.com/ip/10282157245", "10282157245")</f>
        <v/>
      </c>
      <c r="B1720" t="inlineStr">
        <is>
          <t>Wrangler Men’s Full Grain Genuine Leather 35mm Thick Casual Belt for Jeans, Pants - Black, 32</t>
        </is>
      </c>
      <c r="C1720" t="inlineStr">
        <is>
          <t>WR-BELT-MENS-35MM-BLACK-32</t>
        </is>
      </c>
      <c r="D1720" t="inlineStr">
        <is>
          <t>Belts</t>
        </is>
      </c>
      <c r="E1720" t="inlineStr">
        <is>
          <t>Wrangler</t>
        </is>
      </c>
      <c r="F1720" t="inlineStr">
        <is>
          <t>Belts</t>
        </is>
      </c>
      <c r="G1720" s="48" t="n">
        <v>0</v>
      </c>
      <c r="H1720" s="48" t="n">
        <v>0</v>
      </c>
      <c r="I1720" s="48" t="n">
        <v>0</v>
      </c>
      <c r="J1720" s="48" t="n">
        <v>0</v>
      </c>
      <c r="K1720" s="49" t="n">
        <v>0</v>
      </c>
      <c r="L1720" s="49" t="n">
        <v>0</v>
      </c>
      <c r="M1720" s="49" t="n">
        <v>0</v>
      </c>
      <c r="N1720" s="49" t="n">
        <v>0</v>
      </c>
      <c r="O1720" s="49" t="n">
        <v>0</v>
      </c>
      <c r="P1720" s="49" t="n">
        <v>0</v>
      </c>
      <c r="Q1720" s="49" t="n">
        <v>0</v>
      </c>
      <c r="R1720" s="49" t="n">
        <v>0</v>
      </c>
      <c r="S1720" s="50" t="n">
        <v>0</v>
      </c>
      <c r="T1720" s="50" t="n">
        <v>0</v>
      </c>
      <c r="U1720" s="50" t="n">
        <v>0</v>
      </c>
      <c r="V1720" s="50" t="n">
        <v>0</v>
      </c>
      <c r="W1720" s="51" t="n">
        <v>0</v>
      </c>
      <c r="X1720" s="51" t="n">
        <v>0</v>
      </c>
      <c r="Y1720" s="51" t="n">
        <v>0</v>
      </c>
      <c r="Z1720" s="51" t="n">
        <v>0</v>
      </c>
      <c r="AA1720" s="52" t="n">
        <v>0</v>
      </c>
      <c r="AB1720" s="52" t="n">
        <v>0</v>
      </c>
      <c r="AC1720" s="52" t="n">
        <v>0</v>
      </c>
      <c r="AD1720" s="52" t="n">
        <v>0</v>
      </c>
      <c r="AE1720" s="52" t="n">
        <v>0</v>
      </c>
      <c r="AF1720" s="52" t="n">
        <v>0</v>
      </c>
      <c r="AG1720" s="52" t="n">
        <v>0</v>
      </c>
      <c r="AH1720" s="52" t="n">
        <v>0</v>
      </c>
      <c r="AI1720" s="52" t="n">
        <v>0</v>
      </c>
      <c r="AJ1720" s="52" t="n">
        <v>0</v>
      </c>
      <c r="AK1720" s="52" t="n">
        <v>0</v>
      </c>
      <c r="AL1720" s="52" t="n">
        <v>0</v>
      </c>
      <c r="AM1720" s="53" t="n">
        <v>0</v>
      </c>
      <c r="AN1720" s="53" t="n">
        <v>0</v>
      </c>
      <c r="AO1720" s="53" t="n">
        <v>0</v>
      </c>
      <c r="AP1720" s="53" t="n">
        <v>0</v>
      </c>
      <c r="AQ1720" s="52" t="n">
        <v>0</v>
      </c>
      <c r="AR1720" s="52" t="n">
        <v>0</v>
      </c>
      <c r="AS1720" s="52" t="n">
        <v>0</v>
      </c>
      <c r="AT1720" s="52" t="n">
        <v>0</v>
      </c>
      <c r="AU1720" s="53" t="n">
        <v>0</v>
      </c>
      <c r="AV1720" s="53" t="n">
        <v>0</v>
      </c>
      <c r="AW1720" s="53" t="n">
        <v>0</v>
      </c>
      <c r="AX1720" s="53" t="n">
        <v>0</v>
      </c>
      <c r="AY1720" s="52" t="n">
        <v>0</v>
      </c>
      <c r="AZ1720" s="52" t="n">
        <v>0</v>
      </c>
      <c r="BA1720" s="52" t="n">
        <v>0</v>
      </c>
      <c r="BB1720" s="52" t="n">
        <v>0</v>
      </c>
      <c r="BC1720" s="51" t="n">
        <v>0</v>
      </c>
      <c r="BD1720" s="51" t="n">
        <v>0</v>
      </c>
      <c r="BE1720" s="51" t="n">
        <v>0</v>
      </c>
      <c r="BF1720" s="51" t="n">
        <v>0</v>
      </c>
    </row>
    <row r="1721">
      <c r="A1721">
        <f>HYPERLINK("https://www.walmart.com/ip/10298018191", "10298018191")</f>
        <v/>
      </c>
      <c r="B1721" t="inlineStr">
        <is>
          <t>Wrangler Men’s Leather Country Casual Every Day Dress Belt for Jeans, Khakis Black 36</t>
        </is>
      </c>
      <c r="C1721" t="inlineStr">
        <is>
          <t>WR-BELT-MENS-COUNTRY-BLACK-36</t>
        </is>
      </c>
      <c r="D1721" t="inlineStr">
        <is>
          <t>Belts</t>
        </is>
      </c>
      <c r="E1721" t="inlineStr">
        <is>
          <t>Wrangler</t>
        </is>
      </c>
      <c r="F1721" t="inlineStr">
        <is>
          <t>Belts</t>
        </is>
      </c>
      <c r="G1721" s="48" t="n">
        <v>0</v>
      </c>
      <c r="H1721" s="48" t="n">
        <v>19.99</v>
      </c>
      <c r="I1721" s="48" t="n">
        <v>19.99</v>
      </c>
      <c r="J1721" s="48" t="n">
        <v>39.98</v>
      </c>
      <c r="K1721" s="49" t="n">
        <v>0</v>
      </c>
      <c r="L1721" s="49" t="n">
        <v>1</v>
      </c>
      <c r="M1721" s="49" t="n">
        <v>1</v>
      </c>
      <c r="N1721" s="49" t="n">
        <v>2</v>
      </c>
      <c r="O1721" s="49" t="n">
        <v>0</v>
      </c>
      <c r="P1721" s="49" t="n">
        <v>0</v>
      </c>
      <c r="Q1721" s="49" t="n">
        <v>3</v>
      </c>
      <c r="R1721" s="49" t="n">
        <v>0</v>
      </c>
      <c r="S1721" s="50" t="n">
        <v>0</v>
      </c>
      <c r="T1721" s="50" t="n">
        <v>0</v>
      </c>
      <c r="U1721" s="50" t="n">
        <v>0.3333333333333333</v>
      </c>
      <c r="V1721" s="50" t="n">
        <v>0</v>
      </c>
      <c r="W1721" s="51" t="n">
        <v>0</v>
      </c>
      <c r="X1721" s="51" t="n">
        <v>0</v>
      </c>
      <c r="Y1721" s="51" t="n">
        <v>0</v>
      </c>
      <c r="Z1721" s="51" t="n">
        <v>0</v>
      </c>
      <c r="AA1721" s="52" t="n">
        <v>0</v>
      </c>
      <c r="AB1721" s="52" t="n">
        <v>0</v>
      </c>
      <c r="AC1721" s="52" t="n">
        <v>0</v>
      </c>
      <c r="AD1721" s="52" t="n">
        <v>0</v>
      </c>
      <c r="AE1721" s="52" t="n">
        <v>0</v>
      </c>
      <c r="AF1721" s="52" t="n">
        <v>0</v>
      </c>
      <c r="AG1721" s="52" t="n">
        <v>0</v>
      </c>
      <c r="AH1721" s="52" t="n">
        <v>0</v>
      </c>
      <c r="AI1721" s="52" t="n">
        <v>0</v>
      </c>
      <c r="AJ1721" s="52" t="n">
        <v>0</v>
      </c>
      <c r="AK1721" s="52" t="n">
        <v>0</v>
      </c>
      <c r="AL1721" s="52" t="n">
        <v>0</v>
      </c>
      <c r="AM1721" s="53" t="n">
        <v>0</v>
      </c>
      <c r="AN1721" s="53" t="n">
        <v>0</v>
      </c>
      <c r="AO1721" s="53" t="n">
        <v>0</v>
      </c>
      <c r="AP1721" s="53" t="n">
        <v>0</v>
      </c>
      <c r="AQ1721" s="52" t="n">
        <v>0</v>
      </c>
      <c r="AR1721" s="52" t="n">
        <v>0</v>
      </c>
      <c r="AS1721" s="52" t="n">
        <v>0</v>
      </c>
      <c r="AT1721" s="52" t="n">
        <v>0</v>
      </c>
      <c r="AU1721" s="53" t="n">
        <v>0</v>
      </c>
      <c r="AV1721" s="53" t="n">
        <v>0</v>
      </c>
      <c r="AW1721" s="53" t="n">
        <v>0</v>
      </c>
      <c r="AX1721" s="53" t="n">
        <v>0</v>
      </c>
      <c r="AY1721" s="52" t="n">
        <v>0</v>
      </c>
      <c r="AZ1721" s="52" t="n">
        <v>19.99</v>
      </c>
      <c r="BA1721" s="52" t="n">
        <v>19.99</v>
      </c>
      <c r="BB1721" s="52" t="n">
        <v>19.99</v>
      </c>
      <c r="BC1721" s="51" t="n">
        <v>0</v>
      </c>
      <c r="BD1721" s="51" t="n">
        <v>0</v>
      </c>
      <c r="BE1721" s="51" t="n">
        <v>0</v>
      </c>
      <c r="BF1721" s="51" t="n">
        <v>0</v>
      </c>
    </row>
    <row r="1722">
      <c r="A1722">
        <f>HYPERLINK("https://www.walmart.com/ip/10298970251", "10298970251")</f>
        <v/>
      </c>
      <c r="B1722" t="inlineStr">
        <is>
          <t>Wrangler Men’s Full Grain Genuine Leather 35mm Thick Casual Belt for Jeans, Pants - Light Brown, 32</t>
        </is>
      </c>
      <c r="C1722" t="inlineStr">
        <is>
          <t>WR-BELT-MENS-35MM-LTBROWN-32</t>
        </is>
      </c>
      <c r="D1722" t="inlineStr">
        <is>
          <t>Belts</t>
        </is>
      </c>
      <c r="E1722" t="inlineStr">
        <is>
          <t>Wrangler</t>
        </is>
      </c>
      <c r="F1722" t="inlineStr">
        <is>
          <t>Belts</t>
        </is>
      </c>
      <c r="G1722" s="48" t="n">
        <v>0</v>
      </c>
      <c r="H1722" s="48" t="n">
        <v>0</v>
      </c>
      <c r="I1722" s="48" t="n">
        <v>0</v>
      </c>
      <c r="J1722" s="48" t="n">
        <v>0</v>
      </c>
      <c r="K1722" s="49" t="n">
        <v>0</v>
      </c>
      <c r="L1722" s="49" t="n">
        <v>0</v>
      </c>
      <c r="M1722" s="49" t="n">
        <v>0</v>
      </c>
      <c r="N1722" s="49" t="n">
        <v>0</v>
      </c>
      <c r="O1722" s="49" t="n">
        <v>0</v>
      </c>
      <c r="P1722" s="49" t="n">
        <v>0</v>
      </c>
      <c r="Q1722" s="49" t="n">
        <v>0</v>
      </c>
      <c r="R1722" s="49" t="n">
        <v>0</v>
      </c>
      <c r="S1722" s="50" t="n">
        <v>0</v>
      </c>
      <c r="T1722" s="50" t="n">
        <v>0</v>
      </c>
      <c r="U1722" s="50" t="n">
        <v>0</v>
      </c>
      <c r="V1722" s="50" t="n">
        <v>0</v>
      </c>
      <c r="W1722" s="51" t="n">
        <v>0</v>
      </c>
      <c r="X1722" s="51" t="n">
        <v>0</v>
      </c>
      <c r="Y1722" s="51" t="n">
        <v>0</v>
      </c>
      <c r="Z1722" s="51" t="n">
        <v>0</v>
      </c>
      <c r="AA1722" s="52" t="n">
        <v>0</v>
      </c>
      <c r="AB1722" s="52" t="n">
        <v>0</v>
      </c>
      <c r="AC1722" s="52" t="n">
        <v>0</v>
      </c>
      <c r="AD1722" s="52" t="n">
        <v>0</v>
      </c>
      <c r="AE1722" s="52" t="n">
        <v>0</v>
      </c>
      <c r="AF1722" s="52" t="n">
        <v>0</v>
      </c>
      <c r="AG1722" s="52" t="n">
        <v>0</v>
      </c>
      <c r="AH1722" s="52" t="n">
        <v>0</v>
      </c>
      <c r="AI1722" s="52" t="n">
        <v>0</v>
      </c>
      <c r="AJ1722" s="52" t="n">
        <v>0</v>
      </c>
      <c r="AK1722" s="52" t="n">
        <v>0</v>
      </c>
      <c r="AL1722" s="52" t="n">
        <v>0</v>
      </c>
      <c r="AM1722" s="53" t="n">
        <v>0</v>
      </c>
      <c r="AN1722" s="53" t="n">
        <v>0</v>
      </c>
      <c r="AO1722" s="53" t="n">
        <v>0</v>
      </c>
      <c r="AP1722" s="53" t="n">
        <v>0</v>
      </c>
      <c r="AQ1722" s="52" t="n">
        <v>0</v>
      </c>
      <c r="AR1722" s="52" t="n">
        <v>0</v>
      </c>
      <c r="AS1722" s="52" t="n">
        <v>0</v>
      </c>
      <c r="AT1722" s="52" t="n">
        <v>0</v>
      </c>
      <c r="AU1722" s="53" t="n">
        <v>0</v>
      </c>
      <c r="AV1722" s="53" t="n">
        <v>0</v>
      </c>
      <c r="AW1722" s="53" t="n">
        <v>0</v>
      </c>
      <c r="AX1722" s="53" t="n">
        <v>0</v>
      </c>
      <c r="AY1722" s="52" t="n">
        <v>0</v>
      </c>
      <c r="AZ1722" s="52" t="n">
        <v>0</v>
      </c>
      <c r="BA1722" s="52" t="n">
        <v>0</v>
      </c>
      <c r="BB1722" s="52" t="n">
        <v>0</v>
      </c>
      <c r="BC1722" s="51" t="n">
        <v>0</v>
      </c>
      <c r="BD1722" s="51" t="n">
        <v>0</v>
      </c>
      <c r="BE1722" s="51" t="n">
        <v>0</v>
      </c>
      <c r="BF1722" s="51" t="n">
        <v>0</v>
      </c>
    </row>
    <row r="1723">
      <c r="A1723">
        <f>HYPERLINK("https://www.walmart.com/ip/107895894", "107895894")</f>
        <v/>
      </c>
      <c r="B1723" t="inlineStr">
        <is>
          <t>JenniWears White Sheer Sexy Ladies Panty-hose Stockings Lingeries Socks Wife Girlfriend Female Freidn Gift</t>
        </is>
      </c>
      <c r="C1723" t="inlineStr">
        <is>
          <t>JWBLSPH2015</t>
        </is>
      </c>
      <c r="D1723" t="inlineStr">
        <is>
          <t>Teddies &amp; Bodystockings</t>
        </is>
      </c>
      <c r="E1723" t="inlineStr">
        <is>
          <t>JenniWears</t>
        </is>
      </c>
      <c r="F1723" t="inlineStr">
        <is>
          <t>Valentine</t>
        </is>
      </c>
      <c r="G1723" s="48" t="n">
        <v>0</v>
      </c>
      <c r="H1723" s="48" t="n">
        <v>0</v>
      </c>
      <c r="I1723" s="48" t="n">
        <v>0</v>
      </c>
      <c r="J1723" s="48" t="n">
        <v>0</v>
      </c>
      <c r="K1723" s="49" t="n">
        <v>0</v>
      </c>
      <c r="L1723" s="49" t="n">
        <v>0</v>
      </c>
      <c r="M1723" s="49" t="n">
        <v>0</v>
      </c>
      <c r="N1723" s="49" t="n">
        <v>0</v>
      </c>
      <c r="O1723" s="49" t="n">
        <v>0</v>
      </c>
      <c r="P1723" s="49" t="n">
        <v>0</v>
      </c>
      <c r="Q1723" s="49" t="n">
        <v>0</v>
      </c>
      <c r="R1723" s="49" t="n">
        <v>0</v>
      </c>
      <c r="S1723" s="50" t="n">
        <v>0</v>
      </c>
      <c r="T1723" s="50" t="n">
        <v>0</v>
      </c>
      <c r="U1723" s="50" t="n">
        <v>0</v>
      </c>
      <c r="V1723" s="50" t="n">
        <v>0</v>
      </c>
      <c r="W1723" s="51" t="n">
        <v>0</v>
      </c>
      <c r="X1723" s="51" t="n">
        <v>0</v>
      </c>
      <c r="Y1723" s="51" t="n">
        <v>0</v>
      </c>
      <c r="Z1723" s="51" t="n">
        <v>0</v>
      </c>
      <c r="AA1723" s="52" t="n">
        <v>0</v>
      </c>
      <c r="AB1723" s="52" t="n">
        <v>0</v>
      </c>
      <c r="AC1723" s="52" t="n">
        <v>0</v>
      </c>
      <c r="AD1723" s="52" t="n">
        <v>0</v>
      </c>
      <c r="AE1723" s="52" t="n">
        <v>0</v>
      </c>
      <c r="AF1723" s="52" t="n">
        <v>0</v>
      </c>
      <c r="AG1723" s="52" t="n">
        <v>0</v>
      </c>
      <c r="AH1723" s="52" t="n">
        <v>0</v>
      </c>
      <c r="AI1723" s="52" t="n">
        <v>0</v>
      </c>
      <c r="AJ1723" s="52" t="n">
        <v>0</v>
      </c>
      <c r="AK1723" s="52" t="n">
        <v>0</v>
      </c>
      <c r="AL1723" s="52" t="n">
        <v>0</v>
      </c>
      <c r="AM1723" s="53" t="n">
        <v>0</v>
      </c>
      <c r="AN1723" s="53" t="n">
        <v>0</v>
      </c>
      <c r="AO1723" s="53" t="n">
        <v>0</v>
      </c>
      <c r="AP1723" s="53" t="n">
        <v>0</v>
      </c>
      <c r="AQ1723" s="52" t="n">
        <v>0</v>
      </c>
      <c r="AR1723" s="52" t="n">
        <v>0</v>
      </c>
      <c r="AS1723" s="52" t="n">
        <v>0</v>
      </c>
      <c r="AT1723" s="52" t="n">
        <v>0</v>
      </c>
      <c r="AU1723" s="53" t="n">
        <v>0</v>
      </c>
      <c r="AV1723" s="53" t="n">
        <v>0</v>
      </c>
      <c r="AW1723" s="53" t="n">
        <v>0</v>
      </c>
      <c r="AX1723" s="53" t="n">
        <v>0</v>
      </c>
      <c r="AY1723" s="52" t="n">
        <v>0</v>
      </c>
      <c r="AZ1723" s="52" t="n">
        <v>0</v>
      </c>
      <c r="BA1723" s="52" t="n">
        <v>0</v>
      </c>
      <c r="BB1723" s="52" t="n">
        <v>0</v>
      </c>
      <c r="BC1723" s="51" t="n">
        <v>0</v>
      </c>
      <c r="BD1723" s="51" t="n">
        <v>0</v>
      </c>
      <c r="BE1723" s="51" t="n">
        <v>0</v>
      </c>
      <c r="BF1723" s="51" t="n">
        <v>0</v>
      </c>
    </row>
    <row r="1724">
      <c r="A1724">
        <f>HYPERLINK("https://www.walmart.com/ip/104042040", "104042040")</f>
        <v/>
      </c>
      <c r="B1724" t="inlineStr">
        <is>
          <t>KritterWorld® Soft-sided Pet Carrier-pet Carriers Airline Approved with Foldable and Washable</t>
        </is>
      </c>
      <c r="C1724" t="inlineStr">
        <is>
          <t>KWpetbag04GNFL</t>
        </is>
      </c>
      <c r="D1724" t="inlineStr">
        <is>
          <t>Pet Carriers</t>
        </is>
      </c>
      <c r="E1724" t="inlineStr">
        <is>
          <t>KritterWorld</t>
        </is>
      </c>
      <c r="G1724" s="48" t="n">
        <v>0</v>
      </c>
      <c r="H1724" s="48" t="n">
        <v>0</v>
      </c>
      <c r="I1724" s="48" t="n">
        <v>0</v>
      </c>
      <c r="J1724" s="48" t="n">
        <v>0</v>
      </c>
      <c r="K1724" s="49" t="n">
        <v>0</v>
      </c>
      <c r="L1724" s="49" t="n">
        <v>0</v>
      </c>
      <c r="M1724" s="49" t="n">
        <v>0</v>
      </c>
      <c r="N1724" s="49" t="n">
        <v>0</v>
      </c>
      <c r="O1724" s="49" t="n">
        <v>0</v>
      </c>
      <c r="P1724" s="49" t="n">
        <v>0</v>
      </c>
      <c r="Q1724" s="49" t="n">
        <v>0</v>
      </c>
      <c r="R1724" s="49" t="n">
        <v>0</v>
      </c>
      <c r="S1724" s="50" t="n">
        <v>0</v>
      </c>
      <c r="T1724" s="50" t="n">
        <v>0</v>
      </c>
      <c r="U1724" s="50" t="n">
        <v>0</v>
      </c>
      <c r="V1724" s="50" t="n">
        <v>0</v>
      </c>
      <c r="W1724" s="51" t="n">
        <v>0</v>
      </c>
      <c r="X1724" s="51" t="n">
        <v>0</v>
      </c>
      <c r="Y1724" s="51" t="n">
        <v>0</v>
      </c>
      <c r="Z1724" s="51" t="n">
        <v>0</v>
      </c>
      <c r="AA1724" s="52" t="n">
        <v>0</v>
      </c>
      <c r="AB1724" s="52" t="n">
        <v>0</v>
      </c>
      <c r="AC1724" s="52" t="n">
        <v>0</v>
      </c>
      <c r="AD1724" s="52" t="n">
        <v>0</v>
      </c>
      <c r="AE1724" s="52" t="n">
        <v>0</v>
      </c>
      <c r="AF1724" s="52" t="n">
        <v>0</v>
      </c>
      <c r="AG1724" s="52" t="n">
        <v>0</v>
      </c>
      <c r="AH1724" s="52" t="n">
        <v>0</v>
      </c>
      <c r="AI1724" s="52" t="n">
        <v>0</v>
      </c>
      <c r="AJ1724" s="52" t="n">
        <v>0</v>
      </c>
      <c r="AK1724" s="52" t="n">
        <v>0</v>
      </c>
      <c r="AL1724" s="52" t="n">
        <v>0</v>
      </c>
      <c r="AM1724" s="53" t="n">
        <v>0</v>
      </c>
      <c r="AN1724" s="53" t="n">
        <v>0</v>
      </c>
      <c r="AO1724" s="53" t="n">
        <v>0</v>
      </c>
      <c r="AP1724" s="53" t="n">
        <v>0</v>
      </c>
      <c r="AQ1724" s="52" t="n">
        <v>0</v>
      </c>
      <c r="AR1724" s="52" t="n">
        <v>0</v>
      </c>
      <c r="AS1724" s="52" t="n">
        <v>0</v>
      </c>
      <c r="AT1724" s="52" t="n">
        <v>0</v>
      </c>
      <c r="AU1724" s="53" t="n">
        <v>0</v>
      </c>
      <c r="AV1724" s="53" t="n">
        <v>0</v>
      </c>
      <c r="AW1724" s="53" t="n">
        <v>0</v>
      </c>
      <c r="AX1724" s="53" t="n">
        <v>0</v>
      </c>
      <c r="AY1724" s="52" t="n">
        <v>0</v>
      </c>
      <c r="AZ1724" s="52" t="n">
        <v>0</v>
      </c>
      <c r="BA1724" s="52" t="n">
        <v>0</v>
      </c>
      <c r="BB1724" s="52" t="n">
        <v>0</v>
      </c>
      <c r="BC1724" s="51" t="n">
        <v>0</v>
      </c>
      <c r="BD1724" s="51" t="n">
        <v>0</v>
      </c>
      <c r="BE1724" s="51" t="n">
        <v>0</v>
      </c>
      <c r="BF1724" s="51" t="n">
        <v>0</v>
      </c>
    </row>
    <row r="1725">
      <c r="A1725">
        <f>HYPERLINK("https://www.walmart.com/ip/1041777296", "1041777296")</f>
        <v/>
      </c>
      <c r="B1725" t="inlineStr">
        <is>
          <t>Catalonia Wearable TV Blanket with Sleeves Arms Micro Plush Fleece Wrap Throw Robe 73 x 51”</t>
        </is>
      </c>
      <c r="C1725" t="inlineStr">
        <is>
          <t>1CTSN150BK</t>
        </is>
      </c>
      <c r="D1725" t="inlineStr">
        <is>
          <t>Throws</t>
        </is>
      </c>
      <c r="E1725" t="inlineStr">
        <is>
          <t>Catalonia</t>
        </is>
      </c>
      <c r="F1725" t="inlineStr">
        <is>
          <t>Batch 1 - TR</t>
        </is>
      </c>
      <c r="G1725" s="48" t="n">
        <v>0</v>
      </c>
      <c r="H1725" s="48" t="n">
        <v>0</v>
      </c>
      <c r="I1725" s="48" t="n">
        <v>0</v>
      </c>
      <c r="J1725" s="48" t="n">
        <v>0</v>
      </c>
      <c r="K1725" s="49" t="n">
        <v>0</v>
      </c>
      <c r="L1725" s="49" t="n">
        <v>0</v>
      </c>
      <c r="M1725" s="49" t="n">
        <v>0</v>
      </c>
      <c r="N1725" s="49" t="n">
        <v>0</v>
      </c>
      <c r="O1725" s="49" t="n">
        <v>0</v>
      </c>
      <c r="P1725" s="49" t="n">
        <v>0</v>
      </c>
      <c r="Q1725" s="49" t="n">
        <v>0</v>
      </c>
      <c r="R1725" s="49" t="n">
        <v>0</v>
      </c>
      <c r="S1725" s="50" t="n">
        <v>0</v>
      </c>
      <c r="T1725" s="50" t="n">
        <v>0</v>
      </c>
      <c r="U1725" s="50" t="n">
        <v>0</v>
      </c>
      <c r="V1725" s="50" t="n">
        <v>0</v>
      </c>
      <c r="W1725" s="51" t="n">
        <v>0</v>
      </c>
      <c r="X1725" s="51" t="n">
        <v>0</v>
      </c>
      <c r="Y1725" s="51" t="n">
        <v>0</v>
      </c>
      <c r="Z1725" s="51" t="n">
        <v>0</v>
      </c>
      <c r="AA1725" s="52" t="n">
        <v>0</v>
      </c>
      <c r="AB1725" s="52" t="n">
        <v>0</v>
      </c>
      <c r="AC1725" s="52" t="n">
        <v>0</v>
      </c>
      <c r="AD1725" s="52" t="n">
        <v>0</v>
      </c>
      <c r="AE1725" s="52" t="n">
        <v>0</v>
      </c>
      <c r="AF1725" s="52" t="n">
        <v>0</v>
      </c>
      <c r="AG1725" s="52" t="n">
        <v>0</v>
      </c>
      <c r="AH1725" s="52" t="n">
        <v>0</v>
      </c>
      <c r="AI1725" s="52" t="n">
        <v>0</v>
      </c>
      <c r="AJ1725" s="52" t="n">
        <v>0</v>
      </c>
      <c r="AK1725" s="52" t="n">
        <v>0</v>
      </c>
      <c r="AL1725" s="52" t="n">
        <v>0</v>
      </c>
      <c r="AM1725" s="53" t="n">
        <v>0</v>
      </c>
      <c r="AN1725" s="53" t="n">
        <v>0</v>
      </c>
      <c r="AO1725" s="53" t="n">
        <v>0</v>
      </c>
      <c r="AP1725" s="53" t="n">
        <v>0</v>
      </c>
      <c r="AQ1725" s="52" t="n">
        <v>0</v>
      </c>
      <c r="AR1725" s="52" t="n">
        <v>0</v>
      </c>
      <c r="AS1725" s="52" t="n">
        <v>0</v>
      </c>
      <c r="AT1725" s="52" t="n">
        <v>0</v>
      </c>
      <c r="AU1725" s="53" t="n">
        <v>0</v>
      </c>
      <c r="AV1725" s="53" t="n">
        <v>0</v>
      </c>
      <c r="AW1725" s="53" t="n">
        <v>0</v>
      </c>
      <c r="AX1725" s="53" t="n">
        <v>0</v>
      </c>
      <c r="AY1725" s="52" t="n">
        <v>0</v>
      </c>
      <c r="AZ1725" s="52" t="n">
        <v>0</v>
      </c>
      <c r="BA1725" s="52" t="n">
        <v>0</v>
      </c>
      <c r="BB1725" s="52" t="n">
        <v>0</v>
      </c>
      <c r="BC1725" s="51" t="n">
        <v>0</v>
      </c>
      <c r="BD1725" s="51" t="n">
        <v>0</v>
      </c>
      <c r="BE1725" s="51" t="n">
        <v>0</v>
      </c>
      <c r="BF1725" s="51" t="n">
        <v>0</v>
      </c>
    </row>
    <row r="1726">
      <c r="A1726">
        <f>HYPERLINK("https://www.walmart.com/ip/1042512843", "1042512843")</f>
        <v/>
      </c>
      <c r="B1726" t="inlineStr">
        <is>
          <t>Every Day is Christmas Glass Blown Ornaments 2022 Cute Hand Made Figurines Tree Decoration - 13.7cm glass trumpet and 11.9cm glass saxophone ornament</t>
        </is>
      </c>
      <c r="C1726" t="inlineStr">
        <is>
          <t>EDC-FIGURINE-BULLDOZER</t>
        </is>
      </c>
      <c r="D1726" t="inlineStr">
        <is>
          <t>Ornaments</t>
        </is>
      </c>
      <c r="E1726" t="inlineStr">
        <is>
          <t>Every Day is Christmas</t>
        </is>
      </c>
      <c r="G1726" s="48" t="n">
        <v>0</v>
      </c>
      <c r="H1726" s="48" t="n">
        <v>0</v>
      </c>
      <c r="I1726" s="48" t="n">
        <v>0</v>
      </c>
      <c r="J1726" s="48" t="n">
        <v>0</v>
      </c>
      <c r="K1726" s="49" t="n">
        <v>0</v>
      </c>
      <c r="L1726" s="49" t="n">
        <v>0</v>
      </c>
      <c r="M1726" s="49" t="n">
        <v>0</v>
      </c>
      <c r="N1726" s="49" t="n">
        <v>0</v>
      </c>
      <c r="O1726" s="49" t="n">
        <v>0</v>
      </c>
      <c r="P1726" s="49" t="n">
        <v>0</v>
      </c>
      <c r="Q1726" s="49" t="n">
        <v>0</v>
      </c>
      <c r="R1726" s="49" t="n">
        <v>0</v>
      </c>
      <c r="S1726" s="50" t="n">
        <v>0</v>
      </c>
      <c r="T1726" s="50" t="n">
        <v>0</v>
      </c>
      <c r="U1726" s="50" t="n">
        <v>0</v>
      </c>
      <c r="V1726" s="50" t="n">
        <v>0</v>
      </c>
      <c r="W1726" s="51" t="n">
        <v>0</v>
      </c>
      <c r="X1726" s="51" t="n">
        <v>0</v>
      </c>
      <c r="Y1726" s="51" t="n">
        <v>0</v>
      </c>
      <c r="Z1726" s="51" t="n">
        <v>0</v>
      </c>
      <c r="AA1726" s="52" t="n">
        <v>0</v>
      </c>
      <c r="AB1726" s="52" t="n">
        <v>0</v>
      </c>
      <c r="AC1726" s="52" t="n">
        <v>0</v>
      </c>
      <c r="AD1726" s="52" t="n">
        <v>0</v>
      </c>
      <c r="AE1726" s="52" t="n">
        <v>0</v>
      </c>
      <c r="AF1726" s="52" t="n">
        <v>0</v>
      </c>
      <c r="AG1726" s="52" t="n">
        <v>0</v>
      </c>
      <c r="AH1726" s="52" t="n">
        <v>0</v>
      </c>
      <c r="AI1726" s="52" t="n">
        <v>0</v>
      </c>
      <c r="AJ1726" s="52" t="n">
        <v>0</v>
      </c>
      <c r="AK1726" s="52" t="n">
        <v>0</v>
      </c>
      <c r="AL1726" s="52" t="n">
        <v>0</v>
      </c>
      <c r="AM1726" s="53" t="n">
        <v>0</v>
      </c>
      <c r="AN1726" s="53" t="n">
        <v>0</v>
      </c>
      <c r="AO1726" s="53" t="n">
        <v>0</v>
      </c>
      <c r="AP1726" s="53" t="n">
        <v>0</v>
      </c>
      <c r="AQ1726" s="52" t="n">
        <v>0</v>
      </c>
      <c r="AR1726" s="52" t="n">
        <v>0</v>
      </c>
      <c r="AS1726" s="52" t="n">
        <v>0</v>
      </c>
      <c r="AT1726" s="52" t="n">
        <v>0</v>
      </c>
      <c r="AU1726" s="53" t="n">
        <v>0</v>
      </c>
      <c r="AV1726" s="53" t="n">
        <v>0</v>
      </c>
      <c r="AW1726" s="53" t="n">
        <v>0</v>
      </c>
      <c r="AX1726" s="53" t="n">
        <v>0</v>
      </c>
      <c r="AY1726" s="52" t="n">
        <v>0</v>
      </c>
      <c r="AZ1726" s="52" t="n">
        <v>0</v>
      </c>
      <c r="BA1726" s="52" t="n">
        <v>0</v>
      </c>
      <c r="BB1726" s="52" t="n">
        <v>0</v>
      </c>
      <c r="BC1726" s="51" t="n">
        <v>0</v>
      </c>
      <c r="BD1726" s="51" t="n">
        <v>0</v>
      </c>
      <c r="BE1726" s="51" t="n">
        <v>0</v>
      </c>
      <c r="BF1726" s="51" t="n">
        <v>0</v>
      </c>
    </row>
    <row r="1727">
      <c r="A1727">
        <f>HYPERLINK("https://www.walmart.com/ip/104256747", "104256747")</f>
        <v/>
      </c>
      <c r="B1727" t="inlineStr">
        <is>
          <t>Solaris Wide Brim Boonie Sun Protection Hat for Adult, Navy</t>
        </is>
      </c>
      <c r="C1727" t="inlineStr">
        <is>
          <t>1SLSH895NV</t>
        </is>
      </c>
      <c r="D1727" t="inlineStr">
        <is>
          <t>Hats</t>
        </is>
      </c>
      <c r="E1727" t="inlineStr">
        <is>
          <t>Solaris</t>
        </is>
      </c>
      <c r="F1727" t="inlineStr">
        <is>
          <t>Optimized</t>
        </is>
      </c>
      <c r="G1727" s="48" t="n">
        <v>0</v>
      </c>
      <c r="H1727" s="48" t="n">
        <v>9.99</v>
      </c>
      <c r="I1727" s="48" t="n">
        <v>0</v>
      </c>
      <c r="J1727" s="48" t="n">
        <v>0</v>
      </c>
      <c r="K1727" s="49" t="n">
        <v>0</v>
      </c>
      <c r="L1727" s="49" t="n">
        <v>1</v>
      </c>
      <c r="M1727" s="49" t="n">
        <v>0</v>
      </c>
      <c r="N1727" s="49" t="n">
        <v>0</v>
      </c>
      <c r="O1727" s="49" t="n">
        <v>0</v>
      </c>
      <c r="P1727" s="49" t="n">
        <v>0</v>
      </c>
      <c r="Q1727" s="49" t="n">
        <v>0</v>
      </c>
      <c r="R1727" s="49" t="n">
        <v>0</v>
      </c>
      <c r="S1727" s="50" t="n">
        <v>0</v>
      </c>
      <c r="T1727" s="50" t="n">
        <v>0</v>
      </c>
      <c r="U1727" s="50" t="n">
        <v>0</v>
      </c>
      <c r="V1727" s="50" t="n">
        <v>0</v>
      </c>
      <c r="W1727" s="51" t="n">
        <v>0</v>
      </c>
      <c r="X1727" s="51" t="n">
        <v>0</v>
      </c>
      <c r="Y1727" s="51" t="n">
        <v>0</v>
      </c>
      <c r="Z1727" s="51" t="n">
        <v>0</v>
      </c>
      <c r="AA1727" s="52" t="n">
        <v>0</v>
      </c>
      <c r="AB1727" s="52" t="n">
        <v>0</v>
      </c>
      <c r="AC1727" s="52" t="n">
        <v>0</v>
      </c>
      <c r="AD1727" s="52" t="n">
        <v>0</v>
      </c>
      <c r="AE1727" s="52" t="n">
        <v>0</v>
      </c>
      <c r="AF1727" s="52" t="n">
        <v>0</v>
      </c>
      <c r="AG1727" s="52" t="n">
        <v>0</v>
      </c>
      <c r="AH1727" s="52" t="n">
        <v>0</v>
      </c>
      <c r="AI1727" s="52" t="n">
        <v>0</v>
      </c>
      <c r="AJ1727" s="52" t="n">
        <v>0</v>
      </c>
      <c r="AK1727" s="52" t="n">
        <v>0</v>
      </c>
      <c r="AL1727" s="52" t="n">
        <v>0</v>
      </c>
      <c r="AM1727" s="53" t="n">
        <v>0</v>
      </c>
      <c r="AN1727" s="53" t="n">
        <v>0</v>
      </c>
      <c r="AO1727" s="53" t="n">
        <v>0</v>
      </c>
      <c r="AP1727" s="53" t="n">
        <v>0</v>
      </c>
      <c r="AQ1727" s="52" t="n">
        <v>0</v>
      </c>
      <c r="AR1727" s="52" t="n">
        <v>0</v>
      </c>
      <c r="AS1727" s="52" t="n">
        <v>0</v>
      </c>
      <c r="AT1727" s="52" t="n">
        <v>0</v>
      </c>
      <c r="AU1727" s="53" t="n">
        <v>0</v>
      </c>
      <c r="AV1727" s="53" t="n">
        <v>0</v>
      </c>
      <c r="AW1727" s="53" t="n">
        <v>0</v>
      </c>
      <c r="AX1727" s="53" t="n">
        <v>0</v>
      </c>
      <c r="AY1727" s="52" t="n">
        <v>0</v>
      </c>
      <c r="AZ1727" s="52" t="n">
        <v>9.99</v>
      </c>
      <c r="BA1727" s="52" t="n">
        <v>0</v>
      </c>
      <c r="BB1727" s="52" t="n">
        <v>0</v>
      </c>
      <c r="BC1727" s="51" t="n">
        <v>0</v>
      </c>
      <c r="BD1727" s="51" t="n">
        <v>0</v>
      </c>
      <c r="BE1727" s="51" t="n">
        <v>0</v>
      </c>
      <c r="BF1727" s="51" t="n">
        <v>0</v>
      </c>
    </row>
    <row r="1728">
      <c r="A1728">
        <f>HYPERLINK("https://www.walmart.com/ip/105096970", "105096970")</f>
        <v/>
      </c>
      <c r="B1728" t="inlineStr">
        <is>
          <t>Fashion Ladies Beileise Sexy Fishnet Crotchless Suspender Pantyhose Stockings Black - 3 Packs</t>
        </is>
      </c>
      <c r="C1728" t="inlineStr">
        <is>
          <t>JWBLSPH2029-3pcs</t>
        </is>
      </c>
      <c r="D1728" t="inlineStr">
        <is>
          <t>Pantyhose &amp; Tights</t>
        </is>
      </c>
      <c r="E1728" t="inlineStr">
        <is>
          <t>JenniWears</t>
        </is>
      </c>
      <c r="F1728" t="inlineStr">
        <is>
          <t>Optimized,WFS,Valentine,WFS Item</t>
        </is>
      </c>
      <c r="G1728" s="48" t="n">
        <v>0</v>
      </c>
      <c r="H1728" s="48" t="n">
        <v>0</v>
      </c>
      <c r="I1728" s="48" t="n">
        <v>0</v>
      </c>
      <c r="J1728" s="48" t="n">
        <v>0</v>
      </c>
      <c r="K1728" s="49" t="n">
        <v>0</v>
      </c>
      <c r="L1728" s="49" t="n">
        <v>0</v>
      </c>
      <c r="M1728" s="49" t="n">
        <v>0</v>
      </c>
      <c r="N1728" s="49" t="n">
        <v>0</v>
      </c>
      <c r="O1728" s="49" t="n">
        <v>0</v>
      </c>
      <c r="P1728" s="49" t="n">
        <v>0</v>
      </c>
      <c r="Q1728" s="49" t="n">
        <v>0</v>
      </c>
      <c r="R1728" s="49" t="n">
        <v>0</v>
      </c>
      <c r="S1728" s="50" t="n">
        <v>0</v>
      </c>
      <c r="T1728" s="50" t="n">
        <v>0</v>
      </c>
      <c r="U1728" s="50" t="n">
        <v>0</v>
      </c>
      <c r="V1728" s="50" t="n">
        <v>0</v>
      </c>
      <c r="W1728" s="51" t="n">
        <v>0</v>
      </c>
      <c r="X1728" s="51" t="n">
        <v>0</v>
      </c>
      <c r="Y1728" s="51" t="n">
        <v>0</v>
      </c>
      <c r="Z1728" s="51" t="n">
        <v>0</v>
      </c>
      <c r="AA1728" s="52" t="n">
        <v>0</v>
      </c>
      <c r="AB1728" s="52" t="n">
        <v>0</v>
      </c>
      <c r="AC1728" s="52" t="n">
        <v>0</v>
      </c>
      <c r="AD1728" s="52" t="n">
        <v>0</v>
      </c>
      <c r="AE1728" s="52" t="n">
        <v>0</v>
      </c>
      <c r="AF1728" s="52" t="n">
        <v>0</v>
      </c>
      <c r="AG1728" s="52" t="n">
        <v>0</v>
      </c>
      <c r="AH1728" s="52" t="n">
        <v>0</v>
      </c>
      <c r="AI1728" s="52" t="n">
        <v>0</v>
      </c>
      <c r="AJ1728" s="52" t="n">
        <v>0</v>
      </c>
      <c r="AK1728" s="52" t="n">
        <v>0</v>
      </c>
      <c r="AL1728" s="52" t="n">
        <v>0</v>
      </c>
      <c r="AM1728" s="53" t="n">
        <v>0</v>
      </c>
      <c r="AN1728" s="53" t="n">
        <v>0</v>
      </c>
      <c r="AO1728" s="53" t="n">
        <v>0</v>
      </c>
      <c r="AP1728" s="53" t="n">
        <v>0</v>
      </c>
      <c r="AQ1728" s="52" t="n">
        <v>0</v>
      </c>
      <c r="AR1728" s="52" t="n">
        <v>0</v>
      </c>
      <c r="AS1728" s="52" t="n">
        <v>0</v>
      </c>
      <c r="AT1728" s="52" t="n">
        <v>0</v>
      </c>
      <c r="AU1728" s="53" t="n">
        <v>0</v>
      </c>
      <c r="AV1728" s="53" t="n">
        <v>0</v>
      </c>
      <c r="AW1728" s="53" t="n">
        <v>0</v>
      </c>
      <c r="AX1728" s="53" t="n">
        <v>0</v>
      </c>
      <c r="AY1728" s="52" t="n">
        <v>0</v>
      </c>
      <c r="AZ1728" s="52" t="n">
        <v>0</v>
      </c>
      <c r="BA1728" s="52" t="n">
        <v>0</v>
      </c>
      <c r="BB1728" s="52" t="n">
        <v>0</v>
      </c>
      <c r="BC1728" s="51" t="n">
        <v>0</v>
      </c>
      <c r="BD1728" s="51" t="n">
        <v>0</v>
      </c>
      <c r="BE1728" s="51" t="n">
        <v>0</v>
      </c>
      <c r="BF1728" s="51" t="n">
        <v>0</v>
      </c>
    </row>
    <row r="1729">
      <c r="A1729">
        <f>HYPERLINK("https://www.walmart.com/ip/105112574", "105112574")</f>
        <v/>
      </c>
      <c r="B1729" t="inlineStr">
        <is>
          <t>Napa Plush Cashmere Throw Blanket Dark Grey, Twin 66"x90", Striped Reversible Velvet Luxury Fleece Warm Bed Couch Blanket, Super Soft and Cozy</t>
        </is>
      </c>
      <c r="C1729" t="inlineStr">
        <is>
          <t>K8030TW-DGY</t>
        </is>
      </c>
      <c r="D1729" t="inlineStr">
        <is>
          <t>Throws</t>
        </is>
      </c>
      <c r="E1729" t="inlineStr">
        <is>
          <t>NAPA</t>
        </is>
      </c>
      <c r="F1729" t="inlineStr">
        <is>
          <t>Optimized,cost-added</t>
        </is>
      </c>
      <c r="G1729" s="48" t="n">
        <v>0</v>
      </c>
      <c r="H1729" s="48" t="n">
        <v>0</v>
      </c>
      <c r="I1729" s="48" t="n">
        <v>0</v>
      </c>
      <c r="J1729" s="48" t="n">
        <v>0</v>
      </c>
      <c r="K1729" s="49" t="n">
        <v>0</v>
      </c>
      <c r="L1729" s="49" t="n">
        <v>0</v>
      </c>
      <c r="M1729" s="49" t="n">
        <v>0</v>
      </c>
      <c r="N1729" s="49" t="n">
        <v>0</v>
      </c>
      <c r="O1729" s="49" t="n">
        <v>0</v>
      </c>
      <c r="P1729" s="49" t="n">
        <v>0</v>
      </c>
      <c r="Q1729" s="49" t="n">
        <v>0</v>
      </c>
      <c r="R1729" s="49" t="n">
        <v>0</v>
      </c>
      <c r="S1729" s="50" t="n">
        <v>0</v>
      </c>
      <c r="T1729" s="50" t="n">
        <v>0</v>
      </c>
      <c r="U1729" s="50" t="n">
        <v>0</v>
      </c>
      <c r="V1729" s="50" t="n">
        <v>0</v>
      </c>
      <c r="W1729" s="51" t="n">
        <v>0</v>
      </c>
      <c r="X1729" s="51" t="n">
        <v>0</v>
      </c>
      <c r="Y1729" s="51" t="n">
        <v>0</v>
      </c>
      <c r="Z1729" s="51" t="n">
        <v>0</v>
      </c>
      <c r="AA1729" s="52" t="n">
        <v>0</v>
      </c>
      <c r="AB1729" s="52" t="n">
        <v>0</v>
      </c>
      <c r="AC1729" s="52" t="n">
        <v>0</v>
      </c>
      <c r="AD1729" s="52" t="n">
        <v>0</v>
      </c>
      <c r="AE1729" s="52" t="n">
        <v>0</v>
      </c>
      <c r="AF1729" s="52" t="n">
        <v>0</v>
      </c>
      <c r="AG1729" s="52" t="n">
        <v>0</v>
      </c>
      <c r="AH1729" s="52" t="n">
        <v>0</v>
      </c>
      <c r="AI1729" s="52" t="n">
        <v>0</v>
      </c>
      <c r="AJ1729" s="52" t="n">
        <v>0</v>
      </c>
      <c r="AK1729" s="52" t="n">
        <v>0</v>
      </c>
      <c r="AL1729" s="52" t="n">
        <v>0</v>
      </c>
      <c r="AM1729" s="53" t="n">
        <v>0</v>
      </c>
      <c r="AN1729" s="53" t="n">
        <v>0</v>
      </c>
      <c r="AO1729" s="53" t="n">
        <v>0</v>
      </c>
      <c r="AP1729" s="53" t="n">
        <v>0</v>
      </c>
      <c r="AQ1729" s="52" t="n">
        <v>0</v>
      </c>
      <c r="AR1729" s="52" t="n">
        <v>0</v>
      </c>
      <c r="AS1729" s="52" t="n">
        <v>0</v>
      </c>
      <c r="AT1729" s="52" t="n">
        <v>0</v>
      </c>
      <c r="AU1729" s="53" t="n">
        <v>0</v>
      </c>
      <c r="AV1729" s="53" t="n">
        <v>0</v>
      </c>
      <c r="AW1729" s="53" t="n">
        <v>0</v>
      </c>
      <c r="AX1729" s="53" t="n">
        <v>0</v>
      </c>
      <c r="AY1729" s="52" t="n">
        <v>0</v>
      </c>
      <c r="AZ1729" s="52" t="n">
        <v>0</v>
      </c>
      <c r="BA1729" s="52" t="n">
        <v>0</v>
      </c>
      <c r="BB1729" s="52" t="n">
        <v>0</v>
      </c>
      <c r="BC1729" s="51" t="n">
        <v>0</v>
      </c>
      <c r="BD1729" s="51" t="n">
        <v>0</v>
      </c>
      <c r="BE1729" s="51" t="n">
        <v>0</v>
      </c>
      <c r="BF1729" s="51" t="n">
        <v>0</v>
      </c>
    </row>
    <row r="1730">
      <c r="A1730">
        <f>HYPERLINK("https://www.walmart.com/ip/105129705", "105129705")</f>
        <v/>
      </c>
      <c r="B1730" t="inlineStr">
        <is>
          <t>Buffalo Plaid Sherpa Throw TV Blanket 50" x 60" Super Soft Reversible Fleece Blanket for Cabin Bed or Couch | Catalonia series by Tirrinia | Cabin Plaid Grey and Black Check</t>
        </is>
      </c>
      <c r="C1730" t="inlineStr">
        <is>
          <t>1TRBF300PBK-TBCB</t>
        </is>
      </c>
      <c r="D1730" t="inlineStr">
        <is>
          <t>Throws</t>
        </is>
      </c>
      <c r="E1730" t="inlineStr">
        <is>
          <t>Tirrinia</t>
        </is>
      </c>
      <c r="F1730" t="inlineStr">
        <is>
          <t>Q2-Target,WFS,Coupon_Discount,WFS Item,Fleece Blankets</t>
        </is>
      </c>
      <c r="G1730" s="48" t="n">
        <v>0</v>
      </c>
      <c r="H1730" s="48" t="n">
        <v>0</v>
      </c>
      <c r="I1730" s="48" t="n">
        <v>0</v>
      </c>
      <c r="J1730" s="48" t="n">
        <v>0</v>
      </c>
      <c r="K1730" s="49" t="n">
        <v>0</v>
      </c>
      <c r="L1730" s="49" t="n">
        <v>0</v>
      </c>
      <c r="M1730" s="49" t="n">
        <v>0</v>
      </c>
      <c r="N1730" s="49" t="n">
        <v>0</v>
      </c>
      <c r="O1730" s="49" t="n">
        <v>0</v>
      </c>
      <c r="P1730" s="49" t="n">
        <v>0</v>
      </c>
      <c r="Q1730" s="49" t="n">
        <v>0</v>
      </c>
      <c r="R1730" s="49" t="n">
        <v>0</v>
      </c>
      <c r="S1730" s="50" t="n">
        <v>0</v>
      </c>
      <c r="T1730" s="50" t="n">
        <v>0</v>
      </c>
      <c r="U1730" s="50" t="n">
        <v>0</v>
      </c>
      <c r="V1730" s="50" t="n">
        <v>0</v>
      </c>
      <c r="W1730" s="51" t="n">
        <v>0</v>
      </c>
      <c r="X1730" s="51" t="n">
        <v>0</v>
      </c>
      <c r="Y1730" s="51" t="n">
        <v>0</v>
      </c>
      <c r="Z1730" s="51" t="n">
        <v>0</v>
      </c>
      <c r="AA1730" s="52" t="n">
        <v>0</v>
      </c>
      <c r="AB1730" s="52" t="n">
        <v>0</v>
      </c>
      <c r="AC1730" s="52" t="n">
        <v>0</v>
      </c>
      <c r="AD1730" s="52" t="n">
        <v>0</v>
      </c>
      <c r="AE1730" s="52" t="n">
        <v>0</v>
      </c>
      <c r="AF1730" s="52" t="n">
        <v>0</v>
      </c>
      <c r="AG1730" s="52" t="n">
        <v>0</v>
      </c>
      <c r="AH1730" s="52" t="n">
        <v>0</v>
      </c>
      <c r="AI1730" s="52" t="n">
        <v>0</v>
      </c>
      <c r="AJ1730" s="52" t="n">
        <v>0</v>
      </c>
      <c r="AK1730" s="52" t="n">
        <v>0</v>
      </c>
      <c r="AL1730" s="52" t="n">
        <v>0</v>
      </c>
      <c r="AM1730" s="53" t="n">
        <v>0</v>
      </c>
      <c r="AN1730" s="53" t="n">
        <v>0</v>
      </c>
      <c r="AO1730" s="53" t="n">
        <v>0</v>
      </c>
      <c r="AP1730" s="53" t="n">
        <v>0</v>
      </c>
      <c r="AQ1730" s="52" t="n">
        <v>0</v>
      </c>
      <c r="AR1730" s="52" t="n">
        <v>0</v>
      </c>
      <c r="AS1730" s="52" t="n">
        <v>0</v>
      </c>
      <c r="AT1730" s="52" t="n">
        <v>0</v>
      </c>
      <c r="AU1730" s="53" t="n">
        <v>0</v>
      </c>
      <c r="AV1730" s="53" t="n">
        <v>0</v>
      </c>
      <c r="AW1730" s="53" t="n">
        <v>0</v>
      </c>
      <c r="AX1730" s="53" t="n">
        <v>0</v>
      </c>
      <c r="AY1730" s="52" t="n">
        <v>0</v>
      </c>
      <c r="AZ1730" s="52" t="n">
        <v>0</v>
      </c>
      <c r="BA1730" s="52" t="n">
        <v>0</v>
      </c>
      <c r="BB1730" s="52" t="n">
        <v>0</v>
      </c>
      <c r="BC1730" s="51" t="n">
        <v>0</v>
      </c>
      <c r="BD1730" s="51" t="n">
        <v>0</v>
      </c>
      <c r="BE1730" s="51" t="n">
        <v>0</v>
      </c>
      <c r="BF1730" s="51" t="n">
        <v>0</v>
      </c>
    </row>
    <row r="1731">
      <c r="A1731">
        <f>HYPERLINK("https://www.walmart.com/ip/105386738", "105386738")</f>
        <v/>
      </c>
      <c r="B1731" t="inlineStr">
        <is>
          <t>KritterWorld® Pet Dog Cat Puppy Kitten Micro plush Sherpa Snuggle Blanket for Couch, Car, Trunk, Cage, Kennel, Dog House, 45" x 30" Grey/Latte</t>
        </is>
      </c>
      <c r="C1731" t="inlineStr">
        <is>
          <t>DOG3045-GYLT</t>
        </is>
      </c>
      <c r="D1731" t="inlineStr">
        <is>
          <t>Pet Blankets</t>
        </is>
      </c>
      <c r="E1731" t="inlineStr">
        <is>
          <t>KritterWorld</t>
        </is>
      </c>
      <c r="F1731" t="inlineStr">
        <is>
          <t>Batch 1 - TR</t>
        </is>
      </c>
      <c r="G1731" s="48" t="n">
        <v>0</v>
      </c>
      <c r="H1731" s="48" t="n">
        <v>0</v>
      </c>
      <c r="I1731" s="48" t="n">
        <v>0</v>
      </c>
      <c r="J1731" s="48" t="n">
        <v>0</v>
      </c>
      <c r="K1731" s="49" t="n">
        <v>0</v>
      </c>
      <c r="L1731" s="49" t="n">
        <v>0</v>
      </c>
      <c r="M1731" s="49" t="n">
        <v>0</v>
      </c>
      <c r="N1731" s="49" t="n">
        <v>0</v>
      </c>
      <c r="O1731" s="49" t="n">
        <v>0</v>
      </c>
      <c r="P1731" s="49" t="n">
        <v>0</v>
      </c>
      <c r="Q1731" s="49" t="n">
        <v>0</v>
      </c>
      <c r="R1731" s="49" t="n">
        <v>0</v>
      </c>
      <c r="S1731" s="50" t="n">
        <v>0</v>
      </c>
      <c r="T1731" s="50" t="n">
        <v>0</v>
      </c>
      <c r="U1731" s="50" t="n">
        <v>0</v>
      </c>
      <c r="V1731" s="50" t="n">
        <v>0</v>
      </c>
      <c r="W1731" s="51" t="n">
        <v>0</v>
      </c>
      <c r="X1731" s="51" t="n">
        <v>0</v>
      </c>
      <c r="Y1731" s="51" t="n">
        <v>0</v>
      </c>
      <c r="Z1731" s="51" t="n">
        <v>0</v>
      </c>
      <c r="AA1731" s="52" t="n">
        <v>0</v>
      </c>
      <c r="AB1731" s="52" t="n">
        <v>0</v>
      </c>
      <c r="AC1731" s="52" t="n">
        <v>0</v>
      </c>
      <c r="AD1731" s="52" t="n">
        <v>0</v>
      </c>
      <c r="AE1731" s="52" t="n">
        <v>0</v>
      </c>
      <c r="AF1731" s="52" t="n">
        <v>0</v>
      </c>
      <c r="AG1731" s="52" t="n">
        <v>0</v>
      </c>
      <c r="AH1731" s="52" t="n">
        <v>0</v>
      </c>
      <c r="AI1731" s="52" t="n">
        <v>0</v>
      </c>
      <c r="AJ1731" s="52" t="n">
        <v>0</v>
      </c>
      <c r="AK1731" s="52" t="n">
        <v>0</v>
      </c>
      <c r="AL1731" s="52" t="n">
        <v>0</v>
      </c>
      <c r="AM1731" s="53" t="n">
        <v>0</v>
      </c>
      <c r="AN1731" s="53" t="n">
        <v>0</v>
      </c>
      <c r="AO1731" s="53" t="n">
        <v>0</v>
      </c>
      <c r="AP1731" s="53" t="n">
        <v>0</v>
      </c>
      <c r="AQ1731" s="52" t="n">
        <v>0</v>
      </c>
      <c r="AR1731" s="52" t="n">
        <v>0</v>
      </c>
      <c r="AS1731" s="52" t="n">
        <v>0</v>
      </c>
      <c r="AT1731" s="52" t="n">
        <v>0</v>
      </c>
      <c r="AU1731" s="53" t="n">
        <v>0</v>
      </c>
      <c r="AV1731" s="53" t="n">
        <v>0</v>
      </c>
      <c r="AW1731" s="53" t="n">
        <v>0</v>
      </c>
      <c r="AX1731" s="53" t="n">
        <v>0</v>
      </c>
      <c r="AY1731" s="52" t="n">
        <v>0</v>
      </c>
      <c r="AZ1731" s="52" t="n">
        <v>0</v>
      </c>
      <c r="BA1731" s="52" t="n">
        <v>0</v>
      </c>
      <c r="BB1731" s="52" t="n">
        <v>0</v>
      </c>
      <c r="BC1731" s="51" t="n">
        <v>0</v>
      </c>
      <c r="BD1731" s="51" t="n">
        <v>0</v>
      </c>
      <c r="BE1731" s="51" t="n">
        <v>0</v>
      </c>
      <c r="BF1731" s="51" t="n">
        <v>0</v>
      </c>
    </row>
    <row r="1732">
      <c r="A1732">
        <f>HYPERLINK("https://www.walmart.com/ip/105623773", "105623773")</f>
        <v/>
      </c>
      <c r="B1732" t="inlineStr">
        <is>
          <t>Men's Boxer Briefs Assorted Mens Underwear with Cotton Classic Stretch , 3-Pack by Terra</t>
        </is>
      </c>
      <c r="C1732" t="inlineStr">
        <is>
          <t>TERRABOXERSET1-M</t>
        </is>
      </c>
      <c r="D1732" t="inlineStr">
        <is>
          <t>Underpants</t>
        </is>
      </c>
      <c r="E1732" t="inlineStr">
        <is>
          <t>Terra</t>
        </is>
      </c>
      <c r="F1732" t="inlineStr">
        <is>
          <t>WFS,WFS Item</t>
        </is>
      </c>
      <c r="G1732" s="48" t="n">
        <v>0</v>
      </c>
      <c r="H1732" s="48" t="n">
        <v>0</v>
      </c>
      <c r="I1732" s="48" t="n">
        <v>0</v>
      </c>
      <c r="J1732" s="48" t="n">
        <v>0</v>
      </c>
      <c r="K1732" s="49" t="n">
        <v>0</v>
      </c>
      <c r="L1732" s="49" t="n">
        <v>0</v>
      </c>
      <c r="M1732" s="49" t="n">
        <v>0</v>
      </c>
      <c r="N1732" s="49" t="n">
        <v>0</v>
      </c>
      <c r="O1732" s="49" t="n">
        <v>0</v>
      </c>
      <c r="P1732" s="49" t="n">
        <v>0</v>
      </c>
      <c r="Q1732" s="49" t="n">
        <v>0</v>
      </c>
      <c r="R1732" s="49" t="n">
        <v>0</v>
      </c>
      <c r="S1732" s="50" t="n">
        <v>0</v>
      </c>
      <c r="T1732" s="50" t="n">
        <v>0</v>
      </c>
      <c r="U1732" s="50" t="n">
        <v>0</v>
      </c>
      <c r="V1732" s="50" t="n">
        <v>0</v>
      </c>
      <c r="W1732" s="51" t="n">
        <v>0</v>
      </c>
      <c r="X1732" s="51" t="n">
        <v>0</v>
      </c>
      <c r="Y1732" s="51" t="n">
        <v>0</v>
      </c>
      <c r="Z1732" s="51" t="n">
        <v>0</v>
      </c>
      <c r="AA1732" s="52" t="n">
        <v>0</v>
      </c>
      <c r="AB1732" s="52" t="n">
        <v>0</v>
      </c>
      <c r="AC1732" s="52" t="n">
        <v>0</v>
      </c>
      <c r="AD1732" s="52" t="n">
        <v>0</v>
      </c>
      <c r="AE1732" s="52" t="n">
        <v>0</v>
      </c>
      <c r="AF1732" s="52" t="n">
        <v>0</v>
      </c>
      <c r="AG1732" s="52" t="n">
        <v>0</v>
      </c>
      <c r="AH1732" s="52" t="n">
        <v>0</v>
      </c>
      <c r="AI1732" s="52" t="n">
        <v>0</v>
      </c>
      <c r="AJ1732" s="52" t="n">
        <v>0</v>
      </c>
      <c r="AK1732" s="52" t="n">
        <v>0</v>
      </c>
      <c r="AL1732" s="52" t="n">
        <v>0</v>
      </c>
      <c r="AM1732" s="53" t="n">
        <v>0</v>
      </c>
      <c r="AN1732" s="53" t="n">
        <v>0</v>
      </c>
      <c r="AO1732" s="53" t="n">
        <v>0</v>
      </c>
      <c r="AP1732" s="53" t="n">
        <v>0</v>
      </c>
      <c r="AQ1732" s="52" t="n">
        <v>0</v>
      </c>
      <c r="AR1732" s="52" t="n">
        <v>0</v>
      </c>
      <c r="AS1732" s="52" t="n">
        <v>0</v>
      </c>
      <c r="AT1732" s="52" t="n">
        <v>0</v>
      </c>
      <c r="AU1732" s="53" t="n">
        <v>0</v>
      </c>
      <c r="AV1732" s="53" t="n">
        <v>0</v>
      </c>
      <c r="AW1732" s="53" t="n">
        <v>0</v>
      </c>
      <c r="AX1732" s="53" t="n">
        <v>0</v>
      </c>
      <c r="AY1732" s="52" t="n">
        <v>0</v>
      </c>
      <c r="AZ1732" s="52" t="n">
        <v>0</v>
      </c>
      <c r="BA1732" s="52" t="n">
        <v>0</v>
      </c>
      <c r="BB1732" s="52" t="n">
        <v>0</v>
      </c>
      <c r="BC1732" s="51" t="n">
        <v>0</v>
      </c>
      <c r="BD1732" s="51" t="n">
        <v>0</v>
      </c>
      <c r="BE1732" s="51" t="n">
        <v>0</v>
      </c>
      <c r="BF1732" s="51" t="n">
        <v>0</v>
      </c>
    </row>
    <row r="1733">
      <c r="A1733">
        <f>HYPERLINK("https://www.walmart.com/ip/1061206456", "1061206456")</f>
        <v/>
      </c>
      <c r="B1733" t="inlineStr">
        <is>
          <t>Catalonia Microfiber Plush Blanket for Bed and Couch, Holiday Theme Sherpa Fleece Throw Blanket, Christmas Gift Blanket, Super Soft, Comfy, Cozy, Fluffy, Warm, Red Plaid, 90" x 90"</t>
        </is>
      </c>
      <c r="C1733" t="inlineStr">
        <is>
          <t>1CTBF399PRD</t>
        </is>
      </c>
      <c r="D1733" t="inlineStr">
        <is>
          <t>Throws</t>
        </is>
      </c>
      <c r="E1733" t="inlineStr">
        <is>
          <t>Catalonia</t>
        </is>
      </c>
      <c r="F1733" t="inlineStr">
        <is>
          <t>Q2-Target,Batch 1 - TR</t>
        </is>
      </c>
      <c r="G1733" s="48" t="n">
        <v>0</v>
      </c>
      <c r="H1733" s="48" t="n">
        <v>0</v>
      </c>
      <c r="I1733" s="48" t="n">
        <v>0</v>
      </c>
      <c r="J1733" s="48" t="n">
        <v>0</v>
      </c>
      <c r="K1733" s="49" t="n">
        <v>0</v>
      </c>
      <c r="L1733" s="49" t="n">
        <v>0</v>
      </c>
      <c r="M1733" s="49" t="n">
        <v>0</v>
      </c>
      <c r="N1733" s="49" t="n">
        <v>0</v>
      </c>
      <c r="O1733" s="49" t="n">
        <v>0</v>
      </c>
      <c r="P1733" s="49" t="n">
        <v>0</v>
      </c>
      <c r="Q1733" s="49" t="n">
        <v>0</v>
      </c>
      <c r="R1733" s="49" t="n">
        <v>0</v>
      </c>
      <c r="S1733" s="50" t="n">
        <v>0</v>
      </c>
      <c r="T1733" s="50" t="n">
        <v>0</v>
      </c>
      <c r="U1733" s="50" t="n">
        <v>0</v>
      </c>
      <c r="V1733" s="50" t="n">
        <v>0</v>
      </c>
      <c r="W1733" s="51" t="n">
        <v>0</v>
      </c>
      <c r="X1733" s="51" t="n">
        <v>0</v>
      </c>
      <c r="Y1733" s="51" t="n">
        <v>0</v>
      </c>
      <c r="Z1733" s="51" t="n">
        <v>0</v>
      </c>
      <c r="AA1733" s="52" t="n">
        <v>0</v>
      </c>
      <c r="AB1733" s="52" t="n">
        <v>0</v>
      </c>
      <c r="AC1733" s="52" t="n">
        <v>0</v>
      </c>
      <c r="AD1733" s="52" t="n">
        <v>0</v>
      </c>
      <c r="AE1733" s="52" t="n">
        <v>0</v>
      </c>
      <c r="AF1733" s="52" t="n">
        <v>0</v>
      </c>
      <c r="AG1733" s="52" t="n">
        <v>0</v>
      </c>
      <c r="AH1733" s="52" t="n">
        <v>0</v>
      </c>
      <c r="AI1733" s="52" t="n">
        <v>0</v>
      </c>
      <c r="AJ1733" s="52" t="n">
        <v>0</v>
      </c>
      <c r="AK1733" s="52" t="n">
        <v>0</v>
      </c>
      <c r="AL1733" s="52" t="n">
        <v>0</v>
      </c>
      <c r="AM1733" s="53" t="n">
        <v>0</v>
      </c>
      <c r="AN1733" s="53" t="n">
        <v>0</v>
      </c>
      <c r="AO1733" s="53" t="n">
        <v>0</v>
      </c>
      <c r="AP1733" s="53" t="n">
        <v>0</v>
      </c>
      <c r="AQ1733" s="52" t="n">
        <v>0</v>
      </c>
      <c r="AR1733" s="52" t="n">
        <v>0</v>
      </c>
      <c r="AS1733" s="52" t="n">
        <v>0</v>
      </c>
      <c r="AT1733" s="52" t="n">
        <v>0</v>
      </c>
      <c r="AU1733" s="53" t="n">
        <v>0</v>
      </c>
      <c r="AV1733" s="53" t="n">
        <v>0</v>
      </c>
      <c r="AW1733" s="53" t="n">
        <v>0</v>
      </c>
      <c r="AX1733" s="53" t="n">
        <v>0</v>
      </c>
      <c r="AY1733" s="52" t="n">
        <v>0</v>
      </c>
      <c r="AZ1733" s="52" t="n">
        <v>0</v>
      </c>
      <c r="BA1733" s="52" t="n">
        <v>0</v>
      </c>
      <c r="BB1733" s="52" t="n">
        <v>0</v>
      </c>
      <c r="BC1733" s="51" t="n">
        <v>0</v>
      </c>
      <c r="BD1733" s="51" t="n">
        <v>0</v>
      </c>
      <c r="BE1733" s="51" t="n">
        <v>0</v>
      </c>
      <c r="BF1733" s="51" t="n">
        <v>0</v>
      </c>
    </row>
    <row r="1734">
      <c r="A1734">
        <f>HYPERLINK("https://www.walmart.com/ip/106336287", "106336287")</f>
        <v/>
      </c>
      <c r="B1734" t="inlineStr">
        <is>
          <t>Terra Faux Fur Pom Pom Beanie Hat Thick Slouchy Cable Knit Unisex Stretches to Fit Most</t>
        </is>
      </c>
      <c r="C1734" t="inlineStr">
        <is>
          <t>TERRAPPH02BL</t>
        </is>
      </c>
      <c r="D1734" t="inlineStr">
        <is>
          <t>Hats</t>
        </is>
      </c>
      <c r="E1734" t="inlineStr">
        <is>
          <t>Terra</t>
        </is>
      </c>
      <c r="F1734" t="inlineStr">
        <is>
          <t>Optimized</t>
        </is>
      </c>
      <c r="G1734" s="48" t="n">
        <v>0</v>
      </c>
      <c r="H1734" s="48" t="n">
        <v>0</v>
      </c>
      <c r="I1734" s="48" t="n">
        <v>0</v>
      </c>
      <c r="J1734" s="48" t="n">
        <v>0</v>
      </c>
      <c r="K1734" s="49" t="n">
        <v>0</v>
      </c>
      <c r="L1734" s="49" t="n">
        <v>0</v>
      </c>
      <c r="M1734" s="49" t="n">
        <v>0</v>
      </c>
      <c r="N1734" s="49" t="n">
        <v>0</v>
      </c>
      <c r="O1734" s="49" t="n">
        <v>0</v>
      </c>
      <c r="P1734" s="49" t="n">
        <v>0</v>
      </c>
      <c r="Q1734" s="49" t="n">
        <v>0</v>
      </c>
      <c r="R1734" s="49" t="n">
        <v>0</v>
      </c>
      <c r="S1734" s="50" t="n">
        <v>0</v>
      </c>
      <c r="T1734" s="50" t="n">
        <v>0</v>
      </c>
      <c r="U1734" s="50" t="n">
        <v>0</v>
      </c>
      <c r="V1734" s="50" t="n">
        <v>0</v>
      </c>
      <c r="W1734" s="51" t="n">
        <v>0</v>
      </c>
      <c r="X1734" s="51" t="n">
        <v>0</v>
      </c>
      <c r="Y1734" s="51" t="n">
        <v>0</v>
      </c>
      <c r="Z1734" s="51" t="n">
        <v>0</v>
      </c>
      <c r="AA1734" s="52" t="n">
        <v>0</v>
      </c>
      <c r="AB1734" s="52" t="n">
        <v>0</v>
      </c>
      <c r="AC1734" s="52" t="n">
        <v>0</v>
      </c>
      <c r="AD1734" s="52" t="n">
        <v>0</v>
      </c>
      <c r="AE1734" s="52" t="n">
        <v>0</v>
      </c>
      <c r="AF1734" s="52" t="n">
        <v>0</v>
      </c>
      <c r="AG1734" s="52" t="n">
        <v>0</v>
      </c>
      <c r="AH1734" s="52" t="n">
        <v>0</v>
      </c>
      <c r="AI1734" s="52" t="n">
        <v>0</v>
      </c>
      <c r="AJ1734" s="52" t="n">
        <v>0</v>
      </c>
      <c r="AK1734" s="52" t="n">
        <v>0</v>
      </c>
      <c r="AL1734" s="52" t="n">
        <v>0</v>
      </c>
      <c r="AM1734" s="53" t="n">
        <v>0</v>
      </c>
      <c r="AN1734" s="53" t="n">
        <v>0</v>
      </c>
      <c r="AO1734" s="53" t="n">
        <v>0</v>
      </c>
      <c r="AP1734" s="53" t="n">
        <v>0</v>
      </c>
      <c r="AQ1734" s="52" t="n">
        <v>0</v>
      </c>
      <c r="AR1734" s="52" t="n">
        <v>0</v>
      </c>
      <c r="AS1734" s="52" t="n">
        <v>0</v>
      </c>
      <c r="AT1734" s="52" t="n">
        <v>0</v>
      </c>
      <c r="AU1734" s="53" t="n">
        <v>0</v>
      </c>
      <c r="AV1734" s="53" t="n">
        <v>0</v>
      </c>
      <c r="AW1734" s="53" t="n">
        <v>0</v>
      </c>
      <c r="AX1734" s="53" t="n">
        <v>0</v>
      </c>
      <c r="AY1734" s="52" t="n">
        <v>0</v>
      </c>
      <c r="AZ1734" s="52" t="n">
        <v>0</v>
      </c>
      <c r="BA1734" s="52" t="n">
        <v>0</v>
      </c>
      <c r="BB1734" s="52" t="n">
        <v>0</v>
      </c>
      <c r="BC1734" s="51" t="n">
        <v>0</v>
      </c>
      <c r="BD1734" s="51" t="n">
        <v>0</v>
      </c>
      <c r="BE1734" s="51" t="n">
        <v>0</v>
      </c>
      <c r="BF1734" s="51" t="n">
        <v>0</v>
      </c>
    </row>
    <row r="1735">
      <c r="A1735">
        <f>HYPERLINK("https://www.walmart.com/ip/107194664", "107194664")</f>
        <v/>
      </c>
      <c r="B1735" t="inlineStr">
        <is>
          <t>Jenniwears Sexy See Through Lace Lingerie Jacket Babydoll Camisole G String 3 Pieces Sleepwear Set</t>
        </is>
      </c>
      <c r="C1735" t="inlineStr">
        <is>
          <t>JWND05PP</t>
        </is>
      </c>
      <c r="D1735" t="inlineStr">
        <is>
          <t>Lingerie Sets</t>
        </is>
      </c>
      <c r="E1735" t="inlineStr">
        <is>
          <t>JenniWears</t>
        </is>
      </c>
      <c r="F1735" t="inlineStr">
        <is>
          <t>Optimized,Valentine</t>
        </is>
      </c>
      <c r="G1735" s="48" t="n">
        <v>0</v>
      </c>
      <c r="H1735" s="48" t="n">
        <v>0</v>
      </c>
      <c r="I1735" s="48" t="n">
        <v>0</v>
      </c>
      <c r="J1735" s="48" t="n">
        <v>0</v>
      </c>
      <c r="K1735" s="49" t="n">
        <v>0</v>
      </c>
      <c r="L1735" s="49" t="n">
        <v>0</v>
      </c>
      <c r="M1735" s="49" t="n">
        <v>0</v>
      </c>
      <c r="N1735" s="49" t="n">
        <v>0</v>
      </c>
      <c r="O1735" s="49" t="n">
        <v>0</v>
      </c>
      <c r="P1735" s="49" t="n">
        <v>0</v>
      </c>
      <c r="Q1735" s="49" t="n">
        <v>0</v>
      </c>
      <c r="R1735" s="49" t="n">
        <v>0</v>
      </c>
      <c r="S1735" s="50" t="n">
        <v>0</v>
      </c>
      <c r="T1735" s="50" t="n">
        <v>0</v>
      </c>
      <c r="U1735" s="50" t="n">
        <v>0</v>
      </c>
      <c r="V1735" s="50" t="n">
        <v>0</v>
      </c>
      <c r="W1735" s="51" t="n">
        <v>0</v>
      </c>
      <c r="X1735" s="51" t="n">
        <v>0</v>
      </c>
      <c r="Y1735" s="51" t="n">
        <v>0</v>
      </c>
      <c r="Z1735" s="51" t="n">
        <v>0</v>
      </c>
      <c r="AA1735" s="52" t="n">
        <v>0</v>
      </c>
      <c r="AB1735" s="52" t="n">
        <v>0</v>
      </c>
      <c r="AC1735" s="52" t="n">
        <v>0</v>
      </c>
      <c r="AD1735" s="52" t="n">
        <v>0</v>
      </c>
      <c r="AE1735" s="52" t="n">
        <v>0</v>
      </c>
      <c r="AF1735" s="52" t="n">
        <v>0</v>
      </c>
      <c r="AG1735" s="52" t="n">
        <v>0</v>
      </c>
      <c r="AH1735" s="52" t="n">
        <v>0</v>
      </c>
      <c r="AI1735" s="52" t="n">
        <v>0</v>
      </c>
      <c r="AJ1735" s="52" t="n">
        <v>0</v>
      </c>
      <c r="AK1735" s="52" t="n">
        <v>0</v>
      </c>
      <c r="AL1735" s="52" t="n">
        <v>0</v>
      </c>
      <c r="AM1735" s="53" t="n">
        <v>0</v>
      </c>
      <c r="AN1735" s="53" t="n">
        <v>0</v>
      </c>
      <c r="AO1735" s="53" t="n">
        <v>0</v>
      </c>
      <c r="AP1735" s="53" t="n">
        <v>0</v>
      </c>
      <c r="AQ1735" s="52" t="n">
        <v>0</v>
      </c>
      <c r="AR1735" s="52" t="n">
        <v>0</v>
      </c>
      <c r="AS1735" s="52" t="n">
        <v>0</v>
      </c>
      <c r="AT1735" s="52" t="n">
        <v>0</v>
      </c>
      <c r="AU1735" s="53" t="n">
        <v>0</v>
      </c>
      <c r="AV1735" s="53" t="n">
        <v>0</v>
      </c>
      <c r="AW1735" s="53" t="n">
        <v>0</v>
      </c>
      <c r="AX1735" s="53" t="n">
        <v>0</v>
      </c>
      <c r="AY1735" s="52" t="n">
        <v>0</v>
      </c>
      <c r="AZ1735" s="52" t="n">
        <v>0</v>
      </c>
      <c r="BA1735" s="52" t="n">
        <v>0</v>
      </c>
      <c r="BB1735" s="52" t="n">
        <v>0</v>
      </c>
      <c r="BC1735" s="51" t="n">
        <v>0</v>
      </c>
      <c r="BD1735" s="51" t="n">
        <v>0</v>
      </c>
      <c r="BE1735" s="51" t="n">
        <v>0</v>
      </c>
      <c r="BF1735" s="51" t="n">
        <v>0</v>
      </c>
    </row>
    <row r="1736">
      <c r="A1736">
        <f>HYPERLINK("https://www.walmart.com/ip/107283248", "107283248")</f>
        <v/>
      </c>
      <c r="B1736" t="inlineStr">
        <is>
          <t>JenniWears Beileise Women's Sheer Silicone Lace Jumbo Net Pantyhose Top Thigh High Black - 6 Packs</t>
        </is>
      </c>
      <c r="C1736" t="inlineStr">
        <is>
          <t>JWBLSPH2122-6pcs</t>
        </is>
      </c>
      <c r="D1736" t="inlineStr">
        <is>
          <t>Stockings</t>
        </is>
      </c>
      <c r="E1736" t="inlineStr">
        <is>
          <t>JenniWears</t>
        </is>
      </c>
      <c r="F1736" t="inlineStr">
        <is>
          <t>Optimized,Valentine</t>
        </is>
      </c>
      <c r="G1736" s="48" t="n">
        <v>0</v>
      </c>
      <c r="H1736" s="48" t="n">
        <v>0</v>
      </c>
      <c r="I1736" s="48" t="n">
        <v>0</v>
      </c>
      <c r="J1736" s="48" t="n">
        <v>0</v>
      </c>
      <c r="K1736" s="49" t="n">
        <v>0</v>
      </c>
      <c r="L1736" s="49" t="n">
        <v>0</v>
      </c>
      <c r="M1736" s="49" t="n">
        <v>0</v>
      </c>
      <c r="N1736" s="49" t="n">
        <v>0</v>
      </c>
      <c r="O1736" s="49" t="n">
        <v>0</v>
      </c>
      <c r="P1736" s="49" t="n">
        <v>0</v>
      </c>
      <c r="Q1736" s="49" t="n">
        <v>0</v>
      </c>
      <c r="R1736" s="49" t="n">
        <v>0</v>
      </c>
      <c r="S1736" s="50" t="n">
        <v>0</v>
      </c>
      <c r="T1736" s="50" t="n">
        <v>0</v>
      </c>
      <c r="U1736" s="50" t="n">
        <v>0</v>
      </c>
      <c r="V1736" s="50" t="n">
        <v>0</v>
      </c>
      <c r="W1736" s="51" t="n">
        <v>0</v>
      </c>
      <c r="X1736" s="51" t="n">
        <v>0</v>
      </c>
      <c r="Y1736" s="51" t="n">
        <v>0</v>
      </c>
      <c r="Z1736" s="51" t="n">
        <v>0</v>
      </c>
      <c r="AA1736" s="52" t="n">
        <v>0</v>
      </c>
      <c r="AB1736" s="52" t="n">
        <v>0</v>
      </c>
      <c r="AC1736" s="52" t="n">
        <v>0</v>
      </c>
      <c r="AD1736" s="52" t="n">
        <v>0</v>
      </c>
      <c r="AE1736" s="52" t="n">
        <v>0</v>
      </c>
      <c r="AF1736" s="52" t="n">
        <v>0</v>
      </c>
      <c r="AG1736" s="52" t="n">
        <v>0</v>
      </c>
      <c r="AH1736" s="52" t="n">
        <v>0</v>
      </c>
      <c r="AI1736" s="52" t="n">
        <v>0</v>
      </c>
      <c r="AJ1736" s="52" t="n">
        <v>0</v>
      </c>
      <c r="AK1736" s="52" t="n">
        <v>0</v>
      </c>
      <c r="AL1736" s="52" t="n">
        <v>0</v>
      </c>
      <c r="AM1736" s="53" t="n">
        <v>0</v>
      </c>
      <c r="AN1736" s="53" t="n">
        <v>0</v>
      </c>
      <c r="AO1736" s="53" t="n">
        <v>0</v>
      </c>
      <c r="AP1736" s="53" t="n">
        <v>0</v>
      </c>
      <c r="AQ1736" s="52" t="n">
        <v>0</v>
      </c>
      <c r="AR1736" s="52" t="n">
        <v>0</v>
      </c>
      <c r="AS1736" s="52" t="n">
        <v>0</v>
      </c>
      <c r="AT1736" s="52" t="n">
        <v>0</v>
      </c>
      <c r="AU1736" s="53" t="n">
        <v>0</v>
      </c>
      <c r="AV1736" s="53" t="n">
        <v>0</v>
      </c>
      <c r="AW1736" s="53" t="n">
        <v>0</v>
      </c>
      <c r="AX1736" s="53" t="n">
        <v>0</v>
      </c>
      <c r="AY1736" s="52" t="n">
        <v>0</v>
      </c>
      <c r="AZ1736" s="52" t="n">
        <v>0</v>
      </c>
      <c r="BA1736" s="52" t="n">
        <v>0</v>
      </c>
      <c r="BB1736" s="52" t="n">
        <v>0</v>
      </c>
      <c r="BC1736" s="51" t="n">
        <v>0</v>
      </c>
      <c r="BD1736" s="51" t="n">
        <v>0</v>
      </c>
      <c r="BE1736" s="51" t="n">
        <v>0</v>
      </c>
      <c r="BF1736" s="51" t="n">
        <v>0</v>
      </c>
    </row>
    <row r="1737">
      <c r="A1737">
        <f>HYPERLINK("https://www.walmart.com/ip/107291062", "107291062")</f>
        <v/>
      </c>
      <c r="B1737" t="inlineStr">
        <is>
          <t>KC Caps Unisex Adjustable Snap Closure USA Flag Embroidered Cap Hat</t>
        </is>
      </c>
      <c r="C1737" t="inlineStr">
        <is>
          <t>kc-ae-6100-wt</t>
        </is>
      </c>
      <c r="D1737" t="inlineStr">
        <is>
          <t>Hats</t>
        </is>
      </c>
      <c r="E1737" t="inlineStr">
        <is>
          <t>KC Caps</t>
        </is>
      </c>
      <c r="F1737" t="inlineStr">
        <is>
          <t>Optimized</t>
        </is>
      </c>
      <c r="G1737" s="48" t="n">
        <v>0</v>
      </c>
      <c r="H1737" s="48" t="n">
        <v>0</v>
      </c>
      <c r="I1737" s="48" t="n">
        <v>0</v>
      </c>
      <c r="J1737" s="48" t="n">
        <v>0</v>
      </c>
      <c r="K1737" s="49" t="n">
        <v>0</v>
      </c>
      <c r="L1737" s="49" t="n">
        <v>0</v>
      </c>
      <c r="M1737" s="49" t="n">
        <v>0</v>
      </c>
      <c r="N1737" s="49" t="n">
        <v>0</v>
      </c>
      <c r="O1737" s="49" t="n">
        <v>0</v>
      </c>
      <c r="P1737" s="49" t="n">
        <v>0</v>
      </c>
      <c r="Q1737" s="49" t="n">
        <v>0</v>
      </c>
      <c r="R1737" s="49" t="n">
        <v>0</v>
      </c>
      <c r="S1737" s="50" t="n">
        <v>0</v>
      </c>
      <c r="T1737" s="50" t="n">
        <v>0</v>
      </c>
      <c r="U1737" s="50" t="n">
        <v>0</v>
      </c>
      <c r="V1737" s="50" t="n">
        <v>0</v>
      </c>
      <c r="W1737" s="51" t="n">
        <v>0</v>
      </c>
      <c r="X1737" s="51" t="n">
        <v>0</v>
      </c>
      <c r="Y1737" s="51" t="n">
        <v>0</v>
      </c>
      <c r="Z1737" s="51" t="n">
        <v>0</v>
      </c>
      <c r="AA1737" s="52" t="n">
        <v>0</v>
      </c>
      <c r="AB1737" s="52" t="n">
        <v>0</v>
      </c>
      <c r="AC1737" s="52" t="n">
        <v>0</v>
      </c>
      <c r="AD1737" s="52" t="n">
        <v>0</v>
      </c>
      <c r="AE1737" s="52" t="n">
        <v>0</v>
      </c>
      <c r="AF1737" s="52" t="n">
        <v>0</v>
      </c>
      <c r="AG1737" s="52" t="n">
        <v>0</v>
      </c>
      <c r="AH1737" s="52" t="n">
        <v>0</v>
      </c>
      <c r="AI1737" s="52" t="n">
        <v>0</v>
      </c>
      <c r="AJ1737" s="52" t="n">
        <v>0</v>
      </c>
      <c r="AK1737" s="52" t="n">
        <v>0</v>
      </c>
      <c r="AL1737" s="52" t="n">
        <v>0</v>
      </c>
      <c r="AM1737" s="53" t="n">
        <v>0</v>
      </c>
      <c r="AN1737" s="53" t="n">
        <v>0</v>
      </c>
      <c r="AO1737" s="53" t="n">
        <v>0</v>
      </c>
      <c r="AP1737" s="53" t="n">
        <v>0</v>
      </c>
      <c r="AQ1737" s="52" t="n">
        <v>0</v>
      </c>
      <c r="AR1737" s="52" t="n">
        <v>0</v>
      </c>
      <c r="AS1737" s="52" t="n">
        <v>0</v>
      </c>
      <c r="AT1737" s="52" t="n">
        <v>0</v>
      </c>
      <c r="AU1737" s="53" t="n">
        <v>0</v>
      </c>
      <c r="AV1737" s="53" t="n">
        <v>0</v>
      </c>
      <c r="AW1737" s="53" t="n">
        <v>0</v>
      </c>
      <c r="AX1737" s="53" t="n">
        <v>0</v>
      </c>
      <c r="AY1737" s="52" t="n">
        <v>0</v>
      </c>
      <c r="AZ1737" s="52" t="n">
        <v>0</v>
      </c>
      <c r="BA1737" s="52" t="n">
        <v>0</v>
      </c>
      <c r="BB1737" s="52" t="n">
        <v>0</v>
      </c>
      <c r="BC1737" s="51" t="n">
        <v>0</v>
      </c>
      <c r="BD1737" s="51" t="n">
        <v>0</v>
      </c>
      <c r="BE1737" s="51" t="n">
        <v>0</v>
      </c>
      <c r="BF1737" s="51" t="n">
        <v>0</v>
      </c>
    </row>
    <row r="1738">
      <c r="A1738">
        <f>HYPERLINK("https://www.walmart.com/ip/1074384682", "1074384682")</f>
        <v/>
      </c>
      <c r="B1738" t="inlineStr">
        <is>
          <t>Catalonia Fleece Wearable Blanket with Sleeves and Pocket, Micro Plush Warm Sleeved TV Throw Blanket Robe for Women and Men, Blue Plaid, 72'' x 55''</t>
        </is>
      </c>
      <c r="C1738" t="inlineStr">
        <is>
          <t>1CTSN110PBL</t>
        </is>
      </c>
      <c r="D1738" t="inlineStr">
        <is>
          <t>Throws</t>
        </is>
      </c>
      <c r="E1738" t="inlineStr">
        <is>
          <t>Catalonia</t>
        </is>
      </c>
      <c r="F1738" t="inlineStr">
        <is>
          <t>Q2-Target,Coupon_Discount</t>
        </is>
      </c>
      <c r="G1738" s="48" t="n">
        <v>0</v>
      </c>
      <c r="H1738" s="48" t="n">
        <v>0</v>
      </c>
      <c r="I1738" s="48" t="n">
        <v>0</v>
      </c>
      <c r="J1738" s="48" t="n">
        <v>0</v>
      </c>
      <c r="K1738" s="49" t="n">
        <v>0</v>
      </c>
      <c r="L1738" s="49" t="n">
        <v>0</v>
      </c>
      <c r="M1738" s="49" t="n">
        <v>0</v>
      </c>
      <c r="N1738" s="49" t="n">
        <v>0</v>
      </c>
      <c r="O1738" s="49" t="n">
        <v>0</v>
      </c>
      <c r="P1738" s="49" t="n">
        <v>0</v>
      </c>
      <c r="Q1738" s="49" t="n">
        <v>0</v>
      </c>
      <c r="R1738" s="49" t="n">
        <v>0</v>
      </c>
      <c r="S1738" s="50" t="n">
        <v>0</v>
      </c>
      <c r="T1738" s="50" t="n">
        <v>0</v>
      </c>
      <c r="U1738" s="50" t="n">
        <v>0</v>
      </c>
      <c r="V1738" s="50" t="n">
        <v>0</v>
      </c>
      <c r="W1738" s="51" t="n">
        <v>0</v>
      </c>
      <c r="X1738" s="51" t="n">
        <v>0</v>
      </c>
      <c r="Y1738" s="51" t="n">
        <v>0</v>
      </c>
      <c r="Z1738" s="51" t="n">
        <v>0</v>
      </c>
      <c r="AA1738" s="52" t="n">
        <v>0</v>
      </c>
      <c r="AB1738" s="52" t="n">
        <v>0</v>
      </c>
      <c r="AC1738" s="52" t="n">
        <v>0</v>
      </c>
      <c r="AD1738" s="52" t="n">
        <v>0</v>
      </c>
      <c r="AE1738" s="52" t="n">
        <v>0</v>
      </c>
      <c r="AF1738" s="52" t="n">
        <v>0</v>
      </c>
      <c r="AG1738" s="52" t="n">
        <v>0</v>
      </c>
      <c r="AH1738" s="52" t="n">
        <v>0</v>
      </c>
      <c r="AI1738" s="52" t="n">
        <v>0</v>
      </c>
      <c r="AJ1738" s="52" t="n">
        <v>0</v>
      </c>
      <c r="AK1738" s="52" t="n">
        <v>0</v>
      </c>
      <c r="AL1738" s="52" t="n">
        <v>0</v>
      </c>
      <c r="AM1738" s="53" t="n">
        <v>0</v>
      </c>
      <c r="AN1738" s="53" t="n">
        <v>0</v>
      </c>
      <c r="AO1738" s="53" t="n">
        <v>0</v>
      </c>
      <c r="AP1738" s="53" t="n">
        <v>0</v>
      </c>
      <c r="AQ1738" s="52" t="n">
        <v>0</v>
      </c>
      <c r="AR1738" s="52" t="n">
        <v>0</v>
      </c>
      <c r="AS1738" s="52" t="n">
        <v>0</v>
      </c>
      <c r="AT1738" s="52" t="n">
        <v>0</v>
      </c>
      <c r="AU1738" s="53" t="n">
        <v>0</v>
      </c>
      <c r="AV1738" s="53" t="n">
        <v>0</v>
      </c>
      <c r="AW1738" s="53" t="n">
        <v>0</v>
      </c>
      <c r="AX1738" s="53" t="n">
        <v>0</v>
      </c>
      <c r="AY1738" s="52" t="n">
        <v>0</v>
      </c>
      <c r="AZ1738" s="52" t="n">
        <v>0</v>
      </c>
      <c r="BA1738" s="52" t="n">
        <v>0</v>
      </c>
      <c r="BB1738" s="52" t="n">
        <v>0</v>
      </c>
      <c r="BC1738" s="51" t="n">
        <v>0</v>
      </c>
      <c r="BD1738" s="51" t="n">
        <v>0</v>
      </c>
      <c r="BE1738" s="51" t="n">
        <v>0</v>
      </c>
      <c r="BF1738" s="51" t="n">
        <v>0</v>
      </c>
    </row>
    <row r="1739">
      <c r="A1739">
        <f>HYPERLINK("https://www.walmart.com/ip/107627638", "107627638")</f>
        <v/>
      </c>
      <c r="B1739" t="inlineStr">
        <is>
          <t>Sun Blocker Outdoor Sun Protection Fishing Cap with Neck Flap, Wide Brim Sun Hat for Travel Camping Hiking Hunting Boating Safari Cap with Adjustable Drawstring, Tan</t>
        </is>
      </c>
      <c r="C1739" t="inlineStr">
        <is>
          <t>KC-S9150-TAN</t>
        </is>
      </c>
      <c r="D1739" t="inlineStr">
        <is>
          <t>Hats</t>
        </is>
      </c>
      <c r="E1739" t="inlineStr">
        <is>
          <t>Sun Blocker</t>
        </is>
      </c>
      <c r="F1739" t="inlineStr">
        <is>
          <t>Batch 1 - TR</t>
        </is>
      </c>
      <c r="G1739" s="48" t="n">
        <v>0</v>
      </c>
      <c r="H1739" s="48" t="n">
        <v>0</v>
      </c>
      <c r="I1739" s="48" t="n">
        <v>0</v>
      </c>
      <c r="J1739" s="48" t="n">
        <v>0</v>
      </c>
      <c r="K1739" s="49" t="n">
        <v>0</v>
      </c>
      <c r="L1739" s="49" t="n">
        <v>0</v>
      </c>
      <c r="M1739" s="49" t="n">
        <v>0</v>
      </c>
      <c r="N1739" s="49" t="n">
        <v>0</v>
      </c>
      <c r="O1739" s="49" t="n">
        <v>0</v>
      </c>
      <c r="P1739" s="49" t="n">
        <v>0</v>
      </c>
      <c r="Q1739" s="49" t="n">
        <v>0</v>
      </c>
      <c r="R1739" s="49" t="n">
        <v>0</v>
      </c>
      <c r="S1739" s="50" t="n">
        <v>0</v>
      </c>
      <c r="T1739" s="50" t="n">
        <v>0</v>
      </c>
      <c r="U1739" s="50" t="n">
        <v>0</v>
      </c>
      <c r="V1739" s="50" t="n">
        <v>0</v>
      </c>
      <c r="W1739" s="51" t="n">
        <v>0</v>
      </c>
      <c r="X1739" s="51" t="n">
        <v>0</v>
      </c>
      <c r="Y1739" s="51" t="n">
        <v>0</v>
      </c>
      <c r="Z1739" s="51" t="n">
        <v>0</v>
      </c>
      <c r="AA1739" s="52" t="n">
        <v>0</v>
      </c>
      <c r="AB1739" s="52" t="n">
        <v>0</v>
      </c>
      <c r="AC1739" s="52" t="n">
        <v>0</v>
      </c>
      <c r="AD1739" s="52" t="n">
        <v>0</v>
      </c>
      <c r="AE1739" s="52" t="n">
        <v>0</v>
      </c>
      <c r="AF1739" s="52" t="n">
        <v>0</v>
      </c>
      <c r="AG1739" s="52" t="n">
        <v>0</v>
      </c>
      <c r="AH1739" s="52" t="n">
        <v>0</v>
      </c>
      <c r="AI1739" s="52" t="n">
        <v>0</v>
      </c>
      <c r="AJ1739" s="52" t="n">
        <v>0</v>
      </c>
      <c r="AK1739" s="52" t="n">
        <v>0</v>
      </c>
      <c r="AL1739" s="52" t="n">
        <v>0</v>
      </c>
      <c r="AM1739" s="53" t="n">
        <v>0</v>
      </c>
      <c r="AN1739" s="53" t="n">
        <v>0</v>
      </c>
      <c r="AO1739" s="53" t="n">
        <v>0</v>
      </c>
      <c r="AP1739" s="53" t="n">
        <v>0</v>
      </c>
      <c r="AQ1739" s="52" t="n">
        <v>0</v>
      </c>
      <c r="AR1739" s="52" t="n">
        <v>0</v>
      </c>
      <c r="AS1739" s="52" t="n">
        <v>0</v>
      </c>
      <c r="AT1739" s="52" t="n">
        <v>0</v>
      </c>
      <c r="AU1739" s="53" t="n">
        <v>0</v>
      </c>
      <c r="AV1739" s="53" t="n">
        <v>0</v>
      </c>
      <c r="AW1739" s="53" t="n">
        <v>0</v>
      </c>
      <c r="AX1739" s="53" t="n">
        <v>0</v>
      </c>
      <c r="AY1739" s="52" t="n">
        <v>0</v>
      </c>
      <c r="AZ1739" s="52" t="n">
        <v>0</v>
      </c>
      <c r="BA1739" s="52" t="n">
        <v>0</v>
      </c>
      <c r="BB1739" s="52" t="n">
        <v>0</v>
      </c>
      <c r="BC1739" s="51" t="n">
        <v>0</v>
      </c>
      <c r="BD1739" s="51" t="n">
        <v>0</v>
      </c>
      <c r="BE1739" s="51" t="n">
        <v>0</v>
      </c>
      <c r="BF1739" s="51" t="n">
        <v>0</v>
      </c>
    </row>
    <row r="1740">
      <c r="A1740">
        <f>HYPERLINK("https://www.walmart.com/ip/104159179", "104159179")</f>
        <v/>
      </c>
      <c r="B1740" t="inlineStr">
        <is>
          <t>Catalonia Waterproof Blanket Super Cozy Plush Fleece Warm Sherpa Lining, Camel/Taupe, 80" x 90"</t>
        </is>
      </c>
      <c r="C1740" t="inlineStr">
        <is>
          <t>1CTBW981TPTP</t>
        </is>
      </c>
      <c r="D1740" t="inlineStr">
        <is>
          <t>Mattress Toppers</t>
        </is>
      </c>
      <c r="E1740" t="inlineStr">
        <is>
          <t>Catalonia</t>
        </is>
      </c>
      <c r="F1740" t="inlineStr">
        <is>
          <t>Optimized,WFS,Wproof Blanket,WFS Item</t>
        </is>
      </c>
      <c r="G1740" s="48" t="n">
        <v>0</v>
      </c>
      <c r="H1740" s="48" t="n">
        <v>0</v>
      </c>
      <c r="I1740" s="48" t="n">
        <v>0</v>
      </c>
      <c r="J1740" s="48" t="n">
        <v>0</v>
      </c>
      <c r="K1740" s="49" t="n">
        <v>0</v>
      </c>
      <c r="L1740" s="49" t="n">
        <v>0</v>
      </c>
      <c r="M1740" s="49" t="n">
        <v>0</v>
      </c>
      <c r="N1740" s="49" t="n">
        <v>0</v>
      </c>
      <c r="O1740" s="49" t="n">
        <v>0</v>
      </c>
      <c r="P1740" s="49" t="n">
        <v>0</v>
      </c>
      <c r="Q1740" s="49" t="n">
        <v>0</v>
      </c>
      <c r="R1740" s="49" t="n">
        <v>0</v>
      </c>
      <c r="S1740" s="50" t="n">
        <v>0</v>
      </c>
      <c r="T1740" s="50" t="n">
        <v>0</v>
      </c>
      <c r="U1740" s="50" t="n">
        <v>0</v>
      </c>
      <c r="V1740" s="50" t="n">
        <v>0</v>
      </c>
      <c r="W1740" s="51" t="n">
        <v>0</v>
      </c>
      <c r="X1740" s="51" t="n">
        <v>0</v>
      </c>
      <c r="Y1740" s="51" t="n">
        <v>0</v>
      </c>
      <c r="Z1740" s="51" t="n">
        <v>0</v>
      </c>
      <c r="AA1740" s="52" t="n">
        <v>0</v>
      </c>
      <c r="AB1740" s="52" t="n">
        <v>0</v>
      </c>
      <c r="AC1740" s="52" t="n">
        <v>0</v>
      </c>
      <c r="AD1740" s="52" t="n">
        <v>0</v>
      </c>
      <c r="AE1740" s="52" t="n">
        <v>0</v>
      </c>
      <c r="AF1740" s="52" t="n">
        <v>0</v>
      </c>
      <c r="AG1740" s="52" t="n">
        <v>0</v>
      </c>
      <c r="AH1740" s="52" t="n">
        <v>0</v>
      </c>
      <c r="AI1740" s="52" t="n">
        <v>0</v>
      </c>
      <c r="AJ1740" s="52" t="n">
        <v>0</v>
      </c>
      <c r="AK1740" s="52" t="n">
        <v>0</v>
      </c>
      <c r="AL1740" s="52" t="n">
        <v>0</v>
      </c>
      <c r="AM1740" s="53" t="n">
        <v>0</v>
      </c>
      <c r="AN1740" s="53" t="n">
        <v>0</v>
      </c>
      <c r="AO1740" s="53" t="n">
        <v>0</v>
      </c>
      <c r="AP1740" s="53" t="n">
        <v>0</v>
      </c>
      <c r="AQ1740" s="52" t="n">
        <v>0</v>
      </c>
      <c r="AR1740" s="52" t="n">
        <v>0</v>
      </c>
      <c r="AS1740" s="52" t="n">
        <v>0</v>
      </c>
      <c r="AT1740" s="52" t="n">
        <v>0</v>
      </c>
      <c r="AU1740" s="53" t="n">
        <v>0</v>
      </c>
      <c r="AV1740" s="53" t="n">
        <v>0</v>
      </c>
      <c r="AW1740" s="53" t="n">
        <v>0</v>
      </c>
      <c r="AX1740" s="53" t="n">
        <v>0</v>
      </c>
      <c r="AY1740" s="52" t="n">
        <v>0</v>
      </c>
      <c r="AZ1740" s="52" t="n">
        <v>0</v>
      </c>
      <c r="BA1740" s="52" t="n">
        <v>0</v>
      </c>
      <c r="BB1740" s="52" t="n">
        <v>0</v>
      </c>
      <c r="BC1740" s="51" t="n">
        <v>0</v>
      </c>
      <c r="BD1740" s="51" t="n">
        <v>0</v>
      </c>
      <c r="BE1740" s="51" t="n">
        <v>0</v>
      </c>
      <c r="BF1740" s="51" t="n">
        <v>0</v>
      </c>
    </row>
    <row r="1741">
      <c r="A1741">
        <f>HYPERLINK("https://www.walmart.com/ip/104033046", "104033046")</f>
        <v/>
      </c>
      <c r="B1741" t="inlineStr">
        <is>
          <t>Tirrinia Super Soft Comfy Plush Wearable Fleece Blanket with Sleeves for Adult, Purple, 73" x 51"</t>
        </is>
      </c>
      <c r="C1741" t="inlineStr">
        <is>
          <t>1TRSN100PP-TBCB</t>
        </is>
      </c>
      <c r="D1741" t="inlineStr">
        <is>
          <t>Throws</t>
        </is>
      </c>
      <c r="E1741" t="inlineStr">
        <is>
          <t>Tirrinia</t>
        </is>
      </c>
      <c r="F1741" t="inlineStr">
        <is>
          <t>Optimized,Fleece Blankets</t>
        </is>
      </c>
      <c r="G1741" s="48" t="n">
        <v>0</v>
      </c>
      <c r="H1741" s="48" t="n">
        <v>0</v>
      </c>
      <c r="I1741" s="48" t="n">
        <v>0</v>
      </c>
      <c r="J1741" s="48" t="n">
        <v>0</v>
      </c>
      <c r="K1741" s="49" t="n">
        <v>0</v>
      </c>
      <c r="L1741" s="49" t="n">
        <v>0</v>
      </c>
      <c r="M1741" s="49" t="n">
        <v>0</v>
      </c>
      <c r="N1741" s="49" t="n">
        <v>0</v>
      </c>
      <c r="O1741" s="49" t="n">
        <v>0</v>
      </c>
      <c r="P1741" s="49" t="n">
        <v>0</v>
      </c>
      <c r="Q1741" s="49" t="n">
        <v>0</v>
      </c>
      <c r="R1741" s="49" t="n">
        <v>0</v>
      </c>
      <c r="S1741" s="50" t="n">
        <v>0</v>
      </c>
      <c r="T1741" s="50" t="n">
        <v>0</v>
      </c>
      <c r="U1741" s="50" t="n">
        <v>0</v>
      </c>
      <c r="V1741" s="50" t="n">
        <v>0</v>
      </c>
      <c r="W1741" s="51" t="n">
        <v>0</v>
      </c>
      <c r="X1741" s="51" t="n">
        <v>0</v>
      </c>
      <c r="Y1741" s="51" t="n">
        <v>0</v>
      </c>
      <c r="Z1741" s="51" t="n">
        <v>0</v>
      </c>
      <c r="AA1741" s="52" t="n">
        <v>0</v>
      </c>
      <c r="AB1741" s="52" t="n">
        <v>0</v>
      </c>
      <c r="AC1741" s="52" t="n">
        <v>0</v>
      </c>
      <c r="AD1741" s="52" t="n">
        <v>0</v>
      </c>
      <c r="AE1741" s="52" t="n">
        <v>0</v>
      </c>
      <c r="AF1741" s="52" t="n">
        <v>0</v>
      </c>
      <c r="AG1741" s="52" t="n">
        <v>0</v>
      </c>
      <c r="AH1741" s="52" t="n">
        <v>0</v>
      </c>
      <c r="AI1741" s="52" t="n">
        <v>0</v>
      </c>
      <c r="AJ1741" s="52" t="n">
        <v>0</v>
      </c>
      <c r="AK1741" s="52" t="n">
        <v>0</v>
      </c>
      <c r="AL1741" s="52" t="n">
        <v>0</v>
      </c>
      <c r="AM1741" s="53" t="n">
        <v>0</v>
      </c>
      <c r="AN1741" s="53" t="n">
        <v>0</v>
      </c>
      <c r="AO1741" s="53" t="n">
        <v>0</v>
      </c>
      <c r="AP1741" s="53" t="n">
        <v>0</v>
      </c>
      <c r="AQ1741" s="52" t="n">
        <v>0</v>
      </c>
      <c r="AR1741" s="52" t="n">
        <v>0</v>
      </c>
      <c r="AS1741" s="52" t="n">
        <v>0</v>
      </c>
      <c r="AT1741" s="52" t="n">
        <v>0</v>
      </c>
      <c r="AU1741" s="53" t="n">
        <v>0</v>
      </c>
      <c r="AV1741" s="53" t="n">
        <v>0</v>
      </c>
      <c r="AW1741" s="53" t="n">
        <v>0</v>
      </c>
      <c r="AX1741" s="53" t="n">
        <v>0</v>
      </c>
      <c r="AY1741" s="52" t="n">
        <v>0</v>
      </c>
      <c r="AZ1741" s="52" t="n">
        <v>0</v>
      </c>
      <c r="BA1741" s="52" t="n">
        <v>0</v>
      </c>
      <c r="BB1741" s="52" t="n">
        <v>0</v>
      </c>
      <c r="BC1741" s="51" t="n">
        <v>0</v>
      </c>
      <c r="BD1741" s="51" t="n">
        <v>0</v>
      </c>
      <c r="BE1741" s="51" t="n">
        <v>0</v>
      </c>
      <c r="BF1741" s="51" t="n">
        <v>0</v>
      </c>
    </row>
    <row r="1742">
      <c r="A1742">
        <f>HYPERLINK("https://www.walmart.com/ip/10302868286", "10302868286")</f>
        <v/>
      </c>
      <c r="B1742" t="inlineStr">
        <is>
          <t>Every Day is Christmas Glass Blown Ornaments Cute Hand Made Figurines Tree Decoration, Love Sign Set of 2</t>
        </is>
      </c>
      <c r="C1742" t="inlineStr">
        <is>
          <t>EDC-FIGURINE-WP280</t>
        </is>
      </c>
      <c r="D1742" t="inlineStr">
        <is>
          <t>Ornaments</t>
        </is>
      </c>
      <c r="E1742" t="inlineStr">
        <is>
          <t>Every Day is Christmas</t>
        </is>
      </c>
      <c r="G1742" s="48" t="n">
        <v>0</v>
      </c>
      <c r="H1742" s="48" t="n">
        <v>0</v>
      </c>
      <c r="I1742" s="48" t="n">
        <v>0</v>
      </c>
      <c r="J1742" s="48" t="n">
        <v>0</v>
      </c>
      <c r="K1742" s="49" t="n">
        <v>0</v>
      </c>
      <c r="L1742" s="49" t="n">
        <v>0</v>
      </c>
      <c r="M1742" s="49" t="n">
        <v>0</v>
      </c>
      <c r="N1742" s="49" t="n">
        <v>0</v>
      </c>
      <c r="O1742" s="49" t="n">
        <v>0</v>
      </c>
      <c r="P1742" s="49" t="n">
        <v>0</v>
      </c>
      <c r="Q1742" s="49" t="n">
        <v>0</v>
      </c>
      <c r="R1742" s="49" t="n">
        <v>0</v>
      </c>
      <c r="S1742" s="50" t="n">
        <v>0</v>
      </c>
      <c r="T1742" s="50" t="n">
        <v>0</v>
      </c>
      <c r="U1742" s="50" t="n">
        <v>0</v>
      </c>
      <c r="V1742" s="50" t="n">
        <v>0</v>
      </c>
      <c r="W1742" s="51" t="n">
        <v>0</v>
      </c>
      <c r="X1742" s="51" t="n">
        <v>0</v>
      </c>
      <c r="Y1742" s="51" t="n">
        <v>0</v>
      </c>
      <c r="Z1742" s="51" t="n">
        <v>0</v>
      </c>
      <c r="AA1742" s="52" t="n">
        <v>0</v>
      </c>
      <c r="AB1742" s="52" t="n">
        <v>0</v>
      </c>
      <c r="AC1742" s="52" t="n">
        <v>0</v>
      </c>
      <c r="AD1742" s="52" t="n">
        <v>0</v>
      </c>
      <c r="AE1742" s="52" t="n">
        <v>0</v>
      </c>
      <c r="AF1742" s="52" t="n">
        <v>0</v>
      </c>
      <c r="AG1742" s="52" t="n">
        <v>0</v>
      </c>
      <c r="AH1742" s="52" t="n">
        <v>0</v>
      </c>
      <c r="AI1742" s="52" t="n">
        <v>0</v>
      </c>
      <c r="AJ1742" s="52" t="n">
        <v>0</v>
      </c>
      <c r="AK1742" s="52" t="n">
        <v>0</v>
      </c>
      <c r="AL1742" s="52" t="n">
        <v>0</v>
      </c>
      <c r="AM1742" s="53" t="n">
        <v>0</v>
      </c>
      <c r="AN1742" s="53" t="n">
        <v>0</v>
      </c>
      <c r="AO1742" s="53" t="n">
        <v>0</v>
      </c>
      <c r="AP1742" s="53" t="n">
        <v>0</v>
      </c>
      <c r="AQ1742" s="52" t="n">
        <v>0</v>
      </c>
      <c r="AR1742" s="52" t="n">
        <v>0</v>
      </c>
      <c r="AS1742" s="52" t="n">
        <v>0</v>
      </c>
      <c r="AT1742" s="52" t="n">
        <v>0</v>
      </c>
      <c r="AU1742" s="53" t="n">
        <v>0</v>
      </c>
      <c r="AV1742" s="53" t="n">
        <v>0</v>
      </c>
      <c r="AW1742" s="53" t="n">
        <v>0</v>
      </c>
      <c r="AX1742" s="53" t="n">
        <v>0</v>
      </c>
      <c r="AY1742" s="52" t="n">
        <v>0</v>
      </c>
      <c r="AZ1742" s="52" t="n">
        <v>0</v>
      </c>
      <c r="BA1742" s="52" t="n">
        <v>0</v>
      </c>
      <c r="BB1742" s="52" t="n">
        <v>0</v>
      </c>
      <c r="BC1742" s="51" t="n">
        <v>0</v>
      </c>
      <c r="BD1742" s="51" t="n">
        <v>0</v>
      </c>
      <c r="BE1742" s="51" t="n">
        <v>0</v>
      </c>
      <c r="BF1742" s="51" t="n">
        <v>0</v>
      </c>
    </row>
    <row r="1743">
      <c r="A1743">
        <f>HYPERLINK("https://www.walmart.com/ip/103912264", "103912264")</f>
        <v/>
      </c>
      <c r="B1743" t="inlineStr">
        <is>
          <t>Sherpa Slipper Socks for Women,Winter Indoor Home Non Skid Booties</t>
        </is>
      </c>
      <c r="C1743" t="inlineStr">
        <is>
          <t>1CTST200LT-1</t>
        </is>
      </c>
      <c r="D1743" t="inlineStr">
        <is>
          <t>Socks</t>
        </is>
      </c>
      <c r="E1743" t="inlineStr">
        <is>
          <t>Catalonia</t>
        </is>
      </c>
      <c r="F1743" t="inlineStr">
        <is>
          <t>WFS,WFS Item</t>
        </is>
      </c>
      <c r="G1743" s="48" t="n">
        <v>0</v>
      </c>
      <c r="H1743" s="48" t="n">
        <v>0</v>
      </c>
      <c r="I1743" s="48" t="n">
        <v>0</v>
      </c>
      <c r="J1743" s="48" t="n">
        <v>0</v>
      </c>
      <c r="K1743" s="49" t="n">
        <v>0</v>
      </c>
      <c r="L1743" s="49" t="n">
        <v>0</v>
      </c>
      <c r="M1743" s="49" t="n">
        <v>0</v>
      </c>
      <c r="N1743" s="49" t="n">
        <v>0</v>
      </c>
      <c r="O1743" s="49" t="n">
        <v>0</v>
      </c>
      <c r="P1743" s="49" t="n">
        <v>0</v>
      </c>
      <c r="Q1743" s="49" t="n">
        <v>0</v>
      </c>
      <c r="R1743" s="49" t="n">
        <v>0</v>
      </c>
      <c r="S1743" s="50" t="n">
        <v>0</v>
      </c>
      <c r="T1743" s="50" t="n">
        <v>0</v>
      </c>
      <c r="U1743" s="50" t="n">
        <v>0</v>
      </c>
      <c r="V1743" s="50" t="n">
        <v>0</v>
      </c>
      <c r="W1743" s="51" t="n">
        <v>0</v>
      </c>
      <c r="X1743" s="51" t="n">
        <v>0</v>
      </c>
      <c r="Y1743" s="51" t="n">
        <v>0</v>
      </c>
      <c r="Z1743" s="51" t="n">
        <v>0</v>
      </c>
      <c r="AA1743" s="52" t="n">
        <v>0</v>
      </c>
      <c r="AB1743" s="52" t="n">
        <v>0</v>
      </c>
      <c r="AC1743" s="52" t="n">
        <v>0</v>
      </c>
      <c r="AD1743" s="52" t="n">
        <v>0</v>
      </c>
      <c r="AE1743" s="52" t="n">
        <v>0</v>
      </c>
      <c r="AF1743" s="52" t="n">
        <v>0</v>
      </c>
      <c r="AG1743" s="52" t="n">
        <v>0</v>
      </c>
      <c r="AH1743" s="52" t="n">
        <v>0</v>
      </c>
      <c r="AI1743" s="52" t="n">
        <v>0</v>
      </c>
      <c r="AJ1743" s="52" t="n">
        <v>0</v>
      </c>
      <c r="AK1743" s="52" t="n">
        <v>0</v>
      </c>
      <c r="AL1743" s="52" t="n">
        <v>0</v>
      </c>
      <c r="AM1743" s="53" t="n">
        <v>0</v>
      </c>
      <c r="AN1743" s="53" t="n">
        <v>0</v>
      </c>
      <c r="AO1743" s="53" t="n">
        <v>0</v>
      </c>
      <c r="AP1743" s="53" t="n">
        <v>0</v>
      </c>
      <c r="AQ1743" s="52" t="n">
        <v>0</v>
      </c>
      <c r="AR1743" s="52" t="n">
        <v>0</v>
      </c>
      <c r="AS1743" s="52" t="n">
        <v>0</v>
      </c>
      <c r="AT1743" s="52" t="n">
        <v>0</v>
      </c>
      <c r="AU1743" s="53" t="n">
        <v>0</v>
      </c>
      <c r="AV1743" s="53" t="n">
        <v>0</v>
      </c>
      <c r="AW1743" s="53" t="n">
        <v>0</v>
      </c>
      <c r="AX1743" s="53" t="n">
        <v>0</v>
      </c>
      <c r="AY1743" s="52" t="n">
        <v>0</v>
      </c>
      <c r="AZ1743" s="52" t="n">
        <v>0</v>
      </c>
      <c r="BA1743" s="52" t="n">
        <v>0</v>
      </c>
      <c r="BB1743" s="52" t="n">
        <v>0</v>
      </c>
      <c r="BC1743" s="51" t="n">
        <v>0</v>
      </c>
      <c r="BD1743" s="51" t="n">
        <v>0</v>
      </c>
      <c r="BE1743" s="51" t="n">
        <v>0</v>
      </c>
      <c r="BF1743" s="51" t="n">
        <v>0</v>
      </c>
    </row>
    <row r="1744">
      <c r="A1744">
        <f>HYPERLINK("https://www.walmart.com/ip/10303765088", "10303765088")</f>
        <v/>
      </c>
      <c r="B1744" t="inlineStr">
        <is>
          <t>Wrangler Men’s Full Grain Genuine Leather 35mm Thick Casual Belt for Jeans, Pants - Light Brown, 40</t>
        </is>
      </c>
      <c r="C1744" t="inlineStr">
        <is>
          <t>WR-BELT-MENS-35MM-LTBROWN-40</t>
        </is>
      </c>
      <c r="D1744" t="inlineStr">
        <is>
          <t>Belts</t>
        </is>
      </c>
      <c r="E1744" t="inlineStr">
        <is>
          <t>Wrangler</t>
        </is>
      </c>
      <c r="F1744" t="inlineStr">
        <is>
          <t>Belts</t>
        </is>
      </c>
      <c r="G1744" s="48" t="n">
        <v>0</v>
      </c>
      <c r="H1744" s="48" t="n">
        <v>0</v>
      </c>
      <c r="I1744" s="48" t="n">
        <v>0</v>
      </c>
      <c r="J1744" s="48" t="n">
        <v>0</v>
      </c>
      <c r="K1744" s="49" t="n">
        <v>0</v>
      </c>
      <c r="L1744" s="49" t="n">
        <v>0</v>
      </c>
      <c r="M1744" s="49" t="n">
        <v>0</v>
      </c>
      <c r="N1744" s="49" t="n">
        <v>0</v>
      </c>
      <c r="O1744" s="49" t="n">
        <v>0</v>
      </c>
      <c r="P1744" s="49" t="n">
        <v>0</v>
      </c>
      <c r="Q1744" s="49" t="n">
        <v>0</v>
      </c>
      <c r="R1744" s="49" t="n">
        <v>0</v>
      </c>
      <c r="S1744" s="50" t="n">
        <v>0</v>
      </c>
      <c r="T1744" s="50" t="n">
        <v>0</v>
      </c>
      <c r="U1744" s="50" t="n">
        <v>0</v>
      </c>
      <c r="V1744" s="50" t="n">
        <v>0</v>
      </c>
      <c r="W1744" s="51" t="n">
        <v>0</v>
      </c>
      <c r="X1744" s="51" t="n">
        <v>0</v>
      </c>
      <c r="Y1744" s="51" t="n">
        <v>0</v>
      </c>
      <c r="Z1744" s="51" t="n">
        <v>0</v>
      </c>
      <c r="AA1744" s="52" t="n">
        <v>0</v>
      </c>
      <c r="AB1744" s="52" t="n">
        <v>0</v>
      </c>
      <c r="AC1744" s="52" t="n">
        <v>0</v>
      </c>
      <c r="AD1744" s="52" t="n">
        <v>0</v>
      </c>
      <c r="AE1744" s="52" t="n">
        <v>0</v>
      </c>
      <c r="AF1744" s="52" t="n">
        <v>0</v>
      </c>
      <c r="AG1744" s="52" t="n">
        <v>0</v>
      </c>
      <c r="AH1744" s="52" t="n">
        <v>0</v>
      </c>
      <c r="AI1744" s="52" t="n">
        <v>0</v>
      </c>
      <c r="AJ1744" s="52" t="n">
        <v>0</v>
      </c>
      <c r="AK1744" s="52" t="n">
        <v>0</v>
      </c>
      <c r="AL1744" s="52" t="n">
        <v>0</v>
      </c>
      <c r="AM1744" s="53" t="n">
        <v>0</v>
      </c>
      <c r="AN1744" s="53" t="n">
        <v>0</v>
      </c>
      <c r="AO1744" s="53" t="n">
        <v>0</v>
      </c>
      <c r="AP1744" s="53" t="n">
        <v>0</v>
      </c>
      <c r="AQ1744" s="52" t="n">
        <v>0</v>
      </c>
      <c r="AR1744" s="52" t="n">
        <v>0</v>
      </c>
      <c r="AS1744" s="52" t="n">
        <v>0</v>
      </c>
      <c r="AT1744" s="52" t="n">
        <v>0</v>
      </c>
      <c r="AU1744" s="53" t="n">
        <v>0</v>
      </c>
      <c r="AV1744" s="53" t="n">
        <v>0</v>
      </c>
      <c r="AW1744" s="53" t="n">
        <v>0</v>
      </c>
      <c r="AX1744" s="53" t="n">
        <v>0</v>
      </c>
      <c r="AY1744" s="52" t="n">
        <v>0</v>
      </c>
      <c r="AZ1744" s="52" t="n">
        <v>0</v>
      </c>
      <c r="BA1744" s="52" t="n">
        <v>0</v>
      </c>
      <c r="BB1744" s="52" t="n">
        <v>0</v>
      </c>
      <c r="BC1744" s="51" t="n">
        <v>0</v>
      </c>
      <c r="BD1744" s="51" t="n">
        <v>0</v>
      </c>
      <c r="BE1744" s="51" t="n">
        <v>0</v>
      </c>
      <c r="BF1744" s="51" t="n">
        <v>0</v>
      </c>
    </row>
    <row r="1745">
      <c r="A1745">
        <f>HYPERLINK("https://www.walmart.com/ip/10306055739", "10306055739")</f>
        <v/>
      </c>
      <c r="B1745" t="inlineStr">
        <is>
          <t>PEANUTS Toddler Boys Girls Snoopy Family Matching Pajamas 2-Piece Sets for Christmas with Woodstock Charlie Brown Linus (Green Polka Dot, 4T)</t>
        </is>
      </c>
      <c r="C1745" t="inlineStr">
        <is>
          <t>PEA-PJS-FAMILY-TODDLER-GREEN-4T</t>
        </is>
      </c>
      <c r="D1745" t="inlineStr">
        <is>
          <t>Pajamas</t>
        </is>
      </c>
      <c r="E1745" t="inlineStr">
        <is>
          <t>Peanuts</t>
        </is>
      </c>
      <c r="G1745" s="48" t="n">
        <v>0</v>
      </c>
      <c r="H1745" s="48" t="n">
        <v>0</v>
      </c>
      <c r="I1745" s="48" t="n">
        <v>0</v>
      </c>
      <c r="J1745" s="48" t="n">
        <v>0</v>
      </c>
      <c r="K1745" s="49" t="n">
        <v>0</v>
      </c>
      <c r="L1745" s="49" t="n">
        <v>0</v>
      </c>
      <c r="M1745" s="49" t="n">
        <v>0</v>
      </c>
      <c r="N1745" s="49" t="n">
        <v>0</v>
      </c>
      <c r="O1745" s="49" t="n">
        <v>0</v>
      </c>
      <c r="P1745" s="49" t="n">
        <v>0</v>
      </c>
      <c r="Q1745" s="49" t="n">
        <v>0</v>
      </c>
      <c r="R1745" s="49" t="n">
        <v>0</v>
      </c>
      <c r="S1745" s="50" t="n">
        <v>0</v>
      </c>
      <c r="T1745" s="50" t="n">
        <v>0</v>
      </c>
      <c r="U1745" s="50" t="n">
        <v>0</v>
      </c>
      <c r="V1745" s="50" t="n">
        <v>0</v>
      </c>
      <c r="W1745" s="51" t="n">
        <v>0</v>
      </c>
      <c r="X1745" s="51" t="n">
        <v>0</v>
      </c>
      <c r="Y1745" s="51" t="n">
        <v>0</v>
      </c>
      <c r="Z1745" s="51" t="n">
        <v>0</v>
      </c>
      <c r="AA1745" s="52" t="n">
        <v>0</v>
      </c>
      <c r="AB1745" s="52" t="n">
        <v>0</v>
      </c>
      <c r="AC1745" s="52" t="n">
        <v>0</v>
      </c>
      <c r="AD1745" s="52" t="n">
        <v>0</v>
      </c>
      <c r="AE1745" s="52" t="n">
        <v>0</v>
      </c>
      <c r="AF1745" s="52" t="n">
        <v>0</v>
      </c>
      <c r="AG1745" s="52" t="n">
        <v>0</v>
      </c>
      <c r="AH1745" s="52" t="n">
        <v>0</v>
      </c>
      <c r="AI1745" s="52" t="n">
        <v>0</v>
      </c>
      <c r="AJ1745" s="52" t="n">
        <v>0</v>
      </c>
      <c r="AK1745" s="52" t="n">
        <v>0</v>
      </c>
      <c r="AL1745" s="52" t="n">
        <v>0</v>
      </c>
      <c r="AM1745" s="53" t="n">
        <v>0</v>
      </c>
      <c r="AN1745" s="53" t="n">
        <v>0</v>
      </c>
      <c r="AO1745" s="53" t="n">
        <v>0</v>
      </c>
      <c r="AP1745" s="53" t="n">
        <v>0</v>
      </c>
      <c r="AQ1745" s="52" t="n">
        <v>0</v>
      </c>
      <c r="AR1745" s="52" t="n">
        <v>0</v>
      </c>
      <c r="AS1745" s="52" t="n">
        <v>0</v>
      </c>
      <c r="AT1745" s="52" t="n">
        <v>0</v>
      </c>
      <c r="AU1745" s="53" t="n">
        <v>0</v>
      </c>
      <c r="AV1745" s="53" t="n">
        <v>0</v>
      </c>
      <c r="AW1745" s="53" t="n">
        <v>0</v>
      </c>
      <c r="AX1745" s="53" t="n">
        <v>0</v>
      </c>
      <c r="AY1745" s="52" t="n">
        <v>0</v>
      </c>
      <c r="AZ1745" s="52" t="n">
        <v>0</v>
      </c>
      <c r="BA1745" s="52" t="n">
        <v>0</v>
      </c>
      <c r="BB1745" s="52" t="n">
        <v>0</v>
      </c>
      <c r="BC1745" s="51" t="n">
        <v>0</v>
      </c>
      <c r="BD1745" s="51" t="n">
        <v>0</v>
      </c>
      <c r="BE1745" s="51" t="n">
        <v>0</v>
      </c>
      <c r="BF1745" s="51" t="n">
        <v>0</v>
      </c>
    </row>
    <row r="1746">
      <c r="A1746">
        <f>HYPERLINK("https://www.walmart.com/ip/10306805832", "10306805832")</f>
        <v/>
      </c>
      <c r="B1746" t="inlineStr">
        <is>
          <t>Every Day is Christmas Glass Blown Ornaments Cute Hand Made Figurines Tree Decoration, Tacos Set of 2</t>
        </is>
      </c>
      <c r="C1746" t="inlineStr">
        <is>
          <t>EDC-FIGURINE-WP292</t>
        </is>
      </c>
      <c r="D1746" t="inlineStr">
        <is>
          <t>Ornaments</t>
        </is>
      </c>
      <c r="E1746" t="inlineStr">
        <is>
          <t>Every Day is Christmas</t>
        </is>
      </c>
      <c r="G1746" s="48" t="n">
        <v>0</v>
      </c>
      <c r="H1746" s="48" t="n">
        <v>0</v>
      </c>
      <c r="I1746" s="48" t="n">
        <v>0</v>
      </c>
      <c r="J1746" s="48" t="n">
        <v>0</v>
      </c>
      <c r="K1746" s="49" t="n">
        <v>0</v>
      </c>
      <c r="L1746" s="49" t="n">
        <v>0</v>
      </c>
      <c r="M1746" s="49" t="n">
        <v>0</v>
      </c>
      <c r="N1746" s="49" t="n">
        <v>0</v>
      </c>
      <c r="O1746" s="49" t="n">
        <v>0</v>
      </c>
      <c r="P1746" s="49" t="n">
        <v>0</v>
      </c>
      <c r="Q1746" s="49" t="n">
        <v>0</v>
      </c>
      <c r="R1746" s="49" t="n">
        <v>0</v>
      </c>
      <c r="S1746" s="50" t="n">
        <v>0</v>
      </c>
      <c r="T1746" s="50" t="n">
        <v>0</v>
      </c>
      <c r="U1746" s="50" t="n">
        <v>0</v>
      </c>
      <c r="V1746" s="50" t="n">
        <v>0</v>
      </c>
      <c r="W1746" s="51" t="n">
        <v>0</v>
      </c>
      <c r="X1746" s="51" t="n">
        <v>0</v>
      </c>
      <c r="Y1746" s="51" t="n">
        <v>0</v>
      </c>
      <c r="Z1746" s="51" t="n">
        <v>0</v>
      </c>
      <c r="AA1746" s="52" t="n">
        <v>0</v>
      </c>
      <c r="AB1746" s="52" t="n">
        <v>0</v>
      </c>
      <c r="AC1746" s="52" t="n">
        <v>0</v>
      </c>
      <c r="AD1746" s="52" t="n">
        <v>0</v>
      </c>
      <c r="AE1746" s="52" t="n">
        <v>0</v>
      </c>
      <c r="AF1746" s="52" t="n">
        <v>0</v>
      </c>
      <c r="AG1746" s="52" t="n">
        <v>0</v>
      </c>
      <c r="AH1746" s="52" t="n">
        <v>0</v>
      </c>
      <c r="AI1746" s="52" t="n">
        <v>0</v>
      </c>
      <c r="AJ1746" s="52" t="n">
        <v>0</v>
      </c>
      <c r="AK1746" s="52" t="n">
        <v>0</v>
      </c>
      <c r="AL1746" s="52" t="n">
        <v>0</v>
      </c>
      <c r="AM1746" s="53" t="n">
        <v>0</v>
      </c>
      <c r="AN1746" s="53" t="n">
        <v>0</v>
      </c>
      <c r="AO1746" s="53" t="n">
        <v>0</v>
      </c>
      <c r="AP1746" s="53" t="n">
        <v>0</v>
      </c>
      <c r="AQ1746" s="52" t="n">
        <v>0</v>
      </c>
      <c r="AR1746" s="52" t="n">
        <v>0</v>
      </c>
      <c r="AS1746" s="52" t="n">
        <v>0</v>
      </c>
      <c r="AT1746" s="52" t="n">
        <v>0</v>
      </c>
      <c r="AU1746" s="53" t="n">
        <v>0</v>
      </c>
      <c r="AV1746" s="53" t="n">
        <v>0</v>
      </c>
      <c r="AW1746" s="53" t="n">
        <v>0</v>
      </c>
      <c r="AX1746" s="53" t="n">
        <v>0</v>
      </c>
      <c r="AY1746" s="52" t="n">
        <v>0</v>
      </c>
      <c r="AZ1746" s="52" t="n">
        <v>0</v>
      </c>
      <c r="BA1746" s="52" t="n">
        <v>0</v>
      </c>
      <c r="BB1746" s="52" t="n">
        <v>0</v>
      </c>
      <c r="BC1746" s="51" t="n">
        <v>0</v>
      </c>
      <c r="BD1746" s="51" t="n">
        <v>0</v>
      </c>
      <c r="BE1746" s="51" t="n">
        <v>0</v>
      </c>
      <c r="BF1746" s="51" t="n">
        <v>0</v>
      </c>
    </row>
    <row r="1747">
      <c r="A1747">
        <f>HYPERLINK("https://www.walmart.com/ip/10308212702", "10308212702")</f>
        <v/>
      </c>
      <c r="B1747" t="inlineStr">
        <is>
          <t>Dickies Tradesman Backpack, Water Resistant Casual Daypack for Travel Work School, Fits 15.6 Inch Notebook (Brown Duck)</t>
        </is>
      </c>
      <c r="C1747" t="inlineStr">
        <is>
          <t>DK-BACKPACK-15168-BLACK</t>
        </is>
      </c>
      <c r="D1747" t="inlineStr">
        <is>
          <t>Backpacks</t>
        </is>
      </c>
      <c r="E1747" t="inlineStr">
        <is>
          <t>Dickies</t>
        </is>
      </c>
      <c r="G1747" s="48" t="n">
        <v>0</v>
      </c>
      <c r="H1747" s="48" t="n">
        <v>0</v>
      </c>
      <c r="I1747" s="48" t="n">
        <v>0</v>
      </c>
      <c r="J1747" s="48" t="n">
        <v>34.99</v>
      </c>
      <c r="K1747" s="49" t="n">
        <v>0</v>
      </c>
      <c r="L1747" s="49" t="n">
        <v>0</v>
      </c>
      <c r="M1747" s="49" t="n">
        <v>0</v>
      </c>
      <c r="N1747" s="49" t="n">
        <v>1</v>
      </c>
      <c r="O1747" s="49" t="n">
        <v>0</v>
      </c>
      <c r="P1747" s="49" t="n">
        <v>0</v>
      </c>
      <c r="Q1747" s="49" t="n">
        <v>0</v>
      </c>
      <c r="R1747" s="49" t="n">
        <v>0</v>
      </c>
      <c r="S1747" s="50" t="n">
        <v>0</v>
      </c>
      <c r="T1747" s="50" t="n">
        <v>0</v>
      </c>
      <c r="U1747" s="50" t="n">
        <v>0</v>
      </c>
      <c r="V1747" s="50" t="n">
        <v>0</v>
      </c>
      <c r="W1747" s="51" t="n">
        <v>0</v>
      </c>
      <c r="X1747" s="51" t="n">
        <v>0</v>
      </c>
      <c r="Y1747" s="51" t="n">
        <v>0</v>
      </c>
      <c r="Z1747" s="51" t="n">
        <v>0</v>
      </c>
      <c r="AA1747" s="52" t="n">
        <v>0</v>
      </c>
      <c r="AB1747" s="52" t="n">
        <v>0</v>
      </c>
      <c r="AC1747" s="52" t="n">
        <v>0</v>
      </c>
      <c r="AD1747" s="52" t="n">
        <v>0</v>
      </c>
      <c r="AE1747" s="52" t="n">
        <v>0</v>
      </c>
      <c r="AF1747" s="52" t="n">
        <v>0</v>
      </c>
      <c r="AG1747" s="52" t="n">
        <v>0</v>
      </c>
      <c r="AH1747" s="52" t="n">
        <v>0</v>
      </c>
      <c r="AI1747" s="52" t="n">
        <v>0</v>
      </c>
      <c r="AJ1747" s="52" t="n">
        <v>0</v>
      </c>
      <c r="AK1747" s="52" t="n">
        <v>0</v>
      </c>
      <c r="AL1747" s="52" t="n">
        <v>0</v>
      </c>
      <c r="AM1747" s="53" t="n">
        <v>0</v>
      </c>
      <c r="AN1747" s="53" t="n">
        <v>0</v>
      </c>
      <c r="AO1747" s="53" t="n">
        <v>0</v>
      </c>
      <c r="AP1747" s="53" t="n">
        <v>0</v>
      </c>
      <c r="AQ1747" s="52" t="n">
        <v>0</v>
      </c>
      <c r="AR1747" s="52" t="n">
        <v>0</v>
      </c>
      <c r="AS1747" s="52" t="n">
        <v>0</v>
      </c>
      <c r="AT1747" s="52" t="n">
        <v>0</v>
      </c>
      <c r="AU1747" s="53" t="n">
        <v>0</v>
      </c>
      <c r="AV1747" s="53" t="n">
        <v>0</v>
      </c>
      <c r="AW1747" s="53" t="n">
        <v>0</v>
      </c>
      <c r="AX1747" s="53" t="n">
        <v>0</v>
      </c>
      <c r="AY1747" s="52" t="n">
        <v>0</v>
      </c>
      <c r="AZ1747" s="52" t="n">
        <v>0</v>
      </c>
      <c r="BA1747" s="52" t="n">
        <v>0</v>
      </c>
      <c r="BB1747" s="52" t="n">
        <v>34.99</v>
      </c>
      <c r="BC1747" s="51" t="n">
        <v>0</v>
      </c>
      <c r="BD1747" s="51" t="n">
        <v>0</v>
      </c>
      <c r="BE1747" s="51" t="n">
        <v>0</v>
      </c>
      <c r="BF1747" s="51" t="n">
        <v>0</v>
      </c>
    </row>
    <row r="1748">
      <c r="A1748">
        <f>HYPERLINK("https://www.walmart.com/ip/103095662", "103095662")</f>
        <v/>
      </c>
      <c r="B1748" t="inlineStr">
        <is>
          <t>JenniWears Women's Stretch Mesh Bikini Panty with Open Back Heart Detail, Sexy Underwear for Women, Leopard</t>
        </is>
      </c>
      <c r="C1748" t="inlineStr">
        <is>
          <t>JWPT02LE-XL</t>
        </is>
      </c>
      <c r="D1748" t="inlineStr">
        <is>
          <t>Panties</t>
        </is>
      </c>
      <c r="E1748" t="inlineStr">
        <is>
          <t>JenniWears</t>
        </is>
      </c>
      <c r="F1748" t="inlineStr">
        <is>
          <t>WFS,Valentine,WFS Item</t>
        </is>
      </c>
      <c r="G1748" s="48" t="n">
        <v>0</v>
      </c>
      <c r="H1748" s="48" t="n">
        <v>0</v>
      </c>
      <c r="I1748" s="48" t="n">
        <v>0</v>
      </c>
      <c r="J1748" s="48" t="n">
        <v>0</v>
      </c>
      <c r="K1748" s="49" t="n">
        <v>0</v>
      </c>
      <c r="L1748" s="49" t="n">
        <v>0</v>
      </c>
      <c r="M1748" s="49" t="n">
        <v>0</v>
      </c>
      <c r="N1748" s="49" t="n">
        <v>0</v>
      </c>
      <c r="O1748" s="49" t="n">
        <v>0</v>
      </c>
      <c r="P1748" s="49" t="n">
        <v>0</v>
      </c>
      <c r="Q1748" s="49" t="n">
        <v>0</v>
      </c>
      <c r="R1748" s="49" t="n">
        <v>0</v>
      </c>
      <c r="S1748" s="50" t="n">
        <v>0</v>
      </c>
      <c r="T1748" s="50" t="n">
        <v>0</v>
      </c>
      <c r="U1748" s="50" t="n">
        <v>0</v>
      </c>
      <c r="V1748" s="50" t="n">
        <v>0</v>
      </c>
      <c r="W1748" s="51" t="n">
        <v>0</v>
      </c>
      <c r="X1748" s="51" t="n">
        <v>0</v>
      </c>
      <c r="Y1748" s="51" t="n">
        <v>0</v>
      </c>
      <c r="Z1748" s="51" t="n">
        <v>0</v>
      </c>
      <c r="AA1748" s="52" t="n">
        <v>0</v>
      </c>
      <c r="AB1748" s="52" t="n">
        <v>0</v>
      </c>
      <c r="AC1748" s="52" t="n">
        <v>0</v>
      </c>
      <c r="AD1748" s="52" t="n">
        <v>0</v>
      </c>
      <c r="AE1748" s="52" t="n">
        <v>0</v>
      </c>
      <c r="AF1748" s="52" t="n">
        <v>0</v>
      </c>
      <c r="AG1748" s="52" t="n">
        <v>0</v>
      </c>
      <c r="AH1748" s="52" t="n">
        <v>0</v>
      </c>
      <c r="AI1748" s="52" t="n">
        <v>0</v>
      </c>
      <c r="AJ1748" s="52" t="n">
        <v>0</v>
      </c>
      <c r="AK1748" s="52" t="n">
        <v>0</v>
      </c>
      <c r="AL1748" s="52" t="n">
        <v>0</v>
      </c>
      <c r="AM1748" s="53" t="n">
        <v>0</v>
      </c>
      <c r="AN1748" s="53" t="n">
        <v>0</v>
      </c>
      <c r="AO1748" s="53" t="n">
        <v>0</v>
      </c>
      <c r="AP1748" s="53" t="n">
        <v>0</v>
      </c>
      <c r="AQ1748" s="52" t="n">
        <v>0</v>
      </c>
      <c r="AR1748" s="52" t="n">
        <v>0</v>
      </c>
      <c r="AS1748" s="52" t="n">
        <v>0</v>
      </c>
      <c r="AT1748" s="52" t="n">
        <v>0</v>
      </c>
      <c r="AU1748" s="53" t="n">
        <v>0</v>
      </c>
      <c r="AV1748" s="53" t="n">
        <v>0</v>
      </c>
      <c r="AW1748" s="53" t="n">
        <v>0</v>
      </c>
      <c r="AX1748" s="53" t="n">
        <v>0</v>
      </c>
      <c r="AY1748" s="52" t="n">
        <v>0</v>
      </c>
      <c r="AZ1748" s="52" t="n">
        <v>0</v>
      </c>
      <c r="BA1748" s="52" t="n">
        <v>0</v>
      </c>
      <c r="BB1748" s="52" t="n">
        <v>0</v>
      </c>
      <c r="BC1748" s="51" t="n">
        <v>0</v>
      </c>
      <c r="BD1748" s="51" t="n">
        <v>0</v>
      </c>
      <c r="BE1748" s="51" t="n">
        <v>0</v>
      </c>
      <c r="BF1748" s="51" t="n">
        <v>0</v>
      </c>
    </row>
    <row r="1749">
      <c r="A1749">
        <f>HYPERLINK("https://www.walmart.com/ip/103163689", "103163689")</f>
        <v/>
      </c>
      <c r="B1749" t="inlineStr">
        <is>
          <t>KC Caps Race Collection Caps with High Quality USA Fag Racing Graphic</t>
        </is>
      </c>
      <c r="C1749" t="inlineStr">
        <is>
          <t>KC-AS05</t>
        </is>
      </c>
      <c r="D1749" t="inlineStr">
        <is>
          <t>Hats</t>
        </is>
      </c>
      <c r="E1749" t="inlineStr">
        <is>
          <t>KC Caps</t>
        </is>
      </c>
      <c r="F1749" t="inlineStr">
        <is>
          <t>Optimized</t>
        </is>
      </c>
      <c r="G1749" s="48" t="n">
        <v>0</v>
      </c>
      <c r="H1749" s="48" t="n">
        <v>0</v>
      </c>
      <c r="I1749" s="48" t="n">
        <v>0</v>
      </c>
      <c r="J1749" s="48" t="n">
        <v>0</v>
      </c>
      <c r="K1749" s="49" t="n">
        <v>0</v>
      </c>
      <c r="L1749" s="49" t="n">
        <v>0</v>
      </c>
      <c r="M1749" s="49" t="n">
        <v>0</v>
      </c>
      <c r="N1749" s="49" t="n">
        <v>0</v>
      </c>
      <c r="O1749" s="49" t="n">
        <v>0</v>
      </c>
      <c r="P1749" s="49" t="n">
        <v>0</v>
      </c>
      <c r="Q1749" s="49" t="n">
        <v>0</v>
      </c>
      <c r="R1749" s="49" t="n">
        <v>0</v>
      </c>
      <c r="S1749" s="50" t="n">
        <v>0</v>
      </c>
      <c r="T1749" s="50" t="n">
        <v>0</v>
      </c>
      <c r="U1749" s="50" t="n">
        <v>0</v>
      </c>
      <c r="V1749" s="50" t="n">
        <v>0</v>
      </c>
      <c r="W1749" s="51" t="n">
        <v>0</v>
      </c>
      <c r="X1749" s="51" t="n">
        <v>0</v>
      </c>
      <c r="Y1749" s="51" t="n">
        <v>0</v>
      </c>
      <c r="Z1749" s="51" t="n">
        <v>0</v>
      </c>
      <c r="AA1749" s="52" t="n">
        <v>0</v>
      </c>
      <c r="AB1749" s="52" t="n">
        <v>0</v>
      </c>
      <c r="AC1749" s="52" t="n">
        <v>0</v>
      </c>
      <c r="AD1749" s="52" t="n">
        <v>0</v>
      </c>
      <c r="AE1749" s="52" t="n">
        <v>0</v>
      </c>
      <c r="AF1749" s="52" t="n">
        <v>0</v>
      </c>
      <c r="AG1749" s="52" t="n">
        <v>0</v>
      </c>
      <c r="AH1749" s="52" t="n">
        <v>0</v>
      </c>
      <c r="AI1749" s="52" t="n">
        <v>0</v>
      </c>
      <c r="AJ1749" s="52" t="n">
        <v>0</v>
      </c>
      <c r="AK1749" s="52" t="n">
        <v>0</v>
      </c>
      <c r="AL1749" s="52" t="n">
        <v>0</v>
      </c>
      <c r="AM1749" s="53" t="n">
        <v>0</v>
      </c>
      <c r="AN1749" s="53" t="n">
        <v>0</v>
      </c>
      <c r="AO1749" s="53" t="n">
        <v>0</v>
      </c>
      <c r="AP1749" s="53" t="n">
        <v>0</v>
      </c>
      <c r="AQ1749" s="52" t="n">
        <v>0</v>
      </c>
      <c r="AR1749" s="52" t="n">
        <v>0</v>
      </c>
      <c r="AS1749" s="52" t="n">
        <v>0</v>
      </c>
      <c r="AT1749" s="52" t="n">
        <v>0</v>
      </c>
      <c r="AU1749" s="53" t="n">
        <v>0</v>
      </c>
      <c r="AV1749" s="53" t="n">
        <v>0</v>
      </c>
      <c r="AW1749" s="53" t="n">
        <v>0</v>
      </c>
      <c r="AX1749" s="53" t="n">
        <v>0</v>
      </c>
      <c r="AY1749" s="52" t="n">
        <v>0</v>
      </c>
      <c r="AZ1749" s="52" t="n">
        <v>0</v>
      </c>
      <c r="BA1749" s="52" t="n">
        <v>0</v>
      </c>
      <c r="BB1749" s="52" t="n">
        <v>0</v>
      </c>
      <c r="BC1749" s="51" t="n">
        <v>0</v>
      </c>
      <c r="BD1749" s="51" t="n">
        <v>0</v>
      </c>
      <c r="BE1749" s="51" t="n">
        <v>0</v>
      </c>
      <c r="BF1749" s="51" t="n">
        <v>0</v>
      </c>
    </row>
    <row r="1750">
      <c r="A1750">
        <f>HYPERLINK("https://www.walmart.com/ip/10320160728", "10320160728")</f>
        <v/>
      </c>
      <c r="B1750" t="inlineStr">
        <is>
          <t>Every Day is Christmas Glass Blown Ornaments Cute Hand Made Figurines Tree Decoration, Limes Set of 3</t>
        </is>
      </c>
      <c r="C1750" t="inlineStr">
        <is>
          <t>EDC-FIGURINE-BC334</t>
        </is>
      </c>
      <c r="D1750" t="inlineStr">
        <is>
          <t>Ornaments</t>
        </is>
      </c>
      <c r="E1750" t="inlineStr">
        <is>
          <t>Every Day is Christmas</t>
        </is>
      </c>
      <c r="G1750" s="48" t="n">
        <v>0</v>
      </c>
      <c r="H1750" s="48" t="n">
        <v>0</v>
      </c>
      <c r="I1750" s="48" t="n">
        <v>0</v>
      </c>
      <c r="J1750" s="48" t="n">
        <v>0</v>
      </c>
      <c r="K1750" s="49" t="n">
        <v>0</v>
      </c>
      <c r="L1750" s="49" t="n">
        <v>0</v>
      </c>
      <c r="M1750" s="49" t="n">
        <v>0</v>
      </c>
      <c r="N1750" s="49" t="n">
        <v>0</v>
      </c>
      <c r="O1750" s="49" t="n">
        <v>0</v>
      </c>
      <c r="P1750" s="49" t="n">
        <v>0</v>
      </c>
      <c r="Q1750" s="49" t="n">
        <v>0</v>
      </c>
      <c r="R1750" s="49" t="n">
        <v>0</v>
      </c>
      <c r="S1750" s="50" t="n">
        <v>0</v>
      </c>
      <c r="T1750" s="50" t="n">
        <v>0</v>
      </c>
      <c r="U1750" s="50" t="n">
        <v>0</v>
      </c>
      <c r="V1750" s="50" t="n">
        <v>0</v>
      </c>
      <c r="W1750" s="51" t="n">
        <v>0</v>
      </c>
      <c r="X1750" s="51" t="n">
        <v>0</v>
      </c>
      <c r="Y1750" s="51" t="n">
        <v>0</v>
      </c>
      <c r="Z1750" s="51" t="n">
        <v>0</v>
      </c>
      <c r="AA1750" s="52" t="n">
        <v>0</v>
      </c>
      <c r="AB1750" s="52" t="n">
        <v>0</v>
      </c>
      <c r="AC1750" s="52" t="n">
        <v>0</v>
      </c>
      <c r="AD1750" s="52" t="n">
        <v>0</v>
      </c>
      <c r="AE1750" s="52" t="n">
        <v>0</v>
      </c>
      <c r="AF1750" s="52" t="n">
        <v>0</v>
      </c>
      <c r="AG1750" s="52" t="n">
        <v>0</v>
      </c>
      <c r="AH1750" s="52" t="n">
        <v>0</v>
      </c>
      <c r="AI1750" s="52" t="n">
        <v>0</v>
      </c>
      <c r="AJ1750" s="52" t="n">
        <v>0</v>
      </c>
      <c r="AK1750" s="52" t="n">
        <v>0</v>
      </c>
      <c r="AL1750" s="52" t="n">
        <v>0</v>
      </c>
      <c r="AM1750" s="53" t="n">
        <v>0</v>
      </c>
      <c r="AN1750" s="53" t="n">
        <v>0</v>
      </c>
      <c r="AO1750" s="53" t="n">
        <v>0</v>
      </c>
      <c r="AP1750" s="53" t="n">
        <v>0</v>
      </c>
      <c r="AQ1750" s="52" t="n">
        <v>0</v>
      </c>
      <c r="AR1750" s="52" t="n">
        <v>0</v>
      </c>
      <c r="AS1750" s="52" t="n">
        <v>0</v>
      </c>
      <c r="AT1750" s="52" t="n">
        <v>0</v>
      </c>
      <c r="AU1750" s="53" t="n">
        <v>0</v>
      </c>
      <c r="AV1750" s="53" t="n">
        <v>0</v>
      </c>
      <c r="AW1750" s="53" t="n">
        <v>0</v>
      </c>
      <c r="AX1750" s="53" t="n">
        <v>0</v>
      </c>
      <c r="AY1750" s="52" t="n">
        <v>0</v>
      </c>
      <c r="AZ1750" s="52" t="n">
        <v>0</v>
      </c>
      <c r="BA1750" s="52" t="n">
        <v>0</v>
      </c>
      <c r="BB1750" s="52" t="n">
        <v>0</v>
      </c>
      <c r="BC1750" s="51" t="n">
        <v>0</v>
      </c>
      <c r="BD1750" s="51" t="n">
        <v>0</v>
      </c>
      <c r="BE1750" s="51" t="n">
        <v>0</v>
      </c>
      <c r="BF1750" s="51" t="n">
        <v>0</v>
      </c>
    </row>
    <row r="1751">
      <c r="A1751">
        <f>HYPERLINK("https://www.walmart.com/ip/103201745", "103201745")</f>
        <v/>
      </c>
      <c r="B1751" t="inlineStr">
        <is>
          <t>JenniWears Women's Beileise  Sexy Crotchless Suspender Pantyhose Stockings Black - 6 Packs</t>
        </is>
      </c>
      <c r="C1751" t="inlineStr">
        <is>
          <t>JWBLSPH2028-6pcs</t>
        </is>
      </c>
      <c r="D1751" t="inlineStr">
        <is>
          <t>Pantyhose &amp; Tights</t>
        </is>
      </c>
      <c r="E1751" t="inlineStr">
        <is>
          <t>JenniWears</t>
        </is>
      </c>
      <c r="F1751" t="inlineStr">
        <is>
          <t>Optimized,WFS,Valentine,WFS Item</t>
        </is>
      </c>
      <c r="G1751" s="48" t="n">
        <v>0</v>
      </c>
      <c r="H1751" s="48" t="n">
        <v>0</v>
      </c>
      <c r="I1751" s="48" t="n">
        <v>0</v>
      </c>
      <c r="J1751" s="48" t="n">
        <v>0</v>
      </c>
      <c r="K1751" s="49" t="n">
        <v>0</v>
      </c>
      <c r="L1751" s="49" t="n">
        <v>0</v>
      </c>
      <c r="M1751" s="49" t="n">
        <v>0</v>
      </c>
      <c r="N1751" s="49" t="n">
        <v>0</v>
      </c>
      <c r="O1751" s="49" t="n">
        <v>0</v>
      </c>
      <c r="P1751" s="49" t="n">
        <v>0</v>
      </c>
      <c r="Q1751" s="49" t="n">
        <v>0</v>
      </c>
      <c r="R1751" s="49" t="n">
        <v>0</v>
      </c>
      <c r="S1751" s="50" t="n">
        <v>0</v>
      </c>
      <c r="T1751" s="50" t="n">
        <v>0</v>
      </c>
      <c r="U1751" s="50" t="n">
        <v>0</v>
      </c>
      <c r="V1751" s="50" t="n">
        <v>0</v>
      </c>
      <c r="W1751" s="51" t="n">
        <v>0</v>
      </c>
      <c r="X1751" s="51" t="n">
        <v>0</v>
      </c>
      <c r="Y1751" s="51" t="n">
        <v>0</v>
      </c>
      <c r="Z1751" s="51" t="n">
        <v>0</v>
      </c>
      <c r="AA1751" s="52" t="n">
        <v>0</v>
      </c>
      <c r="AB1751" s="52" t="n">
        <v>0</v>
      </c>
      <c r="AC1751" s="52" t="n">
        <v>0</v>
      </c>
      <c r="AD1751" s="52" t="n">
        <v>0</v>
      </c>
      <c r="AE1751" s="52" t="n">
        <v>0</v>
      </c>
      <c r="AF1751" s="52" t="n">
        <v>0</v>
      </c>
      <c r="AG1751" s="52" t="n">
        <v>0</v>
      </c>
      <c r="AH1751" s="52" t="n">
        <v>0</v>
      </c>
      <c r="AI1751" s="52" t="n">
        <v>0</v>
      </c>
      <c r="AJ1751" s="52" t="n">
        <v>0</v>
      </c>
      <c r="AK1751" s="52" t="n">
        <v>0</v>
      </c>
      <c r="AL1751" s="52" t="n">
        <v>0</v>
      </c>
      <c r="AM1751" s="53" t="n">
        <v>0</v>
      </c>
      <c r="AN1751" s="53" t="n">
        <v>0</v>
      </c>
      <c r="AO1751" s="53" t="n">
        <v>0</v>
      </c>
      <c r="AP1751" s="53" t="n">
        <v>0</v>
      </c>
      <c r="AQ1751" s="52" t="n">
        <v>0</v>
      </c>
      <c r="AR1751" s="52" t="n">
        <v>0</v>
      </c>
      <c r="AS1751" s="52" t="n">
        <v>0</v>
      </c>
      <c r="AT1751" s="52" t="n">
        <v>0</v>
      </c>
      <c r="AU1751" s="53" t="n">
        <v>0</v>
      </c>
      <c r="AV1751" s="53" t="n">
        <v>0</v>
      </c>
      <c r="AW1751" s="53" t="n">
        <v>0</v>
      </c>
      <c r="AX1751" s="53" t="n">
        <v>0</v>
      </c>
      <c r="AY1751" s="52" t="n">
        <v>0</v>
      </c>
      <c r="AZ1751" s="52" t="n">
        <v>0</v>
      </c>
      <c r="BA1751" s="52" t="n">
        <v>0</v>
      </c>
      <c r="BB1751" s="52" t="n">
        <v>0</v>
      </c>
      <c r="BC1751" s="51" t="n">
        <v>0</v>
      </c>
      <c r="BD1751" s="51" t="n">
        <v>0</v>
      </c>
      <c r="BE1751" s="51" t="n">
        <v>0</v>
      </c>
      <c r="BF1751" s="51" t="n">
        <v>0</v>
      </c>
    </row>
    <row r="1752">
      <c r="A1752">
        <f>HYPERLINK("https://www.walmart.com/ip/103455495", "103455495")</f>
        <v/>
      </c>
      <c r="B1752" t="inlineStr">
        <is>
          <t>JenniWears Women Lingerie Plus Size Stretch Lace Nightwear Gartered Chemise w/G-String Set</t>
        </is>
      </c>
      <c r="C1752" t="inlineStr">
        <is>
          <t>JWBD01BKPP-XL</t>
        </is>
      </c>
      <c r="D1752" t="inlineStr">
        <is>
          <t>Lingerie Sets</t>
        </is>
      </c>
      <c r="E1752" t="inlineStr">
        <is>
          <t>JenniWears</t>
        </is>
      </c>
      <c r="F1752" t="inlineStr">
        <is>
          <t>Valentine</t>
        </is>
      </c>
      <c r="G1752" s="48" t="n">
        <v>0</v>
      </c>
      <c r="H1752" s="48" t="n">
        <v>0</v>
      </c>
      <c r="I1752" s="48" t="n">
        <v>0</v>
      </c>
      <c r="J1752" s="48" t="n">
        <v>0</v>
      </c>
      <c r="K1752" s="49" t="n">
        <v>0</v>
      </c>
      <c r="L1752" s="49" t="n">
        <v>0</v>
      </c>
      <c r="M1752" s="49" t="n">
        <v>0</v>
      </c>
      <c r="N1752" s="49" t="n">
        <v>0</v>
      </c>
      <c r="O1752" s="49" t="n">
        <v>0</v>
      </c>
      <c r="P1752" s="49" t="n">
        <v>0</v>
      </c>
      <c r="Q1752" s="49" t="n">
        <v>0</v>
      </c>
      <c r="R1752" s="49" t="n">
        <v>0</v>
      </c>
      <c r="S1752" s="50" t="n">
        <v>0</v>
      </c>
      <c r="T1752" s="50" t="n">
        <v>0</v>
      </c>
      <c r="U1752" s="50" t="n">
        <v>0</v>
      </c>
      <c r="V1752" s="50" t="n">
        <v>0</v>
      </c>
      <c r="W1752" s="51" t="n">
        <v>0</v>
      </c>
      <c r="X1752" s="51" t="n">
        <v>0</v>
      </c>
      <c r="Y1752" s="51" t="n">
        <v>0</v>
      </c>
      <c r="Z1752" s="51" t="n">
        <v>0</v>
      </c>
      <c r="AA1752" s="52" t="n">
        <v>0</v>
      </c>
      <c r="AB1752" s="52" t="n">
        <v>0</v>
      </c>
      <c r="AC1752" s="52" t="n">
        <v>0</v>
      </c>
      <c r="AD1752" s="52" t="n">
        <v>0</v>
      </c>
      <c r="AE1752" s="52" t="n">
        <v>0</v>
      </c>
      <c r="AF1752" s="52" t="n">
        <v>0</v>
      </c>
      <c r="AG1752" s="52" t="n">
        <v>0</v>
      </c>
      <c r="AH1752" s="52" t="n">
        <v>0</v>
      </c>
      <c r="AI1752" s="52" t="n">
        <v>0</v>
      </c>
      <c r="AJ1752" s="52" t="n">
        <v>0</v>
      </c>
      <c r="AK1752" s="52" t="n">
        <v>0</v>
      </c>
      <c r="AL1752" s="52" t="n">
        <v>0</v>
      </c>
      <c r="AM1752" s="53" t="n">
        <v>0</v>
      </c>
      <c r="AN1752" s="53" t="n">
        <v>0</v>
      </c>
      <c r="AO1752" s="53" t="n">
        <v>0</v>
      </c>
      <c r="AP1752" s="53" t="n">
        <v>0</v>
      </c>
      <c r="AQ1752" s="52" t="n">
        <v>0</v>
      </c>
      <c r="AR1752" s="52" t="n">
        <v>0</v>
      </c>
      <c r="AS1752" s="52" t="n">
        <v>0</v>
      </c>
      <c r="AT1752" s="52" t="n">
        <v>0</v>
      </c>
      <c r="AU1752" s="53" t="n">
        <v>0</v>
      </c>
      <c r="AV1752" s="53" t="n">
        <v>0</v>
      </c>
      <c r="AW1752" s="53" t="n">
        <v>0</v>
      </c>
      <c r="AX1752" s="53" t="n">
        <v>0</v>
      </c>
      <c r="AY1752" s="52" t="n">
        <v>0</v>
      </c>
      <c r="AZ1752" s="52" t="n">
        <v>0</v>
      </c>
      <c r="BA1752" s="52" t="n">
        <v>0</v>
      </c>
      <c r="BB1752" s="52" t="n">
        <v>0</v>
      </c>
      <c r="BC1752" s="51" t="n">
        <v>0</v>
      </c>
      <c r="BD1752" s="51" t="n">
        <v>0</v>
      </c>
      <c r="BE1752" s="51" t="n">
        <v>0</v>
      </c>
      <c r="BF1752" s="51" t="n">
        <v>0</v>
      </c>
    </row>
    <row r="1753">
      <c r="A1753">
        <f>HYPERLINK("https://www.walmart.com/ip/103504333", "103504333")</f>
        <v/>
      </c>
      <c r="B1753" t="inlineStr">
        <is>
          <t>Jenniwears Women's Sexy Lingerie Lace Mesh 2-Piece Bowknot Halter Chemise with G-String</t>
        </is>
      </c>
      <c r="C1753" t="inlineStr">
        <is>
          <t>JWND03TB</t>
        </is>
      </c>
      <c r="D1753" t="inlineStr">
        <is>
          <t>Lingerie Sets</t>
        </is>
      </c>
      <c r="E1753" t="inlineStr">
        <is>
          <t>JenniWears</t>
        </is>
      </c>
      <c r="F1753" t="inlineStr">
        <is>
          <t>Optimized,Valentine</t>
        </is>
      </c>
      <c r="G1753" s="48" t="n">
        <v>0</v>
      </c>
      <c r="H1753" s="48" t="n">
        <v>0</v>
      </c>
      <c r="I1753" s="48" t="n">
        <v>0</v>
      </c>
      <c r="J1753" s="48" t="n">
        <v>0</v>
      </c>
      <c r="K1753" s="49" t="n">
        <v>0</v>
      </c>
      <c r="L1753" s="49" t="n">
        <v>0</v>
      </c>
      <c r="M1753" s="49" t="n">
        <v>0</v>
      </c>
      <c r="N1753" s="49" t="n">
        <v>0</v>
      </c>
      <c r="O1753" s="49" t="n">
        <v>0</v>
      </c>
      <c r="P1753" s="49" t="n">
        <v>0</v>
      </c>
      <c r="Q1753" s="49" t="n">
        <v>0</v>
      </c>
      <c r="R1753" s="49" t="n">
        <v>0</v>
      </c>
      <c r="S1753" s="50" t="n">
        <v>0</v>
      </c>
      <c r="T1753" s="50" t="n">
        <v>0</v>
      </c>
      <c r="U1753" s="50" t="n">
        <v>0</v>
      </c>
      <c r="V1753" s="50" t="n">
        <v>0</v>
      </c>
      <c r="W1753" s="51" t="n">
        <v>0</v>
      </c>
      <c r="X1753" s="51" t="n">
        <v>0</v>
      </c>
      <c r="Y1753" s="51" t="n">
        <v>0</v>
      </c>
      <c r="Z1753" s="51" t="n">
        <v>0</v>
      </c>
      <c r="AA1753" s="52" t="n">
        <v>0</v>
      </c>
      <c r="AB1753" s="52" t="n">
        <v>0</v>
      </c>
      <c r="AC1753" s="52" t="n">
        <v>0</v>
      </c>
      <c r="AD1753" s="52" t="n">
        <v>0</v>
      </c>
      <c r="AE1753" s="52" t="n">
        <v>0</v>
      </c>
      <c r="AF1753" s="52" t="n">
        <v>0</v>
      </c>
      <c r="AG1753" s="52" t="n">
        <v>0</v>
      </c>
      <c r="AH1753" s="52" t="n">
        <v>0</v>
      </c>
      <c r="AI1753" s="52" t="n">
        <v>0</v>
      </c>
      <c r="AJ1753" s="52" t="n">
        <v>0</v>
      </c>
      <c r="AK1753" s="52" t="n">
        <v>0</v>
      </c>
      <c r="AL1753" s="52" t="n">
        <v>0</v>
      </c>
      <c r="AM1753" s="53" t="n">
        <v>0</v>
      </c>
      <c r="AN1753" s="53" t="n">
        <v>0</v>
      </c>
      <c r="AO1753" s="53" t="n">
        <v>0</v>
      </c>
      <c r="AP1753" s="53" t="n">
        <v>0</v>
      </c>
      <c r="AQ1753" s="52" t="n">
        <v>0</v>
      </c>
      <c r="AR1753" s="52" t="n">
        <v>0</v>
      </c>
      <c r="AS1753" s="52" t="n">
        <v>0</v>
      </c>
      <c r="AT1753" s="52" t="n">
        <v>0</v>
      </c>
      <c r="AU1753" s="53" t="n">
        <v>0</v>
      </c>
      <c r="AV1753" s="53" t="n">
        <v>0</v>
      </c>
      <c r="AW1753" s="53" t="n">
        <v>0</v>
      </c>
      <c r="AX1753" s="53" t="n">
        <v>0</v>
      </c>
      <c r="AY1753" s="52" t="n">
        <v>0</v>
      </c>
      <c r="AZ1753" s="52" t="n">
        <v>0</v>
      </c>
      <c r="BA1753" s="52" t="n">
        <v>0</v>
      </c>
      <c r="BB1753" s="52" t="n">
        <v>0</v>
      </c>
      <c r="BC1753" s="51" t="n">
        <v>0</v>
      </c>
      <c r="BD1753" s="51" t="n">
        <v>0</v>
      </c>
      <c r="BE1753" s="51" t="n">
        <v>0</v>
      </c>
      <c r="BF1753" s="51" t="n">
        <v>0</v>
      </c>
    </row>
    <row r="1754">
      <c r="A1754">
        <f>HYPERLINK("https://www.walmart.com/ip/103646709", "103646709")</f>
        <v/>
      </c>
      <c r="B1754" t="inlineStr">
        <is>
          <t>JenniWears® Women's Stretch Mesh Bikini Panty with Open Back Heart Detail</t>
        </is>
      </c>
      <c r="C1754" t="inlineStr">
        <is>
          <t>JWPT02PK-XL</t>
        </is>
      </c>
      <c r="D1754" t="inlineStr">
        <is>
          <t>Panties</t>
        </is>
      </c>
      <c r="E1754" t="inlineStr">
        <is>
          <t>JenniWears</t>
        </is>
      </c>
      <c r="F1754" t="inlineStr">
        <is>
          <t>Valentine</t>
        </is>
      </c>
      <c r="G1754" s="48" t="n">
        <v>0</v>
      </c>
      <c r="H1754" s="48" t="n">
        <v>0</v>
      </c>
      <c r="I1754" s="48" t="n">
        <v>0</v>
      </c>
      <c r="J1754" s="48" t="n">
        <v>0</v>
      </c>
      <c r="K1754" s="49" t="n">
        <v>0</v>
      </c>
      <c r="L1754" s="49" t="n">
        <v>0</v>
      </c>
      <c r="M1754" s="49" t="n">
        <v>0</v>
      </c>
      <c r="N1754" s="49" t="n">
        <v>0</v>
      </c>
      <c r="O1754" s="49" t="n">
        <v>0</v>
      </c>
      <c r="P1754" s="49" t="n">
        <v>0</v>
      </c>
      <c r="Q1754" s="49" t="n">
        <v>0</v>
      </c>
      <c r="R1754" s="49" t="n">
        <v>0</v>
      </c>
      <c r="S1754" s="50" t="n">
        <v>0</v>
      </c>
      <c r="T1754" s="50" t="n">
        <v>0</v>
      </c>
      <c r="U1754" s="50" t="n">
        <v>0</v>
      </c>
      <c r="V1754" s="50" t="n">
        <v>0</v>
      </c>
      <c r="W1754" s="51" t="n">
        <v>0</v>
      </c>
      <c r="X1754" s="51" t="n">
        <v>0</v>
      </c>
      <c r="Y1754" s="51" t="n">
        <v>0</v>
      </c>
      <c r="Z1754" s="51" t="n">
        <v>0</v>
      </c>
      <c r="AA1754" s="52" t="n">
        <v>0</v>
      </c>
      <c r="AB1754" s="52" t="n">
        <v>0</v>
      </c>
      <c r="AC1754" s="52" t="n">
        <v>0</v>
      </c>
      <c r="AD1754" s="52" t="n">
        <v>0</v>
      </c>
      <c r="AE1754" s="52" t="n">
        <v>0</v>
      </c>
      <c r="AF1754" s="52" t="n">
        <v>0</v>
      </c>
      <c r="AG1754" s="52" t="n">
        <v>0</v>
      </c>
      <c r="AH1754" s="52" t="n">
        <v>0</v>
      </c>
      <c r="AI1754" s="52" t="n">
        <v>0</v>
      </c>
      <c r="AJ1754" s="52" t="n">
        <v>0</v>
      </c>
      <c r="AK1754" s="52" t="n">
        <v>0</v>
      </c>
      <c r="AL1754" s="52" t="n">
        <v>0</v>
      </c>
      <c r="AM1754" s="53" t="n">
        <v>0</v>
      </c>
      <c r="AN1754" s="53" t="n">
        <v>0</v>
      </c>
      <c r="AO1754" s="53" t="n">
        <v>0</v>
      </c>
      <c r="AP1754" s="53" t="n">
        <v>0</v>
      </c>
      <c r="AQ1754" s="52" t="n">
        <v>0</v>
      </c>
      <c r="AR1754" s="52" t="n">
        <v>0</v>
      </c>
      <c r="AS1754" s="52" t="n">
        <v>0</v>
      </c>
      <c r="AT1754" s="52" t="n">
        <v>0</v>
      </c>
      <c r="AU1754" s="53" t="n">
        <v>0</v>
      </c>
      <c r="AV1754" s="53" t="n">
        <v>0</v>
      </c>
      <c r="AW1754" s="53" t="n">
        <v>0</v>
      </c>
      <c r="AX1754" s="53" t="n">
        <v>0</v>
      </c>
      <c r="AY1754" s="52" t="n">
        <v>0</v>
      </c>
      <c r="AZ1754" s="52" t="n">
        <v>0</v>
      </c>
      <c r="BA1754" s="52" t="n">
        <v>0</v>
      </c>
      <c r="BB1754" s="52" t="n">
        <v>0</v>
      </c>
      <c r="BC1754" s="51" t="n">
        <v>0</v>
      </c>
      <c r="BD1754" s="51" t="n">
        <v>0</v>
      </c>
      <c r="BE1754" s="51" t="n">
        <v>0</v>
      </c>
      <c r="BF1754" s="51" t="n">
        <v>0</v>
      </c>
    </row>
    <row r="1755">
      <c r="A1755">
        <f>HYPERLINK("https://www.walmart.com/ip/1037729777", "1037729777")</f>
        <v/>
      </c>
      <c r="B1755" t="inlineStr">
        <is>
          <t>Kritter Planet Pet Plush Sherpa Blanket Throw Micro Fleece for Animal Dog Cat Puppy Indoor, Outdoor 60" X 50"</t>
        </is>
      </c>
      <c r="C1755" t="inlineStr">
        <is>
          <t>1KPBF560CHEETAH</t>
        </is>
      </c>
      <c r="D1755" t="inlineStr">
        <is>
          <t>Pet Blankets</t>
        </is>
      </c>
      <c r="E1755" t="inlineStr">
        <is>
          <t>Kritter Planet</t>
        </is>
      </c>
      <c r="F1755" t="inlineStr">
        <is>
          <t>Batch 1 - TR</t>
        </is>
      </c>
      <c r="G1755" s="48" t="n">
        <v>0</v>
      </c>
      <c r="H1755" s="48" t="n">
        <v>0</v>
      </c>
      <c r="I1755" s="48" t="n">
        <v>0</v>
      </c>
      <c r="J1755" s="48" t="n">
        <v>0</v>
      </c>
      <c r="K1755" s="49" t="n">
        <v>0</v>
      </c>
      <c r="L1755" s="49" t="n">
        <v>0</v>
      </c>
      <c r="M1755" s="49" t="n">
        <v>0</v>
      </c>
      <c r="N1755" s="49" t="n">
        <v>0</v>
      </c>
      <c r="O1755" s="49" t="n">
        <v>0</v>
      </c>
      <c r="P1755" s="49" t="n">
        <v>0</v>
      </c>
      <c r="Q1755" s="49" t="n">
        <v>0</v>
      </c>
      <c r="R1755" s="49" t="n">
        <v>0</v>
      </c>
      <c r="S1755" s="50" t="n">
        <v>0</v>
      </c>
      <c r="T1755" s="50" t="n">
        <v>0</v>
      </c>
      <c r="U1755" s="50" t="n">
        <v>0</v>
      </c>
      <c r="V1755" s="50" t="n">
        <v>0</v>
      </c>
      <c r="W1755" s="51" t="n">
        <v>0</v>
      </c>
      <c r="X1755" s="51" t="n">
        <v>0</v>
      </c>
      <c r="Y1755" s="51" t="n">
        <v>0</v>
      </c>
      <c r="Z1755" s="51" t="n">
        <v>0</v>
      </c>
      <c r="AA1755" s="52" t="n">
        <v>0</v>
      </c>
      <c r="AB1755" s="52" t="n">
        <v>0</v>
      </c>
      <c r="AC1755" s="52" t="n">
        <v>0</v>
      </c>
      <c r="AD1755" s="52" t="n">
        <v>0</v>
      </c>
      <c r="AE1755" s="52" t="n">
        <v>0</v>
      </c>
      <c r="AF1755" s="52" t="n">
        <v>0</v>
      </c>
      <c r="AG1755" s="52" t="n">
        <v>0</v>
      </c>
      <c r="AH1755" s="52" t="n">
        <v>0</v>
      </c>
      <c r="AI1755" s="52" t="n">
        <v>0</v>
      </c>
      <c r="AJ1755" s="52" t="n">
        <v>0</v>
      </c>
      <c r="AK1755" s="52" t="n">
        <v>0</v>
      </c>
      <c r="AL1755" s="52" t="n">
        <v>0</v>
      </c>
      <c r="AM1755" s="53" t="n">
        <v>0</v>
      </c>
      <c r="AN1755" s="53" t="n">
        <v>0</v>
      </c>
      <c r="AO1755" s="53" t="n">
        <v>0</v>
      </c>
      <c r="AP1755" s="53" t="n">
        <v>0</v>
      </c>
      <c r="AQ1755" s="52" t="n">
        <v>0</v>
      </c>
      <c r="AR1755" s="52" t="n">
        <v>0</v>
      </c>
      <c r="AS1755" s="52" t="n">
        <v>0</v>
      </c>
      <c r="AT1755" s="52" t="n">
        <v>0</v>
      </c>
      <c r="AU1755" s="53" t="n">
        <v>0</v>
      </c>
      <c r="AV1755" s="53" t="n">
        <v>0</v>
      </c>
      <c r="AW1755" s="53" t="n">
        <v>0</v>
      </c>
      <c r="AX1755" s="53" t="n">
        <v>0</v>
      </c>
      <c r="AY1755" s="52" t="n">
        <v>0</v>
      </c>
      <c r="AZ1755" s="52" t="n">
        <v>0</v>
      </c>
      <c r="BA1755" s="52" t="n">
        <v>0</v>
      </c>
      <c r="BB1755" s="52" t="n">
        <v>0</v>
      </c>
      <c r="BC1755" s="51" t="n">
        <v>0</v>
      </c>
      <c r="BD1755" s="51" t="n">
        <v>0</v>
      </c>
      <c r="BE1755" s="51" t="n">
        <v>0</v>
      </c>
      <c r="BF1755" s="51" t="n">
        <v>0</v>
      </c>
    </row>
    <row r="1756">
      <c r="A1756">
        <f>HYPERLINK("https://www.walmart.com/ip/103794423", "103794423")</f>
        <v/>
      </c>
      <c r="B1756" t="inlineStr">
        <is>
          <t>Explorer Target Double 3 Case 52" Length Padded Sniper Scoped Tactical Hunting Carrying Shooting Mat, Adjustable Backpack Strap, Pouch</t>
        </is>
      </c>
      <c r="C1756" t="inlineStr">
        <is>
          <t>TARGETGBD52+CAP</t>
        </is>
      </c>
      <c r="D1756" t="inlineStr">
        <is>
          <t>Gun Cases</t>
        </is>
      </c>
      <c r="E1756" t="inlineStr">
        <is>
          <t>Target</t>
        </is>
      </c>
      <c r="G1756" s="48" t="n">
        <v>0</v>
      </c>
      <c r="H1756" s="48" t="n">
        <v>0</v>
      </c>
      <c r="I1756" s="48" t="n">
        <v>0</v>
      </c>
      <c r="J1756" s="48" t="n">
        <v>0</v>
      </c>
      <c r="K1756" s="49" t="n">
        <v>0</v>
      </c>
      <c r="L1756" s="49" t="n">
        <v>0</v>
      </c>
      <c r="M1756" s="49" t="n">
        <v>0</v>
      </c>
      <c r="N1756" s="49" t="n">
        <v>0</v>
      </c>
      <c r="O1756" s="49" t="n">
        <v>0</v>
      </c>
      <c r="P1756" s="49" t="n">
        <v>0</v>
      </c>
      <c r="Q1756" s="49" t="n">
        <v>0</v>
      </c>
      <c r="R1756" s="49" t="n">
        <v>0</v>
      </c>
      <c r="S1756" s="50" t="n">
        <v>0</v>
      </c>
      <c r="T1756" s="50" t="n">
        <v>0</v>
      </c>
      <c r="U1756" s="50" t="n">
        <v>0</v>
      </c>
      <c r="V1756" s="50" t="n">
        <v>0</v>
      </c>
      <c r="W1756" s="51" t="n">
        <v>0</v>
      </c>
      <c r="X1756" s="51" t="n">
        <v>0</v>
      </c>
      <c r="Y1756" s="51" t="n">
        <v>0</v>
      </c>
      <c r="Z1756" s="51" t="n">
        <v>0</v>
      </c>
      <c r="AA1756" s="52" t="n">
        <v>0</v>
      </c>
      <c r="AB1756" s="52" t="n">
        <v>0</v>
      </c>
      <c r="AC1756" s="52" t="n">
        <v>0</v>
      </c>
      <c r="AD1756" s="52" t="n">
        <v>0</v>
      </c>
      <c r="AE1756" s="52" t="n">
        <v>0</v>
      </c>
      <c r="AF1756" s="52" t="n">
        <v>0</v>
      </c>
      <c r="AG1756" s="52" t="n">
        <v>0</v>
      </c>
      <c r="AH1756" s="52" t="n">
        <v>0</v>
      </c>
      <c r="AI1756" s="52" t="n">
        <v>0</v>
      </c>
      <c r="AJ1756" s="52" t="n">
        <v>0</v>
      </c>
      <c r="AK1756" s="52" t="n">
        <v>0</v>
      </c>
      <c r="AL1756" s="52" t="n">
        <v>0</v>
      </c>
      <c r="AM1756" s="53" t="n">
        <v>0</v>
      </c>
      <c r="AN1756" s="53" t="n">
        <v>0</v>
      </c>
      <c r="AO1756" s="53" t="n">
        <v>0</v>
      </c>
      <c r="AP1756" s="53" t="n">
        <v>0</v>
      </c>
      <c r="AQ1756" s="52" t="n">
        <v>0</v>
      </c>
      <c r="AR1756" s="52" t="n">
        <v>0</v>
      </c>
      <c r="AS1756" s="52" t="n">
        <v>0</v>
      </c>
      <c r="AT1756" s="52" t="n">
        <v>0</v>
      </c>
      <c r="AU1756" s="53" t="n">
        <v>0</v>
      </c>
      <c r="AV1756" s="53" t="n">
        <v>0</v>
      </c>
      <c r="AW1756" s="53" t="n">
        <v>0</v>
      </c>
      <c r="AX1756" s="53" t="n">
        <v>0</v>
      </c>
      <c r="AY1756" s="52" t="n">
        <v>0</v>
      </c>
      <c r="AZ1756" s="52" t="n">
        <v>0</v>
      </c>
      <c r="BA1756" s="52" t="n">
        <v>0</v>
      </c>
      <c r="BB1756" s="52" t="n">
        <v>0</v>
      </c>
      <c r="BC1756" s="51" t="n">
        <v>0</v>
      </c>
      <c r="BD1756" s="51" t="n">
        <v>0</v>
      </c>
      <c r="BE1756" s="51" t="n">
        <v>0</v>
      </c>
      <c r="BF1756" s="51" t="n">
        <v>0</v>
      </c>
    </row>
    <row r="1757">
      <c r="A1757">
        <f>HYPERLINK("https://www.walmart.com/ip/103851347", "103851347")</f>
        <v/>
      </c>
      <c r="B1757" t="inlineStr">
        <is>
          <t>Catalonia Super Soft Micro Fleece Reversible Sherpa Plush Bed Throw TV Blanket 50" x 60"</t>
        </is>
      </c>
      <c r="C1757" t="inlineStr">
        <is>
          <t>K8021GRAY</t>
        </is>
      </c>
      <c r="D1757" t="inlineStr">
        <is>
          <t>Throws</t>
        </is>
      </c>
      <c r="E1757" t="inlineStr">
        <is>
          <t>Catalonia</t>
        </is>
      </c>
      <c r="F1757" t="inlineStr">
        <is>
          <t>Batch 1 - TR</t>
        </is>
      </c>
      <c r="G1757" s="48" t="n">
        <v>0</v>
      </c>
      <c r="H1757" s="48" t="n">
        <v>0</v>
      </c>
      <c r="I1757" s="48" t="n">
        <v>0</v>
      </c>
      <c r="J1757" s="48" t="n">
        <v>0</v>
      </c>
      <c r="K1757" s="49" t="n">
        <v>0</v>
      </c>
      <c r="L1757" s="49" t="n">
        <v>0</v>
      </c>
      <c r="M1757" s="49" t="n">
        <v>0</v>
      </c>
      <c r="N1757" s="49" t="n">
        <v>0</v>
      </c>
      <c r="O1757" s="49" t="n">
        <v>0</v>
      </c>
      <c r="P1757" s="49" t="n">
        <v>0</v>
      </c>
      <c r="Q1757" s="49" t="n">
        <v>0</v>
      </c>
      <c r="R1757" s="49" t="n">
        <v>0</v>
      </c>
      <c r="S1757" s="50" t="n">
        <v>0</v>
      </c>
      <c r="T1757" s="50" t="n">
        <v>0</v>
      </c>
      <c r="U1757" s="50" t="n">
        <v>0</v>
      </c>
      <c r="V1757" s="50" t="n">
        <v>0</v>
      </c>
      <c r="W1757" s="51" t="n">
        <v>0</v>
      </c>
      <c r="X1757" s="51" t="n">
        <v>0</v>
      </c>
      <c r="Y1757" s="51" t="n">
        <v>0</v>
      </c>
      <c r="Z1757" s="51" t="n">
        <v>0</v>
      </c>
      <c r="AA1757" s="52" t="n">
        <v>0</v>
      </c>
      <c r="AB1757" s="52" t="n">
        <v>0</v>
      </c>
      <c r="AC1757" s="52" t="n">
        <v>0</v>
      </c>
      <c r="AD1757" s="52" t="n">
        <v>0</v>
      </c>
      <c r="AE1757" s="52" t="n">
        <v>0</v>
      </c>
      <c r="AF1757" s="52" t="n">
        <v>0</v>
      </c>
      <c r="AG1757" s="52" t="n">
        <v>0</v>
      </c>
      <c r="AH1757" s="52" t="n">
        <v>0</v>
      </c>
      <c r="AI1757" s="52" t="n">
        <v>0</v>
      </c>
      <c r="AJ1757" s="52" t="n">
        <v>0</v>
      </c>
      <c r="AK1757" s="52" t="n">
        <v>0</v>
      </c>
      <c r="AL1757" s="52" t="n">
        <v>0</v>
      </c>
      <c r="AM1757" s="53" t="n">
        <v>0</v>
      </c>
      <c r="AN1757" s="53" t="n">
        <v>0</v>
      </c>
      <c r="AO1757" s="53" t="n">
        <v>0</v>
      </c>
      <c r="AP1757" s="53" t="n">
        <v>0</v>
      </c>
      <c r="AQ1757" s="52" t="n">
        <v>0</v>
      </c>
      <c r="AR1757" s="52" t="n">
        <v>0</v>
      </c>
      <c r="AS1757" s="52" t="n">
        <v>0</v>
      </c>
      <c r="AT1757" s="52" t="n">
        <v>0</v>
      </c>
      <c r="AU1757" s="53" t="n">
        <v>0</v>
      </c>
      <c r="AV1757" s="53" t="n">
        <v>0</v>
      </c>
      <c r="AW1757" s="53" t="n">
        <v>0</v>
      </c>
      <c r="AX1757" s="53" t="n">
        <v>0</v>
      </c>
      <c r="AY1757" s="52" t="n">
        <v>0</v>
      </c>
      <c r="AZ1757" s="52" t="n">
        <v>0</v>
      </c>
      <c r="BA1757" s="52" t="n">
        <v>0</v>
      </c>
      <c r="BB1757" s="52" t="n">
        <v>0</v>
      </c>
      <c r="BC1757" s="51" t="n">
        <v>0</v>
      </c>
      <c r="BD1757" s="51" t="n">
        <v>0</v>
      </c>
      <c r="BE1757" s="51" t="n">
        <v>0</v>
      </c>
      <c r="BF1757" s="51" t="n">
        <v>0</v>
      </c>
    </row>
    <row r="1758">
      <c r="A1758">
        <f>HYPERLINK("https://www.walmart.com/ip/103895689", "103895689")</f>
        <v/>
      </c>
      <c r="B1758" t="inlineStr">
        <is>
          <t>JenniWears® Women's Plus Size Sexy Lingeri Darque Babydoll And G-string</t>
        </is>
      </c>
      <c r="C1758" t="inlineStr">
        <is>
          <t>JWBD07BK-3XL</t>
        </is>
      </c>
      <c r="D1758" t="inlineStr">
        <is>
          <t>Lingerie Sets</t>
        </is>
      </c>
      <c r="E1758" t="inlineStr">
        <is>
          <t>JenniWears</t>
        </is>
      </c>
      <c r="F1758" t="inlineStr">
        <is>
          <t>Optimized,Valentine</t>
        </is>
      </c>
      <c r="G1758" s="48" t="n">
        <v>0</v>
      </c>
      <c r="H1758" s="48" t="n">
        <v>0</v>
      </c>
      <c r="I1758" s="48" t="n">
        <v>0</v>
      </c>
      <c r="J1758" s="48" t="n">
        <v>0</v>
      </c>
      <c r="K1758" s="49" t="n">
        <v>0</v>
      </c>
      <c r="L1758" s="49" t="n">
        <v>0</v>
      </c>
      <c r="M1758" s="49" t="n">
        <v>0</v>
      </c>
      <c r="N1758" s="49" t="n">
        <v>0</v>
      </c>
      <c r="O1758" s="49" t="n">
        <v>0</v>
      </c>
      <c r="P1758" s="49" t="n">
        <v>0</v>
      </c>
      <c r="Q1758" s="49" t="n">
        <v>0</v>
      </c>
      <c r="R1758" s="49" t="n">
        <v>0</v>
      </c>
      <c r="S1758" s="50" t="n">
        <v>0</v>
      </c>
      <c r="T1758" s="50" t="n">
        <v>0</v>
      </c>
      <c r="U1758" s="50" t="n">
        <v>0</v>
      </c>
      <c r="V1758" s="50" t="n">
        <v>0</v>
      </c>
      <c r="W1758" s="51" t="n">
        <v>0</v>
      </c>
      <c r="X1758" s="51" t="n">
        <v>0</v>
      </c>
      <c r="Y1758" s="51" t="n">
        <v>0</v>
      </c>
      <c r="Z1758" s="51" t="n">
        <v>0</v>
      </c>
      <c r="AA1758" s="52" t="n">
        <v>0</v>
      </c>
      <c r="AB1758" s="52" t="n">
        <v>0</v>
      </c>
      <c r="AC1758" s="52" t="n">
        <v>0</v>
      </c>
      <c r="AD1758" s="52" t="n">
        <v>0</v>
      </c>
      <c r="AE1758" s="52" t="n">
        <v>0</v>
      </c>
      <c r="AF1758" s="52" t="n">
        <v>0</v>
      </c>
      <c r="AG1758" s="52" t="n">
        <v>0</v>
      </c>
      <c r="AH1758" s="52" t="n">
        <v>0</v>
      </c>
      <c r="AI1758" s="52" t="n">
        <v>0</v>
      </c>
      <c r="AJ1758" s="52" t="n">
        <v>0</v>
      </c>
      <c r="AK1758" s="52" t="n">
        <v>0</v>
      </c>
      <c r="AL1758" s="52" t="n">
        <v>0</v>
      </c>
      <c r="AM1758" s="53" t="n">
        <v>0</v>
      </c>
      <c r="AN1758" s="53" t="n">
        <v>0</v>
      </c>
      <c r="AO1758" s="53" t="n">
        <v>0</v>
      </c>
      <c r="AP1758" s="53" t="n">
        <v>0</v>
      </c>
      <c r="AQ1758" s="52" t="n">
        <v>0</v>
      </c>
      <c r="AR1758" s="52" t="n">
        <v>0</v>
      </c>
      <c r="AS1758" s="52" t="n">
        <v>0</v>
      </c>
      <c r="AT1758" s="52" t="n">
        <v>0</v>
      </c>
      <c r="AU1758" s="53" t="n">
        <v>0</v>
      </c>
      <c r="AV1758" s="53" t="n">
        <v>0</v>
      </c>
      <c r="AW1758" s="53" t="n">
        <v>0</v>
      </c>
      <c r="AX1758" s="53" t="n">
        <v>0</v>
      </c>
      <c r="AY1758" s="52" t="n">
        <v>0</v>
      </c>
      <c r="AZ1758" s="52" t="n">
        <v>0</v>
      </c>
      <c r="BA1758" s="52" t="n">
        <v>0</v>
      </c>
      <c r="BB1758" s="52" t="n">
        <v>0</v>
      </c>
      <c r="BC1758" s="51" t="n">
        <v>0</v>
      </c>
      <c r="BD1758" s="51" t="n">
        <v>0</v>
      </c>
      <c r="BE1758" s="51" t="n">
        <v>0</v>
      </c>
      <c r="BF1758" s="51" t="n">
        <v>0</v>
      </c>
    </row>
    <row r="1759">
      <c r="A1759">
        <f>HYPERLINK("https://www.walmart.com/ip/120850786", "120850786")</f>
        <v/>
      </c>
      <c r="B1759" t="inlineStr">
        <is>
          <t>KC Caps Washed Cotton Twill Hat</t>
        </is>
      </c>
      <c r="C1759" t="inlineStr">
        <is>
          <t>KCS4130DKGN</t>
        </is>
      </c>
      <c r="D1759" t="inlineStr">
        <is>
          <t>Hats</t>
        </is>
      </c>
      <c r="E1759" t="inlineStr">
        <is>
          <t>KC Caps</t>
        </is>
      </c>
      <c r="F1759" t="inlineStr">
        <is>
          <t>Optimized,ST Patrick Day</t>
        </is>
      </c>
      <c r="G1759" s="48" t="n">
        <v>0</v>
      </c>
      <c r="H1759" s="48" t="n">
        <v>0</v>
      </c>
      <c r="I1759" s="48" t="n">
        <v>0</v>
      </c>
      <c r="J1759" s="48" t="n">
        <v>0</v>
      </c>
      <c r="K1759" s="49" t="n">
        <v>0</v>
      </c>
      <c r="L1759" s="49" t="n">
        <v>0</v>
      </c>
      <c r="M1759" s="49" t="n">
        <v>0</v>
      </c>
      <c r="N1759" s="49" t="n">
        <v>0</v>
      </c>
      <c r="O1759" s="49" t="n">
        <v>0</v>
      </c>
      <c r="P1759" s="49" t="n">
        <v>0</v>
      </c>
      <c r="Q1759" s="49" t="n">
        <v>0</v>
      </c>
      <c r="R1759" s="49" t="n">
        <v>0</v>
      </c>
      <c r="S1759" s="50" t="n">
        <v>0</v>
      </c>
      <c r="T1759" s="50" t="n">
        <v>0</v>
      </c>
      <c r="U1759" s="50" t="n">
        <v>0</v>
      </c>
      <c r="V1759" s="50" t="n">
        <v>0</v>
      </c>
      <c r="W1759" s="51" t="n">
        <v>0</v>
      </c>
      <c r="X1759" s="51" t="n">
        <v>0</v>
      </c>
      <c r="Y1759" s="51" t="n">
        <v>0</v>
      </c>
      <c r="Z1759" s="51" t="n">
        <v>0</v>
      </c>
      <c r="AA1759" s="52" t="n">
        <v>0</v>
      </c>
      <c r="AB1759" s="52" t="n">
        <v>0</v>
      </c>
      <c r="AC1759" s="52" t="n">
        <v>0</v>
      </c>
      <c r="AD1759" s="52" t="n">
        <v>0</v>
      </c>
      <c r="AE1759" s="52" t="n">
        <v>0</v>
      </c>
      <c r="AF1759" s="52" t="n">
        <v>0</v>
      </c>
      <c r="AG1759" s="52" t="n">
        <v>0</v>
      </c>
      <c r="AH1759" s="52" t="n">
        <v>0</v>
      </c>
      <c r="AI1759" s="52" t="n">
        <v>0</v>
      </c>
      <c r="AJ1759" s="52" t="n">
        <v>0</v>
      </c>
      <c r="AK1759" s="52" t="n">
        <v>0</v>
      </c>
      <c r="AL1759" s="52" t="n">
        <v>0</v>
      </c>
      <c r="AM1759" s="53" t="n">
        <v>0</v>
      </c>
      <c r="AN1759" s="53" t="n">
        <v>0</v>
      </c>
      <c r="AO1759" s="53" t="n">
        <v>0</v>
      </c>
      <c r="AP1759" s="53" t="n">
        <v>0</v>
      </c>
      <c r="AQ1759" s="52" t="n">
        <v>0</v>
      </c>
      <c r="AR1759" s="52" t="n">
        <v>0</v>
      </c>
      <c r="AS1759" s="52" t="n">
        <v>0</v>
      </c>
      <c r="AT1759" s="52" t="n">
        <v>0</v>
      </c>
      <c r="AU1759" s="53" t="n">
        <v>0</v>
      </c>
      <c r="AV1759" s="53" t="n">
        <v>0</v>
      </c>
      <c r="AW1759" s="53" t="n">
        <v>0</v>
      </c>
      <c r="AX1759" s="53" t="n">
        <v>0</v>
      </c>
      <c r="AY1759" s="52" t="n">
        <v>0</v>
      </c>
      <c r="AZ1759" s="52" t="n">
        <v>0</v>
      </c>
      <c r="BA1759" s="52" t="n">
        <v>0</v>
      </c>
      <c r="BB1759" s="52" t="n">
        <v>0</v>
      </c>
      <c r="BC1759" s="51" t="n">
        <v>0</v>
      </c>
      <c r="BD1759" s="51" t="n">
        <v>0</v>
      </c>
      <c r="BE1759" s="51" t="n">
        <v>0</v>
      </c>
      <c r="BF1759" s="51" t="n">
        <v>0</v>
      </c>
    </row>
    <row r="1760">
      <c r="A1760">
        <f>HYPERLINK("https://www.walmart.com/ip/1208862801", "1208862801")</f>
        <v/>
      </c>
      <c r="B1760" t="inlineStr">
        <is>
          <t>Tirrinia Fleece Sherpa Throw Blanket 90" x 90" Reversible Fuzzy Micro Plush All Season TV Blanket for Bed or Couch</t>
        </is>
      </c>
      <c r="C1760" t="inlineStr">
        <is>
          <t>1TRBF399XMAS</t>
        </is>
      </c>
      <c r="D1760" t="inlineStr">
        <is>
          <t>Throws</t>
        </is>
      </c>
      <c r="E1760" t="inlineStr">
        <is>
          <t>Tirrinia</t>
        </is>
      </c>
      <c r="F1760" t="inlineStr">
        <is>
          <t>Batch 1 - TR</t>
        </is>
      </c>
      <c r="G1760" s="48" t="n">
        <v>0</v>
      </c>
      <c r="H1760" s="48" t="n">
        <v>0</v>
      </c>
      <c r="I1760" s="48" t="n">
        <v>0</v>
      </c>
      <c r="J1760" s="48" t="n">
        <v>0</v>
      </c>
      <c r="K1760" s="49" t="n">
        <v>0</v>
      </c>
      <c r="L1760" s="49" t="n">
        <v>0</v>
      </c>
      <c r="M1760" s="49" t="n">
        <v>0</v>
      </c>
      <c r="N1760" s="49" t="n">
        <v>0</v>
      </c>
      <c r="O1760" s="49" t="n">
        <v>0</v>
      </c>
      <c r="P1760" s="49" t="n">
        <v>0</v>
      </c>
      <c r="Q1760" s="49" t="n">
        <v>0</v>
      </c>
      <c r="R1760" s="49" t="n">
        <v>0</v>
      </c>
      <c r="S1760" s="50" t="n">
        <v>0</v>
      </c>
      <c r="T1760" s="50" t="n">
        <v>0</v>
      </c>
      <c r="U1760" s="50" t="n">
        <v>0</v>
      </c>
      <c r="V1760" s="50" t="n">
        <v>0</v>
      </c>
      <c r="W1760" s="51" t="n">
        <v>0</v>
      </c>
      <c r="X1760" s="51" t="n">
        <v>0</v>
      </c>
      <c r="Y1760" s="51" t="n">
        <v>0</v>
      </c>
      <c r="Z1760" s="51" t="n">
        <v>0</v>
      </c>
      <c r="AA1760" s="52" t="n">
        <v>0</v>
      </c>
      <c r="AB1760" s="52" t="n">
        <v>0</v>
      </c>
      <c r="AC1760" s="52" t="n">
        <v>0</v>
      </c>
      <c r="AD1760" s="52" t="n">
        <v>0</v>
      </c>
      <c r="AE1760" s="52" t="n">
        <v>0</v>
      </c>
      <c r="AF1760" s="52" t="n">
        <v>0</v>
      </c>
      <c r="AG1760" s="52" t="n">
        <v>0</v>
      </c>
      <c r="AH1760" s="52" t="n">
        <v>0</v>
      </c>
      <c r="AI1760" s="52" t="n">
        <v>0</v>
      </c>
      <c r="AJ1760" s="52" t="n">
        <v>0</v>
      </c>
      <c r="AK1760" s="52" t="n">
        <v>0</v>
      </c>
      <c r="AL1760" s="52" t="n">
        <v>0</v>
      </c>
      <c r="AM1760" s="53" t="n">
        <v>0</v>
      </c>
      <c r="AN1760" s="53" t="n">
        <v>0</v>
      </c>
      <c r="AO1760" s="53" t="n">
        <v>0</v>
      </c>
      <c r="AP1760" s="53" t="n">
        <v>0</v>
      </c>
      <c r="AQ1760" s="52" t="n">
        <v>0</v>
      </c>
      <c r="AR1760" s="52" t="n">
        <v>0</v>
      </c>
      <c r="AS1760" s="52" t="n">
        <v>0</v>
      </c>
      <c r="AT1760" s="52" t="n">
        <v>0</v>
      </c>
      <c r="AU1760" s="53" t="n">
        <v>0</v>
      </c>
      <c r="AV1760" s="53" t="n">
        <v>0</v>
      </c>
      <c r="AW1760" s="53" t="n">
        <v>0</v>
      </c>
      <c r="AX1760" s="53" t="n">
        <v>0</v>
      </c>
      <c r="AY1760" s="52" t="n">
        <v>0</v>
      </c>
      <c r="AZ1760" s="52" t="n">
        <v>0</v>
      </c>
      <c r="BA1760" s="52" t="n">
        <v>0</v>
      </c>
      <c r="BB1760" s="52" t="n">
        <v>0</v>
      </c>
      <c r="BC1760" s="51" t="n">
        <v>0</v>
      </c>
      <c r="BD1760" s="51" t="n">
        <v>0</v>
      </c>
      <c r="BE1760" s="51" t="n">
        <v>0</v>
      </c>
      <c r="BF1760" s="51" t="n">
        <v>0</v>
      </c>
    </row>
    <row r="1761">
      <c r="A1761">
        <f>HYPERLINK("https://www.walmart.com/ip/121146422", "121146422")</f>
        <v/>
      </c>
      <c r="B1761" t="inlineStr">
        <is>
          <t>Catalonia Fleece Wearable Blanket Poncho for Adult Women Men, Wrap Blanket Cape with Pocket | Warm, Soft, Cozy, Snuggly, Comfort Gift, No Sleeves | All-Season, Camel</t>
        </is>
      </c>
      <c r="C1761" t="inlineStr">
        <is>
          <t>1CTBP100CA</t>
        </is>
      </c>
      <c r="D1761" t="inlineStr">
        <is>
          <t>Throws</t>
        </is>
      </c>
      <c r="E1761" t="inlineStr">
        <is>
          <t>Catalonia</t>
        </is>
      </c>
      <c r="F1761" t="inlineStr">
        <is>
          <t>Hero 5 Holidays,WFS,Coupon_Discount,WFS Item</t>
        </is>
      </c>
      <c r="G1761" s="48" t="n">
        <v>0</v>
      </c>
      <c r="H1761" s="48" t="n">
        <v>0</v>
      </c>
      <c r="I1761" s="48" t="n">
        <v>0</v>
      </c>
      <c r="J1761" s="48" t="n">
        <v>0</v>
      </c>
      <c r="K1761" s="49" t="n">
        <v>0</v>
      </c>
      <c r="L1761" s="49" t="n">
        <v>0</v>
      </c>
      <c r="M1761" s="49" t="n">
        <v>0</v>
      </c>
      <c r="N1761" s="49" t="n">
        <v>0</v>
      </c>
      <c r="O1761" s="49" t="n">
        <v>0</v>
      </c>
      <c r="P1761" s="49" t="n">
        <v>0</v>
      </c>
      <c r="Q1761" s="49" t="n">
        <v>0</v>
      </c>
      <c r="R1761" s="49" t="n">
        <v>0</v>
      </c>
      <c r="S1761" s="50" t="n">
        <v>0</v>
      </c>
      <c r="T1761" s="50" t="n">
        <v>0</v>
      </c>
      <c r="U1761" s="50" t="n">
        <v>0</v>
      </c>
      <c r="V1761" s="50" t="n">
        <v>0</v>
      </c>
      <c r="W1761" s="51" t="n">
        <v>0</v>
      </c>
      <c r="X1761" s="51" t="n">
        <v>0</v>
      </c>
      <c r="Y1761" s="51" t="n">
        <v>0</v>
      </c>
      <c r="Z1761" s="51" t="n">
        <v>0</v>
      </c>
      <c r="AA1761" s="52" t="n">
        <v>0</v>
      </c>
      <c r="AB1761" s="52" t="n">
        <v>0</v>
      </c>
      <c r="AC1761" s="52" t="n">
        <v>0</v>
      </c>
      <c r="AD1761" s="52" t="n">
        <v>0</v>
      </c>
      <c r="AE1761" s="52" t="n">
        <v>0</v>
      </c>
      <c r="AF1761" s="52" t="n">
        <v>0</v>
      </c>
      <c r="AG1761" s="52" t="n">
        <v>0</v>
      </c>
      <c r="AH1761" s="52" t="n">
        <v>0</v>
      </c>
      <c r="AI1761" s="52" t="n">
        <v>0</v>
      </c>
      <c r="AJ1761" s="52" t="n">
        <v>0</v>
      </c>
      <c r="AK1761" s="52" t="n">
        <v>0</v>
      </c>
      <c r="AL1761" s="52" t="n">
        <v>0</v>
      </c>
      <c r="AM1761" s="53" t="n">
        <v>0</v>
      </c>
      <c r="AN1761" s="53" t="n">
        <v>0</v>
      </c>
      <c r="AO1761" s="53" t="n">
        <v>0</v>
      </c>
      <c r="AP1761" s="53" t="n">
        <v>0</v>
      </c>
      <c r="AQ1761" s="52" t="n">
        <v>0</v>
      </c>
      <c r="AR1761" s="52" t="n">
        <v>0</v>
      </c>
      <c r="AS1761" s="52" t="n">
        <v>0</v>
      </c>
      <c r="AT1761" s="52" t="n">
        <v>0</v>
      </c>
      <c r="AU1761" s="53" t="n">
        <v>0</v>
      </c>
      <c r="AV1761" s="53" t="n">
        <v>0</v>
      </c>
      <c r="AW1761" s="53" t="n">
        <v>0</v>
      </c>
      <c r="AX1761" s="53" t="n">
        <v>0</v>
      </c>
      <c r="AY1761" s="52" t="n">
        <v>0</v>
      </c>
      <c r="AZ1761" s="52" t="n">
        <v>0</v>
      </c>
      <c r="BA1761" s="52" t="n">
        <v>0</v>
      </c>
      <c r="BB1761" s="52" t="n">
        <v>0</v>
      </c>
      <c r="BC1761" s="51" t="n">
        <v>0</v>
      </c>
      <c r="BD1761" s="51" t="n">
        <v>0</v>
      </c>
      <c r="BE1761" s="51" t="n">
        <v>0</v>
      </c>
      <c r="BF1761" s="51" t="n">
        <v>0</v>
      </c>
    </row>
    <row r="1762">
      <c r="A1762">
        <f>HYPERLINK("https://www.walmart.com/ip/1361841364", "1361841364")</f>
        <v/>
      </c>
      <c r="B1762" t="inlineStr">
        <is>
          <t>Kato Outdoors Waterproof Blanket, Sherpa Fleece Stadium Windproof Throw Mat for Boat, Traveling, Camping, Hiking, Football - Machine Washable, Camo/Black, 59”x 79”.</t>
        </is>
      </c>
      <c r="C1762" t="inlineStr">
        <is>
          <t>1KTBW608CAMOBK</t>
        </is>
      </c>
      <c r="D1762" t="inlineStr">
        <is>
          <t>Throws</t>
        </is>
      </c>
      <c r="E1762" t="inlineStr">
        <is>
          <t>Kato</t>
        </is>
      </c>
      <c r="F1762" t="inlineStr">
        <is>
          <t>Q2-Target</t>
        </is>
      </c>
      <c r="G1762" s="48" t="n">
        <v>0</v>
      </c>
      <c r="H1762" s="48" t="n">
        <v>0</v>
      </c>
      <c r="I1762" s="48" t="n">
        <v>0</v>
      </c>
      <c r="J1762" s="48" t="n">
        <v>34.98</v>
      </c>
      <c r="K1762" s="49" t="n">
        <v>0</v>
      </c>
      <c r="L1762" s="49" t="n">
        <v>0</v>
      </c>
      <c r="M1762" s="49" t="n">
        <v>0</v>
      </c>
      <c r="N1762" s="49" t="n">
        <v>1</v>
      </c>
      <c r="O1762" s="49" t="n">
        <v>0</v>
      </c>
      <c r="P1762" s="49" t="n">
        <v>0</v>
      </c>
      <c r="Q1762" s="49" t="n">
        <v>0</v>
      </c>
      <c r="R1762" s="49" t="n">
        <v>0</v>
      </c>
      <c r="S1762" s="50" t="n">
        <v>0</v>
      </c>
      <c r="T1762" s="50" t="n">
        <v>0</v>
      </c>
      <c r="U1762" s="50" t="n">
        <v>0</v>
      </c>
      <c r="V1762" s="50" t="n">
        <v>0</v>
      </c>
      <c r="W1762" s="51" t="n">
        <v>0</v>
      </c>
      <c r="X1762" s="51" t="n">
        <v>0</v>
      </c>
      <c r="Y1762" s="51" t="n">
        <v>0</v>
      </c>
      <c r="Z1762" s="51" t="n">
        <v>0</v>
      </c>
      <c r="AA1762" s="52" t="n">
        <v>0</v>
      </c>
      <c r="AB1762" s="52" t="n">
        <v>0</v>
      </c>
      <c r="AC1762" s="52" t="n">
        <v>0</v>
      </c>
      <c r="AD1762" s="52" t="n">
        <v>0</v>
      </c>
      <c r="AE1762" s="52" t="n">
        <v>0</v>
      </c>
      <c r="AF1762" s="52" t="n">
        <v>0</v>
      </c>
      <c r="AG1762" s="52" t="n">
        <v>0</v>
      </c>
      <c r="AH1762" s="52" t="n">
        <v>0</v>
      </c>
      <c r="AI1762" s="52" t="n">
        <v>0</v>
      </c>
      <c r="AJ1762" s="52" t="n">
        <v>0</v>
      </c>
      <c r="AK1762" s="52" t="n">
        <v>0</v>
      </c>
      <c r="AL1762" s="52" t="n">
        <v>0</v>
      </c>
      <c r="AM1762" s="53" t="n">
        <v>0</v>
      </c>
      <c r="AN1762" s="53" t="n">
        <v>0</v>
      </c>
      <c r="AO1762" s="53" t="n">
        <v>0</v>
      </c>
      <c r="AP1762" s="53" t="n">
        <v>0</v>
      </c>
      <c r="AQ1762" s="52" t="n">
        <v>0</v>
      </c>
      <c r="AR1762" s="52" t="n">
        <v>0</v>
      </c>
      <c r="AS1762" s="52" t="n">
        <v>0</v>
      </c>
      <c r="AT1762" s="52" t="n">
        <v>0</v>
      </c>
      <c r="AU1762" s="53" t="n">
        <v>0</v>
      </c>
      <c r="AV1762" s="53" t="n">
        <v>0</v>
      </c>
      <c r="AW1762" s="53" t="n">
        <v>0</v>
      </c>
      <c r="AX1762" s="53" t="n">
        <v>0</v>
      </c>
      <c r="AY1762" s="52" t="n">
        <v>0</v>
      </c>
      <c r="AZ1762" s="52" t="n">
        <v>0</v>
      </c>
      <c r="BA1762" s="52" t="n">
        <v>0</v>
      </c>
      <c r="BB1762" s="52" t="n">
        <v>34.98</v>
      </c>
      <c r="BC1762" s="51" t="n">
        <v>0</v>
      </c>
      <c r="BD1762" s="51" t="n">
        <v>0</v>
      </c>
      <c r="BE1762" s="51" t="n">
        <v>0</v>
      </c>
      <c r="BF1762" s="51" t="n">
        <v>0</v>
      </c>
    </row>
    <row r="1763">
      <c r="A1763">
        <f>HYPERLINK("https://www.walmart.com/ip/1367232974", "1367232974")</f>
        <v/>
      </c>
      <c r="B1763" t="inlineStr">
        <is>
          <t>Sherpa Throw Blanket Fleece, Super Cozy Warm TV Blankets for Bed or Couch Reversible 60" x 80"</t>
        </is>
      </c>
      <c r="C1763" t="inlineStr">
        <is>
          <t>1TRBF368SNOWMAN</t>
        </is>
      </c>
      <c r="D1763" t="inlineStr">
        <is>
          <t>Throws</t>
        </is>
      </c>
      <c r="E1763" t="inlineStr">
        <is>
          <t>Tirrinia</t>
        </is>
      </c>
      <c r="G1763" s="48" t="n">
        <v>0</v>
      </c>
      <c r="H1763" s="48" t="n">
        <v>0</v>
      </c>
      <c r="I1763" s="48" t="n">
        <v>0</v>
      </c>
      <c r="J1763" s="48" t="n">
        <v>0</v>
      </c>
      <c r="K1763" s="49" t="n">
        <v>0</v>
      </c>
      <c r="L1763" s="49" t="n">
        <v>0</v>
      </c>
      <c r="M1763" s="49" t="n">
        <v>0</v>
      </c>
      <c r="N1763" s="49" t="n">
        <v>0</v>
      </c>
      <c r="O1763" s="49" t="n">
        <v>0</v>
      </c>
      <c r="P1763" s="49" t="n">
        <v>0</v>
      </c>
      <c r="Q1763" s="49" t="n">
        <v>0</v>
      </c>
      <c r="R1763" s="49" t="n">
        <v>0</v>
      </c>
      <c r="S1763" s="50" t="n">
        <v>0</v>
      </c>
      <c r="T1763" s="50" t="n">
        <v>0</v>
      </c>
      <c r="U1763" s="50" t="n">
        <v>0</v>
      </c>
      <c r="V1763" s="50" t="n">
        <v>0</v>
      </c>
      <c r="W1763" s="51" t="n">
        <v>0</v>
      </c>
      <c r="X1763" s="51" t="n">
        <v>0</v>
      </c>
      <c r="Y1763" s="51" t="n">
        <v>0</v>
      </c>
      <c r="Z1763" s="51" t="n">
        <v>0</v>
      </c>
      <c r="AA1763" s="52" t="n">
        <v>0</v>
      </c>
      <c r="AB1763" s="52" t="n">
        <v>0</v>
      </c>
      <c r="AC1763" s="52" t="n">
        <v>0</v>
      </c>
      <c r="AD1763" s="52" t="n">
        <v>0</v>
      </c>
      <c r="AE1763" s="52" t="n">
        <v>0</v>
      </c>
      <c r="AF1763" s="52" t="n">
        <v>0</v>
      </c>
      <c r="AG1763" s="52" t="n">
        <v>0</v>
      </c>
      <c r="AH1763" s="52" t="n">
        <v>0</v>
      </c>
      <c r="AI1763" s="52" t="n">
        <v>0</v>
      </c>
      <c r="AJ1763" s="52" t="n">
        <v>0</v>
      </c>
      <c r="AK1763" s="52" t="n">
        <v>0</v>
      </c>
      <c r="AL1763" s="52" t="n">
        <v>0</v>
      </c>
      <c r="AM1763" s="53" t="n">
        <v>0</v>
      </c>
      <c r="AN1763" s="53" t="n">
        <v>0</v>
      </c>
      <c r="AO1763" s="53" t="n">
        <v>0</v>
      </c>
      <c r="AP1763" s="53" t="n">
        <v>0</v>
      </c>
      <c r="AQ1763" s="52" t="n">
        <v>0</v>
      </c>
      <c r="AR1763" s="52" t="n">
        <v>0</v>
      </c>
      <c r="AS1763" s="52" t="n">
        <v>0</v>
      </c>
      <c r="AT1763" s="52" t="n">
        <v>0</v>
      </c>
      <c r="AU1763" s="53" t="n">
        <v>0</v>
      </c>
      <c r="AV1763" s="53" t="n">
        <v>0</v>
      </c>
      <c r="AW1763" s="53" t="n">
        <v>0</v>
      </c>
      <c r="AX1763" s="53" t="n">
        <v>0</v>
      </c>
      <c r="AY1763" s="52" t="n">
        <v>0</v>
      </c>
      <c r="AZ1763" s="52" t="n">
        <v>0</v>
      </c>
      <c r="BA1763" s="52" t="n">
        <v>0</v>
      </c>
      <c r="BB1763" s="52" t="n">
        <v>0</v>
      </c>
      <c r="BC1763" s="51" t="n">
        <v>0</v>
      </c>
      <c r="BD1763" s="51" t="n">
        <v>0</v>
      </c>
      <c r="BE1763" s="51" t="n">
        <v>0</v>
      </c>
      <c r="BF1763" s="51" t="n">
        <v>0</v>
      </c>
    </row>
    <row r="1764">
      <c r="A1764">
        <f>HYPERLINK("https://www.walmart.com/ip/136742793", "136742793")</f>
        <v/>
      </c>
      <c r="B1764" t="inlineStr">
        <is>
          <t>Napa Premium Chevron Micro Plush Fleece Sherpa Bed Throw TV Blanket 50” x 60” Sea Blue</t>
        </is>
      </c>
      <c r="C1764" t="inlineStr">
        <is>
          <t>K8020SEABLUE</t>
        </is>
      </c>
      <c r="D1764" t="inlineStr">
        <is>
          <t>Throws</t>
        </is>
      </c>
      <c r="E1764" t="inlineStr">
        <is>
          <t>NAPA</t>
        </is>
      </c>
      <c r="F1764" t="inlineStr">
        <is>
          <t>Optimized</t>
        </is>
      </c>
      <c r="G1764" s="48" t="n">
        <v>0</v>
      </c>
      <c r="H1764" s="48" t="n">
        <v>0</v>
      </c>
      <c r="I1764" s="48" t="n">
        <v>0</v>
      </c>
      <c r="J1764" s="48" t="n">
        <v>0</v>
      </c>
      <c r="K1764" s="49" t="n">
        <v>0</v>
      </c>
      <c r="L1764" s="49" t="n">
        <v>0</v>
      </c>
      <c r="M1764" s="49" t="n">
        <v>0</v>
      </c>
      <c r="N1764" s="49" t="n">
        <v>0</v>
      </c>
      <c r="O1764" s="49" t="n">
        <v>0</v>
      </c>
      <c r="P1764" s="49" t="n">
        <v>0</v>
      </c>
      <c r="Q1764" s="49" t="n">
        <v>0</v>
      </c>
      <c r="R1764" s="49" t="n">
        <v>0</v>
      </c>
      <c r="S1764" s="50" t="n">
        <v>0</v>
      </c>
      <c r="T1764" s="50" t="n">
        <v>0</v>
      </c>
      <c r="U1764" s="50" t="n">
        <v>0</v>
      </c>
      <c r="V1764" s="50" t="n">
        <v>0</v>
      </c>
      <c r="W1764" s="51" t="n">
        <v>0</v>
      </c>
      <c r="X1764" s="51" t="n">
        <v>0</v>
      </c>
      <c r="Y1764" s="51" t="n">
        <v>0</v>
      </c>
      <c r="Z1764" s="51" t="n">
        <v>0</v>
      </c>
      <c r="AA1764" s="52" t="n">
        <v>0</v>
      </c>
      <c r="AB1764" s="52" t="n">
        <v>0</v>
      </c>
      <c r="AC1764" s="52" t="n">
        <v>0</v>
      </c>
      <c r="AD1764" s="52" t="n">
        <v>0</v>
      </c>
      <c r="AE1764" s="52" t="n">
        <v>0</v>
      </c>
      <c r="AF1764" s="52" t="n">
        <v>0</v>
      </c>
      <c r="AG1764" s="52" t="n">
        <v>0</v>
      </c>
      <c r="AH1764" s="52" t="n">
        <v>0</v>
      </c>
      <c r="AI1764" s="52" t="n">
        <v>0</v>
      </c>
      <c r="AJ1764" s="52" t="n">
        <v>0</v>
      </c>
      <c r="AK1764" s="52" t="n">
        <v>0</v>
      </c>
      <c r="AL1764" s="52" t="n">
        <v>0</v>
      </c>
      <c r="AM1764" s="53" t="n">
        <v>0</v>
      </c>
      <c r="AN1764" s="53" t="n">
        <v>0</v>
      </c>
      <c r="AO1764" s="53" t="n">
        <v>0</v>
      </c>
      <c r="AP1764" s="53" t="n">
        <v>0</v>
      </c>
      <c r="AQ1764" s="52" t="n">
        <v>0</v>
      </c>
      <c r="AR1764" s="52" t="n">
        <v>0</v>
      </c>
      <c r="AS1764" s="52" t="n">
        <v>0</v>
      </c>
      <c r="AT1764" s="52" t="n">
        <v>0</v>
      </c>
      <c r="AU1764" s="53" t="n">
        <v>0</v>
      </c>
      <c r="AV1764" s="53" t="n">
        <v>0</v>
      </c>
      <c r="AW1764" s="53" t="n">
        <v>0</v>
      </c>
      <c r="AX1764" s="53" t="n">
        <v>0</v>
      </c>
      <c r="AY1764" s="52" t="n">
        <v>0</v>
      </c>
      <c r="AZ1764" s="52" t="n">
        <v>0</v>
      </c>
      <c r="BA1764" s="52" t="n">
        <v>0</v>
      </c>
      <c r="BB1764" s="52" t="n">
        <v>0</v>
      </c>
      <c r="BC1764" s="51" t="n">
        <v>0</v>
      </c>
      <c r="BD1764" s="51" t="n">
        <v>0</v>
      </c>
      <c r="BE1764" s="51" t="n">
        <v>0</v>
      </c>
      <c r="BF1764" s="51" t="n">
        <v>0</v>
      </c>
    </row>
    <row r="1765">
      <c r="A1765">
        <f>HYPERLINK("https://www.walmart.com/ip/136749129", "136749129")</f>
        <v/>
      </c>
      <c r="B1765" t="inlineStr">
        <is>
          <t>KC Caps Unisex Low Profile Baseball Cap, Hat for Women and Men, Blaze Orange</t>
        </is>
      </c>
      <c r="C1765" t="inlineStr">
        <is>
          <t>KC-8120-NOR</t>
        </is>
      </c>
      <c r="D1765" t="inlineStr">
        <is>
          <t>Hats</t>
        </is>
      </c>
      <c r="E1765" t="inlineStr">
        <is>
          <t>KC Caps</t>
        </is>
      </c>
      <c r="F1765" t="inlineStr">
        <is>
          <t>Optimized,WFS,WFS Item</t>
        </is>
      </c>
      <c r="G1765" s="48" t="n">
        <v>0</v>
      </c>
      <c r="H1765" s="48" t="n">
        <v>0</v>
      </c>
      <c r="I1765" s="48" t="n">
        <v>0</v>
      </c>
      <c r="J1765" s="48" t="n">
        <v>0</v>
      </c>
      <c r="K1765" s="49" t="n">
        <v>0</v>
      </c>
      <c r="L1765" s="49" t="n">
        <v>0</v>
      </c>
      <c r="M1765" s="49" t="n">
        <v>0</v>
      </c>
      <c r="N1765" s="49" t="n">
        <v>0</v>
      </c>
      <c r="O1765" s="49" t="n">
        <v>0</v>
      </c>
      <c r="P1765" s="49" t="n">
        <v>0</v>
      </c>
      <c r="Q1765" s="49" t="n">
        <v>0</v>
      </c>
      <c r="R1765" s="49" t="n">
        <v>0</v>
      </c>
      <c r="S1765" s="50" t="n">
        <v>0</v>
      </c>
      <c r="T1765" s="50" t="n">
        <v>0</v>
      </c>
      <c r="U1765" s="50" t="n">
        <v>0</v>
      </c>
      <c r="V1765" s="50" t="n">
        <v>0</v>
      </c>
      <c r="W1765" s="51" t="n">
        <v>0</v>
      </c>
      <c r="X1765" s="51" t="n">
        <v>0</v>
      </c>
      <c r="Y1765" s="51" t="n">
        <v>0</v>
      </c>
      <c r="Z1765" s="51" t="n">
        <v>0</v>
      </c>
      <c r="AA1765" s="52" t="n">
        <v>0</v>
      </c>
      <c r="AB1765" s="52" t="n">
        <v>0</v>
      </c>
      <c r="AC1765" s="52" t="n">
        <v>0</v>
      </c>
      <c r="AD1765" s="52" t="n">
        <v>0</v>
      </c>
      <c r="AE1765" s="52" t="n">
        <v>0</v>
      </c>
      <c r="AF1765" s="52" t="n">
        <v>0</v>
      </c>
      <c r="AG1765" s="52" t="n">
        <v>0</v>
      </c>
      <c r="AH1765" s="52" t="n">
        <v>0</v>
      </c>
      <c r="AI1765" s="52" t="n">
        <v>0</v>
      </c>
      <c r="AJ1765" s="52" t="n">
        <v>0</v>
      </c>
      <c r="AK1765" s="52" t="n">
        <v>0</v>
      </c>
      <c r="AL1765" s="52" t="n">
        <v>0</v>
      </c>
      <c r="AM1765" s="53" t="n">
        <v>0</v>
      </c>
      <c r="AN1765" s="53" t="n">
        <v>0</v>
      </c>
      <c r="AO1765" s="53" t="n">
        <v>0</v>
      </c>
      <c r="AP1765" s="53" t="n">
        <v>0</v>
      </c>
      <c r="AQ1765" s="52" t="n">
        <v>0</v>
      </c>
      <c r="AR1765" s="52" t="n">
        <v>0</v>
      </c>
      <c r="AS1765" s="52" t="n">
        <v>0</v>
      </c>
      <c r="AT1765" s="52" t="n">
        <v>0</v>
      </c>
      <c r="AU1765" s="53" t="n">
        <v>0</v>
      </c>
      <c r="AV1765" s="53" t="n">
        <v>0</v>
      </c>
      <c r="AW1765" s="53" t="n">
        <v>0</v>
      </c>
      <c r="AX1765" s="53" t="n">
        <v>0</v>
      </c>
      <c r="AY1765" s="52" t="n">
        <v>0</v>
      </c>
      <c r="AZ1765" s="52" t="n">
        <v>0</v>
      </c>
      <c r="BA1765" s="52" t="n">
        <v>0</v>
      </c>
      <c r="BB1765" s="52" t="n">
        <v>0</v>
      </c>
      <c r="BC1765" s="51" t="n">
        <v>0</v>
      </c>
      <c r="BD1765" s="51" t="n">
        <v>0</v>
      </c>
      <c r="BE1765" s="51" t="n">
        <v>0</v>
      </c>
      <c r="BF1765" s="51" t="n">
        <v>0</v>
      </c>
    </row>
    <row r="1766">
      <c r="A1766">
        <f>HYPERLINK("https://www.walmart.com/ip/1369865038", "1369865038")</f>
        <v/>
      </c>
      <c r="B1766" t="inlineStr">
        <is>
          <t>12 Pack Women's Sun Hat Reversible Bucket Cap UPF 50+ Travel Beach Hat, Hawaii Flower Print Blue Pattern</t>
        </is>
      </c>
      <c r="C1766" t="inlineStr">
        <is>
          <t>KC-S9200FLW-BL-12pcs</t>
        </is>
      </c>
      <c r="D1766" t="inlineStr">
        <is>
          <t>Hats</t>
        </is>
      </c>
      <c r="E1766" t="inlineStr">
        <is>
          <t>Sun Blocker</t>
        </is>
      </c>
      <c r="F1766" t="inlineStr">
        <is>
          <t>Batch 1 - TR</t>
        </is>
      </c>
      <c r="G1766" s="48" t="n">
        <v>0</v>
      </c>
      <c r="H1766" s="48" t="n">
        <v>0</v>
      </c>
      <c r="I1766" s="48" t="n">
        <v>0</v>
      </c>
      <c r="J1766" s="48" t="n">
        <v>0</v>
      </c>
      <c r="K1766" s="49" t="n">
        <v>0</v>
      </c>
      <c r="L1766" s="49" t="n">
        <v>0</v>
      </c>
      <c r="M1766" s="49" t="n">
        <v>0</v>
      </c>
      <c r="N1766" s="49" t="n">
        <v>0</v>
      </c>
      <c r="O1766" s="49" t="n">
        <v>0</v>
      </c>
      <c r="P1766" s="49" t="n">
        <v>0</v>
      </c>
      <c r="Q1766" s="49" t="n">
        <v>0</v>
      </c>
      <c r="R1766" s="49" t="n">
        <v>0</v>
      </c>
      <c r="S1766" s="50" t="n">
        <v>0</v>
      </c>
      <c r="T1766" s="50" t="n">
        <v>0</v>
      </c>
      <c r="U1766" s="50" t="n">
        <v>0</v>
      </c>
      <c r="V1766" s="50" t="n">
        <v>0</v>
      </c>
      <c r="W1766" s="51" t="n">
        <v>0</v>
      </c>
      <c r="X1766" s="51" t="n">
        <v>0</v>
      </c>
      <c r="Y1766" s="51" t="n">
        <v>0</v>
      </c>
      <c r="Z1766" s="51" t="n">
        <v>0</v>
      </c>
      <c r="AA1766" s="52" t="n">
        <v>0</v>
      </c>
      <c r="AB1766" s="52" t="n">
        <v>0</v>
      </c>
      <c r="AC1766" s="52" t="n">
        <v>0</v>
      </c>
      <c r="AD1766" s="52" t="n">
        <v>0</v>
      </c>
      <c r="AE1766" s="52" t="n">
        <v>0</v>
      </c>
      <c r="AF1766" s="52" t="n">
        <v>0</v>
      </c>
      <c r="AG1766" s="52" t="n">
        <v>0</v>
      </c>
      <c r="AH1766" s="52" t="n">
        <v>0</v>
      </c>
      <c r="AI1766" s="52" t="n">
        <v>0</v>
      </c>
      <c r="AJ1766" s="52" t="n">
        <v>0</v>
      </c>
      <c r="AK1766" s="52" t="n">
        <v>0</v>
      </c>
      <c r="AL1766" s="52" t="n">
        <v>0</v>
      </c>
      <c r="AM1766" s="53" t="n">
        <v>0</v>
      </c>
      <c r="AN1766" s="53" t="n">
        <v>0</v>
      </c>
      <c r="AO1766" s="53" t="n">
        <v>0</v>
      </c>
      <c r="AP1766" s="53" t="n">
        <v>0</v>
      </c>
      <c r="AQ1766" s="52" t="n">
        <v>0</v>
      </c>
      <c r="AR1766" s="52" t="n">
        <v>0</v>
      </c>
      <c r="AS1766" s="52" t="n">
        <v>0</v>
      </c>
      <c r="AT1766" s="52" t="n">
        <v>0</v>
      </c>
      <c r="AU1766" s="53" t="n">
        <v>0</v>
      </c>
      <c r="AV1766" s="53" t="n">
        <v>0</v>
      </c>
      <c r="AW1766" s="53" t="n">
        <v>0</v>
      </c>
      <c r="AX1766" s="53" t="n">
        <v>0</v>
      </c>
      <c r="AY1766" s="52" t="n">
        <v>0</v>
      </c>
      <c r="AZ1766" s="52" t="n">
        <v>0</v>
      </c>
      <c r="BA1766" s="52" t="n">
        <v>0</v>
      </c>
      <c r="BB1766" s="52" t="n">
        <v>0</v>
      </c>
      <c r="BC1766" s="51" t="n">
        <v>0</v>
      </c>
      <c r="BD1766" s="51" t="n">
        <v>0</v>
      </c>
      <c r="BE1766" s="51" t="n">
        <v>0</v>
      </c>
      <c r="BF1766" s="51" t="n">
        <v>0</v>
      </c>
    </row>
    <row r="1767">
      <c r="A1767">
        <f>HYPERLINK("https://www.walmart.com/ip/13718917327", "13718917327")</f>
        <v/>
      </c>
      <c r="B1767" t="inlineStr">
        <is>
          <t>Catalonia Wearable Hoodie Blanket Quilted Outdoor Waterproof Hoodie for Women Men for Hiking Camping Picnic Oversized Soft Cozy Warm Hoodie Blanket Gifts with Giant Pocket and Long Sleeves Blue</t>
        </is>
      </c>
      <c r="C1767" t="inlineStr">
        <is>
          <t>1CTHD301BL</t>
        </is>
      </c>
      <c r="D1767" t="inlineStr">
        <is>
          <t>Sweatshirts &amp; Hoodies</t>
        </is>
      </c>
      <c r="E1767" t="inlineStr">
        <is>
          <t>Catalonia</t>
        </is>
      </c>
      <c r="G1767" s="48" t="n">
        <v>0</v>
      </c>
      <c r="H1767" s="48" t="n">
        <v>0</v>
      </c>
      <c r="I1767" s="48" t="n">
        <v>0</v>
      </c>
      <c r="J1767" s="48" t="n">
        <v>0</v>
      </c>
      <c r="K1767" s="49" t="n">
        <v>0</v>
      </c>
      <c r="L1767" s="49" t="n">
        <v>0</v>
      </c>
      <c r="M1767" s="49" t="n">
        <v>0</v>
      </c>
      <c r="N1767" s="49" t="n">
        <v>0</v>
      </c>
      <c r="O1767" s="49" t="n">
        <v>0</v>
      </c>
      <c r="P1767" s="49" t="n">
        <v>0</v>
      </c>
      <c r="Q1767" s="49" t="n">
        <v>0</v>
      </c>
      <c r="R1767" s="49" t="n">
        <v>0</v>
      </c>
      <c r="S1767" s="50" t="n">
        <v>0</v>
      </c>
      <c r="T1767" s="50" t="n">
        <v>0</v>
      </c>
      <c r="U1767" s="50" t="n">
        <v>0</v>
      </c>
      <c r="V1767" s="50" t="n">
        <v>0</v>
      </c>
      <c r="W1767" s="51" t="n">
        <v>0</v>
      </c>
      <c r="X1767" s="51" t="n">
        <v>0</v>
      </c>
      <c r="Y1767" s="51" t="n">
        <v>0</v>
      </c>
      <c r="Z1767" s="51" t="n">
        <v>0</v>
      </c>
      <c r="AA1767" s="52" t="n">
        <v>0</v>
      </c>
      <c r="AB1767" s="52" t="n">
        <v>0</v>
      </c>
      <c r="AC1767" s="52" t="n">
        <v>0</v>
      </c>
      <c r="AD1767" s="52" t="n">
        <v>0</v>
      </c>
      <c r="AE1767" s="52" t="n">
        <v>0</v>
      </c>
      <c r="AF1767" s="52" t="n">
        <v>0</v>
      </c>
      <c r="AG1767" s="52" t="n">
        <v>0</v>
      </c>
      <c r="AH1767" s="52" t="n">
        <v>0</v>
      </c>
      <c r="AI1767" s="52" t="n">
        <v>0</v>
      </c>
      <c r="AJ1767" s="52" t="n">
        <v>0</v>
      </c>
      <c r="AK1767" s="52" t="n">
        <v>0</v>
      </c>
      <c r="AL1767" s="52" t="n">
        <v>0</v>
      </c>
      <c r="AM1767" s="53" t="n">
        <v>0</v>
      </c>
      <c r="AN1767" s="53" t="n">
        <v>0</v>
      </c>
      <c r="AO1767" s="53" t="n">
        <v>0</v>
      </c>
      <c r="AP1767" s="53" t="n">
        <v>0</v>
      </c>
      <c r="AQ1767" s="52" t="n">
        <v>0</v>
      </c>
      <c r="AR1767" s="52" t="n">
        <v>0</v>
      </c>
      <c r="AS1767" s="52" t="n">
        <v>0</v>
      </c>
      <c r="AT1767" s="52" t="n">
        <v>0</v>
      </c>
      <c r="AU1767" s="53" t="n">
        <v>0</v>
      </c>
      <c r="AV1767" s="53" t="n">
        <v>0</v>
      </c>
      <c r="AW1767" s="53" t="n">
        <v>0</v>
      </c>
      <c r="AX1767" s="53" t="n">
        <v>0</v>
      </c>
      <c r="AY1767" s="52" t="n">
        <v>0</v>
      </c>
      <c r="AZ1767" s="52" t="n">
        <v>0</v>
      </c>
      <c r="BA1767" s="52" t="n">
        <v>0</v>
      </c>
      <c r="BB1767" s="52" t="n">
        <v>0</v>
      </c>
      <c r="BC1767" s="51" t="n">
        <v>0</v>
      </c>
      <c r="BD1767" s="51" t="n">
        <v>0</v>
      </c>
      <c r="BE1767" s="51" t="n">
        <v>0</v>
      </c>
      <c r="BF1767" s="51" t="n">
        <v>0</v>
      </c>
    </row>
    <row r="1768">
      <c r="A1768">
        <f>HYPERLINK("https://www.walmart.com/ip/137250133", "137250133")</f>
        <v/>
      </c>
      <c r="B1768" t="inlineStr">
        <is>
          <t>Catalonia Sherpa Throw Blanket, Fuzzy Snuggle Blanket for Camping Traveling Couch Bed, Super Soft, Light Weight, Reversible, All Season Use, 50x60 inches, Pink Camo</t>
        </is>
      </c>
      <c r="C1768" t="inlineStr">
        <is>
          <t>1CTBF579PKCAMO</t>
        </is>
      </c>
      <c r="D1768" t="inlineStr">
        <is>
          <t>Throws</t>
        </is>
      </c>
      <c r="E1768" t="inlineStr">
        <is>
          <t>Catalonia</t>
        </is>
      </c>
      <c r="F1768" t="inlineStr">
        <is>
          <t>WFS,WFS Item</t>
        </is>
      </c>
      <c r="G1768" s="48" t="n">
        <v>0</v>
      </c>
      <c r="H1768" s="48" t="n">
        <v>0</v>
      </c>
      <c r="I1768" s="48" t="n">
        <v>0</v>
      </c>
      <c r="J1768" s="48" t="n">
        <v>0</v>
      </c>
      <c r="K1768" s="49" t="n">
        <v>0</v>
      </c>
      <c r="L1768" s="49" t="n">
        <v>0</v>
      </c>
      <c r="M1768" s="49" t="n">
        <v>0</v>
      </c>
      <c r="N1768" s="49" t="n">
        <v>0</v>
      </c>
      <c r="O1768" s="49" t="n">
        <v>0</v>
      </c>
      <c r="P1768" s="49" t="n">
        <v>0</v>
      </c>
      <c r="Q1768" s="49" t="n">
        <v>0</v>
      </c>
      <c r="R1768" s="49" t="n">
        <v>0</v>
      </c>
      <c r="S1768" s="50" t="n">
        <v>0</v>
      </c>
      <c r="T1768" s="50" t="n">
        <v>0</v>
      </c>
      <c r="U1768" s="50" t="n">
        <v>0</v>
      </c>
      <c r="V1768" s="50" t="n">
        <v>0</v>
      </c>
      <c r="W1768" s="51" t="n">
        <v>0</v>
      </c>
      <c r="X1768" s="51" t="n">
        <v>0</v>
      </c>
      <c r="Y1768" s="51" t="n">
        <v>0</v>
      </c>
      <c r="Z1768" s="51" t="n">
        <v>0</v>
      </c>
      <c r="AA1768" s="52" t="n">
        <v>0</v>
      </c>
      <c r="AB1768" s="52" t="n">
        <v>0</v>
      </c>
      <c r="AC1768" s="52" t="n">
        <v>0</v>
      </c>
      <c r="AD1768" s="52" t="n">
        <v>0</v>
      </c>
      <c r="AE1768" s="52" t="n">
        <v>0</v>
      </c>
      <c r="AF1768" s="52" t="n">
        <v>0</v>
      </c>
      <c r="AG1768" s="52" t="n">
        <v>0</v>
      </c>
      <c r="AH1768" s="52" t="n">
        <v>0</v>
      </c>
      <c r="AI1768" s="52" t="n">
        <v>0</v>
      </c>
      <c r="AJ1768" s="52" t="n">
        <v>0</v>
      </c>
      <c r="AK1768" s="52" t="n">
        <v>0</v>
      </c>
      <c r="AL1768" s="52" t="n">
        <v>0</v>
      </c>
      <c r="AM1768" s="53" t="n">
        <v>0</v>
      </c>
      <c r="AN1768" s="53" t="n">
        <v>0</v>
      </c>
      <c r="AO1768" s="53" t="n">
        <v>0</v>
      </c>
      <c r="AP1768" s="53" t="n">
        <v>0</v>
      </c>
      <c r="AQ1768" s="52" t="n">
        <v>0</v>
      </c>
      <c r="AR1768" s="52" t="n">
        <v>0</v>
      </c>
      <c r="AS1768" s="52" t="n">
        <v>0</v>
      </c>
      <c r="AT1768" s="52" t="n">
        <v>0</v>
      </c>
      <c r="AU1768" s="53" t="n">
        <v>0</v>
      </c>
      <c r="AV1768" s="53" t="n">
        <v>0</v>
      </c>
      <c r="AW1768" s="53" t="n">
        <v>0</v>
      </c>
      <c r="AX1768" s="53" t="n">
        <v>0</v>
      </c>
      <c r="AY1768" s="52" t="n">
        <v>0</v>
      </c>
      <c r="AZ1768" s="52" t="n">
        <v>0</v>
      </c>
      <c r="BA1768" s="52" t="n">
        <v>0</v>
      </c>
      <c r="BB1768" s="52" t="n">
        <v>0</v>
      </c>
      <c r="BC1768" s="51" t="n">
        <v>0</v>
      </c>
      <c r="BD1768" s="51" t="n">
        <v>0</v>
      </c>
      <c r="BE1768" s="51" t="n">
        <v>0</v>
      </c>
      <c r="BF1768" s="51" t="n">
        <v>0</v>
      </c>
    </row>
    <row r="1769">
      <c r="A1769">
        <f>HYPERLINK("https://www.walmart.com/ip/137619751", "137619751")</f>
        <v/>
      </c>
      <c r="B1769" t="inlineStr">
        <is>
          <t>Deluxe Classic Suede Bill Baseball Cap with Leather Strap Closure</t>
        </is>
      </c>
      <c r="C1769" t="inlineStr">
        <is>
          <t>KC-S6300-RD/BK</t>
        </is>
      </c>
      <c r="D1769" t="inlineStr">
        <is>
          <t>Hats</t>
        </is>
      </c>
      <c r="E1769" t="inlineStr">
        <is>
          <t>KC Caps</t>
        </is>
      </c>
      <c r="F1769" t="inlineStr">
        <is>
          <t>Optimized</t>
        </is>
      </c>
      <c r="G1769" s="48" t="n">
        <v>0</v>
      </c>
      <c r="H1769" s="48" t="n">
        <v>0</v>
      </c>
      <c r="I1769" s="48" t="n">
        <v>0</v>
      </c>
      <c r="J1769" s="48" t="n">
        <v>0</v>
      </c>
      <c r="K1769" s="49" t="n">
        <v>0</v>
      </c>
      <c r="L1769" s="49" t="n">
        <v>0</v>
      </c>
      <c r="M1769" s="49" t="n">
        <v>0</v>
      </c>
      <c r="N1769" s="49" t="n">
        <v>0</v>
      </c>
      <c r="O1769" s="49" t="n">
        <v>0</v>
      </c>
      <c r="P1769" s="49" t="n">
        <v>0</v>
      </c>
      <c r="Q1769" s="49" t="n">
        <v>0</v>
      </c>
      <c r="R1769" s="49" t="n">
        <v>0</v>
      </c>
      <c r="S1769" s="50" t="n">
        <v>0</v>
      </c>
      <c r="T1769" s="50" t="n">
        <v>0</v>
      </c>
      <c r="U1769" s="50" t="n">
        <v>0</v>
      </c>
      <c r="V1769" s="50" t="n">
        <v>0</v>
      </c>
      <c r="W1769" s="51" t="n">
        <v>0</v>
      </c>
      <c r="X1769" s="51" t="n">
        <v>0</v>
      </c>
      <c r="Y1769" s="51" t="n">
        <v>0</v>
      </c>
      <c r="Z1769" s="51" t="n">
        <v>0</v>
      </c>
      <c r="AA1769" s="52" t="n">
        <v>0</v>
      </c>
      <c r="AB1769" s="52" t="n">
        <v>0</v>
      </c>
      <c r="AC1769" s="52" t="n">
        <v>0</v>
      </c>
      <c r="AD1769" s="52" t="n">
        <v>0</v>
      </c>
      <c r="AE1769" s="52" t="n">
        <v>0</v>
      </c>
      <c r="AF1769" s="52" t="n">
        <v>0</v>
      </c>
      <c r="AG1769" s="52" t="n">
        <v>0</v>
      </c>
      <c r="AH1769" s="52" t="n">
        <v>0</v>
      </c>
      <c r="AI1769" s="52" t="n">
        <v>0</v>
      </c>
      <c r="AJ1769" s="52" t="n">
        <v>0</v>
      </c>
      <c r="AK1769" s="52" t="n">
        <v>0</v>
      </c>
      <c r="AL1769" s="52" t="n">
        <v>0</v>
      </c>
      <c r="AM1769" s="53" t="n">
        <v>0</v>
      </c>
      <c r="AN1769" s="53" t="n">
        <v>0</v>
      </c>
      <c r="AO1769" s="53" t="n">
        <v>0</v>
      </c>
      <c r="AP1769" s="53" t="n">
        <v>0</v>
      </c>
      <c r="AQ1769" s="52" t="n">
        <v>0</v>
      </c>
      <c r="AR1769" s="52" t="n">
        <v>0</v>
      </c>
      <c r="AS1769" s="52" t="n">
        <v>0</v>
      </c>
      <c r="AT1769" s="52" t="n">
        <v>0</v>
      </c>
      <c r="AU1769" s="53" t="n">
        <v>0</v>
      </c>
      <c r="AV1769" s="53" t="n">
        <v>0</v>
      </c>
      <c r="AW1769" s="53" t="n">
        <v>0</v>
      </c>
      <c r="AX1769" s="53" t="n">
        <v>0</v>
      </c>
      <c r="AY1769" s="52" t="n">
        <v>0</v>
      </c>
      <c r="AZ1769" s="52" t="n">
        <v>0</v>
      </c>
      <c r="BA1769" s="52" t="n">
        <v>0</v>
      </c>
      <c r="BB1769" s="52" t="n">
        <v>0</v>
      </c>
      <c r="BC1769" s="51" t="n">
        <v>0</v>
      </c>
      <c r="BD1769" s="51" t="n">
        <v>0</v>
      </c>
      <c r="BE1769" s="51" t="n">
        <v>0</v>
      </c>
      <c r="BF1769" s="51" t="n">
        <v>0</v>
      </c>
    </row>
    <row r="1770">
      <c r="A1770">
        <f>HYPERLINK("https://www.walmart.com/ip/1376687825", "1376687825")</f>
        <v/>
      </c>
      <c r="B1770" t="inlineStr">
        <is>
          <t>KC Caps Unisex Two-Tone Cotton Twill Baseball Cap with Suede Bill Adult</t>
        </is>
      </c>
      <c r="C1770" t="inlineStr">
        <is>
          <t>KC-S6300-RD/BK-12pcs</t>
        </is>
      </c>
      <c r="D1770" t="inlineStr">
        <is>
          <t>Blouses &amp; Tops</t>
        </is>
      </c>
      <c r="E1770" t="inlineStr">
        <is>
          <t>KC Caps</t>
        </is>
      </c>
      <c r="G1770" s="48" t="n">
        <v>0</v>
      </c>
      <c r="H1770" s="48" t="n">
        <v>0</v>
      </c>
      <c r="I1770" s="48" t="n">
        <v>0</v>
      </c>
      <c r="J1770" s="48" t="n">
        <v>0</v>
      </c>
      <c r="K1770" s="49" t="n">
        <v>0</v>
      </c>
      <c r="L1770" s="49" t="n">
        <v>0</v>
      </c>
      <c r="M1770" s="49" t="n">
        <v>0</v>
      </c>
      <c r="N1770" s="49" t="n">
        <v>0</v>
      </c>
      <c r="O1770" s="49" t="n">
        <v>0</v>
      </c>
      <c r="P1770" s="49" t="n">
        <v>0</v>
      </c>
      <c r="Q1770" s="49" t="n">
        <v>0</v>
      </c>
      <c r="R1770" s="49" t="n">
        <v>0</v>
      </c>
      <c r="S1770" s="50" t="n">
        <v>0</v>
      </c>
      <c r="T1770" s="50" t="n">
        <v>0</v>
      </c>
      <c r="U1770" s="50" t="n">
        <v>0</v>
      </c>
      <c r="V1770" s="50" t="n">
        <v>0</v>
      </c>
      <c r="W1770" s="51" t="n">
        <v>0</v>
      </c>
      <c r="X1770" s="51" t="n">
        <v>0</v>
      </c>
      <c r="Y1770" s="51" t="n">
        <v>0</v>
      </c>
      <c r="Z1770" s="51" t="n">
        <v>0</v>
      </c>
      <c r="AA1770" s="52" t="n">
        <v>0</v>
      </c>
      <c r="AB1770" s="52" t="n">
        <v>0</v>
      </c>
      <c r="AC1770" s="52" t="n">
        <v>0</v>
      </c>
      <c r="AD1770" s="52" t="n">
        <v>0</v>
      </c>
      <c r="AE1770" s="52" t="n">
        <v>0</v>
      </c>
      <c r="AF1770" s="52" t="n">
        <v>0</v>
      </c>
      <c r="AG1770" s="52" t="n">
        <v>0</v>
      </c>
      <c r="AH1770" s="52" t="n">
        <v>0</v>
      </c>
      <c r="AI1770" s="52" t="n">
        <v>0</v>
      </c>
      <c r="AJ1770" s="52" t="n">
        <v>0</v>
      </c>
      <c r="AK1770" s="52" t="n">
        <v>0</v>
      </c>
      <c r="AL1770" s="52" t="n">
        <v>0</v>
      </c>
      <c r="AM1770" s="53" t="n">
        <v>0</v>
      </c>
      <c r="AN1770" s="53" t="n">
        <v>0</v>
      </c>
      <c r="AO1770" s="53" t="n">
        <v>0</v>
      </c>
      <c r="AP1770" s="53" t="n">
        <v>0</v>
      </c>
      <c r="AQ1770" s="52" t="n">
        <v>0</v>
      </c>
      <c r="AR1770" s="52" t="n">
        <v>0</v>
      </c>
      <c r="AS1770" s="52" t="n">
        <v>0</v>
      </c>
      <c r="AT1770" s="52" t="n">
        <v>0</v>
      </c>
      <c r="AU1770" s="53" t="n">
        <v>0</v>
      </c>
      <c r="AV1770" s="53" t="n">
        <v>0</v>
      </c>
      <c r="AW1770" s="53" t="n">
        <v>0</v>
      </c>
      <c r="AX1770" s="53" t="n">
        <v>0</v>
      </c>
      <c r="AY1770" s="52" t="n">
        <v>0</v>
      </c>
      <c r="AZ1770" s="52" t="n">
        <v>0</v>
      </c>
      <c r="BA1770" s="52" t="n">
        <v>0</v>
      </c>
      <c r="BB1770" s="52" t="n">
        <v>0</v>
      </c>
      <c r="BC1770" s="51" t="n">
        <v>0</v>
      </c>
      <c r="BD1770" s="51" t="n">
        <v>0</v>
      </c>
      <c r="BE1770" s="51" t="n">
        <v>0</v>
      </c>
      <c r="BF1770" s="51" t="n">
        <v>0</v>
      </c>
    </row>
    <row r="1771">
      <c r="A1771">
        <f>HYPERLINK("https://www.walmart.com/ip/13768219747", "13768219747")</f>
        <v/>
      </c>
      <c r="B1771" t="inlineStr">
        <is>
          <t>Tirrinia Hunting Camo Hat for Men Orange Safety Cap Adjustable Closure Fit Most People</t>
        </is>
      </c>
      <c r="C1771" t="inlineStr">
        <is>
          <t>1TRHT7121ORCAMO</t>
        </is>
      </c>
      <c r="D1771" t="inlineStr">
        <is>
          <t>Hats</t>
        </is>
      </c>
      <c r="E1771" t="inlineStr">
        <is>
          <t>Tirrinia</t>
        </is>
      </c>
      <c r="G1771" s="48" t="n">
        <v>0</v>
      </c>
      <c r="H1771" s="48" t="n">
        <v>0</v>
      </c>
      <c r="I1771" s="48" t="n">
        <v>0</v>
      </c>
      <c r="J1771" s="48" t="n">
        <v>0</v>
      </c>
      <c r="K1771" s="49" t="n">
        <v>0</v>
      </c>
      <c r="L1771" s="49" t="n">
        <v>0</v>
      </c>
      <c r="M1771" s="49" t="n">
        <v>0</v>
      </c>
      <c r="N1771" s="49" t="n">
        <v>0</v>
      </c>
      <c r="O1771" s="49" t="n">
        <v>0</v>
      </c>
      <c r="P1771" s="49" t="n">
        <v>0</v>
      </c>
      <c r="Q1771" s="49" t="n">
        <v>0</v>
      </c>
      <c r="R1771" s="49" t="n">
        <v>0</v>
      </c>
      <c r="S1771" s="50" t="n">
        <v>0</v>
      </c>
      <c r="T1771" s="50" t="n">
        <v>0</v>
      </c>
      <c r="U1771" s="50" t="n">
        <v>0</v>
      </c>
      <c r="V1771" s="50" t="n">
        <v>0</v>
      </c>
      <c r="W1771" s="51" t="n">
        <v>0</v>
      </c>
      <c r="X1771" s="51" t="n">
        <v>0</v>
      </c>
      <c r="Y1771" s="51" t="n">
        <v>0</v>
      </c>
      <c r="Z1771" s="51" t="n">
        <v>0</v>
      </c>
      <c r="AA1771" s="52" t="n">
        <v>0</v>
      </c>
      <c r="AB1771" s="52" t="n">
        <v>0</v>
      </c>
      <c r="AC1771" s="52" t="n">
        <v>0</v>
      </c>
      <c r="AD1771" s="52" t="n">
        <v>0</v>
      </c>
      <c r="AE1771" s="52" t="n">
        <v>0</v>
      </c>
      <c r="AF1771" s="52" t="n">
        <v>0</v>
      </c>
      <c r="AG1771" s="52" t="n">
        <v>0</v>
      </c>
      <c r="AH1771" s="52" t="n">
        <v>0</v>
      </c>
      <c r="AI1771" s="52" t="n">
        <v>0</v>
      </c>
      <c r="AJ1771" s="52" t="n">
        <v>0</v>
      </c>
      <c r="AK1771" s="52" t="n">
        <v>0</v>
      </c>
      <c r="AL1771" s="52" t="n">
        <v>0</v>
      </c>
      <c r="AM1771" s="53" t="n">
        <v>0</v>
      </c>
      <c r="AN1771" s="53" t="n">
        <v>0</v>
      </c>
      <c r="AO1771" s="53" t="n">
        <v>0</v>
      </c>
      <c r="AP1771" s="53" t="n">
        <v>0</v>
      </c>
      <c r="AQ1771" s="52" t="n">
        <v>0</v>
      </c>
      <c r="AR1771" s="52" t="n">
        <v>0</v>
      </c>
      <c r="AS1771" s="52" t="n">
        <v>0</v>
      </c>
      <c r="AT1771" s="52" t="n">
        <v>0</v>
      </c>
      <c r="AU1771" s="53" t="n">
        <v>0</v>
      </c>
      <c r="AV1771" s="53" t="n">
        <v>0</v>
      </c>
      <c r="AW1771" s="53" t="n">
        <v>0</v>
      </c>
      <c r="AX1771" s="53" t="n">
        <v>0</v>
      </c>
      <c r="AY1771" s="52" t="n">
        <v>0</v>
      </c>
      <c r="AZ1771" s="52" t="n">
        <v>0</v>
      </c>
      <c r="BA1771" s="52" t="n">
        <v>0</v>
      </c>
      <c r="BB1771" s="52" t="n">
        <v>0</v>
      </c>
      <c r="BC1771" s="51" t="n">
        <v>0</v>
      </c>
      <c r="BD1771" s="51" t="n">
        <v>0</v>
      </c>
      <c r="BE1771" s="51" t="n">
        <v>0</v>
      </c>
      <c r="BF1771" s="51" t="n">
        <v>0</v>
      </c>
    </row>
    <row r="1772">
      <c r="A1772">
        <f>HYPERLINK("https://www.walmart.com/ip/137773035", "137773035")</f>
        <v/>
      </c>
      <c r="B1772" t="inlineStr">
        <is>
          <t>KC Caps® Unisex Cotton Baseball Cap Adjustable Plain Hat (21 Styles/Colors)</t>
        </is>
      </c>
      <c r="C1772" t="inlineStr">
        <is>
          <t>KC8010BN</t>
        </is>
      </c>
      <c r="D1772" t="inlineStr">
        <is>
          <t>Hats</t>
        </is>
      </c>
      <c r="E1772" t="inlineStr">
        <is>
          <t>KC Caps</t>
        </is>
      </c>
      <c r="F1772" t="inlineStr">
        <is>
          <t>Optimized</t>
        </is>
      </c>
      <c r="G1772" s="48" t="n">
        <v>0</v>
      </c>
      <c r="H1772" s="48" t="n">
        <v>0</v>
      </c>
      <c r="I1772" s="48" t="n">
        <v>0</v>
      </c>
      <c r="J1772" s="48" t="n">
        <v>0</v>
      </c>
      <c r="K1772" s="49" t="n">
        <v>0</v>
      </c>
      <c r="L1772" s="49" t="n">
        <v>0</v>
      </c>
      <c r="M1772" s="49" t="n">
        <v>0</v>
      </c>
      <c r="N1772" s="49" t="n">
        <v>0</v>
      </c>
      <c r="O1772" s="49" t="n">
        <v>0</v>
      </c>
      <c r="P1772" s="49" t="n">
        <v>0</v>
      </c>
      <c r="Q1772" s="49" t="n">
        <v>0</v>
      </c>
      <c r="R1772" s="49" t="n">
        <v>0</v>
      </c>
      <c r="S1772" s="50" t="n">
        <v>0</v>
      </c>
      <c r="T1772" s="50" t="n">
        <v>0</v>
      </c>
      <c r="U1772" s="50" t="n">
        <v>0</v>
      </c>
      <c r="V1772" s="50" t="n">
        <v>0</v>
      </c>
      <c r="W1772" s="51" t="n">
        <v>0</v>
      </c>
      <c r="X1772" s="51" t="n">
        <v>0</v>
      </c>
      <c r="Y1772" s="51" t="n">
        <v>0</v>
      </c>
      <c r="Z1772" s="51" t="n">
        <v>0</v>
      </c>
      <c r="AA1772" s="52" t="n">
        <v>0</v>
      </c>
      <c r="AB1772" s="52" t="n">
        <v>0</v>
      </c>
      <c r="AC1772" s="52" t="n">
        <v>0</v>
      </c>
      <c r="AD1772" s="52" t="n">
        <v>0</v>
      </c>
      <c r="AE1772" s="52" t="n">
        <v>0</v>
      </c>
      <c r="AF1772" s="52" t="n">
        <v>0</v>
      </c>
      <c r="AG1772" s="52" t="n">
        <v>0</v>
      </c>
      <c r="AH1772" s="52" t="n">
        <v>0</v>
      </c>
      <c r="AI1772" s="52" t="n">
        <v>0</v>
      </c>
      <c r="AJ1772" s="52" t="n">
        <v>0</v>
      </c>
      <c r="AK1772" s="52" t="n">
        <v>0</v>
      </c>
      <c r="AL1772" s="52" t="n">
        <v>0</v>
      </c>
      <c r="AM1772" s="53" t="n">
        <v>0</v>
      </c>
      <c r="AN1772" s="53" t="n">
        <v>0</v>
      </c>
      <c r="AO1772" s="53" t="n">
        <v>0</v>
      </c>
      <c r="AP1772" s="53" t="n">
        <v>0</v>
      </c>
      <c r="AQ1772" s="52" t="n">
        <v>0</v>
      </c>
      <c r="AR1772" s="52" t="n">
        <v>0</v>
      </c>
      <c r="AS1772" s="52" t="n">
        <v>0</v>
      </c>
      <c r="AT1772" s="52" t="n">
        <v>0</v>
      </c>
      <c r="AU1772" s="53" t="n">
        <v>0</v>
      </c>
      <c r="AV1772" s="53" t="n">
        <v>0</v>
      </c>
      <c r="AW1772" s="53" t="n">
        <v>0</v>
      </c>
      <c r="AX1772" s="53" t="n">
        <v>0</v>
      </c>
      <c r="AY1772" s="52" t="n">
        <v>0</v>
      </c>
      <c r="AZ1772" s="52" t="n">
        <v>0</v>
      </c>
      <c r="BA1772" s="52" t="n">
        <v>0</v>
      </c>
      <c r="BB1772" s="52" t="n">
        <v>0</v>
      </c>
      <c r="BC1772" s="51" t="n">
        <v>0</v>
      </c>
      <c r="BD1772" s="51" t="n">
        <v>0</v>
      </c>
      <c r="BE1772" s="51" t="n">
        <v>0</v>
      </c>
      <c r="BF1772" s="51" t="n">
        <v>0</v>
      </c>
    </row>
    <row r="1773">
      <c r="A1773">
        <f>HYPERLINK("https://www.walmart.com/ip/137793803", "137793803")</f>
        <v/>
      </c>
      <c r="B1773" t="inlineStr">
        <is>
          <t>JenniWears Women's Sexy Crotchless Suspender Pantyhose Stockings Black Sheer Socks - 6 Packs</t>
        </is>
      </c>
      <c r="C1773" t="inlineStr">
        <is>
          <t>JWBLSPH6001-6pcs</t>
        </is>
      </c>
      <c r="D1773" t="inlineStr">
        <is>
          <t>Pantyhose &amp; Tights</t>
        </is>
      </c>
      <c r="E1773" t="inlineStr">
        <is>
          <t>JenniWears</t>
        </is>
      </c>
      <c r="F1773" t="inlineStr">
        <is>
          <t>Optimized,WFS,Valentine,WFS Item</t>
        </is>
      </c>
      <c r="G1773" s="48" t="n">
        <v>0</v>
      </c>
      <c r="H1773" s="48" t="n">
        <v>0</v>
      </c>
      <c r="I1773" s="48" t="n">
        <v>0</v>
      </c>
      <c r="J1773" s="48" t="n">
        <v>0</v>
      </c>
      <c r="K1773" s="49" t="n">
        <v>0</v>
      </c>
      <c r="L1773" s="49" t="n">
        <v>0</v>
      </c>
      <c r="M1773" s="49" t="n">
        <v>0</v>
      </c>
      <c r="N1773" s="49" t="n">
        <v>0</v>
      </c>
      <c r="O1773" s="49" t="n">
        <v>0</v>
      </c>
      <c r="P1773" s="49" t="n">
        <v>0</v>
      </c>
      <c r="Q1773" s="49" t="n">
        <v>0</v>
      </c>
      <c r="R1773" s="49" t="n">
        <v>0</v>
      </c>
      <c r="S1773" s="50" t="n">
        <v>0</v>
      </c>
      <c r="T1773" s="50" t="n">
        <v>0</v>
      </c>
      <c r="U1773" s="50" t="n">
        <v>0</v>
      </c>
      <c r="V1773" s="50" t="n">
        <v>0</v>
      </c>
      <c r="W1773" s="51" t="n">
        <v>0</v>
      </c>
      <c r="X1773" s="51" t="n">
        <v>0</v>
      </c>
      <c r="Y1773" s="51" t="n">
        <v>0</v>
      </c>
      <c r="Z1773" s="51" t="n">
        <v>0</v>
      </c>
      <c r="AA1773" s="52" t="n">
        <v>0</v>
      </c>
      <c r="AB1773" s="52" t="n">
        <v>0</v>
      </c>
      <c r="AC1773" s="52" t="n">
        <v>0</v>
      </c>
      <c r="AD1773" s="52" t="n">
        <v>0</v>
      </c>
      <c r="AE1773" s="52" t="n">
        <v>0</v>
      </c>
      <c r="AF1773" s="52" t="n">
        <v>0</v>
      </c>
      <c r="AG1773" s="52" t="n">
        <v>0</v>
      </c>
      <c r="AH1773" s="52" t="n">
        <v>0</v>
      </c>
      <c r="AI1773" s="52" t="n">
        <v>0</v>
      </c>
      <c r="AJ1773" s="52" t="n">
        <v>0</v>
      </c>
      <c r="AK1773" s="52" t="n">
        <v>0</v>
      </c>
      <c r="AL1773" s="52" t="n">
        <v>0</v>
      </c>
      <c r="AM1773" s="53" t="n">
        <v>0</v>
      </c>
      <c r="AN1773" s="53" t="n">
        <v>0</v>
      </c>
      <c r="AO1773" s="53" t="n">
        <v>0</v>
      </c>
      <c r="AP1773" s="53" t="n">
        <v>0</v>
      </c>
      <c r="AQ1773" s="52" t="n">
        <v>0</v>
      </c>
      <c r="AR1773" s="52" t="n">
        <v>0</v>
      </c>
      <c r="AS1773" s="52" t="n">
        <v>0</v>
      </c>
      <c r="AT1773" s="52" t="n">
        <v>0</v>
      </c>
      <c r="AU1773" s="53" t="n">
        <v>0</v>
      </c>
      <c r="AV1773" s="53" t="n">
        <v>0</v>
      </c>
      <c r="AW1773" s="53" t="n">
        <v>0</v>
      </c>
      <c r="AX1773" s="53" t="n">
        <v>0</v>
      </c>
      <c r="AY1773" s="52" t="n">
        <v>0</v>
      </c>
      <c r="AZ1773" s="52" t="n">
        <v>0</v>
      </c>
      <c r="BA1773" s="52" t="n">
        <v>0</v>
      </c>
      <c r="BB1773" s="52" t="n">
        <v>0</v>
      </c>
      <c r="BC1773" s="51" t="n">
        <v>0</v>
      </c>
      <c r="BD1773" s="51" t="n">
        <v>0</v>
      </c>
      <c r="BE1773" s="51" t="n">
        <v>0</v>
      </c>
      <c r="BF1773" s="51" t="n">
        <v>0</v>
      </c>
    </row>
    <row r="1774">
      <c r="A1774">
        <f>HYPERLINK("https://www.walmart.com/ip/137861738", "137861738")</f>
        <v/>
      </c>
      <c r="B1774" t="inlineStr">
        <is>
          <t>KC Caps Super Soft and Comfy Knit Pom Pom Beanie Winter Cap Pink</t>
        </is>
      </c>
      <c r="C1774" t="inlineStr">
        <is>
          <t>kc-w1711pk</t>
        </is>
      </c>
      <c r="D1774" t="inlineStr">
        <is>
          <t>Hats</t>
        </is>
      </c>
      <c r="E1774" t="inlineStr">
        <is>
          <t>KC Caps</t>
        </is>
      </c>
      <c r="F1774" t="inlineStr">
        <is>
          <t>Optimized</t>
        </is>
      </c>
      <c r="G1774" s="48" t="n">
        <v>0</v>
      </c>
      <c r="H1774" s="48" t="n">
        <v>0</v>
      </c>
      <c r="I1774" s="48" t="n">
        <v>0</v>
      </c>
      <c r="J1774" s="48" t="n">
        <v>0</v>
      </c>
      <c r="K1774" s="49" t="n">
        <v>0</v>
      </c>
      <c r="L1774" s="49" t="n">
        <v>0</v>
      </c>
      <c r="M1774" s="49" t="n">
        <v>0</v>
      </c>
      <c r="N1774" s="49" t="n">
        <v>0</v>
      </c>
      <c r="O1774" s="49" t="n">
        <v>0</v>
      </c>
      <c r="P1774" s="49" t="n">
        <v>0</v>
      </c>
      <c r="Q1774" s="49" t="n">
        <v>0</v>
      </c>
      <c r="R1774" s="49" t="n">
        <v>0</v>
      </c>
      <c r="S1774" s="50" t="n">
        <v>0</v>
      </c>
      <c r="T1774" s="50" t="n">
        <v>0</v>
      </c>
      <c r="U1774" s="50" t="n">
        <v>0</v>
      </c>
      <c r="V1774" s="50" t="n">
        <v>0</v>
      </c>
      <c r="W1774" s="51" t="n">
        <v>0</v>
      </c>
      <c r="X1774" s="51" t="n">
        <v>0</v>
      </c>
      <c r="Y1774" s="51" t="n">
        <v>0</v>
      </c>
      <c r="Z1774" s="51" t="n">
        <v>0</v>
      </c>
      <c r="AA1774" s="52" t="n">
        <v>0</v>
      </c>
      <c r="AB1774" s="52" t="n">
        <v>0</v>
      </c>
      <c r="AC1774" s="52" t="n">
        <v>0</v>
      </c>
      <c r="AD1774" s="52" t="n">
        <v>0</v>
      </c>
      <c r="AE1774" s="52" t="n">
        <v>0</v>
      </c>
      <c r="AF1774" s="52" t="n">
        <v>0</v>
      </c>
      <c r="AG1774" s="52" t="n">
        <v>0</v>
      </c>
      <c r="AH1774" s="52" t="n">
        <v>0</v>
      </c>
      <c r="AI1774" s="52" t="n">
        <v>0</v>
      </c>
      <c r="AJ1774" s="52" t="n">
        <v>0</v>
      </c>
      <c r="AK1774" s="52" t="n">
        <v>0</v>
      </c>
      <c r="AL1774" s="52" t="n">
        <v>0</v>
      </c>
      <c r="AM1774" s="53" t="n">
        <v>0</v>
      </c>
      <c r="AN1774" s="53" t="n">
        <v>0</v>
      </c>
      <c r="AO1774" s="53" t="n">
        <v>0</v>
      </c>
      <c r="AP1774" s="53" t="n">
        <v>0</v>
      </c>
      <c r="AQ1774" s="52" t="n">
        <v>0</v>
      </c>
      <c r="AR1774" s="52" t="n">
        <v>0</v>
      </c>
      <c r="AS1774" s="52" t="n">
        <v>0</v>
      </c>
      <c r="AT1774" s="52" t="n">
        <v>0</v>
      </c>
      <c r="AU1774" s="53" t="n">
        <v>0</v>
      </c>
      <c r="AV1774" s="53" t="n">
        <v>0</v>
      </c>
      <c r="AW1774" s="53" t="n">
        <v>0</v>
      </c>
      <c r="AX1774" s="53" t="n">
        <v>0</v>
      </c>
      <c r="AY1774" s="52" t="n">
        <v>0</v>
      </c>
      <c r="AZ1774" s="52" t="n">
        <v>0</v>
      </c>
      <c r="BA1774" s="52" t="n">
        <v>0</v>
      </c>
      <c r="BB1774" s="52" t="n">
        <v>0</v>
      </c>
      <c r="BC1774" s="51" t="n">
        <v>0</v>
      </c>
      <c r="BD1774" s="51" t="n">
        <v>0</v>
      </c>
      <c r="BE1774" s="51" t="n">
        <v>0</v>
      </c>
      <c r="BF1774" s="51" t="n">
        <v>0</v>
      </c>
    </row>
    <row r="1775">
      <c r="A1775">
        <f>HYPERLINK("https://www.walmart.com/ip/138080004", "138080004")</f>
        <v/>
      </c>
      <c r="B1775" t="inlineStr">
        <is>
          <t>KC Caps Super Soft and Comfy Knit Beanie Winter Cap Pink</t>
        </is>
      </c>
      <c r="C1775" t="inlineStr">
        <is>
          <t>kc-w1700pk</t>
        </is>
      </c>
      <c r="D1775" t="inlineStr">
        <is>
          <t>Hats</t>
        </is>
      </c>
      <c r="E1775" t="inlineStr">
        <is>
          <t>KC Caps</t>
        </is>
      </c>
      <c r="F1775" t="inlineStr">
        <is>
          <t>Optimized</t>
        </is>
      </c>
      <c r="G1775" s="48" t="n">
        <v>0</v>
      </c>
      <c r="H1775" s="48" t="n">
        <v>0</v>
      </c>
      <c r="I1775" s="48" t="n">
        <v>0</v>
      </c>
      <c r="J1775" s="48" t="n">
        <v>0</v>
      </c>
      <c r="K1775" s="49" t="n">
        <v>0</v>
      </c>
      <c r="L1775" s="49" t="n">
        <v>0</v>
      </c>
      <c r="M1775" s="49" t="n">
        <v>0</v>
      </c>
      <c r="N1775" s="49" t="n">
        <v>0</v>
      </c>
      <c r="O1775" s="49" t="n">
        <v>0</v>
      </c>
      <c r="P1775" s="49" t="n">
        <v>0</v>
      </c>
      <c r="Q1775" s="49" t="n">
        <v>0</v>
      </c>
      <c r="R1775" s="49" t="n">
        <v>0</v>
      </c>
      <c r="S1775" s="50" t="n">
        <v>0</v>
      </c>
      <c r="T1775" s="50" t="n">
        <v>0</v>
      </c>
      <c r="U1775" s="50" t="n">
        <v>0</v>
      </c>
      <c r="V1775" s="50" t="n">
        <v>0</v>
      </c>
      <c r="W1775" s="51" t="n">
        <v>0</v>
      </c>
      <c r="X1775" s="51" t="n">
        <v>0</v>
      </c>
      <c r="Y1775" s="51" t="n">
        <v>0</v>
      </c>
      <c r="Z1775" s="51" t="n">
        <v>0</v>
      </c>
      <c r="AA1775" s="52" t="n">
        <v>0</v>
      </c>
      <c r="AB1775" s="52" t="n">
        <v>0</v>
      </c>
      <c r="AC1775" s="52" t="n">
        <v>0</v>
      </c>
      <c r="AD1775" s="52" t="n">
        <v>0</v>
      </c>
      <c r="AE1775" s="52" t="n">
        <v>0</v>
      </c>
      <c r="AF1775" s="52" t="n">
        <v>0</v>
      </c>
      <c r="AG1775" s="52" t="n">
        <v>0</v>
      </c>
      <c r="AH1775" s="52" t="n">
        <v>0</v>
      </c>
      <c r="AI1775" s="52" t="n">
        <v>0</v>
      </c>
      <c r="AJ1775" s="52" t="n">
        <v>0</v>
      </c>
      <c r="AK1775" s="52" t="n">
        <v>0</v>
      </c>
      <c r="AL1775" s="52" t="n">
        <v>0</v>
      </c>
      <c r="AM1775" s="53" t="n">
        <v>0</v>
      </c>
      <c r="AN1775" s="53" t="n">
        <v>0</v>
      </c>
      <c r="AO1775" s="53" t="n">
        <v>0</v>
      </c>
      <c r="AP1775" s="53" t="n">
        <v>0</v>
      </c>
      <c r="AQ1775" s="52" t="n">
        <v>0</v>
      </c>
      <c r="AR1775" s="52" t="n">
        <v>0</v>
      </c>
      <c r="AS1775" s="52" t="n">
        <v>0</v>
      </c>
      <c r="AT1775" s="52" t="n">
        <v>0</v>
      </c>
      <c r="AU1775" s="53" t="n">
        <v>0</v>
      </c>
      <c r="AV1775" s="53" t="n">
        <v>0</v>
      </c>
      <c r="AW1775" s="53" t="n">
        <v>0</v>
      </c>
      <c r="AX1775" s="53" t="n">
        <v>0</v>
      </c>
      <c r="AY1775" s="52" t="n">
        <v>0</v>
      </c>
      <c r="AZ1775" s="52" t="n">
        <v>0</v>
      </c>
      <c r="BA1775" s="52" t="n">
        <v>0</v>
      </c>
      <c r="BB1775" s="52" t="n">
        <v>0</v>
      </c>
      <c r="BC1775" s="51" t="n">
        <v>0</v>
      </c>
      <c r="BD1775" s="51" t="n">
        <v>0</v>
      </c>
      <c r="BE1775" s="51" t="n">
        <v>0</v>
      </c>
      <c r="BF1775" s="51" t="n">
        <v>0</v>
      </c>
    </row>
    <row r="1776">
      <c r="A1776">
        <f>HYPERLINK("https://www.walmart.com/ip/1381186810", "1381186810")</f>
        <v/>
      </c>
      <c r="B1776" t="inlineStr">
        <is>
          <t>Catalonia Waterproof Dog Blanket for Couch, Reversible Sofa and Bed Coverlet Protector, Leak Proof, Comfortable Blanket for People and Pets, Light Grey/Dark Grey, 80" x 90"</t>
        </is>
      </c>
      <c r="C1776" t="inlineStr">
        <is>
          <t>1CTBW985LGDG</t>
        </is>
      </c>
      <c r="D1776" t="inlineStr">
        <is>
          <t>Bed Blankets</t>
        </is>
      </c>
      <c r="E1776" t="inlineStr">
        <is>
          <t>Catalonia</t>
        </is>
      </c>
      <c r="F1776" t="inlineStr">
        <is>
          <t>High AUR Items,Wproof Blanket,Batch 1 - TR</t>
        </is>
      </c>
      <c r="G1776" s="48" t="n">
        <v>0</v>
      </c>
      <c r="H1776" s="48" t="n">
        <v>0</v>
      </c>
      <c r="I1776" s="48" t="n">
        <v>0</v>
      </c>
      <c r="J1776" s="48" t="n">
        <v>0</v>
      </c>
      <c r="K1776" s="49" t="n">
        <v>0</v>
      </c>
      <c r="L1776" s="49" t="n">
        <v>0</v>
      </c>
      <c r="M1776" s="49" t="n">
        <v>0</v>
      </c>
      <c r="N1776" s="49" t="n">
        <v>0</v>
      </c>
      <c r="O1776" s="49" t="n">
        <v>0</v>
      </c>
      <c r="P1776" s="49" t="n">
        <v>0</v>
      </c>
      <c r="Q1776" s="49" t="n">
        <v>0</v>
      </c>
      <c r="R1776" s="49" t="n">
        <v>0</v>
      </c>
      <c r="S1776" s="50" t="n">
        <v>0</v>
      </c>
      <c r="T1776" s="50" t="n">
        <v>0</v>
      </c>
      <c r="U1776" s="50" t="n">
        <v>0</v>
      </c>
      <c r="V1776" s="50" t="n">
        <v>0</v>
      </c>
      <c r="W1776" s="51" t="n">
        <v>0</v>
      </c>
      <c r="X1776" s="51" t="n">
        <v>0</v>
      </c>
      <c r="Y1776" s="51" t="n">
        <v>0</v>
      </c>
      <c r="Z1776" s="51" t="n">
        <v>0</v>
      </c>
      <c r="AA1776" s="52" t="n">
        <v>0</v>
      </c>
      <c r="AB1776" s="52" t="n">
        <v>0</v>
      </c>
      <c r="AC1776" s="52" t="n">
        <v>0</v>
      </c>
      <c r="AD1776" s="52" t="n">
        <v>0</v>
      </c>
      <c r="AE1776" s="52" t="n">
        <v>0</v>
      </c>
      <c r="AF1776" s="52" t="n">
        <v>0</v>
      </c>
      <c r="AG1776" s="52" t="n">
        <v>0</v>
      </c>
      <c r="AH1776" s="52" t="n">
        <v>0</v>
      </c>
      <c r="AI1776" s="52" t="n">
        <v>0</v>
      </c>
      <c r="AJ1776" s="52" t="n">
        <v>0</v>
      </c>
      <c r="AK1776" s="52" t="n">
        <v>0</v>
      </c>
      <c r="AL1776" s="52" t="n">
        <v>0</v>
      </c>
      <c r="AM1776" s="53" t="n">
        <v>0</v>
      </c>
      <c r="AN1776" s="53" t="n">
        <v>0</v>
      </c>
      <c r="AO1776" s="53" t="n">
        <v>0</v>
      </c>
      <c r="AP1776" s="53" t="n">
        <v>0</v>
      </c>
      <c r="AQ1776" s="52" t="n">
        <v>0</v>
      </c>
      <c r="AR1776" s="52" t="n">
        <v>0</v>
      </c>
      <c r="AS1776" s="52" t="n">
        <v>0</v>
      </c>
      <c r="AT1776" s="52" t="n">
        <v>0</v>
      </c>
      <c r="AU1776" s="53" t="n">
        <v>0</v>
      </c>
      <c r="AV1776" s="53" t="n">
        <v>0</v>
      </c>
      <c r="AW1776" s="53" t="n">
        <v>0</v>
      </c>
      <c r="AX1776" s="53" t="n">
        <v>0</v>
      </c>
      <c r="AY1776" s="52" t="n">
        <v>0</v>
      </c>
      <c r="AZ1776" s="52" t="n">
        <v>0</v>
      </c>
      <c r="BA1776" s="52" t="n">
        <v>0</v>
      </c>
      <c r="BB1776" s="52" t="n">
        <v>0</v>
      </c>
      <c r="BC1776" s="51" t="n">
        <v>194</v>
      </c>
      <c r="BD1776" s="51" t="n">
        <v>362</v>
      </c>
      <c r="BE1776" s="51" t="n">
        <v>518</v>
      </c>
      <c r="BF1776" s="51" t="n">
        <v>450</v>
      </c>
    </row>
    <row r="1777">
      <c r="A1777">
        <f>HYPERLINK("https://www.walmart.com/ip/13821472703", "13821472703")</f>
        <v/>
      </c>
      <c r="B1777" t="inlineStr">
        <is>
          <t>Every Day is Christmas Glass Blown Ornaments Cute Hand Made Figurines Tree Decoration, Set of 2 Corn</t>
        </is>
      </c>
      <c r="C1777" t="inlineStr">
        <is>
          <t>EDC-FIGURINE-CORN-2PACK</t>
        </is>
      </c>
      <c r="D1777" t="inlineStr">
        <is>
          <t>Ornaments</t>
        </is>
      </c>
      <c r="E1777" t="inlineStr">
        <is>
          <t>Every Day is Christmas</t>
        </is>
      </c>
      <c r="G1777" s="48" t="n">
        <v>0</v>
      </c>
      <c r="H1777" s="48" t="n">
        <v>0</v>
      </c>
      <c r="I1777" s="48" t="n">
        <v>0</v>
      </c>
      <c r="J1777" s="48" t="n">
        <v>0</v>
      </c>
      <c r="K1777" s="49" t="n">
        <v>0</v>
      </c>
      <c r="L1777" s="49" t="n">
        <v>0</v>
      </c>
      <c r="M1777" s="49" t="n">
        <v>0</v>
      </c>
      <c r="N1777" s="49" t="n">
        <v>0</v>
      </c>
      <c r="O1777" s="49" t="n">
        <v>0</v>
      </c>
      <c r="P1777" s="49" t="n">
        <v>0</v>
      </c>
      <c r="Q1777" s="49" t="n">
        <v>0</v>
      </c>
      <c r="R1777" s="49" t="n">
        <v>0</v>
      </c>
      <c r="S1777" s="50" t="n">
        <v>0</v>
      </c>
      <c r="T1777" s="50" t="n">
        <v>0</v>
      </c>
      <c r="U1777" s="50" t="n">
        <v>0</v>
      </c>
      <c r="V1777" s="50" t="n">
        <v>0</v>
      </c>
      <c r="W1777" s="51" t="n">
        <v>0</v>
      </c>
      <c r="X1777" s="51" t="n">
        <v>0</v>
      </c>
      <c r="Y1777" s="51" t="n">
        <v>0</v>
      </c>
      <c r="Z1777" s="51" t="n">
        <v>0</v>
      </c>
      <c r="AA1777" s="52" t="n">
        <v>0</v>
      </c>
      <c r="AB1777" s="52" t="n">
        <v>0</v>
      </c>
      <c r="AC1777" s="52" t="n">
        <v>0</v>
      </c>
      <c r="AD1777" s="52" t="n">
        <v>0</v>
      </c>
      <c r="AE1777" s="52" t="n">
        <v>0</v>
      </c>
      <c r="AF1777" s="52" t="n">
        <v>0</v>
      </c>
      <c r="AG1777" s="52" t="n">
        <v>0</v>
      </c>
      <c r="AH1777" s="52" t="n">
        <v>0</v>
      </c>
      <c r="AI1777" s="52" t="n">
        <v>0</v>
      </c>
      <c r="AJ1777" s="52" t="n">
        <v>0</v>
      </c>
      <c r="AK1777" s="52" t="n">
        <v>0</v>
      </c>
      <c r="AL1777" s="52" t="n">
        <v>0</v>
      </c>
      <c r="AM1777" s="53" t="n">
        <v>0</v>
      </c>
      <c r="AN1777" s="53" t="n">
        <v>0</v>
      </c>
      <c r="AO1777" s="53" t="n">
        <v>0</v>
      </c>
      <c r="AP1777" s="53" t="n">
        <v>0</v>
      </c>
      <c r="AQ1777" s="52" t="n">
        <v>0</v>
      </c>
      <c r="AR1777" s="52" t="n">
        <v>0</v>
      </c>
      <c r="AS1777" s="52" t="n">
        <v>0</v>
      </c>
      <c r="AT1777" s="52" t="n">
        <v>0</v>
      </c>
      <c r="AU1777" s="53" t="n">
        <v>0</v>
      </c>
      <c r="AV1777" s="53" t="n">
        <v>0</v>
      </c>
      <c r="AW1777" s="53" t="n">
        <v>0</v>
      </c>
      <c r="AX1777" s="53" t="n">
        <v>0</v>
      </c>
      <c r="AY1777" s="52" t="n">
        <v>0</v>
      </c>
      <c r="AZ1777" s="52" t="n">
        <v>0</v>
      </c>
      <c r="BA1777" s="52" t="n">
        <v>0</v>
      </c>
      <c r="BB1777" s="52" t="n">
        <v>0</v>
      </c>
      <c r="BC1777" s="51" t="n">
        <v>0</v>
      </c>
      <c r="BD1777" s="51" t="n">
        <v>0</v>
      </c>
      <c r="BE1777" s="51" t="n">
        <v>0</v>
      </c>
      <c r="BF1777" s="51" t="n">
        <v>0</v>
      </c>
    </row>
    <row r="1778">
      <c r="A1778">
        <f>HYPERLINK("https://www.walmart.com/ip/13656320276", "13656320276")</f>
        <v/>
      </c>
      <c r="B1778" t="inlineStr">
        <is>
          <t>Catalonia Wearable Hoodie Blanket Quilted Outdoor Waterproof Hoodie for Women Men for Hiking Camping Picnic Oversized Soft Cozy Warm Hoodie Blanket Gifts with Giant Pocket and Long Sleeves Black</t>
        </is>
      </c>
      <c r="C1778" t="inlineStr">
        <is>
          <t>1CTHD301BK</t>
        </is>
      </c>
      <c r="D1778" t="inlineStr">
        <is>
          <t>Sweatshirts &amp; Hoodies</t>
        </is>
      </c>
      <c r="E1778" t="inlineStr">
        <is>
          <t>Catalonia</t>
        </is>
      </c>
      <c r="G1778" s="48" t="n">
        <v>0</v>
      </c>
      <c r="H1778" s="48" t="n">
        <v>0</v>
      </c>
      <c r="I1778" s="48" t="n">
        <v>0</v>
      </c>
      <c r="J1778" s="48" t="n">
        <v>0</v>
      </c>
      <c r="K1778" s="49" t="n">
        <v>0</v>
      </c>
      <c r="L1778" s="49" t="n">
        <v>0</v>
      </c>
      <c r="M1778" s="49" t="n">
        <v>0</v>
      </c>
      <c r="N1778" s="49" t="n">
        <v>0</v>
      </c>
      <c r="O1778" s="49" t="n">
        <v>0</v>
      </c>
      <c r="P1778" s="49" t="n">
        <v>0</v>
      </c>
      <c r="Q1778" s="49" t="n">
        <v>0</v>
      </c>
      <c r="R1778" s="49" t="n">
        <v>0</v>
      </c>
      <c r="S1778" s="50" t="n">
        <v>0</v>
      </c>
      <c r="T1778" s="50" t="n">
        <v>0</v>
      </c>
      <c r="U1778" s="50" t="n">
        <v>0</v>
      </c>
      <c r="V1778" s="50" t="n">
        <v>0</v>
      </c>
      <c r="W1778" s="51" t="n">
        <v>0</v>
      </c>
      <c r="X1778" s="51" t="n">
        <v>0</v>
      </c>
      <c r="Y1778" s="51" t="n">
        <v>0</v>
      </c>
      <c r="Z1778" s="51" t="n">
        <v>0</v>
      </c>
      <c r="AA1778" s="52" t="n">
        <v>0</v>
      </c>
      <c r="AB1778" s="52" t="n">
        <v>0</v>
      </c>
      <c r="AC1778" s="52" t="n">
        <v>0</v>
      </c>
      <c r="AD1778" s="52" t="n">
        <v>0</v>
      </c>
      <c r="AE1778" s="52" t="n">
        <v>0</v>
      </c>
      <c r="AF1778" s="52" t="n">
        <v>0</v>
      </c>
      <c r="AG1778" s="52" t="n">
        <v>0</v>
      </c>
      <c r="AH1778" s="52" t="n">
        <v>0</v>
      </c>
      <c r="AI1778" s="52" t="n">
        <v>0</v>
      </c>
      <c r="AJ1778" s="52" t="n">
        <v>0</v>
      </c>
      <c r="AK1778" s="52" t="n">
        <v>0</v>
      </c>
      <c r="AL1778" s="52" t="n">
        <v>0</v>
      </c>
      <c r="AM1778" s="53" t="n">
        <v>0</v>
      </c>
      <c r="AN1778" s="53" t="n">
        <v>0</v>
      </c>
      <c r="AO1778" s="53" t="n">
        <v>0</v>
      </c>
      <c r="AP1778" s="53" t="n">
        <v>0</v>
      </c>
      <c r="AQ1778" s="52" t="n">
        <v>0</v>
      </c>
      <c r="AR1778" s="52" t="n">
        <v>0</v>
      </c>
      <c r="AS1778" s="52" t="n">
        <v>0</v>
      </c>
      <c r="AT1778" s="52" t="n">
        <v>0</v>
      </c>
      <c r="AU1778" s="53" t="n">
        <v>0</v>
      </c>
      <c r="AV1778" s="53" t="n">
        <v>0</v>
      </c>
      <c r="AW1778" s="53" t="n">
        <v>0</v>
      </c>
      <c r="AX1778" s="53" t="n">
        <v>0</v>
      </c>
      <c r="AY1778" s="52" t="n">
        <v>0</v>
      </c>
      <c r="AZ1778" s="52" t="n">
        <v>0</v>
      </c>
      <c r="BA1778" s="52" t="n">
        <v>0</v>
      </c>
      <c r="BB1778" s="52" t="n">
        <v>0</v>
      </c>
      <c r="BC1778" s="51" t="n">
        <v>0</v>
      </c>
      <c r="BD1778" s="51" t="n">
        <v>0</v>
      </c>
      <c r="BE1778" s="51" t="n">
        <v>0</v>
      </c>
      <c r="BF1778" s="51" t="n">
        <v>0</v>
      </c>
    </row>
    <row r="1779">
      <c r="A1779">
        <f>HYPERLINK("https://www.walmart.com/ip/135897995", "135897995")</f>
        <v/>
      </c>
      <c r="B1779" t="inlineStr">
        <is>
          <t>JenniWears Women Beileise Sexy Garter Belt Suspender - 6 Packs</t>
        </is>
      </c>
      <c r="C1779" t="inlineStr">
        <is>
          <t>JWBLSPH5003-6pcs</t>
        </is>
      </c>
      <c r="D1779" t="inlineStr">
        <is>
          <t>Garter Belts</t>
        </is>
      </c>
      <c r="E1779" t="inlineStr">
        <is>
          <t>JenniWears</t>
        </is>
      </c>
      <c r="F1779" t="inlineStr">
        <is>
          <t>Optimized,Valentine</t>
        </is>
      </c>
      <c r="G1779" s="48" t="n">
        <v>0</v>
      </c>
      <c r="H1779" s="48" t="n">
        <v>0</v>
      </c>
      <c r="I1779" s="48" t="n">
        <v>0</v>
      </c>
      <c r="J1779" s="48" t="n">
        <v>0</v>
      </c>
      <c r="K1779" s="49" t="n">
        <v>0</v>
      </c>
      <c r="L1779" s="49" t="n">
        <v>0</v>
      </c>
      <c r="M1779" s="49" t="n">
        <v>0</v>
      </c>
      <c r="N1779" s="49" t="n">
        <v>0</v>
      </c>
      <c r="O1779" s="49" t="n">
        <v>0</v>
      </c>
      <c r="P1779" s="49" t="n">
        <v>0</v>
      </c>
      <c r="Q1779" s="49" t="n">
        <v>0</v>
      </c>
      <c r="R1779" s="49" t="n">
        <v>0</v>
      </c>
      <c r="S1779" s="50" t="n">
        <v>0</v>
      </c>
      <c r="T1779" s="50" t="n">
        <v>0</v>
      </c>
      <c r="U1779" s="50" t="n">
        <v>0</v>
      </c>
      <c r="V1779" s="50" t="n">
        <v>0</v>
      </c>
      <c r="W1779" s="51" t="n">
        <v>0</v>
      </c>
      <c r="X1779" s="51" t="n">
        <v>0</v>
      </c>
      <c r="Y1779" s="51" t="n">
        <v>0</v>
      </c>
      <c r="Z1779" s="51" t="n">
        <v>0</v>
      </c>
      <c r="AA1779" s="52" t="n">
        <v>0</v>
      </c>
      <c r="AB1779" s="52" t="n">
        <v>0</v>
      </c>
      <c r="AC1779" s="52" t="n">
        <v>0</v>
      </c>
      <c r="AD1779" s="52" t="n">
        <v>0</v>
      </c>
      <c r="AE1779" s="52" t="n">
        <v>0</v>
      </c>
      <c r="AF1779" s="52" t="n">
        <v>0</v>
      </c>
      <c r="AG1779" s="52" t="n">
        <v>0</v>
      </c>
      <c r="AH1779" s="52" t="n">
        <v>0</v>
      </c>
      <c r="AI1779" s="52" t="n">
        <v>0</v>
      </c>
      <c r="AJ1779" s="52" t="n">
        <v>0</v>
      </c>
      <c r="AK1779" s="52" t="n">
        <v>0</v>
      </c>
      <c r="AL1779" s="52" t="n">
        <v>0</v>
      </c>
      <c r="AM1779" s="53" t="n">
        <v>0</v>
      </c>
      <c r="AN1779" s="53" t="n">
        <v>0</v>
      </c>
      <c r="AO1779" s="53" t="n">
        <v>0</v>
      </c>
      <c r="AP1779" s="53" t="n">
        <v>0</v>
      </c>
      <c r="AQ1779" s="52" t="n">
        <v>0</v>
      </c>
      <c r="AR1779" s="52" t="n">
        <v>0</v>
      </c>
      <c r="AS1779" s="52" t="n">
        <v>0</v>
      </c>
      <c r="AT1779" s="52" t="n">
        <v>0</v>
      </c>
      <c r="AU1779" s="53" t="n">
        <v>0</v>
      </c>
      <c r="AV1779" s="53" t="n">
        <v>0</v>
      </c>
      <c r="AW1779" s="53" t="n">
        <v>0</v>
      </c>
      <c r="AX1779" s="53" t="n">
        <v>0</v>
      </c>
      <c r="AY1779" s="52" t="n">
        <v>0</v>
      </c>
      <c r="AZ1779" s="52" t="n">
        <v>0</v>
      </c>
      <c r="BA1779" s="52" t="n">
        <v>0</v>
      </c>
      <c r="BB1779" s="52" t="n">
        <v>0</v>
      </c>
      <c r="BC1779" s="51" t="n">
        <v>0</v>
      </c>
      <c r="BD1779" s="51" t="n">
        <v>0</v>
      </c>
      <c r="BE1779" s="51" t="n">
        <v>0</v>
      </c>
      <c r="BF1779" s="51" t="n">
        <v>0</v>
      </c>
    </row>
    <row r="1780">
      <c r="A1780">
        <f>HYPERLINK("https://www.walmart.com/ip/138250701", "138250701")</f>
        <v/>
      </c>
      <c r="B1780" t="inlineStr">
        <is>
          <t>KC Caps® Cotton Twill Deluxe Super Soft Mesh Adjustable Snapback Low Profile Trucker Baseball Cap</t>
        </is>
      </c>
      <c r="C1780" t="inlineStr">
        <is>
          <t>KCCAPSSZK641ROY/ST</t>
        </is>
      </c>
      <c r="D1780" t="inlineStr">
        <is>
          <t>Hats</t>
        </is>
      </c>
      <c r="E1780" t="inlineStr">
        <is>
          <t>KC Caps</t>
        </is>
      </c>
      <c r="F1780" t="inlineStr">
        <is>
          <t>Optimized</t>
        </is>
      </c>
      <c r="G1780" s="48" t="n">
        <v>0</v>
      </c>
      <c r="H1780" s="48" t="n">
        <v>0</v>
      </c>
      <c r="I1780" s="48" t="n">
        <v>0</v>
      </c>
      <c r="J1780" s="48" t="n">
        <v>0</v>
      </c>
      <c r="K1780" s="49" t="n">
        <v>0</v>
      </c>
      <c r="L1780" s="49" t="n">
        <v>0</v>
      </c>
      <c r="M1780" s="49" t="n">
        <v>0</v>
      </c>
      <c r="N1780" s="49" t="n">
        <v>0</v>
      </c>
      <c r="O1780" s="49" t="n">
        <v>0</v>
      </c>
      <c r="P1780" s="49" t="n">
        <v>0</v>
      </c>
      <c r="Q1780" s="49" t="n">
        <v>0</v>
      </c>
      <c r="R1780" s="49" t="n">
        <v>0</v>
      </c>
      <c r="S1780" s="50" t="n">
        <v>0</v>
      </c>
      <c r="T1780" s="50" t="n">
        <v>0</v>
      </c>
      <c r="U1780" s="50" t="n">
        <v>0</v>
      </c>
      <c r="V1780" s="50" t="n">
        <v>0</v>
      </c>
      <c r="W1780" s="51" t="n">
        <v>0</v>
      </c>
      <c r="X1780" s="51" t="n">
        <v>0</v>
      </c>
      <c r="Y1780" s="51" t="n">
        <v>0</v>
      </c>
      <c r="Z1780" s="51" t="n">
        <v>0</v>
      </c>
      <c r="AA1780" s="52" t="n">
        <v>0</v>
      </c>
      <c r="AB1780" s="52" t="n">
        <v>0</v>
      </c>
      <c r="AC1780" s="52" t="n">
        <v>0</v>
      </c>
      <c r="AD1780" s="52" t="n">
        <v>0</v>
      </c>
      <c r="AE1780" s="52" t="n">
        <v>0</v>
      </c>
      <c r="AF1780" s="52" t="n">
        <v>0</v>
      </c>
      <c r="AG1780" s="52" t="n">
        <v>0</v>
      </c>
      <c r="AH1780" s="52" t="n">
        <v>0</v>
      </c>
      <c r="AI1780" s="52" t="n">
        <v>0</v>
      </c>
      <c r="AJ1780" s="52" t="n">
        <v>0</v>
      </c>
      <c r="AK1780" s="52" t="n">
        <v>0</v>
      </c>
      <c r="AL1780" s="52" t="n">
        <v>0</v>
      </c>
      <c r="AM1780" s="53" t="n">
        <v>0</v>
      </c>
      <c r="AN1780" s="53" t="n">
        <v>0</v>
      </c>
      <c r="AO1780" s="53" t="n">
        <v>0</v>
      </c>
      <c r="AP1780" s="53" t="n">
        <v>0</v>
      </c>
      <c r="AQ1780" s="52" t="n">
        <v>0</v>
      </c>
      <c r="AR1780" s="52" t="n">
        <v>0</v>
      </c>
      <c r="AS1780" s="52" t="n">
        <v>0</v>
      </c>
      <c r="AT1780" s="52" t="n">
        <v>0</v>
      </c>
      <c r="AU1780" s="53" t="n">
        <v>0</v>
      </c>
      <c r="AV1780" s="53" t="n">
        <v>0</v>
      </c>
      <c r="AW1780" s="53" t="n">
        <v>0</v>
      </c>
      <c r="AX1780" s="53" t="n">
        <v>0</v>
      </c>
      <c r="AY1780" s="52" t="n">
        <v>0</v>
      </c>
      <c r="AZ1780" s="52" t="n">
        <v>0</v>
      </c>
      <c r="BA1780" s="52" t="n">
        <v>0</v>
      </c>
      <c r="BB1780" s="52" t="n">
        <v>0</v>
      </c>
      <c r="BC1780" s="51" t="n">
        <v>0</v>
      </c>
      <c r="BD1780" s="51" t="n">
        <v>0</v>
      </c>
      <c r="BE1780" s="51" t="n">
        <v>0</v>
      </c>
      <c r="BF1780" s="51" t="n">
        <v>0</v>
      </c>
    </row>
    <row r="1781">
      <c r="A1781">
        <f>HYPERLINK("https://www.walmart.com/ip/135460967", "135460967")</f>
        <v/>
      </c>
      <c r="B1781" t="inlineStr">
        <is>
          <t>Light up Sequin Fedora LED Hat Neon Rave Costumes Glow in Dark Party music concerts,night clubs,holiday,parties,festival</t>
        </is>
      </c>
      <c r="C1781" t="inlineStr">
        <is>
          <t>JWLEDHAT01-BL</t>
        </is>
      </c>
      <c r="D1781" t="inlineStr">
        <is>
          <t>Party Hats</t>
        </is>
      </c>
      <c r="E1781" t="inlineStr">
        <is>
          <t>JenniWears</t>
        </is>
      </c>
      <c r="F1781" t="inlineStr">
        <is>
          <t>Halloween</t>
        </is>
      </c>
      <c r="G1781" s="48" t="n">
        <v>0</v>
      </c>
      <c r="H1781" s="48" t="n">
        <v>0</v>
      </c>
      <c r="I1781" s="48" t="n">
        <v>0</v>
      </c>
      <c r="J1781" s="48" t="n">
        <v>0</v>
      </c>
      <c r="K1781" s="49" t="n">
        <v>0</v>
      </c>
      <c r="L1781" s="49" t="n">
        <v>0</v>
      </c>
      <c r="M1781" s="49" t="n">
        <v>0</v>
      </c>
      <c r="N1781" s="49" t="n">
        <v>0</v>
      </c>
      <c r="O1781" s="49" t="n">
        <v>0</v>
      </c>
      <c r="P1781" s="49" t="n">
        <v>0</v>
      </c>
      <c r="Q1781" s="49" t="n">
        <v>0</v>
      </c>
      <c r="R1781" s="49" t="n">
        <v>0</v>
      </c>
      <c r="S1781" s="50" t="n">
        <v>0</v>
      </c>
      <c r="T1781" s="50" t="n">
        <v>0</v>
      </c>
      <c r="U1781" s="50" t="n">
        <v>0</v>
      </c>
      <c r="V1781" s="50" t="n">
        <v>0</v>
      </c>
      <c r="W1781" s="51" t="n">
        <v>0</v>
      </c>
      <c r="X1781" s="51" t="n">
        <v>0</v>
      </c>
      <c r="Y1781" s="51" t="n">
        <v>0</v>
      </c>
      <c r="Z1781" s="51" t="n">
        <v>0</v>
      </c>
      <c r="AA1781" s="52" t="n">
        <v>0</v>
      </c>
      <c r="AB1781" s="52" t="n">
        <v>0</v>
      </c>
      <c r="AC1781" s="52" t="n">
        <v>0</v>
      </c>
      <c r="AD1781" s="52" t="n">
        <v>0</v>
      </c>
      <c r="AE1781" s="52" t="n">
        <v>0</v>
      </c>
      <c r="AF1781" s="52" t="n">
        <v>0</v>
      </c>
      <c r="AG1781" s="52" t="n">
        <v>0</v>
      </c>
      <c r="AH1781" s="52" t="n">
        <v>0</v>
      </c>
      <c r="AI1781" s="52" t="n">
        <v>0</v>
      </c>
      <c r="AJ1781" s="52" t="n">
        <v>0</v>
      </c>
      <c r="AK1781" s="52" t="n">
        <v>0</v>
      </c>
      <c r="AL1781" s="52" t="n">
        <v>0</v>
      </c>
      <c r="AM1781" s="53" t="n">
        <v>0</v>
      </c>
      <c r="AN1781" s="53" t="n">
        <v>0</v>
      </c>
      <c r="AO1781" s="53" t="n">
        <v>0</v>
      </c>
      <c r="AP1781" s="53" t="n">
        <v>0</v>
      </c>
      <c r="AQ1781" s="52" t="n">
        <v>0</v>
      </c>
      <c r="AR1781" s="52" t="n">
        <v>0</v>
      </c>
      <c r="AS1781" s="52" t="n">
        <v>0</v>
      </c>
      <c r="AT1781" s="52" t="n">
        <v>0</v>
      </c>
      <c r="AU1781" s="53" t="n">
        <v>0</v>
      </c>
      <c r="AV1781" s="53" t="n">
        <v>0</v>
      </c>
      <c r="AW1781" s="53" t="n">
        <v>0</v>
      </c>
      <c r="AX1781" s="53" t="n">
        <v>0</v>
      </c>
      <c r="AY1781" s="52" t="n">
        <v>0</v>
      </c>
      <c r="AZ1781" s="52" t="n">
        <v>0</v>
      </c>
      <c r="BA1781" s="52" t="n">
        <v>0</v>
      </c>
      <c r="BB1781" s="52" t="n">
        <v>0</v>
      </c>
      <c r="BC1781" s="51" t="n">
        <v>0</v>
      </c>
      <c r="BD1781" s="51" t="n">
        <v>0</v>
      </c>
      <c r="BE1781" s="51" t="n">
        <v>0</v>
      </c>
      <c r="BF1781" s="51" t="n">
        <v>0</v>
      </c>
    </row>
    <row r="1782">
      <c r="A1782">
        <f>HYPERLINK("https://www.walmart.com/ip/132318095", "132318095")</f>
        <v/>
      </c>
      <c r="B1782" t="inlineStr">
        <is>
          <t>KC Caps Blank Cuff Hat Knit Beanie</t>
        </is>
      </c>
      <c r="C1782" t="inlineStr">
        <is>
          <t>KCW1720FORGN</t>
        </is>
      </c>
      <c r="D1782" t="inlineStr">
        <is>
          <t>Hats</t>
        </is>
      </c>
      <c r="E1782" t="inlineStr">
        <is>
          <t>KC Caps</t>
        </is>
      </c>
      <c r="F1782" t="inlineStr">
        <is>
          <t>Optimized,ST Patrick Day</t>
        </is>
      </c>
      <c r="G1782" s="48" t="n">
        <v>0</v>
      </c>
      <c r="H1782" s="48" t="n">
        <v>0</v>
      </c>
      <c r="I1782" s="48" t="n">
        <v>0</v>
      </c>
      <c r="J1782" s="48" t="n">
        <v>0</v>
      </c>
      <c r="K1782" s="49" t="n">
        <v>0</v>
      </c>
      <c r="L1782" s="49" t="n">
        <v>0</v>
      </c>
      <c r="M1782" s="49" t="n">
        <v>0</v>
      </c>
      <c r="N1782" s="49" t="n">
        <v>0</v>
      </c>
      <c r="O1782" s="49" t="n">
        <v>0</v>
      </c>
      <c r="P1782" s="49" t="n">
        <v>0</v>
      </c>
      <c r="Q1782" s="49" t="n">
        <v>0</v>
      </c>
      <c r="R1782" s="49" t="n">
        <v>0</v>
      </c>
      <c r="S1782" s="50" t="n">
        <v>0</v>
      </c>
      <c r="T1782" s="50" t="n">
        <v>0</v>
      </c>
      <c r="U1782" s="50" t="n">
        <v>0</v>
      </c>
      <c r="V1782" s="50" t="n">
        <v>0</v>
      </c>
      <c r="W1782" s="51" t="n">
        <v>0</v>
      </c>
      <c r="X1782" s="51" t="n">
        <v>0</v>
      </c>
      <c r="Y1782" s="51" t="n">
        <v>0</v>
      </c>
      <c r="Z1782" s="51" t="n">
        <v>0</v>
      </c>
      <c r="AA1782" s="52" t="n">
        <v>0</v>
      </c>
      <c r="AB1782" s="52" t="n">
        <v>0</v>
      </c>
      <c r="AC1782" s="52" t="n">
        <v>0</v>
      </c>
      <c r="AD1782" s="52" t="n">
        <v>0</v>
      </c>
      <c r="AE1782" s="52" t="n">
        <v>0</v>
      </c>
      <c r="AF1782" s="52" t="n">
        <v>0</v>
      </c>
      <c r="AG1782" s="52" t="n">
        <v>0</v>
      </c>
      <c r="AH1782" s="52" t="n">
        <v>0</v>
      </c>
      <c r="AI1782" s="52" t="n">
        <v>0</v>
      </c>
      <c r="AJ1782" s="52" t="n">
        <v>0</v>
      </c>
      <c r="AK1782" s="52" t="n">
        <v>0</v>
      </c>
      <c r="AL1782" s="52" t="n">
        <v>0</v>
      </c>
      <c r="AM1782" s="53" t="n">
        <v>0</v>
      </c>
      <c r="AN1782" s="53" t="n">
        <v>0</v>
      </c>
      <c r="AO1782" s="53" t="n">
        <v>0</v>
      </c>
      <c r="AP1782" s="53" t="n">
        <v>0</v>
      </c>
      <c r="AQ1782" s="52" t="n">
        <v>0</v>
      </c>
      <c r="AR1782" s="52" t="n">
        <v>0</v>
      </c>
      <c r="AS1782" s="52" t="n">
        <v>0</v>
      </c>
      <c r="AT1782" s="52" t="n">
        <v>0</v>
      </c>
      <c r="AU1782" s="53" t="n">
        <v>0</v>
      </c>
      <c r="AV1782" s="53" t="n">
        <v>0</v>
      </c>
      <c r="AW1782" s="53" t="n">
        <v>0</v>
      </c>
      <c r="AX1782" s="53" t="n">
        <v>0</v>
      </c>
      <c r="AY1782" s="52" t="n">
        <v>0</v>
      </c>
      <c r="AZ1782" s="52" t="n">
        <v>0</v>
      </c>
      <c r="BA1782" s="52" t="n">
        <v>0</v>
      </c>
      <c r="BB1782" s="52" t="n">
        <v>0</v>
      </c>
      <c r="BC1782" s="51" t="n">
        <v>0</v>
      </c>
      <c r="BD1782" s="51" t="n">
        <v>0</v>
      </c>
      <c r="BE1782" s="51" t="n">
        <v>0</v>
      </c>
      <c r="BF1782" s="51" t="n">
        <v>0</v>
      </c>
    </row>
    <row r="1783">
      <c r="A1783">
        <f>HYPERLINK("https://www.walmart.com/ip/13234570365", "13234570365")</f>
        <v/>
      </c>
      <c r="B1783" t="inlineStr">
        <is>
          <t>Wrangler Slim Genuine Leather AirTag Wallet for Men - Bifold RFID Blocking Design with Hidden AirTag Holder</t>
        </is>
      </c>
      <c r="C1783" t="inlineStr">
        <is>
          <t>WR-WA49101BLKOS</t>
        </is>
      </c>
      <c r="D1783" t="inlineStr">
        <is>
          <t>Wallets</t>
        </is>
      </c>
      <c r="E1783" t="inlineStr">
        <is>
          <t>Wrangler</t>
        </is>
      </c>
      <c r="G1783" s="48" t="n">
        <v>0</v>
      </c>
      <c r="H1783" s="48" t="n">
        <v>0</v>
      </c>
      <c r="I1783" s="48" t="n">
        <v>0</v>
      </c>
      <c r="J1783" s="48" t="n">
        <v>0</v>
      </c>
      <c r="K1783" s="49" t="n">
        <v>0</v>
      </c>
      <c r="L1783" s="49" t="n">
        <v>0</v>
      </c>
      <c r="M1783" s="49" t="n">
        <v>0</v>
      </c>
      <c r="N1783" s="49" t="n">
        <v>0</v>
      </c>
      <c r="O1783" s="49" t="n">
        <v>0</v>
      </c>
      <c r="P1783" s="49" t="n">
        <v>0</v>
      </c>
      <c r="Q1783" s="49" t="n">
        <v>0</v>
      </c>
      <c r="R1783" s="49" t="n">
        <v>0</v>
      </c>
      <c r="S1783" s="50" t="n">
        <v>0</v>
      </c>
      <c r="T1783" s="50" t="n">
        <v>0</v>
      </c>
      <c r="U1783" s="50" t="n">
        <v>0</v>
      </c>
      <c r="V1783" s="50" t="n">
        <v>0</v>
      </c>
      <c r="W1783" s="51" t="n">
        <v>0</v>
      </c>
      <c r="X1783" s="51" t="n">
        <v>0</v>
      </c>
      <c r="Y1783" s="51" t="n">
        <v>0</v>
      </c>
      <c r="Z1783" s="51" t="n">
        <v>0</v>
      </c>
      <c r="AA1783" s="52" t="n">
        <v>0</v>
      </c>
      <c r="AB1783" s="52" t="n">
        <v>0</v>
      </c>
      <c r="AC1783" s="52" t="n">
        <v>0</v>
      </c>
      <c r="AD1783" s="52" t="n">
        <v>0</v>
      </c>
      <c r="AE1783" s="52" t="n">
        <v>0</v>
      </c>
      <c r="AF1783" s="52" t="n">
        <v>0</v>
      </c>
      <c r="AG1783" s="52" t="n">
        <v>0</v>
      </c>
      <c r="AH1783" s="52" t="n">
        <v>0</v>
      </c>
      <c r="AI1783" s="52" t="n">
        <v>0</v>
      </c>
      <c r="AJ1783" s="52" t="n">
        <v>0</v>
      </c>
      <c r="AK1783" s="52" t="n">
        <v>0</v>
      </c>
      <c r="AL1783" s="52" t="n">
        <v>0</v>
      </c>
      <c r="AM1783" s="53" t="n">
        <v>0</v>
      </c>
      <c r="AN1783" s="53" t="n">
        <v>0</v>
      </c>
      <c r="AO1783" s="53" t="n">
        <v>0</v>
      </c>
      <c r="AP1783" s="53" t="n">
        <v>0</v>
      </c>
      <c r="AQ1783" s="52" t="n">
        <v>0</v>
      </c>
      <c r="AR1783" s="52" t="n">
        <v>0</v>
      </c>
      <c r="AS1783" s="52" t="n">
        <v>0</v>
      </c>
      <c r="AT1783" s="52" t="n">
        <v>0</v>
      </c>
      <c r="AU1783" s="53" t="n">
        <v>0</v>
      </c>
      <c r="AV1783" s="53" t="n">
        <v>0</v>
      </c>
      <c r="AW1783" s="53" t="n">
        <v>0</v>
      </c>
      <c r="AX1783" s="53" t="n">
        <v>0</v>
      </c>
      <c r="AY1783" s="52" t="n">
        <v>0</v>
      </c>
      <c r="AZ1783" s="52" t="n">
        <v>0</v>
      </c>
      <c r="BA1783" s="52" t="n">
        <v>0</v>
      </c>
      <c r="BB1783" s="52" t="n">
        <v>0</v>
      </c>
      <c r="BC1783" s="51" t="n">
        <v>0</v>
      </c>
      <c r="BD1783" s="51" t="n">
        <v>0</v>
      </c>
      <c r="BE1783" s="51" t="n">
        <v>0</v>
      </c>
      <c r="BF1783" s="51" t="n">
        <v>0</v>
      </c>
    </row>
    <row r="1784">
      <c r="A1784">
        <f>HYPERLINK("https://www.walmart.com/ip/13236915878", "13236915878")</f>
        <v/>
      </c>
      <c r="B1784" t="inlineStr">
        <is>
          <t>Wrangler Slim Genuine Leather AirTag Wallet for Men - Bifold RFID Blocking Design with Hidden AirTag Holder</t>
        </is>
      </c>
      <c r="C1784" t="inlineStr">
        <is>
          <t>WR-WA13705BRNNS</t>
        </is>
      </c>
      <c r="D1784" t="inlineStr">
        <is>
          <t>Wallets</t>
        </is>
      </c>
      <c r="E1784" t="inlineStr">
        <is>
          <t>Wrangler</t>
        </is>
      </c>
      <c r="G1784" s="48" t="n">
        <v>0</v>
      </c>
      <c r="H1784" s="48" t="n">
        <v>0</v>
      </c>
      <c r="I1784" s="48" t="n">
        <v>24.98</v>
      </c>
      <c r="J1784" s="48" t="n">
        <v>0</v>
      </c>
      <c r="K1784" s="49" t="n">
        <v>0</v>
      </c>
      <c r="L1784" s="49" t="n">
        <v>0</v>
      </c>
      <c r="M1784" s="49" t="n">
        <v>1</v>
      </c>
      <c r="N1784" s="49" t="n">
        <v>0</v>
      </c>
      <c r="O1784" s="49" t="n">
        <v>0</v>
      </c>
      <c r="P1784" s="49" t="n">
        <v>0</v>
      </c>
      <c r="Q1784" s="49" t="n">
        <v>0</v>
      </c>
      <c r="R1784" s="49" t="n">
        <v>0</v>
      </c>
      <c r="S1784" s="50" t="n">
        <v>0</v>
      </c>
      <c r="T1784" s="50" t="n">
        <v>0</v>
      </c>
      <c r="U1784" s="50" t="n">
        <v>0</v>
      </c>
      <c r="V1784" s="50" t="n">
        <v>0</v>
      </c>
      <c r="W1784" s="51" t="n">
        <v>0</v>
      </c>
      <c r="X1784" s="51" t="n">
        <v>0</v>
      </c>
      <c r="Y1784" s="51" t="n">
        <v>0</v>
      </c>
      <c r="Z1784" s="51" t="n">
        <v>0</v>
      </c>
      <c r="AA1784" s="52" t="n">
        <v>0</v>
      </c>
      <c r="AB1784" s="52" t="n">
        <v>0</v>
      </c>
      <c r="AC1784" s="52" t="n">
        <v>0</v>
      </c>
      <c r="AD1784" s="52" t="n">
        <v>0</v>
      </c>
      <c r="AE1784" s="52" t="n">
        <v>0</v>
      </c>
      <c r="AF1784" s="52" t="n">
        <v>0</v>
      </c>
      <c r="AG1784" s="52" t="n">
        <v>0</v>
      </c>
      <c r="AH1784" s="52" t="n">
        <v>0</v>
      </c>
      <c r="AI1784" s="52" t="n">
        <v>0</v>
      </c>
      <c r="AJ1784" s="52" t="n">
        <v>0</v>
      </c>
      <c r="AK1784" s="52" t="n">
        <v>0</v>
      </c>
      <c r="AL1784" s="52" t="n">
        <v>0</v>
      </c>
      <c r="AM1784" s="53" t="n">
        <v>0</v>
      </c>
      <c r="AN1784" s="53" t="n">
        <v>0</v>
      </c>
      <c r="AO1784" s="53" t="n">
        <v>0</v>
      </c>
      <c r="AP1784" s="53" t="n">
        <v>0</v>
      </c>
      <c r="AQ1784" s="52" t="n">
        <v>0</v>
      </c>
      <c r="AR1784" s="52" t="n">
        <v>0</v>
      </c>
      <c r="AS1784" s="52" t="n">
        <v>0</v>
      </c>
      <c r="AT1784" s="52" t="n">
        <v>0</v>
      </c>
      <c r="AU1784" s="53" t="n">
        <v>0</v>
      </c>
      <c r="AV1784" s="53" t="n">
        <v>0</v>
      </c>
      <c r="AW1784" s="53" t="n">
        <v>0</v>
      </c>
      <c r="AX1784" s="53" t="n">
        <v>0</v>
      </c>
      <c r="AY1784" s="52" t="n">
        <v>0</v>
      </c>
      <c r="AZ1784" s="52" t="n">
        <v>0</v>
      </c>
      <c r="BA1784" s="52" t="n">
        <v>24.98</v>
      </c>
      <c r="BB1784" s="52" t="n">
        <v>0</v>
      </c>
      <c r="BC1784" s="51" t="n">
        <v>0</v>
      </c>
      <c r="BD1784" s="51" t="n">
        <v>0</v>
      </c>
      <c r="BE1784" s="51" t="n">
        <v>0</v>
      </c>
      <c r="BF1784" s="51" t="n">
        <v>0</v>
      </c>
    </row>
    <row r="1785">
      <c r="A1785">
        <f>HYPERLINK("https://www.walmart.com/ip/132479670", "132479670")</f>
        <v/>
      </c>
      <c r="B1785" t="inlineStr">
        <is>
          <t>KC Caps Blank Cuff Hat Knit Beanie</t>
        </is>
      </c>
      <c r="C1785" t="inlineStr">
        <is>
          <t>KCW1720LTGY</t>
        </is>
      </c>
      <c r="D1785" t="inlineStr">
        <is>
          <t>Hats</t>
        </is>
      </c>
      <c r="E1785" t="inlineStr">
        <is>
          <t>KC Caps</t>
        </is>
      </c>
      <c r="F1785" t="inlineStr">
        <is>
          <t>Optimized</t>
        </is>
      </c>
      <c r="G1785" s="48" t="n">
        <v>0</v>
      </c>
      <c r="H1785" s="48" t="n">
        <v>0</v>
      </c>
      <c r="I1785" s="48" t="n">
        <v>0</v>
      </c>
      <c r="J1785" s="48" t="n">
        <v>0</v>
      </c>
      <c r="K1785" s="49" t="n">
        <v>0</v>
      </c>
      <c r="L1785" s="49" t="n">
        <v>0</v>
      </c>
      <c r="M1785" s="49" t="n">
        <v>0</v>
      </c>
      <c r="N1785" s="49" t="n">
        <v>0</v>
      </c>
      <c r="O1785" s="49" t="n">
        <v>0</v>
      </c>
      <c r="P1785" s="49" t="n">
        <v>0</v>
      </c>
      <c r="Q1785" s="49" t="n">
        <v>0</v>
      </c>
      <c r="R1785" s="49" t="n">
        <v>0</v>
      </c>
      <c r="S1785" s="50" t="n">
        <v>0</v>
      </c>
      <c r="T1785" s="50" t="n">
        <v>0</v>
      </c>
      <c r="U1785" s="50" t="n">
        <v>0</v>
      </c>
      <c r="V1785" s="50" t="n">
        <v>0</v>
      </c>
      <c r="W1785" s="51" t="n">
        <v>0</v>
      </c>
      <c r="X1785" s="51" t="n">
        <v>0</v>
      </c>
      <c r="Y1785" s="51" t="n">
        <v>0</v>
      </c>
      <c r="Z1785" s="51" t="n">
        <v>0</v>
      </c>
      <c r="AA1785" s="52" t="n">
        <v>0</v>
      </c>
      <c r="AB1785" s="52" t="n">
        <v>0</v>
      </c>
      <c r="AC1785" s="52" t="n">
        <v>0</v>
      </c>
      <c r="AD1785" s="52" t="n">
        <v>0</v>
      </c>
      <c r="AE1785" s="52" t="n">
        <v>0</v>
      </c>
      <c r="AF1785" s="52" t="n">
        <v>0</v>
      </c>
      <c r="AG1785" s="52" t="n">
        <v>0</v>
      </c>
      <c r="AH1785" s="52" t="n">
        <v>0</v>
      </c>
      <c r="AI1785" s="52" t="n">
        <v>0</v>
      </c>
      <c r="AJ1785" s="52" t="n">
        <v>0</v>
      </c>
      <c r="AK1785" s="52" t="n">
        <v>0</v>
      </c>
      <c r="AL1785" s="52" t="n">
        <v>0</v>
      </c>
      <c r="AM1785" s="53" t="n">
        <v>0</v>
      </c>
      <c r="AN1785" s="53" t="n">
        <v>0</v>
      </c>
      <c r="AO1785" s="53" t="n">
        <v>0</v>
      </c>
      <c r="AP1785" s="53" t="n">
        <v>0</v>
      </c>
      <c r="AQ1785" s="52" t="n">
        <v>0</v>
      </c>
      <c r="AR1785" s="52" t="n">
        <v>0</v>
      </c>
      <c r="AS1785" s="52" t="n">
        <v>0</v>
      </c>
      <c r="AT1785" s="52" t="n">
        <v>0</v>
      </c>
      <c r="AU1785" s="53" t="n">
        <v>0</v>
      </c>
      <c r="AV1785" s="53" t="n">
        <v>0</v>
      </c>
      <c r="AW1785" s="53" t="n">
        <v>0</v>
      </c>
      <c r="AX1785" s="53" t="n">
        <v>0</v>
      </c>
      <c r="AY1785" s="52" t="n">
        <v>0</v>
      </c>
      <c r="AZ1785" s="52" t="n">
        <v>0</v>
      </c>
      <c r="BA1785" s="52" t="n">
        <v>0</v>
      </c>
      <c r="BB1785" s="52" t="n">
        <v>0</v>
      </c>
      <c r="BC1785" s="51" t="n">
        <v>0</v>
      </c>
      <c r="BD1785" s="51" t="n">
        <v>0</v>
      </c>
      <c r="BE1785" s="51" t="n">
        <v>0</v>
      </c>
      <c r="BF1785" s="51" t="n">
        <v>0</v>
      </c>
    </row>
    <row r="1786">
      <c r="A1786">
        <f>HYPERLINK("https://www.walmart.com/ip/132763304", "132763304")</f>
        <v/>
      </c>
      <c r="B1786" t="inlineStr">
        <is>
          <t>JenniWears Women's Sexy Crotchless Suspender Pantyhose Stockings</t>
        </is>
      </c>
      <c r="C1786" t="inlineStr">
        <is>
          <t>JWBLSPH2028</t>
        </is>
      </c>
      <c r="D1786" t="inlineStr">
        <is>
          <t>Pantyhose &amp; Tights</t>
        </is>
      </c>
      <c r="E1786" t="inlineStr">
        <is>
          <t>JenniWears</t>
        </is>
      </c>
      <c r="F1786" t="inlineStr">
        <is>
          <t>WFS,Valentine,WFS Item</t>
        </is>
      </c>
      <c r="G1786" s="48" t="n">
        <v>0</v>
      </c>
      <c r="H1786" s="48" t="n">
        <v>0</v>
      </c>
      <c r="I1786" s="48" t="n">
        <v>0</v>
      </c>
      <c r="J1786" s="48" t="n">
        <v>0</v>
      </c>
      <c r="K1786" s="49" t="n">
        <v>0</v>
      </c>
      <c r="L1786" s="49" t="n">
        <v>0</v>
      </c>
      <c r="M1786" s="49" t="n">
        <v>0</v>
      </c>
      <c r="N1786" s="49" t="n">
        <v>0</v>
      </c>
      <c r="O1786" s="49" t="n">
        <v>0</v>
      </c>
      <c r="P1786" s="49" t="n">
        <v>0</v>
      </c>
      <c r="Q1786" s="49" t="n">
        <v>0</v>
      </c>
      <c r="R1786" s="49" t="n">
        <v>0</v>
      </c>
      <c r="S1786" s="50" t="n">
        <v>0</v>
      </c>
      <c r="T1786" s="50" t="n">
        <v>0</v>
      </c>
      <c r="U1786" s="50" t="n">
        <v>0</v>
      </c>
      <c r="V1786" s="50" t="n">
        <v>0</v>
      </c>
      <c r="W1786" s="51" t="n">
        <v>0</v>
      </c>
      <c r="X1786" s="51" t="n">
        <v>0</v>
      </c>
      <c r="Y1786" s="51" t="n">
        <v>0</v>
      </c>
      <c r="Z1786" s="51" t="n">
        <v>0</v>
      </c>
      <c r="AA1786" s="52" t="n">
        <v>0</v>
      </c>
      <c r="AB1786" s="52" t="n">
        <v>0</v>
      </c>
      <c r="AC1786" s="52" t="n">
        <v>0</v>
      </c>
      <c r="AD1786" s="52" t="n">
        <v>0</v>
      </c>
      <c r="AE1786" s="52" t="n">
        <v>0</v>
      </c>
      <c r="AF1786" s="52" t="n">
        <v>0</v>
      </c>
      <c r="AG1786" s="52" t="n">
        <v>0</v>
      </c>
      <c r="AH1786" s="52" t="n">
        <v>0</v>
      </c>
      <c r="AI1786" s="52" t="n">
        <v>0</v>
      </c>
      <c r="AJ1786" s="52" t="n">
        <v>0</v>
      </c>
      <c r="AK1786" s="52" t="n">
        <v>0</v>
      </c>
      <c r="AL1786" s="52" t="n">
        <v>0</v>
      </c>
      <c r="AM1786" s="53" t="n">
        <v>0</v>
      </c>
      <c r="AN1786" s="53" t="n">
        <v>0</v>
      </c>
      <c r="AO1786" s="53" t="n">
        <v>0</v>
      </c>
      <c r="AP1786" s="53" t="n">
        <v>0</v>
      </c>
      <c r="AQ1786" s="52" t="n">
        <v>0</v>
      </c>
      <c r="AR1786" s="52" t="n">
        <v>0</v>
      </c>
      <c r="AS1786" s="52" t="n">
        <v>0</v>
      </c>
      <c r="AT1786" s="52" t="n">
        <v>0</v>
      </c>
      <c r="AU1786" s="53" t="n">
        <v>0</v>
      </c>
      <c r="AV1786" s="53" t="n">
        <v>0</v>
      </c>
      <c r="AW1786" s="53" t="n">
        <v>0</v>
      </c>
      <c r="AX1786" s="53" t="n">
        <v>0</v>
      </c>
      <c r="AY1786" s="52" t="n">
        <v>0</v>
      </c>
      <c r="AZ1786" s="52" t="n">
        <v>0</v>
      </c>
      <c r="BA1786" s="52" t="n">
        <v>0</v>
      </c>
      <c r="BB1786" s="52" t="n">
        <v>0</v>
      </c>
      <c r="BC1786" s="51" t="n">
        <v>0</v>
      </c>
      <c r="BD1786" s="51" t="n">
        <v>0</v>
      </c>
      <c r="BE1786" s="51" t="n">
        <v>0</v>
      </c>
      <c r="BF1786" s="51" t="n">
        <v>0</v>
      </c>
    </row>
    <row r="1787">
      <c r="A1787">
        <f>HYPERLINK("https://www.walmart.com/ip/13283657135", "13283657135")</f>
        <v/>
      </c>
      <c r="B1787" t="inlineStr">
        <is>
          <t>Tirrina Wine Opener Set  Corkscrew Opener Kit Seahorse Knife, Wine Stopper, Drip Stopper Ring, Decanter, Tin Knife in Novelty Champagne Bottle-Shaped  for Party Wedding Gift, Black</t>
        </is>
      </c>
      <c r="C1787" t="inlineStr">
        <is>
          <t>1TRWO503GDBK</t>
        </is>
      </c>
      <c r="D1787" t="inlineStr">
        <is>
          <t>Barware Sets</t>
        </is>
      </c>
      <c r="E1787" t="inlineStr">
        <is>
          <t>Tirrinia</t>
        </is>
      </c>
      <c r="G1787" s="48" t="n">
        <v>0</v>
      </c>
      <c r="H1787" s="48" t="n">
        <v>0</v>
      </c>
      <c r="I1787" s="48" t="n">
        <v>0</v>
      </c>
      <c r="J1787" s="48" t="n">
        <v>0</v>
      </c>
      <c r="K1787" s="49" t="n">
        <v>0</v>
      </c>
      <c r="L1787" s="49" t="n">
        <v>0</v>
      </c>
      <c r="M1787" s="49" t="n">
        <v>0</v>
      </c>
      <c r="N1787" s="49" t="n">
        <v>0</v>
      </c>
      <c r="O1787" s="49" t="n">
        <v>0</v>
      </c>
      <c r="P1787" s="49" t="n">
        <v>0</v>
      </c>
      <c r="Q1787" s="49" t="n">
        <v>0</v>
      </c>
      <c r="R1787" s="49" t="n">
        <v>0</v>
      </c>
      <c r="S1787" s="50" t="n">
        <v>0</v>
      </c>
      <c r="T1787" s="50" t="n">
        <v>0</v>
      </c>
      <c r="U1787" s="50" t="n">
        <v>0</v>
      </c>
      <c r="V1787" s="50" t="n">
        <v>0</v>
      </c>
      <c r="W1787" s="51" t="n">
        <v>0</v>
      </c>
      <c r="X1787" s="51" t="n">
        <v>0</v>
      </c>
      <c r="Y1787" s="51" t="n">
        <v>0</v>
      </c>
      <c r="Z1787" s="51" t="n">
        <v>0</v>
      </c>
      <c r="AA1787" s="52" t="n">
        <v>0</v>
      </c>
      <c r="AB1787" s="52" t="n">
        <v>0</v>
      </c>
      <c r="AC1787" s="52" t="n">
        <v>0</v>
      </c>
      <c r="AD1787" s="52" t="n">
        <v>0</v>
      </c>
      <c r="AE1787" s="52" t="n">
        <v>0</v>
      </c>
      <c r="AF1787" s="52" t="n">
        <v>0</v>
      </c>
      <c r="AG1787" s="52" t="n">
        <v>0</v>
      </c>
      <c r="AH1787" s="52" t="n">
        <v>0</v>
      </c>
      <c r="AI1787" s="52" t="n">
        <v>0</v>
      </c>
      <c r="AJ1787" s="52" t="n">
        <v>0</v>
      </c>
      <c r="AK1787" s="52" t="n">
        <v>0</v>
      </c>
      <c r="AL1787" s="52" t="n">
        <v>0</v>
      </c>
      <c r="AM1787" s="53" t="n">
        <v>0</v>
      </c>
      <c r="AN1787" s="53" t="n">
        <v>0</v>
      </c>
      <c r="AO1787" s="53" t="n">
        <v>0</v>
      </c>
      <c r="AP1787" s="53" t="n">
        <v>0</v>
      </c>
      <c r="AQ1787" s="52" t="n">
        <v>0</v>
      </c>
      <c r="AR1787" s="52" t="n">
        <v>0</v>
      </c>
      <c r="AS1787" s="52" t="n">
        <v>0</v>
      </c>
      <c r="AT1787" s="52" t="n">
        <v>0</v>
      </c>
      <c r="AU1787" s="53" t="n">
        <v>0</v>
      </c>
      <c r="AV1787" s="53" t="n">
        <v>0</v>
      </c>
      <c r="AW1787" s="53" t="n">
        <v>0</v>
      </c>
      <c r="AX1787" s="53" t="n">
        <v>0</v>
      </c>
      <c r="AY1787" s="52" t="n">
        <v>0</v>
      </c>
      <c r="AZ1787" s="52" t="n">
        <v>0</v>
      </c>
      <c r="BA1787" s="52" t="n">
        <v>0</v>
      </c>
      <c r="BB1787" s="52" t="n">
        <v>0</v>
      </c>
      <c r="BC1787" s="51" t="n">
        <v>0</v>
      </c>
      <c r="BD1787" s="51" t="n">
        <v>0</v>
      </c>
      <c r="BE1787" s="51" t="n">
        <v>0</v>
      </c>
      <c r="BF1787" s="51" t="n">
        <v>0</v>
      </c>
    </row>
    <row r="1788">
      <c r="A1788">
        <f>HYPERLINK("https://www.walmart.com/ip/1331723972", "1331723972")</f>
        <v/>
      </c>
      <c r="B1788" t="inlineStr">
        <is>
          <t>Every Day is Christmas Glass Blown Ornaments 2021 Cute Hand Made Figurines Tree Decoration, Santa American Face Mask</t>
        </is>
      </c>
      <c r="C1788" t="inlineStr">
        <is>
          <t>EDC-FIGURINE-DINOSAUR</t>
        </is>
      </c>
      <c r="D1788" t="inlineStr">
        <is>
          <t>Ornaments</t>
        </is>
      </c>
      <c r="E1788" t="inlineStr">
        <is>
          <t>Every Day is Christmas</t>
        </is>
      </c>
      <c r="G1788" s="48" t="n">
        <v>0</v>
      </c>
      <c r="H1788" s="48" t="n">
        <v>0</v>
      </c>
      <c r="I1788" s="48" t="n">
        <v>0</v>
      </c>
      <c r="J1788" s="48" t="n">
        <v>0</v>
      </c>
      <c r="K1788" s="49" t="n">
        <v>0</v>
      </c>
      <c r="L1788" s="49" t="n">
        <v>0</v>
      </c>
      <c r="M1788" s="49" t="n">
        <v>0</v>
      </c>
      <c r="N1788" s="49" t="n">
        <v>0</v>
      </c>
      <c r="O1788" s="49" t="n">
        <v>0</v>
      </c>
      <c r="P1788" s="49" t="n">
        <v>0</v>
      </c>
      <c r="Q1788" s="49" t="n">
        <v>0</v>
      </c>
      <c r="R1788" s="49" t="n">
        <v>0</v>
      </c>
      <c r="S1788" s="50" t="n">
        <v>0</v>
      </c>
      <c r="T1788" s="50" t="n">
        <v>0</v>
      </c>
      <c r="U1788" s="50" t="n">
        <v>0</v>
      </c>
      <c r="V1788" s="50" t="n">
        <v>0</v>
      </c>
      <c r="W1788" s="51" t="n">
        <v>0</v>
      </c>
      <c r="X1788" s="51" t="n">
        <v>0</v>
      </c>
      <c r="Y1788" s="51" t="n">
        <v>0</v>
      </c>
      <c r="Z1788" s="51" t="n">
        <v>0</v>
      </c>
      <c r="AA1788" s="52" t="n">
        <v>0</v>
      </c>
      <c r="AB1788" s="52" t="n">
        <v>0</v>
      </c>
      <c r="AC1788" s="52" t="n">
        <v>0</v>
      </c>
      <c r="AD1788" s="52" t="n">
        <v>0</v>
      </c>
      <c r="AE1788" s="52" t="n">
        <v>0</v>
      </c>
      <c r="AF1788" s="52" t="n">
        <v>0</v>
      </c>
      <c r="AG1788" s="52" t="n">
        <v>0</v>
      </c>
      <c r="AH1788" s="52" t="n">
        <v>0</v>
      </c>
      <c r="AI1788" s="52" t="n">
        <v>0</v>
      </c>
      <c r="AJ1788" s="52" t="n">
        <v>0</v>
      </c>
      <c r="AK1788" s="52" t="n">
        <v>0</v>
      </c>
      <c r="AL1788" s="52" t="n">
        <v>0</v>
      </c>
      <c r="AM1788" s="53" t="n">
        <v>0</v>
      </c>
      <c r="AN1788" s="53" t="n">
        <v>0</v>
      </c>
      <c r="AO1788" s="53" t="n">
        <v>0</v>
      </c>
      <c r="AP1788" s="53" t="n">
        <v>0</v>
      </c>
      <c r="AQ1788" s="52" t="n">
        <v>0</v>
      </c>
      <c r="AR1788" s="52" t="n">
        <v>0</v>
      </c>
      <c r="AS1788" s="52" t="n">
        <v>0</v>
      </c>
      <c r="AT1788" s="52" t="n">
        <v>0</v>
      </c>
      <c r="AU1788" s="53" t="n">
        <v>0</v>
      </c>
      <c r="AV1788" s="53" t="n">
        <v>0</v>
      </c>
      <c r="AW1788" s="53" t="n">
        <v>0</v>
      </c>
      <c r="AX1788" s="53" t="n">
        <v>0</v>
      </c>
      <c r="AY1788" s="52" t="n">
        <v>0</v>
      </c>
      <c r="AZ1788" s="52" t="n">
        <v>0</v>
      </c>
      <c r="BA1788" s="52" t="n">
        <v>0</v>
      </c>
      <c r="BB1788" s="52" t="n">
        <v>0</v>
      </c>
      <c r="BC1788" s="51" t="n">
        <v>0</v>
      </c>
      <c r="BD1788" s="51" t="n">
        <v>0</v>
      </c>
      <c r="BE1788" s="51" t="n">
        <v>0</v>
      </c>
      <c r="BF1788" s="51" t="n">
        <v>0</v>
      </c>
    </row>
    <row r="1789">
      <c r="A1789">
        <f>HYPERLINK("https://www.walmart.com/ip/133729804", "133729804")</f>
        <v/>
      </c>
      <c r="B1789" t="inlineStr">
        <is>
          <t>Tirrinia UV Protection Hat Unisex Wide Brim Large Bill Neck Flap Mesh Nets with Adjustable Drawstring Grey</t>
        </is>
      </c>
      <c r="C1789" t="inlineStr">
        <is>
          <t>1TRSH9152GY-TBGM</t>
        </is>
      </c>
      <c r="D1789" t="inlineStr">
        <is>
          <t>Hats</t>
        </is>
      </c>
      <c r="E1789" t="inlineStr">
        <is>
          <t>Tirrinia</t>
        </is>
      </c>
      <c r="F1789" t="inlineStr">
        <is>
          <t>Optimized</t>
        </is>
      </c>
      <c r="G1789" s="48" t="n">
        <v>0</v>
      </c>
      <c r="H1789" s="48" t="n">
        <v>0</v>
      </c>
      <c r="I1789" s="48" t="n">
        <v>0</v>
      </c>
      <c r="J1789" s="48" t="n">
        <v>0</v>
      </c>
      <c r="K1789" s="49" t="n">
        <v>0</v>
      </c>
      <c r="L1789" s="49" t="n">
        <v>0</v>
      </c>
      <c r="M1789" s="49" t="n">
        <v>0</v>
      </c>
      <c r="N1789" s="49" t="n">
        <v>0</v>
      </c>
      <c r="O1789" s="49" t="n">
        <v>0</v>
      </c>
      <c r="P1789" s="49" t="n">
        <v>0</v>
      </c>
      <c r="Q1789" s="49" t="n">
        <v>0</v>
      </c>
      <c r="R1789" s="49" t="n">
        <v>0</v>
      </c>
      <c r="S1789" s="50" t="n">
        <v>0</v>
      </c>
      <c r="T1789" s="50" t="n">
        <v>0</v>
      </c>
      <c r="U1789" s="50" t="n">
        <v>0</v>
      </c>
      <c r="V1789" s="50" t="n">
        <v>0</v>
      </c>
      <c r="W1789" s="51" t="n">
        <v>0</v>
      </c>
      <c r="X1789" s="51" t="n">
        <v>0</v>
      </c>
      <c r="Y1789" s="51" t="n">
        <v>0</v>
      </c>
      <c r="Z1789" s="51" t="n">
        <v>0</v>
      </c>
      <c r="AA1789" s="52" t="n">
        <v>0</v>
      </c>
      <c r="AB1789" s="52" t="n">
        <v>0</v>
      </c>
      <c r="AC1789" s="52" t="n">
        <v>0</v>
      </c>
      <c r="AD1789" s="52" t="n">
        <v>0</v>
      </c>
      <c r="AE1789" s="52" t="n">
        <v>0</v>
      </c>
      <c r="AF1789" s="52" t="n">
        <v>0</v>
      </c>
      <c r="AG1789" s="52" t="n">
        <v>0</v>
      </c>
      <c r="AH1789" s="52" t="n">
        <v>0</v>
      </c>
      <c r="AI1789" s="52" t="n">
        <v>0</v>
      </c>
      <c r="AJ1789" s="52" t="n">
        <v>0</v>
      </c>
      <c r="AK1789" s="52" t="n">
        <v>0</v>
      </c>
      <c r="AL1789" s="52" t="n">
        <v>0</v>
      </c>
      <c r="AM1789" s="53" t="n">
        <v>0</v>
      </c>
      <c r="AN1789" s="53" t="n">
        <v>0</v>
      </c>
      <c r="AO1789" s="53" t="n">
        <v>0</v>
      </c>
      <c r="AP1789" s="53" t="n">
        <v>0</v>
      </c>
      <c r="AQ1789" s="52" t="n">
        <v>0</v>
      </c>
      <c r="AR1789" s="52" t="n">
        <v>0</v>
      </c>
      <c r="AS1789" s="52" t="n">
        <v>0</v>
      </c>
      <c r="AT1789" s="52" t="n">
        <v>0</v>
      </c>
      <c r="AU1789" s="53" t="n">
        <v>0</v>
      </c>
      <c r="AV1789" s="53" t="n">
        <v>0</v>
      </c>
      <c r="AW1789" s="53" t="n">
        <v>0</v>
      </c>
      <c r="AX1789" s="53" t="n">
        <v>0</v>
      </c>
      <c r="AY1789" s="52" t="n">
        <v>0</v>
      </c>
      <c r="AZ1789" s="52" t="n">
        <v>0</v>
      </c>
      <c r="BA1789" s="52" t="n">
        <v>0</v>
      </c>
      <c r="BB1789" s="52" t="n">
        <v>0</v>
      </c>
      <c r="BC1789" s="51" t="n">
        <v>0</v>
      </c>
      <c r="BD1789" s="51" t="n">
        <v>0</v>
      </c>
      <c r="BE1789" s="51" t="n">
        <v>0</v>
      </c>
      <c r="BF1789" s="51" t="n">
        <v>0</v>
      </c>
    </row>
    <row r="1790">
      <c r="A1790">
        <f>HYPERLINK("https://www.walmart.com/ip/133823525", "133823525")</f>
        <v/>
      </c>
      <c r="B1790" t="inlineStr">
        <is>
          <t>KC Caps® Unisex Cotton Baseball Cap Adjustable Plain Hat (21 Styles/Colors)</t>
        </is>
      </c>
      <c r="C1790" t="inlineStr">
        <is>
          <t>KC8010KKNV</t>
        </is>
      </c>
      <c r="D1790" t="inlineStr">
        <is>
          <t>Hats</t>
        </is>
      </c>
      <c r="E1790" t="inlineStr">
        <is>
          <t>KC Caps</t>
        </is>
      </c>
      <c r="F1790" t="inlineStr">
        <is>
          <t>Optimized</t>
        </is>
      </c>
      <c r="G1790" s="48" t="n">
        <v>0</v>
      </c>
      <c r="H1790" s="48" t="n">
        <v>0</v>
      </c>
      <c r="I1790" s="48" t="n">
        <v>7.99</v>
      </c>
      <c r="J1790" s="48" t="n">
        <v>0</v>
      </c>
      <c r="K1790" s="49" t="n">
        <v>0</v>
      </c>
      <c r="L1790" s="49" t="n">
        <v>0</v>
      </c>
      <c r="M1790" s="49" t="n">
        <v>1</v>
      </c>
      <c r="N1790" s="49" t="n">
        <v>0</v>
      </c>
      <c r="O1790" s="49" t="n">
        <v>0</v>
      </c>
      <c r="P1790" s="49" t="n">
        <v>0</v>
      </c>
      <c r="Q1790" s="49" t="n">
        <v>0</v>
      </c>
      <c r="R1790" s="49" t="n">
        <v>0</v>
      </c>
      <c r="S1790" s="50" t="n">
        <v>0</v>
      </c>
      <c r="T1790" s="50" t="n">
        <v>0</v>
      </c>
      <c r="U1790" s="50" t="n">
        <v>0</v>
      </c>
      <c r="V1790" s="50" t="n">
        <v>0</v>
      </c>
      <c r="W1790" s="51" t="n">
        <v>0</v>
      </c>
      <c r="X1790" s="51" t="n">
        <v>0</v>
      </c>
      <c r="Y1790" s="51" t="n">
        <v>0</v>
      </c>
      <c r="Z1790" s="51" t="n">
        <v>0</v>
      </c>
      <c r="AA1790" s="52" t="n">
        <v>0</v>
      </c>
      <c r="AB1790" s="52" t="n">
        <v>0</v>
      </c>
      <c r="AC1790" s="52" t="n">
        <v>0</v>
      </c>
      <c r="AD1790" s="52" t="n">
        <v>0</v>
      </c>
      <c r="AE1790" s="52" t="n">
        <v>0</v>
      </c>
      <c r="AF1790" s="52" t="n">
        <v>0</v>
      </c>
      <c r="AG1790" s="52" t="n">
        <v>0</v>
      </c>
      <c r="AH1790" s="52" t="n">
        <v>0</v>
      </c>
      <c r="AI1790" s="52" t="n">
        <v>0</v>
      </c>
      <c r="AJ1790" s="52" t="n">
        <v>0</v>
      </c>
      <c r="AK1790" s="52" t="n">
        <v>0</v>
      </c>
      <c r="AL1790" s="52" t="n">
        <v>0</v>
      </c>
      <c r="AM1790" s="53" t="n">
        <v>0</v>
      </c>
      <c r="AN1790" s="53" t="n">
        <v>0</v>
      </c>
      <c r="AO1790" s="53" t="n">
        <v>0</v>
      </c>
      <c r="AP1790" s="53" t="n">
        <v>0</v>
      </c>
      <c r="AQ1790" s="52" t="n">
        <v>0</v>
      </c>
      <c r="AR1790" s="52" t="n">
        <v>0</v>
      </c>
      <c r="AS1790" s="52" t="n">
        <v>0</v>
      </c>
      <c r="AT1790" s="52" t="n">
        <v>0</v>
      </c>
      <c r="AU1790" s="53" t="n">
        <v>0</v>
      </c>
      <c r="AV1790" s="53" t="n">
        <v>0</v>
      </c>
      <c r="AW1790" s="53" t="n">
        <v>0</v>
      </c>
      <c r="AX1790" s="53" t="n">
        <v>0</v>
      </c>
      <c r="AY1790" s="52" t="n">
        <v>0</v>
      </c>
      <c r="AZ1790" s="52" t="n">
        <v>0</v>
      </c>
      <c r="BA1790" s="52" t="n">
        <v>7.99</v>
      </c>
      <c r="BB1790" s="52" t="n">
        <v>0</v>
      </c>
      <c r="BC1790" s="51" t="n">
        <v>0</v>
      </c>
      <c r="BD1790" s="51" t="n">
        <v>0</v>
      </c>
      <c r="BE1790" s="51" t="n">
        <v>0</v>
      </c>
      <c r="BF1790" s="51" t="n">
        <v>0</v>
      </c>
    </row>
    <row r="1791">
      <c r="A1791">
        <f>HYPERLINK("https://www.walmart.com/ip/133994242", "133994242")</f>
        <v/>
      </c>
      <c r="B1791" t="inlineStr">
        <is>
          <t>KC Caps Sun Flare Racing Cap Black</t>
        </is>
      </c>
      <c r="C1791" t="inlineStr">
        <is>
          <t>KC-FL01</t>
        </is>
      </c>
      <c r="D1791" t="inlineStr">
        <is>
          <t>Hats</t>
        </is>
      </c>
      <c r="E1791" t="inlineStr">
        <is>
          <t>KC Caps</t>
        </is>
      </c>
      <c r="F1791" t="inlineStr">
        <is>
          <t>Optimized</t>
        </is>
      </c>
      <c r="G1791" s="48" t="n">
        <v>0</v>
      </c>
      <c r="H1791" s="48" t="n">
        <v>0</v>
      </c>
      <c r="I1791" s="48" t="n">
        <v>0</v>
      </c>
      <c r="J1791" s="48" t="n">
        <v>0</v>
      </c>
      <c r="K1791" s="49" t="n">
        <v>0</v>
      </c>
      <c r="L1791" s="49" t="n">
        <v>0</v>
      </c>
      <c r="M1791" s="49" t="n">
        <v>0</v>
      </c>
      <c r="N1791" s="49" t="n">
        <v>0</v>
      </c>
      <c r="O1791" s="49" t="n">
        <v>0</v>
      </c>
      <c r="P1791" s="49" t="n">
        <v>0</v>
      </c>
      <c r="Q1791" s="49" t="n">
        <v>0</v>
      </c>
      <c r="R1791" s="49" t="n">
        <v>0</v>
      </c>
      <c r="S1791" s="50" t="n">
        <v>0</v>
      </c>
      <c r="T1791" s="50" t="n">
        <v>0</v>
      </c>
      <c r="U1791" s="50" t="n">
        <v>0</v>
      </c>
      <c r="V1791" s="50" t="n">
        <v>0</v>
      </c>
      <c r="W1791" s="51" t="n">
        <v>0</v>
      </c>
      <c r="X1791" s="51" t="n">
        <v>0</v>
      </c>
      <c r="Y1791" s="51" t="n">
        <v>0</v>
      </c>
      <c r="Z1791" s="51" t="n">
        <v>0</v>
      </c>
      <c r="AA1791" s="52" t="n">
        <v>0</v>
      </c>
      <c r="AB1791" s="52" t="n">
        <v>0</v>
      </c>
      <c r="AC1791" s="52" t="n">
        <v>0</v>
      </c>
      <c r="AD1791" s="52" t="n">
        <v>0</v>
      </c>
      <c r="AE1791" s="52" t="n">
        <v>0</v>
      </c>
      <c r="AF1791" s="52" t="n">
        <v>0</v>
      </c>
      <c r="AG1791" s="52" t="n">
        <v>0</v>
      </c>
      <c r="AH1791" s="52" t="n">
        <v>0</v>
      </c>
      <c r="AI1791" s="52" t="n">
        <v>0</v>
      </c>
      <c r="AJ1791" s="52" t="n">
        <v>0</v>
      </c>
      <c r="AK1791" s="52" t="n">
        <v>0</v>
      </c>
      <c r="AL1791" s="52" t="n">
        <v>0</v>
      </c>
      <c r="AM1791" s="53" t="n">
        <v>0</v>
      </c>
      <c r="AN1791" s="53" t="n">
        <v>0</v>
      </c>
      <c r="AO1791" s="53" t="n">
        <v>0</v>
      </c>
      <c r="AP1791" s="53" t="n">
        <v>0</v>
      </c>
      <c r="AQ1791" s="52" t="n">
        <v>0</v>
      </c>
      <c r="AR1791" s="52" t="n">
        <v>0</v>
      </c>
      <c r="AS1791" s="52" t="n">
        <v>0</v>
      </c>
      <c r="AT1791" s="52" t="n">
        <v>0</v>
      </c>
      <c r="AU1791" s="53" t="n">
        <v>0</v>
      </c>
      <c r="AV1791" s="53" t="n">
        <v>0</v>
      </c>
      <c r="AW1791" s="53" t="n">
        <v>0</v>
      </c>
      <c r="AX1791" s="53" t="n">
        <v>0</v>
      </c>
      <c r="AY1791" s="52" t="n">
        <v>0</v>
      </c>
      <c r="AZ1791" s="52" t="n">
        <v>0</v>
      </c>
      <c r="BA1791" s="52" t="n">
        <v>0</v>
      </c>
      <c r="BB1791" s="52" t="n">
        <v>0</v>
      </c>
      <c r="BC1791" s="51" t="n">
        <v>0</v>
      </c>
      <c r="BD1791" s="51" t="n">
        <v>0</v>
      </c>
      <c r="BE1791" s="51" t="n">
        <v>0</v>
      </c>
      <c r="BF1791" s="51" t="n">
        <v>0</v>
      </c>
    </row>
    <row r="1792">
      <c r="A1792">
        <f>HYPERLINK("https://www.walmart.com/ip/1343187643", "1343187643")</f>
        <v/>
      </c>
      <c r="B1792" t="inlineStr">
        <is>
          <t>Deluxe Classic Suede Bill Baseball Cap with Leather Strap Closure</t>
        </is>
      </c>
      <c r="C1792" t="inlineStr">
        <is>
          <t>KC-S6300-BK/SI-12pcs</t>
        </is>
      </c>
      <c r="D1792" t="inlineStr">
        <is>
          <t>Hats</t>
        </is>
      </c>
      <c r="E1792" t="inlineStr">
        <is>
          <t>KC Caps</t>
        </is>
      </c>
      <c r="F1792" t="inlineStr">
        <is>
          <t>Batch 1 - TR</t>
        </is>
      </c>
      <c r="G1792" s="48" t="n">
        <v>0</v>
      </c>
      <c r="H1792" s="48" t="n">
        <v>0</v>
      </c>
      <c r="I1792" s="48" t="n">
        <v>0</v>
      </c>
      <c r="J1792" s="48" t="n">
        <v>0</v>
      </c>
      <c r="K1792" s="49" t="n">
        <v>0</v>
      </c>
      <c r="L1792" s="49" t="n">
        <v>0</v>
      </c>
      <c r="M1792" s="49" t="n">
        <v>0</v>
      </c>
      <c r="N1792" s="49" t="n">
        <v>0</v>
      </c>
      <c r="O1792" s="49" t="n">
        <v>0</v>
      </c>
      <c r="P1792" s="49" t="n">
        <v>0</v>
      </c>
      <c r="Q1792" s="49" t="n">
        <v>0</v>
      </c>
      <c r="R1792" s="49" t="n">
        <v>0</v>
      </c>
      <c r="S1792" s="50" t="n">
        <v>0</v>
      </c>
      <c r="T1792" s="50" t="n">
        <v>0</v>
      </c>
      <c r="U1792" s="50" t="n">
        <v>0</v>
      </c>
      <c r="V1792" s="50" t="n">
        <v>0</v>
      </c>
      <c r="W1792" s="51" t="n">
        <v>0</v>
      </c>
      <c r="X1792" s="51" t="n">
        <v>0</v>
      </c>
      <c r="Y1792" s="51" t="n">
        <v>0</v>
      </c>
      <c r="Z1792" s="51" t="n">
        <v>0</v>
      </c>
      <c r="AA1792" s="52" t="n">
        <v>0</v>
      </c>
      <c r="AB1792" s="52" t="n">
        <v>0</v>
      </c>
      <c r="AC1792" s="52" t="n">
        <v>0</v>
      </c>
      <c r="AD1792" s="52" t="n">
        <v>0</v>
      </c>
      <c r="AE1792" s="52" t="n">
        <v>0</v>
      </c>
      <c r="AF1792" s="52" t="n">
        <v>0</v>
      </c>
      <c r="AG1792" s="52" t="n">
        <v>0</v>
      </c>
      <c r="AH1792" s="52" t="n">
        <v>0</v>
      </c>
      <c r="AI1792" s="52" t="n">
        <v>0</v>
      </c>
      <c r="AJ1792" s="52" t="n">
        <v>0</v>
      </c>
      <c r="AK1792" s="52" t="n">
        <v>0</v>
      </c>
      <c r="AL1792" s="52" t="n">
        <v>0</v>
      </c>
      <c r="AM1792" s="53" t="n">
        <v>0</v>
      </c>
      <c r="AN1792" s="53" t="n">
        <v>0</v>
      </c>
      <c r="AO1792" s="53" t="n">
        <v>0</v>
      </c>
      <c r="AP1792" s="53" t="n">
        <v>0</v>
      </c>
      <c r="AQ1792" s="52" t="n">
        <v>0</v>
      </c>
      <c r="AR1792" s="52" t="n">
        <v>0</v>
      </c>
      <c r="AS1792" s="52" t="n">
        <v>0</v>
      </c>
      <c r="AT1792" s="52" t="n">
        <v>0</v>
      </c>
      <c r="AU1792" s="53" t="n">
        <v>0</v>
      </c>
      <c r="AV1792" s="53" t="n">
        <v>0</v>
      </c>
      <c r="AW1792" s="53" t="n">
        <v>0</v>
      </c>
      <c r="AX1792" s="53" t="n">
        <v>0</v>
      </c>
      <c r="AY1792" s="52" t="n">
        <v>0</v>
      </c>
      <c r="AZ1792" s="52" t="n">
        <v>0</v>
      </c>
      <c r="BA1792" s="52" t="n">
        <v>0</v>
      </c>
      <c r="BB1792" s="52" t="n">
        <v>0</v>
      </c>
      <c r="BC1792" s="51" t="n">
        <v>0</v>
      </c>
      <c r="BD1792" s="51" t="n">
        <v>0</v>
      </c>
      <c r="BE1792" s="51" t="n">
        <v>0</v>
      </c>
      <c r="BF1792" s="51" t="n">
        <v>0</v>
      </c>
    </row>
    <row r="1793">
      <c r="A1793">
        <f>HYPERLINK("https://www.walmart.com/ip/1346334658", "1346334658")</f>
        <v/>
      </c>
      <c r="B1793" t="inlineStr">
        <is>
          <t>Catalonia All Season Knitted Acrylic Throw Blanket, Cozy Leisure Lightweight Decorative Blanket with Fringe for Bed, Couch, Living Room, Machine Washable, Yellow, 50'' × 60''</t>
        </is>
      </c>
      <c r="C1793" t="inlineStr">
        <is>
          <t>1CTBN510YL</t>
        </is>
      </c>
      <c r="D1793" t="inlineStr">
        <is>
          <t>Throws</t>
        </is>
      </c>
      <c r="E1793" t="inlineStr">
        <is>
          <t>Catalonia</t>
        </is>
      </c>
      <c r="F1793" t="inlineStr">
        <is>
          <t>Q2-Target,Coupon_Discount,Batch 1 - TR</t>
        </is>
      </c>
      <c r="G1793" s="48" t="n">
        <v>0</v>
      </c>
      <c r="H1793" s="48" t="n">
        <v>0</v>
      </c>
      <c r="I1793" s="48" t="n">
        <v>0</v>
      </c>
      <c r="J1793" s="48" t="n">
        <v>0</v>
      </c>
      <c r="K1793" s="49" t="n">
        <v>0</v>
      </c>
      <c r="L1793" s="49" t="n">
        <v>0</v>
      </c>
      <c r="M1793" s="49" t="n">
        <v>0</v>
      </c>
      <c r="N1793" s="49" t="n">
        <v>0</v>
      </c>
      <c r="O1793" s="49" t="n">
        <v>0</v>
      </c>
      <c r="P1793" s="49" t="n">
        <v>0</v>
      </c>
      <c r="Q1793" s="49" t="n">
        <v>0</v>
      </c>
      <c r="R1793" s="49" t="n">
        <v>0</v>
      </c>
      <c r="S1793" s="50" t="n">
        <v>0</v>
      </c>
      <c r="T1793" s="50" t="n">
        <v>0</v>
      </c>
      <c r="U1793" s="50" t="n">
        <v>0</v>
      </c>
      <c r="V1793" s="50" t="n">
        <v>0</v>
      </c>
      <c r="W1793" s="51" t="n">
        <v>0</v>
      </c>
      <c r="X1793" s="51" t="n">
        <v>0</v>
      </c>
      <c r="Y1793" s="51" t="n">
        <v>0</v>
      </c>
      <c r="Z1793" s="51" t="n">
        <v>0</v>
      </c>
      <c r="AA1793" s="52" t="n">
        <v>0</v>
      </c>
      <c r="AB1793" s="52" t="n">
        <v>0</v>
      </c>
      <c r="AC1793" s="52" t="n">
        <v>0</v>
      </c>
      <c r="AD1793" s="52" t="n">
        <v>0</v>
      </c>
      <c r="AE1793" s="52" t="n">
        <v>0</v>
      </c>
      <c r="AF1793" s="52" t="n">
        <v>0</v>
      </c>
      <c r="AG1793" s="52" t="n">
        <v>0</v>
      </c>
      <c r="AH1793" s="52" t="n">
        <v>0</v>
      </c>
      <c r="AI1793" s="52" t="n">
        <v>0</v>
      </c>
      <c r="AJ1793" s="52" t="n">
        <v>0</v>
      </c>
      <c r="AK1793" s="52" t="n">
        <v>0</v>
      </c>
      <c r="AL1793" s="52" t="n">
        <v>0</v>
      </c>
      <c r="AM1793" s="53" t="n">
        <v>0</v>
      </c>
      <c r="AN1793" s="53" t="n">
        <v>0</v>
      </c>
      <c r="AO1793" s="53" t="n">
        <v>0</v>
      </c>
      <c r="AP1793" s="53" t="n">
        <v>0</v>
      </c>
      <c r="AQ1793" s="52" t="n">
        <v>0</v>
      </c>
      <c r="AR1793" s="52" t="n">
        <v>0</v>
      </c>
      <c r="AS1793" s="52" t="n">
        <v>0</v>
      </c>
      <c r="AT1793" s="52" t="n">
        <v>0</v>
      </c>
      <c r="AU1793" s="53" t="n">
        <v>0</v>
      </c>
      <c r="AV1793" s="53" t="n">
        <v>0</v>
      </c>
      <c r="AW1793" s="53" t="n">
        <v>0</v>
      </c>
      <c r="AX1793" s="53" t="n">
        <v>0</v>
      </c>
      <c r="AY1793" s="52" t="n">
        <v>0</v>
      </c>
      <c r="AZ1793" s="52" t="n">
        <v>0</v>
      </c>
      <c r="BA1793" s="52" t="n">
        <v>0</v>
      </c>
      <c r="BB1793" s="52" t="n">
        <v>0</v>
      </c>
      <c r="BC1793" s="51" t="n">
        <v>0</v>
      </c>
      <c r="BD1793" s="51" t="n">
        <v>0</v>
      </c>
      <c r="BE1793" s="51" t="n">
        <v>0</v>
      </c>
      <c r="BF1793" s="51" t="n">
        <v>0</v>
      </c>
    </row>
    <row r="1794">
      <c r="A1794">
        <f>HYPERLINK("https://www.walmart.com/ip/134725282", "134725282")</f>
        <v/>
      </c>
      <c r="B1794" t="inlineStr">
        <is>
          <t>Catalonia Sherpa Fleece Blanket for Bed, Super Soft  Plush Sofa Couch Throw Blanket, TV Bed Blanket, Comfy Cozy Fluffy Warm Comforter, Caring Gift(Cow, 60x80 inches)</t>
        </is>
      </c>
      <c r="C1794" t="inlineStr">
        <is>
          <t>1CTBF368DMT</t>
        </is>
      </c>
      <c r="D1794" t="inlineStr">
        <is>
          <t>Throws</t>
        </is>
      </c>
      <c r="E1794" t="inlineStr">
        <is>
          <t>Catalonia</t>
        </is>
      </c>
      <c r="F1794" t="inlineStr">
        <is>
          <t>WFS,WFS Item,Fleece Blankets</t>
        </is>
      </c>
      <c r="G1794" s="48" t="n">
        <v>0</v>
      </c>
      <c r="H1794" s="48" t="n">
        <v>0</v>
      </c>
      <c r="I1794" s="48" t="n">
        <v>0</v>
      </c>
      <c r="J1794" s="48" t="n">
        <v>0</v>
      </c>
      <c r="K1794" s="49" t="n">
        <v>0</v>
      </c>
      <c r="L1794" s="49" t="n">
        <v>0</v>
      </c>
      <c r="M1794" s="49" t="n">
        <v>0</v>
      </c>
      <c r="N1794" s="49" t="n">
        <v>0</v>
      </c>
      <c r="O1794" s="49" t="n">
        <v>0</v>
      </c>
      <c r="P1794" s="49" t="n">
        <v>0</v>
      </c>
      <c r="Q1794" s="49" t="n">
        <v>0</v>
      </c>
      <c r="R1794" s="49" t="n">
        <v>0</v>
      </c>
      <c r="S1794" s="50" t="n">
        <v>0</v>
      </c>
      <c r="T1794" s="50" t="n">
        <v>0</v>
      </c>
      <c r="U1794" s="50" t="n">
        <v>0</v>
      </c>
      <c r="V1794" s="50" t="n">
        <v>0</v>
      </c>
      <c r="W1794" s="51" t="n">
        <v>0</v>
      </c>
      <c r="X1794" s="51" t="n">
        <v>0</v>
      </c>
      <c r="Y1794" s="51" t="n">
        <v>0</v>
      </c>
      <c r="Z1794" s="51" t="n">
        <v>0</v>
      </c>
      <c r="AA1794" s="52" t="n">
        <v>0</v>
      </c>
      <c r="AB1794" s="52" t="n">
        <v>0</v>
      </c>
      <c r="AC1794" s="52" t="n">
        <v>0</v>
      </c>
      <c r="AD1794" s="52" t="n">
        <v>0</v>
      </c>
      <c r="AE1794" s="52" t="n">
        <v>0</v>
      </c>
      <c r="AF1794" s="52" t="n">
        <v>0</v>
      </c>
      <c r="AG1794" s="52" t="n">
        <v>0</v>
      </c>
      <c r="AH1794" s="52" t="n">
        <v>0</v>
      </c>
      <c r="AI1794" s="52" t="n">
        <v>0</v>
      </c>
      <c r="AJ1794" s="52" t="n">
        <v>0</v>
      </c>
      <c r="AK1794" s="52" t="n">
        <v>0</v>
      </c>
      <c r="AL1794" s="52" t="n">
        <v>0</v>
      </c>
      <c r="AM1794" s="53" t="n">
        <v>0</v>
      </c>
      <c r="AN1794" s="53" t="n">
        <v>0</v>
      </c>
      <c r="AO1794" s="53" t="n">
        <v>0</v>
      </c>
      <c r="AP1794" s="53" t="n">
        <v>0</v>
      </c>
      <c r="AQ1794" s="52" t="n">
        <v>0</v>
      </c>
      <c r="AR1794" s="52" t="n">
        <v>0</v>
      </c>
      <c r="AS1794" s="52" t="n">
        <v>0</v>
      </c>
      <c r="AT1794" s="52" t="n">
        <v>0</v>
      </c>
      <c r="AU1794" s="53" t="n">
        <v>0</v>
      </c>
      <c r="AV1794" s="53" t="n">
        <v>0</v>
      </c>
      <c r="AW1794" s="53" t="n">
        <v>0</v>
      </c>
      <c r="AX1794" s="53" t="n">
        <v>0</v>
      </c>
      <c r="AY1794" s="52" t="n">
        <v>0</v>
      </c>
      <c r="AZ1794" s="52" t="n">
        <v>0</v>
      </c>
      <c r="BA1794" s="52" t="n">
        <v>0</v>
      </c>
      <c r="BB1794" s="52" t="n">
        <v>0</v>
      </c>
      <c r="BC1794" s="51" t="n">
        <v>0</v>
      </c>
      <c r="BD1794" s="51" t="n">
        <v>0</v>
      </c>
      <c r="BE1794" s="51" t="n">
        <v>0</v>
      </c>
      <c r="BF1794" s="51" t="n">
        <v>0</v>
      </c>
    </row>
    <row r="1795">
      <c r="A1795">
        <f>HYPERLINK("https://www.walmart.com/ip/134725741", "134725741")</f>
        <v/>
      </c>
      <c r="B1795" t="inlineStr">
        <is>
          <t>Extra Large Lunch Bag - 13L/ 22 Can, Insulated &amp; Leakproof Adult Reusable Meal Prep Bento Box Cooler Tote for Men &amp; Women with Dual Compartment, Purple</t>
        </is>
      </c>
      <c r="C1795" t="inlineStr">
        <is>
          <t>1KTLB410PP</t>
        </is>
      </c>
      <c r="D1795" t="inlineStr">
        <is>
          <t>Reusable Lunch Bags &amp; Boxes</t>
        </is>
      </c>
      <c r="E1795" t="inlineStr">
        <is>
          <t>Tirrinia</t>
        </is>
      </c>
      <c r="F1795" t="inlineStr">
        <is>
          <t>Q2-Target,Brand Camp VD,Lunch Bag,WFS,Lunch Bags,SEM,WFS Item</t>
        </is>
      </c>
      <c r="G1795" s="48" t="n">
        <v>0</v>
      </c>
      <c r="H1795" s="48" t="n">
        <v>39.98</v>
      </c>
      <c r="I1795" s="48" t="n">
        <v>0</v>
      </c>
      <c r="J1795" s="48" t="n">
        <v>0</v>
      </c>
      <c r="K1795" s="49" t="n">
        <v>0</v>
      </c>
      <c r="L1795" s="49" t="n">
        <v>2</v>
      </c>
      <c r="M1795" s="49" t="n">
        <v>0</v>
      </c>
      <c r="N1795" s="49" t="n">
        <v>0</v>
      </c>
      <c r="O1795" s="49" t="n">
        <v>8</v>
      </c>
      <c r="P1795" s="49" t="n">
        <v>10</v>
      </c>
      <c r="Q1795" s="49" t="n">
        <v>13</v>
      </c>
      <c r="R1795" s="49" t="n">
        <v>1</v>
      </c>
      <c r="S1795" s="50" t="n">
        <v>0</v>
      </c>
      <c r="T1795" s="50" t="n">
        <v>0.2</v>
      </c>
      <c r="U1795" s="50" t="n">
        <v>0</v>
      </c>
      <c r="V1795" s="50" t="n">
        <v>0</v>
      </c>
      <c r="W1795" s="51" t="n">
        <v>0</v>
      </c>
      <c r="X1795" s="51" t="n">
        <v>0</v>
      </c>
      <c r="Y1795" s="51" t="n">
        <v>0</v>
      </c>
      <c r="Z1795" s="51" t="n">
        <v>0</v>
      </c>
      <c r="AA1795" s="52" t="n">
        <v>0</v>
      </c>
      <c r="AB1795" s="52" t="n">
        <v>0</v>
      </c>
      <c r="AC1795" s="52" t="n">
        <v>0</v>
      </c>
      <c r="AD1795" s="52" t="n">
        <v>0</v>
      </c>
      <c r="AE1795" s="52" t="n">
        <v>0</v>
      </c>
      <c r="AF1795" s="52" t="n">
        <v>0</v>
      </c>
      <c r="AG1795" s="52" t="n">
        <v>0</v>
      </c>
      <c r="AH1795" s="52" t="n">
        <v>0</v>
      </c>
      <c r="AI1795" s="52" t="n">
        <v>0</v>
      </c>
      <c r="AJ1795" s="52" t="n">
        <v>0</v>
      </c>
      <c r="AK1795" s="52" t="n">
        <v>0</v>
      </c>
      <c r="AL1795" s="52" t="n">
        <v>0</v>
      </c>
      <c r="AM1795" s="53" t="n">
        <v>0</v>
      </c>
      <c r="AN1795" s="53" t="n">
        <v>0</v>
      </c>
      <c r="AO1795" s="53" t="n">
        <v>0</v>
      </c>
      <c r="AP1795" s="53" t="n">
        <v>0</v>
      </c>
      <c r="AQ1795" s="52" t="n">
        <v>0</v>
      </c>
      <c r="AR1795" s="52" t="n">
        <v>0</v>
      </c>
      <c r="AS1795" s="52" t="n">
        <v>0</v>
      </c>
      <c r="AT1795" s="52" t="n">
        <v>0</v>
      </c>
      <c r="AU1795" s="53" t="n">
        <v>0</v>
      </c>
      <c r="AV1795" s="53" t="n">
        <v>0</v>
      </c>
      <c r="AW1795" s="53" t="n">
        <v>0</v>
      </c>
      <c r="AX1795" s="53" t="n">
        <v>0</v>
      </c>
      <c r="AY1795" s="52" t="n">
        <v>0</v>
      </c>
      <c r="AZ1795" s="52" t="n">
        <v>19.99</v>
      </c>
      <c r="BA1795" s="52" t="n">
        <v>0</v>
      </c>
      <c r="BB1795" s="52" t="n">
        <v>0</v>
      </c>
      <c r="BC1795" s="51" t="n">
        <v>0</v>
      </c>
      <c r="BD1795" s="51" t="n">
        <v>0</v>
      </c>
      <c r="BE1795" s="51" t="n">
        <v>0</v>
      </c>
      <c r="BF1795" s="51" t="n">
        <v>0</v>
      </c>
    </row>
    <row r="1796">
      <c r="A1796">
        <f>HYPERLINK("https://www.walmart.com/ip/1350473123", "1350473123")</f>
        <v/>
      </c>
      <c r="B1796" t="inlineStr">
        <is>
          <t>Tirrinia Oversized Blanket Hoodie Sweatshirts, Wearable Fluffy Fleece Plush Blanket, Lightweight Cozy Sweatshirt Blanket Gift for Women Men, Purple</t>
        </is>
      </c>
      <c r="C1796" t="inlineStr">
        <is>
          <t>1TROSH360PP-FS</t>
        </is>
      </c>
      <c r="D1796" t="inlineStr">
        <is>
          <t>Sweatshirts &amp; Hoodies</t>
        </is>
      </c>
      <c r="E1796" t="inlineStr">
        <is>
          <t>Tirrinia</t>
        </is>
      </c>
      <c r="G1796" s="48" t="n">
        <v>0</v>
      </c>
      <c r="H1796" s="48" t="n">
        <v>0</v>
      </c>
      <c r="I1796" s="48" t="n">
        <v>0</v>
      </c>
      <c r="J1796" s="48" t="n">
        <v>0</v>
      </c>
      <c r="K1796" s="49" t="n">
        <v>0</v>
      </c>
      <c r="L1796" s="49" t="n">
        <v>0</v>
      </c>
      <c r="M1796" s="49" t="n">
        <v>0</v>
      </c>
      <c r="N1796" s="49" t="n">
        <v>0</v>
      </c>
      <c r="O1796" s="49" t="n">
        <v>0</v>
      </c>
      <c r="P1796" s="49" t="n">
        <v>0</v>
      </c>
      <c r="Q1796" s="49" t="n">
        <v>0</v>
      </c>
      <c r="R1796" s="49" t="n">
        <v>0</v>
      </c>
      <c r="S1796" s="50" t="n">
        <v>0</v>
      </c>
      <c r="T1796" s="50" t="n">
        <v>0</v>
      </c>
      <c r="U1796" s="50" t="n">
        <v>0</v>
      </c>
      <c r="V1796" s="50" t="n">
        <v>0</v>
      </c>
      <c r="W1796" s="51" t="n">
        <v>0</v>
      </c>
      <c r="X1796" s="51" t="n">
        <v>0</v>
      </c>
      <c r="Y1796" s="51" t="n">
        <v>0</v>
      </c>
      <c r="Z1796" s="51" t="n">
        <v>0</v>
      </c>
      <c r="AA1796" s="52" t="n">
        <v>0</v>
      </c>
      <c r="AB1796" s="52" t="n">
        <v>0</v>
      </c>
      <c r="AC1796" s="52" t="n">
        <v>0</v>
      </c>
      <c r="AD1796" s="52" t="n">
        <v>0</v>
      </c>
      <c r="AE1796" s="52" t="n">
        <v>0</v>
      </c>
      <c r="AF1796" s="52" t="n">
        <v>0</v>
      </c>
      <c r="AG1796" s="52" t="n">
        <v>0</v>
      </c>
      <c r="AH1796" s="52" t="n">
        <v>0</v>
      </c>
      <c r="AI1796" s="52" t="n">
        <v>0</v>
      </c>
      <c r="AJ1796" s="52" t="n">
        <v>0</v>
      </c>
      <c r="AK1796" s="52" t="n">
        <v>0</v>
      </c>
      <c r="AL1796" s="52" t="n">
        <v>0</v>
      </c>
      <c r="AM1796" s="53" t="n">
        <v>0</v>
      </c>
      <c r="AN1796" s="53" t="n">
        <v>0</v>
      </c>
      <c r="AO1796" s="53" t="n">
        <v>0</v>
      </c>
      <c r="AP1796" s="53" t="n">
        <v>0</v>
      </c>
      <c r="AQ1796" s="52" t="n">
        <v>0</v>
      </c>
      <c r="AR1796" s="52" t="n">
        <v>0</v>
      </c>
      <c r="AS1796" s="52" t="n">
        <v>0</v>
      </c>
      <c r="AT1796" s="52" t="n">
        <v>0</v>
      </c>
      <c r="AU1796" s="53" t="n">
        <v>0</v>
      </c>
      <c r="AV1796" s="53" t="n">
        <v>0</v>
      </c>
      <c r="AW1796" s="53" t="n">
        <v>0</v>
      </c>
      <c r="AX1796" s="53" t="n">
        <v>0</v>
      </c>
      <c r="AY1796" s="52" t="n">
        <v>0</v>
      </c>
      <c r="AZ1796" s="52" t="n">
        <v>0</v>
      </c>
      <c r="BA1796" s="52" t="n">
        <v>0</v>
      </c>
      <c r="BB1796" s="52" t="n">
        <v>0</v>
      </c>
      <c r="BC1796" s="51" t="n">
        <v>0</v>
      </c>
      <c r="BD1796" s="51" t="n">
        <v>0</v>
      </c>
      <c r="BE1796" s="51" t="n">
        <v>0</v>
      </c>
      <c r="BF1796" s="51" t="n">
        <v>0</v>
      </c>
    </row>
    <row r="1797">
      <c r="A1797">
        <f>HYPERLINK("https://www.walmart.com/ip/1382387831", "1382387831")</f>
        <v/>
      </c>
      <c r="B1797" t="inlineStr">
        <is>
          <t>Every Day is Christmas Glass Blown Ornaments Cute Hand Made Figurines Tree Decoration, Excavator</t>
        </is>
      </c>
      <c r="C1797" t="inlineStr">
        <is>
          <t>EDC-FIGURINE-EXCAVATOR</t>
        </is>
      </c>
      <c r="D1797" t="inlineStr">
        <is>
          <t>Ornaments</t>
        </is>
      </c>
      <c r="E1797" t="inlineStr">
        <is>
          <t>Every Day is Christmas</t>
        </is>
      </c>
      <c r="G1797" s="48" t="n">
        <v>0</v>
      </c>
      <c r="H1797" s="48" t="n">
        <v>0</v>
      </c>
      <c r="I1797" s="48" t="n">
        <v>0</v>
      </c>
      <c r="J1797" s="48" t="n">
        <v>0</v>
      </c>
      <c r="K1797" s="49" t="n">
        <v>0</v>
      </c>
      <c r="L1797" s="49" t="n">
        <v>0</v>
      </c>
      <c r="M1797" s="49" t="n">
        <v>0</v>
      </c>
      <c r="N1797" s="49" t="n">
        <v>0</v>
      </c>
      <c r="O1797" s="49" t="n">
        <v>0</v>
      </c>
      <c r="P1797" s="49" t="n">
        <v>0</v>
      </c>
      <c r="Q1797" s="49" t="n">
        <v>0</v>
      </c>
      <c r="R1797" s="49" t="n">
        <v>0</v>
      </c>
      <c r="S1797" s="50" t="n">
        <v>0</v>
      </c>
      <c r="T1797" s="50" t="n">
        <v>0</v>
      </c>
      <c r="U1797" s="50" t="n">
        <v>0</v>
      </c>
      <c r="V1797" s="50" t="n">
        <v>0</v>
      </c>
      <c r="W1797" s="51" t="n">
        <v>0</v>
      </c>
      <c r="X1797" s="51" t="n">
        <v>0</v>
      </c>
      <c r="Y1797" s="51" t="n">
        <v>0</v>
      </c>
      <c r="Z1797" s="51" t="n">
        <v>0</v>
      </c>
      <c r="AA1797" s="52" t="n">
        <v>0</v>
      </c>
      <c r="AB1797" s="52" t="n">
        <v>0</v>
      </c>
      <c r="AC1797" s="52" t="n">
        <v>0</v>
      </c>
      <c r="AD1797" s="52" t="n">
        <v>0</v>
      </c>
      <c r="AE1797" s="52" t="n">
        <v>0</v>
      </c>
      <c r="AF1797" s="52" t="n">
        <v>0</v>
      </c>
      <c r="AG1797" s="52" t="n">
        <v>0</v>
      </c>
      <c r="AH1797" s="52" t="n">
        <v>0</v>
      </c>
      <c r="AI1797" s="52" t="n">
        <v>0</v>
      </c>
      <c r="AJ1797" s="52" t="n">
        <v>0</v>
      </c>
      <c r="AK1797" s="52" t="n">
        <v>0</v>
      </c>
      <c r="AL1797" s="52" t="n">
        <v>0</v>
      </c>
      <c r="AM1797" s="53" t="n">
        <v>0</v>
      </c>
      <c r="AN1797" s="53" t="n">
        <v>0</v>
      </c>
      <c r="AO1797" s="53" t="n">
        <v>0</v>
      </c>
      <c r="AP1797" s="53" t="n">
        <v>0</v>
      </c>
      <c r="AQ1797" s="52" t="n">
        <v>0</v>
      </c>
      <c r="AR1797" s="52" t="n">
        <v>0</v>
      </c>
      <c r="AS1797" s="52" t="n">
        <v>0</v>
      </c>
      <c r="AT1797" s="52" t="n">
        <v>0</v>
      </c>
      <c r="AU1797" s="53" t="n">
        <v>0</v>
      </c>
      <c r="AV1797" s="53" t="n">
        <v>0</v>
      </c>
      <c r="AW1797" s="53" t="n">
        <v>0</v>
      </c>
      <c r="AX1797" s="53" t="n">
        <v>0</v>
      </c>
      <c r="AY1797" s="52" t="n">
        <v>0</v>
      </c>
      <c r="AZ1797" s="52" t="n">
        <v>0</v>
      </c>
      <c r="BA1797" s="52" t="n">
        <v>0</v>
      </c>
      <c r="BB1797" s="52" t="n">
        <v>0</v>
      </c>
      <c r="BC1797" s="51" t="n">
        <v>0</v>
      </c>
      <c r="BD1797" s="51" t="n">
        <v>0</v>
      </c>
      <c r="BE1797" s="51" t="n">
        <v>0</v>
      </c>
      <c r="BF1797" s="51" t="n">
        <v>0</v>
      </c>
    </row>
    <row r="1798">
      <c r="A1798">
        <f>HYPERLINK("https://www.walmart.com/ip/138313307", "138313307")</f>
        <v/>
      </c>
      <c r="B1798" t="inlineStr">
        <is>
          <t>Tirrinia Snow Micro Fleece Sherpa Plush Bed Throw TV Blanket 50” x 60”</t>
        </is>
      </c>
      <c r="C1798" t="inlineStr">
        <is>
          <t>1TRBF321WN-TBGM</t>
        </is>
      </c>
      <c r="D1798" t="inlineStr">
        <is>
          <t>Throws</t>
        </is>
      </c>
      <c r="E1798" t="inlineStr">
        <is>
          <t>Tirrinia</t>
        </is>
      </c>
      <c r="F1798" t="inlineStr">
        <is>
          <t>Batch 1 - TR</t>
        </is>
      </c>
      <c r="G1798" s="48" t="n">
        <v>0</v>
      </c>
      <c r="H1798" s="48" t="n">
        <v>0</v>
      </c>
      <c r="I1798" s="48" t="n">
        <v>0</v>
      </c>
      <c r="J1798" s="48" t="n">
        <v>0</v>
      </c>
      <c r="K1798" s="49" t="n">
        <v>0</v>
      </c>
      <c r="L1798" s="49" t="n">
        <v>0</v>
      </c>
      <c r="M1798" s="49" t="n">
        <v>0</v>
      </c>
      <c r="N1798" s="49" t="n">
        <v>0</v>
      </c>
      <c r="O1798" s="49" t="n">
        <v>0</v>
      </c>
      <c r="P1798" s="49" t="n">
        <v>0</v>
      </c>
      <c r="Q1798" s="49" t="n">
        <v>0</v>
      </c>
      <c r="R1798" s="49" t="n">
        <v>0</v>
      </c>
      <c r="S1798" s="50" t="n">
        <v>0</v>
      </c>
      <c r="T1798" s="50" t="n">
        <v>0</v>
      </c>
      <c r="U1798" s="50" t="n">
        <v>0</v>
      </c>
      <c r="V1798" s="50" t="n">
        <v>0</v>
      </c>
      <c r="W1798" s="51" t="n">
        <v>0</v>
      </c>
      <c r="X1798" s="51" t="n">
        <v>0</v>
      </c>
      <c r="Y1798" s="51" t="n">
        <v>0</v>
      </c>
      <c r="Z1798" s="51" t="n">
        <v>0</v>
      </c>
      <c r="AA1798" s="52" t="n">
        <v>0</v>
      </c>
      <c r="AB1798" s="52" t="n">
        <v>0</v>
      </c>
      <c r="AC1798" s="52" t="n">
        <v>0</v>
      </c>
      <c r="AD1798" s="52" t="n">
        <v>0</v>
      </c>
      <c r="AE1798" s="52" t="n">
        <v>0</v>
      </c>
      <c r="AF1798" s="52" t="n">
        <v>0</v>
      </c>
      <c r="AG1798" s="52" t="n">
        <v>0</v>
      </c>
      <c r="AH1798" s="52" t="n">
        <v>0</v>
      </c>
      <c r="AI1798" s="52" t="n">
        <v>0</v>
      </c>
      <c r="AJ1798" s="52" t="n">
        <v>0</v>
      </c>
      <c r="AK1798" s="52" t="n">
        <v>0</v>
      </c>
      <c r="AL1798" s="52" t="n">
        <v>0</v>
      </c>
      <c r="AM1798" s="53" t="n">
        <v>0</v>
      </c>
      <c r="AN1798" s="53" t="n">
        <v>0</v>
      </c>
      <c r="AO1798" s="53" t="n">
        <v>0</v>
      </c>
      <c r="AP1798" s="53" t="n">
        <v>0</v>
      </c>
      <c r="AQ1798" s="52" t="n">
        <v>0</v>
      </c>
      <c r="AR1798" s="52" t="n">
        <v>0</v>
      </c>
      <c r="AS1798" s="52" t="n">
        <v>0</v>
      </c>
      <c r="AT1798" s="52" t="n">
        <v>0</v>
      </c>
      <c r="AU1798" s="53" t="n">
        <v>0</v>
      </c>
      <c r="AV1798" s="53" t="n">
        <v>0</v>
      </c>
      <c r="AW1798" s="53" t="n">
        <v>0</v>
      </c>
      <c r="AX1798" s="53" t="n">
        <v>0</v>
      </c>
      <c r="AY1798" s="52" t="n">
        <v>0</v>
      </c>
      <c r="AZ1798" s="52" t="n">
        <v>0</v>
      </c>
      <c r="BA1798" s="52" t="n">
        <v>0</v>
      </c>
      <c r="BB1798" s="52" t="n">
        <v>0</v>
      </c>
      <c r="BC1798" s="51" t="n">
        <v>0</v>
      </c>
      <c r="BD1798" s="51" t="n">
        <v>0</v>
      </c>
      <c r="BE1798" s="51" t="n">
        <v>0</v>
      </c>
      <c r="BF1798" s="51" t="n">
        <v>0</v>
      </c>
    </row>
    <row r="1799">
      <c r="A1799">
        <f>HYPERLINK("https://www.walmart.com/ip/1212700000", "1212700000")</f>
        <v/>
      </c>
      <c r="B1799" t="inlineStr">
        <is>
          <t>Catalonia Fleece Wearable Blanket with Sleeves and Pocket, Micro Plush Warm Sleeved TV Throw Sherpa Blanket Robe for Women and Men, Cat Blue, 72” X 55”.</t>
        </is>
      </c>
      <c r="C1799" t="inlineStr">
        <is>
          <t>1CTSN110BLCAT</t>
        </is>
      </c>
      <c r="D1799" t="inlineStr">
        <is>
          <t>Throws</t>
        </is>
      </c>
      <c r="E1799" t="inlineStr">
        <is>
          <t>Catalonia</t>
        </is>
      </c>
      <c r="F1799" t="inlineStr">
        <is>
          <t>Coupon_Discount,Batch 1 - TR</t>
        </is>
      </c>
      <c r="G1799" s="48" t="n">
        <v>0</v>
      </c>
      <c r="H1799" s="48" t="n">
        <v>0</v>
      </c>
      <c r="I1799" s="48" t="n">
        <v>0</v>
      </c>
      <c r="J1799" s="48" t="n">
        <v>0</v>
      </c>
      <c r="K1799" s="49" t="n">
        <v>0</v>
      </c>
      <c r="L1799" s="49" t="n">
        <v>0</v>
      </c>
      <c r="M1799" s="49" t="n">
        <v>0</v>
      </c>
      <c r="N1799" s="49" t="n">
        <v>0</v>
      </c>
      <c r="O1799" s="49" t="n">
        <v>0</v>
      </c>
      <c r="P1799" s="49" t="n">
        <v>0</v>
      </c>
      <c r="Q1799" s="49" t="n">
        <v>0</v>
      </c>
      <c r="R1799" s="49" t="n">
        <v>0</v>
      </c>
      <c r="S1799" s="50" t="n">
        <v>0</v>
      </c>
      <c r="T1799" s="50" t="n">
        <v>0</v>
      </c>
      <c r="U1799" s="50" t="n">
        <v>0</v>
      </c>
      <c r="V1799" s="50" t="n">
        <v>0</v>
      </c>
      <c r="W1799" s="51" t="n">
        <v>0</v>
      </c>
      <c r="X1799" s="51" t="n">
        <v>0</v>
      </c>
      <c r="Y1799" s="51" t="n">
        <v>0</v>
      </c>
      <c r="Z1799" s="51" t="n">
        <v>0</v>
      </c>
      <c r="AA1799" s="52" t="n">
        <v>0</v>
      </c>
      <c r="AB1799" s="52" t="n">
        <v>0</v>
      </c>
      <c r="AC1799" s="52" t="n">
        <v>0</v>
      </c>
      <c r="AD1799" s="52" t="n">
        <v>0</v>
      </c>
      <c r="AE1799" s="52" t="n">
        <v>0</v>
      </c>
      <c r="AF1799" s="52" t="n">
        <v>0</v>
      </c>
      <c r="AG1799" s="52" t="n">
        <v>0</v>
      </c>
      <c r="AH1799" s="52" t="n">
        <v>0</v>
      </c>
      <c r="AI1799" s="52" t="n">
        <v>0</v>
      </c>
      <c r="AJ1799" s="52" t="n">
        <v>0</v>
      </c>
      <c r="AK1799" s="52" t="n">
        <v>0</v>
      </c>
      <c r="AL1799" s="52" t="n">
        <v>0</v>
      </c>
      <c r="AM1799" s="53" t="n">
        <v>0</v>
      </c>
      <c r="AN1799" s="53" t="n">
        <v>0</v>
      </c>
      <c r="AO1799" s="53" t="n">
        <v>0</v>
      </c>
      <c r="AP1799" s="53" t="n">
        <v>0</v>
      </c>
      <c r="AQ1799" s="52" t="n">
        <v>0</v>
      </c>
      <c r="AR1799" s="52" t="n">
        <v>0</v>
      </c>
      <c r="AS1799" s="52" t="n">
        <v>0</v>
      </c>
      <c r="AT1799" s="52" t="n">
        <v>0</v>
      </c>
      <c r="AU1799" s="53" t="n">
        <v>0</v>
      </c>
      <c r="AV1799" s="53" t="n">
        <v>0</v>
      </c>
      <c r="AW1799" s="53" t="n">
        <v>0</v>
      </c>
      <c r="AX1799" s="53" t="n">
        <v>0</v>
      </c>
      <c r="AY1799" s="52" t="n">
        <v>0</v>
      </c>
      <c r="AZ1799" s="52" t="n">
        <v>0</v>
      </c>
      <c r="BA1799" s="52" t="n">
        <v>0</v>
      </c>
      <c r="BB1799" s="52" t="n">
        <v>0</v>
      </c>
      <c r="BC1799" s="51" t="n">
        <v>0</v>
      </c>
      <c r="BD1799" s="51" t="n">
        <v>0</v>
      </c>
      <c r="BE1799" s="51" t="n">
        <v>0</v>
      </c>
      <c r="BF1799" s="51" t="n">
        <v>0</v>
      </c>
    </row>
    <row r="1800">
      <c r="A1800">
        <f>HYPERLINK("https://www.walmart.com/ip/13869809583", "13869809583")</f>
        <v/>
      </c>
      <c r="B1800" t="inlineStr">
        <is>
          <t>Every Day is Christmas Glass Blown Ornaments Cute Hand Made Figurines Tree Decoration, Ski Boots Set of 2</t>
        </is>
      </c>
      <c r="C1800" t="inlineStr">
        <is>
          <t>EDC-FIGURINE-WP290</t>
        </is>
      </c>
      <c r="D1800" t="inlineStr">
        <is>
          <t>Ornaments</t>
        </is>
      </c>
      <c r="E1800" t="inlineStr">
        <is>
          <t>Every Day is Christmas</t>
        </is>
      </c>
      <c r="G1800" s="48" t="n">
        <v>0</v>
      </c>
      <c r="H1800" s="48" t="n">
        <v>0</v>
      </c>
      <c r="I1800" s="48" t="n">
        <v>0</v>
      </c>
      <c r="J1800" s="48" t="n">
        <v>0</v>
      </c>
      <c r="K1800" s="49" t="n">
        <v>0</v>
      </c>
      <c r="L1800" s="49" t="n">
        <v>0</v>
      </c>
      <c r="M1800" s="49" t="n">
        <v>0</v>
      </c>
      <c r="N1800" s="49" t="n">
        <v>0</v>
      </c>
      <c r="O1800" s="49" t="n">
        <v>0</v>
      </c>
      <c r="P1800" s="49" t="n">
        <v>0</v>
      </c>
      <c r="Q1800" s="49" t="n">
        <v>0</v>
      </c>
      <c r="R1800" s="49" t="n">
        <v>0</v>
      </c>
      <c r="S1800" s="50" t="n">
        <v>0</v>
      </c>
      <c r="T1800" s="50" t="n">
        <v>0</v>
      </c>
      <c r="U1800" s="50" t="n">
        <v>0</v>
      </c>
      <c r="V1800" s="50" t="n">
        <v>0</v>
      </c>
      <c r="W1800" s="51" t="n">
        <v>0</v>
      </c>
      <c r="X1800" s="51" t="n">
        <v>0</v>
      </c>
      <c r="Y1800" s="51" t="n">
        <v>0</v>
      </c>
      <c r="Z1800" s="51" t="n">
        <v>0</v>
      </c>
      <c r="AA1800" s="52" t="n">
        <v>0</v>
      </c>
      <c r="AB1800" s="52" t="n">
        <v>0</v>
      </c>
      <c r="AC1800" s="52" t="n">
        <v>0</v>
      </c>
      <c r="AD1800" s="52" t="n">
        <v>0</v>
      </c>
      <c r="AE1800" s="52" t="n">
        <v>0</v>
      </c>
      <c r="AF1800" s="52" t="n">
        <v>0</v>
      </c>
      <c r="AG1800" s="52" t="n">
        <v>0</v>
      </c>
      <c r="AH1800" s="52" t="n">
        <v>0</v>
      </c>
      <c r="AI1800" s="52" t="n">
        <v>0</v>
      </c>
      <c r="AJ1800" s="52" t="n">
        <v>0</v>
      </c>
      <c r="AK1800" s="52" t="n">
        <v>0</v>
      </c>
      <c r="AL1800" s="52" t="n">
        <v>0</v>
      </c>
      <c r="AM1800" s="53" t="n">
        <v>0</v>
      </c>
      <c r="AN1800" s="53" t="n">
        <v>0</v>
      </c>
      <c r="AO1800" s="53" t="n">
        <v>0</v>
      </c>
      <c r="AP1800" s="53" t="n">
        <v>0</v>
      </c>
      <c r="AQ1800" s="52" t="n">
        <v>0</v>
      </c>
      <c r="AR1800" s="52" t="n">
        <v>0</v>
      </c>
      <c r="AS1800" s="52" t="n">
        <v>0</v>
      </c>
      <c r="AT1800" s="52" t="n">
        <v>0</v>
      </c>
      <c r="AU1800" s="53" t="n">
        <v>0</v>
      </c>
      <c r="AV1800" s="53" t="n">
        <v>0</v>
      </c>
      <c r="AW1800" s="53" t="n">
        <v>0</v>
      </c>
      <c r="AX1800" s="53" t="n">
        <v>0</v>
      </c>
      <c r="AY1800" s="52" t="n">
        <v>0</v>
      </c>
      <c r="AZ1800" s="52" t="n">
        <v>0</v>
      </c>
      <c r="BA1800" s="52" t="n">
        <v>0</v>
      </c>
      <c r="BB1800" s="52" t="n">
        <v>0</v>
      </c>
      <c r="BC1800" s="51" t="n">
        <v>0</v>
      </c>
      <c r="BD1800" s="51" t="n">
        <v>0</v>
      </c>
      <c r="BE1800" s="51" t="n">
        <v>0</v>
      </c>
      <c r="BF1800" s="51" t="n">
        <v>0</v>
      </c>
    </row>
    <row r="1801">
      <c r="A1801">
        <f>HYPERLINK("https://www.walmart.com/ip/13871800493", "13871800493")</f>
        <v/>
      </c>
      <c r="B1801" t="inlineStr">
        <is>
          <t>Every Day is Christmas Glass Blown Ornaments Cute Hand Made Figurines Tree Decoration, Ranch, Mustard, Ketchup Set of 3</t>
        </is>
      </c>
      <c r="C1801" t="inlineStr">
        <is>
          <t>EDC-FIGURINE-WP277</t>
        </is>
      </c>
      <c r="D1801" t="inlineStr">
        <is>
          <t>Ornaments</t>
        </is>
      </c>
      <c r="E1801" t="inlineStr">
        <is>
          <t>Every Day is Christmas</t>
        </is>
      </c>
      <c r="G1801" s="48" t="n">
        <v>0</v>
      </c>
      <c r="H1801" s="48" t="n">
        <v>0</v>
      </c>
      <c r="I1801" s="48" t="n">
        <v>0</v>
      </c>
      <c r="J1801" s="48" t="n">
        <v>0</v>
      </c>
      <c r="K1801" s="49" t="n">
        <v>0</v>
      </c>
      <c r="L1801" s="49" t="n">
        <v>0</v>
      </c>
      <c r="M1801" s="49" t="n">
        <v>0</v>
      </c>
      <c r="N1801" s="49" t="n">
        <v>0</v>
      </c>
      <c r="O1801" s="49" t="n">
        <v>0</v>
      </c>
      <c r="P1801" s="49" t="n">
        <v>0</v>
      </c>
      <c r="Q1801" s="49" t="n">
        <v>0</v>
      </c>
      <c r="R1801" s="49" t="n">
        <v>0</v>
      </c>
      <c r="S1801" s="50" t="n">
        <v>0</v>
      </c>
      <c r="T1801" s="50" t="n">
        <v>0</v>
      </c>
      <c r="U1801" s="50" t="n">
        <v>0</v>
      </c>
      <c r="V1801" s="50" t="n">
        <v>0</v>
      </c>
      <c r="W1801" s="51" t="n">
        <v>0</v>
      </c>
      <c r="X1801" s="51" t="n">
        <v>0</v>
      </c>
      <c r="Y1801" s="51" t="n">
        <v>0</v>
      </c>
      <c r="Z1801" s="51" t="n">
        <v>0</v>
      </c>
      <c r="AA1801" s="52" t="n">
        <v>0</v>
      </c>
      <c r="AB1801" s="52" t="n">
        <v>0</v>
      </c>
      <c r="AC1801" s="52" t="n">
        <v>0</v>
      </c>
      <c r="AD1801" s="52" t="n">
        <v>0</v>
      </c>
      <c r="AE1801" s="52" t="n">
        <v>0</v>
      </c>
      <c r="AF1801" s="52" t="n">
        <v>0</v>
      </c>
      <c r="AG1801" s="52" t="n">
        <v>0</v>
      </c>
      <c r="AH1801" s="52" t="n">
        <v>0</v>
      </c>
      <c r="AI1801" s="52" t="n">
        <v>0</v>
      </c>
      <c r="AJ1801" s="52" t="n">
        <v>0</v>
      </c>
      <c r="AK1801" s="52" t="n">
        <v>0</v>
      </c>
      <c r="AL1801" s="52" t="n">
        <v>0</v>
      </c>
      <c r="AM1801" s="53" t="n">
        <v>0</v>
      </c>
      <c r="AN1801" s="53" t="n">
        <v>0</v>
      </c>
      <c r="AO1801" s="53" t="n">
        <v>0</v>
      </c>
      <c r="AP1801" s="53" t="n">
        <v>0</v>
      </c>
      <c r="AQ1801" s="52" t="n">
        <v>0</v>
      </c>
      <c r="AR1801" s="52" t="n">
        <v>0</v>
      </c>
      <c r="AS1801" s="52" t="n">
        <v>0</v>
      </c>
      <c r="AT1801" s="52" t="n">
        <v>0</v>
      </c>
      <c r="AU1801" s="53" t="n">
        <v>0</v>
      </c>
      <c r="AV1801" s="53" t="n">
        <v>0</v>
      </c>
      <c r="AW1801" s="53" t="n">
        <v>0</v>
      </c>
      <c r="AX1801" s="53" t="n">
        <v>0</v>
      </c>
      <c r="AY1801" s="52" t="n">
        <v>0</v>
      </c>
      <c r="AZ1801" s="52" t="n">
        <v>0</v>
      </c>
      <c r="BA1801" s="52" t="n">
        <v>0</v>
      </c>
      <c r="BB1801" s="52" t="n">
        <v>0</v>
      </c>
      <c r="BC1801" s="51" t="n">
        <v>0</v>
      </c>
      <c r="BD1801" s="51" t="n">
        <v>0</v>
      </c>
      <c r="BE1801" s="51" t="n">
        <v>0</v>
      </c>
      <c r="BF1801" s="51" t="n">
        <v>0</v>
      </c>
    </row>
    <row r="1802">
      <c r="A1802">
        <f>HYPERLINK("https://www.walmart.com/ip/13876207015", "13876207015")</f>
        <v/>
      </c>
      <c r="B1802" t="inlineStr">
        <is>
          <t>Every Day is Christmas Glass Blown Ornaments Cute Hand Made Figurines Tree Decoration, Coffee Set of 3</t>
        </is>
      </c>
      <c r="C1802" t="inlineStr">
        <is>
          <t>EDC-FIGURINE-BC339</t>
        </is>
      </c>
      <c r="D1802" t="inlineStr">
        <is>
          <t>Ornaments</t>
        </is>
      </c>
      <c r="E1802" t="inlineStr">
        <is>
          <t>Every Day is Christmas</t>
        </is>
      </c>
      <c r="G1802" s="48" t="n">
        <v>0</v>
      </c>
      <c r="H1802" s="48" t="n">
        <v>0</v>
      </c>
      <c r="I1802" s="48" t="n">
        <v>0</v>
      </c>
      <c r="J1802" s="48" t="n">
        <v>0</v>
      </c>
      <c r="K1802" s="49" t="n">
        <v>0</v>
      </c>
      <c r="L1802" s="49" t="n">
        <v>0</v>
      </c>
      <c r="M1802" s="49" t="n">
        <v>0</v>
      </c>
      <c r="N1802" s="49" t="n">
        <v>0</v>
      </c>
      <c r="O1802" s="49" t="n">
        <v>0</v>
      </c>
      <c r="P1802" s="49" t="n">
        <v>0</v>
      </c>
      <c r="Q1802" s="49" t="n">
        <v>0</v>
      </c>
      <c r="R1802" s="49" t="n">
        <v>0</v>
      </c>
      <c r="S1802" s="50" t="n">
        <v>0</v>
      </c>
      <c r="T1802" s="50" t="n">
        <v>0</v>
      </c>
      <c r="U1802" s="50" t="n">
        <v>0</v>
      </c>
      <c r="V1802" s="50" t="n">
        <v>0</v>
      </c>
      <c r="W1802" s="51" t="n">
        <v>0</v>
      </c>
      <c r="X1802" s="51" t="n">
        <v>0</v>
      </c>
      <c r="Y1802" s="51" t="n">
        <v>0</v>
      </c>
      <c r="Z1802" s="51" t="n">
        <v>0</v>
      </c>
      <c r="AA1802" s="52" t="n">
        <v>0</v>
      </c>
      <c r="AB1802" s="52" t="n">
        <v>0</v>
      </c>
      <c r="AC1802" s="52" t="n">
        <v>0</v>
      </c>
      <c r="AD1802" s="52" t="n">
        <v>0</v>
      </c>
      <c r="AE1802" s="52" t="n">
        <v>0</v>
      </c>
      <c r="AF1802" s="52" t="n">
        <v>0</v>
      </c>
      <c r="AG1802" s="52" t="n">
        <v>0</v>
      </c>
      <c r="AH1802" s="52" t="n">
        <v>0</v>
      </c>
      <c r="AI1802" s="52" t="n">
        <v>0</v>
      </c>
      <c r="AJ1802" s="52" t="n">
        <v>0</v>
      </c>
      <c r="AK1802" s="52" t="n">
        <v>0</v>
      </c>
      <c r="AL1802" s="52" t="n">
        <v>0</v>
      </c>
      <c r="AM1802" s="53" t="n">
        <v>0</v>
      </c>
      <c r="AN1802" s="53" t="n">
        <v>0</v>
      </c>
      <c r="AO1802" s="53" t="n">
        <v>0</v>
      </c>
      <c r="AP1802" s="53" t="n">
        <v>0</v>
      </c>
      <c r="AQ1802" s="52" t="n">
        <v>0</v>
      </c>
      <c r="AR1802" s="52" t="n">
        <v>0</v>
      </c>
      <c r="AS1802" s="52" t="n">
        <v>0</v>
      </c>
      <c r="AT1802" s="52" t="n">
        <v>0</v>
      </c>
      <c r="AU1802" s="53" t="n">
        <v>0</v>
      </c>
      <c r="AV1802" s="53" t="n">
        <v>0</v>
      </c>
      <c r="AW1802" s="53" t="n">
        <v>0</v>
      </c>
      <c r="AX1802" s="53" t="n">
        <v>0</v>
      </c>
      <c r="AY1802" s="52" t="n">
        <v>0</v>
      </c>
      <c r="AZ1802" s="52" t="n">
        <v>0</v>
      </c>
      <c r="BA1802" s="52" t="n">
        <v>0</v>
      </c>
      <c r="BB1802" s="52" t="n">
        <v>0</v>
      </c>
      <c r="BC1802" s="51" t="n">
        <v>0</v>
      </c>
      <c r="BD1802" s="51" t="n">
        <v>0</v>
      </c>
      <c r="BE1802" s="51" t="n">
        <v>0</v>
      </c>
      <c r="BF1802" s="51" t="n">
        <v>0</v>
      </c>
    </row>
    <row r="1803">
      <c r="A1803">
        <f>HYPERLINK("https://www.walmart.com/ip/13880208470", "13880208470")</f>
        <v/>
      </c>
      <c r="B1803" t="inlineStr">
        <is>
          <t>Every Day is Christmas Glass Blown Ornaments Cute Hand Made Figurines Tree Decoration, Sugar Skulls Set of 2</t>
        </is>
      </c>
      <c r="C1803" t="inlineStr">
        <is>
          <t>EDC-FIGURINE-WP262</t>
        </is>
      </c>
      <c r="D1803" t="inlineStr">
        <is>
          <t>Ornaments</t>
        </is>
      </c>
      <c r="E1803" t="inlineStr">
        <is>
          <t>Every Day is Christmas</t>
        </is>
      </c>
      <c r="G1803" s="48" t="n">
        <v>0</v>
      </c>
      <c r="H1803" s="48" t="n">
        <v>0</v>
      </c>
      <c r="I1803" s="48" t="n">
        <v>0</v>
      </c>
      <c r="J1803" s="48" t="n">
        <v>0</v>
      </c>
      <c r="K1803" s="49" t="n">
        <v>0</v>
      </c>
      <c r="L1803" s="49" t="n">
        <v>0</v>
      </c>
      <c r="M1803" s="49" t="n">
        <v>0</v>
      </c>
      <c r="N1803" s="49" t="n">
        <v>0</v>
      </c>
      <c r="O1803" s="49" t="n">
        <v>0</v>
      </c>
      <c r="P1803" s="49" t="n">
        <v>0</v>
      </c>
      <c r="Q1803" s="49" t="n">
        <v>0</v>
      </c>
      <c r="R1803" s="49" t="n">
        <v>0</v>
      </c>
      <c r="S1803" s="50" t="n">
        <v>0</v>
      </c>
      <c r="T1803" s="50" t="n">
        <v>0</v>
      </c>
      <c r="U1803" s="50" t="n">
        <v>0</v>
      </c>
      <c r="V1803" s="50" t="n">
        <v>0</v>
      </c>
      <c r="W1803" s="51" t="n">
        <v>0</v>
      </c>
      <c r="X1803" s="51" t="n">
        <v>0</v>
      </c>
      <c r="Y1803" s="51" t="n">
        <v>0</v>
      </c>
      <c r="Z1803" s="51" t="n">
        <v>0</v>
      </c>
      <c r="AA1803" s="52" t="n">
        <v>0</v>
      </c>
      <c r="AB1803" s="52" t="n">
        <v>0</v>
      </c>
      <c r="AC1803" s="52" t="n">
        <v>0</v>
      </c>
      <c r="AD1803" s="52" t="n">
        <v>0</v>
      </c>
      <c r="AE1803" s="52" t="n">
        <v>0</v>
      </c>
      <c r="AF1803" s="52" t="n">
        <v>0</v>
      </c>
      <c r="AG1803" s="52" t="n">
        <v>0</v>
      </c>
      <c r="AH1803" s="52" t="n">
        <v>0</v>
      </c>
      <c r="AI1803" s="52" t="n">
        <v>0</v>
      </c>
      <c r="AJ1803" s="52" t="n">
        <v>0</v>
      </c>
      <c r="AK1803" s="52" t="n">
        <v>0</v>
      </c>
      <c r="AL1803" s="52" t="n">
        <v>0</v>
      </c>
      <c r="AM1803" s="53" t="n">
        <v>0</v>
      </c>
      <c r="AN1803" s="53" t="n">
        <v>0</v>
      </c>
      <c r="AO1803" s="53" t="n">
        <v>0</v>
      </c>
      <c r="AP1803" s="53" t="n">
        <v>0</v>
      </c>
      <c r="AQ1803" s="52" t="n">
        <v>0</v>
      </c>
      <c r="AR1803" s="52" t="n">
        <v>0</v>
      </c>
      <c r="AS1803" s="52" t="n">
        <v>0</v>
      </c>
      <c r="AT1803" s="52" t="n">
        <v>0</v>
      </c>
      <c r="AU1803" s="53" t="n">
        <v>0</v>
      </c>
      <c r="AV1803" s="53" t="n">
        <v>0</v>
      </c>
      <c r="AW1803" s="53" t="n">
        <v>0</v>
      </c>
      <c r="AX1803" s="53" t="n">
        <v>0</v>
      </c>
      <c r="AY1803" s="52" t="n">
        <v>0</v>
      </c>
      <c r="AZ1803" s="52" t="n">
        <v>0</v>
      </c>
      <c r="BA1803" s="52" t="n">
        <v>0</v>
      </c>
      <c r="BB1803" s="52" t="n">
        <v>0</v>
      </c>
      <c r="BC1803" s="51" t="n">
        <v>0</v>
      </c>
      <c r="BD1803" s="51" t="n">
        <v>0</v>
      </c>
      <c r="BE1803" s="51" t="n">
        <v>0</v>
      </c>
      <c r="BF1803" s="51" t="n">
        <v>0</v>
      </c>
    </row>
    <row r="1804">
      <c r="A1804">
        <f>HYPERLINK("https://www.walmart.com/ip/13885267327", "13885267327")</f>
        <v/>
      </c>
      <c r="B1804" t="inlineStr">
        <is>
          <t>Tirrinia Wearable Heated Blanket for Adults Women Sherpa Christmas Thanksgiving Gift,Ultra Soft Comfy Warm Plush Full Body Throw with Sleeves for Reading Wrap, TV Blanket, Robe Cover</t>
        </is>
      </c>
      <c r="C1804" t="inlineStr">
        <is>
          <t>1TRSNH110CA</t>
        </is>
      </c>
      <c r="D1804" t="inlineStr">
        <is>
          <t>Throws</t>
        </is>
      </c>
      <c r="E1804" t="inlineStr">
        <is>
          <t>Tirrina</t>
        </is>
      </c>
      <c r="G1804" s="48" t="n">
        <v>0</v>
      </c>
      <c r="H1804" s="48" t="n">
        <v>0</v>
      </c>
      <c r="I1804" s="48" t="n">
        <v>0</v>
      </c>
      <c r="J1804" s="48" t="n">
        <v>0</v>
      </c>
      <c r="K1804" s="49" t="n">
        <v>0</v>
      </c>
      <c r="L1804" s="49" t="n">
        <v>0</v>
      </c>
      <c r="M1804" s="49" t="n">
        <v>0</v>
      </c>
      <c r="N1804" s="49" t="n">
        <v>0</v>
      </c>
      <c r="O1804" s="49" t="n">
        <v>0</v>
      </c>
      <c r="P1804" s="49" t="n">
        <v>0</v>
      </c>
      <c r="Q1804" s="49" t="n">
        <v>0</v>
      </c>
      <c r="R1804" s="49" t="n">
        <v>0</v>
      </c>
      <c r="S1804" s="50" t="n">
        <v>0</v>
      </c>
      <c r="T1804" s="50" t="n">
        <v>0</v>
      </c>
      <c r="U1804" s="50" t="n">
        <v>0</v>
      </c>
      <c r="V1804" s="50" t="n">
        <v>0</v>
      </c>
      <c r="W1804" s="51" t="n">
        <v>0</v>
      </c>
      <c r="X1804" s="51" t="n">
        <v>0</v>
      </c>
      <c r="Y1804" s="51" t="n">
        <v>0</v>
      </c>
      <c r="Z1804" s="51" t="n">
        <v>0</v>
      </c>
      <c r="AA1804" s="52" t="n">
        <v>0</v>
      </c>
      <c r="AB1804" s="52" t="n">
        <v>0</v>
      </c>
      <c r="AC1804" s="52" t="n">
        <v>0</v>
      </c>
      <c r="AD1804" s="52" t="n">
        <v>0</v>
      </c>
      <c r="AE1804" s="52" t="n">
        <v>0</v>
      </c>
      <c r="AF1804" s="52" t="n">
        <v>0</v>
      </c>
      <c r="AG1804" s="52" t="n">
        <v>0</v>
      </c>
      <c r="AH1804" s="52" t="n">
        <v>0</v>
      </c>
      <c r="AI1804" s="52" t="n">
        <v>0</v>
      </c>
      <c r="AJ1804" s="52" t="n">
        <v>0</v>
      </c>
      <c r="AK1804" s="52" t="n">
        <v>0</v>
      </c>
      <c r="AL1804" s="52" t="n">
        <v>0</v>
      </c>
      <c r="AM1804" s="53" t="n">
        <v>0</v>
      </c>
      <c r="AN1804" s="53" t="n">
        <v>0</v>
      </c>
      <c r="AO1804" s="53" t="n">
        <v>0</v>
      </c>
      <c r="AP1804" s="53" t="n">
        <v>0</v>
      </c>
      <c r="AQ1804" s="52" t="n">
        <v>0</v>
      </c>
      <c r="AR1804" s="52" t="n">
        <v>0</v>
      </c>
      <c r="AS1804" s="52" t="n">
        <v>0</v>
      </c>
      <c r="AT1804" s="52" t="n">
        <v>0</v>
      </c>
      <c r="AU1804" s="53" t="n">
        <v>0</v>
      </c>
      <c r="AV1804" s="53" t="n">
        <v>0</v>
      </c>
      <c r="AW1804" s="53" t="n">
        <v>0</v>
      </c>
      <c r="AX1804" s="53" t="n">
        <v>0</v>
      </c>
      <c r="AY1804" s="52" t="n">
        <v>0</v>
      </c>
      <c r="AZ1804" s="52" t="n">
        <v>0</v>
      </c>
      <c r="BA1804" s="52" t="n">
        <v>0</v>
      </c>
      <c r="BB1804" s="52" t="n">
        <v>0</v>
      </c>
      <c r="BC1804" s="51" t="n">
        <v>0</v>
      </c>
      <c r="BD1804" s="51" t="n">
        <v>0</v>
      </c>
      <c r="BE1804" s="51" t="n">
        <v>0</v>
      </c>
      <c r="BF1804" s="51" t="n">
        <v>0</v>
      </c>
    </row>
    <row r="1805">
      <c r="A1805">
        <f>HYPERLINK("https://www.walmart.com/ip/13886707079", "13886707079")</f>
        <v/>
      </c>
      <c r="B1805" t="inlineStr">
        <is>
          <t>Tirrinia Wearable Heated Blanket for Adults Women Sherpa Christmas Thanksgiving Gift,Ultra Soft Comfy Warm Plush Full Body Throw with Sleeves for Reading Wrap, TV Blanket, Robe Cover</t>
        </is>
      </c>
      <c r="C1805" t="inlineStr">
        <is>
          <t>1TRSNH110GY</t>
        </is>
      </c>
      <c r="D1805" t="inlineStr">
        <is>
          <t>Throws</t>
        </is>
      </c>
      <c r="E1805" t="inlineStr">
        <is>
          <t>Tirrina</t>
        </is>
      </c>
      <c r="G1805" s="48" t="n">
        <v>0</v>
      </c>
      <c r="H1805" s="48" t="n">
        <v>0</v>
      </c>
      <c r="I1805" s="48" t="n">
        <v>0</v>
      </c>
      <c r="J1805" s="48" t="n">
        <v>0</v>
      </c>
      <c r="K1805" s="49" t="n">
        <v>0</v>
      </c>
      <c r="L1805" s="49" t="n">
        <v>0</v>
      </c>
      <c r="M1805" s="49" t="n">
        <v>0</v>
      </c>
      <c r="N1805" s="49" t="n">
        <v>0</v>
      </c>
      <c r="O1805" s="49" t="n">
        <v>0</v>
      </c>
      <c r="P1805" s="49" t="n">
        <v>0</v>
      </c>
      <c r="Q1805" s="49" t="n">
        <v>0</v>
      </c>
      <c r="R1805" s="49" t="n">
        <v>0</v>
      </c>
      <c r="S1805" s="50" t="n">
        <v>0</v>
      </c>
      <c r="T1805" s="50" t="n">
        <v>0</v>
      </c>
      <c r="U1805" s="50" t="n">
        <v>0</v>
      </c>
      <c r="V1805" s="50" t="n">
        <v>0</v>
      </c>
      <c r="W1805" s="51" t="n">
        <v>0</v>
      </c>
      <c r="X1805" s="51" t="n">
        <v>0</v>
      </c>
      <c r="Y1805" s="51" t="n">
        <v>0</v>
      </c>
      <c r="Z1805" s="51" t="n">
        <v>0</v>
      </c>
      <c r="AA1805" s="52" t="n">
        <v>0</v>
      </c>
      <c r="AB1805" s="52" t="n">
        <v>0</v>
      </c>
      <c r="AC1805" s="52" t="n">
        <v>0</v>
      </c>
      <c r="AD1805" s="52" t="n">
        <v>0</v>
      </c>
      <c r="AE1805" s="52" t="n">
        <v>0</v>
      </c>
      <c r="AF1805" s="52" t="n">
        <v>0</v>
      </c>
      <c r="AG1805" s="52" t="n">
        <v>0</v>
      </c>
      <c r="AH1805" s="52" t="n">
        <v>0</v>
      </c>
      <c r="AI1805" s="52" t="n">
        <v>0</v>
      </c>
      <c r="AJ1805" s="52" t="n">
        <v>0</v>
      </c>
      <c r="AK1805" s="52" t="n">
        <v>0</v>
      </c>
      <c r="AL1805" s="52" t="n">
        <v>0</v>
      </c>
      <c r="AM1805" s="53" t="n">
        <v>0</v>
      </c>
      <c r="AN1805" s="53" t="n">
        <v>0</v>
      </c>
      <c r="AO1805" s="53" t="n">
        <v>0</v>
      </c>
      <c r="AP1805" s="53" t="n">
        <v>0</v>
      </c>
      <c r="AQ1805" s="52" t="n">
        <v>0</v>
      </c>
      <c r="AR1805" s="52" t="n">
        <v>0</v>
      </c>
      <c r="AS1805" s="52" t="n">
        <v>0</v>
      </c>
      <c r="AT1805" s="52" t="n">
        <v>0</v>
      </c>
      <c r="AU1805" s="53" t="n">
        <v>0</v>
      </c>
      <c r="AV1805" s="53" t="n">
        <v>0</v>
      </c>
      <c r="AW1805" s="53" t="n">
        <v>0</v>
      </c>
      <c r="AX1805" s="53" t="n">
        <v>0</v>
      </c>
      <c r="AY1805" s="52" t="n">
        <v>0</v>
      </c>
      <c r="AZ1805" s="52" t="n">
        <v>0</v>
      </c>
      <c r="BA1805" s="52" t="n">
        <v>0</v>
      </c>
      <c r="BB1805" s="52" t="n">
        <v>0</v>
      </c>
      <c r="BC1805" s="51" t="n">
        <v>0</v>
      </c>
      <c r="BD1805" s="51" t="n">
        <v>0</v>
      </c>
      <c r="BE1805" s="51" t="n">
        <v>0</v>
      </c>
      <c r="BF1805" s="51" t="n">
        <v>0</v>
      </c>
    </row>
    <row r="1806">
      <c r="A1806">
        <f>HYPERLINK("https://www.walmart.com/ip/13886865858", "13886865858")</f>
        <v/>
      </c>
      <c r="B1806" t="inlineStr">
        <is>
          <t>Every Day is Christmas Glass Blown Ornaments Cute Hand Made Figurines Tree Decoration, Cocktail Set of 3</t>
        </is>
      </c>
      <c r="C1806" t="inlineStr">
        <is>
          <t>EDC-FIGURINE-BC335</t>
        </is>
      </c>
      <c r="D1806" t="inlineStr">
        <is>
          <t>Ornaments</t>
        </is>
      </c>
      <c r="E1806" t="inlineStr">
        <is>
          <t>Every Day is Christmas</t>
        </is>
      </c>
      <c r="G1806" s="48" t="n">
        <v>0</v>
      </c>
      <c r="H1806" s="48" t="n">
        <v>0</v>
      </c>
      <c r="I1806" s="48" t="n">
        <v>0</v>
      </c>
      <c r="J1806" s="48" t="n">
        <v>0</v>
      </c>
      <c r="K1806" s="49" t="n">
        <v>0</v>
      </c>
      <c r="L1806" s="49" t="n">
        <v>0</v>
      </c>
      <c r="M1806" s="49" t="n">
        <v>0</v>
      </c>
      <c r="N1806" s="49" t="n">
        <v>0</v>
      </c>
      <c r="O1806" s="49" t="n">
        <v>0</v>
      </c>
      <c r="P1806" s="49" t="n">
        <v>0</v>
      </c>
      <c r="Q1806" s="49" t="n">
        <v>0</v>
      </c>
      <c r="R1806" s="49" t="n">
        <v>0</v>
      </c>
      <c r="S1806" s="50" t="n">
        <v>0</v>
      </c>
      <c r="T1806" s="50" t="n">
        <v>0</v>
      </c>
      <c r="U1806" s="50" t="n">
        <v>0</v>
      </c>
      <c r="V1806" s="50" t="n">
        <v>0</v>
      </c>
      <c r="W1806" s="51" t="n">
        <v>0</v>
      </c>
      <c r="X1806" s="51" t="n">
        <v>0</v>
      </c>
      <c r="Y1806" s="51" t="n">
        <v>0</v>
      </c>
      <c r="Z1806" s="51" t="n">
        <v>0</v>
      </c>
      <c r="AA1806" s="52" t="n">
        <v>0</v>
      </c>
      <c r="AB1806" s="52" t="n">
        <v>0</v>
      </c>
      <c r="AC1806" s="52" t="n">
        <v>0</v>
      </c>
      <c r="AD1806" s="52" t="n">
        <v>0</v>
      </c>
      <c r="AE1806" s="52" t="n">
        <v>0</v>
      </c>
      <c r="AF1806" s="52" t="n">
        <v>0</v>
      </c>
      <c r="AG1806" s="52" t="n">
        <v>0</v>
      </c>
      <c r="AH1806" s="52" t="n">
        <v>0</v>
      </c>
      <c r="AI1806" s="52" t="n">
        <v>0</v>
      </c>
      <c r="AJ1806" s="52" t="n">
        <v>0</v>
      </c>
      <c r="AK1806" s="52" t="n">
        <v>0</v>
      </c>
      <c r="AL1806" s="52" t="n">
        <v>0</v>
      </c>
      <c r="AM1806" s="53" t="n">
        <v>0</v>
      </c>
      <c r="AN1806" s="53" t="n">
        <v>0</v>
      </c>
      <c r="AO1806" s="53" t="n">
        <v>0</v>
      </c>
      <c r="AP1806" s="53" t="n">
        <v>0</v>
      </c>
      <c r="AQ1806" s="52" t="n">
        <v>0</v>
      </c>
      <c r="AR1806" s="52" t="n">
        <v>0</v>
      </c>
      <c r="AS1806" s="52" t="n">
        <v>0</v>
      </c>
      <c r="AT1806" s="52" t="n">
        <v>0</v>
      </c>
      <c r="AU1806" s="53" t="n">
        <v>0</v>
      </c>
      <c r="AV1806" s="53" t="n">
        <v>0</v>
      </c>
      <c r="AW1806" s="53" t="n">
        <v>0</v>
      </c>
      <c r="AX1806" s="53" t="n">
        <v>0</v>
      </c>
      <c r="AY1806" s="52" t="n">
        <v>0</v>
      </c>
      <c r="AZ1806" s="52" t="n">
        <v>0</v>
      </c>
      <c r="BA1806" s="52" t="n">
        <v>0</v>
      </c>
      <c r="BB1806" s="52" t="n">
        <v>0</v>
      </c>
      <c r="BC1806" s="51" t="n">
        <v>0</v>
      </c>
      <c r="BD1806" s="51" t="n">
        <v>0</v>
      </c>
      <c r="BE1806" s="51" t="n">
        <v>0</v>
      </c>
      <c r="BF1806" s="51" t="n">
        <v>0</v>
      </c>
    </row>
    <row r="1807">
      <c r="A1807">
        <f>HYPERLINK("https://www.walmart.com/ip/13888814949", "13888814949")</f>
        <v/>
      </c>
      <c r="B1807" t="inlineStr">
        <is>
          <t>Every Day is Christmas Glass Blown Ornaments Cute Hand Made Figurines Tree Decoration, Roller Skates Set of 2</t>
        </is>
      </c>
      <c r="C1807" t="inlineStr">
        <is>
          <t>EDC-FIGURINE-WP266</t>
        </is>
      </c>
      <c r="D1807" t="inlineStr">
        <is>
          <t>Ornaments</t>
        </is>
      </c>
      <c r="E1807" t="inlineStr">
        <is>
          <t>Every Day is Christmas</t>
        </is>
      </c>
      <c r="G1807" s="48" t="n">
        <v>0</v>
      </c>
      <c r="H1807" s="48" t="n">
        <v>0</v>
      </c>
      <c r="I1807" s="48" t="n">
        <v>0</v>
      </c>
      <c r="J1807" s="48" t="n">
        <v>0</v>
      </c>
      <c r="K1807" s="49" t="n">
        <v>0</v>
      </c>
      <c r="L1807" s="49" t="n">
        <v>0</v>
      </c>
      <c r="M1807" s="49" t="n">
        <v>0</v>
      </c>
      <c r="N1807" s="49" t="n">
        <v>0</v>
      </c>
      <c r="O1807" s="49" t="n">
        <v>0</v>
      </c>
      <c r="P1807" s="49" t="n">
        <v>0</v>
      </c>
      <c r="Q1807" s="49" t="n">
        <v>0</v>
      </c>
      <c r="R1807" s="49" t="n">
        <v>0</v>
      </c>
      <c r="S1807" s="50" t="n">
        <v>0</v>
      </c>
      <c r="T1807" s="50" t="n">
        <v>0</v>
      </c>
      <c r="U1807" s="50" t="n">
        <v>0</v>
      </c>
      <c r="V1807" s="50" t="n">
        <v>0</v>
      </c>
      <c r="W1807" s="51" t="n">
        <v>0</v>
      </c>
      <c r="X1807" s="51" t="n">
        <v>0</v>
      </c>
      <c r="Y1807" s="51" t="n">
        <v>0</v>
      </c>
      <c r="Z1807" s="51" t="n">
        <v>0</v>
      </c>
      <c r="AA1807" s="52" t="n">
        <v>0</v>
      </c>
      <c r="AB1807" s="52" t="n">
        <v>0</v>
      </c>
      <c r="AC1807" s="52" t="n">
        <v>0</v>
      </c>
      <c r="AD1807" s="52" t="n">
        <v>0</v>
      </c>
      <c r="AE1807" s="52" t="n">
        <v>0</v>
      </c>
      <c r="AF1807" s="52" t="n">
        <v>0</v>
      </c>
      <c r="AG1807" s="52" t="n">
        <v>0</v>
      </c>
      <c r="AH1807" s="52" t="n">
        <v>0</v>
      </c>
      <c r="AI1807" s="52" t="n">
        <v>0</v>
      </c>
      <c r="AJ1807" s="52" t="n">
        <v>0</v>
      </c>
      <c r="AK1807" s="52" t="n">
        <v>0</v>
      </c>
      <c r="AL1807" s="52" t="n">
        <v>0</v>
      </c>
      <c r="AM1807" s="53" t="n">
        <v>0</v>
      </c>
      <c r="AN1807" s="53" t="n">
        <v>0</v>
      </c>
      <c r="AO1807" s="53" t="n">
        <v>0</v>
      </c>
      <c r="AP1807" s="53" t="n">
        <v>0</v>
      </c>
      <c r="AQ1807" s="52" t="n">
        <v>0</v>
      </c>
      <c r="AR1807" s="52" t="n">
        <v>0</v>
      </c>
      <c r="AS1807" s="52" t="n">
        <v>0</v>
      </c>
      <c r="AT1807" s="52" t="n">
        <v>0</v>
      </c>
      <c r="AU1807" s="53" t="n">
        <v>0</v>
      </c>
      <c r="AV1807" s="53" t="n">
        <v>0</v>
      </c>
      <c r="AW1807" s="53" t="n">
        <v>0</v>
      </c>
      <c r="AX1807" s="53" t="n">
        <v>0</v>
      </c>
      <c r="AY1807" s="52" t="n">
        <v>0</v>
      </c>
      <c r="AZ1807" s="52" t="n">
        <v>0</v>
      </c>
      <c r="BA1807" s="52" t="n">
        <v>0</v>
      </c>
      <c r="BB1807" s="52" t="n">
        <v>0</v>
      </c>
      <c r="BC1807" s="51" t="n">
        <v>0</v>
      </c>
      <c r="BD1807" s="51" t="n">
        <v>0</v>
      </c>
      <c r="BE1807" s="51" t="n">
        <v>0</v>
      </c>
      <c r="BF1807" s="51" t="n">
        <v>0</v>
      </c>
    </row>
    <row r="1808">
      <c r="A1808">
        <f>HYPERLINK("https://www.walmart.com/ip/13890368369", "13890368369")</f>
        <v/>
      </c>
      <c r="B1808" t="inlineStr">
        <is>
          <t>Tirrinia Wearable Heated Blanket for Adults Women Sherpa Christmas Thanksgiving Gift,Ultra Soft Comfy Warm Plush Full Body Throw with Sleeves for Reading Wrap, TV Blanket, Robe Cover</t>
        </is>
      </c>
      <c r="C1808" t="inlineStr">
        <is>
          <t>1TRSNH110BL</t>
        </is>
      </c>
      <c r="D1808" t="inlineStr">
        <is>
          <t>Throws</t>
        </is>
      </c>
      <c r="E1808" t="inlineStr">
        <is>
          <t>Tirrina</t>
        </is>
      </c>
      <c r="G1808" s="48" t="n">
        <v>0</v>
      </c>
      <c r="H1808" s="48" t="n">
        <v>0</v>
      </c>
      <c r="I1808" s="48" t="n">
        <v>0</v>
      </c>
      <c r="J1808" s="48" t="n">
        <v>0</v>
      </c>
      <c r="K1808" s="49" t="n">
        <v>0</v>
      </c>
      <c r="L1808" s="49" t="n">
        <v>0</v>
      </c>
      <c r="M1808" s="49" t="n">
        <v>0</v>
      </c>
      <c r="N1808" s="49" t="n">
        <v>0</v>
      </c>
      <c r="O1808" s="49" t="n">
        <v>0</v>
      </c>
      <c r="P1808" s="49" t="n">
        <v>0</v>
      </c>
      <c r="Q1808" s="49" t="n">
        <v>0</v>
      </c>
      <c r="R1808" s="49" t="n">
        <v>0</v>
      </c>
      <c r="S1808" s="50" t="n">
        <v>0</v>
      </c>
      <c r="T1808" s="50" t="n">
        <v>0</v>
      </c>
      <c r="U1808" s="50" t="n">
        <v>0</v>
      </c>
      <c r="V1808" s="50" t="n">
        <v>0</v>
      </c>
      <c r="W1808" s="51" t="n">
        <v>0</v>
      </c>
      <c r="X1808" s="51" t="n">
        <v>0</v>
      </c>
      <c r="Y1808" s="51" t="n">
        <v>0</v>
      </c>
      <c r="Z1808" s="51" t="n">
        <v>0</v>
      </c>
      <c r="AA1808" s="52" t="n">
        <v>0</v>
      </c>
      <c r="AB1808" s="52" t="n">
        <v>0</v>
      </c>
      <c r="AC1808" s="52" t="n">
        <v>0</v>
      </c>
      <c r="AD1808" s="52" t="n">
        <v>0</v>
      </c>
      <c r="AE1808" s="52" t="n">
        <v>0</v>
      </c>
      <c r="AF1808" s="52" t="n">
        <v>0</v>
      </c>
      <c r="AG1808" s="52" t="n">
        <v>0</v>
      </c>
      <c r="AH1808" s="52" t="n">
        <v>0</v>
      </c>
      <c r="AI1808" s="52" t="n">
        <v>0</v>
      </c>
      <c r="AJ1808" s="52" t="n">
        <v>0</v>
      </c>
      <c r="AK1808" s="52" t="n">
        <v>0</v>
      </c>
      <c r="AL1808" s="52" t="n">
        <v>0</v>
      </c>
      <c r="AM1808" s="53" t="n">
        <v>0</v>
      </c>
      <c r="AN1808" s="53" t="n">
        <v>0</v>
      </c>
      <c r="AO1808" s="53" t="n">
        <v>0</v>
      </c>
      <c r="AP1808" s="53" t="n">
        <v>0</v>
      </c>
      <c r="AQ1808" s="52" t="n">
        <v>0</v>
      </c>
      <c r="AR1808" s="52" t="n">
        <v>0</v>
      </c>
      <c r="AS1808" s="52" t="n">
        <v>0</v>
      </c>
      <c r="AT1808" s="52" t="n">
        <v>0</v>
      </c>
      <c r="AU1808" s="53" t="n">
        <v>0</v>
      </c>
      <c r="AV1808" s="53" t="n">
        <v>0</v>
      </c>
      <c r="AW1808" s="53" t="n">
        <v>0</v>
      </c>
      <c r="AX1808" s="53" t="n">
        <v>0</v>
      </c>
      <c r="AY1808" s="52" t="n">
        <v>0</v>
      </c>
      <c r="AZ1808" s="52" t="n">
        <v>0</v>
      </c>
      <c r="BA1808" s="52" t="n">
        <v>0</v>
      </c>
      <c r="BB1808" s="52" t="n">
        <v>0</v>
      </c>
      <c r="BC1808" s="51" t="n">
        <v>0</v>
      </c>
      <c r="BD1808" s="51" t="n">
        <v>0</v>
      </c>
      <c r="BE1808" s="51" t="n">
        <v>0</v>
      </c>
      <c r="BF1808" s="51" t="n">
        <v>0</v>
      </c>
    </row>
    <row r="1809">
      <c r="A1809">
        <f>HYPERLINK("https://www.walmart.com/ip/13891403646", "13891403646")</f>
        <v/>
      </c>
      <c r="B1809" t="inlineStr">
        <is>
          <t>Every Day is Christmas Glass Blown Ornaments Cute Hand Made Figurines Tree Decoration, Peanut Butter, Jelly Figurine Set of 2</t>
        </is>
      </c>
      <c r="C1809" t="inlineStr">
        <is>
          <t>EDC-FIGURINE-WP300</t>
        </is>
      </c>
      <c r="D1809" t="inlineStr">
        <is>
          <t>Ornaments</t>
        </is>
      </c>
      <c r="E1809" t="inlineStr">
        <is>
          <t>Every Day is Christmas</t>
        </is>
      </c>
      <c r="G1809" s="48" t="n">
        <v>0</v>
      </c>
      <c r="H1809" s="48" t="n">
        <v>0</v>
      </c>
      <c r="I1809" s="48" t="n">
        <v>0</v>
      </c>
      <c r="J1809" s="48" t="n">
        <v>0</v>
      </c>
      <c r="K1809" s="49" t="n">
        <v>0</v>
      </c>
      <c r="L1809" s="49" t="n">
        <v>0</v>
      </c>
      <c r="M1809" s="49" t="n">
        <v>0</v>
      </c>
      <c r="N1809" s="49" t="n">
        <v>0</v>
      </c>
      <c r="O1809" s="49" t="n">
        <v>0</v>
      </c>
      <c r="P1809" s="49" t="n">
        <v>0</v>
      </c>
      <c r="Q1809" s="49" t="n">
        <v>0</v>
      </c>
      <c r="R1809" s="49" t="n">
        <v>0</v>
      </c>
      <c r="S1809" s="50" t="n">
        <v>0</v>
      </c>
      <c r="T1809" s="50" t="n">
        <v>0</v>
      </c>
      <c r="U1809" s="50" t="n">
        <v>0</v>
      </c>
      <c r="V1809" s="50" t="n">
        <v>0</v>
      </c>
      <c r="W1809" s="51" t="n">
        <v>0</v>
      </c>
      <c r="X1809" s="51" t="n">
        <v>0</v>
      </c>
      <c r="Y1809" s="51" t="n">
        <v>0</v>
      </c>
      <c r="Z1809" s="51" t="n">
        <v>0</v>
      </c>
      <c r="AA1809" s="52" t="n">
        <v>0</v>
      </c>
      <c r="AB1809" s="52" t="n">
        <v>0</v>
      </c>
      <c r="AC1809" s="52" t="n">
        <v>0</v>
      </c>
      <c r="AD1809" s="52" t="n">
        <v>0</v>
      </c>
      <c r="AE1809" s="52" t="n">
        <v>0</v>
      </c>
      <c r="AF1809" s="52" t="n">
        <v>0</v>
      </c>
      <c r="AG1809" s="52" t="n">
        <v>0</v>
      </c>
      <c r="AH1809" s="52" t="n">
        <v>0</v>
      </c>
      <c r="AI1809" s="52" t="n">
        <v>0</v>
      </c>
      <c r="AJ1809" s="52" t="n">
        <v>0</v>
      </c>
      <c r="AK1809" s="52" t="n">
        <v>0</v>
      </c>
      <c r="AL1809" s="52" t="n">
        <v>0</v>
      </c>
      <c r="AM1809" s="53" t="n">
        <v>0</v>
      </c>
      <c r="AN1809" s="53" t="n">
        <v>0</v>
      </c>
      <c r="AO1809" s="53" t="n">
        <v>0</v>
      </c>
      <c r="AP1809" s="53" t="n">
        <v>0</v>
      </c>
      <c r="AQ1809" s="52" t="n">
        <v>0</v>
      </c>
      <c r="AR1809" s="52" t="n">
        <v>0</v>
      </c>
      <c r="AS1809" s="52" t="n">
        <v>0</v>
      </c>
      <c r="AT1809" s="52" t="n">
        <v>0</v>
      </c>
      <c r="AU1809" s="53" t="n">
        <v>0</v>
      </c>
      <c r="AV1809" s="53" t="n">
        <v>0</v>
      </c>
      <c r="AW1809" s="53" t="n">
        <v>0</v>
      </c>
      <c r="AX1809" s="53" t="n">
        <v>0</v>
      </c>
      <c r="AY1809" s="52" t="n">
        <v>0</v>
      </c>
      <c r="AZ1809" s="52" t="n">
        <v>0</v>
      </c>
      <c r="BA1809" s="52" t="n">
        <v>0</v>
      </c>
      <c r="BB1809" s="52" t="n">
        <v>0</v>
      </c>
      <c r="BC1809" s="51" t="n">
        <v>0</v>
      </c>
      <c r="BD1809" s="51" t="n">
        <v>0</v>
      </c>
      <c r="BE1809" s="51" t="n">
        <v>0</v>
      </c>
      <c r="BF1809" s="51" t="n">
        <v>0</v>
      </c>
    </row>
    <row r="1810">
      <c r="A1810">
        <f>HYPERLINK("https://www.walmart.com/ip/13893806356", "13893806356")</f>
        <v/>
      </c>
      <c r="B1810" t="inlineStr">
        <is>
          <t>Every Day is Christmas Glass Blown Ornaments Cute Hand Made Figurines Tree Decoration, Parrots Set of 2</t>
        </is>
      </c>
      <c r="C1810" t="inlineStr">
        <is>
          <t>EDC-FIGURINE-WP274</t>
        </is>
      </c>
      <c r="D1810" t="inlineStr">
        <is>
          <t>Ornaments</t>
        </is>
      </c>
      <c r="E1810" t="inlineStr">
        <is>
          <t>Every Day is Christmas</t>
        </is>
      </c>
      <c r="G1810" s="48" t="n">
        <v>0</v>
      </c>
      <c r="H1810" s="48" t="n">
        <v>0</v>
      </c>
      <c r="I1810" s="48" t="n">
        <v>0</v>
      </c>
      <c r="J1810" s="48" t="n">
        <v>0</v>
      </c>
      <c r="K1810" s="49" t="n">
        <v>0</v>
      </c>
      <c r="L1810" s="49" t="n">
        <v>0</v>
      </c>
      <c r="M1810" s="49" t="n">
        <v>0</v>
      </c>
      <c r="N1810" s="49" t="n">
        <v>0</v>
      </c>
      <c r="O1810" s="49" t="n">
        <v>0</v>
      </c>
      <c r="P1810" s="49" t="n">
        <v>0</v>
      </c>
      <c r="Q1810" s="49" t="n">
        <v>0</v>
      </c>
      <c r="R1810" s="49" t="n">
        <v>0</v>
      </c>
      <c r="S1810" s="50" t="n">
        <v>0</v>
      </c>
      <c r="T1810" s="50" t="n">
        <v>0</v>
      </c>
      <c r="U1810" s="50" t="n">
        <v>0</v>
      </c>
      <c r="V1810" s="50" t="n">
        <v>0</v>
      </c>
      <c r="W1810" s="51" t="n">
        <v>0</v>
      </c>
      <c r="X1810" s="51" t="n">
        <v>0</v>
      </c>
      <c r="Y1810" s="51" t="n">
        <v>0</v>
      </c>
      <c r="Z1810" s="51" t="n">
        <v>0</v>
      </c>
      <c r="AA1810" s="52" t="n">
        <v>0</v>
      </c>
      <c r="AB1810" s="52" t="n">
        <v>0</v>
      </c>
      <c r="AC1810" s="52" t="n">
        <v>0</v>
      </c>
      <c r="AD1810" s="52" t="n">
        <v>0</v>
      </c>
      <c r="AE1810" s="52" t="n">
        <v>0</v>
      </c>
      <c r="AF1810" s="52" t="n">
        <v>0</v>
      </c>
      <c r="AG1810" s="52" t="n">
        <v>0</v>
      </c>
      <c r="AH1810" s="52" t="n">
        <v>0</v>
      </c>
      <c r="AI1810" s="52" t="n">
        <v>0</v>
      </c>
      <c r="AJ1810" s="52" t="n">
        <v>0</v>
      </c>
      <c r="AK1810" s="52" t="n">
        <v>0</v>
      </c>
      <c r="AL1810" s="52" t="n">
        <v>0</v>
      </c>
      <c r="AM1810" s="53" t="n">
        <v>0</v>
      </c>
      <c r="AN1810" s="53" t="n">
        <v>0</v>
      </c>
      <c r="AO1810" s="53" t="n">
        <v>0</v>
      </c>
      <c r="AP1810" s="53" t="n">
        <v>0</v>
      </c>
      <c r="AQ1810" s="52" t="n">
        <v>0</v>
      </c>
      <c r="AR1810" s="52" t="n">
        <v>0</v>
      </c>
      <c r="AS1810" s="52" t="n">
        <v>0</v>
      </c>
      <c r="AT1810" s="52" t="n">
        <v>0</v>
      </c>
      <c r="AU1810" s="53" t="n">
        <v>0</v>
      </c>
      <c r="AV1810" s="53" t="n">
        <v>0</v>
      </c>
      <c r="AW1810" s="53" t="n">
        <v>0</v>
      </c>
      <c r="AX1810" s="53" t="n">
        <v>0</v>
      </c>
      <c r="AY1810" s="52" t="n">
        <v>0</v>
      </c>
      <c r="AZ1810" s="52" t="n">
        <v>0</v>
      </c>
      <c r="BA1810" s="52" t="n">
        <v>0</v>
      </c>
      <c r="BB1810" s="52" t="n">
        <v>0</v>
      </c>
      <c r="BC1810" s="51" t="n">
        <v>0</v>
      </c>
      <c r="BD1810" s="51" t="n">
        <v>0</v>
      </c>
      <c r="BE1810" s="51" t="n">
        <v>0</v>
      </c>
      <c r="BF1810" s="51" t="n">
        <v>0</v>
      </c>
    </row>
    <row r="1811">
      <c r="A1811">
        <f>HYPERLINK("https://www.walmart.com/ip/13893906281", "13893906281")</f>
        <v/>
      </c>
      <c r="B1811" t="inlineStr">
        <is>
          <t>Every Day is Christmas Glass Blown Ornaments Cute Hand Made Figurines Tree Decoration, Cheese Set of 2</t>
        </is>
      </c>
      <c r="C1811" t="inlineStr">
        <is>
          <t>EDC-FIGURINE-WP296</t>
        </is>
      </c>
      <c r="D1811" t="inlineStr">
        <is>
          <t>Ornaments</t>
        </is>
      </c>
      <c r="E1811" t="inlineStr">
        <is>
          <t>Every Day is Christmas</t>
        </is>
      </c>
      <c r="G1811" s="48" t="n">
        <v>0</v>
      </c>
      <c r="H1811" s="48" t="n">
        <v>0</v>
      </c>
      <c r="I1811" s="48" t="n">
        <v>0</v>
      </c>
      <c r="J1811" s="48" t="n">
        <v>0</v>
      </c>
      <c r="K1811" s="49" t="n">
        <v>0</v>
      </c>
      <c r="L1811" s="49" t="n">
        <v>0</v>
      </c>
      <c r="M1811" s="49" t="n">
        <v>0</v>
      </c>
      <c r="N1811" s="49" t="n">
        <v>0</v>
      </c>
      <c r="O1811" s="49" t="n">
        <v>0</v>
      </c>
      <c r="P1811" s="49" t="n">
        <v>0</v>
      </c>
      <c r="Q1811" s="49" t="n">
        <v>0</v>
      </c>
      <c r="R1811" s="49" t="n">
        <v>0</v>
      </c>
      <c r="S1811" s="50" t="n">
        <v>0</v>
      </c>
      <c r="T1811" s="50" t="n">
        <v>0</v>
      </c>
      <c r="U1811" s="50" t="n">
        <v>0</v>
      </c>
      <c r="V1811" s="50" t="n">
        <v>0</v>
      </c>
      <c r="W1811" s="51" t="n">
        <v>0</v>
      </c>
      <c r="X1811" s="51" t="n">
        <v>0</v>
      </c>
      <c r="Y1811" s="51" t="n">
        <v>0</v>
      </c>
      <c r="Z1811" s="51" t="n">
        <v>0</v>
      </c>
      <c r="AA1811" s="52" t="n">
        <v>0</v>
      </c>
      <c r="AB1811" s="52" t="n">
        <v>0</v>
      </c>
      <c r="AC1811" s="52" t="n">
        <v>0</v>
      </c>
      <c r="AD1811" s="52" t="n">
        <v>0</v>
      </c>
      <c r="AE1811" s="52" t="n">
        <v>0</v>
      </c>
      <c r="AF1811" s="52" t="n">
        <v>0</v>
      </c>
      <c r="AG1811" s="52" t="n">
        <v>0</v>
      </c>
      <c r="AH1811" s="52" t="n">
        <v>0</v>
      </c>
      <c r="AI1811" s="52" t="n">
        <v>0</v>
      </c>
      <c r="AJ1811" s="52" t="n">
        <v>0</v>
      </c>
      <c r="AK1811" s="52" t="n">
        <v>0</v>
      </c>
      <c r="AL1811" s="52" t="n">
        <v>0</v>
      </c>
      <c r="AM1811" s="53" t="n">
        <v>0</v>
      </c>
      <c r="AN1811" s="53" t="n">
        <v>0</v>
      </c>
      <c r="AO1811" s="53" t="n">
        <v>0</v>
      </c>
      <c r="AP1811" s="53" t="n">
        <v>0</v>
      </c>
      <c r="AQ1811" s="52" t="n">
        <v>0</v>
      </c>
      <c r="AR1811" s="52" t="n">
        <v>0</v>
      </c>
      <c r="AS1811" s="52" t="n">
        <v>0</v>
      </c>
      <c r="AT1811" s="52" t="n">
        <v>0</v>
      </c>
      <c r="AU1811" s="53" t="n">
        <v>0</v>
      </c>
      <c r="AV1811" s="53" t="n">
        <v>0</v>
      </c>
      <c r="AW1811" s="53" t="n">
        <v>0</v>
      </c>
      <c r="AX1811" s="53" t="n">
        <v>0</v>
      </c>
      <c r="AY1811" s="52" t="n">
        <v>0</v>
      </c>
      <c r="AZ1811" s="52" t="n">
        <v>0</v>
      </c>
      <c r="BA1811" s="52" t="n">
        <v>0</v>
      </c>
      <c r="BB1811" s="52" t="n">
        <v>0</v>
      </c>
      <c r="BC1811" s="51" t="n">
        <v>0</v>
      </c>
      <c r="BD1811" s="51" t="n">
        <v>0</v>
      </c>
      <c r="BE1811" s="51" t="n">
        <v>0</v>
      </c>
      <c r="BF1811" s="51" t="n">
        <v>0</v>
      </c>
    </row>
    <row r="1812">
      <c r="A1812">
        <f>HYPERLINK("https://www.walmart.com/ip/138956814", "138956814")</f>
        <v/>
      </c>
      <c r="B1812" t="inlineStr">
        <is>
          <t>Expandable Insulated Lunch Bag, Leakproof Lunch Cooler Tote for Men and Women, Suitable for Work &amp; Office</t>
        </is>
      </c>
      <c r="C1812" t="inlineStr">
        <is>
          <t>1KTLB110DGY</t>
        </is>
      </c>
      <c r="D1812" t="inlineStr">
        <is>
          <t>Reusable Lunch Bags &amp; Boxes</t>
        </is>
      </c>
      <c r="E1812" t="inlineStr">
        <is>
          <t>Kato</t>
        </is>
      </c>
      <c r="F1812" t="inlineStr">
        <is>
          <t>Lunch Bag,Optimized,Lunch Bags,SEM</t>
        </is>
      </c>
      <c r="G1812" s="48" t="n">
        <v>0</v>
      </c>
      <c r="H1812" s="48" t="n">
        <v>0</v>
      </c>
      <c r="I1812" s="48" t="n">
        <v>0</v>
      </c>
      <c r="J1812" s="48" t="n">
        <v>0</v>
      </c>
      <c r="K1812" s="49" t="n">
        <v>0</v>
      </c>
      <c r="L1812" s="49" t="n">
        <v>0</v>
      </c>
      <c r="M1812" s="49" t="n">
        <v>0</v>
      </c>
      <c r="N1812" s="49" t="n">
        <v>0</v>
      </c>
      <c r="O1812" s="49" t="n">
        <v>0</v>
      </c>
      <c r="P1812" s="49" t="n">
        <v>0</v>
      </c>
      <c r="Q1812" s="49" t="n">
        <v>0</v>
      </c>
      <c r="R1812" s="49" t="n">
        <v>0</v>
      </c>
      <c r="S1812" s="50" t="n">
        <v>0</v>
      </c>
      <c r="T1812" s="50" t="n">
        <v>0</v>
      </c>
      <c r="U1812" s="50" t="n">
        <v>0</v>
      </c>
      <c r="V1812" s="50" t="n">
        <v>0</v>
      </c>
      <c r="W1812" s="51" t="n">
        <v>0</v>
      </c>
      <c r="X1812" s="51" t="n">
        <v>0</v>
      </c>
      <c r="Y1812" s="51" t="n">
        <v>0</v>
      </c>
      <c r="Z1812" s="51" t="n">
        <v>0</v>
      </c>
      <c r="AA1812" s="52" t="n">
        <v>0</v>
      </c>
      <c r="AB1812" s="52" t="n">
        <v>0</v>
      </c>
      <c r="AC1812" s="52" t="n">
        <v>0</v>
      </c>
      <c r="AD1812" s="52" t="n">
        <v>0</v>
      </c>
      <c r="AE1812" s="52" t="n">
        <v>0</v>
      </c>
      <c r="AF1812" s="52" t="n">
        <v>0</v>
      </c>
      <c r="AG1812" s="52" t="n">
        <v>0</v>
      </c>
      <c r="AH1812" s="52" t="n">
        <v>0</v>
      </c>
      <c r="AI1812" s="52" t="n">
        <v>0</v>
      </c>
      <c r="AJ1812" s="52" t="n">
        <v>0</v>
      </c>
      <c r="AK1812" s="52" t="n">
        <v>0</v>
      </c>
      <c r="AL1812" s="52" t="n">
        <v>0</v>
      </c>
      <c r="AM1812" s="53" t="n">
        <v>0</v>
      </c>
      <c r="AN1812" s="53" t="n">
        <v>0</v>
      </c>
      <c r="AO1812" s="53" t="n">
        <v>0</v>
      </c>
      <c r="AP1812" s="53" t="n">
        <v>0</v>
      </c>
      <c r="AQ1812" s="52" t="n">
        <v>0</v>
      </c>
      <c r="AR1812" s="52" t="n">
        <v>0</v>
      </c>
      <c r="AS1812" s="52" t="n">
        <v>0</v>
      </c>
      <c r="AT1812" s="52" t="n">
        <v>0</v>
      </c>
      <c r="AU1812" s="53" t="n">
        <v>0</v>
      </c>
      <c r="AV1812" s="53" t="n">
        <v>0</v>
      </c>
      <c r="AW1812" s="53" t="n">
        <v>0</v>
      </c>
      <c r="AX1812" s="53" t="n">
        <v>0</v>
      </c>
      <c r="AY1812" s="52" t="n">
        <v>0</v>
      </c>
      <c r="AZ1812" s="52" t="n">
        <v>0</v>
      </c>
      <c r="BA1812" s="52" t="n">
        <v>0</v>
      </c>
      <c r="BB1812" s="52" t="n">
        <v>0</v>
      </c>
      <c r="BC1812" s="51" t="n">
        <v>0</v>
      </c>
      <c r="BD1812" s="51" t="n">
        <v>0</v>
      </c>
      <c r="BE1812" s="51" t="n">
        <v>0</v>
      </c>
      <c r="BF1812" s="51" t="n">
        <v>0</v>
      </c>
    </row>
    <row r="1813">
      <c r="A1813">
        <f>HYPERLINK("https://www.walmart.com/ip/1390053219", "1390053219")</f>
        <v/>
      </c>
      <c r="B1813" t="inlineStr">
        <is>
          <t>Tirrinia Insulated Lunch Bag for Women Men, Leakproof Thermal Reusable Lunch Box for Adult &amp; Kids, Lunch Cooler Tote for Office Work Back to School, Large size, Green</t>
        </is>
      </c>
      <c r="C1813" t="inlineStr">
        <is>
          <t>1TRLB701GN-T</t>
        </is>
      </c>
      <c r="D1813" t="inlineStr">
        <is>
          <t>Reusable Lunch Bags &amp; Boxes</t>
        </is>
      </c>
      <c r="E1813" t="inlineStr">
        <is>
          <t>Tirrinia</t>
        </is>
      </c>
      <c r="F1813" t="inlineStr">
        <is>
          <t>Q2-Target,Brand Camp VD,Lunch Bags,SEM,Batch 1 - TR</t>
        </is>
      </c>
      <c r="G1813" s="48" t="n">
        <v>0</v>
      </c>
      <c r="H1813" s="48" t="n">
        <v>0</v>
      </c>
      <c r="I1813" s="48" t="n">
        <v>0</v>
      </c>
      <c r="J1813" s="48" t="n">
        <v>0</v>
      </c>
      <c r="K1813" s="49" t="n">
        <v>0</v>
      </c>
      <c r="L1813" s="49" t="n">
        <v>0</v>
      </c>
      <c r="M1813" s="49" t="n">
        <v>0</v>
      </c>
      <c r="N1813" s="49" t="n">
        <v>0</v>
      </c>
      <c r="O1813" s="49" t="n">
        <v>2</v>
      </c>
      <c r="P1813" s="49" t="n">
        <v>0</v>
      </c>
      <c r="Q1813" s="49" t="n">
        <v>0</v>
      </c>
      <c r="R1813" s="49" t="n">
        <v>0</v>
      </c>
      <c r="S1813" s="50" t="n">
        <v>0</v>
      </c>
      <c r="T1813" s="50" t="n">
        <v>0</v>
      </c>
      <c r="U1813" s="50" t="n">
        <v>0</v>
      </c>
      <c r="V1813" s="50" t="n">
        <v>0</v>
      </c>
      <c r="W1813" s="51" t="n">
        <v>0</v>
      </c>
      <c r="X1813" s="51" t="n">
        <v>0</v>
      </c>
      <c r="Y1813" s="51" t="n">
        <v>0</v>
      </c>
      <c r="Z1813" s="51" t="n">
        <v>0</v>
      </c>
      <c r="AA1813" s="52" t="n">
        <v>0</v>
      </c>
      <c r="AB1813" s="52" t="n">
        <v>0</v>
      </c>
      <c r="AC1813" s="52" t="n">
        <v>0</v>
      </c>
      <c r="AD1813" s="52" t="n">
        <v>0</v>
      </c>
      <c r="AE1813" s="52" t="n">
        <v>0</v>
      </c>
      <c r="AF1813" s="52" t="n">
        <v>0</v>
      </c>
      <c r="AG1813" s="52" t="n">
        <v>0</v>
      </c>
      <c r="AH1813" s="52" t="n">
        <v>0</v>
      </c>
      <c r="AI1813" s="52" t="n">
        <v>0</v>
      </c>
      <c r="AJ1813" s="52" t="n">
        <v>0</v>
      </c>
      <c r="AK1813" s="52" t="n">
        <v>0</v>
      </c>
      <c r="AL1813" s="52" t="n">
        <v>0</v>
      </c>
      <c r="AM1813" s="53" t="n">
        <v>0</v>
      </c>
      <c r="AN1813" s="53" t="n">
        <v>0</v>
      </c>
      <c r="AO1813" s="53" t="n">
        <v>0</v>
      </c>
      <c r="AP1813" s="53" t="n">
        <v>0</v>
      </c>
      <c r="AQ1813" s="52" t="n">
        <v>0</v>
      </c>
      <c r="AR1813" s="52" t="n">
        <v>0</v>
      </c>
      <c r="AS1813" s="52" t="n">
        <v>0</v>
      </c>
      <c r="AT1813" s="52" t="n">
        <v>0</v>
      </c>
      <c r="AU1813" s="53" t="n">
        <v>0</v>
      </c>
      <c r="AV1813" s="53" t="n">
        <v>0</v>
      </c>
      <c r="AW1813" s="53" t="n">
        <v>0</v>
      </c>
      <c r="AX1813" s="53" t="n">
        <v>0</v>
      </c>
      <c r="AY1813" s="52" t="n">
        <v>0</v>
      </c>
      <c r="AZ1813" s="52" t="n">
        <v>0</v>
      </c>
      <c r="BA1813" s="52" t="n">
        <v>0</v>
      </c>
      <c r="BB1813" s="52" t="n">
        <v>0</v>
      </c>
      <c r="BC1813" s="51" t="n">
        <v>0</v>
      </c>
      <c r="BD1813" s="51" t="n">
        <v>0</v>
      </c>
      <c r="BE1813" s="51" t="n">
        <v>0</v>
      </c>
      <c r="BF1813" s="51" t="n">
        <v>0</v>
      </c>
    </row>
    <row r="1814">
      <c r="A1814">
        <f>HYPERLINK("https://www.walmart.com/ip/1390928292", "1390928292")</f>
        <v/>
      </c>
      <c r="B1814" t="inlineStr">
        <is>
          <t>Tirrinia Men's Mossyoak Duck Blind-Mallard</t>
        </is>
      </c>
      <c r="C1814" t="inlineStr">
        <is>
          <t>1TRHT02MALL-TBCB</t>
        </is>
      </c>
      <c r="D1814" t="inlineStr">
        <is>
          <t>Hats</t>
        </is>
      </c>
      <c r="E1814" t="inlineStr">
        <is>
          <t>Tirrinia</t>
        </is>
      </c>
      <c r="F1814" t="inlineStr">
        <is>
          <t>Batch 1 - TR</t>
        </is>
      </c>
      <c r="G1814" s="48" t="n">
        <v>0</v>
      </c>
      <c r="H1814" s="48" t="n">
        <v>0</v>
      </c>
      <c r="I1814" s="48" t="n">
        <v>0</v>
      </c>
      <c r="J1814" s="48" t="n">
        <v>0</v>
      </c>
      <c r="K1814" s="49" t="n">
        <v>0</v>
      </c>
      <c r="L1814" s="49" t="n">
        <v>0</v>
      </c>
      <c r="M1814" s="49" t="n">
        <v>0</v>
      </c>
      <c r="N1814" s="49" t="n">
        <v>0</v>
      </c>
      <c r="O1814" s="49" t="n">
        <v>0</v>
      </c>
      <c r="P1814" s="49" t="n">
        <v>0</v>
      </c>
      <c r="Q1814" s="49" t="n">
        <v>0</v>
      </c>
      <c r="R1814" s="49" t="n">
        <v>0</v>
      </c>
      <c r="S1814" s="50" t="n">
        <v>0</v>
      </c>
      <c r="T1814" s="50" t="n">
        <v>0</v>
      </c>
      <c r="U1814" s="50" t="n">
        <v>0</v>
      </c>
      <c r="V1814" s="50" t="n">
        <v>0</v>
      </c>
      <c r="W1814" s="51" t="n">
        <v>0</v>
      </c>
      <c r="X1814" s="51" t="n">
        <v>0</v>
      </c>
      <c r="Y1814" s="51" t="n">
        <v>0</v>
      </c>
      <c r="Z1814" s="51" t="n">
        <v>0</v>
      </c>
      <c r="AA1814" s="52" t="n">
        <v>0</v>
      </c>
      <c r="AB1814" s="52" t="n">
        <v>0</v>
      </c>
      <c r="AC1814" s="52" t="n">
        <v>0</v>
      </c>
      <c r="AD1814" s="52" t="n">
        <v>0</v>
      </c>
      <c r="AE1814" s="52" t="n">
        <v>0</v>
      </c>
      <c r="AF1814" s="52" t="n">
        <v>0</v>
      </c>
      <c r="AG1814" s="52" t="n">
        <v>0</v>
      </c>
      <c r="AH1814" s="52" t="n">
        <v>0</v>
      </c>
      <c r="AI1814" s="52" t="n">
        <v>0</v>
      </c>
      <c r="AJ1814" s="52" t="n">
        <v>0</v>
      </c>
      <c r="AK1814" s="52" t="n">
        <v>0</v>
      </c>
      <c r="AL1814" s="52" t="n">
        <v>0</v>
      </c>
      <c r="AM1814" s="53" t="n">
        <v>0</v>
      </c>
      <c r="AN1814" s="53" t="n">
        <v>0</v>
      </c>
      <c r="AO1814" s="53" t="n">
        <v>0</v>
      </c>
      <c r="AP1814" s="53" t="n">
        <v>0</v>
      </c>
      <c r="AQ1814" s="52" t="n">
        <v>0</v>
      </c>
      <c r="AR1814" s="52" t="n">
        <v>0</v>
      </c>
      <c r="AS1814" s="52" t="n">
        <v>0</v>
      </c>
      <c r="AT1814" s="52" t="n">
        <v>0</v>
      </c>
      <c r="AU1814" s="53" t="n">
        <v>0</v>
      </c>
      <c r="AV1814" s="53" t="n">
        <v>0</v>
      </c>
      <c r="AW1814" s="53" t="n">
        <v>0</v>
      </c>
      <c r="AX1814" s="53" t="n">
        <v>0</v>
      </c>
      <c r="AY1814" s="52" t="n">
        <v>0</v>
      </c>
      <c r="AZ1814" s="52" t="n">
        <v>0</v>
      </c>
      <c r="BA1814" s="52" t="n">
        <v>0</v>
      </c>
      <c r="BB1814" s="52" t="n">
        <v>0</v>
      </c>
      <c r="BC1814" s="51" t="n">
        <v>0</v>
      </c>
      <c r="BD1814" s="51" t="n">
        <v>0</v>
      </c>
      <c r="BE1814" s="51" t="n">
        <v>0</v>
      </c>
      <c r="BF1814" s="51" t="n">
        <v>0</v>
      </c>
    </row>
    <row r="1815">
      <c r="A1815">
        <f>HYPERLINK("https://www.walmart.com/ip/139176708", "139176708")</f>
        <v/>
      </c>
      <c r="B1815" t="inlineStr">
        <is>
          <t>Napa® Luxury Shu Velveteen Throw Blanket, Soft Blankets for Adults, All Seasons Plush Blanket, Cozy Reversible Fuzzy Blanket, Best Gift for Women, Blue, 50" x 60"</t>
        </is>
      </c>
      <c r="C1815" t="inlineStr">
        <is>
          <t>K9000BLUE</t>
        </is>
      </c>
      <c r="D1815" t="inlineStr">
        <is>
          <t>Throws</t>
        </is>
      </c>
      <c r="E1815" t="inlineStr">
        <is>
          <t>NAPA</t>
        </is>
      </c>
      <c r="F1815" t="inlineStr">
        <is>
          <t>Optimized</t>
        </is>
      </c>
      <c r="G1815" s="48" t="n">
        <v>0</v>
      </c>
      <c r="H1815" s="48" t="n">
        <v>0</v>
      </c>
      <c r="I1815" s="48" t="n">
        <v>0</v>
      </c>
      <c r="J1815" s="48" t="n">
        <v>0</v>
      </c>
      <c r="K1815" s="49" t="n">
        <v>0</v>
      </c>
      <c r="L1815" s="49" t="n">
        <v>0</v>
      </c>
      <c r="M1815" s="49" t="n">
        <v>0</v>
      </c>
      <c r="N1815" s="49" t="n">
        <v>0</v>
      </c>
      <c r="O1815" s="49" t="n">
        <v>0</v>
      </c>
      <c r="P1815" s="49" t="n">
        <v>0</v>
      </c>
      <c r="Q1815" s="49" t="n">
        <v>0</v>
      </c>
      <c r="R1815" s="49" t="n">
        <v>0</v>
      </c>
      <c r="S1815" s="50" t="n">
        <v>0</v>
      </c>
      <c r="T1815" s="50" t="n">
        <v>0</v>
      </c>
      <c r="U1815" s="50" t="n">
        <v>0</v>
      </c>
      <c r="V1815" s="50" t="n">
        <v>0</v>
      </c>
      <c r="W1815" s="51" t="n">
        <v>0</v>
      </c>
      <c r="X1815" s="51" t="n">
        <v>0</v>
      </c>
      <c r="Y1815" s="51" t="n">
        <v>0</v>
      </c>
      <c r="Z1815" s="51" t="n">
        <v>0</v>
      </c>
      <c r="AA1815" s="52" t="n">
        <v>0</v>
      </c>
      <c r="AB1815" s="52" t="n">
        <v>0</v>
      </c>
      <c r="AC1815" s="52" t="n">
        <v>0</v>
      </c>
      <c r="AD1815" s="52" t="n">
        <v>0</v>
      </c>
      <c r="AE1815" s="52" t="n">
        <v>0</v>
      </c>
      <c r="AF1815" s="52" t="n">
        <v>0</v>
      </c>
      <c r="AG1815" s="52" t="n">
        <v>0</v>
      </c>
      <c r="AH1815" s="52" t="n">
        <v>0</v>
      </c>
      <c r="AI1815" s="52" t="n">
        <v>0</v>
      </c>
      <c r="AJ1815" s="52" t="n">
        <v>0</v>
      </c>
      <c r="AK1815" s="52" t="n">
        <v>0</v>
      </c>
      <c r="AL1815" s="52" t="n">
        <v>0</v>
      </c>
      <c r="AM1815" s="53" t="n">
        <v>0</v>
      </c>
      <c r="AN1815" s="53" t="n">
        <v>0</v>
      </c>
      <c r="AO1815" s="53" t="n">
        <v>0</v>
      </c>
      <c r="AP1815" s="53" t="n">
        <v>0</v>
      </c>
      <c r="AQ1815" s="52" t="n">
        <v>0</v>
      </c>
      <c r="AR1815" s="52" t="n">
        <v>0</v>
      </c>
      <c r="AS1815" s="52" t="n">
        <v>0</v>
      </c>
      <c r="AT1815" s="52" t="n">
        <v>0</v>
      </c>
      <c r="AU1815" s="53" t="n">
        <v>0</v>
      </c>
      <c r="AV1815" s="53" t="n">
        <v>0</v>
      </c>
      <c r="AW1815" s="53" t="n">
        <v>0</v>
      </c>
      <c r="AX1815" s="53" t="n">
        <v>0</v>
      </c>
      <c r="AY1815" s="52" t="n">
        <v>0</v>
      </c>
      <c r="AZ1815" s="52" t="n">
        <v>0</v>
      </c>
      <c r="BA1815" s="52" t="n">
        <v>0</v>
      </c>
      <c r="BB1815" s="52" t="n">
        <v>0</v>
      </c>
      <c r="BC1815" s="51" t="n">
        <v>0</v>
      </c>
      <c r="BD1815" s="51" t="n">
        <v>0</v>
      </c>
      <c r="BE1815" s="51" t="n">
        <v>0</v>
      </c>
      <c r="BF1815" s="51" t="n">
        <v>0</v>
      </c>
    </row>
    <row r="1816">
      <c r="A1816">
        <f>HYPERLINK("https://www.walmart.com/ip/13869921427", "13869921427")</f>
        <v/>
      </c>
      <c r="B1816" t="inlineStr">
        <is>
          <t>Every Day is Christmas Glass Blown Ornaments Cute Hand Made Figurines Tree Decoration, Donuts Set of 2</t>
        </is>
      </c>
      <c r="C1816" t="inlineStr">
        <is>
          <t>EDC-FIGURINE-WP261</t>
        </is>
      </c>
      <c r="D1816" t="inlineStr">
        <is>
          <t>Ornaments</t>
        </is>
      </c>
      <c r="E1816" t="inlineStr">
        <is>
          <t>Every Day is Christmas</t>
        </is>
      </c>
      <c r="G1816" s="48" t="n">
        <v>0</v>
      </c>
      <c r="H1816" s="48" t="n">
        <v>0</v>
      </c>
      <c r="I1816" s="48" t="n">
        <v>0</v>
      </c>
      <c r="J1816" s="48" t="n">
        <v>0</v>
      </c>
      <c r="K1816" s="49" t="n">
        <v>0</v>
      </c>
      <c r="L1816" s="49" t="n">
        <v>0</v>
      </c>
      <c r="M1816" s="49" t="n">
        <v>0</v>
      </c>
      <c r="N1816" s="49" t="n">
        <v>0</v>
      </c>
      <c r="O1816" s="49" t="n">
        <v>0</v>
      </c>
      <c r="P1816" s="49" t="n">
        <v>0</v>
      </c>
      <c r="Q1816" s="49" t="n">
        <v>0</v>
      </c>
      <c r="R1816" s="49" t="n">
        <v>0</v>
      </c>
      <c r="S1816" s="50" t="n">
        <v>0</v>
      </c>
      <c r="T1816" s="50" t="n">
        <v>0</v>
      </c>
      <c r="U1816" s="50" t="n">
        <v>0</v>
      </c>
      <c r="V1816" s="50" t="n">
        <v>0</v>
      </c>
      <c r="W1816" s="51" t="n">
        <v>0</v>
      </c>
      <c r="X1816" s="51" t="n">
        <v>0</v>
      </c>
      <c r="Y1816" s="51" t="n">
        <v>0</v>
      </c>
      <c r="Z1816" s="51" t="n">
        <v>0</v>
      </c>
      <c r="AA1816" s="52" t="n">
        <v>0</v>
      </c>
      <c r="AB1816" s="52" t="n">
        <v>0</v>
      </c>
      <c r="AC1816" s="52" t="n">
        <v>0</v>
      </c>
      <c r="AD1816" s="52" t="n">
        <v>0</v>
      </c>
      <c r="AE1816" s="52" t="n">
        <v>0</v>
      </c>
      <c r="AF1816" s="52" t="n">
        <v>0</v>
      </c>
      <c r="AG1816" s="52" t="n">
        <v>0</v>
      </c>
      <c r="AH1816" s="52" t="n">
        <v>0</v>
      </c>
      <c r="AI1816" s="52" t="n">
        <v>0</v>
      </c>
      <c r="AJ1816" s="52" t="n">
        <v>0</v>
      </c>
      <c r="AK1816" s="52" t="n">
        <v>0</v>
      </c>
      <c r="AL1816" s="52" t="n">
        <v>0</v>
      </c>
      <c r="AM1816" s="53" t="n">
        <v>0</v>
      </c>
      <c r="AN1816" s="53" t="n">
        <v>0</v>
      </c>
      <c r="AO1816" s="53" t="n">
        <v>0</v>
      </c>
      <c r="AP1816" s="53" t="n">
        <v>0</v>
      </c>
      <c r="AQ1816" s="52" t="n">
        <v>0</v>
      </c>
      <c r="AR1816" s="52" t="n">
        <v>0</v>
      </c>
      <c r="AS1816" s="52" t="n">
        <v>0</v>
      </c>
      <c r="AT1816" s="52" t="n">
        <v>0</v>
      </c>
      <c r="AU1816" s="53" t="n">
        <v>0</v>
      </c>
      <c r="AV1816" s="53" t="n">
        <v>0</v>
      </c>
      <c r="AW1816" s="53" t="n">
        <v>0</v>
      </c>
      <c r="AX1816" s="53" t="n">
        <v>0</v>
      </c>
      <c r="AY1816" s="52" t="n">
        <v>0</v>
      </c>
      <c r="AZ1816" s="52" t="n">
        <v>0</v>
      </c>
      <c r="BA1816" s="52" t="n">
        <v>0</v>
      </c>
      <c r="BB1816" s="52" t="n">
        <v>0</v>
      </c>
      <c r="BC1816" s="51" t="n">
        <v>0</v>
      </c>
      <c r="BD1816" s="51" t="n">
        <v>0</v>
      </c>
      <c r="BE1816" s="51" t="n">
        <v>0</v>
      </c>
      <c r="BF1816" s="51" t="n">
        <v>0</v>
      </c>
    </row>
    <row r="1817">
      <c r="A1817">
        <f>HYPERLINK("https://www.walmart.com/ip/13869759786", "13869759786")</f>
        <v/>
      </c>
      <c r="B1817" t="inlineStr">
        <is>
          <t>Every Day is Christmas Glass Blown Ornaments Cute Hand Made Figurines Tree Decoration (Nativity Set)</t>
        </is>
      </c>
      <c r="C1817" t="inlineStr">
        <is>
          <t>EDC-FIGURINE-WP272</t>
        </is>
      </c>
      <c r="D1817" t="inlineStr">
        <is>
          <t>Ornaments</t>
        </is>
      </c>
      <c r="E1817" t="inlineStr">
        <is>
          <t>Every Day is Christmas</t>
        </is>
      </c>
      <c r="G1817" s="48" t="n">
        <v>0</v>
      </c>
      <c r="H1817" s="48" t="n">
        <v>0</v>
      </c>
      <c r="I1817" s="48" t="n">
        <v>0</v>
      </c>
      <c r="J1817" s="48" t="n">
        <v>0</v>
      </c>
      <c r="K1817" s="49" t="n">
        <v>0</v>
      </c>
      <c r="L1817" s="49" t="n">
        <v>0</v>
      </c>
      <c r="M1817" s="49" t="n">
        <v>0</v>
      </c>
      <c r="N1817" s="49" t="n">
        <v>0</v>
      </c>
      <c r="O1817" s="49" t="n">
        <v>0</v>
      </c>
      <c r="P1817" s="49" t="n">
        <v>0</v>
      </c>
      <c r="Q1817" s="49" t="n">
        <v>0</v>
      </c>
      <c r="R1817" s="49" t="n">
        <v>0</v>
      </c>
      <c r="S1817" s="50" t="n">
        <v>0</v>
      </c>
      <c r="T1817" s="50" t="n">
        <v>0</v>
      </c>
      <c r="U1817" s="50" t="n">
        <v>0</v>
      </c>
      <c r="V1817" s="50" t="n">
        <v>0</v>
      </c>
      <c r="W1817" s="51" t="n">
        <v>0</v>
      </c>
      <c r="X1817" s="51" t="n">
        <v>0</v>
      </c>
      <c r="Y1817" s="51" t="n">
        <v>0</v>
      </c>
      <c r="Z1817" s="51" t="n">
        <v>0</v>
      </c>
      <c r="AA1817" s="52" t="n">
        <v>0</v>
      </c>
      <c r="AB1817" s="52" t="n">
        <v>0</v>
      </c>
      <c r="AC1817" s="52" t="n">
        <v>0</v>
      </c>
      <c r="AD1817" s="52" t="n">
        <v>0</v>
      </c>
      <c r="AE1817" s="52" t="n">
        <v>0</v>
      </c>
      <c r="AF1817" s="52" t="n">
        <v>0</v>
      </c>
      <c r="AG1817" s="52" t="n">
        <v>0</v>
      </c>
      <c r="AH1817" s="52" t="n">
        <v>0</v>
      </c>
      <c r="AI1817" s="52" t="n">
        <v>0</v>
      </c>
      <c r="AJ1817" s="52" t="n">
        <v>0</v>
      </c>
      <c r="AK1817" s="52" t="n">
        <v>0</v>
      </c>
      <c r="AL1817" s="52" t="n">
        <v>0</v>
      </c>
      <c r="AM1817" s="53" t="n">
        <v>0</v>
      </c>
      <c r="AN1817" s="53" t="n">
        <v>0</v>
      </c>
      <c r="AO1817" s="53" t="n">
        <v>0</v>
      </c>
      <c r="AP1817" s="53" t="n">
        <v>0</v>
      </c>
      <c r="AQ1817" s="52" t="n">
        <v>0</v>
      </c>
      <c r="AR1817" s="52" t="n">
        <v>0</v>
      </c>
      <c r="AS1817" s="52" t="n">
        <v>0</v>
      </c>
      <c r="AT1817" s="52" t="n">
        <v>0</v>
      </c>
      <c r="AU1817" s="53" t="n">
        <v>0</v>
      </c>
      <c r="AV1817" s="53" t="n">
        <v>0</v>
      </c>
      <c r="AW1817" s="53" t="n">
        <v>0</v>
      </c>
      <c r="AX1817" s="53" t="n">
        <v>0</v>
      </c>
      <c r="AY1817" s="52" t="n">
        <v>0</v>
      </c>
      <c r="AZ1817" s="52" t="n">
        <v>0</v>
      </c>
      <c r="BA1817" s="52" t="n">
        <v>0</v>
      </c>
      <c r="BB1817" s="52" t="n">
        <v>0</v>
      </c>
      <c r="BC1817" s="51" t="n">
        <v>0</v>
      </c>
      <c r="BD1817" s="51" t="n">
        <v>0</v>
      </c>
      <c r="BE1817" s="51" t="n">
        <v>0</v>
      </c>
      <c r="BF1817" s="51" t="n">
        <v>0</v>
      </c>
    </row>
    <row r="1818">
      <c r="A1818">
        <f>HYPERLINK("https://www.walmart.com/ip/138327628", "138327628")</f>
        <v/>
      </c>
      <c r="B1818" t="inlineStr">
        <is>
          <t>JenniWears LED Light Up Sheer Lace Venetian Mask Floral Mardi Gras Masquerade Costume Pink</t>
        </is>
      </c>
      <c r="C1818" t="inlineStr">
        <is>
          <t>JWLEDMK02-PK</t>
        </is>
      </c>
      <c r="D1818" t="inlineStr">
        <is>
          <t>Costume Masks</t>
        </is>
      </c>
      <c r="E1818" t="inlineStr">
        <is>
          <t>JenniWears</t>
        </is>
      </c>
      <c r="F1818" t="inlineStr">
        <is>
          <t>Halloween</t>
        </is>
      </c>
      <c r="G1818" s="48" t="n">
        <v>0</v>
      </c>
      <c r="H1818" s="48" t="n">
        <v>0</v>
      </c>
      <c r="I1818" s="48" t="n">
        <v>0</v>
      </c>
      <c r="J1818" s="48" t="n">
        <v>0</v>
      </c>
      <c r="K1818" s="49" t="n">
        <v>0</v>
      </c>
      <c r="L1818" s="49" t="n">
        <v>0</v>
      </c>
      <c r="M1818" s="49" t="n">
        <v>0</v>
      </c>
      <c r="N1818" s="49" t="n">
        <v>0</v>
      </c>
      <c r="O1818" s="49" t="n">
        <v>0</v>
      </c>
      <c r="P1818" s="49" t="n">
        <v>0</v>
      </c>
      <c r="Q1818" s="49" t="n">
        <v>0</v>
      </c>
      <c r="R1818" s="49" t="n">
        <v>0</v>
      </c>
      <c r="S1818" s="50" t="n">
        <v>0</v>
      </c>
      <c r="T1818" s="50" t="n">
        <v>0</v>
      </c>
      <c r="U1818" s="50" t="n">
        <v>0</v>
      </c>
      <c r="V1818" s="50" t="n">
        <v>0</v>
      </c>
      <c r="W1818" s="51" t="n">
        <v>0</v>
      </c>
      <c r="X1818" s="51" t="n">
        <v>0</v>
      </c>
      <c r="Y1818" s="51" t="n">
        <v>0</v>
      </c>
      <c r="Z1818" s="51" t="n">
        <v>0</v>
      </c>
      <c r="AA1818" s="52" t="n">
        <v>0</v>
      </c>
      <c r="AB1818" s="52" t="n">
        <v>0</v>
      </c>
      <c r="AC1818" s="52" t="n">
        <v>0</v>
      </c>
      <c r="AD1818" s="52" t="n">
        <v>0</v>
      </c>
      <c r="AE1818" s="52" t="n">
        <v>0</v>
      </c>
      <c r="AF1818" s="52" t="n">
        <v>0</v>
      </c>
      <c r="AG1818" s="52" t="n">
        <v>0</v>
      </c>
      <c r="AH1818" s="52" t="n">
        <v>0</v>
      </c>
      <c r="AI1818" s="52" t="n">
        <v>0</v>
      </c>
      <c r="AJ1818" s="52" t="n">
        <v>0</v>
      </c>
      <c r="AK1818" s="52" t="n">
        <v>0</v>
      </c>
      <c r="AL1818" s="52" t="n">
        <v>0</v>
      </c>
      <c r="AM1818" s="53" t="n">
        <v>0</v>
      </c>
      <c r="AN1818" s="53" t="n">
        <v>0</v>
      </c>
      <c r="AO1818" s="53" t="n">
        <v>0</v>
      </c>
      <c r="AP1818" s="53" t="n">
        <v>0</v>
      </c>
      <c r="AQ1818" s="52" t="n">
        <v>0</v>
      </c>
      <c r="AR1818" s="52" t="n">
        <v>0</v>
      </c>
      <c r="AS1818" s="52" t="n">
        <v>0</v>
      </c>
      <c r="AT1818" s="52" t="n">
        <v>0</v>
      </c>
      <c r="AU1818" s="53" t="n">
        <v>0</v>
      </c>
      <c r="AV1818" s="53" t="n">
        <v>0</v>
      </c>
      <c r="AW1818" s="53" t="n">
        <v>0</v>
      </c>
      <c r="AX1818" s="53" t="n">
        <v>0</v>
      </c>
      <c r="AY1818" s="52" t="n">
        <v>0</v>
      </c>
      <c r="AZ1818" s="52" t="n">
        <v>0</v>
      </c>
      <c r="BA1818" s="52" t="n">
        <v>0</v>
      </c>
      <c r="BB1818" s="52" t="n">
        <v>0</v>
      </c>
      <c r="BC1818" s="51" t="n">
        <v>0</v>
      </c>
      <c r="BD1818" s="51" t="n">
        <v>0</v>
      </c>
      <c r="BE1818" s="51" t="n">
        <v>0</v>
      </c>
      <c r="BF1818" s="51" t="n">
        <v>0</v>
      </c>
    </row>
    <row r="1819">
      <c r="A1819">
        <f>HYPERLINK("https://www.walmart.com/ip/13866169944", "13866169944")</f>
        <v/>
      </c>
      <c r="B1819" t="inlineStr">
        <is>
          <t>Every Day is Christmas Glass Blown Ornaments Cute Hand Made Figurines Tree Decoration, Poker Set of 2</t>
        </is>
      </c>
      <c r="C1819" t="inlineStr">
        <is>
          <t>EDC-FIGURINE-WP294</t>
        </is>
      </c>
      <c r="D1819" t="inlineStr">
        <is>
          <t>Ornaments</t>
        </is>
      </c>
      <c r="E1819" t="inlineStr">
        <is>
          <t>Every Day is Christmas</t>
        </is>
      </c>
      <c r="G1819" s="48" t="n">
        <v>0</v>
      </c>
      <c r="H1819" s="48" t="n">
        <v>0</v>
      </c>
      <c r="I1819" s="48" t="n">
        <v>0</v>
      </c>
      <c r="J1819" s="48" t="n">
        <v>0</v>
      </c>
      <c r="K1819" s="49" t="n">
        <v>0</v>
      </c>
      <c r="L1819" s="49" t="n">
        <v>0</v>
      </c>
      <c r="M1819" s="49" t="n">
        <v>0</v>
      </c>
      <c r="N1819" s="49" t="n">
        <v>0</v>
      </c>
      <c r="O1819" s="49" t="n">
        <v>0</v>
      </c>
      <c r="P1819" s="49" t="n">
        <v>0</v>
      </c>
      <c r="Q1819" s="49" t="n">
        <v>0</v>
      </c>
      <c r="R1819" s="49" t="n">
        <v>0</v>
      </c>
      <c r="S1819" s="50" t="n">
        <v>0</v>
      </c>
      <c r="T1819" s="50" t="n">
        <v>0</v>
      </c>
      <c r="U1819" s="50" t="n">
        <v>0</v>
      </c>
      <c r="V1819" s="50" t="n">
        <v>0</v>
      </c>
      <c r="W1819" s="51" t="n">
        <v>0</v>
      </c>
      <c r="X1819" s="51" t="n">
        <v>0</v>
      </c>
      <c r="Y1819" s="51" t="n">
        <v>0</v>
      </c>
      <c r="Z1819" s="51" t="n">
        <v>0</v>
      </c>
      <c r="AA1819" s="52" t="n">
        <v>0</v>
      </c>
      <c r="AB1819" s="52" t="n">
        <v>0</v>
      </c>
      <c r="AC1819" s="52" t="n">
        <v>0</v>
      </c>
      <c r="AD1819" s="52" t="n">
        <v>0</v>
      </c>
      <c r="AE1819" s="52" t="n">
        <v>0</v>
      </c>
      <c r="AF1819" s="52" t="n">
        <v>0</v>
      </c>
      <c r="AG1819" s="52" t="n">
        <v>0</v>
      </c>
      <c r="AH1819" s="52" t="n">
        <v>0</v>
      </c>
      <c r="AI1819" s="52" t="n">
        <v>0</v>
      </c>
      <c r="AJ1819" s="52" t="n">
        <v>0</v>
      </c>
      <c r="AK1819" s="52" t="n">
        <v>0</v>
      </c>
      <c r="AL1819" s="52" t="n">
        <v>0</v>
      </c>
      <c r="AM1819" s="53" t="n">
        <v>0</v>
      </c>
      <c r="AN1819" s="53" t="n">
        <v>0</v>
      </c>
      <c r="AO1819" s="53" t="n">
        <v>0</v>
      </c>
      <c r="AP1819" s="53" t="n">
        <v>0</v>
      </c>
      <c r="AQ1819" s="52" t="n">
        <v>0</v>
      </c>
      <c r="AR1819" s="52" t="n">
        <v>0</v>
      </c>
      <c r="AS1819" s="52" t="n">
        <v>0</v>
      </c>
      <c r="AT1819" s="52" t="n">
        <v>0</v>
      </c>
      <c r="AU1819" s="53" t="n">
        <v>0</v>
      </c>
      <c r="AV1819" s="53" t="n">
        <v>0</v>
      </c>
      <c r="AW1819" s="53" t="n">
        <v>0</v>
      </c>
      <c r="AX1819" s="53" t="n">
        <v>0</v>
      </c>
      <c r="AY1819" s="52" t="n">
        <v>0</v>
      </c>
      <c r="AZ1819" s="52" t="n">
        <v>0</v>
      </c>
      <c r="BA1819" s="52" t="n">
        <v>0</v>
      </c>
      <c r="BB1819" s="52" t="n">
        <v>0</v>
      </c>
      <c r="BC1819" s="51" t="n">
        <v>0</v>
      </c>
      <c r="BD1819" s="51" t="n">
        <v>0</v>
      </c>
      <c r="BE1819" s="51" t="n">
        <v>0</v>
      </c>
      <c r="BF1819" s="51" t="n">
        <v>0</v>
      </c>
    </row>
    <row r="1820">
      <c r="A1820">
        <f>HYPERLINK("https://www.walmart.com/ip/1383988446", "1383988446")</f>
        <v/>
      </c>
      <c r="B1820" t="inlineStr">
        <is>
          <t>Sun Visor Sports Cotton Twill Plain Hat with Adjustable Strap for Men Women Outdoor Golf Tennis Running Jogging Hiking</t>
        </is>
      </c>
      <c r="C1820" t="inlineStr">
        <is>
          <t>1SLVS4130ROY</t>
        </is>
      </c>
      <c r="D1820" t="inlineStr">
        <is>
          <t>Tennis Visors</t>
        </is>
      </c>
      <c r="E1820" t="inlineStr">
        <is>
          <t>Solaris</t>
        </is>
      </c>
      <c r="G1820" s="48" t="n">
        <v>0</v>
      </c>
      <c r="H1820" s="48" t="n">
        <v>0</v>
      </c>
      <c r="I1820" s="48" t="n">
        <v>0</v>
      </c>
      <c r="J1820" s="48" t="n">
        <v>0</v>
      </c>
      <c r="K1820" s="49" t="n">
        <v>0</v>
      </c>
      <c r="L1820" s="49" t="n">
        <v>0</v>
      </c>
      <c r="M1820" s="49" t="n">
        <v>0</v>
      </c>
      <c r="N1820" s="49" t="n">
        <v>0</v>
      </c>
      <c r="O1820" s="49" t="n">
        <v>0</v>
      </c>
      <c r="P1820" s="49" t="n">
        <v>0</v>
      </c>
      <c r="Q1820" s="49" t="n">
        <v>0</v>
      </c>
      <c r="R1820" s="49" t="n">
        <v>0</v>
      </c>
      <c r="S1820" s="50" t="n">
        <v>0</v>
      </c>
      <c r="T1820" s="50" t="n">
        <v>0</v>
      </c>
      <c r="U1820" s="50" t="n">
        <v>0</v>
      </c>
      <c r="V1820" s="50" t="n">
        <v>0</v>
      </c>
      <c r="W1820" s="51" t="n">
        <v>0</v>
      </c>
      <c r="X1820" s="51" t="n">
        <v>0</v>
      </c>
      <c r="Y1820" s="51" t="n">
        <v>0</v>
      </c>
      <c r="Z1820" s="51" t="n">
        <v>0</v>
      </c>
      <c r="AA1820" s="52" t="n">
        <v>0</v>
      </c>
      <c r="AB1820" s="52" t="n">
        <v>0</v>
      </c>
      <c r="AC1820" s="52" t="n">
        <v>0</v>
      </c>
      <c r="AD1820" s="52" t="n">
        <v>0</v>
      </c>
      <c r="AE1820" s="52" t="n">
        <v>0</v>
      </c>
      <c r="AF1820" s="52" t="n">
        <v>0</v>
      </c>
      <c r="AG1820" s="52" t="n">
        <v>0</v>
      </c>
      <c r="AH1820" s="52" t="n">
        <v>0</v>
      </c>
      <c r="AI1820" s="52" t="n">
        <v>0</v>
      </c>
      <c r="AJ1820" s="52" t="n">
        <v>0</v>
      </c>
      <c r="AK1820" s="52" t="n">
        <v>0</v>
      </c>
      <c r="AL1820" s="52" t="n">
        <v>0</v>
      </c>
      <c r="AM1820" s="53" t="n">
        <v>0</v>
      </c>
      <c r="AN1820" s="53" t="n">
        <v>0</v>
      </c>
      <c r="AO1820" s="53" t="n">
        <v>0</v>
      </c>
      <c r="AP1820" s="53" t="n">
        <v>0</v>
      </c>
      <c r="AQ1820" s="52" t="n">
        <v>0</v>
      </c>
      <c r="AR1820" s="52" t="n">
        <v>0</v>
      </c>
      <c r="AS1820" s="52" t="n">
        <v>0</v>
      </c>
      <c r="AT1820" s="52" t="n">
        <v>0</v>
      </c>
      <c r="AU1820" s="53" t="n">
        <v>0</v>
      </c>
      <c r="AV1820" s="53" t="n">
        <v>0</v>
      </c>
      <c r="AW1820" s="53" t="n">
        <v>0</v>
      </c>
      <c r="AX1820" s="53" t="n">
        <v>0</v>
      </c>
      <c r="AY1820" s="52" t="n">
        <v>0</v>
      </c>
      <c r="AZ1820" s="52" t="n">
        <v>0</v>
      </c>
      <c r="BA1820" s="52" t="n">
        <v>0</v>
      </c>
      <c r="BB1820" s="52" t="n">
        <v>0</v>
      </c>
      <c r="BC1820" s="51" t="n">
        <v>0</v>
      </c>
      <c r="BD1820" s="51" t="n">
        <v>0</v>
      </c>
      <c r="BE1820" s="51" t="n">
        <v>0</v>
      </c>
      <c r="BF1820" s="51" t="n">
        <v>0</v>
      </c>
    </row>
    <row r="1821">
      <c r="A1821">
        <f>HYPERLINK("https://www.walmart.com/ip/13841424620", "13841424620")</f>
        <v/>
      </c>
      <c r="B1821" t="inlineStr">
        <is>
          <t>Every Day is Christmas Glass Blown Ornaments Cute Hand Made Figurines Tree Decoration, Honey Beehive Set of 2</t>
        </is>
      </c>
      <c r="C1821" t="inlineStr">
        <is>
          <t>EDC-FIGURINE-WP284</t>
        </is>
      </c>
      <c r="D1821" t="inlineStr">
        <is>
          <t>Ornaments</t>
        </is>
      </c>
      <c r="E1821" t="inlineStr">
        <is>
          <t>Every Day is Christmas</t>
        </is>
      </c>
      <c r="G1821" s="48" t="n">
        <v>0</v>
      </c>
      <c r="H1821" s="48" t="n">
        <v>0</v>
      </c>
      <c r="I1821" s="48" t="n">
        <v>0</v>
      </c>
      <c r="J1821" s="48" t="n">
        <v>0</v>
      </c>
      <c r="K1821" s="49" t="n">
        <v>0</v>
      </c>
      <c r="L1821" s="49" t="n">
        <v>0</v>
      </c>
      <c r="M1821" s="49" t="n">
        <v>0</v>
      </c>
      <c r="N1821" s="49" t="n">
        <v>0</v>
      </c>
      <c r="O1821" s="49" t="n">
        <v>0</v>
      </c>
      <c r="P1821" s="49" t="n">
        <v>0</v>
      </c>
      <c r="Q1821" s="49" t="n">
        <v>0</v>
      </c>
      <c r="R1821" s="49" t="n">
        <v>0</v>
      </c>
      <c r="S1821" s="50" t="n">
        <v>0</v>
      </c>
      <c r="T1821" s="50" t="n">
        <v>0</v>
      </c>
      <c r="U1821" s="50" t="n">
        <v>0</v>
      </c>
      <c r="V1821" s="50" t="n">
        <v>0</v>
      </c>
      <c r="W1821" s="51" t="n">
        <v>0</v>
      </c>
      <c r="X1821" s="51" t="n">
        <v>0</v>
      </c>
      <c r="Y1821" s="51" t="n">
        <v>0</v>
      </c>
      <c r="Z1821" s="51" t="n">
        <v>0</v>
      </c>
      <c r="AA1821" s="52" t="n">
        <v>0</v>
      </c>
      <c r="AB1821" s="52" t="n">
        <v>0</v>
      </c>
      <c r="AC1821" s="52" t="n">
        <v>0</v>
      </c>
      <c r="AD1821" s="52" t="n">
        <v>0</v>
      </c>
      <c r="AE1821" s="52" t="n">
        <v>0</v>
      </c>
      <c r="AF1821" s="52" t="n">
        <v>0</v>
      </c>
      <c r="AG1821" s="52" t="n">
        <v>0</v>
      </c>
      <c r="AH1821" s="52" t="n">
        <v>0</v>
      </c>
      <c r="AI1821" s="52" t="n">
        <v>0</v>
      </c>
      <c r="AJ1821" s="52" t="n">
        <v>0</v>
      </c>
      <c r="AK1821" s="52" t="n">
        <v>0</v>
      </c>
      <c r="AL1821" s="52" t="n">
        <v>0</v>
      </c>
      <c r="AM1821" s="53" t="n">
        <v>0</v>
      </c>
      <c r="AN1821" s="53" t="n">
        <v>0</v>
      </c>
      <c r="AO1821" s="53" t="n">
        <v>0</v>
      </c>
      <c r="AP1821" s="53" t="n">
        <v>0</v>
      </c>
      <c r="AQ1821" s="52" t="n">
        <v>0</v>
      </c>
      <c r="AR1821" s="52" t="n">
        <v>0</v>
      </c>
      <c r="AS1821" s="52" t="n">
        <v>0</v>
      </c>
      <c r="AT1821" s="52" t="n">
        <v>0</v>
      </c>
      <c r="AU1821" s="53" t="n">
        <v>0</v>
      </c>
      <c r="AV1821" s="53" t="n">
        <v>0</v>
      </c>
      <c r="AW1821" s="53" t="n">
        <v>0</v>
      </c>
      <c r="AX1821" s="53" t="n">
        <v>0</v>
      </c>
      <c r="AY1821" s="52" t="n">
        <v>0</v>
      </c>
      <c r="AZ1821" s="52" t="n">
        <v>0</v>
      </c>
      <c r="BA1821" s="52" t="n">
        <v>0</v>
      </c>
      <c r="BB1821" s="52" t="n">
        <v>0</v>
      </c>
      <c r="BC1821" s="51" t="n">
        <v>0</v>
      </c>
      <c r="BD1821" s="51" t="n">
        <v>0</v>
      </c>
      <c r="BE1821" s="51" t="n">
        <v>0</v>
      </c>
      <c r="BF1821" s="51" t="n">
        <v>0</v>
      </c>
    </row>
    <row r="1822">
      <c r="A1822">
        <f>HYPERLINK("https://www.walmart.com/ip/13843309130", "13843309130")</f>
        <v/>
      </c>
      <c r="B1822" t="inlineStr">
        <is>
          <t>Every Day is Christmas Glass Blown Ornaments Cute Hand Made Figurines Tree Decoration, Blue Whale Set of 2</t>
        </is>
      </c>
      <c r="C1822" t="inlineStr">
        <is>
          <t>EDC-FIGURINE-WP283</t>
        </is>
      </c>
      <c r="D1822" t="inlineStr">
        <is>
          <t>Ornaments</t>
        </is>
      </c>
      <c r="E1822" t="inlineStr">
        <is>
          <t>Every Day is Christmas</t>
        </is>
      </c>
      <c r="G1822" s="48" t="n">
        <v>0</v>
      </c>
      <c r="H1822" s="48" t="n">
        <v>0</v>
      </c>
      <c r="I1822" s="48" t="n">
        <v>0</v>
      </c>
      <c r="J1822" s="48" t="n">
        <v>0</v>
      </c>
      <c r="K1822" s="49" t="n">
        <v>0</v>
      </c>
      <c r="L1822" s="49" t="n">
        <v>0</v>
      </c>
      <c r="M1822" s="49" t="n">
        <v>0</v>
      </c>
      <c r="N1822" s="49" t="n">
        <v>0</v>
      </c>
      <c r="O1822" s="49" t="n">
        <v>0</v>
      </c>
      <c r="P1822" s="49" t="n">
        <v>0</v>
      </c>
      <c r="Q1822" s="49" t="n">
        <v>0</v>
      </c>
      <c r="R1822" s="49" t="n">
        <v>0</v>
      </c>
      <c r="S1822" s="50" t="n">
        <v>0</v>
      </c>
      <c r="T1822" s="50" t="n">
        <v>0</v>
      </c>
      <c r="U1822" s="50" t="n">
        <v>0</v>
      </c>
      <c r="V1822" s="50" t="n">
        <v>0</v>
      </c>
      <c r="W1822" s="51" t="n">
        <v>0</v>
      </c>
      <c r="X1822" s="51" t="n">
        <v>0</v>
      </c>
      <c r="Y1822" s="51" t="n">
        <v>0</v>
      </c>
      <c r="Z1822" s="51" t="n">
        <v>0</v>
      </c>
      <c r="AA1822" s="52" t="n">
        <v>0</v>
      </c>
      <c r="AB1822" s="52" t="n">
        <v>0</v>
      </c>
      <c r="AC1822" s="52" t="n">
        <v>0</v>
      </c>
      <c r="AD1822" s="52" t="n">
        <v>0</v>
      </c>
      <c r="AE1822" s="52" t="n">
        <v>0</v>
      </c>
      <c r="AF1822" s="52" t="n">
        <v>0</v>
      </c>
      <c r="AG1822" s="52" t="n">
        <v>0</v>
      </c>
      <c r="AH1822" s="52" t="n">
        <v>0</v>
      </c>
      <c r="AI1822" s="52" t="n">
        <v>0</v>
      </c>
      <c r="AJ1822" s="52" t="n">
        <v>0</v>
      </c>
      <c r="AK1822" s="52" t="n">
        <v>0</v>
      </c>
      <c r="AL1822" s="52" t="n">
        <v>0</v>
      </c>
      <c r="AM1822" s="53" t="n">
        <v>0</v>
      </c>
      <c r="AN1822" s="53" t="n">
        <v>0</v>
      </c>
      <c r="AO1822" s="53" t="n">
        <v>0</v>
      </c>
      <c r="AP1822" s="53" t="n">
        <v>0</v>
      </c>
      <c r="AQ1822" s="52" t="n">
        <v>0</v>
      </c>
      <c r="AR1822" s="52" t="n">
        <v>0</v>
      </c>
      <c r="AS1822" s="52" t="n">
        <v>0</v>
      </c>
      <c r="AT1822" s="52" t="n">
        <v>0</v>
      </c>
      <c r="AU1822" s="53" t="n">
        <v>0</v>
      </c>
      <c r="AV1822" s="53" t="n">
        <v>0</v>
      </c>
      <c r="AW1822" s="53" t="n">
        <v>0</v>
      </c>
      <c r="AX1822" s="53" t="n">
        <v>0</v>
      </c>
      <c r="AY1822" s="52" t="n">
        <v>0</v>
      </c>
      <c r="AZ1822" s="52" t="n">
        <v>0</v>
      </c>
      <c r="BA1822" s="52" t="n">
        <v>0</v>
      </c>
      <c r="BB1822" s="52" t="n">
        <v>0</v>
      </c>
      <c r="BC1822" s="51" t="n">
        <v>0</v>
      </c>
      <c r="BD1822" s="51" t="n">
        <v>0</v>
      </c>
      <c r="BE1822" s="51" t="n">
        <v>0</v>
      </c>
      <c r="BF1822" s="51" t="n">
        <v>0</v>
      </c>
    </row>
    <row r="1823">
      <c r="A1823">
        <f>HYPERLINK("https://www.walmart.com/ip/13844700682", "13844700682")</f>
        <v/>
      </c>
      <c r="B1823" t="inlineStr">
        <is>
          <t>Every Day is Christmas Glass Blown Ornaments Cute Hand Made Figurines Tree Decoration, Bananas Set of 2</t>
        </is>
      </c>
      <c r="C1823" t="inlineStr">
        <is>
          <t>EDC-FIGURINE-WP260</t>
        </is>
      </c>
      <c r="D1823" t="inlineStr">
        <is>
          <t>Ornaments</t>
        </is>
      </c>
      <c r="E1823" t="inlineStr">
        <is>
          <t>Every Day is Christmas</t>
        </is>
      </c>
      <c r="G1823" s="48" t="n">
        <v>0</v>
      </c>
      <c r="H1823" s="48" t="n">
        <v>0</v>
      </c>
      <c r="I1823" s="48" t="n">
        <v>0</v>
      </c>
      <c r="J1823" s="48" t="n">
        <v>0</v>
      </c>
      <c r="K1823" s="49" t="n">
        <v>0</v>
      </c>
      <c r="L1823" s="49" t="n">
        <v>0</v>
      </c>
      <c r="M1823" s="49" t="n">
        <v>0</v>
      </c>
      <c r="N1823" s="49" t="n">
        <v>0</v>
      </c>
      <c r="O1823" s="49" t="n">
        <v>0</v>
      </c>
      <c r="P1823" s="49" t="n">
        <v>0</v>
      </c>
      <c r="Q1823" s="49" t="n">
        <v>0</v>
      </c>
      <c r="R1823" s="49" t="n">
        <v>0</v>
      </c>
      <c r="S1823" s="50" t="n">
        <v>0</v>
      </c>
      <c r="T1823" s="50" t="n">
        <v>0</v>
      </c>
      <c r="U1823" s="50" t="n">
        <v>0</v>
      </c>
      <c r="V1823" s="50" t="n">
        <v>0</v>
      </c>
      <c r="W1823" s="51" t="n">
        <v>0</v>
      </c>
      <c r="X1823" s="51" t="n">
        <v>0</v>
      </c>
      <c r="Y1823" s="51" t="n">
        <v>0</v>
      </c>
      <c r="Z1823" s="51" t="n">
        <v>0</v>
      </c>
      <c r="AA1823" s="52" t="n">
        <v>0</v>
      </c>
      <c r="AB1823" s="52" t="n">
        <v>0</v>
      </c>
      <c r="AC1823" s="52" t="n">
        <v>0</v>
      </c>
      <c r="AD1823" s="52" t="n">
        <v>0</v>
      </c>
      <c r="AE1823" s="52" t="n">
        <v>0</v>
      </c>
      <c r="AF1823" s="52" t="n">
        <v>0</v>
      </c>
      <c r="AG1823" s="52" t="n">
        <v>0</v>
      </c>
      <c r="AH1823" s="52" t="n">
        <v>0</v>
      </c>
      <c r="AI1823" s="52" t="n">
        <v>0</v>
      </c>
      <c r="AJ1823" s="52" t="n">
        <v>0</v>
      </c>
      <c r="AK1823" s="52" t="n">
        <v>0</v>
      </c>
      <c r="AL1823" s="52" t="n">
        <v>0</v>
      </c>
      <c r="AM1823" s="53" t="n">
        <v>0</v>
      </c>
      <c r="AN1823" s="53" t="n">
        <v>0</v>
      </c>
      <c r="AO1823" s="53" t="n">
        <v>0</v>
      </c>
      <c r="AP1823" s="53" t="n">
        <v>0</v>
      </c>
      <c r="AQ1823" s="52" t="n">
        <v>0</v>
      </c>
      <c r="AR1823" s="52" t="n">
        <v>0</v>
      </c>
      <c r="AS1823" s="52" t="n">
        <v>0</v>
      </c>
      <c r="AT1823" s="52" t="n">
        <v>0</v>
      </c>
      <c r="AU1823" s="53" t="n">
        <v>0</v>
      </c>
      <c r="AV1823" s="53" t="n">
        <v>0</v>
      </c>
      <c r="AW1823" s="53" t="n">
        <v>0</v>
      </c>
      <c r="AX1823" s="53" t="n">
        <v>0</v>
      </c>
      <c r="AY1823" s="52" t="n">
        <v>0</v>
      </c>
      <c r="AZ1823" s="52" t="n">
        <v>0</v>
      </c>
      <c r="BA1823" s="52" t="n">
        <v>0</v>
      </c>
      <c r="BB1823" s="52" t="n">
        <v>0</v>
      </c>
      <c r="BC1823" s="51" t="n">
        <v>0</v>
      </c>
      <c r="BD1823" s="51" t="n">
        <v>0</v>
      </c>
      <c r="BE1823" s="51" t="n">
        <v>0</v>
      </c>
      <c r="BF1823" s="51" t="n">
        <v>0</v>
      </c>
    </row>
    <row r="1824">
      <c r="A1824">
        <f>HYPERLINK("https://www.walmart.com/ip/13844750309", "13844750309")</f>
        <v/>
      </c>
      <c r="B1824" t="inlineStr">
        <is>
          <t>Every Day is Christmas Glass Blown Ornaments Cute Hand Made Figurines Tree Decoration, Bacon and Eggs Set of 2</t>
        </is>
      </c>
      <c r="C1824" t="inlineStr">
        <is>
          <t>EDC-FIGURINE-WP265</t>
        </is>
      </c>
      <c r="D1824" t="inlineStr">
        <is>
          <t>Ornaments</t>
        </is>
      </c>
      <c r="E1824" t="inlineStr">
        <is>
          <t>Every Day is Christmas</t>
        </is>
      </c>
      <c r="G1824" s="48" t="n">
        <v>0</v>
      </c>
      <c r="H1824" s="48" t="n">
        <v>0</v>
      </c>
      <c r="I1824" s="48" t="n">
        <v>0</v>
      </c>
      <c r="J1824" s="48" t="n">
        <v>0</v>
      </c>
      <c r="K1824" s="49" t="n">
        <v>0</v>
      </c>
      <c r="L1824" s="49" t="n">
        <v>0</v>
      </c>
      <c r="M1824" s="49" t="n">
        <v>0</v>
      </c>
      <c r="N1824" s="49" t="n">
        <v>0</v>
      </c>
      <c r="O1824" s="49" t="n">
        <v>0</v>
      </c>
      <c r="P1824" s="49" t="n">
        <v>0</v>
      </c>
      <c r="Q1824" s="49" t="n">
        <v>0</v>
      </c>
      <c r="R1824" s="49" t="n">
        <v>0</v>
      </c>
      <c r="S1824" s="50" t="n">
        <v>0</v>
      </c>
      <c r="T1824" s="50" t="n">
        <v>0</v>
      </c>
      <c r="U1824" s="50" t="n">
        <v>0</v>
      </c>
      <c r="V1824" s="50" t="n">
        <v>0</v>
      </c>
      <c r="W1824" s="51" t="n">
        <v>0</v>
      </c>
      <c r="X1824" s="51" t="n">
        <v>0</v>
      </c>
      <c r="Y1824" s="51" t="n">
        <v>0</v>
      </c>
      <c r="Z1824" s="51" t="n">
        <v>0</v>
      </c>
      <c r="AA1824" s="52" t="n">
        <v>0</v>
      </c>
      <c r="AB1824" s="52" t="n">
        <v>0</v>
      </c>
      <c r="AC1824" s="52" t="n">
        <v>0</v>
      </c>
      <c r="AD1824" s="52" t="n">
        <v>0</v>
      </c>
      <c r="AE1824" s="52" t="n">
        <v>0</v>
      </c>
      <c r="AF1824" s="52" t="n">
        <v>0</v>
      </c>
      <c r="AG1824" s="52" t="n">
        <v>0</v>
      </c>
      <c r="AH1824" s="52" t="n">
        <v>0</v>
      </c>
      <c r="AI1824" s="52" t="n">
        <v>0</v>
      </c>
      <c r="AJ1824" s="52" t="n">
        <v>0</v>
      </c>
      <c r="AK1824" s="52" t="n">
        <v>0</v>
      </c>
      <c r="AL1824" s="52" t="n">
        <v>0</v>
      </c>
      <c r="AM1824" s="53" t="n">
        <v>0</v>
      </c>
      <c r="AN1824" s="53" t="n">
        <v>0</v>
      </c>
      <c r="AO1824" s="53" t="n">
        <v>0</v>
      </c>
      <c r="AP1824" s="53" t="n">
        <v>0</v>
      </c>
      <c r="AQ1824" s="52" t="n">
        <v>0</v>
      </c>
      <c r="AR1824" s="52" t="n">
        <v>0</v>
      </c>
      <c r="AS1824" s="52" t="n">
        <v>0</v>
      </c>
      <c r="AT1824" s="52" t="n">
        <v>0</v>
      </c>
      <c r="AU1824" s="53" t="n">
        <v>0</v>
      </c>
      <c r="AV1824" s="53" t="n">
        <v>0</v>
      </c>
      <c r="AW1824" s="53" t="n">
        <v>0</v>
      </c>
      <c r="AX1824" s="53" t="n">
        <v>0</v>
      </c>
      <c r="AY1824" s="52" t="n">
        <v>0</v>
      </c>
      <c r="AZ1824" s="52" t="n">
        <v>0</v>
      </c>
      <c r="BA1824" s="52" t="n">
        <v>0</v>
      </c>
      <c r="BB1824" s="52" t="n">
        <v>0</v>
      </c>
      <c r="BC1824" s="51" t="n">
        <v>0</v>
      </c>
      <c r="BD1824" s="51" t="n">
        <v>0</v>
      </c>
      <c r="BE1824" s="51" t="n">
        <v>0</v>
      </c>
      <c r="BF1824" s="51" t="n">
        <v>0</v>
      </c>
    </row>
    <row r="1825">
      <c r="A1825">
        <f>HYPERLINK("https://www.walmart.com/ip/138463051", "138463051")</f>
        <v/>
      </c>
      <c r="B1825" t="inlineStr">
        <is>
          <t>Men's Boxer Briefs Assorted Mens Underwear with Cotton Classic Stretch , 3-Pack by Terra</t>
        </is>
      </c>
      <c r="C1825" t="inlineStr">
        <is>
          <t>TERRABOXERSET2-L</t>
        </is>
      </c>
      <c r="D1825" t="inlineStr">
        <is>
          <t>Underpants</t>
        </is>
      </c>
      <c r="E1825" t="inlineStr">
        <is>
          <t>Terra</t>
        </is>
      </c>
      <c r="F1825" t="inlineStr">
        <is>
          <t>WFS,WFS Item</t>
        </is>
      </c>
      <c r="G1825" s="48" t="n">
        <v>0</v>
      </c>
      <c r="H1825" s="48" t="n">
        <v>0</v>
      </c>
      <c r="I1825" s="48" t="n">
        <v>0</v>
      </c>
      <c r="J1825" s="48" t="n">
        <v>0</v>
      </c>
      <c r="K1825" s="49" t="n">
        <v>0</v>
      </c>
      <c r="L1825" s="49" t="n">
        <v>0</v>
      </c>
      <c r="M1825" s="49" t="n">
        <v>0</v>
      </c>
      <c r="N1825" s="49" t="n">
        <v>0</v>
      </c>
      <c r="O1825" s="49" t="n">
        <v>0</v>
      </c>
      <c r="P1825" s="49" t="n">
        <v>0</v>
      </c>
      <c r="Q1825" s="49" t="n">
        <v>0</v>
      </c>
      <c r="R1825" s="49" t="n">
        <v>0</v>
      </c>
      <c r="S1825" s="50" t="n">
        <v>0</v>
      </c>
      <c r="T1825" s="50" t="n">
        <v>0</v>
      </c>
      <c r="U1825" s="50" t="n">
        <v>0</v>
      </c>
      <c r="V1825" s="50" t="n">
        <v>0</v>
      </c>
      <c r="W1825" s="51" t="n">
        <v>0</v>
      </c>
      <c r="X1825" s="51" t="n">
        <v>0</v>
      </c>
      <c r="Y1825" s="51" t="n">
        <v>0</v>
      </c>
      <c r="Z1825" s="51" t="n">
        <v>0</v>
      </c>
      <c r="AA1825" s="52" t="n">
        <v>0</v>
      </c>
      <c r="AB1825" s="52" t="n">
        <v>0</v>
      </c>
      <c r="AC1825" s="52" t="n">
        <v>0</v>
      </c>
      <c r="AD1825" s="52" t="n">
        <v>0</v>
      </c>
      <c r="AE1825" s="52" t="n">
        <v>0</v>
      </c>
      <c r="AF1825" s="52" t="n">
        <v>0</v>
      </c>
      <c r="AG1825" s="52" t="n">
        <v>0</v>
      </c>
      <c r="AH1825" s="52" t="n">
        <v>0</v>
      </c>
      <c r="AI1825" s="52" t="n">
        <v>0</v>
      </c>
      <c r="AJ1825" s="52" t="n">
        <v>0</v>
      </c>
      <c r="AK1825" s="52" t="n">
        <v>0</v>
      </c>
      <c r="AL1825" s="52" t="n">
        <v>0</v>
      </c>
      <c r="AM1825" s="53" t="n">
        <v>0</v>
      </c>
      <c r="AN1825" s="53" t="n">
        <v>0</v>
      </c>
      <c r="AO1825" s="53" t="n">
        <v>0</v>
      </c>
      <c r="AP1825" s="53" t="n">
        <v>0</v>
      </c>
      <c r="AQ1825" s="52" t="n">
        <v>0</v>
      </c>
      <c r="AR1825" s="52" t="n">
        <v>0</v>
      </c>
      <c r="AS1825" s="52" t="n">
        <v>0</v>
      </c>
      <c r="AT1825" s="52" t="n">
        <v>0</v>
      </c>
      <c r="AU1825" s="53" t="n">
        <v>0</v>
      </c>
      <c r="AV1825" s="53" t="n">
        <v>0</v>
      </c>
      <c r="AW1825" s="53" t="n">
        <v>0</v>
      </c>
      <c r="AX1825" s="53" t="n">
        <v>0</v>
      </c>
      <c r="AY1825" s="52" t="n">
        <v>0</v>
      </c>
      <c r="AZ1825" s="52" t="n">
        <v>0</v>
      </c>
      <c r="BA1825" s="52" t="n">
        <v>0</v>
      </c>
      <c r="BB1825" s="52" t="n">
        <v>0</v>
      </c>
      <c r="BC1825" s="51" t="n">
        <v>0</v>
      </c>
      <c r="BD1825" s="51" t="n">
        <v>0</v>
      </c>
      <c r="BE1825" s="51" t="n">
        <v>0</v>
      </c>
      <c r="BF1825" s="51" t="n">
        <v>0</v>
      </c>
    </row>
    <row r="1826">
      <c r="A1826">
        <f>HYPERLINK("https://www.walmart.com/ip/13851317807", "13851317807")</f>
        <v/>
      </c>
      <c r="B1826" t="inlineStr">
        <is>
          <t>Every Day is Christmas Glass Blown Ornaments Cute Hand Made Figurines Tree Decoration, Ice Cream Set of 3</t>
        </is>
      </c>
      <c r="C1826" t="inlineStr">
        <is>
          <t>EDC-FIGURINE-BC336</t>
        </is>
      </c>
      <c r="D1826" t="inlineStr">
        <is>
          <t>Ornaments</t>
        </is>
      </c>
      <c r="E1826" t="inlineStr">
        <is>
          <t>Every Day is Christmas</t>
        </is>
      </c>
      <c r="G1826" s="48" t="n">
        <v>0</v>
      </c>
      <c r="H1826" s="48" t="n">
        <v>0</v>
      </c>
      <c r="I1826" s="48" t="n">
        <v>0</v>
      </c>
      <c r="J1826" s="48" t="n">
        <v>0</v>
      </c>
      <c r="K1826" s="49" t="n">
        <v>0</v>
      </c>
      <c r="L1826" s="49" t="n">
        <v>0</v>
      </c>
      <c r="M1826" s="49" t="n">
        <v>0</v>
      </c>
      <c r="N1826" s="49" t="n">
        <v>0</v>
      </c>
      <c r="O1826" s="49" t="n">
        <v>0</v>
      </c>
      <c r="P1826" s="49" t="n">
        <v>0</v>
      </c>
      <c r="Q1826" s="49" t="n">
        <v>0</v>
      </c>
      <c r="R1826" s="49" t="n">
        <v>0</v>
      </c>
      <c r="S1826" s="50" t="n">
        <v>0</v>
      </c>
      <c r="T1826" s="50" t="n">
        <v>0</v>
      </c>
      <c r="U1826" s="50" t="n">
        <v>0</v>
      </c>
      <c r="V1826" s="50" t="n">
        <v>0</v>
      </c>
      <c r="W1826" s="51" t="n">
        <v>0</v>
      </c>
      <c r="X1826" s="51" t="n">
        <v>0</v>
      </c>
      <c r="Y1826" s="51" t="n">
        <v>0</v>
      </c>
      <c r="Z1826" s="51" t="n">
        <v>0</v>
      </c>
      <c r="AA1826" s="52" t="n">
        <v>0</v>
      </c>
      <c r="AB1826" s="52" t="n">
        <v>0</v>
      </c>
      <c r="AC1826" s="52" t="n">
        <v>0</v>
      </c>
      <c r="AD1826" s="52" t="n">
        <v>0</v>
      </c>
      <c r="AE1826" s="52" t="n">
        <v>0</v>
      </c>
      <c r="AF1826" s="52" t="n">
        <v>0</v>
      </c>
      <c r="AG1826" s="52" t="n">
        <v>0</v>
      </c>
      <c r="AH1826" s="52" t="n">
        <v>0</v>
      </c>
      <c r="AI1826" s="52" t="n">
        <v>0</v>
      </c>
      <c r="AJ1826" s="52" t="n">
        <v>0</v>
      </c>
      <c r="AK1826" s="52" t="n">
        <v>0</v>
      </c>
      <c r="AL1826" s="52" t="n">
        <v>0</v>
      </c>
      <c r="AM1826" s="53" t="n">
        <v>0</v>
      </c>
      <c r="AN1826" s="53" t="n">
        <v>0</v>
      </c>
      <c r="AO1826" s="53" t="n">
        <v>0</v>
      </c>
      <c r="AP1826" s="53" t="n">
        <v>0</v>
      </c>
      <c r="AQ1826" s="52" t="n">
        <v>0</v>
      </c>
      <c r="AR1826" s="52" t="n">
        <v>0</v>
      </c>
      <c r="AS1826" s="52" t="n">
        <v>0</v>
      </c>
      <c r="AT1826" s="52" t="n">
        <v>0</v>
      </c>
      <c r="AU1826" s="53" t="n">
        <v>0</v>
      </c>
      <c r="AV1826" s="53" t="n">
        <v>0</v>
      </c>
      <c r="AW1826" s="53" t="n">
        <v>0</v>
      </c>
      <c r="AX1826" s="53" t="n">
        <v>0</v>
      </c>
      <c r="AY1826" s="52" t="n">
        <v>0</v>
      </c>
      <c r="AZ1826" s="52" t="n">
        <v>0</v>
      </c>
      <c r="BA1826" s="52" t="n">
        <v>0</v>
      </c>
      <c r="BB1826" s="52" t="n">
        <v>0</v>
      </c>
      <c r="BC1826" s="51" t="n">
        <v>0</v>
      </c>
      <c r="BD1826" s="51" t="n">
        <v>0</v>
      </c>
      <c r="BE1826" s="51" t="n">
        <v>0</v>
      </c>
      <c r="BF1826" s="51" t="n">
        <v>0</v>
      </c>
    </row>
    <row r="1827">
      <c r="A1827">
        <f>HYPERLINK("https://www.walmart.com/ip/13856751471", "13856751471")</f>
        <v/>
      </c>
      <c r="B1827" t="inlineStr">
        <is>
          <t>Every Day is Christmas Glass Blown Ornaments Cute Hand Made Figurines Tree Decoration, Suitcases Set of 2</t>
        </is>
      </c>
      <c r="C1827" t="inlineStr">
        <is>
          <t>EDC-FIGURINE-WP273</t>
        </is>
      </c>
      <c r="D1827" t="inlineStr">
        <is>
          <t>Ornaments</t>
        </is>
      </c>
      <c r="E1827" t="inlineStr">
        <is>
          <t>Every Day is Christmas</t>
        </is>
      </c>
      <c r="G1827" s="48" t="n">
        <v>0</v>
      </c>
      <c r="H1827" s="48" t="n">
        <v>0</v>
      </c>
      <c r="I1827" s="48" t="n">
        <v>0</v>
      </c>
      <c r="J1827" s="48" t="n">
        <v>0</v>
      </c>
      <c r="K1827" s="49" t="n">
        <v>0</v>
      </c>
      <c r="L1827" s="49" t="n">
        <v>0</v>
      </c>
      <c r="M1827" s="49" t="n">
        <v>0</v>
      </c>
      <c r="N1827" s="49" t="n">
        <v>0</v>
      </c>
      <c r="O1827" s="49" t="n">
        <v>0</v>
      </c>
      <c r="P1827" s="49" t="n">
        <v>0</v>
      </c>
      <c r="Q1827" s="49" t="n">
        <v>0</v>
      </c>
      <c r="R1827" s="49" t="n">
        <v>0</v>
      </c>
      <c r="S1827" s="50" t="n">
        <v>0</v>
      </c>
      <c r="T1827" s="50" t="n">
        <v>0</v>
      </c>
      <c r="U1827" s="50" t="n">
        <v>0</v>
      </c>
      <c r="V1827" s="50" t="n">
        <v>0</v>
      </c>
      <c r="W1827" s="51" t="n">
        <v>0</v>
      </c>
      <c r="X1827" s="51" t="n">
        <v>0</v>
      </c>
      <c r="Y1827" s="51" t="n">
        <v>0</v>
      </c>
      <c r="Z1827" s="51" t="n">
        <v>0</v>
      </c>
      <c r="AA1827" s="52" t="n">
        <v>0</v>
      </c>
      <c r="AB1827" s="52" t="n">
        <v>0</v>
      </c>
      <c r="AC1827" s="52" t="n">
        <v>0</v>
      </c>
      <c r="AD1827" s="52" t="n">
        <v>0</v>
      </c>
      <c r="AE1827" s="52" t="n">
        <v>0</v>
      </c>
      <c r="AF1827" s="52" t="n">
        <v>0</v>
      </c>
      <c r="AG1827" s="52" t="n">
        <v>0</v>
      </c>
      <c r="AH1827" s="52" t="n">
        <v>0</v>
      </c>
      <c r="AI1827" s="52" t="n">
        <v>0</v>
      </c>
      <c r="AJ1827" s="52" t="n">
        <v>0</v>
      </c>
      <c r="AK1827" s="52" t="n">
        <v>0</v>
      </c>
      <c r="AL1827" s="52" t="n">
        <v>0</v>
      </c>
      <c r="AM1827" s="53" t="n">
        <v>0</v>
      </c>
      <c r="AN1827" s="53" t="n">
        <v>0</v>
      </c>
      <c r="AO1827" s="53" t="n">
        <v>0</v>
      </c>
      <c r="AP1827" s="53" t="n">
        <v>0</v>
      </c>
      <c r="AQ1827" s="52" t="n">
        <v>0</v>
      </c>
      <c r="AR1827" s="52" t="n">
        <v>0</v>
      </c>
      <c r="AS1827" s="52" t="n">
        <v>0</v>
      </c>
      <c r="AT1827" s="52" t="n">
        <v>0</v>
      </c>
      <c r="AU1827" s="53" t="n">
        <v>0</v>
      </c>
      <c r="AV1827" s="53" t="n">
        <v>0</v>
      </c>
      <c r="AW1827" s="53" t="n">
        <v>0</v>
      </c>
      <c r="AX1827" s="53" t="n">
        <v>0</v>
      </c>
      <c r="AY1827" s="52" t="n">
        <v>0</v>
      </c>
      <c r="AZ1827" s="52" t="n">
        <v>0</v>
      </c>
      <c r="BA1827" s="52" t="n">
        <v>0</v>
      </c>
      <c r="BB1827" s="52" t="n">
        <v>0</v>
      </c>
      <c r="BC1827" s="51" t="n">
        <v>0</v>
      </c>
      <c r="BD1827" s="51" t="n">
        <v>0</v>
      </c>
      <c r="BE1827" s="51" t="n">
        <v>0</v>
      </c>
      <c r="BF1827" s="51" t="n">
        <v>0</v>
      </c>
    </row>
    <row r="1828">
      <c r="A1828">
        <f>HYPERLINK("https://www.walmart.com/ip/1385814978", "1385814978")</f>
        <v/>
      </c>
      <c r="B1828" t="inlineStr">
        <is>
          <t>Every Day is Christmas Glass Blown Ornaments Cute Hand Made Figurines Tree Decoration, Burger Fries</t>
        </is>
      </c>
      <c r="C1828" t="inlineStr">
        <is>
          <t>EDC-FIGURINE-BURGERFRIES</t>
        </is>
      </c>
      <c r="D1828" t="inlineStr">
        <is>
          <t>Ornaments</t>
        </is>
      </c>
      <c r="E1828" t="inlineStr">
        <is>
          <t>Every Day is Christmas</t>
        </is>
      </c>
      <c r="G1828" s="48" t="n">
        <v>0</v>
      </c>
      <c r="H1828" s="48" t="n">
        <v>0</v>
      </c>
      <c r="I1828" s="48" t="n">
        <v>0</v>
      </c>
      <c r="J1828" s="48" t="n">
        <v>0</v>
      </c>
      <c r="K1828" s="49" t="n">
        <v>0</v>
      </c>
      <c r="L1828" s="49" t="n">
        <v>0</v>
      </c>
      <c r="M1828" s="49" t="n">
        <v>0</v>
      </c>
      <c r="N1828" s="49" t="n">
        <v>0</v>
      </c>
      <c r="O1828" s="49" t="n">
        <v>0</v>
      </c>
      <c r="P1828" s="49" t="n">
        <v>0</v>
      </c>
      <c r="Q1828" s="49" t="n">
        <v>0</v>
      </c>
      <c r="R1828" s="49" t="n">
        <v>0</v>
      </c>
      <c r="S1828" s="50" t="n">
        <v>0</v>
      </c>
      <c r="T1828" s="50" t="n">
        <v>0</v>
      </c>
      <c r="U1828" s="50" t="n">
        <v>0</v>
      </c>
      <c r="V1828" s="50" t="n">
        <v>0</v>
      </c>
      <c r="W1828" s="51" t="n">
        <v>0</v>
      </c>
      <c r="X1828" s="51" t="n">
        <v>0</v>
      </c>
      <c r="Y1828" s="51" t="n">
        <v>0</v>
      </c>
      <c r="Z1828" s="51" t="n">
        <v>0</v>
      </c>
      <c r="AA1828" s="52" t="n">
        <v>0</v>
      </c>
      <c r="AB1828" s="52" t="n">
        <v>0</v>
      </c>
      <c r="AC1828" s="52" t="n">
        <v>0</v>
      </c>
      <c r="AD1828" s="52" t="n">
        <v>0</v>
      </c>
      <c r="AE1828" s="52" t="n">
        <v>0</v>
      </c>
      <c r="AF1828" s="52" t="n">
        <v>0</v>
      </c>
      <c r="AG1828" s="52" t="n">
        <v>0</v>
      </c>
      <c r="AH1828" s="52" t="n">
        <v>0</v>
      </c>
      <c r="AI1828" s="52" t="n">
        <v>0</v>
      </c>
      <c r="AJ1828" s="52" t="n">
        <v>0</v>
      </c>
      <c r="AK1828" s="52" t="n">
        <v>0</v>
      </c>
      <c r="AL1828" s="52" t="n">
        <v>0</v>
      </c>
      <c r="AM1828" s="53" t="n">
        <v>0</v>
      </c>
      <c r="AN1828" s="53" t="n">
        <v>0</v>
      </c>
      <c r="AO1828" s="53" t="n">
        <v>0</v>
      </c>
      <c r="AP1828" s="53" t="n">
        <v>0</v>
      </c>
      <c r="AQ1828" s="52" t="n">
        <v>0</v>
      </c>
      <c r="AR1828" s="52" t="n">
        <v>0</v>
      </c>
      <c r="AS1828" s="52" t="n">
        <v>0</v>
      </c>
      <c r="AT1828" s="52" t="n">
        <v>0</v>
      </c>
      <c r="AU1828" s="53" t="n">
        <v>0</v>
      </c>
      <c r="AV1828" s="53" t="n">
        <v>0</v>
      </c>
      <c r="AW1828" s="53" t="n">
        <v>0</v>
      </c>
      <c r="AX1828" s="53" t="n">
        <v>0</v>
      </c>
      <c r="AY1828" s="52" t="n">
        <v>0</v>
      </c>
      <c r="AZ1828" s="52" t="n">
        <v>0</v>
      </c>
      <c r="BA1828" s="52" t="n">
        <v>0</v>
      </c>
      <c r="BB1828" s="52" t="n">
        <v>0</v>
      </c>
      <c r="BC1828" s="51" t="n">
        <v>0</v>
      </c>
      <c r="BD1828" s="51" t="n">
        <v>0</v>
      </c>
      <c r="BE1828" s="51" t="n">
        <v>0</v>
      </c>
      <c r="BF1828" s="51" t="n">
        <v>0</v>
      </c>
    </row>
    <row r="1829">
      <c r="A1829">
        <f>HYPERLINK("https://www.walmart.com/ip/13861054097", "13861054097")</f>
        <v/>
      </c>
      <c r="B1829" t="inlineStr">
        <is>
          <t>Every Day is Christmas Glass Blown Ornaments Cute Hand Made Figurines Tree Decoration, Toilets Set of 2</t>
        </is>
      </c>
      <c r="C1829" t="inlineStr">
        <is>
          <t>EDC-FIGURINE-WP271</t>
        </is>
      </c>
      <c r="D1829" t="inlineStr">
        <is>
          <t>Ornaments</t>
        </is>
      </c>
      <c r="E1829" t="inlineStr">
        <is>
          <t>Every Day is Christmas</t>
        </is>
      </c>
      <c r="G1829" s="48" t="n">
        <v>0</v>
      </c>
      <c r="H1829" s="48" t="n">
        <v>0</v>
      </c>
      <c r="I1829" s="48" t="n">
        <v>0</v>
      </c>
      <c r="J1829" s="48" t="n">
        <v>0</v>
      </c>
      <c r="K1829" s="49" t="n">
        <v>0</v>
      </c>
      <c r="L1829" s="49" t="n">
        <v>0</v>
      </c>
      <c r="M1829" s="49" t="n">
        <v>0</v>
      </c>
      <c r="N1829" s="49" t="n">
        <v>0</v>
      </c>
      <c r="O1829" s="49" t="n">
        <v>0</v>
      </c>
      <c r="P1829" s="49" t="n">
        <v>0</v>
      </c>
      <c r="Q1829" s="49" t="n">
        <v>0</v>
      </c>
      <c r="R1829" s="49" t="n">
        <v>0</v>
      </c>
      <c r="S1829" s="50" t="n">
        <v>0</v>
      </c>
      <c r="T1829" s="50" t="n">
        <v>0</v>
      </c>
      <c r="U1829" s="50" t="n">
        <v>0</v>
      </c>
      <c r="V1829" s="50" t="n">
        <v>0</v>
      </c>
      <c r="W1829" s="51" t="n">
        <v>0</v>
      </c>
      <c r="X1829" s="51" t="n">
        <v>0</v>
      </c>
      <c r="Y1829" s="51" t="n">
        <v>0</v>
      </c>
      <c r="Z1829" s="51" t="n">
        <v>0</v>
      </c>
      <c r="AA1829" s="52" t="n">
        <v>0</v>
      </c>
      <c r="AB1829" s="52" t="n">
        <v>0</v>
      </c>
      <c r="AC1829" s="52" t="n">
        <v>0</v>
      </c>
      <c r="AD1829" s="52" t="n">
        <v>0</v>
      </c>
      <c r="AE1829" s="52" t="n">
        <v>0</v>
      </c>
      <c r="AF1829" s="52" t="n">
        <v>0</v>
      </c>
      <c r="AG1829" s="52" t="n">
        <v>0</v>
      </c>
      <c r="AH1829" s="52" t="n">
        <v>0</v>
      </c>
      <c r="AI1829" s="52" t="n">
        <v>0</v>
      </c>
      <c r="AJ1829" s="52" t="n">
        <v>0</v>
      </c>
      <c r="AK1829" s="52" t="n">
        <v>0</v>
      </c>
      <c r="AL1829" s="52" t="n">
        <v>0</v>
      </c>
      <c r="AM1829" s="53" t="n">
        <v>0</v>
      </c>
      <c r="AN1829" s="53" t="n">
        <v>0</v>
      </c>
      <c r="AO1829" s="53" t="n">
        <v>0</v>
      </c>
      <c r="AP1829" s="53" t="n">
        <v>0</v>
      </c>
      <c r="AQ1829" s="52" t="n">
        <v>0</v>
      </c>
      <c r="AR1829" s="52" t="n">
        <v>0</v>
      </c>
      <c r="AS1829" s="52" t="n">
        <v>0</v>
      </c>
      <c r="AT1829" s="52" t="n">
        <v>0</v>
      </c>
      <c r="AU1829" s="53" t="n">
        <v>0</v>
      </c>
      <c r="AV1829" s="53" t="n">
        <v>0</v>
      </c>
      <c r="AW1829" s="53" t="n">
        <v>0</v>
      </c>
      <c r="AX1829" s="53" t="n">
        <v>0</v>
      </c>
      <c r="AY1829" s="52" t="n">
        <v>0</v>
      </c>
      <c r="AZ1829" s="52" t="n">
        <v>0</v>
      </c>
      <c r="BA1829" s="52" t="n">
        <v>0</v>
      </c>
      <c r="BB1829" s="52" t="n">
        <v>0</v>
      </c>
      <c r="BC1829" s="51" t="n">
        <v>0</v>
      </c>
      <c r="BD1829" s="51" t="n">
        <v>0</v>
      </c>
      <c r="BE1829" s="51" t="n">
        <v>0</v>
      </c>
      <c r="BF1829" s="51" t="n">
        <v>0</v>
      </c>
    </row>
    <row r="1830">
      <c r="A1830">
        <f>HYPERLINK("https://www.walmart.com/ip/13862613852", "13862613852")</f>
        <v/>
      </c>
      <c r="B1830" t="inlineStr">
        <is>
          <t>Every Day is Christmas Glass Blown Ornaments Cute Hand Made Figurines Tree Decoration, Set of 2 Whale</t>
        </is>
      </c>
      <c r="C1830" t="inlineStr">
        <is>
          <t>EDC-FIGURINE-WHALE-2PACK</t>
        </is>
      </c>
      <c r="D1830" t="inlineStr">
        <is>
          <t>Ornaments</t>
        </is>
      </c>
      <c r="E1830" t="inlineStr">
        <is>
          <t>Every Day is Christmas</t>
        </is>
      </c>
      <c r="G1830" s="48" t="n">
        <v>0</v>
      </c>
      <c r="H1830" s="48" t="n">
        <v>0</v>
      </c>
      <c r="I1830" s="48" t="n">
        <v>0</v>
      </c>
      <c r="J1830" s="48" t="n">
        <v>0</v>
      </c>
      <c r="K1830" s="49" t="n">
        <v>0</v>
      </c>
      <c r="L1830" s="49" t="n">
        <v>0</v>
      </c>
      <c r="M1830" s="49" t="n">
        <v>0</v>
      </c>
      <c r="N1830" s="49" t="n">
        <v>0</v>
      </c>
      <c r="O1830" s="49" t="n">
        <v>0</v>
      </c>
      <c r="P1830" s="49" t="n">
        <v>0</v>
      </c>
      <c r="Q1830" s="49" t="n">
        <v>0</v>
      </c>
      <c r="R1830" s="49" t="n">
        <v>0</v>
      </c>
      <c r="S1830" s="50" t="n">
        <v>0</v>
      </c>
      <c r="T1830" s="50" t="n">
        <v>0</v>
      </c>
      <c r="U1830" s="50" t="n">
        <v>0</v>
      </c>
      <c r="V1830" s="50" t="n">
        <v>0</v>
      </c>
      <c r="W1830" s="51" t="n">
        <v>0</v>
      </c>
      <c r="X1830" s="51" t="n">
        <v>0</v>
      </c>
      <c r="Y1830" s="51" t="n">
        <v>0</v>
      </c>
      <c r="Z1830" s="51" t="n">
        <v>0</v>
      </c>
      <c r="AA1830" s="52" t="n">
        <v>0</v>
      </c>
      <c r="AB1830" s="52" t="n">
        <v>0</v>
      </c>
      <c r="AC1830" s="52" t="n">
        <v>0</v>
      </c>
      <c r="AD1830" s="52" t="n">
        <v>0</v>
      </c>
      <c r="AE1830" s="52" t="n">
        <v>0</v>
      </c>
      <c r="AF1830" s="52" t="n">
        <v>0</v>
      </c>
      <c r="AG1830" s="52" t="n">
        <v>0</v>
      </c>
      <c r="AH1830" s="52" t="n">
        <v>0</v>
      </c>
      <c r="AI1830" s="52" t="n">
        <v>0</v>
      </c>
      <c r="AJ1830" s="52" t="n">
        <v>0</v>
      </c>
      <c r="AK1830" s="52" t="n">
        <v>0</v>
      </c>
      <c r="AL1830" s="52" t="n">
        <v>0</v>
      </c>
      <c r="AM1830" s="53" t="n">
        <v>0</v>
      </c>
      <c r="AN1830" s="53" t="n">
        <v>0</v>
      </c>
      <c r="AO1830" s="53" t="n">
        <v>0</v>
      </c>
      <c r="AP1830" s="53" t="n">
        <v>0</v>
      </c>
      <c r="AQ1830" s="52" t="n">
        <v>0</v>
      </c>
      <c r="AR1830" s="52" t="n">
        <v>0</v>
      </c>
      <c r="AS1830" s="52" t="n">
        <v>0</v>
      </c>
      <c r="AT1830" s="52" t="n">
        <v>0</v>
      </c>
      <c r="AU1830" s="53" t="n">
        <v>0</v>
      </c>
      <c r="AV1830" s="53" t="n">
        <v>0</v>
      </c>
      <c r="AW1830" s="53" t="n">
        <v>0</v>
      </c>
      <c r="AX1830" s="53" t="n">
        <v>0</v>
      </c>
      <c r="AY1830" s="52" t="n">
        <v>0</v>
      </c>
      <c r="AZ1830" s="52" t="n">
        <v>0</v>
      </c>
      <c r="BA1830" s="52" t="n">
        <v>0</v>
      </c>
      <c r="BB1830" s="52" t="n">
        <v>0</v>
      </c>
      <c r="BC1830" s="51" t="n">
        <v>0</v>
      </c>
      <c r="BD1830" s="51" t="n">
        <v>0</v>
      </c>
      <c r="BE1830" s="51" t="n">
        <v>0</v>
      </c>
      <c r="BF1830" s="51" t="n">
        <v>0</v>
      </c>
    </row>
    <row r="1831">
      <c r="A1831">
        <f>HYPERLINK("https://www.walmart.com/ip/13862613855", "13862613855")</f>
        <v/>
      </c>
      <c r="B1831" t="inlineStr">
        <is>
          <t>Every Day is Christmas Glass Blown Ornaments Cute Hand Made Figurines Tree Decoration (Cross Set)</t>
        </is>
      </c>
      <c r="C1831" t="inlineStr">
        <is>
          <t>EDC-FIGURINE-WP267</t>
        </is>
      </c>
      <c r="D1831" t="inlineStr">
        <is>
          <t>Ornaments</t>
        </is>
      </c>
      <c r="E1831" t="inlineStr">
        <is>
          <t>Every Day is Christmas</t>
        </is>
      </c>
      <c r="G1831" s="48" t="n">
        <v>0</v>
      </c>
      <c r="H1831" s="48" t="n">
        <v>0</v>
      </c>
      <c r="I1831" s="48" t="n">
        <v>0</v>
      </c>
      <c r="J1831" s="48" t="n">
        <v>0</v>
      </c>
      <c r="K1831" s="49" t="n">
        <v>0</v>
      </c>
      <c r="L1831" s="49" t="n">
        <v>0</v>
      </c>
      <c r="M1831" s="49" t="n">
        <v>0</v>
      </c>
      <c r="N1831" s="49" t="n">
        <v>0</v>
      </c>
      <c r="O1831" s="49" t="n">
        <v>0</v>
      </c>
      <c r="P1831" s="49" t="n">
        <v>0</v>
      </c>
      <c r="Q1831" s="49" t="n">
        <v>0</v>
      </c>
      <c r="R1831" s="49" t="n">
        <v>0</v>
      </c>
      <c r="S1831" s="50" t="n">
        <v>0</v>
      </c>
      <c r="T1831" s="50" t="n">
        <v>0</v>
      </c>
      <c r="U1831" s="50" t="n">
        <v>0</v>
      </c>
      <c r="V1831" s="50" t="n">
        <v>0</v>
      </c>
      <c r="W1831" s="51" t="n">
        <v>0</v>
      </c>
      <c r="X1831" s="51" t="n">
        <v>0</v>
      </c>
      <c r="Y1831" s="51" t="n">
        <v>0</v>
      </c>
      <c r="Z1831" s="51" t="n">
        <v>0</v>
      </c>
      <c r="AA1831" s="52" t="n">
        <v>0</v>
      </c>
      <c r="AB1831" s="52" t="n">
        <v>0</v>
      </c>
      <c r="AC1831" s="52" t="n">
        <v>0</v>
      </c>
      <c r="AD1831" s="52" t="n">
        <v>0</v>
      </c>
      <c r="AE1831" s="52" t="n">
        <v>0</v>
      </c>
      <c r="AF1831" s="52" t="n">
        <v>0</v>
      </c>
      <c r="AG1831" s="52" t="n">
        <v>0</v>
      </c>
      <c r="AH1831" s="52" t="n">
        <v>0</v>
      </c>
      <c r="AI1831" s="52" t="n">
        <v>0</v>
      </c>
      <c r="AJ1831" s="52" t="n">
        <v>0</v>
      </c>
      <c r="AK1831" s="52" t="n">
        <v>0</v>
      </c>
      <c r="AL1831" s="52" t="n">
        <v>0</v>
      </c>
      <c r="AM1831" s="53" t="n">
        <v>0</v>
      </c>
      <c r="AN1831" s="53" t="n">
        <v>0</v>
      </c>
      <c r="AO1831" s="53" t="n">
        <v>0</v>
      </c>
      <c r="AP1831" s="53" t="n">
        <v>0</v>
      </c>
      <c r="AQ1831" s="52" t="n">
        <v>0</v>
      </c>
      <c r="AR1831" s="52" t="n">
        <v>0</v>
      </c>
      <c r="AS1831" s="52" t="n">
        <v>0</v>
      </c>
      <c r="AT1831" s="52" t="n">
        <v>0</v>
      </c>
      <c r="AU1831" s="53" t="n">
        <v>0</v>
      </c>
      <c r="AV1831" s="53" t="n">
        <v>0</v>
      </c>
      <c r="AW1831" s="53" t="n">
        <v>0</v>
      </c>
      <c r="AX1831" s="53" t="n">
        <v>0</v>
      </c>
      <c r="AY1831" s="52" t="n">
        <v>0</v>
      </c>
      <c r="AZ1831" s="52" t="n">
        <v>0</v>
      </c>
      <c r="BA1831" s="52" t="n">
        <v>0</v>
      </c>
      <c r="BB1831" s="52" t="n">
        <v>0</v>
      </c>
      <c r="BC1831" s="51" t="n">
        <v>0</v>
      </c>
      <c r="BD1831" s="51" t="n">
        <v>0</v>
      </c>
      <c r="BE1831" s="51" t="n">
        <v>0</v>
      </c>
      <c r="BF1831" s="51" t="n">
        <v>0</v>
      </c>
    </row>
    <row r="1832">
      <c r="A1832">
        <f>HYPERLINK("https://www.walmart.com/ip/13865823113", "13865823113")</f>
        <v/>
      </c>
      <c r="B1832" t="inlineStr">
        <is>
          <t>Every Day is Christmas Glass Blown Ornaments Cute Hand Made Figurines Tree Decoration, Peanut Butter, Jam Set of 2</t>
        </is>
      </c>
      <c r="C1832" t="inlineStr">
        <is>
          <t>EDC-FIGURINE-WP299</t>
        </is>
      </c>
      <c r="D1832" t="inlineStr">
        <is>
          <t>Ornaments</t>
        </is>
      </c>
      <c r="E1832" t="inlineStr">
        <is>
          <t>Every Day is Christmas</t>
        </is>
      </c>
      <c r="G1832" s="48" t="n">
        <v>0</v>
      </c>
      <c r="H1832" s="48" t="n">
        <v>0</v>
      </c>
      <c r="I1832" s="48" t="n">
        <v>0</v>
      </c>
      <c r="J1832" s="48" t="n">
        <v>0</v>
      </c>
      <c r="K1832" s="49" t="n">
        <v>0</v>
      </c>
      <c r="L1832" s="49" t="n">
        <v>0</v>
      </c>
      <c r="M1832" s="49" t="n">
        <v>0</v>
      </c>
      <c r="N1832" s="49" t="n">
        <v>0</v>
      </c>
      <c r="O1832" s="49" t="n">
        <v>0</v>
      </c>
      <c r="P1832" s="49" t="n">
        <v>0</v>
      </c>
      <c r="Q1832" s="49" t="n">
        <v>0</v>
      </c>
      <c r="R1832" s="49" t="n">
        <v>0</v>
      </c>
      <c r="S1832" s="50" t="n">
        <v>0</v>
      </c>
      <c r="T1832" s="50" t="n">
        <v>0</v>
      </c>
      <c r="U1832" s="50" t="n">
        <v>0</v>
      </c>
      <c r="V1832" s="50" t="n">
        <v>0</v>
      </c>
      <c r="W1832" s="51" t="n">
        <v>0</v>
      </c>
      <c r="X1832" s="51" t="n">
        <v>0</v>
      </c>
      <c r="Y1832" s="51" t="n">
        <v>0</v>
      </c>
      <c r="Z1832" s="51" t="n">
        <v>0</v>
      </c>
      <c r="AA1832" s="52" t="n">
        <v>0</v>
      </c>
      <c r="AB1832" s="52" t="n">
        <v>0</v>
      </c>
      <c r="AC1832" s="52" t="n">
        <v>0</v>
      </c>
      <c r="AD1832" s="52" t="n">
        <v>0</v>
      </c>
      <c r="AE1832" s="52" t="n">
        <v>0</v>
      </c>
      <c r="AF1832" s="52" t="n">
        <v>0</v>
      </c>
      <c r="AG1832" s="52" t="n">
        <v>0</v>
      </c>
      <c r="AH1832" s="52" t="n">
        <v>0</v>
      </c>
      <c r="AI1832" s="52" t="n">
        <v>0</v>
      </c>
      <c r="AJ1832" s="52" t="n">
        <v>0</v>
      </c>
      <c r="AK1832" s="52" t="n">
        <v>0</v>
      </c>
      <c r="AL1832" s="52" t="n">
        <v>0</v>
      </c>
      <c r="AM1832" s="53" t="n">
        <v>0</v>
      </c>
      <c r="AN1832" s="53" t="n">
        <v>0</v>
      </c>
      <c r="AO1832" s="53" t="n">
        <v>0</v>
      </c>
      <c r="AP1832" s="53" t="n">
        <v>0</v>
      </c>
      <c r="AQ1832" s="52" t="n">
        <v>0</v>
      </c>
      <c r="AR1832" s="52" t="n">
        <v>0</v>
      </c>
      <c r="AS1832" s="52" t="n">
        <v>0</v>
      </c>
      <c r="AT1832" s="52" t="n">
        <v>0</v>
      </c>
      <c r="AU1832" s="53" t="n">
        <v>0</v>
      </c>
      <c r="AV1832" s="53" t="n">
        <v>0</v>
      </c>
      <c r="AW1832" s="53" t="n">
        <v>0</v>
      </c>
      <c r="AX1832" s="53" t="n">
        <v>0</v>
      </c>
      <c r="AY1832" s="52" t="n">
        <v>0</v>
      </c>
      <c r="AZ1832" s="52" t="n">
        <v>0</v>
      </c>
      <c r="BA1832" s="52" t="n">
        <v>0</v>
      </c>
      <c r="BB1832" s="52" t="n">
        <v>0</v>
      </c>
      <c r="BC1832" s="51" t="n">
        <v>0</v>
      </c>
      <c r="BD1832" s="51" t="n">
        <v>0</v>
      </c>
      <c r="BE1832" s="51" t="n">
        <v>0</v>
      </c>
      <c r="BF1832" s="51" t="n">
        <v>0</v>
      </c>
    </row>
    <row r="1833">
      <c r="A1833">
        <f>HYPERLINK("https://www.walmart.com/ip/13865873039", "13865873039")</f>
        <v/>
      </c>
      <c r="B1833" t="inlineStr">
        <is>
          <t>Every Day is Christmas Glass Blown Ornaments Cute Hand Made Figurines Tree Decoration, Game Controllers Set of 2</t>
        </is>
      </c>
      <c r="C1833" t="inlineStr">
        <is>
          <t>EDC-FIGURINE-WP278</t>
        </is>
      </c>
      <c r="D1833" t="inlineStr">
        <is>
          <t>Ornaments</t>
        </is>
      </c>
      <c r="E1833" t="inlineStr">
        <is>
          <t>Every Day is Christmas</t>
        </is>
      </c>
      <c r="G1833" s="48" t="n">
        <v>0</v>
      </c>
      <c r="H1833" s="48" t="n">
        <v>0</v>
      </c>
      <c r="I1833" s="48" t="n">
        <v>0</v>
      </c>
      <c r="J1833" s="48" t="n">
        <v>0</v>
      </c>
      <c r="K1833" s="49" t="n">
        <v>0</v>
      </c>
      <c r="L1833" s="49" t="n">
        <v>0</v>
      </c>
      <c r="M1833" s="49" t="n">
        <v>0</v>
      </c>
      <c r="N1833" s="49" t="n">
        <v>0</v>
      </c>
      <c r="O1833" s="49" t="n">
        <v>0</v>
      </c>
      <c r="P1833" s="49" t="n">
        <v>0</v>
      </c>
      <c r="Q1833" s="49" t="n">
        <v>0</v>
      </c>
      <c r="R1833" s="49" t="n">
        <v>0</v>
      </c>
      <c r="S1833" s="50" t="n">
        <v>0</v>
      </c>
      <c r="T1833" s="50" t="n">
        <v>0</v>
      </c>
      <c r="U1833" s="50" t="n">
        <v>0</v>
      </c>
      <c r="V1833" s="50" t="n">
        <v>0</v>
      </c>
      <c r="W1833" s="51" t="n">
        <v>0</v>
      </c>
      <c r="X1833" s="51" t="n">
        <v>0</v>
      </c>
      <c r="Y1833" s="51" t="n">
        <v>0</v>
      </c>
      <c r="Z1833" s="51" t="n">
        <v>0</v>
      </c>
      <c r="AA1833" s="52" t="n">
        <v>0</v>
      </c>
      <c r="AB1833" s="52" t="n">
        <v>0</v>
      </c>
      <c r="AC1833" s="52" t="n">
        <v>0</v>
      </c>
      <c r="AD1833" s="52" t="n">
        <v>0</v>
      </c>
      <c r="AE1833" s="52" t="n">
        <v>0</v>
      </c>
      <c r="AF1833" s="52" t="n">
        <v>0</v>
      </c>
      <c r="AG1833" s="52" t="n">
        <v>0</v>
      </c>
      <c r="AH1833" s="52" t="n">
        <v>0</v>
      </c>
      <c r="AI1833" s="52" t="n">
        <v>0</v>
      </c>
      <c r="AJ1833" s="52" t="n">
        <v>0</v>
      </c>
      <c r="AK1833" s="52" t="n">
        <v>0</v>
      </c>
      <c r="AL1833" s="52" t="n">
        <v>0</v>
      </c>
      <c r="AM1833" s="53" t="n">
        <v>0</v>
      </c>
      <c r="AN1833" s="53" t="n">
        <v>0</v>
      </c>
      <c r="AO1833" s="53" t="n">
        <v>0</v>
      </c>
      <c r="AP1833" s="53" t="n">
        <v>0</v>
      </c>
      <c r="AQ1833" s="52" t="n">
        <v>0</v>
      </c>
      <c r="AR1833" s="52" t="n">
        <v>0</v>
      </c>
      <c r="AS1833" s="52" t="n">
        <v>0</v>
      </c>
      <c r="AT1833" s="52" t="n">
        <v>0</v>
      </c>
      <c r="AU1833" s="53" t="n">
        <v>0</v>
      </c>
      <c r="AV1833" s="53" t="n">
        <v>0</v>
      </c>
      <c r="AW1833" s="53" t="n">
        <v>0</v>
      </c>
      <c r="AX1833" s="53" t="n">
        <v>0</v>
      </c>
      <c r="AY1833" s="52" t="n">
        <v>0</v>
      </c>
      <c r="AZ1833" s="52" t="n">
        <v>0</v>
      </c>
      <c r="BA1833" s="52" t="n">
        <v>0</v>
      </c>
      <c r="BB1833" s="52" t="n">
        <v>0</v>
      </c>
      <c r="BC1833" s="51" t="n">
        <v>0</v>
      </c>
      <c r="BD1833" s="51" t="n">
        <v>0</v>
      </c>
      <c r="BE1833" s="51" t="n">
        <v>0</v>
      </c>
      <c r="BF1833" s="51" t="n">
        <v>0</v>
      </c>
    </row>
    <row r="1834">
      <c r="A1834">
        <f>HYPERLINK("https://www.walmart.com/ip/13865923405", "13865923405")</f>
        <v/>
      </c>
      <c r="B1834" t="inlineStr">
        <is>
          <t>Every Day is Christmas Glass Blown Ornaments Cute Hand Made Figurines Tree Decoration, Eggplant, Peach Set of 2</t>
        </is>
      </c>
      <c r="C1834" t="inlineStr">
        <is>
          <t>EDC-FIGURINE-WP297</t>
        </is>
      </c>
      <c r="D1834" t="inlineStr">
        <is>
          <t>Ornaments</t>
        </is>
      </c>
      <c r="E1834" t="inlineStr">
        <is>
          <t>Every Day is Christmas</t>
        </is>
      </c>
      <c r="G1834" s="48" t="n">
        <v>0</v>
      </c>
      <c r="H1834" s="48" t="n">
        <v>0</v>
      </c>
      <c r="I1834" s="48" t="n">
        <v>0</v>
      </c>
      <c r="J1834" s="48" t="n">
        <v>0</v>
      </c>
      <c r="K1834" s="49" t="n">
        <v>0</v>
      </c>
      <c r="L1834" s="49" t="n">
        <v>0</v>
      </c>
      <c r="M1834" s="49" t="n">
        <v>0</v>
      </c>
      <c r="N1834" s="49" t="n">
        <v>0</v>
      </c>
      <c r="O1834" s="49" t="n">
        <v>0</v>
      </c>
      <c r="P1834" s="49" t="n">
        <v>0</v>
      </c>
      <c r="Q1834" s="49" t="n">
        <v>0</v>
      </c>
      <c r="R1834" s="49" t="n">
        <v>0</v>
      </c>
      <c r="S1834" s="50" t="n">
        <v>0</v>
      </c>
      <c r="T1834" s="50" t="n">
        <v>0</v>
      </c>
      <c r="U1834" s="50" t="n">
        <v>0</v>
      </c>
      <c r="V1834" s="50" t="n">
        <v>0</v>
      </c>
      <c r="W1834" s="51" t="n">
        <v>0</v>
      </c>
      <c r="X1834" s="51" t="n">
        <v>0</v>
      </c>
      <c r="Y1834" s="51" t="n">
        <v>0</v>
      </c>
      <c r="Z1834" s="51" t="n">
        <v>0</v>
      </c>
      <c r="AA1834" s="52" t="n">
        <v>0</v>
      </c>
      <c r="AB1834" s="52" t="n">
        <v>0</v>
      </c>
      <c r="AC1834" s="52" t="n">
        <v>0</v>
      </c>
      <c r="AD1834" s="52" t="n">
        <v>0</v>
      </c>
      <c r="AE1834" s="52" t="n">
        <v>0</v>
      </c>
      <c r="AF1834" s="52" t="n">
        <v>0</v>
      </c>
      <c r="AG1834" s="52" t="n">
        <v>0</v>
      </c>
      <c r="AH1834" s="52" t="n">
        <v>0</v>
      </c>
      <c r="AI1834" s="52" t="n">
        <v>0</v>
      </c>
      <c r="AJ1834" s="52" t="n">
        <v>0</v>
      </c>
      <c r="AK1834" s="52" t="n">
        <v>0</v>
      </c>
      <c r="AL1834" s="52" t="n">
        <v>0</v>
      </c>
      <c r="AM1834" s="53" t="n">
        <v>0</v>
      </c>
      <c r="AN1834" s="53" t="n">
        <v>0</v>
      </c>
      <c r="AO1834" s="53" t="n">
        <v>0</v>
      </c>
      <c r="AP1834" s="53" t="n">
        <v>0</v>
      </c>
      <c r="AQ1834" s="52" t="n">
        <v>0</v>
      </c>
      <c r="AR1834" s="52" t="n">
        <v>0</v>
      </c>
      <c r="AS1834" s="52" t="n">
        <v>0</v>
      </c>
      <c r="AT1834" s="52" t="n">
        <v>0</v>
      </c>
      <c r="AU1834" s="53" t="n">
        <v>0</v>
      </c>
      <c r="AV1834" s="53" t="n">
        <v>0</v>
      </c>
      <c r="AW1834" s="53" t="n">
        <v>0</v>
      </c>
      <c r="AX1834" s="53" t="n">
        <v>0</v>
      </c>
      <c r="AY1834" s="52" t="n">
        <v>0</v>
      </c>
      <c r="AZ1834" s="52" t="n">
        <v>0</v>
      </c>
      <c r="BA1834" s="52" t="n">
        <v>0</v>
      </c>
      <c r="BB1834" s="52" t="n">
        <v>0</v>
      </c>
      <c r="BC1834" s="51" t="n">
        <v>0</v>
      </c>
      <c r="BD1834" s="51" t="n">
        <v>0</v>
      </c>
      <c r="BE1834" s="51" t="n">
        <v>0</v>
      </c>
      <c r="BF1834" s="51" t="n">
        <v>0</v>
      </c>
    </row>
    <row r="1835">
      <c r="A1835">
        <f>HYPERLINK("https://www.walmart.com/ip/13221202706", "13221202706")</f>
        <v/>
      </c>
      <c r="B1835" t="inlineStr">
        <is>
          <t>Wrangler Slim Genuine Leather AirTag Wallet for Men - Bifold RFID Blocking Design with Hidden AirTag Holder</t>
        </is>
      </c>
      <c r="C1835" t="inlineStr">
        <is>
          <t>WR-WA49012AQCOGOS</t>
        </is>
      </c>
      <c r="D1835" t="inlineStr">
        <is>
          <t>Wallets</t>
        </is>
      </c>
      <c r="E1835" t="inlineStr">
        <is>
          <t>Wrangler</t>
        </is>
      </c>
      <c r="G1835" s="48" t="n">
        <v>0</v>
      </c>
      <c r="H1835" s="48" t="n">
        <v>0</v>
      </c>
      <c r="I1835" s="48" t="n">
        <v>0</v>
      </c>
      <c r="J1835" s="48" t="n">
        <v>0</v>
      </c>
      <c r="K1835" s="49" t="n">
        <v>0</v>
      </c>
      <c r="L1835" s="49" t="n">
        <v>0</v>
      </c>
      <c r="M1835" s="49" t="n">
        <v>0</v>
      </c>
      <c r="N1835" s="49" t="n">
        <v>0</v>
      </c>
      <c r="O1835" s="49" t="n">
        <v>0</v>
      </c>
      <c r="P1835" s="49" t="n">
        <v>0</v>
      </c>
      <c r="Q1835" s="49" t="n">
        <v>0</v>
      </c>
      <c r="R1835" s="49" t="n">
        <v>0</v>
      </c>
      <c r="S1835" s="50" t="n">
        <v>0</v>
      </c>
      <c r="T1835" s="50" t="n">
        <v>0</v>
      </c>
      <c r="U1835" s="50" t="n">
        <v>0</v>
      </c>
      <c r="V1835" s="50" t="n">
        <v>0</v>
      </c>
      <c r="W1835" s="51" t="n">
        <v>0</v>
      </c>
      <c r="X1835" s="51" t="n">
        <v>0</v>
      </c>
      <c r="Y1835" s="51" t="n">
        <v>0</v>
      </c>
      <c r="Z1835" s="51" t="n">
        <v>0</v>
      </c>
      <c r="AA1835" s="52" t="n">
        <v>0</v>
      </c>
      <c r="AB1835" s="52" t="n">
        <v>0</v>
      </c>
      <c r="AC1835" s="52" t="n">
        <v>0</v>
      </c>
      <c r="AD1835" s="52" t="n">
        <v>0</v>
      </c>
      <c r="AE1835" s="52" t="n">
        <v>0</v>
      </c>
      <c r="AF1835" s="52" t="n">
        <v>0</v>
      </c>
      <c r="AG1835" s="52" t="n">
        <v>0</v>
      </c>
      <c r="AH1835" s="52" t="n">
        <v>0</v>
      </c>
      <c r="AI1835" s="52" t="n">
        <v>0</v>
      </c>
      <c r="AJ1835" s="52" t="n">
        <v>0</v>
      </c>
      <c r="AK1835" s="52" t="n">
        <v>0</v>
      </c>
      <c r="AL1835" s="52" t="n">
        <v>0</v>
      </c>
      <c r="AM1835" s="53" t="n">
        <v>0</v>
      </c>
      <c r="AN1835" s="53" t="n">
        <v>0</v>
      </c>
      <c r="AO1835" s="53" t="n">
        <v>0</v>
      </c>
      <c r="AP1835" s="53" t="n">
        <v>0</v>
      </c>
      <c r="AQ1835" s="52" t="n">
        <v>0</v>
      </c>
      <c r="AR1835" s="52" t="n">
        <v>0</v>
      </c>
      <c r="AS1835" s="52" t="n">
        <v>0</v>
      </c>
      <c r="AT1835" s="52" t="n">
        <v>0</v>
      </c>
      <c r="AU1835" s="53" t="n">
        <v>0</v>
      </c>
      <c r="AV1835" s="53" t="n">
        <v>0</v>
      </c>
      <c r="AW1835" s="53" t="n">
        <v>0</v>
      </c>
      <c r="AX1835" s="53" t="n">
        <v>0</v>
      </c>
      <c r="AY1835" s="52" t="n">
        <v>0</v>
      </c>
      <c r="AZ1835" s="52" t="n">
        <v>0</v>
      </c>
      <c r="BA1835" s="52" t="n">
        <v>0</v>
      </c>
      <c r="BB1835" s="52" t="n">
        <v>0</v>
      </c>
      <c r="BC1835" s="51" t="n">
        <v>0</v>
      </c>
      <c r="BD1835" s="51" t="n">
        <v>0</v>
      </c>
      <c r="BE1835" s="51" t="n">
        <v>0</v>
      </c>
      <c r="BF1835" s="51" t="n">
        <v>0</v>
      </c>
    </row>
    <row r="1836">
      <c r="A1836">
        <f>HYPERLINK("https://www.walmart.com/ip/13218868784", "13218868784")</f>
        <v/>
      </c>
      <c r="B1836" t="inlineStr">
        <is>
          <t>Wrangler Slim Genuine Leather AirTag Wallet for Men - Bifold RFID Blocking Design with Hidden AirTag Holder</t>
        </is>
      </c>
      <c r="C1836" t="inlineStr">
        <is>
          <t>WR-WA13705BLKNS</t>
        </is>
      </c>
      <c r="D1836" t="inlineStr">
        <is>
          <t>Wallets</t>
        </is>
      </c>
      <c r="E1836" t="inlineStr">
        <is>
          <t>Wrangler</t>
        </is>
      </c>
      <c r="G1836" s="48" t="n">
        <v>0</v>
      </c>
      <c r="H1836" s="48" t="n">
        <v>0</v>
      </c>
      <c r="I1836" s="48" t="n">
        <v>0</v>
      </c>
      <c r="J1836" s="48" t="n">
        <v>0</v>
      </c>
      <c r="K1836" s="49" t="n">
        <v>0</v>
      </c>
      <c r="L1836" s="49" t="n">
        <v>0</v>
      </c>
      <c r="M1836" s="49" t="n">
        <v>0</v>
      </c>
      <c r="N1836" s="49" t="n">
        <v>0</v>
      </c>
      <c r="O1836" s="49" t="n">
        <v>0</v>
      </c>
      <c r="P1836" s="49" t="n">
        <v>0</v>
      </c>
      <c r="Q1836" s="49" t="n">
        <v>0</v>
      </c>
      <c r="R1836" s="49" t="n">
        <v>0</v>
      </c>
      <c r="S1836" s="50" t="n">
        <v>0</v>
      </c>
      <c r="T1836" s="50" t="n">
        <v>0</v>
      </c>
      <c r="U1836" s="50" t="n">
        <v>0</v>
      </c>
      <c r="V1836" s="50" t="n">
        <v>0</v>
      </c>
      <c r="W1836" s="51" t="n">
        <v>0</v>
      </c>
      <c r="X1836" s="51" t="n">
        <v>0</v>
      </c>
      <c r="Y1836" s="51" t="n">
        <v>0</v>
      </c>
      <c r="Z1836" s="51" t="n">
        <v>0</v>
      </c>
      <c r="AA1836" s="52" t="n">
        <v>0</v>
      </c>
      <c r="AB1836" s="52" t="n">
        <v>0</v>
      </c>
      <c r="AC1836" s="52" t="n">
        <v>0</v>
      </c>
      <c r="AD1836" s="52" t="n">
        <v>0</v>
      </c>
      <c r="AE1836" s="52" t="n">
        <v>0</v>
      </c>
      <c r="AF1836" s="52" t="n">
        <v>0</v>
      </c>
      <c r="AG1836" s="52" t="n">
        <v>0</v>
      </c>
      <c r="AH1836" s="52" t="n">
        <v>0</v>
      </c>
      <c r="AI1836" s="52" t="n">
        <v>0</v>
      </c>
      <c r="AJ1836" s="52" t="n">
        <v>0</v>
      </c>
      <c r="AK1836" s="52" t="n">
        <v>0</v>
      </c>
      <c r="AL1836" s="52" t="n">
        <v>0</v>
      </c>
      <c r="AM1836" s="53" t="n">
        <v>0</v>
      </c>
      <c r="AN1836" s="53" t="n">
        <v>0</v>
      </c>
      <c r="AO1836" s="53" t="n">
        <v>0</v>
      </c>
      <c r="AP1836" s="53" t="n">
        <v>0</v>
      </c>
      <c r="AQ1836" s="52" t="n">
        <v>0</v>
      </c>
      <c r="AR1836" s="52" t="n">
        <v>0</v>
      </c>
      <c r="AS1836" s="52" t="n">
        <v>0</v>
      </c>
      <c r="AT1836" s="52" t="n">
        <v>0</v>
      </c>
      <c r="AU1836" s="53" t="n">
        <v>0</v>
      </c>
      <c r="AV1836" s="53" t="n">
        <v>0</v>
      </c>
      <c r="AW1836" s="53" t="n">
        <v>0</v>
      </c>
      <c r="AX1836" s="53" t="n">
        <v>0</v>
      </c>
      <c r="AY1836" s="52" t="n">
        <v>0</v>
      </c>
      <c r="AZ1836" s="52" t="n">
        <v>0</v>
      </c>
      <c r="BA1836" s="52" t="n">
        <v>0</v>
      </c>
      <c r="BB1836" s="52" t="n">
        <v>0</v>
      </c>
      <c r="BC1836" s="51" t="n">
        <v>0</v>
      </c>
      <c r="BD1836" s="51" t="n">
        <v>0</v>
      </c>
      <c r="BE1836" s="51" t="n">
        <v>0</v>
      </c>
      <c r="BF1836" s="51" t="n">
        <v>0</v>
      </c>
    </row>
    <row r="1837">
      <c r="A1837">
        <f>HYPERLINK("https://www.walmart.com/ip/13218314453", "13218314453")</f>
        <v/>
      </c>
      <c r="B1837" t="inlineStr">
        <is>
          <t>Wrangler Slim Genuine Leather AirTag Wallet for Men - Bifold RFID Blocking Design with Hidden AirTag Holder</t>
        </is>
      </c>
      <c r="C1837" t="inlineStr">
        <is>
          <t>WR-WA13704BRNNS</t>
        </is>
      </c>
      <c r="D1837" t="inlineStr">
        <is>
          <t>Wallets</t>
        </is>
      </c>
      <c r="E1837" t="inlineStr">
        <is>
          <t>Wrangler</t>
        </is>
      </c>
      <c r="G1837" s="48" t="n">
        <v>0</v>
      </c>
      <c r="H1837" s="48" t="n">
        <v>0</v>
      </c>
      <c r="I1837" s="48" t="n">
        <v>0</v>
      </c>
      <c r="J1837" s="48" t="n">
        <v>0</v>
      </c>
      <c r="K1837" s="49" t="n">
        <v>0</v>
      </c>
      <c r="L1837" s="49" t="n">
        <v>0</v>
      </c>
      <c r="M1837" s="49" t="n">
        <v>0</v>
      </c>
      <c r="N1837" s="49" t="n">
        <v>0</v>
      </c>
      <c r="O1837" s="49" t="n">
        <v>0</v>
      </c>
      <c r="P1837" s="49" t="n">
        <v>0</v>
      </c>
      <c r="Q1837" s="49" t="n">
        <v>0</v>
      </c>
      <c r="R1837" s="49" t="n">
        <v>0</v>
      </c>
      <c r="S1837" s="50" t="n">
        <v>0</v>
      </c>
      <c r="T1837" s="50" t="n">
        <v>0</v>
      </c>
      <c r="U1837" s="50" t="n">
        <v>0</v>
      </c>
      <c r="V1837" s="50" t="n">
        <v>0</v>
      </c>
      <c r="W1837" s="51" t="n">
        <v>0</v>
      </c>
      <c r="X1837" s="51" t="n">
        <v>0</v>
      </c>
      <c r="Y1837" s="51" t="n">
        <v>0</v>
      </c>
      <c r="Z1837" s="51" t="n">
        <v>0</v>
      </c>
      <c r="AA1837" s="52" t="n">
        <v>0</v>
      </c>
      <c r="AB1837" s="52" t="n">
        <v>0</v>
      </c>
      <c r="AC1837" s="52" t="n">
        <v>0</v>
      </c>
      <c r="AD1837" s="52" t="n">
        <v>0</v>
      </c>
      <c r="AE1837" s="52" t="n">
        <v>0</v>
      </c>
      <c r="AF1837" s="52" t="n">
        <v>0</v>
      </c>
      <c r="AG1837" s="52" t="n">
        <v>0</v>
      </c>
      <c r="AH1837" s="52" t="n">
        <v>0</v>
      </c>
      <c r="AI1837" s="52" t="n">
        <v>0</v>
      </c>
      <c r="AJ1837" s="52" t="n">
        <v>0</v>
      </c>
      <c r="AK1837" s="52" t="n">
        <v>0</v>
      </c>
      <c r="AL1837" s="52" t="n">
        <v>0</v>
      </c>
      <c r="AM1837" s="53" t="n">
        <v>0</v>
      </c>
      <c r="AN1837" s="53" t="n">
        <v>0</v>
      </c>
      <c r="AO1837" s="53" t="n">
        <v>0</v>
      </c>
      <c r="AP1837" s="53" t="n">
        <v>0</v>
      </c>
      <c r="AQ1837" s="52" t="n">
        <v>0</v>
      </c>
      <c r="AR1837" s="52" t="n">
        <v>0</v>
      </c>
      <c r="AS1837" s="52" t="n">
        <v>0</v>
      </c>
      <c r="AT1837" s="52" t="n">
        <v>0</v>
      </c>
      <c r="AU1837" s="53" t="n">
        <v>0</v>
      </c>
      <c r="AV1837" s="53" t="n">
        <v>0</v>
      </c>
      <c r="AW1837" s="53" t="n">
        <v>0</v>
      </c>
      <c r="AX1837" s="53" t="n">
        <v>0</v>
      </c>
      <c r="AY1837" s="52" t="n">
        <v>0</v>
      </c>
      <c r="AZ1837" s="52" t="n">
        <v>0</v>
      </c>
      <c r="BA1837" s="52" t="n">
        <v>0</v>
      </c>
      <c r="BB1837" s="52" t="n">
        <v>0</v>
      </c>
      <c r="BC1837" s="51" t="n">
        <v>0</v>
      </c>
      <c r="BD1837" s="51" t="n">
        <v>0</v>
      </c>
      <c r="BE1837" s="51" t="n">
        <v>0</v>
      </c>
      <c r="BF1837" s="51" t="n">
        <v>0</v>
      </c>
    </row>
    <row r="1838">
      <c r="A1838">
        <f>HYPERLINK("https://www.walmart.com/ip/123858430", "123858430")</f>
        <v/>
      </c>
      <c r="B1838" t="inlineStr">
        <is>
          <t>KC Caps® Unisex Two-Tone Washed Cotton Bucket Hat Cap Headwear, Medium/Large</t>
        </is>
      </c>
      <c r="C1838" t="inlineStr">
        <is>
          <t>KC9120GN-L</t>
        </is>
      </c>
      <c r="D1838" t="inlineStr">
        <is>
          <t>Hats</t>
        </is>
      </c>
      <c r="E1838" t="inlineStr">
        <is>
          <t>KC Caps</t>
        </is>
      </c>
      <c r="F1838" t="inlineStr">
        <is>
          <t>Optimized</t>
        </is>
      </c>
      <c r="G1838" s="48" t="n">
        <v>0</v>
      </c>
      <c r="H1838" s="48" t="n">
        <v>0</v>
      </c>
      <c r="I1838" s="48" t="n">
        <v>0</v>
      </c>
      <c r="J1838" s="48" t="n">
        <v>0</v>
      </c>
      <c r="K1838" s="49" t="n">
        <v>0</v>
      </c>
      <c r="L1838" s="49" t="n">
        <v>0</v>
      </c>
      <c r="M1838" s="49" t="n">
        <v>0</v>
      </c>
      <c r="N1838" s="49" t="n">
        <v>0</v>
      </c>
      <c r="O1838" s="49" t="n">
        <v>0</v>
      </c>
      <c r="P1838" s="49" t="n">
        <v>0</v>
      </c>
      <c r="Q1838" s="49" t="n">
        <v>0</v>
      </c>
      <c r="R1838" s="49" t="n">
        <v>0</v>
      </c>
      <c r="S1838" s="50" t="n">
        <v>0</v>
      </c>
      <c r="T1838" s="50" t="n">
        <v>0</v>
      </c>
      <c r="U1838" s="50" t="n">
        <v>0</v>
      </c>
      <c r="V1838" s="50" t="n">
        <v>0</v>
      </c>
      <c r="W1838" s="51" t="n">
        <v>0</v>
      </c>
      <c r="X1838" s="51" t="n">
        <v>0</v>
      </c>
      <c r="Y1838" s="51" t="n">
        <v>0</v>
      </c>
      <c r="Z1838" s="51" t="n">
        <v>0</v>
      </c>
      <c r="AA1838" s="52" t="n">
        <v>0</v>
      </c>
      <c r="AB1838" s="52" t="n">
        <v>0</v>
      </c>
      <c r="AC1838" s="52" t="n">
        <v>0</v>
      </c>
      <c r="AD1838" s="52" t="n">
        <v>0</v>
      </c>
      <c r="AE1838" s="52" t="n">
        <v>0</v>
      </c>
      <c r="AF1838" s="52" t="n">
        <v>0</v>
      </c>
      <c r="AG1838" s="52" t="n">
        <v>0</v>
      </c>
      <c r="AH1838" s="52" t="n">
        <v>0</v>
      </c>
      <c r="AI1838" s="52" t="n">
        <v>0</v>
      </c>
      <c r="AJ1838" s="52" t="n">
        <v>0</v>
      </c>
      <c r="AK1838" s="52" t="n">
        <v>0</v>
      </c>
      <c r="AL1838" s="52" t="n">
        <v>0</v>
      </c>
      <c r="AM1838" s="53" t="n">
        <v>0</v>
      </c>
      <c r="AN1838" s="53" t="n">
        <v>0</v>
      </c>
      <c r="AO1838" s="53" t="n">
        <v>0</v>
      </c>
      <c r="AP1838" s="53" t="n">
        <v>0</v>
      </c>
      <c r="AQ1838" s="52" t="n">
        <v>0</v>
      </c>
      <c r="AR1838" s="52" t="n">
        <v>0</v>
      </c>
      <c r="AS1838" s="52" t="n">
        <v>0</v>
      </c>
      <c r="AT1838" s="52" t="n">
        <v>0</v>
      </c>
      <c r="AU1838" s="53" t="n">
        <v>0</v>
      </c>
      <c r="AV1838" s="53" t="n">
        <v>0</v>
      </c>
      <c r="AW1838" s="53" t="n">
        <v>0</v>
      </c>
      <c r="AX1838" s="53" t="n">
        <v>0</v>
      </c>
      <c r="AY1838" s="52" t="n">
        <v>0</v>
      </c>
      <c r="AZ1838" s="52" t="n">
        <v>0</v>
      </c>
      <c r="BA1838" s="52" t="n">
        <v>0</v>
      </c>
      <c r="BB1838" s="52" t="n">
        <v>0</v>
      </c>
      <c r="BC1838" s="51" t="n">
        <v>0</v>
      </c>
      <c r="BD1838" s="51" t="n">
        <v>0</v>
      </c>
      <c r="BE1838" s="51" t="n">
        <v>0</v>
      </c>
      <c r="BF1838" s="51" t="n">
        <v>0</v>
      </c>
    </row>
    <row r="1839">
      <c r="A1839">
        <f>HYPERLINK("https://www.walmart.com/ip/123911100", "123911100")</f>
        <v/>
      </c>
      <c r="B1839" t="inlineStr">
        <is>
          <t>Male Female Adjustable Buckle Closure USA Flag Embroidered Cap</t>
        </is>
      </c>
      <c r="C1839" t="inlineStr">
        <is>
          <t>kc-ae8010-wt</t>
        </is>
      </c>
      <c r="D1839" t="inlineStr">
        <is>
          <t>Hats</t>
        </is>
      </c>
      <c r="E1839" t="inlineStr">
        <is>
          <t>KC Caps</t>
        </is>
      </c>
      <c r="F1839" t="inlineStr">
        <is>
          <t>Optimized</t>
        </is>
      </c>
      <c r="G1839" s="48" t="n">
        <v>0</v>
      </c>
      <c r="H1839" s="48" t="n">
        <v>0</v>
      </c>
      <c r="I1839" s="48" t="n">
        <v>0</v>
      </c>
      <c r="J1839" s="48" t="n">
        <v>0</v>
      </c>
      <c r="K1839" s="49" t="n">
        <v>0</v>
      </c>
      <c r="L1839" s="49" t="n">
        <v>0</v>
      </c>
      <c r="M1839" s="49" t="n">
        <v>0</v>
      </c>
      <c r="N1839" s="49" t="n">
        <v>0</v>
      </c>
      <c r="O1839" s="49" t="n">
        <v>0</v>
      </c>
      <c r="P1839" s="49" t="n">
        <v>0</v>
      </c>
      <c r="Q1839" s="49" t="n">
        <v>0</v>
      </c>
      <c r="R1839" s="49" t="n">
        <v>0</v>
      </c>
      <c r="S1839" s="50" t="n">
        <v>0</v>
      </c>
      <c r="T1839" s="50" t="n">
        <v>0</v>
      </c>
      <c r="U1839" s="50" t="n">
        <v>0</v>
      </c>
      <c r="V1839" s="50" t="n">
        <v>0</v>
      </c>
      <c r="W1839" s="51" t="n">
        <v>0</v>
      </c>
      <c r="X1839" s="51" t="n">
        <v>0</v>
      </c>
      <c r="Y1839" s="51" t="n">
        <v>0</v>
      </c>
      <c r="Z1839" s="51" t="n">
        <v>0</v>
      </c>
      <c r="AA1839" s="52" t="n">
        <v>0</v>
      </c>
      <c r="AB1839" s="52" t="n">
        <v>0</v>
      </c>
      <c r="AC1839" s="52" t="n">
        <v>0</v>
      </c>
      <c r="AD1839" s="52" t="n">
        <v>0</v>
      </c>
      <c r="AE1839" s="52" t="n">
        <v>0</v>
      </c>
      <c r="AF1839" s="52" t="n">
        <v>0</v>
      </c>
      <c r="AG1839" s="52" t="n">
        <v>0</v>
      </c>
      <c r="AH1839" s="52" t="n">
        <v>0</v>
      </c>
      <c r="AI1839" s="52" t="n">
        <v>0</v>
      </c>
      <c r="AJ1839" s="52" t="n">
        <v>0</v>
      </c>
      <c r="AK1839" s="52" t="n">
        <v>0</v>
      </c>
      <c r="AL1839" s="52" t="n">
        <v>0</v>
      </c>
      <c r="AM1839" s="53" t="n">
        <v>0</v>
      </c>
      <c r="AN1839" s="53" t="n">
        <v>0</v>
      </c>
      <c r="AO1839" s="53" t="n">
        <v>0</v>
      </c>
      <c r="AP1839" s="53" t="n">
        <v>0</v>
      </c>
      <c r="AQ1839" s="52" t="n">
        <v>0</v>
      </c>
      <c r="AR1839" s="52" t="n">
        <v>0</v>
      </c>
      <c r="AS1839" s="52" t="n">
        <v>0</v>
      </c>
      <c r="AT1839" s="52" t="n">
        <v>0</v>
      </c>
      <c r="AU1839" s="53" t="n">
        <v>0</v>
      </c>
      <c r="AV1839" s="53" t="n">
        <v>0</v>
      </c>
      <c r="AW1839" s="53" t="n">
        <v>0</v>
      </c>
      <c r="AX1839" s="53" t="n">
        <v>0</v>
      </c>
      <c r="AY1839" s="52" t="n">
        <v>0</v>
      </c>
      <c r="AZ1839" s="52" t="n">
        <v>0</v>
      </c>
      <c r="BA1839" s="52" t="n">
        <v>0</v>
      </c>
      <c r="BB1839" s="52" t="n">
        <v>0</v>
      </c>
      <c r="BC1839" s="51" t="n">
        <v>0</v>
      </c>
      <c r="BD1839" s="51" t="n">
        <v>0</v>
      </c>
      <c r="BE1839" s="51" t="n">
        <v>0</v>
      </c>
      <c r="BF1839" s="51" t="n">
        <v>0</v>
      </c>
    </row>
    <row r="1840">
      <c r="A1840">
        <f>HYPERLINK("https://www.walmart.com/ip/124131438", "124131438")</f>
        <v/>
      </c>
      <c r="B1840" t="inlineStr">
        <is>
          <t>Light up Sequin Fedora LED Hat Neon Rave Costumes Glow in Dark Party</t>
        </is>
      </c>
      <c r="C1840" t="inlineStr">
        <is>
          <t>SLLEDHATGN</t>
        </is>
      </c>
      <c r="D1840" t="inlineStr">
        <is>
          <t>Party Hats</t>
        </is>
      </c>
      <c r="E1840" t="inlineStr">
        <is>
          <t>Solaris</t>
        </is>
      </c>
      <c r="F1840" t="inlineStr">
        <is>
          <t>Optimized,Halloween</t>
        </is>
      </c>
      <c r="G1840" s="48" t="n">
        <v>0</v>
      </c>
      <c r="H1840" s="48" t="n">
        <v>0</v>
      </c>
      <c r="I1840" s="48" t="n">
        <v>0</v>
      </c>
      <c r="J1840" s="48" t="n">
        <v>0</v>
      </c>
      <c r="K1840" s="49" t="n">
        <v>0</v>
      </c>
      <c r="L1840" s="49" t="n">
        <v>0</v>
      </c>
      <c r="M1840" s="49" t="n">
        <v>0</v>
      </c>
      <c r="N1840" s="49" t="n">
        <v>0</v>
      </c>
      <c r="O1840" s="49" t="n">
        <v>0</v>
      </c>
      <c r="P1840" s="49" t="n">
        <v>0</v>
      </c>
      <c r="Q1840" s="49" t="n">
        <v>0</v>
      </c>
      <c r="R1840" s="49" t="n">
        <v>0</v>
      </c>
      <c r="S1840" s="50" t="n">
        <v>0</v>
      </c>
      <c r="T1840" s="50" t="n">
        <v>0</v>
      </c>
      <c r="U1840" s="50" t="n">
        <v>0</v>
      </c>
      <c r="V1840" s="50" t="n">
        <v>0</v>
      </c>
      <c r="W1840" s="51" t="n">
        <v>0</v>
      </c>
      <c r="X1840" s="51" t="n">
        <v>0</v>
      </c>
      <c r="Y1840" s="51" t="n">
        <v>0</v>
      </c>
      <c r="Z1840" s="51" t="n">
        <v>0</v>
      </c>
      <c r="AA1840" s="52" t="n">
        <v>0</v>
      </c>
      <c r="AB1840" s="52" t="n">
        <v>0</v>
      </c>
      <c r="AC1840" s="52" t="n">
        <v>0</v>
      </c>
      <c r="AD1840" s="52" t="n">
        <v>0</v>
      </c>
      <c r="AE1840" s="52" t="n">
        <v>0</v>
      </c>
      <c r="AF1840" s="52" t="n">
        <v>0</v>
      </c>
      <c r="AG1840" s="52" t="n">
        <v>0</v>
      </c>
      <c r="AH1840" s="52" t="n">
        <v>0</v>
      </c>
      <c r="AI1840" s="52" t="n">
        <v>0</v>
      </c>
      <c r="AJ1840" s="52" t="n">
        <v>0</v>
      </c>
      <c r="AK1840" s="52" t="n">
        <v>0</v>
      </c>
      <c r="AL1840" s="52" t="n">
        <v>0</v>
      </c>
      <c r="AM1840" s="53" t="n">
        <v>0</v>
      </c>
      <c r="AN1840" s="53" t="n">
        <v>0</v>
      </c>
      <c r="AO1840" s="53" t="n">
        <v>0</v>
      </c>
      <c r="AP1840" s="53" t="n">
        <v>0</v>
      </c>
      <c r="AQ1840" s="52" t="n">
        <v>0</v>
      </c>
      <c r="AR1840" s="52" t="n">
        <v>0</v>
      </c>
      <c r="AS1840" s="52" t="n">
        <v>0</v>
      </c>
      <c r="AT1840" s="52" t="n">
        <v>0</v>
      </c>
      <c r="AU1840" s="53" t="n">
        <v>0</v>
      </c>
      <c r="AV1840" s="53" t="n">
        <v>0</v>
      </c>
      <c r="AW1840" s="53" t="n">
        <v>0</v>
      </c>
      <c r="AX1840" s="53" t="n">
        <v>0</v>
      </c>
      <c r="AY1840" s="52" t="n">
        <v>0</v>
      </c>
      <c r="AZ1840" s="52" t="n">
        <v>0</v>
      </c>
      <c r="BA1840" s="52" t="n">
        <v>0</v>
      </c>
      <c r="BB1840" s="52" t="n">
        <v>0</v>
      </c>
      <c r="BC1840" s="51" t="n">
        <v>0</v>
      </c>
      <c r="BD1840" s="51" t="n">
        <v>0</v>
      </c>
      <c r="BE1840" s="51" t="n">
        <v>0</v>
      </c>
      <c r="BF1840" s="51" t="n">
        <v>0</v>
      </c>
    </row>
    <row r="1841">
      <c r="A1841">
        <f>HYPERLINK("https://www.walmart.com/ip/124212611", "124212611")</f>
        <v/>
      </c>
      <c r="B1841" t="inlineStr">
        <is>
          <t>Deluxe Stylish Microplush Sleeved Fleece Blanket Soft Home Sofa Snuggie</t>
        </is>
      </c>
      <c r="C1841" t="inlineStr">
        <is>
          <t>k3000-emgreen</t>
        </is>
      </c>
      <c r="D1841" t="inlineStr">
        <is>
          <t>Throws</t>
        </is>
      </c>
      <c r="E1841" t="inlineStr">
        <is>
          <t>NAPA</t>
        </is>
      </c>
      <c r="F1841" t="inlineStr">
        <is>
          <t>ST Patrick Day</t>
        </is>
      </c>
      <c r="G1841" s="48" t="n">
        <v>0</v>
      </c>
      <c r="H1841" s="48" t="n">
        <v>0</v>
      </c>
      <c r="I1841" s="48" t="n">
        <v>0</v>
      </c>
      <c r="J1841" s="48" t="n">
        <v>0</v>
      </c>
      <c r="K1841" s="49" t="n">
        <v>0</v>
      </c>
      <c r="L1841" s="49" t="n">
        <v>0</v>
      </c>
      <c r="M1841" s="49" t="n">
        <v>0</v>
      </c>
      <c r="N1841" s="49" t="n">
        <v>0</v>
      </c>
      <c r="O1841" s="49" t="n">
        <v>0</v>
      </c>
      <c r="P1841" s="49" t="n">
        <v>0</v>
      </c>
      <c r="Q1841" s="49" t="n">
        <v>0</v>
      </c>
      <c r="R1841" s="49" t="n">
        <v>0</v>
      </c>
      <c r="S1841" s="50" t="n">
        <v>0</v>
      </c>
      <c r="T1841" s="50" t="n">
        <v>0</v>
      </c>
      <c r="U1841" s="50" t="n">
        <v>0</v>
      </c>
      <c r="V1841" s="50" t="n">
        <v>0</v>
      </c>
      <c r="W1841" s="51" t="n">
        <v>0</v>
      </c>
      <c r="X1841" s="51" t="n">
        <v>0</v>
      </c>
      <c r="Y1841" s="51" t="n">
        <v>0</v>
      </c>
      <c r="Z1841" s="51" t="n">
        <v>0</v>
      </c>
      <c r="AA1841" s="52" t="n">
        <v>0</v>
      </c>
      <c r="AB1841" s="52" t="n">
        <v>0</v>
      </c>
      <c r="AC1841" s="52" t="n">
        <v>0</v>
      </c>
      <c r="AD1841" s="52" t="n">
        <v>0</v>
      </c>
      <c r="AE1841" s="52" t="n">
        <v>0</v>
      </c>
      <c r="AF1841" s="52" t="n">
        <v>0</v>
      </c>
      <c r="AG1841" s="52" t="n">
        <v>0</v>
      </c>
      <c r="AH1841" s="52" t="n">
        <v>0</v>
      </c>
      <c r="AI1841" s="52" t="n">
        <v>0</v>
      </c>
      <c r="AJ1841" s="52" t="n">
        <v>0</v>
      </c>
      <c r="AK1841" s="52" t="n">
        <v>0</v>
      </c>
      <c r="AL1841" s="52" t="n">
        <v>0</v>
      </c>
      <c r="AM1841" s="53" t="n">
        <v>0</v>
      </c>
      <c r="AN1841" s="53" t="n">
        <v>0</v>
      </c>
      <c r="AO1841" s="53" t="n">
        <v>0</v>
      </c>
      <c r="AP1841" s="53" t="n">
        <v>0</v>
      </c>
      <c r="AQ1841" s="52" t="n">
        <v>0</v>
      </c>
      <c r="AR1841" s="52" t="n">
        <v>0</v>
      </c>
      <c r="AS1841" s="52" t="n">
        <v>0</v>
      </c>
      <c r="AT1841" s="52" t="n">
        <v>0</v>
      </c>
      <c r="AU1841" s="53" t="n">
        <v>0</v>
      </c>
      <c r="AV1841" s="53" t="n">
        <v>0</v>
      </c>
      <c r="AW1841" s="53" t="n">
        <v>0</v>
      </c>
      <c r="AX1841" s="53" t="n">
        <v>0</v>
      </c>
      <c r="AY1841" s="52" t="n">
        <v>0</v>
      </c>
      <c r="AZ1841" s="52" t="n">
        <v>0</v>
      </c>
      <c r="BA1841" s="52" t="n">
        <v>0</v>
      </c>
      <c r="BB1841" s="52" t="n">
        <v>0</v>
      </c>
      <c r="BC1841" s="51" t="n">
        <v>0</v>
      </c>
      <c r="BD1841" s="51" t="n">
        <v>0</v>
      </c>
      <c r="BE1841" s="51" t="n">
        <v>0</v>
      </c>
      <c r="BF1841" s="51" t="n">
        <v>0</v>
      </c>
    </row>
    <row r="1842">
      <c r="A1842">
        <f>HYPERLINK("https://www.walmart.com/ip/124319683", "124319683")</f>
        <v/>
      </c>
      <c r="B1842" t="inlineStr">
        <is>
          <t>JenniWears Women Beileise Sexy Garter Belt Suspender - 6 Packs</t>
        </is>
      </c>
      <c r="C1842" t="inlineStr">
        <is>
          <t>JWBLSPH5002-6pcs</t>
        </is>
      </c>
      <c r="D1842" t="inlineStr">
        <is>
          <t>Garter Belts</t>
        </is>
      </c>
      <c r="E1842" t="inlineStr">
        <is>
          <t>JenniWears</t>
        </is>
      </c>
      <c r="F1842" t="inlineStr">
        <is>
          <t>Optimized,Valentine</t>
        </is>
      </c>
      <c r="G1842" s="48" t="n">
        <v>0</v>
      </c>
      <c r="H1842" s="48" t="n">
        <v>0</v>
      </c>
      <c r="I1842" s="48" t="n">
        <v>0</v>
      </c>
      <c r="J1842" s="48" t="n">
        <v>0</v>
      </c>
      <c r="K1842" s="49" t="n">
        <v>0</v>
      </c>
      <c r="L1842" s="49" t="n">
        <v>0</v>
      </c>
      <c r="M1842" s="49" t="n">
        <v>0</v>
      </c>
      <c r="N1842" s="49" t="n">
        <v>0</v>
      </c>
      <c r="O1842" s="49" t="n">
        <v>0</v>
      </c>
      <c r="P1842" s="49" t="n">
        <v>0</v>
      </c>
      <c r="Q1842" s="49" t="n">
        <v>0</v>
      </c>
      <c r="R1842" s="49" t="n">
        <v>0</v>
      </c>
      <c r="S1842" s="50" t="n">
        <v>0</v>
      </c>
      <c r="T1842" s="50" t="n">
        <v>0</v>
      </c>
      <c r="U1842" s="50" t="n">
        <v>0</v>
      </c>
      <c r="V1842" s="50" t="n">
        <v>0</v>
      </c>
      <c r="W1842" s="51" t="n">
        <v>0</v>
      </c>
      <c r="X1842" s="51" t="n">
        <v>0</v>
      </c>
      <c r="Y1842" s="51" t="n">
        <v>0</v>
      </c>
      <c r="Z1842" s="51" t="n">
        <v>0</v>
      </c>
      <c r="AA1842" s="52" t="n">
        <v>0</v>
      </c>
      <c r="AB1842" s="52" t="n">
        <v>0</v>
      </c>
      <c r="AC1842" s="52" t="n">
        <v>0</v>
      </c>
      <c r="AD1842" s="52" t="n">
        <v>0</v>
      </c>
      <c r="AE1842" s="52" t="n">
        <v>0</v>
      </c>
      <c r="AF1842" s="52" t="n">
        <v>0</v>
      </c>
      <c r="AG1842" s="52" t="n">
        <v>0</v>
      </c>
      <c r="AH1842" s="52" t="n">
        <v>0</v>
      </c>
      <c r="AI1842" s="52" t="n">
        <v>0</v>
      </c>
      <c r="AJ1842" s="52" t="n">
        <v>0</v>
      </c>
      <c r="AK1842" s="52" t="n">
        <v>0</v>
      </c>
      <c r="AL1842" s="52" t="n">
        <v>0</v>
      </c>
      <c r="AM1842" s="53" t="n">
        <v>0</v>
      </c>
      <c r="AN1842" s="53" t="n">
        <v>0</v>
      </c>
      <c r="AO1842" s="53" t="n">
        <v>0</v>
      </c>
      <c r="AP1842" s="53" t="n">
        <v>0</v>
      </c>
      <c r="AQ1842" s="52" t="n">
        <v>0</v>
      </c>
      <c r="AR1842" s="52" t="n">
        <v>0</v>
      </c>
      <c r="AS1842" s="52" t="n">
        <v>0</v>
      </c>
      <c r="AT1842" s="52" t="n">
        <v>0</v>
      </c>
      <c r="AU1842" s="53" t="n">
        <v>0</v>
      </c>
      <c r="AV1842" s="53" t="n">
        <v>0</v>
      </c>
      <c r="AW1842" s="53" t="n">
        <v>0</v>
      </c>
      <c r="AX1842" s="53" t="n">
        <v>0</v>
      </c>
      <c r="AY1842" s="52" t="n">
        <v>0</v>
      </c>
      <c r="AZ1842" s="52" t="n">
        <v>0</v>
      </c>
      <c r="BA1842" s="52" t="n">
        <v>0</v>
      </c>
      <c r="BB1842" s="52" t="n">
        <v>0</v>
      </c>
      <c r="BC1842" s="51" t="n">
        <v>0</v>
      </c>
      <c r="BD1842" s="51" t="n">
        <v>0</v>
      </c>
      <c r="BE1842" s="51" t="n">
        <v>0</v>
      </c>
      <c r="BF1842" s="51" t="n">
        <v>0</v>
      </c>
    </row>
    <row r="1843">
      <c r="A1843">
        <f>HYPERLINK("https://www.walmart.com/ip/1243315022", "1243315022")</f>
        <v/>
      </c>
      <c r="B1843" t="inlineStr">
        <is>
          <t>Every Day is Christmas Glass Blown Ornaments 2022 Cute Hand Made Figurines Tree Decoration - 13.7cm glass trumpet and 11.9cm glass saxophone ornament</t>
        </is>
      </c>
      <c r="C1843" t="inlineStr">
        <is>
          <t>EDC-FIGURINE-TRUMPETSAX</t>
        </is>
      </c>
      <c r="D1843" t="inlineStr">
        <is>
          <t>Ornaments</t>
        </is>
      </c>
      <c r="E1843" t="inlineStr">
        <is>
          <t>Every Day is Christmas</t>
        </is>
      </c>
      <c r="G1843" s="48" t="n">
        <v>0</v>
      </c>
      <c r="H1843" s="48" t="n">
        <v>0</v>
      </c>
      <c r="I1843" s="48" t="n">
        <v>0</v>
      </c>
      <c r="J1843" s="48" t="n">
        <v>0</v>
      </c>
      <c r="K1843" s="49" t="n">
        <v>0</v>
      </c>
      <c r="L1843" s="49" t="n">
        <v>0</v>
      </c>
      <c r="M1843" s="49" t="n">
        <v>0</v>
      </c>
      <c r="N1843" s="49" t="n">
        <v>0</v>
      </c>
      <c r="O1843" s="49" t="n">
        <v>0</v>
      </c>
      <c r="P1843" s="49" t="n">
        <v>0</v>
      </c>
      <c r="Q1843" s="49" t="n">
        <v>0</v>
      </c>
      <c r="R1843" s="49" t="n">
        <v>0</v>
      </c>
      <c r="S1843" s="50" t="n">
        <v>0</v>
      </c>
      <c r="T1843" s="50" t="n">
        <v>0</v>
      </c>
      <c r="U1843" s="50" t="n">
        <v>0</v>
      </c>
      <c r="V1843" s="50" t="n">
        <v>0</v>
      </c>
      <c r="W1843" s="51" t="n">
        <v>0</v>
      </c>
      <c r="X1843" s="51" t="n">
        <v>0</v>
      </c>
      <c r="Y1843" s="51" t="n">
        <v>0</v>
      </c>
      <c r="Z1843" s="51" t="n">
        <v>0</v>
      </c>
      <c r="AA1843" s="52" t="n">
        <v>0</v>
      </c>
      <c r="AB1843" s="52" t="n">
        <v>0</v>
      </c>
      <c r="AC1843" s="52" t="n">
        <v>0</v>
      </c>
      <c r="AD1843" s="52" t="n">
        <v>0</v>
      </c>
      <c r="AE1843" s="52" t="n">
        <v>0</v>
      </c>
      <c r="AF1843" s="52" t="n">
        <v>0</v>
      </c>
      <c r="AG1843" s="52" t="n">
        <v>0</v>
      </c>
      <c r="AH1843" s="52" t="n">
        <v>0</v>
      </c>
      <c r="AI1843" s="52" t="n">
        <v>0</v>
      </c>
      <c r="AJ1843" s="52" t="n">
        <v>0</v>
      </c>
      <c r="AK1843" s="52" t="n">
        <v>0</v>
      </c>
      <c r="AL1843" s="52" t="n">
        <v>0</v>
      </c>
      <c r="AM1843" s="53" t="n">
        <v>0</v>
      </c>
      <c r="AN1843" s="53" t="n">
        <v>0</v>
      </c>
      <c r="AO1843" s="53" t="n">
        <v>0</v>
      </c>
      <c r="AP1843" s="53" t="n">
        <v>0</v>
      </c>
      <c r="AQ1843" s="52" t="n">
        <v>0</v>
      </c>
      <c r="AR1843" s="52" t="n">
        <v>0</v>
      </c>
      <c r="AS1843" s="52" t="n">
        <v>0</v>
      </c>
      <c r="AT1843" s="52" t="n">
        <v>0</v>
      </c>
      <c r="AU1843" s="53" t="n">
        <v>0</v>
      </c>
      <c r="AV1843" s="53" t="n">
        <v>0</v>
      </c>
      <c r="AW1843" s="53" t="n">
        <v>0</v>
      </c>
      <c r="AX1843" s="53" t="n">
        <v>0</v>
      </c>
      <c r="AY1843" s="52" t="n">
        <v>0</v>
      </c>
      <c r="AZ1843" s="52" t="n">
        <v>0</v>
      </c>
      <c r="BA1843" s="52" t="n">
        <v>0</v>
      </c>
      <c r="BB1843" s="52" t="n">
        <v>0</v>
      </c>
      <c r="BC1843" s="51" t="n">
        <v>0</v>
      </c>
      <c r="BD1843" s="51" t="n">
        <v>0</v>
      </c>
      <c r="BE1843" s="51" t="n">
        <v>0</v>
      </c>
      <c r="BF1843" s="51" t="n">
        <v>0</v>
      </c>
    </row>
    <row r="1844">
      <c r="A1844">
        <f>HYPERLINK("https://www.walmart.com/ip/1247409190", "1247409190")</f>
        <v/>
      </c>
      <c r="B1844" t="inlineStr">
        <is>
          <t>Tirrinia Insulated Lunch Bag for Women Men, Leakproof Thermal Reusable Lunch Box for Adult &amp; Kids, Lunch Cooler Tote for Office Work Back to School, Medium, Green</t>
        </is>
      </c>
      <c r="C1844" t="inlineStr">
        <is>
          <t>1TRLB701GN-N</t>
        </is>
      </c>
      <c r="D1844" t="inlineStr">
        <is>
          <t>Reusable Lunch Bags &amp; Boxes</t>
        </is>
      </c>
      <c r="E1844" t="inlineStr">
        <is>
          <t>Tirrinia</t>
        </is>
      </c>
      <c r="F1844" t="inlineStr">
        <is>
          <t>Q2-Target,Brand Camp VD,Lunch Bags,SEM,Batch 1 - TR</t>
        </is>
      </c>
      <c r="G1844" s="48" t="n">
        <v>0</v>
      </c>
      <c r="H1844" s="48" t="n">
        <v>0</v>
      </c>
      <c r="I1844" s="48" t="n">
        <v>0</v>
      </c>
      <c r="J1844" s="48" t="n">
        <v>0</v>
      </c>
      <c r="K1844" s="49" t="n">
        <v>0</v>
      </c>
      <c r="L1844" s="49" t="n">
        <v>0</v>
      </c>
      <c r="M1844" s="49" t="n">
        <v>0</v>
      </c>
      <c r="N1844" s="49" t="n">
        <v>0</v>
      </c>
      <c r="O1844" s="49" t="n">
        <v>1</v>
      </c>
      <c r="P1844" s="49" t="n">
        <v>0</v>
      </c>
      <c r="Q1844" s="49" t="n">
        <v>0</v>
      </c>
      <c r="R1844" s="49" t="n">
        <v>0</v>
      </c>
      <c r="S1844" s="50" t="n">
        <v>0</v>
      </c>
      <c r="T1844" s="50" t="n">
        <v>0</v>
      </c>
      <c r="U1844" s="50" t="n">
        <v>0</v>
      </c>
      <c r="V1844" s="50" t="n">
        <v>0</v>
      </c>
      <c r="W1844" s="51" t="n">
        <v>0</v>
      </c>
      <c r="X1844" s="51" t="n">
        <v>0</v>
      </c>
      <c r="Y1844" s="51" t="n">
        <v>0</v>
      </c>
      <c r="Z1844" s="51" t="n">
        <v>0</v>
      </c>
      <c r="AA1844" s="52" t="n">
        <v>0</v>
      </c>
      <c r="AB1844" s="52" t="n">
        <v>0</v>
      </c>
      <c r="AC1844" s="52" t="n">
        <v>0</v>
      </c>
      <c r="AD1844" s="52" t="n">
        <v>0</v>
      </c>
      <c r="AE1844" s="52" t="n">
        <v>0</v>
      </c>
      <c r="AF1844" s="52" t="n">
        <v>0</v>
      </c>
      <c r="AG1844" s="52" t="n">
        <v>0</v>
      </c>
      <c r="AH1844" s="52" t="n">
        <v>0</v>
      </c>
      <c r="AI1844" s="52" t="n">
        <v>0</v>
      </c>
      <c r="AJ1844" s="52" t="n">
        <v>0</v>
      </c>
      <c r="AK1844" s="52" t="n">
        <v>0</v>
      </c>
      <c r="AL1844" s="52" t="n">
        <v>0</v>
      </c>
      <c r="AM1844" s="53" t="n">
        <v>0</v>
      </c>
      <c r="AN1844" s="53" t="n">
        <v>0</v>
      </c>
      <c r="AO1844" s="53" t="n">
        <v>0</v>
      </c>
      <c r="AP1844" s="53" t="n">
        <v>0</v>
      </c>
      <c r="AQ1844" s="52" t="n">
        <v>0</v>
      </c>
      <c r="AR1844" s="52" t="n">
        <v>0</v>
      </c>
      <c r="AS1844" s="52" t="n">
        <v>0</v>
      </c>
      <c r="AT1844" s="52" t="n">
        <v>0</v>
      </c>
      <c r="AU1844" s="53" t="n">
        <v>0</v>
      </c>
      <c r="AV1844" s="53" t="n">
        <v>0</v>
      </c>
      <c r="AW1844" s="53" t="n">
        <v>0</v>
      </c>
      <c r="AX1844" s="53" t="n">
        <v>0</v>
      </c>
      <c r="AY1844" s="52" t="n">
        <v>0</v>
      </c>
      <c r="AZ1844" s="52" t="n">
        <v>0</v>
      </c>
      <c r="BA1844" s="52" t="n">
        <v>0</v>
      </c>
      <c r="BB1844" s="52" t="n">
        <v>0</v>
      </c>
      <c r="BC1844" s="51" t="n">
        <v>0</v>
      </c>
      <c r="BD1844" s="51" t="n">
        <v>0</v>
      </c>
      <c r="BE1844" s="51" t="n">
        <v>0</v>
      </c>
      <c r="BF1844" s="51" t="n">
        <v>0</v>
      </c>
    </row>
    <row r="1845">
      <c r="A1845">
        <f>HYPERLINK("https://www.walmart.com/ip/124762062", "124762062")</f>
        <v/>
      </c>
      <c r="B1845" t="inlineStr">
        <is>
          <t>Women's Chemise Nightgown Full Slip Lace Lounge Dress Teddy Outfits</t>
        </is>
      </c>
      <c r="C1845" t="inlineStr">
        <is>
          <t>JWBD011PP-XL</t>
        </is>
      </c>
      <c r="D1845" t="inlineStr">
        <is>
          <t>Nightgowns &amp; Sleepshirts</t>
        </is>
      </c>
      <c r="E1845" t="inlineStr">
        <is>
          <t>JenniWears</t>
        </is>
      </c>
      <c r="F1845" t="inlineStr">
        <is>
          <t>Optimized,Valentine</t>
        </is>
      </c>
      <c r="G1845" s="48" t="n">
        <v>0</v>
      </c>
      <c r="H1845" s="48" t="n">
        <v>0</v>
      </c>
      <c r="I1845" s="48" t="n">
        <v>0</v>
      </c>
      <c r="J1845" s="48" t="n">
        <v>0</v>
      </c>
      <c r="K1845" s="49" t="n">
        <v>0</v>
      </c>
      <c r="L1845" s="49" t="n">
        <v>0</v>
      </c>
      <c r="M1845" s="49" t="n">
        <v>0</v>
      </c>
      <c r="N1845" s="49" t="n">
        <v>0</v>
      </c>
      <c r="O1845" s="49" t="n">
        <v>0</v>
      </c>
      <c r="P1845" s="49" t="n">
        <v>0</v>
      </c>
      <c r="Q1845" s="49" t="n">
        <v>0</v>
      </c>
      <c r="R1845" s="49" t="n">
        <v>0</v>
      </c>
      <c r="S1845" s="50" t="n">
        <v>0</v>
      </c>
      <c r="T1845" s="50" t="n">
        <v>0</v>
      </c>
      <c r="U1845" s="50" t="n">
        <v>0</v>
      </c>
      <c r="V1845" s="50" t="n">
        <v>0</v>
      </c>
      <c r="W1845" s="51" t="n">
        <v>0</v>
      </c>
      <c r="X1845" s="51" t="n">
        <v>0</v>
      </c>
      <c r="Y1845" s="51" t="n">
        <v>0</v>
      </c>
      <c r="Z1845" s="51" t="n">
        <v>0</v>
      </c>
      <c r="AA1845" s="52" t="n">
        <v>0</v>
      </c>
      <c r="AB1845" s="52" t="n">
        <v>0</v>
      </c>
      <c r="AC1845" s="52" t="n">
        <v>0</v>
      </c>
      <c r="AD1845" s="52" t="n">
        <v>0</v>
      </c>
      <c r="AE1845" s="52" t="n">
        <v>0</v>
      </c>
      <c r="AF1845" s="52" t="n">
        <v>0</v>
      </c>
      <c r="AG1845" s="52" t="n">
        <v>0</v>
      </c>
      <c r="AH1845" s="52" t="n">
        <v>0</v>
      </c>
      <c r="AI1845" s="52" t="n">
        <v>0</v>
      </c>
      <c r="AJ1845" s="52" t="n">
        <v>0</v>
      </c>
      <c r="AK1845" s="52" t="n">
        <v>0</v>
      </c>
      <c r="AL1845" s="52" t="n">
        <v>0</v>
      </c>
      <c r="AM1845" s="53" t="n">
        <v>0</v>
      </c>
      <c r="AN1845" s="53" t="n">
        <v>0</v>
      </c>
      <c r="AO1845" s="53" t="n">
        <v>0</v>
      </c>
      <c r="AP1845" s="53" t="n">
        <v>0</v>
      </c>
      <c r="AQ1845" s="52" t="n">
        <v>0</v>
      </c>
      <c r="AR1845" s="52" t="n">
        <v>0</v>
      </c>
      <c r="AS1845" s="52" t="n">
        <v>0</v>
      </c>
      <c r="AT1845" s="52" t="n">
        <v>0</v>
      </c>
      <c r="AU1845" s="53" t="n">
        <v>0</v>
      </c>
      <c r="AV1845" s="53" t="n">
        <v>0</v>
      </c>
      <c r="AW1845" s="53" t="n">
        <v>0</v>
      </c>
      <c r="AX1845" s="53" t="n">
        <v>0</v>
      </c>
      <c r="AY1845" s="52" t="n">
        <v>0</v>
      </c>
      <c r="AZ1845" s="52" t="n">
        <v>0</v>
      </c>
      <c r="BA1845" s="52" t="n">
        <v>0</v>
      </c>
      <c r="BB1845" s="52" t="n">
        <v>0</v>
      </c>
      <c r="BC1845" s="51" t="n">
        <v>0</v>
      </c>
      <c r="BD1845" s="51" t="n">
        <v>0</v>
      </c>
      <c r="BE1845" s="51" t="n">
        <v>0</v>
      </c>
      <c r="BF1845" s="51" t="n">
        <v>0</v>
      </c>
    </row>
    <row r="1846">
      <c r="A1846">
        <f>HYPERLINK("https://www.walmart.com/ip/125079678", "125079678")</f>
        <v/>
      </c>
      <c r="B1846" t="inlineStr">
        <is>
          <t>Scarfs for Men, Winter Scarf, Fall Scarf with Warm Cozy Fleece Pocket and Hat Set by KC Caps</t>
        </is>
      </c>
      <c r="C1846" t="inlineStr">
        <is>
          <t>KC-W1810-W1850-ZBR</t>
        </is>
      </c>
      <c r="D1846" t="inlineStr">
        <is>
          <t>Hat, Scarf &amp; Glove Sets</t>
        </is>
      </c>
      <c r="E1846" t="inlineStr">
        <is>
          <t>KC Caps</t>
        </is>
      </c>
      <c r="F1846" t="inlineStr">
        <is>
          <t>Optimized</t>
        </is>
      </c>
      <c r="G1846" s="48" t="n">
        <v>0</v>
      </c>
      <c r="H1846" s="48" t="n">
        <v>0</v>
      </c>
      <c r="I1846" s="48" t="n">
        <v>0</v>
      </c>
      <c r="J1846" s="48" t="n">
        <v>0</v>
      </c>
      <c r="K1846" s="49" t="n">
        <v>0</v>
      </c>
      <c r="L1846" s="49" t="n">
        <v>0</v>
      </c>
      <c r="M1846" s="49" t="n">
        <v>0</v>
      </c>
      <c r="N1846" s="49" t="n">
        <v>0</v>
      </c>
      <c r="O1846" s="49" t="n">
        <v>0</v>
      </c>
      <c r="P1846" s="49" t="n">
        <v>0</v>
      </c>
      <c r="Q1846" s="49" t="n">
        <v>0</v>
      </c>
      <c r="R1846" s="49" t="n">
        <v>0</v>
      </c>
      <c r="S1846" s="50" t="n">
        <v>0</v>
      </c>
      <c r="T1846" s="50" t="n">
        <v>0</v>
      </c>
      <c r="U1846" s="50" t="n">
        <v>0</v>
      </c>
      <c r="V1846" s="50" t="n">
        <v>0</v>
      </c>
      <c r="W1846" s="51" t="n">
        <v>0</v>
      </c>
      <c r="X1846" s="51" t="n">
        <v>0</v>
      </c>
      <c r="Y1846" s="51" t="n">
        <v>0</v>
      </c>
      <c r="Z1846" s="51" t="n">
        <v>0</v>
      </c>
      <c r="AA1846" s="52" t="n">
        <v>0</v>
      </c>
      <c r="AB1846" s="52" t="n">
        <v>0</v>
      </c>
      <c r="AC1846" s="52" t="n">
        <v>0</v>
      </c>
      <c r="AD1846" s="52" t="n">
        <v>0</v>
      </c>
      <c r="AE1846" s="52" t="n">
        <v>0</v>
      </c>
      <c r="AF1846" s="52" t="n">
        <v>0</v>
      </c>
      <c r="AG1846" s="52" t="n">
        <v>0</v>
      </c>
      <c r="AH1846" s="52" t="n">
        <v>0</v>
      </c>
      <c r="AI1846" s="52" t="n">
        <v>0</v>
      </c>
      <c r="AJ1846" s="52" t="n">
        <v>0</v>
      </c>
      <c r="AK1846" s="52" t="n">
        <v>0</v>
      </c>
      <c r="AL1846" s="52" t="n">
        <v>0</v>
      </c>
      <c r="AM1846" s="53" t="n">
        <v>0</v>
      </c>
      <c r="AN1846" s="53" t="n">
        <v>0</v>
      </c>
      <c r="AO1846" s="53" t="n">
        <v>0</v>
      </c>
      <c r="AP1846" s="53" t="n">
        <v>0</v>
      </c>
      <c r="AQ1846" s="52" t="n">
        <v>0</v>
      </c>
      <c r="AR1846" s="52" t="n">
        <v>0</v>
      </c>
      <c r="AS1846" s="52" t="n">
        <v>0</v>
      </c>
      <c r="AT1846" s="52" t="n">
        <v>0</v>
      </c>
      <c r="AU1846" s="53" t="n">
        <v>0</v>
      </c>
      <c r="AV1846" s="53" t="n">
        <v>0</v>
      </c>
      <c r="AW1846" s="53" t="n">
        <v>0</v>
      </c>
      <c r="AX1846" s="53" t="n">
        <v>0</v>
      </c>
      <c r="AY1846" s="52" t="n">
        <v>0</v>
      </c>
      <c r="AZ1846" s="52" t="n">
        <v>0</v>
      </c>
      <c r="BA1846" s="52" t="n">
        <v>0</v>
      </c>
      <c r="BB1846" s="52" t="n">
        <v>0</v>
      </c>
      <c r="BC1846" s="51" t="n">
        <v>0</v>
      </c>
      <c r="BD1846" s="51" t="n">
        <v>0</v>
      </c>
      <c r="BE1846" s="51" t="n">
        <v>0</v>
      </c>
      <c r="BF1846" s="51" t="n">
        <v>0</v>
      </c>
    </row>
    <row r="1847">
      <c r="A1847">
        <f>HYPERLINK("https://www.walmart.com/ip/1251379645", "1251379645")</f>
        <v/>
      </c>
      <c r="B1847" t="inlineStr">
        <is>
          <t>Bucket Summer Mens Sun Hat Water Repel Mesh Net Light Weight UV Protection Outdoor Cap by Solaris</t>
        </is>
      </c>
      <c r="C1847" t="inlineStr">
        <is>
          <t>1SLSH191NV-12pcs</t>
        </is>
      </c>
      <c r="D1847" t="inlineStr">
        <is>
          <t>Hats</t>
        </is>
      </c>
      <c r="E1847" t="inlineStr">
        <is>
          <t>Solaris</t>
        </is>
      </c>
      <c r="F1847" t="inlineStr">
        <is>
          <t>Batch 1 - TR</t>
        </is>
      </c>
      <c r="G1847" s="48" t="n">
        <v>0</v>
      </c>
      <c r="H1847" s="48" t="n">
        <v>0</v>
      </c>
      <c r="I1847" s="48" t="n">
        <v>0</v>
      </c>
      <c r="J1847" s="48" t="n">
        <v>0</v>
      </c>
      <c r="K1847" s="49" t="n">
        <v>0</v>
      </c>
      <c r="L1847" s="49" t="n">
        <v>0</v>
      </c>
      <c r="M1847" s="49" t="n">
        <v>0</v>
      </c>
      <c r="N1847" s="49" t="n">
        <v>0</v>
      </c>
      <c r="O1847" s="49" t="n">
        <v>0</v>
      </c>
      <c r="P1847" s="49" t="n">
        <v>0</v>
      </c>
      <c r="Q1847" s="49" t="n">
        <v>0</v>
      </c>
      <c r="R1847" s="49" t="n">
        <v>0</v>
      </c>
      <c r="S1847" s="50" t="n">
        <v>0</v>
      </c>
      <c r="T1847" s="50" t="n">
        <v>0</v>
      </c>
      <c r="U1847" s="50" t="n">
        <v>0</v>
      </c>
      <c r="V1847" s="50" t="n">
        <v>0</v>
      </c>
      <c r="W1847" s="51" t="n">
        <v>0</v>
      </c>
      <c r="X1847" s="51" t="n">
        <v>0</v>
      </c>
      <c r="Y1847" s="51" t="n">
        <v>0</v>
      </c>
      <c r="Z1847" s="51" t="n">
        <v>0</v>
      </c>
      <c r="AA1847" s="52" t="n">
        <v>0</v>
      </c>
      <c r="AB1847" s="52" t="n">
        <v>0</v>
      </c>
      <c r="AC1847" s="52" t="n">
        <v>0</v>
      </c>
      <c r="AD1847" s="52" t="n">
        <v>0</v>
      </c>
      <c r="AE1847" s="52" t="n">
        <v>0</v>
      </c>
      <c r="AF1847" s="52" t="n">
        <v>0</v>
      </c>
      <c r="AG1847" s="52" t="n">
        <v>0</v>
      </c>
      <c r="AH1847" s="52" t="n">
        <v>0</v>
      </c>
      <c r="AI1847" s="52" t="n">
        <v>0</v>
      </c>
      <c r="AJ1847" s="52" t="n">
        <v>0</v>
      </c>
      <c r="AK1847" s="52" t="n">
        <v>0</v>
      </c>
      <c r="AL1847" s="52" t="n">
        <v>0</v>
      </c>
      <c r="AM1847" s="53" t="n">
        <v>0</v>
      </c>
      <c r="AN1847" s="53" t="n">
        <v>0</v>
      </c>
      <c r="AO1847" s="53" t="n">
        <v>0</v>
      </c>
      <c r="AP1847" s="53" t="n">
        <v>0</v>
      </c>
      <c r="AQ1847" s="52" t="n">
        <v>0</v>
      </c>
      <c r="AR1847" s="52" t="n">
        <v>0</v>
      </c>
      <c r="AS1847" s="52" t="n">
        <v>0</v>
      </c>
      <c r="AT1847" s="52" t="n">
        <v>0</v>
      </c>
      <c r="AU1847" s="53" t="n">
        <v>0</v>
      </c>
      <c r="AV1847" s="53" t="n">
        <v>0</v>
      </c>
      <c r="AW1847" s="53" t="n">
        <v>0</v>
      </c>
      <c r="AX1847" s="53" t="n">
        <v>0</v>
      </c>
      <c r="AY1847" s="52" t="n">
        <v>0</v>
      </c>
      <c r="AZ1847" s="52" t="n">
        <v>0</v>
      </c>
      <c r="BA1847" s="52" t="n">
        <v>0</v>
      </c>
      <c r="BB1847" s="52" t="n">
        <v>0</v>
      </c>
      <c r="BC1847" s="51" t="n">
        <v>0</v>
      </c>
      <c r="BD1847" s="51" t="n">
        <v>0</v>
      </c>
      <c r="BE1847" s="51" t="n">
        <v>0</v>
      </c>
      <c r="BF1847" s="51" t="n">
        <v>0</v>
      </c>
    </row>
    <row r="1848">
      <c r="A1848">
        <f>HYPERLINK("https://www.walmart.com/ip/1254386462", "1254386462")</f>
        <v/>
      </c>
      <c r="B1848" t="inlineStr">
        <is>
          <t>Tirrinia Men's Military Mesh Cap</t>
        </is>
      </c>
      <c r="C1848" t="inlineStr">
        <is>
          <t>1TRSH7140SH-TBCB</t>
        </is>
      </c>
      <c r="D1848" t="inlineStr">
        <is>
          <t>Hats</t>
        </is>
      </c>
      <c r="E1848" t="inlineStr">
        <is>
          <t>Tirrinia</t>
        </is>
      </c>
      <c r="F1848" t="inlineStr">
        <is>
          <t>Batch 1 - TR</t>
        </is>
      </c>
      <c r="G1848" s="48" t="n">
        <v>0</v>
      </c>
      <c r="H1848" s="48" t="n">
        <v>0</v>
      </c>
      <c r="I1848" s="48" t="n">
        <v>0</v>
      </c>
      <c r="J1848" s="48" t="n">
        <v>0</v>
      </c>
      <c r="K1848" s="49" t="n">
        <v>0</v>
      </c>
      <c r="L1848" s="49" t="n">
        <v>0</v>
      </c>
      <c r="M1848" s="49" t="n">
        <v>0</v>
      </c>
      <c r="N1848" s="49" t="n">
        <v>0</v>
      </c>
      <c r="O1848" s="49" t="n">
        <v>0</v>
      </c>
      <c r="P1848" s="49" t="n">
        <v>0</v>
      </c>
      <c r="Q1848" s="49" t="n">
        <v>0</v>
      </c>
      <c r="R1848" s="49" t="n">
        <v>0</v>
      </c>
      <c r="S1848" s="50" t="n">
        <v>0</v>
      </c>
      <c r="T1848" s="50" t="n">
        <v>0</v>
      </c>
      <c r="U1848" s="50" t="n">
        <v>0</v>
      </c>
      <c r="V1848" s="50" t="n">
        <v>0</v>
      </c>
      <c r="W1848" s="51" t="n">
        <v>0</v>
      </c>
      <c r="X1848" s="51" t="n">
        <v>0</v>
      </c>
      <c r="Y1848" s="51" t="n">
        <v>0</v>
      </c>
      <c r="Z1848" s="51" t="n">
        <v>0</v>
      </c>
      <c r="AA1848" s="52" t="n">
        <v>0</v>
      </c>
      <c r="AB1848" s="52" t="n">
        <v>0</v>
      </c>
      <c r="AC1848" s="52" t="n">
        <v>0</v>
      </c>
      <c r="AD1848" s="52" t="n">
        <v>0</v>
      </c>
      <c r="AE1848" s="52" t="n">
        <v>0</v>
      </c>
      <c r="AF1848" s="52" t="n">
        <v>0</v>
      </c>
      <c r="AG1848" s="52" t="n">
        <v>0</v>
      </c>
      <c r="AH1848" s="52" t="n">
        <v>0</v>
      </c>
      <c r="AI1848" s="52" t="n">
        <v>0</v>
      </c>
      <c r="AJ1848" s="52" t="n">
        <v>0</v>
      </c>
      <c r="AK1848" s="52" t="n">
        <v>0</v>
      </c>
      <c r="AL1848" s="52" t="n">
        <v>0</v>
      </c>
      <c r="AM1848" s="53" t="n">
        <v>0</v>
      </c>
      <c r="AN1848" s="53" t="n">
        <v>0</v>
      </c>
      <c r="AO1848" s="53" t="n">
        <v>0</v>
      </c>
      <c r="AP1848" s="53" t="n">
        <v>0</v>
      </c>
      <c r="AQ1848" s="52" t="n">
        <v>0</v>
      </c>
      <c r="AR1848" s="52" t="n">
        <v>0</v>
      </c>
      <c r="AS1848" s="52" t="n">
        <v>0</v>
      </c>
      <c r="AT1848" s="52" t="n">
        <v>0</v>
      </c>
      <c r="AU1848" s="53" t="n">
        <v>0</v>
      </c>
      <c r="AV1848" s="53" t="n">
        <v>0</v>
      </c>
      <c r="AW1848" s="53" t="n">
        <v>0</v>
      </c>
      <c r="AX1848" s="53" t="n">
        <v>0</v>
      </c>
      <c r="AY1848" s="52" t="n">
        <v>0</v>
      </c>
      <c r="AZ1848" s="52" t="n">
        <v>0</v>
      </c>
      <c r="BA1848" s="52" t="n">
        <v>0</v>
      </c>
      <c r="BB1848" s="52" t="n">
        <v>0</v>
      </c>
      <c r="BC1848" s="51" t="n">
        <v>0</v>
      </c>
      <c r="BD1848" s="51" t="n">
        <v>0</v>
      </c>
      <c r="BE1848" s="51" t="n">
        <v>0</v>
      </c>
      <c r="BF1848" s="51" t="n">
        <v>0</v>
      </c>
    </row>
    <row r="1849">
      <c r="A1849">
        <f>HYPERLINK("https://www.walmart.com/ip/125439385", "125439385")</f>
        <v/>
      </c>
      <c r="B1849" t="inlineStr">
        <is>
          <t>Tirrinia Red Buffalo Plaid Sherpa Wearable Blanket for Adult Women and Men, Super Soft Comfy Warm Plush Throw with Sleeves TV Blanket Wrap Robe Cover for Sofa, Couch 72" x 55"</t>
        </is>
      </c>
      <c r="C1849" t="inlineStr">
        <is>
          <t>1TNSN110P2RD-TPB</t>
        </is>
      </c>
      <c r="D1849" t="inlineStr">
        <is>
          <t>Throws</t>
        </is>
      </c>
      <c r="E1849" t="inlineStr">
        <is>
          <t>Tirrinia</t>
        </is>
      </c>
      <c r="F1849" t="inlineStr">
        <is>
          <t>Optimized</t>
        </is>
      </c>
      <c r="G1849" s="48" t="n">
        <v>0</v>
      </c>
      <c r="H1849" s="48" t="n">
        <v>0</v>
      </c>
      <c r="I1849" s="48" t="n">
        <v>0</v>
      </c>
      <c r="J1849" s="48" t="n">
        <v>0</v>
      </c>
      <c r="K1849" s="49" t="n">
        <v>0</v>
      </c>
      <c r="L1849" s="49" t="n">
        <v>0</v>
      </c>
      <c r="M1849" s="49" t="n">
        <v>0</v>
      </c>
      <c r="N1849" s="49" t="n">
        <v>0</v>
      </c>
      <c r="O1849" s="49" t="n">
        <v>0</v>
      </c>
      <c r="P1849" s="49" t="n">
        <v>0</v>
      </c>
      <c r="Q1849" s="49" t="n">
        <v>0</v>
      </c>
      <c r="R1849" s="49" t="n">
        <v>0</v>
      </c>
      <c r="S1849" s="50" t="n">
        <v>0</v>
      </c>
      <c r="T1849" s="50" t="n">
        <v>0</v>
      </c>
      <c r="U1849" s="50" t="n">
        <v>0</v>
      </c>
      <c r="V1849" s="50" t="n">
        <v>0</v>
      </c>
      <c r="W1849" s="51" t="n">
        <v>0</v>
      </c>
      <c r="X1849" s="51" t="n">
        <v>0</v>
      </c>
      <c r="Y1849" s="51" t="n">
        <v>0</v>
      </c>
      <c r="Z1849" s="51" t="n">
        <v>0</v>
      </c>
      <c r="AA1849" s="52" t="n">
        <v>0</v>
      </c>
      <c r="AB1849" s="52" t="n">
        <v>0</v>
      </c>
      <c r="AC1849" s="52" t="n">
        <v>0</v>
      </c>
      <c r="AD1849" s="52" t="n">
        <v>0</v>
      </c>
      <c r="AE1849" s="52" t="n">
        <v>0</v>
      </c>
      <c r="AF1849" s="52" t="n">
        <v>0</v>
      </c>
      <c r="AG1849" s="52" t="n">
        <v>0</v>
      </c>
      <c r="AH1849" s="52" t="n">
        <v>0</v>
      </c>
      <c r="AI1849" s="52" t="n">
        <v>0</v>
      </c>
      <c r="AJ1849" s="52" t="n">
        <v>0</v>
      </c>
      <c r="AK1849" s="52" t="n">
        <v>0</v>
      </c>
      <c r="AL1849" s="52" t="n">
        <v>0</v>
      </c>
      <c r="AM1849" s="53" t="n">
        <v>0</v>
      </c>
      <c r="AN1849" s="53" t="n">
        <v>0</v>
      </c>
      <c r="AO1849" s="53" t="n">
        <v>0</v>
      </c>
      <c r="AP1849" s="53" t="n">
        <v>0</v>
      </c>
      <c r="AQ1849" s="52" t="n">
        <v>0</v>
      </c>
      <c r="AR1849" s="52" t="n">
        <v>0</v>
      </c>
      <c r="AS1849" s="52" t="n">
        <v>0</v>
      </c>
      <c r="AT1849" s="52" t="n">
        <v>0</v>
      </c>
      <c r="AU1849" s="53" t="n">
        <v>0</v>
      </c>
      <c r="AV1849" s="53" t="n">
        <v>0</v>
      </c>
      <c r="AW1849" s="53" t="n">
        <v>0</v>
      </c>
      <c r="AX1849" s="53" t="n">
        <v>0</v>
      </c>
      <c r="AY1849" s="52" t="n">
        <v>0</v>
      </c>
      <c r="AZ1849" s="52" t="n">
        <v>0</v>
      </c>
      <c r="BA1849" s="52" t="n">
        <v>0</v>
      </c>
      <c r="BB1849" s="52" t="n">
        <v>0</v>
      </c>
      <c r="BC1849" s="51" t="n">
        <v>0</v>
      </c>
      <c r="BD1849" s="51" t="n">
        <v>0</v>
      </c>
      <c r="BE1849" s="51" t="n">
        <v>0</v>
      </c>
      <c r="BF1849" s="51" t="n">
        <v>0</v>
      </c>
    </row>
    <row r="1850">
      <c r="A1850">
        <f>HYPERLINK("https://www.walmart.com/ip/125616970", "125616970")</f>
        <v/>
      </c>
      <c r="B1850" t="inlineStr">
        <is>
          <t>Tirrinia Insulated 4 Bottle Wine Carrier Tote Cooler Bag for Travel Picnic Padded Champagne Glass Carrying Case Leather</t>
        </is>
      </c>
      <c r="C1850" t="inlineStr">
        <is>
          <t>1WMWB421KK</t>
        </is>
      </c>
      <c r="D1850" t="inlineStr">
        <is>
          <t>Wine Totes, Bags &amp; Backpacks</t>
        </is>
      </c>
      <c r="E1850" t="inlineStr">
        <is>
          <t>Flyingstar</t>
        </is>
      </c>
      <c r="F1850" t="inlineStr">
        <is>
          <t>Wine,Christmas,Optimized,Valentine</t>
        </is>
      </c>
      <c r="G1850" s="48" t="n">
        <v>0</v>
      </c>
      <c r="H1850" s="48" t="n">
        <v>0</v>
      </c>
      <c r="I1850" s="48" t="n">
        <v>0</v>
      </c>
      <c r="J1850" s="48" t="n">
        <v>0</v>
      </c>
      <c r="K1850" s="49" t="n">
        <v>0</v>
      </c>
      <c r="L1850" s="49" t="n">
        <v>0</v>
      </c>
      <c r="M1850" s="49" t="n">
        <v>0</v>
      </c>
      <c r="N1850" s="49" t="n">
        <v>0</v>
      </c>
      <c r="O1850" s="49" t="n">
        <v>0</v>
      </c>
      <c r="P1850" s="49" t="n">
        <v>0</v>
      </c>
      <c r="Q1850" s="49" t="n">
        <v>0</v>
      </c>
      <c r="R1850" s="49" t="n">
        <v>0</v>
      </c>
      <c r="S1850" s="50" t="n">
        <v>0</v>
      </c>
      <c r="T1850" s="50" t="n">
        <v>0</v>
      </c>
      <c r="U1850" s="50" t="n">
        <v>0</v>
      </c>
      <c r="V1850" s="50" t="n">
        <v>0</v>
      </c>
      <c r="W1850" s="51" t="n">
        <v>0</v>
      </c>
      <c r="X1850" s="51" t="n">
        <v>0</v>
      </c>
      <c r="Y1850" s="51" t="n">
        <v>0</v>
      </c>
      <c r="Z1850" s="51" t="n">
        <v>0</v>
      </c>
      <c r="AA1850" s="52" t="n">
        <v>0</v>
      </c>
      <c r="AB1850" s="52" t="n">
        <v>0</v>
      </c>
      <c r="AC1850" s="52" t="n">
        <v>0</v>
      </c>
      <c r="AD1850" s="52" t="n">
        <v>0</v>
      </c>
      <c r="AE1850" s="52" t="n">
        <v>0</v>
      </c>
      <c r="AF1850" s="52" t="n">
        <v>0</v>
      </c>
      <c r="AG1850" s="52" t="n">
        <v>0</v>
      </c>
      <c r="AH1850" s="52" t="n">
        <v>0</v>
      </c>
      <c r="AI1850" s="52" t="n">
        <v>0</v>
      </c>
      <c r="AJ1850" s="52" t="n">
        <v>0</v>
      </c>
      <c r="AK1850" s="52" t="n">
        <v>0</v>
      </c>
      <c r="AL1850" s="52" t="n">
        <v>0</v>
      </c>
      <c r="AM1850" s="53" t="n">
        <v>0</v>
      </c>
      <c r="AN1850" s="53" t="n">
        <v>0</v>
      </c>
      <c r="AO1850" s="53" t="n">
        <v>0</v>
      </c>
      <c r="AP1850" s="53" t="n">
        <v>0</v>
      </c>
      <c r="AQ1850" s="52" t="n">
        <v>0</v>
      </c>
      <c r="AR1850" s="52" t="n">
        <v>0</v>
      </c>
      <c r="AS1850" s="52" t="n">
        <v>0</v>
      </c>
      <c r="AT1850" s="52" t="n">
        <v>0</v>
      </c>
      <c r="AU1850" s="53" t="n">
        <v>0</v>
      </c>
      <c r="AV1850" s="53" t="n">
        <v>0</v>
      </c>
      <c r="AW1850" s="53" t="n">
        <v>0</v>
      </c>
      <c r="AX1850" s="53" t="n">
        <v>0</v>
      </c>
      <c r="AY1850" s="52" t="n">
        <v>0</v>
      </c>
      <c r="AZ1850" s="52" t="n">
        <v>0</v>
      </c>
      <c r="BA1850" s="52" t="n">
        <v>0</v>
      </c>
      <c r="BB1850" s="52" t="n">
        <v>0</v>
      </c>
      <c r="BC1850" s="51" t="n">
        <v>0</v>
      </c>
      <c r="BD1850" s="51" t="n">
        <v>0</v>
      </c>
      <c r="BE1850" s="51" t="n">
        <v>0</v>
      </c>
      <c r="BF1850" s="51" t="n">
        <v>0</v>
      </c>
    </row>
    <row r="1851">
      <c r="A1851">
        <f>HYPERLINK("https://www.walmart.com/ip/1256810690", "1256810690")</f>
        <v/>
      </c>
      <c r="B1851" t="inlineStr">
        <is>
          <t>Women’s Plush Hoodie Sweatshirt Dress, Casual Pullover Sweater with Kangaroo Pocket, One Size</t>
        </is>
      </c>
      <c r="C1851" t="inlineStr">
        <is>
          <t>1CTHD531PK</t>
        </is>
      </c>
      <c r="D1851" t="inlineStr">
        <is>
          <t>Sweatshirts &amp; Hoodies</t>
        </is>
      </c>
      <c r="E1851" t="inlineStr">
        <is>
          <t>Catalonia</t>
        </is>
      </c>
      <c r="F1851" t="inlineStr">
        <is>
          <t>Batch 1 - TR</t>
        </is>
      </c>
      <c r="G1851" s="48" t="n">
        <v>0</v>
      </c>
      <c r="H1851" s="48" t="n">
        <v>0</v>
      </c>
      <c r="I1851" s="48" t="n">
        <v>0</v>
      </c>
      <c r="J1851" s="48" t="n">
        <v>0</v>
      </c>
      <c r="K1851" s="49" t="n">
        <v>0</v>
      </c>
      <c r="L1851" s="49" t="n">
        <v>0</v>
      </c>
      <c r="M1851" s="49" t="n">
        <v>0</v>
      </c>
      <c r="N1851" s="49" t="n">
        <v>0</v>
      </c>
      <c r="O1851" s="49" t="n">
        <v>0</v>
      </c>
      <c r="P1851" s="49" t="n">
        <v>0</v>
      </c>
      <c r="Q1851" s="49" t="n">
        <v>0</v>
      </c>
      <c r="R1851" s="49" t="n">
        <v>0</v>
      </c>
      <c r="S1851" s="50" t="n">
        <v>0</v>
      </c>
      <c r="T1851" s="50" t="n">
        <v>0</v>
      </c>
      <c r="U1851" s="50" t="n">
        <v>0</v>
      </c>
      <c r="V1851" s="50" t="n">
        <v>0</v>
      </c>
      <c r="W1851" s="51" t="n">
        <v>0</v>
      </c>
      <c r="X1851" s="51" t="n">
        <v>0</v>
      </c>
      <c r="Y1851" s="51" t="n">
        <v>0</v>
      </c>
      <c r="Z1851" s="51" t="n">
        <v>0</v>
      </c>
      <c r="AA1851" s="52" t="n">
        <v>0</v>
      </c>
      <c r="AB1851" s="52" t="n">
        <v>0</v>
      </c>
      <c r="AC1851" s="52" t="n">
        <v>0</v>
      </c>
      <c r="AD1851" s="52" t="n">
        <v>0</v>
      </c>
      <c r="AE1851" s="52" t="n">
        <v>0</v>
      </c>
      <c r="AF1851" s="52" t="n">
        <v>0</v>
      </c>
      <c r="AG1851" s="52" t="n">
        <v>0</v>
      </c>
      <c r="AH1851" s="52" t="n">
        <v>0</v>
      </c>
      <c r="AI1851" s="52" t="n">
        <v>0</v>
      </c>
      <c r="AJ1851" s="52" t="n">
        <v>0</v>
      </c>
      <c r="AK1851" s="52" t="n">
        <v>0</v>
      </c>
      <c r="AL1851" s="52" t="n">
        <v>0</v>
      </c>
      <c r="AM1851" s="53" t="n">
        <v>0</v>
      </c>
      <c r="AN1851" s="53" t="n">
        <v>0</v>
      </c>
      <c r="AO1851" s="53" t="n">
        <v>0</v>
      </c>
      <c r="AP1851" s="53" t="n">
        <v>0</v>
      </c>
      <c r="AQ1851" s="52" t="n">
        <v>0</v>
      </c>
      <c r="AR1851" s="52" t="n">
        <v>0</v>
      </c>
      <c r="AS1851" s="52" t="n">
        <v>0</v>
      </c>
      <c r="AT1851" s="52" t="n">
        <v>0</v>
      </c>
      <c r="AU1851" s="53" t="n">
        <v>0</v>
      </c>
      <c r="AV1851" s="53" t="n">
        <v>0</v>
      </c>
      <c r="AW1851" s="53" t="n">
        <v>0</v>
      </c>
      <c r="AX1851" s="53" t="n">
        <v>0</v>
      </c>
      <c r="AY1851" s="52" t="n">
        <v>0</v>
      </c>
      <c r="AZ1851" s="52" t="n">
        <v>0</v>
      </c>
      <c r="BA1851" s="52" t="n">
        <v>0</v>
      </c>
      <c r="BB1851" s="52" t="n">
        <v>0</v>
      </c>
      <c r="BC1851" s="51" t="n">
        <v>0</v>
      </c>
      <c r="BD1851" s="51" t="n">
        <v>0</v>
      </c>
      <c r="BE1851" s="51" t="n">
        <v>0</v>
      </c>
      <c r="BF1851" s="51" t="n">
        <v>0</v>
      </c>
    </row>
    <row r="1852">
      <c r="A1852">
        <f>HYPERLINK("https://www.walmart.com/ip/125979782", "125979782")</f>
        <v/>
      </c>
      <c r="B1852" t="inlineStr">
        <is>
          <t>Napa Luxury Shu Velveteen Throw Blanket, Soft Blankets for Adults, All Seasons Plush Blanket, Cozy Reversible Fuzzy Blanket, Best Gift for Women, Pink, 50" x 60"</t>
        </is>
      </c>
      <c r="C1852" t="inlineStr">
        <is>
          <t>K9000PINK</t>
        </is>
      </c>
      <c r="D1852" t="inlineStr">
        <is>
          <t>Throws</t>
        </is>
      </c>
      <c r="E1852" t="inlineStr">
        <is>
          <t>NAPA</t>
        </is>
      </c>
      <c r="F1852" t="inlineStr">
        <is>
          <t>Optimized</t>
        </is>
      </c>
      <c r="G1852" s="48" t="n">
        <v>0</v>
      </c>
      <c r="H1852" s="48" t="n">
        <v>0</v>
      </c>
      <c r="I1852" s="48" t="n">
        <v>0</v>
      </c>
      <c r="J1852" s="48" t="n">
        <v>0</v>
      </c>
      <c r="K1852" s="49" t="n">
        <v>0</v>
      </c>
      <c r="L1852" s="49" t="n">
        <v>0</v>
      </c>
      <c r="M1852" s="49" t="n">
        <v>0</v>
      </c>
      <c r="N1852" s="49" t="n">
        <v>0</v>
      </c>
      <c r="O1852" s="49" t="n">
        <v>0</v>
      </c>
      <c r="P1852" s="49" t="n">
        <v>0</v>
      </c>
      <c r="Q1852" s="49" t="n">
        <v>0</v>
      </c>
      <c r="R1852" s="49" t="n">
        <v>0</v>
      </c>
      <c r="S1852" s="50" t="n">
        <v>0</v>
      </c>
      <c r="T1852" s="50" t="n">
        <v>0</v>
      </c>
      <c r="U1852" s="50" t="n">
        <v>0</v>
      </c>
      <c r="V1852" s="50" t="n">
        <v>0</v>
      </c>
      <c r="W1852" s="51" t="n">
        <v>0</v>
      </c>
      <c r="X1852" s="51" t="n">
        <v>0</v>
      </c>
      <c r="Y1852" s="51" t="n">
        <v>0</v>
      </c>
      <c r="Z1852" s="51" t="n">
        <v>0</v>
      </c>
      <c r="AA1852" s="52" t="n">
        <v>0</v>
      </c>
      <c r="AB1852" s="52" t="n">
        <v>0</v>
      </c>
      <c r="AC1852" s="52" t="n">
        <v>0</v>
      </c>
      <c r="AD1852" s="52" t="n">
        <v>0</v>
      </c>
      <c r="AE1852" s="52" t="n">
        <v>0</v>
      </c>
      <c r="AF1852" s="52" t="n">
        <v>0</v>
      </c>
      <c r="AG1852" s="52" t="n">
        <v>0</v>
      </c>
      <c r="AH1852" s="52" t="n">
        <v>0</v>
      </c>
      <c r="AI1852" s="52" t="n">
        <v>0</v>
      </c>
      <c r="AJ1852" s="52" t="n">
        <v>0</v>
      </c>
      <c r="AK1852" s="52" t="n">
        <v>0</v>
      </c>
      <c r="AL1852" s="52" t="n">
        <v>0</v>
      </c>
      <c r="AM1852" s="53" t="n">
        <v>0</v>
      </c>
      <c r="AN1852" s="53" t="n">
        <v>0</v>
      </c>
      <c r="AO1852" s="53" t="n">
        <v>0</v>
      </c>
      <c r="AP1852" s="53" t="n">
        <v>0</v>
      </c>
      <c r="AQ1852" s="52" t="n">
        <v>0</v>
      </c>
      <c r="AR1852" s="52" t="n">
        <v>0</v>
      </c>
      <c r="AS1852" s="52" t="n">
        <v>0</v>
      </c>
      <c r="AT1852" s="52" t="n">
        <v>0</v>
      </c>
      <c r="AU1852" s="53" t="n">
        <v>0</v>
      </c>
      <c r="AV1852" s="53" t="n">
        <v>0</v>
      </c>
      <c r="AW1852" s="53" t="n">
        <v>0</v>
      </c>
      <c r="AX1852" s="53" t="n">
        <v>0</v>
      </c>
      <c r="AY1852" s="52" t="n">
        <v>0</v>
      </c>
      <c r="AZ1852" s="52" t="n">
        <v>0</v>
      </c>
      <c r="BA1852" s="52" t="n">
        <v>0</v>
      </c>
      <c r="BB1852" s="52" t="n">
        <v>0</v>
      </c>
      <c r="BC1852" s="51" t="n">
        <v>0</v>
      </c>
      <c r="BD1852" s="51" t="n">
        <v>0</v>
      </c>
      <c r="BE1852" s="51" t="n">
        <v>0</v>
      </c>
      <c r="BF1852" s="51" t="n">
        <v>0</v>
      </c>
    </row>
    <row r="1853">
      <c r="A1853">
        <f>HYPERLINK("https://www.walmart.com/ip/126043267", "126043267")</f>
        <v/>
      </c>
      <c r="B1853" t="inlineStr">
        <is>
          <t>Napa Super Soft Micro Fleece Sherpa Bed Throw TV Blanket with Sleeves 72" x 50" Grey</t>
        </is>
      </c>
      <c r="C1853" t="inlineStr">
        <is>
          <t>K3080GRAY</t>
        </is>
      </c>
      <c r="D1853" t="inlineStr">
        <is>
          <t>Throws</t>
        </is>
      </c>
      <c r="E1853" t="inlineStr">
        <is>
          <t>NAPA</t>
        </is>
      </c>
      <c r="F1853" t="inlineStr">
        <is>
          <t>Optimized</t>
        </is>
      </c>
      <c r="G1853" s="48" t="n">
        <v>0</v>
      </c>
      <c r="H1853" s="48" t="n">
        <v>0</v>
      </c>
      <c r="I1853" s="48" t="n">
        <v>0</v>
      </c>
      <c r="J1853" s="48" t="n">
        <v>0</v>
      </c>
      <c r="K1853" s="49" t="n">
        <v>0</v>
      </c>
      <c r="L1853" s="49" t="n">
        <v>0</v>
      </c>
      <c r="M1853" s="49" t="n">
        <v>0</v>
      </c>
      <c r="N1853" s="49" t="n">
        <v>0</v>
      </c>
      <c r="O1853" s="49" t="n">
        <v>0</v>
      </c>
      <c r="P1853" s="49" t="n">
        <v>0</v>
      </c>
      <c r="Q1853" s="49" t="n">
        <v>0</v>
      </c>
      <c r="R1853" s="49" t="n">
        <v>0</v>
      </c>
      <c r="S1853" s="50" t="n">
        <v>0</v>
      </c>
      <c r="T1853" s="50" t="n">
        <v>0</v>
      </c>
      <c r="U1853" s="50" t="n">
        <v>0</v>
      </c>
      <c r="V1853" s="50" t="n">
        <v>0</v>
      </c>
      <c r="W1853" s="51" t="n">
        <v>0</v>
      </c>
      <c r="X1853" s="51" t="n">
        <v>0</v>
      </c>
      <c r="Y1853" s="51" t="n">
        <v>0</v>
      </c>
      <c r="Z1853" s="51" t="n">
        <v>0</v>
      </c>
      <c r="AA1853" s="52" t="n">
        <v>0</v>
      </c>
      <c r="AB1853" s="52" t="n">
        <v>0</v>
      </c>
      <c r="AC1853" s="52" t="n">
        <v>0</v>
      </c>
      <c r="AD1853" s="52" t="n">
        <v>0</v>
      </c>
      <c r="AE1853" s="52" t="n">
        <v>0</v>
      </c>
      <c r="AF1853" s="52" t="n">
        <v>0</v>
      </c>
      <c r="AG1853" s="52" t="n">
        <v>0</v>
      </c>
      <c r="AH1853" s="52" t="n">
        <v>0</v>
      </c>
      <c r="AI1853" s="52" t="n">
        <v>0</v>
      </c>
      <c r="AJ1853" s="52" t="n">
        <v>0</v>
      </c>
      <c r="AK1853" s="52" t="n">
        <v>0</v>
      </c>
      <c r="AL1853" s="52" t="n">
        <v>0</v>
      </c>
      <c r="AM1853" s="53" t="n">
        <v>0</v>
      </c>
      <c r="AN1853" s="53" t="n">
        <v>0</v>
      </c>
      <c r="AO1853" s="53" t="n">
        <v>0</v>
      </c>
      <c r="AP1853" s="53" t="n">
        <v>0</v>
      </c>
      <c r="AQ1853" s="52" t="n">
        <v>0</v>
      </c>
      <c r="AR1853" s="52" t="n">
        <v>0</v>
      </c>
      <c r="AS1853" s="52" t="n">
        <v>0</v>
      </c>
      <c r="AT1853" s="52" t="n">
        <v>0</v>
      </c>
      <c r="AU1853" s="53" t="n">
        <v>0</v>
      </c>
      <c r="AV1853" s="53" t="n">
        <v>0</v>
      </c>
      <c r="AW1853" s="53" t="n">
        <v>0</v>
      </c>
      <c r="AX1853" s="53" t="n">
        <v>0</v>
      </c>
      <c r="AY1853" s="52" t="n">
        <v>0</v>
      </c>
      <c r="AZ1853" s="52" t="n">
        <v>0</v>
      </c>
      <c r="BA1853" s="52" t="n">
        <v>0</v>
      </c>
      <c r="BB1853" s="52" t="n">
        <v>0</v>
      </c>
      <c r="BC1853" s="51" t="n">
        <v>0</v>
      </c>
      <c r="BD1853" s="51" t="n">
        <v>0</v>
      </c>
      <c r="BE1853" s="51" t="n">
        <v>0</v>
      </c>
      <c r="BF1853" s="51" t="n">
        <v>0</v>
      </c>
    </row>
    <row r="1854">
      <c r="A1854">
        <f>HYPERLINK("https://www.walmart.com/ip/1238851251", "1238851251")</f>
        <v/>
      </c>
      <c r="B1854" t="inlineStr">
        <is>
          <t>Hang Ten Basic Insulated Lunch Bag for Work, Thermal Reusable Office Lunch Box for Men, Women (Palm Trees)</t>
        </is>
      </c>
      <c r="C1854" t="inlineStr">
        <is>
          <t>HT-LUNCH-BASICBOX-OCEANSTRIPE</t>
        </is>
      </c>
      <c r="D1854" t="inlineStr">
        <is>
          <t>Reusable Lunch Bags &amp; Boxes</t>
        </is>
      </c>
      <c r="E1854" t="inlineStr">
        <is>
          <t>HANG TEN</t>
        </is>
      </c>
      <c r="G1854" s="48" t="n">
        <v>0</v>
      </c>
      <c r="H1854" s="48" t="n">
        <v>0</v>
      </c>
      <c r="I1854" s="48" t="n">
        <v>0</v>
      </c>
      <c r="J1854" s="48" t="n">
        <v>0</v>
      </c>
      <c r="K1854" s="49" t="n">
        <v>0</v>
      </c>
      <c r="L1854" s="49" t="n">
        <v>0</v>
      </c>
      <c r="M1854" s="49" t="n">
        <v>0</v>
      </c>
      <c r="N1854" s="49" t="n">
        <v>0</v>
      </c>
      <c r="O1854" s="49" t="n">
        <v>0</v>
      </c>
      <c r="P1854" s="49" t="n">
        <v>0</v>
      </c>
      <c r="Q1854" s="49" t="n">
        <v>0</v>
      </c>
      <c r="R1854" s="49" t="n">
        <v>0</v>
      </c>
      <c r="S1854" s="50" t="n">
        <v>0</v>
      </c>
      <c r="T1854" s="50" t="n">
        <v>0</v>
      </c>
      <c r="U1854" s="50" t="n">
        <v>0</v>
      </c>
      <c r="V1854" s="50" t="n">
        <v>0</v>
      </c>
      <c r="W1854" s="51" t="n">
        <v>0</v>
      </c>
      <c r="X1854" s="51" t="n">
        <v>0</v>
      </c>
      <c r="Y1854" s="51" t="n">
        <v>0</v>
      </c>
      <c r="Z1854" s="51" t="n">
        <v>0</v>
      </c>
      <c r="AA1854" s="52" t="n">
        <v>0</v>
      </c>
      <c r="AB1854" s="52" t="n">
        <v>0</v>
      </c>
      <c r="AC1854" s="52" t="n">
        <v>0</v>
      </c>
      <c r="AD1854" s="52" t="n">
        <v>0</v>
      </c>
      <c r="AE1854" s="52" t="n">
        <v>0</v>
      </c>
      <c r="AF1854" s="52" t="n">
        <v>0</v>
      </c>
      <c r="AG1854" s="52" t="n">
        <v>0</v>
      </c>
      <c r="AH1854" s="52" t="n">
        <v>0</v>
      </c>
      <c r="AI1854" s="52" t="n">
        <v>0</v>
      </c>
      <c r="AJ1854" s="52" t="n">
        <v>0</v>
      </c>
      <c r="AK1854" s="52" t="n">
        <v>0</v>
      </c>
      <c r="AL1854" s="52" t="n">
        <v>0</v>
      </c>
      <c r="AM1854" s="53" t="n">
        <v>0</v>
      </c>
      <c r="AN1854" s="53" t="n">
        <v>0</v>
      </c>
      <c r="AO1854" s="53" t="n">
        <v>0</v>
      </c>
      <c r="AP1854" s="53" t="n">
        <v>0</v>
      </c>
      <c r="AQ1854" s="52" t="n">
        <v>0</v>
      </c>
      <c r="AR1854" s="52" t="n">
        <v>0</v>
      </c>
      <c r="AS1854" s="52" t="n">
        <v>0</v>
      </c>
      <c r="AT1854" s="52" t="n">
        <v>0</v>
      </c>
      <c r="AU1854" s="53" t="n">
        <v>0</v>
      </c>
      <c r="AV1854" s="53" t="n">
        <v>0</v>
      </c>
      <c r="AW1854" s="53" t="n">
        <v>0</v>
      </c>
      <c r="AX1854" s="53" t="n">
        <v>0</v>
      </c>
      <c r="AY1854" s="52" t="n">
        <v>0</v>
      </c>
      <c r="AZ1854" s="52" t="n">
        <v>0</v>
      </c>
      <c r="BA1854" s="52" t="n">
        <v>0</v>
      </c>
      <c r="BB1854" s="52" t="n">
        <v>0</v>
      </c>
      <c r="BC1854" s="51" t="n">
        <v>0</v>
      </c>
      <c r="BD1854" s="51" t="n">
        <v>0</v>
      </c>
      <c r="BE1854" s="51" t="n">
        <v>0</v>
      </c>
      <c r="BF1854" s="51" t="n">
        <v>0</v>
      </c>
    </row>
    <row r="1855">
      <c r="A1855">
        <f>HYPERLINK("https://www.walmart.com/ip/1237918974", "1237918974")</f>
        <v/>
      </c>
      <c r="B1855" t="inlineStr">
        <is>
          <t>Tirrinia Large Insulated Lunch Tote Bag for Women,Waterproof Oxford Cloth Leakproof Cooler Bag,Shopping Food Grocery Bags for Work Beach, White Lemon</t>
        </is>
      </c>
      <c r="C1855" t="inlineStr">
        <is>
          <t>1TRCB800YLLEM</t>
        </is>
      </c>
      <c r="D1855" t="inlineStr">
        <is>
          <t>Reusable Lunch Bags &amp; Boxes</t>
        </is>
      </c>
      <c r="E1855" t="inlineStr">
        <is>
          <t>Tirrinia</t>
        </is>
      </c>
      <c r="F1855" t="inlineStr">
        <is>
          <t>SEM,Batch 1 - TR</t>
        </is>
      </c>
      <c r="G1855" s="48" t="n">
        <v>0</v>
      </c>
      <c r="H1855" s="48" t="n">
        <v>0</v>
      </c>
      <c r="I1855" s="48" t="n">
        <v>0</v>
      </c>
      <c r="J1855" s="48" t="n">
        <v>0</v>
      </c>
      <c r="K1855" s="49" t="n">
        <v>0</v>
      </c>
      <c r="L1855" s="49" t="n">
        <v>0</v>
      </c>
      <c r="M1855" s="49" t="n">
        <v>0</v>
      </c>
      <c r="N1855" s="49" t="n">
        <v>0</v>
      </c>
      <c r="O1855" s="49" t="n">
        <v>0</v>
      </c>
      <c r="P1855" s="49" t="n">
        <v>0</v>
      </c>
      <c r="Q1855" s="49" t="n">
        <v>0</v>
      </c>
      <c r="R1855" s="49" t="n">
        <v>0</v>
      </c>
      <c r="S1855" s="50" t="n">
        <v>0</v>
      </c>
      <c r="T1855" s="50" t="n">
        <v>0</v>
      </c>
      <c r="U1855" s="50" t="n">
        <v>0</v>
      </c>
      <c r="V1855" s="50" t="n">
        <v>0</v>
      </c>
      <c r="W1855" s="51" t="n">
        <v>0</v>
      </c>
      <c r="X1855" s="51" t="n">
        <v>0</v>
      </c>
      <c r="Y1855" s="51" t="n">
        <v>0</v>
      </c>
      <c r="Z1855" s="51" t="n">
        <v>0</v>
      </c>
      <c r="AA1855" s="52" t="n">
        <v>0</v>
      </c>
      <c r="AB1855" s="52" t="n">
        <v>0</v>
      </c>
      <c r="AC1855" s="52" t="n">
        <v>0</v>
      </c>
      <c r="AD1855" s="52" t="n">
        <v>0</v>
      </c>
      <c r="AE1855" s="52" t="n">
        <v>0</v>
      </c>
      <c r="AF1855" s="52" t="n">
        <v>0</v>
      </c>
      <c r="AG1855" s="52" t="n">
        <v>0</v>
      </c>
      <c r="AH1855" s="52" t="n">
        <v>0</v>
      </c>
      <c r="AI1855" s="52" t="n">
        <v>0</v>
      </c>
      <c r="AJ1855" s="52" t="n">
        <v>0</v>
      </c>
      <c r="AK1855" s="52" t="n">
        <v>0</v>
      </c>
      <c r="AL1855" s="52" t="n">
        <v>0</v>
      </c>
      <c r="AM1855" s="53" t="n">
        <v>0</v>
      </c>
      <c r="AN1855" s="53" t="n">
        <v>0</v>
      </c>
      <c r="AO1855" s="53" t="n">
        <v>0</v>
      </c>
      <c r="AP1855" s="53" t="n">
        <v>0</v>
      </c>
      <c r="AQ1855" s="52" t="n">
        <v>0</v>
      </c>
      <c r="AR1855" s="52" t="n">
        <v>0</v>
      </c>
      <c r="AS1855" s="52" t="n">
        <v>0</v>
      </c>
      <c r="AT1855" s="52" t="n">
        <v>0</v>
      </c>
      <c r="AU1855" s="53" t="n">
        <v>0</v>
      </c>
      <c r="AV1855" s="53" t="n">
        <v>0</v>
      </c>
      <c r="AW1855" s="53" t="n">
        <v>0</v>
      </c>
      <c r="AX1855" s="53" t="n">
        <v>0</v>
      </c>
      <c r="AY1855" s="52" t="n">
        <v>0</v>
      </c>
      <c r="AZ1855" s="52" t="n">
        <v>0</v>
      </c>
      <c r="BA1855" s="52" t="n">
        <v>0</v>
      </c>
      <c r="BB1855" s="52" t="n">
        <v>0</v>
      </c>
      <c r="BC1855" s="51" t="n">
        <v>0</v>
      </c>
      <c r="BD1855" s="51" t="n">
        <v>0</v>
      </c>
      <c r="BE1855" s="51" t="n">
        <v>0</v>
      </c>
      <c r="BF1855" s="51" t="n">
        <v>0</v>
      </c>
    </row>
    <row r="1856">
      <c r="A1856">
        <f>HYPERLINK("https://www.walmart.com/ip/131607386", "131607386")</f>
        <v/>
      </c>
      <c r="B1856" t="inlineStr">
        <is>
          <t>Oversized Hoodie Blanket Sweatshirt,Super Soft Warm Comfortable Fleece Giant Pullover with Large Front Pocket,for Adults Men Women Teenagers Kids Wife Girlfriend</t>
        </is>
      </c>
      <c r="C1856" t="inlineStr">
        <is>
          <t>1WMHD300LGY</t>
        </is>
      </c>
      <c r="D1856" t="inlineStr">
        <is>
          <t>Sweatshirts &amp; Hoodies</t>
        </is>
      </c>
      <c r="E1856" t="inlineStr">
        <is>
          <t>Flyingstar</t>
        </is>
      </c>
      <c r="F1856" t="inlineStr">
        <is>
          <t>Hoodie ForAdult,Optimized</t>
        </is>
      </c>
      <c r="G1856" s="48" t="n">
        <v>0</v>
      </c>
      <c r="H1856" s="48" t="n">
        <v>0</v>
      </c>
      <c r="I1856" s="48" t="n">
        <v>0</v>
      </c>
      <c r="J1856" s="48" t="n">
        <v>0</v>
      </c>
      <c r="K1856" s="49" t="n">
        <v>0</v>
      </c>
      <c r="L1856" s="49" t="n">
        <v>0</v>
      </c>
      <c r="M1856" s="49" t="n">
        <v>0</v>
      </c>
      <c r="N1856" s="49" t="n">
        <v>0</v>
      </c>
      <c r="O1856" s="49" t="n">
        <v>0</v>
      </c>
      <c r="P1856" s="49" t="n">
        <v>0</v>
      </c>
      <c r="Q1856" s="49" t="n">
        <v>0</v>
      </c>
      <c r="R1856" s="49" t="n">
        <v>0</v>
      </c>
      <c r="S1856" s="50" t="n">
        <v>0</v>
      </c>
      <c r="T1856" s="50" t="n">
        <v>0</v>
      </c>
      <c r="U1856" s="50" t="n">
        <v>0</v>
      </c>
      <c r="V1856" s="50" t="n">
        <v>0</v>
      </c>
      <c r="W1856" s="51" t="n">
        <v>0</v>
      </c>
      <c r="X1856" s="51" t="n">
        <v>0</v>
      </c>
      <c r="Y1856" s="51" t="n">
        <v>0</v>
      </c>
      <c r="Z1856" s="51" t="n">
        <v>0</v>
      </c>
      <c r="AA1856" s="52" t="n">
        <v>0</v>
      </c>
      <c r="AB1856" s="52" t="n">
        <v>0</v>
      </c>
      <c r="AC1856" s="52" t="n">
        <v>0</v>
      </c>
      <c r="AD1856" s="52" t="n">
        <v>0</v>
      </c>
      <c r="AE1856" s="52" t="n">
        <v>0</v>
      </c>
      <c r="AF1856" s="52" t="n">
        <v>0</v>
      </c>
      <c r="AG1856" s="52" t="n">
        <v>0</v>
      </c>
      <c r="AH1856" s="52" t="n">
        <v>0</v>
      </c>
      <c r="AI1856" s="52" t="n">
        <v>0</v>
      </c>
      <c r="AJ1856" s="52" t="n">
        <v>0</v>
      </c>
      <c r="AK1856" s="52" t="n">
        <v>0</v>
      </c>
      <c r="AL1856" s="52" t="n">
        <v>0</v>
      </c>
      <c r="AM1856" s="53" t="n">
        <v>0</v>
      </c>
      <c r="AN1856" s="53" t="n">
        <v>0</v>
      </c>
      <c r="AO1856" s="53" t="n">
        <v>0</v>
      </c>
      <c r="AP1856" s="53" t="n">
        <v>0</v>
      </c>
      <c r="AQ1856" s="52" t="n">
        <v>0</v>
      </c>
      <c r="AR1856" s="52" t="n">
        <v>0</v>
      </c>
      <c r="AS1856" s="52" t="n">
        <v>0</v>
      </c>
      <c r="AT1856" s="52" t="n">
        <v>0</v>
      </c>
      <c r="AU1856" s="53" t="n">
        <v>0</v>
      </c>
      <c r="AV1856" s="53" t="n">
        <v>0</v>
      </c>
      <c r="AW1856" s="53" t="n">
        <v>0</v>
      </c>
      <c r="AX1856" s="53" t="n">
        <v>0</v>
      </c>
      <c r="AY1856" s="52" t="n">
        <v>0</v>
      </c>
      <c r="AZ1856" s="52" t="n">
        <v>0</v>
      </c>
      <c r="BA1856" s="52" t="n">
        <v>0</v>
      </c>
      <c r="BB1856" s="52" t="n">
        <v>0</v>
      </c>
      <c r="BC1856" s="51" t="n">
        <v>0</v>
      </c>
      <c r="BD1856" s="51" t="n">
        <v>0</v>
      </c>
      <c r="BE1856" s="51" t="n">
        <v>0</v>
      </c>
      <c r="BF1856" s="51" t="n">
        <v>0</v>
      </c>
    </row>
    <row r="1857">
      <c r="A1857">
        <f>HYPERLINK("https://www.walmart.com/ip/123734194", "123734194")</f>
        <v/>
      </c>
      <c r="B1857" t="inlineStr">
        <is>
          <t>KC Caps Sun Flare Racing Cap Red</t>
        </is>
      </c>
      <c r="C1857" t="inlineStr">
        <is>
          <t>KC-FL11</t>
        </is>
      </c>
      <c r="D1857" t="inlineStr">
        <is>
          <t>Hats</t>
        </is>
      </c>
      <c r="E1857" t="inlineStr">
        <is>
          <t>KC Caps</t>
        </is>
      </c>
      <c r="F1857" t="inlineStr">
        <is>
          <t>Optimized</t>
        </is>
      </c>
      <c r="G1857" s="48" t="n">
        <v>0</v>
      </c>
      <c r="H1857" s="48" t="n">
        <v>0</v>
      </c>
      <c r="I1857" s="48" t="n">
        <v>0</v>
      </c>
      <c r="J1857" s="48" t="n">
        <v>0</v>
      </c>
      <c r="K1857" s="49" t="n">
        <v>0</v>
      </c>
      <c r="L1857" s="49" t="n">
        <v>0</v>
      </c>
      <c r="M1857" s="49" t="n">
        <v>0</v>
      </c>
      <c r="N1857" s="49" t="n">
        <v>0</v>
      </c>
      <c r="O1857" s="49" t="n">
        <v>0</v>
      </c>
      <c r="P1857" s="49" t="n">
        <v>0</v>
      </c>
      <c r="Q1857" s="49" t="n">
        <v>0</v>
      </c>
      <c r="R1857" s="49" t="n">
        <v>0</v>
      </c>
      <c r="S1857" s="50" t="n">
        <v>0</v>
      </c>
      <c r="T1857" s="50" t="n">
        <v>0</v>
      </c>
      <c r="U1857" s="50" t="n">
        <v>0</v>
      </c>
      <c r="V1857" s="50" t="n">
        <v>0</v>
      </c>
      <c r="W1857" s="51" t="n">
        <v>0</v>
      </c>
      <c r="X1857" s="51" t="n">
        <v>0</v>
      </c>
      <c r="Y1857" s="51" t="n">
        <v>0</v>
      </c>
      <c r="Z1857" s="51" t="n">
        <v>0</v>
      </c>
      <c r="AA1857" s="52" t="n">
        <v>0</v>
      </c>
      <c r="AB1857" s="52" t="n">
        <v>0</v>
      </c>
      <c r="AC1857" s="52" t="n">
        <v>0</v>
      </c>
      <c r="AD1857" s="52" t="n">
        <v>0</v>
      </c>
      <c r="AE1857" s="52" t="n">
        <v>0</v>
      </c>
      <c r="AF1857" s="52" t="n">
        <v>0</v>
      </c>
      <c r="AG1857" s="52" t="n">
        <v>0</v>
      </c>
      <c r="AH1857" s="52" t="n">
        <v>0</v>
      </c>
      <c r="AI1857" s="52" t="n">
        <v>0</v>
      </c>
      <c r="AJ1857" s="52" t="n">
        <v>0</v>
      </c>
      <c r="AK1857" s="52" t="n">
        <v>0</v>
      </c>
      <c r="AL1857" s="52" t="n">
        <v>0</v>
      </c>
      <c r="AM1857" s="53" t="n">
        <v>0</v>
      </c>
      <c r="AN1857" s="53" t="n">
        <v>0</v>
      </c>
      <c r="AO1857" s="53" t="n">
        <v>0</v>
      </c>
      <c r="AP1857" s="53" t="n">
        <v>0</v>
      </c>
      <c r="AQ1857" s="52" t="n">
        <v>0</v>
      </c>
      <c r="AR1857" s="52" t="n">
        <v>0</v>
      </c>
      <c r="AS1857" s="52" t="n">
        <v>0</v>
      </c>
      <c r="AT1857" s="52" t="n">
        <v>0</v>
      </c>
      <c r="AU1857" s="53" t="n">
        <v>0</v>
      </c>
      <c r="AV1857" s="53" t="n">
        <v>0</v>
      </c>
      <c r="AW1857" s="53" t="n">
        <v>0</v>
      </c>
      <c r="AX1857" s="53" t="n">
        <v>0</v>
      </c>
      <c r="AY1857" s="52" t="n">
        <v>0</v>
      </c>
      <c r="AZ1857" s="52" t="n">
        <v>0</v>
      </c>
      <c r="BA1857" s="52" t="n">
        <v>0</v>
      </c>
      <c r="BB1857" s="52" t="n">
        <v>0</v>
      </c>
      <c r="BC1857" s="51" t="n">
        <v>0</v>
      </c>
      <c r="BD1857" s="51" t="n">
        <v>0</v>
      </c>
      <c r="BE1857" s="51" t="n">
        <v>0</v>
      </c>
      <c r="BF1857" s="51" t="n">
        <v>0</v>
      </c>
    </row>
    <row r="1858">
      <c r="A1858">
        <f>HYPERLINK("https://www.walmart.com/ip/121318314", "121318314")</f>
        <v/>
      </c>
      <c r="B1858" t="inlineStr">
        <is>
          <t>Terra Baby Mommy Designer Shoulder Diaper Bag Set, Classic Black/White Dot, 19.5" L x 6" W x 13.5" H</t>
        </is>
      </c>
      <c r="C1858" t="inlineStr">
        <is>
          <t>TERRABB-CB02-CC</t>
        </is>
      </c>
      <c r="D1858" t="inlineStr">
        <is>
          <t>Diaper Bags</t>
        </is>
      </c>
      <c r="E1858" t="inlineStr">
        <is>
          <t>Terra Baby</t>
        </is>
      </c>
      <c r="F1858" t="inlineStr">
        <is>
          <t>Baby days,Optimized</t>
        </is>
      </c>
      <c r="G1858" s="48" t="n">
        <v>0</v>
      </c>
      <c r="H1858" s="48" t="n">
        <v>0</v>
      </c>
      <c r="I1858" s="48" t="n">
        <v>0</v>
      </c>
      <c r="J1858" s="48" t="n">
        <v>0</v>
      </c>
      <c r="K1858" s="49" t="n">
        <v>0</v>
      </c>
      <c r="L1858" s="49" t="n">
        <v>0</v>
      </c>
      <c r="M1858" s="49" t="n">
        <v>0</v>
      </c>
      <c r="N1858" s="49" t="n">
        <v>0</v>
      </c>
      <c r="O1858" s="49" t="n">
        <v>0</v>
      </c>
      <c r="P1858" s="49" t="n">
        <v>0</v>
      </c>
      <c r="Q1858" s="49" t="n">
        <v>0</v>
      </c>
      <c r="R1858" s="49" t="n">
        <v>0</v>
      </c>
      <c r="S1858" s="50" t="n">
        <v>0</v>
      </c>
      <c r="T1858" s="50" t="n">
        <v>0</v>
      </c>
      <c r="U1858" s="50" t="n">
        <v>0</v>
      </c>
      <c r="V1858" s="50" t="n">
        <v>0</v>
      </c>
      <c r="W1858" s="51" t="n">
        <v>0</v>
      </c>
      <c r="X1858" s="51" t="n">
        <v>0</v>
      </c>
      <c r="Y1858" s="51" t="n">
        <v>0</v>
      </c>
      <c r="Z1858" s="51" t="n">
        <v>0</v>
      </c>
      <c r="AA1858" s="52" t="n">
        <v>0</v>
      </c>
      <c r="AB1858" s="52" t="n">
        <v>0</v>
      </c>
      <c r="AC1858" s="52" t="n">
        <v>0</v>
      </c>
      <c r="AD1858" s="52" t="n">
        <v>0</v>
      </c>
      <c r="AE1858" s="52" t="n">
        <v>0</v>
      </c>
      <c r="AF1858" s="52" t="n">
        <v>0</v>
      </c>
      <c r="AG1858" s="52" t="n">
        <v>0</v>
      </c>
      <c r="AH1858" s="52" t="n">
        <v>0</v>
      </c>
      <c r="AI1858" s="52" t="n">
        <v>0</v>
      </c>
      <c r="AJ1858" s="52" t="n">
        <v>0</v>
      </c>
      <c r="AK1858" s="52" t="n">
        <v>0</v>
      </c>
      <c r="AL1858" s="52" t="n">
        <v>0</v>
      </c>
      <c r="AM1858" s="53" t="n">
        <v>0</v>
      </c>
      <c r="AN1858" s="53" t="n">
        <v>0</v>
      </c>
      <c r="AO1858" s="53" t="n">
        <v>0</v>
      </c>
      <c r="AP1858" s="53" t="n">
        <v>0</v>
      </c>
      <c r="AQ1858" s="52" t="n">
        <v>0</v>
      </c>
      <c r="AR1858" s="52" t="n">
        <v>0</v>
      </c>
      <c r="AS1858" s="52" t="n">
        <v>0</v>
      </c>
      <c r="AT1858" s="52" t="n">
        <v>0</v>
      </c>
      <c r="AU1858" s="53" t="n">
        <v>0</v>
      </c>
      <c r="AV1858" s="53" t="n">
        <v>0</v>
      </c>
      <c r="AW1858" s="53" t="n">
        <v>0</v>
      </c>
      <c r="AX1858" s="53" t="n">
        <v>0</v>
      </c>
      <c r="AY1858" s="52" t="n">
        <v>0</v>
      </c>
      <c r="AZ1858" s="52" t="n">
        <v>0</v>
      </c>
      <c r="BA1858" s="52" t="n">
        <v>0</v>
      </c>
      <c r="BB1858" s="52" t="n">
        <v>0</v>
      </c>
      <c r="BC1858" s="51" t="n">
        <v>0</v>
      </c>
      <c r="BD1858" s="51" t="n">
        <v>0</v>
      </c>
      <c r="BE1858" s="51" t="n">
        <v>0</v>
      </c>
      <c r="BF1858" s="51" t="n">
        <v>0</v>
      </c>
    </row>
    <row r="1859">
      <c r="A1859">
        <f>HYPERLINK("https://www.walmart.com/ip/121774049", "121774049")</f>
        <v/>
      </c>
      <c r="B1859" t="inlineStr">
        <is>
          <t>KC Caps Youth Washed Bucket Hat One Size Fit Most</t>
        </is>
      </c>
      <c r="C1859" t="inlineStr">
        <is>
          <t>KC9180GN-Y</t>
        </is>
      </c>
      <c r="D1859" t="inlineStr">
        <is>
          <t>Hats</t>
        </is>
      </c>
      <c r="E1859" t="inlineStr">
        <is>
          <t>KC Caps</t>
        </is>
      </c>
      <c r="F1859" t="inlineStr">
        <is>
          <t>Batch 1 - TR</t>
        </is>
      </c>
      <c r="G1859" s="48" t="n">
        <v>0</v>
      </c>
      <c r="H1859" s="48" t="n">
        <v>0</v>
      </c>
      <c r="I1859" s="48" t="n">
        <v>0</v>
      </c>
      <c r="J1859" s="48" t="n">
        <v>0</v>
      </c>
      <c r="K1859" s="49" t="n">
        <v>0</v>
      </c>
      <c r="L1859" s="49" t="n">
        <v>0</v>
      </c>
      <c r="M1859" s="49" t="n">
        <v>0</v>
      </c>
      <c r="N1859" s="49" t="n">
        <v>0</v>
      </c>
      <c r="O1859" s="49" t="n">
        <v>0</v>
      </c>
      <c r="P1859" s="49" t="n">
        <v>0</v>
      </c>
      <c r="Q1859" s="49" t="n">
        <v>0</v>
      </c>
      <c r="R1859" s="49" t="n">
        <v>0</v>
      </c>
      <c r="S1859" s="50" t="n">
        <v>0</v>
      </c>
      <c r="T1859" s="50" t="n">
        <v>0</v>
      </c>
      <c r="U1859" s="50" t="n">
        <v>0</v>
      </c>
      <c r="V1859" s="50" t="n">
        <v>0</v>
      </c>
      <c r="W1859" s="51" t="n">
        <v>0</v>
      </c>
      <c r="X1859" s="51" t="n">
        <v>0</v>
      </c>
      <c r="Y1859" s="51" t="n">
        <v>0</v>
      </c>
      <c r="Z1859" s="51" t="n">
        <v>0</v>
      </c>
      <c r="AA1859" s="52" t="n">
        <v>0</v>
      </c>
      <c r="AB1859" s="52" t="n">
        <v>0</v>
      </c>
      <c r="AC1859" s="52" t="n">
        <v>0</v>
      </c>
      <c r="AD1859" s="52" t="n">
        <v>0</v>
      </c>
      <c r="AE1859" s="52" t="n">
        <v>0</v>
      </c>
      <c r="AF1859" s="52" t="n">
        <v>0</v>
      </c>
      <c r="AG1859" s="52" t="n">
        <v>0</v>
      </c>
      <c r="AH1859" s="52" t="n">
        <v>0</v>
      </c>
      <c r="AI1859" s="52" t="n">
        <v>0</v>
      </c>
      <c r="AJ1859" s="52" t="n">
        <v>0</v>
      </c>
      <c r="AK1859" s="52" t="n">
        <v>0</v>
      </c>
      <c r="AL1859" s="52" t="n">
        <v>0</v>
      </c>
      <c r="AM1859" s="53" t="n">
        <v>0</v>
      </c>
      <c r="AN1859" s="53" t="n">
        <v>0</v>
      </c>
      <c r="AO1859" s="53" t="n">
        <v>0</v>
      </c>
      <c r="AP1859" s="53" t="n">
        <v>0</v>
      </c>
      <c r="AQ1859" s="52" t="n">
        <v>0</v>
      </c>
      <c r="AR1859" s="52" t="n">
        <v>0</v>
      </c>
      <c r="AS1859" s="52" t="n">
        <v>0</v>
      </c>
      <c r="AT1859" s="52" t="n">
        <v>0</v>
      </c>
      <c r="AU1859" s="53" t="n">
        <v>0</v>
      </c>
      <c r="AV1859" s="53" t="n">
        <v>0</v>
      </c>
      <c r="AW1859" s="53" t="n">
        <v>0</v>
      </c>
      <c r="AX1859" s="53" t="n">
        <v>0</v>
      </c>
      <c r="AY1859" s="52" t="n">
        <v>0</v>
      </c>
      <c r="AZ1859" s="52" t="n">
        <v>0</v>
      </c>
      <c r="BA1859" s="52" t="n">
        <v>0</v>
      </c>
      <c r="BB1859" s="52" t="n">
        <v>0</v>
      </c>
      <c r="BC1859" s="51" t="n">
        <v>0</v>
      </c>
      <c r="BD1859" s="51" t="n">
        <v>0</v>
      </c>
      <c r="BE1859" s="51" t="n">
        <v>0</v>
      </c>
      <c r="BF1859" s="51" t="n">
        <v>0</v>
      </c>
    </row>
    <row r="1860">
      <c r="A1860">
        <f>HYPERLINK("https://www.walmart.com/ip/1218977585", "1218977585")</f>
        <v/>
      </c>
      <c r="B1860" t="inlineStr">
        <is>
          <t>Every Day is Christmas Glass Blown Ornaments Cute Hand Made Figurines Tree Decoration, Popcorn Soda</t>
        </is>
      </c>
      <c r="C1860" t="inlineStr">
        <is>
          <t>EDC-FIGURINE-POPCORNSODA</t>
        </is>
      </c>
      <c r="D1860" t="inlineStr">
        <is>
          <t>Ornaments</t>
        </is>
      </c>
      <c r="E1860" t="inlineStr">
        <is>
          <t>Every Day is Christmas</t>
        </is>
      </c>
      <c r="G1860" s="48" t="n">
        <v>0</v>
      </c>
      <c r="H1860" s="48" t="n">
        <v>0</v>
      </c>
      <c r="I1860" s="48" t="n">
        <v>0</v>
      </c>
      <c r="J1860" s="48" t="n">
        <v>0</v>
      </c>
      <c r="K1860" s="49" t="n">
        <v>0</v>
      </c>
      <c r="L1860" s="49" t="n">
        <v>0</v>
      </c>
      <c r="M1860" s="49" t="n">
        <v>0</v>
      </c>
      <c r="N1860" s="49" t="n">
        <v>0</v>
      </c>
      <c r="O1860" s="49" t="n">
        <v>0</v>
      </c>
      <c r="P1860" s="49" t="n">
        <v>0</v>
      </c>
      <c r="Q1860" s="49" t="n">
        <v>0</v>
      </c>
      <c r="R1860" s="49" t="n">
        <v>0</v>
      </c>
      <c r="S1860" s="50" t="n">
        <v>0</v>
      </c>
      <c r="T1860" s="50" t="n">
        <v>0</v>
      </c>
      <c r="U1860" s="50" t="n">
        <v>0</v>
      </c>
      <c r="V1860" s="50" t="n">
        <v>0</v>
      </c>
      <c r="W1860" s="51" t="n">
        <v>0</v>
      </c>
      <c r="X1860" s="51" t="n">
        <v>0</v>
      </c>
      <c r="Y1860" s="51" t="n">
        <v>0</v>
      </c>
      <c r="Z1860" s="51" t="n">
        <v>0</v>
      </c>
      <c r="AA1860" s="52" t="n">
        <v>0</v>
      </c>
      <c r="AB1860" s="52" t="n">
        <v>0</v>
      </c>
      <c r="AC1860" s="52" t="n">
        <v>0</v>
      </c>
      <c r="AD1860" s="52" t="n">
        <v>0</v>
      </c>
      <c r="AE1860" s="52" t="n">
        <v>0</v>
      </c>
      <c r="AF1860" s="52" t="n">
        <v>0</v>
      </c>
      <c r="AG1860" s="52" t="n">
        <v>0</v>
      </c>
      <c r="AH1860" s="52" t="n">
        <v>0</v>
      </c>
      <c r="AI1860" s="52" t="n">
        <v>0</v>
      </c>
      <c r="AJ1860" s="52" t="n">
        <v>0</v>
      </c>
      <c r="AK1860" s="52" t="n">
        <v>0</v>
      </c>
      <c r="AL1860" s="52" t="n">
        <v>0</v>
      </c>
      <c r="AM1860" s="53" t="n">
        <v>0</v>
      </c>
      <c r="AN1860" s="53" t="n">
        <v>0</v>
      </c>
      <c r="AO1860" s="53" t="n">
        <v>0</v>
      </c>
      <c r="AP1860" s="53" t="n">
        <v>0</v>
      </c>
      <c r="AQ1860" s="52" t="n">
        <v>0</v>
      </c>
      <c r="AR1860" s="52" t="n">
        <v>0</v>
      </c>
      <c r="AS1860" s="52" t="n">
        <v>0</v>
      </c>
      <c r="AT1860" s="52" t="n">
        <v>0</v>
      </c>
      <c r="AU1860" s="53" t="n">
        <v>0</v>
      </c>
      <c r="AV1860" s="53" t="n">
        <v>0</v>
      </c>
      <c r="AW1860" s="53" t="n">
        <v>0</v>
      </c>
      <c r="AX1860" s="53" t="n">
        <v>0</v>
      </c>
      <c r="AY1860" s="52" t="n">
        <v>0</v>
      </c>
      <c r="AZ1860" s="52" t="n">
        <v>0</v>
      </c>
      <c r="BA1860" s="52" t="n">
        <v>0</v>
      </c>
      <c r="BB1860" s="52" t="n">
        <v>0</v>
      </c>
      <c r="BC1860" s="51" t="n">
        <v>0</v>
      </c>
      <c r="BD1860" s="51" t="n">
        <v>0</v>
      </c>
      <c r="BE1860" s="51" t="n">
        <v>0</v>
      </c>
      <c r="BF1860" s="51" t="n">
        <v>0</v>
      </c>
    </row>
    <row r="1861">
      <c r="A1861">
        <f>HYPERLINK("https://www.walmart.com/ip/122065024", "122065024")</f>
        <v/>
      </c>
      <c r="B1861" t="inlineStr">
        <is>
          <t>Jennis Women Leopard Lace Garter Belt Stretch G-string Stocking Suspender</t>
        </is>
      </c>
      <c r="C1861" t="inlineStr">
        <is>
          <t>JWBLSPH2108</t>
        </is>
      </c>
      <c r="D1861" t="inlineStr">
        <is>
          <t>Pantyhose &amp; Tights</t>
        </is>
      </c>
      <c r="E1861" t="inlineStr">
        <is>
          <t>JenniWears</t>
        </is>
      </c>
      <c r="F1861" t="inlineStr">
        <is>
          <t>Valentine</t>
        </is>
      </c>
      <c r="G1861" s="48" t="n">
        <v>0</v>
      </c>
      <c r="H1861" s="48" t="n">
        <v>0</v>
      </c>
      <c r="I1861" s="48" t="n">
        <v>0</v>
      </c>
      <c r="J1861" s="48" t="n">
        <v>0</v>
      </c>
      <c r="K1861" s="49" t="n">
        <v>0</v>
      </c>
      <c r="L1861" s="49" t="n">
        <v>0</v>
      </c>
      <c r="M1861" s="49" t="n">
        <v>0</v>
      </c>
      <c r="N1861" s="49" t="n">
        <v>0</v>
      </c>
      <c r="O1861" s="49" t="n">
        <v>0</v>
      </c>
      <c r="P1861" s="49" t="n">
        <v>0</v>
      </c>
      <c r="Q1861" s="49" t="n">
        <v>0</v>
      </c>
      <c r="R1861" s="49" t="n">
        <v>0</v>
      </c>
      <c r="S1861" s="50" t="n">
        <v>0</v>
      </c>
      <c r="T1861" s="50" t="n">
        <v>0</v>
      </c>
      <c r="U1861" s="50" t="n">
        <v>0</v>
      </c>
      <c r="V1861" s="50" t="n">
        <v>0</v>
      </c>
      <c r="W1861" s="51" t="n">
        <v>0</v>
      </c>
      <c r="X1861" s="51" t="n">
        <v>0</v>
      </c>
      <c r="Y1861" s="51" t="n">
        <v>0</v>
      </c>
      <c r="Z1861" s="51" t="n">
        <v>0</v>
      </c>
      <c r="AA1861" s="52" t="n">
        <v>0</v>
      </c>
      <c r="AB1861" s="52" t="n">
        <v>0</v>
      </c>
      <c r="AC1861" s="52" t="n">
        <v>0</v>
      </c>
      <c r="AD1861" s="52" t="n">
        <v>0</v>
      </c>
      <c r="AE1861" s="52" t="n">
        <v>0</v>
      </c>
      <c r="AF1861" s="52" t="n">
        <v>0</v>
      </c>
      <c r="AG1861" s="52" t="n">
        <v>0</v>
      </c>
      <c r="AH1861" s="52" t="n">
        <v>0</v>
      </c>
      <c r="AI1861" s="52" t="n">
        <v>0</v>
      </c>
      <c r="AJ1861" s="52" t="n">
        <v>0</v>
      </c>
      <c r="AK1861" s="52" t="n">
        <v>0</v>
      </c>
      <c r="AL1861" s="52" t="n">
        <v>0</v>
      </c>
      <c r="AM1861" s="53" t="n">
        <v>0</v>
      </c>
      <c r="AN1861" s="53" t="n">
        <v>0</v>
      </c>
      <c r="AO1861" s="53" t="n">
        <v>0</v>
      </c>
      <c r="AP1861" s="53" t="n">
        <v>0</v>
      </c>
      <c r="AQ1861" s="52" t="n">
        <v>0</v>
      </c>
      <c r="AR1861" s="52" t="n">
        <v>0</v>
      </c>
      <c r="AS1861" s="52" t="n">
        <v>0</v>
      </c>
      <c r="AT1861" s="52" t="n">
        <v>0</v>
      </c>
      <c r="AU1861" s="53" t="n">
        <v>0</v>
      </c>
      <c r="AV1861" s="53" t="n">
        <v>0</v>
      </c>
      <c r="AW1861" s="53" t="n">
        <v>0</v>
      </c>
      <c r="AX1861" s="53" t="n">
        <v>0</v>
      </c>
      <c r="AY1861" s="52" t="n">
        <v>0</v>
      </c>
      <c r="AZ1861" s="52" t="n">
        <v>0</v>
      </c>
      <c r="BA1861" s="52" t="n">
        <v>0</v>
      </c>
      <c r="BB1861" s="52" t="n">
        <v>0</v>
      </c>
      <c r="BC1861" s="51" t="n">
        <v>0</v>
      </c>
      <c r="BD1861" s="51" t="n">
        <v>0</v>
      </c>
      <c r="BE1861" s="51" t="n">
        <v>0</v>
      </c>
      <c r="BF1861" s="51" t="n">
        <v>0</v>
      </c>
    </row>
    <row r="1862">
      <c r="A1862">
        <f>HYPERLINK("https://www.walmart.com/ip/1227019998", "1227019998")</f>
        <v/>
      </c>
      <c r="B1862" t="inlineStr">
        <is>
          <t>Every Day is Christmas Glass Blown Ornaments 2021 Cute Hand Made Figurines Tree Decoration, UFO Santa</t>
        </is>
      </c>
      <c r="C1862" t="inlineStr">
        <is>
          <t>EDC-FIGURINE-UFOSANTA</t>
        </is>
      </c>
      <c r="D1862" t="inlineStr">
        <is>
          <t>Ornaments</t>
        </is>
      </c>
      <c r="E1862" t="inlineStr">
        <is>
          <t>Every Day is Christmas</t>
        </is>
      </c>
      <c r="G1862" s="48" t="n">
        <v>0</v>
      </c>
      <c r="H1862" s="48" t="n">
        <v>0</v>
      </c>
      <c r="I1862" s="48" t="n">
        <v>0</v>
      </c>
      <c r="J1862" s="48" t="n">
        <v>0</v>
      </c>
      <c r="K1862" s="49" t="n">
        <v>0</v>
      </c>
      <c r="L1862" s="49" t="n">
        <v>0</v>
      </c>
      <c r="M1862" s="49" t="n">
        <v>0</v>
      </c>
      <c r="N1862" s="49" t="n">
        <v>0</v>
      </c>
      <c r="O1862" s="49" t="n">
        <v>0</v>
      </c>
      <c r="P1862" s="49" t="n">
        <v>0</v>
      </c>
      <c r="Q1862" s="49" t="n">
        <v>0</v>
      </c>
      <c r="R1862" s="49" t="n">
        <v>0</v>
      </c>
      <c r="S1862" s="50" t="n">
        <v>0</v>
      </c>
      <c r="T1862" s="50" t="n">
        <v>0</v>
      </c>
      <c r="U1862" s="50" t="n">
        <v>0</v>
      </c>
      <c r="V1862" s="50" t="n">
        <v>0</v>
      </c>
      <c r="W1862" s="51" t="n">
        <v>0</v>
      </c>
      <c r="X1862" s="51" t="n">
        <v>0</v>
      </c>
      <c r="Y1862" s="51" t="n">
        <v>0</v>
      </c>
      <c r="Z1862" s="51" t="n">
        <v>0</v>
      </c>
      <c r="AA1862" s="52" t="n">
        <v>0</v>
      </c>
      <c r="AB1862" s="52" t="n">
        <v>0</v>
      </c>
      <c r="AC1862" s="52" t="n">
        <v>0</v>
      </c>
      <c r="AD1862" s="52" t="n">
        <v>0</v>
      </c>
      <c r="AE1862" s="52" t="n">
        <v>0</v>
      </c>
      <c r="AF1862" s="52" t="n">
        <v>0</v>
      </c>
      <c r="AG1862" s="52" t="n">
        <v>0</v>
      </c>
      <c r="AH1862" s="52" t="n">
        <v>0</v>
      </c>
      <c r="AI1862" s="52" t="n">
        <v>0</v>
      </c>
      <c r="AJ1862" s="52" t="n">
        <v>0</v>
      </c>
      <c r="AK1862" s="52" t="n">
        <v>0</v>
      </c>
      <c r="AL1862" s="52" t="n">
        <v>0</v>
      </c>
      <c r="AM1862" s="53" t="n">
        <v>0</v>
      </c>
      <c r="AN1862" s="53" t="n">
        <v>0</v>
      </c>
      <c r="AO1862" s="53" t="n">
        <v>0</v>
      </c>
      <c r="AP1862" s="53" t="n">
        <v>0</v>
      </c>
      <c r="AQ1862" s="52" t="n">
        <v>0</v>
      </c>
      <c r="AR1862" s="52" t="n">
        <v>0</v>
      </c>
      <c r="AS1862" s="52" t="n">
        <v>0</v>
      </c>
      <c r="AT1862" s="52" t="n">
        <v>0</v>
      </c>
      <c r="AU1862" s="53" t="n">
        <v>0</v>
      </c>
      <c r="AV1862" s="53" t="n">
        <v>0</v>
      </c>
      <c r="AW1862" s="53" t="n">
        <v>0</v>
      </c>
      <c r="AX1862" s="53" t="n">
        <v>0</v>
      </c>
      <c r="AY1862" s="52" t="n">
        <v>0</v>
      </c>
      <c r="AZ1862" s="52" t="n">
        <v>0</v>
      </c>
      <c r="BA1862" s="52" t="n">
        <v>0</v>
      </c>
      <c r="BB1862" s="52" t="n">
        <v>0</v>
      </c>
      <c r="BC1862" s="51" t="n">
        <v>0</v>
      </c>
      <c r="BD1862" s="51" t="n">
        <v>0</v>
      </c>
      <c r="BE1862" s="51" t="n">
        <v>0</v>
      </c>
      <c r="BF1862" s="51" t="n">
        <v>0</v>
      </c>
    </row>
    <row r="1863">
      <c r="A1863">
        <f>HYPERLINK("https://www.walmart.com/ip/1227165846", "1227165846")</f>
        <v/>
      </c>
      <c r="B1863" t="inlineStr">
        <is>
          <t>Every Day is Christmas Glass Blown Ornaments Cute Hand Made Figurines Tree Decoration, Maneki</t>
        </is>
      </c>
      <c r="C1863" t="inlineStr">
        <is>
          <t>EDC-FIGURINE-MANEKI</t>
        </is>
      </c>
      <c r="D1863" t="inlineStr">
        <is>
          <t>Ornaments</t>
        </is>
      </c>
      <c r="E1863" t="inlineStr">
        <is>
          <t>Every Day is Christmas</t>
        </is>
      </c>
      <c r="G1863" s="48" t="n">
        <v>0</v>
      </c>
      <c r="H1863" s="48" t="n">
        <v>0</v>
      </c>
      <c r="I1863" s="48" t="n">
        <v>0</v>
      </c>
      <c r="J1863" s="48" t="n">
        <v>0</v>
      </c>
      <c r="K1863" s="49" t="n">
        <v>0</v>
      </c>
      <c r="L1863" s="49" t="n">
        <v>0</v>
      </c>
      <c r="M1863" s="49" t="n">
        <v>0</v>
      </c>
      <c r="N1863" s="49" t="n">
        <v>0</v>
      </c>
      <c r="O1863" s="49" t="n">
        <v>0</v>
      </c>
      <c r="P1863" s="49" t="n">
        <v>0</v>
      </c>
      <c r="Q1863" s="49" t="n">
        <v>0</v>
      </c>
      <c r="R1863" s="49" t="n">
        <v>0</v>
      </c>
      <c r="S1863" s="50" t="n">
        <v>0</v>
      </c>
      <c r="T1863" s="50" t="n">
        <v>0</v>
      </c>
      <c r="U1863" s="50" t="n">
        <v>0</v>
      </c>
      <c r="V1863" s="50" t="n">
        <v>0</v>
      </c>
      <c r="W1863" s="51" t="n">
        <v>0</v>
      </c>
      <c r="X1863" s="51" t="n">
        <v>0</v>
      </c>
      <c r="Y1863" s="51" t="n">
        <v>0</v>
      </c>
      <c r="Z1863" s="51" t="n">
        <v>0</v>
      </c>
      <c r="AA1863" s="52" t="n">
        <v>0</v>
      </c>
      <c r="AB1863" s="52" t="n">
        <v>0</v>
      </c>
      <c r="AC1863" s="52" t="n">
        <v>0</v>
      </c>
      <c r="AD1863" s="52" t="n">
        <v>0</v>
      </c>
      <c r="AE1863" s="52" t="n">
        <v>0</v>
      </c>
      <c r="AF1863" s="52" t="n">
        <v>0</v>
      </c>
      <c r="AG1863" s="52" t="n">
        <v>0</v>
      </c>
      <c r="AH1863" s="52" t="n">
        <v>0</v>
      </c>
      <c r="AI1863" s="52" t="n">
        <v>0</v>
      </c>
      <c r="AJ1863" s="52" t="n">
        <v>0</v>
      </c>
      <c r="AK1863" s="52" t="n">
        <v>0</v>
      </c>
      <c r="AL1863" s="52" t="n">
        <v>0</v>
      </c>
      <c r="AM1863" s="53" t="n">
        <v>0</v>
      </c>
      <c r="AN1863" s="53" t="n">
        <v>0</v>
      </c>
      <c r="AO1863" s="53" t="n">
        <v>0</v>
      </c>
      <c r="AP1863" s="53" t="n">
        <v>0</v>
      </c>
      <c r="AQ1863" s="52" t="n">
        <v>0</v>
      </c>
      <c r="AR1863" s="52" t="n">
        <v>0</v>
      </c>
      <c r="AS1863" s="52" t="n">
        <v>0</v>
      </c>
      <c r="AT1863" s="52" t="n">
        <v>0</v>
      </c>
      <c r="AU1863" s="53" t="n">
        <v>0</v>
      </c>
      <c r="AV1863" s="53" t="n">
        <v>0</v>
      </c>
      <c r="AW1863" s="53" t="n">
        <v>0</v>
      </c>
      <c r="AX1863" s="53" t="n">
        <v>0</v>
      </c>
      <c r="AY1863" s="52" t="n">
        <v>0</v>
      </c>
      <c r="AZ1863" s="52" t="n">
        <v>0</v>
      </c>
      <c r="BA1863" s="52" t="n">
        <v>0</v>
      </c>
      <c r="BB1863" s="52" t="n">
        <v>0</v>
      </c>
      <c r="BC1863" s="51" t="n">
        <v>0</v>
      </c>
      <c r="BD1863" s="51" t="n">
        <v>0</v>
      </c>
      <c r="BE1863" s="51" t="n">
        <v>0</v>
      </c>
      <c r="BF1863" s="51" t="n">
        <v>0</v>
      </c>
    </row>
    <row r="1864">
      <c r="A1864">
        <f>HYPERLINK("https://www.walmart.com/ip/1228349737", "1228349737")</f>
        <v/>
      </c>
      <c r="B1864" t="inlineStr">
        <is>
          <t>Catalonia Waterproof Blanket for Couch, Reversible Washable Sofa Bed Coverlet Protecto,| Leak Proof, Comfortable, for People and Pets, Camel/Taupe, 60" x 80"</t>
        </is>
      </c>
      <c r="C1864" t="inlineStr">
        <is>
          <t>1CTBW685TPTP</t>
        </is>
      </c>
      <c r="D1864" t="inlineStr">
        <is>
          <t>Throws</t>
        </is>
      </c>
      <c r="E1864" t="inlineStr">
        <is>
          <t>Catalonia</t>
        </is>
      </c>
      <c r="F1864" t="inlineStr">
        <is>
          <t>Wproof Blanket,Batch 1 - TR</t>
        </is>
      </c>
      <c r="G1864" s="48" t="n">
        <v>0</v>
      </c>
      <c r="H1864" s="48" t="n">
        <v>39.99</v>
      </c>
      <c r="I1864" s="48" t="n">
        <v>39.99</v>
      </c>
      <c r="J1864" s="48" t="n">
        <v>0</v>
      </c>
      <c r="K1864" s="49" t="n">
        <v>0</v>
      </c>
      <c r="L1864" s="49" t="n">
        <v>1</v>
      </c>
      <c r="M1864" s="49" t="n">
        <v>1</v>
      </c>
      <c r="N1864" s="49" t="n">
        <v>0</v>
      </c>
      <c r="O1864" s="49" t="n">
        <v>6</v>
      </c>
      <c r="P1864" s="49" t="n">
        <v>5</v>
      </c>
      <c r="Q1864" s="49" t="n">
        <v>3</v>
      </c>
      <c r="R1864" s="49" t="n">
        <v>0</v>
      </c>
      <c r="S1864" s="50" t="n">
        <v>0</v>
      </c>
      <c r="T1864" s="50" t="n">
        <v>0.2</v>
      </c>
      <c r="U1864" s="50" t="n">
        <v>0.3333333333333333</v>
      </c>
      <c r="V1864" s="50" t="n">
        <v>0</v>
      </c>
      <c r="W1864" s="51" t="n">
        <v>3</v>
      </c>
      <c r="X1864" s="51" t="n">
        <v>8</v>
      </c>
      <c r="Y1864" s="51" t="n">
        <v>14</v>
      </c>
      <c r="Z1864" s="51" t="n">
        <v>2</v>
      </c>
      <c r="AA1864" s="52" t="n">
        <v>1.27</v>
      </c>
      <c r="AB1864" s="52" t="n">
        <v>3.23</v>
      </c>
      <c r="AC1864" s="52" t="n">
        <v>5.39</v>
      </c>
      <c r="AD1864" s="52" t="n">
        <v>0.55</v>
      </c>
      <c r="AE1864" s="52" t="n">
        <v>0</v>
      </c>
      <c r="AF1864" s="52" t="n">
        <v>0</v>
      </c>
      <c r="AG1864" s="52" t="n">
        <v>39.99</v>
      </c>
      <c r="AH1864" s="52" t="n">
        <v>0</v>
      </c>
      <c r="AI1864" s="52" t="n">
        <v>0</v>
      </c>
      <c r="AJ1864" s="52" t="n">
        <v>0</v>
      </c>
      <c r="AK1864" s="52" t="n">
        <v>7.42</v>
      </c>
      <c r="AL1864" s="52" t="n">
        <v>0</v>
      </c>
      <c r="AM1864" s="53" t="n">
        <v>0.0004</v>
      </c>
      <c r="AN1864" s="53" t="n">
        <v>0.0008</v>
      </c>
      <c r="AO1864" s="53" t="n">
        <v>0.0016</v>
      </c>
      <c r="AP1864" s="53" t="n">
        <v>0.0002</v>
      </c>
      <c r="AQ1864" s="52" t="n">
        <v>0.4233333333333333</v>
      </c>
      <c r="AR1864" s="52" t="n">
        <v>0.40375</v>
      </c>
      <c r="AS1864" s="52" t="n">
        <v>0.385</v>
      </c>
      <c r="AT1864" s="52" t="n">
        <v>0.275</v>
      </c>
      <c r="AU1864" s="53" t="n">
        <v>0</v>
      </c>
      <c r="AV1864" s="53" t="n">
        <v>0.08077019254813703</v>
      </c>
      <c r="AW1864" s="53" t="n">
        <v>0.134783695923981</v>
      </c>
      <c r="AX1864" s="53" t="n">
        <v>0</v>
      </c>
      <c r="AY1864" s="52" t="n">
        <v>0</v>
      </c>
      <c r="AZ1864" s="52" t="n">
        <v>39.99</v>
      </c>
      <c r="BA1864" s="52" t="n">
        <v>39.99</v>
      </c>
      <c r="BB1864" s="52" t="n">
        <v>0</v>
      </c>
      <c r="BC1864" s="51" t="n">
        <v>8513</v>
      </c>
      <c r="BD1864" s="51" t="n">
        <v>9511</v>
      </c>
      <c r="BE1864" s="51" t="n">
        <v>8856</v>
      </c>
      <c r="BF1864" s="51" t="n">
        <v>8213</v>
      </c>
    </row>
    <row r="1865">
      <c r="A1865">
        <f>HYPERLINK("https://www.walmart.com/ip/122890179", "122890179")</f>
        <v/>
      </c>
      <c r="B1865" t="inlineStr">
        <is>
          <t>JenniWears® Women Strap Backless Sleepwear Lace Nightwear Mesh Babydoll Wire Lingerie</t>
        </is>
      </c>
      <c r="C1865" t="inlineStr">
        <is>
          <t>JWBD010BL-XL</t>
        </is>
      </c>
      <c r="D1865" t="inlineStr">
        <is>
          <t>Lingerie Sets</t>
        </is>
      </c>
      <c r="E1865" t="inlineStr">
        <is>
          <t>JenniWears</t>
        </is>
      </c>
      <c r="F1865" t="inlineStr">
        <is>
          <t>Optimized,Valentine</t>
        </is>
      </c>
      <c r="G1865" s="48" t="n">
        <v>0</v>
      </c>
      <c r="H1865" s="48" t="n">
        <v>0</v>
      </c>
      <c r="I1865" s="48" t="n">
        <v>0</v>
      </c>
      <c r="J1865" s="48" t="n">
        <v>0</v>
      </c>
      <c r="K1865" s="49" t="n">
        <v>0</v>
      </c>
      <c r="L1865" s="49" t="n">
        <v>0</v>
      </c>
      <c r="M1865" s="49" t="n">
        <v>0</v>
      </c>
      <c r="N1865" s="49" t="n">
        <v>0</v>
      </c>
      <c r="O1865" s="49" t="n">
        <v>0</v>
      </c>
      <c r="P1865" s="49" t="n">
        <v>0</v>
      </c>
      <c r="Q1865" s="49" t="n">
        <v>0</v>
      </c>
      <c r="R1865" s="49" t="n">
        <v>0</v>
      </c>
      <c r="S1865" s="50" t="n">
        <v>0</v>
      </c>
      <c r="T1865" s="50" t="n">
        <v>0</v>
      </c>
      <c r="U1865" s="50" t="n">
        <v>0</v>
      </c>
      <c r="V1865" s="50" t="n">
        <v>0</v>
      </c>
      <c r="W1865" s="51" t="n">
        <v>0</v>
      </c>
      <c r="X1865" s="51" t="n">
        <v>0</v>
      </c>
      <c r="Y1865" s="51" t="n">
        <v>0</v>
      </c>
      <c r="Z1865" s="51" t="n">
        <v>0</v>
      </c>
      <c r="AA1865" s="52" t="n">
        <v>0</v>
      </c>
      <c r="AB1865" s="52" t="n">
        <v>0</v>
      </c>
      <c r="AC1865" s="52" t="n">
        <v>0</v>
      </c>
      <c r="AD1865" s="52" t="n">
        <v>0</v>
      </c>
      <c r="AE1865" s="52" t="n">
        <v>0</v>
      </c>
      <c r="AF1865" s="52" t="n">
        <v>0</v>
      </c>
      <c r="AG1865" s="52" t="n">
        <v>0</v>
      </c>
      <c r="AH1865" s="52" t="n">
        <v>0</v>
      </c>
      <c r="AI1865" s="52" t="n">
        <v>0</v>
      </c>
      <c r="AJ1865" s="52" t="n">
        <v>0</v>
      </c>
      <c r="AK1865" s="52" t="n">
        <v>0</v>
      </c>
      <c r="AL1865" s="52" t="n">
        <v>0</v>
      </c>
      <c r="AM1865" s="53" t="n">
        <v>0</v>
      </c>
      <c r="AN1865" s="53" t="n">
        <v>0</v>
      </c>
      <c r="AO1865" s="53" t="n">
        <v>0</v>
      </c>
      <c r="AP1865" s="53" t="n">
        <v>0</v>
      </c>
      <c r="AQ1865" s="52" t="n">
        <v>0</v>
      </c>
      <c r="AR1865" s="52" t="n">
        <v>0</v>
      </c>
      <c r="AS1865" s="52" t="n">
        <v>0</v>
      </c>
      <c r="AT1865" s="52" t="n">
        <v>0</v>
      </c>
      <c r="AU1865" s="53" t="n">
        <v>0</v>
      </c>
      <c r="AV1865" s="53" t="n">
        <v>0</v>
      </c>
      <c r="AW1865" s="53" t="n">
        <v>0</v>
      </c>
      <c r="AX1865" s="53" t="n">
        <v>0</v>
      </c>
      <c r="AY1865" s="52" t="n">
        <v>0</v>
      </c>
      <c r="AZ1865" s="52" t="n">
        <v>0</v>
      </c>
      <c r="BA1865" s="52" t="n">
        <v>0</v>
      </c>
      <c r="BB1865" s="52" t="n">
        <v>0</v>
      </c>
      <c r="BC1865" s="51" t="n">
        <v>0</v>
      </c>
      <c r="BD1865" s="51" t="n">
        <v>0</v>
      </c>
      <c r="BE1865" s="51" t="n">
        <v>0</v>
      </c>
      <c r="BF1865" s="51" t="n">
        <v>0</v>
      </c>
    </row>
    <row r="1866">
      <c r="A1866">
        <f>HYPERLINK("https://www.walmart.com/ip/122909337", "122909337")</f>
        <v/>
      </c>
      <c r="B1866" t="inlineStr">
        <is>
          <t>KC Caps® Unisex Cotton Baseball Cap Adjustable Plain Hat (21 Styles/Colors)</t>
        </is>
      </c>
      <c r="C1866" t="inlineStr">
        <is>
          <t>KC8010GN</t>
        </is>
      </c>
      <c r="D1866" t="inlineStr">
        <is>
          <t>Hats</t>
        </is>
      </c>
      <c r="E1866" t="inlineStr">
        <is>
          <t>KC Caps</t>
        </is>
      </c>
      <c r="F1866" t="inlineStr">
        <is>
          <t>Optimized</t>
        </is>
      </c>
      <c r="G1866" s="48" t="n">
        <v>0</v>
      </c>
      <c r="H1866" s="48" t="n">
        <v>0</v>
      </c>
      <c r="I1866" s="48" t="n">
        <v>0</v>
      </c>
      <c r="J1866" s="48" t="n">
        <v>0</v>
      </c>
      <c r="K1866" s="49" t="n">
        <v>0</v>
      </c>
      <c r="L1866" s="49" t="n">
        <v>0</v>
      </c>
      <c r="M1866" s="49" t="n">
        <v>0</v>
      </c>
      <c r="N1866" s="49" t="n">
        <v>0</v>
      </c>
      <c r="O1866" s="49" t="n">
        <v>0</v>
      </c>
      <c r="P1866" s="49" t="n">
        <v>0</v>
      </c>
      <c r="Q1866" s="49" t="n">
        <v>0</v>
      </c>
      <c r="R1866" s="49" t="n">
        <v>0</v>
      </c>
      <c r="S1866" s="50" t="n">
        <v>0</v>
      </c>
      <c r="T1866" s="50" t="n">
        <v>0</v>
      </c>
      <c r="U1866" s="50" t="n">
        <v>0</v>
      </c>
      <c r="V1866" s="50" t="n">
        <v>0</v>
      </c>
      <c r="W1866" s="51" t="n">
        <v>0</v>
      </c>
      <c r="X1866" s="51" t="n">
        <v>0</v>
      </c>
      <c r="Y1866" s="51" t="n">
        <v>0</v>
      </c>
      <c r="Z1866" s="51" t="n">
        <v>0</v>
      </c>
      <c r="AA1866" s="52" t="n">
        <v>0</v>
      </c>
      <c r="AB1866" s="52" t="n">
        <v>0</v>
      </c>
      <c r="AC1866" s="52" t="n">
        <v>0</v>
      </c>
      <c r="AD1866" s="52" t="n">
        <v>0</v>
      </c>
      <c r="AE1866" s="52" t="n">
        <v>0</v>
      </c>
      <c r="AF1866" s="52" t="n">
        <v>0</v>
      </c>
      <c r="AG1866" s="52" t="n">
        <v>0</v>
      </c>
      <c r="AH1866" s="52" t="n">
        <v>0</v>
      </c>
      <c r="AI1866" s="52" t="n">
        <v>0</v>
      </c>
      <c r="AJ1866" s="52" t="n">
        <v>0</v>
      </c>
      <c r="AK1866" s="52" t="n">
        <v>0</v>
      </c>
      <c r="AL1866" s="52" t="n">
        <v>0</v>
      </c>
      <c r="AM1866" s="53" t="n">
        <v>0</v>
      </c>
      <c r="AN1866" s="53" t="n">
        <v>0</v>
      </c>
      <c r="AO1866" s="53" t="n">
        <v>0</v>
      </c>
      <c r="AP1866" s="53" t="n">
        <v>0</v>
      </c>
      <c r="AQ1866" s="52" t="n">
        <v>0</v>
      </c>
      <c r="AR1866" s="52" t="n">
        <v>0</v>
      </c>
      <c r="AS1866" s="52" t="n">
        <v>0</v>
      </c>
      <c r="AT1866" s="52" t="n">
        <v>0</v>
      </c>
      <c r="AU1866" s="53" t="n">
        <v>0</v>
      </c>
      <c r="AV1866" s="53" t="n">
        <v>0</v>
      </c>
      <c r="AW1866" s="53" t="n">
        <v>0</v>
      </c>
      <c r="AX1866" s="53" t="n">
        <v>0</v>
      </c>
      <c r="AY1866" s="52" t="n">
        <v>0</v>
      </c>
      <c r="AZ1866" s="52" t="n">
        <v>0</v>
      </c>
      <c r="BA1866" s="52" t="n">
        <v>0</v>
      </c>
      <c r="BB1866" s="52" t="n">
        <v>0</v>
      </c>
      <c r="BC1866" s="51" t="n">
        <v>0</v>
      </c>
      <c r="BD1866" s="51" t="n">
        <v>0</v>
      </c>
      <c r="BE1866" s="51" t="n">
        <v>0</v>
      </c>
      <c r="BF1866" s="51" t="n">
        <v>0</v>
      </c>
    </row>
    <row r="1867">
      <c r="A1867">
        <f>HYPERLINK("https://www.walmart.com/ip/122909870", "122909870")</f>
        <v/>
      </c>
      <c r="B1867" t="inlineStr">
        <is>
          <t>KC Caps Unisex Adjustable Snap Closure USA Flag Embroidered Cap Hat</t>
        </is>
      </c>
      <c r="C1867" t="inlineStr">
        <is>
          <t>kc-ae-6100-rd</t>
        </is>
      </c>
      <c r="D1867" t="inlineStr">
        <is>
          <t>Hats</t>
        </is>
      </c>
      <c r="E1867" t="inlineStr">
        <is>
          <t>KC Caps</t>
        </is>
      </c>
      <c r="F1867" t="inlineStr">
        <is>
          <t>Optimized</t>
        </is>
      </c>
      <c r="G1867" s="48" t="n">
        <v>0</v>
      </c>
      <c r="H1867" s="48" t="n">
        <v>0</v>
      </c>
      <c r="I1867" s="48" t="n">
        <v>0</v>
      </c>
      <c r="J1867" s="48" t="n">
        <v>0</v>
      </c>
      <c r="K1867" s="49" t="n">
        <v>0</v>
      </c>
      <c r="L1867" s="49" t="n">
        <v>0</v>
      </c>
      <c r="M1867" s="49" t="n">
        <v>0</v>
      </c>
      <c r="N1867" s="49" t="n">
        <v>0</v>
      </c>
      <c r="O1867" s="49" t="n">
        <v>0</v>
      </c>
      <c r="P1867" s="49" t="n">
        <v>0</v>
      </c>
      <c r="Q1867" s="49" t="n">
        <v>0</v>
      </c>
      <c r="R1867" s="49" t="n">
        <v>0</v>
      </c>
      <c r="S1867" s="50" t="n">
        <v>0</v>
      </c>
      <c r="T1867" s="50" t="n">
        <v>0</v>
      </c>
      <c r="U1867" s="50" t="n">
        <v>0</v>
      </c>
      <c r="V1867" s="50" t="n">
        <v>0</v>
      </c>
      <c r="W1867" s="51" t="n">
        <v>0</v>
      </c>
      <c r="X1867" s="51" t="n">
        <v>0</v>
      </c>
      <c r="Y1867" s="51" t="n">
        <v>0</v>
      </c>
      <c r="Z1867" s="51" t="n">
        <v>0</v>
      </c>
      <c r="AA1867" s="52" t="n">
        <v>0</v>
      </c>
      <c r="AB1867" s="52" t="n">
        <v>0</v>
      </c>
      <c r="AC1867" s="52" t="n">
        <v>0</v>
      </c>
      <c r="AD1867" s="52" t="n">
        <v>0</v>
      </c>
      <c r="AE1867" s="52" t="n">
        <v>0</v>
      </c>
      <c r="AF1867" s="52" t="n">
        <v>0</v>
      </c>
      <c r="AG1867" s="52" t="n">
        <v>0</v>
      </c>
      <c r="AH1867" s="52" t="n">
        <v>0</v>
      </c>
      <c r="AI1867" s="52" t="n">
        <v>0</v>
      </c>
      <c r="AJ1867" s="52" t="n">
        <v>0</v>
      </c>
      <c r="AK1867" s="52" t="n">
        <v>0</v>
      </c>
      <c r="AL1867" s="52" t="n">
        <v>0</v>
      </c>
      <c r="AM1867" s="53" t="n">
        <v>0</v>
      </c>
      <c r="AN1867" s="53" t="n">
        <v>0</v>
      </c>
      <c r="AO1867" s="53" t="n">
        <v>0</v>
      </c>
      <c r="AP1867" s="53" t="n">
        <v>0</v>
      </c>
      <c r="AQ1867" s="52" t="n">
        <v>0</v>
      </c>
      <c r="AR1867" s="52" t="n">
        <v>0</v>
      </c>
      <c r="AS1867" s="52" t="n">
        <v>0</v>
      </c>
      <c r="AT1867" s="52" t="n">
        <v>0</v>
      </c>
      <c r="AU1867" s="53" t="n">
        <v>0</v>
      </c>
      <c r="AV1867" s="53" t="n">
        <v>0</v>
      </c>
      <c r="AW1867" s="53" t="n">
        <v>0</v>
      </c>
      <c r="AX1867" s="53" t="n">
        <v>0</v>
      </c>
      <c r="AY1867" s="52" t="n">
        <v>0</v>
      </c>
      <c r="AZ1867" s="52" t="n">
        <v>0</v>
      </c>
      <c r="BA1867" s="52" t="n">
        <v>0</v>
      </c>
      <c r="BB1867" s="52" t="n">
        <v>0</v>
      </c>
      <c r="BC1867" s="51" t="n">
        <v>0</v>
      </c>
      <c r="BD1867" s="51" t="n">
        <v>0</v>
      </c>
      <c r="BE1867" s="51" t="n">
        <v>0</v>
      </c>
      <c r="BF1867" s="51" t="n">
        <v>0</v>
      </c>
    </row>
    <row r="1868">
      <c r="A1868">
        <f>HYPERLINK("https://www.walmart.com/ip/1230759371", "1230759371")</f>
        <v/>
      </c>
      <c r="B1868" t="inlineStr">
        <is>
          <t>Sherpa Throw Blanket Fleece, Super Cozy Warm TV Blankets for Bed or Couch Reversible 60" x 80"</t>
        </is>
      </c>
      <c r="C1868" t="inlineStr">
        <is>
          <t>1TRBF368XMAS</t>
        </is>
      </c>
      <c r="D1868" t="inlineStr">
        <is>
          <t>Throws</t>
        </is>
      </c>
      <c r="E1868" t="inlineStr">
        <is>
          <t>Tirrinia</t>
        </is>
      </c>
      <c r="G1868" s="48" t="n">
        <v>0</v>
      </c>
      <c r="H1868" s="48" t="n">
        <v>0</v>
      </c>
      <c r="I1868" s="48" t="n">
        <v>0</v>
      </c>
      <c r="J1868" s="48" t="n">
        <v>0</v>
      </c>
      <c r="K1868" s="49" t="n">
        <v>0</v>
      </c>
      <c r="L1868" s="49" t="n">
        <v>0</v>
      </c>
      <c r="M1868" s="49" t="n">
        <v>0</v>
      </c>
      <c r="N1868" s="49" t="n">
        <v>0</v>
      </c>
      <c r="O1868" s="49" t="n">
        <v>0</v>
      </c>
      <c r="P1868" s="49" t="n">
        <v>0</v>
      </c>
      <c r="Q1868" s="49" t="n">
        <v>0</v>
      </c>
      <c r="R1868" s="49" t="n">
        <v>0</v>
      </c>
      <c r="S1868" s="50" t="n">
        <v>0</v>
      </c>
      <c r="T1868" s="50" t="n">
        <v>0</v>
      </c>
      <c r="U1868" s="50" t="n">
        <v>0</v>
      </c>
      <c r="V1868" s="50" t="n">
        <v>0</v>
      </c>
      <c r="W1868" s="51" t="n">
        <v>0</v>
      </c>
      <c r="X1868" s="51" t="n">
        <v>0</v>
      </c>
      <c r="Y1868" s="51" t="n">
        <v>0</v>
      </c>
      <c r="Z1868" s="51" t="n">
        <v>0</v>
      </c>
      <c r="AA1868" s="52" t="n">
        <v>0</v>
      </c>
      <c r="AB1868" s="52" t="n">
        <v>0</v>
      </c>
      <c r="AC1868" s="52" t="n">
        <v>0</v>
      </c>
      <c r="AD1868" s="52" t="n">
        <v>0</v>
      </c>
      <c r="AE1868" s="52" t="n">
        <v>0</v>
      </c>
      <c r="AF1868" s="52" t="n">
        <v>0</v>
      </c>
      <c r="AG1868" s="52" t="n">
        <v>0</v>
      </c>
      <c r="AH1868" s="52" t="n">
        <v>0</v>
      </c>
      <c r="AI1868" s="52" t="n">
        <v>0</v>
      </c>
      <c r="AJ1868" s="52" t="n">
        <v>0</v>
      </c>
      <c r="AK1868" s="52" t="n">
        <v>0</v>
      </c>
      <c r="AL1868" s="52" t="n">
        <v>0</v>
      </c>
      <c r="AM1868" s="53" t="n">
        <v>0</v>
      </c>
      <c r="AN1868" s="53" t="n">
        <v>0</v>
      </c>
      <c r="AO1868" s="53" t="n">
        <v>0</v>
      </c>
      <c r="AP1868" s="53" t="n">
        <v>0</v>
      </c>
      <c r="AQ1868" s="52" t="n">
        <v>0</v>
      </c>
      <c r="AR1868" s="52" t="n">
        <v>0</v>
      </c>
      <c r="AS1868" s="52" t="n">
        <v>0</v>
      </c>
      <c r="AT1868" s="52" t="n">
        <v>0</v>
      </c>
      <c r="AU1868" s="53" t="n">
        <v>0</v>
      </c>
      <c r="AV1868" s="53" t="n">
        <v>0</v>
      </c>
      <c r="AW1868" s="53" t="n">
        <v>0</v>
      </c>
      <c r="AX1868" s="53" t="n">
        <v>0</v>
      </c>
      <c r="AY1868" s="52" t="n">
        <v>0</v>
      </c>
      <c r="AZ1868" s="52" t="n">
        <v>0</v>
      </c>
      <c r="BA1868" s="52" t="n">
        <v>0</v>
      </c>
      <c r="BB1868" s="52" t="n">
        <v>0</v>
      </c>
      <c r="BC1868" s="51" t="n">
        <v>0</v>
      </c>
      <c r="BD1868" s="51" t="n">
        <v>0</v>
      </c>
      <c r="BE1868" s="51" t="n">
        <v>0</v>
      </c>
      <c r="BF1868" s="51" t="n">
        <v>0</v>
      </c>
    </row>
    <row r="1869">
      <c r="A1869">
        <f>HYPERLINK("https://www.walmart.com/ip/123177199", "123177199")</f>
        <v/>
      </c>
      <c r="B1869" t="inlineStr">
        <is>
          <t>Catalonia Snuggie Tails Toddlers Blanket Kids Sleep Bag Warm Plush Super Soft for Baby Children Teen Boy Girl</t>
        </is>
      </c>
      <c r="C1869" t="inlineStr">
        <is>
          <t>1WMMM200PG</t>
        </is>
      </c>
      <c r="D1869" t="inlineStr">
        <is>
          <t>Baby Sleepsacks</t>
        </is>
      </c>
      <c r="E1869" t="inlineStr">
        <is>
          <t>Flyingstar</t>
        </is>
      </c>
      <c r="F1869" t="inlineStr">
        <is>
          <t>Baby days,Optimized</t>
        </is>
      </c>
      <c r="G1869" s="48" t="n">
        <v>0</v>
      </c>
      <c r="H1869" s="48" t="n">
        <v>0</v>
      </c>
      <c r="I1869" s="48" t="n">
        <v>0</v>
      </c>
      <c r="J1869" s="48" t="n">
        <v>0</v>
      </c>
      <c r="K1869" s="49" t="n">
        <v>0</v>
      </c>
      <c r="L1869" s="49" t="n">
        <v>0</v>
      </c>
      <c r="M1869" s="49" t="n">
        <v>0</v>
      </c>
      <c r="N1869" s="49" t="n">
        <v>0</v>
      </c>
      <c r="O1869" s="49" t="n">
        <v>0</v>
      </c>
      <c r="P1869" s="49" t="n">
        <v>0</v>
      </c>
      <c r="Q1869" s="49" t="n">
        <v>0</v>
      </c>
      <c r="R1869" s="49" t="n">
        <v>0</v>
      </c>
      <c r="S1869" s="50" t="n">
        <v>0</v>
      </c>
      <c r="T1869" s="50" t="n">
        <v>0</v>
      </c>
      <c r="U1869" s="50" t="n">
        <v>0</v>
      </c>
      <c r="V1869" s="50" t="n">
        <v>0</v>
      </c>
      <c r="W1869" s="51" t="n">
        <v>0</v>
      </c>
      <c r="X1869" s="51" t="n">
        <v>0</v>
      </c>
      <c r="Y1869" s="51" t="n">
        <v>0</v>
      </c>
      <c r="Z1869" s="51" t="n">
        <v>0</v>
      </c>
      <c r="AA1869" s="52" t="n">
        <v>0</v>
      </c>
      <c r="AB1869" s="52" t="n">
        <v>0</v>
      </c>
      <c r="AC1869" s="52" t="n">
        <v>0</v>
      </c>
      <c r="AD1869" s="52" t="n">
        <v>0</v>
      </c>
      <c r="AE1869" s="52" t="n">
        <v>0</v>
      </c>
      <c r="AF1869" s="52" t="n">
        <v>0</v>
      </c>
      <c r="AG1869" s="52" t="n">
        <v>0</v>
      </c>
      <c r="AH1869" s="52" t="n">
        <v>0</v>
      </c>
      <c r="AI1869" s="52" t="n">
        <v>0</v>
      </c>
      <c r="AJ1869" s="52" t="n">
        <v>0</v>
      </c>
      <c r="AK1869" s="52" t="n">
        <v>0</v>
      </c>
      <c r="AL1869" s="52" t="n">
        <v>0</v>
      </c>
      <c r="AM1869" s="53" t="n">
        <v>0</v>
      </c>
      <c r="AN1869" s="53" t="n">
        <v>0</v>
      </c>
      <c r="AO1869" s="53" t="n">
        <v>0</v>
      </c>
      <c r="AP1869" s="53" t="n">
        <v>0</v>
      </c>
      <c r="AQ1869" s="52" t="n">
        <v>0</v>
      </c>
      <c r="AR1869" s="52" t="n">
        <v>0</v>
      </c>
      <c r="AS1869" s="52" t="n">
        <v>0</v>
      </c>
      <c r="AT1869" s="52" t="n">
        <v>0</v>
      </c>
      <c r="AU1869" s="53" t="n">
        <v>0</v>
      </c>
      <c r="AV1869" s="53" t="n">
        <v>0</v>
      </c>
      <c r="AW1869" s="53" t="n">
        <v>0</v>
      </c>
      <c r="AX1869" s="53" t="n">
        <v>0</v>
      </c>
      <c r="AY1869" s="52" t="n">
        <v>0</v>
      </c>
      <c r="AZ1869" s="52" t="n">
        <v>0</v>
      </c>
      <c r="BA1869" s="52" t="n">
        <v>0</v>
      </c>
      <c r="BB1869" s="52" t="n">
        <v>0</v>
      </c>
      <c r="BC1869" s="51" t="n">
        <v>0</v>
      </c>
      <c r="BD1869" s="51" t="n">
        <v>0</v>
      </c>
      <c r="BE1869" s="51" t="n">
        <v>0</v>
      </c>
      <c r="BF1869" s="51" t="n">
        <v>0</v>
      </c>
    </row>
    <row r="1870">
      <c r="A1870">
        <f>HYPERLINK("https://www.walmart.com/ip/1231800917", "1231800917")</f>
        <v/>
      </c>
      <c r="B1870" t="inlineStr">
        <is>
          <t>Every Day is Christmas Glass Blown Ornaments Cute Hand Made Figurines Tree Decoration, Watermelon</t>
        </is>
      </c>
      <c r="C1870" t="inlineStr">
        <is>
          <t>EDC-FIGURINE-WATERMELON</t>
        </is>
      </c>
      <c r="D1870" t="inlineStr">
        <is>
          <t>Ornaments</t>
        </is>
      </c>
      <c r="E1870" t="inlineStr">
        <is>
          <t>Every Day is Christmas</t>
        </is>
      </c>
      <c r="G1870" s="48" t="n">
        <v>0</v>
      </c>
      <c r="H1870" s="48" t="n">
        <v>0</v>
      </c>
      <c r="I1870" s="48" t="n">
        <v>0</v>
      </c>
      <c r="J1870" s="48" t="n">
        <v>0</v>
      </c>
      <c r="K1870" s="49" t="n">
        <v>0</v>
      </c>
      <c r="L1870" s="49" t="n">
        <v>0</v>
      </c>
      <c r="M1870" s="49" t="n">
        <v>0</v>
      </c>
      <c r="N1870" s="49" t="n">
        <v>0</v>
      </c>
      <c r="O1870" s="49" t="n">
        <v>0</v>
      </c>
      <c r="P1870" s="49" t="n">
        <v>0</v>
      </c>
      <c r="Q1870" s="49" t="n">
        <v>0</v>
      </c>
      <c r="R1870" s="49" t="n">
        <v>0</v>
      </c>
      <c r="S1870" s="50" t="n">
        <v>0</v>
      </c>
      <c r="T1870" s="50" t="n">
        <v>0</v>
      </c>
      <c r="U1870" s="50" t="n">
        <v>0</v>
      </c>
      <c r="V1870" s="50" t="n">
        <v>0</v>
      </c>
      <c r="W1870" s="51" t="n">
        <v>0</v>
      </c>
      <c r="X1870" s="51" t="n">
        <v>0</v>
      </c>
      <c r="Y1870" s="51" t="n">
        <v>0</v>
      </c>
      <c r="Z1870" s="51" t="n">
        <v>0</v>
      </c>
      <c r="AA1870" s="52" t="n">
        <v>0</v>
      </c>
      <c r="AB1870" s="52" t="n">
        <v>0</v>
      </c>
      <c r="AC1870" s="52" t="n">
        <v>0</v>
      </c>
      <c r="AD1870" s="52" t="n">
        <v>0</v>
      </c>
      <c r="AE1870" s="52" t="n">
        <v>0</v>
      </c>
      <c r="AF1870" s="52" t="n">
        <v>0</v>
      </c>
      <c r="AG1870" s="52" t="n">
        <v>0</v>
      </c>
      <c r="AH1870" s="52" t="n">
        <v>0</v>
      </c>
      <c r="AI1870" s="52" t="n">
        <v>0</v>
      </c>
      <c r="AJ1870" s="52" t="n">
        <v>0</v>
      </c>
      <c r="AK1870" s="52" t="n">
        <v>0</v>
      </c>
      <c r="AL1870" s="52" t="n">
        <v>0</v>
      </c>
      <c r="AM1870" s="53" t="n">
        <v>0</v>
      </c>
      <c r="AN1870" s="53" t="n">
        <v>0</v>
      </c>
      <c r="AO1870" s="53" t="n">
        <v>0</v>
      </c>
      <c r="AP1870" s="53" t="n">
        <v>0</v>
      </c>
      <c r="AQ1870" s="52" t="n">
        <v>0</v>
      </c>
      <c r="AR1870" s="52" t="n">
        <v>0</v>
      </c>
      <c r="AS1870" s="52" t="n">
        <v>0</v>
      </c>
      <c r="AT1870" s="52" t="n">
        <v>0</v>
      </c>
      <c r="AU1870" s="53" t="n">
        <v>0</v>
      </c>
      <c r="AV1870" s="53" t="n">
        <v>0</v>
      </c>
      <c r="AW1870" s="53" t="n">
        <v>0</v>
      </c>
      <c r="AX1870" s="53" t="n">
        <v>0</v>
      </c>
      <c r="AY1870" s="52" t="n">
        <v>0</v>
      </c>
      <c r="AZ1870" s="52" t="n">
        <v>0</v>
      </c>
      <c r="BA1870" s="52" t="n">
        <v>0</v>
      </c>
      <c r="BB1870" s="52" t="n">
        <v>0</v>
      </c>
      <c r="BC1870" s="51" t="n">
        <v>0</v>
      </c>
      <c r="BD1870" s="51" t="n">
        <v>0</v>
      </c>
      <c r="BE1870" s="51" t="n">
        <v>0</v>
      </c>
      <c r="BF1870" s="51" t="n">
        <v>0</v>
      </c>
    </row>
    <row r="1871">
      <c r="A1871">
        <f>HYPERLINK("https://www.walmart.com/ip/1233029912", "1233029912")</f>
        <v/>
      </c>
      <c r="B1871" t="inlineStr">
        <is>
          <t>Tirrinia Men's Trout Ventilate Mesh Fish Embroidery Cap Fishing Hat Navy Blue</t>
        </is>
      </c>
      <c r="C1871" t="inlineStr">
        <is>
          <t>1TRHT7180BRKUP-TBCB</t>
        </is>
      </c>
      <c r="D1871" t="inlineStr">
        <is>
          <t>Hats</t>
        </is>
      </c>
      <c r="E1871" t="inlineStr">
        <is>
          <t>Tirrinia</t>
        </is>
      </c>
      <c r="F1871" t="inlineStr">
        <is>
          <t>Batch 1 - TR</t>
        </is>
      </c>
      <c r="G1871" s="48" t="n">
        <v>0</v>
      </c>
      <c r="H1871" s="48" t="n">
        <v>0</v>
      </c>
      <c r="I1871" s="48" t="n">
        <v>0</v>
      </c>
      <c r="J1871" s="48" t="n">
        <v>0</v>
      </c>
      <c r="K1871" s="49" t="n">
        <v>0</v>
      </c>
      <c r="L1871" s="49" t="n">
        <v>0</v>
      </c>
      <c r="M1871" s="49" t="n">
        <v>0</v>
      </c>
      <c r="N1871" s="49" t="n">
        <v>0</v>
      </c>
      <c r="O1871" s="49" t="n">
        <v>0</v>
      </c>
      <c r="P1871" s="49" t="n">
        <v>0</v>
      </c>
      <c r="Q1871" s="49" t="n">
        <v>0</v>
      </c>
      <c r="R1871" s="49" t="n">
        <v>0</v>
      </c>
      <c r="S1871" s="50" t="n">
        <v>0</v>
      </c>
      <c r="T1871" s="50" t="n">
        <v>0</v>
      </c>
      <c r="U1871" s="50" t="n">
        <v>0</v>
      </c>
      <c r="V1871" s="50" t="n">
        <v>0</v>
      </c>
      <c r="W1871" s="51" t="n">
        <v>0</v>
      </c>
      <c r="X1871" s="51" t="n">
        <v>0</v>
      </c>
      <c r="Y1871" s="51" t="n">
        <v>0</v>
      </c>
      <c r="Z1871" s="51" t="n">
        <v>0</v>
      </c>
      <c r="AA1871" s="52" t="n">
        <v>0</v>
      </c>
      <c r="AB1871" s="52" t="n">
        <v>0</v>
      </c>
      <c r="AC1871" s="52" t="n">
        <v>0</v>
      </c>
      <c r="AD1871" s="52" t="n">
        <v>0</v>
      </c>
      <c r="AE1871" s="52" t="n">
        <v>0</v>
      </c>
      <c r="AF1871" s="52" t="n">
        <v>0</v>
      </c>
      <c r="AG1871" s="52" t="n">
        <v>0</v>
      </c>
      <c r="AH1871" s="52" t="n">
        <v>0</v>
      </c>
      <c r="AI1871" s="52" t="n">
        <v>0</v>
      </c>
      <c r="AJ1871" s="52" t="n">
        <v>0</v>
      </c>
      <c r="AK1871" s="52" t="n">
        <v>0</v>
      </c>
      <c r="AL1871" s="52" t="n">
        <v>0</v>
      </c>
      <c r="AM1871" s="53" t="n">
        <v>0</v>
      </c>
      <c r="AN1871" s="53" t="n">
        <v>0</v>
      </c>
      <c r="AO1871" s="53" t="n">
        <v>0</v>
      </c>
      <c r="AP1871" s="53" t="n">
        <v>0</v>
      </c>
      <c r="AQ1871" s="52" t="n">
        <v>0</v>
      </c>
      <c r="AR1871" s="52" t="n">
        <v>0</v>
      </c>
      <c r="AS1871" s="52" t="n">
        <v>0</v>
      </c>
      <c r="AT1871" s="52" t="n">
        <v>0</v>
      </c>
      <c r="AU1871" s="53" t="n">
        <v>0</v>
      </c>
      <c r="AV1871" s="53" t="n">
        <v>0</v>
      </c>
      <c r="AW1871" s="53" t="n">
        <v>0</v>
      </c>
      <c r="AX1871" s="53" t="n">
        <v>0</v>
      </c>
      <c r="AY1871" s="52" t="n">
        <v>0</v>
      </c>
      <c r="AZ1871" s="52" t="n">
        <v>0</v>
      </c>
      <c r="BA1871" s="52" t="n">
        <v>0</v>
      </c>
      <c r="BB1871" s="52" t="n">
        <v>0</v>
      </c>
      <c r="BC1871" s="51" t="n">
        <v>0</v>
      </c>
      <c r="BD1871" s="51" t="n">
        <v>0</v>
      </c>
      <c r="BE1871" s="51" t="n">
        <v>0</v>
      </c>
      <c r="BF1871" s="51" t="n">
        <v>0</v>
      </c>
    </row>
    <row r="1872">
      <c r="A1872">
        <f>HYPERLINK("https://www.walmart.com/ip/1236285875", "1236285875")</f>
        <v/>
      </c>
      <c r="B1872" t="inlineStr">
        <is>
          <t>Waterproof Blanket, Liquid Pee Proof Blanket for Bed Couch Sofa, Protector Cover for Baby, Cozy Sherpa Lining Throws and Blankets for Camping Boating, 80X90 inches</t>
        </is>
      </c>
      <c r="C1872" t="inlineStr">
        <is>
          <t>1CTBW981NYTP</t>
        </is>
      </c>
      <c r="D1872" t="inlineStr">
        <is>
          <t>Throws</t>
        </is>
      </c>
      <c r="E1872" t="inlineStr">
        <is>
          <t>Catalonia</t>
        </is>
      </c>
      <c r="F1872" t="inlineStr">
        <is>
          <t>High AUR Items,Wproof Blanket,Batch 1 - TR</t>
        </is>
      </c>
      <c r="G1872" s="48" t="n">
        <v>0</v>
      </c>
      <c r="H1872" s="48" t="n">
        <v>0</v>
      </c>
      <c r="I1872" s="48" t="n">
        <v>0</v>
      </c>
      <c r="J1872" s="48" t="n">
        <v>0</v>
      </c>
      <c r="K1872" s="49" t="n">
        <v>0</v>
      </c>
      <c r="L1872" s="49" t="n">
        <v>0</v>
      </c>
      <c r="M1872" s="49" t="n">
        <v>0</v>
      </c>
      <c r="N1872" s="49" t="n">
        <v>0</v>
      </c>
      <c r="O1872" s="49" t="n">
        <v>0</v>
      </c>
      <c r="P1872" s="49" t="n">
        <v>0</v>
      </c>
      <c r="Q1872" s="49" t="n">
        <v>0</v>
      </c>
      <c r="R1872" s="49" t="n">
        <v>0</v>
      </c>
      <c r="S1872" s="50" t="n">
        <v>0</v>
      </c>
      <c r="T1872" s="50" t="n">
        <v>0</v>
      </c>
      <c r="U1872" s="50" t="n">
        <v>0</v>
      </c>
      <c r="V1872" s="50" t="n">
        <v>0</v>
      </c>
      <c r="W1872" s="51" t="n">
        <v>0</v>
      </c>
      <c r="X1872" s="51" t="n">
        <v>0</v>
      </c>
      <c r="Y1872" s="51" t="n">
        <v>0</v>
      </c>
      <c r="Z1872" s="51" t="n">
        <v>0</v>
      </c>
      <c r="AA1872" s="52" t="n">
        <v>0</v>
      </c>
      <c r="AB1872" s="52" t="n">
        <v>0</v>
      </c>
      <c r="AC1872" s="52" t="n">
        <v>0</v>
      </c>
      <c r="AD1872" s="52" t="n">
        <v>0</v>
      </c>
      <c r="AE1872" s="52" t="n">
        <v>0</v>
      </c>
      <c r="AF1872" s="52" t="n">
        <v>0</v>
      </c>
      <c r="AG1872" s="52" t="n">
        <v>0</v>
      </c>
      <c r="AH1872" s="52" t="n">
        <v>0</v>
      </c>
      <c r="AI1872" s="52" t="n">
        <v>0</v>
      </c>
      <c r="AJ1872" s="52" t="n">
        <v>0</v>
      </c>
      <c r="AK1872" s="52" t="n">
        <v>0</v>
      </c>
      <c r="AL1872" s="52" t="n">
        <v>0</v>
      </c>
      <c r="AM1872" s="53" t="n">
        <v>0</v>
      </c>
      <c r="AN1872" s="53" t="n">
        <v>0</v>
      </c>
      <c r="AO1872" s="53" t="n">
        <v>0</v>
      </c>
      <c r="AP1872" s="53" t="n">
        <v>0</v>
      </c>
      <c r="AQ1872" s="52" t="n">
        <v>0</v>
      </c>
      <c r="AR1872" s="52" t="n">
        <v>0</v>
      </c>
      <c r="AS1872" s="52" t="n">
        <v>0</v>
      </c>
      <c r="AT1872" s="52" t="n">
        <v>0</v>
      </c>
      <c r="AU1872" s="53" t="n">
        <v>0</v>
      </c>
      <c r="AV1872" s="53" t="n">
        <v>0</v>
      </c>
      <c r="AW1872" s="53" t="n">
        <v>0</v>
      </c>
      <c r="AX1872" s="53" t="n">
        <v>0</v>
      </c>
      <c r="AY1872" s="52" t="n">
        <v>0</v>
      </c>
      <c r="AZ1872" s="52" t="n">
        <v>0</v>
      </c>
      <c r="BA1872" s="52" t="n">
        <v>0</v>
      </c>
      <c r="BB1872" s="52" t="n">
        <v>0</v>
      </c>
      <c r="BC1872" s="51" t="n">
        <v>0</v>
      </c>
      <c r="BD1872" s="51" t="n">
        <v>0</v>
      </c>
      <c r="BE1872" s="51" t="n">
        <v>0</v>
      </c>
      <c r="BF1872" s="51" t="n">
        <v>0</v>
      </c>
    </row>
    <row r="1873">
      <c r="A1873">
        <f>HYPERLINK("https://www.walmart.com/ip/126076004", "126076004")</f>
        <v/>
      </c>
      <c r="B1873" t="inlineStr">
        <is>
          <t>JenniWears Women's Plus Size Lace Babydoll Lingerie Set with G-String, Mesh Chemise for Halloween</t>
        </is>
      </c>
      <c r="C1873" t="inlineStr">
        <is>
          <t>JWBD06BKGN-XL</t>
        </is>
      </c>
      <c r="D1873" t="inlineStr">
        <is>
          <t>Lingerie Sets</t>
        </is>
      </c>
      <c r="E1873" t="inlineStr">
        <is>
          <t>JenniWears</t>
        </is>
      </c>
      <c r="F1873" t="inlineStr">
        <is>
          <t>WFS,Valentine,WFS Item</t>
        </is>
      </c>
      <c r="G1873" s="48" t="n">
        <v>0</v>
      </c>
      <c r="H1873" s="48" t="n">
        <v>0</v>
      </c>
      <c r="I1873" s="48" t="n">
        <v>0</v>
      </c>
      <c r="J1873" s="48" t="n">
        <v>0</v>
      </c>
      <c r="K1873" s="49" t="n">
        <v>0</v>
      </c>
      <c r="L1873" s="49" t="n">
        <v>0</v>
      </c>
      <c r="M1873" s="49" t="n">
        <v>0</v>
      </c>
      <c r="N1873" s="49" t="n">
        <v>0</v>
      </c>
      <c r="O1873" s="49" t="n">
        <v>0</v>
      </c>
      <c r="P1873" s="49" t="n">
        <v>0</v>
      </c>
      <c r="Q1873" s="49" t="n">
        <v>0</v>
      </c>
      <c r="R1873" s="49" t="n">
        <v>0</v>
      </c>
      <c r="S1873" s="50" t="n">
        <v>0</v>
      </c>
      <c r="T1873" s="50" t="n">
        <v>0</v>
      </c>
      <c r="U1873" s="50" t="n">
        <v>0</v>
      </c>
      <c r="V1873" s="50" t="n">
        <v>0</v>
      </c>
      <c r="W1873" s="51" t="n">
        <v>0</v>
      </c>
      <c r="X1873" s="51" t="n">
        <v>0</v>
      </c>
      <c r="Y1873" s="51" t="n">
        <v>0</v>
      </c>
      <c r="Z1873" s="51" t="n">
        <v>0</v>
      </c>
      <c r="AA1873" s="52" t="n">
        <v>0</v>
      </c>
      <c r="AB1873" s="52" t="n">
        <v>0</v>
      </c>
      <c r="AC1873" s="52" t="n">
        <v>0</v>
      </c>
      <c r="AD1873" s="52" t="n">
        <v>0</v>
      </c>
      <c r="AE1873" s="52" t="n">
        <v>0</v>
      </c>
      <c r="AF1873" s="52" t="n">
        <v>0</v>
      </c>
      <c r="AG1873" s="52" t="n">
        <v>0</v>
      </c>
      <c r="AH1873" s="52" t="n">
        <v>0</v>
      </c>
      <c r="AI1873" s="52" t="n">
        <v>0</v>
      </c>
      <c r="AJ1873" s="52" t="n">
        <v>0</v>
      </c>
      <c r="AK1873" s="52" t="n">
        <v>0</v>
      </c>
      <c r="AL1873" s="52" t="n">
        <v>0</v>
      </c>
      <c r="AM1873" s="53" t="n">
        <v>0</v>
      </c>
      <c r="AN1873" s="53" t="n">
        <v>0</v>
      </c>
      <c r="AO1873" s="53" t="n">
        <v>0</v>
      </c>
      <c r="AP1873" s="53" t="n">
        <v>0</v>
      </c>
      <c r="AQ1873" s="52" t="n">
        <v>0</v>
      </c>
      <c r="AR1873" s="52" t="n">
        <v>0</v>
      </c>
      <c r="AS1873" s="52" t="n">
        <v>0</v>
      </c>
      <c r="AT1873" s="52" t="n">
        <v>0</v>
      </c>
      <c r="AU1873" s="53" t="n">
        <v>0</v>
      </c>
      <c r="AV1873" s="53" t="n">
        <v>0</v>
      </c>
      <c r="AW1873" s="53" t="n">
        <v>0</v>
      </c>
      <c r="AX1873" s="53" t="n">
        <v>0</v>
      </c>
      <c r="AY1873" s="52" t="n">
        <v>0</v>
      </c>
      <c r="AZ1873" s="52" t="n">
        <v>0</v>
      </c>
      <c r="BA1873" s="52" t="n">
        <v>0</v>
      </c>
      <c r="BB1873" s="52" t="n">
        <v>0</v>
      </c>
      <c r="BC1873" s="51" t="n">
        <v>0</v>
      </c>
      <c r="BD1873" s="51" t="n">
        <v>0</v>
      </c>
      <c r="BE1873" s="51" t="n">
        <v>0</v>
      </c>
      <c r="BF1873" s="51" t="n">
        <v>0</v>
      </c>
    </row>
    <row r="1874">
      <c r="A1874">
        <f>HYPERLINK("https://www.walmart.com/ip/126145624", "126145624")</f>
        <v/>
      </c>
      <c r="B1874" t="inlineStr">
        <is>
          <t>KC Caps Blank Cuff Hat Knit Beanie</t>
        </is>
      </c>
      <c r="C1874" t="inlineStr">
        <is>
          <t>KCW1720ROY</t>
        </is>
      </c>
      <c r="D1874" t="inlineStr">
        <is>
          <t>Hats</t>
        </is>
      </c>
      <c r="E1874" t="inlineStr">
        <is>
          <t>KC Caps</t>
        </is>
      </c>
      <c r="F1874" t="inlineStr">
        <is>
          <t>Optimized</t>
        </is>
      </c>
      <c r="G1874" s="48" t="n">
        <v>0</v>
      </c>
      <c r="H1874" s="48" t="n">
        <v>0</v>
      </c>
      <c r="I1874" s="48" t="n">
        <v>0</v>
      </c>
      <c r="J1874" s="48" t="n">
        <v>0</v>
      </c>
      <c r="K1874" s="49" t="n">
        <v>0</v>
      </c>
      <c r="L1874" s="49" t="n">
        <v>0</v>
      </c>
      <c r="M1874" s="49" t="n">
        <v>0</v>
      </c>
      <c r="N1874" s="49" t="n">
        <v>0</v>
      </c>
      <c r="O1874" s="49" t="n">
        <v>0</v>
      </c>
      <c r="P1874" s="49" t="n">
        <v>0</v>
      </c>
      <c r="Q1874" s="49" t="n">
        <v>0</v>
      </c>
      <c r="R1874" s="49" t="n">
        <v>0</v>
      </c>
      <c r="S1874" s="50" t="n">
        <v>0</v>
      </c>
      <c r="T1874" s="50" t="n">
        <v>0</v>
      </c>
      <c r="U1874" s="50" t="n">
        <v>0</v>
      </c>
      <c r="V1874" s="50" t="n">
        <v>0</v>
      </c>
      <c r="W1874" s="51" t="n">
        <v>0</v>
      </c>
      <c r="X1874" s="51" t="n">
        <v>0</v>
      </c>
      <c r="Y1874" s="51" t="n">
        <v>0</v>
      </c>
      <c r="Z1874" s="51" t="n">
        <v>0</v>
      </c>
      <c r="AA1874" s="52" t="n">
        <v>0</v>
      </c>
      <c r="AB1874" s="52" t="n">
        <v>0</v>
      </c>
      <c r="AC1874" s="52" t="n">
        <v>0</v>
      </c>
      <c r="AD1874" s="52" t="n">
        <v>0</v>
      </c>
      <c r="AE1874" s="52" t="n">
        <v>0</v>
      </c>
      <c r="AF1874" s="52" t="n">
        <v>0</v>
      </c>
      <c r="AG1874" s="52" t="n">
        <v>0</v>
      </c>
      <c r="AH1874" s="52" t="n">
        <v>0</v>
      </c>
      <c r="AI1874" s="52" t="n">
        <v>0</v>
      </c>
      <c r="AJ1874" s="52" t="n">
        <v>0</v>
      </c>
      <c r="AK1874" s="52" t="n">
        <v>0</v>
      </c>
      <c r="AL1874" s="52" t="n">
        <v>0</v>
      </c>
      <c r="AM1874" s="53" t="n">
        <v>0</v>
      </c>
      <c r="AN1874" s="53" t="n">
        <v>0</v>
      </c>
      <c r="AO1874" s="53" t="n">
        <v>0</v>
      </c>
      <c r="AP1874" s="53" t="n">
        <v>0</v>
      </c>
      <c r="AQ1874" s="52" t="n">
        <v>0</v>
      </c>
      <c r="AR1874" s="52" t="n">
        <v>0</v>
      </c>
      <c r="AS1874" s="52" t="n">
        <v>0</v>
      </c>
      <c r="AT1874" s="52" t="n">
        <v>0</v>
      </c>
      <c r="AU1874" s="53" t="n">
        <v>0</v>
      </c>
      <c r="AV1874" s="53" t="n">
        <v>0</v>
      </c>
      <c r="AW1874" s="53" t="n">
        <v>0</v>
      </c>
      <c r="AX1874" s="53" t="n">
        <v>0</v>
      </c>
      <c r="AY1874" s="52" t="n">
        <v>0</v>
      </c>
      <c r="AZ1874" s="52" t="n">
        <v>0</v>
      </c>
      <c r="BA1874" s="52" t="n">
        <v>0</v>
      </c>
      <c r="BB1874" s="52" t="n">
        <v>0</v>
      </c>
      <c r="BC1874" s="51" t="n">
        <v>0</v>
      </c>
      <c r="BD1874" s="51" t="n">
        <v>0</v>
      </c>
      <c r="BE1874" s="51" t="n">
        <v>0</v>
      </c>
      <c r="BF1874" s="51" t="n">
        <v>0</v>
      </c>
    </row>
    <row r="1875">
      <c r="A1875">
        <f>HYPERLINK("https://www.walmart.com/ip/126202442", "126202442")</f>
        <v/>
      </c>
      <c r="B1875" t="inlineStr">
        <is>
          <t>JenniWears Women's Adjustable Sexy Lace Garter Belt, High Waisted Suspender for Party Cosplay Activity, Black</t>
        </is>
      </c>
      <c r="C1875" t="inlineStr">
        <is>
          <t>JWBLSPH5003</t>
        </is>
      </c>
      <c r="D1875" t="inlineStr">
        <is>
          <t>Garters</t>
        </is>
      </c>
      <c r="E1875" t="inlineStr">
        <is>
          <t>JenniWears</t>
        </is>
      </c>
      <c r="F1875" t="inlineStr">
        <is>
          <t>WFS,Valentine,WFS Item</t>
        </is>
      </c>
      <c r="G1875" s="48" t="n">
        <v>0</v>
      </c>
      <c r="H1875" s="48" t="n">
        <v>0</v>
      </c>
      <c r="I1875" s="48" t="n">
        <v>0</v>
      </c>
      <c r="J1875" s="48" t="n">
        <v>0</v>
      </c>
      <c r="K1875" s="49" t="n">
        <v>0</v>
      </c>
      <c r="L1875" s="49" t="n">
        <v>0</v>
      </c>
      <c r="M1875" s="49" t="n">
        <v>0</v>
      </c>
      <c r="N1875" s="49" t="n">
        <v>0</v>
      </c>
      <c r="O1875" s="49" t="n">
        <v>0</v>
      </c>
      <c r="P1875" s="49" t="n">
        <v>0</v>
      </c>
      <c r="Q1875" s="49" t="n">
        <v>0</v>
      </c>
      <c r="R1875" s="49" t="n">
        <v>0</v>
      </c>
      <c r="S1875" s="50" t="n">
        <v>0</v>
      </c>
      <c r="T1875" s="50" t="n">
        <v>0</v>
      </c>
      <c r="U1875" s="50" t="n">
        <v>0</v>
      </c>
      <c r="V1875" s="50" t="n">
        <v>0</v>
      </c>
      <c r="W1875" s="51" t="n">
        <v>0</v>
      </c>
      <c r="X1875" s="51" t="n">
        <v>0</v>
      </c>
      <c r="Y1875" s="51" t="n">
        <v>0</v>
      </c>
      <c r="Z1875" s="51" t="n">
        <v>0</v>
      </c>
      <c r="AA1875" s="52" t="n">
        <v>0</v>
      </c>
      <c r="AB1875" s="52" t="n">
        <v>0</v>
      </c>
      <c r="AC1875" s="52" t="n">
        <v>0</v>
      </c>
      <c r="AD1875" s="52" t="n">
        <v>0</v>
      </c>
      <c r="AE1875" s="52" t="n">
        <v>0</v>
      </c>
      <c r="AF1875" s="52" t="n">
        <v>0</v>
      </c>
      <c r="AG1875" s="52" t="n">
        <v>0</v>
      </c>
      <c r="AH1875" s="52" t="n">
        <v>0</v>
      </c>
      <c r="AI1875" s="52" t="n">
        <v>0</v>
      </c>
      <c r="AJ1875" s="52" t="n">
        <v>0</v>
      </c>
      <c r="AK1875" s="52" t="n">
        <v>0</v>
      </c>
      <c r="AL1875" s="52" t="n">
        <v>0</v>
      </c>
      <c r="AM1875" s="53" t="n">
        <v>0</v>
      </c>
      <c r="AN1875" s="53" t="n">
        <v>0</v>
      </c>
      <c r="AO1875" s="53" t="n">
        <v>0</v>
      </c>
      <c r="AP1875" s="53" t="n">
        <v>0</v>
      </c>
      <c r="AQ1875" s="52" t="n">
        <v>0</v>
      </c>
      <c r="AR1875" s="52" t="n">
        <v>0</v>
      </c>
      <c r="AS1875" s="52" t="n">
        <v>0</v>
      </c>
      <c r="AT1875" s="52" t="n">
        <v>0</v>
      </c>
      <c r="AU1875" s="53" t="n">
        <v>0</v>
      </c>
      <c r="AV1875" s="53" t="n">
        <v>0</v>
      </c>
      <c r="AW1875" s="53" t="n">
        <v>0</v>
      </c>
      <c r="AX1875" s="53" t="n">
        <v>0</v>
      </c>
      <c r="AY1875" s="52" t="n">
        <v>0</v>
      </c>
      <c r="AZ1875" s="52" t="n">
        <v>0</v>
      </c>
      <c r="BA1875" s="52" t="n">
        <v>0</v>
      </c>
      <c r="BB1875" s="52" t="n">
        <v>0</v>
      </c>
      <c r="BC1875" s="51" t="n">
        <v>0</v>
      </c>
      <c r="BD1875" s="51" t="n">
        <v>0</v>
      </c>
      <c r="BE1875" s="51" t="n">
        <v>0</v>
      </c>
      <c r="BF1875" s="51" t="n">
        <v>0</v>
      </c>
    </row>
    <row r="1876">
      <c r="A1876">
        <f>HYPERLINK("https://www.walmart.com/ip/126315308", "126315308")</f>
        <v/>
      </c>
      <c r="B1876" t="inlineStr">
        <is>
          <t>Terra Faux Fur Pom Pom Beanie Hat Slouchy Solid Plain Knit Unisex Stretches to Fit Most</t>
        </is>
      </c>
      <c r="C1876" t="inlineStr">
        <is>
          <t>TERRAPPH03WT</t>
        </is>
      </c>
      <c r="D1876" t="inlineStr">
        <is>
          <t>Hats</t>
        </is>
      </c>
      <c r="E1876" t="inlineStr">
        <is>
          <t>Terra</t>
        </is>
      </c>
      <c r="F1876" t="inlineStr">
        <is>
          <t>Batch 1 - TR</t>
        </is>
      </c>
      <c r="G1876" s="48" t="n">
        <v>0</v>
      </c>
      <c r="H1876" s="48" t="n">
        <v>0</v>
      </c>
      <c r="I1876" s="48" t="n">
        <v>0</v>
      </c>
      <c r="J1876" s="48" t="n">
        <v>0</v>
      </c>
      <c r="K1876" s="49" t="n">
        <v>0</v>
      </c>
      <c r="L1876" s="49" t="n">
        <v>0</v>
      </c>
      <c r="M1876" s="49" t="n">
        <v>0</v>
      </c>
      <c r="N1876" s="49" t="n">
        <v>0</v>
      </c>
      <c r="O1876" s="49" t="n">
        <v>0</v>
      </c>
      <c r="P1876" s="49" t="n">
        <v>0</v>
      </c>
      <c r="Q1876" s="49" t="n">
        <v>0</v>
      </c>
      <c r="R1876" s="49" t="n">
        <v>0</v>
      </c>
      <c r="S1876" s="50" t="n">
        <v>0</v>
      </c>
      <c r="T1876" s="50" t="n">
        <v>0</v>
      </c>
      <c r="U1876" s="50" t="n">
        <v>0</v>
      </c>
      <c r="V1876" s="50" t="n">
        <v>0</v>
      </c>
      <c r="W1876" s="51" t="n">
        <v>0</v>
      </c>
      <c r="X1876" s="51" t="n">
        <v>0</v>
      </c>
      <c r="Y1876" s="51" t="n">
        <v>0</v>
      </c>
      <c r="Z1876" s="51" t="n">
        <v>0</v>
      </c>
      <c r="AA1876" s="52" t="n">
        <v>0</v>
      </c>
      <c r="AB1876" s="52" t="n">
        <v>0</v>
      </c>
      <c r="AC1876" s="52" t="n">
        <v>0</v>
      </c>
      <c r="AD1876" s="52" t="n">
        <v>0</v>
      </c>
      <c r="AE1876" s="52" t="n">
        <v>0</v>
      </c>
      <c r="AF1876" s="52" t="n">
        <v>0</v>
      </c>
      <c r="AG1876" s="52" t="n">
        <v>0</v>
      </c>
      <c r="AH1876" s="52" t="n">
        <v>0</v>
      </c>
      <c r="AI1876" s="52" t="n">
        <v>0</v>
      </c>
      <c r="AJ1876" s="52" t="n">
        <v>0</v>
      </c>
      <c r="AK1876" s="52" t="n">
        <v>0</v>
      </c>
      <c r="AL1876" s="52" t="n">
        <v>0</v>
      </c>
      <c r="AM1876" s="53" t="n">
        <v>0</v>
      </c>
      <c r="AN1876" s="53" t="n">
        <v>0</v>
      </c>
      <c r="AO1876" s="53" t="n">
        <v>0</v>
      </c>
      <c r="AP1876" s="53" t="n">
        <v>0</v>
      </c>
      <c r="AQ1876" s="52" t="n">
        <v>0</v>
      </c>
      <c r="AR1876" s="52" t="n">
        <v>0</v>
      </c>
      <c r="AS1876" s="52" t="n">
        <v>0</v>
      </c>
      <c r="AT1876" s="52" t="n">
        <v>0</v>
      </c>
      <c r="AU1876" s="53" t="n">
        <v>0</v>
      </c>
      <c r="AV1876" s="53" t="n">
        <v>0</v>
      </c>
      <c r="AW1876" s="53" t="n">
        <v>0</v>
      </c>
      <c r="AX1876" s="53" t="n">
        <v>0</v>
      </c>
      <c r="AY1876" s="52" t="n">
        <v>0</v>
      </c>
      <c r="AZ1876" s="52" t="n">
        <v>0</v>
      </c>
      <c r="BA1876" s="52" t="n">
        <v>0</v>
      </c>
      <c r="BB1876" s="52" t="n">
        <v>0</v>
      </c>
      <c r="BC1876" s="51" t="n">
        <v>0</v>
      </c>
      <c r="BD1876" s="51" t="n">
        <v>0</v>
      </c>
      <c r="BE1876" s="51" t="n">
        <v>0</v>
      </c>
      <c r="BF1876" s="51" t="n">
        <v>0</v>
      </c>
    </row>
    <row r="1877">
      <c r="A1877">
        <f>HYPERLINK("https://www.walmart.com/ip/129521857", "129521857")</f>
        <v/>
      </c>
      <c r="B1877" t="inlineStr">
        <is>
          <t>Flyingstar Surf Beach Changing Towel With Hood, Absorbent Microfiber Robe Poncho, Men &amp; Women, Pink</t>
        </is>
      </c>
      <c r="C1877" t="inlineStr">
        <is>
          <t>1WMBR102-PB</t>
        </is>
      </c>
      <c r="D1877" t="inlineStr">
        <is>
          <t>Towels &amp; Washcloths</t>
        </is>
      </c>
      <c r="E1877" t="inlineStr">
        <is>
          <t>Flyingstar</t>
        </is>
      </c>
      <c r="F1877" t="inlineStr">
        <is>
          <t>Batch 1 - TR</t>
        </is>
      </c>
      <c r="G1877" s="48" t="n">
        <v>0</v>
      </c>
      <c r="H1877" s="48" t="n">
        <v>0</v>
      </c>
      <c r="I1877" s="48" t="n">
        <v>19.99</v>
      </c>
      <c r="J1877" s="48" t="n">
        <v>0</v>
      </c>
      <c r="K1877" s="49" t="n">
        <v>0</v>
      </c>
      <c r="L1877" s="49" t="n">
        <v>0</v>
      </c>
      <c r="M1877" s="49" t="n">
        <v>1</v>
      </c>
      <c r="N1877" s="49" t="n">
        <v>0</v>
      </c>
      <c r="O1877" s="49" t="n">
        <v>0</v>
      </c>
      <c r="P1877" s="49" t="n">
        <v>0</v>
      </c>
      <c r="Q1877" s="49" t="n">
        <v>0</v>
      </c>
      <c r="R1877" s="49" t="n">
        <v>0</v>
      </c>
      <c r="S1877" s="50" t="n">
        <v>0</v>
      </c>
      <c r="T1877" s="50" t="n">
        <v>0</v>
      </c>
      <c r="U1877" s="50" t="n">
        <v>0</v>
      </c>
      <c r="V1877" s="50" t="n">
        <v>0</v>
      </c>
      <c r="W1877" s="51" t="n">
        <v>0</v>
      </c>
      <c r="X1877" s="51" t="n">
        <v>0</v>
      </c>
      <c r="Y1877" s="51" t="n">
        <v>0</v>
      </c>
      <c r="Z1877" s="51" t="n">
        <v>0</v>
      </c>
      <c r="AA1877" s="52" t="n">
        <v>0</v>
      </c>
      <c r="AB1877" s="52" t="n">
        <v>0</v>
      </c>
      <c r="AC1877" s="52" t="n">
        <v>0</v>
      </c>
      <c r="AD1877" s="52" t="n">
        <v>0</v>
      </c>
      <c r="AE1877" s="52" t="n">
        <v>0</v>
      </c>
      <c r="AF1877" s="52" t="n">
        <v>0</v>
      </c>
      <c r="AG1877" s="52" t="n">
        <v>0</v>
      </c>
      <c r="AH1877" s="52" t="n">
        <v>0</v>
      </c>
      <c r="AI1877" s="52" t="n">
        <v>0</v>
      </c>
      <c r="AJ1877" s="52" t="n">
        <v>0</v>
      </c>
      <c r="AK1877" s="52" t="n">
        <v>0</v>
      </c>
      <c r="AL1877" s="52" t="n">
        <v>0</v>
      </c>
      <c r="AM1877" s="53" t="n">
        <v>0</v>
      </c>
      <c r="AN1877" s="53" t="n">
        <v>0</v>
      </c>
      <c r="AO1877" s="53" t="n">
        <v>0</v>
      </c>
      <c r="AP1877" s="53" t="n">
        <v>0</v>
      </c>
      <c r="AQ1877" s="52" t="n">
        <v>0</v>
      </c>
      <c r="AR1877" s="52" t="n">
        <v>0</v>
      </c>
      <c r="AS1877" s="52" t="n">
        <v>0</v>
      </c>
      <c r="AT1877" s="52" t="n">
        <v>0</v>
      </c>
      <c r="AU1877" s="53" t="n">
        <v>0</v>
      </c>
      <c r="AV1877" s="53" t="n">
        <v>0</v>
      </c>
      <c r="AW1877" s="53" t="n">
        <v>0</v>
      </c>
      <c r="AX1877" s="53" t="n">
        <v>0</v>
      </c>
      <c r="AY1877" s="52" t="n">
        <v>0</v>
      </c>
      <c r="AZ1877" s="52" t="n">
        <v>0</v>
      </c>
      <c r="BA1877" s="52" t="n">
        <v>19.99</v>
      </c>
      <c r="BB1877" s="52" t="n">
        <v>0</v>
      </c>
      <c r="BC1877" s="51" t="n">
        <v>0</v>
      </c>
      <c r="BD1877" s="51" t="n">
        <v>0</v>
      </c>
      <c r="BE1877" s="51" t="n">
        <v>0</v>
      </c>
      <c r="BF1877" s="51" t="n">
        <v>0</v>
      </c>
    </row>
    <row r="1878">
      <c r="A1878">
        <f>HYPERLINK("https://www.walmart.com/ip/129741644", "129741644")</f>
        <v/>
      </c>
      <c r="B1878" t="inlineStr">
        <is>
          <t>Adjustable Buckle Closure USA Flag Embroidered Cap</t>
        </is>
      </c>
      <c r="C1878" t="inlineStr">
        <is>
          <t>kc-aeflag-wt</t>
        </is>
      </c>
      <c r="D1878" t="inlineStr">
        <is>
          <t>Hats</t>
        </is>
      </c>
      <c r="E1878" t="inlineStr">
        <is>
          <t>KC Caps</t>
        </is>
      </c>
      <c r="F1878" t="inlineStr">
        <is>
          <t>Optimized</t>
        </is>
      </c>
      <c r="G1878" s="48" t="n">
        <v>0</v>
      </c>
      <c r="H1878" s="48" t="n">
        <v>0</v>
      </c>
      <c r="I1878" s="48" t="n">
        <v>0</v>
      </c>
      <c r="J1878" s="48" t="n">
        <v>0</v>
      </c>
      <c r="K1878" s="49" t="n">
        <v>0</v>
      </c>
      <c r="L1878" s="49" t="n">
        <v>0</v>
      </c>
      <c r="M1878" s="49" t="n">
        <v>0</v>
      </c>
      <c r="N1878" s="49" t="n">
        <v>0</v>
      </c>
      <c r="O1878" s="49" t="n">
        <v>0</v>
      </c>
      <c r="P1878" s="49" t="n">
        <v>0</v>
      </c>
      <c r="Q1878" s="49" t="n">
        <v>0</v>
      </c>
      <c r="R1878" s="49" t="n">
        <v>0</v>
      </c>
      <c r="S1878" s="50" t="n">
        <v>0</v>
      </c>
      <c r="T1878" s="50" t="n">
        <v>0</v>
      </c>
      <c r="U1878" s="50" t="n">
        <v>0</v>
      </c>
      <c r="V1878" s="50" t="n">
        <v>0</v>
      </c>
      <c r="W1878" s="51" t="n">
        <v>0</v>
      </c>
      <c r="X1878" s="51" t="n">
        <v>0</v>
      </c>
      <c r="Y1878" s="51" t="n">
        <v>0</v>
      </c>
      <c r="Z1878" s="51" t="n">
        <v>0</v>
      </c>
      <c r="AA1878" s="52" t="n">
        <v>0</v>
      </c>
      <c r="AB1878" s="52" t="n">
        <v>0</v>
      </c>
      <c r="AC1878" s="52" t="n">
        <v>0</v>
      </c>
      <c r="AD1878" s="52" t="n">
        <v>0</v>
      </c>
      <c r="AE1878" s="52" t="n">
        <v>0</v>
      </c>
      <c r="AF1878" s="52" t="n">
        <v>0</v>
      </c>
      <c r="AG1878" s="52" t="n">
        <v>0</v>
      </c>
      <c r="AH1878" s="52" t="n">
        <v>0</v>
      </c>
      <c r="AI1878" s="52" t="n">
        <v>0</v>
      </c>
      <c r="AJ1878" s="52" t="n">
        <v>0</v>
      </c>
      <c r="AK1878" s="52" t="n">
        <v>0</v>
      </c>
      <c r="AL1878" s="52" t="n">
        <v>0</v>
      </c>
      <c r="AM1878" s="53" t="n">
        <v>0</v>
      </c>
      <c r="AN1878" s="53" t="n">
        <v>0</v>
      </c>
      <c r="AO1878" s="53" t="n">
        <v>0</v>
      </c>
      <c r="AP1878" s="53" t="n">
        <v>0</v>
      </c>
      <c r="AQ1878" s="52" t="n">
        <v>0</v>
      </c>
      <c r="AR1878" s="52" t="n">
        <v>0</v>
      </c>
      <c r="AS1878" s="52" t="n">
        <v>0</v>
      </c>
      <c r="AT1878" s="52" t="n">
        <v>0</v>
      </c>
      <c r="AU1878" s="53" t="n">
        <v>0</v>
      </c>
      <c r="AV1878" s="53" t="n">
        <v>0</v>
      </c>
      <c r="AW1878" s="53" t="n">
        <v>0</v>
      </c>
      <c r="AX1878" s="53" t="n">
        <v>0</v>
      </c>
      <c r="AY1878" s="52" t="n">
        <v>0</v>
      </c>
      <c r="AZ1878" s="52" t="n">
        <v>0</v>
      </c>
      <c r="BA1878" s="52" t="n">
        <v>0</v>
      </c>
      <c r="BB1878" s="52" t="n">
        <v>0</v>
      </c>
      <c r="BC1878" s="51" t="n">
        <v>0</v>
      </c>
      <c r="BD1878" s="51" t="n">
        <v>0</v>
      </c>
      <c r="BE1878" s="51" t="n">
        <v>0</v>
      </c>
      <c r="BF1878" s="51" t="n">
        <v>0</v>
      </c>
    </row>
    <row r="1879">
      <c r="A1879">
        <f>HYPERLINK("https://www.walmart.com/ip/129746422", "129746422")</f>
        <v/>
      </c>
      <c r="B1879" t="inlineStr">
        <is>
          <t>Napa Women's Soft Warm Bathrobe, Microfiber Fleece Plush Hotel Spa Robe with Pockets, Robes for Women, Brown</t>
        </is>
      </c>
      <c r="C1879" t="inlineStr">
        <is>
          <t>R5000BROWN-01</t>
        </is>
      </c>
      <c r="D1879" t="inlineStr">
        <is>
          <t>Sleepwear Robes &amp; Bathrobes</t>
        </is>
      </c>
      <c r="E1879" t="inlineStr">
        <is>
          <t>NAPA</t>
        </is>
      </c>
      <c r="F1879" t="inlineStr">
        <is>
          <t>WFS,Bathrobe,Coupon_Discount,WFS Item</t>
        </is>
      </c>
      <c r="G1879" s="48" t="n">
        <v>0</v>
      </c>
      <c r="H1879" s="48" t="n">
        <v>0</v>
      </c>
      <c r="I1879" s="48" t="n">
        <v>0</v>
      </c>
      <c r="J1879" s="48" t="n">
        <v>0</v>
      </c>
      <c r="K1879" s="49" t="n">
        <v>0</v>
      </c>
      <c r="L1879" s="49" t="n">
        <v>0</v>
      </c>
      <c r="M1879" s="49" t="n">
        <v>0</v>
      </c>
      <c r="N1879" s="49" t="n">
        <v>0</v>
      </c>
      <c r="O1879" s="49" t="n">
        <v>0</v>
      </c>
      <c r="P1879" s="49" t="n">
        <v>0</v>
      </c>
      <c r="Q1879" s="49" t="n">
        <v>0</v>
      </c>
      <c r="R1879" s="49" t="n">
        <v>0</v>
      </c>
      <c r="S1879" s="50" t="n">
        <v>0</v>
      </c>
      <c r="T1879" s="50" t="n">
        <v>0</v>
      </c>
      <c r="U1879" s="50" t="n">
        <v>0</v>
      </c>
      <c r="V1879" s="50" t="n">
        <v>0</v>
      </c>
      <c r="W1879" s="51" t="n">
        <v>0</v>
      </c>
      <c r="X1879" s="51" t="n">
        <v>0</v>
      </c>
      <c r="Y1879" s="51" t="n">
        <v>0</v>
      </c>
      <c r="Z1879" s="51" t="n">
        <v>0</v>
      </c>
      <c r="AA1879" s="52" t="n">
        <v>0</v>
      </c>
      <c r="AB1879" s="52" t="n">
        <v>0</v>
      </c>
      <c r="AC1879" s="52" t="n">
        <v>0</v>
      </c>
      <c r="AD1879" s="52" t="n">
        <v>0</v>
      </c>
      <c r="AE1879" s="52" t="n">
        <v>0</v>
      </c>
      <c r="AF1879" s="52" t="n">
        <v>0</v>
      </c>
      <c r="AG1879" s="52" t="n">
        <v>0</v>
      </c>
      <c r="AH1879" s="52" t="n">
        <v>0</v>
      </c>
      <c r="AI1879" s="52" t="n">
        <v>0</v>
      </c>
      <c r="AJ1879" s="52" t="n">
        <v>0</v>
      </c>
      <c r="AK1879" s="52" t="n">
        <v>0</v>
      </c>
      <c r="AL1879" s="52" t="n">
        <v>0</v>
      </c>
      <c r="AM1879" s="53" t="n">
        <v>0</v>
      </c>
      <c r="AN1879" s="53" t="n">
        <v>0</v>
      </c>
      <c r="AO1879" s="53" t="n">
        <v>0</v>
      </c>
      <c r="AP1879" s="53" t="n">
        <v>0</v>
      </c>
      <c r="AQ1879" s="52" t="n">
        <v>0</v>
      </c>
      <c r="AR1879" s="52" t="n">
        <v>0</v>
      </c>
      <c r="AS1879" s="52" t="n">
        <v>0</v>
      </c>
      <c r="AT1879" s="52" t="n">
        <v>0</v>
      </c>
      <c r="AU1879" s="53" t="n">
        <v>0</v>
      </c>
      <c r="AV1879" s="53" t="n">
        <v>0</v>
      </c>
      <c r="AW1879" s="53" t="n">
        <v>0</v>
      </c>
      <c r="AX1879" s="53" t="n">
        <v>0</v>
      </c>
      <c r="AY1879" s="52" t="n">
        <v>0</v>
      </c>
      <c r="AZ1879" s="52" t="n">
        <v>0</v>
      </c>
      <c r="BA1879" s="52" t="n">
        <v>0</v>
      </c>
      <c r="BB1879" s="52" t="n">
        <v>0</v>
      </c>
      <c r="BC1879" s="51" t="n">
        <v>0</v>
      </c>
      <c r="BD1879" s="51" t="n">
        <v>0</v>
      </c>
      <c r="BE1879" s="51" t="n">
        <v>0</v>
      </c>
      <c r="BF1879" s="51" t="n">
        <v>0</v>
      </c>
    </row>
    <row r="1880">
      <c r="A1880">
        <f>HYPERLINK("https://www.walmart.com/ip/129942685", "129942685")</f>
        <v/>
      </c>
      <c r="B1880" t="inlineStr">
        <is>
          <t>JenniWears Women's Beileise Sexy Pantyhose Lace Stockings Black Sheer Socks - 6 Packs</t>
        </is>
      </c>
      <c r="C1880" t="inlineStr">
        <is>
          <t>JWBLSPH2091-6pcs</t>
        </is>
      </c>
      <c r="D1880" t="inlineStr">
        <is>
          <t>Pantyhose &amp; Tights</t>
        </is>
      </c>
      <c r="E1880" t="inlineStr">
        <is>
          <t>JenniWears</t>
        </is>
      </c>
      <c r="F1880" t="inlineStr">
        <is>
          <t>Optimized,Valentine</t>
        </is>
      </c>
      <c r="G1880" s="48" t="n">
        <v>0</v>
      </c>
      <c r="H1880" s="48" t="n">
        <v>0</v>
      </c>
      <c r="I1880" s="48" t="n">
        <v>0</v>
      </c>
      <c r="J1880" s="48" t="n">
        <v>0</v>
      </c>
      <c r="K1880" s="49" t="n">
        <v>0</v>
      </c>
      <c r="L1880" s="49" t="n">
        <v>0</v>
      </c>
      <c r="M1880" s="49" t="n">
        <v>0</v>
      </c>
      <c r="N1880" s="49" t="n">
        <v>0</v>
      </c>
      <c r="O1880" s="49" t="n">
        <v>0</v>
      </c>
      <c r="P1880" s="49" t="n">
        <v>0</v>
      </c>
      <c r="Q1880" s="49" t="n">
        <v>0</v>
      </c>
      <c r="R1880" s="49" t="n">
        <v>0</v>
      </c>
      <c r="S1880" s="50" t="n">
        <v>0</v>
      </c>
      <c r="T1880" s="50" t="n">
        <v>0</v>
      </c>
      <c r="U1880" s="50" t="n">
        <v>0</v>
      </c>
      <c r="V1880" s="50" t="n">
        <v>0</v>
      </c>
      <c r="W1880" s="51" t="n">
        <v>0</v>
      </c>
      <c r="X1880" s="51" t="n">
        <v>0</v>
      </c>
      <c r="Y1880" s="51" t="n">
        <v>0</v>
      </c>
      <c r="Z1880" s="51" t="n">
        <v>0</v>
      </c>
      <c r="AA1880" s="52" t="n">
        <v>0</v>
      </c>
      <c r="AB1880" s="52" t="n">
        <v>0</v>
      </c>
      <c r="AC1880" s="52" t="n">
        <v>0</v>
      </c>
      <c r="AD1880" s="52" t="n">
        <v>0</v>
      </c>
      <c r="AE1880" s="52" t="n">
        <v>0</v>
      </c>
      <c r="AF1880" s="52" t="n">
        <v>0</v>
      </c>
      <c r="AG1880" s="52" t="n">
        <v>0</v>
      </c>
      <c r="AH1880" s="52" t="n">
        <v>0</v>
      </c>
      <c r="AI1880" s="52" t="n">
        <v>0</v>
      </c>
      <c r="AJ1880" s="52" t="n">
        <v>0</v>
      </c>
      <c r="AK1880" s="52" t="n">
        <v>0</v>
      </c>
      <c r="AL1880" s="52" t="n">
        <v>0</v>
      </c>
      <c r="AM1880" s="53" t="n">
        <v>0</v>
      </c>
      <c r="AN1880" s="53" t="n">
        <v>0</v>
      </c>
      <c r="AO1880" s="53" t="n">
        <v>0</v>
      </c>
      <c r="AP1880" s="53" t="n">
        <v>0</v>
      </c>
      <c r="AQ1880" s="52" t="n">
        <v>0</v>
      </c>
      <c r="AR1880" s="52" t="n">
        <v>0</v>
      </c>
      <c r="AS1880" s="52" t="n">
        <v>0</v>
      </c>
      <c r="AT1880" s="52" t="n">
        <v>0</v>
      </c>
      <c r="AU1880" s="53" t="n">
        <v>0</v>
      </c>
      <c r="AV1880" s="53" t="n">
        <v>0</v>
      </c>
      <c r="AW1880" s="53" t="n">
        <v>0</v>
      </c>
      <c r="AX1880" s="53" t="n">
        <v>0</v>
      </c>
      <c r="AY1880" s="52" t="n">
        <v>0</v>
      </c>
      <c r="AZ1880" s="52" t="n">
        <v>0</v>
      </c>
      <c r="BA1880" s="52" t="n">
        <v>0</v>
      </c>
      <c r="BB1880" s="52" t="n">
        <v>0</v>
      </c>
      <c r="BC1880" s="51" t="n">
        <v>0</v>
      </c>
      <c r="BD1880" s="51" t="n">
        <v>0</v>
      </c>
      <c r="BE1880" s="51" t="n">
        <v>0</v>
      </c>
      <c r="BF1880" s="51" t="n">
        <v>0</v>
      </c>
    </row>
    <row r="1881">
      <c r="A1881">
        <f>HYPERLINK("https://www.walmart.com/ip/130297678", "130297678")</f>
        <v/>
      </c>
      <c r="B1881" t="inlineStr">
        <is>
          <t>Napa Super Soft Micro Fleece Sherpa Bed Throw TV Blanket 50" x 60" Reversible Brown</t>
        </is>
      </c>
      <c r="C1881" t="inlineStr">
        <is>
          <t>K8010BROWN</t>
        </is>
      </c>
      <c r="D1881" t="inlineStr">
        <is>
          <t>Throws</t>
        </is>
      </c>
      <c r="E1881" t="inlineStr">
        <is>
          <t>NAPA</t>
        </is>
      </c>
      <c r="F1881" t="inlineStr">
        <is>
          <t>Batch 1 - TR</t>
        </is>
      </c>
      <c r="G1881" s="48" t="n">
        <v>0</v>
      </c>
      <c r="H1881" s="48" t="n">
        <v>0</v>
      </c>
      <c r="I1881" s="48" t="n">
        <v>0</v>
      </c>
      <c r="J1881" s="48" t="n">
        <v>0</v>
      </c>
      <c r="K1881" s="49" t="n">
        <v>0</v>
      </c>
      <c r="L1881" s="49" t="n">
        <v>0</v>
      </c>
      <c r="M1881" s="49" t="n">
        <v>0</v>
      </c>
      <c r="N1881" s="49" t="n">
        <v>0</v>
      </c>
      <c r="O1881" s="49" t="n">
        <v>0</v>
      </c>
      <c r="P1881" s="49" t="n">
        <v>0</v>
      </c>
      <c r="Q1881" s="49" t="n">
        <v>0</v>
      </c>
      <c r="R1881" s="49" t="n">
        <v>0</v>
      </c>
      <c r="S1881" s="50" t="n">
        <v>0</v>
      </c>
      <c r="T1881" s="50" t="n">
        <v>0</v>
      </c>
      <c r="U1881" s="50" t="n">
        <v>0</v>
      </c>
      <c r="V1881" s="50" t="n">
        <v>0</v>
      </c>
      <c r="W1881" s="51" t="n">
        <v>0</v>
      </c>
      <c r="X1881" s="51" t="n">
        <v>0</v>
      </c>
      <c r="Y1881" s="51" t="n">
        <v>0</v>
      </c>
      <c r="Z1881" s="51" t="n">
        <v>0</v>
      </c>
      <c r="AA1881" s="52" t="n">
        <v>0</v>
      </c>
      <c r="AB1881" s="52" t="n">
        <v>0</v>
      </c>
      <c r="AC1881" s="52" t="n">
        <v>0</v>
      </c>
      <c r="AD1881" s="52" t="n">
        <v>0</v>
      </c>
      <c r="AE1881" s="52" t="n">
        <v>0</v>
      </c>
      <c r="AF1881" s="52" t="n">
        <v>0</v>
      </c>
      <c r="AG1881" s="52" t="n">
        <v>0</v>
      </c>
      <c r="AH1881" s="52" t="n">
        <v>0</v>
      </c>
      <c r="AI1881" s="52" t="n">
        <v>0</v>
      </c>
      <c r="AJ1881" s="52" t="n">
        <v>0</v>
      </c>
      <c r="AK1881" s="52" t="n">
        <v>0</v>
      </c>
      <c r="AL1881" s="52" t="n">
        <v>0</v>
      </c>
      <c r="AM1881" s="53" t="n">
        <v>0</v>
      </c>
      <c r="AN1881" s="53" t="n">
        <v>0</v>
      </c>
      <c r="AO1881" s="53" t="n">
        <v>0</v>
      </c>
      <c r="AP1881" s="53" t="n">
        <v>0</v>
      </c>
      <c r="AQ1881" s="52" t="n">
        <v>0</v>
      </c>
      <c r="AR1881" s="52" t="n">
        <v>0</v>
      </c>
      <c r="AS1881" s="52" t="n">
        <v>0</v>
      </c>
      <c r="AT1881" s="52" t="n">
        <v>0</v>
      </c>
      <c r="AU1881" s="53" t="n">
        <v>0</v>
      </c>
      <c r="AV1881" s="53" t="n">
        <v>0</v>
      </c>
      <c r="AW1881" s="53" t="n">
        <v>0</v>
      </c>
      <c r="AX1881" s="53" t="n">
        <v>0</v>
      </c>
      <c r="AY1881" s="52" t="n">
        <v>0</v>
      </c>
      <c r="AZ1881" s="52" t="n">
        <v>0</v>
      </c>
      <c r="BA1881" s="52" t="n">
        <v>0</v>
      </c>
      <c r="BB1881" s="52" t="n">
        <v>0</v>
      </c>
      <c r="BC1881" s="51" t="n">
        <v>0</v>
      </c>
      <c r="BD1881" s="51" t="n">
        <v>0</v>
      </c>
      <c r="BE1881" s="51" t="n">
        <v>0</v>
      </c>
      <c r="BF1881" s="51" t="n">
        <v>0</v>
      </c>
    </row>
    <row r="1882">
      <c r="A1882">
        <f>HYPERLINK("https://www.walmart.com/ip/13047168469", "13047168469")</f>
        <v/>
      </c>
      <c r="B1882" t="inlineStr">
        <is>
          <t>Tirrinia Neon Hunting Orange Safety Cap Closure</t>
        </is>
      </c>
      <c r="C1882" t="inlineStr">
        <is>
          <t>1TRHT8120GYOR</t>
        </is>
      </c>
      <c r="D1882" t="inlineStr">
        <is>
          <t>Hats</t>
        </is>
      </c>
      <c r="E1882" t="inlineStr">
        <is>
          <t>Tirrinia</t>
        </is>
      </c>
      <c r="G1882" s="48" t="n">
        <v>0</v>
      </c>
      <c r="H1882" s="48" t="n">
        <v>0</v>
      </c>
      <c r="I1882" s="48" t="n">
        <v>0</v>
      </c>
      <c r="J1882" s="48" t="n">
        <v>0</v>
      </c>
      <c r="K1882" s="49" t="n">
        <v>0</v>
      </c>
      <c r="L1882" s="49" t="n">
        <v>0</v>
      </c>
      <c r="M1882" s="49" t="n">
        <v>0</v>
      </c>
      <c r="N1882" s="49" t="n">
        <v>0</v>
      </c>
      <c r="O1882" s="49" t="n">
        <v>0</v>
      </c>
      <c r="P1882" s="49" t="n">
        <v>0</v>
      </c>
      <c r="Q1882" s="49" t="n">
        <v>0</v>
      </c>
      <c r="R1882" s="49" t="n">
        <v>0</v>
      </c>
      <c r="S1882" s="50" t="n">
        <v>0</v>
      </c>
      <c r="T1882" s="50" t="n">
        <v>0</v>
      </c>
      <c r="U1882" s="50" t="n">
        <v>0</v>
      </c>
      <c r="V1882" s="50" t="n">
        <v>0</v>
      </c>
      <c r="W1882" s="51" t="n">
        <v>0</v>
      </c>
      <c r="X1882" s="51" t="n">
        <v>0</v>
      </c>
      <c r="Y1882" s="51" t="n">
        <v>0</v>
      </c>
      <c r="Z1882" s="51" t="n">
        <v>0</v>
      </c>
      <c r="AA1882" s="52" t="n">
        <v>0</v>
      </c>
      <c r="AB1882" s="52" t="n">
        <v>0</v>
      </c>
      <c r="AC1882" s="52" t="n">
        <v>0</v>
      </c>
      <c r="AD1882" s="52" t="n">
        <v>0</v>
      </c>
      <c r="AE1882" s="52" t="n">
        <v>0</v>
      </c>
      <c r="AF1882" s="52" t="n">
        <v>0</v>
      </c>
      <c r="AG1882" s="52" t="n">
        <v>0</v>
      </c>
      <c r="AH1882" s="52" t="n">
        <v>0</v>
      </c>
      <c r="AI1882" s="52" t="n">
        <v>0</v>
      </c>
      <c r="AJ1882" s="52" t="n">
        <v>0</v>
      </c>
      <c r="AK1882" s="52" t="n">
        <v>0</v>
      </c>
      <c r="AL1882" s="52" t="n">
        <v>0</v>
      </c>
      <c r="AM1882" s="53" t="n">
        <v>0</v>
      </c>
      <c r="AN1882" s="53" t="n">
        <v>0</v>
      </c>
      <c r="AO1882" s="53" t="n">
        <v>0</v>
      </c>
      <c r="AP1882" s="53" t="n">
        <v>0</v>
      </c>
      <c r="AQ1882" s="52" t="n">
        <v>0</v>
      </c>
      <c r="AR1882" s="52" t="n">
        <v>0</v>
      </c>
      <c r="AS1882" s="52" t="n">
        <v>0</v>
      </c>
      <c r="AT1882" s="52" t="n">
        <v>0</v>
      </c>
      <c r="AU1882" s="53" t="n">
        <v>0</v>
      </c>
      <c r="AV1882" s="53" t="n">
        <v>0</v>
      </c>
      <c r="AW1882" s="53" t="n">
        <v>0</v>
      </c>
      <c r="AX1882" s="53" t="n">
        <v>0</v>
      </c>
      <c r="AY1882" s="52" t="n">
        <v>0</v>
      </c>
      <c r="AZ1882" s="52" t="n">
        <v>0</v>
      </c>
      <c r="BA1882" s="52" t="n">
        <v>0</v>
      </c>
      <c r="BB1882" s="52" t="n">
        <v>0</v>
      </c>
      <c r="BC1882" s="51" t="n">
        <v>0</v>
      </c>
      <c r="BD1882" s="51" t="n">
        <v>0</v>
      </c>
      <c r="BE1882" s="51" t="n">
        <v>0</v>
      </c>
      <c r="BF1882" s="51" t="n">
        <v>0</v>
      </c>
    </row>
    <row r="1883">
      <c r="A1883">
        <f>HYPERLINK("https://www.walmart.com/ip/130543605", "130543605")</f>
        <v/>
      </c>
      <c r="B1883" t="inlineStr">
        <is>
          <t>Catalonia Waterproof Blanket, Reversible Furniture Protector Cover Blanket, Super Cozy Fleece Sherpa Throw for Outdoor, Multi-Colors, 80”x60”</t>
        </is>
      </c>
      <c r="C1883" t="inlineStr">
        <is>
          <t>1CTBW681GYTP</t>
        </is>
      </c>
      <c r="D1883" t="inlineStr">
        <is>
          <t>Throws</t>
        </is>
      </c>
      <c r="E1883" t="inlineStr">
        <is>
          <t>Catalonia</t>
        </is>
      </c>
      <c r="F1883" t="inlineStr">
        <is>
          <t>Q2-Target,Wproof Blanket,Batch 1 - TR</t>
        </is>
      </c>
      <c r="G1883" s="48" t="n">
        <v>0</v>
      </c>
      <c r="H1883" s="48" t="n">
        <v>0</v>
      </c>
      <c r="I1883" s="48" t="n">
        <v>0</v>
      </c>
      <c r="J1883" s="48" t="n">
        <v>0</v>
      </c>
      <c r="K1883" s="49" t="n">
        <v>0</v>
      </c>
      <c r="L1883" s="49" t="n">
        <v>0</v>
      </c>
      <c r="M1883" s="49" t="n">
        <v>0</v>
      </c>
      <c r="N1883" s="49" t="n">
        <v>0</v>
      </c>
      <c r="O1883" s="49" t="n">
        <v>0</v>
      </c>
      <c r="P1883" s="49" t="n">
        <v>0</v>
      </c>
      <c r="Q1883" s="49" t="n">
        <v>0</v>
      </c>
      <c r="R1883" s="49" t="n">
        <v>0</v>
      </c>
      <c r="S1883" s="50" t="n">
        <v>0</v>
      </c>
      <c r="T1883" s="50" t="n">
        <v>0</v>
      </c>
      <c r="U1883" s="50" t="n">
        <v>0</v>
      </c>
      <c r="V1883" s="50" t="n">
        <v>0</v>
      </c>
      <c r="W1883" s="51" t="n">
        <v>0</v>
      </c>
      <c r="X1883" s="51" t="n">
        <v>2</v>
      </c>
      <c r="Y1883" s="51" t="n">
        <v>1</v>
      </c>
      <c r="Z1883" s="51" t="n">
        <v>2</v>
      </c>
      <c r="AA1883" s="52" t="n">
        <v>0</v>
      </c>
      <c r="AB1883" s="52" t="n">
        <v>0.63</v>
      </c>
      <c r="AC1883" s="52" t="n">
        <v>0.45</v>
      </c>
      <c r="AD1883" s="52" t="n">
        <v>0.86</v>
      </c>
      <c r="AE1883" s="52" t="n">
        <v>0</v>
      </c>
      <c r="AF1883" s="52" t="n">
        <v>0</v>
      </c>
      <c r="AG1883" s="52" t="n">
        <v>0</v>
      </c>
      <c r="AH1883" s="52" t="n">
        <v>0</v>
      </c>
      <c r="AI1883" s="52" t="n">
        <v>0</v>
      </c>
      <c r="AJ1883" s="52" t="n">
        <v>0</v>
      </c>
      <c r="AK1883" s="52" t="n">
        <v>0</v>
      </c>
      <c r="AL1883" s="52" t="n">
        <v>0</v>
      </c>
      <c r="AM1883" s="53" t="n">
        <v>0</v>
      </c>
      <c r="AN1883" s="53" t="n">
        <v>0.0007</v>
      </c>
      <c r="AO1883" s="53" t="n">
        <v>0.0004</v>
      </c>
      <c r="AP1883" s="53" t="n">
        <v>0.0005999999999999999</v>
      </c>
      <c r="AQ1883" s="52" t="n">
        <v>0</v>
      </c>
      <c r="AR1883" s="52" t="n">
        <v>0.315</v>
      </c>
      <c r="AS1883" s="52" t="n">
        <v>0.45</v>
      </c>
      <c r="AT1883" s="52" t="n">
        <v>0.43</v>
      </c>
      <c r="AU1883" s="53" t="n">
        <v>0</v>
      </c>
      <c r="AV1883" s="53" t="n">
        <v>0</v>
      </c>
      <c r="AW1883" s="53" t="n">
        <v>0</v>
      </c>
      <c r="AX1883" s="53" t="n">
        <v>0</v>
      </c>
      <c r="AY1883" s="52" t="n">
        <v>0</v>
      </c>
      <c r="AZ1883" s="52" t="n">
        <v>0</v>
      </c>
      <c r="BA1883" s="52" t="n">
        <v>0</v>
      </c>
      <c r="BB1883" s="52" t="n">
        <v>0</v>
      </c>
      <c r="BC1883" s="51" t="n">
        <v>2320</v>
      </c>
      <c r="BD1883" s="51" t="n">
        <v>2813</v>
      </c>
      <c r="BE1883" s="51" t="n">
        <v>2580</v>
      </c>
      <c r="BF1883" s="51" t="n">
        <v>3135</v>
      </c>
    </row>
    <row r="1884">
      <c r="A1884">
        <f>HYPERLINK("https://www.walmart.com/ip/13062905285", "13062905285")</f>
        <v/>
      </c>
      <c r="B1884" t="inlineStr">
        <is>
          <t>Tirrinia Neon Hunting Orange Safety Cap Closure</t>
        </is>
      </c>
      <c r="C1884" t="inlineStr">
        <is>
          <t>1TRHT8120ORBK</t>
        </is>
      </c>
      <c r="D1884" t="inlineStr">
        <is>
          <t>Hats</t>
        </is>
      </c>
      <c r="E1884" t="inlineStr">
        <is>
          <t>Tirrinia</t>
        </is>
      </c>
      <c r="G1884" s="48" t="n">
        <v>0</v>
      </c>
      <c r="H1884" s="48" t="n">
        <v>0</v>
      </c>
      <c r="I1884" s="48" t="n">
        <v>0</v>
      </c>
      <c r="J1884" s="48" t="n">
        <v>0</v>
      </c>
      <c r="K1884" s="49" t="n">
        <v>0</v>
      </c>
      <c r="L1884" s="49" t="n">
        <v>0</v>
      </c>
      <c r="M1884" s="49" t="n">
        <v>0</v>
      </c>
      <c r="N1884" s="49" t="n">
        <v>0</v>
      </c>
      <c r="O1884" s="49" t="n">
        <v>0</v>
      </c>
      <c r="P1884" s="49" t="n">
        <v>0</v>
      </c>
      <c r="Q1884" s="49" t="n">
        <v>0</v>
      </c>
      <c r="R1884" s="49" t="n">
        <v>0</v>
      </c>
      <c r="S1884" s="50" t="n">
        <v>0</v>
      </c>
      <c r="T1884" s="50" t="n">
        <v>0</v>
      </c>
      <c r="U1884" s="50" t="n">
        <v>0</v>
      </c>
      <c r="V1884" s="50" t="n">
        <v>0</v>
      </c>
      <c r="W1884" s="51" t="n">
        <v>0</v>
      </c>
      <c r="X1884" s="51" t="n">
        <v>0</v>
      </c>
      <c r="Y1884" s="51" t="n">
        <v>0</v>
      </c>
      <c r="Z1884" s="51" t="n">
        <v>0</v>
      </c>
      <c r="AA1884" s="52" t="n">
        <v>0</v>
      </c>
      <c r="AB1884" s="52" t="n">
        <v>0</v>
      </c>
      <c r="AC1884" s="52" t="n">
        <v>0</v>
      </c>
      <c r="AD1884" s="52" t="n">
        <v>0</v>
      </c>
      <c r="AE1884" s="52" t="n">
        <v>0</v>
      </c>
      <c r="AF1884" s="52" t="n">
        <v>0</v>
      </c>
      <c r="AG1884" s="52" t="n">
        <v>0</v>
      </c>
      <c r="AH1884" s="52" t="n">
        <v>0</v>
      </c>
      <c r="AI1884" s="52" t="n">
        <v>0</v>
      </c>
      <c r="AJ1884" s="52" t="n">
        <v>0</v>
      </c>
      <c r="AK1884" s="52" t="n">
        <v>0</v>
      </c>
      <c r="AL1884" s="52" t="n">
        <v>0</v>
      </c>
      <c r="AM1884" s="53" t="n">
        <v>0</v>
      </c>
      <c r="AN1884" s="53" t="n">
        <v>0</v>
      </c>
      <c r="AO1884" s="53" t="n">
        <v>0</v>
      </c>
      <c r="AP1884" s="53" t="n">
        <v>0</v>
      </c>
      <c r="AQ1884" s="52" t="n">
        <v>0</v>
      </c>
      <c r="AR1884" s="52" t="n">
        <v>0</v>
      </c>
      <c r="AS1884" s="52" t="n">
        <v>0</v>
      </c>
      <c r="AT1884" s="52" t="n">
        <v>0</v>
      </c>
      <c r="AU1884" s="53" t="n">
        <v>0</v>
      </c>
      <c r="AV1884" s="53" t="n">
        <v>0</v>
      </c>
      <c r="AW1884" s="53" t="n">
        <v>0</v>
      </c>
      <c r="AX1884" s="53" t="n">
        <v>0</v>
      </c>
      <c r="AY1884" s="52" t="n">
        <v>0</v>
      </c>
      <c r="AZ1884" s="52" t="n">
        <v>0</v>
      </c>
      <c r="BA1884" s="52" t="n">
        <v>0</v>
      </c>
      <c r="BB1884" s="52" t="n">
        <v>0</v>
      </c>
      <c r="BC1884" s="51" t="n">
        <v>0</v>
      </c>
      <c r="BD1884" s="51" t="n">
        <v>0</v>
      </c>
      <c r="BE1884" s="51" t="n">
        <v>0</v>
      </c>
      <c r="BF1884" s="51" t="n">
        <v>0</v>
      </c>
    </row>
    <row r="1885">
      <c r="A1885">
        <f>HYPERLINK("https://www.walmart.com/ip/1310986711", "1310986711")</f>
        <v/>
      </c>
      <c r="B1885" t="inlineStr">
        <is>
          <t>Tirrinia Embroidery Hunting Fishing Cap Adjustable Unisex Baseball Hat with Breathable Mesh Back</t>
        </is>
      </c>
      <c r="C1885" t="inlineStr">
        <is>
          <t>1TRHTS7160-TBCB</t>
        </is>
      </c>
      <c r="D1885" t="inlineStr">
        <is>
          <t>Hats</t>
        </is>
      </c>
      <c r="E1885" t="inlineStr">
        <is>
          <t>Tirrinia</t>
        </is>
      </c>
      <c r="F1885" t="inlineStr">
        <is>
          <t>Batch 1 - TR</t>
        </is>
      </c>
      <c r="G1885" s="48" t="n">
        <v>0</v>
      </c>
      <c r="H1885" s="48" t="n">
        <v>0</v>
      </c>
      <c r="I1885" s="48" t="n">
        <v>0</v>
      </c>
      <c r="J1885" s="48" t="n">
        <v>0</v>
      </c>
      <c r="K1885" s="49" t="n">
        <v>0</v>
      </c>
      <c r="L1885" s="49" t="n">
        <v>0</v>
      </c>
      <c r="M1885" s="49" t="n">
        <v>0</v>
      </c>
      <c r="N1885" s="49" t="n">
        <v>0</v>
      </c>
      <c r="O1885" s="49" t="n">
        <v>0</v>
      </c>
      <c r="P1885" s="49" t="n">
        <v>0</v>
      </c>
      <c r="Q1885" s="49" t="n">
        <v>0</v>
      </c>
      <c r="R1885" s="49" t="n">
        <v>0</v>
      </c>
      <c r="S1885" s="50" t="n">
        <v>0</v>
      </c>
      <c r="T1885" s="50" t="n">
        <v>0</v>
      </c>
      <c r="U1885" s="50" t="n">
        <v>0</v>
      </c>
      <c r="V1885" s="50" t="n">
        <v>0</v>
      </c>
      <c r="W1885" s="51" t="n">
        <v>0</v>
      </c>
      <c r="X1885" s="51" t="n">
        <v>0</v>
      </c>
      <c r="Y1885" s="51" t="n">
        <v>0</v>
      </c>
      <c r="Z1885" s="51" t="n">
        <v>0</v>
      </c>
      <c r="AA1885" s="52" t="n">
        <v>0</v>
      </c>
      <c r="AB1885" s="52" t="n">
        <v>0</v>
      </c>
      <c r="AC1885" s="52" t="n">
        <v>0</v>
      </c>
      <c r="AD1885" s="52" t="n">
        <v>0</v>
      </c>
      <c r="AE1885" s="52" t="n">
        <v>0</v>
      </c>
      <c r="AF1885" s="52" t="n">
        <v>0</v>
      </c>
      <c r="AG1885" s="52" t="n">
        <v>0</v>
      </c>
      <c r="AH1885" s="52" t="n">
        <v>0</v>
      </c>
      <c r="AI1885" s="52" t="n">
        <v>0</v>
      </c>
      <c r="AJ1885" s="52" t="n">
        <v>0</v>
      </c>
      <c r="AK1885" s="52" t="n">
        <v>0</v>
      </c>
      <c r="AL1885" s="52" t="n">
        <v>0</v>
      </c>
      <c r="AM1885" s="53" t="n">
        <v>0</v>
      </c>
      <c r="AN1885" s="53" t="n">
        <v>0</v>
      </c>
      <c r="AO1885" s="53" t="n">
        <v>0</v>
      </c>
      <c r="AP1885" s="53" t="n">
        <v>0</v>
      </c>
      <c r="AQ1885" s="52" t="n">
        <v>0</v>
      </c>
      <c r="AR1885" s="52" t="n">
        <v>0</v>
      </c>
      <c r="AS1885" s="52" t="n">
        <v>0</v>
      </c>
      <c r="AT1885" s="52" t="n">
        <v>0</v>
      </c>
      <c r="AU1885" s="53" t="n">
        <v>0</v>
      </c>
      <c r="AV1885" s="53" t="n">
        <v>0</v>
      </c>
      <c r="AW1885" s="53" t="n">
        <v>0</v>
      </c>
      <c r="AX1885" s="53" t="n">
        <v>0</v>
      </c>
      <c r="AY1885" s="52" t="n">
        <v>0</v>
      </c>
      <c r="AZ1885" s="52" t="n">
        <v>0</v>
      </c>
      <c r="BA1885" s="52" t="n">
        <v>0</v>
      </c>
      <c r="BB1885" s="52" t="n">
        <v>0</v>
      </c>
      <c r="BC1885" s="51" t="n">
        <v>0</v>
      </c>
      <c r="BD1885" s="51" t="n">
        <v>0</v>
      </c>
      <c r="BE1885" s="51" t="n">
        <v>0</v>
      </c>
      <c r="BF1885" s="51" t="n">
        <v>0</v>
      </c>
    </row>
    <row r="1886">
      <c r="A1886">
        <f>HYPERLINK("https://www.walmart.com/ip/13114116358", "13114116358")</f>
        <v/>
      </c>
      <c r="B1886" t="inlineStr">
        <is>
          <t>Wrangler Slim Genuine Leather AirTag Wallet for Men Adult - Bifold RFID Blocking Design with Hidden AirTag Holder</t>
        </is>
      </c>
      <c r="C1886" t="inlineStr">
        <is>
          <t>WR-WA13704BLKNS</t>
        </is>
      </c>
      <c r="D1886" t="inlineStr">
        <is>
          <t>Wallets</t>
        </is>
      </c>
      <c r="E1886" t="inlineStr">
        <is>
          <t>Wrangler</t>
        </is>
      </c>
      <c r="G1886" s="48" t="n">
        <v>0</v>
      </c>
      <c r="H1886" s="48" t="n">
        <v>0</v>
      </c>
      <c r="I1886" s="48" t="n">
        <v>0</v>
      </c>
      <c r="J1886" s="48" t="n">
        <v>0</v>
      </c>
      <c r="K1886" s="49" t="n">
        <v>0</v>
      </c>
      <c r="L1886" s="49" t="n">
        <v>0</v>
      </c>
      <c r="M1886" s="49" t="n">
        <v>0</v>
      </c>
      <c r="N1886" s="49" t="n">
        <v>0</v>
      </c>
      <c r="O1886" s="49" t="n">
        <v>0</v>
      </c>
      <c r="P1886" s="49" t="n">
        <v>0</v>
      </c>
      <c r="Q1886" s="49" t="n">
        <v>0</v>
      </c>
      <c r="R1886" s="49" t="n">
        <v>0</v>
      </c>
      <c r="S1886" s="50" t="n">
        <v>0</v>
      </c>
      <c r="T1886" s="50" t="n">
        <v>0</v>
      </c>
      <c r="U1886" s="50" t="n">
        <v>0</v>
      </c>
      <c r="V1886" s="50" t="n">
        <v>0</v>
      </c>
      <c r="W1886" s="51" t="n">
        <v>0</v>
      </c>
      <c r="X1886" s="51" t="n">
        <v>0</v>
      </c>
      <c r="Y1886" s="51" t="n">
        <v>0</v>
      </c>
      <c r="Z1886" s="51" t="n">
        <v>0</v>
      </c>
      <c r="AA1886" s="52" t="n">
        <v>0</v>
      </c>
      <c r="AB1886" s="52" t="n">
        <v>0</v>
      </c>
      <c r="AC1886" s="52" t="n">
        <v>0</v>
      </c>
      <c r="AD1886" s="52" t="n">
        <v>0</v>
      </c>
      <c r="AE1886" s="52" t="n">
        <v>0</v>
      </c>
      <c r="AF1886" s="52" t="n">
        <v>0</v>
      </c>
      <c r="AG1886" s="52" t="n">
        <v>0</v>
      </c>
      <c r="AH1886" s="52" t="n">
        <v>0</v>
      </c>
      <c r="AI1886" s="52" t="n">
        <v>0</v>
      </c>
      <c r="AJ1886" s="52" t="n">
        <v>0</v>
      </c>
      <c r="AK1886" s="52" t="n">
        <v>0</v>
      </c>
      <c r="AL1886" s="52" t="n">
        <v>0</v>
      </c>
      <c r="AM1886" s="53" t="n">
        <v>0</v>
      </c>
      <c r="AN1886" s="53" t="n">
        <v>0</v>
      </c>
      <c r="AO1886" s="53" t="n">
        <v>0</v>
      </c>
      <c r="AP1886" s="53" t="n">
        <v>0</v>
      </c>
      <c r="AQ1886" s="52" t="n">
        <v>0</v>
      </c>
      <c r="AR1886" s="52" t="n">
        <v>0</v>
      </c>
      <c r="AS1886" s="52" t="n">
        <v>0</v>
      </c>
      <c r="AT1886" s="52" t="n">
        <v>0</v>
      </c>
      <c r="AU1886" s="53" t="n">
        <v>0</v>
      </c>
      <c r="AV1886" s="53" t="n">
        <v>0</v>
      </c>
      <c r="AW1886" s="53" t="n">
        <v>0</v>
      </c>
      <c r="AX1886" s="53" t="n">
        <v>0</v>
      </c>
      <c r="AY1886" s="52" t="n">
        <v>0</v>
      </c>
      <c r="AZ1886" s="52" t="n">
        <v>0</v>
      </c>
      <c r="BA1886" s="52" t="n">
        <v>0</v>
      </c>
      <c r="BB1886" s="52" t="n">
        <v>0</v>
      </c>
      <c r="BC1886" s="51" t="n">
        <v>0</v>
      </c>
      <c r="BD1886" s="51" t="n">
        <v>0</v>
      </c>
      <c r="BE1886" s="51" t="n">
        <v>0</v>
      </c>
      <c r="BF1886" s="51" t="n">
        <v>0</v>
      </c>
    </row>
    <row r="1887">
      <c r="A1887">
        <f>HYPERLINK("https://www.walmart.com/ip/131154871", "131154871")</f>
        <v/>
      </c>
      <c r="B1887" t="inlineStr">
        <is>
          <t>JenniWears Women Beileise Sexy Top Thigh High Stockings+ Garter Belt Suspender - 6 Packs</t>
        </is>
      </c>
      <c r="C1887" t="inlineStr">
        <is>
          <t>JWBLSPH2011-6pcs</t>
        </is>
      </c>
      <c r="D1887" t="inlineStr">
        <is>
          <t>Garter Belts</t>
        </is>
      </c>
      <c r="E1887" t="inlineStr">
        <is>
          <t>JenniWears</t>
        </is>
      </c>
      <c r="F1887" t="inlineStr">
        <is>
          <t>Optimized,Valentine</t>
        </is>
      </c>
      <c r="G1887" s="48" t="n">
        <v>0</v>
      </c>
      <c r="H1887" s="48" t="n">
        <v>0</v>
      </c>
      <c r="I1887" s="48" t="n">
        <v>0</v>
      </c>
      <c r="J1887" s="48" t="n">
        <v>0</v>
      </c>
      <c r="K1887" s="49" t="n">
        <v>0</v>
      </c>
      <c r="L1887" s="49" t="n">
        <v>0</v>
      </c>
      <c r="M1887" s="49" t="n">
        <v>0</v>
      </c>
      <c r="N1887" s="49" t="n">
        <v>0</v>
      </c>
      <c r="O1887" s="49" t="n">
        <v>0</v>
      </c>
      <c r="P1887" s="49" t="n">
        <v>0</v>
      </c>
      <c r="Q1887" s="49" t="n">
        <v>0</v>
      </c>
      <c r="R1887" s="49" t="n">
        <v>0</v>
      </c>
      <c r="S1887" s="50" t="n">
        <v>0</v>
      </c>
      <c r="T1887" s="50" t="n">
        <v>0</v>
      </c>
      <c r="U1887" s="50" t="n">
        <v>0</v>
      </c>
      <c r="V1887" s="50" t="n">
        <v>0</v>
      </c>
      <c r="W1887" s="51" t="n">
        <v>0</v>
      </c>
      <c r="X1887" s="51" t="n">
        <v>0</v>
      </c>
      <c r="Y1887" s="51" t="n">
        <v>0</v>
      </c>
      <c r="Z1887" s="51" t="n">
        <v>0</v>
      </c>
      <c r="AA1887" s="52" t="n">
        <v>0</v>
      </c>
      <c r="AB1887" s="52" t="n">
        <v>0</v>
      </c>
      <c r="AC1887" s="52" t="n">
        <v>0</v>
      </c>
      <c r="AD1887" s="52" t="n">
        <v>0</v>
      </c>
      <c r="AE1887" s="52" t="n">
        <v>0</v>
      </c>
      <c r="AF1887" s="52" t="n">
        <v>0</v>
      </c>
      <c r="AG1887" s="52" t="n">
        <v>0</v>
      </c>
      <c r="AH1887" s="52" t="n">
        <v>0</v>
      </c>
      <c r="AI1887" s="52" t="n">
        <v>0</v>
      </c>
      <c r="AJ1887" s="52" t="n">
        <v>0</v>
      </c>
      <c r="AK1887" s="52" t="n">
        <v>0</v>
      </c>
      <c r="AL1887" s="52" t="n">
        <v>0</v>
      </c>
      <c r="AM1887" s="53" t="n">
        <v>0</v>
      </c>
      <c r="AN1887" s="53" t="n">
        <v>0</v>
      </c>
      <c r="AO1887" s="53" t="n">
        <v>0</v>
      </c>
      <c r="AP1887" s="53" t="n">
        <v>0</v>
      </c>
      <c r="AQ1887" s="52" t="n">
        <v>0</v>
      </c>
      <c r="AR1887" s="52" t="n">
        <v>0</v>
      </c>
      <c r="AS1887" s="52" t="n">
        <v>0</v>
      </c>
      <c r="AT1887" s="52" t="n">
        <v>0</v>
      </c>
      <c r="AU1887" s="53" t="n">
        <v>0</v>
      </c>
      <c r="AV1887" s="53" t="n">
        <v>0</v>
      </c>
      <c r="AW1887" s="53" t="n">
        <v>0</v>
      </c>
      <c r="AX1887" s="53" t="n">
        <v>0</v>
      </c>
      <c r="AY1887" s="52" t="n">
        <v>0</v>
      </c>
      <c r="AZ1887" s="52" t="n">
        <v>0</v>
      </c>
      <c r="BA1887" s="52" t="n">
        <v>0</v>
      </c>
      <c r="BB1887" s="52" t="n">
        <v>0</v>
      </c>
      <c r="BC1887" s="51" t="n">
        <v>0</v>
      </c>
      <c r="BD1887" s="51" t="n">
        <v>0</v>
      </c>
      <c r="BE1887" s="51" t="n">
        <v>0</v>
      </c>
      <c r="BF1887" s="51" t="n">
        <v>0</v>
      </c>
    </row>
    <row r="1888">
      <c r="A1888">
        <f>HYPERLINK("https://www.walmart.com/ip/13120069162", "13120069162")</f>
        <v/>
      </c>
      <c r="B1888" t="inlineStr">
        <is>
          <t>Wrangler Slim Genuine Leather AirTag Wallet for Men - Bifold RFID Blocking Design with Hidden AirTag Holder</t>
        </is>
      </c>
      <c r="C1888" t="inlineStr">
        <is>
          <t>WR-WA49101DKBOS</t>
        </is>
      </c>
      <c r="D1888" t="inlineStr">
        <is>
          <t>Wallets</t>
        </is>
      </c>
      <c r="E1888" t="inlineStr">
        <is>
          <t>Wrangler</t>
        </is>
      </c>
      <c r="G1888" s="48" t="n">
        <v>0</v>
      </c>
      <c r="H1888" s="48" t="n">
        <v>0</v>
      </c>
      <c r="I1888" s="48" t="n">
        <v>0</v>
      </c>
      <c r="J1888" s="48" t="n">
        <v>0</v>
      </c>
      <c r="K1888" s="49" t="n">
        <v>0</v>
      </c>
      <c r="L1888" s="49" t="n">
        <v>0</v>
      </c>
      <c r="M1888" s="49" t="n">
        <v>0</v>
      </c>
      <c r="N1888" s="49" t="n">
        <v>0</v>
      </c>
      <c r="O1888" s="49" t="n">
        <v>0</v>
      </c>
      <c r="P1888" s="49" t="n">
        <v>0</v>
      </c>
      <c r="Q1888" s="49" t="n">
        <v>0</v>
      </c>
      <c r="R1888" s="49" t="n">
        <v>0</v>
      </c>
      <c r="S1888" s="50" t="n">
        <v>0</v>
      </c>
      <c r="T1888" s="50" t="n">
        <v>0</v>
      </c>
      <c r="U1888" s="50" t="n">
        <v>0</v>
      </c>
      <c r="V1888" s="50" t="n">
        <v>0</v>
      </c>
      <c r="W1888" s="51" t="n">
        <v>0</v>
      </c>
      <c r="X1888" s="51" t="n">
        <v>0</v>
      </c>
      <c r="Y1888" s="51" t="n">
        <v>0</v>
      </c>
      <c r="Z1888" s="51" t="n">
        <v>0</v>
      </c>
      <c r="AA1888" s="52" t="n">
        <v>0</v>
      </c>
      <c r="AB1888" s="52" t="n">
        <v>0</v>
      </c>
      <c r="AC1888" s="52" t="n">
        <v>0</v>
      </c>
      <c r="AD1888" s="52" t="n">
        <v>0</v>
      </c>
      <c r="AE1888" s="52" t="n">
        <v>0</v>
      </c>
      <c r="AF1888" s="52" t="n">
        <v>0</v>
      </c>
      <c r="AG1888" s="52" t="n">
        <v>0</v>
      </c>
      <c r="AH1888" s="52" t="n">
        <v>0</v>
      </c>
      <c r="AI1888" s="52" t="n">
        <v>0</v>
      </c>
      <c r="AJ1888" s="52" t="n">
        <v>0</v>
      </c>
      <c r="AK1888" s="52" t="n">
        <v>0</v>
      </c>
      <c r="AL1888" s="52" t="n">
        <v>0</v>
      </c>
      <c r="AM1888" s="53" t="n">
        <v>0</v>
      </c>
      <c r="AN1888" s="53" t="n">
        <v>0</v>
      </c>
      <c r="AO1888" s="53" t="n">
        <v>0</v>
      </c>
      <c r="AP1888" s="53" t="n">
        <v>0</v>
      </c>
      <c r="AQ1888" s="52" t="n">
        <v>0</v>
      </c>
      <c r="AR1888" s="52" t="n">
        <v>0</v>
      </c>
      <c r="AS1888" s="52" t="n">
        <v>0</v>
      </c>
      <c r="AT1888" s="52" t="n">
        <v>0</v>
      </c>
      <c r="AU1888" s="53" t="n">
        <v>0</v>
      </c>
      <c r="AV1888" s="53" t="n">
        <v>0</v>
      </c>
      <c r="AW1888" s="53" t="n">
        <v>0</v>
      </c>
      <c r="AX1888" s="53" t="n">
        <v>0</v>
      </c>
      <c r="AY1888" s="52" t="n">
        <v>0</v>
      </c>
      <c r="AZ1888" s="52" t="n">
        <v>0</v>
      </c>
      <c r="BA1888" s="52" t="n">
        <v>0</v>
      </c>
      <c r="BB1888" s="52" t="n">
        <v>0</v>
      </c>
      <c r="BC1888" s="51" t="n">
        <v>0</v>
      </c>
      <c r="BD1888" s="51" t="n">
        <v>0</v>
      </c>
      <c r="BE1888" s="51" t="n">
        <v>0</v>
      </c>
      <c r="BF1888" s="51" t="n">
        <v>0</v>
      </c>
    </row>
    <row r="1889">
      <c r="A1889">
        <f>HYPERLINK("https://www.walmart.com/ip/1312165215", "1312165215")</f>
        <v/>
      </c>
      <c r="B1889" t="inlineStr">
        <is>
          <t>Tirrinia Christmas Sherpa Throw Blanket Queen Bedding Reversible, All Ages, 90x90 inches, Snow Man</t>
        </is>
      </c>
      <c r="C1889" t="inlineStr">
        <is>
          <t>1TRBF399SNOWMAN</t>
        </is>
      </c>
      <c r="D1889" t="inlineStr">
        <is>
          <t>Throws</t>
        </is>
      </c>
      <c r="E1889" t="inlineStr">
        <is>
          <t>Tirrinia</t>
        </is>
      </c>
      <c r="F1889" t="inlineStr">
        <is>
          <t>Batch 1 - TR</t>
        </is>
      </c>
      <c r="G1889" s="48" t="n">
        <v>0</v>
      </c>
      <c r="H1889" s="48" t="n">
        <v>0</v>
      </c>
      <c r="I1889" s="48" t="n">
        <v>0</v>
      </c>
      <c r="J1889" s="48" t="n">
        <v>0</v>
      </c>
      <c r="K1889" s="49" t="n">
        <v>0</v>
      </c>
      <c r="L1889" s="49" t="n">
        <v>0</v>
      </c>
      <c r="M1889" s="49" t="n">
        <v>0</v>
      </c>
      <c r="N1889" s="49" t="n">
        <v>0</v>
      </c>
      <c r="O1889" s="49" t="n">
        <v>0</v>
      </c>
      <c r="P1889" s="49" t="n">
        <v>0</v>
      </c>
      <c r="Q1889" s="49" t="n">
        <v>0</v>
      </c>
      <c r="R1889" s="49" t="n">
        <v>0</v>
      </c>
      <c r="S1889" s="50" t="n">
        <v>0</v>
      </c>
      <c r="T1889" s="50" t="n">
        <v>0</v>
      </c>
      <c r="U1889" s="50" t="n">
        <v>0</v>
      </c>
      <c r="V1889" s="50" t="n">
        <v>0</v>
      </c>
      <c r="W1889" s="51" t="n">
        <v>0</v>
      </c>
      <c r="X1889" s="51" t="n">
        <v>0</v>
      </c>
      <c r="Y1889" s="51" t="n">
        <v>0</v>
      </c>
      <c r="Z1889" s="51" t="n">
        <v>0</v>
      </c>
      <c r="AA1889" s="52" t="n">
        <v>0</v>
      </c>
      <c r="AB1889" s="52" t="n">
        <v>0</v>
      </c>
      <c r="AC1889" s="52" t="n">
        <v>0</v>
      </c>
      <c r="AD1889" s="52" t="n">
        <v>0</v>
      </c>
      <c r="AE1889" s="52" t="n">
        <v>0</v>
      </c>
      <c r="AF1889" s="52" t="n">
        <v>0</v>
      </c>
      <c r="AG1889" s="52" t="n">
        <v>0</v>
      </c>
      <c r="AH1889" s="52" t="n">
        <v>0</v>
      </c>
      <c r="AI1889" s="52" t="n">
        <v>0</v>
      </c>
      <c r="AJ1889" s="52" t="n">
        <v>0</v>
      </c>
      <c r="AK1889" s="52" t="n">
        <v>0</v>
      </c>
      <c r="AL1889" s="52" t="n">
        <v>0</v>
      </c>
      <c r="AM1889" s="53" t="n">
        <v>0</v>
      </c>
      <c r="AN1889" s="53" t="n">
        <v>0</v>
      </c>
      <c r="AO1889" s="53" t="n">
        <v>0</v>
      </c>
      <c r="AP1889" s="53" t="n">
        <v>0</v>
      </c>
      <c r="AQ1889" s="52" t="n">
        <v>0</v>
      </c>
      <c r="AR1889" s="52" t="n">
        <v>0</v>
      </c>
      <c r="AS1889" s="52" t="n">
        <v>0</v>
      </c>
      <c r="AT1889" s="52" t="n">
        <v>0</v>
      </c>
      <c r="AU1889" s="53" t="n">
        <v>0</v>
      </c>
      <c r="AV1889" s="53" t="n">
        <v>0</v>
      </c>
      <c r="AW1889" s="53" t="n">
        <v>0</v>
      </c>
      <c r="AX1889" s="53" t="n">
        <v>0</v>
      </c>
      <c r="AY1889" s="52" t="n">
        <v>0</v>
      </c>
      <c r="AZ1889" s="52" t="n">
        <v>0</v>
      </c>
      <c r="BA1889" s="52" t="n">
        <v>0</v>
      </c>
      <c r="BB1889" s="52" t="n">
        <v>0</v>
      </c>
      <c r="BC1889" s="51" t="n">
        <v>0</v>
      </c>
      <c r="BD1889" s="51" t="n">
        <v>0</v>
      </c>
      <c r="BE1889" s="51" t="n">
        <v>0</v>
      </c>
      <c r="BF1889" s="51" t="n">
        <v>0</v>
      </c>
    </row>
    <row r="1890">
      <c r="A1890">
        <f>HYPERLINK("https://www.walmart.com/ip/131244489", "131244489")</f>
        <v/>
      </c>
      <c r="B1890" t="inlineStr">
        <is>
          <t>Tirrinia Single Wine Cooler Bags - Insulated &amp; Padded Portable Wine Tote Carrier for Travel, BYOB Restaurant, Wine Tasting, Party, Great Christmas Gift for Wine Lover, Black</t>
        </is>
      </c>
      <c r="C1890" t="inlineStr">
        <is>
          <t>1TRWB101BK</t>
        </is>
      </c>
      <c r="D1890" t="inlineStr">
        <is>
          <t>Wine Totes, Bags &amp; Backpacks</t>
        </is>
      </c>
      <c r="E1890" t="inlineStr">
        <is>
          <t>Tirrinia</t>
        </is>
      </c>
      <c r="F1890" t="inlineStr">
        <is>
          <t>Wine,Christmas,Optimized,Valentine,SEM</t>
        </is>
      </c>
      <c r="G1890" s="48" t="n">
        <v>0</v>
      </c>
      <c r="H1890" s="48" t="n">
        <v>31.98</v>
      </c>
      <c r="I1890" s="48" t="n">
        <v>0</v>
      </c>
      <c r="J1890" s="48" t="n">
        <v>0</v>
      </c>
      <c r="K1890" s="49" t="n">
        <v>0</v>
      </c>
      <c r="L1890" s="49" t="n">
        <v>2</v>
      </c>
      <c r="M1890" s="49" t="n">
        <v>0</v>
      </c>
      <c r="N1890" s="49" t="n">
        <v>0</v>
      </c>
      <c r="O1890" s="49" t="n">
        <v>0</v>
      </c>
      <c r="P1890" s="49" t="n">
        <v>0</v>
      </c>
      <c r="Q1890" s="49" t="n">
        <v>0</v>
      </c>
      <c r="R1890" s="49" t="n">
        <v>0</v>
      </c>
      <c r="S1890" s="50" t="n">
        <v>0</v>
      </c>
      <c r="T1890" s="50" t="n">
        <v>0</v>
      </c>
      <c r="U1890" s="50" t="n">
        <v>0</v>
      </c>
      <c r="V1890" s="50" t="n">
        <v>0</v>
      </c>
      <c r="W1890" s="51" t="n">
        <v>0</v>
      </c>
      <c r="X1890" s="51" t="n">
        <v>0</v>
      </c>
      <c r="Y1890" s="51" t="n">
        <v>0</v>
      </c>
      <c r="Z1890" s="51" t="n">
        <v>0</v>
      </c>
      <c r="AA1890" s="52" t="n">
        <v>0</v>
      </c>
      <c r="AB1890" s="52" t="n">
        <v>0</v>
      </c>
      <c r="AC1890" s="52" t="n">
        <v>0</v>
      </c>
      <c r="AD1890" s="52" t="n">
        <v>0</v>
      </c>
      <c r="AE1890" s="52" t="n">
        <v>0</v>
      </c>
      <c r="AF1890" s="52" t="n">
        <v>0</v>
      </c>
      <c r="AG1890" s="52" t="n">
        <v>0</v>
      </c>
      <c r="AH1890" s="52" t="n">
        <v>0</v>
      </c>
      <c r="AI1890" s="52" t="n">
        <v>0</v>
      </c>
      <c r="AJ1890" s="52" t="n">
        <v>0</v>
      </c>
      <c r="AK1890" s="52" t="n">
        <v>0</v>
      </c>
      <c r="AL1890" s="52" t="n">
        <v>0</v>
      </c>
      <c r="AM1890" s="53" t="n">
        <v>0</v>
      </c>
      <c r="AN1890" s="53" t="n">
        <v>0</v>
      </c>
      <c r="AO1890" s="53" t="n">
        <v>0</v>
      </c>
      <c r="AP1890" s="53" t="n">
        <v>0</v>
      </c>
      <c r="AQ1890" s="52" t="n">
        <v>0</v>
      </c>
      <c r="AR1890" s="52" t="n">
        <v>0</v>
      </c>
      <c r="AS1890" s="52" t="n">
        <v>0</v>
      </c>
      <c r="AT1890" s="52" t="n">
        <v>0</v>
      </c>
      <c r="AU1890" s="53" t="n">
        <v>0</v>
      </c>
      <c r="AV1890" s="53" t="n">
        <v>0</v>
      </c>
      <c r="AW1890" s="53" t="n">
        <v>0</v>
      </c>
      <c r="AX1890" s="53" t="n">
        <v>0</v>
      </c>
      <c r="AY1890" s="52" t="n">
        <v>0</v>
      </c>
      <c r="AZ1890" s="52" t="n">
        <v>15.99</v>
      </c>
      <c r="BA1890" s="52" t="n">
        <v>0</v>
      </c>
      <c r="BB1890" s="52" t="n">
        <v>0</v>
      </c>
      <c r="BC1890" s="51" t="n">
        <v>0</v>
      </c>
      <c r="BD1890" s="51" t="n">
        <v>0</v>
      </c>
      <c r="BE1890" s="51" t="n">
        <v>0</v>
      </c>
      <c r="BF1890" s="51" t="n">
        <v>0</v>
      </c>
    </row>
    <row r="1891">
      <c r="A1891">
        <f>HYPERLINK("https://www.walmart.com/ip/1314177271", "1314177271")</f>
        <v/>
      </c>
      <c r="B1891" t="inlineStr">
        <is>
          <t>Tirrinia Neon Hunting Orange Safety Cap Closure</t>
        </is>
      </c>
      <c r="C1891" t="inlineStr">
        <is>
          <t>1TRHT7121OL-TBCB</t>
        </is>
      </c>
      <c r="D1891" t="inlineStr">
        <is>
          <t>Hats</t>
        </is>
      </c>
      <c r="E1891" t="inlineStr">
        <is>
          <t>Tirrinia</t>
        </is>
      </c>
      <c r="F1891" t="inlineStr">
        <is>
          <t>Batch 1 - TR</t>
        </is>
      </c>
      <c r="G1891" s="48" t="n">
        <v>0</v>
      </c>
      <c r="H1891" s="48" t="n">
        <v>0</v>
      </c>
      <c r="I1891" s="48" t="n">
        <v>0</v>
      </c>
      <c r="J1891" s="48" t="n">
        <v>0</v>
      </c>
      <c r="K1891" s="49" t="n">
        <v>0</v>
      </c>
      <c r="L1891" s="49" t="n">
        <v>0</v>
      </c>
      <c r="M1891" s="49" t="n">
        <v>0</v>
      </c>
      <c r="N1891" s="49" t="n">
        <v>0</v>
      </c>
      <c r="O1891" s="49" t="n">
        <v>0</v>
      </c>
      <c r="P1891" s="49" t="n">
        <v>0</v>
      </c>
      <c r="Q1891" s="49" t="n">
        <v>0</v>
      </c>
      <c r="R1891" s="49" t="n">
        <v>0</v>
      </c>
      <c r="S1891" s="50" t="n">
        <v>0</v>
      </c>
      <c r="T1891" s="50" t="n">
        <v>0</v>
      </c>
      <c r="U1891" s="50" t="n">
        <v>0</v>
      </c>
      <c r="V1891" s="50" t="n">
        <v>0</v>
      </c>
      <c r="W1891" s="51" t="n">
        <v>0</v>
      </c>
      <c r="X1891" s="51" t="n">
        <v>0</v>
      </c>
      <c r="Y1891" s="51" t="n">
        <v>0</v>
      </c>
      <c r="Z1891" s="51" t="n">
        <v>0</v>
      </c>
      <c r="AA1891" s="52" t="n">
        <v>0</v>
      </c>
      <c r="AB1891" s="52" t="n">
        <v>0</v>
      </c>
      <c r="AC1891" s="52" t="n">
        <v>0</v>
      </c>
      <c r="AD1891" s="52" t="n">
        <v>0</v>
      </c>
      <c r="AE1891" s="52" t="n">
        <v>0</v>
      </c>
      <c r="AF1891" s="52" t="n">
        <v>0</v>
      </c>
      <c r="AG1891" s="52" t="n">
        <v>0</v>
      </c>
      <c r="AH1891" s="52" t="n">
        <v>0</v>
      </c>
      <c r="AI1891" s="52" t="n">
        <v>0</v>
      </c>
      <c r="AJ1891" s="52" t="n">
        <v>0</v>
      </c>
      <c r="AK1891" s="52" t="n">
        <v>0</v>
      </c>
      <c r="AL1891" s="52" t="n">
        <v>0</v>
      </c>
      <c r="AM1891" s="53" t="n">
        <v>0</v>
      </c>
      <c r="AN1891" s="53" t="n">
        <v>0</v>
      </c>
      <c r="AO1891" s="53" t="n">
        <v>0</v>
      </c>
      <c r="AP1891" s="53" t="n">
        <v>0</v>
      </c>
      <c r="AQ1891" s="52" t="n">
        <v>0</v>
      </c>
      <c r="AR1891" s="52" t="n">
        <v>0</v>
      </c>
      <c r="AS1891" s="52" t="n">
        <v>0</v>
      </c>
      <c r="AT1891" s="52" t="n">
        <v>0</v>
      </c>
      <c r="AU1891" s="53" t="n">
        <v>0</v>
      </c>
      <c r="AV1891" s="53" t="n">
        <v>0</v>
      </c>
      <c r="AW1891" s="53" t="n">
        <v>0</v>
      </c>
      <c r="AX1891" s="53" t="n">
        <v>0</v>
      </c>
      <c r="AY1891" s="52" t="n">
        <v>0</v>
      </c>
      <c r="AZ1891" s="52" t="n">
        <v>0</v>
      </c>
      <c r="BA1891" s="52" t="n">
        <v>0</v>
      </c>
      <c r="BB1891" s="52" t="n">
        <v>0</v>
      </c>
      <c r="BC1891" s="51" t="n">
        <v>0</v>
      </c>
      <c r="BD1891" s="51" t="n">
        <v>0</v>
      </c>
      <c r="BE1891" s="51" t="n">
        <v>0</v>
      </c>
      <c r="BF1891" s="51" t="n">
        <v>0</v>
      </c>
    </row>
    <row r="1892">
      <c r="A1892">
        <f>HYPERLINK("https://www.walmart.com/ip/129416493", "129416493")</f>
        <v/>
      </c>
      <c r="B1892" t="inlineStr">
        <is>
          <t>Napa Premium Chevron Micro Plush Fleece Sherpa Bed Throw TV Blanket 50” x 60” Latte,  All Ages</t>
        </is>
      </c>
      <c r="C1892" t="inlineStr">
        <is>
          <t>K8020LATTE</t>
        </is>
      </c>
      <c r="D1892" t="inlineStr">
        <is>
          <t>Throws</t>
        </is>
      </c>
      <c r="E1892" t="inlineStr">
        <is>
          <t>NAPA</t>
        </is>
      </c>
      <c r="F1892" t="inlineStr">
        <is>
          <t>Batch 1 - TR</t>
        </is>
      </c>
      <c r="G1892" s="48" t="n">
        <v>0</v>
      </c>
      <c r="H1892" s="48" t="n">
        <v>0</v>
      </c>
      <c r="I1892" s="48" t="n">
        <v>0</v>
      </c>
      <c r="J1892" s="48" t="n">
        <v>0</v>
      </c>
      <c r="K1892" s="49" t="n">
        <v>0</v>
      </c>
      <c r="L1892" s="49" t="n">
        <v>0</v>
      </c>
      <c r="M1892" s="49" t="n">
        <v>0</v>
      </c>
      <c r="N1892" s="49" t="n">
        <v>0</v>
      </c>
      <c r="O1892" s="49" t="n">
        <v>0</v>
      </c>
      <c r="P1892" s="49" t="n">
        <v>0</v>
      </c>
      <c r="Q1892" s="49" t="n">
        <v>0</v>
      </c>
      <c r="R1892" s="49" t="n">
        <v>0</v>
      </c>
      <c r="S1892" s="50" t="n">
        <v>0</v>
      </c>
      <c r="T1892" s="50" t="n">
        <v>0</v>
      </c>
      <c r="U1892" s="50" t="n">
        <v>0</v>
      </c>
      <c r="V1892" s="50" t="n">
        <v>0</v>
      </c>
      <c r="W1892" s="51" t="n">
        <v>0</v>
      </c>
      <c r="X1892" s="51" t="n">
        <v>0</v>
      </c>
      <c r="Y1892" s="51" t="n">
        <v>0</v>
      </c>
      <c r="Z1892" s="51" t="n">
        <v>0</v>
      </c>
      <c r="AA1892" s="52" t="n">
        <v>0</v>
      </c>
      <c r="AB1892" s="52" t="n">
        <v>0</v>
      </c>
      <c r="AC1892" s="52" t="n">
        <v>0</v>
      </c>
      <c r="AD1892" s="52" t="n">
        <v>0</v>
      </c>
      <c r="AE1892" s="52" t="n">
        <v>0</v>
      </c>
      <c r="AF1892" s="52" t="n">
        <v>0</v>
      </c>
      <c r="AG1892" s="52" t="n">
        <v>0</v>
      </c>
      <c r="AH1892" s="52" t="n">
        <v>0</v>
      </c>
      <c r="AI1892" s="52" t="n">
        <v>0</v>
      </c>
      <c r="AJ1892" s="52" t="n">
        <v>0</v>
      </c>
      <c r="AK1892" s="52" t="n">
        <v>0</v>
      </c>
      <c r="AL1892" s="52" t="n">
        <v>0</v>
      </c>
      <c r="AM1892" s="53" t="n">
        <v>0</v>
      </c>
      <c r="AN1892" s="53" t="n">
        <v>0</v>
      </c>
      <c r="AO1892" s="53" t="n">
        <v>0</v>
      </c>
      <c r="AP1892" s="53" t="n">
        <v>0</v>
      </c>
      <c r="AQ1892" s="52" t="n">
        <v>0</v>
      </c>
      <c r="AR1892" s="52" t="n">
        <v>0</v>
      </c>
      <c r="AS1892" s="52" t="n">
        <v>0</v>
      </c>
      <c r="AT1892" s="52" t="n">
        <v>0</v>
      </c>
      <c r="AU1892" s="53" t="n">
        <v>0</v>
      </c>
      <c r="AV1892" s="53" t="n">
        <v>0</v>
      </c>
      <c r="AW1892" s="53" t="n">
        <v>0</v>
      </c>
      <c r="AX1892" s="53" t="n">
        <v>0</v>
      </c>
      <c r="AY1892" s="52" t="n">
        <v>0</v>
      </c>
      <c r="AZ1892" s="52" t="n">
        <v>0</v>
      </c>
      <c r="BA1892" s="52" t="n">
        <v>0</v>
      </c>
      <c r="BB1892" s="52" t="n">
        <v>0</v>
      </c>
      <c r="BC1892" s="51" t="n">
        <v>0</v>
      </c>
      <c r="BD1892" s="51" t="n">
        <v>0</v>
      </c>
      <c r="BE1892" s="51" t="n">
        <v>0</v>
      </c>
      <c r="BF1892" s="51" t="n">
        <v>0</v>
      </c>
    </row>
    <row r="1893">
      <c r="A1893">
        <f>HYPERLINK("https://www.walmart.com/ip/1291165947", "1291165947")</f>
        <v/>
      </c>
      <c r="B1893" t="inlineStr">
        <is>
          <t>Unisex Hunting Fishing Cap Adjustable 3D Embroidery Baseball Hat with Air Mesh Back</t>
        </is>
      </c>
      <c r="C1893" t="inlineStr">
        <is>
          <t>1TRHT7180CONTRY-12pcs</t>
        </is>
      </c>
      <c r="D1893" t="inlineStr">
        <is>
          <t>Hats</t>
        </is>
      </c>
      <c r="E1893" t="inlineStr">
        <is>
          <t>Tirrinia</t>
        </is>
      </c>
      <c r="F1893" t="inlineStr">
        <is>
          <t>Batch 1 - TR</t>
        </is>
      </c>
      <c r="G1893" s="48" t="n">
        <v>0</v>
      </c>
      <c r="H1893" s="48" t="n">
        <v>0</v>
      </c>
      <c r="I1893" s="48" t="n">
        <v>0</v>
      </c>
      <c r="J1893" s="48" t="n">
        <v>0</v>
      </c>
      <c r="K1893" s="49" t="n">
        <v>0</v>
      </c>
      <c r="L1893" s="49" t="n">
        <v>0</v>
      </c>
      <c r="M1893" s="49" t="n">
        <v>0</v>
      </c>
      <c r="N1893" s="49" t="n">
        <v>0</v>
      </c>
      <c r="O1893" s="49" t="n">
        <v>0</v>
      </c>
      <c r="P1893" s="49" t="n">
        <v>0</v>
      </c>
      <c r="Q1893" s="49" t="n">
        <v>0</v>
      </c>
      <c r="R1893" s="49" t="n">
        <v>0</v>
      </c>
      <c r="S1893" s="50" t="n">
        <v>0</v>
      </c>
      <c r="T1893" s="50" t="n">
        <v>0</v>
      </c>
      <c r="U1893" s="50" t="n">
        <v>0</v>
      </c>
      <c r="V1893" s="50" t="n">
        <v>0</v>
      </c>
      <c r="W1893" s="51" t="n">
        <v>0</v>
      </c>
      <c r="X1893" s="51" t="n">
        <v>0</v>
      </c>
      <c r="Y1893" s="51" t="n">
        <v>0</v>
      </c>
      <c r="Z1893" s="51" t="n">
        <v>0</v>
      </c>
      <c r="AA1893" s="52" t="n">
        <v>0</v>
      </c>
      <c r="AB1893" s="52" t="n">
        <v>0</v>
      </c>
      <c r="AC1893" s="52" t="n">
        <v>0</v>
      </c>
      <c r="AD1893" s="52" t="n">
        <v>0</v>
      </c>
      <c r="AE1893" s="52" t="n">
        <v>0</v>
      </c>
      <c r="AF1893" s="52" t="n">
        <v>0</v>
      </c>
      <c r="AG1893" s="52" t="n">
        <v>0</v>
      </c>
      <c r="AH1893" s="52" t="n">
        <v>0</v>
      </c>
      <c r="AI1893" s="52" t="n">
        <v>0</v>
      </c>
      <c r="AJ1893" s="52" t="n">
        <v>0</v>
      </c>
      <c r="AK1893" s="52" t="n">
        <v>0</v>
      </c>
      <c r="AL1893" s="52" t="n">
        <v>0</v>
      </c>
      <c r="AM1893" s="53" t="n">
        <v>0</v>
      </c>
      <c r="AN1893" s="53" t="n">
        <v>0</v>
      </c>
      <c r="AO1893" s="53" t="n">
        <v>0</v>
      </c>
      <c r="AP1893" s="53" t="n">
        <v>0</v>
      </c>
      <c r="AQ1893" s="52" t="n">
        <v>0</v>
      </c>
      <c r="AR1893" s="52" t="n">
        <v>0</v>
      </c>
      <c r="AS1893" s="52" t="n">
        <v>0</v>
      </c>
      <c r="AT1893" s="52" t="n">
        <v>0</v>
      </c>
      <c r="AU1893" s="53" t="n">
        <v>0</v>
      </c>
      <c r="AV1893" s="53" t="n">
        <v>0</v>
      </c>
      <c r="AW1893" s="53" t="n">
        <v>0</v>
      </c>
      <c r="AX1893" s="53" t="n">
        <v>0</v>
      </c>
      <c r="AY1893" s="52" t="n">
        <v>0</v>
      </c>
      <c r="AZ1893" s="52" t="n">
        <v>0</v>
      </c>
      <c r="BA1893" s="52" t="n">
        <v>0</v>
      </c>
      <c r="BB1893" s="52" t="n">
        <v>0</v>
      </c>
      <c r="BC1893" s="51" t="n">
        <v>0</v>
      </c>
      <c r="BD1893" s="51" t="n">
        <v>0</v>
      </c>
      <c r="BE1893" s="51" t="n">
        <v>0</v>
      </c>
      <c r="BF1893" s="51" t="n">
        <v>0</v>
      </c>
    </row>
    <row r="1894">
      <c r="A1894">
        <f>HYPERLINK("https://www.walmart.com/ip/128852666", "128852666")</f>
        <v/>
      </c>
      <c r="B1894" t="inlineStr">
        <is>
          <t>Terra Faux Fur Pom Pom Beanie Hat Thick Slouchy Cable Knit Soft Warm Micro Fleece Lined Unisex Stretches to Fit Most</t>
        </is>
      </c>
      <c r="C1894" t="inlineStr">
        <is>
          <t>TERRAPPH01GN</t>
        </is>
      </c>
      <c r="D1894" t="inlineStr">
        <is>
          <t>Hats</t>
        </is>
      </c>
      <c r="E1894" t="inlineStr">
        <is>
          <t>Terra</t>
        </is>
      </c>
      <c r="F1894" t="inlineStr">
        <is>
          <t>Optimized,ST Patrick Day</t>
        </is>
      </c>
      <c r="G1894" s="48" t="n">
        <v>0</v>
      </c>
      <c r="H1894" s="48" t="n">
        <v>0</v>
      </c>
      <c r="I1894" s="48" t="n">
        <v>0</v>
      </c>
      <c r="J1894" s="48" t="n">
        <v>0</v>
      </c>
      <c r="K1894" s="49" t="n">
        <v>0</v>
      </c>
      <c r="L1894" s="49" t="n">
        <v>0</v>
      </c>
      <c r="M1894" s="49" t="n">
        <v>0</v>
      </c>
      <c r="N1894" s="49" t="n">
        <v>0</v>
      </c>
      <c r="O1894" s="49" t="n">
        <v>0</v>
      </c>
      <c r="P1894" s="49" t="n">
        <v>0</v>
      </c>
      <c r="Q1894" s="49" t="n">
        <v>0</v>
      </c>
      <c r="R1894" s="49" t="n">
        <v>0</v>
      </c>
      <c r="S1894" s="50" t="n">
        <v>0</v>
      </c>
      <c r="T1894" s="50" t="n">
        <v>0</v>
      </c>
      <c r="U1894" s="50" t="n">
        <v>0</v>
      </c>
      <c r="V1894" s="50" t="n">
        <v>0</v>
      </c>
      <c r="W1894" s="51" t="n">
        <v>0</v>
      </c>
      <c r="X1894" s="51" t="n">
        <v>0</v>
      </c>
      <c r="Y1894" s="51" t="n">
        <v>0</v>
      </c>
      <c r="Z1894" s="51" t="n">
        <v>0</v>
      </c>
      <c r="AA1894" s="52" t="n">
        <v>0</v>
      </c>
      <c r="AB1894" s="52" t="n">
        <v>0</v>
      </c>
      <c r="AC1894" s="52" t="n">
        <v>0</v>
      </c>
      <c r="AD1894" s="52" t="n">
        <v>0</v>
      </c>
      <c r="AE1894" s="52" t="n">
        <v>0</v>
      </c>
      <c r="AF1894" s="52" t="n">
        <v>0</v>
      </c>
      <c r="AG1894" s="52" t="n">
        <v>0</v>
      </c>
      <c r="AH1894" s="52" t="n">
        <v>0</v>
      </c>
      <c r="AI1894" s="52" t="n">
        <v>0</v>
      </c>
      <c r="AJ1894" s="52" t="n">
        <v>0</v>
      </c>
      <c r="AK1894" s="52" t="n">
        <v>0</v>
      </c>
      <c r="AL1894" s="52" t="n">
        <v>0</v>
      </c>
      <c r="AM1894" s="53" t="n">
        <v>0</v>
      </c>
      <c r="AN1894" s="53" t="n">
        <v>0</v>
      </c>
      <c r="AO1894" s="53" t="n">
        <v>0</v>
      </c>
      <c r="AP1894" s="53" t="n">
        <v>0</v>
      </c>
      <c r="AQ1894" s="52" t="n">
        <v>0</v>
      </c>
      <c r="AR1894" s="52" t="n">
        <v>0</v>
      </c>
      <c r="AS1894" s="52" t="n">
        <v>0</v>
      </c>
      <c r="AT1894" s="52" t="n">
        <v>0</v>
      </c>
      <c r="AU1894" s="53" t="n">
        <v>0</v>
      </c>
      <c r="AV1894" s="53" t="n">
        <v>0</v>
      </c>
      <c r="AW1894" s="53" t="n">
        <v>0</v>
      </c>
      <c r="AX1894" s="53" t="n">
        <v>0</v>
      </c>
      <c r="AY1894" s="52" t="n">
        <v>0</v>
      </c>
      <c r="AZ1894" s="52" t="n">
        <v>0</v>
      </c>
      <c r="BA1894" s="52" t="n">
        <v>0</v>
      </c>
      <c r="BB1894" s="52" t="n">
        <v>0</v>
      </c>
      <c r="BC1894" s="51" t="n">
        <v>0</v>
      </c>
      <c r="BD1894" s="51" t="n">
        <v>0</v>
      </c>
      <c r="BE1894" s="51" t="n">
        <v>0</v>
      </c>
      <c r="BF1894" s="51" t="n">
        <v>0</v>
      </c>
    </row>
    <row r="1895">
      <c r="A1895">
        <f>HYPERLINK("https://www.walmart.com/ip/127919926", "127919926")</f>
        <v/>
      </c>
      <c r="B1895" t="inlineStr">
        <is>
          <t>Flyingstar Women's Ponytail Sun Hat for Hiking, Gardening and Safari, Wide Brim Hat For Women with Breathable Mesh and Ponytail Hole Opening, Olive</t>
        </is>
      </c>
      <c r="C1895" t="inlineStr">
        <is>
          <t>1WMSH912OL</t>
        </is>
      </c>
      <c r="D1895" t="inlineStr">
        <is>
          <t>Hats</t>
        </is>
      </c>
      <c r="E1895" t="inlineStr">
        <is>
          <t>Flyingstar</t>
        </is>
      </c>
      <c r="F1895" t="inlineStr">
        <is>
          <t>Optimized</t>
        </is>
      </c>
      <c r="G1895" s="48" t="n">
        <v>0</v>
      </c>
      <c r="H1895" s="48" t="n">
        <v>0</v>
      </c>
      <c r="I1895" s="48" t="n">
        <v>0</v>
      </c>
      <c r="J1895" s="48" t="n">
        <v>0</v>
      </c>
      <c r="K1895" s="49" t="n">
        <v>0</v>
      </c>
      <c r="L1895" s="49" t="n">
        <v>0</v>
      </c>
      <c r="M1895" s="49" t="n">
        <v>0</v>
      </c>
      <c r="N1895" s="49" t="n">
        <v>0</v>
      </c>
      <c r="O1895" s="49" t="n">
        <v>0</v>
      </c>
      <c r="P1895" s="49" t="n">
        <v>0</v>
      </c>
      <c r="Q1895" s="49" t="n">
        <v>0</v>
      </c>
      <c r="R1895" s="49" t="n">
        <v>0</v>
      </c>
      <c r="S1895" s="50" t="n">
        <v>0</v>
      </c>
      <c r="T1895" s="50" t="n">
        <v>0</v>
      </c>
      <c r="U1895" s="50" t="n">
        <v>0</v>
      </c>
      <c r="V1895" s="50" t="n">
        <v>0</v>
      </c>
      <c r="W1895" s="51" t="n">
        <v>0</v>
      </c>
      <c r="X1895" s="51" t="n">
        <v>0</v>
      </c>
      <c r="Y1895" s="51" t="n">
        <v>0</v>
      </c>
      <c r="Z1895" s="51" t="n">
        <v>0</v>
      </c>
      <c r="AA1895" s="52" t="n">
        <v>0</v>
      </c>
      <c r="AB1895" s="52" t="n">
        <v>0</v>
      </c>
      <c r="AC1895" s="52" t="n">
        <v>0</v>
      </c>
      <c r="AD1895" s="52" t="n">
        <v>0</v>
      </c>
      <c r="AE1895" s="52" t="n">
        <v>0</v>
      </c>
      <c r="AF1895" s="52" t="n">
        <v>0</v>
      </c>
      <c r="AG1895" s="52" t="n">
        <v>0</v>
      </c>
      <c r="AH1895" s="52" t="n">
        <v>0</v>
      </c>
      <c r="AI1895" s="52" t="n">
        <v>0</v>
      </c>
      <c r="AJ1895" s="52" t="n">
        <v>0</v>
      </c>
      <c r="AK1895" s="52" t="n">
        <v>0</v>
      </c>
      <c r="AL1895" s="52" t="n">
        <v>0</v>
      </c>
      <c r="AM1895" s="53" t="n">
        <v>0</v>
      </c>
      <c r="AN1895" s="53" t="n">
        <v>0</v>
      </c>
      <c r="AO1895" s="53" t="n">
        <v>0</v>
      </c>
      <c r="AP1895" s="53" t="n">
        <v>0</v>
      </c>
      <c r="AQ1895" s="52" t="n">
        <v>0</v>
      </c>
      <c r="AR1895" s="52" t="n">
        <v>0</v>
      </c>
      <c r="AS1895" s="52" t="n">
        <v>0</v>
      </c>
      <c r="AT1895" s="52" t="n">
        <v>0</v>
      </c>
      <c r="AU1895" s="53" t="n">
        <v>0</v>
      </c>
      <c r="AV1895" s="53" t="n">
        <v>0</v>
      </c>
      <c r="AW1895" s="53" t="n">
        <v>0</v>
      </c>
      <c r="AX1895" s="53" t="n">
        <v>0</v>
      </c>
      <c r="AY1895" s="52" t="n">
        <v>0</v>
      </c>
      <c r="AZ1895" s="52" t="n">
        <v>0</v>
      </c>
      <c r="BA1895" s="52" t="n">
        <v>0</v>
      </c>
      <c r="BB1895" s="52" t="n">
        <v>0</v>
      </c>
      <c r="BC1895" s="51" t="n">
        <v>0</v>
      </c>
      <c r="BD1895" s="51" t="n">
        <v>0</v>
      </c>
      <c r="BE1895" s="51" t="n">
        <v>0</v>
      </c>
      <c r="BF1895" s="51" t="n">
        <v>0</v>
      </c>
    </row>
    <row r="1896">
      <c r="A1896">
        <f>HYPERLINK("https://www.walmart.com/ip/1264144525", "1264144525")</f>
        <v/>
      </c>
      <c r="B1896" t="inlineStr">
        <is>
          <t>Every Day is Christmas Glass Blown Ornaments 2021 Cute Hand Made Figurines Tree Decoration, Ski Santa</t>
        </is>
      </c>
      <c r="C1896" t="inlineStr">
        <is>
          <t>EDC-FIGURINE-SPACE</t>
        </is>
      </c>
      <c r="D1896" t="inlineStr">
        <is>
          <t>Ornaments</t>
        </is>
      </c>
      <c r="E1896" t="inlineStr">
        <is>
          <t>Every Day is Christmas</t>
        </is>
      </c>
      <c r="G1896" s="48" t="n">
        <v>0</v>
      </c>
      <c r="H1896" s="48" t="n">
        <v>0</v>
      </c>
      <c r="I1896" s="48" t="n">
        <v>0</v>
      </c>
      <c r="J1896" s="48" t="n">
        <v>0</v>
      </c>
      <c r="K1896" s="49" t="n">
        <v>0</v>
      </c>
      <c r="L1896" s="49" t="n">
        <v>0</v>
      </c>
      <c r="M1896" s="49" t="n">
        <v>0</v>
      </c>
      <c r="N1896" s="49" t="n">
        <v>0</v>
      </c>
      <c r="O1896" s="49" t="n">
        <v>0</v>
      </c>
      <c r="P1896" s="49" t="n">
        <v>0</v>
      </c>
      <c r="Q1896" s="49" t="n">
        <v>0</v>
      </c>
      <c r="R1896" s="49" t="n">
        <v>0</v>
      </c>
      <c r="S1896" s="50" t="n">
        <v>0</v>
      </c>
      <c r="T1896" s="50" t="n">
        <v>0</v>
      </c>
      <c r="U1896" s="50" t="n">
        <v>0</v>
      </c>
      <c r="V1896" s="50" t="n">
        <v>0</v>
      </c>
      <c r="W1896" s="51" t="n">
        <v>0</v>
      </c>
      <c r="X1896" s="51" t="n">
        <v>0</v>
      </c>
      <c r="Y1896" s="51" t="n">
        <v>0</v>
      </c>
      <c r="Z1896" s="51" t="n">
        <v>0</v>
      </c>
      <c r="AA1896" s="52" t="n">
        <v>0</v>
      </c>
      <c r="AB1896" s="52" t="n">
        <v>0</v>
      </c>
      <c r="AC1896" s="52" t="n">
        <v>0</v>
      </c>
      <c r="AD1896" s="52" t="n">
        <v>0</v>
      </c>
      <c r="AE1896" s="52" t="n">
        <v>0</v>
      </c>
      <c r="AF1896" s="52" t="n">
        <v>0</v>
      </c>
      <c r="AG1896" s="52" t="n">
        <v>0</v>
      </c>
      <c r="AH1896" s="52" t="n">
        <v>0</v>
      </c>
      <c r="AI1896" s="52" t="n">
        <v>0</v>
      </c>
      <c r="AJ1896" s="52" t="n">
        <v>0</v>
      </c>
      <c r="AK1896" s="52" t="n">
        <v>0</v>
      </c>
      <c r="AL1896" s="52" t="n">
        <v>0</v>
      </c>
      <c r="AM1896" s="53" t="n">
        <v>0</v>
      </c>
      <c r="AN1896" s="53" t="n">
        <v>0</v>
      </c>
      <c r="AO1896" s="53" t="n">
        <v>0</v>
      </c>
      <c r="AP1896" s="53" t="n">
        <v>0</v>
      </c>
      <c r="AQ1896" s="52" t="n">
        <v>0</v>
      </c>
      <c r="AR1896" s="52" t="n">
        <v>0</v>
      </c>
      <c r="AS1896" s="52" t="n">
        <v>0</v>
      </c>
      <c r="AT1896" s="52" t="n">
        <v>0</v>
      </c>
      <c r="AU1896" s="53" t="n">
        <v>0</v>
      </c>
      <c r="AV1896" s="53" t="n">
        <v>0</v>
      </c>
      <c r="AW1896" s="53" t="n">
        <v>0</v>
      </c>
      <c r="AX1896" s="53" t="n">
        <v>0</v>
      </c>
      <c r="AY1896" s="52" t="n">
        <v>0</v>
      </c>
      <c r="AZ1896" s="52" t="n">
        <v>0</v>
      </c>
      <c r="BA1896" s="52" t="n">
        <v>0</v>
      </c>
      <c r="BB1896" s="52" t="n">
        <v>0</v>
      </c>
      <c r="BC1896" s="51" t="n">
        <v>0</v>
      </c>
      <c r="BD1896" s="51" t="n">
        <v>0</v>
      </c>
      <c r="BE1896" s="51" t="n">
        <v>0</v>
      </c>
      <c r="BF1896" s="51" t="n">
        <v>0</v>
      </c>
    </row>
    <row r="1897">
      <c r="A1897">
        <f>HYPERLINK("https://www.walmart.com/ip/126835303", "126835303")</f>
        <v/>
      </c>
      <c r="B1897" t="inlineStr">
        <is>
          <t>KritterWorld Fleece Blanket with Sherpa Lining, Waterproof Kitten, Puppy, Cat and Dog Snuggle Blanket, Velvet Plush Blanket for Couch, Car, Trunk, Cage, and Kennel, Latte, 45" x 30"</t>
        </is>
      </c>
      <c r="C1897" t="inlineStr">
        <is>
          <t>dog3045-latte</t>
        </is>
      </c>
      <c r="D1897" t="inlineStr">
        <is>
          <t>Pet Blankets</t>
        </is>
      </c>
      <c r="E1897" t="inlineStr">
        <is>
          <t>KritterWorld</t>
        </is>
      </c>
      <c r="F1897" t="inlineStr">
        <is>
          <t>Batch 1 - TR</t>
        </is>
      </c>
      <c r="G1897" s="48" t="n">
        <v>0</v>
      </c>
      <c r="H1897" s="48" t="n">
        <v>0</v>
      </c>
      <c r="I1897" s="48" t="n">
        <v>0</v>
      </c>
      <c r="J1897" s="48" t="n">
        <v>0</v>
      </c>
      <c r="K1897" s="49" t="n">
        <v>0</v>
      </c>
      <c r="L1897" s="49" t="n">
        <v>0</v>
      </c>
      <c r="M1897" s="49" t="n">
        <v>0</v>
      </c>
      <c r="N1897" s="49" t="n">
        <v>0</v>
      </c>
      <c r="O1897" s="49" t="n">
        <v>0</v>
      </c>
      <c r="P1897" s="49" t="n">
        <v>0</v>
      </c>
      <c r="Q1897" s="49" t="n">
        <v>0</v>
      </c>
      <c r="R1897" s="49" t="n">
        <v>0</v>
      </c>
      <c r="S1897" s="50" t="n">
        <v>0</v>
      </c>
      <c r="T1897" s="50" t="n">
        <v>0</v>
      </c>
      <c r="U1897" s="50" t="n">
        <v>0</v>
      </c>
      <c r="V1897" s="50" t="n">
        <v>0</v>
      </c>
      <c r="W1897" s="51" t="n">
        <v>0</v>
      </c>
      <c r="X1897" s="51" t="n">
        <v>0</v>
      </c>
      <c r="Y1897" s="51" t="n">
        <v>0</v>
      </c>
      <c r="Z1897" s="51" t="n">
        <v>0</v>
      </c>
      <c r="AA1897" s="52" t="n">
        <v>0</v>
      </c>
      <c r="AB1897" s="52" t="n">
        <v>0</v>
      </c>
      <c r="AC1897" s="52" t="n">
        <v>0</v>
      </c>
      <c r="AD1897" s="52" t="n">
        <v>0</v>
      </c>
      <c r="AE1897" s="52" t="n">
        <v>0</v>
      </c>
      <c r="AF1897" s="52" t="n">
        <v>0</v>
      </c>
      <c r="AG1897" s="52" t="n">
        <v>0</v>
      </c>
      <c r="AH1897" s="52" t="n">
        <v>0</v>
      </c>
      <c r="AI1897" s="52" t="n">
        <v>0</v>
      </c>
      <c r="AJ1897" s="52" t="n">
        <v>0</v>
      </c>
      <c r="AK1897" s="52" t="n">
        <v>0</v>
      </c>
      <c r="AL1897" s="52" t="n">
        <v>0</v>
      </c>
      <c r="AM1897" s="53" t="n">
        <v>0</v>
      </c>
      <c r="AN1897" s="53" t="n">
        <v>0</v>
      </c>
      <c r="AO1897" s="53" t="n">
        <v>0</v>
      </c>
      <c r="AP1897" s="53" t="n">
        <v>0</v>
      </c>
      <c r="AQ1897" s="52" t="n">
        <v>0</v>
      </c>
      <c r="AR1897" s="52" t="n">
        <v>0</v>
      </c>
      <c r="AS1897" s="52" t="n">
        <v>0</v>
      </c>
      <c r="AT1897" s="52" t="n">
        <v>0</v>
      </c>
      <c r="AU1897" s="53" t="n">
        <v>0</v>
      </c>
      <c r="AV1897" s="53" t="n">
        <v>0</v>
      </c>
      <c r="AW1897" s="53" t="n">
        <v>0</v>
      </c>
      <c r="AX1897" s="53" t="n">
        <v>0</v>
      </c>
      <c r="AY1897" s="52" t="n">
        <v>0</v>
      </c>
      <c r="AZ1897" s="52" t="n">
        <v>0</v>
      </c>
      <c r="BA1897" s="52" t="n">
        <v>0</v>
      </c>
      <c r="BB1897" s="52" t="n">
        <v>0</v>
      </c>
      <c r="BC1897" s="51" t="n">
        <v>0</v>
      </c>
      <c r="BD1897" s="51" t="n">
        <v>0</v>
      </c>
      <c r="BE1897" s="51" t="n">
        <v>0</v>
      </c>
      <c r="BF1897" s="51" t="n">
        <v>0</v>
      </c>
    </row>
    <row r="1898">
      <c r="A1898">
        <f>HYPERLINK("https://www.walmart.com/ip/126944997", "126944997")</f>
        <v/>
      </c>
      <c r="B1898" t="inlineStr">
        <is>
          <t>Napa Plush Cashmere Throw Blanket Green, 90" x 90" Queen/Full, Striped Reversible Velvet Luxury Fleece Warm Bed Couch Blanket, Super Soft and Cozy</t>
        </is>
      </c>
      <c r="C1898" t="inlineStr">
        <is>
          <t>K8030QF-GRN</t>
        </is>
      </c>
      <c r="D1898" t="inlineStr">
        <is>
          <t>Throws</t>
        </is>
      </c>
      <c r="E1898" t="inlineStr">
        <is>
          <t>NAPA</t>
        </is>
      </c>
      <c r="F1898" t="inlineStr">
        <is>
          <t>Q2-Target,Optimized,ST Patrick Day</t>
        </is>
      </c>
      <c r="G1898" s="48" t="n">
        <v>0</v>
      </c>
      <c r="H1898" s="48" t="n">
        <v>14.98</v>
      </c>
      <c r="I1898" s="48" t="n">
        <v>0</v>
      </c>
      <c r="J1898" s="48" t="n">
        <v>14.98</v>
      </c>
      <c r="K1898" s="49" t="n">
        <v>0</v>
      </c>
      <c r="L1898" s="49" t="n">
        <v>1</v>
      </c>
      <c r="M1898" s="49" t="n">
        <v>0</v>
      </c>
      <c r="N1898" s="49" t="n">
        <v>1</v>
      </c>
      <c r="O1898" s="49" t="n">
        <v>0</v>
      </c>
      <c r="P1898" s="49" t="n">
        <v>0</v>
      </c>
      <c r="Q1898" s="49" t="n">
        <v>0</v>
      </c>
      <c r="R1898" s="49" t="n">
        <v>0</v>
      </c>
      <c r="S1898" s="50" t="n">
        <v>0</v>
      </c>
      <c r="T1898" s="50" t="n">
        <v>0</v>
      </c>
      <c r="U1898" s="50" t="n">
        <v>0</v>
      </c>
      <c r="V1898" s="50" t="n">
        <v>0</v>
      </c>
      <c r="W1898" s="51" t="n">
        <v>0</v>
      </c>
      <c r="X1898" s="51" t="n">
        <v>0</v>
      </c>
      <c r="Y1898" s="51" t="n">
        <v>0</v>
      </c>
      <c r="Z1898" s="51" t="n">
        <v>0</v>
      </c>
      <c r="AA1898" s="52" t="n">
        <v>0</v>
      </c>
      <c r="AB1898" s="52" t="n">
        <v>0</v>
      </c>
      <c r="AC1898" s="52" t="n">
        <v>0</v>
      </c>
      <c r="AD1898" s="52" t="n">
        <v>0</v>
      </c>
      <c r="AE1898" s="52" t="n">
        <v>0</v>
      </c>
      <c r="AF1898" s="52" t="n">
        <v>0</v>
      </c>
      <c r="AG1898" s="52" t="n">
        <v>0</v>
      </c>
      <c r="AH1898" s="52" t="n">
        <v>0</v>
      </c>
      <c r="AI1898" s="52" t="n">
        <v>0</v>
      </c>
      <c r="AJ1898" s="52" t="n">
        <v>0</v>
      </c>
      <c r="AK1898" s="52" t="n">
        <v>0</v>
      </c>
      <c r="AL1898" s="52" t="n">
        <v>0</v>
      </c>
      <c r="AM1898" s="53" t="n">
        <v>0</v>
      </c>
      <c r="AN1898" s="53" t="n">
        <v>0</v>
      </c>
      <c r="AO1898" s="53" t="n">
        <v>0</v>
      </c>
      <c r="AP1898" s="53" t="n">
        <v>0</v>
      </c>
      <c r="AQ1898" s="52" t="n">
        <v>0</v>
      </c>
      <c r="AR1898" s="52" t="n">
        <v>0</v>
      </c>
      <c r="AS1898" s="52" t="n">
        <v>0</v>
      </c>
      <c r="AT1898" s="52" t="n">
        <v>0</v>
      </c>
      <c r="AU1898" s="53" t="n">
        <v>0</v>
      </c>
      <c r="AV1898" s="53" t="n">
        <v>0</v>
      </c>
      <c r="AW1898" s="53" t="n">
        <v>0</v>
      </c>
      <c r="AX1898" s="53" t="n">
        <v>0</v>
      </c>
      <c r="AY1898" s="52" t="n">
        <v>0</v>
      </c>
      <c r="AZ1898" s="52" t="n">
        <v>14.98</v>
      </c>
      <c r="BA1898" s="52" t="n">
        <v>0</v>
      </c>
      <c r="BB1898" s="52" t="n">
        <v>14.98</v>
      </c>
      <c r="BC1898" s="51" t="n">
        <v>0</v>
      </c>
      <c r="BD1898" s="51" t="n">
        <v>0</v>
      </c>
      <c r="BE1898" s="51" t="n">
        <v>0</v>
      </c>
      <c r="BF1898" s="51" t="n">
        <v>0</v>
      </c>
    </row>
    <row r="1899">
      <c r="A1899">
        <f>HYPERLINK("https://www.walmart.com/ip/1272875640", "1272875640")</f>
        <v/>
      </c>
      <c r="B1899" t="inlineStr">
        <is>
          <t>Tirrinia Neon Hunting Orange Safety Cap Closure</t>
        </is>
      </c>
      <c r="C1899" t="inlineStr">
        <is>
          <t>1TRHT7121BK-12pcs</t>
        </is>
      </c>
      <c r="D1899" t="inlineStr">
        <is>
          <t>Hats</t>
        </is>
      </c>
      <c r="E1899" t="inlineStr">
        <is>
          <t>Tirrinia</t>
        </is>
      </c>
      <c r="F1899" t="inlineStr">
        <is>
          <t>Batch 1 - TR</t>
        </is>
      </c>
      <c r="G1899" s="48" t="n">
        <v>0</v>
      </c>
      <c r="H1899" s="48" t="n">
        <v>0</v>
      </c>
      <c r="I1899" s="48" t="n">
        <v>0</v>
      </c>
      <c r="J1899" s="48" t="n">
        <v>0</v>
      </c>
      <c r="K1899" s="49" t="n">
        <v>0</v>
      </c>
      <c r="L1899" s="49" t="n">
        <v>0</v>
      </c>
      <c r="M1899" s="49" t="n">
        <v>0</v>
      </c>
      <c r="N1899" s="49" t="n">
        <v>0</v>
      </c>
      <c r="O1899" s="49" t="n">
        <v>0</v>
      </c>
      <c r="P1899" s="49" t="n">
        <v>0</v>
      </c>
      <c r="Q1899" s="49" t="n">
        <v>0</v>
      </c>
      <c r="R1899" s="49" t="n">
        <v>0</v>
      </c>
      <c r="S1899" s="50" t="n">
        <v>0</v>
      </c>
      <c r="T1899" s="50" t="n">
        <v>0</v>
      </c>
      <c r="U1899" s="50" t="n">
        <v>0</v>
      </c>
      <c r="V1899" s="50" t="n">
        <v>0</v>
      </c>
      <c r="W1899" s="51" t="n">
        <v>0</v>
      </c>
      <c r="X1899" s="51" t="n">
        <v>0</v>
      </c>
      <c r="Y1899" s="51" t="n">
        <v>0</v>
      </c>
      <c r="Z1899" s="51" t="n">
        <v>0</v>
      </c>
      <c r="AA1899" s="52" t="n">
        <v>0</v>
      </c>
      <c r="AB1899" s="52" t="n">
        <v>0</v>
      </c>
      <c r="AC1899" s="52" t="n">
        <v>0</v>
      </c>
      <c r="AD1899" s="52" t="n">
        <v>0</v>
      </c>
      <c r="AE1899" s="52" t="n">
        <v>0</v>
      </c>
      <c r="AF1899" s="52" t="n">
        <v>0</v>
      </c>
      <c r="AG1899" s="52" t="n">
        <v>0</v>
      </c>
      <c r="AH1899" s="52" t="n">
        <v>0</v>
      </c>
      <c r="AI1899" s="52" t="n">
        <v>0</v>
      </c>
      <c r="AJ1899" s="52" t="n">
        <v>0</v>
      </c>
      <c r="AK1899" s="52" t="n">
        <v>0</v>
      </c>
      <c r="AL1899" s="52" t="n">
        <v>0</v>
      </c>
      <c r="AM1899" s="53" t="n">
        <v>0</v>
      </c>
      <c r="AN1899" s="53" t="n">
        <v>0</v>
      </c>
      <c r="AO1899" s="53" t="n">
        <v>0</v>
      </c>
      <c r="AP1899" s="53" t="n">
        <v>0</v>
      </c>
      <c r="AQ1899" s="52" t="n">
        <v>0</v>
      </c>
      <c r="AR1899" s="52" t="n">
        <v>0</v>
      </c>
      <c r="AS1899" s="52" t="n">
        <v>0</v>
      </c>
      <c r="AT1899" s="52" t="n">
        <v>0</v>
      </c>
      <c r="AU1899" s="53" t="n">
        <v>0</v>
      </c>
      <c r="AV1899" s="53" t="n">
        <v>0</v>
      </c>
      <c r="AW1899" s="53" t="n">
        <v>0</v>
      </c>
      <c r="AX1899" s="53" t="n">
        <v>0</v>
      </c>
      <c r="AY1899" s="52" t="n">
        <v>0</v>
      </c>
      <c r="AZ1899" s="52" t="n">
        <v>0</v>
      </c>
      <c r="BA1899" s="52" t="n">
        <v>0</v>
      </c>
      <c r="BB1899" s="52" t="n">
        <v>0</v>
      </c>
      <c r="BC1899" s="51" t="n">
        <v>0</v>
      </c>
      <c r="BD1899" s="51" t="n">
        <v>0</v>
      </c>
      <c r="BE1899" s="51" t="n">
        <v>0</v>
      </c>
      <c r="BF1899" s="51" t="n">
        <v>0</v>
      </c>
    </row>
    <row r="1900">
      <c r="A1900">
        <f>HYPERLINK("https://www.walmart.com/ip/127478451", "127478451")</f>
        <v/>
      </c>
      <c r="B1900" t="inlineStr">
        <is>
          <t>Tirrinia Insulated 4 Bottle Wine Carrier Tote Cooler Bag for Travel Picnic Padded Champagne Glass Carrying Case Leather</t>
        </is>
      </c>
      <c r="C1900" t="inlineStr">
        <is>
          <t>1WMWB421GY</t>
        </is>
      </c>
      <c r="D1900" t="inlineStr">
        <is>
          <t>Wine Totes, Bags &amp; Backpacks</t>
        </is>
      </c>
      <c r="E1900" t="inlineStr">
        <is>
          <t>Flyingstar</t>
        </is>
      </c>
      <c r="F1900" t="inlineStr">
        <is>
          <t>Wine,Christmas,Optimized,Valentine,SEM</t>
        </is>
      </c>
      <c r="G1900" s="48" t="n">
        <v>0</v>
      </c>
      <c r="H1900" s="48" t="n">
        <v>0</v>
      </c>
      <c r="I1900" s="48" t="n">
        <v>0</v>
      </c>
      <c r="J1900" s="48" t="n">
        <v>0</v>
      </c>
      <c r="K1900" s="49" t="n">
        <v>0</v>
      </c>
      <c r="L1900" s="49" t="n">
        <v>0</v>
      </c>
      <c r="M1900" s="49" t="n">
        <v>0</v>
      </c>
      <c r="N1900" s="49" t="n">
        <v>0</v>
      </c>
      <c r="O1900" s="49" t="n">
        <v>0</v>
      </c>
      <c r="P1900" s="49" t="n">
        <v>0</v>
      </c>
      <c r="Q1900" s="49" t="n">
        <v>0</v>
      </c>
      <c r="R1900" s="49" t="n">
        <v>0</v>
      </c>
      <c r="S1900" s="50" t="n">
        <v>0</v>
      </c>
      <c r="T1900" s="50" t="n">
        <v>0</v>
      </c>
      <c r="U1900" s="50" t="n">
        <v>0</v>
      </c>
      <c r="V1900" s="50" t="n">
        <v>0</v>
      </c>
      <c r="W1900" s="51" t="n">
        <v>0</v>
      </c>
      <c r="X1900" s="51" t="n">
        <v>0</v>
      </c>
      <c r="Y1900" s="51" t="n">
        <v>0</v>
      </c>
      <c r="Z1900" s="51" t="n">
        <v>0</v>
      </c>
      <c r="AA1900" s="52" t="n">
        <v>0</v>
      </c>
      <c r="AB1900" s="52" t="n">
        <v>0</v>
      </c>
      <c r="AC1900" s="52" t="n">
        <v>0</v>
      </c>
      <c r="AD1900" s="52" t="n">
        <v>0</v>
      </c>
      <c r="AE1900" s="52" t="n">
        <v>0</v>
      </c>
      <c r="AF1900" s="52" t="n">
        <v>0</v>
      </c>
      <c r="AG1900" s="52" t="n">
        <v>0</v>
      </c>
      <c r="AH1900" s="52" t="n">
        <v>0</v>
      </c>
      <c r="AI1900" s="52" t="n">
        <v>0</v>
      </c>
      <c r="AJ1900" s="52" t="n">
        <v>0</v>
      </c>
      <c r="AK1900" s="52" t="n">
        <v>0</v>
      </c>
      <c r="AL1900" s="52" t="n">
        <v>0</v>
      </c>
      <c r="AM1900" s="53" t="n">
        <v>0</v>
      </c>
      <c r="AN1900" s="53" t="n">
        <v>0</v>
      </c>
      <c r="AO1900" s="53" t="n">
        <v>0</v>
      </c>
      <c r="AP1900" s="53" t="n">
        <v>0</v>
      </c>
      <c r="AQ1900" s="52" t="n">
        <v>0</v>
      </c>
      <c r="AR1900" s="52" t="n">
        <v>0</v>
      </c>
      <c r="AS1900" s="52" t="n">
        <v>0</v>
      </c>
      <c r="AT1900" s="52" t="n">
        <v>0</v>
      </c>
      <c r="AU1900" s="53" t="n">
        <v>0</v>
      </c>
      <c r="AV1900" s="53" t="n">
        <v>0</v>
      </c>
      <c r="AW1900" s="53" t="n">
        <v>0</v>
      </c>
      <c r="AX1900" s="53" t="n">
        <v>0</v>
      </c>
      <c r="AY1900" s="52" t="n">
        <v>0</v>
      </c>
      <c r="AZ1900" s="52" t="n">
        <v>0</v>
      </c>
      <c r="BA1900" s="52" t="n">
        <v>0</v>
      </c>
      <c r="BB1900" s="52" t="n">
        <v>0</v>
      </c>
      <c r="BC1900" s="51" t="n">
        <v>0</v>
      </c>
      <c r="BD1900" s="51" t="n">
        <v>0</v>
      </c>
      <c r="BE1900" s="51" t="n">
        <v>0</v>
      </c>
      <c r="BF1900" s="51" t="n">
        <v>0</v>
      </c>
    </row>
    <row r="1901">
      <c r="A1901">
        <f>HYPERLINK("https://www.walmart.com/ip/1276189469", "1276189469")</f>
        <v/>
      </c>
      <c r="B1901" t="inlineStr">
        <is>
          <t>Catalonia Waterproof Blanket for Couch, Reversible Washable Sofa Bed Coverlet Protector, Leak Proof, Comfortable Blanket for People and Pets, Grey/Grey, 60" x 80"</t>
        </is>
      </c>
      <c r="C1901" t="inlineStr">
        <is>
          <t>1CTBW685LGDG</t>
        </is>
      </c>
      <c r="D1901" t="inlineStr">
        <is>
          <t>Throws</t>
        </is>
      </c>
      <c r="E1901" t="inlineStr">
        <is>
          <t>Catalonia</t>
        </is>
      </c>
      <c r="F1901" t="inlineStr">
        <is>
          <t>Q2-Target,Wproof Blanket,Batch 1 - TR</t>
        </is>
      </c>
      <c r="G1901" s="48" t="n">
        <v>0</v>
      </c>
      <c r="H1901" s="48" t="n">
        <v>0</v>
      </c>
      <c r="I1901" s="48" t="n">
        <v>0</v>
      </c>
      <c r="J1901" s="48" t="n">
        <v>0</v>
      </c>
      <c r="K1901" s="49" t="n">
        <v>0</v>
      </c>
      <c r="L1901" s="49" t="n">
        <v>0</v>
      </c>
      <c r="M1901" s="49" t="n">
        <v>0</v>
      </c>
      <c r="N1901" s="49" t="n">
        <v>0</v>
      </c>
      <c r="O1901" s="49" t="n">
        <v>0</v>
      </c>
      <c r="P1901" s="49" t="n">
        <v>0</v>
      </c>
      <c r="Q1901" s="49" t="n">
        <v>0</v>
      </c>
      <c r="R1901" s="49" t="n">
        <v>0</v>
      </c>
      <c r="S1901" s="50" t="n">
        <v>0</v>
      </c>
      <c r="T1901" s="50" t="n">
        <v>0</v>
      </c>
      <c r="U1901" s="50" t="n">
        <v>0</v>
      </c>
      <c r="V1901" s="50" t="n">
        <v>0</v>
      </c>
      <c r="W1901" s="51" t="n">
        <v>0</v>
      </c>
      <c r="X1901" s="51" t="n">
        <v>0</v>
      </c>
      <c r="Y1901" s="51" t="n">
        <v>0</v>
      </c>
      <c r="Z1901" s="51" t="n">
        <v>0</v>
      </c>
      <c r="AA1901" s="52" t="n">
        <v>0</v>
      </c>
      <c r="AB1901" s="52" t="n">
        <v>0</v>
      </c>
      <c r="AC1901" s="52" t="n">
        <v>0</v>
      </c>
      <c r="AD1901" s="52" t="n">
        <v>0</v>
      </c>
      <c r="AE1901" s="52" t="n">
        <v>0</v>
      </c>
      <c r="AF1901" s="52" t="n">
        <v>0</v>
      </c>
      <c r="AG1901" s="52" t="n">
        <v>0</v>
      </c>
      <c r="AH1901" s="52" t="n">
        <v>0</v>
      </c>
      <c r="AI1901" s="52" t="n">
        <v>0</v>
      </c>
      <c r="AJ1901" s="52" t="n">
        <v>0</v>
      </c>
      <c r="AK1901" s="52" t="n">
        <v>0</v>
      </c>
      <c r="AL1901" s="52" t="n">
        <v>0</v>
      </c>
      <c r="AM1901" s="53" t="n">
        <v>0</v>
      </c>
      <c r="AN1901" s="53" t="n">
        <v>0</v>
      </c>
      <c r="AO1901" s="53" t="n">
        <v>0</v>
      </c>
      <c r="AP1901" s="53" t="n">
        <v>0</v>
      </c>
      <c r="AQ1901" s="52" t="n">
        <v>0</v>
      </c>
      <c r="AR1901" s="52" t="n">
        <v>0</v>
      </c>
      <c r="AS1901" s="52" t="n">
        <v>0</v>
      </c>
      <c r="AT1901" s="52" t="n">
        <v>0</v>
      </c>
      <c r="AU1901" s="53" t="n">
        <v>0</v>
      </c>
      <c r="AV1901" s="53" t="n">
        <v>0</v>
      </c>
      <c r="AW1901" s="53" t="n">
        <v>0</v>
      </c>
      <c r="AX1901" s="53" t="n">
        <v>0</v>
      </c>
      <c r="AY1901" s="52" t="n">
        <v>0</v>
      </c>
      <c r="AZ1901" s="52" t="n">
        <v>0</v>
      </c>
      <c r="BA1901" s="52" t="n">
        <v>0</v>
      </c>
      <c r="BB1901" s="52" t="n">
        <v>0</v>
      </c>
      <c r="BC1901" s="51" t="n">
        <v>0</v>
      </c>
      <c r="BD1901" s="51" t="n">
        <v>0</v>
      </c>
      <c r="BE1901" s="51" t="n">
        <v>0</v>
      </c>
      <c r="BF1901" s="51" t="n">
        <v>0</v>
      </c>
    </row>
    <row r="1902">
      <c r="A1902">
        <f>HYPERLINK("https://www.walmart.com/ip/127975599", "127975599")</f>
        <v/>
      </c>
      <c r="B1902" t="inlineStr">
        <is>
          <t>Flyingstar Unisex Sun Hat with Neck Flap, UV Protection Wide Brim Fishing Hat, Hunting Hat for Women and Men, Tan</t>
        </is>
      </c>
      <c r="C1902" t="inlineStr">
        <is>
          <t>1WMSH910TN</t>
        </is>
      </c>
      <c r="D1902" t="inlineStr">
        <is>
          <t>Hats</t>
        </is>
      </c>
      <c r="E1902" t="inlineStr">
        <is>
          <t>Tirrinia</t>
        </is>
      </c>
      <c r="F1902" t="inlineStr">
        <is>
          <t>Optimized</t>
        </is>
      </c>
      <c r="G1902" s="48" t="n">
        <v>0</v>
      </c>
      <c r="H1902" s="48" t="n">
        <v>0</v>
      </c>
      <c r="I1902" s="48" t="n">
        <v>0</v>
      </c>
      <c r="J1902" s="48" t="n">
        <v>0</v>
      </c>
      <c r="K1902" s="49" t="n">
        <v>0</v>
      </c>
      <c r="L1902" s="49" t="n">
        <v>0</v>
      </c>
      <c r="M1902" s="49" t="n">
        <v>0</v>
      </c>
      <c r="N1902" s="49" t="n">
        <v>0</v>
      </c>
      <c r="O1902" s="49" t="n">
        <v>0</v>
      </c>
      <c r="P1902" s="49" t="n">
        <v>0</v>
      </c>
      <c r="Q1902" s="49" t="n">
        <v>0</v>
      </c>
      <c r="R1902" s="49" t="n">
        <v>0</v>
      </c>
      <c r="S1902" s="50" t="n">
        <v>0</v>
      </c>
      <c r="T1902" s="50" t="n">
        <v>0</v>
      </c>
      <c r="U1902" s="50" t="n">
        <v>0</v>
      </c>
      <c r="V1902" s="50" t="n">
        <v>0</v>
      </c>
      <c r="W1902" s="51" t="n">
        <v>0</v>
      </c>
      <c r="X1902" s="51" t="n">
        <v>0</v>
      </c>
      <c r="Y1902" s="51" t="n">
        <v>0</v>
      </c>
      <c r="Z1902" s="51" t="n">
        <v>0</v>
      </c>
      <c r="AA1902" s="52" t="n">
        <v>0</v>
      </c>
      <c r="AB1902" s="52" t="n">
        <v>0</v>
      </c>
      <c r="AC1902" s="52" t="n">
        <v>0</v>
      </c>
      <c r="AD1902" s="52" t="n">
        <v>0</v>
      </c>
      <c r="AE1902" s="52" t="n">
        <v>0</v>
      </c>
      <c r="AF1902" s="52" t="n">
        <v>0</v>
      </c>
      <c r="AG1902" s="52" t="n">
        <v>0</v>
      </c>
      <c r="AH1902" s="52" t="n">
        <v>0</v>
      </c>
      <c r="AI1902" s="52" t="n">
        <v>0</v>
      </c>
      <c r="AJ1902" s="52" t="n">
        <v>0</v>
      </c>
      <c r="AK1902" s="52" t="n">
        <v>0</v>
      </c>
      <c r="AL1902" s="52" t="n">
        <v>0</v>
      </c>
      <c r="AM1902" s="53" t="n">
        <v>0</v>
      </c>
      <c r="AN1902" s="53" t="n">
        <v>0</v>
      </c>
      <c r="AO1902" s="53" t="n">
        <v>0</v>
      </c>
      <c r="AP1902" s="53" t="n">
        <v>0</v>
      </c>
      <c r="AQ1902" s="52" t="n">
        <v>0</v>
      </c>
      <c r="AR1902" s="52" t="n">
        <v>0</v>
      </c>
      <c r="AS1902" s="52" t="n">
        <v>0</v>
      </c>
      <c r="AT1902" s="52" t="n">
        <v>0</v>
      </c>
      <c r="AU1902" s="53" t="n">
        <v>0</v>
      </c>
      <c r="AV1902" s="53" t="n">
        <v>0</v>
      </c>
      <c r="AW1902" s="53" t="n">
        <v>0</v>
      </c>
      <c r="AX1902" s="53" t="n">
        <v>0</v>
      </c>
      <c r="AY1902" s="52" t="n">
        <v>0</v>
      </c>
      <c r="AZ1902" s="52" t="n">
        <v>0</v>
      </c>
      <c r="BA1902" s="52" t="n">
        <v>0</v>
      </c>
      <c r="BB1902" s="52" t="n">
        <v>0</v>
      </c>
      <c r="BC1902" s="51" t="n">
        <v>0</v>
      </c>
      <c r="BD1902" s="51" t="n">
        <v>0</v>
      </c>
      <c r="BE1902" s="51" t="n">
        <v>0</v>
      </c>
      <c r="BF1902" s="51" t="n">
        <v>0</v>
      </c>
    </row>
    <row r="1903">
      <c r="A1903">
        <f>HYPERLINK("https://www.walmart.com/ip/128775917", "128775917")</f>
        <v/>
      </c>
      <c r="B1903" t="inlineStr">
        <is>
          <t>Deluxe Classic Suede Bill Baseball Cap with Leather Strap Closure</t>
        </is>
      </c>
      <c r="C1903" t="inlineStr">
        <is>
          <t>KC-S6300-NT/DG</t>
        </is>
      </c>
      <c r="D1903" t="inlineStr">
        <is>
          <t>Hats</t>
        </is>
      </c>
      <c r="E1903" t="inlineStr">
        <is>
          <t>KC Caps</t>
        </is>
      </c>
      <c r="F1903" t="inlineStr">
        <is>
          <t>Optimized</t>
        </is>
      </c>
      <c r="G1903" s="48" t="n">
        <v>0</v>
      </c>
      <c r="H1903" s="48" t="n">
        <v>0</v>
      </c>
      <c r="I1903" s="48" t="n">
        <v>0</v>
      </c>
      <c r="J1903" s="48" t="n">
        <v>0</v>
      </c>
      <c r="K1903" s="49" t="n">
        <v>0</v>
      </c>
      <c r="L1903" s="49" t="n">
        <v>0</v>
      </c>
      <c r="M1903" s="49" t="n">
        <v>0</v>
      </c>
      <c r="N1903" s="49" t="n">
        <v>0</v>
      </c>
      <c r="O1903" s="49" t="n">
        <v>0</v>
      </c>
      <c r="P1903" s="49" t="n">
        <v>0</v>
      </c>
      <c r="Q1903" s="49" t="n">
        <v>0</v>
      </c>
      <c r="R1903" s="49" t="n">
        <v>0</v>
      </c>
      <c r="S1903" s="50" t="n">
        <v>0</v>
      </c>
      <c r="T1903" s="50" t="n">
        <v>0</v>
      </c>
      <c r="U1903" s="50" t="n">
        <v>0</v>
      </c>
      <c r="V1903" s="50" t="n">
        <v>0</v>
      </c>
      <c r="W1903" s="51" t="n">
        <v>0</v>
      </c>
      <c r="X1903" s="51" t="n">
        <v>0</v>
      </c>
      <c r="Y1903" s="51" t="n">
        <v>0</v>
      </c>
      <c r="Z1903" s="51" t="n">
        <v>0</v>
      </c>
      <c r="AA1903" s="52" t="n">
        <v>0</v>
      </c>
      <c r="AB1903" s="52" t="n">
        <v>0</v>
      </c>
      <c r="AC1903" s="52" t="n">
        <v>0</v>
      </c>
      <c r="AD1903" s="52" t="n">
        <v>0</v>
      </c>
      <c r="AE1903" s="52" t="n">
        <v>0</v>
      </c>
      <c r="AF1903" s="52" t="n">
        <v>0</v>
      </c>
      <c r="AG1903" s="52" t="n">
        <v>0</v>
      </c>
      <c r="AH1903" s="52" t="n">
        <v>0</v>
      </c>
      <c r="AI1903" s="52" t="n">
        <v>0</v>
      </c>
      <c r="AJ1903" s="52" t="n">
        <v>0</v>
      </c>
      <c r="AK1903" s="52" t="n">
        <v>0</v>
      </c>
      <c r="AL1903" s="52" t="n">
        <v>0</v>
      </c>
      <c r="AM1903" s="53" t="n">
        <v>0</v>
      </c>
      <c r="AN1903" s="53" t="n">
        <v>0</v>
      </c>
      <c r="AO1903" s="53" t="n">
        <v>0</v>
      </c>
      <c r="AP1903" s="53" t="n">
        <v>0</v>
      </c>
      <c r="AQ1903" s="52" t="n">
        <v>0</v>
      </c>
      <c r="AR1903" s="52" t="n">
        <v>0</v>
      </c>
      <c r="AS1903" s="52" t="n">
        <v>0</v>
      </c>
      <c r="AT1903" s="52" t="n">
        <v>0</v>
      </c>
      <c r="AU1903" s="53" t="n">
        <v>0</v>
      </c>
      <c r="AV1903" s="53" t="n">
        <v>0</v>
      </c>
      <c r="AW1903" s="53" t="n">
        <v>0</v>
      </c>
      <c r="AX1903" s="53" t="n">
        <v>0</v>
      </c>
      <c r="AY1903" s="52" t="n">
        <v>0</v>
      </c>
      <c r="AZ1903" s="52" t="n">
        <v>0</v>
      </c>
      <c r="BA1903" s="52" t="n">
        <v>0</v>
      </c>
      <c r="BB1903" s="52" t="n">
        <v>0</v>
      </c>
      <c r="BC1903" s="51" t="n">
        <v>0</v>
      </c>
      <c r="BD1903" s="51" t="n">
        <v>0</v>
      </c>
      <c r="BE1903" s="51" t="n">
        <v>0</v>
      </c>
      <c r="BF1903" s="51" t="n">
        <v>0</v>
      </c>
    </row>
    <row r="1904">
      <c r="A1904">
        <f>HYPERLINK("https://www.walmart.com/ip/1281105499", "1281105499")</f>
        <v/>
      </c>
      <c r="B1904" t="inlineStr">
        <is>
          <t>Tirrinia Neon Hunting Orange Safety Cap Closure</t>
        </is>
      </c>
      <c r="C1904" t="inlineStr">
        <is>
          <t>1TRHT7121OL-12pcs</t>
        </is>
      </c>
      <c r="D1904" t="inlineStr">
        <is>
          <t>Hats</t>
        </is>
      </c>
      <c r="E1904" t="inlineStr">
        <is>
          <t>Tirrinia</t>
        </is>
      </c>
      <c r="F1904" t="inlineStr">
        <is>
          <t>Batch 1 - TR</t>
        </is>
      </c>
      <c r="G1904" s="48" t="n">
        <v>0</v>
      </c>
      <c r="H1904" s="48" t="n">
        <v>0</v>
      </c>
      <c r="I1904" s="48" t="n">
        <v>0</v>
      </c>
      <c r="J1904" s="48" t="n">
        <v>0</v>
      </c>
      <c r="K1904" s="49" t="n">
        <v>0</v>
      </c>
      <c r="L1904" s="49" t="n">
        <v>0</v>
      </c>
      <c r="M1904" s="49" t="n">
        <v>0</v>
      </c>
      <c r="N1904" s="49" t="n">
        <v>0</v>
      </c>
      <c r="O1904" s="49" t="n">
        <v>0</v>
      </c>
      <c r="P1904" s="49" t="n">
        <v>0</v>
      </c>
      <c r="Q1904" s="49" t="n">
        <v>0</v>
      </c>
      <c r="R1904" s="49" t="n">
        <v>0</v>
      </c>
      <c r="S1904" s="50" t="n">
        <v>0</v>
      </c>
      <c r="T1904" s="50" t="n">
        <v>0</v>
      </c>
      <c r="U1904" s="50" t="n">
        <v>0</v>
      </c>
      <c r="V1904" s="50" t="n">
        <v>0</v>
      </c>
      <c r="W1904" s="51" t="n">
        <v>0</v>
      </c>
      <c r="X1904" s="51" t="n">
        <v>0</v>
      </c>
      <c r="Y1904" s="51" t="n">
        <v>0</v>
      </c>
      <c r="Z1904" s="51" t="n">
        <v>0</v>
      </c>
      <c r="AA1904" s="52" t="n">
        <v>0</v>
      </c>
      <c r="AB1904" s="52" t="n">
        <v>0</v>
      </c>
      <c r="AC1904" s="52" t="n">
        <v>0</v>
      </c>
      <c r="AD1904" s="52" t="n">
        <v>0</v>
      </c>
      <c r="AE1904" s="52" t="n">
        <v>0</v>
      </c>
      <c r="AF1904" s="52" t="n">
        <v>0</v>
      </c>
      <c r="AG1904" s="52" t="n">
        <v>0</v>
      </c>
      <c r="AH1904" s="52" t="n">
        <v>0</v>
      </c>
      <c r="AI1904" s="52" t="n">
        <v>0</v>
      </c>
      <c r="AJ1904" s="52" t="n">
        <v>0</v>
      </c>
      <c r="AK1904" s="52" t="n">
        <v>0</v>
      </c>
      <c r="AL1904" s="52" t="n">
        <v>0</v>
      </c>
      <c r="AM1904" s="53" t="n">
        <v>0</v>
      </c>
      <c r="AN1904" s="53" t="n">
        <v>0</v>
      </c>
      <c r="AO1904" s="53" t="n">
        <v>0</v>
      </c>
      <c r="AP1904" s="53" t="n">
        <v>0</v>
      </c>
      <c r="AQ1904" s="52" t="n">
        <v>0</v>
      </c>
      <c r="AR1904" s="52" t="n">
        <v>0</v>
      </c>
      <c r="AS1904" s="52" t="n">
        <v>0</v>
      </c>
      <c r="AT1904" s="52" t="n">
        <v>0</v>
      </c>
      <c r="AU1904" s="53" t="n">
        <v>0</v>
      </c>
      <c r="AV1904" s="53" t="n">
        <v>0</v>
      </c>
      <c r="AW1904" s="53" t="n">
        <v>0</v>
      </c>
      <c r="AX1904" s="53" t="n">
        <v>0</v>
      </c>
      <c r="AY1904" s="52" t="n">
        <v>0</v>
      </c>
      <c r="AZ1904" s="52" t="n">
        <v>0</v>
      </c>
      <c r="BA1904" s="52" t="n">
        <v>0</v>
      </c>
      <c r="BB1904" s="52" t="n">
        <v>0</v>
      </c>
      <c r="BC1904" s="51" t="n">
        <v>0</v>
      </c>
      <c r="BD1904" s="51" t="n">
        <v>0</v>
      </c>
      <c r="BE1904" s="51" t="n">
        <v>0</v>
      </c>
      <c r="BF1904" s="51" t="n">
        <v>0</v>
      </c>
    </row>
    <row r="1905">
      <c r="A1905">
        <f>HYPERLINK("https://www.walmart.com/ip/128287456", "128287456")</f>
        <v/>
      </c>
      <c r="B1905" t="inlineStr">
        <is>
          <t>Jenniwears Lingerie For Women Lace Chemise Translucent Babydoll Sleepwear Strappy Dress With G-String</t>
        </is>
      </c>
      <c r="C1905" t="inlineStr">
        <is>
          <t>JWND03PP</t>
        </is>
      </c>
      <c r="D1905" t="inlineStr">
        <is>
          <t>Lingerie Sets</t>
        </is>
      </c>
      <c r="E1905" t="inlineStr">
        <is>
          <t>JenniWears</t>
        </is>
      </c>
      <c r="F1905" t="inlineStr">
        <is>
          <t>Optimized,Valentine</t>
        </is>
      </c>
      <c r="G1905" s="48" t="n">
        <v>0</v>
      </c>
      <c r="H1905" s="48" t="n">
        <v>0</v>
      </c>
      <c r="I1905" s="48" t="n">
        <v>0</v>
      </c>
      <c r="J1905" s="48" t="n">
        <v>0</v>
      </c>
      <c r="K1905" s="49" t="n">
        <v>0</v>
      </c>
      <c r="L1905" s="49" t="n">
        <v>0</v>
      </c>
      <c r="M1905" s="49" t="n">
        <v>0</v>
      </c>
      <c r="N1905" s="49" t="n">
        <v>0</v>
      </c>
      <c r="O1905" s="49" t="n">
        <v>0</v>
      </c>
      <c r="P1905" s="49" t="n">
        <v>0</v>
      </c>
      <c r="Q1905" s="49" t="n">
        <v>0</v>
      </c>
      <c r="R1905" s="49" t="n">
        <v>0</v>
      </c>
      <c r="S1905" s="50" t="n">
        <v>0</v>
      </c>
      <c r="T1905" s="50" t="n">
        <v>0</v>
      </c>
      <c r="U1905" s="50" t="n">
        <v>0</v>
      </c>
      <c r="V1905" s="50" t="n">
        <v>0</v>
      </c>
      <c r="W1905" s="51" t="n">
        <v>0</v>
      </c>
      <c r="X1905" s="51" t="n">
        <v>0</v>
      </c>
      <c r="Y1905" s="51" t="n">
        <v>0</v>
      </c>
      <c r="Z1905" s="51" t="n">
        <v>0</v>
      </c>
      <c r="AA1905" s="52" t="n">
        <v>0</v>
      </c>
      <c r="AB1905" s="52" t="n">
        <v>0</v>
      </c>
      <c r="AC1905" s="52" t="n">
        <v>0</v>
      </c>
      <c r="AD1905" s="52" t="n">
        <v>0</v>
      </c>
      <c r="AE1905" s="52" t="n">
        <v>0</v>
      </c>
      <c r="AF1905" s="52" t="n">
        <v>0</v>
      </c>
      <c r="AG1905" s="52" t="n">
        <v>0</v>
      </c>
      <c r="AH1905" s="52" t="n">
        <v>0</v>
      </c>
      <c r="AI1905" s="52" t="n">
        <v>0</v>
      </c>
      <c r="AJ1905" s="52" t="n">
        <v>0</v>
      </c>
      <c r="AK1905" s="52" t="n">
        <v>0</v>
      </c>
      <c r="AL1905" s="52" t="n">
        <v>0</v>
      </c>
      <c r="AM1905" s="53" t="n">
        <v>0</v>
      </c>
      <c r="AN1905" s="53" t="n">
        <v>0</v>
      </c>
      <c r="AO1905" s="53" t="n">
        <v>0</v>
      </c>
      <c r="AP1905" s="53" t="n">
        <v>0</v>
      </c>
      <c r="AQ1905" s="52" t="n">
        <v>0</v>
      </c>
      <c r="AR1905" s="52" t="n">
        <v>0</v>
      </c>
      <c r="AS1905" s="52" t="n">
        <v>0</v>
      </c>
      <c r="AT1905" s="52" t="n">
        <v>0</v>
      </c>
      <c r="AU1905" s="53" t="n">
        <v>0</v>
      </c>
      <c r="AV1905" s="53" t="n">
        <v>0</v>
      </c>
      <c r="AW1905" s="53" t="n">
        <v>0</v>
      </c>
      <c r="AX1905" s="53" t="n">
        <v>0</v>
      </c>
      <c r="AY1905" s="52" t="n">
        <v>0</v>
      </c>
      <c r="AZ1905" s="52" t="n">
        <v>0</v>
      </c>
      <c r="BA1905" s="52" t="n">
        <v>0</v>
      </c>
      <c r="BB1905" s="52" t="n">
        <v>0</v>
      </c>
      <c r="BC1905" s="51" t="n">
        <v>0</v>
      </c>
      <c r="BD1905" s="51" t="n">
        <v>0</v>
      </c>
      <c r="BE1905" s="51" t="n">
        <v>0</v>
      </c>
      <c r="BF1905" s="51" t="n">
        <v>0</v>
      </c>
    </row>
    <row r="1906">
      <c r="A1906">
        <f>HYPERLINK("https://www.walmart.com/ip/128458122", "128458122")</f>
        <v/>
      </c>
      <c r="B1906" t="inlineStr">
        <is>
          <t>Deluxe Stylish Microplush Sleeved Fleece Blanket Soft Home Sofa Snuggie</t>
        </is>
      </c>
      <c r="C1906" t="inlineStr">
        <is>
          <t>k3000-pink</t>
        </is>
      </c>
      <c r="D1906" t="inlineStr">
        <is>
          <t>Sleepwear Robes &amp; Bathrobes</t>
        </is>
      </c>
      <c r="E1906" t="inlineStr">
        <is>
          <t>NAPA</t>
        </is>
      </c>
      <c r="F1906" t="inlineStr">
        <is>
          <t>Fleece Blankets,Batch 1 - TR</t>
        </is>
      </c>
      <c r="G1906" s="48" t="n">
        <v>0</v>
      </c>
      <c r="H1906" s="48" t="n">
        <v>0</v>
      </c>
      <c r="I1906" s="48" t="n">
        <v>0</v>
      </c>
      <c r="J1906" s="48" t="n">
        <v>0</v>
      </c>
      <c r="K1906" s="49" t="n">
        <v>0</v>
      </c>
      <c r="L1906" s="49" t="n">
        <v>0</v>
      </c>
      <c r="M1906" s="49" t="n">
        <v>0</v>
      </c>
      <c r="N1906" s="49" t="n">
        <v>0</v>
      </c>
      <c r="O1906" s="49" t="n">
        <v>0</v>
      </c>
      <c r="P1906" s="49" t="n">
        <v>0</v>
      </c>
      <c r="Q1906" s="49" t="n">
        <v>0</v>
      </c>
      <c r="R1906" s="49" t="n">
        <v>0</v>
      </c>
      <c r="S1906" s="50" t="n">
        <v>0</v>
      </c>
      <c r="T1906" s="50" t="n">
        <v>0</v>
      </c>
      <c r="U1906" s="50" t="n">
        <v>0</v>
      </c>
      <c r="V1906" s="50" t="n">
        <v>0</v>
      </c>
      <c r="W1906" s="51" t="n">
        <v>0</v>
      </c>
      <c r="X1906" s="51" t="n">
        <v>0</v>
      </c>
      <c r="Y1906" s="51" t="n">
        <v>0</v>
      </c>
      <c r="Z1906" s="51" t="n">
        <v>0</v>
      </c>
      <c r="AA1906" s="52" t="n">
        <v>0</v>
      </c>
      <c r="AB1906" s="52" t="n">
        <v>0</v>
      </c>
      <c r="AC1906" s="52" t="n">
        <v>0</v>
      </c>
      <c r="AD1906" s="52" t="n">
        <v>0</v>
      </c>
      <c r="AE1906" s="52" t="n">
        <v>0</v>
      </c>
      <c r="AF1906" s="52" t="n">
        <v>0</v>
      </c>
      <c r="AG1906" s="52" t="n">
        <v>0</v>
      </c>
      <c r="AH1906" s="52" t="n">
        <v>0</v>
      </c>
      <c r="AI1906" s="52" t="n">
        <v>0</v>
      </c>
      <c r="AJ1906" s="52" t="n">
        <v>0</v>
      </c>
      <c r="AK1906" s="52" t="n">
        <v>0</v>
      </c>
      <c r="AL1906" s="52" t="n">
        <v>0</v>
      </c>
      <c r="AM1906" s="53" t="n">
        <v>0</v>
      </c>
      <c r="AN1906" s="53" t="n">
        <v>0</v>
      </c>
      <c r="AO1906" s="53" t="n">
        <v>0</v>
      </c>
      <c r="AP1906" s="53" t="n">
        <v>0</v>
      </c>
      <c r="AQ1906" s="52" t="n">
        <v>0</v>
      </c>
      <c r="AR1906" s="52" t="n">
        <v>0</v>
      </c>
      <c r="AS1906" s="52" t="n">
        <v>0</v>
      </c>
      <c r="AT1906" s="52" t="n">
        <v>0</v>
      </c>
      <c r="AU1906" s="53" t="n">
        <v>0</v>
      </c>
      <c r="AV1906" s="53" t="n">
        <v>0</v>
      </c>
      <c r="AW1906" s="53" t="n">
        <v>0</v>
      </c>
      <c r="AX1906" s="53" t="n">
        <v>0</v>
      </c>
      <c r="AY1906" s="52" t="n">
        <v>0</v>
      </c>
      <c r="AZ1906" s="52" t="n">
        <v>0</v>
      </c>
      <c r="BA1906" s="52" t="n">
        <v>0</v>
      </c>
      <c r="BB1906" s="52" t="n">
        <v>0</v>
      </c>
      <c r="BC1906" s="51" t="n">
        <v>0</v>
      </c>
      <c r="BD1906" s="51" t="n">
        <v>0</v>
      </c>
      <c r="BE1906" s="51" t="n">
        <v>0</v>
      </c>
      <c r="BF1906" s="51" t="n">
        <v>0</v>
      </c>
    </row>
    <row r="1907">
      <c r="A1907">
        <f>HYPERLINK("https://www.walmart.com/ip/1284646201", "1284646201")</f>
        <v/>
      </c>
      <c r="B1907" t="inlineStr">
        <is>
          <t>Catalonia Oversized Hoodie Blanket with Zipper, Wearable Sherpa Sweatshirt Pullover, Soft Warm Comfortable Jacket for Adults Men Women, Ash Grey</t>
        </is>
      </c>
      <c r="C1907" t="inlineStr">
        <is>
          <t>1CTHD220GYASH</t>
        </is>
      </c>
      <c r="D1907" t="inlineStr">
        <is>
          <t>Throws</t>
        </is>
      </c>
      <c r="E1907" t="inlineStr">
        <is>
          <t>Catalonia</t>
        </is>
      </c>
      <c r="F1907" t="inlineStr">
        <is>
          <t>Coupon_Discount,Batch 1 - TR</t>
        </is>
      </c>
      <c r="G1907" s="48" t="n">
        <v>0</v>
      </c>
      <c r="H1907" s="48" t="n">
        <v>0</v>
      </c>
      <c r="I1907" s="48" t="n">
        <v>0</v>
      </c>
      <c r="J1907" s="48" t="n">
        <v>0</v>
      </c>
      <c r="K1907" s="49" t="n">
        <v>0</v>
      </c>
      <c r="L1907" s="49" t="n">
        <v>0</v>
      </c>
      <c r="M1907" s="49" t="n">
        <v>0</v>
      </c>
      <c r="N1907" s="49" t="n">
        <v>0</v>
      </c>
      <c r="O1907" s="49" t="n">
        <v>0</v>
      </c>
      <c r="P1907" s="49" t="n">
        <v>0</v>
      </c>
      <c r="Q1907" s="49" t="n">
        <v>0</v>
      </c>
      <c r="R1907" s="49" t="n">
        <v>0</v>
      </c>
      <c r="S1907" s="50" t="n">
        <v>0</v>
      </c>
      <c r="T1907" s="50" t="n">
        <v>0</v>
      </c>
      <c r="U1907" s="50" t="n">
        <v>0</v>
      </c>
      <c r="V1907" s="50" t="n">
        <v>0</v>
      </c>
      <c r="W1907" s="51" t="n">
        <v>4</v>
      </c>
      <c r="X1907" s="51" t="n">
        <v>5</v>
      </c>
      <c r="Y1907" s="51" t="n">
        <v>3</v>
      </c>
      <c r="Z1907" s="51" t="n">
        <v>2</v>
      </c>
      <c r="AA1907" s="52" t="n">
        <v>1.16</v>
      </c>
      <c r="AB1907" s="52" t="n">
        <v>1.21</v>
      </c>
      <c r="AC1907" s="52" t="n">
        <v>0.9299999999999999</v>
      </c>
      <c r="AD1907" s="52" t="n">
        <v>0.62</v>
      </c>
      <c r="AE1907" s="52" t="n">
        <v>0</v>
      </c>
      <c r="AF1907" s="52" t="n">
        <v>0</v>
      </c>
      <c r="AG1907" s="52" t="n">
        <v>0</v>
      </c>
      <c r="AH1907" s="52" t="n">
        <v>0</v>
      </c>
      <c r="AI1907" s="52" t="n">
        <v>0</v>
      </c>
      <c r="AJ1907" s="52" t="n">
        <v>0</v>
      </c>
      <c r="AK1907" s="52" t="n">
        <v>0</v>
      </c>
      <c r="AL1907" s="52" t="n">
        <v>0</v>
      </c>
      <c r="AM1907" s="53" t="n">
        <v>0.0021</v>
      </c>
      <c r="AN1907" s="53" t="n">
        <v>0.0023</v>
      </c>
      <c r="AO1907" s="53" t="n">
        <v>0.0013</v>
      </c>
      <c r="AP1907" s="53" t="n">
        <v>0.0016</v>
      </c>
      <c r="AQ1907" s="52" t="n">
        <v>0.29</v>
      </c>
      <c r="AR1907" s="52" t="n">
        <v>0.242</v>
      </c>
      <c r="AS1907" s="52" t="n">
        <v>0.31</v>
      </c>
      <c r="AT1907" s="52" t="n">
        <v>0.31</v>
      </c>
      <c r="AU1907" s="53" t="n">
        <v>0</v>
      </c>
      <c r="AV1907" s="53" t="n">
        <v>0</v>
      </c>
      <c r="AW1907" s="53" t="n">
        <v>0</v>
      </c>
      <c r="AX1907" s="53" t="n">
        <v>0</v>
      </c>
      <c r="AY1907" s="52" t="n">
        <v>0</v>
      </c>
      <c r="AZ1907" s="52" t="n">
        <v>0</v>
      </c>
      <c r="BA1907" s="52" t="n">
        <v>0</v>
      </c>
      <c r="BB1907" s="52" t="n">
        <v>0</v>
      </c>
      <c r="BC1907" s="51" t="n">
        <v>1934</v>
      </c>
      <c r="BD1907" s="51" t="n">
        <v>2200</v>
      </c>
      <c r="BE1907" s="51" t="n">
        <v>2382</v>
      </c>
      <c r="BF1907" s="51" t="n">
        <v>1260</v>
      </c>
    </row>
    <row r="1908">
      <c r="A1908">
        <f>HYPERLINK("https://www.walmart.com/ip/128704352", "128704352")</f>
        <v/>
      </c>
      <c r="B1908" t="inlineStr">
        <is>
          <t>KC Caps Fleece Shawl Wrap Scarf with Pockets, Cozy and Beanie Hats Set, Adult Women Men, 1.87 lbs</t>
        </is>
      </c>
      <c r="C1908" t="inlineStr">
        <is>
          <t>KC-W1810-W1850-CHT</t>
        </is>
      </c>
      <c r="D1908" t="inlineStr">
        <is>
          <t>Scarves</t>
        </is>
      </c>
      <c r="E1908" t="inlineStr">
        <is>
          <t>KC Caps</t>
        </is>
      </c>
      <c r="F1908" t="inlineStr">
        <is>
          <t>Batch 1 - TR</t>
        </is>
      </c>
      <c r="G1908" s="48" t="n">
        <v>0</v>
      </c>
      <c r="H1908" s="48" t="n">
        <v>0</v>
      </c>
      <c r="I1908" s="48" t="n">
        <v>6.98</v>
      </c>
      <c r="J1908" s="48" t="n">
        <v>0</v>
      </c>
      <c r="K1908" s="49" t="n">
        <v>0</v>
      </c>
      <c r="L1908" s="49" t="n">
        <v>0</v>
      </c>
      <c r="M1908" s="49" t="n">
        <v>1</v>
      </c>
      <c r="N1908" s="49" t="n">
        <v>0</v>
      </c>
      <c r="O1908" s="49" t="n">
        <v>0</v>
      </c>
      <c r="P1908" s="49" t="n">
        <v>0</v>
      </c>
      <c r="Q1908" s="49" t="n">
        <v>0</v>
      </c>
      <c r="R1908" s="49" t="n">
        <v>0</v>
      </c>
      <c r="S1908" s="50" t="n">
        <v>0</v>
      </c>
      <c r="T1908" s="50" t="n">
        <v>0</v>
      </c>
      <c r="U1908" s="50" t="n">
        <v>0</v>
      </c>
      <c r="V1908" s="50" t="n">
        <v>0</v>
      </c>
      <c r="W1908" s="51" t="n">
        <v>0</v>
      </c>
      <c r="X1908" s="51" t="n">
        <v>0</v>
      </c>
      <c r="Y1908" s="51" t="n">
        <v>0</v>
      </c>
      <c r="Z1908" s="51" t="n">
        <v>0</v>
      </c>
      <c r="AA1908" s="52" t="n">
        <v>0</v>
      </c>
      <c r="AB1908" s="52" t="n">
        <v>0</v>
      </c>
      <c r="AC1908" s="52" t="n">
        <v>0</v>
      </c>
      <c r="AD1908" s="52" t="n">
        <v>0</v>
      </c>
      <c r="AE1908" s="52" t="n">
        <v>0</v>
      </c>
      <c r="AF1908" s="52" t="n">
        <v>0</v>
      </c>
      <c r="AG1908" s="52" t="n">
        <v>0</v>
      </c>
      <c r="AH1908" s="52" t="n">
        <v>0</v>
      </c>
      <c r="AI1908" s="52" t="n">
        <v>0</v>
      </c>
      <c r="AJ1908" s="52" t="n">
        <v>0</v>
      </c>
      <c r="AK1908" s="52" t="n">
        <v>0</v>
      </c>
      <c r="AL1908" s="52" t="n">
        <v>0</v>
      </c>
      <c r="AM1908" s="53" t="n">
        <v>0</v>
      </c>
      <c r="AN1908" s="53" t="n">
        <v>0</v>
      </c>
      <c r="AO1908" s="53" t="n">
        <v>0</v>
      </c>
      <c r="AP1908" s="53" t="n">
        <v>0</v>
      </c>
      <c r="AQ1908" s="52" t="n">
        <v>0</v>
      </c>
      <c r="AR1908" s="52" t="n">
        <v>0</v>
      </c>
      <c r="AS1908" s="52" t="n">
        <v>0</v>
      </c>
      <c r="AT1908" s="52" t="n">
        <v>0</v>
      </c>
      <c r="AU1908" s="53" t="n">
        <v>0</v>
      </c>
      <c r="AV1908" s="53" t="n">
        <v>0</v>
      </c>
      <c r="AW1908" s="53" t="n">
        <v>0</v>
      </c>
      <c r="AX1908" s="53" t="n">
        <v>0</v>
      </c>
      <c r="AY1908" s="52" t="n">
        <v>0</v>
      </c>
      <c r="AZ1908" s="52" t="n">
        <v>0</v>
      </c>
      <c r="BA1908" s="52" t="n">
        <v>6.98</v>
      </c>
      <c r="BB1908" s="52" t="n">
        <v>0</v>
      </c>
      <c r="BC1908" s="51" t="n">
        <v>0</v>
      </c>
      <c r="BD1908" s="51" t="n">
        <v>0</v>
      </c>
      <c r="BE1908" s="51" t="n">
        <v>0</v>
      </c>
      <c r="BF1908" s="51" t="n">
        <v>0</v>
      </c>
    </row>
    <row r="1909">
      <c r="A1909">
        <f>HYPERLINK("https://www.walmart.com/ip/128738586", "128738586")</f>
        <v/>
      </c>
      <c r="B1909" t="inlineStr">
        <is>
          <t>KC Caps® Cotton Twill Deluxe Super Soft Mesh Adjustable Snapback Low Profile Trucker Baseball Cap</t>
        </is>
      </c>
      <c r="C1909" t="inlineStr">
        <is>
          <t>KCCAPSSZK641ST/ST</t>
        </is>
      </c>
      <c r="D1909" t="inlineStr">
        <is>
          <t>Hats</t>
        </is>
      </c>
      <c r="E1909" t="inlineStr">
        <is>
          <t>KC Caps</t>
        </is>
      </c>
      <c r="F1909" t="inlineStr">
        <is>
          <t>Optimized</t>
        </is>
      </c>
      <c r="G1909" s="48" t="n">
        <v>0</v>
      </c>
      <c r="H1909" s="48" t="n">
        <v>0</v>
      </c>
      <c r="I1909" s="48" t="n">
        <v>0</v>
      </c>
      <c r="J1909" s="48" t="n">
        <v>0</v>
      </c>
      <c r="K1909" s="49" t="n">
        <v>0</v>
      </c>
      <c r="L1909" s="49" t="n">
        <v>0</v>
      </c>
      <c r="M1909" s="49" t="n">
        <v>0</v>
      </c>
      <c r="N1909" s="49" t="n">
        <v>0</v>
      </c>
      <c r="O1909" s="49" t="n">
        <v>0</v>
      </c>
      <c r="P1909" s="49" t="n">
        <v>0</v>
      </c>
      <c r="Q1909" s="49" t="n">
        <v>0</v>
      </c>
      <c r="R1909" s="49" t="n">
        <v>0</v>
      </c>
      <c r="S1909" s="50" t="n">
        <v>0</v>
      </c>
      <c r="T1909" s="50" t="n">
        <v>0</v>
      </c>
      <c r="U1909" s="50" t="n">
        <v>0</v>
      </c>
      <c r="V1909" s="50" t="n">
        <v>0</v>
      </c>
      <c r="W1909" s="51" t="n">
        <v>0</v>
      </c>
      <c r="X1909" s="51" t="n">
        <v>0</v>
      </c>
      <c r="Y1909" s="51" t="n">
        <v>0</v>
      </c>
      <c r="Z1909" s="51" t="n">
        <v>0</v>
      </c>
      <c r="AA1909" s="52" t="n">
        <v>0</v>
      </c>
      <c r="AB1909" s="52" t="n">
        <v>0</v>
      </c>
      <c r="AC1909" s="52" t="n">
        <v>0</v>
      </c>
      <c r="AD1909" s="52" t="n">
        <v>0</v>
      </c>
      <c r="AE1909" s="52" t="n">
        <v>0</v>
      </c>
      <c r="AF1909" s="52" t="n">
        <v>0</v>
      </c>
      <c r="AG1909" s="52" t="n">
        <v>0</v>
      </c>
      <c r="AH1909" s="52" t="n">
        <v>0</v>
      </c>
      <c r="AI1909" s="52" t="n">
        <v>0</v>
      </c>
      <c r="AJ1909" s="52" t="n">
        <v>0</v>
      </c>
      <c r="AK1909" s="52" t="n">
        <v>0</v>
      </c>
      <c r="AL1909" s="52" t="n">
        <v>0</v>
      </c>
      <c r="AM1909" s="53" t="n">
        <v>0</v>
      </c>
      <c r="AN1909" s="53" t="n">
        <v>0</v>
      </c>
      <c r="AO1909" s="53" t="n">
        <v>0</v>
      </c>
      <c r="AP1909" s="53" t="n">
        <v>0</v>
      </c>
      <c r="AQ1909" s="52" t="n">
        <v>0</v>
      </c>
      <c r="AR1909" s="52" t="n">
        <v>0</v>
      </c>
      <c r="AS1909" s="52" t="n">
        <v>0</v>
      </c>
      <c r="AT1909" s="52" t="n">
        <v>0</v>
      </c>
      <c r="AU1909" s="53" t="n">
        <v>0</v>
      </c>
      <c r="AV1909" s="53" t="n">
        <v>0</v>
      </c>
      <c r="AW1909" s="53" t="n">
        <v>0</v>
      </c>
      <c r="AX1909" s="53" t="n">
        <v>0</v>
      </c>
      <c r="AY1909" s="52" t="n">
        <v>0</v>
      </c>
      <c r="AZ1909" s="52" t="n">
        <v>0</v>
      </c>
      <c r="BA1909" s="52" t="n">
        <v>0</v>
      </c>
      <c r="BB1909" s="52" t="n">
        <v>0</v>
      </c>
      <c r="BC1909" s="51" t="n">
        <v>0</v>
      </c>
      <c r="BD1909" s="51" t="n">
        <v>0</v>
      </c>
      <c r="BE1909" s="51" t="n">
        <v>0</v>
      </c>
      <c r="BF1909" s="51" t="n">
        <v>0</v>
      </c>
    </row>
    <row r="1910">
      <c r="A1910">
        <f>HYPERLINK("https://www.walmart.com/ip/15978952620", "15978952620")</f>
        <v/>
      </c>
      <c r="B1910" t="inlineStr">
        <is>
          <t>Wrangler Tradesman Backpack, Water Resistant Casual Daypack for Travel Work School</t>
        </is>
      </c>
      <c r="C1910" t="inlineStr">
        <is>
          <t>1WRBPK15919GN</t>
        </is>
      </c>
      <c r="D1910" t="inlineStr">
        <is>
          <t>Backpacks</t>
        </is>
      </c>
      <c r="E1910" t="inlineStr">
        <is>
          <t>Wrangler</t>
        </is>
      </c>
      <c r="G1910" s="48" t="n">
        <v>0</v>
      </c>
      <c r="H1910" s="48" t="n">
        <v>0</v>
      </c>
      <c r="I1910" s="48" t="n">
        <v>0</v>
      </c>
      <c r="J1910" s="48" t="n">
        <v>0</v>
      </c>
      <c r="K1910" s="49" t="n">
        <v>0</v>
      </c>
      <c r="L1910" s="49" t="n">
        <v>0</v>
      </c>
      <c r="M1910" s="49" t="n">
        <v>0</v>
      </c>
      <c r="N1910" s="49" t="n">
        <v>0</v>
      </c>
      <c r="O1910" s="49" t="n">
        <v>0</v>
      </c>
      <c r="P1910" s="49" t="n">
        <v>0</v>
      </c>
      <c r="Q1910" s="49" t="n">
        <v>0</v>
      </c>
      <c r="R1910" s="49" t="n">
        <v>0</v>
      </c>
      <c r="S1910" s="50" t="n">
        <v>0</v>
      </c>
      <c r="T1910" s="50" t="n">
        <v>0</v>
      </c>
      <c r="U1910" s="50" t="n">
        <v>0</v>
      </c>
      <c r="V1910" s="50" t="n">
        <v>0</v>
      </c>
      <c r="W1910" s="51" t="n">
        <v>0</v>
      </c>
      <c r="X1910" s="51" t="n">
        <v>0</v>
      </c>
      <c r="Y1910" s="51" t="n">
        <v>0</v>
      </c>
      <c r="Z1910" s="51" t="n">
        <v>0</v>
      </c>
      <c r="AA1910" s="52" t="n">
        <v>0</v>
      </c>
      <c r="AB1910" s="52" t="n">
        <v>0</v>
      </c>
      <c r="AC1910" s="52" t="n">
        <v>0</v>
      </c>
      <c r="AD1910" s="52" t="n">
        <v>0</v>
      </c>
      <c r="AE1910" s="52" t="n">
        <v>0</v>
      </c>
      <c r="AF1910" s="52" t="n">
        <v>0</v>
      </c>
      <c r="AG1910" s="52" t="n">
        <v>0</v>
      </c>
      <c r="AH1910" s="52" t="n">
        <v>0</v>
      </c>
      <c r="AI1910" s="52" t="n">
        <v>0</v>
      </c>
      <c r="AJ1910" s="52" t="n">
        <v>0</v>
      </c>
      <c r="AK1910" s="52" t="n">
        <v>0</v>
      </c>
      <c r="AL1910" s="52" t="n">
        <v>0</v>
      </c>
      <c r="AM1910" s="53" t="n">
        <v>0</v>
      </c>
      <c r="AN1910" s="53" t="n">
        <v>0</v>
      </c>
      <c r="AO1910" s="53" t="n">
        <v>0</v>
      </c>
      <c r="AP1910" s="53" t="n">
        <v>0</v>
      </c>
      <c r="AQ1910" s="52" t="n">
        <v>0</v>
      </c>
      <c r="AR1910" s="52" t="n">
        <v>0</v>
      </c>
      <c r="AS1910" s="52" t="n">
        <v>0</v>
      </c>
      <c r="AT1910" s="52" t="n">
        <v>0</v>
      </c>
      <c r="AU1910" s="53" t="n">
        <v>0</v>
      </c>
      <c r="AV1910" s="53" t="n">
        <v>0</v>
      </c>
      <c r="AW1910" s="53" t="n">
        <v>0</v>
      </c>
      <c r="AX1910" s="53" t="n">
        <v>0</v>
      </c>
      <c r="AY1910" s="52" t="n">
        <v>0</v>
      </c>
      <c r="AZ1910" s="52" t="n">
        <v>0</v>
      </c>
      <c r="BA1910" s="52" t="n">
        <v>0</v>
      </c>
      <c r="BB1910" s="52" t="n">
        <v>0</v>
      </c>
      <c r="BC1910" s="51" t="n">
        <v>0</v>
      </c>
      <c r="BD1910" s="51" t="n">
        <v>0</v>
      </c>
      <c r="BE1910" s="51" t="n">
        <v>0</v>
      </c>
      <c r="BF1910" s="51" t="n">
        <v>0</v>
      </c>
    </row>
    <row r="1911">
      <c r="A1911">
        <f>HYPERLINK("https://www.walmart.com/ip/159536218", "159536218")</f>
        <v/>
      </c>
      <c r="B1911" t="inlineStr">
        <is>
          <t>Tirrinia Single Wine Gift Tote Bag, Insulated Padded Thermal Wine Bottle Carrying Cooler Carrier for Travel, Picnic, Great Gift for Wine Lover, Black</t>
        </is>
      </c>
      <c r="C1911" t="inlineStr">
        <is>
          <t>1TRWB102BK</t>
        </is>
      </c>
      <c r="D1911" t="inlineStr">
        <is>
          <t>Wine Totes, Bags &amp; Backpacks</t>
        </is>
      </c>
      <c r="E1911" t="inlineStr">
        <is>
          <t>Tirrinia</t>
        </is>
      </c>
      <c r="F1911" t="inlineStr">
        <is>
          <t>Christmas,Optimized,Valentine</t>
        </is>
      </c>
      <c r="G1911" s="48" t="n">
        <v>0</v>
      </c>
      <c r="H1911" s="48" t="n">
        <v>0</v>
      </c>
      <c r="I1911" s="48" t="n">
        <v>0</v>
      </c>
      <c r="J1911" s="48" t="n">
        <v>0</v>
      </c>
      <c r="K1911" s="49" t="n">
        <v>0</v>
      </c>
      <c r="L1911" s="49" t="n">
        <v>0</v>
      </c>
      <c r="M1911" s="49" t="n">
        <v>0</v>
      </c>
      <c r="N1911" s="49" t="n">
        <v>0</v>
      </c>
      <c r="O1911" s="49" t="n">
        <v>0</v>
      </c>
      <c r="P1911" s="49" t="n">
        <v>0</v>
      </c>
      <c r="Q1911" s="49" t="n">
        <v>0</v>
      </c>
      <c r="R1911" s="49" t="n">
        <v>0</v>
      </c>
      <c r="S1911" s="50" t="n">
        <v>0</v>
      </c>
      <c r="T1911" s="50" t="n">
        <v>0</v>
      </c>
      <c r="U1911" s="50" t="n">
        <v>0</v>
      </c>
      <c r="V1911" s="50" t="n">
        <v>0</v>
      </c>
      <c r="W1911" s="51" t="n">
        <v>0</v>
      </c>
      <c r="X1911" s="51" t="n">
        <v>0</v>
      </c>
      <c r="Y1911" s="51" t="n">
        <v>0</v>
      </c>
      <c r="Z1911" s="51" t="n">
        <v>0</v>
      </c>
      <c r="AA1911" s="52" t="n">
        <v>0</v>
      </c>
      <c r="AB1911" s="52" t="n">
        <v>0</v>
      </c>
      <c r="AC1911" s="52" t="n">
        <v>0</v>
      </c>
      <c r="AD1911" s="52" t="n">
        <v>0</v>
      </c>
      <c r="AE1911" s="52" t="n">
        <v>0</v>
      </c>
      <c r="AF1911" s="52" t="n">
        <v>0</v>
      </c>
      <c r="AG1911" s="52" t="n">
        <v>0</v>
      </c>
      <c r="AH1911" s="52" t="n">
        <v>0</v>
      </c>
      <c r="AI1911" s="52" t="n">
        <v>0</v>
      </c>
      <c r="AJ1911" s="52" t="n">
        <v>0</v>
      </c>
      <c r="AK1911" s="52" t="n">
        <v>0</v>
      </c>
      <c r="AL1911" s="52" t="n">
        <v>0</v>
      </c>
      <c r="AM1911" s="53" t="n">
        <v>0</v>
      </c>
      <c r="AN1911" s="53" t="n">
        <v>0</v>
      </c>
      <c r="AO1911" s="53" t="n">
        <v>0</v>
      </c>
      <c r="AP1911" s="53" t="n">
        <v>0</v>
      </c>
      <c r="AQ1911" s="52" t="n">
        <v>0</v>
      </c>
      <c r="AR1911" s="52" t="n">
        <v>0</v>
      </c>
      <c r="AS1911" s="52" t="n">
        <v>0</v>
      </c>
      <c r="AT1911" s="52" t="n">
        <v>0</v>
      </c>
      <c r="AU1911" s="53" t="n">
        <v>0</v>
      </c>
      <c r="AV1911" s="53" t="n">
        <v>0</v>
      </c>
      <c r="AW1911" s="53" t="n">
        <v>0</v>
      </c>
      <c r="AX1911" s="53" t="n">
        <v>0</v>
      </c>
      <c r="AY1911" s="52" t="n">
        <v>0</v>
      </c>
      <c r="AZ1911" s="52" t="n">
        <v>0</v>
      </c>
      <c r="BA1911" s="52" t="n">
        <v>0</v>
      </c>
      <c r="BB1911" s="52" t="n">
        <v>0</v>
      </c>
      <c r="BC1911" s="51" t="n">
        <v>0</v>
      </c>
      <c r="BD1911" s="51" t="n">
        <v>0</v>
      </c>
      <c r="BE1911" s="51" t="n">
        <v>0</v>
      </c>
      <c r="BF1911" s="51" t="n">
        <v>0</v>
      </c>
    </row>
    <row r="1912">
      <c r="A1912">
        <f>HYPERLINK("https://www.walmart.com/ip/15992106796", "15992106796")</f>
        <v/>
      </c>
      <c r="B1912" t="inlineStr">
        <is>
          <t>Wrangler Tradesman Backpack, Water Resistant Casual Daypack for Travel Work School</t>
        </is>
      </c>
      <c r="C1912" t="inlineStr">
        <is>
          <t>1WRBPK15919BK</t>
        </is>
      </c>
      <c r="D1912" t="inlineStr">
        <is>
          <t>Backpacks</t>
        </is>
      </c>
      <c r="E1912" t="inlineStr">
        <is>
          <t>Wrangler</t>
        </is>
      </c>
      <c r="G1912" s="48" t="n">
        <v>0</v>
      </c>
      <c r="H1912" s="48" t="n">
        <v>0</v>
      </c>
      <c r="I1912" s="48" t="n">
        <v>0</v>
      </c>
      <c r="J1912" s="48" t="n">
        <v>0</v>
      </c>
      <c r="K1912" s="49" t="n">
        <v>0</v>
      </c>
      <c r="L1912" s="49" t="n">
        <v>0</v>
      </c>
      <c r="M1912" s="49" t="n">
        <v>0</v>
      </c>
      <c r="N1912" s="49" t="n">
        <v>0</v>
      </c>
      <c r="O1912" s="49" t="n">
        <v>0</v>
      </c>
      <c r="P1912" s="49" t="n">
        <v>0</v>
      </c>
      <c r="Q1912" s="49" t="n">
        <v>0</v>
      </c>
      <c r="R1912" s="49" t="n">
        <v>0</v>
      </c>
      <c r="S1912" s="50" t="n">
        <v>0</v>
      </c>
      <c r="T1912" s="50" t="n">
        <v>0</v>
      </c>
      <c r="U1912" s="50" t="n">
        <v>0</v>
      </c>
      <c r="V1912" s="50" t="n">
        <v>0</v>
      </c>
      <c r="W1912" s="51" t="n">
        <v>0</v>
      </c>
      <c r="X1912" s="51" t="n">
        <v>0</v>
      </c>
      <c r="Y1912" s="51" t="n">
        <v>0</v>
      </c>
      <c r="Z1912" s="51" t="n">
        <v>0</v>
      </c>
      <c r="AA1912" s="52" t="n">
        <v>0</v>
      </c>
      <c r="AB1912" s="52" t="n">
        <v>0</v>
      </c>
      <c r="AC1912" s="52" t="n">
        <v>0</v>
      </c>
      <c r="AD1912" s="52" t="n">
        <v>0</v>
      </c>
      <c r="AE1912" s="52" t="n">
        <v>0</v>
      </c>
      <c r="AF1912" s="52" t="n">
        <v>0</v>
      </c>
      <c r="AG1912" s="52" t="n">
        <v>0</v>
      </c>
      <c r="AH1912" s="52" t="n">
        <v>0</v>
      </c>
      <c r="AI1912" s="52" t="n">
        <v>0</v>
      </c>
      <c r="AJ1912" s="52" t="n">
        <v>0</v>
      </c>
      <c r="AK1912" s="52" t="n">
        <v>0</v>
      </c>
      <c r="AL1912" s="52" t="n">
        <v>0</v>
      </c>
      <c r="AM1912" s="53" t="n">
        <v>0</v>
      </c>
      <c r="AN1912" s="53" t="n">
        <v>0</v>
      </c>
      <c r="AO1912" s="53" t="n">
        <v>0</v>
      </c>
      <c r="AP1912" s="53" t="n">
        <v>0</v>
      </c>
      <c r="AQ1912" s="52" t="n">
        <v>0</v>
      </c>
      <c r="AR1912" s="52" t="n">
        <v>0</v>
      </c>
      <c r="AS1912" s="52" t="n">
        <v>0</v>
      </c>
      <c r="AT1912" s="52" t="n">
        <v>0</v>
      </c>
      <c r="AU1912" s="53" t="n">
        <v>0</v>
      </c>
      <c r="AV1912" s="53" t="n">
        <v>0</v>
      </c>
      <c r="AW1912" s="53" t="n">
        <v>0</v>
      </c>
      <c r="AX1912" s="53" t="n">
        <v>0</v>
      </c>
      <c r="AY1912" s="52" t="n">
        <v>0</v>
      </c>
      <c r="AZ1912" s="52" t="n">
        <v>0</v>
      </c>
      <c r="BA1912" s="52" t="n">
        <v>0</v>
      </c>
      <c r="BB1912" s="52" t="n">
        <v>0</v>
      </c>
      <c r="BC1912" s="51" t="n">
        <v>0</v>
      </c>
      <c r="BD1912" s="51" t="n">
        <v>0</v>
      </c>
      <c r="BE1912" s="51" t="n">
        <v>0</v>
      </c>
      <c r="BF1912" s="51" t="n">
        <v>0</v>
      </c>
    </row>
    <row r="1913">
      <c r="A1913">
        <f>HYPERLINK("https://www.walmart.com/ip/260570738", "260570738")</f>
        <v/>
      </c>
      <c r="B1913" t="inlineStr">
        <is>
          <t>Oversized Hooded Poncho Cape, Casual Hoodie Sweatshirt, Batwing Coat Pullover | Light Weight, Cozy, Comfortable, Roomy | for Adults Women Men Teens</t>
        </is>
      </c>
      <c r="C1913" t="inlineStr">
        <is>
          <t>1CTHD542BK</t>
        </is>
      </c>
      <c r="D1913" t="inlineStr">
        <is>
          <t>Sweatshirts &amp; Hoodies</t>
        </is>
      </c>
      <c r="E1913" t="inlineStr">
        <is>
          <t>Catalonia</t>
        </is>
      </c>
      <c r="F1913" t="inlineStr">
        <is>
          <t>Hoodie ForAdult,Coupon_Discount</t>
        </is>
      </c>
      <c r="G1913" s="48" t="n">
        <v>0</v>
      </c>
      <c r="H1913" s="48" t="n">
        <v>0</v>
      </c>
      <c r="I1913" s="48" t="n">
        <v>0</v>
      </c>
      <c r="J1913" s="48" t="n">
        <v>0</v>
      </c>
      <c r="K1913" s="49" t="n">
        <v>0</v>
      </c>
      <c r="L1913" s="49" t="n">
        <v>0</v>
      </c>
      <c r="M1913" s="49" t="n">
        <v>0</v>
      </c>
      <c r="N1913" s="49" t="n">
        <v>0</v>
      </c>
      <c r="O1913" s="49" t="n">
        <v>0</v>
      </c>
      <c r="P1913" s="49" t="n">
        <v>0</v>
      </c>
      <c r="Q1913" s="49" t="n">
        <v>0</v>
      </c>
      <c r="R1913" s="49" t="n">
        <v>0</v>
      </c>
      <c r="S1913" s="50" t="n">
        <v>0</v>
      </c>
      <c r="T1913" s="50" t="n">
        <v>0</v>
      </c>
      <c r="U1913" s="50" t="n">
        <v>0</v>
      </c>
      <c r="V1913" s="50" t="n">
        <v>0</v>
      </c>
      <c r="W1913" s="51" t="n">
        <v>0</v>
      </c>
      <c r="X1913" s="51" t="n">
        <v>0</v>
      </c>
      <c r="Y1913" s="51" t="n">
        <v>0</v>
      </c>
      <c r="Z1913" s="51" t="n">
        <v>0</v>
      </c>
      <c r="AA1913" s="52" t="n">
        <v>0</v>
      </c>
      <c r="AB1913" s="52" t="n">
        <v>0</v>
      </c>
      <c r="AC1913" s="52" t="n">
        <v>0</v>
      </c>
      <c r="AD1913" s="52" t="n">
        <v>0</v>
      </c>
      <c r="AE1913" s="52" t="n">
        <v>0</v>
      </c>
      <c r="AF1913" s="52" t="n">
        <v>0</v>
      </c>
      <c r="AG1913" s="52" t="n">
        <v>0</v>
      </c>
      <c r="AH1913" s="52" t="n">
        <v>0</v>
      </c>
      <c r="AI1913" s="52" t="n">
        <v>0</v>
      </c>
      <c r="AJ1913" s="52" t="n">
        <v>0</v>
      </c>
      <c r="AK1913" s="52" t="n">
        <v>0</v>
      </c>
      <c r="AL1913" s="52" t="n">
        <v>0</v>
      </c>
      <c r="AM1913" s="53" t="n">
        <v>0</v>
      </c>
      <c r="AN1913" s="53" t="n">
        <v>0</v>
      </c>
      <c r="AO1913" s="53" t="n">
        <v>0</v>
      </c>
      <c r="AP1913" s="53" t="n">
        <v>0</v>
      </c>
      <c r="AQ1913" s="52" t="n">
        <v>0</v>
      </c>
      <c r="AR1913" s="52" t="n">
        <v>0</v>
      </c>
      <c r="AS1913" s="52" t="n">
        <v>0</v>
      </c>
      <c r="AT1913" s="52" t="n">
        <v>0</v>
      </c>
      <c r="AU1913" s="53" t="n">
        <v>0</v>
      </c>
      <c r="AV1913" s="53" t="n">
        <v>0</v>
      </c>
      <c r="AW1913" s="53" t="n">
        <v>0</v>
      </c>
      <c r="AX1913" s="53" t="n">
        <v>0</v>
      </c>
      <c r="AY1913" s="52" t="n">
        <v>0</v>
      </c>
      <c r="AZ1913" s="52" t="n">
        <v>0</v>
      </c>
      <c r="BA1913" s="52" t="n">
        <v>0</v>
      </c>
      <c r="BB1913" s="52" t="n">
        <v>0</v>
      </c>
      <c r="BC1913" s="51" t="n">
        <v>246</v>
      </c>
      <c r="BD1913" s="51" t="n">
        <v>0</v>
      </c>
      <c r="BE1913" s="51" t="n">
        <v>0</v>
      </c>
      <c r="BF1913" s="51" t="n">
        <v>0</v>
      </c>
    </row>
    <row r="1914">
      <c r="A1914">
        <f>HYPERLINK("https://www.walmart.com/ip/262410560", "262410560")</f>
        <v/>
      </c>
      <c r="B1914" t="inlineStr">
        <is>
          <t>Microplush Sherpa Blanket with Sleeves for Women and Men Wine</t>
        </is>
      </c>
      <c r="C1914" t="inlineStr">
        <is>
          <t>1TRSN410WN</t>
        </is>
      </c>
      <c r="D1914" t="inlineStr">
        <is>
          <t>Throws</t>
        </is>
      </c>
      <c r="E1914" t="inlineStr">
        <is>
          <t>Tirrinia</t>
        </is>
      </c>
      <c r="F1914" t="inlineStr">
        <is>
          <t>WFS,WFS Item</t>
        </is>
      </c>
      <c r="G1914" s="48" t="n">
        <v>0</v>
      </c>
      <c r="H1914" s="48" t="n">
        <v>0</v>
      </c>
      <c r="I1914" s="48" t="n">
        <v>0</v>
      </c>
      <c r="J1914" s="48" t="n">
        <v>0</v>
      </c>
      <c r="K1914" s="49" t="n">
        <v>0</v>
      </c>
      <c r="L1914" s="49" t="n">
        <v>0</v>
      </c>
      <c r="M1914" s="49" t="n">
        <v>0</v>
      </c>
      <c r="N1914" s="49" t="n">
        <v>0</v>
      </c>
      <c r="O1914" s="49" t="n">
        <v>0</v>
      </c>
      <c r="P1914" s="49" t="n">
        <v>0</v>
      </c>
      <c r="Q1914" s="49" t="n">
        <v>0</v>
      </c>
      <c r="R1914" s="49" t="n">
        <v>0</v>
      </c>
      <c r="S1914" s="50" t="n">
        <v>0</v>
      </c>
      <c r="T1914" s="50" t="n">
        <v>0</v>
      </c>
      <c r="U1914" s="50" t="n">
        <v>0</v>
      </c>
      <c r="V1914" s="50" t="n">
        <v>0</v>
      </c>
      <c r="W1914" s="51" t="n">
        <v>2</v>
      </c>
      <c r="X1914" s="51" t="n">
        <v>0</v>
      </c>
      <c r="Y1914" s="51" t="n">
        <v>0</v>
      </c>
      <c r="Z1914" s="51" t="n">
        <v>0</v>
      </c>
      <c r="AA1914" s="52" t="n">
        <v>1</v>
      </c>
      <c r="AB1914" s="52" t="n">
        <v>0</v>
      </c>
      <c r="AC1914" s="52" t="n">
        <v>0</v>
      </c>
      <c r="AD1914" s="52" t="n">
        <v>0</v>
      </c>
      <c r="AE1914" s="52" t="n">
        <v>0</v>
      </c>
      <c r="AF1914" s="52" t="n">
        <v>0</v>
      </c>
      <c r="AG1914" s="52" t="n">
        <v>0</v>
      </c>
      <c r="AH1914" s="52" t="n">
        <v>0</v>
      </c>
      <c r="AI1914" s="52" t="n">
        <v>0</v>
      </c>
      <c r="AJ1914" s="52" t="n">
        <v>0</v>
      </c>
      <c r="AK1914" s="52" t="n">
        <v>0</v>
      </c>
      <c r="AL1914" s="52" t="n">
        <v>0</v>
      </c>
      <c r="AM1914" s="53" t="n">
        <v>0.0043</v>
      </c>
      <c r="AN1914" s="53" t="n">
        <v>0</v>
      </c>
      <c r="AO1914" s="53" t="n">
        <v>0</v>
      </c>
      <c r="AP1914" s="53" t="n">
        <v>0</v>
      </c>
      <c r="AQ1914" s="52" t="n">
        <v>0.5</v>
      </c>
      <c r="AR1914" s="52" t="n">
        <v>0</v>
      </c>
      <c r="AS1914" s="52" t="n">
        <v>0</v>
      </c>
      <c r="AT1914" s="52" t="n">
        <v>0</v>
      </c>
      <c r="AU1914" s="53" t="n">
        <v>0</v>
      </c>
      <c r="AV1914" s="53" t="n">
        <v>0</v>
      </c>
      <c r="AW1914" s="53" t="n">
        <v>0</v>
      </c>
      <c r="AX1914" s="53" t="n">
        <v>0</v>
      </c>
      <c r="AY1914" s="52" t="n">
        <v>0</v>
      </c>
      <c r="AZ1914" s="52" t="n">
        <v>0</v>
      </c>
      <c r="BA1914" s="52" t="n">
        <v>0</v>
      </c>
      <c r="BB1914" s="52" t="n">
        <v>0</v>
      </c>
      <c r="BC1914" s="51" t="n">
        <v>464</v>
      </c>
      <c r="BD1914" s="51" t="n">
        <v>0</v>
      </c>
      <c r="BE1914" s="51" t="n">
        <v>0</v>
      </c>
      <c r="BF1914" s="51" t="n">
        <v>0</v>
      </c>
    </row>
    <row r="1915">
      <c r="A1915">
        <f>HYPERLINK("https://www.walmart.com/ip/2627879869", "2627879869")</f>
        <v/>
      </c>
      <c r="B1915" t="inlineStr">
        <is>
          <t>Waterproof Blanket for Outdoors, Hooded Blanket Poncho | Windproof, Warm, Wearable, Portable | for Stadium, Picnics, Sports Events, Camping, Yoga, Beach, Outdoor Adventure</t>
        </is>
      </c>
      <c r="C1915" t="inlineStr">
        <is>
          <t>1CTBC200GNBK</t>
        </is>
      </c>
      <c r="D1915" t="inlineStr">
        <is>
          <t>Throws</t>
        </is>
      </c>
      <c r="E1915" t="inlineStr">
        <is>
          <t>Catalonia</t>
        </is>
      </c>
      <c r="F1915" t="inlineStr">
        <is>
          <t>Wproof Blanket</t>
        </is>
      </c>
      <c r="G1915" s="48" t="n">
        <v>0</v>
      </c>
      <c r="H1915" s="48" t="n">
        <v>0</v>
      </c>
      <c r="I1915" s="48" t="n">
        <v>0</v>
      </c>
      <c r="J1915" s="48" t="n">
        <v>26.99</v>
      </c>
      <c r="K1915" s="49" t="n">
        <v>0</v>
      </c>
      <c r="L1915" s="49" t="n">
        <v>0</v>
      </c>
      <c r="M1915" s="49" t="n">
        <v>0</v>
      </c>
      <c r="N1915" s="49" t="n">
        <v>1</v>
      </c>
      <c r="O1915" s="49" t="n">
        <v>0</v>
      </c>
      <c r="P1915" s="49" t="n">
        <v>0</v>
      </c>
      <c r="Q1915" s="49" t="n">
        <v>0</v>
      </c>
      <c r="R1915" s="49" t="n">
        <v>0</v>
      </c>
      <c r="S1915" s="50" t="n">
        <v>0</v>
      </c>
      <c r="T1915" s="50" t="n">
        <v>0</v>
      </c>
      <c r="U1915" s="50" t="n">
        <v>0</v>
      </c>
      <c r="V1915" s="50" t="n">
        <v>0</v>
      </c>
      <c r="W1915" s="51" t="n">
        <v>0</v>
      </c>
      <c r="X1915" s="51" t="n">
        <v>0</v>
      </c>
      <c r="Y1915" s="51" t="n">
        <v>0</v>
      </c>
      <c r="Z1915" s="51" t="n">
        <v>0</v>
      </c>
      <c r="AA1915" s="52" t="n">
        <v>0</v>
      </c>
      <c r="AB1915" s="52" t="n">
        <v>0</v>
      </c>
      <c r="AC1915" s="52" t="n">
        <v>0</v>
      </c>
      <c r="AD1915" s="52" t="n">
        <v>0</v>
      </c>
      <c r="AE1915" s="52" t="n">
        <v>0</v>
      </c>
      <c r="AF1915" s="52" t="n">
        <v>0</v>
      </c>
      <c r="AG1915" s="52" t="n">
        <v>0</v>
      </c>
      <c r="AH1915" s="52" t="n">
        <v>0</v>
      </c>
      <c r="AI1915" s="52" t="n">
        <v>0</v>
      </c>
      <c r="AJ1915" s="52" t="n">
        <v>0</v>
      </c>
      <c r="AK1915" s="52" t="n">
        <v>0</v>
      </c>
      <c r="AL1915" s="52" t="n">
        <v>0</v>
      </c>
      <c r="AM1915" s="53" t="n">
        <v>0</v>
      </c>
      <c r="AN1915" s="53" t="n">
        <v>0</v>
      </c>
      <c r="AO1915" s="53" t="n">
        <v>0</v>
      </c>
      <c r="AP1915" s="53" t="n">
        <v>0</v>
      </c>
      <c r="AQ1915" s="52" t="n">
        <v>0</v>
      </c>
      <c r="AR1915" s="52" t="n">
        <v>0</v>
      </c>
      <c r="AS1915" s="52" t="n">
        <v>0</v>
      </c>
      <c r="AT1915" s="52" t="n">
        <v>0</v>
      </c>
      <c r="AU1915" s="53" t="n">
        <v>0</v>
      </c>
      <c r="AV1915" s="53" t="n">
        <v>0</v>
      </c>
      <c r="AW1915" s="53" t="n">
        <v>0</v>
      </c>
      <c r="AX1915" s="53" t="n">
        <v>0</v>
      </c>
      <c r="AY1915" s="52" t="n">
        <v>0</v>
      </c>
      <c r="AZ1915" s="52" t="n">
        <v>0</v>
      </c>
      <c r="BA1915" s="52" t="n">
        <v>0</v>
      </c>
      <c r="BB1915" s="52" t="n">
        <v>26.99</v>
      </c>
      <c r="BC1915" s="51" t="n">
        <v>0</v>
      </c>
      <c r="BD1915" s="51" t="n">
        <v>0</v>
      </c>
      <c r="BE1915" s="51" t="n">
        <v>0</v>
      </c>
      <c r="BF1915" s="51" t="n">
        <v>0</v>
      </c>
    </row>
    <row r="1916">
      <c r="A1916">
        <f>HYPERLINK("https://www.walmart.com/ip/263185815", "263185815")</f>
        <v/>
      </c>
      <c r="B1916" t="inlineStr">
        <is>
          <t>Bucket Summer Mens Sun Hat Water Repel Mesh Net Light Weight UV Protection Outdoor Cap by Solaris</t>
        </is>
      </c>
      <c r="C1916" t="inlineStr">
        <is>
          <t>1SLSH191TN</t>
        </is>
      </c>
      <c r="D1916" t="inlineStr">
        <is>
          <t>Hats</t>
        </is>
      </c>
      <c r="E1916" t="inlineStr">
        <is>
          <t>Solaris</t>
        </is>
      </c>
      <c r="F1916" t="inlineStr">
        <is>
          <t>Optimized</t>
        </is>
      </c>
      <c r="G1916" s="48" t="n">
        <v>0</v>
      </c>
      <c r="H1916" s="48" t="n">
        <v>0</v>
      </c>
      <c r="I1916" s="48" t="n">
        <v>0</v>
      </c>
      <c r="J1916" s="48" t="n">
        <v>0</v>
      </c>
      <c r="K1916" s="49" t="n">
        <v>0</v>
      </c>
      <c r="L1916" s="49" t="n">
        <v>0</v>
      </c>
      <c r="M1916" s="49" t="n">
        <v>0</v>
      </c>
      <c r="N1916" s="49" t="n">
        <v>0</v>
      </c>
      <c r="O1916" s="49" t="n">
        <v>0</v>
      </c>
      <c r="P1916" s="49" t="n">
        <v>0</v>
      </c>
      <c r="Q1916" s="49" t="n">
        <v>0</v>
      </c>
      <c r="R1916" s="49" t="n">
        <v>0</v>
      </c>
      <c r="S1916" s="50" t="n">
        <v>0</v>
      </c>
      <c r="T1916" s="50" t="n">
        <v>0</v>
      </c>
      <c r="U1916" s="50" t="n">
        <v>0</v>
      </c>
      <c r="V1916" s="50" t="n">
        <v>0</v>
      </c>
      <c r="W1916" s="51" t="n">
        <v>0</v>
      </c>
      <c r="X1916" s="51" t="n">
        <v>0</v>
      </c>
      <c r="Y1916" s="51" t="n">
        <v>0</v>
      </c>
      <c r="Z1916" s="51" t="n">
        <v>0</v>
      </c>
      <c r="AA1916" s="52" t="n">
        <v>0</v>
      </c>
      <c r="AB1916" s="52" t="n">
        <v>0</v>
      </c>
      <c r="AC1916" s="52" t="n">
        <v>0</v>
      </c>
      <c r="AD1916" s="52" t="n">
        <v>0</v>
      </c>
      <c r="AE1916" s="52" t="n">
        <v>0</v>
      </c>
      <c r="AF1916" s="52" t="n">
        <v>0</v>
      </c>
      <c r="AG1916" s="52" t="n">
        <v>0</v>
      </c>
      <c r="AH1916" s="52" t="n">
        <v>0</v>
      </c>
      <c r="AI1916" s="52" t="n">
        <v>0</v>
      </c>
      <c r="AJ1916" s="52" t="n">
        <v>0</v>
      </c>
      <c r="AK1916" s="52" t="n">
        <v>0</v>
      </c>
      <c r="AL1916" s="52" t="n">
        <v>0</v>
      </c>
      <c r="AM1916" s="53" t="n">
        <v>0</v>
      </c>
      <c r="AN1916" s="53" t="n">
        <v>0</v>
      </c>
      <c r="AO1916" s="53" t="n">
        <v>0</v>
      </c>
      <c r="AP1916" s="53" t="n">
        <v>0</v>
      </c>
      <c r="AQ1916" s="52" t="n">
        <v>0</v>
      </c>
      <c r="AR1916" s="52" t="n">
        <v>0</v>
      </c>
      <c r="AS1916" s="52" t="n">
        <v>0</v>
      </c>
      <c r="AT1916" s="52" t="n">
        <v>0</v>
      </c>
      <c r="AU1916" s="53" t="n">
        <v>0</v>
      </c>
      <c r="AV1916" s="53" t="n">
        <v>0</v>
      </c>
      <c r="AW1916" s="53" t="n">
        <v>0</v>
      </c>
      <c r="AX1916" s="53" t="n">
        <v>0</v>
      </c>
      <c r="AY1916" s="52" t="n">
        <v>0</v>
      </c>
      <c r="AZ1916" s="52" t="n">
        <v>0</v>
      </c>
      <c r="BA1916" s="52" t="n">
        <v>0</v>
      </c>
      <c r="BB1916" s="52" t="n">
        <v>0</v>
      </c>
      <c r="BC1916" s="51" t="n">
        <v>0</v>
      </c>
      <c r="BD1916" s="51" t="n">
        <v>0</v>
      </c>
      <c r="BE1916" s="51" t="n">
        <v>0</v>
      </c>
      <c r="BF1916" s="51" t="n">
        <v>0</v>
      </c>
    </row>
    <row r="1917">
      <c r="A1917">
        <f>HYPERLINK("https://www.walmart.com/ip/264457997", "264457997")</f>
        <v/>
      </c>
      <c r="B1917" t="inlineStr">
        <is>
          <t>Catalonia Waterproof Dog Blanket, Pee-Proof Couch, Sofa, and Bed Protector Cover for Baby and Pets, Super Cozy Plush Fleece Warm Sherpa Lining Throws and Blankets for Boating and Camping, Red, 80'' x 60''</t>
        </is>
      </c>
      <c r="C1917" t="inlineStr">
        <is>
          <t>1CTBW681BRWH</t>
        </is>
      </c>
      <c r="D1917" t="inlineStr">
        <is>
          <t>Pet Sofa &amp; Chair Protectors</t>
        </is>
      </c>
      <c r="E1917" t="inlineStr">
        <is>
          <t>Catalonia</t>
        </is>
      </c>
      <c r="F1917" t="inlineStr">
        <is>
          <t>Wproof Blanket,Batch 1 - TR</t>
        </is>
      </c>
      <c r="G1917" s="48" t="n">
        <v>0</v>
      </c>
      <c r="H1917" s="48" t="n">
        <v>0</v>
      </c>
      <c r="I1917" s="48" t="n">
        <v>0</v>
      </c>
      <c r="J1917" s="48" t="n">
        <v>0</v>
      </c>
      <c r="K1917" s="49" t="n">
        <v>0</v>
      </c>
      <c r="L1917" s="49" t="n">
        <v>0</v>
      </c>
      <c r="M1917" s="49" t="n">
        <v>0</v>
      </c>
      <c r="N1917" s="49" t="n">
        <v>0</v>
      </c>
      <c r="O1917" s="49" t="n">
        <v>0</v>
      </c>
      <c r="P1917" s="49" t="n">
        <v>0</v>
      </c>
      <c r="Q1917" s="49" t="n">
        <v>0</v>
      </c>
      <c r="R1917" s="49" t="n">
        <v>0</v>
      </c>
      <c r="S1917" s="50" t="n">
        <v>0</v>
      </c>
      <c r="T1917" s="50" t="n">
        <v>0</v>
      </c>
      <c r="U1917" s="50" t="n">
        <v>0</v>
      </c>
      <c r="V1917" s="50" t="n">
        <v>0</v>
      </c>
      <c r="W1917" s="51" t="n">
        <v>0</v>
      </c>
      <c r="X1917" s="51" t="n">
        <v>0</v>
      </c>
      <c r="Y1917" s="51" t="n">
        <v>0</v>
      </c>
      <c r="Z1917" s="51" t="n">
        <v>0</v>
      </c>
      <c r="AA1917" s="52" t="n">
        <v>0</v>
      </c>
      <c r="AB1917" s="52" t="n">
        <v>0</v>
      </c>
      <c r="AC1917" s="52" t="n">
        <v>0</v>
      </c>
      <c r="AD1917" s="52" t="n">
        <v>0</v>
      </c>
      <c r="AE1917" s="52" t="n">
        <v>0</v>
      </c>
      <c r="AF1917" s="52" t="n">
        <v>0</v>
      </c>
      <c r="AG1917" s="52" t="n">
        <v>0</v>
      </c>
      <c r="AH1917" s="52" t="n">
        <v>0</v>
      </c>
      <c r="AI1917" s="52" t="n">
        <v>0</v>
      </c>
      <c r="AJ1917" s="52" t="n">
        <v>0</v>
      </c>
      <c r="AK1917" s="52" t="n">
        <v>0</v>
      </c>
      <c r="AL1917" s="52" t="n">
        <v>0</v>
      </c>
      <c r="AM1917" s="53" t="n">
        <v>0</v>
      </c>
      <c r="AN1917" s="53" t="n">
        <v>0</v>
      </c>
      <c r="AO1917" s="53" t="n">
        <v>0</v>
      </c>
      <c r="AP1917" s="53" t="n">
        <v>0</v>
      </c>
      <c r="AQ1917" s="52" t="n">
        <v>0</v>
      </c>
      <c r="AR1917" s="52" t="n">
        <v>0</v>
      </c>
      <c r="AS1917" s="52" t="n">
        <v>0</v>
      </c>
      <c r="AT1917" s="52" t="n">
        <v>0</v>
      </c>
      <c r="AU1917" s="53" t="n">
        <v>0</v>
      </c>
      <c r="AV1917" s="53" t="n">
        <v>0</v>
      </c>
      <c r="AW1917" s="53" t="n">
        <v>0</v>
      </c>
      <c r="AX1917" s="53" t="n">
        <v>0</v>
      </c>
      <c r="AY1917" s="52" t="n">
        <v>0</v>
      </c>
      <c r="AZ1917" s="52" t="n">
        <v>0</v>
      </c>
      <c r="BA1917" s="52" t="n">
        <v>0</v>
      </c>
      <c r="BB1917" s="52" t="n">
        <v>0</v>
      </c>
      <c r="BC1917" s="51" t="n">
        <v>288</v>
      </c>
      <c r="BD1917" s="51" t="n">
        <v>187</v>
      </c>
      <c r="BE1917" s="51" t="n">
        <v>208</v>
      </c>
      <c r="BF1917" s="51" t="n">
        <v>53</v>
      </c>
    </row>
    <row r="1918">
      <c r="A1918">
        <f>HYPERLINK("https://www.walmart.com/ip/264676214", "264676214")</f>
        <v/>
      </c>
      <c r="B1918" t="inlineStr">
        <is>
          <t>Catalonia Women’s Sherpa Hoodie Sweatshirt Dress, Casual Snuggle Wearable Blanket Pullover Sweater with Kangaroo Pocket, Warm and Soft, Gift for Her, Purple</t>
        </is>
      </c>
      <c r="C1918" t="inlineStr">
        <is>
          <t>1CTHD532PP</t>
        </is>
      </c>
      <c r="D1918" t="inlineStr">
        <is>
          <t>Sweatshirts &amp; Hoodies</t>
        </is>
      </c>
      <c r="E1918" t="inlineStr">
        <is>
          <t>Catalonia</t>
        </is>
      </c>
      <c r="F1918" t="inlineStr">
        <is>
          <t>Hoodie ForAdult,Optimized,Coupon_Discount</t>
        </is>
      </c>
      <c r="G1918" s="48" t="n">
        <v>0</v>
      </c>
      <c r="H1918" s="48" t="n">
        <v>0</v>
      </c>
      <c r="I1918" s="48" t="n">
        <v>0</v>
      </c>
      <c r="J1918" s="48" t="n">
        <v>0</v>
      </c>
      <c r="K1918" s="49" t="n">
        <v>0</v>
      </c>
      <c r="L1918" s="49" t="n">
        <v>0</v>
      </c>
      <c r="M1918" s="49" t="n">
        <v>0</v>
      </c>
      <c r="N1918" s="49" t="n">
        <v>0</v>
      </c>
      <c r="O1918" s="49" t="n">
        <v>0</v>
      </c>
      <c r="P1918" s="49" t="n">
        <v>0</v>
      </c>
      <c r="Q1918" s="49" t="n">
        <v>0</v>
      </c>
      <c r="R1918" s="49" t="n">
        <v>0</v>
      </c>
      <c r="S1918" s="50" t="n">
        <v>0</v>
      </c>
      <c r="T1918" s="50" t="n">
        <v>0</v>
      </c>
      <c r="U1918" s="50" t="n">
        <v>0</v>
      </c>
      <c r="V1918" s="50" t="n">
        <v>0</v>
      </c>
      <c r="W1918" s="51" t="n">
        <v>0</v>
      </c>
      <c r="X1918" s="51" t="n">
        <v>0</v>
      </c>
      <c r="Y1918" s="51" t="n">
        <v>0</v>
      </c>
      <c r="Z1918" s="51" t="n">
        <v>0</v>
      </c>
      <c r="AA1918" s="52" t="n">
        <v>0</v>
      </c>
      <c r="AB1918" s="52" t="n">
        <v>0</v>
      </c>
      <c r="AC1918" s="52" t="n">
        <v>0</v>
      </c>
      <c r="AD1918" s="52" t="n">
        <v>0</v>
      </c>
      <c r="AE1918" s="52" t="n">
        <v>0</v>
      </c>
      <c r="AF1918" s="52" t="n">
        <v>0</v>
      </c>
      <c r="AG1918" s="52" t="n">
        <v>0</v>
      </c>
      <c r="AH1918" s="52" t="n">
        <v>0</v>
      </c>
      <c r="AI1918" s="52" t="n">
        <v>0</v>
      </c>
      <c r="AJ1918" s="52" t="n">
        <v>0</v>
      </c>
      <c r="AK1918" s="52" t="n">
        <v>0</v>
      </c>
      <c r="AL1918" s="52" t="n">
        <v>0</v>
      </c>
      <c r="AM1918" s="53" t="n">
        <v>0</v>
      </c>
      <c r="AN1918" s="53" t="n">
        <v>0</v>
      </c>
      <c r="AO1918" s="53" t="n">
        <v>0</v>
      </c>
      <c r="AP1918" s="53" t="n">
        <v>0</v>
      </c>
      <c r="AQ1918" s="52" t="n">
        <v>0</v>
      </c>
      <c r="AR1918" s="52" t="n">
        <v>0</v>
      </c>
      <c r="AS1918" s="52" t="n">
        <v>0</v>
      </c>
      <c r="AT1918" s="52" t="n">
        <v>0</v>
      </c>
      <c r="AU1918" s="53" t="n">
        <v>0</v>
      </c>
      <c r="AV1918" s="53" t="n">
        <v>0</v>
      </c>
      <c r="AW1918" s="53" t="n">
        <v>0</v>
      </c>
      <c r="AX1918" s="53" t="n">
        <v>0</v>
      </c>
      <c r="AY1918" s="52" t="n">
        <v>0</v>
      </c>
      <c r="AZ1918" s="52" t="n">
        <v>0</v>
      </c>
      <c r="BA1918" s="52" t="n">
        <v>0</v>
      </c>
      <c r="BB1918" s="52" t="n">
        <v>0</v>
      </c>
      <c r="BC1918" s="51" t="n">
        <v>0</v>
      </c>
      <c r="BD1918" s="51" t="n">
        <v>0</v>
      </c>
      <c r="BE1918" s="51" t="n">
        <v>0</v>
      </c>
      <c r="BF1918" s="51" t="n">
        <v>0</v>
      </c>
    </row>
    <row r="1919">
      <c r="A1919">
        <f>HYPERLINK("https://www.walmart.com/ip/264860479", "264860479")</f>
        <v/>
      </c>
      <c r="B1919" t="inlineStr">
        <is>
          <t>Tirrinia Unisex Surf Poncho Changing Towel Robe for Adult Surfer Swimmer Outdoor Beach</t>
        </is>
      </c>
      <c r="C1919" t="inlineStr">
        <is>
          <t>1WMBR100NY</t>
        </is>
      </c>
      <c r="D1919" t="inlineStr">
        <is>
          <t>Towels &amp; Washcloths</t>
        </is>
      </c>
      <c r="E1919" t="inlineStr">
        <is>
          <t>Flyingstar</t>
        </is>
      </c>
      <c r="F1919" t="inlineStr">
        <is>
          <t>Beach Robe Camp,Batch 1 - TR</t>
        </is>
      </c>
      <c r="G1919" s="48" t="n">
        <v>0</v>
      </c>
      <c r="H1919" s="48" t="n">
        <v>0</v>
      </c>
      <c r="I1919" s="48" t="n">
        <v>0</v>
      </c>
      <c r="J1919" s="48" t="n">
        <v>0</v>
      </c>
      <c r="K1919" s="49" t="n">
        <v>0</v>
      </c>
      <c r="L1919" s="49" t="n">
        <v>0</v>
      </c>
      <c r="M1919" s="49" t="n">
        <v>0</v>
      </c>
      <c r="N1919" s="49" t="n">
        <v>0</v>
      </c>
      <c r="O1919" s="49" t="n">
        <v>0</v>
      </c>
      <c r="P1919" s="49" t="n">
        <v>0</v>
      </c>
      <c r="Q1919" s="49" t="n">
        <v>0</v>
      </c>
      <c r="R1919" s="49" t="n">
        <v>0</v>
      </c>
      <c r="S1919" s="50" t="n">
        <v>0</v>
      </c>
      <c r="T1919" s="50" t="n">
        <v>0</v>
      </c>
      <c r="U1919" s="50" t="n">
        <v>0</v>
      </c>
      <c r="V1919" s="50" t="n">
        <v>0</v>
      </c>
      <c r="W1919" s="51" t="n">
        <v>0</v>
      </c>
      <c r="X1919" s="51" t="n">
        <v>0</v>
      </c>
      <c r="Y1919" s="51" t="n">
        <v>0</v>
      </c>
      <c r="Z1919" s="51" t="n">
        <v>0</v>
      </c>
      <c r="AA1919" s="52" t="n">
        <v>0</v>
      </c>
      <c r="AB1919" s="52" t="n">
        <v>0</v>
      </c>
      <c r="AC1919" s="52" t="n">
        <v>0</v>
      </c>
      <c r="AD1919" s="52" t="n">
        <v>0</v>
      </c>
      <c r="AE1919" s="52" t="n">
        <v>0</v>
      </c>
      <c r="AF1919" s="52" t="n">
        <v>0</v>
      </c>
      <c r="AG1919" s="52" t="n">
        <v>0</v>
      </c>
      <c r="AH1919" s="52" t="n">
        <v>0</v>
      </c>
      <c r="AI1919" s="52" t="n">
        <v>0</v>
      </c>
      <c r="AJ1919" s="52" t="n">
        <v>0</v>
      </c>
      <c r="AK1919" s="52" t="n">
        <v>0</v>
      </c>
      <c r="AL1919" s="52" t="n">
        <v>0</v>
      </c>
      <c r="AM1919" s="53" t="n">
        <v>0</v>
      </c>
      <c r="AN1919" s="53" t="n">
        <v>0</v>
      </c>
      <c r="AO1919" s="53" t="n">
        <v>0</v>
      </c>
      <c r="AP1919" s="53" t="n">
        <v>0</v>
      </c>
      <c r="AQ1919" s="52" t="n">
        <v>0</v>
      </c>
      <c r="AR1919" s="52" t="n">
        <v>0</v>
      </c>
      <c r="AS1919" s="52" t="n">
        <v>0</v>
      </c>
      <c r="AT1919" s="52" t="n">
        <v>0</v>
      </c>
      <c r="AU1919" s="53" t="n">
        <v>0</v>
      </c>
      <c r="AV1919" s="53" t="n">
        <v>0</v>
      </c>
      <c r="AW1919" s="53" t="n">
        <v>0</v>
      </c>
      <c r="AX1919" s="53" t="n">
        <v>0</v>
      </c>
      <c r="AY1919" s="52" t="n">
        <v>0</v>
      </c>
      <c r="AZ1919" s="52" t="n">
        <v>0</v>
      </c>
      <c r="BA1919" s="52" t="n">
        <v>0</v>
      </c>
      <c r="BB1919" s="52" t="n">
        <v>0</v>
      </c>
      <c r="BC1919" s="51" t="n">
        <v>0</v>
      </c>
      <c r="BD1919" s="51" t="n">
        <v>0</v>
      </c>
      <c r="BE1919" s="51" t="n">
        <v>0</v>
      </c>
      <c r="BF1919" s="51" t="n">
        <v>0</v>
      </c>
    </row>
    <row r="1920">
      <c r="A1920">
        <f>HYPERLINK("https://www.walmart.com/ip/2654335470", "2654335470")</f>
        <v/>
      </c>
      <c r="B1920" t="inlineStr">
        <is>
          <t>Dickies Insulated Lunch Bag Satchel for Girls School and Work, Thermal Reusable Office Lunch Box for Women (Charcoal)</t>
        </is>
      </c>
      <c r="C1920" t="inlineStr">
        <is>
          <t>DK-LUNCH-SATCHEL-HOTPINKLOVE</t>
        </is>
      </c>
      <c r="D1920" t="inlineStr">
        <is>
          <t>Reusable Lunch Bags &amp; Boxes</t>
        </is>
      </c>
      <c r="E1920" t="inlineStr">
        <is>
          <t>Dickies</t>
        </is>
      </c>
      <c r="G1920" s="48" t="n">
        <v>0</v>
      </c>
      <c r="H1920" s="48" t="n">
        <v>0</v>
      </c>
      <c r="I1920" s="48" t="n">
        <v>0</v>
      </c>
      <c r="J1920" s="48" t="n">
        <v>0</v>
      </c>
      <c r="K1920" s="49" t="n">
        <v>0</v>
      </c>
      <c r="L1920" s="49" t="n">
        <v>0</v>
      </c>
      <c r="M1920" s="49" t="n">
        <v>0</v>
      </c>
      <c r="N1920" s="49" t="n">
        <v>0</v>
      </c>
      <c r="O1920" s="49" t="n">
        <v>0</v>
      </c>
      <c r="P1920" s="49" t="n">
        <v>0</v>
      </c>
      <c r="Q1920" s="49" t="n">
        <v>0</v>
      </c>
      <c r="R1920" s="49" t="n">
        <v>0</v>
      </c>
      <c r="S1920" s="50" t="n">
        <v>0</v>
      </c>
      <c r="T1920" s="50" t="n">
        <v>0</v>
      </c>
      <c r="U1920" s="50" t="n">
        <v>0</v>
      </c>
      <c r="V1920" s="50" t="n">
        <v>0</v>
      </c>
      <c r="W1920" s="51" t="n">
        <v>0</v>
      </c>
      <c r="X1920" s="51" t="n">
        <v>0</v>
      </c>
      <c r="Y1920" s="51" t="n">
        <v>0</v>
      </c>
      <c r="Z1920" s="51" t="n">
        <v>0</v>
      </c>
      <c r="AA1920" s="52" t="n">
        <v>0</v>
      </c>
      <c r="AB1920" s="52" t="n">
        <v>0</v>
      </c>
      <c r="AC1920" s="52" t="n">
        <v>0</v>
      </c>
      <c r="AD1920" s="52" t="n">
        <v>0</v>
      </c>
      <c r="AE1920" s="52" t="n">
        <v>0</v>
      </c>
      <c r="AF1920" s="52" t="n">
        <v>0</v>
      </c>
      <c r="AG1920" s="52" t="n">
        <v>0</v>
      </c>
      <c r="AH1920" s="52" t="n">
        <v>0</v>
      </c>
      <c r="AI1920" s="52" t="n">
        <v>0</v>
      </c>
      <c r="AJ1920" s="52" t="n">
        <v>0</v>
      </c>
      <c r="AK1920" s="52" t="n">
        <v>0</v>
      </c>
      <c r="AL1920" s="52" t="n">
        <v>0</v>
      </c>
      <c r="AM1920" s="53" t="n">
        <v>0</v>
      </c>
      <c r="AN1920" s="53" t="n">
        <v>0</v>
      </c>
      <c r="AO1920" s="53" t="n">
        <v>0</v>
      </c>
      <c r="AP1920" s="53" t="n">
        <v>0</v>
      </c>
      <c r="AQ1920" s="52" t="n">
        <v>0</v>
      </c>
      <c r="AR1920" s="52" t="n">
        <v>0</v>
      </c>
      <c r="AS1920" s="52" t="n">
        <v>0</v>
      </c>
      <c r="AT1920" s="52" t="n">
        <v>0</v>
      </c>
      <c r="AU1920" s="53" t="n">
        <v>0</v>
      </c>
      <c r="AV1920" s="53" t="n">
        <v>0</v>
      </c>
      <c r="AW1920" s="53" t="n">
        <v>0</v>
      </c>
      <c r="AX1920" s="53" t="n">
        <v>0</v>
      </c>
      <c r="AY1920" s="52" t="n">
        <v>0</v>
      </c>
      <c r="AZ1920" s="52" t="n">
        <v>0</v>
      </c>
      <c r="BA1920" s="52" t="n">
        <v>0</v>
      </c>
      <c r="BB1920" s="52" t="n">
        <v>0</v>
      </c>
      <c r="BC1920" s="51" t="n">
        <v>0</v>
      </c>
      <c r="BD1920" s="51" t="n">
        <v>0</v>
      </c>
      <c r="BE1920" s="51" t="n">
        <v>0</v>
      </c>
      <c r="BF1920" s="51" t="n">
        <v>0</v>
      </c>
    </row>
    <row r="1921">
      <c r="A1921">
        <f>HYPERLINK("https://www.walmart.com/ip/2657795366", "2657795366")</f>
        <v/>
      </c>
      <c r="B1921" t="inlineStr">
        <is>
          <t>Catalonia Christmas Sherpa Fleece Throw Blanket, Cozy Fuzzy Jacquard Blanket for the Couch Bed | Fluffy Comfy Warm Heavy Throws | Red Xmas Gift, 50x60 inches</t>
        </is>
      </c>
      <c r="C1921" t="inlineStr">
        <is>
          <t>1CTBF573RDXMAS</t>
        </is>
      </c>
      <c r="D1921" t="inlineStr">
        <is>
          <t>Throws</t>
        </is>
      </c>
      <c r="E1921" t="inlineStr">
        <is>
          <t>Catalonia</t>
        </is>
      </c>
      <c r="F1921" t="inlineStr">
        <is>
          <t>Q2-Target,Coupon_Discount,Batch 1 - TR</t>
        </is>
      </c>
      <c r="G1921" s="48" t="n">
        <v>0</v>
      </c>
      <c r="H1921" s="48" t="n">
        <v>0</v>
      </c>
      <c r="I1921" s="48" t="n">
        <v>0</v>
      </c>
      <c r="J1921" s="48" t="n">
        <v>0</v>
      </c>
      <c r="K1921" s="49" t="n">
        <v>0</v>
      </c>
      <c r="L1921" s="49" t="n">
        <v>0</v>
      </c>
      <c r="M1921" s="49" t="n">
        <v>0</v>
      </c>
      <c r="N1921" s="49" t="n">
        <v>0</v>
      </c>
      <c r="O1921" s="49" t="n">
        <v>0</v>
      </c>
      <c r="P1921" s="49" t="n">
        <v>0</v>
      </c>
      <c r="Q1921" s="49" t="n">
        <v>0</v>
      </c>
      <c r="R1921" s="49" t="n">
        <v>0</v>
      </c>
      <c r="S1921" s="50" t="n">
        <v>0</v>
      </c>
      <c r="T1921" s="50" t="n">
        <v>0</v>
      </c>
      <c r="U1921" s="50" t="n">
        <v>0</v>
      </c>
      <c r="V1921" s="50" t="n">
        <v>0</v>
      </c>
      <c r="W1921" s="51" t="n">
        <v>0</v>
      </c>
      <c r="X1921" s="51" t="n">
        <v>0</v>
      </c>
      <c r="Y1921" s="51" t="n">
        <v>0</v>
      </c>
      <c r="Z1921" s="51" t="n">
        <v>0</v>
      </c>
      <c r="AA1921" s="52" t="n">
        <v>0</v>
      </c>
      <c r="AB1921" s="52" t="n">
        <v>0</v>
      </c>
      <c r="AC1921" s="52" t="n">
        <v>0</v>
      </c>
      <c r="AD1921" s="52" t="n">
        <v>0</v>
      </c>
      <c r="AE1921" s="52" t="n">
        <v>0</v>
      </c>
      <c r="AF1921" s="52" t="n">
        <v>0</v>
      </c>
      <c r="AG1921" s="52" t="n">
        <v>0</v>
      </c>
      <c r="AH1921" s="52" t="n">
        <v>0</v>
      </c>
      <c r="AI1921" s="52" t="n">
        <v>0</v>
      </c>
      <c r="AJ1921" s="52" t="n">
        <v>0</v>
      </c>
      <c r="AK1921" s="52" t="n">
        <v>0</v>
      </c>
      <c r="AL1921" s="52" t="n">
        <v>0</v>
      </c>
      <c r="AM1921" s="53" t="n">
        <v>0</v>
      </c>
      <c r="AN1921" s="53" t="n">
        <v>0</v>
      </c>
      <c r="AO1921" s="53" t="n">
        <v>0</v>
      </c>
      <c r="AP1921" s="53" t="n">
        <v>0</v>
      </c>
      <c r="AQ1921" s="52" t="n">
        <v>0</v>
      </c>
      <c r="AR1921" s="52" t="n">
        <v>0</v>
      </c>
      <c r="AS1921" s="52" t="n">
        <v>0</v>
      </c>
      <c r="AT1921" s="52" t="n">
        <v>0</v>
      </c>
      <c r="AU1921" s="53" t="n">
        <v>0</v>
      </c>
      <c r="AV1921" s="53" t="n">
        <v>0</v>
      </c>
      <c r="AW1921" s="53" t="n">
        <v>0</v>
      </c>
      <c r="AX1921" s="53" t="n">
        <v>0</v>
      </c>
      <c r="AY1921" s="52" t="n">
        <v>0</v>
      </c>
      <c r="AZ1921" s="52" t="n">
        <v>0</v>
      </c>
      <c r="BA1921" s="52" t="n">
        <v>0</v>
      </c>
      <c r="BB1921" s="52" t="n">
        <v>0</v>
      </c>
      <c r="BC1921" s="51" t="n">
        <v>0</v>
      </c>
      <c r="BD1921" s="51" t="n">
        <v>0</v>
      </c>
      <c r="BE1921" s="51" t="n">
        <v>0</v>
      </c>
      <c r="BF1921" s="51" t="n">
        <v>0</v>
      </c>
    </row>
    <row r="1922">
      <c r="A1922">
        <f>HYPERLINK("https://www.walmart.com/ip/2671026419", "2671026419")</f>
        <v/>
      </c>
      <c r="B1922" t="inlineStr">
        <is>
          <t>Tirrinia 2 In 1 Outdoors UPF 50+ UV Protection Sun Hat for Womens, One Size Female Sports Baseball Cap Gardening Fishing Hat with Neck Flap, Khaki</t>
        </is>
      </c>
      <c r="C1922" t="inlineStr">
        <is>
          <t>1TRSH9153KK</t>
        </is>
      </c>
      <c r="D1922" t="inlineStr">
        <is>
          <t>Hats</t>
        </is>
      </c>
      <c r="E1922" t="inlineStr">
        <is>
          <t>Tirrinia</t>
        </is>
      </c>
      <c r="G1922" s="48" t="n">
        <v>0</v>
      </c>
      <c r="H1922" s="48" t="n">
        <v>0</v>
      </c>
      <c r="I1922" s="48" t="n">
        <v>0</v>
      </c>
      <c r="J1922" s="48" t="n">
        <v>0</v>
      </c>
      <c r="K1922" s="49" t="n">
        <v>0</v>
      </c>
      <c r="L1922" s="49" t="n">
        <v>0</v>
      </c>
      <c r="M1922" s="49" t="n">
        <v>0</v>
      </c>
      <c r="N1922" s="49" t="n">
        <v>0</v>
      </c>
      <c r="O1922" s="49" t="n">
        <v>0</v>
      </c>
      <c r="P1922" s="49" t="n">
        <v>0</v>
      </c>
      <c r="Q1922" s="49" t="n">
        <v>0</v>
      </c>
      <c r="R1922" s="49" t="n">
        <v>0</v>
      </c>
      <c r="S1922" s="50" t="n">
        <v>0</v>
      </c>
      <c r="T1922" s="50" t="n">
        <v>0</v>
      </c>
      <c r="U1922" s="50" t="n">
        <v>0</v>
      </c>
      <c r="V1922" s="50" t="n">
        <v>0</v>
      </c>
      <c r="W1922" s="51" t="n">
        <v>0</v>
      </c>
      <c r="X1922" s="51" t="n">
        <v>0</v>
      </c>
      <c r="Y1922" s="51" t="n">
        <v>0</v>
      </c>
      <c r="Z1922" s="51" t="n">
        <v>0</v>
      </c>
      <c r="AA1922" s="52" t="n">
        <v>0</v>
      </c>
      <c r="AB1922" s="52" t="n">
        <v>0</v>
      </c>
      <c r="AC1922" s="52" t="n">
        <v>0</v>
      </c>
      <c r="AD1922" s="52" t="n">
        <v>0</v>
      </c>
      <c r="AE1922" s="52" t="n">
        <v>0</v>
      </c>
      <c r="AF1922" s="52" t="n">
        <v>0</v>
      </c>
      <c r="AG1922" s="52" t="n">
        <v>0</v>
      </c>
      <c r="AH1922" s="52" t="n">
        <v>0</v>
      </c>
      <c r="AI1922" s="52" t="n">
        <v>0</v>
      </c>
      <c r="AJ1922" s="52" t="n">
        <v>0</v>
      </c>
      <c r="AK1922" s="52" t="n">
        <v>0</v>
      </c>
      <c r="AL1922" s="52" t="n">
        <v>0</v>
      </c>
      <c r="AM1922" s="53" t="n">
        <v>0</v>
      </c>
      <c r="AN1922" s="53" t="n">
        <v>0</v>
      </c>
      <c r="AO1922" s="53" t="n">
        <v>0</v>
      </c>
      <c r="AP1922" s="53" t="n">
        <v>0</v>
      </c>
      <c r="AQ1922" s="52" t="n">
        <v>0</v>
      </c>
      <c r="AR1922" s="52" t="n">
        <v>0</v>
      </c>
      <c r="AS1922" s="52" t="n">
        <v>0</v>
      </c>
      <c r="AT1922" s="52" t="n">
        <v>0</v>
      </c>
      <c r="AU1922" s="53" t="n">
        <v>0</v>
      </c>
      <c r="AV1922" s="53" t="n">
        <v>0</v>
      </c>
      <c r="AW1922" s="53" t="n">
        <v>0</v>
      </c>
      <c r="AX1922" s="53" t="n">
        <v>0</v>
      </c>
      <c r="AY1922" s="52" t="n">
        <v>0</v>
      </c>
      <c r="AZ1922" s="52" t="n">
        <v>0</v>
      </c>
      <c r="BA1922" s="52" t="n">
        <v>0</v>
      </c>
      <c r="BB1922" s="52" t="n">
        <v>0</v>
      </c>
      <c r="BC1922" s="51" t="n">
        <v>0</v>
      </c>
      <c r="BD1922" s="51" t="n">
        <v>0</v>
      </c>
      <c r="BE1922" s="51" t="n">
        <v>0</v>
      </c>
      <c r="BF1922" s="51" t="n">
        <v>0</v>
      </c>
    </row>
    <row r="1923">
      <c r="A1923">
        <f>HYPERLINK("https://www.walmart.com/ip/267224144", "267224144")</f>
        <v/>
      </c>
      <c r="B1923" t="inlineStr">
        <is>
          <t>Catalonia Oversized Hoodie Sweatshirt Poncho, Casual Hoodie Cape, Batwing Coat Pullover Blanket | Fluffy Sherpa, Comfortable, Roomy | Gift for Adults Women Men, Pink</t>
        </is>
      </c>
      <c r="C1923" t="inlineStr">
        <is>
          <t>1CTHD542PK</t>
        </is>
      </c>
      <c r="D1923" t="inlineStr">
        <is>
          <t>Sweatshirts &amp; Hoodies</t>
        </is>
      </c>
      <c r="E1923" t="inlineStr">
        <is>
          <t>Catalonia</t>
        </is>
      </c>
      <c r="F1923" t="inlineStr">
        <is>
          <t>Hoodie ForAdult,Optimized</t>
        </is>
      </c>
      <c r="G1923" s="48" t="n">
        <v>0</v>
      </c>
      <c r="H1923" s="48" t="n">
        <v>0</v>
      </c>
      <c r="I1923" s="48" t="n">
        <v>0</v>
      </c>
      <c r="J1923" s="48" t="n">
        <v>0</v>
      </c>
      <c r="K1923" s="49" t="n">
        <v>0</v>
      </c>
      <c r="L1923" s="49" t="n">
        <v>0</v>
      </c>
      <c r="M1923" s="49" t="n">
        <v>0</v>
      </c>
      <c r="N1923" s="49" t="n">
        <v>0</v>
      </c>
      <c r="O1923" s="49" t="n">
        <v>0</v>
      </c>
      <c r="P1923" s="49" t="n">
        <v>0</v>
      </c>
      <c r="Q1923" s="49" t="n">
        <v>0</v>
      </c>
      <c r="R1923" s="49" t="n">
        <v>0</v>
      </c>
      <c r="S1923" s="50" t="n">
        <v>0</v>
      </c>
      <c r="T1923" s="50" t="n">
        <v>0</v>
      </c>
      <c r="U1923" s="50" t="n">
        <v>0</v>
      </c>
      <c r="V1923" s="50" t="n">
        <v>0</v>
      </c>
      <c r="W1923" s="51" t="n">
        <v>0</v>
      </c>
      <c r="X1923" s="51" t="n">
        <v>0</v>
      </c>
      <c r="Y1923" s="51" t="n">
        <v>0</v>
      </c>
      <c r="Z1923" s="51" t="n">
        <v>0</v>
      </c>
      <c r="AA1923" s="52" t="n">
        <v>0</v>
      </c>
      <c r="AB1923" s="52" t="n">
        <v>0</v>
      </c>
      <c r="AC1923" s="52" t="n">
        <v>0</v>
      </c>
      <c r="AD1923" s="52" t="n">
        <v>0</v>
      </c>
      <c r="AE1923" s="52" t="n">
        <v>0</v>
      </c>
      <c r="AF1923" s="52" t="n">
        <v>0</v>
      </c>
      <c r="AG1923" s="52" t="n">
        <v>0</v>
      </c>
      <c r="AH1923" s="52" t="n">
        <v>0</v>
      </c>
      <c r="AI1923" s="52" t="n">
        <v>0</v>
      </c>
      <c r="AJ1923" s="52" t="n">
        <v>0</v>
      </c>
      <c r="AK1923" s="52" t="n">
        <v>0</v>
      </c>
      <c r="AL1923" s="52" t="n">
        <v>0</v>
      </c>
      <c r="AM1923" s="53" t="n">
        <v>0</v>
      </c>
      <c r="AN1923" s="53" t="n">
        <v>0</v>
      </c>
      <c r="AO1923" s="53" t="n">
        <v>0</v>
      </c>
      <c r="AP1923" s="53" t="n">
        <v>0</v>
      </c>
      <c r="AQ1923" s="52" t="n">
        <v>0</v>
      </c>
      <c r="AR1923" s="52" t="n">
        <v>0</v>
      </c>
      <c r="AS1923" s="52" t="n">
        <v>0</v>
      </c>
      <c r="AT1923" s="52" t="n">
        <v>0</v>
      </c>
      <c r="AU1923" s="53" t="n">
        <v>0</v>
      </c>
      <c r="AV1923" s="53" t="n">
        <v>0</v>
      </c>
      <c r="AW1923" s="53" t="n">
        <v>0</v>
      </c>
      <c r="AX1923" s="53" t="n">
        <v>0</v>
      </c>
      <c r="AY1923" s="52" t="n">
        <v>0</v>
      </c>
      <c r="AZ1923" s="52" t="n">
        <v>0</v>
      </c>
      <c r="BA1923" s="52" t="n">
        <v>0</v>
      </c>
      <c r="BB1923" s="52" t="n">
        <v>0</v>
      </c>
      <c r="BC1923" s="51" t="n">
        <v>0</v>
      </c>
      <c r="BD1923" s="51" t="n">
        <v>0</v>
      </c>
      <c r="BE1923" s="51" t="n">
        <v>0</v>
      </c>
      <c r="BF1923" s="51" t="n">
        <v>0</v>
      </c>
    </row>
    <row r="1924">
      <c r="A1924">
        <f>HYPERLINK("https://www.walmart.com/ip/268420160", "268420160")</f>
        <v/>
      </c>
      <c r="B1924" t="inlineStr">
        <is>
          <t>Kids Beach Towel,100% Cotton Water Absorption Hooded Bath Changing Robe Poncho for 2 to 6 Years Boy Bathing Swimming Sand Proof</t>
        </is>
      </c>
      <c r="C1924" t="inlineStr">
        <is>
          <t>1CTBR200SF-ESCB</t>
        </is>
      </c>
      <c r="D1924" t="inlineStr">
        <is>
          <t>Towels &amp; Washcloths</t>
        </is>
      </c>
      <c r="E1924" t="inlineStr">
        <is>
          <t>Catalonia</t>
        </is>
      </c>
      <c r="G1924" s="48" t="n">
        <v>0</v>
      </c>
      <c r="H1924" s="48" t="n">
        <v>0</v>
      </c>
      <c r="I1924" s="48" t="n">
        <v>0</v>
      </c>
      <c r="J1924" s="48" t="n">
        <v>0</v>
      </c>
      <c r="K1924" s="49" t="n">
        <v>0</v>
      </c>
      <c r="L1924" s="49" t="n">
        <v>0</v>
      </c>
      <c r="M1924" s="49" t="n">
        <v>0</v>
      </c>
      <c r="N1924" s="49" t="n">
        <v>0</v>
      </c>
      <c r="O1924" s="49" t="n">
        <v>0</v>
      </c>
      <c r="P1924" s="49" t="n">
        <v>0</v>
      </c>
      <c r="Q1924" s="49" t="n">
        <v>0</v>
      </c>
      <c r="R1924" s="49" t="n">
        <v>0</v>
      </c>
      <c r="S1924" s="50" t="n">
        <v>0</v>
      </c>
      <c r="T1924" s="50" t="n">
        <v>0</v>
      </c>
      <c r="U1924" s="50" t="n">
        <v>0</v>
      </c>
      <c r="V1924" s="50" t="n">
        <v>0</v>
      </c>
      <c r="W1924" s="51" t="n">
        <v>0</v>
      </c>
      <c r="X1924" s="51" t="n">
        <v>0</v>
      </c>
      <c r="Y1924" s="51" t="n">
        <v>0</v>
      </c>
      <c r="Z1924" s="51" t="n">
        <v>0</v>
      </c>
      <c r="AA1924" s="52" t="n">
        <v>0</v>
      </c>
      <c r="AB1924" s="52" t="n">
        <v>0</v>
      </c>
      <c r="AC1924" s="52" t="n">
        <v>0</v>
      </c>
      <c r="AD1924" s="52" t="n">
        <v>0</v>
      </c>
      <c r="AE1924" s="52" t="n">
        <v>0</v>
      </c>
      <c r="AF1924" s="52" t="n">
        <v>0</v>
      </c>
      <c r="AG1924" s="52" t="n">
        <v>0</v>
      </c>
      <c r="AH1924" s="52" t="n">
        <v>0</v>
      </c>
      <c r="AI1924" s="52" t="n">
        <v>0</v>
      </c>
      <c r="AJ1924" s="52" t="n">
        <v>0</v>
      </c>
      <c r="AK1924" s="52" t="n">
        <v>0</v>
      </c>
      <c r="AL1924" s="52" t="n">
        <v>0</v>
      </c>
      <c r="AM1924" s="53" t="n">
        <v>0</v>
      </c>
      <c r="AN1924" s="53" t="n">
        <v>0</v>
      </c>
      <c r="AO1924" s="53" t="n">
        <v>0</v>
      </c>
      <c r="AP1924" s="53" t="n">
        <v>0</v>
      </c>
      <c r="AQ1924" s="52" t="n">
        <v>0</v>
      </c>
      <c r="AR1924" s="52" t="n">
        <v>0</v>
      </c>
      <c r="AS1924" s="52" t="n">
        <v>0</v>
      </c>
      <c r="AT1924" s="52" t="n">
        <v>0</v>
      </c>
      <c r="AU1924" s="53" t="n">
        <v>0</v>
      </c>
      <c r="AV1924" s="53" t="n">
        <v>0</v>
      </c>
      <c r="AW1924" s="53" t="n">
        <v>0</v>
      </c>
      <c r="AX1924" s="53" t="n">
        <v>0</v>
      </c>
      <c r="AY1924" s="52" t="n">
        <v>0</v>
      </c>
      <c r="AZ1924" s="52" t="n">
        <v>0</v>
      </c>
      <c r="BA1924" s="52" t="n">
        <v>0</v>
      </c>
      <c r="BB1924" s="52" t="n">
        <v>0</v>
      </c>
      <c r="BC1924" s="51" t="n">
        <v>0</v>
      </c>
      <c r="BD1924" s="51" t="n">
        <v>0</v>
      </c>
      <c r="BE1924" s="51" t="n">
        <v>0</v>
      </c>
      <c r="BF1924" s="51" t="n">
        <v>0</v>
      </c>
    </row>
    <row r="1925">
      <c r="A1925">
        <f>HYPERLINK("https://www.walmart.com/ip/269524016", "269524016")</f>
        <v/>
      </c>
      <c r="B1925" t="inlineStr">
        <is>
          <t>Kritter Planet Waterproof Dog Blanket for Couch, Washable Pet Couch Cover, Non-slip Bed Sofa Furniture Protector Mat, Latte, 60''x50''.</t>
        </is>
      </c>
      <c r="C1925" t="inlineStr">
        <is>
          <t>1KPBW566LT</t>
        </is>
      </c>
      <c r="D1925" t="inlineStr">
        <is>
          <t>Pet Blankets</t>
        </is>
      </c>
      <c r="E1925" t="inlineStr">
        <is>
          <t>Kritter Planet</t>
        </is>
      </c>
      <c r="F1925" t="inlineStr">
        <is>
          <t>Q2-Target,Optimized</t>
        </is>
      </c>
      <c r="G1925" s="48" t="n">
        <v>0</v>
      </c>
      <c r="H1925" s="48" t="n">
        <v>0</v>
      </c>
      <c r="I1925" s="48" t="n">
        <v>19.99</v>
      </c>
      <c r="J1925" s="48" t="n">
        <v>19.99</v>
      </c>
      <c r="K1925" s="49" t="n">
        <v>0</v>
      </c>
      <c r="L1925" s="49" t="n">
        <v>0</v>
      </c>
      <c r="M1925" s="49" t="n">
        <v>1</v>
      </c>
      <c r="N1925" s="49" t="n">
        <v>1</v>
      </c>
      <c r="O1925" s="49" t="n">
        <v>0</v>
      </c>
      <c r="P1925" s="49" t="n">
        <v>0</v>
      </c>
      <c r="Q1925" s="49" t="n">
        <v>0</v>
      </c>
      <c r="R1925" s="49" t="n">
        <v>0</v>
      </c>
      <c r="S1925" s="50" t="n">
        <v>0</v>
      </c>
      <c r="T1925" s="50" t="n">
        <v>0</v>
      </c>
      <c r="U1925" s="50" t="n">
        <v>0</v>
      </c>
      <c r="V1925" s="50" t="n">
        <v>0</v>
      </c>
      <c r="W1925" s="51" t="n">
        <v>1</v>
      </c>
      <c r="X1925" s="51" t="n">
        <v>1</v>
      </c>
      <c r="Y1925" s="51" t="n">
        <v>3</v>
      </c>
      <c r="Z1925" s="51" t="n">
        <v>8</v>
      </c>
      <c r="AA1925" s="52" t="n">
        <v>0.43</v>
      </c>
      <c r="AB1925" s="52" t="n">
        <v>0.43</v>
      </c>
      <c r="AC1925" s="52" t="n">
        <v>1.33</v>
      </c>
      <c r="AD1925" s="52" t="n">
        <v>3.5</v>
      </c>
      <c r="AE1925" s="52" t="n">
        <v>0</v>
      </c>
      <c r="AF1925" s="52" t="n">
        <v>0</v>
      </c>
      <c r="AG1925" s="52" t="n">
        <v>19.99</v>
      </c>
      <c r="AH1925" s="52" t="n">
        <v>0</v>
      </c>
      <c r="AI1925" s="52" t="n">
        <v>0</v>
      </c>
      <c r="AJ1925" s="52" t="n">
        <v>0</v>
      </c>
      <c r="AK1925" s="52" t="n">
        <v>15.03</v>
      </c>
      <c r="AL1925" s="52" t="n">
        <v>0</v>
      </c>
      <c r="AM1925" s="53" t="n">
        <v>0.0013</v>
      </c>
      <c r="AN1925" s="53" t="n">
        <v>0.0009</v>
      </c>
      <c r="AO1925" s="53" t="n">
        <v>0.002</v>
      </c>
      <c r="AP1925" s="53" t="n">
        <v>0.003</v>
      </c>
      <c r="AQ1925" s="52" t="n">
        <v>0.43</v>
      </c>
      <c r="AR1925" s="52" t="n">
        <v>0.43</v>
      </c>
      <c r="AS1925" s="52" t="n">
        <v>0.4433333333333334</v>
      </c>
      <c r="AT1925" s="52" t="n">
        <v>0.4375</v>
      </c>
      <c r="AU1925" s="53" t="n">
        <v>0</v>
      </c>
      <c r="AV1925" s="53" t="n">
        <v>0</v>
      </c>
      <c r="AW1925" s="53" t="n">
        <v>0.06653326663331667</v>
      </c>
      <c r="AX1925" s="53" t="n">
        <v>0.175087543771886</v>
      </c>
      <c r="AY1925" s="52" t="n">
        <v>0</v>
      </c>
      <c r="AZ1925" s="52" t="n">
        <v>0</v>
      </c>
      <c r="BA1925" s="52" t="n">
        <v>19.99</v>
      </c>
      <c r="BB1925" s="52" t="n">
        <v>19.99</v>
      </c>
      <c r="BC1925" s="51" t="n">
        <v>792</v>
      </c>
      <c r="BD1925" s="51" t="n">
        <v>1084</v>
      </c>
      <c r="BE1925" s="51" t="n">
        <v>1470</v>
      </c>
      <c r="BF1925" s="51" t="n">
        <v>2689</v>
      </c>
    </row>
    <row r="1926">
      <c r="A1926">
        <f>HYPERLINK("https://www.walmart.com/ip/269600083", "269600083")</f>
        <v/>
      </c>
      <c r="B1926" t="inlineStr">
        <is>
          <t>Tirrinia Running Belt for iPhone 8, X, 7 Plus and 6S, Waist Fanny Pack Phone Pouch for Fitness, Walking and Workout, Travel Waistband for Women and Men Black/Medium</t>
        </is>
      </c>
      <c r="C1926" t="inlineStr">
        <is>
          <t>TRWB100BK-M</t>
        </is>
      </c>
      <c r="D1926" t="inlineStr">
        <is>
          <t>Running Belts</t>
        </is>
      </c>
      <c r="E1926" t="inlineStr">
        <is>
          <t>Terrania</t>
        </is>
      </c>
      <c r="F1926" t="inlineStr">
        <is>
          <t>Batch 1 - TR</t>
        </is>
      </c>
      <c r="G1926" s="48" t="n">
        <v>0</v>
      </c>
      <c r="H1926" s="48" t="n">
        <v>0</v>
      </c>
      <c r="I1926" s="48" t="n">
        <v>0</v>
      </c>
      <c r="J1926" s="48" t="n">
        <v>0</v>
      </c>
      <c r="K1926" s="49" t="n">
        <v>0</v>
      </c>
      <c r="L1926" s="49" t="n">
        <v>0</v>
      </c>
      <c r="M1926" s="49" t="n">
        <v>0</v>
      </c>
      <c r="N1926" s="49" t="n">
        <v>0</v>
      </c>
      <c r="O1926" s="49" t="n">
        <v>0</v>
      </c>
      <c r="P1926" s="49" t="n">
        <v>0</v>
      </c>
      <c r="Q1926" s="49" t="n">
        <v>0</v>
      </c>
      <c r="R1926" s="49" t="n">
        <v>0</v>
      </c>
      <c r="S1926" s="50" t="n">
        <v>0</v>
      </c>
      <c r="T1926" s="50" t="n">
        <v>0</v>
      </c>
      <c r="U1926" s="50" t="n">
        <v>0</v>
      </c>
      <c r="V1926" s="50" t="n">
        <v>0</v>
      </c>
      <c r="W1926" s="51" t="n">
        <v>0</v>
      </c>
      <c r="X1926" s="51" t="n">
        <v>0</v>
      </c>
      <c r="Y1926" s="51" t="n">
        <v>0</v>
      </c>
      <c r="Z1926" s="51" t="n">
        <v>0</v>
      </c>
      <c r="AA1926" s="52" t="n">
        <v>0</v>
      </c>
      <c r="AB1926" s="52" t="n">
        <v>0</v>
      </c>
      <c r="AC1926" s="52" t="n">
        <v>0</v>
      </c>
      <c r="AD1926" s="52" t="n">
        <v>0</v>
      </c>
      <c r="AE1926" s="52" t="n">
        <v>0</v>
      </c>
      <c r="AF1926" s="52" t="n">
        <v>0</v>
      </c>
      <c r="AG1926" s="52" t="n">
        <v>0</v>
      </c>
      <c r="AH1926" s="52" t="n">
        <v>0</v>
      </c>
      <c r="AI1926" s="52" t="n">
        <v>0</v>
      </c>
      <c r="AJ1926" s="52" t="n">
        <v>0</v>
      </c>
      <c r="AK1926" s="52" t="n">
        <v>0</v>
      </c>
      <c r="AL1926" s="52" t="n">
        <v>0</v>
      </c>
      <c r="AM1926" s="53" t="n">
        <v>0</v>
      </c>
      <c r="AN1926" s="53" t="n">
        <v>0</v>
      </c>
      <c r="AO1926" s="53" t="n">
        <v>0</v>
      </c>
      <c r="AP1926" s="53" t="n">
        <v>0</v>
      </c>
      <c r="AQ1926" s="52" t="n">
        <v>0</v>
      </c>
      <c r="AR1926" s="52" t="n">
        <v>0</v>
      </c>
      <c r="AS1926" s="52" t="n">
        <v>0</v>
      </c>
      <c r="AT1926" s="52" t="n">
        <v>0</v>
      </c>
      <c r="AU1926" s="53" t="n">
        <v>0</v>
      </c>
      <c r="AV1926" s="53" t="n">
        <v>0</v>
      </c>
      <c r="AW1926" s="53" t="n">
        <v>0</v>
      </c>
      <c r="AX1926" s="53" t="n">
        <v>0</v>
      </c>
      <c r="AY1926" s="52" t="n">
        <v>0</v>
      </c>
      <c r="AZ1926" s="52" t="n">
        <v>0</v>
      </c>
      <c r="BA1926" s="52" t="n">
        <v>0</v>
      </c>
      <c r="BB1926" s="52" t="n">
        <v>0</v>
      </c>
      <c r="BC1926" s="51" t="n">
        <v>0</v>
      </c>
      <c r="BD1926" s="51" t="n">
        <v>0</v>
      </c>
      <c r="BE1926" s="51" t="n">
        <v>0</v>
      </c>
      <c r="BF1926" s="51" t="n">
        <v>0</v>
      </c>
    </row>
    <row r="1927">
      <c r="A1927">
        <f>HYPERLINK("https://www.walmart.com/ip/271253788", "271253788")</f>
        <v/>
      </c>
      <c r="B1927" t="inlineStr">
        <is>
          <t>Tirrinia 4 Bottle Wine Gift Carrier - Insulated &amp; Padded Portable Versatile Wine Carrying Cooler Tote Bag for Travel, BYOB Restaurant, Wine Tasting, Party, Great Gift for Wine Lover, Black Stripe</t>
        </is>
      </c>
      <c r="C1927" t="inlineStr">
        <is>
          <t>1TRWB421STR</t>
        </is>
      </c>
      <c r="D1927" t="inlineStr">
        <is>
          <t>Wine Totes, Bags &amp; Backpacks</t>
        </is>
      </c>
      <c r="E1927" t="inlineStr">
        <is>
          <t>Tirrinia</t>
        </is>
      </c>
      <c r="F1927" t="inlineStr">
        <is>
          <t>Wine,Christmas,Optimized,Valentine</t>
        </is>
      </c>
      <c r="G1927" s="48" t="n">
        <v>0</v>
      </c>
      <c r="H1927" s="48" t="n">
        <v>0</v>
      </c>
      <c r="I1927" s="48" t="n">
        <v>0</v>
      </c>
      <c r="J1927" s="48" t="n">
        <v>0</v>
      </c>
      <c r="K1927" s="49" t="n">
        <v>0</v>
      </c>
      <c r="L1927" s="49" t="n">
        <v>0</v>
      </c>
      <c r="M1927" s="49" t="n">
        <v>0</v>
      </c>
      <c r="N1927" s="49" t="n">
        <v>0</v>
      </c>
      <c r="O1927" s="49" t="n">
        <v>0</v>
      </c>
      <c r="P1927" s="49" t="n">
        <v>0</v>
      </c>
      <c r="Q1927" s="49" t="n">
        <v>0</v>
      </c>
      <c r="R1927" s="49" t="n">
        <v>0</v>
      </c>
      <c r="S1927" s="50" t="n">
        <v>0</v>
      </c>
      <c r="T1927" s="50" t="n">
        <v>0</v>
      </c>
      <c r="U1927" s="50" t="n">
        <v>0</v>
      </c>
      <c r="V1927" s="50" t="n">
        <v>0</v>
      </c>
      <c r="W1927" s="51" t="n">
        <v>0</v>
      </c>
      <c r="X1927" s="51" t="n">
        <v>0</v>
      </c>
      <c r="Y1927" s="51" t="n">
        <v>0</v>
      </c>
      <c r="Z1927" s="51" t="n">
        <v>0</v>
      </c>
      <c r="AA1927" s="52" t="n">
        <v>0</v>
      </c>
      <c r="AB1927" s="52" t="n">
        <v>0</v>
      </c>
      <c r="AC1927" s="52" t="n">
        <v>0</v>
      </c>
      <c r="AD1927" s="52" t="n">
        <v>0</v>
      </c>
      <c r="AE1927" s="52" t="n">
        <v>0</v>
      </c>
      <c r="AF1927" s="52" t="n">
        <v>0</v>
      </c>
      <c r="AG1927" s="52" t="n">
        <v>0</v>
      </c>
      <c r="AH1927" s="52" t="n">
        <v>0</v>
      </c>
      <c r="AI1927" s="52" t="n">
        <v>0</v>
      </c>
      <c r="AJ1927" s="52" t="n">
        <v>0</v>
      </c>
      <c r="AK1927" s="52" t="n">
        <v>0</v>
      </c>
      <c r="AL1927" s="52" t="n">
        <v>0</v>
      </c>
      <c r="AM1927" s="53" t="n">
        <v>0</v>
      </c>
      <c r="AN1927" s="53" t="n">
        <v>0</v>
      </c>
      <c r="AO1927" s="53" t="n">
        <v>0</v>
      </c>
      <c r="AP1927" s="53" t="n">
        <v>0</v>
      </c>
      <c r="AQ1927" s="52" t="n">
        <v>0</v>
      </c>
      <c r="AR1927" s="52" t="n">
        <v>0</v>
      </c>
      <c r="AS1927" s="52" t="n">
        <v>0</v>
      </c>
      <c r="AT1927" s="52" t="n">
        <v>0</v>
      </c>
      <c r="AU1927" s="53" t="n">
        <v>0</v>
      </c>
      <c r="AV1927" s="53" t="n">
        <v>0</v>
      </c>
      <c r="AW1927" s="53" t="n">
        <v>0</v>
      </c>
      <c r="AX1927" s="53" t="n">
        <v>0</v>
      </c>
      <c r="AY1927" s="52" t="n">
        <v>0</v>
      </c>
      <c r="AZ1927" s="52" t="n">
        <v>0</v>
      </c>
      <c r="BA1927" s="52" t="n">
        <v>0</v>
      </c>
      <c r="BB1927" s="52" t="n">
        <v>0</v>
      </c>
      <c r="BC1927" s="51" t="n">
        <v>0</v>
      </c>
      <c r="BD1927" s="51" t="n">
        <v>0</v>
      </c>
      <c r="BE1927" s="51" t="n">
        <v>0</v>
      </c>
      <c r="BF1927" s="51" t="n">
        <v>0</v>
      </c>
    </row>
    <row r="1928">
      <c r="A1928">
        <f>HYPERLINK("https://www.walmart.com/ip/2716246624", "2716246624")</f>
        <v/>
      </c>
      <c r="B1928" t="inlineStr">
        <is>
          <t>Catalonia Wearable Fleece Blanket with Sleeves and Foot Pockets for Adult Women and Men, Micro Plush Comfy Wrap Sleeved Throw Blanket Robe, Large, Southwest Blue</t>
        </is>
      </c>
      <c r="C1928" t="inlineStr">
        <is>
          <t>1CTSN101SWBL</t>
        </is>
      </c>
      <c r="D1928" t="inlineStr">
        <is>
          <t>Throws</t>
        </is>
      </c>
      <c r="E1928" t="inlineStr">
        <is>
          <t>Catalonia</t>
        </is>
      </c>
      <c r="F1928" t="inlineStr">
        <is>
          <t>Coupon_Discount,Fleece Blankets</t>
        </is>
      </c>
      <c r="G1928" s="48" t="n">
        <v>0</v>
      </c>
      <c r="H1928" s="48" t="n">
        <v>0</v>
      </c>
      <c r="I1928" s="48" t="n">
        <v>0</v>
      </c>
      <c r="J1928" s="48" t="n">
        <v>0</v>
      </c>
      <c r="K1928" s="49" t="n">
        <v>0</v>
      </c>
      <c r="L1928" s="49" t="n">
        <v>0</v>
      </c>
      <c r="M1928" s="49" t="n">
        <v>0</v>
      </c>
      <c r="N1928" s="49" t="n">
        <v>0</v>
      </c>
      <c r="O1928" s="49" t="n">
        <v>0</v>
      </c>
      <c r="P1928" s="49" t="n">
        <v>0</v>
      </c>
      <c r="Q1928" s="49" t="n">
        <v>0</v>
      </c>
      <c r="R1928" s="49" t="n">
        <v>0</v>
      </c>
      <c r="S1928" s="50" t="n">
        <v>0</v>
      </c>
      <c r="T1928" s="50" t="n">
        <v>0</v>
      </c>
      <c r="U1928" s="50" t="n">
        <v>0</v>
      </c>
      <c r="V1928" s="50" t="n">
        <v>0</v>
      </c>
      <c r="W1928" s="51" t="n">
        <v>0</v>
      </c>
      <c r="X1928" s="51" t="n">
        <v>0</v>
      </c>
      <c r="Y1928" s="51" t="n">
        <v>0</v>
      </c>
      <c r="Z1928" s="51" t="n">
        <v>0</v>
      </c>
      <c r="AA1928" s="52" t="n">
        <v>0</v>
      </c>
      <c r="AB1928" s="52" t="n">
        <v>0</v>
      </c>
      <c r="AC1928" s="52" t="n">
        <v>0</v>
      </c>
      <c r="AD1928" s="52" t="n">
        <v>0</v>
      </c>
      <c r="AE1928" s="52" t="n">
        <v>0</v>
      </c>
      <c r="AF1928" s="52" t="n">
        <v>0</v>
      </c>
      <c r="AG1928" s="52" t="n">
        <v>0</v>
      </c>
      <c r="AH1928" s="52" t="n">
        <v>0</v>
      </c>
      <c r="AI1928" s="52" t="n">
        <v>0</v>
      </c>
      <c r="AJ1928" s="52" t="n">
        <v>0</v>
      </c>
      <c r="AK1928" s="52" t="n">
        <v>0</v>
      </c>
      <c r="AL1928" s="52" t="n">
        <v>0</v>
      </c>
      <c r="AM1928" s="53" t="n">
        <v>0</v>
      </c>
      <c r="AN1928" s="53" t="n">
        <v>0</v>
      </c>
      <c r="AO1928" s="53" t="n">
        <v>0</v>
      </c>
      <c r="AP1928" s="53" t="n">
        <v>0</v>
      </c>
      <c r="AQ1928" s="52" t="n">
        <v>0</v>
      </c>
      <c r="AR1928" s="52" t="n">
        <v>0</v>
      </c>
      <c r="AS1928" s="52" t="n">
        <v>0</v>
      </c>
      <c r="AT1928" s="52" t="n">
        <v>0</v>
      </c>
      <c r="AU1928" s="53" t="n">
        <v>0</v>
      </c>
      <c r="AV1928" s="53" t="n">
        <v>0</v>
      </c>
      <c r="AW1928" s="53" t="n">
        <v>0</v>
      </c>
      <c r="AX1928" s="53" t="n">
        <v>0</v>
      </c>
      <c r="AY1928" s="52" t="n">
        <v>0</v>
      </c>
      <c r="AZ1928" s="52" t="n">
        <v>0</v>
      </c>
      <c r="BA1928" s="52" t="n">
        <v>0</v>
      </c>
      <c r="BB1928" s="52" t="n">
        <v>0</v>
      </c>
      <c r="BC1928" s="51" t="n">
        <v>0</v>
      </c>
      <c r="BD1928" s="51" t="n">
        <v>0</v>
      </c>
      <c r="BE1928" s="51" t="n">
        <v>0</v>
      </c>
      <c r="BF1928" s="51" t="n">
        <v>0</v>
      </c>
    </row>
    <row r="1929">
      <c r="A1929">
        <f>HYPERLINK("https://www.walmart.com/ip/261383078", "261383078")</f>
        <v/>
      </c>
      <c r="B1929" t="inlineStr">
        <is>
          <t>Oversized Hoodie Blanket Sweatshirt,Super Soft Warm Comfortable Fleece Giant Pullover with Large Front Pocket,for Adults Men Women Teenagers Kids Wife Girlfriend</t>
        </is>
      </c>
      <c r="C1929" t="inlineStr">
        <is>
          <t>1CTHD300LGY-UPC</t>
        </is>
      </c>
      <c r="D1929" t="inlineStr">
        <is>
          <t>Sweatshirts &amp; Hoodies</t>
        </is>
      </c>
      <c r="E1929" t="inlineStr">
        <is>
          <t>Catalonia</t>
        </is>
      </c>
      <c r="F1929" t="inlineStr">
        <is>
          <t>Hoodie ForAdult,Optimized</t>
        </is>
      </c>
      <c r="G1929" s="48" t="n">
        <v>0</v>
      </c>
      <c r="H1929" s="48" t="n">
        <v>0</v>
      </c>
      <c r="I1929" s="48" t="n">
        <v>0</v>
      </c>
      <c r="J1929" s="48" t="n">
        <v>0</v>
      </c>
      <c r="K1929" s="49" t="n">
        <v>0</v>
      </c>
      <c r="L1929" s="49" t="n">
        <v>0</v>
      </c>
      <c r="M1929" s="49" t="n">
        <v>0</v>
      </c>
      <c r="N1929" s="49" t="n">
        <v>0</v>
      </c>
      <c r="O1929" s="49" t="n">
        <v>0</v>
      </c>
      <c r="P1929" s="49" t="n">
        <v>0</v>
      </c>
      <c r="Q1929" s="49" t="n">
        <v>0</v>
      </c>
      <c r="R1929" s="49" t="n">
        <v>0</v>
      </c>
      <c r="S1929" s="50" t="n">
        <v>0</v>
      </c>
      <c r="T1929" s="50" t="n">
        <v>0</v>
      </c>
      <c r="U1929" s="50" t="n">
        <v>0</v>
      </c>
      <c r="V1929" s="50" t="n">
        <v>0</v>
      </c>
      <c r="W1929" s="51" t="n">
        <v>0</v>
      </c>
      <c r="X1929" s="51" t="n">
        <v>0</v>
      </c>
      <c r="Y1929" s="51" t="n">
        <v>0</v>
      </c>
      <c r="Z1929" s="51" t="n">
        <v>0</v>
      </c>
      <c r="AA1929" s="52" t="n">
        <v>0</v>
      </c>
      <c r="AB1929" s="52" t="n">
        <v>0</v>
      </c>
      <c r="AC1929" s="52" t="n">
        <v>0</v>
      </c>
      <c r="AD1929" s="52" t="n">
        <v>0</v>
      </c>
      <c r="AE1929" s="52" t="n">
        <v>0</v>
      </c>
      <c r="AF1929" s="52" t="n">
        <v>0</v>
      </c>
      <c r="AG1929" s="52" t="n">
        <v>0</v>
      </c>
      <c r="AH1929" s="52" t="n">
        <v>0</v>
      </c>
      <c r="AI1929" s="52" t="n">
        <v>0</v>
      </c>
      <c r="AJ1929" s="52" t="n">
        <v>0</v>
      </c>
      <c r="AK1929" s="52" t="n">
        <v>0</v>
      </c>
      <c r="AL1929" s="52" t="n">
        <v>0</v>
      </c>
      <c r="AM1929" s="53" t="n">
        <v>0</v>
      </c>
      <c r="AN1929" s="53" t="n">
        <v>0</v>
      </c>
      <c r="AO1929" s="53" t="n">
        <v>0</v>
      </c>
      <c r="AP1929" s="53" t="n">
        <v>0</v>
      </c>
      <c r="AQ1929" s="52" t="n">
        <v>0</v>
      </c>
      <c r="AR1929" s="52" t="n">
        <v>0</v>
      </c>
      <c r="AS1929" s="52" t="n">
        <v>0</v>
      </c>
      <c r="AT1929" s="52" t="n">
        <v>0</v>
      </c>
      <c r="AU1929" s="53" t="n">
        <v>0</v>
      </c>
      <c r="AV1929" s="53" t="n">
        <v>0</v>
      </c>
      <c r="AW1929" s="53" t="n">
        <v>0</v>
      </c>
      <c r="AX1929" s="53" t="n">
        <v>0</v>
      </c>
      <c r="AY1929" s="52" t="n">
        <v>0</v>
      </c>
      <c r="AZ1929" s="52" t="n">
        <v>0</v>
      </c>
      <c r="BA1929" s="52" t="n">
        <v>0</v>
      </c>
      <c r="BB1929" s="52" t="n">
        <v>0</v>
      </c>
      <c r="BC1929" s="51" t="n">
        <v>0</v>
      </c>
      <c r="BD1929" s="51" t="n">
        <v>0</v>
      </c>
      <c r="BE1929" s="51" t="n">
        <v>0</v>
      </c>
      <c r="BF1929" s="51" t="n">
        <v>0</v>
      </c>
    </row>
    <row r="1930">
      <c r="A1930">
        <f>HYPERLINK("https://www.walmart.com/ip/260411987", "260411987")</f>
        <v/>
      </c>
      <c r="B1930" t="inlineStr">
        <is>
          <t>Dickies Basic Insulated Lunch Bag for Work, Thermal Reusable Office Lunch Box for Men, Women (Purple)</t>
        </is>
      </c>
      <c r="C1930" t="inlineStr">
        <is>
          <t>DK-LUNCH-BASICBOX-BLOODSTONE</t>
        </is>
      </c>
      <c r="D1930" t="inlineStr">
        <is>
          <t>Reusable Lunch Bags &amp; Boxes</t>
        </is>
      </c>
      <c r="E1930" t="inlineStr">
        <is>
          <t>Dickies</t>
        </is>
      </c>
      <c r="G1930" s="48" t="n">
        <v>0</v>
      </c>
      <c r="H1930" s="48" t="n">
        <v>0</v>
      </c>
      <c r="I1930" s="48" t="n">
        <v>0</v>
      </c>
      <c r="J1930" s="48" t="n">
        <v>0</v>
      </c>
      <c r="K1930" s="49" t="n">
        <v>0</v>
      </c>
      <c r="L1930" s="49" t="n">
        <v>0</v>
      </c>
      <c r="M1930" s="49" t="n">
        <v>0</v>
      </c>
      <c r="N1930" s="49" t="n">
        <v>0</v>
      </c>
      <c r="O1930" s="49" t="n">
        <v>0</v>
      </c>
      <c r="P1930" s="49" t="n">
        <v>0</v>
      </c>
      <c r="Q1930" s="49" t="n">
        <v>0</v>
      </c>
      <c r="R1930" s="49" t="n">
        <v>0</v>
      </c>
      <c r="S1930" s="50" t="n">
        <v>0</v>
      </c>
      <c r="T1930" s="50" t="n">
        <v>0</v>
      </c>
      <c r="U1930" s="50" t="n">
        <v>0</v>
      </c>
      <c r="V1930" s="50" t="n">
        <v>0</v>
      </c>
      <c r="W1930" s="51" t="n">
        <v>0</v>
      </c>
      <c r="X1930" s="51" t="n">
        <v>0</v>
      </c>
      <c r="Y1930" s="51" t="n">
        <v>0</v>
      </c>
      <c r="Z1930" s="51" t="n">
        <v>0</v>
      </c>
      <c r="AA1930" s="52" t="n">
        <v>0</v>
      </c>
      <c r="AB1930" s="52" t="n">
        <v>0</v>
      </c>
      <c r="AC1930" s="52" t="n">
        <v>0</v>
      </c>
      <c r="AD1930" s="52" t="n">
        <v>0</v>
      </c>
      <c r="AE1930" s="52" t="n">
        <v>0</v>
      </c>
      <c r="AF1930" s="52" t="n">
        <v>0</v>
      </c>
      <c r="AG1930" s="52" t="n">
        <v>0</v>
      </c>
      <c r="AH1930" s="52" t="n">
        <v>0</v>
      </c>
      <c r="AI1930" s="52" t="n">
        <v>0</v>
      </c>
      <c r="AJ1930" s="52" t="n">
        <v>0</v>
      </c>
      <c r="AK1930" s="52" t="n">
        <v>0</v>
      </c>
      <c r="AL1930" s="52" t="n">
        <v>0</v>
      </c>
      <c r="AM1930" s="53" t="n">
        <v>0</v>
      </c>
      <c r="AN1930" s="53" t="n">
        <v>0</v>
      </c>
      <c r="AO1930" s="53" t="n">
        <v>0</v>
      </c>
      <c r="AP1930" s="53" t="n">
        <v>0</v>
      </c>
      <c r="AQ1930" s="52" t="n">
        <v>0</v>
      </c>
      <c r="AR1930" s="52" t="n">
        <v>0</v>
      </c>
      <c r="AS1930" s="52" t="n">
        <v>0</v>
      </c>
      <c r="AT1930" s="52" t="n">
        <v>0</v>
      </c>
      <c r="AU1930" s="53" t="n">
        <v>0</v>
      </c>
      <c r="AV1930" s="53" t="n">
        <v>0</v>
      </c>
      <c r="AW1930" s="53" t="n">
        <v>0</v>
      </c>
      <c r="AX1930" s="53" t="n">
        <v>0</v>
      </c>
      <c r="AY1930" s="52" t="n">
        <v>0</v>
      </c>
      <c r="AZ1930" s="52" t="n">
        <v>0</v>
      </c>
      <c r="BA1930" s="52" t="n">
        <v>0</v>
      </c>
      <c r="BB1930" s="52" t="n">
        <v>0</v>
      </c>
      <c r="BC1930" s="51" t="n">
        <v>0</v>
      </c>
      <c r="BD1930" s="51" t="n">
        <v>0</v>
      </c>
      <c r="BE1930" s="51" t="n">
        <v>0</v>
      </c>
      <c r="BF1930" s="51" t="n">
        <v>0</v>
      </c>
    </row>
    <row r="1931">
      <c r="A1931">
        <f>HYPERLINK("https://www.walmart.com/ip/273678207", "273678207")</f>
        <v/>
      </c>
      <c r="B1931" t="inlineStr">
        <is>
          <t>Flyingstar Baseball Cap, American Flag Embroidered Adjustable Sports, Golf and Tennis Cap, Sun Hat for Women and Men, Navy</t>
        </is>
      </c>
      <c r="C1931" t="inlineStr">
        <is>
          <t>1WMBC100NV</t>
        </is>
      </c>
      <c r="D1931" t="inlineStr">
        <is>
          <t>Golf Hats</t>
        </is>
      </c>
      <c r="E1931" t="inlineStr">
        <is>
          <t>Flyingstar</t>
        </is>
      </c>
      <c r="F1931" t="inlineStr">
        <is>
          <t>Batch 1 - TR</t>
        </is>
      </c>
      <c r="G1931" s="48" t="n">
        <v>0</v>
      </c>
      <c r="H1931" s="48" t="n">
        <v>0</v>
      </c>
      <c r="I1931" s="48" t="n">
        <v>0</v>
      </c>
      <c r="J1931" s="48" t="n">
        <v>0</v>
      </c>
      <c r="K1931" s="49" t="n">
        <v>0</v>
      </c>
      <c r="L1931" s="49" t="n">
        <v>0</v>
      </c>
      <c r="M1931" s="49" t="n">
        <v>0</v>
      </c>
      <c r="N1931" s="49" t="n">
        <v>0</v>
      </c>
      <c r="O1931" s="49" t="n">
        <v>0</v>
      </c>
      <c r="P1931" s="49" t="n">
        <v>0</v>
      </c>
      <c r="Q1931" s="49" t="n">
        <v>0</v>
      </c>
      <c r="R1931" s="49" t="n">
        <v>0</v>
      </c>
      <c r="S1931" s="50" t="n">
        <v>0</v>
      </c>
      <c r="T1931" s="50" t="n">
        <v>0</v>
      </c>
      <c r="U1931" s="50" t="n">
        <v>0</v>
      </c>
      <c r="V1931" s="50" t="n">
        <v>0</v>
      </c>
      <c r="W1931" s="51" t="n">
        <v>0</v>
      </c>
      <c r="X1931" s="51" t="n">
        <v>0</v>
      </c>
      <c r="Y1931" s="51" t="n">
        <v>0</v>
      </c>
      <c r="Z1931" s="51" t="n">
        <v>0</v>
      </c>
      <c r="AA1931" s="52" t="n">
        <v>0</v>
      </c>
      <c r="AB1931" s="52" t="n">
        <v>0</v>
      </c>
      <c r="AC1931" s="52" t="n">
        <v>0</v>
      </c>
      <c r="AD1931" s="52" t="n">
        <v>0</v>
      </c>
      <c r="AE1931" s="52" t="n">
        <v>0</v>
      </c>
      <c r="AF1931" s="52" t="n">
        <v>0</v>
      </c>
      <c r="AG1931" s="52" t="n">
        <v>0</v>
      </c>
      <c r="AH1931" s="52" t="n">
        <v>0</v>
      </c>
      <c r="AI1931" s="52" t="n">
        <v>0</v>
      </c>
      <c r="AJ1931" s="52" t="n">
        <v>0</v>
      </c>
      <c r="AK1931" s="52" t="n">
        <v>0</v>
      </c>
      <c r="AL1931" s="52" t="n">
        <v>0</v>
      </c>
      <c r="AM1931" s="53" t="n">
        <v>0</v>
      </c>
      <c r="AN1931" s="53" t="n">
        <v>0</v>
      </c>
      <c r="AO1931" s="53" t="n">
        <v>0</v>
      </c>
      <c r="AP1931" s="53" t="n">
        <v>0</v>
      </c>
      <c r="AQ1931" s="52" t="n">
        <v>0</v>
      </c>
      <c r="AR1931" s="52" t="n">
        <v>0</v>
      </c>
      <c r="AS1931" s="52" t="n">
        <v>0</v>
      </c>
      <c r="AT1931" s="52" t="n">
        <v>0</v>
      </c>
      <c r="AU1931" s="53" t="n">
        <v>0</v>
      </c>
      <c r="AV1931" s="53" t="n">
        <v>0</v>
      </c>
      <c r="AW1931" s="53" t="n">
        <v>0</v>
      </c>
      <c r="AX1931" s="53" t="n">
        <v>0</v>
      </c>
      <c r="AY1931" s="52" t="n">
        <v>0</v>
      </c>
      <c r="AZ1931" s="52" t="n">
        <v>0</v>
      </c>
      <c r="BA1931" s="52" t="n">
        <v>0</v>
      </c>
      <c r="BB1931" s="52" t="n">
        <v>0</v>
      </c>
      <c r="BC1931" s="51" t="n">
        <v>0</v>
      </c>
      <c r="BD1931" s="51" t="n">
        <v>0</v>
      </c>
      <c r="BE1931" s="51" t="n">
        <v>0</v>
      </c>
      <c r="BF1931" s="51" t="n">
        <v>0</v>
      </c>
    </row>
    <row r="1932">
      <c r="A1932">
        <f>HYPERLINK("https://www.walmart.com/ip/260295579", "260295579")</f>
        <v/>
      </c>
      <c r="B1932" t="inlineStr">
        <is>
          <t>Houndstooth Sherpa Fleece Throw Blanket, Cozy Fuzzy Jacquard Blanket for the Couch Bed | Fluffy Comfy Warm Heavy Throws | Comfort Caring Gift, 50x60 inches</t>
        </is>
      </c>
      <c r="C1932" t="inlineStr">
        <is>
          <t>1CTBF573RDDENTE</t>
        </is>
      </c>
      <c r="D1932" t="inlineStr">
        <is>
          <t>Throws</t>
        </is>
      </c>
      <c r="E1932" t="inlineStr">
        <is>
          <t>Catalonia</t>
        </is>
      </c>
      <c r="F1932" t="inlineStr">
        <is>
          <t>Q2-Target,Coupon_Discount,Batch 1 - TR</t>
        </is>
      </c>
      <c r="G1932" s="48" t="n">
        <v>0</v>
      </c>
      <c r="H1932" s="48" t="n">
        <v>0</v>
      </c>
      <c r="I1932" s="48" t="n">
        <v>0</v>
      </c>
      <c r="J1932" s="48" t="n">
        <v>0</v>
      </c>
      <c r="K1932" s="49" t="n">
        <v>0</v>
      </c>
      <c r="L1932" s="49" t="n">
        <v>0</v>
      </c>
      <c r="M1932" s="49" t="n">
        <v>0</v>
      </c>
      <c r="N1932" s="49" t="n">
        <v>0</v>
      </c>
      <c r="O1932" s="49" t="n">
        <v>0</v>
      </c>
      <c r="P1932" s="49" t="n">
        <v>0</v>
      </c>
      <c r="Q1932" s="49" t="n">
        <v>0</v>
      </c>
      <c r="R1932" s="49" t="n">
        <v>0</v>
      </c>
      <c r="S1932" s="50" t="n">
        <v>0</v>
      </c>
      <c r="T1932" s="50" t="n">
        <v>0</v>
      </c>
      <c r="U1932" s="50" t="n">
        <v>0</v>
      </c>
      <c r="V1932" s="50" t="n">
        <v>0</v>
      </c>
      <c r="W1932" s="51" t="n">
        <v>0</v>
      </c>
      <c r="X1932" s="51" t="n">
        <v>0</v>
      </c>
      <c r="Y1932" s="51" t="n">
        <v>0</v>
      </c>
      <c r="Z1932" s="51" t="n">
        <v>0</v>
      </c>
      <c r="AA1932" s="52" t="n">
        <v>0</v>
      </c>
      <c r="AB1932" s="52" t="n">
        <v>0</v>
      </c>
      <c r="AC1932" s="52" t="n">
        <v>0</v>
      </c>
      <c r="AD1932" s="52" t="n">
        <v>0</v>
      </c>
      <c r="AE1932" s="52" t="n">
        <v>0</v>
      </c>
      <c r="AF1932" s="52" t="n">
        <v>0</v>
      </c>
      <c r="AG1932" s="52" t="n">
        <v>0</v>
      </c>
      <c r="AH1932" s="52" t="n">
        <v>0</v>
      </c>
      <c r="AI1932" s="52" t="n">
        <v>0</v>
      </c>
      <c r="AJ1932" s="52" t="n">
        <v>0</v>
      </c>
      <c r="AK1932" s="52" t="n">
        <v>0</v>
      </c>
      <c r="AL1932" s="52" t="n">
        <v>0</v>
      </c>
      <c r="AM1932" s="53" t="n">
        <v>0</v>
      </c>
      <c r="AN1932" s="53" t="n">
        <v>0</v>
      </c>
      <c r="AO1932" s="53" t="n">
        <v>0</v>
      </c>
      <c r="AP1932" s="53" t="n">
        <v>0</v>
      </c>
      <c r="AQ1932" s="52" t="n">
        <v>0</v>
      </c>
      <c r="AR1932" s="52" t="n">
        <v>0</v>
      </c>
      <c r="AS1932" s="52" t="n">
        <v>0</v>
      </c>
      <c r="AT1932" s="52" t="n">
        <v>0</v>
      </c>
      <c r="AU1932" s="53" t="n">
        <v>0</v>
      </c>
      <c r="AV1932" s="53" t="n">
        <v>0</v>
      </c>
      <c r="AW1932" s="53" t="n">
        <v>0</v>
      </c>
      <c r="AX1932" s="53" t="n">
        <v>0</v>
      </c>
      <c r="AY1932" s="52" t="n">
        <v>0</v>
      </c>
      <c r="AZ1932" s="52" t="n">
        <v>0</v>
      </c>
      <c r="BA1932" s="52" t="n">
        <v>0</v>
      </c>
      <c r="BB1932" s="52" t="n">
        <v>0</v>
      </c>
      <c r="BC1932" s="51" t="n">
        <v>0</v>
      </c>
      <c r="BD1932" s="51" t="n">
        <v>0</v>
      </c>
      <c r="BE1932" s="51" t="n">
        <v>0</v>
      </c>
      <c r="BF1932" s="51" t="n">
        <v>0</v>
      </c>
    </row>
    <row r="1933">
      <c r="A1933">
        <f>HYPERLINK("https://www.walmart.com/ip/251834877", "251834877")</f>
        <v/>
      </c>
      <c r="B1933" t="inlineStr">
        <is>
          <t>Sherpa Furry Throw Blanket, Reversible Super Soft Plush Fuzzy Fleece Blanket for Sofa Couch Bed 50"x60"</t>
        </is>
      </c>
      <c r="C1933" t="inlineStr">
        <is>
          <t>1CTBN110DG</t>
        </is>
      </c>
      <c r="D1933" t="inlineStr">
        <is>
          <t>Throws</t>
        </is>
      </c>
      <c r="E1933" t="inlineStr">
        <is>
          <t>Catalonia</t>
        </is>
      </c>
      <c r="F1933" t="inlineStr">
        <is>
          <t>WFS,WFS Item,Fleece Blankets</t>
        </is>
      </c>
      <c r="G1933" s="48" t="n">
        <v>0</v>
      </c>
      <c r="H1933" s="48" t="n">
        <v>0</v>
      </c>
      <c r="I1933" s="48" t="n">
        <v>0</v>
      </c>
      <c r="J1933" s="48" t="n">
        <v>0</v>
      </c>
      <c r="K1933" s="49" t="n">
        <v>0</v>
      </c>
      <c r="L1933" s="49" t="n">
        <v>0</v>
      </c>
      <c r="M1933" s="49" t="n">
        <v>0</v>
      </c>
      <c r="N1933" s="49" t="n">
        <v>0</v>
      </c>
      <c r="O1933" s="49" t="n">
        <v>0</v>
      </c>
      <c r="P1933" s="49" t="n">
        <v>0</v>
      </c>
      <c r="Q1933" s="49" t="n">
        <v>0</v>
      </c>
      <c r="R1933" s="49" t="n">
        <v>0</v>
      </c>
      <c r="S1933" s="50" t="n">
        <v>0</v>
      </c>
      <c r="T1933" s="50" t="n">
        <v>0</v>
      </c>
      <c r="U1933" s="50" t="n">
        <v>0</v>
      </c>
      <c r="V1933" s="50" t="n">
        <v>0</v>
      </c>
      <c r="W1933" s="51" t="n">
        <v>0</v>
      </c>
      <c r="X1933" s="51" t="n">
        <v>0</v>
      </c>
      <c r="Y1933" s="51" t="n">
        <v>0</v>
      </c>
      <c r="Z1933" s="51" t="n">
        <v>0</v>
      </c>
      <c r="AA1933" s="52" t="n">
        <v>0</v>
      </c>
      <c r="AB1933" s="52" t="n">
        <v>0</v>
      </c>
      <c r="AC1933" s="52" t="n">
        <v>0</v>
      </c>
      <c r="AD1933" s="52" t="n">
        <v>0</v>
      </c>
      <c r="AE1933" s="52" t="n">
        <v>0</v>
      </c>
      <c r="AF1933" s="52" t="n">
        <v>0</v>
      </c>
      <c r="AG1933" s="52" t="n">
        <v>0</v>
      </c>
      <c r="AH1933" s="52" t="n">
        <v>0</v>
      </c>
      <c r="AI1933" s="52" t="n">
        <v>0</v>
      </c>
      <c r="AJ1933" s="52" t="n">
        <v>0</v>
      </c>
      <c r="AK1933" s="52" t="n">
        <v>0</v>
      </c>
      <c r="AL1933" s="52" t="n">
        <v>0</v>
      </c>
      <c r="AM1933" s="53" t="n">
        <v>0</v>
      </c>
      <c r="AN1933" s="53" t="n">
        <v>0</v>
      </c>
      <c r="AO1933" s="53" t="n">
        <v>0</v>
      </c>
      <c r="AP1933" s="53" t="n">
        <v>0</v>
      </c>
      <c r="AQ1933" s="52" t="n">
        <v>0</v>
      </c>
      <c r="AR1933" s="52" t="n">
        <v>0</v>
      </c>
      <c r="AS1933" s="52" t="n">
        <v>0</v>
      </c>
      <c r="AT1933" s="52" t="n">
        <v>0</v>
      </c>
      <c r="AU1933" s="53" t="n">
        <v>0</v>
      </c>
      <c r="AV1933" s="53" t="n">
        <v>0</v>
      </c>
      <c r="AW1933" s="53" t="n">
        <v>0</v>
      </c>
      <c r="AX1933" s="53" t="n">
        <v>0</v>
      </c>
      <c r="AY1933" s="52" t="n">
        <v>0</v>
      </c>
      <c r="AZ1933" s="52" t="n">
        <v>0</v>
      </c>
      <c r="BA1933" s="52" t="n">
        <v>0</v>
      </c>
      <c r="BB1933" s="52" t="n">
        <v>0</v>
      </c>
      <c r="BC1933" s="51" t="n">
        <v>0</v>
      </c>
      <c r="BD1933" s="51" t="n">
        <v>0</v>
      </c>
      <c r="BE1933" s="51" t="n">
        <v>0</v>
      </c>
      <c r="BF1933" s="51" t="n">
        <v>0</v>
      </c>
    </row>
    <row r="1934">
      <c r="A1934">
        <f>HYPERLINK("https://www.walmart.com/ip/252128142", "252128142")</f>
        <v/>
      </c>
      <c r="B1934" t="inlineStr">
        <is>
          <t>Sherpa Slipper Socks for Women,Winter Indoor Home Non Skid Booties</t>
        </is>
      </c>
      <c r="C1934" t="inlineStr">
        <is>
          <t>1CTST200BK-1</t>
        </is>
      </c>
      <c r="D1934" t="inlineStr">
        <is>
          <t>Socks</t>
        </is>
      </c>
      <c r="E1934" t="inlineStr">
        <is>
          <t>Catalonia</t>
        </is>
      </c>
      <c r="F1934" t="inlineStr">
        <is>
          <t>WFS,WFS Item</t>
        </is>
      </c>
      <c r="G1934" s="48" t="n">
        <v>0</v>
      </c>
      <c r="H1934" s="48" t="n">
        <v>0</v>
      </c>
      <c r="I1934" s="48" t="n">
        <v>0</v>
      </c>
      <c r="J1934" s="48" t="n">
        <v>0</v>
      </c>
      <c r="K1934" s="49" t="n">
        <v>0</v>
      </c>
      <c r="L1934" s="49" t="n">
        <v>0</v>
      </c>
      <c r="M1934" s="49" t="n">
        <v>0</v>
      </c>
      <c r="N1934" s="49" t="n">
        <v>0</v>
      </c>
      <c r="O1934" s="49" t="n">
        <v>0</v>
      </c>
      <c r="P1934" s="49" t="n">
        <v>0</v>
      </c>
      <c r="Q1934" s="49" t="n">
        <v>0</v>
      </c>
      <c r="R1934" s="49" t="n">
        <v>0</v>
      </c>
      <c r="S1934" s="50" t="n">
        <v>0</v>
      </c>
      <c r="T1934" s="50" t="n">
        <v>0</v>
      </c>
      <c r="U1934" s="50" t="n">
        <v>0</v>
      </c>
      <c r="V1934" s="50" t="n">
        <v>0</v>
      </c>
      <c r="W1934" s="51" t="n">
        <v>0</v>
      </c>
      <c r="X1934" s="51" t="n">
        <v>0</v>
      </c>
      <c r="Y1934" s="51" t="n">
        <v>0</v>
      </c>
      <c r="Z1934" s="51" t="n">
        <v>0</v>
      </c>
      <c r="AA1934" s="52" t="n">
        <v>0</v>
      </c>
      <c r="AB1934" s="52" t="n">
        <v>0</v>
      </c>
      <c r="AC1934" s="52" t="n">
        <v>0</v>
      </c>
      <c r="AD1934" s="52" t="n">
        <v>0</v>
      </c>
      <c r="AE1934" s="52" t="n">
        <v>0</v>
      </c>
      <c r="AF1934" s="52" t="n">
        <v>0</v>
      </c>
      <c r="AG1934" s="52" t="n">
        <v>0</v>
      </c>
      <c r="AH1934" s="52" t="n">
        <v>0</v>
      </c>
      <c r="AI1934" s="52" t="n">
        <v>0</v>
      </c>
      <c r="AJ1934" s="52" t="n">
        <v>0</v>
      </c>
      <c r="AK1934" s="52" t="n">
        <v>0</v>
      </c>
      <c r="AL1934" s="52" t="n">
        <v>0</v>
      </c>
      <c r="AM1934" s="53" t="n">
        <v>0</v>
      </c>
      <c r="AN1934" s="53" t="n">
        <v>0</v>
      </c>
      <c r="AO1934" s="53" t="n">
        <v>0</v>
      </c>
      <c r="AP1934" s="53" t="n">
        <v>0</v>
      </c>
      <c r="AQ1934" s="52" t="n">
        <v>0</v>
      </c>
      <c r="AR1934" s="52" t="n">
        <v>0</v>
      </c>
      <c r="AS1934" s="52" t="n">
        <v>0</v>
      </c>
      <c r="AT1934" s="52" t="n">
        <v>0</v>
      </c>
      <c r="AU1934" s="53" t="n">
        <v>0</v>
      </c>
      <c r="AV1934" s="53" t="n">
        <v>0</v>
      </c>
      <c r="AW1934" s="53" t="n">
        <v>0</v>
      </c>
      <c r="AX1934" s="53" t="n">
        <v>0</v>
      </c>
      <c r="AY1934" s="52" t="n">
        <v>0</v>
      </c>
      <c r="AZ1934" s="52" t="n">
        <v>0</v>
      </c>
      <c r="BA1934" s="52" t="n">
        <v>0</v>
      </c>
      <c r="BB1934" s="52" t="n">
        <v>0</v>
      </c>
      <c r="BC1934" s="51" t="n">
        <v>0</v>
      </c>
      <c r="BD1934" s="51" t="n">
        <v>0</v>
      </c>
      <c r="BE1934" s="51" t="n">
        <v>0</v>
      </c>
      <c r="BF1934" s="51" t="n">
        <v>0</v>
      </c>
    </row>
    <row r="1935">
      <c r="A1935">
        <f>HYPERLINK("https://www.walmart.com/ip/2523481543", "2523481543")</f>
        <v/>
      </c>
      <c r="B1935" t="inlineStr">
        <is>
          <t>Tirrinia Outdoor/Indoor Waterproof Fleece Blanket, Convenient and Easy-to-Fold Picnic Blanket, Beach Mat for Sand and Grass Picnics, Gray Wavy Streak, 50" x 60''</t>
        </is>
      </c>
      <c r="C1935" t="inlineStr">
        <is>
          <t>1TRBW00156GYWV</t>
        </is>
      </c>
      <c r="D1935" t="inlineStr">
        <is>
          <t>Picnic Blankets &amp; Mats</t>
        </is>
      </c>
      <c r="E1935" t="inlineStr">
        <is>
          <t>Tirrinia</t>
        </is>
      </c>
      <c r="F1935" t="inlineStr">
        <is>
          <t>Wproof Blanket</t>
        </is>
      </c>
      <c r="G1935" s="48" t="n">
        <v>0</v>
      </c>
      <c r="H1935" s="48" t="n">
        <v>24.99</v>
      </c>
      <c r="I1935" s="48" t="n">
        <v>0</v>
      </c>
      <c r="J1935" s="48" t="n">
        <v>24.99</v>
      </c>
      <c r="K1935" s="49" t="n">
        <v>0</v>
      </c>
      <c r="L1935" s="49" t="n">
        <v>1</v>
      </c>
      <c r="M1935" s="49" t="n">
        <v>0</v>
      </c>
      <c r="N1935" s="49" t="n">
        <v>1</v>
      </c>
      <c r="O1935" s="49" t="n">
        <v>0</v>
      </c>
      <c r="P1935" s="49" t="n">
        <v>0</v>
      </c>
      <c r="Q1935" s="49" t="n">
        <v>3</v>
      </c>
      <c r="R1935" s="49" t="n">
        <v>4</v>
      </c>
      <c r="S1935" s="50" t="n">
        <v>0</v>
      </c>
      <c r="T1935" s="50" t="n">
        <v>0</v>
      </c>
      <c r="U1935" s="50" t="n">
        <v>0</v>
      </c>
      <c r="V1935" s="50" t="n">
        <v>0.25</v>
      </c>
      <c r="W1935" s="51" t="n">
        <v>0</v>
      </c>
      <c r="X1935" s="51" t="n">
        <v>0</v>
      </c>
      <c r="Y1935" s="51" t="n">
        <v>0</v>
      </c>
      <c r="Z1935" s="51" t="n">
        <v>0</v>
      </c>
      <c r="AA1935" s="52" t="n">
        <v>0</v>
      </c>
      <c r="AB1935" s="52" t="n">
        <v>0</v>
      </c>
      <c r="AC1935" s="52" t="n">
        <v>0</v>
      </c>
      <c r="AD1935" s="52" t="n">
        <v>0</v>
      </c>
      <c r="AE1935" s="52" t="n">
        <v>0</v>
      </c>
      <c r="AF1935" s="52" t="n">
        <v>0</v>
      </c>
      <c r="AG1935" s="52" t="n">
        <v>0</v>
      </c>
      <c r="AH1935" s="52" t="n">
        <v>0</v>
      </c>
      <c r="AI1935" s="52" t="n">
        <v>0</v>
      </c>
      <c r="AJ1935" s="52" t="n">
        <v>0</v>
      </c>
      <c r="AK1935" s="52" t="n">
        <v>0</v>
      </c>
      <c r="AL1935" s="52" t="n">
        <v>0</v>
      </c>
      <c r="AM1935" s="53" t="n">
        <v>0</v>
      </c>
      <c r="AN1935" s="53" t="n">
        <v>0</v>
      </c>
      <c r="AO1935" s="53" t="n">
        <v>0</v>
      </c>
      <c r="AP1935" s="53" t="n">
        <v>0</v>
      </c>
      <c r="AQ1935" s="52" t="n">
        <v>0</v>
      </c>
      <c r="AR1935" s="52" t="n">
        <v>0</v>
      </c>
      <c r="AS1935" s="52" t="n">
        <v>0</v>
      </c>
      <c r="AT1935" s="52" t="n">
        <v>0</v>
      </c>
      <c r="AU1935" s="53" t="n">
        <v>0</v>
      </c>
      <c r="AV1935" s="53" t="n">
        <v>0</v>
      </c>
      <c r="AW1935" s="53" t="n">
        <v>0</v>
      </c>
      <c r="AX1935" s="53" t="n">
        <v>0</v>
      </c>
      <c r="AY1935" s="52" t="n">
        <v>0</v>
      </c>
      <c r="AZ1935" s="52" t="n">
        <v>24.99</v>
      </c>
      <c r="BA1935" s="52" t="n">
        <v>0</v>
      </c>
      <c r="BB1935" s="52" t="n">
        <v>24.99</v>
      </c>
      <c r="BC1935" s="51" t="n">
        <v>0</v>
      </c>
      <c r="BD1935" s="51" t="n">
        <v>0</v>
      </c>
      <c r="BE1935" s="51" t="n">
        <v>0</v>
      </c>
      <c r="BF1935" s="51" t="n">
        <v>0</v>
      </c>
    </row>
    <row r="1936">
      <c r="A1936">
        <f>HYPERLINK("https://www.walmart.com/ip/253341724", "253341724")</f>
        <v/>
      </c>
      <c r="B1936" t="inlineStr">
        <is>
          <t>Solaris Men Winter Ski Snow Gloves with Breathable Face Mask The Warmest 3M Insulation Waterproof Outdoor Snowboard Mitt</t>
        </is>
      </c>
      <c r="C1936" t="inlineStr">
        <is>
          <t>1SLWG301BKBK-S</t>
        </is>
      </c>
      <c r="D1936" t="inlineStr">
        <is>
          <t>Gloves &amp; Mittens</t>
        </is>
      </c>
      <c r="E1936" t="inlineStr">
        <is>
          <t>Solaris</t>
        </is>
      </c>
      <c r="F1936" t="inlineStr">
        <is>
          <t>Optimized,Gloves</t>
        </is>
      </c>
      <c r="G1936" s="48" t="n">
        <v>0</v>
      </c>
      <c r="H1936" s="48" t="n">
        <v>0</v>
      </c>
      <c r="I1936" s="48" t="n">
        <v>0</v>
      </c>
      <c r="J1936" s="48" t="n">
        <v>0</v>
      </c>
      <c r="K1936" s="49" t="n">
        <v>0</v>
      </c>
      <c r="L1936" s="49" t="n">
        <v>0</v>
      </c>
      <c r="M1936" s="49" t="n">
        <v>0</v>
      </c>
      <c r="N1936" s="49" t="n">
        <v>0</v>
      </c>
      <c r="O1936" s="49" t="n">
        <v>0</v>
      </c>
      <c r="P1936" s="49" t="n">
        <v>0</v>
      </c>
      <c r="Q1936" s="49" t="n">
        <v>0</v>
      </c>
      <c r="R1936" s="49" t="n">
        <v>0</v>
      </c>
      <c r="S1936" s="50" t="n">
        <v>0</v>
      </c>
      <c r="T1936" s="50" t="n">
        <v>0</v>
      </c>
      <c r="U1936" s="50" t="n">
        <v>0</v>
      </c>
      <c r="V1936" s="50" t="n">
        <v>0</v>
      </c>
      <c r="W1936" s="51" t="n">
        <v>0</v>
      </c>
      <c r="X1936" s="51" t="n">
        <v>0</v>
      </c>
      <c r="Y1936" s="51" t="n">
        <v>0</v>
      </c>
      <c r="Z1936" s="51" t="n">
        <v>0</v>
      </c>
      <c r="AA1936" s="52" t="n">
        <v>0</v>
      </c>
      <c r="AB1936" s="52" t="n">
        <v>0</v>
      </c>
      <c r="AC1936" s="52" t="n">
        <v>0</v>
      </c>
      <c r="AD1936" s="52" t="n">
        <v>0</v>
      </c>
      <c r="AE1936" s="52" t="n">
        <v>0</v>
      </c>
      <c r="AF1936" s="52" t="n">
        <v>0</v>
      </c>
      <c r="AG1936" s="52" t="n">
        <v>0</v>
      </c>
      <c r="AH1936" s="52" t="n">
        <v>0</v>
      </c>
      <c r="AI1936" s="52" t="n">
        <v>0</v>
      </c>
      <c r="AJ1936" s="52" t="n">
        <v>0</v>
      </c>
      <c r="AK1936" s="52" t="n">
        <v>0</v>
      </c>
      <c r="AL1936" s="52" t="n">
        <v>0</v>
      </c>
      <c r="AM1936" s="53" t="n">
        <v>0</v>
      </c>
      <c r="AN1936" s="53" t="n">
        <v>0</v>
      </c>
      <c r="AO1936" s="53" t="n">
        <v>0</v>
      </c>
      <c r="AP1936" s="53" t="n">
        <v>0</v>
      </c>
      <c r="AQ1936" s="52" t="n">
        <v>0</v>
      </c>
      <c r="AR1936" s="52" t="n">
        <v>0</v>
      </c>
      <c r="AS1936" s="52" t="n">
        <v>0</v>
      </c>
      <c r="AT1936" s="52" t="n">
        <v>0</v>
      </c>
      <c r="AU1936" s="53" t="n">
        <v>0</v>
      </c>
      <c r="AV1936" s="53" t="n">
        <v>0</v>
      </c>
      <c r="AW1936" s="53" t="n">
        <v>0</v>
      </c>
      <c r="AX1936" s="53" t="n">
        <v>0</v>
      </c>
      <c r="AY1936" s="52" t="n">
        <v>0</v>
      </c>
      <c r="AZ1936" s="52" t="n">
        <v>0</v>
      </c>
      <c r="BA1936" s="52" t="n">
        <v>0</v>
      </c>
      <c r="BB1936" s="52" t="n">
        <v>0</v>
      </c>
      <c r="BC1936" s="51" t="n">
        <v>0</v>
      </c>
      <c r="BD1936" s="51" t="n">
        <v>0</v>
      </c>
      <c r="BE1936" s="51" t="n">
        <v>0</v>
      </c>
      <c r="BF1936" s="51" t="n">
        <v>0</v>
      </c>
    </row>
    <row r="1937">
      <c r="A1937">
        <f>HYPERLINK("https://www.walmart.com/ip/254076592", "254076592")</f>
        <v/>
      </c>
      <c r="B1937" t="inlineStr">
        <is>
          <t>Catalonia Sherpa Throw Blanket Micro Mink Fleece Reversible Grey Blanket 50" x 60", Super Soft Comfy Plush Couch Bed TV, Comfort Caring Gift</t>
        </is>
      </c>
      <c r="C1937" t="inlineStr">
        <is>
          <t>1CTBF300GY</t>
        </is>
      </c>
      <c r="D1937" t="inlineStr">
        <is>
          <t>Throws</t>
        </is>
      </c>
      <c r="E1937" t="inlineStr">
        <is>
          <t>Catalonia</t>
        </is>
      </c>
      <c r="F1937" t="inlineStr">
        <is>
          <t>Q2-Target,Optimized,WFS,Coupon_Discount,WFS Item</t>
        </is>
      </c>
      <c r="G1937" s="48" t="n">
        <v>0</v>
      </c>
      <c r="H1937" s="48" t="n">
        <v>0</v>
      </c>
      <c r="I1937" s="48" t="n">
        <v>0</v>
      </c>
      <c r="J1937" s="48" t="n">
        <v>0</v>
      </c>
      <c r="K1937" s="49" t="n">
        <v>0</v>
      </c>
      <c r="L1937" s="49" t="n">
        <v>0</v>
      </c>
      <c r="M1937" s="49" t="n">
        <v>0</v>
      </c>
      <c r="N1937" s="49" t="n">
        <v>0</v>
      </c>
      <c r="O1937" s="49" t="n">
        <v>0</v>
      </c>
      <c r="P1937" s="49" t="n">
        <v>0</v>
      </c>
      <c r="Q1937" s="49" t="n">
        <v>0</v>
      </c>
      <c r="R1937" s="49" t="n">
        <v>0</v>
      </c>
      <c r="S1937" s="50" t="n">
        <v>0</v>
      </c>
      <c r="T1937" s="50" t="n">
        <v>0</v>
      </c>
      <c r="U1937" s="50" t="n">
        <v>0</v>
      </c>
      <c r="V1937" s="50" t="n">
        <v>0</v>
      </c>
      <c r="W1937" s="51" t="n">
        <v>0</v>
      </c>
      <c r="X1937" s="51" t="n">
        <v>0</v>
      </c>
      <c r="Y1937" s="51" t="n">
        <v>0</v>
      </c>
      <c r="Z1937" s="51" t="n">
        <v>0</v>
      </c>
      <c r="AA1937" s="52" t="n">
        <v>0</v>
      </c>
      <c r="AB1937" s="52" t="n">
        <v>0</v>
      </c>
      <c r="AC1937" s="52" t="n">
        <v>0</v>
      </c>
      <c r="AD1937" s="52" t="n">
        <v>0</v>
      </c>
      <c r="AE1937" s="52" t="n">
        <v>0</v>
      </c>
      <c r="AF1937" s="52" t="n">
        <v>0</v>
      </c>
      <c r="AG1937" s="52" t="n">
        <v>0</v>
      </c>
      <c r="AH1937" s="52" t="n">
        <v>0</v>
      </c>
      <c r="AI1937" s="52" t="n">
        <v>0</v>
      </c>
      <c r="AJ1937" s="52" t="n">
        <v>0</v>
      </c>
      <c r="AK1937" s="52" t="n">
        <v>0</v>
      </c>
      <c r="AL1937" s="52" t="n">
        <v>0</v>
      </c>
      <c r="AM1937" s="53" t="n">
        <v>0</v>
      </c>
      <c r="AN1937" s="53" t="n">
        <v>0</v>
      </c>
      <c r="AO1937" s="53" t="n">
        <v>0</v>
      </c>
      <c r="AP1937" s="53" t="n">
        <v>0</v>
      </c>
      <c r="AQ1937" s="52" t="n">
        <v>0</v>
      </c>
      <c r="AR1937" s="52" t="n">
        <v>0</v>
      </c>
      <c r="AS1937" s="52" t="n">
        <v>0</v>
      </c>
      <c r="AT1937" s="52" t="n">
        <v>0</v>
      </c>
      <c r="AU1937" s="53" t="n">
        <v>0</v>
      </c>
      <c r="AV1937" s="53" t="n">
        <v>0</v>
      </c>
      <c r="AW1937" s="53" t="n">
        <v>0</v>
      </c>
      <c r="AX1937" s="53" t="n">
        <v>0</v>
      </c>
      <c r="AY1937" s="52" t="n">
        <v>0</v>
      </c>
      <c r="AZ1937" s="52" t="n">
        <v>0</v>
      </c>
      <c r="BA1937" s="52" t="n">
        <v>0</v>
      </c>
      <c r="BB1937" s="52" t="n">
        <v>0</v>
      </c>
      <c r="BC1937" s="51" t="n">
        <v>0</v>
      </c>
      <c r="BD1937" s="51" t="n">
        <v>0</v>
      </c>
      <c r="BE1937" s="51" t="n">
        <v>0</v>
      </c>
      <c r="BF1937" s="51" t="n">
        <v>0</v>
      </c>
    </row>
    <row r="1938">
      <c r="A1938">
        <f>HYPERLINK("https://www.walmart.com/ip/254291308", "254291308")</f>
        <v/>
      </c>
      <c r="B1938" t="inlineStr">
        <is>
          <t>Tirrinia Insulated 2 Bottle Wine Carrier Tote Cooler Bag for Travel Picnic Padded Champagne Glass</t>
        </is>
      </c>
      <c r="C1938" t="inlineStr">
        <is>
          <t>1TRWB231DBL</t>
        </is>
      </c>
      <c r="D1938" t="inlineStr">
        <is>
          <t>Wine Totes, Bags &amp; Backpacks</t>
        </is>
      </c>
      <c r="E1938" t="inlineStr">
        <is>
          <t>Tirrinia</t>
        </is>
      </c>
      <c r="F1938" t="inlineStr">
        <is>
          <t>Wine,Christmas,WFS,Wine WFS,Valentine,WFS Item</t>
        </is>
      </c>
      <c r="G1938" s="48" t="n">
        <v>0</v>
      </c>
      <c r="H1938" s="48" t="n">
        <v>0</v>
      </c>
      <c r="I1938" s="48" t="n">
        <v>0</v>
      </c>
      <c r="J1938" s="48" t="n">
        <v>0</v>
      </c>
      <c r="K1938" s="49" t="n">
        <v>0</v>
      </c>
      <c r="L1938" s="49" t="n">
        <v>0</v>
      </c>
      <c r="M1938" s="49" t="n">
        <v>0</v>
      </c>
      <c r="N1938" s="49" t="n">
        <v>0</v>
      </c>
      <c r="O1938" s="49" t="n">
        <v>0</v>
      </c>
      <c r="P1938" s="49" t="n">
        <v>0</v>
      </c>
      <c r="Q1938" s="49" t="n">
        <v>0</v>
      </c>
      <c r="R1938" s="49" t="n">
        <v>0</v>
      </c>
      <c r="S1938" s="50" t="n">
        <v>0</v>
      </c>
      <c r="T1938" s="50" t="n">
        <v>0</v>
      </c>
      <c r="U1938" s="50" t="n">
        <v>0</v>
      </c>
      <c r="V1938" s="50" t="n">
        <v>0</v>
      </c>
      <c r="W1938" s="51" t="n">
        <v>0</v>
      </c>
      <c r="X1938" s="51" t="n">
        <v>0</v>
      </c>
      <c r="Y1938" s="51" t="n">
        <v>0</v>
      </c>
      <c r="Z1938" s="51" t="n">
        <v>0</v>
      </c>
      <c r="AA1938" s="52" t="n">
        <v>0</v>
      </c>
      <c r="AB1938" s="52" t="n">
        <v>0</v>
      </c>
      <c r="AC1938" s="52" t="n">
        <v>0</v>
      </c>
      <c r="AD1938" s="52" t="n">
        <v>0</v>
      </c>
      <c r="AE1938" s="52" t="n">
        <v>0</v>
      </c>
      <c r="AF1938" s="52" t="n">
        <v>0</v>
      </c>
      <c r="AG1938" s="52" t="n">
        <v>0</v>
      </c>
      <c r="AH1938" s="52" t="n">
        <v>0</v>
      </c>
      <c r="AI1938" s="52" t="n">
        <v>0</v>
      </c>
      <c r="AJ1938" s="52" t="n">
        <v>0</v>
      </c>
      <c r="AK1938" s="52" t="n">
        <v>0</v>
      </c>
      <c r="AL1938" s="52" t="n">
        <v>0</v>
      </c>
      <c r="AM1938" s="53" t="n">
        <v>0</v>
      </c>
      <c r="AN1938" s="53" t="n">
        <v>0</v>
      </c>
      <c r="AO1938" s="53" t="n">
        <v>0</v>
      </c>
      <c r="AP1938" s="53" t="n">
        <v>0</v>
      </c>
      <c r="AQ1938" s="52" t="n">
        <v>0</v>
      </c>
      <c r="AR1938" s="52" t="n">
        <v>0</v>
      </c>
      <c r="AS1938" s="52" t="n">
        <v>0</v>
      </c>
      <c r="AT1938" s="52" t="n">
        <v>0</v>
      </c>
      <c r="AU1938" s="53" t="n">
        <v>0</v>
      </c>
      <c r="AV1938" s="53" t="n">
        <v>0</v>
      </c>
      <c r="AW1938" s="53" t="n">
        <v>0</v>
      </c>
      <c r="AX1938" s="53" t="n">
        <v>0</v>
      </c>
      <c r="AY1938" s="52" t="n">
        <v>0</v>
      </c>
      <c r="AZ1938" s="52" t="n">
        <v>0</v>
      </c>
      <c r="BA1938" s="52" t="n">
        <v>0</v>
      </c>
      <c r="BB1938" s="52" t="n">
        <v>0</v>
      </c>
      <c r="BC1938" s="51" t="n">
        <v>0</v>
      </c>
      <c r="BD1938" s="51" t="n">
        <v>0</v>
      </c>
      <c r="BE1938" s="51" t="n">
        <v>0</v>
      </c>
      <c r="BF1938" s="51" t="n">
        <v>0</v>
      </c>
    </row>
    <row r="1939">
      <c r="A1939">
        <f>HYPERLINK("https://www.walmart.com/ip/255344088", "255344088")</f>
        <v/>
      </c>
      <c r="B1939" t="inlineStr">
        <is>
          <t>Tirrinia Insulated 4 Bottle Wine Carrier Tote Cooler Bag for Travel Picnic Padded Champagne Glass Carrying Case Leather</t>
        </is>
      </c>
      <c r="C1939" t="inlineStr">
        <is>
          <t>1WMWB421DBL</t>
        </is>
      </c>
      <c r="D1939" t="inlineStr">
        <is>
          <t>Wine Totes, Bags &amp; Backpacks</t>
        </is>
      </c>
      <c r="E1939" t="inlineStr">
        <is>
          <t>Flyingstar</t>
        </is>
      </c>
      <c r="F1939" t="inlineStr">
        <is>
          <t>Wine,Christmas,Optimized,Valentine</t>
        </is>
      </c>
      <c r="G1939" s="48" t="n">
        <v>0</v>
      </c>
      <c r="H1939" s="48" t="n">
        <v>0</v>
      </c>
      <c r="I1939" s="48" t="n">
        <v>0</v>
      </c>
      <c r="J1939" s="48" t="n">
        <v>19.99</v>
      </c>
      <c r="K1939" s="49" t="n">
        <v>0</v>
      </c>
      <c r="L1939" s="49" t="n">
        <v>0</v>
      </c>
      <c r="M1939" s="49" t="n">
        <v>0</v>
      </c>
      <c r="N1939" s="49" t="n">
        <v>1</v>
      </c>
      <c r="O1939" s="49" t="n">
        <v>0</v>
      </c>
      <c r="P1939" s="49" t="n">
        <v>0</v>
      </c>
      <c r="Q1939" s="49" t="n">
        <v>0</v>
      </c>
      <c r="R1939" s="49" t="n">
        <v>0</v>
      </c>
      <c r="S1939" s="50" t="n">
        <v>0</v>
      </c>
      <c r="T1939" s="50" t="n">
        <v>0</v>
      </c>
      <c r="U1939" s="50" t="n">
        <v>0</v>
      </c>
      <c r="V1939" s="50" t="n">
        <v>0</v>
      </c>
      <c r="W1939" s="51" t="n">
        <v>0</v>
      </c>
      <c r="X1939" s="51" t="n">
        <v>0</v>
      </c>
      <c r="Y1939" s="51" t="n">
        <v>0</v>
      </c>
      <c r="Z1939" s="51" t="n">
        <v>0</v>
      </c>
      <c r="AA1939" s="52" t="n">
        <v>0</v>
      </c>
      <c r="AB1939" s="52" t="n">
        <v>0</v>
      </c>
      <c r="AC1939" s="52" t="n">
        <v>0</v>
      </c>
      <c r="AD1939" s="52" t="n">
        <v>0</v>
      </c>
      <c r="AE1939" s="52" t="n">
        <v>0</v>
      </c>
      <c r="AF1939" s="52" t="n">
        <v>0</v>
      </c>
      <c r="AG1939" s="52" t="n">
        <v>0</v>
      </c>
      <c r="AH1939" s="52" t="n">
        <v>0</v>
      </c>
      <c r="AI1939" s="52" t="n">
        <v>0</v>
      </c>
      <c r="AJ1939" s="52" t="n">
        <v>0</v>
      </c>
      <c r="AK1939" s="52" t="n">
        <v>0</v>
      </c>
      <c r="AL1939" s="52" t="n">
        <v>0</v>
      </c>
      <c r="AM1939" s="53" t="n">
        <v>0</v>
      </c>
      <c r="AN1939" s="53" t="n">
        <v>0</v>
      </c>
      <c r="AO1939" s="53" t="n">
        <v>0</v>
      </c>
      <c r="AP1939" s="53" t="n">
        <v>0</v>
      </c>
      <c r="AQ1939" s="52" t="n">
        <v>0</v>
      </c>
      <c r="AR1939" s="52" t="n">
        <v>0</v>
      </c>
      <c r="AS1939" s="52" t="n">
        <v>0</v>
      </c>
      <c r="AT1939" s="52" t="n">
        <v>0</v>
      </c>
      <c r="AU1939" s="53" t="n">
        <v>0</v>
      </c>
      <c r="AV1939" s="53" t="n">
        <v>0</v>
      </c>
      <c r="AW1939" s="53" t="n">
        <v>0</v>
      </c>
      <c r="AX1939" s="53" t="n">
        <v>0</v>
      </c>
      <c r="AY1939" s="52" t="n">
        <v>0</v>
      </c>
      <c r="AZ1939" s="52" t="n">
        <v>0</v>
      </c>
      <c r="BA1939" s="52" t="n">
        <v>0</v>
      </c>
      <c r="BB1939" s="52" t="n">
        <v>19.99</v>
      </c>
      <c r="BC1939" s="51" t="n">
        <v>0</v>
      </c>
      <c r="BD1939" s="51" t="n">
        <v>0</v>
      </c>
      <c r="BE1939" s="51" t="n">
        <v>0</v>
      </c>
      <c r="BF1939" s="51" t="n">
        <v>0</v>
      </c>
    </row>
    <row r="1940">
      <c r="A1940">
        <f>HYPERLINK("https://www.walmart.com/ip/256633069", "256633069")</f>
        <v/>
      </c>
      <c r="B1940" t="inlineStr">
        <is>
          <t>Two Pieces Double up Tankini Swimsuit for Women Bathing Suits Set by Tirrinia</t>
        </is>
      </c>
      <c r="C1940" t="inlineStr">
        <is>
          <t>1TRSS002BK-M</t>
        </is>
      </c>
      <c r="D1940" t="inlineStr">
        <is>
          <t>Swimsuit Sets</t>
        </is>
      </c>
      <c r="E1940" t="inlineStr">
        <is>
          <t>Tirrinia</t>
        </is>
      </c>
      <c r="G1940" s="48" t="n">
        <v>0</v>
      </c>
      <c r="H1940" s="48" t="n">
        <v>0</v>
      </c>
      <c r="I1940" s="48" t="n">
        <v>0</v>
      </c>
      <c r="J1940" s="48" t="n">
        <v>0</v>
      </c>
      <c r="K1940" s="49" t="n">
        <v>0</v>
      </c>
      <c r="L1940" s="49" t="n">
        <v>0</v>
      </c>
      <c r="M1940" s="49" t="n">
        <v>0</v>
      </c>
      <c r="N1940" s="49" t="n">
        <v>0</v>
      </c>
      <c r="O1940" s="49" t="n">
        <v>0</v>
      </c>
      <c r="P1940" s="49" t="n">
        <v>0</v>
      </c>
      <c r="Q1940" s="49" t="n">
        <v>0</v>
      </c>
      <c r="R1940" s="49" t="n">
        <v>0</v>
      </c>
      <c r="S1940" s="50" t="n">
        <v>0</v>
      </c>
      <c r="T1940" s="50" t="n">
        <v>0</v>
      </c>
      <c r="U1940" s="50" t="n">
        <v>0</v>
      </c>
      <c r="V1940" s="50" t="n">
        <v>0</v>
      </c>
      <c r="W1940" s="51" t="n">
        <v>0</v>
      </c>
      <c r="X1940" s="51" t="n">
        <v>0</v>
      </c>
      <c r="Y1940" s="51" t="n">
        <v>0</v>
      </c>
      <c r="Z1940" s="51" t="n">
        <v>0</v>
      </c>
      <c r="AA1940" s="52" t="n">
        <v>0</v>
      </c>
      <c r="AB1940" s="52" t="n">
        <v>0</v>
      </c>
      <c r="AC1940" s="52" t="n">
        <v>0</v>
      </c>
      <c r="AD1940" s="52" t="n">
        <v>0</v>
      </c>
      <c r="AE1940" s="52" t="n">
        <v>0</v>
      </c>
      <c r="AF1940" s="52" t="n">
        <v>0</v>
      </c>
      <c r="AG1940" s="52" t="n">
        <v>0</v>
      </c>
      <c r="AH1940" s="52" t="n">
        <v>0</v>
      </c>
      <c r="AI1940" s="52" t="n">
        <v>0</v>
      </c>
      <c r="AJ1940" s="52" t="n">
        <v>0</v>
      </c>
      <c r="AK1940" s="52" t="n">
        <v>0</v>
      </c>
      <c r="AL1940" s="52" t="n">
        <v>0</v>
      </c>
      <c r="AM1940" s="53" t="n">
        <v>0</v>
      </c>
      <c r="AN1940" s="53" t="n">
        <v>0</v>
      </c>
      <c r="AO1940" s="53" t="n">
        <v>0</v>
      </c>
      <c r="AP1940" s="53" t="n">
        <v>0</v>
      </c>
      <c r="AQ1940" s="52" t="n">
        <v>0</v>
      </c>
      <c r="AR1940" s="52" t="n">
        <v>0</v>
      </c>
      <c r="AS1940" s="52" t="n">
        <v>0</v>
      </c>
      <c r="AT1940" s="52" t="n">
        <v>0</v>
      </c>
      <c r="AU1940" s="53" t="n">
        <v>0</v>
      </c>
      <c r="AV1940" s="53" t="n">
        <v>0</v>
      </c>
      <c r="AW1940" s="53" t="n">
        <v>0</v>
      </c>
      <c r="AX1940" s="53" t="n">
        <v>0</v>
      </c>
      <c r="AY1940" s="52" t="n">
        <v>0</v>
      </c>
      <c r="AZ1940" s="52" t="n">
        <v>0</v>
      </c>
      <c r="BA1940" s="52" t="n">
        <v>0</v>
      </c>
      <c r="BB1940" s="52" t="n">
        <v>0</v>
      </c>
      <c r="BC1940" s="51" t="n">
        <v>0</v>
      </c>
      <c r="BD1940" s="51" t="n">
        <v>0</v>
      </c>
      <c r="BE1940" s="51" t="n">
        <v>0</v>
      </c>
      <c r="BF1940" s="51" t="n">
        <v>0</v>
      </c>
    </row>
    <row r="1941">
      <c r="A1941">
        <f>HYPERLINK("https://www.walmart.com/ip/258019827", "258019827")</f>
        <v/>
      </c>
      <c r="B1941" t="inlineStr">
        <is>
          <t>Summer Outdoor UV Protection Sun Hats Unisex Caps Wide Brim Removable Crown Mesh Net Adjustable Drawstring</t>
        </is>
      </c>
      <c r="C1941" t="inlineStr">
        <is>
          <t>1SLSH895OL</t>
        </is>
      </c>
      <c r="D1941" t="inlineStr">
        <is>
          <t>Hats</t>
        </is>
      </c>
      <c r="E1941" t="inlineStr">
        <is>
          <t>Solaris</t>
        </is>
      </c>
      <c r="F1941" t="inlineStr">
        <is>
          <t>Optimized</t>
        </is>
      </c>
      <c r="G1941" s="48" t="n">
        <v>0</v>
      </c>
      <c r="H1941" s="48" t="n">
        <v>0</v>
      </c>
      <c r="I1941" s="48" t="n">
        <v>0</v>
      </c>
      <c r="J1941" s="48" t="n">
        <v>0</v>
      </c>
      <c r="K1941" s="49" t="n">
        <v>0</v>
      </c>
      <c r="L1941" s="49" t="n">
        <v>0</v>
      </c>
      <c r="M1941" s="49" t="n">
        <v>0</v>
      </c>
      <c r="N1941" s="49" t="n">
        <v>0</v>
      </c>
      <c r="O1941" s="49" t="n">
        <v>0</v>
      </c>
      <c r="P1941" s="49" t="n">
        <v>0</v>
      </c>
      <c r="Q1941" s="49" t="n">
        <v>0</v>
      </c>
      <c r="R1941" s="49" t="n">
        <v>0</v>
      </c>
      <c r="S1941" s="50" t="n">
        <v>0</v>
      </c>
      <c r="T1941" s="50" t="n">
        <v>0</v>
      </c>
      <c r="U1941" s="50" t="n">
        <v>0</v>
      </c>
      <c r="V1941" s="50" t="n">
        <v>0</v>
      </c>
      <c r="W1941" s="51" t="n">
        <v>0</v>
      </c>
      <c r="X1941" s="51" t="n">
        <v>0</v>
      </c>
      <c r="Y1941" s="51" t="n">
        <v>0</v>
      </c>
      <c r="Z1941" s="51" t="n">
        <v>0</v>
      </c>
      <c r="AA1941" s="52" t="n">
        <v>0</v>
      </c>
      <c r="AB1941" s="52" t="n">
        <v>0</v>
      </c>
      <c r="AC1941" s="52" t="n">
        <v>0</v>
      </c>
      <c r="AD1941" s="52" t="n">
        <v>0</v>
      </c>
      <c r="AE1941" s="52" t="n">
        <v>0</v>
      </c>
      <c r="AF1941" s="52" t="n">
        <v>0</v>
      </c>
      <c r="AG1941" s="52" t="n">
        <v>0</v>
      </c>
      <c r="AH1941" s="52" t="n">
        <v>0</v>
      </c>
      <c r="AI1941" s="52" t="n">
        <v>0</v>
      </c>
      <c r="AJ1941" s="52" t="n">
        <v>0</v>
      </c>
      <c r="AK1941" s="52" t="n">
        <v>0</v>
      </c>
      <c r="AL1941" s="52" t="n">
        <v>0</v>
      </c>
      <c r="AM1941" s="53" t="n">
        <v>0</v>
      </c>
      <c r="AN1941" s="53" t="n">
        <v>0</v>
      </c>
      <c r="AO1941" s="53" t="n">
        <v>0</v>
      </c>
      <c r="AP1941" s="53" t="n">
        <v>0</v>
      </c>
      <c r="AQ1941" s="52" t="n">
        <v>0</v>
      </c>
      <c r="AR1941" s="52" t="n">
        <v>0</v>
      </c>
      <c r="AS1941" s="52" t="n">
        <v>0</v>
      </c>
      <c r="AT1941" s="52" t="n">
        <v>0</v>
      </c>
      <c r="AU1941" s="53" t="n">
        <v>0</v>
      </c>
      <c r="AV1941" s="53" t="n">
        <v>0</v>
      </c>
      <c r="AW1941" s="53" t="n">
        <v>0</v>
      </c>
      <c r="AX1941" s="53" t="n">
        <v>0</v>
      </c>
      <c r="AY1941" s="52" t="n">
        <v>0</v>
      </c>
      <c r="AZ1941" s="52" t="n">
        <v>0</v>
      </c>
      <c r="BA1941" s="52" t="n">
        <v>0</v>
      </c>
      <c r="BB1941" s="52" t="n">
        <v>0</v>
      </c>
      <c r="BC1941" s="51" t="n">
        <v>0</v>
      </c>
      <c r="BD1941" s="51" t="n">
        <v>0</v>
      </c>
      <c r="BE1941" s="51" t="n">
        <v>0</v>
      </c>
      <c r="BF1941" s="51" t="n">
        <v>0</v>
      </c>
    </row>
    <row r="1942">
      <c r="A1942">
        <f>HYPERLINK("https://www.walmart.com/ip/258874782", "258874782")</f>
        <v/>
      </c>
      <c r="B1942" t="inlineStr">
        <is>
          <t>Waterproof Picnic Blanket Outdoor</t>
        </is>
      </c>
      <c r="C1942" t="inlineStr">
        <is>
          <t>1WMBW781USA</t>
        </is>
      </c>
      <c r="D1942" t="inlineStr">
        <is>
          <t>Picnic Blankets &amp; Mats</t>
        </is>
      </c>
      <c r="E1942" t="inlineStr">
        <is>
          <t>Flyingstar</t>
        </is>
      </c>
      <c r="F1942" t="inlineStr">
        <is>
          <t>Batch 1 - TR</t>
        </is>
      </c>
      <c r="G1942" s="48" t="n">
        <v>0</v>
      </c>
      <c r="H1942" s="48" t="n">
        <v>0</v>
      </c>
      <c r="I1942" s="48" t="n">
        <v>0</v>
      </c>
      <c r="J1942" s="48" t="n">
        <v>0</v>
      </c>
      <c r="K1942" s="49" t="n">
        <v>0</v>
      </c>
      <c r="L1942" s="49" t="n">
        <v>0</v>
      </c>
      <c r="M1942" s="49" t="n">
        <v>0</v>
      </c>
      <c r="N1942" s="49" t="n">
        <v>0</v>
      </c>
      <c r="O1942" s="49" t="n">
        <v>0</v>
      </c>
      <c r="P1942" s="49" t="n">
        <v>0</v>
      </c>
      <c r="Q1942" s="49" t="n">
        <v>0</v>
      </c>
      <c r="R1942" s="49" t="n">
        <v>0</v>
      </c>
      <c r="S1942" s="50" t="n">
        <v>0</v>
      </c>
      <c r="T1942" s="50" t="n">
        <v>0</v>
      </c>
      <c r="U1942" s="50" t="n">
        <v>0</v>
      </c>
      <c r="V1942" s="50" t="n">
        <v>0</v>
      </c>
      <c r="W1942" s="51" t="n">
        <v>0</v>
      </c>
      <c r="X1942" s="51" t="n">
        <v>0</v>
      </c>
      <c r="Y1942" s="51" t="n">
        <v>0</v>
      </c>
      <c r="Z1942" s="51" t="n">
        <v>0</v>
      </c>
      <c r="AA1942" s="52" t="n">
        <v>0</v>
      </c>
      <c r="AB1942" s="52" t="n">
        <v>0</v>
      </c>
      <c r="AC1942" s="52" t="n">
        <v>0</v>
      </c>
      <c r="AD1942" s="52" t="n">
        <v>0</v>
      </c>
      <c r="AE1942" s="52" t="n">
        <v>0</v>
      </c>
      <c r="AF1942" s="52" t="n">
        <v>0</v>
      </c>
      <c r="AG1942" s="52" t="n">
        <v>0</v>
      </c>
      <c r="AH1942" s="52" t="n">
        <v>0</v>
      </c>
      <c r="AI1942" s="52" t="n">
        <v>0</v>
      </c>
      <c r="AJ1942" s="52" t="n">
        <v>0</v>
      </c>
      <c r="AK1942" s="52" t="n">
        <v>0</v>
      </c>
      <c r="AL1942" s="52" t="n">
        <v>0</v>
      </c>
      <c r="AM1942" s="53" t="n">
        <v>0</v>
      </c>
      <c r="AN1942" s="53" t="n">
        <v>0</v>
      </c>
      <c r="AO1942" s="53" t="n">
        <v>0</v>
      </c>
      <c r="AP1942" s="53" t="n">
        <v>0</v>
      </c>
      <c r="AQ1942" s="52" t="n">
        <v>0</v>
      </c>
      <c r="AR1942" s="52" t="n">
        <v>0</v>
      </c>
      <c r="AS1942" s="52" t="n">
        <v>0</v>
      </c>
      <c r="AT1942" s="52" t="n">
        <v>0</v>
      </c>
      <c r="AU1942" s="53" t="n">
        <v>0</v>
      </c>
      <c r="AV1942" s="53" t="n">
        <v>0</v>
      </c>
      <c r="AW1942" s="53" t="n">
        <v>0</v>
      </c>
      <c r="AX1942" s="53" t="n">
        <v>0</v>
      </c>
      <c r="AY1942" s="52" t="n">
        <v>0</v>
      </c>
      <c r="AZ1942" s="52" t="n">
        <v>0</v>
      </c>
      <c r="BA1942" s="52" t="n">
        <v>0</v>
      </c>
      <c r="BB1942" s="52" t="n">
        <v>0</v>
      </c>
      <c r="BC1942" s="51" t="n">
        <v>0</v>
      </c>
      <c r="BD1942" s="51" t="n">
        <v>0</v>
      </c>
      <c r="BE1942" s="51" t="n">
        <v>0</v>
      </c>
      <c r="BF1942" s="51" t="n">
        <v>0</v>
      </c>
    </row>
    <row r="1943">
      <c r="A1943">
        <f>HYPERLINK("https://www.walmart.com/ip/2590334744", "2590334744")</f>
        <v/>
      </c>
      <c r="B1943" t="inlineStr">
        <is>
          <t>Outdoor Wide Brim Sun Hats Blocking UV Protection Cap UPF 50+ Foldable Mesh Net for Finishing, Hiking, Camping by Solari</t>
        </is>
      </c>
      <c r="C1943" t="inlineStr">
        <is>
          <t>1SLSH912GY</t>
        </is>
      </c>
      <c r="D1943" t="inlineStr">
        <is>
          <t>Hats</t>
        </is>
      </c>
      <c r="E1943" t="inlineStr">
        <is>
          <t>Solaris</t>
        </is>
      </c>
      <c r="F1943" t="inlineStr">
        <is>
          <t>Hats</t>
        </is>
      </c>
      <c r="G1943" s="48" t="n">
        <v>0</v>
      </c>
      <c r="H1943" s="48" t="n">
        <v>16.99</v>
      </c>
      <c r="I1943" s="48" t="n">
        <v>16.99</v>
      </c>
      <c r="J1943" s="48" t="n">
        <v>0</v>
      </c>
      <c r="K1943" s="49" t="n">
        <v>0</v>
      </c>
      <c r="L1943" s="49" t="n">
        <v>1</v>
      </c>
      <c r="M1943" s="49" t="n">
        <v>1</v>
      </c>
      <c r="N1943" s="49" t="n">
        <v>0</v>
      </c>
      <c r="O1943" s="49" t="n">
        <v>0</v>
      </c>
      <c r="P1943" s="49" t="n">
        <v>0</v>
      </c>
      <c r="Q1943" s="49" t="n">
        <v>0</v>
      </c>
      <c r="R1943" s="49" t="n">
        <v>0</v>
      </c>
      <c r="S1943" s="50" t="n">
        <v>0</v>
      </c>
      <c r="T1943" s="50" t="n">
        <v>0</v>
      </c>
      <c r="U1943" s="50" t="n">
        <v>0</v>
      </c>
      <c r="V1943" s="50" t="n">
        <v>0</v>
      </c>
      <c r="W1943" s="51" t="n">
        <v>0</v>
      </c>
      <c r="X1943" s="51" t="n">
        <v>0</v>
      </c>
      <c r="Y1943" s="51" t="n">
        <v>0</v>
      </c>
      <c r="Z1943" s="51" t="n">
        <v>0</v>
      </c>
      <c r="AA1943" s="52" t="n">
        <v>0</v>
      </c>
      <c r="AB1943" s="52" t="n">
        <v>0</v>
      </c>
      <c r="AC1943" s="52" t="n">
        <v>0</v>
      </c>
      <c r="AD1943" s="52" t="n">
        <v>0</v>
      </c>
      <c r="AE1943" s="52" t="n">
        <v>0</v>
      </c>
      <c r="AF1943" s="52" t="n">
        <v>0</v>
      </c>
      <c r="AG1943" s="52" t="n">
        <v>0</v>
      </c>
      <c r="AH1943" s="52" t="n">
        <v>0</v>
      </c>
      <c r="AI1943" s="52" t="n">
        <v>0</v>
      </c>
      <c r="AJ1943" s="52" t="n">
        <v>0</v>
      </c>
      <c r="AK1943" s="52" t="n">
        <v>0</v>
      </c>
      <c r="AL1943" s="52" t="n">
        <v>0</v>
      </c>
      <c r="AM1943" s="53" t="n">
        <v>0</v>
      </c>
      <c r="AN1943" s="53" t="n">
        <v>0</v>
      </c>
      <c r="AO1943" s="53" t="n">
        <v>0</v>
      </c>
      <c r="AP1943" s="53" t="n">
        <v>0</v>
      </c>
      <c r="AQ1943" s="52" t="n">
        <v>0</v>
      </c>
      <c r="AR1943" s="52" t="n">
        <v>0</v>
      </c>
      <c r="AS1943" s="52" t="n">
        <v>0</v>
      </c>
      <c r="AT1943" s="52" t="n">
        <v>0</v>
      </c>
      <c r="AU1943" s="53" t="n">
        <v>0</v>
      </c>
      <c r="AV1943" s="53" t="n">
        <v>0</v>
      </c>
      <c r="AW1943" s="53" t="n">
        <v>0</v>
      </c>
      <c r="AX1943" s="53" t="n">
        <v>0</v>
      </c>
      <c r="AY1943" s="52" t="n">
        <v>0</v>
      </c>
      <c r="AZ1943" s="52" t="n">
        <v>16.99</v>
      </c>
      <c r="BA1943" s="52" t="n">
        <v>16.99</v>
      </c>
      <c r="BB1943" s="52" t="n">
        <v>0</v>
      </c>
      <c r="BC1943" s="51" t="n">
        <v>0</v>
      </c>
      <c r="BD1943" s="51" t="n">
        <v>0</v>
      </c>
      <c r="BE1943" s="51" t="n">
        <v>0</v>
      </c>
      <c r="BF1943" s="51" t="n">
        <v>0</v>
      </c>
    </row>
    <row r="1944">
      <c r="A1944">
        <f>HYPERLINK("https://www.walmart.com/ip/2590935500", "2590935500")</f>
        <v/>
      </c>
      <c r="B1944" t="inlineStr">
        <is>
          <t>Tirrinia Lunch Bags for Women Men, Cute Insulated Lunch Tote Bag for Girls, Fashionable Lunch Box for Adult Kids, Reusable Large Cooler Lunch Bag for School, Work, Office, Picnic | Blue Leaf</t>
        </is>
      </c>
      <c r="C1944" t="inlineStr">
        <is>
          <t>1WMLB707AQLEA</t>
        </is>
      </c>
      <c r="D1944" t="inlineStr">
        <is>
          <t>Reusable Lunch Bags &amp; Boxes</t>
        </is>
      </c>
      <c r="E1944" t="inlineStr">
        <is>
          <t>Tirrinia</t>
        </is>
      </c>
      <c r="F1944" t="inlineStr">
        <is>
          <t>Q2-Target</t>
        </is>
      </c>
      <c r="G1944" s="48" t="n">
        <v>0</v>
      </c>
      <c r="H1944" s="48" t="n">
        <v>0</v>
      </c>
      <c r="I1944" s="48" t="n">
        <v>0</v>
      </c>
      <c r="J1944" s="48" t="n">
        <v>9.99</v>
      </c>
      <c r="K1944" s="49" t="n">
        <v>0</v>
      </c>
      <c r="L1944" s="49" t="n">
        <v>0</v>
      </c>
      <c r="M1944" s="49" t="n">
        <v>0</v>
      </c>
      <c r="N1944" s="49" t="n">
        <v>1</v>
      </c>
      <c r="O1944" s="49" t="n">
        <v>13</v>
      </c>
      <c r="P1944" s="49" t="n">
        <v>1</v>
      </c>
      <c r="Q1944" s="49" t="n">
        <v>3</v>
      </c>
      <c r="R1944" s="49" t="n">
        <v>5</v>
      </c>
      <c r="S1944" s="50" t="n">
        <v>0</v>
      </c>
      <c r="T1944" s="50" t="n">
        <v>0</v>
      </c>
      <c r="U1944" s="50" t="n">
        <v>0</v>
      </c>
      <c r="V1944" s="50" t="n">
        <v>0.2</v>
      </c>
      <c r="W1944" s="51" t="n">
        <v>0</v>
      </c>
      <c r="X1944" s="51" t="n">
        <v>0</v>
      </c>
      <c r="Y1944" s="51" t="n">
        <v>0</v>
      </c>
      <c r="Z1944" s="51" t="n">
        <v>0</v>
      </c>
      <c r="AA1944" s="52" t="n">
        <v>0</v>
      </c>
      <c r="AB1944" s="52" t="n">
        <v>0</v>
      </c>
      <c r="AC1944" s="52" t="n">
        <v>0</v>
      </c>
      <c r="AD1944" s="52" t="n">
        <v>0</v>
      </c>
      <c r="AE1944" s="52" t="n">
        <v>0</v>
      </c>
      <c r="AF1944" s="52" t="n">
        <v>0</v>
      </c>
      <c r="AG1944" s="52" t="n">
        <v>0</v>
      </c>
      <c r="AH1944" s="52" t="n">
        <v>0</v>
      </c>
      <c r="AI1944" s="52" t="n">
        <v>0</v>
      </c>
      <c r="AJ1944" s="52" t="n">
        <v>0</v>
      </c>
      <c r="AK1944" s="52" t="n">
        <v>0</v>
      </c>
      <c r="AL1944" s="52" t="n">
        <v>0</v>
      </c>
      <c r="AM1944" s="53" t="n">
        <v>0</v>
      </c>
      <c r="AN1944" s="53" t="n">
        <v>0</v>
      </c>
      <c r="AO1944" s="53" t="n">
        <v>0</v>
      </c>
      <c r="AP1944" s="53" t="n">
        <v>0</v>
      </c>
      <c r="AQ1944" s="52" t="n">
        <v>0</v>
      </c>
      <c r="AR1944" s="52" t="n">
        <v>0</v>
      </c>
      <c r="AS1944" s="52" t="n">
        <v>0</v>
      </c>
      <c r="AT1944" s="52" t="n">
        <v>0</v>
      </c>
      <c r="AU1944" s="53" t="n">
        <v>0</v>
      </c>
      <c r="AV1944" s="53" t="n">
        <v>0</v>
      </c>
      <c r="AW1944" s="53" t="n">
        <v>0</v>
      </c>
      <c r="AX1944" s="53" t="n">
        <v>0</v>
      </c>
      <c r="AY1944" s="52" t="n">
        <v>0</v>
      </c>
      <c r="AZ1944" s="52" t="n">
        <v>0</v>
      </c>
      <c r="BA1944" s="52" t="n">
        <v>0</v>
      </c>
      <c r="BB1944" s="52" t="n">
        <v>9.99</v>
      </c>
      <c r="BC1944" s="51" t="n">
        <v>0</v>
      </c>
      <c r="BD1944" s="51" t="n">
        <v>0</v>
      </c>
      <c r="BE1944" s="51" t="n">
        <v>0</v>
      </c>
      <c r="BF1944" s="51" t="n">
        <v>0</v>
      </c>
    </row>
    <row r="1945">
      <c r="A1945">
        <f>HYPERLINK("https://www.walmart.com/ip/259369134", "259369134")</f>
        <v/>
      </c>
      <c r="B1945" t="inlineStr">
        <is>
          <t>Tirrinia Insulated 2 Bottle Wine Carrier Tote Cooler Bag for Travel Picnic Padded Champagne Glass Carrying Case</t>
        </is>
      </c>
      <c r="C1945" t="inlineStr">
        <is>
          <t>1WMWB220STR</t>
        </is>
      </c>
      <c r="D1945" t="inlineStr">
        <is>
          <t>Wine Totes, Bags &amp; Backpacks</t>
        </is>
      </c>
      <c r="E1945" t="inlineStr">
        <is>
          <t>Flyingstar</t>
        </is>
      </c>
      <c r="F1945" t="inlineStr">
        <is>
          <t>Wine,Christmas,Valentine</t>
        </is>
      </c>
      <c r="G1945" s="48" t="n">
        <v>0</v>
      </c>
      <c r="H1945" s="48" t="n">
        <v>0</v>
      </c>
      <c r="I1945" s="48" t="n">
        <v>0</v>
      </c>
      <c r="J1945" s="48" t="n">
        <v>0</v>
      </c>
      <c r="K1945" s="49" t="n">
        <v>0</v>
      </c>
      <c r="L1945" s="49" t="n">
        <v>0</v>
      </c>
      <c r="M1945" s="49" t="n">
        <v>0</v>
      </c>
      <c r="N1945" s="49" t="n">
        <v>0</v>
      </c>
      <c r="O1945" s="49" t="n">
        <v>0</v>
      </c>
      <c r="P1945" s="49" t="n">
        <v>0</v>
      </c>
      <c r="Q1945" s="49" t="n">
        <v>0</v>
      </c>
      <c r="R1945" s="49" t="n">
        <v>0</v>
      </c>
      <c r="S1945" s="50" t="n">
        <v>0</v>
      </c>
      <c r="T1945" s="50" t="n">
        <v>0</v>
      </c>
      <c r="U1945" s="50" t="n">
        <v>0</v>
      </c>
      <c r="V1945" s="50" t="n">
        <v>0</v>
      </c>
      <c r="W1945" s="51" t="n">
        <v>0</v>
      </c>
      <c r="X1945" s="51" t="n">
        <v>0</v>
      </c>
      <c r="Y1945" s="51" t="n">
        <v>0</v>
      </c>
      <c r="Z1945" s="51" t="n">
        <v>0</v>
      </c>
      <c r="AA1945" s="52" t="n">
        <v>0</v>
      </c>
      <c r="AB1945" s="52" t="n">
        <v>0</v>
      </c>
      <c r="AC1945" s="52" t="n">
        <v>0</v>
      </c>
      <c r="AD1945" s="52" t="n">
        <v>0</v>
      </c>
      <c r="AE1945" s="52" t="n">
        <v>0</v>
      </c>
      <c r="AF1945" s="52" t="n">
        <v>0</v>
      </c>
      <c r="AG1945" s="52" t="n">
        <v>0</v>
      </c>
      <c r="AH1945" s="52" t="n">
        <v>0</v>
      </c>
      <c r="AI1945" s="52" t="n">
        <v>0</v>
      </c>
      <c r="AJ1945" s="52" t="n">
        <v>0</v>
      </c>
      <c r="AK1945" s="52" t="n">
        <v>0</v>
      </c>
      <c r="AL1945" s="52" t="n">
        <v>0</v>
      </c>
      <c r="AM1945" s="53" t="n">
        <v>0</v>
      </c>
      <c r="AN1945" s="53" t="n">
        <v>0</v>
      </c>
      <c r="AO1945" s="53" t="n">
        <v>0</v>
      </c>
      <c r="AP1945" s="53" t="n">
        <v>0</v>
      </c>
      <c r="AQ1945" s="52" t="n">
        <v>0</v>
      </c>
      <c r="AR1945" s="52" t="n">
        <v>0</v>
      </c>
      <c r="AS1945" s="52" t="n">
        <v>0</v>
      </c>
      <c r="AT1945" s="52" t="n">
        <v>0</v>
      </c>
      <c r="AU1945" s="53" t="n">
        <v>0</v>
      </c>
      <c r="AV1945" s="53" t="n">
        <v>0</v>
      </c>
      <c r="AW1945" s="53" t="n">
        <v>0</v>
      </c>
      <c r="AX1945" s="53" t="n">
        <v>0</v>
      </c>
      <c r="AY1945" s="52" t="n">
        <v>0</v>
      </c>
      <c r="AZ1945" s="52" t="n">
        <v>0</v>
      </c>
      <c r="BA1945" s="52" t="n">
        <v>0</v>
      </c>
      <c r="BB1945" s="52" t="n">
        <v>0</v>
      </c>
      <c r="BC1945" s="51" t="n">
        <v>0</v>
      </c>
      <c r="BD1945" s="51" t="n">
        <v>0</v>
      </c>
      <c r="BE1945" s="51" t="n">
        <v>0</v>
      </c>
      <c r="BF1945" s="51" t="n">
        <v>0</v>
      </c>
    </row>
    <row r="1946">
      <c r="A1946">
        <f>HYPERLINK("https://www.walmart.com/ip/259966807", "259966807")</f>
        <v/>
      </c>
      <c r="B1946" s="5" t="inlineStr">
        <is>
          <t>https://www.walmart.com/ip/Long-Kinky-Curly-Wig-Lace-Front-Synthetic-Fiber-Deep-Wave-Afro-Hair-Replacement-Wig-19-Inch/259966807</t>
        </is>
      </c>
      <c r="C1946" t="inlineStr">
        <is>
          <t>1CTWIG001-1-ESCB</t>
        </is>
      </c>
      <c r="G1946" s="48" t="n">
        <v>0</v>
      </c>
      <c r="H1946" s="48" t="n">
        <v>0</v>
      </c>
      <c r="I1946" s="48" t="n">
        <v>0</v>
      </c>
      <c r="J1946" s="48" t="n">
        <v>0</v>
      </c>
      <c r="K1946" s="49" t="n">
        <v>0</v>
      </c>
      <c r="L1946" s="49" t="n">
        <v>0</v>
      </c>
      <c r="M1946" s="49" t="n">
        <v>0</v>
      </c>
      <c r="N1946" s="49" t="n">
        <v>0</v>
      </c>
      <c r="O1946" s="49" t="n">
        <v>0</v>
      </c>
      <c r="P1946" s="49" t="n">
        <v>0</v>
      </c>
      <c r="Q1946" s="49" t="n">
        <v>0</v>
      </c>
      <c r="R1946" s="49" t="n">
        <v>0</v>
      </c>
      <c r="S1946" s="50" t="n">
        <v>0</v>
      </c>
      <c r="T1946" s="50" t="n">
        <v>0</v>
      </c>
      <c r="U1946" s="50" t="n">
        <v>0</v>
      </c>
      <c r="V1946" s="50" t="n">
        <v>0</v>
      </c>
      <c r="W1946" s="51" t="n">
        <v>0</v>
      </c>
      <c r="X1946" s="51" t="n">
        <v>0</v>
      </c>
      <c r="Y1946" s="51" t="n">
        <v>0</v>
      </c>
      <c r="Z1946" s="51" t="n">
        <v>0</v>
      </c>
      <c r="AA1946" s="52" t="n">
        <v>0</v>
      </c>
      <c r="AB1946" s="52" t="n">
        <v>0</v>
      </c>
      <c r="AC1946" s="52" t="n">
        <v>0</v>
      </c>
      <c r="AD1946" s="52" t="n">
        <v>0</v>
      </c>
      <c r="AE1946" s="52" t="n">
        <v>0</v>
      </c>
      <c r="AF1946" s="52" t="n">
        <v>0</v>
      </c>
      <c r="AG1946" s="52" t="n">
        <v>0</v>
      </c>
      <c r="AH1946" s="52" t="n">
        <v>0</v>
      </c>
      <c r="AI1946" s="52" t="n">
        <v>0</v>
      </c>
      <c r="AJ1946" s="52" t="n">
        <v>0</v>
      </c>
      <c r="AK1946" s="52" t="n">
        <v>0</v>
      </c>
      <c r="AL1946" s="52" t="n">
        <v>0</v>
      </c>
      <c r="AM1946" s="53" t="n">
        <v>0</v>
      </c>
      <c r="AN1946" s="53" t="n">
        <v>0</v>
      </c>
      <c r="AO1946" s="53" t="n">
        <v>0</v>
      </c>
      <c r="AP1946" s="53" t="n">
        <v>0</v>
      </c>
      <c r="AQ1946" s="52" t="n">
        <v>0</v>
      </c>
      <c r="AR1946" s="52" t="n">
        <v>0</v>
      </c>
      <c r="AS1946" s="52" t="n">
        <v>0</v>
      </c>
      <c r="AT1946" s="52" t="n">
        <v>0</v>
      </c>
      <c r="AU1946" s="53" t="n">
        <v>0</v>
      </c>
      <c r="AV1946" s="53" t="n">
        <v>0</v>
      </c>
      <c r="AW1946" s="53" t="n">
        <v>0</v>
      </c>
      <c r="AX1946" s="53" t="n">
        <v>0</v>
      </c>
      <c r="AY1946" s="52" t="n">
        <v>0</v>
      </c>
      <c r="AZ1946" s="52" t="n">
        <v>0</v>
      </c>
      <c r="BA1946" s="52" t="n">
        <v>0</v>
      </c>
      <c r="BB1946" s="52" t="n">
        <v>0</v>
      </c>
      <c r="BC1946" s="51" t="n">
        <v>0</v>
      </c>
      <c r="BD1946" s="51" t="n">
        <v>0</v>
      </c>
      <c r="BE1946" s="51" t="n">
        <v>0</v>
      </c>
      <c r="BF1946" s="51" t="n">
        <v>0</v>
      </c>
    </row>
    <row r="1947">
      <c r="A1947">
        <f>HYPERLINK("https://www.walmart.com/ip/2600562481", "2600562481")</f>
        <v/>
      </c>
      <c r="B1947" t="inlineStr">
        <is>
          <t>Tirrinia Lunch Bag for Women, Cute Insulated Lunch Tote Bag for Girls, Fashionable Lunch Box for Adults and Kids, Reusable Large Cooler Lunch Bag for School, Work, Office, Picnic, Blue Stripe</t>
        </is>
      </c>
      <c r="C1947" t="inlineStr">
        <is>
          <t>1WMLB707BLSTR</t>
        </is>
      </c>
      <c r="D1947" t="inlineStr">
        <is>
          <t>Reusable Lunch Bags &amp; Boxes</t>
        </is>
      </c>
      <c r="E1947" t="inlineStr">
        <is>
          <t>Tirrinia</t>
        </is>
      </c>
      <c r="F1947" t="inlineStr">
        <is>
          <t>Q2-Target,Brand Camp VD</t>
        </is>
      </c>
      <c r="G1947" s="48" t="n">
        <v>0</v>
      </c>
      <c r="H1947" s="48" t="n">
        <v>0</v>
      </c>
      <c r="I1947" s="48" t="n">
        <v>0</v>
      </c>
      <c r="J1947" s="48" t="n">
        <v>0</v>
      </c>
      <c r="K1947" s="49" t="n">
        <v>0</v>
      </c>
      <c r="L1947" s="49" t="n">
        <v>0</v>
      </c>
      <c r="M1947" s="49" t="n">
        <v>0</v>
      </c>
      <c r="N1947" s="49" t="n">
        <v>0</v>
      </c>
      <c r="O1947" s="49" t="n">
        <v>0</v>
      </c>
      <c r="P1947" s="49" t="n">
        <v>0</v>
      </c>
      <c r="Q1947" s="49" t="n">
        <v>0</v>
      </c>
      <c r="R1947" s="49" t="n">
        <v>0</v>
      </c>
      <c r="S1947" s="50" t="n">
        <v>0</v>
      </c>
      <c r="T1947" s="50" t="n">
        <v>0</v>
      </c>
      <c r="U1947" s="50" t="n">
        <v>0</v>
      </c>
      <c r="V1947" s="50" t="n">
        <v>0</v>
      </c>
      <c r="W1947" s="51" t="n">
        <v>0</v>
      </c>
      <c r="X1947" s="51" t="n">
        <v>0</v>
      </c>
      <c r="Y1947" s="51" t="n">
        <v>0</v>
      </c>
      <c r="Z1947" s="51" t="n">
        <v>0</v>
      </c>
      <c r="AA1947" s="52" t="n">
        <v>0</v>
      </c>
      <c r="AB1947" s="52" t="n">
        <v>0</v>
      </c>
      <c r="AC1947" s="52" t="n">
        <v>0</v>
      </c>
      <c r="AD1947" s="52" t="n">
        <v>0</v>
      </c>
      <c r="AE1947" s="52" t="n">
        <v>0</v>
      </c>
      <c r="AF1947" s="52" t="n">
        <v>0</v>
      </c>
      <c r="AG1947" s="52" t="n">
        <v>0</v>
      </c>
      <c r="AH1947" s="52" t="n">
        <v>0</v>
      </c>
      <c r="AI1947" s="52" t="n">
        <v>0</v>
      </c>
      <c r="AJ1947" s="52" t="n">
        <v>0</v>
      </c>
      <c r="AK1947" s="52" t="n">
        <v>0</v>
      </c>
      <c r="AL1947" s="52" t="n">
        <v>0</v>
      </c>
      <c r="AM1947" s="53" t="n">
        <v>0</v>
      </c>
      <c r="AN1947" s="53" t="n">
        <v>0</v>
      </c>
      <c r="AO1947" s="53" t="n">
        <v>0</v>
      </c>
      <c r="AP1947" s="53" t="n">
        <v>0</v>
      </c>
      <c r="AQ1947" s="52" t="n">
        <v>0</v>
      </c>
      <c r="AR1947" s="52" t="n">
        <v>0</v>
      </c>
      <c r="AS1947" s="52" t="n">
        <v>0</v>
      </c>
      <c r="AT1947" s="52" t="n">
        <v>0</v>
      </c>
      <c r="AU1947" s="53" t="n">
        <v>0</v>
      </c>
      <c r="AV1947" s="53" t="n">
        <v>0</v>
      </c>
      <c r="AW1947" s="53" t="n">
        <v>0</v>
      </c>
      <c r="AX1947" s="53" t="n">
        <v>0</v>
      </c>
      <c r="AY1947" s="52" t="n">
        <v>0</v>
      </c>
      <c r="AZ1947" s="52" t="n">
        <v>0</v>
      </c>
      <c r="BA1947" s="52" t="n">
        <v>0</v>
      </c>
      <c r="BB1947" s="52" t="n">
        <v>0</v>
      </c>
      <c r="BC1947" s="51" t="n">
        <v>0</v>
      </c>
      <c r="BD1947" s="51" t="n">
        <v>0</v>
      </c>
      <c r="BE1947" s="51" t="n">
        <v>0</v>
      </c>
      <c r="BF1947" s="51" t="n">
        <v>0</v>
      </c>
    </row>
    <row r="1948">
      <c r="A1948">
        <f>HYPERLINK("https://www.walmart.com/ip/273667626", "273667626")</f>
        <v/>
      </c>
      <c r="B1948" t="inlineStr">
        <is>
          <t>Sherpa Slipper Socks for Women,Winter Indoor Home Non Skid Booties</t>
        </is>
      </c>
      <c r="C1948" t="inlineStr">
        <is>
          <t>1CTST200WN-1</t>
        </is>
      </c>
      <c r="D1948" t="inlineStr">
        <is>
          <t>Socks</t>
        </is>
      </c>
      <c r="E1948" t="inlineStr">
        <is>
          <t>Catalonia</t>
        </is>
      </c>
      <c r="F1948" t="inlineStr">
        <is>
          <t>WFS,WFS Item</t>
        </is>
      </c>
      <c r="G1948" s="48" t="n">
        <v>0</v>
      </c>
      <c r="H1948" s="48" t="n">
        <v>0</v>
      </c>
      <c r="I1948" s="48" t="n">
        <v>0</v>
      </c>
      <c r="J1948" s="48" t="n">
        <v>0</v>
      </c>
      <c r="K1948" s="49" t="n">
        <v>0</v>
      </c>
      <c r="L1948" s="49" t="n">
        <v>0</v>
      </c>
      <c r="M1948" s="49" t="n">
        <v>0</v>
      </c>
      <c r="N1948" s="49" t="n">
        <v>0</v>
      </c>
      <c r="O1948" s="49" t="n">
        <v>0</v>
      </c>
      <c r="P1948" s="49" t="n">
        <v>0</v>
      </c>
      <c r="Q1948" s="49" t="n">
        <v>0</v>
      </c>
      <c r="R1948" s="49" t="n">
        <v>0</v>
      </c>
      <c r="S1948" s="50" t="n">
        <v>0</v>
      </c>
      <c r="T1948" s="50" t="n">
        <v>0</v>
      </c>
      <c r="U1948" s="50" t="n">
        <v>0</v>
      </c>
      <c r="V1948" s="50" t="n">
        <v>0</v>
      </c>
      <c r="W1948" s="51" t="n">
        <v>0</v>
      </c>
      <c r="X1948" s="51" t="n">
        <v>0</v>
      </c>
      <c r="Y1948" s="51" t="n">
        <v>0</v>
      </c>
      <c r="Z1948" s="51" t="n">
        <v>0</v>
      </c>
      <c r="AA1948" s="52" t="n">
        <v>0</v>
      </c>
      <c r="AB1948" s="52" t="n">
        <v>0</v>
      </c>
      <c r="AC1948" s="52" t="n">
        <v>0</v>
      </c>
      <c r="AD1948" s="52" t="n">
        <v>0</v>
      </c>
      <c r="AE1948" s="52" t="n">
        <v>0</v>
      </c>
      <c r="AF1948" s="52" t="n">
        <v>0</v>
      </c>
      <c r="AG1948" s="52" t="n">
        <v>0</v>
      </c>
      <c r="AH1948" s="52" t="n">
        <v>0</v>
      </c>
      <c r="AI1948" s="52" t="n">
        <v>0</v>
      </c>
      <c r="AJ1948" s="52" t="n">
        <v>0</v>
      </c>
      <c r="AK1948" s="52" t="n">
        <v>0</v>
      </c>
      <c r="AL1948" s="52" t="n">
        <v>0</v>
      </c>
      <c r="AM1948" s="53" t="n">
        <v>0</v>
      </c>
      <c r="AN1948" s="53" t="n">
        <v>0</v>
      </c>
      <c r="AO1948" s="53" t="n">
        <v>0</v>
      </c>
      <c r="AP1948" s="53" t="n">
        <v>0</v>
      </c>
      <c r="AQ1948" s="52" t="n">
        <v>0</v>
      </c>
      <c r="AR1948" s="52" t="n">
        <v>0</v>
      </c>
      <c r="AS1948" s="52" t="n">
        <v>0</v>
      </c>
      <c r="AT1948" s="52" t="n">
        <v>0</v>
      </c>
      <c r="AU1948" s="53" t="n">
        <v>0</v>
      </c>
      <c r="AV1948" s="53" t="n">
        <v>0</v>
      </c>
      <c r="AW1948" s="53" t="n">
        <v>0</v>
      </c>
      <c r="AX1948" s="53" t="n">
        <v>0</v>
      </c>
      <c r="AY1948" s="52" t="n">
        <v>0</v>
      </c>
      <c r="AZ1948" s="52" t="n">
        <v>0</v>
      </c>
      <c r="BA1948" s="52" t="n">
        <v>0</v>
      </c>
      <c r="BB1948" s="52" t="n">
        <v>0</v>
      </c>
      <c r="BC1948" s="51" t="n">
        <v>0</v>
      </c>
      <c r="BD1948" s="51" t="n">
        <v>0</v>
      </c>
      <c r="BE1948" s="51" t="n">
        <v>0</v>
      </c>
      <c r="BF1948" s="51" t="n">
        <v>0</v>
      </c>
    </row>
    <row r="1949">
      <c r="A1949">
        <f>HYPERLINK("https://www.walmart.com/ip/273815087", "273815087")</f>
        <v/>
      </c>
      <c r="B1949" t="inlineStr">
        <is>
          <t>Sherpa Throw Blanket Snowflake Pattern, Reversible Micro Fleece TV Blanket All Season for Bed or Couch 50" x 60"</t>
        </is>
      </c>
      <c r="C1949" t="inlineStr">
        <is>
          <t>1TRBF390RD-TBCB</t>
        </is>
      </c>
      <c r="D1949" t="inlineStr">
        <is>
          <t>Throws</t>
        </is>
      </c>
      <c r="E1949" t="inlineStr">
        <is>
          <t>Tirrinia</t>
        </is>
      </c>
      <c r="F1949" t="inlineStr">
        <is>
          <t>Coupon_Discount,Batch 1 - TR</t>
        </is>
      </c>
      <c r="G1949" s="48" t="n">
        <v>0</v>
      </c>
      <c r="H1949" s="48" t="n">
        <v>0</v>
      </c>
      <c r="I1949" s="48" t="n">
        <v>0</v>
      </c>
      <c r="J1949" s="48" t="n">
        <v>0</v>
      </c>
      <c r="K1949" s="49" t="n">
        <v>0</v>
      </c>
      <c r="L1949" s="49" t="n">
        <v>0</v>
      </c>
      <c r="M1949" s="49" t="n">
        <v>0</v>
      </c>
      <c r="N1949" s="49" t="n">
        <v>0</v>
      </c>
      <c r="O1949" s="49" t="n">
        <v>0</v>
      </c>
      <c r="P1949" s="49" t="n">
        <v>0</v>
      </c>
      <c r="Q1949" s="49" t="n">
        <v>0</v>
      </c>
      <c r="R1949" s="49" t="n">
        <v>0</v>
      </c>
      <c r="S1949" s="50" t="n">
        <v>0</v>
      </c>
      <c r="T1949" s="50" t="n">
        <v>0</v>
      </c>
      <c r="U1949" s="50" t="n">
        <v>0</v>
      </c>
      <c r="V1949" s="50" t="n">
        <v>0</v>
      </c>
      <c r="W1949" s="51" t="n">
        <v>0</v>
      </c>
      <c r="X1949" s="51" t="n">
        <v>0</v>
      </c>
      <c r="Y1949" s="51" t="n">
        <v>0</v>
      </c>
      <c r="Z1949" s="51" t="n">
        <v>0</v>
      </c>
      <c r="AA1949" s="52" t="n">
        <v>0</v>
      </c>
      <c r="AB1949" s="52" t="n">
        <v>0</v>
      </c>
      <c r="AC1949" s="52" t="n">
        <v>0</v>
      </c>
      <c r="AD1949" s="52" t="n">
        <v>0</v>
      </c>
      <c r="AE1949" s="52" t="n">
        <v>0</v>
      </c>
      <c r="AF1949" s="52" t="n">
        <v>0</v>
      </c>
      <c r="AG1949" s="52" t="n">
        <v>0</v>
      </c>
      <c r="AH1949" s="52" t="n">
        <v>0</v>
      </c>
      <c r="AI1949" s="52" t="n">
        <v>0</v>
      </c>
      <c r="AJ1949" s="52" t="n">
        <v>0</v>
      </c>
      <c r="AK1949" s="52" t="n">
        <v>0</v>
      </c>
      <c r="AL1949" s="52" t="n">
        <v>0</v>
      </c>
      <c r="AM1949" s="53" t="n">
        <v>0</v>
      </c>
      <c r="AN1949" s="53" t="n">
        <v>0</v>
      </c>
      <c r="AO1949" s="53" t="n">
        <v>0</v>
      </c>
      <c r="AP1949" s="53" t="n">
        <v>0</v>
      </c>
      <c r="AQ1949" s="52" t="n">
        <v>0</v>
      </c>
      <c r="AR1949" s="52" t="n">
        <v>0</v>
      </c>
      <c r="AS1949" s="52" t="n">
        <v>0</v>
      </c>
      <c r="AT1949" s="52" t="n">
        <v>0</v>
      </c>
      <c r="AU1949" s="53" t="n">
        <v>0</v>
      </c>
      <c r="AV1949" s="53" t="n">
        <v>0</v>
      </c>
      <c r="AW1949" s="53" t="n">
        <v>0</v>
      </c>
      <c r="AX1949" s="53" t="n">
        <v>0</v>
      </c>
      <c r="AY1949" s="52" t="n">
        <v>0</v>
      </c>
      <c r="AZ1949" s="52" t="n">
        <v>0</v>
      </c>
      <c r="BA1949" s="52" t="n">
        <v>0</v>
      </c>
      <c r="BB1949" s="52" t="n">
        <v>0</v>
      </c>
      <c r="BC1949" s="51" t="n">
        <v>0</v>
      </c>
      <c r="BD1949" s="51" t="n">
        <v>0</v>
      </c>
      <c r="BE1949" s="51" t="n">
        <v>0</v>
      </c>
      <c r="BF1949" s="51" t="n">
        <v>0</v>
      </c>
    </row>
    <row r="1950">
      <c r="A1950">
        <f>HYPERLINK("https://www.walmart.com/ip/250260404", "250260404")</f>
        <v/>
      </c>
      <c r="B1950" t="inlineStr">
        <is>
          <t>Women Floppy Sun Hats w/ Wide Brim Summer Beach UV Protection Foldable Gardening Hiking Cap</t>
        </is>
      </c>
      <c r="C1950" t="inlineStr">
        <is>
          <t>1SLSH101BE</t>
        </is>
      </c>
      <c r="D1950" t="inlineStr">
        <is>
          <t>Hats</t>
        </is>
      </c>
      <c r="E1950" t="inlineStr">
        <is>
          <t>Solaris</t>
        </is>
      </c>
      <c r="F1950" t="inlineStr">
        <is>
          <t>Q2-Target,Hats,Batch 1 - TR</t>
        </is>
      </c>
      <c r="G1950" s="48" t="n">
        <v>0</v>
      </c>
      <c r="H1950" s="48" t="n">
        <v>0</v>
      </c>
      <c r="I1950" s="48" t="n">
        <v>0</v>
      </c>
      <c r="J1950" s="48" t="n">
        <v>0</v>
      </c>
      <c r="K1950" s="49" t="n">
        <v>0</v>
      </c>
      <c r="L1950" s="49" t="n">
        <v>0</v>
      </c>
      <c r="M1950" s="49" t="n">
        <v>0</v>
      </c>
      <c r="N1950" s="49" t="n">
        <v>0</v>
      </c>
      <c r="O1950" s="49" t="n">
        <v>0</v>
      </c>
      <c r="P1950" s="49" t="n">
        <v>0</v>
      </c>
      <c r="Q1950" s="49" t="n">
        <v>0</v>
      </c>
      <c r="R1950" s="49" t="n">
        <v>0</v>
      </c>
      <c r="S1950" s="50" t="n">
        <v>0</v>
      </c>
      <c r="T1950" s="50" t="n">
        <v>0</v>
      </c>
      <c r="U1950" s="50" t="n">
        <v>0</v>
      </c>
      <c r="V1950" s="50" t="n">
        <v>0</v>
      </c>
      <c r="W1950" s="51" t="n">
        <v>0</v>
      </c>
      <c r="X1950" s="51" t="n">
        <v>0</v>
      </c>
      <c r="Y1950" s="51" t="n">
        <v>0</v>
      </c>
      <c r="Z1950" s="51" t="n">
        <v>0</v>
      </c>
      <c r="AA1950" s="52" t="n">
        <v>0</v>
      </c>
      <c r="AB1950" s="52" t="n">
        <v>0</v>
      </c>
      <c r="AC1950" s="52" t="n">
        <v>0</v>
      </c>
      <c r="AD1950" s="52" t="n">
        <v>0</v>
      </c>
      <c r="AE1950" s="52" t="n">
        <v>0</v>
      </c>
      <c r="AF1950" s="52" t="n">
        <v>0</v>
      </c>
      <c r="AG1950" s="52" t="n">
        <v>0</v>
      </c>
      <c r="AH1950" s="52" t="n">
        <v>0</v>
      </c>
      <c r="AI1950" s="52" t="n">
        <v>0</v>
      </c>
      <c r="AJ1950" s="52" t="n">
        <v>0</v>
      </c>
      <c r="AK1950" s="52" t="n">
        <v>0</v>
      </c>
      <c r="AL1950" s="52" t="n">
        <v>0</v>
      </c>
      <c r="AM1950" s="53" t="n">
        <v>0</v>
      </c>
      <c r="AN1950" s="53" t="n">
        <v>0</v>
      </c>
      <c r="AO1950" s="53" t="n">
        <v>0</v>
      </c>
      <c r="AP1950" s="53" t="n">
        <v>0</v>
      </c>
      <c r="AQ1950" s="52" t="n">
        <v>0</v>
      </c>
      <c r="AR1950" s="52" t="n">
        <v>0</v>
      </c>
      <c r="AS1950" s="52" t="n">
        <v>0</v>
      </c>
      <c r="AT1950" s="52" t="n">
        <v>0</v>
      </c>
      <c r="AU1950" s="53" t="n">
        <v>0</v>
      </c>
      <c r="AV1950" s="53" t="n">
        <v>0</v>
      </c>
      <c r="AW1950" s="53" t="n">
        <v>0</v>
      </c>
      <c r="AX1950" s="53" t="n">
        <v>0</v>
      </c>
      <c r="AY1950" s="52" t="n">
        <v>0</v>
      </c>
      <c r="AZ1950" s="52" t="n">
        <v>0</v>
      </c>
      <c r="BA1950" s="52" t="n">
        <v>0</v>
      </c>
      <c r="BB1950" s="52" t="n">
        <v>0</v>
      </c>
      <c r="BC1950" s="51" t="n">
        <v>0</v>
      </c>
      <c r="BD1950" s="51" t="n">
        <v>0</v>
      </c>
      <c r="BE1950" s="51" t="n">
        <v>0</v>
      </c>
      <c r="BF1950" s="51" t="n">
        <v>0</v>
      </c>
    </row>
    <row r="1951">
      <c r="A1951">
        <f>HYPERLINK("https://www.walmart.com/ip/281965638", "281965638")</f>
        <v/>
      </c>
      <c r="B1951" t="inlineStr">
        <is>
          <t>Sun Blocker Sun Hat for women, Canvas Reversible Bucket Hat, UV Sun Protection UPF 50+, Double Sided Outdoor Safari Travel Beach Golf Cap, Floral Green</t>
        </is>
      </c>
      <c r="C1951" t="inlineStr">
        <is>
          <t>KC-S9200FLW-GR</t>
        </is>
      </c>
      <c r="D1951" t="inlineStr">
        <is>
          <t>Hats</t>
        </is>
      </c>
      <c r="E1951" t="inlineStr">
        <is>
          <t>Sun Blocker</t>
        </is>
      </c>
      <c r="F1951" t="inlineStr">
        <is>
          <t>Q2-Target,ST Patrick Day</t>
        </is>
      </c>
      <c r="G1951" s="48" t="n">
        <v>0</v>
      </c>
      <c r="H1951" s="48" t="n">
        <v>0</v>
      </c>
      <c r="I1951" s="48" t="n">
        <v>-8.99</v>
      </c>
      <c r="J1951" s="48" t="n">
        <v>8.99</v>
      </c>
      <c r="K1951" s="49" t="n">
        <v>0</v>
      </c>
      <c r="L1951" s="49" t="n">
        <v>0</v>
      </c>
      <c r="M1951" s="49" t="n">
        <v>-1</v>
      </c>
      <c r="N1951" s="49" t="n">
        <v>1</v>
      </c>
      <c r="O1951" s="49" t="n">
        <v>0</v>
      </c>
      <c r="P1951" s="49" t="n">
        <v>0</v>
      </c>
      <c r="Q1951" s="49" t="n">
        <v>0</v>
      </c>
      <c r="R1951" s="49" t="n">
        <v>0</v>
      </c>
      <c r="S1951" s="50" t="n">
        <v>0</v>
      </c>
      <c r="T1951" s="50" t="n">
        <v>0</v>
      </c>
      <c r="U1951" s="50" t="n">
        <v>0</v>
      </c>
      <c r="V1951" s="50" t="n">
        <v>0</v>
      </c>
      <c r="W1951" s="51" t="n">
        <v>0</v>
      </c>
      <c r="X1951" s="51" t="n">
        <v>0</v>
      </c>
      <c r="Y1951" s="51" t="n">
        <v>0</v>
      </c>
      <c r="Z1951" s="51" t="n">
        <v>0</v>
      </c>
      <c r="AA1951" s="52" t="n">
        <v>0</v>
      </c>
      <c r="AB1951" s="52" t="n">
        <v>0</v>
      </c>
      <c r="AC1951" s="52" t="n">
        <v>0</v>
      </c>
      <c r="AD1951" s="52" t="n">
        <v>0</v>
      </c>
      <c r="AE1951" s="52" t="n">
        <v>0</v>
      </c>
      <c r="AF1951" s="52" t="n">
        <v>0</v>
      </c>
      <c r="AG1951" s="52" t="n">
        <v>0</v>
      </c>
      <c r="AH1951" s="52" t="n">
        <v>0</v>
      </c>
      <c r="AI1951" s="52" t="n">
        <v>0</v>
      </c>
      <c r="AJ1951" s="52" t="n">
        <v>0</v>
      </c>
      <c r="AK1951" s="52" t="n">
        <v>0</v>
      </c>
      <c r="AL1951" s="52" t="n">
        <v>0</v>
      </c>
      <c r="AM1951" s="53" t="n">
        <v>0</v>
      </c>
      <c r="AN1951" s="53" t="n">
        <v>0</v>
      </c>
      <c r="AO1951" s="53" t="n">
        <v>0</v>
      </c>
      <c r="AP1951" s="53" t="n">
        <v>0</v>
      </c>
      <c r="AQ1951" s="52" t="n">
        <v>0</v>
      </c>
      <c r="AR1951" s="52" t="n">
        <v>0</v>
      </c>
      <c r="AS1951" s="52" t="n">
        <v>0</v>
      </c>
      <c r="AT1951" s="52" t="n">
        <v>0</v>
      </c>
      <c r="AU1951" s="53" t="n">
        <v>0</v>
      </c>
      <c r="AV1951" s="53" t="n">
        <v>0</v>
      </c>
      <c r="AW1951" s="53" t="n">
        <v>0</v>
      </c>
      <c r="AX1951" s="53" t="n">
        <v>0</v>
      </c>
      <c r="AY1951" s="52" t="n">
        <v>0</v>
      </c>
      <c r="AZ1951" s="52" t="n">
        <v>0</v>
      </c>
      <c r="BA1951" s="52" t="n">
        <v>0</v>
      </c>
      <c r="BB1951" s="52" t="n">
        <v>8.99</v>
      </c>
      <c r="BC1951" s="51" t="n">
        <v>0</v>
      </c>
      <c r="BD1951" s="51" t="n">
        <v>0</v>
      </c>
      <c r="BE1951" s="51" t="n">
        <v>0</v>
      </c>
      <c r="BF1951" s="51" t="n">
        <v>0</v>
      </c>
    </row>
    <row r="1952">
      <c r="A1952">
        <f>HYPERLINK("https://www.walmart.com/ip/283644087", "283644087")</f>
        <v/>
      </c>
      <c r="B1952" t="inlineStr">
        <is>
          <t>Flyingstar Surf Towel Robe, Quick Dry Beach Wetsuit, Bath Poncho, Surfing Swimming Bathing Unisex</t>
        </is>
      </c>
      <c r="C1952" t="inlineStr">
        <is>
          <t>1WMBR100-GL</t>
        </is>
      </c>
      <c r="D1952" t="inlineStr">
        <is>
          <t>Towels &amp; Washcloths</t>
        </is>
      </c>
      <c r="E1952" t="inlineStr">
        <is>
          <t>Flyingstar</t>
        </is>
      </c>
      <c r="F1952" t="inlineStr">
        <is>
          <t>Optimized,Beach Robe Camp</t>
        </is>
      </c>
      <c r="G1952" s="48" t="n">
        <v>0</v>
      </c>
      <c r="H1952" s="48" t="n">
        <v>0</v>
      </c>
      <c r="I1952" s="48" t="n">
        <v>0</v>
      </c>
      <c r="J1952" s="48" t="n">
        <v>0</v>
      </c>
      <c r="K1952" s="49" t="n">
        <v>0</v>
      </c>
      <c r="L1952" s="49" t="n">
        <v>0</v>
      </c>
      <c r="M1952" s="49" t="n">
        <v>0</v>
      </c>
      <c r="N1952" s="49" t="n">
        <v>0</v>
      </c>
      <c r="O1952" s="49" t="n">
        <v>0</v>
      </c>
      <c r="P1952" s="49" t="n">
        <v>0</v>
      </c>
      <c r="Q1952" s="49" t="n">
        <v>0</v>
      </c>
      <c r="R1952" s="49" t="n">
        <v>0</v>
      </c>
      <c r="S1952" s="50" t="n">
        <v>0</v>
      </c>
      <c r="T1952" s="50" t="n">
        <v>0</v>
      </c>
      <c r="U1952" s="50" t="n">
        <v>0</v>
      </c>
      <c r="V1952" s="50" t="n">
        <v>0</v>
      </c>
      <c r="W1952" s="51" t="n">
        <v>0</v>
      </c>
      <c r="X1952" s="51" t="n">
        <v>0</v>
      </c>
      <c r="Y1952" s="51" t="n">
        <v>0</v>
      </c>
      <c r="Z1952" s="51" t="n">
        <v>0</v>
      </c>
      <c r="AA1952" s="52" t="n">
        <v>0</v>
      </c>
      <c r="AB1952" s="52" t="n">
        <v>0</v>
      </c>
      <c r="AC1952" s="52" t="n">
        <v>0</v>
      </c>
      <c r="AD1952" s="52" t="n">
        <v>0</v>
      </c>
      <c r="AE1952" s="52" t="n">
        <v>0</v>
      </c>
      <c r="AF1952" s="52" t="n">
        <v>0</v>
      </c>
      <c r="AG1952" s="52" t="n">
        <v>0</v>
      </c>
      <c r="AH1952" s="52" t="n">
        <v>0</v>
      </c>
      <c r="AI1952" s="52" t="n">
        <v>0</v>
      </c>
      <c r="AJ1952" s="52" t="n">
        <v>0</v>
      </c>
      <c r="AK1952" s="52" t="n">
        <v>0</v>
      </c>
      <c r="AL1952" s="52" t="n">
        <v>0</v>
      </c>
      <c r="AM1952" s="53" t="n">
        <v>0</v>
      </c>
      <c r="AN1952" s="53" t="n">
        <v>0</v>
      </c>
      <c r="AO1952" s="53" t="n">
        <v>0</v>
      </c>
      <c r="AP1952" s="53" t="n">
        <v>0</v>
      </c>
      <c r="AQ1952" s="52" t="n">
        <v>0</v>
      </c>
      <c r="AR1952" s="52" t="n">
        <v>0</v>
      </c>
      <c r="AS1952" s="52" t="n">
        <v>0</v>
      </c>
      <c r="AT1952" s="52" t="n">
        <v>0</v>
      </c>
      <c r="AU1952" s="53" t="n">
        <v>0</v>
      </c>
      <c r="AV1952" s="53" t="n">
        <v>0</v>
      </c>
      <c r="AW1952" s="53" t="n">
        <v>0</v>
      </c>
      <c r="AX1952" s="53" t="n">
        <v>0</v>
      </c>
      <c r="AY1952" s="52" t="n">
        <v>0</v>
      </c>
      <c r="AZ1952" s="52" t="n">
        <v>0</v>
      </c>
      <c r="BA1952" s="52" t="n">
        <v>0</v>
      </c>
      <c r="BB1952" s="52" t="n">
        <v>0</v>
      </c>
      <c r="BC1952" s="51" t="n">
        <v>0</v>
      </c>
      <c r="BD1952" s="51" t="n">
        <v>0</v>
      </c>
      <c r="BE1952" s="51" t="n">
        <v>0</v>
      </c>
      <c r="BF1952" s="51" t="n">
        <v>0</v>
      </c>
    </row>
    <row r="1953">
      <c r="A1953">
        <f>HYPERLINK("https://www.walmart.com/ip/283845243", "283845243")</f>
        <v/>
      </c>
      <c r="B1953" t="inlineStr">
        <is>
          <t>Catalonia Sherpa Throws Blanket, Super Soft Comfy Fluffy Fuzzy Fleece Plush Blanket for Sofa Couch Bed Reversible All Season for Adults Children 50”x60”, Chevron Latte</t>
        </is>
      </c>
      <c r="C1953" t="inlineStr">
        <is>
          <t>1CTBF320LT</t>
        </is>
      </c>
      <c r="D1953" t="inlineStr">
        <is>
          <t>Throws</t>
        </is>
      </c>
      <c r="E1953" t="inlineStr">
        <is>
          <t>Catalonia</t>
        </is>
      </c>
      <c r="F1953" t="inlineStr">
        <is>
          <t>WFS,WFS Item</t>
        </is>
      </c>
      <c r="G1953" s="48" t="n">
        <v>0</v>
      </c>
      <c r="H1953" s="48" t="n">
        <v>0</v>
      </c>
      <c r="I1953" s="48" t="n">
        <v>0</v>
      </c>
      <c r="J1953" s="48" t="n">
        <v>0</v>
      </c>
      <c r="K1953" s="49" t="n">
        <v>0</v>
      </c>
      <c r="L1953" s="49" t="n">
        <v>0</v>
      </c>
      <c r="M1953" s="49" t="n">
        <v>0</v>
      </c>
      <c r="N1953" s="49" t="n">
        <v>0</v>
      </c>
      <c r="O1953" s="49" t="n">
        <v>0</v>
      </c>
      <c r="P1953" s="49" t="n">
        <v>0</v>
      </c>
      <c r="Q1953" s="49" t="n">
        <v>0</v>
      </c>
      <c r="R1953" s="49" t="n">
        <v>0</v>
      </c>
      <c r="S1953" s="50" t="n">
        <v>0</v>
      </c>
      <c r="T1953" s="50" t="n">
        <v>0</v>
      </c>
      <c r="U1953" s="50" t="n">
        <v>0</v>
      </c>
      <c r="V1953" s="50" t="n">
        <v>0</v>
      </c>
      <c r="W1953" s="51" t="n">
        <v>0</v>
      </c>
      <c r="X1953" s="51" t="n">
        <v>0</v>
      </c>
      <c r="Y1953" s="51" t="n">
        <v>0</v>
      </c>
      <c r="Z1953" s="51" t="n">
        <v>0</v>
      </c>
      <c r="AA1953" s="52" t="n">
        <v>0</v>
      </c>
      <c r="AB1953" s="52" t="n">
        <v>0</v>
      </c>
      <c r="AC1953" s="52" t="n">
        <v>0</v>
      </c>
      <c r="AD1953" s="52" t="n">
        <v>0</v>
      </c>
      <c r="AE1953" s="52" t="n">
        <v>0</v>
      </c>
      <c r="AF1953" s="52" t="n">
        <v>0</v>
      </c>
      <c r="AG1953" s="52" t="n">
        <v>0</v>
      </c>
      <c r="AH1953" s="52" t="n">
        <v>0</v>
      </c>
      <c r="AI1953" s="52" t="n">
        <v>0</v>
      </c>
      <c r="AJ1953" s="52" t="n">
        <v>0</v>
      </c>
      <c r="AK1953" s="52" t="n">
        <v>0</v>
      </c>
      <c r="AL1953" s="52" t="n">
        <v>0</v>
      </c>
      <c r="AM1953" s="53" t="n">
        <v>0</v>
      </c>
      <c r="AN1953" s="53" t="n">
        <v>0</v>
      </c>
      <c r="AO1953" s="53" t="n">
        <v>0</v>
      </c>
      <c r="AP1953" s="53" t="n">
        <v>0</v>
      </c>
      <c r="AQ1953" s="52" t="n">
        <v>0</v>
      </c>
      <c r="AR1953" s="52" t="n">
        <v>0</v>
      </c>
      <c r="AS1953" s="52" t="n">
        <v>0</v>
      </c>
      <c r="AT1953" s="52" t="n">
        <v>0</v>
      </c>
      <c r="AU1953" s="53" t="n">
        <v>0</v>
      </c>
      <c r="AV1953" s="53" t="n">
        <v>0</v>
      </c>
      <c r="AW1953" s="53" t="n">
        <v>0</v>
      </c>
      <c r="AX1953" s="53" t="n">
        <v>0</v>
      </c>
      <c r="AY1953" s="52" t="n">
        <v>0</v>
      </c>
      <c r="AZ1953" s="52" t="n">
        <v>0</v>
      </c>
      <c r="BA1953" s="52" t="n">
        <v>0</v>
      </c>
      <c r="BB1953" s="52" t="n">
        <v>0</v>
      </c>
      <c r="BC1953" s="51" t="n">
        <v>0</v>
      </c>
      <c r="BD1953" s="51" t="n">
        <v>0</v>
      </c>
      <c r="BE1953" s="51" t="n">
        <v>0</v>
      </c>
      <c r="BF1953" s="51" t="n">
        <v>0</v>
      </c>
    </row>
    <row r="1954">
      <c r="A1954">
        <f>HYPERLINK("https://www.walmart.com/ip/284000882", "284000882")</f>
        <v/>
      </c>
      <c r="B1954" t="inlineStr">
        <is>
          <t>Catalonia Sherpa Throw Blanket 50 x 60, Micro Mink Flush Couch Reversible Bed Throw Comfort Caring Gift</t>
        </is>
      </c>
      <c r="C1954" t="inlineStr">
        <is>
          <t>1CTBF300BK</t>
        </is>
      </c>
      <c r="D1954" t="inlineStr">
        <is>
          <t>Throws</t>
        </is>
      </c>
      <c r="E1954" t="inlineStr">
        <is>
          <t>Catalonia</t>
        </is>
      </c>
      <c r="F1954" t="inlineStr">
        <is>
          <t>Q2-Target,Optimized,WFS,Coupon_Discount,WFS Item</t>
        </is>
      </c>
      <c r="G1954" s="48" t="n">
        <v>0</v>
      </c>
      <c r="H1954" s="48" t="n">
        <v>0</v>
      </c>
      <c r="I1954" s="48" t="n">
        <v>0</v>
      </c>
      <c r="J1954" s="48" t="n">
        <v>0</v>
      </c>
      <c r="K1954" s="49" t="n">
        <v>0</v>
      </c>
      <c r="L1954" s="49" t="n">
        <v>0</v>
      </c>
      <c r="M1954" s="49" t="n">
        <v>0</v>
      </c>
      <c r="N1954" s="49" t="n">
        <v>0</v>
      </c>
      <c r="O1954" s="49" t="n">
        <v>0</v>
      </c>
      <c r="P1954" s="49" t="n">
        <v>0</v>
      </c>
      <c r="Q1954" s="49" t="n">
        <v>0</v>
      </c>
      <c r="R1954" s="49" t="n">
        <v>0</v>
      </c>
      <c r="S1954" s="50" t="n">
        <v>0</v>
      </c>
      <c r="T1954" s="50" t="n">
        <v>0</v>
      </c>
      <c r="U1954" s="50" t="n">
        <v>0</v>
      </c>
      <c r="V1954" s="50" t="n">
        <v>0</v>
      </c>
      <c r="W1954" s="51" t="n">
        <v>0</v>
      </c>
      <c r="X1954" s="51" t="n">
        <v>0</v>
      </c>
      <c r="Y1954" s="51" t="n">
        <v>0</v>
      </c>
      <c r="Z1954" s="51" t="n">
        <v>0</v>
      </c>
      <c r="AA1954" s="52" t="n">
        <v>0</v>
      </c>
      <c r="AB1954" s="52" t="n">
        <v>0</v>
      </c>
      <c r="AC1954" s="52" t="n">
        <v>0</v>
      </c>
      <c r="AD1954" s="52" t="n">
        <v>0</v>
      </c>
      <c r="AE1954" s="52" t="n">
        <v>0</v>
      </c>
      <c r="AF1954" s="52" t="n">
        <v>0</v>
      </c>
      <c r="AG1954" s="52" t="n">
        <v>0</v>
      </c>
      <c r="AH1954" s="52" t="n">
        <v>0</v>
      </c>
      <c r="AI1954" s="52" t="n">
        <v>0</v>
      </c>
      <c r="AJ1954" s="52" t="n">
        <v>0</v>
      </c>
      <c r="AK1954" s="52" t="n">
        <v>0</v>
      </c>
      <c r="AL1954" s="52" t="n">
        <v>0</v>
      </c>
      <c r="AM1954" s="53" t="n">
        <v>0</v>
      </c>
      <c r="AN1954" s="53" t="n">
        <v>0</v>
      </c>
      <c r="AO1954" s="53" t="n">
        <v>0</v>
      </c>
      <c r="AP1954" s="53" t="n">
        <v>0</v>
      </c>
      <c r="AQ1954" s="52" t="n">
        <v>0</v>
      </c>
      <c r="AR1954" s="52" t="n">
        <v>0</v>
      </c>
      <c r="AS1954" s="52" t="n">
        <v>0</v>
      </c>
      <c r="AT1954" s="52" t="n">
        <v>0</v>
      </c>
      <c r="AU1954" s="53" t="n">
        <v>0</v>
      </c>
      <c r="AV1954" s="53" t="n">
        <v>0</v>
      </c>
      <c r="AW1954" s="53" t="n">
        <v>0</v>
      </c>
      <c r="AX1954" s="53" t="n">
        <v>0</v>
      </c>
      <c r="AY1954" s="52" t="n">
        <v>0</v>
      </c>
      <c r="AZ1954" s="52" t="n">
        <v>0</v>
      </c>
      <c r="BA1954" s="52" t="n">
        <v>0</v>
      </c>
      <c r="BB1954" s="52" t="n">
        <v>0</v>
      </c>
      <c r="BC1954" s="51" t="n">
        <v>0</v>
      </c>
      <c r="BD1954" s="51" t="n">
        <v>0</v>
      </c>
      <c r="BE1954" s="51" t="n">
        <v>0</v>
      </c>
      <c r="BF1954" s="51" t="n">
        <v>0</v>
      </c>
    </row>
    <row r="1955">
      <c r="A1955">
        <f>HYPERLINK("https://www.walmart.com/ip/284382176", "284382176")</f>
        <v/>
      </c>
      <c r="B1955" t="inlineStr">
        <is>
          <t>Tirrinia Insulated Wine Carrier Tote - Travel Padded 2 Bottle Wine/ Champagne Cooler Bag with Handle and Adjustable Shoulder Strap, Great Wine Lover Gift, Purple, 8.2" x 4.6" x 13".</t>
        </is>
      </c>
      <c r="C1955" t="inlineStr">
        <is>
          <t>1TRWB211PP</t>
        </is>
      </c>
      <c r="D1955" t="inlineStr">
        <is>
          <t>Wine Totes, Bags &amp; Backpacks</t>
        </is>
      </c>
      <c r="E1955" t="inlineStr">
        <is>
          <t>Tirrinia</t>
        </is>
      </c>
      <c r="F1955" t="inlineStr">
        <is>
          <t>Wine,Christmas,Valentine,Lily Brand Camp</t>
        </is>
      </c>
      <c r="G1955" s="48" t="n">
        <v>0</v>
      </c>
      <c r="H1955" s="48" t="n">
        <v>0</v>
      </c>
      <c r="I1955" s="48" t="n">
        <v>0</v>
      </c>
      <c r="J1955" s="48" t="n">
        <v>0</v>
      </c>
      <c r="K1955" s="49" t="n">
        <v>0</v>
      </c>
      <c r="L1955" s="49" t="n">
        <v>0</v>
      </c>
      <c r="M1955" s="49" t="n">
        <v>0</v>
      </c>
      <c r="N1955" s="49" t="n">
        <v>0</v>
      </c>
      <c r="O1955" s="49" t="n">
        <v>0</v>
      </c>
      <c r="P1955" s="49" t="n">
        <v>0</v>
      </c>
      <c r="Q1955" s="49" t="n">
        <v>0</v>
      </c>
      <c r="R1955" s="49" t="n">
        <v>0</v>
      </c>
      <c r="S1955" s="50" t="n">
        <v>0</v>
      </c>
      <c r="T1955" s="50" t="n">
        <v>0</v>
      </c>
      <c r="U1955" s="50" t="n">
        <v>0</v>
      </c>
      <c r="V1955" s="50" t="n">
        <v>0</v>
      </c>
      <c r="W1955" s="51" t="n">
        <v>0</v>
      </c>
      <c r="X1955" s="51" t="n">
        <v>0</v>
      </c>
      <c r="Y1955" s="51" t="n">
        <v>0</v>
      </c>
      <c r="Z1955" s="51" t="n">
        <v>0</v>
      </c>
      <c r="AA1955" s="52" t="n">
        <v>0</v>
      </c>
      <c r="AB1955" s="52" t="n">
        <v>0</v>
      </c>
      <c r="AC1955" s="52" t="n">
        <v>0</v>
      </c>
      <c r="AD1955" s="52" t="n">
        <v>0</v>
      </c>
      <c r="AE1955" s="52" t="n">
        <v>0</v>
      </c>
      <c r="AF1955" s="52" t="n">
        <v>0</v>
      </c>
      <c r="AG1955" s="52" t="n">
        <v>0</v>
      </c>
      <c r="AH1955" s="52" t="n">
        <v>0</v>
      </c>
      <c r="AI1955" s="52" t="n">
        <v>0</v>
      </c>
      <c r="AJ1955" s="52" t="n">
        <v>0</v>
      </c>
      <c r="AK1955" s="52" t="n">
        <v>0</v>
      </c>
      <c r="AL1955" s="52" t="n">
        <v>0</v>
      </c>
      <c r="AM1955" s="53" t="n">
        <v>0</v>
      </c>
      <c r="AN1955" s="53" t="n">
        <v>0</v>
      </c>
      <c r="AO1955" s="53" t="n">
        <v>0</v>
      </c>
      <c r="AP1955" s="53" t="n">
        <v>0</v>
      </c>
      <c r="AQ1955" s="52" t="n">
        <v>0</v>
      </c>
      <c r="AR1955" s="52" t="n">
        <v>0</v>
      </c>
      <c r="AS1955" s="52" t="n">
        <v>0</v>
      </c>
      <c r="AT1955" s="52" t="n">
        <v>0</v>
      </c>
      <c r="AU1955" s="53" t="n">
        <v>0</v>
      </c>
      <c r="AV1955" s="53" t="n">
        <v>0</v>
      </c>
      <c r="AW1955" s="53" t="n">
        <v>0</v>
      </c>
      <c r="AX1955" s="53" t="n">
        <v>0</v>
      </c>
      <c r="AY1955" s="52" t="n">
        <v>0</v>
      </c>
      <c r="AZ1955" s="52" t="n">
        <v>0</v>
      </c>
      <c r="BA1955" s="52" t="n">
        <v>0</v>
      </c>
      <c r="BB1955" s="52" t="n">
        <v>0</v>
      </c>
      <c r="BC1955" s="51" t="n">
        <v>0</v>
      </c>
      <c r="BD1955" s="51" t="n">
        <v>0</v>
      </c>
      <c r="BE1955" s="51" t="n">
        <v>0</v>
      </c>
      <c r="BF1955" s="51" t="n">
        <v>0</v>
      </c>
    </row>
    <row r="1956">
      <c r="A1956">
        <f>HYPERLINK("https://www.walmart.com/ip/284634319", "284634319")</f>
        <v/>
      </c>
      <c r="B1956" t="inlineStr">
        <is>
          <t>Mermaid Tail Blanket Super Soft Fleece Sleeping Bag Mermaid Blanket Tail with Pillow/Cusion Gift for Kids Girls 3-12</t>
        </is>
      </c>
      <c r="C1956" t="inlineStr">
        <is>
          <t>1TRMP100GN-TBCB</t>
        </is>
      </c>
      <c r="D1956" t="inlineStr">
        <is>
          <t>Throws</t>
        </is>
      </c>
      <c r="E1956" t="inlineStr">
        <is>
          <t>Tirrinia</t>
        </is>
      </c>
      <c r="G1956" s="48" t="n">
        <v>0</v>
      </c>
      <c r="H1956" s="48" t="n">
        <v>0</v>
      </c>
      <c r="I1956" s="48" t="n">
        <v>0</v>
      </c>
      <c r="J1956" s="48" t="n">
        <v>0</v>
      </c>
      <c r="K1956" s="49" t="n">
        <v>0</v>
      </c>
      <c r="L1956" s="49" t="n">
        <v>0</v>
      </c>
      <c r="M1956" s="49" t="n">
        <v>0</v>
      </c>
      <c r="N1956" s="49" t="n">
        <v>0</v>
      </c>
      <c r="O1956" s="49" t="n">
        <v>0</v>
      </c>
      <c r="P1956" s="49" t="n">
        <v>0</v>
      </c>
      <c r="Q1956" s="49" t="n">
        <v>0</v>
      </c>
      <c r="R1956" s="49" t="n">
        <v>0</v>
      </c>
      <c r="S1956" s="50" t="n">
        <v>0</v>
      </c>
      <c r="T1956" s="50" t="n">
        <v>0</v>
      </c>
      <c r="U1956" s="50" t="n">
        <v>0</v>
      </c>
      <c r="V1956" s="50" t="n">
        <v>0</v>
      </c>
      <c r="W1956" s="51" t="n">
        <v>0</v>
      </c>
      <c r="X1956" s="51" t="n">
        <v>0</v>
      </c>
      <c r="Y1956" s="51" t="n">
        <v>0</v>
      </c>
      <c r="Z1956" s="51" t="n">
        <v>0</v>
      </c>
      <c r="AA1956" s="52" t="n">
        <v>0</v>
      </c>
      <c r="AB1956" s="52" t="n">
        <v>0</v>
      </c>
      <c r="AC1956" s="52" t="n">
        <v>0</v>
      </c>
      <c r="AD1956" s="52" t="n">
        <v>0</v>
      </c>
      <c r="AE1956" s="52" t="n">
        <v>0</v>
      </c>
      <c r="AF1956" s="52" t="n">
        <v>0</v>
      </c>
      <c r="AG1956" s="52" t="n">
        <v>0</v>
      </c>
      <c r="AH1956" s="52" t="n">
        <v>0</v>
      </c>
      <c r="AI1956" s="52" t="n">
        <v>0</v>
      </c>
      <c r="AJ1956" s="52" t="n">
        <v>0</v>
      </c>
      <c r="AK1956" s="52" t="n">
        <v>0</v>
      </c>
      <c r="AL1956" s="52" t="n">
        <v>0</v>
      </c>
      <c r="AM1956" s="53" t="n">
        <v>0</v>
      </c>
      <c r="AN1956" s="53" t="n">
        <v>0</v>
      </c>
      <c r="AO1956" s="53" t="n">
        <v>0</v>
      </c>
      <c r="AP1956" s="53" t="n">
        <v>0</v>
      </c>
      <c r="AQ1956" s="52" t="n">
        <v>0</v>
      </c>
      <c r="AR1956" s="52" t="n">
        <v>0</v>
      </c>
      <c r="AS1956" s="52" t="n">
        <v>0</v>
      </c>
      <c r="AT1956" s="52" t="n">
        <v>0</v>
      </c>
      <c r="AU1956" s="53" t="n">
        <v>0</v>
      </c>
      <c r="AV1956" s="53" t="n">
        <v>0</v>
      </c>
      <c r="AW1956" s="53" t="n">
        <v>0</v>
      </c>
      <c r="AX1956" s="53" t="n">
        <v>0</v>
      </c>
      <c r="AY1956" s="52" t="n">
        <v>0</v>
      </c>
      <c r="AZ1956" s="52" t="n">
        <v>0</v>
      </c>
      <c r="BA1956" s="52" t="n">
        <v>0</v>
      </c>
      <c r="BB1956" s="52" t="n">
        <v>0</v>
      </c>
      <c r="BC1956" s="51" t="n">
        <v>0</v>
      </c>
      <c r="BD1956" s="51" t="n">
        <v>0</v>
      </c>
      <c r="BE1956" s="51" t="n">
        <v>0</v>
      </c>
      <c r="BF1956" s="51" t="n">
        <v>0</v>
      </c>
    </row>
    <row r="1957">
      <c r="A1957">
        <f>HYPERLINK("https://www.walmart.com/ip/286137678", "286137678")</f>
        <v/>
      </c>
      <c r="B1957" t="inlineStr">
        <is>
          <t>Catalonia King Size Sherpa Comforter Set, Ultra-soft Reversible Fluffy Micromink Bedding Set-3 Pieces, 1 Comforter and 2 Pillow Shams, 90x103 inches</t>
        </is>
      </c>
      <c r="C1957" t="inlineStr">
        <is>
          <t>1CTBQ300KI-PGY</t>
        </is>
      </c>
      <c r="D1957" t="inlineStr">
        <is>
          <t>Bedding Sets</t>
        </is>
      </c>
      <c r="E1957" t="inlineStr">
        <is>
          <t>Catalonia</t>
        </is>
      </c>
      <c r="F1957" t="inlineStr">
        <is>
          <t>WFS,Coupon_Discount,WFS Item</t>
        </is>
      </c>
      <c r="G1957" s="48" t="n">
        <v>0</v>
      </c>
      <c r="H1957" s="48" t="n">
        <v>0</v>
      </c>
      <c r="I1957" s="48" t="n">
        <v>0</v>
      </c>
      <c r="J1957" s="48" t="n">
        <v>0</v>
      </c>
      <c r="K1957" s="49" t="n">
        <v>0</v>
      </c>
      <c r="L1957" s="49" t="n">
        <v>0</v>
      </c>
      <c r="M1957" s="49" t="n">
        <v>0</v>
      </c>
      <c r="N1957" s="49" t="n">
        <v>0</v>
      </c>
      <c r="O1957" s="49" t="n">
        <v>0</v>
      </c>
      <c r="P1957" s="49" t="n">
        <v>0</v>
      </c>
      <c r="Q1957" s="49" t="n">
        <v>0</v>
      </c>
      <c r="R1957" s="49" t="n">
        <v>0</v>
      </c>
      <c r="S1957" s="50" t="n">
        <v>0</v>
      </c>
      <c r="T1957" s="50" t="n">
        <v>0</v>
      </c>
      <c r="U1957" s="50" t="n">
        <v>0</v>
      </c>
      <c r="V1957" s="50" t="n">
        <v>0</v>
      </c>
      <c r="W1957" s="51" t="n">
        <v>0</v>
      </c>
      <c r="X1957" s="51" t="n">
        <v>0</v>
      </c>
      <c r="Y1957" s="51" t="n">
        <v>0</v>
      </c>
      <c r="Z1957" s="51" t="n">
        <v>0</v>
      </c>
      <c r="AA1957" s="52" t="n">
        <v>0</v>
      </c>
      <c r="AB1957" s="52" t="n">
        <v>0</v>
      </c>
      <c r="AC1957" s="52" t="n">
        <v>0</v>
      </c>
      <c r="AD1957" s="52" t="n">
        <v>0</v>
      </c>
      <c r="AE1957" s="52" t="n">
        <v>0</v>
      </c>
      <c r="AF1957" s="52" t="n">
        <v>0</v>
      </c>
      <c r="AG1957" s="52" t="n">
        <v>0</v>
      </c>
      <c r="AH1957" s="52" t="n">
        <v>0</v>
      </c>
      <c r="AI1957" s="52" t="n">
        <v>0</v>
      </c>
      <c r="AJ1957" s="52" t="n">
        <v>0</v>
      </c>
      <c r="AK1957" s="52" t="n">
        <v>0</v>
      </c>
      <c r="AL1957" s="52" t="n">
        <v>0</v>
      </c>
      <c r="AM1957" s="53" t="n">
        <v>0</v>
      </c>
      <c r="AN1957" s="53" t="n">
        <v>0</v>
      </c>
      <c r="AO1957" s="53" t="n">
        <v>0</v>
      </c>
      <c r="AP1957" s="53" t="n">
        <v>0</v>
      </c>
      <c r="AQ1957" s="52" t="n">
        <v>0</v>
      </c>
      <c r="AR1957" s="52" t="n">
        <v>0</v>
      </c>
      <c r="AS1957" s="52" t="n">
        <v>0</v>
      </c>
      <c r="AT1957" s="52" t="n">
        <v>0</v>
      </c>
      <c r="AU1957" s="53" t="n">
        <v>0</v>
      </c>
      <c r="AV1957" s="53" t="n">
        <v>0</v>
      </c>
      <c r="AW1957" s="53" t="n">
        <v>0</v>
      </c>
      <c r="AX1957" s="53" t="n">
        <v>0</v>
      </c>
      <c r="AY1957" s="52" t="n">
        <v>0</v>
      </c>
      <c r="AZ1957" s="52" t="n">
        <v>0</v>
      </c>
      <c r="BA1957" s="52" t="n">
        <v>0</v>
      </c>
      <c r="BB1957" s="52" t="n">
        <v>0</v>
      </c>
      <c r="BC1957" s="51" t="n">
        <v>0</v>
      </c>
      <c r="BD1957" s="51" t="n">
        <v>0</v>
      </c>
      <c r="BE1957" s="51" t="n">
        <v>0</v>
      </c>
      <c r="BF1957" s="51" t="n">
        <v>0</v>
      </c>
    </row>
    <row r="1958">
      <c r="A1958">
        <f>HYPERLINK("https://www.walmart.com/ip/286141891", "286141891")</f>
        <v/>
      </c>
      <c r="B1958" t="inlineStr">
        <is>
          <t>Catalonia Bedding Quilt Set,Lightweight Bedspread for Summer and Spring, Bedding Coverlet - Quilt and Pillow Shams, Queen, Grey/White</t>
        </is>
      </c>
      <c r="C1958" t="inlineStr">
        <is>
          <t>1CTBQ202QF-GYWT</t>
        </is>
      </c>
      <c r="D1958" t="inlineStr">
        <is>
          <t>Bedding Sets</t>
        </is>
      </c>
      <c r="E1958" t="inlineStr">
        <is>
          <t>Catalonia</t>
        </is>
      </c>
      <c r="F1958" t="inlineStr">
        <is>
          <t>Optimized,SEM,Quilt_Vinay</t>
        </is>
      </c>
      <c r="G1958" s="48" t="n">
        <v>0</v>
      </c>
      <c r="H1958" s="48" t="n">
        <v>0</v>
      </c>
      <c r="I1958" s="48" t="n">
        <v>0</v>
      </c>
      <c r="J1958" s="48" t="n">
        <v>0</v>
      </c>
      <c r="K1958" s="49" t="n">
        <v>0</v>
      </c>
      <c r="L1958" s="49" t="n">
        <v>0</v>
      </c>
      <c r="M1958" s="49" t="n">
        <v>0</v>
      </c>
      <c r="N1958" s="49" t="n">
        <v>0</v>
      </c>
      <c r="O1958" s="49" t="n">
        <v>0</v>
      </c>
      <c r="P1958" s="49" t="n">
        <v>0</v>
      </c>
      <c r="Q1958" s="49" t="n">
        <v>0</v>
      </c>
      <c r="R1958" s="49" t="n">
        <v>0</v>
      </c>
      <c r="S1958" s="50" t="n">
        <v>0</v>
      </c>
      <c r="T1958" s="50" t="n">
        <v>0</v>
      </c>
      <c r="U1958" s="50" t="n">
        <v>0</v>
      </c>
      <c r="V1958" s="50" t="n">
        <v>0</v>
      </c>
      <c r="W1958" s="51" t="n">
        <v>0</v>
      </c>
      <c r="X1958" s="51" t="n">
        <v>0</v>
      </c>
      <c r="Y1958" s="51" t="n">
        <v>0</v>
      </c>
      <c r="Z1958" s="51" t="n">
        <v>0</v>
      </c>
      <c r="AA1958" s="52" t="n">
        <v>0</v>
      </c>
      <c r="AB1958" s="52" t="n">
        <v>0</v>
      </c>
      <c r="AC1958" s="52" t="n">
        <v>0</v>
      </c>
      <c r="AD1958" s="52" t="n">
        <v>0</v>
      </c>
      <c r="AE1958" s="52" t="n">
        <v>0</v>
      </c>
      <c r="AF1958" s="52" t="n">
        <v>0</v>
      </c>
      <c r="AG1958" s="52" t="n">
        <v>0</v>
      </c>
      <c r="AH1958" s="52" t="n">
        <v>0</v>
      </c>
      <c r="AI1958" s="52" t="n">
        <v>0</v>
      </c>
      <c r="AJ1958" s="52" t="n">
        <v>0</v>
      </c>
      <c r="AK1958" s="52" t="n">
        <v>0</v>
      </c>
      <c r="AL1958" s="52" t="n">
        <v>0</v>
      </c>
      <c r="AM1958" s="53" t="n">
        <v>0</v>
      </c>
      <c r="AN1958" s="53" t="n">
        <v>0</v>
      </c>
      <c r="AO1958" s="53" t="n">
        <v>0</v>
      </c>
      <c r="AP1958" s="53" t="n">
        <v>0</v>
      </c>
      <c r="AQ1958" s="52" t="n">
        <v>0</v>
      </c>
      <c r="AR1958" s="52" t="n">
        <v>0</v>
      </c>
      <c r="AS1958" s="52" t="n">
        <v>0</v>
      </c>
      <c r="AT1958" s="52" t="n">
        <v>0</v>
      </c>
      <c r="AU1958" s="53" t="n">
        <v>0</v>
      </c>
      <c r="AV1958" s="53" t="n">
        <v>0</v>
      </c>
      <c r="AW1958" s="53" t="n">
        <v>0</v>
      </c>
      <c r="AX1958" s="53" t="n">
        <v>0</v>
      </c>
      <c r="AY1958" s="52" t="n">
        <v>0</v>
      </c>
      <c r="AZ1958" s="52" t="n">
        <v>0</v>
      </c>
      <c r="BA1958" s="52" t="n">
        <v>0</v>
      </c>
      <c r="BB1958" s="52" t="n">
        <v>0</v>
      </c>
      <c r="BC1958" s="51" t="n">
        <v>0</v>
      </c>
      <c r="BD1958" s="51" t="n">
        <v>0</v>
      </c>
      <c r="BE1958" s="51" t="n">
        <v>0</v>
      </c>
      <c r="BF1958" s="51" t="n">
        <v>0</v>
      </c>
    </row>
    <row r="1959">
      <c r="A1959">
        <f>HYPERLINK("https://www.walmart.com/ip/2862247435", "2862247435")</f>
        <v/>
      </c>
      <c r="B1959" t="inlineStr">
        <is>
          <t>Dickies Insulated Lunch Bag Satchel for Girls School and Work, Thermal Reusable Office Lunch Box for Women (Charcoal)</t>
        </is>
      </c>
      <c r="C1959" t="inlineStr">
        <is>
          <t>DK-LUNCH-SATCHEL-RETROYELLOW</t>
        </is>
      </c>
      <c r="D1959" t="inlineStr">
        <is>
          <t>Reusable Lunch Bags &amp; Boxes</t>
        </is>
      </c>
      <c r="E1959" t="inlineStr">
        <is>
          <t>Dickies</t>
        </is>
      </c>
      <c r="G1959" s="48" t="n">
        <v>0</v>
      </c>
      <c r="H1959" s="48" t="n">
        <v>0</v>
      </c>
      <c r="I1959" s="48" t="n">
        <v>0</v>
      </c>
      <c r="J1959" s="48" t="n">
        <v>0</v>
      </c>
      <c r="K1959" s="49" t="n">
        <v>0</v>
      </c>
      <c r="L1959" s="49" t="n">
        <v>0</v>
      </c>
      <c r="M1959" s="49" t="n">
        <v>0</v>
      </c>
      <c r="N1959" s="49" t="n">
        <v>0</v>
      </c>
      <c r="O1959" s="49" t="n">
        <v>0</v>
      </c>
      <c r="P1959" s="49" t="n">
        <v>0</v>
      </c>
      <c r="Q1959" s="49" t="n">
        <v>0</v>
      </c>
      <c r="R1959" s="49" t="n">
        <v>0</v>
      </c>
      <c r="S1959" s="50" t="n">
        <v>0</v>
      </c>
      <c r="T1959" s="50" t="n">
        <v>0</v>
      </c>
      <c r="U1959" s="50" t="n">
        <v>0</v>
      </c>
      <c r="V1959" s="50" t="n">
        <v>0</v>
      </c>
      <c r="W1959" s="51" t="n">
        <v>0</v>
      </c>
      <c r="X1959" s="51" t="n">
        <v>0</v>
      </c>
      <c r="Y1959" s="51" t="n">
        <v>0</v>
      </c>
      <c r="Z1959" s="51" t="n">
        <v>0</v>
      </c>
      <c r="AA1959" s="52" t="n">
        <v>0</v>
      </c>
      <c r="AB1959" s="52" t="n">
        <v>0</v>
      </c>
      <c r="AC1959" s="52" t="n">
        <v>0</v>
      </c>
      <c r="AD1959" s="52" t="n">
        <v>0</v>
      </c>
      <c r="AE1959" s="52" t="n">
        <v>0</v>
      </c>
      <c r="AF1959" s="52" t="n">
        <v>0</v>
      </c>
      <c r="AG1959" s="52" t="n">
        <v>0</v>
      </c>
      <c r="AH1959" s="52" t="n">
        <v>0</v>
      </c>
      <c r="AI1959" s="52" t="n">
        <v>0</v>
      </c>
      <c r="AJ1959" s="52" t="n">
        <v>0</v>
      </c>
      <c r="AK1959" s="52" t="n">
        <v>0</v>
      </c>
      <c r="AL1959" s="52" t="n">
        <v>0</v>
      </c>
      <c r="AM1959" s="53" t="n">
        <v>0</v>
      </c>
      <c r="AN1959" s="53" t="n">
        <v>0</v>
      </c>
      <c r="AO1959" s="53" t="n">
        <v>0</v>
      </c>
      <c r="AP1959" s="53" t="n">
        <v>0</v>
      </c>
      <c r="AQ1959" s="52" t="n">
        <v>0</v>
      </c>
      <c r="AR1959" s="52" t="n">
        <v>0</v>
      </c>
      <c r="AS1959" s="52" t="n">
        <v>0</v>
      </c>
      <c r="AT1959" s="52" t="n">
        <v>0</v>
      </c>
      <c r="AU1959" s="53" t="n">
        <v>0</v>
      </c>
      <c r="AV1959" s="53" t="n">
        <v>0</v>
      </c>
      <c r="AW1959" s="53" t="n">
        <v>0</v>
      </c>
      <c r="AX1959" s="53" t="n">
        <v>0</v>
      </c>
      <c r="AY1959" s="52" t="n">
        <v>0</v>
      </c>
      <c r="AZ1959" s="52" t="n">
        <v>0</v>
      </c>
      <c r="BA1959" s="52" t="n">
        <v>0</v>
      </c>
      <c r="BB1959" s="52" t="n">
        <v>0</v>
      </c>
      <c r="BC1959" s="51" t="n">
        <v>0</v>
      </c>
      <c r="BD1959" s="51" t="n">
        <v>0</v>
      </c>
      <c r="BE1959" s="51" t="n">
        <v>0</v>
      </c>
      <c r="BF1959" s="51" t="n">
        <v>0</v>
      </c>
    </row>
    <row r="1960">
      <c r="A1960">
        <f>HYPERLINK("https://www.walmart.com/ip/287921200", "287921200")</f>
        <v/>
      </c>
      <c r="B1960" t="inlineStr">
        <is>
          <t>Tirrinia Sherpa Fleece Throw Blanket, Ultra-Soft, Dual-Sided Sherpa and Mink, Grey, 50'' x 60''</t>
        </is>
      </c>
      <c r="C1960" t="inlineStr">
        <is>
          <t>1TNBF300GY-TPB</t>
        </is>
      </c>
      <c r="D1960" t="inlineStr">
        <is>
          <t>Throws</t>
        </is>
      </c>
      <c r="E1960" t="inlineStr">
        <is>
          <t>Tirrinia</t>
        </is>
      </c>
      <c r="F1960" t="inlineStr">
        <is>
          <t>Optimized,WFS,WFS Item</t>
        </is>
      </c>
      <c r="G1960" s="48" t="n">
        <v>0</v>
      </c>
      <c r="H1960" s="48" t="n">
        <v>0</v>
      </c>
      <c r="I1960" s="48" t="n">
        <v>0</v>
      </c>
      <c r="J1960" s="48" t="n">
        <v>0</v>
      </c>
      <c r="K1960" s="49" t="n">
        <v>0</v>
      </c>
      <c r="L1960" s="49" t="n">
        <v>0</v>
      </c>
      <c r="M1960" s="49" t="n">
        <v>0</v>
      </c>
      <c r="N1960" s="49" t="n">
        <v>0</v>
      </c>
      <c r="O1960" s="49" t="n">
        <v>0</v>
      </c>
      <c r="P1960" s="49" t="n">
        <v>0</v>
      </c>
      <c r="Q1960" s="49" t="n">
        <v>0</v>
      </c>
      <c r="R1960" s="49" t="n">
        <v>0</v>
      </c>
      <c r="S1960" s="50" t="n">
        <v>0</v>
      </c>
      <c r="T1960" s="50" t="n">
        <v>0</v>
      </c>
      <c r="U1960" s="50" t="n">
        <v>0</v>
      </c>
      <c r="V1960" s="50" t="n">
        <v>0</v>
      </c>
      <c r="W1960" s="51" t="n">
        <v>0</v>
      </c>
      <c r="X1960" s="51" t="n">
        <v>0</v>
      </c>
      <c r="Y1960" s="51" t="n">
        <v>0</v>
      </c>
      <c r="Z1960" s="51" t="n">
        <v>0</v>
      </c>
      <c r="AA1960" s="52" t="n">
        <v>0</v>
      </c>
      <c r="AB1960" s="52" t="n">
        <v>0</v>
      </c>
      <c r="AC1960" s="52" t="n">
        <v>0</v>
      </c>
      <c r="AD1960" s="52" t="n">
        <v>0</v>
      </c>
      <c r="AE1960" s="52" t="n">
        <v>0</v>
      </c>
      <c r="AF1960" s="52" t="n">
        <v>0</v>
      </c>
      <c r="AG1960" s="52" t="n">
        <v>0</v>
      </c>
      <c r="AH1960" s="52" t="n">
        <v>0</v>
      </c>
      <c r="AI1960" s="52" t="n">
        <v>0</v>
      </c>
      <c r="AJ1960" s="52" t="n">
        <v>0</v>
      </c>
      <c r="AK1960" s="52" t="n">
        <v>0</v>
      </c>
      <c r="AL1960" s="52" t="n">
        <v>0</v>
      </c>
      <c r="AM1960" s="53" t="n">
        <v>0</v>
      </c>
      <c r="AN1960" s="53" t="n">
        <v>0</v>
      </c>
      <c r="AO1960" s="53" t="n">
        <v>0</v>
      </c>
      <c r="AP1960" s="53" t="n">
        <v>0</v>
      </c>
      <c r="AQ1960" s="52" t="n">
        <v>0</v>
      </c>
      <c r="AR1960" s="52" t="n">
        <v>0</v>
      </c>
      <c r="AS1960" s="52" t="n">
        <v>0</v>
      </c>
      <c r="AT1960" s="52" t="n">
        <v>0</v>
      </c>
      <c r="AU1960" s="53" t="n">
        <v>0</v>
      </c>
      <c r="AV1960" s="53" t="n">
        <v>0</v>
      </c>
      <c r="AW1960" s="53" t="n">
        <v>0</v>
      </c>
      <c r="AX1960" s="53" t="n">
        <v>0</v>
      </c>
      <c r="AY1960" s="52" t="n">
        <v>0</v>
      </c>
      <c r="AZ1960" s="52" t="n">
        <v>0</v>
      </c>
      <c r="BA1960" s="52" t="n">
        <v>0</v>
      </c>
      <c r="BB1960" s="52" t="n">
        <v>0</v>
      </c>
      <c r="BC1960" s="51" t="n">
        <v>0</v>
      </c>
      <c r="BD1960" s="51" t="n">
        <v>0</v>
      </c>
      <c r="BE1960" s="51" t="n">
        <v>0</v>
      </c>
      <c r="BF1960" s="51" t="n">
        <v>0</v>
      </c>
    </row>
    <row r="1961">
      <c r="A1961">
        <f>HYPERLINK("https://www.walmart.com/ip/289042027", "289042027")</f>
        <v/>
      </c>
      <c r="B1961" t="inlineStr">
        <is>
          <t>Flyingstar Waterproof Blanket, Picnic Blanket with Sherpa Lining, Windproof Triple Layers Warm Comfy Foldable Blanket for Camping, Stadium, Sports, Grass, Concerts, and Pets, Red Plaid, 51'' x 59''</t>
        </is>
      </c>
      <c r="C1961" t="inlineStr">
        <is>
          <t>1WMBW506PRD</t>
        </is>
      </c>
      <c r="D1961" t="inlineStr">
        <is>
          <t>Picnic Blankets &amp; Mats</t>
        </is>
      </c>
      <c r="E1961" t="inlineStr">
        <is>
          <t>Flyingstar</t>
        </is>
      </c>
      <c r="F1961" t="inlineStr">
        <is>
          <t>Q2-Target,Batch 1 - TR</t>
        </is>
      </c>
      <c r="G1961" s="48" t="n">
        <v>0</v>
      </c>
      <c r="H1961" s="48" t="n">
        <v>0</v>
      </c>
      <c r="I1961" s="48" t="n">
        <v>0</v>
      </c>
      <c r="J1961" s="48" t="n">
        <v>0</v>
      </c>
      <c r="K1961" s="49" t="n">
        <v>0</v>
      </c>
      <c r="L1961" s="49" t="n">
        <v>0</v>
      </c>
      <c r="M1961" s="49" t="n">
        <v>0</v>
      </c>
      <c r="N1961" s="49" t="n">
        <v>0</v>
      </c>
      <c r="O1961" s="49" t="n">
        <v>0</v>
      </c>
      <c r="P1961" s="49" t="n">
        <v>0</v>
      </c>
      <c r="Q1961" s="49" t="n">
        <v>0</v>
      </c>
      <c r="R1961" s="49" t="n">
        <v>0</v>
      </c>
      <c r="S1961" s="50" t="n">
        <v>0</v>
      </c>
      <c r="T1961" s="50" t="n">
        <v>0</v>
      </c>
      <c r="U1961" s="50" t="n">
        <v>0</v>
      </c>
      <c r="V1961" s="50" t="n">
        <v>0</v>
      </c>
      <c r="W1961" s="51" t="n">
        <v>0</v>
      </c>
      <c r="X1961" s="51" t="n">
        <v>0</v>
      </c>
      <c r="Y1961" s="51" t="n">
        <v>0</v>
      </c>
      <c r="Z1961" s="51" t="n">
        <v>0</v>
      </c>
      <c r="AA1961" s="52" t="n">
        <v>0</v>
      </c>
      <c r="AB1961" s="52" t="n">
        <v>0</v>
      </c>
      <c r="AC1961" s="52" t="n">
        <v>0</v>
      </c>
      <c r="AD1961" s="52" t="n">
        <v>0</v>
      </c>
      <c r="AE1961" s="52" t="n">
        <v>0</v>
      </c>
      <c r="AF1961" s="52" t="n">
        <v>0</v>
      </c>
      <c r="AG1961" s="52" t="n">
        <v>0</v>
      </c>
      <c r="AH1961" s="52" t="n">
        <v>0</v>
      </c>
      <c r="AI1961" s="52" t="n">
        <v>0</v>
      </c>
      <c r="AJ1961" s="52" t="n">
        <v>0</v>
      </c>
      <c r="AK1961" s="52" t="n">
        <v>0</v>
      </c>
      <c r="AL1961" s="52" t="n">
        <v>0</v>
      </c>
      <c r="AM1961" s="53" t="n">
        <v>0</v>
      </c>
      <c r="AN1961" s="53" t="n">
        <v>0</v>
      </c>
      <c r="AO1961" s="53" t="n">
        <v>0</v>
      </c>
      <c r="AP1961" s="53" t="n">
        <v>0</v>
      </c>
      <c r="AQ1961" s="52" t="n">
        <v>0</v>
      </c>
      <c r="AR1961" s="52" t="n">
        <v>0</v>
      </c>
      <c r="AS1961" s="52" t="n">
        <v>0</v>
      </c>
      <c r="AT1961" s="52" t="n">
        <v>0</v>
      </c>
      <c r="AU1961" s="53" t="n">
        <v>0</v>
      </c>
      <c r="AV1961" s="53" t="n">
        <v>0</v>
      </c>
      <c r="AW1961" s="53" t="n">
        <v>0</v>
      </c>
      <c r="AX1961" s="53" t="n">
        <v>0</v>
      </c>
      <c r="AY1961" s="52" t="n">
        <v>0</v>
      </c>
      <c r="AZ1961" s="52" t="n">
        <v>0</v>
      </c>
      <c r="BA1961" s="52" t="n">
        <v>0</v>
      </c>
      <c r="BB1961" s="52" t="n">
        <v>0</v>
      </c>
      <c r="BC1961" s="51" t="n">
        <v>0</v>
      </c>
      <c r="BD1961" s="51" t="n">
        <v>0</v>
      </c>
      <c r="BE1961" s="51" t="n">
        <v>0</v>
      </c>
      <c r="BF1961" s="51" t="n">
        <v>0</v>
      </c>
    </row>
    <row r="1962">
      <c r="A1962">
        <f>HYPERLINK("https://www.walmart.com/ip/289431388", "289431388")</f>
        <v/>
      </c>
      <c r="B1962" t="inlineStr">
        <is>
          <t>Flyingstar Sherpa Throws Blanket, Fleece Soft Cozy Blanket Throws for Sofa Bed 50"x60"</t>
        </is>
      </c>
      <c r="C1962" t="inlineStr">
        <is>
          <t>1WMBF573HPSOLE</t>
        </is>
      </c>
      <c r="D1962" t="inlineStr">
        <is>
          <t>Throws</t>
        </is>
      </c>
      <c r="E1962" t="inlineStr">
        <is>
          <t>Flyingstar</t>
        </is>
      </c>
      <c r="F1962" t="inlineStr">
        <is>
          <t>Optimized</t>
        </is>
      </c>
      <c r="G1962" s="48" t="n">
        <v>0</v>
      </c>
      <c r="H1962" s="48" t="n">
        <v>0</v>
      </c>
      <c r="I1962" s="48" t="n">
        <v>0</v>
      </c>
      <c r="J1962" s="48" t="n">
        <v>0</v>
      </c>
      <c r="K1962" s="49" t="n">
        <v>0</v>
      </c>
      <c r="L1962" s="49" t="n">
        <v>0</v>
      </c>
      <c r="M1962" s="49" t="n">
        <v>0</v>
      </c>
      <c r="N1962" s="49" t="n">
        <v>0</v>
      </c>
      <c r="O1962" s="49" t="n">
        <v>0</v>
      </c>
      <c r="P1962" s="49" t="n">
        <v>0</v>
      </c>
      <c r="Q1962" s="49" t="n">
        <v>0</v>
      </c>
      <c r="R1962" s="49" t="n">
        <v>0</v>
      </c>
      <c r="S1962" s="50" t="n">
        <v>0</v>
      </c>
      <c r="T1962" s="50" t="n">
        <v>0</v>
      </c>
      <c r="U1962" s="50" t="n">
        <v>0</v>
      </c>
      <c r="V1962" s="50" t="n">
        <v>0</v>
      </c>
      <c r="W1962" s="51" t="n">
        <v>0</v>
      </c>
      <c r="X1962" s="51" t="n">
        <v>0</v>
      </c>
      <c r="Y1962" s="51" t="n">
        <v>0</v>
      </c>
      <c r="Z1962" s="51" t="n">
        <v>0</v>
      </c>
      <c r="AA1962" s="52" t="n">
        <v>0</v>
      </c>
      <c r="AB1962" s="52" t="n">
        <v>0</v>
      </c>
      <c r="AC1962" s="52" t="n">
        <v>0</v>
      </c>
      <c r="AD1962" s="52" t="n">
        <v>0</v>
      </c>
      <c r="AE1962" s="52" t="n">
        <v>0</v>
      </c>
      <c r="AF1962" s="52" t="n">
        <v>0</v>
      </c>
      <c r="AG1962" s="52" t="n">
        <v>0</v>
      </c>
      <c r="AH1962" s="52" t="n">
        <v>0</v>
      </c>
      <c r="AI1962" s="52" t="n">
        <v>0</v>
      </c>
      <c r="AJ1962" s="52" t="n">
        <v>0</v>
      </c>
      <c r="AK1962" s="52" t="n">
        <v>0</v>
      </c>
      <c r="AL1962" s="52" t="n">
        <v>0</v>
      </c>
      <c r="AM1962" s="53" t="n">
        <v>0</v>
      </c>
      <c r="AN1962" s="53" t="n">
        <v>0</v>
      </c>
      <c r="AO1962" s="53" t="n">
        <v>0</v>
      </c>
      <c r="AP1962" s="53" t="n">
        <v>0</v>
      </c>
      <c r="AQ1962" s="52" t="n">
        <v>0</v>
      </c>
      <c r="AR1962" s="52" t="n">
        <v>0</v>
      </c>
      <c r="AS1962" s="52" t="n">
        <v>0</v>
      </c>
      <c r="AT1962" s="52" t="n">
        <v>0</v>
      </c>
      <c r="AU1962" s="53" t="n">
        <v>0</v>
      </c>
      <c r="AV1962" s="53" t="n">
        <v>0</v>
      </c>
      <c r="AW1962" s="53" t="n">
        <v>0</v>
      </c>
      <c r="AX1962" s="53" t="n">
        <v>0</v>
      </c>
      <c r="AY1962" s="52" t="n">
        <v>0</v>
      </c>
      <c r="AZ1962" s="52" t="n">
        <v>0</v>
      </c>
      <c r="BA1962" s="52" t="n">
        <v>0</v>
      </c>
      <c r="BB1962" s="52" t="n">
        <v>0</v>
      </c>
      <c r="BC1962" s="51" t="n">
        <v>0</v>
      </c>
      <c r="BD1962" s="51" t="n">
        <v>0</v>
      </c>
      <c r="BE1962" s="51" t="n">
        <v>0</v>
      </c>
      <c r="BF1962" s="51" t="n">
        <v>0</v>
      </c>
    </row>
    <row r="1963">
      <c r="A1963">
        <f>HYPERLINK("https://www.walmart.com/ip/2895742888", "2895742888")</f>
        <v/>
      </c>
      <c r="B1963" t="inlineStr">
        <is>
          <t>Catalonia Fleece Wearable Blanket with Sleeves and Pocket, Micro Plush Warm Sleeved TV Throw Sherpa Blanket Robe for Women and Men 72”X55”, Moose Red</t>
        </is>
      </c>
      <c r="C1963" t="inlineStr">
        <is>
          <t>1CTSN110RDMOOSE</t>
        </is>
      </c>
      <c r="D1963" t="inlineStr">
        <is>
          <t>Throws</t>
        </is>
      </c>
      <c r="E1963" t="inlineStr">
        <is>
          <t>Catalonia</t>
        </is>
      </c>
      <c r="F1963" t="inlineStr">
        <is>
          <t>Q2-Target,Coupon_Discount,Batch 1 - TR</t>
        </is>
      </c>
      <c r="G1963" s="48" t="n">
        <v>0</v>
      </c>
      <c r="H1963" s="48" t="n">
        <v>0</v>
      </c>
      <c r="I1963" s="48" t="n">
        <v>0</v>
      </c>
      <c r="J1963" s="48" t="n">
        <v>0</v>
      </c>
      <c r="K1963" s="49" t="n">
        <v>0</v>
      </c>
      <c r="L1963" s="49" t="n">
        <v>0</v>
      </c>
      <c r="M1963" s="49" t="n">
        <v>0</v>
      </c>
      <c r="N1963" s="49" t="n">
        <v>0</v>
      </c>
      <c r="O1963" s="49" t="n">
        <v>0</v>
      </c>
      <c r="P1963" s="49" t="n">
        <v>0</v>
      </c>
      <c r="Q1963" s="49" t="n">
        <v>0</v>
      </c>
      <c r="R1963" s="49" t="n">
        <v>0</v>
      </c>
      <c r="S1963" s="50" t="n">
        <v>0</v>
      </c>
      <c r="T1963" s="50" t="n">
        <v>0</v>
      </c>
      <c r="U1963" s="50" t="n">
        <v>0</v>
      </c>
      <c r="V1963" s="50" t="n">
        <v>0</v>
      </c>
      <c r="W1963" s="51" t="n">
        <v>0</v>
      </c>
      <c r="X1963" s="51" t="n">
        <v>0</v>
      </c>
      <c r="Y1963" s="51" t="n">
        <v>0</v>
      </c>
      <c r="Z1963" s="51" t="n">
        <v>0</v>
      </c>
      <c r="AA1963" s="52" t="n">
        <v>0</v>
      </c>
      <c r="AB1963" s="52" t="n">
        <v>0</v>
      </c>
      <c r="AC1963" s="52" t="n">
        <v>0</v>
      </c>
      <c r="AD1963" s="52" t="n">
        <v>0</v>
      </c>
      <c r="AE1963" s="52" t="n">
        <v>0</v>
      </c>
      <c r="AF1963" s="52" t="n">
        <v>0</v>
      </c>
      <c r="AG1963" s="52" t="n">
        <v>0</v>
      </c>
      <c r="AH1963" s="52" t="n">
        <v>0</v>
      </c>
      <c r="AI1963" s="52" t="n">
        <v>0</v>
      </c>
      <c r="AJ1963" s="52" t="n">
        <v>0</v>
      </c>
      <c r="AK1963" s="52" t="n">
        <v>0</v>
      </c>
      <c r="AL1963" s="52" t="n">
        <v>0</v>
      </c>
      <c r="AM1963" s="53" t="n">
        <v>0</v>
      </c>
      <c r="AN1963" s="53" t="n">
        <v>0</v>
      </c>
      <c r="AO1963" s="53" t="n">
        <v>0</v>
      </c>
      <c r="AP1963" s="53" t="n">
        <v>0</v>
      </c>
      <c r="AQ1963" s="52" t="n">
        <v>0</v>
      </c>
      <c r="AR1963" s="52" t="n">
        <v>0</v>
      </c>
      <c r="AS1963" s="52" t="n">
        <v>0</v>
      </c>
      <c r="AT1963" s="52" t="n">
        <v>0</v>
      </c>
      <c r="AU1963" s="53" t="n">
        <v>0</v>
      </c>
      <c r="AV1963" s="53" t="n">
        <v>0</v>
      </c>
      <c r="AW1963" s="53" t="n">
        <v>0</v>
      </c>
      <c r="AX1963" s="53" t="n">
        <v>0</v>
      </c>
      <c r="AY1963" s="52" t="n">
        <v>0</v>
      </c>
      <c r="AZ1963" s="52" t="n">
        <v>0</v>
      </c>
      <c r="BA1963" s="52" t="n">
        <v>0</v>
      </c>
      <c r="BB1963" s="52" t="n">
        <v>0</v>
      </c>
      <c r="BC1963" s="51" t="n">
        <v>0</v>
      </c>
      <c r="BD1963" s="51" t="n">
        <v>0</v>
      </c>
      <c r="BE1963" s="51" t="n">
        <v>0</v>
      </c>
      <c r="BF1963" s="51" t="n">
        <v>0</v>
      </c>
    </row>
    <row r="1964">
      <c r="A1964">
        <f>HYPERLINK("https://www.walmart.com/ip/289597962", "289597962")</f>
        <v/>
      </c>
      <c r="B1964" t="inlineStr">
        <is>
          <t>Tirrinia Insulated Lunch Bag, Leakproof Thermal Bento Cooler Tote for Women and Men, Dual Compartment with Shoulder Strap, 10.2" x 7.5" x 9", Dark Gray</t>
        </is>
      </c>
      <c r="C1964" t="inlineStr">
        <is>
          <t>1TRLB601DG</t>
        </is>
      </c>
      <c r="D1964" t="inlineStr">
        <is>
          <t>Reusable Lunch Bags &amp; Boxes</t>
        </is>
      </c>
      <c r="E1964" t="inlineStr">
        <is>
          <t>Tirrinia</t>
        </is>
      </c>
      <c r="F1964" t="inlineStr">
        <is>
          <t>Q2-Target,Lunch Bag,WFS,Lunch Bags,SEM,WFS Item</t>
        </is>
      </c>
      <c r="G1964" s="48" t="n">
        <v>0</v>
      </c>
      <c r="H1964" s="48" t="n">
        <v>0</v>
      </c>
      <c r="I1964" s="48" t="n">
        <v>0</v>
      </c>
      <c r="J1964" s="48" t="n">
        <v>0</v>
      </c>
      <c r="K1964" s="49" t="n">
        <v>0</v>
      </c>
      <c r="L1964" s="49" t="n">
        <v>0</v>
      </c>
      <c r="M1964" s="49" t="n">
        <v>0</v>
      </c>
      <c r="N1964" s="49" t="n">
        <v>0</v>
      </c>
      <c r="O1964" s="49" t="n">
        <v>0</v>
      </c>
      <c r="P1964" s="49" t="n">
        <v>0</v>
      </c>
      <c r="Q1964" s="49" t="n">
        <v>0</v>
      </c>
      <c r="R1964" s="49" t="n">
        <v>0</v>
      </c>
      <c r="S1964" s="50" t="n">
        <v>0</v>
      </c>
      <c r="T1964" s="50" t="n">
        <v>0</v>
      </c>
      <c r="U1964" s="50" t="n">
        <v>0</v>
      </c>
      <c r="V1964" s="50" t="n">
        <v>0</v>
      </c>
      <c r="W1964" s="51" t="n">
        <v>0</v>
      </c>
      <c r="X1964" s="51" t="n">
        <v>0</v>
      </c>
      <c r="Y1964" s="51" t="n">
        <v>0</v>
      </c>
      <c r="Z1964" s="51" t="n">
        <v>0</v>
      </c>
      <c r="AA1964" s="52" t="n">
        <v>0</v>
      </c>
      <c r="AB1964" s="52" t="n">
        <v>0</v>
      </c>
      <c r="AC1964" s="52" t="n">
        <v>0</v>
      </c>
      <c r="AD1964" s="52" t="n">
        <v>0</v>
      </c>
      <c r="AE1964" s="52" t="n">
        <v>0</v>
      </c>
      <c r="AF1964" s="52" t="n">
        <v>0</v>
      </c>
      <c r="AG1964" s="52" t="n">
        <v>0</v>
      </c>
      <c r="AH1964" s="52" t="n">
        <v>0</v>
      </c>
      <c r="AI1964" s="52" t="n">
        <v>0</v>
      </c>
      <c r="AJ1964" s="52" t="n">
        <v>0</v>
      </c>
      <c r="AK1964" s="52" t="n">
        <v>0</v>
      </c>
      <c r="AL1964" s="52" t="n">
        <v>0</v>
      </c>
      <c r="AM1964" s="53" t="n">
        <v>0</v>
      </c>
      <c r="AN1964" s="53" t="n">
        <v>0</v>
      </c>
      <c r="AO1964" s="53" t="n">
        <v>0</v>
      </c>
      <c r="AP1964" s="53" t="n">
        <v>0</v>
      </c>
      <c r="AQ1964" s="52" t="n">
        <v>0</v>
      </c>
      <c r="AR1964" s="52" t="n">
        <v>0</v>
      </c>
      <c r="AS1964" s="52" t="n">
        <v>0</v>
      </c>
      <c r="AT1964" s="52" t="n">
        <v>0</v>
      </c>
      <c r="AU1964" s="53" t="n">
        <v>0</v>
      </c>
      <c r="AV1964" s="53" t="n">
        <v>0</v>
      </c>
      <c r="AW1964" s="53" t="n">
        <v>0</v>
      </c>
      <c r="AX1964" s="53" t="n">
        <v>0</v>
      </c>
      <c r="AY1964" s="52" t="n">
        <v>0</v>
      </c>
      <c r="AZ1964" s="52" t="n">
        <v>0</v>
      </c>
      <c r="BA1964" s="52" t="n">
        <v>0</v>
      </c>
      <c r="BB1964" s="52" t="n">
        <v>0</v>
      </c>
      <c r="BC1964" s="51" t="n">
        <v>0</v>
      </c>
      <c r="BD1964" s="51" t="n">
        <v>0</v>
      </c>
      <c r="BE1964" s="51" t="n">
        <v>0</v>
      </c>
      <c r="BF1964" s="51" t="n">
        <v>0</v>
      </c>
    </row>
    <row r="1965">
      <c r="A1965">
        <f>HYPERLINK("https://www.walmart.com/ip/2901486666", "2901486666")</f>
        <v/>
      </c>
      <c r="B1965" t="inlineStr">
        <is>
          <t>Catalonia Cow Print Sherpa Fleece Blanket, Super Soft Warm Cozy Flannel Reversible Throw Blanket for Couch Sofa Bed, Brown Horse Pattern, 50" x 60".</t>
        </is>
      </c>
      <c r="C1965" t="inlineStr">
        <is>
          <t>1CTBF300TPHORSE</t>
        </is>
      </c>
      <c r="D1965" t="inlineStr">
        <is>
          <t>Throws</t>
        </is>
      </c>
      <c r="E1965" t="inlineStr">
        <is>
          <t>Catalonia</t>
        </is>
      </c>
      <c r="F1965" t="inlineStr">
        <is>
          <t>Q2-Target,Coupon_Discount,Fleece Blankets</t>
        </is>
      </c>
      <c r="G1965" s="48" t="n">
        <v>0</v>
      </c>
      <c r="H1965" s="48" t="n">
        <v>0</v>
      </c>
      <c r="I1965" s="48" t="n">
        <v>0</v>
      </c>
      <c r="J1965" s="48" t="n">
        <v>0</v>
      </c>
      <c r="K1965" s="49" t="n">
        <v>0</v>
      </c>
      <c r="L1965" s="49" t="n">
        <v>0</v>
      </c>
      <c r="M1965" s="49" t="n">
        <v>0</v>
      </c>
      <c r="N1965" s="49" t="n">
        <v>0</v>
      </c>
      <c r="O1965" s="49" t="n">
        <v>0</v>
      </c>
      <c r="P1965" s="49" t="n">
        <v>0</v>
      </c>
      <c r="Q1965" s="49" t="n">
        <v>0</v>
      </c>
      <c r="R1965" s="49" t="n">
        <v>0</v>
      </c>
      <c r="S1965" s="50" t="n">
        <v>0</v>
      </c>
      <c r="T1965" s="50" t="n">
        <v>0</v>
      </c>
      <c r="U1965" s="50" t="n">
        <v>0</v>
      </c>
      <c r="V1965" s="50" t="n">
        <v>0</v>
      </c>
      <c r="W1965" s="51" t="n">
        <v>0</v>
      </c>
      <c r="X1965" s="51" t="n">
        <v>0</v>
      </c>
      <c r="Y1965" s="51" t="n">
        <v>0</v>
      </c>
      <c r="Z1965" s="51" t="n">
        <v>0</v>
      </c>
      <c r="AA1965" s="52" t="n">
        <v>0</v>
      </c>
      <c r="AB1965" s="52" t="n">
        <v>0</v>
      </c>
      <c r="AC1965" s="52" t="n">
        <v>0</v>
      </c>
      <c r="AD1965" s="52" t="n">
        <v>0</v>
      </c>
      <c r="AE1965" s="52" t="n">
        <v>0</v>
      </c>
      <c r="AF1965" s="52" t="n">
        <v>0</v>
      </c>
      <c r="AG1965" s="52" t="n">
        <v>0</v>
      </c>
      <c r="AH1965" s="52" t="n">
        <v>0</v>
      </c>
      <c r="AI1965" s="52" t="n">
        <v>0</v>
      </c>
      <c r="AJ1965" s="52" t="n">
        <v>0</v>
      </c>
      <c r="AK1965" s="52" t="n">
        <v>0</v>
      </c>
      <c r="AL1965" s="52" t="n">
        <v>0</v>
      </c>
      <c r="AM1965" s="53" t="n">
        <v>0</v>
      </c>
      <c r="AN1965" s="53" t="n">
        <v>0</v>
      </c>
      <c r="AO1965" s="53" t="n">
        <v>0</v>
      </c>
      <c r="AP1965" s="53" t="n">
        <v>0</v>
      </c>
      <c r="AQ1965" s="52" t="n">
        <v>0</v>
      </c>
      <c r="AR1965" s="52" t="n">
        <v>0</v>
      </c>
      <c r="AS1965" s="52" t="n">
        <v>0</v>
      </c>
      <c r="AT1965" s="52" t="n">
        <v>0</v>
      </c>
      <c r="AU1965" s="53" t="n">
        <v>0</v>
      </c>
      <c r="AV1965" s="53" t="n">
        <v>0</v>
      </c>
      <c r="AW1965" s="53" t="n">
        <v>0</v>
      </c>
      <c r="AX1965" s="53" t="n">
        <v>0</v>
      </c>
      <c r="AY1965" s="52" t="n">
        <v>0</v>
      </c>
      <c r="AZ1965" s="52" t="n">
        <v>0</v>
      </c>
      <c r="BA1965" s="52" t="n">
        <v>0</v>
      </c>
      <c r="BB1965" s="52" t="n">
        <v>0</v>
      </c>
      <c r="BC1965" s="51" t="n">
        <v>0</v>
      </c>
      <c r="BD1965" s="51" t="n">
        <v>0</v>
      </c>
      <c r="BE1965" s="51" t="n">
        <v>0</v>
      </c>
      <c r="BF1965" s="51" t="n">
        <v>0</v>
      </c>
    </row>
    <row r="1966">
      <c r="A1966">
        <f>HYPERLINK("https://www.walmart.com/ip/290439708", "290439708")</f>
        <v/>
      </c>
      <c r="B1966" t="inlineStr">
        <is>
          <t>Catalonia Oversized Hoodie Blanket with Zipper, Wearable Sherpa Sweatshirt Pullover, Soft Warm Comfortable Jacket for Adults Men Women, Navy</t>
        </is>
      </c>
      <c r="C1966" t="inlineStr">
        <is>
          <t>1CTHD220DBL</t>
        </is>
      </c>
      <c r="D1966" t="inlineStr">
        <is>
          <t>Throws</t>
        </is>
      </c>
      <c r="E1966" t="inlineStr">
        <is>
          <t>Catalonia</t>
        </is>
      </c>
      <c r="F1966" t="inlineStr">
        <is>
          <t>Hoodie ForAdult,WFS,Coupon_Discount,WFS Item</t>
        </is>
      </c>
      <c r="G1966" s="48" t="n">
        <v>0</v>
      </c>
      <c r="H1966" s="48" t="n">
        <v>0</v>
      </c>
      <c r="I1966" s="48" t="n">
        <v>0</v>
      </c>
      <c r="J1966" s="48" t="n">
        <v>0</v>
      </c>
      <c r="K1966" s="49" t="n">
        <v>0</v>
      </c>
      <c r="L1966" s="49" t="n">
        <v>0</v>
      </c>
      <c r="M1966" s="49" t="n">
        <v>0</v>
      </c>
      <c r="N1966" s="49" t="n">
        <v>0</v>
      </c>
      <c r="O1966" s="49" t="n">
        <v>0</v>
      </c>
      <c r="P1966" s="49" t="n">
        <v>0</v>
      </c>
      <c r="Q1966" s="49" t="n">
        <v>0</v>
      </c>
      <c r="R1966" s="49" t="n">
        <v>0</v>
      </c>
      <c r="S1966" s="50" t="n">
        <v>0</v>
      </c>
      <c r="T1966" s="50" t="n">
        <v>0</v>
      </c>
      <c r="U1966" s="50" t="n">
        <v>0</v>
      </c>
      <c r="V1966" s="50" t="n">
        <v>0</v>
      </c>
      <c r="W1966" s="51" t="n">
        <v>0</v>
      </c>
      <c r="X1966" s="51" t="n">
        <v>0</v>
      </c>
      <c r="Y1966" s="51" t="n">
        <v>0</v>
      </c>
      <c r="Z1966" s="51" t="n">
        <v>0</v>
      </c>
      <c r="AA1966" s="52" t="n">
        <v>0</v>
      </c>
      <c r="AB1966" s="52" t="n">
        <v>0</v>
      </c>
      <c r="AC1966" s="52" t="n">
        <v>0</v>
      </c>
      <c r="AD1966" s="52" t="n">
        <v>0</v>
      </c>
      <c r="AE1966" s="52" t="n">
        <v>0</v>
      </c>
      <c r="AF1966" s="52" t="n">
        <v>0</v>
      </c>
      <c r="AG1966" s="52" t="n">
        <v>0</v>
      </c>
      <c r="AH1966" s="52" t="n">
        <v>0</v>
      </c>
      <c r="AI1966" s="52" t="n">
        <v>0</v>
      </c>
      <c r="AJ1966" s="52" t="n">
        <v>0</v>
      </c>
      <c r="AK1966" s="52" t="n">
        <v>0</v>
      </c>
      <c r="AL1966" s="52" t="n">
        <v>0</v>
      </c>
      <c r="AM1966" s="53" t="n">
        <v>0</v>
      </c>
      <c r="AN1966" s="53" t="n">
        <v>0</v>
      </c>
      <c r="AO1966" s="53" t="n">
        <v>0</v>
      </c>
      <c r="AP1966" s="53" t="n">
        <v>0</v>
      </c>
      <c r="AQ1966" s="52" t="n">
        <v>0</v>
      </c>
      <c r="AR1966" s="52" t="n">
        <v>0</v>
      </c>
      <c r="AS1966" s="52" t="n">
        <v>0</v>
      </c>
      <c r="AT1966" s="52" t="n">
        <v>0</v>
      </c>
      <c r="AU1966" s="53" t="n">
        <v>0</v>
      </c>
      <c r="AV1966" s="53" t="n">
        <v>0</v>
      </c>
      <c r="AW1966" s="53" t="n">
        <v>0</v>
      </c>
      <c r="AX1966" s="53" t="n">
        <v>0</v>
      </c>
      <c r="AY1966" s="52" t="n">
        <v>0</v>
      </c>
      <c r="AZ1966" s="52" t="n">
        <v>0</v>
      </c>
      <c r="BA1966" s="52" t="n">
        <v>0</v>
      </c>
      <c r="BB1966" s="52" t="n">
        <v>0</v>
      </c>
      <c r="BC1966" s="51" t="n">
        <v>0</v>
      </c>
      <c r="BD1966" s="51" t="n">
        <v>0</v>
      </c>
      <c r="BE1966" s="51" t="n">
        <v>0</v>
      </c>
      <c r="BF1966" s="51" t="n">
        <v>0</v>
      </c>
    </row>
    <row r="1967">
      <c r="A1967">
        <f>HYPERLINK("https://www.walmart.com/ip/282036777", "282036777")</f>
        <v/>
      </c>
      <c r="B1967" t="inlineStr">
        <is>
          <t>Solaris Womens Bucket Hat UV Sun Protection Lightweight Packable Summer Travel Beach Cap,Dark Gray</t>
        </is>
      </c>
      <c r="C1967" t="inlineStr">
        <is>
          <t>1SLSH189DG</t>
        </is>
      </c>
      <c r="D1967" t="inlineStr">
        <is>
          <t>Hats</t>
        </is>
      </c>
      <c r="E1967" t="inlineStr">
        <is>
          <t>Solaris</t>
        </is>
      </c>
      <c r="F1967" t="inlineStr">
        <is>
          <t>Q2-Target,Hats,Batch 1 - TR</t>
        </is>
      </c>
      <c r="G1967" s="48" t="n">
        <v>0</v>
      </c>
      <c r="H1967" s="48" t="n">
        <v>0</v>
      </c>
      <c r="I1967" s="48" t="n">
        <v>0</v>
      </c>
      <c r="J1967" s="48" t="n">
        <v>0</v>
      </c>
      <c r="K1967" s="49" t="n">
        <v>0</v>
      </c>
      <c r="L1967" s="49" t="n">
        <v>0</v>
      </c>
      <c r="M1967" s="49" t="n">
        <v>0</v>
      </c>
      <c r="N1967" s="49" t="n">
        <v>0</v>
      </c>
      <c r="O1967" s="49" t="n">
        <v>0</v>
      </c>
      <c r="P1967" s="49" t="n">
        <v>0</v>
      </c>
      <c r="Q1967" s="49" t="n">
        <v>0</v>
      </c>
      <c r="R1967" s="49" t="n">
        <v>0</v>
      </c>
      <c r="S1967" s="50" t="n">
        <v>0</v>
      </c>
      <c r="T1967" s="50" t="n">
        <v>0</v>
      </c>
      <c r="U1967" s="50" t="n">
        <v>0</v>
      </c>
      <c r="V1967" s="50" t="n">
        <v>0</v>
      </c>
      <c r="W1967" s="51" t="n">
        <v>0</v>
      </c>
      <c r="X1967" s="51" t="n">
        <v>0</v>
      </c>
      <c r="Y1967" s="51" t="n">
        <v>0</v>
      </c>
      <c r="Z1967" s="51" t="n">
        <v>0</v>
      </c>
      <c r="AA1967" s="52" t="n">
        <v>0</v>
      </c>
      <c r="AB1967" s="52" t="n">
        <v>0</v>
      </c>
      <c r="AC1967" s="52" t="n">
        <v>0</v>
      </c>
      <c r="AD1967" s="52" t="n">
        <v>0</v>
      </c>
      <c r="AE1967" s="52" t="n">
        <v>0</v>
      </c>
      <c r="AF1967" s="52" t="n">
        <v>0</v>
      </c>
      <c r="AG1967" s="52" t="n">
        <v>0</v>
      </c>
      <c r="AH1967" s="52" t="n">
        <v>0</v>
      </c>
      <c r="AI1967" s="52" t="n">
        <v>0</v>
      </c>
      <c r="AJ1967" s="52" t="n">
        <v>0</v>
      </c>
      <c r="AK1967" s="52" t="n">
        <v>0</v>
      </c>
      <c r="AL1967" s="52" t="n">
        <v>0</v>
      </c>
      <c r="AM1967" s="53" t="n">
        <v>0</v>
      </c>
      <c r="AN1967" s="53" t="n">
        <v>0</v>
      </c>
      <c r="AO1967" s="53" t="n">
        <v>0</v>
      </c>
      <c r="AP1967" s="53" t="n">
        <v>0</v>
      </c>
      <c r="AQ1967" s="52" t="n">
        <v>0</v>
      </c>
      <c r="AR1967" s="52" t="n">
        <v>0</v>
      </c>
      <c r="AS1967" s="52" t="n">
        <v>0</v>
      </c>
      <c r="AT1967" s="52" t="n">
        <v>0</v>
      </c>
      <c r="AU1967" s="53" t="n">
        <v>0</v>
      </c>
      <c r="AV1967" s="53" t="n">
        <v>0</v>
      </c>
      <c r="AW1967" s="53" t="n">
        <v>0</v>
      </c>
      <c r="AX1967" s="53" t="n">
        <v>0</v>
      </c>
      <c r="AY1967" s="52" t="n">
        <v>0</v>
      </c>
      <c r="AZ1967" s="52" t="n">
        <v>0</v>
      </c>
      <c r="BA1967" s="52" t="n">
        <v>0</v>
      </c>
      <c r="BB1967" s="52" t="n">
        <v>0</v>
      </c>
      <c r="BC1967" s="51" t="n">
        <v>0</v>
      </c>
      <c r="BD1967" s="51" t="n">
        <v>0</v>
      </c>
      <c r="BE1967" s="51" t="n">
        <v>0</v>
      </c>
      <c r="BF1967" s="51" t="n">
        <v>0</v>
      </c>
    </row>
    <row r="1968">
      <c r="A1968">
        <f>HYPERLINK("https://www.walmart.com/ip/281280916", "281280916")</f>
        <v/>
      </c>
      <c r="B1968" t="inlineStr">
        <is>
          <t>Sherpa Throw Blanket Fleece, Super Cozy Warm TV Blankets for Bed or Couch Reversible 50" x 60"</t>
        </is>
      </c>
      <c r="C1968" t="inlineStr">
        <is>
          <t>1TNBF300BR-TPB</t>
        </is>
      </c>
      <c r="D1968" t="inlineStr">
        <is>
          <t>Throws</t>
        </is>
      </c>
      <c r="E1968" t="inlineStr">
        <is>
          <t>Tirrinia</t>
        </is>
      </c>
      <c r="G1968" s="48" t="n">
        <v>0</v>
      </c>
      <c r="H1968" s="48" t="n">
        <v>0</v>
      </c>
      <c r="I1968" s="48" t="n">
        <v>0</v>
      </c>
      <c r="J1968" s="48" t="n">
        <v>0</v>
      </c>
      <c r="K1968" s="49" t="n">
        <v>0</v>
      </c>
      <c r="L1968" s="49" t="n">
        <v>0</v>
      </c>
      <c r="M1968" s="49" t="n">
        <v>0</v>
      </c>
      <c r="N1968" s="49" t="n">
        <v>0</v>
      </c>
      <c r="O1968" s="49" t="n">
        <v>0</v>
      </c>
      <c r="P1968" s="49" t="n">
        <v>0</v>
      </c>
      <c r="Q1968" s="49" t="n">
        <v>0</v>
      </c>
      <c r="R1968" s="49" t="n">
        <v>0</v>
      </c>
      <c r="S1968" s="50" t="n">
        <v>0</v>
      </c>
      <c r="T1968" s="50" t="n">
        <v>0</v>
      </c>
      <c r="U1968" s="50" t="n">
        <v>0</v>
      </c>
      <c r="V1968" s="50" t="n">
        <v>0</v>
      </c>
      <c r="W1968" s="51" t="n">
        <v>0</v>
      </c>
      <c r="X1968" s="51" t="n">
        <v>0</v>
      </c>
      <c r="Y1968" s="51" t="n">
        <v>0</v>
      </c>
      <c r="Z1968" s="51" t="n">
        <v>0</v>
      </c>
      <c r="AA1968" s="52" t="n">
        <v>0</v>
      </c>
      <c r="AB1968" s="52" t="n">
        <v>0</v>
      </c>
      <c r="AC1968" s="52" t="n">
        <v>0</v>
      </c>
      <c r="AD1968" s="52" t="n">
        <v>0</v>
      </c>
      <c r="AE1968" s="52" t="n">
        <v>0</v>
      </c>
      <c r="AF1968" s="52" t="n">
        <v>0</v>
      </c>
      <c r="AG1968" s="52" t="n">
        <v>0</v>
      </c>
      <c r="AH1968" s="52" t="n">
        <v>0</v>
      </c>
      <c r="AI1968" s="52" t="n">
        <v>0</v>
      </c>
      <c r="AJ1968" s="52" t="n">
        <v>0</v>
      </c>
      <c r="AK1968" s="52" t="n">
        <v>0</v>
      </c>
      <c r="AL1968" s="52" t="n">
        <v>0</v>
      </c>
      <c r="AM1968" s="53" t="n">
        <v>0</v>
      </c>
      <c r="AN1968" s="53" t="n">
        <v>0</v>
      </c>
      <c r="AO1968" s="53" t="n">
        <v>0</v>
      </c>
      <c r="AP1968" s="53" t="n">
        <v>0</v>
      </c>
      <c r="AQ1968" s="52" t="n">
        <v>0</v>
      </c>
      <c r="AR1968" s="52" t="n">
        <v>0</v>
      </c>
      <c r="AS1968" s="52" t="n">
        <v>0</v>
      </c>
      <c r="AT1968" s="52" t="n">
        <v>0</v>
      </c>
      <c r="AU1968" s="53" t="n">
        <v>0</v>
      </c>
      <c r="AV1968" s="53" t="n">
        <v>0</v>
      </c>
      <c r="AW1968" s="53" t="n">
        <v>0</v>
      </c>
      <c r="AX1968" s="53" t="n">
        <v>0</v>
      </c>
      <c r="AY1968" s="52" t="n">
        <v>0</v>
      </c>
      <c r="AZ1968" s="52" t="n">
        <v>0</v>
      </c>
      <c r="BA1968" s="52" t="n">
        <v>0</v>
      </c>
      <c r="BB1968" s="52" t="n">
        <v>0</v>
      </c>
      <c r="BC1968" s="51" t="n">
        <v>0</v>
      </c>
      <c r="BD1968" s="51" t="n">
        <v>0</v>
      </c>
      <c r="BE1968" s="51" t="n">
        <v>0</v>
      </c>
      <c r="BF1968" s="51" t="n">
        <v>0</v>
      </c>
    </row>
    <row r="1969">
      <c r="A1969">
        <f>HYPERLINK("https://www.walmart.com/ip/274522734", "274522734")</f>
        <v/>
      </c>
      <c r="B1969" t="inlineStr">
        <is>
          <t>Bucket Sun Hat Cute Cap for Women Fashion Fold-up Brim Packable Summer Beach by Solaris</t>
        </is>
      </c>
      <c r="C1969" t="inlineStr">
        <is>
          <t>1SLSH9200BL-FSCB</t>
        </is>
      </c>
      <c r="D1969" t="inlineStr">
        <is>
          <t>Hats</t>
        </is>
      </c>
      <c r="E1969" t="inlineStr">
        <is>
          <t>Solaris</t>
        </is>
      </c>
      <c r="G1969" s="48" t="n">
        <v>0</v>
      </c>
      <c r="H1969" s="48" t="n">
        <v>0</v>
      </c>
      <c r="I1969" s="48" t="n">
        <v>0</v>
      </c>
      <c r="J1969" s="48" t="n">
        <v>0</v>
      </c>
      <c r="K1969" s="49" t="n">
        <v>0</v>
      </c>
      <c r="L1969" s="49" t="n">
        <v>0</v>
      </c>
      <c r="M1969" s="49" t="n">
        <v>0</v>
      </c>
      <c r="N1969" s="49" t="n">
        <v>0</v>
      </c>
      <c r="O1969" s="49" t="n">
        <v>0</v>
      </c>
      <c r="P1969" s="49" t="n">
        <v>0</v>
      </c>
      <c r="Q1969" s="49" t="n">
        <v>0</v>
      </c>
      <c r="R1969" s="49" t="n">
        <v>0</v>
      </c>
      <c r="S1969" s="50" t="n">
        <v>0</v>
      </c>
      <c r="T1969" s="50" t="n">
        <v>0</v>
      </c>
      <c r="U1969" s="50" t="n">
        <v>0</v>
      </c>
      <c r="V1969" s="50" t="n">
        <v>0</v>
      </c>
      <c r="W1969" s="51" t="n">
        <v>0</v>
      </c>
      <c r="X1969" s="51" t="n">
        <v>0</v>
      </c>
      <c r="Y1969" s="51" t="n">
        <v>0</v>
      </c>
      <c r="Z1969" s="51" t="n">
        <v>0</v>
      </c>
      <c r="AA1969" s="52" t="n">
        <v>0</v>
      </c>
      <c r="AB1969" s="52" t="n">
        <v>0</v>
      </c>
      <c r="AC1969" s="52" t="n">
        <v>0</v>
      </c>
      <c r="AD1969" s="52" t="n">
        <v>0</v>
      </c>
      <c r="AE1969" s="52" t="n">
        <v>0</v>
      </c>
      <c r="AF1969" s="52" t="n">
        <v>0</v>
      </c>
      <c r="AG1969" s="52" t="n">
        <v>0</v>
      </c>
      <c r="AH1969" s="52" t="n">
        <v>0</v>
      </c>
      <c r="AI1969" s="52" t="n">
        <v>0</v>
      </c>
      <c r="AJ1969" s="52" t="n">
        <v>0</v>
      </c>
      <c r="AK1969" s="52" t="n">
        <v>0</v>
      </c>
      <c r="AL1969" s="52" t="n">
        <v>0</v>
      </c>
      <c r="AM1969" s="53" t="n">
        <v>0</v>
      </c>
      <c r="AN1969" s="53" t="n">
        <v>0</v>
      </c>
      <c r="AO1969" s="53" t="n">
        <v>0</v>
      </c>
      <c r="AP1969" s="53" t="n">
        <v>0</v>
      </c>
      <c r="AQ1969" s="52" t="n">
        <v>0</v>
      </c>
      <c r="AR1969" s="52" t="n">
        <v>0</v>
      </c>
      <c r="AS1969" s="52" t="n">
        <v>0</v>
      </c>
      <c r="AT1969" s="52" t="n">
        <v>0</v>
      </c>
      <c r="AU1969" s="53" t="n">
        <v>0</v>
      </c>
      <c r="AV1969" s="53" t="n">
        <v>0</v>
      </c>
      <c r="AW1969" s="53" t="n">
        <v>0</v>
      </c>
      <c r="AX1969" s="53" t="n">
        <v>0</v>
      </c>
      <c r="AY1969" s="52" t="n">
        <v>0</v>
      </c>
      <c r="AZ1969" s="52" t="n">
        <v>0</v>
      </c>
      <c r="BA1969" s="52" t="n">
        <v>0</v>
      </c>
      <c r="BB1969" s="52" t="n">
        <v>0</v>
      </c>
      <c r="BC1969" s="51" t="n">
        <v>0</v>
      </c>
      <c r="BD1969" s="51" t="n">
        <v>0</v>
      </c>
      <c r="BE1969" s="51" t="n">
        <v>0</v>
      </c>
      <c r="BF1969" s="51" t="n">
        <v>0</v>
      </c>
    </row>
    <row r="1970">
      <c r="A1970">
        <f>HYPERLINK("https://www.walmart.com/ip/2798867763", "2798867763")</f>
        <v/>
      </c>
      <c r="B1970" t="inlineStr">
        <is>
          <t>Tirrinia Waterproof Outdoor Blanket with Sherpa Lining, Windproof Triple Layers Warm Comfy Foldable for Camping  Stadium, Sports, Picnic, Grass, Concerts, Pet, Extra Large Size 66''X 90''</t>
        </is>
      </c>
      <c r="C1970" t="inlineStr">
        <is>
          <t>1TRBW669NYGY</t>
        </is>
      </c>
      <c r="D1970" t="inlineStr">
        <is>
          <t>Picnic Blankets &amp; Mats</t>
        </is>
      </c>
      <c r="E1970" t="inlineStr">
        <is>
          <t>Tirrinia</t>
        </is>
      </c>
      <c r="F1970" t="inlineStr">
        <is>
          <t>Q2-Target</t>
        </is>
      </c>
      <c r="G1970" s="48" t="n">
        <v>0</v>
      </c>
      <c r="H1970" s="48" t="n">
        <v>0</v>
      </c>
      <c r="I1970" s="48" t="n">
        <v>0</v>
      </c>
      <c r="J1970" s="48" t="n">
        <v>45.99</v>
      </c>
      <c r="K1970" s="49" t="n">
        <v>0</v>
      </c>
      <c r="L1970" s="49" t="n">
        <v>0</v>
      </c>
      <c r="M1970" s="49" t="n">
        <v>0</v>
      </c>
      <c r="N1970" s="49" t="n">
        <v>1</v>
      </c>
      <c r="O1970" s="49" t="n">
        <v>0</v>
      </c>
      <c r="P1970" s="49" t="n">
        <v>0</v>
      </c>
      <c r="Q1970" s="49" t="n">
        <v>0</v>
      </c>
      <c r="R1970" s="49" t="n">
        <v>0</v>
      </c>
      <c r="S1970" s="50" t="n">
        <v>0</v>
      </c>
      <c r="T1970" s="50" t="n">
        <v>0</v>
      </c>
      <c r="U1970" s="50" t="n">
        <v>0</v>
      </c>
      <c r="V1970" s="50" t="n">
        <v>0</v>
      </c>
      <c r="W1970" s="51" t="n">
        <v>0</v>
      </c>
      <c r="X1970" s="51" t="n">
        <v>2</v>
      </c>
      <c r="Y1970" s="51" t="n">
        <v>2</v>
      </c>
      <c r="Z1970" s="51" t="n">
        <v>1</v>
      </c>
      <c r="AA1970" s="52" t="n">
        <v>0</v>
      </c>
      <c r="AB1970" s="52" t="n">
        <v>0.82</v>
      </c>
      <c r="AC1970" s="52" t="n">
        <v>0.82</v>
      </c>
      <c r="AD1970" s="52" t="n">
        <v>0.41</v>
      </c>
      <c r="AE1970" s="52" t="n">
        <v>0</v>
      </c>
      <c r="AF1970" s="52" t="n">
        <v>0</v>
      </c>
      <c r="AG1970" s="52" t="n">
        <v>89.98</v>
      </c>
      <c r="AH1970" s="52" t="n">
        <v>0</v>
      </c>
      <c r="AI1970" s="52" t="n">
        <v>0</v>
      </c>
      <c r="AJ1970" s="52" t="n">
        <v>0</v>
      </c>
      <c r="AK1970" s="52" t="n">
        <v>109.73</v>
      </c>
      <c r="AL1970" s="52" t="n">
        <v>0</v>
      </c>
      <c r="AM1970" s="53" t="n">
        <v>0</v>
      </c>
      <c r="AN1970" s="53" t="n">
        <v>0.0012</v>
      </c>
      <c r="AO1970" s="53" t="n">
        <v>0.0012</v>
      </c>
      <c r="AP1970" s="53" t="n">
        <v>0.0005999999999999999</v>
      </c>
      <c r="AQ1970" s="52" t="n">
        <v>0</v>
      </c>
      <c r="AR1970" s="52" t="n">
        <v>0.41</v>
      </c>
      <c r="AS1970" s="52" t="n">
        <v>0.41</v>
      </c>
      <c r="AT1970" s="52" t="n">
        <v>0.41</v>
      </c>
      <c r="AU1970" s="53" t="n">
        <v>0</v>
      </c>
      <c r="AV1970" s="53" t="n">
        <v>0</v>
      </c>
      <c r="AW1970" s="53" t="n">
        <v>0</v>
      </c>
      <c r="AX1970" s="53" t="n">
        <v>0.008914981517721243</v>
      </c>
      <c r="AY1970" s="52" t="n">
        <v>0</v>
      </c>
      <c r="AZ1970" s="52" t="n">
        <v>0</v>
      </c>
      <c r="BA1970" s="52" t="n">
        <v>0</v>
      </c>
      <c r="BB1970" s="52" t="n">
        <v>45.99</v>
      </c>
      <c r="BC1970" s="51" t="n">
        <v>751</v>
      </c>
      <c r="BD1970" s="51" t="n">
        <v>1708</v>
      </c>
      <c r="BE1970" s="51" t="n">
        <v>1631</v>
      </c>
      <c r="BF1970" s="51" t="n">
        <v>1650</v>
      </c>
    </row>
    <row r="1971">
      <c r="A1971">
        <f>HYPERLINK("https://www.walmart.com/ip/274616053", "274616053")</f>
        <v/>
      </c>
      <c r="B1971" t="inlineStr">
        <is>
          <t>Unisex Sun Fire Flame Racing Cap, Flare Race Day Running Outdoor Sports Hat, Summer Sun Blocker Hat</t>
        </is>
      </c>
      <c r="C1971" t="inlineStr">
        <is>
          <t>KC-FL08-ZFH</t>
        </is>
      </c>
      <c r="D1971" t="inlineStr">
        <is>
          <t>Hats</t>
        </is>
      </c>
      <c r="E1971" t="inlineStr">
        <is>
          <t>KC Caps</t>
        </is>
      </c>
      <c r="F1971" t="inlineStr">
        <is>
          <t>Batch 1 - TR</t>
        </is>
      </c>
      <c r="G1971" s="48" t="n">
        <v>0</v>
      </c>
      <c r="H1971" s="48" t="n">
        <v>0</v>
      </c>
      <c r="I1971" s="48" t="n">
        <v>0</v>
      </c>
      <c r="J1971" s="48" t="n">
        <v>0</v>
      </c>
      <c r="K1971" s="49" t="n">
        <v>0</v>
      </c>
      <c r="L1971" s="49" t="n">
        <v>0</v>
      </c>
      <c r="M1971" s="49" t="n">
        <v>0</v>
      </c>
      <c r="N1971" s="49" t="n">
        <v>0</v>
      </c>
      <c r="O1971" s="49" t="n">
        <v>0</v>
      </c>
      <c r="P1971" s="49" t="n">
        <v>0</v>
      </c>
      <c r="Q1971" s="49" t="n">
        <v>0</v>
      </c>
      <c r="R1971" s="49" t="n">
        <v>0</v>
      </c>
      <c r="S1971" s="50" t="n">
        <v>0</v>
      </c>
      <c r="T1971" s="50" t="n">
        <v>0</v>
      </c>
      <c r="U1971" s="50" t="n">
        <v>0</v>
      </c>
      <c r="V1971" s="50" t="n">
        <v>0</v>
      </c>
      <c r="W1971" s="51" t="n">
        <v>0</v>
      </c>
      <c r="X1971" s="51" t="n">
        <v>0</v>
      </c>
      <c r="Y1971" s="51" t="n">
        <v>0</v>
      </c>
      <c r="Z1971" s="51" t="n">
        <v>0</v>
      </c>
      <c r="AA1971" s="52" t="n">
        <v>0</v>
      </c>
      <c r="AB1971" s="52" t="n">
        <v>0</v>
      </c>
      <c r="AC1971" s="52" t="n">
        <v>0</v>
      </c>
      <c r="AD1971" s="52" t="n">
        <v>0</v>
      </c>
      <c r="AE1971" s="52" t="n">
        <v>0</v>
      </c>
      <c r="AF1971" s="52" t="n">
        <v>0</v>
      </c>
      <c r="AG1971" s="52" t="n">
        <v>0</v>
      </c>
      <c r="AH1971" s="52" t="n">
        <v>0</v>
      </c>
      <c r="AI1971" s="52" t="n">
        <v>0</v>
      </c>
      <c r="AJ1971" s="52" t="n">
        <v>0</v>
      </c>
      <c r="AK1971" s="52" t="n">
        <v>0</v>
      </c>
      <c r="AL1971" s="52" t="n">
        <v>0</v>
      </c>
      <c r="AM1971" s="53" t="n">
        <v>0</v>
      </c>
      <c r="AN1971" s="53" t="n">
        <v>0</v>
      </c>
      <c r="AO1971" s="53" t="n">
        <v>0</v>
      </c>
      <c r="AP1971" s="53" t="n">
        <v>0</v>
      </c>
      <c r="AQ1971" s="52" t="n">
        <v>0</v>
      </c>
      <c r="AR1971" s="52" t="n">
        <v>0</v>
      </c>
      <c r="AS1971" s="52" t="n">
        <v>0</v>
      </c>
      <c r="AT1971" s="52" t="n">
        <v>0</v>
      </c>
      <c r="AU1971" s="53" t="n">
        <v>0</v>
      </c>
      <c r="AV1971" s="53" t="n">
        <v>0</v>
      </c>
      <c r="AW1971" s="53" t="n">
        <v>0</v>
      </c>
      <c r="AX1971" s="53" t="n">
        <v>0</v>
      </c>
      <c r="AY1971" s="52" t="n">
        <v>0</v>
      </c>
      <c r="AZ1971" s="52" t="n">
        <v>0</v>
      </c>
      <c r="BA1971" s="52" t="n">
        <v>0</v>
      </c>
      <c r="BB1971" s="52" t="n">
        <v>0</v>
      </c>
      <c r="BC1971" s="51" t="n">
        <v>0</v>
      </c>
      <c r="BD1971" s="51" t="n">
        <v>0</v>
      </c>
      <c r="BE1971" s="51" t="n">
        <v>0</v>
      </c>
      <c r="BF1971" s="51" t="n">
        <v>0</v>
      </c>
    </row>
    <row r="1972">
      <c r="A1972">
        <f>HYPERLINK("https://www.walmart.com/ip/2749543627", "2749543627")</f>
        <v/>
      </c>
      <c r="B1972" t="inlineStr">
        <is>
          <t>Kato Outdoors Waterproof Blanket, Sherpa Fleece Stadium Windproof Throw Mat for Boat, Traveling, Camping, Hiking, Football - Machine Washable, Green, 59”x 79”.</t>
        </is>
      </c>
      <c r="C1972" t="inlineStr">
        <is>
          <t>1KTBW608GNBK</t>
        </is>
      </c>
      <c r="D1972" t="inlineStr">
        <is>
          <t>Throws</t>
        </is>
      </c>
      <c r="E1972" t="inlineStr">
        <is>
          <t>Kato</t>
        </is>
      </c>
      <c r="F1972" t="inlineStr">
        <is>
          <t>Q2-Target</t>
        </is>
      </c>
      <c r="G1972" s="48" t="n">
        <v>0</v>
      </c>
      <c r="H1972" s="48" t="n">
        <v>0</v>
      </c>
      <c r="I1972" s="48" t="n">
        <v>0</v>
      </c>
      <c r="J1972" s="48" t="n">
        <v>0</v>
      </c>
      <c r="K1972" s="49" t="n">
        <v>0</v>
      </c>
      <c r="L1972" s="49" t="n">
        <v>0</v>
      </c>
      <c r="M1972" s="49" t="n">
        <v>0</v>
      </c>
      <c r="N1972" s="49" t="n">
        <v>0</v>
      </c>
      <c r="O1972" s="49" t="n">
        <v>0</v>
      </c>
      <c r="P1972" s="49" t="n">
        <v>0</v>
      </c>
      <c r="Q1972" s="49" t="n">
        <v>0</v>
      </c>
      <c r="R1972" s="49" t="n">
        <v>0</v>
      </c>
      <c r="S1972" s="50" t="n">
        <v>0</v>
      </c>
      <c r="T1972" s="50" t="n">
        <v>0</v>
      </c>
      <c r="U1972" s="50" t="n">
        <v>0</v>
      </c>
      <c r="V1972" s="50" t="n">
        <v>0</v>
      </c>
      <c r="W1972" s="51" t="n">
        <v>0</v>
      </c>
      <c r="X1972" s="51" t="n">
        <v>0</v>
      </c>
      <c r="Y1972" s="51" t="n">
        <v>0</v>
      </c>
      <c r="Z1972" s="51" t="n">
        <v>0</v>
      </c>
      <c r="AA1972" s="52" t="n">
        <v>0</v>
      </c>
      <c r="AB1972" s="52" t="n">
        <v>0</v>
      </c>
      <c r="AC1972" s="52" t="n">
        <v>0</v>
      </c>
      <c r="AD1972" s="52" t="n">
        <v>0</v>
      </c>
      <c r="AE1972" s="52" t="n">
        <v>0</v>
      </c>
      <c r="AF1972" s="52" t="n">
        <v>0</v>
      </c>
      <c r="AG1972" s="52" t="n">
        <v>0</v>
      </c>
      <c r="AH1972" s="52" t="n">
        <v>0</v>
      </c>
      <c r="AI1972" s="52" t="n">
        <v>0</v>
      </c>
      <c r="AJ1972" s="52" t="n">
        <v>0</v>
      </c>
      <c r="AK1972" s="52" t="n">
        <v>0</v>
      </c>
      <c r="AL1972" s="52" t="n">
        <v>0</v>
      </c>
      <c r="AM1972" s="53" t="n">
        <v>0</v>
      </c>
      <c r="AN1972" s="53" t="n">
        <v>0</v>
      </c>
      <c r="AO1972" s="53" t="n">
        <v>0</v>
      </c>
      <c r="AP1972" s="53" t="n">
        <v>0</v>
      </c>
      <c r="AQ1972" s="52" t="n">
        <v>0</v>
      </c>
      <c r="AR1972" s="52" t="n">
        <v>0</v>
      </c>
      <c r="AS1972" s="52" t="n">
        <v>0</v>
      </c>
      <c r="AT1972" s="52" t="n">
        <v>0</v>
      </c>
      <c r="AU1972" s="53" t="n">
        <v>0</v>
      </c>
      <c r="AV1972" s="53" t="n">
        <v>0</v>
      </c>
      <c r="AW1972" s="53" t="n">
        <v>0</v>
      </c>
      <c r="AX1972" s="53" t="n">
        <v>0</v>
      </c>
      <c r="AY1972" s="52" t="n">
        <v>0</v>
      </c>
      <c r="AZ1972" s="52" t="n">
        <v>0</v>
      </c>
      <c r="BA1972" s="52" t="n">
        <v>0</v>
      </c>
      <c r="BB1972" s="52" t="n">
        <v>0</v>
      </c>
      <c r="BC1972" s="51" t="n">
        <v>0</v>
      </c>
      <c r="BD1972" s="51" t="n">
        <v>0</v>
      </c>
      <c r="BE1972" s="51" t="n">
        <v>0</v>
      </c>
      <c r="BF1972" s="51" t="n">
        <v>0</v>
      </c>
    </row>
    <row r="1973">
      <c r="A1973">
        <f>HYPERLINK("https://www.walmart.com/ip/274990337", "274990337")</f>
        <v/>
      </c>
      <c r="B1973" t="inlineStr">
        <is>
          <t>Tirrinia Adult Insulated Lunch Bag Totes Cooler Container Front Pocket</t>
        </is>
      </c>
      <c r="C1973" t="inlineStr">
        <is>
          <t>1WMLB705RDWT</t>
        </is>
      </c>
      <c r="D1973" t="inlineStr">
        <is>
          <t>Reusable Lunch Bags &amp; Boxes</t>
        </is>
      </c>
      <c r="E1973" t="inlineStr">
        <is>
          <t>Flyingstar</t>
        </is>
      </c>
      <c r="F1973" t="inlineStr">
        <is>
          <t>Q2-Target,Lunch Bag</t>
        </is>
      </c>
      <c r="G1973" s="48" t="n">
        <v>0</v>
      </c>
      <c r="H1973" s="48" t="n">
        <v>0</v>
      </c>
      <c r="I1973" s="48" t="n">
        <v>0</v>
      </c>
      <c r="J1973" s="48" t="n">
        <v>0</v>
      </c>
      <c r="K1973" s="49" t="n">
        <v>0</v>
      </c>
      <c r="L1973" s="49" t="n">
        <v>0</v>
      </c>
      <c r="M1973" s="49" t="n">
        <v>0</v>
      </c>
      <c r="N1973" s="49" t="n">
        <v>0</v>
      </c>
      <c r="O1973" s="49" t="n">
        <v>0</v>
      </c>
      <c r="P1973" s="49" t="n">
        <v>0</v>
      </c>
      <c r="Q1973" s="49" t="n">
        <v>0</v>
      </c>
      <c r="R1973" s="49" t="n">
        <v>0</v>
      </c>
      <c r="S1973" s="50" t="n">
        <v>0</v>
      </c>
      <c r="T1973" s="50" t="n">
        <v>0</v>
      </c>
      <c r="U1973" s="50" t="n">
        <v>0</v>
      </c>
      <c r="V1973" s="50" t="n">
        <v>0</v>
      </c>
      <c r="W1973" s="51" t="n">
        <v>0</v>
      </c>
      <c r="X1973" s="51" t="n">
        <v>0</v>
      </c>
      <c r="Y1973" s="51" t="n">
        <v>0</v>
      </c>
      <c r="Z1973" s="51" t="n">
        <v>0</v>
      </c>
      <c r="AA1973" s="52" t="n">
        <v>0</v>
      </c>
      <c r="AB1973" s="52" t="n">
        <v>0</v>
      </c>
      <c r="AC1973" s="52" t="n">
        <v>0</v>
      </c>
      <c r="AD1973" s="52" t="n">
        <v>0</v>
      </c>
      <c r="AE1973" s="52" t="n">
        <v>0</v>
      </c>
      <c r="AF1973" s="52" t="n">
        <v>0</v>
      </c>
      <c r="AG1973" s="52" t="n">
        <v>0</v>
      </c>
      <c r="AH1973" s="52" t="n">
        <v>0</v>
      </c>
      <c r="AI1973" s="52" t="n">
        <v>0</v>
      </c>
      <c r="AJ1973" s="52" t="n">
        <v>0</v>
      </c>
      <c r="AK1973" s="52" t="n">
        <v>0</v>
      </c>
      <c r="AL1973" s="52" t="n">
        <v>0</v>
      </c>
      <c r="AM1973" s="53" t="n">
        <v>0</v>
      </c>
      <c r="AN1973" s="53" t="n">
        <v>0</v>
      </c>
      <c r="AO1973" s="53" t="n">
        <v>0</v>
      </c>
      <c r="AP1973" s="53" t="n">
        <v>0</v>
      </c>
      <c r="AQ1973" s="52" t="n">
        <v>0</v>
      </c>
      <c r="AR1973" s="52" t="n">
        <v>0</v>
      </c>
      <c r="AS1973" s="52" t="n">
        <v>0</v>
      </c>
      <c r="AT1973" s="52" t="n">
        <v>0</v>
      </c>
      <c r="AU1973" s="53" t="n">
        <v>0</v>
      </c>
      <c r="AV1973" s="53" t="n">
        <v>0</v>
      </c>
      <c r="AW1973" s="53" t="n">
        <v>0</v>
      </c>
      <c r="AX1973" s="53" t="n">
        <v>0</v>
      </c>
      <c r="AY1973" s="52" t="n">
        <v>0</v>
      </c>
      <c r="AZ1973" s="52" t="n">
        <v>0</v>
      </c>
      <c r="BA1973" s="52" t="n">
        <v>0</v>
      </c>
      <c r="BB1973" s="52" t="n">
        <v>0</v>
      </c>
      <c r="BC1973" s="51" t="n">
        <v>0</v>
      </c>
      <c r="BD1973" s="51" t="n">
        <v>0</v>
      </c>
      <c r="BE1973" s="51" t="n">
        <v>0</v>
      </c>
      <c r="BF1973" s="51" t="n">
        <v>0</v>
      </c>
    </row>
    <row r="1974">
      <c r="A1974">
        <f>HYPERLINK("https://www.walmart.com/ip/2752031157", "2752031157")</f>
        <v/>
      </c>
      <c r="B1974" t="inlineStr">
        <is>
          <t>Tirrinia Outdoors Waterproof Throw Blanket, Sherpa Fleece Stadium Windproof Mat for Traveling, Camping, Hiking, Football, Machine Washable, Camo, 60” x 80”.</t>
        </is>
      </c>
      <c r="C1974" t="inlineStr">
        <is>
          <t>1TRBW608CAMOBK</t>
        </is>
      </c>
      <c r="D1974" t="inlineStr">
        <is>
          <t>Throws</t>
        </is>
      </c>
      <c r="E1974" t="inlineStr">
        <is>
          <t>Tirrinia</t>
        </is>
      </c>
      <c r="F1974" t="inlineStr">
        <is>
          <t>Q2-Target</t>
        </is>
      </c>
      <c r="G1974" s="48" t="n">
        <v>0</v>
      </c>
      <c r="H1974" s="48" t="n">
        <v>0</v>
      </c>
      <c r="I1974" s="48" t="n">
        <v>39.99</v>
      </c>
      <c r="J1974" s="48" t="n">
        <v>0</v>
      </c>
      <c r="K1974" s="49" t="n">
        <v>0</v>
      </c>
      <c r="L1974" s="49" t="n">
        <v>0</v>
      </c>
      <c r="M1974" s="49" t="n">
        <v>1</v>
      </c>
      <c r="N1974" s="49" t="n">
        <v>0</v>
      </c>
      <c r="O1974" s="49" t="n">
        <v>0</v>
      </c>
      <c r="P1974" s="49" t="n">
        <v>0</v>
      </c>
      <c r="Q1974" s="49" t="n">
        <v>0</v>
      </c>
      <c r="R1974" s="49" t="n">
        <v>0</v>
      </c>
      <c r="S1974" s="50" t="n">
        <v>0</v>
      </c>
      <c r="T1974" s="50" t="n">
        <v>0</v>
      </c>
      <c r="U1974" s="50" t="n">
        <v>0</v>
      </c>
      <c r="V1974" s="50" t="n">
        <v>0</v>
      </c>
      <c r="W1974" s="51" t="n">
        <v>9</v>
      </c>
      <c r="X1974" s="51" t="n">
        <v>10</v>
      </c>
      <c r="Y1974" s="51" t="n">
        <v>0</v>
      </c>
      <c r="Z1974" s="51" t="n">
        <v>3</v>
      </c>
      <c r="AA1974" s="52" t="n">
        <v>4.59</v>
      </c>
      <c r="AB1974" s="52" t="n">
        <v>4.94</v>
      </c>
      <c r="AC1974" s="52" t="n">
        <v>0</v>
      </c>
      <c r="AD1974" s="52" t="n">
        <v>1.46</v>
      </c>
      <c r="AE1974" s="52" t="n">
        <v>0</v>
      </c>
      <c r="AF1974" s="52" t="n">
        <v>29.99</v>
      </c>
      <c r="AG1974" s="52" t="n">
        <v>0</v>
      </c>
      <c r="AH1974" s="52" t="n">
        <v>0</v>
      </c>
      <c r="AI1974" s="52" t="n">
        <v>0</v>
      </c>
      <c r="AJ1974" s="52" t="n">
        <v>6.07</v>
      </c>
      <c r="AK1974" s="52" t="n">
        <v>0</v>
      </c>
      <c r="AL1974" s="52" t="n">
        <v>0</v>
      </c>
      <c r="AM1974" s="53" t="n">
        <v>0.0007</v>
      </c>
      <c r="AN1974" s="53" t="n">
        <v>0.0009</v>
      </c>
      <c r="AO1974" s="53" t="n">
        <v>0</v>
      </c>
      <c r="AP1974" s="53" t="n">
        <v>0.0013</v>
      </c>
      <c r="AQ1974" s="52" t="n">
        <v>0.51</v>
      </c>
      <c r="AR1974" s="52" t="n">
        <v>0.4940000000000001</v>
      </c>
      <c r="AS1974" s="52" t="n">
        <v>0</v>
      </c>
      <c r="AT1974" s="52" t="n">
        <v>0.4866666666666666</v>
      </c>
      <c r="AU1974" s="53" t="n">
        <v>0</v>
      </c>
      <c r="AV1974" s="53" t="n">
        <v>0</v>
      </c>
      <c r="AW1974" s="53" t="n">
        <v>0</v>
      </c>
      <c r="AX1974" s="53" t="n">
        <v>0</v>
      </c>
      <c r="AY1974" s="52" t="n">
        <v>0</v>
      </c>
      <c r="AZ1974" s="52" t="n">
        <v>0</v>
      </c>
      <c r="BA1974" s="52" t="n">
        <v>39.99</v>
      </c>
      <c r="BB1974" s="52" t="n">
        <v>0</v>
      </c>
      <c r="BC1974" s="51" t="n">
        <v>12078</v>
      </c>
      <c r="BD1974" s="51" t="n">
        <v>11458</v>
      </c>
      <c r="BE1974" s="51" t="n">
        <v>0</v>
      </c>
      <c r="BF1974" s="51" t="n">
        <v>2397</v>
      </c>
    </row>
    <row r="1975">
      <c r="A1975">
        <f>HYPERLINK("https://www.walmart.com/ip/275393000", "275393000")</f>
        <v/>
      </c>
      <c r="B1975" t="inlineStr">
        <is>
          <t>Tirrinia Wide Brim Sun Hat UPF 50 Foldable Bucket Summer Hat for Women Girls</t>
        </is>
      </c>
      <c r="C1975" t="inlineStr">
        <is>
          <t>1TRSHF065BLK-TBCB</t>
        </is>
      </c>
      <c r="D1975" t="inlineStr">
        <is>
          <t>Hats</t>
        </is>
      </c>
      <c r="E1975" t="inlineStr">
        <is>
          <t>Tirrinia</t>
        </is>
      </c>
      <c r="F1975" t="inlineStr">
        <is>
          <t>Batch 1 - TR</t>
        </is>
      </c>
      <c r="G1975" s="48" t="n">
        <v>0</v>
      </c>
      <c r="H1975" s="48" t="n">
        <v>0</v>
      </c>
      <c r="I1975" s="48" t="n">
        <v>0</v>
      </c>
      <c r="J1975" s="48" t="n">
        <v>0</v>
      </c>
      <c r="K1975" s="49" t="n">
        <v>0</v>
      </c>
      <c r="L1975" s="49" t="n">
        <v>0</v>
      </c>
      <c r="M1975" s="49" t="n">
        <v>0</v>
      </c>
      <c r="N1975" s="49" t="n">
        <v>0</v>
      </c>
      <c r="O1975" s="49" t="n">
        <v>0</v>
      </c>
      <c r="P1975" s="49" t="n">
        <v>0</v>
      </c>
      <c r="Q1975" s="49" t="n">
        <v>0</v>
      </c>
      <c r="R1975" s="49" t="n">
        <v>0</v>
      </c>
      <c r="S1975" s="50" t="n">
        <v>0</v>
      </c>
      <c r="T1975" s="50" t="n">
        <v>0</v>
      </c>
      <c r="U1975" s="50" t="n">
        <v>0</v>
      </c>
      <c r="V1975" s="50" t="n">
        <v>0</v>
      </c>
      <c r="W1975" s="51" t="n">
        <v>0</v>
      </c>
      <c r="X1975" s="51" t="n">
        <v>0</v>
      </c>
      <c r="Y1975" s="51" t="n">
        <v>0</v>
      </c>
      <c r="Z1975" s="51" t="n">
        <v>0</v>
      </c>
      <c r="AA1975" s="52" t="n">
        <v>0</v>
      </c>
      <c r="AB1975" s="52" t="n">
        <v>0</v>
      </c>
      <c r="AC1975" s="52" t="n">
        <v>0</v>
      </c>
      <c r="AD1975" s="52" t="n">
        <v>0</v>
      </c>
      <c r="AE1975" s="52" t="n">
        <v>0</v>
      </c>
      <c r="AF1975" s="52" t="n">
        <v>0</v>
      </c>
      <c r="AG1975" s="52" t="n">
        <v>0</v>
      </c>
      <c r="AH1975" s="52" t="n">
        <v>0</v>
      </c>
      <c r="AI1975" s="52" t="n">
        <v>0</v>
      </c>
      <c r="AJ1975" s="52" t="n">
        <v>0</v>
      </c>
      <c r="AK1975" s="52" t="n">
        <v>0</v>
      </c>
      <c r="AL1975" s="52" t="n">
        <v>0</v>
      </c>
      <c r="AM1975" s="53" t="n">
        <v>0</v>
      </c>
      <c r="AN1975" s="53" t="n">
        <v>0</v>
      </c>
      <c r="AO1975" s="53" t="n">
        <v>0</v>
      </c>
      <c r="AP1975" s="53" t="n">
        <v>0</v>
      </c>
      <c r="AQ1975" s="52" t="n">
        <v>0</v>
      </c>
      <c r="AR1975" s="52" t="n">
        <v>0</v>
      </c>
      <c r="AS1975" s="52" t="n">
        <v>0</v>
      </c>
      <c r="AT1975" s="52" t="n">
        <v>0</v>
      </c>
      <c r="AU1975" s="53" t="n">
        <v>0</v>
      </c>
      <c r="AV1975" s="53" t="n">
        <v>0</v>
      </c>
      <c r="AW1975" s="53" t="n">
        <v>0</v>
      </c>
      <c r="AX1975" s="53" t="n">
        <v>0</v>
      </c>
      <c r="AY1975" s="52" t="n">
        <v>0</v>
      </c>
      <c r="AZ1975" s="52" t="n">
        <v>0</v>
      </c>
      <c r="BA1975" s="52" t="n">
        <v>0</v>
      </c>
      <c r="BB1975" s="52" t="n">
        <v>0</v>
      </c>
      <c r="BC1975" s="51" t="n">
        <v>0</v>
      </c>
      <c r="BD1975" s="51" t="n">
        <v>0</v>
      </c>
      <c r="BE1975" s="51" t="n">
        <v>0</v>
      </c>
      <c r="BF1975" s="51" t="n">
        <v>0</v>
      </c>
    </row>
    <row r="1976">
      <c r="A1976">
        <f>HYPERLINK("https://www.walmart.com/ip/275667727", "275667727")</f>
        <v/>
      </c>
      <c r="B1976" t="inlineStr">
        <is>
          <t>Sherpa Slipper Socks for Women,Winter Indoor Home Non Skid Booties</t>
        </is>
      </c>
      <c r="C1976" t="inlineStr">
        <is>
          <t>1CTST200HP-2</t>
        </is>
      </c>
      <c r="D1976" t="inlineStr">
        <is>
          <t>Socks</t>
        </is>
      </c>
      <c r="E1976" t="inlineStr">
        <is>
          <t>Catalonia</t>
        </is>
      </c>
      <c r="F1976" t="inlineStr">
        <is>
          <t>WFS,WFS Item</t>
        </is>
      </c>
      <c r="G1976" s="48" t="n">
        <v>0</v>
      </c>
      <c r="H1976" s="48" t="n">
        <v>0</v>
      </c>
      <c r="I1976" s="48" t="n">
        <v>0</v>
      </c>
      <c r="J1976" s="48" t="n">
        <v>0</v>
      </c>
      <c r="K1976" s="49" t="n">
        <v>0</v>
      </c>
      <c r="L1976" s="49" t="n">
        <v>0</v>
      </c>
      <c r="M1976" s="49" t="n">
        <v>0</v>
      </c>
      <c r="N1976" s="49" t="n">
        <v>0</v>
      </c>
      <c r="O1976" s="49" t="n">
        <v>0</v>
      </c>
      <c r="P1976" s="49" t="n">
        <v>0</v>
      </c>
      <c r="Q1976" s="49" t="n">
        <v>0</v>
      </c>
      <c r="R1976" s="49" t="n">
        <v>0</v>
      </c>
      <c r="S1976" s="50" t="n">
        <v>0</v>
      </c>
      <c r="T1976" s="50" t="n">
        <v>0</v>
      </c>
      <c r="U1976" s="50" t="n">
        <v>0</v>
      </c>
      <c r="V1976" s="50" t="n">
        <v>0</v>
      </c>
      <c r="W1976" s="51" t="n">
        <v>0</v>
      </c>
      <c r="X1976" s="51" t="n">
        <v>0</v>
      </c>
      <c r="Y1976" s="51" t="n">
        <v>0</v>
      </c>
      <c r="Z1976" s="51" t="n">
        <v>0</v>
      </c>
      <c r="AA1976" s="52" t="n">
        <v>0</v>
      </c>
      <c r="AB1976" s="52" t="n">
        <v>0</v>
      </c>
      <c r="AC1976" s="52" t="n">
        <v>0</v>
      </c>
      <c r="AD1976" s="52" t="n">
        <v>0</v>
      </c>
      <c r="AE1976" s="52" t="n">
        <v>0</v>
      </c>
      <c r="AF1976" s="52" t="n">
        <v>0</v>
      </c>
      <c r="AG1976" s="52" t="n">
        <v>0</v>
      </c>
      <c r="AH1976" s="52" t="n">
        <v>0</v>
      </c>
      <c r="AI1976" s="52" t="n">
        <v>0</v>
      </c>
      <c r="AJ1976" s="52" t="n">
        <v>0</v>
      </c>
      <c r="AK1976" s="52" t="n">
        <v>0</v>
      </c>
      <c r="AL1976" s="52" t="n">
        <v>0</v>
      </c>
      <c r="AM1976" s="53" t="n">
        <v>0</v>
      </c>
      <c r="AN1976" s="53" t="n">
        <v>0</v>
      </c>
      <c r="AO1976" s="53" t="n">
        <v>0</v>
      </c>
      <c r="AP1976" s="53" t="n">
        <v>0</v>
      </c>
      <c r="AQ1976" s="52" t="n">
        <v>0</v>
      </c>
      <c r="AR1976" s="52" t="n">
        <v>0</v>
      </c>
      <c r="AS1976" s="52" t="n">
        <v>0</v>
      </c>
      <c r="AT1976" s="52" t="n">
        <v>0</v>
      </c>
      <c r="AU1976" s="53" t="n">
        <v>0</v>
      </c>
      <c r="AV1976" s="53" t="n">
        <v>0</v>
      </c>
      <c r="AW1976" s="53" t="n">
        <v>0</v>
      </c>
      <c r="AX1976" s="53" t="n">
        <v>0</v>
      </c>
      <c r="AY1976" s="52" t="n">
        <v>0</v>
      </c>
      <c r="AZ1976" s="52" t="n">
        <v>0</v>
      </c>
      <c r="BA1976" s="52" t="n">
        <v>0</v>
      </c>
      <c r="BB1976" s="52" t="n">
        <v>0</v>
      </c>
      <c r="BC1976" s="51" t="n">
        <v>0</v>
      </c>
      <c r="BD1976" s="51" t="n">
        <v>0</v>
      </c>
      <c r="BE1976" s="51" t="n">
        <v>0</v>
      </c>
      <c r="BF1976" s="51" t="n">
        <v>0</v>
      </c>
    </row>
    <row r="1977">
      <c r="A1977">
        <f>HYPERLINK("https://www.walmart.com/ip/275735754", "275735754")</f>
        <v/>
      </c>
      <c r="B1977" t="inlineStr">
        <is>
          <t>Sports Travel Money Belt - Unisex Fitness Fanny &amp; Waist Pack -Reflective Running Belt Flip Belt - Runners waist pack &amp; M</t>
        </is>
      </c>
      <c r="C1977" t="inlineStr">
        <is>
          <t>TERRA-5NG-M-JW</t>
        </is>
      </c>
      <c r="D1977" t="inlineStr">
        <is>
          <t>Fanny Packs</t>
        </is>
      </c>
      <c r="E1977" t="inlineStr">
        <is>
          <t>Terra</t>
        </is>
      </c>
      <c r="F1977" t="inlineStr">
        <is>
          <t>Optimized</t>
        </is>
      </c>
      <c r="G1977" s="48" t="n">
        <v>0</v>
      </c>
      <c r="H1977" s="48" t="n">
        <v>0</v>
      </c>
      <c r="I1977" s="48" t="n">
        <v>0</v>
      </c>
      <c r="J1977" s="48" t="n">
        <v>0</v>
      </c>
      <c r="K1977" s="49" t="n">
        <v>0</v>
      </c>
      <c r="L1977" s="49" t="n">
        <v>0</v>
      </c>
      <c r="M1977" s="49" t="n">
        <v>0</v>
      </c>
      <c r="N1977" s="49" t="n">
        <v>0</v>
      </c>
      <c r="O1977" s="49" t="n">
        <v>0</v>
      </c>
      <c r="P1977" s="49" t="n">
        <v>0</v>
      </c>
      <c r="Q1977" s="49" t="n">
        <v>0</v>
      </c>
      <c r="R1977" s="49" t="n">
        <v>0</v>
      </c>
      <c r="S1977" s="50" t="n">
        <v>0</v>
      </c>
      <c r="T1977" s="50" t="n">
        <v>0</v>
      </c>
      <c r="U1977" s="50" t="n">
        <v>0</v>
      </c>
      <c r="V1977" s="50" t="n">
        <v>0</v>
      </c>
      <c r="W1977" s="51" t="n">
        <v>0</v>
      </c>
      <c r="X1977" s="51" t="n">
        <v>0</v>
      </c>
      <c r="Y1977" s="51" t="n">
        <v>0</v>
      </c>
      <c r="Z1977" s="51" t="n">
        <v>0</v>
      </c>
      <c r="AA1977" s="52" t="n">
        <v>0</v>
      </c>
      <c r="AB1977" s="52" t="n">
        <v>0</v>
      </c>
      <c r="AC1977" s="52" t="n">
        <v>0</v>
      </c>
      <c r="AD1977" s="52" t="n">
        <v>0</v>
      </c>
      <c r="AE1977" s="52" t="n">
        <v>0</v>
      </c>
      <c r="AF1977" s="52" t="n">
        <v>0</v>
      </c>
      <c r="AG1977" s="52" t="n">
        <v>0</v>
      </c>
      <c r="AH1977" s="52" t="n">
        <v>0</v>
      </c>
      <c r="AI1977" s="52" t="n">
        <v>0</v>
      </c>
      <c r="AJ1977" s="52" t="n">
        <v>0</v>
      </c>
      <c r="AK1977" s="52" t="n">
        <v>0</v>
      </c>
      <c r="AL1977" s="52" t="n">
        <v>0</v>
      </c>
      <c r="AM1977" s="53" t="n">
        <v>0</v>
      </c>
      <c r="AN1977" s="53" t="n">
        <v>0</v>
      </c>
      <c r="AO1977" s="53" t="n">
        <v>0</v>
      </c>
      <c r="AP1977" s="53" t="n">
        <v>0</v>
      </c>
      <c r="AQ1977" s="52" t="n">
        <v>0</v>
      </c>
      <c r="AR1977" s="52" t="n">
        <v>0</v>
      </c>
      <c r="AS1977" s="52" t="n">
        <v>0</v>
      </c>
      <c r="AT1977" s="52" t="n">
        <v>0</v>
      </c>
      <c r="AU1977" s="53" t="n">
        <v>0</v>
      </c>
      <c r="AV1977" s="53" t="n">
        <v>0</v>
      </c>
      <c r="AW1977" s="53" t="n">
        <v>0</v>
      </c>
      <c r="AX1977" s="53" t="n">
        <v>0</v>
      </c>
      <c r="AY1977" s="52" t="n">
        <v>0</v>
      </c>
      <c r="AZ1977" s="52" t="n">
        <v>0</v>
      </c>
      <c r="BA1977" s="52" t="n">
        <v>0</v>
      </c>
      <c r="BB1977" s="52" t="n">
        <v>0</v>
      </c>
      <c r="BC1977" s="51" t="n">
        <v>0</v>
      </c>
      <c r="BD1977" s="51" t="n">
        <v>0</v>
      </c>
      <c r="BE1977" s="51" t="n">
        <v>0</v>
      </c>
      <c r="BF1977" s="51" t="n">
        <v>0</v>
      </c>
    </row>
    <row r="1978">
      <c r="A1978">
        <f>HYPERLINK("https://www.walmart.com/ip/276127615", "276127615")</f>
        <v/>
      </c>
      <c r="B1978" t="inlineStr">
        <is>
          <t>Kato Outdoor Wine Picnic Folding Portable Bamboo Table 17" x 12.6", Camping with Glasses &amp;amp; Bottle Holder for Concerts at Park beach</t>
        </is>
      </c>
      <c r="C1978" t="inlineStr">
        <is>
          <t>1TRPT200</t>
        </is>
      </c>
      <c r="D1978" t="inlineStr">
        <is>
          <t>Camping Tables</t>
        </is>
      </c>
      <c r="E1978" t="inlineStr">
        <is>
          <t>Tirrinia</t>
        </is>
      </c>
      <c r="F1978" t="inlineStr">
        <is>
          <t>Optimized,WFS,Valentine,WFS Item,AMZ Bestsellers</t>
        </is>
      </c>
      <c r="G1978" s="48" t="n">
        <v>0</v>
      </c>
      <c r="H1978" s="48" t="n">
        <v>0</v>
      </c>
      <c r="I1978" s="48" t="n">
        <v>0</v>
      </c>
      <c r="J1978" s="48" t="n">
        <v>0</v>
      </c>
      <c r="K1978" s="49" t="n">
        <v>0</v>
      </c>
      <c r="L1978" s="49" t="n">
        <v>0</v>
      </c>
      <c r="M1978" s="49" t="n">
        <v>0</v>
      </c>
      <c r="N1978" s="49" t="n">
        <v>0</v>
      </c>
      <c r="O1978" s="49" t="n">
        <v>0</v>
      </c>
      <c r="P1978" s="49" t="n">
        <v>0</v>
      </c>
      <c r="Q1978" s="49" t="n">
        <v>0</v>
      </c>
      <c r="R1978" s="49" t="n">
        <v>0</v>
      </c>
      <c r="S1978" s="50" t="n">
        <v>0</v>
      </c>
      <c r="T1978" s="50" t="n">
        <v>0</v>
      </c>
      <c r="U1978" s="50" t="n">
        <v>0</v>
      </c>
      <c r="V1978" s="50" t="n">
        <v>0</v>
      </c>
      <c r="W1978" s="51" t="n">
        <v>0</v>
      </c>
      <c r="X1978" s="51" t="n">
        <v>0</v>
      </c>
      <c r="Y1978" s="51" t="n">
        <v>0</v>
      </c>
      <c r="Z1978" s="51" t="n">
        <v>0</v>
      </c>
      <c r="AA1978" s="52" t="n">
        <v>0</v>
      </c>
      <c r="AB1978" s="52" t="n">
        <v>0</v>
      </c>
      <c r="AC1978" s="52" t="n">
        <v>0</v>
      </c>
      <c r="AD1978" s="52" t="n">
        <v>0</v>
      </c>
      <c r="AE1978" s="52" t="n">
        <v>0</v>
      </c>
      <c r="AF1978" s="52" t="n">
        <v>0</v>
      </c>
      <c r="AG1978" s="52" t="n">
        <v>0</v>
      </c>
      <c r="AH1978" s="52" t="n">
        <v>0</v>
      </c>
      <c r="AI1978" s="52" t="n">
        <v>0</v>
      </c>
      <c r="AJ1978" s="52" t="n">
        <v>0</v>
      </c>
      <c r="AK1978" s="52" t="n">
        <v>0</v>
      </c>
      <c r="AL1978" s="52" t="n">
        <v>0</v>
      </c>
      <c r="AM1978" s="53" t="n">
        <v>0</v>
      </c>
      <c r="AN1978" s="53" t="n">
        <v>0</v>
      </c>
      <c r="AO1978" s="53" t="n">
        <v>0</v>
      </c>
      <c r="AP1978" s="53" t="n">
        <v>0</v>
      </c>
      <c r="AQ1978" s="52" t="n">
        <v>0</v>
      </c>
      <c r="AR1978" s="52" t="n">
        <v>0</v>
      </c>
      <c r="AS1978" s="52" t="n">
        <v>0</v>
      </c>
      <c r="AT1978" s="52" t="n">
        <v>0</v>
      </c>
      <c r="AU1978" s="53" t="n">
        <v>0</v>
      </c>
      <c r="AV1978" s="53" t="n">
        <v>0</v>
      </c>
      <c r="AW1978" s="53" t="n">
        <v>0</v>
      </c>
      <c r="AX1978" s="53" t="n">
        <v>0</v>
      </c>
      <c r="AY1978" s="52" t="n">
        <v>0</v>
      </c>
      <c r="AZ1978" s="52" t="n">
        <v>0</v>
      </c>
      <c r="BA1978" s="52" t="n">
        <v>0</v>
      </c>
      <c r="BB1978" s="52" t="n">
        <v>0</v>
      </c>
      <c r="BC1978" s="51" t="n">
        <v>0</v>
      </c>
      <c r="BD1978" s="51" t="n">
        <v>0</v>
      </c>
      <c r="BE1978" s="51" t="n">
        <v>0</v>
      </c>
      <c r="BF1978" s="51" t="n">
        <v>0</v>
      </c>
    </row>
    <row r="1979">
      <c r="A1979">
        <f>HYPERLINK("https://www.walmart.com/ip/276329221", "276329221")</f>
        <v/>
      </c>
      <c r="B1979" t="inlineStr">
        <is>
          <t>Catalonia Knit Throw Blanket with Decorative PomPom Fringe 60" x 50" for sofa or bed</t>
        </is>
      </c>
      <c r="C1979" t="inlineStr">
        <is>
          <t>1CTBN200BK</t>
        </is>
      </c>
      <c r="D1979" t="inlineStr">
        <is>
          <t>Throws</t>
        </is>
      </c>
      <c r="E1979" t="inlineStr">
        <is>
          <t>Catalonia</t>
        </is>
      </c>
      <c r="F1979" t="inlineStr">
        <is>
          <t>Q2-Target,Optimized,WFS,WFS Item</t>
        </is>
      </c>
      <c r="G1979" s="48" t="n">
        <v>0</v>
      </c>
      <c r="H1979" s="48" t="n">
        <v>0</v>
      </c>
      <c r="I1979" s="48" t="n">
        <v>0</v>
      </c>
      <c r="J1979" s="48" t="n">
        <v>0</v>
      </c>
      <c r="K1979" s="49" t="n">
        <v>0</v>
      </c>
      <c r="L1979" s="49" t="n">
        <v>0</v>
      </c>
      <c r="M1979" s="49" t="n">
        <v>0</v>
      </c>
      <c r="N1979" s="49" t="n">
        <v>0</v>
      </c>
      <c r="O1979" s="49" t="n">
        <v>0</v>
      </c>
      <c r="P1979" s="49" t="n">
        <v>0</v>
      </c>
      <c r="Q1979" s="49" t="n">
        <v>0</v>
      </c>
      <c r="R1979" s="49" t="n">
        <v>0</v>
      </c>
      <c r="S1979" s="50" t="n">
        <v>0</v>
      </c>
      <c r="T1979" s="50" t="n">
        <v>0</v>
      </c>
      <c r="U1979" s="50" t="n">
        <v>0</v>
      </c>
      <c r="V1979" s="50" t="n">
        <v>0</v>
      </c>
      <c r="W1979" s="51" t="n">
        <v>0</v>
      </c>
      <c r="X1979" s="51" t="n">
        <v>0</v>
      </c>
      <c r="Y1979" s="51" t="n">
        <v>0</v>
      </c>
      <c r="Z1979" s="51" t="n">
        <v>0</v>
      </c>
      <c r="AA1979" s="52" t="n">
        <v>0</v>
      </c>
      <c r="AB1979" s="52" t="n">
        <v>0</v>
      </c>
      <c r="AC1979" s="52" t="n">
        <v>0</v>
      </c>
      <c r="AD1979" s="52" t="n">
        <v>0</v>
      </c>
      <c r="AE1979" s="52" t="n">
        <v>0</v>
      </c>
      <c r="AF1979" s="52" t="n">
        <v>0</v>
      </c>
      <c r="AG1979" s="52" t="n">
        <v>0</v>
      </c>
      <c r="AH1979" s="52" t="n">
        <v>0</v>
      </c>
      <c r="AI1979" s="52" t="n">
        <v>0</v>
      </c>
      <c r="AJ1979" s="52" t="n">
        <v>0</v>
      </c>
      <c r="AK1979" s="52" t="n">
        <v>0</v>
      </c>
      <c r="AL1979" s="52" t="n">
        <v>0</v>
      </c>
      <c r="AM1979" s="53" t="n">
        <v>0</v>
      </c>
      <c r="AN1979" s="53" t="n">
        <v>0</v>
      </c>
      <c r="AO1979" s="53" t="n">
        <v>0</v>
      </c>
      <c r="AP1979" s="53" t="n">
        <v>0</v>
      </c>
      <c r="AQ1979" s="52" t="n">
        <v>0</v>
      </c>
      <c r="AR1979" s="52" t="n">
        <v>0</v>
      </c>
      <c r="AS1979" s="52" t="n">
        <v>0</v>
      </c>
      <c r="AT1979" s="52" t="n">
        <v>0</v>
      </c>
      <c r="AU1979" s="53" t="n">
        <v>0</v>
      </c>
      <c r="AV1979" s="53" t="n">
        <v>0</v>
      </c>
      <c r="AW1979" s="53" t="n">
        <v>0</v>
      </c>
      <c r="AX1979" s="53" t="n">
        <v>0</v>
      </c>
      <c r="AY1979" s="52" t="n">
        <v>0</v>
      </c>
      <c r="AZ1979" s="52" t="n">
        <v>0</v>
      </c>
      <c r="BA1979" s="52" t="n">
        <v>0</v>
      </c>
      <c r="BB1979" s="52" t="n">
        <v>0</v>
      </c>
      <c r="BC1979" s="51" t="n">
        <v>0</v>
      </c>
      <c r="BD1979" s="51" t="n">
        <v>0</v>
      </c>
      <c r="BE1979" s="51" t="n">
        <v>0</v>
      </c>
      <c r="BF1979" s="51" t="n">
        <v>0</v>
      </c>
    </row>
    <row r="1980">
      <c r="A1980">
        <f>HYPERLINK("https://www.walmart.com/ip/276968221", "276968221")</f>
        <v/>
      </c>
      <c r="B1980" t="inlineStr">
        <is>
          <t>Catalonia Sherpa Throws Blanket,Super Soft Comfy Fuzzy Micro Fleece Plush Snuggle Blanket All Season for Couch Bed, 50" x 60" Wine Red</t>
        </is>
      </c>
      <c r="C1980" t="inlineStr">
        <is>
          <t>1CTBF300WN</t>
        </is>
      </c>
      <c r="D1980" t="inlineStr">
        <is>
          <t>Throws</t>
        </is>
      </c>
      <c r="E1980" t="inlineStr">
        <is>
          <t>Catalonia</t>
        </is>
      </c>
      <c r="F1980" t="inlineStr">
        <is>
          <t>Q2-Target,WFS,Coupon_Discount,WFS Item</t>
        </is>
      </c>
      <c r="G1980" s="48" t="n">
        <v>0</v>
      </c>
      <c r="H1980" s="48" t="n">
        <v>0</v>
      </c>
      <c r="I1980" s="48" t="n">
        <v>0</v>
      </c>
      <c r="J1980" s="48" t="n">
        <v>0</v>
      </c>
      <c r="K1980" s="49" t="n">
        <v>0</v>
      </c>
      <c r="L1980" s="49" t="n">
        <v>0</v>
      </c>
      <c r="M1980" s="49" t="n">
        <v>0</v>
      </c>
      <c r="N1980" s="49" t="n">
        <v>0</v>
      </c>
      <c r="O1980" s="49" t="n">
        <v>0</v>
      </c>
      <c r="P1980" s="49" t="n">
        <v>0</v>
      </c>
      <c r="Q1980" s="49" t="n">
        <v>0</v>
      </c>
      <c r="R1980" s="49" t="n">
        <v>0</v>
      </c>
      <c r="S1980" s="50" t="n">
        <v>0</v>
      </c>
      <c r="T1980" s="50" t="n">
        <v>0</v>
      </c>
      <c r="U1980" s="50" t="n">
        <v>0</v>
      </c>
      <c r="V1980" s="50" t="n">
        <v>0</v>
      </c>
      <c r="W1980" s="51" t="n">
        <v>0</v>
      </c>
      <c r="X1980" s="51" t="n">
        <v>0</v>
      </c>
      <c r="Y1980" s="51" t="n">
        <v>0</v>
      </c>
      <c r="Z1980" s="51" t="n">
        <v>0</v>
      </c>
      <c r="AA1980" s="52" t="n">
        <v>0</v>
      </c>
      <c r="AB1980" s="52" t="n">
        <v>0</v>
      </c>
      <c r="AC1980" s="52" t="n">
        <v>0</v>
      </c>
      <c r="AD1980" s="52" t="n">
        <v>0</v>
      </c>
      <c r="AE1980" s="52" t="n">
        <v>0</v>
      </c>
      <c r="AF1980" s="52" t="n">
        <v>0</v>
      </c>
      <c r="AG1980" s="52" t="n">
        <v>0</v>
      </c>
      <c r="AH1980" s="52" t="n">
        <v>0</v>
      </c>
      <c r="AI1980" s="52" t="n">
        <v>0</v>
      </c>
      <c r="AJ1980" s="52" t="n">
        <v>0</v>
      </c>
      <c r="AK1980" s="52" t="n">
        <v>0</v>
      </c>
      <c r="AL1980" s="52" t="n">
        <v>0</v>
      </c>
      <c r="AM1980" s="53" t="n">
        <v>0</v>
      </c>
      <c r="AN1980" s="53" t="n">
        <v>0</v>
      </c>
      <c r="AO1980" s="53" t="n">
        <v>0</v>
      </c>
      <c r="AP1980" s="53" t="n">
        <v>0</v>
      </c>
      <c r="AQ1980" s="52" t="n">
        <v>0</v>
      </c>
      <c r="AR1980" s="52" t="n">
        <v>0</v>
      </c>
      <c r="AS1980" s="52" t="n">
        <v>0</v>
      </c>
      <c r="AT1980" s="52" t="n">
        <v>0</v>
      </c>
      <c r="AU1980" s="53" t="n">
        <v>0</v>
      </c>
      <c r="AV1980" s="53" t="n">
        <v>0</v>
      </c>
      <c r="AW1980" s="53" t="n">
        <v>0</v>
      </c>
      <c r="AX1980" s="53" t="n">
        <v>0</v>
      </c>
      <c r="AY1980" s="52" t="n">
        <v>0</v>
      </c>
      <c r="AZ1980" s="52" t="n">
        <v>0</v>
      </c>
      <c r="BA1980" s="52" t="n">
        <v>0</v>
      </c>
      <c r="BB1980" s="52" t="n">
        <v>0</v>
      </c>
      <c r="BC1980" s="51" t="n">
        <v>0</v>
      </c>
      <c r="BD1980" s="51" t="n">
        <v>0</v>
      </c>
      <c r="BE1980" s="51" t="n">
        <v>0</v>
      </c>
      <c r="BF1980" s="51" t="n">
        <v>0</v>
      </c>
    </row>
    <row r="1981">
      <c r="A1981">
        <f>HYPERLINK("https://www.walmart.com/ip/277278833", "277278833")</f>
        <v/>
      </c>
      <c r="B1981" t="inlineStr">
        <is>
          <t>Catalonia Sherpa Fleece Blanket, 60”x50”, Reversible, Soft Warm Micro Plush Throws for Couch Multi-Color</t>
        </is>
      </c>
      <c r="C1981" t="inlineStr">
        <is>
          <t>1CTBF300PGN</t>
        </is>
      </c>
      <c r="D1981" t="inlineStr">
        <is>
          <t>Throws</t>
        </is>
      </c>
      <c r="E1981" t="inlineStr">
        <is>
          <t>Catalonia</t>
        </is>
      </c>
      <c r="F1981" t="inlineStr">
        <is>
          <t>Q2-Target,Optimized,WFS,WFS Item,Fleece Blankets</t>
        </is>
      </c>
      <c r="G1981" s="48" t="n">
        <v>0</v>
      </c>
      <c r="H1981" s="48" t="n">
        <v>0</v>
      </c>
      <c r="I1981" s="48" t="n">
        <v>0</v>
      </c>
      <c r="J1981" s="48" t="n">
        <v>0</v>
      </c>
      <c r="K1981" s="49" t="n">
        <v>0</v>
      </c>
      <c r="L1981" s="49" t="n">
        <v>0</v>
      </c>
      <c r="M1981" s="49" t="n">
        <v>0</v>
      </c>
      <c r="N1981" s="49" t="n">
        <v>0</v>
      </c>
      <c r="O1981" s="49" t="n">
        <v>0</v>
      </c>
      <c r="P1981" s="49" t="n">
        <v>0</v>
      </c>
      <c r="Q1981" s="49" t="n">
        <v>0</v>
      </c>
      <c r="R1981" s="49" t="n">
        <v>0</v>
      </c>
      <c r="S1981" s="50" t="n">
        <v>0</v>
      </c>
      <c r="T1981" s="50" t="n">
        <v>0</v>
      </c>
      <c r="U1981" s="50" t="n">
        <v>0</v>
      </c>
      <c r="V1981" s="50" t="n">
        <v>0</v>
      </c>
      <c r="W1981" s="51" t="n">
        <v>0</v>
      </c>
      <c r="X1981" s="51" t="n">
        <v>0</v>
      </c>
      <c r="Y1981" s="51" t="n">
        <v>0</v>
      </c>
      <c r="Z1981" s="51" t="n">
        <v>0</v>
      </c>
      <c r="AA1981" s="52" t="n">
        <v>0</v>
      </c>
      <c r="AB1981" s="52" t="n">
        <v>0</v>
      </c>
      <c r="AC1981" s="52" t="n">
        <v>0</v>
      </c>
      <c r="AD1981" s="52" t="n">
        <v>0</v>
      </c>
      <c r="AE1981" s="52" t="n">
        <v>0</v>
      </c>
      <c r="AF1981" s="52" t="n">
        <v>0</v>
      </c>
      <c r="AG1981" s="52" t="n">
        <v>0</v>
      </c>
      <c r="AH1981" s="52" t="n">
        <v>0</v>
      </c>
      <c r="AI1981" s="52" t="n">
        <v>0</v>
      </c>
      <c r="AJ1981" s="52" t="n">
        <v>0</v>
      </c>
      <c r="AK1981" s="52" t="n">
        <v>0</v>
      </c>
      <c r="AL1981" s="52" t="n">
        <v>0</v>
      </c>
      <c r="AM1981" s="53" t="n">
        <v>0</v>
      </c>
      <c r="AN1981" s="53" t="n">
        <v>0</v>
      </c>
      <c r="AO1981" s="53" t="n">
        <v>0</v>
      </c>
      <c r="AP1981" s="53" t="n">
        <v>0</v>
      </c>
      <c r="AQ1981" s="52" t="n">
        <v>0</v>
      </c>
      <c r="AR1981" s="52" t="n">
        <v>0</v>
      </c>
      <c r="AS1981" s="52" t="n">
        <v>0</v>
      </c>
      <c r="AT1981" s="52" t="n">
        <v>0</v>
      </c>
      <c r="AU1981" s="53" t="n">
        <v>0</v>
      </c>
      <c r="AV1981" s="53" t="n">
        <v>0</v>
      </c>
      <c r="AW1981" s="53" t="n">
        <v>0</v>
      </c>
      <c r="AX1981" s="53" t="n">
        <v>0</v>
      </c>
      <c r="AY1981" s="52" t="n">
        <v>0</v>
      </c>
      <c r="AZ1981" s="52" t="n">
        <v>0</v>
      </c>
      <c r="BA1981" s="52" t="n">
        <v>0</v>
      </c>
      <c r="BB1981" s="52" t="n">
        <v>0</v>
      </c>
      <c r="BC1981" s="51" t="n">
        <v>0</v>
      </c>
      <c r="BD1981" s="51" t="n">
        <v>0</v>
      </c>
      <c r="BE1981" s="51" t="n">
        <v>0</v>
      </c>
      <c r="BF1981" s="51" t="n">
        <v>0</v>
      </c>
    </row>
    <row r="1982">
      <c r="A1982">
        <f>HYPERLINK("https://www.walmart.com/ip/277298217", "277298217")</f>
        <v/>
      </c>
      <c r="B1982" t="inlineStr">
        <is>
          <t>Catalonia Sherpa Blanket, National Flag Print Patriotic Plush Super Soft Warm Reversible Polar Fleece Throws for Living Room Derocation, 50x60 inches</t>
        </is>
      </c>
      <c r="C1982" t="inlineStr">
        <is>
          <t>1CTBF300CAD</t>
        </is>
      </c>
      <c r="D1982" t="inlineStr">
        <is>
          <t>Throws</t>
        </is>
      </c>
      <c r="E1982" t="inlineStr">
        <is>
          <t>Catalonia</t>
        </is>
      </c>
      <c r="F1982" t="inlineStr">
        <is>
          <t>WFS,WFS Item</t>
        </is>
      </c>
      <c r="G1982" s="48" t="n">
        <v>0</v>
      </c>
      <c r="H1982" s="48" t="n">
        <v>0</v>
      </c>
      <c r="I1982" s="48" t="n">
        <v>0</v>
      </c>
      <c r="J1982" s="48" t="n">
        <v>0</v>
      </c>
      <c r="K1982" s="49" t="n">
        <v>0</v>
      </c>
      <c r="L1982" s="49" t="n">
        <v>0</v>
      </c>
      <c r="M1982" s="49" t="n">
        <v>0</v>
      </c>
      <c r="N1982" s="49" t="n">
        <v>0</v>
      </c>
      <c r="O1982" s="49" t="n">
        <v>0</v>
      </c>
      <c r="P1982" s="49" t="n">
        <v>0</v>
      </c>
      <c r="Q1982" s="49" t="n">
        <v>0</v>
      </c>
      <c r="R1982" s="49" t="n">
        <v>0</v>
      </c>
      <c r="S1982" s="50" t="n">
        <v>0</v>
      </c>
      <c r="T1982" s="50" t="n">
        <v>0</v>
      </c>
      <c r="U1982" s="50" t="n">
        <v>0</v>
      </c>
      <c r="V1982" s="50" t="n">
        <v>0</v>
      </c>
      <c r="W1982" s="51" t="n">
        <v>0</v>
      </c>
      <c r="X1982" s="51" t="n">
        <v>0</v>
      </c>
      <c r="Y1982" s="51" t="n">
        <v>0</v>
      </c>
      <c r="Z1982" s="51" t="n">
        <v>0</v>
      </c>
      <c r="AA1982" s="52" t="n">
        <v>0</v>
      </c>
      <c r="AB1982" s="52" t="n">
        <v>0</v>
      </c>
      <c r="AC1982" s="52" t="n">
        <v>0</v>
      </c>
      <c r="AD1982" s="52" t="n">
        <v>0</v>
      </c>
      <c r="AE1982" s="52" t="n">
        <v>0</v>
      </c>
      <c r="AF1982" s="52" t="n">
        <v>0</v>
      </c>
      <c r="AG1982" s="52" t="n">
        <v>0</v>
      </c>
      <c r="AH1982" s="52" t="n">
        <v>0</v>
      </c>
      <c r="AI1982" s="52" t="n">
        <v>0</v>
      </c>
      <c r="AJ1982" s="52" t="n">
        <v>0</v>
      </c>
      <c r="AK1982" s="52" t="n">
        <v>0</v>
      </c>
      <c r="AL1982" s="52" t="n">
        <v>0</v>
      </c>
      <c r="AM1982" s="53" t="n">
        <v>0</v>
      </c>
      <c r="AN1982" s="53" t="n">
        <v>0</v>
      </c>
      <c r="AO1982" s="53" t="n">
        <v>0</v>
      </c>
      <c r="AP1982" s="53" t="n">
        <v>0</v>
      </c>
      <c r="AQ1982" s="52" t="n">
        <v>0</v>
      </c>
      <c r="AR1982" s="52" t="n">
        <v>0</v>
      </c>
      <c r="AS1982" s="52" t="n">
        <v>0</v>
      </c>
      <c r="AT1982" s="52" t="n">
        <v>0</v>
      </c>
      <c r="AU1982" s="53" t="n">
        <v>0</v>
      </c>
      <c r="AV1982" s="53" t="n">
        <v>0</v>
      </c>
      <c r="AW1982" s="53" t="n">
        <v>0</v>
      </c>
      <c r="AX1982" s="53" t="n">
        <v>0</v>
      </c>
      <c r="AY1982" s="52" t="n">
        <v>0</v>
      </c>
      <c r="AZ1982" s="52" t="n">
        <v>0</v>
      </c>
      <c r="BA1982" s="52" t="n">
        <v>0</v>
      </c>
      <c r="BB1982" s="52" t="n">
        <v>0</v>
      </c>
      <c r="BC1982" s="51" t="n">
        <v>0</v>
      </c>
      <c r="BD1982" s="51" t="n">
        <v>0</v>
      </c>
      <c r="BE1982" s="51" t="n">
        <v>0</v>
      </c>
      <c r="BF1982" s="51" t="n">
        <v>0</v>
      </c>
    </row>
    <row r="1983">
      <c r="A1983">
        <f>HYPERLINK("https://www.walmart.com/ip/279013696", "279013696")</f>
        <v/>
      </c>
      <c r="B1983" t="inlineStr">
        <is>
          <t>Catalonia Fleece Wearable Blanket Poncho for Adult Women Men, Wrap Blanket Cape with Pocket | Warm, Soft, Cozy, Snuggly, Comfort Gift, No Sleeves | All-Season, Purple</t>
        </is>
      </c>
      <c r="C1983" t="inlineStr">
        <is>
          <t>1CTBP100PP</t>
        </is>
      </c>
      <c r="D1983" t="inlineStr">
        <is>
          <t>Throws</t>
        </is>
      </c>
      <c r="E1983" t="inlineStr">
        <is>
          <t>Catalonia</t>
        </is>
      </c>
      <c r="F1983" t="inlineStr">
        <is>
          <t>Hero 5 Holidays,Coupon_Discount,Batch 1 - TR</t>
        </is>
      </c>
      <c r="G1983" s="48" t="n">
        <v>0</v>
      </c>
      <c r="H1983" s="48" t="n">
        <v>23.99</v>
      </c>
      <c r="I1983" s="48" t="n">
        <v>0</v>
      </c>
      <c r="J1983" s="48" t="n">
        <v>0</v>
      </c>
      <c r="K1983" s="49" t="n">
        <v>0</v>
      </c>
      <c r="L1983" s="49" t="n">
        <v>1</v>
      </c>
      <c r="M1983" s="49" t="n">
        <v>0</v>
      </c>
      <c r="N1983" s="49" t="n">
        <v>0</v>
      </c>
      <c r="O1983" s="49" t="n">
        <v>4</v>
      </c>
      <c r="P1983" s="49" t="n">
        <v>4</v>
      </c>
      <c r="Q1983" s="49" t="n">
        <v>1</v>
      </c>
      <c r="R1983" s="49" t="n">
        <v>0</v>
      </c>
      <c r="S1983" s="50" t="n">
        <v>0</v>
      </c>
      <c r="T1983" s="50" t="n">
        <v>0.25</v>
      </c>
      <c r="U1983" s="50" t="n">
        <v>0</v>
      </c>
      <c r="V1983" s="50" t="n">
        <v>0</v>
      </c>
      <c r="W1983" s="51" t="n">
        <v>0</v>
      </c>
      <c r="X1983" s="51" t="n">
        <v>0</v>
      </c>
      <c r="Y1983" s="51" t="n">
        <v>0</v>
      </c>
      <c r="Z1983" s="51" t="n">
        <v>0</v>
      </c>
      <c r="AA1983" s="52" t="n">
        <v>0</v>
      </c>
      <c r="AB1983" s="52" t="n">
        <v>0</v>
      </c>
      <c r="AC1983" s="52" t="n">
        <v>0</v>
      </c>
      <c r="AD1983" s="52" t="n">
        <v>0</v>
      </c>
      <c r="AE1983" s="52" t="n">
        <v>0</v>
      </c>
      <c r="AF1983" s="52" t="n">
        <v>0</v>
      </c>
      <c r="AG1983" s="52" t="n">
        <v>0</v>
      </c>
      <c r="AH1983" s="52" t="n">
        <v>0</v>
      </c>
      <c r="AI1983" s="52" t="n">
        <v>0</v>
      </c>
      <c r="AJ1983" s="52" t="n">
        <v>0</v>
      </c>
      <c r="AK1983" s="52" t="n">
        <v>0</v>
      </c>
      <c r="AL1983" s="52" t="n">
        <v>0</v>
      </c>
      <c r="AM1983" s="53" t="n">
        <v>0</v>
      </c>
      <c r="AN1983" s="53" t="n">
        <v>0</v>
      </c>
      <c r="AO1983" s="53" t="n">
        <v>0</v>
      </c>
      <c r="AP1983" s="53" t="n">
        <v>0</v>
      </c>
      <c r="AQ1983" s="52" t="n">
        <v>0</v>
      </c>
      <c r="AR1983" s="52" t="n">
        <v>0</v>
      </c>
      <c r="AS1983" s="52" t="n">
        <v>0</v>
      </c>
      <c r="AT1983" s="52" t="n">
        <v>0</v>
      </c>
      <c r="AU1983" s="53" t="n">
        <v>0</v>
      </c>
      <c r="AV1983" s="53" t="n">
        <v>0</v>
      </c>
      <c r="AW1983" s="53" t="n">
        <v>0</v>
      </c>
      <c r="AX1983" s="53" t="n">
        <v>0</v>
      </c>
      <c r="AY1983" s="52" t="n">
        <v>0</v>
      </c>
      <c r="AZ1983" s="52" t="n">
        <v>23.99</v>
      </c>
      <c r="BA1983" s="52" t="n">
        <v>0</v>
      </c>
      <c r="BB1983" s="52" t="n">
        <v>0</v>
      </c>
      <c r="BC1983" s="51" t="n">
        <v>0</v>
      </c>
      <c r="BD1983" s="51" t="n">
        <v>0</v>
      </c>
      <c r="BE1983" s="51" t="n">
        <v>0</v>
      </c>
      <c r="BF1983" s="51" t="n">
        <v>0</v>
      </c>
    </row>
    <row r="1984">
      <c r="A1984">
        <f>HYPERLINK("https://www.walmart.com/ip/279182817", "279182817")</f>
        <v/>
      </c>
      <c r="B1984" t="inlineStr">
        <is>
          <t>Catalonia Kids Mermaid Tail Blanket,Super Soft Plush Flannel Sleeping Snuggle Blanket for Teen Girls,Rainbow Ombre,Fish Scale Pattern,Gift Idea</t>
        </is>
      </c>
      <c r="C1984" t="inlineStr">
        <is>
          <t>1CTMM502PK</t>
        </is>
      </c>
      <c r="D1984" t="inlineStr">
        <is>
          <t>Throws</t>
        </is>
      </c>
      <c r="E1984" t="inlineStr">
        <is>
          <t>Catalonia</t>
        </is>
      </c>
      <c r="F1984" t="inlineStr">
        <is>
          <t>Q2-Target,Baby days,Optimized,WFS,WFS Item</t>
        </is>
      </c>
      <c r="G1984" s="48" t="n">
        <v>0</v>
      </c>
      <c r="H1984" s="48" t="n">
        <v>0</v>
      </c>
      <c r="I1984" s="48" t="n">
        <v>0</v>
      </c>
      <c r="J1984" s="48" t="n">
        <v>0</v>
      </c>
      <c r="K1984" s="49" t="n">
        <v>0</v>
      </c>
      <c r="L1984" s="49" t="n">
        <v>0</v>
      </c>
      <c r="M1984" s="49" t="n">
        <v>0</v>
      </c>
      <c r="N1984" s="49" t="n">
        <v>0</v>
      </c>
      <c r="O1984" s="49" t="n">
        <v>0</v>
      </c>
      <c r="P1984" s="49" t="n">
        <v>0</v>
      </c>
      <c r="Q1984" s="49" t="n">
        <v>0</v>
      </c>
      <c r="R1984" s="49" t="n">
        <v>1</v>
      </c>
      <c r="S1984" s="50" t="n">
        <v>0</v>
      </c>
      <c r="T1984" s="50" t="n">
        <v>0</v>
      </c>
      <c r="U1984" s="50" t="n">
        <v>0</v>
      </c>
      <c r="V1984" s="50" t="n">
        <v>0</v>
      </c>
      <c r="W1984" s="51" t="n">
        <v>0</v>
      </c>
      <c r="X1984" s="51" t="n">
        <v>0</v>
      </c>
      <c r="Y1984" s="51" t="n">
        <v>0</v>
      </c>
      <c r="Z1984" s="51" t="n">
        <v>0</v>
      </c>
      <c r="AA1984" s="52" t="n">
        <v>0</v>
      </c>
      <c r="AB1984" s="52" t="n">
        <v>0</v>
      </c>
      <c r="AC1984" s="52" t="n">
        <v>0</v>
      </c>
      <c r="AD1984" s="52" t="n">
        <v>0</v>
      </c>
      <c r="AE1984" s="52" t="n">
        <v>0</v>
      </c>
      <c r="AF1984" s="52" t="n">
        <v>0</v>
      </c>
      <c r="AG1984" s="52" t="n">
        <v>0</v>
      </c>
      <c r="AH1984" s="52" t="n">
        <v>0</v>
      </c>
      <c r="AI1984" s="52" t="n">
        <v>0</v>
      </c>
      <c r="AJ1984" s="52" t="n">
        <v>0</v>
      </c>
      <c r="AK1984" s="52" t="n">
        <v>0</v>
      </c>
      <c r="AL1984" s="52" t="n">
        <v>0</v>
      </c>
      <c r="AM1984" s="53" t="n">
        <v>0</v>
      </c>
      <c r="AN1984" s="53" t="n">
        <v>0</v>
      </c>
      <c r="AO1984" s="53" t="n">
        <v>0</v>
      </c>
      <c r="AP1984" s="53" t="n">
        <v>0</v>
      </c>
      <c r="AQ1984" s="52" t="n">
        <v>0</v>
      </c>
      <c r="AR1984" s="52" t="n">
        <v>0</v>
      </c>
      <c r="AS1984" s="52" t="n">
        <v>0</v>
      </c>
      <c r="AT1984" s="52" t="n">
        <v>0</v>
      </c>
      <c r="AU1984" s="53" t="n">
        <v>0</v>
      </c>
      <c r="AV1984" s="53" t="n">
        <v>0</v>
      </c>
      <c r="AW1984" s="53" t="n">
        <v>0</v>
      </c>
      <c r="AX1984" s="53" t="n">
        <v>0</v>
      </c>
      <c r="AY1984" s="52" t="n">
        <v>0</v>
      </c>
      <c r="AZ1984" s="52" t="n">
        <v>0</v>
      </c>
      <c r="BA1984" s="52" t="n">
        <v>0</v>
      </c>
      <c r="BB1984" s="52" t="n">
        <v>0</v>
      </c>
      <c r="BC1984" s="51" t="n">
        <v>0</v>
      </c>
      <c r="BD1984" s="51" t="n">
        <v>0</v>
      </c>
      <c r="BE1984" s="51" t="n">
        <v>0</v>
      </c>
      <c r="BF1984" s="51" t="n">
        <v>0</v>
      </c>
    </row>
    <row r="1985">
      <c r="A1985">
        <f>HYPERLINK("https://www.walmart.com/ip/279409714", "279409714")</f>
        <v/>
      </c>
      <c r="B1985" t="inlineStr">
        <is>
          <t>Terra Mens Boxer Briefs with Elastic Waistband, Solid New Classic Fit Men's Underwear, Gray/Stripe, 3-Pack</t>
        </is>
      </c>
      <c r="C1985" t="inlineStr">
        <is>
          <t>TERRA-BOXER4-L</t>
        </is>
      </c>
      <c r="D1985" t="inlineStr">
        <is>
          <t>Underpants</t>
        </is>
      </c>
      <c r="E1985" t="inlineStr">
        <is>
          <t>Terra</t>
        </is>
      </c>
      <c r="F1985" t="inlineStr">
        <is>
          <t>Batch 1 - TR</t>
        </is>
      </c>
      <c r="G1985" s="48" t="n">
        <v>0</v>
      </c>
      <c r="H1985" s="48" t="n">
        <v>0</v>
      </c>
      <c r="I1985" s="48" t="n">
        <v>0</v>
      </c>
      <c r="J1985" s="48" t="n">
        <v>0</v>
      </c>
      <c r="K1985" s="49" t="n">
        <v>0</v>
      </c>
      <c r="L1985" s="49" t="n">
        <v>0</v>
      </c>
      <c r="M1985" s="49" t="n">
        <v>0</v>
      </c>
      <c r="N1985" s="49" t="n">
        <v>0</v>
      </c>
      <c r="O1985" s="49" t="n">
        <v>0</v>
      </c>
      <c r="P1985" s="49" t="n">
        <v>0</v>
      </c>
      <c r="Q1985" s="49" t="n">
        <v>0</v>
      </c>
      <c r="R1985" s="49" t="n">
        <v>0</v>
      </c>
      <c r="S1985" s="50" t="n">
        <v>0</v>
      </c>
      <c r="T1985" s="50" t="n">
        <v>0</v>
      </c>
      <c r="U1985" s="50" t="n">
        <v>0</v>
      </c>
      <c r="V1985" s="50" t="n">
        <v>0</v>
      </c>
      <c r="W1985" s="51" t="n">
        <v>0</v>
      </c>
      <c r="X1985" s="51" t="n">
        <v>0</v>
      </c>
      <c r="Y1985" s="51" t="n">
        <v>0</v>
      </c>
      <c r="Z1985" s="51" t="n">
        <v>0</v>
      </c>
      <c r="AA1985" s="52" t="n">
        <v>0</v>
      </c>
      <c r="AB1985" s="52" t="n">
        <v>0</v>
      </c>
      <c r="AC1985" s="52" t="n">
        <v>0</v>
      </c>
      <c r="AD1985" s="52" t="n">
        <v>0</v>
      </c>
      <c r="AE1985" s="52" t="n">
        <v>0</v>
      </c>
      <c r="AF1985" s="52" t="n">
        <v>0</v>
      </c>
      <c r="AG1985" s="52" t="n">
        <v>0</v>
      </c>
      <c r="AH1985" s="52" t="n">
        <v>0</v>
      </c>
      <c r="AI1985" s="52" t="n">
        <v>0</v>
      </c>
      <c r="AJ1985" s="52" t="n">
        <v>0</v>
      </c>
      <c r="AK1985" s="52" t="n">
        <v>0</v>
      </c>
      <c r="AL1985" s="52" t="n">
        <v>0</v>
      </c>
      <c r="AM1985" s="53" t="n">
        <v>0</v>
      </c>
      <c r="AN1985" s="53" t="n">
        <v>0</v>
      </c>
      <c r="AO1985" s="53" t="n">
        <v>0</v>
      </c>
      <c r="AP1985" s="53" t="n">
        <v>0</v>
      </c>
      <c r="AQ1985" s="52" t="n">
        <v>0</v>
      </c>
      <c r="AR1985" s="52" t="n">
        <v>0</v>
      </c>
      <c r="AS1985" s="52" t="n">
        <v>0</v>
      </c>
      <c r="AT1985" s="52" t="n">
        <v>0</v>
      </c>
      <c r="AU1985" s="53" t="n">
        <v>0</v>
      </c>
      <c r="AV1985" s="53" t="n">
        <v>0</v>
      </c>
      <c r="AW1985" s="53" t="n">
        <v>0</v>
      </c>
      <c r="AX1985" s="53" t="n">
        <v>0</v>
      </c>
      <c r="AY1985" s="52" t="n">
        <v>0</v>
      </c>
      <c r="AZ1985" s="52" t="n">
        <v>0</v>
      </c>
      <c r="BA1985" s="52" t="n">
        <v>0</v>
      </c>
      <c r="BB1985" s="52" t="n">
        <v>0</v>
      </c>
      <c r="BC1985" s="51" t="n">
        <v>0</v>
      </c>
      <c r="BD1985" s="51" t="n">
        <v>0</v>
      </c>
      <c r="BE1985" s="51" t="n">
        <v>0</v>
      </c>
      <c r="BF1985" s="51" t="n">
        <v>0</v>
      </c>
    </row>
    <row r="1986">
      <c r="A1986">
        <f>HYPERLINK("https://www.walmart.com/ip/250956807", "250956807")</f>
        <v/>
      </c>
      <c r="B1986" t="inlineStr">
        <is>
          <t>Tirrinia Snowflake Sherpa Throw Blanket 50" x 60", Super Soft Fluffy Sherpa Throw TV Blanket Decorative Blanket for Bed Couch Holidays | Catalonia series | Blue</t>
        </is>
      </c>
      <c r="C1986" t="inlineStr">
        <is>
          <t>1TRBF390BL-TBCB</t>
        </is>
      </c>
      <c r="D1986" t="inlineStr">
        <is>
          <t>Throws</t>
        </is>
      </c>
      <c r="E1986" t="inlineStr">
        <is>
          <t>Tirrinia</t>
        </is>
      </c>
      <c r="F1986" t="inlineStr">
        <is>
          <t>Batch 1 - TR</t>
        </is>
      </c>
      <c r="G1986" s="48" t="n">
        <v>0</v>
      </c>
      <c r="H1986" s="48" t="n">
        <v>0</v>
      </c>
      <c r="I1986" s="48" t="n">
        <v>0</v>
      </c>
      <c r="J1986" s="48" t="n">
        <v>0</v>
      </c>
      <c r="K1986" s="49" t="n">
        <v>0</v>
      </c>
      <c r="L1986" s="49" t="n">
        <v>0</v>
      </c>
      <c r="M1986" s="49" t="n">
        <v>0</v>
      </c>
      <c r="N1986" s="49" t="n">
        <v>0</v>
      </c>
      <c r="O1986" s="49" t="n">
        <v>0</v>
      </c>
      <c r="P1986" s="49" t="n">
        <v>0</v>
      </c>
      <c r="Q1986" s="49" t="n">
        <v>0</v>
      </c>
      <c r="R1986" s="49" t="n">
        <v>0</v>
      </c>
      <c r="S1986" s="50" t="n">
        <v>0</v>
      </c>
      <c r="T1986" s="50" t="n">
        <v>0</v>
      </c>
      <c r="U1986" s="50" t="n">
        <v>0</v>
      </c>
      <c r="V1986" s="50" t="n">
        <v>0</v>
      </c>
      <c r="W1986" s="51" t="n">
        <v>0</v>
      </c>
      <c r="X1986" s="51" t="n">
        <v>0</v>
      </c>
      <c r="Y1986" s="51" t="n">
        <v>0</v>
      </c>
      <c r="Z1986" s="51" t="n">
        <v>0</v>
      </c>
      <c r="AA1986" s="52" t="n">
        <v>0</v>
      </c>
      <c r="AB1986" s="52" t="n">
        <v>0</v>
      </c>
      <c r="AC1986" s="52" t="n">
        <v>0</v>
      </c>
      <c r="AD1986" s="52" t="n">
        <v>0</v>
      </c>
      <c r="AE1986" s="52" t="n">
        <v>0</v>
      </c>
      <c r="AF1986" s="52" t="n">
        <v>0</v>
      </c>
      <c r="AG1986" s="52" t="n">
        <v>0</v>
      </c>
      <c r="AH1986" s="52" t="n">
        <v>0</v>
      </c>
      <c r="AI1986" s="52" t="n">
        <v>0</v>
      </c>
      <c r="AJ1986" s="52" t="n">
        <v>0</v>
      </c>
      <c r="AK1986" s="52" t="n">
        <v>0</v>
      </c>
      <c r="AL1986" s="52" t="n">
        <v>0</v>
      </c>
      <c r="AM1986" s="53" t="n">
        <v>0</v>
      </c>
      <c r="AN1986" s="53" t="n">
        <v>0</v>
      </c>
      <c r="AO1986" s="53" t="n">
        <v>0</v>
      </c>
      <c r="AP1986" s="53" t="n">
        <v>0</v>
      </c>
      <c r="AQ1986" s="52" t="n">
        <v>0</v>
      </c>
      <c r="AR1986" s="52" t="n">
        <v>0</v>
      </c>
      <c r="AS1986" s="52" t="n">
        <v>0</v>
      </c>
      <c r="AT1986" s="52" t="n">
        <v>0</v>
      </c>
      <c r="AU1986" s="53" t="n">
        <v>0</v>
      </c>
      <c r="AV1986" s="53" t="n">
        <v>0</v>
      </c>
      <c r="AW1986" s="53" t="n">
        <v>0</v>
      </c>
      <c r="AX1986" s="53" t="n">
        <v>0</v>
      </c>
      <c r="AY1986" s="52" t="n">
        <v>0</v>
      </c>
      <c r="AZ1986" s="52" t="n">
        <v>0</v>
      </c>
      <c r="BA1986" s="52" t="n">
        <v>0</v>
      </c>
      <c r="BB1986" s="52" t="n">
        <v>0</v>
      </c>
      <c r="BC1986" s="51" t="n">
        <v>0</v>
      </c>
      <c r="BD1986" s="51" t="n">
        <v>0</v>
      </c>
      <c r="BE1986" s="51" t="n">
        <v>0</v>
      </c>
      <c r="BF1986" s="51" t="n">
        <v>0</v>
      </c>
    </row>
    <row r="1987">
      <c r="A1987">
        <f>HYPERLINK("https://www.walmart.com/ip/248985421", "248985421")</f>
        <v/>
      </c>
      <c r="B1987" t="inlineStr">
        <is>
          <t>Catalonia Waterproof Blanket for Baby, Pee Proof Pet Cover for Couch Bed, Reversible Sherpa Fleece Throws for Relaxing Traveling Camping, 60"x50", Wine/Taupe</t>
        </is>
      </c>
      <c r="C1987" t="inlineStr">
        <is>
          <t>1CTBW561WNTP</t>
        </is>
      </c>
      <c r="D1987" t="inlineStr">
        <is>
          <t>Throws</t>
        </is>
      </c>
      <c r="E1987" t="inlineStr">
        <is>
          <t>Catalonia</t>
        </is>
      </c>
      <c r="F1987" t="inlineStr">
        <is>
          <t>Q2-Target,Wproof Blanket,Batch 1 - TR</t>
        </is>
      </c>
      <c r="G1987" s="48" t="n">
        <v>0</v>
      </c>
      <c r="H1987" s="48" t="n">
        <v>0</v>
      </c>
      <c r="I1987" s="48" t="n">
        <v>29.99</v>
      </c>
      <c r="J1987" s="48" t="n">
        <v>0</v>
      </c>
      <c r="K1987" s="49" t="n">
        <v>0</v>
      </c>
      <c r="L1987" s="49" t="n">
        <v>0</v>
      </c>
      <c r="M1987" s="49" t="n">
        <v>1</v>
      </c>
      <c r="N1987" s="49" t="n">
        <v>0</v>
      </c>
      <c r="O1987" s="49" t="n">
        <v>0</v>
      </c>
      <c r="P1987" s="49" t="n">
        <v>0</v>
      </c>
      <c r="Q1987" s="49" t="n">
        <v>0</v>
      </c>
      <c r="R1987" s="49" t="n">
        <v>0</v>
      </c>
      <c r="S1987" s="50" t="n">
        <v>0</v>
      </c>
      <c r="T1987" s="50" t="n">
        <v>0</v>
      </c>
      <c r="U1987" s="50" t="n">
        <v>0</v>
      </c>
      <c r="V1987" s="50" t="n">
        <v>0</v>
      </c>
      <c r="W1987" s="51" t="n">
        <v>0</v>
      </c>
      <c r="X1987" s="51" t="n">
        <v>0</v>
      </c>
      <c r="Y1987" s="51" t="n">
        <v>0</v>
      </c>
      <c r="Z1987" s="51" t="n">
        <v>0</v>
      </c>
      <c r="AA1987" s="52" t="n">
        <v>0</v>
      </c>
      <c r="AB1987" s="52" t="n">
        <v>0</v>
      </c>
      <c r="AC1987" s="52" t="n">
        <v>0</v>
      </c>
      <c r="AD1987" s="52" t="n">
        <v>0</v>
      </c>
      <c r="AE1987" s="52" t="n">
        <v>0</v>
      </c>
      <c r="AF1987" s="52" t="n">
        <v>0</v>
      </c>
      <c r="AG1987" s="52" t="n">
        <v>0</v>
      </c>
      <c r="AH1987" s="52" t="n">
        <v>0</v>
      </c>
      <c r="AI1987" s="52" t="n">
        <v>0</v>
      </c>
      <c r="AJ1987" s="52" t="n">
        <v>0</v>
      </c>
      <c r="AK1987" s="52" t="n">
        <v>0</v>
      </c>
      <c r="AL1987" s="52" t="n">
        <v>0</v>
      </c>
      <c r="AM1987" s="53" t="n">
        <v>0</v>
      </c>
      <c r="AN1987" s="53" t="n">
        <v>0</v>
      </c>
      <c r="AO1987" s="53" t="n">
        <v>0</v>
      </c>
      <c r="AP1987" s="53" t="n">
        <v>0</v>
      </c>
      <c r="AQ1987" s="52" t="n">
        <v>0</v>
      </c>
      <c r="AR1987" s="52" t="n">
        <v>0</v>
      </c>
      <c r="AS1987" s="52" t="n">
        <v>0</v>
      </c>
      <c r="AT1987" s="52" t="n">
        <v>0</v>
      </c>
      <c r="AU1987" s="53" t="n">
        <v>0</v>
      </c>
      <c r="AV1987" s="53" t="n">
        <v>0</v>
      </c>
      <c r="AW1987" s="53" t="n">
        <v>0</v>
      </c>
      <c r="AX1987" s="53" t="n">
        <v>0</v>
      </c>
      <c r="AY1987" s="52" t="n">
        <v>0</v>
      </c>
      <c r="AZ1987" s="52" t="n">
        <v>0</v>
      </c>
      <c r="BA1987" s="52" t="n">
        <v>29.99</v>
      </c>
      <c r="BB1987" s="52" t="n">
        <v>0</v>
      </c>
      <c r="BC1987" s="51" t="n">
        <v>22</v>
      </c>
      <c r="BD1987" s="51" t="n">
        <v>38</v>
      </c>
      <c r="BE1987" s="51" t="n">
        <v>0</v>
      </c>
      <c r="BF1987" s="51" t="n">
        <v>15</v>
      </c>
    </row>
    <row r="1988">
      <c r="A1988">
        <f>HYPERLINK("https://www.walmart.com/ip/206151418", "206151418")</f>
        <v/>
      </c>
      <c r="B1988" t="inlineStr">
        <is>
          <t>Catalonia Sherpa Throw Blanket Super Soft Comfy Fluffy Fleece 50”x60”, Fuzzy Plush for Sofa Couch Bed Reversible All Season for Adults Children</t>
        </is>
      </c>
      <c r="C1988" t="inlineStr">
        <is>
          <t>1CTBF320BL</t>
        </is>
      </c>
      <c r="D1988" t="inlineStr">
        <is>
          <t>Throws</t>
        </is>
      </c>
      <c r="E1988" t="inlineStr">
        <is>
          <t>Catalonia</t>
        </is>
      </c>
      <c r="F1988" t="inlineStr">
        <is>
          <t>Q2-Target,Optimized,WFS,Coupon_Discount,WFS Item</t>
        </is>
      </c>
      <c r="G1988" s="48" t="n">
        <v>0</v>
      </c>
      <c r="H1988" s="48" t="n">
        <v>0</v>
      </c>
      <c r="I1988" s="48" t="n">
        <v>0</v>
      </c>
      <c r="J1988" s="48" t="n">
        <v>0</v>
      </c>
      <c r="K1988" s="49" t="n">
        <v>0</v>
      </c>
      <c r="L1988" s="49" t="n">
        <v>0</v>
      </c>
      <c r="M1988" s="49" t="n">
        <v>0</v>
      </c>
      <c r="N1988" s="49" t="n">
        <v>0</v>
      </c>
      <c r="O1988" s="49" t="n">
        <v>0</v>
      </c>
      <c r="P1988" s="49" t="n">
        <v>0</v>
      </c>
      <c r="Q1988" s="49" t="n">
        <v>0</v>
      </c>
      <c r="R1988" s="49" t="n">
        <v>0</v>
      </c>
      <c r="S1988" s="50" t="n">
        <v>0</v>
      </c>
      <c r="T1988" s="50" t="n">
        <v>0</v>
      </c>
      <c r="U1988" s="50" t="n">
        <v>0</v>
      </c>
      <c r="V1988" s="50" t="n">
        <v>0</v>
      </c>
      <c r="W1988" s="51" t="n">
        <v>0</v>
      </c>
      <c r="X1988" s="51" t="n">
        <v>0</v>
      </c>
      <c r="Y1988" s="51" t="n">
        <v>0</v>
      </c>
      <c r="Z1988" s="51" t="n">
        <v>0</v>
      </c>
      <c r="AA1988" s="52" t="n">
        <v>0</v>
      </c>
      <c r="AB1988" s="52" t="n">
        <v>0</v>
      </c>
      <c r="AC1988" s="52" t="n">
        <v>0</v>
      </c>
      <c r="AD1988" s="52" t="n">
        <v>0</v>
      </c>
      <c r="AE1988" s="52" t="n">
        <v>0</v>
      </c>
      <c r="AF1988" s="52" t="n">
        <v>0</v>
      </c>
      <c r="AG1988" s="52" t="n">
        <v>0</v>
      </c>
      <c r="AH1988" s="52" t="n">
        <v>0</v>
      </c>
      <c r="AI1988" s="52" t="n">
        <v>0</v>
      </c>
      <c r="AJ1988" s="52" t="n">
        <v>0</v>
      </c>
      <c r="AK1988" s="52" t="n">
        <v>0</v>
      </c>
      <c r="AL1988" s="52" t="n">
        <v>0</v>
      </c>
      <c r="AM1988" s="53" t="n">
        <v>0</v>
      </c>
      <c r="AN1988" s="53" t="n">
        <v>0</v>
      </c>
      <c r="AO1988" s="53" t="n">
        <v>0</v>
      </c>
      <c r="AP1988" s="53" t="n">
        <v>0</v>
      </c>
      <c r="AQ1988" s="52" t="n">
        <v>0</v>
      </c>
      <c r="AR1988" s="52" t="n">
        <v>0</v>
      </c>
      <c r="AS1988" s="52" t="n">
        <v>0</v>
      </c>
      <c r="AT1988" s="52" t="n">
        <v>0</v>
      </c>
      <c r="AU1988" s="53" t="n">
        <v>0</v>
      </c>
      <c r="AV1988" s="53" t="n">
        <v>0</v>
      </c>
      <c r="AW1988" s="53" t="n">
        <v>0</v>
      </c>
      <c r="AX1988" s="53" t="n">
        <v>0</v>
      </c>
      <c r="AY1988" s="52" t="n">
        <v>0</v>
      </c>
      <c r="AZ1988" s="52" t="n">
        <v>0</v>
      </c>
      <c r="BA1988" s="52" t="n">
        <v>0</v>
      </c>
      <c r="BB1988" s="52" t="n">
        <v>0</v>
      </c>
      <c r="BC1988" s="51" t="n">
        <v>0</v>
      </c>
      <c r="BD1988" s="51" t="n">
        <v>0</v>
      </c>
      <c r="BE1988" s="51" t="n">
        <v>0</v>
      </c>
      <c r="BF1988" s="51" t="n">
        <v>0</v>
      </c>
    </row>
    <row r="1989">
      <c r="A1989">
        <f>HYPERLINK("https://www.walmart.com/ip/2179194995", "2179194995")</f>
        <v/>
      </c>
      <c r="B1989" t="inlineStr">
        <is>
          <t>Catalonia Waterproof Blanket for Outdoors, Hooded Blanket Poncho, Windproof, Warm, Wearable, Portable Fleece Blanket for Stadium, Picnics, Sports Events, Camping, Yoga, and Beach, Grey/Blue</t>
        </is>
      </c>
      <c r="C1989" t="inlineStr">
        <is>
          <t>1CTBC200BLGY</t>
        </is>
      </c>
      <c r="D1989" t="inlineStr">
        <is>
          <t>Throws</t>
        </is>
      </c>
      <c r="E1989" t="inlineStr">
        <is>
          <t>Catalonia</t>
        </is>
      </c>
      <c r="F1989" t="inlineStr">
        <is>
          <t>Wproof Blanket</t>
        </is>
      </c>
      <c r="G1989" s="48" t="n">
        <v>0</v>
      </c>
      <c r="H1989" s="48" t="n">
        <v>0</v>
      </c>
      <c r="I1989" s="48" t="n">
        <v>0</v>
      </c>
      <c r="J1989" s="48" t="n">
        <v>0</v>
      </c>
      <c r="K1989" s="49" t="n">
        <v>0</v>
      </c>
      <c r="L1989" s="49" t="n">
        <v>0</v>
      </c>
      <c r="M1989" s="49" t="n">
        <v>0</v>
      </c>
      <c r="N1989" s="49" t="n">
        <v>0</v>
      </c>
      <c r="O1989" s="49" t="n">
        <v>0</v>
      </c>
      <c r="P1989" s="49" t="n">
        <v>0</v>
      </c>
      <c r="Q1989" s="49" t="n">
        <v>0</v>
      </c>
      <c r="R1989" s="49" t="n">
        <v>0</v>
      </c>
      <c r="S1989" s="50" t="n">
        <v>0</v>
      </c>
      <c r="T1989" s="50" t="n">
        <v>0</v>
      </c>
      <c r="U1989" s="50" t="n">
        <v>0</v>
      </c>
      <c r="V1989" s="50" t="n">
        <v>0</v>
      </c>
      <c r="W1989" s="51" t="n">
        <v>0</v>
      </c>
      <c r="X1989" s="51" t="n">
        <v>0</v>
      </c>
      <c r="Y1989" s="51" t="n">
        <v>0</v>
      </c>
      <c r="Z1989" s="51" t="n">
        <v>0</v>
      </c>
      <c r="AA1989" s="52" t="n">
        <v>0</v>
      </c>
      <c r="AB1989" s="52" t="n">
        <v>0</v>
      </c>
      <c r="AC1989" s="52" t="n">
        <v>0</v>
      </c>
      <c r="AD1989" s="52" t="n">
        <v>0</v>
      </c>
      <c r="AE1989" s="52" t="n">
        <v>0</v>
      </c>
      <c r="AF1989" s="52" t="n">
        <v>0</v>
      </c>
      <c r="AG1989" s="52" t="n">
        <v>0</v>
      </c>
      <c r="AH1989" s="52" t="n">
        <v>0</v>
      </c>
      <c r="AI1989" s="52" t="n">
        <v>0</v>
      </c>
      <c r="AJ1989" s="52" t="n">
        <v>0</v>
      </c>
      <c r="AK1989" s="52" t="n">
        <v>0</v>
      </c>
      <c r="AL1989" s="52" t="n">
        <v>0</v>
      </c>
      <c r="AM1989" s="53" t="n">
        <v>0</v>
      </c>
      <c r="AN1989" s="53" t="n">
        <v>0</v>
      </c>
      <c r="AO1989" s="53" t="n">
        <v>0</v>
      </c>
      <c r="AP1989" s="53" t="n">
        <v>0</v>
      </c>
      <c r="AQ1989" s="52" t="n">
        <v>0</v>
      </c>
      <c r="AR1989" s="52" t="n">
        <v>0</v>
      </c>
      <c r="AS1989" s="52" t="n">
        <v>0</v>
      </c>
      <c r="AT1989" s="52" t="n">
        <v>0</v>
      </c>
      <c r="AU1989" s="53" t="n">
        <v>0</v>
      </c>
      <c r="AV1989" s="53" t="n">
        <v>0</v>
      </c>
      <c r="AW1989" s="53" t="n">
        <v>0</v>
      </c>
      <c r="AX1989" s="53" t="n">
        <v>0</v>
      </c>
      <c r="AY1989" s="52" t="n">
        <v>0</v>
      </c>
      <c r="AZ1989" s="52" t="n">
        <v>0</v>
      </c>
      <c r="BA1989" s="52" t="n">
        <v>0</v>
      </c>
      <c r="BB1989" s="52" t="n">
        <v>0</v>
      </c>
      <c r="BC1989" s="51" t="n">
        <v>286</v>
      </c>
      <c r="BD1989" s="51" t="n">
        <v>118</v>
      </c>
      <c r="BE1989" s="51" t="n">
        <v>153</v>
      </c>
      <c r="BF1989" s="51" t="n">
        <v>180</v>
      </c>
    </row>
    <row r="1990">
      <c r="A1990">
        <f>HYPERLINK("https://www.walmart.com/ip/219032474", "219032474")</f>
        <v/>
      </c>
      <c r="B1990" s="5" t="inlineStr">
        <is>
          <t>https://www.walmart.com/ip/JenniWears-Sexy-Sheer-Black-Fishnet-Crotchless-Pantyhose-with-Control-Top-2-Packs/219032474</t>
        </is>
      </c>
      <c r="C1990" t="inlineStr">
        <is>
          <t>JWBLSPH2041-2 Packs</t>
        </is>
      </c>
      <c r="G1990" s="48" t="n">
        <v>0</v>
      </c>
      <c r="H1990" s="48" t="n">
        <v>0</v>
      </c>
      <c r="I1990" s="48" t="n">
        <v>0</v>
      </c>
      <c r="J1990" s="48" t="n">
        <v>0</v>
      </c>
      <c r="K1990" s="49" t="n">
        <v>0</v>
      </c>
      <c r="L1990" s="49" t="n">
        <v>0</v>
      </c>
      <c r="M1990" s="49" t="n">
        <v>0</v>
      </c>
      <c r="N1990" s="49" t="n">
        <v>0</v>
      </c>
      <c r="O1990" s="49" t="n">
        <v>0</v>
      </c>
      <c r="P1990" s="49" t="n">
        <v>0</v>
      </c>
      <c r="Q1990" s="49" t="n">
        <v>0</v>
      </c>
      <c r="R1990" s="49" t="n">
        <v>0</v>
      </c>
      <c r="S1990" s="50" t="n">
        <v>0</v>
      </c>
      <c r="T1990" s="50" t="n">
        <v>0</v>
      </c>
      <c r="U1990" s="50" t="n">
        <v>0</v>
      </c>
      <c r="V1990" s="50" t="n">
        <v>0</v>
      </c>
      <c r="W1990" s="51" t="n">
        <v>0</v>
      </c>
      <c r="X1990" s="51" t="n">
        <v>0</v>
      </c>
      <c r="Y1990" s="51" t="n">
        <v>0</v>
      </c>
      <c r="Z1990" s="51" t="n">
        <v>0</v>
      </c>
      <c r="AA1990" s="52" t="n">
        <v>0</v>
      </c>
      <c r="AB1990" s="52" t="n">
        <v>0</v>
      </c>
      <c r="AC1990" s="52" t="n">
        <v>0</v>
      </c>
      <c r="AD1990" s="52" t="n">
        <v>0</v>
      </c>
      <c r="AE1990" s="52" t="n">
        <v>0</v>
      </c>
      <c r="AF1990" s="52" t="n">
        <v>0</v>
      </c>
      <c r="AG1990" s="52" t="n">
        <v>0</v>
      </c>
      <c r="AH1990" s="52" t="n">
        <v>0</v>
      </c>
      <c r="AI1990" s="52" t="n">
        <v>0</v>
      </c>
      <c r="AJ1990" s="52" t="n">
        <v>0</v>
      </c>
      <c r="AK1990" s="52" t="n">
        <v>0</v>
      </c>
      <c r="AL1990" s="52" t="n">
        <v>0</v>
      </c>
      <c r="AM1990" s="53" t="n">
        <v>0</v>
      </c>
      <c r="AN1990" s="53" t="n">
        <v>0</v>
      </c>
      <c r="AO1990" s="53" t="n">
        <v>0</v>
      </c>
      <c r="AP1990" s="53" t="n">
        <v>0</v>
      </c>
      <c r="AQ1990" s="52" t="n">
        <v>0</v>
      </c>
      <c r="AR1990" s="52" t="n">
        <v>0</v>
      </c>
      <c r="AS1990" s="52" t="n">
        <v>0</v>
      </c>
      <c r="AT1990" s="52" t="n">
        <v>0</v>
      </c>
      <c r="AU1990" s="53" t="n">
        <v>0</v>
      </c>
      <c r="AV1990" s="53" t="n">
        <v>0</v>
      </c>
      <c r="AW1990" s="53" t="n">
        <v>0</v>
      </c>
      <c r="AX1990" s="53" t="n">
        <v>0</v>
      </c>
      <c r="AY1990" s="52" t="n">
        <v>0</v>
      </c>
      <c r="AZ1990" s="52" t="n">
        <v>0</v>
      </c>
      <c r="BA1990" s="52" t="n">
        <v>0</v>
      </c>
      <c r="BB1990" s="52" t="n">
        <v>0</v>
      </c>
      <c r="BC1990" s="51" t="n">
        <v>0</v>
      </c>
      <c r="BD1990" s="51" t="n">
        <v>0</v>
      </c>
      <c r="BE1990" s="51" t="n">
        <v>0</v>
      </c>
      <c r="BF1990" s="51" t="n">
        <v>0</v>
      </c>
    </row>
    <row r="1991">
      <c r="A1991">
        <f>HYPERLINK("https://www.walmart.com/ip/219091802", "219091802")</f>
        <v/>
      </c>
      <c r="B1991" t="inlineStr">
        <is>
          <t>Flyingstar Lunch Bag for Women Men, Insulated Lunch Tote for Working/School/Picnic Fashionable Cooler Bag</t>
        </is>
      </c>
      <c r="C1991" t="inlineStr">
        <is>
          <t>1WMLB704PKDOT</t>
        </is>
      </c>
      <c r="D1991" t="inlineStr">
        <is>
          <t>Reusable Lunch Bags &amp; Boxes</t>
        </is>
      </c>
      <c r="E1991" t="inlineStr">
        <is>
          <t>Flyingstar</t>
        </is>
      </c>
      <c r="F1991" t="inlineStr">
        <is>
          <t>Q2-Target,Lunch Bag,Lunch Bags</t>
        </is>
      </c>
      <c r="G1991" s="48" t="n">
        <v>0</v>
      </c>
      <c r="H1991" s="48" t="n">
        <v>0</v>
      </c>
      <c r="I1991" s="48" t="n">
        <v>0</v>
      </c>
      <c r="J1991" s="48" t="n">
        <v>0</v>
      </c>
      <c r="K1991" s="49" t="n">
        <v>0</v>
      </c>
      <c r="L1991" s="49" t="n">
        <v>0</v>
      </c>
      <c r="M1991" s="49" t="n">
        <v>0</v>
      </c>
      <c r="N1991" s="49" t="n">
        <v>0</v>
      </c>
      <c r="O1991" s="49" t="n">
        <v>0</v>
      </c>
      <c r="P1991" s="49" t="n">
        <v>0</v>
      </c>
      <c r="Q1991" s="49" t="n">
        <v>0</v>
      </c>
      <c r="R1991" s="49" t="n">
        <v>0</v>
      </c>
      <c r="S1991" s="50" t="n">
        <v>0</v>
      </c>
      <c r="T1991" s="50" t="n">
        <v>0</v>
      </c>
      <c r="U1991" s="50" t="n">
        <v>0</v>
      </c>
      <c r="V1991" s="50" t="n">
        <v>0</v>
      </c>
      <c r="W1991" s="51" t="n">
        <v>0</v>
      </c>
      <c r="X1991" s="51" t="n">
        <v>0</v>
      </c>
      <c r="Y1991" s="51" t="n">
        <v>0</v>
      </c>
      <c r="Z1991" s="51" t="n">
        <v>0</v>
      </c>
      <c r="AA1991" s="52" t="n">
        <v>0</v>
      </c>
      <c r="AB1991" s="52" t="n">
        <v>0</v>
      </c>
      <c r="AC1991" s="52" t="n">
        <v>0</v>
      </c>
      <c r="AD1991" s="52" t="n">
        <v>0</v>
      </c>
      <c r="AE1991" s="52" t="n">
        <v>0</v>
      </c>
      <c r="AF1991" s="52" t="n">
        <v>0</v>
      </c>
      <c r="AG1991" s="52" t="n">
        <v>0</v>
      </c>
      <c r="AH1991" s="52" t="n">
        <v>0</v>
      </c>
      <c r="AI1991" s="52" t="n">
        <v>0</v>
      </c>
      <c r="AJ1991" s="52" t="n">
        <v>0</v>
      </c>
      <c r="AK1991" s="52" t="n">
        <v>0</v>
      </c>
      <c r="AL1991" s="52" t="n">
        <v>0</v>
      </c>
      <c r="AM1991" s="53" t="n">
        <v>0</v>
      </c>
      <c r="AN1991" s="53" t="n">
        <v>0</v>
      </c>
      <c r="AO1991" s="53" t="n">
        <v>0</v>
      </c>
      <c r="AP1991" s="53" t="n">
        <v>0</v>
      </c>
      <c r="AQ1991" s="52" t="n">
        <v>0</v>
      </c>
      <c r="AR1991" s="52" t="n">
        <v>0</v>
      </c>
      <c r="AS1991" s="52" t="n">
        <v>0</v>
      </c>
      <c r="AT1991" s="52" t="n">
        <v>0</v>
      </c>
      <c r="AU1991" s="53" t="n">
        <v>0</v>
      </c>
      <c r="AV1991" s="53" t="n">
        <v>0</v>
      </c>
      <c r="AW1991" s="53" t="n">
        <v>0</v>
      </c>
      <c r="AX1991" s="53" t="n">
        <v>0</v>
      </c>
      <c r="AY1991" s="52" t="n">
        <v>0</v>
      </c>
      <c r="AZ1991" s="52" t="n">
        <v>0</v>
      </c>
      <c r="BA1991" s="52" t="n">
        <v>0</v>
      </c>
      <c r="BB1991" s="52" t="n">
        <v>0</v>
      </c>
      <c r="BC1991" s="51" t="n">
        <v>0</v>
      </c>
      <c r="BD1991" s="51" t="n">
        <v>0</v>
      </c>
      <c r="BE1991" s="51" t="n">
        <v>0</v>
      </c>
      <c r="BF1991" s="51" t="n">
        <v>0</v>
      </c>
    </row>
    <row r="1992">
      <c r="A1992">
        <f>HYPERLINK("https://www.walmart.com/ip/220031830", "220031830")</f>
        <v/>
      </c>
      <c r="B1992" t="inlineStr">
        <is>
          <t>Oversized Hoodie Blanket Sweatshirt,Super Soft Warm Comfortable Fleece Giant Pullover with Large Front Pocket,for Adults Men Women Teenagers Kids Wife Girlfriend</t>
        </is>
      </c>
      <c r="C1992" t="inlineStr">
        <is>
          <t>1WMHD300MN</t>
        </is>
      </c>
      <c r="D1992" t="inlineStr">
        <is>
          <t>Sweatshirts &amp; Hoodies</t>
        </is>
      </c>
      <c r="E1992" t="inlineStr">
        <is>
          <t>Flyingstar</t>
        </is>
      </c>
      <c r="F1992" t="inlineStr">
        <is>
          <t>Hoodie ForAdult,Optimized</t>
        </is>
      </c>
      <c r="G1992" s="48" t="n">
        <v>0</v>
      </c>
      <c r="H1992" s="48" t="n">
        <v>0</v>
      </c>
      <c r="I1992" s="48" t="n">
        <v>0</v>
      </c>
      <c r="J1992" s="48" t="n">
        <v>0</v>
      </c>
      <c r="K1992" s="49" t="n">
        <v>0</v>
      </c>
      <c r="L1992" s="49" t="n">
        <v>0</v>
      </c>
      <c r="M1992" s="49" t="n">
        <v>0</v>
      </c>
      <c r="N1992" s="49" t="n">
        <v>0</v>
      </c>
      <c r="O1992" s="49" t="n">
        <v>0</v>
      </c>
      <c r="P1992" s="49" t="n">
        <v>0</v>
      </c>
      <c r="Q1992" s="49" t="n">
        <v>0</v>
      </c>
      <c r="R1992" s="49" t="n">
        <v>0</v>
      </c>
      <c r="S1992" s="50" t="n">
        <v>0</v>
      </c>
      <c r="T1992" s="50" t="n">
        <v>0</v>
      </c>
      <c r="U1992" s="50" t="n">
        <v>0</v>
      </c>
      <c r="V1992" s="50" t="n">
        <v>0</v>
      </c>
      <c r="W1992" s="51" t="n">
        <v>0</v>
      </c>
      <c r="X1992" s="51" t="n">
        <v>0</v>
      </c>
      <c r="Y1992" s="51" t="n">
        <v>0</v>
      </c>
      <c r="Z1992" s="51" t="n">
        <v>0</v>
      </c>
      <c r="AA1992" s="52" t="n">
        <v>0</v>
      </c>
      <c r="AB1992" s="52" t="n">
        <v>0</v>
      </c>
      <c r="AC1992" s="52" t="n">
        <v>0</v>
      </c>
      <c r="AD1992" s="52" t="n">
        <v>0</v>
      </c>
      <c r="AE1992" s="52" t="n">
        <v>0</v>
      </c>
      <c r="AF1992" s="52" t="n">
        <v>0</v>
      </c>
      <c r="AG1992" s="52" t="n">
        <v>0</v>
      </c>
      <c r="AH1992" s="52" t="n">
        <v>0</v>
      </c>
      <c r="AI1992" s="52" t="n">
        <v>0</v>
      </c>
      <c r="AJ1992" s="52" t="n">
        <v>0</v>
      </c>
      <c r="AK1992" s="52" t="n">
        <v>0</v>
      </c>
      <c r="AL1992" s="52" t="n">
        <v>0</v>
      </c>
      <c r="AM1992" s="53" t="n">
        <v>0</v>
      </c>
      <c r="AN1992" s="53" t="n">
        <v>0</v>
      </c>
      <c r="AO1992" s="53" t="n">
        <v>0</v>
      </c>
      <c r="AP1992" s="53" t="n">
        <v>0</v>
      </c>
      <c r="AQ1992" s="52" t="n">
        <v>0</v>
      </c>
      <c r="AR1992" s="52" t="n">
        <v>0</v>
      </c>
      <c r="AS1992" s="52" t="n">
        <v>0</v>
      </c>
      <c r="AT1992" s="52" t="n">
        <v>0</v>
      </c>
      <c r="AU1992" s="53" t="n">
        <v>0</v>
      </c>
      <c r="AV1992" s="53" t="n">
        <v>0</v>
      </c>
      <c r="AW1992" s="53" t="n">
        <v>0</v>
      </c>
      <c r="AX1992" s="53" t="n">
        <v>0</v>
      </c>
      <c r="AY1992" s="52" t="n">
        <v>0</v>
      </c>
      <c r="AZ1992" s="52" t="n">
        <v>0</v>
      </c>
      <c r="BA1992" s="52" t="n">
        <v>0</v>
      </c>
      <c r="BB1992" s="52" t="n">
        <v>0</v>
      </c>
      <c r="BC1992" s="51" t="n">
        <v>0</v>
      </c>
      <c r="BD1992" s="51" t="n">
        <v>0</v>
      </c>
      <c r="BE1992" s="51" t="n">
        <v>0</v>
      </c>
      <c r="BF1992" s="51" t="n">
        <v>0</v>
      </c>
    </row>
    <row r="1993">
      <c r="A1993">
        <f>HYPERLINK("https://www.walmart.com/ip/2205069111", "2205069111")</f>
        <v/>
      </c>
      <c r="B1993" t="inlineStr">
        <is>
          <t>Catalonia Cow Print Sherpa Fleece Blanket, Super Soft Warm Cozy Flannel Reversible Throw Blanket for Couch Sofa Bed, 50" x 60", Blue Cat Pattern</t>
        </is>
      </c>
      <c r="C1993" t="inlineStr">
        <is>
          <t>1CTBF300BLCAT</t>
        </is>
      </c>
      <c r="D1993" t="inlineStr">
        <is>
          <t>Throws</t>
        </is>
      </c>
      <c r="E1993" t="inlineStr">
        <is>
          <t>Catalonia</t>
        </is>
      </c>
      <c r="F1993" t="inlineStr">
        <is>
          <t>Coupon_Discount,Fleece Blankets</t>
        </is>
      </c>
      <c r="G1993" s="48" t="n">
        <v>0</v>
      </c>
      <c r="H1993" s="48" t="n">
        <v>0</v>
      </c>
      <c r="I1993" s="48" t="n">
        <v>21.99</v>
      </c>
      <c r="J1993" s="48" t="n">
        <v>0</v>
      </c>
      <c r="K1993" s="49" t="n">
        <v>0</v>
      </c>
      <c r="L1993" s="49" t="n">
        <v>0</v>
      </c>
      <c r="M1993" s="49" t="n">
        <v>1</v>
      </c>
      <c r="N1993" s="49" t="n">
        <v>0</v>
      </c>
      <c r="O1993" s="49" t="n">
        <v>0</v>
      </c>
      <c r="P1993" s="49" t="n">
        <v>0</v>
      </c>
      <c r="Q1993" s="49" t="n">
        <v>0</v>
      </c>
      <c r="R1993" s="49" t="n">
        <v>0</v>
      </c>
      <c r="S1993" s="50" t="n">
        <v>0</v>
      </c>
      <c r="T1993" s="50" t="n">
        <v>0</v>
      </c>
      <c r="U1993" s="50" t="n">
        <v>0</v>
      </c>
      <c r="V1993" s="50" t="n">
        <v>0</v>
      </c>
      <c r="W1993" s="51" t="n">
        <v>0</v>
      </c>
      <c r="X1993" s="51" t="n">
        <v>0</v>
      </c>
      <c r="Y1993" s="51" t="n">
        <v>0</v>
      </c>
      <c r="Z1993" s="51" t="n">
        <v>0</v>
      </c>
      <c r="AA1993" s="52" t="n">
        <v>0</v>
      </c>
      <c r="AB1993" s="52" t="n">
        <v>0</v>
      </c>
      <c r="AC1993" s="52" t="n">
        <v>0</v>
      </c>
      <c r="AD1993" s="52" t="n">
        <v>0</v>
      </c>
      <c r="AE1993" s="52" t="n">
        <v>0</v>
      </c>
      <c r="AF1993" s="52" t="n">
        <v>0</v>
      </c>
      <c r="AG1993" s="52" t="n">
        <v>0</v>
      </c>
      <c r="AH1993" s="52" t="n">
        <v>0</v>
      </c>
      <c r="AI1993" s="52" t="n">
        <v>0</v>
      </c>
      <c r="AJ1993" s="52" t="n">
        <v>0</v>
      </c>
      <c r="AK1993" s="52" t="n">
        <v>0</v>
      </c>
      <c r="AL1993" s="52" t="n">
        <v>0</v>
      </c>
      <c r="AM1993" s="53" t="n">
        <v>0</v>
      </c>
      <c r="AN1993" s="53" t="n">
        <v>0</v>
      </c>
      <c r="AO1993" s="53" t="n">
        <v>0</v>
      </c>
      <c r="AP1993" s="53" t="n">
        <v>0</v>
      </c>
      <c r="AQ1993" s="52" t="n">
        <v>0</v>
      </c>
      <c r="AR1993" s="52" t="n">
        <v>0</v>
      </c>
      <c r="AS1993" s="52" t="n">
        <v>0</v>
      </c>
      <c r="AT1993" s="52" t="n">
        <v>0</v>
      </c>
      <c r="AU1993" s="53" t="n">
        <v>0</v>
      </c>
      <c r="AV1993" s="53" t="n">
        <v>0</v>
      </c>
      <c r="AW1993" s="53" t="n">
        <v>0</v>
      </c>
      <c r="AX1993" s="53" t="n">
        <v>0</v>
      </c>
      <c r="AY1993" s="52" t="n">
        <v>0</v>
      </c>
      <c r="AZ1993" s="52" t="n">
        <v>0</v>
      </c>
      <c r="BA1993" s="52" t="n">
        <v>21.99</v>
      </c>
      <c r="BB1993" s="52" t="n">
        <v>0</v>
      </c>
      <c r="BC1993" s="51" t="n">
        <v>0</v>
      </c>
      <c r="BD1993" s="51" t="n">
        <v>0</v>
      </c>
      <c r="BE1993" s="51" t="n">
        <v>0</v>
      </c>
      <c r="BF1993" s="51" t="n">
        <v>0</v>
      </c>
    </row>
    <row r="1994">
      <c r="A1994">
        <f>HYPERLINK("https://www.walmart.com/ip/2207142332", "2207142332")</f>
        <v/>
      </c>
      <c r="B1994" t="inlineStr">
        <is>
          <t>Dickies Insulated Lunch Bag Satchel for School and Work, Thermal Reusable Office Lunch Box for Women (Charcoal)</t>
        </is>
      </c>
      <c r="C1994" t="inlineStr">
        <is>
          <t>DK-LUNCH-SATCHEL-TROPICFLOWER-FN</t>
        </is>
      </c>
      <c r="D1994" t="inlineStr">
        <is>
          <t>Reusable Lunch Bags &amp; Boxes</t>
        </is>
      </c>
      <c r="E1994" t="inlineStr">
        <is>
          <t>Dickies</t>
        </is>
      </c>
      <c r="G1994" s="48" t="n">
        <v>0</v>
      </c>
      <c r="H1994" s="48" t="n">
        <v>0</v>
      </c>
      <c r="I1994" s="48" t="n">
        <v>0</v>
      </c>
      <c r="J1994" s="48" t="n">
        <v>0</v>
      </c>
      <c r="K1994" s="49" t="n">
        <v>0</v>
      </c>
      <c r="L1994" s="49" t="n">
        <v>0</v>
      </c>
      <c r="M1994" s="49" t="n">
        <v>0</v>
      </c>
      <c r="N1994" s="49" t="n">
        <v>0</v>
      </c>
      <c r="O1994" s="49" t="n">
        <v>0</v>
      </c>
      <c r="P1994" s="49" t="n">
        <v>0</v>
      </c>
      <c r="Q1994" s="49" t="n">
        <v>0</v>
      </c>
      <c r="R1994" s="49" t="n">
        <v>0</v>
      </c>
      <c r="S1994" s="50" t="n">
        <v>0</v>
      </c>
      <c r="T1994" s="50" t="n">
        <v>0</v>
      </c>
      <c r="U1994" s="50" t="n">
        <v>0</v>
      </c>
      <c r="V1994" s="50" t="n">
        <v>0</v>
      </c>
      <c r="W1994" s="51" t="n">
        <v>0</v>
      </c>
      <c r="X1994" s="51" t="n">
        <v>0</v>
      </c>
      <c r="Y1994" s="51" t="n">
        <v>0</v>
      </c>
      <c r="Z1994" s="51" t="n">
        <v>0</v>
      </c>
      <c r="AA1994" s="52" t="n">
        <v>0</v>
      </c>
      <c r="AB1994" s="52" t="n">
        <v>0</v>
      </c>
      <c r="AC1994" s="52" t="n">
        <v>0</v>
      </c>
      <c r="AD1994" s="52" t="n">
        <v>0</v>
      </c>
      <c r="AE1994" s="52" t="n">
        <v>0</v>
      </c>
      <c r="AF1994" s="52" t="n">
        <v>0</v>
      </c>
      <c r="AG1994" s="52" t="n">
        <v>0</v>
      </c>
      <c r="AH1994" s="52" t="n">
        <v>0</v>
      </c>
      <c r="AI1994" s="52" t="n">
        <v>0</v>
      </c>
      <c r="AJ1994" s="52" t="n">
        <v>0</v>
      </c>
      <c r="AK1994" s="52" t="n">
        <v>0</v>
      </c>
      <c r="AL1994" s="52" t="n">
        <v>0</v>
      </c>
      <c r="AM1994" s="53" t="n">
        <v>0</v>
      </c>
      <c r="AN1994" s="53" t="n">
        <v>0</v>
      </c>
      <c r="AO1994" s="53" t="n">
        <v>0</v>
      </c>
      <c r="AP1994" s="53" t="n">
        <v>0</v>
      </c>
      <c r="AQ1994" s="52" t="n">
        <v>0</v>
      </c>
      <c r="AR1994" s="52" t="n">
        <v>0</v>
      </c>
      <c r="AS1994" s="52" t="n">
        <v>0</v>
      </c>
      <c r="AT1994" s="52" t="n">
        <v>0</v>
      </c>
      <c r="AU1994" s="53" t="n">
        <v>0</v>
      </c>
      <c r="AV1994" s="53" t="n">
        <v>0</v>
      </c>
      <c r="AW1994" s="53" t="n">
        <v>0</v>
      </c>
      <c r="AX1994" s="53" t="n">
        <v>0</v>
      </c>
      <c r="AY1994" s="52" t="n">
        <v>0</v>
      </c>
      <c r="AZ1994" s="52" t="n">
        <v>0</v>
      </c>
      <c r="BA1994" s="52" t="n">
        <v>0</v>
      </c>
      <c r="BB1994" s="52" t="n">
        <v>0</v>
      </c>
      <c r="BC1994" s="51" t="n">
        <v>0</v>
      </c>
      <c r="BD1994" s="51" t="n">
        <v>0</v>
      </c>
      <c r="BE1994" s="51" t="n">
        <v>0</v>
      </c>
      <c r="BF1994" s="51" t="n">
        <v>0</v>
      </c>
    </row>
    <row r="1995">
      <c r="A1995">
        <f>HYPERLINK("https://www.walmart.com/ip/221045406", "221045406")</f>
        <v/>
      </c>
      <c r="B1995" t="inlineStr">
        <is>
          <t>Terra Mens Boxer Briefs, Elastic Waistband, Solid New Classic Fit, Black/Gray, 3 Pack</t>
        </is>
      </c>
      <c r="C1995" t="inlineStr">
        <is>
          <t>TERRA-BOXER11-L</t>
        </is>
      </c>
      <c r="D1995" t="inlineStr">
        <is>
          <t>Underpants</t>
        </is>
      </c>
      <c r="E1995" t="inlineStr">
        <is>
          <t>Terra</t>
        </is>
      </c>
      <c r="F1995" t="inlineStr">
        <is>
          <t>Batch 1 - TR</t>
        </is>
      </c>
      <c r="G1995" s="48" t="n">
        <v>0</v>
      </c>
      <c r="H1995" s="48" t="n">
        <v>0</v>
      </c>
      <c r="I1995" s="48" t="n">
        <v>0</v>
      </c>
      <c r="J1995" s="48" t="n">
        <v>0</v>
      </c>
      <c r="K1995" s="49" t="n">
        <v>0</v>
      </c>
      <c r="L1995" s="49" t="n">
        <v>0</v>
      </c>
      <c r="M1995" s="49" t="n">
        <v>0</v>
      </c>
      <c r="N1995" s="49" t="n">
        <v>0</v>
      </c>
      <c r="O1995" s="49" t="n">
        <v>0</v>
      </c>
      <c r="P1995" s="49" t="n">
        <v>0</v>
      </c>
      <c r="Q1995" s="49" t="n">
        <v>0</v>
      </c>
      <c r="R1995" s="49" t="n">
        <v>0</v>
      </c>
      <c r="S1995" s="50" t="n">
        <v>0</v>
      </c>
      <c r="T1995" s="50" t="n">
        <v>0</v>
      </c>
      <c r="U1995" s="50" t="n">
        <v>0</v>
      </c>
      <c r="V1995" s="50" t="n">
        <v>0</v>
      </c>
      <c r="W1995" s="51" t="n">
        <v>0</v>
      </c>
      <c r="X1995" s="51" t="n">
        <v>0</v>
      </c>
      <c r="Y1995" s="51" t="n">
        <v>0</v>
      </c>
      <c r="Z1995" s="51" t="n">
        <v>0</v>
      </c>
      <c r="AA1995" s="52" t="n">
        <v>0</v>
      </c>
      <c r="AB1995" s="52" t="n">
        <v>0</v>
      </c>
      <c r="AC1995" s="52" t="n">
        <v>0</v>
      </c>
      <c r="AD1995" s="52" t="n">
        <v>0</v>
      </c>
      <c r="AE1995" s="52" t="n">
        <v>0</v>
      </c>
      <c r="AF1995" s="52" t="n">
        <v>0</v>
      </c>
      <c r="AG1995" s="52" t="n">
        <v>0</v>
      </c>
      <c r="AH1995" s="52" t="n">
        <v>0</v>
      </c>
      <c r="AI1995" s="52" t="n">
        <v>0</v>
      </c>
      <c r="AJ1995" s="52" t="n">
        <v>0</v>
      </c>
      <c r="AK1995" s="52" t="n">
        <v>0</v>
      </c>
      <c r="AL1995" s="52" t="n">
        <v>0</v>
      </c>
      <c r="AM1995" s="53" t="n">
        <v>0</v>
      </c>
      <c r="AN1995" s="53" t="n">
        <v>0</v>
      </c>
      <c r="AO1995" s="53" t="n">
        <v>0</v>
      </c>
      <c r="AP1995" s="53" t="n">
        <v>0</v>
      </c>
      <c r="AQ1995" s="52" t="n">
        <v>0</v>
      </c>
      <c r="AR1995" s="52" t="n">
        <v>0</v>
      </c>
      <c r="AS1995" s="52" t="n">
        <v>0</v>
      </c>
      <c r="AT1995" s="52" t="n">
        <v>0</v>
      </c>
      <c r="AU1995" s="53" t="n">
        <v>0</v>
      </c>
      <c r="AV1995" s="53" t="n">
        <v>0</v>
      </c>
      <c r="AW1995" s="53" t="n">
        <v>0</v>
      </c>
      <c r="AX1995" s="53" t="n">
        <v>0</v>
      </c>
      <c r="AY1995" s="52" t="n">
        <v>0</v>
      </c>
      <c r="AZ1995" s="52" t="n">
        <v>0</v>
      </c>
      <c r="BA1995" s="52" t="n">
        <v>0</v>
      </c>
      <c r="BB1995" s="52" t="n">
        <v>0</v>
      </c>
      <c r="BC1995" s="51" t="n">
        <v>0</v>
      </c>
      <c r="BD1995" s="51" t="n">
        <v>0</v>
      </c>
      <c r="BE1995" s="51" t="n">
        <v>0</v>
      </c>
      <c r="BF1995" s="51" t="n">
        <v>0</v>
      </c>
    </row>
    <row r="1996">
      <c r="A1996">
        <f>HYPERLINK("https://www.walmart.com/ip/222037701", "222037701")</f>
        <v/>
      </c>
      <c r="B1996" t="inlineStr">
        <is>
          <t>Catalonia Twin Size Quilt Set, Lightweight Bedspread for Summer and Spring, 2 Pieces Bedding Coverlet-1 Quilt and 1 Pillow Sham, Latte Froest Pattern,68x90 inches</t>
        </is>
      </c>
      <c r="C1996" t="inlineStr">
        <is>
          <t>1CTBQ202TW-LTWT</t>
        </is>
      </c>
      <c r="D1996" t="inlineStr">
        <is>
          <t>Bedding Sets</t>
        </is>
      </c>
      <c r="E1996" t="inlineStr">
        <is>
          <t>Catalonia</t>
        </is>
      </c>
      <c r="F1996" t="inlineStr">
        <is>
          <t>Optimized</t>
        </is>
      </c>
      <c r="G1996" s="48" t="n">
        <v>0</v>
      </c>
      <c r="H1996" s="48" t="n">
        <v>0</v>
      </c>
      <c r="I1996" s="48" t="n">
        <v>39.98</v>
      </c>
      <c r="J1996" s="48" t="n">
        <v>0</v>
      </c>
      <c r="K1996" s="49" t="n">
        <v>0</v>
      </c>
      <c r="L1996" s="49" t="n">
        <v>0</v>
      </c>
      <c r="M1996" s="49" t="n">
        <v>2</v>
      </c>
      <c r="N1996" s="49" t="n">
        <v>0</v>
      </c>
      <c r="O1996" s="49" t="n">
        <v>0</v>
      </c>
      <c r="P1996" s="49" t="n">
        <v>0</v>
      </c>
      <c r="Q1996" s="49" t="n">
        <v>0</v>
      </c>
      <c r="R1996" s="49" t="n">
        <v>5</v>
      </c>
      <c r="S1996" s="50" t="n">
        <v>0</v>
      </c>
      <c r="T1996" s="50" t="n">
        <v>0</v>
      </c>
      <c r="U1996" s="50" t="n">
        <v>0</v>
      </c>
      <c r="V1996" s="50" t="n">
        <v>0</v>
      </c>
      <c r="W1996" s="51" t="n">
        <v>0</v>
      </c>
      <c r="X1996" s="51" t="n">
        <v>0</v>
      </c>
      <c r="Y1996" s="51" t="n">
        <v>0</v>
      </c>
      <c r="Z1996" s="51" t="n">
        <v>0</v>
      </c>
      <c r="AA1996" s="52" t="n">
        <v>0</v>
      </c>
      <c r="AB1996" s="52" t="n">
        <v>0</v>
      </c>
      <c r="AC1996" s="52" t="n">
        <v>0</v>
      </c>
      <c r="AD1996" s="52" t="n">
        <v>0</v>
      </c>
      <c r="AE1996" s="52" t="n">
        <v>0</v>
      </c>
      <c r="AF1996" s="52" t="n">
        <v>0</v>
      </c>
      <c r="AG1996" s="52" t="n">
        <v>0</v>
      </c>
      <c r="AH1996" s="52" t="n">
        <v>0</v>
      </c>
      <c r="AI1996" s="52" t="n">
        <v>0</v>
      </c>
      <c r="AJ1996" s="52" t="n">
        <v>0</v>
      </c>
      <c r="AK1996" s="52" t="n">
        <v>0</v>
      </c>
      <c r="AL1996" s="52" t="n">
        <v>0</v>
      </c>
      <c r="AM1996" s="53" t="n">
        <v>0</v>
      </c>
      <c r="AN1996" s="53" t="n">
        <v>0</v>
      </c>
      <c r="AO1996" s="53" t="n">
        <v>0</v>
      </c>
      <c r="AP1996" s="53" t="n">
        <v>0</v>
      </c>
      <c r="AQ1996" s="52" t="n">
        <v>0</v>
      </c>
      <c r="AR1996" s="52" t="n">
        <v>0</v>
      </c>
      <c r="AS1996" s="52" t="n">
        <v>0</v>
      </c>
      <c r="AT1996" s="52" t="n">
        <v>0</v>
      </c>
      <c r="AU1996" s="53" t="n">
        <v>0</v>
      </c>
      <c r="AV1996" s="53" t="n">
        <v>0</v>
      </c>
      <c r="AW1996" s="53" t="n">
        <v>0</v>
      </c>
      <c r="AX1996" s="53" t="n">
        <v>0</v>
      </c>
      <c r="AY1996" s="52" t="n">
        <v>0</v>
      </c>
      <c r="AZ1996" s="52" t="n">
        <v>0</v>
      </c>
      <c r="BA1996" s="52" t="n">
        <v>19.99</v>
      </c>
      <c r="BB1996" s="52" t="n">
        <v>0</v>
      </c>
      <c r="BC1996" s="51" t="n">
        <v>0</v>
      </c>
      <c r="BD1996" s="51" t="n">
        <v>0</v>
      </c>
      <c r="BE1996" s="51" t="n">
        <v>0</v>
      </c>
      <c r="BF1996" s="51" t="n">
        <v>0</v>
      </c>
    </row>
    <row r="1997">
      <c r="A1997">
        <f>HYPERLINK("https://www.walmart.com/ip/222077443", "222077443")</f>
        <v/>
      </c>
      <c r="B1997" t="inlineStr">
        <is>
          <t>Buffalo Plaid Sherpa Throw TV Blanket 50" x 60" Super Soft Reversible Fleece Blanket for Cabin Bed or Couch | Catalonia series by Terrania | Cabin Plaid Red and Black Check</t>
        </is>
      </c>
      <c r="C1997" t="inlineStr">
        <is>
          <t>1TRBF300PRD-TBCB</t>
        </is>
      </c>
      <c r="D1997" t="inlineStr">
        <is>
          <t>Throws</t>
        </is>
      </c>
      <c r="E1997" t="inlineStr">
        <is>
          <t>Tirrinia</t>
        </is>
      </c>
      <c r="F1997" t="inlineStr">
        <is>
          <t>WFS,WFS Item,Fleece Blankets</t>
        </is>
      </c>
      <c r="G1997" s="48" t="n">
        <v>0</v>
      </c>
      <c r="H1997" s="48" t="n">
        <v>0</v>
      </c>
      <c r="I1997" s="48" t="n">
        <v>0</v>
      </c>
      <c r="J1997" s="48" t="n">
        <v>0</v>
      </c>
      <c r="K1997" s="49" t="n">
        <v>0</v>
      </c>
      <c r="L1997" s="49" t="n">
        <v>0</v>
      </c>
      <c r="M1997" s="49" t="n">
        <v>0</v>
      </c>
      <c r="N1997" s="49" t="n">
        <v>0</v>
      </c>
      <c r="O1997" s="49" t="n">
        <v>0</v>
      </c>
      <c r="P1997" s="49" t="n">
        <v>0</v>
      </c>
      <c r="Q1997" s="49" t="n">
        <v>0</v>
      </c>
      <c r="R1997" s="49" t="n">
        <v>0</v>
      </c>
      <c r="S1997" s="50" t="n">
        <v>0</v>
      </c>
      <c r="T1997" s="50" t="n">
        <v>0</v>
      </c>
      <c r="U1997" s="50" t="n">
        <v>0</v>
      </c>
      <c r="V1997" s="50" t="n">
        <v>0</v>
      </c>
      <c r="W1997" s="51" t="n">
        <v>0</v>
      </c>
      <c r="X1997" s="51" t="n">
        <v>0</v>
      </c>
      <c r="Y1997" s="51" t="n">
        <v>0</v>
      </c>
      <c r="Z1997" s="51" t="n">
        <v>0</v>
      </c>
      <c r="AA1997" s="52" t="n">
        <v>0</v>
      </c>
      <c r="AB1997" s="52" t="n">
        <v>0</v>
      </c>
      <c r="AC1997" s="52" t="n">
        <v>0</v>
      </c>
      <c r="AD1997" s="52" t="n">
        <v>0</v>
      </c>
      <c r="AE1997" s="52" t="n">
        <v>0</v>
      </c>
      <c r="AF1997" s="52" t="n">
        <v>0</v>
      </c>
      <c r="AG1997" s="52" t="n">
        <v>0</v>
      </c>
      <c r="AH1997" s="52" t="n">
        <v>0</v>
      </c>
      <c r="AI1997" s="52" t="n">
        <v>0</v>
      </c>
      <c r="AJ1997" s="52" t="n">
        <v>0</v>
      </c>
      <c r="AK1997" s="52" t="n">
        <v>0</v>
      </c>
      <c r="AL1997" s="52" t="n">
        <v>0</v>
      </c>
      <c r="AM1997" s="53" t="n">
        <v>0</v>
      </c>
      <c r="AN1997" s="53" t="n">
        <v>0</v>
      </c>
      <c r="AO1997" s="53" t="n">
        <v>0</v>
      </c>
      <c r="AP1997" s="53" t="n">
        <v>0</v>
      </c>
      <c r="AQ1997" s="52" t="n">
        <v>0</v>
      </c>
      <c r="AR1997" s="52" t="n">
        <v>0</v>
      </c>
      <c r="AS1997" s="52" t="n">
        <v>0</v>
      </c>
      <c r="AT1997" s="52" t="n">
        <v>0</v>
      </c>
      <c r="AU1997" s="53" t="n">
        <v>0</v>
      </c>
      <c r="AV1997" s="53" t="n">
        <v>0</v>
      </c>
      <c r="AW1997" s="53" t="n">
        <v>0</v>
      </c>
      <c r="AX1997" s="53" t="n">
        <v>0</v>
      </c>
      <c r="AY1997" s="52" t="n">
        <v>0</v>
      </c>
      <c r="AZ1997" s="52" t="n">
        <v>0</v>
      </c>
      <c r="BA1997" s="52" t="n">
        <v>0</v>
      </c>
      <c r="BB1997" s="52" t="n">
        <v>0</v>
      </c>
      <c r="BC1997" s="51" t="n">
        <v>0</v>
      </c>
      <c r="BD1997" s="51" t="n">
        <v>0</v>
      </c>
      <c r="BE1997" s="51" t="n">
        <v>0</v>
      </c>
      <c r="BF1997" s="51" t="n">
        <v>0</v>
      </c>
    </row>
    <row r="1998">
      <c r="A1998">
        <f>HYPERLINK("https://www.walmart.com/ip/223541821", "223541821")</f>
        <v/>
      </c>
      <c r="B1998" t="inlineStr">
        <is>
          <t>Tirrinia Microplush Sherpa Blanket with Sleeves for Women and Men, 3.19 lb, Breathable, Purple</t>
        </is>
      </c>
      <c r="C1998" t="inlineStr">
        <is>
          <t>1TRSN110PP-TBCB</t>
        </is>
      </c>
      <c r="D1998" t="inlineStr">
        <is>
          <t>Throws</t>
        </is>
      </c>
      <c r="E1998" t="inlineStr">
        <is>
          <t>Tirrinia</t>
        </is>
      </c>
      <c r="F1998" t="inlineStr">
        <is>
          <t>Optimized</t>
        </is>
      </c>
      <c r="G1998" s="48" t="n">
        <v>0</v>
      </c>
      <c r="H1998" s="48" t="n">
        <v>0</v>
      </c>
      <c r="I1998" s="48" t="n">
        <v>0</v>
      </c>
      <c r="J1998" s="48" t="n">
        <v>0</v>
      </c>
      <c r="K1998" s="49" t="n">
        <v>0</v>
      </c>
      <c r="L1998" s="49" t="n">
        <v>0</v>
      </c>
      <c r="M1998" s="49" t="n">
        <v>0</v>
      </c>
      <c r="N1998" s="49" t="n">
        <v>0</v>
      </c>
      <c r="O1998" s="49" t="n">
        <v>0</v>
      </c>
      <c r="P1998" s="49" t="n">
        <v>0</v>
      </c>
      <c r="Q1998" s="49" t="n">
        <v>0</v>
      </c>
      <c r="R1998" s="49" t="n">
        <v>0</v>
      </c>
      <c r="S1998" s="50" t="n">
        <v>0</v>
      </c>
      <c r="T1998" s="50" t="n">
        <v>0</v>
      </c>
      <c r="U1998" s="50" t="n">
        <v>0</v>
      </c>
      <c r="V1998" s="50" t="n">
        <v>0</v>
      </c>
      <c r="W1998" s="51" t="n">
        <v>0</v>
      </c>
      <c r="X1998" s="51" t="n">
        <v>0</v>
      </c>
      <c r="Y1998" s="51" t="n">
        <v>0</v>
      </c>
      <c r="Z1998" s="51" t="n">
        <v>0</v>
      </c>
      <c r="AA1998" s="52" t="n">
        <v>0</v>
      </c>
      <c r="AB1998" s="52" t="n">
        <v>0</v>
      </c>
      <c r="AC1998" s="52" t="n">
        <v>0</v>
      </c>
      <c r="AD1998" s="52" t="n">
        <v>0</v>
      </c>
      <c r="AE1998" s="52" t="n">
        <v>0</v>
      </c>
      <c r="AF1998" s="52" t="n">
        <v>0</v>
      </c>
      <c r="AG1998" s="52" t="n">
        <v>0</v>
      </c>
      <c r="AH1998" s="52" t="n">
        <v>0</v>
      </c>
      <c r="AI1998" s="52" t="n">
        <v>0</v>
      </c>
      <c r="AJ1998" s="52" t="n">
        <v>0</v>
      </c>
      <c r="AK1998" s="52" t="n">
        <v>0</v>
      </c>
      <c r="AL1998" s="52" t="n">
        <v>0</v>
      </c>
      <c r="AM1998" s="53" t="n">
        <v>0</v>
      </c>
      <c r="AN1998" s="53" t="n">
        <v>0</v>
      </c>
      <c r="AO1998" s="53" t="n">
        <v>0</v>
      </c>
      <c r="AP1998" s="53" t="n">
        <v>0</v>
      </c>
      <c r="AQ1998" s="52" t="n">
        <v>0</v>
      </c>
      <c r="AR1998" s="52" t="n">
        <v>0</v>
      </c>
      <c r="AS1998" s="52" t="n">
        <v>0</v>
      </c>
      <c r="AT1998" s="52" t="n">
        <v>0</v>
      </c>
      <c r="AU1998" s="53" t="n">
        <v>0</v>
      </c>
      <c r="AV1998" s="53" t="n">
        <v>0</v>
      </c>
      <c r="AW1998" s="53" t="n">
        <v>0</v>
      </c>
      <c r="AX1998" s="53" t="n">
        <v>0</v>
      </c>
      <c r="AY1998" s="52" t="n">
        <v>0</v>
      </c>
      <c r="AZ1998" s="52" t="n">
        <v>0</v>
      </c>
      <c r="BA1998" s="52" t="n">
        <v>0</v>
      </c>
      <c r="BB1998" s="52" t="n">
        <v>0</v>
      </c>
      <c r="BC1998" s="51" t="n">
        <v>0</v>
      </c>
      <c r="BD1998" s="51" t="n">
        <v>0</v>
      </c>
      <c r="BE1998" s="51" t="n">
        <v>0</v>
      </c>
      <c r="BF1998" s="51" t="n">
        <v>0</v>
      </c>
    </row>
    <row r="1999">
      <c r="A1999">
        <f>HYPERLINK("https://www.walmart.com/ip/223551191", "223551191")</f>
        <v/>
      </c>
      <c r="B1999" t="inlineStr">
        <is>
          <t>Two-Piece Ladies Tankini Swimsuit for Women Swimsuits by Tirrinia</t>
        </is>
      </c>
      <c r="C1999" t="inlineStr">
        <is>
          <t>1TRSS003WH-M</t>
        </is>
      </c>
      <c r="D1999" t="inlineStr">
        <is>
          <t>Swimsuit Sets</t>
        </is>
      </c>
      <c r="E1999" t="inlineStr">
        <is>
          <t>Tirrinia</t>
        </is>
      </c>
      <c r="G1999" s="48" t="n">
        <v>0</v>
      </c>
      <c r="H1999" s="48" t="n">
        <v>0</v>
      </c>
      <c r="I1999" s="48" t="n">
        <v>0</v>
      </c>
      <c r="J1999" s="48" t="n">
        <v>0</v>
      </c>
      <c r="K1999" s="49" t="n">
        <v>0</v>
      </c>
      <c r="L1999" s="49" t="n">
        <v>0</v>
      </c>
      <c r="M1999" s="49" t="n">
        <v>0</v>
      </c>
      <c r="N1999" s="49" t="n">
        <v>0</v>
      </c>
      <c r="O1999" s="49" t="n">
        <v>0</v>
      </c>
      <c r="P1999" s="49" t="n">
        <v>0</v>
      </c>
      <c r="Q1999" s="49" t="n">
        <v>0</v>
      </c>
      <c r="R1999" s="49" t="n">
        <v>0</v>
      </c>
      <c r="S1999" s="50" t="n">
        <v>0</v>
      </c>
      <c r="T1999" s="50" t="n">
        <v>0</v>
      </c>
      <c r="U1999" s="50" t="n">
        <v>0</v>
      </c>
      <c r="V1999" s="50" t="n">
        <v>0</v>
      </c>
      <c r="W1999" s="51" t="n">
        <v>0</v>
      </c>
      <c r="X1999" s="51" t="n">
        <v>0</v>
      </c>
      <c r="Y1999" s="51" t="n">
        <v>0</v>
      </c>
      <c r="Z1999" s="51" t="n">
        <v>0</v>
      </c>
      <c r="AA1999" s="52" t="n">
        <v>0</v>
      </c>
      <c r="AB1999" s="52" t="n">
        <v>0</v>
      </c>
      <c r="AC1999" s="52" t="n">
        <v>0</v>
      </c>
      <c r="AD1999" s="52" t="n">
        <v>0</v>
      </c>
      <c r="AE1999" s="52" t="n">
        <v>0</v>
      </c>
      <c r="AF1999" s="52" t="n">
        <v>0</v>
      </c>
      <c r="AG1999" s="52" t="n">
        <v>0</v>
      </c>
      <c r="AH1999" s="52" t="n">
        <v>0</v>
      </c>
      <c r="AI1999" s="52" t="n">
        <v>0</v>
      </c>
      <c r="AJ1999" s="52" t="n">
        <v>0</v>
      </c>
      <c r="AK1999" s="52" t="n">
        <v>0</v>
      </c>
      <c r="AL1999" s="52" t="n">
        <v>0</v>
      </c>
      <c r="AM1999" s="53" t="n">
        <v>0</v>
      </c>
      <c r="AN1999" s="53" t="n">
        <v>0</v>
      </c>
      <c r="AO1999" s="53" t="n">
        <v>0</v>
      </c>
      <c r="AP1999" s="53" t="n">
        <v>0</v>
      </c>
      <c r="AQ1999" s="52" t="n">
        <v>0</v>
      </c>
      <c r="AR1999" s="52" t="n">
        <v>0</v>
      </c>
      <c r="AS1999" s="52" t="n">
        <v>0</v>
      </c>
      <c r="AT1999" s="52" t="n">
        <v>0</v>
      </c>
      <c r="AU1999" s="53" t="n">
        <v>0</v>
      </c>
      <c r="AV1999" s="53" t="n">
        <v>0</v>
      </c>
      <c r="AW1999" s="53" t="n">
        <v>0</v>
      </c>
      <c r="AX1999" s="53" t="n">
        <v>0</v>
      </c>
      <c r="AY1999" s="52" t="n">
        <v>0</v>
      </c>
      <c r="AZ1999" s="52" t="n">
        <v>0</v>
      </c>
      <c r="BA1999" s="52" t="n">
        <v>0</v>
      </c>
      <c r="BB1999" s="52" t="n">
        <v>0</v>
      </c>
      <c r="BC1999" s="51" t="n">
        <v>0</v>
      </c>
      <c r="BD1999" s="51" t="n">
        <v>0</v>
      </c>
      <c r="BE1999" s="51" t="n">
        <v>0</v>
      </c>
      <c r="BF1999" s="51" t="n">
        <v>0</v>
      </c>
    </row>
    <row r="2000">
      <c r="A2000">
        <f>HYPERLINK("https://www.walmart.com/ip/2237238375", "2237238375")</f>
        <v/>
      </c>
      <c r="B2000" t="inlineStr">
        <is>
          <t>Kato Sherpa Fleece Blanket, Waterproof and Windproof Mat for Boat, Traveling, Camping, Hiking, and Football, Black/Grey, 66'' x 90''</t>
        </is>
      </c>
      <c r="C2000" t="inlineStr">
        <is>
          <t>1KTBW669BKGY</t>
        </is>
      </c>
      <c r="D2000" t="inlineStr">
        <is>
          <t>Throws</t>
        </is>
      </c>
      <c r="E2000" t="inlineStr">
        <is>
          <t>Kato</t>
        </is>
      </c>
      <c r="G2000" s="48" t="n">
        <v>0</v>
      </c>
      <c r="H2000" s="48" t="n">
        <v>0</v>
      </c>
      <c r="I2000" s="48" t="n">
        <v>0</v>
      </c>
      <c r="J2000" s="48" t="n">
        <v>0</v>
      </c>
      <c r="K2000" s="49" t="n">
        <v>0</v>
      </c>
      <c r="L2000" s="49" t="n">
        <v>0</v>
      </c>
      <c r="M2000" s="49" t="n">
        <v>0</v>
      </c>
      <c r="N2000" s="49" t="n">
        <v>0</v>
      </c>
      <c r="O2000" s="49" t="n">
        <v>0</v>
      </c>
      <c r="P2000" s="49" t="n">
        <v>0</v>
      </c>
      <c r="Q2000" s="49" t="n">
        <v>0</v>
      </c>
      <c r="R2000" s="49" t="n">
        <v>0</v>
      </c>
      <c r="S2000" s="50" t="n">
        <v>0</v>
      </c>
      <c r="T2000" s="50" t="n">
        <v>0</v>
      </c>
      <c r="U2000" s="50" t="n">
        <v>0</v>
      </c>
      <c r="V2000" s="50" t="n">
        <v>0</v>
      </c>
      <c r="W2000" s="51" t="n">
        <v>0</v>
      </c>
      <c r="X2000" s="51" t="n">
        <v>0</v>
      </c>
      <c r="Y2000" s="51" t="n">
        <v>0</v>
      </c>
      <c r="Z2000" s="51" t="n">
        <v>0</v>
      </c>
      <c r="AA2000" s="52" t="n">
        <v>0</v>
      </c>
      <c r="AB2000" s="52" t="n">
        <v>0</v>
      </c>
      <c r="AC2000" s="52" t="n">
        <v>0</v>
      </c>
      <c r="AD2000" s="52" t="n">
        <v>0</v>
      </c>
      <c r="AE2000" s="52" t="n">
        <v>0</v>
      </c>
      <c r="AF2000" s="52" t="n">
        <v>0</v>
      </c>
      <c r="AG2000" s="52" t="n">
        <v>0</v>
      </c>
      <c r="AH2000" s="52" t="n">
        <v>0</v>
      </c>
      <c r="AI2000" s="52" t="n">
        <v>0</v>
      </c>
      <c r="AJ2000" s="52" t="n">
        <v>0</v>
      </c>
      <c r="AK2000" s="52" t="n">
        <v>0</v>
      </c>
      <c r="AL2000" s="52" t="n">
        <v>0</v>
      </c>
      <c r="AM2000" s="53" t="n">
        <v>0</v>
      </c>
      <c r="AN2000" s="53" t="n">
        <v>0</v>
      </c>
      <c r="AO2000" s="53" t="n">
        <v>0</v>
      </c>
      <c r="AP2000" s="53" t="n">
        <v>0</v>
      </c>
      <c r="AQ2000" s="52" t="n">
        <v>0</v>
      </c>
      <c r="AR2000" s="52" t="n">
        <v>0</v>
      </c>
      <c r="AS2000" s="52" t="n">
        <v>0</v>
      </c>
      <c r="AT2000" s="52" t="n">
        <v>0</v>
      </c>
      <c r="AU2000" s="53" t="n">
        <v>0</v>
      </c>
      <c r="AV2000" s="53" t="n">
        <v>0</v>
      </c>
      <c r="AW2000" s="53" t="n">
        <v>0</v>
      </c>
      <c r="AX2000" s="53" t="n">
        <v>0</v>
      </c>
      <c r="AY2000" s="52" t="n">
        <v>0</v>
      </c>
      <c r="AZ2000" s="52" t="n">
        <v>0</v>
      </c>
      <c r="BA2000" s="52" t="n">
        <v>0</v>
      </c>
      <c r="BB2000" s="52" t="n">
        <v>0</v>
      </c>
      <c r="BC2000" s="51" t="n">
        <v>0</v>
      </c>
      <c r="BD2000" s="51" t="n">
        <v>0</v>
      </c>
      <c r="BE2000" s="51" t="n">
        <v>0</v>
      </c>
      <c r="BF2000" s="51" t="n">
        <v>0</v>
      </c>
    </row>
    <row r="2001">
      <c r="A2001">
        <f>HYPERLINK("https://www.walmart.com/ip/224394275", "224394275")</f>
        <v/>
      </c>
      <c r="B2001" t="inlineStr">
        <is>
          <t>Tirrinia Extra Large Insulated Lunch Bag - 13L/ 12 Can, &amp; Leakproof Adult Reusable Meal Prep Bento Box Cooler Tote for Men &amp; Women with Dual Compartment,Light Gray</t>
        </is>
      </c>
      <c r="C2001" t="inlineStr">
        <is>
          <t>1KTLB410LG-6D</t>
        </is>
      </c>
      <c r="D2001" t="inlineStr">
        <is>
          <t>Reusable Lunch Bags &amp; Boxes</t>
        </is>
      </c>
      <c r="E2001" t="inlineStr">
        <is>
          <t>Tirrinia</t>
        </is>
      </c>
      <c r="F2001" t="inlineStr">
        <is>
          <t>Q2-Target,Brand Camp VD,Lunch Bag,WFS,Lunch Bags,SEM,WFS Item</t>
        </is>
      </c>
      <c r="G2001" s="48" t="n">
        <v>0</v>
      </c>
      <c r="H2001" s="48" t="n">
        <v>0</v>
      </c>
      <c r="I2001" s="48" t="n">
        <v>18.99</v>
      </c>
      <c r="J2001" s="48" t="n">
        <v>18.99</v>
      </c>
      <c r="K2001" s="49" t="n">
        <v>0</v>
      </c>
      <c r="L2001" s="49" t="n">
        <v>0</v>
      </c>
      <c r="M2001" s="49" t="n">
        <v>1</v>
      </c>
      <c r="N2001" s="49" t="n">
        <v>1</v>
      </c>
      <c r="O2001" s="49" t="n">
        <v>3</v>
      </c>
      <c r="P2001" s="49" t="n">
        <v>6</v>
      </c>
      <c r="Q2001" s="49" t="n">
        <v>7</v>
      </c>
      <c r="R2001" s="49" t="n">
        <v>7</v>
      </c>
      <c r="S2001" s="50" t="n">
        <v>0</v>
      </c>
      <c r="T2001" s="50" t="n">
        <v>0</v>
      </c>
      <c r="U2001" s="50" t="n">
        <v>0.1428571428571428</v>
      </c>
      <c r="V2001" s="50" t="n">
        <v>0.1428571428571428</v>
      </c>
      <c r="W2001" s="51" t="n">
        <v>0</v>
      </c>
      <c r="X2001" s="51" t="n">
        <v>0</v>
      </c>
      <c r="Y2001" s="51" t="n">
        <v>0</v>
      </c>
      <c r="Z2001" s="51" t="n">
        <v>0</v>
      </c>
      <c r="AA2001" s="52" t="n">
        <v>0</v>
      </c>
      <c r="AB2001" s="52" t="n">
        <v>0</v>
      </c>
      <c r="AC2001" s="52" t="n">
        <v>0</v>
      </c>
      <c r="AD2001" s="52" t="n">
        <v>0</v>
      </c>
      <c r="AE2001" s="52" t="n">
        <v>0</v>
      </c>
      <c r="AF2001" s="52" t="n">
        <v>0</v>
      </c>
      <c r="AG2001" s="52" t="n">
        <v>0</v>
      </c>
      <c r="AH2001" s="52" t="n">
        <v>0</v>
      </c>
      <c r="AI2001" s="52" t="n">
        <v>0</v>
      </c>
      <c r="AJ2001" s="52" t="n">
        <v>0</v>
      </c>
      <c r="AK2001" s="52" t="n">
        <v>0</v>
      </c>
      <c r="AL2001" s="52" t="n">
        <v>0</v>
      </c>
      <c r="AM2001" s="53" t="n">
        <v>0</v>
      </c>
      <c r="AN2001" s="53" t="n">
        <v>0</v>
      </c>
      <c r="AO2001" s="53" t="n">
        <v>0</v>
      </c>
      <c r="AP2001" s="53" t="n">
        <v>0</v>
      </c>
      <c r="AQ2001" s="52" t="n">
        <v>0</v>
      </c>
      <c r="AR2001" s="52" t="n">
        <v>0</v>
      </c>
      <c r="AS2001" s="52" t="n">
        <v>0</v>
      </c>
      <c r="AT2001" s="52" t="n">
        <v>0</v>
      </c>
      <c r="AU2001" s="53" t="n">
        <v>0</v>
      </c>
      <c r="AV2001" s="53" t="n">
        <v>0</v>
      </c>
      <c r="AW2001" s="53" t="n">
        <v>0</v>
      </c>
      <c r="AX2001" s="53" t="n">
        <v>0</v>
      </c>
      <c r="AY2001" s="52" t="n">
        <v>0</v>
      </c>
      <c r="AZ2001" s="52" t="n">
        <v>0</v>
      </c>
      <c r="BA2001" s="52" t="n">
        <v>18.99</v>
      </c>
      <c r="BB2001" s="52" t="n">
        <v>18.99</v>
      </c>
      <c r="BC2001" s="51" t="n">
        <v>0</v>
      </c>
      <c r="BD2001" s="51" t="n">
        <v>0</v>
      </c>
      <c r="BE2001" s="51" t="n">
        <v>0</v>
      </c>
      <c r="BF2001" s="51" t="n">
        <v>0</v>
      </c>
    </row>
    <row r="2002">
      <c r="A2002">
        <f>HYPERLINK("https://www.walmart.com/ip/225225218", "225225218")</f>
        <v/>
      </c>
      <c r="B2002" t="inlineStr">
        <is>
          <t>Flyingstar Oversized Hoodie Throws Blanket Sweatshirt, Super Soft,  Adults Men Women Teenagers</t>
        </is>
      </c>
      <c r="C2002" t="inlineStr">
        <is>
          <t>1WMHD300PP</t>
        </is>
      </c>
      <c r="D2002" t="inlineStr">
        <is>
          <t>Sweatshirts &amp; Hoodies</t>
        </is>
      </c>
      <c r="E2002" t="inlineStr">
        <is>
          <t>Flyingstar</t>
        </is>
      </c>
      <c r="F2002" t="inlineStr">
        <is>
          <t>Hoodie ForAdult,Optimized</t>
        </is>
      </c>
      <c r="G2002" s="48" t="n">
        <v>0</v>
      </c>
      <c r="H2002" s="48" t="n">
        <v>0</v>
      </c>
      <c r="I2002" s="48" t="n">
        <v>0</v>
      </c>
      <c r="J2002" s="48" t="n">
        <v>0</v>
      </c>
      <c r="K2002" s="49" t="n">
        <v>0</v>
      </c>
      <c r="L2002" s="49" t="n">
        <v>0</v>
      </c>
      <c r="M2002" s="49" t="n">
        <v>0</v>
      </c>
      <c r="N2002" s="49" t="n">
        <v>0</v>
      </c>
      <c r="O2002" s="49" t="n">
        <v>0</v>
      </c>
      <c r="P2002" s="49" t="n">
        <v>0</v>
      </c>
      <c r="Q2002" s="49" t="n">
        <v>0</v>
      </c>
      <c r="R2002" s="49" t="n">
        <v>0</v>
      </c>
      <c r="S2002" s="50" t="n">
        <v>0</v>
      </c>
      <c r="T2002" s="50" t="n">
        <v>0</v>
      </c>
      <c r="U2002" s="50" t="n">
        <v>0</v>
      </c>
      <c r="V2002" s="50" t="n">
        <v>0</v>
      </c>
      <c r="W2002" s="51" t="n">
        <v>0</v>
      </c>
      <c r="X2002" s="51" t="n">
        <v>0</v>
      </c>
      <c r="Y2002" s="51" t="n">
        <v>0</v>
      </c>
      <c r="Z2002" s="51" t="n">
        <v>0</v>
      </c>
      <c r="AA2002" s="52" t="n">
        <v>0</v>
      </c>
      <c r="AB2002" s="52" t="n">
        <v>0</v>
      </c>
      <c r="AC2002" s="52" t="n">
        <v>0</v>
      </c>
      <c r="AD2002" s="52" t="n">
        <v>0</v>
      </c>
      <c r="AE2002" s="52" t="n">
        <v>0</v>
      </c>
      <c r="AF2002" s="52" t="n">
        <v>0</v>
      </c>
      <c r="AG2002" s="52" t="n">
        <v>0</v>
      </c>
      <c r="AH2002" s="52" t="n">
        <v>0</v>
      </c>
      <c r="AI2002" s="52" t="n">
        <v>0</v>
      </c>
      <c r="AJ2002" s="52" t="n">
        <v>0</v>
      </c>
      <c r="AK2002" s="52" t="n">
        <v>0</v>
      </c>
      <c r="AL2002" s="52" t="n">
        <v>0</v>
      </c>
      <c r="AM2002" s="53" t="n">
        <v>0</v>
      </c>
      <c r="AN2002" s="53" t="n">
        <v>0</v>
      </c>
      <c r="AO2002" s="53" t="n">
        <v>0</v>
      </c>
      <c r="AP2002" s="53" t="n">
        <v>0</v>
      </c>
      <c r="AQ2002" s="52" t="n">
        <v>0</v>
      </c>
      <c r="AR2002" s="52" t="n">
        <v>0</v>
      </c>
      <c r="AS2002" s="52" t="n">
        <v>0</v>
      </c>
      <c r="AT2002" s="52" t="n">
        <v>0</v>
      </c>
      <c r="AU2002" s="53" t="n">
        <v>0</v>
      </c>
      <c r="AV2002" s="53" t="n">
        <v>0</v>
      </c>
      <c r="AW2002" s="53" t="n">
        <v>0</v>
      </c>
      <c r="AX2002" s="53" t="n">
        <v>0</v>
      </c>
      <c r="AY2002" s="52" t="n">
        <v>0</v>
      </c>
      <c r="AZ2002" s="52" t="n">
        <v>0</v>
      </c>
      <c r="BA2002" s="52" t="n">
        <v>0</v>
      </c>
      <c r="BB2002" s="52" t="n">
        <v>0</v>
      </c>
      <c r="BC2002" s="51" t="n">
        <v>0</v>
      </c>
      <c r="BD2002" s="51" t="n">
        <v>0</v>
      </c>
      <c r="BE2002" s="51" t="n">
        <v>0</v>
      </c>
      <c r="BF2002" s="51" t="n">
        <v>0</v>
      </c>
    </row>
    <row r="2003">
      <c r="A2003">
        <f>HYPERLINK("https://www.walmart.com/ip/225498817", "225498817")</f>
        <v/>
      </c>
      <c r="B2003" t="inlineStr">
        <is>
          <t>Bucket Summer Mens Sun Hat Water Repel Mesh Net Light Weight UV Protection Outdoor Cap by Solaris</t>
        </is>
      </c>
      <c r="C2003" t="inlineStr">
        <is>
          <t>1SLSH191GN</t>
        </is>
      </c>
      <c r="D2003" t="inlineStr">
        <is>
          <t>Hats</t>
        </is>
      </c>
      <c r="E2003" t="inlineStr">
        <is>
          <t>Solaris</t>
        </is>
      </c>
      <c r="F2003" t="inlineStr">
        <is>
          <t>Hats,Batch 1 - TR</t>
        </is>
      </c>
      <c r="G2003" s="48" t="n">
        <v>0</v>
      </c>
      <c r="H2003" s="48" t="n">
        <v>0</v>
      </c>
      <c r="I2003" s="48" t="n">
        <v>0</v>
      </c>
      <c r="J2003" s="48" t="n">
        <v>0</v>
      </c>
      <c r="K2003" s="49" t="n">
        <v>0</v>
      </c>
      <c r="L2003" s="49" t="n">
        <v>0</v>
      </c>
      <c r="M2003" s="49" t="n">
        <v>0</v>
      </c>
      <c r="N2003" s="49" t="n">
        <v>0</v>
      </c>
      <c r="O2003" s="49" t="n">
        <v>0</v>
      </c>
      <c r="P2003" s="49" t="n">
        <v>0</v>
      </c>
      <c r="Q2003" s="49" t="n">
        <v>0</v>
      </c>
      <c r="R2003" s="49" t="n">
        <v>0</v>
      </c>
      <c r="S2003" s="50" t="n">
        <v>0</v>
      </c>
      <c r="T2003" s="50" t="n">
        <v>0</v>
      </c>
      <c r="U2003" s="50" t="n">
        <v>0</v>
      </c>
      <c r="V2003" s="50" t="n">
        <v>0</v>
      </c>
      <c r="W2003" s="51" t="n">
        <v>0</v>
      </c>
      <c r="X2003" s="51" t="n">
        <v>0</v>
      </c>
      <c r="Y2003" s="51" t="n">
        <v>0</v>
      </c>
      <c r="Z2003" s="51" t="n">
        <v>0</v>
      </c>
      <c r="AA2003" s="52" t="n">
        <v>0</v>
      </c>
      <c r="AB2003" s="52" t="n">
        <v>0</v>
      </c>
      <c r="AC2003" s="52" t="n">
        <v>0</v>
      </c>
      <c r="AD2003" s="52" t="n">
        <v>0</v>
      </c>
      <c r="AE2003" s="52" t="n">
        <v>0</v>
      </c>
      <c r="AF2003" s="52" t="n">
        <v>0</v>
      </c>
      <c r="AG2003" s="52" t="n">
        <v>0</v>
      </c>
      <c r="AH2003" s="52" t="n">
        <v>0</v>
      </c>
      <c r="AI2003" s="52" t="n">
        <v>0</v>
      </c>
      <c r="AJ2003" s="52" t="n">
        <v>0</v>
      </c>
      <c r="AK2003" s="52" t="n">
        <v>0</v>
      </c>
      <c r="AL2003" s="52" t="n">
        <v>0</v>
      </c>
      <c r="AM2003" s="53" t="n">
        <v>0</v>
      </c>
      <c r="AN2003" s="53" t="n">
        <v>0</v>
      </c>
      <c r="AO2003" s="53" t="n">
        <v>0</v>
      </c>
      <c r="AP2003" s="53" t="n">
        <v>0</v>
      </c>
      <c r="AQ2003" s="52" t="n">
        <v>0</v>
      </c>
      <c r="AR2003" s="52" t="n">
        <v>0</v>
      </c>
      <c r="AS2003" s="52" t="n">
        <v>0</v>
      </c>
      <c r="AT2003" s="52" t="n">
        <v>0</v>
      </c>
      <c r="AU2003" s="53" t="n">
        <v>0</v>
      </c>
      <c r="AV2003" s="53" t="n">
        <v>0</v>
      </c>
      <c r="AW2003" s="53" t="n">
        <v>0</v>
      </c>
      <c r="AX2003" s="53" t="n">
        <v>0</v>
      </c>
      <c r="AY2003" s="52" t="n">
        <v>0</v>
      </c>
      <c r="AZ2003" s="52" t="n">
        <v>0</v>
      </c>
      <c r="BA2003" s="52" t="n">
        <v>0</v>
      </c>
      <c r="BB2003" s="52" t="n">
        <v>0</v>
      </c>
      <c r="BC2003" s="51" t="n">
        <v>0</v>
      </c>
      <c r="BD2003" s="51" t="n">
        <v>0</v>
      </c>
      <c r="BE2003" s="51" t="n">
        <v>0</v>
      </c>
      <c r="BF2003" s="51" t="n">
        <v>0</v>
      </c>
    </row>
    <row r="2004">
      <c r="A2004">
        <f>HYPERLINK("https://www.walmart.com/ip/226335077", "226335077")</f>
        <v/>
      </c>
      <c r="B2004" t="inlineStr">
        <is>
          <t>Flyingstar 3 Bottle Insulated Wine Carrier, Travel Wine Cooler Tote Bag, Black</t>
        </is>
      </c>
      <c r="C2004" t="inlineStr">
        <is>
          <t>1WMWB300BK</t>
        </is>
      </c>
      <c r="D2004" t="inlineStr">
        <is>
          <t>Wine Totes, Bags &amp; Backpacks</t>
        </is>
      </c>
      <c r="E2004" t="inlineStr">
        <is>
          <t>Flyingstar</t>
        </is>
      </c>
      <c r="F2004" t="inlineStr">
        <is>
          <t>Christmas,Optimized,Valentine</t>
        </is>
      </c>
      <c r="G2004" s="48" t="n">
        <v>0</v>
      </c>
      <c r="H2004" s="48" t="n">
        <v>0</v>
      </c>
      <c r="I2004" s="48" t="n">
        <v>0</v>
      </c>
      <c r="J2004" s="48" t="n">
        <v>0</v>
      </c>
      <c r="K2004" s="49" t="n">
        <v>0</v>
      </c>
      <c r="L2004" s="49" t="n">
        <v>0</v>
      </c>
      <c r="M2004" s="49" t="n">
        <v>0</v>
      </c>
      <c r="N2004" s="49" t="n">
        <v>0</v>
      </c>
      <c r="O2004" s="49" t="n">
        <v>0</v>
      </c>
      <c r="P2004" s="49" t="n">
        <v>0</v>
      </c>
      <c r="Q2004" s="49" t="n">
        <v>0</v>
      </c>
      <c r="R2004" s="49" t="n">
        <v>0</v>
      </c>
      <c r="S2004" s="50" t="n">
        <v>0</v>
      </c>
      <c r="T2004" s="50" t="n">
        <v>0</v>
      </c>
      <c r="U2004" s="50" t="n">
        <v>0</v>
      </c>
      <c r="V2004" s="50" t="n">
        <v>0</v>
      </c>
      <c r="W2004" s="51" t="n">
        <v>0</v>
      </c>
      <c r="X2004" s="51" t="n">
        <v>0</v>
      </c>
      <c r="Y2004" s="51" t="n">
        <v>0</v>
      </c>
      <c r="Z2004" s="51" t="n">
        <v>0</v>
      </c>
      <c r="AA2004" s="52" t="n">
        <v>0</v>
      </c>
      <c r="AB2004" s="52" t="n">
        <v>0</v>
      </c>
      <c r="AC2004" s="52" t="n">
        <v>0</v>
      </c>
      <c r="AD2004" s="52" t="n">
        <v>0</v>
      </c>
      <c r="AE2004" s="52" t="n">
        <v>0</v>
      </c>
      <c r="AF2004" s="52" t="n">
        <v>0</v>
      </c>
      <c r="AG2004" s="52" t="n">
        <v>0</v>
      </c>
      <c r="AH2004" s="52" t="n">
        <v>0</v>
      </c>
      <c r="AI2004" s="52" t="n">
        <v>0</v>
      </c>
      <c r="AJ2004" s="52" t="n">
        <v>0</v>
      </c>
      <c r="AK2004" s="52" t="n">
        <v>0</v>
      </c>
      <c r="AL2004" s="52" t="n">
        <v>0</v>
      </c>
      <c r="AM2004" s="53" t="n">
        <v>0</v>
      </c>
      <c r="AN2004" s="53" t="n">
        <v>0</v>
      </c>
      <c r="AO2004" s="53" t="n">
        <v>0</v>
      </c>
      <c r="AP2004" s="53" t="n">
        <v>0</v>
      </c>
      <c r="AQ2004" s="52" t="n">
        <v>0</v>
      </c>
      <c r="AR2004" s="52" t="n">
        <v>0</v>
      </c>
      <c r="AS2004" s="52" t="n">
        <v>0</v>
      </c>
      <c r="AT2004" s="52" t="n">
        <v>0</v>
      </c>
      <c r="AU2004" s="53" t="n">
        <v>0</v>
      </c>
      <c r="AV2004" s="53" t="n">
        <v>0</v>
      </c>
      <c r="AW2004" s="53" t="n">
        <v>0</v>
      </c>
      <c r="AX2004" s="53" t="n">
        <v>0</v>
      </c>
      <c r="AY2004" s="52" t="n">
        <v>0</v>
      </c>
      <c r="AZ2004" s="52" t="n">
        <v>0</v>
      </c>
      <c r="BA2004" s="52" t="n">
        <v>0</v>
      </c>
      <c r="BB2004" s="52" t="n">
        <v>0</v>
      </c>
      <c r="BC2004" s="51" t="n">
        <v>0</v>
      </c>
      <c r="BD2004" s="51" t="n">
        <v>0</v>
      </c>
      <c r="BE2004" s="51" t="n">
        <v>0</v>
      </c>
      <c r="BF2004" s="51" t="n">
        <v>0</v>
      </c>
    </row>
    <row r="2005">
      <c r="A2005">
        <f>HYPERLINK("https://www.walmart.com/ip/218956183", "218956183")</f>
        <v/>
      </c>
      <c r="B2005" t="inlineStr">
        <is>
          <t>Women's Poncho Cape, Sherpa Fleece Cloak Coat, Snuggly Hooded Wearable Blanket, Gift Idea for Adults and Teen Girls</t>
        </is>
      </c>
      <c r="C2005" t="inlineStr">
        <is>
          <t>1CTBC300WN</t>
        </is>
      </c>
      <c r="D2005" t="inlineStr">
        <is>
          <t>Capes &amp; Cloaks</t>
        </is>
      </c>
      <c r="E2005" t="inlineStr">
        <is>
          <t>Catalonia</t>
        </is>
      </c>
      <c r="F2005" t="inlineStr">
        <is>
          <t>WFS,WFS Item</t>
        </is>
      </c>
      <c r="G2005" s="48" t="n">
        <v>0</v>
      </c>
      <c r="H2005" s="48" t="n">
        <v>0</v>
      </c>
      <c r="I2005" s="48" t="n">
        <v>0</v>
      </c>
      <c r="J2005" s="48" t="n">
        <v>0</v>
      </c>
      <c r="K2005" s="49" t="n">
        <v>0</v>
      </c>
      <c r="L2005" s="49" t="n">
        <v>0</v>
      </c>
      <c r="M2005" s="49" t="n">
        <v>0</v>
      </c>
      <c r="N2005" s="49" t="n">
        <v>0</v>
      </c>
      <c r="O2005" s="49" t="n">
        <v>0</v>
      </c>
      <c r="P2005" s="49" t="n">
        <v>0</v>
      </c>
      <c r="Q2005" s="49" t="n">
        <v>0</v>
      </c>
      <c r="R2005" s="49" t="n">
        <v>0</v>
      </c>
      <c r="S2005" s="50" t="n">
        <v>0</v>
      </c>
      <c r="T2005" s="50" t="n">
        <v>0</v>
      </c>
      <c r="U2005" s="50" t="n">
        <v>0</v>
      </c>
      <c r="V2005" s="50" t="n">
        <v>0</v>
      </c>
      <c r="W2005" s="51" t="n">
        <v>0</v>
      </c>
      <c r="X2005" s="51" t="n">
        <v>0</v>
      </c>
      <c r="Y2005" s="51" t="n">
        <v>0</v>
      </c>
      <c r="Z2005" s="51" t="n">
        <v>0</v>
      </c>
      <c r="AA2005" s="52" t="n">
        <v>0</v>
      </c>
      <c r="AB2005" s="52" t="n">
        <v>0</v>
      </c>
      <c r="AC2005" s="52" t="n">
        <v>0</v>
      </c>
      <c r="AD2005" s="52" t="n">
        <v>0</v>
      </c>
      <c r="AE2005" s="52" t="n">
        <v>0</v>
      </c>
      <c r="AF2005" s="52" t="n">
        <v>0</v>
      </c>
      <c r="AG2005" s="52" t="n">
        <v>0</v>
      </c>
      <c r="AH2005" s="52" t="n">
        <v>0</v>
      </c>
      <c r="AI2005" s="52" t="n">
        <v>0</v>
      </c>
      <c r="AJ2005" s="52" t="n">
        <v>0</v>
      </c>
      <c r="AK2005" s="52" t="n">
        <v>0</v>
      </c>
      <c r="AL2005" s="52" t="n">
        <v>0</v>
      </c>
      <c r="AM2005" s="53" t="n">
        <v>0</v>
      </c>
      <c r="AN2005" s="53" t="n">
        <v>0</v>
      </c>
      <c r="AO2005" s="53" t="n">
        <v>0</v>
      </c>
      <c r="AP2005" s="53" t="n">
        <v>0</v>
      </c>
      <c r="AQ2005" s="52" t="n">
        <v>0</v>
      </c>
      <c r="AR2005" s="52" t="n">
        <v>0</v>
      </c>
      <c r="AS2005" s="52" t="n">
        <v>0</v>
      </c>
      <c r="AT2005" s="52" t="n">
        <v>0</v>
      </c>
      <c r="AU2005" s="53" t="n">
        <v>0</v>
      </c>
      <c r="AV2005" s="53" t="n">
        <v>0</v>
      </c>
      <c r="AW2005" s="53" t="n">
        <v>0</v>
      </c>
      <c r="AX2005" s="53" t="n">
        <v>0</v>
      </c>
      <c r="AY2005" s="52" t="n">
        <v>0</v>
      </c>
      <c r="AZ2005" s="52" t="n">
        <v>0</v>
      </c>
      <c r="BA2005" s="52" t="n">
        <v>0</v>
      </c>
      <c r="BB2005" s="52" t="n">
        <v>0</v>
      </c>
      <c r="BC2005" s="51" t="n">
        <v>0</v>
      </c>
      <c r="BD2005" s="51" t="n">
        <v>0</v>
      </c>
      <c r="BE2005" s="51" t="n">
        <v>0</v>
      </c>
      <c r="BF2005" s="51" t="n">
        <v>0</v>
      </c>
    </row>
    <row r="2006">
      <c r="A2006">
        <f>HYPERLINK("https://www.walmart.com/ip/216400521", "216400521")</f>
        <v/>
      </c>
      <c r="B2006" t="inlineStr">
        <is>
          <t>Tirrinia Insulated 2 Bottle Wine Carrier Tote Cooler Bag for Travel Picnic Padded Champagne Glass</t>
        </is>
      </c>
      <c r="C2006" t="inlineStr">
        <is>
          <t>1TRWB231RD</t>
        </is>
      </c>
      <c r="D2006" t="inlineStr">
        <is>
          <t>Wine Totes, Bags &amp; Backpacks</t>
        </is>
      </c>
      <c r="E2006" t="inlineStr">
        <is>
          <t>Tirrinia</t>
        </is>
      </c>
      <c r="F2006" t="inlineStr">
        <is>
          <t>Wine,Christmas,WFS,Wine WFS,Valentine,WFS Item</t>
        </is>
      </c>
      <c r="G2006" s="48" t="n">
        <v>0</v>
      </c>
      <c r="H2006" s="48" t="n">
        <v>0</v>
      </c>
      <c r="I2006" s="48" t="n">
        <v>0</v>
      </c>
      <c r="J2006" s="48" t="n">
        <v>0</v>
      </c>
      <c r="K2006" s="49" t="n">
        <v>0</v>
      </c>
      <c r="L2006" s="49" t="n">
        <v>0</v>
      </c>
      <c r="M2006" s="49" t="n">
        <v>0</v>
      </c>
      <c r="N2006" s="49" t="n">
        <v>0</v>
      </c>
      <c r="O2006" s="49" t="n">
        <v>0</v>
      </c>
      <c r="P2006" s="49" t="n">
        <v>0</v>
      </c>
      <c r="Q2006" s="49" t="n">
        <v>0</v>
      </c>
      <c r="R2006" s="49" t="n">
        <v>0</v>
      </c>
      <c r="S2006" s="50" t="n">
        <v>0</v>
      </c>
      <c r="T2006" s="50" t="n">
        <v>0</v>
      </c>
      <c r="U2006" s="50" t="n">
        <v>0</v>
      </c>
      <c r="V2006" s="50" t="n">
        <v>0</v>
      </c>
      <c r="W2006" s="51" t="n">
        <v>0</v>
      </c>
      <c r="X2006" s="51" t="n">
        <v>0</v>
      </c>
      <c r="Y2006" s="51" t="n">
        <v>0</v>
      </c>
      <c r="Z2006" s="51" t="n">
        <v>0</v>
      </c>
      <c r="AA2006" s="52" t="n">
        <v>0</v>
      </c>
      <c r="AB2006" s="52" t="n">
        <v>0</v>
      </c>
      <c r="AC2006" s="52" t="n">
        <v>0</v>
      </c>
      <c r="AD2006" s="52" t="n">
        <v>0</v>
      </c>
      <c r="AE2006" s="52" t="n">
        <v>0</v>
      </c>
      <c r="AF2006" s="52" t="n">
        <v>0</v>
      </c>
      <c r="AG2006" s="52" t="n">
        <v>0</v>
      </c>
      <c r="AH2006" s="52" t="n">
        <v>0</v>
      </c>
      <c r="AI2006" s="52" t="n">
        <v>0</v>
      </c>
      <c r="AJ2006" s="52" t="n">
        <v>0</v>
      </c>
      <c r="AK2006" s="52" t="n">
        <v>0</v>
      </c>
      <c r="AL2006" s="52" t="n">
        <v>0</v>
      </c>
      <c r="AM2006" s="53" t="n">
        <v>0</v>
      </c>
      <c r="AN2006" s="53" t="n">
        <v>0</v>
      </c>
      <c r="AO2006" s="53" t="n">
        <v>0</v>
      </c>
      <c r="AP2006" s="53" t="n">
        <v>0</v>
      </c>
      <c r="AQ2006" s="52" t="n">
        <v>0</v>
      </c>
      <c r="AR2006" s="52" t="n">
        <v>0</v>
      </c>
      <c r="AS2006" s="52" t="n">
        <v>0</v>
      </c>
      <c r="AT2006" s="52" t="n">
        <v>0</v>
      </c>
      <c r="AU2006" s="53" t="n">
        <v>0</v>
      </c>
      <c r="AV2006" s="53" t="n">
        <v>0</v>
      </c>
      <c r="AW2006" s="53" t="n">
        <v>0</v>
      </c>
      <c r="AX2006" s="53" t="n">
        <v>0</v>
      </c>
      <c r="AY2006" s="52" t="n">
        <v>0</v>
      </c>
      <c r="AZ2006" s="52" t="n">
        <v>0</v>
      </c>
      <c r="BA2006" s="52" t="n">
        <v>0</v>
      </c>
      <c r="BB2006" s="52" t="n">
        <v>0</v>
      </c>
      <c r="BC2006" s="51" t="n">
        <v>0</v>
      </c>
      <c r="BD2006" s="51" t="n">
        <v>0</v>
      </c>
      <c r="BE2006" s="51" t="n">
        <v>0</v>
      </c>
      <c r="BF2006" s="51" t="n">
        <v>0</v>
      </c>
    </row>
    <row r="2007">
      <c r="A2007">
        <f>HYPERLINK("https://www.walmart.com/ip/228305261", "228305261")</f>
        <v/>
      </c>
      <c r="B2007" t="inlineStr">
        <is>
          <t>Runner Waist Pack - Hip Hug Running Fuel Belt with 2 Pockets - NO BOUNCE Runner's Fanny Pack - Storage Pouch Bag Runners</t>
        </is>
      </c>
      <c r="C2007" t="inlineStr">
        <is>
          <t>TERRA-3NG-L-ZJ</t>
        </is>
      </c>
      <c r="D2007" t="inlineStr">
        <is>
          <t>Fanny Packs</t>
        </is>
      </c>
      <c r="E2007" t="inlineStr">
        <is>
          <t>Terra</t>
        </is>
      </c>
      <c r="F2007" t="inlineStr">
        <is>
          <t>Optimized</t>
        </is>
      </c>
      <c r="G2007" s="48" t="n">
        <v>0</v>
      </c>
      <c r="H2007" s="48" t="n">
        <v>0</v>
      </c>
      <c r="I2007" s="48" t="n">
        <v>0</v>
      </c>
      <c r="J2007" s="48" t="n">
        <v>0</v>
      </c>
      <c r="K2007" s="49" t="n">
        <v>0</v>
      </c>
      <c r="L2007" s="49" t="n">
        <v>0</v>
      </c>
      <c r="M2007" s="49" t="n">
        <v>0</v>
      </c>
      <c r="N2007" s="49" t="n">
        <v>0</v>
      </c>
      <c r="O2007" s="49" t="n">
        <v>0</v>
      </c>
      <c r="P2007" s="49" t="n">
        <v>0</v>
      </c>
      <c r="Q2007" s="49" t="n">
        <v>0</v>
      </c>
      <c r="R2007" s="49" t="n">
        <v>0</v>
      </c>
      <c r="S2007" s="50" t="n">
        <v>0</v>
      </c>
      <c r="T2007" s="50" t="n">
        <v>0</v>
      </c>
      <c r="U2007" s="50" t="n">
        <v>0</v>
      </c>
      <c r="V2007" s="50" t="n">
        <v>0</v>
      </c>
      <c r="W2007" s="51" t="n">
        <v>0</v>
      </c>
      <c r="X2007" s="51" t="n">
        <v>0</v>
      </c>
      <c r="Y2007" s="51" t="n">
        <v>0</v>
      </c>
      <c r="Z2007" s="51" t="n">
        <v>0</v>
      </c>
      <c r="AA2007" s="52" t="n">
        <v>0</v>
      </c>
      <c r="AB2007" s="52" t="n">
        <v>0</v>
      </c>
      <c r="AC2007" s="52" t="n">
        <v>0</v>
      </c>
      <c r="AD2007" s="52" t="n">
        <v>0</v>
      </c>
      <c r="AE2007" s="52" t="n">
        <v>0</v>
      </c>
      <c r="AF2007" s="52" t="n">
        <v>0</v>
      </c>
      <c r="AG2007" s="52" t="n">
        <v>0</v>
      </c>
      <c r="AH2007" s="52" t="n">
        <v>0</v>
      </c>
      <c r="AI2007" s="52" t="n">
        <v>0</v>
      </c>
      <c r="AJ2007" s="52" t="n">
        <v>0</v>
      </c>
      <c r="AK2007" s="52" t="n">
        <v>0</v>
      </c>
      <c r="AL2007" s="52" t="n">
        <v>0</v>
      </c>
      <c r="AM2007" s="53" t="n">
        <v>0</v>
      </c>
      <c r="AN2007" s="53" t="n">
        <v>0</v>
      </c>
      <c r="AO2007" s="53" t="n">
        <v>0</v>
      </c>
      <c r="AP2007" s="53" t="n">
        <v>0</v>
      </c>
      <c r="AQ2007" s="52" t="n">
        <v>0</v>
      </c>
      <c r="AR2007" s="52" t="n">
        <v>0</v>
      </c>
      <c r="AS2007" s="52" t="n">
        <v>0</v>
      </c>
      <c r="AT2007" s="52" t="n">
        <v>0</v>
      </c>
      <c r="AU2007" s="53" t="n">
        <v>0</v>
      </c>
      <c r="AV2007" s="53" t="n">
        <v>0</v>
      </c>
      <c r="AW2007" s="53" t="n">
        <v>0</v>
      </c>
      <c r="AX2007" s="53" t="n">
        <v>0</v>
      </c>
      <c r="AY2007" s="52" t="n">
        <v>0</v>
      </c>
      <c r="AZ2007" s="52" t="n">
        <v>0</v>
      </c>
      <c r="BA2007" s="52" t="n">
        <v>0</v>
      </c>
      <c r="BB2007" s="52" t="n">
        <v>0</v>
      </c>
      <c r="BC2007" s="51" t="n">
        <v>0</v>
      </c>
      <c r="BD2007" s="51" t="n">
        <v>0</v>
      </c>
      <c r="BE2007" s="51" t="n">
        <v>0</v>
      </c>
      <c r="BF2007" s="51" t="n">
        <v>0</v>
      </c>
    </row>
    <row r="2008">
      <c r="A2008">
        <f>HYPERLINK("https://www.walmart.com/ip/215534410", "215534410")</f>
        <v/>
      </c>
      <c r="B2008" t="inlineStr">
        <is>
          <t>Wearable Blanket with Sleeves and Kangaroo Pocket for Adult Soft Warm Comfy Throws Wrap Robe Blanket in Latte.</t>
        </is>
      </c>
      <c r="C2008" t="inlineStr">
        <is>
          <t>1CTSN200LT</t>
        </is>
      </c>
      <c r="D2008" t="inlineStr">
        <is>
          <t>Throws</t>
        </is>
      </c>
      <c r="E2008" t="inlineStr">
        <is>
          <t>Catalonia</t>
        </is>
      </c>
      <c r="F2008" t="inlineStr">
        <is>
          <t>Coupon_Discount</t>
        </is>
      </c>
      <c r="G2008" s="48" t="n">
        <v>0</v>
      </c>
      <c r="H2008" s="48" t="n">
        <v>0</v>
      </c>
      <c r="I2008" s="48" t="n">
        <v>0</v>
      </c>
      <c r="J2008" s="48" t="n">
        <v>0</v>
      </c>
      <c r="K2008" s="49" t="n">
        <v>0</v>
      </c>
      <c r="L2008" s="49" t="n">
        <v>0</v>
      </c>
      <c r="M2008" s="49" t="n">
        <v>0</v>
      </c>
      <c r="N2008" s="49" t="n">
        <v>0</v>
      </c>
      <c r="O2008" s="49" t="n">
        <v>0</v>
      </c>
      <c r="P2008" s="49" t="n">
        <v>0</v>
      </c>
      <c r="Q2008" s="49" t="n">
        <v>0</v>
      </c>
      <c r="R2008" s="49" t="n">
        <v>0</v>
      </c>
      <c r="S2008" s="50" t="n">
        <v>0</v>
      </c>
      <c r="T2008" s="50" t="n">
        <v>0</v>
      </c>
      <c r="U2008" s="50" t="n">
        <v>0</v>
      </c>
      <c r="V2008" s="50" t="n">
        <v>0</v>
      </c>
      <c r="W2008" s="51" t="n">
        <v>0</v>
      </c>
      <c r="X2008" s="51" t="n">
        <v>0</v>
      </c>
      <c r="Y2008" s="51" t="n">
        <v>0</v>
      </c>
      <c r="Z2008" s="51" t="n">
        <v>0</v>
      </c>
      <c r="AA2008" s="52" t="n">
        <v>0</v>
      </c>
      <c r="AB2008" s="52" t="n">
        <v>0</v>
      </c>
      <c r="AC2008" s="52" t="n">
        <v>0</v>
      </c>
      <c r="AD2008" s="52" t="n">
        <v>0</v>
      </c>
      <c r="AE2008" s="52" t="n">
        <v>0</v>
      </c>
      <c r="AF2008" s="52" t="n">
        <v>0</v>
      </c>
      <c r="AG2008" s="52" t="n">
        <v>0</v>
      </c>
      <c r="AH2008" s="52" t="n">
        <v>0</v>
      </c>
      <c r="AI2008" s="52" t="n">
        <v>0</v>
      </c>
      <c r="AJ2008" s="52" t="n">
        <v>0</v>
      </c>
      <c r="AK2008" s="52" t="n">
        <v>0</v>
      </c>
      <c r="AL2008" s="52" t="n">
        <v>0</v>
      </c>
      <c r="AM2008" s="53" t="n">
        <v>0</v>
      </c>
      <c r="AN2008" s="53" t="n">
        <v>0</v>
      </c>
      <c r="AO2008" s="53" t="n">
        <v>0</v>
      </c>
      <c r="AP2008" s="53" t="n">
        <v>0</v>
      </c>
      <c r="AQ2008" s="52" t="n">
        <v>0</v>
      </c>
      <c r="AR2008" s="52" t="n">
        <v>0</v>
      </c>
      <c r="AS2008" s="52" t="n">
        <v>0</v>
      </c>
      <c r="AT2008" s="52" t="n">
        <v>0</v>
      </c>
      <c r="AU2008" s="53" t="n">
        <v>0</v>
      </c>
      <c r="AV2008" s="53" t="n">
        <v>0</v>
      </c>
      <c r="AW2008" s="53" t="n">
        <v>0</v>
      </c>
      <c r="AX2008" s="53" t="n">
        <v>0</v>
      </c>
      <c r="AY2008" s="52" t="n">
        <v>0</v>
      </c>
      <c r="AZ2008" s="52" t="n">
        <v>0</v>
      </c>
      <c r="BA2008" s="52" t="n">
        <v>0</v>
      </c>
      <c r="BB2008" s="52" t="n">
        <v>0</v>
      </c>
      <c r="BC2008" s="51" t="n">
        <v>0</v>
      </c>
      <c r="BD2008" s="51" t="n">
        <v>0</v>
      </c>
      <c r="BE2008" s="51" t="n">
        <v>0</v>
      </c>
      <c r="BF2008" s="51" t="n">
        <v>0</v>
      </c>
    </row>
    <row r="2009">
      <c r="A2009">
        <f>HYPERLINK("https://www.walmart.com/ip/159933399", "159933399")</f>
        <v/>
      </c>
      <c r="B2009" t="inlineStr">
        <is>
          <t>undefined</t>
        </is>
      </c>
      <c r="C2009" t="inlineStr">
        <is>
          <t>JWBLSPH2012-6pcs</t>
        </is>
      </c>
      <c r="G2009" s="48" t="n">
        <v>0</v>
      </c>
      <c r="H2009" s="48" t="n">
        <v>0</v>
      </c>
      <c r="I2009" s="48" t="n">
        <v>0</v>
      </c>
      <c r="J2009" s="48" t="n">
        <v>0</v>
      </c>
      <c r="K2009" s="49" t="n">
        <v>0</v>
      </c>
      <c r="L2009" s="49" t="n">
        <v>0</v>
      </c>
      <c r="M2009" s="49" t="n">
        <v>0</v>
      </c>
      <c r="N2009" s="49" t="n">
        <v>0</v>
      </c>
      <c r="O2009" s="49" t="n">
        <v>0</v>
      </c>
      <c r="P2009" s="49" t="n">
        <v>0</v>
      </c>
      <c r="Q2009" s="49" t="n">
        <v>0</v>
      </c>
      <c r="R2009" s="49" t="n">
        <v>0</v>
      </c>
      <c r="S2009" s="50" t="n">
        <v>0</v>
      </c>
      <c r="T2009" s="50" t="n">
        <v>0</v>
      </c>
      <c r="U2009" s="50" t="n">
        <v>0</v>
      </c>
      <c r="V2009" s="50" t="n">
        <v>0</v>
      </c>
      <c r="W2009" s="51" t="n">
        <v>0</v>
      </c>
      <c r="X2009" s="51" t="n">
        <v>0</v>
      </c>
      <c r="Y2009" s="51" t="n">
        <v>0</v>
      </c>
      <c r="Z2009" s="51" t="n">
        <v>0</v>
      </c>
      <c r="AA2009" s="52" t="n">
        <v>0</v>
      </c>
      <c r="AB2009" s="52" t="n">
        <v>0</v>
      </c>
      <c r="AC2009" s="52" t="n">
        <v>0</v>
      </c>
      <c r="AD2009" s="52" t="n">
        <v>0</v>
      </c>
      <c r="AE2009" s="52" t="n">
        <v>0</v>
      </c>
      <c r="AF2009" s="52" t="n">
        <v>0</v>
      </c>
      <c r="AG2009" s="52" t="n">
        <v>0</v>
      </c>
      <c r="AH2009" s="52" t="n">
        <v>0</v>
      </c>
      <c r="AI2009" s="52" t="n">
        <v>0</v>
      </c>
      <c r="AJ2009" s="52" t="n">
        <v>0</v>
      </c>
      <c r="AK2009" s="52" t="n">
        <v>0</v>
      </c>
      <c r="AL2009" s="52" t="n">
        <v>0</v>
      </c>
      <c r="AM2009" s="53" t="n">
        <v>0</v>
      </c>
      <c r="AN2009" s="53" t="n">
        <v>0</v>
      </c>
      <c r="AO2009" s="53" t="n">
        <v>0</v>
      </c>
      <c r="AP2009" s="53" t="n">
        <v>0</v>
      </c>
      <c r="AQ2009" s="52" t="n">
        <v>0</v>
      </c>
      <c r="AR2009" s="52" t="n">
        <v>0</v>
      </c>
      <c r="AS2009" s="52" t="n">
        <v>0</v>
      </c>
      <c r="AT2009" s="52" t="n">
        <v>0</v>
      </c>
      <c r="AU2009" s="53" t="n">
        <v>0</v>
      </c>
      <c r="AV2009" s="53" t="n">
        <v>0</v>
      </c>
      <c r="AW2009" s="53" t="n">
        <v>0</v>
      </c>
      <c r="AX2009" s="53" t="n">
        <v>0</v>
      </c>
      <c r="AY2009" s="52" t="n">
        <v>0</v>
      </c>
      <c r="AZ2009" s="52" t="n">
        <v>0</v>
      </c>
      <c r="BA2009" s="52" t="n">
        <v>0</v>
      </c>
      <c r="BB2009" s="52" t="n">
        <v>0</v>
      </c>
      <c r="BC2009" s="51" t="n">
        <v>0</v>
      </c>
      <c r="BD2009" s="51" t="n">
        <v>0</v>
      </c>
      <c r="BE2009" s="51" t="n">
        <v>0</v>
      </c>
      <c r="BF2009" s="51" t="n">
        <v>0</v>
      </c>
    </row>
    <row r="2010">
      <c r="A2010">
        <f>HYPERLINK("https://www.walmart.com/ip/207008026", "207008026")</f>
        <v/>
      </c>
      <c r="B2010" t="inlineStr">
        <is>
          <t>JenniWears Women's Short One-Size Semi-Sheer Purple Tutu Skirt, Great for Dance and Ballet, 6-Pack</t>
        </is>
      </c>
      <c r="C2010" t="inlineStr">
        <is>
          <t>tutus-light purple-6pcs</t>
        </is>
      </c>
      <c r="D2010" t="inlineStr">
        <is>
          <t>Skirts</t>
        </is>
      </c>
      <c r="E2010" t="inlineStr">
        <is>
          <t>JenniWears</t>
        </is>
      </c>
      <c r="F2010" t="inlineStr">
        <is>
          <t>Optimized</t>
        </is>
      </c>
      <c r="G2010" s="48" t="n">
        <v>0</v>
      </c>
      <c r="H2010" s="48" t="n">
        <v>0</v>
      </c>
      <c r="I2010" s="48" t="n">
        <v>0</v>
      </c>
      <c r="J2010" s="48" t="n">
        <v>0</v>
      </c>
      <c r="K2010" s="49" t="n">
        <v>0</v>
      </c>
      <c r="L2010" s="49" t="n">
        <v>0</v>
      </c>
      <c r="M2010" s="49" t="n">
        <v>0</v>
      </c>
      <c r="N2010" s="49" t="n">
        <v>0</v>
      </c>
      <c r="O2010" s="49" t="n">
        <v>0</v>
      </c>
      <c r="P2010" s="49" t="n">
        <v>0</v>
      </c>
      <c r="Q2010" s="49" t="n">
        <v>0</v>
      </c>
      <c r="R2010" s="49" t="n">
        <v>0</v>
      </c>
      <c r="S2010" s="50" t="n">
        <v>0</v>
      </c>
      <c r="T2010" s="50" t="n">
        <v>0</v>
      </c>
      <c r="U2010" s="50" t="n">
        <v>0</v>
      </c>
      <c r="V2010" s="50" t="n">
        <v>0</v>
      </c>
      <c r="W2010" s="51" t="n">
        <v>0</v>
      </c>
      <c r="X2010" s="51" t="n">
        <v>0</v>
      </c>
      <c r="Y2010" s="51" t="n">
        <v>0</v>
      </c>
      <c r="Z2010" s="51" t="n">
        <v>0</v>
      </c>
      <c r="AA2010" s="52" t="n">
        <v>0</v>
      </c>
      <c r="AB2010" s="52" t="n">
        <v>0</v>
      </c>
      <c r="AC2010" s="52" t="n">
        <v>0</v>
      </c>
      <c r="AD2010" s="52" t="n">
        <v>0</v>
      </c>
      <c r="AE2010" s="52" t="n">
        <v>0</v>
      </c>
      <c r="AF2010" s="52" t="n">
        <v>0</v>
      </c>
      <c r="AG2010" s="52" t="n">
        <v>0</v>
      </c>
      <c r="AH2010" s="52" t="n">
        <v>0</v>
      </c>
      <c r="AI2010" s="52" t="n">
        <v>0</v>
      </c>
      <c r="AJ2010" s="52" t="n">
        <v>0</v>
      </c>
      <c r="AK2010" s="52" t="n">
        <v>0</v>
      </c>
      <c r="AL2010" s="52" t="n">
        <v>0</v>
      </c>
      <c r="AM2010" s="53" t="n">
        <v>0</v>
      </c>
      <c r="AN2010" s="53" t="n">
        <v>0</v>
      </c>
      <c r="AO2010" s="53" t="n">
        <v>0</v>
      </c>
      <c r="AP2010" s="53" t="n">
        <v>0</v>
      </c>
      <c r="AQ2010" s="52" t="n">
        <v>0</v>
      </c>
      <c r="AR2010" s="52" t="n">
        <v>0</v>
      </c>
      <c r="AS2010" s="52" t="n">
        <v>0</v>
      </c>
      <c r="AT2010" s="52" t="n">
        <v>0</v>
      </c>
      <c r="AU2010" s="53" t="n">
        <v>0</v>
      </c>
      <c r="AV2010" s="53" t="n">
        <v>0</v>
      </c>
      <c r="AW2010" s="53" t="n">
        <v>0</v>
      </c>
      <c r="AX2010" s="53" t="n">
        <v>0</v>
      </c>
      <c r="AY2010" s="52" t="n">
        <v>0</v>
      </c>
      <c r="AZ2010" s="52" t="n">
        <v>0</v>
      </c>
      <c r="BA2010" s="52" t="n">
        <v>0</v>
      </c>
      <c r="BB2010" s="52" t="n">
        <v>0</v>
      </c>
      <c r="BC2010" s="51" t="n">
        <v>0</v>
      </c>
      <c r="BD2010" s="51" t="n">
        <v>0</v>
      </c>
      <c r="BE2010" s="51" t="n">
        <v>0</v>
      </c>
      <c r="BF2010" s="51" t="n">
        <v>0</v>
      </c>
    </row>
    <row r="2011">
      <c r="A2011">
        <f>HYPERLINK("https://www.walmart.com/ip/208159352", "208159352")</f>
        <v/>
      </c>
      <c r="B2011" t="inlineStr">
        <is>
          <t>Tirrinia Adult Insulated Lunch Bag Totes Cooler Container Front Pocket</t>
        </is>
      </c>
      <c r="C2011" t="inlineStr">
        <is>
          <t>1WMLB702P1BRCK</t>
        </is>
      </c>
      <c r="D2011" t="inlineStr">
        <is>
          <t>Reusable Lunch Bags &amp; Boxes</t>
        </is>
      </c>
      <c r="E2011" t="inlineStr">
        <is>
          <t>Flyingstar</t>
        </is>
      </c>
      <c r="F2011" t="inlineStr">
        <is>
          <t>Q2-Target,Lunch Bag,Lunch Bags</t>
        </is>
      </c>
      <c r="G2011" s="48" t="n">
        <v>0</v>
      </c>
      <c r="H2011" s="48" t="n">
        <v>0</v>
      </c>
      <c r="I2011" s="48" t="n">
        <v>0</v>
      </c>
      <c r="J2011" s="48" t="n">
        <v>0</v>
      </c>
      <c r="K2011" s="49" t="n">
        <v>0</v>
      </c>
      <c r="L2011" s="49" t="n">
        <v>0</v>
      </c>
      <c r="M2011" s="49" t="n">
        <v>0</v>
      </c>
      <c r="N2011" s="49" t="n">
        <v>0</v>
      </c>
      <c r="O2011" s="49" t="n">
        <v>0</v>
      </c>
      <c r="P2011" s="49" t="n">
        <v>0</v>
      </c>
      <c r="Q2011" s="49" t="n">
        <v>0</v>
      </c>
      <c r="R2011" s="49" t="n">
        <v>0</v>
      </c>
      <c r="S2011" s="50" t="n">
        <v>0</v>
      </c>
      <c r="T2011" s="50" t="n">
        <v>0</v>
      </c>
      <c r="U2011" s="50" t="n">
        <v>0</v>
      </c>
      <c r="V2011" s="50" t="n">
        <v>0</v>
      </c>
      <c r="W2011" s="51" t="n">
        <v>0</v>
      </c>
      <c r="X2011" s="51" t="n">
        <v>0</v>
      </c>
      <c r="Y2011" s="51" t="n">
        <v>0</v>
      </c>
      <c r="Z2011" s="51" t="n">
        <v>0</v>
      </c>
      <c r="AA2011" s="52" t="n">
        <v>0</v>
      </c>
      <c r="AB2011" s="52" t="n">
        <v>0</v>
      </c>
      <c r="AC2011" s="52" t="n">
        <v>0</v>
      </c>
      <c r="AD2011" s="52" t="n">
        <v>0</v>
      </c>
      <c r="AE2011" s="52" t="n">
        <v>0</v>
      </c>
      <c r="AF2011" s="52" t="n">
        <v>0</v>
      </c>
      <c r="AG2011" s="52" t="n">
        <v>0</v>
      </c>
      <c r="AH2011" s="52" t="n">
        <v>0</v>
      </c>
      <c r="AI2011" s="52" t="n">
        <v>0</v>
      </c>
      <c r="AJ2011" s="52" t="n">
        <v>0</v>
      </c>
      <c r="AK2011" s="52" t="n">
        <v>0</v>
      </c>
      <c r="AL2011" s="52" t="n">
        <v>0</v>
      </c>
      <c r="AM2011" s="53" t="n">
        <v>0</v>
      </c>
      <c r="AN2011" s="53" t="n">
        <v>0</v>
      </c>
      <c r="AO2011" s="53" t="n">
        <v>0</v>
      </c>
      <c r="AP2011" s="53" t="n">
        <v>0</v>
      </c>
      <c r="AQ2011" s="52" t="n">
        <v>0</v>
      </c>
      <c r="AR2011" s="52" t="n">
        <v>0</v>
      </c>
      <c r="AS2011" s="52" t="n">
        <v>0</v>
      </c>
      <c r="AT2011" s="52" t="n">
        <v>0</v>
      </c>
      <c r="AU2011" s="53" t="n">
        <v>0</v>
      </c>
      <c r="AV2011" s="53" t="n">
        <v>0</v>
      </c>
      <c r="AW2011" s="53" t="n">
        <v>0</v>
      </c>
      <c r="AX2011" s="53" t="n">
        <v>0</v>
      </c>
      <c r="AY2011" s="52" t="n">
        <v>0</v>
      </c>
      <c r="AZ2011" s="52" t="n">
        <v>0</v>
      </c>
      <c r="BA2011" s="52" t="n">
        <v>0</v>
      </c>
      <c r="BB2011" s="52" t="n">
        <v>0</v>
      </c>
      <c r="BC2011" s="51" t="n">
        <v>0</v>
      </c>
      <c r="BD2011" s="51" t="n">
        <v>0</v>
      </c>
      <c r="BE2011" s="51" t="n">
        <v>0</v>
      </c>
      <c r="BF2011" s="51" t="n">
        <v>0</v>
      </c>
    </row>
    <row r="2012">
      <c r="A2012">
        <f>HYPERLINK("https://www.walmart.com/ip/208932020", "208932020")</f>
        <v/>
      </c>
      <c r="B2012" t="inlineStr">
        <is>
          <t>Bucket Sun Hat Cute Cap for Women Fashion Fold-up Brim Packable Summer Beach by Solaris</t>
        </is>
      </c>
      <c r="C2012" t="inlineStr">
        <is>
          <t>1SLSH9200GR-FSCB</t>
        </is>
      </c>
      <c r="D2012" t="inlineStr">
        <is>
          <t>Hats</t>
        </is>
      </c>
      <c r="E2012" t="inlineStr">
        <is>
          <t>Solaris</t>
        </is>
      </c>
      <c r="G2012" s="48" t="n">
        <v>0</v>
      </c>
      <c r="H2012" s="48" t="n">
        <v>0</v>
      </c>
      <c r="I2012" s="48" t="n">
        <v>0</v>
      </c>
      <c r="J2012" s="48" t="n">
        <v>0</v>
      </c>
      <c r="K2012" s="49" t="n">
        <v>0</v>
      </c>
      <c r="L2012" s="49" t="n">
        <v>0</v>
      </c>
      <c r="M2012" s="49" t="n">
        <v>0</v>
      </c>
      <c r="N2012" s="49" t="n">
        <v>0</v>
      </c>
      <c r="O2012" s="49" t="n">
        <v>0</v>
      </c>
      <c r="P2012" s="49" t="n">
        <v>0</v>
      </c>
      <c r="Q2012" s="49" t="n">
        <v>0</v>
      </c>
      <c r="R2012" s="49" t="n">
        <v>0</v>
      </c>
      <c r="S2012" s="50" t="n">
        <v>0</v>
      </c>
      <c r="T2012" s="50" t="n">
        <v>0</v>
      </c>
      <c r="U2012" s="50" t="n">
        <v>0</v>
      </c>
      <c r="V2012" s="50" t="n">
        <v>0</v>
      </c>
      <c r="W2012" s="51" t="n">
        <v>0</v>
      </c>
      <c r="X2012" s="51" t="n">
        <v>0</v>
      </c>
      <c r="Y2012" s="51" t="n">
        <v>0</v>
      </c>
      <c r="Z2012" s="51" t="n">
        <v>0</v>
      </c>
      <c r="AA2012" s="52" t="n">
        <v>0</v>
      </c>
      <c r="AB2012" s="52" t="n">
        <v>0</v>
      </c>
      <c r="AC2012" s="52" t="n">
        <v>0</v>
      </c>
      <c r="AD2012" s="52" t="n">
        <v>0</v>
      </c>
      <c r="AE2012" s="52" t="n">
        <v>0</v>
      </c>
      <c r="AF2012" s="52" t="n">
        <v>0</v>
      </c>
      <c r="AG2012" s="52" t="n">
        <v>0</v>
      </c>
      <c r="AH2012" s="52" t="n">
        <v>0</v>
      </c>
      <c r="AI2012" s="52" t="n">
        <v>0</v>
      </c>
      <c r="AJ2012" s="52" t="n">
        <v>0</v>
      </c>
      <c r="AK2012" s="52" t="n">
        <v>0</v>
      </c>
      <c r="AL2012" s="52" t="n">
        <v>0</v>
      </c>
      <c r="AM2012" s="53" t="n">
        <v>0</v>
      </c>
      <c r="AN2012" s="53" t="n">
        <v>0</v>
      </c>
      <c r="AO2012" s="53" t="n">
        <v>0</v>
      </c>
      <c r="AP2012" s="53" t="n">
        <v>0</v>
      </c>
      <c r="AQ2012" s="52" t="n">
        <v>0</v>
      </c>
      <c r="AR2012" s="52" t="n">
        <v>0</v>
      </c>
      <c r="AS2012" s="52" t="n">
        <v>0</v>
      </c>
      <c r="AT2012" s="52" t="n">
        <v>0</v>
      </c>
      <c r="AU2012" s="53" t="n">
        <v>0</v>
      </c>
      <c r="AV2012" s="53" t="n">
        <v>0</v>
      </c>
      <c r="AW2012" s="53" t="n">
        <v>0</v>
      </c>
      <c r="AX2012" s="53" t="n">
        <v>0</v>
      </c>
      <c r="AY2012" s="52" t="n">
        <v>0</v>
      </c>
      <c r="AZ2012" s="52" t="n">
        <v>0</v>
      </c>
      <c r="BA2012" s="52" t="n">
        <v>0</v>
      </c>
      <c r="BB2012" s="52" t="n">
        <v>0</v>
      </c>
      <c r="BC2012" s="51" t="n">
        <v>0</v>
      </c>
      <c r="BD2012" s="51" t="n">
        <v>0</v>
      </c>
      <c r="BE2012" s="51" t="n">
        <v>0</v>
      </c>
      <c r="BF2012" s="51" t="n">
        <v>0</v>
      </c>
    </row>
    <row r="2013">
      <c r="A2013">
        <f>HYPERLINK("https://www.walmart.com/ip/209516453", "209516453")</f>
        <v/>
      </c>
      <c r="B2013" t="inlineStr">
        <is>
          <t>Tirrinia Single Wine Gift Tote Bag, Insulated Padded Thermal Wine Bottle Carrying Cooler Carrier for Travel, Picnic, Great Gift for Wine Lover, Grey</t>
        </is>
      </c>
      <c r="C2013" t="inlineStr">
        <is>
          <t>1TRWB102GY</t>
        </is>
      </c>
      <c r="D2013" t="inlineStr">
        <is>
          <t>Wine Totes, Bags &amp; Backpacks</t>
        </is>
      </c>
      <c r="E2013" t="inlineStr">
        <is>
          <t>Tirrinia</t>
        </is>
      </c>
      <c r="G2013" s="48" t="n">
        <v>0</v>
      </c>
      <c r="H2013" s="48" t="n">
        <v>0</v>
      </c>
      <c r="I2013" s="48" t="n">
        <v>0</v>
      </c>
      <c r="J2013" s="48" t="n">
        <v>0</v>
      </c>
      <c r="K2013" s="49" t="n">
        <v>0</v>
      </c>
      <c r="L2013" s="49" t="n">
        <v>0</v>
      </c>
      <c r="M2013" s="49" t="n">
        <v>0</v>
      </c>
      <c r="N2013" s="49" t="n">
        <v>0</v>
      </c>
      <c r="O2013" s="49" t="n">
        <v>0</v>
      </c>
      <c r="P2013" s="49" t="n">
        <v>0</v>
      </c>
      <c r="Q2013" s="49" t="n">
        <v>0</v>
      </c>
      <c r="R2013" s="49" t="n">
        <v>0</v>
      </c>
      <c r="S2013" s="50" t="n">
        <v>0</v>
      </c>
      <c r="T2013" s="50" t="n">
        <v>0</v>
      </c>
      <c r="U2013" s="50" t="n">
        <v>0</v>
      </c>
      <c r="V2013" s="50" t="n">
        <v>0</v>
      </c>
      <c r="W2013" s="51" t="n">
        <v>0</v>
      </c>
      <c r="X2013" s="51" t="n">
        <v>0</v>
      </c>
      <c r="Y2013" s="51" t="n">
        <v>0</v>
      </c>
      <c r="Z2013" s="51" t="n">
        <v>0</v>
      </c>
      <c r="AA2013" s="52" t="n">
        <v>0</v>
      </c>
      <c r="AB2013" s="52" t="n">
        <v>0</v>
      </c>
      <c r="AC2013" s="52" t="n">
        <v>0</v>
      </c>
      <c r="AD2013" s="52" t="n">
        <v>0</v>
      </c>
      <c r="AE2013" s="52" t="n">
        <v>0</v>
      </c>
      <c r="AF2013" s="52" t="n">
        <v>0</v>
      </c>
      <c r="AG2013" s="52" t="n">
        <v>0</v>
      </c>
      <c r="AH2013" s="52" t="n">
        <v>0</v>
      </c>
      <c r="AI2013" s="52" t="n">
        <v>0</v>
      </c>
      <c r="AJ2013" s="52" t="n">
        <v>0</v>
      </c>
      <c r="AK2013" s="52" t="n">
        <v>0</v>
      </c>
      <c r="AL2013" s="52" t="n">
        <v>0</v>
      </c>
      <c r="AM2013" s="53" t="n">
        <v>0</v>
      </c>
      <c r="AN2013" s="53" t="n">
        <v>0</v>
      </c>
      <c r="AO2013" s="53" t="n">
        <v>0</v>
      </c>
      <c r="AP2013" s="53" t="n">
        <v>0</v>
      </c>
      <c r="AQ2013" s="52" t="n">
        <v>0</v>
      </c>
      <c r="AR2013" s="52" t="n">
        <v>0</v>
      </c>
      <c r="AS2013" s="52" t="n">
        <v>0</v>
      </c>
      <c r="AT2013" s="52" t="n">
        <v>0</v>
      </c>
      <c r="AU2013" s="53" t="n">
        <v>0</v>
      </c>
      <c r="AV2013" s="53" t="n">
        <v>0</v>
      </c>
      <c r="AW2013" s="53" t="n">
        <v>0</v>
      </c>
      <c r="AX2013" s="53" t="n">
        <v>0</v>
      </c>
      <c r="AY2013" s="52" t="n">
        <v>0</v>
      </c>
      <c r="AZ2013" s="52" t="n">
        <v>0</v>
      </c>
      <c r="BA2013" s="52" t="n">
        <v>0</v>
      </c>
      <c r="BB2013" s="52" t="n">
        <v>0</v>
      </c>
      <c r="BC2013" s="51" t="n">
        <v>0</v>
      </c>
      <c r="BD2013" s="51" t="n">
        <v>0</v>
      </c>
      <c r="BE2013" s="51" t="n">
        <v>0</v>
      </c>
      <c r="BF2013" s="51" t="n">
        <v>0</v>
      </c>
    </row>
    <row r="2014">
      <c r="A2014">
        <f>HYPERLINK("https://www.walmart.com/ip/209649243", "209649243")</f>
        <v/>
      </c>
      <c r="B2014" t="inlineStr">
        <is>
          <t>Solaris Sun Hat for Women, Wide Brim Summer Beach Hat with Neck Flap, UPF 50+ Fishing Hat for Hiking, White</t>
        </is>
      </c>
      <c r="C2014" t="inlineStr">
        <is>
          <t>1SLSH921WH</t>
        </is>
      </c>
      <c r="D2014" t="inlineStr">
        <is>
          <t>Hats</t>
        </is>
      </c>
      <c r="E2014" t="inlineStr">
        <is>
          <t>Solaris</t>
        </is>
      </c>
      <c r="F2014" t="inlineStr">
        <is>
          <t>Q2-Target,Hats,SEM,Batch 1 - TR</t>
        </is>
      </c>
      <c r="G2014" s="48" t="n">
        <v>0</v>
      </c>
      <c r="H2014" s="48" t="n">
        <v>18.99</v>
      </c>
      <c r="I2014" s="48" t="n">
        <v>0</v>
      </c>
      <c r="J2014" s="48" t="n">
        <v>0</v>
      </c>
      <c r="K2014" s="49" t="n">
        <v>0</v>
      </c>
      <c r="L2014" s="49" t="n">
        <v>1</v>
      </c>
      <c r="M2014" s="49" t="n">
        <v>0</v>
      </c>
      <c r="N2014" s="49" t="n">
        <v>0</v>
      </c>
      <c r="O2014" s="49" t="n">
        <v>5</v>
      </c>
      <c r="P2014" s="49" t="n">
        <v>1</v>
      </c>
      <c r="Q2014" s="49" t="n">
        <v>0</v>
      </c>
      <c r="R2014" s="49" t="n">
        <v>0</v>
      </c>
      <c r="S2014" s="50" t="n">
        <v>0</v>
      </c>
      <c r="T2014" s="50" t="n">
        <v>1</v>
      </c>
      <c r="U2014" s="50" t="n">
        <v>0</v>
      </c>
      <c r="V2014" s="50" t="n">
        <v>0</v>
      </c>
      <c r="W2014" s="51" t="n">
        <v>0</v>
      </c>
      <c r="X2014" s="51" t="n">
        <v>0</v>
      </c>
      <c r="Y2014" s="51" t="n">
        <v>0</v>
      </c>
      <c r="Z2014" s="51" t="n">
        <v>0</v>
      </c>
      <c r="AA2014" s="52" t="n">
        <v>0</v>
      </c>
      <c r="AB2014" s="52" t="n">
        <v>0</v>
      </c>
      <c r="AC2014" s="52" t="n">
        <v>0</v>
      </c>
      <c r="AD2014" s="52" t="n">
        <v>0</v>
      </c>
      <c r="AE2014" s="52" t="n">
        <v>0</v>
      </c>
      <c r="AF2014" s="52" t="n">
        <v>0</v>
      </c>
      <c r="AG2014" s="52" t="n">
        <v>0</v>
      </c>
      <c r="AH2014" s="52" t="n">
        <v>0</v>
      </c>
      <c r="AI2014" s="52" t="n">
        <v>0</v>
      </c>
      <c r="AJ2014" s="52" t="n">
        <v>0</v>
      </c>
      <c r="AK2014" s="52" t="n">
        <v>0</v>
      </c>
      <c r="AL2014" s="52" t="n">
        <v>0</v>
      </c>
      <c r="AM2014" s="53" t="n">
        <v>0</v>
      </c>
      <c r="AN2014" s="53" t="n">
        <v>0</v>
      </c>
      <c r="AO2014" s="53" t="n">
        <v>0</v>
      </c>
      <c r="AP2014" s="53" t="n">
        <v>0</v>
      </c>
      <c r="AQ2014" s="52" t="n">
        <v>0</v>
      </c>
      <c r="AR2014" s="52" t="n">
        <v>0</v>
      </c>
      <c r="AS2014" s="52" t="n">
        <v>0</v>
      </c>
      <c r="AT2014" s="52" t="n">
        <v>0</v>
      </c>
      <c r="AU2014" s="53" t="n">
        <v>0</v>
      </c>
      <c r="AV2014" s="53" t="n">
        <v>0</v>
      </c>
      <c r="AW2014" s="53" t="n">
        <v>0</v>
      </c>
      <c r="AX2014" s="53" t="n">
        <v>0</v>
      </c>
      <c r="AY2014" s="52" t="n">
        <v>0</v>
      </c>
      <c r="AZ2014" s="52" t="n">
        <v>18.99</v>
      </c>
      <c r="BA2014" s="52" t="n">
        <v>0</v>
      </c>
      <c r="BB2014" s="52" t="n">
        <v>0</v>
      </c>
      <c r="BC2014" s="51" t="n">
        <v>0</v>
      </c>
      <c r="BD2014" s="51" t="n">
        <v>0</v>
      </c>
      <c r="BE2014" s="51" t="n">
        <v>0</v>
      </c>
      <c r="BF2014" s="51" t="n">
        <v>0</v>
      </c>
    </row>
    <row r="2015">
      <c r="A2015">
        <f>HYPERLINK("https://www.walmart.com/ip/211899562", "211899562")</f>
        <v/>
      </c>
      <c r="B2015" t="inlineStr">
        <is>
          <t>Catalonia Waterproof Fleece Blanket, Liquid Pee-Proof Outdoor Blanket for Bed, Couch, Sofa, Bed Protector Cover for Babies with Cozy Sherpa Lining, Brown/Taupe 80'' x 90''</t>
        </is>
      </c>
      <c r="C2015" t="inlineStr">
        <is>
          <t>1CTBW981BNTP</t>
        </is>
      </c>
      <c r="D2015" t="inlineStr">
        <is>
          <t>Throws</t>
        </is>
      </c>
      <c r="E2015" t="inlineStr">
        <is>
          <t>Catalonia</t>
        </is>
      </c>
      <c r="F2015" t="inlineStr">
        <is>
          <t>Wproof Blanket,Batch 1 - TR</t>
        </is>
      </c>
      <c r="G2015" s="48" t="n">
        <v>0</v>
      </c>
      <c r="H2015" s="48" t="n">
        <v>0</v>
      </c>
      <c r="I2015" s="48" t="n">
        <v>0</v>
      </c>
      <c r="J2015" s="48" t="n">
        <v>0</v>
      </c>
      <c r="K2015" s="49" t="n">
        <v>0</v>
      </c>
      <c r="L2015" s="49" t="n">
        <v>0</v>
      </c>
      <c r="M2015" s="49" t="n">
        <v>0</v>
      </c>
      <c r="N2015" s="49" t="n">
        <v>0</v>
      </c>
      <c r="O2015" s="49" t="n">
        <v>0</v>
      </c>
      <c r="P2015" s="49" t="n">
        <v>0</v>
      </c>
      <c r="Q2015" s="49" t="n">
        <v>0</v>
      </c>
      <c r="R2015" s="49" t="n">
        <v>0</v>
      </c>
      <c r="S2015" s="50" t="n">
        <v>0</v>
      </c>
      <c r="T2015" s="50" t="n">
        <v>0</v>
      </c>
      <c r="U2015" s="50" t="n">
        <v>0</v>
      </c>
      <c r="V2015" s="50" t="n">
        <v>0</v>
      </c>
      <c r="W2015" s="51" t="n">
        <v>0</v>
      </c>
      <c r="X2015" s="51" t="n">
        <v>0</v>
      </c>
      <c r="Y2015" s="51" t="n">
        <v>0</v>
      </c>
      <c r="Z2015" s="51" t="n">
        <v>0</v>
      </c>
      <c r="AA2015" s="52" t="n">
        <v>0</v>
      </c>
      <c r="AB2015" s="52" t="n">
        <v>0</v>
      </c>
      <c r="AC2015" s="52" t="n">
        <v>0</v>
      </c>
      <c r="AD2015" s="52" t="n">
        <v>0</v>
      </c>
      <c r="AE2015" s="52" t="n">
        <v>0</v>
      </c>
      <c r="AF2015" s="52" t="n">
        <v>0</v>
      </c>
      <c r="AG2015" s="52" t="n">
        <v>0</v>
      </c>
      <c r="AH2015" s="52" t="n">
        <v>0</v>
      </c>
      <c r="AI2015" s="52" t="n">
        <v>0</v>
      </c>
      <c r="AJ2015" s="52" t="n">
        <v>0</v>
      </c>
      <c r="AK2015" s="52" t="n">
        <v>0</v>
      </c>
      <c r="AL2015" s="52" t="n">
        <v>0</v>
      </c>
      <c r="AM2015" s="53" t="n">
        <v>0</v>
      </c>
      <c r="AN2015" s="53" t="n">
        <v>0</v>
      </c>
      <c r="AO2015" s="53" t="n">
        <v>0</v>
      </c>
      <c r="AP2015" s="53" t="n">
        <v>0</v>
      </c>
      <c r="AQ2015" s="52" t="n">
        <v>0</v>
      </c>
      <c r="AR2015" s="52" t="n">
        <v>0</v>
      </c>
      <c r="AS2015" s="52" t="n">
        <v>0</v>
      </c>
      <c r="AT2015" s="52" t="n">
        <v>0</v>
      </c>
      <c r="AU2015" s="53" t="n">
        <v>0</v>
      </c>
      <c r="AV2015" s="53" t="n">
        <v>0</v>
      </c>
      <c r="AW2015" s="53" t="n">
        <v>0</v>
      </c>
      <c r="AX2015" s="53" t="n">
        <v>0</v>
      </c>
      <c r="AY2015" s="52" t="n">
        <v>0</v>
      </c>
      <c r="AZ2015" s="52" t="n">
        <v>0</v>
      </c>
      <c r="BA2015" s="52" t="n">
        <v>0</v>
      </c>
      <c r="BB2015" s="52" t="n">
        <v>0</v>
      </c>
      <c r="BC2015" s="51" t="n">
        <v>0</v>
      </c>
      <c r="BD2015" s="51" t="n">
        <v>0</v>
      </c>
      <c r="BE2015" s="51" t="n">
        <v>0</v>
      </c>
      <c r="BF2015" s="51" t="n">
        <v>0</v>
      </c>
    </row>
    <row r="2016">
      <c r="A2016">
        <f>HYPERLINK("https://www.walmart.com/ip/2123737816", "2123737816")</f>
        <v/>
      </c>
      <c r="B2016" t="inlineStr">
        <is>
          <t>Tirrinia Waterproof Outdoor Blanket with Sherpa Lining, Windproof Triple Layers Warm Comfy Foldable for Camping Stadium, Sports, Picnic, Concerts, Pet, Orange/Grey, 51''X 59''.</t>
        </is>
      </c>
      <c r="C2016" t="inlineStr">
        <is>
          <t>1TRBW506ORGY</t>
        </is>
      </c>
      <c r="D2016" t="inlineStr">
        <is>
          <t>Picnic Blankets &amp; Mats</t>
        </is>
      </c>
      <c r="E2016" t="inlineStr">
        <is>
          <t>Tirrinia</t>
        </is>
      </c>
      <c r="F2016" t="inlineStr">
        <is>
          <t>Q2-Target</t>
        </is>
      </c>
      <c r="G2016" s="48" t="n">
        <v>0</v>
      </c>
      <c r="H2016" s="48" t="n">
        <v>0</v>
      </c>
      <c r="I2016" s="48" t="n">
        <v>0</v>
      </c>
      <c r="J2016" s="48" t="n">
        <v>0</v>
      </c>
      <c r="K2016" s="49" t="n">
        <v>0</v>
      </c>
      <c r="L2016" s="49" t="n">
        <v>0</v>
      </c>
      <c r="M2016" s="49" t="n">
        <v>0</v>
      </c>
      <c r="N2016" s="49" t="n">
        <v>0</v>
      </c>
      <c r="O2016" s="49" t="n">
        <v>0</v>
      </c>
      <c r="P2016" s="49" t="n">
        <v>0</v>
      </c>
      <c r="Q2016" s="49" t="n">
        <v>0</v>
      </c>
      <c r="R2016" s="49" t="n">
        <v>0</v>
      </c>
      <c r="S2016" s="50" t="n">
        <v>0</v>
      </c>
      <c r="T2016" s="50" t="n">
        <v>0</v>
      </c>
      <c r="U2016" s="50" t="n">
        <v>0</v>
      </c>
      <c r="V2016" s="50" t="n">
        <v>0</v>
      </c>
      <c r="W2016" s="51" t="n">
        <v>0</v>
      </c>
      <c r="X2016" s="51" t="n">
        <v>0</v>
      </c>
      <c r="Y2016" s="51" t="n">
        <v>0</v>
      </c>
      <c r="Z2016" s="51" t="n">
        <v>0</v>
      </c>
      <c r="AA2016" s="52" t="n">
        <v>0</v>
      </c>
      <c r="AB2016" s="52" t="n">
        <v>0</v>
      </c>
      <c r="AC2016" s="52" t="n">
        <v>0</v>
      </c>
      <c r="AD2016" s="52" t="n">
        <v>0</v>
      </c>
      <c r="AE2016" s="52" t="n">
        <v>0</v>
      </c>
      <c r="AF2016" s="52" t="n">
        <v>0</v>
      </c>
      <c r="AG2016" s="52" t="n">
        <v>0</v>
      </c>
      <c r="AH2016" s="52" t="n">
        <v>0</v>
      </c>
      <c r="AI2016" s="52" t="n">
        <v>0</v>
      </c>
      <c r="AJ2016" s="52" t="n">
        <v>0</v>
      </c>
      <c r="AK2016" s="52" t="n">
        <v>0</v>
      </c>
      <c r="AL2016" s="52" t="n">
        <v>0</v>
      </c>
      <c r="AM2016" s="53" t="n">
        <v>0</v>
      </c>
      <c r="AN2016" s="53" t="n">
        <v>0</v>
      </c>
      <c r="AO2016" s="53" t="n">
        <v>0</v>
      </c>
      <c r="AP2016" s="53" t="n">
        <v>0</v>
      </c>
      <c r="AQ2016" s="52" t="n">
        <v>0</v>
      </c>
      <c r="AR2016" s="52" t="n">
        <v>0</v>
      </c>
      <c r="AS2016" s="52" t="n">
        <v>0</v>
      </c>
      <c r="AT2016" s="52" t="n">
        <v>0</v>
      </c>
      <c r="AU2016" s="53" t="n">
        <v>0</v>
      </c>
      <c r="AV2016" s="53" t="n">
        <v>0</v>
      </c>
      <c r="AW2016" s="53" t="n">
        <v>0</v>
      </c>
      <c r="AX2016" s="53" t="n">
        <v>0</v>
      </c>
      <c r="AY2016" s="52" t="n">
        <v>0</v>
      </c>
      <c r="AZ2016" s="52" t="n">
        <v>0</v>
      </c>
      <c r="BA2016" s="52" t="n">
        <v>0</v>
      </c>
      <c r="BB2016" s="52" t="n">
        <v>0</v>
      </c>
      <c r="BC2016" s="51" t="n">
        <v>0</v>
      </c>
      <c r="BD2016" s="51" t="n">
        <v>0</v>
      </c>
      <c r="BE2016" s="51" t="n">
        <v>0</v>
      </c>
      <c r="BF2016" s="51" t="n">
        <v>0</v>
      </c>
    </row>
    <row r="2017">
      <c r="A2017">
        <f>HYPERLINK("https://www.walmart.com/ip/212399897", "212399897")</f>
        <v/>
      </c>
      <c r="B2017" t="inlineStr">
        <is>
          <t>Luxury Sherpa Knit Throw Blanket 50" x 60", Home Decorative Blanket for Sofa Couch Chair All Season TV Blanket | Super Soft, Warm, Waffle Weave Knit | Catalonia series by Tirrinia, Blue</t>
        </is>
      </c>
      <c r="C2017" t="inlineStr">
        <is>
          <t>1TRBN300BL-TBCB</t>
        </is>
      </c>
      <c r="D2017" t="inlineStr">
        <is>
          <t>Throws</t>
        </is>
      </c>
      <c r="E2017" t="inlineStr">
        <is>
          <t>Tirrinia</t>
        </is>
      </c>
      <c r="F2017" t="inlineStr">
        <is>
          <t>Batch 1 - TR</t>
        </is>
      </c>
      <c r="G2017" s="48" t="n">
        <v>0</v>
      </c>
      <c r="H2017" s="48" t="n">
        <v>0</v>
      </c>
      <c r="I2017" s="48" t="n">
        <v>0</v>
      </c>
      <c r="J2017" s="48" t="n">
        <v>0</v>
      </c>
      <c r="K2017" s="49" t="n">
        <v>0</v>
      </c>
      <c r="L2017" s="49" t="n">
        <v>0</v>
      </c>
      <c r="M2017" s="49" t="n">
        <v>0</v>
      </c>
      <c r="N2017" s="49" t="n">
        <v>0</v>
      </c>
      <c r="O2017" s="49" t="n">
        <v>0</v>
      </c>
      <c r="P2017" s="49" t="n">
        <v>0</v>
      </c>
      <c r="Q2017" s="49" t="n">
        <v>0</v>
      </c>
      <c r="R2017" s="49" t="n">
        <v>0</v>
      </c>
      <c r="S2017" s="50" t="n">
        <v>0</v>
      </c>
      <c r="T2017" s="50" t="n">
        <v>0</v>
      </c>
      <c r="U2017" s="50" t="n">
        <v>0</v>
      </c>
      <c r="V2017" s="50" t="n">
        <v>0</v>
      </c>
      <c r="W2017" s="51" t="n">
        <v>0</v>
      </c>
      <c r="X2017" s="51" t="n">
        <v>0</v>
      </c>
      <c r="Y2017" s="51" t="n">
        <v>0</v>
      </c>
      <c r="Z2017" s="51" t="n">
        <v>0</v>
      </c>
      <c r="AA2017" s="52" t="n">
        <v>0</v>
      </c>
      <c r="AB2017" s="52" t="n">
        <v>0</v>
      </c>
      <c r="AC2017" s="52" t="n">
        <v>0</v>
      </c>
      <c r="AD2017" s="52" t="n">
        <v>0</v>
      </c>
      <c r="AE2017" s="52" t="n">
        <v>0</v>
      </c>
      <c r="AF2017" s="52" t="n">
        <v>0</v>
      </c>
      <c r="AG2017" s="52" t="n">
        <v>0</v>
      </c>
      <c r="AH2017" s="52" t="n">
        <v>0</v>
      </c>
      <c r="AI2017" s="52" t="n">
        <v>0</v>
      </c>
      <c r="AJ2017" s="52" t="n">
        <v>0</v>
      </c>
      <c r="AK2017" s="52" t="n">
        <v>0</v>
      </c>
      <c r="AL2017" s="52" t="n">
        <v>0</v>
      </c>
      <c r="AM2017" s="53" t="n">
        <v>0</v>
      </c>
      <c r="AN2017" s="53" t="n">
        <v>0</v>
      </c>
      <c r="AO2017" s="53" t="n">
        <v>0</v>
      </c>
      <c r="AP2017" s="53" t="n">
        <v>0</v>
      </c>
      <c r="AQ2017" s="52" t="n">
        <v>0</v>
      </c>
      <c r="AR2017" s="52" t="n">
        <v>0</v>
      </c>
      <c r="AS2017" s="52" t="n">
        <v>0</v>
      </c>
      <c r="AT2017" s="52" t="n">
        <v>0</v>
      </c>
      <c r="AU2017" s="53" t="n">
        <v>0</v>
      </c>
      <c r="AV2017" s="53" t="n">
        <v>0</v>
      </c>
      <c r="AW2017" s="53" t="n">
        <v>0</v>
      </c>
      <c r="AX2017" s="53" t="n">
        <v>0</v>
      </c>
      <c r="AY2017" s="52" t="n">
        <v>0</v>
      </c>
      <c r="AZ2017" s="52" t="n">
        <v>0</v>
      </c>
      <c r="BA2017" s="52" t="n">
        <v>0</v>
      </c>
      <c r="BB2017" s="52" t="n">
        <v>0</v>
      </c>
      <c r="BC2017" s="51" t="n">
        <v>0</v>
      </c>
      <c r="BD2017" s="51" t="n">
        <v>0</v>
      </c>
      <c r="BE2017" s="51" t="n">
        <v>0</v>
      </c>
      <c r="BF2017" s="51" t="n">
        <v>0</v>
      </c>
    </row>
    <row r="2018">
      <c r="A2018">
        <f>HYPERLINK("https://www.walmart.com/ip/212612688", "212612688")</f>
        <v/>
      </c>
      <c r="B2018" t="inlineStr">
        <is>
          <t>Knit Beanie Hat for Women and Men, Faux Fuzzy Pom Pom Winter Ski Skullies Cap, Purple</t>
        </is>
      </c>
      <c r="C2018" t="inlineStr">
        <is>
          <t>1SLPPH02PP</t>
        </is>
      </c>
      <c r="D2018" t="inlineStr">
        <is>
          <t>Hats</t>
        </is>
      </c>
      <c r="E2018" t="inlineStr">
        <is>
          <t>Solaris</t>
        </is>
      </c>
      <c r="F2018" t="inlineStr">
        <is>
          <t>Batch 1 - TR</t>
        </is>
      </c>
      <c r="G2018" s="48" t="n">
        <v>0</v>
      </c>
      <c r="H2018" s="48" t="n">
        <v>0</v>
      </c>
      <c r="I2018" s="48" t="n">
        <v>0</v>
      </c>
      <c r="J2018" s="48" t="n">
        <v>0</v>
      </c>
      <c r="K2018" s="49" t="n">
        <v>0</v>
      </c>
      <c r="L2018" s="49" t="n">
        <v>0</v>
      </c>
      <c r="M2018" s="49" t="n">
        <v>0</v>
      </c>
      <c r="N2018" s="49" t="n">
        <v>0</v>
      </c>
      <c r="O2018" s="49" t="n">
        <v>0</v>
      </c>
      <c r="P2018" s="49" t="n">
        <v>0</v>
      </c>
      <c r="Q2018" s="49" t="n">
        <v>0</v>
      </c>
      <c r="R2018" s="49" t="n">
        <v>0</v>
      </c>
      <c r="S2018" s="50" t="n">
        <v>0</v>
      </c>
      <c r="T2018" s="50" t="n">
        <v>0</v>
      </c>
      <c r="U2018" s="50" t="n">
        <v>0</v>
      </c>
      <c r="V2018" s="50" t="n">
        <v>0</v>
      </c>
      <c r="W2018" s="51" t="n">
        <v>0</v>
      </c>
      <c r="X2018" s="51" t="n">
        <v>0</v>
      </c>
      <c r="Y2018" s="51" t="n">
        <v>0</v>
      </c>
      <c r="Z2018" s="51" t="n">
        <v>0</v>
      </c>
      <c r="AA2018" s="52" t="n">
        <v>0</v>
      </c>
      <c r="AB2018" s="52" t="n">
        <v>0</v>
      </c>
      <c r="AC2018" s="52" t="n">
        <v>0</v>
      </c>
      <c r="AD2018" s="52" t="n">
        <v>0</v>
      </c>
      <c r="AE2018" s="52" t="n">
        <v>0</v>
      </c>
      <c r="AF2018" s="52" t="n">
        <v>0</v>
      </c>
      <c r="AG2018" s="52" t="n">
        <v>0</v>
      </c>
      <c r="AH2018" s="52" t="n">
        <v>0</v>
      </c>
      <c r="AI2018" s="52" t="n">
        <v>0</v>
      </c>
      <c r="AJ2018" s="52" t="n">
        <v>0</v>
      </c>
      <c r="AK2018" s="52" t="n">
        <v>0</v>
      </c>
      <c r="AL2018" s="52" t="n">
        <v>0</v>
      </c>
      <c r="AM2018" s="53" t="n">
        <v>0</v>
      </c>
      <c r="AN2018" s="53" t="n">
        <v>0</v>
      </c>
      <c r="AO2018" s="53" t="n">
        <v>0</v>
      </c>
      <c r="AP2018" s="53" t="n">
        <v>0</v>
      </c>
      <c r="AQ2018" s="52" t="n">
        <v>0</v>
      </c>
      <c r="AR2018" s="52" t="n">
        <v>0</v>
      </c>
      <c r="AS2018" s="52" t="n">
        <v>0</v>
      </c>
      <c r="AT2018" s="52" t="n">
        <v>0</v>
      </c>
      <c r="AU2018" s="53" t="n">
        <v>0</v>
      </c>
      <c r="AV2018" s="53" t="n">
        <v>0</v>
      </c>
      <c r="AW2018" s="53" t="n">
        <v>0</v>
      </c>
      <c r="AX2018" s="53" t="n">
        <v>0</v>
      </c>
      <c r="AY2018" s="52" t="n">
        <v>0</v>
      </c>
      <c r="AZ2018" s="52" t="n">
        <v>0</v>
      </c>
      <c r="BA2018" s="52" t="n">
        <v>0</v>
      </c>
      <c r="BB2018" s="52" t="n">
        <v>0</v>
      </c>
      <c r="BC2018" s="51" t="n">
        <v>0</v>
      </c>
      <c r="BD2018" s="51" t="n">
        <v>0</v>
      </c>
      <c r="BE2018" s="51" t="n">
        <v>0</v>
      </c>
      <c r="BF2018" s="51" t="n">
        <v>0</v>
      </c>
    </row>
    <row r="2019">
      <c r="A2019">
        <f>HYPERLINK("https://www.walmart.com/ip/213401735", "213401735")</f>
        <v/>
      </c>
      <c r="B2019" t="inlineStr">
        <is>
          <t>Flyingstar Lunch Bag for Women Men, Insulated Lunch Tote for Working/School/Picnic Fashionable Cooler Bag</t>
        </is>
      </c>
      <c r="C2019" t="inlineStr">
        <is>
          <t>1WMLB704RD</t>
        </is>
      </c>
      <c r="D2019" t="inlineStr">
        <is>
          <t>Reusable Lunch Bags &amp; Boxes</t>
        </is>
      </c>
      <c r="E2019" t="inlineStr">
        <is>
          <t>Flyingstar</t>
        </is>
      </c>
      <c r="F2019" t="inlineStr">
        <is>
          <t>Q2-Target,Lunch Bag</t>
        </is>
      </c>
      <c r="G2019" s="48" t="n">
        <v>0</v>
      </c>
      <c r="H2019" s="48" t="n">
        <v>0</v>
      </c>
      <c r="I2019" s="48" t="n">
        <v>0</v>
      </c>
      <c r="J2019" s="48" t="n">
        <v>0</v>
      </c>
      <c r="K2019" s="49" t="n">
        <v>0</v>
      </c>
      <c r="L2019" s="49" t="n">
        <v>0</v>
      </c>
      <c r="M2019" s="49" t="n">
        <v>0</v>
      </c>
      <c r="N2019" s="49" t="n">
        <v>0</v>
      </c>
      <c r="O2019" s="49" t="n">
        <v>0</v>
      </c>
      <c r="P2019" s="49" t="n">
        <v>0</v>
      </c>
      <c r="Q2019" s="49" t="n">
        <v>0</v>
      </c>
      <c r="R2019" s="49" t="n">
        <v>0</v>
      </c>
      <c r="S2019" s="50" t="n">
        <v>0</v>
      </c>
      <c r="T2019" s="50" t="n">
        <v>0</v>
      </c>
      <c r="U2019" s="50" t="n">
        <v>0</v>
      </c>
      <c r="V2019" s="50" t="n">
        <v>0</v>
      </c>
      <c r="W2019" s="51" t="n">
        <v>0</v>
      </c>
      <c r="X2019" s="51" t="n">
        <v>0</v>
      </c>
      <c r="Y2019" s="51" t="n">
        <v>0</v>
      </c>
      <c r="Z2019" s="51" t="n">
        <v>0</v>
      </c>
      <c r="AA2019" s="52" t="n">
        <v>0</v>
      </c>
      <c r="AB2019" s="52" t="n">
        <v>0</v>
      </c>
      <c r="AC2019" s="52" t="n">
        <v>0</v>
      </c>
      <c r="AD2019" s="52" t="n">
        <v>0</v>
      </c>
      <c r="AE2019" s="52" t="n">
        <v>0</v>
      </c>
      <c r="AF2019" s="52" t="n">
        <v>0</v>
      </c>
      <c r="AG2019" s="52" t="n">
        <v>0</v>
      </c>
      <c r="AH2019" s="52" t="n">
        <v>0</v>
      </c>
      <c r="AI2019" s="52" t="n">
        <v>0</v>
      </c>
      <c r="AJ2019" s="52" t="n">
        <v>0</v>
      </c>
      <c r="AK2019" s="52" t="n">
        <v>0</v>
      </c>
      <c r="AL2019" s="52" t="n">
        <v>0</v>
      </c>
      <c r="AM2019" s="53" t="n">
        <v>0</v>
      </c>
      <c r="AN2019" s="53" t="n">
        <v>0</v>
      </c>
      <c r="AO2019" s="53" t="n">
        <v>0</v>
      </c>
      <c r="AP2019" s="53" t="n">
        <v>0</v>
      </c>
      <c r="AQ2019" s="52" t="n">
        <v>0</v>
      </c>
      <c r="AR2019" s="52" t="n">
        <v>0</v>
      </c>
      <c r="AS2019" s="52" t="n">
        <v>0</v>
      </c>
      <c r="AT2019" s="52" t="n">
        <v>0</v>
      </c>
      <c r="AU2019" s="53" t="n">
        <v>0</v>
      </c>
      <c r="AV2019" s="53" t="n">
        <v>0</v>
      </c>
      <c r="AW2019" s="53" t="n">
        <v>0</v>
      </c>
      <c r="AX2019" s="53" t="n">
        <v>0</v>
      </c>
      <c r="AY2019" s="52" t="n">
        <v>0</v>
      </c>
      <c r="AZ2019" s="52" t="n">
        <v>0</v>
      </c>
      <c r="BA2019" s="52" t="n">
        <v>0</v>
      </c>
      <c r="BB2019" s="52" t="n">
        <v>0</v>
      </c>
      <c r="BC2019" s="51" t="n">
        <v>0</v>
      </c>
      <c r="BD2019" s="51" t="n">
        <v>0</v>
      </c>
      <c r="BE2019" s="51" t="n">
        <v>0</v>
      </c>
      <c r="BF2019" s="51" t="n">
        <v>0</v>
      </c>
    </row>
    <row r="2020">
      <c r="A2020">
        <f>HYPERLINK("https://www.walmart.com/ip/2137232855", "2137232855")</f>
        <v/>
      </c>
      <c r="B2020" t="inlineStr">
        <is>
          <t>Catalonia Fleece Wearable Blanket with Sleeves and Pocket, Micro Plush Warm Sleeved TV Throw Sherpa Blanket Robe for Women and Men, Moose Green, 72” X 55”.</t>
        </is>
      </c>
      <c r="C2020" t="inlineStr">
        <is>
          <t>1CTSN110GNMOOSE</t>
        </is>
      </c>
      <c r="D2020" t="inlineStr">
        <is>
          <t>Throws</t>
        </is>
      </c>
      <c r="E2020" t="inlineStr">
        <is>
          <t>Catalonia</t>
        </is>
      </c>
      <c r="F2020" t="inlineStr">
        <is>
          <t>Q2-Target,Coupon_Discount,Batch 1 - TR</t>
        </is>
      </c>
      <c r="G2020" s="48" t="n">
        <v>0</v>
      </c>
      <c r="H2020" s="48" t="n">
        <v>0</v>
      </c>
      <c r="I2020" s="48" t="n">
        <v>0</v>
      </c>
      <c r="J2020" s="48" t="n">
        <v>0</v>
      </c>
      <c r="K2020" s="49" t="n">
        <v>0</v>
      </c>
      <c r="L2020" s="49" t="n">
        <v>0</v>
      </c>
      <c r="M2020" s="49" t="n">
        <v>0</v>
      </c>
      <c r="N2020" s="49" t="n">
        <v>0</v>
      </c>
      <c r="O2020" s="49" t="n">
        <v>0</v>
      </c>
      <c r="P2020" s="49" t="n">
        <v>0</v>
      </c>
      <c r="Q2020" s="49" t="n">
        <v>0</v>
      </c>
      <c r="R2020" s="49" t="n">
        <v>0</v>
      </c>
      <c r="S2020" s="50" t="n">
        <v>0</v>
      </c>
      <c r="T2020" s="50" t="n">
        <v>0</v>
      </c>
      <c r="U2020" s="50" t="n">
        <v>0</v>
      </c>
      <c r="V2020" s="50" t="n">
        <v>0</v>
      </c>
      <c r="W2020" s="51" t="n">
        <v>0</v>
      </c>
      <c r="X2020" s="51" t="n">
        <v>0</v>
      </c>
      <c r="Y2020" s="51" t="n">
        <v>0</v>
      </c>
      <c r="Z2020" s="51" t="n">
        <v>0</v>
      </c>
      <c r="AA2020" s="52" t="n">
        <v>0</v>
      </c>
      <c r="AB2020" s="52" t="n">
        <v>0</v>
      </c>
      <c r="AC2020" s="52" t="n">
        <v>0</v>
      </c>
      <c r="AD2020" s="52" t="n">
        <v>0</v>
      </c>
      <c r="AE2020" s="52" t="n">
        <v>0</v>
      </c>
      <c r="AF2020" s="52" t="n">
        <v>0</v>
      </c>
      <c r="AG2020" s="52" t="n">
        <v>0</v>
      </c>
      <c r="AH2020" s="52" t="n">
        <v>0</v>
      </c>
      <c r="AI2020" s="52" t="n">
        <v>0</v>
      </c>
      <c r="AJ2020" s="52" t="n">
        <v>0</v>
      </c>
      <c r="AK2020" s="52" t="n">
        <v>0</v>
      </c>
      <c r="AL2020" s="52" t="n">
        <v>0</v>
      </c>
      <c r="AM2020" s="53" t="n">
        <v>0</v>
      </c>
      <c r="AN2020" s="53" t="n">
        <v>0</v>
      </c>
      <c r="AO2020" s="53" t="n">
        <v>0</v>
      </c>
      <c r="AP2020" s="53" t="n">
        <v>0</v>
      </c>
      <c r="AQ2020" s="52" t="n">
        <v>0</v>
      </c>
      <c r="AR2020" s="52" t="n">
        <v>0</v>
      </c>
      <c r="AS2020" s="52" t="n">
        <v>0</v>
      </c>
      <c r="AT2020" s="52" t="n">
        <v>0</v>
      </c>
      <c r="AU2020" s="53" t="n">
        <v>0</v>
      </c>
      <c r="AV2020" s="53" t="n">
        <v>0</v>
      </c>
      <c r="AW2020" s="53" t="n">
        <v>0</v>
      </c>
      <c r="AX2020" s="53" t="n">
        <v>0</v>
      </c>
      <c r="AY2020" s="52" t="n">
        <v>0</v>
      </c>
      <c r="AZ2020" s="52" t="n">
        <v>0</v>
      </c>
      <c r="BA2020" s="52" t="n">
        <v>0</v>
      </c>
      <c r="BB2020" s="52" t="n">
        <v>0</v>
      </c>
      <c r="BC2020" s="51" t="n">
        <v>0</v>
      </c>
      <c r="BD2020" s="51" t="n">
        <v>0</v>
      </c>
      <c r="BE2020" s="51" t="n">
        <v>0</v>
      </c>
      <c r="BF2020" s="51" t="n">
        <v>0</v>
      </c>
    </row>
    <row r="2021">
      <c r="A2021">
        <f>HYPERLINK("https://www.walmart.com/ip/213843490", "213843490")</f>
        <v/>
      </c>
      <c r="B2021" t="inlineStr">
        <is>
          <t>Flyingstar Blanket with Sleeves and Pocket, Wearable Throws Blanket, Robe for Women and Men 73” x 51” Brown</t>
        </is>
      </c>
      <c r="C2021" t="inlineStr">
        <is>
          <t>1WMSN100BR-ESGM</t>
        </is>
      </c>
      <c r="D2021" t="inlineStr">
        <is>
          <t>Throws</t>
        </is>
      </c>
      <c r="E2021" t="inlineStr">
        <is>
          <t>Flyingstar</t>
        </is>
      </c>
      <c r="F2021" t="inlineStr">
        <is>
          <t>Optimized</t>
        </is>
      </c>
      <c r="G2021" s="48" t="n">
        <v>0</v>
      </c>
      <c r="H2021" s="48" t="n">
        <v>0</v>
      </c>
      <c r="I2021" s="48" t="n">
        <v>0</v>
      </c>
      <c r="J2021" s="48" t="n">
        <v>0</v>
      </c>
      <c r="K2021" s="49" t="n">
        <v>0</v>
      </c>
      <c r="L2021" s="49" t="n">
        <v>0</v>
      </c>
      <c r="M2021" s="49" t="n">
        <v>0</v>
      </c>
      <c r="N2021" s="49" t="n">
        <v>0</v>
      </c>
      <c r="O2021" s="49" t="n">
        <v>0</v>
      </c>
      <c r="P2021" s="49" t="n">
        <v>0</v>
      </c>
      <c r="Q2021" s="49" t="n">
        <v>0</v>
      </c>
      <c r="R2021" s="49" t="n">
        <v>0</v>
      </c>
      <c r="S2021" s="50" t="n">
        <v>0</v>
      </c>
      <c r="T2021" s="50" t="n">
        <v>0</v>
      </c>
      <c r="U2021" s="50" t="n">
        <v>0</v>
      </c>
      <c r="V2021" s="50" t="n">
        <v>0</v>
      </c>
      <c r="W2021" s="51" t="n">
        <v>0</v>
      </c>
      <c r="X2021" s="51" t="n">
        <v>0</v>
      </c>
      <c r="Y2021" s="51" t="n">
        <v>0</v>
      </c>
      <c r="Z2021" s="51" t="n">
        <v>0</v>
      </c>
      <c r="AA2021" s="52" t="n">
        <v>0</v>
      </c>
      <c r="AB2021" s="52" t="n">
        <v>0</v>
      </c>
      <c r="AC2021" s="52" t="n">
        <v>0</v>
      </c>
      <c r="AD2021" s="52" t="n">
        <v>0</v>
      </c>
      <c r="AE2021" s="52" t="n">
        <v>0</v>
      </c>
      <c r="AF2021" s="52" t="n">
        <v>0</v>
      </c>
      <c r="AG2021" s="52" t="n">
        <v>0</v>
      </c>
      <c r="AH2021" s="52" t="n">
        <v>0</v>
      </c>
      <c r="AI2021" s="52" t="n">
        <v>0</v>
      </c>
      <c r="AJ2021" s="52" t="n">
        <v>0</v>
      </c>
      <c r="AK2021" s="52" t="n">
        <v>0</v>
      </c>
      <c r="AL2021" s="52" t="n">
        <v>0</v>
      </c>
      <c r="AM2021" s="53" t="n">
        <v>0</v>
      </c>
      <c r="AN2021" s="53" t="n">
        <v>0</v>
      </c>
      <c r="AO2021" s="53" t="n">
        <v>0</v>
      </c>
      <c r="AP2021" s="53" t="n">
        <v>0</v>
      </c>
      <c r="AQ2021" s="52" t="n">
        <v>0</v>
      </c>
      <c r="AR2021" s="52" t="n">
        <v>0</v>
      </c>
      <c r="AS2021" s="52" t="n">
        <v>0</v>
      </c>
      <c r="AT2021" s="52" t="n">
        <v>0</v>
      </c>
      <c r="AU2021" s="53" t="n">
        <v>0</v>
      </c>
      <c r="AV2021" s="53" t="n">
        <v>0</v>
      </c>
      <c r="AW2021" s="53" t="n">
        <v>0</v>
      </c>
      <c r="AX2021" s="53" t="n">
        <v>0</v>
      </c>
      <c r="AY2021" s="52" t="n">
        <v>0</v>
      </c>
      <c r="AZ2021" s="52" t="n">
        <v>0</v>
      </c>
      <c r="BA2021" s="52" t="n">
        <v>0</v>
      </c>
      <c r="BB2021" s="52" t="n">
        <v>0</v>
      </c>
      <c r="BC2021" s="51" t="n">
        <v>0</v>
      </c>
      <c r="BD2021" s="51" t="n">
        <v>0</v>
      </c>
      <c r="BE2021" s="51" t="n">
        <v>0</v>
      </c>
      <c r="BF2021" s="51" t="n">
        <v>0</v>
      </c>
    </row>
    <row r="2022">
      <c r="A2022">
        <f>HYPERLINK("https://www.walmart.com/ip/213969909", "213969909")</f>
        <v/>
      </c>
      <c r="B2022" t="inlineStr">
        <is>
          <t>Tirrinia Women Floppy Straw Sun Hat Wide Brim Striped Beach Cap Foldable Beige</t>
        </is>
      </c>
      <c r="C2022" t="inlineStr">
        <is>
          <t>1TRSH101BE-TBCB</t>
        </is>
      </c>
      <c r="D2022" t="inlineStr">
        <is>
          <t>Hats</t>
        </is>
      </c>
      <c r="E2022" t="inlineStr">
        <is>
          <t>Tirrinia</t>
        </is>
      </c>
      <c r="F2022" t="inlineStr">
        <is>
          <t>Optimized</t>
        </is>
      </c>
      <c r="G2022" s="48" t="n">
        <v>0</v>
      </c>
      <c r="H2022" s="48" t="n">
        <v>0</v>
      </c>
      <c r="I2022" s="48" t="n">
        <v>0</v>
      </c>
      <c r="J2022" s="48" t="n">
        <v>0</v>
      </c>
      <c r="K2022" s="49" t="n">
        <v>0</v>
      </c>
      <c r="L2022" s="49" t="n">
        <v>0</v>
      </c>
      <c r="M2022" s="49" t="n">
        <v>0</v>
      </c>
      <c r="N2022" s="49" t="n">
        <v>0</v>
      </c>
      <c r="O2022" s="49" t="n">
        <v>0</v>
      </c>
      <c r="P2022" s="49" t="n">
        <v>0</v>
      </c>
      <c r="Q2022" s="49" t="n">
        <v>0</v>
      </c>
      <c r="R2022" s="49" t="n">
        <v>0</v>
      </c>
      <c r="S2022" s="50" t="n">
        <v>0</v>
      </c>
      <c r="T2022" s="50" t="n">
        <v>0</v>
      </c>
      <c r="U2022" s="50" t="n">
        <v>0</v>
      </c>
      <c r="V2022" s="50" t="n">
        <v>0</v>
      </c>
      <c r="W2022" s="51" t="n">
        <v>0</v>
      </c>
      <c r="X2022" s="51" t="n">
        <v>0</v>
      </c>
      <c r="Y2022" s="51" t="n">
        <v>0</v>
      </c>
      <c r="Z2022" s="51" t="n">
        <v>0</v>
      </c>
      <c r="AA2022" s="52" t="n">
        <v>0</v>
      </c>
      <c r="AB2022" s="52" t="n">
        <v>0</v>
      </c>
      <c r="AC2022" s="52" t="n">
        <v>0</v>
      </c>
      <c r="AD2022" s="52" t="n">
        <v>0</v>
      </c>
      <c r="AE2022" s="52" t="n">
        <v>0</v>
      </c>
      <c r="AF2022" s="52" t="n">
        <v>0</v>
      </c>
      <c r="AG2022" s="52" t="n">
        <v>0</v>
      </c>
      <c r="AH2022" s="52" t="n">
        <v>0</v>
      </c>
      <c r="AI2022" s="52" t="n">
        <v>0</v>
      </c>
      <c r="AJ2022" s="52" t="n">
        <v>0</v>
      </c>
      <c r="AK2022" s="52" t="n">
        <v>0</v>
      </c>
      <c r="AL2022" s="52" t="n">
        <v>0</v>
      </c>
      <c r="AM2022" s="53" t="n">
        <v>0</v>
      </c>
      <c r="AN2022" s="53" t="n">
        <v>0</v>
      </c>
      <c r="AO2022" s="53" t="n">
        <v>0</v>
      </c>
      <c r="AP2022" s="53" t="n">
        <v>0</v>
      </c>
      <c r="AQ2022" s="52" t="n">
        <v>0</v>
      </c>
      <c r="AR2022" s="52" t="n">
        <v>0</v>
      </c>
      <c r="AS2022" s="52" t="n">
        <v>0</v>
      </c>
      <c r="AT2022" s="52" t="n">
        <v>0</v>
      </c>
      <c r="AU2022" s="53" t="n">
        <v>0</v>
      </c>
      <c r="AV2022" s="53" t="n">
        <v>0</v>
      </c>
      <c r="AW2022" s="53" t="n">
        <v>0</v>
      </c>
      <c r="AX2022" s="53" t="n">
        <v>0</v>
      </c>
      <c r="AY2022" s="52" t="n">
        <v>0</v>
      </c>
      <c r="AZ2022" s="52" t="n">
        <v>0</v>
      </c>
      <c r="BA2022" s="52" t="n">
        <v>0</v>
      </c>
      <c r="BB2022" s="52" t="n">
        <v>0</v>
      </c>
      <c r="BC2022" s="51" t="n">
        <v>0</v>
      </c>
      <c r="BD2022" s="51" t="n">
        <v>0</v>
      </c>
      <c r="BE2022" s="51" t="n">
        <v>0</v>
      </c>
      <c r="BF2022" s="51" t="n">
        <v>0</v>
      </c>
    </row>
    <row r="2023">
      <c r="A2023">
        <f>HYPERLINK("https://www.walmart.com/ip/2144882124", "2144882124")</f>
        <v/>
      </c>
      <c r="B2023" t="inlineStr">
        <is>
          <t>Kato Outdoors Waterproof Blanket, Sherpa Fleece Stadium Windproof Throw Mat for Boat, Traveling, Camping, Hiking, and Football, Machine Washable, Orange, 59”x 79”.</t>
        </is>
      </c>
      <c r="C2023" t="inlineStr">
        <is>
          <t>1KTBW608ORGY</t>
        </is>
      </c>
      <c r="D2023" t="inlineStr">
        <is>
          <t>Picnic Blankets &amp; Mats</t>
        </is>
      </c>
      <c r="E2023" t="inlineStr">
        <is>
          <t>Kato</t>
        </is>
      </c>
      <c r="F2023" t="inlineStr">
        <is>
          <t>Q2-Target</t>
        </is>
      </c>
      <c r="G2023" s="48" t="n">
        <v>0</v>
      </c>
      <c r="H2023" s="48" t="n">
        <v>0</v>
      </c>
      <c r="I2023" s="48" t="n">
        <v>0</v>
      </c>
      <c r="J2023" s="48" t="n">
        <v>0</v>
      </c>
      <c r="K2023" s="49" t="n">
        <v>0</v>
      </c>
      <c r="L2023" s="49" t="n">
        <v>0</v>
      </c>
      <c r="M2023" s="49" t="n">
        <v>0</v>
      </c>
      <c r="N2023" s="49" t="n">
        <v>0</v>
      </c>
      <c r="O2023" s="49" t="n">
        <v>0</v>
      </c>
      <c r="P2023" s="49" t="n">
        <v>0</v>
      </c>
      <c r="Q2023" s="49" t="n">
        <v>0</v>
      </c>
      <c r="R2023" s="49" t="n">
        <v>0</v>
      </c>
      <c r="S2023" s="50" t="n">
        <v>0</v>
      </c>
      <c r="T2023" s="50" t="n">
        <v>0</v>
      </c>
      <c r="U2023" s="50" t="n">
        <v>0</v>
      </c>
      <c r="V2023" s="50" t="n">
        <v>0</v>
      </c>
      <c r="W2023" s="51" t="n">
        <v>0</v>
      </c>
      <c r="X2023" s="51" t="n">
        <v>0</v>
      </c>
      <c r="Y2023" s="51" t="n">
        <v>0</v>
      </c>
      <c r="Z2023" s="51" t="n">
        <v>0</v>
      </c>
      <c r="AA2023" s="52" t="n">
        <v>0</v>
      </c>
      <c r="AB2023" s="52" t="n">
        <v>0</v>
      </c>
      <c r="AC2023" s="52" t="n">
        <v>0</v>
      </c>
      <c r="AD2023" s="52" t="n">
        <v>0</v>
      </c>
      <c r="AE2023" s="52" t="n">
        <v>0</v>
      </c>
      <c r="AF2023" s="52" t="n">
        <v>0</v>
      </c>
      <c r="AG2023" s="52" t="n">
        <v>0</v>
      </c>
      <c r="AH2023" s="52" t="n">
        <v>0</v>
      </c>
      <c r="AI2023" s="52" t="n">
        <v>0</v>
      </c>
      <c r="AJ2023" s="52" t="n">
        <v>0</v>
      </c>
      <c r="AK2023" s="52" t="n">
        <v>0</v>
      </c>
      <c r="AL2023" s="52" t="n">
        <v>0</v>
      </c>
      <c r="AM2023" s="53" t="n">
        <v>0</v>
      </c>
      <c r="AN2023" s="53" t="n">
        <v>0</v>
      </c>
      <c r="AO2023" s="53" t="n">
        <v>0</v>
      </c>
      <c r="AP2023" s="53" t="n">
        <v>0</v>
      </c>
      <c r="AQ2023" s="52" t="n">
        <v>0</v>
      </c>
      <c r="AR2023" s="52" t="n">
        <v>0</v>
      </c>
      <c r="AS2023" s="52" t="n">
        <v>0</v>
      </c>
      <c r="AT2023" s="52" t="n">
        <v>0</v>
      </c>
      <c r="AU2023" s="53" t="n">
        <v>0</v>
      </c>
      <c r="AV2023" s="53" t="n">
        <v>0</v>
      </c>
      <c r="AW2023" s="53" t="n">
        <v>0</v>
      </c>
      <c r="AX2023" s="53" t="n">
        <v>0</v>
      </c>
      <c r="AY2023" s="52" t="n">
        <v>0</v>
      </c>
      <c r="AZ2023" s="52" t="n">
        <v>0</v>
      </c>
      <c r="BA2023" s="52" t="n">
        <v>0</v>
      </c>
      <c r="BB2023" s="52" t="n">
        <v>0</v>
      </c>
      <c r="BC2023" s="51" t="n">
        <v>0</v>
      </c>
      <c r="BD2023" s="51" t="n">
        <v>0</v>
      </c>
      <c r="BE2023" s="51" t="n">
        <v>0</v>
      </c>
      <c r="BF2023" s="51" t="n">
        <v>0</v>
      </c>
    </row>
    <row r="2024">
      <c r="A2024">
        <f>HYPERLINK("https://www.walmart.com/ip/2268437068", "2268437068")</f>
        <v/>
      </c>
      <c r="B2024" t="inlineStr">
        <is>
          <t>Tirrinia Insulated Lunch Bag for Women and Men, Double-Layer Leak-Proof Reusable Lunch Box with 4 Pockets, Large, 17L, Dark Blue, 9.85" x 8.72" x 10.63"</t>
        </is>
      </c>
      <c r="C2024" t="inlineStr">
        <is>
          <t>1TRLB701DBL-D</t>
        </is>
      </c>
      <c r="D2024" t="inlineStr">
        <is>
          <t>Reusable Lunch Bags &amp; Boxes</t>
        </is>
      </c>
      <c r="E2024" t="inlineStr">
        <is>
          <t>Tirrinia</t>
        </is>
      </c>
      <c r="F2024" t="inlineStr">
        <is>
          <t>Q2-Target</t>
        </is>
      </c>
      <c r="G2024" s="48" t="n">
        <v>0</v>
      </c>
      <c r="H2024" s="48" t="n">
        <v>0</v>
      </c>
      <c r="I2024" s="48" t="n">
        <v>0</v>
      </c>
      <c r="J2024" s="48" t="n">
        <v>0</v>
      </c>
      <c r="K2024" s="49" t="n">
        <v>0</v>
      </c>
      <c r="L2024" s="49" t="n">
        <v>0</v>
      </c>
      <c r="M2024" s="49" t="n">
        <v>0</v>
      </c>
      <c r="N2024" s="49" t="n">
        <v>0</v>
      </c>
      <c r="O2024" s="49" t="n">
        <v>0</v>
      </c>
      <c r="P2024" s="49" t="n">
        <v>0</v>
      </c>
      <c r="Q2024" s="49" t="n">
        <v>0</v>
      </c>
      <c r="R2024" s="49" t="n">
        <v>0</v>
      </c>
      <c r="S2024" s="50" t="n">
        <v>0</v>
      </c>
      <c r="T2024" s="50" t="n">
        <v>0</v>
      </c>
      <c r="U2024" s="50" t="n">
        <v>0</v>
      </c>
      <c r="V2024" s="50" t="n">
        <v>0</v>
      </c>
      <c r="W2024" s="51" t="n">
        <v>0</v>
      </c>
      <c r="X2024" s="51" t="n">
        <v>0</v>
      </c>
      <c r="Y2024" s="51" t="n">
        <v>0</v>
      </c>
      <c r="Z2024" s="51" t="n">
        <v>0</v>
      </c>
      <c r="AA2024" s="52" t="n">
        <v>0</v>
      </c>
      <c r="AB2024" s="52" t="n">
        <v>0</v>
      </c>
      <c r="AC2024" s="52" t="n">
        <v>0</v>
      </c>
      <c r="AD2024" s="52" t="n">
        <v>0</v>
      </c>
      <c r="AE2024" s="52" t="n">
        <v>0</v>
      </c>
      <c r="AF2024" s="52" t="n">
        <v>0</v>
      </c>
      <c r="AG2024" s="52" t="n">
        <v>0</v>
      </c>
      <c r="AH2024" s="52" t="n">
        <v>0</v>
      </c>
      <c r="AI2024" s="52" t="n">
        <v>0</v>
      </c>
      <c r="AJ2024" s="52" t="n">
        <v>0</v>
      </c>
      <c r="AK2024" s="52" t="n">
        <v>0</v>
      </c>
      <c r="AL2024" s="52" t="n">
        <v>0</v>
      </c>
      <c r="AM2024" s="53" t="n">
        <v>0</v>
      </c>
      <c r="AN2024" s="53" t="n">
        <v>0</v>
      </c>
      <c r="AO2024" s="53" t="n">
        <v>0</v>
      </c>
      <c r="AP2024" s="53" t="n">
        <v>0</v>
      </c>
      <c r="AQ2024" s="52" t="n">
        <v>0</v>
      </c>
      <c r="AR2024" s="52" t="n">
        <v>0</v>
      </c>
      <c r="AS2024" s="52" t="n">
        <v>0</v>
      </c>
      <c r="AT2024" s="52" t="n">
        <v>0</v>
      </c>
      <c r="AU2024" s="53" t="n">
        <v>0</v>
      </c>
      <c r="AV2024" s="53" t="n">
        <v>0</v>
      </c>
      <c r="AW2024" s="53" t="n">
        <v>0</v>
      </c>
      <c r="AX2024" s="53" t="n">
        <v>0</v>
      </c>
      <c r="AY2024" s="52" t="n">
        <v>0</v>
      </c>
      <c r="AZ2024" s="52" t="n">
        <v>0</v>
      </c>
      <c r="BA2024" s="52" t="n">
        <v>0</v>
      </c>
      <c r="BB2024" s="52" t="n">
        <v>0</v>
      </c>
      <c r="BC2024" s="51" t="n">
        <v>0</v>
      </c>
      <c r="BD2024" s="51" t="n">
        <v>0</v>
      </c>
      <c r="BE2024" s="51" t="n">
        <v>0</v>
      </c>
      <c r="BF2024" s="51" t="n">
        <v>0</v>
      </c>
    </row>
    <row r="2025">
      <c r="A2025">
        <f>HYPERLINK("https://www.walmart.com/ip/228320712", "228320712")</f>
        <v/>
      </c>
      <c r="B2025" t="inlineStr">
        <is>
          <t>Flyingstar Insulated Lunch Bag, Reusable Tote Bag for Women &amp; Men &amp; Kids, Fashionable Large Cooler Lunch Bag for Working/School/Picnic</t>
        </is>
      </c>
      <c r="C2025" t="inlineStr">
        <is>
          <t>1WMLB703GYWV</t>
        </is>
      </c>
      <c r="D2025" t="inlineStr">
        <is>
          <t>Reusable Lunch Bags &amp; Boxes</t>
        </is>
      </c>
      <c r="E2025" t="inlineStr">
        <is>
          <t>Flyingstar</t>
        </is>
      </c>
      <c r="F2025" t="inlineStr">
        <is>
          <t>Lunch Bag,Optimized</t>
        </is>
      </c>
      <c r="G2025" s="48" t="n">
        <v>0</v>
      </c>
      <c r="H2025" s="48" t="n">
        <v>0</v>
      </c>
      <c r="I2025" s="48" t="n">
        <v>0</v>
      </c>
      <c r="J2025" s="48" t="n">
        <v>0</v>
      </c>
      <c r="K2025" s="49" t="n">
        <v>0</v>
      </c>
      <c r="L2025" s="49" t="n">
        <v>0</v>
      </c>
      <c r="M2025" s="49" t="n">
        <v>0</v>
      </c>
      <c r="N2025" s="49" t="n">
        <v>0</v>
      </c>
      <c r="O2025" s="49" t="n">
        <v>0</v>
      </c>
      <c r="P2025" s="49" t="n">
        <v>0</v>
      </c>
      <c r="Q2025" s="49" t="n">
        <v>0</v>
      </c>
      <c r="R2025" s="49" t="n">
        <v>0</v>
      </c>
      <c r="S2025" s="50" t="n">
        <v>0</v>
      </c>
      <c r="T2025" s="50" t="n">
        <v>0</v>
      </c>
      <c r="U2025" s="50" t="n">
        <v>0</v>
      </c>
      <c r="V2025" s="50" t="n">
        <v>0</v>
      </c>
      <c r="W2025" s="51" t="n">
        <v>0</v>
      </c>
      <c r="X2025" s="51" t="n">
        <v>0</v>
      </c>
      <c r="Y2025" s="51" t="n">
        <v>0</v>
      </c>
      <c r="Z2025" s="51" t="n">
        <v>0</v>
      </c>
      <c r="AA2025" s="52" t="n">
        <v>0</v>
      </c>
      <c r="AB2025" s="52" t="n">
        <v>0</v>
      </c>
      <c r="AC2025" s="52" t="n">
        <v>0</v>
      </c>
      <c r="AD2025" s="52" t="n">
        <v>0</v>
      </c>
      <c r="AE2025" s="52" t="n">
        <v>0</v>
      </c>
      <c r="AF2025" s="52" t="n">
        <v>0</v>
      </c>
      <c r="AG2025" s="52" t="n">
        <v>0</v>
      </c>
      <c r="AH2025" s="52" t="n">
        <v>0</v>
      </c>
      <c r="AI2025" s="52" t="n">
        <v>0</v>
      </c>
      <c r="AJ2025" s="52" t="n">
        <v>0</v>
      </c>
      <c r="AK2025" s="52" t="n">
        <v>0</v>
      </c>
      <c r="AL2025" s="52" t="n">
        <v>0</v>
      </c>
      <c r="AM2025" s="53" t="n">
        <v>0</v>
      </c>
      <c r="AN2025" s="53" t="n">
        <v>0</v>
      </c>
      <c r="AO2025" s="53" t="n">
        <v>0</v>
      </c>
      <c r="AP2025" s="53" t="n">
        <v>0</v>
      </c>
      <c r="AQ2025" s="52" t="n">
        <v>0</v>
      </c>
      <c r="AR2025" s="52" t="n">
        <v>0</v>
      </c>
      <c r="AS2025" s="52" t="n">
        <v>0</v>
      </c>
      <c r="AT2025" s="52" t="n">
        <v>0</v>
      </c>
      <c r="AU2025" s="53" t="n">
        <v>0</v>
      </c>
      <c r="AV2025" s="53" t="n">
        <v>0</v>
      </c>
      <c r="AW2025" s="53" t="n">
        <v>0</v>
      </c>
      <c r="AX2025" s="53" t="n">
        <v>0</v>
      </c>
      <c r="AY2025" s="52" t="n">
        <v>0</v>
      </c>
      <c r="AZ2025" s="52" t="n">
        <v>0</v>
      </c>
      <c r="BA2025" s="52" t="n">
        <v>0</v>
      </c>
      <c r="BB2025" s="52" t="n">
        <v>0</v>
      </c>
      <c r="BC2025" s="51" t="n">
        <v>0</v>
      </c>
      <c r="BD2025" s="51" t="n">
        <v>0</v>
      </c>
      <c r="BE2025" s="51" t="n">
        <v>0</v>
      </c>
      <c r="BF2025" s="51" t="n">
        <v>0</v>
      </c>
    </row>
    <row r="2026">
      <c r="A2026">
        <f>HYPERLINK("https://www.walmart.com/ip/2489473756", "2489473756")</f>
        <v/>
      </c>
      <c r="B2026" t="inlineStr">
        <is>
          <t>Catalonia Wearable Fleece Blanket with Sleeves and Foot Pockets for Adult Women Men, Micro Plush Comfy Wrap Sleeved Throw Blanket Robe Large, Grey Dog</t>
        </is>
      </c>
      <c r="C2026" t="inlineStr">
        <is>
          <t>1CTSN101GYDOG</t>
        </is>
      </c>
      <c r="D2026" t="inlineStr">
        <is>
          <t>Throws</t>
        </is>
      </c>
      <c r="E2026" t="inlineStr">
        <is>
          <t>Catalonia</t>
        </is>
      </c>
      <c r="F2026" t="inlineStr">
        <is>
          <t>Coupon_Discount,Fleece Blankets</t>
        </is>
      </c>
      <c r="G2026" s="48" t="n">
        <v>0</v>
      </c>
      <c r="H2026" s="48" t="n">
        <v>0</v>
      </c>
      <c r="I2026" s="48" t="n">
        <v>0</v>
      </c>
      <c r="J2026" s="48" t="n">
        <v>0</v>
      </c>
      <c r="K2026" s="49" t="n">
        <v>0</v>
      </c>
      <c r="L2026" s="49" t="n">
        <v>0</v>
      </c>
      <c r="M2026" s="49" t="n">
        <v>0</v>
      </c>
      <c r="N2026" s="49" t="n">
        <v>0</v>
      </c>
      <c r="O2026" s="49" t="n">
        <v>0</v>
      </c>
      <c r="P2026" s="49" t="n">
        <v>0</v>
      </c>
      <c r="Q2026" s="49" t="n">
        <v>0</v>
      </c>
      <c r="R2026" s="49" t="n">
        <v>0</v>
      </c>
      <c r="S2026" s="50" t="n">
        <v>0</v>
      </c>
      <c r="T2026" s="50" t="n">
        <v>0</v>
      </c>
      <c r="U2026" s="50" t="n">
        <v>0</v>
      </c>
      <c r="V2026" s="50" t="n">
        <v>0</v>
      </c>
      <c r="W2026" s="51" t="n">
        <v>0</v>
      </c>
      <c r="X2026" s="51" t="n">
        <v>0</v>
      </c>
      <c r="Y2026" s="51" t="n">
        <v>0</v>
      </c>
      <c r="Z2026" s="51" t="n">
        <v>0</v>
      </c>
      <c r="AA2026" s="52" t="n">
        <v>0</v>
      </c>
      <c r="AB2026" s="52" t="n">
        <v>0</v>
      </c>
      <c r="AC2026" s="52" t="n">
        <v>0</v>
      </c>
      <c r="AD2026" s="52" t="n">
        <v>0</v>
      </c>
      <c r="AE2026" s="52" t="n">
        <v>0</v>
      </c>
      <c r="AF2026" s="52" t="n">
        <v>0</v>
      </c>
      <c r="AG2026" s="52" t="n">
        <v>0</v>
      </c>
      <c r="AH2026" s="52" t="n">
        <v>0</v>
      </c>
      <c r="AI2026" s="52" t="n">
        <v>0</v>
      </c>
      <c r="AJ2026" s="52" t="n">
        <v>0</v>
      </c>
      <c r="AK2026" s="52" t="n">
        <v>0</v>
      </c>
      <c r="AL2026" s="52" t="n">
        <v>0</v>
      </c>
      <c r="AM2026" s="53" t="n">
        <v>0</v>
      </c>
      <c r="AN2026" s="53" t="n">
        <v>0</v>
      </c>
      <c r="AO2026" s="53" t="n">
        <v>0</v>
      </c>
      <c r="AP2026" s="53" t="n">
        <v>0</v>
      </c>
      <c r="AQ2026" s="52" t="n">
        <v>0</v>
      </c>
      <c r="AR2026" s="52" t="n">
        <v>0</v>
      </c>
      <c r="AS2026" s="52" t="n">
        <v>0</v>
      </c>
      <c r="AT2026" s="52" t="n">
        <v>0</v>
      </c>
      <c r="AU2026" s="53" t="n">
        <v>0</v>
      </c>
      <c r="AV2026" s="53" t="n">
        <v>0</v>
      </c>
      <c r="AW2026" s="53" t="n">
        <v>0</v>
      </c>
      <c r="AX2026" s="53" t="n">
        <v>0</v>
      </c>
      <c r="AY2026" s="52" t="n">
        <v>0</v>
      </c>
      <c r="AZ2026" s="52" t="n">
        <v>0</v>
      </c>
      <c r="BA2026" s="52" t="n">
        <v>0</v>
      </c>
      <c r="BB2026" s="52" t="n">
        <v>0</v>
      </c>
      <c r="BC2026" s="51" t="n">
        <v>0</v>
      </c>
      <c r="BD2026" s="51" t="n">
        <v>0</v>
      </c>
      <c r="BE2026" s="51" t="n">
        <v>0</v>
      </c>
      <c r="BF2026" s="51" t="n">
        <v>0</v>
      </c>
    </row>
    <row r="2027">
      <c r="A2027">
        <f>HYPERLINK("https://www.walmart.com/ip/2384789693", "2384789693")</f>
        <v/>
      </c>
      <c r="B2027" t="inlineStr">
        <is>
          <t>Kato Outdoors Waterproof Throw Blanket, Sherpa Fleece Stadium Windproof Mat For Traveling, Camping, Hiking, Football - Machine Washable, Camo/Black, 51"x 59".</t>
        </is>
      </c>
      <c r="C2027" t="inlineStr">
        <is>
          <t>1KTBW506CAMOBK</t>
        </is>
      </c>
      <c r="D2027" t="inlineStr">
        <is>
          <t>Throws</t>
        </is>
      </c>
      <c r="E2027" t="inlineStr">
        <is>
          <t>Kato</t>
        </is>
      </c>
      <c r="F2027" t="inlineStr">
        <is>
          <t>Q2-Target</t>
        </is>
      </c>
      <c r="G2027" s="48" t="n">
        <v>0</v>
      </c>
      <c r="H2027" s="48" t="n">
        <v>0</v>
      </c>
      <c r="I2027" s="48" t="n">
        <v>0</v>
      </c>
      <c r="J2027" s="48" t="n">
        <v>0</v>
      </c>
      <c r="K2027" s="49" t="n">
        <v>0</v>
      </c>
      <c r="L2027" s="49" t="n">
        <v>0</v>
      </c>
      <c r="M2027" s="49" t="n">
        <v>0</v>
      </c>
      <c r="N2027" s="49" t="n">
        <v>0</v>
      </c>
      <c r="O2027" s="49" t="n">
        <v>0</v>
      </c>
      <c r="P2027" s="49" t="n">
        <v>0</v>
      </c>
      <c r="Q2027" s="49" t="n">
        <v>0</v>
      </c>
      <c r="R2027" s="49" t="n">
        <v>0</v>
      </c>
      <c r="S2027" s="50" t="n">
        <v>0</v>
      </c>
      <c r="T2027" s="50" t="n">
        <v>0</v>
      </c>
      <c r="U2027" s="50" t="n">
        <v>0</v>
      </c>
      <c r="V2027" s="50" t="n">
        <v>0</v>
      </c>
      <c r="W2027" s="51" t="n">
        <v>0</v>
      </c>
      <c r="X2027" s="51" t="n">
        <v>0</v>
      </c>
      <c r="Y2027" s="51" t="n">
        <v>0</v>
      </c>
      <c r="Z2027" s="51" t="n">
        <v>0</v>
      </c>
      <c r="AA2027" s="52" t="n">
        <v>0</v>
      </c>
      <c r="AB2027" s="52" t="n">
        <v>0</v>
      </c>
      <c r="AC2027" s="52" t="n">
        <v>0</v>
      </c>
      <c r="AD2027" s="52" t="n">
        <v>0</v>
      </c>
      <c r="AE2027" s="52" t="n">
        <v>0</v>
      </c>
      <c r="AF2027" s="52" t="n">
        <v>0</v>
      </c>
      <c r="AG2027" s="52" t="n">
        <v>0</v>
      </c>
      <c r="AH2027" s="52" t="n">
        <v>0</v>
      </c>
      <c r="AI2027" s="52" t="n">
        <v>0</v>
      </c>
      <c r="AJ2027" s="52" t="n">
        <v>0</v>
      </c>
      <c r="AK2027" s="52" t="n">
        <v>0</v>
      </c>
      <c r="AL2027" s="52" t="n">
        <v>0</v>
      </c>
      <c r="AM2027" s="53" t="n">
        <v>0</v>
      </c>
      <c r="AN2027" s="53" t="n">
        <v>0</v>
      </c>
      <c r="AO2027" s="53" t="n">
        <v>0</v>
      </c>
      <c r="AP2027" s="53" t="n">
        <v>0</v>
      </c>
      <c r="AQ2027" s="52" t="n">
        <v>0</v>
      </c>
      <c r="AR2027" s="52" t="n">
        <v>0</v>
      </c>
      <c r="AS2027" s="52" t="n">
        <v>0</v>
      </c>
      <c r="AT2027" s="52" t="n">
        <v>0</v>
      </c>
      <c r="AU2027" s="53" t="n">
        <v>0</v>
      </c>
      <c r="AV2027" s="53" t="n">
        <v>0</v>
      </c>
      <c r="AW2027" s="53" t="n">
        <v>0</v>
      </c>
      <c r="AX2027" s="53" t="n">
        <v>0</v>
      </c>
      <c r="AY2027" s="52" t="n">
        <v>0</v>
      </c>
      <c r="AZ2027" s="52" t="n">
        <v>0</v>
      </c>
      <c r="BA2027" s="52" t="n">
        <v>0</v>
      </c>
      <c r="BB2027" s="52" t="n">
        <v>0</v>
      </c>
      <c r="BC2027" s="51" t="n">
        <v>82</v>
      </c>
      <c r="BD2027" s="51" t="n">
        <v>110</v>
      </c>
      <c r="BE2027" s="51" t="n">
        <v>0</v>
      </c>
      <c r="BF2027" s="51" t="n">
        <v>38</v>
      </c>
    </row>
    <row r="2028">
      <c r="A2028">
        <f>HYPERLINK("https://www.walmart.com/ip/238905338", "238905338")</f>
        <v/>
      </c>
      <c r="B2028" t="inlineStr">
        <is>
          <t>Terra Baby Diaper Bag Backpack Large with Waterproof Stroller Straps and Zipper Pockets, Black</t>
        </is>
      </c>
      <c r="C2028" t="inlineStr">
        <is>
          <t>TERRABB-BP02-BK</t>
        </is>
      </c>
      <c r="D2028" t="inlineStr">
        <is>
          <t>Diaper Bags</t>
        </is>
      </c>
      <c r="E2028" t="inlineStr">
        <is>
          <t>Terra Baby</t>
        </is>
      </c>
      <c r="F2028" t="inlineStr">
        <is>
          <t>Baby days,WFS,SEM</t>
        </is>
      </c>
      <c r="G2028" s="48" t="n">
        <v>0</v>
      </c>
      <c r="H2028" s="48" t="n">
        <v>0</v>
      </c>
      <c r="I2028" s="48" t="n">
        <v>0</v>
      </c>
      <c r="J2028" s="48" t="n">
        <v>0</v>
      </c>
      <c r="K2028" s="49" t="n">
        <v>0</v>
      </c>
      <c r="L2028" s="49" t="n">
        <v>0</v>
      </c>
      <c r="M2028" s="49" t="n">
        <v>0</v>
      </c>
      <c r="N2028" s="49" t="n">
        <v>0</v>
      </c>
      <c r="O2028" s="49" t="n">
        <v>0</v>
      </c>
      <c r="P2028" s="49" t="n">
        <v>0</v>
      </c>
      <c r="Q2028" s="49" t="n">
        <v>0</v>
      </c>
      <c r="R2028" s="49" t="n">
        <v>0</v>
      </c>
      <c r="S2028" s="50" t="n">
        <v>0</v>
      </c>
      <c r="T2028" s="50" t="n">
        <v>0</v>
      </c>
      <c r="U2028" s="50" t="n">
        <v>0</v>
      </c>
      <c r="V2028" s="50" t="n">
        <v>0</v>
      </c>
      <c r="W2028" s="51" t="n">
        <v>0</v>
      </c>
      <c r="X2028" s="51" t="n">
        <v>0</v>
      </c>
      <c r="Y2028" s="51" t="n">
        <v>0</v>
      </c>
      <c r="Z2028" s="51" t="n">
        <v>0</v>
      </c>
      <c r="AA2028" s="52" t="n">
        <v>0</v>
      </c>
      <c r="AB2028" s="52" t="n">
        <v>0</v>
      </c>
      <c r="AC2028" s="52" t="n">
        <v>0</v>
      </c>
      <c r="AD2028" s="52" t="n">
        <v>0</v>
      </c>
      <c r="AE2028" s="52" t="n">
        <v>0</v>
      </c>
      <c r="AF2028" s="52" t="n">
        <v>0</v>
      </c>
      <c r="AG2028" s="52" t="n">
        <v>0</v>
      </c>
      <c r="AH2028" s="52" t="n">
        <v>0</v>
      </c>
      <c r="AI2028" s="52" t="n">
        <v>0</v>
      </c>
      <c r="AJ2028" s="52" t="n">
        <v>0</v>
      </c>
      <c r="AK2028" s="52" t="n">
        <v>0</v>
      </c>
      <c r="AL2028" s="52" t="n">
        <v>0</v>
      </c>
      <c r="AM2028" s="53" t="n">
        <v>0</v>
      </c>
      <c r="AN2028" s="53" t="n">
        <v>0</v>
      </c>
      <c r="AO2028" s="53" t="n">
        <v>0</v>
      </c>
      <c r="AP2028" s="53" t="n">
        <v>0</v>
      </c>
      <c r="AQ2028" s="52" t="n">
        <v>0</v>
      </c>
      <c r="AR2028" s="52" t="n">
        <v>0</v>
      </c>
      <c r="AS2028" s="52" t="n">
        <v>0</v>
      </c>
      <c r="AT2028" s="52" t="n">
        <v>0</v>
      </c>
      <c r="AU2028" s="53" t="n">
        <v>0</v>
      </c>
      <c r="AV2028" s="53" t="n">
        <v>0</v>
      </c>
      <c r="AW2028" s="53" t="n">
        <v>0</v>
      </c>
      <c r="AX2028" s="53" t="n">
        <v>0</v>
      </c>
      <c r="AY2028" s="52" t="n">
        <v>0</v>
      </c>
      <c r="AZ2028" s="52" t="n">
        <v>0</v>
      </c>
      <c r="BA2028" s="52" t="n">
        <v>0</v>
      </c>
      <c r="BB2028" s="52" t="n">
        <v>0</v>
      </c>
      <c r="BC2028" s="51" t="n">
        <v>0</v>
      </c>
      <c r="BD2028" s="51" t="n">
        <v>0</v>
      </c>
      <c r="BE2028" s="51" t="n">
        <v>0</v>
      </c>
      <c r="BF2028" s="51" t="n">
        <v>0</v>
      </c>
    </row>
    <row r="2029">
      <c r="A2029">
        <f>HYPERLINK("https://www.walmart.com/ip/239180236", "239180236")</f>
        <v/>
      </c>
      <c r="B2029" t="inlineStr">
        <is>
          <t>Knit Beanie Hat for Women,  Faux Fuzzy Pom Pom Winter Ski Skullies Cap</t>
        </is>
      </c>
      <c r="C2029" t="inlineStr">
        <is>
          <t>1SLPPH03PK</t>
        </is>
      </c>
      <c r="D2029" t="inlineStr">
        <is>
          <t>Hats</t>
        </is>
      </c>
      <c r="E2029" t="inlineStr">
        <is>
          <t>Solaris</t>
        </is>
      </c>
      <c r="F2029" t="inlineStr">
        <is>
          <t>Batch 1 - TR</t>
        </is>
      </c>
      <c r="G2029" s="48" t="n">
        <v>0</v>
      </c>
      <c r="H2029" s="48" t="n">
        <v>0</v>
      </c>
      <c r="I2029" s="48" t="n">
        <v>0</v>
      </c>
      <c r="J2029" s="48" t="n">
        <v>0</v>
      </c>
      <c r="K2029" s="49" t="n">
        <v>0</v>
      </c>
      <c r="L2029" s="49" t="n">
        <v>0</v>
      </c>
      <c r="M2029" s="49" t="n">
        <v>0</v>
      </c>
      <c r="N2029" s="49" t="n">
        <v>0</v>
      </c>
      <c r="O2029" s="49" t="n">
        <v>0</v>
      </c>
      <c r="P2029" s="49" t="n">
        <v>0</v>
      </c>
      <c r="Q2029" s="49" t="n">
        <v>0</v>
      </c>
      <c r="R2029" s="49" t="n">
        <v>0</v>
      </c>
      <c r="S2029" s="50" t="n">
        <v>0</v>
      </c>
      <c r="T2029" s="50" t="n">
        <v>0</v>
      </c>
      <c r="U2029" s="50" t="n">
        <v>0</v>
      </c>
      <c r="V2029" s="50" t="n">
        <v>0</v>
      </c>
      <c r="W2029" s="51" t="n">
        <v>0</v>
      </c>
      <c r="X2029" s="51" t="n">
        <v>0</v>
      </c>
      <c r="Y2029" s="51" t="n">
        <v>0</v>
      </c>
      <c r="Z2029" s="51" t="n">
        <v>0</v>
      </c>
      <c r="AA2029" s="52" t="n">
        <v>0</v>
      </c>
      <c r="AB2029" s="52" t="n">
        <v>0</v>
      </c>
      <c r="AC2029" s="52" t="n">
        <v>0</v>
      </c>
      <c r="AD2029" s="52" t="n">
        <v>0</v>
      </c>
      <c r="AE2029" s="52" t="n">
        <v>0</v>
      </c>
      <c r="AF2029" s="52" t="n">
        <v>0</v>
      </c>
      <c r="AG2029" s="52" t="n">
        <v>0</v>
      </c>
      <c r="AH2029" s="52" t="n">
        <v>0</v>
      </c>
      <c r="AI2029" s="52" t="n">
        <v>0</v>
      </c>
      <c r="AJ2029" s="52" t="n">
        <v>0</v>
      </c>
      <c r="AK2029" s="52" t="n">
        <v>0</v>
      </c>
      <c r="AL2029" s="52" t="n">
        <v>0</v>
      </c>
      <c r="AM2029" s="53" t="n">
        <v>0</v>
      </c>
      <c r="AN2029" s="53" t="n">
        <v>0</v>
      </c>
      <c r="AO2029" s="53" t="n">
        <v>0</v>
      </c>
      <c r="AP2029" s="53" t="n">
        <v>0</v>
      </c>
      <c r="AQ2029" s="52" t="n">
        <v>0</v>
      </c>
      <c r="AR2029" s="52" t="n">
        <v>0</v>
      </c>
      <c r="AS2029" s="52" t="n">
        <v>0</v>
      </c>
      <c r="AT2029" s="52" t="n">
        <v>0</v>
      </c>
      <c r="AU2029" s="53" t="n">
        <v>0</v>
      </c>
      <c r="AV2029" s="53" t="n">
        <v>0</v>
      </c>
      <c r="AW2029" s="53" t="n">
        <v>0</v>
      </c>
      <c r="AX2029" s="53" t="n">
        <v>0</v>
      </c>
      <c r="AY2029" s="52" t="n">
        <v>0</v>
      </c>
      <c r="AZ2029" s="52" t="n">
        <v>0</v>
      </c>
      <c r="BA2029" s="52" t="n">
        <v>0</v>
      </c>
      <c r="BB2029" s="52" t="n">
        <v>0</v>
      </c>
      <c r="BC2029" s="51" t="n">
        <v>0</v>
      </c>
      <c r="BD2029" s="51" t="n">
        <v>0</v>
      </c>
      <c r="BE2029" s="51" t="n">
        <v>0</v>
      </c>
      <c r="BF2029" s="51" t="n">
        <v>0</v>
      </c>
    </row>
    <row r="2030">
      <c r="A2030">
        <f>HYPERLINK("https://www.walmart.com/ip/240056839", "240056839")</f>
        <v/>
      </c>
      <c r="B2030" t="inlineStr">
        <is>
          <t>Kritter Planet Waterproof Dog Blanket for Couch, Washable Pet Couch Cover, Non-slip Bed Sofa Furniture Protector Mat, Navy, 30''x50''.</t>
        </is>
      </c>
      <c r="C2030" t="inlineStr">
        <is>
          <t>1KPBW356NY</t>
        </is>
      </c>
      <c r="D2030" t="inlineStr">
        <is>
          <t>Pet Blankets</t>
        </is>
      </c>
      <c r="E2030" t="inlineStr">
        <is>
          <t>Kritter Planet</t>
        </is>
      </c>
      <c r="F2030" t="inlineStr">
        <is>
          <t>Optimized</t>
        </is>
      </c>
      <c r="G2030" s="48" t="n">
        <v>0</v>
      </c>
      <c r="H2030" s="48" t="n">
        <v>0</v>
      </c>
      <c r="I2030" s="48" t="n">
        <v>0</v>
      </c>
      <c r="J2030" s="48" t="n">
        <v>0</v>
      </c>
      <c r="K2030" s="49" t="n">
        <v>0</v>
      </c>
      <c r="L2030" s="49" t="n">
        <v>0</v>
      </c>
      <c r="M2030" s="49" t="n">
        <v>0</v>
      </c>
      <c r="N2030" s="49" t="n">
        <v>0</v>
      </c>
      <c r="O2030" s="49" t="n">
        <v>0</v>
      </c>
      <c r="P2030" s="49" t="n">
        <v>0</v>
      </c>
      <c r="Q2030" s="49" t="n">
        <v>0</v>
      </c>
      <c r="R2030" s="49" t="n">
        <v>0</v>
      </c>
      <c r="S2030" s="50" t="n">
        <v>0</v>
      </c>
      <c r="T2030" s="50" t="n">
        <v>0</v>
      </c>
      <c r="U2030" s="50" t="n">
        <v>0</v>
      </c>
      <c r="V2030" s="50" t="n">
        <v>0</v>
      </c>
      <c r="W2030" s="51" t="n">
        <v>0</v>
      </c>
      <c r="X2030" s="51" t="n">
        <v>0</v>
      </c>
      <c r="Y2030" s="51" t="n">
        <v>0</v>
      </c>
      <c r="Z2030" s="51" t="n">
        <v>0</v>
      </c>
      <c r="AA2030" s="52" t="n">
        <v>0</v>
      </c>
      <c r="AB2030" s="52" t="n">
        <v>0</v>
      </c>
      <c r="AC2030" s="52" t="n">
        <v>0</v>
      </c>
      <c r="AD2030" s="52" t="n">
        <v>0</v>
      </c>
      <c r="AE2030" s="52" t="n">
        <v>0</v>
      </c>
      <c r="AF2030" s="52" t="n">
        <v>0</v>
      </c>
      <c r="AG2030" s="52" t="n">
        <v>0</v>
      </c>
      <c r="AH2030" s="52" t="n">
        <v>0</v>
      </c>
      <c r="AI2030" s="52" t="n">
        <v>0</v>
      </c>
      <c r="AJ2030" s="52" t="n">
        <v>0</v>
      </c>
      <c r="AK2030" s="52" t="n">
        <v>0</v>
      </c>
      <c r="AL2030" s="52" t="n">
        <v>0</v>
      </c>
      <c r="AM2030" s="53" t="n">
        <v>0</v>
      </c>
      <c r="AN2030" s="53" t="n">
        <v>0</v>
      </c>
      <c r="AO2030" s="53" t="n">
        <v>0</v>
      </c>
      <c r="AP2030" s="53" t="n">
        <v>0</v>
      </c>
      <c r="AQ2030" s="52" t="n">
        <v>0</v>
      </c>
      <c r="AR2030" s="52" t="n">
        <v>0</v>
      </c>
      <c r="AS2030" s="52" t="n">
        <v>0</v>
      </c>
      <c r="AT2030" s="52" t="n">
        <v>0</v>
      </c>
      <c r="AU2030" s="53" t="n">
        <v>0</v>
      </c>
      <c r="AV2030" s="53" t="n">
        <v>0</v>
      </c>
      <c r="AW2030" s="53" t="n">
        <v>0</v>
      </c>
      <c r="AX2030" s="53" t="n">
        <v>0</v>
      </c>
      <c r="AY2030" s="52" t="n">
        <v>0</v>
      </c>
      <c r="AZ2030" s="52" t="n">
        <v>0</v>
      </c>
      <c r="BA2030" s="52" t="n">
        <v>0</v>
      </c>
      <c r="BB2030" s="52" t="n">
        <v>0</v>
      </c>
      <c r="BC2030" s="51" t="n">
        <v>0</v>
      </c>
      <c r="BD2030" s="51" t="n">
        <v>0</v>
      </c>
      <c r="BE2030" s="51" t="n">
        <v>0</v>
      </c>
      <c r="BF2030" s="51" t="n">
        <v>0</v>
      </c>
    </row>
    <row r="2031">
      <c r="A2031">
        <f>HYPERLINK("https://www.walmart.com/ip/2405680451", "2405680451")</f>
        <v/>
      </c>
      <c r="B2031" t="inlineStr">
        <is>
          <t>Dickies Kids Insulated Lunch Bag for School, Thermal Reusable Lunch Box for Kids, Boys, Girls - 8 Years Old and Up (Pink)</t>
        </is>
      </c>
      <c r="C2031" t="inlineStr">
        <is>
          <t>DK-LUNCH-KIDS-BROWNDUCK</t>
        </is>
      </c>
      <c r="D2031" t="inlineStr">
        <is>
          <t>Reusable Lunch Bags &amp; Boxes</t>
        </is>
      </c>
      <c r="E2031" t="inlineStr">
        <is>
          <t>Dickies</t>
        </is>
      </c>
      <c r="G2031" s="48" t="n">
        <v>0</v>
      </c>
      <c r="H2031" s="48" t="n">
        <v>0</v>
      </c>
      <c r="I2031" s="48" t="n">
        <v>0</v>
      </c>
      <c r="J2031" s="48" t="n">
        <v>0</v>
      </c>
      <c r="K2031" s="49" t="n">
        <v>0</v>
      </c>
      <c r="L2031" s="49" t="n">
        <v>0</v>
      </c>
      <c r="M2031" s="49" t="n">
        <v>0</v>
      </c>
      <c r="N2031" s="49" t="n">
        <v>0</v>
      </c>
      <c r="O2031" s="49" t="n">
        <v>0</v>
      </c>
      <c r="P2031" s="49" t="n">
        <v>0</v>
      </c>
      <c r="Q2031" s="49" t="n">
        <v>0</v>
      </c>
      <c r="R2031" s="49" t="n">
        <v>0</v>
      </c>
      <c r="S2031" s="50" t="n">
        <v>0</v>
      </c>
      <c r="T2031" s="50" t="n">
        <v>0</v>
      </c>
      <c r="U2031" s="50" t="n">
        <v>0</v>
      </c>
      <c r="V2031" s="50" t="n">
        <v>0</v>
      </c>
      <c r="W2031" s="51" t="n">
        <v>0</v>
      </c>
      <c r="X2031" s="51" t="n">
        <v>0</v>
      </c>
      <c r="Y2031" s="51" t="n">
        <v>0</v>
      </c>
      <c r="Z2031" s="51" t="n">
        <v>0</v>
      </c>
      <c r="AA2031" s="52" t="n">
        <v>0</v>
      </c>
      <c r="AB2031" s="52" t="n">
        <v>0</v>
      </c>
      <c r="AC2031" s="52" t="n">
        <v>0</v>
      </c>
      <c r="AD2031" s="52" t="n">
        <v>0</v>
      </c>
      <c r="AE2031" s="52" t="n">
        <v>0</v>
      </c>
      <c r="AF2031" s="52" t="n">
        <v>0</v>
      </c>
      <c r="AG2031" s="52" t="n">
        <v>0</v>
      </c>
      <c r="AH2031" s="52" t="n">
        <v>0</v>
      </c>
      <c r="AI2031" s="52" t="n">
        <v>0</v>
      </c>
      <c r="AJ2031" s="52" t="n">
        <v>0</v>
      </c>
      <c r="AK2031" s="52" t="n">
        <v>0</v>
      </c>
      <c r="AL2031" s="52" t="n">
        <v>0</v>
      </c>
      <c r="AM2031" s="53" t="n">
        <v>0</v>
      </c>
      <c r="AN2031" s="53" t="n">
        <v>0</v>
      </c>
      <c r="AO2031" s="53" t="n">
        <v>0</v>
      </c>
      <c r="AP2031" s="53" t="n">
        <v>0</v>
      </c>
      <c r="AQ2031" s="52" t="n">
        <v>0</v>
      </c>
      <c r="AR2031" s="52" t="n">
        <v>0</v>
      </c>
      <c r="AS2031" s="52" t="n">
        <v>0</v>
      </c>
      <c r="AT2031" s="52" t="n">
        <v>0</v>
      </c>
      <c r="AU2031" s="53" t="n">
        <v>0</v>
      </c>
      <c r="AV2031" s="53" t="n">
        <v>0</v>
      </c>
      <c r="AW2031" s="53" t="n">
        <v>0</v>
      </c>
      <c r="AX2031" s="53" t="n">
        <v>0</v>
      </c>
      <c r="AY2031" s="52" t="n">
        <v>0</v>
      </c>
      <c r="AZ2031" s="52" t="n">
        <v>0</v>
      </c>
      <c r="BA2031" s="52" t="n">
        <v>0</v>
      </c>
      <c r="BB2031" s="52" t="n">
        <v>0</v>
      </c>
      <c r="BC2031" s="51" t="n">
        <v>0</v>
      </c>
      <c r="BD2031" s="51" t="n">
        <v>0</v>
      </c>
      <c r="BE2031" s="51" t="n">
        <v>0</v>
      </c>
      <c r="BF2031" s="51" t="n">
        <v>0</v>
      </c>
    </row>
    <row r="2032">
      <c r="A2032">
        <f>HYPERLINK("https://www.walmart.com/ip/240851800", "240851800")</f>
        <v/>
      </c>
      <c r="B2032" t="inlineStr">
        <is>
          <t>Catalonia Black Sherpa Hooded Winter Coats for Women, Super Soft Comfy Foxy Plush Reversible Casual, Jackets for Women, Black</t>
        </is>
      </c>
      <c r="C2032" t="inlineStr">
        <is>
          <t>1CTJK200BK</t>
        </is>
      </c>
      <c r="D2032" t="inlineStr">
        <is>
          <t>Sweatshirts &amp; Hoodies</t>
        </is>
      </c>
      <c r="E2032" t="inlineStr">
        <is>
          <t>Catalonia</t>
        </is>
      </c>
      <c r="F2032" t="inlineStr">
        <is>
          <t>Jacket ForAdult,Optimized,WFS,Coupon_Discount,WFS Item</t>
        </is>
      </c>
      <c r="G2032" s="48" t="n">
        <v>0</v>
      </c>
      <c r="H2032" s="48" t="n">
        <v>0</v>
      </c>
      <c r="I2032" s="48" t="n">
        <v>0</v>
      </c>
      <c r="J2032" s="48" t="n">
        <v>0</v>
      </c>
      <c r="K2032" s="49" t="n">
        <v>0</v>
      </c>
      <c r="L2032" s="49" t="n">
        <v>0</v>
      </c>
      <c r="M2032" s="49" t="n">
        <v>0</v>
      </c>
      <c r="N2032" s="49" t="n">
        <v>0</v>
      </c>
      <c r="O2032" s="49" t="n">
        <v>0</v>
      </c>
      <c r="P2032" s="49" t="n">
        <v>0</v>
      </c>
      <c r="Q2032" s="49" t="n">
        <v>0</v>
      </c>
      <c r="R2032" s="49" t="n">
        <v>0</v>
      </c>
      <c r="S2032" s="50" t="n">
        <v>0</v>
      </c>
      <c r="T2032" s="50" t="n">
        <v>0</v>
      </c>
      <c r="U2032" s="50" t="n">
        <v>0</v>
      </c>
      <c r="V2032" s="50" t="n">
        <v>0</v>
      </c>
      <c r="W2032" s="51" t="n">
        <v>0</v>
      </c>
      <c r="X2032" s="51" t="n">
        <v>0</v>
      </c>
      <c r="Y2032" s="51" t="n">
        <v>0</v>
      </c>
      <c r="Z2032" s="51" t="n">
        <v>0</v>
      </c>
      <c r="AA2032" s="52" t="n">
        <v>0</v>
      </c>
      <c r="AB2032" s="52" t="n">
        <v>0</v>
      </c>
      <c r="AC2032" s="52" t="n">
        <v>0</v>
      </c>
      <c r="AD2032" s="52" t="n">
        <v>0</v>
      </c>
      <c r="AE2032" s="52" t="n">
        <v>0</v>
      </c>
      <c r="AF2032" s="52" t="n">
        <v>0</v>
      </c>
      <c r="AG2032" s="52" t="n">
        <v>0</v>
      </c>
      <c r="AH2032" s="52" t="n">
        <v>0</v>
      </c>
      <c r="AI2032" s="52" t="n">
        <v>0</v>
      </c>
      <c r="AJ2032" s="52" t="n">
        <v>0</v>
      </c>
      <c r="AK2032" s="52" t="n">
        <v>0</v>
      </c>
      <c r="AL2032" s="52" t="n">
        <v>0</v>
      </c>
      <c r="AM2032" s="53" t="n">
        <v>0</v>
      </c>
      <c r="AN2032" s="53" t="n">
        <v>0</v>
      </c>
      <c r="AO2032" s="53" t="n">
        <v>0</v>
      </c>
      <c r="AP2032" s="53" t="n">
        <v>0</v>
      </c>
      <c r="AQ2032" s="52" t="n">
        <v>0</v>
      </c>
      <c r="AR2032" s="52" t="n">
        <v>0</v>
      </c>
      <c r="AS2032" s="52" t="n">
        <v>0</v>
      </c>
      <c r="AT2032" s="52" t="n">
        <v>0</v>
      </c>
      <c r="AU2032" s="53" t="n">
        <v>0</v>
      </c>
      <c r="AV2032" s="53" t="n">
        <v>0</v>
      </c>
      <c r="AW2032" s="53" t="n">
        <v>0</v>
      </c>
      <c r="AX2032" s="53" t="n">
        <v>0</v>
      </c>
      <c r="AY2032" s="52" t="n">
        <v>0</v>
      </c>
      <c r="AZ2032" s="52" t="n">
        <v>0</v>
      </c>
      <c r="BA2032" s="52" t="n">
        <v>0</v>
      </c>
      <c r="BB2032" s="52" t="n">
        <v>0</v>
      </c>
      <c r="BC2032" s="51" t="n">
        <v>0</v>
      </c>
      <c r="BD2032" s="51" t="n">
        <v>0</v>
      </c>
      <c r="BE2032" s="51" t="n">
        <v>0</v>
      </c>
      <c r="BF2032" s="51" t="n">
        <v>0</v>
      </c>
    </row>
    <row r="2033">
      <c r="A2033">
        <f>HYPERLINK("https://www.walmart.com/ip/240881905", "240881905")</f>
        <v/>
      </c>
      <c r="B2033" t="inlineStr">
        <is>
          <t>Insulated Lunch Box for Women Men, Leakproof Thermal Reusable Lunch Bag with 2 Zipper Pockets for Adult &amp; Kids, Lunch Bag Cooler Tote for Office Work</t>
        </is>
      </c>
      <c r="C2033" t="inlineStr">
        <is>
          <t>1WMLB705GNOR</t>
        </is>
      </c>
      <c r="D2033" t="inlineStr">
        <is>
          <t>Reusable Lunch Bags &amp; Boxes</t>
        </is>
      </c>
      <c r="E2033" t="inlineStr">
        <is>
          <t>Flyingstar</t>
        </is>
      </c>
      <c r="F2033" t="inlineStr">
        <is>
          <t>Q2-Target,Lunch Bag</t>
        </is>
      </c>
      <c r="G2033" s="48" t="n">
        <v>0</v>
      </c>
      <c r="H2033" s="48" t="n">
        <v>0</v>
      </c>
      <c r="I2033" s="48" t="n">
        <v>0</v>
      </c>
      <c r="J2033" s="48" t="n">
        <v>0</v>
      </c>
      <c r="K2033" s="49" t="n">
        <v>0</v>
      </c>
      <c r="L2033" s="49" t="n">
        <v>0</v>
      </c>
      <c r="M2033" s="49" t="n">
        <v>0</v>
      </c>
      <c r="N2033" s="49" t="n">
        <v>0</v>
      </c>
      <c r="O2033" s="49" t="n">
        <v>0</v>
      </c>
      <c r="P2033" s="49" t="n">
        <v>0</v>
      </c>
      <c r="Q2033" s="49" t="n">
        <v>0</v>
      </c>
      <c r="R2033" s="49" t="n">
        <v>0</v>
      </c>
      <c r="S2033" s="50" t="n">
        <v>0</v>
      </c>
      <c r="T2033" s="50" t="n">
        <v>0</v>
      </c>
      <c r="U2033" s="50" t="n">
        <v>0</v>
      </c>
      <c r="V2033" s="50" t="n">
        <v>0</v>
      </c>
      <c r="W2033" s="51" t="n">
        <v>0</v>
      </c>
      <c r="X2033" s="51" t="n">
        <v>0</v>
      </c>
      <c r="Y2033" s="51" t="n">
        <v>0</v>
      </c>
      <c r="Z2033" s="51" t="n">
        <v>0</v>
      </c>
      <c r="AA2033" s="52" t="n">
        <v>0</v>
      </c>
      <c r="AB2033" s="52" t="n">
        <v>0</v>
      </c>
      <c r="AC2033" s="52" t="n">
        <v>0</v>
      </c>
      <c r="AD2033" s="52" t="n">
        <v>0</v>
      </c>
      <c r="AE2033" s="52" t="n">
        <v>0</v>
      </c>
      <c r="AF2033" s="52" t="n">
        <v>0</v>
      </c>
      <c r="AG2033" s="52" t="n">
        <v>0</v>
      </c>
      <c r="AH2033" s="52" t="n">
        <v>0</v>
      </c>
      <c r="AI2033" s="52" t="n">
        <v>0</v>
      </c>
      <c r="AJ2033" s="52" t="n">
        <v>0</v>
      </c>
      <c r="AK2033" s="52" t="n">
        <v>0</v>
      </c>
      <c r="AL2033" s="52" t="n">
        <v>0</v>
      </c>
      <c r="AM2033" s="53" t="n">
        <v>0</v>
      </c>
      <c r="AN2033" s="53" t="n">
        <v>0</v>
      </c>
      <c r="AO2033" s="53" t="n">
        <v>0</v>
      </c>
      <c r="AP2033" s="53" t="n">
        <v>0</v>
      </c>
      <c r="AQ2033" s="52" t="n">
        <v>0</v>
      </c>
      <c r="AR2033" s="52" t="n">
        <v>0</v>
      </c>
      <c r="AS2033" s="52" t="n">
        <v>0</v>
      </c>
      <c r="AT2033" s="52" t="n">
        <v>0</v>
      </c>
      <c r="AU2033" s="53" t="n">
        <v>0</v>
      </c>
      <c r="AV2033" s="53" t="n">
        <v>0</v>
      </c>
      <c r="AW2033" s="53" t="n">
        <v>0</v>
      </c>
      <c r="AX2033" s="53" t="n">
        <v>0</v>
      </c>
      <c r="AY2033" s="52" t="n">
        <v>0</v>
      </c>
      <c r="AZ2033" s="52" t="n">
        <v>0</v>
      </c>
      <c r="BA2033" s="52" t="n">
        <v>0</v>
      </c>
      <c r="BB2033" s="52" t="n">
        <v>0</v>
      </c>
      <c r="BC2033" s="51" t="n">
        <v>0</v>
      </c>
      <c r="BD2033" s="51" t="n">
        <v>0</v>
      </c>
      <c r="BE2033" s="51" t="n">
        <v>0</v>
      </c>
      <c r="BF2033" s="51" t="n">
        <v>0</v>
      </c>
    </row>
    <row r="2034">
      <c r="A2034">
        <f>HYPERLINK("https://www.walmart.com/ip/241203499", "241203499")</f>
        <v/>
      </c>
      <c r="B2034" t="inlineStr">
        <is>
          <t>TubKeeper Drain Hair Catcher with Stopper, 3-in-1 Durable Tub Drain Protector Hair Drain Clog Prevention for Bathtub, Silver, 2 Pack</t>
        </is>
      </c>
      <c r="C2034" t="inlineStr">
        <is>
          <t>1TKHC100SL-2PK</t>
        </is>
      </c>
      <c r="D2034" t="inlineStr">
        <is>
          <t>Drain Catches</t>
        </is>
      </c>
      <c r="E2034" t="inlineStr">
        <is>
          <t>TubKeeper</t>
        </is>
      </c>
      <c r="F2034" t="inlineStr">
        <is>
          <t>Batch 1 - TR</t>
        </is>
      </c>
      <c r="G2034" s="48" t="n">
        <v>0</v>
      </c>
      <c r="H2034" s="48" t="n">
        <v>0</v>
      </c>
      <c r="I2034" s="48" t="n">
        <v>0</v>
      </c>
      <c r="J2034" s="48" t="n">
        <v>0</v>
      </c>
      <c r="K2034" s="49" t="n">
        <v>0</v>
      </c>
      <c r="L2034" s="49" t="n">
        <v>0</v>
      </c>
      <c r="M2034" s="49" t="n">
        <v>0</v>
      </c>
      <c r="N2034" s="49" t="n">
        <v>0</v>
      </c>
      <c r="O2034" s="49" t="n">
        <v>0</v>
      </c>
      <c r="P2034" s="49" t="n">
        <v>0</v>
      </c>
      <c r="Q2034" s="49" t="n">
        <v>0</v>
      </c>
      <c r="R2034" s="49" t="n">
        <v>0</v>
      </c>
      <c r="S2034" s="50" t="n">
        <v>0</v>
      </c>
      <c r="T2034" s="50" t="n">
        <v>0</v>
      </c>
      <c r="U2034" s="50" t="n">
        <v>0</v>
      </c>
      <c r="V2034" s="50" t="n">
        <v>0</v>
      </c>
      <c r="W2034" s="51" t="n">
        <v>0</v>
      </c>
      <c r="X2034" s="51" t="n">
        <v>0</v>
      </c>
      <c r="Y2034" s="51" t="n">
        <v>0</v>
      </c>
      <c r="Z2034" s="51" t="n">
        <v>0</v>
      </c>
      <c r="AA2034" s="52" t="n">
        <v>0</v>
      </c>
      <c r="AB2034" s="52" t="n">
        <v>0</v>
      </c>
      <c r="AC2034" s="52" t="n">
        <v>0</v>
      </c>
      <c r="AD2034" s="52" t="n">
        <v>0</v>
      </c>
      <c r="AE2034" s="52" t="n">
        <v>0</v>
      </c>
      <c r="AF2034" s="52" t="n">
        <v>0</v>
      </c>
      <c r="AG2034" s="52" t="n">
        <v>0</v>
      </c>
      <c r="AH2034" s="52" t="n">
        <v>0</v>
      </c>
      <c r="AI2034" s="52" t="n">
        <v>0</v>
      </c>
      <c r="AJ2034" s="52" t="n">
        <v>0</v>
      </c>
      <c r="AK2034" s="52" t="n">
        <v>0</v>
      </c>
      <c r="AL2034" s="52" t="n">
        <v>0</v>
      </c>
      <c r="AM2034" s="53" t="n">
        <v>0</v>
      </c>
      <c r="AN2034" s="53" t="n">
        <v>0</v>
      </c>
      <c r="AO2034" s="53" t="n">
        <v>0</v>
      </c>
      <c r="AP2034" s="53" t="n">
        <v>0</v>
      </c>
      <c r="AQ2034" s="52" t="n">
        <v>0</v>
      </c>
      <c r="AR2034" s="52" t="n">
        <v>0</v>
      </c>
      <c r="AS2034" s="52" t="n">
        <v>0</v>
      </c>
      <c r="AT2034" s="52" t="n">
        <v>0</v>
      </c>
      <c r="AU2034" s="53" t="n">
        <v>0</v>
      </c>
      <c r="AV2034" s="53" t="n">
        <v>0</v>
      </c>
      <c r="AW2034" s="53" t="n">
        <v>0</v>
      </c>
      <c r="AX2034" s="53" t="n">
        <v>0</v>
      </c>
      <c r="AY2034" s="52" t="n">
        <v>0</v>
      </c>
      <c r="AZ2034" s="52" t="n">
        <v>0</v>
      </c>
      <c r="BA2034" s="52" t="n">
        <v>0</v>
      </c>
      <c r="BB2034" s="52" t="n">
        <v>0</v>
      </c>
      <c r="BC2034" s="51" t="n">
        <v>0</v>
      </c>
      <c r="BD2034" s="51" t="n">
        <v>0</v>
      </c>
      <c r="BE2034" s="51" t="n">
        <v>0</v>
      </c>
      <c r="BF2034" s="51" t="n">
        <v>0</v>
      </c>
    </row>
    <row r="2035">
      <c r="A2035">
        <f>HYPERLINK("https://www.walmart.com/ip/2424108002", "2424108002")</f>
        <v/>
      </c>
      <c r="B2035" t="inlineStr">
        <is>
          <t>Catalonia Wearable TV Blanket with Sleeves Arms Micro Plush Fleece Wrap Throw Robe 73 x 51”</t>
        </is>
      </c>
      <c r="C2035" t="inlineStr">
        <is>
          <t>1CTSN100P2GN</t>
        </is>
      </c>
      <c r="D2035" t="inlineStr">
        <is>
          <t>Throws</t>
        </is>
      </c>
      <c r="E2035" t="inlineStr">
        <is>
          <t>Catalonia</t>
        </is>
      </c>
      <c r="G2035" s="48" t="n">
        <v>0</v>
      </c>
      <c r="H2035" s="48" t="n">
        <v>0</v>
      </c>
      <c r="I2035" s="48" t="n">
        <v>0</v>
      </c>
      <c r="J2035" s="48" t="n">
        <v>0</v>
      </c>
      <c r="K2035" s="49" t="n">
        <v>0</v>
      </c>
      <c r="L2035" s="49" t="n">
        <v>0</v>
      </c>
      <c r="M2035" s="49" t="n">
        <v>0</v>
      </c>
      <c r="N2035" s="49" t="n">
        <v>0</v>
      </c>
      <c r="O2035" s="49" t="n">
        <v>0</v>
      </c>
      <c r="P2035" s="49" t="n">
        <v>3</v>
      </c>
      <c r="Q2035" s="49" t="n">
        <v>2</v>
      </c>
      <c r="R2035" s="49" t="n">
        <v>5</v>
      </c>
      <c r="S2035" s="50" t="n">
        <v>0</v>
      </c>
      <c r="T2035" s="50" t="n">
        <v>0</v>
      </c>
      <c r="U2035" s="50" t="n">
        <v>0</v>
      </c>
      <c r="V2035" s="50" t="n">
        <v>0</v>
      </c>
      <c r="W2035" s="51" t="n">
        <v>31</v>
      </c>
      <c r="X2035" s="51" t="n">
        <v>19</v>
      </c>
      <c r="Y2035" s="51" t="n">
        <v>0</v>
      </c>
      <c r="Z2035" s="51" t="n">
        <v>10</v>
      </c>
      <c r="AA2035" s="52" t="n">
        <v>9.110000000000001</v>
      </c>
      <c r="AB2035" s="52" t="n">
        <v>5.27</v>
      </c>
      <c r="AC2035" s="52" t="n">
        <v>0</v>
      </c>
      <c r="AD2035" s="52" t="n">
        <v>3.06</v>
      </c>
      <c r="AE2035" s="52" t="n">
        <v>19.99</v>
      </c>
      <c r="AF2035" s="52" t="n">
        <v>19.99</v>
      </c>
      <c r="AG2035" s="52" t="n">
        <v>0</v>
      </c>
      <c r="AH2035" s="52" t="n">
        <v>21.99</v>
      </c>
      <c r="AI2035" s="52" t="n">
        <v>2.19</v>
      </c>
      <c r="AJ2035" s="52" t="n">
        <v>3.79</v>
      </c>
      <c r="AK2035" s="52" t="n">
        <v>0</v>
      </c>
      <c r="AL2035" s="52" t="n">
        <v>7.19</v>
      </c>
      <c r="AM2035" s="53" t="n">
        <v>0.0034</v>
      </c>
      <c r="AN2035" s="53" t="n">
        <v>0.0026</v>
      </c>
      <c r="AO2035" s="53" t="n">
        <v>0</v>
      </c>
      <c r="AP2035" s="53" t="n">
        <v>0.0026</v>
      </c>
      <c r="AQ2035" s="52" t="n">
        <v>0.2938709677419355</v>
      </c>
      <c r="AR2035" s="52" t="n">
        <v>0.2773684210526315</v>
      </c>
      <c r="AS2035" s="52" t="n">
        <v>0</v>
      </c>
      <c r="AT2035" s="52" t="n">
        <v>0.306</v>
      </c>
      <c r="AU2035" s="53" t="n">
        <v>0</v>
      </c>
      <c r="AV2035" s="53" t="n">
        <v>0</v>
      </c>
      <c r="AW2035" s="53" t="n">
        <v>0</v>
      </c>
      <c r="AX2035" s="53" t="n">
        <v>0</v>
      </c>
      <c r="AY2035" s="52" t="n">
        <v>0</v>
      </c>
      <c r="AZ2035" s="52" t="n">
        <v>0</v>
      </c>
      <c r="BA2035" s="52" t="n">
        <v>0</v>
      </c>
      <c r="BB2035" s="52" t="n">
        <v>0</v>
      </c>
      <c r="BC2035" s="51" t="n">
        <v>9040</v>
      </c>
      <c r="BD2035" s="51" t="n">
        <v>7351</v>
      </c>
      <c r="BE2035" s="51" t="n">
        <v>0</v>
      </c>
      <c r="BF2035" s="51" t="n">
        <v>3814</v>
      </c>
    </row>
    <row r="2036">
      <c r="A2036">
        <f>HYPERLINK("https://www.walmart.com/ip/242634905", "242634905")</f>
        <v/>
      </c>
      <c r="B2036" t="inlineStr">
        <is>
          <t>Pawsse Fluffy Microfiber Fleece Blanket, Reversible Plush Blanket Throw for Couch and Sofa, Large Sherpa Dog Blanket, Gray, 50’’ x 60’’</t>
        </is>
      </c>
      <c r="C2036" t="inlineStr">
        <is>
          <t>1PSBF566GY-TBCB</t>
        </is>
      </c>
      <c r="D2036" t="inlineStr">
        <is>
          <t>Pet Blankets</t>
        </is>
      </c>
      <c r="E2036" t="inlineStr">
        <is>
          <t>Pawsse</t>
        </is>
      </c>
      <c r="F2036" t="inlineStr">
        <is>
          <t>Batch 1 - TR</t>
        </is>
      </c>
      <c r="G2036" s="48" t="n">
        <v>0</v>
      </c>
      <c r="H2036" s="48" t="n">
        <v>0</v>
      </c>
      <c r="I2036" s="48" t="n">
        <v>0</v>
      </c>
      <c r="J2036" s="48" t="n">
        <v>0</v>
      </c>
      <c r="K2036" s="49" t="n">
        <v>0</v>
      </c>
      <c r="L2036" s="49" t="n">
        <v>0</v>
      </c>
      <c r="M2036" s="49" t="n">
        <v>0</v>
      </c>
      <c r="N2036" s="49" t="n">
        <v>0</v>
      </c>
      <c r="O2036" s="49" t="n">
        <v>0</v>
      </c>
      <c r="P2036" s="49" t="n">
        <v>0</v>
      </c>
      <c r="Q2036" s="49" t="n">
        <v>0</v>
      </c>
      <c r="R2036" s="49" t="n">
        <v>0</v>
      </c>
      <c r="S2036" s="50" t="n">
        <v>0</v>
      </c>
      <c r="T2036" s="50" t="n">
        <v>0</v>
      </c>
      <c r="U2036" s="50" t="n">
        <v>0</v>
      </c>
      <c r="V2036" s="50" t="n">
        <v>0</v>
      </c>
      <c r="W2036" s="51" t="n">
        <v>0</v>
      </c>
      <c r="X2036" s="51" t="n">
        <v>0</v>
      </c>
      <c r="Y2036" s="51" t="n">
        <v>0</v>
      </c>
      <c r="Z2036" s="51" t="n">
        <v>0</v>
      </c>
      <c r="AA2036" s="52" t="n">
        <v>0</v>
      </c>
      <c r="AB2036" s="52" t="n">
        <v>0</v>
      </c>
      <c r="AC2036" s="52" t="n">
        <v>0</v>
      </c>
      <c r="AD2036" s="52" t="n">
        <v>0</v>
      </c>
      <c r="AE2036" s="52" t="n">
        <v>0</v>
      </c>
      <c r="AF2036" s="52" t="n">
        <v>0</v>
      </c>
      <c r="AG2036" s="52" t="n">
        <v>0</v>
      </c>
      <c r="AH2036" s="52" t="n">
        <v>0</v>
      </c>
      <c r="AI2036" s="52" t="n">
        <v>0</v>
      </c>
      <c r="AJ2036" s="52" t="n">
        <v>0</v>
      </c>
      <c r="AK2036" s="52" t="n">
        <v>0</v>
      </c>
      <c r="AL2036" s="52" t="n">
        <v>0</v>
      </c>
      <c r="AM2036" s="53" t="n">
        <v>0</v>
      </c>
      <c r="AN2036" s="53" t="n">
        <v>0</v>
      </c>
      <c r="AO2036" s="53" t="n">
        <v>0</v>
      </c>
      <c r="AP2036" s="53" t="n">
        <v>0</v>
      </c>
      <c r="AQ2036" s="52" t="n">
        <v>0</v>
      </c>
      <c r="AR2036" s="52" t="n">
        <v>0</v>
      </c>
      <c r="AS2036" s="52" t="n">
        <v>0</v>
      </c>
      <c r="AT2036" s="52" t="n">
        <v>0</v>
      </c>
      <c r="AU2036" s="53" t="n">
        <v>0</v>
      </c>
      <c r="AV2036" s="53" t="n">
        <v>0</v>
      </c>
      <c r="AW2036" s="53" t="n">
        <v>0</v>
      </c>
      <c r="AX2036" s="53" t="n">
        <v>0</v>
      </c>
      <c r="AY2036" s="52" t="n">
        <v>0</v>
      </c>
      <c r="AZ2036" s="52" t="n">
        <v>0</v>
      </c>
      <c r="BA2036" s="52" t="n">
        <v>0</v>
      </c>
      <c r="BB2036" s="52" t="n">
        <v>0</v>
      </c>
      <c r="BC2036" s="51" t="n">
        <v>0</v>
      </c>
      <c r="BD2036" s="51" t="n">
        <v>0</v>
      </c>
      <c r="BE2036" s="51" t="n">
        <v>0</v>
      </c>
      <c r="BF2036" s="51" t="n">
        <v>0</v>
      </c>
    </row>
    <row r="2037">
      <c r="A2037">
        <f>HYPERLINK("https://www.walmart.com/ip/244149121", "244149121")</f>
        <v/>
      </c>
      <c r="B2037" t="inlineStr">
        <is>
          <t>Catalonia Comfy Blanket 50"x60", Micro Plush Fleece Throws for Couch Sofa TV Bed, Reversible, Comfy, Fuzzy</t>
        </is>
      </c>
      <c r="C2037" t="inlineStr">
        <is>
          <t>1CTBF560GY</t>
        </is>
      </c>
      <c r="D2037" t="inlineStr">
        <is>
          <t>Throws</t>
        </is>
      </c>
      <c r="E2037" t="inlineStr">
        <is>
          <t>Catalonia</t>
        </is>
      </c>
      <c r="F2037" t="inlineStr">
        <is>
          <t>Q2-Target,Optimized,WFS,Coupon_Discount,WFS Item</t>
        </is>
      </c>
      <c r="G2037" s="48" t="n">
        <v>0</v>
      </c>
      <c r="H2037" s="48" t="n">
        <v>0</v>
      </c>
      <c r="I2037" s="48" t="n">
        <v>0</v>
      </c>
      <c r="J2037" s="48" t="n">
        <v>0</v>
      </c>
      <c r="K2037" s="49" t="n">
        <v>0</v>
      </c>
      <c r="L2037" s="49" t="n">
        <v>0</v>
      </c>
      <c r="M2037" s="49" t="n">
        <v>0</v>
      </c>
      <c r="N2037" s="49" t="n">
        <v>0</v>
      </c>
      <c r="O2037" s="49" t="n">
        <v>0</v>
      </c>
      <c r="P2037" s="49" t="n">
        <v>0</v>
      </c>
      <c r="Q2037" s="49" t="n">
        <v>0</v>
      </c>
      <c r="R2037" s="49" t="n">
        <v>0</v>
      </c>
      <c r="S2037" s="50" t="n">
        <v>0</v>
      </c>
      <c r="T2037" s="50" t="n">
        <v>0</v>
      </c>
      <c r="U2037" s="50" t="n">
        <v>0</v>
      </c>
      <c r="V2037" s="50" t="n">
        <v>0</v>
      </c>
      <c r="W2037" s="51" t="n">
        <v>0</v>
      </c>
      <c r="X2037" s="51" t="n">
        <v>0</v>
      </c>
      <c r="Y2037" s="51" t="n">
        <v>0</v>
      </c>
      <c r="Z2037" s="51" t="n">
        <v>0</v>
      </c>
      <c r="AA2037" s="52" t="n">
        <v>0</v>
      </c>
      <c r="AB2037" s="52" t="n">
        <v>0</v>
      </c>
      <c r="AC2037" s="52" t="n">
        <v>0</v>
      </c>
      <c r="AD2037" s="52" t="n">
        <v>0</v>
      </c>
      <c r="AE2037" s="52" t="n">
        <v>0</v>
      </c>
      <c r="AF2037" s="52" t="n">
        <v>0</v>
      </c>
      <c r="AG2037" s="52" t="n">
        <v>0</v>
      </c>
      <c r="AH2037" s="52" t="n">
        <v>0</v>
      </c>
      <c r="AI2037" s="52" t="n">
        <v>0</v>
      </c>
      <c r="AJ2037" s="52" t="n">
        <v>0</v>
      </c>
      <c r="AK2037" s="52" t="n">
        <v>0</v>
      </c>
      <c r="AL2037" s="52" t="n">
        <v>0</v>
      </c>
      <c r="AM2037" s="53" t="n">
        <v>0</v>
      </c>
      <c r="AN2037" s="53" t="n">
        <v>0</v>
      </c>
      <c r="AO2037" s="53" t="n">
        <v>0</v>
      </c>
      <c r="AP2037" s="53" t="n">
        <v>0</v>
      </c>
      <c r="AQ2037" s="52" t="n">
        <v>0</v>
      </c>
      <c r="AR2037" s="52" t="n">
        <v>0</v>
      </c>
      <c r="AS2037" s="52" t="n">
        <v>0</v>
      </c>
      <c r="AT2037" s="52" t="n">
        <v>0</v>
      </c>
      <c r="AU2037" s="53" t="n">
        <v>0</v>
      </c>
      <c r="AV2037" s="53" t="n">
        <v>0</v>
      </c>
      <c r="AW2037" s="53" t="n">
        <v>0</v>
      </c>
      <c r="AX2037" s="53" t="n">
        <v>0</v>
      </c>
      <c r="AY2037" s="52" t="n">
        <v>0</v>
      </c>
      <c r="AZ2037" s="52" t="n">
        <v>0</v>
      </c>
      <c r="BA2037" s="52" t="n">
        <v>0</v>
      </c>
      <c r="BB2037" s="52" t="n">
        <v>0</v>
      </c>
      <c r="BC2037" s="51" t="n">
        <v>0</v>
      </c>
      <c r="BD2037" s="51" t="n">
        <v>0</v>
      </c>
      <c r="BE2037" s="51" t="n">
        <v>0</v>
      </c>
      <c r="BF2037" s="51" t="n">
        <v>0</v>
      </c>
    </row>
    <row r="2038">
      <c r="A2038">
        <f>HYPERLINK("https://www.walmart.com/ip/244658784", "244658784")</f>
        <v/>
      </c>
      <c r="B2038" t="inlineStr">
        <is>
          <t>Microplush Sherpa Blanket with Sleeves for Women and Men Black</t>
        </is>
      </c>
      <c r="C2038" t="inlineStr">
        <is>
          <t>1TRSN110BK</t>
        </is>
      </c>
      <c r="D2038" t="inlineStr">
        <is>
          <t>Throws</t>
        </is>
      </c>
      <c r="E2038" t="inlineStr">
        <is>
          <t>Tirrinia</t>
        </is>
      </c>
      <c r="F2038" t="inlineStr">
        <is>
          <t>WFS,Coupon_Discount,WFS Item</t>
        </is>
      </c>
      <c r="G2038" s="48" t="n">
        <v>0</v>
      </c>
      <c r="H2038" s="48" t="n">
        <v>0</v>
      </c>
      <c r="I2038" s="48" t="n">
        <v>0</v>
      </c>
      <c r="J2038" s="48" t="n">
        <v>0</v>
      </c>
      <c r="K2038" s="49" t="n">
        <v>0</v>
      </c>
      <c r="L2038" s="49" t="n">
        <v>0</v>
      </c>
      <c r="M2038" s="49" t="n">
        <v>0</v>
      </c>
      <c r="N2038" s="49" t="n">
        <v>0</v>
      </c>
      <c r="O2038" s="49" t="n">
        <v>0</v>
      </c>
      <c r="P2038" s="49" t="n">
        <v>0</v>
      </c>
      <c r="Q2038" s="49" t="n">
        <v>0</v>
      </c>
      <c r="R2038" s="49" t="n">
        <v>0</v>
      </c>
      <c r="S2038" s="50" t="n">
        <v>0</v>
      </c>
      <c r="T2038" s="50" t="n">
        <v>0</v>
      </c>
      <c r="U2038" s="50" t="n">
        <v>0</v>
      </c>
      <c r="V2038" s="50" t="n">
        <v>0</v>
      </c>
      <c r="W2038" s="51" t="n">
        <v>0</v>
      </c>
      <c r="X2038" s="51" t="n">
        <v>0</v>
      </c>
      <c r="Y2038" s="51" t="n">
        <v>0</v>
      </c>
      <c r="Z2038" s="51" t="n">
        <v>0</v>
      </c>
      <c r="AA2038" s="52" t="n">
        <v>0</v>
      </c>
      <c r="AB2038" s="52" t="n">
        <v>0</v>
      </c>
      <c r="AC2038" s="52" t="n">
        <v>0</v>
      </c>
      <c r="AD2038" s="52" t="n">
        <v>0</v>
      </c>
      <c r="AE2038" s="52" t="n">
        <v>0</v>
      </c>
      <c r="AF2038" s="52" t="n">
        <v>0</v>
      </c>
      <c r="AG2038" s="52" t="n">
        <v>0</v>
      </c>
      <c r="AH2038" s="52" t="n">
        <v>0</v>
      </c>
      <c r="AI2038" s="52" t="n">
        <v>0</v>
      </c>
      <c r="AJ2038" s="52" t="n">
        <v>0</v>
      </c>
      <c r="AK2038" s="52" t="n">
        <v>0</v>
      </c>
      <c r="AL2038" s="52" t="n">
        <v>0</v>
      </c>
      <c r="AM2038" s="53" t="n">
        <v>0</v>
      </c>
      <c r="AN2038" s="53" t="n">
        <v>0</v>
      </c>
      <c r="AO2038" s="53" t="n">
        <v>0</v>
      </c>
      <c r="AP2038" s="53" t="n">
        <v>0</v>
      </c>
      <c r="AQ2038" s="52" t="n">
        <v>0</v>
      </c>
      <c r="AR2038" s="52" t="n">
        <v>0</v>
      </c>
      <c r="AS2038" s="52" t="n">
        <v>0</v>
      </c>
      <c r="AT2038" s="52" t="n">
        <v>0</v>
      </c>
      <c r="AU2038" s="53" t="n">
        <v>0</v>
      </c>
      <c r="AV2038" s="53" t="n">
        <v>0</v>
      </c>
      <c r="AW2038" s="53" t="n">
        <v>0</v>
      </c>
      <c r="AX2038" s="53" t="n">
        <v>0</v>
      </c>
      <c r="AY2038" s="52" t="n">
        <v>0</v>
      </c>
      <c r="AZ2038" s="52" t="n">
        <v>0</v>
      </c>
      <c r="BA2038" s="52" t="n">
        <v>0</v>
      </c>
      <c r="BB2038" s="52" t="n">
        <v>0</v>
      </c>
      <c r="BC2038" s="51" t="n">
        <v>0</v>
      </c>
      <c r="BD2038" s="51" t="n">
        <v>0</v>
      </c>
      <c r="BE2038" s="51" t="n">
        <v>0</v>
      </c>
      <c r="BF2038" s="51" t="n">
        <v>0</v>
      </c>
    </row>
    <row r="2039">
      <c r="A2039">
        <f>HYPERLINK("https://www.walmart.com/ip/244664864", "244664864")</f>
        <v/>
      </c>
      <c r="B2039" t="inlineStr">
        <is>
          <t>Tirrinia Insulated Lunch Bag for Women Men, Leakproof Thermal Reusable Lunch Box Tote for Adult &amp; Kids by Tirrinia, Lunch Cooler for Office Work, Teal</t>
        </is>
      </c>
      <c r="C2039" t="inlineStr">
        <is>
          <t>1TRLB701P1TL</t>
        </is>
      </c>
      <c r="D2039" t="inlineStr">
        <is>
          <t>Reusable Lunch Bags &amp; Boxes</t>
        </is>
      </c>
      <c r="E2039" t="inlineStr">
        <is>
          <t>Tirrinia</t>
        </is>
      </c>
      <c r="F2039" t="inlineStr">
        <is>
          <t>Q2-Target,Brand Camp VD,Lunch Bag,Optimized,SEM</t>
        </is>
      </c>
      <c r="G2039" s="48" t="n">
        <v>0</v>
      </c>
      <c r="H2039" s="48" t="n">
        <v>0</v>
      </c>
      <c r="I2039" s="48" t="n">
        <v>0</v>
      </c>
      <c r="J2039" s="48" t="n">
        <v>21.98</v>
      </c>
      <c r="K2039" s="49" t="n">
        <v>0</v>
      </c>
      <c r="L2039" s="49" t="n">
        <v>0</v>
      </c>
      <c r="M2039" s="49" t="n">
        <v>0</v>
      </c>
      <c r="N2039" s="49" t="n">
        <v>1</v>
      </c>
      <c r="O2039" s="49" t="n">
        <v>0</v>
      </c>
      <c r="P2039" s="49" t="n">
        <v>0</v>
      </c>
      <c r="Q2039" s="49" t="n">
        <v>0</v>
      </c>
      <c r="R2039" s="49" t="n">
        <v>0</v>
      </c>
      <c r="S2039" s="50" t="n">
        <v>0</v>
      </c>
      <c r="T2039" s="50" t="n">
        <v>0</v>
      </c>
      <c r="U2039" s="50" t="n">
        <v>0</v>
      </c>
      <c r="V2039" s="50" t="n">
        <v>0</v>
      </c>
      <c r="W2039" s="51" t="n">
        <v>0</v>
      </c>
      <c r="X2039" s="51" t="n">
        <v>0</v>
      </c>
      <c r="Y2039" s="51" t="n">
        <v>0</v>
      </c>
      <c r="Z2039" s="51" t="n">
        <v>0</v>
      </c>
      <c r="AA2039" s="52" t="n">
        <v>0</v>
      </c>
      <c r="AB2039" s="52" t="n">
        <v>0</v>
      </c>
      <c r="AC2039" s="52" t="n">
        <v>0</v>
      </c>
      <c r="AD2039" s="52" t="n">
        <v>0</v>
      </c>
      <c r="AE2039" s="52" t="n">
        <v>0</v>
      </c>
      <c r="AF2039" s="52" t="n">
        <v>0</v>
      </c>
      <c r="AG2039" s="52" t="n">
        <v>0</v>
      </c>
      <c r="AH2039" s="52" t="n">
        <v>0</v>
      </c>
      <c r="AI2039" s="52" t="n">
        <v>0</v>
      </c>
      <c r="AJ2039" s="52" t="n">
        <v>0</v>
      </c>
      <c r="AK2039" s="52" t="n">
        <v>0</v>
      </c>
      <c r="AL2039" s="52" t="n">
        <v>0</v>
      </c>
      <c r="AM2039" s="53" t="n">
        <v>0</v>
      </c>
      <c r="AN2039" s="53" t="n">
        <v>0</v>
      </c>
      <c r="AO2039" s="53" t="n">
        <v>0</v>
      </c>
      <c r="AP2039" s="53" t="n">
        <v>0</v>
      </c>
      <c r="AQ2039" s="52" t="n">
        <v>0</v>
      </c>
      <c r="AR2039" s="52" t="n">
        <v>0</v>
      </c>
      <c r="AS2039" s="52" t="n">
        <v>0</v>
      </c>
      <c r="AT2039" s="52" t="n">
        <v>0</v>
      </c>
      <c r="AU2039" s="53" t="n">
        <v>0</v>
      </c>
      <c r="AV2039" s="53" t="n">
        <v>0</v>
      </c>
      <c r="AW2039" s="53" t="n">
        <v>0</v>
      </c>
      <c r="AX2039" s="53" t="n">
        <v>0</v>
      </c>
      <c r="AY2039" s="52" t="n">
        <v>0</v>
      </c>
      <c r="AZ2039" s="52" t="n">
        <v>0</v>
      </c>
      <c r="BA2039" s="52" t="n">
        <v>0</v>
      </c>
      <c r="BB2039" s="52" t="n">
        <v>21.98</v>
      </c>
      <c r="BC2039" s="51" t="n">
        <v>0</v>
      </c>
      <c r="BD2039" s="51" t="n">
        <v>0</v>
      </c>
      <c r="BE2039" s="51" t="n">
        <v>0</v>
      </c>
      <c r="BF2039" s="51" t="n">
        <v>0</v>
      </c>
    </row>
    <row r="2040">
      <c r="A2040">
        <f>HYPERLINK("https://www.walmart.com/ip/2470519658", "2470519658")</f>
        <v/>
      </c>
      <c r="B2040" t="inlineStr">
        <is>
          <t>Kato Outdoors Waterproof Throw Blanket, Sherpa Fleece Stadium Windproof Mat for Boat, Traveling, Camping, Hiking, and Football, Machine Washable, Green/Black, 66'' x 90''</t>
        </is>
      </c>
      <c r="C2040" t="inlineStr">
        <is>
          <t>1KTBW669GNBK</t>
        </is>
      </c>
      <c r="D2040" t="inlineStr">
        <is>
          <t>Throws</t>
        </is>
      </c>
      <c r="E2040" t="inlineStr">
        <is>
          <t>Kato</t>
        </is>
      </c>
      <c r="F2040" t="inlineStr">
        <is>
          <t>Q2-Target</t>
        </is>
      </c>
      <c r="G2040" s="48" t="n">
        <v>0</v>
      </c>
      <c r="H2040" s="48" t="n">
        <v>0</v>
      </c>
      <c r="I2040" s="48" t="n">
        <v>0</v>
      </c>
      <c r="J2040" s="48" t="n">
        <v>0</v>
      </c>
      <c r="K2040" s="49" t="n">
        <v>0</v>
      </c>
      <c r="L2040" s="49" t="n">
        <v>0</v>
      </c>
      <c r="M2040" s="49" t="n">
        <v>0</v>
      </c>
      <c r="N2040" s="49" t="n">
        <v>0</v>
      </c>
      <c r="O2040" s="49" t="n">
        <v>0</v>
      </c>
      <c r="P2040" s="49" t="n">
        <v>0</v>
      </c>
      <c r="Q2040" s="49" t="n">
        <v>0</v>
      </c>
      <c r="R2040" s="49" t="n">
        <v>0</v>
      </c>
      <c r="S2040" s="50" t="n">
        <v>0</v>
      </c>
      <c r="T2040" s="50" t="n">
        <v>0</v>
      </c>
      <c r="U2040" s="50" t="n">
        <v>0</v>
      </c>
      <c r="V2040" s="50" t="n">
        <v>0</v>
      </c>
      <c r="W2040" s="51" t="n">
        <v>0</v>
      </c>
      <c r="X2040" s="51" t="n">
        <v>0</v>
      </c>
      <c r="Y2040" s="51" t="n">
        <v>0</v>
      </c>
      <c r="Z2040" s="51" t="n">
        <v>1</v>
      </c>
      <c r="AA2040" s="52" t="n">
        <v>0</v>
      </c>
      <c r="AB2040" s="52" t="n">
        <v>0</v>
      </c>
      <c r="AC2040" s="52" t="n">
        <v>0</v>
      </c>
      <c r="AD2040" s="52" t="n">
        <v>0.22</v>
      </c>
      <c r="AE2040" s="52" t="n">
        <v>0</v>
      </c>
      <c r="AF2040" s="52" t="n">
        <v>0</v>
      </c>
      <c r="AG2040" s="52" t="n">
        <v>0</v>
      </c>
      <c r="AH2040" s="52" t="n">
        <v>0</v>
      </c>
      <c r="AI2040" s="52" t="n">
        <v>0</v>
      </c>
      <c r="AJ2040" s="52" t="n">
        <v>0</v>
      </c>
      <c r="AK2040" s="52" t="n">
        <v>0</v>
      </c>
      <c r="AL2040" s="52" t="n">
        <v>0</v>
      </c>
      <c r="AM2040" s="53" t="n">
        <v>0</v>
      </c>
      <c r="AN2040" s="53" t="n">
        <v>0</v>
      </c>
      <c r="AO2040" s="53" t="n">
        <v>0</v>
      </c>
      <c r="AP2040" s="53" t="n">
        <v>0.0055</v>
      </c>
      <c r="AQ2040" s="52" t="n">
        <v>0</v>
      </c>
      <c r="AR2040" s="52" t="n">
        <v>0</v>
      </c>
      <c r="AS2040" s="52" t="n">
        <v>0</v>
      </c>
      <c r="AT2040" s="52" t="n">
        <v>0.22</v>
      </c>
      <c r="AU2040" s="53" t="n">
        <v>0</v>
      </c>
      <c r="AV2040" s="53" t="n">
        <v>0</v>
      </c>
      <c r="AW2040" s="53" t="n">
        <v>0</v>
      </c>
      <c r="AX2040" s="53" t="n">
        <v>0</v>
      </c>
      <c r="AY2040" s="52" t="n">
        <v>0</v>
      </c>
      <c r="AZ2040" s="52" t="n">
        <v>0</v>
      </c>
      <c r="BA2040" s="52" t="n">
        <v>0</v>
      </c>
      <c r="BB2040" s="52" t="n">
        <v>0</v>
      </c>
      <c r="BC2040" s="51" t="n">
        <v>201</v>
      </c>
      <c r="BD2040" s="51" t="n">
        <v>183</v>
      </c>
      <c r="BE2040" s="51" t="n">
        <v>0</v>
      </c>
      <c r="BF2040" s="51" t="n">
        <v>182</v>
      </c>
    </row>
    <row r="2041">
      <c r="A2041">
        <f>HYPERLINK("https://www.walmart.com/ip/247284414", "247284414")</f>
        <v/>
      </c>
      <c r="B2041" t="inlineStr">
        <is>
          <t>Catalonia Warm and Cozy Sherpa Wearable Blanket Poncho for Adult, Pink, Snuggly Fleece Blanket with Pocket, No Sleeves</t>
        </is>
      </c>
      <c r="C2041" t="inlineStr">
        <is>
          <t>1CTBP110HP</t>
        </is>
      </c>
      <c r="D2041" t="inlineStr">
        <is>
          <t>Throws</t>
        </is>
      </c>
      <c r="E2041" t="inlineStr">
        <is>
          <t>Catalonia</t>
        </is>
      </c>
      <c r="F2041" t="inlineStr">
        <is>
          <t>Optimized,Hero 5 Holidays,Coupon_Discount</t>
        </is>
      </c>
      <c r="G2041" s="48" t="n">
        <v>0</v>
      </c>
      <c r="H2041" s="48" t="n">
        <v>0</v>
      </c>
      <c r="I2041" s="48" t="n">
        <v>0</v>
      </c>
      <c r="J2041" s="48" t="n">
        <v>0</v>
      </c>
      <c r="K2041" s="49" t="n">
        <v>0</v>
      </c>
      <c r="L2041" s="49" t="n">
        <v>0</v>
      </c>
      <c r="M2041" s="49" t="n">
        <v>0</v>
      </c>
      <c r="N2041" s="49" t="n">
        <v>0</v>
      </c>
      <c r="O2041" s="49" t="n">
        <v>0</v>
      </c>
      <c r="P2041" s="49" t="n">
        <v>0</v>
      </c>
      <c r="Q2041" s="49" t="n">
        <v>0</v>
      </c>
      <c r="R2041" s="49" t="n">
        <v>0</v>
      </c>
      <c r="S2041" s="50" t="n">
        <v>0</v>
      </c>
      <c r="T2041" s="50" t="n">
        <v>0</v>
      </c>
      <c r="U2041" s="50" t="n">
        <v>0</v>
      </c>
      <c r="V2041" s="50" t="n">
        <v>0</v>
      </c>
      <c r="W2041" s="51" t="n">
        <v>0</v>
      </c>
      <c r="X2041" s="51" t="n">
        <v>0</v>
      </c>
      <c r="Y2041" s="51" t="n">
        <v>0</v>
      </c>
      <c r="Z2041" s="51" t="n">
        <v>0</v>
      </c>
      <c r="AA2041" s="52" t="n">
        <v>0</v>
      </c>
      <c r="AB2041" s="52" t="n">
        <v>0</v>
      </c>
      <c r="AC2041" s="52" t="n">
        <v>0</v>
      </c>
      <c r="AD2041" s="52" t="n">
        <v>0</v>
      </c>
      <c r="AE2041" s="52" t="n">
        <v>0</v>
      </c>
      <c r="AF2041" s="52" t="n">
        <v>0</v>
      </c>
      <c r="AG2041" s="52" t="n">
        <v>0</v>
      </c>
      <c r="AH2041" s="52" t="n">
        <v>0</v>
      </c>
      <c r="AI2041" s="52" t="n">
        <v>0</v>
      </c>
      <c r="AJ2041" s="52" t="n">
        <v>0</v>
      </c>
      <c r="AK2041" s="52" t="n">
        <v>0</v>
      </c>
      <c r="AL2041" s="52" t="n">
        <v>0</v>
      </c>
      <c r="AM2041" s="53" t="n">
        <v>0</v>
      </c>
      <c r="AN2041" s="53" t="n">
        <v>0</v>
      </c>
      <c r="AO2041" s="53" t="n">
        <v>0</v>
      </c>
      <c r="AP2041" s="53" t="n">
        <v>0</v>
      </c>
      <c r="AQ2041" s="52" t="n">
        <v>0</v>
      </c>
      <c r="AR2041" s="52" t="n">
        <v>0</v>
      </c>
      <c r="AS2041" s="52" t="n">
        <v>0</v>
      </c>
      <c r="AT2041" s="52" t="n">
        <v>0</v>
      </c>
      <c r="AU2041" s="53" t="n">
        <v>0</v>
      </c>
      <c r="AV2041" s="53" t="n">
        <v>0</v>
      </c>
      <c r="AW2041" s="53" t="n">
        <v>0</v>
      </c>
      <c r="AX2041" s="53" t="n">
        <v>0</v>
      </c>
      <c r="AY2041" s="52" t="n">
        <v>0</v>
      </c>
      <c r="AZ2041" s="52" t="n">
        <v>0</v>
      </c>
      <c r="BA2041" s="52" t="n">
        <v>0</v>
      </c>
      <c r="BB2041" s="52" t="n">
        <v>0</v>
      </c>
      <c r="BC2041" s="51" t="n">
        <v>0</v>
      </c>
      <c r="BD2041" s="51" t="n">
        <v>0</v>
      </c>
      <c r="BE2041" s="51" t="n">
        <v>0</v>
      </c>
      <c r="BF2041" s="51" t="n">
        <v>0</v>
      </c>
    </row>
    <row r="2042">
      <c r="A2042">
        <f>HYPERLINK("https://www.walmart.com/ip/248204253", "248204253")</f>
        <v/>
      </c>
      <c r="B2042" t="inlineStr">
        <is>
          <t>Catalonia Weighted Blanket for Kids and Adults, 20lb Heavy Blanket, Cotton, Grey, 60 × 80 Inches</t>
        </is>
      </c>
      <c r="C2042" t="inlineStr">
        <is>
          <t>1CTBG806GY-20C</t>
        </is>
      </c>
      <c r="D2042" t="inlineStr">
        <is>
          <t>Bed Blankets</t>
        </is>
      </c>
      <c r="E2042" t="inlineStr">
        <is>
          <t>Catalonia</t>
        </is>
      </c>
      <c r="F2042" t="inlineStr">
        <is>
          <t>Optimized,Valentine</t>
        </is>
      </c>
      <c r="G2042" s="48" t="n">
        <v>0</v>
      </c>
      <c r="H2042" s="48" t="n">
        <v>0</v>
      </c>
      <c r="I2042" s="48" t="n">
        <v>0</v>
      </c>
      <c r="J2042" s="48" t="n">
        <v>0</v>
      </c>
      <c r="K2042" s="49" t="n">
        <v>0</v>
      </c>
      <c r="L2042" s="49" t="n">
        <v>0</v>
      </c>
      <c r="M2042" s="49" t="n">
        <v>0</v>
      </c>
      <c r="N2042" s="49" t="n">
        <v>0</v>
      </c>
      <c r="O2042" s="49" t="n">
        <v>0</v>
      </c>
      <c r="P2042" s="49" t="n">
        <v>0</v>
      </c>
      <c r="Q2042" s="49" t="n">
        <v>0</v>
      </c>
      <c r="R2042" s="49" t="n">
        <v>0</v>
      </c>
      <c r="S2042" s="50" t="n">
        <v>0</v>
      </c>
      <c r="T2042" s="50" t="n">
        <v>0</v>
      </c>
      <c r="U2042" s="50" t="n">
        <v>0</v>
      </c>
      <c r="V2042" s="50" t="n">
        <v>0</v>
      </c>
      <c r="W2042" s="51" t="n">
        <v>0</v>
      </c>
      <c r="X2042" s="51" t="n">
        <v>0</v>
      </c>
      <c r="Y2042" s="51" t="n">
        <v>0</v>
      </c>
      <c r="Z2042" s="51" t="n">
        <v>0</v>
      </c>
      <c r="AA2042" s="52" t="n">
        <v>0</v>
      </c>
      <c r="AB2042" s="52" t="n">
        <v>0</v>
      </c>
      <c r="AC2042" s="52" t="n">
        <v>0</v>
      </c>
      <c r="AD2042" s="52" t="n">
        <v>0</v>
      </c>
      <c r="AE2042" s="52" t="n">
        <v>0</v>
      </c>
      <c r="AF2042" s="52" t="n">
        <v>0</v>
      </c>
      <c r="AG2042" s="52" t="n">
        <v>0</v>
      </c>
      <c r="AH2042" s="52" t="n">
        <v>0</v>
      </c>
      <c r="AI2042" s="52" t="n">
        <v>0</v>
      </c>
      <c r="AJ2042" s="52" t="n">
        <v>0</v>
      </c>
      <c r="AK2042" s="52" t="n">
        <v>0</v>
      </c>
      <c r="AL2042" s="52" t="n">
        <v>0</v>
      </c>
      <c r="AM2042" s="53" t="n">
        <v>0</v>
      </c>
      <c r="AN2042" s="53" t="n">
        <v>0</v>
      </c>
      <c r="AO2042" s="53" t="n">
        <v>0</v>
      </c>
      <c r="AP2042" s="53" t="n">
        <v>0</v>
      </c>
      <c r="AQ2042" s="52" t="n">
        <v>0</v>
      </c>
      <c r="AR2042" s="52" t="n">
        <v>0</v>
      </c>
      <c r="AS2042" s="52" t="n">
        <v>0</v>
      </c>
      <c r="AT2042" s="52" t="n">
        <v>0</v>
      </c>
      <c r="AU2042" s="53" t="n">
        <v>0</v>
      </c>
      <c r="AV2042" s="53" t="n">
        <v>0</v>
      </c>
      <c r="AW2042" s="53" t="n">
        <v>0</v>
      </c>
      <c r="AX2042" s="53" t="n">
        <v>0</v>
      </c>
      <c r="AY2042" s="52" t="n">
        <v>0</v>
      </c>
      <c r="AZ2042" s="52" t="n">
        <v>0</v>
      </c>
      <c r="BA2042" s="52" t="n">
        <v>0</v>
      </c>
      <c r="BB2042" s="52" t="n">
        <v>0</v>
      </c>
      <c r="BC2042" s="51" t="n">
        <v>0</v>
      </c>
      <c r="BD2042" s="51" t="n">
        <v>0</v>
      </c>
      <c r="BE2042" s="51" t="n">
        <v>0</v>
      </c>
      <c r="BF2042" s="51" t="n">
        <v>0</v>
      </c>
    </row>
    <row r="2043">
      <c r="A2043">
        <f>HYPERLINK("https://www.walmart.com/ip/238844874", "238844874")</f>
        <v/>
      </c>
      <c r="B2043" t="inlineStr">
        <is>
          <t>Solaris Women's Tankini Swimsuit, Two-Piece Swimwear Bikini Set, Summer Bathing Suits, Medium, Black/White</t>
        </is>
      </c>
      <c r="C2043" t="inlineStr">
        <is>
          <t>1SLSS006BKWH-M</t>
        </is>
      </c>
      <c r="D2043" t="inlineStr">
        <is>
          <t>Swimsuit Sets</t>
        </is>
      </c>
      <c r="E2043" t="inlineStr">
        <is>
          <t>Solaris</t>
        </is>
      </c>
      <c r="F2043" t="inlineStr">
        <is>
          <t>Optimized</t>
        </is>
      </c>
      <c r="G2043" s="48" t="n">
        <v>0</v>
      </c>
      <c r="H2043" s="48" t="n">
        <v>0</v>
      </c>
      <c r="I2043" s="48" t="n">
        <v>0</v>
      </c>
      <c r="J2043" s="48" t="n">
        <v>0</v>
      </c>
      <c r="K2043" s="49" t="n">
        <v>0</v>
      </c>
      <c r="L2043" s="49" t="n">
        <v>0</v>
      </c>
      <c r="M2043" s="49" t="n">
        <v>0</v>
      </c>
      <c r="N2043" s="49" t="n">
        <v>0</v>
      </c>
      <c r="O2043" s="49" t="n">
        <v>0</v>
      </c>
      <c r="P2043" s="49" t="n">
        <v>0</v>
      </c>
      <c r="Q2043" s="49" t="n">
        <v>0</v>
      </c>
      <c r="R2043" s="49" t="n">
        <v>0</v>
      </c>
      <c r="S2043" s="50" t="n">
        <v>0</v>
      </c>
      <c r="T2043" s="50" t="n">
        <v>0</v>
      </c>
      <c r="U2043" s="50" t="n">
        <v>0</v>
      </c>
      <c r="V2043" s="50" t="n">
        <v>0</v>
      </c>
      <c r="W2043" s="51" t="n">
        <v>0</v>
      </c>
      <c r="X2043" s="51" t="n">
        <v>0</v>
      </c>
      <c r="Y2043" s="51" t="n">
        <v>0</v>
      </c>
      <c r="Z2043" s="51" t="n">
        <v>0</v>
      </c>
      <c r="AA2043" s="52" t="n">
        <v>0</v>
      </c>
      <c r="AB2043" s="52" t="n">
        <v>0</v>
      </c>
      <c r="AC2043" s="52" t="n">
        <v>0</v>
      </c>
      <c r="AD2043" s="52" t="n">
        <v>0</v>
      </c>
      <c r="AE2043" s="52" t="n">
        <v>0</v>
      </c>
      <c r="AF2043" s="52" t="n">
        <v>0</v>
      </c>
      <c r="AG2043" s="52" t="n">
        <v>0</v>
      </c>
      <c r="AH2043" s="52" t="n">
        <v>0</v>
      </c>
      <c r="AI2043" s="52" t="n">
        <v>0</v>
      </c>
      <c r="AJ2043" s="52" t="n">
        <v>0</v>
      </c>
      <c r="AK2043" s="52" t="n">
        <v>0</v>
      </c>
      <c r="AL2043" s="52" t="n">
        <v>0</v>
      </c>
      <c r="AM2043" s="53" t="n">
        <v>0</v>
      </c>
      <c r="AN2043" s="53" t="n">
        <v>0</v>
      </c>
      <c r="AO2043" s="53" t="n">
        <v>0</v>
      </c>
      <c r="AP2043" s="53" t="n">
        <v>0</v>
      </c>
      <c r="AQ2043" s="52" t="n">
        <v>0</v>
      </c>
      <c r="AR2043" s="52" t="n">
        <v>0</v>
      </c>
      <c r="AS2043" s="52" t="n">
        <v>0</v>
      </c>
      <c r="AT2043" s="52" t="n">
        <v>0</v>
      </c>
      <c r="AU2043" s="53" t="n">
        <v>0</v>
      </c>
      <c r="AV2043" s="53" t="n">
        <v>0</v>
      </c>
      <c r="AW2043" s="53" t="n">
        <v>0</v>
      </c>
      <c r="AX2043" s="53" t="n">
        <v>0</v>
      </c>
      <c r="AY2043" s="52" t="n">
        <v>0</v>
      </c>
      <c r="AZ2043" s="52" t="n">
        <v>0</v>
      </c>
      <c r="BA2043" s="52" t="n">
        <v>0</v>
      </c>
      <c r="BB2043" s="52" t="n">
        <v>0</v>
      </c>
      <c r="BC2043" s="51" t="n">
        <v>0</v>
      </c>
      <c r="BD2043" s="51" t="n">
        <v>0</v>
      </c>
      <c r="BE2043" s="51" t="n">
        <v>0</v>
      </c>
      <c r="BF2043" s="51" t="n">
        <v>0</v>
      </c>
    </row>
    <row r="2044">
      <c r="A2044">
        <f>HYPERLINK("https://www.walmart.com/ip/237884409", "237884409")</f>
        <v/>
      </c>
      <c r="B2044" t="inlineStr">
        <is>
          <t>Tirrinia Super Soft Comfy Plush Fleece Sherpa Wearable Blanket Poncho for Adult Kids, 55'' x 80'', Pink</t>
        </is>
      </c>
      <c r="C2044" t="inlineStr">
        <is>
          <t>1TRBP110HP-TBCB</t>
        </is>
      </c>
      <c r="D2044" t="inlineStr">
        <is>
          <t>Throws</t>
        </is>
      </c>
      <c r="E2044" t="inlineStr">
        <is>
          <t>Tirrinia</t>
        </is>
      </c>
      <c r="F2044" t="inlineStr">
        <is>
          <t>Optimized</t>
        </is>
      </c>
      <c r="G2044" s="48" t="n">
        <v>0</v>
      </c>
      <c r="H2044" s="48" t="n">
        <v>0</v>
      </c>
      <c r="I2044" s="48" t="n">
        <v>0</v>
      </c>
      <c r="J2044" s="48" t="n">
        <v>0</v>
      </c>
      <c r="K2044" s="49" t="n">
        <v>0</v>
      </c>
      <c r="L2044" s="49" t="n">
        <v>0</v>
      </c>
      <c r="M2044" s="49" t="n">
        <v>0</v>
      </c>
      <c r="N2044" s="49" t="n">
        <v>0</v>
      </c>
      <c r="O2044" s="49" t="n">
        <v>0</v>
      </c>
      <c r="P2044" s="49" t="n">
        <v>0</v>
      </c>
      <c r="Q2044" s="49" t="n">
        <v>0</v>
      </c>
      <c r="R2044" s="49" t="n">
        <v>0</v>
      </c>
      <c r="S2044" s="50" t="n">
        <v>0</v>
      </c>
      <c r="T2044" s="50" t="n">
        <v>0</v>
      </c>
      <c r="U2044" s="50" t="n">
        <v>0</v>
      </c>
      <c r="V2044" s="50" t="n">
        <v>0</v>
      </c>
      <c r="W2044" s="51" t="n">
        <v>0</v>
      </c>
      <c r="X2044" s="51" t="n">
        <v>0</v>
      </c>
      <c r="Y2044" s="51" t="n">
        <v>0</v>
      </c>
      <c r="Z2044" s="51" t="n">
        <v>0</v>
      </c>
      <c r="AA2044" s="52" t="n">
        <v>0</v>
      </c>
      <c r="AB2044" s="52" t="n">
        <v>0</v>
      </c>
      <c r="AC2044" s="52" t="n">
        <v>0</v>
      </c>
      <c r="AD2044" s="52" t="n">
        <v>0</v>
      </c>
      <c r="AE2044" s="52" t="n">
        <v>0</v>
      </c>
      <c r="AF2044" s="52" t="n">
        <v>0</v>
      </c>
      <c r="AG2044" s="52" t="n">
        <v>0</v>
      </c>
      <c r="AH2044" s="52" t="n">
        <v>0</v>
      </c>
      <c r="AI2044" s="52" t="n">
        <v>0</v>
      </c>
      <c r="AJ2044" s="52" t="n">
        <v>0</v>
      </c>
      <c r="AK2044" s="52" t="n">
        <v>0</v>
      </c>
      <c r="AL2044" s="52" t="n">
        <v>0</v>
      </c>
      <c r="AM2044" s="53" t="n">
        <v>0</v>
      </c>
      <c r="AN2044" s="53" t="n">
        <v>0</v>
      </c>
      <c r="AO2044" s="53" t="n">
        <v>0</v>
      </c>
      <c r="AP2044" s="53" t="n">
        <v>0</v>
      </c>
      <c r="AQ2044" s="52" t="n">
        <v>0</v>
      </c>
      <c r="AR2044" s="52" t="n">
        <v>0</v>
      </c>
      <c r="AS2044" s="52" t="n">
        <v>0</v>
      </c>
      <c r="AT2044" s="52" t="n">
        <v>0</v>
      </c>
      <c r="AU2044" s="53" t="n">
        <v>0</v>
      </c>
      <c r="AV2044" s="53" t="n">
        <v>0</v>
      </c>
      <c r="AW2044" s="53" t="n">
        <v>0</v>
      </c>
      <c r="AX2044" s="53" t="n">
        <v>0</v>
      </c>
      <c r="AY2044" s="52" t="n">
        <v>0</v>
      </c>
      <c r="AZ2044" s="52" t="n">
        <v>0</v>
      </c>
      <c r="BA2044" s="52" t="n">
        <v>0</v>
      </c>
      <c r="BB2044" s="52" t="n">
        <v>0</v>
      </c>
      <c r="BC2044" s="51" t="n">
        <v>0</v>
      </c>
      <c r="BD2044" s="51" t="n">
        <v>0</v>
      </c>
      <c r="BE2044" s="51" t="n">
        <v>0</v>
      </c>
      <c r="BF2044" s="51" t="n">
        <v>0</v>
      </c>
    </row>
    <row r="2045">
      <c r="A2045">
        <f>HYPERLINK("https://www.walmart.com/ip/2287101821", "2287101821")</f>
        <v/>
      </c>
      <c r="B2045" t="inlineStr">
        <is>
          <t>Catalonia Wearable TV Blanket with Sleeves Arms Micro Plush Fleece Wrap Throw Robe 73 x 51”</t>
        </is>
      </c>
      <c r="C2045" t="inlineStr">
        <is>
          <t>1CTSN150PP</t>
        </is>
      </c>
      <c r="D2045" t="inlineStr">
        <is>
          <t>Throws</t>
        </is>
      </c>
      <c r="E2045" t="inlineStr">
        <is>
          <t>Catalonia</t>
        </is>
      </c>
      <c r="F2045" t="inlineStr">
        <is>
          <t>Batch 1 - TR</t>
        </is>
      </c>
      <c r="G2045" s="48" t="n">
        <v>0</v>
      </c>
      <c r="H2045" s="48" t="n">
        <v>0</v>
      </c>
      <c r="I2045" s="48" t="n">
        <v>0</v>
      </c>
      <c r="J2045" s="48" t="n">
        <v>0</v>
      </c>
      <c r="K2045" s="49" t="n">
        <v>0</v>
      </c>
      <c r="L2045" s="49" t="n">
        <v>0</v>
      </c>
      <c r="M2045" s="49" t="n">
        <v>0</v>
      </c>
      <c r="N2045" s="49" t="n">
        <v>0</v>
      </c>
      <c r="O2045" s="49" t="n">
        <v>0</v>
      </c>
      <c r="P2045" s="49" t="n">
        <v>0</v>
      </c>
      <c r="Q2045" s="49" t="n">
        <v>0</v>
      </c>
      <c r="R2045" s="49" t="n">
        <v>0</v>
      </c>
      <c r="S2045" s="50" t="n">
        <v>0</v>
      </c>
      <c r="T2045" s="50" t="n">
        <v>0</v>
      </c>
      <c r="U2045" s="50" t="n">
        <v>0</v>
      </c>
      <c r="V2045" s="50" t="n">
        <v>0</v>
      </c>
      <c r="W2045" s="51" t="n">
        <v>0</v>
      </c>
      <c r="X2045" s="51" t="n">
        <v>0</v>
      </c>
      <c r="Y2045" s="51" t="n">
        <v>0</v>
      </c>
      <c r="Z2045" s="51" t="n">
        <v>0</v>
      </c>
      <c r="AA2045" s="52" t="n">
        <v>0</v>
      </c>
      <c r="AB2045" s="52" t="n">
        <v>0</v>
      </c>
      <c r="AC2045" s="52" t="n">
        <v>0</v>
      </c>
      <c r="AD2045" s="52" t="n">
        <v>0</v>
      </c>
      <c r="AE2045" s="52" t="n">
        <v>0</v>
      </c>
      <c r="AF2045" s="52" t="n">
        <v>0</v>
      </c>
      <c r="AG2045" s="52" t="n">
        <v>0</v>
      </c>
      <c r="AH2045" s="52" t="n">
        <v>0</v>
      </c>
      <c r="AI2045" s="52" t="n">
        <v>0</v>
      </c>
      <c r="AJ2045" s="52" t="n">
        <v>0</v>
      </c>
      <c r="AK2045" s="52" t="n">
        <v>0</v>
      </c>
      <c r="AL2045" s="52" t="n">
        <v>0</v>
      </c>
      <c r="AM2045" s="53" t="n">
        <v>0</v>
      </c>
      <c r="AN2045" s="53" t="n">
        <v>0</v>
      </c>
      <c r="AO2045" s="53" t="n">
        <v>0</v>
      </c>
      <c r="AP2045" s="53" t="n">
        <v>0</v>
      </c>
      <c r="AQ2045" s="52" t="n">
        <v>0</v>
      </c>
      <c r="AR2045" s="52" t="n">
        <v>0</v>
      </c>
      <c r="AS2045" s="52" t="n">
        <v>0</v>
      </c>
      <c r="AT2045" s="52" t="n">
        <v>0</v>
      </c>
      <c r="AU2045" s="53" t="n">
        <v>0</v>
      </c>
      <c r="AV2045" s="53" t="n">
        <v>0</v>
      </c>
      <c r="AW2045" s="53" t="n">
        <v>0</v>
      </c>
      <c r="AX2045" s="53" t="n">
        <v>0</v>
      </c>
      <c r="AY2045" s="52" t="n">
        <v>0</v>
      </c>
      <c r="AZ2045" s="52" t="n">
        <v>0</v>
      </c>
      <c r="BA2045" s="52" t="n">
        <v>0</v>
      </c>
      <c r="BB2045" s="52" t="n">
        <v>0</v>
      </c>
      <c r="BC2045" s="51" t="n">
        <v>0</v>
      </c>
      <c r="BD2045" s="51" t="n">
        <v>0</v>
      </c>
      <c r="BE2045" s="51" t="n">
        <v>0</v>
      </c>
      <c r="BF2045" s="51" t="n">
        <v>0</v>
      </c>
    </row>
    <row r="2046">
      <c r="A2046">
        <f>HYPERLINK("https://www.walmart.com/ip/237763307", "237763307")</f>
        <v/>
      </c>
      <c r="B2046" t="inlineStr">
        <is>
          <t>Mermaid Tail Blanket for Teen Girls with Anti-slip Neck Strap Wave Pattern | Soft Sleeping Bag for All Seasons</t>
        </is>
      </c>
      <c r="C2046" t="inlineStr">
        <is>
          <t>1CTMM100BL-TPB</t>
        </is>
      </c>
      <c r="D2046" t="inlineStr">
        <is>
          <t>Throws</t>
        </is>
      </c>
      <c r="E2046" t="inlineStr">
        <is>
          <t>Catalonia</t>
        </is>
      </c>
      <c r="F2046" t="inlineStr">
        <is>
          <t>Batch 1 - TR</t>
        </is>
      </c>
      <c r="G2046" s="48" t="n">
        <v>0</v>
      </c>
      <c r="H2046" s="48" t="n">
        <v>0</v>
      </c>
      <c r="I2046" s="48" t="n">
        <v>0</v>
      </c>
      <c r="J2046" s="48" t="n">
        <v>0</v>
      </c>
      <c r="K2046" s="49" t="n">
        <v>0</v>
      </c>
      <c r="L2046" s="49" t="n">
        <v>0</v>
      </c>
      <c r="M2046" s="49" t="n">
        <v>0</v>
      </c>
      <c r="N2046" s="49" t="n">
        <v>0</v>
      </c>
      <c r="O2046" s="49" t="n">
        <v>0</v>
      </c>
      <c r="P2046" s="49" t="n">
        <v>0</v>
      </c>
      <c r="Q2046" s="49" t="n">
        <v>0</v>
      </c>
      <c r="R2046" s="49" t="n">
        <v>0</v>
      </c>
      <c r="S2046" s="50" t="n">
        <v>0</v>
      </c>
      <c r="T2046" s="50" t="n">
        <v>0</v>
      </c>
      <c r="U2046" s="50" t="n">
        <v>0</v>
      </c>
      <c r="V2046" s="50" t="n">
        <v>0</v>
      </c>
      <c r="W2046" s="51" t="n">
        <v>0</v>
      </c>
      <c r="X2046" s="51" t="n">
        <v>0</v>
      </c>
      <c r="Y2046" s="51" t="n">
        <v>0</v>
      </c>
      <c r="Z2046" s="51" t="n">
        <v>0</v>
      </c>
      <c r="AA2046" s="52" t="n">
        <v>0</v>
      </c>
      <c r="AB2046" s="52" t="n">
        <v>0</v>
      </c>
      <c r="AC2046" s="52" t="n">
        <v>0</v>
      </c>
      <c r="AD2046" s="52" t="n">
        <v>0</v>
      </c>
      <c r="AE2046" s="52" t="n">
        <v>0</v>
      </c>
      <c r="AF2046" s="52" t="n">
        <v>0</v>
      </c>
      <c r="AG2046" s="52" t="n">
        <v>0</v>
      </c>
      <c r="AH2046" s="52" t="n">
        <v>0</v>
      </c>
      <c r="AI2046" s="52" t="n">
        <v>0</v>
      </c>
      <c r="AJ2046" s="52" t="n">
        <v>0</v>
      </c>
      <c r="AK2046" s="52" t="n">
        <v>0</v>
      </c>
      <c r="AL2046" s="52" t="n">
        <v>0</v>
      </c>
      <c r="AM2046" s="53" t="n">
        <v>0</v>
      </c>
      <c r="AN2046" s="53" t="n">
        <v>0</v>
      </c>
      <c r="AO2046" s="53" t="n">
        <v>0</v>
      </c>
      <c r="AP2046" s="53" t="n">
        <v>0</v>
      </c>
      <c r="AQ2046" s="52" t="n">
        <v>0</v>
      </c>
      <c r="AR2046" s="52" t="n">
        <v>0</v>
      </c>
      <c r="AS2046" s="52" t="n">
        <v>0</v>
      </c>
      <c r="AT2046" s="52" t="n">
        <v>0</v>
      </c>
      <c r="AU2046" s="53" t="n">
        <v>0</v>
      </c>
      <c r="AV2046" s="53" t="n">
        <v>0</v>
      </c>
      <c r="AW2046" s="53" t="n">
        <v>0</v>
      </c>
      <c r="AX2046" s="53" t="n">
        <v>0</v>
      </c>
      <c r="AY2046" s="52" t="n">
        <v>0</v>
      </c>
      <c r="AZ2046" s="52" t="n">
        <v>0</v>
      </c>
      <c r="BA2046" s="52" t="n">
        <v>0</v>
      </c>
      <c r="BB2046" s="52" t="n">
        <v>0</v>
      </c>
      <c r="BC2046" s="51" t="n">
        <v>0</v>
      </c>
      <c r="BD2046" s="51" t="n">
        <v>0</v>
      </c>
      <c r="BE2046" s="51" t="n">
        <v>0</v>
      </c>
      <c r="BF2046" s="51" t="n">
        <v>0</v>
      </c>
    </row>
    <row r="2047">
      <c r="A2047">
        <f>HYPERLINK("https://www.walmart.com/ip/228927928", "228927928")</f>
        <v/>
      </c>
      <c r="B2047" t="inlineStr">
        <is>
          <t>Oversized Hoodie Blanket Sweatshirt,Super Soft Warm Comfortable Fleece Giant Pullover with Large Front Pocket,for Adults Men Women Teenagers Kids Wife Girlfriend</t>
        </is>
      </c>
      <c r="C2047" t="inlineStr">
        <is>
          <t>1CTHD300BK-UPC</t>
        </is>
      </c>
      <c r="D2047" t="inlineStr">
        <is>
          <t>Sweatshirts &amp; Hoodies</t>
        </is>
      </c>
      <c r="E2047" t="inlineStr">
        <is>
          <t>Catalonia</t>
        </is>
      </c>
      <c r="F2047" t="inlineStr">
        <is>
          <t>Hoodie ForAdult,Optimized,Coupon_Discount</t>
        </is>
      </c>
      <c r="G2047" s="48" t="n">
        <v>0</v>
      </c>
      <c r="H2047" s="48" t="n">
        <v>0</v>
      </c>
      <c r="I2047" s="48" t="n">
        <v>0</v>
      </c>
      <c r="J2047" s="48" t="n">
        <v>0</v>
      </c>
      <c r="K2047" s="49" t="n">
        <v>0</v>
      </c>
      <c r="L2047" s="49" t="n">
        <v>0</v>
      </c>
      <c r="M2047" s="49" t="n">
        <v>0</v>
      </c>
      <c r="N2047" s="49" t="n">
        <v>0</v>
      </c>
      <c r="O2047" s="49" t="n">
        <v>0</v>
      </c>
      <c r="P2047" s="49" t="n">
        <v>0</v>
      </c>
      <c r="Q2047" s="49" t="n">
        <v>0</v>
      </c>
      <c r="R2047" s="49" t="n">
        <v>0</v>
      </c>
      <c r="S2047" s="50" t="n">
        <v>0</v>
      </c>
      <c r="T2047" s="50" t="n">
        <v>0</v>
      </c>
      <c r="U2047" s="50" t="n">
        <v>0</v>
      </c>
      <c r="V2047" s="50" t="n">
        <v>0</v>
      </c>
      <c r="W2047" s="51" t="n">
        <v>0</v>
      </c>
      <c r="X2047" s="51" t="n">
        <v>0</v>
      </c>
      <c r="Y2047" s="51" t="n">
        <v>0</v>
      </c>
      <c r="Z2047" s="51" t="n">
        <v>0</v>
      </c>
      <c r="AA2047" s="52" t="n">
        <v>0</v>
      </c>
      <c r="AB2047" s="52" t="n">
        <v>0</v>
      </c>
      <c r="AC2047" s="52" t="n">
        <v>0</v>
      </c>
      <c r="AD2047" s="52" t="n">
        <v>0</v>
      </c>
      <c r="AE2047" s="52" t="n">
        <v>0</v>
      </c>
      <c r="AF2047" s="52" t="n">
        <v>0</v>
      </c>
      <c r="AG2047" s="52" t="n">
        <v>0</v>
      </c>
      <c r="AH2047" s="52" t="n">
        <v>0</v>
      </c>
      <c r="AI2047" s="52" t="n">
        <v>0</v>
      </c>
      <c r="AJ2047" s="52" t="n">
        <v>0</v>
      </c>
      <c r="AK2047" s="52" t="n">
        <v>0</v>
      </c>
      <c r="AL2047" s="52" t="n">
        <v>0</v>
      </c>
      <c r="AM2047" s="53" t="n">
        <v>0</v>
      </c>
      <c r="AN2047" s="53" t="n">
        <v>0</v>
      </c>
      <c r="AO2047" s="53" t="n">
        <v>0</v>
      </c>
      <c r="AP2047" s="53" t="n">
        <v>0</v>
      </c>
      <c r="AQ2047" s="52" t="n">
        <v>0</v>
      </c>
      <c r="AR2047" s="52" t="n">
        <v>0</v>
      </c>
      <c r="AS2047" s="52" t="n">
        <v>0</v>
      </c>
      <c r="AT2047" s="52" t="n">
        <v>0</v>
      </c>
      <c r="AU2047" s="53" t="n">
        <v>0</v>
      </c>
      <c r="AV2047" s="53" t="n">
        <v>0</v>
      </c>
      <c r="AW2047" s="53" t="n">
        <v>0</v>
      </c>
      <c r="AX2047" s="53" t="n">
        <v>0</v>
      </c>
      <c r="AY2047" s="52" t="n">
        <v>0</v>
      </c>
      <c r="AZ2047" s="52" t="n">
        <v>0</v>
      </c>
      <c r="BA2047" s="52" t="n">
        <v>0</v>
      </c>
      <c r="BB2047" s="52" t="n">
        <v>0</v>
      </c>
      <c r="BC2047" s="51" t="n">
        <v>0</v>
      </c>
      <c r="BD2047" s="51" t="n">
        <v>0</v>
      </c>
      <c r="BE2047" s="51" t="n">
        <v>0</v>
      </c>
      <c r="BF2047" s="51" t="n">
        <v>0</v>
      </c>
    </row>
    <row r="2048">
      <c r="A2048">
        <f>HYPERLINK("https://www.walmart.com/ip/228998372", "228998372")</f>
        <v/>
      </c>
      <c r="B2048" t="inlineStr">
        <is>
          <t>Pawsse Sherpa Pet Blanket, Puppy Cat Blanket, Warm Flannel Plush Dog Fleece Blanket for Small Dogs Kitten, Reversible, Brown/Latte Sherpa Lining, 45 X 30 Inches</t>
        </is>
      </c>
      <c r="C2048" t="inlineStr">
        <is>
          <t>1TRBF345BRLT</t>
        </is>
      </c>
      <c r="D2048" t="inlineStr">
        <is>
          <t>Pet Blankets</t>
        </is>
      </c>
      <c r="E2048" t="inlineStr">
        <is>
          <t>Pawsse</t>
        </is>
      </c>
      <c r="F2048" t="inlineStr">
        <is>
          <t>Batch 1 - TR</t>
        </is>
      </c>
      <c r="G2048" s="48" t="n">
        <v>0</v>
      </c>
      <c r="H2048" s="48" t="n">
        <v>0</v>
      </c>
      <c r="I2048" s="48" t="n">
        <v>0</v>
      </c>
      <c r="J2048" s="48" t="n">
        <v>0</v>
      </c>
      <c r="K2048" s="49" t="n">
        <v>0</v>
      </c>
      <c r="L2048" s="49" t="n">
        <v>0</v>
      </c>
      <c r="M2048" s="49" t="n">
        <v>0</v>
      </c>
      <c r="N2048" s="49" t="n">
        <v>0</v>
      </c>
      <c r="O2048" s="49" t="n">
        <v>0</v>
      </c>
      <c r="P2048" s="49" t="n">
        <v>0</v>
      </c>
      <c r="Q2048" s="49" t="n">
        <v>0</v>
      </c>
      <c r="R2048" s="49" t="n">
        <v>0</v>
      </c>
      <c r="S2048" s="50" t="n">
        <v>0</v>
      </c>
      <c r="T2048" s="50" t="n">
        <v>0</v>
      </c>
      <c r="U2048" s="50" t="n">
        <v>0</v>
      </c>
      <c r="V2048" s="50" t="n">
        <v>0</v>
      </c>
      <c r="W2048" s="51" t="n">
        <v>0</v>
      </c>
      <c r="X2048" s="51" t="n">
        <v>0</v>
      </c>
      <c r="Y2048" s="51" t="n">
        <v>0</v>
      </c>
      <c r="Z2048" s="51" t="n">
        <v>0</v>
      </c>
      <c r="AA2048" s="52" t="n">
        <v>0</v>
      </c>
      <c r="AB2048" s="52" t="n">
        <v>0</v>
      </c>
      <c r="AC2048" s="52" t="n">
        <v>0</v>
      </c>
      <c r="AD2048" s="52" t="n">
        <v>0</v>
      </c>
      <c r="AE2048" s="52" t="n">
        <v>0</v>
      </c>
      <c r="AF2048" s="52" t="n">
        <v>0</v>
      </c>
      <c r="AG2048" s="52" t="n">
        <v>0</v>
      </c>
      <c r="AH2048" s="52" t="n">
        <v>0</v>
      </c>
      <c r="AI2048" s="52" t="n">
        <v>0</v>
      </c>
      <c r="AJ2048" s="52" t="n">
        <v>0</v>
      </c>
      <c r="AK2048" s="52" t="n">
        <v>0</v>
      </c>
      <c r="AL2048" s="52" t="n">
        <v>0</v>
      </c>
      <c r="AM2048" s="53" t="n">
        <v>0</v>
      </c>
      <c r="AN2048" s="53" t="n">
        <v>0</v>
      </c>
      <c r="AO2048" s="53" t="n">
        <v>0</v>
      </c>
      <c r="AP2048" s="53" t="n">
        <v>0</v>
      </c>
      <c r="AQ2048" s="52" t="n">
        <v>0</v>
      </c>
      <c r="AR2048" s="52" t="n">
        <v>0</v>
      </c>
      <c r="AS2048" s="52" t="n">
        <v>0</v>
      </c>
      <c r="AT2048" s="52" t="n">
        <v>0</v>
      </c>
      <c r="AU2048" s="53" t="n">
        <v>0</v>
      </c>
      <c r="AV2048" s="53" t="n">
        <v>0</v>
      </c>
      <c r="AW2048" s="53" t="n">
        <v>0</v>
      </c>
      <c r="AX2048" s="53" t="n">
        <v>0</v>
      </c>
      <c r="AY2048" s="52" t="n">
        <v>0</v>
      </c>
      <c r="AZ2048" s="52" t="n">
        <v>0</v>
      </c>
      <c r="BA2048" s="52" t="n">
        <v>0</v>
      </c>
      <c r="BB2048" s="52" t="n">
        <v>0</v>
      </c>
      <c r="BC2048" s="51" t="n">
        <v>0</v>
      </c>
      <c r="BD2048" s="51" t="n">
        <v>0</v>
      </c>
      <c r="BE2048" s="51" t="n">
        <v>0</v>
      </c>
      <c r="BF2048" s="51" t="n">
        <v>0</v>
      </c>
    </row>
    <row r="2049">
      <c r="A2049">
        <f>HYPERLINK("https://www.walmart.com/ip/2294619630", "2294619630")</f>
        <v/>
      </c>
      <c r="B2049" t="inlineStr">
        <is>
          <t>Catalonia Wearable Fleece Blanket with Sleeves and Foot Pockets for Adult Women Men, Micro Plush Comfy Wrap Sleeved Throw Blanket Robe Large, Southwest Star</t>
        </is>
      </c>
      <c r="C2049" t="inlineStr">
        <is>
          <t>1CTSN101SWSTAR</t>
        </is>
      </c>
      <c r="D2049" t="inlineStr">
        <is>
          <t>Throws</t>
        </is>
      </c>
      <c r="E2049" t="inlineStr">
        <is>
          <t>Catalonia</t>
        </is>
      </c>
      <c r="F2049" t="inlineStr">
        <is>
          <t>Fleece Blankets</t>
        </is>
      </c>
      <c r="G2049" s="48" t="n">
        <v>0</v>
      </c>
      <c r="H2049" s="48" t="n">
        <v>0</v>
      </c>
      <c r="I2049" s="48" t="n">
        <v>0</v>
      </c>
      <c r="J2049" s="48" t="n">
        <v>0</v>
      </c>
      <c r="K2049" s="49" t="n">
        <v>0</v>
      </c>
      <c r="L2049" s="49" t="n">
        <v>0</v>
      </c>
      <c r="M2049" s="49" t="n">
        <v>0</v>
      </c>
      <c r="N2049" s="49" t="n">
        <v>0</v>
      </c>
      <c r="O2049" s="49" t="n">
        <v>0</v>
      </c>
      <c r="P2049" s="49" t="n">
        <v>0</v>
      </c>
      <c r="Q2049" s="49" t="n">
        <v>0</v>
      </c>
      <c r="R2049" s="49" t="n">
        <v>0</v>
      </c>
      <c r="S2049" s="50" t="n">
        <v>0</v>
      </c>
      <c r="T2049" s="50" t="n">
        <v>0</v>
      </c>
      <c r="U2049" s="50" t="n">
        <v>0</v>
      </c>
      <c r="V2049" s="50" t="n">
        <v>0</v>
      </c>
      <c r="W2049" s="51" t="n">
        <v>0</v>
      </c>
      <c r="X2049" s="51" t="n">
        <v>0</v>
      </c>
      <c r="Y2049" s="51" t="n">
        <v>0</v>
      </c>
      <c r="Z2049" s="51" t="n">
        <v>0</v>
      </c>
      <c r="AA2049" s="52" t="n">
        <v>0</v>
      </c>
      <c r="AB2049" s="52" t="n">
        <v>0</v>
      </c>
      <c r="AC2049" s="52" t="n">
        <v>0</v>
      </c>
      <c r="AD2049" s="52" t="n">
        <v>0</v>
      </c>
      <c r="AE2049" s="52" t="n">
        <v>0</v>
      </c>
      <c r="AF2049" s="52" t="n">
        <v>0</v>
      </c>
      <c r="AG2049" s="52" t="n">
        <v>0</v>
      </c>
      <c r="AH2049" s="52" t="n">
        <v>0</v>
      </c>
      <c r="AI2049" s="52" t="n">
        <v>0</v>
      </c>
      <c r="AJ2049" s="52" t="n">
        <v>0</v>
      </c>
      <c r="AK2049" s="52" t="n">
        <v>0</v>
      </c>
      <c r="AL2049" s="52" t="n">
        <v>0</v>
      </c>
      <c r="AM2049" s="53" t="n">
        <v>0</v>
      </c>
      <c r="AN2049" s="53" t="n">
        <v>0</v>
      </c>
      <c r="AO2049" s="53" t="n">
        <v>0</v>
      </c>
      <c r="AP2049" s="53" t="n">
        <v>0</v>
      </c>
      <c r="AQ2049" s="52" t="n">
        <v>0</v>
      </c>
      <c r="AR2049" s="52" t="n">
        <v>0</v>
      </c>
      <c r="AS2049" s="52" t="n">
        <v>0</v>
      </c>
      <c r="AT2049" s="52" t="n">
        <v>0</v>
      </c>
      <c r="AU2049" s="53" t="n">
        <v>0</v>
      </c>
      <c r="AV2049" s="53" t="n">
        <v>0</v>
      </c>
      <c r="AW2049" s="53" t="n">
        <v>0</v>
      </c>
      <c r="AX2049" s="53" t="n">
        <v>0</v>
      </c>
      <c r="AY2049" s="52" t="n">
        <v>0</v>
      </c>
      <c r="AZ2049" s="52" t="n">
        <v>0</v>
      </c>
      <c r="BA2049" s="52" t="n">
        <v>0</v>
      </c>
      <c r="BB2049" s="52" t="n">
        <v>0</v>
      </c>
      <c r="BC2049" s="51" t="n">
        <v>0</v>
      </c>
      <c r="BD2049" s="51" t="n">
        <v>0</v>
      </c>
      <c r="BE2049" s="51" t="n">
        <v>0</v>
      </c>
      <c r="BF2049" s="51" t="n">
        <v>0</v>
      </c>
    </row>
    <row r="2050">
      <c r="A2050">
        <f>HYPERLINK("https://www.walmart.com/ip/229712908", "229712908")</f>
        <v/>
      </c>
      <c r="B2050" t="inlineStr">
        <is>
          <t>Kato Insulated Lunch Bag for Women and Men, Leakproof Portable Cooler with Dual Compartments, Double Deck, Front Pockets, Zipper Closure for School, Office Work, Outdoor Activities, Medium Size, Black</t>
        </is>
      </c>
      <c r="C2050" t="inlineStr">
        <is>
          <t>1KTLB300BKBK</t>
        </is>
      </c>
      <c r="D2050" t="inlineStr">
        <is>
          <t>Reusable Lunch Bags &amp; Boxes</t>
        </is>
      </c>
      <c r="E2050" t="inlineStr">
        <is>
          <t>Kato</t>
        </is>
      </c>
      <c r="F2050" t="inlineStr">
        <is>
          <t>Lunch Bag,WFS,Lunch Bags,SEM,WFS Item</t>
        </is>
      </c>
      <c r="G2050" s="48" t="n">
        <v>0</v>
      </c>
      <c r="H2050" s="48" t="n">
        <v>0</v>
      </c>
      <c r="I2050" s="48" t="n">
        <v>0</v>
      </c>
      <c r="J2050" s="48" t="n">
        <v>0</v>
      </c>
      <c r="K2050" s="49" t="n">
        <v>0</v>
      </c>
      <c r="L2050" s="49" t="n">
        <v>0</v>
      </c>
      <c r="M2050" s="49" t="n">
        <v>0</v>
      </c>
      <c r="N2050" s="49" t="n">
        <v>0</v>
      </c>
      <c r="O2050" s="49" t="n">
        <v>0</v>
      </c>
      <c r="P2050" s="49" t="n">
        <v>0</v>
      </c>
      <c r="Q2050" s="49" t="n">
        <v>0</v>
      </c>
      <c r="R2050" s="49" t="n">
        <v>0</v>
      </c>
      <c r="S2050" s="50" t="n">
        <v>0</v>
      </c>
      <c r="T2050" s="50" t="n">
        <v>0</v>
      </c>
      <c r="U2050" s="50" t="n">
        <v>0</v>
      </c>
      <c r="V2050" s="50" t="n">
        <v>0</v>
      </c>
      <c r="W2050" s="51" t="n">
        <v>0</v>
      </c>
      <c r="X2050" s="51" t="n">
        <v>0</v>
      </c>
      <c r="Y2050" s="51" t="n">
        <v>0</v>
      </c>
      <c r="Z2050" s="51" t="n">
        <v>0</v>
      </c>
      <c r="AA2050" s="52" t="n">
        <v>0</v>
      </c>
      <c r="AB2050" s="52" t="n">
        <v>0</v>
      </c>
      <c r="AC2050" s="52" t="n">
        <v>0</v>
      </c>
      <c r="AD2050" s="52" t="n">
        <v>0</v>
      </c>
      <c r="AE2050" s="52" t="n">
        <v>0</v>
      </c>
      <c r="AF2050" s="52" t="n">
        <v>0</v>
      </c>
      <c r="AG2050" s="52" t="n">
        <v>0</v>
      </c>
      <c r="AH2050" s="52" t="n">
        <v>0</v>
      </c>
      <c r="AI2050" s="52" t="n">
        <v>0</v>
      </c>
      <c r="AJ2050" s="52" t="n">
        <v>0</v>
      </c>
      <c r="AK2050" s="52" t="n">
        <v>0</v>
      </c>
      <c r="AL2050" s="52" t="n">
        <v>0</v>
      </c>
      <c r="AM2050" s="53" t="n">
        <v>0</v>
      </c>
      <c r="AN2050" s="53" t="n">
        <v>0</v>
      </c>
      <c r="AO2050" s="53" t="n">
        <v>0</v>
      </c>
      <c r="AP2050" s="53" t="n">
        <v>0</v>
      </c>
      <c r="AQ2050" s="52" t="n">
        <v>0</v>
      </c>
      <c r="AR2050" s="52" t="n">
        <v>0</v>
      </c>
      <c r="AS2050" s="52" t="n">
        <v>0</v>
      </c>
      <c r="AT2050" s="52" t="n">
        <v>0</v>
      </c>
      <c r="AU2050" s="53" t="n">
        <v>0</v>
      </c>
      <c r="AV2050" s="53" t="n">
        <v>0</v>
      </c>
      <c r="AW2050" s="53" t="n">
        <v>0</v>
      </c>
      <c r="AX2050" s="53" t="n">
        <v>0</v>
      </c>
      <c r="AY2050" s="52" t="n">
        <v>0</v>
      </c>
      <c r="AZ2050" s="52" t="n">
        <v>0</v>
      </c>
      <c r="BA2050" s="52" t="n">
        <v>0</v>
      </c>
      <c r="BB2050" s="52" t="n">
        <v>0</v>
      </c>
      <c r="BC2050" s="51" t="n">
        <v>0</v>
      </c>
      <c r="BD2050" s="51" t="n">
        <v>0</v>
      </c>
      <c r="BE2050" s="51" t="n">
        <v>0</v>
      </c>
      <c r="BF2050" s="51" t="n">
        <v>0</v>
      </c>
    </row>
    <row r="2051">
      <c r="A2051">
        <f>HYPERLINK("https://www.walmart.com/ip/230127046", "230127046")</f>
        <v/>
      </c>
      <c r="B2051" t="inlineStr">
        <is>
          <t>Medium Pet Travel Backpack Carrier for Dogs Cat Animal Puppy, Breathable Mesh Net Removable Sherpa Bed Outdoor Carrier f</t>
        </is>
      </c>
      <c r="C2051" t="inlineStr">
        <is>
          <t>1WMPB200CH</t>
        </is>
      </c>
      <c r="D2051" t="inlineStr">
        <is>
          <t>Pet Carriers</t>
        </is>
      </c>
      <c r="E2051" t="inlineStr">
        <is>
          <t>Flyingstar</t>
        </is>
      </c>
      <c r="F2051" t="inlineStr">
        <is>
          <t>Optimized</t>
        </is>
      </c>
      <c r="G2051" s="48" t="n">
        <v>0</v>
      </c>
      <c r="H2051" s="48" t="n">
        <v>0</v>
      </c>
      <c r="I2051" s="48" t="n">
        <v>0</v>
      </c>
      <c r="J2051" s="48" t="n">
        <v>0</v>
      </c>
      <c r="K2051" s="49" t="n">
        <v>0</v>
      </c>
      <c r="L2051" s="49" t="n">
        <v>0</v>
      </c>
      <c r="M2051" s="49" t="n">
        <v>0</v>
      </c>
      <c r="N2051" s="49" t="n">
        <v>0</v>
      </c>
      <c r="O2051" s="49" t="n">
        <v>0</v>
      </c>
      <c r="P2051" s="49" t="n">
        <v>0</v>
      </c>
      <c r="Q2051" s="49" t="n">
        <v>0</v>
      </c>
      <c r="R2051" s="49" t="n">
        <v>0</v>
      </c>
      <c r="S2051" s="50" t="n">
        <v>0</v>
      </c>
      <c r="T2051" s="50" t="n">
        <v>0</v>
      </c>
      <c r="U2051" s="50" t="n">
        <v>0</v>
      </c>
      <c r="V2051" s="50" t="n">
        <v>0</v>
      </c>
      <c r="W2051" s="51" t="n">
        <v>0</v>
      </c>
      <c r="X2051" s="51" t="n">
        <v>0</v>
      </c>
      <c r="Y2051" s="51" t="n">
        <v>0</v>
      </c>
      <c r="Z2051" s="51" t="n">
        <v>0</v>
      </c>
      <c r="AA2051" s="52" t="n">
        <v>0</v>
      </c>
      <c r="AB2051" s="52" t="n">
        <v>0</v>
      </c>
      <c r="AC2051" s="52" t="n">
        <v>0</v>
      </c>
      <c r="AD2051" s="52" t="n">
        <v>0</v>
      </c>
      <c r="AE2051" s="52" t="n">
        <v>0</v>
      </c>
      <c r="AF2051" s="52" t="n">
        <v>0</v>
      </c>
      <c r="AG2051" s="52" t="n">
        <v>0</v>
      </c>
      <c r="AH2051" s="52" t="n">
        <v>0</v>
      </c>
      <c r="AI2051" s="52" t="n">
        <v>0</v>
      </c>
      <c r="AJ2051" s="52" t="n">
        <v>0</v>
      </c>
      <c r="AK2051" s="52" t="n">
        <v>0</v>
      </c>
      <c r="AL2051" s="52" t="n">
        <v>0</v>
      </c>
      <c r="AM2051" s="53" t="n">
        <v>0</v>
      </c>
      <c r="AN2051" s="53" t="n">
        <v>0</v>
      </c>
      <c r="AO2051" s="53" t="n">
        <v>0</v>
      </c>
      <c r="AP2051" s="53" t="n">
        <v>0</v>
      </c>
      <c r="AQ2051" s="52" t="n">
        <v>0</v>
      </c>
      <c r="AR2051" s="52" t="n">
        <v>0</v>
      </c>
      <c r="AS2051" s="52" t="n">
        <v>0</v>
      </c>
      <c r="AT2051" s="52" t="n">
        <v>0</v>
      </c>
      <c r="AU2051" s="53" t="n">
        <v>0</v>
      </c>
      <c r="AV2051" s="53" t="n">
        <v>0</v>
      </c>
      <c r="AW2051" s="53" t="n">
        <v>0</v>
      </c>
      <c r="AX2051" s="53" t="n">
        <v>0</v>
      </c>
      <c r="AY2051" s="52" t="n">
        <v>0</v>
      </c>
      <c r="AZ2051" s="52" t="n">
        <v>0</v>
      </c>
      <c r="BA2051" s="52" t="n">
        <v>0</v>
      </c>
      <c r="BB2051" s="52" t="n">
        <v>0</v>
      </c>
      <c r="BC2051" s="51" t="n">
        <v>0</v>
      </c>
      <c r="BD2051" s="51" t="n">
        <v>0</v>
      </c>
      <c r="BE2051" s="51" t="n">
        <v>0</v>
      </c>
      <c r="BF2051" s="51" t="n">
        <v>0</v>
      </c>
    </row>
    <row r="2052">
      <c r="A2052">
        <f>HYPERLINK("https://www.walmart.com/ip/230608270", "230608270")</f>
        <v/>
      </c>
      <c r="B2052" t="inlineStr">
        <is>
          <t>Catalonia Mermaid Tail Blanket, Adult Mermaid Blanket with Anti-Slip Neck Strap, Silky Hand Knitted Sleeping Blanket for Adults All Season Sleeping Bag Multi-Colors 66.5"x22.5" Purple</t>
        </is>
      </c>
      <c r="C2052" t="inlineStr">
        <is>
          <t>1CTMM100PP</t>
        </is>
      </c>
      <c r="D2052" t="inlineStr">
        <is>
          <t>Throws</t>
        </is>
      </c>
      <c r="E2052" t="inlineStr">
        <is>
          <t>Catalonia</t>
        </is>
      </c>
      <c r="F2052" t="inlineStr">
        <is>
          <t>Optimized</t>
        </is>
      </c>
      <c r="G2052" s="48" t="n">
        <v>0</v>
      </c>
      <c r="H2052" s="48" t="n">
        <v>0</v>
      </c>
      <c r="I2052" s="48" t="n">
        <v>0</v>
      </c>
      <c r="J2052" s="48" t="n">
        <v>0</v>
      </c>
      <c r="K2052" s="49" t="n">
        <v>0</v>
      </c>
      <c r="L2052" s="49" t="n">
        <v>0</v>
      </c>
      <c r="M2052" s="49" t="n">
        <v>0</v>
      </c>
      <c r="N2052" s="49" t="n">
        <v>0</v>
      </c>
      <c r="O2052" s="49" t="n">
        <v>0</v>
      </c>
      <c r="P2052" s="49" t="n">
        <v>0</v>
      </c>
      <c r="Q2052" s="49" t="n">
        <v>0</v>
      </c>
      <c r="R2052" s="49" t="n">
        <v>0</v>
      </c>
      <c r="S2052" s="50" t="n">
        <v>0</v>
      </c>
      <c r="T2052" s="50" t="n">
        <v>0</v>
      </c>
      <c r="U2052" s="50" t="n">
        <v>0</v>
      </c>
      <c r="V2052" s="50" t="n">
        <v>0</v>
      </c>
      <c r="W2052" s="51" t="n">
        <v>0</v>
      </c>
      <c r="X2052" s="51" t="n">
        <v>0</v>
      </c>
      <c r="Y2052" s="51" t="n">
        <v>0</v>
      </c>
      <c r="Z2052" s="51" t="n">
        <v>0</v>
      </c>
      <c r="AA2052" s="52" t="n">
        <v>0</v>
      </c>
      <c r="AB2052" s="52" t="n">
        <v>0</v>
      </c>
      <c r="AC2052" s="52" t="n">
        <v>0</v>
      </c>
      <c r="AD2052" s="52" t="n">
        <v>0</v>
      </c>
      <c r="AE2052" s="52" t="n">
        <v>0</v>
      </c>
      <c r="AF2052" s="52" t="n">
        <v>0</v>
      </c>
      <c r="AG2052" s="52" t="n">
        <v>0</v>
      </c>
      <c r="AH2052" s="52" t="n">
        <v>0</v>
      </c>
      <c r="AI2052" s="52" t="n">
        <v>0</v>
      </c>
      <c r="AJ2052" s="52" t="n">
        <v>0</v>
      </c>
      <c r="AK2052" s="52" t="n">
        <v>0</v>
      </c>
      <c r="AL2052" s="52" t="n">
        <v>0</v>
      </c>
      <c r="AM2052" s="53" t="n">
        <v>0</v>
      </c>
      <c r="AN2052" s="53" t="n">
        <v>0</v>
      </c>
      <c r="AO2052" s="53" t="n">
        <v>0</v>
      </c>
      <c r="AP2052" s="53" t="n">
        <v>0</v>
      </c>
      <c r="AQ2052" s="52" t="n">
        <v>0</v>
      </c>
      <c r="AR2052" s="52" t="n">
        <v>0</v>
      </c>
      <c r="AS2052" s="52" t="n">
        <v>0</v>
      </c>
      <c r="AT2052" s="52" t="n">
        <v>0</v>
      </c>
      <c r="AU2052" s="53" t="n">
        <v>0</v>
      </c>
      <c r="AV2052" s="53" t="n">
        <v>0</v>
      </c>
      <c r="AW2052" s="53" t="n">
        <v>0</v>
      </c>
      <c r="AX2052" s="53" t="n">
        <v>0</v>
      </c>
      <c r="AY2052" s="52" t="n">
        <v>0</v>
      </c>
      <c r="AZ2052" s="52" t="n">
        <v>0</v>
      </c>
      <c r="BA2052" s="52" t="n">
        <v>0</v>
      </c>
      <c r="BB2052" s="52" t="n">
        <v>0</v>
      </c>
      <c r="BC2052" s="51" t="n">
        <v>0</v>
      </c>
      <c r="BD2052" s="51" t="n">
        <v>0</v>
      </c>
      <c r="BE2052" s="51" t="n">
        <v>0</v>
      </c>
      <c r="BF2052" s="51" t="n">
        <v>0</v>
      </c>
    </row>
    <row r="2053">
      <c r="A2053">
        <f>HYPERLINK("https://www.walmart.com/ip/2317257431", "2317257431")</f>
        <v/>
      </c>
      <c r="B2053" t="inlineStr">
        <is>
          <t>Catalonia Wearable Fleece Blanket with Sleeves and Pocket, Soft, Cozy Plush Fleece Wrap Throw Blanket Robe, One Size Fits All, Aqua, 71" x 51"</t>
        </is>
      </c>
      <c r="C2053" t="inlineStr">
        <is>
          <t>1CTSN150AQ</t>
        </is>
      </c>
      <c r="D2053" t="inlineStr">
        <is>
          <t>Throws</t>
        </is>
      </c>
      <c r="E2053" t="inlineStr">
        <is>
          <t>Catalonia</t>
        </is>
      </c>
      <c r="F2053" t="inlineStr">
        <is>
          <t>Batch 1 - TR</t>
        </is>
      </c>
      <c r="G2053" s="48" t="n">
        <v>0</v>
      </c>
      <c r="H2053" s="48" t="n">
        <v>0</v>
      </c>
      <c r="I2053" s="48" t="n">
        <v>0</v>
      </c>
      <c r="J2053" s="48" t="n">
        <v>0</v>
      </c>
      <c r="K2053" s="49" t="n">
        <v>0</v>
      </c>
      <c r="L2053" s="49" t="n">
        <v>0</v>
      </c>
      <c r="M2053" s="49" t="n">
        <v>0</v>
      </c>
      <c r="N2053" s="49" t="n">
        <v>0</v>
      </c>
      <c r="O2053" s="49" t="n">
        <v>0</v>
      </c>
      <c r="P2053" s="49" t="n">
        <v>0</v>
      </c>
      <c r="Q2053" s="49" t="n">
        <v>0</v>
      </c>
      <c r="R2053" s="49" t="n">
        <v>0</v>
      </c>
      <c r="S2053" s="50" t="n">
        <v>0</v>
      </c>
      <c r="T2053" s="50" t="n">
        <v>0</v>
      </c>
      <c r="U2053" s="50" t="n">
        <v>0</v>
      </c>
      <c r="V2053" s="50" t="n">
        <v>0</v>
      </c>
      <c r="W2053" s="51" t="n">
        <v>0</v>
      </c>
      <c r="X2053" s="51" t="n">
        <v>0</v>
      </c>
      <c r="Y2053" s="51" t="n">
        <v>0</v>
      </c>
      <c r="Z2053" s="51" t="n">
        <v>0</v>
      </c>
      <c r="AA2053" s="52" t="n">
        <v>0</v>
      </c>
      <c r="AB2053" s="52" t="n">
        <v>0</v>
      </c>
      <c r="AC2053" s="52" t="n">
        <v>0</v>
      </c>
      <c r="AD2053" s="52" t="n">
        <v>0</v>
      </c>
      <c r="AE2053" s="52" t="n">
        <v>0</v>
      </c>
      <c r="AF2053" s="52" t="n">
        <v>0</v>
      </c>
      <c r="AG2053" s="52" t="n">
        <v>0</v>
      </c>
      <c r="AH2053" s="52" t="n">
        <v>0</v>
      </c>
      <c r="AI2053" s="52" t="n">
        <v>0</v>
      </c>
      <c r="AJ2053" s="52" t="n">
        <v>0</v>
      </c>
      <c r="AK2053" s="52" t="n">
        <v>0</v>
      </c>
      <c r="AL2053" s="52" t="n">
        <v>0</v>
      </c>
      <c r="AM2053" s="53" t="n">
        <v>0</v>
      </c>
      <c r="AN2053" s="53" t="n">
        <v>0</v>
      </c>
      <c r="AO2053" s="53" t="n">
        <v>0</v>
      </c>
      <c r="AP2053" s="53" t="n">
        <v>0</v>
      </c>
      <c r="AQ2053" s="52" t="n">
        <v>0</v>
      </c>
      <c r="AR2053" s="52" t="n">
        <v>0</v>
      </c>
      <c r="AS2053" s="52" t="n">
        <v>0</v>
      </c>
      <c r="AT2053" s="52" t="n">
        <v>0</v>
      </c>
      <c r="AU2053" s="53" t="n">
        <v>0</v>
      </c>
      <c r="AV2053" s="53" t="n">
        <v>0</v>
      </c>
      <c r="AW2053" s="53" t="n">
        <v>0</v>
      </c>
      <c r="AX2053" s="53" t="n">
        <v>0</v>
      </c>
      <c r="AY2053" s="52" t="n">
        <v>0</v>
      </c>
      <c r="AZ2053" s="52" t="n">
        <v>0</v>
      </c>
      <c r="BA2053" s="52" t="n">
        <v>0</v>
      </c>
      <c r="BB2053" s="52" t="n">
        <v>0</v>
      </c>
      <c r="BC2053" s="51" t="n">
        <v>0</v>
      </c>
      <c r="BD2053" s="51" t="n">
        <v>0</v>
      </c>
      <c r="BE2053" s="51" t="n">
        <v>0</v>
      </c>
      <c r="BF2053" s="51" t="n">
        <v>0</v>
      </c>
    </row>
    <row r="2054">
      <c r="A2054">
        <f>HYPERLINK("https://www.walmart.com/ip/2328124549", "2328124549")</f>
        <v/>
      </c>
      <c r="B2054" t="inlineStr">
        <is>
          <t>Catalonia Wearable TV Blanket with Sleeves Arms Micro Plush Fleece Wrap Throw Robe 73 x 51”</t>
        </is>
      </c>
      <c r="C2054" t="inlineStr">
        <is>
          <t>1CTSN150P2RD</t>
        </is>
      </c>
      <c r="D2054" t="inlineStr">
        <is>
          <t>Throws</t>
        </is>
      </c>
      <c r="E2054" t="inlineStr">
        <is>
          <t>Catalonia</t>
        </is>
      </c>
      <c r="F2054" t="inlineStr">
        <is>
          <t>Batch 1 - TR</t>
        </is>
      </c>
      <c r="G2054" s="48" t="n">
        <v>0</v>
      </c>
      <c r="H2054" s="48" t="n">
        <v>0</v>
      </c>
      <c r="I2054" s="48" t="n">
        <v>0</v>
      </c>
      <c r="J2054" s="48" t="n">
        <v>0</v>
      </c>
      <c r="K2054" s="49" t="n">
        <v>0</v>
      </c>
      <c r="L2054" s="49" t="n">
        <v>0</v>
      </c>
      <c r="M2054" s="49" t="n">
        <v>0</v>
      </c>
      <c r="N2054" s="49" t="n">
        <v>0</v>
      </c>
      <c r="O2054" s="49" t="n">
        <v>0</v>
      </c>
      <c r="P2054" s="49" t="n">
        <v>0</v>
      </c>
      <c r="Q2054" s="49" t="n">
        <v>0</v>
      </c>
      <c r="R2054" s="49" t="n">
        <v>0</v>
      </c>
      <c r="S2054" s="50" t="n">
        <v>0</v>
      </c>
      <c r="T2054" s="50" t="n">
        <v>0</v>
      </c>
      <c r="U2054" s="50" t="n">
        <v>0</v>
      </c>
      <c r="V2054" s="50" t="n">
        <v>0</v>
      </c>
      <c r="W2054" s="51" t="n">
        <v>0</v>
      </c>
      <c r="X2054" s="51" t="n">
        <v>0</v>
      </c>
      <c r="Y2054" s="51" t="n">
        <v>0</v>
      </c>
      <c r="Z2054" s="51" t="n">
        <v>0</v>
      </c>
      <c r="AA2054" s="52" t="n">
        <v>0</v>
      </c>
      <c r="AB2054" s="52" t="n">
        <v>0</v>
      </c>
      <c r="AC2054" s="52" t="n">
        <v>0</v>
      </c>
      <c r="AD2054" s="52" t="n">
        <v>0</v>
      </c>
      <c r="AE2054" s="52" t="n">
        <v>0</v>
      </c>
      <c r="AF2054" s="52" t="n">
        <v>0</v>
      </c>
      <c r="AG2054" s="52" t="n">
        <v>0</v>
      </c>
      <c r="AH2054" s="52" t="n">
        <v>0</v>
      </c>
      <c r="AI2054" s="52" t="n">
        <v>0</v>
      </c>
      <c r="AJ2054" s="52" t="n">
        <v>0</v>
      </c>
      <c r="AK2054" s="52" t="n">
        <v>0</v>
      </c>
      <c r="AL2054" s="52" t="n">
        <v>0</v>
      </c>
      <c r="AM2054" s="53" t="n">
        <v>0</v>
      </c>
      <c r="AN2054" s="53" t="n">
        <v>0</v>
      </c>
      <c r="AO2054" s="53" t="n">
        <v>0</v>
      </c>
      <c r="AP2054" s="53" t="n">
        <v>0</v>
      </c>
      <c r="AQ2054" s="52" t="n">
        <v>0</v>
      </c>
      <c r="AR2054" s="52" t="n">
        <v>0</v>
      </c>
      <c r="AS2054" s="52" t="n">
        <v>0</v>
      </c>
      <c r="AT2054" s="52" t="n">
        <v>0</v>
      </c>
      <c r="AU2054" s="53" t="n">
        <v>0</v>
      </c>
      <c r="AV2054" s="53" t="n">
        <v>0</v>
      </c>
      <c r="AW2054" s="53" t="n">
        <v>0</v>
      </c>
      <c r="AX2054" s="53" t="n">
        <v>0</v>
      </c>
      <c r="AY2054" s="52" t="n">
        <v>0</v>
      </c>
      <c r="AZ2054" s="52" t="n">
        <v>0</v>
      </c>
      <c r="BA2054" s="52" t="n">
        <v>0</v>
      </c>
      <c r="BB2054" s="52" t="n">
        <v>0</v>
      </c>
      <c r="BC2054" s="51" t="n">
        <v>0</v>
      </c>
      <c r="BD2054" s="51" t="n">
        <v>0</v>
      </c>
      <c r="BE2054" s="51" t="n">
        <v>0</v>
      </c>
      <c r="BF2054" s="51" t="n">
        <v>0</v>
      </c>
    </row>
    <row r="2055">
      <c r="A2055">
        <f>HYPERLINK("https://www.walmart.com/ip/233444548", "233444548")</f>
        <v/>
      </c>
      <c r="B2055" t="inlineStr">
        <is>
          <t>Catalonia Long Kinky Curly Wig Lace Front,Synthetic Fiber Deep Wave Hair Replacement Wig 19 Inch</t>
        </is>
      </c>
      <c r="C2055" t="inlineStr">
        <is>
          <t>1CTWIG001-4-ESCB</t>
        </is>
      </c>
      <c r="D2055" t="inlineStr">
        <is>
          <t>Wigs &amp; Toupees</t>
        </is>
      </c>
      <c r="E2055" t="inlineStr">
        <is>
          <t>Catalonia</t>
        </is>
      </c>
      <c r="G2055" s="48" t="n">
        <v>0</v>
      </c>
      <c r="H2055" s="48" t="n">
        <v>0</v>
      </c>
      <c r="I2055" s="48" t="n">
        <v>0</v>
      </c>
      <c r="J2055" s="48" t="n">
        <v>0</v>
      </c>
      <c r="K2055" s="49" t="n">
        <v>0</v>
      </c>
      <c r="L2055" s="49" t="n">
        <v>0</v>
      </c>
      <c r="M2055" s="49" t="n">
        <v>0</v>
      </c>
      <c r="N2055" s="49" t="n">
        <v>0</v>
      </c>
      <c r="O2055" s="49" t="n">
        <v>0</v>
      </c>
      <c r="P2055" s="49" t="n">
        <v>0</v>
      </c>
      <c r="Q2055" s="49" t="n">
        <v>0</v>
      </c>
      <c r="R2055" s="49" t="n">
        <v>0</v>
      </c>
      <c r="S2055" s="50" t="n">
        <v>0</v>
      </c>
      <c r="T2055" s="50" t="n">
        <v>0</v>
      </c>
      <c r="U2055" s="50" t="n">
        <v>0</v>
      </c>
      <c r="V2055" s="50" t="n">
        <v>0</v>
      </c>
      <c r="W2055" s="51" t="n">
        <v>0</v>
      </c>
      <c r="X2055" s="51" t="n">
        <v>0</v>
      </c>
      <c r="Y2055" s="51" t="n">
        <v>0</v>
      </c>
      <c r="Z2055" s="51" t="n">
        <v>0</v>
      </c>
      <c r="AA2055" s="52" t="n">
        <v>0</v>
      </c>
      <c r="AB2055" s="52" t="n">
        <v>0</v>
      </c>
      <c r="AC2055" s="52" t="n">
        <v>0</v>
      </c>
      <c r="AD2055" s="52" t="n">
        <v>0</v>
      </c>
      <c r="AE2055" s="52" t="n">
        <v>0</v>
      </c>
      <c r="AF2055" s="52" t="n">
        <v>0</v>
      </c>
      <c r="AG2055" s="52" t="n">
        <v>0</v>
      </c>
      <c r="AH2055" s="52" t="n">
        <v>0</v>
      </c>
      <c r="AI2055" s="52" t="n">
        <v>0</v>
      </c>
      <c r="AJ2055" s="52" t="n">
        <v>0</v>
      </c>
      <c r="AK2055" s="52" t="n">
        <v>0</v>
      </c>
      <c r="AL2055" s="52" t="n">
        <v>0</v>
      </c>
      <c r="AM2055" s="53" t="n">
        <v>0</v>
      </c>
      <c r="AN2055" s="53" t="n">
        <v>0</v>
      </c>
      <c r="AO2055" s="53" t="n">
        <v>0</v>
      </c>
      <c r="AP2055" s="53" t="n">
        <v>0</v>
      </c>
      <c r="AQ2055" s="52" t="n">
        <v>0</v>
      </c>
      <c r="AR2055" s="52" t="n">
        <v>0</v>
      </c>
      <c r="AS2055" s="52" t="n">
        <v>0</v>
      </c>
      <c r="AT2055" s="52" t="n">
        <v>0</v>
      </c>
      <c r="AU2055" s="53" t="n">
        <v>0</v>
      </c>
      <c r="AV2055" s="53" t="n">
        <v>0</v>
      </c>
      <c r="AW2055" s="53" t="n">
        <v>0</v>
      </c>
      <c r="AX2055" s="53" t="n">
        <v>0</v>
      </c>
      <c r="AY2055" s="52" t="n">
        <v>0</v>
      </c>
      <c r="AZ2055" s="52" t="n">
        <v>0</v>
      </c>
      <c r="BA2055" s="52" t="n">
        <v>0</v>
      </c>
      <c r="BB2055" s="52" t="n">
        <v>0</v>
      </c>
      <c r="BC2055" s="51" t="n">
        <v>0</v>
      </c>
      <c r="BD2055" s="51" t="n">
        <v>0</v>
      </c>
      <c r="BE2055" s="51" t="n">
        <v>0</v>
      </c>
      <c r="BF2055" s="51" t="n">
        <v>0</v>
      </c>
    </row>
    <row r="2056">
      <c r="A2056">
        <f>HYPERLINK("https://www.walmart.com/ip/233540626", "233540626")</f>
        <v/>
      </c>
      <c r="B2056" t="inlineStr">
        <is>
          <t>Two-Piece Ladies Tankini Swimsuit for Women Swimsuits by Tirrinia</t>
        </is>
      </c>
      <c r="C2056" t="inlineStr">
        <is>
          <t>1TRSS003BL-XL</t>
        </is>
      </c>
      <c r="D2056" t="inlineStr">
        <is>
          <t>Swimsuit Sets</t>
        </is>
      </c>
      <c r="E2056" t="inlineStr">
        <is>
          <t>Tirrinia</t>
        </is>
      </c>
      <c r="G2056" s="48" t="n">
        <v>0</v>
      </c>
      <c r="H2056" s="48" t="n">
        <v>0</v>
      </c>
      <c r="I2056" s="48" t="n">
        <v>0</v>
      </c>
      <c r="J2056" s="48" t="n">
        <v>0</v>
      </c>
      <c r="K2056" s="49" t="n">
        <v>0</v>
      </c>
      <c r="L2056" s="49" t="n">
        <v>0</v>
      </c>
      <c r="M2056" s="49" t="n">
        <v>0</v>
      </c>
      <c r="N2056" s="49" t="n">
        <v>0</v>
      </c>
      <c r="O2056" s="49" t="n">
        <v>0</v>
      </c>
      <c r="P2056" s="49" t="n">
        <v>0</v>
      </c>
      <c r="Q2056" s="49" t="n">
        <v>0</v>
      </c>
      <c r="R2056" s="49" t="n">
        <v>0</v>
      </c>
      <c r="S2056" s="50" t="n">
        <v>0</v>
      </c>
      <c r="T2056" s="50" t="n">
        <v>0</v>
      </c>
      <c r="U2056" s="50" t="n">
        <v>0</v>
      </c>
      <c r="V2056" s="50" t="n">
        <v>0</v>
      </c>
      <c r="W2056" s="51" t="n">
        <v>0</v>
      </c>
      <c r="X2056" s="51" t="n">
        <v>0</v>
      </c>
      <c r="Y2056" s="51" t="n">
        <v>0</v>
      </c>
      <c r="Z2056" s="51" t="n">
        <v>0</v>
      </c>
      <c r="AA2056" s="52" t="n">
        <v>0</v>
      </c>
      <c r="AB2056" s="52" t="n">
        <v>0</v>
      </c>
      <c r="AC2056" s="52" t="n">
        <v>0</v>
      </c>
      <c r="AD2056" s="52" t="n">
        <v>0</v>
      </c>
      <c r="AE2056" s="52" t="n">
        <v>0</v>
      </c>
      <c r="AF2056" s="52" t="n">
        <v>0</v>
      </c>
      <c r="AG2056" s="52" t="n">
        <v>0</v>
      </c>
      <c r="AH2056" s="52" t="n">
        <v>0</v>
      </c>
      <c r="AI2056" s="52" t="n">
        <v>0</v>
      </c>
      <c r="AJ2056" s="52" t="n">
        <v>0</v>
      </c>
      <c r="AK2056" s="52" t="n">
        <v>0</v>
      </c>
      <c r="AL2056" s="52" t="n">
        <v>0</v>
      </c>
      <c r="AM2056" s="53" t="n">
        <v>0</v>
      </c>
      <c r="AN2056" s="53" t="n">
        <v>0</v>
      </c>
      <c r="AO2056" s="53" t="n">
        <v>0</v>
      </c>
      <c r="AP2056" s="53" t="n">
        <v>0</v>
      </c>
      <c r="AQ2056" s="52" t="n">
        <v>0</v>
      </c>
      <c r="AR2056" s="52" t="n">
        <v>0</v>
      </c>
      <c r="AS2056" s="52" t="n">
        <v>0</v>
      </c>
      <c r="AT2056" s="52" t="n">
        <v>0</v>
      </c>
      <c r="AU2056" s="53" t="n">
        <v>0</v>
      </c>
      <c r="AV2056" s="53" t="n">
        <v>0</v>
      </c>
      <c r="AW2056" s="53" t="n">
        <v>0</v>
      </c>
      <c r="AX2056" s="53" t="n">
        <v>0</v>
      </c>
      <c r="AY2056" s="52" t="n">
        <v>0</v>
      </c>
      <c r="AZ2056" s="52" t="n">
        <v>0</v>
      </c>
      <c r="BA2056" s="52" t="n">
        <v>0</v>
      </c>
      <c r="BB2056" s="52" t="n">
        <v>0</v>
      </c>
      <c r="BC2056" s="51" t="n">
        <v>0</v>
      </c>
      <c r="BD2056" s="51" t="n">
        <v>0</v>
      </c>
      <c r="BE2056" s="51" t="n">
        <v>0</v>
      </c>
      <c r="BF2056" s="51" t="n">
        <v>0</v>
      </c>
    </row>
    <row r="2057">
      <c r="A2057">
        <f>HYPERLINK("https://www.walmart.com/ip/233877568", "233877568")</f>
        <v/>
      </c>
      <c r="B2057" t="inlineStr">
        <is>
          <t>Catalonia Brazilian Curly Wigs, African American Black Women, Heat Resistance Fiber 16" Black</t>
        </is>
      </c>
      <c r="C2057" t="inlineStr">
        <is>
          <t>1CTWIG386-1B-ESCB</t>
        </is>
      </c>
      <c r="D2057" t="inlineStr">
        <is>
          <t>Wigs &amp; Toupees</t>
        </is>
      </c>
      <c r="E2057" t="inlineStr">
        <is>
          <t>Catalonia</t>
        </is>
      </c>
      <c r="G2057" s="48" t="n">
        <v>0</v>
      </c>
      <c r="H2057" s="48" t="n">
        <v>0</v>
      </c>
      <c r="I2057" s="48" t="n">
        <v>0</v>
      </c>
      <c r="J2057" s="48" t="n">
        <v>0</v>
      </c>
      <c r="K2057" s="49" t="n">
        <v>0</v>
      </c>
      <c r="L2057" s="49" t="n">
        <v>0</v>
      </c>
      <c r="M2057" s="49" t="n">
        <v>0</v>
      </c>
      <c r="N2057" s="49" t="n">
        <v>0</v>
      </c>
      <c r="O2057" s="49" t="n">
        <v>0</v>
      </c>
      <c r="P2057" s="49" t="n">
        <v>0</v>
      </c>
      <c r="Q2057" s="49" t="n">
        <v>0</v>
      </c>
      <c r="R2057" s="49" t="n">
        <v>0</v>
      </c>
      <c r="S2057" s="50" t="n">
        <v>0</v>
      </c>
      <c r="T2057" s="50" t="n">
        <v>0</v>
      </c>
      <c r="U2057" s="50" t="n">
        <v>0</v>
      </c>
      <c r="V2057" s="50" t="n">
        <v>0</v>
      </c>
      <c r="W2057" s="51" t="n">
        <v>0</v>
      </c>
      <c r="X2057" s="51" t="n">
        <v>0</v>
      </c>
      <c r="Y2057" s="51" t="n">
        <v>0</v>
      </c>
      <c r="Z2057" s="51" t="n">
        <v>0</v>
      </c>
      <c r="AA2057" s="52" t="n">
        <v>0</v>
      </c>
      <c r="AB2057" s="52" t="n">
        <v>0</v>
      </c>
      <c r="AC2057" s="52" t="n">
        <v>0</v>
      </c>
      <c r="AD2057" s="52" t="n">
        <v>0</v>
      </c>
      <c r="AE2057" s="52" t="n">
        <v>0</v>
      </c>
      <c r="AF2057" s="52" t="n">
        <v>0</v>
      </c>
      <c r="AG2057" s="52" t="n">
        <v>0</v>
      </c>
      <c r="AH2057" s="52" t="n">
        <v>0</v>
      </c>
      <c r="AI2057" s="52" t="n">
        <v>0</v>
      </c>
      <c r="AJ2057" s="52" t="n">
        <v>0</v>
      </c>
      <c r="AK2057" s="52" t="n">
        <v>0</v>
      </c>
      <c r="AL2057" s="52" t="n">
        <v>0</v>
      </c>
      <c r="AM2057" s="53" t="n">
        <v>0</v>
      </c>
      <c r="AN2057" s="53" t="n">
        <v>0</v>
      </c>
      <c r="AO2057" s="53" t="n">
        <v>0</v>
      </c>
      <c r="AP2057" s="53" t="n">
        <v>0</v>
      </c>
      <c r="AQ2057" s="52" t="n">
        <v>0</v>
      </c>
      <c r="AR2057" s="52" t="n">
        <v>0</v>
      </c>
      <c r="AS2057" s="52" t="n">
        <v>0</v>
      </c>
      <c r="AT2057" s="52" t="n">
        <v>0</v>
      </c>
      <c r="AU2057" s="53" t="n">
        <v>0</v>
      </c>
      <c r="AV2057" s="53" t="n">
        <v>0</v>
      </c>
      <c r="AW2057" s="53" t="n">
        <v>0</v>
      </c>
      <c r="AX2057" s="53" t="n">
        <v>0</v>
      </c>
      <c r="AY2057" s="52" t="n">
        <v>0</v>
      </c>
      <c r="AZ2057" s="52" t="n">
        <v>0</v>
      </c>
      <c r="BA2057" s="52" t="n">
        <v>0</v>
      </c>
      <c r="BB2057" s="52" t="n">
        <v>0</v>
      </c>
      <c r="BC2057" s="51" t="n">
        <v>0</v>
      </c>
      <c r="BD2057" s="51" t="n">
        <v>0</v>
      </c>
      <c r="BE2057" s="51" t="n">
        <v>0</v>
      </c>
      <c r="BF2057" s="51" t="n">
        <v>0</v>
      </c>
    </row>
    <row r="2058">
      <c r="A2058">
        <f>HYPERLINK("https://www.walmart.com/ip/2344360692", "2344360692")</f>
        <v/>
      </c>
      <c r="B2058" t="inlineStr">
        <is>
          <t>Catalonia Wearable Blanket with Sleeves, Soft, Cozy Plush Fleece Blanket Robe, One Size Fits All, Gray, 71" x 51"</t>
        </is>
      </c>
      <c r="C2058" t="inlineStr">
        <is>
          <t>1CTSN150GY</t>
        </is>
      </c>
      <c r="D2058" t="inlineStr">
        <is>
          <t>Throws</t>
        </is>
      </c>
      <c r="E2058" t="inlineStr">
        <is>
          <t>Catalonia</t>
        </is>
      </c>
      <c r="F2058" t="inlineStr">
        <is>
          <t>Batch 1 - TR</t>
        </is>
      </c>
      <c r="G2058" s="48" t="n">
        <v>0</v>
      </c>
      <c r="H2058" s="48" t="n">
        <v>0</v>
      </c>
      <c r="I2058" s="48" t="n">
        <v>0</v>
      </c>
      <c r="J2058" s="48" t="n">
        <v>0</v>
      </c>
      <c r="K2058" s="49" t="n">
        <v>0</v>
      </c>
      <c r="L2058" s="49" t="n">
        <v>0</v>
      </c>
      <c r="M2058" s="49" t="n">
        <v>0</v>
      </c>
      <c r="N2058" s="49" t="n">
        <v>0</v>
      </c>
      <c r="O2058" s="49" t="n">
        <v>0</v>
      </c>
      <c r="P2058" s="49" t="n">
        <v>0</v>
      </c>
      <c r="Q2058" s="49" t="n">
        <v>0</v>
      </c>
      <c r="R2058" s="49" t="n">
        <v>0</v>
      </c>
      <c r="S2058" s="50" t="n">
        <v>0</v>
      </c>
      <c r="T2058" s="50" t="n">
        <v>0</v>
      </c>
      <c r="U2058" s="50" t="n">
        <v>0</v>
      </c>
      <c r="V2058" s="50" t="n">
        <v>0</v>
      </c>
      <c r="W2058" s="51" t="n">
        <v>0</v>
      </c>
      <c r="X2058" s="51" t="n">
        <v>0</v>
      </c>
      <c r="Y2058" s="51" t="n">
        <v>0</v>
      </c>
      <c r="Z2058" s="51" t="n">
        <v>0</v>
      </c>
      <c r="AA2058" s="52" t="n">
        <v>0</v>
      </c>
      <c r="AB2058" s="52" t="n">
        <v>0</v>
      </c>
      <c r="AC2058" s="52" t="n">
        <v>0</v>
      </c>
      <c r="AD2058" s="52" t="n">
        <v>0</v>
      </c>
      <c r="AE2058" s="52" t="n">
        <v>0</v>
      </c>
      <c r="AF2058" s="52" t="n">
        <v>0</v>
      </c>
      <c r="AG2058" s="52" t="n">
        <v>0</v>
      </c>
      <c r="AH2058" s="52" t="n">
        <v>0</v>
      </c>
      <c r="AI2058" s="52" t="n">
        <v>0</v>
      </c>
      <c r="AJ2058" s="52" t="n">
        <v>0</v>
      </c>
      <c r="AK2058" s="52" t="n">
        <v>0</v>
      </c>
      <c r="AL2058" s="52" t="n">
        <v>0</v>
      </c>
      <c r="AM2058" s="53" t="n">
        <v>0</v>
      </c>
      <c r="AN2058" s="53" t="n">
        <v>0</v>
      </c>
      <c r="AO2058" s="53" t="n">
        <v>0</v>
      </c>
      <c r="AP2058" s="53" t="n">
        <v>0</v>
      </c>
      <c r="AQ2058" s="52" t="n">
        <v>0</v>
      </c>
      <c r="AR2058" s="52" t="n">
        <v>0</v>
      </c>
      <c r="AS2058" s="52" t="n">
        <v>0</v>
      </c>
      <c r="AT2058" s="52" t="n">
        <v>0</v>
      </c>
      <c r="AU2058" s="53" t="n">
        <v>0</v>
      </c>
      <c r="AV2058" s="53" t="n">
        <v>0</v>
      </c>
      <c r="AW2058" s="53" t="n">
        <v>0</v>
      </c>
      <c r="AX2058" s="53" t="n">
        <v>0</v>
      </c>
      <c r="AY2058" s="52" t="n">
        <v>0</v>
      </c>
      <c r="AZ2058" s="52" t="n">
        <v>0</v>
      </c>
      <c r="BA2058" s="52" t="n">
        <v>0</v>
      </c>
      <c r="BB2058" s="52" t="n">
        <v>0</v>
      </c>
      <c r="BC2058" s="51" t="n">
        <v>0</v>
      </c>
      <c r="BD2058" s="51" t="n">
        <v>0</v>
      </c>
      <c r="BE2058" s="51" t="n">
        <v>0</v>
      </c>
      <c r="BF2058" s="51" t="n">
        <v>0</v>
      </c>
    </row>
    <row r="2059">
      <c r="A2059">
        <f>HYPERLINK("https://www.walmart.com/ip/234904496", "234904496")</f>
        <v/>
      </c>
      <c r="B2059" t="inlineStr">
        <is>
          <t>Unisex Sun Fire Flame Racing Cap, Flare Race Day Running Outdoor Sports Hat, Summer Sun Blocker Hat</t>
        </is>
      </c>
      <c r="C2059" t="inlineStr">
        <is>
          <t>KC-FL04-ZFH</t>
        </is>
      </c>
      <c r="D2059" t="inlineStr">
        <is>
          <t>Hats</t>
        </is>
      </c>
      <c r="E2059" t="inlineStr">
        <is>
          <t>KC Caps</t>
        </is>
      </c>
      <c r="F2059" t="inlineStr">
        <is>
          <t>Batch 1 - TR</t>
        </is>
      </c>
      <c r="G2059" s="48" t="n">
        <v>0</v>
      </c>
      <c r="H2059" s="48" t="n">
        <v>0</v>
      </c>
      <c r="I2059" s="48" t="n">
        <v>0</v>
      </c>
      <c r="J2059" s="48" t="n">
        <v>0</v>
      </c>
      <c r="K2059" s="49" t="n">
        <v>0</v>
      </c>
      <c r="L2059" s="49" t="n">
        <v>0</v>
      </c>
      <c r="M2059" s="49" t="n">
        <v>0</v>
      </c>
      <c r="N2059" s="49" t="n">
        <v>0</v>
      </c>
      <c r="O2059" s="49" t="n">
        <v>0</v>
      </c>
      <c r="P2059" s="49" t="n">
        <v>0</v>
      </c>
      <c r="Q2059" s="49" t="n">
        <v>0</v>
      </c>
      <c r="R2059" s="49" t="n">
        <v>0</v>
      </c>
      <c r="S2059" s="50" t="n">
        <v>0</v>
      </c>
      <c r="T2059" s="50" t="n">
        <v>0</v>
      </c>
      <c r="U2059" s="50" t="n">
        <v>0</v>
      </c>
      <c r="V2059" s="50" t="n">
        <v>0</v>
      </c>
      <c r="W2059" s="51" t="n">
        <v>0</v>
      </c>
      <c r="X2059" s="51" t="n">
        <v>0</v>
      </c>
      <c r="Y2059" s="51" t="n">
        <v>0</v>
      </c>
      <c r="Z2059" s="51" t="n">
        <v>0</v>
      </c>
      <c r="AA2059" s="52" t="n">
        <v>0</v>
      </c>
      <c r="AB2059" s="52" t="n">
        <v>0</v>
      </c>
      <c r="AC2059" s="52" t="n">
        <v>0</v>
      </c>
      <c r="AD2059" s="52" t="n">
        <v>0</v>
      </c>
      <c r="AE2059" s="52" t="n">
        <v>0</v>
      </c>
      <c r="AF2059" s="52" t="n">
        <v>0</v>
      </c>
      <c r="AG2059" s="52" t="n">
        <v>0</v>
      </c>
      <c r="AH2059" s="52" t="n">
        <v>0</v>
      </c>
      <c r="AI2059" s="52" t="n">
        <v>0</v>
      </c>
      <c r="AJ2059" s="52" t="n">
        <v>0</v>
      </c>
      <c r="AK2059" s="52" t="n">
        <v>0</v>
      </c>
      <c r="AL2059" s="52" t="n">
        <v>0</v>
      </c>
      <c r="AM2059" s="53" t="n">
        <v>0</v>
      </c>
      <c r="AN2059" s="53" t="n">
        <v>0</v>
      </c>
      <c r="AO2059" s="53" t="n">
        <v>0</v>
      </c>
      <c r="AP2059" s="53" t="n">
        <v>0</v>
      </c>
      <c r="AQ2059" s="52" t="n">
        <v>0</v>
      </c>
      <c r="AR2059" s="52" t="n">
        <v>0</v>
      </c>
      <c r="AS2059" s="52" t="n">
        <v>0</v>
      </c>
      <c r="AT2059" s="52" t="n">
        <v>0</v>
      </c>
      <c r="AU2059" s="53" t="n">
        <v>0</v>
      </c>
      <c r="AV2059" s="53" t="n">
        <v>0</v>
      </c>
      <c r="AW2059" s="53" t="n">
        <v>0</v>
      </c>
      <c r="AX2059" s="53" t="n">
        <v>0</v>
      </c>
      <c r="AY2059" s="52" t="n">
        <v>0</v>
      </c>
      <c r="AZ2059" s="52" t="n">
        <v>0</v>
      </c>
      <c r="BA2059" s="52" t="n">
        <v>0</v>
      </c>
      <c r="BB2059" s="52" t="n">
        <v>0</v>
      </c>
      <c r="BC2059" s="51" t="n">
        <v>0</v>
      </c>
      <c r="BD2059" s="51" t="n">
        <v>0</v>
      </c>
      <c r="BE2059" s="51" t="n">
        <v>0</v>
      </c>
      <c r="BF2059" s="51" t="n">
        <v>0</v>
      </c>
    </row>
    <row r="2060">
      <c r="A2060">
        <f>HYPERLINK("https://www.walmart.com/ip/236226478", "236226478")</f>
        <v/>
      </c>
      <c r="B2060" t="inlineStr">
        <is>
          <t>Tirrinia Reversible Fuzzy Micro Plush Soft Sherpa Chevron Throw Blanket, Latte, 50" x 60"</t>
        </is>
      </c>
      <c r="C2060" t="inlineStr">
        <is>
          <t>1TRBF320LT-TBCB</t>
        </is>
      </c>
      <c r="D2060" t="inlineStr">
        <is>
          <t>Throws</t>
        </is>
      </c>
      <c r="E2060" t="inlineStr">
        <is>
          <t>Tirrinia</t>
        </is>
      </c>
      <c r="F2060" t="inlineStr">
        <is>
          <t>Batch 1 - TR</t>
        </is>
      </c>
      <c r="G2060" s="48" t="n">
        <v>0</v>
      </c>
      <c r="H2060" s="48" t="n">
        <v>0</v>
      </c>
      <c r="I2060" s="48" t="n">
        <v>0</v>
      </c>
      <c r="J2060" s="48" t="n">
        <v>0</v>
      </c>
      <c r="K2060" s="49" t="n">
        <v>0</v>
      </c>
      <c r="L2060" s="49" t="n">
        <v>0</v>
      </c>
      <c r="M2060" s="49" t="n">
        <v>0</v>
      </c>
      <c r="N2060" s="49" t="n">
        <v>0</v>
      </c>
      <c r="O2060" s="49" t="n">
        <v>0</v>
      </c>
      <c r="P2060" s="49" t="n">
        <v>0</v>
      </c>
      <c r="Q2060" s="49" t="n">
        <v>0</v>
      </c>
      <c r="R2060" s="49" t="n">
        <v>0</v>
      </c>
      <c r="S2060" s="50" t="n">
        <v>0</v>
      </c>
      <c r="T2060" s="50" t="n">
        <v>0</v>
      </c>
      <c r="U2060" s="50" t="n">
        <v>0</v>
      </c>
      <c r="V2060" s="50" t="n">
        <v>0</v>
      </c>
      <c r="W2060" s="51" t="n">
        <v>0</v>
      </c>
      <c r="X2060" s="51" t="n">
        <v>0</v>
      </c>
      <c r="Y2060" s="51" t="n">
        <v>0</v>
      </c>
      <c r="Z2060" s="51" t="n">
        <v>0</v>
      </c>
      <c r="AA2060" s="52" t="n">
        <v>0</v>
      </c>
      <c r="AB2060" s="52" t="n">
        <v>0</v>
      </c>
      <c r="AC2060" s="52" t="n">
        <v>0</v>
      </c>
      <c r="AD2060" s="52" t="n">
        <v>0</v>
      </c>
      <c r="AE2060" s="52" t="n">
        <v>0</v>
      </c>
      <c r="AF2060" s="52" t="n">
        <v>0</v>
      </c>
      <c r="AG2060" s="52" t="n">
        <v>0</v>
      </c>
      <c r="AH2060" s="52" t="n">
        <v>0</v>
      </c>
      <c r="AI2060" s="52" t="n">
        <v>0</v>
      </c>
      <c r="AJ2060" s="52" t="n">
        <v>0</v>
      </c>
      <c r="AK2060" s="52" t="n">
        <v>0</v>
      </c>
      <c r="AL2060" s="52" t="n">
        <v>0</v>
      </c>
      <c r="AM2060" s="53" t="n">
        <v>0</v>
      </c>
      <c r="AN2060" s="53" t="n">
        <v>0</v>
      </c>
      <c r="AO2060" s="53" t="n">
        <v>0</v>
      </c>
      <c r="AP2060" s="53" t="n">
        <v>0</v>
      </c>
      <c r="AQ2060" s="52" t="n">
        <v>0</v>
      </c>
      <c r="AR2060" s="52" t="n">
        <v>0</v>
      </c>
      <c r="AS2060" s="52" t="n">
        <v>0</v>
      </c>
      <c r="AT2060" s="52" t="n">
        <v>0</v>
      </c>
      <c r="AU2060" s="53" t="n">
        <v>0</v>
      </c>
      <c r="AV2060" s="53" t="n">
        <v>0</v>
      </c>
      <c r="AW2060" s="53" t="n">
        <v>0</v>
      </c>
      <c r="AX2060" s="53" t="n">
        <v>0</v>
      </c>
      <c r="AY2060" s="52" t="n">
        <v>0</v>
      </c>
      <c r="AZ2060" s="52" t="n">
        <v>0</v>
      </c>
      <c r="BA2060" s="52" t="n">
        <v>0</v>
      </c>
      <c r="BB2060" s="52" t="n">
        <v>0</v>
      </c>
      <c r="BC2060" s="51" t="n">
        <v>0</v>
      </c>
      <c r="BD2060" s="51" t="n">
        <v>0</v>
      </c>
      <c r="BE2060" s="51" t="n">
        <v>0</v>
      </c>
      <c r="BF2060" s="51" t="n">
        <v>0</v>
      </c>
    </row>
    <row r="2061">
      <c r="A2061">
        <f>HYPERLINK("https://www.walmart.com/ip/237591903", "237591903")</f>
        <v/>
      </c>
      <c r="B2061" t="inlineStr">
        <is>
          <t>Catalonia Queen Size Sherpa Comforter Set,  Ultra-soft Reversible Fluffy Micromink Bedding Set-3 Pieces, 1 Comforter and 2 Pillow Shams, 88x90 inches</t>
        </is>
      </c>
      <c r="C2061" t="inlineStr">
        <is>
          <t>1CTBQ300QF-PRD</t>
        </is>
      </c>
      <c r="D2061" t="inlineStr">
        <is>
          <t>Bedding Sets</t>
        </is>
      </c>
      <c r="E2061" t="inlineStr">
        <is>
          <t>Catalonia</t>
        </is>
      </c>
      <c r="F2061" t="inlineStr">
        <is>
          <t>WFS,WFS Item</t>
        </is>
      </c>
      <c r="G2061" s="48" t="n">
        <v>0</v>
      </c>
      <c r="H2061" s="48" t="n">
        <v>0</v>
      </c>
      <c r="I2061" s="48" t="n">
        <v>0</v>
      </c>
      <c r="J2061" s="48" t="n">
        <v>0</v>
      </c>
      <c r="K2061" s="49" t="n">
        <v>0</v>
      </c>
      <c r="L2061" s="49" t="n">
        <v>0</v>
      </c>
      <c r="M2061" s="49" t="n">
        <v>0</v>
      </c>
      <c r="N2061" s="49" t="n">
        <v>0</v>
      </c>
      <c r="O2061" s="49" t="n">
        <v>0</v>
      </c>
      <c r="P2061" s="49" t="n">
        <v>0</v>
      </c>
      <c r="Q2061" s="49" t="n">
        <v>0</v>
      </c>
      <c r="R2061" s="49" t="n">
        <v>0</v>
      </c>
      <c r="S2061" s="50" t="n">
        <v>0</v>
      </c>
      <c r="T2061" s="50" t="n">
        <v>0</v>
      </c>
      <c r="U2061" s="50" t="n">
        <v>0</v>
      </c>
      <c r="V2061" s="50" t="n">
        <v>0</v>
      </c>
      <c r="W2061" s="51" t="n">
        <v>0</v>
      </c>
      <c r="X2061" s="51" t="n">
        <v>0</v>
      </c>
      <c r="Y2061" s="51" t="n">
        <v>0</v>
      </c>
      <c r="Z2061" s="51" t="n">
        <v>0</v>
      </c>
      <c r="AA2061" s="52" t="n">
        <v>0</v>
      </c>
      <c r="AB2061" s="52" t="n">
        <v>0</v>
      </c>
      <c r="AC2061" s="52" t="n">
        <v>0</v>
      </c>
      <c r="AD2061" s="52" t="n">
        <v>0</v>
      </c>
      <c r="AE2061" s="52" t="n">
        <v>0</v>
      </c>
      <c r="AF2061" s="52" t="n">
        <v>0</v>
      </c>
      <c r="AG2061" s="52" t="n">
        <v>0</v>
      </c>
      <c r="AH2061" s="52" t="n">
        <v>0</v>
      </c>
      <c r="AI2061" s="52" t="n">
        <v>0</v>
      </c>
      <c r="AJ2061" s="52" t="n">
        <v>0</v>
      </c>
      <c r="AK2061" s="52" t="n">
        <v>0</v>
      </c>
      <c r="AL2061" s="52" t="n">
        <v>0</v>
      </c>
      <c r="AM2061" s="53" t="n">
        <v>0</v>
      </c>
      <c r="AN2061" s="53" t="n">
        <v>0</v>
      </c>
      <c r="AO2061" s="53" t="n">
        <v>0</v>
      </c>
      <c r="AP2061" s="53" t="n">
        <v>0</v>
      </c>
      <c r="AQ2061" s="52" t="n">
        <v>0</v>
      </c>
      <c r="AR2061" s="52" t="n">
        <v>0</v>
      </c>
      <c r="AS2061" s="52" t="n">
        <v>0</v>
      </c>
      <c r="AT2061" s="52" t="n">
        <v>0</v>
      </c>
      <c r="AU2061" s="53" t="n">
        <v>0</v>
      </c>
      <c r="AV2061" s="53" t="n">
        <v>0</v>
      </c>
      <c r="AW2061" s="53" t="n">
        <v>0</v>
      </c>
      <c r="AX2061" s="53" t="n">
        <v>0</v>
      </c>
      <c r="AY2061" s="52" t="n">
        <v>0</v>
      </c>
      <c r="AZ2061" s="52" t="n">
        <v>0</v>
      </c>
      <c r="BA2061" s="52" t="n">
        <v>0</v>
      </c>
      <c r="BB2061" s="52" t="n">
        <v>0</v>
      </c>
      <c r="BC2061" s="51" t="n">
        <v>0</v>
      </c>
      <c r="BD2061" s="51" t="n">
        <v>0</v>
      </c>
      <c r="BE2061" s="51" t="n">
        <v>0</v>
      </c>
      <c r="BF2061" s="51" t="n">
        <v>0</v>
      </c>
    </row>
    <row r="2062">
      <c r="A2062">
        <f>HYPERLINK("https://www.walmart.com/ip/2918837766", "2918837766")</f>
        <v/>
      </c>
      <c r="B2062" t="inlineStr">
        <is>
          <t>Tirrinia Leakproof Thermal Reusable Lunch Box for Women Men, Insulated Lunch Cooler with Durable Side Pocket and multifunctional Strap for Adult &amp; Kids, Medium Size, Gray Checkered</t>
        </is>
      </c>
      <c r="C2062" t="inlineStr">
        <is>
          <t>1TRLB702P1GYCK</t>
        </is>
      </c>
      <c r="D2062" t="inlineStr">
        <is>
          <t>Reusable Lunch Bags &amp; Boxes</t>
        </is>
      </c>
      <c r="E2062" t="inlineStr">
        <is>
          <t>Tirrinia</t>
        </is>
      </c>
      <c r="F2062" t="inlineStr">
        <is>
          <t>Brand Camp VD</t>
        </is>
      </c>
      <c r="G2062" s="48" t="n">
        <v>0</v>
      </c>
      <c r="H2062" s="48" t="n">
        <v>0</v>
      </c>
      <c r="I2062" s="48" t="n">
        <v>0</v>
      </c>
      <c r="J2062" s="48" t="n">
        <v>0</v>
      </c>
      <c r="K2062" s="49" t="n">
        <v>0</v>
      </c>
      <c r="L2062" s="49" t="n">
        <v>0</v>
      </c>
      <c r="M2062" s="49" t="n">
        <v>0</v>
      </c>
      <c r="N2062" s="49" t="n">
        <v>0</v>
      </c>
      <c r="O2062" s="49" t="n">
        <v>0</v>
      </c>
      <c r="P2062" s="49" t="n">
        <v>0</v>
      </c>
      <c r="Q2062" s="49" t="n">
        <v>0</v>
      </c>
      <c r="R2062" s="49" t="n">
        <v>0</v>
      </c>
      <c r="S2062" s="50" t="n">
        <v>0</v>
      </c>
      <c r="T2062" s="50" t="n">
        <v>0</v>
      </c>
      <c r="U2062" s="50" t="n">
        <v>0</v>
      </c>
      <c r="V2062" s="50" t="n">
        <v>0</v>
      </c>
      <c r="W2062" s="51" t="n">
        <v>0</v>
      </c>
      <c r="X2062" s="51" t="n">
        <v>0</v>
      </c>
      <c r="Y2062" s="51" t="n">
        <v>0</v>
      </c>
      <c r="Z2062" s="51" t="n">
        <v>0</v>
      </c>
      <c r="AA2062" s="52" t="n">
        <v>0</v>
      </c>
      <c r="AB2062" s="52" t="n">
        <v>0</v>
      </c>
      <c r="AC2062" s="52" t="n">
        <v>0</v>
      </c>
      <c r="AD2062" s="52" t="n">
        <v>0</v>
      </c>
      <c r="AE2062" s="52" t="n">
        <v>0</v>
      </c>
      <c r="AF2062" s="52" t="n">
        <v>0</v>
      </c>
      <c r="AG2062" s="52" t="n">
        <v>0</v>
      </c>
      <c r="AH2062" s="52" t="n">
        <v>0</v>
      </c>
      <c r="AI2062" s="52" t="n">
        <v>0</v>
      </c>
      <c r="AJ2062" s="52" t="n">
        <v>0</v>
      </c>
      <c r="AK2062" s="52" t="n">
        <v>0</v>
      </c>
      <c r="AL2062" s="52" t="n">
        <v>0</v>
      </c>
      <c r="AM2062" s="53" t="n">
        <v>0</v>
      </c>
      <c r="AN2062" s="53" t="n">
        <v>0</v>
      </c>
      <c r="AO2062" s="53" t="n">
        <v>0</v>
      </c>
      <c r="AP2062" s="53" t="n">
        <v>0</v>
      </c>
      <c r="AQ2062" s="52" t="n">
        <v>0</v>
      </c>
      <c r="AR2062" s="52" t="n">
        <v>0</v>
      </c>
      <c r="AS2062" s="52" t="n">
        <v>0</v>
      </c>
      <c r="AT2062" s="52" t="n">
        <v>0</v>
      </c>
      <c r="AU2062" s="53" t="n">
        <v>0</v>
      </c>
      <c r="AV2062" s="53" t="n">
        <v>0</v>
      </c>
      <c r="AW2062" s="53" t="n">
        <v>0</v>
      </c>
      <c r="AX2062" s="53" t="n">
        <v>0</v>
      </c>
      <c r="AY2062" s="52" t="n">
        <v>0</v>
      </c>
      <c r="AZ2062" s="52" t="n">
        <v>0</v>
      </c>
      <c r="BA2062" s="52" t="n">
        <v>0</v>
      </c>
      <c r="BB2062" s="52" t="n">
        <v>0</v>
      </c>
      <c r="BC2062" s="51" t="n">
        <v>0</v>
      </c>
      <c r="BD2062" s="51" t="n">
        <v>0</v>
      </c>
      <c r="BE2062" s="51" t="n">
        <v>0</v>
      </c>
      <c r="BF2062" s="51" t="n">
        <v>0</v>
      </c>
    </row>
    <row r="2063">
      <c r="A2063">
        <f>HYPERLINK("https://www.walmart.com/ip/292117288", "292117288")</f>
        <v/>
      </c>
      <c r="B2063" t="inlineStr">
        <is>
          <t>Catalonia Red Plaid Sherpa Throw Blanket, Reversible Super Soft Warm Comfy Fuzzy Snuggle Micro Fleece Plush Throws for Bedding Couch TV 60"x50" Buffalo Checkered</t>
        </is>
      </c>
      <c r="C2063" t="inlineStr">
        <is>
          <t>1CTBF564PRD</t>
        </is>
      </c>
      <c r="D2063" t="inlineStr">
        <is>
          <t>Throws</t>
        </is>
      </c>
      <c r="E2063" t="inlineStr">
        <is>
          <t>Catalonia</t>
        </is>
      </c>
      <c r="F2063" t="inlineStr">
        <is>
          <t>Q2-Target,WFS,Coupon_Discount,WFS Item</t>
        </is>
      </c>
      <c r="G2063" s="48" t="n">
        <v>0</v>
      </c>
      <c r="H2063" s="48" t="n">
        <v>0</v>
      </c>
      <c r="I2063" s="48" t="n">
        <v>0</v>
      </c>
      <c r="J2063" s="48" t="n">
        <v>0</v>
      </c>
      <c r="K2063" s="49" t="n">
        <v>0</v>
      </c>
      <c r="L2063" s="49" t="n">
        <v>0</v>
      </c>
      <c r="M2063" s="49" t="n">
        <v>0</v>
      </c>
      <c r="N2063" s="49" t="n">
        <v>0</v>
      </c>
      <c r="O2063" s="49" t="n">
        <v>0</v>
      </c>
      <c r="P2063" s="49" t="n">
        <v>0</v>
      </c>
      <c r="Q2063" s="49" t="n">
        <v>0</v>
      </c>
      <c r="R2063" s="49" t="n">
        <v>0</v>
      </c>
      <c r="S2063" s="50" t="n">
        <v>0</v>
      </c>
      <c r="T2063" s="50" t="n">
        <v>0</v>
      </c>
      <c r="U2063" s="50" t="n">
        <v>0</v>
      </c>
      <c r="V2063" s="50" t="n">
        <v>0</v>
      </c>
      <c r="W2063" s="51" t="n">
        <v>0</v>
      </c>
      <c r="X2063" s="51" t="n">
        <v>0</v>
      </c>
      <c r="Y2063" s="51" t="n">
        <v>0</v>
      </c>
      <c r="Z2063" s="51" t="n">
        <v>0</v>
      </c>
      <c r="AA2063" s="52" t="n">
        <v>0</v>
      </c>
      <c r="AB2063" s="52" t="n">
        <v>0</v>
      </c>
      <c r="AC2063" s="52" t="n">
        <v>0</v>
      </c>
      <c r="AD2063" s="52" t="n">
        <v>0</v>
      </c>
      <c r="AE2063" s="52" t="n">
        <v>0</v>
      </c>
      <c r="AF2063" s="52" t="n">
        <v>0</v>
      </c>
      <c r="AG2063" s="52" t="n">
        <v>0</v>
      </c>
      <c r="AH2063" s="52" t="n">
        <v>0</v>
      </c>
      <c r="AI2063" s="52" t="n">
        <v>0</v>
      </c>
      <c r="AJ2063" s="52" t="n">
        <v>0</v>
      </c>
      <c r="AK2063" s="52" t="n">
        <v>0</v>
      </c>
      <c r="AL2063" s="52" t="n">
        <v>0</v>
      </c>
      <c r="AM2063" s="53" t="n">
        <v>0</v>
      </c>
      <c r="AN2063" s="53" t="n">
        <v>0</v>
      </c>
      <c r="AO2063" s="53" t="n">
        <v>0</v>
      </c>
      <c r="AP2063" s="53" t="n">
        <v>0</v>
      </c>
      <c r="AQ2063" s="52" t="n">
        <v>0</v>
      </c>
      <c r="AR2063" s="52" t="n">
        <v>0</v>
      </c>
      <c r="AS2063" s="52" t="n">
        <v>0</v>
      </c>
      <c r="AT2063" s="52" t="n">
        <v>0</v>
      </c>
      <c r="AU2063" s="53" t="n">
        <v>0</v>
      </c>
      <c r="AV2063" s="53" t="n">
        <v>0</v>
      </c>
      <c r="AW2063" s="53" t="n">
        <v>0</v>
      </c>
      <c r="AX2063" s="53" t="n">
        <v>0</v>
      </c>
      <c r="AY2063" s="52" t="n">
        <v>0</v>
      </c>
      <c r="AZ2063" s="52" t="n">
        <v>0</v>
      </c>
      <c r="BA2063" s="52" t="n">
        <v>0</v>
      </c>
      <c r="BB2063" s="52" t="n">
        <v>0</v>
      </c>
      <c r="BC2063" s="51" t="n">
        <v>0</v>
      </c>
      <c r="BD2063" s="51" t="n">
        <v>0</v>
      </c>
      <c r="BE2063" s="51" t="n">
        <v>0</v>
      </c>
      <c r="BF2063" s="51" t="n">
        <v>0</v>
      </c>
    </row>
    <row r="2064">
      <c r="A2064">
        <f>HYPERLINK("https://www.walmart.com/ip/292366521", "292366521")</f>
        <v/>
      </c>
      <c r="B2064" t="inlineStr">
        <is>
          <t>Flyingstar Woman Sweatshirt Dress, Casual Ladies Pullover, Juniors Hoodie Dress with Kangaroo Pocket, One Size, Green</t>
        </is>
      </c>
      <c r="C2064" t="inlineStr">
        <is>
          <t>1WMHD530S1GN</t>
        </is>
      </c>
      <c r="D2064" t="inlineStr">
        <is>
          <t>Sweatshirts &amp; Hoodies</t>
        </is>
      </c>
      <c r="E2064" t="inlineStr">
        <is>
          <t>Flyingstar</t>
        </is>
      </c>
      <c r="F2064" t="inlineStr">
        <is>
          <t>Hoodie ForAdult,Optimized</t>
        </is>
      </c>
      <c r="G2064" s="48" t="n">
        <v>0</v>
      </c>
      <c r="H2064" s="48" t="n">
        <v>0</v>
      </c>
      <c r="I2064" s="48" t="n">
        <v>13.99</v>
      </c>
      <c r="J2064" s="48" t="n">
        <v>0</v>
      </c>
      <c r="K2064" s="49" t="n">
        <v>0</v>
      </c>
      <c r="L2064" s="49" t="n">
        <v>0</v>
      </c>
      <c r="M2064" s="49" t="n">
        <v>1</v>
      </c>
      <c r="N2064" s="49" t="n">
        <v>0</v>
      </c>
      <c r="O2064" s="49" t="n">
        <v>0</v>
      </c>
      <c r="P2064" s="49" t="n">
        <v>0</v>
      </c>
      <c r="Q2064" s="49" t="n">
        <v>0</v>
      </c>
      <c r="R2064" s="49" t="n">
        <v>0</v>
      </c>
      <c r="S2064" s="50" t="n">
        <v>0</v>
      </c>
      <c r="T2064" s="50" t="n">
        <v>0</v>
      </c>
      <c r="U2064" s="50" t="n">
        <v>0</v>
      </c>
      <c r="V2064" s="50" t="n">
        <v>0</v>
      </c>
      <c r="W2064" s="51" t="n">
        <v>0</v>
      </c>
      <c r="X2064" s="51" t="n">
        <v>0</v>
      </c>
      <c r="Y2064" s="51" t="n">
        <v>0</v>
      </c>
      <c r="Z2064" s="51" t="n">
        <v>0</v>
      </c>
      <c r="AA2064" s="52" t="n">
        <v>0</v>
      </c>
      <c r="AB2064" s="52" t="n">
        <v>0</v>
      </c>
      <c r="AC2064" s="52" t="n">
        <v>0</v>
      </c>
      <c r="AD2064" s="52" t="n">
        <v>0</v>
      </c>
      <c r="AE2064" s="52" t="n">
        <v>0</v>
      </c>
      <c r="AF2064" s="52" t="n">
        <v>0</v>
      </c>
      <c r="AG2064" s="52" t="n">
        <v>0</v>
      </c>
      <c r="AH2064" s="52" t="n">
        <v>0</v>
      </c>
      <c r="AI2064" s="52" t="n">
        <v>0</v>
      </c>
      <c r="AJ2064" s="52" t="n">
        <v>0</v>
      </c>
      <c r="AK2064" s="52" t="n">
        <v>0</v>
      </c>
      <c r="AL2064" s="52" t="n">
        <v>0</v>
      </c>
      <c r="AM2064" s="53" t="n">
        <v>0</v>
      </c>
      <c r="AN2064" s="53" t="n">
        <v>0</v>
      </c>
      <c r="AO2064" s="53" t="n">
        <v>0</v>
      </c>
      <c r="AP2064" s="53" t="n">
        <v>0</v>
      </c>
      <c r="AQ2064" s="52" t="n">
        <v>0</v>
      </c>
      <c r="AR2064" s="52" t="n">
        <v>0</v>
      </c>
      <c r="AS2064" s="52" t="n">
        <v>0</v>
      </c>
      <c r="AT2064" s="52" t="n">
        <v>0</v>
      </c>
      <c r="AU2064" s="53" t="n">
        <v>0</v>
      </c>
      <c r="AV2064" s="53" t="n">
        <v>0</v>
      </c>
      <c r="AW2064" s="53" t="n">
        <v>0</v>
      </c>
      <c r="AX2064" s="53" t="n">
        <v>0</v>
      </c>
      <c r="AY2064" s="52" t="n">
        <v>0</v>
      </c>
      <c r="AZ2064" s="52" t="n">
        <v>0</v>
      </c>
      <c r="BA2064" s="52" t="n">
        <v>13.99</v>
      </c>
      <c r="BB2064" s="52" t="n">
        <v>0</v>
      </c>
      <c r="BC2064" s="51" t="n">
        <v>0</v>
      </c>
      <c r="BD2064" s="51" t="n">
        <v>0</v>
      </c>
      <c r="BE2064" s="51" t="n">
        <v>0</v>
      </c>
      <c r="BF2064" s="51" t="n">
        <v>0</v>
      </c>
    </row>
    <row r="2065">
      <c r="A2065">
        <f>HYPERLINK("https://www.walmart.com/ip/335132693", "335132693")</f>
        <v/>
      </c>
      <c r="B2065" t="inlineStr">
        <is>
          <t>Sherpa Throw Blanket, Fuzzy Snuggle Blanket for Camping Traveling Couch Bed, Super Soft, Light Weight, Reversible, All Season Use, Wine, 50" x 60".</t>
        </is>
      </c>
      <c r="C2065" t="inlineStr">
        <is>
          <t>1CTBF566WN</t>
        </is>
      </c>
      <c r="D2065" t="inlineStr">
        <is>
          <t>Throws</t>
        </is>
      </c>
      <c r="E2065" t="inlineStr">
        <is>
          <t>Catalonia</t>
        </is>
      </c>
      <c r="F2065" t="inlineStr">
        <is>
          <t>Q2-Target,Optimized,Coupon_Discount</t>
        </is>
      </c>
      <c r="G2065" s="48" t="n">
        <v>0</v>
      </c>
      <c r="H2065" s="48" t="n">
        <v>0</v>
      </c>
      <c r="I2065" s="48" t="n">
        <v>0</v>
      </c>
      <c r="J2065" s="48" t="n">
        <v>0</v>
      </c>
      <c r="K2065" s="49" t="n">
        <v>0</v>
      </c>
      <c r="L2065" s="49" t="n">
        <v>0</v>
      </c>
      <c r="M2065" s="49" t="n">
        <v>0</v>
      </c>
      <c r="N2065" s="49" t="n">
        <v>0</v>
      </c>
      <c r="O2065" s="49" t="n">
        <v>0</v>
      </c>
      <c r="P2065" s="49" t="n">
        <v>0</v>
      </c>
      <c r="Q2065" s="49" t="n">
        <v>0</v>
      </c>
      <c r="R2065" s="49" t="n">
        <v>0</v>
      </c>
      <c r="S2065" s="50" t="n">
        <v>0</v>
      </c>
      <c r="T2065" s="50" t="n">
        <v>0</v>
      </c>
      <c r="U2065" s="50" t="n">
        <v>0</v>
      </c>
      <c r="V2065" s="50" t="n">
        <v>0</v>
      </c>
      <c r="W2065" s="51" t="n">
        <v>0</v>
      </c>
      <c r="X2065" s="51" t="n">
        <v>0</v>
      </c>
      <c r="Y2065" s="51" t="n">
        <v>0</v>
      </c>
      <c r="Z2065" s="51" t="n">
        <v>0</v>
      </c>
      <c r="AA2065" s="52" t="n">
        <v>0</v>
      </c>
      <c r="AB2065" s="52" t="n">
        <v>0</v>
      </c>
      <c r="AC2065" s="52" t="n">
        <v>0</v>
      </c>
      <c r="AD2065" s="52" t="n">
        <v>0</v>
      </c>
      <c r="AE2065" s="52" t="n">
        <v>0</v>
      </c>
      <c r="AF2065" s="52" t="n">
        <v>0</v>
      </c>
      <c r="AG2065" s="52" t="n">
        <v>0</v>
      </c>
      <c r="AH2065" s="52" t="n">
        <v>0</v>
      </c>
      <c r="AI2065" s="52" t="n">
        <v>0</v>
      </c>
      <c r="AJ2065" s="52" t="n">
        <v>0</v>
      </c>
      <c r="AK2065" s="52" t="n">
        <v>0</v>
      </c>
      <c r="AL2065" s="52" t="n">
        <v>0</v>
      </c>
      <c r="AM2065" s="53" t="n">
        <v>0</v>
      </c>
      <c r="AN2065" s="53" t="n">
        <v>0</v>
      </c>
      <c r="AO2065" s="53" t="n">
        <v>0</v>
      </c>
      <c r="AP2065" s="53" t="n">
        <v>0</v>
      </c>
      <c r="AQ2065" s="52" t="n">
        <v>0</v>
      </c>
      <c r="AR2065" s="52" t="n">
        <v>0</v>
      </c>
      <c r="AS2065" s="52" t="n">
        <v>0</v>
      </c>
      <c r="AT2065" s="52" t="n">
        <v>0</v>
      </c>
      <c r="AU2065" s="53" t="n">
        <v>0</v>
      </c>
      <c r="AV2065" s="53" t="n">
        <v>0</v>
      </c>
      <c r="AW2065" s="53" t="n">
        <v>0</v>
      </c>
      <c r="AX2065" s="53" t="n">
        <v>0</v>
      </c>
      <c r="AY2065" s="52" t="n">
        <v>0</v>
      </c>
      <c r="AZ2065" s="52" t="n">
        <v>0</v>
      </c>
      <c r="BA2065" s="52" t="n">
        <v>0</v>
      </c>
      <c r="BB2065" s="52" t="n">
        <v>0</v>
      </c>
      <c r="BC2065" s="51" t="n">
        <v>0</v>
      </c>
      <c r="BD2065" s="51" t="n">
        <v>0</v>
      </c>
      <c r="BE2065" s="51" t="n">
        <v>0</v>
      </c>
      <c r="BF2065" s="51" t="n">
        <v>0</v>
      </c>
    </row>
    <row r="2066">
      <c r="A2066">
        <f>HYPERLINK("https://www.walmart.com/ip/335803818", "335803818")</f>
        <v/>
      </c>
      <c r="B2066" t="inlineStr">
        <is>
          <t>Tirrinia Insulated Cooler Toto Lunch Bag, Thermos Organizer Container, Gray, 8.5" x 4" x 9.5"</t>
        </is>
      </c>
      <c r="C2066" t="inlineStr">
        <is>
          <t>1TRLB100GY</t>
        </is>
      </c>
      <c r="D2066" t="inlineStr">
        <is>
          <t>Reusable Lunch Bags &amp; Boxes</t>
        </is>
      </c>
      <c r="E2066" t="inlineStr">
        <is>
          <t>Tirrinia</t>
        </is>
      </c>
      <c r="F2066" t="inlineStr">
        <is>
          <t>Q2-Target,Lunch Bags,SEM,Batch 1 - TR</t>
        </is>
      </c>
      <c r="G2066" s="48" t="n">
        <v>0</v>
      </c>
      <c r="H2066" s="48" t="n">
        <v>11.99</v>
      </c>
      <c r="I2066" s="48" t="n">
        <v>23.98</v>
      </c>
      <c r="J2066" s="48" t="n">
        <v>35.97</v>
      </c>
      <c r="K2066" s="49" t="n">
        <v>0</v>
      </c>
      <c r="L2066" s="49" t="n">
        <v>1</v>
      </c>
      <c r="M2066" s="49" t="n">
        <v>2</v>
      </c>
      <c r="N2066" s="49" t="n">
        <v>3</v>
      </c>
      <c r="O2066" s="49" t="n">
        <v>4</v>
      </c>
      <c r="P2066" s="49" t="n">
        <v>8</v>
      </c>
      <c r="Q2066" s="49" t="n">
        <v>10</v>
      </c>
      <c r="R2066" s="49" t="n">
        <v>9</v>
      </c>
      <c r="S2066" s="50" t="n">
        <v>0</v>
      </c>
      <c r="T2066" s="50" t="n">
        <v>0.125</v>
      </c>
      <c r="U2066" s="50" t="n">
        <v>0.2</v>
      </c>
      <c r="V2066" s="50" t="n">
        <v>0.3333333333333333</v>
      </c>
      <c r="W2066" s="51" t="n">
        <v>0</v>
      </c>
      <c r="X2066" s="51" t="n">
        <v>0</v>
      </c>
      <c r="Y2066" s="51" t="n">
        <v>0</v>
      </c>
      <c r="Z2066" s="51" t="n">
        <v>0</v>
      </c>
      <c r="AA2066" s="52" t="n">
        <v>0</v>
      </c>
      <c r="AB2066" s="52" t="n">
        <v>0</v>
      </c>
      <c r="AC2066" s="52" t="n">
        <v>0</v>
      </c>
      <c r="AD2066" s="52" t="n">
        <v>0</v>
      </c>
      <c r="AE2066" s="52" t="n">
        <v>0</v>
      </c>
      <c r="AF2066" s="52" t="n">
        <v>0</v>
      </c>
      <c r="AG2066" s="52" t="n">
        <v>0</v>
      </c>
      <c r="AH2066" s="52" t="n">
        <v>0</v>
      </c>
      <c r="AI2066" s="52" t="n">
        <v>0</v>
      </c>
      <c r="AJ2066" s="52" t="n">
        <v>0</v>
      </c>
      <c r="AK2066" s="52" t="n">
        <v>0</v>
      </c>
      <c r="AL2066" s="52" t="n">
        <v>0</v>
      </c>
      <c r="AM2066" s="53" t="n">
        <v>0</v>
      </c>
      <c r="AN2066" s="53" t="n">
        <v>0</v>
      </c>
      <c r="AO2066" s="53" t="n">
        <v>0</v>
      </c>
      <c r="AP2066" s="53" t="n">
        <v>0</v>
      </c>
      <c r="AQ2066" s="52" t="n">
        <v>0</v>
      </c>
      <c r="AR2066" s="52" t="n">
        <v>0</v>
      </c>
      <c r="AS2066" s="52" t="n">
        <v>0</v>
      </c>
      <c r="AT2066" s="52" t="n">
        <v>0</v>
      </c>
      <c r="AU2066" s="53" t="n">
        <v>0</v>
      </c>
      <c r="AV2066" s="53" t="n">
        <v>0</v>
      </c>
      <c r="AW2066" s="53" t="n">
        <v>0</v>
      </c>
      <c r="AX2066" s="53" t="n">
        <v>0</v>
      </c>
      <c r="AY2066" s="52" t="n">
        <v>0</v>
      </c>
      <c r="AZ2066" s="52" t="n">
        <v>11.99</v>
      </c>
      <c r="BA2066" s="52" t="n">
        <v>11.99</v>
      </c>
      <c r="BB2066" s="52" t="n">
        <v>11.99</v>
      </c>
      <c r="BC2066" s="51" t="n">
        <v>0</v>
      </c>
      <c r="BD2066" s="51" t="n">
        <v>0</v>
      </c>
      <c r="BE2066" s="51" t="n">
        <v>0</v>
      </c>
      <c r="BF2066" s="51" t="n">
        <v>0</v>
      </c>
    </row>
    <row r="2067">
      <c r="A2067">
        <f>HYPERLINK("https://www.walmart.com/ip/336267646", "336267646")</f>
        <v/>
      </c>
      <c r="B2067" t="inlineStr">
        <is>
          <t>Pawsse Waterproof Pet Blanket, Pee Urine Proof Dog Blanket Cover for Couch Bed Furniture Protector, Liquid Proof Blanket for Small Medium Dogs, 50” x 30”, Brown/Tuape</t>
        </is>
      </c>
      <c r="C2067" t="inlineStr">
        <is>
          <t>1PSBW351BNTP</t>
        </is>
      </c>
      <c r="D2067" t="inlineStr">
        <is>
          <t>Pet Blankets</t>
        </is>
      </c>
      <c r="E2067" t="inlineStr">
        <is>
          <t>Pawsse</t>
        </is>
      </c>
      <c r="F2067" t="inlineStr">
        <is>
          <t>Q2-Target,Batch 1 - TR</t>
        </is>
      </c>
      <c r="G2067" s="48" t="n">
        <v>0</v>
      </c>
      <c r="H2067" s="48" t="n">
        <v>0</v>
      </c>
      <c r="I2067" s="48" t="n">
        <v>0</v>
      </c>
      <c r="J2067" s="48" t="n">
        <v>0</v>
      </c>
      <c r="K2067" s="49" t="n">
        <v>0</v>
      </c>
      <c r="L2067" s="49" t="n">
        <v>0</v>
      </c>
      <c r="M2067" s="49" t="n">
        <v>0</v>
      </c>
      <c r="N2067" s="49" t="n">
        <v>0</v>
      </c>
      <c r="O2067" s="49" t="n">
        <v>0</v>
      </c>
      <c r="P2067" s="49" t="n">
        <v>0</v>
      </c>
      <c r="Q2067" s="49" t="n">
        <v>0</v>
      </c>
      <c r="R2067" s="49" t="n">
        <v>0</v>
      </c>
      <c r="S2067" s="50" t="n">
        <v>0</v>
      </c>
      <c r="T2067" s="50" t="n">
        <v>0</v>
      </c>
      <c r="U2067" s="50" t="n">
        <v>0</v>
      </c>
      <c r="V2067" s="50" t="n">
        <v>0</v>
      </c>
      <c r="W2067" s="51" t="n">
        <v>3</v>
      </c>
      <c r="X2067" s="51" t="n">
        <v>4</v>
      </c>
      <c r="Y2067" s="51" t="n">
        <v>7</v>
      </c>
      <c r="Z2067" s="51" t="n">
        <v>0</v>
      </c>
      <c r="AA2067" s="52" t="n">
        <v>1.35</v>
      </c>
      <c r="AB2067" s="52" t="n">
        <v>1.8</v>
      </c>
      <c r="AC2067" s="52" t="n">
        <v>3.17</v>
      </c>
      <c r="AD2067" s="52" t="n">
        <v>0</v>
      </c>
      <c r="AE2067" s="52" t="n">
        <v>0</v>
      </c>
      <c r="AF2067" s="52" t="n">
        <v>0</v>
      </c>
      <c r="AG2067" s="52" t="n">
        <v>0</v>
      </c>
      <c r="AH2067" s="52" t="n">
        <v>0</v>
      </c>
      <c r="AI2067" s="52" t="n">
        <v>0</v>
      </c>
      <c r="AJ2067" s="52" t="n">
        <v>0</v>
      </c>
      <c r="AK2067" s="52" t="n">
        <v>0</v>
      </c>
      <c r="AL2067" s="52" t="n">
        <v>0</v>
      </c>
      <c r="AM2067" s="53" t="n">
        <v>0.0234</v>
      </c>
      <c r="AN2067" s="53" t="n">
        <v>0.026</v>
      </c>
      <c r="AO2067" s="53" t="n">
        <v>0.0593</v>
      </c>
      <c r="AP2067" s="53" t="n">
        <v>0</v>
      </c>
      <c r="AQ2067" s="52" t="n">
        <v>0.45</v>
      </c>
      <c r="AR2067" s="52" t="n">
        <v>0.45</v>
      </c>
      <c r="AS2067" s="52" t="n">
        <v>0.4528571428571428</v>
      </c>
      <c r="AT2067" s="52" t="n">
        <v>0</v>
      </c>
      <c r="AU2067" s="53" t="n">
        <v>0</v>
      </c>
      <c r="AV2067" s="53" t="n">
        <v>0</v>
      </c>
      <c r="AW2067" s="53" t="n">
        <v>0</v>
      </c>
      <c r="AX2067" s="53" t="n">
        <v>0</v>
      </c>
      <c r="AY2067" s="52" t="n">
        <v>0</v>
      </c>
      <c r="AZ2067" s="52" t="n">
        <v>0</v>
      </c>
      <c r="BA2067" s="52" t="n">
        <v>0</v>
      </c>
      <c r="BB2067" s="52" t="n">
        <v>0</v>
      </c>
      <c r="BC2067" s="51" t="n">
        <v>128</v>
      </c>
      <c r="BD2067" s="51" t="n">
        <v>154</v>
      </c>
      <c r="BE2067" s="51" t="n">
        <v>118</v>
      </c>
      <c r="BF2067" s="51" t="n">
        <v>4</v>
      </c>
    </row>
    <row r="2068">
      <c r="A2068">
        <f>HYPERLINK("https://www.walmart.com/ip/336399157", "336399157")</f>
        <v/>
      </c>
      <c r="B2068" t="inlineStr">
        <is>
          <t>Vina 5-Piece Rabbit Wine Bottle Opener Set with Bamboo Stand, Ideal Gift for Wine Lover</t>
        </is>
      </c>
      <c r="C2068" t="inlineStr">
        <is>
          <t>VINAWO010-SR</t>
        </is>
      </c>
      <c r="D2068" t="inlineStr">
        <is>
          <t>Corkscrews &amp; Wine Bottle Openers</t>
        </is>
      </c>
      <c r="E2068" t="inlineStr">
        <is>
          <t>Vina</t>
        </is>
      </c>
      <c r="F2068" t="inlineStr">
        <is>
          <t>Wine,Optimized</t>
        </is>
      </c>
      <c r="G2068" s="48" t="n">
        <v>0</v>
      </c>
      <c r="H2068" s="48" t="n">
        <v>0</v>
      </c>
      <c r="I2068" s="48" t="n">
        <v>0</v>
      </c>
      <c r="J2068" s="48" t="n">
        <v>0</v>
      </c>
      <c r="K2068" s="49" t="n">
        <v>0</v>
      </c>
      <c r="L2068" s="49" t="n">
        <v>0</v>
      </c>
      <c r="M2068" s="49" t="n">
        <v>0</v>
      </c>
      <c r="N2068" s="49" t="n">
        <v>0</v>
      </c>
      <c r="O2068" s="49" t="n">
        <v>0</v>
      </c>
      <c r="P2068" s="49" t="n">
        <v>0</v>
      </c>
      <c r="Q2068" s="49" t="n">
        <v>0</v>
      </c>
      <c r="R2068" s="49" t="n">
        <v>0</v>
      </c>
      <c r="S2068" s="50" t="n">
        <v>0</v>
      </c>
      <c r="T2068" s="50" t="n">
        <v>0</v>
      </c>
      <c r="U2068" s="50" t="n">
        <v>0</v>
      </c>
      <c r="V2068" s="50" t="n">
        <v>0</v>
      </c>
      <c r="W2068" s="51" t="n">
        <v>0</v>
      </c>
      <c r="X2068" s="51" t="n">
        <v>0</v>
      </c>
      <c r="Y2068" s="51" t="n">
        <v>0</v>
      </c>
      <c r="Z2068" s="51" t="n">
        <v>0</v>
      </c>
      <c r="AA2068" s="52" t="n">
        <v>0</v>
      </c>
      <c r="AB2068" s="52" t="n">
        <v>0</v>
      </c>
      <c r="AC2068" s="52" t="n">
        <v>0</v>
      </c>
      <c r="AD2068" s="52" t="n">
        <v>0</v>
      </c>
      <c r="AE2068" s="52" t="n">
        <v>0</v>
      </c>
      <c r="AF2068" s="52" t="n">
        <v>0</v>
      </c>
      <c r="AG2068" s="52" t="n">
        <v>0</v>
      </c>
      <c r="AH2068" s="52" t="n">
        <v>0</v>
      </c>
      <c r="AI2068" s="52" t="n">
        <v>0</v>
      </c>
      <c r="AJ2068" s="52" t="n">
        <v>0</v>
      </c>
      <c r="AK2068" s="52" t="n">
        <v>0</v>
      </c>
      <c r="AL2068" s="52" t="n">
        <v>0</v>
      </c>
      <c r="AM2068" s="53" t="n">
        <v>0</v>
      </c>
      <c r="AN2068" s="53" t="n">
        <v>0</v>
      </c>
      <c r="AO2068" s="53" t="n">
        <v>0</v>
      </c>
      <c r="AP2068" s="53" t="n">
        <v>0</v>
      </c>
      <c r="AQ2068" s="52" t="n">
        <v>0</v>
      </c>
      <c r="AR2068" s="52" t="n">
        <v>0</v>
      </c>
      <c r="AS2068" s="52" t="n">
        <v>0</v>
      </c>
      <c r="AT2068" s="52" t="n">
        <v>0</v>
      </c>
      <c r="AU2068" s="53" t="n">
        <v>0</v>
      </c>
      <c r="AV2068" s="53" t="n">
        <v>0</v>
      </c>
      <c r="AW2068" s="53" t="n">
        <v>0</v>
      </c>
      <c r="AX2068" s="53" t="n">
        <v>0</v>
      </c>
      <c r="AY2068" s="52" t="n">
        <v>0</v>
      </c>
      <c r="AZ2068" s="52" t="n">
        <v>0</v>
      </c>
      <c r="BA2068" s="52" t="n">
        <v>0</v>
      </c>
      <c r="BB2068" s="52" t="n">
        <v>0</v>
      </c>
      <c r="BC2068" s="51" t="n">
        <v>0</v>
      </c>
      <c r="BD2068" s="51" t="n">
        <v>0</v>
      </c>
      <c r="BE2068" s="51" t="n">
        <v>0</v>
      </c>
      <c r="BF2068" s="51" t="n">
        <v>0</v>
      </c>
    </row>
    <row r="2069">
      <c r="A2069">
        <f>HYPERLINK("https://www.walmart.com/ip/336796060", "336796060")</f>
        <v/>
      </c>
      <c r="B2069" t="inlineStr">
        <is>
          <t>Womens  5'' Super Wide Brim Sun Hats Summer Reversible UPF 50+ Beach Hat Foldable Floppy Rose Cap Red</t>
        </is>
      </c>
      <c r="C2069" t="inlineStr">
        <is>
          <t>1TRSH069RD-TBCB</t>
        </is>
      </c>
      <c r="D2069" t="inlineStr">
        <is>
          <t>Hats</t>
        </is>
      </c>
      <c r="E2069" t="inlineStr">
        <is>
          <t>Tirrinia</t>
        </is>
      </c>
      <c r="G2069" s="48" t="n">
        <v>0</v>
      </c>
      <c r="H2069" s="48" t="n">
        <v>0</v>
      </c>
      <c r="I2069" s="48" t="n">
        <v>0</v>
      </c>
      <c r="J2069" s="48" t="n">
        <v>0</v>
      </c>
      <c r="K2069" s="49" t="n">
        <v>0</v>
      </c>
      <c r="L2069" s="49" t="n">
        <v>0</v>
      </c>
      <c r="M2069" s="49" t="n">
        <v>0</v>
      </c>
      <c r="N2069" s="49" t="n">
        <v>0</v>
      </c>
      <c r="O2069" s="49" t="n">
        <v>0</v>
      </c>
      <c r="P2069" s="49" t="n">
        <v>0</v>
      </c>
      <c r="Q2069" s="49" t="n">
        <v>0</v>
      </c>
      <c r="R2069" s="49" t="n">
        <v>0</v>
      </c>
      <c r="S2069" s="50" t="n">
        <v>0</v>
      </c>
      <c r="T2069" s="50" t="n">
        <v>0</v>
      </c>
      <c r="U2069" s="50" t="n">
        <v>0</v>
      </c>
      <c r="V2069" s="50" t="n">
        <v>0</v>
      </c>
      <c r="W2069" s="51" t="n">
        <v>0</v>
      </c>
      <c r="X2069" s="51" t="n">
        <v>0</v>
      </c>
      <c r="Y2069" s="51" t="n">
        <v>0</v>
      </c>
      <c r="Z2069" s="51" t="n">
        <v>0</v>
      </c>
      <c r="AA2069" s="52" t="n">
        <v>0</v>
      </c>
      <c r="AB2069" s="52" t="n">
        <v>0</v>
      </c>
      <c r="AC2069" s="52" t="n">
        <v>0</v>
      </c>
      <c r="AD2069" s="52" t="n">
        <v>0</v>
      </c>
      <c r="AE2069" s="52" t="n">
        <v>0</v>
      </c>
      <c r="AF2069" s="52" t="n">
        <v>0</v>
      </c>
      <c r="AG2069" s="52" t="n">
        <v>0</v>
      </c>
      <c r="AH2069" s="52" t="n">
        <v>0</v>
      </c>
      <c r="AI2069" s="52" t="n">
        <v>0</v>
      </c>
      <c r="AJ2069" s="52" t="n">
        <v>0</v>
      </c>
      <c r="AK2069" s="52" t="n">
        <v>0</v>
      </c>
      <c r="AL2069" s="52" t="n">
        <v>0</v>
      </c>
      <c r="AM2069" s="53" t="n">
        <v>0</v>
      </c>
      <c r="AN2069" s="53" t="n">
        <v>0</v>
      </c>
      <c r="AO2069" s="53" t="n">
        <v>0</v>
      </c>
      <c r="AP2069" s="53" t="n">
        <v>0</v>
      </c>
      <c r="AQ2069" s="52" t="n">
        <v>0</v>
      </c>
      <c r="AR2069" s="52" t="n">
        <v>0</v>
      </c>
      <c r="AS2069" s="52" t="n">
        <v>0</v>
      </c>
      <c r="AT2069" s="52" t="n">
        <v>0</v>
      </c>
      <c r="AU2069" s="53" t="n">
        <v>0</v>
      </c>
      <c r="AV2069" s="53" t="n">
        <v>0</v>
      </c>
      <c r="AW2069" s="53" t="n">
        <v>0</v>
      </c>
      <c r="AX2069" s="53" t="n">
        <v>0</v>
      </c>
      <c r="AY2069" s="52" t="n">
        <v>0</v>
      </c>
      <c r="AZ2069" s="52" t="n">
        <v>0</v>
      </c>
      <c r="BA2069" s="52" t="n">
        <v>0</v>
      </c>
      <c r="BB2069" s="52" t="n">
        <v>0</v>
      </c>
      <c r="BC2069" s="51" t="n">
        <v>0</v>
      </c>
      <c r="BD2069" s="51" t="n">
        <v>0</v>
      </c>
      <c r="BE2069" s="51" t="n">
        <v>0</v>
      </c>
      <c r="BF2069" s="51" t="n">
        <v>0</v>
      </c>
    </row>
    <row r="2070">
      <c r="A2070">
        <f>HYPERLINK("https://www.walmart.com/ip/3370753139", "3370753139")</f>
        <v/>
      </c>
      <c r="B2070" t="inlineStr">
        <is>
          <t>Catalonia Cow Print Sherpa Fleece Blanket, Super Soft Warm Cozy Flannel Reversible Throw Blanket for Couch Sofa Bed, Grey Dog Pattern,  50" x 60".</t>
        </is>
      </c>
      <c r="C2070" t="inlineStr">
        <is>
          <t>1CTBF300GYDOG</t>
        </is>
      </c>
      <c r="D2070" t="inlineStr">
        <is>
          <t>Throws</t>
        </is>
      </c>
      <c r="E2070" t="inlineStr">
        <is>
          <t>Catalonia</t>
        </is>
      </c>
      <c r="F2070" t="inlineStr">
        <is>
          <t>Q2-Target,Coupon_Discount,Fleece Blankets</t>
        </is>
      </c>
      <c r="G2070" s="48" t="n">
        <v>0</v>
      </c>
      <c r="H2070" s="48" t="n">
        <v>0</v>
      </c>
      <c r="I2070" s="48" t="n">
        <v>0</v>
      </c>
      <c r="J2070" s="48" t="n">
        <v>0</v>
      </c>
      <c r="K2070" s="49" t="n">
        <v>0</v>
      </c>
      <c r="L2070" s="49" t="n">
        <v>0</v>
      </c>
      <c r="M2070" s="49" t="n">
        <v>0</v>
      </c>
      <c r="N2070" s="49" t="n">
        <v>0</v>
      </c>
      <c r="O2070" s="49" t="n">
        <v>0</v>
      </c>
      <c r="P2070" s="49" t="n">
        <v>0</v>
      </c>
      <c r="Q2070" s="49" t="n">
        <v>0</v>
      </c>
      <c r="R2070" s="49" t="n">
        <v>0</v>
      </c>
      <c r="S2070" s="50" t="n">
        <v>0</v>
      </c>
      <c r="T2070" s="50" t="n">
        <v>0</v>
      </c>
      <c r="U2070" s="50" t="n">
        <v>0</v>
      </c>
      <c r="V2070" s="50" t="n">
        <v>0</v>
      </c>
      <c r="W2070" s="51" t="n">
        <v>0</v>
      </c>
      <c r="X2070" s="51" t="n">
        <v>0</v>
      </c>
      <c r="Y2070" s="51" t="n">
        <v>0</v>
      </c>
      <c r="Z2070" s="51" t="n">
        <v>0</v>
      </c>
      <c r="AA2070" s="52" t="n">
        <v>0</v>
      </c>
      <c r="AB2070" s="52" t="n">
        <v>0</v>
      </c>
      <c r="AC2070" s="52" t="n">
        <v>0</v>
      </c>
      <c r="AD2070" s="52" t="n">
        <v>0</v>
      </c>
      <c r="AE2070" s="52" t="n">
        <v>0</v>
      </c>
      <c r="AF2070" s="52" t="n">
        <v>0</v>
      </c>
      <c r="AG2070" s="52" t="n">
        <v>0</v>
      </c>
      <c r="AH2070" s="52" t="n">
        <v>0</v>
      </c>
      <c r="AI2070" s="52" t="n">
        <v>0</v>
      </c>
      <c r="AJ2070" s="52" t="n">
        <v>0</v>
      </c>
      <c r="AK2070" s="52" t="n">
        <v>0</v>
      </c>
      <c r="AL2070" s="52" t="n">
        <v>0</v>
      </c>
      <c r="AM2070" s="53" t="n">
        <v>0</v>
      </c>
      <c r="AN2070" s="53" t="n">
        <v>0</v>
      </c>
      <c r="AO2070" s="53" t="n">
        <v>0</v>
      </c>
      <c r="AP2070" s="53" t="n">
        <v>0</v>
      </c>
      <c r="AQ2070" s="52" t="n">
        <v>0</v>
      </c>
      <c r="AR2070" s="52" t="n">
        <v>0</v>
      </c>
      <c r="AS2070" s="52" t="n">
        <v>0</v>
      </c>
      <c r="AT2070" s="52" t="n">
        <v>0</v>
      </c>
      <c r="AU2070" s="53" t="n">
        <v>0</v>
      </c>
      <c r="AV2070" s="53" t="n">
        <v>0</v>
      </c>
      <c r="AW2070" s="53" t="n">
        <v>0</v>
      </c>
      <c r="AX2070" s="53" t="n">
        <v>0</v>
      </c>
      <c r="AY2070" s="52" t="n">
        <v>0</v>
      </c>
      <c r="AZ2070" s="52" t="n">
        <v>0</v>
      </c>
      <c r="BA2070" s="52" t="n">
        <v>0</v>
      </c>
      <c r="BB2070" s="52" t="n">
        <v>0</v>
      </c>
      <c r="BC2070" s="51" t="n">
        <v>0</v>
      </c>
      <c r="BD2070" s="51" t="n">
        <v>0</v>
      </c>
      <c r="BE2070" s="51" t="n">
        <v>0</v>
      </c>
      <c r="BF2070" s="51" t="n">
        <v>0</v>
      </c>
    </row>
    <row r="2071">
      <c r="A2071">
        <f>HYPERLINK("https://www.walmart.com/ip/337702004", "337702004")</f>
        <v/>
      </c>
      <c r="B2071" t="inlineStr">
        <is>
          <t>Women's Poncho Cape, Sherpa Fleece Cloak Coat, Snuggly Hooded Wearable Blanket, Gift Idea for Adults and Teen Girls</t>
        </is>
      </c>
      <c r="C2071" t="inlineStr">
        <is>
          <t>1CTBC300BL</t>
        </is>
      </c>
      <c r="D2071" t="inlineStr">
        <is>
          <t>Throws</t>
        </is>
      </c>
      <c r="E2071" t="inlineStr">
        <is>
          <t>Catalonia</t>
        </is>
      </c>
      <c r="F2071" t="inlineStr">
        <is>
          <t>WFS Item</t>
        </is>
      </c>
      <c r="G2071" s="48" t="n">
        <v>0</v>
      </c>
      <c r="H2071" s="48" t="n">
        <v>0</v>
      </c>
      <c r="I2071" s="48" t="n">
        <v>0</v>
      </c>
      <c r="J2071" s="48" t="n">
        <v>0</v>
      </c>
      <c r="K2071" s="49" t="n">
        <v>0</v>
      </c>
      <c r="L2071" s="49" t="n">
        <v>0</v>
      </c>
      <c r="M2071" s="49" t="n">
        <v>0</v>
      </c>
      <c r="N2071" s="49" t="n">
        <v>0</v>
      </c>
      <c r="O2071" s="49" t="n">
        <v>1</v>
      </c>
      <c r="P2071" s="49" t="n">
        <v>2</v>
      </c>
      <c r="Q2071" s="49" t="n">
        <v>1</v>
      </c>
      <c r="R2071" s="49" t="n">
        <v>0</v>
      </c>
      <c r="S2071" s="50" t="n">
        <v>0</v>
      </c>
      <c r="T2071" s="50" t="n">
        <v>0</v>
      </c>
      <c r="U2071" s="50" t="n">
        <v>0</v>
      </c>
      <c r="V2071" s="50" t="n">
        <v>0</v>
      </c>
      <c r="W2071" s="51" t="n">
        <v>0</v>
      </c>
      <c r="X2071" s="51" t="n">
        <v>0</v>
      </c>
      <c r="Y2071" s="51" t="n">
        <v>0</v>
      </c>
      <c r="Z2071" s="51" t="n">
        <v>0</v>
      </c>
      <c r="AA2071" s="52" t="n">
        <v>0</v>
      </c>
      <c r="AB2071" s="52" t="n">
        <v>0</v>
      </c>
      <c r="AC2071" s="52" t="n">
        <v>0</v>
      </c>
      <c r="AD2071" s="52" t="n">
        <v>0</v>
      </c>
      <c r="AE2071" s="52" t="n">
        <v>0</v>
      </c>
      <c r="AF2071" s="52" t="n">
        <v>0</v>
      </c>
      <c r="AG2071" s="52" t="n">
        <v>0</v>
      </c>
      <c r="AH2071" s="52" t="n">
        <v>0</v>
      </c>
      <c r="AI2071" s="52" t="n">
        <v>0</v>
      </c>
      <c r="AJ2071" s="52" t="n">
        <v>0</v>
      </c>
      <c r="AK2071" s="52" t="n">
        <v>0</v>
      </c>
      <c r="AL2071" s="52" t="n">
        <v>0</v>
      </c>
      <c r="AM2071" s="53" t="n">
        <v>0</v>
      </c>
      <c r="AN2071" s="53" t="n">
        <v>0</v>
      </c>
      <c r="AO2071" s="53" t="n">
        <v>0</v>
      </c>
      <c r="AP2071" s="53" t="n">
        <v>0</v>
      </c>
      <c r="AQ2071" s="52" t="n">
        <v>0</v>
      </c>
      <c r="AR2071" s="52" t="n">
        <v>0</v>
      </c>
      <c r="AS2071" s="52" t="n">
        <v>0</v>
      </c>
      <c r="AT2071" s="52" t="n">
        <v>0</v>
      </c>
      <c r="AU2071" s="53" t="n">
        <v>0</v>
      </c>
      <c r="AV2071" s="53" t="n">
        <v>0</v>
      </c>
      <c r="AW2071" s="53" t="n">
        <v>0</v>
      </c>
      <c r="AX2071" s="53" t="n">
        <v>0</v>
      </c>
      <c r="AY2071" s="52" t="n">
        <v>0</v>
      </c>
      <c r="AZ2071" s="52" t="n">
        <v>0</v>
      </c>
      <c r="BA2071" s="52" t="n">
        <v>0</v>
      </c>
      <c r="BB2071" s="52" t="n">
        <v>0</v>
      </c>
      <c r="BC2071" s="51" t="n">
        <v>0</v>
      </c>
      <c r="BD2071" s="51" t="n">
        <v>0</v>
      </c>
      <c r="BE2071" s="51" t="n">
        <v>0</v>
      </c>
      <c r="BF2071" s="51" t="n">
        <v>0</v>
      </c>
    </row>
    <row r="2072">
      <c r="A2072">
        <f>HYPERLINK("https://www.walmart.com/ip/339765581", "339765581")</f>
        <v/>
      </c>
      <c r="B2072" t="inlineStr">
        <is>
          <t>Sherpa Wearable Blanket with Sleeves &amp; Foot Pockets for Adult Women Men, Comfy Snuggle Wrap Sleeved Throw Blanket Robe, Gift Idea, Camel</t>
        </is>
      </c>
      <c r="C2072" t="inlineStr">
        <is>
          <t>1CTSN310CA</t>
        </is>
      </c>
      <c r="D2072" t="inlineStr">
        <is>
          <t>Throws</t>
        </is>
      </c>
      <c r="E2072" t="inlineStr">
        <is>
          <t>Catalonia</t>
        </is>
      </c>
      <c r="F2072" t="inlineStr">
        <is>
          <t>Optimized,WFS,Coupon_Discount,WFS Item</t>
        </is>
      </c>
      <c r="G2072" s="48" t="n">
        <v>0</v>
      </c>
      <c r="H2072" s="48" t="n">
        <v>0</v>
      </c>
      <c r="I2072" s="48" t="n">
        <v>0</v>
      </c>
      <c r="J2072" s="48" t="n">
        <v>0</v>
      </c>
      <c r="K2072" s="49" t="n">
        <v>0</v>
      </c>
      <c r="L2072" s="49" t="n">
        <v>0</v>
      </c>
      <c r="M2072" s="49" t="n">
        <v>0</v>
      </c>
      <c r="N2072" s="49" t="n">
        <v>0</v>
      </c>
      <c r="O2072" s="49" t="n">
        <v>0</v>
      </c>
      <c r="P2072" s="49" t="n">
        <v>0</v>
      </c>
      <c r="Q2072" s="49" t="n">
        <v>0</v>
      </c>
      <c r="R2072" s="49" t="n">
        <v>0</v>
      </c>
      <c r="S2072" s="50" t="n">
        <v>0</v>
      </c>
      <c r="T2072" s="50" t="n">
        <v>0</v>
      </c>
      <c r="U2072" s="50" t="n">
        <v>0</v>
      </c>
      <c r="V2072" s="50" t="n">
        <v>0</v>
      </c>
      <c r="W2072" s="51" t="n">
        <v>0</v>
      </c>
      <c r="X2072" s="51" t="n">
        <v>0</v>
      </c>
      <c r="Y2072" s="51" t="n">
        <v>0</v>
      </c>
      <c r="Z2072" s="51" t="n">
        <v>0</v>
      </c>
      <c r="AA2072" s="52" t="n">
        <v>0</v>
      </c>
      <c r="AB2072" s="52" t="n">
        <v>0</v>
      </c>
      <c r="AC2072" s="52" t="n">
        <v>0</v>
      </c>
      <c r="AD2072" s="52" t="n">
        <v>0</v>
      </c>
      <c r="AE2072" s="52" t="n">
        <v>0</v>
      </c>
      <c r="AF2072" s="52" t="n">
        <v>0</v>
      </c>
      <c r="AG2072" s="52" t="n">
        <v>0</v>
      </c>
      <c r="AH2072" s="52" t="n">
        <v>0</v>
      </c>
      <c r="AI2072" s="52" t="n">
        <v>0</v>
      </c>
      <c r="AJ2072" s="52" t="n">
        <v>0</v>
      </c>
      <c r="AK2072" s="52" t="n">
        <v>0</v>
      </c>
      <c r="AL2072" s="52" t="n">
        <v>0</v>
      </c>
      <c r="AM2072" s="53" t="n">
        <v>0</v>
      </c>
      <c r="AN2072" s="53" t="n">
        <v>0</v>
      </c>
      <c r="AO2072" s="53" t="n">
        <v>0</v>
      </c>
      <c r="AP2072" s="53" t="n">
        <v>0</v>
      </c>
      <c r="AQ2072" s="52" t="n">
        <v>0</v>
      </c>
      <c r="AR2072" s="52" t="n">
        <v>0</v>
      </c>
      <c r="AS2072" s="52" t="n">
        <v>0</v>
      </c>
      <c r="AT2072" s="52" t="n">
        <v>0</v>
      </c>
      <c r="AU2072" s="53" t="n">
        <v>0</v>
      </c>
      <c r="AV2072" s="53" t="n">
        <v>0</v>
      </c>
      <c r="AW2072" s="53" t="n">
        <v>0</v>
      </c>
      <c r="AX2072" s="53" t="n">
        <v>0</v>
      </c>
      <c r="AY2072" s="52" t="n">
        <v>0</v>
      </c>
      <c r="AZ2072" s="52" t="n">
        <v>0</v>
      </c>
      <c r="BA2072" s="52" t="n">
        <v>0</v>
      </c>
      <c r="BB2072" s="52" t="n">
        <v>0</v>
      </c>
      <c r="BC2072" s="51" t="n">
        <v>0</v>
      </c>
      <c r="BD2072" s="51" t="n">
        <v>0</v>
      </c>
      <c r="BE2072" s="51" t="n">
        <v>0</v>
      </c>
      <c r="BF2072" s="51" t="n">
        <v>0</v>
      </c>
    </row>
    <row r="2073">
      <c r="A2073">
        <f>HYPERLINK("https://www.walmart.com/ip/342298154", "342298154")</f>
        <v/>
      </c>
      <c r="B2073" t="inlineStr">
        <is>
          <t>Insulated Expandable Lunch Bags Tote Thermal Cooler Leak Proof Travel Container Food Case for Adults Adjustable Shoulder</t>
        </is>
      </c>
      <c r="C2073" t="inlineStr">
        <is>
          <t>1KTLB110GR</t>
        </is>
      </c>
      <c r="D2073" t="inlineStr">
        <is>
          <t>Reusable Lunch Bags &amp; Boxes</t>
        </is>
      </c>
      <c r="E2073" t="inlineStr">
        <is>
          <t>Kato</t>
        </is>
      </c>
      <c r="F2073" t="inlineStr">
        <is>
          <t>Lunch Bag,Optimized,SEM</t>
        </is>
      </c>
      <c r="G2073" s="48" t="n">
        <v>0</v>
      </c>
      <c r="H2073" s="48" t="n">
        <v>0</v>
      </c>
      <c r="I2073" s="48" t="n">
        <v>0</v>
      </c>
      <c r="J2073" s="48" t="n">
        <v>0</v>
      </c>
      <c r="K2073" s="49" t="n">
        <v>0</v>
      </c>
      <c r="L2073" s="49" t="n">
        <v>0</v>
      </c>
      <c r="M2073" s="49" t="n">
        <v>0</v>
      </c>
      <c r="N2073" s="49" t="n">
        <v>0</v>
      </c>
      <c r="O2073" s="49" t="n">
        <v>0</v>
      </c>
      <c r="P2073" s="49" t="n">
        <v>0</v>
      </c>
      <c r="Q2073" s="49" t="n">
        <v>0</v>
      </c>
      <c r="R2073" s="49" t="n">
        <v>0</v>
      </c>
      <c r="S2073" s="50" t="n">
        <v>0</v>
      </c>
      <c r="T2073" s="50" t="n">
        <v>0</v>
      </c>
      <c r="U2073" s="50" t="n">
        <v>0</v>
      </c>
      <c r="V2073" s="50" t="n">
        <v>0</v>
      </c>
      <c r="W2073" s="51" t="n">
        <v>0</v>
      </c>
      <c r="X2073" s="51" t="n">
        <v>0</v>
      </c>
      <c r="Y2073" s="51" t="n">
        <v>0</v>
      </c>
      <c r="Z2073" s="51" t="n">
        <v>0</v>
      </c>
      <c r="AA2073" s="52" t="n">
        <v>0</v>
      </c>
      <c r="AB2073" s="52" t="n">
        <v>0</v>
      </c>
      <c r="AC2073" s="52" t="n">
        <v>0</v>
      </c>
      <c r="AD2073" s="52" t="n">
        <v>0</v>
      </c>
      <c r="AE2073" s="52" t="n">
        <v>0</v>
      </c>
      <c r="AF2073" s="52" t="n">
        <v>0</v>
      </c>
      <c r="AG2073" s="52" t="n">
        <v>0</v>
      </c>
      <c r="AH2073" s="52" t="n">
        <v>0</v>
      </c>
      <c r="AI2073" s="52" t="n">
        <v>0</v>
      </c>
      <c r="AJ2073" s="52" t="n">
        <v>0</v>
      </c>
      <c r="AK2073" s="52" t="n">
        <v>0</v>
      </c>
      <c r="AL2073" s="52" t="n">
        <v>0</v>
      </c>
      <c r="AM2073" s="53" t="n">
        <v>0</v>
      </c>
      <c r="AN2073" s="53" t="n">
        <v>0</v>
      </c>
      <c r="AO2073" s="53" t="n">
        <v>0</v>
      </c>
      <c r="AP2073" s="53" t="n">
        <v>0</v>
      </c>
      <c r="AQ2073" s="52" t="n">
        <v>0</v>
      </c>
      <c r="AR2073" s="52" t="n">
        <v>0</v>
      </c>
      <c r="AS2073" s="52" t="n">
        <v>0</v>
      </c>
      <c r="AT2073" s="52" t="n">
        <v>0</v>
      </c>
      <c r="AU2073" s="53" t="n">
        <v>0</v>
      </c>
      <c r="AV2073" s="53" t="n">
        <v>0</v>
      </c>
      <c r="AW2073" s="53" t="n">
        <v>0</v>
      </c>
      <c r="AX2073" s="53" t="n">
        <v>0</v>
      </c>
      <c r="AY2073" s="52" t="n">
        <v>0</v>
      </c>
      <c r="AZ2073" s="52" t="n">
        <v>0</v>
      </c>
      <c r="BA2073" s="52" t="n">
        <v>0</v>
      </c>
      <c r="BB2073" s="52" t="n">
        <v>0</v>
      </c>
      <c r="BC2073" s="51" t="n">
        <v>0</v>
      </c>
      <c r="BD2073" s="51" t="n">
        <v>0</v>
      </c>
      <c r="BE2073" s="51" t="n">
        <v>0</v>
      </c>
      <c r="BF2073" s="51" t="n">
        <v>0</v>
      </c>
    </row>
    <row r="2074">
      <c r="A2074">
        <f>HYPERLINK("https://www.walmart.com/ip/343487984", "343487984")</f>
        <v/>
      </c>
      <c r="B2074" t="inlineStr">
        <is>
          <t>Ski Gloves 3M Waterproof Insulated Winter Snow Mittens Gloves for Women &amp; Men Winter Sports</t>
        </is>
      </c>
      <c r="C2074" t="inlineStr">
        <is>
          <t>1SLWG300BKM</t>
        </is>
      </c>
      <c r="D2074" t="inlineStr">
        <is>
          <t>Gloves &amp; Mittens</t>
        </is>
      </c>
      <c r="E2074" t="inlineStr">
        <is>
          <t>Solaris</t>
        </is>
      </c>
      <c r="F2074" t="inlineStr">
        <is>
          <t>Optimized,Gloves</t>
        </is>
      </c>
      <c r="G2074" s="48" t="n">
        <v>0</v>
      </c>
      <c r="H2074" s="48" t="n">
        <v>0</v>
      </c>
      <c r="I2074" s="48" t="n">
        <v>0</v>
      </c>
      <c r="J2074" s="48" t="n">
        <v>0</v>
      </c>
      <c r="K2074" s="49" t="n">
        <v>0</v>
      </c>
      <c r="L2074" s="49" t="n">
        <v>0</v>
      </c>
      <c r="M2074" s="49" t="n">
        <v>0</v>
      </c>
      <c r="N2074" s="49" t="n">
        <v>0</v>
      </c>
      <c r="O2074" s="49" t="n">
        <v>0</v>
      </c>
      <c r="P2074" s="49" t="n">
        <v>0</v>
      </c>
      <c r="Q2074" s="49" t="n">
        <v>0</v>
      </c>
      <c r="R2074" s="49" t="n">
        <v>0</v>
      </c>
      <c r="S2074" s="50" t="n">
        <v>0</v>
      </c>
      <c r="T2074" s="50" t="n">
        <v>0</v>
      </c>
      <c r="U2074" s="50" t="n">
        <v>0</v>
      </c>
      <c r="V2074" s="50" t="n">
        <v>0</v>
      </c>
      <c r="W2074" s="51" t="n">
        <v>0</v>
      </c>
      <c r="X2074" s="51" t="n">
        <v>0</v>
      </c>
      <c r="Y2074" s="51" t="n">
        <v>0</v>
      </c>
      <c r="Z2074" s="51" t="n">
        <v>0</v>
      </c>
      <c r="AA2074" s="52" t="n">
        <v>0</v>
      </c>
      <c r="AB2074" s="52" t="n">
        <v>0</v>
      </c>
      <c r="AC2074" s="52" t="n">
        <v>0</v>
      </c>
      <c r="AD2074" s="52" t="n">
        <v>0</v>
      </c>
      <c r="AE2074" s="52" t="n">
        <v>0</v>
      </c>
      <c r="AF2074" s="52" t="n">
        <v>0</v>
      </c>
      <c r="AG2074" s="52" t="n">
        <v>0</v>
      </c>
      <c r="AH2074" s="52" t="n">
        <v>0</v>
      </c>
      <c r="AI2074" s="52" t="n">
        <v>0</v>
      </c>
      <c r="AJ2074" s="52" t="n">
        <v>0</v>
      </c>
      <c r="AK2074" s="52" t="n">
        <v>0</v>
      </c>
      <c r="AL2074" s="52" t="n">
        <v>0</v>
      </c>
      <c r="AM2074" s="53" t="n">
        <v>0</v>
      </c>
      <c r="AN2074" s="53" t="n">
        <v>0</v>
      </c>
      <c r="AO2074" s="53" t="n">
        <v>0</v>
      </c>
      <c r="AP2074" s="53" t="n">
        <v>0</v>
      </c>
      <c r="AQ2074" s="52" t="n">
        <v>0</v>
      </c>
      <c r="AR2074" s="52" t="n">
        <v>0</v>
      </c>
      <c r="AS2074" s="52" t="n">
        <v>0</v>
      </c>
      <c r="AT2074" s="52" t="n">
        <v>0</v>
      </c>
      <c r="AU2074" s="53" t="n">
        <v>0</v>
      </c>
      <c r="AV2074" s="53" t="n">
        <v>0</v>
      </c>
      <c r="AW2074" s="53" t="n">
        <v>0</v>
      </c>
      <c r="AX2074" s="53" t="n">
        <v>0</v>
      </c>
      <c r="AY2074" s="52" t="n">
        <v>0</v>
      </c>
      <c r="AZ2074" s="52" t="n">
        <v>0</v>
      </c>
      <c r="BA2074" s="52" t="n">
        <v>0</v>
      </c>
      <c r="BB2074" s="52" t="n">
        <v>0</v>
      </c>
      <c r="BC2074" s="51" t="n">
        <v>0</v>
      </c>
      <c r="BD2074" s="51" t="n">
        <v>0</v>
      </c>
      <c r="BE2074" s="51" t="n">
        <v>0</v>
      </c>
      <c r="BF2074" s="51" t="n">
        <v>0</v>
      </c>
    </row>
    <row r="2075">
      <c r="A2075">
        <f>HYPERLINK("https://www.walmart.com/ip/343754278", "343754278")</f>
        <v/>
      </c>
      <c r="B2075" t="inlineStr">
        <is>
          <t>Tirrinia Insulated Lunch Bag for Women and Men, Leakproof Reusable Meal Prep Bento Box Insulated Cooler Bag, Dual Compartment with Shoulder Strap, Black And Grey, 10.2" x 7.5" x 9"</t>
        </is>
      </c>
      <c r="C2075" t="inlineStr">
        <is>
          <t>1KTLB600BKGY</t>
        </is>
      </c>
      <c r="D2075" t="inlineStr">
        <is>
          <t>Reusable Lunch Bags &amp; Boxes</t>
        </is>
      </c>
      <c r="E2075" t="inlineStr">
        <is>
          <t>Tirrinia</t>
        </is>
      </c>
      <c r="F2075" t="inlineStr">
        <is>
          <t>Q2-Target,Brand Camp VD,Lunch Bag,WFS,Lunch Bags,SEM,WFS Item</t>
        </is>
      </c>
      <c r="G2075" s="48" t="n">
        <v>0</v>
      </c>
      <c r="H2075" s="48" t="n">
        <v>6.99</v>
      </c>
      <c r="I2075" s="48" t="n">
        <v>0</v>
      </c>
      <c r="J2075" s="48" t="n">
        <v>0</v>
      </c>
      <c r="K2075" s="49" t="n">
        <v>0</v>
      </c>
      <c r="L2075" s="49" t="n">
        <v>0</v>
      </c>
      <c r="M2075" s="49" t="n">
        <v>0</v>
      </c>
      <c r="N2075" s="49" t="n">
        <v>0</v>
      </c>
      <c r="O2075" s="49" t="n">
        <v>24</v>
      </c>
      <c r="P2075" s="49" t="n">
        <v>14</v>
      </c>
      <c r="Q2075" s="49" t="n">
        <v>8</v>
      </c>
      <c r="R2075" s="49" t="n">
        <v>6</v>
      </c>
      <c r="S2075" s="50" t="n">
        <v>0</v>
      </c>
      <c r="T2075" s="50" t="n">
        <v>0</v>
      </c>
      <c r="U2075" s="50" t="n">
        <v>0</v>
      </c>
      <c r="V2075" s="50" t="n">
        <v>0</v>
      </c>
      <c r="W2075" s="51" t="n">
        <v>0</v>
      </c>
      <c r="X2075" s="51" t="n">
        <v>0</v>
      </c>
      <c r="Y2075" s="51" t="n">
        <v>0</v>
      </c>
      <c r="Z2075" s="51" t="n">
        <v>0</v>
      </c>
      <c r="AA2075" s="52" t="n">
        <v>0</v>
      </c>
      <c r="AB2075" s="52" t="n">
        <v>0</v>
      </c>
      <c r="AC2075" s="52" t="n">
        <v>0</v>
      </c>
      <c r="AD2075" s="52" t="n">
        <v>0</v>
      </c>
      <c r="AE2075" s="52" t="n">
        <v>0</v>
      </c>
      <c r="AF2075" s="52" t="n">
        <v>0</v>
      </c>
      <c r="AG2075" s="52" t="n">
        <v>0</v>
      </c>
      <c r="AH2075" s="52" t="n">
        <v>0</v>
      </c>
      <c r="AI2075" s="52" t="n">
        <v>0</v>
      </c>
      <c r="AJ2075" s="52" t="n">
        <v>0</v>
      </c>
      <c r="AK2075" s="52" t="n">
        <v>0</v>
      </c>
      <c r="AL2075" s="52" t="n">
        <v>0</v>
      </c>
      <c r="AM2075" s="53" t="n">
        <v>0</v>
      </c>
      <c r="AN2075" s="53" t="n">
        <v>0</v>
      </c>
      <c r="AO2075" s="53" t="n">
        <v>0</v>
      </c>
      <c r="AP2075" s="53" t="n">
        <v>0</v>
      </c>
      <c r="AQ2075" s="52" t="n">
        <v>0</v>
      </c>
      <c r="AR2075" s="52" t="n">
        <v>0</v>
      </c>
      <c r="AS2075" s="52" t="n">
        <v>0</v>
      </c>
      <c r="AT2075" s="52" t="n">
        <v>0</v>
      </c>
      <c r="AU2075" s="53" t="n">
        <v>0</v>
      </c>
      <c r="AV2075" s="53" t="n">
        <v>0</v>
      </c>
      <c r="AW2075" s="53" t="n">
        <v>0</v>
      </c>
      <c r="AX2075" s="53" t="n">
        <v>0</v>
      </c>
      <c r="AY2075" s="52" t="n">
        <v>0</v>
      </c>
      <c r="AZ2075" s="52" t="n">
        <v>0</v>
      </c>
      <c r="BA2075" s="52" t="n">
        <v>0</v>
      </c>
      <c r="BB2075" s="52" t="n">
        <v>0</v>
      </c>
      <c r="BC2075" s="51" t="n">
        <v>0</v>
      </c>
      <c r="BD2075" s="51" t="n">
        <v>0</v>
      </c>
      <c r="BE2075" s="51" t="n">
        <v>0</v>
      </c>
      <c r="BF2075" s="51" t="n">
        <v>0</v>
      </c>
    </row>
    <row r="2076">
      <c r="A2076">
        <f>HYPERLINK("https://www.walmart.com/ip/343765693", "343765693")</f>
        <v/>
      </c>
      <c r="B2076" t="inlineStr">
        <is>
          <t>Tankini Swimsuits for Women Two Piece Bathing Suits Open Back Flattering Swimwear</t>
        </is>
      </c>
      <c r="C2076" t="inlineStr">
        <is>
          <t>1SLSS005BK-L</t>
        </is>
      </c>
      <c r="D2076" t="inlineStr">
        <is>
          <t>Swimsuit Sets</t>
        </is>
      </c>
      <c r="E2076" t="inlineStr">
        <is>
          <t>Solaris</t>
        </is>
      </c>
      <c r="F2076" t="inlineStr">
        <is>
          <t>Optimized</t>
        </is>
      </c>
      <c r="G2076" s="48" t="n">
        <v>0</v>
      </c>
      <c r="H2076" s="48" t="n">
        <v>12.99</v>
      </c>
      <c r="I2076" s="48" t="n">
        <v>0</v>
      </c>
      <c r="J2076" s="48" t="n">
        <v>0</v>
      </c>
      <c r="K2076" s="49" t="n">
        <v>0</v>
      </c>
      <c r="L2076" s="49" t="n">
        <v>1</v>
      </c>
      <c r="M2076" s="49" t="n">
        <v>0</v>
      </c>
      <c r="N2076" s="49" t="n">
        <v>0</v>
      </c>
      <c r="O2076" s="49" t="n">
        <v>0</v>
      </c>
      <c r="P2076" s="49" t="n">
        <v>0</v>
      </c>
      <c r="Q2076" s="49" t="n">
        <v>0</v>
      </c>
      <c r="R2076" s="49" t="n">
        <v>0</v>
      </c>
      <c r="S2076" s="50" t="n">
        <v>0</v>
      </c>
      <c r="T2076" s="50" t="n">
        <v>0</v>
      </c>
      <c r="U2076" s="50" t="n">
        <v>0</v>
      </c>
      <c r="V2076" s="50" t="n">
        <v>0</v>
      </c>
      <c r="W2076" s="51" t="n">
        <v>0</v>
      </c>
      <c r="X2076" s="51" t="n">
        <v>0</v>
      </c>
      <c r="Y2076" s="51" t="n">
        <v>0</v>
      </c>
      <c r="Z2076" s="51" t="n">
        <v>0</v>
      </c>
      <c r="AA2076" s="52" t="n">
        <v>0</v>
      </c>
      <c r="AB2076" s="52" t="n">
        <v>0</v>
      </c>
      <c r="AC2076" s="52" t="n">
        <v>0</v>
      </c>
      <c r="AD2076" s="52" t="n">
        <v>0</v>
      </c>
      <c r="AE2076" s="52" t="n">
        <v>0</v>
      </c>
      <c r="AF2076" s="52" t="n">
        <v>0</v>
      </c>
      <c r="AG2076" s="52" t="n">
        <v>0</v>
      </c>
      <c r="AH2076" s="52" t="n">
        <v>0</v>
      </c>
      <c r="AI2076" s="52" t="n">
        <v>0</v>
      </c>
      <c r="AJ2076" s="52" t="n">
        <v>0</v>
      </c>
      <c r="AK2076" s="52" t="n">
        <v>0</v>
      </c>
      <c r="AL2076" s="52" t="n">
        <v>0</v>
      </c>
      <c r="AM2076" s="53" t="n">
        <v>0</v>
      </c>
      <c r="AN2076" s="53" t="n">
        <v>0</v>
      </c>
      <c r="AO2076" s="53" t="n">
        <v>0</v>
      </c>
      <c r="AP2076" s="53" t="n">
        <v>0</v>
      </c>
      <c r="AQ2076" s="52" t="n">
        <v>0</v>
      </c>
      <c r="AR2076" s="52" t="n">
        <v>0</v>
      </c>
      <c r="AS2076" s="52" t="n">
        <v>0</v>
      </c>
      <c r="AT2076" s="52" t="n">
        <v>0</v>
      </c>
      <c r="AU2076" s="53" t="n">
        <v>0</v>
      </c>
      <c r="AV2076" s="53" t="n">
        <v>0</v>
      </c>
      <c r="AW2076" s="53" t="n">
        <v>0</v>
      </c>
      <c r="AX2076" s="53" t="n">
        <v>0</v>
      </c>
      <c r="AY2076" s="52" t="n">
        <v>0</v>
      </c>
      <c r="AZ2076" s="52" t="n">
        <v>12.99</v>
      </c>
      <c r="BA2076" s="52" t="n">
        <v>0</v>
      </c>
      <c r="BB2076" s="52" t="n">
        <v>0</v>
      </c>
      <c r="BC2076" s="51" t="n">
        <v>0</v>
      </c>
      <c r="BD2076" s="51" t="n">
        <v>0</v>
      </c>
      <c r="BE2076" s="51" t="n">
        <v>0</v>
      </c>
      <c r="BF2076" s="51" t="n">
        <v>0</v>
      </c>
    </row>
    <row r="2077">
      <c r="A2077">
        <f>HYPERLINK("https://www.walmart.com/ip/3444324327", "3444324327")</f>
        <v/>
      </c>
      <c r="B2077" t="inlineStr">
        <is>
          <t>Tirrinia Insulated Lunch Box for Women | Lunch Bags for Women, Girls, Teens | Cute Blue Reusable Thermal Lunch Tote Purse Cooler for Kids, School, Work, Office, Adult | Fits 10 Cans (Blue Leaf)</t>
        </is>
      </c>
      <c r="C2077" t="inlineStr">
        <is>
          <t>1WMLB706AQLEA</t>
        </is>
      </c>
      <c r="D2077" t="inlineStr">
        <is>
          <t>Reusable Lunch Bags &amp; Boxes</t>
        </is>
      </c>
      <c r="E2077" t="inlineStr">
        <is>
          <t>Tirrinia</t>
        </is>
      </c>
      <c r="F2077" t="inlineStr">
        <is>
          <t>Q2-Target,Brand Camp VD</t>
        </is>
      </c>
      <c r="G2077" s="48" t="n">
        <v>0</v>
      </c>
      <c r="H2077" s="48" t="n">
        <v>0</v>
      </c>
      <c r="I2077" s="48" t="n">
        <v>49.95</v>
      </c>
      <c r="J2077" s="48" t="n">
        <v>0</v>
      </c>
      <c r="K2077" s="49" t="n">
        <v>0</v>
      </c>
      <c r="L2077" s="49" t="n">
        <v>0</v>
      </c>
      <c r="M2077" s="49" t="n">
        <v>5</v>
      </c>
      <c r="N2077" s="49" t="n">
        <v>0</v>
      </c>
      <c r="O2077" s="49" t="n">
        <v>6</v>
      </c>
      <c r="P2077" s="49" t="n">
        <v>7</v>
      </c>
      <c r="Q2077" s="49" t="n">
        <v>10</v>
      </c>
      <c r="R2077" s="49" t="n">
        <v>4</v>
      </c>
      <c r="S2077" s="50" t="n">
        <v>0</v>
      </c>
      <c r="T2077" s="50" t="n">
        <v>0</v>
      </c>
      <c r="U2077" s="50" t="n">
        <v>0.5</v>
      </c>
      <c r="V2077" s="50" t="n">
        <v>0</v>
      </c>
      <c r="W2077" s="51" t="n">
        <v>0</v>
      </c>
      <c r="X2077" s="51" t="n">
        <v>0</v>
      </c>
      <c r="Y2077" s="51" t="n">
        <v>0</v>
      </c>
      <c r="Z2077" s="51" t="n">
        <v>0</v>
      </c>
      <c r="AA2077" s="52" t="n">
        <v>0</v>
      </c>
      <c r="AB2077" s="52" t="n">
        <v>0</v>
      </c>
      <c r="AC2077" s="52" t="n">
        <v>0</v>
      </c>
      <c r="AD2077" s="52" t="n">
        <v>0</v>
      </c>
      <c r="AE2077" s="52" t="n">
        <v>0</v>
      </c>
      <c r="AF2077" s="52" t="n">
        <v>0</v>
      </c>
      <c r="AG2077" s="52" t="n">
        <v>0</v>
      </c>
      <c r="AH2077" s="52" t="n">
        <v>0</v>
      </c>
      <c r="AI2077" s="52" t="n">
        <v>0</v>
      </c>
      <c r="AJ2077" s="52" t="n">
        <v>0</v>
      </c>
      <c r="AK2077" s="52" t="n">
        <v>0</v>
      </c>
      <c r="AL2077" s="52" t="n">
        <v>0</v>
      </c>
      <c r="AM2077" s="53" t="n">
        <v>0</v>
      </c>
      <c r="AN2077" s="53" t="n">
        <v>0</v>
      </c>
      <c r="AO2077" s="53" t="n">
        <v>0</v>
      </c>
      <c r="AP2077" s="53" t="n">
        <v>0</v>
      </c>
      <c r="AQ2077" s="52" t="n">
        <v>0</v>
      </c>
      <c r="AR2077" s="52" t="n">
        <v>0</v>
      </c>
      <c r="AS2077" s="52" t="n">
        <v>0</v>
      </c>
      <c r="AT2077" s="52" t="n">
        <v>0</v>
      </c>
      <c r="AU2077" s="53" t="n">
        <v>0</v>
      </c>
      <c r="AV2077" s="53" t="n">
        <v>0</v>
      </c>
      <c r="AW2077" s="53" t="n">
        <v>0</v>
      </c>
      <c r="AX2077" s="53" t="n">
        <v>0</v>
      </c>
      <c r="AY2077" s="52" t="n">
        <v>0</v>
      </c>
      <c r="AZ2077" s="52" t="n">
        <v>0</v>
      </c>
      <c r="BA2077" s="52" t="n">
        <v>9.99</v>
      </c>
      <c r="BB2077" s="52" t="n">
        <v>0</v>
      </c>
      <c r="BC2077" s="51" t="n">
        <v>0</v>
      </c>
      <c r="BD2077" s="51" t="n">
        <v>0</v>
      </c>
      <c r="BE2077" s="51" t="n">
        <v>0</v>
      </c>
      <c r="BF2077" s="51" t="n">
        <v>0</v>
      </c>
    </row>
    <row r="2078">
      <c r="A2078">
        <f>HYPERLINK("https://www.walmart.com/ip/3444362894", "3444362894")</f>
        <v/>
      </c>
      <c r="B2078" t="inlineStr">
        <is>
          <t>Solaris Women Ponytail Sun Hat for Hiking, Fishing and Gardening, Outdoor UV Protection Safari Hat for Women with Breathable Mesh and Ponytail Hole Opening, Tan</t>
        </is>
      </c>
      <c r="C2078" t="inlineStr">
        <is>
          <t>1SLSH912TN</t>
        </is>
      </c>
      <c r="D2078" t="inlineStr">
        <is>
          <t>Hats</t>
        </is>
      </c>
      <c r="E2078" t="inlineStr">
        <is>
          <t>Solaris</t>
        </is>
      </c>
      <c r="F2078" t="inlineStr">
        <is>
          <t>Q2-Target,Hats</t>
        </is>
      </c>
      <c r="G2078" s="48" t="n">
        <v>0</v>
      </c>
      <c r="H2078" s="48" t="n">
        <v>0</v>
      </c>
      <c r="I2078" s="48" t="n">
        <v>0</v>
      </c>
      <c r="J2078" s="48" t="n">
        <v>0</v>
      </c>
      <c r="K2078" s="49" t="n">
        <v>0</v>
      </c>
      <c r="L2078" s="49" t="n">
        <v>0</v>
      </c>
      <c r="M2078" s="49" t="n">
        <v>0</v>
      </c>
      <c r="N2078" s="49" t="n">
        <v>0</v>
      </c>
      <c r="O2078" s="49" t="n">
        <v>0</v>
      </c>
      <c r="P2078" s="49" t="n">
        <v>0</v>
      </c>
      <c r="Q2078" s="49" t="n">
        <v>0</v>
      </c>
      <c r="R2078" s="49" t="n">
        <v>0</v>
      </c>
      <c r="S2078" s="50" t="n">
        <v>0</v>
      </c>
      <c r="T2078" s="50" t="n">
        <v>0</v>
      </c>
      <c r="U2078" s="50" t="n">
        <v>0</v>
      </c>
      <c r="V2078" s="50" t="n">
        <v>0</v>
      </c>
      <c r="W2078" s="51" t="n">
        <v>0</v>
      </c>
      <c r="X2078" s="51" t="n">
        <v>0</v>
      </c>
      <c r="Y2078" s="51" t="n">
        <v>0</v>
      </c>
      <c r="Z2078" s="51" t="n">
        <v>0</v>
      </c>
      <c r="AA2078" s="52" t="n">
        <v>0</v>
      </c>
      <c r="AB2078" s="52" t="n">
        <v>0</v>
      </c>
      <c r="AC2078" s="52" t="n">
        <v>0</v>
      </c>
      <c r="AD2078" s="52" t="n">
        <v>0</v>
      </c>
      <c r="AE2078" s="52" t="n">
        <v>0</v>
      </c>
      <c r="AF2078" s="52" t="n">
        <v>0</v>
      </c>
      <c r="AG2078" s="52" t="n">
        <v>0</v>
      </c>
      <c r="AH2078" s="52" t="n">
        <v>0</v>
      </c>
      <c r="AI2078" s="52" t="n">
        <v>0</v>
      </c>
      <c r="AJ2078" s="52" t="n">
        <v>0</v>
      </c>
      <c r="AK2078" s="52" t="n">
        <v>0</v>
      </c>
      <c r="AL2078" s="52" t="n">
        <v>0</v>
      </c>
      <c r="AM2078" s="53" t="n">
        <v>0</v>
      </c>
      <c r="AN2078" s="53" t="n">
        <v>0</v>
      </c>
      <c r="AO2078" s="53" t="n">
        <v>0</v>
      </c>
      <c r="AP2078" s="53" t="n">
        <v>0</v>
      </c>
      <c r="AQ2078" s="52" t="n">
        <v>0</v>
      </c>
      <c r="AR2078" s="52" t="n">
        <v>0</v>
      </c>
      <c r="AS2078" s="52" t="n">
        <v>0</v>
      </c>
      <c r="AT2078" s="52" t="n">
        <v>0</v>
      </c>
      <c r="AU2078" s="53" t="n">
        <v>0</v>
      </c>
      <c r="AV2078" s="53" t="n">
        <v>0</v>
      </c>
      <c r="AW2078" s="53" t="n">
        <v>0</v>
      </c>
      <c r="AX2078" s="53" t="n">
        <v>0</v>
      </c>
      <c r="AY2078" s="52" t="n">
        <v>0</v>
      </c>
      <c r="AZ2078" s="52" t="n">
        <v>0</v>
      </c>
      <c r="BA2078" s="52" t="n">
        <v>0</v>
      </c>
      <c r="BB2078" s="52" t="n">
        <v>0</v>
      </c>
      <c r="BC2078" s="51" t="n">
        <v>0</v>
      </c>
      <c r="BD2078" s="51" t="n">
        <v>0</v>
      </c>
      <c r="BE2078" s="51" t="n">
        <v>0</v>
      </c>
      <c r="BF2078" s="51" t="n">
        <v>0</v>
      </c>
    </row>
    <row r="2079">
      <c r="A2079">
        <f>HYPERLINK("https://www.walmart.com/ip/346704703", "346704703")</f>
        <v/>
      </c>
      <c r="B2079" t="inlineStr">
        <is>
          <t>Flyingstar Wearable Blanket with Sleeves and Pocket, Fleece Micro Plush Throws Blanket, Robe for Women and Men 73” x 51” Plaid Red</t>
        </is>
      </c>
      <c r="C2079" t="inlineStr">
        <is>
          <t>1WMSN100P2RD</t>
        </is>
      </c>
      <c r="D2079" t="inlineStr">
        <is>
          <t>Throws</t>
        </is>
      </c>
      <c r="E2079" t="inlineStr">
        <is>
          <t>Flyingstar</t>
        </is>
      </c>
      <c r="F2079" t="inlineStr">
        <is>
          <t>Batch 1 - TR</t>
        </is>
      </c>
      <c r="G2079" s="48" t="n">
        <v>0</v>
      </c>
      <c r="H2079" s="48" t="n">
        <v>0</v>
      </c>
      <c r="I2079" s="48" t="n">
        <v>0</v>
      </c>
      <c r="J2079" s="48" t="n">
        <v>0</v>
      </c>
      <c r="K2079" s="49" t="n">
        <v>0</v>
      </c>
      <c r="L2079" s="49" t="n">
        <v>0</v>
      </c>
      <c r="M2079" s="49" t="n">
        <v>0</v>
      </c>
      <c r="N2079" s="49" t="n">
        <v>0</v>
      </c>
      <c r="O2079" s="49" t="n">
        <v>0</v>
      </c>
      <c r="P2079" s="49" t="n">
        <v>0</v>
      </c>
      <c r="Q2079" s="49" t="n">
        <v>0</v>
      </c>
      <c r="R2079" s="49" t="n">
        <v>0</v>
      </c>
      <c r="S2079" s="50" t="n">
        <v>0</v>
      </c>
      <c r="T2079" s="50" t="n">
        <v>0</v>
      </c>
      <c r="U2079" s="50" t="n">
        <v>0</v>
      </c>
      <c r="V2079" s="50" t="n">
        <v>0</v>
      </c>
      <c r="W2079" s="51" t="n">
        <v>0</v>
      </c>
      <c r="X2079" s="51" t="n">
        <v>0</v>
      </c>
      <c r="Y2079" s="51" t="n">
        <v>0</v>
      </c>
      <c r="Z2079" s="51" t="n">
        <v>0</v>
      </c>
      <c r="AA2079" s="52" t="n">
        <v>0</v>
      </c>
      <c r="AB2079" s="52" t="n">
        <v>0</v>
      </c>
      <c r="AC2079" s="52" t="n">
        <v>0</v>
      </c>
      <c r="AD2079" s="52" t="n">
        <v>0</v>
      </c>
      <c r="AE2079" s="52" t="n">
        <v>0</v>
      </c>
      <c r="AF2079" s="52" t="n">
        <v>0</v>
      </c>
      <c r="AG2079" s="52" t="n">
        <v>0</v>
      </c>
      <c r="AH2079" s="52" t="n">
        <v>0</v>
      </c>
      <c r="AI2079" s="52" t="n">
        <v>0</v>
      </c>
      <c r="AJ2079" s="52" t="n">
        <v>0</v>
      </c>
      <c r="AK2079" s="52" t="n">
        <v>0</v>
      </c>
      <c r="AL2079" s="52" t="n">
        <v>0</v>
      </c>
      <c r="AM2079" s="53" t="n">
        <v>0</v>
      </c>
      <c r="AN2079" s="53" t="n">
        <v>0</v>
      </c>
      <c r="AO2079" s="53" t="n">
        <v>0</v>
      </c>
      <c r="AP2079" s="53" t="n">
        <v>0</v>
      </c>
      <c r="AQ2079" s="52" t="n">
        <v>0</v>
      </c>
      <c r="AR2079" s="52" t="n">
        <v>0</v>
      </c>
      <c r="AS2079" s="52" t="n">
        <v>0</v>
      </c>
      <c r="AT2079" s="52" t="n">
        <v>0</v>
      </c>
      <c r="AU2079" s="53" t="n">
        <v>0</v>
      </c>
      <c r="AV2079" s="53" t="n">
        <v>0</v>
      </c>
      <c r="AW2079" s="53" t="n">
        <v>0</v>
      </c>
      <c r="AX2079" s="53" t="n">
        <v>0</v>
      </c>
      <c r="AY2079" s="52" t="n">
        <v>0</v>
      </c>
      <c r="AZ2079" s="52" t="n">
        <v>0</v>
      </c>
      <c r="BA2079" s="52" t="n">
        <v>0</v>
      </c>
      <c r="BB2079" s="52" t="n">
        <v>0</v>
      </c>
      <c r="BC2079" s="51" t="n">
        <v>0</v>
      </c>
      <c r="BD2079" s="51" t="n">
        <v>0</v>
      </c>
      <c r="BE2079" s="51" t="n">
        <v>0</v>
      </c>
      <c r="BF2079" s="51" t="n">
        <v>0</v>
      </c>
    </row>
    <row r="2080">
      <c r="A2080">
        <f>HYPERLINK("https://www.walmart.com/ip/3479957758", "3479957758")</f>
        <v/>
      </c>
      <c r="B2080" t="inlineStr">
        <is>
          <t>Tirrinia Lunch Bags for Women Men, Cute Insulated Lunch Tote Bag for Girls, Fashionable Lunch Box for Adult Kids, Reusable Large Cooler Lunch Bag for School, Work, Office, Picnic | Navy Diamond</t>
        </is>
      </c>
      <c r="C2080" t="inlineStr">
        <is>
          <t>1WMLB707NYDIA</t>
        </is>
      </c>
      <c r="D2080" t="inlineStr">
        <is>
          <t>Reusable Lunch Bags &amp; Boxes</t>
        </is>
      </c>
      <c r="E2080" t="inlineStr">
        <is>
          <t>Tirrinia</t>
        </is>
      </c>
      <c r="F2080" t="inlineStr">
        <is>
          <t>Q2-Target,Brand Camp VD</t>
        </is>
      </c>
      <c r="G2080" s="48" t="n">
        <v>0</v>
      </c>
      <c r="H2080" s="48" t="n">
        <v>0</v>
      </c>
      <c r="I2080" s="48" t="n">
        <v>0</v>
      </c>
      <c r="J2080" s="48" t="n">
        <v>0</v>
      </c>
      <c r="K2080" s="49" t="n">
        <v>0</v>
      </c>
      <c r="L2080" s="49" t="n">
        <v>0</v>
      </c>
      <c r="M2080" s="49" t="n">
        <v>0</v>
      </c>
      <c r="N2080" s="49" t="n">
        <v>0</v>
      </c>
      <c r="O2080" s="49" t="n">
        <v>0</v>
      </c>
      <c r="P2080" s="49" t="n">
        <v>0</v>
      </c>
      <c r="Q2080" s="49" t="n">
        <v>0</v>
      </c>
      <c r="R2080" s="49" t="n">
        <v>0</v>
      </c>
      <c r="S2080" s="50" t="n">
        <v>0</v>
      </c>
      <c r="T2080" s="50" t="n">
        <v>0</v>
      </c>
      <c r="U2080" s="50" t="n">
        <v>0</v>
      </c>
      <c r="V2080" s="50" t="n">
        <v>0</v>
      </c>
      <c r="W2080" s="51" t="n">
        <v>0</v>
      </c>
      <c r="X2080" s="51" t="n">
        <v>0</v>
      </c>
      <c r="Y2080" s="51" t="n">
        <v>0</v>
      </c>
      <c r="Z2080" s="51" t="n">
        <v>0</v>
      </c>
      <c r="AA2080" s="52" t="n">
        <v>0</v>
      </c>
      <c r="AB2080" s="52" t="n">
        <v>0</v>
      </c>
      <c r="AC2080" s="52" t="n">
        <v>0</v>
      </c>
      <c r="AD2080" s="52" t="n">
        <v>0</v>
      </c>
      <c r="AE2080" s="52" t="n">
        <v>0</v>
      </c>
      <c r="AF2080" s="52" t="n">
        <v>0</v>
      </c>
      <c r="AG2080" s="52" t="n">
        <v>0</v>
      </c>
      <c r="AH2080" s="52" t="n">
        <v>0</v>
      </c>
      <c r="AI2080" s="52" t="n">
        <v>0</v>
      </c>
      <c r="AJ2080" s="52" t="n">
        <v>0</v>
      </c>
      <c r="AK2080" s="52" t="n">
        <v>0</v>
      </c>
      <c r="AL2080" s="52" t="n">
        <v>0</v>
      </c>
      <c r="AM2080" s="53" t="n">
        <v>0</v>
      </c>
      <c r="AN2080" s="53" t="n">
        <v>0</v>
      </c>
      <c r="AO2080" s="53" t="n">
        <v>0</v>
      </c>
      <c r="AP2080" s="53" t="n">
        <v>0</v>
      </c>
      <c r="AQ2080" s="52" t="n">
        <v>0</v>
      </c>
      <c r="AR2080" s="52" t="n">
        <v>0</v>
      </c>
      <c r="AS2080" s="52" t="n">
        <v>0</v>
      </c>
      <c r="AT2080" s="52" t="n">
        <v>0</v>
      </c>
      <c r="AU2080" s="53" t="n">
        <v>0</v>
      </c>
      <c r="AV2080" s="53" t="n">
        <v>0</v>
      </c>
      <c r="AW2080" s="53" t="n">
        <v>0</v>
      </c>
      <c r="AX2080" s="53" t="n">
        <v>0</v>
      </c>
      <c r="AY2080" s="52" t="n">
        <v>0</v>
      </c>
      <c r="AZ2080" s="52" t="n">
        <v>0</v>
      </c>
      <c r="BA2080" s="52" t="n">
        <v>0</v>
      </c>
      <c r="BB2080" s="52" t="n">
        <v>0</v>
      </c>
      <c r="BC2080" s="51" t="n">
        <v>0</v>
      </c>
      <c r="BD2080" s="51" t="n">
        <v>0</v>
      </c>
      <c r="BE2080" s="51" t="n">
        <v>0</v>
      </c>
      <c r="BF2080" s="51" t="n">
        <v>0</v>
      </c>
    </row>
    <row r="2081">
      <c r="A2081">
        <f>HYPERLINK("https://www.walmart.com/ip/3353601762", "3353601762")</f>
        <v/>
      </c>
      <c r="B2081" t="inlineStr">
        <is>
          <t>Dickies Kids Insulated Lunch Bag for School, Thermal Reusable Lunch Box for Kids, Boys, Girls - 8 Years Old and Up (Pink)</t>
        </is>
      </c>
      <c r="C2081" t="inlineStr">
        <is>
          <t>DK-LUNCH-KIDS-CHARCOAL</t>
        </is>
      </c>
      <c r="D2081" t="inlineStr">
        <is>
          <t>Reusable Lunch Bags &amp; Boxes</t>
        </is>
      </c>
      <c r="E2081" t="inlineStr">
        <is>
          <t>Dickies</t>
        </is>
      </c>
      <c r="G2081" s="48" t="n">
        <v>0</v>
      </c>
      <c r="H2081" s="48" t="n">
        <v>0</v>
      </c>
      <c r="I2081" s="48" t="n">
        <v>0</v>
      </c>
      <c r="J2081" s="48" t="n">
        <v>0</v>
      </c>
      <c r="K2081" s="49" t="n">
        <v>0</v>
      </c>
      <c r="L2081" s="49" t="n">
        <v>0</v>
      </c>
      <c r="M2081" s="49" t="n">
        <v>0</v>
      </c>
      <c r="N2081" s="49" t="n">
        <v>0</v>
      </c>
      <c r="O2081" s="49" t="n">
        <v>0</v>
      </c>
      <c r="P2081" s="49" t="n">
        <v>0</v>
      </c>
      <c r="Q2081" s="49" t="n">
        <v>0</v>
      </c>
      <c r="R2081" s="49" t="n">
        <v>0</v>
      </c>
      <c r="S2081" s="50" t="n">
        <v>0</v>
      </c>
      <c r="T2081" s="50" t="n">
        <v>0</v>
      </c>
      <c r="U2081" s="50" t="n">
        <v>0</v>
      </c>
      <c r="V2081" s="50" t="n">
        <v>0</v>
      </c>
      <c r="W2081" s="51" t="n">
        <v>0</v>
      </c>
      <c r="X2081" s="51" t="n">
        <v>0</v>
      </c>
      <c r="Y2081" s="51" t="n">
        <v>0</v>
      </c>
      <c r="Z2081" s="51" t="n">
        <v>0</v>
      </c>
      <c r="AA2081" s="52" t="n">
        <v>0</v>
      </c>
      <c r="AB2081" s="52" t="n">
        <v>0</v>
      </c>
      <c r="AC2081" s="52" t="n">
        <v>0</v>
      </c>
      <c r="AD2081" s="52" t="n">
        <v>0</v>
      </c>
      <c r="AE2081" s="52" t="n">
        <v>0</v>
      </c>
      <c r="AF2081" s="52" t="n">
        <v>0</v>
      </c>
      <c r="AG2081" s="52" t="n">
        <v>0</v>
      </c>
      <c r="AH2081" s="52" t="n">
        <v>0</v>
      </c>
      <c r="AI2081" s="52" t="n">
        <v>0</v>
      </c>
      <c r="AJ2081" s="52" t="n">
        <v>0</v>
      </c>
      <c r="AK2081" s="52" t="n">
        <v>0</v>
      </c>
      <c r="AL2081" s="52" t="n">
        <v>0</v>
      </c>
      <c r="AM2081" s="53" t="n">
        <v>0</v>
      </c>
      <c r="AN2081" s="53" t="n">
        <v>0</v>
      </c>
      <c r="AO2081" s="53" t="n">
        <v>0</v>
      </c>
      <c r="AP2081" s="53" t="n">
        <v>0</v>
      </c>
      <c r="AQ2081" s="52" t="n">
        <v>0</v>
      </c>
      <c r="AR2081" s="52" t="n">
        <v>0</v>
      </c>
      <c r="AS2081" s="52" t="n">
        <v>0</v>
      </c>
      <c r="AT2081" s="52" t="n">
        <v>0</v>
      </c>
      <c r="AU2081" s="53" t="n">
        <v>0</v>
      </c>
      <c r="AV2081" s="53" t="n">
        <v>0</v>
      </c>
      <c r="AW2081" s="53" t="n">
        <v>0</v>
      </c>
      <c r="AX2081" s="53" t="n">
        <v>0</v>
      </c>
      <c r="AY2081" s="52" t="n">
        <v>0</v>
      </c>
      <c r="AZ2081" s="52" t="n">
        <v>0</v>
      </c>
      <c r="BA2081" s="52" t="n">
        <v>0</v>
      </c>
      <c r="BB2081" s="52" t="n">
        <v>0</v>
      </c>
      <c r="BC2081" s="51" t="n">
        <v>0</v>
      </c>
      <c r="BD2081" s="51" t="n">
        <v>0</v>
      </c>
      <c r="BE2081" s="51" t="n">
        <v>0</v>
      </c>
      <c r="BF2081" s="51" t="n">
        <v>0</v>
      </c>
    </row>
    <row r="2082">
      <c r="A2082">
        <f>HYPERLINK("https://www.walmart.com/ip/3351048837", "3351048837")</f>
        <v/>
      </c>
      <c r="B2082" t="inlineStr">
        <is>
          <t>Kato Outdoors Waterproof Throw Blanket, Sherpa Fleece Stadium Windproof Mat For Traveling, Camping, Hiking, Football - Machine Washable, Light Gray, 51"x 59".</t>
        </is>
      </c>
      <c r="C2082" t="inlineStr">
        <is>
          <t>1KTBW506LGDG</t>
        </is>
      </c>
      <c r="D2082" t="inlineStr">
        <is>
          <t>Throws</t>
        </is>
      </c>
      <c r="E2082" t="inlineStr">
        <is>
          <t>Kato</t>
        </is>
      </c>
      <c r="F2082" t="inlineStr">
        <is>
          <t>Q2-Target</t>
        </is>
      </c>
      <c r="G2082" s="48" t="n">
        <v>0</v>
      </c>
      <c r="H2082" s="48" t="n">
        <v>0</v>
      </c>
      <c r="I2082" s="48" t="n">
        <v>0</v>
      </c>
      <c r="J2082" s="48" t="n">
        <v>0</v>
      </c>
      <c r="K2082" s="49" t="n">
        <v>0</v>
      </c>
      <c r="L2082" s="49" t="n">
        <v>0</v>
      </c>
      <c r="M2082" s="49" t="n">
        <v>0</v>
      </c>
      <c r="N2082" s="49" t="n">
        <v>0</v>
      </c>
      <c r="O2082" s="49" t="n">
        <v>0</v>
      </c>
      <c r="P2082" s="49" t="n">
        <v>0</v>
      </c>
      <c r="Q2082" s="49" t="n">
        <v>0</v>
      </c>
      <c r="R2082" s="49" t="n">
        <v>0</v>
      </c>
      <c r="S2082" s="50" t="n">
        <v>0</v>
      </c>
      <c r="T2082" s="50" t="n">
        <v>0</v>
      </c>
      <c r="U2082" s="50" t="n">
        <v>0</v>
      </c>
      <c r="V2082" s="50" t="n">
        <v>0</v>
      </c>
      <c r="W2082" s="51" t="n">
        <v>0</v>
      </c>
      <c r="X2082" s="51" t="n">
        <v>0</v>
      </c>
      <c r="Y2082" s="51" t="n">
        <v>0</v>
      </c>
      <c r="Z2082" s="51" t="n">
        <v>0</v>
      </c>
      <c r="AA2082" s="52" t="n">
        <v>0</v>
      </c>
      <c r="AB2082" s="52" t="n">
        <v>0</v>
      </c>
      <c r="AC2082" s="52" t="n">
        <v>0</v>
      </c>
      <c r="AD2082" s="52" t="n">
        <v>0</v>
      </c>
      <c r="AE2082" s="52" t="n">
        <v>0</v>
      </c>
      <c r="AF2082" s="52" t="n">
        <v>0</v>
      </c>
      <c r="AG2082" s="52" t="n">
        <v>0</v>
      </c>
      <c r="AH2082" s="52" t="n">
        <v>0</v>
      </c>
      <c r="AI2082" s="52" t="n">
        <v>0</v>
      </c>
      <c r="AJ2082" s="52" t="n">
        <v>0</v>
      </c>
      <c r="AK2082" s="52" t="n">
        <v>0</v>
      </c>
      <c r="AL2082" s="52" t="n">
        <v>0</v>
      </c>
      <c r="AM2082" s="53" t="n">
        <v>0</v>
      </c>
      <c r="AN2082" s="53" t="n">
        <v>0</v>
      </c>
      <c r="AO2082" s="53" t="n">
        <v>0</v>
      </c>
      <c r="AP2082" s="53" t="n">
        <v>0</v>
      </c>
      <c r="AQ2082" s="52" t="n">
        <v>0</v>
      </c>
      <c r="AR2082" s="52" t="n">
        <v>0</v>
      </c>
      <c r="AS2082" s="52" t="n">
        <v>0</v>
      </c>
      <c r="AT2082" s="52" t="n">
        <v>0</v>
      </c>
      <c r="AU2082" s="53" t="n">
        <v>0</v>
      </c>
      <c r="AV2082" s="53" t="n">
        <v>0</v>
      </c>
      <c r="AW2082" s="53" t="n">
        <v>0</v>
      </c>
      <c r="AX2082" s="53" t="n">
        <v>0</v>
      </c>
      <c r="AY2082" s="52" t="n">
        <v>0</v>
      </c>
      <c r="AZ2082" s="52" t="n">
        <v>0</v>
      </c>
      <c r="BA2082" s="52" t="n">
        <v>0</v>
      </c>
      <c r="BB2082" s="52" t="n">
        <v>0</v>
      </c>
      <c r="BC2082" s="51" t="n">
        <v>222</v>
      </c>
      <c r="BD2082" s="51" t="n">
        <v>591</v>
      </c>
      <c r="BE2082" s="51" t="n">
        <v>0</v>
      </c>
      <c r="BF2082" s="51" t="n">
        <v>459</v>
      </c>
    </row>
    <row r="2083">
      <c r="A2083">
        <f>HYPERLINK("https://www.walmart.com/ip/348278440", "348278440")</f>
        <v/>
      </c>
      <c r="B2083" t="inlineStr">
        <is>
          <t>Catalonia Waterproof Blanket for Bed, Reversible Baby Pet Doggy Pee Proof Fleece Blankets, Large Couch Sofa Cover Furniture Boat Mattress Protector, King Size 80x90 inches, Navy</t>
        </is>
      </c>
      <c r="C2083" t="inlineStr">
        <is>
          <t>1CTBW982NYTP</t>
        </is>
      </c>
      <c r="D2083" t="inlineStr">
        <is>
          <t>Throws</t>
        </is>
      </c>
      <c r="E2083" t="inlineStr">
        <is>
          <t>Catalonia</t>
        </is>
      </c>
      <c r="F2083" t="inlineStr">
        <is>
          <t>Wproof Blanket,Fleece Blankets,Batch 1 - TR</t>
        </is>
      </c>
      <c r="G2083" s="48" t="n">
        <v>0</v>
      </c>
      <c r="H2083" s="48" t="n">
        <v>0</v>
      </c>
      <c r="I2083" s="48" t="n">
        <v>59.99</v>
      </c>
      <c r="J2083" s="48" t="n">
        <v>0</v>
      </c>
      <c r="K2083" s="49" t="n">
        <v>0</v>
      </c>
      <c r="L2083" s="49" t="n">
        <v>0</v>
      </c>
      <c r="M2083" s="49" t="n">
        <v>1</v>
      </c>
      <c r="N2083" s="49" t="n">
        <v>0</v>
      </c>
      <c r="O2083" s="49" t="n">
        <v>0</v>
      </c>
      <c r="P2083" s="49" t="n">
        <v>0</v>
      </c>
      <c r="Q2083" s="49" t="n">
        <v>0</v>
      </c>
      <c r="R2083" s="49" t="n">
        <v>0</v>
      </c>
      <c r="S2083" s="50" t="n">
        <v>0</v>
      </c>
      <c r="T2083" s="50" t="n">
        <v>0</v>
      </c>
      <c r="U2083" s="50" t="n">
        <v>0</v>
      </c>
      <c r="V2083" s="50" t="n">
        <v>0</v>
      </c>
      <c r="W2083" s="51" t="n">
        <v>2</v>
      </c>
      <c r="X2083" s="51" t="n">
        <v>7</v>
      </c>
      <c r="Y2083" s="51" t="n">
        <v>3</v>
      </c>
      <c r="Z2083" s="51" t="n">
        <v>0</v>
      </c>
      <c r="AA2083" s="52" t="n">
        <v>0.9</v>
      </c>
      <c r="AB2083" s="52" t="n">
        <v>3.080000000000001</v>
      </c>
      <c r="AC2083" s="52" t="n">
        <v>1.35</v>
      </c>
      <c r="AD2083" s="52" t="n">
        <v>0</v>
      </c>
      <c r="AE2083" s="52" t="n">
        <v>0</v>
      </c>
      <c r="AF2083" s="52" t="n">
        <v>0</v>
      </c>
      <c r="AG2083" s="52" t="n">
        <v>59.99</v>
      </c>
      <c r="AH2083" s="52" t="n">
        <v>0</v>
      </c>
      <c r="AI2083" s="52" t="n">
        <v>0</v>
      </c>
      <c r="AJ2083" s="52" t="n">
        <v>0</v>
      </c>
      <c r="AK2083" s="52" t="n">
        <v>44.44</v>
      </c>
      <c r="AL2083" s="52" t="n">
        <v>0</v>
      </c>
      <c r="AM2083" s="53" t="n">
        <v>0.0015</v>
      </c>
      <c r="AN2083" s="53" t="n">
        <v>0.0036</v>
      </c>
      <c r="AO2083" s="53" t="n">
        <v>0.0021</v>
      </c>
      <c r="AP2083" s="53" t="n">
        <v>0</v>
      </c>
      <c r="AQ2083" s="52" t="n">
        <v>0.45</v>
      </c>
      <c r="AR2083" s="52" t="n">
        <v>0.4400000000000001</v>
      </c>
      <c r="AS2083" s="52" t="n">
        <v>0.45</v>
      </c>
      <c r="AT2083" s="52" t="n">
        <v>0</v>
      </c>
      <c r="AU2083" s="53" t="n">
        <v>0</v>
      </c>
      <c r="AV2083" s="53" t="n">
        <v>0</v>
      </c>
      <c r="AW2083" s="53" t="n">
        <v>0.02250375062510418</v>
      </c>
      <c r="AX2083" s="53" t="n">
        <v>0</v>
      </c>
      <c r="AY2083" s="52" t="n">
        <v>0</v>
      </c>
      <c r="AZ2083" s="52" t="n">
        <v>0</v>
      </c>
      <c r="BA2083" s="52" t="n">
        <v>59.99</v>
      </c>
      <c r="BB2083" s="52" t="n">
        <v>0</v>
      </c>
      <c r="BC2083" s="51" t="n">
        <v>1329</v>
      </c>
      <c r="BD2083" s="51" t="n">
        <v>1964</v>
      </c>
      <c r="BE2083" s="51" t="n">
        <v>1396</v>
      </c>
      <c r="BF2083" s="51" t="n">
        <v>360</v>
      </c>
    </row>
    <row r="2084">
      <c r="A2084">
        <f>HYPERLINK("https://www.walmart.com/ip/334995524", "334995524")</f>
        <v/>
      </c>
      <c r="B2084" t="inlineStr">
        <is>
          <t>Sherpa Wearable Blanket with Sleeves &amp; Foot Pockets for Adult Women Men, Comfy Snuggle Wrap Sleeved Throw Blanket Robe, Gift Idea, Cheetah</t>
        </is>
      </c>
      <c r="C2084" t="inlineStr">
        <is>
          <t>1CTSN310CHEETAH</t>
        </is>
      </c>
      <c r="D2084" t="inlineStr">
        <is>
          <t>Throws</t>
        </is>
      </c>
      <c r="E2084" t="inlineStr">
        <is>
          <t>Catalonia</t>
        </is>
      </c>
      <c r="F2084" t="inlineStr">
        <is>
          <t>Optimized,WFS,SEM,Coupon_Discount,WFS Item</t>
        </is>
      </c>
      <c r="G2084" s="48" t="n">
        <v>0</v>
      </c>
      <c r="H2084" s="48" t="n">
        <v>0</v>
      </c>
      <c r="I2084" s="48" t="n">
        <v>0</v>
      </c>
      <c r="J2084" s="48" t="n">
        <v>0</v>
      </c>
      <c r="K2084" s="49" t="n">
        <v>0</v>
      </c>
      <c r="L2084" s="49" t="n">
        <v>0</v>
      </c>
      <c r="M2084" s="49" t="n">
        <v>0</v>
      </c>
      <c r="N2084" s="49" t="n">
        <v>0</v>
      </c>
      <c r="O2084" s="49" t="n">
        <v>0</v>
      </c>
      <c r="P2084" s="49" t="n">
        <v>0</v>
      </c>
      <c r="Q2084" s="49" t="n">
        <v>0</v>
      </c>
      <c r="R2084" s="49" t="n">
        <v>0</v>
      </c>
      <c r="S2084" s="50" t="n">
        <v>0</v>
      </c>
      <c r="T2084" s="50" t="n">
        <v>0</v>
      </c>
      <c r="U2084" s="50" t="n">
        <v>0</v>
      </c>
      <c r="V2084" s="50" t="n">
        <v>0</v>
      </c>
      <c r="W2084" s="51" t="n">
        <v>0</v>
      </c>
      <c r="X2084" s="51" t="n">
        <v>0</v>
      </c>
      <c r="Y2084" s="51" t="n">
        <v>0</v>
      </c>
      <c r="Z2084" s="51" t="n">
        <v>0</v>
      </c>
      <c r="AA2084" s="52" t="n">
        <v>0</v>
      </c>
      <c r="AB2084" s="52" t="n">
        <v>0</v>
      </c>
      <c r="AC2084" s="52" t="n">
        <v>0</v>
      </c>
      <c r="AD2084" s="52" t="n">
        <v>0</v>
      </c>
      <c r="AE2084" s="52" t="n">
        <v>0</v>
      </c>
      <c r="AF2084" s="52" t="n">
        <v>0</v>
      </c>
      <c r="AG2084" s="52" t="n">
        <v>0</v>
      </c>
      <c r="AH2084" s="52" t="n">
        <v>0</v>
      </c>
      <c r="AI2084" s="52" t="n">
        <v>0</v>
      </c>
      <c r="AJ2084" s="52" t="n">
        <v>0</v>
      </c>
      <c r="AK2084" s="52" t="n">
        <v>0</v>
      </c>
      <c r="AL2084" s="52" t="n">
        <v>0</v>
      </c>
      <c r="AM2084" s="53" t="n">
        <v>0</v>
      </c>
      <c r="AN2084" s="53" t="n">
        <v>0</v>
      </c>
      <c r="AO2084" s="53" t="n">
        <v>0</v>
      </c>
      <c r="AP2084" s="53" t="n">
        <v>0</v>
      </c>
      <c r="AQ2084" s="52" t="n">
        <v>0</v>
      </c>
      <c r="AR2084" s="52" t="n">
        <v>0</v>
      </c>
      <c r="AS2084" s="52" t="n">
        <v>0</v>
      </c>
      <c r="AT2084" s="52" t="n">
        <v>0</v>
      </c>
      <c r="AU2084" s="53" t="n">
        <v>0</v>
      </c>
      <c r="AV2084" s="53" t="n">
        <v>0</v>
      </c>
      <c r="AW2084" s="53" t="n">
        <v>0</v>
      </c>
      <c r="AX2084" s="53" t="n">
        <v>0</v>
      </c>
      <c r="AY2084" s="52" t="n">
        <v>0</v>
      </c>
      <c r="AZ2084" s="52" t="n">
        <v>0</v>
      </c>
      <c r="BA2084" s="52" t="n">
        <v>0</v>
      </c>
      <c r="BB2084" s="52" t="n">
        <v>0</v>
      </c>
      <c r="BC2084" s="51" t="n">
        <v>0</v>
      </c>
      <c r="BD2084" s="51" t="n">
        <v>0</v>
      </c>
      <c r="BE2084" s="51" t="n">
        <v>0</v>
      </c>
      <c r="BF2084" s="51" t="n">
        <v>0</v>
      </c>
    </row>
    <row r="2085">
      <c r="A2085">
        <f>HYPERLINK("https://www.walmart.com/ip/329006795", "329006795")</f>
        <v/>
      </c>
      <c r="B2085" t="inlineStr">
        <is>
          <t>Solaris Men Winter Ski Snow Gloves with Breathable Face Mask The Warmest 3M Insulation Waterproof Outdoor Snowboard Mitt</t>
        </is>
      </c>
      <c r="C2085" t="inlineStr">
        <is>
          <t>1SLWG302BKGY-M</t>
        </is>
      </c>
      <c r="D2085" t="inlineStr">
        <is>
          <t>Gloves &amp; Mittens</t>
        </is>
      </c>
      <c r="E2085" t="inlineStr">
        <is>
          <t>Solaris</t>
        </is>
      </c>
      <c r="F2085" t="inlineStr">
        <is>
          <t>Gloves,WFS,WFS Item</t>
        </is>
      </c>
      <c r="G2085" s="48" t="n">
        <v>0</v>
      </c>
      <c r="H2085" s="48" t="n">
        <v>0</v>
      </c>
      <c r="I2085" s="48" t="n">
        <v>0</v>
      </c>
      <c r="J2085" s="48" t="n">
        <v>0</v>
      </c>
      <c r="K2085" s="49" t="n">
        <v>0</v>
      </c>
      <c r="L2085" s="49" t="n">
        <v>0</v>
      </c>
      <c r="M2085" s="49" t="n">
        <v>0</v>
      </c>
      <c r="N2085" s="49" t="n">
        <v>0</v>
      </c>
      <c r="O2085" s="49" t="n">
        <v>0</v>
      </c>
      <c r="P2085" s="49" t="n">
        <v>0</v>
      </c>
      <c r="Q2085" s="49" t="n">
        <v>0</v>
      </c>
      <c r="R2085" s="49" t="n">
        <v>0</v>
      </c>
      <c r="S2085" s="50" t="n">
        <v>0</v>
      </c>
      <c r="T2085" s="50" t="n">
        <v>0</v>
      </c>
      <c r="U2085" s="50" t="n">
        <v>0</v>
      </c>
      <c r="V2085" s="50" t="n">
        <v>0</v>
      </c>
      <c r="W2085" s="51" t="n">
        <v>0</v>
      </c>
      <c r="X2085" s="51" t="n">
        <v>0</v>
      </c>
      <c r="Y2085" s="51" t="n">
        <v>0</v>
      </c>
      <c r="Z2085" s="51" t="n">
        <v>0</v>
      </c>
      <c r="AA2085" s="52" t="n">
        <v>0</v>
      </c>
      <c r="AB2085" s="52" t="n">
        <v>0</v>
      </c>
      <c r="AC2085" s="52" t="n">
        <v>0</v>
      </c>
      <c r="AD2085" s="52" t="n">
        <v>0</v>
      </c>
      <c r="AE2085" s="52" t="n">
        <v>0</v>
      </c>
      <c r="AF2085" s="52" t="n">
        <v>0</v>
      </c>
      <c r="AG2085" s="52" t="n">
        <v>0</v>
      </c>
      <c r="AH2085" s="52" t="n">
        <v>0</v>
      </c>
      <c r="AI2085" s="52" t="n">
        <v>0</v>
      </c>
      <c r="AJ2085" s="52" t="n">
        <v>0</v>
      </c>
      <c r="AK2085" s="52" t="n">
        <v>0</v>
      </c>
      <c r="AL2085" s="52" t="n">
        <v>0</v>
      </c>
      <c r="AM2085" s="53" t="n">
        <v>0</v>
      </c>
      <c r="AN2085" s="53" t="n">
        <v>0</v>
      </c>
      <c r="AO2085" s="53" t="n">
        <v>0</v>
      </c>
      <c r="AP2085" s="53" t="n">
        <v>0</v>
      </c>
      <c r="AQ2085" s="52" t="n">
        <v>0</v>
      </c>
      <c r="AR2085" s="52" t="n">
        <v>0</v>
      </c>
      <c r="AS2085" s="52" t="n">
        <v>0</v>
      </c>
      <c r="AT2085" s="52" t="n">
        <v>0</v>
      </c>
      <c r="AU2085" s="53" t="n">
        <v>0</v>
      </c>
      <c r="AV2085" s="53" t="n">
        <v>0</v>
      </c>
      <c r="AW2085" s="53" t="n">
        <v>0</v>
      </c>
      <c r="AX2085" s="53" t="n">
        <v>0</v>
      </c>
      <c r="AY2085" s="52" t="n">
        <v>0</v>
      </c>
      <c r="AZ2085" s="52" t="n">
        <v>0</v>
      </c>
      <c r="BA2085" s="52" t="n">
        <v>0</v>
      </c>
      <c r="BB2085" s="52" t="n">
        <v>0</v>
      </c>
      <c r="BC2085" s="51" t="n">
        <v>0</v>
      </c>
      <c r="BD2085" s="51" t="n">
        <v>0</v>
      </c>
      <c r="BE2085" s="51" t="n">
        <v>0</v>
      </c>
      <c r="BF2085" s="51" t="n">
        <v>0</v>
      </c>
    </row>
    <row r="2086">
      <c r="A2086">
        <f>HYPERLINK("https://www.walmart.com/ip/329380567", "329380567")</f>
        <v/>
      </c>
      <c r="B2086" t="inlineStr">
        <is>
          <t>Catalonia Women’s Sherpa Hoodie Sweatshirt Dress, Casual Snuggle Wearable Blanket Pullover Sweater with Kangaroo Pocket, Warm and Soft, Gift for Her, Grey</t>
        </is>
      </c>
      <c r="C2086" t="inlineStr">
        <is>
          <t>1CTHD532GY</t>
        </is>
      </c>
      <c r="D2086" t="inlineStr">
        <is>
          <t>Sweatshirts &amp; Hoodies</t>
        </is>
      </c>
      <c r="E2086" t="inlineStr">
        <is>
          <t>Catalonia</t>
        </is>
      </c>
      <c r="F2086" t="inlineStr">
        <is>
          <t>Hoodie ForAdult,Optimized,Coupon_Discount</t>
        </is>
      </c>
      <c r="G2086" s="48" t="n">
        <v>0</v>
      </c>
      <c r="H2086" s="48" t="n">
        <v>0</v>
      </c>
      <c r="I2086" s="48" t="n">
        <v>0</v>
      </c>
      <c r="J2086" s="48" t="n">
        <v>0</v>
      </c>
      <c r="K2086" s="49" t="n">
        <v>0</v>
      </c>
      <c r="L2086" s="49" t="n">
        <v>0</v>
      </c>
      <c r="M2086" s="49" t="n">
        <v>0</v>
      </c>
      <c r="N2086" s="49" t="n">
        <v>0</v>
      </c>
      <c r="O2086" s="49" t="n">
        <v>0</v>
      </c>
      <c r="P2086" s="49" t="n">
        <v>0</v>
      </c>
      <c r="Q2086" s="49" t="n">
        <v>0</v>
      </c>
      <c r="R2086" s="49" t="n">
        <v>0</v>
      </c>
      <c r="S2086" s="50" t="n">
        <v>0</v>
      </c>
      <c r="T2086" s="50" t="n">
        <v>0</v>
      </c>
      <c r="U2086" s="50" t="n">
        <v>0</v>
      </c>
      <c r="V2086" s="50" t="n">
        <v>0</v>
      </c>
      <c r="W2086" s="51" t="n">
        <v>0</v>
      </c>
      <c r="X2086" s="51" t="n">
        <v>0</v>
      </c>
      <c r="Y2086" s="51" t="n">
        <v>0</v>
      </c>
      <c r="Z2086" s="51" t="n">
        <v>0</v>
      </c>
      <c r="AA2086" s="52" t="n">
        <v>0</v>
      </c>
      <c r="AB2086" s="52" t="n">
        <v>0</v>
      </c>
      <c r="AC2086" s="52" t="n">
        <v>0</v>
      </c>
      <c r="AD2086" s="52" t="n">
        <v>0</v>
      </c>
      <c r="AE2086" s="52" t="n">
        <v>0</v>
      </c>
      <c r="AF2086" s="52" t="n">
        <v>0</v>
      </c>
      <c r="AG2086" s="52" t="n">
        <v>0</v>
      </c>
      <c r="AH2086" s="52" t="n">
        <v>0</v>
      </c>
      <c r="AI2086" s="52" t="n">
        <v>0</v>
      </c>
      <c r="AJ2086" s="52" t="n">
        <v>0</v>
      </c>
      <c r="AK2086" s="52" t="n">
        <v>0</v>
      </c>
      <c r="AL2086" s="52" t="n">
        <v>0</v>
      </c>
      <c r="AM2086" s="53" t="n">
        <v>0</v>
      </c>
      <c r="AN2086" s="53" t="n">
        <v>0</v>
      </c>
      <c r="AO2086" s="53" t="n">
        <v>0</v>
      </c>
      <c r="AP2086" s="53" t="n">
        <v>0</v>
      </c>
      <c r="AQ2086" s="52" t="n">
        <v>0</v>
      </c>
      <c r="AR2086" s="52" t="n">
        <v>0</v>
      </c>
      <c r="AS2086" s="52" t="n">
        <v>0</v>
      </c>
      <c r="AT2086" s="52" t="n">
        <v>0</v>
      </c>
      <c r="AU2086" s="53" t="n">
        <v>0</v>
      </c>
      <c r="AV2086" s="53" t="n">
        <v>0</v>
      </c>
      <c r="AW2086" s="53" t="n">
        <v>0</v>
      </c>
      <c r="AX2086" s="53" t="n">
        <v>0</v>
      </c>
      <c r="AY2086" s="52" t="n">
        <v>0</v>
      </c>
      <c r="AZ2086" s="52" t="n">
        <v>0</v>
      </c>
      <c r="BA2086" s="52" t="n">
        <v>0</v>
      </c>
      <c r="BB2086" s="52" t="n">
        <v>0</v>
      </c>
      <c r="BC2086" s="51" t="n">
        <v>0</v>
      </c>
      <c r="BD2086" s="51" t="n">
        <v>0</v>
      </c>
      <c r="BE2086" s="51" t="n">
        <v>0</v>
      </c>
      <c r="BF2086" s="51" t="n">
        <v>0</v>
      </c>
    </row>
    <row r="2087">
      <c r="A2087">
        <f>HYPERLINK("https://www.walmart.com/ip/329457407", "329457407")</f>
        <v/>
      </c>
      <c r="B2087" t="inlineStr">
        <is>
          <t>Tirrinia Comfy Plush Fleece Blanket Poncho Wearable for Adults, 55'' x 80'', Wine</t>
        </is>
      </c>
      <c r="C2087" t="inlineStr">
        <is>
          <t>1TRBP100WN-TBCB</t>
        </is>
      </c>
      <c r="D2087" t="inlineStr">
        <is>
          <t>Throws</t>
        </is>
      </c>
      <c r="E2087" t="inlineStr">
        <is>
          <t>Tirrinia</t>
        </is>
      </c>
      <c r="F2087" t="inlineStr">
        <is>
          <t>Optimized,Coupon_Discount,Fleece Blankets</t>
        </is>
      </c>
      <c r="G2087" s="48" t="n">
        <v>0</v>
      </c>
      <c r="H2087" s="48" t="n">
        <v>0</v>
      </c>
      <c r="I2087" s="48" t="n">
        <v>0</v>
      </c>
      <c r="J2087" s="48" t="n">
        <v>0</v>
      </c>
      <c r="K2087" s="49" t="n">
        <v>0</v>
      </c>
      <c r="L2087" s="49" t="n">
        <v>0</v>
      </c>
      <c r="M2087" s="49" t="n">
        <v>0</v>
      </c>
      <c r="N2087" s="49" t="n">
        <v>0</v>
      </c>
      <c r="O2087" s="49" t="n">
        <v>0</v>
      </c>
      <c r="P2087" s="49" t="n">
        <v>0</v>
      </c>
      <c r="Q2087" s="49" t="n">
        <v>0</v>
      </c>
      <c r="R2087" s="49" t="n">
        <v>0</v>
      </c>
      <c r="S2087" s="50" t="n">
        <v>0</v>
      </c>
      <c r="T2087" s="50" t="n">
        <v>0</v>
      </c>
      <c r="U2087" s="50" t="n">
        <v>0</v>
      </c>
      <c r="V2087" s="50" t="n">
        <v>0</v>
      </c>
      <c r="W2087" s="51" t="n">
        <v>0</v>
      </c>
      <c r="X2087" s="51" t="n">
        <v>0</v>
      </c>
      <c r="Y2087" s="51" t="n">
        <v>0</v>
      </c>
      <c r="Z2087" s="51" t="n">
        <v>0</v>
      </c>
      <c r="AA2087" s="52" t="n">
        <v>0</v>
      </c>
      <c r="AB2087" s="52" t="n">
        <v>0</v>
      </c>
      <c r="AC2087" s="52" t="n">
        <v>0</v>
      </c>
      <c r="AD2087" s="52" t="n">
        <v>0</v>
      </c>
      <c r="AE2087" s="52" t="n">
        <v>0</v>
      </c>
      <c r="AF2087" s="52" t="n">
        <v>0</v>
      </c>
      <c r="AG2087" s="52" t="n">
        <v>0</v>
      </c>
      <c r="AH2087" s="52" t="n">
        <v>0</v>
      </c>
      <c r="AI2087" s="52" t="n">
        <v>0</v>
      </c>
      <c r="AJ2087" s="52" t="n">
        <v>0</v>
      </c>
      <c r="AK2087" s="52" t="n">
        <v>0</v>
      </c>
      <c r="AL2087" s="52" t="n">
        <v>0</v>
      </c>
      <c r="AM2087" s="53" t="n">
        <v>0</v>
      </c>
      <c r="AN2087" s="53" t="n">
        <v>0</v>
      </c>
      <c r="AO2087" s="53" t="n">
        <v>0</v>
      </c>
      <c r="AP2087" s="53" t="n">
        <v>0</v>
      </c>
      <c r="AQ2087" s="52" t="n">
        <v>0</v>
      </c>
      <c r="AR2087" s="52" t="n">
        <v>0</v>
      </c>
      <c r="AS2087" s="52" t="n">
        <v>0</v>
      </c>
      <c r="AT2087" s="52" t="n">
        <v>0</v>
      </c>
      <c r="AU2087" s="53" t="n">
        <v>0</v>
      </c>
      <c r="AV2087" s="53" t="n">
        <v>0</v>
      </c>
      <c r="AW2087" s="53" t="n">
        <v>0</v>
      </c>
      <c r="AX2087" s="53" t="n">
        <v>0</v>
      </c>
      <c r="AY2087" s="52" t="n">
        <v>0</v>
      </c>
      <c r="AZ2087" s="52" t="n">
        <v>0</v>
      </c>
      <c r="BA2087" s="52" t="n">
        <v>0</v>
      </c>
      <c r="BB2087" s="52" t="n">
        <v>0</v>
      </c>
      <c r="BC2087" s="51" t="n">
        <v>0</v>
      </c>
      <c r="BD2087" s="51" t="n">
        <v>0</v>
      </c>
      <c r="BE2087" s="51" t="n">
        <v>0</v>
      </c>
      <c r="BF2087" s="51" t="n">
        <v>0</v>
      </c>
    </row>
    <row r="2088">
      <c r="A2088">
        <f>HYPERLINK("https://www.walmart.com/ip/330287338", "330287338")</f>
        <v/>
      </c>
      <c r="B2088" t="inlineStr">
        <is>
          <t>Wearable Fleece Blanket with Sleeves and Pocket for Women Men, Super Soft Microplush Adult Wrap Full Body Blanket Robe for Lounge Couch As Seen On TV 73" x 51" | Catalonia series by Terrania | Latte</t>
        </is>
      </c>
      <c r="C2088" t="inlineStr">
        <is>
          <t>1TRSN100LT-TBCB</t>
        </is>
      </c>
      <c r="D2088" t="inlineStr">
        <is>
          <t>Throws</t>
        </is>
      </c>
      <c r="E2088" t="inlineStr">
        <is>
          <t>Tirrinia</t>
        </is>
      </c>
      <c r="F2088" t="inlineStr">
        <is>
          <t>WFS,WFS Item,Fleece Blankets</t>
        </is>
      </c>
      <c r="G2088" s="48" t="n">
        <v>0</v>
      </c>
      <c r="H2088" s="48" t="n">
        <v>0</v>
      </c>
      <c r="I2088" s="48" t="n">
        <v>0</v>
      </c>
      <c r="J2088" s="48" t="n">
        <v>0</v>
      </c>
      <c r="K2088" s="49" t="n">
        <v>0</v>
      </c>
      <c r="L2088" s="49" t="n">
        <v>0</v>
      </c>
      <c r="M2088" s="49" t="n">
        <v>0</v>
      </c>
      <c r="N2088" s="49" t="n">
        <v>0</v>
      </c>
      <c r="O2088" s="49" t="n">
        <v>0</v>
      </c>
      <c r="P2088" s="49" t="n">
        <v>0</v>
      </c>
      <c r="Q2088" s="49" t="n">
        <v>0</v>
      </c>
      <c r="R2088" s="49" t="n">
        <v>0</v>
      </c>
      <c r="S2088" s="50" t="n">
        <v>0</v>
      </c>
      <c r="T2088" s="50" t="n">
        <v>0</v>
      </c>
      <c r="U2088" s="50" t="n">
        <v>0</v>
      </c>
      <c r="V2088" s="50" t="n">
        <v>0</v>
      </c>
      <c r="W2088" s="51" t="n">
        <v>0</v>
      </c>
      <c r="X2088" s="51" t="n">
        <v>0</v>
      </c>
      <c r="Y2088" s="51" t="n">
        <v>0</v>
      </c>
      <c r="Z2088" s="51" t="n">
        <v>0</v>
      </c>
      <c r="AA2088" s="52" t="n">
        <v>0</v>
      </c>
      <c r="AB2088" s="52" t="n">
        <v>0</v>
      </c>
      <c r="AC2088" s="52" t="n">
        <v>0</v>
      </c>
      <c r="AD2088" s="52" t="n">
        <v>0</v>
      </c>
      <c r="AE2088" s="52" t="n">
        <v>0</v>
      </c>
      <c r="AF2088" s="52" t="n">
        <v>0</v>
      </c>
      <c r="AG2088" s="52" t="n">
        <v>0</v>
      </c>
      <c r="AH2088" s="52" t="n">
        <v>0</v>
      </c>
      <c r="AI2088" s="52" t="n">
        <v>0</v>
      </c>
      <c r="AJ2088" s="52" t="n">
        <v>0</v>
      </c>
      <c r="AK2088" s="52" t="n">
        <v>0</v>
      </c>
      <c r="AL2088" s="52" t="n">
        <v>0</v>
      </c>
      <c r="AM2088" s="53" t="n">
        <v>0</v>
      </c>
      <c r="AN2088" s="53" t="n">
        <v>0</v>
      </c>
      <c r="AO2088" s="53" t="n">
        <v>0</v>
      </c>
      <c r="AP2088" s="53" t="n">
        <v>0</v>
      </c>
      <c r="AQ2088" s="52" t="n">
        <v>0</v>
      </c>
      <c r="AR2088" s="52" t="n">
        <v>0</v>
      </c>
      <c r="AS2088" s="52" t="n">
        <v>0</v>
      </c>
      <c r="AT2088" s="52" t="n">
        <v>0</v>
      </c>
      <c r="AU2088" s="53" t="n">
        <v>0</v>
      </c>
      <c r="AV2088" s="53" t="n">
        <v>0</v>
      </c>
      <c r="AW2088" s="53" t="n">
        <v>0</v>
      </c>
      <c r="AX2088" s="53" t="n">
        <v>0</v>
      </c>
      <c r="AY2088" s="52" t="n">
        <v>0</v>
      </c>
      <c r="AZ2088" s="52" t="n">
        <v>0</v>
      </c>
      <c r="BA2088" s="52" t="n">
        <v>0</v>
      </c>
      <c r="BB2088" s="52" t="n">
        <v>0</v>
      </c>
      <c r="BC2088" s="51" t="n">
        <v>0</v>
      </c>
      <c r="BD2088" s="51" t="n">
        <v>0</v>
      </c>
      <c r="BE2088" s="51" t="n">
        <v>0</v>
      </c>
      <c r="BF2088" s="51" t="n">
        <v>0</v>
      </c>
    </row>
    <row r="2089">
      <c r="A2089">
        <f>HYPERLINK("https://www.walmart.com/ip/330511157", "330511157")</f>
        <v/>
      </c>
      <c r="B2089" t="inlineStr">
        <is>
          <t>Fleece Blanket Wearable with Sleeves and Pocket, Micro Plush Warm Comfy Sleeved TV Throw Blanket Robe for Women and Men Multi-Colors 72”X55” by Catalonia</t>
        </is>
      </c>
      <c r="C2089" t="inlineStr">
        <is>
          <t>1CTSN110GY-ESGM</t>
        </is>
      </c>
      <c r="D2089" t="inlineStr">
        <is>
          <t>Throws</t>
        </is>
      </c>
      <c r="E2089" t="inlineStr">
        <is>
          <t>Catalonia</t>
        </is>
      </c>
      <c r="F2089" t="inlineStr">
        <is>
          <t>Optimized,Fleece Blankets</t>
        </is>
      </c>
      <c r="G2089" s="48" t="n">
        <v>0</v>
      </c>
      <c r="H2089" s="48" t="n">
        <v>0</v>
      </c>
      <c r="I2089" s="48" t="n">
        <v>0</v>
      </c>
      <c r="J2089" s="48" t="n">
        <v>0</v>
      </c>
      <c r="K2089" s="49" t="n">
        <v>0</v>
      </c>
      <c r="L2089" s="49" t="n">
        <v>0</v>
      </c>
      <c r="M2089" s="49" t="n">
        <v>0</v>
      </c>
      <c r="N2089" s="49" t="n">
        <v>0</v>
      </c>
      <c r="O2089" s="49" t="n">
        <v>0</v>
      </c>
      <c r="P2089" s="49" t="n">
        <v>0</v>
      </c>
      <c r="Q2089" s="49" t="n">
        <v>0</v>
      </c>
      <c r="R2089" s="49" t="n">
        <v>0</v>
      </c>
      <c r="S2089" s="50" t="n">
        <v>0</v>
      </c>
      <c r="T2089" s="50" t="n">
        <v>0</v>
      </c>
      <c r="U2089" s="50" t="n">
        <v>0</v>
      </c>
      <c r="V2089" s="50" t="n">
        <v>0</v>
      </c>
      <c r="W2089" s="51" t="n">
        <v>0</v>
      </c>
      <c r="X2089" s="51" t="n">
        <v>0</v>
      </c>
      <c r="Y2089" s="51" t="n">
        <v>0</v>
      </c>
      <c r="Z2089" s="51" t="n">
        <v>0</v>
      </c>
      <c r="AA2089" s="52" t="n">
        <v>0</v>
      </c>
      <c r="AB2089" s="52" t="n">
        <v>0</v>
      </c>
      <c r="AC2089" s="52" t="n">
        <v>0</v>
      </c>
      <c r="AD2089" s="52" t="n">
        <v>0</v>
      </c>
      <c r="AE2089" s="52" t="n">
        <v>0</v>
      </c>
      <c r="AF2089" s="52" t="n">
        <v>0</v>
      </c>
      <c r="AG2089" s="52" t="n">
        <v>0</v>
      </c>
      <c r="AH2089" s="52" t="n">
        <v>0</v>
      </c>
      <c r="AI2089" s="52" t="n">
        <v>0</v>
      </c>
      <c r="AJ2089" s="52" t="n">
        <v>0</v>
      </c>
      <c r="AK2089" s="52" t="n">
        <v>0</v>
      </c>
      <c r="AL2089" s="52" t="n">
        <v>0</v>
      </c>
      <c r="AM2089" s="53" t="n">
        <v>0</v>
      </c>
      <c r="AN2089" s="53" t="n">
        <v>0</v>
      </c>
      <c r="AO2089" s="53" t="n">
        <v>0</v>
      </c>
      <c r="AP2089" s="53" t="n">
        <v>0</v>
      </c>
      <c r="AQ2089" s="52" t="n">
        <v>0</v>
      </c>
      <c r="AR2089" s="52" t="n">
        <v>0</v>
      </c>
      <c r="AS2089" s="52" t="n">
        <v>0</v>
      </c>
      <c r="AT2089" s="52" t="n">
        <v>0</v>
      </c>
      <c r="AU2089" s="53" t="n">
        <v>0</v>
      </c>
      <c r="AV2089" s="53" t="n">
        <v>0</v>
      </c>
      <c r="AW2089" s="53" t="n">
        <v>0</v>
      </c>
      <c r="AX2089" s="53" t="n">
        <v>0</v>
      </c>
      <c r="AY2089" s="52" t="n">
        <v>0</v>
      </c>
      <c r="AZ2089" s="52" t="n">
        <v>0</v>
      </c>
      <c r="BA2089" s="52" t="n">
        <v>0</v>
      </c>
      <c r="BB2089" s="52" t="n">
        <v>0</v>
      </c>
      <c r="BC2089" s="51" t="n">
        <v>0</v>
      </c>
      <c r="BD2089" s="51" t="n">
        <v>0</v>
      </c>
      <c r="BE2089" s="51" t="n">
        <v>0</v>
      </c>
      <c r="BF2089" s="51" t="n">
        <v>0</v>
      </c>
    </row>
    <row r="2090">
      <c r="A2090">
        <f>HYPERLINK("https://www.walmart.com/ip/330630738", "330630738")</f>
        <v/>
      </c>
      <c r="B2090" t="inlineStr">
        <is>
          <t>Sherpa Fleece Throw Blanket for Kids,Super Soft Light Weight Reversible Fuzzy Snuggle Blanket for Camping Couch Bed All</t>
        </is>
      </c>
      <c r="C2090" t="inlineStr">
        <is>
          <t>1CTBF579GN</t>
        </is>
      </c>
      <c r="D2090" t="inlineStr">
        <is>
          <t>Throws</t>
        </is>
      </c>
      <c r="E2090" t="inlineStr">
        <is>
          <t>Catalonia</t>
        </is>
      </c>
      <c r="F2090" t="inlineStr">
        <is>
          <t>WFS,WFS Item</t>
        </is>
      </c>
      <c r="G2090" s="48" t="n">
        <v>0</v>
      </c>
      <c r="H2090" s="48" t="n">
        <v>0</v>
      </c>
      <c r="I2090" s="48" t="n">
        <v>0</v>
      </c>
      <c r="J2090" s="48" t="n">
        <v>0</v>
      </c>
      <c r="K2090" s="49" t="n">
        <v>0</v>
      </c>
      <c r="L2090" s="49" t="n">
        <v>0</v>
      </c>
      <c r="M2090" s="49" t="n">
        <v>0</v>
      </c>
      <c r="N2090" s="49" t="n">
        <v>0</v>
      </c>
      <c r="O2090" s="49" t="n">
        <v>0</v>
      </c>
      <c r="P2090" s="49" t="n">
        <v>0</v>
      </c>
      <c r="Q2090" s="49" t="n">
        <v>0</v>
      </c>
      <c r="R2090" s="49" t="n">
        <v>0</v>
      </c>
      <c r="S2090" s="50" t="n">
        <v>0</v>
      </c>
      <c r="T2090" s="50" t="n">
        <v>0</v>
      </c>
      <c r="U2090" s="50" t="n">
        <v>0</v>
      </c>
      <c r="V2090" s="50" t="n">
        <v>0</v>
      </c>
      <c r="W2090" s="51" t="n">
        <v>0</v>
      </c>
      <c r="X2090" s="51" t="n">
        <v>0</v>
      </c>
      <c r="Y2090" s="51" t="n">
        <v>0</v>
      </c>
      <c r="Z2090" s="51" t="n">
        <v>0</v>
      </c>
      <c r="AA2090" s="52" t="n">
        <v>0</v>
      </c>
      <c r="AB2090" s="52" t="n">
        <v>0</v>
      </c>
      <c r="AC2090" s="52" t="n">
        <v>0</v>
      </c>
      <c r="AD2090" s="52" t="n">
        <v>0</v>
      </c>
      <c r="AE2090" s="52" t="n">
        <v>0</v>
      </c>
      <c r="AF2090" s="52" t="n">
        <v>0</v>
      </c>
      <c r="AG2090" s="52" t="n">
        <v>0</v>
      </c>
      <c r="AH2090" s="52" t="n">
        <v>0</v>
      </c>
      <c r="AI2090" s="52" t="n">
        <v>0</v>
      </c>
      <c r="AJ2090" s="52" t="n">
        <v>0</v>
      </c>
      <c r="AK2090" s="52" t="n">
        <v>0</v>
      </c>
      <c r="AL2090" s="52" t="n">
        <v>0</v>
      </c>
      <c r="AM2090" s="53" t="n">
        <v>0</v>
      </c>
      <c r="AN2090" s="53" t="n">
        <v>0</v>
      </c>
      <c r="AO2090" s="53" t="n">
        <v>0</v>
      </c>
      <c r="AP2090" s="53" t="n">
        <v>0</v>
      </c>
      <c r="AQ2090" s="52" t="n">
        <v>0</v>
      </c>
      <c r="AR2090" s="52" t="n">
        <v>0</v>
      </c>
      <c r="AS2090" s="52" t="n">
        <v>0</v>
      </c>
      <c r="AT2090" s="52" t="n">
        <v>0</v>
      </c>
      <c r="AU2090" s="53" t="n">
        <v>0</v>
      </c>
      <c r="AV2090" s="53" t="n">
        <v>0</v>
      </c>
      <c r="AW2090" s="53" t="n">
        <v>0</v>
      </c>
      <c r="AX2090" s="53" t="n">
        <v>0</v>
      </c>
      <c r="AY2090" s="52" t="n">
        <v>0</v>
      </c>
      <c r="AZ2090" s="52" t="n">
        <v>0</v>
      </c>
      <c r="BA2090" s="52" t="n">
        <v>0</v>
      </c>
      <c r="BB2090" s="52" t="n">
        <v>0</v>
      </c>
      <c r="BC2090" s="51" t="n">
        <v>0</v>
      </c>
      <c r="BD2090" s="51" t="n">
        <v>0</v>
      </c>
      <c r="BE2090" s="51" t="n">
        <v>0</v>
      </c>
      <c r="BF2090" s="51" t="n">
        <v>0</v>
      </c>
    </row>
    <row r="2091">
      <c r="A2091">
        <f>HYPERLINK("https://www.walmart.com/ip/331913877", "331913877")</f>
        <v/>
      </c>
      <c r="B2091" t="inlineStr">
        <is>
          <t>KC Caps Men's Neon Orange Turkey Cap</t>
        </is>
      </c>
      <c r="C2091" t="inlineStr">
        <is>
          <t>ht25-turkey</t>
        </is>
      </c>
      <c r="D2091" t="inlineStr">
        <is>
          <t>Hats</t>
        </is>
      </c>
      <c r="E2091" t="inlineStr">
        <is>
          <t>KC Caps</t>
        </is>
      </c>
      <c r="F2091" t="inlineStr">
        <is>
          <t>Batch 1 - TR</t>
        </is>
      </c>
      <c r="G2091" s="48" t="n">
        <v>0</v>
      </c>
      <c r="H2091" s="48" t="n">
        <v>0</v>
      </c>
      <c r="I2091" s="48" t="n">
        <v>0</v>
      </c>
      <c r="J2091" s="48" t="n">
        <v>0</v>
      </c>
      <c r="K2091" s="49" t="n">
        <v>0</v>
      </c>
      <c r="L2091" s="49" t="n">
        <v>0</v>
      </c>
      <c r="M2091" s="49" t="n">
        <v>0</v>
      </c>
      <c r="N2091" s="49" t="n">
        <v>0</v>
      </c>
      <c r="O2091" s="49" t="n">
        <v>0</v>
      </c>
      <c r="P2091" s="49" t="n">
        <v>0</v>
      </c>
      <c r="Q2091" s="49" t="n">
        <v>0</v>
      </c>
      <c r="R2091" s="49" t="n">
        <v>0</v>
      </c>
      <c r="S2091" s="50" t="n">
        <v>0</v>
      </c>
      <c r="T2091" s="50" t="n">
        <v>0</v>
      </c>
      <c r="U2091" s="50" t="n">
        <v>0</v>
      </c>
      <c r="V2091" s="50" t="n">
        <v>0</v>
      </c>
      <c r="W2091" s="51" t="n">
        <v>0</v>
      </c>
      <c r="X2091" s="51" t="n">
        <v>0</v>
      </c>
      <c r="Y2091" s="51" t="n">
        <v>0</v>
      </c>
      <c r="Z2091" s="51" t="n">
        <v>0</v>
      </c>
      <c r="AA2091" s="52" t="n">
        <v>0</v>
      </c>
      <c r="AB2091" s="52" t="n">
        <v>0</v>
      </c>
      <c r="AC2091" s="52" t="n">
        <v>0</v>
      </c>
      <c r="AD2091" s="52" t="n">
        <v>0</v>
      </c>
      <c r="AE2091" s="52" t="n">
        <v>0</v>
      </c>
      <c r="AF2091" s="52" t="n">
        <v>0</v>
      </c>
      <c r="AG2091" s="52" t="n">
        <v>0</v>
      </c>
      <c r="AH2091" s="52" t="n">
        <v>0</v>
      </c>
      <c r="AI2091" s="52" t="n">
        <v>0</v>
      </c>
      <c r="AJ2091" s="52" t="n">
        <v>0</v>
      </c>
      <c r="AK2091" s="52" t="n">
        <v>0</v>
      </c>
      <c r="AL2091" s="52" t="n">
        <v>0</v>
      </c>
      <c r="AM2091" s="53" t="n">
        <v>0</v>
      </c>
      <c r="AN2091" s="53" t="n">
        <v>0</v>
      </c>
      <c r="AO2091" s="53" t="n">
        <v>0</v>
      </c>
      <c r="AP2091" s="53" t="n">
        <v>0</v>
      </c>
      <c r="AQ2091" s="52" t="n">
        <v>0</v>
      </c>
      <c r="AR2091" s="52" t="n">
        <v>0</v>
      </c>
      <c r="AS2091" s="52" t="n">
        <v>0</v>
      </c>
      <c r="AT2091" s="52" t="n">
        <v>0</v>
      </c>
      <c r="AU2091" s="53" t="n">
        <v>0</v>
      </c>
      <c r="AV2091" s="53" t="n">
        <v>0</v>
      </c>
      <c r="AW2091" s="53" t="n">
        <v>0</v>
      </c>
      <c r="AX2091" s="53" t="n">
        <v>0</v>
      </c>
      <c r="AY2091" s="52" t="n">
        <v>0</v>
      </c>
      <c r="AZ2091" s="52" t="n">
        <v>0</v>
      </c>
      <c r="BA2091" s="52" t="n">
        <v>0</v>
      </c>
      <c r="BB2091" s="52" t="n">
        <v>0</v>
      </c>
      <c r="BC2091" s="51" t="n">
        <v>0</v>
      </c>
      <c r="BD2091" s="51" t="n">
        <v>0</v>
      </c>
      <c r="BE2091" s="51" t="n">
        <v>0</v>
      </c>
      <c r="BF2091" s="51" t="n">
        <v>0</v>
      </c>
    </row>
    <row r="2092">
      <c r="A2092">
        <f>HYPERLINK("https://www.walmart.com/ip/332569783", "332569783")</f>
        <v/>
      </c>
      <c r="B2092" t="inlineStr">
        <is>
          <t>Catalonia King Size Quilt Set, Lightweight Bedspread for Summer and Spring, 3 Pieces Bedding Coverlet-1 Quilt and 2 Pillow Shams, Grey Dimond Pattern,100x106 inches</t>
        </is>
      </c>
      <c r="C2092" t="inlineStr">
        <is>
          <t>1CTBQ203KI-GYWT</t>
        </is>
      </c>
      <c r="D2092" t="inlineStr">
        <is>
          <t>Bedding Sets</t>
        </is>
      </c>
      <c r="E2092" t="inlineStr">
        <is>
          <t>Catalonia</t>
        </is>
      </c>
      <c r="F2092" t="inlineStr">
        <is>
          <t>Optimized,Quilt_Vinay</t>
        </is>
      </c>
      <c r="G2092" s="48" t="n">
        <v>0</v>
      </c>
      <c r="H2092" s="48" t="n">
        <v>0</v>
      </c>
      <c r="I2092" s="48" t="n">
        <v>0</v>
      </c>
      <c r="J2092" s="48" t="n">
        <v>0</v>
      </c>
      <c r="K2092" s="49" t="n">
        <v>0</v>
      </c>
      <c r="L2092" s="49" t="n">
        <v>0</v>
      </c>
      <c r="M2092" s="49" t="n">
        <v>0</v>
      </c>
      <c r="N2092" s="49" t="n">
        <v>0</v>
      </c>
      <c r="O2092" s="49" t="n">
        <v>0</v>
      </c>
      <c r="P2092" s="49" t="n">
        <v>0</v>
      </c>
      <c r="Q2092" s="49" t="n">
        <v>0</v>
      </c>
      <c r="R2092" s="49" t="n">
        <v>0</v>
      </c>
      <c r="S2092" s="50" t="n">
        <v>0</v>
      </c>
      <c r="T2092" s="50" t="n">
        <v>0</v>
      </c>
      <c r="U2092" s="50" t="n">
        <v>0</v>
      </c>
      <c r="V2092" s="50" t="n">
        <v>0</v>
      </c>
      <c r="W2092" s="51" t="n">
        <v>0</v>
      </c>
      <c r="X2092" s="51" t="n">
        <v>0</v>
      </c>
      <c r="Y2092" s="51" t="n">
        <v>0</v>
      </c>
      <c r="Z2092" s="51" t="n">
        <v>0</v>
      </c>
      <c r="AA2092" s="52" t="n">
        <v>0</v>
      </c>
      <c r="AB2092" s="52" t="n">
        <v>0</v>
      </c>
      <c r="AC2092" s="52" t="n">
        <v>0</v>
      </c>
      <c r="AD2092" s="52" t="n">
        <v>0</v>
      </c>
      <c r="AE2092" s="52" t="n">
        <v>0</v>
      </c>
      <c r="AF2092" s="52" t="n">
        <v>0</v>
      </c>
      <c r="AG2092" s="52" t="n">
        <v>0</v>
      </c>
      <c r="AH2092" s="52" t="n">
        <v>0</v>
      </c>
      <c r="AI2092" s="52" t="n">
        <v>0</v>
      </c>
      <c r="AJ2092" s="52" t="n">
        <v>0</v>
      </c>
      <c r="AK2092" s="52" t="n">
        <v>0</v>
      </c>
      <c r="AL2092" s="52" t="n">
        <v>0</v>
      </c>
      <c r="AM2092" s="53" t="n">
        <v>0</v>
      </c>
      <c r="AN2092" s="53" t="n">
        <v>0</v>
      </c>
      <c r="AO2092" s="53" t="n">
        <v>0</v>
      </c>
      <c r="AP2092" s="53" t="n">
        <v>0</v>
      </c>
      <c r="AQ2092" s="52" t="n">
        <v>0</v>
      </c>
      <c r="AR2092" s="52" t="n">
        <v>0</v>
      </c>
      <c r="AS2092" s="52" t="n">
        <v>0</v>
      </c>
      <c r="AT2092" s="52" t="n">
        <v>0</v>
      </c>
      <c r="AU2092" s="53" t="n">
        <v>0</v>
      </c>
      <c r="AV2092" s="53" t="n">
        <v>0</v>
      </c>
      <c r="AW2092" s="53" t="n">
        <v>0</v>
      </c>
      <c r="AX2092" s="53" t="n">
        <v>0</v>
      </c>
      <c r="AY2092" s="52" t="n">
        <v>0</v>
      </c>
      <c r="AZ2092" s="52" t="n">
        <v>0</v>
      </c>
      <c r="BA2092" s="52" t="n">
        <v>0</v>
      </c>
      <c r="BB2092" s="52" t="n">
        <v>0</v>
      </c>
      <c r="BC2092" s="51" t="n">
        <v>0</v>
      </c>
      <c r="BD2092" s="51" t="n">
        <v>0</v>
      </c>
      <c r="BE2092" s="51" t="n">
        <v>0</v>
      </c>
      <c r="BF2092" s="51" t="n">
        <v>0</v>
      </c>
    </row>
    <row r="2093">
      <c r="A2093">
        <f>HYPERLINK("https://www.walmart.com/ip/3327694546", "3327694546")</f>
        <v/>
      </c>
      <c r="B2093" t="inlineStr">
        <is>
          <t>Tirrinia Insulated Lunch Bag for Women Men, Double-Layer Leak-Proof Reusable Lunch Box with 4 Pockets, Large, 17L, Charcoal, 9.85” x 8.72” x 10.63”.</t>
        </is>
      </c>
      <c r="C2093" t="inlineStr">
        <is>
          <t>1TRLB702CH-D</t>
        </is>
      </c>
      <c r="D2093" t="inlineStr">
        <is>
          <t>Reusable Lunch Bags &amp; Boxes</t>
        </is>
      </c>
      <c r="E2093" t="inlineStr">
        <is>
          <t>Tirrinia</t>
        </is>
      </c>
      <c r="F2093" t="inlineStr">
        <is>
          <t>Q2-Target</t>
        </is>
      </c>
      <c r="G2093" s="48" t="n">
        <v>0</v>
      </c>
      <c r="H2093" s="48" t="n">
        <v>0</v>
      </c>
      <c r="I2093" s="48" t="n">
        <v>0</v>
      </c>
      <c r="J2093" s="48" t="n">
        <v>0</v>
      </c>
      <c r="K2093" s="49" t="n">
        <v>0</v>
      </c>
      <c r="L2093" s="49" t="n">
        <v>0</v>
      </c>
      <c r="M2093" s="49" t="n">
        <v>0</v>
      </c>
      <c r="N2093" s="49" t="n">
        <v>0</v>
      </c>
      <c r="O2093" s="49" t="n">
        <v>0</v>
      </c>
      <c r="P2093" s="49" t="n">
        <v>0</v>
      </c>
      <c r="Q2093" s="49" t="n">
        <v>0</v>
      </c>
      <c r="R2093" s="49" t="n">
        <v>3</v>
      </c>
      <c r="S2093" s="50" t="n">
        <v>0</v>
      </c>
      <c r="T2093" s="50" t="n">
        <v>0</v>
      </c>
      <c r="U2093" s="50" t="n">
        <v>0</v>
      </c>
      <c r="V2093" s="50" t="n">
        <v>0</v>
      </c>
      <c r="W2093" s="51" t="n">
        <v>0</v>
      </c>
      <c r="X2093" s="51" t="n">
        <v>0</v>
      </c>
      <c r="Y2093" s="51" t="n">
        <v>0</v>
      </c>
      <c r="Z2093" s="51" t="n">
        <v>0</v>
      </c>
      <c r="AA2093" s="52" t="n">
        <v>0</v>
      </c>
      <c r="AB2093" s="52" t="n">
        <v>0</v>
      </c>
      <c r="AC2093" s="52" t="n">
        <v>0</v>
      </c>
      <c r="AD2093" s="52" t="n">
        <v>0</v>
      </c>
      <c r="AE2093" s="52" t="n">
        <v>0</v>
      </c>
      <c r="AF2093" s="52" t="n">
        <v>0</v>
      </c>
      <c r="AG2093" s="52" t="n">
        <v>0</v>
      </c>
      <c r="AH2093" s="52" t="n">
        <v>0</v>
      </c>
      <c r="AI2093" s="52" t="n">
        <v>0</v>
      </c>
      <c r="AJ2093" s="52" t="n">
        <v>0</v>
      </c>
      <c r="AK2093" s="52" t="n">
        <v>0</v>
      </c>
      <c r="AL2093" s="52" t="n">
        <v>0</v>
      </c>
      <c r="AM2093" s="53" t="n">
        <v>0</v>
      </c>
      <c r="AN2093" s="53" t="n">
        <v>0</v>
      </c>
      <c r="AO2093" s="53" t="n">
        <v>0</v>
      </c>
      <c r="AP2093" s="53" t="n">
        <v>0</v>
      </c>
      <c r="AQ2093" s="52" t="n">
        <v>0</v>
      </c>
      <c r="AR2093" s="52" t="n">
        <v>0</v>
      </c>
      <c r="AS2093" s="52" t="n">
        <v>0</v>
      </c>
      <c r="AT2093" s="52" t="n">
        <v>0</v>
      </c>
      <c r="AU2093" s="53" t="n">
        <v>0</v>
      </c>
      <c r="AV2093" s="53" t="n">
        <v>0</v>
      </c>
      <c r="AW2093" s="53" t="n">
        <v>0</v>
      </c>
      <c r="AX2093" s="53" t="n">
        <v>0</v>
      </c>
      <c r="AY2093" s="52" t="n">
        <v>0</v>
      </c>
      <c r="AZ2093" s="52" t="n">
        <v>0</v>
      </c>
      <c r="BA2093" s="52" t="n">
        <v>0</v>
      </c>
      <c r="BB2093" s="52" t="n">
        <v>0</v>
      </c>
      <c r="BC2093" s="51" t="n">
        <v>0</v>
      </c>
      <c r="BD2093" s="51" t="n">
        <v>0</v>
      </c>
      <c r="BE2093" s="51" t="n">
        <v>0</v>
      </c>
      <c r="BF2093" s="51" t="n">
        <v>0</v>
      </c>
    </row>
    <row r="2094">
      <c r="A2094">
        <f>HYPERLINK("https://www.walmart.com/ip/333065779", "333065779")</f>
        <v/>
      </c>
      <c r="B2094" t="inlineStr">
        <is>
          <t>Solaris Women's Tankini Swimsuit, Two-Piece Swimwear Bikini Set, Summer Bathing Suits, X-Large, Black</t>
        </is>
      </c>
      <c r="C2094" t="inlineStr">
        <is>
          <t>1SLSS006BKBK-XL</t>
        </is>
      </c>
      <c r="D2094" t="inlineStr">
        <is>
          <t>Swimsuit Sets</t>
        </is>
      </c>
      <c r="E2094" t="inlineStr">
        <is>
          <t>Solaris</t>
        </is>
      </c>
      <c r="G2094" s="48" t="n">
        <v>0</v>
      </c>
      <c r="H2094" s="48" t="n">
        <v>0</v>
      </c>
      <c r="I2094" s="48" t="n">
        <v>0</v>
      </c>
      <c r="J2094" s="48" t="n">
        <v>0</v>
      </c>
      <c r="K2094" s="49" t="n">
        <v>0</v>
      </c>
      <c r="L2094" s="49" t="n">
        <v>0</v>
      </c>
      <c r="M2094" s="49" t="n">
        <v>0</v>
      </c>
      <c r="N2094" s="49" t="n">
        <v>0</v>
      </c>
      <c r="O2094" s="49" t="n">
        <v>0</v>
      </c>
      <c r="P2094" s="49" t="n">
        <v>0</v>
      </c>
      <c r="Q2094" s="49" t="n">
        <v>0</v>
      </c>
      <c r="R2094" s="49" t="n">
        <v>0</v>
      </c>
      <c r="S2094" s="50" t="n">
        <v>0</v>
      </c>
      <c r="T2094" s="50" t="n">
        <v>0</v>
      </c>
      <c r="U2094" s="50" t="n">
        <v>0</v>
      </c>
      <c r="V2094" s="50" t="n">
        <v>0</v>
      </c>
      <c r="W2094" s="51" t="n">
        <v>0</v>
      </c>
      <c r="X2094" s="51" t="n">
        <v>0</v>
      </c>
      <c r="Y2094" s="51" t="n">
        <v>0</v>
      </c>
      <c r="Z2094" s="51" t="n">
        <v>0</v>
      </c>
      <c r="AA2094" s="52" t="n">
        <v>0</v>
      </c>
      <c r="AB2094" s="52" t="n">
        <v>0</v>
      </c>
      <c r="AC2094" s="52" t="n">
        <v>0</v>
      </c>
      <c r="AD2094" s="52" t="n">
        <v>0</v>
      </c>
      <c r="AE2094" s="52" t="n">
        <v>0</v>
      </c>
      <c r="AF2094" s="52" t="n">
        <v>0</v>
      </c>
      <c r="AG2094" s="52" t="n">
        <v>0</v>
      </c>
      <c r="AH2094" s="52" t="n">
        <v>0</v>
      </c>
      <c r="AI2094" s="52" t="n">
        <v>0</v>
      </c>
      <c r="AJ2094" s="52" t="n">
        <v>0</v>
      </c>
      <c r="AK2094" s="52" t="n">
        <v>0</v>
      </c>
      <c r="AL2094" s="52" t="n">
        <v>0</v>
      </c>
      <c r="AM2094" s="53" t="n">
        <v>0</v>
      </c>
      <c r="AN2094" s="53" t="n">
        <v>0</v>
      </c>
      <c r="AO2094" s="53" t="n">
        <v>0</v>
      </c>
      <c r="AP2094" s="53" t="n">
        <v>0</v>
      </c>
      <c r="AQ2094" s="52" t="n">
        <v>0</v>
      </c>
      <c r="AR2094" s="52" t="n">
        <v>0</v>
      </c>
      <c r="AS2094" s="52" t="n">
        <v>0</v>
      </c>
      <c r="AT2094" s="52" t="n">
        <v>0</v>
      </c>
      <c r="AU2094" s="53" t="n">
        <v>0</v>
      </c>
      <c r="AV2094" s="53" t="n">
        <v>0</v>
      </c>
      <c r="AW2094" s="53" t="n">
        <v>0</v>
      </c>
      <c r="AX2094" s="53" t="n">
        <v>0</v>
      </c>
      <c r="AY2094" s="52" t="n">
        <v>0</v>
      </c>
      <c r="AZ2094" s="52" t="n">
        <v>0</v>
      </c>
      <c r="BA2094" s="52" t="n">
        <v>0</v>
      </c>
      <c r="BB2094" s="52" t="n">
        <v>0</v>
      </c>
      <c r="BC2094" s="51" t="n">
        <v>0</v>
      </c>
      <c r="BD2094" s="51" t="n">
        <v>0</v>
      </c>
      <c r="BE2094" s="51" t="n">
        <v>0</v>
      </c>
      <c r="BF2094" s="51" t="n">
        <v>0</v>
      </c>
    </row>
    <row r="2095">
      <c r="A2095">
        <f>HYPERLINK("https://www.walmart.com/ip/3336584723", "3336584723")</f>
        <v/>
      </c>
      <c r="B2095" t="inlineStr">
        <is>
          <t>Catalonia Waterproof Blanket for Outdoors, Hooded Blanket Poncho, Windproof, Warm, Wearable, Portable Fleece Blanket for Stadium, Picnics, Sports Events, Camping, Yoga, and Beach, Black/Wine</t>
        </is>
      </c>
      <c r="C2095" t="inlineStr">
        <is>
          <t>1CTBC200WNBK</t>
        </is>
      </c>
      <c r="D2095" t="inlineStr">
        <is>
          <t>Throws</t>
        </is>
      </c>
      <c r="E2095" t="inlineStr">
        <is>
          <t>Catalonia</t>
        </is>
      </c>
      <c r="F2095" t="inlineStr">
        <is>
          <t>Wproof Blanket</t>
        </is>
      </c>
      <c r="G2095" s="48" t="n">
        <v>0</v>
      </c>
      <c r="H2095" s="48" t="n">
        <v>0</v>
      </c>
      <c r="I2095" s="48" t="n">
        <v>0</v>
      </c>
      <c r="J2095" s="48" t="n">
        <v>0</v>
      </c>
      <c r="K2095" s="49" t="n">
        <v>0</v>
      </c>
      <c r="L2095" s="49" t="n">
        <v>0</v>
      </c>
      <c r="M2095" s="49" t="n">
        <v>0</v>
      </c>
      <c r="N2095" s="49" t="n">
        <v>0</v>
      </c>
      <c r="O2095" s="49" t="n">
        <v>0</v>
      </c>
      <c r="P2095" s="49" t="n">
        <v>0</v>
      </c>
      <c r="Q2095" s="49" t="n">
        <v>0</v>
      </c>
      <c r="R2095" s="49" t="n">
        <v>0</v>
      </c>
      <c r="S2095" s="50" t="n">
        <v>0</v>
      </c>
      <c r="T2095" s="50" t="n">
        <v>0</v>
      </c>
      <c r="U2095" s="50" t="n">
        <v>0</v>
      </c>
      <c r="V2095" s="50" t="n">
        <v>0</v>
      </c>
      <c r="W2095" s="51" t="n">
        <v>0</v>
      </c>
      <c r="X2095" s="51" t="n">
        <v>0</v>
      </c>
      <c r="Y2095" s="51" t="n">
        <v>0</v>
      </c>
      <c r="Z2095" s="51" t="n">
        <v>0</v>
      </c>
      <c r="AA2095" s="52" t="n">
        <v>0</v>
      </c>
      <c r="AB2095" s="52" t="n">
        <v>0</v>
      </c>
      <c r="AC2095" s="52" t="n">
        <v>0</v>
      </c>
      <c r="AD2095" s="52" t="n">
        <v>0</v>
      </c>
      <c r="AE2095" s="52" t="n">
        <v>0</v>
      </c>
      <c r="AF2095" s="52" t="n">
        <v>0</v>
      </c>
      <c r="AG2095" s="52" t="n">
        <v>0</v>
      </c>
      <c r="AH2095" s="52" t="n">
        <v>0</v>
      </c>
      <c r="AI2095" s="52" t="n">
        <v>0</v>
      </c>
      <c r="AJ2095" s="52" t="n">
        <v>0</v>
      </c>
      <c r="AK2095" s="52" t="n">
        <v>0</v>
      </c>
      <c r="AL2095" s="52" t="n">
        <v>0</v>
      </c>
      <c r="AM2095" s="53" t="n">
        <v>0</v>
      </c>
      <c r="AN2095" s="53" t="n">
        <v>0</v>
      </c>
      <c r="AO2095" s="53" t="n">
        <v>0</v>
      </c>
      <c r="AP2095" s="53" t="n">
        <v>0</v>
      </c>
      <c r="AQ2095" s="52" t="n">
        <v>0</v>
      </c>
      <c r="AR2095" s="52" t="n">
        <v>0</v>
      </c>
      <c r="AS2095" s="52" t="n">
        <v>0</v>
      </c>
      <c r="AT2095" s="52" t="n">
        <v>0</v>
      </c>
      <c r="AU2095" s="53" t="n">
        <v>0</v>
      </c>
      <c r="AV2095" s="53" t="n">
        <v>0</v>
      </c>
      <c r="AW2095" s="53" t="n">
        <v>0</v>
      </c>
      <c r="AX2095" s="53" t="n">
        <v>0</v>
      </c>
      <c r="AY2095" s="52" t="n">
        <v>0</v>
      </c>
      <c r="AZ2095" s="52" t="n">
        <v>0</v>
      </c>
      <c r="BA2095" s="52" t="n">
        <v>0</v>
      </c>
      <c r="BB2095" s="52" t="n">
        <v>0</v>
      </c>
      <c r="BC2095" s="51" t="n">
        <v>0</v>
      </c>
      <c r="BD2095" s="51" t="n">
        <v>0</v>
      </c>
      <c r="BE2095" s="51" t="n">
        <v>0</v>
      </c>
      <c r="BF2095" s="51" t="n">
        <v>0</v>
      </c>
    </row>
    <row r="2096">
      <c r="A2096">
        <f>HYPERLINK("https://www.walmart.com/ip/334138081", "334138081")</f>
        <v/>
      </c>
      <c r="B2096" t="inlineStr">
        <is>
          <t>Terra Boxer Briefs Mens 3 Pack Underwear Elastic Waistband Solid New Classic Fit</t>
        </is>
      </c>
      <c r="C2096" t="inlineStr">
        <is>
          <t>TERRA-BOXER5-L</t>
        </is>
      </c>
      <c r="D2096" t="inlineStr">
        <is>
          <t>Underpants</t>
        </is>
      </c>
      <c r="E2096" t="inlineStr">
        <is>
          <t>Terra</t>
        </is>
      </c>
      <c r="F2096" t="inlineStr">
        <is>
          <t>Batch 1 - TR</t>
        </is>
      </c>
      <c r="G2096" s="48" t="n">
        <v>0</v>
      </c>
      <c r="H2096" s="48" t="n">
        <v>0</v>
      </c>
      <c r="I2096" s="48" t="n">
        <v>0</v>
      </c>
      <c r="J2096" s="48" t="n">
        <v>0</v>
      </c>
      <c r="K2096" s="49" t="n">
        <v>0</v>
      </c>
      <c r="L2096" s="49" t="n">
        <v>0</v>
      </c>
      <c r="M2096" s="49" t="n">
        <v>0</v>
      </c>
      <c r="N2096" s="49" t="n">
        <v>0</v>
      </c>
      <c r="O2096" s="49" t="n">
        <v>0</v>
      </c>
      <c r="P2096" s="49" t="n">
        <v>0</v>
      </c>
      <c r="Q2096" s="49" t="n">
        <v>0</v>
      </c>
      <c r="R2096" s="49" t="n">
        <v>0</v>
      </c>
      <c r="S2096" s="50" t="n">
        <v>0</v>
      </c>
      <c r="T2096" s="50" t="n">
        <v>0</v>
      </c>
      <c r="U2096" s="50" t="n">
        <v>0</v>
      </c>
      <c r="V2096" s="50" t="n">
        <v>0</v>
      </c>
      <c r="W2096" s="51" t="n">
        <v>0</v>
      </c>
      <c r="X2096" s="51" t="n">
        <v>0</v>
      </c>
      <c r="Y2096" s="51" t="n">
        <v>0</v>
      </c>
      <c r="Z2096" s="51" t="n">
        <v>0</v>
      </c>
      <c r="AA2096" s="52" t="n">
        <v>0</v>
      </c>
      <c r="AB2096" s="52" t="n">
        <v>0</v>
      </c>
      <c r="AC2096" s="52" t="n">
        <v>0</v>
      </c>
      <c r="AD2096" s="52" t="n">
        <v>0</v>
      </c>
      <c r="AE2096" s="52" t="n">
        <v>0</v>
      </c>
      <c r="AF2096" s="52" t="n">
        <v>0</v>
      </c>
      <c r="AG2096" s="52" t="n">
        <v>0</v>
      </c>
      <c r="AH2096" s="52" t="n">
        <v>0</v>
      </c>
      <c r="AI2096" s="52" t="n">
        <v>0</v>
      </c>
      <c r="AJ2096" s="52" t="n">
        <v>0</v>
      </c>
      <c r="AK2096" s="52" t="n">
        <v>0</v>
      </c>
      <c r="AL2096" s="52" t="n">
        <v>0</v>
      </c>
      <c r="AM2096" s="53" t="n">
        <v>0</v>
      </c>
      <c r="AN2096" s="53" t="n">
        <v>0</v>
      </c>
      <c r="AO2096" s="53" t="n">
        <v>0</v>
      </c>
      <c r="AP2096" s="53" t="n">
        <v>0</v>
      </c>
      <c r="AQ2096" s="52" t="n">
        <v>0</v>
      </c>
      <c r="AR2096" s="52" t="n">
        <v>0</v>
      </c>
      <c r="AS2096" s="52" t="n">
        <v>0</v>
      </c>
      <c r="AT2096" s="52" t="n">
        <v>0</v>
      </c>
      <c r="AU2096" s="53" t="n">
        <v>0</v>
      </c>
      <c r="AV2096" s="53" t="n">
        <v>0</v>
      </c>
      <c r="AW2096" s="53" t="n">
        <v>0</v>
      </c>
      <c r="AX2096" s="53" t="n">
        <v>0</v>
      </c>
      <c r="AY2096" s="52" t="n">
        <v>0</v>
      </c>
      <c r="AZ2096" s="52" t="n">
        <v>0</v>
      </c>
      <c r="BA2096" s="52" t="n">
        <v>0</v>
      </c>
      <c r="BB2096" s="52" t="n">
        <v>0</v>
      </c>
      <c r="BC2096" s="51" t="n">
        <v>0</v>
      </c>
      <c r="BD2096" s="51" t="n">
        <v>0</v>
      </c>
      <c r="BE2096" s="51" t="n">
        <v>0</v>
      </c>
      <c r="BF2096" s="51" t="n">
        <v>0</v>
      </c>
    </row>
    <row r="2097">
      <c r="A2097">
        <f>HYPERLINK("https://www.walmart.com/ip/334797693", "334797693")</f>
        <v/>
      </c>
      <c r="B2097" t="inlineStr">
        <is>
          <t>Flyingstar Wearable Blanket with Sleeves and Pocket, Fleece Micro Plush Throws Blanket, Robe for Women and Men 73” x 51” Pink</t>
        </is>
      </c>
      <c r="C2097" t="inlineStr">
        <is>
          <t>1WMSN100PK</t>
        </is>
      </c>
      <c r="D2097" t="inlineStr">
        <is>
          <t>Throws</t>
        </is>
      </c>
      <c r="E2097" t="inlineStr">
        <is>
          <t>Flyingstar</t>
        </is>
      </c>
      <c r="F2097" t="inlineStr">
        <is>
          <t>Batch 1 - TR</t>
        </is>
      </c>
      <c r="G2097" s="48" t="n">
        <v>0</v>
      </c>
      <c r="H2097" s="48" t="n">
        <v>0</v>
      </c>
      <c r="I2097" s="48" t="n">
        <v>0</v>
      </c>
      <c r="J2097" s="48" t="n">
        <v>0</v>
      </c>
      <c r="K2097" s="49" t="n">
        <v>0</v>
      </c>
      <c r="L2097" s="49" t="n">
        <v>0</v>
      </c>
      <c r="M2097" s="49" t="n">
        <v>0</v>
      </c>
      <c r="N2097" s="49" t="n">
        <v>0</v>
      </c>
      <c r="O2097" s="49" t="n">
        <v>0</v>
      </c>
      <c r="P2097" s="49" t="n">
        <v>0</v>
      </c>
      <c r="Q2097" s="49" t="n">
        <v>0</v>
      </c>
      <c r="R2097" s="49" t="n">
        <v>0</v>
      </c>
      <c r="S2097" s="50" t="n">
        <v>0</v>
      </c>
      <c r="T2097" s="50" t="n">
        <v>0</v>
      </c>
      <c r="U2097" s="50" t="n">
        <v>0</v>
      </c>
      <c r="V2097" s="50" t="n">
        <v>0</v>
      </c>
      <c r="W2097" s="51" t="n">
        <v>0</v>
      </c>
      <c r="X2097" s="51" t="n">
        <v>0</v>
      </c>
      <c r="Y2097" s="51" t="n">
        <v>0</v>
      </c>
      <c r="Z2097" s="51" t="n">
        <v>0</v>
      </c>
      <c r="AA2097" s="52" t="n">
        <v>0</v>
      </c>
      <c r="AB2097" s="52" t="n">
        <v>0</v>
      </c>
      <c r="AC2097" s="52" t="n">
        <v>0</v>
      </c>
      <c r="AD2097" s="52" t="n">
        <v>0</v>
      </c>
      <c r="AE2097" s="52" t="n">
        <v>0</v>
      </c>
      <c r="AF2097" s="52" t="n">
        <v>0</v>
      </c>
      <c r="AG2097" s="52" t="n">
        <v>0</v>
      </c>
      <c r="AH2097" s="52" t="n">
        <v>0</v>
      </c>
      <c r="AI2097" s="52" t="n">
        <v>0</v>
      </c>
      <c r="AJ2097" s="52" t="n">
        <v>0</v>
      </c>
      <c r="AK2097" s="52" t="n">
        <v>0</v>
      </c>
      <c r="AL2097" s="52" t="n">
        <v>0</v>
      </c>
      <c r="AM2097" s="53" t="n">
        <v>0</v>
      </c>
      <c r="AN2097" s="53" t="n">
        <v>0</v>
      </c>
      <c r="AO2097" s="53" t="n">
        <v>0</v>
      </c>
      <c r="AP2097" s="53" t="n">
        <v>0</v>
      </c>
      <c r="AQ2097" s="52" t="n">
        <v>0</v>
      </c>
      <c r="AR2097" s="52" t="n">
        <v>0</v>
      </c>
      <c r="AS2097" s="52" t="n">
        <v>0</v>
      </c>
      <c r="AT2097" s="52" t="n">
        <v>0</v>
      </c>
      <c r="AU2097" s="53" t="n">
        <v>0</v>
      </c>
      <c r="AV2097" s="53" t="n">
        <v>0</v>
      </c>
      <c r="AW2097" s="53" t="n">
        <v>0</v>
      </c>
      <c r="AX2097" s="53" t="n">
        <v>0</v>
      </c>
      <c r="AY2097" s="52" t="n">
        <v>0</v>
      </c>
      <c r="AZ2097" s="52" t="n">
        <v>0</v>
      </c>
      <c r="BA2097" s="52" t="n">
        <v>0</v>
      </c>
      <c r="BB2097" s="52" t="n">
        <v>0</v>
      </c>
      <c r="BC2097" s="51" t="n">
        <v>0</v>
      </c>
      <c r="BD2097" s="51" t="n">
        <v>0</v>
      </c>
      <c r="BE2097" s="51" t="n">
        <v>0</v>
      </c>
      <c r="BF2097" s="51" t="n">
        <v>0</v>
      </c>
    </row>
    <row r="2098">
      <c r="A2098">
        <f>HYPERLINK("https://www.walmart.com/ip/3348429071", "3348429071")</f>
        <v/>
      </c>
      <c r="B2098" t="inlineStr">
        <is>
          <t>Kato Outdoors Waterproof Throw Blanket, Sherpa Fleece Stadium Windproof Mat For Traveling, Camping, Hiking, Football - Machine Washable, Orange/Grey, 51"x 59".</t>
        </is>
      </c>
      <c r="C2098" t="inlineStr">
        <is>
          <t>1KTBW506ORGY</t>
        </is>
      </c>
      <c r="D2098" t="inlineStr">
        <is>
          <t>Throws</t>
        </is>
      </c>
      <c r="E2098" t="inlineStr">
        <is>
          <t>Kato</t>
        </is>
      </c>
      <c r="F2098" t="inlineStr">
        <is>
          <t>Q2-Target</t>
        </is>
      </c>
      <c r="G2098" s="48" t="n">
        <v>0</v>
      </c>
      <c r="H2098" s="48" t="n">
        <v>0</v>
      </c>
      <c r="I2098" s="48" t="n">
        <v>0</v>
      </c>
      <c r="J2098" s="48" t="n">
        <v>0</v>
      </c>
      <c r="K2098" s="49" t="n">
        <v>0</v>
      </c>
      <c r="L2098" s="49" t="n">
        <v>0</v>
      </c>
      <c r="M2098" s="49" t="n">
        <v>0</v>
      </c>
      <c r="N2098" s="49" t="n">
        <v>0</v>
      </c>
      <c r="O2098" s="49" t="n">
        <v>0</v>
      </c>
      <c r="P2098" s="49" t="n">
        <v>1</v>
      </c>
      <c r="Q2098" s="49" t="n">
        <v>0</v>
      </c>
      <c r="R2098" s="49" t="n">
        <v>0</v>
      </c>
      <c r="S2098" s="50" t="n">
        <v>0</v>
      </c>
      <c r="T2098" s="50" t="n">
        <v>0</v>
      </c>
      <c r="U2098" s="50" t="n">
        <v>0</v>
      </c>
      <c r="V2098" s="50" t="n">
        <v>0</v>
      </c>
      <c r="W2098" s="51" t="n">
        <v>0</v>
      </c>
      <c r="X2098" s="51" t="n">
        <v>0</v>
      </c>
      <c r="Y2098" s="51" t="n">
        <v>0</v>
      </c>
      <c r="Z2098" s="51" t="n">
        <v>0</v>
      </c>
      <c r="AA2098" s="52" t="n">
        <v>0</v>
      </c>
      <c r="AB2098" s="52" t="n">
        <v>0</v>
      </c>
      <c r="AC2098" s="52" t="n">
        <v>0</v>
      </c>
      <c r="AD2098" s="52" t="n">
        <v>0</v>
      </c>
      <c r="AE2098" s="52" t="n">
        <v>0</v>
      </c>
      <c r="AF2098" s="52" t="n">
        <v>0</v>
      </c>
      <c r="AG2098" s="52" t="n">
        <v>0</v>
      </c>
      <c r="AH2098" s="52" t="n">
        <v>0</v>
      </c>
      <c r="AI2098" s="52" t="n">
        <v>0</v>
      </c>
      <c r="AJ2098" s="52" t="n">
        <v>0</v>
      </c>
      <c r="AK2098" s="52" t="n">
        <v>0</v>
      </c>
      <c r="AL2098" s="52" t="n">
        <v>0</v>
      </c>
      <c r="AM2098" s="53" t="n">
        <v>0</v>
      </c>
      <c r="AN2098" s="53" t="n">
        <v>0</v>
      </c>
      <c r="AO2098" s="53" t="n">
        <v>0</v>
      </c>
      <c r="AP2098" s="53" t="n">
        <v>0</v>
      </c>
      <c r="AQ2098" s="52" t="n">
        <v>0</v>
      </c>
      <c r="AR2098" s="52" t="n">
        <v>0</v>
      </c>
      <c r="AS2098" s="52" t="n">
        <v>0</v>
      </c>
      <c r="AT2098" s="52" t="n">
        <v>0</v>
      </c>
      <c r="AU2098" s="53" t="n">
        <v>0</v>
      </c>
      <c r="AV2098" s="53" t="n">
        <v>0</v>
      </c>
      <c r="AW2098" s="53" t="n">
        <v>0</v>
      </c>
      <c r="AX2098" s="53" t="n">
        <v>0</v>
      </c>
      <c r="AY2098" s="52" t="n">
        <v>0</v>
      </c>
      <c r="AZ2098" s="52" t="n">
        <v>0</v>
      </c>
      <c r="BA2098" s="52" t="n">
        <v>0</v>
      </c>
      <c r="BB2098" s="52" t="n">
        <v>0</v>
      </c>
      <c r="BC2098" s="51" t="n">
        <v>0</v>
      </c>
      <c r="BD2098" s="51" t="n">
        <v>0</v>
      </c>
      <c r="BE2098" s="51" t="n">
        <v>0</v>
      </c>
      <c r="BF2098" s="51" t="n">
        <v>0</v>
      </c>
    </row>
    <row r="2099">
      <c r="A2099">
        <f>HYPERLINK("https://www.walmart.com/ip/334947943", "334947943")</f>
        <v/>
      </c>
      <c r="B2099" t="inlineStr">
        <is>
          <t>Pawsse Sherpa Fleece Blanket, Reversible Plush Blanket, Warm Flannel Plush Cat and Dog Blanket, Latte/Latte Sherpa Lining, 45'' x 30''</t>
        </is>
      </c>
      <c r="C2099" t="inlineStr">
        <is>
          <t>1TRBF345LTLT</t>
        </is>
      </c>
      <c r="D2099" t="inlineStr">
        <is>
          <t>Pet Blankets</t>
        </is>
      </c>
      <c r="E2099" t="inlineStr">
        <is>
          <t>Pawsse</t>
        </is>
      </c>
      <c r="F2099" t="inlineStr">
        <is>
          <t>Batch 1 - TR</t>
        </is>
      </c>
      <c r="G2099" s="48" t="n">
        <v>0</v>
      </c>
      <c r="H2099" s="48" t="n">
        <v>0</v>
      </c>
      <c r="I2099" s="48" t="n">
        <v>0</v>
      </c>
      <c r="J2099" s="48" t="n">
        <v>0</v>
      </c>
      <c r="K2099" s="49" t="n">
        <v>0</v>
      </c>
      <c r="L2099" s="49" t="n">
        <v>0</v>
      </c>
      <c r="M2099" s="49" t="n">
        <v>0</v>
      </c>
      <c r="N2099" s="49" t="n">
        <v>0</v>
      </c>
      <c r="O2099" s="49" t="n">
        <v>0</v>
      </c>
      <c r="P2099" s="49" t="n">
        <v>0</v>
      </c>
      <c r="Q2099" s="49" t="n">
        <v>0</v>
      </c>
      <c r="R2099" s="49" t="n">
        <v>0</v>
      </c>
      <c r="S2099" s="50" t="n">
        <v>0</v>
      </c>
      <c r="T2099" s="50" t="n">
        <v>0</v>
      </c>
      <c r="U2099" s="50" t="n">
        <v>0</v>
      </c>
      <c r="V2099" s="50" t="n">
        <v>0</v>
      </c>
      <c r="W2099" s="51" t="n">
        <v>0</v>
      </c>
      <c r="X2099" s="51" t="n">
        <v>0</v>
      </c>
      <c r="Y2099" s="51" t="n">
        <v>0</v>
      </c>
      <c r="Z2099" s="51" t="n">
        <v>0</v>
      </c>
      <c r="AA2099" s="52" t="n">
        <v>0</v>
      </c>
      <c r="AB2099" s="52" t="n">
        <v>0</v>
      </c>
      <c r="AC2099" s="52" t="n">
        <v>0</v>
      </c>
      <c r="AD2099" s="52" t="n">
        <v>0</v>
      </c>
      <c r="AE2099" s="52" t="n">
        <v>0</v>
      </c>
      <c r="AF2099" s="52" t="n">
        <v>0</v>
      </c>
      <c r="AG2099" s="52" t="n">
        <v>0</v>
      </c>
      <c r="AH2099" s="52" t="n">
        <v>0</v>
      </c>
      <c r="AI2099" s="52" t="n">
        <v>0</v>
      </c>
      <c r="AJ2099" s="52" t="n">
        <v>0</v>
      </c>
      <c r="AK2099" s="52" t="n">
        <v>0</v>
      </c>
      <c r="AL2099" s="52" t="n">
        <v>0</v>
      </c>
      <c r="AM2099" s="53" t="n">
        <v>0</v>
      </c>
      <c r="AN2099" s="53" t="n">
        <v>0</v>
      </c>
      <c r="AO2099" s="53" t="n">
        <v>0</v>
      </c>
      <c r="AP2099" s="53" t="n">
        <v>0</v>
      </c>
      <c r="AQ2099" s="52" t="n">
        <v>0</v>
      </c>
      <c r="AR2099" s="52" t="n">
        <v>0</v>
      </c>
      <c r="AS2099" s="52" t="n">
        <v>0</v>
      </c>
      <c r="AT2099" s="52" t="n">
        <v>0</v>
      </c>
      <c r="AU2099" s="53" t="n">
        <v>0</v>
      </c>
      <c r="AV2099" s="53" t="n">
        <v>0</v>
      </c>
      <c r="AW2099" s="53" t="n">
        <v>0</v>
      </c>
      <c r="AX2099" s="53" t="n">
        <v>0</v>
      </c>
      <c r="AY2099" s="52" t="n">
        <v>0</v>
      </c>
      <c r="AZ2099" s="52" t="n">
        <v>0</v>
      </c>
      <c r="BA2099" s="52" t="n">
        <v>0</v>
      </c>
      <c r="BB2099" s="52" t="n">
        <v>0</v>
      </c>
      <c r="BC2099" s="51" t="n">
        <v>0</v>
      </c>
      <c r="BD2099" s="51" t="n">
        <v>0</v>
      </c>
      <c r="BE2099" s="51" t="n">
        <v>0</v>
      </c>
      <c r="BF2099" s="51" t="n">
        <v>0</v>
      </c>
    </row>
    <row r="2100">
      <c r="A2100">
        <f>HYPERLINK("https://www.walmart.com/ip/348247263", "348247263")</f>
        <v/>
      </c>
      <c r="B2100" t="inlineStr">
        <is>
          <t>Buffalo Plaid Sherpa Throw TV Blanket 50" x 60" Super Soft Reversible Fleece Blanket for Cabin Bed or Couch | Catalonia series by Terrania Green Plaid</t>
        </is>
      </c>
      <c r="C2100" t="inlineStr">
        <is>
          <t>1TRBF300PGN-TBCB</t>
        </is>
      </c>
      <c r="D2100" t="inlineStr">
        <is>
          <t>Throws</t>
        </is>
      </c>
      <c r="E2100" t="inlineStr">
        <is>
          <t>Tirrinia</t>
        </is>
      </c>
      <c r="F2100" t="inlineStr">
        <is>
          <t>Q2-Target,WFS,Coupon_Discount,WFS Item,Fleece Blankets,ST Patrick Day</t>
        </is>
      </c>
      <c r="G2100" s="48" t="n">
        <v>0</v>
      </c>
      <c r="H2100" s="48" t="n">
        <v>0</v>
      </c>
      <c r="I2100" s="48" t="n">
        <v>0</v>
      </c>
      <c r="J2100" s="48" t="n">
        <v>0</v>
      </c>
      <c r="K2100" s="49" t="n">
        <v>0</v>
      </c>
      <c r="L2100" s="49" t="n">
        <v>0</v>
      </c>
      <c r="M2100" s="49" t="n">
        <v>0</v>
      </c>
      <c r="N2100" s="49" t="n">
        <v>0</v>
      </c>
      <c r="O2100" s="49" t="n">
        <v>0</v>
      </c>
      <c r="P2100" s="49" t="n">
        <v>0</v>
      </c>
      <c r="Q2100" s="49" t="n">
        <v>0</v>
      </c>
      <c r="R2100" s="49" t="n">
        <v>0</v>
      </c>
      <c r="S2100" s="50" t="n">
        <v>0</v>
      </c>
      <c r="T2100" s="50" t="n">
        <v>0</v>
      </c>
      <c r="U2100" s="50" t="n">
        <v>0</v>
      </c>
      <c r="V2100" s="50" t="n">
        <v>0</v>
      </c>
      <c r="W2100" s="51" t="n">
        <v>0</v>
      </c>
      <c r="X2100" s="51" t="n">
        <v>0</v>
      </c>
      <c r="Y2100" s="51" t="n">
        <v>0</v>
      </c>
      <c r="Z2100" s="51" t="n">
        <v>0</v>
      </c>
      <c r="AA2100" s="52" t="n">
        <v>0</v>
      </c>
      <c r="AB2100" s="52" t="n">
        <v>0</v>
      </c>
      <c r="AC2100" s="52" t="n">
        <v>0</v>
      </c>
      <c r="AD2100" s="52" t="n">
        <v>0</v>
      </c>
      <c r="AE2100" s="52" t="n">
        <v>0</v>
      </c>
      <c r="AF2100" s="52" t="n">
        <v>0</v>
      </c>
      <c r="AG2100" s="52" t="n">
        <v>0</v>
      </c>
      <c r="AH2100" s="52" t="n">
        <v>0</v>
      </c>
      <c r="AI2100" s="52" t="n">
        <v>0</v>
      </c>
      <c r="AJ2100" s="52" t="n">
        <v>0</v>
      </c>
      <c r="AK2100" s="52" t="n">
        <v>0</v>
      </c>
      <c r="AL2100" s="52" t="n">
        <v>0</v>
      </c>
      <c r="AM2100" s="53" t="n">
        <v>0</v>
      </c>
      <c r="AN2100" s="53" t="n">
        <v>0</v>
      </c>
      <c r="AO2100" s="53" t="n">
        <v>0</v>
      </c>
      <c r="AP2100" s="53" t="n">
        <v>0</v>
      </c>
      <c r="AQ2100" s="52" t="n">
        <v>0</v>
      </c>
      <c r="AR2100" s="52" t="n">
        <v>0</v>
      </c>
      <c r="AS2100" s="52" t="n">
        <v>0</v>
      </c>
      <c r="AT2100" s="52" t="n">
        <v>0</v>
      </c>
      <c r="AU2100" s="53" t="n">
        <v>0</v>
      </c>
      <c r="AV2100" s="53" t="n">
        <v>0</v>
      </c>
      <c r="AW2100" s="53" t="n">
        <v>0</v>
      </c>
      <c r="AX2100" s="53" t="n">
        <v>0</v>
      </c>
      <c r="AY2100" s="52" t="n">
        <v>0</v>
      </c>
      <c r="AZ2100" s="52" t="n">
        <v>0</v>
      </c>
      <c r="BA2100" s="52" t="n">
        <v>0</v>
      </c>
      <c r="BB2100" s="52" t="n">
        <v>0</v>
      </c>
      <c r="BC2100" s="51" t="n">
        <v>0</v>
      </c>
      <c r="BD2100" s="51" t="n">
        <v>0</v>
      </c>
      <c r="BE2100" s="51" t="n">
        <v>0</v>
      </c>
      <c r="BF2100" s="51" t="n">
        <v>0</v>
      </c>
    </row>
    <row r="2101">
      <c r="A2101">
        <f>HYPERLINK("https://www.walmart.com/ip/100213325", "100213325")</f>
        <v/>
      </c>
      <c r="B2101" t="inlineStr">
        <is>
          <t>JenniWears® Women's Sexy Lingeri Darque Babydoll And G-string</t>
        </is>
      </c>
      <c r="C2101" t="inlineStr">
        <is>
          <t>JWBD07BK-M</t>
        </is>
      </c>
      <c r="D2101" t="inlineStr">
        <is>
          <t>Lingerie Sets</t>
        </is>
      </c>
      <c r="E2101" t="inlineStr">
        <is>
          <t>JenniWears</t>
        </is>
      </c>
      <c r="F2101" t="inlineStr">
        <is>
          <t>Optimized,Valentine</t>
        </is>
      </c>
      <c r="G2101" s="48" t="n">
        <v>0</v>
      </c>
      <c r="H2101" s="48" t="n">
        <v>0</v>
      </c>
      <c r="I2101" s="48" t="n">
        <v>0</v>
      </c>
      <c r="J2101" s="48" t="n">
        <v>0</v>
      </c>
      <c r="K2101" s="49" t="n">
        <v>0</v>
      </c>
      <c r="L2101" s="49" t="n">
        <v>0</v>
      </c>
      <c r="M2101" s="49" t="n">
        <v>0</v>
      </c>
      <c r="N2101" s="49" t="n">
        <v>0</v>
      </c>
      <c r="O2101" s="49" t="n">
        <v>0</v>
      </c>
      <c r="P2101" s="49" t="n">
        <v>0</v>
      </c>
      <c r="Q2101" s="49" t="n">
        <v>0</v>
      </c>
      <c r="R2101" s="49" t="n">
        <v>0</v>
      </c>
      <c r="S2101" s="50" t="n">
        <v>0</v>
      </c>
      <c r="T2101" s="50" t="n">
        <v>0</v>
      </c>
      <c r="U2101" s="50" t="n">
        <v>0</v>
      </c>
      <c r="V2101" s="50" t="n">
        <v>0</v>
      </c>
      <c r="W2101" s="51" t="n">
        <v>0</v>
      </c>
      <c r="X2101" s="51" t="n">
        <v>0</v>
      </c>
      <c r="Y2101" s="51" t="n">
        <v>0</v>
      </c>
      <c r="Z2101" s="51" t="n">
        <v>0</v>
      </c>
      <c r="AA2101" s="52" t="n">
        <v>0</v>
      </c>
      <c r="AB2101" s="52" t="n">
        <v>0</v>
      </c>
      <c r="AC2101" s="52" t="n">
        <v>0</v>
      </c>
      <c r="AD2101" s="52" t="n">
        <v>0</v>
      </c>
      <c r="AE2101" s="52" t="n">
        <v>0</v>
      </c>
      <c r="AF2101" s="52" t="n">
        <v>0</v>
      </c>
      <c r="AG2101" s="52" t="n">
        <v>0</v>
      </c>
      <c r="AH2101" s="52" t="n">
        <v>0</v>
      </c>
      <c r="AI2101" s="52" t="n">
        <v>0</v>
      </c>
      <c r="AJ2101" s="52" t="n">
        <v>0</v>
      </c>
      <c r="AK2101" s="52" t="n">
        <v>0</v>
      </c>
      <c r="AL2101" s="52" t="n">
        <v>0</v>
      </c>
      <c r="AM2101" s="53" t="n">
        <v>0</v>
      </c>
      <c r="AN2101" s="53" t="n">
        <v>0</v>
      </c>
      <c r="AO2101" s="53" t="n">
        <v>0</v>
      </c>
      <c r="AP2101" s="53" t="n">
        <v>0</v>
      </c>
      <c r="AQ2101" s="52" t="n">
        <v>0</v>
      </c>
      <c r="AR2101" s="52" t="n">
        <v>0</v>
      </c>
      <c r="AS2101" s="52" t="n">
        <v>0</v>
      </c>
      <c r="AT2101" s="52" t="n">
        <v>0</v>
      </c>
      <c r="AU2101" s="53" t="n">
        <v>0</v>
      </c>
      <c r="AV2101" s="53" t="n">
        <v>0</v>
      </c>
      <c r="AW2101" s="53" t="n">
        <v>0</v>
      </c>
      <c r="AX2101" s="53" t="n">
        <v>0</v>
      </c>
      <c r="AY2101" s="52" t="n">
        <v>0</v>
      </c>
      <c r="AZ2101" s="52" t="n">
        <v>0</v>
      </c>
      <c r="BA2101" s="52" t="n">
        <v>0</v>
      </c>
      <c r="BB2101" s="52" t="n">
        <v>0</v>
      </c>
      <c r="BC2101" s="51" t="n">
        <v>0</v>
      </c>
      <c r="BD2101" s="51" t="n">
        <v>0</v>
      </c>
      <c r="BE2101" s="51" t="n">
        <v>0</v>
      </c>
      <c r="BF2101" s="51" t="n">
        <v>0</v>
      </c>
    </row>
    <row r="2102">
      <c r="A2102">
        <f>HYPERLINK("https://www.walmart.com/ip/293318667", "293318667")</f>
        <v/>
      </c>
      <c r="B2102" t="inlineStr">
        <is>
          <t>Tirrinia Women Floppy Straw Sun Hat Foldable Wide Brim Striped Beach Cap for Female, Great Gifts for Mother's Day, Navy</t>
        </is>
      </c>
      <c r="C2102" t="inlineStr">
        <is>
          <t>1TRSH371NV-TBCB</t>
        </is>
      </c>
      <c r="D2102" t="inlineStr">
        <is>
          <t>Hats</t>
        </is>
      </c>
      <c r="E2102" t="inlineStr">
        <is>
          <t>Tirrinia</t>
        </is>
      </c>
      <c r="F2102" t="inlineStr">
        <is>
          <t>Hats,Batch 1 - TR</t>
        </is>
      </c>
      <c r="G2102" s="48" t="n">
        <v>0</v>
      </c>
      <c r="H2102" s="48" t="n">
        <v>0</v>
      </c>
      <c r="I2102" s="48" t="n">
        <v>0</v>
      </c>
      <c r="J2102" s="48" t="n">
        <v>0</v>
      </c>
      <c r="K2102" s="49" t="n">
        <v>0</v>
      </c>
      <c r="L2102" s="49" t="n">
        <v>0</v>
      </c>
      <c r="M2102" s="49" t="n">
        <v>0</v>
      </c>
      <c r="N2102" s="49" t="n">
        <v>0</v>
      </c>
      <c r="O2102" s="49" t="n">
        <v>0</v>
      </c>
      <c r="P2102" s="49" t="n">
        <v>0</v>
      </c>
      <c r="Q2102" s="49" t="n">
        <v>0</v>
      </c>
      <c r="R2102" s="49" t="n">
        <v>0</v>
      </c>
      <c r="S2102" s="50" t="n">
        <v>0</v>
      </c>
      <c r="T2102" s="50" t="n">
        <v>0</v>
      </c>
      <c r="U2102" s="50" t="n">
        <v>0</v>
      </c>
      <c r="V2102" s="50" t="n">
        <v>0</v>
      </c>
      <c r="W2102" s="51" t="n">
        <v>0</v>
      </c>
      <c r="X2102" s="51" t="n">
        <v>0</v>
      </c>
      <c r="Y2102" s="51" t="n">
        <v>0</v>
      </c>
      <c r="Z2102" s="51" t="n">
        <v>0</v>
      </c>
      <c r="AA2102" s="52" t="n">
        <v>0</v>
      </c>
      <c r="AB2102" s="52" t="n">
        <v>0</v>
      </c>
      <c r="AC2102" s="52" t="n">
        <v>0</v>
      </c>
      <c r="AD2102" s="52" t="n">
        <v>0</v>
      </c>
      <c r="AE2102" s="52" t="n">
        <v>0</v>
      </c>
      <c r="AF2102" s="52" t="n">
        <v>0</v>
      </c>
      <c r="AG2102" s="52" t="n">
        <v>0</v>
      </c>
      <c r="AH2102" s="52" t="n">
        <v>0</v>
      </c>
      <c r="AI2102" s="52" t="n">
        <v>0</v>
      </c>
      <c r="AJ2102" s="52" t="n">
        <v>0</v>
      </c>
      <c r="AK2102" s="52" t="n">
        <v>0</v>
      </c>
      <c r="AL2102" s="52" t="n">
        <v>0</v>
      </c>
      <c r="AM2102" s="53" t="n">
        <v>0</v>
      </c>
      <c r="AN2102" s="53" t="n">
        <v>0</v>
      </c>
      <c r="AO2102" s="53" t="n">
        <v>0</v>
      </c>
      <c r="AP2102" s="53" t="n">
        <v>0</v>
      </c>
      <c r="AQ2102" s="52" t="n">
        <v>0</v>
      </c>
      <c r="AR2102" s="52" t="n">
        <v>0</v>
      </c>
      <c r="AS2102" s="52" t="n">
        <v>0</v>
      </c>
      <c r="AT2102" s="52" t="n">
        <v>0</v>
      </c>
      <c r="AU2102" s="53" t="n">
        <v>0</v>
      </c>
      <c r="AV2102" s="53" t="n">
        <v>0</v>
      </c>
      <c r="AW2102" s="53" t="n">
        <v>0</v>
      </c>
      <c r="AX2102" s="53" t="n">
        <v>0</v>
      </c>
      <c r="AY2102" s="52" t="n">
        <v>0</v>
      </c>
      <c r="AZ2102" s="52" t="n">
        <v>0</v>
      </c>
      <c r="BA2102" s="52" t="n">
        <v>0</v>
      </c>
      <c r="BB2102" s="52" t="n">
        <v>0</v>
      </c>
      <c r="BC2102" s="51" t="n">
        <v>0</v>
      </c>
      <c r="BD2102" s="51" t="n">
        <v>0</v>
      </c>
      <c r="BE2102" s="51" t="n">
        <v>0</v>
      </c>
      <c r="BF2102" s="51" t="n">
        <v>0</v>
      </c>
    </row>
    <row r="2103">
      <c r="A2103">
        <f>HYPERLINK("https://www.walmart.com/ip/3610065764", "3610065764")</f>
        <v/>
      </c>
      <c r="B2103" t="inlineStr">
        <is>
          <t>Tirrinia Lunch Bags for Women Men, Cute Insulated Lunch Tote Bag for Girls, Fashionable Lunch Box for Adult Kids, Reusable Large Cooler Lunch Bag for School, Work, Office, Picnic | Pink Watermelon</t>
        </is>
      </c>
      <c r="C2103" t="inlineStr">
        <is>
          <t>1WMLB707PKMEL</t>
        </is>
      </c>
      <c r="D2103" t="inlineStr">
        <is>
          <t>Reusable Lunch Bags &amp; Boxes</t>
        </is>
      </c>
      <c r="E2103" t="inlineStr">
        <is>
          <t>Tirrinia</t>
        </is>
      </c>
      <c r="F2103" t="inlineStr">
        <is>
          <t>Brand Camp VD</t>
        </is>
      </c>
      <c r="G2103" s="48" t="n">
        <v>0</v>
      </c>
      <c r="H2103" s="48" t="n">
        <v>0</v>
      </c>
      <c r="I2103" s="48" t="n">
        <v>0</v>
      </c>
      <c r="J2103" s="48" t="n">
        <v>0</v>
      </c>
      <c r="K2103" s="49" t="n">
        <v>0</v>
      </c>
      <c r="L2103" s="49" t="n">
        <v>0</v>
      </c>
      <c r="M2103" s="49" t="n">
        <v>0</v>
      </c>
      <c r="N2103" s="49" t="n">
        <v>0</v>
      </c>
      <c r="O2103" s="49" t="n">
        <v>5</v>
      </c>
      <c r="P2103" s="49" t="n">
        <v>1</v>
      </c>
      <c r="Q2103" s="49" t="n">
        <v>4</v>
      </c>
      <c r="R2103" s="49" t="n">
        <v>2</v>
      </c>
      <c r="S2103" s="50" t="n">
        <v>0</v>
      </c>
      <c r="T2103" s="50" t="n">
        <v>0</v>
      </c>
      <c r="U2103" s="50" t="n">
        <v>0</v>
      </c>
      <c r="V2103" s="50" t="n">
        <v>0</v>
      </c>
      <c r="W2103" s="51" t="n">
        <v>0</v>
      </c>
      <c r="X2103" s="51" t="n">
        <v>0</v>
      </c>
      <c r="Y2103" s="51" t="n">
        <v>0</v>
      </c>
      <c r="Z2103" s="51" t="n">
        <v>0</v>
      </c>
      <c r="AA2103" s="52" t="n">
        <v>0</v>
      </c>
      <c r="AB2103" s="52" t="n">
        <v>0</v>
      </c>
      <c r="AC2103" s="52" t="n">
        <v>0</v>
      </c>
      <c r="AD2103" s="52" t="n">
        <v>0</v>
      </c>
      <c r="AE2103" s="52" t="n">
        <v>0</v>
      </c>
      <c r="AF2103" s="52" t="n">
        <v>0</v>
      </c>
      <c r="AG2103" s="52" t="n">
        <v>0</v>
      </c>
      <c r="AH2103" s="52" t="n">
        <v>0</v>
      </c>
      <c r="AI2103" s="52" t="n">
        <v>0</v>
      </c>
      <c r="AJ2103" s="52" t="n">
        <v>0</v>
      </c>
      <c r="AK2103" s="52" t="n">
        <v>0</v>
      </c>
      <c r="AL2103" s="52" t="n">
        <v>0</v>
      </c>
      <c r="AM2103" s="53" t="n">
        <v>0</v>
      </c>
      <c r="AN2103" s="53" t="n">
        <v>0</v>
      </c>
      <c r="AO2103" s="53" t="n">
        <v>0</v>
      </c>
      <c r="AP2103" s="53" t="n">
        <v>0</v>
      </c>
      <c r="AQ2103" s="52" t="n">
        <v>0</v>
      </c>
      <c r="AR2103" s="52" t="n">
        <v>0</v>
      </c>
      <c r="AS2103" s="52" t="n">
        <v>0</v>
      </c>
      <c r="AT2103" s="52" t="n">
        <v>0</v>
      </c>
      <c r="AU2103" s="53" t="n">
        <v>0</v>
      </c>
      <c r="AV2103" s="53" t="n">
        <v>0</v>
      </c>
      <c r="AW2103" s="53" t="n">
        <v>0</v>
      </c>
      <c r="AX2103" s="53" t="n">
        <v>0</v>
      </c>
      <c r="AY2103" s="52" t="n">
        <v>0</v>
      </c>
      <c r="AZ2103" s="52" t="n">
        <v>0</v>
      </c>
      <c r="BA2103" s="52" t="n">
        <v>0</v>
      </c>
      <c r="BB2103" s="52" t="n">
        <v>0</v>
      </c>
      <c r="BC2103" s="51" t="n">
        <v>0</v>
      </c>
      <c r="BD2103" s="51" t="n">
        <v>0</v>
      </c>
      <c r="BE2103" s="51" t="n">
        <v>0</v>
      </c>
      <c r="BF2103" s="51" t="n">
        <v>0</v>
      </c>
    </row>
    <row r="2104">
      <c r="A2104">
        <f>HYPERLINK("https://www.walmart.com/ip/362424578", "362424578")</f>
        <v/>
      </c>
      <c r="B2104" t="inlineStr">
        <is>
          <t>Jennis Women's Sexy Lace Nightgown Sleepwear Bathrobe 2 Piece Set ( XXXL=US 12-14 )</t>
        </is>
      </c>
      <c r="C2104" t="inlineStr">
        <is>
          <t>JWRS02BK-3XL</t>
        </is>
      </c>
      <c r="D2104" t="inlineStr">
        <is>
          <t>Nightgowns &amp; Sleepshirts</t>
        </is>
      </c>
      <c r="E2104" t="inlineStr">
        <is>
          <t>JenniWears</t>
        </is>
      </c>
      <c r="F2104" t="inlineStr">
        <is>
          <t>Optimized,Valentine,Bathrobe</t>
        </is>
      </c>
      <c r="G2104" s="48" t="n">
        <v>0</v>
      </c>
      <c r="H2104" s="48" t="n">
        <v>0</v>
      </c>
      <c r="I2104" s="48" t="n">
        <v>0</v>
      </c>
      <c r="J2104" s="48" t="n">
        <v>0</v>
      </c>
      <c r="K2104" s="49" t="n">
        <v>0</v>
      </c>
      <c r="L2104" s="49" t="n">
        <v>0</v>
      </c>
      <c r="M2104" s="49" t="n">
        <v>0</v>
      </c>
      <c r="N2104" s="49" t="n">
        <v>0</v>
      </c>
      <c r="O2104" s="49" t="n">
        <v>0</v>
      </c>
      <c r="P2104" s="49" t="n">
        <v>0</v>
      </c>
      <c r="Q2104" s="49" t="n">
        <v>0</v>
      </c>
      <c r="R2104" s="49" t="n">
        <v>0</v>
      </c>
      <c r="S2104" s="50" t="n">
        <v>0</v>
      </c>
      <c r="T2104" s="50" t="n">
        <v>0</v>
      </c>
      <c r="U2104" s="50" t="n">
        <v>0</v>
      </c>
      <c r="V2104" s="50" t="n">
        <v>0</v>
      </c>
      <c r="W2104" s="51" t="n">
        <v>0</v>
      </c>
      <c r="X2104" s="51" t="n">
        <v>0</v>
      </c>
      <c r="Y2104" s="51" t="n">
        <v>0</v>
      </c>
      <c r="Z2104" s="51" t="n">
        <v>0</v>
      </c>
      <c r="AA2104" s="52" t="n">
        <v>0</v>
      </c>
      <c r="AB2104" s="52" t="n">
        <v>0</v>
      </c>
      <c r="AC2104" s="52" t="n">
        <v>0</v>
      </c>
      <c r="AD2104" s="52" t="n">
        <v>0</v>
      </c>
      <c r="AE2104" s="52" t="n">
        <v>0</v>
      </c>
      <c r="AF2104" s="52" t="n">
        <v>0</v>
      </c>
      <c r="AG2104" s="52" t="n">
        <v>0</v>
      </c>
      <c r="AH2104" s="52" t="n">
        <v>0</v>
      </c>
      <c r="AI2104" s="52" t="n">
        <v>0</v>
      </c>
      <c r="AJ2104" s="52" t="n">
        <v>0</v>
      </c>
      <c r="AK2104" s="52" t="n">
        <v>0</v>
      </c>
      <c r="AL2104" s="52" t="n">
        <v>0</v>
      </c>
      <c r="AM2104" s="53" t="n">
        <v>0</v>
      </c>
      <c r="AN2104" s="53" t="n">
        <v>0</v>
      </c>
      <c r="AO2104" s="53" t="n">
        <v>0</v>
      </c>
      <c r="AP2104" s="53" t="n">
        <v>0</v>
      </c>
      <c r="AQ2104" s="52" t="n">
        <v>0</v>
      </c>
      <c r="AR2104" s="52" t="n">
        <v>0</v>
      </c>
      <c r="AS2104" s="52" t="n">
        <v>0</v>
      </c>
      <c r="AT2104" s="52" t="n">
        <v>0</v>
      </c>
      <c r="AU2104" s="53" t="n">
        <v>0</v>
      </c>
      <c r="AV2104" s="53" t="n">
        <v>0</v>
      </c>
      <c r="AW2104" s="53" t="n">
        <v>0</v>
      </c>
      <c r="AX2104" s="53" t="n">
        <v>0</v>
      </c>
      <c r="AY2104" s="52" t="n">
        <v>0</v>
      </c>
      <c r="AZ2104" s="52" t="n">
        <v>0</v>
      </c>
      <c r="BA2104" s="52" t="n">
        <v>0</v>
      </c>
      <c r="BB2104" s="52" t="n">
        <v>0</v>
      </c>
      <c r="BC2104" s="51" t="n">
        <v>0</v>
      </c>
      <c r="BD2104" s="51" t="n">
        <v>0</v>
      </c>
      <c r="BE2104" s="51" t="n">
        <v>0</v>
      </c>
      <c r="BF2104" s="51" t="n">
        <v>0</v>
      </c>
    </row>
    <row r="2105">
      <c r="A2105">
        <f>HYPERLINK("https://www.walmart.com/ip/362665464", "362665464")</f>
        <v/>
      </c>
      <c r="B2105" t="inlineStr">
        <is>
          <t>JenniWears Terra Running Belt with Zipper Pocket for 4.7 inch iPhone7 6 6s 5 SE, Large, Unisex, Black</t>
        </is>
      </c>
      <c r="C2105" t="inlineStr">
        <is>
          <t>TERRA-3BK-L-JW</t>
        </is>
      </c>
      <c r="D2105" t="inlineStr">
        <is>
          <t>Running Belts</t>
        </is>
      </c>
      <c r="E2105" t="inlineStr">
        <is>
          <t>Terra</t>
        </is>
      </c>
      <c r="F2105" t="inlineStr">
        <is>
          <t>Optimized</t>
        </is>
      </c>
      <c r="G2105" s="48" t="n">
        <v>0</v>
      </c>
      <c r="H2105" s="48" t="n">
        <v>0</v>
      </c>
      <c r="I2105" s="48" t="n">
        <v>0</v>
      </c>
      <c r="J2105" s="48" t="n">
        <v>0</v>
      </c>
      <c r="K2105" s="49" t="n">
        <v>0</v>
      </c>
      <c r="L2105" s="49" t="n">
        <v>0</v>
      </c>
      <c r="M2105" s="49" t="n">
        <v>0</v>
      </c>
      <c r="N2105" s="49" t="n">
        <v>0</v>
      </c>
      <c r="O2105" s="49" t="n">
        <v>0</v>
      </c>
      <c r="P2105" s="49" t="n">
        <v>0</v>
      </c>
      <c r="Q2105" s="49" t="n">
        <v>0</v>
      </c>
      <c r="R2105" s="49" t="n">
        <v>0</v>
      </c>
      <c r="S2105" s="50" t="n">
        <v>0</v>
      </c>
      <c r="T2105" s="50" t="n">
        <v>0</v>
      </c>
      <c r="U2105" s="50" t="n">
        <v>0</v>
      </c>
      <c r="V2105" s="50" t="n">
        <v>0</v>
      </c>
      <c r="W2105" s="51" t="n">
        <v>0</v>
      </c>
      <c r="X2105" s="51" t="n">
        <v>0</v>
      </c>
      <c r="Y2105" s="51" t="n">
        <v>0</v>
      </c>
      <c r="Z2105" s="51" t="n">
        <v>0</v>
      </c>
      <c r="AA2105" s="52" t="n">
        <v>0</v>
      </c>
      <c r="AB2105" s="52" t="n">
        <v>0</v>
      </c>
      <c r="AC2105" s="52" t="n">
        <v>0</v>
      </c>
      <c r="AD2105" s="52" t="n">
        <v>0</v>
      </c>
      <c r="AE2105" s="52" t="n">
        <v>0</v>
      </c>
      <c r="AF2105" s="52" t="n">
        <v>0</v>
      </c>
      <c r="AG2105" s="52" t="n">
        <v>0</v>
      </c>
      <c r="AH2105" s="52" t="n">
        <v>0</v>
      </c>
      <c r="AI2105" s="52" t="n">
        <v>0</v>
      </c>
      <c r="AJ2105" s="52" t="n">
        <v>0</v>
      </c>
      <c r="AK2105" s="52" t="n">
        <v>0</v>
      </c>
      <c r="AL2105" s="52" t="n">
        <v>0</v>
      </c>
      <c r="AM2105" s="53" t="n">
        <v>0</v>
      </c>
      <c r="AN2105" s="53" t="n">
        <v>0</v>
      </c>
      <c r="AO2105" s="53" t="n">
        <v>0</v>
      </c>
      <c r="AP2105" s="53" t="n">
        <v>0</v>
      </c>
      <c r="AQ2105" s="52" t="n">
        <v>0</v>
      </c>
      <c r="AR2105" s="52" t="n">
        <v>0</v>
      </c>
      <c r="AS2105" s="52" t="n">
        <v>0</v>
      </c>
      <c r="AT2105" s="52" t="n">
        <v>0</v>
      </c>
      <c r="AU2105" s="53" t="n">
        <v>0</v>
      </c>
      <c r="AV2105" s="53" t="n">
        <v>0</v>
      </c>
      <c r="AW2105" s="53" t="n">
        <v>0</v>
      </c>
      <c r="AX2105" s="53" t="n">
        <v>0</v>
      </c>
      <c r="AY2105" s="52" t="n">
        <v>0</v>
      </c>
      <c r="AZ2105" s="52" t="n">
        <v>0</v>
      </c>
      <c r="BA2105" s="52" t="n">
        <v>0</v>
      </c>
      <c r="BB2105" s="52" t="n">
        <v>0</v>
      </c>
      <c r="BC2105" s="51" t="n">
        <v>0</v>
      </c>
      <c r="BD2105" s="51" t="n">
        <v>0</v>
      </c>
      <c r="BE2105" s="51" t="n">
        <v>0</v>
      </c>
      <c r="BF2105" s="51" t="n">
        <v>0</v>
      </c>
    </row>
    <row r="2106">
      <c r="A2106">
        <f>HYPERLINK("https://www.walmart.com/ip/362803412", "362803412")</f>
        <v/>
      </c>
      <c r="B2106" t="inlineStr">
        <is>
          <t>Catalonia King Size Sherpa Comforter Set, Ultra-soft Reversible Fluffy Micromink Bedding Set-3 Pieces, 1 Comforter and 2 Pillow Shams, 90x103 inches</t>
        </is>
      </c>
      <c r="C2106" t="inlineStr">
        <is>
          <t>1CTBQ300KI-PRD</t>
        </is>
      </c>
      <c r="D2106" t="inlineStr">
        <is>
          <t>Bedding Sets</t>
        </is>
      </c>
      <c r="E2106" t="inlineStr">
        <is>
          <t>Catalonia</t>
        </is>
      </c>
      <c r="F2106" t="inlineStr">
        <is>
          <t>WFS,WFS Item</t>
        </is>
      </c>
      <c r="G2106" s="48" t="n">
        <v>0</v>
      </c>
      <c r="H2106" s="48" t="n">
        <v>0</v>
      </c>
      <c r="I2106" s="48" t="n">
        <v>0</v>
      </c>
      <c r="J2106" s="48" t="n">
        <v>0</v>
      </c>
      <c r="K2106" s="49" t="n">
        <v>0</v>
      </c>
      <c r="L2106" s="49" t="n">
        <v>0</v>
      </c>
      <c r="M2106" s="49" t="n">
        <v>0</v>
      </c>
      <c r="N2106" s="49" t="n">
        <v>0</v>
      </c>
      <c r="O2106" s="49" t="n">
        <v>0</v>
      </c>
      <c r="P2106" s="49" t="n">
        <v>0</v>
      </c>
      <c r="Q2106" s="49" t="n">
        <v>0</v>
      </c>
      <c r="R2106" s="49" t="n">
        <v>0</v>
      </c>
      <c r="S2106" s="50" t="n">
        <v>0</v>
      </c>
      <c r="T2106" s="50" t="n">
        <v>0</v>
      </c>
      <c r="U2106" s="50" t="n">
        <v>0</v>
      </c>
      <c r="V2106" s="50" t="n">
        <v>0</v>
      </c>
      <c r="W2106" s="51" t="n">
        <v>0</v>
      </c>
      <c r="X2106" s="51" t="n">
        <v>0</v>
      </c>
      <c r="Y2106" s="51" t="n">
        <v>0</v>
      </c>
      <c r="Z2106" s="51" t="n">
        <v>0</v>
      </c>
      <c r="AA2106" s="52" t="n">
        <v>0</v>
      </c>
      <c r="AB2106" s="52" t="n">
        <v>0</v>
      </c>
      <c r="AC2106" s="52" t="n">
        <v>0</v>
      </c>
      <c r="AD2106" s="52" t="n">
        <v>0</v>
      </c>
      <c r="AE2106" s="52" t="n">
        <v>0</v>
      </c>
      <c r="AF2106" s="52" t="n">
        <v>0</v>
      </c>
      <c r="AG2106" s="52" t="n">
        <v>0</v>
      </c>
      <c r="AH2106" s="52" t="n">
        <v>0</v>
      </c>
      <c r="AI2106" s="52" t="n">
        <v>0</v>
      </c>
      <c r="AJ2106" s="52" t="n">
        <v>0</v>
      </c>
      <c r="AK2106" s="52" t="n">
        <v>0</v>
      </c>
      <c r="AL2106" s="52" t="n">
        <v>0</v>
      </c>
      <c r="AM2106" s="53" t="n">
        <v>0</v>
      </c>
      <c r="AN2106" s="53" t="n">
        <v>0</v>
      </c>
      <c r="AO2106" s="53" t="n">
        <v>0</v>
      </c>
      <c r="AP2106" s="53" t="n">
        <v>0</v>
      </c>
      <c r="AQ2106" s="52" t="n">
        <v>0</v>
      </c>
      <c r="AR2106" s="52" t="n">
        <v>0</v>
      </c>
      <c r="AS2106" s="52" t="n">
        <v>0</v>
      </c>
      <c r="AT2106" s="52" t="n">
        <v>0</v>
      </c>
      <c r="AU2106" s="53" t="n">
        <v>0</v>
      </c>
      <c r="AV2106" s="53" t="n">
        <v>0</v>
      </c>
      <c r="AW2106" s="53" t="n">
        <v>0</v>
      </c>
      <c r="AX2106" s="53" t="n">
        <v>0</v>
      </c>
      <c r="AY2106" s="52" t="n">
        <v>0</v>
      </c>
      <c r="AZ2106" s="52" t="n">
        <v>0</v>
      </c>
      <c r="BA2106" s="52" t="n">
        <v>0</v>
      </c>
      <c r="BB2106" s="52" t="n">
        <v>0</v>
      </c>
      <c r="BC2106" s="51" t="n">
        <v>0</v>
      </c>
      <c r="BD2106" s="51" t="n">
        <v>0</v>
      </c>
      <c r="BE2106" s="51" t="n">
        <v>0</v>
      </c>
      <c r="BF2106" s="51" t="n">
        <v>0</v>
      </c>
    </row>
    <row r="2107">
      <c r="A2107">
        <f>HYPERLINK("https://www.walmart.com/ip/363481715", "363481715")</f>
        <v/>
      </c>
      <c r="B2107" t="inlineStr">
        <is>
          <t>Waterproof Blanket for Bed, Reversible Baby Pet Doggy Pee Proof Fleece Blankets, Large Couch Sofa Cover Furniture Boat Mattress Protector, King Size 80x90 inches</t>
        </is>
      </c>
      <c r="C2107" t="inlineStr">
        <is>
          <t>1CTBW982TPTP</t>
        </is>
      </c>
      <c r="D2107" t="inlineStr">
        <is>
          <t>Throws</t>
        </is>
      </c>
      <c r="E2107" t="inlineStr">
        <is>
          <t>Catalonia</t>
        </is>
      </c>
      <c r="F2107" t="inlineStr">
        <is>
          <t>Wproof Blanket,Fleece Blankets,Batch 1 - TR</t>
        </is>
      </c>
      <c r="G2107" s="48" t="n">
        <v>0</v>
      </c>
      <c r="H2107" s="48" t="n">
        <v>0</v>
      </c>
      <c r="I2107" s="48" t="n">
        <v>0</v>
      </c>
      <c r="J2107" s="48" t="n">
        <v>0</v>
      </c>
      <c r="K2107" s="49" t="n">
        <v>0</v>
      </c>
      <c r="L2107" s="49" t="n">
        <v>0</v>
      </c>
      <c r="M2107" s="49" t="n">
        <v>0</v>
      </c>
      <c r="N2107" s="49" t="n">
        <v>0</v>
      </c>
      <c r="O2107" s="49" t="n">
        <v>0</v>
      </c>
      <c r="P2107" s="49" t="n">
        <v>0</v>
      </c>
      <c r="Q2107" s="49" t="n">
        <v>0</v>
      </c>
      <c r="R2107" s="49" t="n">
        <v>0</v>
      </c>
      <c r="S2107" s="50" t="n">
        <v>0</v>
      </c>
      <c r="T2107" s="50" t="n">
        <v>0</v>
      </c>
      <c r="U2107" s="50" t="n">
        <v>0</v>
      </c>
      <c r="V2107" s="50" t="n">
        <v>0</v>
      </c>
      <c r="W2107" s="51" t="n">
        <v>0</v>
      </c>
      <c r="X2107" s="51" t="n">
        <v>0</v>
      </c>
      <c r="Y2107" s="51" t="n">
        <v>0</v>
      </c>
      <c r="Z2107" s="51" t="n">
        <v>0</v>
      </c>
      <c r="AA2107" s="52" t="n">
        <v>0</v>
      </c>
      <c r="AB2107" s="52" t="n">
        <v>0</v>
      </c>
      <c r="AC2107" s="52" t="n">
        <v>0</v>
      </c>
      <c r="AD2107" s="52" t="n">
        <v>0</v>
      </c>
      <c r="AE2107" s="52" t="n">
        <v>0</v>
      </c>
      <c r="AF2107" s="52" t="n">
        <v>0</v>
      </c>
      <c r="AG2107" s="52" t="n">
        <v>0</v>
      </c>
      <c r="AH2107" s="52" t="n">
        <v>0</v>
      </c>
      <c r="AI2107" s="52" t="n">
        <v>0</v>
      </c>
      <c r="AJ2107" s="52" t="n">
        <v>0</v>
      </c>
      <c r="AK2107" s="52" t="n">
        <v>0</v>
      </c>
      <c r="AL2107" s="52" t="n">
        <v>0</v>
      </c>
      <c r="AM2107" s="53" t="n">
        <v>0</v>
      </c>
      <c r="AN2107" s="53" t="n">
        <v>0</v>
      </c>
      <c r="AO2107" s="53" t="n">
        <v>0</v>
      </c>
      <c r="AP2107" s="53" t="n">
        <v>0</v>
      </c>
      <c r="AQ2107" s="52" t="n">
        <v>0</v>
      </c>
      <c r="AR2107" s="52" t="n">
        <v>0</v>
      </c>
      <c r="AS2107" s="52" t="n">
        <v>0</v>
      </c>
      <c r="AT2107" s="52" t="n">
        <v>0</v>
      </c>
      <c r="AU2107" s="53" t="n">
        <v>0</v>
      </c>
      <c r="AV2107" s="53" t="n">
        <v>0</v>
      </c>
      <c r="AW2107" s="53" t="n">
        <v>0</v>
      </c>
      <c r="AX2107" s="53" t="n">
        <v>0</v>
      </c>
      <c r="AY2107" s="52" t="n">
        <v>0</v>
      </c>
      <c r="AZ2107" s="52" t="n">
        <v>0</v>
      </c>
      <c r="BA2107" s="52" t="n">
        <v>0</v>
      </c>
      <c r="BB2107" s="52" t="n">
        <v>0</v>
      </c>
      <c r="BC2107" s="51" t="n">
        <v>0</v>
      </c>
      <c r="BD2107" s="51" t="n">
        <v>0</v>
      </c>
      <c r="BE2107" s="51" t="n">
        <v>0</v>
      </c>
      <c r="BF2107" s="51" t="n">
        <v>0</v>
      </c>
    </row>
    <row r="2108">
      <c r="A2108">
        <f>HYPERLINK("https://www.walmart.com/ip/363932916", "363932916")</f>
        <v/>
      </c>
      <c r="B2108" t="inlineStr">
        <is>
          <t>KC Caps® Large 2 Pocket Bib Cooking Restaurant Kitchen Chef Apron Dress Canvas</t>
        </is>
      </c>
      <c r="C2108" t="inlineStr">
        <is>
          <t>KC-A9324-NATURL</t>
        </is>
      </c>
      <c r="D2108" t="inlineStr">
        <is>
          <t>Cooking Aprons</t>
        </is>
      </c>
      <c r="E2108" t="inlineStr">
        <is>
          <t>KC Caps</t>
        </is>
      </c>
      <c r="F2108" t="inlineStr">
        <is>
          <t>Batch 1 - TR</t>
        </is>
      </c>
      <c r="G2108" s="48" t="n">
        <v>0</v>
      </c>
      <c r="H2108" s="48" t="n">
        <v>0</v>
      </c>
      <c r="I2108" s="48" t="n">
        <v>0</v>
      </c>
      <c r="J2108" s="48" t="n">
        <v>0</v>
      </c>
      <c r="K2108" s="49" t="n">
        <v>0</v>
      </c>
      <c r="L2108" s="49" t="n">
        <v>0</v>
      </c>
      <c r="M2108" s="49" t="n">
        <v>0</v>
      </c>
      <c r="N2108" s="49" t="n">
        <v>0</v>
      </c>
      <c r="O2108" s="49" t="n">
        <v>0</v>
      </c>
      <c r="P2108" s="49" t="n">
        <v>0</v>
      </c>
      <c r="Q2108" s="49" t="n">
        <v>0</v>
      </c>
      <c r="R2108" s="49" t="n">
        <v>0</v>
      </c>
      <c r="S2108" s="50" t="n">
        <v>0</v>
      </c>
      <c r="T2108" s="50" t="n">
        <v>0</v>
      </c>
      <c r="U2108" s="50" t="n">
        <v>0</v>
      </c>
      <c r="V2108" s="50" t="n">
        <v>0</v>
      </c>
      <c r="W2108" s="51" t="n">
        <v>0</v>
      </c>
      <c r="X2108" s="51" t="n">
        <v>0</v>
      </c>
      <c r="Y2108" s="51" t="n">
        <v>0</v>
      </c>
      <c r="Z2108" s="51" t="n">
        <v>0</v>
      </c>
      <c r="AA2108" s="52" t="n">
        <v>0</v>
      </c>
      <c r="AB2108" s="52" t="n">
        <v>0</v>
      </c>
      <c r="AC2108" s="52" t="n">
        <v>0</v>
      </c>
      <c r="AD2108" s="52" t="n">
        <v>0</v>
      </c>
      <c r="AE2108" s="52" t="n">
        <v>0</v>
      </c>
      <c r="AF2108" s="52" t="n">
        <v>0</v>
      </c>
      <c r="AG2108" s="52" t="n">
        <v>0</v>
      </c>
      <c r="AH2108" s="52" t="n">
        <v>0</v>
      </c>
      <c r="AI2108" s="52" t="n">
        <v>0</v>
      </c>
      <c r="AJ2108" s="52" t="n">
        <v>0</v>
      </c>
      <c r="AK2108" s="52" t="n">
        <v>0</v>
      </c>
      <c r="AL2108" s="52" t="n">
        <v>0</v>
      </c>
      <c r="AM2108" s="53" t="n">
        <v>0</v>
      </c>
      <c r="AN2108" s="53" t="n">
        <v>0</v>
      </c>
      <c r="AO2108" s="53" t="n">
        <v>0</v>
      </c>
      <c r="AP2108" s="53" t="n">
        <v>0</v>
      </c>
      <c r="AQ2108" s="52" t="n">
        <v>0</v>
      </c>
      <c r="AR2108" s="52" t="n">
        <v>0</v>
      </c>
      <c r="AS2108" s="52" t="n">
        <v>0</v>
      </c>
      <c r="AT2108" s="52" t="n">
        <v>0</v>
      </c>
      <c r="AU2108" s="53" t="n">
        <v>0</v>
      </c>
      <c r="AV2108" s="53" t="n">
        <v>0</v>
      </c>
      <c r="AW2108" s="53" t="n">
        <v>0</v>
      </c>
      <c r="AX2108" s="53" t="n">
        <v>0</v>
      </c>
      <c r="AY2108" s="52" t="n">
        <v>0</v>
      </c>
      <c r="AZ2108" s="52" t="n">
        <v>0</v>
      </c>
      <c r="BA2108" s="52" t="n">
        <v>0</v>
      </c>
      <c r="BB2108" s="52" t="n">
        <v>0</v>
      </c>
      <c r="BC2108" s="51" t="n">
        <v>0</v>
      </c>
      <c r="BD2108" s="51" t="n">
        <v>0</v>
      </c>
      <c r="BE2108" s="51" t="n">
        <v>0</v>
      </c>
      <c r="BF2108" s="51" t="n">
        <v>0</v>
      </c>
    </row>
    <row r="2109">
      <c r="A2109">
        <f>HYPERLINK("https://www.walmart.com/ip/363943231", "363943231")</f>
        <v/>
      </c>
      <c r="B2109" t="inlineStr">
        <is>
          <t>Flyingstar Sherpa Throws Blanket, Fleece Soft Cozy Blanket Throws for Sofa Bed 50"x60"</t>
        </is>
      </c>
      <c r="C2109" t="inlineStr">
        <is>
          <t>1WMBF573GYTILE</t>
        </is>
      </c>
      <c r="D2109" t="inlineStr">
        <is>
          <t>Throws</t>
        </is>
      </c>
      <c r="E2109" t="inlineStr">
        <is>
          <t>Flyingstar</t>
        </is>
      </c>
      <c r="F2109" t="inlineStr">
        <is>
          <t>Optimized</t>
        </is>
      </c>
      <c r="G2109" s="48" t="n">
        <v>0</v>
      </c>
      <c r="H2109" s="48" t="n">
        <v>0</v>
      </c>
      <c r="I2109" s="48" t="n">
        <v>0</v>
      </c>
      <c r="J2109" s="48" t="n">
        <v>0</v>
      </c>
      <c r="K2109" s="49" t="n">
        <v>0</v>
      </c>
      <c r="L2109" s="49" t="n">
        <v>0</v>
      </c>
      <c r="M2109" s="49" t="n">
        <v>0</v>
      </c>
      <c r="N2109" s="49" t="n">
        <v>0</v>
      </c>
      <c r="O2109" s="49" t="n">
        <v>0</v>
      </c>
      <c r="P2109" s="49" t="n">
        <v>0</v>
      </c>
      <c r="Q2109" s="49" t="n">
        <v>0</v>
      </c>
      <c r="R2109" s="49" t="n">
        <v>0</v>
      </c>
      <c r="S2109" s="50" t="n">
        <v>0</v>
      </c>
      <c r="T2109" s="50" t="n">
        <v>0</v>
      </c>
      <c r="U2109" s="50" t="n">
        <v>0</v>
      </c>
      <c r="V2109" s="50" t="n">
        <v>0</v>
      </c>
      <c r="W2109" s="51" t="n">
        <v>0</v>
      </c>
      <c r="X2109" s="51" t="n">
        <v>0</v>
      </c>
      <c r="Y2109" s="51" t="n">
        <v>0</v>
      </c>
      <c r="Z2109" s="51" t="n">
        <v>0</v>
      </c>
      <c r="AA2109" s="52" t="n">
        <v>0</v>
      </c>
      <c r="AB2109" s="52" t="n">
        <v>0</v>
      </c>
      <c r="AC2109" s="52" t="n">
        <v>0</v>
      </c>
      <c r="AD2109" s="52" t="n">
        <v>0</v>
      </c>
      <c r="AE2109" s="52" t="n">
        <v>0</v>
      </c>
      <c r="AF2109" s="52" t="n">
        <v>0</v>
      </c>
      <c r="AG2109" s="52" t="n">
        <v>0</v>
      </c>
      <c r="AH2109" s="52" t="n">
        <v>0</v>
      </c>
      <c r="AI2109" s="52" t="n">
        <v>0</v>
      </c>
      <c r="AJ2109" s="52" t="n">
        <v>0</v>
      </c>
      <c r="AK2109" s="52" t="n">
        <v>0</v>
      </c>
      <c r="AL2109" s="52" t="n">
        <v>0</v>
      </c>
      <c r="AM2109" s="53" t="n">
        <v>0</v>
      </c>
      <c r="AN2109" s="53" t="n">
        <v>0</v>
      </c>
      <c r="AO2109" s="53" t="n">
        <v>0</v>
      </c>
      <c r="AP2109" s="53" t="n">
        <v>0</v>
      </c>
      <c r="AQ2109" s="52" t="n">
        <v>0</v>
      </c>
      <c r="AR2109" s="52" t="n">
        <v>0</v>
      </c>
      <c r="AS2109" s="52" t="n">
        <v>0</v>
      </c>
      <c r="AT2109" s="52" t="n">
        <v>0</v>
      </c>
      <c r="AU2109" s="53" t="n">
        <v>0</v>
      </c>
      <c r="AV2109" s="53" t="n">
        <v>0</v>
      </c>
      <c r="AW2109" s="53" t="n">
        <v>0</v>
      </c>
      <c r="AX2109" s="53" t="n">
        <v>0</v>
      </c>
      <c r="AY2109" s="52" t="n">
        <v>0</v>
      </c>
      <c r="AZ2109" s="52" t="n">
        <v>0</v>
      </c>
      <c r="BA2109" s="52" t="n">
        <v>0</v>
      </c>
      <c r="BB2109" s="52" t="n">
        <v>0</v>
      </c>
      <c r="BC2109" s="51" t="n">
        <v>0</v>
      </c>
      <c r="BD2109" s="51" t="n">
        <v>0</v>
      </c>
      <c r="BE2109" s="51" t="n">
        <v>0</v>
      </c>
      <c r="BF2109" s="51" t="n">
        <v>0</v>
      </c>
    </row>
    <row r="2110">
      <c r="A2110">
        <f>HYPERLINK("https://www.walmart.com/ip/364182411", "364182411")</f>
        <v/>
      </c>
      <c r="B2110" t="inlineStr">
        <is>
          <t>Sherpa Wearable Blanket with Sleeves &amp; Foot Pockets for Adult Women Men, Comfy Snuggle Wrap Sleeved Throw Blanket Robe, Gift Idea, Blue</t>
        </is>
      </c>
      <c r="C2110" t="inlineStr">
        <is>
          <t>1CTSN310BL</t>
        </is>
      </c>
      <c r="D2110" t="inlineStr">
        <is>
          <t>Throws</t>
        </is>
      </c>
      <c r="E2110" t="inlineStr">
        <is>
          <t>Catalonia</t>
        </is>
      </c>
      <c r="F2110" t="inlineStr">
        <is>
          <t>Q2-Target,Optimized,WFS,Coupon_Discount,WFS Item</t>
        </is>
      </c>
      <c r="G2110" s="48" t="n">
        <v>0</v>
      </c>
      <c r="H2110" s="48" t="n">
        <v>85.98</v>
      </c>
      <c r="I2110" s="48" t="n">
        <v>0</v>
      </c>
      <c r="J2110" s="48" t="n">
        <v>0</v>
      </c>
      <c r="K2110" s="49" t="n">
        <v>0</v>
      </c>
      <c r="L2110" s="49" t="n">
        <v>2</v>
      </c>
      <c r="M2110" s="49" t="n">
        <v>0</v>
      </c>
      <c r="N2110" s="49" t="n">
        <v>0</v>
      </c>
      <c r="O2110" s="49" t="n">
        <v>0</v>
      </c>
      <c r="P2110" s="49" t="n">
        <v>0</v>
      </c>
      <c r="Q2110" s="49" t="n">
        <v>0</v>
      </c>
      <c r="R2110" s="49" t="n">
        <v>0</v>
      </c>
      <c r="S2110" s="50" t="n">
        <v>0</v>
      </c>
      <c r="T2110" s="50" t="n">
        <v>0</v>
      </c>
      <c r="U2110" s="50" t="n">
        <v>0</v>
      </c>
      <c r="V2110" s="50" t="n">
        <v>0</v>
      </c>
      <c r="W2110" s="51" t="n">
        <v>16</v>
      </c>
      <c r="X2110" s="51" t="n">
        <v>11</v>
      </c>
      <c r="Y2110" s="51" t="n">
        <v>0</v>
      </c>
      <c r="Z2110" s="51" t="n">
        <v>6</v>
      </c>
      <c r="AA2110" s="52" t="n">
        <v>7.440000000000001</v>
      </c>
      <c r="AB2110" s="52" t="n">
        <v>5.34</v>
      </c>
      <c r="AC2110" s="52" t="n">
        <v>0</v>
      </c>
      <c r="AD2110" s="52" t="n">
        <v>2.74</v>
      </c>
      <c r="AE2110" s="52" t="n">
        <v>0</v>
      </c>
      <c r="AF2110" s="52" t="n">
        <v>85.98</v>
      </c>
      <c r="AG2110" s="52" t="n">
        <v>0</v>
      </c>
      <c r="AH2110" s="52" t="n">
        <v>0</v>
      </c>
      <c r="AI2110" s="52" t="n">
        <v>0</v>
      </c>
      <c r="AJ2110" s="52" t="n">
        <v>16.1</v>
      </c>
      <c r="AK2110" s="52" t="n">
        <v>0</v>
      </c>
      <c r="AL2110" s="52" t="n">
        <v>0</v>
      </c>
      <c r="AM2110" s="53" t="n">
        <v>0.003</v>
      </c>
      <c r="AN2110" s="53" t="n">
        <v>0.0027</v>
      </c>
      <c r="AO2110" s="53" t="n">
        <v>0</v>
      </c>
      <c r="AP2110" s="53" t="n">
        <v>0.0023</v>
      </c>
      <c r="AQ2110" s="52" t="n">
        <v>0.4650000000000001</v>
      </c>
      <c r="AR2110" s="52" t="n">
        <v>0.4854545454545454</v>
      </c>
      <c r="AS2110" s="52" t="n">
        <v>0</v>
      </c>
      <c r="AT2110" s="52" t="n">
        <v>0.4566666666666667</v>
      </c>
      <c r="AU2110" s="53" t="n">
        <v>0</v>
      </c>
      <c r="AV2110" s="53" t="n">
        <v>0.06210746685275645</v>
      </c>
      <c r="AW2110" s="53" t="n">
        <v>0</v>
      </c>
      <c r="AX2110" s="53" t="n">
        <v>0</v>
      </c>
      <c r="AY2110" s="52" t="n">
        <v>0</v>
      </c>
      <c r="AZ2110" s="52" t="n">
        <v>42.99</v>
      </c>
      <c r="BA2110" s="52" t="n">
        <v>0</v>
      </c>
      <c r="BB2110" s="52" t="n">
        <v>0</v>
      </c>
      <c r="BC2110" s="51" t="n">
        <v>5420</v>
      </c>
      <c r="BD2110" s="51" t="n">
        <v>4128</v>
      </c>
      <c r="BE2110" s="51" t="n">
        <v>0</v>
      </c>
      <c r="BF2110" s="51" t="n">
        <v>2624</v>
      </c>
    </row>
    <row r="2111">
      <c r="A2111">
        <f>HYPERLINK("https://www.walmart.com/ip/364359143", "364359143")</f>
        <v/>
      </c>
      <c r="B2111" t="inlineStr">
        <is>
          <t>Catalonia Cheetah Fluffy Sherpa Throw Blanket, Super Soft Mink Fleece Couch Blanket, TV Bed Fuzzy Blanket, Fluffy Comfy Warm Heavy Throws, Comfort Caring Gift,50x60 inches</t>
        </is>
      </c>
      <c r="C2111" t="inlineStr">
        <is>
          <t>1CTBF300CHEETAHWT</t>
        </is>
      </c>
      <c r="D2111" t="inlineStr">
        <is>
          <t>Throws</t>
        </is>
      </c>
      <c r="E2111" t="inlineStr">
        <is>
          <t>Catalonia</t>
        </is>
      </c>
      <c r="F2111" t="inlineStr">
        <is>
          <t>WFS,Coupon_Discount,WFS Item</t>
        </is>
      </c>
      <c r="G2111" s="48" t="n">
        <v>0</v>
      </c>
      <c r="H2111" s="48" t="n">
        <v>0</v>
      </c>
      <c r="I2111" s="48" t="n">
        <v>0</v>
      </c>
      <c r="J2111" s="48" t="n">
        <v>0</v>
      </c>
      <c r="K2111" s="49" t="n">
        <v>0</v>
      </c>
      <c r="L2111" s="49" t="n">
        <v>0</v>
      </c>
      <c r="M2111" s="49" t="n">
        <v>0</v>
      </c>
      <c r="N2111" s="49" t="n">
        <v>0</v>
      </c>
      <c r="O2111" s="49" t="n">
        <v>0</v>
      </c>
      <c r="P2111" s="49" t="n">
        <v>0</v>
      </c>
      <c r="Q2111" s="49" t="n">
        <v>0</v>
      </c>
      <c r="R2111" s="49" t="n">
        <v>0</v>
      </c>
      <c r="S2111" s="50" t="n">
        <v>0</v>
      </c>
      <c r="T2111" s="50" t="n">
        <v>0</v>
      </c>
      <c r="U2111" s="50" t="n">
        <v>0</v>
      </c>
      <c r="V2111" s="50" t="n">
        <v>0</v>
      </c>
      <c r="W2111" s="51" t="n">
        <v>0</v>
      </c>
      <c r="X2111" s="51" t="n">
        <v>0</v>
      </c>
      <c r="Y2111" s="51" t="n">
        <v>0</v>
      </c>
      <c r="Z2111" s="51" t="n">
        <v>0</v>
      </c>
      <c r="AA2111" s="52" t="n">
        <v>0</v>
      </c>
      <c r="AB2111" s="52" t="n">
        <v>0</v>
      </c>
      <c r="AC2111" s="52" t="n">
        <v>0</v>
      </c>
      <c r="AD2111" s="52" t="n">
        <v>0</v>
      </c>
      <c r="AE2111" s="52" t="n">
        <v>0</v>
      </c>
      <c r="AF2111" s="52" t="n">
        <v>0</v>
      </c>
      <c r="AG2111" s="52" t="n">
        <v>0</v>
      </c>
      <c r="AH2111" s="52" t="n">
        <v>0</v>
      </c>
      <c r="AI2111" s="52" t="n">
        <v>0</v>
      </c>
      <c r="AJ2111" s="52" t="n">
        <v>0</v>
      </c>
      <c r="AK2111" s="52" t="n">
        <v>0</v>
      </c>
      <c r="AL2111" s="52" t="n">
        <v>0</v>
      </c>
      <c r="AM2111" s="53" t="n">
        <v>0</v>
      </c>
      <c r="AN2111" s="53" t="n">
        <v>0</v>
      </c>
      <c r="AO2111" s="53" t="n">
        <v>0</v>
      </c>
      <c r="AP2111" s="53" t="n">
        <v>0</v>
      </c>
      <c r="AQ2111" s="52" t="n">
        <v>0</v>
      </c>
      <c r="AR2111" s="52" t="n">
        <v>0</v>
      </c>
      <c r="AS2111" s="52" t="n">
        <v>0</v>
      </c>
      <c r="AT2111" s="52" t="n">
        <v>0</v>
      </c>
      <c r="AU2111" s="53" t="n">
        <v>0</v>
      </c>
      <c r="AV2111" s="53" t="n">
        <v>0</v>
      </c>
      <c r="AW2111" s="53" t="n">
        <v>0</v>
      </c>
      <c r="AX2111" s="53" t="n">
        <v>0</v>
      </c>
      <c r="AY2111" s="52" t="n">
        <v>0</v>
      </c>
      <c r="AZ2111" s="52" t="n">
        <v>0</v>
      </c>
      <c r="BA2111" s="52" t="n">
        <v>0</v>
      </c>
      <c r="BB2111" s="52" t="n">
        <v>0</v>
      </c>
      <c r="BC2111" s="51" t="n">
        <v>0</v>
      </c>
      <c r="BD2111" s="51" t="n">
        <v>0</v>
      </c>
      <c r="BE2111" s="51" t="n">
        <v>0</v>
      </c>
      <c r="BF2111" s="51" t="n">
        <v>0</v>
      </c>
    </row>
    <row r="2112">
      <c r="A2112">
        <f>HYPERLINK("https://www.walmart.com/ip/365573628", "365573628")</f>
        <v/>
      </c>
      <c r="B2112" t="inlineStr">
        <is>
          <t>Catalonia Sherpa Furry Throw Blanket Reversible Fuzzy Fleece Blanket 50"x60", Polyester Super Soft Plush for Sofa Couch Bed</t>
        </is>
      </c>
      <c r="C2112" t="inlineStr">
        <is>
          <t>1CTBN110LT</t>
        </is>
      </c>
      <c r="D2112" t="inlineStr">
        <is>
          <t>Throws</t>
        </is>
      </c>
      <c r="E2112" t="inlineStr">
        <is>
          <t>Catalonia</t>
        </is>
      </c>
      <c r="F2112" t="inlineStr">
        <is>
          <t>Q2-Target,Optimized,WFS,Coupon_Discount,WFS Item,Fleece Blankets</t>
        </is>
      </c>
      <c r="G2112" s="48" t="n">
        <v>0</v>
      </c>
      <c r="H2112" s="48" t="n">
        <v>0</v>
      </c>
      <c r="I2112" s="48" t="n">
        <v>0</v>
      </c>
      <c r="J2112" s="48" t="n">
        <v>0</v>
      </c>
      <c r="K2112" s="49" t="n">
        <v>0</v>
      </c>
      <c r="L2112" s="49" t="n">
        <v>0</v>
      </c>
      <c r="M2112" s="49" t="n">
        <v>0</v>
      </c>
      <c r="N2112" s="49" t="n">
        <v>0</v>
      </c>
      <c r="O2112" s="49" t="n">
        <v>0</v>
      </c>
      <c r="P2112" s="49" t="n">
        <v>0</v>
      </c>
      <c r="Q2112" s="49" t="n">
        <v>0</v>
      </c>
      <c r="R2112" s="49" t="n">
        <v>0</v>
      </c>
      <c r="S2112" s="50" t="n">
        <v>0</v>
      </c>
      <c r="T2112" s="50" t="n">
        <v>0</v>
      </c>
      <c r="U2112" s="50" t="n">
        <v>0</v>
      </c>
      <c r="V2112" s="50" t="n">
        <v>0</v>
      </c>
      <c r="W2112" s="51" t="n">
        <v>0</v>
      </c>
      <c r="X2112" s="51" t="n">
        <v>0</v>
      </c>
      <c r="Y2112" s="51" t="n">
        <v>0</v>
      </c>
      <c r="Z2112" s="51" t="n">
        <v>0</v>
      </c>
      <c r="AA2112" s="52" t="n">
        <v>0</v>
      </c>
      <c r="AB2112" s="52" t="n">
        <v>0</v>
      </c>
      <c r="AC2112" s="52" t="n">
        <v>0</v>
      </c>
      <c r="AD2112" s="52" t="n">
        <v>0</v>
      </c>
      <c r="AE2112" s="52" t="n">
        <v>0</v>
      </c>
      <c r="AF2112" s="52" t="n">
        <v>0</v>
      </c>
      <c r="AG2112" s="52" t="n">
        <v>0</v>
      </c>
      <c r="AH2112" s="52" t="n">
        <v>0</v>
      </c>
      <c r="AI2112" s="52" t="n">
        <v>0</v>
      </c>
      <c r="AJ2112" s="52" t="n">
        <v>0</v>
      </c>
      <c r="AK2112" s="52" t="n">
        <v>0</v>
      </c>
      <c r="AL2112" s="52" t="n">
        <v>0</v>
      </c>
      <c r="AM2112" s="53" t="n">
        <v>0</v>
      </c>
      <c r="AN2112" s="53" t="n">
        <v>0</v>
      </c>
      <c r="AO2112" s="53" t="n">
        <v>0</v>
      </c>
      <c r="AP2112" s="53" t="n">
        <v>0</v>
      </c>
      <c r="AQ2112" s="52" t="n">
        <v>0</v>
      </c>
      <c r="AR2112" s="52" t="n">
        <v>0</v>
      </c>
      <c r="AS2112" s="52" t="n">
        <v>0</v>
      </c>
      <c r="AT2112" s="52" t="n">
        <v>0</v>
      </c>
      <c r="AU2112" s="53" t="n">
        <v>0</v>
      </c>
      <c r="AV2112" s="53" t="n">
        <v>0</v>
      </c>
      <c r="AW2112" s="53" t="n">
        <v>0</v>
      </c>
      <c r="AX2112" s="53" t="n">
        <v>0</v>
      </c>
      <c r="AY2112" s="52" t="n">
        <v>0</v>
      </c>
      <c r="AZ2112" s="52" t="n">
        <v>0</v>
      </c>
      <c r="BA2112" s="52" t="n">
        <v>0</v>
      </c>
      <c r="BB2112" s="52" t="n">
        <v>0</v>
      </c>
      <c r="BC2112" s="51" t="n">
        <v>0</v>
      </c>
      <c r="BD2112" s="51" t="n">
        <v>0</v>
      </c>
      <c r="BE2112" s="51" t="n">
        <v>0</v>
      </c>
      <c r="BF2112" s="51" t="n">
        <v>0</v>
      </c>
    </row>
    <row r="2113">
      <c r="A2113">
        <f>HYPERLINK("https://www.walmart.com/ip/3657063712", "3657063712")</f>
        <v/>
      </c>
      <c r="B2113" t="inlineStr">
        <is>
          <t>Tirrinia Insulated Lunch Bag for Women Men, Double-Layer Leak-Proof Reusable Lunch Box with 4 Pockets for Adult Kids, Lunch Bag Cooler Tote for Office Work, Back to School, Black</t>
        </is>
      </c>
      <c r="C2113" t="inlineStr">
        <is>
          <t>1TRLB702BK-D</t>
        </is>
      </c>
      <c r="D2113" t="inlineStr">
        <is>
          <t>Reusable Lunch Bags &amp; Boxes</t>
        </is>
      </c>
      <c r="E2113" t="inlineStr">
        <is>
          <t>Tirrinia</t>
        </is>
      </c>
      <c r="F2113" t="inlineStr">
        <is>
          <t>Q2-Target</t>
        </is>
      </c>
      <c r="G2113" s="48" t="n">
        <v>0</v>
      </c>
      <c r="H2113" s="48" t="n">
        <v>0</v>
      </c>
      <c r="I2113" s="48" t="n">
        <v>16.99</v>
      </c>
      <c r="J2113" s="48" t="n">
        <v>0</v>
      </c>
      <c r="K2113" s="49" t="n">
        <v>0</v>
      </c>
      <c r="L2113" s="49" t="n">
        <v>0</v>
      </c>
      <c r="M2113" s="49" t="n">
        <v>1</v>
      </c>
      <c r="N2113" s="49" t="n">
        <v>0</v>
      </c>
      <c r="O2113" s="49" t="n">
        <v>0</v>
      </c>
      <c r="P2113" s="49" t="n">
        <v>0</v>
      </c>
      <c r="Q2113" s="49" t="n">
        <v>0</v>
      </c>
      <c r="R2113" s="49" t="n">
        <v>0</v>
      </c>
      <c r="S2113" s="50" t="n">
        <v>0</v>
      </c>
      <c r="T2113" s="50" t="n">
        <v>0</v>
      </c>
      <c r="U2113" s="50" t="n">
        <v>0</v>
      </c>
      <c r="V2113" s="50" t="n">
        <v>0</v>
      </c>
      <c r="W2113" s="51" t="n">
        <v>0</v>
      </c>
      <c r="X2113" s="51" t="n">
        <v>0</v>
      </c>
      <c r="Y2113" s="51" t="n">
        <v>0</v>
      </c>
      <c r="Z2113" s="51" t="n">
        <v>0</v>
      </c>
      <c r="AA2113" s="52" t="n">
        <v>0</v>
      </c>
      <c r="AB2113" s="52" t="n">
        <v>0</v>
      </c>
      <c r="AC2113" s="52" t="n">
        <v>0</v>
      </c>
      <c r="AD2113" s="52" t="n">
        <v>0</v>
      </c>
      <c r="AE2113" s="52" t="n">
        <v>0</v>
      </c>
      <c r="AF2113" s="52" t="n">
        <v>0</v>
      </c>
      <c r="AG2113" s="52" t="n">
        <v>0</v>
      </c>
      <c r="AH2113" s="52" t="n">
        <v>0</v>
      </c>
      <c r="AI2113" s="52" t="n">
        <v>0</v>
      </c>
      <c r="AJ2113" s="52" t="n">
        <v>0</v>
      </c>
      <c r="AK2113" s="52" t="n">
        <v>0</v>
      </c>
      <c r="AL2113" s="52" t="n">
        <v>0</v>
      </c>
      <c r="AM2113" s="53" t="n">
        <v>0</v>
      </c>
      <c r="AN2113" s="53" t="n">
        <v>0</v>
      </c>
      <c r="AO2113" s="53" t="n">
        <v>0</v>
      </c>
      <c r="AP2113" s="53" t="n">
        <v>0</v>
      </c>
      <c r="AQ2113" s="52" t="n">
        <v>0</v>
      </c>
      <c r="AR2113" s="52" t="n">
        <v>0</v>
      </c>
      <c r="AS2113" s="52" t="n">
        <v>0</v>
      </c>
      <c r="AT2113" s="52" t="n">
        <v>0</v>
      </c>
      <c r="AU2113" s="53" t="n">
        <v>0</v>
      </c>
      <c r="AV2113" s="53" t="n">
        <v>0</v>
      </c>
      <c r="AW2113" s="53" t="n">
        <v>0</v>
      </c>
      <c r="AX2113" s="53" t="n">
        <v>0</v>
      </c>
      <c r="AY2113" s="52" t="n">
        <v>0</v>
      </c>
      <c r="AZ2113" s="52" t="n">
        <v>0</v>
      </c>
      <c r="BA2113" s="52" t="n">
        <v>16.99</v>
      </c>
      <c r="BB2113" s="52" t="n">
        <v>0</v>
      </c>
      <c r="BC2113" s="51" t="n">
        <v>0</v>
      </c>
      <c r="BD2113" s="51" t="n">
        <v>0</v>
      </c>
      <c r="BE2113" s="51" t="n">
        <v>0</v>
      </c>
      <c r="BF2113" s="51" t="n">
        <v>0</v>
      </c>
    </row>
    <row r="2114">
      <c r="A2114">
        <f>HYPERLINK("https://www.walmart.com/ip/367461877", "367461877")</f>
        <v/>
      </c>
      <c r="B2114" t="inlineStr">
        <is>
          <t>KC Caps® Hunting Hiking Camping Camo Military Mesh Cap Travel Hat</t>
        </is>
      </c>
      <c r="C2114" t="inlineStr">
        <is>
          <t>KC7140-Break</t>
        </is>
      </c>
      <c r="D2114" t="inlineStr">
        <is>
          <t>Hats</t>
        </is>
      </c>
      <c r="E2114" t="inlineStr">
        <is>
          <t>KC Caps</t>
        </is>
      </c>
      <c r="F2114" t="inlineStr">
        <is>
          <t>Optimized</t>
        </is>
      </c>
      <c r="G2114" s="48" t="n">
        <v>0</v>
      </c>
      <c r="H2114" s="48" t="n">
        <v>0</v>
      </c>
      <c r="I2114" s="48" t="n">
        <v>0</v>
      </c>
      <c r="J2114" s="48" t="n">
        <v>0</v>
      </c>
      <c r="K2114" s="49" t="n">
        <v>0</v>
      </c>
      <c r="L2114" s="49" t="n">
        <v>0</v>
      </c>
      <c r="M2114" s="49" t="n">
        <v>0</v>
      </c>
      <c r="N2114" s="49" t="n">
        <v>0</v>
      </c>
      <c r="O2114" s="49" t="n">
        <v>0</v>
      </c>
      <c r="P2114" s="49" t="n">
        <v>0</v>
      </c>
      <c r="Q2114" s="49" t="n">
        <v>0</v>
      </c>
      <c r="R2114" s="49" t="n">
        <v>0</v>
      </c>
      <c r="S2114" s="50" t="n">
        <v>0</v>
      </c>
      <c r="T2114" s="50" t="n">
        <v>0</v>
      </c>
      <c r="U2114" s="50" t="n">
        <v>0</v>
      </c>
      <c r="V2114" s="50" t="n">
        <v>0</v>
      </c>
      <c r="W2114" s="51" t="n">
        <v>0</v>
      </c>
      <c r="X2114" s="51" t="n">
        <v>0</v>
      </c>
      <c r="Y2114" s="51" t="n">
        <v>0</v>
      </c>
      <c r="Z2114" s="51" t="n">
        <v>0</v>
      </c>
      <c r="AA2114" s="52" t="n">
        <v>0</v>
      </c>
      <c r="AB2114" s="52" t="n">
        <v>0</v>
      </c>
      <c r="AC2114" s="52" t="n">
        <v>0</v>
      </c>
      <c r="AD2114" s="52" t="n">
        <v>0</v>
      </c>
      <c r="AE2114" s="52" t="n">
        <v>0</v>
      </c>
      <c r="AF2114" s="52" t="n">
        <v>0</v>
      </c>
      <c r="AG2114" s="52" t="n">
        <v>0</v>
      </c>
      <c r="AH2114" s="52" t="n">
        <v>0</v>
      </c>
      <c r="AI2114" s="52" t="n">
        <v>0</v>
      </c>
      <c r="AJ2114" s="52" t="n">
        <v>0</v>
      </c>
      <c r="AK2114" s="52" t="n">
        <v>0</v>
      </c>
      <c r="AL2114" s="52" t="n">
        <v>0</v>
      </c>
      <c r="AM2114" s="53" t="n">
        <v>0</v>
      </c>
      <c r="AN2114" s="53" t="n">
        <v>0</v>
      </c>
      <c r="AO2114" s="53" t="n">
        <v>0</v>
      </c>
      <c r="AP2114" s="53" t="n">
        <v>0</v>
      </c>
      <c r="AQ2114" s="52" t="n">
        <v>0</v>
      </c>
      <c r="AR2114" s="52" t="n">
        <v>0</v>
      </c>
      <c r="AS2114" s="52" t="n">
        <v>0</v>
      </c>
      <c r="AT2114" s="52" t="n">
        <v>0</v>
      </c>
      <c r="AU2114" s="53" t="n">
        <v>0</v>
      </c>
      <c r="AV2114" s="53" t="n">
        <v>0</v>
      </c>
      <c r="AW2114" s="53" t="n">
        <v>0</v>
      </c>
      <c r="AX2114" s="53" t="n">
        <v>0</v>
      </c>
      <c r="AY2114" s="52" t="n">
        <v>0</v>
      </c>
      <c r="AZ2114" s="52" t="n">
        <v>0</v>
      </c>
      <c r="BA2114" s="52" t="n">
        <v>0</v>
      </c>
      <c r="BB2114" s="52" t="n">
        <v>0</v>
      </c>
      <c r="BC2114" s="51" t="n">
        <v>0</v>
      </c>
      <c r="BD2114" s="51" t="n">
        <v>0</v>
      </c>
      <c r="BE2114" s="51" t="n">
        <v>0</v>
      </c>
      <c r="BF2114" s="51" t="n">
        <v>0</v>
      </c>
    </row>
    <row r="2115">
      <c r="A2115">
        <f>HYPERLINK("https://www.walmart.com/ip/367613983", "367613983")</f>
        <v/>
      </c>
      <c r="B2115" t="inlineStr">
        <is>
          <t>Oversized Hooded Poncho Cape, Casual Hoodie Sweatshirt, Batwing Coat Pullover | Light Weight, Cozy, Comfortable, Roomy | for Adults Women Men Teens</t>
        </is>
      </c>
      <c r="C2115" t="inlineStr">
        <is>
          <t>1WMHD540S1GY</t>
        </is>
      </c>
      <c r="D2115" t="inlineStr">
        <is>
          <t>Sweatshirts &amp; Hoodies</t>
        </is>
      </c>
      <c r="E2115" t="inlineStr">
        <is>
          <t>Flyingstar</t>
        </is>
      </c>
      <c r="F2115" t="inlineStr">
        <is>
          <t>Hoodie ForAdult,Optimized</t>
        </is>
      </c>
      <c r="G2115" s="48" t="n">
        <v>0</v>
      </c>
      <c r="H2115" s="48" t="n">
        <v>0</v>
      </c>
      <c r="I2115" s="48" t="n">
        <v>0</v>
      </c>
      <c r="J2115" s="48" t="n">
        <v>0</v>
      </c>
      <c r="K2115" s="49" t="n">
        <v>0</v>
      </c>
      <c r="L2115" s="49" t="n">
        <v>0</v>
      </c>
      <c r="M2115" s="49" t="n">
        <v>0</v>
      </c>
      <c r="N2115" s="49" t="n">
        <v>0</v>
      </c>
      <c r="O2115" s="49" t="n">
        <v>0</v>
      </c>
      <c r="P2115" s="49" t="n">
        <v>0</v>
      </c>
      <c r="Q2115" s="49" t="n">
        <v>0</v>
      </c>
      <c r="R2115" s="49" t="n">
        <v>0</v>
      </c>
      <c r="S2115" s="50" t="n">
        <v>0</v>
      </c>
      <c r="T2115" s="50" t="n">
        <v>0</v>
      </c>
      <c r="U2115" s="50" t="n">
        <v>0</v>
      </c>
      <c r="V2115" s="50" t="n">
        <v>0</v>
      </c>
      <c r="W2115" s="51" t="n">
        <v>0</v>
      </c>
      <c r="X2115" s="51" t="n">
        <v>0</v>
      </c>
      <c r="Y2115" s="51" t="n">
        <v>0</v>
      </c>
      <c r="Z2115" s="51" t="n">
        <v>0</v>
      </c>
      <c r="AA2115" s="52" t="n">
        <v>0</v>
      </c>
      <c r="AB2115" s="52" t="n">
        <v>0</v>
      </c>
      <c r="AC2115" s="52" t="n">
        <v>0</v>
      </c>
      <c r="AD2115" s="52" t="n">
        <v>0</v>
      </c>
      <c r="AE2115" s="52" t="n">
        <v>0</v>
      </c>
      <c r="AF2115" s="52" t="n">
        <v>0</v>
      </c>
      <c r="AG2115" s="52" t="n">
        <v>0</v>
      </c>
      <c r="AH2115" s="52" t="n">
        <v>0</v>
      </c>
      <c r="AI2115" s="52" t="n">
        <v>0</v>
      </c>
      <c r="AJ2115" s="52" t="n">
        <v>0</v>
      </c>
      <c r="AK2115" s="52" t="n">
        <v>0</v>
      </c>
      <c r="AL2115" s="52" t="n">
        <v>0</v>
      </c>
      <c r="AM2115" s="53" t="n">
        <v>0</v>
      </c>
      <c r="AN2115" s="53" t="n">
        <v>0</v>
      </c>
      <c r="AO2115" s="53" t="n">
        <v>0</v>
      </c>
      <c r="AP2115" s="53" t="n">
        <v>0</v>
      </c>
      <c r="AQ2115" s="52" t="n">
        <v>0</v>
      </c>
      <c r="AR2115" s="52" t="n">
        <v>0</v>
      </c>
      <c r="AS2115" s="52" t="n">
        <v>0</v>
      </c>
      <c r="AT2115" s="52" t="n">
        <v>0</v>
      </c>
      <c r="AU2115" s="53" t="n">
        <v>0</v>
      </c>
      <c r="AV2115" s="53" t="n">
        <v>0</v>
      </c>
      <c r="AW2115" s="53" t="n">
        <v>0</v>
      </c>
      <c r="AX2115" s="53" t="n">
        <v>0</v>
      </c>
      <c r="AY2115" s="52" t="n">
        <v>0</v>
      </c>
      <c r="AZ2115" s="52" t="n">
        <v>0</v>
      </c>
      <c r="BA2115" s="52" t="n">
        <v>0</v>
      </c>
      <c r="BB2115" s="52" t="n">
        <v>0</v>
      </c>
      <c r="BC2115" s="51" t="n">
        <v>0</v>
      </c>
      <c r="BD2115" s="51" t="n">
        <v>0</v>
      </c>
      <c r="BE2115" s="51" t="n">
        <v>0</v>
      </c>
      <c r="BF2115" s="51" t="n">
        <v>0</v>
      </c>
    </row>
    <row r="2116">
      <c r="A2116">
        <f>HYPERLINK("https://www.walmart.com/ip/369508891", "369508891")</f>
        <v/>
      </c>
      <c r="B2116" t="inlineStr">
        <is>
          <t>Womens Sun Hat w/ Floppy Brim, Straw Edge Foldable Gardening Hiking Beach Hat for Women</t>
        </is>
      </c>
      <c r="C2116" t="inlineStr">
        <is>
          <t>1SLSH031BE</t>
        </is>
      </c>
      <c r="D2116" t="inlineStr">
        <is>
          <t>Hats</t>
        </is>
      </c>
      <c r="E2116" t="inlineStr">
        <is>
          <t>Solaris</t>
        </is>
      </c>
      <c r="F2116" t="inlineStr">
        <is>
          <t>WFS,Hats,WFS Item</t>
        </is>
      </c>
      <c r="G2116" s="48" t="n">
        <v>0</v>
      </c>
      <c r="H2116" s="48" t="n">
        <v>0</v>
      </c>
      <c r="I2116" s="48" t="n">
        <v>0</v>
      </c>
      <c r="J2116" s="48" t="n">
        <v>0</v>
      </c>
      <c r="K2116" s="49" t="n">
        <v>0</v>
      </c>
      <c r="L2116" s="49" t="n">
        <v>0</v>
      </c>
      <c r="M2116" s="49" t="n">
        <v>0</v>
      </c>
      <c r="N2116" s="49" t="n">
        <v>0</v>
      </c>
      <c r="O2116" s="49" t="n">
        <v>0</v>
      </c>
      <c r="P2116" s="49" t="n">
        <v>0</v>
      </c>
      <c r="Q2116" s="49" t="n">
        <v>0</v>
      </c>
      <c r="R2116" s="49" t="n">
        <v>0</v>
      </c>
      <c r="S2116" s="50" t="n">
        <v>0</v>
      </c>
      <c r="T2116" s="50" t="n">
        <v>0</v>
      </c>
      <c r="U2116" s="50" t="n">
        <v>0</v>
      </c>
      <c r="V2116" s="50" t="n">
        <v>0</v>
      </c>
      <c r="W2116" s="51" t="n">
        <v>0</v>
      </c>
      <c r="X2116" s="51" t="n">
        <v>0</v>
      </c>
      <c r="Y2116" s="51" t="n">
        <v>0</v>
      </c>
      <c r="Z2116" s="51" t="n">
        <v>0</v>
      </c>
      <c r="AA2116" s="52" t="n">
        <v>0</v>
      </c>
      <c r="AB2116" s="52" t="n">
        <v>0</v>
      </c>
      <c r="AC2116" s="52" t="n">
        <v>0</v>
      </c>
      <c r="AD2116" s="52" t="n">
        <v>0</v>
      </c>
      <c r="AE2116" s="52" t="n">
        <v>0</v>
      </c>
      <c r="AF2116" s="52" t="n">
        <v>0</v>
      </c>
      <c r="AG2116" s="52" t="n">
        <v>0</v>
      </c>
      <c r="AH2116" s="52" t="n">
        <v>0</v>
      </c>
      <c r="AI2116" s="52" t="n">
        <v>0</v>
      </c>
      <c r="AJ2116" s="52" t="n">
        <v>0</v>
      </c>
      <c r="AK2116" s="52" t="n">
        <v>0</v>
      </c>
      <c r="AL2116" s="52" t="n">
        <v>0</v>
      </c>
      <c r="AM2116" s="53" t="n">
        <v>0</v>
      </c>
      <c r="AN2116" s="53" t="n">
        <v>0</v>
      </c>
      <c r="AO2116" s="53" t="n">
        <v>0</v>
      </c>
      <c r="AP2116" s="53" t="n">
        <v>0</v>
      </c>
      <c r="AQ2116" s="52" t="n">
        <v>0</v>
      </c>
      <c r="AR2116" s="52" t="n">
        <v>0</v>
      </c>
      <c r="AS2116" s="52" t="n">
        <v>0</v>
      </c>
      <c r="AT2116" s="52" t="n">
        <v>0</v>
      </c>
      <c r="AU2116" s="53" t="n">
        <v>0</v>
      </c>
      <c r="AV2116" s="53" t="n">
        <v>0</v>
      </c>
      <c r="AW2116" s="53" t="n">
        <v>0</v>
      </c>
      <c r="AX2116" s="53" t="n">
        <v>0</v>
      </c>
      <c r="AY2116" s="52" t="n">
        <v>0</v>
      </c>
      <c r="AZ2116" s="52" t="n">
        <v>0</v>
      </c>
      <c r="BA2116" s="52" t="n">
        <v>0</v>
      </c>
      <c r="BB2116" s="52" t="n">
        <v>0</v>
      </c>
      <c r="BC2116" s="51" t="n">
        <v>0</v>
      </c>
      <c r="BD2116" s="51" t="n">
        <v>0</v>
      </c>
      <c r="BE2116" s="51" t="n">
        <v>0</v>
      </c>
      <c r="BF2116" s="51" t="n">
        <v>0</v>
      </c>
    </row>
    <row r="2117">
      <c r="A2117">
        <f>HYPERLINK("https://www.walmart.com/ip/3696474048", "3696474048")</f>
        <v/>
      </c>
      <c r="B2117" t="inlineStr">
        <is>
          <t>Tirrinia Single Wine Gift Tote Bag, Insulated Padded Thermal Wine Bottle Carrying Cooler Carrier for Travel, Picnic, Great Gift for Wine Lover, Brown</t>
        </is>
      </c>
      <c r="C2117" t="inlineStr">
        <is>
          <t>1TRWB102PAPER</t>
        </is>
      </c>
      <c r="D2117" t="inlineStr">
        <is>
          <t>Wine Totes, Bags &amp; Backpacks</t>
        </is>
      </c>
      <c r="E2117" t="inlineStr">
        <is>
          <t>Tirrinia</t>
        </is>
      </c>
      <c r="G2117" s="48" t="n">
        <v>0</v>
      </c>
      <c r="H2117" s="48" t="n">
        <v>0</v>
      </c>
      <c r="I2117" s="48" t="n">
        <v>0</v>
      </c>
      <c r="J2117" s="48" t="n">
        <v>0</v>
      </c>
      <c r="K2117" s="49" t="n">
        <v>0</v>
      </c>
      <c r="L2117" s="49" t="n">
        <v>0</v>
      </c>
      <c r="M2117" s="49" t="n">
        <v>0</v>
      </c>
      <c r="N2117" s="49" t="n">
        <v>0</v>
      </c>
      <c r="O2117" s="49" t="n">
        <v>0</v>
      </c>
      <c r="P2117" s="49" t="n">
        <v>0</v>
      </c>
      <c r="Q2117" s="49" t="n">
        <v>0</v>
      </c>
      <c r="R2117" s="49" t="n">
        <v>0</v>
      </c>
      <c r="S2117" s="50" t="n">
        <v>0</v>
      </c>
      <c r="T2117" s="50" t="n">
        <v>0</v>
      </c>
      <c r="U2117" s="50" t="n">
        <v>0</v>
      </c>
      <c r="V2117" s="50" t="n">
        <v>0</v>
      </c>
      <c r="W2117" s="51" t="n">
        <v>3</v>
      </c>
      <c r="X2117" s="51" t="n">
        <v>2</v>
      </c>
      <c r="Y2117" s="51" t="n">
        <v>5</v>
      </c>
      <c r="Z2117" s="51" t="n">
        <v>5</v>
      </c>
      <c r="AA2117" s="52" t="n">
        <v>1.24</v>
      </c>
      <c r="AB2117" s="52" t="n">
        <v>0.8</v>
      </c>
      <c r="AC2117" s="52" t="n">
        <v>2</v>
      </c>
      <c r="AD2117" s="52" t="n">
        <v>2</v>
      </c>
      <c r="AE2117" s="52" t="n">
        <v>0</v>
      </c>
      <c r="AF2117" s="52" t="n">
        <v>0</v>
      </c>
      <c r="AG2117" s="52" t="n">
        <v>0</v>
      </c>
      <c r="AH2117" s="52" t="n">
        <v>0</v>
      </c>
      <c r="AI2117" s="52" t="n">
        <v>0</v>
      </c>
      <c r="AJ2117" s="52" t="n">
        <v>0</v>
      </c>
      <c r="AK2117" s="52" t="n">
        <v>0</v>
      </c>
      <c r="AL2117" s="52" t="n">
        <v>0</v>
      </c>
      <c r="AM2117" s="53" t="n">
        <v>0.0013</v>
      </c>
      <c r="AN2117" s="53" t="n">
        <v>0.001</v>
      </c>
      <c r="AO2117" s="53" t="n">
        <v>0.0025</v>
      </c>
      <c r="AP2117" s="53" t="n">
        <v>0.0018</v>
      </c>
      <c r="AQ2117" s="52" t="n">
        <v>0.4133333333333334</v>
      </c>
      <c r="AR2117" s="52" t="n">
        <v>0.4</v>
      </c>
      <c r="AS2117" s="52" t="n">
        <v>0.4</v>
      </c>
      <c r="AT2117" s="52" t="n">
        <v>0.4</v>
      </c>
      <c r="AU2117" s="53" t="n">
        <v>0</v>
      </c>
      <c r="AV2117" s="53" t="n">
        <v>0</v>
      </c>
      <c r="AW2117" s="53" t="n">
        <v>0</v>
      </c>
      <c r="AX2117" s="53" t="n">
        <v>0</v>
      </c>
      <c r="AY2117" s="52" t="n">
        <v>0</v>
      </c>
      <c r="AZ2117" s="52" t="n">
        <v>0</v>
      </c>
      <c r="BA2117" s="52" t="n">
        <v>0</v>
      </c>
      <c r="BB2117" s="52" t="n">
        <v>0</v>
      </c>
      <c r="BC2117" s="51" t="n">
        <v>2379</v>
      </c>
      <c r="BD2117" s="51" t="n">
        <v>1999</v>
      </c>
      <c r="BE2117" s="51" t="n">
        <v>1994</v>
      </c>
      <c r="BF2117" s="51" t="n">
        <v>2793</v>
      </c>
    </row>
    <row r="2118">
      <c r="A2118">
        <f>HYPERLINK("https://www.walmart.com/ip/370017645", "370017645")</f>
        <v/>
      </c>
      <c r="B2118" t="inlineStr">
        <is>
          <t>Catalonia Hooded Blanket Wearable Sherpa Fleece Wrap Hand Pockets Poncho | Comfy Throw Cape for Children and Adults, Women Gift</t>
        </is>
      </c>
      <c r="C2118" t="inlineStr">
        <is>
          <t>1CTBC100PP</t>
        </is>
      </c>
      <c r="D2118" t="inlineStr">
        <is>
          <t>Throws</t>
        </is>
      </c>
      <c r="E2118" t="inlineStr">
        <is>
          <t>Catalonia</t>
        </is>
      </c>
      <c r="F2118" t="inlineStr">
        <is>
          <t>Optimized,WFS,WFS Item</t>
        </is>
      </c>
      <c r="G2118" s="48" t="n">
        <v>0</v>
      </c>
      <c r="H2118" s="48" t="n">
        <v>0</v>
      </c>
      <c r="I2118" s="48" t="n">
        <v>0</v>
      </c>
      <c r="J2118" s="48" t="n">
        <v>0</v>
      </c>
      <c r="K2118" s="49" t="n">
        <v>0</v>
      </c>
      <c r="L2118" s="49" t="n">
        <v>0</v>
      </c>
      <c r="M2118" s="49" t="n">
        <v>0</v>
      </c>
      <c r="N2118" s="49" t="n">
        <v>0</v>
      </c>
      <c r="O2118" s="49" t="n">
        <v>0</v>
      </c>
      <c r="P2118" s="49" t="n">
        <v>0</v>
      </c>
      <c r="Q2118" s="49" t="n">
        <v>0</v>
      </c>
      <c r="R2118" s="49" t="n">
        <v>0</v>
      </c>
      <c r="S2118" s="50" t="n">
        <v>0</v>
      </c>
      <c r="T2118" s="50" t="n">
        <v>0</v>
      </c>
      <c r="U2118" s="50" t="n">
        <v>0</v>
      </c>
      <c r="V2118" s="50" t="n">
        <v>0</v>
      </c>
      <c r="W2118" s="51" t="n">
        <v>0</v>
      </c>
      <c r="X2118" s="51" t="n">
        <v>0</v>
      </c>
      <c r="Y2118" s="51" t="n">
        <v>0</v>
      </c>
      <c r="Z2118" s="51" t="n">
        <v>0</v>
      </c>
      <c r="AA2118" s="52" t="n">
        <v>0</v>
      </c>
      <c r="AB2118" s="52" t="n">
        <v>0</v>
      </c>
      <c r="AC2118" s="52" t="n">
        <v>0</v>
      </c>
      <c r="AD2118" s="52" t="n">
        <v>0</v>
      </c>
      <c r="AE2118" s="52" t="n">
        <v>0</v>
      </c>
      <c r="AF2118" s="52" t="n">
        <v>0</v>
      </c>
      <c r="AG2118" s="52" t="n">
        <v>0</v>
      </c>
      <c r="AH2118" s="52" t="n">
        <v>0</v>
      </c>
      <c r="AI2118" s="52" t="n">
        <v>0</v>
      </c>
      <c r="AJ2118" s="52" t="n">
        <v>0</v>
      </c>
      <c r="AK2118" s="52" t="n">
        <v>0</v>
      </c>
      <c r="AL2118" s="52" t="n">
        <v>0</v>
      </c>
      <c r="AM2118" s="53" t="n">
        <v>0</v>
      </c>
      <c r="AN2118" s="53" t="n">
        <v>0</v>
      </c>
      <c r="AO2118" s="53" t="n">
        <v>0</v>
      </c>
      <c r="AP2118" s="53" t="n">
        <v>0</v>
      </c>
      <c r="AQ2118" s="52" t="n">
        <v>0</v>
      </c>
      <c r="AR2118" s="52" t="n">
        <v>0</v>
      </c>
      <c r="AS2118" s="52" t="n">
        <v>0</v>
      </c>
      <c r="AT2118" s="52" t="n">
        <v>0</v>
      </c>
      <c r="AU2118" s="53" t="n">
        <v>0</v>
      </c>
      <c r="AV2118" s="53" t="n">
        <v>0</v>
      </c>
      <c r="AW2118" s="53" t="n">
        <v>0</v>
      </c>
      <c r="AX2118" s="53" t="n">
        <v>0</v>
      </c>
      <c r="AY2118" s="52" t="n">
        <v>0</v>
      </c>
      <c r="AZ2118" s="52" t="n">
        <v>0</v>
      </c>
      <c r="BA2118" s="52" t="n">
        <v>0</v>
      </c>
      <c r="BB2118" s="52" t="n">
        <v>0</v>
      </c>
      <c r="BC2118" s="51" t="n">
        <v>0</v>
      </c>
      <c r="BD2118" s="51" t="n">
        <v>0</v>
      </c>
      <c r="BE2118" s="51" t="n">
        <v>0</v>
      </c>
      <c r="BF2118" s="51" t="n">
        <v>0</v>
      </c>
    </row>
    <row r="2119">
      <c r="A2119">
        <f>HYPERLINK("https://www.walmart.com/ip/361725265", "361725265")</f>
        <v/>
      </c>
      <c r="B2119" t="inlineStr">
        <is>
          <t>Catalonia Sherpa Throw Blanket, Super Soft Comfy Micro Fleece Couch Blanket, Reversible Bed Throw TV Blanket, Comfort Caring Gift, Pink, 50" x 60"</t>
        </is>
      </c>
      <c r="C2119" t="inlineStr">
        <is>
          <t>1CTBF300PK</t>
        </is>
      </c>
      <c r="D2119" t="inlineStr">
        <is>
          <t>Throws</t>
        </is>
      </c>
      <c r="E2119" t="inlineStr">
        <is>
          <t>Catalonia</t>
        </is>
      </c>
      <c r="F2119" t="inlineStr">
        <is>
          <t>Q2-Target,Optimized,WFS,Coupon_Discount,WFS Item</t>
        </is>
      </c>
      <c r="G2119" s="48" t="n">
        <v>0</v>
      </c>
      <c r="H2119" s="48" t="n">
        <v>0</v>
      </c>
      <c r="I2119" s="48" t="n">
        <v>0</v>
      </c>
      <c r="J2119" s="48" t="n">
        <v>0</v>
      </c>
      <c r="K2119" s="49" t="n">
        <v>0</v>
      </c>
      <c r="L2119" s="49" t="n">
        <v>0</v>
      </c>
      <c r="M2119" s="49" t="n">
        <v>0</v>
      </c>
      <c r="N2119" s="49" t="n">
        <v>0</v>
      </c>
      <c r="O2119" s="49" t="n">
        <v>0</v>
      </c>
      <c r="P2119" s="49" t="n">
        <v>0</v>
      </c>
      <c r="Q2119" s="49" t="n">
        <v>0</v>
      </c>
      <c r="R2119" s="49" t="n">
        <v>0</v>
      </c>
      <c r="S2119" s="50" t="n">
        <v>0</v>
      </c>
      <c r="T2119" s="50" t="n">
        <v>0</v>
      </c>
      <c r="U2119" s="50" t="n">
        <v>0</v>
      </c>
      <c r="V2119" s="50" t="n">
        <v>0</v>
      </c>
      <c r="W2119" s="51" t="n">
        <v>0</v>
      </c>
      <c r="X2119" s="51" t="n">
        <v>0</v>
      </c>
      <c r="Y2119" s="51" t="n">
        <v>0</v>
      </c>
      <c r="Z2119" s="51" t="n">
        <v>0</v>
      </c>
      <c r="AA2119" s="52" t="n">
        <v>0</v>
      </c>
      <c r="AB2119" s="52" t="n">
        <v>0</v>
      </c>
      <c r="AC2119" s="52" t="n">
        <v>0</v>
      </c>
      <c r="AD2119" s="52" t="n">
        <v>0</v>
      </c>
      <c r="AE2119" s="52" t="n">
        <v>0</v>
      </c>
      <c r="AF2119" s="52" t="n">
        <v>0</v>
      </c>
      <c r="AG2119" s="52" t="n">
        <v>0</v>
      </c>
      <c r="AH2119" s="52" t="n">
        <v>0</v>
      </c>
      <c r="AI2119" s="52" t="n">
        <v>0</v>
      </c>
      <c r="AJ2119" s="52" t="n">
        <v>0</v>
      </c>
      <c r="AK2119" s="52" t="n">
        <v>0</v>
      </c>
      <c r="AL2119" s="52" t="n">
        <v>0</v>
      </c>
      <c r="AM2119" s="53" t="n">
        <v>0</v>
      </c>
      <c r="AN2119" s="53" t="n">
        <v>0</v>
      </c>
      <c r="AO2119" s="53" t="n">
        <v>0</v>
      </c>
      <c r="AP2119" s="53" t="n">
        <v>0</v>
      </c>
      <c r="AQ2119" s="52" t="n">
        <v>0</v>
      </c>
      <c r="AR2119" s="52" t="n">
        <v>0</v>
      </c>
      <c r="AS2119" s="52" t="n">
        <v>0</v>
      </c>
      <c r="AT2119" s="52" t="n">
        <v>0</v>
      </c>
      <c r="AU2119" s="53" t="n">
        <v>0</v>
      </c>
      <c r="AV2119" s="53" t="n">
        <v>0</v>
      </c>
      <c r="AW2119" s="53" t="n">
        <v>0</v>
      </c>
      <c r="AX2119" s="53" t="n">
        <v>0</v>
      </c>
      <c r="AY2119" s="52" t="n">
        <v>0</v>
      </c>
      <c r="AZ2119" s="52" t="n">
        <v>0</v>
      </c>
      <c r="BA2119" s="52" t="n">
        <v>0</v>
      </c>
      <c r="BB2119" s="52" t="n">
        <v>0</v>
      </c>
      <c r="BC2119" s="51" t="n">
        <v>0</v>
      </c>
      <c r="BD2119" s="51" t="n">
        <v>0</v>
      </c>
      <c r="BE2119" s="51" t="n">
        <v>0</v>
      </c>
      <c r="BF2119" s="51" t="n">
        <v>0</v>
      </c>
    </row>
    <row r="2120">
      <c r="A2120">
        <f>HYPERLINK("https://www.walmart.com/ip/360185924", "360185924")</f>
        <v/>
      </c>
      <c r="B2120" t="inlineStr">
        <is>
          <t>Tirrinia Wide Brim Sun Hat UPF 50 Foldable Bucket Summer Hat for Women Girls</t>
        </is>
      </c>
      <c r="C2120" t="inlineStr">
        <is>
          <t>1TRSHF065TAN-TBCB</t>
        </is>
      </c>
      <c r="D2120" t="inlineStr">
        <is>
          <t>Hats</t>
        </is>
      </c>
      <c r="E2120" t="inlineStr">
        <is>
          <t>Tirrinia</t>
        </is>
      </c>
      <c r="F2120" t="inlineStr">
        <is>
          <t>Batch 1 - TR</t>
        </is>
      </c>
      <c r="G2120" s="48" t="n">
        <v>0</v>
      </c>
      <c r="H2120" s="48" t="n">
        <v>0</v>
      </c>
      <c r="I2120" s="48" t="n">
        <v>0</v>
      </c>
      <c r="J2120" s="48" t="n">
        <v>0</v>
      </c>
      <c r="K2120" s="49" t="n">
        <v>0</v>
      </c>
      <c r="L2120" s="49" t="n">
        <v>0</v>
      </c>
      <c r="M2120" s="49" t="n">
        <v>0</v>
      </c>
      <c r="N2120" s="49" t="n">
        <v>0</v>
      </c>
      <c r="O2120" s="49" t="n">
        <v>0</v>
      </c>
      <c r="P2120" s="49" t="n">
        <v>0</v>
      </c>
      <c r="Q2120" s="49" t="n">
        <v>0</v>
      </c>
      <c r="R2120" s="49" t="n">
        <v>0</v>
      </c>
      <c r="S2120" s="50" t="n">
        <v>0</v>
      </c>
      <c r="T2120" s="50" t="n">
        <v>0</v>
      </c>
      <c r="U2120" s="50" t="n">
        <v>0</v>
      </c>
      <c r="V2120" s="50" t="n">
        <v>0</v>
      </c>
      <c r="W2120" s="51" t="n">
        <v>0</v>
      </c>
      <c r="X2120" s="51" t="n">
        <v>0</v>
      </c>
      <c r="Y2120" s="51" t="n">
        <v>0</v>
      </c>
      <c r="Z2120" s="51" t="n">
        <v>0</v>
      </c>
      <c r="AA2120" s="52" t="n">
        <v>0</v>
      </c>
      <c r="AB2120" s="52" t="n">
        <v>0</v>
      </c>
      <c r="AC2120" s="52" t="n">
        <v>0</v>
      </c>
      <c r="AD2120" s="52" t="n">
        <v>0</v>
      </c>
      <c r="AE2120" s="52" t="n">
        <v>0</v>
      </c>
      <c r="AF2120" s="52" t="n">
        <v>0</v>
      </c>
      <c r="AG2120" s="52" t="n">
        <v>0</v>
      </c>
      <c r="AH2120" s="52" t="n">
        <v>0</v>
      </c>
      <c r="AI2120" s="52" t="n">
        <v>0</v>
      </c>
      <c r="AJ2120" s="52" t="n">
        <v>0</v>
      </c>
      <c r="AK2120" s="52" t="n">
        <v>0</v>
      </c>
      <c r="AL2120" s="52" t="n">
        <v>0</v>
      </c>
      <c r="AM2120" s="53" t="n">
        <v>0</v>
      </c>
      <c r="AN2120" s="53" t="n">
        <v>0</v>
      </c>
      <c r="AO2120" s="53" t="n">
        <v>0</v>
      </c>
      <c r="AP2120" s="53" t="n">
        <v>0</v>
      </c>
      <c r="AQ2120" s="52" t="n">
        <v>0</v>
      </c>
      <c r="AR2120" s="52" t="n">
        <v>0</v>
      </c>
      <c r="AS2120" s="52" t="n">
        <v>0</v>
      </c>
      <c r="AT2120" s="52" t="n">
        <v>0</v>
      </c>
      <c r="AU2120" s="53" t="n">
        <v>0</v>
      </c>
      <c r="AV2120" s="53" t="n">
        <v>0</v>
      </c>
      <c r="AW2120" s="53" t="n">
        <v>0</v>
      </c>
      <c r="AX2120" s="53" t="n">
        <v>0</v>
      </c>
      <c r="AY2120" s="52" t="n">
        <v>0</v>
      </c>
      <c r="AZ2120" s="52" t="n">
        <v>0</v>
      </c>
      <c r="BA2120" s="52" t="n">
        <v>0</v>
      </c>
      <c r="BB2120" s="52" t="n">
        <v>0</v>
      </c>
      <c r="BC2120" s="51" t="n">
        <v>0</v>
      </c>
      <c r="BD2120" s="51" t="n">
        <v>0</v>
      </c>
      <c r="BE2120" s="51" t="n">
        <v>0</v>
      </c>
      <c r="BF2120" s="51" t="n">
        <v>0</v>
      </c>
    </row>
    <row r="2121">
      <c r="A2121">
        <f>HYPERLINK("https://www.walmart.com/ip/349093030", "349093030")</f>
        <v/>
      </c>
      <c r="B2121" t="inlineStr">
        <is>
          <t>Women's High Waist Yoga Pants Workout Running Capri Legging Inner Pocket</t>
        </is>
      </c>
      <c r="C2121" t="inlineStr">
        <is>
          <t>1TRYP102BK-XXL</t>
        </is>
      </c>
      <c r="D2121" t="inlineStr">
        <is>
          <t>Leggings</t>
        </is>
      </c>
      <c r="E2121" t="inlineStr">
        <is>
          <t>Tirrinia</t>
        </is>
      </c>
      <c r="F2121" t="inlineStr">
        <is>
          <t>Optimized</t>
        </is>
      </c>
      <c r="G2121" s="48" t="n">
        <v>0</v>
      </c>
      <c r="H2121" s="48" t="n">
        <v>0</v>
      </c>
      <c r="I2121" s="48" t="n">
        <v>0</v>
      </c>
      <c r="J2121" s="48" t="n">
        <v>0</v>
      </c>
      <c r="K2121" s="49" t="n">
        <v>0</v>
      </c>
      <c r="L2121" s="49" t="n">
        <v>0</v>
      </c>
      <c r="M2121" s="49" t="n">
        <v>0</v>
      </c>
      <c r="N2121" s="49" t="n">
        <v>0</v>
      </c>
      <c r="O2121" s="49" t="n">
        <v>0</v>
      </c>
      <c r="P2121" s="49" t="n">
        <v>0</v>
      </c>
      <c r="Q2121" s="49" t="n">
        <v>0</v>
      </c>
      <c r="R2121" s="49" t="n">
        <v>0</v>
      </c>
      <c r="S2121" s="50" t="n">
        <v>0</v>
      </c>
      <c r="T2121" s="50" t="n">
        <v>0</v>
      </c>
      <c r="U2121" s="50" t="n">
        <v>0</v>
      </c>
      <c r="V2121" s="50" t="n">
        <v>0</v>
      </c>
      <c r="W2121" s="51" t="n">
        <v>0</v>
      </c>
      <c r="X2121" s="51" t="n">
        <v>0</v>
      </c>
      <c r="Y2121" s="51" t="n">
        <v>0</v>
      </c>
      <c r="Z2121" s="51" t="n">
        <v>0</v>
      </c>
      <c r="AA2121" s="52" t="n">
        <v>0</v>
      </c>
      <c r="AB2121" s="52" t="n">
        <v>0</v>
      </c>
      <c r="AC2121" s="52" t="n">
        <v>0</v>
      </c>
      <c r="AD2121" s="52" t="n">
        <v>0</v>
      </c>
      <c r="AE2121" s="52" t="n">
        <v>0</v>
      </c>
      <c r="AF2121" s="52" t="n">
        <v>0</v>
      </c>
      <c r="AG2121" s="52" t="n">
        <v>0</v>
      </c>
      <c r="AH2121" s="52" t="n">
        <v>0</v>
      </c>
      <c r="AI2121" s="52" t="n">
        <v>0</v>
      </c>
      <c r="AJ2121" s="52" t="n">
        <v>0</v>
      </c>
      <c r="AK2121" s="52" t="n">
        <v>0</v>
      </c>
      <c r="AL2121" s="52" t="n">
        <v>0</v>
      </c>
      <c r="AM2121" s="53" t="n">
        <v>0</v>
      </c>
      <c r="AN2121" s="53" t="n">
        <v>0</v>
      </c>
      <c r="AO2121" s="53" t="n">
        <v>0</v>
      </c>
      <c r="AP2121" s="53" t="n">
        <v>0</v>
      </c>
      <c r="AQ2121" s="52" t="n">
        <v>0</v>
      </c>
      <c r="AR2121" s="52" t="n">
        <v>0</v>
      </c>
      <c r="AS2121" s="52" t="n">
        <v>0</v>
      </c>
      <c r="AT2121" s="52" t="n">
        <v>0</v>
      </c>
      <c r="AU2121" s="53" t="n">
        <v>0</v>
      </c>
      <c r="AV2121" s="53" t="n">
        <v>0</v>
      </c>
      <c r="AW2121" s="53" t="n">
        <v>0</v>
      </c>
      <c r="AX2121" s="53" t="n">
        <v>0</v>
      </c>
      <c r="AY2121" s="52" t="n">
        <v>0</v>
      </c>
      <c r="AZ2121" s="52" t="n">
        <v>0</v>
      </c>
      <c r="BA2121" s="52" t="n">
        <v>0</v>
      </c>
      <c r="BB2121" s="52" t="n">
        <v>0</v>
      </c>
      <c r="BC2121" s="51" t="n">
        <v>0</v>
      </c>
      <c r="BD2121" s="51" t="n">
        <v>0</v>
      </c>
      <c r="BE2121" s="51" t="n">
        <v>0</v>
      </c>
      <c r="BF2121" s="51" t="n">
        <v>0</v>
      </c>
    </row>
    <row r="2122">
      <c r="A2122">
        <f>HYPERLINK("https://www.walmart.com/ip/359767590", "359767590")</f>
        <v/>
      </c>
      <c r="B2122" t="inlineStr">
        <is>
          <t>Knit Beanie Hat for Women,  Faux Fuzzy Pom Pom Winter Ski Skullies Cap</t>
        </is>
      </c>
      <c r="C2122" t="inlineStr">
        <is>
          <t>1SLWH100KK</t>
        </is>
      </c>
      <c r="D2122" t="inlineStr">
        <is>
          <t>Hats</t>
        </is>
      </c>
      <c r="E2122" t="inlineStr">
        <is>
          <t>Solaris</t>
        </is>
      </c>
      <c r="F2122" t="inlineStr">
        <is>
          <t>Batch 1 - TR</t>
        </is>
      </c>
      <c r="G2122" s="48" t="n">
        <v>0</v>
      </c>
      <c r="H2122" s="48" t="n">
        <v>0</v>
      </c>
      <c r="I2122" s="48" t="n">
        <v>0</v>
      </c>
      <c r="J2122" s="48" t="n">
        <v>0</v>
      </c>
      <c r="K2122" s="49" t="n">
        <v>0</v>
      </c>
      <c r="L2122" s="49" t="n">
        <v>0</v>
      </c>
      <c r="M2122" s="49" t="n">
        <v>0</v>
      </c>
      <c r="N2122" s="49" t="n">
        <v>0</v>
      </c>
      <c r="O2122" s="49" t="n">
        <v>0</v>
      </c>
      <c r="P2122" s="49" t="n">
        <v>0</v>
      </c>
      <c r="Q2122" s="49" t="n">
        <v>0</v>
      </c>
      <c r="R2122" s="49" t="n">
        <v>0</v>
      </c>
      <c r="S2122" s="50" t="n">
        <v>0</v>
      </c>
      <c r="T2122" s="50" t="n">
        <v>0</v>
      </c>
      <c r="U2122" s="50" t="n">
        <v>0</v>
      </c>
      <c r="V2122" s="50" t="n">
        <v>0</v>
      </c>
      <c r="W2122" s="51" t="n">
        <v>0</v>
      </c>
      <c r="X2122" s="51" t="n">
        <v>0</v>
      </c>
      <c r="Y2122" s="51" t="n">
        <v>0</v>
      </c>
      <c r="Z2122" s="51" t="n">
        <v>0</v>
      </c>
      <c r="AA2122" s="52" t="n">
        <v>0</v>
      </c>
      <c r="AB2122" s="52" t="n">
        <v>0</v>
      </c>
      <c r="AC2122" s="52" t="n">
        <v>0</v>
      </c>
      <c r="AD2122" s="52" t="n">
        <v>0</v>
      </c>
      <c r="AE2122" s="52" t="n">
        <v>0</v>
      </c>
      <c r="AF2122" s="52" t="n">
        <v>0</v>
      </c>
      <c r="AG2122" s="52" t="n">
        <v>0</v>
      </c>
      <c r="AH2122" s="52" t="n">
        <v>0</v>
      </c>
      <c r="AI2122" s="52" t="n">
        <v>0</v>
      </c>
      <c r="AJ2122" s="52" t="n">
        <v>0</v>
      </c>
      <c r="AK2122" s="52" t="n">
        <v>0</v>
      </c>
      <c r="AL2122" s="52" t="n">
        <v>0</v>
      </c>
      <c r="AM2122" s="53" t="n">
        <v>0</v>
      </c>
      <c r="AN2122" s="53" t="n">
        <v>0</v>
      </c>
      <c r="AO2122" s="53" t="n">
        <v>0</v>
      </c>
      <c r="AP2122" s="53" t="n">
        <v>0</v>
      </c>
      <c r="AQ2122" s="52" t="n">
        <v>0</v>
      </c>
      <c r="AR2122" s="52" t="n">
        <v>0</v>
      </c>
      <c r="AS2122" s="52" t="n">
        <v>0</v>
      </c>
      <c r="AT2122" s="52" t="n">
        <v>0</v>
      </c>
      <c r="AU2122" s="53" t="n">
        <v>0</v>
      </c>
      <c r="AV2122" s="53" t="n">
        <v>0</v>
      </c>
      <c r="AW2122" s="53" t="n">
        <v>0</v>
      </c>
      <c r="AX2122" s="53" t="n">
        <v>0</v>
      </c>
      <c r="AY2122" s="52" t="n">
        <v>0</v>
      </c>
      <c r="AZ2122" s="52" t="n">
        <v>0</v>
      </c>
      <c r="BA2122" s="52" t="n">
        <v>0</v>
      </c>
      <c r="BB2122" s="52" t="n">
        <v>0</v>
      </c>
      <c r="BC2122" s="51" t="n">
        <v>0</v>
      </c>
      <c r="BD2122" s="51" t="n">
        <v>0</v>
      </c>
      <c r="BE2122" s="51" t="n">
        <v>0</v>
      </c>
      <c r="BF2122" s="51" t="n">
        <v>0</v>
      </c>
    </row>
    <row r="2123">
      <c r="A2123">
        <f>HYPERLINK("https://www.walmart.com/ip/350322988", "350322988")</f>
        <v/>
      </c>
      <c r="B2123" t="inlineStr">
        <is>
          <t>Jennis Halloween, Masquerades, Carnivals LED Necktie Light Up Tie LED Glow Dark,Upgrade USB Rechargeable Luminous Novelty Necktie Unisex LED Tie for Party Costume Men Women Boys</t>
        </is>
      </c>
      <c r="C2123" t="inlineStr">
        <is>
          <t>LEDTIE02-DBL</t>
        </is>
      </c>
      <c r="D2123" t="inlineStr">
        <is>
          <t>Neckties</t>
        </is>
      </c>
      <c r="E2123" t="inlineStr">
        <is>
          <t>JenniWears</t>
        </is>
      </c>
      <c r="F2123" t="inlineStr">
        <is>
          <t>Optimized,Halloween</t>
        </is>
      </c>
      <c r="G2123" s="48" t="n">
        <v>0</v>
      </c>
      <c r="H2123" s="48" t="n">
        <v>0</v>
      </c>
      <c r="I2123" s="48" t="n">
        <v>0</v>
      </c>
      <c r="J2123" s="48" t="n">
        <v>0</v>
      </c>
      <c r="K2123" s="49" t="n">
        <v>0</v>
      </c>
      <c r="L2123" s="49" t="n">
        <v>0</v>
      </c>
      <c r="M2123" s="49" t="n">
        <v>0</v>
      </c>
      <c r="N2123" s="49" t="n">
        <v>0</v>
      </c>
      <c r="O2123" s="49" t="n">
        <v>0</v>
      </c>
      <c r="P2123" s="49" t="n">
        <v>0</v>
      </c>
      <c r="Q2123" s="49" t="n">
        <v>0</v>
      </c>
      <c r="R2123" s="49" t="n">
        <v>0</v>
      </c>
      <c r="S2123" s="50" t="n">
        <v>0</v>
      </c>
      <c r="T2123" s="50" t="n">
        <v>0</v>
      </c>
      <c r="U2123" s="50" t="n">
        <v>0</v>
      </c>
      <c r="V2123" s="50" t="n">
        <v>0</v>
      </c>
      <c r="W2123" s="51" t="n">
        <v>0</v>
      </c>
      <c r="X2123" s="51" t="n">
        <v>0</v>
      </c>
      <c r="Y2123" s="51" t="n">
        <v>0</v>
      </c>
      <c r="Z2123" s="51" t="n">
        <v>0</v>
      </c>
      <c r="AA2123" s="52" t="n">
        <v>0</v>
      </c>
      <c r="AB2123" s="52" t="n">
        <v>0</v>
      </c>
      <c r="AC2123" s="52" t="n">
        <v>0</v>
      </c>
      <c r="AD2123" s="52" t="n">
        <v>0</v>
      </c>
      <c r="AE2123" s="52" t="n">
        <v>0</v>
      </c>
      <c r="AF2123" s="52" t="n">
        <v>0</v>
      </c>
      <c r="AG2123" s="52" t="n">
        <v>0</v>
      </c>
      <c r="AH2123" s="52" t="n">
        <v>0</v>
      </c>
      <c r="AI2123" s="52" t="n">
        <v>0</v>
      </c>
      <c r="AJ2123" s="52" t="n">
        <v>0</v>
      </c>
      <c r="AK2123" s="52" t="n">
        <v>0</v>
      </c>
      <c r="AL2123" s="52" t="n">
        <v>0</v>
      </c>
      <c r="AM2123" s="53" t="n">
        <v>0</v>
      </c>
      <c r="AN2123" s="53" t="n">
        <v>0</v>
      </c>
      <c r="AO2123" s="53" t="n">
        <v>0</v>
      </c>
      <c r="AP2123" s="53" t="n">
        <v>0</v>
      </c>
      <c r="AQ2123" s="52" t="n">
        <v>0</v>
      </c>
      <c r="AR2123" s="52" t="n">
        <v>0</v>
      </c>
      <c r="AS2123" s="52" t="n">
        <v>0</v>
      </c>
      <c r="AT2123" s="52" t="n">
        <v>0</v>
      </c>
      <c r="AU2123" s="53" t="n">
        <v>0</v>
      </c>
      <c r="AV2123" s="53" t="n">
        <v>0</v>
      </c>
      <c r="AW2123" s="53" t="n">
        <v>0</v>
      </c>
      <c r="AX2123" s="53" t="n">
        <v>0</v>
      </c>
      <c r="AY2123" s="52" t="n">
        <v>0</v>
      </c>
      <c r="AZ2123" s="52" t="n">
        <v>0</v>
      </c>
      <c r="BA2123" s="52" t="n">
        <v>0</v>
      </c>
      <c r="BB2123" s="52" t="n">
        <v>0</v>
      </c>
      <c r="BC2123" s="51" t="n">
        <v>0</v>
      </c>
      <c r="BD2123" s="51" t="n">
        <v>0</v>
      </c>
      <c r="BE2123" s="51" t="n">
        <v>0</v>
      </c>
      <c r="BF2123" s="51" t="n">
        <v>0</v>
      </c>
    </row>
    <row r="2124">
      <c r="A2124">
        <f>HYPERLINK("https://www.walmart.com/ip/350852795", "350852795")</f>
        <v/>
      </c>
      <c r="B2124" t="inlineStr">
        <is>
          <t>Catalonia Hooded Blanket Poncho | Wearable Blanket Wrap with Hand Pockets | Comfy Sherpa Fleece Throw Cape for Children and Adults, Christmas Thanksgiving Mother Gift, Red Checker</t>
        </is>
      </c>
      <c r="C2124" t="inlineStr">
        <is>
          <t>1CTBC100P2RD</t>
        </is>
      </c>
      <c r="D2124" t="inlineStr">
        <is>
          <t>Throws</t>
        </is>
      </c>
      <c r="E2124" t="inlineStr">
        <is>
          <t>Catalonia</t>
        </is>
      </c>
      <c r="F2124" t="inlineStr">
        <is>
          <t>Batch 1 - TR</t>
        </is>
      </c>
      <c r="G2124" s="48" t="n">
        <v>0</v>
      </c>
      <c r="H2124" s="48" t="n">
        <v>0</v>
      </c>
      <c r="I2124" s="48" t="n">
        <v>0</v>
      </c>
      <c r="J2124" s="48" t="n">
        <v>0</v>
      </c>
      <c r="K2124" s="49" t="n">
        <v>0</v>
      </c>
      <c r="L2124" s="49" t="n">
        <v>0</v>
      </c>
      <c r="M2124" s="49" t="n">
        <v>0</v>
      </c>
      <c r="N2124" s="49" t="n">
        <v>0</v>
      </c>
      <c r="O2124" s="49" t="n">
        <v>0</v>
      </c>
      <c r="P2124" s="49" t="n">
        <v>0</v>
      </c>
      <c r="Q2124" s="49" t="n">
        <v>0</v>
      </c>
      <c r="R2124" s="49" t="n">
        <v>0</v>
      </c>
      <c r="S2124" s="50" t="n">
        <v>0</v>
      </c>
      <c r="T2124" s="50" t="n">
        <v>0</v>
      </c>
      <c r="U2124" s="50" t="n">
        <v>0</v>
      </c>
      <c r="V2124" s="50" t="n">
        <v>0</v>
      </c>
      <c r="W2124" s="51" t="n">
        <v>0</v>
      </c>
      <c r="X2124" s="51" t="n">
        <v>0</v>
      </c>
      <c r="Y2124" s="51" t="n">
        <v>0</v>
      </c>
      <c r="Z2124" s="51" t="n">
        <v>0</v>
      </c>
      <c r="AA2124" s="52" t="n">
        <v>0</v>
      </c>
      <c r="AB2124" s="52" t="n">
        <v>0</v>
      </c>
      <c r="AC2124" s="52" t="n">
        <v>0</v>
      </c>
      <c r="AD2124" s="52" t="n">
        <v>0</v>
      </c>
      <c r="AE2124" s="52" t="n">
        <v>0</v>
      </c>
      <c r="AF2124" s="52" t="n">
        <v>0</v>
      </c>
      <c r="AG2124" s="52" t="n">
        <v>0</v>
      </c>
      <c r="AH2124" s="52" t="n">
        <v>0</v>
      </c>
      <c r="AI2124" s="52" t="n">
        <v>0</v>
      </c>
      <c r="AJ2124" s="52" t="n">
        <v>0</v>
      </c>
      <c r="AK2124" s="52" t="n">
        <v>0</v>
      </c>
      <c r="AL2124" s="52" t="n">
        <v>0</v>
      </c>
      <c r="AM2124" s="53" t="n">
        <v>0</v>
      </c>
      <c r="AN2124" s="53" t="n">
        <v>0</v>
      </c>
      <c r="AO2124" s="53" t="n">
        <v>0</v>
      </c>
      <c r="AP2124" s="53" t="n">
        <v>0</v>
      </c>
      <c r="AQ2124" s="52" t="n">
        <v>0</v>
      </c>
      <c r="AR2124" s="52" t="n">
        <v>0</v>
      </c>
      <c r="AS2124" s="52" t="n">
        <v>0</v>
      </c>
      <c r="AT2124" s="52" t="n">
        <v>0</v>
      </c>
      <c r="AU2124" s="53" t="n">
        <v>0</v>
      </c>
      <c r="AV2124" s="53" t="n">
        <v>0</v>
      </c>
      <c r="AW2124" s="53" t="n">
        <v>0</v>
      </c>
      <c r="AX2124" s="53" t="n">
        <v>0</v>
      </c>
      <c r="AY2124" s="52" t="n">
        <v>0</v>
      </c>
      <c r="AZ2124" s="52" t="n">
        <v>0</v>
      </c>
      <c r="BA2124" s="52" t="n">
        <v>0</v>
      </c>
      <c r="BB2124" s="52" t="n">
        <v>0</v>
      </c>
      <c r="BC2124" s="51" t="n">
        <v>0</v>
      </c>
      <c r="BD2124" s="51" t="n">
        <v>0</v>
      </c>
      <c r="BE2124" s="51" t="n">
        <v>0</v>
      </c>
      <c r="BF2124" s="51" t="n">
        <v>0</v>
      </c>
    </row>
    <row r="2125">
      <c r="A2125">
        <f>HYPERLINK("https://www.walmart.com/ip/351924019", "351924019")</f>
        <v/>
      </c>
      <c r="B2125" t="inlineStr">
        <is>
          <t>Flyingstar Lunch Bag for Women Men, Insulated Lunch Tote for Working/School/Picnic Fashionable Cooler Bag</t>
        </is>
      </c>
      <c r="C2125" t="inlineStr">
        <is>
          <t>1WMLB704WN</t>
        </is>
      </c>
      <c r="D2125" t="inlineStr">
        <is>
          <t>Reusable Lunch Bags &amp; Boxes</t>
        </is>
      </c>
      <c r="E2125" t="inlineStr">
        <is>
          <t>Flyingstar</t>
        </is>
      </c>
      <c r="F2125" t="inlineStr">
        <is>
          <t>Q2-Target,Lunch Bag</t>
        </is>
      </c>
      <c r="G2125" s="48" t="n">
        <v>0</v>
      </c>
      <c r="H2125" s="48" t="n">
        <v>7.98</v>
      </c>
      <c r="I2125" s="48" t="n">
        <v>-4.19</v>
      </c>
      <c r="J2125" s="48" t="n">
        <v>7.98</v>
      </c>
      <c r="K2125" s="49" t="n">
        <v>0</v>
      </c>
      <c r="L2125" s="49" t="n">
        <v>1</v>
      </c>
      <c r="M2125" s="49" t="n">
        <v>-1</v>
      </c>
      <c r="N2125" s="49" t="n">
        <v>1</v>
      </c>
      <c r="O2125" s="49" t="n">
        <v>4</v>
      </c>
      <c r="P2125" s="49" t="n">
        <v>6</v>
      </c>
      <c r="Q2125" s="49" t="n">
        <v>7</v>
      </c>
      <c r="R2125" s="49" t="n">
        <v>8</v>
      </c>
      <c r="S2125" s="50" t="n">
        <v>0</v>
      </c>
      <c r="T2125" s="50" t="n">
        <v>0.1666666666666667</v>
      </c>
      <c r="U2125" s="50" t="n">
        <v>-0.1428571428571428</v>
      </c>
      <c r="V2125" s="50" t="n">
        <v>0.125</v>
      </c>
      <c r="W2125" s="51" t="n">
        <v>0</v>
      </c>
      <c r="X2125" s="51" t="n">
        <v>0</v>
      </c>
      <c r="Y2125" s="51" t="n">
        <v>0</v>
      </c>
      <c r="Z2125" s="51" t="n">
        <v>0</v>
      </c>
      <c r="AA2125" s="52" t="n">
        <v>0</v>
      </c>
      <c r="AB2125" s="52" t="n">
        <v>0</v>
      </c>
      <c r="AC2125" s="52" t="n">
        <v>0</v>
      </c>
      <c r="AD2125" s="52" t="n">
        <v>0</v>
      </c>
      <c r="AE2125" s="52" t="n">
        <v>0</v>
      </c>
      <c r="AF2125" s="52" t="n">
        <v>0</v>
      </c>
      <c r="AG2125" s="52" t="n">
        <v>0</v>
      </c>
      <c r="AH2125" s="52" t="n">
        <v>0</v>
      </c>
      <c r="AI2125" s="52" t="n">
        <v>0</v>
      </c>
      <c r="AJ2125" s="52" t="n">
        <v>0</v>
      </c>
      <c r="AK2125" s="52" t="n">
        <v>0</v>
      </c>
      <c r="AL2125" s="52" t="n">
        <v>0</v>
      </c>
      <c r="AM2125" s="53" t="n">
        <v>0</v>
      </c>
      <c r="AN2125" s="53" t="n">
        <v>0</v>
      </c>
      <c r="AO2125" s="53" t="n">
        <v>0</v>
      </c>
      <c r="AP2125" s="53" t="n">
        <v>0</v>
      </c>
      <c r="AQ2125" s="52" t="n">
        <v>0</v>
      </c>
      <c r="AR2125" s="52" t="n">
        <v>0</v>
      </c>
      <c r="AS2125" s="52" t="n">
        <v>0</v>
      </c>
      <c r="AT2125" s="52" t="n">
        <v>0</v>
      </c>
      <c r="AU2125" s="53" t="n">
        <v>0</v>
      </c>
      <c r="AV2125" s="53" t="n">
        <v>0</v>
      </c>
      <c r="AW2125" s="53" t="n">
        <v>0</v>
      </c>
      <c r="AX2125" s="53" t="n">
        <v>0</v>
      </c>
      <c r="AY2125" s="52" t="n">
        <v>0</v>
      </c>
      <c r="AZ2125" s="52" t="n">
        <v>7.98</v>
      </c>
      <c r="BA2125" s="52" t="n">
        <v>0</v>
      </c>
      <c r="BB2125" s="52" t="n">
        <v>7.98</v>
      </c>
      <c r="BC2125" s="51" t="n">
        <v>0</v>
      </c>
      <c r="BD2125" s="51" t="n">
        <v>0</v>
      </c>
      <c r="BE2125" s="51" t="n">
        <v>0</v>
      </c>
      <c r="BF2125" s="51" t="n">
        <v>0</v>
      </c>
    </row>
    <row r="2126">
      <c r="A2126">
        <f>HYPERLINK("https://www.walmart.com/ip/352073228", "352073228")</f>
        <v/>
      </c>
      <c r="B2126" t="inlineStr">
        <is>
          <t>Catalonia Sherpa Throw Blanket, Super Soft Warm Fuzzy Comfy Micro Plush Fleece Blanket for All Seasons, Reversible, Match Color, 50" x 60"</t>
        </is>
      </c>
      <c r="C2126" t="inlineStr">
        <is>
          <t>1CTBF301DG</t>
        </is>
      </c>
      <c r="D2126" t="inlineStr">
        <is>
          <t>Throws</t>
        </is>
      </c>
      <c r="E2126" t="inlineStr">
        <is>
          <t>Catalonia</t>
        </is>
      </c>
      <c r="F2126" t="inlineStr">
        <is>
          <t>WFS,Valentine,Coupon_Discount,WFS Item,Fleece Blankets</t>
        </is>
      </c>
      <c r="G2126" s="48" t="n">
        <v>0</v>
      </c>
      <c r="H2126" s="48" t="n">
        <v>0</v>
      </c>
      <c r="I2126" s="48" t="n">
        <v>0</v>
      </c>
      <c r="J2126" s="48" t="n">
        <v>0</v>
      </c>
      <c r="K2126" s="49" t="n">
        <v>0</v>
      </c>
      <c r="L2126" s="49" t="n">
        <v>0</v>
      </c>
      <c r="M2126" s="49" t="n">
        <v>0</v>
      </c>
      <c r="N2126" s="49" t="n">
        <v>0</v>
      </c>
      <c r="O2126" s="49" t="n">
        <v>0</v>
      </c>
      <c r="P2126" s="49" t="n">
        <v>0</v>
      </c>
      <c r="Q2126" s="49" t="n">
        <v>0</v>
      </c>
      <c r="R2126" s="49" t="n">
        <v>0</v>
      </c>
      <c r="S2126" s="50" t="n">
        <v>0</v>
      </c>
      <c r="T2126" s="50" t="n">
        <v>0</v>
      </c>
      <c r="U2126" s="50" t="n">
        <v>0</v>
      </c>
      <c r="V2126" s="50" t="n">
        <v>0</v>
      </c>
      <c r="W2126" s="51" t="n">
        <v>0</v>
      </c>
      <c r="X2126" s="51" t="n">
        <v>0</v>
      </c>
      <c r="Y2126" s="51" t="n">
        <v>0</v>
      </c>
      <c r="Z2126" s="51" t="n">
        <v>0</v>
      </c>
      <c r="AA2126" s="52" t="n">
        <v>0</v>
      </c>
      <c r="AB2126" s="52" t="n">
        <v>0</v>
      </c>
      <c r="AC2126" s="52" t="n">
        <v>0</v>
      </c>
      <c r="AD2126" s="52" t="n">
        <v>0</v>
      </c>
      <c r="AE2126" s="52" t="n">
        <v>0</v>
      </c>
      <c r="AF2126" s="52" t="n">
        <v>0</v>
      </c>
      <c r="AG2126" s="52" t="n">
        <v>0</v>
      </c>
      <c r="AH2126" s="52" t="n">
        <v>0</v>
      </c>
      <c r="AI2126" s="52" t="n">
        <v>0</v>
      </c>
      <c r="AJ2126" s="52" t="n">
        <v>0</v>
      </c>
      <c r="AK2126" s="52" t="n">
        <v>0</v>
      </c>
      <c r="AL2126" s="52" t="n">
        <v>0</v>
      </c>
      <c r="AM2126" s="53" t="n">
        <v>0</v>
      </c>
      <c r="AN2126" s="53" t="n">
        <v>0</v>
      </c>
      <c r="AO2126" s="53" t="n">
        <v>0</v>
      </c>
      <c r="AP2126" s="53" t="n">
        <v>0</v>
      </c>
      <c r="AQ2126" s="52" t="n">
        <v>0</v>
      </c>
      <c r="AR2126" s="52" t="n">
        <v>0</v>
      </c>
      <c r="AS2126" s="52" t="n">
        <v>0</v>
      </c>
      <c r="AT2126" s="52" t="n">
        <v>0</v>
      </c>
      <c r="AU2126" s="53" t="n">
        <v>0</v>
      </c>
      <c r="AV2126" s="53" t="n">
        <v>0</v>
      </c>
      <c r="AW2126" s="53" t="n">
        <v>0</v>
      </c>
      <c r="AX2126" s="53" t="n">
        <v>0</v>
      </c>
      <c r="AY2126" s="52" t="n">
        <v>0</v>
      </c>
      <c r="AZ2126" s="52" t="n">
        <v>0</v>
      </c>
      <c r="BA2126" s="52" t="n">
        <v>0</v>
      </c>
      <c r="BB2126" s="52" t="n">
        <v>0</v>
      </c>
      <c r="BC2126" s="51" t="n">
        <v>0</v>
      </c>
      <c r="BD2126" s="51" t="n">
        <v>0</v>
      </c>
      <c r="BE2126" s="51" t="n">
        <v>0</v>
      </c>
      <c r="BF2126" s="51" t="n">
        <v>0</v>
      </c>
    </row>
    <row r="2127">
      <c r="A2127">
        <f>HYPERLINK("https://www.walmart.com/ip/353232887", "353232887")</f>
        <v/>
      </c>
      <c r="B2127" t="inlineStr">
        <is>
          <t>Catalonia Sherpa Fleece Throw Blanket, Super Soft Mink Plush Couch Blanket, TV Bed Fuzzy Blanket, Fluffy Comfy Warm Heavy Throws, Comfort Caring Gift, 50x60 inches, Stella</t>
        </is>
      </c>
      <c r="C2127" t="inlineStr">
        <is>
          <t>1CTBF300STL</t>
        </is>
      </c>
      <c r="D2127" t="inlineStr">
        <is>
          <t>Throws</t>
        </is>
      </c>
      <c r="E2127" t="inlineStr">
        <is>
          <t>Catalonia</t>
        </is>
      </c>
      <c r="F2127" t="inlineStr">
        <is>
          <t>WFS,cost-added,WFS Item</t>
        </is>
      </c>
      <c r="G2127" s="48" t="n">
        <v>0</v>
      </c>
      <c r="H2127" s="48" t="n">
        <v>0</v>
      </c>
      <c r="I2127" s="48" t="n">
        <v>0</v>
      </c>
      <c r="J2127" s="48" t="n">
        <v>0</v>
      </c>
      <c r="K2127" s="49" t="n">
        <v>0</v>
      </c>
      <c r="L2127" s="49" t="n">
        <v>0</v>
      </c>
      <c r="M2127" s="49" t="n">
        <v>0</v>
      </c>
      <c r="N2127" s="49" t="n">
        <v>0</v>
      </c>
      <c r="O2127" s="49" t="n">
        <v>0</v>
      </c>
      <c r="P2127" s="49" t="n">
        <v>0</v>
      </c>
      <c r="Q2127" s="49" t="n">
        <v>0</v>
      </c>
      <c r="R2127" s="49" t="n">
        <v>0</v>
      </c>
      <c r="S2127" s="50" t="n">
        <v>0</v>
      </c>
      <c r="T2127" s="50" t="n">
        <v>0</v>
      </c>
      <c r="U2127" s="50" t="n">
        <v>0</v>
      </c>
      <c r="V2127" s="50" t="n">
        <v>0</v>
      </c>
      <c r="W2127" s="51" t="n">
        <v>0</v>
      </c>
      <c r="X2127" s="51" t="n">
        <v>0</v>
      </c>
      <c r="Y2127" s="51" t="n">
        <v>0</v>
      </c>
      <c r="Z2127" s="51" t="n">
        <v>0</v>
      </c>
      <c r="AA2127" s="52" t="n">
        <v>0</v>
      </c>
      <c r="AB2127" s="52" t="n">
        <v>0</v>
      </c>
      <c r="AC2127" s="52" t="n">
        <v>0</v>
      </c>
      <c r="AD2127" s="52" t="n">
        <v>0</v>
      </c>
      <c r="AE2127" s="52" t="n">
        <v>0</v>
      </c>
      <c r="AF2127" s="52" t="n">
        <v>0</v>
      </c>
      <c r="AG2127" s="52" t="n">
        <v>0</v>
      </c>
      <c r="AH2127" s="52" t="n">
        <v>0</v>
      </c>
      <c r="AI2127" s="52" t="n">
        <v>0</v>
      </c>
      <c r="AJ2127" s="52" t="n">
        <v>0</v>
      </c>
      <c r="AK2127" s="52" t="n">
        <v>0</v>
      </c>
      <c r="AL2127" s="52" t="n">
        <v>0</v>
      </c>
      <c r="AM2127" s="53" t="n">
        <v>0</v>
      </c>
      <c r="AN2127" s="53" t="n">
        <v>0</v>
      </c>
      <c r="AO2127" s="53" t="n">
        <v>0</v>
      </c>
      <c r="AP2127" s="53" t="n">
        <v>0</v>
      </c>
      <c r="AQ2127" s="52" t="n">
        <v>0</v>
      </c>
      <c r="AR2127" s="52" t="n">
        <v>0</v>
      </c>
      <c r="AS2127" s="52" t="n">
        <v>0</v>
      </c>
      <c r="AT2127" s="52" t="n">
        <v>0</v>
      </c>
      <c r="AU2127" s="53" t="n">
        <v>0</v>
      </c>
      <c r="AV2127" s="53" t="n">
        <v>0</v>
      </c>
      <c r="AW2127" s="53" t="n">
        <v>0</v>
      </c>
      <c r="AX2127" s="53" t="n">
        <v>0</v>
      </c>
      <c r="AY2127" s="52" t="n">
        <v>0</v>
      </c>
      <c r="AZ2127" s="52" t="n">
        <v>0</v>
      </c>
      <c r="BA2127" s="52" t="n">
        <v>0</v>
      </c>
      <c r="BB2127" s="52" t="n">
        <v>0</v>
      </c>
      <c r="BC2127" s="51" t="n">
        <v>0</v>
      </c>
      <c r="BD2127" s="51" t="n">
        <v>0</v>
      </c>
      <c r="BE2127" s="51" t="n">
        <v>0</v>
      </c>
      <c r="BF2127" s="51" t="n">
        <v>0</v>
      </c>
    </row>
    <row r="2128">
      <c r="A2128">
        <f>HYPERLINK("https://www.walmart.com/ip/354587675", "354587675")</f>
        <v/>
      </c>
      <c r="B2128" t="inlineStr">
        <is>
          <t>Tirrinia Sherpa Wearable Super Soft Comfy Plush Fleece Blanket Poncho, 55'' x 80'', Purple</t>
        </is>
      </c>
      <c r="C2128" t="inlineStr">
        <is>
          <t>1TRBP110PP-TBCB</t>
        </is>
      </c>
      <c r="D2128" t="inlineStr">
        <is>
          <t>Throws</t>
        </is>
      </c>
      <c r="E2128" t="inlineStr">
        <is>
          <t>Tirrinia</t>
        </is>
      </c>
      <c r="F2128" t="inlineStr">
        <is>
          <t>Optimized</t>
        </is>
      </c>
      <c r="G2128" s="48" t="n">
        <v>0</v>
      </c>
      <c r="H2128" s="48" t="n">
        <v>0</v>
      </c>
      <c r="I2128" s="48" t="n">
        <v>0</v>
      </c>
      <c r="J2128" s="48" t="n">
        <v>0</v>
      </c>
      <c r="K2128" s="49" t="n">
        <v>0</v>
      </c>
      <c r="L2128" s="49" t="n">
        <v>0</v>
      </c>
      <c r="M2128" s="49" t="n">
        <v>0</v>
      </c>
      <c r="N2128" s="49" t="n">
        <v>0</v>
      </c>
      <c r="O2128" s="49" t="n">
        <v>0</v>
      </c>
      <c r="P2128" s="49" t="n">
        <v>0</v>
      </c>
      <c r="Q2128" s="49" t="n">
        <v>0</v>
      </c>
      <c r="R2128" s="49" t="n">
        <v>0</v>
      </c>
      <c r="S2128" s="50" t="n">
        <v>0</v>
      </c>
      <c r="T2128" s="50" t="n">
        <v>0</v>
      </c>
      <c r="U2128" s="50" t="n">
        <v>0</v>
      </c>
      <c r="V2128" s="50" t="n">
        <v>0</v>
      </c>
      <c r="W2128" s="51" t="n">
        <v>0</v>
      </c>
      <c r="X2128" s="51" t="n">
        <v>0</v>
      </c>
      <c r="Y2128" s="51" t="n">
        <v>0</v>
      </c>
      <c r="Z2128" s="51" t="n">
        <v>0</v>
      </c>
      <c r="AA2128" s="52" t="n">
        <v>0</v>
      </c>
      <c r="AB2128" s="52" t="n">
        <v>0</v>
      </c>
      <c r="AC2128" s="52" t="n">
        <v>0</v>
      </c>
      <c r="AD2128" s="52" t="n">
        <v>0</v>
      </c>
      <c r="AE2128" s="52" t="n">
        <v>0</v>
      </c>
      <c r="AF2128" s="52" t="n">
        <v>0</v>
      </c>
      <c r="AG2128" s="52" t="n">
        <v>0</v>
      </c>
      <c r="AH2128" s="52" t="n">
        <v>0</v>
      </c>
      <c r="AI2128" s="52" t="n">
        <v>0</v>
      </c>
      <c r="AJ2128" s="52" t="n">
        <v>0</v>
      </c>
      <c r="AK2128" s="52" t="n">
        <v>0</v>
      </c>
      <c r="AL2128" s="52" t="n">
        <v>0</v>
      </c>
      <c r="AM2128" s="53" t="n">
        <v>0</v>
      </c>
      <c r="AN2128" s="53" t="n">
        <v>0</v>
      </c>
      <c r="AO2128" s="53" t="n">
        <v>0</v>
      </c>
      <c r="AP2128" s="53" t="n">
        <v>0</v>
      </c>
      <c r="AQ2128" s="52" t="n">
        <v>0</v>
      </c>
      <c r="AR2128" s="52" t="n">
        <v>0</v>
      </c>
      <c r="AS2128" s="52" t="n">
        <v>0</v>
      </c>
      <c r="AT2128" s="52" t="n">
        <v>0</v>
      </c>
      <c r="AU2128" s="53" t="n">
        <v>0</v>
      </c>
      <c r="AV2128" s="53" t="n">
        <v>0</v>
      </c>
      <c r="AW2128" s="53" t="n">
        <v>0</v>
      </c>
      <c r="AX2128" s="53" t="n">
        <v>0</v>
      </c>
      <c r="AY2128" s="52" t="n">
        <v>0</v>
      </c>
      <c r="AZ2128" s="52" t="n">
        <v>0</v>
      </c>
      <c r="BA2128" s="52" t="n">
        <v>0</v>
      </c>
      <c r="BB2128" s="52" t="n">
        <v>0</v>
      </c>
      <c r="BC2128" s="51" t="n">
        <v>0</v>
      </c>
      <c r="BD2128" s="51" t="n">
        <v>0</v>
      </c>
      <c r="BE2128" s="51" t="n">
        <v>0</v>
      </c>
      <c r="BF2128" s="51" t="n">
        <v>0</v>
      </c>
    </row>
    <row r="2129">
      <c r="A2129">
        <f>HYPERLINK("https://www.walmart.com/ip/354686212", "354686212")</f>
        <v/>
      </c>
      <c r="B2129" t="inlineStr">
        <is>
          <t>Sherpa Wearable Blanket with Sleeves &amp; Foot Pockets for Adult Women Men, Comfy Snuggle Wrap Sleeved Throw Blanket Robe, Gift Idea, Grey</t>
        </is>
      </c>
      <c r="C2129" t="inlineStr">
        <is>
          <t>1CTSN310GY</t>
        </is>
      </c>
      <c r="D2129" t="inlineStr">
        <is>
          <t>Throws</t>
        </is>
      </c>
      <c r="E2129" t="inlineStr">
        <is>
          <t>Catalonia</t>
        </is>
      </c>
      <c r="F2129" t="inlineStr">
        <is>
          <t>Q2-Target,Optimized,WFS,Coupon_Discount,WFS Item</t>
        </is>
      </c>
      <c r="G2129" s="48" t="n">
        <v>0</v>
      </c>
      <c r="H2129" s="48" t="n">
        <v>0</v>
      </c>
      <c r="I2129" s="48" t="n">
        <v>0</v>
      </c>
      <c r="J2129" s="48" t="n">
        <v>0</v>
      </c>
      <c r="K2129" s="49" t="n">
        <v>0</v>
      </c>
      <c r="L2129" s="49" t="n">
        <v>0</v>
      </c>
      <c r="M2129" s="49" t="n">
        <v>0</v>
      </c>
      <c r="N2129" s="49" t="n">
        <v>0</v>
      </c>
      <c r="O2129" s="49" t="n">
        <v>0</v>
      </c>
      <c r="P2129" s="49" t="n">
        <v>0</v>
      </c>
      <c r="Q2129" s="49" t="n">
        <v>0</v>
      </c>
      <c r="R2129" s="49" t="n">
        <v>0</v>
      </c>
      <c r="S2129" s="50" t="n">
        <v>0</v>
      </c>
      <c r="T2129" s="50" t="n">
        <v>0</v>
      </c>
      <c r="U2129" s="50" t="n">
        <v>0</v>
      </c>
      <c r="V2129" s="50" t="n">
        <v>0</v>
      </c>
      <c r="W2129" s="51" t="n">
        <v>0</v>
      </c>
      <c r="X2129" s="51" t="n">
        <v>0</v>
      </c>
      <c r="Y2129" s="51" t="n">
        <v>0</v>
      </c>
      <c r="Z2129" s="51" t="n">
        <v>0</v>
      </c>
      <c r="AA2129" s="52" t="n">
        <v>0</v>
      </c>
      <c r="AB2129" s="52" t="n">
        <v>0</v>
      </c>
      <c r="AC2129" s="52" t="n">
        <v>0</v>
      </c>
      <c r="AD2129" s="52" t="n">
        <v>0</v>
      </c>
      <c r="AE2129" s="52" t="n">
        <v>0</v>
      </c>
      <c r="AF2129" s="52" t="n">
        <v>0</v>
      </c>
      <c r="AG2129" s="52" t="n">
        <v>0</v>
      </c>
      <c r="AH2129" s="52" t="n">
        <v>0</v>
      </c>
      <c r="AI2129" s="52" t="n">
        <v>0</v>
      </c>
      <c r="AJ2129" s="52" t="n">
        <v>0</v>
      </c>
      <c r="AK2129" s="52" t="n">
        <v>0</v>
      </c>
      <c r="AL2129" s="52" t="n">
        <v>0</v>
      </c>
      <c r="AM2129" s="53" t="n">
        <v>0</v>
      </c>
      <c r="AN2129" s="53" t="n">
        <v>0</v>
      </c>
      <c r="AO2129" s="53" t="n">
        <v>0</v>
      </c>
      <c r="AP2129" s="53" t="n">
        <v>0</v>
      </c>
      <c r="AQ2129" s="52" t="n">
        <v>0</v>
      </c>
      <c r="AR2129" s="52" t="n">
        <v>0</v>
      </c>
      <c r="AS2129" s="52" t="n">
        <v>0</v>
      </c>
      <c r="AT2129" s="52" t="n">
        <v>0</v>
      </c>
      <c r="AU2129" s="53" t="n">
        <v>0</v>
      </c>
      <c r="AV2129" s="53" t="n">
        <v>0</v>
      </c>
      <c r="AW2129" s="53" t="n">
        <v>0</v>
      </c>
      <c r="AX2129" s="53" t="n">
        <v>0</v>
      </c>
      <c r="AY2129" s="52" t="n">
        <v>0</v>
      </c>
      <c r="AZ2129" s="52" t="n">
        <v>0</v>
      </c>
      <c r="BA2129" s="52" t="n">
        <v>0</v>
      </c>
      <c r="BB2129" s="52" t="n">
        <v>0</v>
      </c>
      <c r="BC2129" s="51" t="n">
        <v>0</v>
      </c>
      <c r="BD2129" s="51" t="n">
        <v>0</v>
      </c>
      <c r="BE2129" s="51" t="n">
        <v>0</v>
      </c>
      <c r="BF2129" s="51" t="n">
        <v>0</v>
      </c>
    </row>
    <row r="2130">
      <c r="A2130">
        <f>HYPERLINK("https://www.walmart.com/ip/354973845", "354973845")</f>
        <v/>
      </c>
      <c r="B2130" t="inlineStr">
        <is>
          <t>Tirrinia Large Insulated Picnic Basket, 26L Leakproof Collapsible Portable Cooler Basket Set with Aluminium Handle for Travel, Shopping, Camping, Attach with a Free Foldable Grocery Bag, Grey</t>
        </is>
      </c>
      <c r="C2130" t="inlineStr">
        <is>
          <t>1WMPB100-GY</t>
        </is>
      </c>
      <c r="D2130" t="inlineStr">
        <is>
          <t>Picnic Baskets &amp; Bags</t>
        </is>
      </c>
      <c r="E2130" t="inlineStr">
        <is>
          <t>Tirrinia</t>
        </is>
      </c>
      <c r="F2130" t="inlineStr">
        <is>
          <t>Optimized</t>
        </is>
      </c>
      <c r="G2130" s="48" t="n">
        <v>0</v>
      </c>
      <c r="H2130" s="48" t="n">
        <v>0</v>
      </c>
      <c r="I2130" s="48" t="n">
        <v>0</v>
      </c>
      <c r="J2130" s="48" t="n">
        <v>0</v>
      </c>
      <c r="K2130" s="49" t="n">
        <v>0</v>
      </c>
      <c r="L2130" s="49" t="n">
        <v>0</v>
      </c>
      <c r="M2130" s="49" t="n">
        <v>0</v>
      </c>
      <c r="N2130" s="49" t="n">
        <v>0</v>
      </c>
      <c r="O2130" s="49" t="n">
        <v>0</v>
      </c>
      <c r="P2130" s="49" t="n">
        <v>0</v>
      </c>
      <c r="Q2130" s="49" t="n">
        <v>0</v>
      </c>
      <c r="R2130" s="49" t="n">
        <v>0</v>
      </c>
      <c r="S2130" s="50" t="n">
        <v>0</v>
      </c>
      <c r="T2130" s="50" t="n">
        <v>0</v>
      </c>
      <c r="U2130" s="50" t="n">
        <v>0</v>
      </c>
      <c r="V2130" s="50" t="n">
        <v>0</v>
      </c>
      <c r="W2130" s="51" t="n">
        <v>0</v>
      </c>
      <c r="X2130" s="51" t="n">
        <v>0</v>
      </c>
      <c r="Y2130" s="51" t="n">
        <v>0</v>
      </c>
      <c r="Z2130" s="51" t="n">
        <v>0</v>
      </c>
      <c r="AA2130" s="52" t="n">
        <v>0</v>
      </c>
      <c r="AB2130" s="52" t="n">
        <v>0</v>
      </c>
      <c r="AC2130" s="52" t="n">
        <v>0</v>
      </c>
      <c r="AD2130" s="52" t="n">
        <v>0</v>
      </c>
      <c r="AE2130" s="52" t="n">
        <v>0</v>
      </c>
      <c r="AF2130" s="52" t="n">
        <v>0</v>
      </c>
      <c r="AG2130" s="52" t="n">
        <v>0</v>
      </c>
      <c r="AH2130" s="52" t="n">
        <v>0</v>
      </c>
      <c r="AI2130" s="52" t="n">
        <v>0</v>
      </c>
      <c r="AJ2130" s="52" t="n">
        <v>0</v>
      </c>
      <c r="AK2130" s="52" t="n">
        <v>0</v>
      </c>
      <c r="AL2130" s="52" t="n">
        <v>0</v>
      </c>
      <c r="AM2130" s="53" t="n">
        <v>0</v>
      </c>
      <c r="AN2130" s="53" t="n">
        <v>0</v>
      </c>
      <c r="AO2130" s="53" t="n">
        <v>0</v>
      </c>
      <c r="AP2130" s="53" t="n">
        <v>0</v>
      </c>
      <c r="AQ2130" s="52" t="n">
        <v>0</v>
      </c>
      <c r="AR2130" s="52" t="n">
        <v>0</v>
      </c>
      <c r="AS2130" s="52" t="n">
        <v>0</v>
      </c>
      <c r="AT2130" s="52" t="n">
        <v>0</v>
      </c>
      <c r="AU2130" s="53" t="n">
        <v>0</v>
      </c>
      <c r="AV2130" s="53" t="n">
        <v>0</v>
      </c>
      <c r="AW2130" s="53" t="n">
        <v>0</v>
      </c>
      <c r="AX2130" s="53" t="n">
        <v>0</v>
      </c>
      <c r="AY2130" s="52" t="n">
        <v>0</v>
      </c>
      <c r="AZ2130" s="52" t="n">
        <v>0</v>
      </c>
      <c r="BA2130" s="52" t="n">
        <v>0</v>
      </c>
      <c r="BB2130" s="52" t="n">
        <v>0</v>
      </c>
      <c r="BC2130" s="51" t="n">
        <v>0</v>
      </c>
      <c r="BD2130" s="51" t="n">
        <v>0</v>
      </c>
      <c r="BE2130" s="51" t="n">
        <v>0</v>
      </c>
      <c r="BF2130" s="51" t="n">
        <v>0</v>
      </c>
    </row>
    <row r="2131">
      <c r="A2131">
        <f>HYPERLINK("https://www.walmart.com/ip/355236119", "355236119")</f>
        <v/>
      </c>
      <c r="B2131" t="inlineStr">
        <is>
          <t>Flyingstar Lunch Bag for Women Men, Insulated Lunch Tote for Working/School/Picnic Fashionable Cooler Bag</t>
        </is>
      </c>
      <c r="C2131" t="inlineStr">
        <is>
          <t>1WMLB704BRFL</t>
        </is>
      </c>
      <c r="D2131" t="inlineStr">
        <is>
          <t>Reusable Lunch Bags &amp; Boxes</t>
        </is>
      </c>
      <c r="E2131" t="inlineStr">
        <is>
          <t>Flyingstar</t>
        </is>
      </c>
      <c r="F2131" t="inlineStr">
        <is>
          <t>Q2-Target,Lunch Bag,WFS,WFS Item</t>
        </is>
      </c>
      <c r="G2131" s="48" t="n">
        <v>0</v>
      </c>
      <c r="H2131" s="48" t="n">
        <v>7.98</v>
      </c>
      <c r="I2131" s="48" t="n">
        <v>0</v>
      </c>
      <c r="J2131" s="48" t="n">
        <v>0</v>
      </c>
      <c r="K2131" s="49" t="n">
        <v>0</v>
      </c>
      <c r="L2131" s="49" t="n">
        <v>1</v>
      </c>
      <c r="M2131" s="49" t="n">
        <v>0</v>
      </c>
      <c r="N2131" s="49" t="n">
        <v>0</v>
      </c>
      <c r="O2131" s="49" t="n">
        <v>0</v>
      </c>
      <c r="P2131" s="49" t="n">
        <v>1</v>
      </c>
      <c r="Q2131" s="49" t="n">
        <v>1</v>
      </c>
      <c r="R2131" s="49" t="n">
        <v>4</v>
      </c>
      <c r="S2131" s="50" t="n">
        <v>0</v>
      </c>
      <c r="T2131" s="50" t="n">
        <v>1</v>
      </c>
      <c r="U2131" s="50" t="n">
        <v>0</v>
      </c>
      <c r="V2131" s="50" t="n">
        <v>0</v>
      </c>
      <c r="W2131" s="51" t="n">
        <v>0</v>
      </c>
      <c r="X2131" s="51" t="n">
        <v>0</v>
      </c>
      <c r="Y2131" s="51" t="n">
        <v>0</v>
      </c>
      <c r="Z2131" s="51" t="n">
        <v>0</v>
      </c>
      <c r="AA2131" s="52" t="n">
        <v>0</v>
      </c>
      <c r="AB2131" s="52" t="n">
        <v>0</v>
      </c>
      <c r="AC2131" s="52" t="n">
        <v>0</v>
      </c>
      <c r="AD2131" s="52" t="n">
        <v>0</v>
      </c>
      <c r="AE2131" s="52" t="n">
        <v>0</v>
      </c>
      <c r="AF2131" s="52" t="n">
        <v>0</v>
      </c>
      <c r="AG2131" s="52" t="n">
        <v>0</v>
      </c>
      <c r="AH2131" s="52" t="n">
        <v>0</v>
      </c>
      <c r="AI2131" s="52" t="n">
        <v>0</v>
      </c>
      <c r="AJ2131" s="52" t="n">
        <v>0</v>
      </c>
      <c r="AK2131" s="52" t="n">
        <v>0</v>
      </c>
      <c r="AL2131" s="52" t="n">
        <v>0</v>
      </c>
      <c r="AM2131" s="53" t="n">
        <v>0</v>
      </c>
      <c r="AN2131" s="53" t="n">
        <v>0</v>
      </c>
      <c r="AO2131" s="53" t="n">
        <v>0</v>
      </c>
      <c r="AP2131" s="53" t="n">
        <v>0</v>
      </c>
      <c r="AQ2131" s="52" t="n">
        <v>0</v>
      </c>
      <c r="AR2131" s="52" t="n">
        <v>0</v>
      </c>
      <c r="AS2131" s="52" t="n">
        <v>0</v>
      </c>
      <c r="AT2131" s="52" t="n">
        <v>0</v>
      </c>
      <c r="AU2131" s="53" t="n">
        <v>0</v>
      </c>
      <c r="AV2131" s="53" t="n">
        <v>0</v>
      </c>
      <c r="AW2131" s="53" t="n">
        <v>0</v>
      </c>
      <c r="AX2131" s="53" t="n">
        <v>0</v>
      </c>
      <c r="AY2131" s="52" t="n">
        <v>0</v>
      </c>
      <c r="AZ2131" s="52" t="n">
        <v>7.98</v>
      </c>
      <c r="BA2131" s="52" t="n">
        <v>0</v>
      </c>
      <c r="BB2131" s="52" t="n">
        <v>0</v>
      </c>
      <c r="BC2131" s="51" t="n">
        <v>0</v>
      </c>
      <c r="BD2131" s="51" t="n">
        <v>0</v>
      </c>
      <c r="BE2131" s="51" t="n">
        <v>0</v>
      </c>
      <c r="BF2131" s="51" t="n">
        <v>0</v>
      </c>
    </row>
    <row r="2132">
      <c r="A2132">
        <f>HYPERLINK("https://www.walmart.com/ip/355389190", "355389190")</f>
        <v/>
      </c>
      <c r="B2132" t="inlineStr">
        <is>
          <t>Catalonia Mermaid Tail Blanket, Super Soft Blanket Sherpa Lined Knit with Non-slip Neck Strap, Fleece Blanket for Adults and Teens, Green, 67'' x 22.5''</t>
        </is>
      </c>
      <c r="C2132" t="inlineStr">
        <is>
          <t>1CTMM300GN</t>
        </is>
      </c>
      <c r="D2132" t="inlineStr">
        <is>
          <t>Throws</t>
        </is>
      </c>
      <c r="E2132" t="inlineStr">
        <is>
          <t>Catalonia</t>
        </is>
      </c>
      <c r="F2132" t="inlineStr">
        <is>
          <t>WFS,WFS Item</t>
        </is>
      </c>
      <c r="G2132" s="48" t="n">
        <v>0</v>
      </c>
      <c r="H2132" s="48" t="n">
        <v>0</v>
      </c>
      <c r="I2132" s="48" t="n">
        <v>0</v>
      </c>
      <c r="J2132" s="48" t="n">
        <v>0</v>
      </c>
      <c r="K2132" s="49" t="n">
        <v>0</v>
      </c>
      <c r="L2132" s="49" t="n">
        <v>0</v>
      </c>
      <c r="M2132" s="49" t="n">
        <v>0</v>
      </c>
      <c r="N2132" s="49" t="n">
        <v>0</v>
      </c>
      <c r="O2132" s="49" t="n">
        <v>0</v>
      </c>
      <c r="P2132" s="49" t="n">
        <v>0</v>
      </c>
      <c r="Q2132" s="49" t="n">
        <v>0</v>
      </c>
      <c r="R2132" s="49" t="n">
        <v>0</v>
      </c>
      <c r="S2132" s="50" t="n">
        <v>0</v>
      </c>
      <c r="T2132" s="50" t="n">
        <v>0</v>
      </c>
      <c r="U2132" s="50" t="n">
        <v>0</v>
      </c>
      <c r="V2132" s="50" t="n">
        <v>0</v>
      </c>
      <c r="W2132" s="51" t="n">
        <v>0</v>
      </c>
      <c r="X2132" s="51" t="n">
        <v>0</v>
      </c>
      <c r="Y2132" s="51" t="n">
        <v>0</v>
      </c>
      <c r="Z2132" s="51" t="n">
        <v>0</v>
      </c>
      <c r="AA2132" s="52" t="n">
        <v>0</v>
      </c>
      <c r="AB2132" s="52" t="n">
        <v>0</v>
      </c>
      <c r="AC2132" s="52" t="n">
        <v>0</v>
      </c>
      <c r="AD2132" s="52" t="n">
        <v>0</v>
      </c>
      <c r="AE2132" s="52" t="n">
        <v>0</v>
      </c>
      <c r="AF2132" s="52" t="n">
        <v>0</v>
      </c>
      <c r="AG2132" s="52" t="n">
        <v>0</v>
      </c>
      <c r="AH2132" s="52" t="n">
        <v>0</v>
      </c>
      <c r="AI2132" s="52" t="n">
        <v>0</v>
      </c>
      <c r="AJ2132" s="52" t="n">
        <v>0</v>
      </c>
      <c r="AK2132" s="52" t="n">
        <v>0</v>
      </c>
      <c r="AL2132" s="52" t="n">
        <v>0</v>
      </c>
      <c r="AM2132" s="53" t="n">
        <v>0</v>
      </c>
      <c r="AN2132" s="53" t="n">
        <v>0</v>
      </c>
      <c r="AO2132" s="53" t="n">
        <v>0</v>
      </c>
      <c r="AP2132" s="53" t="n">
        <v>0</v>
      </c>
      <c r="AQ2132" s="52" t="n">
        <v>0</v>
      </c>
      <c r="AR2132" s="52" t="n">
        <v>0</v>
      </c>
      <c r="AS2132" s="52" t="n">
        <v>0</v>
      </c>
      <c r="AT2132" s="52" t="n">
        <v>0</v>
      </c>
      <c r="AU2132" s="53" t="n">
        <v>0</v>
      </c>
      <c r="AV2132" s="53" t="n">
        <v>0</v>
      </c>
      <c r="AW2132" s="53" t="n">
        <v>0</v>
      </c>
      <c r="AX2132" s="53" t="n">
        <v>0</v>
      </c>
      <c r="AY2132" s="52" t="n">
        <v>0</v>
      </c>
      <c r="AZ2132" s="52" t="n">
        <v>0</v>
      </c>
      <c r="BA2132" s="52" t="n">
        <v>0</v>
      </c>
      <c r="BB2132" s="52" t="n">
        <v>0</v>
      </c>
      <c r="BC2132" s="51" t="n">
        <v>0</v>
      </c>
      <c r="BD2132" s="51" t="n">
        <v>0</v>
      </c>
      <c r="BE2132" s="51" t="n">
        <v>0</v>
      </c>
      <c r="BF2132" s="51" t="n">
        <v>0</v>
      </c>
    </row>
    <row r="2133">
      <c r="A2133">
        <f>HYPERLINK("https://www.walmart.com/ip/355660943", "355660943")</f>
        <v/>
      </c>
      <c r="B2133" t="inlineStr">
        <is>
          <t>sun blocker women's travel sun hat upf 50+ large brim beach neck flap hat</t>
        </is>
      </c>
      <c r="C2133" t="inlineStr">
        <is>
          <t>KC-S9201-PK</t>
        </is>
      </c>
      <c r="D2133" t="inlineStr">
        <is>
          <t>Hats</t>
        </is>
      </c>
      <c r="E2133" t="inlineStr">
        <is>
          <t>Sun Blocker</t>
        </is>
      </c>
      <c r="G2133" s="48" t="n">
        <v>0</v>
      </c>
      <c r="H2133" s="48" t="n">
        <v>0</v>
      </c>
      <c r="I2133" s="48" t="n">
        <v>19.99</v>
      </c>
      <c r="J2133" s="48" t="n">
        <v>0</v>
      </c>
      <c r="K2133" s="49" t="n">
        <v>0</v>
      </c>
      <c r="L2133" s="49" t="n">
        <v>0</v>
      </c>
      <c r="M2133" s="49" t="n">
        <v>1</v>
      </c>
      <c r="N2133" s="49" t="n">
        <v>0</v>
      </c>
      <c r="O2133" s="49" t="n">
        <v>0</v>
      </c>
      <c r="P2133" s="49" t="n">
        <v>0</v>
      </c>
      <c r="Q2133" s="49" t="n">
        <v>0</v>
      </c>
      <c r="R2133" s="49" t="n">
        <v>0</v>
      </c>
      <c r="S2133" s="50" t="n">
        <v>0</v>
      </c>
      <c r="T2133" s="50" t="n">
        <v>0</v>
      </c>
      <c r="U2133" s="50" t="n">
        <v>0</v>
      </c>
      <c r="V2133" s="50" t="n">
        <v>0</v>
      </c>
      <c r="W2133" s="51" t="n">
        <v>0</v>
      </c>
      <c r="X2133" s="51" t="n">
        <v>0</v>
      </c>
      <c r="Y2133" s="51" t="n">
        <v>0</v>
      </c>
      <c r="Z2133" s="51" t="n">
        <v>0</v>
      </c>
      <c r="AA2133" s="52" t="n">
        <v>0</v>
      </c>
      <c r="AB2133" s="52" t="n">
        <v>0</v>
      </c>
      <c r="AC2133" s="52" t="n">
        <v>0</v>
      </c>
      <c r="AD2133" s="52" t="n">
        <v>0</v>
      </c>
      <c r="AE2133" s="52" t="n">
        <v>0</v>
      </c>
      <c r="AF2133" s="52" t="n">
        <v>0</v>
      </c>
      <c r="AG2133" s="52" t="n">
        <v>0</v>
      </c>
      <c r="AH2133" s="52" t="n">
        <v>0</v>
      </c>
      <c r="AI2133" s="52" t="n">
        <v>0</v>
      </c>
      <c r="AJ2133" s="52" t="n">
        <v>0</v>
      </c>
      <c r="AK2133" s="52" t="n">
        <v>0</v>
      </c>
      <c r="AL2133" s="52" t="n">
        <v>0</v>
      </c>
      <c r="AM2133" s="53" t="n">
        <v>0</v>
      </c>
      <c r="AN2133" s="53" t="n">
        <v>0</v>
      </c>
      <c r="AO2133" s="53" t="n">
        <v>0</v>
      </c>
      <c r="AP2133" s="53" t="n">
        <v>0</v>
      </c>
      <c r="AQ2133" s="52" t="n">
        <v>0</v>
      </c>
      <c r="AR2133" s="52" t="n">
        <v>0</v>
      </c>
      <c r="AS2133" s="52" t="n">
        <v>0</v>
      </c>
      <c r="AT2133" s="52" t="n">
        <v>0</v>
      </c>
      <c r="AU2133" s="53" t="n">
        <v>0</v>
      </c>
      <c r="AV2133" s="53" t="n">
        <v>0</v>
      </c>
      <c r="AW2133" s="53" t="n">
        <v>0</v>
      </c>
      <c r="AX2133" s="53" t="n">
        <v>0</v>
      </c>
      <c r="AY2133" s="52" t="n">
        <v>0</v>
      </c>
      <c r="AZ2133" s="52" t="n">
        <v>0</v>
      </c>
      <c r="BA2133" s="52" t="n">
        <v>19.99</v>
      </c>
      <c r="BB2133" s="52" t="n">
        <v>0</v>
      </c>
      <c r="BC2133" s="51" t="n">
        <v>0</v>
      </c>
      <c r="BD2133" s="51" t="n">
        <v>0</v>
      </c>
      <c r="BE2133" s="51" t="n">
        <v>0</v>
      </c>
      <c r="BF2133" s="51" t="n">
        <v>0</v>
      </c>
    </row>
    <row r="2134">
      <c r="A2134">
        <f>HYPERLINK("https://www.walmart.com/ip/356200441", "356200441")</f>
        <v/>
      </c>
      <c r="B2134" t="inlineStr">
        <is>
          <t>Tirrinia Sun Hat with Adjustable Drawstring for Women, Large Wide Brim Hat for Outdoor Fishing Hiking Hunting Boating Desert Hawaiian, Grey</t>
        </is>
      </c>
      <c r="C2134" t="inlineStr">
        <is>
          <t>1TRSH911GY-TBCB</t>
        </is>
      </c>
      <c r="D2134" t="inlineStr">
        <is>
          <t>Hats</t>
        </is>
      </c>
      <c r="E2134" t="inlineStr">
        <is>
          <t>Tirrinia</t>
        </is>
      </c>
      <c r="F2134" t="inlineStr">
        <is>
          <t>Q2-Target,Hats,Batch 1 - TR</t>
        </is>
      </c>
      <c r="G2134" s="48" t="n">
        <v>0</v>
      </c>
      <c r="H2134" s="48" t="n">
        <v>0</v>
      </c>
      <c r="I2134" s="48" t="n">
        <v>0</v>
      </c>
      <c r="J2134" s="48" t="n">
        <v>0</v>
      </c>
      <c r="K2134" s="49" t="n">
        <v>0</v>
      </c>
      <c r="L2134" s="49" t="n">
        <v>0</v>
      </c>
      <c r="M2134" s="49" t="n">
        <v>0</v>
      </c>
      <c r="N2134" s="49" t="n">
        <v>0</v>
      </c>
      <c r="O2134" s="49" t="n">
        <v>0</v>
      </c>
      <c r="P2134" s="49" t="n">
        <v>0</v>
      </c>
      <c r="Q2134" s="49" t="n">
        <v>0</v>
      </c>
      <c r="R2134" s="49" t="n">
        <v>0</v>
      </c>
      <c r="S2134" s="50" t="n">
        <v>0</v>
      </c>
      <c r="T2134" s="50" t="n">
        <v>0</v>
      </c>
      <c r="U2134" s="50" t="n">
        <v>0</v>
      </c>
      <c r="V2134" s="50" t="n">
        <v>0</v>
      </c>
      <c r="W2134" s="51" t="n">
        <v>0</v>
      </c>
      <c r="X2134" s="51" t="n">
        <v>0</v>
      </c>
      <c r="Y2134" s="51" t="n">
        <v>0</v>
      </c>
      <c r="Z2134" s="51" t="n">
        <v>0</v>
      </c>
      <c r="AA2134" s="52" t="n">
        <v>0</v>
      </c>
      <c r="AB2134" s="52" t="n">
        <v>0</v>
      </c>
      <c r="AC2134" s="52" t="n">
        <v>0</v>
      </c>
      <c r="AD2134" s="52" t="n">
        <v>0</v>
      </c>
      <c r="AE2134" s="52" t="n">
        <v>0</v>
      </c>
      <c r="AF2134" s="52" t="n">
        <v>0</v>
      </c>
      <c r="AG2134" s="52" t="n">
        <v>0</v>
      </c>
      <c r="AH2134" s="52" t="n">
        <v>0</v>
      </c>
      <c r="AI2134" s="52" t="n">
        <v>0</v>
      </c>
      <c r="AJ2134" s="52" t="n">
        <v>0</v>
      </c>
      <c r="AK2134" s="52" t="n">
        <v>0</v>
      </c>
      <c r="AL2134" s="52" t="n">
        <v>0</v>
      </c>
      <c r="AM2134" s="53" t="n">
        <v>0</v>
      </c>
      <c r="AN2134" s="53" t="n">
        <v>0</v>
      </c>
      <c r="AO2134" s="53" t="n">
        <v>0</v>
      </c>
      <c r="AP2134" s="53" t="n">
        <v>0</v>
      </c>
      <c r="AQ2134" s="52" t="n">
        <v>0</v>
      </c>
      <c r="AR2134" s="52" t="n">
        <v>0</v>
      </c>
      <c r="AS2134" s="52" t="n">
        <v>0</v>
      </c>
      <c r="AT2134" s="52" t="n">
        <v>0</v>
      </c>
      <c r="AU2134" s="53" t="n">
        <v>0</v>
      </c>
      <c r="AV2134" s="53" t="n">
        <v>0</v>
      </c>
      <c r="AW2134" s="53" t="n">
        <v>0</v>
      </c>
      <c r="AX2134" s="53" t="n">
        <v>0</v>
      </c>
      <c r="AY2134" s="52" t="n">
        <v>0</v>
      </c>
      <c r="AZ2134" s="52" t="n">
        <v>0</v>
      </c>
      <c r="BA2134" s="52" t="n">
        <v>0</v>
      </c>
      <c r="BB2134" s="52" t="n">
        <v>0</v>
      </c>
      <c r="BC2134" s="51" t="n">
        <v>556</v>
      </c>
      <c r="BD2134" s="51" t="n">
        <v>0</v>
      </c>
      <c r="BE2134" s="51" t="n">
        <v>0</v>
      </c>
      <c r="BF2134" s="51" t="n">
        <v>0</v>
      </c>
    </row>
    <row r="2135">
      <c r="A2135">
        <f>HYPERLINK("https://www.walmart.com/ip/356440254", "356440254")</f>
        <v/>
      </c>
      <c r="B2135" t="inlineStr">
        <is>
          <t>Tirrinia Wearable Fleece Blanket for Women and Men, Super-Soft Microplush TV Blanket, Full Body Robe for Lounge Couch, Cheetah, 51" x 73"</t>
        </is>
      </c>
      <c r="C2135" t="inlineStr">
        <is>
          <t>1TRSN100CHEETAH-TBCB</t>
        </is>
      </c>
      <c r="D2135" t="inlineStr">
        <is>
          <t>Throws</t>
        </is>
      </c>
      <c r="E2135" t="inlineStr">
        <is>
          <t>Tirrinia</t>
        </is>
      </c>
      <c r="F2135" t="inlineStr">
        <is>
          <t>Q2-Target,Optimized,WFS,Coupon_Discount,WFS Item,Fleece Blankets</t>
        </is>
      </c>
      <c r="G2135" s="48" t="n">
        <v>0</v>
      </c>
      <c r="H2135" s="48" t="n">
        <v>0</v>
      </c>
      <c r="I2135" s="48" t="n">
        <v>0</v>
      </c>
      <c r="J2135" s="48" t="n">
        <v>0</v>
      </c>
      <c r="K2135" s="49" t="n">
        <v>0</v>
      </c>
      <c r="L2135" s="49" t="n">
        <v>0</v>
      </c>
      <c r="M2135" s="49" t="n">
        <v>0</v>
      </c>
      <c r="N2135" s="49" t="n">
        <v>0</v>
      </c>
      <c r="O2135" s="49" t="n">
        <v>0</v>
      </c>
      <c r="P2135" s="49" t="n">
        <v>0</v>
      </c>
      <c r="Q2135" s="49" t="n">
        <v>0</v>
      </c>
      <c r="R2135" s="49" t="n">
        <v>0</v>
      </c>
      <c r="S2135" s="50" t="n">
        <v>0</v>
      </c>
      <c r="T2135" s="50" t="n">
        <v>0</v>
      </c>
      <c r="U2135" s="50" t="n">
        <v>0</v>
      </c>
      <c r="V2135" s="50" t="n">
        <v>0</v>
      </c>
      <c r="W2135" s="51" t="n">
        <v>0</v>
      </c>
      <c r="X2135" s="51" t="n">
        <v>0</v>
      </c>
      <c r="Y2135" s="51" t="n">
        <v>0</v>
      </c>
      <c r="Z2135" s="51" t="n">
        <v>0</v>
      </c>
      <c r="AA2135" s="52" t="n">
        <v>0</v>
      </c>
      <c r="AB2135" s="52" t="n">
        <v>0</v>
      </c>
      <c r="AC2135" s="52" t="n">
        <v>0</v>
      </c>
      <c r="AD2135" s="52" t="n">
        <v>0</v>
      </c>
      <c r="AE2135" s="52" t="n">
        <v>0</v>
      </c>
      <c r="AF2135" s="52" t="n">
        <v>0</v>
      </c>
      <c r="AG2135" s="52" t="n">
        <v>0</v>
      </c>
      <c r="AH2135" s="52" t="n">
        <v>0</v>
      </c>
      <c r="AI2135" s="52" t="n">
        <v>0</v>
      </c>
      <c r="AJ2135" s="52" t="n">
        <v>0</v>
      </c>
      <c r="AK2135" s="52" t="n">
        <v>0</v>
      </c>
      <c r="AL2135" s="52" t="n">
        <v>0</v>
      </c>
      <c r="AM2135" s="53" t="n">
        <v>0</v>
      </c>
      <c r="AN2135" s="53" t="n">
        <v>0</v>
      </c>
      <c r="AO2135" s="53" t="n">
        <v>0</v>
      </c>
      <c r="AP2135" s="53" t="n">
        <v>0</v>
      </c>
      <c r="AQ2135" s="52" t="n">
        <v>0</v>
      </c>
      <c r="AR2135" s="52" t="n">
        <v>0</v>
      </c>
      <c r="AS2135" s="52" t="n">
        <v>0</v>
      </c>
      <c r="AT2135" s="52" t="n">
        <v>0</v>
      </c>
      <c r="AU2135" s="53" t="n">
        <v>0</v>
      </c>
      <c r="AV2135" s="53" t="n">
        <v>0</v>
      </c>
      <c r="AW2135" s="53" t="n">
        <v>0</v>
      </c>
      <c r="AX2135" s="53" t="n">
        <v>0</v>
      </c>
      <c r="AY2135" s="52" t="n">
        <v>0</v>
      </c>
      <c r="AZ2135" s="52" t="n">
        <v>0</v>
      </c>
      <c r="BA2135" s="52" t="n">
        <v>0</v>
      </c>
      <c r="BB2135" s="52" t="n">
        <v>0</v>
      </c>
      <c r="BC2135" s="51" t="n">
        <v>0</v>
      </c>
      <c r="BD2135" s="51" t="n">
        <v>0</v>
      </c>
      <c r="BE2135" s="51" t="n">
        <v>0</v>
      </c>
      <c r="BF2135" s="51" t="n">
        <v>0</v>
      </c>
    </row>
    <row r="2136">
      <c r="A2136">
        <f>HYPERLINK("https://www.walmart.com/ip/357398446", "357398446")</f>
        <v/>
      </c>
      <c r="B2136" t="inlineStr">
        <is>
          <t>Catalonia Wearable Fleece Blanket with Sleeves and Foot Pockets for Adult Women and Men, Micro Plush Comfy Wrap Sleeved Throw Blanket Robe, Large, Red Plaid, 75" x 53"</t>
        </is>
      </c>
      <c r="C2136" t="inlineStr">
        <is>
          <t>1CTSN101PRD</t>
        </is>
      </c>
      <c r="D2136" t="inlineStr">
        <is>
          <t>Throws</t>
        </is>
      </c>
      <c r="E2136" t="inlineStr">
        <is>
          <t>Catalonia</t>
        </is>
      </c>
      <c r="F2136" t="inlineStr">
        <is>
          <t>Q2-Target,WFS,WFS Item,Fleece Blankets</t>
        </is>
      </c>
      <c r="G2136" s="48" t="n">
        <v>0</v>
      </c>
      <c r="H2136" s="48" t="n">
        <v>0</v>
      </c>
      <c r="I2136" s="48" t="n">
        <v>0</v>
      </c>
      <c r="J2136" s="48" t="n">
        <v>0</v>
      </c>
      <c r="K2136" s="49" t="n">
        <v>0</v>
      </c>
      <c r="L2136" s="49" t="n">
        <v>0</v>
      </c>
      <c r="M2136" s="49" t="n">
        <v>0</v>
      </c>
      <c r="N2136" s="49" t="n">
        <v>0</v>
      </c>
      <c r="O2136" s="49" t="n">
        <v>0</v>
      </c>
      <c r="P2136" s="49" t="n">
        <v>0</v>
      </c>
      <c r="Q2136" s="49" t="n">
        <v>0</v>
      </c>
      <c r="R2136" s="49" t="n">
        <v>0</v>
      </c>
      <c r="S2136" s="50" t="n">
        <v>0</v>
      </c>
      <c r="T2136" s="50" t="n">
        <v>0</v>
      </c>
      <c r="U2136" s="50" t="n">
        <v>0</v>
      </c>
      <c r="V2136" s="50" t="n">
        <v>0</v>
      </c>
      <c r="W2136" s="51" t="n">
        <v>0</v>
      </c>
      <c r="X2136" s="51" t="n">
        <v>0</v>
      </c>
      <c r="Y2136" s="51" t="n">
        <v>0</v>
      </c>
      <c r="Z2136" s="51" t="n">
        <v>0</v>
      </c>
      <c r="AA2136" s="52" t="n">
        <v>0</v>
      </c>
      <c r="AB2136" s="52" t="n">
        <v>0</v>
      </c>
      <c r="AC2136" s="52" t="n">
        <v>0</v>
      </c>
      <c r="AD2136" s="52" t="n">
        <v>0</v>
      </c>
      <c r="AE2136" s="52" t="n">
        <v>0</v>
      </c>
      <c r="AF2136" s="52" t="n">
        <v>0</v>
      </c>
      <c r="AG2136" s="52" t="n">
        <v>0</v>
      </c>
      <c r="AH2136" s="52" t="n">
        <v>0</v>
      </c>
      <c r="AI2136" s="52" t="n">
        <v>0</v>
      </c>
      <c r="AJ2136" s="52" t="n">
        <v>0</v>
      </c>
      <c r="AK2136" s="52" t="n">
        <v>0</v>
      </c>
      <c r="AL2136" s="52" t="n">
        <v>0</v>
      </c>
      <c r="AM2136" s="53" t="n">
        <v>0</v>
      </c>
      <c r="AN2136" s="53" t="n">
        <v>0</v>
      </c>
      <c r="AO2136" s="53" t="n">
        <v>0</v>
      </c>
      <c r="AP2136" s="53" t="n">
        <v>0</v>
      </c>
      <c r="AQ2136" s="52" t="n">
        <v>0</v>
      </c>
      <c r="AR2136" s="52" t="n">
        <v>0</v>
      </c>
      <c r="AS2136" s="52" t="n">
        <v>0</v>
      </c>
      <c r="AT2136" s="52" t="n">
        <v>0</v>
      </c>
      <c r="AU2136" s="53" t="n">
        <v>0</v>
      </c>
      <c r="AV2136" s="53" t="n">
        <v>0</v>
      </c>
      <c r="AW2136" s="53" t="n">
        <v>0</v>
      </c>
      <c r="AX2136" s="53" t="n">
        <v>0</v>
      </c>
      <c r="AY2136" s="52" t="n">
        <v>0</v>
      </c>
      <c r="AZ2136" s="52" t="n">
        <v>0</v>
      </c>
      <c r="BA2136" s="52" t="n">
        <v>0</v>
      </c>
      <c r="BB2136" s="52" t="n">
        <v>0</v>
      </c>
      <c r="BC2136" s="51" t="n">
        <v>0</v>
      </c>
      <c r="BD2136" s="51" t="n">
        <v>0</v>
      </c>
      <c r="BE2136" s="51" t="n">
        <v>0</v>
      </c>
      <c r="BF2136" s="51" t="n">
        <v>0</v>
      </c>
    </row>
    <row r="2137">
      <c r="A2137">
        <f>HYPERLINK("https://www.walmart.com/ip/358269818", "358269818")</f>
        <v/>
      </c>
      <c r="B2137" t="inlineStr">
        <is>
          <t>Tirrinia Large Insulated Lunch Bag, 10L Leakproof Thermal Reusable Lunch Box for Adult, Kids, Student, Tall Meal Prep Lunch Cooler Tote with 4 Pockets for Office Work, Back to School,Grey</t>
        </is>
      </c>
      <c r="C2137" t="inlineStr">
        <is>
          <t>1TRLB702GY-T</t>
        </is>
      </c>
      <c r="D2137" t="inlineStr">
        <is>
          <t>Reusable Lunch Bags &amp; Boxes</t>
        </is>
      </c>
      <c r="E2137" t="inlineStr">
        <is>
          <t>Tirrinia</t>
        </is>
      </c>
      <c r="F2137" t="inlineStr">
        <is>
          <t>Brand Camp VD,Lunch Bag,SEM</t>
        </is>
      </c>
      <c r="G2137" s="48" t="n">
        <v>0</v>
      </c>
      <c r="H2137" s="48" t="n">
        <v>0</v>
      </c>
      <c r="I2137" s="48" t="n">
        <v>0</v>
      </c>
      <c r="J2137" s="48" t="n">
        <v>0</v>
      </c>
      <c r="K2137" s="49" t="n">
        <v>0</v>
      </c>
      <c r="L2137" s="49" t="n">
        <v>0</v>
      </c>
      <c r="M2137" s="49" t="n">
        <v>0</v>
      </c>
      <c r="N2137" s="49" t="n">
        <v>0</v>
      </c>
      <c r="O2137" s="49" t="n">
        <v>0</v>
      </c>
      <c r="P2137" s="49" t="n">
        <v>0</v>
      </c>
      <c r="Q2137" s="49" t="n">
        <v>0</v>
      </c>
      <c r="R2137" s="49" t="n">
        <v>0</v>
      </c>
      <c r="S2137" s="50" t="n">
        <v>0</v>
      </c>
      <c r="T2137" s="50" t="n">
        <v>0</v>
      </c>
      <c r="U2137" s="50" t="n">
        <v>0</v>
      </c>
      <c r="V2137" s="50" t="n">
        <v>0</v>
      </c>
      <c r="W2137" s="51" t="n">
        <v>0</v>
      </c>
      <c r="X2137" s="51" t="n">
        <v>0</v>
      </c>
      <c r="Y2137" s="51" t="n">
        <v>0</v>
      </c>
      <c r="Z2137" s="51" t="n">
        <v>0</v>
      </c>
      <c r="AA2137" s="52" t="n">
        <v>0</v>
      </c>
      <c r="AB2137" s="52" t="n">
        <v>0</v>
      </c>
      <c r="AC2137" s="52" t="n">
        <v>0</v>
      </c>
      <c r="AD2137" s="52" t="n">
        <v>0</v>
      </c>
      <c r="AE2137" s="52" t="n">
        <v>0</v>
      </c>
      <c r="AF2137" s="52" t="n">
        <v>0</v>
      </c>
      <c r="AG2137" s="52" t="n">
        <v>0</v>
      </c>
      <c r="AH2137" s="52" t="n">
        <v>0</v>
      </c>
      <c r="AI2137" s="52" t="n">
        <v>0</v>
      </c>
      <c r="AJ2137" s="52" t="n">
        <v>0</v>
      </c>
      <c r="AK2137" s="52" t="n">
        <v>0</v>
      </c>
      <c r="AL2137" s="52" t="n">
        <v>0</v>
      </c>
      <c r="AM2137" s="53" t="n">
        <v>0</v>
      </c>
      <c r="AN2137" s="53" t="n">
        <v>0</v>
      </c>
      <c r="AO2137" s="53" t="n">
        <v>0</v>
      </c>
      <c r="AP2137" s="53" t="n">
        <v>0</v>
      </c>
      <c r="AQ2137" s="52" t="n">
        <v>0</v>
      </c>
      <c r="AR2137" s="52" t="n">
        <v>0</v>
      </c>
      <c r="AS2137" s="52" t="n">
        <v>0</v>
      </c>
      <c r="AT2137" s="52" t="n">
        <v>0</v>
      </c>
      <c r="AU2137" s="53" t="n">
        <v>0</v>
      </c>
      <c r="AV2137" s="53" t="n">
        <v>0</v>
      </c>
      <c r="AW2137" s="53" t="n">
        <v>0</v>
      </c>
      <c r="AX2137" s="53" t="n">
        <v>0</v>
      </c>
      <c r="AY2137" s="52" t="n">
        <v>0</v>
      </c>
      <c r="AZ2137" s="52" t="n">
        <v>0</v>
      </c>
      <c r="BA2137" s="52" t="n">
        <v>0</v>
      </c>
      <c r="BB2137" s="52" t="n">
        <v>0</v>
      </c>
      <c r="BC2137" s="51" t="n">
        <v>0</v>
      </c>
      <c r="BD2137" s="51" t="n">
        <v>0</v>
      </c>
      <c r="BE2137" s="51" t="n">
        <v>0</v>
      </c>
      <c r="BF2137" s="51" t="n">
        <v>0</v>
      </c>
    </row>
    <row r="2138">
      <c r="A2138">
        <f>HYPERLINK("https://www.walmart.com/ip/3289036681", "3289036681")</f>
        <v/>
      </c>
      <c r="B2138" t="inlineStr">
        <is>
          <t>Tirrinia Insulated Lunch Bag for Women Men, Double-Layer Leak-Proof Reusable Lunch Box with 4 Pockets for Adult Kids, Lunch Bag Cooler Tote for Office Work, Back to School, Dark Blue</t>
        </is>
      </c>
      <c r="C2138" t="inlineStr">
        <is>
          <t>1TRLB702DBL-D</t>
        </is>
      </c>
      <c r="D2138" t="inlineStr">
        <is>
          <t>Reusable Lunch Bags &amp; Boxes</t>
        </is>
      </c>
      <c r="E2138" t="inlineStr">
        <is>
          <t>Tirrinia</t>
        </is>
      </c>
      <c r="F2138" t="inlineStr">
        <is>
          <t>Q2-Target</t>
        </is>
      </c>
      <c r="G2138" s="48" t="n">
        <v>0</v>
      </c>
      <c r="H2138" s="48" t="n">
        <v>0</v>
      </c>
      <c r="I2138" s="48" t="n">
        <v>0</v>
      </c>
      <c r="J2138" s="48" t="n">
        <v>0</v>
      </c>
      <c r="K2138" s="49" t="n">
        <v>0</v>
      </c>
      <c r="L2138" s="49" t="n">
        <v>0</v>
      </c>
      <c r="M2138" s="49" t="n">
        <v>0</v>
      </c>
      <c r="N2138" s="49" t="n">
        <v>0</v>
      </c>
      <c r="O2138" s="49" t="n">
        <v>0</v>
      </c>
      <c r="P2138" s="49" t="n">
        <v>0</v>
      </c>
      <c r="Q2138" s="49" t="n">
        <v>0</v>
      </c>
      <c r="R2138" s="49" t="n">
        <v>0</v>
      </c>
      <c r="S2138" s="50" t="n">
        <v>0</v>
      </c>
      <c r="T2138" s="50" t="n">
        <v>0</v>
      </c>
      <c r="U2138" s="50" t="n">
        <v>0</v>
      </c>
      <c r="V2138" s="50" t="n">
        <v>0</v>
      </c>
      <c r="W2138" s="51" t="n">
        <v>0</v>
      </c>
      <c r="X2138" s="51" t="n">
        <v>0</v>
      </c>
      <c r="Y2138" s="51" t="n">
        <v>0</v>
      </c>
      <c r="Z2138" s="51" t="n">
        <v>0</v>
      </c>
      <c r="AA2138" s="52" t="n">
        <v>0</v>
      </c>
      <c r="AB2138" s="52" t="n">
        <v>0</v>
      </c>
      <c r="AC2138" s="52" t="n">
        <v>0</v>
      </c>
      <c r="AD2138" s="52" t="n">
        <v>0</v>
      </c>
      <c r="AE2138" s="52" t="n">
        <v>0</v>
      </c>
      <c r="AF2138" s="52" t="n">
        <v>0</v>
      </c>
      <c r="AG2138" s="52" t="n">
        <v>0</v>
      </c>
      <c r="AH2138" s="52" t="n">
        <v>0</v>
      </c>
      <c r="AI2138" s="52" t="n">
        <v>0</v>
      </c>
      <c r="AJ2138" s="52" t="n">
        <v>0</v>
      </c>
      <c r="AK2138" s="52" t="n">
        <v>0</v>
      </c>
      <c r="AL2138" s="52" t="n">
        <v>0</v>
      </c>
      <c r="AM2138" s="53" t="n">
        <v>0</v>
      </c>
      <c r="AN2138" s="53" t="n">
        <v>0</v>
      </c>
      <c r="AO2138" s="53" t="n">
        <v>0</v>
      </c>
      <c r="AP2138" s="53" t="n">
        <v>0</v>
      </c>
      <c r="AQ2138" s="52" t="n">
        <v>0</v>
      </c>
      <c r="AR2138" s="52" t="n">
        <v>0</v>
      </c>
      <c r="AS2138" s="52" t="n">
        <v>0</v>
      </c>
      <c r="AT2138" s="52" t="n">
        <v>0</v>
      </c>
      <c r="AU2138" s="53" t="n">
        <v>0</v>
      </c>
      <c r="AV2138" s="53" t="n">
        <v>0</v>
      </c>
      <c r="AW2138" s="53" t="n">
        <v>0</v>
      </c>
      <c r="AX2138" s="53" t="n">
        <v>0</v>
      </c>
      <c r="AY2138" s="52" t="n">
        <v>0</v>
      </c>
      <c r="AZ2138" s="52" t="n">
        <v>0</v>
      </c>
      <c r="BA2138" s="52" t="n">
        <v>0</v>
      </c>
      <c r="BB2138" s="52" t="n">
        <v>0</v>
      </c>
      <c r="BC2138" s="51" t="n">
        <v>0</v>
      </c>
      <c r="BD2138" s="51" t="n">
        <v>0</v>
      </c>
      <c r="BE2138" s="51" t="n">
        <v>0</v>
      </c>
      <c r="BF2138" s="51" t="n">
        <v>0</v>
      </c>
    </row>
    <row r="2139">
      <c r="A2139">
        <f>HYPERLINK("https://www.walmart.com/ip/3287854820", "3287854820")</f>
        <v/>
      </c>
      <c r="B2139" t="inlineStr">
        <is>
          <t>Tirrinia Large Insulated Lunch Bag for Men and Women, Double-Layer Leak-Proof Reusable Lunch Box for Office, Travel, and Work, Lunch Cooler Tote, Carbonarius</t>
        </is>
      </c>
      <c r="C2139" t="inlineStr">
        <is>
          <t>1TRLB701CH-D</t>
        </is>
      </c>
      <c r="D2139" t="inlineStr">
        <is>
          <t>Reusable Lunch Bags &amp; Boxes</t>
        </is>
      </c>
      <c r="E2139" t="inlineStr">
        <is>
          <t>Tirrinia</t>
        </is>
      </c>
      <c r="F2139" t="inlineStr">
        <is>
          <t>Q2-Target</t>
        </is>
      </c>
      <c r="G2139" s="48" t="n">
        <v>0</v>
      </c>
      <c r="H2139" s="48" t="n">
        <v>35.98</v>
      </c>
      <c r="I2139" s="48" t="n">
        <v>42.97</v>
      </c>
      <c r="J2139" s="48" t="n">
        <v>0</v>
      </c>
      <c r="K2139" s="49" t="n">
        <v>0</v>
      </c>
      <c r="L2139" s="49" t="n">
        <v>2</v>
      </c>
      <c r="M2139" s="49" t="n">
        <v>2</v>
      </c>
      <c r="N2139" s="49" t="n">
        <v>0</v>
      </c>
      <c r="O2139" s="49" t="n">
        <v>18</v>
      </c>
      <c r="P2139" s="49" t="n">
        <v>25</v>
      </c>
      <c r="Q2139" s="49" t="n">
        <v>30</v>
      </c>
      <c r="R2139" s="49" t="n">
        <v>29</v>
      </c>
      <c r="S2139" s="50" t="n">
        <v>0</v>
      </c>
      <c r="T2139" s="50" t="n">
        <v>0.08</v>
      </c>
      <c r="U2139" s="50" t="n">
        <v>0.06666666666666667</v>
      </c>
      <c r="V2139" s="50" t="n">
        <v>0</v>
      </c>
      <c r="W2139" s="51" t="n">
        <v>0</v>
      </c>
      <c r="X2139" s="51" t="n">
        <v>0</v>
      </c>
      <c r="Y2139" s="51" t="n">
        <v>0</v>
      </c>
      <c r="Z2139" s="51" t="n">
        <v>0</v>
      </c>
      <c r="AA2139" s="52" t="n">
        <v>0</v>
      </c>
      <c r="AB2139" s="52" t="n">
        <v>0</v>
      </c>
      <c r="AC2139" s="52" t="n">
        <v>0</v>
      </c>
      <c r="AD2139" s="52" t="n">
        <v>0</v>
      </c>
      <c r="AE2139" s="52" t="n">
        <v>0</v>
      </c>
      <c r="AF2139" s="52" t="n">
        <v>0</v>
      </c>
      <c r="AG2139" s="52" t="n">
        <v>0</v>
      </c>
      <c r="AH2139" s="52" t="n">
        <v>0</v>
      </c>
      <c r="AI2139" s="52" t="n">
        <v>0</v>
      </c>
      <c r="AJ2139" s="52" t="n">
        <v>0</v>
      </c>
      <c r="AK2139" s="52" t="n">
        <v>0</v>
      </c>
      <c r="AL2139" s="52" t="n">
        <v>0</v>
      </c>
      <c r="AM2139" s="53" t="n">
        <v>0</v>
      </c>
      <c r="AN2139" s="53" t="n">
        <v>0</v>
      </c>
      <c r="AO2139" s="53" t="n">
        <v>0</v>
      </c>
      <c r="AP2139" s="53" t="n">
        <v>0</v>
      </c>
      <c r="AQ2139" s="52" t="n">
        <v>0</v>
      </c>
      <c r="AR2139" s="52" t="n">
        <v>0</v>
      </c>
      <c r="AS2139" s="52" t="n">
        <v>0</v>
      </c>
      <c r="AT2139" s="52" t="n">
        <v>0</v>
      </c>
      <c r="AU2139" s="53" t="n">
        <v>0</v>
      </c>
      <c r="AV2139" s="53" t="n">
        <v>0</v>
      </c>
      <c r="AW2139" s="53" t="n">
        <v>0</v>
      </c>
      <c r="AX2139" s="53" t="n">
        <v>0</v>
      </c>
      <c r="AY2139" s="52" t="n">
        <v>0</v>
      </c>
      <c r="AZ2139" s="52" t="n">
        <v>17.99</v>
      </c>
      <c r="BA2139" s="52" t="n">
        <v>21.485</v>
      </c>
      <c r="BB2139" s="52" t="n">
        <v>0</v>
      </c>
      <c r="BC2139" s="51" t="n">
        <v>0</v>
      </c>
      <c r="BD2139" s="51" t="n">
        <v>0</v>
      </c>
      <c r="BE2139" s="51" t="n">
        <v>0</v>
      </c>
      <c r="BF2139" s="51" t="n">
        <v>0</v>
      </c>
    </row>
    <row r="2140">
      <c r="A2140">
        <f>HYPERLINK("https://www.walmart.com/ip/328760075", "328760075")</f>
        <v/>
      </c>
      <c r="B2140" t="inlineStr">
        <is>
          <t>Terra Youth Reflective Knit Hat High Visibility Cold Weather Running Beanie Cool</t>
        </is>
      </c>
      <c r="C2140" t="inlineStr">
        <is>
          <t>TERRABN01-RO</t>
        </is>
      </c>
      <c r="D2140" t="inlineStr">
        <is>
          <t>Hats</t>
        </is>
      </c>
      <c r="E2140" t="inlineStr">
        <is>
          <t>Terra</t>
        </is>
      </c>
      <c r="G2140" s="48" t="n">
        <v>0</v>
      </c>
      <c r="H2140" s="48" t="n">
        <v>0</v>
      </c>
      <c r="I2140" s="48" t="n">
        <v>0</v>
      </c>
      <c r="J2140" s="48" t="n">
        <v>0</v>
      </c>
      <c r="K2140" s="49" t="n">
        <v>0</v>
      </c>
      <c r="L2140" s="49" t="n">
        <v>0</v>
      </c>
      <c r="M2140" s="49" t="n">
        <v>0</v>
      </c>
      <c r="N2140" s="49" t="n">
        <v>0</v>
      </c>
      <c r="O2140" s="49" t="n">
        <v>0</v>
      </c>
      <c r="P2140" s="49" t="n">
        <v>0</v>
      </c>
      <c r="Q2140" s="49" t="n">
        <v>0</v>
      </c>
      <c r="R2140" s="49" t="n">
        <v>0</v>
      </c>
      <c r="S2140" s="50" t="n">
        <v>0</v>
      </c>
      <c r="T2140" s="50" t="n">
        <v>0</v>
      </c>
      <c r="U2140" s="50" t="n">
        <v>0</v>
      </c>
      <c r="V2140" s="50" t="n">
        <v>0</v>
      </c>
      <c r="W2140" s="51" t="n">
        <v>0</v>
      </c>
      <c r="X2140" s="51" t="n">
        <v>0</v>
      </c>
      <c r="Y2140" s="51" t="n">
        <v>0</v>
      </c>
      <c r="Z2140" s="51" t="n">
        <v>0</v>
      </c>
      <c r="AA2140" s="52" t="n">
        <v>0</v>
      </c>
      <c r="AB2140" s="52" t="n">
        <v>0</v>
      </c>
      <c r="AC2140" s="52" t="n">
        <v>0</v>
      </c>
      <c r="AD2140" s="52" t="n">
        <v>0</v>
      </c>
      <c r="AE2140" s="52" t="n">
        <v>0</v>
      </c>
      <c r="AF2140" s="52" t="n">
        <v>0</v>
      </c>
      <c r="AG2140" s="52" t="n">
        <v>0</v>
      </c>
      <c r="AH2140" s="52" t="n">
        <v>0</v>
      </c>
      <c r="AI2140" s="52" t="n">
        <v>0</v>
      </c>
      <c r="AJ2140" s="52" t="n">
        <v>0</v>
      </c>
      <c r="AK2140" s="52" t="n">
        <v>0</v>
      </c>
      <c r="AL2140" s="52" t="n">
        <v>0</v>
      </c>
      <c r="AM2140" s="53" t="n">
        <v>0</v>
      </c>
      <c r="AN2140" s="53" t="n">
        <v>0</v>
      </c>
      <c r="AO2140" s="53" t="n">
        <v>0</v>
      </c>
      <c r="AP2140" s="53" t="n">
        <v>0</v>
      </c>
      <c r="AQ2140" s="52" t="n">
        <v>0</v>
      </c>
      <c r="AR2140" s="52" t="n">
        <v>0</v>
      </c>
      <c r="AS2140" s="52" t="n">
        <v>0</v>
      </c>
      <c r="AT2140" s="52" t="n">
        <v>0</v>
      </c>
      <c r="AU2140" s="53" t="n">
        <v>0</v>
      </c>
      <c r="AV2140" s="53" t="n">
        <v>0</v>
      </c>
      <c r="AW2140" s="53" t="n">
        <v>0</v>
      </c>
      <c r="AX2140" s="53" t="n">
        <v>0</v>
      </c>
      <c r="AY2140" s="52" t="n">
        <v>0</v>
      </c>
      <c r="AZ2140" s="52" t="n">
        <v>0</v>
      </c>
      <c r="BA2140" s="52" t="n">
        <v>0</v>
      </c>
      <c r="BB2140" s="52" t="n">
        <v>0</v>
      </c>
      <c r="BC2140" s="51" t="n">
        <v>0</v>
      </c>
      <c r="BD2140" s="51" t="n">
        <v>0</v>
      </c>
      <c r="BE2140" s="51" t="n">
        <v>0</v>
      </c>
      <c r="BF2140" s="51" t="n">
        <v>0</v>
      </c>
    </row>
    <row r="2141">
      <c r="A2141">
        <f>HYPERLINK("https://www.walmart.com/ip/302499900", "302499900")</f>
        <v/>
      </c>
      <c r="B2141" t="inlineStr">
        <is>
          <t>Tirrinia Snowflake Sherpa Throw Blanket 50" x 60", Super Soft Fluffy Sherpa Throw TV Blanket Decorative Blanket for Bed Couch Holidays | Catalonia series | Grey</t>
        </is>
      </c>
      <c r="C2141" t="inlineStr">
        <is>
          <t>1TRBF390GY-TBCB</t>
        </is>
      </c>
      <c r="D2141" t="inlineStr">
        <is>
          <t>Throws</t>
        </is>
      </c>
      <c r="E2141" t="inlineStr">
        <is>
          <t>Tirrinia</t>
        </is>
      </c>
      <c r="F2141" t="inlineStr">
        <is>
          <t>Q2-Target,Batch 1 - TR</t>
        </is>
      </c>
      <c r="G2141" s="48" t="n">
        <v>0</v>
      </c>
      <c r="H2141" s="48" t="n">
        <v>0</v>
      </c>
      <c r="I2141" s="48" t="n">
        <v>0</v>
      </c>
      <c r="J2141" s="48" t="n">
        <v>0</v>
      </c>
      <c r="K2141" s="49" t="n">
        <v>0</v>
      </c>
      <c r="L2141" s="49" t="n">
        <v>0</v>
      </c>
      <c r="M2141" s="49" t="n">
        <v>0</v>
      </c>
      <c r="N2141" s="49" t="n">
        <v>0</v>
      </c>
      <c r="O2141" s="49" t="n">
        <v>0</v>
      </c>
      <c r="P2141" s="49" t="n">
        <v>0</v>
      </c>
      <c r="Q2141" s="49" t="n">
        <v>0</v>
      </c>
      <c r="R2141" s="49" t="n">
        <v>0</v>
      </c>
      <c r="S2141" s="50" t="n">
        <v>0</v>
      </c>
      <c r="T2141" s="50" t="n">
        <v>0</v>
      </c>
      <c r="U2141" s="50" t="n">
        <v>0</v>
      </c>
      <c r="V2141" s="50" t="n">
        <v>0</v>
      </c>
      <c r="W2141" s="51" t="n">
        <v>0</v>
      </c>
      <c r="X2141" s="51" t="n">
        <v>0</v>
      </c>
      <c r="Y2141" s="51" t="n">
        <v>0</v>
      </c>
      <c r="Z2141" s="51" t="n">
        <v>0</v>
      </c>
      <c r="AA2141" s="52" t="n">
        <v>0</v>
      </c>
      <c r="AB2141" s="52" t="n">
        <v>0</v>
      </c>
      <c r="AC2141" s="52" t="n">
        <v>0</v>
      </c>
      <c r="AD2141" s="52" t="n">
        <v>0</v>
      </c>
      <c r="AE2141" s="52" t="n">
        <v>0</v>
      </c>
      <c r="AF2141" s="52" t="n">
        <v>0</v>
      </c>
      <c r="AG2141" s="52" t="n">
        <v>0</v>
      </c>
      <c r="AH2141" s="52" t="n">
        <v>0</v>
      </c>
      <c r="AI2141" s="52" t="n">
        <v>0</v>
      </c>
      <c r="AJ2141" s="52" t="n">
        <v>0</v>
      </c>
      <c r="AK2141" s="52" t="n">
        <v>0</v>
      </c>
      <c r="AL2141" s="52" t="n">
        <v>0</v>
      </c>
      <c r="AM2141" s="53" t="n">
        <v>0</v>
      </c>
      <c r="AN2141" s="53" t="n">
        <v>0</v>
      </c>
      <c r="AO2141" s="53" t="n">
        <v>0</v>
      </c>
      <c r="AP2141" s="53" t="n">
        <v>0</v>
      </c>
      <c r="AQ2141" s="52" t="n">
        <v>0</v>
      </c>
      <c r="AR2141" s="52" t="n">
        <v>0</v>
      </c>
      <c r="AS2141" s="52" t="n">
        <v>0</v>
      </c>
      <c r="AT2141" s="52" t="n">
        <v>0</v>
      </c>
      <c r="AU2141" s="53" t="n">
        <v>0</v>
      </c>
      <c r="AV2141" s="53" t="n">
        <v>0</v>
      </c>
      <c r="AW2141" s="53" t="n">
        <v>0</v>
      </c>
      <c r="AX2141" s="53" t="n">
        <v>0</v>
      </c>
      <c r="AY2141" s="52" t="n">
        <v>0</v>
      </c>
      <c r="AZ2141" s="52" t="n">
        <v>0</v>
      </c>
      <c r="BA2141" s="52" t="n">
        <v>0</v>
      </c>
      <c r="BB2141" s="52" t="n">
        <v>0</v>
      </c>
      <c r="BC2141" s="51" t="n">
        <v>0</v>
      </c>
      <c r="BD2141" s="51" t="n">
        <v>0</v>
      </c>
      <c r="BE2141" s="51" t="n">
        <v>0</v>
      </c>
      <c r="BF2141" s="51" t="n">
        <v>0</v>
      </c>
    </row>
    <row r="2142">
      <c r="A2142">
        <f>HYPERLINK("https://www.walmart.com/ip/304221150", "304221150")</f>
        <v/>
      </c>
      <c r="B2142" t="inlineStr">
        <is>
          <t>Pink Sherpa Throw Blanket, Fuzzy Snuggle Blanket for Camping Traveling Couch Bed, Super Soft, Light Weight, Reversible, All Season Use, 50x60 inches</t>
        </is>
      </c>
      <c r="C2142" t="inlineStr">
        <is>
          <t>1CTBF566PK</t>
        </is>
      </c>
      <c r="D2142" t="inlineStr">
        <is>
          <t>Throws</t>
        </is>
      </c>
      <c r="E2142" t="inlineStr">
        <is>
          <t>Catalonia</t>
        </is>
      </c>
      <c r="F2142" t="inlineStr">
        <is>
          <t>Q2-Target,WFS,Coupon_Discount,WFS Item</t>
        </is>
      </c>
      <c r="G2142" s="48" t="n">
        <v>0</v>
      </c>
      <c r="H2142" s="48" t="n">
        <v>0</v>
      </c>
      <c r="I2142" s="48" t="n">
        <v>0</v>
      </c>
      <c r="J2142" s="48" t="n">
        <v>0</v>
      </c>
      <c r="K2142" s="49" t="n">
        <v>0</v>
      </c>
      <c r="L2142" s="49" t="n">
        <v>0</v>
      </c>
      <c r="M2142" s="49" t="n">
        <v>0</v>
      </c>
      <c r="N2142" s="49" t="n">
        <v>0</v>
      </c>
      <c r="O2142" s="49" t="n">
        <v>0</v>
      </c>
      <c r="P2142" s="49" t="n">
        <v>0</v>
      </c>
      <c r="Q2142" s="49" t="n">
        <v>0</v>
      </c>
      <c r="R2142" s="49" t="n">
        <v>0</v>
      </c>
      <c r="S2142" s="50" t="n">
        <v>0</v>
      </c>
      <c r="T2142" s="50" t="n">
        <v>0</v>
      </c>
      <c r="U2142" s="50" t="n">
        <v>0</v>
      </c>
      <c r="V2142" s="50" t="n">
        <v>0</v>
      </c>
      <c r="W2142" s="51" t="n">
        <v>0</v>
      </c>
      <c r="X2142" s="51" t="n">
        <v>0</v>
      </c>
      <c r="Y2142" s="51" t="n">
        <v>0</v>
      </c>
      <c r="Z2142" s="51" t="n">
        <v>0</v>
      </c>
      <c r="AA2142" s="52" t="n">
        <v>0</v>
      </c>
      <c r="AB2142" s="52" t="n">
        <v>0</v>
      </c>
      <c r="AC2142" s="52" t="n">
        <v>0</v>
      </c>
      <c r="AD2142" s="52" t="n">
        <v>0</v>
      </c>
      <c r="AE2142" s="52" t="n">
        <v>0</v>
      </c>
      <c r="AF2142" s="52" t="n">
        <v>0</v>
      </c>
      <c r="AG2142" s="52" t="n">
        <v>0</v>
      </c>
      <c r="AH2142" s="52" t="n">
        <v>0</v>
      </c>
      <c r="AI2142" s="52" t="n">
        <v>0</v>
      </c>
      <c r="AJ2142" s="52" t="n">
        <v>0</v>
      </c>
      <c r="AK2142" s="52" t="n">
        <v>0</v>
      </c>
      <c r="AL2142" s="52" t="n">
        <v>0</v>
      </c>
      <c r="AM2142" s="53" t="n">
        <v>0</v>
      </c>
      <c r="AN2142" s="53" t="n">
        <v>0</v>
      </c>
      <c r="AO2142" s="53" t="n">
        <v>0</v>
      </c>
      <c r="AP2142" s="53" t="n">
        <v>0</v>
      </c>
      <c r="AQ2142" s="52" t="n">
        <v>0</v>
      </c>
      <c r="AR2142" s="52" t="n">
        <v>0</v>
      </c>
      <c r="AS2142" s="52" t="n">
        <v>0</v>
      </c>
      <c r="AT2142" s="52" t="n">
        <v>0</v>
      </c>
      <c r="AU2142" s="53" t="n">
        <v>0</v>
      </c>
      <c r="AV2142" s="53" t="n">
        <v>0</v>
      </c>
      <c r="AW2142" s="53" t="n">
        <v>0</v>
      </c>
      <c r="AX2142" s="53" t="n">
        <v>0</v>
      </c>
      <c r="AY2142" s="52" t="n">
        <v>0</v>
      </c>
      <c r="AZ2142" s="52" t="n">
        <v>0</v>
      </c>
      <c r="BA2142" s="52" t="n">
        <v>0</v>
      </c>
      <c r="BB2142" s="52" t="n">
        <v>0</v>
      </c>
      <c r="BC2142" s="51" t="n">
        <v>0</v>
      </c>
      <c r="BD2142" s="51" t="n">
        <v>0</v>
      </c>
      <c r="BE2142" s="51" t="n">
        <v>0</v>
      </c>
      <c r="BF2142" s="51" t="n">
        <v>0</v>
      </c>
    </row>
    <row r="2143">
      <c r="A2143">
        <f>HYPERLINK("https://www.walmart.com/ip/305329935", "305329935")</f>
        <v/>
      </c>
      <c r="B2143" t="inlineStr">
        <is>
          <t>Single Wine Cooler Bags - Insulated &amp; Padded Portable Wine Tote Carrier for Travel, BYOB Restaurant, Wine Tasting, Party, Great Christmas Gift for Wine Lover, Blue Stripe</t>
        </is>
      </c>
      <c r="C2143" t="inlineStr">
        <is>
          <t>1WMWB101STR</t>
        </is>
      </c>
      <c r="D2143" t="inlineStr">
        <is>
          <t>Wine Totes, Bags &amp; Backpacks</t>
        </is>
      </c>
      <c r="E2143" t="inlineStr">
        <is>
          <t>Flyingstar</t>
        </is>
      </c>
      <c r="F2143" t="inlineStr">
        <is>
          <t>Wine,Christmas,Optimized,Valentine</t>
        </is>
      </c>
      <c r="G2143" s="48" t="n">
        <v>0</v>
      </c>
      <c r="H2143" s="48" t="n">
        <v>0</v>
      </c>
      <c r="I2143" s="48" t="n">
        <v>13.99</v>
      </c>
      <c r="J2143" s="48" t="n">
        <v>13.99</v>
      </c>
      <c r="K2143" s="49" t="n">
        <v>0</v>
      </c>
      <c r="L2143" s="49" t="n">
        <v>0</v>
      </c>
      <c r="M2143" s="49" t="n">
        <v>1</v>
      </c>
      <c r="N2143" s="49" t="n">
        <v>1</v>
      </c>
      <c r="O2143" s="49" t="n">
        <v>0</v>
      </c>
      <c r="P2143" s="49" t="n">
        <v>0</v>
      </c>
      <c r="Q2143" s="49" t="n">
        <v>0</v>
      </c>
      <c r="R2143" s="49" t="n">
        <v>0</v>
      </c>
      <c r="S2143" s="50" t="n">
        <v>0</v>
      </c>
      <c r="T2143" s="50" t="n">
        <v>0</v>
      </c>
      <c r="U2143" s="50" t="n">
        <v>0</v>
      </c>
      <c r="V2143" s="50" t="n">
        <v>0</v>
      </c>
      <c r="W2143" s="51" t="n">
        <v>0</v>
      </c>
      <c r="X2143" s="51" t="n">
        <v>0</v>
      </c>
      <c r="Y2143" s="51" t="n">
        <v>0</v>
      </c>
      <c r="Z2143" s="51" t="n">
        <v>0</v>
      </c>
      <c r="AA2143" s="52" t="n">
        <v>0</v>
      </c>
      <c r="AB2143" s="52" t="n">
        <v>0</v>
      </c>
      <c r="AC2143" s="52" t="n">
        <v>0</v>
      </c>
      <c r="AD2143" s="52" t="n">
        <v>0</v>
      </c>
      <c r="AE2143" s="52" t="n">
        <v>0</v>
      </c>
      <c r="AF2143" s="52" t="n">
        <v>0</v>
      </c>
      <c r="AG2143" s="52" t="n">
        <v>0</v>
      </c>
      <c r="AH2143" s="52" t="n">
        <v>0</v>
      </c>
      <c r="AI2143" s="52" t="n">
        <v>0</v>
      </c>
      <c r="AJ2143" s="52" t="n">
        <v>0</v>
      </c>
      <c r="AK2143" s="52" t="n">
        <v>0</v>
      </c>
      <c r="AL2143" s="52" t="n">
        <v>0</v>
      </c>
      <c r="AM2143" s="53" t="n">
        <v>0</v>
      </c>
      <c r="AN2143" s="53" t="n">
        <v>0</v>
      </c>
      <c r="AO2143" s="53" t="n">
        <v>0</v>
      </c>
      <c r="AP2143" s="53" t="n">
        <v>0</v>
      </c>
      <c r="AQ2143" s="52" t="n">
        <v>0</v>
      </c>
      <c r="AR2143" s="52" t="n">
        <v>0</v>
      </c>
      <c r="AS2143" s="52" t="n">
        <v>0</v>
      </c>
      <c r="AT2143" s="52" t="n">
        <v>0</v>
      </c>
      <c r="AU2143" s="53" t="n">
        <v>0</v>
      </c>
      <c r="AV2143" s="53" t="n">
        <v>0</v>
      </c>
      <c r="AW2143" s="53" t="n">
        <v>0</v>
      </c>
      <c r="AX2143" s="53" t="n">
        <v>0</v>
      </c>
      <c r="AY2143" s="52" t="n">
        <v>0</v>
      </c>
      <c r="AZ2143" s="52" t="n">
        <v>0</v>
      </c>
      <c r="BA2143" s="52" t="n">
        <v>13.99</v>
      </c>
      <c r="BB2143" s="52" t="n">
        <v>13.99</v>
      </c>
      <c r="BC2143" s="51" t="n">
        <v>0</v>
      </c>
      <c r="BD2143" s="51" t="n">
        <v>0</v>
      </c>
      <c r="BE2143" s="51" t="n">
        <v>0</v>
      </c>
      <c r="BF2143" s="51" t="n">
        <v>0</v>
      </c>
    </row>
    <row r="2144">
      <c r="A2144">
        <f>HYPERLINK("https://www.walmart.com/ip/305581641", "305581641")</f>
        <v/>
      </c>
      <c r="B2144" t="inlineStr">
        <is>
          <t>Tirrinia Bamboo Wine Picnic Table, Ideal Wine Lover Gift, Large Folding Portable Outdoor Snack and Cheese Tray with 4 Wine Glasses Holder for Concerts at Park, Party, or Beach, 17" x 12.6" x 7''</t>
        </is>
      </c>
      <c r="C2144" t="inlineStr">
        <is>
          <t>1TRPT140</t>
        </is>
      </c>
      <c r="D2144" t="inlineStr">
        <is>
          <t>Wine Glasses</t>
        </is>
      </c>
      <c r="E2144" t="inlineStr">
        <is>
          <t>Tirrinia</t>
        </is>
      </c>
      <c r="F2144" t="inlineStr">
        <is>
          <t>Wine,Optimized,WFS,Valentine,SEM,WFS Item</t>
        </is>
      </c>
      <c r="G2144" s="48" t="n">
        <v>0</v>
      </c>
      <c r="H2144" s="48" t="n">
        <v>0</v>
      </c>
      <c r="I2144" s="48" t="n">
        <v>0</v>
      </c>
      <c r="J2144" s="48" t="n">
        <v>0</v>
      </c>
      <c r="K2144" s="49" t="n">
        <v>0</v>
      </c>
      <c r="L2144" s="49" t="n">
        <v>0</v>
      </c>
      <c r="M2144" s="49" t="n">
        <v>0</v>
      </c>
      <c r="N2144" s="49" t="n">
        <v>0</v>
      </c>
      <c r="O2144" s="49" t="n">
        <v>0</v>
      </c>
      <c r="P2144" s="49" t="n">
        <v>0</v>
      </c>
      <c r="Q2144" s="49" t="n">
        <v>0</v>
      </c>
      <c r="R2144" s="49" t="n">
        <v>0</v>
      </c>
      <c r="S2144" s="50" t="n">
        <v>0</v>
      </c>
      <c r="T2144" s="50" t="n">
        <v>0</v>
      </c>
      <c r="U2144" s="50" t="n">
        <v>0</v>
      </c>
      <c r="V2144" s="50" t="n">
        <v>0</v>
      </c>
      <c r="W2144" s="51" t="n">
        <v>0</v>
      </c>
      <c r="X2144" s="51" t="n">
        <v>0</v>
      </c>
      <c r="Y2144" s="51" t="n">
        <v>0</v>
      </c>
      <c r="Z2144" s="51" t="n">
        <v>0</v>
      </c>
      <c r="AA2144" s="52" t="n">
        <v>0</v>
      </c>
      <c r="AB2144" s="52" t="n">
        <v>0</v>
      </c>
      <c r="AC2144" s="52" t="n">
        <v>0</v>
      </c>
      <c r="AD2144" s="52" t="n">
        <v>0</v>
      </c>
      <c r="AE2144" s="52" t="n">
        <v>0</v>
      </c>
      <c r="AF2144" s="52" t="n">
        <v>0</v>
      </c>
      <c r="AG2144" s="52" t="n">
        <v>0</v>
      </c>
      <c r="AH2144" s="52" t="n">
        <v>0</v>
      </c>
      <c r="AI2144" s="52" t="n">
        <v>0</v>
      </c>
      <c r="AJ2144" s="52" t="n">
        <v>0</v>
      </c>
      <c r="AK2144" s="52" t="n">
        <v>0</v>
      </c>
      <c r="AL2144" s="52" t="n">
        <v>0</v>
      </c>
      <c r="AM2144" s="53" t="n">
        <v>0</v>
      </c>
      <c r="AN2144" s="53" t="n">
        <v>0</v>
      </c>
      <c r="AO2144" s="53" t="n">
        <v>0</v>
      </c>
      <c r="AP2144" s="53" t="n">
        <v>0</v>
      </c>
      <c r="AQ2144" s="52" t="n">
        <v>0</v>
      </c>
      <c r="AR2144" s="52" t="n">
        <v>0</v>
      </c>
      <c r="AS2144" s="52" t="n">
        <v>0</v>
      </c>
      <c r="AT2144" s="52" t="n">
        <v>0</v>
      </c>
      <c r="AU2144" s="53" t="n">
        <v>0</v>
      </c>
      <c r="AV2144" s="53" t="n">
        <v>0</v>
      </c>
      <c r="AW2144" s="53" t="n">
        <v>0</v>
      </c>
      <c r="AX2144" s="53" t="n">
        <v>0</v>
      </c>
      <c r="AY2144" s="52" t="n">
        <v>0</v>
      </c>
      <c r="AZ2144" s="52" t="n">
        <v>0</v>
      </c>
      <c r="BA2144" s="52" t="n">
        <v>0</v>
      </c>
      <c r="BB2144" s="52" t="n">
        <v>0</v>
      </c>
      <c r="BC2144" s="51" t="n">
        <v>0</v>
      </c>
      <c r="BD2144" s="51" t="n">
        <v>0</v>
      </c>
      <c r="BE2144" s="51" t="n">
        <v>0</v>
      </c>
      <c r="BF2144" s="51" t="n">
        <v>0</v>
      </c>
    </row>
    <row r="2145">
      <c r="A2145">
        <f>HYPERLINK("https://www.walmart.com/ip/306725543", "306725543")</f>
        <v/>
      </c>
      <c r="B2145" t="inlineStr">
        <is>
          <t>Catalonia Snowman Sherpa Throw Blanket, Super Soft Fleece Plush Sofa Couch Blanket, TV Bed Blanket, Comfy Cozy Fluffy Warm, Christmas Theme Throws, Holiday Gift( 50x60 inch, Grey)</t>
        </is>
      </c>
      <c r="C2145" t="inlineStr">
        <is>
          <t>1CTBF571SNOWMAN</t>
        </is>
      </c>
      <c r="D2145" t="inlineStr">
        <is>
          <t>Throws</t>
        </is>
      </c>
      <c r="E2145" t="inlineStr">
        <is>
          <t>Catalonia</t>
        </is>
      </c>
      <c r="F2145" t="inlineStr">
        <is>
          <t>Christmas,Optimized,Hero 5 Holidays</t>
        </is>
      </c>
      <c r="G2145" s="48" t="n">
        <v>0</v>
      </c>
      <c r="H2145" s="48" t="n">
        <v>0</v>
      </c>
      <c r="I2145" s="48" t="n">
        <v>0</v>
      </c>
      <c r="J2145" s="48" t="n">
        <v>0</v>
      </c>
      <c r="K2145" s="49" t="n">
        <v>0</v>
      </c>
      <c r="L2145" s="49" t="n">
        <v>0</v>
      </c>
      <c r="M2145" s="49" t="n">
        <v>0</v>
      </c>
      <c r="N2145" s="49" t="n">
        <v>0</v>
      </c>
      <c r="O2145" s="49" t="n">
        <v>0</v>
      </c>
      <c r="P2145" s="49" t="n">
        <v>0</v>
      </c>
      <c r="Q2145" s="49" t="n">
        <v>0</v>
      </c>
      <c r="R2145" s="49" t="n">
        <v>0</v>
      </c>
      <c r="S2145" s="50" t="n">
        <v>0</v>
      </c>
      <c r="T2145" s="50" t="n">
        <v>0</v>
      </c>
      <c r="U2145" s="50" t="n">
        <v>0</v>
      </c>
      <c r="V2145" s="50" t="n">
        <v>0</v>
      </c>
      <c r="W2145" s="51" t="n">
        <v>0</v>
      </c>
      <c r="X2145" s="51" t="n">
        <v>0</v>
      </c>
      <c r="Y2145" s="51" t="n">
        <v>0</v>
      </c>
      <c r="Z2145" s="51" t="n">
        <v>0</v>
      </c>
      <c r="AA2145" s="52" t="n">
        <v>0</v>
      </c>
      <c r="AB2145" s="52" t="n">
        <v>0</v>
      </c>
      <c r="AC2145" s="52" t="n">
        <v>0</v>
      </c>
      <c r="AD2145" s="52" t="n">
        <v>0</v>
      </c>
      <c r="AE2145" s="52" t="n">
        <v>0</v>
      </c>
      <c r="AF2145" s="52" t="n">
        <v>0</v>
      </c>
      <c r="AG2145" s="52" t="n">
        <v>0</v>
      </c>
      <c r="AH2145" s="52" t="n">
        <v>0</v>
      </c>
      <c r="AI2145" s="52" t="n">
        <v>0</v>
      </c>
      <c r="AJ2145" s="52" t="n">
        <v>0</v>
      </c>
      <c r="AK2145" s="52" t="n">
        <v>0</v>
      </c>
      <c r="AL2145" s="52" t="n">
        <v>0</v>
      </c>
      <c r="AM2145" s="53" t="n">
        <v>0</v>
      </c>
      <c r="AN2145" s="53" t="n">
        <v>0</v>
      </c>
      <c r="AO2145" s="53" t="n">
        <v>0</v>
      </c>
      <c r="AP2145" s="53" t="n">
        <v>0</v>
      </c>
      <c r="AQ2145" s="52" t="n">
        <v>0</v>
      </c>
      <c r="AR2145" s="52" t="n">
        <v>0</v>
      </c>
      <c r="AS2145" s="52" t="n">
        <v>0</v>
      </c>
      <c r="AT2145" s="52" t="n">
        <v>0</v>
      </c>
      <c r="AU2145" s="53" t="n">
        <v>0</v>
      </c>
      <c r="AV2145" s="53" t="n">
        <v>0</v>
      </c>
      <c r="AW2145" s="53" t="n">
        <v>0</v>
      </c>
      <c r="AX2145" s="53" t="n">
        <v>0</v>
      </c>
      <c r="AY2145" s="52" t="n">
        <v>0</v>
      </c>
      <c r="AZ2145" s="52" t="n">
        <v>0</v>
      </c>
      <c r="BA2145" s="52" t="n">
        <v>0</v>
      </c>
      <c r="BB2145" s="52" t="n">
        <v>0</v>
      </c>
      <c r="BC2145" s="51" t="n">
        <v>0</v>
      </c>
      <c r="BD2145" s="51" t="n">
        <v>0</v>
      </c>
      <c r="BE2145" s="51" t="n">
        <v>0</v>
      </c>
      <c r="BF2145" s="51" t="n">
        <v>0</v>
      </c>
    </row>
    <row r="2146">
      <c r="A2146">
        <f>HYPERLINK("https://www.walmart.com/ip/307597076", "307597076")</f>
        <v/>
      </c>
      <c r="B2146" t="inlineStr">
        <is>
          <t>Solaris Winter Cable Knit Beanie Hats with Fur Pom Pom for Women Ski Cap</t>
        </is>
      </c>
      <c r="C2146" t="inlineStr">
        <is>
          <t>1SLPPH01PK</t>
        </is>
      </c>
      <c r="D2146" t="inlineStr">
        <is>
          <t>Hats</t>
        </is>
      </c>
      <c r="E2146" t="inlineStr">
        <is>
          <t>Solaris</t>
        </is>
      </c>
      <c r="F2146" t="inlineStr">
        <is>
          <t>Batch 1 - TR</t>
        </is>
      </c>
      <c r="G2146" s="48" t="n">
        <v>0</v>
      </c>
      <c r="H2146" s="48" t="n">
        <v>0</v>
      </c>
      <c r="I2146" s="48" t="n">
        <v>0</v>
      </c>
      <c r="J2146" s="48" t="n">
        <v>0</v>
      </c>
      <c r="K2146" s="49" t="n">
        <v>0</v>
      </c>
      <c r="L2146" s="49" t="n">
        <v>0</v>
      </c>
      <c r="M2146" s="49" t="n">
        <v>0</v>
      </c>
      <c r="N2146" s="49" t="n">
        <v>0</v>
      </c>
      <c r="O2146" s="49" t="n">
        <v>0</v>
      </c>
      <c r="P2146" s="49" t="n">
        <v>0</v>
      </c>
      <c r="Q2146" s="49" t="n">
        <v>0</v>
      </c>
      <c r="R2146" s="49" t="n">
        <v>0</v>
      </c>
      <c r="S2146" s="50" t="n">
        <v>0</v>
      </c>
      <c r="T2146" s="50" t="n">
        <v>0</v>
      </c>
      <c r="U2146" s="50" t="n">
        <v>0</v>
      </c>
      <c r="V2146" s="50" t="n">
        <v>0</v>
      </c>
      <c r="W2146" s="51" t="n">
        <v>0</v>
      </c>
      <c r="X2146" s="51" t="n">
        <v>0</v>
      </c>
      <c r="Y2146" s="51" t="n">
        <v>0</v>
      </c>
      <c r="Z2146" s="51" t="n">
        <v>0</v>
      </c>
      <c r="AA2146" s="52" t="n">
        <v>0</v>
      </c>
      <c r="AB2146" s="52" t="n">
        <v>0</v>
      </c>
      <c r="AC2146" s="52" t="n">
        <v>0</v>
      </c>
      <c r="AD2146" s="52" t="n">
        <v>0</v>
      </c>
      <c r="AE2146" s="52" t="n">
        <v>0</v>
      </c>
      <c r="AF2146" s="52" t="n">
        <v>0</v>
      </c>
      <c r="AG2146" s="52" t="n">
        <v>0</v>
      </c>
      <c r="AH2146" s="52" t="n">
        <v>0</v>
      </c>
      <c r="AI2146" s="52" t="n">
        <v>0</v>
      </c>
      <c r="AJ2146" s="52" t="n">
        <v>0</v>
      </c>
      <c r="AK2146" s="52" t="n">
        <v>0</v>
      </c>
      <c r="AL2146" s="52" t="n">
        <v>0</v>
      </c>
      <c r="AM2146" s="53" t="n">
        <v>0</v>
      </c>
      <c r="AN2146" s="53" t="n">
        <v>0</v>
      </c>
      <c r="AO2146" s="53" t="n">
        <v>0</v>
      </c>
      <c r="AP2146" s="53" t="n">
        <v>0</v>
      </c>
      <c r="AQ2146" s="52" t="n">
        <v>0</v>
      </c>
      <c r="AR2146" s="52" t="n">
        <v>0</v>
      </c>
      <c r="AS2146" s="52" t="n">
        <v>0</v>
      </c>
      <c r="AT2146" s="52" t="n">
        <v>0</v>
      </c>
      <c r="AU2146" s="53" t="n">
        <v>0</v>
      </c>
      <c r="AV2146" s="53" t="n">
        <v>0</v>
      </c>
      <c r="AW2146" s="53" t="n">
        <v>0</v>
      </c>
      <c r="AX2146" s="53" t="n">
        <v>0</v>
      </c>
      <c r="AY2146" s="52" t="n">
        <v>0</v>
      </c>
      <c r="AZ2146" s="52" t="n">
        <v>0</v>
      </c>
      <c r="BA2146" s="52" t="n">
        <v>0</v>
      </c>
      <c r="BB2146" s="52" t="n">
        <v>0</v>
      </c>
      <c r="BC2146" s="51" t="n">
        <v>0</v>
      </c>
      <c r="BD2146" s="51" t="n">
        <v>0</v>
      </c>
      <c r="BE2146" s="51" t="n">
        <v>0</v>
      </c>
      <c r="BF2146" s="51" t="n">
        <v>0</v>
      </c>
    </row>
    <row r="2147">
      <c r="A2147">
        <f>HYPERLINK("https://www.walmart.com/ip/308261754", "308261754")</f>
        <v/>
      </c>
      <c r="B2147" t="inlineStr">
        <is>
          <t>Tirrinia Insulated 2 Bottle Wine Carrier Tote Cooler Bag for Travel Picnic Padded Champagne Glass Carrying Case</t>
        </is>
      </c>
      <c r="C2147" t="inlineStr">
        <is>
          <t>1WMWB221GY</t>
        </is>
      </c>
      <c r="D2147" t="inlineStr">
        <is>
          <t>Wine Totes, Bags &amp; Backpacks</t>
        </is>
      </c>
      <c r="E2147" t="inlineStr">
        <is>
          <t>Flyingstar</t>
        </is>
      </c>
      <c r="F2147" t="inlineStr">
        <is>
          <t>Wine,Christmas,Valentine</t>
        </is>
      </c>
      <c r="G2147" s="48" t="n">
        <v>0</v>
      </c>
      <c r="H2147" s="48" t="n">
        <v>0</v>
      </c>
      <c r="I2147" s="48" t="n">
        <v>0</v>
      </c>
      <c r="J2147" s="48" t="n">
        <v>0</v>
      </c>
      <c r="K2147" s="49" t="n">
        <v>0</v>
      </c>
      <c r="L2147" s="49" t="n">
        <v>0</v>
      </c>
      <c r="M2147" s="49" t="n">
        <v>0</v>
      </c>
      <c r="N2147" s="49" t="n">
        <v>0</v>
      </c>
      <c r="O2147" s="49" t="n">
        <v>0</v>
      </c>
      <c r="P2147" s="49" t="n">
        <v>0</v>
      </c>
      <c r="Q2147" s="49" t="n">
        <v>0</v>
      </c>
      <c r="R2147" s="49" t="n">
        <v>0</v>
      </c>
      <c r="S2147" s="50" t="n">
        <v>0</v>
      </c>
      <c r="T2147" s="50" t="n">
        <v>0</v>
      </c>
      <c r="U2147" s="50" t="n">
        <v>0</v>
      </c>
      <c r="V2147" s="50" t="n">
        <v>0</v>
      </c>
      <c r="W2147" s="51" t="n">
        <v>0</v>
      </c>
      <c r="X2147" s="51" t="n">
        <v>0</v>
      </c>
      <c r="Y2147" s="51" t="n">
        <v>0</v>
      </c>
      <c r="Z2147" s="51" t="n">
        <v>0</v>
      </c>
      <c r="AA2147" s="52" t="n">
        <v>0</v>
      </c>
      <c r="AB2147" s="52" t="n">
        <v>0</v>
      </c>
      <c r="AC2147" s="52" t="n">
        <v>0</v>
      </c>
      <c r="AD2147" s="52" t="n">
        <v>0</v>
      </c>
      <c r="AE2147" s="52" t="n">
        <v>0</v>
      </c>
      <c r="AF2147" s="52" t="n">
        <v>0</v>
      </c>
      <c r="AG2147" s="52" t="n">
        <v>0</v>
      </c>
      <c r="AH2147" s="52" t="n">
        <v>0</v>
      </c>
      <c r="AI2147" s="52" t="n">
        <v>0</v>
      </c>
      <c r="AJ2147" s="52" t="n">
        <v>0</v>
      </c>
      <c r="AK2147" s="52" t="n">
        <v>0</v>
      </c>
      <c r="AL2147" s="52" t="n">
        <v>0</v>
      </c>
      <c r="AM2147" s="53" t="n">
        <v>0</v>
      </c>
      <c r="AN2147" s="53" t="n">
        <v>0</v>
      </c>
      <c r="AO2147" s="53" t="n">
        <v>0</v>
      </c>
      <c r="AP2147" s="53" t="n">
        <v>0</v>
      </c>
      <c r="AQ2147" s="52" t="n">
        <v>0</v>
      </c>
      <c r="AR2147" s="52" t="n">
        <v>0</v>
      </c>
      <c r="AS2147" s="52" t="n">
        <v>0</v>
      </c>
      <c r="AT2147" s="52" t="n">
        <v>0</v>
      </c>
      <c r="AU2147" s="53" t="n">
        <v>0</v>
      </c>
      <c r="AV2147" s="53" t="n">
        <v>0</v>
      </c>
      <c r="AW2147" s="53" t="n">
        <v>0</v>
      </c>
      <c r="AX2147" s="53" t="n">
        <v>0</v>
      </c>
      <c r="AY2147" s="52" t="n">
        <v>0</v>
      </c>
      <c r="AZ2147" s="52" t="n">
        <v>0</v>
      </c>
      <c r="BA2147" s="52" t="n">
        <v>0</v>
      </c>
      <c r="BB2147" s="52" t="n">
        <v>0</v>
      </c>
      <c r="BC2147" s="51" t="n">
        <v>0</v>
      </c>
      <c r="BD2147" s="51" t="n">
        <v>0</v>
      </c>
      <c r="BE2147" s="51" t="n">
        <v>0</v>
      </c>
      <c r="BF2147" s="51" t="n">
        <v>0</v>
      </c>
    </row>
    <row r="2148">
      <c r="A2148">
        <f>HYPERLINK("https://www.walmart.com/ip/309002567", "309002567")</f>
        <v/>
      </c>
      <c r="B2148" t="inlineStr">
        <is>
          <t>Pawsse Large Dog Sherpa Blanket for Couch, Blue, 50" x 60"</t>
        </is>
      </c>
      <c r="C2148" t="inlineStr">
        <is>
          <t>1PSBF566BL-TBCB</t>
        </is>
      </c>
      <c r="D2148" t="inlineStr">
        <is>
          <t>Throws</t>
        </is>
      </c>
      <c r="E2148" t="inlineStr">
        <is>
          <t>Pawsse</t>
        </is>
      </c>
      <c r="F2148" t="inlineStr">
        <is>
          <t>Optimized</t>
        </is>
      </c>
      <c r="G2148" s="48" t="n">
        <v>0</v>
      </c>
      <c r="H2148" s="48" t="n">
        <v>0</v>
      </c>
      <c r="I2148" s="48" t="n">
        <v>0</v>
      </c>
      <c r="J2148" s="48" t="n">
        <v>0</v>
      </c>
      <c r="K2148" s="49" t="n">
        <v>0</v>
      </c>
      <c r="L2148" s="49" t="n">
        <v>0</v>
      </c>
      <c r="M2148" s="49" t="n">
        <v>0</v>
      </c>
      <c r="N2148" s="49" t="n">
        <v>0</v>
      </c>
      <c r="O2148" s="49" t="n">
        <v>0</v>
      </c>
      <c r="P2148" s="49" t="n">
        <v>0</v>
      </c>
      <c r="Q2148" s="49" t="n">
        <v>0</v>
      </c>
      <c r="R2148" s="49" t="n">
        <v>0</v>
      </c>
      <c r="S2148" s="50" t="n">
        <v>0</v>
      </c>
      <c r="T2148" s="50" t="n">
        <v>0</v>
      </c>
      <c r="U2148" s="50" t="n">
        <v>0</v>
      </c>
      <c r="V2148" s="50" t="n">
        <v>0</v>
      </c>
      <c r="W2148" s="51" t="n">
        <v>0</v>
      </c>
      <c r="X2148" s="51" t="n">
        <v>0</v>
      </c>
      <c r="Y2148" s="51" t="n">
        <v>0</v>
      </c>
      <c r="Z2148" s="51" t="n">
        <v>0</v>
      </c>
      <c r="AA2148" s="52" t="n">
        <v>0</v>
      </c>
      <c r="AB2148" s="52" t="n">
        <v>0</v>
      </c>
      <c r="AC2148" s="52" t="n">
        <v>0</v>
      </c>
      <c r="AD2148" s="52" t="n">
        <v>0</v>
      </c>
      <c r="AE2148" s="52" t="n">
        <v>0</v>
      </c>
      <c r="AF2148" s="52" t="n">
        <v>0</v>
      </c>
      <c r="AG2148" s="52" t="n">
        <v>0</v>
      </c>
      <c r="AH2148" s="52" t="n">
        <v>0</v>
      </c>
      <c r="AI2148" s="52" t="n">
        <v>0</v>
      </c>
      <c r="AJ2148" s="52" t="n">
        <v>0</v>
      </c>
      <c r="AK2148" s="52" t="n">
        <v>0</v>
      </c>
      <c r="AL2148" s="52" t="n">
        <v>0</v>
      </c>
      <c r="AM2148" s="53" t="n">
        <v>0</v>
      </c>
      <c r="AN2148" s="53" t="n">
        <v>0</v>
      </c>
      <c r="AO2148" s="53" t="n">
        <v>0</v>
      </c>
      <c r="AP2148" s="53" t="n">
        <v>0</v>
      </c>
      <c r="AQ2148" s="52" t="n">
        <v>0</v>
      </c>
      <c r="AR2148" s="52" t="n">
        <v>0</v>
      </c>
      <c r="AS2148" s="52" t="n">
        <v>0</v>
      </c>
      <c r="AT2148" s="52" t="n">
        <v>0</v>
      </c>
      <c r="AU2148" s="53" t="n">
        <v>0</v>
      </c>
      <c r="AV2148" s="53" t="n">
        <v>0</v>
      </c>
      <c r="AW2148" s="53" t="n">
        <v>0</v>
      </c>
      <c r="AX2148" s="53" t="n">
        <v>0</v>
      </c>
      <c r="AY2148" s="52" t="n">
        <v>0</v>
      </c>
      <c r="AZ2148" s="52" t="n">
        <v>0</v>
      </c>
      <c r="BA2148" s="52" t="n">
        <v>0</v>
      </c>
      <c r="BB2148" s="52" t="n">
        <v>0</v>
      </c>
      <c r="BC2148" s="51" t="n">
        <v>0</v>
      </c>
      <c r="BD2148" s="51" t="n">
        <v>0</v>
      </c>
      <c r="BE2148" s="51" t="n">
        <v>0</v>
      </c>
      <c r="BF2148" s="51" t="n">
        <v>0</v>
      </c>
    </row>
    <row r="2149">
      <c r="A2149">
        <f>HYPERLINK("https://www.walmart.com/ip/309312535", "309312535")</f>
        <v/>
      </c>
      <c r="B2149" t="inlineStr">
        <is>
          <t>Kids Mermaid Tail Blanket, Pillow Cushion,Super Soft Coral Plush Fleece Mermaids Snuggle Sleeping Bag for Girls Teens Children as Gifts 60"x21" by Catalonia</t>
        </is>
      </c>
      <c r="C2149" t="inlineStr">
        <is>
          <t>1CTMP100LB</t>
        </is>
      </c>
      <c r="D2149" t="inlineStr">
        <is>
          <t>Bed Blankets</t>
        </is>
      </c>
      <c r="E2149" t="inlineStr">
        <is>
          <t>Catalonia</t>
        </is>
      </c>
      <c r="F2149" t="inlineStr">
        <is>
          <t>Baby days,WFS,WFS Item</t>
        </is>
      </c>
      <c r="G2149" s="48" t="n">
        <v>0</v>
      </c>
      <c r="H2149" s="48" t="n">
        <v>0</v>
      </c>
      <c r="I2149" s="48" t="n">
        <v>0</v>
      </c>
      <c r="J2149" s="48" t="n">
        <v>0</v>
      </c>
      <c r="K2149" s="49" t="n">
        <v>0</v>
      </c>
      <c r="L2149" s="49" t="n">
        <v>0</v>
      </c>
      <c r="M2149" s="49" t="n">
        <v>0</v>
      </c>
      <c r="N2149" s="49" t="n">
        <v>0</v>
      </c>
      <c r="O2149" s="49" t="n">
        <v>0</v>
      </c>
      <c r="P2149" s="49" t="n">
        <v>0</v>
      </c>
      <c r="Q2149" s="49" t="n">
        <v>0</v>
      </c>
      <c r="R2149" s="49" t="n">
        <v>0</v>
      </c>
      <c r="S2149" s="50" t="n">
        <v>0</v>
      </c>
      <c r="T2149" s="50" t="n">
        <v>0</v>
      </c>
      <c r="U2149" s="50" t="n">
        <v>0</v>
      </c>
      <c r="V2149" s="50" t="n">
        <v>0</v>
      </c>
      <c r="W2149" s="51" t="n">
        <v>0</v>
      </c>
      <c r="X2149" s="51" t="n">
        <v>0</v>
      </c>
      <c r="Y2149" s="51" t="n">
        <v>0</v>
      </c>
      <c r="Z2149" s="51" t="n">
        <v>0</v>
      </c>
      <c r="AA2149" s="52" t="n">
        <v>0</v>
      </c>
      <c r="AB2149" s="52" t="n">
        <v>0</v>
      </c>
      <c r="AC2149" s="52" t="n">
        <v>0</v>
      </c>
      <c r="AD2149" s="52" t="n">
        <v>0</v>
      </c>
      <c r="AE2149" s="52" t="n">
        <v>0</v>
      </c>
      <c r="AF2149" s="52" t="n">
        <v>0</v>
      </c>
      <c r="AG2149" s="52" t="n">
        <v>0</v>
      </c>
      <c r="AH2149" s="52" t="n">
        <v>0</v>
      </c>
      <c r="AI2149" s="52" t="n">
        <v>0</v>
      </c>
      <c r="AJ2149" s="52" t="n">
        <v>0</v>
      </c>
      <c r="AK2149" s="52" t="n">
        <v>0</v>
      </c>
      <c r="AL2149" s="52" t="n">
        <v>0</v>
      </c>
      <c r="AM2149" s="53" t="n">
        <v>0</v>
      </c>
      <c r="AN2149" s="53" t="n">
        <v>0</v>
      </c>
      <c r="AO2149" s="53" t="n">
        <v>0</v>
      </c>
      <c r="AP2149" s="53" t="n">
        <v>0</v>
      </c>
      <c r="AQ2149" s="52" t="n">
        <v>0</v>
      </c>
      <c r="AR2149" s="52" t="n">
        <v>0</v>
      </c>
      <c r="AS2149" s="52" t="n">
        <v>0</v>
      </c>
      <c r="AT2149" s="52" t="n">
        <v>0</v>
      </c>
      <c r="AU2149" s="53" t="n">
        <v>0</v>
      </c>
      <c r="AV2149" s="53" t="n">
        <v>0</v>
      </c>
      <c r="AW2149" s="53" t="n">
        <v>0</v>
      </c>
      <c r="AX2149" s="53" t="n">
        <v>0</v>
      </c>
      <c r="AY2149" s="52" t="n">
        <v>0</v>
      </c>
      <c r="AZ2149" s="52" t="n">
        <v>0</v>
      </c>
      <c r="BA2149" s="52" t="n">
        <v>0</v>
      </c>
      <c r="BB2149" s="52" t="n">
        <v>0</v>
      </c>
      <c r="BC2149" s="51" t="n">
        <v>0</v>
      </c>
      <c r="BD2149" s="51" t="n">
        <v>0</v>
      </c>
      <c r="BE2149" s="51" t="n">
        <v>0</v>
      </c>
      <c r="BF2149" s="51" t="n">
        <v>0</v>
      </c>
    </row>
    <row r="2150">
      <c r="A2150">
        <f>HYPERLINK("https://www.walmart.com/ip/3093512939", "3093512939")</f>
        <v/>
      </c>
      <c r="B2150" t="inlineStr">
        <is>
          <t>Catalonia Waterproof Blanket for Outdoors, Hooded Blanket Poncho | Windproof, Warm, Wearable, Portable | for Stadium, Picnics, School Sporting Events, Camping, Beach, Outdoor Adventure</t>
        </is>
      </c>
      <c r="C2150" t="inlineStr">
        <is>
          <t>1CTBC200BKCAMO</t>
        </is>
      </c>
      <c r="D2150" t="inlineStr">
        <is>
          <t>Throws</t>
        </is>
      </c>
      <c r="E2150" t="inlineStr">
        <is>
          <t>Catalonia</t>
        </is>
      </c>
      <c r="F2150" t="inlineStr">
        <is>
          <t>Q2-Target,Wproof Blanket</t>
        </is>
      </c>
      <c r="G2150" s="48" t="n">
        <v>0</v>
      </c>
      <c r="H2150" s="48" t="n">
        <v>0</v>
      </c>
      <c r="I2150" s="48" t="n">
        <v>0</v>
      </c>
      <c r="J2150" s="48" t="n">
        <v>0</v>
      </c>
      <c r="K2150" s="49" t="n">
        <v>0</v>
      </c>
      <c r="L2150" s="49" t="n">
        <v>0</v>
      </c>
      <c r="M2150" s="49" t="n">
        <v>0</v>
      </c>
      <c r="N2150" s="49" t="n">
        <v>0</v>
      </c>
      <c r="O2150" s="49" t="n">
        <v>0</v>
      </c>
      <c r="P2150" s="49" t="n">
        <v>0</v>
      </c>
      <c r="Q2150" s="49" t="n">
        <v>0</v>
      </c>
      <c r="R2150" s="49" t="n">
        <v>0</v>
      </c>
      <c r="S2150" s="50" t="n">
        <v>0</v>
      </c>
      <c r="T2150" s="50" t="n">
        <v>0</v>
      </c>
      <c r="U2150" s="50" t="n">
        <v>0</v>
      </c>
      <c r="V2150" s="50" t="n">
        <v>0</v>
      </c>
      <c r="W2150" s="51" t="n">
        <v>5</v>
      </c>
      <c r="X2150" s="51" t="n">
        <v>3</v>
      </c>
      <c r="Y2150" s="51" t="n">
        <v>0</v>
      </c>
      <c r="Z2150" s="51" t="n">
        <v>1</v>
      </c>
      <c r="AA2150" s="52" t="n">
        <v>1.56</v>
      </c>
      <c r="AB2150" s="52" t="n">
        <v>1.12</v>
      </c>
      <c r="AC2150" s="52" t="n">
        <v>0</v>
      </c>
      <c r="AD2150" s="52" t="n">
        <v>0.45</v>
      </c>
      <c r="AE2150" s="52" t="n">
        <v>0</v>
      </c>
      <c r="AF2150" s="52" t="n">
        <v>0</v>
      </c>
      <c r="AG2150" s="52" t="n">
        <v>0</v>
      </c>
      <c r="AH2150" s="52" t="n">
        <v>0</v>
      </c>
      <c r="AI2150" s="52" t="n">
        <v>0</v>
      </c>
      <c r="AJ2150" s="52" t="n">
        <v>0</v>
      </c>
      <c r="AK2150" s="52" t="n">
        <v>0</v>
      </c>
      <c r="AL2150" s="52" t="n">
        <v>0</v>
      </c>
      <c r="AM2150" s="53" t="n">
        <v>0.0015</v>
      </c>
      <c r="AN2150" s="53" t="n">
        <v>0.0009</v>
      </c>
      <c r="AO2150" s="53" t="n">
        <v>0</v>
      </c>
      <c r="AP2150" s="53" t="n">
        <v>0.0007</v>
      </c>
      <c r="AQ2150" s="52" t="n">
        <v>0.312</v>
      </c>
      <c r="AR2150" s="52" t="n">
        <v>0.3733333333333334</v>
      </c>
      <c r="AS2150" s="52" t="n">
        <v>0</v>
      </c>
      <c r="AT2150" s="52" t="n">
        <v>0.45</v>
      </c>
      <c r="AU2150" s="53" t="n">
        <v>0</v>
      </c>
      <c r="AV2150" s="53" t="n">
        <v>0</v>
      </c>
      <c r="AW2150" s="53" t="n">
        <v>0</v>
      </c>
      <c r="AX2150" s="53" t="n">
        <v>0</v>
      </c>
      <c r="AY2150" s="52" t="n">
        <v>0</v>
      </c>
      <c r="AZ2150" s="52" t="n">
        <v>0</v>
      </c>
      <c r="BA2150" s="52" t="n">
        <v>0</v>
      </c>
      <c r="BB2150" s="52" t="n">
        <v>0</v>
      </c>
      <c r="BC2150" s="51" t="n">
        <v>3249</v>
      </c>
      <c r="BD2150" s="51" t="n">
        <v>3509</v>
      </c>
      <c r="BE2150" s="51" t="n">
        <v>0</v>
      </c>
      <c r="BF2150" s="51" t="n">
        <v>1344</v>
      </c>
    </row>
    <row r="2151">
      <c r="A2151">
        <f>HYPERLINK("https://www.walmart.com/ip/309657195", "309657195")</f>
        <v/>
      </c>
      <c r="B2151" t="inlineStr">
        <is>
          <t>Tirrinia Wide Brim Sun Hats Safari Fishing Boonie Cap Adult Teen Unisex</t>
        </is>
      </c>
      <c r="C2151" t="inlineStr">
        <is>
          <t>1TRSH191TN-TBCB</t>
        </is>
      </c>
      <c r="D2151" t="inlineStr">
        <is>
          <t>Hats</t>
        </is>
      </c>
      <c r="E2151" t="inlineStr">
        <is>
          <t>Sun Blocker</t>
        </is>
      </c>
      <c r="G2151" s="48" t="n">
        <v>0</v>
      </c>
      <c r="H2151" s="48" t="n">
        <v>0</v>
      </c>
      <c r="I2151" s="48" t="n">
        <v>0</v>
      </c>
      <c r="J2151" s="48" t="n">
        <v>0</v>
      </c>
      <c r="K2151" s="49" t="n">
        <v>0</v>
      </c>
      <c r="L2151" s="49" t="n">
        <v>0</v>
      </c>
      <c r="M2151" s="49" t="n">
        <v>0</v>
      </c>
      <c r="N2151" s="49" t="n">
        <v>0</v>
      </c>
      <c r="O2151" s="49" t="n">
        <v>0</v>
      </c>
      <c r="P2151" s="49" t="n">
        <v>0</v>
      </c>
      <c r="Q2151" s="49" t="n">
        <v>0</v>
      </c>
      <c r="R2151" s="49" t="n">
        <v>0</v>
      </c>
      <c r="S2151" s="50" t="n">
        <v>0</v>
      </c>
      <c r="T2151" s="50" t="n">
        <v>0</v>
      </c>
      <c r="U2151" s="50" t="n">
        <v>0</v>
      </c>
      <c r="V2151" s="50" t="n">
        <v>0</v>
      </c>
      <c r="W2151" s="51" t="n">
        <v>0</v>
      </c>
      <c r="X2151" s="51" t="n">
        <v>0</v>
      </c>
      <c r="Y2151" s="51" t="n">
        <v>0</v>
      </c>
      <c r="Z2151" s="51" t="n">
        <v>0</v>
      </c>
      <c r="AA2151" s="52" t="n">
        <v>0</v>
      </c>
      <c r="AB2151" s="52" t="n">
        <v>0</v>
      </c>
      <c r="AC2151" s="52" t="n">
        <v>0</v>
      </c>
      <c r="AD2151" s="52" t="n">
        <v>0</v>
      </c>
      <c r="AE2151" s="52" t="n">
        <v>0</v>
      </c>
      <c r="AF2151" s="52" t="n">
        <v>0</v>
      </c>
      <c r="AG2151" s="52" t="n">
        <v>0</v>
      </c>
      <c r="AH2151" s="52" t="n">
        <v>0</v>
      </c>
      <c r="AI2151" s="52" t="n">
        <v>0</v>
      </c>
      <c r="AJ2151" s="52" t="n">
        <v>0</v>
      </c>
      <c r="AK2151" s="52" t="n">
        <v>0</v>
      </c>
      <c r="AL2151" s="52" t="n">
        <v>0</v>
      </c>
      <c r="AM2151" s="53" t="n">
        <v>0</v>
      </c>
      <c r="AN2151" s="53" t="n">
        <v>0</v>
      </c>
      <c r="AO2151" s="53" t="n">
        <v>0</v>
      </c>
      <c r="AP2151" s="53" t="n">
        <v>0</v>
      </c>
      <c r="AQ2151" s="52" t="n">
        <v>0</v>
      </c>
      <c r="AR2151" s="52" t="n">
        <v>0</v>
      </c>
      <c r="AS2151" s="52" t="n">
        <v>0</v>
      </c>
      <c r="AT2151" s="52" t="n">
        <v>0</v>
      </c>
      <c r="AU2151" s="53" t="n">
        <v>0</v>
      </c>
      <c r="AV2151" s="53" t="n">
        <v>0</v>
      </c>
      <c r="AW2151" s="53" t="n">
        <v>0</v>
      </c>
      <c r="AX2151" s="53" t="n">
        <v>0</v>
      </c>
      <c r="AY2151" s="52" t="n">
        <v>0</v>
      </c>
      <c r="AZ2151" s="52" t="n">
        <v>0</v>
      </c>
      <c r="BA2151" s="52" t="n">
        <v>0</v>
      </c>
      <c r="BB2151" s="52" t="n">
        <v>0</v>
      </c>
      <c r="BC2151" s="51" t="n">
        <v>0</v>
      </c>
      <c r="BD2151" s="51" t="n">
        <v>0</v>
      </c>
      <c r="BE2151" s="51" t="n">
        <v>0</v>
      </c>
      <c r="BF2151" s="51" t="n">
        <v>0</v>
      </c>
    </row>
    <row r="2152">
      <c r="A2152">
        <f>HYPERLINK("https://www.walmart.com/ip/309842148", "309842148")</f>
        <v/>
      </c>
      <c r="B2152" t="inlineStr">
        <is>
          <t>Oversized Hoodie Blanket Sweatshirt,Super Soft Warm Comfortable Fleece Giant Pullover with Large Front Pocket,for Adults Men Women Teenagers Kids Wife Girlfriend</t>
        </is>
      </c>
      <c r="C2152" t="inlineStr">
        <is>
          <t>1WMHD300LT</t>
        </is>
      </c>
      <c r="D2152" t="inlineStr">
        <is>
          <t>Sweatshirts &amp; Hoodies</t>
        </is>
      </c>
      <c r="E2152" t="inlineStr">
        <is>
          <t>Flyingstar</t>
        </is>
      </c>
      <c r="F2152" t="inlineStr">
        <is>
          <t>Hoodie ForAdult,Optimized</t>
        </is>
      </c>
      <c r="G2152" s="48" t="n">
        <v>0</v>
      </c>
      <c r="H2152" s="48" t="n">
        <v>0</v>
      </c>
      <c r="I2152" s="48" t="n">
        <v>0</v>
      </c>
      <c r="J2152" s="48" t="n">
        <v>0</v>
      </c>
      <c r="K2152" s="49" t="n">
        <v>0</v>
      </c>
      <c r="L2152" s="49" t="n">
        <v>0</v>
      </c>
      <c r="M2152" s="49" t="n">
        <v>0</v>
      </c>
      <c r="N2152" s="49" t="n">
        <v>0</v>
      </c>
      <c r="O2152" s="49" t="n">
        <v>0</v>
      </c>
      <c r="P2152" s="49" t="n">
        <v>0</v>
      </c>
      <c r="Q2152" s="49" t="n">
        <v>0</v>
      </c>
      <c r="R2152" s="49" t="n">
        <v>0</v>
      </c>
      <c r="S2152" s="50" t="n">
        <v>0</v>
      </c>
      <c r="T2152" s="50" t="n">
        <v>0</v>
      </c>
      <c r="U2152" s="50" t="n">
        <v>0</v>
      </c>
      <c r="V2152" s="50" t="n">
        <v>0</v>
      </c>
      <c r="W2152" s="51" t="n">
        <v>0</v>
      </c>
      <c r="X2152" s="51" t="n">
        <v>0</v>
      </c>
      <c r="Y2152" s="51" t="n">
        <v>0</v>
      </c>
      <c r="Z2152" s="51" t="n">
        <v>0</v>
      </c>
      <c r="AA2152" s="52" t="n">
        <v>0</v>
      </c>
      <c r="AB2152" s="52" t="n">
        <v>0</v>
      </c>
      <c r="AC2152" s="52" t="n">
        <v>0</v>
      </c>
      <c r="AD2152" s="52" t="n">
        <v>0</v>
      </c>
      <c r="AE2152" s="52" t="n">
        <v>0</v>
      </c>
      <c r="AF2152" s="52" t="n">
        <v>0</v>
      </c>
      <c r="AG2152" s="52" t="n">
        <v>0</v>
      </c>
      <c r="AH2152" s="52" t="n">
        <v>0</v>
      </c>
      <c r="AI2152" s="52" t="n">
        <v>0</v>
      </c>
      <c r="AJ2152" s="52" t="n">
        <v>0</v>
      </c>
      <c r="AK2152" s="52" t="n">
        <v>0</v>
      </c>
      <c r="AL2152" s="52" t="n">
        <v>0</v>
      </c>
      <c r="AM2152" s="53" t="n">
        <v>0</v>
      </c>
      <c r="AN2152" s="53" t="n">
        <v>0</v>
      </c>
      <c r="AO2152" s="53" t="n">
        <v>0</v>
      </c>
      <c r="AP2152" s="53" t="n">
        <v>0</v>
      </c>
      <c r="AQ2152" s="52" t="n">
        <v>0</v>
      </c>
      <c r="AR2152" s="52" t="n">
        <v>0</v>
      </c>
      <c r="AS2152" s="52" t="n">
        <v>0</v>
      </c>
      <c r="AT2152" s="52" t="n">
        <v>0</v>
      </c>
      <c r="AU2152" s="53" t="n">
        <v>0</v>
      </c>
      <c r="AV2152" s="53" t="n">
        <v>0</v>
      </c>
      <c r="AW2152" s="53" t="n">
        <v>0</v>
      </c>
      <c r="AX2152" s="53" t="n">
        <v>0</v>
      </c>
      <c r="AY2152" s="52" t="n">
        <v>0</v>
      </c>
      <c r="AZ2152" s="52" t="n">
        <v>0</v>
      </c>
      <c r="BA2152" s="52" t="n">
        <v>0</v>
      </c>
      <c r="BB2152" s="52" t="n">
        <v>0</v>
      </c>
      <c r="BC2152" s="51" t="n">
        <v>0</v>
      </c>
      <c r="BD2152" s="51" t="n">
        <v>0</v>
      </c>
      <c r="BE2152" s="51" t="n">
        <v>0</v>
      </c>
      <c r="BF2152" s="51" t="n">
        <v>0</v>
      </c>
    </row>
    <row r="2153">
      <c r="A2153">
        <f>HYPERLINK("https://www.walmart.com/ip/3102312104", "3102312104")</f>
        <v/>
      </c>
      <c r="B2153" t="inlineStr">
        <is>
          <t>Medium Pet Travel Backpack Carrier for Dogs Cat Animal Puppy, Breathable Mesh Net Removable Sherpa Bed Outdoor Carrier f</t>
        </is>
      </c>
      <c r="C2153" t="inlineStr">
        <is>
          <t>1TRPB200BL</t>
        </is>
      </c>
      <c r="D2153" t="inlineStr">
        <is>
          <t>Pet Carriers</t>
        </is>
      </c>
      <c r="E2153" t="inlineStr">
        <is>
          <t>Kato</t>
        </is>
      </c>
      <c r="G2153" s="48" t="n">
        <v>0</v>
      </c>
      <c r="H2153" s="48" t="n">
        <v>0</v>
      </c>
      <c r="I2153" s="48" t="n">
        <v>0</v>
      </c>
      <c r="J2153" s="48" t="n">
        <v>0</v>
      </c>
      <c r="K2153" s="49" t="n">
        <v>0</v>
      </c>
      <c r="L2153" s="49" t="n">
        <v>0</v>
      </c>
      <c r="M2153" s="49" t="n">
        <v>0</v>
      </c>
      <c r="N2153" s="49" t="n">
        <v>0</v>
      </c>
      <c r="O2153" s="49" t="n">
        <v>0</v>
      </c>
      <c r="P2153" s="49" t="n">
        <v>0</v>
      </c>
      <c r="Q2153" s="49" t="n">
        <v>0</v>
      </c>
      <c r="R2153" s="49" t="n">
        <v>0</v>
      </c>
      <c r="S2153" s="50" t="n">
        <v>0</v>
      </c>
      <c r="T2153" s="50" t="n">
        <v>0</v>
      </c>
      <c r="U2153" s="50" t="n">
        <v>0</v>
      </c>
      <c r="V2153" s="50" t="n">
        <v>0</v>
      </c>
      <c r="W2153" s="51" t="n">
        <v>0</v>
      </c>
      <c r="X2153" s="51" t="n">
        <v>0</v>
      </c>
      <c r="Y2153" s="51" t="n">
        <v>0</v>
      </c>
      <c r="Z2153" s="51" t="n">
        <v>0</v>
      </c>
      <c r="AA2153" s="52" t="n">
        <v>0</v>
      </c>
      <c r="AB2153" s="52" t="n">
        <v>0</v>
      </c>
      <c r="AC2153" s="52" t="n">
        <v>0</v>
      </c>
      <c r="AD2153" s="52" t="n">
        <v>0</v>
      </c>
      <c r="AE2153" s="52" t="n">
        <v>0</v>
      </c>
      <c r="AF2153" s="52" t="n">
        <v>0</v>
      </c>
      <c r="AG2153" s="52" t="n">
        <v>0</v>
      </c>
      <c r="AH2153" s="52" t="n">
        <v>0</v>
      </c>
      <c r="AI2153" s="52" t="n">
        <v>0</v>
      </c>
      <c r="AJ2153" s="52" t="n">
        <v>0</v>
      </c>
      <c r="AK2153" s="52" t="n">
        <v>0</v>
      </c>
      <c r="AL2153" s="52" t="n">
        <v>0</v>
      </c>
      <c r="AM2153" s="53" t="n">
        <v>0</v>
      </c>
      <c r="AN2153" s="53" t="n">
        <v>0</v>
      </c>
      <c r="AO2153" s="53" t="n">
        <v>0</v>
      </c>
      <c r="AP2153" s="53" t="n">
        <v>0</v>
      </c>
      <c r="AQ2153" s="52" t="n">
        <v>0</v>
      </c>
      <c r="AR2153" s="52" t="n">
        <v>0</v>
      </c>
      <c r="AS2153" s="52" t="n">
        <v>0</v>
      </c>
      <c r="AT2153" s="52" t="n">
        <v>0</v>
      </c>
      <c r="AU2153" s="53" t="n">
        <v>0</v>
      </c>
      <c r="AV2153" s="53" t="n">
        <v>0</v>
      </c>
      <c r="AW2153" s="53" t="n">
        <v>0</v>
      </c>
      <c r="AX2153" s="53" t="n">
        <v>0</v>
      </c>
      <c r="AY2153" s="52" t="n">
        <v>0</v>
      </c>
      <c r="AZ2153" s="52" t="n">
        <v>0</v>
      </c>
      <c r="BA2153" s="52" t="n">
        <v>0</v>
      </c>
      <c r="BB2153" s="52" t="n">
        <v>0</v>
      </c>
      <c r="BC2153" s="51" t="n">
        <v>0</v>
      </c>
      <c r="BD2153" s="51" t="n">
        <v>0</v>
      </c>
      <c r="BE2153" s="51" t="n">
        <v>0</v>
      </c>
      <c r="BF2153" s="51" t="n">
        <v>0</v>
      </c>
    </row>
    <row r="2154">
      <c r="A2154">
        <f>HYPERLINK("https://www.walmart.com/ip/310588244", "310588244")</f>
        <v/>
      </c>
      <c r="B2154" t="inlineStr">
        <is>
          <t>Flyingstar Oversized Hoodie Blanket Sweatshirt, Super Soft, Warm, Comfortable Fleece Giant Pullover with Large Front Pocket, for Adults, Teenagers, and Kids, Gray</t>
        </is>
      </c>
      <c r="C2154" t="inlineStr">
        <is>
          <t>1WMHD300GY</t>
        </is>
      </c>
      <c r="D2154" t="inlineStr">
        <is>
          <t>Sweatshirts &amp; Hoodies</t>
        </is>
      </c>
      <c r="E2154" t="inlineStr">
        <is>
          <t>Flyingstar</t>
        </is>
      </c>
      <c r="F2154" t="inlineStr">
        <is>
          <t>Hoodie ForAdult,Optimized,WFS,WFS Item</t>
        </is>
      </c>
      <c r="G2154" s="48" t="n">
        <v>0</v>
      </c>
      <c r="H2154" s="48" t="n">
        <v>0</v>
      </c>
      <c r="I2154" s="48" t="n">
        <v>0</v>
      </c>
      <c r="J2154" s="48" t="n">
        <v>0</v>
      </c>
      <c r="K2154" s="49" t="n">
        <v>0</v>
      </c>
      <c r="L2154" s="49" t="n">
        <v>0</v>
      </c>
      <c r="M2154" s="49" t="n">
        <v>0</v>
      </c>
      <c r="N2154" s="49" t="n">
        <v>0</v>
      </c>
      <c r="O2154" s="49" t="n">
        <v>0</v>
      </c>
      <c r="P2154" s="49" t="n">
        <v>0</v>
      </c>
      <c r="Q2154" s="49" t="n">
        <v>0</v>
      </c>
      <c r="R2154" s="49" t="n">
        <v>0</v>
      </c>
      <c r="S2154" s="50" t="n">
        <v>0</v>
      </c>
      <c r="T2154" s="50" t="n">
        <v>0</v>
      </c>
      <c r="U2154" s="50" t="n">
        <v>0</v>
      </c>
      <c r="V2154" s="50" t="n">
        <v>0</v>
      </c>
      <c r="W2154" s="51" t="n">
        <v>0</v>
      </c>
      <c r="X2154" s="51" t="n">
        <v>0</v>
      </c>
      <c r="Y2154" s="51" t="n">
        <v>0</v>
      </c>
      <c r="Z2154" s="51" t="n">
        <v>0</v>
      </c>
      <c r="AA2154" s="52" t="n">
        <v>0</v>
      </c>
      <c r="AB2154" s="52" t="n">
        <v>0</v>
      </c>
      <c r="AC2154" s="52" t="n">
        <v>0</v>
      </c>
      <c r="AD2154" s="52" t="n">
        <v>0</v>
      </c>
      <c r="AE2154" s="52" t="n">
        <v>0</v>
      </c>
      <c r="AF2154" s="52" t="n">
        <v>0</v>
      </c>
      <c r="AG2154" s="52" t="n">
        <v>0</v>
      </c>
      <c r="AH2154" s="52" t="n">
        <v>0</v>
      </c>
      <c r="AI2154" s="52" t="n">
        <v>0</v>
      </c>
      <c r="AJ2154" s="52" t="n">
        <v>0</v>
      </c>
      <c r="AK2154" s="52" t="n">
        <v>0</v>
      </c>
      <c r="AL2154" s="52" t="n">
        <v>0</v>
      </c>
      <c r="AM2154" s="53" t="n">
        <v>0</v>
      </c>
      <c r="AN2154" s="53" t="n">
        <v>0</v>
      </c>
      <c r="AO2154" s="53" t="n">
        <v>0</v>
      </c>
      <c r="AP2154" s="53" t="n">
        <v>0</v>
      </c>
      <c r="AQ2154" s="52" t="n">
        <v>0</v>
      </c>
      <c r="AR2154" s="52" t="n">
        <v>0</v>
      </c>
      <c r="AS2154" s="52" t="n">
        <v>0</v>
      </c>
      <c r="AT2154" s="52" t="n">
        <v>0</v>
      </c>
      <c r="AU2154" s="53" t="n">
        <v>0</v>
      </c>
      <c r="AV2154" s="53" t="n">
        <v>0</v>
      </c>
      <c r="AW2154" s="53" t="n">
        <v>0</v>
      </c>
      <c r="AX2154" s="53" t="n">
        <v>0</v>
      </c>
      <c r="AY2154" s="52" t="n">
        <v>0</v>
      </c>
      <c r="AZ2154" s="52" t="n">
        <v>0</v>
      </c>
      <c r="BA2154" s="52" t="n">
        <v>0</v>
      </c>
      <c r="BB2154" s="52" t="n">
        <v>0</v>
      </c>
      <c r="BC2154" s="51" t="n">
        <v>0</v>
      </c>
      <c r="BD2154" s="51" t="n">
        <v>0</v>
      </c>
      <c r="BE2154" s="51" t="n">
        <v>0</v>
      </c>
      <c r="BF2154" s="51" t="n">
        <v>0</v>
      </c>
    </row>
    <row r="2155">
      <c r="A2155">
        <f>HYPERLINK("https://www.walmart.com/ip/310966083", "310966083")</f>
        <v/>
      </c>
      <c r="B2155" t="inlineStr">
        <is>
          <t>Catalonia Hooded Blanket Poncho | Wearable Blanket Wrap with Hand Pockets | Comfy Sherpa Fleece Throw Cape for Children and Adults, Christmas Thanksgiving Mother Gift, Camel</t>
        </is>
      </c>
      <c r="C2155" t="inlineStr">
        <is>
          <t>1CTBC100CA</t>
        </is>
      </c>
      <c r="D2155" t="inlineStr">
        <is>
          <t>Throws</t>
        </is>
      </c>
      <c r="E2155" t="inlineStr">
        <is>
          <t>Catalonia</t>
        </is>
      </c>
      <c r="F2155" t="inlineStr">
        <is>
          <t>Batch 1 - TR</t>
        </is>
      </c>
      <c r="G2155" s="48" t="n">
        <v>0</v>
      </c>
      <c r="H2155" s="48" t="n">
        <v>0</v>
      </c>
      <c r="I2155" s="48" t="n">
        <v>0</v>
      </c>
      <c r="J2155" s="48" t="n">
        <v>0</v>
      </c>
      <c r="K2155" s="49" t="n">
        <v>0</v>
      </c>
      <c r="L2155" s="49" t="n">
        <v>0</v>
      </c>
      <c r="M2155" s="49" t="n">
        <v>0</v>
      </c>
      <c r="N2155" s="49" t="n">
        <v>0</v>
      </c>
      <c r="O2155" s="49" t="n">
        <v>0</v>
      </c>
      <c r="P2155" s="49" t="n">
        <v>0</v>
      </c>
      <c r="Q2155" s="49" t="n">
        <v>0</v>
      </c>
      <c r="R2155" s="49" t="n">
        <v>0</v>
      </c>
      <c r="S2155" s="50" t="n">
        <v>0</v>
      </c>
      <c r="T2155" s="50" t="n">
        <v>0</v>
      </c>
      <c r="U2155" s="50" t="n">
        <v>0</v>
      </c>
      <c r="V2155" s="50" t="n">
        <v>0</v>
      </c>
      <c r="W2155" s="51" t="n">
        <v>0</v>
      </c>
      <c r="X2155" s="51" t="n">
        <v>0</v>
      </c>
      <c r="Y2155" s="51" t="n">
        <v>0</v>
      </c>
      <c r="Z2155" s="51" t="n">
        <v>0</v>
      </c>
      <c r="AA2155" s="52" t="n">
        <v>0</v>
      </c>
      <c r="AB2155" s="52" t="n">
        <v>0</v>
      </c>
      <c r="AC2155" s="52" t="n">
        <v>0</v>
      </c>
      <c r="AD2155" s="52" t="n">
        <v>0</v>
      </c>
      <c r="AE2155" s="52" t="n">
        <v>0</v>
      </c>
      <c r="AF2155" s="52" t="n">
        <v>0</v>
      </c>
      <c r="AG2155" s="52" t="n">
        <v>0</v>
      </c>
      <c r="AH2155" s="52" t="n">
        <v>0</v>
      </c>
      <c r="AI2155" s="52" t="n">
        <v>0</v>
      </c>
      <c r="AJ2155" s="52" t="n">
        <v>0</v>
      </c>
      <c r="AK2155" s="52" t="n">
        <v>0</v>
      </c>
      <c r="AL2155" s="52" t="n">
        <v>0</v>
      </c>
      <c r="AM2155" s="53" t="n">
        <v>0</v>
      </c>
      <c r="AN2155" s="53" t="n">
        <v>0</v>
      </c>
      <c r="AO2155" s="53" t="n">
        <v>0</v>
      </c>
      <c r="AP2155" s="53" t="n">
        <v>0</v>
      </c>
      <c r="AQ2155" s="52" t="n">
        <v>0</v>
      </c>
      <c r="AR2155" s="52" t="n">
        <v>0</v>
      </c>
      <c r="AS2155" s="52" t="n">
        <v>0</v>
      </c>
      <c r="AT2155" s="52" t="n">
        <v>0</v>
      </c>
      <c r="AU2155" s="53" t="n">
        <v>0</v>
      </c>
      <c r="AV2155" s="53" t="n">
        <v>0</v>
      </c>
      <c r="AW2155" s="53" t="n">
        <v>0</v>
      </c>
      <c r="AX2155" s="53" t="n">
        <v>0</v>
      </c>
      <c r="AY2155" s="52" t="n">
        <v>0</v>
      </c>
      <c r="AZ2155" s="52" t="n">
        <v>0</v>
      </c>
      <c r="BA2155" s="52" t="n">
        <v>0</v>
      </c>
      <c r="BB2155" s="52" t="n">
        <v>0</v>
      </c>
      <c r="BC2155" s="51" t="n">
        <v>0</v>
      </c>
      <c r="BD2155" s="51" t="n">
        <v>0</v>
      </c>
      <c r="BE2155" s="51" t="n">
        <v>0</v>
      </c>
      <c r="BF2155" s="51" t="n">
        <v>0</v>
      </c>
    </row>
    <row r="2156">
      <c r="A2156">
        <f>HYPERLINK("https://www.walmart.com/ip/311390337", "311390337")</f>
        <v/>
      </c>
      <c r="B2156" t="inlineStr">
        <is>
          <t>JenniWears 2 White Sheer Sexy Ladies Panty-hose Stockings Lingeries Socks Wife Gift</t>
        </is>
      </c>
      <c r="C2156" t="inlineStr">
        <is>
          <t>JWBLSPH2015-2 Packs</t>
        </is>
      </c>
      <c r="D2156" t="inlineStr">
        <is>
          <t>Pantyhose &amp; Tights</t>
        </is>
      </c>
      <c r="E2156" t="inlineStr">
        <is>
          <t>JenniWears</t>
        </is>
      </c>
      <c r="F2156" t="inlineStr">
        <is>
          <t>Optimized,Valentine</t>
        </is>
      </c>
      <c r="G2156" s="48" t="n">
        <v>0</v>
      </c>
      <c r="H2156" s="48" t="n">
        <v>0</v>
      </c>
      <c r="I2156" s="48" t="n">
        <v>0</v>
      </c>
      <c r="J2156" s="48" t="n">
        <v>0</v>
      </c>
      <c r="K2156" s="49" t="n">
        <v>0</v>
      </c>
      <c r="L2156" s="49" t="n">
        <v>0</v>
      </c>
      <c r="M2156" s="49" t="n">
        <v>0</v>
      </c>
      <c r="N2156" s="49" t="n">
        <v>0</v>
      </c>
      <c r="O2156" s="49" t="n">
        <v>0</v>
      </c>
      <c r="P2156" s="49" t="n">
        <v>0</v>
      </c>
      <c r="Q2156" s="49" t="n">
        <v>0</v>
      </c>
      <c r="R2156" s="49" t="n">
        <v>0</v>
      </c>
      <c r="S2156" s="50" t="n">
        <v>0</v>
      </c>
      <c r="T2156" s="50" t="n">
        <v>0</v>
      </c>
      <c r="U2156" s="50" t="n">
        <v>0</v>
      </c>
      <c r="V2156" s="50" t="n">
        <v>0</v>
      </c>
      <c r="W2156" s="51" t="n">
        <v>0</v>
      </c>
      <c r="X2156" s="51" t="n">
        <v>0</v>
      </c>
      <c r="Y2156" s="51" t="n">
        <v>0</v>
      </c>
      <c r="Z2156" s="51" t="n">
        <v>0</v>
      </c>
      <c r="AA2156" s="52" t="n">
        <v>0</v>
      </c>
      <c r="AB2156" s="52" t="n">
        <v>0</v>
      </c>
      <c r="AC2156" s="52" t="n">
        <v>0</v>
      </c>
      <c r="AD2156" s="52" t="n">
        <v>0</v>
      </c>
      <c r="AE2156" s="52" t="n">
        <v>0</v>
      </c>
      <c r="AF2156" s="52" t="n">
        <v>0</v>
      </c>
      <c r="AG2156" s="52" t="n">
        <v>0</v>
      </c>
      <c r="AH2156" s="52" t="n">
        <v>0</v>
      </c>
      <c r="AI2156" s="52" t="n">
        <v>0</v>
      </c>
      <c r="AJ2156" s="52" t="n">
        <v>0</v>
      </c>
      <c r="AK2156" s="52" t="n">
        <v>0</v>
      </c>
      <c r="AL2156" s="52" t="n">
        <v>0</v>
      </c>
      <c r="AM2156" s="53" t="n">
        <v>0</v>
      </c>
      <c r="AN2156" s="53" t="n">
        <v>0</v>
      </c>
      <c r="AO2156" s="53" t="n">
        <v>0</v>
      </c>
      <c r="AP2156" s="53" t="n">
        <v>0</v>
      </c>
      <c r="AQ2156" s="52" t="n">
        <v>0</v>
      </c>
      <c r="AR2156" s="52" t="n">
        <v>0</v>
      </c>
      <c r="AS2156" s="52" t="n">
        <v>0</v>
      </c>
      <c r="AT2156" s="52" t="n">
        <v>0</v>
      </c>
      <c r="AU2156" s="53" t="n">
        <v>0</v>
      </c>
      <c r="AV2156" s="53" t="n">
        <v>0</v>
      </c>
      <c r="AW2156" s="53" t="n">
        <v>0</v>
      </c>
      <c r="AX2156" s="53" t="n">
        <v>0</v>
      </c>
      <c r="AY2156" s="52" t="n">
        <v>0</v>
      </c>
      <c r="AZ2156" s="52" t="n">
        <v>0</v>
      </c>
      <c r="BA2156" s="52" t="n">
        <v>0</v>
      </c>
      <c r="BB2156" s="52" t="n">
        <v>0</v>
      </c>
      <c r="BC2156" s="51" t="n">
        <v>0</v>
      </c>
      <c r="BD2156" s="51" t="n">
        <v>0</v>
      </c>
      <c r="BE2156" s="51" t="n">
        <v>0</v>
      </c>
      <c r="BF2156" s="51" t="n">
        <v>0</v>
      </c>
    </row>
    <row r="2157">
      <c r="A2157">
        <f>HYPERLINK("https://www.walmart.com/ip/302775996", "302775996")</f>
        <v/>
      </c>
      <c r="B2157" t="inlineStr">
        <is>
          <t>Catalonia King Size Sherpa Comforter Set, Ultra-soft Reversible Fluffy Micromink Bedding Set-3 Pieces, 1 Comforter and 2 Pillow Shams, 90x103 inches</t>
        </is>
      </c>
      <c r="C2157" t="inlineStr">
        <is>
          <t>1CTBQ300KI-BL</t>
        </is>
      </c>
      <c r="D2157" t="inlineStr">
        <is>
          <t>Bedding Sets</t>
        </is>
      </c>
      <c r="E2157" t="inlineStr">
        <is>
          <t>Catalonia</t>
        </is>
      </c>
      <c r="F2157" t="inlineStr">
        <is>
          <t>WFS,WFS Item</t>
        </is>
      </c>
      <c r="G2157" s="48" t="n">
        <v>0</v>
      </c>
      <c r="H2157" s="48" t="n">
        <v>0</v>
      </c>
      <c r="I2157" s="48" t="n">
        <v>0</v>
      </c>
      <c r="J2157" s="48" t="n">
        <v>0</v>
      </c>
      <c r="K2157" s="49" t="n">
        <v>0</v>
      </c>
      <c r="L2157" s="49" t="n">
        <v>0</v>
      </c>
      <c r="M2157" s="49" t="n">
        <v>0</v>
      </c>
      <c r="N2157" s="49" t="n">
        <v>0</v>
      </c>
      <c r="O2157" s="49" t="n">
        <v>0</v>
      </c>
      <c r="P2157" s="49" t="n">
        <v>0</v>
      </c>
      <c r="Q2157" s="49" t="n">
        <v>0</v>
      </c>
      <c r="R2157" s="49" t="n">
        <v>0</v>
      </c>
      <c r="S2157" s="50" t="n">
        <v>0</v>
      </c>
      <c r="T2157" s="50" t="n">
        <v>0</v>
      </c>
      <c r="U2157" s="50" t="n">
        <v>0</v>
      </c>
      <c r="V2157" s="50" t="n">
        <v>0</v>
      </c>
      <c r="W2157" s="51" t="n">
        <v>0</v>
      </c>
      <c r="X2157" s="51" t="n">
        <v>0</v>
      </c>
      <c r="Y2157" s="51" t="n">
        <v>0</v>
      </c>
      <c r="Z2157" s="51" t="n">
        <v>0</v>
      </c>
      <c r="AA2157" s="52" t="n">
        <v>0</v>
      </c>
      <c r="AB2157" s="52" t="n">
        <v>0</v>
      </c>
      <c r="AC2157" s="52" t="n">
        <v>0</v>
      </c>
      <c r="AD2157" s="52" t="n">
        <v>0</v>
      </c>
      <c r="AE2157" s="52" t="n">
        <v>0</v>
      </c>
      <c r="AF2157" s="52" t="n">
        <v>0</v>
      </c>
      <c r="AG2157" s="52" t="n">
        <v>0</v>
      </c>
      <c r="AH2157" s="52" t="n">
        <v>0</v>
      </c>
      <c r="AI2157" s="52" t="n">
        <v>0</v>
      </c>
      <c r="AJ2157" s="52" t="n">
        <v>0</v>
      </c>
      <c r="AK2157" s="52" t="n">
        <v>0</v>
      </c>
      <c r="AL2157" s="52" t="n">
        <v>0</v>
      </c>
      <c r="AM2157" s="53" t="n">
        <v>0</v>
      </c>
      <c r="AN2157" s="53" t="n">
        <v>0</v>
      </c>
      <c r="AO2157" s="53" t="n">
        <v>0</v>
      </c>
      <c r="AP2157" s="53" t="n">
        <v>0</v>
      </c>
      <c r="AQ2157" s="52" t="n">
        <v>0</v>
      </c>
      <c r="AR2157" s="52" t="n">
        <v>0</v>
      </c>
      <c r="AS2157" s="52" t="n">
        <v>0</v>
      </c>
      <c r="AT2157" s="52" t="n">
        <v>0</v>
      </c>
      <c r="AU2157" s="53" t="n">
        <v>0</v>
      </c>
      <c r="AV2157" s="53" t="n">
        <v>0</v>
      </c>
      <c r="AW2157" s="53" t="n">
        <v>0</v>
      </c>
      <c r="AX2157" s="53" t="n">
        <v>0</v>
      </c>
      <c r="AY2157" s="52" t="n">
        <v>0</v>
      </c>
      <c r="AZ2157" s="52" t="n">
        <v>0</v>
      </c>
      <c r="BA2157" s="52" t="n">
        <v>0</v>
      </c>
      <c r="BB2157" s="52" t="n">
        <v>0</v>
      </c>
      <c r="BC2157" s="51" t="n">
        <v>0</v>
      </c>
      <c r="BD2157" s="51" t="n">
        <v>0</v>
      </c>
      <c r="BE2157" s="51" t="n">
        <v>0</v>
      </c>
      <c r="BF2157" s="51" t="n">
        <v>0</v>
      </c>
    </row>
    <row r="2158">
      <c r="A2158">
        <f>HYPERLINK("https://www.walmart.com/ip/301875046", "301875046")</f>
        <v/>
      </c>
      <c r="B2158" t="inlineStr">
        <is>
          <t>Terra Youth Reflective Knit Hat High Visibility Cold Weather Running Beanie Cool</t>
        </is>
      </c>
      <c r="C2158" t="inlineStr">
        <is>
          <t>TERRABN01-OR</t>
        </is>
      </c>
      <c r="D2158" t="inlineStr">
        <is>
          <t>Hats</t>
        </is>
      </c>
      <c r="E2158" t="inlineStr">
        <is>
          <t>Terra</t>
        </is>
      </c>
      <c r="G2158" s="48" t="n">
        <v>0</v>
      </c>
      <c r="H2158" s="48" t="n">
        <v>0</v>
      </c>
      <c r="I2158" s="48" t="n">
        <v>0</v>
      </c>
      <c r="J2158" s="48" t="n">
        <v>0</v>
      </c>
      <c r="K2158" s="49" t="n">
        <v>0</v>
      </c>
      <c r="L2158" s="49" t="n">
        <v>0</v>
      </c>
      <c r="M2158" s="49" t="n">
        <v>0</v>
      </c>
      <c r="N2158" s="49" t="n">
        <v>0</v>
      </c>
      <c r="O2158" s="49" t="n">
        <v>0</v>
      </c>
      <c r="P2158" s="49" t="n">
        <v>0</v>
      </c>
      <c r="Q2158" s="49" t="n">
        <v>0</v>
      </c>
      <c r="R2158" s="49" t="n">
        <v>0</v>
      </c>
      <c r="S2158" s="50" t="n">
        <v>0</v>
      </c>
      <c r="T2158" s="50" t="n">
        <v>0</v>
      </c>
      <c r="U2158" s="50" t="n">
        <v>0</v>
      </c>
      <c r="V2158" s="50" t="n">
        <v>0</v>
      </c>
      <c r="W2158" s="51" t="n">
        <v>0</v>
      </c>
      <c r="X2158" s="51" t="n">
        <v>0</v>
      </c>
      <c r="Y2158" s="51" t="n">
        <v>0</v>
      </c>
      <c r="Z2158" s="51" t="n">
        <v>0</v>
      </c>
      <c r="AA2158" s="52" t="n">
        <v>0</v>
      </c>
      <c r="AB2158" s="52" t="n">
        <v>0</v>
      </c>
      <c r="AC2158" s="52" t="n">
        <v>0</v>
      </c>
      <c r="AD2158" s="52" t="n">
        <v>0</v>
      </c>
      <c r="AE2158" s="52" t="n">
        <v>0</v>
      </c>
      <c r="AF2158" s="52" t="n">
        <v>0</v>
      </c>
      <c r="AG2158" s="52" t="n">
        <v>0</v>
      </c>
      <c r="AH2158" s="52" t="n">
        <v>0</v>
      </c>
      <c r="AI2158" s="52" t="n">
        <v>0</v>
      </c>
      <c r="AJ2158" s="52" t="n">
        <v>0</v>
      </c>
      <c r="AK2158" s="52" t="n">
        <v>0</v>
      </c>
      <c r="AL2158" s="52" t="n">
        <v>0</v>
      </c>
      <c r="AM2158" s="53" t="n">
        <v>0</v>
      </c>
      <c r="AN2158" s="53" t="n">
        <v>0</v>
      </c>
      <c r="AO2158" s="53" t="n">
        <v>0</v>
      </c>
      <c r="AP2158" s="53" t="n">
        <v>0</v>
      </c>
      <c r="AQ2158" s="52" t="n">
        <v>0</v>
      </c>
      <c r="AR2158" s="52" t="n">
        <v>0</v>
      </c>
      <c r="AS2158" s="52" t="n">
        <v>0</v>
      </c>
      <c r="AT2158" s="52" t="n">
        <v>0</v>
      </c>
      <c r="AU2158" s="53" t="n">
        <v>0</v>
      </c>
      <c r="AV2158" s="53" t="n">
        <v>0</v>
      </c>
      <c r="AW2158" s="53" t="n">
        <v>0</v>
      </c>
      <c r="AX2158" s="53" t="n">
        <v>0</v>
      </c>
      <c r="AY2158" s="52" t="n">
        <v>0</v>
      </c>
      <c r="AZ2158" s="52" t="n">
        <v>0</v>
      </c>
      <c r="BA2158" s="52" t="n">
        <v>0</v>
      </c>
      <c r="BB2158" s="52" t="n">
        <v>0</v>
      </c>
      <c r="BC2158" s="51" t="n">
        <v>0</v>
      </c>
      <c r="BD2158" s="51" t="n">
        <v>0</v>
      </c>
      <c r="BE2158" s="51" t="n">
        <v>0</v>
      </c>
      <c r="BF2158" s="51" t="n">
        <v>0</v>
      </c>
    </row>
    <row r="2159">
      <c r="A2159">
        <f>HYPERLINK("https://www.walmart.com/ip/328567104", "328567104")</f>
        <v/>
      </c>
      <c r="B2159" t="inlineStr">
        <is>
          <t>6 Bottle Wine Carrier - Insulated &amp; Padded Wine Carrying Cooler Tote Bag with Handle and Adjustable Shoulder Strap for Travel or Picnic, IDEAL Wine Lover Gift, Wine</t>
        </is>
      </c>
      <c r="C2159" t="inlineStr">
        <is>
          <t>1TRWB620WN</t>
        </is>
      </c>
      <c r="D2159" t="inlineStr">
        <is>
          <t>Wine Totes, Bags &amp; Backpacks</t>
        </is>
      </c>
      <c r="E2159" t="inlineStr">
        <is>
          <t>Tirrinia</t>
        </is>
      </c>
      <c r="F2159" t="inlineStr">
        <is>
          <t>Wine,Christmas,WFS,Wine WFS,Valentine,SEM,WFS Item,Lily Brand Camp</t>
        </is>
      </c>
      <c r="G2159" s="48" t="n">
        <v>0</v>
      </c>
      <c r="H2159" s="48" t="n">
        <v>0</v>
      </c>
      <c r="I2159" s="48" t="n">
        <v>0</v>
      </c>
      <c r="J2159" s="48" t="n">
        <v>0</v>
      </c>
      <c r="K2159" s="49" t="n">
        <v>0</v>
      </c>
      <c r="L2159" s="49" t="n">
        <v>0</v>
      </c>
      <c r="M2159" s="49" t="n">
        <v>0</v>
      </c>
      <c r="N2159" s="49" t="n">
        <v>0</v>
      </c>
      <c r="O2159" s="49" t="n">
        <v>0</v>
      </c>
      <c r="P2159" s="49" t="n">
        <v>0</v>
      </c>
      <c r="Q2159" s="49" t="n">
        <v>0</v>
      </c>
      <c r="R2159" s="49" t="n">
        <v>0</v>
      </c>
      <c r="S2159" s="50" t="n">
        <v>0</v>
      </c>
      <c r="T2159" s="50" t="n">
        <v>0</v>
      </c>
      <c r="U2159" s="50" t="n">
        <v>0</v>
      </c>
      <c r="V2159" s="50" t="n">
        <v>0</v>
      </c>
      <c r="W2159" s="51" t="n">
        <v>0</v>
      </c>
      <c r="X2159" s="51" t="n">
        <v>0</v>
      </c>
      <c r="Y2159" s="51" t="n">
        <v>0</v>
      </c>
      <c r="Z2159" s="51" t="n">
        <v>0</v>
      </c>
      <c r="AA2159" s="52" t="n">
        <v>0</v>
      </c>
      <c r="AB2159" s="52" t="n">
        <v>0</v>
      </c>
      <c r="AC2159" s="52" t="n">
        <v>0</v>
      </c>
      <c r="AD2159" s="52" t="n">
        <v>0</v>
      </c>
      <c r="AE2159" s="52" t="n">
        <v>0</v>
      </c>
      <c r="AF2159" s="52" t="n">
        <v>0</v>
      </c>
      <c r="AG2159" s="52" t="n">
        <v>0</v>
      </c>
      <c r="AH2159" s="52" t="n">
        <v>0</v>
      </c>
      <c r="AI2159" s="52" t="n">
        <v>0</v>
      </c>
      <c r="AJ2159" s="52" t="n">
        <v>0</v>
      </c>
      <c r="AK2159" s="52" t="n">
        <v>0</v>
      </c>
      <c r="AL2159" s="52" t="n">
        <v>0</v>
      </c>
      <c r="AM2159" s="53" t="n">
        <v>0</v>
      </c>
      <c r="AN2159" s="53" t="n">
        <v>0</v>
      </c>
      <c r="AO2159" s="53" t="n">
        <v>0</v>
      </c>
      <c r="AP2159" s="53" t="n">
        <v>0</v>
      </c>
      <c r="AQ2159" s="52" t="n">
        <v>0</v>
      </c>
      <c r="AR2159" s="52" t="n">
        <v>0</v>
      </c>
      <c r="AS2159" s="52" t="n">
        <v>0</v>
      </c>
      <c r="AT2159" s="52" t="n">
        <v>0</v>
      </c>
      <c r="AU2159" s="53" t="n">
        <v>0</v>
      </c>
      <c r="AV2159" s="53" t="n">
        <v>0</v>
      </c>
      <c r="AW2159" s="53" t="n">
        <v>0</v>
      </c>
      <c r="AX2159" s="53" t="n">
        <v>0</v>
      </c>
      <c r="AY2159" s="52" t="n">
        <v>0</v>
      </c>
      <c r="AZ2159" s="52" t="n">
        <v>0</v>
      </c>
      <c r="BA2159" s="52" t="n">
        <v>0</v>
      </c>
      <c r="BB2159" s="52" t="n">
        <v>0</v>
      </c>
      <c r="BC2159" s="51" t="n">
        <v>0</v>
      </c>
      <c r="BD2159" s="51" t="n">
        <v>0</v>
      </c>
      <c r="BE2159" s="51" t="n">
        <v>0</v>
      </c>
      <c r="BF2159" s="51" t="n">
        <v>0</v>
      </c>
    </row>
    <row r="2160">
      <c r="A2160">
        <f>HYPERLINK("https://www.walmart.com/ip/300905636", "300905636")</f>
        <v/>
      </c>
      <c r="B2160" t="inlineStr">
        <is>
          <t>Women’s Casual Hoodie Sweatshirt, Solid Cropped Jumper Tops, 3/4 Sleeve Oversized Pullover</t>
        </is>
      </c>
      <c r="C2160" t="inlineStr">
        <is>
          <t>1WMHD520S1WT</t>
        </is>
      </c>
      <c r="D2160" t="inlineStr">
        <is>
          <t>Sweatshirts &amp; Hoodies</t>
        </is>
      </c>
      <c r="E2160" t="inlineStr">
        <is>
          <t>Flyingstar</t>
        </is>
      </c>
      <c r="F2160" t="inlineStr">
        <is>
          <t>Hoodie ForAdult,Optimized</t>
        </is>
      </c>
      <c r="G2160" s="48" t="n">
        <v>0</v>
      </c>
      <c r="H2160" s="48" t="n">
        <v>0</v>
      </c>
      <c r="I2160" s="48" t="n">
        <v>0</v>
      </c>
      <c r="J2160" s="48" t="n">
        <v>0</v>
      </c>
      <c r="K2160" s="49" t="n">
        <v>0</v>
      </c>
      <c r="L2160" s="49" t="n">
        <v>0</v>
      </c>
      <c r="M2160" s="49" t="n">
        <v>0</v>
      </c>
      <c r="N2160" s="49" t="n">
        <v>0</v>
      </c>
      <c r="O2160" s="49" t="n">
        <v>0</v>
      </c>
      <c r="P2160" s="49" t="n">
        <v>0</v>
      </c>
      <c r="Q2160" s="49" t="n">
        <v>0</v>
      </c>
      <c r="R2160" s="49" t="n">
        <v>0</v>
      </c>
      <c r="S2160" s="50" t="n">
        <v>0</v>
      </c>
      <c r="T2160" s="50" t="n">
        <v>0</v>
      </c>
      <c r="U2160" s="50" t="n">
        <v>0</v>
      </c>
      <c r="V2160" s="50" t="n">
        <v>0</v>
      </c>
      <c r="W2160" s="51" t="n">
        <v>0</v>
      </c>
      <c r="X2160" s="51" t="n">
        <v>0</v>
      </c>
      <c r="Y2160" s="51" t="n">
        <v>0</v>
      </c>
      <c r="Z2160" s="51" t="n">
        <v>0</v>
      </c>
      <c r="AA2160" s="52" t="n">
        <v>0</v>
      </c>
      <c r="AB2160" s="52" t="n">
        <v>0</v>
      </c>
      <c r="AC2160" s="52" t="n">
        <v>0</v>
      </c>
      <c r="AD2160" s="52" t="n">
        <v>0</v>
      </c>
      <c r="AE2160" s="52" t="n">
        <v>0</v>
      </c>
      <c r="AF2160" s="52" t="n">
        <v>0</v>
      </c>
      <c r="AG2160" s="52" t="n">
        <v>0</v>
      </c>
      <c r="AH2160" s="52" t="n">
        <v>0</v>
      </c>
      <c r="AI2160" s="52" t="n">
        <v>0</v>
      </c>
      <c r="AJ2160" s="52" t="n">
        <v>0</v>
      </c>
      <c r="AK2160" s="52" t="n">
        <v>0</v>
      </c>
      <c r="AL2160" s="52" t="n">
        <v>0</v>
      </c>
      <c r="AM2160" s="53" t="n">
        <v>0</v>
      </c>
      <c r="AN2160" s="53" t="n">
        <v>0</v>
      </c>
      <c r="AO2160" s="53" t="n">
        <v>0</v>
      </c>
      <c r="AP2160" s="53" t="n">
        <v>0</v>
      </c>
      <c r="AQ2160" s="52" t="n">
        <v>0</v>
      </c>
      <c r="AR2160" s="52" t="n">
        <v>0</v>
      </c>
      <c r="AS2160" s="52" t="n">
        <v>0</v>
      </c>
      <c r="AT2160" s="52" t="n">
        <v>0</v>
      </c>
      <c r="AU2160" s="53" t="n">
        <v>0</v>
      </c>
      <c r="AV2160" s="53" t="n">
        <v>0</v>
      </c>
      <c r="AW2160" s="53" t="n">
        <v>0</v>
      </c>
      <c r="AX2160" s="53" t="n">
        <v>0</v>
      </c>
      <c r="AY2160" s="52" t="n">
        <v>0</v>
      </c>
      <c r="AZ2160" s="52" t="n">
        <v>0</v>
      </c>
      <c r="BA2160" s="52" t="n">
        <v>0</v>
      </c>
      <c r="BB2160" s="52" t="n">
        <v>0</v>
      </c>
      <c r="BC2160" s="51" t="n">
        <v>0</v>
      </c>
      <c r="BD2160" s="51" t="n">
        <v>0</v>
      </c>
      <c r="BE2160" s="51" t="n">
        <v>0</v>
      </c>
      <c r="BF2160" s="51" t="n">
        <v>0</v>
      </c>
    </row>
    <row r="2161">
      <c r="A2161">
        <f>HYPERLINK("https://www.walmart.com/ip/294904966", "294904966")</f>
        <v/>
      </c>
      <c r="B2161" t="inlineStr">
        <is>
          <t>Insulated Lunch Box for Women Men, Leakproof Thermal Reusable Lunch Bag with 2 Zipper Pockets for Adult &amp; Kids, Lunch Bag Cooler Tote for Office Work</t>
        </is>
      </c>
      <c r="C2161" t="inlineStr">
        <is>
          <t>1WMLB705GYNG</t>
        </is>
      </c>
      <c r="D2161" t="inlineStr">
        <is>
          <t>Reusable Lunch Bags &amp; Boxes</t>
        </is>
      </c>
      <c r="E2161" t="inlineStr">
        <is>
          <t>Flyingstar</t>
        </is>
      </c>
      <c r="F2161" t="inlineStr">
        <is>
          <t>Q2-Target,Lunch Bag</t>
        </is>
      </c>
      <c r="G2161" s="48" t="n">
        <v>0</v>
      </c>
      <c r="H2161" s="48" t="n">
        <v>0</v>
      </c>
      <c r="I2161" s="48" t="n">
        <v>0</v>
      </c>
      <c r="J2161" s="48" t="n">
        <v>0</v>
      </c>
      <c r="K2161" s="49" t="n">
        <v>0</v>
      </c>
      <c r="L2161" s="49" t="n">
        <v>0</v>
      </c>
      <c r="M2161" s="49" t="n">
        <v>0</v>
      </c>
      <c r="N2161" s="49" t="n">
        <v>0</v>
      </c>
      <c r="O2161" s="49" t="n">
        <v>0</v>
      </c>
      <c r="P2161" s="49" t="n">
        <v>0</v>
      </c>
      <c r="Q2161" s="49" t="n">
        <v>0</v>
      </c>
      <c r="R2161" s="49" t="n">
        <v>0</v>
      </c>
      <c r="S2161" s="50" t="n">
        <v>0</v>
      </c>
      <c r="T2161" s="50" t="n">
        <v>0</v>
      </c>
      <c r="U2161" s="50" t="n">
        <v>0</v>
      </c>
      <c r="V2161" s="50" t="n">
        <v>0</v>
      </c>
      <c r="W2161" s="51" t="n">
        <v>0</v>
      </c>
      <c r="X2161" s="51" t="n">
        <v>0</v>
      </c>
      <c r="Y2161" s="51" t="n">
        <v>0</v>
      </c>
      <c r="Z2161" s="51" t="n">
        <v>0</v>
      </c>
      <c r="AA2161" s="52" t="n">
        <v>0</v>
      </c>
      <c r="AB2161" s="52" t="n">
        <v>0</v>
      </c>
      <c r="AC2161" s="52" t="n">
        <v>0</v>
      </c>
      <c r="AD2161" s="52" t="n">
        <v>0</v>
      </c>
      <c r="AE2161" s="52" t="n">
        <v>0</v>
      </c>
      <c r="AF2161" s="52" t="n">
        <v>0</v>
      </c>
      <c r="AG2161" s="52" t="n">
        <v>0</v>
      </c>
      <c r="AH2161" s="52" t="n">
        <v>0</v>
      </c>
      <c r="AI2161" s="52" t="n">
        <v>0</v>
      </c>
      <c r="AJ2161" s="52" t="n">
        <v>0</v>
      </c>
      <c r="AK2161" s="52" t="n">
        <v>0</v>
      </c>
      <c r="AL2161" s="52" t="n">
        <v>0</v>
      </c>
      <c r="AM2161" s="53" t="n">
        <v>0</v>
      </c>
      <c r="AN2161" s="53" t="n">
        <v>0</v>
      </c>
      <c r="AO2161" s="53" t="n">
        <v>0</v>
      </c>
      <c r="AP2161" s="53" t="n">
        <v>0</v>
      </c>
      <c r="AQ2161" s="52" t="n">
        <v>0</v>
      </c>
      <c r="AR2161" s="52" t="n">
        <v>0</v>
      </c>
      <c r="AS2161" s="52" t="n">
        <v>0</v>
      </c>
      <c r="AT2161" s="52" t="n">
        <v>0</v>
      </c>
      <c r="AU2161" s="53" t="n">
        <v>0</v>
      </c>
      <c r="AV2161" s="53" t="n">
        <v>0</v>
      </c>
      <c r="AW2161" s="53" t="n">
        <v>0</v>
      </c>
      <c r="AX2161" s="53" t="n">
        <v>0</v>
      </c>
      <c r="AY2161" s="52" t="n">
        <v>0</v>
      </c>
      <c r="AZ2161" s="52" t="n">
        <v>0</v>
      </c>
      <c r="BA2161" s="52" t="n">
        <v>0</v>
      </c>
      <c r="BB2161" s="52" t="n">
        <v>0</v>
      </c>
      <c r="BC2161" s="51" t="n">
        <v>0</v>
      </c>
      <c r="BD2161" s="51" t="n">
        <v>0</v>
      </c>
      <c r="BE2161" s="51" t="n">
        <v>0</v>
      </c>
      <c r="BF2161" s="51" t="n">
        <v>0</v>
      </c>
    </row>
    <row r="2162">
      <c r="A2162">
        <f>HYPERLINK("https://www.walmart.com/ip/296299193", "296299193")</f>
        <v/>
      </c>
      <c r="B2162" t="inlineStr">
        <is>
          <t>Terra Men Boxer Brief Underwear Best 3 Pack Most Comfortable Cotton Trunk Short</t>
        </is>
      </c>
      <c r="C2162" t="inlineStr">
        <is>
          <t>TERRA-BOXER7-M</t>
        </is>
      </c>
      <c r="D2162" t="inlineStr">
        <is>
          <t>Underpants</t>
        </is>
      </c>
      <c r="E2162" t="inlineStr">
        <is>
          <t>Terra</t>
        </is>
      </c>
      <c r="F2162" t="inlineStr">
        <is>
          <t>Batch 1 - TR</t>
        </is>
      </c>
      <c r="G2162" s="48" t="n">
        <v>0</v>
      </c>
      <c r="H2162" s="48" t="n">
        <v>0</v>
      </c>
      <c r="I2162" s="48" t="n">
        <v>0</v>
      </c>
      <c r="J2162" s="48" t="n">
        <v>0</v>
      </c>
      <c r="K2162" s="49" t="n">
        <v>0</v>
      </c>
      <c r="L2162" s="49" t="n">
        <v>0</v>
      </c>
      <c r="M2162" s="49" t="n">
        <v>0</v>
      </c>
      <c r="N2162" s="49" t="n">
        <v>0</v>
      </c>
      <c r="O2162" s="49" t="n">
        <v>0</v>
      </c>
      <c r="P2162" s="49" t="n">
        <v>0</v>
      </c>
      <c r="Q2162" s="49" t="n">
        <v>0</v>
      </c>
      <c r="R2162" s="49" t="n">
        <v>0</v>
      </c>
      <c r="S2162" s="50" t="n">
        <v>0</v>
      </c>
      <c r="T2162" s="50" t="n">
        <v>0</v>
      </c>
      <c r="U2162" s="50" t="n">
        <v>0</v>
      </c>
      <c r="V2162" s="50" t="n">
        <v>0</v>
      </c>
      <c r="W2162" s="51" t="n">
        <v>0</v>
      </c>
      <c r="X2162" s="51" t="n">
        <v>0</v>
      </c>
      <c r="Y2162" s="51" t="n">
        <v>0</v>
      </c>
      <c r="Z2162" s="51" t="n">
        <v>0</v>
      </c>
      <c r="AA2162" s="52" t="n">
        <v>0</v>
      </c>
      <c r="AB2162" s="52" t="n">
        <v>0</v>
      </c>
      <c r="AC2162" s="52" t="n">
        <v>0</v>
      </c>
      <c r="AD2162" s="52" t="n">
        <v>0</v>
      </c>
      <c r="AE2162" s="52" t="n">
        <v>0</v>
      </c>
      <c r="AF2162" s="52" t="n">
        <v>0</v>
      </c>
      <c r="AG2162" s="52" t="n">
        <v>0</v>
      </c>
      <c r="AH2162" s="52" t="n">
        <v>0</v>
      </c>
      <c r="AI2162" s="52" t="n">
        <v>0</v>
      </c>
      <c r="AJ2162" s="52" t="n">
        <v>0</v>
      </c>
      <c r="AK2162" s="52" t="n">
        <v>0</v>
      </c>
      <c r="AL2162" s="52" t="n">
        <v>0</v>
      </c>
      <c r="AM2162" s="53" t="n">
        <v>0</v>
      </c>
      <c r="AN2162" s="53" t="n">
        <v>0</v>
      </c>
      <c r="AO2162" s="53" t="n">
        <v>0</v>
      </c>
      <c r="AP2162" s="53" t="n">
        <v>0</v>
      </c>
      <c r="AQ2162" s="52" t="n">
        <v>0</v>
      </c>
      <c r="AR2162" s="52" t="n">
        <v>0</v>
      </c>
      <c r="AS2162" s="52" t="n">
        <v>0</v>
      </c>
      <c r="AT2162" s="52" t="n">
        <v>0</v>
      </c>
      <c r="AU2162" s="53" t="n">
        <v>0</v>
      </c>
      <c r="AV2162" s="53" t="n">
        <v>0</v>
      </c>
      <c r="AW2162" s="53" t="n">
        <v>0</v>
      </c>
      <c r="AX2162" s="53" t="n">
        <v>0</v>
      </c>
      <c r="AY2162" s="52" t="n">
        <v>0</v>
      </c>
      <c r="AZ2162" s="52" t="n">
        <v>0</v>
      </c>
      <c r="BA2162" s="52" t="n">
        <v>0</v>
      </c>
      <c r="BB2162" s="52" t="n">
        <v>0</v>
      </c>
      <c r="BC2162" s="51" t="n">
        <v>0</v>
      </c>
      <c r="BD2162" s="51" t="n">
        <v>0</v>
      </c>
      <c r="BE2162" s="51" t="n">
        <v>0</v>
      </c>
      <c r="BF2162" s="51" t="n">
        <v>0</v>
      </c>
    </row>
    <row r="2163">
      <c r="A2163">
        <f>HYPERLINK("https://www.walmart.com/ip/296629837", "296629837")</f>
        <v/>
      </c>
      <c r="B2163" t="inlineStr">
        <is>
          <t>Tirrinia Insulated Lunch Bag for Women Men, Leakproof Thermal Reusable Lunch Box for Adult, Kids, Student, Lunch Cooler Tote for Office Work, Back to School, Medium, Light Blue</t>
        </is>
      </c>
      <c r="C2163" t="inlineStr">
        <is>
          <t>1TRLB701LBL-N</t>
        </is>
      </c>
      <c r="D2163" t="inlineStr">
        <is>
          <t>Reusable Lunch Bags &amp; Boxes</t>
        </is>
      </c>
      <c r="E2163" t="inlineStr">
        <is>
          <t>Tirrinia</t>
        </is>
      </c>
      <c r="F2163" t="inlineStr">
        <is>
          <t>Q2-Target,Brand Camp VD,Lunch Bag,WFS,Lunch Bags,WFS Item</t>
        </is>
      </c>
      <c r="G2163" s="48" t="n">
        <v>0</v>
      </c>
      <c r="H2163" s="48" t="n">
        <v>0</v>
      </c>
      <c r="I2163" s="48" t="n">
        <v>0</v>
      </c>
      <c r="J2163" s="48" t="n">
        <v>0</v>
      </c>
      <c r="K2163" s="49" t="n">
        <v>0</v>
      </c>
      <c r="L2163" s="49" t="n">
        <v>0</v>
      </c>
      <c r="M2163" s="49" t="n">
        <v>0</v>
      </c>
      <c r="N2163" s="49" t="n">
        <v>0</v>
      </c>
      <c r="O2163" s="49" t="n">
        <v>0</v>
      </c>
      <c r="P2163" s="49" t="n">
        <v>0</v>
      </c>
      <c r="Q2163" s="49" t="n">
        <v>0</v>
      </c>
      <c r="R2163" s="49" t="n">
        <v>0</v>
      </c>
      <c r="S2163" s="50" t="n">
        <v>0</v>
      </c>
      <c r="T2163" s="50" t="n">
        <v>0</v>
      </c>
      <c r="U2163" s="50" t="n">
        <v>0</v>
      </c>
      <c r="V2163" s="50" t="n">
        <v>0</v>
      </c>
      <c r="W2163" s="51" t="n">
        <v>0</v>
      </c>
      <c r="X2163" s="51" t="n">
        <v>0</v>
      </c>
      <c r="Y2163" s="51" t="n">
        <v>0</v>
      </c>
      <c r="Z2163" s="51" t="n">
        <v>0</v>
      </c>
      <c r="AA2163" s="52" t="n">
        <v>0</v>
      </c>
      <c r="AB2163" s="52" t="n">
        <v>0</v>
      </c>
      <c r="AC2163" s="52" t="n">
        <v>0</v>
      </c>
      <c r="AD2163" s="52" t="n">
        <v>0</v>
      </c>
      <c r="AE2163" s="52" t="n">
        <v>0</v>
      </c>
      <c r="AF2163" s="52" t="n">
        <v>0</v>
      </c>
      <c r="AG2163" s="52" t="n">
        <v>0</v>
      </c>
      <c r="AH2163" s="52" t="n">
        <v>0</v>
      </c>
      <c r="AI2163" s="52" t="n">
        <v>0</v>
      </c>
      <c r="AJ2163" s="52" t="n">
        <v>0</v>
      </c>
      <c r="AK2163" s="52" t="n">
        <v>0</v>
      </c>
      <c r="AL2163" s="52" t="n">
        <v>0</v>
      </c>
      <c r="AM2163" s="53" t="n">
        <v>0</v>
      </c>
      <c r="AN2163" s="53" t="n">
        <v>0</v>
      </c>
      <c r="AO2163" s="53" t="n">
        <v>0</v>
      </c>
      <c r="AP2163" s="53" t="n">
        <v>0</v>
      </c>
      <c r="AQ2163" s="52" t="n">
        <v>0</v>
      </c>
      <c r="AR2163" s="52" t="n">
        <v>0</v>
      </c>
      <c r="AS2163" s="52" t="n">
        <v>0</v>
      </c>
      <c r="AT2163" s="52" t="n">
        <v>0</v>
      </c>
      <c r="AU2163" s="53" t="n">
        <v>0</v>
      </c>
      <c r="AV2163" s="53" t="n">
        <v>0</v>
      </c>
      <c r="AW2163" s="53" t="n">
        <v>0</v>
      </c>
      <c r="AX2163" s="53" t="n">
        <v>0</v>
      </c>
      <c r="AY2163" s="52" t="n">
        <v>0</v>
      </c>
      <c r="AZ2163" s="52" t="n">
        <v>0</v>
      </c>
      <c r="BA2163" s="52" t="n">
        <v>0</v>
      </c>
      <c r="BB2163" s="52" t="n">
        <v>0</v>
      </c>
      <c r="BC2163" s="51" t="n">
        <v>0</v>
      </c>
      <c r="BD2163" s="51" t="n">
        <v>0</v>
      </c>
      <c r="BE2163" s="51" t="n">
        <v>0</v>
      </c>
      <c r="BF2163" s="51" t="n">
        <v>0</v>
      </c>
    </row>
    <row r="2164">
      <c r="A2164">
        <f>HYPERLINK("https://www.walmart.com/ip/296861236", "296861236")</f>
        <v/>
      </c>
      <c r="B2164" t="inlineStr">
        <is>
          <t>Flyingstar 6-Bottle Wine Cooler Bag, Wine Gift Bag with Insulated, Padded Wine Bottle Compartments, Blue Stripe, 11'' W x 8'' D x 14'' H</t>
        </is>
      </c>
      <c r="C2164" t="inlineStr">
        <is>
          <t>1WMWB602STR</t>
        </is>
      </c>
      <c r="D2164" t="inlineStr">
        <is>
          <t>Wine Totes, Bags &amp; Backpacks</t>
        </is>
      </c>
      <c r="E2164" t="inlineStr">
        <is>
          <t>Flyingstar</t>
        </is>
      </c>
      <c r="F2164" t="inlineStr">
        <is>
          <t>Wine,Christmas,Optimized,Wine WFS,Valentine,SEM</t>
        </is>
      </c>
      <c r="G2164" s="48" t="n">
        <v>0</v>
      </c>
      <c r="H2164" s="48" t="n">
        <v>0</v>
      </c>
      <c r="I2164" s="48" t="n">
        <v>0</v>
      </c>
      <c r="J2164" s="48" t="n">
        <v>20.99</v>
      </c>
      <c r="K2164" s="49" t="n">
        <v>0</v>
      </c>
      <c r="L2164" s="49" t="n">
        <v>0</v>
      </c>
      <c r="M2164" s="49" t="n">
        <v>0</v>
      </c>
      <c r="N2164" s="49" t="n">
        <v>1</v>
      </c>
      <c r="O2164" s="49" t="n">
        <v>0</v>
      </c>
      <c r="P2164" s="49" t="n">
        <v>0</v>
      </c>
      <c r="Q2164" s="49" t="n">
        <v>0</v>
      </c>
      <c r="R2164" s="49" t="n">
        <v>0</v>
      </c>
      <c r="S2164" s="50" t="n">
        <v>0</v>
      </c>
      <c r="T2164" s="50" t="n">
        <v>0</v>
      </c>
      <c r="U2164" s="50" t="n">
        <v>0</v>
      </c>
      <c r="V2164" s="50" t="n">
        <v>0</v>
      </c>
      <c r="W2164" s="51" t="n">
        <v>0</v>
      </c>
      <c r="X2164" s="51" t="n">
        <v>0</v>
      </c>
      <c r="Y2164" s="51" t="n">
        <v>0</v>
      </c>
      <c r="Z2164" s="51" t="n">
        <v>0</v>
      </c>
      <c r="AA2164" s="52" t="n">
        <v>0</v>
      </c>
      <c r="AB2164" s="52" t="n">
        <v>0</v>
      </c>
      <c r="AC2164" s="52" t="n">
        <v>0</v>
      </c>
      <c r="AD2164" s="52" t="n">
        <v>0</v>
      </c>
      <c r="AE2164" s="52" t="n">
        <v>0</v>
      </c>
      <c r="AF2164" s="52" t="n">
        <v>0</v>
      </c>
      <c r="AG2164" s="52" t="n">
        <v>0</v>
      </c>
      <c r="AH2164" s="52" t="n">
        <v>0</v>
      </c>
      <c r="AI2164" s="52" t="n">
        <v>0</v>
      </c>
      <c r="AJ2164" s="52" t="n">
        <v>0</v>
      </c>
      <c r="AK2164" s="52" t="n">
        <v>0</v>
      </c>
      <c r="AL2164" s="52" t="n">
        <v>0</v>
      </c>
      <c r="AM2164" s="53" t="n">
        <v>0</v>
      </c>
      <c r="AN2164" s="53" t="n">
        <v>0</v>
      </c>
      <c r="AO2164" s="53" t="n">
        <v>0</v>
      </c>
      <c r="AP2164" s="53" t="n">
        <v>0</v>
      </c>
      <c r="AQ2164" s="52" t="n">
        <v>0</v>
      </c>
      <c r="AR2164" s="52" t="n">
        <v>0</v>
      </c>
      <c r="AS2164" s="52" t="n">
        <v>0</v>
      </c>
      <c r="AT2164" s="52" t="n">
        <v>0</v>
      </c>
      <c r="AU2164" s="53" t="n">
        <v>0</v>
      </c>
      <c r="AV2164" s="53" t="n">
        <v>0</v>
      </c>
      <c r="AW2164" s="53" t="n">
        <v>0</v>
      </c>
      <c r="AX2164" s="53" t="n">
        <v>0</v>
      </c>
      <c r="AY2164" s="52" t="n">
        <v>0</v>
      </c>
      <c r="AZ2164" s="52" t="n">
        <v>0</v>
      </c>
      <c r="BA2164" s="52" t="n">
        <v>0</v>
      </c>
      <c r="BB2164" s="52" t="n">
        <v>20.99</v>
      </c>
      <c r="BC2164" s="51" t="n">
        <v>0</v>
      </c>
      <c r="BD2164" s="51" t="n">
        <v>0</v>
      </c>
      <c r="BE2164" s="51" t="n">
        <v>0</v>
      </c>
      <c r="BF2164" s="51" t="n">
        <v>0</v>
      </c>
    </row>
    <row r="2165">
      <c r="A2165">
        <f>HYPERLINK("https://www.walmart.com/ip/297663861", "297663861")</f>
        <v/>
      </c>
      <c r="B2165" t="inlineStr">
        <is>
          <t>Sherpa Fuzzy Blanket 50" x 60", Mink Plush for TV Bed, Comfy Warm Heavy Comfort Caring Gift:</t>
        </is>
      </c>
      <c r="C2165" t="inlineStr">
        <is>
          <t>1CTBF300CA</t>
        </is>
      </c>
      <c r="D2165" t="inlineStr">
        <is>
          <t>Throws</t>
        </is>
      </c>
      <c r="E2165" t="inlineStr">
        <is>
          <t>Catalonia</t>
        </is>
      </c>
      <c r="F2165" t="inlineStr">
        <is>
          <t>Q2-Target,Optimized,WFS,Coupon_Discount,WFS Item</t>
        </is>
      </c>
      <c r="G2165" s="48" t="n">
        <v>0</v>
      </c>
      <c r="H2165" s="48" t="n">
        <v>0</v>
      </c>
      <c r="I2165" s="48" t="n">
        <v>0</v>
      </c>
      <c r="J2165" s="48" t="n">
        <v>0</v>
      </c>
      <c r="K2165" s="49" t="n">
        <v>0</v>
      </c>
      <c r="L2165" s="49" t="n">
        <v>0</v>
      </c>
      <c r="M2165" s="49" t="n">
        <v>0</v>
      </c>
      <c r="N2165" s="49" t="n">
        <v>0</v>
      </c>
      <c r="O2165" s="49" t="n">
        <v>0</v>
      </c>
      <c r="P2165" s="49" t="n">
        <v>0</v>
      </c>
      <c r="Q2165" s="49" t="n">
        <v>0</v>
      </c>
      <c r="R2165" s="49" t="n">
        <v>0</v>
      </c>
      <c r="S2165" s="50" t="n">
        <v>0</v>
      </c>
      <c r="T2165" s="50" t="n">
        <v>0</v>
      </c>
      <c r="U2165" s="50" t="n">
        <v>0</v>
      </c>
      <c r="V2165" s="50" t="n">
        <v>0</v>
      </c>
      <c r="W2165" s="51" t="n">
        <v>0</v>
      </c>
      <c r="X2165" s="51" t="n">
        <v>0</v>
      </c>
      <c r="Y2165" s="51" t="n">
        <v>0</v>
      </c>
      <c r="Z2165" s="51" t="n">
        <v>0</v>
      </c>
      <c r="AA2165" s="52" t="n">
        <v>0</v>
      </c>
      <c r="AB2165" s="52" t="n">
        <v>0</v>
      </c>
      <c r="AC2165" s="52" t="n">
        <v>0</v>
      </c>
      <c r="AD2165" s="52" t="n">
        <v>0</v>
      </c>
      <c r="AE2165" s="52" t="n">
        <v>0</v>
      </c>
      <c r="AF2165" s="52" t="n">
        <v>0</v>
      </c>
      <c r="AG2165" s="52" t="n">
        <v>0</v>
      </c>
      <c r="AH2165" s="52" t="n">
        <v>0</v>
      </c>
      <c r="AI2165" s="52" t="n">
        <v>0</v>
      </c>
      <c r="AJ2165" s="52" t="n">
        <v>0</v>
      </c>
      <c r="AK2165" s="52" t="n">
        <v>0</v>
      </c>
      <c r="AL2165" s="52" t="n">
        <v>0</v>
      </c>
      <c r="AM2165" s="53" t="n">
        <v>0</v>
      </c>
      <c r="AN2165" s="53" t="n">
        <v>0</v>
      </c>
      <c r="AO2165" s="53" t="n">
        <v>0</v>
      </c>
      <c r="AP2165" s="53" t="n">
        <v>0</v>
      </c>
      <c r="AQ2165" s="52" t="n">
        <v>0</v>
      </c>
      <c r="AR2165" s="52" t="n">
        <v>0</v>
      </c>
      <c r="AS2165" s="52" t="n">
        <v>0</v>
      </c>
      <c r="AT2165" s="52" t="n">
        <v>0</v>
      </c>
      <c r="AU2165" s="53" t="n">
        <v>0</v>
      </c>
      <c r="AV2165" s="53" t="n">
        <v>0</v>
      </c>
      <c r="AW2165" s="53" t="n">
        <v>0</v>
      </c>
      <c r="AX2165" s="53" t="n">
        <v>0</v>
      </c>
      <c r="AY2165" s="52" t="n">
        <v>0</v>
      </c>
      <c r="AZ2165" s="52" t="n">
        <v>0</v>
      </c>
      <c r="BA2165" s="52" t="n">
        <v>0</v>
      </c>
      <c r="BB2165" s="52" t="n">
        <v>0</v>
      </c>
      <c r="BC2165" s="51" t="n">
        <v>0</v>
      </c>
      <c r="BD2165" s="51" t="n">
        <v>0</v>
      </c>
      <c r="BE2165" s="51" t="n">
        <v>0</v>
      </c>
      <c r="BF2165" s="51" t="n">
        <v>0</v>
      </c>
    </row>
    <row r="2166">
      <c r="A2166">
        <f>HYPERLINK("https://www.walmart.com/ip/298770903", "298770903")</f>
        <v/>
      </c>
      <c r="B2166" t="inlineStr">
        <is>
          <t>Women’s Crop Top Hoodie Sweatshirt Oversized Casual 3/4 Sleeve One Size Cheetah</t>
        </is>
      </c>
      <c r="C2166" t="inlineStr">
        <is>
          <t>1WMHD520S1CHEETAH</t>
        </is>
      </c>
      <c r="D2166" t="inlineStr">
        <is>
          <t>Sweatshirts &amp; Hoodies</t>
        </is>
      </c>
      <c r="E2166" t="inlineStr">
        <is>
          <t>Flyingstar</t>
        </is>
      </c>
      <c r="F2166" t="inlineStr">
        <is>
          <t>Batch 1 - TR</t>
        </is>
      </c>
      <c r="G2166" s="48" t="n">
        <v>0</v>
      </c>
      <c r="H2166" s="48" t="n">
        <v>0</v>
      </c>
      <c r="I2166" s="48" t="n">
        <v>0</v>
      </c>
      <c r="J2166" s="48" t="n">
        <v>0</v>
      </c>
      <c r="K2166" s="49" t="n">
        <v>0</v>
      </c>
      <c r="L2166" s="49" t="n">
        <v>0</v>
      </c>
      <c r="M2166" s="49" t="n">
        <v>0</v>
      </c>
      <c r="N2166" s="49" t="n">
        <v>0</v>
      </c>
      <c r="O2166" s="49" t="n">
        <v>0</v>
      </c>
      <c r="P2166" s="49" t="n">
        <v>0</v>
      </c>
      <c r="Q2166" s="49" t="n">
        <v>0</v>
      </c>
      <c r="R2166" s="49" t="n">
        <v>0</v>
      </c>
      <c r="S2166" s="50" t="n">
        <v>0</v>
      </c>
      <c r="T2166" s="50" t="n">
        <v>0</v>
      </c>
      <c r="U2166" s="50" t="n">
        <v>0</v>
      </c>
      <c r="V2166" s="50" t="n">
        <v>0</v>
      </c>
      <c r="W2166" s="51" t="n">
        <v>0</v>
      </c>
      <c r="X2166" s="51" t="n">
        <v>0</v>
      </c>
      <c r="Y2166" s="51" t="n">
        <v>0</v>
      </c>
      <c r="Z2166" s="51" t="n">
        <v>0</v>
      </c>
      <c r="AA2166" s="52" t="n">
        <v>0</v>
      </c>
      <c r="AB2166" s="52" t="n">
        <v>0</v>
      </c>
      <c r="AC2166" s="52" t="n">
        <v>0</v>
      </c>
      <c r="AD2166" s="52" t="n">
        <v>0</v>
      </c>
      <c r="AE2166" s="52" t="n">
        <v>0</v>
      </c>
      <c r="AF2166" s="52" t="n">
        <v>0</v>
      </c>
      <c r="AG2166" s="52" t="n">
        <v>0</v>
      </c>
      <c r="AH2166" s="52" t="n">
        <v>0</v>
      </c>
      <c r="AI2166" s="52" t="n">
        <v>0</v>
      </c>
      <c r="AJ2166" s="52" t="n">
        <v>0</v>
      </c>
      <c r="AK2166" s="52" t="n">
        <v>0</v>
      </c>
      <c r="AL2166" s="52" t="n">
        <v>0</v>
      </c>
      <c r="AM2166" s="53" t="n">
        <v>0</v>
      </c>
      <c r="AN2166" s="53" t="n">
        <v>0</v>
      </c>
      <c r="AO2166" s="53" t="n">
        <v>0</v>
      </c>
      <c r="AP2166" s="53" t="n">
        <v>0</v>
      </c>
      <c r="AQ2166" s="52" t="n">
        <v>0</v>
      </c>
      <c r="AR2166" s="52" t="n">
        <v>0</v>
      </c>
      <c r="AS2166" s="52" t="n">
        <v>0</v>
      </c>
      <c r="AT2166" s="52" t="n">
        <v>0</v>
      </c>
      <c r="AU2166" s="53" t="n">
        <v>0</v>
      </c>
      <c r="AV2166" s="53" t="n">
        <v>0</v>
      </c>
      <c r="AW2166" s="53" t="n">
        <v>0</v>
      </c>
      <c r="AX2166" s="53" t="n">
        <v>0</v>
      </c>
      <c r="AY2166" s="52" t="n">
        <v>0</v>
      </c>
      <c r="AZ2166" s="52" t="n">
        <v>0</v>
      </c>
      <c r="BA2166" s="52" t="n">
        <v>0</v>
      </c>
      <c r="BB2166" s="52" t="n">
        <v>0</v>
      </c>
      <c r="BC2166" s="51" t="n">
        <v>0</v>
      </c>
      <c r="BD2166" s="51" t="n">
        <v>0</v>
      </c>
      <c r="BE2166" s="51" t="n">
        <v>0</v>
      </c>
      <c r="BF2166" s="51" t="n">
        <v>0</v>
      </c>
    </row>
    <row r="2167">
      <c r="A2167">
        <f>HYPERLINK("https://www.walmart.com/ip/298792856", "298792856")</f>
        <v/>
      </c>
      <c r="B2167" t="inlineStr">
        <is>
          <t>Catalonia Sherpa Wearable Blanket Poncho for Adult Women Men, Wrap Blanket Cape with Pocket, Warm, Soft, Cozy, Snuggly, Comfort Gift, No Sleeves, Aqua</t>
        </is>
      </c>
      <c r="C2167" t="inlineStr">
        <is>
          <t>1CTBP110AQ</t>
        </is>
      </c>
      <c r="D2167" t="inlineStr">
        <is>
          <t>Throws</t>
        </is>
      </c>
      <c r="E2167" t="inlineStr">
        <is>
          <t>Catalonia</t>
        </is>
      </c>
      <c r="F2167" t="inlineStr">
        <is>
          <t>Optimized,Hero 5 Holidays,WFS,Coupon_Discount,WFS Item</t>
        </is>
      </c>
      <c r="G2167" s="48" t="n">
        <v>0</v>
      </c>
      <c r="H2167" s="48" t="n">
        <v>0</v>
      </c>
      <c r="I2167" s="48" t="n">
        <v>0</v>
      </c>
      <c r="J2167" s="48" t="n">
        <v>0</v>
      </c>
      <c r="K2167" s="49" t="n">
        <v>0</v>
      </c>
      <c r="L2167" s="49" t="n">
        <v>0</v>
      </c>
      <c r="M2167" s="49" t="n">
        <v>0</v>
      </c>
      <c r="N2167" s="49" t="n">
        <v>0</v>
      </c>
      <c r="O2167" s="49" t="n">
        <v>0</v>
      </c>
      <c r="P2167" s="49" t="n">
        <v>0</v>
      </c>
      <c r="Q2167" s="49" t="n">
        <v>0</v>
      </c>
      <c r="R2167" s="49" t="n">
        <v>0</v>
      </c>
      <c r="S2167" s="50" t="n">
        <v>0</v>
      </c>
      <c r="T2167" s="50" t="n">
        <v>0</v>
      </c>
      <c r="U2167" s="50" t="n">
        <v>0</v>
      </c>
      <c r="V2167" s="50" t="n">
        <v>0</v>
      </c>
      <c r="W2167" s="51" t="n">
        <v>0</v>
      </c>
      <c r="X2167" s="51" t="n">
        <v>0</v>
      </c>
      <c r="Y2167" s="51" t="n">
        <v>0</v>
      </c>
      <c r="Z2167" s="51" t="n">
        <v>0</v>
      </c>
      <c r="AA2167" s="52" t="n">
        <v>0</v>
      </c>
      <c r="AB2167" s="52" t="n">
        <v>0</v>
      </c>
      <c r="AC2167" s="52" t="n">
        <v>0</v>
      </c>
      <c r="AD2167" s="52" t="n">
        <v>0</v>
      </c>
      <c r="AE2167" s="52" t="n">
        <v>0</v>
      </c>
      <c r="AF2167" s="52" t="n">
        <v>0</v>
      </c>
      <c r="AG2167" s="52" t="n">
        <v>0</v>
      </c>
      <c r="AH2167" s="52" t="n">
        <v>0</v>
      </c>
      <c r="AI2167" s="52" t="n">
        <v>0</v>
      </c>
      <c r="AJ2167" s="52" t="n">
        <v>0</v>
      </c>
      <c r="AK2167" s="52" t="n">
        <v>0</v>
      </c>
      <c r="AL2167" s="52" t="n">
        <v>0</v>
      </c>
      <c r="AM2167" s="53" t="n">
        <v>0</v>
      </c>
      <c r="AN2167" s="53" t="n">
        <v>0</v>
      </c>
      <c r="AO2167" s="53" t="n">
        <v>0</v>
      </c>
      <c r="AP2167" s="53" t="n">
        <v>0</v>
      </c>
      <c r="AQ2167" s="52" t="n">
        <v>0</v>
      </c>
      <c r="AR2167" s="52" t="n">
        <v>0</v>
      </c>
      <c r="AS2167" s="52" t="n">
        <v>0</v>
      </c>
      <c r="AT2167" s="52" t="n">
        <v>0</v>
      </c>
      <c r="AU2167" s="53" t="n">
        <v>0</v>
      </c>
      <c r="AV2167" s="53" t="n">
        <v>0</v>
      </c>
      <c r="AW2167" s="53" t="n">
        <v>0</v>
      </c>
      <c r="AX2167" s="53" t="n">
        <v>0</v>
      </c>
      <c r="AY2167" s="52" t="n">
        <v>0</v>
      </c>
      <c r="AZ2167" s="52" t="n">
        <v>0</v>
      </c>
      <c r="BA2167" s="52" t="n">
        <v>0</v>
      </c>
      <c r="BB2167" s="52" t="n">
        <v>0</v>
      </c>
      <c r="BC2167" s="51" t="n">
        <v>0</v>
      </c>
      <c r="BD2167" s="51" t="n">
        <v>0</v>
      </c>
      <c r="BE2167" s="51" t="n">
        <v>0</v>
      </c>
      <c r="BF2167" s="51" t="n">
        <v>0</v>
      </c>
    </row>
    <row r="2168">
      <c r="A2168">
        <f>HYPERLINK("https://www.walmart.com/ip/298917062", "298917062")</f>
        <v/>
      </c>
      <c r="B2168" t="inlineStr">
        <is>
          <t>Tirrinia Reversible Chevron Micro Plush Super Soft Throw Blanket, Wine, 50" x 60"</t>
        </is>
      </c>
      <c r="C2168" t="inlineStr">
        <is>
          <t>1TRBF320WN-TBCB</t>
        </is>
      </c>
      <c r="D2168" t="inlineStr">
        <is>
          <t>Throws</t>
        </is>
      </c>
      <c r="E2168" t="inlineStr">
        <is>
          <t>Tirrinia</t>
        </is>
      </c>
      <c r="F2168" t="inlineStr">
        <is>
          <t>Batch 1 - TR</t>
        </is>
      </c>
      <c r="G2168" s="48" t="n">
        <v>0</v>
      </c>
      <c r="H2168" s="48" t="n">
        <v>0</v>
      </c>
      <c r="I2168" s="48" t="n">
        <v>0</v>
      </c>
      <c r="J2168" s="48" t="n">
        <v>0</v>
      </c>
      <c r="K2168" s="49" t="n">
        <v>0</v>
      </c>
      <c r="L2168" s="49" t="n">
        <v>0</v>
      </c>
      <c r="M2168" s="49" t="n">
        <v>0</v>
      </c>
      <c r="N2168" s="49" t="n">
        <v>0</v>
      </c>
      <c r="O2168" s="49" t="n">
        <v>0</v>
      </c>
      <c r="P2168" s="49" t="n">
        <v>0</v>
      </c>
      <c r="Q2168" s="49" t="n">
        <v>0</v>
      </c>
      <c r="R2168" s="49" t="n">
        <v>0</v>
      </c>
      <c r="S2168" s="50" t="n">
        <v>0</v>
      </c>
      <c r="T2168" s="50" t="n">
        <v>0</v>
      </c>
      <c r="U2168" s="50" t="n">
        <v>0</v>
      </c>
      <c r="V2168" s="50" t="n">
        <v>0</v>
      </c>
      <c r="W2168" s="51" t="n">
        <v>0</v>
      </c>
      <c r="X2168" s="51" t="n">
        <v>0</v>
      </c>
      <c r="Y2168" s="51" t="n">
        <v>0</v>
      </c>
      <c r="Z2168" s="51" t="n">
        <v>0</v>
      </c>
      <c r="AA2168" s="52" t="n">
        <v>0</v>
      </c>
      <c r="AB2168" s="52" t="n">
        <v>0</v>
      </c>
      <c r="AC2168" s="52" t="n">
        <v>0</v>
      </c>
      <c r="AD2168" s="52" t="n">
        <v>0</v>
      </c>
      <c r="AE2168" s="52" t="n">
        <v>0</v>
      </c>
      <c r="AF2168" s="52" t="n">
        <v>0</v>
      </c>
      <c r="AG2168" s="52" t="n">
        <v>0</v>
      </c>
      <c r="AH2168" s="52" t="n">
        <v>0</v>
      </c>
      <c r="AI2168" s="52" t="n">
        <v>0</v>
      </c>
      <c r="AJ2168" s="52" t="n">
        <v>0</v>
      </c>
      <c r="AK2168" s="52" t="n">
        <v>0</v>
      </c>
      <c r="AL2168" s="52" t="n">
        <v>0</v>
      </c>
      <c r="AM2168" s="53" t="n">
        <v>0</v>
      </c>
      <c r="AN2168" s="53" t="n">
        <v>0</v>
      </c>
      <c r="AO2168" s="53" t="n">
        <v>0</v>
      </c>
      <c r="AP2168" s="53" t="n">
        <v>0</v>
      </c>
      <c r="AQ2168" s="52" t="n">
        <v>0</v>
      </c>
      <c r="AR2168" s="52" t="n">
        <v>0</v>
      </c>
      <c r="AS2168" s="52" t="n">
        <v>0</v>
      </c>
      <c r="AT2168" s="52" t="n">
        <v>0</v>
      </c>
      <c r="AU2168" s="53" t="n">
        <v>0</v>
      </c>
      <c r="AV2168" s="53" t="n">
        <v>0</v>
      </c>
      <c r="AW2168" s="53" t="n">
        <v>0</v>
      </c>
      <c r="AX2168" s="53" t="n">
        <v>0</v>
      </c>
      <c r="AY2168" s="52" t="n">
        <v>0</v>
      </c>
      <c r="AZ2168" s="52" t="n">
        <v>0</v>
      </c>
      <c r="BA2168" s="52" t="n">
        <v>0</v>
      </c>
      <c r="BB2168" s="52" t="n">
        <v>0</v>
      </c>
      <c r="BC2168" s="51" t="n">
        <v>0</v>
      </c>
      <c r="BD2168" s="51" t="n">
        <v>0</v>
      </c>
      <c r="BE2168" s="51" t="n">
        <v>0</v>
      </c>
      <c r="BF2168" s="51" t="n">
        <v>0</v>
      </c>
    </row>
    <row r="2169">
      <c r="A2169">
        <f>HYPERLINK("https://www.walmart.com/ip/299098323", "299098323")</f>
        <v/>
      </c>
      <c r="B2169" t="inlineStr">
        <is>
          <t>Flyingstar Women's Ponytail Sun Hat for Hiking Gardening Safari, Breathable Mesh and Ponytail Hole Opening, Green</t>
        </is>
      </c>
      <c r="C2169" t="inlineStr">
        <is>
          <t>1WMSH912GN</t>
        </is>
      </c>
      <c r="D2169" t="inlineStr">
        <is>
          <t>Hats</t>
        </is>
      </c>
      <c r="E2169" t="inlineStr">
        <is>
          <t>Flyingstar</t>
        </is>
      </c>
      <c r="F2169" t="inlineStr">
        <is>
          <t>Optimized,ST Patrick Day</t>
        </is>
      </c>
      <c r="G2169" s="48" t="n">
        <v>0</v>
      </c>
      <c r="H2169" s="48" t="n">
        <v>0</v>
      </c>
      <c r="I2169" s="48" t="n">
        <v>0</v>
      </c>
      <c r="J2169" s="48" t="n">
        <v>0</v>
      </c>
      <c r="K2169" s="49" t="n">
        <v>0</v>
      </c>
      <c r="L2169" s="49" t="n">
        <v>0</v>
      </c>
      <c r="M2169" s="49" t="n">
        <v>0</v>
      </c>
      <c r="N2169" s="49" t="n">
        <v>0</v>
      </c>
      <c r="O2169" s="49" t="n">
        <v>0</v>
      </c>
      <c r="P2169" s="49" t="n">
        <v>0</v>
      </c>
      <c r="Q2169" s="49" t="n">
        <v>0</v>
      </c>
      <c r="R2169" s="49" t="n">
        <v>0</v>
      </c>
      <c r="S2169" s="50" t="n">
        <v>0</v>
      </c>
      <c r="T2169" s="50" t="n">
        <v>0</v>
      </c>
      <c r="U2169" s="50" t="n">
        <v>0</v>
      </c>
      <c r="V2169" s="50" t="n">
        <v>0</v>
      </c>
      <c r="W2169" s="51" t="n">
        <v>0</v>
      </c>
      <c r="X2169" s="51" t="n">
        <v>0</v>
      </c>
      <c r="Y2169" s="51" t="n">
        <v>0</v>
      </c>
      <c r="Z2169" s="51" t="n">
        <v>0</v>
      </c>
      <c r="AA2169" s="52" t="n">
        <v>0</v>
      </c>
      <c r="AB2169" s="52" t="n">
        <v>0</v>
      </c>
      <c r="AC2169" s="52" t="n">
        <v>0</v>
      </c>
      <c r="AD2169" s="52" t="n">
        <v>0</v>
      </c>
      <c r="AE2169" s="52" t="n">
        <v>0</v>
      </c>
      <c r="AF2169" s="52" t="n">
        <v>0</v>
      </c>
      <c r="AG2169" s="52" t="n">
        <v>0</v>
      </c>
      <c r="AH2169" s="52" t="n">
        <v>0</v>
      </c>
      <c r="AI2169" s="52" t="n">
        <v>0</v>
      </c>
      <c r="AJ2169" s="52" t="n">
        <v>0</v>
      </c>
      <c r="AK2169" s="52" t="n">
        <v>0</v>
      </c>
      <c r="AL2169" s="52" t="n">
        <v>0</v>
      </c>
      <c r="AM2169" s="53" t="n">
        <v>0</v>
      </c>
      <c r="AN2169" s="53" t="n">
        <v>0</v>
      </c>
      <c r="AO2169" s="53" t="n">
        <v>0</v>
      </c>
      <c r="AP2169" s="53" t="n">
        <v>0</v>
      </c>
      <c r="AQ2169" s="52" t="n">
        <v>0</v>
      </c>
      <c r="AR2169" s="52" t="n">
        <v>0</v>
      </c>
      <c r="AS2169" s="52" t="n">
        <v>0</v>
      </c>
      <c r="AT2169" s="52" t="n">
        <v>0</v>
      </c>
      <c r="AU2169" s="53" t="n">
        <v>0</v>
      </c>
      <c r="AV2169" s="53" t="n">
        <v>0</v>
      </c>
      <c r="AW2169" s="53" t="n">
        <v>0</v>
      </c>
      <c r="AX2169" s="53" t="n">
        <v>0</v>
      </c>
      <c r="AY2169" s="52" t="n">
        <v>0</v>
      </c>
      <c r="AZ2169" s="52" t="n">
        <v>0</v>
      </c>
      <c r="BA2169" s="52" t="n">
        <v>0</v>
      </c>
      <c r="BB2169" s="52" t="n">
        <v>0</v>
      </c>
      <c r="BC2169" s="51" t="n">
        <v>0</v>
      </c>
      <c r="BD2169" s="51" t="n">
        <v>0</v>
      </c>
      <c r="BE2169" s="51" t="n">
        <v>0</v>
      </c>
      <c r="BF2169" s="51" t="n">
        <v>0</v>
      </c>
    </row>
    <row r="2170">
      <c r="A2170">
        <f>HYPERLINK("https://www.walmart.com/ip/299263465", "299263465")</f>
        <v/>
      </c>
      <c r="B2170" t="inlineStr">
        <is>
          <t>Tirrinia Sherpa Fleece Wearable Blanket Poncho for Adults, Aqua, 55'' x 80''</t>
        </is>
      </c>
      <c r="C2170" t="inlineStr">
        <is>
          <t>1TRBP110AQ-TBCB</t>
        </is>
      </c>
      <c r="D2170" t="inlineStr">
        <is>
          <t>Throws</t>
        </is>
      </c>
      <c r="E2170" t="inlineStr">
        <is>
          <t>Tirrinia</t>
        </is>
      </c>
      <c r="F2170" t="inlineStr">
        <is>
          <t>Optimized</t>
        </is>
      </c>
      <c r="G2170" s="48" t="n">
        <v>0</v>
      </c>
      <c r="H2170" s="48" t="n">
        <v>0</v>
      </c>
      <c r="I2170" s="48" t="n">
        <v>0</v>
      </c>
      <c r="J2170" s="48" t="n">
        <v>0</v>
      </c>
      <c r="K2170" s="49" t="n">
        <v>0</v>
      </c>
      <c r="L2170" s="49" t="n">
        <v>0</v>
      </c>
      <c r="M2170" s="49" t="n">
        <v>0</v>
      </c>
      <c r="N2170" s="49" t="n">
        <v>0</v>
      </c>
      <c r="O2170" s="49" t="n">
        <v>0</v>
      </c>
      <c r="P2170" s="49" t="n">
        <v>0</v>
      </c>
      <c r="Q2170" s="49" t="n">
        <v>0</v>
      </c>
      <c r="R2170" s="49" t="n">
        <v>0</v>
      </c>
      <c r="S2170" s="50" t="n">
        <v>0</v>
      </c>
      <c r="T2170" s="50" t="n">
        <v>0</v>
      </c>
      <c r="U2170" s="50" t="n">
        <v>0</v>
      </c>
      <c r="V2170" s="50" t="n">
        <v>0</v>
      </c>
      <c r="W2170" s="51" t="n">
        <v>0</v>
      </c>
      <c r="X2170" s="51" t="n">
        <v>0</v>
      </c>
      <c r="Y2170" s="51" t="n">
        <v>0</v>
      </c>
      <c r="Z2170" s="51" t="n">
        <v>0</v>
      </c>
      <c r="AA2170" s="52" t="n">
        <v>0</v>
      </c>
      <c r="AB2170" s="52" t="n">
        <v>0</v>
      </c>
      <c r="AC2170" s="52" t="n">
        <v>0</v>
      </c>
      <c r="AD2170" s="52" t="n">
        <v>0</v>
      </c>
      <c r="AE2170" s="52" t="n">
        <v>0</v>
      </c>
      <c r="AF2170" s="52" t="n">
        <v>0</v>
      </c>
      <c r="AG2170" s="52" t="n">
        <v>0</v>
      </c>
      <c r="AH2170" s="52" t="n">
        <v>0</v>
      </c>
      <c r="AI2170" s="52" t="n">
        <v>0</v>
      </c>
      <c r="AJ2170" s="52" t="n">
        <v>0</v>
      </c>
      <c r="AK2170" s="52" t="n">
        <v>0</v>
      </c>
      <c r="AL2170" s="52" t="n">
        <v>0</v>
      </c>
      <c r="AM2170" s="53" t="n">
        <v>0</v>
      </c>
      <c r="AN2170" s="53" t="n">
        <v>0</v>
      </c>
      <c r="AO2170" s="53" t="n">
        <v>0</v>
      </c>
      <c r="AP2170" s="53" t="n">
        <v>0</v>
      </c>
      <c r="AQ2170" s="52" t="n">
        <v>0</v>
      </c>
      <c r="AR2170" s="52" t="n">
        <v>0</v>
      </c>
      <c r="AS2170" s="52" t="n">
        <v>0</v>
      </c>
      <c r="AT2170" s="52" t="n">
        <v>0</v>
      </c>
      <c r="AU2170" s="53" t="n">
        <v>0</v>
      </c>
      <c r="AV2170" s="53" t="n">
        <v>0</v>
      </c>
      <c r="AW2170" s="53" t="n">
        <v>0</v>
      </c>
      <c r="AX2170" s="53" t="n">
        <v>0</v>
      </c>
      <c r="AY2170" s="52" t="n">
        <v>0</v>
      </c>
      <c r="AZ2170" s="52" t="n">
        <v>0</v>
      </c>
      <c r="BA2170" s="52" t="n">
        <v>0</v>
      </c>
      <c r="BB2170" s="52" t="n">
        <v>0</v>
      </c>
      <c r="BC2170" s="51" t="n">
        <v>0</v>
      </c>
      <c r="BD2170" s="51" t="n">
        <v>0</v>
      </c>
      <c r="BE2170" s="51" t="n">
        <v>0</v>
      </c>
      <c r="BF2170" s="51" t="n">
        <v>0</v>
      </c>
    </row>
    <row r="2171">
      <c r="A2171">
        <f>HYPERLINK("https://www.walmart.com/ip/299561966", "299561966")</f>
        <v/>
      </c>
      <c r="B2171" t="inlineStr">
        <is>
          <t>Tirrinia Insulated 2 Bottle Wine Carrier Tote Cooler Bag for Travel Picnic Padded Champagne Glass Carrying Case</t>
        </is>
      </c>
      <c r="C2171" t="inlineStr">
        <is>
          <t>1WMWB221CHEETAH</t>
        </is>
      </c>
      <c r="D2171" t="inlineStr">
        <is>
          <t>Wine Totes, Bags &amp; Backpacks</t>
        </is>
      </c>
      <c r="E2171" t="inlineStr">
        <is>
          <t>Flyingstar</t>
        </is>
      </c>
      <c r="F2171" t="inlineStr">
        <is>
          <t>Wine,Christmas,Valentine</t>
        </is>
      </c>
      <c r="G2171" s="48" t="n">
        <v>0</v>
      </c>
      <c r="H2171" s="48" t="n">
        <v>0</v>
      </c>
      <c r="I2171" s="48" t="n">
        <v>0</v>
      </c>
      <c r="J2171" s="48" t="n">
        <v>0</v>
      </c>
      <c r="K2171" s="49" t="n">
        <v>0</v>
      </c>
      <c r="L2171" s="49" t="n">
        <v>0</v>
      </c>
      <c r="M2171" s="49" t="n">
        <v>0</v>
      </c>
      <c r="N2171" s="49" t="n">
        <v>0</v>
      </c>
      <c r="O2171" s="49" t="n">
        <v>0</v>
      </c>
      <c r="P2171" s="49" t="n">
        <v>0</v>
      </c>
      <c r="Q2171" s="49" t="n">
        <v>0</v>
      </c>
      <c r="R2171" s="49" t="n">
        <v>0</v>
      </c>
      <c r="S2171" s="50" t="n">
        <v>0</v>
      </c>
      <c r="T2171" s="50" t="n">
        <v>0</v>
      </c>
      <c r="U2171" s="50" t="n">
        <v>0</v>
      </c>
      <c r="V2171" s="50" t="n">
        <v>0</v>
      </c>
      <c r="W2171" s="51" t="n">
        <v>0</v>
      </c>
      <c r="X2171" s="51" t="n">
        <v>0</v>
      </c>
      <c r="Y2171" s="51" t="n">
        <v>0</v>
      </c>
      <c r="Z2171" s="51" t="n">
        <v>0</v>
      </c>
      <c r="AA2171" s="52" t="n">
        <v>0</v>
      </c>
      <c r="AB2171" s="52" t="n">
        <v>0</v>
      </c>
      <c r="AC2171" s="52" t="n">
        <v>0</v>
      </c>
      <c r="AD2171" s="52" t="n">
        <v>0</v>
      </c>
      <c r="AE2171" s="52" t="n">
        <v>0</v>
      </c>
      <c r="AF2171" s="52" t="n">
        <v>0</v>
      </c>
      <c r="AG2171" s="52" t="n">
        <v>0</v>
      </c>
      <c r="AH2171" s="52" t="n">
        <v>0</v>
      </c>
      <c r="AI2171" s="52" t="n">
        <v>0</v>
      </c>
      <c r="AJ2171" s="52" t="n">
        <v>0</v>
      </c>
      <c r="AK2171" s="52" t="n">
        <v>0</v>
      </c>
      <c r="AL2171" s="52" t="n">
        <v>0</v>
      </c>
      <c r="AM2171" s="53" t="n">
        <v>0</v>
      </c>
      <c r="AN2171" s="53" t="n">
        <v>0</v>
      </c>
      <c r="AO2171" s="53" t="n">
        <v>0</v>
      </c>
      <c r="AP2171" s="53" t="n">
        <v>0</v>
      </c>
      <c r="AQ2171" s="52" t="n">
        <v>0</v>
      </c>
      <c r="AR2171" s="52" t="n">
        <v>0</v>
      </c>
      <c r="AS2171" s="52" t="n">
        <v>0</v>
      </c>
      <c r="AT2171" s="52" t="n">
        <v>0</v>
      </c>
      <c r="AU2171" s="53" t="n">
        <v>0</v>
      </c>
      <c r="AV2171" s="53" t="n">
        <v>0</v>
      </c>
      <c r="AW2171" s="53" t="n">
        <v>0</v>
      </c>
      <c r="AX2171" s="53" t="n">
        <v>0</v>
      </c>
      <c r="AY2171" s="52" t="n">
        <v>0</v>
      </c>
      <c r="AZ2171" s="52" t="n">
        <v>0</v>
      </c>
      <c r="BA2171" s="52" t="n">
        <v>0</v>
      </c>
      <c r="BB2171" s="52" t="n">
        <v>0</v>
      </c>
      <c r="BC2171" s="51" t="n">
        <v>0</v>
      </c>
      <c r="BD2171" s="51" t="n">
        <v>0</v>
      </c>
      <c r="BE2171" s="51" t="n">
        <v>0</v>
      </c>
      <c r="BF2171" s="51" t="n">
        <v>0</v>
      </c>
    </row>
    <row r="2172">
      <c r="A2172">
        <f>HYPERLINK("https://www.walmart.com/ip/299623790", "299623790")</f>
        <v/>
      </c>
      <c r="B2172" t="inlineStr">
        <is>
          <t>Catalonia Fleece Throw Blanket for Couch, Lightweight All Seasons Soft Cozy Moroccan Blanket for Home Living Room Decorative, 50'' x 60'', Wine</t>
        </is>
      </c>
      <c r="C2172" t="inlineStr">
        <is>
          <t>1CTBF580KATWN</t>
        </is>
      </c>
      <c r="D2172" t="inlineStr">
        <is>
          <t>Throws</t>
        </is>
      </c>
      <c r="E2172" t="inlineStr">
        <is>
          <t>Catalonia</t>
        </is>
      </c>
      <c r="F2172" t="inlineStr">
        <is>
          <t>WFS,WFS Item</t>
        </is>
      </c>
      <c r="G2172" s="48" t="n">
        <v>0</v>
      </c>
      <c r="H2172" s="48" t="n">
        <v>0</v>
      </c>
      <c r="I2172" s="48" t="n">
        <v>0</v>
      </c>
      <c r="J2172" s="48" t="n">
        <v>0</v>
      </c>
      <c r="K2172" s="49" t="n">
        <v>0</v>
      </c>
      <c r="L2172" s="49" t="n">
        <v>0</v>
      </c>
      <c r="M2172" s="49" t="n">
        <v>0</v>
      </c>
      <c r="N2172" s="49" t="n">
        <v>0</v>
      </c>
      <c r="O2172" s="49" t="n">
        <v>0</v>
      </c>
      <c r="P2172" s="49" t="n">
        <v>0</v>
      </c>
      <c r="Q2172" s="49" t="n">
        <v>0</v>
      </c>
      <c r="R2172" s="49" t="n">
        <v>0</v>
      </c>
      <c r="S2172" s="50" t="n">
        <v>0</v>
      </c>
      <c r="T2172" s="50" t="n">
        <v>0</v>
      </c>
      <c r="U2172" s="50" t="n">
        <v>0</v>
      </c>
      <c r="V2172" s="50" t="n">
        <v>0</v>
      </c>
      <c r="W2172" s="51" t="n">
        <v>0</v>
      </c>
      <c r="X2172" s="51" t="n">
        <v>0</v>
      </c>
      <c r="Y2172" s="51" t="n">
        <v>0</v>
      </c>
      <c r="Z2172" s="51" t="n">
        <v>0</v>
      </c>
      <c r="AA2172" s="52" t="n">
        <v>0</v>
      </c>
      <c r="AB2172" s="52" t="n">
        <v>0</v>
      </c>
      <c r="AC2172" s="52" t="n">
        <v>0</v>
      </c>
      <c r="AD2172" s="52" t="n">
        <v>0</v>
      </c>
      <c r="AE2172" s="52" t="n">
        <v>0</v>
      </c>
      <c r="AF2172" s="52" t="n">
        <v>0</v>
      </c>
      <c r="AG2172" s="52" t="n">
        <v>0</v>
      </c>
      <c r="AH2172" s="52" t="n">
        <v>0</v>
      </c>
      <c r="AI2172" s="52" t="n">
        <v>0</v>
      </c>
      <c r="AJ2172" s="52" t="n">
        <v>0</v>
      </c>
      <c r="AK2172" s="52" t="n">
        <v>0</v>
      </c>
      <c r="AL2172" s="52" t="n">
        <v>0</v>
      </c>
      <c r="AM2172" s="53" t="n">
        <v>0</v>
      </c>
      <c r="AN2172" s="53" t="n">
        <v>0</v>
      </c>
      <c r="AO2172" s="53" t="n">
        <v>0</v>
      </c>
      <c r="AP2172" s="53" t="n">
        <v>0</v>
      </c>
      <c r="AQ2172" s="52" t="n">
        <v>0</v>
      </c>
      <c r="AR2172" s="52" t="n">
        <v>0</v>
      </c>
      <c r="AS2172" s="52" t="n">
        <v>0</v>
      </c>
      <c r="AT2172" s="52" t="n">
        <v>0</v>
      </c>
      <c r="AU2172" s="53" t="n">
        <v>0</v>
      </c>
      <c r="AV2172" s="53" t="n">
        <v>0</v>
      </c>
      <c r="AW2172" s="53" t="n">
        <v>0</v>
      </c>
      <c r="AX2172" s="53" t="n">
        <v>0</v>
      </c>
      <c r="AY2172" s="52" t="n">
        <v>0</v>
      </c>
      <c r="AZ2172" s="52" t="n">
        <v>0</v>
      </c>
      <c r="BA2172" s="52" t="n">
        <v>0</v>
      </c>
      <c r="BB2172" s="52" t="n">
        <v>0</v>
      </c>
      <c r="BC2172" s="51" t="n">
        <v>0</v>
      </c>
      <c r="BD2172" s="51" t="n">
        <v>0</v>
      </c>
      <c r="BE2172" s="51" t="n">
        <v>0</v>
      </c>
      <c r="BF2172" s="51" t="n">
        <v>0</v>
      </c>
    </row>
    <row r="2173">
      <c r="A2173">
        <f>HYPERLINK("https://www.walmart.com/ip/299857615", "299857615")</f>
        <v/>
      </c>
      <c r="B2173" t="inlineStr">
        <is>
          <t>Kritter Planet Waterproof Dog Blanket for Couch, Washable Pet Couch Cover, Non-slip Bed Sofa Furniture Protector Mat, Gray, 30''x50''.</t>
        </is>
      </c>
      <c r="C2173" t="inlineStr">
        <is>
          <t>1KPBW356GY</t>
        </is>
      </c>
      <c r="D2173" t="inlineStr">
        <is>
          <t>Pet Blankets</t>
        </is>
      </c>
      <c r="E2173" t="inlineStr">
        <is>
          <t>Kritter Planet</t>
        </is>
      </c>
      <c r="F2173" t="inlineStr">
        <is>
          <t>Q2-Target,Optimized</t>
        </is>
      </c>
      <c r="G2173" s="48" t="n">
        <v>0</v>
      </c>
      <c r="H2173" s="48" t="n">
        <v>14.99</v>
      </c>
      <c r="I2173" s="48" t="n">
        <v>0</v>
      </c>
      <c r="J2173" s="48" t="n">
        <v>0</v>
      </c>
      <c r="K2173" s="49" t="n">
        <v>0</v>
      </c>
      <c r="L2173" s="49" t="n">
        <v>1</v>
      </c>
      <c r="M2173" s="49" t="n">
        <v>0</v>
      </c>
      <c r="N2173" s="49" t="n">
        <v>0</v>
      </c>
      <c r="O2173" s="49" t="n">
        <v>0</v>
      </c>
      <c r="P2173" s="49" t="n">
        <v>0</v>
      </c>
      <c r="Q2173" s="49" t="n">
        <v>0</v>
      </c>
      <c r="R2173" s="49" t="n">
        <v>0</v>
      </c>
      <c r="S2173" s="50" t="n">
        <v>0</v>
      </c>
      <c r="T2173" s="50" t="n">
        <v>0</v>
      </c>
      <c r="U2173" s="50" t="n">
        <v>0</v>
      </c>
      <c r="V2173" s="50" t="n">
        <v>0</v>
      </c>
      <c r="W2173" s="51" t="n">
        <v>0</v>
      </c>
      <c r="X2173" s="51" t="n">
        <v>0</v>
      </c>
      <c r="Y2173" s="51" t="n">
        <v>0</v>
      </c>
      <c r="Z2173" s="51" t="n">
        <v>0</v>
      </c>
      <c r="AA2173" s="52" t="n">
        <v>0</v>
      </c>
      <c r="AB2173" s="52" t="n">
        <v>0</v>
      </c>
      <c r="AC2173" s="52" t="n">
        <v>0</v>
      </c>
      <c r="AD2173" s="52" t="n">
        <v>0</v>
      </c>
      <c r="AE2173" s="52" t="n">
        <v>0</v>
      </c>
      <c r="AF2173" s="52" t="n">
        <v>0</v>
      </c>
      <c r="AG2173" s="52" t="n">
        <v>0</v>
      </c>
      <c r="AH2173" s="52" t="n">
        <v>0</v>
      </c>
      <c r="AI2173" s="52" t="n">
        <v>0</v>
      </c>
      <c r="AJ2173" s="52" t="n">
        <v>0</v>
      </c>
      <c r="AK2173" s="52" t="n">
        <v>0</v>
      </c>
      <c r="AL2173" s="52" t="n">
        <v>0</v>
      </c>
      <c r="AM2173" s="53" t="n">
        <v>0</v>
      </c>
      <c r="AN2173" s="53" t="n">
        <v>0</v>
      </c>
      <c r="AO2173" s="53" t="n">
        <v>0</v>
      </c>
      <c r="AP2173" s="53" t="n">
        <v>0</v>
      </c>
      <c r="AQ2173" s="52" t="n">
        <v>0</v>
      </c>
      <c r="AR2173" s="52" t="n">
        <v>0</v>
      </c>
      <c r="AS2173" s="52" t="n">
        <v>0</v>
      </c>
      <c r="AT2173" s="52" t="n">
        <v>0</v>
      </c>
      <c r="AU2173" s="53" t="n">
        <v>0</v>
      </c>
      <c r="AV2173" s="53" t="n">
        <v>0</v>
      </c>
      <c r="AW2173" s="53" t="n">
        <v>0</v>
      </c>
      <c r="AX2173" s="53" t="n">
        <v>0</v>
      </c>
      <c r="AY2173" s="52" t="n">
        <v>0</v>
      </c>
      <c r="AZ2173" s="52" t="n">
        <v>14.99</v>
      </c>
      <c r="BA2173" s="52" t="n">
        <v>0</v>
      </c>
      <c r="BB2173" s="52" t="n">
        <v>0</v>
      </c>
      <c r="BC2173" s="51" t="n">
        <v>0</v>
      </c>
      <c r="BD2173" s="51" t="n">
        <v>0</v>
      </c>
      <c r="BE2173" s="51" t="n">
        <v>0</v>
      </c>
      <c r="BF2173" s="51" t="n">
        <v>0</v>
      </c>
    </row>
    <row r="2174">
      <c r="A2174">
        <f>HYPERLINK("https://www.walmart.com/ip/300408320", "300408320")</f>
        <v/>
      </c>
      <c r="B2174" t="inlineStr">
        <is>
          <t>Sherpa Wearable Blanket with Sleeves Arms, Super Soft Warm Comfy Large Fleece Plush Sleeved TV Throws Wrap Robe Blanket for Adult Women and Men, Cheetah</t>
        </is>
      </c>
      <c r="C2174" t="inlineStr">
        <is>
          <t>1CTSN110CHEETAH</t>
        </is>
      </c>
      <c r="D2174" t="inlineStr">
        <is>
          <t>Throws</t>
        </is>
      </c>
      <c r="E2174" t="inlineStr">
        <is>
          <t>Catalonia</t>
        </is>
      </c>
      <c r="F2174" t="inlineStr">
        <is>
          <t>Q2-Target,WFS,Coupon_Discount,WFS Item</t>
        </is>
      </c>
      <c r="G2174" s="48" t="n">
        <v>0</v>
      </c>
      <c r="H2174" s="48" t="n">
        <v>0</v>
      </c>
      <c r="I2174" s="48" t="n">
        <v>0</v>
      </c>
      <c r="J2174" s="48" t="n">
        <v>0</v>
      </c>
      <c r="K2174" s="49" t="n">
        <v>0</v>
      </c>
      <c r="L2174" s="49" t="n">
        <v>0</v>
      </c>
      <c r="M2174" s="49" t="n">
        <v>0</v>
      </c>
      <c r="N2174" s="49" t="n">
        <v>0</v>
      </c>
      <c r="O2174" s="49" t="n">
        <v>0</v>
      </c>
      <c r="P2174" s="49" t="n">
        <v>0</v>
      </c>
      <c r="Q2174" s="49" t="n">
        <v>0</v>
      </c>
      <c r="R2174" s="49" t="n">
        <v>0</v>
      </c>
      <c r="S2174" s="50" t="n">
        <v>0</v>
      </c>
      <c r="T2174" s="50" t="n">
        <v>0</v>
      </c>
      <c r="U2174" s="50" t="n">
        <v>0</v>
      </c>
      <c r="V2174" s="50" t="n">
        <v>0</v>
      </c>
      <c r="W2174" s="51" t="n">
        <v>0</v>
      </c>
      <c r="X2174" s="51" t="n">
        <v>0</v>
      </c>
      <c r="Y2174" s="51" t="n">
        <v>0</v>
      </c>
      <c r="Z2174" s="51" t="n">
        <v>0</v>
      </c>
      <c r="AA2174" s="52" t="n">
        <v>0</v>
      </c>
      <c r="AB2174" s="52" t="n">
        <v>0</v>
      </c>
      <c r="AC2174" s="52" t="n">
        <v>0</v>
      </c>
      <c r="AD2174" s="52" t="n">
        <v>0</v>
      </c>
      <c r="AE2174" s="52" t="n">
        <v>0</v>
      </c>
      <c r="AF2174" s="52" t="n">
        <v>0</v>
      </c>
      <c r="AG2174" s="52" t="n">
        <v>0</v>
      </c>
      <c r="AH2174" s="52" t="n">
        <v>0</v>
      </c>
      <c r="AI2174" s="52" t="n">
        <v>0</v>
      </c>
      <c r="AJ2174" s="52" t="n">
        <v>0</v>
      </c>
      <c r="AK2174" s="52" t="n">
        <v>0</v>
      </c>
      <c r="AL2174" s="52" t="n">
        <v>0</v>
      </c>
      <c r="AM2174" s="53" t="n">
        <v>0</v>
      </c>
      <c r="AN2174" s="53" t="n">
        <v>0</v>
      </c>
      <c r="AO2174" s="53" t="n">
        <v>0</v>
      </c>
      <c r="AP2174" s="53" t="n">
        <v>0</v>
      </c>
      <c r="AQ2174" s="52" t="n">
        <v>0</v>
      </c>
      <c r="AR2174" s="52" t="n">
        <v>0</v>
      </c>
      <c r="AS2174" s="52" t="n">
        <v>0</v>
      </c>
      <c r="AT2174" s="52" t="n">
        <v>0</v>
      </c>
      <c r="AU2174" s="53" t="n">
        <v>0</v>
      </c>
      <c r="AV2174" s="53" t="n">
        <v>0</v>
      </c>
      <c r="AW2174" s="53" t="n">
        <v>0</v>
      </c>
      <c r="AX2174" s="53" t="n">
        <v>0</v>
      </c>
      <c r="AY2174" s="52" t="n">
        <v>0</v>
      </c>
      <c r="AZ2174" s="52" t="n">
        <v>0</v>
      </c>
      <c r="BA2174" s="52" t="n">
        <v>0</v>
      </c>
      <c r="BB2174" s="52" t="n">
        <v>0</v>
      </c>
      <c r="BC2174" s="51" t="n">
        <v>0</v>
      </c>
      <c r="BD2174" s="51" t="n">
        <v>0</v>
      </c>
      <c r="BE2174" s="51" t="n">
        <v>0</v>
      </c>
      <c r="BF2174" s="51" t="n">
        <v>0</v>
      </c>
    </row>
    <row r="2175">
      <c r="A2175">
        <f>HYPERLINK("https://www.walmart.com/ip/300696654", "300696654")</f>
        <v/>
      </c>
      <c r="B2175" t="inlineStr">
        <is>
          <t>Tirrinia Unisex Outdoor Sun Protection Fishing Cap with Neck Flap Wide Brim Mesh Hat for Travel Camping Hiking Hunting</t>
        </is>
      </c>
      <c r="C2175" t="inlineStr">
        <is>
          <t>1WMSH9150DIGIGY</t>
        </is>
      </c>
      <c r="D2175" t="inlineStr">
        <is>
          <t>Hats</t>
        </is>
      </c>
      <c r="E2175" t="inlineStr">
        <is>
          <t>Tirrinia</t>
        </is>
      </c>
      <c r="F2175" t="inlineStr">
        <is>
          <t>Optimized</t>
        </is>
      </c>
      <c r="G2175" s="48" t="n">
        <v>0</v>
      </c>
      <c r="H2175" s="48" t="n">
        <v>0</v>
      </c>
      <c r="I2175" s="48" t="n">
        <v>0</v>
      </c>
      <c r="J2175" s="48" t="n">
        <v>0</v>
      </c>
      <c r="K2175" s="49" t="n">
        <v>0</v>
      </c>
      <c r="L2175" s="49" t="n">
        <v>0</v>
      </c>
      <c r="M2175" s="49" t="n">
        <v>0</v>
      </c>
      <c r="N2175" s="49" t="n">
        <v>0</v>
      </c>
      <c r="O2175" s="49" t="n">
        <v>0</v>
      </c>
      <c r="P2175" s="49" t="n">
        <v>0</v>
      </c>
      <c r="Q2175" s="49" t="n">
        <v>0</v>
      </c>
      <c r="R2175" s="49" t="n">
        <v>0</v>
      </c>
      <c r="S2175" s="50" t="n">
        <v>0</v>
      </c>
      <c r="T2175" s="50" t="n">
        <v>0</v>
      </c>
      <c r="U2175" s="50" t="n">
        <v>0</v>
      </c>
      <c r="V2175" s="50" t="n">
        <v>0</v>
      </c>
      <c r="W2175" s="51" t="n">
        <v>0</v>
      </c>
      <c r="X2175" s="51" t="n">
        <v>0</v>
      </c>
      <c r="Y2175" s="51" t="n">
        <v>0</v>
      </c>
      <c r="Z2175" s="51" t="n">
        <v>0</v>
      </c>
      <c r="AA2175" s="52" t="n">
        <v>0</v>
      </c>
      <c r="AB2175" s="52" t="n">
        <v>0</v>
      </c>
      <c r="AC2175" s="52" t="n">
        <v>0</v>
      </c>
      <c r="AD2175" s="52" t="n">
        <v>0</v>
      </c>
      <c r="AE2175" s="52" t="n">
        <v>0</v>
      </c>
      <c r="AF2175" s="52" t="n">
        <v>0</v>
      </c>
      <c r="AG2175" s="52" t="n">
        <v>0</v>
      </c>
      <c r="AH2175" s="52" t="n">
        <v>0</v>
      </c>
      <c r="AI2175" s="52" t="n">
        <v>0</v>
      </c>
      <c r="AJ2175" s="52" t="n">
        <v>0</v>
      </c>
      <c r="AK2175" s="52" t="n">
        <v>0</v>
      </c>
      <c r="AL2175" s="52" t="n">
        <v>0</v>
      </c>
      <c r="AM2175" s="53" t="n">
        <v>0</v>
      </c>
      <c r="AN2175" s="53" t="n">
        <v>0</v>
      </c>
      <c r="AO2175" s="53" t="n">
        <v>0</v>
      </c>
      <c r="AP2175" s="53" t="n">
        <v>0</v>
      </c>
      <c r="AQ2175" s="52" t="n">
        <v>0</v>
      </c>
      <c r="AR2175" s="52" t="n">
        <v>0</v>
      </c>
      <c r="AS2175" s="52" t="n">
        <v>0</v>
      </c>
      <c r="AT2175" s="52" t="n">
        <v>0</v>
      </c>
      <c r="AU2175" s="53" t="n">
        <v>0</v>
      </c>
      <c r="AV2175" s="53" t="n">
        <v>0</v>
      </c>
      <c r="AW2175" s="53" t="n">
        <v>0</v>
      </c>
      <c r="AX2175" s="53" t="n">
        <v>0</v>
      </c>
      <c r="AY2175" s="52" t="n">
        <v>0</v>
      </c>
      <c r="AZ2175" s="52" t="n">
        <v>0</v>
      </c>
      <c r="BA2175" s="52" t="n">
        <v>0</v>
      </c>
      <c r="BB2175" s="52" t="n">
        <v>0</v>
      </c>
      <c r="BC2175" s="51" t="n">
        <v>0</v>
      </c>
      <c r="BD2175" s="51" t="n">
        <v>0</v>
      </c>
      <c r="BE2175" s="51" t="n">
        <v>0</v>
      </c>
      <c r="BF2175" s="51" t="n">
        <v>0</v>
      </c>
    </row>
    <row r="2176">
      <c r="A2176">
        <f>HYPERLINK("https://www.walmart.com/ip/311864053", "311864053")</f>
        <v/>
      </c>
      <c r="B2176" t="inlineStr">
        <is>
          <t>Catalonia Wearable Blanket with Sleeves and Pocket, Cozy Soft Fleece Micro Plush Wrap Adult Snuggie Blanket Robe for Women Men, Makes a Great Gift for Holidays, Navy</t>
        </is>
      </c>
      <c r="C2176" t="inlineStr">
        <is>
          <t>1CTSN100NY</t>
        </is>
      </c>
      <c r="D2176" t="inlineStr">
        <is>
          <t>Throws</t>
        </is>
      </c>
      <c r="E2176" t="inlineStr">
        <is>
          <t>Catalonia</t>
        </is>
      </c>
      <c r="F2176" t="inlineStr">
        <is>
          <t>Q2-Target,WFS,Coupon_Discount,WFS Item</t>
        </is>
      </c>
      <c r="G2176" s="48" t="n">
        <v>0</v>
      </c>
      <c r="H2176" s="48" t="n">
        <v>0</v>
      </c>
      <c r="I2176" s="48" t="n">
        <v>0</v>
      </c>
      <c r="J2176" s="48" t="n">
        <v>0</v>
      </c>
      <c r="K2176" s="49" t="n">
        <v>0</v>
      </c>
      <c r="L2176" s="49" t="n">
        <v>0</v>
      </c>
      <c r="M2176" s="49" t="n">
        <v>0</v>
      </c>
      <c r="N2176" s="49" t="n">
        <v>0</v>
      </c>
      <c r="O2176" s="49" t="n">
        <v>0</v>
      </c>
      <c r="P2176" s="49" t="n">
        <v>0</v>
      </c>
      <c r="Q2176" s="49" t="n">
        <v>0</v>
      </c>
      <c r="R2176" s="49" t="n">
        <v>0</v>
      </c>
      <c r="S2176" s="50" t="n">
        <v>0</v>
      </c>
      <c r="T2176" s="50" t="n">
        <v>0</v>
      </c>
      <c r="U2176" s="50" t="n">
        <v>0</v>
      </c>
      <c r="V2176" s="50" t="n">
        <v>0</v>
      </c>
      <c r="W2176" s="51" t="n">
        <v>0</v>
      </c>
      <c r="X2176" s="51" t="n">
        <v>0</v>
      </c>
      <c r="Y2176" s="51" t="n">
        <v>0</v>
      </c>
      <c r="Z2176" s="51" t="n">
        <v>0</v>
      </c>
      <c r="AA2176" s="52" t="n">
        <v>0</v>
      </c>
      <c r="AB2176" s="52" t="n">
        <v>0</v>
      </c>
      <c r="AC2176" s="52" t="n">
        <v>0</v>
      </c>
      <c r="AD2176" s="52" t="n">
        <v>0</v>
      </c>
      <c r="AE2176" s="52" t="n">
        <v>0</v>
      </c>
      <c r="AF2176" s="52" t="n">
        <v>0</v>
      </c>
      <c r="AG2176" s="52" t="n">
        <v>0</v>
      </c>
      <c r="AH2176" s="52" t="n">
        <v>0</v>
      </c>
      <c r="AI2176" s="52" t="n">
        <v>0</v>
      </c>
      <c r="AJ2176" s="52" t="n">
        <v>0</v>
      </c>
      <c r="AK2176" s="52" t="n">
        <v>0</v>
      </c>
      <c r="AL2176" s="52" t="n">
        <v>0</v>
      </c>
      <c r="AM2176" s="53" t="n">
        <v>0</v>
      </c>
      <c r="AN2176" s="53" t="n">
        <v>0</v>
      </c>
      <c r="AO2176" s="53" t="n">
        <v>0</v>
      </c>
      <c r="AP2176" s="53" t="n">
        <v>0</v>
      </c>
      <c r="AQ2176" s="52" t="n">
        <v>0</v>
      </c>
      <c r="AR2176" s="52" t="n">
        <v>0</v>
      </c>
      <c r="AS2176" s="52" t="n">
        <v>0</v>
      </c>
      <c r="AT2176" s="52" t="n">
        <v>0</v>
      </c>
      <c r="AU2176" s="53" t="n">
        <v>0</v>
      </c>
      <c r="AV2176" s="53" t="n">
        <v>0</v>
      </c>
      <c r="AW2176" s="53" t="n">
        <v>0</v>
      </c>
      <c r="AX2176" s="53" t="n">
        <v>0</v>
      </c>
      <c r="AY2176" s="52" t="n">
        <v>0</v>
      </c>
      <c r="AZ2176" s="52" t="n">
        <v>0</v>
      </c>
      <c r="BA2176" s="52" t="n">
        <v>0</v>
      </c>
      <c r="BB2176" s="52" t="n">
        <v>0</v>
      </c>
      <c r="BC2176" s="51" t="n">
        <v>0</v>
      </c>
      <c r="BD2176" s="51" t="n">
        <v>0</v>
      </c>
      <c r="BE2176" s="51" t="n">
        <v>0</v>
      </c>
      <c r="BF2176" s="51" t="n">
        <v>0</v>
      </c>
    </row>
    <row r="2177">
      <c r="A2177">
        <f>HYPERLINK("https://www.walmart.com/ip/3120306417", "3120306417")</f>
        <v/>
      </c>
      <c r="B2177" t="inlineStr">
        <is>
          <t>Tirrinia Hood Wearable Fleece Blanket with Sleeves for Adult Women Men, Super Soft Comfy Plush Functional TV Blanket Throw Cuddly Wrap Cover for Bed Sofa and Lounge Chair Couch, Gray</t>
        </is>
      </c>
      <c r="C2177" t="inlineStr">
        <is>
          <t>1TRSN400GY</t>
        </is>
      </c>
      <c r="D2177" t="inlineStr">
        <is>
          <t>Throws</t>
        </is>
      </c>
      <c r="E2177" t="inlineStr">
        <is>
          <t>Tirrinia</t>
        </is>
      </c>
      <c r="F2177" t="inlineStr">
        <is>
          <t>Q2-Target,Coupon_Discount,Fleece Blankets</t>
        </is>
      </c>
      <c r="G2177" s="48" t="n">
        <v>0</v>
      </c>
      <c r="H2177" s="48" t="n">
        <v>0</v>
      </c>
      <c r="I2177" s="48" t="n">
        <v>0</v>
      </c>
      <c r="J2177" s="48" t="n">
        <v>0</v>
      </c>
      <c r="K2177" s="49" t="n">
        <v>0</v>
      </c>
      <c r="L2177" s="49" t="n">
        <v>0</v>
      </c>
      <c r="M2177" s="49" t="n">
        <v>0</v>
      </c>
      <c r="N2177" s="49" t="n">
        <v>0</v>
      </c>
      <c r="O2177" s="49" t="n">
        <v>0</v>
      </c>
      <c r="P2177" s="49" t="n">
        <v>0</v>
      </c>
      <c r="Q2177" s="49" t="n">
        <v>0</v>
      </c>
      <c r="R2177" s="49" t="n">
        <v>0</v>
      </c>
      <c r="S2177" s="50" t="n">
        <v>0</v>
      </c>
      <c r="T2177" s="50" t="n">
        <v>0</v>
      </c>
      <c r="U2177" s="50" t="n">
        <v>0</v>
      </c>
      <c r="V2177" s="50" t="n">
        <v>0</v>
      </c>
      <c r="W2177" s="51" t="n">
        <v>0</v>
      </c>
      <c r="X2177" s="51" t="n">
        <v>0</v>
      </c>
      <c r="Y2177" s="51" t="n">
        <v>0</v>
      </c>
      <c r="Z2177" s="51" t="n">
        <v>0</v>
      </c>
      <c r="AA2177" s="52" t="n">
        <v>0</v>
      </c>
      <c r="AB2177" s="52" t="n">
        <v>0</v>
      </c>
      <c r="AC2177" s="52" t="n">
        <v>0</v>
      </c>
      <c r="AD2177" s="52" t="n">
        <v>0</v>
      </c>
      <c r="AE2177" s="52" t="n">
        <v>0</v>
      </c>
      <c r="AF2177" s="52" t="n">
        <v>0</v>
      </c>
      <c r="AG2177" s="52" t="n">
        <v>0</v>
      </c>
      <c r="AH2177" s="52" t="n">
        <v>0</v>
      </c>
      <c r="AI2177" s="52" t="n">
        <v>0</v>
      </c>
      <c r="AJ2177" s="52" t="n">
        <v>0</v>
      </c>
      <c r="AK2177" s="52" t="n">
        <v>0</v>
      </c>
      <c r="AL2177" s="52" t="n">
        <v>0</v>
      </c>
      <c r="AM2177" s="53" t="n">
        <v>0</v>
      </c>
      <c r="AN2177" s="53" t="n">
        <v>0</v>
      </c>
      <c r="AO2177" s="53" t="n">
        <v>0</v>
      </c>
      <c r="AP2177" s="53" t="n">
        <v>0</v>
      </c>
      <c r="AQ2177" s="52" t="n">
        <v>0</v>
      </c>
      <c r="AR2177" s="52" t="n">
        <v>0</v>
      </c>
      <c r="AS2177" s="52" t="n">
        <v>0</v>
      </c>
      <c r="AT2177" s="52" t="n">
        <v>0</v>
      </c>
      <c r="AU2177" s="53" t="n">
        <v>0</v>
      </c>
      <c r="AV2177" s="53" t="n">
        <v>0</v>
      </c>
      <c r="AW2177" s="53" t="n">
        <v>0</v>
      </c>
      <c r="AX2177" s="53" t="n">
        <v>0</v>
      </c>
      <c r="AY2177" s="52" t="n">
        <v>0</v>
      </c>
      <c r="AZ2177" s="52" t="n">
        <v>0</v>
      </c>
      <c r="BA2177" s="52" t="n">
        <v>0</v>
      </c>
      <c r="BB2177" s="52" t="n">
        <v>0</v>
      </c>
      <c r="BC2177" s="51" t="n">
        <v>0</v>
      </c>
      <c r="BD2177" s="51" t="n">
        <v>0</v>
      </c>
      <c r="BE2177" s="51" t="n">
        <v>0</v>
      </c>
      <c r="BF2177" s="51" t="n">
        <v>0</v>
      </c>
    </row>
    <row r="2178">
      <c r="A2178">
        <f>HYPERLINK("https://www.walmart.com/ip/312283022", "312283022")</f>
        <v/>
      </c>
      <c r="B2178" t="inlineStr">
        <is>
          <t>Mermaid Tail Blanket for Teen Girls with Anti-slip Neck Strap Wave Pattern | Soft Sleeping Bag for All Seasons</t>
        </is>
      </c>
      <c r="C2178" t="inlineStr">
        <is>
          <t>1CTMM100PP-TPB</t>
        </is>
      </c>
      <c r="D2178" t="inlineStr">
        <is>
          <t>Throws</t>
        </is>
      </c>
      <c r="E2178" t="inlineStr">
        <is>
          <t>Catalonia</t>
        </is>
      </c>
      <c r="F2178" t="inlineStr">
        <is>
          <t>Batch 1 - TR</t>
        </is>
      </c>
      <c r="G2178" s="48" t="n">
        <v>0</v>
      </c>
      <c r="H2178" s="48" t="n">
        <v>0</v>
      </c>
      <c r="I2178" s="48" t="n">
        <v>0</v>
      </c>
      <c r="J2178" s="48" t="n">
        <v>0</v>
      </c>
      <c r="K2178" s="49" t="n">
        <v>0</v>
      </c>
      <c r="L2178" s="49" t="n">
        <v>0</v>
      </c>
      <c r="M2178" s="49" t="n">
        <v>0</v>
      </c>
      <c r="N2178" s="49" t="n">
        <v>0</v>
      </c>
      <c r="O2178" s="49" t="n">
        <v>0</v>
      </c>
      <c r="P2178" s="49" t="n">
        <v>0</v>
      </c>
      <c r="Q2178" s="49" t="n">
        <v>0</v>
      </c>
      <c r="R2178" s="49" t="n">
        <v>0</v>
      </c>
      <c r="S2178" s="50" t="n">
        <v>0</v>
      </c>
      <c r="T2178" s="50" t="n">
        <v>0</v>
      </c>
      <c r="U2178" s="50" t="n">
        <v>0</v>
      </c>
      <c r="V2178" s="50" t="n">
        <v>0</v>
      </c>
      <c r="W2178" s="51" t="n">
        <v>0</v>
      </c>
      <c r="X2178" s="51" t="n">
        <v>0</v>
      </c>
      <c r="Y2178" s="51" t="n">
        <v>0</v>
      </c>
      <c r="Z2178" s="51" t="n">
        <v>0</v>
      </c>
      <c r="AA2178" s="52" t="n">
        <v>0</v>
      </c>
      <c r="AB2178" s="52" t="n">
        <v>0</v>
      </c>
      <c r="AC2178" s="52" t="n">
        <v>0</v>
      </c>
      <c r="AD2178" s="52" t="n">
        <v>0</v>
      </c>
      <c r="AE2178" s="52" t="n">
        <v>0</v>
      </c>
      <c r="AF2178" s="52" t="n">
        <v>0</v>
      </c>
      <c r="AG2178" s="52" t="n">
        <v>0</v>
      </c>
      <c r="AH2178" s="52" t="n">
        <v>0</v>
      </c>
      <c r="AI2178" s="52" t="n">
        <v>0</v>
      </c>
      <c r="AJ2178" s="52" t="n">
        <v>0</v>
      </c>
      <c r="AK2178" s="52" t="n">
        <v>0</v>
      </c>
      <c r="AL2178" s="52" t="n">
        <v>0</v>
      </c>
      <c r="AM2178" s="53" t="n">
        <v>0</v>
      </c>
      <c r="AN2178" s="53" t="n">
        <v>0</v>
      </c>
      <c r="AO2178" s="53" t="n">
        <v>0</v>
      </c>
      <c r="AP2178" s="53" t="n">
        <v>0</v>
      </c>
      <c r="AQ2178" s="52" t="n">
        <v>0</v>
      </c>
      <c r="AR2178" s="52" t="n">
        <v>0</v>
      </c>
      <c r="AS2178" s="52" t="n">
        <v>0</v>
      </c>
      <c r="AT2178" s="52" t="n">
        <v>0</v>
      </c>
      <c r="AU2178" s="53" t="n">
        <v>0</v>
      </c>
      <c r="AV2178" s="53" t="n">
        <v>0</v>
      </c>
      <c r="AW2178" s="53" t="n">
        <v>0</v>
      </c>
      <c r="AX2178" s="53" t="n">
        <v>0</v>
      </c>
      <c r="AY2178" s="52" t="n">
        <v>0</v>
      </c>
      <c r="AZ2178" s="52" t="n">
        <v>0</v>
      </c>
      <c r="BA2178" s="52" t="n">
        <v>0</v>
      </c>
      <c r="BB2178" s="52" t="n">
        <v>0</v>
      </c>
      <c r="BC2178" s="51" t="n">
        <v>0</v>
      </c>
      <c r="BD2178" s="51" t="n">
        <v>0</v>
      </c>
      <c r="BE2178" s="51" t="n">
        <v>0</v>
      </c>
      <c r="BF2178" s="51" t="n">
        <v>0</v>
      </c>
    </row>
    <row r="2179">
      <c r="A2179">
        <f>HYPERLINK("https://www.walmart.com/ip/312640915", "312640915")</f>
        <v/>
      </c>
      <c r="B2179" t="inlineStr">
        <is>
          <t>Catalonia Sherpa Throw Blanket, Reversible Cozy Waffle Pattern Knitted Blanket Throw for Couch Bed 60""x50"", Light Grey</t>
        </is>
      </c>
      <c r="C2179" t="inlineStr">
        <is>
          <t>1CTBN110LG</t>
        </is>
      </c>
      <c r="D2179" t="inlineStr">
        <is>
          <t>Throws</t>
        </is>
      </c>
      <c r="E2179" t="inlineStr">
        <is>
          <t>Catalonia</t>
        </is>
      </c>
      <c r="F2179" t="inlineStr">
        <is>
          <t>Q2-Target,WFS,SEM,WFS Item,Fleece Blankets</t>
        </is>
      </c>
      <c r="G2179" s="48" t="n">
        <v>0</v>
      </c>
      <c r="H2179" s="48" t="n">
        <v>0</v>
      </c>
      <c r="I2179" s="48" t="n">
        <v>0</v>
      </c>
      <c r="J2179" s="48" t="n">
        <v>0</v>
      </c>
      <c r="K2179" s="49" t="n">
        <v>0</v>
      </c>
      <c r="L2179" s="49" t="n">
        <v>0</v>
      </c>
      <c r="M2179" s="49" t="n">
        <v>0</v>
      </c>
      <c r="N2179" s="49" t="n">
        <v>0</v>
      </c>
      <c r="O2179" s="49" t="n">
        <v>0</v>
      </c>
      <c r="P2179" s="49" t="n">
        <v>0</v>
      </c>
      <c r="Q2179" s="49" t="n">
        <v>0</v>
      </c>
      <c r="R2179" s="49" t="n">
        <v>0</v>
      </c>
      <c r="S2179" s="50" t="n">
        <v>0</v>
      </c>
      <c r="T2179" s="50" t="n">
        <v>0</v>
      </c>
      <c r="U2179" s="50" t="n">
        <v>0</v>
      </c>
      <c r="V2179" s="50" t="n">
        <v>0</v>
      </c>
      <c r="W2179" s="51" t="n">
        <v>0</v>
      </c>
      <c r="X2179" s="51" t="n">
        <v>0</v>
      </c>
      <c r="Y2179" s="51" t="n">
        <v>0</v>
      </c>
      <c r="Z2179" s="51" t="n">
        <v>0</v>
      </c>
      <c r="AA2179" s="52" t="n">
        <v>0</v>
      </c>
      <c r="AB2179" s="52" t="n">
        <v>0</v>
      </c>
      <c r="AC2179" s="52" t="n">
        <v>0</v>
      </c>
      <c r="AD2179" s="52" t="n">
        <v>0</v>
      </c>
      <c r="AE2179" s="52" t="n">
        <v>0</v>
      </c>
      <c r="AF2179" s="52" t="n">
        <v>0</v>
      </c>
      <c r="AG2179" s="52" t="n">
        <v>0</v>
      </c>
      <c r="AH2179" s="52" t="n">
        <v>0</v>
      </c>
      <c r="AI2179" s="52" t="n">
        <v>0</v>
      </c>
      <c r="AJ2179" s="52" t="n">
        <v>0</v>
      </c>
      <c r="AK2179" s="52" t="n">
        <v>0</v>
      </c>
      <c r="AL2179" s="52" t="n">
        <v>0</v>
      </c>
      <c r="AM2179" s="53" t="n">
        <v>0</v>
      </c>
      <c r="AN2179" s="53" t="n">
        <v>0</v>
      </c>
      <c r="AO2179" s="53" t="n">
        <v>0</v>
      </c>
      <c r="AP2179" s="53" t="n">
        <v>0</v>
      </c>
      <c r="AQ2179" s="52" t="n">
        <v>0</v>
      </c>
      <c r="AR2179" s="52" t="n">
        <v>0</v>
      </c>
      <c r="AS2179" s="52" t="n">
        <v>0</v>
      </c>
      <c r="AT2179" s="52" t="n">
        <v>0</v>
      </c>
      <c r="AU2179" s="53" t="n">
        <v>0</v>
      </c>
      <c r="AV2179" s="53" t="n">
        <v>0</v>
      </c>
      <c r="AW2179" s="53" t="n">
        <v>0</v>
      </c>
      <c r="AX2179" s="53" t="n">
        <v>0</v>
      </c>
      <c r="AY2179" s="52" t="n">
        <v>0</v>
      </c>
      <c r="AZ2179" s="52" t="n">
        <v>0</v>
      </c>
      <c r="BA2179" s="52" t="n">
        <v>0</v>
      </c>
      <c r="BB2179" s="52" t="n">
        <v>0</v>
      </c>
      <c r="BC2179" s="51" t="n">
        <v>0</v>
      </c>
      <c r="BD2179" s="51" t="n">
        <v>0</v>
      </c>
      <c r="BE2179" s="51" t="n">
        <v>0</v>
      </c>
      <c r="BF2179" s="51" t="n">
        <v>0</v>
      </c>
    </row>
    <row r="2180">
      <c r="A2180">
        <f>HYPERLINK("https://www.walmart.com/ip/3214374661", "3214374661")</f>
        <v/>
      </c>
      <c r="B2180" t="inlineStr">
        <is>
          <t>Catalonia Wearable Blanket with Sleeves and Pocket, Cozy Soft Fleece Micro Plush Wrap Adult Blanket Robe for Women Men, Southwest Blue Pattern Makes a Great Gift for Holidays, 73" x 51".</t>
        </is>
      </c>
      <c r="C2180" t="inlineStr">
        <is>
          <t>1CTSN100SWBL</t>
        </is>
      </c>
      <c r="D2180" t="inlineStr">
        <is>
          <t>Throws</t>
        </is>
      </c>
      <c r="E2180" t="inlineStr">
        <is>
          <t>Catalonia</t>
        </is>
      </c>
      <c r="F2180" t="inlineStr">
        <is>
          <t>Q2-Target</t>
        </is>
      </c>
      <c r="G2180" s="48" t="n">
        <v>0</v>
      </c>
      <c r="H2180" s="48" t="n">
        <v>0</v>
      </c>
      <c r="I2180" s="48" t="n">
        <v>0</v>
      </c>
      <c r="J2180" s="48" t="n">
        <v>0</v>
      </c>
      <c r="K2180" s="49" t="n">
        <v>0</v>
      </c>
      <c r="L2180" s="49" t="n">
        <v>0</v>
      </c>
      <c r="M2180" s="49" t="n">
        <v>0</v>
      </c>
      <c r="N2180" s="49" t="n">
        <v>0</v>
      </c>
      <c r="O2180" s="49" t="n">
        <v>0</v>
      </c>
      <c r="P2180" s="49" t="n">
        <v>0</v>
      </c>
      <c r="Q2180" s="49" t="n">
        <v>0</v>
      </c>
      <c r="R2180" s="49" t="n">
        <v>0</v>
      </c>
      <c r="S2180" s="50" t="n">
        <v>0</v>
      </c>
      <c r="T2180" s="50" t="n">
        <v>0</v>
      </c>
      <c r="U2180" s="50" t="n">
        <v>0</v>
      </c>
      <c r="V2180" s="50" t="n">
        <v>0</v>
      </c>
      <c r="W2180" s="51" t="n">
        <v>0</v>
      </c>
      <c r="X2180" s="51" t="n">
        <v>0</v>
      </c>
      <c r="Y2180" s="51" t="n">
        <v>0</v>
      </c>
      <c r="Z2180" s="51" t="n">
        <v>0</v>
      </c>
      <c r="AA2180" s="52" t="n">
        <v>0</v>
      </c>
      <c r="AB2180" s="52" t="n">
        <v>0</v>
      </c>
      <c r="AC2180" s="52" t="n">
        <v>0</v>
      </c>
      <c r="AD2180" s="52" t="n">
        <v>0</v>
      </c>
      <c r="AE2180" s="52" t="n">
        <v>0</v>
      </c>
      <c r="AF2180" s="52" t="n">
        <v>0</v>
      </c>
      <c r="AG2180" s="52" t="n">
        <v>0</v>
      </c>
      <c r="AH2180" s="52" t="n">
        <v>0</v>
      </c>
      <c r="AI2180" s="52" t="n">
        <v>0</v>
      </c>
      <c r="AJ2180" s="52" t="n">
        <v>0</v>
      </c>
      <c r="AK2180" s="52" t="n">
        <v>0</v>
      </c>
      <c r="AL2180" s="52" t="n">
        <v>0</v>
      </c>
      <c r="AM2180" s="53" t="n">
        <v>0</v>
      </c>
      <c r="AN2180" s="53" t="n">
        <v>0</v>
      </c>
      <c r="AO2180" s="53" t="n">
        <v>0</v>
      </c>
      <c r="AP2180" s="53" t="n">
        <v>0</v>
      </c>
      <c r="AQ2180" s="52" t="n">
        <v>0</v>
      </c>
      <c r="AR2180" s="52" t="n">
        <v>0</v>
      </c>
      <c r="AS2180" s="52" t="n">
        <v>0</v>
      </c>
      <c r="AT2180" s="52" t="n">
        <v>0</v>
      </c>
      <c r="AU2180" s="53" t="n">
        <v>0</v>
      </c>
      <c r="AV2180" s="53" t="n">
        <v>0</v>
      </c>
      <c r="AW2180" s="53" t="n">
        <v>0</v>
      </c>
      <c r="AX2180" s="53" t="n">
        <v>0</v>
      </c>
      <c r="AY2180" s="52" t="n">
        <v>0</v>
      </c>
      <c r="AZ2180" s="52" t="n">
        <v>0</v>
      </c>
      <c r="BA2180" s="52" t="n">
        <v>0</v>
      </c>
      <c r="BB2180" s="52" t="n">
        <v>0</v>
      </c>
      <c r="BC2180" s="51" t="n">
        <v>0</v>
      </c>
      <c r="BD2180" s="51" t="n">
        <v>0</v>
      </c>
      <c r="BE2180" s="51" t="n">
        <v>0</v>
      </c>
      <c r="BF2180" s="51" t="n">
        <v>0</v>
      </c>
    </row>
    <row r="2181">
      <c r="A2181">
        <f>HYPERLINK("https://www.walmart.com/ip/321449528", "321449528")</f>
        <v/>
      </c>
      <c r="B2181" t="inlineStr">
        <is>
          <t>Tirrinia Small Unisex Insulated Lunch Bag for Adults and Kids, Splash-Proof Reusable Snack Box, Purple</t>
        </is>
      </c>
      <c r="C2181" t="inlineStr">
        <is>
          <t>1TRLB100PP</t>
        </is>
      </c>
      <c r="D2181" t="inlineStr">
        <is>
          <t>Reusable Lunch Bags &amp; Boxes</t>
        </is>
      </c>
      <c r="E2181" t="inlineStr">
        <is>
          <t>Tirrinia</t>
        </is>
      </c>
      <c r="F2181" t="inlineStr">
        <is>
          <t>Q2-Target,Lunch Bag,Optimized,SEM</t>
        </is>
      </c>
      <c r="G2181" s="48" t="n">
        <v>0</v>
      </c>
      <c r="H2181" s="48" t="n">
        <v>0</v>
      </c>
      <c r="I2181" s="48" t="n">
        <v>0</v>
      </c>
      <c r="J2181" s="48" t="n">
        <v>14.99</v>
      </c>
      <c r="K2181" s="49" t="n">
        <v>0</v>
      </c>
      <c r="L2181" s="49" t="n">
        <v>0</v>
      </c>
      <c r="M2181" s="49" t="n">
        <v>0</v>
      </c>
      <c r="N2181" s="49" t="n">
        <v>1</v>
      </c>
      <c r="O2181" s="49" t="n">
        <v>0</v>
      </c>
      <c r="P2181" s="49" t="n">
        <v>0</v>
      </c>
      <c r="Q2181" s="49" t="n">
        <v>0</v>
      </c>
      <c r="R2181" s="49" t="n">
        <v>3</v>
      </c>
      <c r="S2181" s="50" t="n">
        <v>0</v>
      </c>
      <c r="T2181" s="50" t="n">
        <v>0</v>
      </c>
      <c r="U2181" s="50" t="n">
        <v>0</v>
      </c>
      <c r="V2181" s="50" t="n">
        <v>0.3333333333333333</v>
      </c>
      <c r="W2181" s="51" t="n">
        <v>0</v>
      </c>
      <c r="X2181" s="51" t="n">
        <v>0</v>
      </c>
      <c r="Y2181" s="51" t="n">
        <v>0</v>
      </c>
      <c r="Z2181" s="51" t="n">
        <v>0</v>
      </c>
      <c r="AA2181" s="52" t="n">
        <v>0</v>
      </c>
      <c r="AB2181" s="52" t="n">
        <v>0</v>
      </c>
      <c r="AC2181" s="52" t="n">
        <v>0</v>
      </c>
      <c r="AD2181" s="52" t="n">
        <v>0</v>
      </c>
      <c r="AE2181" s="52" t="n">
        <v>0</v>
      </c>
      <c r="AF2181" s="52" t="n">
        <v>0</v>
      </c>
      <c r="AG2181" s="52" t="n">
        <v>0</v>
      </c>
      <c r="AH2181" s="52" t="n">
        <v>0</v>
      </c>
      <c r="AI2181" s="52" t="n">
        <v>0</v>
      </c>
      <c r="AJ2181" s="52" t="n">
        <v>0</v>
      </c>
      <c r="AK2181" s="52" t="n">
        <v>0</v>
      </c>
      <c r="AL2181" s="52" t="n">
        <v>0</v>
      </c>
      <c r="AM2181" s="53" t="n">
        <v>0</v>
      </c>
      <c r="AN2181" s="53" t="n">
        <v>0</v>
      </c>
      <c r="AO2181" s="53" t="n">
        <v>0</v>
      </c>
      <c r="AP2181" s="53" t="n">
        <v>0</v>
      </c>
      <c r="AQ2181" s="52" t="n">
        <v>0</v>
      </c>
      <c r="AR2181" s="52" t="n">
        <v>0</v>
      </c>
      <c r="AS2181" s="52" t="n">
        <v>0</v>
      </c>
      <c r="AT2181" s="52" t="n">
        <v>0</v>
      </c>
      <c r="AU2181" s="53" t="n">
        <v>0</v>
      </c>
      <c r="AV2181" s="53" t="n">
        <v>0</v>
      </c>
      <c r="AW2181" s="53" t="n">
        <v>0</v>
      </c>
      <c r="AX2181" s="53" t="n">
        <v>0</v>
      </c>
      <c r="AY2181" s="52" t="n">
        <v>0</v>
      </c>
      <c r="AZ2181" s="52" t="n">
        <v>0</v>
      </c>
      <c r="BA2181" s="52" t="n">
        <v>0</v>
      </c>
      <c r="BB2181" s="52" t="n">
        <v>14.99</v>
      </c>
      <c r="BC2181" s="51" t="n">
        <v>0</v>
      </c>
      <c r="BD2181" s="51" t="n">
        <v>0</v>
      </c>
      <c r="BE2181" s="51" t="n">
        <v>0</v>
      </c>
      <c r="BF2181" s="51" t="n">
        <v>0</v>
      </c>
    </row>
    <row r="2182">
      <c r="A2182">
        <f>HYPERLINK("https://www.walmart.com/ip/321545865", "321545865")</f>
        <v/>
      </c>
      <c r="B2182" t="inlineStr">
        <is>
          <t>Pawsse Dog Throw Blanket, Pet Blanket, Puppy Cat Dog Fleece Blanket Cushion Mat for Puppy Cat Small Animals, Wine &amp; Tan, 45" X 30".</t>
        </is>
      </c>
      <c r="C2182" t="inlineStr">
        <is>
          <t>1PSBF345WNTA</t>
        </is>
      </c>
      <c r="D2182" t="inlineStr">
        <is>
          <t>Pet Blankets</t>
        </is>
      </c>
      <c r="E2182" t="inlineStr">
        <is>
          <t>Pawsse</t>
        </is>
      </c>
      <c r="F2182" t="inlineStr">
        <is>
          <t>Q2-Target,WFS,WFS Item</t>
        </is>
      </c>
      <c r="G2182" s="48" t="n">
        <v>0</v>
      </c>
      <c r="H2182" s="48" t="n">
        <v>0</v>
      </c>
      <c r="I2182" s="48" t="n">
        <v>0</v>
      </c>
      <c r="J2182" s="48" t="n">
        <v>0</v>
      </c>
      <c r="K2182" s="49" t="n">
        <v>0</v>
      </c>
      <c r="L2182" s="49" t="n">
        <v>0</v>
      </c>
      <c r="M2182" s="49" t="n">
        <v>0</v>
      </c>
      <c r="N2182" s="49" t="n">
        <v>0</v>
      </c>
      <c r="O2182" s="49" t="n">
        <v>0</v>
      </c>
      <c r="P2182" s="49" t="n">
        <v>0</v>
      </c>
      <c r="Q2182" s="49" t="n">
        <v>0</v>
      </c>
      <c r="R2182" s="49" t="n">
        <v>0</v>
      </c>
      <c r="S2182" s="50" t="n">
        <v>0</v>
      </c>
      <c r="T2182" s="50" t="n">
        <v>0</v>
      </c>
      <c r="U2182" s="50" t="n">
        <v>0</v>
      </c>
      <c r="V2182" s="50" t="n">
        <v>0</v>
      </c>
      <c r="W2182" s="51" t="n">
        <v>0</v>
      </c>
      <c r="X2182" s="51" t="n">
        <v>0</v>
      </c>
      <c r="Y2182" s="51" t="n">
        <v>0</v>
      </c>
      <c r="Z2182" s="51" t="n">
        <v>0</v>
      </c>
      <c r="AA2182" s="52" t="n">
        <v>0</v>
      </c>
      <c r="AB2182" s="52" t="n">
        <v>0</v>
      </c>
      <c r="AC2182" s="52" t="n">
        <v>0</v>
      </c>
      <c r="AD2182" s="52" t="n">
        <v>0</v>
      </c>
      <c r="AE2182" s="52" t="n">
        <v>0</v>
      </c>
      <c r="AF2182" s="52" t="n">
        <v>0</v>
      </c>
      <c r="AG2182" s="52" t="n">
        <v>0</v>
      </c>
      <c r="AH2182" s="52" t="n">
        <v>0</v>
      </c>
      <c r="AI2182" s="52" t="n">
        <v>0</v>
      </c>
      <c r="AJ2182" s="52" t="n">
        <v>0</v>
      </c>
      <c r="AK2182" s="52" t="n">
        <v>0</v>
      </c>
      <c r="AL2182" s="52" t="n">
        <v>0</v>
      </c>
      <c r="AM2182" s="53" t="n">
        <v>0</v>
      </c>
      <c r="AN2182" s="53" t="n">
        <v>0</v>
      </c>
      <c r="AO2182" s="53" t="n">
        <v>0</v>
      </c>
      <c r="AP2182" s="53" t="n">
        <v>0</v>
      </c>
      <c r="AQ2182" s="52" t="n">
        <v>0</v>
      </c>
      <c r="AR2182" s="52" t="n">
        <v>0</v>
      </c>
      <c r="AS2182" s="52" t="n">
        <v>0</v>
      </c>
      <c r="AT2182" s="52" t="n">
        <v>0</v>
      </c>
      <c r="AU2182" s="53" t="n">
        <v>0</v>
      </c>
      <c r="AV2182" s="53" t="n">
        <v>0</v>
      </c>
      <c r="AW2182" s="53" t="n">
        <v>0</v>
      </c>
      <c r="AX2182" s="53" t="n">
        <v>0</v>
      </c>
      <c r="AY2182" s="52" t="n">
        <v>0</v>
      </c>
      <c r="AZ2182" s="52" t="n">
        <v>0</v>
      </c>
      <c r="BA2182" s="52" t="n">
        <v>0</v>
      </c>
      <c r="BB2182" s="52" t="n">
        <v>0</v>
      </c>
      <c r="BC2182" s="51" t="n">
        <v>0</v>
      </c>
      <c r="BD2182" s="51" t="n">
        <v>0</v>
      </c>
      <c r="BE2182" s="51" t="n">
        <v>0</v>
      </c>
      <c r="BF2182" s="51" t="n">
        <v>0</v>
      </c>
    </row>
    <row r="2183">
      <c r="A2183">
        <f>HYPERLINK("https://www.walmart.com/ip/322827178", "322827178")</f>
        <v/>
      </c>
      <c r="B2183" t="inlineStr">
        <is>
          <t>Catalonia Wearable TV Blanket with Sleeves Arms Warm Micro Plush Sherpa Fleece for Adult Large Wrap Throw Robe 72 x 55”</t>
        </is>
      </c>
      <c r="C2183" t="inlineStr">
        <is>
          <t>1CTSN110WN</t>
        </is>
      </c>
      <c r="D2183" t="inlineStr">
        <is>
          <t>Throws</t>
        </is>
      </c>
      <c r="E2183" t="inlineStr">
        <is>
          <t>Catalonia</t>
        </is>
      </c>
      <c r="F2183" t="inlineStr">
        <is>
          <t>Optimized,WFS,SEM,WFS Item</t>
        </is>
      </c>
      <c r="G2183" s="48" t="n">
        <v>0</v>
      </c>
      <c r="H2183" s="48" t="n">
        <v>0</v>
      </c>
      <c r="I2183" s="48" t="n">
        <v>0</v>
      </c>
      <c r="J2183" s="48" t="n">
        <v>0</v>
      </c>
      <c r="K2183" s="49" t="n">
        <v>0</v>
      </c>
      <c r="L2183" s="49" t="n">
        <v>0</v>
      </c>
      <c r="M2183" s="49" t="n">
        <v>0</v>
      </c>
      <c r="N2183" s="49" t="n">
        <v>0</v>
      </c>
      <c r="O2183" s="49" t="n">
        <v>0</v>
      </c>
      <c r="P2183" s="49" t="n">
        <v>0</v>
      </c>
      <c r="Q2183" s="49" t="n">
        <v>0</v>
      </c>
      <c r="R2183" s="49" t="n">
        <v>0</v>
      </c>
      <c r="S2183" s="50" t="n">
        <v>0</v>
      </c>
      <c r="T2183" s="50" t="n">
        <v>0</v>
      </c>
      <c r="U2183" s="50" t="n">
        <v>0</v>
      </c>
      <c r="V2183" s="50" t="n">
        <v>0</v>
      </c>
      <c r="W2183" s="51" t="n">
        <v>0</v>
      </c>
      <c r="X2183" s="51" t="n">
        <v>0</v>
      </c>
      <c r="Y2183" s="51" t="n">
        <v>0</v>
      </c>
      <c r="Z2183" s="51" t="n">
        <v>0</v>
      </c>
      <c r="AA2183" s="52" t="n">
        <v>0</v>
      </c>
      <c r="AB2183" s="52" t="n">
        <v>0</v>
      </c>
      <c r="AC2183" s="52" t="n">
        <v>0</v>
      </c>
      <c r="AD2183" s="52" t="n">
        <v>0</v>
      </c>
      <c r="AE2183" s="52" t="n">
        <v>0</v>
      </c>
      <c r="AF2183" s="52" t="n">
        <v>0</v>
      </c>
      <c r="AG2183" s="52" t="n">
        <v>0</v>
      </c>
      <c r="AH2183" s="52" t="n">
        <v>0</v>
      </c>
      <c r="AI2183" s="52" t="n">
        <v>0</v>
      </c>
      <c r="AJ2183" s="52" t="n">
        <v>0</v>
      </c>
      <c r="AK2183" s="52" t="n">
        <v>0</v>
      </c>
      <c r="AL2183" s="52" t="n">
        <v>0</v>
      </c>
      <c r="AM2183" s="53" t="n">
        <v>0</v>
      </c>
      <c r="AN2183" s="53" t="n">
        <v>0</v>
      </c>
      <c r="AO2183" s="53" t="n">
        <v>0</v>
      </c>
      <c r="AP2183" s="53" t="n">
        <v>0</v>
      </c>
      <c r="AQ2183" s="52" t="n">
        <v>0</v>
      </c>
      <c r="AR2183" s="52" t="n">
        <v>0</v>
      </c>
      <c r="AS2183" s="52" t="n">
        <v>0</v>
      </c>
      <c r="AT2183" s="52" t="n">
        <v>0</v>
      </c>
      <c r="AU2183" s="53" t="n">
        <v>0</v>
      </c>
      <c r="AV2183" s="53" t="n">
        <v>0</v>
      </c>
      <c r="AW2183" s="53" t="n">
        <v>0</v>
      </c>
      <c r="AX2183" s="53" t="n">
        <v>0</v>
      </c>
      <c r="AY2183" s="52" t="n">
        <v>0</v>
      </c>
      <c r="AZ2183" s="52" t="n">
        <v>0</v>
      </c>
      <c r="BA2183" s="52" t="n">
        <v>0</v>
      </c>
      <c r="BB2183" s="52" t="n">
        <v>0</v>
      </c>
      <c r="BC2183" s="51" t="n">
        <v>0</v>
      </c>
      <c r="BD2183" s="51" t="n">
        <v>0</v>
      </c>
      <c r="BE2183" s="51" t="n">
        <v>0</v>
      </c>
      <c r="BF2183" s="51" t="n">
        <v>0</v>
      </c>
    </row>
    <row r="2184">
      <c r="A2184">
        <f>HYPERLINK("https://www.walmart.com/ip/323050525", "323050525")</f>
        <v/>
      </c>
      <c r="B2184" t="inlineStr">
        <is>
          <t>Tirrinia Insulated Lunch Bag for Women and Men, Leakproof Reusable Meal Prep Bento Box Insulated Cooler Bag, Dual Compartment with Shoulder Strap, Purple, 10.2" x 7.5" x 9"</t>
        </is>
      </c>
      <c r="C2184" t="inlineStr">
        <is>
          <t>1TRLB601PP</t>
        </is>
      </c>
      <c r="D2184" t="inlineStr">
        <is>
          <t>Reusable Lunch Bags &amp; Boxes</t>
        </is>
      </c>
      <c r="E2184" t="inlineStr">
        <is>
          <t>Tirrinia</t>
        </is>
      </c>
      <c r="F2184" t="inlineStr">
        <is>
          <t>Q2-Target,Brand Camp VD,Lunch Bag,WFS,Lunch Bags,WFS Item</t>
        </is>
      </c>
      <c r="G2184" s="48" t="n">
        <v>0</v>
      </c>
      <c r="H2184" s="48" t="n">
        <v>18.99</v>
      </c>
      <c r="I2184" s="48" t="n">
        <v>0</v>
      </c>
      <c r="J2184" s="48" t="n">
        <v>0</v>
      </c>
      <c r="K2184" s="49" t="n">
        <v>0</v>
      </c>
      <c r="L2184" s="49" t="n">
        <v>1</v>
      </c>
      <c r="M2184" s="49" t="n">
        <v>0</v>
      </c>
      <c r="N2184" s="49" t="n">
        <v>0</v>
      </c>
      <c r="O2184" s="49" t="n">
        <v>1</v>
      </c>
      <c r="P2184" s="49" t="n">
        <v>5</v>
      </c>
      <c r="Q2184" s="49" t="n">
        <v>3</v>
      </c>
      <c r="R2184" s="49" t="n">
        <v>5</v>
      </c>
      <c r="S2184" s="50" t="n">
        <v>0</v>
      </c>
      <c r="T2184" s="50" t="n">
        <v>0.2</v>
      </c>
      <c r="U2184" s="50" t="n">
        <v>0</v>
      </c>
      <c r="V2184" s="50" t="n">
        <v>0</v>
      </c>
      <c r="W2184" s="51" t="n">
        <v>0</v>
      </c>
      <c r="X2184" s="51" t="n">
        <v>0</v>
      </c>
      <c r="Y2184" s="51" t="n">
        <v>0</v>
      </c>
      <c r="Z2184" s="51" t="n">
        <v>0</v>
      </c>
      <c r="AA2184" s="52" t="n">
        <v>0</v>
      </c>
      <c r="AB2184" s="52" t="n">
        <v>0</v>
      </c>
      <c r="AC2184" s="52" t="n">
        <v>0</v>
      </c>
      <c r="AD2184" s="52" t="n">
        <v>0</v>
      </c>
      <c r="AE2184" s="52" t="n">
        <v>0</v>
      </c>
      <c r="AF2184" s="52" t="n">
        <v>0</v>
      </c>
      <c r="AG2184" s="52" t="n">
        <v>0</v>
      </c>
      <c r="AH2184" s="52" t="n">
        <v>0</v>
      </c>
      <c r="AI2184" s="52" t="n">
        <v>0</v>
      </c>
      <c r="AJ2184" s="52" t="n">
        <v>0</v>
      </c>
      <c r="AK2184" s="52" t="n">
        <v>0</v>
      </c>
      <c r="AL2184" s="52" t="n">
        <v>0</v>
      </c>
      <c r="AM2184" s="53" t="n">
        <v>0</v>
      </c>
      <c r="AN2184" s="53" t="n">
        <v>0</v>
      </c>
      <c r="AO2184" s="53" t="n">
        <v>0</v>
      </c>
      <c r="AP2184" s="53" t="n">
        <v>0</v>
      </c>
      <c r="AQ2184" s="52" t="n">
        <v>0</v>
      </c>
      <c r="AR2184" s="52" t="n">
        <v>0</v>
      </c>
      <c r="AS2184" s="52" t="n">
        <v>0</v>
      </c>
      <c r="AT2184" s="52" t="n">
        <v>0</v>
      </c>
      <c r="AU2184" s="53" t="n">
        <v>0</v>
      </c>
      <c r="AV2184" s="53" t="n">
        <v>0</v>
      </c>
      <c r="AW2184" s="53" t="n">
        <v>0</v>
      </c>
      <c r="AX2184" s="53" t="n">
        <v>0</v>
      </c>
      <c r="AY2184" s="52" t="n">
        <v>0</v>
      </c>
      <c r="AZ2184" s="52" t="n">
        <v>18.99</v>
      </c>
      <c r="BA2184" s="52" t="n">
        <v>0</v>
      </c>
      <c r="BB2184" s="52" t="n">
        <v>0</v>
      </c>
      <c r="BC2184" s="51" t="n">
        <v>0</v>
      </c>
      <c r="BD2184" s="51" t="n">
        <v>0</v>
      </c>
      <c r="BE2184" s="51" t="n">
        <v>0</v>
      </c>
      <c r="BF2184" s="51" t="n">
        <v>0</v>
      </c>
    </row>
    <row r="2185">
      <c r="A2185">
        <f>HYPERLINK("https://www.walmart.com/ip/3236946602", "3236946602")</f>
        <v/>
      </c>
      <c r="B2185" t="inlineStr">
        <is>
          <t>Catalonia Wearable TV Blanket with Sleeves Arms Micro Plush Fleece Wrap Throw Robe 73 x 51”</t>
        </is>
      </c>
      <c r="C2185" t="inlineStr">
        <is>
          <t>1CTSN100PRD</t>
        </is>
      </c>
      <c r="D2185" t="inlineStr">
        <is>
          <t>Throws</t>
        </is>
      </c>
      <c r="E2185" t="inlineStr">
        <is>
          <t>Catalonia</t>
        </is>
      </c>
      <c r="G2185" s="48" t="n">
        <v>0</v>
      </c>
      <c r="H2185" s="48" t="n">
        <v>0</v>
      </c>
      <c r="I2185" s="48" t="n">
        <v>0</v>
      </c>
      <c r="J2185" s="48" t="n">
        <v>0</v>
      </c>
      <c r="K2185" s="49" t="n">
        <v>0</v>
      </c>
      <c r="L2185" s="49" t="n">
        <v>0</v>
      </c>
      <c r="M2185" s="49" t="n">
        <v>0</v>
      </c>
      <c r="N2185" s="49" t="n">
        <v>0</v>
      </c>
      <c r="O2185" s="49" t="n">
        <v>0</v>
      </c>
      <c r="P2185" s="49" t="n">
        <v>0</v>
      </c>
      <c r="Q2185" s="49" t="n">
        <v>0</v>
      </c>
      <c r="R2185" s="49" t="n">
        <v>0</v>
      </c>
      <c r="S2185" s="50" t="n">
        <v>0</v>
      </c>
      <c r="T2185" s="50" t="n">
        <v>0</v>
      </c>
      <c r="U2185" s="50" t="n">
        <v>0</v>
      </c>
      <c r="V2185" s="50" t="n">
        <v>0</v>
      </c>
      <c r="W2185" s="51" t="n">
        <v>0</v>
      </c>
      <c r="X2185" s="51" t="n">
        <v>0</v>
      </c>
      <c r="Y2185" s="51" t="n">
        <v>0</v>
      </c>
      <c r="Z2185" s="51" t="n">
        <v>0</v>
      </c>
      <c r="AA2185" s="52" t="n">
        <v>0</v>
      </c>
      <c r="AB2185" s="52" t="n">
        <v>0</v>
      </c>
      <c r="AC2185" s="52" t="n">
        <v>0</v>
      </c>
      <c r="AD2185" s="52" t="n">
        <v>0</v>
      </c>
      <c r="AE2185" s="52" t="n">
        <v>0</v>
      </c>
      <c r="AF2185" s="52" t="n">
        <v>0</v>
      </c>
      <c r="AG2185" s="52" t="n">
        <v>0</v>
      </c>
      <c r="AH2185" s="52" t="n">
        <v>0</v>
      </c>
      <c r="AI2185" s="52" t="n">
        <v>0</v>
      </c>
      <c r="AJ2185" s="52" t="n">
        <v>0</v>
      </c>
      <c r="AK2185" s="52" t="n">
        <v>0</v>
      </c>
      <c r="AL2185" s="52" t="n">
        <v>0</v>
      </c>
      <c r="AM2185" s="53" t="n">
        <v>0</v>
      </c>
      <c r="AN2185" s="53" t="n">
        <v>0</v>
      </c>
      <c r="AO2185" s="53" t="n">
        <v>0</v>
      </c>
      <c r="AP2185" s="53" t="n">
        <v>0</v>
      </c>
      <c r="AQ2185" s="52" t="n">
        <v>0</v>
      </c>
      <c r="AR2185" s="52" t="n">
        <v>0</v>
      </c>
      <c r="AS2185" s="52" t="n">
        <v>0</v>
      </c>
      <c r="AT2185" s="52" t="n">
        <v>0</v>
      </c>
      <c r="AU2185" s="53" t="n">
        <v>0</v>
      </c>
      <c r="AV2185" s="53" t="n">
        <v>0</v>
      </c>
      <c r="AW2185" s="53" t="n">
        <v>0</v>
      </c>
      <c r="AX2185" s="53" t="n">
        <v>0</v>
      </c>
      <c r="AY2185" s="52" t="n">
        <v>0</v>
      </c>
      <c r="AZ2185" s="52" t="n">
        <v>0</v>
      </c>
      <c r="BA2185" s="52" t="n">
        <v>0</v>
      </c>
      <c r="BB2185" s="52" t="n">
        <v>0</v>
      </c>
      <c r="BC2185" s="51" t="n">
        <v>0</v>
      </c>
      <c r="BD2185" s="51" t="n">
        <v>0</v>
      </c>
      <c r="BE2185" s="51" t="n">
        <v>0</v>
      </c>
      <c r="BF2185" s="51" t="n">
        <v>0</v>
      </c>
    </row>
    <row r="2186">
      <c r="A2186">
        <f>HYPERLINK("https://www.walmart.com/ip/3240919619", "3240919619")</f>
        <v/>
      </c>
      <c r="B2186" t="inlineStr">
        <is>
          <t>Tirrinia Wind and Waterproof Outdoor Blanket, Sherpa Lining Fleece, Triple Layers Warm Comfy Foldable Blanket for Camping, Stadium, Sports, Picnics, Grass, Concerts and Pets, Green/Black, Extra Large Size 66'' x 90''</t>
        </is>
      </c>
      <c r="C2186" t="inlineStr">
        <is>
          <t>1TRBW669GNBK</t>
        </is>
      </c>
      <c r="D2186" t="inlineStr">
        <is>
          <t>Picnic Blankets &amp; Mats</t>
        </is>
      </c>
      <c r="E2186" t="inlineStr">
        <is>
          <t>Tirrinia</t>
        </is>
      </c>
      <c r="G2186" s="48" t="n">
        <v>0</v>
      </c>
      <c r="H2186" s="48" t="n">
        <v>0</v>
      </c>
      <c r="I2186" s="48" t="n">
        <v>89.98</v>
      </c>
      <c r="J2186" s="48" t="n">
        <v>0</v>
      </c>
      <c r="K2186" s="49" t="n">
        <v>0</v>
      </c>
      <c r="L2186" s="49" t="n">
        <v>0</v>
      </c>
      <c r="M2186" s="49" t="n">
        <v>2</v>
      </c>
      <c r="N2186" s="49" t="n">
        <v>0</v>
      </c>
      <c r="O2186" s="49" t="n">
        <v>0</v>
      </c>
      <c r="P2186" s="49" t="n">
        <v>0</v>
      </c>
      <c r="Q2186" s="49" t="n">
        <v>0</v>
      </c>
      <c r="R2186" s="49" t="n">
        <v>0</v>
      </c>
      <c r="S2186" s="50" t="n">
        <v>0</v>
      </c>
      <c r="T2186" s="50" t="n">
        <v>0</v>
      </c>
      <c r="U2186" s="50" t="n">
        <v>0</v>
      </c>
      <c r="V2186" s="50" t="n">
        <v>0</v>
      </c>
      <c r="W2186" s="51" t="n">
        <v>0</v>
      </c>
      <c r="X2186" s="51" t="n">
        <v>0</v>
      </c>
      <c r="Y2186" s="51" t="n">
        <v>0</v>
      </c>
      <c r="Z2186" s="51" t="n">
        <v>0</v>
      </c>
      <c r="AA2186" s="52" t="n">
        <v>0</v>
      </c>
      <c r="AB2186" s="52" t="n">
        <v>0</v>
      </c>
      <c r="AC2186" s="52" t="n">
        <v>0</v>
      </c>
      <c r="AD2186" s="52" t="n">
        <v>0</v>
      </c>
      <c r="AE2186" s="52" t="n">
        <v>0</v>
      </c>
      <c r="AF2186" s="52" t="n">
        <v>0</v>
      </c>
      <c r="AG2186" s="52" t="n">
        <v>0</v>
      </c>
      <c r="AH2186" s="52" t="n">
        <v>0</v>
      </c>
      <c r="AI2186" s="52" t="n">
        <v>0</v>
      </c>
      <c r="AJ2186" s="52" t="n">
        <v>0</v>
      </c>
      <c r="AK2186" s="52" t="n">
        <v>0</v>
      </c>
      <c r="AL2186" s="52" t="n">
        <v>0</v>
      </c>
      <c r="AM2186" s="53" t="n">
        <v>0</v>
      </c>
      <c r="AN2186" s="53" t="n">
        <v>0</v>
      </c>
      <c r="AO2186" s="53" t="n">
        <v>0</v>
      </c>
      <c r="AP2186" s="53" t="n">
        <v>0</v>
      </c>
      <c r="AQ2186" s="52" t="n">
        <v>0</v>
      </c>
      <c r="AR2186" s="52" t="n">
        <v>0</v>
      </c>
      <c r="AS2186" s="52" t="n">
        <v>0</v>
      </c>
      <c r="AT2186" s="52" t="n">
        <v>0</v>
      </c>
      <c r="AU2186" s="53" t="n">
        <v>0</v>
      </c>
      <c r="AV2186" s="53" t="n">
        <v>0</v>
      </c>
      <c r="AW2186" s="53" t="n">
        <v>0</v>
      </c>
      <c r="AX2186" s="53" t="n">
        <v>0</v>
      </c>
      <c r="AY2186" s="52" t="n">
        <v>0</v>
      </c>
      <c r="AZ2186" s="52" t="n">
        <v>0</v>
      </c>
      <c r="BA2186" s="52" t="n">
        <v>44.99</v>
      </c>
      <c r="BB2186" s="52" t="n">
        <v>0</v>
      </c>
      <c r="BC2186" s="51" t="n">
        <v>0</v>
      </c>
      <c r="BD2186" s="51" t="n">
        <v>0</v>
      </c>
      <c r="BE2186" s="51" t="n">
        <v>0</v>
      </c>
      <c r="BF2186" s="51" t="n">
        <v>0</v>
      </c>
    </row>
    <row r="2187">
      <c r="A2187">
        <f>HYPERLINK("https://www.walmart.com/ip/324640382", "324640382")</f>
        <v/>
      </c>
      <c r="B2187" t="inlineStr">
        <is>
          <t>Tirrinia Sherpa Wearable Blanket Super Soft Comfy Plush Fleece Poncho, 55'' x 80'', Navy</t>
        </is>
      </c>
      <c r="C2187" t="inlineStr">
        <is>
          <t>1TRBP110NY-TBCB</t>
        </is>
      </c>
      <c r="D2187" t="inlineStr">
        <is>
          <t>default</t>
        </is>
      </c>
      <c r="E2187" t="inlineStr">
        <is>
          <t>Tirrinia</t>
        </is>
      </c>
      <c r="F2187" t="inlineStr">
        <is>
          <t>Optimized</t>
        </is>
      </c>
      <c r="G2187" s="48" t="n">
        <v>0</v>
      </c>
      <c r="H2187" s="48" t="n">
        <v>0</v>
      </c>
      <c r="I2187" s="48" t="n">
        <v>0</v>
      </c>
      <c r="J2187" s="48" t="n">
        <v>0</v>
      </c>
      <c r="K2187" s="49" t="n">
        <v>0</v>
      </c>
      <c r="L2187" s="49" t="n">
        <v>0</v>
      </c>
      <c r="M2187" s="49" t="n">
        <v>0</v>
      </c>
      <c r="N2187" s="49" t="n">
        <v>0</v>
      </c>
      <c r="O2187" s="49" t="n">
        <v>0</v>
      </c>
      <c r="P2187" s="49" t="n">
        <v>0</v>
      </c>
      <c r="Q2187" s="49" t="n">
        <v>0</v>
      </c>
      <c r="R2187" s="49" t="n">
        <v>0</v>
      </c>
      <c r="S2187" s="50" t="n">
        <v>0</v>
      </c>
      <c r="T2187" s="50" t="n">
        <v>0</v>
      </c>
      <c r="U2187" s="50" t="n">
        <v>0</v>
      </c>
      <c r="V2187" s="50" t="n">
        <v>0</v>
      </c>
      <c r="W2187" s="51" t="n">
        <v>0</v>
      </c>
      <c r="X2187" s="51" t="n">
        <v>0</v>
      </c>
      <c r="Y2187" s="51" t="n">
        <v>0</v>
      </c>
      <c r="Z2187" s="51" t="n">
        <v>0</v>
      </c>
      <c r="AA2187" s="52" t="n">
        <v>0</v>
      </c>
      <c r="AB2187" s="52" t="n">
        <v>0</v>
      </c>
      <c r="AC2187" s="52" t="n">
        <v>0</v>
      </c>
      <c r="AD2187" s="52" t="n">
        <v>0</v>
      </c>
      <c r="AE2187" s="52" t="n">
        <v>0</v>
      </c>
      <c r="AF2187" s="52" t="n">
        <v>0</v>
      </c>
      <c r="AG2187" s="52" t="n">
        <v>0</v>
      </c>
      <c r="AH2187" s="52" t="n">
        <v>0</v>
      </c>
      <c r="AI2187" s="52" t="n">
        <v>0</v>
      </c>
      <c r="AJ2187" s="52" t="n">
        <v>0</v>
      </c>
      <c r="AK2187" s="52" t="n">
        <v>0</v>
      </c>
      <c r="AL2187" s="52" t="n">
        <v>0</v>
      </c>
      <c r="AM2187" s="53" t="n">
        <v>0</v>
      </c>
      <c r="AN2187" s="53" t="n">
        <v>0</v>
      </c>
      <c r="AO2187" s="53" t="n">
        <v>0</v>
      </c>
      <c r="AP2187" s="53" t="n">
        <v>0</v>
      </c>
      <c r="AQ2187" s="52" t="n">
        <v>0</v>
      </c>
      <c r="AR2187" s="52" t="n">
        <v>0</v>
      </c>
      <c r="AS2187" s="52" t="n">
        <v>0</v>
      </c>
      <c r="AT2187" s="52" t="n">
        <v>0</v>
      </c>
      <c r="AU2187" s="53" t="n">
        <v>0</v>
      </c>
      <c r="AV2187" s="53" t="n">
        <v>0</v>
      </c>
      <c r="AW2187" s="53" t="n">
        <v>0</v>
      </c>
      <c r="AX2187" s="53" t="n">
        <v>0</v>
      </c>
      <c r="AY2187" s="52" t="n">
        <v>0</v>
      </c>
      <c r="AZ2187" s="52" t="n">
        <v>0</v>
      </c>
      <c r="BA2187" s="52" t="n">
        <v>0</v>
      </c>
      <c r="BB2187" s="52" t="n">
        <v>0</v>
      </c>
      <c r="BC2187" s="51" t="n">
        <v>0</v>
      </c>
      <c r="BD2187" s="51" t="n">
        <v>0</v>
      </c>
      <c r="BE2187" s="51" t="n">
        <v>0</v>
      </c>
      <c r="BF2187" s="51" t="n">
        <v>0</v>
      </c>
    </row>
    <row r="2188">
      <c r="A2188">
        <f>HYPERLINK("https://www.walmart.com/ip/325532438", "325532438")</f>
        <v/>
      </c>
      <c r="B2188" t="inlineStr">
        <is>
          <t>JenniWears Women Sexy Translucent Lace Panty Boyshort Plus Size Mesh Brief Lingerie Underwear</t>
        </is>
      </c>
      <c r="C2188" t="inlineStr">
        <is>
          <t>JWPT05JD-3XL</t>
        </is>
      </c>
      <c r="D2188" t="inlineStr">
        <is>
          <t>Panties</t>
        </is>
      </c>
      <c r="E2188" t="inlineStr">
        <is>
          <t>JenniWears</t>
        </is>
      </c>
      <c r="F2188" t="inlineStr">
        <is>
          <t>Valentine</t>
        </is>
      </c>
      <c r="G2188" s="48" t="n">
        <v>0</v>
      </c>
      <c r="H2188" s="48" t="n">
        <v>0</v>
      </c>
      <c r="I2188" s="48" t="n">
        <v>0</v>
      </c>
      <c r="J2188" s="48" t="n">
        <v>0</v>
      </c>
      <c r="K2188" s="49" t="n">
        <v>0</v>
      </c>
      <c r="L2188" s="49" t="n">
        <v>0</v>
      </c>
      <c r="M2188" s="49" t="n">
        <v>0</v>
      </c>
      <c r="N2188" s="49" t="n">
        <v>0</v>
      </c>
      <c r="O2188" s="49" t="n">
        <v>0</v>
      </c>
      <c r="P2188" s="49" t="n">
        <v>0</v>
      </c>
      <c r="Q2188" s="49" t="n">
        <v>0</v>
      </c>
      <c r="R2188" s="49" t="n">
        <v>0</v>
      </c>
      <c r="S2188" s="50" t="n">
        <v>0</v>
      </c>
      <c r="T2188" s="50" t="n">
        <v>0</v>
      </c>
      <c r="U2188" s="50" t="n">
        <v>0</v>
      </c>
      <c r="V2188" s="50" t="n">
        <v>0</v>
      </c>
      <c r="W2188" s="51" t="n">
        <v>0</v>
      </c>
      <c r="X2188" s="51" t="n">
        <v>0</v>
      </c>
      <c r="Y2188" s="51" t="n">
        <v>0</v>
      </c>
      <c r="Z2188" s="51" t="n">
        <v>0</v>
      </c>
      <c r="AA2188" s="52" t="n">
        <v>0</v>
      </c>
      <c r="AB2188" s="52" t="n">
        <v>0</v>
      </c>
      <c r="AC2188" s="52" t="n">
        <v>0</v>
      </c>
      <c r="AD2188" s="52" t="n">
        <v>0</v>
      </c>
      <c r="AE2188" s="52" t="n">
        <v>0</v>
      </c>
      <c r="AF2188" s="52" t="n">
        <v>0</v>
      </c>
      <c r="AG2188" s="52" t="n">
        <v>0</v>
      </c>
      <c r="AH2188" s="52" t="n">
        <v>0</v>
      </c>
      <c r="AI2188" s="52" t="n">
        <v>0</v>
      </c>
      <c r="AJ2188" s="52" t="n">
        <v>0</v>
      </c>
      <c r="AK2188" s="52" t="n">
        <v>0</v>
      </c>
      <c r="AL2188" s="52" t="n">
        <v>0</v>
      </c>
      <c r="AM2188" s="53" t="n">
        <v>0</v>
      </c>
      <c r="AN2188" s="53" t="n">
        <v>0</v>
      </c>
      <c r="AO2188" s="53" t="n">
        <v>0</v>
      </c>
      <c r="AP2188" s="53" t="n">
        <v>0</v>
      </c>
      <c r="AQ2188" s="52" t="n">
        <v>0</v>
      </c>
      <c r="AR2188" s="52" t="n">
        <v>0</v>
      </c>
      <c r="AS2188" s="52" t="n">
        <v>0</v>
      </c>
      <c r="AT2188" s="52" t="n">
        <v>0</v>
      </c>
      <c r="AU2188" s="53" t="n">
        <v>0</v>
      </c>
      <c r="AV2188" s="53" t="n">
        <v>0</v>
      </c>
      <c r="AW2188" s="53" t="n">
        <v>0</v>
      </c>
      <c r="AX2188" s="53" t="n">
        <v>0</v>
      </c>
      <c r="AY2188" s="52" t="n">
        <v>0</v>
      </c>
      <c r="AZ2188" s="52" t="n">
        <v>0</v>
      </c>
      <c r="BA2188" s="52" t="n">
        <v>0</v>
      </c>
      <c r="BB2188" s="52" t="n">
        <v>0</v>
      </c>
      <c r="BC2188" s="51" t="n">
        <v>0</v>
      </c>
      <c r="BD2188" s="51" t="n">
        <v>0</v>
      </c>
      <c r="BE2188" s="51" t="n">
        <v>0</v>
      </c>
      <c r="BF2188" s="51" t="n">
        <v>0</v>
      </c>
    </row>
    <row r="2189">
      <c r="A2189">
        <f>HYPERLINK("https://www.walmart.com/ip/326279523", "326279523")</f>
        <v/>
      </c>
      <c r="B2189" t="inlineStr">
        <is>
          <t>Catalonia 15lb Weighted Blanket for Kids Adult, Premium Heavy Blanket, 48"×72", Cotton, Grey</t>
        </is>
      </c>
      <c r="C2189" t="inlineStr">
        <is>
          <t>1CTBG724GY-15C</t>
        </is>
      </c>
      <c r="D2189" t="inlineStr">
        <is>
          <t>Bed Blankets</t>
        </is>
      </c>
      <c r="E2189" t="inlineStr">
        <is>
          <t>Catalonia</t>
        </is>
      </c>
      <c r="F2189" t="inlineStr">
        <is>
          <t>WFS,Valentine,WFS Item</t>
        </is>
      </c>
      <c r="G2189" s="48" t="n">
        <v>0</v>
      </c>
      <c r="H2189" s="48" t="n">
        <v>0</v>
      </c>
      <c r="I2189" s="48" t="n">
        <v>0</v>
      </c>
      <c r="J2189" s="48" t="n">
        <v>0</v>
      </c>
      <c r="K2189" s="49" t="n">
        <v>0</v>
      </c>
      <c r="L2189" s="49" t="n">
        <v>0</v>
      </c>
      <c r="M2189" s="49" t="n">
        <v>0</v>
      </c>
      <c r="N2189" s="49" t="n">
        <v>0</v>
      </c>
      <c r="O2189" s="49" t="n">
        <v>0</v>
      </c>
      <c r="P2189" s="49" t="n">
        <v>0</v>
      </c>
      <c r="Q2189" s="49" t="n">
        <v>0</v>
      </c>
      <c r="R2189" s="49" t="n">
        <v>0</v>
      </c>
      <c r="S2189" s="50" t="n">
        <v>0</v>
      </c>
      <c r="T2189" s="50" t="n">
        <v>0</v>
      </c>
      <c r="U2189" s="50" t="n">
        <v>0</v>
      </c>
      <c r="V2189" s="50" t="n">
        <v>0</v>
      </c>
      <c r="W2189" s="51" t="n">
        <v>0</v>
      </c>
      <c r="X2189" s="51" t="n">
        <v>0</v>
      </c>
      <c r="Y2189" s="51" t="n">
        <v>0</v>
      </c>
      <c r="Z2189" s="51" t="n">
        <v>0</v>
      </c>
      <c r="AA2189" s="52" t="n">
        <v>0</v>
      </c>
      <c r="AB2189" s="52" t="n">
        <v>0</v>
      </c>
      <c r="AC2189" s="52" t="n">
        <v>0</v>
      </c>
      <c r="AD2189" s="52" t="n">
        <v>0</v>
      </c>
      <c r="AE2189" s="52" t="n">
        <v>0</v>
      </c>
      <c r="AF2189" s="52" t="n">
        <v>0</v>
      </c>
      <c r="AG2189" s="52" t="n">
        <v>0</v>
      </c>
      <c r="AH2189" s="52" t="n">
        <v>0</v>
      </c>
      <c r="AI2189" s="52" t="n">
        <v>0</v>
      </c>
      <c r="AJ2189" s="52" t="n">
        <v>0</v>
      </c>
      <c r="AK2189" s="52" t="n">
        <v>0</v>
      </c>
      <c r="AL2189" s="52" t="n">
        <v>0</v>
      </c>
      <c r="AM2189" s="53" t="n">
        <v>0</v>
      </c>
      <c r="AN2189" s="53" t="n">
        <v>0</v>
      </c>
      <c r="AO2189" s="53" t="n">
        <v>0</v>
      </c>
      <c r="AP2189" s="53" t="n">
        <v>0</v>
      </c>
      <c r="AQ2189" s="52" t="n">
        <v>0</v>
      </c>
      <c r="AR2189" s="52" t="n">
        <v>0</v>
      </c>
      <c r="AS2189" s="52" t="n">
        <v>0</v>
      </c>
      <c r="AT2189" s="52" t="n">
        <v>0</v>
      </c>
      <c r="AU2189" s="53" t="n">
        <v>0</v>
      </c>
      <c r="AV2189" s="53" t="n">
        <v>0</v>
      </c>
      <c r="AW2189" s="53" t="n">
        <v>0</v>
      </c>
      <c r="AX2189" s="53" t="n">
        <v>0</v>
      </c>
      <c r="AY2189" s="52" t="n">
        <v>0</v>
      </c>
      <c r="AZ2189" s="52" t="n">
        <v>0</v>
      </c>
      <c r="BA2189" s="52" t="n">
        <v>0</v>
      </c>
      <c r="BB2189" s="52" t="n">
        <v>0</v>
      </c>
      <c r="BC2189" s="51" t="n">
        <v>0</v>
      </c>
      <c r="BD2189" s="51" t="n">
        <v>0</v>
      </c>
      <c r="BE2189" s="51" t="n">
        <v>0</v>
      </c>
      <c r="BF2189" s="51" t="n">
        <v>0</v>
      </c>
    </row>
    <row r="2190">
      <c r="A2190">
        <f>HYPERLINK("https://www.walmart.com/ip/327737588", "327737588")</f>
        <v/>
      </c>
      <c r="B2190" t="inlineStr">
        <is>
          <t>Tirrinia Sherpa Wearable Blanket, Ultra Soft Comfy Warm Plush Full Body Throw with Sleeves, Reading Wrap, TV Blanket, Robe Cover for Grandma, Women, and Men, Grey</t>
        </is>
      </c>
      <c r="C2190" t="inlineStr">
        <is>
          <t>1TRSN110GY</t>
        </is>
      </c>
      <c r="D2190" t="inlineStr">
        <is>
          <t>Throws</t>
        </is>
      </c>
      <c r="E2190" t="inlineStr">
        <is>
          <t>Tirrinia</t>
        </is>
      </c>
      <c r="F2190" t="inlineStr">
        <is>
          <t>WFS,Coupon_Discount,WFS Item</t>
        </is>
      </c>
      <c r="G2190" s="48" t="n">
        <v>0</v>
      </c>
      <c r="H2190" s="48" t="n">
        <v>0</v>
      </c>
      <c r="I2190" s="48" t="n">
        <v>0</v>
      </c>
      <c r="J2190" s="48" t="n">
        <v>0</v>
      </c>
      <c r="K2190" s="49" t="n">
        <v>0</v>
      </c>
      <c r="L2190" s="49" t="n">
        <v>0</v>
      </c>
      <c r="M2190" s="49" t="n">
        <v>0</v>
      </c>
      <c r="N2190" s="49" t="n">
        <v>0</v>
      </c>
      <c r="O2190" s="49" t="n">
        <v>0</v>
      </c>
      <c r="P2190" s="49" t="n">
        <v>0</v>
      </c>
      <c r="Q2190" s="49" t="n">
        <v>0</v>
      </c>
      <c r="R2190" s="49" t="n">
        <v>0</v>
      </c>
      <c r="S2190" s="50" t="n">
        <v>0</v>
      </c>
      <c r="T2190" s="50" t="n">
        <v>0</v>
      </c>
      <c r="U2190" s="50" t="n">
        <v>0</v>
      </c>
      <c r="V2190" s="50" t="n">
        <v>0</v>
      </c>
      <c r="W2190" s="51" t="n">
        <v>0</v>
      </c>
      <c r="X2190" s="51" t="n">
        <v>0</v>
      </c>
      <c r="Y2190" s="51" t="n">
        <v>0</v>
      </c>
      <c r="Z2190" s="51" t="n">
        <v>0</v>
      </c>
      <c r="AA2190" s="52" t="n">
        <v>0</v>
      </c>
      <c r="AB2190" s="52" t="n">
        <v>0</v>
      </c>
      <c r="AC2190" s="52" t="n">
        <v>0</v>
      </c>
      <c r="AD2190" s="52" t="n">
        <v>0</v>
      </c>
      <c r="AE2190" s="52" t="n">
        <v>0</v>
      </c>
      <c r="AF2190" s="52" t="n">
        <v>0</v>
      </c>
      <c r="AG2190" s="52" t="n">
        <v>0</v>
      </c>
      <c r="AH2190" s="52" t="n">
        <v>0</v>
      </c>
      <c r="AI2190" s="52" t="n">
        <v>0</v>
      </c>
      <c r="AJ2190" s="52" t="n">
        <v>0</v>
      </c>
      <c r="AK2190" s="52" t="n">
        <v>0</v>
      </c>
      <c r="AL2190" s="52" t="n">
        <v>0</v>
      </c>
      <c r="AM2190" s="53" t="n">
        <v>0</v>
      </c>
      <c r="AN2190" s="53" t="n">
        <v>0</v>
      </c>
      <c r="AO2190" s="53" t="n">
        <v>0</v>
      </c>
      <c r="AP2190" s="53" t="n">
        <v>0</v>
      </c>
      <c r="AQ2190" s="52" t="n">
        <v>0</v>
      </c>
      <c r="AR2190" s="52" t="n">
        <v>0</v>
      </c>
      <c r="AS2190" s="52" t="n">
        <v>0</v>
      </c>
      <c r="AT2190" s="52" t="n">
        <v>0</v>
      </c>
      <c r="AU2190" s="53" t="n">
        <v>0</v>
      </c>
      <c r="AV2190" s="53" t="n">
        <v>0</v>
      </c>
      <c r="AW2190" s="53" t="n">
        <v>0</v>
      </c>
      <c r="AX2190" s="53" t="n">
        <v>0</v>
      </c>
      <c r="AY2190" s="52" t="n">
        <v>0</v>
      </c>
      <c r="AZ2190" s="52" t="n">
        <v>0</v>
      </c>
      <c r="BA2190" s="52" t="n">
        <v>0</v>
      </c>
      <c r="BB2190" s="52" t="n">
        <v>0</v>
      </c>
      <c r="BC2190" s="51" t="n">
        <v>0</v>
      </c>
      <c r="BD2190" s="51" t="n">
        <v>0</v>
      </c>
      <c r="BE2190" s="51" t="n">
        <v>0</v>
      </c>
      <c r="BF2190" s="51" t="n">
        <v>0</v>
      </c>
    </row>
    <row r="2191">
      <c r="A2191">
        <f>HYPERLINK("https://www.walmart.com/ip/327835938", "327835938")</f>
        <v/>
      </c>
      <c r="B2191" t="inlineStr">
        <is>
          <t>Mermaid Tail Blanket for Teen Girls with Anti-slip Neck Strap Wave Pattern | Soft Sleeping Bag for All Seasons</t>
        </is>
      </c>
      <c r="C2191" t="inlineStr">
        <is>
          <t>1CTMM100GY-TPB</t>
        </is>
      </c>
      <c r="D2191" t="inlineStr">
        <is>
          <t>Throws</t>
        </is>
      </c>
      <c r="E2191" t="inlineStr">
        <is>
          <t>Catalonia</t>
        </is>
      </c>
      <c r="F2191" t="inlineStr">
        <is>
          <t>Batch 1 - TR</t>
        </is>
      </c>
      <c r="G2191" s="48" t="n">
        <v>0</v>
      </c>
      <c r="H2191" s="48" t="n">
        <v>0</v>
      </c>
      <c r="I2191" s="48" t="n">
        <v>0</v>
      </c>
      <c r="J2191" s="48" t="n">
        <v>0</v>
      </c>
      <c r="K2191" s="49" t="n">
        <v>0</v>
      </c>
      <c r="L2191" s="49" t="n">
        <v>0</v>
      </c>
      <c r="M2191" s="49" t="n">
        <v>0</v>
      </c>
      <c r="N2191" s="49" t="n">
        <v>0</v>
      </c>
      <c r="O2191" s="49" t="n">
        <v>0</v>
      </c>
      <c r="P2191" s="49" t="n">
        <v>0</v>
      </c>
      <c r="Q2191" s="49" t="n">
        <v>0</v>
      </c>
      <c r="R2191" s="49" t="n">
        <v>0</v>
      </c>
      <c r="S2191" s="50" t="n">
        <v>0</v>
      </c>
      <c r="T2191" s="50" t="n">
        <v>0</v>
      </c>
      <c r="U2191" s="50" t="n">
        <v>0</v>
      </c>
      <c r="V2191" s="50" t="n">
        <v>0</v>
      </c>
      <c r="W2191" s="51" t="n">
        <v>0</v>
      </c>
      <c r="X2191" s="51" t="n">
        <v>0</v>
      </c>
      <c r="Y2191" s="51" t="n">
        <v>0</v>
      </c>
      <c r="Z2191" s="51" t="n">
        <v>0</v>
      </c>
      <c r="AA2191" s="52" t="n">
        <v>0</v>
      </c>
      <c r="AB2191" s="52" t="n">
        <v>0</v>
      </c>
      <c r="AC2191" s="52" t="n">
        <v>0</v>
      </c>
      <c r="AD2191" s="52" t="n">
        <v>0</v>
      </c>
      <c r="AE2191" s="52" t="n">
        <v>0</v>
      </c>
      <c r="AF2191" s="52" t="n">
        <v>0</v>
      </c>
      <c r="AG2191" s="52" t="n">
        <v>0</v>
      </c>
      <c r="AH2191" s="52" t="n">
        <v>0</v>
      </c>
      <c r="AI2191" s="52" t="n">
        <v>0</v>
      </c>
      <c r="AJ2191" s="52" t="n">
        <v>0</v>
      </c>
      <c r="AK2191" s="52" t="n">
        <v>0</v>
      </c>
      <c r="AL2191" s="52" t="n">
        <v>0</v>
      </c>
      <c r="AM2191" s="53" t="n">
        <v>0</v>
      </c>
      <c r="AN2191" s="53" t="n">
        <v>0</v>
      </c>
      <c r="AO2191" s="53" t="n">
        <v>0</v>
      </c>
      <c r="AP2191" s="53" t="n">
        <v>0</v>
      </c>
      <c r="AQ2191" s="52" t="n">
        <v>0</v>
      </c>
      <c r="AR2191" s="52" t="n">
        <v>0</v>
      </c>
      <c r="AS2191" s="52" t="n">
        <v>0</v>
      </c>
      <c r="AT2191" s="52" t="n">
        <v>0</v>
      </c>
      <c r="AU2191" s="53" t="n">
        <v>0</v>
      </c>
      <c r="AV2191" s="53" t="n">
        <v>0</v>
      </c>
      <c r="AW2191" s="53" t="n">
        <v>0</v>
      </c>
      <c r="AX2191" s="53" t="n">
        <v>0</v>
      </c>
      <c r="AY2191" s="52" t="n">
        <v>0</v>
      </c>
      <c r="AZ2191" s="52" t="n">
        <v>0</v>
      </c>
      <c r="BA2191" s="52" t="n">
        <v>0</v>
      </c>
      <c r="BB2191" s="52" t="n">
        <v>0</v>
      </c>
      <c r="BC2191" s="51" t="n">
        <v>0</v>
      </c>
      <c r="BD2191" s="51" t="n">
        <v>0</v>
      </c>
      <c r="BE2191" s="51" t="n">
        <v>0</v>
      </c>
      <c r="BF2191" s="51" t="n">
        <v>0</v>
      </c>
    </row>
    <row r="2192">
      <c r="A2192">
        <f>HYPERLINK("https://www.walmart.com/ip/328113538", "328113538")</f>
        <v/>
      </c>
      <c r="B2192" t="inlineStr">
        <is>
          <t>Catalonia Wearable TV Blanket with Sleeves Arms Warm Micro Plush Sherpa Fleece for Adult Large Wrap Throw Robe 72 x 55”</t>
        </is>
      </c>
      <c r="C2192" t="inlineStr">
        <is>
          <t>1CTSN110GY</t>
        </is>
      </c>
      <c r="D2192" t="inlineStr">
        <is>
          <t>Throws</t>
        </is>
      </c>
      <c r="E2192" t="inlineStr">
        <is>
          <t>Catalonia</t>
        </is>
      </c>
      <c r="F2192" t="inlineStr">
        <is>
          <t>Optimized,WFS,WFS Item</t>
        </is>
      </c>
      <c r="G2192" s="48" t="n">
        <v>0</v>
      </c>
      <c r="H2192" s="48" t="n">
        <v>0</v>
      </c>
      <c r="I2192" s="48" t="n">
        <v>0</v>
      </c>
      <c r="J2192" s="48" t="n">
        <v>0</v>
      </c>
      <c r="K2192" s="49" t="n">
        <v>0</v>
      </c>
      <c r="L2192" s="49" t="n">
        <v>0</v>
      </c>
      <c r="M2192" s="49" t="n">
        <v>0</v>
      </c>
      <c r="N2192" s="49" t="n">
        <v>0</v>
      </c>
      <c r="O2192" s="49" t="n">
        <v>0</v>
      </c>
      <c r="P2192" s="49" t="n">
        <v>0</v>
      </c>
      <c r="Q2192" s="49" t="n">
        <v>0</v>
      </c>
      <c r="R2192" s="49" t="n">
        <v>0</v>
      </c>
      <c r="S2192" s="50" t="n">
        <v>0</v>
      </c>
      <c r="T2192" s="50" t="n">
        <v>0</v>
      </c>
      <c r="U2192" s="50" t="n">
        <v>0</v>
      </c>
      <c r="V2192" s="50" t="n">
        <v>0</v>
      </c>
      <c r="W2192" s="51" t="n">
        <v>0</v>
      </c>
      <c r="X2192" s="51" t="n">
        <v>0</v>
      </c>
      <c r="Y2192" s="51" t="n">
        <v>0</v>
      </c>
      <c r="Z2192" s="51" t="n">
        <v>0</v>
      </c>
      <c r="AA2192" s="52" t="n">
        <v>0</v>
      </c>
      <c r="AB2192" s="52" t="n">
        <v>0</v>
      </c>
      <c r="AC2192" s="52" t="n">
        <v>0</v>
      </c>
      <c r="AD2192" s="52" t="n">
        <v>0</v>
      </c>
      <c r="AE2192" s="52" t="n">
        <v>0</v>
      </c>
      <c r="AF2192" s="52" t="n">
        <v>0</v>
      </c>
      <c r="AG2192" s="52" t="n">
        <v>0</v>
      </c>
      <c r="AH2192" s="52" t="n">
        <v>0</v>
      </c>
      <c r="AI2192" s="52" t="n">
        <v>0</v>
      </c>
      <c r="AJ2192" s="52" t="n">
        <v>0</v>
      </c>
      <c r="AK2192" s="52" t="n">
        <v>0</v>
      </c>
      <c r="AL2192" s="52" t="n">
        <v>0</v>
      </c>
      <c r="AM2192" s="53" t="n">
        <v>0</v>
      </c>
      <c r="AN2192" s="53" t="n">
        <v>0</v>
      </c>
      <c r="AO2192" s="53" t="n">
        <v>0</v>
      </c>
      <c r="AP2192" s="53" t="n">
        <v>0</v>
      </c>
      <c r="AQ2192" s="52" t="n">
        <v>0</v>
      </c>
      <c r="AR2192" s="52" t="n">
        <v>0</v>
      </c>
      <c r="AS2192" s="52" t="n">
        <v>0</v>
      </c>
      <c r="AT2192" s="52" t="n">
        <v>0</v>
      </c>
      <c r="AU2192" s="53" t="n">
        <v>0</v>
      </c>
      <c r="AV2192" s="53" t="n">
        <v>0</v>
      </c>
      <c r="AW2192" s="53" t="n">
        <v>0</v>
      </c>
      <c r="AX2192" s="53" t="n">
        <v>0</v>
      </c>
      <c r="AY2192" s="52" t="n">
        <v>0</v>
      </c>
      <c r="AZ2192" s="52" t="n">
        <v>0</v>
      </c>
      <c r="BA2192" s="52" t="n">
        <v>0</v>
      </c>
      <c r="BB2192" s="52" t="n">
        <v>0</v>
      </c>
      <c r="BC2192" s="51" t="n">
        <v>0</v>
      </c>
      <c r="BD2192" s="51" t="n">
        <v>0</v>
      </c>
      <c r="BE2192" s="51" t="n">
        <v>0</v>
      </c>
      <c r="BF2192" s="51" t="n">
        <v>0</v>
      </c>
    </row>
    <row r="2193">
      <c r="A2193">
        <f>HYPERLINK("https://www.walmart.com/ip/328339956", "328339956")</f>
        <v/>
      </c>
      <c r="B2193" t="inlineStr">
        <is>
          <t>Sherpa Fleece Throw Blanket for Kids,Super Soft Light Weight Reversible Fuzzy Snuggle Blanket for Camping Couch Bed All</t>
        </is>
      </c>
      <c r="C2193" t="inlineStr">
        <is>
          <t>1CTBF566BR</t>
        </is>
      </c>
      <c r="D2193" t="inlineStr">
        <is>
          <t>Throws</t>
        </is>
      </c>
      <c r="E2193" t="inlineStr">
        <is>
          <t>Catalonia</t>
        </is>
      </c>
      <c r="F2193" t="inlineStr">
        <is>
          <t>Optimized,WFS,WFS Item</t>
        </is>
      </c>
      <c r="G2193" s="48" t="n">
        <v>0</v>
      </c>
      <c r="H2193" s="48" t="n">
        <v>0</v>
      </c>
      <c r="I2193" s="48" t="n">
        <v>0</v>
      </c>
      <c r="J2193" s="48" t="n">
        <v>0</v>
      </c>
      <c r="K2193" s="49" t="n">
        <v>0</v>
      </c>
      <c r="L2193" s="49" t="n">
        <v>0</v>
      </c>
      <c r="M2193" s="49" t="n">
        <v>0</v>
      </c>
      <c r="N2193" s="49" t="n">
        <v>0</v>
      </c>
      <c r="O2193" s="49" t="n">
        <v>0</v>
      </c>
      <c r="P2193" s="49" t="n">
        <v>0</v>
      </c>
      <c r="Q2193" s="49" t="n">
        <v>0</v>
      </c>
      <c r="R2193" s="49" t="n">
        <v>0</v>
      </c>
      <c r="S2193" s="50" t="n">
        <v>0</v>
      </c>
      <c r="T2193" s="50" t="n">
        <v>0</v>
      </c>
      <c r="U2193" s="50" t="n">
        <v>0</v>
      </c>
      <c r="V2193" s="50" t="n">
        <v>0</v>
      </c>
      <c r="W2193" s="51" t="n">
        <v>0</v>
      </c>
      <c r="X2193" s="51" t="n">
        <v>0</v>
      </c>
      <c r="Y2193" s="51" t="n">
        <v>0</v>
      </c>
      <c r="Z2193" s="51" t="n">
        <v>0</v>
      </c>
      <c r="AA2193" s="52" t="n">
        <v>0</v>
      </c>
      <c r="AB2193" s="52" t="n">
        <v>0</v>
      </c>
      <c r="AC2193" s="52" t="n">
        <v>0</v>
      </c>
      <c r="AD2193" s="52" t="n">
        <v>0</v>
      </c>
      <c r="AE2193" s="52" t="n">
        <v>0</v>
      </c>
      <c r="AF2193" s="52" t="n">
        <v>0</v>
      </c>
      <c r="AG2193" s="52" t="n">
        <v>0</v>
      </c>
      <c r="AH2193" s="52" t="n">
        <v>0</v>
      </c>
      <c r="AI2193" s="52" t="n">
        <v>0</v>
      </c>
      <c r="AJ2193" s="52" t="n">
        <v>0</v>
      </c>
      <c r="AK2193" s="52" t="n">
        <v>0</v>
      </c>
      <c r="AL2193" s="52" t="n">
        <v>0</v>
      </c>
      <c r="AM2193" s="53" t="n">
        <v>0</v>
      </c>
      <c r="AN2193" s="53" t="n">
        <v>0</v>
      </c>
      <c r="AO2193" s="53" t="n">
        <v>0</v>
      </c>
      <c r="AP2193" s="53" t="n">
        <v>0</v>
      </c>
      <c r="AQ2193" s="52" t="n">
        <v>0</v>
      </c>
      <c r="AR2193" s="52" t="n">
        <v>0</v>
      </c>
      <c r="AS2193" s="52" t="n">
        <v>0</v>
      </c>
      <c r="AT2193" s="52" t="n">
        <v>0</v>
      </c>
      <c r="AU2193" s="53" t="n">
        <v>0</v>
      </c>
      <c r="AV2193" s="53" t="n">
        <v>0</v>
      </c>
      <c r="AW2193" s="53" t="n">
        <v>0</v>
      </c>
      <c r="AX2193" s="53" t="n">
        <v>0</v>
      </c>
      <c r="AY2193" s="52" t="n">
        <v>0</v>
      </c>
      <c r="AZ2193" s="52" t="n">
        <v>0</v>
      </c>
      <c r="BA2193" s="52" t="n">
        <v>0</v>
      </c>
      <c r="BB2193" s="52" t="n">
        <v>0</v>
      </c>
      <c r="BC2193" s="51" t="n">
        <v>0</v>
      </c>
      <c r="BD2193" s="51" t="n">
        <v>0</v>
      </c>
      <c r="BE2193" s="51" t="n">
        <v>0</v>
      </c>
      <c r="BF2193" s="51" t="n">
        <v>0</v>
      </c>
    </row>
    <row r="2194">
      <c r="A2194">
        <f>HYPERLINK("https://www.walmart.com/ip/328349027", "328349027")</f>
        <v/>
      </c>
      <c r="B2194" t="inlineStr">
        <is>
          <t>Solaris Winter Cable Knit Beanie Hats with Fur Pom Pom for Women Ski Cap</t>
        </is>
      </c>
      <c r="C2194" t="inlineStr">
        <is>
          <t>1SLPPH01GN</t>
        </is>
      </c>
      <c r="D2194" t="inlineStr">
        <is>
          <t>Hats</t>
        </is>
      </c>
      <c r="E2194" t="inlineStr">
        <is>
          <t>Solaris</t>
        </is>
      </c>
      <c r="F2194" t="inlineStr">
        <is>
          <t>Batch 1 - TR</t>
        </is>
      </c>
      <c r="G2194" s="48" t="n">
        <v>0</v>
      </c>
      <c r="H2194" s="48" t="n">
        <v>0</v>
      </c>
      <c r="I2194" s="48" t="n">
        <v>0</v>
      </c>
      <c r="J2194" s="48" t="n">
        <v>0</v>
      </c>
      <c r="K2194" s="49" t="n">
        <v>0</v>
      </c>
      <c r="L2194" s="49" t="n">
        <v>0</v>
      </c>
      <c r="M2194" s="49" t="n">
        <v>0</v>
      </c>
      <c r="N2194" s="49" t="n">
        <v>0</v>
      </c>
      <c r="O2194" s="49" t="n">
        <v>0</v>
      </c>
      <c r="P2194" s="49" t="n">
        <v>0</v>
      </c>
      <c r="Q2194" s="49" t="n">
        <v>0</v>
      </c>
      <c r="R2194" s="49" t="n">
        <v>0</v>
      </c>
      <c r="S2194" s="50" t="n">
        <v>0</v>
      </c>
      <c r="T2194" s="50" t="n">
        <v>0</v>
      </c>
      <c r="U2194" s="50" t="n">
        <v>0</v>
      </c>
      <c r="V2194" s="50" t="n">
        <v>0</v>
      </c>
      <c r="W2194" s="51" t="n">
        <v>0</v>
      </c>
      <c r="X2194" s="51" t="n">
        <v>0</v>
      </c>
      <c r="Y2194" s="51" t="n">
        <v>0</v>
      </c>
      <c r="Z2194" s="51" t="n">
        <v>0</v>
      </c>
      <c r="AA2194" s="52" t="n">
        <v>0</v>
      </c>
      <c r="AB2194" s="52" t="n">
        <v>0</v>
      </c>
      <c r="AC2194" s="52" t="n">
        <v>0</v>
      </c>
      <c r="AD2194" s="52" t="n">
        <v>0</v>
      </c>
      <c r="AE2194" s="52" t="n">
        <v>0</v>
      </c>
      <c r="AF2194" s="52" t="n">
        <v>0</v>
      </c>
      <c r="AG2194" s="52" t="n">
        <v>0</v>
      </c>
      <c r="AH2194" s="52" t="n">
        <v>0</v>
      </c>
      <c r="AI2194" s="52" t="n">
        <v>0</v>
      </c>
      <c r="AJ2194" s="52" t="n">
        <v>0</v>
      </c>
      <c r="AK2194" s="52" t="n">
        <v>0</v>
      </c>
      <c r="AL2194" s="52" t="n">
        <v>0</v>
      </c>
      <c r="AM2194" s="53" t="n">
        <v>0</v>
      </c>
      <c r="AN2194" s="53" t="n">
        <v>0</v>
      </c>
      <c r="AO2194" s="53" t="n">
        <v>0</v>
      </c>
      <c r="AP2194" s="53" t="n">
        <v>0</v>
      </c>
      <c r="AQ2194" s="52" t="n">
        <v>0</v>
      </c>
      <c r="AR2194" s="52" t="n">
        <v>0</v>
      </c>
      <c r="AS2194" s="52" t="n">
        <v>0</v>
      </c>
      <c r="AT2194" s="52" t="n">
        <v>0</v>
      </c>
      <c r="AU2194" s="53" t="n">
        <v>0</v>
      </c>
      <c r="AV2194" s="53" t="n">
        <v>0</v>
      </c>
      <c r="AW2194" s="53" t="n">
        <v>0</v>
      </c>
      <c r="AX2194" s="53" t="n">
        <v>0</v>
      </c>
      <c r="AY2194" s="52" t="n">
        <v>0</v>
      </c>
      <c r="AZ2194" s="52" t="n">
        <v>0</v>
      </c>
      <c r="BA2194" s="52" t="n">
        <v>0</v>
      </c>
      <c r="BB2194" s="52" t="n">
        <v>0</v>
      </c>
      <c r="BC2194" s="51" t="n">
        <v>0</v>
      </c>
      <c r="BD2194" s="51" t="n">
        <v>0</v>
      </c>
      <c r="BE2194" s="51" t="n">
        <v>0</v>
      </c>
      <c r="BF2194" s="51" t="n">
        <v>0</v>
      </c>
    </row>
    <row r="2195">
      <c r="A2195">
        <f>HYPERLINK("https://www.walmart.com/ip/321375372", "321375372")</f>
        <v/>
      </c>
      <c r="B2195" t="inlineStr">
        <is>
          <t>Hooded Blanket Poncho | Wearable Blanket Wrap with Hand Pockets | Comfy Sherpa Fleece Throw Cape for Children and Adults, Women Gift</t>
        </is>
      </c>
      <c r="C2195" t="inlineStr">
        <is>
          <t>1CTBC100NY</t>
        </is>
      </c>
      <c r="D2195" t="inlineStr">
        <is>
          <t>Throws</t>
        </is>
      </c>
      <c r="E2195" t="inlineStr">
        <is>
          <t>Catalonia</t>
        </is>
      </c>
      <c r="F2195" t="inlineStr">
        <is>
          <t>WFS,WFS Item</t>
        </is>
      </c>
      <c r="G2195" s="48" t="n">
        <v>0</v>
      </c>
      <c r="H2195" s="48" t="n">
        <v>0</v>
      </c>
      <c r="I2195" s="48" t="n">
        <v>0</v>
      </c>
      <c r="J2195" s="48" t="n">
        <v>0</v>
      </c>
      <c r="K2195" s="49" t="n">
        <v>0</v>
      </c>
      <c r="L2195" s="49" t="n">
        <v>0</v>
      </c>
      <c r="M2195" s="49" t="n">
        <v>0</v>
      </c>
      <c r="N2195" s="49" t="n">
        <v>0</v>
      </c>
      <c r="O2195" s="49" t="n">
        <v>0</v>
      </c>
      <c r="P2195" s="49" t="n">
        <v>0</v>
      </c>
      <c r="Q2195" s="49" t="n">
        <v>0</v>
      </c>
      <c r="R2195" s="49" t="n">
        <v>0</v>
      </c>
      <c r="S2195" s="50" t="n">
        <v>0</v>
      </c>
      <c r="T2195" s="50" t="n">
        <v>0</v>
      </c>
      <c r="U2195" s="50" t="n">
        <v>0</v>
      </c>
      <c r="V2195" s="50" t="n">
        <v>0</v>
      </c>
      <c r="W2195" s="51" t="n">
        <v>0</v>
      </c>
      <c r="X2195" s="51" t="n">
        <v>0</v>
      </c>
      <c r="Y2195" s="51" t="n">
        <v>0</v>
      </c>
      <c r="Z2195" s="51" t="n">
        <v>0</v>
      </c>
      <c r="AA2195" s="52" t="n">
        <v>0</v>
      </c>
      <c r="AB2195" s="52" t="n">
        <v>0</v>
      </c>
      <c r="AC2195" s="52" t="n">
        <v>0</v>
      </c>
      <c r="AD2195" s="52" t="n">
        <v>0</v>
      </c>
      <c r="AE2195" s="52" t="n">
        <v>0</v>
      </c>
      <c r="AF2195" s="52" t="n">
        <v>0</v>
      </c>
      <c r="AG2195" s="52" t="n">
        <v>0</v>
      </c>
      <c r="AH2195" s="52" t="n">
        <v>0</v>
      </c>
      <c r="AI2195" s="52" t="n">
        <v>0</v>
      </c>
      <c r="AJ2195" s="52" t="n">
        <v>0</v>
      </c>
      <c r="AK2195" s="52" t="n">
        <v>0</v>
      </c>
      <c r="AL2195" s="52" t="n">
        <v>0</v>
      </c>
      <c r="AM2195" s="53" t="n">
        <v>0</v>
      </c>
      <c r="AN2195" s="53" t="n">
        <v>0</v>
      </c>
      <c r="AO2195" s="53" t="n">
        <v>0</v>
      </c>
      <c r="AP2195" s="53" t="n">
        <v>0</v>
      </c>
      <c r="AQ2195" s="52" t="n">
        <v>0</v>
      </c>
      <c r="AR2195" s="52" t="n">
        <v>0</v>
      </c>
      <c r="AS2195" s="52" t="n">
        <v>0</v>
      </c>
      <c r="AT2195" s="52" t="n">
        <v>0</v>
      </c>
      <c r="AU2195" s="53" t="n">
        <v>0</v>
      </c>
      <c r="AV2195" s="53" t="n">
        <v>0</v>
      </c>
      <c r="AW2195" s="53" t="n">
        <v>0</v>
      </c>
      <c r="AX2195" s="53" t="n">
        <v>0</v>
      </c>
      <c r="AY2195" s="52" t="n">
        <v>0</v>
      </c>
      <c r="AZ2195" s="52" t="n">
        <v>0</v>
      </c>
      <c r="BA2195" s="52" t="n">
        <v>0</v>
      </c>
      <c r="BB2195" s="52" t="n">
        <v>0</v>
      </c>
      <c r="BC2195" s="51" t="n">
        <v>0</v>
      </c>
      <c r="BD2195" s="51" t="n">
        <v>0</v>
      </c>
      <c r="BE2195" s="51" t="n">
        <v>0</v>
      </c>
      <c r="BF2195" s="51" t="n">
        <v>0</v>
      </c>
    </row>
    <row r="2196">
      <c r="A2196">
        <f>HYPERLINK("https://www.walmart.com/ip/321260413", "321260413")</f>
        <v/>
      </c>
      <c r="B2196" t="inlineStr">
        <is>
          <t>Catalonia Women’s Sherpa Hoodie Sweatshirt Dress, Casual Fleece Pullover Sweater with Kangaroo Pocket, One Size</t>
        </is>
      </c>
      <c r="C2196" t="inlineStr">
        <is>
          <t>1CTHD532P2RD</t>
        </is>
      </c>
      <c r="D2196" t="inlineStr">
        <is>
          <t>Sweatshirts &amp; Hoodies</t>
        </is>
      </c>
      <c r="E2196" t="inlineStr">
        <is>
          <t>Catalonia</t>
        </is>
      </c>
      <c r="F2196" t="inlineStr">
        <is>
          <t>Hoodie ForAdult,Optimized</t>
        </is>
      </c>
      <c r="G2196" s="48" t="n">
        <v>0</v>
      </c>
      <c r="H2196" s="48" t="n">
        <v>0</v>
      </c>
      <c r="I2196" s="48" t="n">
        <v>0</v>
      </c>
      <c r="J2196" s="48" t="n">
        <v>0</v>
      </c>
      <c r="K2196" s="49" t="n">
        <v>0</v>
      </c>
      <c r="L2196" s="49" t="n">
        <v>0</v>
      </c>
      <c r="M2196" s="49" t="n">
        <v>0</v>
      </c>
      <c r="N2196" s="49" t="n">
        <v>0</v>
      </c>
      <c r="O2196" s="49" t="n">
        <v>0</v>
      </c>
      <c r="P2196" s="49" t="n">
        <v>0</v>
      </c>
      <c r="Q2196" s="49" t="n">
        <v>0</v>
      </c>
      <c r="R2196" s="49" t="n">
        <v>0</v>
      </c>
      <c r="S2196" s="50" t="n">
        <v>0</v>
      </c>
      <c r="T2196" s="50" t="n">
        <v>0</v>
      </c>
      <c r="U2196" s="50" t="n">
        <v>0</v>
      </c>
      <c r="V2196" s="50" t="n">
        <v>0</v>
      </c>
      <c r="W2196" s="51" t="n">
        <v>0</v>
      </c>
      <c r="X2196" s="51" t="n">
        <v>0</v>
      </c>
      <c r="Y2196" s="51" t="n">
        <v>0</v>
      </c>
      <c r="Z2196" s="51" t="n">
        <v>0</v>
      </c>
      <c r="AA2196" s="52" t="n">
        <v>0</v>
      </c>
      <c r="AB2196" s="52" t="n">
        <v>0</v>
      </c>
      <c r="AC2196" s="52" t="n">
        <v>0</v>
      </c>
      <c r="AD2196" s="52" t="n">
        <v>0</v>
      </c>
      <c r="AE2196" s="52" t="n">
        <v>0</v>
      </c>
      <c r="AF2196" s="52" t="n">
        <v>0</v>
      </c>
      <c r="AG2196" s="52" t="n">
        <v>0</v>
      </c>
      <c r="AH2196" s="52" t="n">
        <v>0</v>
      </c>
      <c r="AI2196" s="52" t="n">
        <v>0</v>
      </c>
      <c r="AJ2196" s="52" t="n">
        <v>0</v>
      </c>
      <c r="AK2196" s="52" t="n">
        <v>0</v>
      </c>
      <c r="AL2196" s="52" t="n">
        <v>0</v>
      </c>
      <c r="AM2196" s="53" t="n">
        <v>0</v>
      </c>
      <c r="AN2196" s="53" t="n">
        <v>0</v>
      </c>
      <c r="AO2196" s="53" t="n">
        <v>0</v>
      </c>
      <c r="AP2196" s="53" t="n">
        <v>0</v>
      </c>
      <c r="AQ2196" s="52" t="n">
        <v>0</v>
      </c>
      <c r="AR2196" s="52" t="n">
        <v>0</v>
      </c>
      <c r="AS2196" s="52" t="n">
        <v>0</v>
      </c>
      <c r="AT2196" s="52" t="n">
        <v>0</v>
      </c>
      <c r="AU2196" s="53" t="n">
        <v>0</v>
      </c>
      <c r="AV2196" s="53" t="n">
        <v>0</v>
      </c>
      <c r="AW2196" s="53" t="n">
        <v>0</v>
      </c>
      <c r="AX2196" s="53" t="n">
        <v>0</v>
      </c>
      <c r="AY2196" s="52" t="n">
        <v>0</v>
      </c>
      <c r="AZ2196" s="52" t="n">
        <v>0</v>
      </c>
      <c r="BA2196" s="52" t="n">
        <v>0</v>
      </c>
      <c r="BB2196" s="52" t="n">
        <v>0</v>
      </c>
      <c r="BC2196" s="51" t="n">
        <v>0</v>
      </c>
      <c r="BD2196" s="51" t="n">
        <v>0</v>
      </c>
      <c r="BE2196" s="51" t="n">
        <v>0</v>
      </c>
      <c r="BF2196" s="51" t="n">
        <v>0</v>
      </c>
    </row>
    <row r="2197">
      <c r="A2197">
        <f>HYPERLINK("https://www.walmart.com/ip/320798889", "320798889")</f>
        <v/>
      </c>
      <c r="B2197" t="inlineStr">
        <is>
          <t>Catalonia Wearable Blanket with Sleeves and Pocket, Cozy Soft Fleece Micro Plush Wrap Adult Snuggie Blanket Robe for Women Men, Makes a Great Gift for Holidays, Blue</t>
        </is>
      </c>
      <c r="C2197" t="inlineStr">
        <is>
          <t>1CTSN100BL</t>
        </is>
      </c>
      <c r="D2197" t="inlineStr">
        <is>
          <t>Throws</t>
        </is>
      </c>
      <c r="E2197" t="inlineStr">
        <is>
          <t>Catalonia</t>
        </is>
      </c>
      <c r="F2197" t="inlineStr">
        <is>
          <t>WFS,Coupon_Discount,WFS Item</t>
        </is>
      </c>
      <c r="G2197" s="48" t="n">
        <v>0</v>
      </c>
      <c r="H2197" s="48" t="n">
        <v>0</v>
      </c>
      <c r="I2197" s="48" t="n">
        <v>0</v>
      </c>
      <c r="J2197" s="48" t="n">
        <v>0</v>
      </c>
      <c r="K2197" s="49" t="n">
        <v>0</v>
      </c>
      <c r="L2197" s="49" t="n">
        <v>0</v>
      </c>
      <c r="M2197" s="49" t="n">
        <v>0</v>
      </c>
      <c r="N2197" s="49" t="n">
        <v>0</v>
      </c>
      <c r="O2197" s="49" t="n">
        <v>0</v>
      </c>
      <c r="P2197" s="49" t="n">
        <v>0</v>
      </c>
      <c r="Q2197" s="49" t="n">
        <v>0</v>
      </c>
      <c r="R2197" s="49" t="n">
        <v>0</v>
      </c>
      <c r="S2197" s="50" t="n">
        <v>0</v>
      </c>
      <c r="T2197" s="50" t="n">
        <v>0</v>
      </c>
      <c r="U2197" s="50" t="n">
        <v>0</v>
      </c>
      <c r="V2197" s="50" t="n">
        <v>0</v>
      </c>
      <c r="W2197" s="51" t="n">
        <v>0</v>
      </c>
      <c r="X2197" s="51" t="n">
        <v>0</v>
      </c>
      <c r="Y2197" s="51" t="n">
        <v>0</v>
      </c>
      <c r="Z2197" s="51" t="n">
        <v>0</v>
      </c>
      <c r="AA2197" s="52" t="n">
        <v>0</v>
      </c>
      <c r="AB2197" s="52" t="n">
        <v>0</v>
      </c>
      <c r="AC2197" s="52" t="n">
        <v>0</v>
      </c>
      <c r="AD2197" s="52" t="n">
        <v>0</v>
      </c>
      <c r="AE2197" s="52" t="n">
        <v>0</v>
      </c>
      <c r="AF2197" s="52" t="n">
        <v>0</v>
      </c>
      <c r="AG2197" s="52" t="n">
        <v>0</v>
      </c>
      <c r="AH2197" s="52" t="n">
        <v>0</v>
      </c>
      <c r="AI2197" s="52" t="n">
        <v>0</v>
      </c>
      <c r="AJ2197" s="52" t="n">
        <v>0</v>
      </c>
      <c r="AK2197" s="52" t="n">
        <v>0</v>
      </c>
      <c r="AL2197" s="52" t="n">
        <v>0</v>
      </c>
      <c r="AM2197" s="53" t="n">
        <v>0</v>
      </c>
      <c r="AN2197" s="53" t="n">
        <v>0</v>
      </c>
      <c r="AO2197" s="53" t="n">
        <v>0</v>
      </c>
      <c r="AP2197" s="53" t="n">
        <v>0</v>
      </c>
      <c r="AQ2197" s="52" t="n">
        <v>0</v>
      </c>
      <c r="AR2197" s="52" t="n">
        <v>0</v>
      </c>
      <c r="AS2197" s="52" t="n">
        <v>0</v>
      </c>
      <c r="AT2197" s="52" t="n">
        <v>0</v>
      </c>
      <c r="AU2197" s="53" t="n">
        <v>0</v>
      </c>
      <c r="AV2197" s="53" t="n">
        <v>0</v>
      </c>
      <c r="AW2197" s="53" t="n">
        <v>0</v>
      </c>
      <c r="AX2197" s="53" t="n">
        <v>0</v>
      </c>
      <c r="AY2197" s="52" t="n">
        <v>0</v>
      </c>
      <c r="AZ2197" s="52" t="n">
        <v>0</v>
      </c>
      <c r="BA2197" s="52" t="n">
        <v>0</v>
      </c>
      <c r="BB2197" s="52" t="n">
        <v>0</v>
      </c>
      <c r="BC2197" s="51" t="n">
        <v>0</v>
      </c>
      <c r="BD2197" s="51" t="n">
        <v>0</v>
      </c>
      <c r="BE2197" s="51" t="n">
        <v>0</v>
      </c>
      <c r="BF2197" s="51" t="n">
        <v>0</v>
      </c>
    </row>
    <row r="2198">
      <c r="A2198">
        <f>HYPERLINK("https://www.walmart.com/ip/3167907942", "3167907942")</f>
        <v/>
      </c>
      <c r="B2198" t="inlineStr">
        <is>
          <t>Kato Outdoors Waterproof Fleece Blanket, Sherpa Fleece Stadium Windproof Throw Mat for Boat, Traveling, Camping, Hiking, Football, Machine Washable, Light Grey, 59'' x 79''</t>
        </is>
      </c>
      <c r="C2198" t="inlineStr">
        <is>
          <t>1KTBW608LGDG</t>
        </is>
      </c>
      <c r="D2198" t="inlineStr">
        <is>
          <t>Throws</t>
        </is>
      </c>
      <c r="E2198" t="inlineStr">
        <is>
          <t>Kato</t>
        </is>
      </c>
      <c r="G2198" s="48" t="n">
        <v>0</v>
      </c>
      <c r="H2198" s="48" t="n">
        <v>0</v>
      </c>
      <c r="I2198" s="48" t="n">
        <v>0</v>
      </c>
      <c r="J2198" s="48" t="n">
        <v>0</v>
      </c>
      <c r="K2198" s="49" t="n">
        <v>0</v>
      </c>
      <c r="L2198" s="49" t="n">
        <v>0</v>
      </c>
      <c r="M2198" s="49" t="n">
        <v>0</v>
      </c>
      <c r="N2198" s="49" t="n">
        <v>0</v>
      </c>
      <c r="O2198" s="49" t="n">
        <v>0</v>
      </c>
      <c r="P2198" s="49" t="n">
        <v>0</v>
      </c>
      <c r="Q2198" s="49" t="n">
        <v>0</v>
      </c>
      <c r="R2198" s="49" t="n">
        <v>0</v>
      </c>
      <c r="S2198" s="50" t="n">
        <v>0</v>
      </c>
      <c r="T2198" s="50" t="n">
        <v>0</v>
      </c>
      <c r="U2198" s="50" t="n">
        <v>0</v>
      </c>
      <c r="V2198" s="50" t="n">
        <v>0</v>
      </c>
      <c r="W2198" s="51" t="n">
        <v>0</v>
      </c>
      <c r="X2198" s="51" t="n">
        <v>0</v>
      </c>
      <c r="Y2198" s="51" t="n">
        <v>0</v>
      </c>
      <c r="Z2198" s="51" t="n">
        <v>0</v>
      </c>
      <c r="AA2198" s="52" t="n">
        <v>0</v>
      </c>
      <c r="AB2198" s="52" t="n">
        <v>0</v>
      </c>
      <c r="AC2198" s="52" t="n">
        <v>0</v>
      </c>
      <c r="AD2198" s="52" t="n">
        <v>0</v>
      </c>
      <c r="AE2198" s="52" t="n">
        <v>0</v>
      </c>
      <c r="AF2198" s="52" t="n">
        <v>0</v>
      </c>
      <c r="AG2198" s="52" t="n">
        <v>0</v>
      </c>
      <c r="AH2198" s="52" t="n">
        <v>0</v>
      </c>
      <c r="AI2198" s="52" t="n">
        <v>0</v>
      </c>
      <c r="AJ2198" s="52" t="n">
        <v>0</v>
      </c>
      <c r="AK2198" s="52" t="n">
        <v>0</v>
      </c>
      <c r="AL2198" s="52" t="n">
        <v>0</v>
      </c>
      <c r="AM2198" s="53" t="n">
        <v>0</v>
      </c>
      <c r="AN2198" s="53" t="n">
        <v>0</v>
      </c>
      <c r="AO2198" s="53" t="n">
        <v>0</v>
      </c>
      <c r="AP2198" s="53" t="n">
        <v>0</v>
      </c>
      <c r="AQ2198" s="52" t="n">
        <v>0</v>
      </c>
      <c r="AR2198" s="52" t="n">
        <v>0</v>
      </c>
      <c r="AS2198" s="52" t="n">
        <v>0</v>
      </c>
      <c r="AT2198" s="52" t="n">
        <v>0</v>
      </c>
      <c r="AU2198" s="53" t="n">
        <v>0</v>
      </c>
      <c r="AV2198" s="53" t="n">
        <v>0</v>
      </c>
      <c r="AW2198" s="53" t="n">
        <v>0</v>
      </c>
      <c r="AX2198" s="53" t="n">
        <v>0</v>
      </c>
      <c r="AY2198" s="52" t="n">
        <v>0</v>
      </c>
      <c r="AZ2198" s="52" t="n">
        <v>0</v>
      </c>
      <c r="BA2198" s="52" t="n">
        <v>0</v>
      </c>
      <c r="BB2198" s="52" t="n">
        <v>0</v>
      </c>
      <c r="BC2198" s="51" t="n">
        <v>0</v>
      </c>
      <c r="BD2198" s="51" t="n">
        <v>0</v>
      </c>
      <c r="BE2198" s="51" t="n">
        <v>0</v>
      </c>
      <c r="BF2198" s="51" t="n">
        <v>0</v>
      </c>
    </row>
    <row r="2199">
      <c r="A2199">
        <f>HYPERLINK("https://www.walmart.com/ip/313649376", "313649376")</f>
        <v/>
      </c>
      <c r="B2199" t="inlineStr">
        <is>
          <t>Tirrinia Insulated Wine Carrier Tote - Travel Padded 2 Bottle Wine/ Champagne Cooler Bag with Handle and Adjustable Shoulder Strap, Great Wine Lover Gift, Brown</t>
        </is>
      </c>
      <c r="C2199" t="inlineStr">
        <is>
          <t>1TRWB211BR</t>
        </is>
      </c>
      <c r="D2199" t="inlineStr">
        <is>
          <t>Wine Totes, Bags &amp; Backpacks</t>
        </is>
      </c>
      <c r="E2199" t="inlineStr">
        <is>
          <t>Tirrinia</t>
        </is>
      </c>
      <c r="F2199" t="inlineStr">
        <is>
          <t>Wine,Christmas,Optimized,Valentine,Lily Brand Camp</t>
        </is>
      </c>
      <c r="G2199" s="48" t="n">
        <v>0</v>
      </c>
      <c r="H2199" s="48" t="n">
        <v>0</v>
      </c>
      <c r="I2199" s="48" t="n">
        <v>0</v>
      </c>
      <c r="J2199" s="48" t="n">
        <v>0</v>
      </c>
      <c r="K2199" s="49" t="n">
        <v>0</v>
      </c>
      <c r="L2199" s="49" t="n">
        <v>0</v>
      </c>
      <c r="M2199" s="49" t="n">
        <v>0</v>
      </c>
      <c r="N2199" s="49" t="n">
        <v>0</v>
      </c>
      <c r="O2199" s="49" t="n">
        <v>0</v>
      </c>
      <c r="P2199" s="49" t="n">
        <v>0</v>
      </c>
      <c r="Q2199" s="49" t="n">
        <v>0</v>
      </c>
      <c r="R2199" s="49" t="n">
        <v>0</v>
      </c>
      <c r="S2199" s="50" t="n">
        <v>0</v>
      </c>
      <c r="T2199" s="50" t="n">
        <v>0</v>
      </c>
      <c r="U2199" s="50" t="n">
        <v>0</v>
      </c>
      <c r="V2199" s="50" t="n">
        <v>0</v>
      </c>
      <c r="W2199" s="51" t="n">
        <v>4</v>
      </c>
      <c r="X2199" s="51" t="n">
        <v>3</v>
      </c>
      <c r="Y2199" s="51" t="n">
        <v>3</v>
      </c>
      <c r="Z2199" s="51" t="n">
        <v>2</v>
      </c>
      <c r="AA2199" s="52" t="n">
        <v>1.64</v>
      </c>
      <c r="AB2199" s="52" t="n">
        <v>1.2</v>
      </c>
      <c r="AC2199" s="52" t="n">
        <v>1.23</v>
      </c>
      <c r="AD2199" s="52" t="n">
        <v>0.8400000000000001</v>
      </c>
      <c r="AE2199" s="52" t="n">
        <v>0</v>
      </c>
      <c r="AF2199" s="52" t="n">
        <v>0</v>
      </c>
      <c r="AG2199" s="52" t="n">
        <v>0</v>
      </c>
      <c r="AH2199" s="52" t="n">
        <v>0</v>
      </c>
      <c r="AI2199" s="52" t="n">
        <v>0</v>
      </c>
      <c r="AJ2199" s="52" t="n">
        <v>0</v>
      </c>
      <c r="AK2199" s="52" t="n">
        <v>0</v>
      </c>
      <c r="AL2199" s="52" t="n">
        <v>0</v>
      </c>
      <c r="AM2199" s="53" t="n">
        <v>0.0023</v>
      </c>
      <c r="AN2199" s="53" t="n">
        <v>0.0028</v>
      </c>
      <c r="AO2199" s="53" t="n">
        <v>0.0029</v>
      </c>
      <c r="AP2199" s="53" t="n">
        <v>0.0021</v>
      </c>
      <c r="AQ2199" s="52" t="n">
        <v>0.41</v>
      </c>
      <c r="AR2199" s="52" t="n">
        <v>0.4000000000000001</v>
      </c>
      <c r="AS2199" s="52" t="n">
        <v>0.41</v>
      </c>
      <c r="AT2199" s="52" t="n">
        <v>0.42</v>
      </c>
      <c r="AU2199" s="53" t="n">
        <v>0</v>
      </c>
      <c r="AV2199" s="53" t="n">
        <v>0</v>
      </c>
      <c r="AW2199" s="53" t="n">
        <v>0</v>
      </c>
      <c r="AX2199" s="53" t="n">
        <v>0</v>
      </c>
      <c r="AY2199" s="52" t="n">
        <v>0</v>
      </c>
      <c r="AZ2199" s="52" t="n">
        <v>0</v>
      </c>
      <c r="BA2199" s="52" t="n">
        <v>0</v>
      </c>
      <c r="BB2199" s="52" t="n">
        <v>0</v>
      </c>
      <c r="BC2199" s="51" t="n">
        <v>1711</v>
      </c>
      <c r="BD2199" s="51" t="n">
        <v>1057</v>
      </c>
      <c r="BE2199" s="51" t="n">
        <v>1018</v>
      </c>
      <c r="BF2199" s="51" t="n">
        <v>944</v>
      </c>
    </row>
    <row r="2200">
      <c r="A2200">
        <f>HYPERLINK("https://www.walmart.com/ip/313995352", "313995352")</f>
        <v/>
      </c>
      <c r="B2200" t="inlineStr">
        <is>
          <t>Tirrinia Outdoor Boonie Sun Protection Hat Wide Brim Mesh Hat for Boating Hiking Camping Fishing Hunting Safari for 22'' Head Circumference Tan</t>
        </is>
      </c>
      <c r="C2200" t="inlineStr">
        <is>
          <t>KC-S9154-TN</t>
        </is>
      </c>
      <c r="D2200" t="inlineStr">
        <is>
          <t>Hats</t>
        </is>
      </c>
      <c r="E2200" t="inlineStr">
        <is>
          <t>Sun Blocker</t>
        </is>
      </c>
      <c r="F2200" t="inlineStr">
        <is>
          <t>WFS,Hats,WFS Item</t>
        </is>
      </c>
      <c r="G2200" s="48" t="n">
        <v>0</v>
      </c>
      <c r="H2200" s="48" t="n">
        <v>0</v>
      </c>
      <c r="I2200" s="48" t="n">
        <v>0</v>
      </c>
      <c r="J2200" s="48" t="n">
        <v>11.98</v>
      </c>
      <c r="K2200" s="49" t="n">
        <v>0</v>
      </c>
      <c r="L2200" s="49" t="n">
        <v>0</v>
      </c>
      <c r="M2200" s="49" t="n">
        <v>0</v>
      </c>
      <c r="N2200" s="49" t="n">
        <v>1</v>
      </c>
      <c r="O2200" s="49" t="n">
        <v>0</v>
      </c>
      <c r="P2200" s="49" t="n">
        <v>0</v>
      </c>
      <c r="Q2200" s="49" t="n">
        <v>0</v>
      </c>
      <c r="R2200" s="49" t="n">
        <v>0</v>
      </c>
      <c r="S2200" s="50" t="n">
        <v>0</v>
      </c>
      <c r="T2200" s="50" t="n">
        <v>0</v>
      </c>
      <c r="U2200" s="50" t="n">
        <v>0</v>
      </c>
      <c r="V2200" s="50" t="n">
        <v>0</v>
      </c>
      <c r="W2200" s="51" t="n">
        <v>0</v>
      </c>
      <c r="X2200" s="51" t="n">
        <v>0</v>
      </c>
      <c r="Y2200" s="51" t="n">
        <v>0</v>
      </c>
      <c r="Z2200" s="51" t="n">
        <v>0</v>
      </c>
      <c r="AA2200" s="52" t="n">
        <v>0</v>
      </c>
      <c r="AB2200" s="52" t="n">
        <v>0</v>
      </c>
      <c r="AC2200" s="52" t="n">
        <v>0</v>
      </c>
      <c r="AD2200" s="52" t="n">
        <v>0</v>
      </c>
      <c r="AE2200" s="52" t="n">
        <v>0</v>
      </c>
      <c r="AF2200" s="52" t="n">
        <v>0</v>
      </c>
      <c r="AG2200" s="52" t="n">
        <v>0</v>
      </c>
      <c r="AH2200" s="52" t="n">
        <v>0</v>
      </c>
      <c r="AI2200" s="52" t="n">
        <v>0</v>
      </c>
      <c r="AJ2200" s="52" t="n">
        <v>0</v>
      </c>
      <c r="AK2200" s="52" t="n">
        <v>0</v>
      </c>
      <c r="AL2200" s="52" t="n">
        <v>0</v>
      </c>
      <c r="AM2200" s="53" t="n">
        <v>0</v>
      </c>
      <c r="AN2200" s="53" t="n">
        <v>0</v>
      </c>
      <c r="AO2200" s="53" t="n">
        <v>0</v>
      </c>
      <c r="AP2200" s="53" t="n">
        <v>0</v>
      </c>
      <c r="AQ2200" s="52" t="n">
        <v>0</v>
      </c>
      <c r="AR2200" s="52" t="n">
        <v>0</v>
      </c>
      <c r="AS2200" s="52" t="n">
        <v>0</v>
      </c>
      <c r="AT2200" s="52" t="n">
        <v>0</v>
      </c>
      <c r="AU2200" s="53" t="n">
        <v>0</v>
      </c>
      <c r="AV2200" s="53" t="n">
        <v>0</v>
      </c>
      <c r="AW2200" s="53" t="n">
        <v>0</v>
      </c>
      <c r="AX2200" s="53" t="n">
        <v>0</v>
      </c>
      <c r="AY2200" s="52" t="n">
        <v>0</v>
      </c>
      <c r="AZ2200" s="52" t="n">
        <v>0</v>
      </c>
      <c r="BA2200" s="52" t="n">
        <v>0</v>
      </c>
      <c r="BB2200" s="52" t="n">
        <v>11.98</v>
      </c>
      <c r="BC2200" s="51" t="n">
        <v>0</v>
      </c>
      <c r="BD2200" s="51" t="n">
        <v>0</v>
      </c>
      <c r="BE2200" s="51" t="n">
        <v>0</v>
      </c>
      <c r="BF2200" s="51" t="n">
        <v>0</v>
      </c>
    </row>
    <row r="2201">
      <c r="A2201">
        <f>HYPERLINK("https://www.walmart.com/ip/314644360", "314644360")</f>
        <v/>
      </c>
      <c r="B2201" t="inlineStr">
        <is>
          <t>Kato Wine Opener Accessories Gift Set - 5 Pcs Wine Bottle Corkscrew Screwpull Kit by Kato, Great Wedding and Birthday Gifts for Wine Lovers, Silver &amp; Black</t>
        </is>
      </c>
      <c r="C2201" t="inlineStr">
        <is>
          <t>1KTWO502SLBK</t>
        </is>
      </c>
      <c r="D2201" t="inlineStr">
        <is>
          <t>Corkscrews &amp; Wine Bottle Openers</t>
        </is>
      </c>
      <c r="E2201" t="inlineStr">
        <is>
          <t>Kato</t>
        </is>
      </c>
      <c r="F2201" t="inlineStr">
        <is>
          <t>Wine,Christmas,Valentine</t>
        </is>
      </c>
      <c r="G2201" s="48" t="n">
        <v>0</v>
      </c>
      <c r="H2201" s="48" t="n">
        <v>0</v>
      </c>
      <c r="I2201" s="48" t="n">
        <v>0</v>
      </c>
      <c r="J2201" s="48" t="n">
        <v>0</v>
      </c>
      <c r="K2201" s="49" t="n">
        <v>0</v>
      </c>
      <c r="L2201" s="49" t="n">
        <v>0</v>
      </c>
      <c r="M2201" s="49" t="n">
        <v>0</v>
      </c>
      <c r="N2201" s="49" t="n">
        <v>0</v>
      </c>
      <c r="O2201" s="49" t="n">
        <v>0</v>
      </c>
      <c r="P2201" s="49" t="n">
        <v>0</v>
      </c>
      <c r="Q2201" s="49" t="n">
        <v>0</v>
      </c>
      <c r="R2201" s="49" t="n">
        <v>0</v>
      </c>
      <c r="S2201" s="50" t="n">
        <v>0</v>
      </c>
      <c r="T2201" s="50" t="n">
        <v>0</v>
      </c>
      <c r="U2201" s="50" t="n">
        <v>0</v>
      </c>
      <c r="V2201" s="50" t="n">
        <v>0</v>
      </c>
      <c r="W2201" s="51" t="n">
        <v>0</v>
      </c>
      <c r="X2201" s="51" t="n">
        <v>0</v>
      </c>
      <c r="Y2201" s="51" t="n">
        <v>0</v>
      </c>
      <c r="Z2201" s="51" t="n">
        <v>0</v>
      </c>
      <c r="AA2201" s="52" t="n">
        <v>0</v>
      </c>
      <c r="AB2201" s="52" t="n">
        <v>0</v>
      </c>
      <c r="AC2201" s="52" t="n">
        <v>0</v>
      </c>
      <c r="AD2201" s="52" t="n">
        <v>0</v>
      </c>
      <c r="AE2201" s="52" t="n">
        <v>0</v>
      </c>
      <c r="AF2201" s="52" t="n">
        <v>0</v>
      </c>
      <c r="AG2201" s="52" t="n">
        <v>0</v>
      </c>
      <c r="AH2201" s="52" t="n">
        <v>0</v>
      </c>
      <c r="AI2201" s="52" t="n">
        <v>0</v>
      </c>
      <c r="AJ2201" s="52" t="n">
        <v>0</v>
      </c>
      <c r="AK2201" s="52" t="n">
        <v>0</v>
      </c>
      <c r="AL2201" s="52" t="n">
        <v>0</v>
      </c>
      <c r="AM2201" s="53" t="n">
        <v>0</v>
      </c>
      <c r="AN2201" s="53" t="n">
        <v>0</v>
      </c>
      <c r="AO2201" s="53" t="n">
        <v>0</v>
      </c>
      <c r="AP2201" s="53" t="n">
        <v>0</v>
      </c>
      <c r="AQ2201" s="52" t="n">
        <v>0</v>
      </c>
      <c r="AR2201" s="52" t="n">
        <v>0</v>
      </c>
      <c r="AS2201" s="52" t="n">
        <v>0</v>
      </c>
      <c r="AT2201" s="52" t="n">
        <v>0</v>
      </c>
      <c r="AU2201" s="53" t="n">
        <v>0</v>
      </c>
      <c r="AV2201" s="53" t="n">
        <v>0</v>
      </c>
      <c r="AW2201" s="53" t="n">
        <v>0</v>
      </c>
      <c r="AX2201" s="53" t="n">
        <v>0</v>
      </c>
      <c r="AY2201" s="52" t="n">
        <v>0</v>
      </c>
      <c r="AZ2201" s="52" t="n">
        <v>0</v>
      </c>
      <c r="BA2201" s="52" t="n">
        <v>0</v>
      </c>
      <c r="BB2201" s="52" t="n">
        <v>0</v>
      </c>
      <c r="BC2201" s="51" t="n">
        <v>0</v>
      </c>
      <c r="BD2201" s="51" t="n">
        <v>0</v>
      </c>
      <c r="BE2201" s="51" t="n">
        <v>0</v>
      </c>
      <c r="BF2201" s="51" t="n">
        <v>0</v>
      </c>
    </row>
    <row r="2202">
      <c r="A2202">
        <f>HYPERLINK("https://www.walmart.com/ip/314705553", "314705553")</f>
        <v/>
      </c>
      <c r="B2202" t="inlineStr">
        <is>
          <t>Catalonia Sherpa Wearable Blanket Poncho for Adult Women Men, Wrap Blanket Cape with Pocket, Warm, Soft, Cozy, Snuggly, Comfort Gift, No Sleeves, Camel</t>
        </is>
      </c>
      <c r="C2202" t="inlineStr">
        <is>
          <t>1CTBP110CA</t>
        </is>
      </c>
      <c r="D2202" t="inlineStr">
        <is>
          <t>Throws</t>
        </is>
      </c>
      <c r="E2202" t="inlineStr">
        <is>
          <t>Catalonia</t>
        </is>
      </c>
      <c r="F2202" t="inlineStr">
        <is>
          <t>Hero 5 Holidays,Coupon_Discount,Batch 1 - TR</t>
        </is>
      </c>
      <c r="G2202" s="48" t="n">
        <v>0</v>
      </c>
      <c r="H2202" s="48" t="n">
        <v>0</v>
      </c>
      <c r="I2202" s="48" t="n">
        <v>0</v>
      </c>
      <c r="J2202" s="48" t="n">
        <v>0</v>
      </c>
      <c r="K2202" s="49" t="n">
        <v>0</v>
      </c>
      <c r="L2202" s="49" t="n">
        <v>0</v>
      </c>
      <c r="M2202" s="49" t="n">
        <v>0</v>
      </c>
      <c r="N2202" s="49" t="n">
        <v>0</v>
      </c>
      <c r="O2202" s="49" t="n">
        <v>0</v>
      </c>
      <c r="P2202" s="49" t="n">
        <v>0</v>
      </c>
      <c r="Q2202" s="49" t="n">
        <v>0</v>
      </c>
      <c r="R2202" s="49" t="n">
        <v>0</v>
      </c>
      <c r="S2202" s="50" t="n">
        <v>0</v>
      </c>
      <c r="T2202" s="50" t="n">
        <v>0</v>
      </c>
      <c r="U2202" s="50" t="n">
        <v>0</v>
      </c>
      <c r="V2202" s="50" t="n">
        <v>0</v>
      </c>
      <c r="W2202" s="51" t="n">
        <v>0</v>
      </c>
      <c r="X2202" s="51" t="n">
        <v>0</v>
      </c>
      <c r="Y2202" s="51" t="n">
        <v>0</v>
      </c>
      <c r="Z2202" s="51" t="n">
        <v>0</v>
      </c>
      <c r="AA2202" s="52" t="n">
        <v>0</v>
      </c>
      <c r="AB2202" s="52" t="n">
        <v>0</v>
      </c>
      <c r="AC2202" s="52" t="n">
        <v>0</v>
      </c>
      <c r="AD2202" s="52" t="n">
        <v>0</v>
      </c>
      <c r="AE2202" s="52" t="n">
        <v>0</v>
      </c>
      <c r="AF2202" s="52" t="n">
        <v>0</v>
      </c>
      <c r="AG2202" s="52" t="n">
        <v>0</v>
      </c>
      <c r="AH2202" s="52" t="n">
        <v>0</v>
      </c>
      <c r="AI2202" s="52" t="n">
        <v>0</v>
      </c>
      <c r="AJ2202" s="52" t="n">
        <v>0</v>
      </c>
      <c r="AK2202" s="52" t="n">
        <v>0</v>
      </c>
      <c r="AL2202" s="52" t="n">
        <v>0</v>
      </c>
      <c r="AM2202" s="53" t="n">
        <v>0</v>
      </c>
      <c r="AN2202" s="53" t="n">
        <v>0</v>
      </c>
      <c r="AO2202" s="53" t="n">
        <v>0</v>
      </c>
      <c r="AP2202" s="53" t="n">
        <v>0</v>
      </c>
      <c r="AQ2202" s="52" t="n">
        <v>0</v>
      </c>
      <c r="AR2202" s="52" t="n">
        <v>0</v>
      </c>
      <c r="AS2202" s="52" t="n">
        <v>0</v>
      </c>
      <c r="AT2202" s="52" t="n">
        <v>0</v>
      </c>
      <c r="AU2202" s="53" t="n">
        <v>0</v>
      </c>
      <c r="AV2202" s="53" t="n">
        <v>0</v>
      </c>
      <c r="AW2202" s="53" t="n">
        <v>0</v>
      </c>
      <c r="AX2202" s="53" t="n">
        <v>0</v>
      </c>
      <c r="AY2202" s="52" t="n">
        <v>0</v>
      </c>
      <c r="AZ2202" s="52" t="n">
        <v>0</v>
      </c>
      <c r="BA2202" s="52" t="n">
        <v>0</v>
      </c>
      <c r="BB2202" s="52" t="n">
        <v>0</v>
      </c>
      <c r="BC2202" s="51" t="n">
        <v>0</v>
      </c>
      <c r="BD2202" s="51" t="n">
        <v>0</v>
      </c>
      <c r="BE2202" s="51" t="n">
        <v>0</v>
      </c>
      <c r="BF2202" s="51" t="n">
        <v>0</v>
      </c>
    </row>
    <row r="2203">
      <c r="A2203">
        <f>HYPERLINK("https://www.walmart.com/ip/3160999535", "3160999535")</f>
        <v/>
      </c>
      <c r="B2203" t="inlineStr">
        <is>
          <t>Tirrinia 2 In 1 Outdoors UPF 50+ UV Protection Sun Hat for Womens, One Size Female Sports Baseball Cap Gardening Fishing Hat with Neck Flap, Gray</t>
        </is>
      </c>
      <c r="C2203" t="inlineStr">
        <is>
          <t>1TRSH9153GY</t>
        </is>
      </c>
      <c r="D2203" t="inlineStr">
        <is>
          <t>Hats</t>
        </is>
      </c>
      <c r="E2203" t="inlineStr">
        <is>
          <t>Tirrinia</t>
        </is>
      </c>
      <c r="G2203" s="48" t="n">
        <v>0</v>
      </c>
      <c r="H2203" s="48" t="n">
        <v>0</v>
      </c>
      <c r="I2203" s="48" t="n">
        <v>0</v>
      </c>
      <c r="J2203" s="48" t="n">
        <v>0</v>
      </c>
      <c r="K2203" s="49" t="n">
        <v>0</v>
      </c>
      <c r="L2203" s="49" t="n">
        <v>0</v>
      </c>
      <c r="M2203" s="49" t="n">
        <v>0</v>
      </c>
      <c r="N2203" s="49" t="n">
        <v>0</v>
      </c>
      <c r="O2203" s="49" t="n">
        <v>0</v>
      </c>
      <c r="P2203" s="49" t="n">
        <v>0</v>
      </c>
      <c r="Q2203" s="49" t="n">
        <v>0</v>
      </c>
      <c r="R2203" s="49" t="n">
        <v>0</v>
      </c>
      <c r="S2203" s="50" t="n">
        <v>0</v>
      </c>
      <c r="T2203" s="50" t="n">
        <v>0</v>
      </c>
      <c r="U2203" s="50" t="n">
        <v>0</v>
      </c>
      <c r="V2203" s="50" t="n">
        <v>0</v>
      </c>
      <c r="W2203" s="51" t="n">
        <v>0</v>
      </c>
      <c r="X2203" s="51" t="n">
        <v>0</v>
      </c>
      <c r="Y2203" s="51" t="n">
        <v>0</v>
      </c>
      <c r="Z2203" s="51" t="n">
        <v>0</v>
      </c>
      <c r="AA2203" s="52" t="n">
        <v>0</v>
      </c>
      <c r="AB2203" s="52" t="n">
        <v>0</v>
      </c>
      <c r="AC2203" s="52" t="n">
        <v>0</v>
      </c>
      <c r="AD2203" s="52" t="n">
        <v>0</v>
      </c>
      <c r="AE2203" s="52" t="n">
        <v>0</v>
      </c>
      <c r="AF2203" s="52" t="n">
        <v>0</v>
      </c>
      <c r="AG2203" s="52" t="n">
        <v>0</v>
      </c>
      <c r="AH2203" s="52" t="n">
        <v>0</v>
      </c>
      <c r="AI2203" s="52" t="n">
        <v>0</v>
      </c>
      <c r="AJ2203" s="52" t="n">
        <v>0</v>
      </c>
      <c r="AK2203" s="52" t="n">
        <v>0</v>
      </c>
      <c r="AL2203" s="52" t="n">
        <v>0</v>
      </c>
      <c r="AM2203" s="53" t="n">
        <v>0</v>
      </c>
      <c r="AN2203" s="53" t="n">
        <v>0</v>
      </c>
      <c r="AO2203" s="53" t="n">
        <v>0</v>
      </c>
      <c r="AP2203" s="53" t="n">
        <v>0</v>
      </c>
      <c r="AQ2203" s="52" t="n">
        <v>0</v>
      </c>
      <c r="AR2203" s="52" t="n">
        <v>0</v>
      </c>
      <c r="AS2203" s="52" t="n">
        <v>0</v>
      </c>
      <c r="AT2203" s="52" t="n">
        <v>0</v>
      </c>
      <c r="AU2203" s="53" t="n">
        <v>0</v>
      </c>
      <c r="AV2203" s="53" t="n">
        <v>0</v>
      </c>
      <c r="AW2203" s="53" t="n">
        <v>0</v>
      </c>
      <c r="AX2203" s="53" t="n">
        <v>0</v>
      </c>
      <c r="AY2203" s="52" t="n">
        <v>0</v>
      </c>
      <c r="AZ2203" s="52" t="n">
        <v>0</v>
      </c>
      <c r="BA2203" s="52" t="n">
        <v>0</v>
      </c>
      <c r="BB2203" s="52" t="n">
        <v>0</v>
      </c>
      <c r="BC2203" s="51" t="n">
        <v>0</v>
      </c>
      <c r="BD2203" s="51" t="n">
        <v>0</v>
      </c>
      <c r="BE2203" s="51" t="n">
        <v>0</v>
      </c>
      <c r="BF2203" s="51" t="n">
        <v>0</v>
      </c>
    </row>
    <row r="2204">
      <c r="A2204">
        <f>HYPERLINK("https://www.walmart.com/ip/316443429", "316443429")</f>
        <v/>
      </c>
      <c r="B2204" t="inlineStr">
        <is>
          <t>Jennis Women's Sexy See-through Lingerie Lace Fishnet Suspender</t>
        </is>
      </c>
      <c r="C2204" t="inlineStr">
        <is>
          <t>JWBD01BKRD-3XL</t>
        </is>
      </c>
      <c r="D2204" t="inlineStr">
        <is>
          <t>Teddies &amp; Bodystockings</t>
        </is>
      </c>
      <c r="E2204" t="inlineStr">
        <is>
          <t>Jennis</t>
        </is>
      </c>
      <c r="F2204" t="inlineStr">
        <is>
          <t>Valentine</t>
        </is>
      </c>
      <c r="G2204" s="48" t="n">
        <v>0</v>
      </c>
      <c r="H2204" s="48" t="n">
        <v>0</v>
      </c>
      <c r="I2204" s="48" t="n">
        <v>0</v>
      </c>
      <c r="J2204" s="48" t="n">
        <v>0</v>
      </c>
      <c r="K2204" s="49" t="n">
        <v>0</v>
      </c>
      <c r="L2204" s="49" t="n">
        <v>0</v>
      </c>
      <c r="M2204" s="49" t="n">
        <v>0</v>
      </c>
      <c r="N2204" s="49" t="n">
        <v>0</v>
      </c>
      <c r="O2204" s="49" t="n">
        <v>0</v>
      </c>
      <c r="P2204" s="49" t="n">
        <v>0</v>
      </c>
      <c r="Q2204" s="49" t="n">
        <v>0</v>
      </c>
      <c r="R2204" s="49" t="n">
        <v>0</v>
      </c>
      <c r="S2204" s="50" t="n">
        <v>0</v>
      </c>
      <c r="T2204" s="50" t="n">
        <v>0</v>
      </c>
      <c r="U2204" s="50" t="n">
        <v>0</v>
      </c>
      <c r="V2204" s="50" t="n">
        <v>0</v>
      </c>
      <c r="W2204" s="51" t="n">
        <v>0</v>
      </c>
      <c r="X2204" s="51" t="n">
        <v>0</v>
      </c>
      <c r="Y2204" s="51" t="n">
        <v>0</v>
      </c>
      <c r="Z2204" s="51" t="n">
        <v>0</v>
      </c>
      <c r="AA2204" s="52" t="n">
        <v>0</v>
      </c>
      <c r="AB2204" s="52" t="n">
        <v>0</v>
      </c>
      <c r="AC2204" s="52" t="n">
        <v>0</v>
      </c>
      <c r="AD2204" s="52" t="n">
        <v>0</v>
      </c>
      <c r="AE2204" s="52" t="n">
        <v>0</v>
      </c>
      <c r="AF2204" s="52" t="n">
        <v>0</v>
      </c>
      <c r="AG2204" s="52" t="n">
        <v>0</v>
      </c>
      <c r="AH2204" s="52" t="n">
        <v>0</v>
      </c>
      <c r="AI2204" s="52" t="n">
        <v>0</v>
      </c>
      <c r="AJ2204" s="52" t="n">
        <v>0</v>
      </c>
      <c r="AK2204" s="52" t="n">
        <v>0</v>
      </c>
      <c r="AL2204" s="52" t="n">
        <v>0</v>
      </c>
      <c r="AM2204" s="53" t="n">
        <v>0</v>
      </c>
      <c r="AN2204" s="53" t="n">
        <v>0</v>
      </c>
      <c r="AO2204" s="53" t="n">
        <v>0</v>
      </c>
      <c r="AP2204" s="53" t="n">
        <v>0</v>
      </c>
      <c r="AQ2204" s="52" t="n">
        <v>0</v>
      </c>
      <c r="AR2204" s="52" t="n">
        <v>0</v>
      </c>
      <c r="AS2204" s="52" t="n">
        <v>0</v>
      </c>
      <c r="AT2204" s="52" t="n">
        <v>0</v>
      </c>
      <c r="AU2204" s="53" t="n">
        <v>0</v>
      </c>
      <c r="AV2204" s="53" t="n">
        <v>0</v>
      </c>
      <c r="AW2204" s="53" t="n">
        <v>0</v>
      </c>
      <c r="AX2204" s="53" t="n">
        <v>0</v>
      </c>
      <c r="AY2204" s="52" t="n">
        <v>0</v>
      </c>
      <c r="AZ2204" s="52" t="n">
        <v>0</v>
      </c>
      <c r="BA2204" s="52" t="n">
        <v>0</v>
      </c>
      <c r="BB2204" s="52" t="n">
        <v>0</v>
      </c>
      <c r="BC2204" s="51" t="n">
        <v>0</v>
      </c>
      <c r="BD2204" s="51" t="n">
        <v>0</v>
      </c>
      <c r="BE2204" s="51" t="n">
        <v>0</v>
      </c>
      <c r="BF2204" s="51" t="n">
        <v>0</v>
      </c>
    </row>
    <row r="2205">
      <c r="A2205">
        <f>HYPERLINK("https://www.walmart.com/ip/316798001", "316798001")</f>
        <v/>
      </c>
      <c r="B2205" t="inlineStr">
        <is>
          <t>Kato 6 Bottle Wine Carrier - Insulated Portable Wine Carry Cooler Tote Bag for Travel or Picnic, Perfect Wine Lover Gift, Black</t>
        </is>
      </c>
      <c r="C2205" t="inlineStr">
        <is>
          <t>1KTWB600BK</t>
        </is>
      </c>
      <c r="D2205" t="inlineStr">
        <is>
          <t>Wine Totes, Bags &amp; Backpacks</t>
        </is>
      </c>
      <c r="E2205" t="inlineStr">
        <is>
          <t>Kato</t>
        </is>
      </c>
      <c r="F2205" t="inlineStr">
        <is>
          <t>Wine,Wine Bag Camp,Christmas,WFS,Wine WFS,Valentine,SEM,WFS Item</t>
        </is>
      </c>
      <c r="G2205" s="48" t="n">
        <v>0</v>
      </c>
      <c r="H2205" s="48" t="n">
        <v>0</v>
      </c>
      <c r="I2205" s="48" t="n">
        <v>-19.99</v>
      </c>
      <c r="J2205" s="48" t="n">
        <v>0</v>
      </c>
      <c r="K2205" s="49" t="n">
        <v>0</v>
      </c>
      <c r="L2205" s="49" t="n">
        <v>0</v>
      </c>
      <c r="M2205" s="49" t="n">
        <v>-1</v>
      </c>
      <c r="N2205" s="49" t="n">
        <v>0</v>
      </c>
      <c r="O2205" s="49" t="n">
        <v>0</v>
      </c>
      <c r="P2205" s="49" t="n">
        <v>1</v>
      </c>
      <c r="Q2205" s="49" t="n">
        <v>2</v>
      </c>
      <c r="R2205" s="49" t="n">
        <v>1</v>
      </c>
      <c r="S2205" s="50" t="n">
        <v>0</v>
      </c>
      <c r="T2205" s="50" t="n">
        <v>0</v>
      </c>
      <c r="U2205" s="50" t="n">
        <v>-0.5</v>
      </c>
      <c r="V2205" s="50" t="n">
        <v>0</v>
      </c>
      <c r="W2205" s="51" t="n">
        <v>0</v>
      </c>
      <c r="X2205" s="51" t="n">
        <v>0</v>
      </c>
      <c r="Y2205" s="51" t="n">
        <v>0</v>
      </c>
      <c r="Z2205" s="51" t="n">
        <v>0</v>
      </c>
      <c r="AA2205" s="52" t="n">
        <v>0</v>
      </c>
      <c r="AB2205" s="52" t="n">
        <v>0</v>
      </c>
      <c r="AC2205" s="52" t="n">
        <v>0</v>
      </c>
      <c r="AD2205" s="52" t="n">
        <v>0</v>
      </c>
      <c r="AE2205" s="52" t="n">
        <v>0</v>
      </c>
      <c r="AF2205" s="52" t="n">
        <v>0</v>
      </c>
      <c r="AG2205" s="52" t="n">
        <v>0</v>
      </c>
      <c r="AH2205" s="52" t="n">
        <v>0</v>
      </c>
      <c r="AI2205" s="52" t="n">
        <v>0</v>
      </c>
      <c r="AJ2205" s="52" t="n">
        <v>0</v>
      </c>
      <c r="AK2205" s="52" t="n">
        <v>0</v>
      </c>
      <c r="AL2205" s="52" t="n">
        <v>0</v>
      </c>
      <c r="AM2205" s="53" t="n">
        <v>0</v>
      </c>
      <c r="AN2205" s="53" t="n">
        <v>0</v>
      </c>
      <c r="AO2205" s="53" t="n">
        <v>0</v>
      </c>
      <c r="AP2205" s="53" t="n">
        <v>0</v>
      </c>
      <c r="AQ2205" s="52" t="n">
        <v>0</v>
      </c>
      <c r="AR2205" s="52" t="n">
        <v>0</v>
      </c>
      <c r="AS2205" s="52" t="n">
        <v>0</v>
      </c>
      <c r="AT2205" s="52" t="n">
        <v>0</v>
      </c>
      <c r="AU2205" s="53" t="n">
        <v>0</v>
      </c>
      <c r="AV2205" s="53" t="n">
        <v>0</v>
      </c>
      <c r="AW2205" s="53" t="n">
        <v>0</v>
      </c>
      <c r="AX2205" s="53" t="n">
        <v>0</v>
      </c>
      <c r="AY2205" s="52" t="n">
        <v>0</v>
      </c>
      <c r="AZ2205" s="52" t="n">
        <v>0</v>
      </c>
      <c r="BA2205" s="52" t="n">
        <v>0</v>
      </c>
      <c r="BB2205" s="52" t="n">
        <v>0</v>
      </c>
      <c r="BC2205" s="51" t="n">
        <v>0</v>
      </c>
      <c r="BD2205" s="51" t="n">
        <v>0</v>
      </c>
      <c r="BE2205" s="51" t="n">
        <v>0</v>
      </c>
      <c r="BF2205" s="51" t="n">
        <v>0</v>
      </c>
    </row>
    <row r="2206">
      <c r="A2206">
        <f>HYPERLINK("https://www.walmart.com/ip/318886437", "318886437")</f>
        <v/>
      </c>
      <c r="B2206" t="inlineStr">
        <is>
          <t>Tirrina Unisex Outdoor Sun Protection Fishing Cap with Neck Flap Wide Brim Mesh Hat for Travel Camping Hiking Hunting</t>
        </is>
      </c>
      <c r="C2206" t="inlineStr">
        <is>
          <t>1WMSH910GY</t>
        </is>
      </c>
      <c r="D2206" t="inlineStr">
        <is>
          <t>Hats</t>
        </is>
      </c>
      <c r="E2206" t="inlineStr">
        <is>
          <t>Tirrinia</t>
        </is>
      </c>
      <c r="F2206" t="inlineStr">
        <is>
          <t>Optimized</t>
        </is>
      </c>
      <c r="G2206" s="48" t="n">
        <v>0</v>
      </c>
      <c r="H2206" s="48" t="n">
        <v>0</v>
      </c>
      <c r="I2206" s="48" t="n">
        <v>0</v>
      </c>
      <c r="J2206" s="48" t="n">
        <v>0</v>
      </c>
      <c r="K2206" s="49" t="n">
        <v>0</v>
      </c>
      <c r="L2206" s="49" t="n">
        <v>0</v>
      </c>
      <c r="M2206" s="49" t="n">
        <v>0</v>
      </c>
      <c r="N2206" s="49" t="n">
        <v>0</v>
      </c>
      <c r="O2206" s="49" t="n">
        <v>0</v>
      </c>
      <c r="P2206" s="49" t="n">
        <v>0</v>
      </c>
      <c r="Q2206" s="49" t="n">
        <v>0</v>
      </c>
      <c r="R2206" s="49" t="n">
        <v>0</v>
      </c>
      <c r="S2206" s="50" t="n">
        <v>0</v>
      </c>
      <c r="T2206" s="50" t="n">
        <v>0</v>
      </c>
      <c r="U2206" s="50" t="n">
        <v>0</v>
      </c>
      <c r="V2206" s="50" t="n">
        <v>0</v>
      </c>
      <c r="W2206" s="51" t="n">
        <v>0</v>
      </c>
      <c r="X2206" s="51" t="n">
        <v>0</v>
      </c>
      <c r="Y2206" s="51" t="n">
        <v>0</v>
      </c>
      <c r="Z2206" s="51" t="n">
        <v>0</v>
      </c>
      <c r="AA2206" s="52" t="n">
        <v>0</v>
      </c>
      <c r="AB2206" s="52" t="n">
        <v>0</v>
      </c>
      <c r="AC2206" s="52" t="n">
        <v>0</v>
      </c>
      <c r="AD2206" s="52" t="n">
        <v>0</v>
      </c>
      <c r="AE2206" s="52" t="n">
        <v>0</v>
      </c>
      <c r="AF2206" s="52" t="n">
        <v>0</v>
      </c>
      <c r="AG2206" s="52" t="n">
        <v>0</v>
      </c>
      <c r="AH2206" s="52" t="n">
        <v>0</v>
      </c>
      <c r="AI2206" s="52" t="n">
        <v>0</v>
      </c>
      <c r="AJ2206" s="52" t="n">
        <v>0</v>
      </c>
      <c r="AK2206" s="52" t="n">
        <v>0</v>
      </c>
      <c r="AL2206" s="52" t="n">
        <v>0</v>
      </c>
      <c r="AM2206" s="53" t="n">
        <v>0</v>
      </c>
      <c r="AN2206" s="53" t="n">
        <v>0</v>
      </c>
      <c r="AO2206" s="53" t="n">
        <v>0</v>
      </c>
      <c r="AP2206" s="53" t="n">
        <v>0</v>
      </c>
      <c r="AQ2206" s="52" t="n">
        <v>0</v>
      </c>
      <c r="AR2206" s="52" t="n">
        <v>0</v>
      </c>
      <c r="AS2206" s="52" t="n">
        <v>0</v>
      </c>
      <c r="AT2206" s="52" t="n">
        <v>0</v>
      </c>
      <c r="AU2206" s="53" t="n">
        <v>0</v>
      </c>
      <c r="AV2206" s="53" t="n">
        <v>0</v>
      </c>
      <c r="AW2206" s="53" t="n">
        <v>0</v>
      </c>
      <c r="AX2206" s="53" t="n">
        <v>0</v>
      </c>
      <c r="AY2206" s="52" t="n">
        <v>0</v>
      </c>
      <c r="AZ2206" s="52" t="n">
        <v>0</v>
      </c>
      <c r="BA2206" s="52" t="n">
        <v>0</v>
      </c>
      <c r="BB2206" s="52" t="n">
        <v>0</v>
      </c>
      <c r="BC2206" s="51" t="n">
        <v>0</v>
      </c>
      <c r="BD2206" s="51" t="n">
        <v>0</v>
      </c>
      <c r="BE2206" s="51" t="n">
        <v>0</v>
      </c>
      <c r="BF2206" s="51" t="n">
        <v>0</v>
      </c>
    </row>
    <row r="2207">
      <c r="A2207">
        <f>HYPERLINK("https://www.walmart.com/ip/316882668", "316882668")</f>
        <v/>
      </c>
      <c r="B2207" t="inlineStr">
        <is>
          <t xml:space="preserve"> Tirrinia Sherpa Fleece Throw Blanket, Super Soft Fluffy Sherpa Throw TV Blanket, Decorative Throw Blanket for Bed or Couch, Winter Grove Pattern, 50" x 60"</t>
        </is>
      </c>
      <c r="C2207" t="inlineStr">
        <is>
          <t>1TRBF571TRIBE-TBCB</t>
        </is>
      </c>
      <c r="D2207" t="inlineStr">
        <is>
          <t>Throws</t>
        </is>
      </c>
      <c r="E2207" t="inlineStr">
        <is>
          <t>Tirrinia</t>
        </is>
      </c>
      <c r="F2207" t="inlineStr">
        <is>
          <t>Christmas,Optimized</t>
        </is>
      </c>
      <c r="G2207" s="48" t="n">
        <v>0</v>
      </c>
      <c r="H2207" s="48" t="n">
        <v>0</v>
      </c>
      <c r="I2207" s="48" t="n">
        <v>0</v>
      </c>
      <c r="J2207" s="48" t="n">
        <v>0</v>
      </c>
      <c r="K2207" s="49" t="n">
        <v>0</v>
      </c>
      <c r="L2207" s="49" t="n">
        <v>0</v>
      </c>
      <c r="M2207" s="49" t="n">
        <v>0</v>
      </c>
      <c r="N2207" s="49" t="n">
        <v>0</v>
      </c>
      <c r="O2207" s="49" t="n">
        <v>0</v>
      </c>
      <c r="P2207" s="49" t="n">
        <v>0</v>
      </c>
      <c r="Q2207" s="49" t="n">
        <v>0</v>
      </c>
      <c r="R2207" s="49" t="n">
        <v>0</v>
      </c>
      <c r="S2207" s="50" t="n">
        <v>0</v>
      </c>
      <c r="T2207" s="50" t="n">
        <v>0</v>
      </c>
      <c r="U2207" s="50" t="n">
        <v>0</v>
      </c>
      <c r="V2207" s="50" t="n">
        <v>0</v>
      </c>
      <c r="W2207" s="51" t="n">
        <v>0</v>
      </c>
      <c r="X2207" s="51" t="n">
        <v>0</v>
      </c>
      <c r="Y2207" s="51" t="n">
        <v>0</v>
      </c>
      <c r="Z2207" s="51" t="n">
        <v>0</v>
      </c>
      <c r="AA2207" s="52" t="n">
        <v>0</v>
      </c>
      <c r="AB2207" s="52" t="n">
        <v>0</v>
      </c>
      <c r="AC2207" s="52" t="n">
        <v>0</v>
      </c>
      <c r="AD2207" s="52" t="n">
        <v>0</v>
      </c>
      <c r="AE2207" s="52" t="n">
        <v>0</v>
      </c>
      <c r="AF2207" s="52" t="n">
        <v>0</v>
      </c>
      <c r="AG2207" s="52" t="n">
        <v>0</v>
      </c>
      <c r="AH2207" s="52" t="n">
        <v>0</v>
      </c>
      <c r="AI2207" s="52" t="n">
        <v>0</v>
      </c>
      <c r="AJ2207" s="52" t="n">
        <v>0</v>
      </c>
      <c r="AK2207" s="52" t="n">
        <v>0</v>
      </c>
      <c r="AL2207" s="52" t="n">
        <v>0</v>
      </c>
      <c r="AM2207" s="53" t="n">
        <v>0</v>
      </c>
      <c r="AN2207" s="53" t="n">
        <v>0</v>
      </c>
      <c r="AO2207" s="53" t="n">
        <v>0</v>
      </c>
      <c r="AP2207" s="53" t="n">
        <v>0</v>
      </c>
      <c r="AQ2207" s="52" t="n">
        <v>0</v>
      </c>
      <c r="AR2207" s="52" t="n">
        <v>0</v>
      </c>
      <c r="AS2207" s="52" t="n">
        <v>0</v>
      </c>
      <c r="AT2207" s="52" t="n">
        <v>0</v>
      </c>
      <c r="AU2207" s="53" t="n">
        <v>0</v>
      </c>
      <c r="AV2207" s="53" t="n">
        <v>0</v>
      </c>
      <c r="AW2207" s="53" t="n">
        <v>0</v>
      </c>
      <c r="AX2207" s="53" t="n">
        <v>0</v>
      </c>
      <c r="AY2207" s="52" t="n">
        <v>0</v>
      </c>
      <c r="AZ2207" s="52" t="n">
        <v>0</v>
      </c>
      <c r="BA2207" s="52" t="n">
        <v>0</v>
      </c>
      <c r="BB2207" s="52" t="n">
        <v>0</v>
      </c>
      <c r="BC2207" s="51" t="n">
        <v>0</v>
      </c>
      <c r="BD2207" s="51" t="n">
        <v>0</v>
      </c>
      <c r="BE2207" s="51" t="n">
        <v>0</v>
      </c>
      <c r="BF2207" s="51" t="n">
        <v>0</v>
      </c>
    </row>
    <row r="2208">
      <c r="A2208">
        <f>HYPERLINK("https://www.walmart.com/ip/317039034", "317039034")</f>
        <v/>
      </c>
      <c r="B2208" t="inlineStr">
        <is>
          <t>Vina Electric Gravity Salt Pepper Grinder Set, Adjustable Grinding Coarseness Automatic Shaker Mills with Ceramic Core, Free Garlic Roller Included, Pack of 2, White</t>
        </is>
      </c>
      <c r="C2208" t="inlineStr">
        <is>
          <t>VINASPEG521-WH2PK</t>
        </is>
      </c>
      <c r="D2208" t="inlineStr">
        <is>
          <t>Salt &amp; Pepper Mills</t>
        </is>
      </c>
      <c r="E2208" t="inlineStr">
        <is>
          <t>Vina</t>
        </is>
      </c>
      <c r="F2208" t="inlineStr">
        <is>
          <t>Batch 1 - TR</t>
        </is>
      </c>
      <c r="G2208" s="48" t="n">
        <v>0</v>
      </c>
      <c r="H2208" s="48" t="n">
        <v>0</v>
      </c>
      <c r="I2208" s="48" t="n">
        <v>0</v>
      </c>
      <c r="J2208" s="48" t="n">
        <v>0</v>
      </c>
      <c r="K2208" s="49" t="n">
        <v>0</v>
      </c>
      <c r="L2208" s="49" t="n">
        <v>0</v>
      </c>
      <c r="M2208" s="49" t="n">
        <v>0</v>
      </c>
      <c r="N2208" s="49" t="n">
        <v>0</v>
      </c>
      <c r="O2208" s="49" t="n">
        <v>0</v>
      </c>
      <c r="P2208" s="49" t="n">
        <v>0</v>
      </c>
      <c r="Q2208" s="49" t="n">
        <v>0</v>
      </c>
      <c r="R2208" s="49" t="n">
        <v>0</v>
      </c>
      <c r="S2208" s="50" t="n">
        <v>0</v>
      </c>
      <c r="T2208" s="50" t="n">
        <v>0</v>
      </c>
      <c r="U2208" s="50" t="n">
        <v>0</v>
      </c>
      <c r="V2208" s="50" t="n">
        <v>0</v>
      </c>
      <c r="W2208" s="51" t="n">
        <v>0</v>
      </c>
      <c r="X2208" s="51" t="n">
        <v>0</v>
      </c>
      <c r="Y2208" s="51" t="n">
        <v>0</v>
      </c>
      <c r="Z2208" s="51" t="n">
        <v>0</v>
      </c>
      <c r="AA2208" s="52" t="n">
        <v>0</v>
      </c>
      <c r="AB2208" s="52" t="n">
        <v>0</v>
      </c>
      <c r="AC2208" s="52" t="n">
        <v>0</v>
      </c>
      <c r="AD2208" s="52" t="n">
        <v>0</v>
      </c>
      <c r="AE2208" s="52" t="n">
        <v>0</v>
      </c>
      <c r="AF2208" s="52" t="n">
        <v>0</v>
      </c>
      <c r="AG2208" s="52" t="n">
        <v>0</v>
      </c>
      <c r="AH2208" s="52" t="n">
        <v>0</v>
      </c>
      <c r="AI2208" s="52" t="n">
        <v>0</v>
      </c>
      <c r="AJ2208" s="52" t="n">
        <v>0</v>
      </c>
      <c r="AK2208" s="52" t="n">
        <v>0</v>
      </c>
      <c r="AL2208" s="52" t="n">
        <v>0</v>
      </c>
      <c r="AM2208" s="53" t="n">
        <v>0</v>
      </c>
      <c r="AN2208" s="53" t="n">
        <v>0</v>
      </c>
      <c r="AO2208" s="53" t="n">
        <v>0</v>
      </c>
      <c r="AP2208" s="53" t="n">
        <v>0</v>
      </c>
      <c r="AQ2208" s="52" t="n">
        <v>0</v>
      </c>
      <c r="AR2208" s="52" t="n">
        <v>0</v>
      </c>
      <c r="AS2208" s="52" t="n">
        <v>0</v>
      </c>
      <c r="AT2208" s="52" t="n">
        <v>0</v>
      </c>
      <c r="AU2208" s="53" t="n">
        <v>0</v>
      </c>
      <c r="AV2208" s="53" t="n">
        <v>0</v>
      </c>
      <c r="AW2208" s="53" t="n">
        <v>0</v>
      </c>
      <c r="AX2208" s="53" t="n">
        <v>0</v>
      </c>
      <c r="AY2208" s="52" t="n">
        <v>0</v>
      </c>
      <c r="AZ2208" s="52" t="n">
        <v>0</v>
      </c>
      <c r="BA2208" s="52" t="n">
        <v>0</v>
      </c>
      <c r="BB2208" s="52" t="n">
        <v>0</v>
      </c>
      <c r="BC2208" s="51" t="n">
        <v>0</v>
      </c>
      <c r="BD2208" s="51" t="n">
        <v>0</v>
      </c>
      <c r="BE2208" s="51" t="n">
        <v>0</v>
      </c>
      <c r="BF2208" s="51" t="n">
        <v>0</v>
      </c>
    </row>
    <row r="2209">
      <c r="A2209">
        <f>HYPERLINK("https://www.walmart.com/ip/317393750", "317393750")</f>
        <v/>
      </c>
      <c r="B2209" t="inlineStr">
        <is>
          <t>Sherpa Slipper Socks for Women,Winter Indoor Home Non Skid Booties</t>
        </is>
      </c>
      <c r="C2209" t="inlineStr">
        <is>
          <t>1CTST200LT-2</t>
        </is>
      </c>
      <c r="D2209" t="inlineStr">
        <is>
          <t>Socks</t>
        </is>
      </c>
      <c r="E2209" t="inlineStr">
        <is>
          <t>Catalonia</t>
        </is>
      </c>
      <c r="F2209" t="inlineStr">
        <is>
          <t>WFS,WFS Item</t>
        </is>
      </c>
      <c r="G2209" s="48" t="n">
        <v>0</v>
      </c>
      <c r="H2209" s="48" t="n">
        <v>0</v>
      </c>
      <c r="I2209" s="48" t="n">
        <v>0</v>
      </c>
      <c r="J2209" s="48" t="n">
        <v>0</v>
      </c>
      <c r="K2209" s="49" t="n">
        <v>0</v>
      </c>
      <c r="L2209" s="49" t="n">
        <v>0</v>
      </c>
      <c r="M2209" s="49" t="n">
        <v>0</v>
      </c>
      <c r="N2209" s="49" t="n">
        <v>0</v>
      </c>
      <c r="O2209" s="49" t="n">
        <v>0</v>
      </c>
      <c r="P2209" s="49" t="n">
        <v>0</v>
      </c>
      <c r="Q2209" s="49" t="n">
        <v>0</v>
      </c>
      <c r="R2209" s="49" t="n">
        <v>0</v>
      </c>
      <c r="S2209" s="50" t="n">
        <v>0</v>
      </c>
      <c r="T2209" s="50" t="n">
        <v>0</v>
      </c>
      <c r="U2209" s="50" t="n">
        <v>0</v>
      </c>
      <c r="V2209" s="50" t="n">
        <v>0</v>
      </c>
      <c r="W2209" s="51" t="n">
        <v>0</v>
      </c>
      <c r="X2209" s="51" t="n">
        <v>0</v>
      </c>
      <c r="Y2209" s="51" t="n">
        <v>0</v>
      </c>
      <c r="Z2209" s="51" t="n">
        <v>0</v>
      </c>
      <c r="AA2209" s="52" t="n">
        <v>0</v>
      </c>
      <c r="AB2209" s="52" t="n">
        <v>0</v>
      </c>
      <c r="AC2209" s="52" t="n">
        <v>0</v>
      </c>
      <c r="AD2209" s="52" t="n">
        <v>0</v>
      </c>
      <c r="AE2209" s="52" t="n">
        <v>0</v>
      </c>
      <c r="AF2209" s="52" t="n">
        <v>0</v>
      </c>
      <c r="AG2209" s="52" t="n">
        <v>0</v>
      </c>
      <c r="AH2209" s="52" t="n">
        <v>0</v>
      </c>
      <c r="AI2209" s="52" t="n">
        <v>0</v>
      </c>
      <c r="AJ2209" s="52" t="n">
        <v>0</v>
      </c>
      <c r="AK2209" s="52" t="n">
        <v>0</v>
      </c>
      <c r="AL2209" s="52" t="n">
        <v>0</v>
      </c>
      <c r="AM2209" s="53" t="n">
        <v>0</v>
      </c>
      <c r="AN2209" s="53" t="n">
        <v>0</v>
      </c>
      <c r="AO2209" s="53" t="n">
        <v>0</v>
      </c>
      <c r="AP2209" s="53" t="n">
        <v>0</v>
      </c>
      <c r="AQ2209" s="52" t="n">
        <v>0</v>
      </c>
      <c r="AR2209" s="52" t="n">
        <v>0</v>
      </c>
      <c r="AS2209" s="52" t="n">
        <v>0</v>
      </c>
      <c r="AT2209" s="52" t="n">
        <v>0</v>
      </c>
      <c r="AU2209" s="53" t="n">
        <v>0</v>
      </c>
      <c r="AV2209" s="53" t="n">
        <v>0</v>
      </c>
      <c r="AW2209" s="53" t="n">
        <v>0</v>
      </c>
      <c r="AX2209" s="53" t="n">
        <v>0</v>
      </c>
      <c r="AY2209" s="52" t="n">
        <v>0</v>
      </c>
      <c r="AZ2209" s="52" t="n">
        <v>0</v>
      </c>
      <c r="BA2209" s="52" t="n">
        <v>0</v>
      </c>
      <c r="BB2209" s="52" t="n">
        <v>0</v>
      </c>
      <c r="BC2209" s="51" t="n">
        <v>0</v>
      </c>
      <c r="BD2209" s="51" t="n">
        <v>0</v>
      </c>
      <c r="BE2209" s="51" t="n">
        <v>0</v>
      </c>
      <c r="BF2209" s="51" t="n">
        <v>0</v>
      </c>
    </row>
    <row r="2210">
      <c r="A2210">
        <f>HYPERLINK("https://www.walmart.com/ip/317986642", "317986642")</f>
        <v/>
      </c>
      <c r="B2210" t="inlineStr">
        <is>
          <t>Flyingstar Insulated Lunch Bag, Reusable Tote Bag for Women &amp; Men &amp; Kids, Fashionable Large Cooler Lunch Bag for Working/School/Picnic</t>
        </is>
      </c>
      <c r="C2210" t="inlineStr">
        <is>
          <t>1WMLB703BKDOT</t>
        </is>
      </c>
      <c r="D2210" t="inlineStr">
        <is>
          <t>Reusable Lunch Bags &amp; Boxes</t>
        </is>
      </c>
      <c r="E2210" t="inlineStr">
        <is>
          <t>Flyingstar</t>
        </is>
      </c>
      <c r="F2210" t="inlineStr">
        <is>
          <t>Q2-Target,Lunch Bag,Optimized,WFS,Lunch Bags,SEM,WFS Item</t>
        </is>
      </c>
      <c r="G2210" s="48" t="n">
        <v>0</v>
      </c>
      <c r="H2210" s="48" t="n">
        <v>0</v>
      </c>
      <c r="I2210" s="48" t="n">
        <v>0</v>
      </c>
      <c r="J2210" s="48" t="n">
        <v>0</v>
      </c>
      <c r="K2210" s="49" t="n">
        <v>0</v>
      </c>
      <c r="L2210" s="49" t="n">
        <v>0</v>
      </c>
      <c r="M2210" s="49" t="n">
        <v>0</v>
      </c>
      <c r="N2210" s="49" t="n">
        <v>0</v>
      </c>
      <c r="O2210" s="49" t="n">
        <v>0</v>
      </c>
      <c r="P2210" s="49" t="n">
        <v>0</v>
      </c>
      <c r="Q2210" s="49" t="n">
        <v>0</v>
      </c>
      <c r="R2210" s="49" t="n">
        <v>0</v>
      </c>
      <c r="S2210" s="50" t="n">
        <v>0</v>
      </c>
      <c r="T2210" s="50" t="n">
        <v>0</v>
      </c>
      <c r="U2210" s="50" t="n">
        <v>0</v>
      </c>
      <c r="V2210" s="50" t="n">
        <v>0</v>
      </c>
      <c r="W2210" s="51" t="n">
        <v>0</v>
      </c>
      <c r="X2210" s="51" t="n">
        <v>0</v>
      </c>
      <c r="Y2210" s="51" t="n">
        <v>0</v>
      </c>
      <c r="Z2210" s="51" t="n">
        <v>0</v>
      </c>
      <c r="AA2210" s="52" t="n">
        <v>0</v>
      </c>
      <c r="AB2210" s="52" t="n">
        <v>0</v>
      </c>
      <c r="AC2210" s="52" t="n">
        <v>0</v>
      </c>
      <c r="AD2210" s="52" t="n">
        <v>0</v>
      </c>
      <c r="AE2210" s="52" t="n">
        <v>0</v>
      </c>
      <c r="AF2210" s="52" t="n">
        <v>0</v>
      </c>
      <c r="AG2210" s="52" t="n">
        <v>0</v>
      </c>
      <c r="AH2210" s="52" t="n">
        <v>0</v>
      </c>
      <c r="AI2210" s="52" t="n">
        <v>0</v>
      </c>
      <c r="AJ2210" s="52" t="n">
        <v>0</v>
      </c>
      <c r="AK2210" s="52" t="n">
        <v>0</v>
      </c>
      <c r="AL2210" s="52" t="n">
        <v>0</v>
      </c>
      <c r="AM2210" s="53" t="n">
        <v>0</v>
      </c>
      <c r="AN2210" s="53" t="n">
        <v>0</v>
      </c>
      <c r="AO2210" s="53" t="n">
        <v>0</v>
      </c>
      <c r="AP2210" s="53" t="n">
        <v>0</v>
      </c>
      <c r="AQ2210" s="52" t="n">
        <v>0</v>
      </c>
      <c r="AR2210" s="52" t="n">
        <v>0</v>
      </c>
      <c r="AS2210" s="52" t="n">
        <v>0</v>
      </c>
      <c r="AT2210" s="52" t="n">
        <v>0</v>
      </c>
      <c r="AU2210" s="53" t="n">
        <v>0</v>
      </c>
      <c r="AV2210" s="53" t="n">
        <v>0</v>
      </c>
      <c r="AW2210" s="53" t="n">
        <v>0</v>
      </c>
      <c r="AX2210" s="53" t="n">
        <v>0</v>
      </c>
      <c r="AY2210" s="52" t="n">
        <v>0</v>
      </c>
      <c r="AZ2210" s="52" t="n">
        <v>0</v>
      </c>
      <c r="BA2210" s="52" t="n">
        <v>0</v>
      </c>
      <c r="BB2210" s="52" t="n">
        <v>0</v>
      </c>
      <c r="BC2210" s="51" t="n">
        <v>0</v>
      </c>
      <c r="BD2210" s="51" t="n">
        <v>0</v>
      </c>
      <c r="BE2210" s="51" t="n">
        <v>0</v>
      </c>
      <c r="BF2210" s="51" t="n">
        <v>0</v>
      </c>
    </row>
    <row r="2211">
      <c r="A2211">
        <f>HYPERLINK("https://www.walmart.com/ip/318503537", "318503537")</f>
        <v/>
      </c>
      <c r="B2211" t="inlineStr">
        <is>
          <t>Tirrinia Women's Wide Brim Bucket Hats Breathable Outdoor Beach Gardening Hat One Size Fits All Adult, Pink</t>
        </is>
      </c>
      <c r="C2211" t="inlineStr">
        <is>
          <t>1TRSH9200PK-TBGM</t>
        </is>
      </c>
      <c r="D2211" t="inlineStr">
        <is>
          <t>Hats</t>
        </is>
      </c>
      <c r="E2211" t="inlineStr">
        <is>
          <t>Tirrinia</t>
        </is>
      </c>
      <c r="F2211" t="inlineStr">
        <is>
          <t>Optimized</t>
        </is>
      </c>
      <c r="G2211" s="48" t="n">
        <v>0</v>
      </c>
      <c r="H2211" s="48" t="n">
        <v>0</v>
      </c>
      <c r="I2211" s="48" t="n">
        <v>0</v>
      </c>
      <c r="J2211" s="48" t="n">
        <v>0</v>
      </c>
      <c r="K2211" s="49" t="n">
        <v>0</v>
      </c>
      <c r="L2211" s="49" t="n">
        <v>0</v>
      </c>
      <c r="M2211" s="49" t="n">
        <v>0</v>
      </c>
      <c r="N2211" s="49" t="n">
        <v>0</v>
      </c>
      <c r="O2211" s="49" t="n">
        <v>0</v>
      </c>
      <c r="P2211" s="49" t="n">
        <v>0</v>
      </c>
      <c r="Q2211" s="49" t="n">
        <v>0</v>
      </c>
      <c r="R2211" s="49" t="n">
        <v>0</v>
      </c>
      <c r="S2211" s="50" t="n">
        <v>0</v>
      </c>
      <c r="T2211" s="50" t="n">
        <v>0</v>
      </c>
      <c r="U2211" s="50" t="n">
        <v>0</v>
      </c>
      <c r="V2211" s="50" t="n">
        <v>0</v>
      </c>
      <c r="W2211" s="51" t="n">
        <v>0</v>
      </c>
      <c r="X2211" s="51" t="n">
        <v>0</v>
      </c>
      <c r="Y2211" s="51" t="n">
        <v>0</v>
      </c>
      <c r="Z2211" s="51" t="n">
        <v>0</v>
      </c>
      <c r="AA2211" s="52" t="n">
        <v>0</v>
      </c>
      <c r="AB2211" s="52" t="n">
        <v>0</v>
      </c>
      <c r="AC2211" s="52" t="n">
        <v>0</v>
      </c>
      <c r="AD2211" s="52" t="n">
        <v>0</v>
      </c>
      <c r="AE2211" s="52" t="n">
        <v>0</v>
      </c>
      <c r="AF2211" s="52" t="n">
        <v>0</v>
      </c>
      <c r="AG2211" s="52" t="n">
        <v>0</v>
      </c>
      <c r="AH2211" s="52" t="n">
        <v>0</v>
      </c>
      <c r="AI2211" s="52" t="n">
        <v>0</v>
      </c>
      <c r="AJ2211" s="52" t="n">
        <v>0</v>
      </c>
      <c r="AK2211" s="52" t="n">
        <v>0</v>
      </c>
      <c r="AL2211" s="52" t="n">
        <v>0</v>
      </c>
      <c r="AM2211" s="53" t="n">
        <v>0</v>
      </c>
      <c r="AN2211" s="53" t="n">
        <v>0</v>
      </c>
      <c r="AO2211" s="53" t="n">
        <v>0</v>
      </c>
      <c r="AP2211" s="53" t="n">
        <v>0</v>
      </c>
      <c r="AQ2211" s="52" t="n">
        <v>0</v>
      </c>
      <c r="AR2211" s="52" t="n">
        <v>0</v>
      </c>
      <c r="AS2211" s="52" t="n">
        <v>0</v>
      </c>
      <c r="AT2211" s="52" t="n">
        <v>0</v>
      </c>
      <c r="AU2211" s="53" t="n">
        <v>0</v>
      </c>
      <c r="AV2211" s="53" t="n">
        <v>0</v>
      </c>
      <c r="AW2211" s="53" t="n">
        <v>0</v>
      </c>
      <c r="AX2211" s="53" t="n">
        <v>0</v>
      </c>
      <c r="AY2211" s="52" t="n">
        <v>0</v>
      </c>
      <c r="AZ2211" s="52" t="n">
        <v>0</v>
      </c>
      <c r="BA2211" s="52" t="n">
        <v>0</v>
      </c>
      <c r="BB2211" s="52" t="n">
        <v>0</v>
      </c>
      <c r="BC2211" s="51" t="n">
        <v>0</v>
      </c>
      <c r="BD2211" s="51" t="n">
        <v>0</v>
      </c>
      <c r="BE2211" s="51" t="n">
        <v>0</v>
      </c>
      <c r="BF2211" s="51" t="n">
        <v>0</v>
      </c>
    </row>
    <row r="2212">
      <c r="A2212">
        <f>HYPERLINK("https://www.walmart.com/ip/3188631665", "3188631665")</f>
        <v/>
      </c>
      <c r="B2212" t="inlineStr">
        <is>
          <t>Solaris Wearable Lounging Blanket,Super Soft Warm Cozy Reversible Fuzzy,Extra Soft for Sofa Warm Blanket,Lightweight, Red Plaid.</t>
        </is>
      </c>
      <c r="C2212" t="inlineStr">
        <is>
          <t>1SLSN201PRD</t>
        </is>
      </c>
      <c r="D2212" t="inlineStr">
        <is>
          <t>Throws</t>
        </is>
      </c>
      <c r="E2212" t="inlineStr">
        <is>
          <t>Solaris</t>
        </is>
      </c>
      <c r="G2212" s="48" t="n">
        <v>0</v>
      </c>
      <c r="H2212" s="48" t="n">
        <v>0</v>
      </c>
      <c r="I2212" s="48" t="n">
        <v>0</v>
      </c>
      <c r="J2212" s="48" t="n">
        <v>0</v>
      </c>
      <c r="K2212" s="49" t="n">
        <v>0</v>
      </c>
      <c r="L2212" s="49" t="n">
        <v>0</v>
      </c>
      <c r="M2212" s="49" t="n">
        <v>0</v>
      </c>
      <c r="N2212" s="49" t="n">
        <v>0</v>
      </c>
      <c r="O2212" s="49" t="n">
        <v>0</v>
      </c>
      <c r="P2212" s="49" t="n">
        <v>0</v>
      </c>
      <c r="Q2212" s="49" t="n">
        <v>0</v>
      </c>
      <c r="R2212" s="49" t="n">
        <v>0</v>
      </c>
      <c r="S2212" s="50" t="n">
        <v>0</v>
      </c>
      <c r="T2212" s="50" t="n">
        <v>0</v>
      </c>
      <c r="U2212" s="50" t="n">
        <v>0</v>
      </c>
      <c r="V2212" s="50" t="n">
        <v>0</v>
      </c>
      <c r="W2212" s="51" t="n">
        <v>0</v>
      </c>
      <c r="X2212" s="51" t="n">
        <v>0</v>
      </c>
      <c r="Y2212" s="51" t="n">
        <v>0</v>
      </c>
      <c r="Z2212" s="51" t="n">
        <v>0</v>
      </c>
      <c r="AA2212" s="52" t="n">
        <v>0</v>
      </c>
      <c r="AB2212" s="52" t="n">
        <v>0</v>
      </c>
      <c r="AC2212" s="52" t="n">
        <v>0</v>
      </c>
      <c r="AD2212" s="52" t="n">
        <v>0</v>
      </c>
      <c r="AE2212" s="52" t="n">
        <v>0</v>
      </c>
      <c r="AF2212" s="52" t="n">
        <v>0</v>
      </c>
      <c r="AG2212" s="52" t="n">
        <v>0</v>
      </c>
      <c r="AH2212" s="52" t="n">
        <v>0</v>
      </c>
      <c r="AI2212" s="52" t="n">
        <v>0</v>
      </c>
      <c r="AJ2212" s="52" t="n">
        <v>0</v>
      </c>
      <c r="AK2212" s="52" t="n">
        <v>0</v>
      </c>
      <c r="AL2212" s="52" t="n">
        <v>0</v>
      </c>
      <c r="AM2212" s="53" t="n">
        <v>0</v>
      </c>
      <c r="AN2212" s="53" t="n">
        <v>0</v>
      </c>
      <c r="AO2212" s="53" t="n">
        <v>0</v>
      </c>
      <c r="AP2212" s="53" t="n">
        <v>0</v>
      </c>
      <c r="AQ2212" s="52" t="n">
        <v>0</v>
      </c>
      <c r="AR2212" s="52" t="n">
        <v>0</v>
      </c>
      <c r="AS2212" s="52" t="n">
        <v>0</v>
      </c>
      <c r="AT2212" s="52" t="n">
        <v>0</v>
      </c>
      <c r="AU2212" s="53" t="n">
        <v>0</v>
      </c>
      <c r="AV2212" s="53" t="n">
        <v>0</v>
      </c>
      <c r="AW2212" s="53" t="n">
        <v>0</v>
      </c>
      <c r="AX2212" s="53" t="n">
        <v>0</v>
      </c>
      <c r="AY2212" s="52" t="n">
        <v>0</v>
      </c>
      <c r="AZ2212" s="52" t="n">
        <v>0</v>
      </c>
      <c r="BA2212" s="52" t="n">
        <v>0</v>
      </c>
      <c r="BB2212" s="52" t="n">
        <v>0</v>
      </c>
      <c r="BC2212" s="51" t="n">
        <v>0</v>
      </c>
      <c r="BD2212" s="51" t="n">
        <v>0</v>
      </c>
      <c r="BE2212" s="51" t="n">
        <v>0</v>
      </c>
      <c r="BF2212" s="51" t="n">
        <v>0</v>
      </c>
    </row>
    <row r="2213">
      <c r="A2213">
        <f>HYPERLINK("https://www.walmart.com/ip/206246680", "206246680")</f>
        <v/>
      </c>
      <c r="B2213" t="inlineStr">
        <is>
          <t>Catalonia Sherpa Throws Blanket,Reversible Match Color Super Soft Fuzzy Comfy Micro Plush Fleece Snuggle Blanket All Season for TV Bed or Couch 50" x 60" Mocha</t>
        </is>
      </c>
      <c r="C2213" t="inlineStr">
        <is>
          <t>1CTBF301MK</t>
        </is>
      </c>
      <c r="D2213" t="inlineStr">
        <is>
          <t>Throws</t>
        </is>
      </c>
      <c r="E2213" t="inlineStr">
        <is>
          <t>Catalonia</t>
        </is>
      </c>
      <c r="F2213" t="inlineStr">
        <is>
          <t>Optimized</t>
        </is>
      </c>
      <c r="G2213" s="48" t="n">
        <v>0</v>
      </c>
      <c r="H2213" s="48" t="n">
        <v>0</v>
      </c>
      <c r="I2213" s="48" t="n">
        <v>0</v>
      </c>
      <c r="J2213" s="48" t="n">
        <v>0</v>
      </c>
      <c r="K2213" s="49" t="n">
        <v>0</v>
      </c>
      <c r="L2213" s="49" t="n">
        <v>0</v>
      </c>
      <c r="M2213" s="49" t="n">
        <v>0</v>
      </c>
      <c r="N2213" s="49" t="n">
        <v>0</v>
      </c>
      <c r="O2213" s="49" t="n">
        <v>0</v>
      </c>
      <c r="P2213" s="49" t="n">
        <v>0</v>
      </c>
      <c r="Q2213" s="49" t="n">
        <v>0</v>
      </c>
      <c r="R2213" s="49" t="n">
        <v>0</v>
      </c>
      <c r="S2213" s="50" t="n">
        <v>0</v>
      </c>
      <c r="T2213" s="50" t="n">
        <v>0</v>
      </c>
      <c r="U2213" s="50" t="n">
        <v>0</v>
      </c>
      <c r="V2213" s="50" t="n">
        <v>0</v>
      </c>
      <c r="W2213" s="51" t="n">
        <v>0</v>
      </c>
      <c r="X2213" s="51" t="n">
        <v>0</v>
      </c>
      <c r="Y2213" s="51" t="n">
        <v>0</v>
      </c>
      <c r="Z2213" s="51" t="n">
        <v>0</v>
      </c>
      <c r="AA2213" s="52" t="n">
        <v>0</v>
      </c>
      <c r="AB2213" s="52" t="n">
        <v>0</v>
      </c>
      <c r="AC2213" s="52" t="n">
        <v>0</v>
      </c>
      <c r="AD2213" s="52" t="n">
        <v>0</v>
      </c>
      <c r="AE2213" s="52" t="n">
        <v>0</v>
      </c>
      <c r="AF2213" s="52" t="n">
        <v>0</v>
      </c>
      <c r="AG2213" s="52" t="n">
        <v>0</v>
      </c>
      <c r="AH2213" s="52" t="n">
        <v>0</v>
      </c>
      <c r="AI2213" s="52" t="n">
        <v>0</v>
      </c>
      <c r="AJ2213" s="52" t="n">
        <v>0</v>
      </c>
      <c r="AK2213" s="52" t="n">
        <v>0</v>
      </c>
      <c r="AL2213" s="52" t="n">
        <v>0</v>
      </c>
      <c r="AM2213" s="53" t="n">
        <v>0</v>
      </c>
      <c r="AN2213" s="53" t="n">
        <v>0</v>
      </c>
      <c r="AO2213" s="53" t="n">
        <v>0</v>
      </c>
      <c r="AP2213" s="53" t="n">
        <v>0</v>
      </c>
      <c r="AQ2213" s="52" t="n">
        <v>0</v>
      </c>
      <c r="AR2213" s="52" t="n">
        <v>0</v>
      </c>
      <c r="AS2213" s="52" t="n">
        <v>0</v>
      </c>
      <c r="AT2213" s="52" t="n">
        <v>0</v>
      </c>
      <c r="AU2213" s="53" t="n">
        <v>0</v>
      </c>
      <c r="AV2213" s="53" t="n">
        <v>0</v>
      </c>
      <c r="AW2213" s="53" t="n">
        <v>0</v>
      </c>
      <c r="AX2213" s="53" t="n">
        <v>0</v>
      </c>
      <c r="AY2213" s="52" t="n">
        <v>0</v>
      </c>
      <c r="AZ2213" s="52" t="n">
        <v>0</v>
      </c>
      <c r="BA2213" s="52" t="n">
        <v>0</v>
      </c>
      <c r="BB2213" s="52" t="n">
        <v>0</v>
      </c>
      <c r="BC2213" s="51" t="n">
        <v>0</v>
      </c>
      <c r="BD2213" s="51" t="n">
        <v>0</v>
      </c>
      <c r="BE2213" s="51" t="n">
        <v>0</v>
      </c>
      <c r="BF2213" s="51" t="n">
        <v>0</v>
      </c>
    </row>
    <row r="2214">
      <c r="A2214">
        <f>HYPERLINK("https://www.walmart.com/ip/206726785", "206726785")</f>
        <v/>
      </c>
      <c r="B2214" t="inlineStr">
        <is>
          <t>Tirrinia Snowflake Sherpa Throw Blanket 50" x 60", Super Soft Fluffy Sherpa Throw TV Blanket Decorative Blanket for Bed Couch Holidays | Catalonia series | Beige</t>
        </is>
      </c>
      <c r="C2214" t="inlineStr">
        <is>
          <t>1TRBF390BG-TBCB</t>
        </is>
      </c>
      <c r="D2214" t="inlineStr">
        <is>
          <t>Throws</t>
        </is>
      </c>
      <c r="E2214" t="inlineStr">
        <is>
          <t>Tirrinia</t>
        </is>
      </c>
      <c r="F2214" t="inlineStr">
        <is>
          <t>Batch 1 - TR</t>
        </is>
      </c>
      <c r="G2214" s="48" t="n">
        <v>0</v>
      </c>
      <c r="H2214" s="48" t="n">
        <v>0</v>
      </c>
      <c r="I2214" s="48" t="n">
        <v>0</v>
      </c>
      <c r="J2214" s="48" t="n">
        <v>0</v>
      </c>
      <c r="K2214" s="49" t="n">
        <v>0</v>
      </c>
      <c r="L2214" s="49" t="n">
        <v>0</v>
      </c>
      <c r="M2214" s="49" t="n">
        <v>0</v>
      </c>
      <c r="N2214" s="49" t="n">
        <v>0</v>
      </c>
      <c r="O2214" s="49" t="n">
        <v>0</v>
      </c>
      <c r="P2214" s="49" t="n">
        <v>0</v>
      </c>
      <c r="Q2214" s="49" t="n">
        <v>0</v>
      </c>
      <c r="R2214" s="49" t="n">
        <v>0</v>
      </c>
      <c r="S2214" s="50" t="n">
        <v>0</v>
      </c>
      <c r="T2214" s="50" t="n">
        <v>0</v>
      </c>
      <c r="U2214" s="50" t="n">
        <v>0</v>
      </c>
      <c r="V2214" s="50" t="n">
        <v>0</v>
      </c>
      <c r="W2214" s="51" t="n">
        <v>0</v>
      </c>
      <c r="X2214" s="51" t="n">
        <v>0</v>
      </c>
      <c r="Y2214" s="51" t="n">
        <v>0</v>
      </c>
      <c r="Z2214" s="51" t="n">
        <v>0</v>
      </c>
      <c r="AA2214" s="52" t="n">
        <v>0</v>
      </c>
      <c r="AB2214" s="52" t="n">
        <v>0</v>
      </c>
      <c r="AC2214" s="52" t="n">
        <v>0</v>
      </c>
      <c r="AD2214" s="52" t="n">
        <v>0</v>
      </c>
      <c r="AE2214" s="52" t="n">
        <v>0</v>
      </c>
      <c r="AF2214" s="52" t="n">
        <v>0</v>
      </c>
      <c r="AG2214" s="52" t="n">
        <v>0</v>
      </c>
      <c r="AH2214" s="52" t="n">
        <v>0</v>
      </c>
      <c r="AI2214" s="52" t="n">
        <v>0</v>
      </c>
      <c r="AJ2214" s="52" t="n">
        <v>0</v>
      </c>
      <c r="AK2214" s="52" t="n">
        <v>0</v>
      </c>
      <c r="AL2214" s="52" t="n">
        <v>0</v>
      </c>
      <c r="AM2214" s="53" t="n">
        <v>0</v>
      </c>
      <c r="AN2214" s="53" t="n">
        <v>0</v>
      </c>
      <c r="AO2214" s="53" t="n">
        <v>0</v>
      </c>
      <c r="AP2214" s="53" t="n">
        <v>0</v>
      </c>
      <c r="AQ2214" s="52" t="n">
        <v>0</v>
      </c>
      <c r="AR2214" s="52" t="n">
        <v>0</v>
      </c>
      <c r="AS2214" s="52" t="n">
        <v>0</v>
      </c>
      <c r="AT2214" s="52" t="n">
        <v>0</v>
      </c>
      <c r="AU2214" s="53" t="n">
        <v>0</v>
      </c>
      <c r="AV2214" s="53" t="n">
        <v>0</v>
      </c>
      <c r="AW2214" s="53" t="n">
        <v>0</v>
      </c>
      <c r="AX2214" s="53" t="n">
        <v>0</v>
      </c>
      <c r="AY2214" s="52" t="n">
        <v>0</v>
      </c>
      <c r="AZ2214" s="52" t="n">
        <v>0</v>
      </c>
      <c r="BA2214" s="52" t="n">
        <v>0</v>
      </c>
      <c r="BB2214" s="52" t="n">
        <v>0</v>
      </c>
      <c r="BC2214" s="51" t="n">
        <v>0</v>
      </c>
      <c r="BD2214" s="51" t="n">
        <v>0</v>
      </c>
      <c r="BE2214" s="51" t="n">
        <v>0</v>
      </c>
      <c r="BF2214" s="51" t="n">
        <v>0</v>
      </c>
    </row>
    <row r="2215">
      <c r="A2215">
        <f>HYPERLINK("https://www.walmart.com/ip/2059483253", "2059483253")</f>
        <v/>
      </c>
      <c r="B2215" t="inlineStr">
        <is>
          <t>Medium Pet Travel Backpack Carrier for Dogs Cat Animal Puppy, Breathable Mesh Net Removable Sherpa Bed Outdoor Carrier f</t>
        </is>
      </c>
      <c r="C2215" t="inlineStr">
        <is>
          <t>1TRPB200GN</t>
        </is>
      </c>
      <c r="D2215" t="inlineStr">
        <is>
          <t>Pet Carriers</t>
        </is>
      </c>
      <c r="E2215" t="inlineStr">
        <is>
          <t>Kato</t>
        </is>
      </c>
      <c r="G2215" s="48" t="n">
        <v>0</v>
      </c>
      <c r="H2215" s="48" t="n">
        <v>0</v>
      </c>
      <c r="I2215" s="48" t="n">
        <v>0</v>
      </c>
      <c r="J2215" s="48" t="n">
        <v>0</v>
      </c>
      <c r="K2215" s="49" t="n">
        <v>0</v>
      </c>
      <c r="L2215" s="49" t="n">
        <v>0</v>
      </c>
      <c r="M2215" s="49" t="n">
        <v>0</v>
      </c>
      <c r="N2215" s="49" t="n">
        <v>0</v>
      </c>
      <c r="O2215" s="49" t="n">
        <v>0</v>
      </c>
      <c r="P2215" s="49" t="n">
        <v>0</v>
      </c>
      <c r="Q2215" s="49" t="n">
        <v>0</v>
      </c>
      <c r="R2215" s="49" t="n">
        <v>0</v>
      </c>
      <c r="S2215" s="50" t="n">
        <v>0</v>
      </c>
      <c r="T2215" s="50" t="n">
        <v>0</v>
      </c>
      <c r="U2215" s="50" t="n">
        <v>0</v>
      </c>
      <c r="V2215" s="50" t="n">
        <v>0</v>
      </c>
      <c r="W2215" s="51" t="n">
        <v>0</v>
      </c>
      <c r="X2215" s="51" t="n">
        <v>0</v>
      </c>
      <c r="Y2215" s="51" t="n">
        <v>0</v>
      </c>
      <c r="Z2215" s="51" t="n">
        <v>0</v>
      </c>
      <c r="AA2215" s="52" t="n">
        <v>0</v>
      </c>
      <c r="AB2215" s="52" t="n">
        <v>0</v>
      </c>
      <c r="AC2215" s="52" t="n">
        <v>0</v>
      </c>
      <c r="AD2215" s="52" t="n">
        <v>0</v>
      </c>
      <c r="AE2215" s="52" t="n">
        <v>0</v>
      </c>
      <c r="AF2215" s="52" t="n">
        <v>0</v>
      </c>
      <c r="AG2215" s="52" t="n">
        <v>0</v>
      </c>
      <c r="AH2215" s="52" t="n">
        <v>0</v>
      </c>
      <c r="AI2215" s="52" t="n">
        <v>0</v>
      </c>
      <c r="AJ2215" s="52" t="n">
        <v>0</v>
      </c>
      <c r="AK2215" s="52" t="n">
        <v>0</v>
      </c>
      <c r="AL2215" s="52" t="n">
        <v>0</v>
      </c>
      <c r="AM2215" s="53" t="n">
        <v>0</v>
      </c>
      <c r="AN2215" s="53" t="n">
        <v>0</v>
      </c>
      <c r="AO2215" s="53" t="n">
        <v>0</v>
      </c>
      <c r="AP2215" s="53" t="n">
        <v>0</v>
      </c>
      <c r="AQ2215" s="52" t="n">
        <v>0</v>
      </c>
      <c r="AR2215" s="52" t="n">
        <v>0</v>
      </c>
      <c r="AS2215" s="52" t="n">
        <v>0</v>
      </c>
      <c r="AT2215" s="52" t="n">
        <v>0</v>
      </c>
      <c r="AU2215" s="53" t="n">
        <v>0</v>
      </c>
      <c r="AV2215" s="53" t="n">
        <v>0</v>
      </c>
      <c r="AW2215" s="53" t="n">
        <v>0</v>
      </c>
      <c r="AX2215" s="53" t="n">
        <v>0</v>
      </c>
      <c r="AY2215" s="52" t="n">
        <v>0</v>
      </c>
      <c r="AZ2215" s="52" t="n">
        <v>0</v>
      </c>
      <c r="BA2215" s="52" t="n">
        <v>0</v>
      </c>
      <c r="BB2215" s="52" t="n">
        <v>0</v>
      </c>
      <c r="BC2215" s="51" t="n">
        <v>0</v>
      </c>
      <c r="BD2215" s="51" t="n">
        <v>0</v>
      </c>
      <c r="BE2215" s="51" t="n">
        <v>0</v>
      </c>
      <c r="BF2215" s="51" t="n">
        <v>0</v>
      </c>
    </row>
    <row r="2216">
      <c r="A2216">
        <f>HYPERLINK("https://www.walmart.com/ip/170058758", "170058758")</f>
        <v/>
      </c>
      <c r="B2216" t="inlineStr">
        <is>
          <t>JenniWears® Women's Kimono Lace Lingerie Sleepwear Matching Cheeky Panty</t>
        </is>
      </c>
      <c r="C2216" t="inlineStr">
        <is>
          <t>JWRS01BL-XL</t>
        </is>
      </c>
      <c r="D2216" t="inlineStr">
        <is>
          <t>Lingerie Sets</t>
        </is>
      </c>
      <c r="E2216" t="inlineStr">
        <is>
          <t>JenniWears</t>
        </is>
      </c>
      <c r="F2216" t="inlineStr">
        <is>
          <t>Optimized,Valentine</t>
        </is>
      </c>
      <c r="G2216" s="48" t="n">
        <v>0</v>
      </c>
      <c r="H2216" s="48" t="n">
        <v>0</v>
      </c>
      <c r="I2216" s="48" t="n">
        <v>0</v>
      </c>
      <c r="J2216" s="48" t="n">
        <v>0</v>
      </c>
      <c r="K2216" s="49" t="n">
        <v>0</v>
      </c>
      <c r="L2216" s="49" t="n">
        <v>0</v>
      </c>
      <c r="M2216" s="49" t="n">
        <v>0</v>
      </c>
      <c r="N2216" s="49" t="n">
        <v>0</v>
      </c>
      <c r="O2216" s="49" t="n">
        <v>0</v>
      </c>
      <c r="P2216" s="49" t="n">
        <v>0</v>
      </c>
      <c r="Q2216" s="49" t="n">
        <v>0</v>
      </c>
      <c r="R2216" s="49" t="n">
        <v>0</v>
      </c>
      <c r="S2216" s="50" t="n">
        <v>0</v>
      </c>
      <c r="T2216" s="50" t="n">
        <v>0</v>
      </c>
      <c r="U2216" s="50" t="n">
        <v>0</v>
      </c>
      <c r="V2216" s="50" t="n">
        <v>0</v>
      </c>
      <c r="W2216" s="51" t="n">
        <v>0</v>
      </c>
      <c r="X2216" s="51" t="n">
        <v>0</v>
      </c>
      <c r="Y2216" s="51" t="n">
        <v>0</v>
      </c>
      <c r="Z2216" s="51" t="n">
        <v>0</v>
      </c>
      <c r="AA2216" s="52" t="n">
        <v>0</v>
      </c>
      <c r="AB2216" s="52" t="n">
        <v>0</v>
      </c>
      <c r="AC2216" s="52" t="n">
        <v>0</v>
      </c>
      <c r="AD2216" s="52" t="n">
        <v>0</v>
      </c>
      <c r="AE2216" s="52" t="n">
        <v>0</v>
      </c>
      <c r="AF2216" s="52" t="n">
        <v>0</v>
      </c>
      <c r="AG2216" s="52" t="n">
        <v>0</v>
      </c>
      <c r="AH2216" s="52" t="n">
        <v>0</v>
      </c>
      <c r="AI2216" s="52" t="n">
        <v>0</v>
      </c>
      <c r="AJ2216" s="52" t="n">
        <v>0</v>
      </c>
      <c r="AK2216" s="52" t="n">
        <v>0</v>
      </c>
      <c r="AL2216" s="52" t="n">
        <v>0</v>
      </c>
      <c r="AM2216" s="53" t="n">
        <v>0</v>
      </c>
      <c r="AN2216" s="53" t="n">
        <v>0</v>
      </c>
      <c r="AO2216" s="53" t="n">
        <v>0</v>
      </c>
      <c r="AP2216" s="53" t="n">
        <v>0</v>
      </c>
      <c r="AQ2216" s="52" t="n">
        <v>0</v>
      </c>
      <c r="AR2216" s="52" t="n">
        <v>0</v>
      </c>
      <c r="AS2216" s="52" t="n">
        <v>0</v>
      </c>
      <c r="AT2216" s="52" t="n">
        <v>0</v>
      </c>
      <c r="AU2216" s="53" t="n">
        <v>0</v>
      </c>
      <c r="AV2216" s="53" t="n">
        <v>0</v>
      </c>
      <c r="AW2216" s="53" t="n">
        <v>0</v>
      </c>
      <c r="AX2216" s="53" t="n">
        <v>0</v>
      </c>
      <c r="AY2216" s="52" t="n">
        <v>0</v>
      </c>
      <c r="AZ2216" s="52" t="n">
        <v>0</v>
      </c>
      <c r="BA2216" s="52" t="n">
        <v>0</v>
      </c>
      <c r="BB2216" s="52" t="n">
        <v>0</v>
      </c>
      <c r="BC2216" s="51" t="n">
        <v>0</v>
      </c>
      <c r="BD2216" s="51" t="n">
        <v>0</v>
      </c>
      <c r="BE2216" s="51" t="n">
        <v>0</v>
      </c>
      <c r="BF2216" s="51" t="n">
        <v>0</v>
      </c>
    </row>
    <row r="2217">
      <c r="A2217">
        <f>HYPERLINK("https://www.walmart.com/ip/170177832", "170177832")</f>
        <v/>
      </c>
      <c r="B2217" t="inlineStr">
        <is>
          <t>KC Caps® Unisex Cotton Baseball Cap Adjustable Plain Hat (21 Styles/Colors)</t>
        </is>
      </c>
      <c r="C2217" t="inlineStr">
        <is>
          <t>KC8010WNGN</t>
        </is>
      </c>
      <c r="D2217" t="inlineStr">
        <is>
          <t>Hats</t>
        </is>
      </c>
      <c r="E2217" t="inlineStr">
        <is>
          <t>KC Caps</t>
        </is>
      </c>
      <c r="F2217" t="inlineStr">
        <is>
          <t>Optimized</t>
        </is>
      </c>
      <c r="G2217" s="48" t="n">
        <v>0</v>
      </c>
      <c r="H2217" s="48" t="n">
        <v>0</v>
      </c>
      <c r="I2217" s="48" t="n">
        <v>0</v>
      </c>
      <c r="J2217" s="48" t="n">
        <v>0</v>
      </c>
      <c r="K2217" s="49" t="n">
        <v>0</v>
      </c>
      <c r="L2217" s="49" t="n">
        <v>0</v>
      </c>
      <c r="M2217" s="49" t="n">
        <v>0</v>
      </c>
      <c r="N2217" s="49" t="n">
        <v>0</v>
      </c>
      <c r="O2217" s="49" t="n">
        <v>0</v>
      </c>
      <c r="P2217" s="49" t="n">
        <v>0</v>
      </c>
      <c r="Q2217" s="49" t="n">
        <v>0</v>
      </c>
      <c r="R2217" s="49" t="n">
        <v>0</v>
      </c>
      <c r="S2217" s="50" t="n">
        <v>0</v>
      </c>
      <c r="T2217" s="50" t="n">
        <v>0</v>
      </c>
      <c r="U2217" s="50" t="n">
        <v>0</v>
      </c>
      <c r="V2217" s="50" t="n">
        <v>0</v>
      </c>
      <c r="W2217" s="51" t="n">
        <v>0</v>
      </c>
      <c r="X2217" s="51" t="n">
        <v>0</v>
      </c>
      <c r="Y2217" s="51" t="n">
        <v>0</v>
      </c>
      <c r="Z2217" s="51" t="n">
        <v>0</v>
      </c>
      <c r="AA2217" s="52" t="n">
        <v>0</v>
      </c>
      <c r="AB2217" s="52" t="n">
        <v>0</v>
      </c>
      <c r="AC2217" s="52" t="n">
        <v>0</v>
      </c>
      <c r="AD2217" s="52" t="n">
        <v>0</v>
      </c>
      <c r="AE2217" s="52" t="n">
        <v>0</v>
      </c>
      <c r="AF2217" s="52" t="n">
        <v>0</v>
      </c>
      <c r="AG2217" s="52" t="n">
        <v>0</v>
      </c>
      <c r="AH2217" s="52" t="n">
        <v>0</v>
      </c>
      <c r="AI2217" s="52" t="n">
        <v>0</v>
      </c>
      <c r="AJ2217" s="52" t="n">
        <v>0</v>
      </c>
      <c r="AK2217" s="52" t="n">
        <v>0</v>
      </c>
      <c r="AL2217" s="52" t="n">
        <v>0</v>
      </c>
      <c r="AM2217" s="53" t="n">
        <v>0</v>
      </c>
      <c r="AN2217" s="53" t="n">
        <v>0</v>
      </c>
      <c r="AO2217" s="53" t="n">
        <v>0</v>
      </c>
      <c r="AP2217" s="53" t="n">
        <v>0</v>
      </c>
      <c r="AQ2217" s="52" t="n">
        <v>0</v>
      </c>
      <c r="AR2217" s="52" t="n">
        <v>0</v>
      </c>
      <c r="AS2217" s="52" t="n">
        <v>0</v>
      </c>
      <c r="AT2217" s="52" t="n">
        <v>0</v>
      </c>
      <c r="AU2217" s="53" t="n">
        <v>0</v>
      </c>
      <c r="AV2217" s="53" t="n">
        <v>0</v>
      </c>
      <c r="AW2217" s="53" t="n">
        <v>0</v>
      </c>
      <c r="AX2217" s="53" t="n">
        <v>0</v>
      </c>
      <c r="AY2217" s="52" t="n">
        <v>0</v>
      </c>
      <c r="AZ2217" s="52" t="n">
        <v>0</v>
      </c>
      <c r="BA2217" s="52" t="n">
        <v>0</v>
      </c>
      <c r="BB2217" s="52" t="n">
        <v>0</v>
      </c>
      <c r="BC2217" s="51" t="n">
        <v>0</v>
      </c>
      <c r="BD2217" s="51" t="n">
        <v>0</v>
      </c>
      <c r="BE2217" s="51" t="n">
        <v>0</v>
      </c>
      <c r="BF2217" s="51" t="n">
        <v>0</v>
      </c>
    </row>
    <row r="2218">
      <c r="A2218">
        <f>HYPERLINK("https://www.walmart.com/ip/1702988723", "1702988723")</f>
        <v/>
      </c>
      <c r="B2218" t="inlineStr">
        <is>
          <t>Tirrinia Insulated Cooler Toto Lunch Bag, Thermos Organizer Container, Pink Watermelon, 8.5" x 4" x 9.5"</t>
        </is>
      </c>
      <c r="C2218" t="inlineStr">
        <is>
          <t>1TRLB100PKMEL</t>
        </is>
      </c>
      <c r="D2218" t="inlineStr">
        <is>
          <t>Reusable Lunch Bags &amp; Boxes</t>
        </is>
      </c>
      <c r="E2218" t="inlineStr">
        <is>
          <t>Tirrinia</t>
        </is>
      </c>
      <c r="F2218" t="inlineStr">
        <is>
          <t>Q2-Target,SEM</t>
        </is>
      </c>
      <c r="G2218" s="48" t="n">
        <v>0</v>
      </c>
      <c r="H2218" s="48" t="n">
        <v>0</v>
      </c>
      <c r="I2218" s="48" t="n">
        <v>0</v>
      </c>
      <c r="J2218" s="48" t="n">
        <v>0</v>
      </c>
      <c r="K2218" s="49" t="n">
        <v>0</v>
      </c>
      <c r="L2218" s="49" t="n">
        <v>0</v>
      </c>
      <c r="M2218" s="49" t="n">
        <v>0</v>
      </c>
      <c r="N2218" s="49" t="n">
        <v>0</v>
      </c>
      <c r="O2218" s="49" t="n">
        <v>0</v>
      </c>
      <c r="P2218" s="49" t="n">
        <v>0</v>
      </c>
      <c r="Q2218" s="49" t="n">
        <v>0</v>
      </c>
      <c r="R2218" s="49" t="n">
        <v>0</v>
      </c>
      <c r="S2218" s="50" t="n">
        <v>0</v>
      </c>
      <c r="T2218" s="50" t="n">
        <v>0</v>
      </c>
      <c r="U2218" s="50" t="n">
        <v>0</v>
      </c>
      <c r="V2218" s="50" t="n">
        <v>0</v>
      </c>
      <c r="W2218" s="51" t="n">
        <v>0</v>
      </c>
      <c r="X2218" s="51" t="n">
        <v>0</v>
      </c>
      <c r="Y2218" s="51" t="n">
        <v>0</v>
      </c>
      <c r="Z2218" s="51" t="n">
        <v>0</v>
      </c>
      <c r="AA2218" s="52" t="n">
        <v>0</v>
      </c>
      <c r="AB2218" s="52" t="n">
        <v>0</v>
      </c>
      <c r="AC2218" s="52" t="n">
        <v>0</v>
      </c>
      <c r="AD2218" s="52" t="n">
        <v>0</v>
      </c>
      <c r="AE2218" s="52" t="n">
        <v>0</v>
      </c>
      <c r="AF2218" s="52" t="n">
        <v>0</v>
      </c>
      <c r="AG2218" s="52" t="n">
        <v>0</v>
      </c>
      <c r="AH2218" s="52" t="n">
        <v>0</v>
      </c>
      <c r="AI2218" s="52" t="n">
        <v>0</v>
      </c>
      <c r="AJ2218" s="52" t="n">
        <v>0</v>
      </c>
      <c r="AK2218" s="52" t="n">
        <v>0</v>
      </c>
      <c r="AL2218" s="52" t="n">
        <v>0</v>
      </c>
      <c r="AM2218" s="53" t="n">
        <v>0</v>
      </c>
      <c r="AN2218" s="53" t="n">
        <v>0</v>
      </c>
      <c r="AO2218" s="53" t="n">
        <v>0</v>
      </c>
      <c r="AP2218" s="53" t="n">
        <v>0</v>
      </c>
      <c r="AQ2218" s="52" t="n">
        <v>0</v>
      </c>
      <c r="AR2218" s="52" t="n">
        <v>0</v>
      </c>
      <c r="AS2218" s="52" t="n">
        <v>0</v>
      </c>
      <c r="AT2218" s="52" t="n">
        <v>0</v>
      </c>
      <c r="AU2218" s="53" t="n">
        <v>0</v>
      </c>
      <c r="AV2218" s="53" t="n">
        <v>0</v>
      </c>
      <c r="AW2218" s="53" t="n">
        <v>0</v>
      </c>
      <c r="AX2218" s="53" t="n">
        <v>0</v>
      </c>
      <c r="AY2218" s="52" t="n">
        <v>0</v>
      </c>
      <c r="AZ2218" s="52" t="n">
        <v>0</v>
      </c>
      <c r="BA2218" s="52" t="n">
        <v>0</v>
      </c>
      <c r="BB2218" s="52" t="n">
        <v>0</v>
      </c>
      <c r="BC2218" s="51" t="n">
        <v>0</v>
      </c>
      <c r="BD2218" s="51" t="n">
        <v>0</v>
      </c>
      <c r="BE2218" s="51" t="n">
        <v>0</v>
      </c>
      <c r="BF2218" s="51" t="n">
        <v>0</v>
      </c>
    </row>
    <row r="2219">
      <c r="A2219">
        <f>HYPERLINK("https://www.walmart.com/ip/1703428017", "1703428017")</f>
        <v/>
      </c>
      <c r="B2219" t="inlineStr">
        <is>
          <t>Catalonia All Season Knitted Acrylic Throw Blanket Cozy Leisure Lightweight Decorative Blanket with Fringe for Bed,Couch,Living Room,Machine Washable,50×60 Inches, Pink</t>
        </is>
      </c>
      <c r="C2219" t="inlineStr">
        <is>
          <t>1CTBN510PK</t>
        </is>
      </c>
      <c r="D2219" t="inlineStr">
        <is>
          <t>Throws</t>
        </is>
      </c>
      <c r="E2219" t="inlineStr">
        <is>
          <t>Catalonia</t>
        </is>
      </c>
      <c r="F2219" t="inlineStr">
        <is>
          <t>Batch 1 - TR</t>
        </is>
      </c>
      <c r="G2219" s="48" t="n">
        <v>0</v>
      </c>
      <c r="H2219" s="48" t="n">
        <v>0</v>
      </c>
      <c r="I2219" s="48" t="n">
        <v>0</v>
      </c>
      <c r="J2219" s="48" t="n">
        <v>0</v>
      </c>
      <c r="K2219" s="49" t="n">
        <v>0</v>
      </c>
      <c r="L2219" s="49" t="n">
        <v>0</v>
      </c>
      <c r="M2219" s="49" t="n">
        <v>0</v>
      </c>
      <c r="N2219" s="49" t="n">
        <v>0</v>
      </c>
      <c r="O2219" s="49" t="n">
        <v>0</v>
      </c>
      <c r="P2219" s="49" t="n">
        <v>0</v>
      </c>
      <c r="Q2219" s="49" t="n">
        <v>0</v>
      </c>
      <c r="R2219" s="49" t="n">
        <v>0</v>
      </c>
      <c r="S2219" s="50" t="n">
        <v>0</v>
      </c>
      <c r="T2219" s="50" t="n">
        <v>0</v>
      </c>
      <c r="U2219" s="50" t="n">
        <v>0</v>
      </c>
      <c r="V2219" s="50" t="n">
        <v>0</v>
      </c>
      <c r="W2219" s="51" t="n">
        <v>0</v>
      </c>
      <c r="X2219" s="51" t="n">
        <v>0</v>
      </c>
      <c r="Y2219" s="51" t="n">
        <v>0</v>
      </c>
      <c r="Z2219" s="51" t="n">
        <v>0</v>
      </c>
      <c r="AA2219" s="52" t="n">
        <v>0</v>
      </c>
      <c r="AB2219" s="52" t="n">
        <v>0</v>
      </c>
      <c r="AC2219" s="52" t="n">
        <v>0</v>
      </c>
      <c r="AD2219" s="52" t="n">
        <v>0</v>
      </c>
      <c r="AE2219" s="52" t="n">
        <v>0</v>
      </c>
      <c r="AF2219" s="52" t="n">
        <v>0</v>
      </c>
      <c r="AG2219" s="52" t="n">
        <v>0</v>
      </c>
      <c r="AH2219" s="52" t="n">
        <v>0</v>
      </c>
      <c r="AI2219" s="52" t="n">
        <v>0</v>
      </c>
      <c r="AJ2219" s="52" t="n">
        <v>0</v>
      </c>
      <c r="AK2219" s="52" t="n">
        <v>0</v>
      </c>
      <c r="AL2219" s="52" t="n">
        <v>0</v>
      </c>
      <c r="AM2219" s="53" t="n">
        <v>0</v>
      </c>
      <c r="AN2219" s="53" t="n">
        <v>0</v>
      </c>
      <c r="AO2219" s="53" t="n">
        <v>0</v>
      </c>
      <c r="AP2219" s="53" t="n">
        <v>0</v>
      </c>
      <c r="AQ2219" s="52" t="n">
        <v>0</v>
      </c>
      <c r="AR2219" s="52" t="n">
        <v>0</v>
      </c>
      <c r="AS2219" s="52" t="n">
        <v>0</v>
      </c>
      <c r="AT2219" s="52" t="n">
        <v>0</v>
      </c>
      <c r="AU2219" s="53" t="n">
        <v>0</v>
      </c>
      <c r="AV2219" s="53" t="n">
        <v>0</v>
      </c>
      <c r="AW2219" s="53" t="n">
        <v>0</v>
      </c>
      <c r="AX2219" s="53" t="n">
        <v>0</v>
      </c>
      <c r="AY2219" s="52" t="n">
        <v>0</v>
      </c>
      <c r="AZ2219" s="52" t="n">
        <v>0</v>
      </c>
      <c r="BA2219" s="52" t="n">
        <v>0</v>
      </c>
      <c r="BB2219" s="52" t="n">
        <v>0</v>
      </c>
      <c r="BC2219" s="51" t="n">
        <v>0</v>
      </c>
      <c r="BD2219" s="51" t="n">
        <v>0</v>
      </c>
      <c r="BE2219" s="51" t="n">
        <v>0</v>
      </c>
      <c r="BF2219" s="51" t="n">
        <v>0</v>
      </c>
    </row>
    <row r="2220">
      <c r="A2220">
        <f>HYPERLINK("https://www.walmart.com/ip/1704694647", "1704694647")</f>
        <v/>
      </c>
      <c r="B2220" t="inlineStr">
        <is>
          <t>Sun Visor Sports Cotton Twill Plain Hat with Adjustable Strap for Men Women Outdoor Golf Tennis Running Jogging Hiking</t>
        </is>
      </c>
      <c r="C2220" t="inlineStr">
        <is>
          <t>1SLVS4130LIME - 12pcs</t>
        </is>
      </c>
      <c r="D2220" t="inlineStr">
        <is>
          <t>Tennis Visors</t>
        </is>
      </c>
      <c r="E2220" t="inlineStr">
        <is>
          <t>Solaris</t>
        </is>
      </c>
      <c r="F2220" t="inlineStr">
        <is>
          <t>Batch 1 - TR</t>
        </is>
      </c>
      <c r="G2220" s="48" t="n">
        <v>0</v>
      </c>
      <c r="H2220" s="48" t="n">
        <v>0</v>
      </c>
      <c r="I2220" s="48" t="n">
        <v>0</v>
      </c>
      <c r="J2220" s="48" t="n">
        <v>0</v>
      </c>
      <c r="K2220" s="49" t="n">
        <v>0</v>
      </c>
      <c r="L2220" s="49" t="n">
        <v>0</v>
      </c>
      <c r="M2220" s="49" t="n">
        <v>0</v>
      </c>
      <c r="N2220" s="49" t="n">
        <v>0</v>
      </c>
      <c r="O2220" s="49" t="n">
        <v>0</v>
      </c>
      <c r="P2220" s="49" t="n">
        <v>0</v>
      </c>
      <c r="Q2220" s="49" t="n">
        <v>0</v>
      </c>
      <c r="R2220" s="49" t="n">
        <v>0</v>
      </c>
      <c r="S2220" s="50" t="n">
        <v>0</v>
      </c>
      <c r="T2220" s="50" t="n">
        <v>0</v>
      </c>
      <c r="U2220" s="50" t="n">
        <v>0</v>
      </c>
      <c r="V2220" s="50" t="n">
        <v>0</v>
      </c>
      <c r="W2220" s="51" t="n">
        <v>0</v>
      </c>
      <c r="X2220" s="51" t="n">
        <v>0</v>
      </c>
      <c r="Y2220" s="51" t="n">
        <v>0</v>
      </c>
      <c r="Z2220" s="51" t="n">
        <v>0</v>
      </c>
      <c r="AA2220" s="52" t="n">
        <v>0</v>
      </c>
      <c r="AB2220" s="52" t="n">
        <v>0</v>
      </c>
      <c r="AC2220" s="52" t="n">
        <v>0</v>
      </c>
      <c r="AD2220" s="52" t="n">
        <v>0</v>
      </c>
      <c r="AE2220" s="52" t="n">
        <v>0</v>
      </c>
      <c r="AF2220" s="52" t="n">
        <v>0</v>
      </c>
      <c r="AG2220" s="52" t="n">
        <v>0</v>
      </c>
      <c r="AH2220" s="52" t="n">
        <v>0</v>
      </c>
      <c r="AI2220" s="52" t="n">
        <v>0</v>
      </c>
      <c r="AJ2220" s="52" t="n">
        <v>0</v>
      </c>
      <c r="AK2220" s="52" t="n">
        <v>0</v>
      </c>
      <c r="AL2220" s="52" t="n">
        <v>0</v>
      </c>
      <c r="AM2220" s="53" t="n">
        <v>0</v>
      </c>
      <c r="AN2220" s="53" t="n">
        <v>0</v>
      </c>
      <c r="AO2220" s="53" t="n">
        <v>0</v>
      </c>
      <c r="AP2220" s="53" t="n">
        <v>0</v>
      </c>
      <c r="AQ2220" s="52" t="n">
        <v>0</v>
      </c>
      <c r="AR2220" s="52" t="n">
        <v>0</v>
      </c>
      <c r="AS2220" s="52" t="n">
        <v>0</v>
      </c>
      <c r="AT2220" s="52" t="n">
        <v>0</v>
      </c>
      <c r="AU2220" s="53" t="n">
        <v>0</v>
      </c>
      <c r="AV2220" s="53" t="n">
        <v>0</v>
      </c>
      <c r="AW2220" s="53" t="n">
        <v>0</v>
      </c>
      <c r="AX2220" s="53" t="n">
        <v>0</v>
      </c>
      <c r="AY2220" s="52" t="n">
        <v>0</v>
      </c>
      <c r="AZ2220" s="52" t="n">
        <v>0</v>
      </c>
      <c r="BA2220" s="52" t="n">
        <v>0</v>
      </c>
      <c r="BB2220" s="52" t="n">
        <v>0</v>
      </c>
      <c r="BC2220" s="51" t="n">
        <v>0</v>
      </c>
      <c r="BD2220" s="51" t="n">
        <v>0</v>
      </c>
      <c r="BE2220" s="51" t="n">
        <v>0</v>
      </c>
      <c r="BF2220" s="51" t="n">
        <v>0</v>
      </c>
    </row>
    <row r="2221">
      <c r="A2221">
        <f>HYPERLINK("https://www.walmart.com/ip/1709435679", "1709435679")</f>
        <v/>
      </c>
      <c r="B2221" t="inlineStr">
        <is>
          <t>Deluxe Classic Suede Bill Baseball Cap with Leather Strap Closure</t>
        </is>
      </c>
      <c r="C2221" t="inlineStr">
        <is>
          <t>KC-S6300-BK/BR-12pcs</t>
        </is>
      </c>
      <c r="D2221" t="inlineStr">
        <is>
          <t>Hats</t>
        </is>
      </c>
      <c r="E2221" t="inlineStr">
        <is>
          <t>KC Caps</t>
        </is>
      </c>
      <c r="F2221" t="inlineStr">
        <is>
          <t>Batch 1 - TR</t>
        </is>
      </c>
      <c r="G2221" s="48" t="n">
        <v>0</v>
      </c>
      <c r="H2221" s="48" t="n">
        <v>0</v>
      </c>
      <c r="I2221" s="48" t="n">
        <v>0</v>
      </c>
      <c r="J2221" s="48" t="n">
        <v>0</v>
      </c>
      <c r="K2221" s="49" t="n">
        <v>0</v>
      </c>
      <c r="L2221" s="49" t="n">
        <v>0</v>
      </c>
      <c r="M2221" s="49" t="n">
        <v>0</v>
      </c>
      <c r="N2221" s="49" t="n">
        <v>0</v>
      </c>
      <c r="O2221" s="49" t="n">
        <v>0</v>
      </c>
      <c r="P2221" s="49" t="n">
        <v>0</v>
      </c>
      <c r="Q2221" s="49" t="n">
        <v>0</v>
      </c>
      <c r="R2221" s="49" t="n">
        <v>0</v>
      </c>
      <c r="S2221" s="50" t="n">
        <v>0</v>
      </c>
      <c r="T2221" s="50" t="n">
        <v>0</v>
      </c>
      <c r="U2221" s="50" t="n">
        <v>0</v>
      </c>
      <c r="V2221" s="50" t="n">
        <v>0</v>
      </c>
      <c r="W2221" s="51" t="n">
        <v>0</v>
      </c>
      <c r="X2221" s="51" t="n">
        <v>0</v>
      </c>
      <c r="Y2221" s="51" t="n">
        <v>0</v>
      </c>
      <c r="Z2221" s="51" t="n">
        <v>0</v>
      </c>
      <c r="AA2221" s="52" t="n">
        <v>0</v>
      </c>
      <c r="AB2221" s="52" t="n">
        <v>0</v>
      </c>
      <c r="AC2221" s="52" t="n">
        <v>0</v>
      </c>
      <c r="AD2221" s="52" t="n">
        <v>0</v>
      </c>
      <c r="AE2221" s="52" t="n">
        <v>0</v>
      </c>
      <c r="AF2221" s="52" t="n">
        <v>0</v>
      </c>
      <c r="AG2221" s="52" t="n">
        <v>0</v>
      </c>
      <c r="AH2221" s="52" t="n">
        <v>0</v>
      </c>
      <c r="AI2221" s="52" t="n">
        <v>0</v>
      </c>
      <c r="AJ2221" s="52" t="n">
        <v>0</v>
      </c>
      <c r="AK2221" s="52" t="n">
        <v>0</v>
      </c>
      <c r="AL2221" s="52" t="n">
        <v>0</v>
      </c>
      <c r="AM2221" s="53" t="n">
        <v>0</v>
      </c>
      <c r="AN2221" s="53" t="n">
        <v>0</v>
      </c>
      <c r="AO2221" s="53" t="n">
        <v>0</v>
      </c>
      <c r="AP2221" s="53" t="n">
        <v>0</v>
      </c>
      <c r="AQ2221" s="52" t="n">
        <v>0</v>
      </c>
      <c r="AR2221" s="52" t="n">
        <v>0</v>
      </c>
      <c r="AS2221" s="52" t="n">
        <v>0</v>
      </c>
      <c r="AT2221" s="52" t="n">
        <v>0</v>
      </c>
      <c r="AU2221" s="53" t="n">
        <v>0</v>
      </c>
      <c r="AV2221" s="53" t="n">
        <v>0</v>
      </c>
      <c r="AW2221" s="53" t="n">
        <v>0</v>
      </c>
      <c r="AX2221" s="53" t="n">
        <v>0</v>
      </c>
      <c r="AY2221" s="52" t="n">
        <v>0</v>
      </c>
      <c r="AZ2221" s="52" t="n">
        <v>0</v>
      </c>
      <c r="BA2221" s="52" t="n">
        <v>0</v>
      </c>
      <c r="BB2221" s="52" t="n">
        <v>0</v>
      </c>
      <c r="BC2221" s="51" t="n">
        <v>0</v>
      </c>
      <c r="BD2221" s="51" t="n">
        <v>0</v>
      </c>
      <c r="BE2221" s="51" t="n">
        <v>0</v>
      </c>
      <c r="BF2221" s="51" t="n">
        <v>0</v>
      </c>
    </row>
    <row r="2222">
      <c r="A2222">
        <f>HYPERLINK("https://www.walmart.com/ip/170955340", "170955340")</f>
        <v/>
      </c>
      <c r="B2222" t="inlineStr">
        <is>
          <t>JenniWears® Women's Seamless Mesh Hole Pothole Tube Dress</t>
        </is>
      </c>
      <c r="C2222" t="inlineStr">
        <is>
          <t>JWBD012PK-M</t>
        </is>
      </c>
      <c r="D2222" t="inlineStr">
        <is>
          <t>Dresses</t>
        </is>
      </c>
      <c r="E2222" t="inlineStr">
        <is>
          <t>JenniWears</t>
        </is>
      </c>
      <c r="F2222" t="inlineStr">
        <is>
          <t>Optimized,Valentine</t>
        </is>
      </c>
      <c r="G2222" s="48" t="n">
        <v>0</v>
      </c>
      <c r="H2222" s="48" t="n">
        <v>0</v>
      </c>
      <c r="I2222" s="48" t="n">
        <v>0</v>
      </c>
      <c r="J2222" s="48" t="n">
        <v>0</v>
      </c>
      <c r="K2222" s="49" t="n">
        <v>0</v>
      </c>
      <c r="L2222" s="49" t="n">
        <v>0</v>
      </c>
      <c r="M2222" s="49" t="n">
        <v>0</v>
      </c>
      <c r="N2222" s="49" t="n">
        <v>0</v>
      </c>
      <c r="O2222" s="49" t="n">
        <v>0</v>
      </c>
      <c r="P2222" s="49" t="n">
        <v>0</v>
      </c>
      <c r="Q2222" s="49" t="n">
        <v>0</v>
      </c>
      <c r="R2222" s="49" t="n">
        <v>0</v>
      </c>
      <c r="S2222" s="50" t="n">
        <v>0</v>
      </c>
      <c r="T2222" s="50" t="n">
        <v>0</v>
      </c>
      <c r="U2222" s="50" t="n">
        <v>0</v>
      </c>
      <c r="V2222" s="50" t="n">
        <v>0</v>
      </c>
      <c r="W2222" s="51" t="n">
        <v>0</v>
      </c>
      <c r="X2222" s="51" t="n">
        <v>0</v>
      </c>
      <c r="Y2222" s="51" t="n">
        <v>0</v>
      </c>
      <c r="Z2222" s="51" t="n">
        <v>0</v>
      </c>
      <c r="AA2222" s="52" t="n">
        <v>0</v>
      </c>
      <c r="AB2222" s="52" t="n">
        <v>0</v>
      </c>
      <c r="AC2222" s="52" t="n">
        <v>0</v>
      </c>
      <c r="AD2222" s="52" t="n">
        <v>0</v>
      </c>
      <c r="AE2222" s="52" t="n">
        <v>0</v>
      </c>
      <c r="AF2222" s="52" t="n">
        <v>0</v>
      </c>
      <c r="AG2222" s="52" t="n">
        <v>0</v>
      </c>
      <c r="AH2222" s="52" t="n">
        <v>0</v>
      </c>
      <c r="AI2222" s="52" t="n">
        <v>0</v>
      </c>
      <c r="AJ2222" s="52" t="n">
        <v>0</v>
      </c>
      <c r="AK2222" s="52" t="n">
        <v>0</v>
      </c>
      <c r="AL2222" s="52" t="n">
        <v>0</v>
      </c>
      <c r="AM2222" s="53" t="n">
        <v>0</v>
      </c>
      <c r="AN2222" s="53" t="n">
        <v>0</v>
      </c>
      <c r="AO2222" s="53" t="n">
        <v>0</v>
      </c>
      <c r="AP2222" s="53" t="n">
        <v>0</v>
      </c>
      <c r="AQ2222" s="52" t="n">
        <v>0</v>
      </c>
      <c r="AR2222" s="52" t="n">
        <v>0</v>
      </c>
      <c r="AS2222" s="52" t="n">
        <v>0</v>
      </c>
      <c r="AT2222" s="52" t="n">
        <v>0</v>
      </c>
      <c r="AU2222" s="53" t="n">
        <v>0</v>
      </c>
      <c r="AV2222" s="53" t="n">
        <v>0</v>
      </c>
      <c r="AW2222" s="53" t="n">
        <v>0</v>
      </c>
      <c r="AX2222" s="53" t="n">
        <v>0</v>
      </c>
      <c r="AY2222" s="52" t="n">
        <v>0</v>
      </c>
      <c r="AZ2222" s="52" t="n">
        <v>0</v>
      </c>
      <c r="BA2222" s="52" t="n">
        <v>0</v>
      </c>
      <c r="BB2222" s="52" t="n">
        <v>0</v>
      </c>
      <c r="BC2222" s="51" t="n">
        <v>0</v>
      </c>
      <c r="BD2222" s="51" t="n">
        <v>0</v>
      </c>
      <c r="BE2222" s="51" t="n">
        <v>0</v>
      </c>
      <c r="BF2222" s="51" t="n">
        <v>0</v>
      </c>
    </row>
    <row r="2223">
      <c r="A2223">
        <f>HYPERLINK("https://www.walmart.com/ip/1713390404", "1713390404")</f>
        <v/>
      </c>
      <c r="B2223" t="inlineStr">
        <is>
          <t>Tirrinia Large Insulated Lunch Tote Bag for Women,Waterproof Oxford Cloth Leakproof Cooler Bag,Shopping Food Grocery Bags for Work Beach, Blue Stripe</t>
        </is>
      </c>
      <c r="C2223" t="inlineStr">
        <is>
          <t>1TRCB800BLSTR</t>
        </is>
      </c>
      <c r="D2223" t="inlineStr">
        <is>
          <t>Reusable Lunch Bags &amp; Boxes</t>
        </is>
      </c>
      <c r="E2223" t="inlineStr">
        <is>
          <t>Tirrinia</t>
        </is>
      </c>
      <c r="F2223" t="inlineStr">
        <is>
          <t>Batch 1 - TR</t>
        </is>
      </c>
      <c r="G2223" s="48" t="n">
        <v>0</v>
      </c>
      <c r="H2223" s="48" t="n">
        <v>0</v>
      </c>
      <c r="I2223" s="48" t="n">
        <v>64.95</v>
      </c>
      <c r="J2223" s="48" t="n">
        <v>0</v>
      </c>
      <c r="K2223" s="49" t="n">
        <v>0</v>
      </c>
      <c r="L2223" s="49" t="n">
        <v>0</v>
      </c>
      <c r="M2223" s="49" t="n">
        <v>5</v>
      </c>
      <c r="N2223" s="49" t="n">
        <v>0</v>
      </c>
      <c r="O2223" s="49" t="n">
        <v>7</v>
      </c>
      <c r="P2223" s="49" t="n">
        <v>3</v>
      </c>
      <c r="Q2223" s="49" t="n">
        <v>7</v>
      </c>
      <c r="R2223" s="49" t="n">
        <v>2</v>
      </c>
      <c r="S2223" s="50" t="n">
        <v>0</v>
      </c>
      <c r="T2223" s="50" t="n">
        <v>0</v>
      </c>
      <c r="U2223" s="50" t="n">
        <v>0.7142857142857143</v>
      </c>
      <c r="V2223" s="50" t="n">
        <v>0</v>
      </c>
      <c r="W2223" s="51" t="n">
        <v>0</v>
      </c>
      <c r="X2223" s="51" t="n">
        <v>0</v>
      </c>
      <c r="Y2223" s="51" t="n">
        <v>0</v>
      </c>
      <c r="Z2223" s="51" t="n">
        <v>0</v>
      </c>
      <c r="AA2223" s="52" t="n">
        <v>0</v>
      </c>
      <c r="AB2223" s="52" t="n">
        <v>0</v>
      </c>
      <c r="AC2223" s="52" t="n">
        <v>0</v>
      </c>
      <c r="AD2223" s="52" t="n">
        <v>0</v>
      </c>
      <c r="AE2223" s="52" t="n">
        <v>0</v>
      </c>
      <c r="AF2223" s="52" t="n">
        <v>0</v>
      </c>
      <c r="AG2223" s="52" t="n">
        <v>0</v>
      </c>
      <c r="AH2223" s="52" t="n">
        <v>0</v>
      </c>
      <c r="AI2223" s="52" t="n">
        <v>0</v>
      </c>
      <c r="AJ2223" s="52" t="n">
        <v>0</v>
      </c>
      <c r="AK2223" s="52" t="n">
        <v>0</v>
      </c>
      <c r="AL2223" s="52" t="n">
        <v>0</v>
      </c>
      <c r="AM2223" s="53" t="n">
        <v>0</v>
      </c>
      <c r="AN2223" s="53" t="n">
        <v>0</v>
      </c>
      <c r="AO2223" s="53" t="n">
        <v>0</v>
      </c>
      <c r="AP2223" s="53" t="n">
        <v>0</v>
      </c>
      <c r="AQ2223" s="52" t="n">
        <v>0</v>
      </c>
      <c r="AR2223" s="52" t="n">
        <v>0</v>
      </c>
      <c r="AS2223" s="52" t="n">
        <v>0</v>
      </c>
      <c r="AT2223" s="52" t="n">
        <v>0</v>
      </c>
      <c r="AU2223" s="53" t="n">
        <v>0</v>
      </c>
      <c r="AV2223" s="53" t="n">
        <v>0</v>
      </c>
      <c r="AW2223" s="53" t="n">
        <v>0</v>
      </c>
      <c r="AX2223" s="53" t="n">
        <v>0</v>
      </c>
      <c r="AY2223" s="52" t="n">
        <v>0</v>
      </c>
      <c r="AZ2223" s="52" t="n">
        <v>0</v>
      </c>
      <c r="BA2223" s="52" t="n">
        <v>12.99</v>
      </c>
      <c r="BB2223" s="52" t="n">
        <v>0</v>
      </c>
      <c r="BC2223" s="51" t="n">
        <v>0</v>
      </c>
      <c r="BD2223" s="51" t="n">
        <v>0</v>
      </c>
      <c r="BE2223" s="51" t="n">
        <v>0</v>
      </c>
      <c r="BF2223" s="51" t="n">
        <v>0</v>
      </c>
    </row>
    <row r="2224">
      <c r="A2224">
        <f>HYPERLINK("https://www.walmart.com/ip/171476488", "171476488")</f>
        <v/>
      </c>
      <c r="B2224" t="inlineStr">
        <is>
          <t>Lightweight Fleece Stadium Windproof Throw Outdoor Waterproof Blanket, Red-Black Plaid</t>
        </is>
      </c>
      <c r="C2224" t="inlineStr">
        <is>
          <t>1KTBW608PRD</t>
        </is>
      </c>
      <c r="D2224" t="inlineStr">
        <is>
          <t>Picnic Blankets &amp; Mats</t>
        </is>
      </c>
      <c r="E2224" t="inlineStr">
        <is>
          <t>Tirrinia</t>
        </is>
      </c>
      <c r="F2224" t="inlineStr">
        <is>
          <t>Wproof Blanket,Batch 1 - TR</t>
        </is>
      </c>
      <c r="G2224" s="48" t="n">
        <v>0</v>
      </c>
      <c r="H2224" s="48" t="n">
        <v>0</v>
      </c>
      <c r="I2224" s="48" t="n">
        <v>0</v>
      </c>
      <c r="J2224" s="48" t="n">
        <v>0</v>
      </c>
      <c r="K2224" s="49" t="n">
        <v>0</v>
      </c>
      <c r="L2224" s="49" t="n">
        <v>0</v>
      </c>
      <c r="M2224" s="49" t="n">
        <v>0</v>
      </c>
      <c r="N2224" s="49" t="n">
        <v>0</v>
      </c>
      <c r="O2224" s="49" t="n">
        <v>0</v>
      </c>
      <c r="P2224" s="49" t="n">
        <v>0</v>
      </c>
      <c r="Q2224" s="49" t="n">
        <v>0</v>
      </c>
      <c r="R2224" s="49" t="n">
        <v>0</v>
      </c>
      <c r="S2224" s="50" t="n">
        <v>0</v>
      </c>
      <c r="T2224" s="50" t="n">
        <v>0</v>
      </c>
      <c r="U2224" s="50" t="n">
        <v>0</v>
      </c>
      <c r="V2224" s="50" t="n">
        <v>0</v>
      </c>
      <c r="W2224" s="51" t="n">
        <v>0</v>
      </c>
      <c r="X2224" s="51" t="n">
        <v>0</v>
      </c>
      <c r="Y2224" s="51" t="n">
        <v>0</v>
      </c>
      <c r="Z2224" s="51" t="n">
        <v>0</v>
      </c>
      <c r="AA2224" s="52" t="n">
        <v>0</v>
      </c>
      <c r="AB2224" s="52" t="n">
        <v>0</v>
      </c>
      <c r="AC2224" s="52" t="n">
        <v>0</v>
      </c>
      <c r="AD2224" s="52" t="n">
        <v>0</v>
      </c>
      <c r="AE2224" s="52" t="n">
        <v>0</v>
      </c>
      <c r="AF2224" s="52" t="n">
        <v>0</v>
      </c>
      <c r="AG2224" s="52" t="n">
        <v>0</v>
      </c>
      <c r="AH2224" s="52" t="n">
        <v>0</v>
      </c>
      <c r="AI2224" s="52" t="n">
        <v>0</v>
      </c>
      <c r="AJ2224" s="52" t="n">
        <v>0</v>
      </c>
      <c r="AK2224" s="52" t="n">
        <v>0</v>
      </c>
      <c r="AL2224" s="52" t="n">
        <v>0</v>
      </c>
      <c r="AM2224" s="53" t="n">
        <v>0</v>
      </c>
      <c r="AN2224" s="53" t="n">
        <v>0</v>
      </c>
      <c r="AO2224" s="53" t="n">
        <v>0</v>
      </c>
      <c r="AP2224" s="53" t="n">
        <v>0</v>
      </c>
      <c r="AQ2224" s="52" t="n">
        <v>0</v>
      </c>
      <c r="AR2224" s="52" t="n">
        <v>0</v>
      </c>
      <c r="AS2224" s="52" t="n">
        <v>0</v>
      </c>
      <c r="AT2224" s="52" t="n">
        <v>0</v>
      </c>
      <c r="AU2224" s="53" t="n">
        <v>0</v>
      </c>
      <c r="AV2224" s="53" t="n">
        <v>0</v>
      </c>
      <c r="AW2224" s="53" t="n">
        <v>0</v>
      </c>
      <c r="AX2224" s="53" t="n">
        <v>0</v>
      </c>
      <c r="AY2224" s="52" t="n">
        <v>0</v>
      </c>
      <c r="AZ2224" s="52" t="n">
        <v>0</v>
      </c>
      <c r="BA2224" s="52" t="n">
        <v>0</v>
      </c>
      <c r="BB2224" s="52" t="n">
        <v>0</v>
      </c>
      <c r="BC2224" s="51" t="n">
        <v>91</v>
      </c>
      <c r="BD2224" s="51" t="n">
        <v>134</v>
      </c>
      <c r="BE2224" s="51" t="n">
        <v>0</v>
      </c>
      <c r="BF2224" s="51" t="n">
        <v>22</v>
      </c>
    </row>
    <row r="2225">
      <c r="A2225">
        <f>HYPERLINK("https://www.walmart.com/ip/171507321", "171507321")</f>
        <v/>
      </c>
      <c r="B2225" t="inlineStr">
        <is>
          <t>KC Baseball Cap USA American Flag Embroidered Racing Cap Trucker Snapback Sport Hat for Men Women</t>
        </is>
      </c>
      <c r="C2225" t="inlineStr">
        <is>
          <t>KC-AS06</t>
        </is>
      </c>
      <c r="D2225" t="inlineStr">
        <is>
          <t>Hats</t>
        </is>
      </c>
      <c r="E2225" t="inlineStr">
        <is>
          <t>KC Caps</t>
        </is>
      </c>
      <c r="F2225" t="inlineStr">
        <is>
          <t>Optimized</t>
        </is>
      </c>
      <c r="G2225" s="48" t="n">
        <v>0</v>
      </c>
      <c r="H2225" s="48" t="n">
        <v>0</v>
      </c>
      <c r="I2225" s="48" t="n">
        <v>0</v>
      </c>
      <c r="J2225" s="48" t="n">
        <v>0</v>
      </c>
      <c r="K2225" s="49" t="n">
        <v>0</v>
      </c>
      <c r="L2225" s="49" t="n">
        <v>0</v>
      </c>
      <c r="M2225" s="49" t="n">
        <v>0</v>
      </c>
      <c r="N2225" s="49" t="n">
        <v>0</v>
      </c>
      <c r="O2225" s="49" t="n">
        <v>0</v>
      </c>
      <c r="P2225" s="49" t="n">
        <v>0</v>
      </c>
      <c r="Q2225" s="49" t="n">
        <v>0</v>
      </c>
      <c r="R2225" s="49" t="n">
        <v>0</v>
      </c>
      <c r="S2225" s="50" t="n">
        <v>0</v>
      </c>
      <c r="T2225" s="50" t="n">
        <v>0</v>
      </c>
      <c r="U2225" s="50" t="n">
        <v>0</v>
      </c>
      <c r="V2225" s="50" t="n">
        <v>0</v>
      </c>
      <c r="W2225" s="51" t="n">
        <v>0</v>
      </c>
      <c r="X2225" s="51" t="n">
        <v>0</v>
      </c>
      <c r="Y2225" s="51" t="n">
        <v>0</v>
      </c>
      <c r="Z2225" s="51" t="n">
        <v>0</v>
      </c>
      <c r="AA2225" s="52" t="n">
        <v>0</v>
      </c>
      <c r="AB2225" s="52" t="n">
        <v>0</v>
      </c>
      <c r="AC2225" s="52" t="n">
        <v>0</v>
      </c>
      <c r="AD2225" s="52" t="n">
        <v>0</v>
      </c>
      <c r="AE2225" s="52" t="n">
        <v>0</v>
      </c>
      <c r="AF2225" s="52" t="n">
        <v>0</v>
      </c>
      <c r="AG2225" s="52" t="n">
        <v>0</v>
      </c>
      <c r="AH2225" s="52" t="n">
        <v>0</v>
      </c>
      <c r="AI2225" s="52" t="n">
        <v>0</v>
      </c>
      <c r="AJ2225" s="52" t="n">
        <v>0</v>
      </c>
      <c r="AK2225" s="52" t="n">
        <v>0</v>
      </c>
      <c r="AL2225" s="52" t="n">
        <v>0</v>
      </c>
      <c r="AM2225" s="53" t="n">
        <v>0</v>
      </c>
      <c r="AN2225" s="53" t="n">
        <v>0</v>
      </c>
      <c r="AO2225" s="53" t="n">
        <v>0</v>
      </c>
      <c r="AP2225" s="53" t="n">
        <v>0</v>
      </c>
      <c r="AQ2225" s="52" t="n">
        <v>0</v>
      </c>
      <c r="AR2225" s="52" t="n">
        <v>0</v>
      </c>
      <c r="AS2225" s="52" t="n">
        <v>0</v>
      </c>
      <c r="AT2225" s="52" t="n">
        <v>0</v>
      </c>
      <c r="AU2225" s="53" t="n">
        <v>0</v>
      </c>
      <c r="AV2225" s="53" t="n">
        <v>0</v>
      </c>
      <c r="AW2225" s="53" t="n">
        <v>0</v>
      </c>
      <c r="AX2225" s="53" t="n">
        <v>0</v>
      </c>
      <c r="AY2225" s="52" t="n">
        <v>0</v>
      </c>
      <c r="AZ2225" s="52" t="n">
        <v>0</v>
      </c>
      <c r="BA2225" s="52" t="n">
        <v>0</v>
      </c>
      <c r="BB2225" s="52" t="n">
        <v>0</v>
      </c>
      <c r="BC2225" s="51" t="n">
        <v>0</v>
      </c>
      <c r="BD2225" s="51" t="n">
        <v>0</v>
      </c>
      <c r="BE2225" s="51" t="n">
        <v>0</v>
      </c>
      <c r="BF2225" s="51" t="n">
        <v>0</v>
      </c>
    </row>
    <row r="2226">
      <c r="A2226">
        <f>HYPERLINK("https://www.walmart.com/ip/171544794", "171544794")</f>
        <v/>
      </c>
      <c r="B2226" t="inlineStr">
        <is>
          <t>Catalonia Fleece Wearable Blanket with Sleeves and Pocket, Micro Plush Warm Sleeved TV Throw Blanket Robe for Women and Men, Brown, 72'' x 55''</t>
        </is>
      </c>
      <c r="C2226" t="inlineStr">
        <is>
          <t>1CTSN110BR</t>
        </is>
      </c>
      <c r="D2226" t="inlineStr">
        <is>
          <t>Throws</t>
        </is>
      </c>
      <c r="E2226" t="inlineStr">
        <is>
          <t>Catalonia</t>
        </is>
      </c>
      <c r="F2226" t="inlineStr">
        <is>
          <t>Optimized,WFS,WFS Item</t>
        </is>
      </c>
      <c r="G2226" s="48" t="n">
        <v>0</v>
      </c>
      <c r="H2226" s="48" t="n">
        <v>0</v>
      </c>
      <c r="I2226" s="48" t="n">
        <v>0</v>
      </c>
      <c r="J2226" s="48" t="n">
        <v>0</v>
      </c>
      <c r="K2226" s="49" t="n">
        <v>0</v>
      </c>
      <c r="L2226" s="49" t="n">
        <v>0</v>
      </c>
      <c r="M2226" s="49" t="n">
        <v>0</v>
      </c>
      <c r="N2226" s="49" t="n">
        <v>0</v>
      </c>
      <c r="O2226" s="49" t="n">
        <v>0</v>
      </c>
      <c r="P2226" s="49" t="n">
        <v>0</v>
      </c>
      <c r="Q2226" s="49" t="n">
        <v>0</v>
      </c>
      <c r="R2226" s="49" t="n">
        <v>0</v>
      </c>
      <c r="S2226" s="50" t="n">
        <v>0</v>
      </c>
      <c r="T2226" s="50" t="n">
        <v>0</v>
      </c>
      <c r="U2226" s="50" t="n">
        <v>0</v>
      </c>
      <c r="V2226" s="50" t="n">
        <v>0</v>
      </c>
      <c r="W2226" s="51" t="n">
        <v>0</v>
      </c>
      <c r="X2226" s="51" t="n">
        <v>0</v>
      </c>
      <c r="Y2226" s="51" t="n">
        <v>0</v>
      </c>
      <c r="Z2226" s="51" t="n">
        <v>0</v>
      </c>
      <c r="AA2226" s="52" t="n">
        <v>0</v>
      </c>
      <c r="AB2226" s="52" t="n">
        <v>0</v>
      </c>
      <c r="AC2226" s="52" t="n">
        <v>0</v>
      </c>
      <c r="AD2226" s="52" t="n">
        <v>0</v>
      </c>
      <c r="AE2226" s="52" t="n">
        <v>0</v>
      </c>
      <c r="AF2226" s="52" t="n">
        <v>0</v>
      </c>
      <c r="AG2226" s="52" t="n">
        <v>0</v>
      </c>
      <c r="AH2226" s="52" t="n">
        <v>0</v>
      </c>
      <c r="AI2226" s="52" t="n">
        <v>0</v>
      </c>
      <c r="AJ2226" s="52" t="n">
        <v>0</v>
      </c>
      <c r="AK2226" s="52" t="n">
        <v>0</v>
      </c>
      <c r="AL2226" s="52" t="n">
        <v>0</v>
      </c>
      <c r="AM2226" s="53" t="n">
        <v>0</v>
      </c>
      <c r="AN2226" s="53" t="n">
        <v>0</v>
      </c>
      <c r="AO2226" s="53" t="n">
        <v>0</v>
      </c>
      <c r="AP2226" s="53" t="n">
        <v>0</v>
      </c>
      <c r="AQ2226" s="52" t="n">
        <v>0</v>
      </c>
      <c r="AR2226" s="52" t="n">
        <v>0</v>
      </c>
      <c r="AS2226" s="52" t="n">
        <v>0</v>
      </c>
      <c r="AT2226" s="52" t="n">
        <v>0</v>
      </c>
      <c r="AU2226" s="53" t="n">
        <v>0</v>
      </c>
      <c r="AV2226" s="53" t="n">
        <v>0</v>
      </c>
      <c r="AW2226" s="53" t="n">
        <v>0</v>
      </c>
      <c r="AX2226" s="53" t="n">
        <v>0</v>
      </c>
      <c r="AY2226" s="52" t="n">
        <v>0</v>
      </c>
      <c r="AZ2226" s="52" t="n">
        <v>0</v>
      </c>
      <c r="BA2226" s="52" t="n">
        <v>0</v>
      </c>
      <c r="BB2226" s="52" t="n">
        <v>0</v>
      </c>
      <c r="BC2226" s="51" t="n">
        <v>0</v>
      </c>
      <c r="BD2226" s="51" t="n">
        <v>0</v>
      </c>
      <c r="BE2226" s="51" t="n">
        <v>0</v>
      </c>
      <c r="BF2226" s="51" t="n">
        <v>0</v>
      </c>
    </row>
    <row r="2227">
      <c r="A2227">
        <f>HYPERLINK("https://www.walmart.com/ip/1715618699", "1715618699")</f>
        <v/>
      </c>
      <c r="B2227" t="inlineStr">
        <is>
          <t>Every Day is Christmas Glass Blown Ornaments 2021 Cute Hand Made Figurines Tree Decoration, Chimney Santa</t>
        </is>
      </c>
      <c r="C2227" t="inlineStr">
        <is>
          <t>EDC-FIGURINE-CHIMNEYSANTA</t>
        </is>
      </c>
      <c r="D2227" t="inlineStr">
        <is>
          <t>Ornaments</t>
        </is>
      </c>
      <c r="E2227" t="inlineStr">
        <is>
          <t>Every Day is Christmas</t>
        </is>
      </c>
      <c r="G2227" s="48" t="n">
        <v>0</v>
      </c>
      <c r="H2227" s="48" t="n">
        <v>0</v>
      </c>
      <c r="I2227" s="48" t="n">
        <v>0</v>
      </c>
      <c r="J2227" s="48" t="n">
        <v>0</v>
      </c>
      <c r="K2227" s="49" t="n">
        <v>0</v>
      </c>
      <c r="L2227" s="49" t="n">
        <v>0</v>
      </c>
      <c r="M2227" s="49" t="n">
        <v>0</v>
      </c>
      <c r="N2227" s="49" t="n">
        <v>0</v>
      </c>
      <c r="O2227" s="49" t="n">
        <v>0</v>
      </c>
      <c r="P2227" s="49" t="n">
        <v>0</v>
      </c>
      <c r="Q2227" s="49" t="n">
        <v>0</v>
      </c>
      <c r="R2227" s="49" t="n">
        <v>0</v>
      </c>
      <c r="S2227" s="50" t="n">
        <v>0</v>
      </c>
      <c r="T2227" s="50" t="n">
        <v>0</v>
      </c>
      <c r="U2227" s="50" t="n">
        <v>0</v>
      </c>
      <c r="V2227" s="50" t="n">
        <v>0</v>
      </c>
      <c r="W2227" s="51" t="n">
        <v>0</v>
      </c>
      <c r="X2227" s="51" t="n">
        <v>0</v>
      </c>
      <c r="Y2227" s="51" t="n">
        <v>0</v>
      </c>
      <c r="Z2227" s="51" t="n">
        <v>0</v>
      </c>
      <c r="AA2227" s="52" t="n">
        <v>0</v>
      </c>
      <c r="AB2227" s="52" t="n">
        <v>0</v>
      </c>
      <c r="AC2227" s="52" t="n">
        <v>0</v>
      </c>
      <c r="AD2227" s="52" t="n">
        <v>0</v>
      </c>
      <c r="AE2227" s="52" t="n">
        <v>0</v>
      </c>
      <c r="AF2227" s="52" t="n">
        <v>0</v>
      </c>
      <c r="AG2227" s="52" t="n">
        <v>0</v>
      </c>
      <c r="AH2227" s="52" t="n">
        <v>0</v>
      </c>
      <c r="AI2227" s="52" t="n">
        <v>0</v>
      </c>
      <c r="AJ2227" s="52" t="n">
        <v>0</v>
      </c>
      <c r="AK2227" s="52" t="n">
        <v>0</v>
      </c>
      <c r="AL2227" s="52" t="n">
        <v>0</v>
      </c>
      <c r="AM2227" s="53" t="n">
        <v>0</v>
      </c>
      <c r="AN2227" s="53" t="n">
        <v>0</v>
      </c>
      <c r="AO2227" s="53" t="n">
        <v>0</v>
      </c>
      <c r="AP2227" s="53" t="n">
        <v>0</v>
      </c>
      <c r="AQ2227" s="52" t="n">
        <v>0</v>
      </c>
      <c r="AR2227" s="52" t="n">
        <v>0</v>
      </c>
      <c r="AS2227" s="52" t="n">
        <v>0</v>
      </c>
      <c r="AT2227" s="52" t="n">
        <v>0</v>
      </c>
      <c r="AU2227" s="53" t="n">
        <v>0</v>
      </c>
      <c r="AV2227" s="53" t="n">
        <v>0</v>
      </c>
      <c r="AW2227" s="53" t="n">
        <v>0</v>
      </c>
      <c r="AX2227" s="53" t="n">
        <v>0</v>
      </c>
      <c r="AY2227" s="52" t="n">
        <v>0</v>
      </c>
      <c r="AZ2227" s="52" t="n">
        <v>0</v>
      </c>
      <c r="BA2227" s="52" t="n">
        <v>0</v>
      </c>
      <c r="BB2227" s="52" t="n">
        <v>0</v>
      </c>
      <c r="BC2227" s="51" t="n">
        <v>0</v>
      </c>
      <c r="BD2227" s="51" t="n">
        <v>0</v>
      </c>
      <c r="BE2227" s="51" t="n">
        <v>0</v>
      </c>
      <c r="BF2227" s="51" t="n">
        <v>0</v>
      </c>
    </row>
    <row r="2228">
      <c r="A2228">
        <f>HYPERLINK("https://www.walmart.com/ip/171946676", "171946676")</f>
        <v/>
      </c>
      <c r="B2228" t="inlineStr">
        <is>
          <t>Adjustable Buckle Closure USA Flag Embroidered Cap</t>
        </is>
      </c>
      <c r="C2228" t="inlineStr">
        <is>
          <t>kc-aeflag-nv</t>
        </is>
      </c>
      <c r="D2228" t="inlineStr">
        <is>
          <t>Hats</t>
        </is>
      </c>
      <c r="E2228" t="inlineStr">
        <is>
          <t>KC Caps</t>
        </is>
      </c>
      <c r="F2228" t="inlineStr">
        <is>
          <t>Optimized</t>
        </is>
      </c>
      <c r="G2228" s="48" t="n">
        <v>0</v>
      </c>
      <c r="H2228" s="48" t="n">
        <v>0</v>
      </c>
      <c r="I2228" s="48" t="n">
        <v>0</v>
      </c>
      <c r="J2228" s="48" t="n">
        <v>0</v>
      </c>
      <c r="K2228" s="49" t="n">
        <v>0</v>
      </c>
      <c r="L2228" s="49" t="n">
        <v>0</v>
      </c>
      <c r="M2228" s="49" t="n">
        <v>0</v>
      </c>
      <c r="N2228" s="49" t="n">
        <v>0</v>
      </c>
      <c r="O2228" s="49" t="n">
        <v>0</v>
      </c>
      <c r="P2228" s="49" t="n">
        <v>0</v>
      </c>
      <c r="Q2228" s="49" t="n">
        <v>0</v>
      </c>
      <c r="R2228" s="49" t="n">
        <v>0</v>
      </c>
      <c r="S2228" s="50" t="n">
        <v>0</v>
      </c>
      <c r="T2228" s="50" t="n">
        <v>0</v>
      </c>
      <c r="U2228" s="50" t="n">
        <v>0</v>
      </c>
      <c r="V2228" s="50" t="n">
        <v>0</v>
      </c>
      <c r="W2228" s="51" t="n">
        <v>0</v>
      </c>
      <c r="X2228" s="51" t="n">
        <v>0</v>
      </c>
      <c r="Y2228" s="51" t="n">
        <v>0</v>
      </c>
      <c r="Z2228" s="51" t="n">
        <v>0</v>
      </c>
      <c r="AA2228" s="52" t="n">
        <v>0</v>
      </c>
      <c r="AB2228" s="52" t="n">
        <v>0</v>
      </c>
      <c r="AC2228" s="52" t="n">
        <v>0</v>
      </c>
      <c r="AD2228" s="52" t="n">
        <v>0</v>
      </c>
      <c r="AE2228" s="52" t="n">
        <v>0</v>
      </c>
      <c r="AF2228" s="52" t="n">
        <v>0</v>
      </c>
      <c r="AG2228" s="52" t="n">
        <v>0</v>
      </c>
      <c r="AH2228" s="52" t="n">
        <v>0</v>
      </c>
      <c r="AI2228" s="52" t="n">
        <v>0</v>
      </c>
      <c r="AJ2228" s="52" t="n">
        <v>0</v>
      </c>
      <c r="AK2228" s="52" t="n">
        <v>0</v>
      </c>
      <c r="AL2228" s="52" t="n">
        <v>0</v>
      </c>
      <c r="AM2228" s="53" t="n">
        <v>0</v>
      </c>
      <c r="AN2228" s="53" t="n">
        <v>0</v>
      </c>
      <c r="AO2228" s="53" t="n">
        <v>0</v>
      </c>
      <c r="AP2228" s="53" t="n">
        <v>0</v>
      </c>
      <c r="AQ2228" s="52" t="n">
        <v>0</v>
      </c>
      <c r="AR2228" s="52" t="n">
        <v>0</v>
      </c>
      <c r="AS2228" s="52" t="n">
        <v>0</v>
      </c>
      <c r="AT2228" s="52" t="n">
        <v>0</v>
      </c>
      <c r="AU2228" s="53" t="n">
        <v>0</v>
      </c>
      <c r="AV2228" s="53" t="n">
        <v>0</v>
      </c>
      <c r="AW2228" s="53" t="n">
        <v>0</v>
      </c>
      <c r="AX2228" s="53" t="n">
        <v>0</v>
      </c>
      <c r="AY2228" s="52" t="n">
        <v>0</v>
      </c>
      <c r="AZ2228" s="52" t="n">
        <v>0</v>
      </c>
      <c r="BA2228" s="52" t="n">
        <v>0</v>
      </c>
      <c r="BB2228" s="52" t="n">
        <v>0</v>
      </c>
      <c r="BC2228" s="51" t="n">
        <v>0</v>
      </c>
      <c r="BD2228" s="51" t="n">
        <v>0</v>
      </c>
      <c r="BE2228" s="51" t="n">
        <v>0</v>
      </c>
      <c r="BF2228" s="51" t="n">
        <v>0</v>
      </c>
    </row>
    <row r="2229">
      <c r="A2229">
        <f>HYPERLINK("https://www.walmart.com/ip/1721643716", "1721643716")</f>
        <v/>
      </c>
      <c r="B2229" t="inlineStr">
        <is>
          <t>Kritter Planet Pet Plush Sherpa Blanket Throw Micro Fleece for Animal Dog Cat Puppy Indoor, Outdoor 60" X 50"</t>
        </is>
      </c>
      <c r="C2229" t="inlineStr">
        <is>
          <t>1KPBF560GYLT</t>
        </is>
      </c>
      <c r="D2229" t="inlineStr">
        <is>
          <t>Pet Blankets</t>
        </is>
      </c>
      <c r="E2229" t="inlineStr">
        <is>
          <t>Kritter Planet</t>
        </is>
      </c>
      <c r="F2229" t="inlineStr">
        <is>
          <t>Batch 1 - TR</t>
        </is>
      </c>
      <c r="G2229" s="48" t="n">
        <v>0</v>
      </c>
      <c r="H2229" s="48" t="n">
        <v>0</v>
      </c>
      <c r="I2229" s="48" t="n">
        <v>0</v>
      </c>
      <c r="J2229" s="48" t="n">
        <v>0</v>
      </c>
      <c r="K2229" s="49" t="n">
        <v>0</v>
      </c>
      <c r="L2229" s="49" t="n">
        <v>0</v>
      </c>
      <c r="M2229" s="49" t="n">
        <v>0</v>
      </c>
      <c r="N2229" s="49" t="n">
        <v>0</v>
      </c>
      <c r="O2229" s="49" t="n">
        <v>0</v>
      </c>
      <c r="P2229" s="49" t="n">
        <v>0</v>
      </c>
      <c r="Q2229" s="49" t="n">
        <v>0</v>
      </c>
      <c r="R2229" s="49" t="n">
        <v>0</v>
      </c>
      <c r="S2229" s="50" t="n">
        <v>0</v>
      </c>
      <c r="T2229" s="50" t="n">
        <v>0</v>
      </c>
      <c r="U2229" s="50" t="n">
        <v>0</v>
      </c>
      <c r="V2229" s="50" t="n">
        <v>0</v>
      </c>
      <c r="W2229" s="51" t="n">
        <v>0</v>
      </c>
      <c r="X2229" s="51" t="n">
        <v>0</v>
      </c>
      <c r="Y2229" s="51" t="n">
        <v>0</v>
      </c>
      <c r="Z2229" s="51" t="n">
        <v>0</v>
      </c>
      <c r="AA2229" s="52" t="n">
        <v>0</v>
      </c>
      <c r="AB2229" s="52" t="n">
        <v>0</v>
      </c>
      <c r="AC2229" s="52" t="n">
        <v>0</v>
      </c>
      <c r="AD2229" s="52" t="n">
        <v>0</v>
      </c>
      <c r="AE2229" s="52" t="n">
        <v>0</v>
      </c>
      <c r="AF2229" s="52" t="n">
        <v>0</v>
      </c>
      <c r="AG2229" s="52" t="n">
        <v>0</v>
      </c>
      <c r="AH2229" s="52" t="n">
        <v>0</v>
      </c>
      <c r="AI2229" s="52" t="n">
        <v>0</v>
      </c>
      <c r="AJ2229" s="52" t="n">
        <v>0</v>
      </c>
      <c r="AK2229" s="52" t="n">
        <v>0</v>
      </c>
      <c r="AL2229" s="52" t="n">
        <v>0</v>
      </c>
      <c r="AM2229" s="53" t="n">
        <v>0</v>
      </c>
      <c r="AN2229" s="53" t="n">
        <v>0</v>
      </c>
      <c r="AO2229" s="53" t="n">
        <v>0</v>
      </c>
      <c r="AP2229" s="53" t="n">
        <v>0</v>
      </c>
      <c r="AQ2229" s="52" t="n">
        <v>0</v>
      </c>
      <c r="AR2229" s="52" t="n">
        <v>0</v>
      </c>
      <c r="AS2229" s="52" t="n">
        <v>0</v>
      </c>
      <c r="AT2229" s="52" t="n">
        <v>0</v>
      </c>
      <c r="AU2229" s="53" t="n">
        <v>0</v>
      </c>
      <c r="AV2229" s="53" t="n">
        <v>0</v>
      </c>
      <c r="AW2229" s="53" t="n">
        <v>0</v>
      </c>
      <c r="AX2229" s="53" t="n">
        <v>0</v>
      </c>
      <c r="AY2229" s="52" t="n">
        <v>0</v>
      </c>
      <c r="AZ2229" s="52" t="n">
        <v>0</v>
      </c>
      <c r="BA2229" s="52" t="n">
        <v>0</v>
      </c>
      <c r="BB2229" s="52" t="n">
        <v>0</v>
      </c>
      <c r="BC2229" s="51" t="n">
        <v>0</v>
      </c>
      <c r="BD2229" s="51" t="n">
        <v>0</v>
      </c>
      <c r="BE2229" s="51" t="n">
        <v>0</v>
      </c>
      <c r="BF2229" s="51" t="n">
        <v>0</v>
      </c>
    </row>
    <row r="2230">
      <c r="A2230">
        <f>HYPERLINK("https://www.walmart.com/ip/172245618", "172245618")</f>
        <v/>
      </c>
      <c r="B2230" t="inlineStr">
        <is>
          <t>JenniWears® Women's Plus Size Stretch Lace Gartered Chemise and G-string Set</t>
        </is>
      </c>
      <c r="C2230" t="inlineStr">
        <is>
          <t>JWBD01LE-XL</t>
        </is>
      </c>
      <c r="D2230" t="inlineStr">
        <is>
          <t>Lingerie Sets</t>
        </is>
      </c>
      <c r="E2230" t="inlineStr">
        <is>
          <t>JenniWears</t>
        </is>
      </c>
      <c r="F2230" t="inlineStr">
        <is>
          <t>Valentine</t>
        </is>
      </c>
      <c r="G2230" s="48" t="n">
        <v>0</v>
      </c>
      <c r="H2230" s="48" t="n">
        <v>0</v>
      </c>
      <c r="I2230" s="48" t="n">
        <v>0</v>
      </c>
      <c r="J2230" s="48" t="n">
        <v>0</v>
      </c>
      <c r="K2230" s="49" t="n">
        <v>0</v>
      </c>
      <c r="L2230" s="49" t="n">
        <v>0</v>
      </c>
      <c r="M2230" s="49" t="n">
        <v>0</v>
      </c>
      <c r="N2230" s="49" t="n">
        <v>0</v>
      </c>
      <c r="O2230" s="49" t="n">
        <v>0</v>
      </c>
      <c r="P2230" s="49" t="n">
        <v>0</v>
      </c>
      <c r="Q2230" s="49" t="n">
        <v>0</v>
      </c>
      <c r="R2230" s="49" t="n">
        <v>0</v>
      </c>
      <c r="S2230" s="50" t="n">
        <v>0</v>
      </c>
      <c r="T2230" s="50" t="n">
        <v>0</v>
      </c>
      <c r="U2230" s="50" t="n">
        <v>0</v>
      </c>
      <c r="V2230" s="50" t="n">
        <v>0</v>
      </c>
      <c r="W2230" s="51" t="n">
        <v>0</v>
      </c>
      <c r="X2230" s="51" t="n">
        <v>0</v>
      </c>
      <c r="Y2230" s="51" t="n">
        <v>0</v>
      </c>
      <c r="Z2230" s="51" t="n">
        <v>0</v>
      </c>
      <c r="AA2230" s="52" t="n">
        <v>0</v>
      </c>
      <c r="AB2230" s="52" t="n">
        <v>0</v>
      </c>
      <c r="AC2230" s="52" t="n">
        <v>0</v>
      </c>
      <c r="AD2230" s="52" t="n">
        <v>0</v>
      </c>
      <c r="AE2230" s="52" t="n">
        <v>0</v>
      </c>
      <c r="AF2230" s="52" t="n">
        <v>0</v>
      </c>
      <c r="AG2230" s="52" t="n">
        <v>0</v>
      </c>
      <c r="AH2230" s="52" t="n">
        <v>0</v>
      </c>
      <c r="AI2230" s="52" t="n">
        <v>0</v>
      </c>
      <c r="AJ2230" s="52" t="n">
        <v>0</v>
      </c>
      <c r="AK2230" s="52" t="n">
        <v>0</v>
      </c>
      <c r="AL2230" s="52" t="n">
        <v>0</v>
      </c>
      <c r="AM2230" s="53" t="n">
        <v>0</v>
      </c>
      <c r="AN2230" s="53" t="n">
        <v>0</v>
      </c>
      <c r="AO2230" s="53" t="n">
        <v>0</v>
      </c>
      <c r="AP2230" s="53" t="n">
        <v>0</v>
      </c>
      <c r="AQ2230" s="52" t="n">
        <v>0</v>
      </c>
      <c r="AR2230" s="52" t="n">
        <v>0</v>
      </c>
      <c r="AS2230" s="52" t="n">
        <v>0</v>
      </c>
      <c r="AT2230" s="52" t="n">
        <v>0</v>
      </c>
      <c r="AU2230" s="53" t="n">
        <v>0</v>
      </c>
      <c r="AV2230" s="53" t="n">
        <v>0</v>
      </c>
      <c r="AW2230" s="53" t="n">
        <v>0</v>
      </c>
      <c r="AX2230" s="53" t="n">
        <v>0</v>
      </c>
      <c r="AY2230" s="52" t="n">
        <v>0</v>
      </c>
      <c r="AZ2230" s="52" t="n">
        <v>0</v>
      </c>
      <c r="BA2230" s="52" t="n">
        <v>0</v>
      </c>
      <c r="BB2230" s="52" t="n">
        <v>0</v>
      </c>
      <c r="BC2230" s="51" t="n">
        <v>0</v>
      </c>
      <c r="BD2230" s="51" t="n">
        <v>0</v>
      </c>
      <c r="BE2230" s="51" t="n">
        <v>0</v>
      </c>
      <c r="BF2230" s="51" t="n">
        <v>0</v>
      </c>
    </row>
    <row r="2231">
      <c r="A2231">
        <f>HYPERLINK("https://www.walmart.com/ip/172322342", "172322342")</f>
        <v/>
      </c>
      <c r="B2231" t="inlineStr">
        <is>
          <t>Tirrinia Bucket Hats for Women | UPF 50+ Sun Protection Cap for Garden, Beach, Travel and Outdoor</t>
        </is>
      </c>
      <c r="C2231" t="inlineStr">
        <is>
          <t>1TRSH9200BL-TBGM</t>
        </is>
      </c>
      <c r="D2231" t="inlineStr">
        <is>
          <t>Hats</t>
        </is>
      </c>
      <c r="E2231" t="inlineStr">
        <is>
          <t>Tirrinia</t>
        </is>
      </c>
      <c r="F2231" t="inlineStr">
        <is>
          <t>Batch 1 - TR</t>
        </is>
      </c>
      <c r="G2231" s="48" t="n">
        <v>0</v>
      </c>
      <c r="H2231" s="48" t="n">
        <v>9.99</v>
      </c>
      <c r="I2231" s="48" t="n">
        <v>0</v>
      </c>
      <c r="J2231" s="48" t="n">
        <v>0</v>
      </c>
      <c r="K2231" s="49" t="n">
        <v>0</v>
      </c>
      <c r="L2231" s="49" t="n">
        <v>1</v>
      </c>
      <c r="M2231" s="49" t="n">
        <v>0</v>
      </c>
      <c r="N2231" s="49" t="n">
        <v>0</v>
      </c>
      <c r="O2231" s="49" t="n">
        <v>0</v>
      </c>
      <c r="P2231" s="49" t="n">
        <v>0</v>
      </c>
      <c r="Q2231" s="49" t="n">
        <v>0</v>
      </c>
      <c r="R2231" s="49" t="n">
        <v>0</v>
      </c>
      <c r="S2231" s="50" t="n">
        <v>0</v>
      </c>
      <c r="T2231" s="50" t="n">
        <v>0</v>
      </c>
      <c r="U2231" s="50" t="n">
        <v>0</v>
      </c>
      <c r="V2231" s="50" t="n">
        <v>0</v>
      </c>
      <c r="W2231" s="51" t="n">
        <v>0</v>
      </c>
      <c r="X2231" s="51" t="n">
        <v>0</v>
      </c>
      <c r="Y2231" s="51" t="n">
        <v>0</v>
      </c>
      <c r="Z2231" s="51" t="n">
        <v>0</v>
      </c>
      <c r="AA2231" s="52" t="n">
        <v>0</v>
      </c>
      <c r="AB2231" s="52" t="n">
        <v>0</v>
      </c>
      <c r="AC2231" s="52" t="n">
        <v>0</v>
      </c>
      <c r="AD2231" s="52" t="n">
        <v>0</v>
      </c>
      <c r="AE2231" s="52" t="n">
        <v>0</v>
      </c>
      <c r="AF2231" s="52" t="n">
        <v>0</v>
      </c>
      <c r="AG2231" s="52" t="n">
        <v>0</v>
      </c>
      <c r="AH2231" s="52" t="n">
        <v>0</v>
      </c>
      <c r="AI2231" s="52" t="n">
        <v>0</v>
      </c>
      <c r="AJ2231" s="52" t="n">
        <v>0</v>
      </c>
      <c r="AK2231" s="52" t="n">
        <v>0</v>
      </c>
      <c r="AL2231" s="52" t="n">
        <v>0</v>
      </c>
      <c r="AM2231" s="53" t="n">
        <v>0</v>
      </c>
      <c r="AN2231" s="53" t="n">
        <v>0</v>
      </c>
      <c r="AO2231" s="53" t="n">
        <v>0</v>
      </c>
      <c r="AP2231" s="53" t="n">
        <v>0</v>
      </c>
      <c r="AQ2231" s="52" t="n">
        <v>0</v>
      </c>
      <c r="AR2231" s="52" t="n">
        <v>0</v>
      </c>
      <c r="AS2231" s="52" t="n">
        <v>0</v>
      </c>
      <c r="AT2231" s="52" t="n">
        <v>0</v>
      </c>
      <c r="AU2231" s="53" t="n">
        <v>0</v>
      </c>
      <c r="AV2231" s="53" t="n">
        <v>0</v>
      </c>
      <c r="AW2231" s="53" t="n">
        <v>0</v>
      </c>
      <c r="AX2231" s="53" t="n">
        <v>0</v>
      </c>
      <c r="AY2231" s="52" t="n">
        <v>0</v>
      </c>
      <c r="AZ2231" s="52" t="n">
        <v>9.99</v>
      </c>
      <c r="BA2231" s="52" t="n">
        <v>0</v>
      </c>
      <c r="BB2231" s="52" t="n">
        <v>0</v>
      </c>
      <c r="BC2231" s="51" t="n">
        <v>0</v>
      </c>
      <c r="BD2231" s="51" t="n">
        <v>0</v>
      </c>
      <c r="BE2231" s="51" t="n">
        <v>0</v>
      </c>
      <c r="BF2231" s="51" t="n">
        <v>0</v>
      </c>
    </row>
    <row r="2232">
      <c r="A2232">
        <f>HYPERLINK("https://www.walmart.com/ip/1701547540", "1701547540")</f>
        <v/>
      </c>
      <c r="B2232" t="inlineStr">
        <is>
          <t>Every Day is Christmas Glass Blown Ornaments Cute Hand Made Figurines Tree Decoration, Fun Rainbow</t>
        </is>
      </c>
      <c r="C2232" t="inlineStr">
        <is>
          <t>EDC-FIGURINE-FUNRAINBOW</t>
        </is>
      </c>
      <c r="D2232" t="inlineStr">
        <is>
          <t>Ornaments</t>
        </is>
      </c>
      <c r="E2232" t="inlineStr">
        <is>
          <t>Every Day is Christmas</t>
        </is>
      </c>
      <c r="G2232" s="48" t="n">
        <v>0</v>
      </c>
      <c r="H2232" s="48" t="n">
        <v>0</v>
      </c>
      <c r="I2232" s="48" t="n">
        <v>0</v>
      </c>
      <c r="J2232" s="48" t="n">
        <v>0</v>
      </c>
      <c r="K2232" s="49" t="n">
        <v>0</v>
      </c>
      <c r="L2232" s="49" t="n">
        <v>0</v>
      </c>
      <c r="M2232" s="49" t="n">
        <v>0</v>
      </c>
      <c r="N2232" s="49" t="n">
        <v>0</v>
      </c>
      <c r="O2232" s="49" t="n">
        <v>0</v>
      </c>
      <c r="P2232" s="49" t="n">
        <v>0</v>
      </c>
      <c r="Q2232" s="49" t="n">
        <v>0</v>
      </c>
      <c r="R2232" s="49" t="n">
        <v>0</v>
      </c>
      <c r="S2232" s="50" t="n">
        <v>0</v>
      </c>
      <c r="T2232" s="50" t="n">
        <v>0</v>
      </c>
      <c r="U2232" s="50" t="n">
        <v>0</v>
      </c>
      <c r="V2232" s="50" t="n">
        <v>0</v>
      </c>
      <c r="W2232" s="51" t="n">
        <v>0</v>
      </c>
      <c r="X2232" s="51" t="n">
        <v>0</v>
      </c>
      <c r="Y2232" s="51" t="n">
        <v>0</v>
      </c>
      <c r="Z2232" s="51" t="n">
        <v>0</v>
      </c>
      <c r="AA2232" s="52" t="n">
        <v>0</v>
      </c>
      <c r="AB2232" s="52" t="n">
        <v>0</v>
      </c>
      <c r="AC2232" s="52" t="n">
        <v>0</v>
      </c>
      <c r="AD2232" s="52" t="n">
        <v>0</v>
      </c>
      <c r="AE2232" s="52" t="n">
        <v>0</v>
      </c>
      <c r="AF2232" s="52" t="n">
        <v>0</v>
      </c>
      <c r="AG2232" s="52" t="n">
        <v>0</v>
      </c>
      <c r="AH2232" s="52" t="n">
        <v>0</v>
      </c>
      <c r="AI2232" s="52" t="n">
        <v>0</v>
      </c>
      <c r="AJ2232" s="52" t="n">
        <v>0</v>
      </c>
      <c r="AK2232" s="52" t="n">
        <v>0</v>
      </c>
      <c r="AL2232" s="52" t="n">
        <v>0</v>
      </c>
      <c r="AM2232" s="53" t="n">
        <v>0</v>
      </c>
      <c r="AN2232" s="53" t="n">
        <v>0</v>
      </c>
      <c r="AO2232" s="53" t="n">
        <v>0</v>
      </c>
      <c r="AP2232" s="53" t="n">
        <v>0</v>
      </c>
      <c r="AQ2232" s="52" t="n">
        <v>0</v>
      </c>
      <c r="AR2232" s="52" t="n">
        <v>0</v>
      </c>
      <c r="AS2232" s="52" t="n">
        <v>0</v>
      </c>
      <c r="AT2232" s="52" t="n">
        <v>0</v>
      </c>
      <c r="AU2232" s="53" t="n">
        <v>0</v>
      </c>
      <c r="AV2232" s="53" t="n">
        <v>0</v>
      </c>
      <c r="AW2232" s="53" t="n">
        <v>0</v>
      </c>
      <c r="AX2232" s="53" t="n">
        <v>0</v>
      </c>
      <c r="AY2232" s="52" t="n">
        <v>0</v>
      </c>
      <c r="AZ2232" s="52" t="n">
        <v>0</v>
      </c>
      <c r="BA2232" s="52" t="n">
        <v>0</v>
      </c>
      <c r="BB2232" s="52" t="n">
        <v>0</v>
      </c>
      <c r="BC2232" s="51" t="n">
        <v>0</v>
      </c>
      <c r="BD2232" s="51" t="n">
        <v>0</v>
      </c>
      <c r="BE2232" s="51" t="n">
        <v>0</v>
      </c>
      <c r="BF2232" s="51" t="n">
        <v>0</v>
      </c>
    </row>
    <row r="2233">
      <c r="A2233">
        <f>HYPERLINK("https://www.walmart.com/ip/169949128", "169949128")</f>
        <v/>
      </c>
      <c r="B2233" t="inlineStr">
        <is>
          <t>Women's High Waist Yoga Pants Workout Running Capri Legging Inner Pocket</t>
        </is>
      </c>
      <c r="C2233" t="inlineStr">
        <is>
          <t>1TRYP105GY-LXL</t>
        </is>
      </c>
      <c r="D2233" t="inlineStr">
        <is>
          <t>Leggings</t>
        </is>
      </c>
      <c r="E2233" t="inlineStr">
        <is>
          <t>Tirrinia</t>
        </is>
      </c>
      <c r="F2233" t="inlineStr">
        <is>
          <t>Optimized</t>
        </is>
      </c>
      <c r="G2233" s="48" t="n">
        <v>0</v>
      </c>
      <c r="H2233" s="48" t="n">
        <v>0</v>
      </c>
      <c r="I2233" s="48" t="n">
        <v>0</v>
      </c>
      <c r="J2233" s="48" t="n">
        <v>0</v>
      </c>
      <c r="K2233" s="49" t="n">
        <v>0</v>
      </c>
      <c r="L2233" s="49" t="n">
        <v>0</v>
      </c>
      <c r="M2233" s="49" t="n">
        <v>0</v>
      </c>
      <c r="N2233" s="49" t="n">
        <v>0</v>
      </c>
      <c r="O2233" s="49" t="n">
        <v>0</v>
      </c>
      <c r="P2233" s="49" t="n">
        <v>0</v>
      </c>
      <c r="Q2233" s="49" t="n">
        <v>0</v>
      </c>
      <c r="R2233" s="49" t="n">
        <v>0</v>
      </c>
      <c r="S2233" s="50" t="n">
        <v>0</v>
      </c>
      <c r="T2233" s="50" t="n">
        <v>0</v>
      </c>
      <c r="U2233" s="50" t="n">
        <v>0</v>
      </c>
      <c r="V2233" s="50" t="n">
        <v>0</v>
      </c>
      <c r="W2233" s="51" t="n">
        <v>0</v>
      </c>
      <c r="X2233" s="51" t="n">
        <v>0</v>
      </c>
      <c r="Y2233" s="51" t="n">
        <v>0</v>
      </c>
      <c r="Z2233" s="51" t="n">
        <v>0</v>
      </c>
      <c r="AA2233" s="52" t="n">
        <v>0</v>
      </c>
      <c r="AB2233" s="52" t="n">
        <v>0</v>
      </c>
      <c r="AC2233" s="52" t="n">
        <v>0</v>
      </c>
      <c r="AD2233" s="52" t="n">
        <v>0</v>
      </c>
      <c r="AE2233" s="52" t="n">
        <v>0</v>
      </c>
      <c r="AF2233" s="52" t="n">
        <v>0</v>
      </c>
      <c r="AG2233" s="52" t="n">
        <v>0</v>
      </c>
      <c r="AH2233" s="52" t="n">
        <v>0</v>
      </c>
      <c r="AI2233" s="52" t="n">
        <v>0</v>
      </c>
      <c r="AJ2233" s="52" t="n">
        <v>0</v>
      </c>
      <c r="AK2233" s="52" t="n">
        <v>0</v>
      </c>
      <c r="AL2233" s="52" t="n">
        <v>0</v>
      </c>
      <c r="AM2233" s="53" t="n">
        <v>0</v>
      </c>
      <c r="AN2233" s="53" t="n">
        <v>0</v>
      </c>
      <c r="AO2233" s="53" t="n">
        <v>0</v>
      </c>
      <c r="AP2233" s="53" t="n">
        <v>0</v>
      </c>
      <c r="AQ2233" s="52" t="n">
        <v>0</v>
      </c>
      <c r="AR2233" s="52" t="n">
        <v>0</v>
      </c>
      <c r="AS2233" s="52" t="n">
        <v>0</v>
      </c>
      <c r="AT2233" s="52" t="n">
        <v>0</v>
      </c>
      <c r="AU2233" s="53" t="n">
        <v>0</v>
      </c>
      <c r="AV2233" s="53" t="n">
        <v>0</v>
      </c>
      <c r="AW2233" s="53" t="n">
        <v>0</v>
      </c>
      <c r="AX2233" s="53" t="n">
        <v>0</v>
      </c>
      <c r="AY2233" s="52" t="n">
        <v>0</v>
      </c>
      <c r="AZ2233" s="52" t="n">
        <v>0</v>
      </c>
      <c r="BA2233" s="52" t="n">
        <v>0</v>
      </c>
      <c r="BB2233" s="52" t="n">
        <v>0</v>
      </c>
      <c r="BC2233" s="51" t="n">
        <v>0</v>
      </c>
      <c r="BD2233" s="51" t="n">
        <v>0</v>
      </c>
      <c r="BE2233" s="51" t="n">
        <v>0</v>
      </c>
      <c r="BF2233" s="51" t="n">
        <v>0</v>
      </c>
    </row>
    <row r="2234">
      <c r="A2234">
        <f>HYPERLINK("https://www.walmart.com/ip/172613286", "172613286")</f>
        <v/>
      </c>
      <c r="B2234" t="inlineStr">
        <is>
          <t>Terra Active Wrap- Stylish Running workout travel waist belt w/ hidden pocket</t>
        </is>
      </c>
      <c r="C2234" t="inlineStr">
        <is>
          <t>TERRA-3BK-L</t>
        </is>
      </c>
      <c r="D2234" t="inlineStr">
        <is>
          <t>Running Belts</t>
        </is>
      </c>
      <c r="E2234" t="inlineStr">
        <is>
          <t>Terra</t>
        </is>
      </c>
      <c r="F2234" t="inlineStr">
        <is>
          <t>Batch 1 - TR</t>
        </is>
      </c>
      <c r="G2234" s="48" t="n">
        <v>0</v>
      </c>
      <c r="H2234" s="48" t="n">
        <v>0</v>
      </c>
      <c r="I2234" s="48" t="n">
        <v>0</v>
      </c>
      <c r="J2234" s="48" t="n">
        <v>0</v>
      </c>
      <c r="K2234" s="49" t="n">
        <v>0</v>
      </c>
      <c r="L2234" s="49" t="n">
        <v>0</v>
      </c>
      <c r="M2234" s="49" t="n">
        <v>0</v>
      </c>
      <c r="N2234" s="49" t="n">
        <v>0</v>
      </c>
      <c r="O2234" s="49" t="n">
        <v>0</v>
      </c>
      <c r="P2234" s="49" t="n">
        <v>0</v>
      </c>
      <c r="Q2234" s="49" t="n">
        <v>0</v>
      </c>
      <c r="R2234" s="49" t="n">
        <v>0</v>
      </c>
      <c r="S2234" s="50" t="n">
        <v>0</v>
      </c>
      <c r="T2234" s="50" t="n">
        <v>0</v>
      </c>
      <c r="U2234" s="50" t="n">
        <v>0</v>
      </c>
      <c r="V2234" s="50" t="n">
        <v>0</v>
      </c>
      <c r="W2234" s="51" t="n">
        <v>0</v>
      </c>
      <c r="X2234" s="51" t="n">
        <v>0</v>
      </c>
      <c r="Y2234" s="51" t="n">
        <v>0</v>
      </c>
      <c r="Z2234" s="51" t="n">
        <v>0</v>
      </c>
      <c r="AA2234" s="52" t="n">
        <v>0</v>
      </c>
      <c r="AB2234" s="52" t="n">
        <v>0</v>
      </c>
      <c r="AC2234" s="52" t="n">
        <v>0</v>
      </c>
      <c r="AD2234" s="52" t="n">
        <v>0</v>
      </c>
      <c r="AE2234" s="52" t="n">
        <v>0</v>
      </c>
      <c r="AF2234" s="52" t="n">
        <v>0</v>
      </c>
      <c r="AG2234" s="52" t="n">
        <v>0</v>
      </c>
      <c r="AH2234" s="52" t="n">
        <v>0</v>
      </c>
      <c r="AI2234" s="52" t="n">
        <v>0</v>
      </c>
      <c r="AJ2234" s="52" t="n">
        <v>0</v>
      </c>
      <c r="AK2234" s="52" t="n">
        <v>0</v>
      </c>
      <c r="AL2234" s="52" t="n">
        <v>0</v>
      </c>
      <c r="AM2234" s="53" t="n">
        <v>0</v>
      </c>
      <c r="AN2234" s="53" t="n">
        <v>0</v>
      </c>
      <c r="AO2234" s="53" t="n">
        <v>0</v>
      </c>
      <c r="AP2234" s="53" t="n">
        <v>0</v>
      </c>
      <c r="AQ2234" s="52" t="n">
        <v>0</v>
      </c>
      <c r="AR2234" s="52" t="n">
        <v>0</v>
      </c>
      <c r="AS2234" s="52" t="n">
        <v>0</v>
      </c>
      <c r="AT2234" s="52" t="n">
        <v>0</v>
      </c>
      <c r="AU2234" s="53" t="n">
        <v>0</v>
      </c>
      <c r="AV2234" s="53" t="n">
        <v>0</v>
      </c>
      <c r="AW2234" s="53" t="n">
        <v>0</v>
      </c>
      <c r="AX2234" s="53" t="n">
        <v>0</v>
      </c>
      <c r="AY2234" s="52" t="n">
        <v>0</v>
      </c>
      <c r="AZ2234" s="52" t="n">
        <v>0</v>
      </c>
      <c r="BA2234" s="52" t="n">
        <v>0</v>
      </c>
      <c r="BB2234" s="52" t="n">
        <v>0</v>
      </c>
      <c r="BC2234" s="51" t="n">
        <v>0</v>
      </c>
      <c r="BD2234" s="51" t="n">
        <v>0</v>
      </c>
      <c r="BE2234" s="51" t="n">
        <v>0</v>
      </c>
      <c r="BF2234" s="51" t="n">
        <v>0</v>
      </c>
    </row>
    <row r="2235">
      <c r="A2235">
        <f>HYPERLINK("https://www.walmart.com/ip/169902585", "169902585")</f>
        <v/>
      </c>
      <c r="B2235" t="inlineStr">
        <is>
          <t>KC Caps® Unisex Cotton Baseball Cap Adjustable Plain Hat (21 Styles/Colors)</t>
        </is>
      </c>
      <c r="C2235" t="inlineStr">
        <is>
          <t>KC8010KK</t>
        </is>
      </c>
      <c r="D2235" t="inlineStr">
        <is>
          <t>Hats</t>
        </is>
      </c>
      <c r="E2235" t="inlineStr">
        <is>
          <t>KC Caps</t>
        </is>
      </c>
      <c r="F2235" t="inlineStr">
        <is>
          <t>Optimized</t>
        </is>
      </c>
      <c r="G2235" s="48" t="n">
        <v>0</v>
      </c>
      <c r="H2235" s="48" t="n">
        <v>0</v>
      </c>
      <c r="I2235" s="48" t="n">
        <v>7.99</v>
      </c>
      <c r="J2235" s="48" t="n">
        <v>0</v>
      </c>
      <c r="K2235" s="49" t="n">
        <v>0</v>
      </c>
      <c r="L2235" s="49" t="n">
        <v>0</v>
      </c>
      <c r="M2235" s="49" t="n">
        <v>1</v>
      </c>
      <c r="N2235" s="49" t="n">
        <v>0</v>
      </c>
      <c r="O2235" s="49" t="n">
        <v>0</v>
      </c>
      <c r="P2235" s="49" t="n">
        <v>0</v>
      </c>
      <c r="Q2235" s="49" t="n">
        <v>0</v>
      </c>
      <c r="R2235" s="49" t="n">
        <v>0</v>
      </c>
      <c r="S2235" s="50" t="n">
        <v>0</v>
      </c>
      <c r="T2235" s="50" t="n">
        <v>0</v>
      </c>
      <c r="U2235" s="50" t="n">
        <v>0</v>
      </c>
      <c r="V2235" s="50" t="n">
        <v>0</v>
      </c>
      <c r="W2235" s="51" t="n">
        <v>0</v>
      </c>
      <c r="X2235" s="51" t="n">
        <v>0</v>
      </c>
      <c r="Y2235" s="51" t="n">
        <v>0</v>
      </c>
      <c r="Z2235" s="51" t="n">
        <v>0</v>
      </c>
      <c r="AA2235" s="52" t="n">
        <v>0</v>
      </c>
      <c r="AB2235" s="52" t="n">
        <v>0</v>
      </c>
      <c r="AC2235" s="52" t="n">
        <v>0</v>
      </c>
      <c r="AD2235" s="52" t="n">
        <v>0</v>
      </c>
      <c r="AE2235" s="52" t="n">
        <v>0</v>
      </c>
      <c r="AF2235" s="52" t="n">
        <v>0</v>
      </c>
      <c r="AG2235" s="52" t="n">
        <v>0</v>
      </c>
      <c r="AH2235" s="52" t="n">
        <v>0</v>
      </c>
      <c r="AI2235" s="52" t="n">
        <v>0</v>
      </c>
      <c r="AJ2235" s="52" t="n">
        <v>0</v>
      </c>
      <c r="AK2235" s="52" t="n">
        <v>0</v>
      </c>
      <c r="AL2235" s="52" t="n">
        <v>0</v>
      </c>
      <c r="AM2235" s="53" t="n">
        <v>0</v>
      </c>
      <c r="AN2235" s="53" t="n">
        <v>0</v>
      </c>
      <c r="AO2235" s="53" t="n">
        <v>0</v>
      </c>
      <c r="AP2235" s="53" t="n">
        <v>0</v>
      </c>
      <c r="AQ2235" s="52" t="n">
        <v>0</v>
      </c>
      <c r="AR2235" s="52" t="n">
        <v>0</v>
      </c>
      <c r="AS2235" s="52" t="n">
        <v>0</v>
      </c>
      <c r="AT2235" s="52" t="n">
        <v>0</v>
      </c>
      <c r="AU2235" s="53" t="n">
        <v>0</v>
      </c>
      <c r="AV2235" s="53" t="n">
        <v>0</v>
      </c>
      <c r="AW2235" s="53" t="n">
        <v>0</v>
      </c>
      <c r="AX2235" s="53" t="n">
        <v>0</v>
      </c>
      <c r="AY2235" s="52" t="n">
        <v>0</v>
      </c>
      <c r="AZ2235" s="52" t="n">
        <v>0</v>
      </c>
      <c r="BA2235" s="52" t="n">
        <v>7.99</v>
      </c>
      <c r="BB2235" s="52" t="n">
        <v>0</v>
      </c>
      <c r="BC2235" s="51" t="n">
        <v>0</v>
      </c>
      <c r="BD2235" s="51" t="n">
        <v>0</v>
      </c>
      <c r="BE2235" s="51" t="n">
        <v>0</v>
      </c>
      <c r="BF2235" s="51" t="n">
        <v>0</v>
      </c>
    </row>
    <row r="2236">
      <c r="A2236">
        <f>HYPERLINK("https://www.walmart.com/ip/1672958313", "1672958313")</f>
        <v/>
      </c>
      <c r="B2236" t="inlineStr">
        <is>
          <t>Every Day is Christmas Glass Blown Ornaments Cute Hand Made Figurines Tree Decoration, Dolphin</t>
        </is>
      </c>
      <c r="C2236" t="inlineStr">
        <is>
          <t>EDC-FIGURINE-DOLPHIN</t>
        </is>
      </c>
      <c r="D2236" t="inlineStr">
        <is>
          <t>Ornaments</t>
        </is>
      </c>
      <c r="E2236" t="inlineStr">
        <is>
          <t>Every Day is Christmas</t>
        </is>
      </c>
      <c r="G2236" s="48" t="n">
        <v>0</v>
      </c>
      <c r="H2236" s="48" t="n">
        <v>0</v>
      </c>
      <c r="I2236" s="48" t="n">
        <v>0</v>
      </c>
      <c r="J2236" s="48" t="n">
        <v>0</v>
      </c>
      <c r="K2236" s="49" t="n">
        <v>0</v>
      </c>
      <c r="L2236" s="49" t="n">
        <v>0</v>
      </c>
      <c r="M2236" s="49" t="n">
        <v>0</v>
      </c>
      <c r="N2236" s="49" t="n">
        <v>0</v>
      </c>
      <c r="O2236" s="49" t="n">
        <v>0</v>
      </c>
      <c r="P2236" s="49" t="n">
        <v>0</v>
      </c>
      <c r="Q2236" s="49" t="n">
        <v>0</v>
      </c>
      <c r="R2236" s="49" t="n">
        <v>0</v>
      </c>
      <c r="S2236" s="50" t="n">
        <v>0</v>
      </c>
      <c r="T2236" s="50" t="n">
        <v>0</v>
      </c>
      <c r="U2236" s="50" t="n">
        <v>0</v>
      </c>
      <c r="V2236" s="50" t="n">
        <v>0</v>
      </c>
      <c r="W2236" s="51" t="n">
        <v>0</v>
      </c>
      <c r="X2236" s="51" t="n">
        <v>0</v>
      </c>
      <c r="Y2236" s="51" t="n">
        <v>0</v>
      </c>
      <c r="Z2236" s="51" t="n">
        <v>0</v>
      </c>
      <c r="AA2236" s="52" t="n">
        <v>0</v>
      </c>
      <c r="AB2236" s="52" t="n">
        <v>0</v>
      </c>
      <c r="AC2236" s="52" t="n">
        <v>0</v>
      </c>
      <c r="AD2236" s="52" t="n">
        <v>0</v>
      </c>
      <c r="AE2236" s="52" t="n">
        <v>0</v>
      </c>
      <c r="AF2236" s="52" t="n">
        <v>0</v>
      </c>
      <c r="AG2236" s="52" t="n">
        <v>0</v>
      </c>
      <c r="AH2236" s="52" t="n">
        <v>0</v>
      </c>
      <c r="AI2236" s="52" t="n">
        <v>0</v>
      </c>
      <c r="AJ2236" s="52" t="n">
        <v>0</v>
      </c>
      <c r="AK2236" s="52" t="n">
        <v>0</v>
      </c>
      <c r="AL2236" s="52" t="n">
        <v>0</v>
      </c>
      <c r="AM2236" s="53" t="n">
        <v>0</v>
      </c>
      <c r="AN2236" s="53" t="n">
        <v>0</v>
      </c>
      <c r="AO2236" s="53" t="n">
        <v>0</v>
      </c>
      <c r="AP2236" s="53" t="n">
        <v>0</v>
      </c>
      <c r="AQ2236" s="52" t="n">
        <v>0</v>
      </c>
      <c r="AR2236" s="52" t="n">
        <v>0</v>
      </c>
      <c r="AS2236" s="52" t="n">
        <v>0</v>
      </c>
      <c r="AT2236" s="52" t="n">
        <v>0</v>
      </c>
      <c r="AU2236" s="53" t="n">
        <v>0</v>
      </c>
      <c r="AV2236" s="53" t="n">
        <v>0</v>
      </c>
      <c r="AW2236" s="53" t="n">
        <v>0</v>
      </c>
      <c r="AX2236" s="53" t="n">
        <v>0</v>
      </c>
      <c r="AY2236" s="52" t="n">
        <v>0</v>
      </c>
      <c r="AZ2236" s="52" t="n">
        <v>0</v>
      </c>
      <c r="BA2236" s="52" t="n">
        <v>0</v>
      </c>
      <c r="BB2236" s="52" t="n">
        <v>0</v>
      </c>
      <c r="BC2236" s="51" t="n">
        <v>0</v>
      </c>
      <c r="BD2236" s="51" t="n">
        <v>0</v>
      </c>
      <c r="BE2236" s="51" t="n">
        <v>0</v>
      </c>
      <c r="BF2236" s="51" t="n">
        <v>0</v>
      </c>
    </row>
    <row r="2237">
      <c r="A2237">
        <f>HYPERLINK("https://www.walmart.com/ip/167474030", "167474030")</f>
        <v/>
      </c>
      <c r="B2237" t="inlineStr">
        <is>
          <t>Catalonia Patriotic US Flag Blanket, Sherpa Fleece Plush Super Soft Cozy Warm Reversible Blanket for Couch Bed, 4th of July Citizenship Veteran Labor Day Gift, 50x60 inches</t>
        </is>
      </c>
      <c r="C2237" t="inlineStr">
        <is>
          <t>1CTBF300USA4</t>
        </is>
      </c>
      <c r="D2237" t="inlineStr">
        <is>
          <t>Throws</t>
        </is>
      </c>
      <c r="E2237" t="inlineStr">
        <is>
          <t>Catalonia</t>
        </is>
      </c>
      <c r="F2237" t="inlineStr">
        <is>
          <t>WFS,WFS Item</t>
        </is>
      </c>
      <c r="G2237" s="48" t="n">
        <v>0</v>
      </c>
      <c r="H2237" s="48" t="n">
        <v>0</v>
      </c>
      <c r="I2237" s="48" t="n">
        <v>0</v>
      </c>
      <c r="J2237" s="48" t="n">
        <v>0</v>
      </c>
      <c r="K2237" s="49" t="n">
        <v>0</v>
      </c>
      <c r="L2237" s="49" t="n">
        <v>0</v>
      </c>
      <c r="M2237" s="49" t="n">
        <v>0</v>
      </c>
      <c r="N2237" s="49" t="n">
        <v>0</v>
      </c>
      <c r="O2237" s="49" t="n">
        <v>0</v>
      </c>
      <c r="P2237" s="49" t="n">
        <v>0</v>
      </c>
      <c r="Q2237" s="49" t="n">
        <v>0</v>
      </c>
      <c r="R2237" s="49" t="n">
        <v>0</v>
      </c>
      <c r="S2237" s="50" t="n">
        <v>0</v>
      </c>
      <c r="T2237" s="50" t="n">
        <v>0</v>
      </c>
      <c r="U2237" s="50" t="n">
        <v>0</v>
      </c>
      <c r="V2237" s="50" t="n">
        <v>0</v>
      </c>
      <c r="W2237" s="51" t="n">
        <v>0</v>
      </c>
      <c r="X2237" s="51" t="n">
        <v>0</v>
      </c>
      <c r="Y2237" s="51" t="n">
        <v>0</v>
      </c>
      <c r="Z2237" s="51" t="n">
        <v>0</v>
      </c>
      <c r="AA2237" s="52" t="n">
        <v>0</v>
      </c>
      <c r="AB2237" s="52" t="n">
        <v>0</v>
      </c>
      <c r="AC2237" s="52" t="n">
        <v>0</v>
      </c>
      <c r="AD2237" s="52" t="n">
        <v>0</v>
      </c>
      <c r="AE2237" s="52" t="n">
        <v>0</v>
      </c>
      <c r="AF2237" s="52" t="n">
        <v>0</v>
      </c>
      <c r="AG2237" s="52" t="n">
        <v>0</v>
      </c>
      <c r="AH2237" s="52" t="n">
        <v>0</v>
      </c>
      <c r="AI2237" s="52" t="n">
        <v>0</v>
      </c>
      <c r="AJ2237" s="52" t="n">
        <v>0</v>
      </c>
      <c r="AK2237" s="52" t="n">
        <v>0</v>
      </c>
      <c r="AL2237" s="52" t="n">
        <v>0</v>
      </c>
      <c r="AM2237" s="53" t="n">
        <v>0</v>
      </c>
      <c r="AN2237" s="53" t="n">
        <v>0</v>
      </c>
      <c r="AO2237" s="53" t="n">
        <v>0</v>
      </c>
      <c r="AP2237" s="53" t="n">
        <v>0</v>
      </c>
      <c r="AQ2237" s="52" t="n">
        <v>0</v>
      </c>
      <c r="AR2237" s="52" t="n">
        <v>0</v>
      </c>
      <c r="AS2237" s="52" t="n">
        <v>0</v>
      </c>
      <c r="AT2237" s="52" t="n">
        <v>0</v>
      </c>
      <c r="AU2237" s="53" t="n">
        <v>0</v>
      </c>
      <c r="AV2237" s="53" t="n">
        <v>0</v>
      </c>
      <c r="AW2237" s="53" t="n">
        <v>0</v>
      </c>
      <c r="AX2237" s="53" t="n">
        <v>0</v>
      </c>
      <c r="AY2237" s="52" t="n">
        <v>0</v>
      </c>
      <c r="AZ2237" s="52" t="n">
        <v>0</v>
      </c>
      <c r="BA2237" s="52" t="n">
        <v>0</v>
      </c>
      <c r="BB2237" s="52" t="n">
        <v>0</v>
      </c>
      <c r="BC2237" s="51" t="n">
        <v>0</v>
      </c>
      <c r="BD2237" s="51" t="n">
        <v>0</v>
      </c>
      <c r="BE2237" s="51" t="n">
        <v>0</v>
      </c>
      <c r="BF2237" s="51" t="n">
        <v>0</v>
      </c>
    </row>
    <row r="2238">
      <c r="A2238">
        <f>HYPERLINK("https://www.walmart.com/ip/167804199", "167804199")</f>
        <v/>
      </c>
      <c r="B2238" t="inlineStr">
        <is>
          <t>Napa Super Soft Micro Fleece Sherpa Bed Throw TV Blanket 50" x 60" Reversible Wine</t>
        </is>
      </c>
      <c r="C2238" t="inlineStr">
        <is>
          <t>K8010WINE</t>
        </is>
      </c>
      <c r="D2238" t="inlineStr">
        <is>
          <t>Throws</t>
        </is>
      </c>
      <c r="E2238" t="inlineStr">
        <is>
          <t>NAPA</t>
        </is>
      </c>
      <c r="F2238" t="inlineStr">
        <is>
          <t>Batch 1 - TR</t>
        </is>
      </c>
      <c r="G2238" s="48" t="n">
        <v>0</v>
      </c>
      <c r="H2238" s="48" t="n">
        <v>0</v>
      </c>
      <c r="I2238" s="48" t="n">
        <v>0</v>
      </c>
      <c r="J2238" s="48" t="n">
        <v>0</v>
      </c>
      <c r="K2238" s="49" t="n">
        <v>0</v>
      </c>
      <c r="L2238" s="49" t="n">
        <v>0</v>
      </c>
      <c r="M2238" s="49" t="n">
        <v>0</v>
      </c>
      <c r="N2238" s="49" t="n">
        <v>0</v>
      </c>
      <c r="O2238" s="49" t="n">
        <v>0</v>
      </c>
      <c r="P2238" s="49" t="n">
        <v>0</v>
      </c>
      <c r="Q2238" s="49" t="n">
        <v>0</v>
      </c>
      <c r="R2238" s="49" t="n">
        <v>0</v>
      </c>
      <c r="S2238" s="50" t="n">
        <v>0</v>
      </c>
      <c r="T2238" s="50" t="n">
        <v>0</v>
      </c>
      <c r="U2238" s="50" t="n">
        <v>0</v>
      </c>
      <c r="V2238" s="50" t="n">
        <v>0</v>
      </c>
      <c r="W2238" s="51" t="n">
        <v>0</v>
      </c>
      <c r="X2238" s="51" t="n">
        <v>0</v>
      </c>
      <c r="Y2238" s="51" t="n">
        <v>0</v>
      </c>
      <c r="Z2238" s="51" t="n">
        <v>0</v>
      </c>
      <c r="AA2238" s="52" t="n">
        <v>0</v>
      </c>
      <c r="AB2238" s="52" t="n">
        <v>0</v>
      </c>
      <c r="AC2238" s="52" t="n">
        <v>0</v>
      </c>
      <c r="AD2238" s="52" t="n">
        <v>0</v>
      </c>
      <c r="AE2238" s="52" t="n">
        <v>0</v>
      </c>
      <c r="AF2238" s="52" t="n">
        <v>0</v>
      </c>
      <c r="AG2238" s="52" t="n">
        <v>0</v>
      </c>
      <c r="AH2238" s="52" t="n">
        <v>0</v>
      </c>
      <c r="AI2238" s="52" t="n">
        <v>0</v>
      </c>
      <c r="AJ2238" s="52" t="n">
        <v>0</v>
      </c>
      <c r="AK2238" s="52" t="n">
        <v>0</v>
      </c>
      <c r="AL2238" s="52" t="n">
        <v>0</v>
      </c>
      <c r="AM2238" s="53" t="n">
        <v>0</v>
      </c>
      <c r="AN2238" s="53" t="n">
        <v>0</v>
      </c>
      <c r="AO2238" s="53" t="n">
        <v>0</v>
      </c>
      <c r="AP2238" s="53" t="n">
        <v>0</v>
      </c>
      <c r="AQ2238" s="52" t="n">
        <v>0</v>
      </c>
      <c r="AR2238" s="52" t="n">
        <v>0</v>
      </c>
      <c r="AS2238" s="52" t="n">
        <v>0</v>
      </c>
      <c r="AT2238" s="52" t="n">
        <v>0</v>
      </c>
      <c r="AU2238" s="53" t="n">
        <v>0</v>
      </c>
      <c r="AV2238" s="53" t="n">
        <v>0</v>
      </c>
      <c r="AW2238" s="53" t="n">
        <v>0</v>
      </c>
      <c r="AX2238" s="53" t="n">
        <v>0</v>
      </c>
      <c r="AY2238" s="52" t="n">
        <v>0</v>
      </c>
      <c r="AZ2238" s="52" t="n">
        <v>0</v>
      </c>
      <c r="BA2238" s="52" t="n">
        <v>0</v>
      </c>
      <c r="BB2238" s="52" t="n">
        <v>0</v>
      </c>
      <c r="BC2238" s="51" t="n">
        <v>0</v>
      </c>
      <c r="BD2238" s="51" t="n">
        <v>0</v>
      </c>
      <c r="BE2238" s="51" t="n">
        <v>0</v>
      </c>
      <c r="BF2238" s="51" t="n">
        <v>0</v>
      </c>
    </row>
    <row r="2239">
      <c r="A2239">
        <f>HYPERLINK("https://www.walmart.com/ip/1679171554", "1679171554")</f>
        <v/>
      </c>
      <c r="B2239" t="inlineStr">
        <is>
          <t>Every Day is Christmas Glass Blown Ornaments Cute Hand Made Figurines Tree Decoration, set of 2 Football</t>
        </is>
      </c>
      <c r="C2239" t="inlineStr">
        <is>
          <t>EDC-FIGURINE-FOOTBALL</t>
        </is>
      </c>
      <c r="D2239" t="inlineStr">
        <is>
          <t>Ornaments</t>
        </is>
      </c>
      <c r="E2239" t="inlineStr">
        <is>
          <t>Every Day is Christmas</t>
        </is>
      </c>
      <c r="G2239" s="48" t="n">
        <v>0</v>
      </c>
      <c r="H2239" s="48" t="n">
        <v>0</v>
      </c>
      <c r="I2239" s="48" t="n">
        <v>0</v>
      </c>
      <c r="J2239" s="48" t="n">
        <v>0</v>
      </c>
      <c r="K2239" s="49" t="n">
        <v>0</v>
      </c>
      <c r="L2239" s="49" t="n">
        <v>0</v>
      </c>
      <c r="M2239" s="49" t="n">
        <v>0</v>
      </c>
      <c r="N2239" s="49" t="n">
        <v>0</v>
      </c>
      <c r="O2239" s="49" t="n">
        <v>0</v>
      </c>
      <c r="P2239" s="49" t="n">
        <v>0</v>
      </c>
      <c r="Q2239" s="49" t="n">
        <v>0</v>
      </c>
      <c r="R2239" s="49" t="n">
        <v>0</v>
      </c>
      <c r="S2239" s="50" t="n">
        <v>0</v>
      </c>
      <c r="T2239" s="50" t="n">
        <v>0</v>
      </c>
      <c r="U2239" s="50" t="n">
        <v>0</v>
      </c>
      <c r="V2239" s="50" t="n">
        <v>0</v>
      </c>
      <c r="W2239" s="51" t="n">
        <v>0</v>
      </c>
      <c r="X2239" s="51" t="n">
        <v>0</v>
      </c>
      <c r="Y2239" s="51" t="n">
        <v>0</v>
      </c>
      <c r="Z2239" s="51" t="n">
        <v>0</v>
      </c>
      <c r="AA2239" s="52" t="n">
        <v>0</v>
      </c>
      <c r="AB2239" s="52" t="n">
        <v>0</v>
      </c>
      <c r="AC2239" s="52" t="n">
        <v>0</v>
      </c>
      <c r="AD2239" s="52" t="n">
        <v>0</v>
      </c>
      <c r="AE2239" s="52" t="n">
        <v>0</v>
      </c>
      <c r="AF2239" s="52" t="n">
        <v>0</v>
      </c>
      <c r="AG2239" s="52" t="n">
        <v>0</v>
      </c>
      <c r="AH2239" s="52" t="n">
        <v>0</v>
      </c>
      <c r="AI2239" s="52" t="n">
        <v>0</v>
      </c>
      <c r="AJ2239" s="52" t="n">
        <v>0</v>
      </c>
      <c r="AK2239" s="52" t="n">
        <v>0</v>
      </c>
      <c r="AL2239" s="52" t="n">
        <v>0</v>
      </c>
      <c r="AM2239" s="53" t="n">
        <v>0</v>
      </c>
      <c r="AN2239" s="53" t="n">
        <v>0</v>
      </c>
      <c r="AO2239" s="53" t="n">
        <v>0</v>
      </c>
      <c r="AP2239" s="53" t="n">
        <v>0</v>
      </c>
      <c r="AQ2239" s="52" t="n">
        <v>0</v>
      </c>
      <c r="AR2239" s="52" t="n">
        <v>0</v>
      </c>
      <c r="AS2239" s="52" t="n">
        <v>0</v>
      </c>
      <c r="AT2239" s="52" t="n">
        <v>0</v>
      </c>
      <c r="AU2239" s="53" t="n">
        <v>0</v>
      </c>
      <c r="AV2239" s="53" t="n">
        <v>0</v>
      </c>
      <c r="AW2239" s="53" t="n">
        <v>0</v>
      </c>
      <c r="AX2239" s="53" t="n">
        <v>0</v>
      </c>
      <c r="AY2239" s="52" t="n">
        <v>0</v>
      </c>
      <c r="AZ2239" s="52" t="n">
        <v>0</v>
      </c>
      <c r="BA2239" s="52" t="n">
        <v>0</v>
      </c>
      <c r="BB2239" s="52" t="n">
        <v>0</v>
      </c>
      <c r="BC2239" s="51" t="n">
        <v>0</v>
      </c>
      <c r="BD2239" s="51" t="n">
        <v>0</v>
      </c>
      <c r="BE2239" s="51" t="n">
        <v>0</v>
      </c>
      <c r="BF2239" s="51" t="n">
        <v>0</v>
      </c>
    </row>
    <row r="2240">
      <c r="A2240">
        <f>HYPERLINK("https://www.walmart.com/ip/168177810", "168177810")</f>
        <v/>
      </c>
      <c r="B2240" t="inlineStr">
        <is>
          <t>Tirrinia Insulated Lunch Bag,Leakproof Thermal Bento Lunch Box Tote for Adult and Kids,Student Back to School,Work,Office Cooler Bag,Green</t>
        </is>
      </c>
      <c r="C2240" t="inlineStr">
        <is>
          <t>1KTLB600BKGN</t>
        </is>
      </c>
      <c r="D2240" t="inlineStr">
        <is>
          <t>Reusable Lunch Bags &amp; Boxes</t>
        </is>
      </c>
      <c r="E2240" t="inlineStr">
        <is>
          <t>Tirrinia</t>
        </is>
      </c>
      <c r="F2240" t="inlineStr">
        <is>
          <t>Q2-Target,Brand Camp VD,Lunch Bag,Lunch Bags</t>
        </is>
      </c>
      <c r="G2240" s="48" t="n">
        <v>0</v>
      </c>
      <c r="H2240" s="48" t="n">
        <v>0</v>
      </c>
      <c r="I2240" s="48" t="n">
        <v>0</v>
      </c>
      <c r="J2240" s="48" t="n">
        <v>0</v>
      </c>
      <c r="K2240" s="49" t="n">
        <v>0</v>
      </c>
      <c r="L2240" s="49" t="n">
        <v>0</v>
      </c>
      <c r="M2240" s="49" t="n">
        <v>0</v>
      </c>
      <c r="N2240" s="49" t="n">
        <v>0</v>
      </c>
      <c r="O2240" s="49" t="n">
        <v>0</v>
      </c>
      <c r="P2240" s="49" t="n">
        <v>0</v>
      </c>
      <c r="Q2240" s="49" t="n">
        <v>0</v>
      </c>
      <c r="R2240" s="49" t="n">
        <v>0</v>
      </c>
      <c r="S2240" s="50" t="n">
        <v>0</v>
      </c>
      <c r="T2240" s="50" t="n">
        <v>0</v>
      </c>
      <c r="U2240" s="50" t="n">
        <v>0</v>
      </c>
      <c r="V2240" s="50" t="n">
        <v>0</v>
      </c>
      <c r="W2240" s="51" t="n">
        <v>0</v>
      </c>
      <c r="X2240" s="51" t="n">
        <v>0</v>
      </c>
      <c r="Y2240" s="51" t="n">
        <v>0</v>
      </c>
      <c r="Z2240" s="51" t="n">
        <v>0</v>
      </c>
      <c r="AA2240" s="52" t="n">
        <v>0</v>
      </c>
      <c r="AB2240" s="52" t="n">
        <v>0</v>
      </c>
      <c r="AC2240" s="52" t="n">
        <v>0</v>
      </c>
      <c r="AD2240" s="52" t="n">
        <v>0</v>
      </c>
      <c r="AE2240" s="52" t="n">
        <v>0</v>
      </c>
      <c r="AF2240" s="52" t="n">
        <v>0</v>
      </c>
      <c r="AG2240" s="52" t="n">
        <v>0</v>
      </c>
      <c r="AH2240" s="52" t="n">
        <v>0</v>
      </c>
      <c r="AI2240" s="52" t="n">
        <v>0</v>
      </c>
      <c r="AJ2240" s="52" t="n">
        <v>0</v>
      </c>
      <c r="AK2240" s="52" t="n">
        <v>0</v>
      </c>
      <c r="AL2240" s="52" t="n">
        <v>0</v>
      </c>
      <c r="AM2240" s="53" t="n">
        <v>0</v>
      </c>
      <c r="AN2240" s="53" t="n">
        <v>0</v>
      </c>
      <c r="AO2240" s="53" t="n">
        <v>0</v>
      </c>
      <c r="AP2240" s="53" t="n">
        <v>0</v>
      </c>
      <c r="AQ2240" s="52" t="n">
        <v>0</v>
      </c>
      <c r="AR2240" s="52" t="n">
        <v>0</v>
      </c>
      <c r="AS2240" s="52" t="n">
        <v>0</v>
      </c>
      <c r="AT2240" s="52" t="n">
        <v>0</v>
      </c>
      <c r="AU2240" s="53" t="n">
        <v>0</v>
      </c>
      <c r="AV2240" s="53" t="n">
        <v>0</v>
      </c>
      <c r="AW2240" s="53" t="n">
        <v>0</v>
      </c>
      <c r="AX2240" s="53" t="n">
        <v>0</v>
      </c>
      <c r="AY2240" s="52" t="n">
        <v>0</v>
      </c>
      <c r="AZ2240" s="52" t="n">
        <v>0</v>
      </c>
      <c r="BA2240" s="52" t="n">
        <v>0</v>
      </c>
      <c r="BB2240" s="52" t="n">
        <v>0</v>
      </c>
      <c r="BC2240" s="51" t="n">
        <v>0</v>
      </c>
      <c r="BD2240" s="51" t="n">
        <v>0</v>
      </c>
      <c r="BE2240" s="51" t="n">
        <v>0</v>
      </c>
      <c r="BF2240" s="51" t="n">
        <v>0</v>
      </c>
    </row>
    <row r="2241">
      <c r="A2241">
        <f>HYPERLINK("https://www.walmart.com/ip/168263703", "168263703")</f>
        <v/>
      </c>
      <c r="B2241" t="inlineStr">
        <is>
          <t>JenniWears® Women's Stretch Mesh Bikini Panty with Open Back Heart Detail</t>
        </is>
      </c>
      <c r="C2241" t="inlineStr">
        <is>
          <t>JWPT02PK-M</t>
        </is>
      </c>
      <c r="D2241" t="inlineStr">
        <is>
          <t>Panties</t>
        </is>
      </c>
      <c r="E2241" t="inlineStr">
        <is>
          <t>JenniWears</t>
        </is>
      </c>
      <c r="F2241" t="inlineStr">
        <is>
          <t>Valentine</t>
        </is>
      </c>
      <c r="G2241" s="48" t="n">
        <v>0</v>
      </c>
      <c r="H2241" s="48" t="n">
        <v>0</v>
      </c>
      <c r="I2241" s="48" t="n">
        <v>0</v>
      </c>
      <c r="J2241" s="48" t="n">
        <v>0</v>
      </c>
      <c r="K2241" s="49" t="n">
        <v>0</v>
      </c>
      <c r="L2241" s="49" t="n">
        <v>0</v>
      </c>
      <c r="M2241" s="49" t="n">
        <v>0</v>
      </c>
      <c r="N2241" s="49" t="n">
        <v>0</v>
      </c>
      <c r="O2241" s="49" t="n">
        <v>0</v>
      </c>
      <c r="P2241" s="49" t="n">
        <v>0</v>
      </c>
      <c r="Q2241" s="49" t="n">
        <v>0</v>
      </c>
      <c r="R2241" s="49" t="n">
        <v>0</v>
      </c>
      <c r="S2241" s="50" t="n">
        <v>0</v>
      </c>
      <c r="T2241" s="50" t="n">
        <v>0</v>
      </c>
      <c r="U2241" s="50" t="n">
        <v>0</v>
      </c>
      <c r="V2241" s="50" t="n">
        <v>0</v>
      </c>
      <c r="W2241" s="51" t="n">
        <v>0</v>
      </c>
      <c r="X2241" s="51" t="n">
        <v>0</v>
      </c>
      <c r="Y2241" s="51" t="n">
        <v>0</v>
      </c>
      <c r="Z2241" s="51" t="n">
        <v>0</v>
      </c>
      <c r="AA2241" s="52" t="n">
        <v>0</v>
      </c>
      <c r="AB2241" s="52" t="n">
        <v>0</v>
      </c>
      <c r="AC2241" s="52" t="n">
        <v>0</v>
      </c>
      <c r="AD2241" s="52" t="n">
        <v>0</v>
      </c>
      <c r="AE2241" s="52" t="n">
        <v>0</v>
      </c>
      <c r="AF2241" s="52" t="n">
        <v>0</v>
      </c>
      <c r="AG2241" s="52" t="n">
        <v>0</v>
      </c>
      <c r="AH2241" s="52" t="n">
        <v>0</v>
      </c>
      <c r="AI2241" s="52" t="n">
        <v>0</v>
      </c>
      <c r="AJ2241" s="52" t="n">
        <v>0</v>
      </c>
      <c r="AK2241" s="52" t="n">
        <v>0</v>
      </c>
      <c r="AL2241" s="52" t="n">
        <v>0</v>
      </c>
      <c r="AM2241" s="53" t="n">
        <v>0</v>
      </c>
      <c r="AN2241" s="53" t="n">
        <v>0</v>
      </c>
      <c r="AO2241" s="53" t="n">
        <v>0</v>
      </c>
      <c r="AP2241" s="53" t="n">
        <v>0</v>
      </c>
      <c r="AQ2241" s="52" t="n">
        <v>0</v>
      </c>
      <c r="AR2241" s="52" t="n">
        <v>0</v>
      </c>
      <c r="AS2241" s="52" t="n">
        <v>0</v>
      </c>
      <c r="AT2241" s="52" t="n">
        <v>0</v>
      </c>
      <c r="AU2241" s="53" t="n">
        <v>0</v>
      </c>
      <c r="AV2241" s="53" t="n">
        <v>0</v>
      </c>
      <c r="AW2241" s="53" t="n">
        <v>0</v>
      </c>
      <c r="AX2241" s="53" t="n">
        <v>0</v>
      </c>
      <c r="AY2241" s="52" t="n">
        <v>0</v>
      </c>
      <c r="AZ2241" s="52" t="n">
        <v>0</v>
      </c>
      <c r="BA2241" s="52" t="n">
        <v>0</v>
      </c>
      <c r="BB2241" s="52" t="n">
        <v>0</v>
      </c>
      <c r="BC2241" s="51" t="n">
        <v>0</v>
      </c>
      <c r="BD2241" s="51" t="n">
        <v>0</v>
      </c>
      <c r="BE2241" s="51" t="n">
        <v>0</v>
      </c>
      <c r="BF2241" s="51" t="n">
        <v>0</v>
      </c>
    </row>
    <row r="2242">
      <c r="A2242">
        <f>HYPERLINK("https://www.walmart.com/ip/168289342", "168289342")</f>
        <v/>
      </c>
      <c r="B2242" t="inlineStr">
        <is>
          <t>Napa Premium Soft Warm Plush Kid Blanket Polyester Fluffy Reversible Bedding Throw For Baby Children Teen Boy Girl</t>
        </is>
      </c>
      <c r="C2242" t="inlineStr">
        <is>
          <t>K9000KD-PK</t>
        </is>
      </c>
      <c r="D2242" t="inlineStr">
        <is>
          <t>Throws</t>
        </is>
      </c>
      <c r="E2242" t="inlineStr">
        <is>
          <t>NAPA</t>
        </is>
      </c>
      <c r="F2242" t="inlineStr">
        <is>
          <t>Baby days</t>
        </is>
      </c>
      <c r="G2242" s="48" t="n">
        <v>0</v>
      </c>
      <c r="H2242" s="48" t="n">
        <v>0</v>
      </c>
      <c r="I2242" s="48" t="n">
        <v>0</v>
      </c>
      <c r="J2242" s="48" t="n">
        <v>0</v>
      </c>
      <c r="K2242" s="49" t="n">
        <v>0</v>
      </c>
      <c r="L2242" s="49" t="n">
        <v>0</v>
      </c>
      <c r="M2242" s="49" t="n">
        <v>0</v>
      </c>
      <c r="N2242" s="49" t="n">
        <v>0</v>
      </c>
      <c r="O2242" s="49" t="n">
        <v>0</v>
      </c>
      <c r="P2242" s="49" t="n">
        <v>0</v>
      </c>
      <c r="Q2242" s="49" t="n">
        <v>0</v>
      </c>
      <c r="R2242" s="49" t="n">
        <v>0</v>
      </c>
      <c r="S2242" s="50" t="n">
        <v>0</v>
      </c>
      <c r="T2242" s="50" t="n">
        <v>0</v>
      </c>
      <c r="U2242" s="50" t="n">
        <v>0</v>
      </c>
      <c r="V2242" s="50" t="n">
        <v>0</v>
      </c>
      <c r="W2242" s="51" t="n">
        <v>0</v>
      </c>
      <c r="X2242" s="51" t="n">
        <v>0</v>
      </c>
      <c r="Y2242" s="51" t="n">
        <v>0</v>
      </c>
      <c r="Z2242" s="51" t="n">
        <v>0</v>
      </c>
      <c r="AA2242" s="52" t="n">
        <v>0</v>
      </c>
      <c r="AB2242" s="52" t="n">
        <v>0</v>
      </c>
      <c r="AC2242" s="52" t="n">
        <v>0</v>
      </c>
      <c r="AD2242" s="52" t="n">
        <v>0</v>
      </c>
      <c r="AE2242" s="52" t="n">
        <v>0</v>
      </c>
      <c r="AF2242" s="52" t="n">
        <v>0</v>
      </c>
      <c r="AG2242" s="52" t="n">
        <v>0</v>
      </c>
      <c r="AH2242" s="52" t="n">
        <v>0</v>
      </c>
      <c r="AI2242" s="52" t="n">
        <v>0</v>
      </c>
      <c r="AJ2242" s="52" t="n">
        <v>0</v>
      </c>
      <c r="AK2242" s="52" t="n">
        <v>0</v>
      </c>
      <c r="AL2242" s="52" t="n">
        <v>0</v>
      </c>
      <c r="AM2242" s="53" t="n">
        <v>0</v>
      </c>
      <c r="AN2242" s="53" t="n">
        <v>0</v>
      </c>
      <c r="AO2242" s="53" t="n">
        <v>0</v>
      </c>
      <c r="AP2242" s="53" t="n">
        <v>0</v>
      </c>
      <c r="AQ2242" s="52" t="n">
        <v>0</v>
      </c>
      <c r="AR2242" s="52" t="n">
        <v>0</v>
      </c>
      <c r="AS2242" s="52" t="n">
        <v>0</v>
      </c>
      <c r="AT2242" s="52" t="n">
        <v>0</v>
      </c>
      <c r="AU2242" s="53" t="n">
        <v>0</v>
      </c>
      <c r="AV2242" s="53" t="n">
        <v>0</v>
      </c>
      <c r="AW2242" s="53" t="n">
        <v>0</v>
      </c>
      <c r="AX2242" s="53" t="n">
        <v>0</v>
      </c>
      <c r="AY2242" s="52" t="n">
        <v>0</v>
      </c>
      <c r="AZ2242" s="52" t="n">
        <v>0</v>
      </c>
      <c r="BA2242" s="52" t="n">
        <v>0</v>
      </c>
      <c r="BB2242" s="52" t="n">
        <v>0</v>
      </c>
      <c r="BC2242" s="51" t="n">
        <v>0</v>
      </c>
      <c r="BD2242" s="51" t="n">
        <v>0</v>
      </c>
      <c r="BE2242" s="51" t="n">
        <v>0</v>
      </c>
      <c r="BF2242" s="51" t="n">
        <v>0</v>
      </c>
    </row>
    <row r="2243">
      <c r="A2243">
        <f>HYPERLINK("https://www.walmart.com/ip/168482899", "168482899")</f>
        <v/>
      </c>
      <c r="B2243" t="inlineStr">
        <is>
          <t>JenniWears Beileise Women's Sheer Silicone Lace Jumbo Net Pantyhose Top Thigh High Black - 3 Packs</t>
        </is>
      </c>
      <c r="C2243" t="inlineStr">
        <is>
          <t>JWBLSPH2122-3pcs</t>
        </is>
      </c>
      <c r="D2243" t="inlineStr">
        <is>
          <t>Stockings</t>
        </is>
      </c>
      <c r="E2243" t="inlineStr">
        <is>
          <t>JenniWears</t>
        </is>
      </c>
      <c r="F2243" t="inlineStr">
        <is>
          <t>Optimized,Valentine</t>
        </is>
      </c>
      <c r="G2243" s="48" t="n">
        <v>0</v>
      </c>
      <c r="H2243" s="48" t="n">
        <v>0</v>
      </c>
      <c r="I2243" s="48" t="n">
        <v>0</v>
      </c>
      <c r="J2243" s="48" t="n">
        <v>0</v>
      </c>
      <c r="K2243" s="49" t="n">
        <v>0</v>
      </c>
      <c r="L2243" s="49" t="n">
        <v>0</v>
      </c>
      <c r="M2243" s="49" t="n">
        <v>0</v>
      </c>
      <c r="N2243" s="49" t="n">
        <v>0</v>
      </c>
      <c r="O2243" s="49" t="n">
        <v>0</v>
      </c>
      <c r="P2243" s="49" t="n">
        <v>0</v>
      </c>
      <c r="Q2243" s="49" t="n">
        <v>0</v>
      </c>
      <c r="R2243" s="49" t="n">
        <v>0</v>
      </c>
      <c r="S2243" s="50" t="n">
        <v>0</v>
      </c>
      <c r="T2243" s="50" t="n">
        <v>0</v>
      </c>
      <c r="U2243" s="50" t="n">
        <v>0</v>
      </c>
      <c r="V2243" s="50" t="n">
        <v>0</v>
      </c>
      <c r="W2243" s="51" t="n">
        <v>0</v>
      </c>
      <c r="X2243" s="51" t="n">
        <v>0</v>
      </c>
      <c r="Y2243" s="51" t="n">
        <v>0</v>
      </c>
      <c r="Z2243" s="51" t="n">
        <v>0</v>
      </c>
      <c r="AA2243" s="52" t="n">
        <v>0</v>
      </c>
      <c r="AB2243" s="52" t="n">
        <v>0</v>
      </c>
      <c r="AC2243" s="52" t="n">
        <v>0</v>
      </c>
      <c r="AD2243" s="52" t="n">
        <v>0</v>
      </c>
      <c r="AE2243" s="52" t="n">
        <v>0</v>
      </c>
      <c r="AF2243" s="52" t="n">
        <v>0</v>
      </c>
      <c r="AG2243" s="52" t="n">
        <v>0</v>
      </c>
      <c r="AH2243" s="52" t="n">
        <v>0</v>
      </c>
      <c r="AI2243" s="52" t="n">
        <v>0</v>
      </c>
      <c r="AJ2243" s="52" t="n">
        <v>0</v>
      </c>
      <c r="AK2243" s="52" t="n">
        <v>0</v>
      </c>
      <c r="AL2243" s="52" t="n">
        <v>0</v>
      </c>
      <c r="AM2243" s="53" t="n">
        <v>0</v>
      </c>
      <c r="AN2243" s="53" t="n">
        <v>0</v>
      </c>
      <c r="AO2243" s="53" t="n">
        <v>0</v>
      </c>
      <c r="AP2243" s="53" t="n">
        <v>0</v>
      </c>
      <c r="AQ2243" s="52" t="n">
        <v>0</v>
      </c>
      <c r="AR2243" s="52" t="n">
        <v>0</v>
      </c>
      <c r="AS2243" s="52" t="n">
        <v>0</v>
      </c>
      <c r="AT2243" s="52" t="n">
        <v>0</v>
      </c>
      <c r="AU2243" s="53" t="n">
        <v>0</v>
      </c>
      <c r="AV2243" s="53" t="n">
        <v>0</v>
      </c>
      <c r="AW2243" s="53" t="n">
        <v>0</v>
      </c>
      <c r="AX2243" s="53" t="n">
        <v>0</v>
      </c>
      <c r="AY2243" s="52" t="n">
        <v>0</v>
      </c>
      <c r="AZ2243" s="52" t="n">
        <v>0</v>
      </c>
      <c r="BA2243" s="52" t="n">
        <v>0</v>
      </c>
      <c r="BB2243" s="52" t="n">
        <v>0</v>
      </c>
      <c r="BC2243" s="51" t="n">
        <v>0</v>
      </c>
      <c r="BD2243" s="51" t="n">
        <v>0</v>
      </c>
      <c r="BE2243" s="51" t="n">
        <v>0</v>
      </c>
      <c r="BF2243" s="51" t="n">
        <v>0</v>
      </c>
    </row>
    <row r="2244">
      <c r="A2244">
        <f>HYPERLINK("https://www.walmart.com/ip/1686754665", "1686754665")</f>
        <v/>
      </c>
      <c r="B2244" t="inlineStr">
        <is>
          <t>Tirrinia Neon Hunting Orange Safety Cap Closure</t>
        </is>
      </c>
      <c r="C2244" t="inlineStr">
        <is>
          <t>1TRHT7121NEON-TBCB</t>
        </is>
      </c>
      <c r="D2244" t="inlineStr">
        <is>
          <t>Hats</t>
        </is>
      </c>
      <c r="E2244" t="inlineStr">
        <is>
          <t>Tirrinia</t>
        </is>
      </c>
      <c r="F2244" t="inlineStr">
        <is>
          <t>Batch 1 - TR</t>
        </is>
      </c>
      <c r="G2244" s="48" t="n">
        <v>0</v>
      </c>
      <c r="H2244" s="48" t="n">
        <v>0</v>
      </c>
      <c r="I2244" s="48" t="n">
        <v>0</v>
      </c>
      <c r="J2244" s="48" t="n">
        <v>0</v>
      </c>
      <c r="K2244" s="49" t="n">
        <v>0</v>
      </c>
      <c r="L2244" s="49" t="n">
        <v>0</v>
      </c>
      <c r="M2244" s="49" t="n">
        <v>0</v>
      </c>
      <c r="N2244" s="49" t="n">
        <v>0</v>
      </c>
      <c r="O2244" s="49" t="n">
        <v>0</v>
      </c>
      <c r="P2244" s="49" t="n">
        <v>0</v>
      </c>
      <c r="Q2244" s="49" t="n">
        <v>0</v>
      </c>
      <c r="R2244" s="49" t="n">
        <v>0</v>
      </c>
      <c r="S2244" s="50" t="n">
        <v>0</v>
      </c>
      <c r="T2244" s="50" t="n">
        <v>0</v>
      </c>
      <c r="U2244" s="50" t="n">
        <v>0</v>
      </c>
      <c r="V2244" s="50" t="n">
        <v>0</v>
      </c>
      <c r="W2244" s="51" t="n">
        <v>0</v>
      </c>
      <c r="X2244" s="51" t="n">
        <v>0</v>
      </c>
      <c r="Y2244" s="51" t="n">
        <v>0</v>
      </c>
      <c r="Z2244" s="51" t="n">
        <v>0</v>
      </c>
      <c r="AA2244" s="52" t="n">
        <v>0</v>
      </c>
      <c r="AB2244" s="52" t="n">
        <v>0</v>
      </c>
      <c r="AC2244" s="52" t="n">
        <v>0</v>
      </c>
      <c r="AD2244" s="52" t="n">
        <v>0</v>
      </c>
      <c r="AE2244" s="52" t="n">
        <v>0</v>
      </c>
      <c r="AF2244" s="52" t="n">
        <v>0</v>
      </c>
      <c r="AG2244" s="52" t="n">
        <v>0</v>
      </c>
      <c r="AH2244" s="52" t="n">
        <v>0</v>
      </c>
      <c r="AI2244" s="52" t="n">
        <v>0</v>
      </c>
      <c r="AJ2244" s="52" t="n">
        <v>0</v>
      </c>
      <c r="AK2244" s="52" t="n">
        <v>0</v>
      </c>
      <c r="AL2244" s="52" t="n">
        <v>0</v>
      </c>
      <c r="AM2244" s="53" t="n">
        <v>0</v>
      </c>
      <c r="AN2244" s="53" t="n">
        <v>0</v>
      </c>
      <c r="AO2244" s="53" t="n">
        <v>0</v>
      </c>
      <c r="AP2244" s="53" t="n">
        <v>0</v>
      </c>
      <c r="AQ2244" s="52" t="n">
        <v>0</v>
      </c>
      <c r="AR2244" s="52" t="n">
        <v>0</v>
      </c>
      <c r="AS2244" s="52" t="n">
        <v>0</v>
      </c>
      <c r="AT2244" s="52" t="n">
        <v>0</v>
      </c>
      <c r="AU2244" s="53" t="n">
        <v>0</v>
      </c>
      <c r="AV2244" s="53" t="n">
        <v>0</v>
      </c>
      <c r="AW2244" s="53" t="n">
        <v>0</v>
      </c>
      <c r="AX2244" s="53" t="n">
        <v>0</v>
      </c>
      <c r="AY2244" s="52" t="n">
        <v>0</v>
      </c>
      <c r="AZ2244" s="52" t="n">
        <v>0</v>
      </c>
      <c r="BA2244" s="52" t="n">
        <v>0</v>
      </c>
      <c r="BB2244" s="52" t="n">
        <v>0</v>
      </c>
      <c r="BC2244" s="51" t="n">
        <v>0</v>
      </c>
      <c r="BD2244" s="51" t="n">
        <v>0</v>
      </c>
      <c r="BE2244" s="51" t="n">
        <v>0</v>
      </c>
      <c r="BF2244" s="51" t="n">
        <v>0</v>
      </c>
    </row>
    <row r="2245">
      <c r="A2245">
        <f>HYPERLINK("https://www.walmart.com/ip/168709229", "168709229")</f>
        <v/>
      </c>
      <c r="B2245" t="inlineStr">
        <is>
          <t>Jenniwears Sexy Lace Lingerie Jacket Babydoll G String 3 Pieces Sleepwear Set</t>
        </is>
      </c>
      <c r="C2245" t="inlineStr">
        <is>
          <t>JWND05WT</t>
        </is>
      </c>
      <c r="D2245" t="inlineStr">
        <is>
          <t>Lingerie Sets</t>
        </is>
      </c>
      <c r="E2245" t="inlineStr">
        <is>
          <t>JenniWears</t>
        </is>
      </c>
      <c r="F2245" t="inlineStr">
        <is>
          <t>Optimized,Valentine</t>
        </is>
      </c>
      <c r="G2245" s="48" t="n">
        <v>0</v>
      </c>
      <c r="H2245" s="48" t="n">
        <v>0</v>
      </c>
      <c r="I2245" s="48" t="n">
        <v>0</v>
      </c>
      <c r="J2245" s="48" t="n">
        <v>0</v>
      </c>
      <c r="K2245" s="49" t="n">
        <v>0</v>
      </c>
      <c r="L2245" s="49" t="n">
        <v>0</v>
      </c>
      <c r="M2245" s="49" t="n">
        <v>0</v>
      </c>
      <c r="N2245" s="49" t="n">
        <v>0</v>
      </c>
      <c r="O2245" s="49" t="n">
        <v>0</v>
      </c>
      <c r="P2245" s="49" t="n">
        <v>0</v>
      </c>
      <c r="Q2245" s="49" t="n">
        <v>0</v>
      </c>
      <c r="R2245" s="49" t="n">
        <v>0</v>
      </c>
      <c r="S2245" s="50" t="n">
        <v>0</v>
      </c>
      <c r="T2245" s="50" t="n">
        <v>0</v>
      </c>
      <c r="U2245" s="50" t="n">
        <v>0</v>
      </c>
      <c r="V2245" s="50" t="n">
        <v>0</v>
      </c>
      <c r="W2245" s="51" t="n">
        <v>0</v>
      </c>
      <c r="X2245" s="51" t="n">
        <v>0</v>
      </c>
      <c r="Y2245" s="51" t="n">
        <v>0</v>
      </c>
      <c r="Z2245" s="51" t="n">
        <v>0</v>
      </c>
      <c r="AA2245" s="52" t="n">
        <v>0</v>
      </c>
      <c r="AB2245" s="52" t="n">
        <v>0</v>
      </c>
      <c r="AC2245" s="52" t="n">
        <v>0</v>
      </c>
      <c r="AD2245" s="52" t="n">
        <v>0</v>
      </c>
      <c r="AE2245" s="52" t="n">
        <v>0</v>
      </c>
      <c r="AF2245" s="52" t="n">
        <v>0</v>
      </c>
      <c r="AG2245" s="52" t="n">
        <v>0</v>
      </c>
      <c r="AH2245" s="52" t="n">
        <v>0</v>
      </c>
      <c r="AI2245" s="52" t="n">
        <v>0</v>
      </c>
      <c r="AJ2245" s="52" t="n">
        <v>0</v>
      </c>
      <c r="AK2245" s="52" t="n">
        <v>0</v>
      </c>
      <c r="AL2245" s="52" t="n">
        <v>0</v>
      </c>
      <c r="AM2245" s="53" t="n">
        <v>0</v>
      </c>
      <c r="AN2245" s="53" t="n">
        <v>0</v>
      </c>
      <c r="AO2245" s="53" t="n">
        <v>0</v>
      </c>
      <c r="AP2245" s="53" t="n">
        <v>0</v>
      </c>
      <c r="AQ2245" s="52" t="n">
        <v>0</v>
      </c>
      <c r="AR2245" s="52" t="n">
        <v>0</v>
      </c>
      <c r="AS2245" s="52" t="n">
        <v>0</v>
      </c>
      <c r="AT2245" s="52" t="n">
        <v>0</v>
      </c>
      <c r="AU2245" s="53" t="n">
        <v>0</v>
      </c>
      <c r="AV2245" s="53" t="n">
        <v>0</v>
      </c>
      <c r="AW2245" s="53" t="n">
        <v>0</v>
      </c>
      <c r="AX2245" s="53" t="n">
        <v>0</v>
      </c>
      <c r="AY2245" s="52" t="n">
        <v>0</v>
      </c>
      <c r="AZ2245" s="52" t="n">
        <v>0</v>
      </c>
      <c r="BA2245" s="52" t="n">
        <v>0</v>
      </c>
      <c r="BB2245" s="52" t="n">
        <v>0</v>
      </c>
      <c r="BC2245" s="51" t="n">
        <v>0</v>
      </c>
      <c r="BD2245" s="51" t="n">
        <v>0</v>
      </c>
      <c r="BE2245" s="51" t="n">
        <v>0</v>
      </c>
      <c r="BF2245" s="51" t="n">
        <v>0</v>
      </c>
    </row>
    <row r="2246">
      <c r="A2246">
        <f>HYPERLINK("https://www.walmart.com/ip/169031285", "169031285")</f>
        <v/>
      </c>
      <c r="B2246" t="inlineStr">
        <is>
          <t>Extra Large Picnic Blanket Waterproof Lightweight Portable Beach Mat for Family Camping,Travel,Park,Grass,Hiking,Outdoor, Stadium,Concerts ( Unique Striped Print, 70''X80'') - Machine Washable</t>
        </is>
      </c>
      <c r="C2246" t="inlineStr">
        <is>
          <t>1WMBW781STR</t>
        </is>
      </c>
      <c r="D2246" t="inlineStr">
        <is>
          <t>Picnic Blankets &amp; Mats</t>
        </is>
      </c>
      <c r="E2246" t="inlineStr">
        <is>
          <t>Flyingstar</t>
        </is>
      </c>
      <c r="F2246" t="inlineStr">
        <is>
          <t>Batch 1 - TR</t>
        </is>
      </c>
      <c r="G2246" s="48" t="n">
        <v>0</v>
      </c>
      <c r="H2246" s="48" t="n">
        <v>0</v>
      </c>
      <c r="I2246" s="48" t="n">
        <v>0</v>
      </c>
      <c r="J2246" s="48" t="n">
        <v>0</v>
      </c>
      <c r="K2246" s="49" t="n">
        <v>0</v>
      </c>
      <c r="L2246" s="49" t="n">
        <v>0</v>
      </c>
      <c r="M2246" s="49" t="n">
        <v>0</v>
      </c>
      <c r="N2246" s="49" t="n">
        <v>0</v>
      </c>
      <c r="O2246" s="49" t="n">
        <v>0</v>
      </c>
      <c r="P2246" s="49" t="n">
        <v>0</v>
      </c>
      <c r="Q2246" s="49" t="n">
        <v>0</v>
      </c>
      <c r="R2246" s="49" t="n">
        <v>0</v>
      </c>
      <c r="S2246" s="50" t="n">
        <v>0</v>
      </c>
      <c r="T2246" s="50" t="n">
        <v>0</v>
      </c>
      <c r="U2246" s="50" t="n">
        <v>0</v>
      </c>
      <c r="V2246" s="50" t="n">
        <v>0</v>
      </c>
      <c r="W2246" s="51" t="n">
        <v>0</v>
      </c>
      <c r="X2246" s="51" t="n">
        <v>0</v>
      </c>
      <c r="Y2246" s="51" t="n">
        <v>0</v>
      </c>
      <c r="Z2246" s="51" t="n">
        <v>0</v>
      </c>
      <c r="AA2246" s="52" t="n">
        <v>0</v>
      </c>
      <c r="AB2246" s="52" t="n">
        <v>0</v>
      </c>
      <c r="AC2246" s="52" t="n">
        <v>0</v>
      </c>
      <c r="AD2246" s="52" t="n">
        <v>0</v>
      </c>
      <c r="AE2246" s="52" t="n">
        <v>0</v>
      </c>
      <c r="AF2246" s="52" t="n">
        <v>0</v>
      </c>
      <c r="AG2246" s="52" t="n">
        <v>0</v>
      </c>
      <c r="AH2246" s="52" t="n">
        <v>0</v>
      </c>
      <c r="AI2246" s="52" t="n">
        <v>0</v>
      </c>
      <c r="AJ2246" s="52" t="n">
        <v>0</v>
      </c>
      <c r="AK2246" s="52" t="n">
        <v>0</v>
      </c>
      <c r="AL2246" s="52" t="n">
        <v>0</v>
      </c>
      <c r="AM2246" s="53" t="n">
        <v>0</v>
      </c>
      <c r="AN2246" s="53" t="n">
        <v>0</v>
      </c>
      <c r="AO2246" s="53" t="n">
        <v>0</v>
      </c>
      <c r="AP2246" s="53" t="n">
        <v>0</v>
      </c>
      <c r="AQ2246" s="52" t="n">
        <v>0</v>
      </c>
      <c r="AR2246" s="52" t="n">
        <v>0</v>
      </c>
      <c r="AS2246" s="52" t="n">
        <v>0</v>
      </c>
      <c r="AT2246" s="52" t="n">
        <v>0</v>
      </c>
      <c r="AU2246" s="53" t="n">
        <v>0</v>
      </c>
      <c r="AV2246" s="53" t="n">
        <v>0</v>
      </c>
      <c r="AW2246" s="53" t="n">
        <v>0</v>
      </c>
      <c r="AX2246" s="53" t="n">
        <v>0</v>
      </c>
      <c r="AY2246" s="52" t="n">
        <v>0</v>
      </c>
      <c r="AZ2246" s="52" t="n">
        <v>0</v>
      </c>
      <c r="BA2246" s="52" t="n">
        <v>0</v>
      </c>
      <c r="BB2246" s="52" t="n">
        <v>0</v>
      </c>
      <c r="BC2246" s="51" t="n">
        <v>0</v>
      </c>
      <c r="BD2246" s="51" t="n">
        <v>0</v>
      </c>
      <c r="BE2246" s="51" t="n">
        <v>0</v>
      </c>
      <c r="BF2246" s="51" t="n">
        <v>0</v>
      </c>
    </row>
    <row r="2247">
      <c r="A2247">
        <f>HYPERLINK("https://www.walmart.com/ip/169423090", "169423090")</f>
        <v/>
      </c>
      <c r="B2247" t="inlineStr">
        <is>
          <t>Tirrinia Wearable Fleece Blanket with Sleeves and Pocket for Women and Men, Super-Soft Microplush Full Body Robe for Lounge Couch, Grey, 51" x 73"</t>
        </is>
      </c>
      <c r="C2247" t="inlineStr">
        <is>
          <t>1TRSN100GY-TBCB</t>
        </is>
      </c>
      <c r="D2247" t="inlineStr">
        <is>
          <t>Throws</t>
        </is>
      </c>
      <c r="E2247" t="inlineStr">
        <is>
          <t>Tirrinia</t>
        </is>
      </c>
      <c r="F2247" t="inlineStr">
        <is>
          <t>Optimized,WFS Item</t>
        </is>
      </c>
      <c r="G2247" s="48" t="n">
        <v>0</v>
      </c>
      <c r="H2247" s="48" t="n">
        <v>0</v>
      </c>
      <c r="I2247" s="48" t="n">
        <v>0</v>
      </c>
      <c r="J2247" s="48" t="n">
        <v>0</v>
      </c>
      <c r="K2247" s="49" t="n">
        <v>0</v>
      </c>
      <c r="L2247" s="49" t="n">
        <v>0</v>
      </c>
      <c r="M2247" s="49" t="n">
        <v>0</v>
      </c>
      <c r="N2247" s="49" t="n">
        <v>0</v>
      </c>
      <c r="O2247" s="49" t="n">
        <v>0</v>
      </c>
      <c r="P2247" s="49" t="n">
        <v>0</v>
      </c>
      <c r="Q2247" s="49" t="n">
        <v>0</v>
      </c>
      <c r="R2247" s="49" t="n">
        <v>0</v>
      </c>
      <c r="S2247" s="50" t="n">
        <v>0</v>
      </c>
      <c r="T2247" s="50" t="n">
        <v>0</v>
      </c>
      <c r="U2247" s="50" t="n">
        <v>0</v>
      </c>
      <c r="V2247" s="50" t="n">
        <v>0</v>
      </c>
      <c r="W2247" s="51" t="n">
        <v>0</v>
      </c>
      <c r="X2247" s="51" t="n">
        <v>0</v>
      </c>
      <c r="Y2247" s="51" t="n">
        <v>0</v>
      </c>
      <c r="Z2247" s="51" t="n">
        <v>0</v>
      </c>
      <c r="AA2247" s="52" t="n">
        <v>0</v>
      </c>
      <c r="AB2247" s="52" t="n">
        <v>0</v>
      </c>
      <c r="AC2247" s="52" t="n">
        <v>0</v>
      </c>
      <c r="AD2247" s="52" t="n">
        <v>0</v>
      </c>
      <c r="AE2247" s="52" t="n">
        <v>0</v>
      </c>
      <c r="AF2247" s="52" t="n">
        <v>0</v>
      </c>
      <c r="AG2247" s="52" t="n">
        <v>0</v>
      </c>
      <c r="AH2247" s="52" t="n">
        <v>0</v>
      </c>
      <c r="AI2247" s="52" t="n">
        <v>0</v>
      </c>
      <c r="AJ2247" s="52" t="n">
        <v>0</v>
      </c>
      <c r="AK2247" s="52" t="n">
        <v>0</v>
      </c>
      <c r="AL2247" s="52" t="n">
        <v>0</v>
      </c>
      <c r="AM2247" s="53" t="n">
        <v>0</v>
      </c>
      <c r="AN2247" s="53" t="n">
        <v>0</v>
      </c>
      <c r="AO2247" s="53" t="n">
        <v>0</v>
      </c>
      <c r="AP2247" s="53" t="n">
        <v>0</v>
      </c>
      <c r="AQ2247" s="52" t="n">
        <v>0</v>
      </c>
      <c r="AR2247" s="52" t="n">
        <v>0</v>
      </c>
      <c r="AS2247" s="52" t="n">
        <v>0</v>
      </c>
      <c r="AT2247" s="52" t="n">
        <v>0</v>
      </c>
      <c r="AU2247" s="53" t="n">
        <v>0</v>
      </c>
      <c r="AV2247" s="53" t="n">
        <v>0</v>
      </c>
      <c r="AW2247" s="53" t="n">
        <v>0</v>
      </c>
      <c r="AX2247" s="53" t="n">
        <v>0</v>
      </c>
      <c r="AY2247" s="52" t="n">
        <v>0</v>
      </c>
      <c r="AZ2247" s="52" t="n">
        <v>0</v>
      </c>
      <c r="BA2247" s="52" t="n">
        <v>0</v>
      </c>
      <c r="BB2247" s="52" t="n">
        <v>0</v>
      </c>
      <c r="BC2247" s="51" t="n">
        <v>0</v>
      </c>
      <c r="BD2247" s="51" t="n">
        <v>0</v>
      </c>
      <c r="BE2247" s="51" t="n">
        <v>0</v>
      </c>
      <c r="BF2247" s="51" t="n">
        <v>0</v>
      </c>
    </row>
    <row r="2248">
      <c r="A2248">
        <f>HYPERLINK("https://www.walmart.com/ip/169679519", "169679519")</f>
        <v/>
      </c>
      <c r="B2248" t="inlineStr">
        <is>
          <t>KC Caps® Cotton Twill Deluxe Super Soft Mesh Adjustable Snapback Low Profile Trucker Baseball Cap</t>
        </is>
      </c>
      <c r="C2248" t="inlineStr">
        <is>
          <t>KCCAPSSZK641TGR/ST</t>
        </is>
      </c>
      <c r="D2248" t="inlineStr">
        <is>
          <t>Hats</t>
        </is>
      </c>
      <c r="E2248" t="inlineStr">
        <is>
          <t>KC Caps</t>
        </is>
      </c>
      <c r="F2248" t="inlineStr">
        <is>
          <t>Optimized</t>
        </is>
      </c>
      <c r="G2248" s="48" t="n">
        <v>0</v>
      </c>
      <c r="H2248" s="48" t="n">
        <v>0</v>
      </c>
      <c r="I2248" s="48" t="n">
        <v>0</v>
      </c>
      <c r="J2248" s="48" t="n">
        <v>0</v>
      </c>
      <c r="K2248" s="49" t="n">
        <v>0</v>
      </c>
      <c r="L2248" s="49" t="n">
        <v>0</v>
      </c>
      <c r="M2248" s="49" t="n">
        <v>0</v>
      </c>
      <c r="N2248" s="49" t="n">
        <v>0</v>
      </c>
      <c r="O2248" s="49" t="n">
        <v>0</v>
      </c>
      <c r="P2248" s="49" t="n">
        <v>0</v>
      </c>
      <c r="Q2248" s="49" t="n">
        <v>0</v>
      </c>
      <c r="R2248" s="49" t="n">
        <v>0</v>
      </c>
      <c r="S2248" s="50" t="n">
        <v>0</v>
      </c>
      <c r="T2248" s="50" t="n">
        <v>0</v>
      </c>
      <c r="U2248" s="50" t="n">
        <v>0</v>
      </c>
      <c r="V2248" s="50" t="n">
        <v>0</v>
      </c>
      <c r="W2248" s="51" t="n">
        <v>0</v>
      </c>
      <c r="X2248" s="51" t="n">
        <v>0</v>
      </c>
      <c r="Y2248" s="51" t="n">
        <v>0</v>
      </c>
      <c r="Z2248" s="51" t="n">
        <v>0</v>
      </c>
      <c r="AA2248" s="52" t="n">
        <v>0</v>
      </c>
      <c r="AB2248" s="52" t="n">
        <v>0</v>
      </c>
      <c r="AC2248" s="52" t="n">
        <v>0</v>
      </c>
      <c r="AD2248" s="52" t="n">
        <v>0</v>
      </c>
      <c r="AE2248" s="52" t="n">
        <v>0</v>
      </c>
      <c r="AF2248" s="52" t="n">
        <v>0</v>
      </c>
      <c r="AG2248" s="52" t="n">
        <v>0</v>
      </c>
      <c r="AH2248" s="52" t="n">
        <v>0</v>
      </c>
      <c r="AI2248" s="52" t="n">
        <v>0</v>
      </c>
      <c r="AJ2248" s="52" t="n">
        <v>0</v>
      </c>
      <c r="AK2248" s="52" t="n">
        <v>0</v>
      </c>
      <c r="AL2248" s="52" t="n">
        <v>0</v>
      </c>
      <c r="AM2248" s="53" t="n">
        <v>0</v>
      </c>
      <c r="AN2248" s="53" t="n">
        <v>0</v>
      </c>
      <c r="AO2248" s="53" t="n">
        <v>0</v>
      </c>
      <c r="AP2248" s="53" t="n">
        <v>0</v>
      </c>
      <c r="AQ2248" s="52" t="n">
        <v>0</v>
      </c>
      <c r="AR2248" s="52" t="n">
        <v>0</v>
      </c>
      <c r="AS2248" s="52" t="n">
        <v>0</v>
      </c>
      <c r="AT2248" s="52" t="n">
        <v>0</v>
      </c>
      <c r="AU2248" s="53" t="n">
        <v>0</v>
      </c>
      <c r="AV2248" s="53" t="n">
        <v>0</v>
      </c>
      <c r="AW2248" s="53" t="n">
        <v>0</v>
      </c>
      <c r="AX2248" s="53" t="n">
        <v>0</v>
      </c>
      <c r="AY2248" s="52" t="n">
        <v>0</v>
      </c>
      <c r="AZ2248" s="52" t="n">
        <v>0</v>
      </c>
      <c r="BA2248" s="52" t="n">
        <v>0</v>
      </c>
      <c r="BB2248" s="52" t="n">
        <v>0</v>
      </c>
      <c r="BC2248" s="51" t="n">
        <v>0</v>
      </c>
      <c r="BD2248" s="51" t="n">
        <v>0</v>
      </c>
      <c r="BE2248" s="51" t="n">
        <v>0</v>
      </c>
      <c r="BF2248" s="51" t="n">
        <v>0</v>
      </c>
    </row>
    <row r="2249">
      <c r="A2249">
        <f>HYPERLINK("https://www.walmart.com/ip/169828455", "169828455")</f>
        <v/>
      </c>
      <c r="B2249" t="inlineStr">
        <is>
          <t>KC Caps® Unisex Cotton Baseball Cap Adjustable Plain Hat (21 Styles/Colors)</t>
        </is>
      </c>
      <c r="C2249" t="inlineStr">
        <is>
          <t>KC8010OFFWTBK</t>
        </is>
      </c>
      <c r="D2249" t="inlineStr">
        <is>
          <t>Hats</t>
        </is>
      </c>
      <c r="E2249" t="inlineStr">
        <is>
          <t>KC Caps</t>
        </is>
      </c>
      <c r="F2249" t="inlineStr">
        <is>
          <t>Optimized</t>
        </is>
      </c>
      <c r="G2249" s="48" t="n">
        <v>0</v>
      </c>
      <c r="H2249" s="48" t="n">
        <v>0</v>
      </c>
      <c r="I2249" s="48" t="n">
        <v>0</v>
      </c>
      <c r="J2249" s="48" t="n">
        <v>0</v>
      </c>
      <c r="K2249" s="49" t="n">
        <v>0</v>
      </c>
      <c r="L2249" s="49" t="n">
        <v>0</v>
      </c>
      <c r="M2249" s="49" t="n">
        <v>0</v>
      </c>
      <c r="N2249" s="49" t="n">
        <v>0</v>
      </c>
      <c r="O2249" s="49" t="n">
        <v>0</v>
      </c>
      <c r="P2249" s="49" t="n">
        <v>0</v>
      </c>
      <c r="Q2249" s="49" t="n">
        <v>0</v>
      </c>
      <c r="R2249" s="49" t="n">
        <v>0</v>
      </c>
      <c r="S2249" s="50" t="n">
        <v>0</v>
      </c>
      <c r="T2249" s="50" t="n">
        <v>0</v>
      </c>
      <c r="U2249" s="50" t="n">
        <v>0</v>
      </c>
      <c r="V2249" s="50" t="n">
        <v>0</v>
      </c>
      <c r="W2249" s="51" t="n">
        <v>0</v>
      </c>
      <c r="X2249" s="51" t="n">
        <v>0</v>
      </c>
      <c r="Y2249" s="51" t="n">
        <v>0</v>
      </c>
      <c r="Z2249" s="51" t="n">
        <v>0</v>
      </c>
      <c r="AA2249" s="52" t="n">
        <v>0</v>
      </c>
      <c r="AB2249" s="52" t="n">
        <v>0</v>
      </c>
      <c r="AC2249" s="52" t="n">
        <v>0</v>
      </c>
      <c r="AD2249" s="52" t="n">
        <v>0</v>
      </c>
      <c r="AE2249" s="52" t="n">
        <v>0</v>
      </c>
      <c r="AF2249" s="52" t="n">
        <v>0</v>
      </c>
      <c r="AG2249" s="52" t="n">
        <v>0</v>
      </c>
      <c r="AH2249" s="52" t="n">
        <v>0</v>
      </c>
      <c r="AI2249" s="52" t="n">
        <v>0</v>
      </c>
      <c r="AJ2249" s="52" t="n">
        <v>0</v>
      </c>
      <c r="AK2249" s="52" t="n">
        <v>0</v>
      </c>
      <c r="AL2249" s="52" t="n">
        <v>0</v>
      </c>
      <c r="AM2249" s="53" t="n">
        <v>0</v>
      </c>
      <c r="AN2249" s="53" t="n">
        <v>0</v>
      </c>
      <c r="AO2249" s="53" t="n">
        <v>0</v>
      </c>
      <c r="AP2249" s="53" t="n">
        <v>0</v>
      </c>
      <c r="AQ2249" s="52" t="n">
        <v>0</v>
      </c>
      <c r="AR2249" s="52" t="n">
        <v>0</v>
      </c>
      <c r="AS2249" s="52" t="n">
        <v>0</v>
      </c>
      <c r="AT2249" s="52" t="n">
        <v>0</v>
      </c>
      <c r="AU2249" s="53" t="n">
        <v>0</v>
      </c>
      <c r="AV2249" s="53" t="n">
        <v>0</v>
      </c>
      <c r="AW2249" s="53" t="n">
        <v>0</v>
      </c>
      <c r="AX2249" s="53" t="n">
        <v>0</v>
      </c>
      <c r="AY2249" s="52" t="n">
        <v>0</v>
      </c>
      <c r="AZ2249" s="52" t="n">
        <v>0</v>
      </c>
      <c r="BA2249" s="52" t="n">
        <v>0</v>
      </c>
      <c r="BB2249" s="52" t="n">
        <v>0</v>
      </c>
      <c r="BC2249" s="51" t="n">
        <v>0</v>
      </c>
      <c r="BD2249" s="51" t="n">
        <v>0</v>
      </c>
      <c r="BE2249" s="51" t="n">
        <v>0</v>
      </c>
      <c r="BF2249" s="51" t="n">
        <v>0</v>
      </c>
    </row>
    <row r="2250">
      <c r="A2250">
        <f>HYPERLINK("https://www.walmart.com/ip/1698766704", "1698766704")</f>
        <v/>
      </c>
      <c r="B2250" t="inlineStr">
        <is>
          <t>Kritter Planet Cow Print Dog Throw Blanket, Super Soft Fluffy Sherpa Fleece Dog Couch Blankets and Throws for Large, Medium and Small Dogs and Cats, 60'' x 50''</t>
        </is>
      </c>
      <c r="C2250" t="inlineStr">
        <is>
          <t>1KPBF560DMT</t>
        </is>
      </c>
      <c r="D2250" t="inlineStr">
        <is>
          <t>Pet Blankets</t>
        </is>
      </c>
      <c r="E2250" t="inlineStr">
        <is>
          <t>Kritter Planet</t>
        </is>
      </c>
      <c r="F2250" t="inlineStr">
        <is>
          <t>Q2-Target,Coupon_Discount,Batch 1 - TR</t>
        </is>
      </c>
      <c r="G2250" s="48" t="n">
        <v>0</v>
      </c>
      <c r="H2250" s="48" t="n">
        <v>0</v>
      </c>
      <c r="I2250" s="48" t="n">
        <v>0</v>
      </c>
      <c r="J2250" s="48" t="n">
        <v>0</v>
      </c>
      <c r="K2250" s="49" t="n">
        <v>0</v>
      </c>
      <c r="L2250" s="49" t="n">
        <v>0</v>
      </c>
      <c r="M2250" s="49" t="n">
        <v>0</v>
      </c>
      <c r="N2250" s="49" t="n">
        <v>0</v>
      </c>
      <c r="O2250" s="49" t="n">
        <v>0</v>
      </c>
      <c r="P2250" s="49" t="n">
        <v>0</v>
      </c>
      <c r="Q2250" s="49" t="n">
        <v>0</v>
      </c>
      <c r="R2250" s="49" t="n">
        <v>0</v>
      </c>
      <c r="S2250" s="50" t="n">
        <v>0</v>
      </c>
      <c r="T2250" s="50" t="n">
        <v>0</v>
      </c>
      <c r="U2250" s="50" t="n">
        <v>0</v>
      </c>
      <c r="V2250" s="50" t="n">
        <v>0</v>
      </c>
      <c r="W2250" s="51" t="n">
        <v>0</v>
      </c>
      <c r="X2250" s="51" t="n">
        <v>0</v>
      </c>
      <c r="Y2250" s="51" t="n">
        <v>0</v>
      </c>
      <c r="Z2250" s="51" t="n">
        <v>0</v>
      </c>
      <c r="AA2250" s="52" t="n">
        <v>0</v>
      </c>
      <c r="AB2250" s="52" t="n">
        <v>0</v>
      </c>
      <c r="AC2250" s="52" t="n">
        <v>0</v>
      </c>
      <c r="AD2250" s="52" t="n">
        <v>0</v>
      </c>
      <c r="AE2250" s="52" t="n">
        <v>0</v>
      </c>
      <c r="AF2250" s="52" t="n">
        <v>0</v>
      </c>
      <c r="AG2250" s="52" t="n">
        <v>0</v>
      </c>
      <c r="AH2250" s="52" t="n">
        <v>0</v>
      </c>
      <c r="AI2250" s="52" t="n">
        <v>0</v>
      </c>
      <c r="AJ2250" s="52" t="n">
        <v>0</v>
      </c>
      <c r="AK2250" s="52" t="n">
        <v>0</v>
      </c>
      <c r="AL2250" s="52" t="n">
        <v>0</v>
      </c>
      <c r="AM2250" s="53" t="n">
        <v>0</v>
      </c>
      <c r="AN2250" s="53" t="n">
        <v>0</v>
      </c>
      <c r="AO2250" s="53" t="n">
        <v>0</v>
      </c>
      <c r="AP2250" s="53" t="n">
        <v>0</v>
      </c>
      <c r="AQ2250" s="52" t="n">
        <v>0</v>
      </c>
      <c r="AR2250" s="52" t="n">
        <v>0</v>
      </c>
      <c r="AS2250" s="52" t="n">
        <v>0</v>
      </c>
      <c r="AT2250" s="52" t="n">
        <v>0</v>
      </c>
      <c r="AU2250" s="53" t="n">
        <v>0</v>
      </c>
      <c r="AV2250" s="53" t="n">
        <v>0</v>
      </c>
      <c r="AW2250" s="53" t="n">
        <v>0</v>
      </c>
      <c r="AX2250" s="53" t="n">
        <v>0</v>
      </c>
      <c r="AY2250" s="52" t="n">
        <v>0</v>
      </c>
      <c r="AZ2250" s="52" t="n">
        <v>0</v>
      </c>
      <c r="BA2250" s="52" t="n">
        <v>0</v>
      </c>
      <c r="BB2250" s="52" t="n">
        <v>0</v>
      </c>
      <c r="BC2250" s="51" t="n">
        <v>0</v>
      </c>
      <c r="BD2250" s="51" t="n">
        <v>0</v>
      </c>
      <c r="BE2250" s="51" t="n">
        <v>0</v>
      </c>
      <c r="BF2250" s="51" t="n">
        <v>0</v>
      </c>
    </row>
    <row r="2251">
      <c r="A2251">
        <f>HYPERLINK("https://www.walmart.com/ip/172482796", "172482796")</f>
        <v/>
      </c>
      <c r="B2251" t="inlineStr">
        <is>
          <t>KritterWorld® Soft-sided Pet Carrier-pet Carriers Airline Approved with Foldable and Washable</t>
        </is>
      </c>
      <c r="C2251" t="inlineStr">
        <is>
          <t>KWpetbag04GY</t>
        </is>
      </c>
      <c r="D2251" t="inlineStr">
        <is>
          <t>Pet Carriers</t>
        </is>
      </c>
      <c r="E2251" t="inlineStr">
        <is>
          <t>KritterWorld</t>
        </is>
      </c>
      <c r="G2251" s="48" t="n">
        <v>0</v>
      </c>
      <c r="H2251" s="48" t="n">
        <v>0</v>
      </c>
      <c r="I2251" s="48" t="n">
        <v>0</v>
      </c>
      <c r="J2251" s="48" t="n">
        <v>0</v>
      </c>
      <c r="K2251" s="49" t="n">
        <v>0</v>
      </c>
      <c r="L2251" s="49" t="n">
        <v>0</v>
      </c>
      <c r="M2251" s="49" t="n">
        <v>0</v>
      </c>
      <c r="N2251" s="49" t="n">
        <v>0</v>
      </c>
      <c r="O2251" s="49" t="n">
        <v>0</v>
      </c>
      <c r="P2251" s="49" t="n">
        <v>0</v>
      </c>
      <c r="Q2251" s="49" t="n">
        <v>0</v>
      </c>
      <c r="R2251" s="49" t="n">
        <v>0</v>
      </c>
      <c r="S2251" s="50" t="n">
        <v>0</v>
      </c>
      <c r="T2251" s="50" t="n">
        <v>0</v>
      </c>
      <c r="U2251" s="50" t="n">
        <v>0</v>
      </c>
      <c r="V2251" s="50" t="n">
        <v>0</v>
      </c>
      <c r="W2251" s="51" t="n">
        <v>0</v>
      </c>
      <c r="X2251" s="51" t="n">
        <v>0</v>
      </c>
      <c r="Y2251" s="51" t="n">
        <v>0</v>
      </c>
      <c r="Z2251" s="51" t="n">
        <v>0</v>
      </c>
      <c r="AA2251" s="52" t="n">
        <v>0</v>
      </c>
      <c r="AB2251" s="52" t="n">
        <v>0</v>
      </c>
      <c r="AC2251" s="52" t="n">
        <v>0</v>
      </c>
      <c r="AD2251" s="52" t="n">
        <v>0</v>
      </c>
      <c r="AE2251" s="52" t="n">
        <v>0</v>
      </c>
      <c r="AF2251" s="52" t="n">
        <v>0</v>
      </c>
      <c r="AG2251" s="52" t="n">
        <v>0</v>
      </c>
      <c r="AH2251" s="52" t="n">
        <v>0</v>
      </c>
      <c r="AI2251" s="52" t="n">
        <v>0</v>
      </c>
      <c r="AJ2251" s="52" t="n">
        <v>0</v>
      </c>
      <c r="AK2251" s="52" t="n">
        <v>0</v>
      </c>
      <c r="AL2251" s="52" t="n">
        <v>0</v>
      </c>
      <c r="AM2251" s="53" t="n">
        <v>0</v>
      </c>
      <c r="AN2251" s="53" t="n">
        <v>0</v>
      </c>
      <c r="AO2251" s="53" t="n">
        <v>0</v>
      </c>
      <c r="AP2251" s="53" t="n">
        <v>0</v>
      </c>
      <c r="AQ2251" s="52" t="n">
        <v>0</v>
      </c>
      <c r="AR2251" s="52" t="n">
        <v>0</v>
      </c>
      <c r="AS2251" s="52" t="n">
        <v>0</v>
      </c>
      <c r="AT2251" s="52" t="n">
        <v>0</v>
      </c>
      <c r="AU2251" s="53" t="n">
        <v>0</v>
      </c>
      <c r="AV2251" s="53" t="n">
        <v>0</v>
      </c>
      <c r="AW2251" s="53" t="n">
        <v>0</v>
      </c>
      <c r="AX2251" s="53" t="n">
        <v>0</v>
      </c>
      <c r="AY2251" s="52" t="n">
        <v>0</v>
      </c>
      <c r="AZ2251" s="52" t="n">
        <v>0</v>
      </c>
      <c r="BA2251" s="52" t="n">
        <v>0</v>
      </c>
      <c r="BB2251" s="52" t="n">
        <v>0</v>
      </c>
      <c r="BC2251" s="51" t="n">
        <v>0</v>
      </c>
      <c r="BD2251" s="51" t="n">
        <v>0</v>
      </c>
      <c r="BE2251" s="51" t="n">
        <v>0</v>
      </c>
      <c r="BF2251" s="51" t="n">
        <v>0</v>
      </c>
    </row>
    <row r="2252">
      <c r="A2252">
        <f>HYPERLINK("https://www.walmart.com/ip/1727573612", "1727573612")</f>
        <v/>
      </c>
      <c r="B2252" t="inlineStr">
        <is>
          <t>Catalonia Fleece Wearable Blanket with Sleeves and Pocket, Micro Plush Warm Sleeved TV Throw Sherpa Blanket Robe for Women and Men 72”X55”, Dog Gray</t>
        </is>
      </c>
      <c r="C2252" t="inlineStr">
        <is>
          <t>1CTSN110GYDOG</t>
        </is>
      </c>
      <c r="D2252" t="inlineStr">
        <is>
          <t>Throws</t>
        </is>
      </c>
      <c r="E2252" t="inlineStr">
        <is>
          <t>Catalonia</t>
        </is>
      </c>
      <c r="F2252" t="inlineStr">
        <is>
          <t>Coupon_Discount,Batch 1 - TR</t>
        </is>
      </c>
      <c r="G2252" s="48" t="n">
        <v>0</v>
      </c>
      <c r="H2252" s="48" t="n">
        <v>0</v>
      </c>
      <c r="I2252" s="48" t="n">
        <v>0</v>
      </c>
      <c r="J2252" s="48" t="n">
        <v>0</v>
      </c>
      <c r="K2252" s="49" t="n">
        <v>0</v>
      </c>
      <c r="L2252" s="49" t="n">
        <v>0</v>
      </c>
      <c r="M2252" s="49" t="n">
        <v>0</v>
      </c>
      <c r="N2252" s="49" t="n">
        <v>0</v>
      </c>
      <c r="O2252" s="49" t="n">
        <v>0</v>
      </c>
      <c r="P2252" s="49" t="n">
        <v>0</v>
      </c>
      <c r="Q2252" s="49" t="n">
        <v>0</v>
      </c>
      <c r="R2252" s="49" t="n">
        <v>0</v>
      </c>
      <c r="S2252" s="50" t="n">
        <v>0</v>
      </c>
      <c r="T2252" s="50" t="n">
        <v>0</v>
      </c>
      <c r="U2252" s="50" t="n">
        <v>0</v>
      </c>
      <c r="V2252" s="50" t="n">
        <v>0</v>
      </c>
      <c r="W2252" s="51" t="n">
        <v>0</v>
      </c>
      <c r="X2252" s="51" t="n">
        <v>0</v>
      </c>
      <c r="Y2252" s="51" t="n">
        <v>0</v>
      </c>
      <c r="Z2252" s="51" t="n">
        <v>0</v>
      </c>
      <c r="AA2252" s="52" t="n">
        <v>0</v>
      </c>
      <c r="AB2252" s="52" t="n">
        <v>0</v>
      </c>
      <c r="AC2252" s="52" t="n">
        <v>0</v>
      </c>
      <c r="AD2252" s="52" t="n">
        <v>0</v>
      </c>
      <c r="AE2252" s="52" t="n">
        <v>0</v>
      </c>
      <c r="AF2252" s="52" t="n">
        <v>0</v>
      </c>
      <c r="AG2252" s="52" t="n">
        <v>0</v>
      </c>
      <c r="AH2252" s="52" t="n">
        <v>0</v>
      </c>
      <c r="AI2252" s="52" t="n">
        <v>0</v>
      </c>
      <c r="AJ2252" s="52" t="n">
        <v>0</v>
      </c>
      <c r="AK2252" s="52" t="n">
        <v>0</v>
      </c>
      <c r="AL2252" s="52" t="n">
        <v>0</v>
      </c>
      <c r="AM2252" s="53" t="n">
        <v>0</v>
      </c>
      <c r="AN2252" s="53" t="n">
        <v>0</v>
      </c>
      <c r="AO2252" s="53" t="n">
        <v>0</v>
      </c>
      <c r="AP2252" s="53" t="n">
        <v>0</v>
      </c>
      <c r="AQ2252" s="52" t="n">
        <v>0</v>
      </c>
      <c r="AR2252" s="52" t="n">
        <v>0</v>
      </c>
      <c r="AS2252" s="52" t="n">
        <v>0</v>
      </c>
      <c r="AT2252" s="52" t="n">
        <v>0</v>
      </c>
      <c r="AU2252" s="53" t="n">
        <v>0</v>
      </c>
      <c r="AV2252" s="53" t="n">
        <v>0</v>
      </c>
      <c r="AW2252" s="53" t="n">
        <v>0</v>
      </c>
      <c r="AX2252" s="53" t="n">
        <v>0</v>
      </c>
      <c r="AY2252" s="52" t="n">
        <v>0</v>
      </c>
      <c r="AZ2252" s="52" t="n">
        <v>0</v>
      </c>
      <c r="BA2252" s="52" t="n">
        <v>0</v>
      </c>
      <c r="BB2252" s="52" t="n">
        <v>0</v>
      </c>
      <c r="BC2252" s="51" t="n">
        <v>0</v>
      </c>
      <c r="BD2252" s="51" t="n">
        <v>0</v>
      </c>
      <c r="BE2252" s="51" t="n">
        <v>0</v>
      </c>
      <c r="BF2252" s="51" t="n">
        <v>0</v>
      </c>
    </row>
    <row r="2253">
      <c r="A2253">
        <f>HYPERLINK("https://www.walmart.com/ip/181370792", "181370792")</f>
        <v/>
      </c>
      <c r="B2253" t="inlineStr">
        <is>
          <t>KC Caps Unisex Youth Washed Cotton Fun Denim Bucket Hat for Women and Men, Blue</t>
        </is>
      </c>
      <c r="C2253" t="inlineStr">
        <is>
          <t>KC9180BL-Y</t>
        </is>
      </c>
      <c r="D2253" t="inlineStr">
        <is>
          <t>Hats</t>
        </is>
      </c>
      <c r="E2253" t="inlineStr">
        <is>
          <t>KC Caps</t>
        </is>
      </c>
      <c r="F2253" t="inlineStr">
        <is>
          <t>Q2-Target,Batch 1 - TR</t>
        </is>
      </c>
      <c r="G2253" s="48" t="n">
        <v>0</v>
      </c>
      <c r="H2253" s="48" t="n">
        <v>0</v>
      </c>
      <c r="I2253" s="48" t="n">
        <v>0</v>
      </c>
      <c r="J2253" s="48" t="n">
        <v>0</v>
      </c>
      <c r="K2253" s="49" t="n">
        <v>0</v>
      </c>
      <c r="L2253" s="49" t="n">
        <v>0</v>
      </c>
      <c r="M2253" s="49" t="n">
        <v>0</v>
      </c>
      <c r="N2253" s="49" t="n">
        <v>0</v>
      </c>
      <c r="O2253" s="49" t="n">
        <v>0</v>
      </c>
      <c r="P2253" s="49" t="n">
        <v>0</v>
      </c>
      <c r="Q2253" s="49" t="n">
        <v>0</v>
      </c>
      <c r="R2253" s="49" t="n">
        <v>0</v>
      </c>
      <c r="S2253" s="50" t="n">
        <v>0</v>
      </c>
      <c r="T2253" s="50" t="n">
        <v>0</v>
      </c>
      <c r="U2253" s="50" t="n">
        <v>0</v>
      </c>
      <c r="V2253" s="50" t="n">
        <v>0</v>
      </c>
      <c r="W2253" s="51" t="n">
        <v>0</v>
      </c>
      <c r="X2253" s="51" t="n">
        <v>0</v>
      </c>
      <c r="Y2253" s="51" t="n">
        <v>0</v>
      </c>
      <c r="Z2253" s="51" t="n">
        <v>0</v>
      </c>
      <c r="AA2253" s="52" t="n">
        <v>0</v>
      </c>
      <c r="AB2253" s="52" t="n">
        <v>0</v>
      </c>
      <c r="AC2253" s="52" t="n">
        <v>0</v>
      </c>
      <c r="AD2253" s="52" t="n">
        <v>0</v>
      </c>
      <c r="AE2253" s="52" t="n">
        <v>0</v>
      </c>
      <c r="AF2253" s="52" t="n">
        <v>0</v>
      </c>
      <c r="AG2253" s="52" t="n">
        <v>0</v>
      </c>
      <c r="AH2253" s="52" t="n">
        <v>0</v>
      </c>
      <c r="AI2253" s="52" t="n">
        <v>0</v>
      </c>
      <c r="AJ2253" s="52" t="n">
        <v>0</v>
      </c>
      <c r="AK2253" s="52" t="n">
        <v>0</v>
      </c>
      <c r="AL2253" s="52" t="n">
        <v>0</v>
      </c>
      <c r="AM2253" s="53" t="n">
        <v>0</v>
      </c>
      <c r="AN2253" s="53" t="n">
        <v>0</v>
      </c>
      <c r="AO2253" s="53" t="n">
        <v>0</v>
      </c>
      <c r="AP2253" s="53" t="n">
        <v>0</v>
      </c>
      <c r="AQ2253" s="52" t="n">
        <v>0</v>
      </c>
      <c r="AR2253" s="52" t="n">
        <v>0</v>
      </c>
      <c r="AS2253" s="52" t="n">
        <v>0</v>
      </c>
      <c r="AT2253" s="52" t="n">
        <v>0</v>
      </c>
      <c r="AU2253" s="53" t="n">
        <v>0</v>
      </c>
      <c r="AV2253" s="53" t="n">
        <v>0</v>
      </c>
      <c r="AW2253" s="53" t="n">
        <v>0</v>
      </c>
      <c r="AX2253" s="53" t="n">
        <v>0</v>
      </c>
      <c r="AY2253" s="52" t="n">
        <v>0</v>
      </c>
      <c r="AZ2253" s="52" t="n">
        <v>0</v>
      </c>
      <c r="BA2253" s="52" t="n">
        <v>0</v>
      </c>
      <c r="BB2253" s="52" t="n">
        <v>0</v>
      </c>
      <c r="BC2253" s="51" t="n">
        <v>0</v>
      </c>
      <c r="BD2253" s="51" t="n">
        <v>0</v>
      </c>
      <c r="BE2253" s="51" t="n">
        <v>0</v>
      </c>
      <c r="BF2253" s="51" t="n">
        <v>0</v>
      </c>
    </row>
    <row r="2254">
      <c r="A2254">
        <f>HYPERLINK("https://www.walmart.com/ip/177853806", "177853806")</f>
        <v/>
      </c>
      <c r="B2254" t="inlineStr">
        <is>
          <t>Napa Super Soft Cozy Micro Plush Travel Air Conditioning TV Couch Throw Blanket 50"x 60", Brown</t>
        </is>
      </c>
      <c r="C2254" t="inlineStr">
        <is>
          <t>K2000-Brown</t>
        </is>
      </c>
      <c r="D2254" t="inlineStr">
        <is>
          <t>Throws</t>
        </is>
      </c>
      <c r="E2254" t="inlineStr">
        <is>
          <t>NAPA</t>
        </is>
      </c>
      <c r="F2254" t="inlineStr">
        <is>
          <t>Batch 1 - TR</t>
        </is>
      </c>
      <c r="G2254" s="48" t="n">
        <v>0</v>
      </c>
      <c r="H2254" s="48" t="n">
        <v>0</v>
      </c>
      <c r="I2254" s="48" t="n">
        <v>0</v>
      </c>
      <c r="J2254" s="48" t="n">
        <v>0</v>
      </c>
      <c r="K2254" s="49" t="n">
        <v>0</v>
      </c>
      <c r="L2254" s="49" t="n">
        <v>0</v>
      </c>
      <c r="M2254" s="49" t="n">
        <v>0</v>
      </c>
      <c r="N2254" s="49" t="n">
        <v>0</v>
      </c>
      <c r="O2254" s="49" t="n">
        <v>0</v>
      </c>
      <c r="P2254" s="49" t="n">
        <v>0</v>
      </c>
      <c r="Q2254" s="49" t="n">
        <v>0</v>
      </c>
      <c r="R2254" s="49" t="n">
        <v>0</v>
      </c>
      <c r="S2254" s="50" t="n">
        <v>0</v>
      </c>
      <c r="T2254" s="50" t="n">
        <v>0</v>
      </c>
      <c r="U2254" s="50" t="n">
        <v>0</v>
      </c>
      <c r="V2254" s="50" t="n">
        <v>0</v>
      </c>
      <c r="W2254" s="51" t="n">
        <v>0</v>
      </c>
      <c r="X2254" s="51" t="n">
        <v>0</v>
      </c>
      <c r="Y2254" s="51" t="n">
        <v>0</v>
      </c>
      <c r="Z2254" s="51" t="n">
        <v>0</v>
      </c>
      <c r="AA2254" s="52" t="n">
        <v>0</v>
      </c>
      <c r="AB2254" s="52" t="n">
        <v>0</v>
      </c>
      <c r="AC2254" s="52" t="n">
        <v>0</v>
      </c>
      <c r="AD2254" s="52" t="n">
        <v>0</v>
      </c>
      <c r="AE2254" s="52" t="n">
        <v>0</v>
      </c>
      <c r="AF2254" s="52" t="n">
        <v>0</v>
      </c>
      <c r="AG2254" s="52" t="n">
        <v>0</v>
      </c>
      <c r="AH2254" s="52" t="n">
        <v>0</v>
      </c>
      <c r="AI2254" s="52" t="n">
        <v>0</v>
      </c>
      <c r="AJ2254" s="52" t="n">
        <v>0</v>
      </c>
      <c r="AK2254" s="52" t="n">
        <v>0</v>
      </c>
      <c r="AL2254" s="52" t="n">
        <v>0</v>
      </c>
      <c r="AM2254" s="53" t="n">
        <v>0</v>
      </c>
      <c r="AN2254" s="53" t="n">
        <v>0</v>
      </c>
      <c r="AO2254" s="53" t="n">
        <v>0</v>
      </c>
      <c r="AP2254" s="53" t="n">
        <v>0</v>
      </c>
      <c r="AQ2254" s="52" t="n">
        <v>0</v>
      </c>
      <c r="AR2254" s="52" t="n">
        <v>0</v>
      </c>
      <c r="AS2254" s="52" t="n">
        <v>0</v>
      </c>
      <c r="AT2254" s="52" t="n">
        <v>0</v>
      </c>
      <c r="AU2254" s="53" t="n">
        <v>0</v>
      </c>
      <c r="AV2254" s="53" t="n">
        <v>0</v>
      </c>
      <c r="AW2254" s="53" t="n">
        <v>0</v>
      </c>
      <c r="AX2254" s="53" t="n">
        <v>0</v>
      </c>
      <c r="AY2254" s="52" t="n">
        <v>0</v>
      </c>
      <c r="AZ2254" s="52" t="n">
        <v>0</v>
      </c>
      <c r="BA2254" s="52" t="n">
        <v>0</v>
      </c>
      <c r="BB2254" s="52" t="n">
        <v>0</v>
      </c>
      <c r="BC2254" s="51" t="n">
        <v>0</v>
      </c>
      <c r="BD2254" s="51" t="n">
        <v>0</v>
      </c>
      <c r="BE2254" s="51" t="n">
        <v>0</v>
      </c>
      <c r="BF2254" s="51" t="n">
        <v>0</v>
      </c>
    </row>
    <row r="2255">
      <c r="A2255">
        <f>HYPERLINK("https://www.walmart.com/ip/178689917", "178689917")</f>
        <v/>
      </c>
      <c r="B2255" t="inlineStr">
        <is>
          <t>Jenniwears Women's Sexy Lingerie Lace Mesh 2-Piece Bowknot Halter Chemise with G-String</t>
        </is>
      </c>
      <c r="C2255" t="inlineStr">
        <is>
          <t>JWND03HP</t>
        </is>
      </c>
      <c r="D2255" t="inlineStr">
        <is>
          <t>Lingerie Sets</t>
        </is>
      </c>
      <c r="E2255" t="inlineStr">
        <is>
          <t>JenniWears</t>
        </is>
      </c>
      <c r="F2255" t="inlineStr">
        <is>
          <t>Optimized,Valentine</t>
        </is>
      </c>
      <c r="G2255" s="48" t="n">
        <v>0</v>
      </c>
      <c r="H2255" s="48" t="n">
        <v>0</v>
      </c>
      <c r="I2255" s="48" t="n">
        <v>0</v>
      </c>
      <c r="J2255" s="48" t="n">
        <v>0</v>
      </c>
      <c r="K2255" s="49" t="n">
        <v>0</v>
      </c>
      <c r="L2255" s="49" t="n">
        <v>0</v>
      </c>
      <c r="M2255" s="49" t="n">
        <v>0</v>
      </c>
      <c r="N2255" s="49" t="n">
        <v>0</v>
      </c>
      <c r="O2255" s="49" t="n">
        <v>0</v>
      </c>
      <c r="P2255" s="49" t="n">
        <v>0</v>
      </c>
      <c r="Q2255" s="49" t="n">
        <v>0</v>
      </c>
      <c r="R2255" s="49" t="n">
        <v>0</v>
      </c>
      <c r="S2255" s="50" t="n">
        <v>0</v>
      </c>
      <c r="T2255" s="50" t="n">
        <v>0</v>
      </c>
      <c r="U2255" s="50" t="n">
        <v>0</v>
      </c>
      <c r="V2255" s="50" t="n">
        <v>0</v>
      </c>
      <c r="W2255" s="51" t="n">
        <v>0</v>
      </c>
      <c r="X2255" s="51" t="n">
        <v>0</v>
      </c>
      <c r="Y2255" s="51" t="n">
        <v>0</v>
      </c>
      <c r="Z2255" s="51" t="n">
        <v>0</v>
      </c>
      <c r="AA2255" s="52" t="n">
        <v>0</v>
      </c>
      <c r="AB2255" s="52" t="n">
        <v>0</v>
      </c>
      <c r="AC2255" s="52" t="n">
        <v>0</v>
      </c>
      <c r="AD2255" s="52" t="n">
        <v>0</v>
      </c>
      <c r="AE2255" s="52" t="n">
        <v>0</v>
      </c>
      <c r="AF2255" s="52" t="n">
        <v>0</v>
      </c>
      <c r="AG2255" s="52" t="n">
        <v>0</v>
      </c>
      <c r="AH2255" s="52" t="n">
        <v>0</v>
      </c>
      <c r="AI2255" s="52" t="n">
        <v>0</v>
      </c>
      <c r="AJ2255" s="52" t="n">
        <v>0</v>
      </c>
      <c r="AK2255" s="52" t="n">
        <v>0</v>
      </c>
      <c r="AL2255" s="52" t="n">
        <v>0</v>
      </c>
      <c r="AM2255" s="53" t="n">
        <v>0</v>
      </c>
      <c r="AN2255" s="53" t="n">
        <v>0</v>
      </c>
      <c r="AO2255" s="53" t="n">
        <v>0</v>
      </c>
      <c r="AP2255" s="53" t="n">
        <v>0</v>
      </c>
      <c r="AQ2255" s="52" t="n">
        <v>0</v>
      </c>
      <c r="AR2255" s="52" t="n">
        <v>0</v>
      </c>
      <c r="AS2255" s="52" t="n">
        <v>0</v>
      </c>
      <c r="AT2255" s="52" t="n">
        <v>0</v>
      </c>
      <c r="AU2255" s="53" t="n">
        <v>0</v>
      </c>
      <c r="AV2255" s="53" t="n">
        <v>0</v>
      </c>
      <c r="AW2255" s="53" t="n">
        <v>0</v>
      </c>
      <c r="AX2255" s="53" t="n">
        <v>0</v>
      </c>
      <c r="AY2255" s="52" t="n">
        <v>0</v>
      </c>
      <c r="AZ2255" s="52" t="n">
        <v>0</v>
      </c>
      <c r="BA2255" s="52" t="n">
        <v>0</v>
      </c>
      <c r="BB2255" s="52" t="n">
        <v>0</v>
      </c>
      <c r="BC2255" s="51" t="n">
        <v>0</v>
      </c>
      <c r="BD2255" s="51" t="n">
        <v>0</v>
      </c>
      <c r="BE2255" s="51" t="n">
        <v>0</v>
      </c>
      <c r="BF2255" s="51" t="n">
        <v>0</v>
      </c>
    </row>
    <row r="2256">
      <c r="A2256">
        <f>HYPERLINK("https://www.walmart.com/ip/178820492", "178820492")</f>
        <v/>
      </c>
      <c r="B2256" t="inlineStr">
        <is>
          <t>undefined</t>
        </is>
      </c>
      <c r="C2256" t="inlineStr">
        <is>
          <t>JWBLSPH2012</t>
        </is>
      </c>
      <c r="G2256" s="48" t="n">
        <v>0</v>
      </c>
      <c r="H2256" s="48" t="n">
        <v>0</v>
      </c>
      <c r="I2256" s="48" t="n">
        <v>0</v>
      </c>
      <c r="J2256" s="48" t="n">
        <v>0</v>
      </c>
      <c r="K2256" s="49" t="n">
        <v>0</v>
      </c>
      <c r="L2256" s="49" t="n">
        <v>0</v>
      </c>
      <c r="M2256" s="49" t="n">
        <v>0</v>
      </c>
      <c r="N2256" s="49" t="n">
        <v>0</v>
      </c>
      <c r="O2256" s="49" t="n">
        <v>0</v>
      </c>
      <c r="P2256" s="49" t="n">
        <v>0</v>
      </c>
      <c r="Q2256" s="49" t="n">
        <v>0</v>
      </c>
      <c r="R2256" s="49" t="n">
        <v>0</v>
      </c>
      <c r="S2256" s="50" t="n">
        <v>0</v>
      </c>
      <c r="T2256" s="50" t="n">
        <v>0</v>
      </c>
      <c r="U2256" s="50" t="n">
        <v>0</v>
      </c>
      <c r="V2256" s="50" t="n">
        <v>0</v>
      </c>
      <c r="W2256" s="51" t="n">
        <v>0</v>
      </c>
      <c r="X2256" s="51" t="n">
        <v>0</v>
      </c>
      <c r="Y2256" s="51" t="n">
        <v>0</v>
      </c>
      <c r="Z2256" s="51" t="n">
        <v>0</v>
      </c>
      <c r="AA2256" s="52" t="n">
        <v>0</v>
      </c>
      <c r="AB2256" s="52" t="n">
        <v>0</v>
      </c>
      <c r="AC2256" s="52" t="n">
        <v>0</v>
      </c>
      <c r="AD2256" s="52" t="n">
        <v>0</v>
      </c>
      <c r="AE2256" s="52" t="n">
        <v>0</v>
      </c>
      <c r="AF2256" s="52" t="n">
        <v>0</v>
      </c>
      <c r="AG2256" s="52" t="n">
        <v>0</v>
      </c>
      <c r="AH2256" s="52" t="n">
        <v>0</v>
      </c>
      <c r="AI2256" s="52" t="n">
        <v>0</v>
      </c>
      <c r="AJ2256" s="52" t="n">
        <v>0</v>
      </c>
      <c r="AK2256" s="52" t="n">
        <v>0</v>
      </c>
      <c r="AL2256" s="52" t="n">
        <v>0</v>
      </c>
      <c r="AM2256" s="53" t="n">
        <v>0</v>
      </c>
      <c r="AN2256" s="53" t="n">
        <v>0</v>
      </c>
      <c r="AO2256" s="53" t="n">
        <v>0</v>
      </c>
      <c r="AP2256" s="53" t="n">
        <v>0</v>
      </c>
      <c r="AQ2256" s="52" t="n">
        <v>0</v>
      </c>
      <c r="AR2256" s="52" t="n">
        <v>0</v>
      </c>
      <c r="AS2256" s="52" t="n">
        <v>0</v>
      </c>
      <c r="AT2256" s="52" t="n">
        <v>0</v>
      </c>
      <c r="AU2256" s="53" t="n">
        <v>0</v>
      </c>
      <c r="AV2256" s="53" t="n">
        <v>0</v>
      </c>
      <c r="AW2256" s="53" t="n">
        <v>0</v>
      </c>
      <c r="AX2256" s="53" t="n">
        <v>0</v>
      </c>
      <c r="AY2256" s="52" t="n">
        <v>0</v>
      </c>
      <c r="AZ2256" s="52" t="n">
        <v>0</v>
      </c>
      <c r="BA2256" s="52" t="n">
        <v>0</v>
      </c>
      <c r="BB2256" s="52" t="n">
        <v>0</v>
      </c>
      <c r="BC2256" s="51" t="n">
        <v>0</v>
      </c>
      <c r="BD2256" s="51" t="n">
        <v>0</v>
      </c>
      <c r="BE2256" s="51" t="n">
        <v>0</v>
      </c>
      <c r="BF2256" s="51" t="n">
        <v>0</v>
      </c>
    </row>
    <row r="2257">
      <c r="A2257">
        <f>HYPERLINK("https://www.walmart.com/ip/1788570066", "1788570066")</f>
        <v/>
      </c>
      <c r="B2257" t="inlineStr">
        <is>
          <t>Every Day is Christmas Glass Blown Ornaments Cute Hand Made Figurines Tree Decoration, Alpaca</t>
        </is>
      </c>
      <c r="C2257" t="inlineStr">
        <is>
          <t>EDC-FIGURINE-ALPACA</t>
        </is>
      </c>
      <c r="D2257" t="inlineStr">
        <is>
          <t>Ornaments</t>
        </is>
      </c>
      <c r="E2257" t="inlineStr">
        <is>
          <t>Every Day is Christmas</t>
        </is>
      </c>
      <c r="G2257" s="48" t="n">
        <v>0</v>
      </c>
      <c r="H2257" s="48" t="n">
        <v>0</v>
      </c>
      <c r="I2257" s="48" t="n">
        <v>0</v>
      </c>
      <c r="J2257" s="48" t="n">
        <v>0</v>
      </c>
      <c r="K2257" s="49" t="n">
        <v>0</v>
      </c>
      <c r="L2257" s="49" t="n">
        <v>0</v>
      </c>
      <c r="M2257" s="49" t="n">
        <v>0</v>
      </c>
      <c r="N2257" s="49" t="n">
        <v>0</v>
      </c>
      <c r="O2257" s="49" t="n">
        <v>0</v>
      </c>
      <c r="P2257" s="49" t="n">
        <v>0</v>
      </c>
      <c r="Q2257" s="49" t="n">
        <v>0</v>
      </c>
      <c r="R2257" s="49" t="n">
        <v>0</v>
      </c>
      <c r="S2257" s="50" t="n">
        <v>0</v>
      </c>
      <c r="T2257" s="50" t="n">
        <v>0</v>
      </c>
      <c r="U2257" s="50" t="n">
        <v>0</v>
      </c>
      <c r="V2257" s="50" t="n">
        <v>0</v>
      </c>
      <c r="W2257" s="51" t="n">
        <v>0</v>
      </c>
      <c r="X2257" s="51" t="n">
        <v>0</v>
      </c>
      <c r="Y2257" s="51" t="n">
        <v>0</v>
      </c>
      <c r="Z2257" s="51" t="n">
        <v>0</v>
      </c>
      <c r="AA2257" s="52" t="n">
        <v>0</v>
      </c>
      <c r="AB2257" s="52" t="n">
        <v>0</v>
      </c>
      <c r="AC2257" s="52" t="n">
        <v>0</v>
      </c>
      <c r="AD2257" s="52" t="n">
        <v>0</v>
      </c>
      <c r="AE2257" s="52" t="n">
        <v>0</v>
      </c>
      <c r="AF2257" s="52" t="n">
        <v>0</v>
      </c>
      <c r="AG2257" s="52" t="n">
        <v>0</v>
      </c>
      <c r="AH2257" s="52" t="n">
        <v>0</v>
      </c>
      <c r="AI2257" s="52" t="n">
        <v>0</v>
      </c>
      <c r="AJ2257" s="52" t="n">
        <v>0</v>
      </c>
      <c r="AK2257" s="52" t="n">
        <v>0</v>
      </c>
      <c r="AL2257" s="52" t="n">
        <v>0</v>
      </c>
      <c r="AM2257" s="53" t="n">
        <v>0</v>
      </c>
      <c r="AN2257" s="53" t="n">
        <v>0</v>
      </c>
      <c r="AO2257" s="53" t="n">
        <v>0</v>
      </c>
      <c r="AP2257" s="53" t="n">
        <v>0</v>
      </c>
      <c r="AQ2257" s="52" t="n">
        <v>0</v>
      </c>
      <c r="AR2257" s="52" t="n">
        <v>0</v>
      </c>
      <c r="AS2257" s="52" t="n">
        <v>0</v>
      </c>
      <c r="AT2257" s="52" t="n">
        <v>0</v>
      </c>
      <c r="AU2257" s="53" t="n">
        <v>0</v>
      </c>
      <c r="AV2257" s="53" t="n">
        <v>0</v>
      </c>
      <c r="AW2257" s="53" t="n">
        <v>0</v>
      </c>
      <c r="AX2257" s="53" t="n">
        <v>0</v>
      </c>
      <c r="AY2257" s="52" t="n">
        <v>0</v>
      </c>
      <c r="AZ2257" s="52" t="n">
        <v>0</v>
      </c>
      <c r="BA2257" s="52" t="n">
        <v>0</v>
      </c>
      <c r="BB2257" s="52" t="n">
        <v>0</v>
      </c>
      <c r="BC2257" s="51" t="n">
        <v>0</v>
      </c>
      <c r="BD2257" s="51" t="n">
        <v>0</v>
      </c>
      <c r="BE2257" s="51" t="n">
        <v>0</v>
      </c>
      <c r="BF2257" s="51" t="n">
        <v>0</v>
      </c>
    </row>
    <row r="2258">
      <c r="A2258">
        <f>HYPERLINK("https://www.walmart.com/ip/179083790", "179083790")</f>
        <v/>
      </c>
      <c r="B2258" t="inlineStr">
        <is>
          <t>Jenniwears Women's Sexy Lingerie Lace Mesh 2-Piece Bowknot Halter Chemise with G-String</t>
        </is>
      </c>
      <c r="C2258" t="inlineStr">
        <is>
          <t>JWND03BL</t>
        </is>
      </c>
      <c r="D2258" t="inlineStr">
        <is>
          <t>Lingerie Sets</t>
        </is>
      </c>
      <c r="E2258" t="inlineStr">
        <is>
          <t>JenniWears</t>
        </is>
      </c>
      <c r="F2258" t="inlineStr">
        <is>
          <t>Optimized,Valentine</t>
        </is>
      </c>
      <c r="G2258" s="48" t="n">
        <v>0</v>
      </c>
      <c r="H2258" s="48" t="n">
        <v>0</v>
      </c>
      <c r="I2258" s="48" t="n">
        <v>0</v>
      </c>
      <c r="J2258" s="48" t="n">
        <v>0</v>
      </c>
      <c r="K2258" s="49" t="n">
        <v>0</v>
      </c>
      <c r="L2258" s="49" t="n">
        <v>0</v>
      </c>
      <c r="M2258" s="49" t="n">
        <v>0</v>
      </c>
      <c r="N2258" s="49" t="n">
        <v>0</v>
      </c>
      <c r="O2258" s="49" t="n">
        <v>0</v>
      </c>
      <c r="P2258" s="49" t="n">
        <v>0</v>
      </c>
      <c r="Q2258" s="49" t="n">
        <v>0</v>
      </c>
      <c r="R2258" s="49" t="n">
        <v>0</v>
      </c>
      <c r="S2258" s="50" t="n">
        <v>0</v>
      </c>
      <c r="T2258" s="50" t="n">
        <v>0</v>
      </c>
      <c r="U2258" s="50" t="n">
        <v>0</v>
      </c>
      <c r="V2258" s="50" t="n">
        <v>0</v>
      </c>
      <c r="W2258" s="51" t="n">
        <v>0</v>
      </c>
      <c r="X2258" s="51" t="n">
        <v>0</v>
      </c>
      <c r="Y2258" s="51" t="n">
        <v>0</v>
      </c>
      <c r="Z2258" s="51" t="n">
        <v>0</v>
      </c>
      <c r="AA2258" s="52" t="n">
        <v>0</v>
      </c>
      <c r="AB2258" s="52" t="n">
        <v>0</v>
      </c>
      <c r="AC2258" s="52" t="n">
        <v>0</v>
      </c>
      <c r="AD2258" s="52" t="n">
        <v>0</v>
      </c>
      <c r="AE2258" s="52" t="n">
        <v>0</v>
      </c>
      <c r="AF2258" s="52" t="n">
        <v>0</v>
      </c>
      <c r="AG2258" s="52" t="n">
        <v>0</v>
      </c>
      <c r="AH2258" s="52" t="n">
        <v>0</v>
      </c>
      <c r="AI2258" s="52" t="n">
        <v>0</v>
      </c>
      <c r="AJ2258" s="52" t="n">
        <v>0</v>
      </c>
      <c r="AK2258" s="52" t="n">
        <v>0</v>
      </c>
      <c r="AL2258" s="52" t="n">
        <v>0</v>
      </c>
      <c r="AM2258" s="53" t="n">
        <v>0</v>
      </c>
      <c r="AN2258" s="53" t="n">
        <v>0</v>
      </c>
      <c r="AO2258" s="53" t="n">
        <v>0</v>
      </c>
      <c r="AP2258" s="53" t="n">
        <v>0</v>
      </c>
      <c r="AQ2258" s="52" t="n">
        <v>0</v>
      </c>
      <c r="AR2258" s="52" t="n">
        <v>0</v>
      </c>
      <c r="AS2258" s="52" t="n">
        <v>0</v>
      </c>
      <c r="AT2258" s="52" t="n">
        <v>0</v>
      </c>
      <c r="AU2258" s="53" t="n">
        <v>0</v>
      </c>
      <c r="AV2258" s="53" t="n">
        <v>0</v>
      </c>
      <c r="AW2258" s="53" t="n">
        <v>0</v>
      </c>
      <c r="AX2258" s="53" t="n">
        <v>0</v>
      </c>
      <c r="AY2258" s="52" t="n">
        <v>0</v>
      </c>
      <c r="AZ2258" s="52" t="n">
        <v>0</v>
      </c>
      <c r="BA2258" s="52" t="n">
        <v>0</v>
      </c>
      <c r="BB2258" s="52" t="n">
        <v>0</v>
      </c>
      <c r="BC2258" s="51" t="n">
        <v>0</v>
      </c>
      <c r="BD2258" s="51" t="n">
        <v>0</v>
      </c>
      <c r="BE2258" s="51" t="n">
        <v>0</v>
      </c>
      <c r="BF2258" s="51" t="n">
        <v>0</v>
      </c>
    </row>
    <row r="2259">
      <c r="A2259">
        <f>HYPERLINK("https://www.walmart.com/ip/179253831", "179253831")</f>
        <v/>
      </c>
      <c r="B2259" t="inlineStr">
        <is>
          <t>KC Caps® Unstructured Low-profile Two-Tone Denim Garment Washed Baseball Cap</t>
        </is>
      </c>
      <c r="C2259" t="inlineStr">
        <is>
          <t>KC8080JEANGN</t>
        </is>
      </c>
      <c r="D2259" t="inlineStr">
        <is>
          <t>Hats</t>
        </is>
      </c>
      <c r="E2259" t="inlineStr">
        <is>
          <t>KC Caps</t>
        </is>
      </c>
      <c r="F2259" t="inlineStr">
        <is>
          <t>Optimized</t>
        </is>
      </c>
      <c r="G2259" s="48" t="n">
        <v>0</v>
      </c>
      <c r="H2259" s="48" t="n">
        <v>0</v>
      </c>
      <c r="I2259" s="48" t="n">
        <v>0</v>
      </c>
      <c r="J2259" s="48" t="n">
        <v>0</v>
      </c>
      <c r="K2259" s="49" t="n">
        <v>0</v>
      </c>
      <c r="L2259" s="49" t="n">
        <v>0</v>
      </c>
      <c r="M2259" s="49" t="n">
        <v>0</v>
      </c>
      <c r="N2259" s="49" t="n">
        <v>0</v>
      </c>
      <c r="O2259" s="49" t="n">
        <v>0</v>
      </c>
      <c r="P2259" s="49" t="n">
        <v>0</v>
      </c>
      <c r="Q2259" s="49" t="n">
        <v>0</v>
      </c>
      <c r="R2259" s="49" t="n">
        <v>0</v>
      </c>
      <c r="S2259" s="50" t="n">
        <v>0</v>
      </c>
      <c r="T2259" s="50" t="n">
        <v>0</v>
      </c>
      <c r="U2259" s="50" t="n">
        <v>0</v>
      </c>
      <c r="V2259" s="50" t="n">
        <v>0</v>
      </c>
      <c r="W2259" s="51" t="n">
        <v>0</v>
      </c>
      <c r="X2259" s="51" t="n">
        <v>0</v>
      </c>
      <c r="Y2259" s="51" t="n">
        <v>0</v>
      </c>
      <c r="Z2259" s="51" t="n">
        <v>0</v>
      </c>
      <c r="AA2259" s="52" t="n">
        <v>0</v>
      </c>
      <c r="AB2259" s="52" t="n">
        <v>0</v>
      </c>
      <c r="AC2259" s="52" t="n">
        <v>0</v>
      </c>
      <c r="AD2259" s="52" t="n">
        <v>0</v>
      </c>
      <c r="AE2259" s="52" t="n">
        <v>0</v>
      </c>
      <c r="AF2259" s="52" t="n">
        <v>0</v>
      </c>
      <c r="AG2259" s="52" t="n">
        <v>0</v>
      </c>
      <c r="AH2259" s="52" t="n">
        <v>0</v>
      </c>
      <c r="AI2259" s="52" t="n">
        <v>0</v>
      </c>
      <c r="AJ2259" s="52" t="n">
        <v>0</v>
      </c>
      <c r="AK2259" s="52" t="n">
        <v>0</v>
      </c>
      <c r="AL2259" s="52" t="n">
        <v>0</v>
      </c>
      <c r="AM2259" s="53" t="n">
        <v>0</v>
      </c>
      <c r="AN2259" s="53" t="n">
        <v>0</v>
      </c>
      <c r="AO2259" s="53" t="n">
        <v>0</v>
      </c>
      <c r="AP2259" s="53" t="n">
        <v>0</v>
      </c>
      <c r="AQ2259" s="52" t="n">
        <v>0</v>
      </c>
      <c r="AR2259" s="52" t="n">
        <v>0</v>
      </c>
      <c r="AS2259" s="52" t="n">
        <v>0</v>
      </c>
      <c r="AT2259" s="52" t="n">
        <v>0</v>
      </c>
      <c r="AU2259" s="53" t="n">
        <v>0</v>
      </c>
      <c r="AV2259" s="53" t="n">
        <v>0</v>
      </c>
      <c r="AW2259" s="53" t="n">
        <v>0</v>
      </c>
      <c r="AX2259" s="53" t="n">
        <v>0</v>
      </c>
      <c r="AY2259" s="52" t="n">
        <v>0</v>
      </c>
      <c r="AZ2259" s="52" t="n">
        <v>0</v>
      </c>
      <c r="BA2259" s="52" t="n">
        <v>0</v>
      </c>
      <c r="BB2259" s="52" t="n">
        <v>0</v>
      </c>
      <c r="BC2259" s="51" t="n">
        <v>0</v>
      </c>
      <c r="BD2259" s="51" t="n">
        <v>0</v>
      </c>
      <c r="BE2259" s="51" t="n">
        <v>0</v>
      </c>
      <c r="BF2259" s="51" t="n">
        <v>0</v>
      </c>
    </row>
    <row r="2260">
      <c r="A2260">
        <f>HYPERLINK("https://www.walmart.com/ip/179328417", "179328417")</f>
        <v/>
      </c>
      <c r="B2260" t="inlineStr">
        <is>
          <t>Medium Pet Travel Backpack Carrier for Dogs Cat Animal Puppy, Breathable Mesh Net Removable Sherpa Bed Outdoor Carrier f</t>
        </is>
      </c>
      <c r="C2260" t="inlineStr">
        <is>
          <t>1WMPB200BL</t>
        </is>
      </c>
      <c r="D2260" t="inlineStr">
        <is>
          <t>Pet Carriers</t>
        </is>
      </c>
      <c r="E2260" t="inlineStr">
        <is>
          <t>Flyingstar</t>
        </is>
      </c>
      <c r="F2260" t="inlineStr">
        <is>
          <t>Optimized</t>
        </is>
      </c>
      <c r="G2260" s="48" t="n">
        <v>0</v>
      </c>
      <c r="H2260" s="48" t="n">
        <v>0</v>
      </c>
      <c r="I2260" s="48" t="n">
        <v>0</v>
      </c>
      <c r="J2260" s="48" t="n">
        <v>0</v>
      </c>
      <c r="K2260" s="49" t="n">
        <v>0</v>
      </c>
      <c r="L2260" s="49" t="n">
        <v>0</v>
      </c>
      <c r="M2260" s="49" t="n">
        <v>0</v>
      </c>
      <c r="N2260" s="49" t="n">
        <v>0</v>
      </c>
      <c r="O2260" s="49" t="n">
        <v>0</v>
      </c>
      <c r="P2260" s="49" t="n">
        <v>0</v>
      </c>
      <c r="Q2260" s="49" t="n">
        <v>0</v>
      </c>
      <c r="R2260" s="49" t="n">
        <v>0</v>
      </c>
      <c r="S2260" s="50" t="n">
        <v>0</v>
      </c>
      <c r="T2260" s="50" t="n">
        <v>0</v>
      </c>
      <c r="U2260" s="50" t="n">
        <v>0</v>
      </c>
      <c r="V2260" s="50" t="n">
        <v>0</v>
      </c>
      <c r="W2260" s="51" t="n">
        <v>0</v>
      </c>
      <c r="X2260" s="51" t="n">
        <v>0</v>
      </c>
      <c r="Y2260" s="51" t="n">
        <v>0</v>
      </c>
      <c r="Z2260" s="51" t="n">
        <v>0</v>
      </c>
      <c r="AA2260" s="52" t="n">
        <v>0</v>
      </c>
      <c r="AB2260" s="52" t="n">
        <v>0</v>
      </c>
      <c r="AC2260" s="52" t="n">
        <v>0</v>
      </c>
      <c r="AD2260" s="52" t="n">
        <v>0</v>
      </c>
      <c r="AE2260" s="52" t="n">
        <v>0</v>
      </c>
      <c r="AF2260" s="52" t="n">
        <v>0</v>
      </c>
      <c r="AG2260" s="52" t="n">
        <v>0</v>
      </c>
      <c r="AH2260" s="52" t="n">
        <v>0</v>
      </c>
      <c r="AI2260" s="52" t="n">
        <v>0</v>
      </c>
      <c r="AJ2260" s="52" t="n">
        <v>0</v>
      </c>
      <c r="AK2260" s="52" t="n">
        <v>0</v>
      </c>
      <c r="AL2260" s="52" t="n">
        <v>0</v>
      </c>
      <c r="AM2260" s="53" t="n">
        <v>0</v>
      </c>
      <c r="AN2260" s="53" t="n">
        <v>0</v>
      </c>
      <c r="AO2260" s="53" t="n">
        <v>0</v>
      </c>
      <c r="AP2260" s="53" t="n">
        <v>0</v>
      </c>
      <c r="AQ2260" s="52" t="n">
        <v>0</v>
      </c>
      <c r="AR2260" s="52" t="n">
        <v>0</v>
      </c>
      <c r="AS2260" s="52" t="n">
        <v>0</v>
      </c>
      <c r="AT2260" s="52" t="n">
        <v>0</v>
      </c>
      <c r="AU2260" s="53" t="n">
        <v>0</v>
      </c>
      <c r="AV2260" s="53" t="n">
        <v>0</v>
      </c>
      <c r="AW2260" s="53" t="n">
        <v>0</v>
      </c>
      <c r="AX2260" s="53" t="n">
        <v>0</v>
      </c>
      <c r="AY2260" s="52" t="n">
        <v>0</v>
      </c>
      <c r="AZ2260" s="52" t="n">
        <v>0</v>
      </c>
      <c r="BA2260" s="52" t="n">
        <v>0</v>
      </c>
      <c r="BB2260" s="52" t="n">
        <v>0</v>
      </c>
      <c r="BC2260" s="51" t="n">
        <v>0</v>
      </c>
      <c r="BD2260" s="51" t="n">
        <v>0</v>
      </c>
      <c r="BE2260" s="51" t="n">
        <v>0</v>
      </c>
      <c r="BF2260" s="51" t="n">
        <v>0</v>
      </c>
    </row>
    <row r="2261">
      <c r="A2261">
        <f>HYPERLINK("https://www.walmart.com/ip/179405705", "179405705")</f>
        <v/>
      </c>
      <c r="B2261" t="inlineStr">
        <is>
          <t>Fashion Light Up LED Luminous Sequin Neck Ties Changeable Colors Necktie Led Fiber Tie Flashing Tie For Male/Female</t>
        </is>
      </c>
      <c r="C2261" t="inlineStr">
        <is>
          <t>LEDTIE01- PK</t>
        </is>
      </c>
      <c r="D2261" t="inlineStr">
        <is>
          <t>Neckties</t>
        </is>
      </c>
      <c r="E2261" t="inlineStr">
        <is>
          <t>JenniWears</t>
        </is>
      </c>
      <c r="F2261" t="inlineStr">
        <is>
          <t>Batch 1 - TR</t>
        </is>
      </c>
      <c r="G2261" s="48" t="n">
        <v>0</v>
      </c>
      <c r="H2261" s="48" t="n">
        <v>0</v>
      </c>
      <c r="I2261" s="48" t="n">
        <v>0</v>
      </c>
      <c r="J2261" s="48" t="n">
        <v>0</v>
      </c>
      <c r="K2261" s="49" t="n">
        <v>0</v>
      </c>
      <c r="L2261" s="49" t="n">
        <v>0</v>
      </c>
      <c r="M2261" s="49" t="n">
        <v>0</v>
      </c>
      <c r="N2261" s="49" t="n">
        <v>0</v>
      </c>
      <c r="O2261" s="49" t="n">
        <v>0</v>
      </c>
      <c r="P2261" s="49" t="n">
        <v>0</v>
      </c>
      <c r="Q2261" s="49" t="n">
        <v>0</v>
      </c>
      <c r="R2261" s="49" t="n">
        <v>0</v>
      </c>
      <c r="S2261" s="50" t="n">
        <v>0</v>
      </c>
      <c r="T2261" s="50" t="n">
        <v>0</v>
      </c>
      <c r="U2261" s="50" t="n">
        <v>0</v>
      </c>
      <c r="V2261" s="50" t="n">
        <v>0</v>
      </c>
      <c r="W2261" s="51" t="n">
        <v>0</v>
      </c>
      <c r="X2261" s="51" t="n">
        <v>0</v>
      </c>
      <c r="Y2261" s="51" t="n">
        <v>0</v>
      </c>
      <c r="Z2261" s="51" t="n">
        <v>0</v>
      </c>
      <c r="AA2261" s="52" t="n">
        <v>0</v>
      </c>
      <c r="AB2261" s="52" t="n">
        <v>0</v>
      </c>
      <c r="AC2261" s="52" t="n">
        <v>0</v>
      </c>
      <c r="AD2261" s="52" t="n">
        <v>0</v>
      </c>
      <c r="AE2261" s="52" t="n">
        <v>0</v>
      </c>
      <c r="AF2261" s="52" t="n">
        <v>0</v>
      </c>
      <c r="AG2261" s="52" t="n">
        <v>0</v>
      </c>
      <c r="AH2261" s="52" t="n">
        <v>0</v>
      </c>
      <c r="AI2261" s="52" t="n">
        <v>0</v>
      </c>
      <c r="AJ2261" s="52" t="n">
        <v>0</v>
      </c>
      <c r="AK2261" s="52" t="n">
        <v>0</v>
      </c>
      <c r="AL2261" s="52" t="n">
        <v>0</v>
      </c>
      <c r="AM2261" s="53" t="n">
        <v>0</v>
      </c>
      <c r="AN2261" s="53" t="n">
        <v>0</v>
      </c>
      <c r="AO2261" s="53" t="n">
        <v>0</v>
      </c>
      <c r="AP2261" s="53" t="n">
        <v>0</v>
      </c>
      <c r="AQ2261" s="52" t="n">
        <v>0</v>
      </c>
      <c r="AR2261" s="52" t="n">
        <v>0</v>
      </c>
      <c r="AS2261" s="52" t="n">
        <v>0</v>
      </c>
      <c r="AT2261" s="52" t="n">
        <v>0</v>
      </c>
      <c r="AU2261" s="53" t="n">
        <v>0</v>
      </c>
      <c r="AV2261" s="53" t="n">
        <v>0</v>
      </c>
      <c r="AW2261" s="53" t="n">
        <v>0</v>
      </c>
      <c r="AX2261" s="53" t="n">
        <v>0</v>
      </c>
      <c r="AY2261" s="52" t="n">
        <v>0</v>
      </c>
      <c r="AZ2261" s="52" t="n">
        <v>0</v>
      </c>
      <c r="BA2261" s="52" t="n">
        <v>0</v>
      </c>
      <c r="BB2261" s="52" t="n">
        <v>0</v>
      </c>
      <c r="BC2261" s="51" t="n">
        <v>0</v>
      </c>
      <c r="BD2261" s="51" t="n">
        <v>0</v>
      </c>
      <c r="BE2261" s="51" t="n">
        <v>0</v>
      </c>
      <c r="BF2261" s="51" t="n">
        <v>0</v>
      </c>
    </row>
    <row r="2262">
      <c r="A2262">
        <f>HYPERLINK("https://www.walmart.com/ip/1798926450", "1798926450")</f>
        <v/>
      </c>
      <c r="B2262" t="inlineStr">
        <is>
          <t>Tirrinia Men's Trout Ventilate Mesh Fish Embroidery Cap Fishing Hat Navy Blue</t>
        </is>
      </c>
      <c r="C2262" t="inlineStr">
        <is>
          <t>1TRHT13CAMO-TBCB</t>
        </is>
      </c>
      <c r="D2262" t="inlineStr">
        <is>
          <t>Hats</t>
        </is>
      </c>
      <c r="E2262" t="inlineStr">
        <is>
          <t>Tirrinia</t>
        </is>
      </c>
      <c r="F2262" t="inlineStr">
        <is>
          <t>Batch 1 - TR</t>
        </is>
      </c>
      <c r="G2262" s="48" t="n">
        <v>0</v>
      </c>
      <c r="H2262" s="48" t="n">
        <v>0</v>
      </c>
      <c r="I2262" s="48" t="n">
        <v>0</v>
      </c>
      <c r="J2262" s="48" t="n">
        <v>0</v>
      </c>
      <c r="K2262" s="49" t="n">
        <v>0</v>
      </c>
      <c r="L2262" s="49" t="n">
        <v>0</v>
      </c>
      <c r="M2262" s="49" t="n">
        <v>0</v>
      </c>
      <c r="N2262" s="49" t="n">
        <v>0</v>
      </c>
      <c r="O2262" s="49" t="n">
        <v>0</v>
      </c>
      <c r="P2262" s="49" t="n">
        <v>0</v>
      </c>
      <c r="Q2262" s="49" t="n">
        <v>0</v>
      </c>
      <c r="R2262" s="49" t="n">
        <v>0</v>
      </c>
      <c r="S2262" s="50" t="n">
        <v>0</v>
      </c>
      <c r="T2262" s="50" t="n">
        <v>0</v>
      </c>
      <c r="U2262" s="50" t="n">
        <v>0</v>
      </c>
      <c r="V2262" s="50" t="n">
        <v>0</v>
      </c>
      <c r="W2262" s="51" t="n">
        <v>0</v>
      </c>
      <c r="X2262" s="51" t="n">
        <v>0</v>
      </c>
      <c r="Y2262" s="51" t="n">
        <v>0</v>
      </c>
      <c r="Z2262" s="51" t="n">
        <v>0</v>
      </c>
      <c r="AA2262" s="52" t="n">
        <v>0</v>
      </c>
      <c r="AB2262" s="52" t="n">
        <v>0</v>
      </c>
      <c r="AC2262" s="52" t="n">
        <v>0</v>
      </c>
      <c r="AD2262" s="52" t="n">
        <v>0</v>
      </c>
      <c r="AE2262" s="52" t="n">
        <v>0</v>
      </c>
      <c r="AF2262" s="52" t="n">
        <v>0</v>
      </c>
      <c r="AG2262" s="52" t="n">
        <v>0</v>
      </c>
      <c r="AH2262" s="52" t="n">
        <v>0</v>
      </c>
      <c r="AI2262" s="52" t="n">
        <v>0</v>
      </c>
      <c r="AJ2262" s="52" t="n">
        <v>0</v>
      </c>
      <c r="AK2262" s="52" t="n">
        <v>0</v>
      </c>
      <c r="AL2262" s="52" t="n">
        <v>0</v>
      </c>
      <c r="AM2262" s="53" t="n">
        <v>0</v>
      </c>
      <c r="AN2262" s="53" t="n">
        <v>0</v>
      </c>
      <c r="AO2262" s="53" t="n">
        <v>0</v>
      </c>
      <c r="AP2262" s="53" t="n">
        <v>0</v>
      </c>
      <c r="AQ2262" s="52" t="n">
        <v>0</v>
      </c>
      <c r="AR2262" s="52" t="n">
        <v>0</v>
      </c>
      <c r="AS2262" s="52" t="n">
        <v>0</v>
      </c>
      <c r="AT2262" s="52" t="n">
        <v>0</v>
      </c>
      <c r="AU2262" s="53" t="n">
        <v>0</v>
      </c>
      <c r="AV2262" s="53" t="n">
        <v>0</v>
      </c>
      <c r="AW2262" s="53" t="n">
        <v>0</v>
      </c>
      <c r="AX2262" s="53" t="n">
        <v>0</v>
      </c>
      <c r="AY2262" s="52" t="n">
        <v>0</v>
      </c>
      <c r="AZ2262" s="52" t="n">
        <v>0</v>
      </c>
      <c r="BA2262" s="52" t="n">
        <v>0</v>
      </c>
      <c r="BB2262" s="52" t="n">
        <v>0</v>
      </c>
      <c r="BC2262" s="51" t="n">
        <v>0</v>
      </c>
      <c r="BD2262" s="51" t="n">
        <v>0</v>
      </c>
      <c r="BE2262" s="51" t="n">
        <v>0</v>
      </c>
      <c r="BF2262" s="51" t="n">
        <v>0</v>
      </c>
    </row>
    <row r="2263">
      <c r="A2263">
        <f>HYPERLINK("https://www.walmart.com/ip/180458782", "180458782")</f>
        <v/>
      </c>
      <c r="B2263" t="inlineStr">
        <is>
          <t>KC Caps® Cotton Twill Deluxe Super Soft Mesh Adjustable Snapback Low Profile Trucker Baseball Cap</t>
        </is>
      </c>
      <c r="C2263" t="inlineStr">
        <is>
          <t>KCCAPSSZK641CA/ST</t>
        </is>
      </c>
      <c r="D2263" t="inlineStr">
        <is>
          <t>Hats</t>
        </is>
      </c>
      <c r="E2263" t="inlineStr">
        <is>
          <t>KC Caps</t>
        </is>
      </c>
      <c r="F2263" t="inlineStr">
        <is>
          <t>Optimized</t>
        </is>
      </c>
      <c r="G2263" s="48" t="n">
        <v>0</v>
      </c>
      <c r="H2263" s="48" t="n">
        <v>0</v>
      </c>
      <c r="I2263" s="48" t="n">
        <v>0</v>
      </c>
      <c r="J2263" s="48" t="n">
        <v>0</v>
      </c>
      <c r="K2263" s="49" t="n">
        <v>0</v>
      </c>
      <c r="L2263" s="49" t="n">
        <v>0</v>
      </c>
      <c r="M2263" s="49" t="n">
        <v>0</v>
      </c>
      <c r="N2263" s="49" t="n">
        <v>0</v>
      </c>
      <c r="O2263" s="49" t="n">
        <v>0</v>
      </c>
      <c r="P2263" s="49" t="n">
        <v>0</v>
      </c>
      <c r="Q2263" s="49" t="n">
        <v>0</v>
      </c>
      <c r="R2263" s="49" t="n">
        <v>0</v>
      </c>
      <c r="S2263" s="50" t="n">
        <v>0</v>
      </c>
      <c r="T2263" s="50" t="n">
        <v>0</v>
      </c>
      <c r="U2263" s="50" t="n">
        <v>0</v>
      </c>
      <c r="V2263" s="50" t="n">
        <v>0</v>
      </c>
      <c r="W2263" s="51" t="n">
        <v>0</v>
      </c>
      <c r="X2263" s="51" t="n">
        <v>0</v>
      </c>
      <c r="Y2263" s="51" t="n">
        <v>0</v>
      </c>
      <c r="Z2263" s="51" t="n">
        <v>0</v>
      </c>
      <c r="AA2263" s="52" t="n">
        <v>0</v>
      </c>
      <c r="AB2263" s="52" t="n">
        <v>0</v>
      </c>
      <c r="AC2263" s="52" t="n">
        <v>0</v>
      </c>
      <c r="AD2263" s="52" t="n">
        <v>0</v>
      </c>
      <c r="AE2263" s="52" t="n">
        <v>0</v>
      </c>
      <c r="AF2263" s="52" t="n">
        <v>0</v>
      </c>
      <c r="AG2263" s="52" t="n">
        <v>0</v>
      </c>
      <c r="AH2263" s="52" t="n">
        <v>0</v>
      </c>
      <c r="AI2263" s="52" t="n">
        <v>0</v>
      </c>
      <c r="AJ2263" s="52" t="n">
        <v>0</v>
      </c>
      <c r="AK2263" s="52" t="n">
        <v>0</v>
      </c>
      <c r="AL2263" s="52" t="n">
        <v>0</v>
      </c>
      <c r="AM2263" s="53" t="n">
        <v>0</v>
      </c>
      <c r="AN2263" s="53" t="n">
        <v>0</v>
      </c>
      <c r="AO2263" s="53" t="n">
        <v>0</v>
      </c>
      <c r="AP2263" s="53" t="n">
        <v>0</v>
      </c>
      <c r="AQ2263" s="52" t="n">
        <v>0</v>
      </c>
      <c r="AR2263" s="52" t="n">
        <v>0</v>
      </c>
      <c r="AS2263" s="52" t="n">
        <v>0</v>
      </c>
      <c r="AT2263" s="52" t="n">
        <v>0</v>
      </c>
      <c r="AU2263" s="53" t="n">
        <v>0</v>
      </c>
      <c r="AV2263" s="53" t="n">
        <v>0</v>
      </c>
      <c r="AW2263" s="53" t="n">
        <v>0</v>
      </c>
      <c r="AX2263" s="53" t="n">
        <v>0</v>
      </c>
      <c r="AY2263" s="52" t="n">
        <v>0</v>
      </c>
      <c r="AZ2263" s="52" t="n">
        <v>0</v>
      </c>
      <c r="BA2263" s="52" t="n">
        <v>0</v>
      </c>
      <c r="BB2263" s="52" t="n">
        <v>0</v>
      </c>
      <c r="BC2263" s="51" t="n">
        <v>0</v>
      </c>
      <c r="BD2263" s="51" t="n">
        <v>0</v>
      </c>
      <c r="BE2263" s="51" t="n">
        <v>0</v>
      </c>
      <c r="BF2263" s="51" t="n">
        <v>0</v>
      </c>
    </row>
    <row r="2264">
      <c r="A2264">
        <f>HYPERLINK("https://www.walmart.com/ip/180551787", "180551787")</f>
        <v/>
      </c>
      <c r="B2264" t="inlineStr">
        <is>
          <t>JenniWears Women's Black Floral Crotchless Suspender Bodystocking Lingerie</t>
        </is>
      </c>
      <c r="C2264" t="inlineStr">
        <is>
          <t>JWBS8808</t>
        </is>
      </c>
      <c r="D2264" t="inlineStr">
        <is>
          <t>Teddies &amp; Bodystockings</t>
        </is>
      </c>
      <c r="E2264" t="inlineStr">
        <is>
          <t>JenniWears</t>
        </is>
      </c>
      <c r="F2264" t="inlineStr">
        <is>
          <t>Valentine</t>
        </is>
      </c>
      <c r="G2264" s="48" t="n">
        <v>0</v>
      </c>
      <c r="H2264" s="48" t="n">
        <v>0</v>
      </c>
      <c r="I2264" s="48" t="n">
        <v>0</v>
      </c>
      <c r="J2264" s="48" t="n">
        <v>0</v>
      </c>
      <c r="K2264" s="49" t="n">
        <v>0</v>
      </c>
      <c r="L2264" s="49" t="n">
        <v>0</v>
      </c>
      <c r="M2264" s="49" t="n">
        <v>0</v>
      </c>
      <c r="N2264" s="49" t="n">
        <v>0</v>
      </c>
      <c r="O2264" s="49" t="n">
        <v>0</v>
      </c>
      <c r="P2264" s="49" t="n">
        <v>0</v>
      </c>
      <c r="Q2264" s="49" t="n">
        <v>0</v>
      </c>
      <c r="R2264" s="49" t="n">
        <v>0</v>
      </c>
      <c r="S2264" s="50" t="n">
        <v>0</v>
      </c>
      <c r="T2264" s="50" t="n">
        <v>0</v>
      </c>
      <c r="U2264" s="50" t="n">
        <v>0</v>
      </c>
      <c r="V2264" s="50" t="n">
        <v>0</v>
      </c>
      <c r="W2264" s="51" t="n">
        <v>0</v>
      </c>
      <c r="X2264" s="51" t="n">
        <v>0</v>
      </c>
      <c r="Y2264" s="51" t="n">
        <v>0</v>
      </c>
      <c r="Z2264" s="51" t="n">
        <v>0</v>
      </c>
      <c r="AA2264" s="52" t="n">
        <v>0</v>
      </c>
      <c r="AB2264" s="52" t="n">
        <v>0</v>
      </c>
      <c r="AC2264" s="52" t="n">
        <v>0</v>
      </c>
      <c r="AD2264" s="52" t="n">
        <v>0</v>
      </c>
      <c r="AE2264" s="52" t="n">
        <v>0</v>
      </c>
      <c r="AF2264" s="52" t="n">
        <v>0</v>
      </c>
      <c r="AG2264" s="52" t="n">
        <v>0</v>
      </c>
      <c r="AH2264" s="52" t="n">
        <v>0</v>
      </c>
      <c r="AI2264" s="52" t="n">
        <v>0</v>
      </c>
      <c r="AJ2264" s="52" t="n">
        <v>0</v>
      </c>
      <c r="AK2264" s="52" t="n">
        <v>0</v>
      </c>
      <c r="AL2264" s="52" t="n">
        <v>0</v>
      </c>
      <c r="AM2264" s="53" t="n">
        <v>0</v>
      </c>
      <c r="AN2264" s="53" t="n">
        <v>0</v>
      </c>
      <c r="AO2264" s="53" t="n">
        <v>0</v>
      </c>
      <c r="AP2264" s="53" t="n">
        <v>0</v>
      </c>
      <c r="AQ2264" s="52" t="n">
        <v>0</v>
      </c>
      <c r="AR2264" s="52" t="n">
        <v>0</v>
      </c>
      <c r="AS2264" s="52" t="n">
        <v>0</v>
      </c>
      <c r="AT2264" s="52" t="n">
        <v>0</v>
      </c>
      <c r="AU2264" s="53" t="n">
        <v>0</v>
      </c>
      <c r="AV2264" s="53" t="n">
        <v>0</v>
      </c>
      <c r="AW2264" s="53" t="n">
        <v>0</v>
      </c>
      <c r="AX2264" s="53" t="n">
        <v>0</v>
      </c>
      <c r="AY2264" s="52" t="n">
        <v>0</v>
      </c>
      <c r="AZ2264" s="52" t="n">
        <v>0</v>
      </c>
      <c r="BA2264" s="52" t="n">
        <v>0</v>
      </c>
      <c r="BB2264" s="52" t="n">
        <v>0</v>
      </c>
      <c r="BC2264" s="51" t="n">
        <v>0</v>
      </c>
      <c r="BD2264" s="51" t="n">
        <v>0</v>
      </c>
      <c r="BE2264" s="51" t="n">
        <v>0</v>
      </c>
      <c r="BF2264" s="51" t="n">
        <v>0</v>
      </c>
    </row>
    <row r="2265">
      <c r="A2265">
        <f>HYPERLINK("https://www.walmart.com/ip/180848663", "180848663")</f>
        <v/>
      </c>
      <c r="B2265" t="inlineStr">
        <is>
          <t>KC Caps® Unisex Cotton Baseball Cap Adjustable Plain Hat (21 Styles/Colors)</t>
        </is>
      </c>
      <c r="C2265" t="inlineStr">
        <is>
          <t>KC8010OFFWTNV</t>
        </is>
      </c>
      <c r="D2265" t="inlineStr">
        <is>
          <t>Hats</t>
        </is>
      </c>
      <c r="E2265" t="inlineStr">
        <is>
          <t>KC Caps</t>
        </is>
      </c>
      <c r="F2265" t="inlineStr">
        <is>
          <t>Optimized</t>
        </is>
      </c>
      <c r="G2265" s="48" t="n">
        <v>0</v>
      </c>
      <c r="H2265" s="48" t="n">
        <v>0</v>
      </c>
      <c r="I2265" s="48" t="n">
        <v>0</v>
      </c>
      <c r="J2265" s="48" t="n">
        <v>0</v>
      </c>
      <c r="K2265" s="49" t="n">
        <v>0</v>
      </c>
      <c r="L2265" s="49" t="n">
        <v>0</v>
      </c>
      <c r="M2265" s="49" t="n">
        <v>0</v>
      </c>
      <c r="N2265" s="49" t="n">
        <v>0</v>
      </c>
      <c r="O2265" s="49" t="n">
        <v>0</v>
      </c>
      <c r="P2265" s="49" t="n">
        <v>0</v>
      </c>
      <c r="Q2265" s="49" t="n">
        <v>0</v>
      </c>
      <c r="R2265" s="49" t="n">
        <v>0</v>
      </c>
      <c r="S2265" s="50" t="n">
        <v>0</v>
      </c>
      <c r="T2265" s="50" t="n">
        <v>0</v>
      </c>
      <c r="U2265" s="50" t="n">
        <v>0</v>
      </c>
      <c r="V2265" s="50" t="n">
        <v>0</v>
      </c>
      <c r="W2265" s="51" t="n">
        <v>0</v>
      </c>
      <c r="X2265" s="51" t="n">
        <v>0</v>
      </c>
      <c r="Y2265" s="51" t="n">
        <v>0</v>
      </c>
      <c r="Z2265" s="51" t="n">
        <v>0</v>
      </c>
      <c r="AA2265" s="52" t="n">
        <v>0</v>
      </c>
      <c r="AB2265" s="52" t="n">
        <v>0</v>
      </c>
      <c r="AC2265" s="52" t="n">
        <v>0</v>
      </c>
      <c r="AD2265" s="52" t="n">
        <v>0</v>
      </c>
      <c r="AE2265" s="52" t="n">
        <v>0</v>
      </c>
      <c r="AF2265" s="52" t="n">
        <v>0</v>
      </c>
      <c r="AG2265" s="52" t="n">
        <v>0</v>
      </c>
      <c r="AH2265" s="52" t="n">
        <v>0</v>
      </c>
      <c r="AI2265" s="52" t="n">
        <v>0</v>
      </c>
      <c r="AJ2265" s="52" t="n">
        <v>0</v>
      </c>
      <c r="AK2265" s="52" t="n">
        <v>0</v>
      </c>
      <c r="AL2265" s="52" t="n">
        <v>0</v>
      </c>
      <c r="AM2265" s="53" t="n">
        <v>0</v>
      </c>
      <c r="AN2265" s="53" t="n">
        <v>0</v>
      </c>
      <c r="AO2265" s="53" t="n">
        <v>0</v>
      </c>
      <c r="AP2265" s="53" t="n">
        <v>0</v>
      </c>
      <c r="AQ2265" s="52" t="n">
        <v>0</v>
      </c>
      <c r="AR2265" s="52" t="n">
        <v>0</v>
      </c>
      <c r="AS2265" s="52" t="n">
        <v>0</v>
      </c>
      <c r="AT2265" s="52" t="n">
        <v>0</v>
      </c>
      <c r="AU2265" s="53" t="n">
        <v>0</v>
      </c>
      <c r="AV2265" s="53" t="n">
        <v>0</v>
      </c>
      <c r="AW2265" s="53" t="n">
        <v>0</v>
      </c>
      <c r="AX2265" s="53" t="n">
        <v>0</v>
      </c>
      <c r="AY2265" s="52" t="n">
        <v>0</v>
      </c>
      <c r="AZ2265" s="52" t="n">
        <v>0</v>
      </c>
      <c r="BA2265" s="52" t="n">
        <v>0</v>
      </c>
      <c r="BB2265" s="52" t="n">
        <v>0</v>
      </c>
      <c r="BC2265" s="51" t="n">
        <v>0</v>
      </c>
      <c r="BD2265" s="51" t="n">
        <v>0</v>
      </c>
      <c r="BE2265" s="51" t="n">
        <v>0</v>
      </c>
      <c r="BF2265" s="51" t="n">
        <v>0</v>
      </c>
    </row>
    <row r="2266">
      <c r="A2266">
        <f>HYPERLINK("https://www.walmart.com/ip/180994502", "180994502")</f>
        <v/>
      </c>
      <c r="B2266" t="inlineStr">
        <is>
          <t>JenniWears® Women Intimate Night Babydoll Robe w/ Satin Ribbon Belt G-string Set</t>
        </is>
      </c>
      <c r="C2266" t="inlineStr">
        <is>
          <t>JWRS03PP-M</t>
        </is>
      </c>
      <c r="D2266" t="inlineStr">
        <is>
          <t>Lingerie Sets</t>
        </is>
      </c>
      <c r="E2266" t="inlineStr">
        <is>
          <t>JenniWears</t>
        </is>
      </c>
      <c r="F2266" t="inlineStr">
        <is>
          <t>Optimized,Valentine</t>
        </is>
      </c>
      <c r="G2266" s="48" t="n">
        <v>0</v>
      </c>
      <c r="H2266" s="48" t="n">
        <v>0</v>
      </c>
      <c r="I2266" s="48" t="n">
        <v>0</v>
      </c>
      <c r="J2266" s="48" t="n">
        <v>0</v>
      </c>
      <c r="K2266" s="49" t="n">
        <v>0</v>
      </c>
      <c r="L2266" s="49" t="n">
        <v>0</v>
      </c>
      <c r="M2266" s="49" t="n">
        <v>0</v>
      </c>
      <c r="N2266" s="49" t="n">
        <v>0</v>
      </c>
      <c r="O2266" s="49" t="n">
        <v>0</v>
      </c>
      <c r="P2266" s="49" t="n">
        <v>0</v>
      </c>
      <c r="Q2266" s="49" t="n">
        <v>0</v>
      </c>
      <c r="R2266" s="49" t="n">
        <v>0</v>
      </c>
      <c r="S2266" s="50" t="n">
        <v>0</v>
      </c>
      <c r="T2266" s="50" t="n">
        <v>0</v>
      </c>
      <c r="U2266" s="50" t="n">
        <v>0</v>
      </c>
      <c r="V2266" s="50" t="n">
        <v>0</v>
      </c>
      <c r="W2266" s="51" t="n">
        <v>0</v>
      </c>
      <c r="X2266" s="51" t="n">
        <v>0</v>
      </c>
      <c r="Y2266" s="51" t="n">
        <v>0</v>
      </c>
      <c r="Z2266" s="51" t="n">
        <v>0</v>
      </c>
      <c r="AA2266" s="52" t="n">
        <v>0</v>
      </c>
      <c r="AB2266" s="52" t="n">
        <v>0</v>
      </c>
      <c r="AC2266" s="52" t="n">
        <v>0</v>
      </c>
      <c r="AD2266" s="52" t="n">
        <v>0</v>
      </c>
      <c r="AE2266" s="52" t="n">
        <v>0</v>
      </c>
      <c r="AF2266" s="52" t="n">
        <v>0</v>
      </c>
      <c r="AG2266" s="52" t="n">
        <v>0</v>
      </c>
      <c r="AH2266" s="52" t="n">
        <v>0</v>
      </c>
      <c r="AI2266" s="52" t="n">
        <v>0</v>
      </c>
      <c r="AJ2266" s="52" t="n">
        <v>0</v>
      </c>
      <c r="AK2266" s="52" t="n">
        <v>0</v>
      </c>
      <c r="AL2266" s="52" t="n">
        <v>0</v>
      </c>
      <c r="AM2266" s="53" t="n">
        <v>0</v>
      </c>
      <c r="AN2266" s="53" t="n">
        <v>0</v>
      </c>
      <c r="AO2266" s="53" t="n">
        <v>0</v>
      </c>
      <c r="AP2266" s="53" t="n">
        <v>0</v>
      </c>
      <c r="AQ2266" s="52" t="n">
        <v>0</v>
      </c>
      <c r="AR2266" s="52" t="n">
        <v>0</v>
      </c>
      <c r="AS2266" s="52" t="n">
        <v>0</v>
      </c>
      <c r="AT2266" s="52" t="n">
        <v>0</v>
      </c>
      <c r="AU2266" s="53" t="n">
        <v>0</v>
      </c>
      <c r="AV2266" s="53" t="n">
        <v>0</v>
      </c>
      <c r="AW2266" s="53" t="n">
        <v>0</v>
      </c>
      <c r="AX2266" s="53" t="n">
        <v>0</v>
      </c>
      <c r="AY2266" s="52" t="n">
        <v>0</v>
      </c>
      <c r="AZ2266" s="52" t="n">
        <v>0</v>
      </c>
      <c r="BA2266" s="52" t="n">
        <v>0</v>
      </c>
      <c r="BB2266" s="52" t="n">
        <v>0</v>
      </c>
      <c r="BC2266" s="51" t="n">
        <v>0</v>
      </c>
      <c r="BD2266" s="51" t="n">
        <v>0</v>
      </c>
      <c r="BE2266" s="51" t="n">
        <v>0</v>
      </c>
      <c r="BF2266" s="51" t="n">
        <v>0</v>
      </c>
    </row>
    <row r="2267">
      <c r="A2267">
        <f>HYPERLINK("https://www.walmart.com/ip/1810221595", "1810221595")</f>
        <v/>
      </c>
      <c r="B2267" t="inlineStr">
        <is>
          <t>Hooded Poncho Towels Changing Robe for Adult Surfer Swimmer Sport Beach</t>
        </is>
      </c>
      <c r="C2267" t="inlineStr">
        <is>
          <t>1TRBR100-LBL</t>
        </is>
      </c>
      <c r="D2267" t="inlineStr">
        <is>
          <t>Towels &amp; Washcloths</t>
        </is>
      </c>
      <c r="E2267" t="inlineStr">
        <is>
          <t>Tirrinia</t>
        </is>
      </c>
      <c r="G2267" s="48" t="n">
        <v>0</v>
      </c>
      <c r="H2267" s="48" t="n">
        <v>0</v>
      </c>
      <c r="I2267" s="48" t="n">
        <v>0</v>
      </c>
      <c r="J2267" s="48" t="n">
        <v>0</v>
      </c>
      <c r="K2267" s="49" t="n">
        <v>0</v>
      </c>
      <c r="L2267" s="49" t="n">
        <v>0</v>
      </c>
      <c r="M2267" s="49" t="n">
        <v>0</v>
      </c>
      <c r="N2267" s="49" t="n">
        <v>0</v>
      </c>
      <c r="O2267" s="49" t="n">
        <v>0</v>
      </c>
      <c r="P2267" s="49" t="n">
        <v>0</v>
      </c>
      <c r="Q2267" s="49" t="n">
        <v>0</v>
      </c>
      <c r="R2267" s="49" t="n">
        <v>0</v>
      </c>
      <c r="S2267" s="50" t="n">
        <v>0</v>
      </c>
      <c r="T2267" s="50" t="n">
        <v>0</v>
      </c>
      <c r="U2267" s="50" t="n">
        <v>0</v>
      </c>
      <c r="V2267" s="50" t="n">
        <v>0</v>
      </c>
      <c r="W2267" s="51" t="n">
        <v>0</v>
      </c>
      <c r="X2267" s="51" t="n">
        <v>0</v>
      </c>
      <c r="Y2267" s="51" t="n">
        <v>0</v>
      </c>
      <c r="Z2267" s="51" t="n">
        <v>0</v>
      </c>
      <c r="AA2267" s="52" t="n">
        <v>0</v>
      </c>
      <c r="AB2267" s="52" t="n">
        <v>0</v>
      </c>
      <c r="AC2267" s="52" t="n">
        <v>0</v>
      </c>
      <c r="AD2267" s="52" t="n">
        <v>0</v>
      </c>
      <c r="AE2267" s="52" t="n">
        <v>0</v>
      </c>
      <c r="AF2267" s="52" t="n">
        <v>0</v>
      </c>
      <c r="AG2267" s="52" t="n">
        <v>0</v>
      </c>
      <c r="AH2267" s="52" t="n">
        <v>0</v>
      </c>
      <c r="AI2267" s="52" t="n">
        <v>0</v>
      </c>
      <c r="AJ2267" s="52" t="n">
        <v>0</v>
      </c>
      <c r="AK2267" s="52" t="n">
        <v>0</v>
      </c>
      <c r="AL2267" s="52" t="n">
        <v>0</v>
      </c>
      <c r="AM2267" s="53" t="n">
        <v>0</v>
      </c>
      <c r="AN2267" s="53" t="n">
        <v>0</v>
      </c>
      <c r="AO2267" s="53" t="n">
        <v>0</v>
      </c>
      <c r="AP2267" s="53" t="n">
        <v>0</v>
      </c>
      <c r="AQ2267" s="52" t="n">
        <v>0</v>
      </c>
      <c r="AR2267" s="52" t="n">
        <v>0</v>
      </c>
      <c r="AS2267" s="52" t="n">
        <v>0</v>
      </c>
      <c r="AT2267" s="52" t="n">
        <v>0</v>
      </c>
      <c r="AU2267" s="53" t="n">
        <v>0</v>
      </c>
      <c r="AV2267" s="53" t="n">
        <v>0</v>
      </c>
      <c r="AW2267" s="53" t="n">
        <v>0</v>
      </c>
      <c r="AX2267" s="53" t="n">
        <v>0</v>
      </c>
      <c r="AY2267" s="52" t="n">
        <v>0</v>
      </c>
      <c r="AZ2267" s="52" t="n">
        <v>0</v>
      </c>
      <c r="BA2267" s="52" t="n">
        <v>0</v>
      </c>
      <c r="BB2267" s="52" t="n">
        <v>0</v>
      </c>
      <c r="BC2267" s="51" t="n">
        <v>0</v>
      </c>
      <c r="BD2267" s="51" t="n">
        <v>0</v>
      </c>
      <c r="BE2267" s="51" t="n">
        <v>0</v>
      </c>
      <c r="BF2267" s="51" t="n">
        <v>0</v>
      </c>
    </row>
    <row r="2268">
      <c r="A2268">
        <f>HYPERLINK("https://www.walmart.com/ip/181073728", "181073728")</f>
        <v/>
      </c>
      <c r="B2268" t="inlineStr">
        <is>
          <t>KC Caps® Unisex Two-Tone Washed Cotton Bucket Hat Cap Headwear, Medium/Large</t>
        </is>
      </c>
      <c r="C2268" t="inlineStr">
        <is>
          <t>KC9120RD-M</t>
        </is>
      </c>
      <c r="D2268" t="inlineStr">
        <is>
          <t>Hats</t>
        </is>
      </c>
      <c r="E2268" t="inlineStr">
        <is>
          <t>KC Caps</t>
        </is>
      </c>
      <c r="F2268" t="inlineStr">
        <is>
          <t>Optimized</t>
        </is>
      </c>
      <c r="G2268" s="48" t="n">
        <v>0</v>
      </c>
      <c r="H2268" s="48" t="n">
        <v>0</v>
      </c>
      <c r="I2268" s="48" t="n">
        <v>0</v>
      </c>
      <c r="J2268" s="48" t="n">
        <v>0</v>
      </c>
      <c r="K2268" s="49" t="n">
        <v>0</v>
      </c>
      <c r="L2268" s="49" t="n">
        <v>0</v>
      </c>
      <c r="M2268" s="49" t="n">
        <v>0</v>
      </c>
      <c r="N2268" s="49" t="n">
        <v>0</v>
      </c>
      <c r="O2268" s="49" t="n">
        <v>0</v>
      </c>
      <c r="P2268" s="49" t="n">
        <v>0</v>
      </c>
      <c r="Q2268" s="49" t="n">
        <v>0</v>
      </c>
      <c r="R2268" s="49" t="n">
        <v>0</v>
      </c>
      <c r="S2268" s="50" t="n">
        <v>0</v>
      </c>
      <c r="T2268" s="50" t="n">
        <v>0</v>
      </c>
      <c r="U2268" s="50" t="n">
        <v>0</v>
      </c>
      <c r="V2268" s="50" t="n">
        <v>0</v>
      </c>
      <c r="W2268" s="51" t="n">
        <v>0</v>
      </c>
      <c r="X2268" s="51" t="n">
        <v>0</v>
      </c>
      <c r="Y2268" s="51" t="n">
        <v>0</v>
      </c>
      <c r="Z2268" s="51" t="n">
        <v>0</v>
      </c>
      <c r="AA2268" s="52" t="n">
        <v>0</v>
      </c>
      <c r="AB2268" s="52" t="n">
        <v>0</v>
      </c>
      <c r="AC2268" s="52" t="n">
        <v>0</v>
      </c>
      <c r="AD2268" s="52" t="n">
        <v>0</v>
      </c>
      <c r="AE2268" s="52" t="n">
        <v>0</v>
      </c>
      <c r="AF2268" s="52" t="n">
        <v>0</v>
      </c>
      <c r="AG2268" s="52" t="n">
        <v>0</v>
      </c>
      <c r="AH2268" s="52" t="n">
        <v>0</v>
      </c>
      <c r="AI2268" s="52" t="n">
        <v>0</v>
      </c>
      <c r="AJ2268" s="52" t="n">
        <v>0</v>
      </c>
      <c r="AK2268" s="52" t="n">
        <v>0</v>
      </c>
      <c r="AL2268" s="52" t="n">
        <v>0</v>
      </c>
      <c r="AM2268" s="53" t="n">
        <v>0</v>
      </c>
      <c r="AN2268" s="53" t="n">
        <v>0</v>
      </c>
      <c r="AO2268" s="53" t="n">
        <v>0</v>
      </c>
      <c r="AP2268" s="53" t="n">
        <v>0</v>
      </c>
      <c r="AQ2268" s="52" t="n">
        <v>0</v>
      </c>
      <c r="AR2268" s="52" t="n">
        <v>0</v>
      </c>
      <c r="AS2268" s="52" t="n">
        <v>0</v>
      </c>
      <c r="AT2268" s="52" t="n">
        <v>0</v>
      </c>
      <c r="AU2268" s="53" t="n">
        <v>0</v>
      </c>
      <c r="AV2268" s="53" t="n">
        <v>0</v>
      </c>
      <c r="AW2268" s="53" t="n">
        <v>0</v>
      </c>
      <c r="AX2268" s="53" t="n">
        <v>0</v>
      </c>
      <c r="AY2268" s="52" t="n">
        <v>0</v>
      </c>
      <c r="AZ2268" s="52" t="n">
        <v>0</v>
      </c>
      <c r="BA2268" s="52" t="n">
        <v>0</v>
      </c>
      <c r="BB2268" s="52" t="n">
        <v>0</v>
      </c>
      <c r="BC2268" s="51" t="n">
        <v>0</v>
      </c>
      <c r="BD2268" s="51" t="n">
        <v>0</v>
      </c>
      <c r="BE2268" s="51" t="n">
        <v>0</v>
      </c>
      <c r="BF2268" s="51" t="n">
        <v>0</v>
      </c>
    </row>
    <row r="2269">
      <c r="A2269">
        <f>HYPERLINK("https://www.walmart.com/ip/205303820", "205303820")</f>
        <v/>
      </c>
      <c r="B2269" t="inlineStr">
        <is>
          <t>Pawsse Dog Cat Puppy Snuggle Blanket Plush Sherpa Micro Fleece Pet Throws Cushion Mat for Small Animals, 60'' x 50'', Wine</t>
        </is>
      </c>
      <c r="C2269" t="inlineStr">
        <is>
          <t>1PSBF560WNLT</t>
        </is>
      </c>
      <c r="D2269" t="inlineStr">
        <is>
          <t>Pet Blankets</t>
        </is>
      </c>
      <c r="E2269" t="inlineStr">
        <is>
          <t>Pawsse</t>
        </is>
      </c>
      <c r="F2269" t="inlineStr">
        <is>
          <t>Batch 1 - TR</t>
        </is>
      </c>
      <c r="G2269" s="48" t="n">
        <v>0</v>
      </c>
      <c r="H2269" s="48" t="n">
        <v>0</v>
      </c>
      <c r="I2269" s="48" t="n">
        <v>0</v>
      </c>
      <c r="J2269" s="48" t="n">
        <v>0</v>
      </c>
      <c r="K2269" s="49" t="n">
        <v>0</v>
      </c>
      <c r="L2269" s="49" t="n">
        <v>0</v>
      </c>
      <c r="M2269" s="49" t="n">
        <v>0</v>
      </c>
      <c r="N2269" s="49" t="n">
        <v>0</v>
      </c>
      <c r="O2269" s="49" t="n">
        <v>0</v>
      </c>
      <c r="P2269" s="49" t="n">
        <v>0</v>
      </c>
      <c r="Q2269" s="49" t="n">
        <v>0</v>
      </c>
      <c r="R2269" s="49" t="n">
        <v>0</v>
      </c>
      <c r="S2269" s="50" t="n">
        <v>0</v>
      </c>
      <c r="T2269" s="50" t="n">
        <v>0</v>
      </c>
      <c r="U2269" s="50" t="n">
        <v>0</v>
      </c>
      <c r="V2269" s="50" t="n">
        <v>0</v>
      </c>
      <c r="W2269" s="51" t="n">
        <v>0</v>
      </c>
      <c r="X2269" s="51" t="n">
        <v>0</v>
      </c>
      <c r="Y2269" s="51" t="n">
        <v>0</v>
      </c>
      <c r="Z2269" s="51" t="n">
        <v>0</v>
      </c>
      <c r="AA2269" s="52" t="n">
        <v>0</v>
      </c>
      <c r="AB2269" s="52" t="n">
        <v>0</v>
      </c>
      <c r="AC2269" s="52" t="n">
        <v>0</v>
      </c>
      <c r="AD2269" s="52" t="n">
        <v>0</v>
      </c>
      <c r="AE2269" s="52" t="n">
        <v>0</v>
      </c>
      <c r="AF2269" s="52" t="n">
        <v>0</v>
      </c>
      <c r="AG2269" s="52" t="n">
        <v>0</v>
      </c>
      <c r="AH2269" s="52" t="n">
        <v>0</v>
      </c>
      <c r="AI2269" s="52" t="n">
        <v>0</v>
      </c>
      <c r="AJ2269" s="52" t="n">
        <v>0</v>
      </c>
      <c r="AK2269" s="52" t="n">
        <v>0</v>
      </c>
      <c r="AL2269" s="52" t="n">
        <v>0</v>
      </c>
      <c r="AM2269" s="53" t="n">
        <v>0</v>
      </c>
      <c r="AN2269" s="53" t="n">
        <v>0</v>
      </c>
      <c r="AO2269" s="53" t="n">
        <v>0</v>
      </c>
      <c r="AP2269" s="53" t="n">
        <v>0</v>
      </c>
      <c r="AQ2269" s="52" t="n">
        <v>0</v>
      </c>
      <c r="AR2269" s="52" t="n">
        <v>0</v>
      </c>
      <c r="AS2269" s="52" t="n">
        <v>0</v>
      </c>
      <c r="AT2269" s="52" t="n">
        <v>0</v>
      </c>
      <c r="AU2269" s="53" t="n">
        <v>0</v>
      </c>
      <c r="AV2269" s="53" t="n">
        <v>0</v>
      </c>
      <c r="AW2269" s="53" t="n">
        <v>0</v>
      </c>
      <c r="AX2269" s="53" t="n">
        <v>0</v>
      </c>
      <c r="AY2269" s="52" t="n">
        <v>0</v>
      </c>
      <c r="AZ2269" s="52" t="n">
        <v>0</v>
      </c>
      <c r="BA2269" s="52" t="n">
        <v>0</v>
      </c>
      <c r="BB2269" s="52" t="n">
        <v>0</v>
      </c>
      <c r="BC2269" s="51" t="n">
        <v>0</v>
      </c>
      <c r="BD2269" s="51" t="n">
        <v>0</v>
      </c>
      <c r="BE2269" s="51" t="n">
        <v>0</v>
      </c>
      <c r="BF2269" s="51" t="n">
        <v>0</v>
      </c>
    </row>
    <row r="2270">
      <c r="A2270">
        <f>HYPERLINK("https://www.walmart.com/ip/178011669", "178011669")</f>
        <v/>
      </c>
      <c r="B2270" t="inlineStr">
        <is>
          <t>360 UV Protection Sun Hat Neck Face Cover Flap Detachable Hat for Fishing Camping Hiking Tracking</t>
        </is>
      </c>
      <c r="C2270" t="inlineStr">
        <is>
          <t>kc-s9198-st</t>
        </is>
      </c>
      <c r="D2270" t="inlineStr">
        <is>
          <t>Hats</t>
        </is>
      </c>
      <c r="E2270" t="inlineStr">
        <is>
          <t>Headshots</t>
        </is>
      </c>
      <c r="F2270" t="inlineStr">
        <is>
          <t>Batch 1 - TR</t>
        </is>
      </c>
      <c r="G2270" s="48" t="n">
        <v>0</v>
      </c>
      <c r="H2270" s="48" t="n">
        <v>0</v>
      </c>
      <c r="I2270" s="48" t="n">
        <v>0</v>
      </c>
      <c r="J2270" s="48" t="n">
        <v>0</v>
      </c>
      <c r="K2270" s="49" t="n">
        <v>0</v>
      </c>
      <c r="L2270" s="49" t="n">
        <v>0</v>
      </c>
      <c r="M2270" s="49" t="n">
        <v>0</v>
      </c>
      <c r="N2270" s="49" t="n">
        <v>0</v>
      </c>
      <c r="O2270" s="49" t="n">
        <v>0</v>
      </c>
      <c r="P2270" s="49" t="n">
        <v>0</v>
      </c>
      <c r="Q2270" s="49" t="n">
        <v>0</v>
      </c>
      <c r="R2270" s="49" t="n">
        <v>0</v>
      </c>
      <c r="S2270" s="50" t="n">
        <v>0</v>
      </c>
      <c r="T2270" s="50" t="n">
        <v>0</v>
      </c>
      <c r="U2270" s="50" t="n">
        <v>0</v>
      </c>
      <c r="V2270" s="50" t="n">
        <v>0</v>
      </c>
      <c r="W2270" s="51" t="n">
        <v>0</v>
      </c>
      <c r="X2270" s="51" t="n">
        <v>0</v>
      </c>
      <c r="Y2270" s="51" t="n">
        <v>0</v>
      </c>
      <c r="Z2270" s="51" t="n">
        <v>0</v>
      </c>
      <c r="AA2270" s="52" t="n">
        <v>0</v>
      </c>
      <c r="AB2270" s="52" t="n">
        <v>0</v>
      </c>
      <c r="AC2270" s="52" t="n">
        <v>0</v>
      </c>
      <c r="AD2270" s="52" t="n">
        <v>0</v>
      </c>
      <c r="AE2270" s="52" t="n">
        <v>0</v>
      </c>
      <c r="AF2270" s="52" t="n">
        <v>0</v>
      </c>
      <c r="AG2270" s="52" t="n">
        <v>0</v>
      </c>
      <c r="AH2270" s="52" t="n">
        <v>0</v>
      </c>
      <c r="AI2270" s="52" t="n">
        <v>0</v>
      </c>
      <c r="AJ2270" s="52" t="n">
        <v>0</v>
      </c>
      <c r="AK2270" s="52" t="n">
        <v>0</v>
      </c>
      <c r="AL2270" s="52" t="n">
        <v>0</v>
      </c>
      <c r="AM2270" s="53" t="n">
        <v>0</v>
      </c>
      <c r="AN2270" s="53" t="n">
        <v>0</v>
      </c>
      <c r="AO2270" s="53" t="n">
        <v>0</v>
      </c>
      <c r="AP2270" s="53" t="n">
        <v>0</v>
      </c>
      <c r="AQ2270" s="52" t="n">
        <v>0</v>
      </c>
      <c r="AR2270" s="52" t="n">
        <v>0</v>
      </c>
      <c r="AS2270" s="52" t="n">
        <v>0</v>
      </c>
      <c r="AT2270" s="52" t="n">
        <v>0</v>
      </c>
      <c r="AU2270" s="53" t="n">
        <v>0</v>
      </c>
      <c r="AV2270" s="53" t="n">
        <v>0</v>
      </c>
      <c r="AW2270" s="53" t="n">
        <v>0</v>
      </c>
      <c r="AX2270" s="53" t="n">
        <v>0</v>
      </c>
      <c r="AY2270" s="52" t="n">
        <v>0</v>
      </c>
      <c r="AZ2270" s="52" t="n">
        <v>0</v>
      </c>
      <c r="BA2270" s="52" t="n">
        <v>0</v>
      </c>
      <c r="BB2270" s="52" t="n">
        <v>0</v>
      </c>
      <c r="BC2270" s="51" t="n">
        <v>0</v>
      </c>
      <c r="BD2270" s="51" t="n">
        <v>0</v>
      </c>
      <c r="BE2270" s="51" t="n">
        <v>0</v>
      </c>
      <c r="BF2270" s="51" t="n">
        <v>0</v>
      </c>
    </row>
    <row r="2271">
      <c r="A2271">
        <f>HYPERLINK("https://www.walmart.com/ip/177464332", "177464332")</f>
        <v/>
      </c>
      <c r="B2271" t="inlineStr">
        <is>
          <t>Headshots Fishing Hats with Anti-Mosquito Facemask, UV Protection Sun Hat for Women and Men, Digital Green</t>
        </is>
      </c>
      <c r="C2271" t="inlineStr">
        <is>
          <t>kc-s9198-digign</t>
        </is>
      </c>
      <c r="D2271" t="inlineStr">
        <is>
          <t>Hats</t>
        </is>
      </c>
      <c r="E2271" t="inlineStr">
        <is>
          <t>Headshots</t>
        </is>
      </c>
      <c r="F2271" t="inlineStr">
        <is>
          <t>Q2-Target,Batch 1 - TR</t>
        </is>
      </c>
      <c r="G2271" s="48" t="n">
        <v>0</v>
      </c>
      <c r="H2271" s="48" t="n">
        <v>9.99</v>
      </c>
      <c r="I2271" s="48" t="n">
        <v>0</v>
      </c>
      <c r="J2271" s="48" t="n">
        <v>0</v>
      </c>
      <c r="K2271" s="49" t="n">
        <v>0</v>
      </c>
      <c r="L2271" s="49" t="n">
        <v>1</v>
      </c>
      <c r="M2271" s="49" t="n">
        <v>0</v>
      </c>
      <c r="N2271" s="49" t="n">
        <v>0</v>
      </c>
      <c r="O2271" s="49" t="n">
        <v>0</v>
      </c>
      <c r="P2271" s="49" t="n">
        <v>0</v>
      </c>
      <c r="Q2271" s="49" t="n">
        <v>0</v>
      </c>
      <c r="R2271" s="49" t="n">
        <v>0</v>
      </c>
      <c r="S2271" s="50" t="n">
        <v>0</v>
      </c>
      <c r="T2271" s="50" t="n">
        <v>0</v>
      </c>
      <c r="U2271" s="50" t="n">
        <v>0</v>
      </c>
      <c r="V2271" s="50" t="n">
        <v>0</v>
      </c>
      <c r="W2271" s="51" t="n">
        <v>0</v>
      </c>
      <c r="X2271" s="51" t="n">
        <v>0</v>
      </c>
      <c r="Y2271" s="51" t="n">
        <v>0</v>
      </c>
      <c r="Z2271" s="51" t="n">
        <v>0</v>
      </c>
      <c r="AA2271" s="52" t="n">
        <v>0</v>
      </c>
      <c r="AB2271" s="52" t="n">
        <v>0</v>
      </c>
      <c r="AC2271" s="52" t="n">
        <v>0</v>
      </c>
      <c r="AD2271" s="52" t="n">
        <v>0</v>
      </c>
      <c r="AE2271" s="52" t="n">
        <v>0</v>
      </c>
      <c r="AF2271" s="52" t="n">
        <v>0</v>
      </c>
      <c r="AG2271" s="52" t="n">
        <v>0</v>
      </c>
      <c r="AH2271" s="52" t="n">
        <v>0</v>
      </c>
      <c r="AI2271" s="52" t="n">
        <v>0</v>
      </c>
      <c r="AJ2271" s="52" t="n">
        <v>0</v>
      </c>
      <c r="AK2271" s="52" t="n">
        <v>0</v>
      </c>
      <c r="AL2271" s="52" t="n">
        <v>0</v>
      </c>
      <c r="AM2271" s="53" t="n">
        <v>0</v>
      </c>
      <c r="AN2271" s="53" t="n">
        <v>0</v>
      </c>
      <c r="AO2271" s="53" t="n">
        <v>0</v>
      </c>
      <c r="AP2271" s="53" t="n">
        <v>0</v>
      </c>
      <c r="AQ2271" s="52" t="n">
        <v>0</v>
      </c>
      <c r="AR2271" s="52" t="n">
        <v>0</v>
      </c>
      <c r="AS2271" s="52" t="n">
        <v>0</v>
      </c>
      <c r="AT2271" s="52" t="n">
        <v>0</v>
      </c>
      <c r="AU2271" s="53" t="n">
        <v>0</v>
      </c>
      <c r="AV2271" s="53" t="n">
        <v>0</v>
      </c>
      <c r="AW2271" s="53" t="n">
        <v>0</v>
      </c>
      <c r="AX2271" s="53" t="n">
        <v>0</v>
      </c>
      <c r="AY2271" s="52" t="n">
        <v>0</v>
      </c>
      <c r="AZ2271" s="52" t="n">
        <v>9.99</v>
      </c>
      <c r="BA2271" s="52" t="n">
        <v>0</v>
      </c>
      <c r="BB2271" s="52" t="n">
        <v>0</v>
      </c>
      <c r="BC2271" s="51" t="n">
        <v>0</v>
      </c>
      <c r="BD2271" s="51" t="n">
        <v>0</v>
      </c>
      <c r="BE2271" s="51" t="n">
        <v>0</v>
      </c>
      <c r="BF2271" s="51" t="n">
        <v>0</v>
      </c>
    </row>
    <row r="2272">
      <c r="A2272">
        <f>HYPERLINK("https://www.walmart.com/ip/172782247", "172782247")</f>
        <v/>
      </c>
      <c r="B2272" t="inlineStr">
        <is>
          <t>KC Caps® Unisex Cotton Baseball Cap Adjustable Plain Hat (21 Styles/Colors)</t>
        </is>
      </c>
      <c r="C2272" t="inlineStr">
        <is>
          <t>KC8010WN</t>
        </is>
      </c>
      <c r="D2272" t="inlineStr">
        <is>
          <t>Hats</t>
        </is>
      </c>
      <c r="E2272" t="inlineStr">
        <is>
          <t>KC Caps</t>
        </is>
      </c>
      <c r="F2272" t="inlineStr">
        <is>
          <t>Batch 1 - TR</t>
        </is>
      </c>
      <c r="G2272" s="48" t="n">
        <v>0</v>
      </c>
      <c r="H2272" s="48" t="n">
        <v>0</v>
      </c>
      <c r="I2272" s="48" t="n">
        <v>6.99</v>
      </c>
      <c r="J2272" s="48" t="n">
        <v>0</v>
      </c>
      <c r="K2272" s="49" t="n">
        <v>0</v>
      </c>
      <c r="L2272" s="49" t="n">
        <v>0</v>
      </c>
      <c r="M2272" s="49" t="n">
        <v>1</v>
      </c>
      <c r="N2272" s="49" t="n">
        <v>0</v>
      </c>
      <c r="O2272" s="49" t="n">
        <v>0</v>
      </c>
      <c r="P2272" s="49" t="n">
        <v>0</v>
      </c>
      <c r="Q2272" s="49" t="n">
        <v>0</v>
      </c>
      <c r="R2272" s="49" t="n">
        <v>0</v>
      </c>
      <c r="S2272" s="50" t="n">
        <v>0</v>
      </c>
      <c r="T2272" s="50" t="n">
        <v>0</v>
      </c>
      <c r="U2272" s="50" t="n">
        <v>0</v>
      </c>
      <c r="V2272" s="50" t="n">
        <v>0</v>
      </c>
      <c r="W2272" s="51" t="n">
        <v>0</v>
      </c>
      <c r="X2272" s="51" t="n">
        <v>0</v>
      </c>
      <c r="Y2272" s="51" t="n">
        <v>0</v>
      </c>
      <c r="Z2272" s="51" t="n">
        <v>0</v>
      </c>
      <c r="AA2272" s="52" t="n">
        <v>0</v>
      </c>
      <c r="AB2272" s="52" t="n">
        <v>0</v>
      </c>
      <c r="AC2272" s="52" t="n">
        <v>0</v>
      </c>
      <c r="AD2272" s="52" t="n">
        <v>0</v>
      </c>
      <c r="AE2272" s="52" t="n">
        <v>0</v>
      </c>
      <c r="AF2272" s="52" t="n">
        <v>0</v>
      </c>
      <c r="AG2272" s="52" t="n">
        <v>0</v>
      </c>
      <c r="AH2272" s="52" t="n">
        <v>0</v>
      </c>
      <c r="AI2272" s="52" t="n">
        <v>0</v>
      </c>
      <c r="AJ2272" s="52" t="n">
        <v>0</v>
      </c>
      <c r="AK2272" s="52" t="n">
        <v>0</v>
      </c>
      <c r="AL2272" s="52" t="n">
        <v>0</v>
      </c>
      <c r="AM2272" s="53" t="n">
        <v>0</v>
      </c>
      <c r="AN2272" s="53" t="n">
        <v>0</v>
      </c>
      <c r="AO2272" s="53" t="n">
        <v>0</v>
      </c>
      <c r="AP2272" s="53" t="n">
        <v>0</v>
      </c>
      <c r="AQ2272" s="52" t="n">
        <v>0</v>
      </c>
      <c r="AR2272" s="52" t="n">
        <v>0</v>
      </c>
      <c r="AS2272" s="52" t="n">
        <v>0</v>
      </c>
      <c r="AT2272" s="52" t="n">
        <v>0</v>
      </c>
      <c r="AU2272" s="53" t="n">
        <v>0</v>
      </c>
      <c r="AV2272" s="53" t="n">
        <v>0</v>
      </c>
      <c r="AW2272" s="53" t="n">
        <v>0</v>
      </c>
      <c r="AX2272" s="53" t="n">
        <v>0</v>
      </c>
      <c r="AY2272" s="52" t="n">
        <v>0</v>
      </c>
      <c r="AZ2272" s="52" t="n">
        <v>0</v>
      </c>
      <c r="BA2272" s="52" t="n">
        <v>6.99</v>
      </c>
      <c r="BB2272" s="52" t="n">
        <v>0</v>
      </c>
      <c r="BC2272" s="51" t="n">
        <v>0</v>
      </c>
      <c r="BD2272" s="51" t="n">
        <v>0</v>
      </c>
      <c r="BE2272" s="51" t="n">
        <v>0</v>
      </c>
      <c r="BF2272" s="51" t="n">
        <v>0</v>
      </c>
    </row>
    <row r="2273">
      <c r="A2273">
        <f>HYPERLINK("https://www.walmart.com/ip/177208126", "177208126")</f>
        <v/>
      </c>
      <c r="B2273" t="inlineStr">
        <is>
          <t>Catalonia Waterproof Blanket for Baby, Pee Proof Pet Cover for Couch and Bed, Reversible Sherpa Fleece Throw Blanket for Relaxing, Traveling and Camping, Brown/Tuape, 80" x 60"</t>
        </is>
      </c>
      <c r="C2273" t="inlineStr">
        <is>
          <t>1CTBW681BNTP</t>
        </is>
      </c>
      <c r="D2273" t="inlineStr">
        <is>
          <t>Throws</t>
        </is>
      </c>
      <c r="E2273" t="inlineStr">
        <is>
          <t>Catalonia</t>
        </is>
      </c>
      <c r="F2273" t="inlineStr">
        <is>
          <t>Optimized,Wproof Blanket</t>
        </is>
      </c>
      <c r="G2273" s="48" t="n">
        <v>0</v>
      </c>
      <c r="H2273" s="48" t="n">
        <v>0</v>
      </c>
      <c r="I2273" s="48" t="n">
        <v>0</v>
      </c>
      <c r="J2273" s="48" t="n">
        <v>0</v>
      </c>
      <c r="K2273" s="49" t="n">
        <v>0</v>
      </c>
      <c r="L2273" s="49" t="n">
        <v>0</v>
      </c>
      <c r="M2273" s="49" t="n">
        <v>0</v>
      </c>
      <c r="N2273" s="49" t="n">
        <v>0</v>
      </c>
      <c r="O2273" s="49" t="n">
        <v>0</v>
      </c>
      <c r="P2273" s="49" t="n">
        <v>0</v>
      </c>
      <c r="Q2273" s="49" t="n">
        <v>0</v>
      </c>
      <c r="R2273" s="49" t="n">
        <v>0</v>
      </c>
      <c r="S2273" s="50" t="n">
        <v>0</v>
      </c>
      <c r="T2273" s="50" t="n">
        <v>0</v>
      </c>
      <c r="U2273" s="50" t="n">
        <v>0</v>
      </c>
      <c r="V2273" s="50" t="n">
        <v>0</v>
      </c>
      <c r="W2273" s="51" t="n">
        <v>1</v>
      </c>
      <c r="X2273" s="51" t="n">
        <v>2</v>
      </c>
      <c r="Y2273" s="51" t="n">
        <v>0</v>
      </c>
      <c r="Z2273" s="51" t="n">
        <v>0</v>
      </c>
      <c r="AA2273" s="52" t="n">
        <v>0.31</v>
      </c>
      <c r="AB2273" s="52" t="n">
        <v>0.53</v>
      </c>
      <c r="AC2273" s="52" t="n">
        <v>0</v>
      </c>
      <c r="AD2273" s="52" t="n">
        <v>0</v>
      </c>
      <c r="AE2273" s="52" t="n">
        <v>0</v>
      </c>
      <c r="AF2273" s="52" t="n">
        <v>0</v>
      </c>
      <c r="AG2273" s="52" t="n">
        <v>0</v>
      </c>
      <c r="AH2273" s="52" t="n">
        <v>0</v>
      </c>
      <c r="AI2273" s="52" t="n">
        <v>0</v>
      </c>
      <c r="AJ2273" s="52" t="n">
        <v>0</v>
      </c>
      <c r="AK2273" s="52" t="n">
        <v>0</v>
      </c>
      <c r="AL2273" s="52" t="n">
        <v>0</v>
      </c>
      <c r="AM2273" s="53" t="n">
        <v>0.0019</v>
      </c>
      <c r="AN2273" s="53" t="n">
        <v>0.0025</v>
      </c>
      <c r="AO2273" s="53" t="n">
        <v>0</v>
      </c>
      <c r="AP2273" s="53" t="n">
        <v>0</v>
      </c>
      <c r="AQ2273" s="52" t="n">
        <v>0.31</v>
      </c>
      <c r="AR2273" s="52" t="n">
        <v>0.265</v>
      </c>
      <c r="AS2273" s="52" t="n">
        <v>0</v>
      </c>
      <c r="AT2273" s="52" t="n">
        <v>0</v>
      </c>
      <c r="AU2273" s="53" t="n">
        <v>0</v>
      </c>
      <c r="AV2273" s="53" t="n">
        <v>0</v>
      </c>
      <c r="AW2273" s="53" t="n">
        <v>0</v>
      </c>
      <c r="AX2273" s="53" t="n">
        <v>0</v>
      </c>
      <c r="AY2273" s="52" t="n">
        <v>0</v>
      </c>
      <c r="AZ2273" s="52" t="n">
        <v>0</v>
      </c>
      <c r="BA2273" s="52" t="n">
        <v>0</v>
      </c>
      <c r="BB2273" s="52" t="n">
        <v>0</v>
      </c>
      <c r="BC2273" s="51" t="n">
        <v>528</v>
      </c>
      <c r="BD2273" s="51" t="n">
        <v>804</v>
      </c>
      <c r="BE2273" s="51" t="n">
        <v>0</v>
      </c>
      <c r="BF2273" s="51" t="n">
        <v>0</v>
      </c>
    </row>
    <row r="2274">
      <c r="A2274">
        <f>HYPERLINK("https://www.walmart.com/ip/172851444", "172851444")</f>
        <v/>
      </c>
      <c r="B2274" t="inlineStr">
        <is>
          <t>JenniWears® Women Intimate Night Babydoll Robe w/ Satin Ribbon Belt G-string Set</t>
        </is>
      </c>
      <c r="C2274" t="inlineStr">
        <is>
          <t>JWRS03PK-M</t>
        </is>
      </c>
      <c r="D2274" t="inlineStr">
        <is>
          <t>Lingerie Sets</t>
        </is>
      </c>
      <c r="E2274" t="inlineStr">
        <is>
          <t>JenniWears</t>
        </is>
      </c>
      <c r="F2274" t="inlineStr">
        <is>
          <t>Optimized,Valentine</t>
        </is>
      </c>
      <c r="G2274" s="48" t="n">
        <v>0</v>
      </c>
      <c r="H2274" s="48" t="n">
        <v>0</v>
      </c>
      <c r="I2274" s="48" t="n">
        <v>0</v>
      </c>
      <c r="J2274" s="48" t="n">
        <v>0</v>
      </c>
      <c r="K2274" s="49" t="n">
        <v>0</v>
      </c>
      <c r="L2274" s="49" t="n">
        <v>0</v>
      </c>
      <c r="M2274" s="49" t="n">
        <v>0</v>
      </c>
      <c r="N2274" s="49" t="n">
        <v>0</v>
      </c>
      <c r="O2274" s="49" t="n">
        <v>0</v>
      </c>
      <c r="P2274" s="49" t="n">
        <v>0</v>
      </c>
      <c r="Q2274" s="49" t="n">
        <v>0</v>
      </c>
      <c r="R2274" s="49" t="n">
        <v>0</v>
      </c>
      <c r="S2274" s="50" t="n">
        <v>0</v>
      </c>
      <c r="T2274" s="50" t="n">
        <v>0</v>
      </c>
      <c r="U2274" s="50" t="n">
        <v>0</v>
      </c>
      <c r="V2274" s="50" t="n">
        <v>0</v>
      </c>
      <c r="W2274" s="51" t="n">
        <v>0</v>
      </c>
      <c r="X2274" s="51" t="n">
        <v>0</v>
      </c>
      <c r="Y2274" s="51" t="n">
        <v>0</v>
      </c>
      <c r="Z2274" s="51" t="n">
        <v>0</v>
      </c>
      <c r="AA2274" s="52" t="n">
        <v>0</v>
      </c>
      <c r="AB2274" s="52" t="n">
        <v>0</v>
      </c>
      <c r="AC2274" s="52" t="n">
        <v>0</v>
      </c>
      <c r="AD2274" s="52" t="n">
        <v>0</v>
      </c>
      <c r="AE2274" s="52" t="n">
        <v>0</v>
      </c>
      <c r="AF2274" s="52" t="n">
        <v>0</v>
      </c>
      <c r="AG2274" s="52" t="n">
        <v>0</v>
      </c>
      <c r="AH2274" s="52" t="n">
        <v>0</v>
      </c>
      <c r="AI2274" s="52" t="n">
        <v>0</v>
      </c>
      <c r="AJ2274" s="52" t="n">
        <v>0</v>
      </c>
      <c r="AK2274" s="52" t="n">
        <v>0</v>
      </c>
      <c r="AL2274" s="52" t="n">
        <v>0</v>
      </c>
      <c r="AM2274" s="53" t="n">
        <v>0</v>
      </c>
      <c r="AN2274" s="53" t="n">
        <v>0</v>
      </c>
      <c r="AO2274" s="53" t="n">
        <v>0</v>
      </c>
      <c r="AP2274" s="53" t="n">
        <v>0</v>
      </c>
      <c r="AQ2274" s="52" t="n">
        <v>0</v>
      </c>
      <c r="AR2274" s="52" t="n">
        <v>0</v>
      </c>
      <c r="AS2274" s="52" t="n">
        <v>0</v>
      </c>
      <c r="AT2274" s="52" t="n">
        <v>0</v>
      </c>
      <c r="AU2274" s="53" t="n">
        <v>0</v>
      </c>
      <c r="AV2274" s="53" t="n">
        <v>0</v>
      </c>
      <c r="AW2274" s="53" t="n">
        <v>0</v>
      </c>
      <c r="AX2274" s="53" t="n">
        <v>0</v>
      </c>
      <c r="AY2274" s="52" t="n">
        <v>0</v>
      </c>
      <c r="AZ2274" s="52" t="n">
        <v>0</v>
      </c>
      <c r="BA2274" s="52" t="n">
        <v>0</v>
      </c>
      <c r="BB2274" s="52" t="n">
        <v>0</v>
      </c>
      <c r="BC2274" s="51" t="n">
        <v>0</v>
      </c>
      <c r="BD2274" s="51" t="n">
        <v>0</v>
      </c>
      <c r="BE2274" s="51" t="n">
        <v>0</v>
      </c>
      <c r="BF2274" s="51" t="n">
        <v>0</v>
      </c>
    </row>
    <row r="2275">
      <c r="A2275">
        <f>HYPERLINK("https://www.walmart.com/ip/172904320", "172904320")</f>
        <v/>
      </c>
      <c r="B2275" t="inlineStr">
        <is>
          <t>Catalonia Sherpa Fleece Throw Blanket, Super Soft Mink Plush Couch Blanket,TV Bed Fuzzy Blanket, Fluffy Comfy Warm Heavy Throws, Comfort Caring Gift, 50x60 inches, Mistletoe</t>
        </is>
      </c>
      <c r="C2275" t="inlineStr">
        <is>
          <t>1CTBF300MST</t>
        </is>
      </c>
      <c r="D2275" t="inlineStr">
        <is>
          <t>Throws</t>
        </is>
      </c>
      <c r="E2275" t="inlineStr">
        <is>
          <t>Catalonia</t>
        </is>
      </c>
      <c r="F2275" t="inlineStr">
        <is>
          <t>WFS,cost-added,WFS Item</t>
        </is>
      </c>
      <c r="G2275" s="48" t="n">
        <v>0</v>
      </c>
      <c r="H2275" s="48" t="n">
        <v>0</v>
      </c>
      <c r="I2275" s="48" t="n">
        <v>0</v>
      </c>
      <c r="J2275" s="48" t="n">
        <v>0</v>
      </c>
      <c r="K2275" s="49" t="n">
        <v>0</v>
      </c>
      <c r="L2275" s="49" t="n">
        <v>0</v>
      </c>
      <c r="M2275" s="49" t="n">
        <v>0</v>
      </c>
      <c r="N2275" s="49" t="n">
        <v>0</v>
      </c>
      <c r="O2275" s="49" t="n">
        <v>0</v>
      </c>
      <c r="P2275" s="49" t="n">
        <v>0</v>
      </c>
      <c r="Q2275" s="49" t="n">
        <v>0</v>
      </c>
      <c r="R2275" s="49" t="n">
        <v>0</v>
      </c>
      <c r="S2275" s="50" t="n">
        <v>0</v>
      </c>
      <c r="T2275" s="50" t="n">
        <v>0</v>
      </c>
      <c r="U2275" s="50" t="n">
        <v>0</v>
      </c>
      <c r="V2275" s="50" t="n">
        <v>0</v>
      </c>
      <c r="W2275" s="51" t="n">
        <v>0</v>
      </c>
      <c r="X2275" s="51" t="n">
        <v>0</v>
      </c>
      <c r="Y2275" s="51" t="n">
        <v>0</v>
      </c>
      <c r="Z2275" s="51" t="n">
        <v>0</v>
      </c>
      <c r="AA2275" s="52" t="n">
        <v>0</v>
      </c>
      <c r="AB2275" s="52" t="n">
        <v>0</v>
      </c>
      <c r="AC2275" s="52" t="n">
        <v>0</v>
      </c>
      <c r="AD2275" s="52" t="n">
        <v>0</v>
      </c>
      <c r="AE2275" s="52" t="n">
        <v>0</v>
      </c>
      <c r="AF2275" s="52" t="n">
        <v>0</v>
      </c>
      <c r="AG2275" s="52" t="n">
        <v>0</v>
      </c>
      <c r="AH2275" s="52" t="n">
        <v>0</v>
      </c>
      <c r="AI2275" s="52" t="n">
        <v>0</v>
      </c>
      <c r="AJ2275" s="52" t="n">
        <v>0</v>
      </c>
      <c r="AK2275" s="52" t="n">
        <v>0</v>
      </c>
      <c r="AL2275" s="52" t="n">
        <v>0</v>
      </c>
      <c r="AM2275" s="53" t="n">
        <v>0</v>
      </c>
      <c r="AN2275" s="53" t="n">
        <v>0</v>
      </c>
      <c r="AO2275" s="53" t="n">
        <v>0</v>
      </c>
      <c r="AP2275" s="53" t="n">
        <v>0</v>
      </c>
      <c r="AQ2275" s="52" t="n">
        <v>0</v>
      </c>
      <c r="AR2275" s="52" t="n">
        <v>0</v>
      </c>
      <c r="AS2275" s="52" t="n">
        <v>0</v>
      </c>
      <c r="AT2275" s="52" t="n">
        <v>0</v>
      </c>
      <c r="AU2275" s="53" t="n">
        <v>0</v>
      </c>
      <c r="AV2275" s="53" t="n">
        <v>0</v>
      </c>
      <c r="AW2275" s="53" t="n">
        <v>0</v>
      </c>
      <c r="AX2275" s="53" t="n">
        <v>0</v>
      </c>
      <c r="AY2275" s="52" t="n">
        <v>0</v>
      </c>
      <c r="AZ2275" s="52" t="n">
        <v>0</v>
      </c>
      <c r="BA2275" s="52" t="n">
        <v>0</v>
      </c>
      <c r="BB2275" s="52" t="n">
        <v>0</v>
      </c>
      <c r="BC2275" s="51" t="n">
        <v>0</v>
      </c>
      <c r="BD2275" s="51" t="n">
        <v>0</v>
      </c>
      <c r="BE2275" s="51" t="n">
        <v>0</v>
      </c>
      <c r="BF2275" s="51" t="n">
        <v>0</v>
      </c>
    </row>
    <row r="2276">
      <c r="A2276">
        <f>HYPERLINK("https://www.walmart.com/ip/173150573", "173150573")</f>
        <v/>
      </c>
      <c r="B2276" t="inlineStr">
        <is>
          <t>Napa Super Soft Warm Micro Plush TV Blanket with Sleeves for Women and Men, Sherpa Mink Fleece Blanket, Wearable Throw Robe, Cobalt Blue, 72" x 50"</t>
        </is>
      </c>
      <c r="C2276" t="inlineStr">
        <is>
          <t>K3080COBLUE</t>
        </is>
      </c>
      <c r="D2276" t="inlineStr">
        <is>
          <t>Throws</t>
        </is>
      </c>
      <c r="E2276" t="inlineStr">
        <is>
          <t>NAPA</t>
        </is>
      </c>
      <c r="F2276" t="inlineStr">
        <is>
          <t>Batch 1 - TR</t>
        </is>
      </c>
      <c r="G2276" s="48" t="n">
        <v>0</v>
      </c>
      <c r="H2276" s="48" t="n">
        <v>0</v>
      </c>
      <c r="I2276" s="48" t="n">
        <v>0</v>
      </c>
      <c r="J2276" s="48" t="n">
        <v>0</v>
      </c>
      <c r="K2276" s="49" t="n">
        <v>0</v>
      </c>
      <c r="L2276" s="49" t="n">
        <v>0</v>
      </c>
      <c r="M2276" s="49" t="n">
        <v>0</v>
      </c>
      <c r="N2276" s="49" t="n">
        <v>0</v>
      </c>
      <c r="O2276" s="49" t="n">
        <v>0</v>
      </c>
      <c r="P2276" s="49" t="n">
        <v>0</v>
      </c>
      <c r="Q2276" s="49" t="n">
        <v>0</v>
      </c>
      <c r="R2276" s="49" t="n">
        <v>0</v>
      </c>
      <c r="S2276" s="50" t="n">
        <v>0</v>
      </c>
      <c r="T2276" s="50" t="n">
        <v>0</v>
      </c>
      <c r="U2276" s="50" t="n">
        <v>0</v>
      </c>
      <c r="V2276" s="50" t="n">
        <v>0</v>
      </c>
      <c r="W2276" s="51" t="n">
        <v>0</v>
      </c>
      <c r="X2276" s="51" t="n">
        <v>0</v>
      </c>
      <c r="Y2276" s="51" t="n">
        <v>0</v>
      </c>
      <c r="Z2276" s="51" t="n">
        <v>0</v>
      </c>
      <c r="AA2276" s="52" t="n">
        <v>0</v>
      </c>
      <c r="AB2276" s="52" t="n">
        <v>0</v>
      </c>
      <c r="AC2276" s="52" t="n">
        <v>0</v>
      </c>
      <c r="AD2276" s="52" t="n">
        <v>0</v>
      </c>
      <c r="AE2276" s="52" t="n">
        <v>0</v>
      </c>
      <c r="AF2276" s="52" t="n">
        <v>0</v>
      </c>
      <c r="AG2276" s="52" t="n">
        <v>0</v>
      </c>
      <c r="AH2276" s="52" t="n">
        <v>0</v>
      </c>
      <c r="AI2276" s="52" t="n">
        <v>0</v>
      </c>
      <c r="AJ2276" s="52" t="n">
        <v>0</v>
      </c>
      <c r="AK2276" s="52" t="n">
        <v>0</v>
      </c>
      <c r="AL2276" s="52" t="n">
        <v>0</v>
      </c>
      <c r="AM2276" s="53" t="n">
        <v>0</v>
      </c>
      <c r="AN2276" s="53" t="n">
        <v>0</v>
      </c>
      <c r="AO2276" s="53" t="n">
        <v>0</v>
      </c>
      <c r="AP2276" s="53" t="n">
        <v>0</v>
      </c>
      <c r="AQ2276" s="52" t="n">
        <v>0</v>
      </c>
      <c r="AR2276" s="52" t="n">
        <v>0</v>
      </c>
      <c r="AS2276" s="52" t="n">
        <v>0</v>
      </c>
      <c r="AT2276" s="52" t="n">
        <v>0</v>
      </c>
      <c r="AU2276" s="53" t="n">
        <v>0</v>
      </c>
      <c r="AV2276" s="53" t="n">
        <v>0</v>
      </c>
      <c r="AW2276" s="53" t="n">
        <v>0</v>
      </c>
      <c r="AX2276" s="53" t="n">
        <v>0</v>
      </c>
      <c r="AY2276" s="52" t="n">
        <v>0</v>
      </c>
      <c r="AZ2276" s="52" t="n">
        <v>0</v>
      </c>
      <c r="BA2276" s="52" t="n">
        <v>0</v>
      </c>
      <c r="BB2276" s="52" t="n">
        <v>0</v>
      </c>
      <c r="BC2276" s="51" t="n">
        <v>0</v>
      </c>
      <c r="BD2276" s="51" t="n">
        <v>0</v>
      </c>
      <c r="BE2276" s="51" t="n">
        <v>0</v>
      </c>
      <c r="BF2276" s="51" t="n">
        <v>0</v>
      </c>
    </row>
    <row r="2277">
      <c r="A2277">
        <f>HYPERLINK("https://www.walmart.com/ip/173384840", "173384840")</f>
        <v/>
      </c>
      <c r="B2277" t="inlineStr">
        <is>
          <t>Sherpa Throw Blanket Fleece, Super Cozy Warm TV Blankets for Bed or Couch Reversible 50" x 60"</t>
        </is>
      </c>
      <c r="C2277" t="inlineStr">
        <is>
          <t>1TNBF300WN-TPB</t>
        </is>
      </c>
      <c r="D2277" t="inlineStr">
        <is>
          <t>Throws</t>
        </is>
      </c>
      <c r="E2277" t="inlineStr">
        <is>
          <t>Tirrinia</t>
        </is>
      </c>
      <c r="G2277" s="48" t="n">
        <v>0</v>
      </c>
      <c r="H2277" s="48" t="n">
        <v>0</v>
      </c>
      <c r="I2277" s="48" t="n">
        <v>0</v>
      </c>
      <c r="J2277" s="48" t="n">
        <v>0</v>
      </c>
      <c r="K2277" s="49" t="n">
        <v>0</v>
      </c>
      <c r="L2277" s="49" t="n">
        <v>0</v>
      </c>
      <c r="M2277" s="49" t="n">
        <v>0</v>
      </c>
      <c r="N2277" s="49" t="n">
        <v>0</v>
      </c>
      <c r="O2277" s="49" t="n">
        <v>0</v>
      </c>
      <c r="P2277" s="49" t="n">
        <v>0</v>
      </c>
      <c r="Q2277" s="49" t="n">
        <v>0</v>
      </c>
      <c r="R2277" s="49" t="n">
        <v>0</v>
      </c>
      <c r="S2277" s="50" t="n">
        <v>0</v>
      </c>
      <c r="T2277" s="50" t="n">
        <v>0</v>
      </c>
      <c r="U2277" s="50" t="n">
        <v>0</v>
      </c>
      <c r="V2277" s="50" t="n">
        <v>0</v>
      </c>
      <c r="W2277" s="51" t="n">
        <v>0</v>
      </c>
      <c r="X2277" s="51" t="n">
        <v>0</v>
      </c>
      <c r="Y2277" s="51" t="n">
        <v>0</v>
      </c>
      <c r="Z2277" s="51" t="n">
        <v>0</v>
      </c>
      <c r="AA2277" s="52" t="n">
        <v>0</v>
      </c>
      <c r="AB2277" s="52" t="n">
        <v>0</v>
      </c>
      <c r="AC2277" s="52" t="n">
        <v>0</v>
      </c>
      <c r="AD2277" s="52" t="n">
        <v>0</v>
      </c>
      <c r="AE2277" s="52" t="n">
        <v>0</v>
      </c>
      <c r="AF2277" s="52" t="n">
        <v>0</v>
      </c>
      <c r="AG2277" s="52" t="n">
        <v>0</v>
      </c>
      <c r="AH2277" s="52" t="n">
        <v>0</v>
      </c>
      <c r="AI2277" s="52" t="n">
        <v>0</v>
      </c>
      <c r="AJ2277" s="52" t="n">
        <v>0</v>
      </c>
      <c r="AK2277" s="52" t="n">
        <v>0</v>
      </c>
      <c r="AL2277" s="52" t="n">
        <v>0</v>
      </c>
      <c r="AM2277" s="53" t="n">
        <v>0</v>
      </c>
      <c r="AN2277" s="53" t="n">
        <v>0</v>
      </c>
      <c r="AO2277" s="53" t="n">
        <v>0</v>
      </c>
      <c r="AP2277" s="53" t="n">
        <v>0</v>
      </c>
      <c r="AQ2277" s="52" t="n">
        <v>0</v>
      </c>
      <c r="AR2277" s="52" t="n">
        <v>0</v>
      </c>
      <c r="AS2277" s="52" t="n">
        <v>0</v>
      </c>
      <c r="AT2277" s="52" t="n">
        <v>0</v>
      </c>
      <c r="AU2277" s="53" t="n">
        <v>0</v>
      </c>
      <c r="AV2277" s="53" t="n">
        <v>0</v>
      </c>
      <c r="AW2277" s="53" t="n">
        <v>0</v>
      </c>
      <c r="AX2277" s="53" t="n">
        <v>0</v>
      </c>
      <c r="AY2277" s="52" t="n">
        <v>0</v>
      </c>
      <c r="AZ2277" s="52" t="n">
        <v>0</v>
      </c>
      <c r="BA2277" s="52" t="n">
        <v>0</v>
      </c>
      <c r="BB2277" s="52" t="n">
        <v>0</v>
      </c>
      <c r="BC2277" s="51" t="n">
        <v>0</v>
      </c>
      <c r="BD2277" s="51" t="n">
        <v>0</v>
      </c>
      <c r="BE2277" s="51" t="n">
        <v>0</v>
      </c>
      <c r="BF2277" s="51" t="n">
        <v>0</v>
      </c>
    </row>
    <row r="2278">
      <c r="A2278">
        <f>HYPERLINK("https://www.walmart.com/ip/173669626", "173669626")</f>
        <v/>
      </c>
      <c r="B2278" t="inlineStr">
        <is>
          <t>Light up Sequin Fedora LED Hat Neon Rave Costumes Glow in Dark Party music concerts,night clubs,holiday,parties,festival</t>
        </is>
      </c>
      <c r="C2278" t="inlineStr">
        <is>
          <t>JWLEDHAT01-WT</t>
        </is>
      </c>
      <c r="D2278" t="inlineStr">
        <is>
          <t>Party Hats</t>
        </is>
      </c>
      <c r="E2278" t="inlineStr">
        <is>
          <t>JenniWears</t>
        </is>
      </c>
      <c r="F2278" t="inlineStr">
        <is>
          <t>Halloween</t>
        </is>
      </c>
      <c r="G2278" s="48" t="n">
        <v>0</v>
      </c>
      <c r="H2278" s="48" t="n">
        <v>0</v>
      </c>
      <c r="I2278" s="48" t="n">
        <v>0</v>
      </c>
      <c r="J2278" s="48" t="n">
        <v>0</v>
      </c>
      <c r="K2278" s="49" t="n">
        <v>0</v>
      </c>
      <c r="L2278" s="49" t="n">
        <v>0</v>
      </c>
      <c r="M2278" s="49" t="n">
        <v>0</v>
      </c>
      <c r="N2278" s="49" t="n">
        <v>0</v>
      </c>
      <c r="O2278" s="49" t="n">
        <v>0</v>
      </c>
      <c r="P2278" s="49" t="n">
        <v>0</v>
      </c>
      <c r="Q2278" s="49" t="n">
        <v>0</v>
      </c>
      <c r="R2278" s="49" t="n">
        <v>0</v>
      </c>
      <c r="S2278" s="50" t="n">
        <v>0</v>
      </c>
      <c r="T2278" s="50" t="n">
        <v>0</v>
      </c>
      <c r="U2278" s="50" t="n">
        <v>0</v>
      </c>
      <c r="V2278" s="50" t="n">
        <v>0</v>
      </c>
      <c r="W2278" s="51" t="n">
        <v>0</v>
      </c>
      <c r="X2278" s="51" t="n">
        <v>0</v>
      </c>
      <c r="Y2278" s="51" t="n">
        <v>0</v>
      </c>
      <c r="Z2278" s="51" t="n">
        <v>0</v>
      </c>
      <c r="AA2278" s="52" t="n">
        <v>0</v>
      </c>
      <c r="AB2278" s="52" t="n">
        <v>0</v>
      </c>
      <c r="AC2278" s="52" t="n">
        <v>0</v>
      </c>
      <c r="AD2278" s="52" t="n">
        <v>0</v>
      </c>
      <c r="AE2278" s="52" t="n">
        <v>0</v>
      </c>
      <c r="AF2278" s="52" t="n">
        <v>0</v>
      </c>
      <c r="AG2278" s="52" t="n">
        <v>0</v>
      </c>
      <c r="AH2278" s="52" t="n">
        <v>0</v>
      </c>
      <c r="AI2278" s="52" t="n">
        <v>0</v>
      </c>
      <c r="AJ2278" s="52" t="n">
        <v>0</v>
      </c>
      <c r="AK2278" s="52" t="n">
        <v>0</v>
      </c>
      <c r="AL2278" s="52" t="n">
        <v>0</v>
      </c>
      <c r="AM2278" s="53" t="n">
        <v>0</v>
      </c>
      <c r="AN2278" s="53" t="n">
        <v>0</v>
      </c>
      <c r="AO2278" s="53" t="n">
        <v>0</v>
      </c>
      <c r="AP2278" s="53" t="n">
        <v>0</v>
      </c>
      <c r="AQ2278" s="52" t="n">
        <v>0</v>
      </c>
      <c r="AR2278" s="52" t="n">
        <v>0</v>
      </c>
      <c r="AS2278" s="52" t="n">
        <v>0</v>
      </c>
      <c r="AT2278" s="52" t="n">
        <v>0</v>
      </c>
      <c r="AU2278" s="53" t="n">
        <v>0</v>
      </c>
      <c r="AV2278" s="53" t="n">
        <v>0</v>
      </c>
      <c r="AW2278" s="53" t="n">
        <v>0</v>
      </c>
      <c r="AX2278" s="53" t="n">
        <v>0</v>
      </c>
      <c r="AY2278" s="52" t="n">
        <v>0</v>
      </c>
      <c r="AZ2278" s="52" t="n">
        <v>0</v>
      </c>
      <c r="BA2278" s="52" t="n">
        <v>0</v>
      </c>
      <c r="BB2278" s="52" t="n">
        <v>0</v>
      </c>
      <c r="BC2278" s="51" t="n">
        <v>0</v>
      </c>
      <c r="BD2278" s="51" t="n">
        <v>0</v>
      </c>
      <c r="BE2278" s="51" t="n">
        <v>0</v>
      </c>
      <c r="BF2278" s="51" t="n">
        <v>0</v>
      </c>
    </row>
    <row r="2279">
      <c r="A2279">
        <f>HYPERLINK("https://www.walmart.com/ip/1737269416", "1737269416")</f>
        <v/>
      </c>
      <c r="B2279" t="inlineStr">
        <is>
          <t>Tirrinia Bamboo Picnic Table with Carrying Bag &amp; Free Picnic Pad, Outdoor Portable All-Purpose Patio Tables for Concerts, Camping, Beach, Tailgating, Patio, Kitchen, Living Room</t>
        </is>
      </c>
      <c r="C2279" t="inlineStr">
        <is>
          <t>1TRPT300</t>
        </is>
      </c>
      <c r="D2279" t="inlineStr">
        <is>
          <t>Picnic Tables</t>
        </is>
      </c>
      <c r="E2279" t="inlineStr">
        <is>
          <t>Tirrinia</t>
        </is>
      </c>
      <c r="G2279" s="48" t="n">
        <v>0</v>
      </c>
      <c r="H2279" s="48" t="n">
        <v>0</v>
      </c>
      <c r="I2279" s="48" t="n">
        <v>0</v>
      </c>
      <c r="J2279" s="48" t="n">
        <v>0</v>
      </c>
      <c r="K2279" s="49" t="n">
        <v>0</v>
      </c>
      <c r="L2279" s="49" t="n">
        <v>0</v>
      </c>
      <c r="M2279" s="49" t="n">
        <v>0</v>
      </c>
      <c r="N2279" s="49" t="n">
        <v>0</v>
      </c>
      <c r="O2279" s="49" t="n">
        <v>0</v>
      </c>
      <c r="P2279" s="49" t="n">
        <v>0</v>
      </c>
      <c r="Q2279" s="49" t="n">
        <v>0</v>
      </c>
      <c r="R2279" s="49" t="n">
        <v>0</v>
      </c>
      <c r="S2279" s="50" t="n">
        <v>0</v>
      </c>
      <c r="T2279" s="50" t="n">
        <v>0</v>
      </c>
      <c r="U2279" s="50" t="n">
        <v>0</v>
      </c>
      <c r="V2279" s="50" t="n">
        <v>0</v>
      </c>
      <c r="W2279" s="51" t="n">
        <v>0</v>
      </c>
      <c r="X2279" s="51" t="n">
        <v>0</v>
      </c>
      <c r="Y2279" s="51" t="n">
        <v>0</v>
      </c>
      <c r="Z2279" s="51" t="n">
        <v>0</v>
      </c>
      <c r="AA2279" s="52" t="n">
        <v>0</v>
      </c>
      <c r="AB2279" s="52" t="n">
        <v>0</v>
      </c>
      <c r="AC2279" s="52" t="n">
        <v>0</v>
      </c>
      <c r="AD2279" s="52" t="n">
        <v>0</v>
      </c>
      <c r="AE2279" s="52" t="n">
        <v>0</v>
      </c>
      <c r="AF2279" s="52" t="n">
        <v>0</v>
      </c>
      <c r="AG2279" s="52" t="n">
        <v>0</v>
      </c>
      <c r="AH2279" s="52" t="n">
        <v>0</v>
      </c>
      <c r="AI2279" s="52" t="n">
        <v>0</v>
      </c>
      <c r="AJ2279" s="52" t="n">
        <v>0</v>
      </c>
      <c r="AK2279" s="52" t="n">
        <v>0</v>
      </c>
      <c r="AL2279" s="52" t="n">
        <v>0</v>
      </c>
      <c r="AM2279" s="53" t="n">
        <v>0</v>
      </c>
      <c r="AN2279" s="53" t="n">
        <v>0</v>
      </c>
      <c r="AO2279" s="53" t="n">
        <v>0</v>
      </c>
      <c r="AP2279" s="53" t="n">
        <v>0</v>
      </c>
      <c r="AQ2279" s="52" t="n">
        <v>0</v>
      </c>
      <c r="AR2279" s="52" t="n">
        <v>0</v>
      </c>
      <c r="AS2279" s="52" t="n">
        <v>0</v>
      </c>
      <c r="AT2279" s="52" t="n">
        <v>0</v>
      </c>
      <c r="AU2279" s="53" t="n">
        <v>0</v>
      </c>
      <c r="AV2279" s="53" t="n">
        <v>0</v>
      </c>
      <c r="AW2279" s="53" t="n">
        <v>0</v>
      </c>
      <c r="AX2279" s="53" t="n">
        <v>0</v>
      </c>
      <c r="AY2279" s="52" t="n">
        <v>0</v>
      </c>
      <c r="AZ2279" s="52" t="n">
        <v>0</v>
      </c>
      <c r="BA2279" s="52" t="n">
        <v>0</v>
      </c>
      <c r="BB2279" s="52" t="n">
        <v>0</v>
      </c>
      <c r="BC2279" s="51" t="n">
        <v>0</v>
      </c>
      <c r="BD2279" s="51" t="n">
        <v>0</v>
      </c>
      <c r="BE2279" s="51" t="n">
        <v>0</v>
      </c>
      <c r="BF2279" s="51" t="n">
        <v>0</v>
      </c>
    </row>
    <row r="2280">
      <c r="A2280">
        <f>HYPERLINK("https://www.walmart.com/ip/174364437", "174364437")</f>
        <v/>
      </c>
      <c r="B2280" t="inlineStr">
        <is>
          <t>Vina 2-Bottle Wine Picnic Tote Carrier Travel Cooler Insulated Bag Leather Handles Durable Zipper Reusable</t>
        </is>
      </c>
      <c r="C2280" t="inlineStr">
        <is>
          <t>VINAWB007SPIRAL</t>
        </is>
      </c>
      <c r="D2280" t="inlineStr">
        <is>
          <t>Wine Totes, Bags &amp; Backpacks</t>
        </is>
      </c>
      <c r="E2280" t="inlineStr">
        <is>
          <t>Vina</t>
        </is>
      </c>
      <c r="F2280" t="inlineStr">
        <is>
          <t>Wine,Christmas,Optimized,Valentine</t>
        </is>
      </c>
      <c r="G2280" s="48" t="n">
        <v>0</v>
      </c>
      <c r="H2280" s="48" t="n">
        <v>0</v>
      </c>
      <c r="I2280" s="48" t="n">
        <v>0</v>
      </c>
      <c r="J2280" s="48" t="n">
        <v>0</v>
      </c>
      <c r="K2280" s="49" t="n">
        <v>0</v>
      </c>
      <c r="L2280" s="49" t="n">
        <v>0</v>
      </c>
      <c r="M2280" s="49" t="n">
        <v>0</v>
      </c>
      <c r="N2280" s="49" t="n">
        <v>0</v>
      </c>
      <c r="O2280" s="49" t="n">
        <v>0</v>
      </c>
      <c r="P2280" s="49" t="n">
        <v>0</v>
      </c>
      <c r="Q2280" s="49" t="n">
        <v>0</v>
      </c>
      <c r="R2280" s="49" t="n">
        <v>0</v>
      </c>
      <c r="S2280" s="50" t="n">
        <v>0</v>
      </c>
      <c r="T2280" s="50" t="n">
        <v>0</v>
      </c>
      <c r="U2280" s="50" t="n">
        <v>0</v>
      </c>
      <c r="V2280" s="50" t="n">
        <v>0</v>
      </c>
      <c r="W2280" s="51" t="n">
        <v>0</v>
      </c>
      <c r="X2280" s="51" t="n">
        <v>0</v>
      </c>
      <c r="Y2280" s="51" t="n">
        <v>0</v>
      </c>
      <c r="Z2280" s="51" t="n">
        <v>0</v>
      </c>
      <c r="AA2280" s="52" t="n">
        <v>0</v>
      </c>
      <c r="AB2280" s="52" t="n">
        <v>0</v>
      </c>
      <c r="AC2280" s="52" t="n">
        <v>0</v>
      </c>
      <c r="AD2280" s="52" t="n">
        <v>0</v>
      </c>
      <c r="AE2280" s="52" t="n">
        <v>0</v>
      </c>
      <c r="AF2280" s="52" t="n">
        <v>0</v>
      </c>
      <c r="AG2280" s="52" t="n">
        <v>0</v>
      </c>
      <c r="AH2280" s="52" t="n">
        <v>0</v>
      </c>
      <c r="AI2280" s="52" t="n">
        <v>0</v>
      </c>
      <c r="AJ2280" s="52" t="n">
        <v>0</v>
      </c>
      <c r="AK2280" s="52" t="n">
        <v>0</v>
      </c>
      <c r="AL2280" s="52" t="n">
        <v>0</v>
      </c>
      <c r="AM2280" s="53" t="n">
        <v>0</v>
      </c>
      <c r="AN2280" s="53" t="n">
        <v>0</v>
      </c>
      <c r="AO2280" s="53" t="n">
        <v>0</v>
      </c>
      <c r="AP2280" s="53" t="n">
        <v>0</v>
      </c>
      <c r="AQ2280" s="52" t="n">
        <v>0</v>
      </c>
      <c r="AR2280" s="52" t="n">
        <v>0</v>
      </c>
      <c r="AS2280" s="52" t="n">
        <v>0</v>
      </c>
      <c r="AT2280" s="52" t="n">
        <v>0</v>
      </c>
      <c r="AU2280" s="53" t="n">
        <v>0</v>
      </c>
      <c r="AV2280" s="53" t="n">
        <v>0</v>
      </c>
      <c r="AW2280" s="53" t="n">
        <v>0</v>
      </c>
      <c r="AX2280" s="53" t="n">
        <v>0</v>
      </c>
      <c r="AY2280" s="52" t="n">
        <v>0</v>
      </c>
      <c r="AZ2280" s="52" t="n">
        <v>0</v>
      </c>
      <c r="BA2280" s="52" t="n">
        <v>0</v>
      </c>
      <c r="BB2280" s="52" t="n">
        <v>0</v>
      </c>
      <c r="BC2280" s="51" t="n">
        <v>0</v>
      </c>
      <c r="BD2280" s="51" t="n">
        <v>0</v>
      </c>
      <c r="BE2280" s="51" t="n">
        <v>0</v>
      </c>
      <c r="BF2280" s="51" t="n">
        <v>0</v>
      </c>
    </row>
    <row r="2281">
      <c r="A2281">
        <f>HYPERLINK("https://www.walmart.com/ip/174380113", "174380113")</f>
        <v/>
      </c>
      <c r="B2281" t="inlineStr">
        <is>
          <t>JenniWears® Classic Elastic, 3-layered Tulle Tutu Skirt</t>
        </is>
      </c>
      <c r="C2281" t="inlineStr">
        <is>
          <t>tutus-light purple</t>
        </is>
      </c>
      <c r="D2281" t="inlineStr">
        <is>
          <t>Skirts</t>
        </is>
      </c>
      <c r="E2281" t="inlineStr">
        <is>
          <t>JenniWears</t>
        </is>
      </c>
      <c r="F2281" t="inlineStr">
        <is>
          <t>Batch 1 - TR</t>
        </is>
      </c>
      <c r="G2281" s="48" t="n">
        <v>0</v>
      </c>
      <c r="H2281" s="48" t="n">
        <v>0</v>
      </c>
      <c r="I2281" s="48" t="n">
        <v>0</v>
      </c>
      <c r="J2281" s="48" t="n">
        <v>0</v>
      </c>
      <c r="K2281" s="49" t="n">
        <v>0</v>
      </c>
      <c r="L2281" s="49" t="n">
        <v>0</v>
      </c>
      <c r="M2281" s="49" t="n">
        <v>0</v>
      </c>
      <c r="N2281" s="49" t="n">
        <v>0</v>
      </c>
      <c r="O2281" s="49" t="n">
        <v>0</v>
      </c>
      <c r="P2281" s="49" t="n">
        <v>0</v>
      </c>
      <c r="Q2281" s="49" t="n">
        <v>0</v>
      </c>
      <c r="R2281" s="49" t="n">
        <v>0</v>
      </c>
      <c r="S2281" s="50" t="n">
        <v>0</v>
      </c>
      <c r="T2281" s="50" t="n">
        <v>0</v>
      </c>
      <c r="U2281" s="50" t="n">
        <v>0</v>
      </c>
      <c r="V2281" s="50" t="n">
        <v>0</v>
      </c>
      <c r="W2281" s="51" t="n">
        <v>0</v>
      </c>
      <c r="X2281" s="51" t="n">
        <v>0</v>
      </c>
      <c r="Y2281" s="51" t="n">
        <v>0</v>
      </c>
      <c r="Z2281" s="51" t="n">
        <v>0</v>
      </c>
      <c r="AA2281" s="52" t="n">
        <v>0</v>
      </c>
      <c r="AB2281" s="52" t="n">
        <v>0</v>
      </c>
      <c r="AC2281" s="52" t="n">
        <v>0</v>
      </c>
      <c r="AD2281" s="52" t="n">
        <v>0</v>
      </c>
      <c r="AE2281" s="52" t="n">
        <v>0</v>
      </c>
      <c r="AF2281" s="52" t="n">
        <v>0</v>
      </c>
      <c r="AG2281" s="52" t="n">
        <v>0</v>
      </c>
      <c r="AH2281" s="52" t="n">
        <v>0</v>
      </c>
      <c r="AI2281" s="52" t="n">
        <v>0</v>
      </c>
      <c r="AJ2281" s="52" t="n">
        <v>0</v>
      </c>
      <c r="AK2281" s="52" t="n">
        <v>0</v>
      </c>
      <c r="AL2281" s="52" t="n">
        <v>0</v>
      </c>
      <c r="AM2281" s="53" t="n">
        <v>0</v>
      </c>
      <c r="AN2281" s="53" t="n">
        <v>0</v>
      </c>
      <c r="AO2281" s="53" t="n">
        <v>0</v>
      </c>
      <c r="AP2281" s="53" t="n">
        <v>0</v>
      </c>
      <c r="AQ2281" s="52" t="n">
        <v>0</v>
      </c>
      <c r="AR2281" s="52" t="n">
        <v>0</v>
      </c>
      <c r="AS2281" s="52" t="n">
        <v>0</v>
      </c>
      <c r="AT2281" s="52" t="n">
        <v>0</v>
      </c>
      <c r="AU2281" s="53" t="n">
        <v>0</v>
      </c>
      <c r="AV2281" s="53" t="n">
        <v>0</v>
      </c>
      <c r="AW2281" s="53" t="n">
        <v>0</v>
      </c>
      <c r="AX2281" s="53" t="n">
        <v>0</v>
      </c>
      <c r="AY2281" s="52" t="n">
        <v>0</v>
      </c>
      <c r="AZ2281" s="52" t="n">
        <v>0</v>
      </c>
      <c r="BA2281" s="52" t="n">
        <v>0</v>
      </c>
      <c r="BB2281" s="52" t="n">
        <v>0</v>
      </c>
      <c r="BC2281" s="51" t="n">
        <v>0</v>
      </c>
      <c r="BD2281" s="51" t="n">
        <v>0</v>
      </c>
      <c r="BE2281" s="51" t="n">
        <v>0</v>
      </c>
      <c r="BF2281" s="51" t="n">
        <v>0</v>
      </c>
    </row>
    <row r="2282">
      <c r="A2282">
        <f>HYPERLINK("https://www.walmart.com/ip/174733580", "174733580")</f>
        <v/>
      </c>
      <c r="B2282" t="inlineStr">
        <is>
          <t>Pawsse Water Resistant Pet Blanket, Reversible Puppy and Cat Sherpa Throws, Cushion Mat for Car Seat, Furniture Protector Cover, Lt Gray/Dk Gray, 80'' x 60''</t>
        </is>
      </c>
      <c r="C2282" t="inlineStr">
        <is>
          <t>1PSBW681LGDG</t>
        </is>
      </c>
      <c r="D2282" t="inlineStr">
        <is>
          <t>Pet Blankets</t>
        </is>
      </c>
      <c r="E2282" t="inlineStr">
        <is>
          <t>Pawsse</t>
        </is>
      </c>
      <c r="F2282" t="inlineStr">
        <is>
          <t>Q2-Target,Optimized</t>
        </is>
      </c>
      <c r="G2282" s="48" t="n">
        <v>0</v>
      </c>
      <c r="H2282" s="48" t="n">
        <v>0</v>
      </c>
      <c r="I2282" s="48" t="n">
        <v>0</v>
      </c>
      <c r="J2282" s="48" t="n">
        <v>0</v>
      </c>
      <c r="K2282" s="49" t="n">
        <v>0</v>
      </c>
      <c r="L2282" s="49" t="n">
        <v>0</v>
      </c>
      <c r="M2282" s="49" t="n">
        <v>0</v>
      </c>
      <c r="N2282" s="49" t="n">
        <v>0</v>
      </c>
      <c r="O2282" s="49" t="n">
        <v>0</v>
      </c>
      <c r="P2282" s="49" t="n">
        <v>0</v>
      </c>
      <c r="Q2282" s="49" t="n">
        <v>0</v>
      </c>
      <c r="R2282" s="49" t="n">
        <v>0</v>
      </c>
      <c r="S2282" s="50" t="n">
        <v>0</v>
      </c>
      <c r="T2282" s="50" t="n">
        <v>0</v>
      </c>
      <c r="U2282" s="50" t="n">
        <v>0</v>
      </c>
      <c r="V2282" s="50" t="n">
        <v>0</v>
      </c>
      <c r="W2282" s="51" t="n">
        <v>0</v>
      </c>
      <c r="X2282" s="51" t="n">
        <v>0</v>
      </c>
      <c r="Y2282" s="51" t="n">
        <v>0</v>
      </c>
      <c r="Z2282" s="51" t="n">
        <v>1</v>
      </c>
      <c r="AA2282" s="52" t="n">
        <v>0</v>
      </c>
      <c r="AB2282" s="52" t="n">
        <v>0</v>
      </c>
      <c r="AC2282" s="52" t="n">
        <v>0</v>
      </c>
      <c r="AD2282" s="52" t="n">
        <v>0.43</v>
      </c>
      <c r="AE2282" s="52" t="n">
        <v>0</v>
      </c>
      <c r="AF2282" s="52" t="n">
        <v>0</v>
      </c>
      <c r="AG2282" s="52" t="n">
        <v>0</v>
      </c>
      <c r="AH2282" s="52" t="n">
        <v>0</v>
      </c>
      <c r="AI2282" s="52" t="n">
        <v>0</v>
      </c>
      <c r="AJ2282" s="52" t="n">
        <v>0</v>
      </c>
      <c r="AK2282" s="52" t="n">
        <v>0</v>
      </c>
      <c r="AL2282" s="52" t="n">
        <v>0</v>
      </c>
      <c r="AM2282" s="53" t="n">
        <v>0</v>
      </c>
      <c r="AN2282" s="53" t="n">
        <v>0</v>
      </c>
      <c r="AO2282" s="53" t="n">
        <v>0</v>
      </c>
      <c r="AP2282" s="53" t="n">
        <v>0.0022</v>
      </c>
      <c r="AQ2282" s="52" t="n">
        <v>0</v>
      </c>
      <c r="AR2282" s="52" t="n">
        <v>0</v>
      </c>
      <c r="AS2282" s="52" t="n">
        <v>0</v>
      </c>
      <c r="AT2282" s="52" t="n">
        <v>0.43</v>
      </c>
      <c r="AU2282" s="53" t="n">
        <v>0</v>
      </c>
      <c r="AV2282" s="53" t="n">
        <v>0</v>
      </c>
      <c r="AW2282" s="53" t="n">
        <v>0</v>
      </c>
      <c r="AX2282" s="53" t="n">
        <v>0</v>
      </c>
      <c r="AY2282" s="52" t="n">
        <v>0</v>
      </c>
      <c r="AZ2282" s="52" t="n">
        <v>0</v>
      </c>
      <c r="BA2282" s="52" t="n">
        <v>0</v>
      </c>
      <c r="BB2282" s="52" t="n">
        <v>0</v>
      </c>
      <c r="BC2282" s="51" t="n">
        <v>564</v>
      </c>
      <c r="BD2282" s="51" t="n">
        <v>1396</v>
      </c>
      <c r="BE2282" s="51" t="n">
        <v>681</v>
      </c>
      <c r="BF2282" s="51" t="n">
        <v>463</v>
      </c>
    </row>
    <row r="2283">
      <c r="A2283">
        <f>HYPERLINK("https://www.walmart.com/ip/1753608875", "1753608875")</f>
        <v/>
      </c>
      <c r="B2283" t="inlineStr">
        <is>
          <t>Tirrinia Men's Trout Ventilate Mesh Fish Embroidery Cap Fishing Hat Navy Blue</t>
        </is>
      </c>
      <c r="C2283" t="inlineStr">
        <is>
          <t>KCHT13CAMO-12pcs</t>
        </is>
      </c>
      <c r="D2283" t="inlineStr">
        <is>
          <t>Hats</t>
        </is>
      </c>
      <c r="E2283" t="inlineStr">
        <is>
          <t>Tirrinia</t>
        </is>
      </c>
      <c r="F2283" t="inlineStr">
        <is>
          <t>Batch 1 - TR</t>
        </is>
      </c>
      <c r="G2283" s="48" t="n">
        <v>0</v>
      </c>
      <c r="H2283" s="48" t="n">
        <v>0</v>
      </c>
      <c r="I2283" s="48" t="n">
        <v>0</v>
      </c>
      <c r="J2283" s="48" t="n">
        <v>0</v>
      </c>
      <c r="K2283" s="49" t="n">
        <v>0</v>
      </c>
      <c r="L2283" s="49" t="n">
        <v>0</v>
      </c>
      <c r="M2283" s="49" t="n">
        <v>0</v>
      </c>
      <c r="N2283" s="49" t="n">
        <v>0</v>
      </c>
      <c r="O2283" s="49" t="n">
        <v>0</v>
      </c>
      <c r="P2283" s="49" t="n">
        <v>0</v>
      </c>
      <c r="Q2283" s="49" t="n">
        <v>0</v>
      </c>
      <c r="R2283" s="49" t="n">
        <v>0</v>
      </c>
      <c r="S2283" s="50" t="n">
        <v>0</v>
      </c>
      <c r="T2283" s="50" t="n">
        <v>0</v>
      </c>
      <c r="U2283" s="50" t="n">
        <v>0</v>
      </c>
      <c r="V2283" s="50" t="n">
        <v>0</v>
      </c>
      <c r="W2283" s="51" t="n">
        <v>0</v>
      </c>
      <c r="X2283" s="51" t="n">
        <v>0</v>
      </c>
      <c r="Y2283" s="51" t="n">
        <v>0</v>
      </c>
      <c r="Z2283" s="51" t="n">
        <v>0</v>
      </c>
      <c r="AA2283" s="52" t="n">
        <v>0</v>
      </c>
      <c r="AB2283" s="52" t="n">
        <v>0</v>
      </c>
      <c r="AC2283" s="52" t="n">
        <v>0</v>
      </c>
      <c r="AD2283" s="52" t="n">
        <v>0</v>
      </c>
      <c r="AE2283" s="52" t="n">
        <v>0</v>
      </c>
      <c r="AF2283" s="52" t="n">
        <v>0</v>
      </c>
      <c r="AG2283" s="52" t="n">
        <v>0</v>
      </c>
      <c r="AH2283" s="52" t="n">
        <v>0</v>
      </c>
      <c r="AI2283" s="52" t="n">
        <v>0</v>
      </c>
      <c r="AJ2283" s="52" t="n">
        <v>0</v>
      </c>
      <c r="AK2283" s="52" t="n">
        <v>0</v>
      </c>
      <c r="AL2283" s="52" t="n">
        <v>0</v>
      </c>
      <c r="AM2283" s="53" t="n">
        <v>0</v>
      </c>
      <c r="AN2283" s="53" t="n">
        <v>0</v>
      </c>
      <c r="AO2283" s="53" t="n">
        <v>0</v>
      </c>
      <c r="AP2283" s="53" t="n">
        <v>0</v>
      </c>
      <c r="AQ2283" s="52" t="n">
        <v>0</v>
      </c>
      <c r="AR2283" s="52" t="n">
        <v>0</v>
      </c>
      <c r="AS2283" s="52" t="n">
        <v>0</v>
      </c>
      <c r="AT2283" s="52" t="n">
        <v>0</v>
      </c>
      <c r="AU2283" s="53" t="n">
        <v>0</v>
      </c>
      <c r="AV2283" s="53" t="n">
        <v>0</v>
      </c>
      <c r="AW2283" s="53" t="n">
        <v>0</v>
      </c>
      <c r="AX2283" s="53" t="n">
        <v>0</v>
      </c>
      <c r="AY2283" s="52" t="n">
        <v>0</v>
      </c>
      <c r="AZ2283" s="52" t="n">
        <v>0</v>
      </c>
      <c r="BA2283" s="52" t="n">
        <v>0</v>
      </c>
      <c r="BB2283" s="52" t="n">
        <v>0</v>
      </c>
      <c r="BC2283" s="51" t="n">
        <v>0</v>
      </c>
      <c r="BD2283" s="51" t="n">
        <v>0</v>
      </c>
      <c r="BE2283" s="51" t="n">
        <v>0</v>
      </c>
      <c r="BF2283" s="51" t="n">
        <v>0</v>
      </c>
    </row>
    <row r="2284">
      <c r="A2284">
        <f>HYPERLINK("https://www.walmart.com/ip/175458702", "175458702")</f>
        <v/>
      </c>
      <c r="B2284" t="inlineStr">
        <is>
          <t>Solaris Sun Hats UV Protection Wide Brim Hat Unisex Adult Multicolor</t>
        </is>
      </c>
      <c r="C2284" t="inlineStr">
        <is>
          <t>1SLSH910-digigy</t>
        </is>
      </c>
      <c r="D2284" t="inlineStr">
        <is>
          <t>Hats</t>
        </is>
      </c>
      <c r="E2284" t="inlineStr">
        <is>
          <t>Solaris</t>
        </is>
      </c>
      <c r="F2284" t="inlineStr">
        <is>
          <t>Batch 1 - TR</t>
        </is>
      </c>
      <c r="G2284" s="48" t="n">
        <v>0</v>
      </c>
      <c r="H2284" s="48" t="n">
        <v>0</v>
      </c>
      <c r="I2284" s="48" t="n">
        <v>0</v>
      </c>
      <c r="J2284" s="48" t="n">
        <v>0</v>
      </c>
      <c r="K2284" s="49" t="n">
        <v>0</v>
      </c>
      <c r="L2284" s="49" t="n">
        <v>0</v>
      </c>
      <c r="M2284" s="49" t="n">
        <v>0</v>
      </c>
      <c r="N2284" s="49" t="n">
        <v>0</v>
      </c>
      <c r="O2284" s="49" t="n">
        <v>0</v>
      </c>
      <c r="P2284" s="49" t="n">
        <v>0</v>
      </c>
      <c r="Q2284" s="49" t="n">
        <v>0</v>
      </c>
      <c r="R2284" s="49" t="n">
        <v>0</v>
      </c>
      <c r="S2284" s="50" t="n">
        <v>0</v>
      </c>
      <c r="T2284" s="50" t="n">
        <v>0</v>
      </c>
      <c r="U2284" s="50" t="n">
        <v>0</v>
      </c>
      <c r="V2284" s="50" t="n">
        <v>0</v>
      </c>
      <c r="W2284" s="51" t="n">
        <v>0</v>
      </c>
      <c r="X2284" s="51" t="n">
        <v>0</v>
      </c>
      <c r="Y2284" s="51" t="n">
        <v>0</v>
      </c>
      <c r="Z2284" s="51" t="n">
        <v>0</v>
      </c>
      <c r="AA2284" s="52" t="n">
        <v>0</v>
      </c>
      <c r="AB2284" s="52" t="n">
        <v>0</v>
      </c>
      <c r="AC2284" s="52" t="n">
        <v>0</v>
      </c>
      <c r="AD2284" s="52" t="n">
        <v>0</v>
      </c>
      <c r="AE2284" s="52" t="n">
        <v>0</v>
      </c>
      <c r="AF2284" s="52" t="n">
        <v>0</v>
      </c>
      <c r="AG2284" s="52" t="n">
        <v>0</v>
      </c>
      <c r="AH2284" s="52" t="n">
        <v>0</v>
      </c>
      <c r="AI2284" s="52" t="n">
        <v>0</v>
      </c>
      <c r="AJ2284" s="52" t="n">
        <v>0</v>
      </c>
      <c r="AK2284" s="52" t="n">
        <v>0</v>
      </c>
      <c r="AL2284" s="52" t="n">
        <v>0</v>
      </c>
      <c r="AM2284" s="53" t="n">
        <v>0</v>
      </c>
      <c r="AN2284" s="53" t="n">
        <v>0</v>
      </c>
      <c r="AO2284" s="53" t="n">
        <v>0</v>
      </c>
      <c r="AP2284" s="53" t="n">
        <v>0</v>
      </c>
      <c r="AQ2284" s="52" t="n">
        <v>0</v>
      </c>
      <c r="AR2284" s="52" t="n">
        <v>0</v>
      </c>
      <c r="AS2284" s="52" t="n">
        <v>0</v>
      </c>
      <c r="AT2284" s="52" t="n">
        <v>0</v>
      </c>
      <c r="AU2284" s="53" t="n">
        <v>0</v>
      </c>
      <c r="AV2284" s="53" t="n">
        <v>0</v>
      </c>
      <c r="AW2284" s="53" t="n">
        <v>0</v>
      </c>
      <c r="AX2284" s="53" t="n">
        <v>0</v>
      </c>
      <c r="AY2284" s="52" t="n">
        <v>0</v>
      </c>
      <c r="AZ2284" s="52" t="n">
        <v>0</v>
      </c>
      <c r="BA2284" s="52" t="n">
        <v>0</v>
      </c>
      <c r="BB2284" s="52" t="n">
        <v>0</v>
      </c>
      <c r="BC2284" s="51" t="n">
        <v>0</v>
      </c>
      <c r="BD2284" s="51" t="n">
        <v>0</v>
      </c>
      <c r="BE2284" s="51" t="n">
        <v>0</v>
      </c>
      <c r="BF2284" s="51" t="n">
        <v>0</v>
      </c>
    </row>
    <row r="2285">
      <c r="A2285">
        <f>HYPERLINK("https://www.walmart.com/ip/1759109481", "1759109481")</f>
        <v/>
      </c>
      <c r="B2285" t="inlineStr">
        <is>
          <t>Every Day is Christmas Glass Blown Ornaments 2021 Cute Hand Made Figurines Tree Decoration, Santa Mask Off</t>
        </is>
      </c>
      <c r="C2285" t="inlineStr">
        <is>
          <t>EDC-FIGURINE-RAINBOW</t>
        </is>
      </c>
      <c r="D2285" t="inlineStr">
        <is>
          <t>Ornaments</t>
        </is>
      </c>
      <c r="E2285" t="inlineStr">
        <is>
          <t>Every Day is Christmas</t>
        </is>
      </c>
      <c r="G2285" s="48" t="n">
        <v>0</v>
      </c>
      <c r="H2285" s="48" t="n">
        <v>0</v>
      </c>
      <c r="I2285" s="48" t="n">
        <v>0</v>
      </c>
      <c r="J2285" s="48" t="n">
        <v>0</v>
      </c>
      <c r="K2285" s="49" t="n">
        <v>0</v>
      </c>
      <c r="L2285" s="49" t="n">
        <v>0</v>
      </c>
      <c r="M2285" s="49" t="n">
        <v>0</v>
      </c>
      <c r="N2285" s="49" t="n">
        <v>0</v>
      </c>
      <c r="O2285" s="49" t="n">
        <v>0</v>
      </c>
      <c r="P2285" s="49" t="n">
        <v>0</v>
      </c>
      <c r="Q2285" s="49" t="n">
        <v>0</v>
      </c>
      <c r="R2285" s="49" t="n">
        <v>0</v>
      </c>
      <c r="S2285" s="50" t="n">
        <v>0</v>
      </c>
      <c r="T2285" s="50" t="n">
        <v>0</v>
      </c>
      <c r="U2285" s="50" t="n">
        <v>0</v>
      </c>
      <c r="V2285" s="50" t="n">
        <v>0</v>
      </c>
      <c r="W2285" s="51" t="n">
        <v>0</v>
      </c>
      <c r="X2285" s="51" t="n">
        <v>0</v>
      </c>
      <c r="Y2285" s="51" t="n">
        <v>0</v>
      </c>
      <c r="Z2285" s="51" t="n">
        <v>0</v>
      </c>
      <c r="AA2285" s="52" t="n">
        <v>0</v>
      </c>
      <c r="AB2285" s="52" t="n">
        <v>0</v>
      </c>
      <c r="AC2285" s="52" t="n">
        <v>0</v>
      </c>
      <c r="AD2285" s="52" t="n">
        <v>0</v>
      </c>
      <c r="AE2285" s="52" t="n">
        <v>0</v>
      </c>
      <c r="AF2285" s="52" t="n">
        <v>0</v>
      </c>
      <c r="AG2285" s="52" t="n">
        <v>0</v>
      </c>
      <c r="AH2285" s="52" t="n">
        <v>0</v>
      </c>
      <c r="AI2285" s="52" t="n">
        <v>0</v>
      </c>
      <c r="AJ2285" s="52" t="n">
        <v>0</v>
      </c>
      <c r="AK2285" s="52" t="n">
        <v>0</v>
      </c>
      <c r="AL2285" s="52" t="n">
        <v>0</v>
      </c>
      <c r="AM2285" s="53" t="n">
        <v>0</v>
      </c>
      <c r="AN2285" s="53" t="n">
        <v>0</v>
      </c>
      <c r="AO2285" s="53" t="n">
        <v>0</v>
      </c>
      <c r="AP2285" s="53" t="n">
        <v>0</v>
      </c>
      <c r="AQ2285" s="52" t="n">
        <v>0</v>
      </c>
      <c r="AR2285" s="52" t="n">
        <v>0</v>
      </c>
      <c r="AS2285" s="52" t="n">
        <v>0</v>
      </c>
      <c r="AT2285" s="52" t="n">
        <v>0</v>
      </c>
      <c r="AU2285" s="53" t="n">
        <v>0</v>
      </c>
      <c r="AV2285" s="53" t="n">
        <v>0</v>
      </c>
      <c r="AW2285" s="53" t="n">
        <v>0</v>
      </c>
      <c r="AX2285" s="53" t="n">
        <v>0</v>
      </c>
      <c r="AY2285" s="52" t="n">
        <v>0</v>
      </c>
      <c r="AZ2285" s="52" t="n">
        <v>0</v>
      </c>
      <c r="BA2285" s="52" t="n">
        <v>0</v>
      </c>
      <c r="BB2285" s="52" t="n">
        <v>0</v>
      </c>
      <c r="BC2285" s="51" t="n">
        <v>0</v>
      </c>
      <c r="BD2285" s="51" t="n">
        <v>0</v>
      </c>
      <c r="BE2285" s="51" t="n">
        <v>0</v>
      </c>
      <c r="BF2285" s="51" t="n">
        <v>0</v>
      </c>
    </row>
    <row r="2286">
      <c r="A2286">
        <f>HYPERLINK("https://www.walmart.com/ip/1764539783", "1764539783")</f>
        <v/>
      </c>
      <c r="B2286" t="inlineStr">
        <is>
          <t>Every Day is Christmas Glass Blown Ornaments 2021 Cute Hand Made Figurines Tree Decoration, Ski Santa</t>
        </is>
      </c>
      <c r="C2286" t="inlineStr">
        <is>
          <t>EDC-FIGURINE-SKISANTA</t>
        </is>
      </c>
      <c r="D2286" t="inlineStr">
        <is>
          <t>Ornaments</t>
        </is>
      </c>
      <c r="E2286" t="inlineStr">
        <is>
          <t>Every Day is Christmas</t>
        </is>
      </c>
      <c r="G2286" s="48" t="n">
        <v>0</v>
      </c>
      <c r="H2286" s="48" t="n">
        <v>0</v>
      </c>
      <c r="I2286" s="48" t="n">
        <v>0</v>
      </c>
      <c r="J2286" s="48" t="n">
        <v>0</v>
      </c>
      <c r="K2286" s="49" t="n">
        <v>0</v>
      </c>
      <c r="L2286" s="49" t="n">
        <v>0</v>
      </c>
      <c r="M2286" s="49" t="n">
        <v>0</v>
      </c>
      <c r="N2286" s="49" t="n">
        <v>0</v>
      </c>
      <c r="O2286" s="49" t="n">
        <v>0</v>
      </c>
      <c r="P2286" s="49" t="n">
        <v>0</v>
      </c>
      <c r="Q2286" s="49" t="n">
        <v>0</v>
      </c>
      <c r="R2286" s="49" t="n">
        <v>0</v>
      </c>
      <c r="S2286" s="50" t="n">
        <v>0</v>
      </c>
      <c r="T2286" s="50" t="n">
        <v>0</v>
      </c>
      <c r="U2286" s="50" t="n">
        <v>0</v>
      </c>
      <c r="V2286" s="50" t="n">
        <v>0</v>
      </c>
      <c r="W2286" s="51" t="n">
        <v>0</v>
      </c>
      <c r="X2286" s="51" t="n">
        <v>0</v>
      </c>
      <c r="Y2286" s="51" t="n">
        <v>0</v>
      </c>
      <c r="Z2286" s="51" t="n">
        <v>0</v>
      </c>
      <c r="AA2286" s="52" t="n">
        <v>0</v>
      </c>
      <c r="AB2286" s="52" t="n">
        <v>0</v>
      </c>
      <c r="AC2286" s="52" t="n">
        <v>0</v>
      </c>
      <c r="AD2286" s="52" t="n">
        <v>0</v>
      </c>
      <c r="AE2286" s="52" t="n">
        <v>0</v>
      </c>
      <c r="AF2286" s="52" t="n">
        <v>0</v>
      </c>
      <c r="AG2286" s="52" t="n">
        <v>0</v>
      </c>
      <c r="AH2286" s="52" t="n">
        <v>0</v>
      </c>
      <c r="AI2286" s="52" t="n">
        <v>0</v>
      </c>
      <c r="AJ2286" s="52" t="n">
        <v>0</v>
      </c>
      <c r="AK2286" s="52" t="n">
        <v>0</v>
      </c>
      <c r="AL2286" s="52" t="n">
        <v>0</v>
      </c>
      <c r="AM2286" s="53" t="n">
        <v>0</v>
      </c>
      <c r="AN2286" s="53" t="n">
        <v>0</v>
      </c>
      <c r="AO2286" s="53" t="n">
        <v>0</v>
      </c>
      <c r="AP2286" s="53" t="n">
        <v>0</v>
      </c>
      <c r="AQ2286" s="52" t="n">
        <v>0</v>
      </c>
      <c r="AR2286" s="52" t="n">
        <v>0</v>
      </c>
      <c r="AS2286" s="52" t="n">
        <v>0</v>
      </c>
      <c r="AT2286" s="52" t="n">
        <v>0</v>
      </c>
      <c r="AU2286" s="53" t="n">
        <v>0</v>
      </c>
      <c r="AV2286" s="53" t="n">
        <v>0</v>
      </c>
      <c r="AW2286" s="53" t="n">
        <v>0</v>
      </c>
      <c r="AX2286" s="53" t="n">
        <v>0</v>
      </c>
      <c r="AY2286" s="52" t="n">
        <v>0</v>
      </c>
      <c r="AZ2286" s="52" t="n">
        <v>0</v>
      </c>
      <c r="BA2286" s="52" t="n">
        <v>0</v>
      </c>
      <c r="BB2286" s="52" t="n">
        <v>0</v>
      </c>
      <c r="BC2286" s="51" t="n">
        <v>0</v>
      </c>
      <c r="BD2286" s="51" t="n">
        <v>0</v>
      </c>
      <c r="BE2286" s="51" t="n">
        <v>0</v>
      </c>
      <c r="BF2286" s="51" t="n">
        <v>0</v>
      </c>
    </row>
    <row r="2287">
      <c r="A2287">
        <f>HYPERLINK("https://www.walmart.com/ip/1765471240", "1765471240")</f>
        <v/>
      </c>
      <c r="B2287" t="inlineStr">
        <is>
          <t>Every Day is Christmas Glass Blown Ornaments Cute Hand Made Figurines Tree Decoration, set of 2 Basketball</t>
        </is>
      </c>
      <c r="C2287" t="inlineStr">
        <is>
          <t>EDC-FIGURINE-BASKETBALL</t>
        </is>
      </c>
      <c r="D2287" t="inlineStr">
        <is>
          <t>Ornaments</t>
        </is>
      </c>
      <c r="E2287" t="inlineStr">
        <is>
          <t>Every Day is Christmas</t>
        </is>
      </c>
      <c r="G2287" s="48" t="n">
        <v>0</v>
      </c>
      <c r="H2287" s="48" t="n">
        <v>0</v>
      </c>
      <c r="I2287" s="48" t="n">
        <v>0</v>
      </c>
      <c r="J2287" s="48" t="n">
        <v>0</v>
      </c>
      <c r="K2287" s="49" t="n">
        <v>0</v>
      </c>
      <c r="L2287" s="49" t="n">
        <v>0</v>
      </c>
      <c r="M2287" s="49" t="n">
        <v>0</v>
      </c>
      <c r="N2287" s="49" t="n">
        <v>0</v>
      </c>
      <c r="O2287" s="49" t="n">
        <v>0</v>
      </c>
      <c r="P2287" s="49" t="n">
        <v>0</v>
      </c>
      <c r="Q2287" s="49" t="n">
        <v>0</v>
      </c>
      <c r="R2287" s="49" t="n">
        <v>0</v>
      </c>
      <c r="S2287" s="50" t="n">
        <v>0</v>
      </c>
      <c r="T2287" s="50" t="n">
        <v>0</v>
      </c>
      <c r="U2287" s="50" t="n">
        <v>0</v>
      </c>
      <c r="V2287" s="50" t="n">
        <v>0</v>
      </c>
      <c r="W2287" s="51" t="n">
        <v>0</v>
      </c>
      <c r="X2287" s="51" t="n">
        <v>0</v>
      </c>
      <c r="Y2287" s="51" t="n">
        <v>0</v>
      </c>
      <c r="Z2287" s="51" t="n">
        <v>0</v>
      </c>
      <c r="AA2287" s="52" t="n">
        <v>0</v>
      </c>
      <c r="AB2287" s="52" t="n">
        <v>0</v>
      </c>
      <c r="AC2287" s="52" t="n">
        <v>0</v>
      </c>
      <c r="AD2287" s="52" t="n">
        <v>0</v>
      </c>
      <c r="AE2287" s="52" t="n">
        <v>0</v>
      </c>
      <c r="AF2287" s="52" t="n">
        <v>0</v>
      </c>
      <c r="AG2287" s="52" t="n">
        <v>0</v>
      </c>
      <c r="AH2287" s="52" t="n">
        <v>0</v>
      </c>
      <c r="AI2287" s="52" t="n">
        <v>0</v>
      </c>
      <c r="AJ2287" s="52" t="n">
        <v>0</v>
      </c>
      <c r="AK2287" s="52" t="n">
        <v>0</v>
      </c>
      <c r="AL2287" s="52" t="n">
        <v>0</v>
      </c>
      <c r="AM2287" s="53" t="n">
        <v>0</v>
      </c>
      <c r="AN2287" s="53" t="n">
        <v>0</v>
      </c>
      <c r="AO2287" s="53" t="n">
        <v>0</v>
      </c>
      <c r="AP2287" s="53" t="n">
        <v>0</v>
      </c>
      <c r="AQ2287" s="52" t="n">
        <v>0</v>
      </c>
      <c r="AR2287" s="52" t="n">
        <v>0</v>
      </c>
      <c r="AS2287" s="52" t="n">
        <v>0</v>
      </c>
      <c r="AT2287" s="52" t="n">
        <v>0</v>
      </c>
      <c r="AU2287" s="53" t="n">
        <v>0</v>
      </c>
      <c r="AV2287" s="53" t="n">
        <v>0</v>
      </c>
      <c r="AW2287" s="53" t="n">
        <v>0</v>
      </c>
      <c r="AX2287" s="53" t="n">
        <v>0</v>
      </c>
      <c r="AY2287" s="52" t="n">
        <v>0</v>
      </c>
      <c r="AZ2287" s="52" t="n">
        <v>0</v>
      </c>
      <c r="BA2287" s="52" t="n">
        <v>0</v>
      </c>
      <c r="BB2287" s="52" t="n">
        <v>0</v>
      </c>
      <c r="BC2287" s="51" t="n">
        <v>0</v>
      </c>
      <c r="BD2287" s="51" t="n">
        <v>0</v>
      </c>
      <c r="BE2287" s="51" t="n">
        <v>0</v>
      </c>
      <c r="BF2287" s="51" t="n">
        <v>0</v>
      </c>
    </row>
    <row r="2288">
      <c r="A2288">
        <f>HYPERLINK("https://www.walmart.com/ip/176670732", "176670732")</f>
        <v/>
      </c>
      <c r="B2288" t="inlineStr">
        <is>
          <t>JenniWears Women's Floral Fishnet One Shoulder Open Crotch Bodystocking</t>
        </is>
      </c>
      <c r="C2288" t="inlineStr">
        <is>
          <t>JWBS8856</t>
        </is>
      </c>
      <c r="D2288" t="inlineStr">
        <is>
          <t>Teddies &amp; Bodystockings</t>
        </is>
      </c>
      <c r="E2288" t="inlineStr">
        <is>
          <t>JenniWears</t>
        </is>
      </c>
      <c r="F2288" t="inlineStr">
        <is>
          <t>Valentine,WFS Item</t>
        </is>
      </c>
      <c r="G2288" s="48" t="n">
        <v>0</v>
      </c>
      <c r="H2288" s="48" t="n">
        <v>0</v>
      </c>
      <c r="I2288" s="48" t="n">
        <v>0</v>
      </c>
      <c r="J2288" s="48" t="n">
        <v>7.98</v>
      </c>
      <c r="K2288" s="49" t="n">
        <v>0</v>
      </c>
      <c r="L2288" s="49" t="n">
        <v>0</v>
      </c>
      <c r="M2288" s="49" t="n">
        <v>0</v>
      </c>
      <c r="N2288" s="49" t="n">
        <v>1</v>
      </c>
      <c r="O2288" s="49" t="n">
        <v>0</v>
      </c>
      <c r="P2288" s="49" t="n">
        <v>0</v>
      </c>
      <c r="Q2288" s="49" t="n">
        <v>0</v>
      </c>
      <c r="R2288" s="49" t="n">
        <v>0</v>
      </c>
      <c r="S2288" s="50" t="n">
        <v>0</v>
      </c>
      <c r="T2288" s="50" t="n">
        <v>0</v>
      </c>
      <c r="U2288" s="50" t="n">
        <v>0</v>
      </c>
      <c r="V2288" s="50" t="n">
        <v>0</v>
      </c>
      <c r="W2288" s="51" t="n">
        <v>0</v>
      </c>
      <c r="X2288" s="51" t="n">
        <v>0</v>
      </c>
      <c r="Y2288" s="51" t="n">
        <v>0</v>
      </c>
      <c r="Z2288" s="51" t="n">
        <v>0</v>
      </c>
      <c r="AA2288" s="52" t="n">
        <v>0</v>
      </c>
      <c r="AB2288" s="52" t="n">
        <v>0</v>
      </c>
      <c r="AC2288" s="52" t="n">
        <v>0</v>
      </c>
      <c r="AD2288" s="52" t="n">
        <v>0</v>
      </c>
      <c r="AE2288" s="52" t="n">
        <v>0</v>
      </c>
      <c r="AF2288" s="52" t="n">
        <v>0</v>
      </c>
      <c r="AG2288" s="52" t="n">
        <v>0</v>
      </c>
      <c r="AH2288" s="52" t="n">
        <v>0</v>
      </c>
      <c r="AI2288" s="52" t="n">
        <v>0</v>
      </c>
      <c r="AJ2288" s="52" t="n">
        <v>0</v>
      </c>
      <c r="AK2288" s="52" t="n">
        <v>0</v>
      </c>
      <c r="AL2288" s="52" t="n">
        <v>0</v>
      </c>
      <c r="AM2288" s="53" t="n">
        <v>0</v>
      </c>
      <c r="AN2288" s="53" t="n">
        <v>0</v>
      </c>
      <c r="AO2288" s="53" t="n">
        <v>0</v>
      </c>
      <c r="AP2288" s="53" t="n">
        <v>0</v>
      </c>
      <c r="AQ2288" s="52" t="n">
        <v>0</v>
      </c>
      <c r="AR2288" s="52" t="n">
        <v>0</v>
      </c>
      <c r="AS2288" s="52" t="n">
        <v>0</v>
      </c>
      <c r="AT2288" s="52" t="n">
        <v>0</v>
      </c>
      <c r="AU2288" s="53" t="n">
        <v>0</v>
      </c>
      <c r="AV2288" s="53" t="n">
        <v>0</v>
      </c>
      <c r="AW2288" s="53" t="n">
        <v>0</v>
      </c>
      <c r="AX2288" s="53" t="n">
        <v>0</v>
      </c>
      <c r="AY2288" s="52" t="n">
        <v>0</v>
      </c>
      <c r="AZ2288" s="52" t="n">
        <v>0</v>
      </c>
      <c r="BA2288" s="52" t="n">
        <v>0</v>
      </c>
      <c r="BB2288" s="52" t="n">
        <v>7.98</v>
      </c>
      <c r="BC2288" s="51" t="n">
        <v>0</v>
      </c>
      <c r="BD2288" s="51" t="n">
        <v>0</v>
      </c>
      <c r="BE2288" s="51" t="n">
        <v>0</v>
      </c>
      <c r="BF2288" s="51" t="n">
        <v>0</v>
      </c>
    </row>
    <row r="2289">
      <c r="A2289">
        <f>HYPERLINK("https://www.walmart.com/ip/1665931188", "1665931188")</f>
        <v/>
      </c>
      <c r="B2289" t="inlineStr">
        <is>
          <t>Unisex Hunting Fishing Cap Adjustable 3D Embroidery Baseball Hat with Air Mesh Back</t>
        </is>
      </c>
      <c r="C2289" t="inlineStr">
        <is>
          <t>1TRHT7180INFI-12pcs</t>
        </is>
      </c>
      <c r="D2289" t="inlineStr">
        <is>
          <t>Hats</t>
        </is>
      </c>
      <c r="E2289" t="inlineStr">
        <is>
          <t>Tirrinia</t>
        </is>
      </c>
      <c r="G2289" s="48" t="n">
        <v>0</v>
      </c>
      <c r="H2289" s="48" t="n">
        <v>0</v>
      </c>
      <c r="I2289" s="48" t="n">
        <v>0</v>
      </c>
      <c r="J2289" s="48" t="n">
        <v>0</v>
      </c>
      <c r="K2289" s="49" t="n">
        <v>0</v>
      </c>
      <c r="L2289" s="49" t="n">
        <v>0</v>
      </c>
      <c r="M2289" s="49" t="n">
        <v>0</v>
      </c>
      <c r="N2289" s="49" t="n">
        <v>0</v>
      </c>
      <c r="O2289" s="49" t="n">
        <v>0</v>
      </c>
      <c r="P2289" s="49" t="n">
        <v>0</v>
      </c>
      <c r="Q2289" s="49" t="n">
        <v>0</v>
      </c>
      <c r="R2289" s="49" t="n">
        <v>0</v>
      </c>
      <c r="S2289" s="50" t="n">
        <v>0</v>
      </c>
      <c r="T2289" s="50" t="n">
        <v>0</v>
      </c>
      <c r="U2289" s="50" t="n">
        <v>0</v>
      </c>
      <c r="V2289" s="50" t="n">
        <v>0</v>
      </c>
      <c r="W2289" s="51" t="n">
        <v>0</v>
      </c>
      <c r="X2289" s="51" t="n">
        <v>0</v>
      </c>
      <c r="Y2289" s="51" t="n">
        <v>0</v>
      </c>
      <c r="Z2289" s="51" t="n">
        <v>0</v>
      </c>
      <c r="AA2289" s="52" t="n">
        <v>0</v>
      </c>
      <c r="AB2289" s="52" t="n">
        <v>0</v>
      </c>
      <c r="AC2289" s="52" t="n">
        <v>0</v>
      </c>
      <c r="AD2289" s="52" t="n">
        <v>0</v>
      </c>
      <c r="AE2289" s="52" t="n">
        <v>0</v>
      </c>
      <c r="AF2289" s="52" t="n">
        <v>0</v>
      </c>
      <c r="AG2289" s="52" t="n">
        <v>0</v>
      </c>
      <c r="AH2289" s="52" t="n">
        <v>0</v>
      </c>
      <c r="AI2289" s="52" t="n">
        <v>0</v>
      </c>
      <c r="AJ2289" s="52" t="n">
        <v>0</v>
      </c>
      <c r="AK2289" s="52" t="n">
        <v>0</v>
      </c>
      <c r="AL2289" s="52" t="n">
        <v>0</v>
      </c>
      <c r="AM2289" s="53" t="n">
        <v>0</v>
      </c>
      <c r="AN2289" s="53" t="n">
        <v>0</v>
      </c>
      <c r="AO2289" s="53" t="n">
        <v>0</v>
      </c>
      <c r="AP2289" s="53" t="n">
        <v>0</v>
      </c>
      <c r="AQ2289" s="52" t="n">
        <v>0</v>
      </c>
      <c r="AR2289" s="52" t="n">
        <v>0</v>
      </c>
      <c r="AS2289" s="52" t="n">
        <v>0</v>
      </c>
      <c r="AT2289" s="52" t="n">
        <v>0</v>
      </c>
      <c r="AU2289" s="53" t="n">
        <v>0</v>
      </c>
      <c r="AV2289" s="53" t="n">
        <v>0</v>
      </c>
      <c r="AW2289" s="53" t="n">
        <v>0</v>
      </c>
      <c r="AX2289" s="53" t="n">
        <v>0</v>
      </c>
      <c r="AY2289" s="52" t="n">
        <v>0</v>
      </c>
      <c r="AZ2289" s="52" t="n">
        <v>0</v>
      </c>
      <c r="BA2289" s="52" t="n">
        <v>0</v>
      </c>
      <c r="BB2289" s="52" t="n">
        <v>0</v>
      </c>
      <c r="BC2289" s="51" t="n">
        <v>0</v>
      </c>
      <c r="BD2289" s="51" t="n">
        <v>0</v>
      </c>
      <c r="BE2289" s="51" t="n">
        <v>0</v>
      </c>
      <c r="BF2289" s="51" t="n">
        <v>0</v>
      </c>
    </row>
    <row r="2290">
      <c r="A2290">
        <f>HYPERLINK("https://www.walmart.com/ip/1665653858", "1665653858")</f>
        <v/>
      </c>
      <c r="B2290" t="inlineStr">
        <is>
          <t>Catalonia Oversized Hoodie Blanket with Zipper, Wearable Sherpa Sweatshirt Pullover, Soft Warm Comfortable Jacket for Adults Men Women, Blue</t>
        </is>
      </c>
      <c r="C2290" t="inlineStr">
        <is>
          <t>1CTHD220BL</t>
        </is>
      </c>
      <c r="D2290" t="inlineStr">
        <is>
          <t>Throws</t>
        </is>
      </c>
      <c r="E2290" t="inlineStr">
        <is>
          <t>Catalonia</t>
        </is>
      </c>
      <c r="F2290" t="inlineStr">
        <is>
          <t>Batch 1 - TR</t>
        </is>
      </c>
      <c r="G2290" s="48" t="n">
        <v>0</v>
      </c>
      <c r="H2290" s="48" t="n">
        <v>0</v>
      </c>
      <c r="I2290" s="48" t="n">
        <v>0</v>
      </c>
      <c r="J2290" s="48" t="n">
        <v>0</v>
      </c>
      <c r="K2290" s="49" t="n">
        <v>0</v>
      </c>
      <c r="L2290" s="49" t="n">
        <v>0</v>
      </c>
      <c r="M2290" s="49" t="n">
        <v>0</v>
      </c>
      <c r="N2290" s="49" t="n">
        <v>0</v>
      </c>
      <c r="O2290" s="49" t="n">
        <v>0</v>
      </c>
      <c r="P2290" s="49" t="n">
        <v>0</v>
      </c>
      <c r="Q2290" s="49" t="n">
        <v>0</v>
      </c>
      <c r="R2290" s="49" t="n">
        <v>0</v>
      </c>
      <c r="S2290" s="50" t="n">
        <v>0</v>
      </c>
      <c r="T2290" s="50" t="n">
        <v>0</v>
      </c>
      <c r="U2290" s="50" t="n">
        <v>0</v>
      </c>
      <c r="V2290" s="50" t="n">
        <v>0</v>
      </c>
      <c r="W2290" s="51" t="n">
        <v>0</v>
      </c>
      <c r="X2290" s="51" t="n">
        <v>0</v>
      </c>
      <c r="Y2290" s="51" t="n">
        <v>0</v>
      </c>
      <c r="Z2290" s="51" t="n">
        <v>0</v>
      </c>
      <c r="AA2290" s="52" t="n">
        <v>0</v>
      </c>
      <c r="AB2290" s="52" t="n">
        <v>0</v>
      </c>
      <c r="AC2290" s="52" t="n">
        <v>0</v>
      </c>
      <c r="AD2290" s="52" t="n">
        <v>0</v>
      </c>
      <c r="AE2290" s="52" t="n">
        <v>0</v>
      </c>
      <c r="AF2290" s="52" t="n">
        <v>0</v>
      </c>
      <c r="AG2290" s="52" t="n">
        <v>0</v>
      </c>
      <c r="AH2290" s="52" t="n">
        <v>0</v>
      </c>
      <c r="AI2290" s="52" t="n">
        <v>0</v>
      </c>
      <c r="AJ2290" s="52" t="n">
        <v>0</v>
      </c>
      <c r="AK2290" s="52" t="n">
        <v>0</v>
      </c>
      <c r="AL2290" s="52" t="n">
        <v>0</v>
      </c>
      <c r="AM2290" s="53" t="n">
        <v>0</v>
      </c>
      <c r="AN2290" s="53" t="n">
        <v>0</v>
      </c>
      <c r="AO2290" s="53" t="n">
        <v>0</v>
      </c>
      <c r="AP2290" s="53" t="n">
        <v>0</v>
      </c>
      <c r="AQ2290" s="52" t="n">
        <v>0</v>
      </c>
      <c r="AR2290" s="52" t="n">
        <v>0</v>
      </c>
      <c r="AS2290" s="52" t="n">
        <v>0</v>
      </c>
      <c r="AT2290" s="52" t="n">
        <v>0</v>
      </c>
      <c r="AU2290" s="53" t="n">
        <v>0</v>
      </c>
      <c r="AV2290" s="53" t="n">
        <v>0</v>
      </c>
      <c r="AW2290" s="53" t="n">
        <v>0</v>
      </c>
      <c r="AX2290" s="53" t="n">
        <v>0</v>
      </c>
      <c r="AY2290" s="52" t="n">
        <v>0</v>
      </c>
      <c r="AZ2290" s="52" t="n">
        <v>0</v>
      </c>
      <c r="BA2290" s="52" t="n">
        <v>0</v>
      </c>
      <c r="BB2290" s="52" t="n">
        <v>0</v>
      </c>
      <c r="BC2290" s="51" t="n">
        <v>0</v>
      </c>
      <c r="BD2290" s="51" t="n">
        <v>0</v>
      </c>
      <c r="BE2290" s="51" t="n">
        <v>0</v>
      </c>
      <c r="BF2290" s="51" t="n">
        <v>0</v>
      </c>
    </row>
    <row r="2291">
      <c r="A2291">
        <f>HYPERLINK("https://www.walmart.com/ip/166402793", "166402793")</f>
        <v/>
      </c>
      <c r="B2291" t="inlineStr">
        <is>
          <t>JenniWears Womens Crotchless Strappy Shoulder Fishnet Chemise Dress</t>
        </is>
      </c>
      <c r="C2291" t="inlineStr">
        <is>
          <t>JWBS8831</t>
        </is>
      </c>
      <c r="D2291" t="inlineStr">
        <is>
          <t>Other Underwear &amp; Lingerie Accessories</t>
        </is>
      </c>
      <c r="E2291" t="inlineStr">
        <is>
          <t>JenniWears</t>
        </is>
      </c>
      <c r="F2291" t="inlineStr">
        <is>
          <t>Valentine</t>
        </is>
      </c>
      <c r="G2291" s="48" t="n">
        <v>0</v>
      </c>
      <c r="H2291" s="48" t="n">
        <v>0</v>
      </c>
      <c r="I2291" s="48" t="n">
        <v>0</v>
      </c>
      <c r="J2291" s="48" t="n">
        <v>0</v>
      </c>
      <c r="K2291" s="49" t="n">
        <v>0</v>
      </c>
      <c r="L2291" s="49" t="n">
        <v>0</v>
      </c>
      <c r="M2291" s="49" t="n">
        <v>0</v>
      </c>
      <c r="N2291" s="49" t="n">
        <v>0</v>
      </c>
      <c r="O2291" s="49" t="n">
        <v>0</v>
      </c>
      <c r="P2291" s="49" t="n">
        <v>0</v>
      </c>
      <c r="Q2291" s="49" t="n">
        <v>0</v>
      </c>
      <c r="R2291" s="49" t="n">
        <v>0</v>
      </c>
      <c r="S2291" s="50" t="n">
        <v>0</v>
      </c>
      <c r="T2291" s="50" t="n">
        <v>0</v>
      </c>
      <c r="U2291" s="50" t="n">
        <v>0</v>
      </c>
      <c r="V2291" s="50" t="n">
        <v>0</v>
      </c>
      <c r="W2291" s="51" t="n">
        <v>0</v>
      </c>
      <c r="X2291" s="51" t="n">
        <v>0</v>
      </c>
      <c r="Y2291" s="51" t="n">
        <v>0</v>
      </c>
      <c r="Z2291" s="51" t="n">
        <v>0</v>
      </c>
      <c r="AA2291" s="52" t="n">
        <v>0</v>
      </c>
      <c r="AB2291" s="52" t="n">
        <v>0</v>
      </c>
      <c r="AC2291" s="52" t="n">
        <v>0</v>
      </c>
      <c r="AD2291" s="52" t="n">
        <v>0</v>
      </c>
      <c r="AE2291" s="52" t="n">
        <v>0</v>
      </c>
      <c r="AF2291" s="52" t="n">
        <v>0</v>
      </c>
      <c r="AG2291" s="52" t="n">
        <v>0</v>
      </c>
      <c r="AH2291" s="52" t="n">
        <v>0</v>
      </c>
      <c r="AI2291" s="52" t="n">
        <v>0</v>
      </c>
      <c r="AJ2291" s="52" t="n">
        <v>0</v>
      </c>
      <c r="AK2291" s="52" t="n">
        <v>0</v>
      </c>
      <c r="AL2291" s="52" t="n">
        <v>0</v>
      </c>
      <c r="AM2291" s="53" t="n">
        <v>0</v>
      </c>
      <c r="AN2291" s="53" t="n">
        <v>0</v>
      </c>
      <c r="AO2291" s="53" t="n">
        <v>0</v>
      </c>
      <c r="AP2291" s="53" t="n">
        <v>0</v>
      </c>
      <c r="AQ2291" s="52" t="n">
        <v>0</v>
      </c>
      <c r="AR2291" s="52" t="n">
        <v>0</v>
      </c>
      <c r="AS2291" s="52" t="n">
        <v>0</v>
      </c>
      <c r="AT2291" s="52" t="n">
        <v>0</v>
      </c>
      <c r="AU2291" s="53" t="n">
        <v>0</v>
      </c>
      <c r="AV2291" s="53" t="n">
        <v>0</v>
      </c>
      <c r="AW2291" s="53" t="n">
        <v>0</v>
      </c>
      <c r="AX2291" s="53" t="n">
        <v>0</v>
      </c>
      <c r="AY2291" s="52" t="n">
        <v>0</v>
      </c>
      <c r="AZ2291" s="52" t="n">
        <v>0</v>
      </c>
      <c r="BA2291" s="52" t="n">
        <v>0</v>
      </c>
      <c r="BB2291" s="52" t="n">
        <v>0</v>
      </c>
      <c r="BC2291" s="51" t="n">
        <v>0</v>
      </c>
      <c r="BD2291" s="51" t="n">
        <v>0</v>
      </c>
      <c r="BE2291" s="51" t="n">
        <v>0</v>
      </c>
      <c r="BF2291" s="51" t="n">
        <v>0</v>
      </c>
    </row>
    <row r="2292">
      <c r="A2292">
        <f>HYPERLINK("https://www.walmart.com/ip/162169578", "162169578")</f>
        <v/>
      </c>
      <c r="B2292" t="inlineStr">
        <is>
          <t>KC Caps® Cotton Twill Deluxe Super Soft Mesh Adjustable Snapback Low Profile Trucker Baseball Cap</t>
        </is>
      </c>
      <c r="C2292" t="inlineStr">
        <is>
          <t>KCCAPSSZK641BR/ST</t>
        </is>
      </c>
      <c r="D2292" t="inlineStr">
        <is>
          <t>Hats</t>
        </is>
      </c>
      <c r="E2292" t="inlineStr">
        <is>
          <t>KC Caps</t>
        </is>
      </c>
      <c r="F2292" t="inlineStr">
        <is>
          <t>Optimized</t>
        </is>
      </c>
      <c r="G2292" s="48" t="n">
        <v>0</v>
      </c>
      <c r="H2292" s="48" t="n">
        <v>0</v>
      </c>
      <c r="I2292" s="48" t="n">
        <v>0</v>
      </c>
      <c r="J2292" s="48" t="n">
        <v>0</v>
      </c>
      <c r="K2292" s="49" t="n">
        <v>0</v>
      </c>
      <c r="L2292" s="49" t="n">
        <v>0</v>
      </c>
      <c r="M2292" s="49" t="n">
        <v>0</v>
      </c>
      <c r="N2292" s="49" t="n">
        <v>0</v>
      </c>
      <c r="O2292" s="49" t="n">
        <v>0</v>
      </c>
      <c r="P2292" s="49" t="n">
        <v>0</v>
      </c>
      <c r="Q2292" s="49" t="n">
        <v>0</v>
      </c>
      <c r="R2292" s="49" t="n">
        <v>0</v>
      </c>
      <c r="S2292" s="50" t="n">
        <v>0</v>
      </c>
      <c r="T2292" s="50" t="n">
        <v>0</v>
      </c>
      <c r="U2292" s="50" t="n">
        <v>0</v>
      </c>
      <c r="V2292" s="50" t="n">
        <v>0</v>
      </c>
      <c r="W2292" s="51" t="n">
        <v>0</v>
      </c>
      <c r="X2292" s="51" t="n">
        <v>0</v>
      </c>
      <c r="Y2292" s="51" t="n">
        <v>0</v>
      </c>
      <c r="Z2292" s="51" t="n">
        <v>0</v>
      </c>
      <c r="AA2292" s="52" t="n">
        <v>0</v>
      </c>
      <c r="AB2292" s="52" t="n">
        <v>0</v>
      </c>
      <c r="AC2292" s="52" t="n">
        <v>0</v>
      </c>
      <c r="AD2292" s="52" t="n">
        <v>0</v>
      </c>
      <c r="AE2292" s="52" t="n">
        <v>0</v>
      </c>
      <c r="AF2292" s="52" t="n">
        <v>0</v>
      </c>
      <c r="AG2292" s="52" t="n">
        <v>0</v>
      </c>
      <c r="AH2292" s="52" t="n">
        <v>0</v>
      </c>
      <c r="AI2292" s="52" t="n">
        <v>0</v>
      </c>
      <c r="AJ2292" s="52" t="n">
        <v>0</v>
      </c>
      <c r="AK2292" s="52" t="n">
        <v>0</v>
      </c>
      <c r="AL2292" s="52" t="n">
        <v>0</v>
      </c>
      <c r="AM2292" s="53" t="n">
        <v>0</v>
      </c>
      <c r="AN2292" s="53" t="n">
        <v>0</v>
      </c>
      <c r="AO2292" s="53" t="n">
        <v>0</v>
      </c>
      <c r="AP2292" s="53" t="n">
        <v>0</v>
      </c>
      <c r="AQ2292" s="52" t="n">
        <v>0</v>
      </c>
      <c r="AR2292" s="52" t="n">
        <v>0</v>
      </c>
      <c r="AS2292" s="52" t="n">
        <v>0</v>
      </c>
      <c r="AT2292" s="52" t="n">
        <v>0</v>
      </c>
      <c r="AU2292" s="53" t="n">
        <v>0</v>
      </c>
      <c r="AV2292" s="53" t="n">
        <v>0</v>
      </c>
      <c r="AW2292" s="53" t="n">
        <v>0</v>
      </c>
      <c r="AX2292" s="53" t="n">
        <v>0</v>
      </c>
      <c r="AY2292" s="52" t="n">
        <v>0</v>
      </c>
      <c r="AZ2292" s="52" t="n">
        <v>0</v>
      </c>
      <c r="BA2292" s="52" t="n">
        <v>0</v>
      </c>
      <c r="BB2292" s="52" t="n">
        <v>0</v>
      </c>
      <c r="BC2292" s="51" t="n">
        <v>0</v>
      </c>
      <c r="BD2292" s="51" t="n">
        <v>0</v>
      </c>
      <c r="BE2292" s="51" t="n">
        <v>0</v>
      </c>
      <c r="BF2292" s="51" t="n">
        <v>0</v>
      </c>
    </row>
    <row r="2293">
      <c r="A2293">
        <f>HYPERLINK("https://www.walmart.com/ip/16241624282", "16241624282")</f>
        <v/>
      </c>
      <c r="B2293" t="inlineStr">
        <is>
          <t>Tirrinia 2 In 1 Outdoors UPF 50+ UV Protection Sun Hat for Women, One Size Female Sports Baseball Cap Gardening Fishing Hat with Neck Flap, Blue</t>
        </is>
      </c>
      <c r="C2293" t="inlineStr">
        <is>
          <t>1TRSH9153BL</t>
        </is>
      </c>
      <c r="D2293" t="inlineStr">
        <is>
          <t>Hats</t>
        </is>
      </c>
      <c r="E2293" t="inlineStr">
        <is>
          <t>Tirrinia</t>
        </is>
      </c>
      <c r="G2293" s="48" t="n">
        <v>0</v>
      </c>
      <c r="H2293" s="48" t="n">
        <v>0</v>
      </c>
      <c r="I2293" s="48" t="n">
        <v>0</v>
      </c>
      <c r="J2293" s="48" t="n">
        <v>0</v>
      </c>
      <c r="K2293" s="49" t="n">
        <v>0</v>
      </c>
      <c r="L2293" s="49" t="n">
        <v>0</v>
      </c>
      <c r="M2293" s="49" t="n">
        <v>0</v>
      </c>
      <c r="N2293" s="49" t="n">
        <v>0</v>
      </c>
      <c r="O2293" s="49" t="n">
        <v>0</v>
      </c>
      <c r="P2293" s="49" t="n">
        <v>0</v>
      </c>
      <c r="Q2293" s="49" t="n">
        <v>0</v>
      </c>
      <c r="R2293" s="49" t="n">
        <v>0</v>
      </c>
      <c r="S2293" s="50" t="n">
        <v>0</v>
      </c>
      <c r="T2293" s="50" t="n">
        <v>0</v>
      </c>
      <c r="U2293" s="50" t="n">
        <v>0</v>
      </c>
      <c r="V2293" s="50" t="n">
        <v>0</v>
      </c>
      <c r="W2293" s="51" t="n">
        <v>0</v>
      </c>
      <c r="X2293" s="51" t="n">
        <v>0</v>
      </c>
      <c r="Y2293" s="51" t="n">
        <v>0</v>
      </c>
      <c r="Z2293" s="51" t="n">
        <v>0</v>
      </c>
      <c r="AA2293" s="52" t="n">
        <v>0</v>
      </c>
      <c r="AB2293" s="52" t="n">
        <v>0</v>
      </c>
      <c r="AC2293" s="52" t="n">
        <v>0</v>
      </c>
      <c r="AD2293" s="52" t="n">
        <v>0</v>
      </c>
      <c r="AE2293" s="52" t="n">
        <v>0</v>
      </c>
      <c r="AF2293" s="52" t="n">
        <v>0</v>
      </c>
      <c r="AG2293" s="52" t="n">
        <v>0</v>
      </c>
      <c r="AH2293" s="52" t="n">
        <v>0</v>
      </c>
      <c r="AI2293" s="52" t="n">
        <v>0</v>
      </c>
      <c r="AJ2293" s="52" t="n">
        <v>0</v>
      </c>
      <c r="AK2293" s="52" t="n">
        <v>0</v>
      </c>
      <c r="AL2293" s="52" t="n">
        <v>0</v>
      </c>
      <c r="AM2293" s="53" t="n">
        <v>0</v>
      </c>
      <c r="AN2293" s="53" t="n">
        <v>0</v>
      </c>
      <c r="AO2293" s="53" t="n">
        <v>0</v>
      </c>
      <c r="AP2293" s="53" t="n">
        <v>0</v>
      </c>
      <c r="AQ2293" s="52" t="n">
        <v>0</v>
      </c>
      <c r="AR2293" s="52" t="n">
        <v>0</v>
      </c>
      <c r="AS2293" s="52" t="n">
        <v>0</v>
      </c>
      <c r="AT2293" s="52" t="n">
        <v>0</v>
      </c>
      <c r="AU2293" s="53" t="n">
        <v>0</v>
      </c>
      <c r="AV2293" s="53" t="n">
        <v>0</v>
      </c>
      <c r="AW2293" s="53" t="n">
        <v>0</v>
      </c>
      <c r="AX2293" s="53" t="n">
        <v>0</v>
      </c>
      <c r="AY2293" s="52" t="n">
        <v>0</v>
      </c>
      <c r="AZ2293" s="52" t="n">
        <v>0</v>
      </c>
      <c r="BA2293" s="52" t="n">
        <v>0</v>
      </c>
      <c r="BB2293" s="52" t="n">
        <v>0</v>
      </c>
      <c r="BC2293" s="51" t="n">
        <v>0</v>
      </c>
      <c r="BD2293" s="51" t="n">
        <v>0</v>
      </c>
      <c r="BE2293" s="51" t="n">
        <v>0</v>
      </c>
      <c r="BF2293" s="51" t="n">
        <v>0</v>
      </c>
    </row>
    <row r="2294">
      <c r="A2294">
        <f>HYPERLINK("https://www.walmart.com/ip/1628058296", "1628058296")</f>
        <v/>
      </c>
      <c r="B2294" t="inlineStr">
        <is>
          <t>Tirrinia Small Portable Reusable Thermal Insulated Lunch Bag To Keep Your Snacks,Drinks And Meals At A Consistent Temperature For Adult Kids,Green</t>
        </is>
      </c>
      <c r="C2294" t="inlineStr">
        <is>
          <t>1TRLB100GN</t>
        </is>
      </c>
      <c r="D2294" t="inlineStr">
        <is>
          <t>Reusable Lunch Bags &amp; Boxes</t>
        </is>
      </c>
      <c r="E2294" t="inlineStr">
        <is>
          <t>Tirrinia</t>
        </is>
      </c>
      <c r="F2294" t="inlineStr">
        <is>
          <t>Q2-Target,Brand Camp VD,Batch 1 - TR</t>
        </is>
      </c>
      <c r="G2294" s="48" t="n">
        <v>0</v>
      </c>
      <c r="H2294" s="48" t="n">
        <v>17.99</v>
      </c>
      <c r="I2294" s="48" t="n">
        <v>17.99</v>
      </c>
      <c r="J2294" s="48" t="n">
        <v>17.99</v>
      </c>
      <c r="K2294" s="49" t="n">
        <v>0</v>
      </c>
      <c r="L2294" s="49" t="n">
        <v>1</v>
      </c>
      <c r="M2294" s="49" t="n">
        <v>1</v>
      </c>
      <c r="N2294" s="49" t="n">
        <v>1</v>
      </c>
      <c r="O2294" s="49" t="n">
        <v>4</v>
      </c>
      <c r="P2294" s="49" t="n">
        <v>6</v>
      </c>
      <c r="Q2294" s="49" t="n">
        <v>5</v>
      </c>
      <c r="R2294" s="49" t="n">
        <v>7</v>
      </c>
      <c r="S2294" s="50" t="n">
        <v>0</v>
      </c>
      <c r="T2294" s="50" t="n">
        <v>0.1666666666666667</v>
      </c>
      <c r="U2294" s="50" t="n">
        <v>0.2</v>
      </c>
      <c r="V2294" s="50" t="n">
        <v>0.1428571428571428</v>
      </c>
      <c r="W2294" s="51" t="n">
        <v>0</v>
      </c>
      <c r="X2294" s="51" t="n">
        <v>0</v>
      </c>
      <c r="Y2294" s="51" t="n">
        <v>0</v>
      </c>
      <c r="Z2294" s="51" t="n">
        <v>0</v>
      </c>
      <c r="AA2294" s="52" t="n">
        <v>0</v>
      </c>
      <c r="AB2294" s="52" t="n">
        <v>0</v>
      </c>
      <c r="AC2294" s="52" t="n">
        <v>0</v>
      </c>
      <c r="AD2294" s="52" t="n">
        <v>0</v>
      </c>
      <c r="AE2294" s="52" t="n">
        <v>0</v>
      </c>
      <c r="AF2294" s="52" t="n">
        <v>0</v>
      </c>
      <c r="AG2294" s="52" t="n">
        <v>0</v>
      </c>
      <c r="AH2294" s="52" t="n">
        <v>0</v>
      </c>
      <c r="AI2294" s="52" t="n">
        <v>0</v>
      </c>
      <c r="AJ2294" s="52" t="n">
        <v>0</v>
      </c>
      <c r="AK2294" s="52" t="n">
        <v>0</v>
      </c>
      <c r="AL2294" s="52" t="n">
        <v>0</v>
      </c>
      <c r="AM2294" s="53" t="n">
        <v>0</v>
      </c>
      <c r="AN2294" s="53" t="n">
        <v>0</v>
      </c>
      <c r="AO2294" s="53" t="n">
        <v>0</v>
      </c>
      <c r="AP2294" s="53" t="n">
        <v>0</v>
      </c>
      <c r="AQ2294" s="52" t="n">
        <v>0</v>
      </c>
      <c r="AR2294" s="52" t="n">
        <v>0</v>
      </c>
      <c r="AS2294" s="52" t="n">
        <v>0</v>
      </c>
      <c r="AT2294" s="52" t="n">
        <v>0</v>
      </c>
      <c r="AU2294" s="53" t="n">
        <v>0</v>
      </c>
      <c r="AV2294" s="53" t="n">
        <v>0</v>
      </c>
      <c r="AW2294" s="53" t="n">
        <v>0</v>
      </c>
      <c r="AX2294" s="53" t="n">
        <v>0</v>
      </c>
      <c r="AY2294" s="52" t="n">
        <v>0</v>
      </c>
      <c r="AZ2294" s="52" t="n">
        <v>17.99</v>
      </c>
      <c r="BA2294" s="52" t="n">
        <v>17.99</v>
      </c>
      <c r="BB2294" s="52" t="n">
        <v>17.99</v>
      </c>
      <c r="BC2294" s="51" t="n">
        <v>0</v>
      </c>
      <c r="BD2294" s="51" t="n">
        <v>0</v>
      </c>
      <c r="BE2294" s="51" t="n">
        <v>0</v>
      </c>
      <c r="BF2294" s="51" t="n">
        <v>0</v>
      </c>
    </row>
    <row r="2295">
      <c r="A2295">
        <f>HYPERLINK("https://www.walmart.com/ip/16286824662", "16286824662")</f>
        <v/>
      </c>
      <c r="B2295" t="inlineStr">
        <is>
          <t>Tirrinia Fleec Wearable Travel Blanket with Foot Pockets for Women &amp; Men | Zippered Front Pocket | Super Soft Lightweight &amp; Cozy Throw Blanket for Adults, One Size Fits All, Aqua Honeycomb</t>
        </is>
      </c>
      <c r="C2295" t="inlineStr">
        <is>
          <t>1TRTB102AQHCB</t>
        </is>
      </c>
      <c r="D2295" t="inlineStr">
        <is>
          <t>Throws</t>
        </is>
      </c>
      <c r="E2295" t="inlineStr">
        <is>
          <t>Tirrinia</t>
        </is>
      </c>
      <c r="G2295" s="48" t="n">
        <v>0</v>
      </c>
      <c r="H2295" s="48" t="n">
        <v>0</v>
      </c>
      <c r="I2295" s="48" t="n">
        <v>0</v>
      </c>
      <c r="J2295" s="48" t="n">
        <v>0</v>
      </c>
      <c r="K2295" s="49" t="n">
        <v>0</v>
      </c>
      <c r="L2295" s="49" t="n">
        <v>0</v>
      </c>
      <c r="M2295" s="49" t="n">
        <v>0</v>
      </c>
      <c r="N2295" s="49" t="n">
        <v>0</v>
      </c>
      <c r="O2295" s="49" t="n">
        <v>0</v>
      </c>
      <c r="P2295" s="49" t="n">
        <v>0</v>
      </c>
      <c r="Q2295" s="49" t="n">
        <v>0</v>
      </c>
      <c r="R2295" s="49" t="n">
        <v>0</v>
      </c>
      <c r="S2295" s="50" t="n">
        <v>0</v>
      </c>
      <c r="T2295" s="50" t="n">
        <v>0</v>
      </c>
      <c r="U2295" s="50" t="n">
        <v>0</v>
      </c>
      <c r="V2295" s="50" t="n">
        <v>0</v>
      </c>
      <c r="W2295" s="51" t="n">
        <v>0</v>
      </c>
      <c r="X2295" s="51" t="n">
        <v>0</v>
      </c>
      <c r="Y2295" s="51" t="n">
        <v>0</v>
      </c>
      <c r="Z2295" s="51" t="n">
        <v>0</v>
      </c>
      <c r="AA2295" s="52" t="n">
        <v>0</v>
      </c>
      <c r="AB2295" s="52" t="n">
        <v>0</v>
      </c>
      <c r="AC2295" s="52" t="n">
        <v>0</v>
      </c>
      <c r="AD2295" s="52" t="n">
        <v>0</v>
      </c>
      <c r="AE2295" s="52" t="n">
        <v>0</v>
      </c>
      <c r="AF2295" s="52" t="n">
        <v>0</v>
      </c>
      <c r="AG2295" s="52" t="n">
        <v>0</v>
      </c>
      <c r="AH2295" s="52" t="n">
        <v>0</v>
      </c>
      <c r="AI2295" s="52" t="n">
        <v>0</v>
      </c>
      <c r="AJ2295" s="52" t="n">
        <v>0</v>
      </c>
      <c r="AK2295" s="52" t="n">
        <v>0</v>
      </c>
      <c r="AL2295" s="52" t="n">
        <v>0</v>
      </c>
      <c r="AM2295" s="53" t="n">
        <v>0</v>
      </c>
      <c r="AN2295" s="53" t="n">
        <v>0</v>
      </c>
      <c r="AO2295" s="53" t="n">
        <v>0</v>
      </c>
      <c r="AP2295" s="53" t="n">
        <v>0</v>
      </c>
      <c r="AQ2295" s="52" t="n">
        <v>0</v>
      </c>
      <c r="AR2295" s="52" t="n">
        <v>0</v>
      </c>
      <c r="AS2295" s="52" t="n">
        <v>0</v>
      </c>
      <c r="AT2295" s="52" t="n">
        <v>0</v>
      </c>
      <c r="AU2295" s="53" t="n">
        <v>0</v>
      </c>
      <c r="AV2295" s="53" t="n">
        <v>0</v>
      </c>
      <c r="AW2295" s="53" t="n">
        <v>0</v>
      </c>
      <c r="AX2295" s="53" t="n">
        <v>0</v>
      </c>
      <c r="AY2295" s="52" t="n">
        <v>0</v>
      </c>
      <c r="AZ2295" s="52" t="n">
        <v>0</v>
      </c>
      <c r="BA2295" s="52" t="n">
        <v>0</v>
      </c>
      <c r="BB2295" s="52" t="n">
        <v>0</v>
      </c>
      <c r="BC2295" s="51" t="n">
        <v>0</v>
      </c>
      <c r="BD2295" s="51" t="n">
        <v>0</v>
      </c>
      <c r="BE2295" s="51" t="n">
        <v>0</v>
      </c>
      <c r="BF2295" s="51" t="n">
        <v>0</v>
      </c>
    </row>
    <row r="2296">
      <c r="A2296">
        <f>HYPERLINK("https://www.walmart.com/ip/16301800897", "16301800897")</f>
        <v/>
      </c>
      <c r="B2296" t="inlineStr">
        <is>
          <t>Tirrinia Fleec Wearable Travel Blanket with Foot Pockets for Women &amp; Men | Zippered Front Pocket | Super Soft Lightweight &amp; Cozy Throw Blanket for Adults, One Size Fits All, Grey Honeycomb</t>
        </is>
      </c>
      <c r="C2296" t="inlineStr">
        <is>
          <t>1TRTB102GYHCB</t>
        </is>
      </c>
      <c r="D2296" t="inlineStr">
        <is>
          <t>Throws</t>
        </is>
      </c>
      <c r="E2296" t="inlineStr">
        <is>
          <t>Tirrinia</t>
        </is>
      </c>
      <c r="G2296" s="48" t="n">
        <v>0</v>
      </c>
      <c r="H2296" s="48" t="n">
        <v>0</v>
      </c>
      <c r="I2296" s="48" t="n">
        <v>0</v>
      </c>
      <c r="J2296" s="48" t="n">
        <v>0</v>
      </c>
      <c r="K2296" s="49" t="n">
        <v>0</v>
      </c>
      <c r="L2296" s="49" t="n">
        <v>0</v>
      </c>
      <c r="M2296" s="49" t="n">
        <v>0</v>
      </c>
      <c r="N2296" s="49" t="n">
        <v>0</v>
      </c>
      <c r="O2296" s="49" t="n">
        <v>0</v>
      </c>
      <c r="P2296" s="49" t="n">
        <v>0</v>
      </c>
      <c r="Q2296" s="49" t="n">
        <v>0</v>
      </c>
      <c r="R2296" s="49" t="n">
        <v>0</v>
      </c>
      <c r="S2296" s="50" t="n">
        <v>0</v>
      </c>
      <c r="T2296" s="50" t="n">
        <v>0</v>
      </c>
      <c r="U2296" s="50" t="n">
        <v>0</v>
      </c>
      <c r="V2296" s="50" t="n">
        <v>0</v>
      </c>
      <c r="W2296" s="51" t="n">
        <v>0</v>
      </c>
      <c r="X2296" s="51" t="n">
        <v>0</v>
      </c>
      <c r="Y2296" s="51" t="n">
        <v>0</v>
      </c>
      <c r="Z2296" s="51" t="n">
        <v>0</v>
      </c>
      <c r="AA2296" s="52" t="n">
        <v>0</v>
      </c>
      <c r="AB2296" s="52" t="n">
        <v>0</v>
      </c>
      <c r="AC2296" s="52" t="n">
        <v>0</v>
      </c>
      <c r="AD2296" s="52" t="n">
        <v>0</v>
      </c>
      <c r="AE2296" s="52" t="n">
        <v>0</v>
      </c>
      <c r="AF2296" s="52" t="n">
        <v>0</v>
      </c>
      <c r="AG2296" s="52" t="n">
        <v>0</v>
      </c>
      <c r="AH2296" s="52" t="n">
        <v>0</v>
      </c>
      <c r="AI2296" s="52" t="n">
        <v>0</v>
      </c>
      <c r="AJ2296" s="52" t="n">
        <v>0</v>
      </c>
      <c r="AK2296" s="52" t="n">
        <v>0</v>
      </c>
      <c r="AL2296" s="52" t="n">
        <v>0</v>
      </c>
      <c r="AM2296" s="53" t="n">
        <v>0</v>
      </c>
      <c r="AN2296" s="53" t="n">
        <v>0</v>
      </c>
      <c r="AO2296" s="53" t="n">
        <v>0</v>
      </c>
      <c r="AP2296" s="53" t="n">
        <v>0</v>
      </c>
      <c r="AQ2296" s="52" t="n">
        <v>0</v>
      </c>
      <c r="AR2296" s="52" t="n">
        <v>0</v>
      </c>
      <c r="AS2296" s="52" t="n">
        <v>0</v>
      </c>
      <c r="AT2296" s="52" t="n">
        <v>0</v>
      </c>
      <c r="AU2296" s="53" t="n">
        <v>0</v>
      </c>
      <c r="AV2296" s="53" t="n">
        <v>0</v>
      </c>
      <c r="AW2296" s="53" t="n">
        <v>0</v>
      </c>
      <c r="AX2296" s="53" t="n">
        <v>0</v>
      </c>
      <c r="AY2296" s="52" t="n">
        <v>0</v>
      </c>
      <c r="AZ2296" s="52" t="n">
        <v>0</v>
      </c>
      <c r="BA2296" s="52" t="n">
        <v>0</v>
      </c>
      <c r="BB2296" s="52" t="n">
        <v>0</v>
      </c>
      <c r="BC2296" s="51" t="n">
        <v>0</v>
      </c>
      <c r="BD2296" s="51" t="n">
        <v>0</v>
      </c>
      <c r="BE2296" s="51" t="n">
        <v>0</v>
      </c>
      <c r="BF2296" s="51" t="n">
        <v>0</v>
      </c>
    </row>
    <row r="2297">
      <c r="A2297">
        <f>HYPERLINK("https://www.walmart.com/ip/16301850024", "16301850024")</f>
        <v/>
      </c>
      <c r="B2297" t="inlineStr">
        <is>
          <t>Tirrinia Beach Lounge Chair Cover, Portable Chaise Beach Towel, Sunbathing for Beach Pool Patio Garden Courtyard Outdoor Trips, 31 x 78 inch BLUE + Stripe</t>
        </is>
      </c>
      <c r="C2297" t="inlineStr">
        <is>
          <t>1TRBM20237BLSTR</t>
        </is>
      </c>
      <c r="D2297" t="inlineStr">
        <is>
          <t>Patio Furniture Covers</t>
        </is>
      </c>
      <c r="E2297" t="inlineStr">
        <is>
          <t>Tirrinia</t>
        </is>
      </c>
      <c r="G2297" s="48" t="n">
        <v>0</v>
      </c>
      <c r="H2297" s="48" t="n">
        <v>0</v>
      </c>
      <c r="I2297" s="48" t="n">
        <v>0</v>
      </c>
      <c r="J2297" s="48" t="n">
        <v>0</v>
      </c>
      <c r="K2297" s="49" t="n">
        <v>0</v>
      </c>
      <c r="L2297" s="49" t="n">
        <v>0</v>
      </c>
      <c r="M2297" s="49" t="n">
        <v>0</v>
      </c>
      <c r="N2297" s="49" t="n">
        <v>0</v>
      </c>
      <c r="O2297" s="49" t="n">
        <v>0</v>
      </c>
      <c r="P2297" s="49" t="n">
        <v>0</v>
      </c>
      <c r="Q2297" s="49" t="n">
        <v>0</v>
      </c>
      <c r="R2297" s="49" t="n">
        <v>0</v>
      </c>
      <c r="S2297" s="50" t="n">
        <v>0</v>
      </c>
      <c r="T2297" s="50" t="n">
        <v>0</v>
      </c>
      <c r="U2297" s="50" t="n">
        <v>0</v>
      </c>
      <c r="V2297" s="50" t="n">
        <v>0</v>
      </c>
      <c r="W2297" s="51" t="n">
        <v>0</v>
      </c>
      <c r="X2297" s="51" t="n">
        <v>0</v>
      </c>
      <c r="Y2297" s="51" t="n">
        <v>0</v>
      </c>
      <c r="Z2297" s="51" t="n">
        <v>0</v>
      </c>
      <c r="AA2297" s="52" t="n">
        <v>0</v>
      </c>
      <c r="AB2297" s="52" t="n">
        <v>0</v>
      </c>
      <c r="AC2297" s="52" t="n">
        <v>0</v>
      </c>
      <c r="AD2297" s="52" t="n">
        <v>0</v>
      </c>
      <c r="AE2297" s="52" t="n">
        <v>0</v>
      </c>
      <c r="AF2297" s="52" t="n">
        <v>0</v>
      </c>
      <c r="AG2297" s="52" t="n">
        <v>0</v>
      </c>
      <c r="AH2297" s="52" t="n">
        <v>0</v>
      </c>
      <c r="AI2297" s="52" t="n">
        <v>0</v>
      </c>
      <c r="AJ2297" s="52" t="n">
        <v>0</v>
      </c>
      <c r="AK2297" s="52" t="n">
        <v>0</v>
      </c>
      <c r="AL2297" s="52" t="n">
        <v>0</v>
      </c>
      <c r="AM2297" s="53" t="n">
        <v>0</v>
      </c>
      <c r="AN2297" s="53" t="n">
        <v>0</v>
      </c>
      <c r="AO2297" s="53" t="n">
        <v>0</v>
      </c>
      <c r="AP2297" s="53" t="n">
        <v>0</v>
      </c>
      <c r="AQ2297" s="52" t="n">
        <v>0</v>
      </c>
      <c r="AR2297" s="52" t="n">
        <v>0</v>
      </c>
      <c r="AS2297" s="52" t="n">
        <v>0</v>
      </c>
      <c r="AT2297" s="52" t="n">
        <v>0</v>
      </c>
      <c r="AU2297" s="53" t="n">
        <v>0</v>
      </c>
      <c r="AV2297" s="53" t="n">
        <v>0</v>
      </c>
      <c r="AW2297" s="53" t="n">
        <v>0</v>
      </c>
      <c r="AX2297" s="53" t="n">
        <v>0</v>
      </c>
      <c r="AY2297" s="52" t="n">
        <v>0</v>
      </c>
      <c r="AZ2297" s="52" t="n">
        <v>0</v>
      </c>
      <c r="BA2297" s="52" t="n">
        <v>0</v>
      </c>
      <c r="BB2297" s="52" t="n">
        <v>0</v>
      </c>
      <c r="BC2297" s="51" t="n">
        <v>0</v>
      </c>
      <c r="BD2297" s="51" t="n">
        <v>0</v>
      </c>
      <c r="BE2297" s="51" t="n">
        <v>0</v>
      </c>
      <c r="BF2297" s="51" t="n">
        <v>0</v>
      </c>
    </row>
    <row r="2298">
      <c r="A2298">
        <f>HYPERLINK("https://www.walmart.com/ip/16315467560", "16315467560")</f>
        <v/>
      </c>
      <c r="B2298" t="inlineStr">
        <is>
          <t>Tirrinia Fleec Wearable Travel Blanket with Foot Pockets for Women &amp; Men | Zippered Front Pocket | Super Soft Lightweight &amp; Cozy Throw Blanket for Adults, One Size Fits All, Pink Honeycomb</t>
        </is>
      </c>
      <c r="C2298" t="inlineStr">
        <is>
          <t>1TRTB102PKHCB</t>
        </is>
      </c>
      <c r="D2298" t="inlineStr">
        <is>
          <t>Throws</t>
        </is>
      </c>
      <c r="E2298" t="inlineStr">
        <is>
          <t>Tirrinia</t>
        </is>
      </c>
      <c r="G2298" s="48" t="n">
        <v>0</v>
      </c>
      <c r="H2298" s="48" t="n">
        <v>0</v>
      </c>
      <c r="I2298" s="48" t="n">
        <v>0</v>
      </c>
      <c r="J2298" s="48" t="n">
        <v>0</v>
      </c>
      <c r="K2298" s="49" t="n">
        <v>0</v>
      </c>
      <c r="L2298" s="49" t="n">
        <v>0</v>
      </c>
      <c r="M2298" s="49" t="n">
        <v>0</v>
      </c>
      <c r="N2298" s="49" t="n">
        <v>0</v>
      </c>
      <c r="O2298" s="49" t="n">
        <v>0</v>
      </c>
      <c r="P2298" s="49" t="n">
        <v>0</v>
      </c>
      <c r="Q2298" s="49" t="n">
        <v>0</v>
      </c>
      <c r="R2298" s="49" t="n">
        <v>0</v>
      </c>
      <c r="S2298" s="50" t="n">
        <v>0</v>
      </c>
      <c r="T2298" s="50" t="n">
        <v>0</v>
      </c>
      <c r="U2298" s="50" t="n">
        <v>0</v>
      </c>
      <c r="V2298" s="50" t="n">
        <v>0</v>
      </c>
      <c r="W2298" s="51" t="n">
        <v>0</v>
      </c>
      <c r="X2298" s="51" t="n">
        <v>0</v>
      </c>
      <c r="Y2298" s="51" t="n">
        <v>0</v>
      </c>
      <c r="Z2298" s="51" t="n">
        <v>0</v>
      </c>
      <c r="AA2298" s="52" t="n">
        <v>0</v>
      </c>
      <c r="AB2298" s="52" t="n">
        <v>0</v>
      </c>
      <c r="AC2298" s="52" t="n">
        <v>0</v>
      </c>
      <c r="AD2298" s="52" t="n">
        <v>0</v>
      </c>
      <c r="AE2298" s="52" t="n">
        <v>0</v>
      </c>
      <c r="AF2298" s="52" t="n">
        <v>0</v>
      </c>
      <c r="AG2298" s="52" t="n">
        <v>0</v>
      </c>
      <c r="AH2298" s="52" t="n">
        <v>0</v>
      </c>
      <c r="AI2298" s="52" t="n">
        <v>0</v>
      </c>
      <c r="AJ2298" s="52" t="n">
        <v>0</v>
      </c>
      <c r="AK2298" s="52" t="n">
        <v>0</v>
      </c>
      <c r="AL2298" s="52" t="n">
        <v>0</v>
      </c>
      <c r="AM2298" s="53" t="n">
        <v>0</v>
      </c>
      <c r="AN2298" s="53" t="n">
        <v>0</v>
      </c>
      <c r="AO2298" s="53" t="n">
        <v>0</v>
      </c>
      <c r="AP2298" s="53" t="n">
        <v>0</v>
      </c>
      <c r="AQ2298" s="52" t="n">
        <v>0</v>
      </c>
      <c r="AR2298" s="52" t="n">
        <v>0</v>
      </c>
      <c r="AS2298" s="52" t="n">
        <v>0</v>
      </c>
      <c r="AT2298" s="52" t="n">
        <v>0</v>
      </c>
      <c r="AU2298" s="53" t="n">
        <v>0</v>
      </c>
      <c r="AV2298" s="53" t="n">
        <v>0</v>
      </c>
      <c r="AW2298" s="53" t="n">
        <v>0</v>
      </c>
      <c r="AX2298" s="53" t="n">
        <v>0</v>
      </c>
      <c r="AY2298" s="52" t="n">
        <v>0</v>
      </c>
      <c r="AZ2298" s="52" t="n">
        <v>0</v>
      </c>
      <c r="BA2298" s="52" t="n">
        <v>0</v>
      </c>
      <c r="BB2298" s="52" t="n">
        <v>0</v>
      </c>
      <c r="BC2298" s="51" t="n">
        <v>0</v>
      </c>
      <c r="BD2298" s="51" t="n">
        <v>0</v>
      </c>
      <c r="BE2298" s="51" t="n">
        <v>0</v>
      </c>
      <c r="BF2298" s="51" t="n">
        <v>0</v>
      </c>
    </row>
    <row r="2299">
      <c r="A2299">
        <f>HYPERLINK("https://www.walmart.com/ip/16315770596", "16315770596")</f>
        <v/>
      </c>
      <c r="B2299" t="inlineStr">
        <is>
          <t>Summer Caps for Men and Women Patriotic Independence Day USA Flag UV Protect  Adjustable Unisex Hats for Sports, Green</t>
        </is>
      </c>
      <c r="C2299" t="inlineStr">
        <is>
          <t>1TRBC100GN</t>
        </is>
      </c>
      <c r="D2299" t="inlineStr">
        <is>
          <t>Hats</t>
        </is>
      </c>
      <c r="E2299" t="inlineStr">
        <is>
          <t>Tirrinia</t>
        </is>
      </c>
      <c r="G2299" s="48" t="n">
        <v>0</v>
      </c>
      <c r="H2299" s="48" t="n">
        <v>0</v>
      </c>
      <c r="I2299" s="48" t="n">
        <v>0</v>
      </c>
      <c r="J2299" s="48" t="n">
        <v>0</v>
      </c>
      <c r="K2299" s="49" t="n">
        <v>0</v>
      </c>
      <c r="L2299" s="49" t="n">
        <v>0</v>
      </c>
      <c r="M2299" s="49" t="n">
        <v>0</v>
      </c>
      <c r="N2299" s="49" t="n">
        <v>0</v>
      </c>
      <c r="O2299" s="49" t="n">
        <v>0</v>
      </c>
      <c r="P2299" s="49" t="n">
        <v>0</v>
      </c>
      <c r="Q2299" s="49" t="n">
        <v>0</v>
      </c>
      <c r="R2299" s="49" t="n">
        <v>0</v>
      </c>
      <c r="S2299" s="50" t="n">
        <v>0</v>
      </c>
      <c r="T2299" s="50" t="n">
        <v>0</v>
      </c>
      <c r="U2299" s="50" t="n">
        <v>0</v>
      </c>
      <c r="V2299" s="50" t="n">
        <v>0</v>
      </c>
      <c r="W2299" s="51" t="n">
        <v>0</v>
      </c>
      <c r="X2299" s="51" t="n">
        <v>0</v>
      </c>
      <c r="Y2299" s="51" t="n">
        <v>0</v>
      </c>
      <c r="Z2299" s="51" t="n">
        <v>0</v>
      </c>
      <c r="AA2299" s="52" t="n">
        <v>0</v>
      </c>
      <c r="AB2299" s="52" t="n">
        <v>0</v>
      </c>
      <c r="AC2299" s="52" t="n">
        <v>0</v>
      </c>
      <c r="AD2299" s="52" t="n">
        <v>0</v>
      </c>
      <c r="AE2299" s="52" t="n">
        <v>0</v>
      </c>
      <c r="AF2299" s="52" t="n">
        <v>0</v>
      </c>
      <c r="AG2299" s="52" t="n">
        <v>0</v>
      </c>
      <c r="AH2299" s="52" t="n">
        <v>0</v>
      </c>
      <c r="AI2299" s="52" t="n">
        <v>0</v>
      </c>
      <c r="AJ2299" s="52" t="n">
        <v>0</v>
      </c>
      <c r="AK2299" s="52" t="n">
        <v>0</v>
      </c>
      <c r="AL2299" s="52" t="n">
        <v>0</v>
      </c>
      <c r="AM2299" s="53" t="n">
        <v>0</v>
      </c>
      <c r="AN2299" s="53" t="n">
        <v>0</v>
      </c>
      <c r="AO2299" s="53" t="n">
        <v>0</v>
      </c>
      <c r="AP2299" s="53" t="n">
        <v>0</v>
      </c>
      <c r="AQ2299" s="52" t="n">
        <v>0</v>
      </c>
      <c r="AR2299" s="52" t="n">
        <v>0</v>
      </c>
      <c r="AS2299" s="52" t="n">
        <v>0</v>
      </c>
      <c r="AT2299" s="52" t="n">
        <v>0</v>
      </c>
      <c r="AU2299" s="53" t="n">
        <v>0</v>
      </c>
      <c r="AV2299" s="53" t="n">
        <v>0</v>
      </c>
      <c r="AW2299" s="53" t="n">
        <v>0</v>
      </c>
      <c r="AX2299" s="53" t="n">
        <v>0</v>
      </c>
      <c r="AY2299" s="52" t="n">
        <v>0</v>
      </c>
      <c r="AZ2299" s="52" t="n">
        <v>0</v>
      </c>
      <c r="BA2299" s="52" t="n">
        <v>0</v>
      </c>
      <c r="BB2299" s="52" t="n">
        <v>0</v>
      </c>
      <c r="BC2299" s="51" t="n">
        <v>0</v>
      </c>
      <c r="BD2299" s="51" t="n">
        <v>0</v>
      </c>
      <c r="BE2299" s="51" t="n">
        <v>0</v>
      </c>
      <c r="BF2299" s="51" t="n">
        <v>0</v>
      </c>
    </row>
    <row r="2300">
      <c r="A2300">
        <f>HYPERLINK("https://www.walmart.com/ip/16321212162", "16321212162")</f>
        <v/>
      </c>
      <c r="B2300" t="inlineStr">
        <is>
          <t>Tirrinia Fleec Wearable Travel Blanket with Foot Pockets for Women &amp; Men | Zippered Front Pocket | Super Soft Lightweight &amp; Cozy Throw Blanket for Adults, One Size Fits All, Purple Honeycomb</t>
        </is>
      </c>
      <c r="C2300" t="inlineStr">
        <is>
          <t>1TRTB102PPHCB</t>
        </is>
      </c>
      <c r="D2300" t="inlineStr">
        <is>
          <t>Throws</t>
        </is>
      </c>
      <c r="E2300" t="inlineStr">
        <is>
          <t>Tirrinia</t>
        </is>
      </c>
      <c r="G2300" s="48" t="n">
        <v>0</v>
      </c>
      <c r="H2300" s="48" t="n">
        <v>0</v>
      </c>
      <c r="I2300" s="48" t="n">
        <v>0</v>
      </c>
      <c r="J2300" s="48" t="n">
        <v>0</v>
      </c>
      <c r="K2300" s="49" t="n">
        <v>0</v>
      </c>
      <c r="L2300" s="49" t="n">
        <v>0</v>
      </c>
      <c r="M2300" s="49" t="n">
        <v>0</v>
      </c>
      <c r="N2300" s="49" t="n">
        <v>0</v>
      </c>
      <c r="O2300" s="49" t="n">
        <v>0</v>
      </c>
      <c r="P2300" s="49" t="n">
        <v>0</v>
      </c>
      <c r="Q2300" s="49" t="n">
        <v>0</v>
      </c>
      <c r="R2300" s="49" t="n">
        <v>0</v>
      </c>
      <c r="S2300" s="50" t="n">
        <v>0</v>
      </c>
      <c r="T2300" s="50" t="n">
        <v>0</v>
      </c>
      <c r="U2300" s="50" t="n">
        <v>0</v>
      </c>
      <c r="V2300" s="50" t="n">
        <v>0</v>
      </c>
      <c r="W2300" s="51" t="n">
        <v>0</v>
      </c>
      <c r="X2300" s="51" t="n">
        <v>0</v>
      </c>
      <c r="Y2300" s="51" t="n">
        <v>0</v>
      </c>
      <c r="Z2300" s="51" t="n">
        <v>0</v>
      </c>
      <c r="AA2300" s="52" t="n">
        <v>0</v>
      </c>
      <c r="AB2300" s="52" t="n">
        <v>0</v>
      </c>
      <c r="AC2300" s="52" t="n">
        <v>0</v>
      </c>
      <c r="AD2300" s="52" t="n">
        <v>0</v>
      </c>
      <c r="AE2300" s="52" t="n">
        <v>0</v>
      </c>
      <c r="AF2300" s="52" t="n">
        <v>0</v>
      </c>
      <c r="AG2300" s="52" t="n">
        <v>0</v>
      </c>
      <c r="AH2300" s="52" t="n">
        <v>0</v>
      </c>
      <c r="AI2300" s="52" t="n">
        <v>0</v>
      </c>
      <c r="AJ2300" s="52" t="n">
        <v>0</v>
      </c>
      <c r="AK2300" s="52" t="n">
        <v>0</v>
      </c>
      <c r="AL2300" s="52" t="n">
        <v>0</v>
      </c>
      <c r="AM2300" s="53" t="n">
        <v>0</v>
      </c>
      <c r="AN2300" s="53" t="n">
        <v>0</v>
      </c>
      <c r="AO2300" s="53" t="n">
        <v>0</v>
      </c>
      <c r="AP2300" s="53" t="n">
        <v>0</v>
      </c>
      <c r="AQ2300" s="52" t="n">
        <v>0</v>
      </c>
      <c r="AR2300" s="52" t="n">
        <v>0</v>
      </c>
      <c r="AS2300" s="52" t="n">
        <v>0</v>
      </c>
      <c r="AT2300" s="52" t="n">
        <v>0</v>
      </c>
      <c r="AU2300" s="53" t="n">
        <v>0</v>
      </c>
      <c r="AV2300" s="53" t="n">
        <v>0</v>
      </c>
      <c r="AW2300" s="53" t="n">
        <v>0</v>
      </c>
      <c r="AX2300" s="53" t="n">
        <v>0</v>
      </c>
      <c r="AY2300" s="52" t="n">
        <v>0</v>
      </c>
      <c r="AZ2300" s="52" t="n">
        <v>0</v>
      </c>
      <c r="BA2300" s="52" t="n">
        <v>0</v>
      </c>
      <c r="BB2300" s="52" t="n">
        <v>0</v>
      </c>
      <c r="BC2300" s="51" t="n">
        <v>0</v>
      </c>
      <c r="BD2300" s="51" t="n">
        <v>0</v>
      </c>
      <c r="BE2300" s="51" t="n">
        <v>0</v>
      </c>
      <c r="BF2300" s="51" t="n">
        <v>0</v>
      </c>
    </row>
    <row r="2301">
      <c r="A2301">
        <f>HYPERLINK("https://www.walmart.com/ip/163231293", "163231293")</f>
        <v/>
      </c>
      <c r="B2301" t="inlineStr">
        <is>
          <t>Unisex Realtree Hunting Cap KC Caps® Camouflage Jungle Sports Hat</t>
        </is>
      </c>
      <c r="C2301" t="inlineStr">
        <is>
          <t>4730-Hardwood</t>
        </is>
      </c>
      <c r="D2301" t="inlineStr">
        <is>
          <t>Hats</t>
        </is>
      </c>
      <c r="E2301" t="inlineStr">
        <is>
          <t>KC Caps</t>
        </is>
      </c>
      <c r="F2301" t="inlineStr">
        <is>
          <t>Batch 1 - TR</t>
        </is>
      </c>
      <c r="G2301" s="48" t="n">
        <v>0</v>
      </c>
      <c r="H2301" s="48" t="n">
        <v>0</v>
      </c>
      <c r="I2301" s="48" t="n">
        <v>0</v>
      </c>
      <c r="J2301" s="48" t="n">
        <v>0</v>
      </c>
      <c r="K2301" s="49" t="n">
        <v>0</v>
      </c>
      <c r="L2301" s="49" t="n">
        <v>0</v>
      </c>
      <c r="M2301" s="49" t="n">
        <v>0</v>
      </c>
      <c r="N2301" s="49" t="n">
        <v>0</v>
      </c>
      <c r="O2301" s="49" t="n">
        <v>0</v>
      </c>
      <c r="P2301" s="49" t="n">
        <v>0</v>
      </c>
      <c r="Q2301" s="49" t="n">
        <v>0</v>
      </c>
      <c r="R2301" s="49" t="n">
        <v>0</v>
      </c>
      <c r="S2301" s="50" t="n">
        <v>0</v>
      </c>
      <c r="T2301" s="50" t="n">
        <v>0</v>
      </c>
      <c r="U2301" s="50" t="n">
        <v>0</v>
      </c>
      <c r="V2301" s="50" t="n">
        <v>0</v>
      </c>
      <c r="W2301" s="51" t="n">
        <v>0</v>
      </c>
      <c r="X2301" s="51" t="n">
        <v>0</v>
      </c>
      <c r="Y2301" s="51" t="n">
        <v>0</v>
      </c>
      <c r="Z2301" s="51" t="n">
        <v>0</v>
      </c>
      <c r="AA2301" s="52" t="n">
        <v>0</v>
      </c>
      <c r="AB2301" s="52" t="n">
        <v>0</v>
      </c>
      <c r="AC2301" s="52" t="n">
        <v>0</v>
      </c>
      <c r="AD2301" s="52" t="n">
        <v>0</v>
      </c>
      <c r="AE2301" s="52" t="n">
        <v>0</v>
      </c>
      <c r="AF2301" s="52" t="n">
        <v>0</v>
      </c>
      <c r="AG2301" s="52" t="n">
        <v>0</v>
      </c>
      <c r="AH2301" s="52" t="n">
        <v>0</v>
      </c>
      <c r="AI2301" s="52" t="n">
        <v>0</v>
      </c>
      <c r="AJ2301" s="52" t="n">
        <v>0</v>
      </c>
      <c r="AK2301" s="52" t="n">
        <v>0</v>
      </c>
      <c r="AL2301" s="52" t="n">
        <v>0</v>
      </c>
      <c r="AM2301" s="53" t="n">
        <v>0</v>
      </c>
      <c r="AN2301" s="53" t="n">
        <v>0</v>
      </c>
      <c r="AO2301" s="53" t="n">
        <v>0</v>
      </c>
      <c r="AP2301" s="53" t="n">
        <v>0</v>
      </c>
      <c r="AQ2301" s="52" t="n">
        <v>0</v>
      </c>
      <c r="AR2301" s="52" t="n">
        <v>0</v>
      </c>
      <c r="AS2301" s="52" t="n">
        <v>0</v>
      </c>
      <c r="AT2301" s="52" t="n">
        <v>0</v>
      </c>
      <c r="AU2301" s="53" t="n">
        <v>0</v>
      </c>
      <c r="AV2301" s="53" t="n">
        <v>0</v>
      </c>
      <c r="AW2301" s="53" t="n">
        <v>0</v>
      </c>
      <c r="AX2301" s="53" t="n">
        <v>0</v>
      </c>
      <c r="AY2301" s="52" t="n">
        <v>0</v>
      </c>
      <c r="AZ2301" s="52" t="n">
        <v>0</v>
      </c>
      <c r="BA2301" s="52" t="n">
        <v>0</v>
      </c>
      <c r="BB2301" s="52" t="n">
        <v>0</v>
      </c>
      <c r="BC2301" s="51" t="n">
        <v>0</v>
      </c>
      <c r="BD2301" s="51" t="n">
        <v>0</v>
      </c>
      <c r="BE2301" s="51" t="n">
        <v>0</v>
      </c>
      <c r="BF2301" s="51" t="n">
        <v>0</v>
      </c>
    </row>
    <row r="2302">
      <c r="A2302">
        <f>HYPERLINK("https://www.walmart.com/ip/163258822", "163258822")</f>
        <v/>
      </c>
      <c r="B2302" t="inlineStr">
        <is>
          <t>Deluxe Classic Suede Bill Baseball Cap with Leather Strap Closure</t>
        </is>
      </c>
      <c r="C2302" t="inlineStr">
        <is>
          <t>KC-S6300-BK/SI</t>
        </is>
      </c>
      <c r="D2302" t="inlineStr">
        <is>
          <t>Hats</t>
        </is>
      </c>
      <c r="E2302" t="inlineStr">
        <is>
          <t>KC Caps</t>
        </is>
      </c>
      <c r="F2302" t="inlineStr">
        <is>
          <t>Optimized</t>
        </is>
      </c>
      <c r="G2302" s="48" t="n">
        <v>0</v>
      </c>
      <c r="H2302" s="48" t="n">
        <v>0</v>
      </c>
      <c r="I2302" s="48" t="n">
        <v>0</v>
      </c>
      <c r="J2302" s="48" t="n">
        <v>0</v>
      </c>
      <c r="K2302" s="49" t="n">
        <v>0</v>
      </c>
      <c r="L2302" s="49" t="n">
        <v>0</v>
      </c>
      <c r="M2302" s="49" t="n">
        <v>0</v>
      </c>
      <c r="N2302" s="49" t="n">
        <v>0</v>
      </c>
      <c r="O2302" s="49" t="n">
        <v>0</v>
      </c>
      <c r="P2302" s="49" t="n">
        <v>0</v>
      </c>
      <c r="Q2302" s="49" t="n">
        <v>0</v>
      </c>
      <c r="R2302" s="49" t="n">
        <v>0</v>
      </c>
      <c r="S2302" s="50" t="n">
        <v>0</v>
      </c>
      <c r="T2302" s="50" t="n">
        <v>0</v>
      </c>
      <c r="U2302" s="50" t="n">
        <v>0</v>
      </c>
      <c r="V2302" s="50" t="n">
        <v>0</v>
      </c>
      <c r="W2302" s="51" t="n">
        <v>0</v>
      </c>
      <c r="X2302" s="51" t="n">
        <v>0</v>
      </c>
      <c r="Y2302" s="51" t="n">
        <v>0</v>
      </c>
      <c r="Z2302" s="51" t="n">
        <v>0</v>
      </c>
      <c r="AA2302" s="52" t="n">
        <v>0</v>
      </c>
      <c r="AB2302" s="52" t="n">
        <v>0</v>
      </c>
      <c r="AC2302" s="52" t="n">
        <v>0</v>
      </c>
      <c r="AD2302" s="52" t="n">
        <v>0</v>
      </c>
      <c r="AE2302" s="52" t="n">
        <v>0</v>
      </c>
      <c r="AF2302" s="52" t="n">
        <v>0</v>
      </c>
      <c r="AG2302" s="52" t="n">
        <v>0</v>
      </c>
      <c r="AH2302" s="52" t="n">
        <v>0</v>
      </c>
      <c r="AI2302" s="52" t="n">
        <v>0</v>
      </c>
      <c r="AJ2302" s="52" t="n">
        <v>0</v>
      </c>
      <c r="AK2302" s="52" t="n">
        <v>0</v>
      </c>
      <c r="AL2302" s="52" t="n">
        <v>0</v>
      </c>
      <c r="AM2302" s="53" t="n">
        <v>0</v>
      </c>
      <c r="AN2302" s="53" t="n">
        <v>0</v>
      </c>
      <c r="AO2302" s="53" t="n">
        <v>0</v>
      </c>
      <c r="AP2302" s="53" t="n">
        <v>0</v>
      </c>
      <c r="AQ2302" s="52" t="n">
        <v>0</v>
      </c>
      <c r="AR2302" s="52" t="n">
        <v>0</v>
      </c>
      <c r="AS2302" s="52" t="n">
        <v>0</v>
      </c>
      <c r="AT2302" s="52" t="n">
        <v>0</v>
      </c>
      <c r="AU2302" s="53" t="n">
        <v>0</v>
      </c>
      <c r="AV2302" s="53" t="n">
        <v>0</v>
      </c>
      <c r="AW2302" s="53" t="n">
        <v>0</v>
      </c>
      <c r="AX2302" s="53" t="n">
        <v>0</v>
      </c>
      <c r="AY2302" s="52" t="n">
        <v>0</v>
      </c>
      <c r="AZ2302" s="52" t="n">
        <v>0</v>
      </c>
      <c r="BA2302" s="52" t="n">
        <v>0</v>
      </c>
      <c r="BB2302" s="52" t="n">
        <v>0</v>
      </c>
      <c r="BC2302" s="51" t="n">
        <v>0</v>
      </c>
      <c r="BD2302" s="51" t="n">
        <v>0</v>
      </c>
      <c r="BE2302" s="51" t="n">
        <v>0</v>
      </c>
      <c r="BF2302" s="51" t="n">
        <v>0</v>
      </c>
    </row>
    <row r="2303">
      <c r="A2303">
        <f>HYPERLINK("https://www.walmart.com/ip/16331922239", "16331922239")</f>
        <v/>
      </c>
      <c r="B2303" t="inlineStr">
        <is>
          <t>Catalonia Lightweight Ladies Bathrobe, Long Summer Robe with Pockets,Soft Summer Robes for Women, Kimono Gift for Her, Green</t>
        </is>
      </c>
      <c r="C2303" t="inlineStr">
        <is>
          <t>1CTRB504GN-5</t>
        </is>
      </c>
      <c r="D2303" t="inlineStr">
        <is>
          <t>Sleepwear Robes &amp; Bathrobes</t>
        </is>
      </c>
      <c r="E2303" t="inlineStr">
        <is>
          <t>Catalonia</t>
        </is>
      </c>
      <c r="G2303" s="48" t="n">
        <v>0</v>
      </c>
      <c r="H2303" s="48" t="n">
        <v>0</v>
      </c>
      <c r="I2303" s="48" t="n">
        <v>0</v>
      </c>
      <c r="J2303" s="48" t="n">
        <v>0</v>
      </c>
      <c r="K2303" s="49" t="n">
        <v>0</v>
      </c>
      <c r="L2303" s="49" t="n">
        <v>0</v>
      </c>
      <c r="M2303" s="49" t="n">
        <v>0</v>
      </c>
      <c r="N2303" s="49" t="n">
        <v>0</v>
      </c>
      <c r="O2303" s="49" t="n">
        <v>0</v>
      </c>
      <c r="P2303" s="49" t="n">
        <v>0</v>
      </c>
      <c r="Q2303" s="49" t="n">
        <v>0</v>
      </c>
      <c r="R2303" s="49" t="n">
        <v>0</v>
      </c>
      <c r="S2303" s="50" t="n">
        <v>0</v>
      </c>
      <c r="T2303" s="50" t="n">
        <v>0</v>
      </c>
      <c r="U2303" s="50" t="n">
        <v>0</v>
      </c>
      <c r="V2303" s="50" t="n">
        <v>0</v>
      </c>
      <c r="W2303" s="51" t="n">
        <v>0</v>
      </c>
      <c r="X2303" s="51" t="n">
        <v>0</v>
      </c>
      <c r="Y2303" s="51" t="n">
        <v>0</v>
      </c>
      <c r="Z2303" s="51" t="n">
        <v>0</v>
      </c>
      <c r="AA2303" s="52" t="n">
        <v>0</v>
      </c>
      <c r="AB2303" s="52" t="n">
        <v>0</v>
      </c>
      <c r="AC2303" s="52" t="n">
        <v>0</v>
      </c>
      <c r="AD2303" s="52" t="n">
        <v>0</v>
      </c>
      <c r="AE2303" s="52" t="n">
        <v>0</v>
      </c>
      <c r="AF2303" s="52" t="n">
        <v>0</v>
      </c>
      <c r="AG2303" s="52" t="n">
        <v>0</v>
      </c>
      <c r="AH2303" s="52" t="n">
        <v>0</v>
      </c>
      <c r="AI2303" s="52" t="n">
        <v>0</v>
      </c>
      <c r="AJ2303" s="52" t="n">
        <v>0</v>
      </c>
      <c r="AK2303" s="52" t="n">
        <v>0</v>
      </c>
      <c r="AL2303" s="52" t="n">
        <v>0</v>
      </c>
      <c r="AM2303" s="53" t="n">
        <v>0</v>
      </c>
      <c r="AN2303" s="53" t="n">
        <v>0</v>
      </c>
      <c r="AO2303" s="53" t="n">
        <v>0</v>
      </c>
      <c r="AP2303" s="53" t="n">
        <v>0</v>
      </c>
      <c r="AQ2303" s="52" t="n">
        <v>0</v>
      </c>
      <c r="AR2303" s="52" t="n">
        <v>0</v>
      </c>
      <c r="AS2303" s="52" t="n">
        <v>0</v>
      </c>
      <c r="AT2303" s="52" t="n">
        <v>0</v>
      </c>
      <c r="AU2303" s="53" t="n">
        <v>0</v>
      </c>
      <c r="AV2303" s="53" t="n">
        <v>0</v>
      </c>
      <c r="AW2303" s="53" t="n">
        <v>0</v>
      </c>
      <c r="AX2303" s="53" t="n">
        <v>0</v>
      </c>
      <c r="AY2303" s="52" t="n">
        <v>0</v>
      </c>
      <c r="AZ2303" s="52" t="n">
        <v>0</v>
      </c>
      <c r="BA2303" s="52" t="n">
        <v>0</v>
      </c>
      <c r="BB2303" s="52" t="n">
        <v>0</v>
      </c>
      <c r="BC2303" s="51" t="n">
        <v>0</v>
      </c>
      <c r="BD2303" s="51" t="n">
        <v>0</v>
      </c>
      <c r="BE2303" s="51" t="n">
        <v>0</v>
      </c>
      <c r="BF2303" s="51" t="n">
        <v>0</v>
      </c>
    </row>
    <row r="2304">
      <c r="A2304">
        <f>HYPERLINK("https://www.walmart.com/ip/16335621485", "16335621485")</f>
        <v/>
      </c>
      <c r="B2304" t="inlineStr">
        <is>
          <t>Catalonia Lightweight Ladies Bathrobe, Long Summer Robe with Pockets,Soft Summer Robes for Women, Kimono Gift for Her, Lilac</t>
        </is>
      </c>
      <c r="C2304" t="inlineStr">
        <is>
          <t>1CTRB504LL-2</t>
        </is>
      </c>
      <c r="D2304" t="inlineStr">
        <is>
          <t>Sleepwear Robes &amp; Bathrobes</t>
        </is>
      </c>
      <c r="E2304" t="inlineStr">
        <is>
          <t>Catalonia</t>
        </is>
      </c>
      <c r="G2304" s="48" t="n">
        <v>0</v>
      </c>
      <c r="H2304" s="48" t="n">
        <v>0</v>
      </c>
      <c r="I2304" s="48" t="n">
        <v>0</v>
      </c>
      <c r="J2304" s="48" t="n">
        <v>0</v>
      </c>
      <c r="K2304" s="49" t="n">
        <v>0</v>
      </c>
      <c r="L2304" s="49" t="n">
        <v>0</v>
      </c>
      <c r="M2304" s="49" t="n">
        <v>0</v>
      </c>
      <c r="N2304" s="49" t="n">
        <v>0</v>
      </c>
      <c r="O2304" s="49" t="n">
        <v>0</v>
      </c>
      <c r="P2304" s="49" t="n">
        <v>0</v>
      </c>
      <c r="Q2304" s="49" t="n">
        <v>0</v>
      </c>
      <c r="R2304" s="49" t="n">
        <v>0</v>
      </c>
      <c r="S2304" s="50" t="n">
        <v>0</v>
      </c>
      <c r="T2304" s="50" t="n">
        <v>0</v>
      </c>
      <c r="U2304" s="50" t="n">
        <v>0</v>
      </c>
      <c r="V2304" s="50" t="n">
        <v>0</v>
      </c>
      <c r="W2304" s="51" t="n">
        <v>0</v>
      </c>
      <c r="X2304" s="51" t="n">
        <v>0</v>
      </c>
      <c r="Y2304" s="51" t="n">
        <v>0</v>
      </c>
      <c r="Z2304" s="51" t="n">
        <v>0</v>
      </c>
      <c r="AA2304" s="52" t="n">
        <v>0</v>
      </c>
      <c r="AB2304" s="52" t="n">
        <v>0</v>
      </c>
      <c r="AC2304" s="52" t="n">
        <v>0</v>
      </c>
      <c r="AD2304" s="52" t="n">
        <v>0</v>
      </c>
      <c r="AE2304" s="52" t="n">
        <v>0</v>
      </c>
      <c r="AF2304" s="52" t="n">
        <v>0</v>
      </c>
      <c r="AG2304" s="52" t="n">
        <v>0</v>
      </c>
      <c r="AH2304" s="52" t="n">
        <v>0</v>
      </c>
      <c r="AI2304" s="52" t="n">
        <v>0</v>
      </c>
      <c r="AJ2304" s="52" t="n">
        <v>0</v>
      </c>
      <c r="AK2304" s="52" t="n">
        <v>0</v>
      </c>
      <c r="AL2304" s="52" t="n">
        <v>0</v>
      </c>
      <c r="AM2304" s="53" t="n">
        <v>0</v>
      </c>
      <c r="AN2304" s="53" t="n">
        <v>0</v>
      </c>
      <c r="AO2304" s="53" t="n">
        <v>0</v>
      </c>
      <c r="AP2304" s="53" t="n">
        <v>0</v>
      </c>
      <c r="AQ2304" s="52" t="n">
        <v>0</v>
      </c>
      <c r="AR2304" s="52" t="n">
        <v>0</v>
      </c>
      <c r="AS2304" s="52" t="n">
        <v>0</v>
      </c>
      <c r="AT2304" s="52" t="n">
        <v>0</v>
      </c>
      <c r="AU2304" s="53" t="n">
        <v>0</v>
      </c>
      <c r="AV2304" s="53" t="n">
        <v>0</v>
      </c>
      <c r="AW2304" s="53" t="n">
        <v>0</v>
      </c>
      <c r="AX2304" s="53" t="n">
        <v>0</v>
      </c>
      <c r="AY2304" s="52" t="n">
        <v>0</v>
      </c>
      <c r="AZ2304" s="52" t="n">
        <v>0</v>
      </c>
      <c r="BA2304" s="52" t="n">
        <v>0</v>
      </c>
      <c r="BB2304" s="52" t="n">
        <v>0</v>
      </c>
      <c r="BC2304" s="51" t="n">
        <v>0</v>
      </c>
      <c r="BD2304" s="51" t="n">
        <v>0</v>
      </c>
      <c r="BE2304" s="51" t="n">
        <v>0</v>
      </c>
      <c r="BF2304" s="51" t="n">
        <v>0</v>
      </c>
    </row>
    <row r="2305">
      <c r="A2305">
        <f>HYPERLINK("https://www.walmart.com/ip/16340064610", "16340064610")</f>
        <v/>
      </c>
      <c r="B2305" t="inlineStr">
        <is>
          <t>Summer Caps for Men and Women Patriotic Independence Day USA Flag UV Protect  Adjustable Unisex Hats for Sports, Khaki</t>
        </is>
      </c>
      <c r="C2305" t="inlineStr">
        <is>
          <t>1TRBC100KK</t>
        </is>
      </c>
      <c r="D2305" t="inlineStr">
        <is>
          <t>Hats</t>
        </is>
      </c>
      <c r="E2305" t="inlineStr">
        <is>
          <t>Tirrinia</t>
        </is>
      </c>
      <c r="G2305" s="48" t="n">
        <v>0</v>
      </c>
      <c r="H2305" s="48" t="n">
        <v>0</v>
      </c>
      <c r="I2305" s="48" t="n">
        <v>0</v>
      </c>
      <c r="J2305" s="48" t="n">
        <v>0</v>
      </c>
      <c r="K2305" s="49" t="n">
        <v>0</v>
      </c>
      <c r="L2305" s="49" t="n">
        <v>0</v>
      </c>
      <c r="M2305" s="49" t="n">
        <v>0</v>
      </c>
      <c r="N2305" s="49" t="n">
        <v>0</v>
      </c>
      <c r="O2305" s="49" t="n">
        <v>0</v>
      </c>
      <c r="P2305" s="49" t="n">
        <v>0</v>
      </c>
      <c r="Q2305" s="49" t="n">
        <v>0</v>
      </c>
      <c r="R2305" s="49" t="n">
        <v>0</v>
      </c>
      <c r="S2305" s="50" t="n">
        <v>0</v>
      </c>
      <c r="T2305" s="50" t="n">
        <v>0</v>
      </c>
      <c r="U2305" s="50" t="n">
        <v>0</v>
      </c>
      <c r="V2305" s="50" t="n">
        <v>0</v>
      </c>
      <c r="W2305" s="51" t="n">
        <v>0</v>
      </c>
      <c r="X2305" s="51" t="n">
        <v>0</v>
      </c>
      <c r="Y2305" s="51" t="n">
        <v>0</v>
      </c>
      <c r="Z2305" s="51" t="n">
        <v>0</v>
      </c>
      <c r="AA2305" s="52" t="n">
        <v>0</v>
      </c>
      <c r="AB2305" s="52" t="n">
        <v>0</v>
      </c>
      <c r="AC2305" s="52" t="n">
        <v>0</v>
      </c>
      <c r="AD2305" s="52" t="n">
        <v>0</v>
      </c>
      <c r="AE2305" s="52" t="n">
        <v>0</v>
      </c>
      <c r="AF2305" s="52" t="n">
        <v>0</v>
      </c>
      <c r="AG2305" s="52" t="n">
        <v>0</v>
      </c>
      <c r="AH2305" s="52" t="n">
        <v>0</v>
      </c>
      <c r="AI2305" s="52" t="n">
        <v>0</v>
      </c>
      <c r="AJ2305" s="52" t="n">
        <v>0</v>
      </c>
      <c r="AK2305" s="52" t="n">
        <v>0</v>
      </c>
      <c r="AL2305" s="52" t="n">
        <v>0</v>
      </c>
      <c r="AM2305" s="53" t="n">
        <v>0</v>
      </c>
      <c r="AN2305" s="53" t="n">
        <v>0</v>
      </c>
      <c r="AO2305" s="53" t="n">
        <v>0</v>
      </c>
      <c r="AP2305" s="53" t="n">
        <v>0</v>
      </c>
      <c r="AQ2305" s="52" t="n">
        <v>0</v>
      </c>
      <c r="AR2305" s="52" t="n">
        <v>0</v>
      </c>
      <c r="AS2305" s="52" t="n">
        <v>0</v>
      </c>
      <c r="AT2305" s="52" t="n">
        <v>0</v>
      </c>
      <c r="AU2305" s="53" t="n">
        <v>0</v>
      </c>
      <c r="AV2305" s="53" t="n">
        <v>0</v>
      </c>
      <c r="AW2305" s="53" t="n">
        <v>0</v>
      </c>
      <c r="AX2305" s="53" t="n">
        <v>0</v>
      </c>
      <c r="AY2305" s="52" t="n">
        <v>0</v>
      </c>
      <c r="AZ2305" s="52" t="n">
        <v>0</v>
      </c>
      <c r="BA2305" s="52" t="n">
        <v>0</v>
      </c>
      <c r="BB2305" s="52" t="n">
        <v>0</v>
      </c>
      <c r="BC2305" s="51" t="n">
        <v>0</v>
      </c>
      <c r="BD2305" s="51" t="n">
        <v>0</v>
      </c>
      <c r="BE2305" s="51" t="n">
        <v>0</v>
      </c>
      <c r="BF2305" s="51" t="n">
        <v>0</v>
      </c>
    </row>
    <row r="2306">
      <c r="A2306">
        <f>HYPERLINK("https://www.walmart.com/ip/163410926", "163410926")</f>
        <v/>
      </c>
      <c r="B2306" t="inlineStr">
        <is>
          <t>Vina 2-Bottle Wine Picnic Tote Carrier Travel Cooler Insulated Bag Leather Handles Durable Zipper Reusable</t>
        </is>
      </c>
      <c r="C2306" t="inlineStr">
        <is>
          <t>VINAWB007WTX</t>
        </is>
      </c>
      <c r="E2306" t="inlineStr">
        <is>
          <t>Vina</t>
        </is>
      </c>
      <c r="G2306" s="48" t="n">
        <v>0</v>
      </c>
      <c r="H2306" s="48" t="n">
        <v>0</v>
      </c>
      <c r="I2306" s="48" t="n">
        <v>0</v>
      </c>
      <c r="J2306" s="48" t="n">
        <v>0</v>
      </c>
      <c r="K2306" s="49" t="n">
        <v>0</v>
      </c>
      <c r="L2306" s="49" t="n">
        <v>0</v>
      </c>
      <c r="M2306" s="49" t="n">
        <v>0</v>
      </c>
      <c r="N2306" s="49" t="n">
        <v>0</v>
      </c>
      <c r="O2306" s="49" t="n">
        <v>0</v>
      </c>
      <c r="P2306" s="49" t="n">
        <v>0</v>
      </c>
      <c r="Q2306" s="49" t="n">
        <v>0</v>
      </c>
      <c r="R2306" s="49" t="n">
        <v>0</v>
      </c>
      <c r="S2306" s="50" t="n">
        <v>0</v>
      </c>
      <c r="T2306" s="50" t="n">
        <v>0</v>
      </c>
      <c r="U2306" s="50" t="n">
        <v>0</v>
      </c>
      <c r="V2306" s="50" t="n">
        <v>0</v>
      </c>
      <c r="W2306" s="51" t="n">
        <v>0</v>
      </c>
      <c r="X2306" s="51" t="n">
        <v>0</v>
      </c>
      <c r="Y2306" s="51" t="n">
        <v>0</v>
      </c>
      <c r="Z2306" s="51" t="n">
        <v>0</v>
      </c>
      <c r="AA2306" s="52" t="n">
        <v>0</v>
      </c>
      <c r="AB2306" s="52" t="n">
        <v>0</v>
      </c>
      <c r="AC2306" s="52" t="n">
        <v>0</v>
      </c>
      <c r="AD2306" s="52" t="n">
        <v>0</v>
      </c>
      <c r="AE2306" s="52" t="n">
        <v>0</v>
      </c>
      <c r="AF2306" s="52" t="n">
        <v>0</v>
      </c>
      <c r="AG2306" s="52" t="n">
        <v>0</v>
      </c>
      <c r="AH2306" s="52" t="n">
        <v>0</v>
      </c>
      <c r="AI2306" s="52" t="n">
        <v>0</v>
      </c>
      <c r="AJ2306" s="52" t="n">
        <v>0</v>
      </c>
      <c r="AK2306" s="52" t="n">
        <v>0</v>
      </c>
      <c r="AL2306" s="52" t="n">
        <v>0</v>
      </c>
      <c r="AM2306" s="53" t="n">
        <v>0</v>
      </c>
      <c r="AN2306" s="53" t="n">
        <v>0</v>
      </c>
      <c r="AO2306" s="53" t="n">
        <v>0</v>
      </c>
      <c r="AP2306" s="53" t="n">
        <v>0</v>
      </c>
      <c r="AQ2306" s="52" t="n">
        <v>0</v>
      </c>
      <c r="AR2306" s="52" t="n">
        <v>0</v>
      </c>
      <c r="AS2306" s="52" t="n">
        <v>0</v>
      </c>
      <c r="AT2306" s="52" t="n">
        <v>0</v>
      </c>
      <c r="AU2306" s="53" t="n">
        <v>0</v>
      </c>
      <c r="AV2306" s="53" t="n">
        <v>0</v>
      </c>
      <c r="AW2306" s="53" t="n">
        <v>0</v>
      </c>
      <c r="AX2306" s="53" t="n">
        <v>0</v>
      </c>
      <c r="AY2306" s="52" t="n">
        <v>0</v>
      </c>
      <c r="AZ2306" s="52" t="n">
        <v>0</v>
      </c>
      <c r="BA2306" s="52" t="n">
        <v>0</v>
      </c>
      <c r="BB2306" s="52" t="n">
        <v>0</v>
      </c>
      <c r="BC2306" s="51" t="n">
        <v>0</v>
      </c>
      <c r="BD2306" s="51" t="n">
        <v>0</v>
      </c>
      <c r="BE2306" s="51" t="n">
        <v>0</v>
      </c>
      <c r="BF2306" s="51" t="n">
        <v>0</v>
      </c>
    </row>
    <row r="2307">
      <c r="A2307">
        <f>HYPERLINK("https://www.walmart.com/ip/163412178", "163412178")</f>
        <v/>
      </c>
      <c r="B2307" t="inlineStr">
        <is>
          <t>JenniWears® Women's Kimono Lace Lingerie Sleepwear Matching Cheeky Panty</t>
        </is>
      </c>
      <c r="C2307" t="inlineStr">
        <is>
          <t>JWRS01BK-M</t>
        </is>
      </c>
      <c r="D2307" t="inlineStr">
        <is>
          <t>Lingerie Sets</t>
        </is>
      </c>
      <c r="E2307" t="inlineStr">
        <is>
          <t>JenniWears</t>
        </is>
      </c>
      <c r="F2307" t="inlineStr">
        <is>
          <t>Optimized,Valentine</t>
        </is>
      </c>
      <c r="G2307" s="48" t="n">
        <v>0</v>
      </c>
      <c r="H2307" s="48" t="n">
        <v>0</v>
      </c>
      <c r="I2307" s="48" t="n">
        <v>0</v>
      </c>
      <c r="J2307" s="48" t="n">
        <v>0</v>
      </c>
      <c r="K2307" s="49" t="n">
        <v>0</v>
      </c>
      <c r="L2307" s="49" t="n">
        <v>0</v>
      </c>
      <c r="M2307" s="49" t="n">
        <v>0</v>
      </c>
      <c r="N2307" s="49" t="n">
        <v>0</v>
      </c>
      <c r="O2307" s="49" t="n">
        <v>0</v>
      </c>
      <c r="P2307" s="49" t="n">
        <v>0</v>
      </c>
      <c r="Q2307" s="49" t="n">
        <v>0</v>
      </c>
      <c r="R2307" s="49" t="n">
        <v>0</v>
      </c>
      <c r="S2307" s="50" t="n">
        <v>0</v>
      </c>
      <c r="T2307" s="50" t="n">
        <v>0</v>
      </c>
      <c r="U2307" s="50" t="n">
        <v>0</v>
      </c>
      <c r="V2307" s="50" t="n">
        <v>0</v>
      </c>
      <c r="W2307" s="51" t="n">
        <v>0</v>
      </c>
      <c r="X2307" s="51" t="n">
        <v>0</v>
      </c>
      <c r="Y2307" s="51" t="n">
        <v>0</v>
      </c>
      <c r="Z2307" s="51" t="n">
        <v>0</v>
      </c>
      <c r="AA2307" s="52" t="n">
        <v>0</v>
      </c>
      <c r="AB2307" s="52" t="n">
        <v>0</v>
      </c>
      <c r="AC2307" s="52" t="n">
        <v>0</v>
      </c>
      <c r="AD2307" s="52" t="n">
        <v>0</v>
      </c>
      <c r="AE2307" s="52" t="n">
        <v>0</v>
      </c>
      <c r="AF2307" s="52" t="n">
        <v>0</v>
      </c>
      <c r="AG2307" s="52" t="n">
        <v>0</v>
      </c>
      <c r="AH2307" s="52" t="n">
        <v>0</v>
      </c>
      <c r="AI2307" s="52" t="n">
        <v>0</v>
      </c>
      <c r="AJ2307" s="52" t="n">
        <v>0</v>
      </c>
      <c r="AK2307" s="52" t="n">
        <v>0</v>
      </c>
      <c r="AL2307" s="52" t="n">
        <v>0</v>
      </c>
      <c r="AM2307" s="53" t="n">
        <v>0</v>
      </c>
      <c r="AN2307" s="53" t="n">
        <v>0</v>
      </c>
      <c r="AO2307" s="53" t="n">
        <v>0</v>
      </c>
      <c r="AP2307" s="53" t="n">
        <v>0</v>
      </c>
      <c r="AQ2307" s="52" t="n">
        <v>0</v>
      </c>
      <c r="AR2307" s="52" t="n">
        <v>0</v>
      </c>
      <c r="AS2307" s="52" t="n">
        <v>0</v>
      </c>
      <c r="AT2307" s="52" t="n">
        <v>0</v>
      </c>
      <c r="AU2307" s="53" t="n">
        <v>0</v>
      </c>
      <c r="AV2307" s="53" t="n">
        <v>0</v>
      </c>
      <c r="AW2307" s="53" t="n">
        <v>0</v>
      </c>
      <c r="AX2307" s="53" t="n">
        <v>0</v>
      </c>
      <c r="AY2307" s="52" t="n">
        <v>0</v>
      </c>
      <c r="AZ2307" s="52" t="n">
        <v>0</v>
      </c>
      <c r="BA2307" s="52" t="n">
        <v>0</v>
      </c>
      <c r="BB2307" s="52" t="n">
        <v>0</v>
      </c>
      <c r="BC2307" s="51" t="n">
        <v>0</v>
      </c>
      <c r="BD2307" s="51" t="n">
        <v>0</v>
      </c>
      <c r="BE2307" s="51" t="n">
        <v>0</v>
      </c>
      <c r="BF2307" s="51" t="n">
        <v>0</v>
      </c>
    </row>
    <row r="2308">
      <c r="A2308">
        <f>HYPERLINK("https://www.walmart.com/ip/16241574829", "16241574829")</f>
        <v/>
      </c>
      <c r="B2308" t="inlineStr">
        <is>
          <t>Tirrinia 2 In 1 Outdoors UPF 50+ UV Protection Sun Hat for Women, One Size Female Sports Baseball Cap Gardening Fishing Hat with Neck Flap, Orange</t>
        </is>
      </c>
      <c r="C2308" t="inlineStr">
        <is>
          <t>1TRSH9153OR</t>
        </is>
      </c>
      <c r="D2308" t="inlineStr">
        <is>
          <t>Hats</t>
        </is>
      </c>
      <c r="E2308" t="inlineStr">
        <is>
          <t>Tirrinia</t>
        </is>
      </c>
      <c r="G2308" s="48" t="n">
        <v>0</v>
      </c>
      <c r="H2308" s="48" t="n">
        <v>0</v>
      </c>
      <c r="I2308" s="48" t="n">
        <v>0</v>
      </c>
      <c r="J2308" s="48" t="n">
        <v>0</v>
      </c>
      <c r="K2308" s="49" t="n">
        <v>0</v>
      </c>
      <c r="L2308" s="49" t="n">
        <v>0</v>
      </c>
      <c r="M2308" s="49" t="n">
        <v>0</v>
      </c>
      <c r="N2308" s="49" t="n">
        <v>0</v>
      </c>
      <c r="O2308" s="49" t="n">
        <v>0</v>
      </c>
      <c r="P2308" s="49" t="n">
        <v>0</v>
      </c>
      <c r="Q2308" s="49" t="n">
        <v>0</v>
      </c>
      <c r="R2308" s="49" t="n">
        <v>0</v>
      </c>
      <c r="S2308" s="50" t="n">
        <v>0</v>
      </c>
      <c r="T2308" s="50" t="n">
        <v>0</v>
      </c>
      <c r="U2308" s="50" t="n">
        <v>0</v>
      </c>
      <c r="V2308" s="50" t="n">
        <v>0</v>
      </c>
      <c r="W2308" s="51" t="n">
        <v>0</v>
      </c>
      <c r="X2308" s="51" t="n">
        <v>0</v>
      </c>
      <c r="Y2308" s="51" t="n">
        <v>0</v>
      </c>
      <c r="Z2308" s="51" t="n">
        <v>0</v>
      </c>
      <c r="AA2308" s="52" t="n">
        <v>0</v>
      </c>
      <c r="AB2308" s="52" t="n">
        <v>0</v>
      </c>
      <c r="AC2308" s="52" t="n">
        <v>0</v>
      </c>
      <c r="AD2308" s="52" t="n">
        <v>0</v>
      </c>
      <c r="AE2308" s="52" t="n">
        <v>0</v>
      </c>
      <c r="AF2308" s="52" t="n">
        <v>0</v>
      </c>
      <c r="AG2308" s="52" t="n">
        <v>0</v>
      </c>
      <c r="AH2308" s="52" t="n">
        <v>0</v>
      </c>
      <c r="AI2308" s="52" t="n">
        <v>0</v>
      </c>
      <c r="AJ2308" s="52" t="n">
        <v>0</v>
      </c>
      <c r="AK2308" s="52" t="n">
        <v>0</v>
      </c>
      <c r="AL2308" s="52" t="n">
        <v>0</v>
      </c>
      <c r="AM2308" s="53" t="n">
        <v>0</v>
      </c>
      <c r="AN2308" s="53" t="n">
        <v>0</v>
      </c>
      <c r="AO2308" s="53" t="n">
        <v>0</v>
      </c>
      <c r="AP2308" s="53" t="n">
        <v>0</v>
      </c>
      <c r="AQ2308" s="52" t="n">
        <v>0</v>
      </c>
      <c r="AR2308" s="52" t="n">
        <v>0</v>
      </c>
      <c r="AS2308" s="52" t="n">
        <v>0</v>
      </c>
      <c r="AT2308" s="52" t="n">
        <v>0</v>
      </c>
      <c r="AU2308" s="53" t="n">
        <v>0</v>
      </c>
      <c r="AV2308" s="53" t="n">
        <v>0</v>
      </c>
      <c r="AW2308" s="53" t="n">
        <v>0</v>
      </c>
      <c r="AX2308" s="53" t="n">
        <v>0</v>
      </c>
      <c r="AY2308" s="52" t="n">
        <v>0</v>
      </c>
      <c r="AZ2308" s="52" t="n">
        <v>0</v>
      </c>
      <c r="BA2308" s="52" t="n">
        <v>0</v>
      </c>
      <c r="BB2308" s="52" t="n">
        <v>0</v>
      </c>
      <c r="BC2308" s="51" t="n">
        <v>0</v>
      </c>
      <c r="BD2308" s="51" t="n">
        <v>0</v>
      </c>
      <c r="BE2308" s="51" t="n">
        <v>0</v>
      </c>
      <c r="BF2308" s="51" t="n">
        <v>0</v>
      </c>
    </row>
    <row r="2309">
      <c r="A2309">
        <f>HYPERLINK("https://www.walmart.com/ip/162160712", "162160712")</f>
        <v/>
      </c>
      <c r="B2309" t="inlineStr">
        <is>
          <t>JenniWears Womens Open Crotch Bodystocking Nightwear Lingerie</t>
        </is>
      </c>
      <c r="C2309" t="inlineStr">
        <is>
          <t>JWBS8814</t>
        </is>
      </c>
      <c r="D2309" t="inlineStr">
        <is>
          <t>Teddies &amp; Bodystockings</t>
        </is>
      </c>
      <c r="E2309" t="inlineStr">
        <is>
          <t>JenniWears</t>
        </is>
      </c>
      <c r="F2309" t="inlineStr">
        <is>
          <t>Valentine</t>
        </is>
      </c>
      <c r="G2309" s="48" t="n">
        <v>0</v>
      </c>
      <c r="H2309" s="48" t="n">
        <v>0</v>
      </c>
      <c r="I2309" s="48" t="n">
        <v>0</v>
      </c>
      <c r="J2309" s="48" t="n">
        <v>7.99</v>
      </c>
      <c r="K2309" s="49" t="n">
        <v>0</v>
      </c>
      <c r="L2309" s="49" t="n">
        <v>0</v>
      </c>
      <c r="M2309" s="49" t="n">
        <v>0</v>
      </c>
      <c r="N2309" s="49" t="n">
        <v>1</v>
      </c>
      <c r="O2309" s="49" t="n">
        <v>0</v>
      </c>
      <c r="P2309" s="49" t="n">
        <v>0</v>
      </c>
      <c r="Q2309" s="49" t="n">
        <v>0</v>
      </c>
      <c r="R2309" s="49" t="n">
        <v>0</v>
      </c>
      <c r="S2309" s="50" t="n">
        <v>0</v>
      </c>
      <c r="T2309" s="50" t="n">
        <v>0</v>
      </c>
      <c r="U2309" s="50" t="n">
        <v>0</v>
      </c>
      <c r="V2309" s="50" t="n">
        <v>0</v>
      </c>
      <c r="W2309" s="51" t="n">
        <v>0</v>
      </c>
      <c r="X2309" s="51" t="n">
        <v>0</v>
      </c>
      <c r="Y2309" s="51" t="n">
        <v>0</v>
      </c>
      <c r="Z2309" s="51" t="n">
        <v>0</v>
      </c>
      <c r="AA2309" s="52" t="n">
        <v>0</v>
      </c>
      <c r="AB2309" s="52" t="n">
        <v>0</v>
      </c>
      <c r="AC2309" s="52" t="n">
        <v>0</v>
      </c>
      <c r="AD2309" s="52" t="n">
        <v>0</v>
      </c>
      <c r="AE2309" s="52" t="n">
        <v>0</v>
      </c>
      <c r="AF2309" s="52" t="n">
        <v>0</v>
      </c>
      <c r="AG2309" s="52" t="n">
        <v>0</v>
      </c>
      <c r="AH2309" s="52" t="n">
        <v>0</v>
      </c>
      <c r="AI2309" s="52" t="n">
        <v>0</v>
      </c>
      <c r="AJ2309" s="52" t="n">
        <v>0</v>
      </c>
      <c r="AK2309" s="52" t="n">
        <v>0</v>
      </c>
      <c r="AL2309" s="52" t="n">
        <v>0</v>
      </c>
      <c r="AM2309" s="53" t="n">
        <v>0</v>
      </c>
      <c r="AN2309" s="53" t="n">
        <v>0</v>
      </c>
      <c r="AO2309" s="53" t="n">
        <v>0</v>
      </c>
      <c r="AP2309" s="53" t="n">
        <v>0</v>
      </c>
      <c r="AQ2309" s="52" t="n">
        <v>0</v>
      </c>
      <c r="AR2309" s="52" t="n">
        <v>0</v>
      </c>
      <c r="AS2309" s="52" t="n">
        <v>0</v>
      </c>
      <c r="AT2309" s="52" t="n">
        <v>0</v>
      </c>
      <c r="AU2309" s="53" t="n">
        <v>0</v>
      </c>
      <c r="AV2309" s="53" t="n">
        <v>0</v>
      </c>
      <c r="AW2309" s="53" t="n">
        <v>0</v>
      </c>
      <c r="AX2309" s="53" t="n">
        <v>0</v>
      </c>
      <c r="AY2309" s="52" t="n">
        <v>0</v>
      </c>
      <c r="AZ2309" s="52" t="n">
        <v>0</v>
      </c>
      <c r="BA2309" s="52" t="n">
        <v>0</v>
      </c>
      <c r="BB2309" s="52" t="n">
        <v>7.99</v>
      </c>
      <c r="BC2309" s="51" t="n">
        <v>0</v>
      </c>
      <c r="BD2309" s="51" t="n">
        <v>0</v>
      </c>
      <c r="BE2309" s="51" t="n">
        <v>0</v>
      </c>
      <c r="BF2309" s="51" t="n">
        <v>0</v>
      </c>
    </row>
    <row r="2310">
      <c r="A2310">
        <f>HYPERLINK("https://www.walmart.com/ip/166351340", "166351340")</f>
        <v/>
      </c>
      <c r="B2310" t="inlineStr">
        <is>
          <t>KC Caps Washed Cotton Twill Hat</t>
        </is>
      </c>
      <c r="C2310" t="inlineStr">
        <is>
          <t>KCS4130LIME</t>
        </is>
      </c>
      <c r="D2310" t="inlineStr">
        <is>
          <t>Hats</t>
        </is>
      </c>
      <c r="E2310" t="inlineStr">
        <is>
          <t>KC Caps</t>
        </is>
      </c>
      <c r="F2310" t="inlineStr">
        <is>
          <t>Optimized</t>
        </is>
      </c>
      <c r="G2310" s="48" t="n">
        <v>0</v>
      </c>
      <c r="H2310" s="48" t="n">
        <v>0</v>
      </c>
      <c r="I2310" s="48" t="n">
        <v>0</v>
      </c>
      <c r="J2310" s="48" t="n">
        <v>0</v>
      </c>
      <c r="K2310" s="49" t="n">
        <v>0</v>
      </c>
      <c r="L2310" s="49" t="n">
        <v>0</v>
      </c>
      <c r="M2310" s="49" t="n">
        <v>0</v>
      </c>
      <c r="N2310" s="49" t="n">
        <v>0</v>
      </c>
      <c r="O2310" s="49" t="n">
        <v>0</v>
      </c>
      <c r="P2310" s="49" t="n">
        <v>0</v>
      </c>
      <c r="Q2310" s="49" t="n">
        <v>0</v>
      </c>
      <c r="R2310" s="49" t="n">
        <v>0</v>
      </c>
      <c r="S2310" s="50" t="n">
        <v>0</v>
      </c>
      <c r="T2310" s="50" t="n">
        <v>0</v>
      </c>
      <c r="U2310" s="50" t="n">
        <v>0</v>
      </c>
      <c r="V2310" s="50" t="n">
        <v>0</v>
      </c>
      <c r="W2310" s="51" t="n">
        <v>0</v>
      </c>
      <c r="X2310" s="51" t="n">
        <v>0</v>
      </c>
      <c r="Y2310" s="51" t="n">
        <v>0</v>
      </c>
      <c r="Z2310" s="51" t="n">
        <v>0</v>
      </c>
      <c r="AA2310" s="52" t="n">
        <v>0</v>
      </c>
      <c r="AB2310" s="52" t="n">
        <v>0</v>
      </c>
      <c r="AC2310" s="52" t="n">
        <v>0</v>
      </c>
      <c r="AD2310" s="52" t="n">
        <v>0</v>
      </c>
      <c r="AE2310" s="52" t="n">
        <v>0</v>
      </c>
      <c r="AF2310" s="52" t="n">
        <v>0</v>
      </c>
      <c r="AG2310" s="52" t="n">
        <v>0</v>
      </c>
      <c r="AH2310" s="52" t="n">
        <v>0</v>
      </c>
      <c r="AI2310" s="52" t="n">
        <v>0</v>
      </c>
      <c r="AJ2310" s="52" t="n">
        <v>0</v>
      </c>
      <c r="AK2310" s="52" t="n">
        <v>0</v>
      </c>
      <c r="AL2310" s="52" t="n">
        <v>0</v>
      </c>
      <c r="AM2310" s="53" t="n">
        <v>0</v>
      </c>
      <c r="AN2310" s="53" t="n">
        <v>0</v>
      </c>
      <c r="AO2310" s="53" t="n">
        <v>0</v>
      </c>
      <c r="AP2310" s="53" t="n">
        <v>0</v>
      </c>
      <c r="AQ2310" s="52" t="n">
        <v>0</v>
      </c>
      <c r="AR2310" s="52" t="n">
        <v>0</v>
      </c>
      <c r="AS2310" s="52" t="n">
        <v>0</v>
      </c>
      <c r="AT2310" s="52" t="n">
        <v>0</v>
      </c>
      <c r="AU2310" s="53" t="n">
        <v>0</v>
      </c>
      <c r="AV2310" s="53" t="n">
        <v>0</v>
      </c>
      <c r="AW2310" s="53" t="n">
        <v>0</v>
      </c>
      <c r="AX2310" s="53" t="n">
        <v>0</v>
      </c>
      <c r="AY2310" s="52" t="n">
        <v>0</v>
      </c>
      <c r="AZ2310" s="52" t="n">
        <v>0</v>
      </c>
      <c r="BA2310" s="52" t="n">
        <v>0</v>
      </c>
      <c r="BB2310" s="52" t="n">
        <v>0</v>
      </c>
      <c r="BC2310" s="51" t="n">
        <v>0</v>
      </c>
      <c r="BD2310" s="51" t="n">
        <v>0</v>
      </c>
      <c r="BE2310" s="51" t="n">
        <v>0</v>
      </c>
      <c r="BF2310" s="51" t="n">
        <v>0</v>
      </c>
    </row>
    <row r="2311">
      <c r="A2311">
        <f>HYPERLINK("https://www.walmart.com/ip/162073245", "162073245")</f>
        <v/>
      </c>
      <c r="B2311" t="inlineStr">
        <is>
          <t>Tirrinia Large Insulated Lunch Bag for Women Men, 10L Leakproof Thermal Reusable Lunch Box for Adult &amp; Kids, Tall Meal Prep Lunch Cooler Tote for Office Work, Back to School, Purple</t>
        </is>
      </c>
      <c r="C2311" t="inlineStr">
        <is>
          <t>1TRLB701PP-T</t>
        </is>
      </c>
      <c r="D2311" t="inlineStr">
        <is>
          <t>Reusable Lunch Bags &amp; Boxes</t>
        </is>
      </c>
      <c r="E2311" t="inlineStr">
        <is>
          <t>Tirrinia</t>
        </is>
      </c>
      <c r="F2311" t="inlineStr">
        <is>
          <t>Q2-Target,Brand Camp VD,Lunch Bags,SEM,Batch 1 - TR</t>
        </is>
      </c>
      <c r="G2311" s="48" t="n">
        <v>0</v>
      </c>
      <c r="H2311" s="48" t="n">
        <v>25.98</v>
      </c>
      <c r="I2311" s="48" t="n">
        <v>0</v>
      </c>
      <c r="J2311" s="48" t="n">
        <v>0</v>
      </c>
      <c r="K2311" s="49" t="n">
        <v>0</v>
      </c>
      <c r="L2311" s="49" t="n">
        <v>2</v>
      </c>
      <c r="M2311" s="49" t="n">
        <v>0</v>
      </c>
      <c r="N2311" s="49" t="n">
        <v>0</v>
      </c>
      <c r="O2311" s="49" t="n">
        <v>1</v>
      </c>
      <c r="P2311" s="49" t="n">
        <v>6</v>
      </c>
      <c r="Q2311" s="49" t="n">
        <v>2</v>
      </c>
      <c r="R2311" s="49" t="n">
        <v>5</v>
      </c>
      <c r="S2311" s="50" t="n">
        <v>0</v>
      </c>
      <c r="T2311" s="50" t="n">
        <v>0.3333333333333333</v>
      </c>
      <c r="U2311" s="50" t="n">
        <v>0</v>
      </c>
      <c r="V2311" s="50" t="n">
        <v>0</v>
      </c>
      <c r="W2311" s="51" t="n">
        <v>0</v>
      </c>
      <c r="X2311" s="51" t="n">
        <v>0</v>
      </c>
      <c r="Y2311" s="51" t="n">
        <v>0</v>
      </c>
      <c r="Z2311" s="51" t="n">
        <v>0</v>
      </c>
      <c r="AA2311" s="52" t="n">
        <v>0</v>
      </c>
      <c r="AB2311" s="52" t="n">
        <v>0</v>
      </c>
      <c r="AC2311" s="52" t="n">
        <v>0</v>
      </c>
      <c r="AD2311" s="52" t="n">
        <v>0</v>
      </c>
      <c r="AE2311" s="52" t="n">
        <v>0</v>
      </c>
      <c r="AF2311" s="52" t="n">
        <v>0</v>
      </c>
      <c r="AG2311" s="52" t="n">
        <v>0</v>
      </c>
      <c r="AH2311" s="52" t="n">
        <v>0</v>
      </c>
      <c r="AI2311" s="52" t="n">
        <v>0</v>
      </c>
      <c r="AJ2311" s="52" t="n">
        <v>0</v>
      </c>
      <c r="AK2311" s="52" t="n">
        <v>0</v>
      </c>
      <c r="AL2311" s="52" t="n">
        <v>0</v>
      </c>
      <c r="AM2311" s="53" t="n">
        <v>0</v>
      </c>
      <c r="AN2311" s="53" t="n">
        <v>0</v>
      </c>
      <c r="AO2311" s="53" t="n">
        <v>0</v>
      </c>
      <c r="AP2311" s="53" t="n">
        <v>0</v>
      </c>
      <c r="AQ2311" s="52" t="n">
        <v>0</v>
      </c>
      <c r="AR2311" s="52" t="n">
        <v>0</v>
      </c>
      <c r="AS2311" s="52" t="n">
        <v>0</v>
      </c>
      <c r="AT2311" s="52" t="n">
        <v>0</v>
      </c>
      <c r="AU2311" s="53" t="n">
        <v>0</v>
      </c>
      <c r="AV2311" s="53" t="n">
        <v>0</v>
      </c>
      <c r="AW2311" s="53" t="n">
        <v>0</v>
      </c>
      <c r="AX2311" s="53" t="n">
        <v>0</v>
      </c>
      <c r="AY2311" s="52" t="n">
        <v>0</v>
      </c>
      <c r="AZ2311" s="52" t="n">
        <v>12.99</v>
      </c>
      <c r="BA2311" s="52" t="n">
        <v>0</v>
      </c>
      <c r="BB2311" s="52" t="n">
        <v>0</v>
      </c>
      <c r="BC2311" s="51" t="n">
        <v>0</v>
      </c>
      <c r="BD2311" s="51" t="n">
        <v>0</v>
      </c>
      <c r="BE2311" s="51" t="n">
        <v>0</v>
      </c>
      <c r="BF2311" s="51" t="n">
        <v>0</v>
      </c>
    </row>
    <row r="2312">
      <c r="A2312">
        <f>HYPERLINK("https://www.walmart.com/ip/1599699725", "1599699725")</f>
        <v/>
      </c>
      <c r="B2312" t="inlineStr">
        <is>
          <t>Every Day is Christmas Glass Blown Ornaments 2022 Cute Hand Made Figurines Tree Decoration - 12.5cm glass set of 2 guitar ornament</t>
        </is>
      </c>
      <c r="C2312" t="inlineStr">
        <is>
          <t>EDC-FIGURINE-GUITAR</t>
        </is>
      </c>
      <c r="D2312" t="inlineStr">
        <is>
          <t>Ornaments</t>
        </is>
      </c>
      <c r="E2312" t="inlineStr">
        <is>
          <t>Every Day is Christmas</t>
        </is>
      </c>
      <c r="G2312" s="48" t="n">
        <v>0</v>
      </c>
      <c r="H2312" s="48" t="n">
        <v>0</v>
      </c>
      <c r="I2312" s="48" t="n">
        <v>0</v>
      </c>
      <c r="J2312" s="48" t="n">
        <v>0</v>
      </c>
      <c r="K2312" s="49" t="n">
        <v>0</v>
      </c>
      <c r="L2312" s="49" t="n">
        <v>0</v>
      </c>
      <c r="M2312" s="49" t="n">
        <v>0</v>
      </c>
      <c r="N2312" s="49" t="n">
        <v>0</v>
      </c>
      <c r="O2312" s="49" t="n">
        <v>0</v>
      </c>
      <c r="P2312" s="49" t="n">
        <v>0</v>
      </c>
      <c r="Q2312" s="49" t="n">
        <v>0</v>
      </c>
      <c r="R2312" s="49" t="n">
        <v>0</v>
      </c>
      <c r="S2312" s="50" t="n">
        <v>0</v>
      </c>
      <c r="T2312" s="50" t="n">
        <v>0</v>
      </c>
      <c r="U2312" s="50" t="n">
        <v>0</v>
      </c>
      <c r="V2312" s="50" t="n">
        <v>0</v>
      </c>
      <c r="W2312" s="51" t="n">
        <v>0</v>
      </c>
      <c r="X2312" s="51" t="n">
        <v>0</v>
      </c>
      <c r="Y2312" s="51" t="n">
        <v>0</v>
      </c>
      <c r="Z2312" s="51" t="n">
        <v>0</v>
      </c>
      <c r="AA2312" s="52" t="n">
        <v>0</v>
      </c>
      <c r="AB2312" s="52" t="n">
        <v>0</v>
      </c>
      <c r="AC2312" s="52" t="n">
        <v>0</v>
      </c>
      <c r="AD2312" s="52" t="n">
        <v>0</v>
      </c>
      <c r="AE2312" s="52" t="n">
        <v>0</v>
      </c>
      <c r="AF2312" s="52" t="n">
        <v>0</v>
      </c>
      <c r="AG2312" s="52" t="n">
        <v>0</v>
      </c>
      <c r="AH2312" s="52" t="n">
        <v>0</v>
      </c>
      <c r="AI2312" s="52" t="n">
        <v>0</v>
      </c>
      <c r="AJ2312" s="52" t="n">
        <v>0</v>
      </c>
      <c r="AK2312" s="52" t="n">
        <v>0</v>
      </c>
      <c r="AL2312" s="52" t="n">
        <v>0</v>
      </c>
      <c r="AM2312" s="53" t="n">
        <v>0</v>
      </c>
      <c r="AN2312" s="53" t="n">
        <v>0</v>
      </c>
      <c r="AO2312" s="53" t="n">
        <v>0</v>
      </c>
      <c r="AP2312" s="53" t="n">
        <v>0</v>
      </c>
      <c r="AQ2312" s="52" t="n">
        <v>0</v>
      </c>
      <c r="AR2312" s="52" t="n">
        <v>0</v>
      </c>
      <c r="AS2312" s="52" t="n">
        <v>0</v>
      </c>
      <c r="AT2312" s="52" t="n">
        <v>0</v>
      </c>
      <c r="AU2312" s="53" t="n">
        <v>0</v>
      </c>
      <c r="AV2312" s="53" t="n">
        <v>0</v>
      </c>
      <c r="AW2312" s="53" t="n">
        <v>0</v>
      </c>
      <c r="AX2312" s="53" t="n">
        <v>0</v>
      </c>
      <c r="AY2312" s="52" t="n">
        <v>0</v>
      </c>
      <c r="AZ2312" s="52" t="n">
        <v>0</v>
      </c>
      <c r="BA2312" s="52" t="n">
        <v>0</v>
      </c>
      <c r="BB2312" s="52" t="n">
        <v>0</v>
      </c>
      <c r="BC2312" s="51" t="n">
        <v>0</v>
      </c>
      <c r="BD2312" s="51" t="n">
        <v>0</v>
      </c>
      <c r="BE2312" s="51" t="n">
        <v>0</v>
      </c>
      <c r="BF2312" s="51" t="n">
        <v>0</v>
      </c>
    </row>
    <row r="2313">
      <c r="A2313">
        <f>HYPERLINK("https://www.walmart.com/ip/1600906809", "1600906809")</f>
        <v/>
      </c>
      <c r="B2313" t="inlineStr">
        <is>
          <t>Women’s Plush Hoodie Sweatshirt Dress, Casual Pullover Sweater with Kangaroo Pocket, One Size</t>
        </is>
      </c>
      <c r="C2313" t="inlineStr">
        <is>
          <t>1CTHD531BL</t>
        </is>
      </c>
      <c r="D2313" t="inlineStr">
        <is>
          <t>Sweatshirts &amp; Hoodies</t>
        </is>
      </c>
      <c r="E2313" t="inlineStr">
        <is>
          <t>Catalonia</t>
        </is>
      </c>
      <c r="F2313" t="inlineStr">
        <is>
          <t>Batch 1 - TR</t>
        </is>
      </c>
      <c r="G2313" s="48" t="n">
        <v>0</v>
      </c>
      <c r="H2313" s="48" t="n">
        <v>0</v>
      </c>
      <c r="I2313" s="48" t="n">
        <v>0</v>
      </c>
      <c r="J2313" s="48" t="n">
        <v>0</v>
      </c>
      <c r="K2313" s="49" t="n">
        <v>0</v>
      </c>
      <c r="L2313" s="49" t="n">
        <v>0</v>
      </c>
      <c r="M2313" s="49" t="n">
        <v>0</v>
      </c>
      <c r="N2313" s="49" t="n">
        <v>0</v>
      </c>
      <c r="O2313" s="49" t="n">
        <v>0</v>
      </c>
      <c r="P2313" s="49" t="n">
        <v>0</v>
      </c>
      <c r="Q2313" s="49" t="n">
        <v>0</v>
      </c>
      <c r="R2313" s="49" t="n">
        <v>0</v>
      </c>
      <c r="S2313" s="50" t="n">
        <v>0</v>
      </c>
      <c r="T2313" s="50" t="n">
        <v>0</v>
      </c>
      <c r="U2313" s="50" t="n">
        <v>0</v>
      </c>
      <c r="V2313" s="50" t="n">
        <v>0</v>
      </c>
      <c r="W2313" s="51" t="n">
        <v>0</v>
      </c>
      <c r="X2313" s="51" t="n">
        <v>0</v>
      </c>
      <c r="Y2313" s="51" t="n">
        <v>0</v>
      </c>
      <c r="Z2313" s="51" t="n">
        <v>0</v>
      </c>
      <c r="AA2313" s="52" t="n">
        <v>0</v>
      </c>
      <c r="AB2313" s="52" t="n">
        <v>0</v>
      </c>
      <c r="AC2313" s="52" t="n">
        <v>0</v>
      </c>
      <c r="AD2313" s="52" t="n">
        <v>0</v>
      </c>
      <c r="AE2313" s="52" t="n">
        <v>0</v>
      </c>
      <c r="AF2313" s="52" t="n">
        <v>0</v>
      </c>
      <c r="AG2313" s="52" t="n">
        <v>0</v>
      </c>
      <c r="AH2313" s="52" t="n">
        <v>0</v>
      </c>
      <c r="AI2313" s="52" t="n">
        <v>0</v>
      </c>
      <c r="AJ2313" s="52" t="n">
        <v>0</v>
      </c>
      <c r="AK2313" s="52" t="n">
        <v>0</v>
      </c>
      <c r="AL2313" s="52" t="n">
        <v>0</v>
      </c>
      <c r="AM2313" s="53" t="n">
        <v>0</v>
      </c>
      <c r="AN2313" s="53" t="n">
        <v>0</v>
      </c>
      <c r="AO2313" s="53" t="n">
        <v>0</v>
      </c>
      <c r="AP2313" s="53" t="n">
        <v>0</v>
      </c>
      <c r="AQ2313" s="52" t="n">
        <v>0</v>
      </c>
      <c r="AR2313" s="52" t="n">
        <v>0</v>
      </c>
      <c r="AS2313" s="52" t="n">
        <v>0</v>
      </c>
      <c r="AT2313" s="52" t="n">
        <v>0</v>
      </c>
      <c r="AU2313" s="53" t="n">
        <v>0</v>
      </c>
      <c r="AV2313" s="53" t="n">
        <v>0</v>
      </c>
      <c r="AW2313" s="53" t="n">
        <v>0</v>
      </c>
      <c r="AX2313" s="53" t="n">
        <v>0</v>
      </c>
      <c r="AY2313" s="52" t="n">
        <v>0</v>
      </c>
      <c r="AZ2313" s="52" t="n">
        <v>0</v>
      </c>
      <c r="BA2313" s="52" t="n">
        <v>0</v>
      </c>
      <c r="BB2313" s="52" t="n">
        <v>0</v>
      </c>
      <c r="BC2313" s="51" t="n">
        <v>0</v>
      </c>
      <c r="BD2313" s="51" t="n">
        <v>0</v>
      </c>
      <c r="BE2313" s="51" t="n">
        <v>0</v>
      </c>
      <c r="BF2313" s="51" t="n">
        <v>0</v>
      </c>
    </row>
    <row r="2314">
      <c r="A2314">
        <f>HYPERLINK("https://www.walmart.com/ip/160150509", "160150509")</f>
        <v/>
      </c>
      <c r="B2314" t="inlineStr">
        <is>
          <t>KC Caps Thick Weave Waffle Knit Beanie</t>
        </is>
      </c>
      <c r="C2314" t="inlineStr">
        <is>
          <t>KCW1600BK</t>
        </is>
      </c>
      <c r="D2314" t="inlineStr">
        <is>
          <t>Hats</t>
        </is>
      </c>
      <c r="E2314" t="inlineStr">
        <is>
          <t>KC Caps</t>
        </is>
      </c>
      <c r="F2314" t="inlineStr">
        <is>
          <t>Optimized</t>
        </is>
      </c>
      <c r="G2314" s="48" t="n">
        <v>0</v>
      </c>
      <c r="H2314" s="48" t="n">
        <v>0</v>
      </c>
      <c r="I2314" s="48" t="n">
        <v>0</v>
      </c>
      <c r="J2314" s="48" t="n">
        <v>0</v>
      </c>
      <c r="K2314" s="49" t="n">
        <v>0</v>
      </c>
      <c r="L2314" s="49" t="n">
        <v>0</v>
      </c>
      <c r="M2314" s="49" t="n">
        <v>0</v>
      </c>
      <c r="N2314" s="49" t="n">
        <v>0</v>
      </c>
      <c r="O2314" s="49" t="n">
        <v>0</v>
      </c>
      <c r="P2314" s="49" t="n">
        <v>0</v>
      </c>
      <c r="Q2314" s="49" t="n">
        <v>0</v>
      </c>
      <c r="R2314" s="49" t="n">
        <v>0</v>
      </c>
      <c r="S2314" s="50" t="n">
        <v>0</v>
      </c>
      <c r="T2314" s="50" t="n">
        <v>0</v>
      </c>
      <c r="U2314" s="50" t="n">
        <v>0</v>
      </c>
      <c r="V2314" s="50" t="n">
        <v>0</v>
      </c>
      <c r="W2314" s="51" t="n">
        <v>0</v>
      </c>
      <c r="X2314" s="51" t="n">
        <v>0</v>
      </c>
      <c r="Y2314" s="51" t="n">
        <v>0</v>
      </c>
      <c r="Z2314" s="51" t="n">
        <v>0</v>
      </c>
      <c r="AA2314" s="52" t="n">
        <v>0</v>
      </c>
      <c r="AB2314" s="52" t="n">
        <v>0</v>
      </c>
      <c r="AC2314" s="52" t="n">
        <v>0</v>
      </c>
      <c r="AD2314" s="52" t="n">
        <v>0</v>
      </c>
      <c r="AE2314" s="52" t="n">
        <v>0</v>
      </c>
      <c r="AF2314" s="52" t="n">
        <v>0</v>
      </c>
      <c r="AG2314" s="52" t="n">
        <v>0</v>
      </c>
      <c r="AH2314" s="52" t="n">
        <v>0</v>
      </c>
      <c r="AI2314" s="52" t="n">
        <v>0</v>
      </c>
      <c r="AJ2314" s="52" t="n">
        <v>0</v>
      </c>
      <c r="AK2314" s="52" t="n">
        <v>0</v>
      </c>
      <c r="AL2314" s="52" t="n">
        <v>0</v>
      </c>
      <c r="AM2314" s="53" t="n">
        <v>0</v>
      </c>
      <c r="AN2314" s="53" t="n">
        <v>0</v>
      </c>
      <c r="AO2314" s="53" t="n">
        <v>0</v>
      </c>
      <c r="AP2314" s="53" t="n">
        <v>0</v>
      </c>
      <c r="AQ2314" s="52" t="n">
        <v>0</v>
      </c>
      <c r="AR2314" s="52" t="n">
        <v>0</v>
      </c>
      <c r="AS2314" s="52" t="n">
        <v>0</v>
      </c>
      <c r="AT2314" s="52" t="n">
        <v>0</v>
      </c>
      <c r="AU2314" s="53" t="n">
        <v>0</v>
      </c>
      <c r="AV2314" s="53" t="n">
        <v>0</v>
      </c>
      <c r="AW2314" s="53" t="n">
        <v>0</v>
      </c>
      <c r="AX2314" s="53" t="n">
        <v>0</v>
      </c>
      <c r="AY2314" s="52" t="n">
        <v>0</v>
      </c>
      <c r="AZ2314" s="52" t="n">
        <v>0</v>
      </c>
      <c r="BA2314" s="52" t="n">
        <v>0</v>
      </c>
      <c r="BB2314" s="52" t="n">
        <v>0</v>
      </c>
      <c r="BC2314" s="51" t="n">
        <v>0</v>
      </c>
      <c r="BD2314" s="51" t="n">
        <v>0</v>
      </c>
      <c r="BE2314" s="51" t="n">
        <v>0</v>
      </c>
      <c r="BF2314" s="51" t="n">
        <v>0</v>
      </c>
    </row>
    <row r="2315">
      <c r="A2315">
        <f>HYPERLINK("https://www.walmart.com/ip/16023218824", "16023218824")</f>
        <v/>
      </c>
      <c r="B2315" t="inlineStr">
        <is>
          <t>Dickies Basic Insulated Lunch Bag for Work, Thermal Reusable Office Lunch Box for Men, Women (Purple)</t>
        </is>
      </c>
      <c r="C2315" t="inlineStr">
        <is>
          <t>DK-LUNCH-BASICBOX-PURPLE</t>
        </is>
      </c>
      <c r="D2315" t="inlineStr">
        <is>
          <t>Reusable Lunch Bags &amp; Boxes</t>
        </is>
      </c>
      <c r="E2315" t="inlineStr">
        <is>
          <t>Dickies</t>
        </is>
      </c>
      <c r="G2315" s="48" t="n">
        <v>0</v>
      </c>
      <c r="H2315" s="48" t="n">
        <v>0</v>
      </c>
      <c r="I2315" s="48" t="n">
        <v>0</v>
      </c>
      <c r="J2315" s="48" t="n">
        <v>0</v>
      </c>
      <c r="K2315" s="49" t="n">
        <v>0</v>
      </c>
      <c r="L2315" s="49" t="n">
        <v>0</v>
      </c>
      <c r="M2315" s="49" t="n">
        <v>0</v>
      </c>
      <c r="N2315" s="49" t="n">
        <v>0</v>
      </c>
      <c r="O2315" s="49" t="n">
        <v>0</v>
      </c>
      <c r="P2315" s="49" t="n">
        <v>0</v>
      </c>
      <c r="Q2315" s="49" t="n">
        <v>0</v>
      </c>
      <c r="R2315" s="49" t="n">
        <v>0</v>
      </c>
      <c r="S2315" s="50" t="n">
        <v>0</v>
      </c>
      <c r="T2315" s="50" t="n">
        <v>0</v>
      </c>
      <c r="U2315" s="50" t="n">
        <v>0</v>
      </c>
      <c r="V2315" s="50" t="n">
        <v>0</v>
      </c>
      <c r="W2315" s="51" t="n">
        <v>0</v>
      </c>
      <c r="X2315" s="51" t="n">
        <v>0</v>
      </c>
      <c r="Y2315" s="51" t="n">
        <v>0</v>
      </c>
      <c r="Z2315" s="51" t="n">
        <v>0</v>
      </c>
      <c r="AA2315" s="52" t="n">
        <v>0</v>
      </c>
      <c r="AB2315" s="52" t="n">
        <v>0</v>
      </c>
      <c r="AC2315" s="52" t="n">
        <v>0</v>
      </c>
      <c r="AD2315" s="52" t="n">
        <v>0</v>
      </c>
      <c r="AE2315" s="52" t="n">
        <v>0</v>
      </c>
      <c r="AF2315" s="52" t="n">
        <v>0</v>
      </c>
      <c r="AG2315" s="52" t="n">
        <v>0</v>
      </c>
      <c r="AH2315" s="52" t="n">
        <v>0</v>
      </c>
      <c r="AI2315" s="52" t="n">
        <v>0</v>
      </c>
      <c r="AJ2315" s="52" t="n">
        <v>0</v>
      </c>
      <c r="AK2315" s="52" t="n">
        <v>0</v>
      </c>
      <c r="AL2315" s="52" t="n">
        <v>0</v>
      </c>
      <c r="AM2315" s="53" t="n">
        <v>0</v>
      </c>
      <c r="AN2315" s="53" t="n">
        <v>0</v>
      </c>
      <c r="AO2315" s="53" t="n">
        <v>0</v>
      </c>
      <c r="AP2315" s="53" t="n">
        <v>0</v>
      </c>
      <c r="AQ2315" s="52" t="n">
        <v>0</v>
      </c>
      <c r="AR2315" s="52" t="n">
        <v>0</v>
      </c>
      <c r="AS2315" s="52" t="n">
        <v>0</v>
      </c>
      <c r="AT2315" s="52" t="n">
        <v>0</v>
      </c>
      <c r="AU2315" s="53" t="n">
        <v>0</v>
      </c>
      <c r="AV2315" s="53" t="n">
        <v>0</v>
      </c>
      <c r="AW2315" s="53" t="n">
        <v>0</v>
      </c>
      <c r="AX2315" s="53" t="n">
        <v>0</v>
      </c>
      <c r="AY2315" s="52" t="n">
        <v>0</v>
      </c>
      <c r="AZ2315" s="52" t="n">
        <v>0</v>
      </c>
      <c r="BA2315" s="52" t="n">
        <v>0</v>
      </c>
      <c r="BB2315" s="52" t="n">
        <v>0</v>
      </c>
      <c r="BC2315" s="51" t="n">
        <v>0</v>
      </c>
      <c r="BD2315" s="51" t="n">
        <v>0</v>
      </c>
      <c r="BE2315" s="51" t="n">
        <v>0</v>
      </c>
      <c r="BF2315" s="51" t="n">
        <v>0</v>
      </c>
    </row>
    <row r="2316">
      <c r="A2316">
        <f>HYPERLINK("https://www.walmart.com/ip/16030207219", "16030207219")</f>
        <v/>
      </c>
      <c r="B2316" t="inlineStr">
        <is>
          <t>Dickies Insulated Lunch Bag Satchel for Girls School and Work, Thermal Reusable Office Lunch Box for Women (Charcoal)</t>
        </is>
      </c>
      <c r="C2316" t="inlineStr">
        <is>
          <t>DK-LUNCH-SATCHEL-GREYCAMO</t>
        </is>
      </c>
      <c r="D2316" t="inlineStr">
        <is>
          <t>Reusable Lunch Bags &amp; Boxes</t>
        </is>
      </c>
      <c r="E2316" t="inlineStr">
        <is>
          <t>Dickies</t>
        </is>
      </c>
      <c r="G2316" s="48" t="n">
        <v>0</v>
      </c>
      <c r="H2316" s="48" t="n">
        <v>0</v>
      </c>
      <c r="I2316" s="48" t="n">
        <v>0</v>
      </c>
      <c r="J2316" s="48" t="n">
        <v>0</v>
      </c>
      <c r="K2316" s="49" t="n">
        <v>0</v>
      </c>
      <c r="L2316" s="49" t="n">
        <v>0</v>
      </c>
      <c r="M2316" s="49" t="n">
        <v>0</v>
      </c>
      <c r="N2316" s="49" t="n">
        <v>0</v>
      </c>
      <c r="O2316" s="49" t="n">
        <v>0</v>
      </c>
      <c r="P2316" s="49" t="n">
        <v>0</v>
      </c>
      <c r="Q2316" s="49" t="n">
        <v>0</v>
      </c>
      <c r="R2316" s="49" t="n">
        <v>0</v>
      </c>
      <c r="S2316" s="50" t="n">
        <v>0</v>
      </c>
      <c r="T2316" s="50" t="n">
        <v>0</v>
      </c>
      <c r="U2316" s="50" t="n">
        <v>0</v>
      </c>
      <c r="V2316" s="50" t="n">
        <v>0</v>
      </c>
      <c r="W2316" s="51" t="n">
        <v>0</v>
      </c>
      <c r="X2316" s="51" t="n">
        <v>0</v>
      </c>
      <c r="Y2316" s="51" t="n">
        <v>0</v>
      </c>
      <c r="Z2316" s="51" t="n">
        <v>0</v>
      </c>
      <c r="AA2316" s="52" t="n">
        <v>0</v>
      </c>
      <c r="AB2316" s="52" t="n">
        <v>0</v>
      </c>
      <c r="AC2316" s="52" t="n">
        <v>0</v>
      </c>
      <c r="AD2316" s="52" t="n">
        <v>0</v>
      </c>
      <c r="AE2316" s="52" t="n">
        <v>0</v>
      </c>
      <c r="AF2316" s="52" t="n">
        <v>0</v>
      </c>
      <c r="AG2316" s="52" t="n">
        <v>0</v>
      </c>
      <c r="AH2316" s="52" t="n">
        <v>0</v>
      </c>
      <c r="AI2316" s="52" t="n">
        <v>0</v>
      </c>
      <c r="AJ2316" s="52" t="n">
        <v>0</v>
      </c>
      <c r="AK2316" s="52" t="n">
        <v>0</v>
      </c>
      <c r="AL2316" s="52" t="n">
        <v>0</v>
      </c>
      <c r="AM2316" s="53" t="n">
        <v>0</v>
      </c>
      <c r="AN2316" s="53" t="n">
        <v>0</v>
      </c>
      <c r="AO2316" s="53" t="n">
        <v>0</v>
      </c>
      <c r="AP2316" s="53" t="n">
        <v>0</v>
      </c>
      <c r="AQ2316" s="52" t="n">
        <v>0</v>
      </c>
      <c r="AR2316" s="52" t="n">
        <v>0</v>
      </c>
      <c r="AS2316" s="52" t="n">
        <v>0</v>
      </c>
      <c r="AT2316" s="52" t="n">
        <v>0</v>
      </c>
      <c r="AU2316" s="53" t="n">
        <v>0</v>
      </c>
      <c r="AV2316" s="53" t="n">
        <v>0</v>
      </c>
      <c r="AW2316" s="53" t="n">
        <v>0</v>
      </c>
      <c r="AX2316" s="53" t="n">
        <v>0</v>
      </c>
      <c r="AY2316" s="52" t="n">
        <v>0</v>
      </c>
      <c r="AZ2316" s="52" t="n">
        <v>0</v>
      </c>
      <c r="BA2316" s="52" t="n">
        <v>0</v>
      </c>
      <c r="BB2316" s="52" t="n">
        <v>0</v>
      </c>
      <c r="BC2316" s="51" t="n">
        <v>0</v>
      </c>
      <c r="BD2316" s="51" t="n">
        <v>0</v>
      </c>
      <c r="BE2316" s="51" t="n">
        <v>0</v>
      </c>
      <c r="BF2316" s="51" t="n">
        <v>0</v>
      </c>
    </row>
    <row r="2317">
      <c r="A2317">
        <f>HYPERLINK("https://www.walmart.com/ip/160338746", "160338746")</f>
        <v/>
      </c>
      <c r="B2317" t="inlineStr">
        <is>
          <t>Tirrinia 6 Bottle Wine Cooler Bag - Insulated Padded Portable Versatile Wine Carrier Tote Bag for Travel, BYOB Restaurant, Wine Tasting, Party, Pecfect Gift for Wine Lover, Blue Stripe</t>
        </is>
      </c>
      <c r="C2317" t="inlineStr">
        <is>
          <t>1TRWB602STR</t>
        </is>
      </c>
      <c r="D2317" t="inlineStr">
        <is>
          <t>Wine Totes, Bags &amp; Backpacks</t>
        </is>
      </c>
      <c r="E2317" t="inlineStr">
        <is>
          <t>Tirrinia</t>
        </is>
      </c>
      <c r="F2317" t="inlineStr">
        <is>
          <t>Wine,Christmas,WFS,Wine WFS,Valentine,SEM,WFS Item,Lily Brand Camp</t>
        </is>
      </c>
      <c r="G2317" s="48" t="n">
        <v>0</v>
      </c>
      <c r="H2317" s="48" t="n">
        <v>0</v>
      </c>
      <c r="I2317" s="48" t="n">
        <v>0</v>
      </c>
      <c r="J2317" s="48" t="n">
        <v>0</v>
      </c>
      <c r="K2317" s="49" t="n">
        <v>0</v>
      </c>
      <c r="L2317" s="49" t="n">
        <v>0</v>
      </c>
      <c r="M2317" s="49" t="n">
        <v>0</v>
      </c>
      <c r="N2317" s="49" t="n">
        <v>0</v>
      </c>
      <c r="O2317" s="49" t="n">
        <v>0</v>
      </c>
      <c r="P2317" s="49" t="n">
        <v>0</v>
      </c>
      <c r="Q2317" s="49" t="n">
        <v>0</v>
      </c>
      <c r="R2317" s="49" t="n">
        <v>0</v>
      </c>
      <c r="S2317" s="50" t="n">
        <v>0</v>
      </c>
      <c r="T2317" s="50" t="n">
        <v>0</v>
      </c>
      <c r="U2317" s="50" t="n">
        <v>0</v>
      </c>
      <c r="V2317" s="50" t="n">
        <v>0</v>
      </c>
      <c r="W2317" s="51" t="n">
        <v>0</v>
      </c>
      <c r="X2317" s="51" t="n">
        <v>0</v>
      </c>
      <c r="Y2317" s="51" t="n">
        <v>0</v>
      </c>
      <c r="Z2317" s="51" t="n">
        <v>0</v>
      </c>
      <c r="AA2317" s="52" t="n">
        <v>0</v>
      </c>
      <c r="AB2317" s="52" t="n">
        <v>0</v>
      </c>
      <c r="AC2317" s="52" t="n">
        <v>0</v>
      </c>
      <c r="AD2317" s="52" t="n">
        <v>0</v>
      </c>
      <c r="AE2317" s="52" t="n">
        <v>0</v>
      </c>
      <c r="AF2317" s="52" t="n">
        <v>0</v>
      </c>
      <c r="AG2317" s="52" t="n">
        <v>0</v>
      </c>
      <c r="AH2317" s="52" t="n">
        <v>0</v>
      </c>
      <c r="AI2317" s="52" t="n">
        <v>0</v>
      </c>
      <c r="AJ2317" s="52" t="n">
        <v>0</v>
      </c>
      <c r="AK2317" s="52" t="n">
        <v>0</v>
      </c>
      <c r="AL2317" s="52" t="n">
        <v>0</v>
      </c>
      <c r="AM2317" s="53" t="n">
        <v>0</v>
      </c>
      <c r="AN2317" s="53" t="n">
        <v>0</v>
      </c>
      <c r="AO2317" s="53" t="n">
        <v>0</v>
      </c>
      <c r="AP2317" s="53" t="n">
        <v>0</v>
      </c>
      <c r="AQ2317" s="52" t="n">
        <v>0</v>
      </c>
      <c r="AR2317" s="52" t="n">
        <v>0</v>
      </c>
      <c r="AS2317" s="52" t="n">
        <v>0</v>
      </c>
      <c r="AT2317" s="52" t="n">
        <v>0</v>
      </c>
      <c r="AU2317" s="53" t="n">
        <v>0</v>
      </c>
      <c r="AV2317" s="53" t="n">
        <v>0</v>
      </c>
      <c r="AW2317" s="53" t="n">
        <v>0</v>
      </c>
      <c r="AX2317" s="53" t="n">
        <v>0</v>
      </c>
      <c r="AY2317" s="52" t="n">
        <v>0</v>
      </c>
      <c r="AZ2317" s="52" t="n">
        <v>0</v>
      </c>
      <c r="BA2317" s="52" t="n">
        <v>0</v>
      </c>
      <c r="BB2317" s="52" t="n">
        <v>0</v>
      </c>
      <c r="BC2317" s="51" t="n">
        <v>0</v>
      </c>
      <c r="BD2317" s="51" t="n">
        <v>0</v>
      </c>
      <c r="BE2317" s="51" t="n">
        <v>0</v>
      </c>
      <c r="BF2317" s="51" t="n">
        <v>0</v>
      </c>
    </row>
    <row r="2318">
      <c r="A2318">
        <f>HYPERLINK("https://www.walmart.com/ip/160777915", "160777915")</f>
        <v/>
      </c>
      <c r="B2318" t="inlineStr">
        <is>
          <t>JenniWears Women's Beileise Sexy Suspender Pantyhose Stockings Black Socks</t>
        </is>
      </c>
      <c r="C2318" t="inlineStr">
        <is>
          <t>JWBLSPH2010</t>
        </is>
      </c>
      <c r="D2318" t="inlineStr">
        <is>
          <t>Pantyhose &amp; Tights</t>
        </is>
      </c>
      <c r="E2318" t="inlineStr">
        <is>
          <t>JenniWears</t>
        </is>
      </c>
      <c r="F2318" t="inlineStr">
        <is>
          <t>Valentine</t>
        </is>
      </c>
      <c r="G2318" s="48" t="n">
        <v>0</v>
      </c>
      <c r="H2318" s="48" t="n">
        <v>0</v>
      </c>
      <c r="I2318" s="48" t="n">
        <v>0</v>
      </c>
      <c r="J2318" s="48" t="n">
        <v>0</v>
      </c>
      <c r="K2318" s="49" t="n">
        <v>0</v>
      </c>
      <c r="L2318" s="49" t="n">
        <v>0</v>
      </c>
      <c r="M2318" s="49" t="n">
        <v>0</v>
      </c>
      <c r="N2318" s="49" t="n">
        <v>0</v>
      </c>
      <c r="O2318" s="49" t="n">
        <v>0</v>
      </c>
      <c r="P2318" s="49" t="n">
        <v>0</v>
      </c>
      <c r="Q2318" s="49" t="n">
        <v>0</v>
      </c>
      <c r="R2318" s="49" t="n">
        <v>0</v>
      </c>
      <c r="S2318" s="50" t="n">
        <v>0</v>
      </c>
      <c r="T2318" s="50" t="n">
        <v>0</v>
      </c>
      <c r="U2318" s="50" t="n">
        <v>0</v>
      </c>
      <c r="V2318" s="50" t="n">
        <v>0</v>
      </c>
      <c r="W2318" s="51" t="n">
        <v>0</v>
      </c>
      <c r="X2318" s="51" t="n">
        <v>0</v>
      </c>
      <c r="Y2318" s="51" t="n">
        <v>0</v>
      </c>
      <c r="Z2318" s="51" t="n">
        <v>0</v>
      </c>
      <c r="AA2318" s="52" t="n">
        <v>0</v>
      </c>
      <c r="AB2318" s="52" t="n">
        <v>0</v>
      </c>
      <c r="AC2318" s="52" t="n">
        <v>0</v>
      </c>
      <c r="AD2318" s="52" t="n">
        <v>0</v>
      </c>
      <c r="AE2318" s="52" t="n">
        <v>0</v>
      </c>
      <c r="AF2318" s="52" t="n">
        <v>0</v>
      </c>
      <c r="AG2318" s="52" t="n">
        <v>0</v>
      </c>
      <c r="AH2318" s="52" t="n">
        <v>0</v>
      </c>
      <c r="AI2318" s="52" t="n">
        <v>0</v>
      </c>
      <c r="AJ2318" s="52" t="n">
        <v>0</v>
      </c>
      <c r="AK2318" s="52" t="n">
        <v>0</v>
      </c>
      <c r="AL2318" s="52" t="n">
        <v>0</v>
      </c>
      <c r="AM2318" s="53" t="n">
        <v>0</v>
      </c>
      <c r="AN2318" s="53" t="n">
        <v>0</v>
      </c>
      <c r="AO2318" s="53" t="n">
        <v>0</v>
      </c>
      <c r="AP2318" s="53" t="n">
        <v>0</v>
      </c>
      <c r="AQ2318" s="52" t="n">
        <v>0</v>
      </c>
      <c r="AR2318" s="52" t="n">
        <v>0</v>
      </c>
      <c r="AS2318" s="52" t="n">
        <v>0</v>
      </c>
      <c r="AT2318" s="52" t="n">
        <v>0</v>
      </c>
      <c r="AU2318" s="53" t="n">
        <v>0</v>
      </c>
      <c r="AV2318" s="53" t="n">
        <v>0</v>
      </c>
      <c r="AW2318" s="53" t="n">
        <v>0</v>
      </c>
      <c r="AX2318" s="53" t="n">
        <v>0</v>
      </c>
      <c r="AY2318" s="52" t="n">
        <v>0</v>
      </c>
      <c r="AZ2318" s="52" t="n">
        <v>0</v>
      </c>
      <c r="BA2318" s="52" t="n">
        <v>0</v>
      </c>
      <c r="BB2318" s="52" t="n">
        <v>0</v>
      </c>
      <c r="BC2318" s="51" t="n">
        <v>0</v>
      </c>
      <c r="BD2318" s="51" t="n">
        <v>0</v>
      </c>
      <c r="BE2318" s="51" t="n">
        <v>0</v>
      </c>
      <c r="BF2318" s="51" t="n">
        <v>0</v>
      </c>
    </row>
    <row r="2319">
      <c r="A2319">
        <f>HYPERLINK("https://www.walmart.com/ip/160845649", "160845649")</f>
        <v/>
      </c>
      <c r="B2319" t="inlineStr">
        <is>
          <t>Tirrinia Insulated Wine Carrier Tote, Travel Padded 2 Bottle Wine/Champagne Cooler Bag with Handle and Adjustable Shoulder Strap + Free Corkscrew, Great Wine Lover Gift, Spiral Pattern</t>
        </is>
      </c>
      <c r="C2319" t="inlineStr">
        <is>
          <t>1KTWB210SPIRAL</t>
        </is>
      </c>
      <c r="D2319" t="inlineStr">
        <is>
          <t>Wine Totes, Bags &amp; Backpacks</t>
        </is>
      </c>
      <c r="E2319" t="inlineStr">
        <is>
          <t>Tirrinia</t>
        </is>
      </c>
      <c r="F2319" t="inlineStr">
        <is>
          <t>Wine,Christmas,WFS,Wine WFS,Valentine,Lily Brand Camp</t>
        </is>
      </c>
      <c r="G2319" s="48" t="n">
        <v>0</v>
      </c>
      <c r="H2319" s="48" t="n">
        <v>0</v>
      </c>
      <c r="I2319" s="48" t="n">
        <v>0</v>
      </c>
      <c r="J2319" s="48" t="n">
        <v>0</v>
      </c>
      <c r="K2319" s="49" t="n">
        <v>0</v>
      </c>
      <c r="L2319" s="49" t="n">
        <v>0</v>
      </c>
      <c r="M2319" s="49" t="n">
        <v>0</v>
      </c>
      <c r="N2319" s="49" t="n">
        <v>0</v>
      </c>
      <c r="O2319" s="49" t="n">
        <v>0</v>
      </c>
      <c r="P2319" s="49" t="n">
        <v>0</v>
      </c>
      <c r="Q2319" s="49" t="n">
        <v>0</v>
      </c>
      <c r="R2319" s="49" t="n">
        <v>0</v>
      </c>
      <c r="S2319" s="50" t="n">
        <v>0</v>
      </c>
      <c r="T2319" s="50" t="n">
        <v>0</v>
      </c>
      <c r="U2319" s="50" t="n">
        <v>0</v>
      </c>
      <c r="V2319" s="50" t="n">
        <v>0</v>
      </c>
      <c r="W2319" s="51" t="n">
        <v>0</v>
      </c>
      <c r="X2319" s="51" t="n">
        <v>0</v>
      </c>
      <c r="Y2319" s="51" t="n">
        <v>0</v>
      </c>
      <c r="Z2319" s="51" t="n">
        <v>0</v>
      </c>
      <c r="AA2319" s="52" t="n">
        <v>0</v>
      </c>
      <c r="AB2319" s="52" t="n">
        <v>0</v>
      </c>
      <c r="AC2319" s="52" t="n">
        <v>0</v>
      </c>
      <c r="AD2319" s="52" t="n">
        <v>0</v>
      </c>
      <c r="AE2319" s="52" t="n">
        <v>0</v>
      </c>
      <c r="AF2319" s="52" t="n">
        <v>0</v>
      </c>
      <c r="AG2319" s="52" t="n">
        <v>0</v>
      </c>
      <c r="AH2319" s="52" t="n">
        <v>0</v>
      </c>
      <c r="AI2319" s="52" t="n">
        <v>0</v>
      </c>
      <c r="AJ2319" s="52" t="n">
        <v>0</v>
      </c>
      <c r="AK2319" s="52" t="n">
        <v>0</v>
      </c>
      <c r="AL2319" s="52" t="n">
        <v>0</v>
      </c>
      <c r="AM2319" s="53" t="n">
        <v>0</v>
      </c>
      <c r="AN2319" s="53" t="n">
        <v>0</v>
      </c>
      <c r="AO2319" s="53" t="n">
        <v>0</v>
      </c>
      <c r="AP2319" s="53" t="n">
        <v>0</v>
      </c>
      <c r="AQ2319" s="52" t="n">
        <v>0</v>
      </c>
      <c r="AR2319" s="52" t="n">
        <v>0</v>
      </c>
      <c r="AS2319" s="52" t="n">
        <v>0</v>
      </c>
      <c r="AT2319" s="52" t="n">
        <v>0</v>
      </c>
      <c r="AU2319" s="53" t="n">
        <v>0</v>
      </c>
      <c r="AV2319" s="53" t="n">
        <v>0</v>
      </c>
      <c r="AW2319" s="53" t="n">
        <v>0</v>
      </c>
      <c r="AX2319" s="53" t="n">
        <v>0</v>
      </c>
      <c r="AY2319" s="52" t="n">
        <v>0</v>
      </c>
      <c r="AZ2319" s="52" t="n">
        <v>0</v>
      </c>
      <c r="BA2319" s="52" t="n">
        <v>0</v>
      </c>
      <c r="BB2319" s="52" t="n">
        <v>0</v>
      </c>
      <c r="BC2319" s="51" t="n">
        <v>0</v>
      </c>
      <c r="BD2319" s="51" t="n">
        <v>0</v>
      </c>
      <c r="BE2319" s="51" t="n">
        <v>0</v>
      </c>
      <c r="BF2319" s="51" t="n">
        <v>0</v>
      </c>
    </row>
    <row r="2320">
      <c r="A2320">
        <f>HYPERLINK("https://www.walmart.com/ip/160865261", "160865261")</f>
        <v/>
      </c>
      <c r="B2320" t="inlineStr">
        <is>
          <t>Flyingstar Insulated Lunch Bag, Reusable Tote Bag for Women &amp; Men &amp; Kids, Fashionable Large Cooler Lunch Bag for Working/School/Picnic</t>
        </is>
      </c>
      <c r="C2320" t="inlineStr">
        <is>
          <t>1WMLB703DBL</t>
        </is>
      </c>
      <c r="D2320" t="inlineStr">
        <is>
          <t>Reusable Lunch Bags &amp; Boxes</t>
        </is>
      </c>
      <c r="E2320" t="inlineStr">
        <is>
          <t>Flyingstar</t>
        </is>
      </c>
      <c r="F2320" t="inlineStr">
        <is>
          <t>Q2-Target,Lunch Bag,Optimized,Lunch Bags</t>
        </is>
      </c>
      <c r="G2320" s="48" t="n">
        <v>0</v>
      </c>
      <c r="H2320" s="48" t="n">
        <v>0</v>
      </c>
      <c r="I2320" s="48" t="n">
        <v>0</v>
      </c>
      <c r="J2320" s="48" t="n">
        <v>0</v>
      </c>
      <c r="K2320" s="49" t="n">
        <v>0</v>
      </c>
      <c r="L2320" s="49" t="n">
        <v>0</v>
      </c>
      <c r="M2320" s="49" t="n">
        <v>0</v>
      </c>
      <c r="N2320" s="49" t="n">
        <v>0</v>
      </c>
      <c r="O2320" s="49" t="n">
        <v>0</v>
      </c>
      <c r="P2320" s="49" t="n">
        <v>0</v>
      </c>
      <c r="Q2320" s="49" t="n">
        <v>0</v>
      </c>
      <c r="R2320" s="49" t="n">
        <v>0</v>
      </c>
      <c r="S2320" s="50" t="n">
        <v>0</v>
      </c>
      <c r="T2320" s="50" t="n">
        <v>0</v>
      </c>
      <c r="U2320" s="50" t="n">
        <v>0</v>
      </c>
      <c r="V2320" s="50" t="n">
        <v>0</v>
      </c>
      <c r="W2320" s="51" t="n">
        <v>0</v>
      </c>
      <c r="X2320" s="51" t="n">
        <v>0</v>
      </c>
      <c r="Y2320" s="51" t="n">
        <v>0</v>
      </c>
      <c r="Z2320" s="51" t="n">
        <v>0</v>
      </c>
      <c r="AA2320" s="52" t="n">
        <v>0</v>
      </c>
      <c r="AB2320" s="52" t="n">
        <v>0</v>
      </c>
      <c r="AC2320" s="52" t="n">
        <v>0</v>
      </c>
      <c r="AD2320" s="52" t="n">
        <v>0</v>
      </c>
      <c r="AE2320" s="52" t="n">
        <v>0</v>
      </c>
      <c r="AF2320" s="52" t="n">
        <v>0</v>
      </c>
      <c r="AG2320" s="52" t="n">
        <v>0</v>
      </c>
      <c r="AH2320" s="52" t="n">
        <v>0</v>
      </c>
      <c r="AI2320" s="52" t="n">
        <v>0</v>
      </c>
      <c r="AJ2320" s="52" t="n">
        <v>0</v>
      </c>
      <c r="AK2320" s="52" t="n">
        <v>0</v>
      </c>
      <c r="AL2320" s="52" t="n">
        <v>0</v>
      </c>
      <c r="AM2320" s="53" t="n">
        <v>0</v>
      </c>
      <c r="AN2320" s="53" t="n">
        <v>0</v>
      </c>
      <c r="AO2320" s="53" t="n">
        <v>0</v>
      </c>
      <c r="AP2320" s="53" t="n">
        <v>0</v>
      </c>
      <c r="AQ2320" s="52" t="n">
        <v>0</v>
      </c>
      <c r="AR2320" s="52" t="n">
        <v>0</v>
      </c>
      <c r="AS2320" s="52" t="n">
        <v>0</v>
      </c>
      <c r="AT2320" s="52" t="n">
        <v>0</v>
      </c>
      <c r="AU2320" s="53" t="n">
        <v>0</v>
      </c>
      <c r="AV2320" s="53" t="n">
        <v>0</v>
      </c>
      <c r="AW2320" s="53" t="n">
        <v>0</v>
      </c>
      <c r="AX2320" s="53" t="n">
        <v>0</v>
      </c>
      <c r="AY2320" s="52" t="n">
        <v>0</v>
      </c>
      <c r="AZ2320" s="52" t="n">
        <v>0</v>
      </c>
      <c r="BA2320" s="52" t="n">
        <v>0</v>
      </c>
      <c r="BB2320" s="52" t="n">
        <v>0</v>
      </c>
      <c r="BC2320" s="51" t="n">
        <v>0</v>
      </c>
      <c r="BD2320" s="51" t="n">
        <v>0</v>
      </c>
      <c r="BE2320" s="51" t="n">
        <v>0</v>
      </c>
      <c r="BF2320" s="51" t="n">
        <v>0</v>
      </c>
    </row>
    <row r="2321">
      <c r="A2321">
        <f>HYPERLINK("https://www.walmart.com/ip/161054662", "161054662")</f>
        <v/>
      </c>
      <c r="B2321" t="inlineStr">
        <is>
          <t>JenniWears Women's Beileise Sexy Pantyhose Lace Stockings Black Sheer Socks - 3 Packs</t>
        </is>
      </c>
      <c r="C2321" t="inlineStr">
        <is>
          <t>JWBLSPH2091-3pcs</t>
        </is>
      </c>
      <c r="D2321" t="inlineStr">
        <is>
          <t>Pantyhose &amp; Tights</t>
        </is>
      </c>
      <c r="E2321" t="inlineStr">
        <is>
          <t>JenniWears</t>
        </is>
      </c>
      <c r="F2321" t="inlineStr">
        <is>
          <t>Optimized,Valentine</t>
        </is>
      </c>
      <c r="G2321" s="48" t="n">
        <v>0</v>
      </c>
      <c r="H2321" s="48" t="n">
        <v>0</v>
      </c>
      <c r="I2321" s="48" t="n">
        <v>0</v>
      </c>
      <c r="J2321" s="48" t="n">
        <v>0</v>
      </c>
      <c r="K2321" s="49" t="n">
        <v>0</v>
      </c>
      <c r="L2321" s="49" t="n">
        <v>0</v>
      </c>
      <c r="M2321" s="49" t="n">
        <v>0</v>
      </c>
      <c r="N2321" s="49" t="n">
        <v>0</v>
      </c>
      <c r="O2321" s="49" t="n">
        <v>0</v>
      </c>
      <c r="P2321" s="49" t="n">
        <v>0</v>
      </c>
      <c r="Q2321" s="49" t="n">
        <v>0</v>
      </c>
      <c r="R2321" s="49" t="n">
        <v>0</v>
      </c>
      <c r="S2321" s="50" t="n">
        <v>0</v>
      </c>
      <c r="T2321" s="50" t="n">
        <v>0</v>
      </c>
      <c r="U2321" s="50" t="n">
        <v>0</v>
      </c>
      <c r="V2321" s="50" t="n">
        <v>0</v>
      </c>
      <c r="W2321" s="51" t="n">
        <v>0</v>
      </c>
      <c r="X2321" s="51" t="n">
        <v>0</v>
      </c>
      <c r="Y2321" s="51" t="n">
        <v>0</v>
      </c>
      <c r="Z2321" s="51" t="n">
        <v>0</v>
      </c>
      <c r="AA2321" s="52" t="n">
        <v>0</v>
      </c>
      <c r="AB2321" s="52" t="n">
        <v>0</v>
      </c>
      <c r="AC2321" s="52" t="n">
        <v>0</v>
      </c>
      <c r="AD2321" s="52" t="n">
        <v>0</v>
      </c>
      <c r="AE2321" s="52" t="n">
        <v>0</v>
      </c>
      <c r="AF2321" s="52" t="n">
        <v>0</v>
      </c>
      <c r="AG2321" s="52" t="n">
        <v>0</v>
      </c>
      <c r="AH2321" s="52" t="n">
        <v>0</v>
      </c>
      <c r="AI2321" s="52" t="n">
        <v>0</v>
      </c>
      <c r="AJ2321" s="52" t="n">
        <v>0</v>
      </c>
      <c r="AK2321" s="52" t="n">
        <v>0</v>
      </c>
      <c r="AL2321" s="52" t="n">
        <v>0</v>
      </c>
      <c r="AM2321" s="53" t="n">
        <v>0</v>
      </c>
      <c r="AN2321" s="53" t="n">
        <v>0</v>
      </c>
      <c r="AO2321" s="53" t="n">
        <v>0</v>
      </c>
      <c r="AP2321" s="53" t="n">
        <v>0</v>
      </c>
      <c r="AQ2321" s="52" t="n">
        <v>0</v>
      </c>
      <c r="AR2321" s="52" t="n">
        <v>0</v>
      </c>
      <c r="AS2321" s="52" t="n">
        <v>0</v>
      </c>
      <c r="AT2321" s="52" t="n">
        <v>0</v>
      </c>
      <c r="AU2321" s="53" t="n">
        <v>0</v>
      </c>
      <c r="AV2321" s="53" t="n">
        <v>0</v>
      </c>
      <c r="AW2321" s="53" t="n">
        <v>0</v>
      </c>
      <c r="AX2321" s="53" t="n">
        <v>0</v>
      </c>
      <c r="AY2321" s="52" t="n">
        <v>0</v>
      </c>
      <c r="AZ2321" s="52" t="n">
        <v>0</v>
      </c>
      <c r="BA2321" s="52" t="n">
        <v>0</v>
      </c>
      <c r="BB2321" s="52" t="n">
        <v>0</v>
      </c>
      <c r="BC2321" s="51" t="n">
        <v>0</v>
      </c>
      <c r="BD2321" s="51" t="n">
        <v>0</v>
      </c>
      <c r="BE2321" s="51" t="n">
        <v>0</v>
      </c>
      <c r="BF2321" s="51" t="n">
        <v>0</v>
      </c>
    </row>
    <row r="2322">
      <c r="A2322">
        <f>HYPERLINK("https://www.walmart.com/ip/161105747", "161105747")</f>
        <v/>
      </c>
      <c r="B2322" t="inlineStr">
        <is>
          <t>Women's sexy see-through red lingerie lace fishnet suspender by JenniWears®</t>
        </is>
      </c>
      <c r="C2322" t="inlineStr">
        <is>
          <t>JWBD02RD-M</t>
        </is>
      </c>
      <c r="D2322" t="inlineStr">
        <is>
          <t>Lingerie Sets</t>
        </is>
      </c>
      <c r="E2322" t="inlineStr">
        <is>
          <t>JenniWears</t>
        </is>
      </c>
      <c r="F2322" t="inlineStr">
        <is>
          <t>Optimized,Valentine</t>
        </is>
      </c>
      <c r="G2322" s="48" t="n">
        <v>0</v>
      </c>
      <c r="H2322" s="48" t="n">
        <v>0</v>
      </c>
      <c r="I2322" s="48" t="n">
        <v>0</v>
      </c>
      <c r="J2322" s="48" t="n">
        <v>0</v>
      </c>
      <c r="K2322" s="49" t="n">
        <v>0</v>
      </c>
      <c r="L2322" s="49" t="n">
        <v>0</v>
      </c>
      <c r="M2322" s="49" t="n">
        <v>0</v>
      </c>
      <c r="N2322" s="49" t="n">
        <v>0</v>
      </c>
      <c r="O2322" s="49" t="n">
        <v>0</v>
      </c>
      <c r="P2322" s="49" t="n">
        <v>0</v>
      </c>
      <c r="Q2322" s="49" t="n">
        <v>0</v>
      </c>
      <c r="R2322" s="49" t="n">
        <v>0</v>
      </c>
      <c r="S2322" s="50" t="n">
        <v>0</v>
      </c>
      <c r="T2322" s="50" t="n">
        <v>0</v>
      </c>
      <c r="U2322" s="50" t="n">
        <v>0</v>
      </c>
      <c r="V2322" s="50" t="n">
        <v>0</v>
      </c>
      <c r="W2322" s="51" t="n">
        <v>0</v>
      </c>
      <c r="X2322" s="51" t="n">
        <v>0</v>
      </c>
      <c r="Y2322" s="51" t="n">
        <v>0</v>
      </c>
      <c r="Z2322" s="51" t="n">
        <v>0</v>
      </c>
      <c r="AA2322" s="52" t="n">
        <v>0</v>
      </c>
      <c r="AB2322" s="52" t="n">
        <v>0</v>
      </c>
      <c r="AC2322" s="52" t="n">
        <v>0</v>
      </c>
      <c r="AD2322" s="52" t="n">
        <v>0</v>
      </c>
      <c r="AE2322" s="52" t="n">
        <v>0</v>
      </c>
      <c r="AF2322" s="52" t="n">
        <v>0</v>
      </c>
      <c r="AG2322" s="52" t="n">
        <v>0</v>
      </c>
      <c r="AH2322" s="52" t="n">
        <v>0</v>
      </c>
      <c r="AI2322" s="52" t="n">
        <v>0</v>
      </c>
      <c r="AJ2322" s="52" t="n">
        <v>0</v>
      </c>
      <c r="AK2322" s="52" t="n">
        <v>0</v>
      </c>
      <c r="AL2322" s="52" t="n">
        <v>0</v>
      </c>
      <c r="AM2322" s="53" t="n">
        <v>0</v>
      </c>
      <c r="AN2322" s="53" t="n">
        <v>0</v>
      </c>
      <c r="AO2322" s="53" t="n">
        <v>0</v>
      </c>
      <c r="AP2322" s="53" t="n">
        <v>0</v>
      </c>
      <c r="AQ2322" s="52" t="n">
        <v>0</v>
      </c>
      <c r="AR2322" s="52" t="n">
        <v>0</v>
      </c>
      <c r="AS2322" s="52" t="n">
        <v>0</v>
      </c>
      <c r="AT2322" s="52" t="n">
        <v>0</v>
      </c>
      <c r="AU2322" s="53" t="n">
        <v>0</v>
      </c>
      <c r="AV2322" s="53" t="n">
        <v>0</v>
      </c>
      <c r="AW2322" s="53" t="n">
        <v>0</v>
      </c>
      <c r="AX2322" s="53" t="n">
        <v>0</v>
      </c>
      <c r="AY2322" s="52" t="n">
        <v>0</v>
      </c>
      <c r="AZ2322" s="52" t="n">
        <v>0</v>
      </c>
      <c r="BA2322" s="52" t="n">
        <v>0</v>
      </c>
      <c r="BB2322" s="52" t="n">
        <v>0</v>
      </c>
      <c r="BC2322" s="51" t="n">
        <v>0</v>
      </c>
      <c r="BD2322" s="51" t="n">
        <v>0</v>
      </c>
      <c r="BE2322" s="51" t="n">
        <v>0</v>
      </c>
      <c r="BF2322" s="51" t="n">
        <v>0</v>
      </c>
    </row>
    <row r="2323">
      <c r="A2323">
        <f>HYPERLINK("https://www.walmart.com/ip/161250267", "161250267")</f>
        <v/>
      </c>
      <c r="B2323" t="inlineStr">
        <is>
          <t>KC Caps Unisex Adjustable Ring Buckle Closure USA Flag Embroidered Cap Hat</t>
        </is>
      </c>
      <c r="C2323" t="inlineStr">
        <is>
          <t>kc-aeemb-rd</t>
        </is>
      </c>
      <c r="D2323" t="inlineStr">
        <is>
          <t>Hats</t>
        </is>
      </c>
      <c r="E2323" t="inlineStr">
        <is>
          <t>KC Caps</t>
        </is>
      </c>
      <c r="F2323" t="inlineStr">
        <is>
          <t>Optimized</t>
        </is>
      </c>
      <c r="G2323" s="48" t="n">
        <v>0</v>
      </c>
      <c r="H2323" s="48" t="n">
        <v>0</v>
      </c>
      <c r="I2323" s="48" t="n">
        <v>0</v>
      </c>
      <c r="J2323" s="48" t="n">
        <v>0</v>
      </c>
      <c r="K2323" s="49" t="n">
        <v>0</v>
      </c>
      <c r="L2323" s="49" t="n">
        <v>0</v>
      </c>
      <c r="M2323" s="49" t="n">
        <v>0</v>
      </c>
      <c r="N2323" s="49" t="n">
        <v>0</v>
      </c>
      <c r="O2323" s="49" t="n">
        <v>0</v>
      </c>
      <c r="P2323" s="49" t="n">
        <v>0</v>
      </c>
      <c r="Q2323" s="49" t="n">
        <v>0</v>
      </c>
      <c r="R2323" s="49" t="n">
        <v>0</v>
      </c>
      <c r="S2323" s="50" t="n">
        <v>0</v>
      </c>
      <c r="T2323" s="50" t="n">
        <v>0</v>
      </c>
      <c r="U2323" s="50" t="n">
        <v>0</v>
      </c>
      <c r="V2323" s="50" t="n">
        <v>0</v>
      </c>
      <c r="W2323" s="51" t="n">
        <v>0</v>
      </c>
      <c r="X2323" s="51" t="n">
        <v>0</v>
      </c>
      <c r="Y2323" s="51" t="n">
        <v>0</v>
      </c>
      <c r="Z2323" s="51" t="n">
        <v>0</v>
      </c>
      <c r="AA2323" s="52" t="n">
        <v>0</v>
      </c>
      <c r="AB2323" s="52" t="n">
        <v>0</v>
      </c>
      <c r="AC2323" s="52" t="n">
        <v>0</v>
      </c>
      <c r="AD2323" s="52" t="n">
        <v>0</v>
      </c>
      <c r="AE2323" s="52" t="n">
        <v>0</v>
      </c>
      <c r="AF2323" s="52" t="n">
        <v>0</v>
      </c>
      <c r="AG2323" s="52" t="n">
        <v>0</v>
      </c>
      <c r="AH2323" s="52" t="n">
        <v>0</v>
      </c>
      <c r="AI2323" s="52" t="n">
        <v>0</v>
      </c>
      <c r="AJ2323" s="52" t="n">
        <v>0</v>
      </c>
      <c r="AK2323" s="52" t="n">
        <v>0</v>
      </c>
      <c r="AL2323" s="52" t="n">
        <v>0</v>
      </c>
      <c r="AM2323" s="53" t="n">
        <v>0</v>
      </c>
      <c r="AN2323" s="53" t="n">
        <v>0</v>
      </c>
      <c r="AO2323" s="53" t="n">
        <v>0</v>
      </c>
      <c r="AP2323" s="53" t="n">
        <v>0</v>
      </c>
      <c r="AQ2323" s="52" t="n">
        <v>0</v>
      </c>
      <c r="AR2323" s="52" t="n">
        <v>0</v>
      </c>
      <c r="AS2323" s="52" t="n">
        <v>0</v>
      </c>
      <c r="AT2323" s="52" t="n">
        <v>0</v>
      </c>
      <c r="AU2323" s="53" t="n">
        <v>0</v>
      </c>
      <c r="AV2323" s="53" t="n">
        <v>0</v>
      </c>
      <c r="AW2323" s="53" t="n">
        <v>0</v>
      </c>
      <c r="AX2323" s="53" t="n">
        <v>0</v>
      </c>
      <c r="AY2323" s="52" t="n">
        <v>0</v>
      </c>
      <c r="AZ2323" s="52" t="n">
        <v>0</v>
      </c>
      <c r="BA2323" s="52" t="n">
        <v>0</v>
      </c>
      <c r="BB2323" s="52" t="n">
        <v>0</v>
      </c>
      <c r="BC2323" s="51" t="n">
        <v>0</v>
      </c>
      <c r="BD2323" s="51" t="n">
        <v>0</v>
      </c>
      <c r="BE2323" s="51" t="n">
        <v>0</v>
      </c>
      <c r="BF2323" s="51" t="n">
        <v>0</v>
      </c>
    </row>
    <row r="2324">
      <c r="A2324">
        <f>HYPERLINK("https://www.walmart.com/ip/1612980683", "1612980683")</f>
        <v/>
      </c>
      <c r="B2324" t="inlineStr">
        <is>
          <t>Kato Expandable Small Insulated Lunch Bag, Leakproof Lunch Cooler Tote for Adult and Kids, Suitable for Work Office and School, Starlight</t>
        </is>
      </c>
      <c r="C2324" t="inlineStr">
        <is>
          <t>1KTLB110STARLIGHT</t>
        </is>
      </c>
      <c r="D2324" t="inlineStr">
        <is>
          <t>Reusable Lunch Bags &amp; Boxes</t>
        </is>
      </c>
      <c r="E2324" t="inlineStr">
        <is>
          <t>Kato</t>
        </is>
      </c>
      <c r="F2324" t="inlineStr">
        <is>
          <t>Q2-Target,SEM,Batch 1 - TR</t>
        </is>
      </c>
      <c r="G2324" s="48" t="n">
        <v>0</v>
      </c>
      <c r="H2324" s="48" t="n">
        <v>0</v>
      </c>
      <c r="I2324" s="48" t="n">
        <v>0</v>
      </c>
      <c r="J2324" s="48" t="n">
        <v>0</v>
      </c>
      <c r="K2324" s="49" t="n">
        <v>0</v>
      </c>
      <c r="L2324" s="49" t="n">
        <v>0</v>
      </c>
      <c r="M2324" s="49" t="n">
        <v>0</v>
      </c>
      <c r="N2324" s="49" t="n">
        <v>0</v>
      </c>
      <c r="O2324" s="49" t="n">
        <v>0</v>
      </c>
      <c r="P2324" s="49" t="n">
        <v>0</v>
      </c>
      <c r="Q2324" s="49" t="n">
        <v>0</v>
      </c>
      <c r="R2324" s="49" t="n">
        <v>0</v>
      </c>
      <c r="S2324" s="50" t="n">
        <v>0</v>
      </c>
      <c r="T2324" s="50" t="n">
        <v>0</v>
      </c>
      <c r="U2324" s="50" t="n">
        <v>0</v>
      </c>
      <c r="V2324" s="50" t="n">
        <v>0</v>
      </c>
      <c r="W2324" s="51" t="n">
        <v>0</v>
      </c>
      <c r="X2324" s="51" t="n">
        <v>0</v>
      </c>
      <c r="Y2324" s="51" t="n">
        <v>0</v>
      </c>
      <c r="Z2324" s="51" t="n">
        <v>0</v>
      </c>
      <c r="AA2324" s="52" t="n">
        <v>0</v>
      </c>
      <c r="AB2324" s="52" t="n">
        <v>0</v>
      </c>
      <c r="AC2324" s="52" t="n">
        <v>0</v>
      </c>
      <c r="AD2324" s="52" t="n">
        <v>0</v>
      </c>
      <c r="AE2324" s="52" t="n">
        <v>0</v>
      </c>
      <c r="AF2324" s="52" t="n">
        <v>0</v>
      </c>
      <c r="AG2324" s="52" t="n">
        <v>0</v>
      </c>
      <c r="AH2324" s="52" t="n">
        <v>0</v>
      </c>
      <c r="AI2324" s="52" t="n">
        <v>0</v>
      </c>
      <c r="AJ2324" s="52" t="n">
        <v>0</v>
      </c>
      <c r="AK2324" s="52" t="n">
        <v>0</v>
      </c>
      <c r="AL2324" s="52" t="n">
        <v>0</v>
      </c>
      <c r="AM2324" s="53" t="n">
        <v>0</v>
      </c>
      <c r="AN2324" s="53" t="n">
        <v>0</v>
      </c>
      <c r="AO2324" s="53" t="n">
        <v>0</v>
      </c>
      <c r="AP2324" s="53" t="n">
        <v>0</v>
      </c>
      <c r="AQ2324" s="52" t="n">
        <v>0</v>
      </c>
      <c r="AR2324" s="52" t="n">
        <v>0</v>
      </c>
      <c r="AS2324" s="52" t="n">
        <v>0</v>
      </c>
      <c r="AT2324" s="52" t="n">
        <v>0</v>
      </c>
      <c r="AU2324" s="53" t="n">
        <v>0</v>
      </c>
      <c r="AV2324" s="53" t="n">
        <v>0</v>
      </c>
      <c r="AW2324" s="53" t="n">
        <v>0</v>
      </c>
      <c r="AX2324" s="53" t="n">
        <v>0</v>
      </c>
      <c r="AY2324" s="52" t="n">
        <v>0</v>
      </c>
      <c r="AZ2324" s="52" t="n">
        <v>0</v>
      </c>
      <c r="BA2324" s="52" t="n">
        <v>0</v>
      </c>
      <c r="BB2324" s="52" t="n">
        <v>0</v>
      </c>
      <c r="BC2324" s="51" t="n">
        <v>0</v>
      </c>
      <c r="BD2324" s="51" t="n">
        <v>0</v>
      </c>
      <c r="BE2324" s="51" t="n">
        <v>0</v>
      </c>
      <c r="BF2324" s="51" t="n">
        <v>0</v>
      </c>
    </row>
    <row r="2325">
      <c r="A2325">
        <f>HYPERLINK("https://www.walmart.com/ip/161931446", "161931446")</f>
        <v/>
      </c>
      <c r="B2325" t="inlineStr">
        <is>
          <t>KC Caps® Cap Cool Olive Worker Washed Cap Daily Hat Causual Make Old Style</t>
        </is>
      </c>
      <c r="C2325" t="inlineStr">
        <is>
          <t>KC Caps 8320 Olive</t>
        </is>
      </c>
      <c r="D2325" t="inlineStr">
        <is>
          <t>Hats</t>
        </is>
      </c>
      <c r="E2325" t="inlineStr">
        <is>
          <t>KC Caps</t>
        </is>
      </c>
      <c r="F2325" t="inlineStr">
        <is>
          <t>Batch 1 - TR</t>
        </is>
      </c>
      <c r="G2325" s="48" t="n">
        <v>0</v>
      </c>
      <c r="H2325" s="48" t="n">
        <v>0</v>
      </c>
      <c r="I2325" s="48" t="n">
        <v>0</v>
      </c>
      <c r="J2325" s="48" t="n">
        <v>0</v>
      </c>
      <c r="K2325" s="49" t="n">
        <v>0</v>
      </c>
      <c r="L2325" s="49" t="n">
        <v>0</v>
      </c>
      <c r="M2325" s="49" t="n">
        <v>0</v>
      </c>
      <c r="N2325" s="49" t="n">
        <v>0</v>
      </c>
      <c r="O2325" s="49" t="n">
        <v>0</v>
      </c>
      <c r="P2325" s="49" t="n">
        <v>0</v>
      </c>
      <c r="Q2325" s="49" t="n">
        <v>0</v>
      </c>
      <c r="R2325" s="49" t="n">
        <v>0</v>
      </c>
      <c r="S2325" s="50" t="n">
        <v>0</v>
      </c>
      <c r="T2325" s="50" t="n">
        <v>0</v>
      </c>
      <c r="U2325" s="50" t="n">
        <v>0</v>
      </c>
      <c r="V2325" s="50" t="n">
        <v>0</v>
      </c>
      <c r="W2325" s="51" t="n">
        <v>0</v>
      </c>
      <c r="X2325" s="51" t="n">
        <v>0</v>
      </c>
      <c r="Y2325" s="51" t="n">
        <v>0</v>
      </c>
      <c r="Z2325" s="51" t="n">
        <v>0</v>
      </c>
      <c r="AA2325" s="52" t="n">
        <v>0</v>
      </c>
      <c r="AB2325" s="52" t="n">
        <v>0</v>
      </c>
      <c r="AC2325" s="52" t="n">
        <v>0</v>
      </c>
      <c r="AD2325" s="52" t="n">
        <v>0</v>
      </c>
      <c r="AE2325" s="52" t="n">
        <v>0</v>
      </c>
      <c r="AF2325" s="52" t="n">
        <v>0</v>
      </c>
      <c r="AG2325" s="52" t="n">
        <v>0</v>
      </c>
      <c r="AH2325" s="52" t="n">
        <v>0</v>
      </c>
      <c r="AI2325" s="52" t="n">
        <v>0</v>
      </c>
      <c r="AJ2325" s="52" t="n">
        <v>0</v>
      </c>
      <c r="AK2325" s="52" t="n">
        <v>0</v>
      </c>
      <c r="AL2325" s="52" t="n">
        <v>0</v>
      </c>
      <c r="AM2325" s="53" t="n">
        <v>0</v>
      </c>
      <c r="AN2325" s="53" t="n">
        <v>0</v>
      </c>
      <c r="AO2325" s="53" t="n">
        <v>0</v>
      </c>
      <c r="AP2325" s="53" t="n">
        <v>0</v>
      </c>
      <c r="AQ2325" s="52" t="n">
        <v>0</v>
      </c>
      <c r="AR2325" s="52" t="n">
        <v>0</v>
      </c>
      <c r="AS2325" s="52" t="n">
        <v>0</v>
      </c>
      <c r="AT2325" s="52" t="n">
        <v>0</v>
      </c>
      <c r="AU2325" s="53" t="n">
        <v>0</v>
      </c>
      <c r="AV2325" s="53" t="n">
        <v>0</v>
      </c>
      <c r="AW2325" s="53" t="n">
        <v>0</v>
      </c>
      <c r="AX2325" s="53" t="n">
        <v>0</v>
      </c>
      <c r="AY2325" s="52" t="n">
        <v>0</v>
      </c>
      <c r="AZ2325" s="52" t="n">
        <v>0</v>
      </c>
      <c r="BA2325" s="52" t="n">
        <v>0</v>
      </c>
      <c r="BB2325" s="52" t="n">
        <v>0</v>
      </c>
      <c r="BC2325" s="51" t="n">
        <v>0</v>
      </c>
      <c r="BD2325" s="51" t="n">
        <v>0</v>
      </c>
      <c r="BE2325" s="51" t="n">
        <v>0</v>
      </c>
      <c r="BF2325" s="51" t="n">
        <v>0</v>
      </c>
    </row>
    <row r="2326">
      <c r="A2326">
        <f>HYPERLINK("https://www.walmart.com/ip/162022342", "162022342")</f>
        <v/>
      </c>
      <c r="B2326" t="inlineStr">
        <is>
          <t>Vina 2-Bottle Wine Picnic Tote Carrier Travel Cooler Insulated Bag Leather Handles Durable Zipper Reusable</t>
        </is>
      </c>
      <c r="C2326" t="inlineStr">
        <is>
          <t>VINAWB007RD</t>
        </is>
      </c>
      <c r="D2326" t="inlineStr">
        <is>
          <t>Wine Totes, Bags &amp; Backpacks</t>
        </is>
      </c>
      <c r="E2326" t="inlineStr">
        <is>
          <t>Vina</t>
        </is>
      </c>
      <c r="F2326" t="inlineStr">
        <is>
          <t>Wine,Christmas,Optimized,Valentine</t>
        </is>
      </c>
      <c r="G2326" s="48" t="n">
        <v>0</v>
      </c>
      <c r="H2326" s="48" t="n">
        <v>0</v>
      </c>
      <c r="I2326" s="48" t="n">
        <v>0</v>
      </c>
      <c r="J2326" s="48" t="n">
        <v>0</v>
      </c>
      <c r="K2326" s="49" t="n">
        <v>0</v>
      </c>
      <c r="L2326" s="49" t="n">
        <v>0</v>
      </c>
      <c r="M2326" s="49" t="n">
        <v>0</v>
      </c>
      <c r="N2326" s="49" t="n">
        <v>0</v>
      </c>
      <c r="O2326" s="49" t="n">
        <v>0</v>
      </c>
      <c r="P2326" s="49" t="n">
        <v>0</v>
      </c>
      <c r="Q2326" s="49" t="n">
        <v>0</v>
      </c>
      <c r="R2326" s="49" t="n">
        <v>0</v>
      </c>
      <c r="S2326" s="50" t="n">
        <v>0</v>
      </c>
      <c r="T2326" s="50" t="n">
        <v>0</v>
      </c>
      <c r="U2326" s="50" t="n">
        <v>0</v>
      </c>
      <c r="V2326" s="50" t="n">
        <v>0</v>
      </c>
      <c r="W2326" s="51" t="n">
        <v>0</v>
      </c>
      <c r="X2326" s="51" t="n">
        <v>0</v>
      </c>
      <c r="Y2326" s="51" t="n">
        <v>0</v>
      </c>
      <c r="Z2326" s="51" t="n">
        <v>0</v>
      </c>
      <c r="AA2326" s="52" t="n">
        <v>0</v>
      </c>
      <c r="AB2326" s="52" t="n">
        <v>0</v>
      </c>
      <c r="AC2326" s="52" t="n">
        <v>0</v>
      </c>
      <c r="AD2326" s="52" t="n">
        <v>0</v>
      </c>
      <c r="AE2326" s="52" t="n">
        <v>0</v>
      </c>
      <c r="AF2326" s="52" t="n">
        <v>0</v>
      </c>
      <c r="AG2326" s="52" t="n">
        <v>0</v>
      </c>
      <c r="AH2326" s="52" t="n">
        <v>0</v>
      </c>
      <c r="AI2326" s="52" t="n">
        <v>0</v>
      </c>
      <c r="AJ2326" s="52" t="n">
        <v>0</v>
      </c>
      <c r="AK2326" s="52" t="n">
        <v>0</v>
      </c>
      <c r="AL2326" s="52" t="n">
        <v>0</v>
      </c>
      <c r="AM2326" s="53" t="n">
        <v>0</v>
      </c>
      <c r="AN2326" s="53" t="n">
        <v>0</v>
      </c>
      <c r="AO2326" s="53" t="n">
        <v>0</v>
      </c>
      <c r="AP2326" s="53" t="n">
        <v>0</v>
      </c>
      <c r="AQ2326" s="52" t="n">
        <v>0</v>
      </c>
      <c r="AR2326" s="52" t="n">
        <v>0</v>
      </c>
      <c r="AS2326" s="52" t="n">
        <v>0</v>
      </c>
      <c r="AT2326" s="52" t="n">
        <v>0</v>
      </c>
      <c r="AU2326" s="53" t="n">
        <v>0</v>
      </c>
      <c r="AV2326" s="53" t="n">
        <v>0</v>
      </c>
      <c r="AW2326" s="53" t="n">
        <v>0</v>
      </c>
      <c r="AX2326" s="53" t="n">
        <v>0</v>
      </c>
      <c r="AY2326" s="52" t="n">
        <v>0</v>
      </c>
      <c r="AZ2326" s="52" t="n">
        <v>0</v>
      </c>
      <c r="BA2326" s="52" t="n">
        <v>0</v>
      </c>
      <c r="BB2326" s="52" t="n">
        <v>0</v>
      </c>
      <c r="BC2326" s="51" t="n">
        <v>0</v>
      </c>
      <c r="BD2326" s="51" t="n">
        <v>0</v>
      </c>
      <c r="BE2326" s="51" t="n">
        <v>0</v>
      </c>
      <c r="BF2326" s="51" t="n">
        <v>0</v>
      </c>
    </row>
    <row r="2327">
      <c r="A2327">
        <f>HYPERLINK("https://www.walmart.com/ip/163434758", "163434758")</f>
        <v/>
      </c>
      <c r="B2327" t="inlineStr">
        <is>
          <t>JenniWears Womens Black Striped Fishnet Body Stocking Lingerie</t>
        </is>
      </c>
      <c r="C2327" t="inlineStr">
        <is>
          <t>JWBS8866</t>
        </is>
      </c>
      <c r="D2327" t="inlineStr">
        <is>
          <t>Teddies &amp; Bodystockings</t>
        </is>
      </c>
      <c r="E2327" t="inlineStr">
        <is>
          <t>JenniWears</t>
        </is>
      </c>
      <c r="F2327" t="inlineStr">
        <is>
          <t>WFS,Valentine,WFS Item</t>
        </is>
      </c>
      <c r="G2327" s="48" t="n">
        <v>0</v>
      </c>
      <c r="H2327" s="48" t="n">
        <v>0</v>
      </c>
      <c r="I2327" s="48" t="n">
        <v>0</v>
      </c>
      <c r="J2327" s="48" t="n">
        <v>0</v>
      </c>
      <c r="K2327" s="49" t="n">
        <v>0</v>
      </c>
      <c r="L2327" s="49" t="n">
        <v>0</v>
      </c>
      <c r="M2327" s="49" t="n">
        <v>0</v>
      </c>
      <c r="N2327" s="49" t="n">
        <v>0</v>
      </c>
      <c r="O2327" s="49" t="n">
        <v>0</v>
      </c>
      <c r="P2327" s="49" t="n">
        <v>0</v>
      </c>
      <c r="Q2327" s="49" t="n">
        <v>0</v>
      </c>
      <c r="R2327" s="49" t="n">
        <v>0</v>
      </c>
      <c r="S2327" s="50" t="n">
        <v>0</v>
      </c>
      <c r="T2327" s="50" t="n">
        <v>0</v>
      </c>
      <c r="U2327" s="50" t="n">
        <v>0</v>
      </c>
      <c r="V2327" s="50" t="n">
        <v>0</v>
      </c>
      <c r="W2327" s="51" t="n">
        <v>0</v>
      </c>
      <c r="X2327" s="51" t="n">
        <v>0</v>
      </c>
      <c r="Y2327" s="51" t="n">
        <v>0</v>
      </c>
      <c r="Z2327" s="51" t="n">
        <v>0</v>
      </c>
      <c r="AA2327" s="52" t="n">
        <v>0</v>
      </c>
      <c r="AB2327" s="52" t="n">
        <v>0</v>
      </c>
      <c r="AC2327" s="52" t="n">
        <v>0</v>
      </c>
      <c r="AD2327" s="52" t="n">
        <v>0</v>
      </c>
      <c r="AE2327" s="52" t="n">
        <v>0</v>
      </c>
      <c r="AF2327" s="52" t="n">
        <v>0</v>
      </c>
      <c r="AG2327" s="52" t="n">
        <v>0</v>
      </c>
      <c r="AH2327" s="52" t="n">
        <v>0</v>
      </c>
      <c r="AI2327" s="52" t="n">
        <v>0</v>
      </c>
      <c r="AJ2327" s="52" t="n">
        <v>0</v>
      </c>
      <c r="AK2327" s="52" t="n">
        <v>0</v>
      </c>
      <c r="AL2327" s="52" t="n">
        <v>0</v>
      </c>
      <c r="AM2327" s="53" t="n">
        <v>0</v>
      </c>
      <c r="AN2327" s="53" t="n">
        <v>0</v>
      </c>
      <c r="AO2327" s="53" t="n">
        <v>0</v>
      </c>
      <c r="AP2327" s="53" t="n">
        <v>0</v>
      </c>
      <c r="AQ2327" s="52" t="n">
        <v>0</v>
      </c>
      <c r="AR2327" s="52" t="n">
        <v>0</v>
      </c>
      <c r="AS2327" s="52" t="n">
        <v>0</v>
      </c>
      <c r="AT2327" s="52" t="n">
        <v>0</v>
      </c>
      <c r="AU2327" s="53" t="n">
        <v>0</v>
      </c>
      <c r="AV2327" s="53" t="n">
        <v>0</v>
      </c>
      <c r="AW2327" s="53" t="n">
        <v>0</v>
      </c>
      <c r="AX2327" s="53" t="n">
        <v>0</v>
      </c>
      <c r="AY2327" s="52" t="n">
        <v>0</v>
      </c>
      <c r="AZ2327" s="52" t="n">
        <v>0</v>
      </c>
      <c r="BA2327" s="52" t="n">
        <v>0</v>
      </c>
      <c r="BB2327" s="52" t="n">
        <v>0</v>
      </c>
      <c r="BC2327" s="51" t="n">
        <v>0</v>
      </c>
      <c r="BD2327" s="51" t="n">
        <v>0</v>
      </c>
      <c r="BE2327" s="51" t="n">
        <v>0</v>
      </c>
      <c r="BF2327" s="51" t="n">
        <v>0</v>
      </c>
    </row>
    <row r="2328">
      <c r="A2328">
        <f>HYPERLINK("https://www.walmart.com/ip/16344201504", "16344201504")</f>
        <v/>
      </c>
      <c r="B2328" t="inlineStr">
        <is>
          <t>Catalonia Lightweight Ladies Bathrobe, Long Summer Robe with Pockets,Soft Summer Robes for Women, Kimono Gift for Her, White</t>
        </is>
      </c>
      <c r="C2328" t="inlineStr">
        <is>
          <t>1CTRB504WT-5</t>
        </is>
      </c>
      <c r="D2328" t="inlineStr">
        <is>
          <t>Sleepwear Robes &amp; Bathrobes</t>
        </is>
      </c>
      <c r="E2328" t="inlineStr">
        <is>
          <t>Catalonia</t>
        </is>
      </c>
      <c r="G2328" s="48" t="n">
        <v>0</v>
      </c>
      <c r="H2328" s="48" t="n">
        <v>0</v>
      </c>
      <c r="I2328" s="48" t="n">
        <v>0</v>
      </c>
      <c r="J2328" s="48" t="n">
        <v>0</v>
      </c>
      <c r="K2328" s="49" t="n">
        <v>0</v>
      </c>
      <c r="L2328" s="49" t="n">
        <v>0</v>
      </c>
      <c r="M2328" s="49" t="n">
        <v>0</v>
      </c>
      <c r="N2328" s="49" t="n">
        <v>0</v>
      </c>
      <c r="O2328" s="49" t="n">
        <v>0</v>
      </c>
      <c r="P2328" s="49" t="n">
        <v>0</v>
      </c>
      <c r="Q2328" s="49" t="n">
        <v>0</v>
      </c>
      <c r="R2328" s="49" t="n">
        <v>0</v>
      </c>
      <c r="S2328" s="50" t="n">
        <v>0</v>
      </c>
      <c r="T2328" s="50" t="n">
        <v>0</v>
      </c>
      <c r="U2328" s="50" t="n">
        <v>0</v>
      </c>
      <c r="V2328" s="50" t="n">
        <v>0</v>
      </c>
      <c r="W2328" s="51" t="n">
        <v>0</v>
      </c>
      <c r="X2328" s="51" t="n">
        <v>0</v>
      </c>
      <c r="Y2328" s="51" t="n">
        <v>0</v>
      </c>
      <c r="Z2328" s="51" t="n">
        <v>0</v>
      </c>
      <c r="AA2328" s="52" t="n">
        <v>0</v>
      </c>
      <c r="AB2328" s="52" t="n">
        <v>0</v>
      </c>
      <c r="AC2328" s="52" t="n">
        <v>0</v>
      </c>
      <c r="AD2328" s="52" t="n">
        <v>0</v>
      </c>
      <c r="AE2328" s="52" t="n">
        <v>0</v>
      </c>
      <c r="AF2328" s="52" t="n">
        <v>0</v>
      </c>
      <c r="AG2328" s="52" t="n">
        <v>0</v>
      </c>
      <c r="AH2328" s="52" t="n">
        <v>0</v>
      </c>
      <c r="AI2328" s="52" t="n">
        <v>0</v>
      </c>
      <c r="AJ2328" s="52" t="n">
        <v>0</v>
      </c>
      <c r="AK2328" s="52" t="n">
        <v>0</v>
      </c>
      <c r="AL2328" s="52" t="n">
        <v>0</v>
      </c>
      <c r="AM2328" s="53" t="n">
        <v>0</v>
      </c>
      <c r="AN2328" s="53" t="n">
        <v>0</v>
      </c>
      <c r="AO2328" s="53" t="n">
        <v>0</v>
      </c>
      <c r="AP2328" s="53" t="n">
        <v>0</v>
      </c>
      <c r="AQ2328" s="52" t="n">
        <v>0</v>
      </c>
      <c r="AR2328" s="52" t="n">
        <v>0</v>
      </c>
      <c r="AS2328" s="52" t="n">
        <v>0</v>
      </c>
      <c r="AT2328" s="52" t="n">
        <v>0</v>
      </c>
      <c r="AU2328" s="53" t="n">
        <v>0</v>
      </c>
      <c r="AV2328" s="53" t="n">
        <v>0</v>
      </c>
      <c r="AW2328" s="53" t="n">
        <v>0</v>
      </c>
      <c r="AX2328" s="53" t="n">
        <v>0</v>
      </c>
      <c r="AY2328" s="52" t="n">
        <v>0</v>
      </c>
      <c r="AZ2328" s="52" t="n">
        <v>0</v>
      </c>
      <c r="BA2328" s="52" t="n">
        <v>0</v>
      </c>
      <c r="BB2328" s="52" t="n">
        <v>0</v>
      </c>
      <c r="BC2328" s="51" t="n">
        <v>0</v>
      </c>
      <c r="BD2328" s="51" t="n">
        <v>0</v>
      </c>
      <c r="BE2328" s="51" t="n">
        <v>0</v>
      </c>
      <c r="BF2328" s="51" t="n">
        <v>0</v>
      </c>
    </row>
    <row r="2329">
      <c r="A2329">
        <f>HYPERLINK("https://www.walmart.com/ip/16344201970", "16344201970")</f>
        <v/>
      </c>
      <c r="B2329" t="inlineStr">
        <is>
          <t>Catalonia Lightweight Ladies Bathrobe, Long Summer Robe with Pockets,Soft Summer Robes for Women, Kimono Gift for Her, Lilac</t>
        </is>
      </c>
      <c r="C2329" t="inlineStr">
        <is>
          <t>1CTRB504LL-5</t>
        </is>
      </c>
      <c r="D2329" t="inlineStr">
        <is>
          <t>Sleepwear Robes &amp; Bathrobes</t>
        </is>
      </c>
      <c r="E2329" t="inlineStr">
        <is>
          <t>Catalonia</t>
        </is>
      </c>
      <c r="G2329" s="48" t="n">
        <v>0</v>
      </c>
      <c r="H2329" s="48" t="n">
        <v>0</v>
      </c>
      <c r="I2329" s="48" t="n">
        <v>0</v>
      </c>
      <c r="J2329" s="48" t="n">
        <v>0</v>
      </c>
      <c r="K2329" s="49" t="n">
        <v>0</v>
      </c>
      <c r="L2329" s="49" t="n">
        <v>0</v>
      </c>
      <c r="M2329" s="49" t="n">
        <v>0</v>
      </c>
      <c r="N2329" s="49" t="n">
        <v>0</v>
      </c>
      <c r="O2329" s="49" t="n">
        <v>0</v>
      </c>
      <c r="P2329" s="49" t="n">
        <v>0</v>
      </c>
      <c r="Q2329" s="49" t="n">
        <v>0</v>
      </c>
      <c r="R2329" s="49" t="n">
        <v>0</v>
      </c>
      <c r="S2329" s="50" t="n">
        <v>0</v>
      </c>
      <c r="T2329" s="50" t="n">
        <v>0</v>
      </c>
      <c r="U2329" s="50" t="n">
        <v>0</v>
      </c>
      <c r="V2329" s="50" t="n">
        <v>0</v>
      </c>
      <c r="W2329" s="51" t="n">
        <v>0</v>
      </c>
      <c r="X2329" s="51" t="n">
        <v>0</v>
      </c>
      <c r="Y2329" s="51" t="n">
        <v>0</v>
      </c>
      <c r="Z2329" s="51" t="n">
        <v>0</v>
      </c>
      <c r="AA2329" s="52" t="n">
        <v>0</v>
      </c>
      <c r="AB2329" s="52" t="n">
        <v>0</v>
      </c>
      <c r="AC2329" s="52" t="n">
        <v>0</v>
      </c>
      <c r="AD2329" s="52" t="n">
        <v>0</v>
      </c>
      <c r="AE2329" s="52" t="n">
        <v>0</v>
      </c>
      <c r="AF2329" s="52" t="n">
        <v>0</v>
      </c>
      <c r="AG2329" s="52" t="n">
        <v>0</v>
      </c>
      <c r="AH2329" s="52" t="n">
        <v>0</v>
      </c>
      <c r="AI2329" s="52" t="n">
        <v>0</v>
      </c>
      <c r="AJ2329" s="52" t="n">
        <v>0</v>
      </c>
      <c r="AK2329" s="52" t="n">
        <v>0</v>
      </c>
      <c r="AL2329" s="52" t="n">
        <v>0</v>
      </c>
      <c r="AM2329" s="53" t="n">
        <v>0</v>
      </c>
      <c r="AN2329" s="53" t="n">
        <v>0</v>
      </c>
      <c r="AO2329" s="53" t="n">
        <v>0</v>
      </c>
      <c r="AP2329" s="53" t="n">
        <v>0</v>
      </c>
      <c r="AQ2329" s="52" t="n">
        <v>0</v>
      </c>
      <c r="AR2329" s="52" t="n">
        <v>0</v>
      </c>
      <c r="AS2329" s="52" t="n">
        <v>0</v>
      </c>
      <c r="AT2329" s="52" t="n">
        <v>0</v>
      </c>
      <c r="AU2329" s="53" t="n">
        <v>0</v>
      </c>
      <c r="AV2329" s="53" t="n">
        <v>0</v>
      </c>
      <c r="AW2329" s="53" t="n">
        <v>0</v>
      </c>
      <c r="AX2329" s="53" t="n">
        <v>0</v>
      </c>
      <c r="AY2329" s="52" t="n">
        <v>0</v>
      </c>
      <c r="AZ2329" s="52" t="n">
        <v>0</v>
      </c>
      <c r="BA2329" s="52" t="n">
        <v>0</v>
      </c>
      <c r="BB2329" s="52" t="n">
        <v>0</v>
      </c>
      <c r="BC2329" s="51" t="n">
        <v>0</v>
      </c>
      <c r="BD2329" s="51" t="n">
        <v>0</v>
      </c>
      <c r="BE2329" s="51" t="n">
        <v>0</v>
      </c>
      <c r="BF2329" s="51" t="n">
        <v>0</v>
      </c>
    </row>
    <row r="2330">
      <c r="A2330">
        <f>HYPERLINK("https://www.walmart.com/ip/16346371312", "16346371312")</f>
        <v/>
      </c>
      <c r="B2330" t="inlineStr">
        <is>
          <t>Catalonia Lightweight Ladies Bathrobe, Long Summer Robe with Pockets,Soft Summer Robes for Women, Kimono Gift for Her, Blue</t>
        </is>
      </c>
      <c r="C2330" t="inlineStr">
        <is>
          <t>1CTRB504BL-3</t>
        </is>
      </c>
      <c r="D2330" t="inlineStr">
        <is>
          <t>Sleepwear Robes &amp; Bathrobes</t>
        </is>
      </c>
      <c r="E2330" t="inlineStr">
        <is>
          <t>Catalonia</t>
        </is>
      </c>
      <c r="G2330" s="48" t="n">
        <v>0</v>
      </c>
      <c r="H2330" s="48" t="n">
        <v>0</v>
      </c>
      <c r="I2330" s="48" t="n">
        <v>0</v>
      </c>
      <c r="J2330" s="48" t="n">
        <v>0</v>
      </c>
      <c r="K2330" s="49" t="n">
        <v>0</v>
      </c>
      <c r="L2330" s="49" t="n">
        <v>0</v>
      </c>
      <c r="M2330" s="49" t="n">
        <v>0</v>
      </c>
      <c r="N2330" s="49" t="n">
        <v>0</v>
      </c>
      <c r="O2330" s="49" t="n">
        <v>0</v>
      </c>
      <c r="P2330" s="49" t="n">
        <v>0</v>
      </c>
      <c r="Q2330" s="49" t="n">
        <v>0</v>
      </c>
      <c r="R2330" s="49" t="n">
        <v>0</v>
      </c>
      <c r="S2330" s="50" t="n">
        <v>0</v>
      </c>
      <c r="T2330" s="50" t="n">
        <v>0</v>
      </c>
      <c r="U2330" s="50" t="n">
        <v>0</v>
      </c>
      <c r="V2330" s="50" t="n">
        <v>0</v>
      </c>
      <c r="W2330" s="51" t="n">
        <v>0</v>
      </c>
      <c r="X2330" s="51" t="n">
        <v>0</v>
      </c>
      <c r="Y2330" s="51" t="n">
        <v>0</v>
      </c>
      <c r="Z2330" s="51" t="n">
        <v>0</v>
      </c>
      <c r="AA2330" s="52" t="n">
        <v>0</v>
      </c>
      <c r="AB2330" s="52" t="n">
        <v>0</v>
      </c>
      <c r="AC2330" s="52" t="n">
        <v>0</v>
      </c>
      <c r="AD2330" s="52" t="n">
        <v>0</v>
      </c>
      <c r="AE2330" s="52" t="n">
        <v>0</v>
      </c>
      <c r="AF2330" s="52" t="n">
        <v>0</v>
      </c>
      <c r="AG2330" s="52" t="n">
        <v>0</v>
      </c>
      <c r="AH2330" s="52" t="n">
        <v>0</v>
      </c>
      <c r="AI2330" s="52" t="n">
        <v>0</v>
      </c>
      <c r="AJ2330" s="52" t="n">
        <v>0</v>
      </c>
      <c r="AK2330" s="52" t="n">
        <v>0</v>
      </c>
      <c r="AL2330" s="52" t="n">
        <v>0</v>
      </c>
      <c r="AM2330" s="53" t="n">
        <v>0</v>
      </c>
      <c r="AN2330" s="53" t="n">
        <v>0</v>
      </c>
      <c r="AO2330" s="53" t="n">
        <v>0</v>
      </c>
      <c r="AP2330" s="53" t="n">
        <v>0</v>
      </c>
      <c r="AQ2330" s="52" t="n">
        <v>0</v>
      </c>
      <c r="AR2330" s="52" t="n">
        <v>0</v>
      </c>
      <c r="AS2330" s="52" t="n">
        <v>0</v>
      </c>
      <c r="AT2330" s="52" t="n">
        <v>0</v>
      </c>
      <c r="AU2330" s="53" t="n">
        <v>0</v>
      </c>
      <c r="AV2330" s="53" t="n">
        <v>0</v>
      </c>
      <c r="AW2330" s="53" t="n">
        <v>0</v>
      </c>
      <c r="AX2330" s="53" t="n">
        <v>0</v>
      </c>
      <c r="AY2330" s="52" t="n">
        <v>0</v>
      </c>
      <c r="AZ2330" s="52" t="n">
        <v>0</v>
      </c>
      <c r="BA2330" s="52" t="n">
        <v>0</v>
      </c>
      <c r="BB2330" s="52" t="n">
        <v>0</v>
      </c>
      <c r="BC2330" s="51" t="n">
        <v>0</v>
      </c>
      <c r="BD2330" s="51" t="n">
        <v>0</v>
      </c>
      <c r="BE2330" s="51" t="n">
        <v>0</v>
      </c>
      <c r="BF2330" s="51" t="n">
        <v>0</v>
      </c>
    </row>
    <row r="2331">
      <c r="A2331">
        <f>HYPERLINK("https://www.walmart.com/ip/16407005205", "16407005205")</f>
        <v/>
      </c>
      <c r="B2331" t="inlineStr">
        <is>
          <t>Catalonia Lightweight Ladies Bathrobe, Long Summer Robe with Pockets,Soft Summer Robes for Women, Kimono Gift for Her, Green</t>
        </is>
      </c>
      <c r="C2331" t="inlineStr">
        <is>
          <t>1CTRB504GN-2</t>
        </is>
      </c>
      <c r="D2331" t="inlineStr">
        <is>
          <t>Sleepwear Robes &amp; Bathrobes</t>
        </is>
      </c>
      <c r="E2331" t="inlineStr">
        <is>
          <t>Catalonia</t>
        </is>
      </c>
      <c r="G2331" s="48" t="n">
        <v>0</v>
      </c>
      <c r="H2331" s="48" t="n">
        <v>0</v>
      </c>
      <c r="I2331" s="48" t="n">
        <v>0</v>
      </c>
      <c r="J2331" s="48" t="n">
        <v>0</v>
      </c>
      <c r="K2331" s="49" t="n">
        <v>0</v>
      </c>
      <c r="L2331" s="49" t="n">
        <v>0</v>
      </c>
      <c r="M2331" s="49" t="n">
        <v>0</v>
      </c>
      <c r="N2331" s="49" t="n">
        <v>0</v>
      </c>
      <c r="O2331" s="49" t="n">
        <v>0</v>
      </c>
      <c r="P2331" s="49" t="n">
        <v>0</v>
      </c>
      <c r="Q2331" s="49" t="n">
        <v>0</v>
      </c>
      <c r="R2331" s="49" t="n">
        <v>0</v>
      </c>
      <c r="S2331" s="50" t="n">
        <v>0</v>
      </c>
      <c r="T2331" s="50" t="n">
        <v>0</v>
      </c>
      <c r="U2331" s="50" t="n">
        <v>0</v>
      </c>
      <c r="V2331" s="50" t="n">
        <v>0</v>
      </c>
      <c r="W2331" s="51" t="n">
        <v>0</v>
      </c>
      <c r="X2331" s="51" t="n">
        <v>0</v>
      </c>
      <c r="Y2331" s="51" t="n">
        <v>0</v>
      </c>
      <c r="Z2331" s="51" t="n">
        <v>0</v>
      </c>
      <c r="AA2331" s="52" t="n">
        <v>0</v>
      </c>
      <c r="AB2331" s="52" t="n">
        <v>0</v>
      </c>
      <c r="AC2331" s="52" t="n">
        <v>0</v>
      </c>
      <c r="AD2331" s="52" t="n">
        <v>0</v>
      </c>
      <c r="AE2331" s="52" t="n">
        <v>0</v>
      </c>
      <c r="AF2331" s="52" t="n">
        <v>0</v>
      </c>
      <c r="AG2331" s="52" t="n">
        <v>0</v>
      </c>
      <c r="AH2331" s="52" t="n">
        <v>0</v>
      </c>
      <c r="AI2331" s="52" t="n">
        <v>0</v>
      </c>
      <c r="AJ2331" s="52" t="n">
        <v>0</v>
      </c>
      <c r="AK2331" s="52" t="n">
        <v>0</v>
      </c>
      <c r="AL2331" s="52" t="n">
        <v>0</v>
      </c>
      <c r="AM2331" s="53" t="n">
        <v>0</v>
      </c>
      <c r="AN2331" s="53" t="n">
        <v>0</v>
      </c>
      <c r="AO2331" s="53" t="n">
        <v>0</v>
      </c>
      <c r="AP2331" s="53" t="n">
        <v>0</v>
      </c>
      <c r="AQ2331" s="52" t="n">
        <v>0</v>
      </c>
      <c r="AR2331" s="52" t="n">
        <v>0</v>
      </c>
      <c r="AS2331" s="52" t="n">
        <v>0</v>
      </c>
      <c r="AT2331" s="52" t="n">
        <v>0</v>
      </c>
      <c r="AU2331" s="53" t="n">
        <v>0</v>
      </c>
      <c r="AV2331" s="53" t="n">
        <v>0</v>
      </c>
      <c r="AW2331" s="53" t="n">
        <v>0</v>
      </c>
      <c r="AX2331" s="53" t="n">
        <v>0</v>
      </c>
      <c r="AY2331" s="52" t="n">
        <v>0</v>
      </c>
      <c r="AZ2331" s="52" t="n">
        <v>0</v>
      </c>
      <c r="BA2331" s="52" t="n">
        <v>0</v>
      </c>
      <c r="BB2331" s="52" t="n">
        <v>0</v>
      </c>
      <c r="BC2331" s="51" t="n">
        <v>0</v>
      </c>
      <c r="BD2331" s="51" t="n">
        <v>0</v>
      </c>
      <c r="BE2331" s="51" t="n">
        <v>0</v>
      </c>
      <c r="BF2331" s="51" t="n">
        <v>0</v>
      </c>
    </row>
    <row r="2332">
      <c r="A2332">
        <f>HYPERLINK("https://www.walmart.com/ip/164074904", "164074904")</f>
        <v/>
      </c>
      <c r="B2332" t="inlineStr">
        <is>
          <t>JenniWears Women's Black Mesh Hollow Chemise Lingerie Mini Tube Chemise Lingerie</t>
        </is>
      </c>
      <c r="C2332" t="inlineStr">
        <is>
          <t>JWBS8815</t>
        </is>
      </c>
      <c r="D2332" t="inlineStr">
        <is>
          <t>Lingerie Sets</t>
        </is>
      </c>
      <c r="E2332" t="inlineStr">
        <is>
          <t>JenniWears</t>
        </is>
      </c>
      <c r="F2332" t="inlineStr">
        <is>
          <t>Valentine</t>
        </is>
      </c>
      <c r="G2332" s="48" t="n">
        <v>0</v>
      </c>
      <c r="H2332" s="48" t="n">
        <v>0</v>
      </c>
      <c r="I2332" s="48" t="n">
        <v>0</v>
      </c>
      <c r="J2332" s="48" t="n">
        <v>0</v>
      </c>
      <c r="K2332" s="49" t="n">
        <v>0</v>
      </c>
      <c r="L2332" s="49" t="n">
        <v>0</v>
      </c>
      <c r="M2332" s="49" t="n">
        <v>0</v>
      </c>
      <c r="N2332" s="49" t="n">
        <v>0</v>
      </c>
      <c r="O2332" s="49" t="n">
        <v>0</v>
      </c>
      <c r="P2332" s="49" t="n">
        <v>0</v>
      </c>
      <c r="Q2332" s="49" t="n">
        <v>0</v>
      </c>
      <c r="R2332" s="49" t="n">
        <v>0</v>
      </c>
      <c r="S2332" s="50" t="n">
        <v>0</v>
      </c>
      <c r="T2332" s="50" t="n">
        <v>0</v>
      </c>
      <c r="U2332" s="50" t="n">
        <v>0</v>
      </c>
      <c r="V2332" s="50" t="n">
        <v>0</v>
      </c>
      <c r="W2332" s="51" t="n">
        <v>0</v>
      </c>
      <c r="X2332" s="51" t="n">
        <v>0</v>
      </c>
      <c r="Y2332" s="51" t="n">
        <v>0</v>
      </c>
      <c r="Z2332" s="51" t="n">
        <v>0</v>
      </c>
      <c r="AA2332" s="52" t="n">
        <v>0</v>
      </c>
      <c r="AB2332" s="52" t="n">
        <v>0</v>
      </c>
      <c r="AC2332" s="52" t="n">
        <v>0</v>
      </c>
      <c r="AD2332" s="52" t="n">
        <v>0</v>
      </c>
      <c r="AE2332" s="52" t="n">
        <v>0</v>
      </c>
      <c r="AF2332" s="52" t="n">
        <v>0</v>
      </c>
      <c r="AG2332" s="52" t="n">
        <v>0</v>
      </c>
      <c r="AH2332" s="52" t="n">
        <v>0</v>
      </c>
      <c r="AI2332" s="52" t="n">
        <v>0</v>
      </c>
      <c r="AJ2332" s="52" t="n">
        <v>0</v>
      </c>
      <c r="AK2332" s="52" t="n">
        <v>0</v>
      </c>
      <c r="AL2332" s="52" t="n">
        <v>0</v>
      </c>
      <c r="AM2332" s="53" t="n">
        <v>0</v>
      </c>
      <c r="AN2332" s="53" t="n">
        <v>0</v>
      </c>
      <c r="AO2332" s="53" t="n">
        <v>0</v>
      </c>
      <c r="AP2332" s="53" t="n">
        <v>0</v>
      </c>
      <c r="AQ2332" s="52" t="n">
        <v>0</v>
      </c>
      <c r="AR2332" s="52" t="n">
        <v>0</v>
      </c>
      <c r="AS2332" s="52" t="n">
        <v>0</v>
      </c>
      <c r="AT2332" s="52" t="n">
        <v>0</v>
      </c>
      <c r="AU2332" s="53" t="n">
        <v>0</v>
      </c>
      <c r="AV2332" s="53" t="n">
        <v>0</v>
      </c>
      <c r="AW2332" s="53" t="n">
        <v>0</v>
      </c>
      <c r="AX2332" s="53" t="n">
        <v>0</v>
      </c>
      <c r="AY2332" s="52" t="n">
        <v>0</v>
      </c>
      <c r="AZ2332" s="52" t="n">
        <v>0</v>
      </c>
      <c r="BA2332" s="52" t="n">
        <v>0</v>
      </c>
      <c r="BB2332" s="52" t="n">
        <v>0</v>
      </c>
      <c r="BC2332" s="51" t="n">
        <v>0</v>
      </c>
      <c r="BD2332" s="51" t="n">
        <v>0</v>
      </c>
      <c r="BE2332" s="51" t="n">
        <v>0</v>
      </c>
      <c r="BF2332" s="51" t="n">
        <v>0</v>
      </c>
    </row>
    <row r="2333">
      <c r="A2333">
        <f>HYPERLINK("https://www.walmart.com/ip/1647718963", "1647718963")</f>
        <v/>
      </c>
      <c r="B2333" t="inlineStr">
        <is>
          <t>12 Pack Sun Blocker Women's Sun Hat Reversible Bucket Cap UPF 50+ Outdoor Travel Beach Hat, Green</t>
        </is>
      </c>
      <c r="C2333" t="inlineStr">
        <is>
          <t>KC-S9200-GR-12pcs</t>
        </is>
      </c>
      <c r="D2333" t="inlineStr">
        <is>
          <t>Hats</t>
        </is>
      </c>
      <c r="E2333" t="inlineStr">
        <is>
          <t>Sun Blocker</t>
        </is>
      </c>
      <c r="F2333" t="inlineStr">
        <is>
          <t>Batch 1 - TR</t>
        </is>
      </c>
      <c r="G2333" s="48" t="n">
        <v>0</v>
      </c>
      <c r="H2333" s="48" t="n">
        <v>0</v>
      </c>
      <c r="I2333" s="48" t="n">
        <v>0</v>
      </c>
      <c r="J2333" s="48" t="n">
        <v>0</v>
      </c>
      <c r="K2333" s="49" t="n">
        <v>0</v>
      </c>
      <c r="L2333" s="49" t="n">
        <v>0</v>
      </c>
      <c r="M2333" s="49" t="n">
        <v>0</v>
      </c>
      <c r="N2333" s="49" t="n">
        <v>0</v>
      </c>
      <c r="O2333" s="49" t="n">
        <v>0</v>
      </c>
      <c r="P2333" s="49" t="n">
        <v>0</v>
      </c>
      <c r="Q2333" s="49" t="n">
        <v>0</v>
      </c>
      <c r="R2333" s="49" t="n">
        <v>0</v>
      </c>
      <c r="S2333" s="50" t="n">
        <v>0</v>
      </c>
      <c r="T2333" s="50" t="n">
        <v>0</v>
      </c>
      <c r="U2333" s="50" t="n">
        <v>0</v>
      </c>
      <c r="V2333" s="50" t="n">
        <v>0</v>
      </c>
      <c r="W2333" s="51" t="n">
        <v>0</v>
      </c>
      <c r="X2333" s="51" t="n">
        <v>0</v>
      </c>
      <c r="Y2333" s="51" t="n">
        <v>0</v>
      </c>
      <c r="Z2333" s="51" t="n">
        <v>0</v>
      </c>
      <c r="AA2333" s="52" t="n">
        <v>0</v>
      </c>
      <c r="AB2333" s="52" t="n">
        <v>0</v>
      </c>
      <c r="AC2333" s="52" t="n">
        <v>0</v>
      </c>
      <c r="AD2333" s="52" t="n">
        <v>0</v>
      </c>
      <c r="AE2333" s="52" t="n">
        <v>0</v>
      </c>
      <c r="AF2333" s="52" t="n">
        <v>0</v>
      </c>
      <c r="AG2333" s="52" t="n">
        <v>0</v>
      </c>
      <c r="AH2333" s="52" t="n">
        <v>0</v>
      </c>
      <c r="AI2333" s="52" t="n">
        <v>0</v>
      </c>
      <c r="AJ2333" s="52" t="n">
        <v>0</v>
      </c>
      <c r="AK2333" s="52" t="n">
        <v>0</v>
      </c>
      <c r="AL2333" s="52" t="n">
        <v>0</v>
      </c>
      <c r="AM2333" s="53" t="n">
        <v>0</v>
      </c>
      <c r="AN2333" s="53" t="n">
        <v>0</v>
      </c>
      <c r="AO2333" s="53" t="n">
        <v>0</v>
      </c>
      <c r="AP2333" s="53" t="n">
        <v>0</v>
      </c>
      <c r="AQ2333" s="52" t="n">
        <v>0</v>
      </c>
      <c r="AR2333" s="52" t="n">
        <v>0</v>
      </c>
      <c r="AS2333" s="52" t="n">
        <v>0</v>
      </c>
      <c r="AT2333" s="52" t="n">
        <v>0</v>
      </c>
      <c r="AU2333" s="53" t="n">
        <v>0</v>
      </c>
      <c r="AV2333" s="53" t="n">
        <v>0</v>
      </c>
      <c r="AW2333" s="53" t="n">
        <v>0</v>
      </c>
      <c r="AX2333" s="53" t="n">
        <v>0</v>
      </c>
      <c r="AY2333" s="52" t="n">
        <v>0</v>
      </c>
      <c r="AZ2333" s="52" t="n">
        <v>0</v>
      </c>
      <c r="BA2333" s="52" t="n">
        <v>0</v>
      </c>
      <c r="BB2333" s="52" t="n">
        <v>0</v>
      </c>
      <c r="BC2333" s="51" t="n">
        <v>0</v>
      </c>
      <c r="BD2333" s="51" t="n">
        <v>0</v>
      </c>
      <c r="BE2333" s="51" t="n">
        <v>0</v>
      </c>
      <c r="BF2333" s="51" t="n">
        <v>0</v>
      </c>
    </row>
    <row r="2334">
      <c r="A2334">
        <f>HYPERLINK("https://www.walmart.com/ip/164859298", "164859298")</f>
        <v/>
      </c>
      <c r="B2334" t="inlineStr">
        <is>
          <t>Tirrinia Women's Halter Tankini Set Two Pieces Padded Bathing Suits Swimsuit, XLarge Size, Black</t>
        </is>
      </c>
      <c r="C2334" t="inlineStr">
        <is>
          <t>1TRSS002BK-XL</t>
        </is>
      </c>
      <c r="D2334" t="inlineStr">
        <is>
          <t>Swimsuit Sets</t>
        </is>
      </c>
      <c r="E2334" t="inlineStr">
        <is>
          <t>Tirrinia</t>
        </is>
      </c>
      <c r="F2334" t="inlineStr">
        <is>
          <t>Batch 1 - TR</t>
        </is>
      </c>
      <c r="G2334" s="48" t="n">
        <v>0</v>
      </c>
      <c r="H2334" s="48" t="n">
        <v>0</v>
      </c>
      <c r="I2334" s="48" t="n">
        <v>0</v>
      </c>
      <c r="J2334" s="48" t="n">
        <v>0</v>
      </c>
      <c r="K2334" s="49" t="n">
        <v>0</v>
      </c>
      <c r="L2334" s="49" t="n">
        <v>0</v>
      </c>
      <c r="M2334" s="49" t="n">
        <v>0</v>
      </c>
      <c r="N2334" s="49" t="n">
        <v>0</v>
      </c>
      <c r="O2334" s="49" t="n">
        <v>0</v>
      </c>
      <c r="P2334" s="49" t="n">
        <v>0</v>
      </c>
      <c r="Q2334" s="49" t="n">
        <v>0</v>
      </c>
      <c r="R2334" s="49" t="n">
        <v>0</v>
      </c>
      <c r="S2334" s="50" t="n">
        <v>0</v>
      </c>
      <c r="T2334" s="50" t="n">
        <v>0</v>
      </c>
      <c r="U2334" s="50" t="n">
        <v>0</v>
      </c>
      <c r="V2334" s="50" t="n">
        <v>0</v>
      </c>
      <c r="W2334" s="51" t="n">
        <v>0</v>
      </c>
      <c r="X2334" s="51" t="n">
        <v>0</v>
      </c>
      <c r="Y2334" s="51" t="n">
        <v>0</v>
      </c>
      <c r="Z2334" s="51" t="n">
        <v>0</v>
      </c>
      <c r="AA2334" s="52" t="n">
        <v>0</v>
      </c>
      <c r="AB2334" s="52" t="n">
        <v>0</v>
      </c>
      <c r="AC2334" s="52" t="n">
        <v>0</v>
      </c>
      <c r="AD2334" s="52" t="n">
        <v>0</v>
      </c>
      <c r="AE2334" s="52" t="n">
        <v>0</v>
      </c>
      <c r="AF2334" s="52" t="n">
        <v>0</v>
      </c>
      <c r="AG2334" s="52" t="n">
        <v>0</v>
      </c>
      <c r="AH2334" s="52" t="n">
        <v>0</v>
      </c>
      <c r="AI2334" s="52" t="n">
        <v>0</v>
      </c>
      <c r="AJ2334" s="52" t="n">
        <v>0</v>
      </c>
      <c r="AK2334" s="52" t="n">
        <v>0</v>
      </c>
      <c r="AL2334" s="52" t="n">
        <v>0</v>
      </c>
      <c r="AM2334" s="53" t="n">
        <v>0</v>
      </c>
      <c r="AN2334" s="53" t="n">
        <v>0</v>
      </c>
      <c r="AO2334" s="53" t="n">
        <v>0</v>
      </c>
      <c r="AP2334" s="53" t="n">
        <v>0</v>
      </c>
      <c r="AQ2334" s="52" t="n">
        <v>0</v>
      </c>
      <c r="AR2334" s="52" t="n">
        <v>0</v>
      </c>
      <c r="AS2334" s="52" t="n">
        <v>0</v>
      </c>
      <c r="AT2334" s="52" t="n">
        <v>0</v>
      </c>
      <c r="AU2334" s="53" t="n">
        <v>0</v>
      </c>
      <c r="AV2334" s="53" t="n">
        <v>0</v>
      </c>
      <c r="AW2334" s="53" t="n">
        <v>0</v>
      </c>
      <c r="AX2334" s="53" t="n">
        <v>0</v>
      </c>
      <c r="AY2334" s="52" t="n">
        <v>0</v>
      </c>
      <c r="AZ2334" s="52" t="n">
        <v>0</v>
      </c>
      <c r="BA2334" s="52" t="n">
        <v>0</v>
      </c>
      <c r="BB2334" s="52" t="n">
        <v>0</v>
      </c>
      <c r="BC2334" s="51" t="n">
        <v>0</v>
      </c>
      <c r="BD2334" s="51" t="n">
        <v>0</v>
      </c>
      <c r="BE2334" s="51" t="n">
        <v>0</v>
      </c>
      <c r="BF2334" s="51" t="n">
        <v>0</v>
      </c>
    </row>
    <row r="2335">
      <c r="A2335">
        <f>HYPERLINK("https://www.walmart.com/ip/164941151", "164941151")</f>
        <v/>
      </c>
      <c r="B2335" t="inlineStr">
        <is>
          <t>Napa Premium Soft Warm Plush Kid Blanket Polyester Fluffy Reversible Bedding Throw For Baby Children Teen Boy Girl</t>
        </is>
      </c>
      <c r="C2335" t="inlineStr">
        <is>
          <t>K9000KD-LT</t>
        </is>
      </c>
      <c r="D2335" t="inlineStr">
        <is>
          <t>Throws</t>
        </is>
      </c>
      <c r="E2335" t="inlineStr">
        <is>
          <t>NAPA</t>
        </is>
      </c>
      <c r="G2335" s="48" t="n">
        <v>0</v>
      </c>
      <c r="H2335" s="48" t="n">
        <v>0</v>
      </c>
      <c r="I2335" s="48" t="n">
        <v>0</v>
      </c>
      <c r="J2335" s="48" t="n">
        <v>0</v>
      </c>
      <c r="K2335" s="49" t="n">
        <v>0</v>
      </c>
      <c r="L2335" s="49" t="n">
        <v>0</v>
      </c>
      <c r="M2335" s="49" t="n">
        <v>0</v>
      </c>
      <c r="N2335" s="49" t="n">
        <v>0</v>
      </c>
      <c r="O2335" s="49" t="n">
        <v>0</v>
      </c>
      <c r="P2335" s="49" t="n">
        <v>0</v>
      </c>
      <c r="Q2335" s="49" t="n">
        <v>0</v>
      </c>
      <c r="R2335" s="49" t="n">
        <v>0</v>
      </c>
      <c r="S2335" s="50" t="n">
        <v>0</v>
      </c>
      <c r="T2335" s="50" t="n">
        <v>0</v>
      </c>
      <c r="U2335" s="50" t="n">
        <v>0</v>
      </c>
      <c r="V2335" s="50" t="n">
        <v>0</v>
      </c>
      <c r="W2335" s="51" t="n">
        <v>0</v>
      </c>
      <c r="X2335" s="51" t="n">
        <v>0</v>
      </c>
      <c r="Y2335" s="51" t="n">
        <v>0</v>
      </c>
      <c r="Z2335" s="51" t="n">
        <v>0</v>
      </c>
      <c r="AA2335" s="52" t="n">
        <v>0</v>
      </c>
      <c r="AB2335" s="52" t="n">
        <v>0</v>
      </c>
      <c r="AC2335" s="52" t="n">
        <v>0</v>
      </c>
      <c r="AD2335" s="52" t="n">
        <v>0</v>
      </c>
      <c r="AE2335" s="52" t="n">
        <v>0</v>
      </c>
      <c r="AF2335" s="52" t="n">
        <v>0</v>
      </c>
      <c r="AG2335" s="52" t="n">
        <v>0</v>
      </c>
      <c r="AH2335" s="52" t="n">
        <v>0</v>
      </c>
      <c r="AI2335" s="52" t="n">
        <v>0</v>
      </c>
      <c r="AJ2335" s="52" t="n">
        <v>0</v>
      </c>
      <c r="AK2335" s="52" t="n">
        <v>0</v>
      </c>
      <c r="AL2335" s="52" t="n">
        <v>0</v>
      </c>
      <c r="AM2335" s="53" t="n">
        <v>0</v>
      </c>
      <c r="AN2335" s="53" t="n">
        <v>0</v>
      </c>
      <c r="AO2335" s="53" t="n">
        <v>0</v>
      </c>
      <c r="AP2335" s="53" t="n">
        <v>0</v>
      </c>
      <c r="AQ2335" s="52" t="n">
        <v>0</v>
      </c>
      <c r="AR2335" s="52" t="n">
        <v>0</v>
      </c>
      <c r="AS2335" s="52" t="n">
        <v>0</v>
      </c>
      <c r="AT2335" s="52" t="n">
        <v>0</v>
      </c>
      <c r="AU2335" s="53" t="n">
        <v>0</v>
      </c>
      <c r="AV2335" s="53" t="n">
        <v>0</v>
      </c>
      <c r="AW2335" s="53" t="n">
        <v>0</v>
      </c>
      <c r="AX2335" s="53" t="n">
        <v>0</v>
      </c>
      <c r="AY2335" s="52" t="n">
        <v>0</v>
      </c>
      <c r="AZ2335" s="52" t="n">
        <v>0</v>
      </c>
      <c r="BA2335" s="52" t="n">
        <v>0</v>
      </c>
      <c r="BB2335" s="52" t="n">
        <v>0</v>
      </c>
      <c r="BC2335" s="51" t="n">
        <v>0</v>
      </c>
      <c r="BD2335" s="51" t="n">
        <v>0</v>
      </c>
      <c r="BE2335" s="51" t="n">
        <v>0</v>
      </c>
      <c r="BF2335" s="51" t="n">
        <v>0</v>
      </c>
    </row>
    <row r="2336">
      <c r="A2336">
        <f>HYPERLINK("https://www.walmart.com/ip/164977471", "164977471")</f>
        <v/>
      </c>
      <c r="B2336" t="inlineStr">
        <is>
          <t>Fashion Light Up LED Luminous Sequin Neck Ties Changeable Colors Necktie Led Fiber Tie Flashing Tie For Male/Female</t>
        </is>
      </c>
      <c r="C2336" t="inlineStr">
        <is>
          <t>LEDTIE01- HP</t>
        </is>
      </c>
      <c r="D2336" t="inlineStr">
        <is>
          <t>Party Favors</t>
        </is>
      </c>
      <c r="E2336" t="inlineStr">
        <is>
          <t>TY</t>
        </is>
      </c>
      <c r="F2336" t="inlineStr">
        <is>
          <t>Optimized,Halloween</t>
        </is>
      </c>
      <c r="G2336" s="48" t="n">
        <v>0</v>
      </c>
      <c r="H2336" s="48" t="n">
        <v>0</v>
      </c>
      <c r="I2336" s="48" t="n">
        <v>0</v>
      </c>
      <c r="J2336" s="48" t="n">
        <v>0</v>
      </c>
      <c r="K2336" s="49" t="n">
        <v>0</v>
      </c>
      <c r="L2336" s="49" t="n">
        <v>0</v>
      </c>
      <c r="M2336" s="49" t="n">
        <v>0</v>
      </c>
      <c r="N2336" s="49" t="n">
        <v>0</v>
      </c>
      <c r="O2336" s="49" t="n">
        <v>0</v>
      </c>
      <c r="P2336" s="49" t="n">
        <v>0</v>
      </c>
      <c r="Q2336" s="49" t="n">
        <v>0</v>
      </c>
      <c r="R2336" s="49" t="n">
        <v>0</v>
      </c>
      <c r="S2336" s="50" t="n">
        <v>0</v>
      </c>
      <c r="T2336" s="50" t="n">
        <v>0</v>
      </c>
      <c r="U2336" s="50" t="n">
        <v>0</v>
      </c>
      <c r="V2336" s="50" t="n">
        <v>0</v>
      </c>
      <c r="W2336" s="51" t="n">
        <v>0</v>
      </c>
      <c r="X2336" s="51" t="n">
        <v>0</v>
      </c>
      <c r="Y2336" s="51" t="n">
        <v>0</v>
      </c>
      <c r="Z2336" s="51" t="n">
        <v>0</v>
      </c>
      <c r="AA2336" s="52" t="n">
        <v>0</v>
      </c>
      <c r="AB2336" s="52" t="n">
        <v>0</v>
      </c>
      <c r="AC2336" s="52" t="n">
        <v>0</v>
      </c>
      <c r="AD2336" s="52" t="n">
        <v>0</v>
      </c>
      <c r="AE2336" s="52" t="n">
        <v>0</v>
      </c>
      <c r="AF2336" s="52" t="n">
        <v>0</v>
      </c>
      <c r="AG2336" s="52" t="n">
        <v>0</v>
      </c>
      <c r="AH2336" s="52" t="n">
        <v>0</v>
      </c>
      <c r="AI2336" s="52" t="n">
        <v>0</v>
      </c>
      <c r="AJ2336" s="52" t="n">
        <v>0</v>
      </c>
      <c r="AK2336" s="52" t="n">
        <v>0</v>
      </c>
      <c r="AL2336" s="52" t="n">
        <v>0</v>
      </c>
      <c r="AM2336" s="53" t="n">
        <v>0</v>
      </c>
      <c r="AN2336" s="53" t="n">
        <v>0</v>
      </c>
      <c r="AO2336" s="53" t="n">
        <v>0</v>
      </c>
      <c r="AP2336" s="53" t="n">
        <v>0</v>
      </c>
      <c r="AQ2336" s="52" t="n">
        <v>0</v>
      </c>
      <c r="AR2336" s="52" t="n">
        <v>0</v>
      </c>
      <c r="AS2336" s="52" t="n">
        <v>0</v>
      </c>
      <c r="AT2336" s="52" t="n">
        <v>0</v>
      </c>
      <c r="AU2336" s="53" t="n">
        <v>0</v>
      </c>
      <c r="AV2336" s="53" t="n">
        <v>0</v>
      </c>
      <c r="AW2336" s="53" t="n">
        <v>0</v>
      </c>
      <c r="AX2336" s="53" t="n">
        <v>0</v>
      </c>
      <c r="AY2336" s="52" t="n">
        <v>0</v>
      </c>
      <c r="AZ2336" s="52" t="n">
        <v>0</v>
      </c>
      <c r="BA2336" s="52" t="n">
        <v>0</v>
      </c>
      <c r="BB2336" s="52" t="n">
        <v>0</v>
      </c>
      <c r="BC2336" s="51" t="n">
        <v>0</v>
      </c>
      <c r="BD2336" s="51" t="n">
        <v>0</v>
      </c>
      <c r="BE2336" s="51" t="n">
        <v>0</v>
      </c>
      <c r="BF2336" s="51" t="n">
        <v>0</v>
      </c>
    </row>
    <row r="2337">
      <c r="A2337">
        <f>HYPERLINK("https://www.walmart.com/ip/165175251", "165175251")</f>
        <v/>
      </c>
      <c r="B2337" t="inlineStr">
        <is>
          <t>JenniWears Women's Beileise Sexy Net Pantyhose Stockings Sheer Ultrathin Socks - 3 Packs</t>
        </is>
      </c>
      <c r="C2337" t="inlineStr">
        <is>
          <t>JWBLSPH2086-3pcs</t>
        </is>
      </c>
      <c r="D2337" t="inlineStr">
        <is>
          <t>Pantyhose &amp; Tights</t>
        </is>
      </c>
      <c r="E2337" t="inlineStr">
        <is>
          <t>JenniWears</t>
        </is>
      </c>
      <c r="F2337" t="inlineStr">
        <is>
          <t>Optimized,Valentine</t>
        </is>
      </c>
      <c r="G2337" s="48" t="n">
        <v>0</v>
      </c>
      <c r="H2337" s="48" t="n">
        <v>0</v>
      </c>
      <c r="I2337" s="48" t="n">
        <v>0</v>
      </c>
      <c r="J2337" s="48" t="n">
        <v>0</v>
      </c>
      <c r="K2337" s="49" t="n">
        <v>0</v>
      </c>
      <c r="L2337" s="49" t="n">
        <v>0</v>
      </c>
      <c r="M2337" s="49" t="n">
        <v>0</v>
      </c>
      <c r="N2337" s="49" t="n">
        <v>0</v>
      </c>
      <c r="O2337" s="49" t="n">
        <v>0</v>
      </c>
      <c r="P2337" s="49" t="n">
        <v>0</v>
      </c>
      <c r="Q2337" s="49" t="n">
        <v>0</v>
      </c>
      <c r="R2337" s="49" t="n">
        <v>0</v>
      </c>
      <c r="S2337" s="50" t="n">
        <v>0</v>
      </c>
      <c r="T2337" s="50" t="n">
        <v>0</v>
      </c>
      <c r="U2337" s="50" t="n">
        <v>0</v>
      </c>
      <c r="V2337" s="50" t="n">
        <v>0</v>
      </c>
      <c r="W2337" s="51" t="n">
        <v>0</v>
      </c>
      <c r="X2337" s="51" t="n">
        <v>0</v>
      </c>
      <c r="Y2337" s="51" t="n">
        <v>0</v>
      </c>
      <c r="Z2337" s="51" t="n">
        <v>0</v>
      </c>
      <c r="AA2337" s="52" t="n">
        <v>0</v>
      </c>
      <c r="AB2337" s="52" t="n">
        <v>0</v>
      </c>
      <c r="AC2337" s="52" t="n">
        <v>0</v>
      </c>
      <c r="AD2337" s="52" t="n">
        <v>0</v>
      </c>
      <c r="AE2337" s="52" t="n">
        <v>0</v>
      </c>
      <c r="AF2337" s="52" t="n">
        <v>0</v>
      </c>
      <c r="AG2337" s="52" t="n">
        <v>0</v>
      </c>
      <c r="AH2337" s="52" t="n">
        <v>0</v>
      </c>
      <c r="AI2337" s="52" t="n">
        <v>0</v>
      </c>
      <c r="AJ2337" s="52" t="n">
        <v>0</v>
      </c>
      <c r="AK2337" s="52" t="n">
        <v>0</v>
      </c>
      <c r="AL2337" s="52" t="n">
        <v>0</v>
      </c>
      <c r="AM2337" s="53" t="n">
        <v>0</v>
      </c>
      <c r="AN2337" s="53" t="n">
        <v>0</v>
      </c>
      <c r="AO2337" s="53" t="n">
        <v>0</v>
      </c>
      <c r="AP2337" s="53" t="n">
        <v>0</v>
      </c>
      <c r="AQ2337" s="52" t="n">
        <v>0</v>
      </c>
      <c r="AR2337" s="52" t="n">
        <v>0</v>
      </c>
      <c r="AS2337" s="52" t="n">
        <v>0</v>
      </c>
      <c r="AT2337" s="52" t="n">
        <v>0</v>
      </c>
      <c r="AU2337" s="53" t="n">
        <v>0</v>
      </c>
      <c r="AV2337" s="53" t="n">
        <v>0</v>
      </c>
      <c r="AW2337" s="53" t="n">
        <v>0</v>
      </c>
      <c r="AX2337" s="53" t="n">
        <v>0</v>
      </c>
      <c r="AY2337" s="52" t="n">
        <v>0</v>
      </c>
      <c r="AZ2337" s="52" t="n">
        <v>0</v>
      </c>
      <c r="BA2337" s="52" t="n">
        <v>0</v>
      </c>
      <c r="BB2337" s="52" t="n">
        <v>0</v>
      </c>
      <c r="BC2337" s="51" t="n">
        <v>0</v>
      </c>
      <c r="BD2337" s="51" t="n">
        <v>0</v>
      </c>
      <c r="BE2337" s="51" t="n">
        <v>0</v>
      </c>
      <c r="BF2337" s="51" t="n">
        <v>0</v>
      </c>
    </row>
    <row r="2338">
      <c r="A2338">
        <f>HYPERLINK("https://www.walmart.com/ip/165180382", "165180382")</f>
        <v/>
      </c>
      <c r="B2338" t="inlineStr">
        <is>
          <t>KC Caps Army Style Surplus Beanie Cap</t>
        </is>
      </c>
      <c r="C2338" t="inlineStr">
        <is>
          <t>KCW1721BK</t>
        </is>
      </c>
      <c r="D2338" t="inlineStr">
        <is>
          <t>Hats</t>
        </is>
      </c>
      <c r="E2338" t="inlineStr">
        <is>
          <t>KC Caps</t>
        </is>
      </c>
      <c r="F2338" t="inlineStr">
        <is>
          <t>Batch 1 - TR</t>
        </is>
      </c>
      <c r="G2338" s="48" t="n">
        <v>0</v>
      </c>
      <c r="H2338" s="48" t="n">
        <v>0</v>
      </c>
      <c r="I2338" s="48" t="n">
        <v>0</v>
      </c>
      <c r="J2338" s="48" t="n">
        <v>0</v>
      </c>
      <c r="K2338" s="49" t="n">
        <v>0</v>
      </c>
      <c r="L2338" s="49" t="n">
        <v>0</v>
      </c>
      <c r="M2338" s="49" t="n">
        <v>0</v>
      </c>
      <c r="N2338" s="49" t="n">
        <v>0</v>
      </c>
      <c r="O2338" s="49" t="n">
        <v>0</v>
      </c>
      <c r="P2338" s="49" t="n">
        <v>0</v>
      </c>
      <c r="Q2338" s="49" t="n">
        <v>0</v>
      </c>
      <c r="R2338" s="49" t="n">
        <v>0</v>
      </c>
      <c r="S2338" s="50" t="n">
        <v>0</v>
      </c>
      <c r="T2338" s="50" t="n">
        <v>0</v>
      </c>
      <c r="U2338" s="50" t="n">
        <v>0</v>
      </c>
      <c r="V2338" s="50" t="n">
        <v>0</v>
      </c>
      <c r="W2338" s="51" t="n">
        <v>0</v>
      </c>
      <c r="X2338" s="51" t="n">
        <v>0</v>
      </c>
      <c r="Y2338" s="51" t="n">
        <v>0</v>
      </c>
      <c r="Z2338" s="51" t="n">
        <v>0</v>
      </c>
      <c r="AA2338" s="52" t="n">
        <v>0</v>
      </c>
      <c r="AB2338" s="52" t="n">
        <v>0</v>
      </c>
      <c r="AC2338" s="52" t="n">
        <v>0</v>
      </c>
      <c r="AD2338" s="52" t="n">
        <v>0</v>
      </c>
      <c r="AE2338" s="52" t="n">
        <v>0</v>
      </c>
      <c r="AF2338" s="52" t="n">
        <v>0</v>
      </c>
      <c r="AG2338" s="52" t="n">
        <v>0</v>
      </c>
      <c r="AH2338" s="52" t="n">
        <v>0</v>
      </c>
      <c r="AI2338" s="52" t="n">
        <v>0</v>
      </c>
      <c r="AJ2338" s="52" t="n">
        <v>0</v>
      </c>
      <c r="AK2338" s="52" t="n">
        <v>0</v>
      </c>
      <c r="AL2338" s="52" t="n">
        <v>0</v>
      </c>
      <c r="AM2338" s="53" t="n">
        <v>0</v>
      </c>
      <c r="AN2338" s="53" t="n">
        <v>0</v>
      </c>
      <c r="AO2338" s="53" t="n">
        <v>0</v>
      </c>
      <c r="AP2338" s="53" t="n">
        <v>0</v>
      </c>
      <c r="AQ2338" s="52" t="n">
        <v>0</v>
      </c>
      <c r="AR2338" s="52" t="n">
        <v>0</v>
      </c>
      <c r="AS2338" s="52" t="n">
        <v>0</v>
      </c>
      <c r="AT2338" s="52" t="n">
        <v>0</v>
      </c>
      <c r="AU2338" s="53" t="n">
        <v>0</v>
      </c>
      <c r="AV2338" s="53" t="n">
        <v>0</v>
      </c>
      <c r="AW2338" s="53" t="n">
        <v>0</v>
      </c>
      <c r="AX2338" s="53" t="n">
        <v>0</v>
      </c>
      <c r="AY2338" s="52" t="n">
        <v>0</v>
      </c>
      <c r="AZ2338" s="52" t="n">
        <v>0</v>
      </c>
      <c r="BA2338" s="52" t="n">
        <v>0</v>
      </c>
      <c r="BB2338" s="52" t="n">
        <v>0</v>
      </c>
      <c r="BC2338" s="51" t="n">
        <v>0</v>
      </c>
      <c r="BD2338" s="51" t="n">
        <v>0</v>
      </c>
      <c r="BE2338" s="51" t="n">
        <v>0</v>
      </c>
      <c r="BF2338" s="51" t="n">
        <v>0</v>
      </c>
    </row>
    <row r="2339">
      <c r="A2339">
        <f>HYPERLINK("https://www.walmart.com/ip/165397392", "165397392")</f>
        <v/>
      </c>
      <c r="B2339" t="inlineStr">
        <is>
          <t>Catalonia Sherpa Throws Fluffy Fuzzy Fleece Blanket 50”x60” for Adults Children, Super Soft Comfy Plush for Sofa Couch Bed Reversible All Season, Gray</t>
        </is>
      </c>
      <c r="C2339" t="inlineStr">
        <is>
          <t>1CTBF320GY</t>
        </is>
      </c>
      <c r="D2339" t="inlineStr">
        <is>
          <t>Throws</t>
        </is>
      </c>
      <c r="E2339" t="inlineStr">
        <is>
          <t>Catalonia</t>
        </is>
      </c>
      <c r="F2339" t="inlineStr">
        <is>
          <t>Q2-Target,Optimized,WFS,Coupon_Discount,SeePriceInCart,WFS Item,Fleece Blankets</t>
        </is>
      </c>
      <c r="G2339" s="48" t="n">
        <v>0</v>
      </c>
      <c r="H2339" s="48" t="n">
        <v>0</v>
      </c>
      <c r="I2339" s="48" t="n">
        <v>0</v>
      </c>
      <c r="J2339" s="48" t="n">
        <v>0</v>
      </c>
      <c r="K2339" s="49" t="n">
        <v>0</v>
      </c>
      <c r="L2339" s="49" t="n">
        <v>0</v>
      </c>
      <c r="M2339" s="49" t="n">
        <v>0</v>
      </c>
      <c r="N2339" s="49" t="n">
        <v>0</v>
      </c>
      <c r="O2339" s="49" t="n">
        <v>0</v>
      </c>
      <c r="P2339" s="49" t="n">
        <v>0</v>
      </c>
      <c r="Q2339" s="49" t="n">
        <v>0</v>
      </c>
      <c r="R2339" s="49" t="n">
        <v>0</v>
      </c>
      <c r="S2339" s="50" t="n">
        <v>0</v>
      </c>
      <c r="T2339" s="50" t="n">
        <v>0</v>
      </c>
      <c r="U2339" s="50" t="n">
        <v>0</v>
      </c>
      <c r="V2339" s="50" t="n">
        <v>0</v>
      </c>
      <c r="W2339" s="51" t="n">
        <v>0</v>
      </c>
      <c r="X2339" s="51" t="n">
        <v>0</v>
      </c>
      <c r="Y2339" s="51" t="n">
        <v>0</v>
      </c>
      <c r="Z2339" s="51" t="n">
        <v>0</v>
      </c>
      <c r="AA2339" s="52" t="n">
        <v>0</v>
      </c>
      <c r="AB2339" s="52" t="n">
        <v>0</v>
      </c>
      <c r="AC2339" s="52" t="n">
        <v>0</v>
      </c>
      <c r="AD2339" s="52" t="n">
        <v>0</v>
      </c>
      <c r="AE2339" s="52" t="n">
        <v>0</v>
      </c>
      <c r="AF2339" s="52" t="n">
        <v>0</v>
      </c>
      <c r="AG2339" s="52" t="n">
        <v>0</v>
      </c>
      <c r="AH2339" s="52" t="n">
        <v>0</v>
      </c>
      <c r="AI2339" s="52" t="n">
        <v>0</v>
      </c>
      <c r="AJ2339" s="52" t="n">
        <v>0</v>
      </c>
      <c r="AK2339" s="52" t="n">
        <v>0</v>
      </c>
      <c r="AL2339" s="52" t="n">
        <v>0</v>
      </c>
      <c r="AM2339" s="53" t="n">
        <v>0</v>
      </c>
      <c r="AN2339" s="53" t="n">
        <v>0</v>
      </c>
      <c r="AO2339" s="53" t="n">
        <v>0</v>
      </c>
      <c r="AP2339" s="53" t="n">
        <v>0</v>
      </c>
      <c r="AQ2339" s="52" t="n">
        <v>0</v>
      </c>
      <c r="AR2339" s="52" t="n">
        <v>0</v>
      </c>
      <c r="AS2339" s="52" t="n">
        <v>0</v>
      </c>
      <c r="AT2339" s="52" t="n">
        <v>0</v>
      </c>
      <c r="AU2339" s="53" t="n">
        <v>0</v>
      </c>
      <c r="AV2339" s="53" t="n">
        <v>0</v>
      </c>
      <c r="AW2339" s="53" t="n">
        <v>0</v>
      </c>
      <c r="AX2339" s="53" t="n">
        <v>0</v>
      </c>
      <c r="AY2339" s="52" t="n">
        <v>0</v>
      </c>
      <c r="AZ2339" s="52" t="n">
        <v>0</v>
      </c>
      <c r="BA2339" s="52" t="n">
        <v>0</v>
      </c>
      <c r="BB2339" s="52" t="n">
        <v>0</v>
      </c>
      <c r="BC2339" s="51" t="n">
        <v>0</v>
      </c>
      <c r="BD2339" s="51" t="n">
        <v>0</v>
      </c>
      <c r="BE2339" s="51" t="n">
        <v>0</v>
      </c>
      <c r="BF2339" s="51" t="n">
        <v>0</v>
      </c>
    </row>
    <row r="2340">
      <c r="A2340">
        <f>HYPERLINK("https://www.walmart.com/ip/165630345", "165630345")</f>
        <v/>
      </c>
      <c r="B2340" t="inlineStr">
        <is>
          <t>Tirrinia Super-Soft Fleece Blanket Chevron Plush Flannel Sherpa Throw Blanket, 50" x 60", Charcoal</t>
        </is>
      </c>
      <c r="C2340" t="inlineStr">
        <is>
          <t>1TRBF560CH-TBCB</t>
        </is>
      </c>
      <c r="D2340" t="inlineStr">
        <is>
          <t>Throws</t>
        </is>
      </c>
      <c r="E2340" t="inlineStr">
        <is>
          <t>Tirrinia</t>
        </is>
      </c>
      <c r="F2340" t="inlineStr">
        <is>
          <t>Optimized</t>
        </is>
      </c>
      <c r="G2340" s="48" t="n">
        <v>0</v>
      </c>
      <c r="H2340" s="48" t="n">
        <v>0</v>
      </c>
      <c r="I2340" s="48" t="n">
        <v>0</v>
      </c>
      <c r="J2340" s="48" t="n">
        <v>0</v>
      </c>
      <c r="K2340" s="49" t="n">
        <v>0</v>
      </c>
      <c r="L2340" s="49" t="n">
        <v>0</v>
      </c>
      <c r="M2340" s="49" t="n">
        <v>0</v>
      </c>
      <c r="N2340" s="49" t="n">
        <v>0</v>
      </c>
      <c r="O2340" s="49" t="n">
        <v>0</v>
      </c>
      <c r="P2340" s="49" t="n">
        <v>0</v>
      </c>
      <c r="Q2340" s="49" t="n">
        <v>0</v>
      </c>
      <c r="R2340" s="49" t="n">
        <v>0</v>
      </c>
      <c r="S2340" s="50" t="n">
        <v>0</v>
      </c>
      <c r="T2340" s="50" t="n">
        <v>0</v>
      </c>
      <c r="U2340" s="50" t="n">
        <v>0</v>
      </c>
      <c r="V2340" s="50" t="n">
        <v>0</v>
      </c>
      <c r="W2340" s="51" t="n">
        <v>0</v>
      </c>
      <c r="X2340" s="51" t="n">
        <v>0</v>
      </c>
      <c r="Y2340" s="51" t="n">
        <v>0</v>
      </c>
      <c r="Z2340" s="51" t="n">
        <v>0</v>
      </c>
      <c r="AA2340" s="52" t="n">
        <v>0</v>
      </c>
      <c r="AB2340" s="52" t="n">
        <v>0</v>
      </c>
      <c r="AC2340" s="52" t="n">
        <v>0</v>
      </c>
      <c r="AD2340" s="52" t="n">
        <v>0</v>
      </c>
      <c r="AE2340" s="52" t="n">
        <v>0</v>
      </c>
      <c r="AF2340" s="52" t="n">
        <v>0</v>
      </c>
      <c r="AG2340" s="52" t="n">
        <v>0</v>
      </c>
      <c r="AH2340" s="52" t="n">
        <v>0</v>
      </c>
      <c r="AI2340" s="52" t="n">
        <v>0</v>
      </c>
      <c r="AJ2340" s="52" t="n">
        <v>0</v>
      </c>
      <c r="AK2340" s="52" t="n">
        <v>0</v>
      </c>
      <c r="AL2340" s="52" t="n">
        <v>0</v>
      </c>
      <c r="AM2340" s="53" t="n">
        <v>0</v>
      </c>
      <c r="AN2340" s="53" t="n">
        <v>0</v>
      </c>
      <c r="AO2340" s="53" t="n">
        <v>0</v>
      </c>
      <c r="AP2340" s="53" t="n">
        <v>0</v>
      </c>
      <c r="AQ2340" s="52" t="n">
        <v>0</v>
      </c>
      <c r="AR2340" s="52" t="n">
        <v>0</v>
      </c>
      <c r="AS2340" s="52" t="n">
        <v>0</v>
      </c>
      <c r="AT2340" s="52" t="n">
        <v>0</v>
      </c>
      <c r="AU2340" s="53" t="n">
        <v>0</v>
      </c>
      <c r="AV2340" s="53" t="n">
        <v>0</v>
      </c>
      <c r="AW2340" s="53" t="n">
        <v>0</v>
      </c>
      <c r="AX2340" s="53" t="n">
        <v>0</v>
      </c>
      <c r="AY2340" s="52" t="n">
        <v>0</v>
      </c>
      <c r="AZ2340" s="52" t="n">
        <v>0</v>
      </c>
      <c r="BA2340" s="52" t="n">
        <v>0</v>
      </c>
      <c r="BB2340" s="52" t="n">
        <v>0</v>
      </c>
      <c r="BC2340" s="51" t="n">
        <v>0</v>
      </c>
      <c r="BD2340" s="51" t="n">
        <v>0</v>
      </c>
      <c r="BE2340" s="51" t="n">
        <v>0</v>
      </c>
      <c r="BF2340" s="51" t="n">
        <v>0</v>
      </c>
    </row>
    <row r="2341">
      <c r="A2341">
        <f>HYPERLINK("https://www.walmart.com/ip/165809833", "165809833")</f>
        <v/>
      </c>
      <c r="B2341" t="inlineStr">
        <is>
          <t>Ski Gloves for Women &amp; Men 3M Winter Snow Gloves Mittens Insulation Waterproof for Outdoors Sports</t>
        </is>
      </c>
      <c r="C2341" t="inlineStr">
        <is>
          <t>1SLWG100BKL</t>
        </is>
      </c>
      <c r="D2341" t="inlineStr">
        <is>
          <t>Gloves &amp; Mittens</t>
        </is>
      </c>
      <c r="E2341" t="inlineStr">
        <is>
          <t>Solaris</t>
        </is>
      </c>
      <c r="F2341" t="inlineStr">
        <is>
          <t>Gloves,WFS,WFS Item</t>
        </is>
      </c>
      <c r="G2341" s="48" t="n">
        <v>0</v>
      </c>
      <c r="H2341" s="48" t="n">
        <v>0</v>
      </c>
      <c r="I2341" s="48" t="n">
        <v>0</v>
      </c>
      <c r="J2341" s="48" t="n">
        <v>0</v>
      </c>
      <c r="K2341" s="49" t="n">
        <v>0</v>
      </c>
      <c r="L2341" s="49" t="n">
        <v>0</v>
      </c>
      <c r="M2341" s="49" t="n">
        <v>0</v>
      </c>
      <c r="N2341" s="49" t="n">
        <v>0</v>
      </c>
      <c r="O2341" s="49" t="n">
        <v>0</v>
      </c>
      <c r="P2341" s="49" t="n">
        <v>0</v>
      </c>
      <c r="Q2341" s="49" t="n">
        <v>0</v>
      </c>
      <c r="R2341" s="49" t="n">
        <v>0</v>
      </c>
      <c r="S2341" s="50" t="n">
        <v>0</v>
      </c>
      <c r="T2341" s="50" t="n">
        <v>0</v>
      </c>
      <c r="U2341" s="50" t="n">
        <v>0</v>
      </c>
      <c r="V2341" s="50" t="n">
        <v>0</v>
      </c>
      <c r="W2341" s="51" t="n">
        <v>0</v>
      </c>
      <c r="X2341" s="51" t="n">
        <v>0</v>
      </c>
      <c r="Y2341" s="51" t="n">
        <v>0</v>
      </c>
      <c r="Z2341" s="51" t="n">
        <v>0</v>
      </c>
      <c r="AA2341" s="52" t="n">
        <v>0</v>
      </c>
      <c r="AB2341" s="52" t="n">
        <v>0</v>
      </c>
      <c r="AC2341" s="52" t="n">
        <v>0</v>
      </c>
      <c r="AD2341" s="52" t="n">
        <v>0</v>
      </c>
      <c r="AE2341" s="52" t="n">
        <v>0</v>
      </c>
      <c r="AF2341" s="52" t="n">
        <v>0</v>
      </c>
      <c r="AG2341" s="52" t="n">
        <v>0</v>
      </c>
      <c r="AH2341" s="52" t="n">
        <v>0</v>
      </c>
      <c r="AI2341" s="52" t="n">
        <v>0</v>
      </c>
      <c r="AJ2341" s="52" t="n">
        <v>0</v>
      </c>
      <c r="AK2341" s="52" t="n">
        <v>0</v>
      </c>
      <c r="AL2341" s="52" t="n">
        <v>0</v>
      </c>
      <c r="AM2341" s="53" t="n">
        <v>0</v>
      </c>
      <c r="AN2341" s="53" t="n">
        <v>0</v>
      </c>
      <c r="AO2341" s="53" t="n">
        <v>0</v>
      </c>
      <c r="AP2341" s="53" t="n">
        <v>0</v>
      </c>
      <c r="AQ2341" s="52" t="n">
        <v>0</v>
      </c>
      <c r="AR2341" s="52" t="n">
        <v>0</v>
      </c>
      <c r="AS2341" s="52" t="n">
        <v>0</v>
      </c>
      <c r="AT2341" s="52" t="n">
        <v>0</v>
      </c>
      <c r="AU2341" s="53" t="n">
        <v>0</v>
      </c>
      <c r="AV2341" s="53" t="n">
        <v>0</v>
      </c>
      <c r="AW2341" s="53" t="n">
        <v>0</v>
      </c>
      <c r="AX2341" s="53" t="n">
        <v>0</v>
      </c>
      <c r="AY2341" s="52" t="n">
        <v>0</v>
      </c>
      <c r="AZ2341" s="52" t="n">
        <v>0</v>
      </c>
      <c r="BA2341" s="52" t="n">
        <v>0</v>
      </c>
      <c r="BB2341" s="52" t="n">
        <v>0</v>
      </c>
      <c r="BC2341" s="51" t="n">
        <v>0</v>
      </c>
      <c r="BD2341" s="51" t="n">
        <v>0</v>
      </c>
      <c r="BE2341" s="51" t="n">
        <v>0</v>
      </c>
      <c r="BF2341" s="51" t="n">
        <v>0</v>
      </c>
    </row>
    <row r="2342">
      <c r="A2342">
        <f>HYPERLINK("https://www.walmart.com/ip/165819314", "165819314")</f>
        <v/>
      </c>
      <c r="B2342" t="inlineStr">
        <is>
          <t>KC Caps® Cotton Twill Deluxe Super Soft Mesh Adjustable Snapback Low Profile Trucker Baseball Cap</t>
        </is>
      </c>
      <c r="C2342" t="inlineStr">
        <is>
          <t>KCCAPSSZK641RD/ST</t>
        </is>
      </c>
      <c r="D2342" t="inlineStr">
        <is>
          <t>Hats</t>
        </is>
      </c>
      <c r="E2342" t="inlineStr">
        <is>
          <t>KC Caps</t>
        </is>
      </c>
      <c r="F2342" t="inlineStr">
        <is>
          <t>Optimized</t>
        </is>
      </c>
      <c r="G2342" s="48" t="n">
        <v>0</v>
      </c>
      <c r="H2342" s="48" t="n">
        <v>0</v>
      </c>
      <c r="I2342" s="48" t="n">
        <v>0</v>
      </c>
      <c r="J2342" s="48" t="n">
        <v>0</v>
      </c>
      <c r="K2342" s="49" t="n">
        <v>0</v>
      </c>
      <c r="L2342" s="49" t="n">
        <v>0</v>
      </c>
      <c r="M2342" s="49" t="n">
        <v>0</v>
      </c>
      <c r="N2342" s="49" t="n">
        <v>0</v>
      </c>
      <c r="O2342" s="49" t="n">
        <v>0</v>
      </c>
      <c r="P2342" s="49" t="n">
        <v>0</v>
      </c>
      <c r="Q2342" s="49" t="n">
        <v>0</v>
      </c>
      <c r="R2342" s="49" t="n">
        <v>0</v>
      </c>
      <c r="S2342" s="50" t="n">
        <v>0</v>
      </c>
      <c r="T2342" s="50" t="n">
        <v>0</v>
      </c>
      <c r="U2342" s="50" t="n">
        <v>0</v>
      </c>
      <c r="V2342" s="50" t="n">
        <v>0</v>
      </c>
      <c r="W2342" s="51" t="n">
        <v>0</v>
      </c>
      <c r="X2342" s="51" t="n">
        <v>0</v>
      </c>
      <c r="Y2342" s="51" t="n">
        <v>0</v>
      </c>
      <c r="Z2342" s="51" t="n">
        <v>0</v>
      </c>
      <c r="AA2342" s="52" t="n">
        <v>0</v>
      </c>
      <c r="AB2342" s="52" t="n">
        <v>0</v>
      </c>
      <c r="AC2342" s="52" t="n">
        <v>0</v>
      </c>
      <c r="AD2342" s="52" t="n">
        <v>0</v>
      </c>
      <c r="AE2342" s="52" t="n">
        <v>0</v>
      </c>
      <c r="AF2342" s="52" t="n">
        <v>0</v>
      </c>
      <c r="AG2342" s="52" t="n">
        <v>0</v>
      </c>
      <c r="AH2342" s="52" t="n">
        <v>0</v>
      </c>
      <c r="AI2342" s="52" t="n">
        <v>0</v>
      </c>
      <c r="AJ2342" s="52" t="n">
        <v>0</v>
      </c>
      <c r="AK2342" s="52" t="n">
        <v>0</v>
      </c>
      <c r="AL2342" s="52" t="n">
        <v>0</v>
      </c>
      <c r="AM2342" s="53" t="n">
        <v>0</v>
      </c>
      <c r="AN2342" s="53" t="n">
        <v>0</v>
      </c>
      <c r="AO2342" s="53" t="n">
        <v>0</v>
      </c>
      <c r="AP2342" s="53" t="n">
        <v>0</v>
      </c>
      <c r="AQ2342" s="52" t="n">
        <v>0</v>
      </c>
      <c r="AR2342" s="52" t="n">
        <v>0</v>
      </c>
      <c r="AS2342" s="52" t="n">
        <v>0</v>
      </c>
      <c r="AT2342" s="52" t="n">
        <v>0</v>
      </c>
      <c r="AU2342" s="53" t="n">
        <v>0</v>
      </c>
      <c r="AV2342" s="53" t="n">
        <v>0</v>
      </c>
      <c r="AW2342" s="53" t="n">
        <v>0</v>
      </c>
      <c r="AX2342" s="53" t="n">
        <v>0</v>
      </c>
      <c r="AY2342" s="52" t="n">
        <v>0</v>
      </c>
      <c r="AZ2342" s="52" t="n">
        <v>0</v>
      </c>
      <c r="BA2342" s="52" t="n">
        <v>0</v>
      </c>
      <c r="BB2342" s="52" t="n">
        <v>0</v>
      </c>
      <c r="BC2342" s="51" t="n">
        <v>0</v>
      </c>
      <c r="BD2342" s="51" t="n">
        <v>0</v>
      </c>
      <c r="BE2342" s="51" t="n">
        <v>0</v>
      </c>
      <c r="BF2342" s="51" t="n">
        <v>0</v>
      </c>
    </row>
    <row r="2343">
      <c r="A2343">
        <f>HYPERLINK("https://www.walmart.com/ip/1658328113", "1658328113")</f>
        <v/>
      </c>
      <c r="B2343" t="inlineStr">
        <is>
          <t>Catalonia Knitted Throw Blanket for Bed,Sofa,Living Room,All Seasons Cozy Leisure Acrylic Lightweight Decorative Blanket with Fringe,Machine Washable,60×80 inches,Grey</t>
        </is>
      </c>
      <c r="C2343" t="inlineStr">
        <is>
          <t>1CTBN610GY</t>
        </is>
      </c>
      <c r="D2343" t="inlineStr">
        <is>
          <t>Throws</t>
        </is>
      </c>
      <c r="E2343" t="inlineStr">
        <is>
          <t>Catalonia</t>
        </is>
      </c>
      <c r="F2343" t="inlineStr">
        <is>
          <t>Batch 1 - TR</t>
        </is>
      </c>
      <c r="G2343" s="48" t="n">
        <v>0</v>
      </c>
      <c r="H2343" s="48" t="n">
        <v>0</v>
      </c>
      <c r="I2343" s="48" t="n">
        <v>0</v>
      </c>
      <c r="J2343" s="48" t="n">
        <v>0</v>
      </c>
      <c r="K2343" s="49" t="n">
        <v>0</v>
      </c>
      <c r="L2343" s="49" t="n">
        <v>0</v>
      </c>
      <c r="M2343" s="49" t="n">
        <v>0</v>
      </c>
      <c r="N2343" s="49" t="n">
        <v>0</v>
      </c>
      <c r="O2343" s="49" t="n">
        <v>0</v>
      </c>
      <c r="P2343" s="49" t="n">
        <v>0</v>
      </c>
      <c r="Q2343" s="49" t="n">
        <v>0</v>
      </c>
      <c r="R2343" s="49" t="n">
        <v>0</v>
      </c>
      <c r="S2343" s="50" t="n">
        <v>0</v>
      </c>
      <c r="T2343" s="50" t="n">
        <v>0</v>
      </c>
      <c r="U2343" s="50" t="n">
        <v>0</v>
      </c>
      <c r="V2343" s="50" t="n">
        <v>0</v>
      </c>
      <c r="W2343" s="51" t="n">
        <v>0</v>
      </c>
      <c r="X2343" s="51" t="n">
        <v>0</v>
      </c>
      <c r="Y2343" s="51" t="n">
        <v>0</v>
      </c>
      <c r="Z2343" s="51" t="n">
        <v>0</v>
      </c>
      <c r="AA2343" s="52" t="n">
        <v>0</v>
      </c>
      <c r="AB2343" s="52" t="n">
        <v>0</v>
      </c>
      <c r="AC2343" s="52" t="n">
        <v>0</v>
      </c>
      <c r="AD2343" s="52" t="n">
        <v>0</v>
      </c>
      <c r="AE2343" s="52" t="n">
        <v>0</v>
      </c>
      <c r="AF2343" s="52" t="n">
        <v>0</v>
      </c>
      <c r="AG2343" s="52" t="n">
        <v>0</v>
      </c>
      <c r="AH2343" s="52" t="n">
        <v>0</v>
      </c>
      <c r="AI2343" s="52" t="n">
        <v>0</v>
      </c>
      <c r="AJ2343" s="52" t="n">
        <v>0</v>
      </c>
      <c r="AK2343" s="52" t="n">
        <v>0</v>
      </c>
      <c r="AL2343" s="52" t="n">
        <v>0</v>
      </c>
      <c r="AM2343" s="53" t="n">
        <v>0</v>
      </c>
      <c r="AN2343" s="53" t="n">
        <v>0</v>
      </c>
      <c r="AO2343" s="53" t="n">
        <v>0</v>
      </c>
      <c r="AP2343" s="53" t="n">
        <v>0</v>
      </c>
      <c r="AQ2343" s="52" t="n">
        <v>0</v>
      </c>
      <c r="AR2343" s="52" t="n">
        <v>0</v>
      </c>
      <c r="AS2343" s="52" t="n">
        <v>0</v>
      </c>
      <c r="AT2343" s="52" t="n">
        <v>0</v>
      </c>
      <c r="AU2343" s="53" t="n">
        <v>0</v>
      </c>
      <c r="AV2343" s="53" t="n">
        <v>0</v>
      </c>
      <c r="AW2343" s="53" t="n">
        <v>0</v>
      </c>
      <c r="AX2343" s="53" t="n">
        <v>0</v>
      </c>
      <c r="AY2343" s="52" t="n">
        <v>0</v>
      </c>
      <c r="AZ2343" s="52" t="n">
        <v>0</v>
      </c>
      <c r="BA2343" s="52" t="n">
        <v>0</v>
      </c>
      <c r="BB2343" s="52" t="n">
        <v>0</v>
      </c>
      <c r="BC2343" s="51" t="n">
        <v>0</v>
      </c>
      <c r="BD2343" s="51" t="n">
        <v>0</v>
      </c>
      <c r="BE2343" s="51" t="n">
        <v>0</v>
      </c>
      <c r="BF2343" s="51" t="n">
        <v>0</v>
      </c>
    </row>
    <row r="2344">
      <c r="A2344">
        <f>HYPERLINK("https://www.walmart.com/ip/165991960", "165991960")</f>
        <v/>
      </c>
      <c r="B2344" t="inlineStr">
        <is>
          <t>KC Caps Army Style Surplus Beanie Cap</t>
        </is>
      </c>
      <c r="C2344" t="inlineStr">
        <is>
          <t>KCW1721NV</t>
        </is>
      </c>
      <c r="D2344" t="inlineStr">
        <is>
          <t>Hats</t>
        </is>
      </c>
      <c r="E2344" t="inlineStr">
        <is>
          <t>KC Caps</t>
        </is>
      </c>
      <c r="F2344" t="inlineStr">
        <is>
          <t>Batch 1 - TR</t>
        </is>
      </c>
      <c r="G2344" s="48" t="n">
        <v>0</v>
      </c>
      <c r="H2344" s="48" t="n">
        <v>0</v>
      </c>
      <c r="I2344" s="48" t="n">
        <v>0</v>
      </c>
      <c r="J2344" s="48" t="n">
        <v>0</v>
      </c>
      <c r="K2344" s="49" t="n">
        <v>0</v>
      </c>
      <c r="L2344" s="49" t="n">
        <v>0</v>
      </c>
      <c r="M2344" s="49" t="n">
        <v>0</v>
      </c>
      <c r="N2344" s="49" t="n">
        <v>0</v>
      </c>
      <c r="O2344" s="49" t="n">
        <v>0</v>
      </c>
      <c r="P2344" s="49" t="n">
        <v>0</v>
      </c>
      <c r="Q2344" s="49" t="n">
        <v>0</v>
      </c>
      <c r="R2344" s="49" t="n">
        <v>0</v>
      </c>
      <c r="S2344" s="50" t="n">
        <v>0</v>
      </c>
      <c r="T2344" s="50" t="n">
        <v>0</v>
      </c>
      <c r="U2344" s="50" t="n">
        <v>0</v>
      </c>
      <c r="V2344" s="50" t="n">
        <v>0</v>
      </c>
      <c r="W2344" s="51" t="n">
        <v>0</v>
      </c>
      <c r="X2344" s="51" t="n">
        <v>0</v>
      </c>
      <c r="Y2344" s="51" t="n">
        <v>0</v>
      </c>
      <c r="Z2344" s="51" t="n">
        <v>0</v>
      </c>
      <c r="AA2344" s="52" t="n">
        <v>0</v>
      </c>
      <c r="AB2344" s="52" t="n">
        <v>0</v>
      </c>
      <c r="AC2344" s="52" t="n">
        <v>0</v>
      </c>
      <c r="AD2344" s="52" t="n">
        <v>0</v>
      </c>
      <c r="AE2344" s="52" t="n">
        <v>0</v>
      </c>
      <c r="AF2344" s="52" t="n">
        <v>0</v>
      </c>
      <c r="AG2344" s="52" t="n">
        <v>0</v>
      </c>
      <c r="AH2344" s="52" t="n">
        <v>0</v>
      </c>
      <c r="AI2344" s="52" t="n">
        <v>0</v>
      </c>
      <c r="AJ2344" s="52" t="n">
        <v>0</v>
      </c>
      <c r="AK2344" s="52" t="n">
        <v>0</v>
      </c>
      <c r="AL2344" s="52" t="n">
        <v>0</v>
      </c>
      <c r="AM2344" s="53" t="n">
        <v>0</v>
      </c>
      <c r="AN2344" s="53" t="n">
        <v>0</v>
      </c>
      <c r="AO2344" s="53" t="n">
        <v>0</v>
      </c>
      <c r="AP2344" s="53" t="n">
        <v>0</v>
      </c>
      <c r="AQ2344" s="52" t="n">
        <v>0</v>
      </c>
      <c r="AR2344" s="52" t="n">
        <v>0</v>
      </c>
      <c r="AS2344" s="52" t="n">
        <v>0</v>
      </c>
      <c r="AT2344" s="52" t="n">
        <v>0</v>
      </c>
      <c r="AU2344" s="53" t="n">
        <v>0</v>
      </c>
      <c r="AV2344" s="53" t="n">
        <v>0</v>
      </c>
      <c r="AW2344" s="53" t="n">
        <v>0</v>
      </c>
      <c r="AX2344" s="53" t="n">
        <v>0</v>
      </c>
      <c r="AY2344" s="52" t="n">
        <v>0</v>
      </c>
      <c r="AZ2344" s="52" t="n">
        <v>0</v>
      </c>
      <c r="BA2344" s="52" t="n">
        <v>0</v>
      </c>
      <c r="BB2344" s="52" t="n">
        <v>0</v>
      </c>
      <c r="BC2344" s="51" t="n">
        <v>0</v>
      </c>
      <c r="BD2344" s="51" t="n">
        <v>0</v>
      </c>
      <c r="BE2344" s="51" t="n">
        <v>0</v>
      </c>
      <c r="BF2344" s="51" t="n">
        <v>0</v>
      </c>
    </row>
    <row r="2345">
      <c r="A2345">
        <f>HYPERLINK("https://www.walmart.com/ip/166213689", "166213689")</f>
        <v/>
      </c>
      <c r="B2345" t="inlineStr">
        <is>
          <t>Tirrinia Insulated 2 Bottle Wine Carrier Tote Cooler Bag for Travel Picnic Padded Champagne Glass</t>
        </is>
      </c>
      <c r="C2345" t="inlineStr">
        <is>
          <t>1WMWB231RD</t>
        </is>
      </c>
      <c r="D2345" t="inlineStr">
        <is>
          <t>Wine Totes, Bags &amp; Backpacks</t>
        </is>
      </c>
      <c r="E2345" t="inlineStr">
        <is>
          <t>Flyingstar</t>
        </is>
      </c>
      <c r="F2345" t="inlineStr">
        <is>
          <t>Wine,Christmas,Valentine,SEM</t>
        </is>
      </c>
      <c r="G2345" s="48" t="n">
        <v>0</v>
      </c>
      <c r="H2345" s="48" t="n">
        <v>0</v>
      </c>
      <c r="I2345" s="48" t="n">
        <v>0</v>
      </c>
      <c r="J2345" s="48" t="n">
        <v>0</v>
      </c>
      <c r="K2345" s="49" t="n">
        <v>0</v>
      </c>
      <c r="L2345" s="49" t="n">
        <v>0</v>
      </c>
      <c r="M2345" s="49" t="n">
        <v>0</v>
      </c>
      <c r="N2345" s="49" t="n">
        <v>0</v>
      </c>
      <c r="O2345" s="49" t="n">
        <v>0</v>
      </c>
      <c r="P2345" s="49" t="n">
        <v>0</v>
      </c>
      <c r="Q2345" s="49" t="n">
        <v>0</v>
      </c>
      <c r="R2345" s="49" t="n">
        <v>0</v>
      </c>
      <c r="S2345" s="50" t="n">
        <v>0</v>
      </c>
      <c r="T2345" s="50" t="n">
        <v>0</v>
      </c>
      <c r="U2345" s="50" t="n">
        <v>0</v>
      </c>
      <c r="V2345" s="50" t="n">
        <v>0</v>
      </c>
      <c r="W2345" s="51" t="n">
        <v>0</v>
      </c>
      <c r="X2345" s="51" t="n">
        <v>0</v>
      </c>
      <c r="Y2345" s="51" t="n">
        <v>0</v>
      </c>
      <c r="Z2345" s="51" t="n">
        <v>0</v>
      </c>
      <c r="AA2345" s="52" t="n">
        <v>0</v>
      </c>
      <c r="AB2345" s="52" t="n">
        <v>0</v>
      </c>
      <c r="AC2345" s="52" t="n">
        <v>0</v>
      </c>
      <c r="AD2345" s="52" t="n">
        <v>0</v>
      </c>
      <c r="AE2345" s="52" t="n">
        <v>0</v>
      </c>
      <c r="AF2345" s="52" t="n">
        <v>0</v>
      </c>
      <c r="AG2345" s="52" t="n">
        <v>0</v>
      </c>
      <c r="AH2345" s="52" t="n">
        <v>0</v>
      </c>
      <c r="AI2345" s="52" t="n">
        <v>0</v>
      </c>
      <c r="AJ2345" s="52" t="n">
        <v>0</v>
      </c>
      <c r="AK2345" s="52" t="n">
        <v>0</v>
      </c>
      <c r="AL2345" s="52" t="n">
        <v>0</v>
      </c>
      <c r="AM2345" s="53" t="n">
        <v>0</v>
      </c>
      <c r="AN2345" s="53" t="n">
        <v>0</v>
      </c>
      <c r="AO2345" s="53" t="n">
        <v>0</v>
      </c>
      <c r="AP2345" s="53" t="n">
        <v>0</v>
      </c>
      <c r="AQ2345" s="52" t="n">
        <v>0</v>
      </c>
      <c r="AR2345" s="52" t="n">
        <v>0</v>
      </c>
      <c r="AS2345" s="52" t="n">
        <v>0</v>
      </c>
      <c r="AT2345" s="52" t="n">
        <v>0</v>
      </c>
      <c r="AU2345" s="53" t="n">
        <v>0</v>
      </c>
      <c r="AV2345" s="53" t="n">
        <v>0</v>
      </c>
      <c r="AW2345" s="53" t="n">
        <v>0</v>
      </c>
      <c r="AX2345" s="53" t="n">
        <v>0</v>
      </c>
      <c r="AY2345" s="52" t="n">
        <v>0</v>
      </c>
      <c r="AZ2345" s="52" t="n">
        <v>0</v>
      </c>
      <c r="BA2345" s="52" t="n">
        <v>0</v>
      </c>
      <c r="BB2345" s="52" t="n">
        <v>0</v>
      </c>
      <c r="BC2345" s="51" t="n">
        <v>0</v>
      </c>
      <c r="BD2345" s="51" t="n">
        <v>0</v>
      </c>
      <c r="BE2345" s="51" t="n">
        <v>0</v>
      </c>
      <c r="BF2345" s="51" t="n">
        <v>0</v>
      </c>
    </row>
    <row r="2346">
      <c r="A2346">
        <f>HYPERLINK("https://www.walmart.com/ip/164015863", "164015863")</f>
        <v/>
      </c>
      <c r="B2346" t="inlineStr">
        <is>
          <t>Safari Outdoor Fishing Hiking Hunting Boating Large Bill Sun Unisex Hat with Neck Flap by Sun Blocker</t>
        </is>
      </c>
      <c r="C2346" t="inlineStr">
        <is>
          <t>kc-s9150-digign</t>
        </is>
      </c>
      <c r="D2346" t="inlineStr">
        <is>
          <t>Hats</t>
        </is>
      </c>
      <c r="E2346" t="inlineStr">
        <is>
          <t>Sun Blocker</t>
        </is>
      </c>
      <c r="F2346" t="inlineStr">
        <is>
          <t>Optimized,ST Patrick Day</t>
        </is>
      </c>
      <c r="G2346" s="48" t="n">
        <v>0</v>
      </c>
      <c r="H2346" s="48" t="n">
        <v>0</v>
      </c>
      <c r="I2346" s="48" t="n">
        <v>0</v>
      </c>
      <c r="J2346" s="48" t="n">
        <v>0</v>
      </c>
      <c r="K2346" s="49" t="n">
        <v>0</v>
      </c>
      <c r="L2346" s="49" t="n">
        <v>0</v>
      </c>
      <c r="M2346" s="49" t="n">
        <v>0</v>
      </c>
      <c r="N2346" s="49" t="n">
        <v>0</v>
      </c>
      <c r="O2346" s="49" t="n">
        <v>0</v>
      </c>
      <c r="P2346" s="49" t="n">
        <v>0</v>
      </c>
      <c r="Q2346" s="49" t="n">
        <v>0</v>
      </c>
      <c r="R2346" s="49" t="n">
        <v>0</v>
      </c>
      <c r="S2346" s="50" t="n">
        <v>0</v>
      </c>
      <c r="T2346" s="50" t="n">
        <v>0</v>
      </c>
      <c r="U2346" s="50" t="n">
        <v>0</v>
      </c>
      <c r="V2346" s="50" t="n">
        <v>0</v>
      </c>
      <c r="W2346" s="51" t="n">
        <v>0</v>
      </c>
      <c r="X2346" s="51" t="n">
        <v>0</v>
      </c>
      <c r="Y2346" s="51" t="n">
        <v>0</v>
      </c>
      <c r="Z2346" s="51" t="n">
        <v>0</v>
      </c>
      <c r="AA2346" s="52" t="n">
        <v>0</v>
      </c>
      <c r="AB2346" s="52" t="n">
        <v>0</v>
      </c>
      <c r="AC2346" s="52" t="n">
        <v>0</v>
      </c>
      <c r="AD2346" s="52" t="n">
        <v>0</v>
      </c>
      <c r="AE2346" s="52" t="n">
        <v>0</v>
      </c>
      <c r="AF2346" s="52" t="n">
        <v>0</v>
      </c>
      <c r="AG2346" s="52" t="n">
        <v>0</v>
      </c>
      <c r="AH2346" s="52" t="n">
        <v>0</v>
      </c>
      <c r="AI2346" s="52" t="n">
        <v>0</v>
      </c>
      <c r="AJ2346" s="52" t="n">
        <v>0</v>
      </c>
      <c r="AK2346" s="52" t="n">
        <v>0</v>
      </c>
      <c r="AL2346" s="52" t="n">
        <v>0</v>
      </c>
      <c r="AM2346" s="53" t="n">
        <v>0</v>
      </c>
      <c r="AN2346" s="53" t="n">
        <v>0</v>
      </c>
      <c r="AO2346" s="53" t="n">
        <v>0</v>
      </c>
      <c r="AP2346" s="53" t="n">
        <v>0</v>
      </c>
      <c r="AQ2346" s="52" t="n">
        <v>0</v>
      </c>
      <c r="AR2346" s="52" t="n">
        <v>0</v>
      </c>
      <c r="AS2346" s="52" t="n">
        <v>0</v>
      </c>
      <c r="AT2346" s="52" t="n">
        <v>0</v>
      </c>
      <c r="AU2346" s="53" t="n">
        <v>0</v>
      </c>
      <c r="AV2346" s="53" t="n">
        <v>0</v>
      </c>
      <c r="AW2346" s="53" t="n">
        <v>0</v>
      </c>
      <c r="AX2346" s="53" t="n">
        <v>0</v>
      </c>
      <c r="AY2346" s="52" t="n">
        <v>0</v>
      </c>
      <c r="AZ2346" s="52" t="n">
        <v>0</v>
      </c>
      <c r="BA2346" s="52" t="n">
        <v>0</v>
      </c>
      <c r="BB2346" s="52" t="n">
        <v>0</v>
      </c>
      <c r="BC2346" s="51" t="n">
        <v>0</v>
      </c>
      <c r="BD2346" s="51" t="n">
        <v>0</v>
      </c>
      <c r="BE2346" s="51" t="n">
        <v>0</v>
      </c>
      <c r="BF2346" s="51" t="n">
        <v>0</v>
      </c>
    </row>
    <row r="2347">
      <c r="A2347">
        <f>HYPERLINK("https://www.walmart.com/ip/16401165328", "16401165328")</f>
        <v/>
      </c>
      <c r="B2347" t="inlineStr">
        <is>
          <t>Catalonia Lightweight Ladies Bathrobe, Long Summer Robe with Pockets,Soft Summer Robes for Women, Kimono Gift for Her, Blue</t>
        </is>
      </c>
      <c r="C2347" t="inlineStr">
        <is>
          <t>1CTRB504BL-2</t>
        </is>
      </c>
      <c r="D2347" t="inlineStr">
        <is>
          <t>Sleepwear Robes &amp; Bathrobes</t>
        </is>
      </c>
      <c r="E2347" t="inlineStr">
        <is>
          <t>Catalonia</t>
        </is>
      </c>
      <c r="G2347" s="48" t="n">
        <v>0</v>
      </c>
      <c r="H2347" s="48" t="n">
        <v>0</v>
      </c>
      <c r="I2347" s="48" t="n">
        <v>0</v>
      </c>
      <c r="J2347" s="48" t="n">
        <v>0</v>
      </c>
      <c r="K2347" s="49" t="n">
        <v>0</v>
      </c>
      <c r="L2347" s="49" t="n">
        <v>0</v>
      </c>
      <c r="M2347" s="49" t="n">
        <v>0</v>
      </c>
      <c r="N2347" s="49" t="n">
        <v>0</v>
      </c>
      <c r="O2347" s="49" t="n">
        <v>0</v>
      </c>
      <c r="P2347" s="49" t="n">
        <v>0</v>
      </c>
      <c r="Q2347" s="49" t="n">
        <v>0</v>
      </c>
      <c r="R2347" s="49" t="n">
        <v>0</v>
      </c>
      <c r="S2347" s="50" t="n">
        <v>0</v>
      </c>
      <c r="T2347" s="50" t="n">
        <v>0</v>
      </c>
      <c r="U2347" s="50" t="n">
        <v>0</v>
      </c>
      <c r="V2347" s="50" t="n">
        <v>0</v>
      </c>
      <c r="W2347" s="51" t="n">
        <v>0</v>
      </c>
      <c r="X2347" s="51" t="n">
        <v>0</v>
      </c>
      <c r="Y2347" s="51" t="n">
        <v>0</v>
      </c>
      <c r="Z2347" s="51" t="n">
        <v>0</v>
      </c>
      <c r="AA2347" s="52" t="n">
        <v>0</v>
      </c>
      <c r="AB2347" s="52" t="n">
        <v>0</v>
      </c>
      <c r="AC2347" s="52" t="n">
        <v>0</v>
      </c>
      <c r="AD2347" s="52" t="n">
        <v>0</v>
      </c>
      <c r="AE2347" s="52" t="n">
        <v>0</v>
      </c>
      <c r="AF2347" s="52" t="n">
        <v>0</v>
      </c>
      <c r="AG2347" s="52" t="n">
        <v>0</v>
      </c>
      <c r="AH2347" s="52" t="n">
        <v>0</v>
      </c>
      <c r="AI2347" s="52" t="n">
        <v>0</v>
      </c>
      <c r="AJ2347" s="52" t="n">
        <v>0</v>
      </c>
      <c r="AK2347" s="52" t="n">
        <v>0</v>
      </c>
      <c r="AL2347" s="52" t="n">
        <v>0</v>
      </c>
      <c r="AM2347" s="53" t="n">
        <v>0</v>
      </c>
      <c r="AN2347" s="53" t="n">
        <v>0</v>
      </c>
      <c r="AO2347" s="53" t="n">
        <v>0</v>
      </c>
      <c r="AP2347" s="53" t="n">
        <v>0</v>
      </c>
      <c r="AQ2347" s="52" t="n">
        <v>0</v>
      </c>
      <c r="AR2347" s="52" t="n">
        <v>0</v>
      </c>
      <c r="AS2347" s="52" t="n">
        <v>0</v>
      </c>
      <c r="AT2347" s="52" t="n">
        <v>0</v>
      </c>
      <c r="AU2347" s="53" t="n">
        <v>0</v>
      </c>
      <c r="AV2347" s="53" t="n">
        <v>0</v>
      </c>
      <c r="AW2347" s="53" t="n">
        <v>0</v>
      </c>
      <c r="AX2347" s="53" t="n">
        <v>0</v>
      </c>
      <c r="AY2347" s="52" t="n">
        <v>0</v>
      </c>
      <c r="AZ2347" s="52" t="n">
        <v>0</v>
      </c>
      <c r="BA2347" s="52" t="n">
        <v>0</v>
      </c>
      <c r="BB2347" s="52" t="n">
        <v>0</v>
      </c>
      <c r="BC2347" s="51" t="n">
        <v>0</v>
      </c>
      <c r="BD2347" s="51" t="n">
        <v>0</v>
      </c>
      <c r="BE2347" s="51" t="n">
        <v>0</v>
      </c>
      <c r="BF2347" s="51" t="n">
        <v>0</v>
      </c>
    </row>
    <row r="2348">
      <c r="A2348">
        <f>HYPERLINK("https://www.walmart.com/ip/16401165327", "16401165327")</f>
        <v/>
      </c>
      <c r="B2348" t="inlineStr">
        <is>
          <t>Catalonia Lightweight Ladies Bathrobe, Long Summer Robe with Pockets,Soft Summer Robes for Women, Kimono Gift for Her, White</t>
        </is>
      </c>
      <c r="C2348" t="inlineStr">
        <is>
          <t>1CTRB504WT-3</t>
        </is>
      </c>
      <c r="D2348" t="inlineStr">
        <is>
          <t>Sleepwear Robes &amp; Bathrobes</t>
        </is>
      </c>
      <c r="E2348" t="inlineStr">
        <is>
          <t>Catalonia</t>
        </is>
      </c>
      <c r="G2348" s="48" t="n">
        <v>0</v>
      </c>
      <c r="H2348" s="48" t="n">
        <v>0</v>
      </c>
      <c r="I2348" s="48" t="n">
        <v>0</v>
      </c>
      <c r="J2348" s="48" t="n">
        <v>0</v>
      </c>
      <c r="K2348" s="49" t="n">
        <v>0</v>
      </c>
      <c r="L2348" s="49" t="n">
        <v>0</v>
      </c>
      <c r="M2348" s="49" t="n">
        <v>0</v>
      </c>
      <c r="N2348" s="49" t="n">
        <v>0</v>
      </c>
      <c r="O2348" s="49" t="n">
        <v>0</v>
      </c>
      <c r="P2348" s="49" t="n">
        <v>0</v>
      </c>
      <c r="Q2348" s="49" t="n">
        <v>0</v>
      </c>
      <c r="R2348" s="49" t="n">
        <v>0</v>
      </c>
      <c r="S2348" s="50" t="n">
        <v>0</v>
      </c>
      <c r="T2348" s="50" t="n">
        <v>0</v>
      </c>
      <c r="U2348" s="50" t="n">
        <v>0</v>
      </c>
      <c r="V2348" s="50" t="n">
        <v>0</v>
      </c>
      <c r="W2348" s="51" t="n">
        <v>0</v>
      </c>
      <c r="X2348" s="51" t="n">
        <v>0</v>
      </c>
      <c r="Y2348" s="51" t="n">
        <v>0</v>
      </c>
      <c r="Z2348" s="51" t="n">
        <v>0</v>
      </c>
      <c r="AA2348" s="52" t="n">
        <v>0</v>
      </c>
      <c r="AB2348" s="52" t="n">
        <v>0</v>
      </c>
      <c r="AC2348" s="52" t="n">
        <v>0</v>
      </c>
      <c r="AD2348" s="52" t="n">
        <v>0</v>
      </c>
      <c r="AE2348" s="52" t="n">
        <v>0</v>
      </c>
      <c r="AF2348" s="52" t="n">
        <v>0</v>
      </c>
      <c r="AG2348" s="52" t="n">
        <v>0</v>
      </c>
      <c r="AH2348" s="52" t="n">
        <v>0</v>
      </c>
      <c r="AI2348" s="52" t="n">
        <v>0</v>
      </c>
      <c r="AJ2348" s="52" t="n">
        <v>0</v>
      </c>
      <c r="AK2348" s="52" t="n">
        <v>0</v>
      </c>
      <c r="AL2348" s="52" t="n">
        <v>0</v>
      </c>
      <c r="AM2348" s="53" t="n">
        <v>0</v>
      </c>
      <c r="AN2348" s="53" t="n">
        <v>0</v>
      </c>
      <c r="AO2348" s="53" t="n">
        <v>0</v>
      </c>
      <c r="AP2348" s="53" t="n">
        <v>0</v>
      </c>
      <c r="AQ2348" s="52" t="n">
        <v>0</v>
      </c>
      <c r="AR2348" s="52" t="n">
        <v>0</v>
      </c>
      <c r="AS2348" s="52" t="n">
        <v>0</v>
      </c>
      <c r="AT2348" s="52" t="n">
        <v>0</v>
      </c>
      <c r="AU2348" s="53" t="n">
        <v>0</v>
      </c>
      <c r="AV2348" s="53" t="n">
        <v>0</v>
      </c>
      <c r="AW2348" s="53" t="n">
        <v>0</v>
      </c>
      <c r="AX2348" s="53" t="n">
        <v>0</v>
      </c>
      <c r="AY2348" s="52" t="n">
        <v>0</v>
      </c>
      <c r="AZ2348" s="52" t="n">
        <v>0</v>
      </c>
      <c r="BA2348" s="52" t="n">
        <v>0</v>
      </c>
      <c r="BB2348" s="52" t="n">
        <v>0</v>
      </c>
      <c r="BC2348" s="51" t="n">
        <v>0</v>
      </c>
      <c r="BD2348" s="51" t="n">
        <v>0</v>
      </c>
      <c r="BE2348" s="51" t="n">
        <v>0</v>
      </c>
      <c r="BF2348" s="51" t="n">
        <v>0</v>
      </c>
    </row>
    <row r="2349">
      <c r="A2349">
        <f>HYPERLINK("https://www.walmart.com/ip/16376003259", "16376003259")</f>
        <v/>
      </c>
      <c r="B2349" t="inlineStr">
        <is>
          <t>Catalonia Lightweight Ladies Bathrobe, Long Summer Robe with Pockets,Soft Summer Robes for Women, Kimono Gift for Her, Black</t>
        </is>
      </c>
      <c r="C2349" t="inlineStr">
        <is>
          <t>1CTRB504BK-2</t>
        </is>
      </c>
      <c r="D2349" t="inlineStr">
        <is>
          <t>Sleepwear Robes &amp; Bathrobes</t>
        </is>
      </c>
      <c r="E2349" t="inlineStr">
        <is>
          <t>Catalonia</t>
        </is>
      </c>
      <c r="G2349" s="48" t="n">
        <v>0</v>
      </c>
      <c r="H2349" s="48" t="n">
        <v>0</v>
      </c>
      <c r="I2349" s="48" t="n">
        <v>0</v>
      </c>
      <c r="J2349" s="48" t="n">
        <v>0</v>
      </c>
      <c r="K2349" s="49" t="n">
        <v>0</v>
      </c>
      <c r="L2349" s="49" t="n">
        <v>0</v>
      </c>
      <c r="M2349" s="49" t="n">
        <v>0</v>
      </c>
      <c r="N2349" s="49" t="n">
        <v>0</v>
      </c>
      <c r="O2349" s="49" t="n">
        <v>0</v>
      </c>
      <c r="P2349" s="49" t="n">
        <v>0</v>
      </c>
      <c r="Q2349" s="49" t="n">
        <v>0</v>
      </c>
      <c r="R2349" s="49" t="n">
        <v>0</v>
      </c>
      <c r="S2349" s="50" t="n">
        <v>0</v>
      </c>
      <c r="T2349" s="50" t="n">
        <v>0</v>
      </c>
      <c r="U2349" s="50" t="n">
        <v>0</v>
      </c>
      <c r="V2349" s="50" t="n">
        <v>0</v>
      </c>
      <c r="W2349" s="51" t="n">
        <v>0</v>
      </c>
      <c r="X2349" s="51" t="n">
        <v>0</v>
      </c>
      <c r="Y2349" s="51" t="n">
        <v>0</v>
      </c>
      <c r="Z2349" s="51" t="n">
        <v>0</v>
      </c>
      <c r="AA2349" s="52" t="n">
        <v>0</v>
      </c>
      <c r="AB2349" s="52" t="n">
        <v>0</v>
      </c>
      <c r="AC2349" s="52" t="n">
        <v>0</v>
      </c>
      <c r="AD2349" s="52" t="n">
        <v>0</v>
      </c>
      <c r="AE2349" s="52" t="n">
        <v>0</v>
      </c>
      <c r="AF2349" s="52" t="n">
        <v>0</v>
      </c>
      <c r="AG2349" s="52" t="n">
        <v>0</v>
      </c>
      <c r="AH2349" s="52" t="n">
        <v>0</v>
      </c>
      <c r="AI2349" s="52" t="n">
        <v>0</v>
      </c>
      <c r="AJ2349" s="52" t="n">
        <v>0</v>
      </c>
      <c r="AK2349" s="52" t="n">
        <v>0</v>
      </c>
      <c r="AL2349" s="52" t="n">
        <v>0</v>
      </c>
      <c r="AM2349" s="53" t="n">
        <v>0</v>
      </c>
      <c r="AN2349" s="53" t="n">
        <v>0</v>
      </c>
      <c r="AO2349" s="53" t="n">
        <v>0</v>
      </c>
      <c r="AP2349" s="53" t="n">
        <v>0</v>
      </c>
      <c r="AQ2349" s="52" t="n">
        <v>0</v>
      </c>
      <c r="AR2349" s="52" t="n">
        <v>0</v>
      </c>
      <c r="AS2349" s="52" t="n">
        <v>0</v>
      </c>
      <c r="AT2349" s="52" t="n">
        <v>0</v>
      </c>
      <c r="AU2349" s="53" t="n">
        <v>0</v>
      </c>
      <c r="AV2349" s="53" t="n">
        <v>0</v>
      </c>
      <c r="AW2349" s="53" t="n">
        <v>0</v>
      </c>
      <c r="AX2349" s="53" t="n">
        <v>0</v>
      </c>
      <c r="AY2349" s="52" t="n">
        <v>0</v>
      </c>
      <c r="AZ2349" s="52" t="n">
        <v>0</v>
      </c>
      <c r="BA2349" s="52" t="n">
        <v>0</v>
      </c>
      <c r="BB2349" s="52" t="n">
        <v>0</v>
      </c>
      <c r="BC2349" s="51" t="n">
        <v>0</v>
      </c>
      <c r="BD2349" s="51" t="n">
        <v>0</v>
      </c>
      <c r="BE2349" s="51" t="n">
        <v>0</v>
      </c>
      <c r="BF2349" s="51" t="n">
        <v>0</v>
      </c>
    </row>
    <row r="2350">
      <c r="A2350">
        <f>HYPERLINK("https://www.walmart.com/ip/16353609304", "16353609304")</f>
        <v/>
      </c>
      <c r="B2350" t="inlineStr">
        <is>
          <t>Catalonia Lightweight Ladies Bathrobe, Long Summer Robe with Pockets,Soft Summer Robes for Women, Kimono Gift for Her, White</t>
        </is>
      </c>
      <c r="C2350" t="inlineStr">
        <is>
          <t>1CTRB504WT-2</t>
        </is>
      </c>
      <c r="D2350" t="inlineStr">
        <is>
          <t>Sleepwear Robes &amp; Bathrobes</t>
        </is>
      </c>
      <c r="E2350" t="inlineStr">
        <is>
          <t>Catalonia</t>
        </is>
      </c>
      <c r="G2350" s="48" t="n">
        <v>0</v>
      </c>
      <c r="H2350" s="48" t="n">
        <v>0</v>
      </c>
      <c r="I2350" s="48" t="n">
        <v>0</v>
      </c>
      <c r="J2350" s="48" t="n">
        <v>0</v>
      </c>
      <c r="K2350" s="49" t="n">
        <v>0</v>
      </c>
      <c r="L2350" s="49" t="n">
        <v>0</v>
      </c>
      <c r="M2350" s="49" t="n">
        <v>0</v>
      </c>
      <c r="N2350" s="49" t="n">
        <v>0</v>
      </c>
      <c r="O2350" s="49" t="n">
        <v>0</v>
      </c>
      <c r="P2350" s="49" t="n">
        <v>0</v>
      </c>
      <c r="Q2350" s="49" t="n">
        <v>0</v>
      </c>
      <c r="R2350" s="49" t="n">
        <v>0</v>
      </c>
      <c r="S2350" s="50" t="n">
        <v>0</v>
      </c>
      <c r="T2350" s="50" t="n">
        <v>0</v>
      </c>
      <c r="U2350" s="50" t="n">
        <v>0</v>
      </c>
      <c r="V2350" s="50" t="n">
        <v>0</v>
      </c>
      <c r="W2350" s="51" t="n">
        <v>0</v>
      </c>
      <c r="X2350" s="51" t="n">
        <v>0</v>
      </c>
      <c r="Y2350" s="51" t="n">
        <v>0</v>
      </c>
      <c r="Z2350" s="51" t="n">
        <v>0</v>
      </c>
      <c r="AA2350" s="52" t="n">
        <v>0</v>
      </c>
      <c r="AB2350" s="52" t="n">
        <v>0</v>
      </c>
      <c r="AC2350" s="52" t="n">
        <v>0</v>
      </c>
      <c r="AD2350" s="52" t="n">
        <v>0</v>
      </c>
      <c r="AE2350" s="52" t="n">
        <v>0</v>
      </c>
      <c r="AF2350" s="52" t="n">
        <v>0</v>
      </c>
      <c r="AG2350" s="52" t="n">
        <v>0</v>
      </c>
      <c r="AH2350" s="52" t="n">
        <v>0</v>
      </c>
      <c r="AI2350" s="52" t="n">
        <v>0</v>
      </c>
      <c r="AJ2350" s="52" t="n">
        <v>0</v>
      </c>
      <c r="AK2350" s="52" t="n">
        <v>0</v>
      </c>
      <c r="AL2350" s="52" t="n">
        <v>0</v>
      </c>
      <c r="AM2350" s="53" t="n">
        <v>0</v>
      </c>
      <c r="AN2350" s="53" t="n">
        <v>0</v>
      </c>
      <c r="AO2350" s="53" t="n">
        <v>0</v>
      </c>
      <c r="AP2350" s="53" t="n">
        <v>0</v>
      </c>
      <c r="AQ2350" s="52" t="n">
        <v>0</v>
      </c>
      <c r="AR2350" s="52" t="n">
        <v>0</v>
      </c>
      <c r="AS2350" s="52" t="n">
        <v>0</v>
      </c>
      <c r="AT2350" s="52" t="n">
        <v>0</v>
      </c>
      <c r="AU2350" s="53" t="n">
        <v>0</v>
      </c>
      <c r="AV2350" s="53" t="n">
        <v>0</v>
      </c>
      <c r="AW2350" s="53" t="n">
        <v>0</v>
      </c>
      <c r="AX2350" s="53" t="n">
        <v>0</v>
      </c>
      <c r="AY2350" s="52" t="n">
        <v>0</v>
      </c>
      <c r="AZ2350" s="52" t="n">
        <v>0</v>
      </c>
      <c r="BA2350" s="52" t="n">
        <v>0</v>
      </c>
      <c r="BB2350" s="52" t="n">
        <v>0</v>
      </c>
      <c r="BC2350" s="51" t="n">
        <v>0</v>
      </c>
      <c r="BD2350" s="51" t="n">
        <v>0</v>
      </c>
      <c r="BE2350" s="51" t="n">
        <v>0</v>
      </c>
      <c r="BF2350" s="51" t="n">
        <v>0</v>
      </c>
    </row>
    <row r="2351">
      <c r="A2351">
        <f>HYPERLINK("https://www.walmart.com/ip/16373417006", "16373417006")</f>
        <v/>
      </c>
      <c r="B2351" t="inlineStr">
        <is>
          <t>Catalonia Lightweight Ladies Bathrobe, Long Summer Robe with Pockets,Soft Summer Robes for Women, Kimono Gift for Her, Blue</t>
        </is>
      </c>
      <c r="C2351" t="inlineStr">
        <is>
          <t>1CTRB504BL-4</t>
        </is>
      </c>
      <c r="D2351" t="inlineStr">
        <is>
          <t>Sleepwear Robes &amp; Bathrobes</t>
        </is>
      </c>
      <c r="E2351" t="inlineStr">
        <is>
          <t>Catalonia</t>
        </is>
      </c>
      <c r="G2351" s="48" t="n">
        <v>0</v>
      </c>
      <c r="H2351" s="48" t="n">
        <v>0</v>
      </c>
      <c r="I2351" s="48" t="n">
        <v>0</v>
      </c>
      <c r="J2351" s="48" t="n">
        <v>0</v>
      </c>
      <c r="K2351" s="49" t="n">
        <v>0</v>
      </c>
      <c r="L2351" s="49" t="n">
        <v>0</v>
      </c>
      <c r="M2351" s="49" t="n">
        <v>0</v>
      </c>
      <c r="N2351" s="49" t="n">
        <v>0</v>
      </c>
      <c r="O2351" s="49" t="n">
        <v>0</v>
      </c>
      <c r="P2351" s="49" t="n">
        <v>0</v>
      </c>
      <c r="Q2351" s="49" t="n">
        <v>0</v>
      </c>
      <c r="R2351" s="49" t="n">
        <v>0</v>
      </c>
      <c r="S2351" s="50" t="n">
        <v>0</v>
      </c>
      <c r="T2351" s="50" t="n">
        <v>0</v>
      </c>
      <c r="U2351" s="50" t="n">
        <v>0</v>
      </c>
      <c r="V2351" s="50" t="n">
        <v>0</v>
      </c>
      <c r="W2351" s="51" t="n">
        <v>0</v>
      </c>
      <c r="X2351" s="51" t="n">
        <v>0</v>
      </c>
      <c r="Y2351" s="51" t="n">
        <v>0</v>
      </c>
      <c r="Z2351" s="51" t="n">
        <v>0</v>
      </c>
      <c r="AA2351" s="52" t="n">
        <v>0</v>
      </c>
      <c r="AB2351" s="52" t="n">
        <v>0</v>
      </c>
      <c r="AC2351" s="52" t="n">
        <v>0</v>
      </c>
      <c r="AD2351" s="52" t="n">
        <v>0</v>
      </c>
      <c r="AE2351" s="52" t="n">
        <v>0</v>
      </c>
      <c r="AF2351" s="52" t="n">
        <v>0</v>
      </c>
      <c r="AG2351" s="52" t="n">
        <v>0</v>
      </c>
      <c r="AH2351" s="52" t="n">
        <v>0</v>
      </c>
      <c r="AI2351" s="52" t="n">
        <v>0</v>
      </c>
      <c r="AJ2351" s="52" t="n">
        <v>0</v>
      </c>
      <c r="AK2351" s="52" t="n">
        <v>0</v>
      </c>
      <c r="AL2351" s="52" t="n">
        <v>0</v>
      </c>
      <c r="AM2351" s="53" t="n">
        <v>0</v>
      </c>
      <c r="AN2351" s="53" t="n">
        <v>0</v>
      </c>
      <c r="AO2351" s="53" t="n">
        <v>0</v>
      </c>
      <c r="AP2351" s="53" t="n">
        <v>0</v>
      </c>
      <c r="AQ2351" s="52" t="n">
        <v>0</v>
      </c>
      <c r="AR2351" s="52" t="n">
        <v>0</v>
      </c>
      <c r="AS2351" s="52" t="n">
        <v>0</v>
      </c>
      <c r="AT2351" s="52" t="n">
        <v>0</v>
      </c>
      <c r="AU2351" s="53" t="n">
        <v>0</v>
      </c>
      <c r="AV2351" s="53" t="n">
        <v>0</v>
      </c>
      <c r="AW2351" s="53" t="n">
        <v>0</v>
      </c>
      <c r="AX2351" s="53" t="n">
        <v>0</v>
      </c>
      <c r="AY2351" s="52" t="n">
        <v>0</v>
      </c>
      <c r="AZ2351" s="52" t="n">
        <v>0</v>
      </c>
      <c r="BA2351" s="52" t="n">
        <v>0</v>
      </c>
      <c r="BB2351" s="52" t="n">
        <v>0</v>
      </c>
      <c r="BC2351" s="51" t="n">
        <v>0</v>
      </c>
      <c r="BD2351" s="51" t="n">
        <v>0</v>
      </c>
      <c r="BE2351" s="51" t="n">
        <v>0</v>
      </c>
      <c r="BF2351" s="51" t="n">
        <v>0</v>
      </c>
    </row>
    <row r="2352">
      <c r="A2352">
        <f>HYPERLINK("https://www.walmart.com/ip/16373617536", "16373617536")</f>
        <v/>
      </c>
      <c r="B2352" t="inlineStr">
        <is>
          <t>Catalonia Lightweight Ladies Bathrobe, Long Summer Robe with Pockets,Soft Summer Robes for Women, Kimono Gift for Her, Green</t>
        </is>
      </c>
      <c r="C2352" t="inlineStr">
        <is>
          <t>1CTRB504GN-4</t>
        </is>
      </c>
      <c r="D2352" t="inlineStr">
        <is>
          <t>Sleepwear Robes &amp; Bathrobes</t>
        </is>
      </c>
      <c r="E2352" t="inlineStr">
        <is>
          <t>Catalonia</t>
        </is>
      </c>
      <c r="G2352" s="48" t="n">
        <v>0</v>
      </c>
      <c r="H2352" s="48" t="n">
        <v>0</v>
      </c>
      <c r="I2352" s="48" t="n">
        <v>0</v>
      </c>
      <c r="J2352" s="48" t="n">
        <v>0</v>
      </c>
      <c r="K2352" s="49" t="n">
        <v>0</v>
      </c>
      <c r="L2352" s="49" t="n">
        <v>0</v>
      </c>
      <c r="M2352" s="49" t="n">
        <v>0</v>
      </c>
      <c r="N2352" s="49" t="n">
        <v>0</v>
      </c>
      <c r="O2352" s="49" t="n">
        <v>0</v>
      </c>
      <c r="P2352" s="49" t="n">
        <v>0</v>
      </c>
      <c r="Q2352" s="49" t="n">
        <v>0</v>
      </c>
      <c r="R2352" s="49" t="n">
        <v>0</v>
      </c>
      <c r="S2352" s="50" t="n">
        <v>0</v>
      </c>
      <c r="T2352" s="50" t="n">
        <v>0</v>
      </c>
      <c r="U2352" s="50" t="n">
        <v>0</v>
      </c>
      <c r="V2352" s="50" t="n">
        <v>0</v>
      </c>
      <c r="W2352" s="51" t="n">
        <v>0</v>
      </c>
      <c r="X2352" s="51" t="n">
        <v>0</v>
      </c>
      <c r="Y2352" s="51" t="n">
        <v>0</v>
      </c>
      <c r="Z2352" s="51" t="n">
        <v>0</v>
      </c>
      <c r="AA2352" s="52" t="n">
        <v>0</v>
      </c>
      <c r="AB2352" s="52" t="n">
        <v>0</v>
      </c>
      <c r="AC2352" s="52" t="n">
        <v>0</v>
      </c>
      <c r="AD2352" s="52" t="n">
        <v>0</v>
      </c>
      <c r="AE2352" s="52" t="n">
        <v>0</v>
      </c>
      <c r="AF2352" s="52" t="n">
        <v>0</v>
      </c>
      <c r="AG2352" s="52" t="n">
        <v>0</v>
      </c>
      <c r="AH2352" s="52" t="n">
        <v>0</v>
      </c>
      <c r="AI2352" s="52" t="n">
        <v>0</v>
      </c>
      <c r="AJ2352" s="52" t="n">
        <v>0</v>
      </c>
      <c r="AK2352" s="52" t="n">
        <v>0</v>
      </c>
      <c r="AL2352" s="52" t="n">
        <v>0</v>
      </c>
      <c r="AM2352" s="53" t="n">
        <v>0</v>
      </c>
      <c r="AN2352" s="53" t="n">
        <v>0</v>
      </c>
      <c r="AO2352" s="53" t="n">
        <v>0</v>
      </c>
      <c r="AP2352" s="53" t="n">
        <v>0</v>
      </c>
      <c r="AQ2352" s="52" t="n">
        <v>0</v>
      </c>
      <c r="AR2352" s="52" t="n">
        <v>0</v>
      </c>
      <c r="AS2352" s="52" t="n">
        <v>0</v>
      </c>
      <c r="AT2352" s="52" t="n">
        <v>0</v>
      </c>
      <c r="AU2352" s="53" t="n">
        <v>0</v>
      </c>
      <c r="AV2352" s="53" t="n">
        <v>0</v>
      </c>
      <c r="AW2352" s="53" t="n">
        <v>0</v>
      </c>
      <c r="AX2352" s="53" t="n">
        <v>0</v>
      </c>
      <c r="AY2352" s="52" t="n">
        <v>0</v>
      </c>
      <c r="AZ2352" s="52" t="n">
        <v>0</v>
      </c>
      <c r="BA2352" s="52" t="n">
        <v>0</v>
      </c>
      <c r="BB2352" s="52" t="n">
        <v>0</v>
      </c>
      <c r="BC2352" s="51" t="n">
        <v>0</v>
      </c>
      <c r="BD2352" s="51" t="n">
        <v>0</v>
      </c>
      <c r="BE2352" s="51" t="n">
        <v>0</v>
      </c>
      <c r="BF2352" s="51" t="n">
        <v>0</v>
      </c>
    </row>
    <row r="2353">
      <c r="A2353">
        <f>HYPERLINK("https://www.walmart.com/ip/16373617537", "16373617537")</f>
        <v/>
      </c>
      <c r="B2353" t="inlineStr">
        <is>
          <t>Catalonia Lightweight Ladies Bathrobe, Long Summer Robe with Pockets,Soft Summer Robes for Women, Kimono Gift for Her, Blue</t>
        </is>
      </c>
      <c r="C2353" t="inlineStr">
        <is>
          <t>1CTRB504BL-5</t>
        </is>
      </c>
      <c r="D2353" t="inlineStr">
        <is>
          <t>Sleepwear Robes &amp; Bathrobes</t>
        </is>
      </c>
      <c r="E2353" t="inlineStr">
        <is>
          <t>Catalonia</t>
        </is>
      </c>
      <c r="G2353" s="48" t="n">
        <v>0</v>
      </c>
      <c r="H2353" s="48" t="n">
        <v>0</v>
      </c>
      <c r="I2353" s="48" t="n">
        <v>0</v>
      </c>
      <c r="J2353" s="48" t="n">
        <v>0</v>
      </c>
      <c r="K2353" s="49" t="n">
        <v>0</v>
      </c>
      <c r="L2353" s="49" t="n">
        <v>0</v>
      </c>
      <c r="M2353" s="49" t="n">
        <v>0</v>
      </c>
      <c r="N2353" s="49" t="n">
        <v>0</v>
      </c>
      <c r="O2353" s="49" t="n">
        <v>0</v>
      </c>
      <c r="P2353" s="49" t="n">
        <v>0</v>
      </c>
      <c r="Q2353" s="49" t="n">
        <v>0</v>
      </c>
      <c r="R2353" s="49" t="n">
        <v>0</v>
      </c>
      <c r="S2353" s="50" t="n">
        <v>0</v>
      </c>
      <c r="T2353" s="50" t="n">
        <v>0</v>
      </c>
      <c r="U2353" s="50" t="n">
        <v>0</v>
      </c>
      <c r="V2353" s="50" t="n">
        <v>0</v>
      </c>
      <c r="W2353" s="51" t="n">
        <v>0</v>
      </c>
      <c r="X2353" s="51" t="n">
        <v>0</v>
      </c>
      <c r="Y2353" s="51" t="n">
        <v>0</v>
      </c>
      <c r="Z2353" s="51" t="n">
        <v>0</v>
      </c>
      <c r="AA2353" s="52" t="n">
        <v>0</v>
      </c>
      <c r="AB2353" s="52" t="n">
        <v>0</v>
      </c>
      <c r="AC2353" s="52" t="n">
        <v>0</v>
      </c>
      <c r="AD2353" s="52" t="n">
        <v>0</v>
      </c>
      <c r="AE2353" s="52" t="n">
        <v>0</v>
      </c>
      <c r="AF2353" s="52" t="n">
        <v>0</v>
      </c>
      <c r="AG2353" s="52" t="n">
        <v>0</v>
      </c>
      <c r="AH2353" s="52" t="n">
        <v>0</v>
      </c>
      <c r="AI2353" s="52" t="n">
        <v>0</v>
      </c>
      <c r="AJ2353" s="52" t="n">
        <v>0</v>
      </c>
      <c r="AK2353" s="52" t="n">
        <v>0</v>
      </c>
      <c r="AL2353" s="52" t="n">
        <v>0</v>
      </c>
      <c r="AM2353" s="53" t="n">
        <v>0</v>
      </c>
      <c r="AN2353" s="53" t="n">
        <v>0</v>
      </c>
      <c r="AO2353" s="53" t="n">
        <v>0</v>
      </c>
      <c r="AP2353" s="53" t="n">
        <v>0</v>
      </c>
      <c r="AQ2353" s="52" t="n">
        <v>0</v>
      </c>
      <c r="AR2353" s="52" t="n">
        <v>0</v>
      </c>
      <c r="AS2353" s="52" t="n">
        <v>0</v>
      </c>
      <c r="AT2353" s="52" t="n">
        <v>0</v>
      </c>
      <c r="AU2353" s="53" t="n">
        <v>0</v>
      </c>
      <c r="AV2353" s="53" t="n">
        <v>0</v>
      </c>
      <c r="AW2353" s="53" t="n">
        <v>0</v>
      </c>
      <c r="AX2353" s="53" t="n">
        <v>0</v>
      </c>
      <c r="AY2353" s="52" t="n">
        <v>0</v>
      </c>
      <c r="AZ2353" s="52" t="n">
        <v>0</v>
      </c>
      <c r="BA2353" s="52" t="n">
        <v>0</v>
      </c>
      <c r="BB2353" s="52" t="n">
        <v>0</v>
      </c>
      <c r="BC2353" s="51" t="n">
        <v>0</v>
      </c>
      <c r="BD2353" s="51" t="n">
        <v>0</v>
      </c>
      <c r="BE2353" s="51" t="n">
        <v>0</v>
      </c>
      <c r="BF2353" s="51" t="n">
        <v>0</v>
      </c>
    </row>
    <row r="2354">
      <c r="A2354">
        <f>HYPERLINK("https://www.walmart.com/ip/163742553", "163742553")</f>
        <v/>
      </c>
      <c r="B2354" t="inlineStr">
        <is>
          <t>Terra Unisex Faux Fur Pom Pom Beanie Hat Thick Slouchy Cable Knit Ski Cap Grey</t>
        </is>
      </c>
      <c r="C2354" t="inlineStr">
        <is>
          <t>TERRAPPH01GY</t>
        </is>
      </c>
      <c r="D2354" t="inlineStr">
        <is>
          <t>Hats</t>
        </is>
      </c>
      <c r="E2354" t="inlineStr">
        <is>
          <t>Terra</t>
        </is>
      </c>
      <c r="F2354" t="inlineStr">
        <is>
          <t>Optimized</t>
        </is>
      </c>
      <c r="G2354" s="48" t="n">
        <v>0</v>
      </c>
      <c r="H2354" s="48" t="n">
        <v>0</v>
      </c>
      <c r="I2354" s="48" t="n">
        <v>0</v>
      </c>
      <c r="J2354" s="48" t="n">
        <v>0</v>
      </c>
      <c r="K2354" s="49" t="n">
        <v>0</v>
      </c>
      <c r="L2354" s="49" t="n">
        <v>0</v>
      </c>
      <c r="M2354" s="49" t="n">
        <v>0</v>
      </c>
      <c r="N2354" s="49" t="n">
        <v>0</v>
      </c>
      <c r="O2354" s="49" t="n">
        <v>0</v>
      </c>
      <c r="P2354" s="49" t="n">
        <v>0</v>
      </c>
      <c r="Q2354" s="49" t="n">
        <v>0</v>
      </c>
      <c r="R2354" s="49" t="n">
        <v>0</v>
      </c>
      <c r="S2354" s="50" t="n">
        <v>0</v>
      </c>
      <c r="T2354" s="50" t="n">
        <v>0</v>
      </c>
      <c r="U2354" s="50" t="n">
        <v>0</v>
      </c>
      <c r="V2354" s="50" t="n">
        <v>0</v>
      </c>
      <c r="W2354" s="51" t="n">
        <v>0</v>
      </c>
      <c r="X2354" s="51" t="n">
        <v>0</v>
      </c>
      <c r="Y2354" s="51" t="n">
        <v>0</v>
      </c>
      <c r="Z2354" s="51" t="n">
        <v>0</v>
      </c>
      <c r="AA2354" s="52" t="n">
        <v>0</v>
      </c>
      <c r="AB2354" s="52" t="n">
        <v>0</v>
      </c>
      <c r="AC2354" s="52" t="n">
        <v>0</v>
      </c>
      <c r="AD2354" s="52" t="n">
        <v>0</v>
      </c>
      <c r="AE2354" s="52" t="n">
        <v>0</v>
      </c>
      <c r="AF2354" s="52" t="n">
        <v>0</v>
      </c>
      <c r="AG2354" s="52" t="n">
        <v>0</v>
      </c>
      <c r="AH2354" s="52" t="n">
        <v>0</v>
      </c>
      <c r="AI2354" s="52" t="n">
        <v>0</v>
      </c>
      <c r="AJ2354" s="52" t="n">
        <v>0</v>
      </c>
      <c r="AK2354" s="52" t="n">
        <v>0</v>
      </c>
      <c r="AL2354" s="52" t="n">
        <v>0</v>
      </c>
      <c r="AM2354" s="53" t="n">
        <v>0</v>
      </c>
      <c r="AN2354" s="53" t="n">
        <v>0</v>
      </c>
      <c r="AO2354" s="53" t="n">
        <v>0</v>
      </c>
      <c r="AP2354" s="53" t="n">
        <v>0</v>
      </c>
      <c r="AQ2354" s="52" t="n">
        <v>0</v>
      </c>
      <c r="AR2354" s="52" t="n">
        <v>0</v>
      </c>
      <c r="AS2354" s="52" t="n">
        <v>0</v>
      </c>
      <c r="AT2354" s="52" t="n">
        <v>0</v>
      </c>
      <c r="AU2354" s="53" t="n">
        <v>0</v>
      </c>
      <c r="AV2354" s="53" t="n">
        <v>0</v>
      </c>
      <c r="AW2354" s="53" t="n">
        <v>0</v>
      </c>
      <c r="AX2354" s="53" t="n">
        <v>0</v>
      </c>
      <c r="AY2354" s="52" t="n">
        <v>0</v>
      </c>
      <c r="AZ2354" s="52" t="n">
        <v>0</v>
      </c>
      <c r="BA2354" s="52" t="n">
        <v>0</v>
      </c>
      <c r="BB2354" s="52" t="n">
        <v>0</v>
      </c>
      <c r="BC2354" s="51" t="n">
        <v>0</v>
      </c>
      <c r="BD2354" s="51" t="n">
        <v>0</v>
      </c>
      <c r="BE2354" s="51" t="n">
        <v>0</v>
      </c>
      <c r="BF2354" s="51" t="n">
        <v>0</v>
      </c>
    </row>
    <row r="2355">
      <c r="A2355">
        <f>HYPERLINK("https://www.walmart.com/ip/16375853868", "16375853868")</f>
        <v/>
      </c>
      <c r="B2355" t="inlineStr">
        <is>
          <t>Catalonia Lightweight Ladies Bathrobe, Long Summer Robe with Pockets,Soft Summer Robes for Women, Kimono Gift for Her, Gray</t>
        </is>
      </c>
      <c r="C2355" t="inlineStr">
        <is>
          <t>1CTRB504GYASH-2</t>
        </is>
      </c>
      <c r="D2355" t="inlineStr">
        <is>
          <t>Sleepwear Robes &amp; Bathrobes</t>
        </is>
      </c>
      <c r="E2355" t="inlineStr">
        <is>
          <t>Catalonia</t>
        </is>
      </c>
      <c r="G2355" s="48" t="n">
        <v>0</v>
      </c>
      <c r="H2355" s="48" t="n">
        <v>0</v>
      </c>
      <c r="I2355" s="48" t="n">
        <v>0</v>
      </c>
      <c r="J2355" s="48" t="n">
        <v>0</v>
      </c>
      <c r="K2355" s="49" t="n">
        <v>0</v>
      </c>
      <c r="L2355" s="49" t="n">
        <v>0</v>
      </c>
      <c r="M2355" s="49" t="n">
        <v>0</v>
      </c>
      <c r="N2355" s="49" t="n">
        <v>0</v>
      </c>
      <c r="O2355" s="49" t="n">
        <v>0</v>
      </c>
      <c r="P2355" s="49" t="n">
        <v>0</v>
      </c>
      <c r="Q2355" s="49" t="n">
        <v>0</v>
      </c>
      <c r="R2355" s="49" t="n">
        <v>0</v>
      </c>
      <c r="S2355" s="50" t="n">
        <v>0</v>
      </c>
      <c r="T2355" s="50" t="n">
        <v>0</v>
      </c>
      <c r="U2355" s="50" t="n">
        <v>0</v>
      </c>
      <c r="V2355" s="50" t="n">
        <v>0</v>
      </c>
      <c r="W2355" s="51" t="n">
        <v>0</v>
      </c>
      <c r="X2355" s="51" t="n">
        <v>0</v>
      </c>
      <c r="Y2355" s="51" t="n">
        <v>0</v>
      </c>
      <c r="Z2355" s="51" t="n">
        <v>0</v>
      </c>
      <c r="AA2355" s="52" t="n">
        <v>0</v>
      </c>
      <c r="AB2355" s="52" t="n">
        <v>0</v>
      </c>
      <c r="AC2355" s="52" t="n">
        <v>0</v>
      </c>
      <c r="AD2355" s="52" t="n">
        <v>0</v>
      </c>
      <c r="AE2355" s="52" t="n">
        <v>0</v>
      </c>
      <c r="AF2355" s="52" t="n">
        <v>0</v>
      </c>
      <c r="AG2355" s="52" t="n">
        <v>0</v>
      </c>
      <c r="AH2355" s="52" t="n">
        <v>0</v>
      </c>
      <c r="AI2355" s="52" t="n">
        <v>0</v>
      </c>
      <c r="AJ2355" s="52" t="n">
        <v>0</v>
      </c>
      <c r="AK2355" s="52" t="n">
        <v>0</v>
      </c>
      <c r="AL2355" s="52" t="n">
        <v>0</v>
      </c>
      <c r="AM2355" s="53" t="n">
        <v>0</v>
      </c>
      <c r="AN2355" s="53" t="n">
        <v>0</v>
      </c>
      <c r="AO2355" s="53" t="n">
        <v>0</v>
      </c>
      <c r="AP2355" s="53" t="n">
        <v>0</v>
      </c>
      <c r="AQ2355" s="52" t="n">
        <v>0</v>
      </c>
      <c r="AR2355" s="52" t="n">
        <v>0</v>
      </c>
      <c r="AS2355" s="52" t="n">
        <v>0</v>
      </c>
      <c r="AT2355" s="52" t="n">
        <v>0</v>
      </c>
      <c r="AU2355" s="53" t="n">
        <v>0</v>
      </c>
      <c r="AV2355" s="53" t="n">
        <v>0</v>
      </c>
      <c r="AW2355" s="53" t="n">
        <v>0</v>
      </c>
      <c r="AX2355" s="53" t="n">
        <v>0</v>
      </c>
      <c r="AY2355" s="52" t="n">
        <v>0</v>
      </c>
      <c r="AZ2355" s="52" t="n">
        <v>0</v>
      </c>
      <c r="BA2355" s="52" t="n">
        <v>0</v>
      </c>
      <c r="BB2355" s="52" t="n">
        <v>0</v>
      </c>
      <c r="BC2355" s="51" t="n">
        <v>0</v>
      </c>
      <c r="BD2355" s="51" t="n">
        <v>0</v>
      </c>
      <c r="BE2355" s="51" t="n">
        <v>0</v>
      </c>
      <c r="BF2355" s="51" t="n">
        <v>0</v>
      </c>
    </row>
    <row r="2356">
      <c r="A2356">
        <f>HYPERLINK("https://www.walmart.com/ip/16385457099", "16385457099")</f>
        <v/>
      </c>
      <c r="B2356" t="inlineStr">
        <is>
          <t>Catalonia Lightweight Ladies Bathrobe, Long Summer Robe with Pockets,Soft Summer Robes for Women, Kimono Gift for Her, Lilac</t>
        </is>
      </c>
      <c r="C2356" t="inlineStr">
        <is>
          <t>1CTRB504LL-4</t>
        </is>
      </c>
      <c r="D2356" t="inlineStr">
        <is>
          <t>Sleepwear Robes &amp; Bathrobes</t>
        </is>
      </c>
      <c r="E2356" t="inlineStr">
        <is>
          <t>Catalonia</t>
        </is>
      </c>
      <c r="G2356" s="48" t="n">
        <v>0</v>
      </c>
      <c r="H2356" s="48" t="n">
        <v>0</v>
      </c>
      <c r="I2356" s="48" t="n">
        <v>0</v>
      </c>
      <c r="J2356" s="48" t="n">
        <v>0</v>
      </c>
      <c r="K2356" s="49" t="n">
        <v>0</v>
      </c>
      <c r="L2356" s="49" t="n">
        <v>0</v>
      </c>
      <c r="M2356" s="49" t="n">
        <v>0</v>
      </c>
      <c r="N2356" s="49" t="n">
        <v>0</v>
      </c>
      <c r="O2356" s="49" t="n">
        <v>0</v>
      </c>
      <c r="P2356" s="49" t="n">
        <v>0</v>
      </c>
      <c r="Q2356" s="49" t="n">
        <v>0</v>
      </c>
      <c r="R2356" s="49" t="n">
        <v>0</v>
      </c>
      <c r="S2356" s="50" t="n">
        <v>0</v>
      </c>
      <c r="T2356" s="50" t="n">
        <v>0</v>
      </c>
      <c r="U2356" s="50" t="n">
        <v>0</v>
      </c>
      <c r="V2356" s="50" t="n">
        <v>0</v>
      </c>
      <c r="W2356" s="51" t="n">
        <v>0</v>
      </c>
      <c r="X2356" s="51" t="n">
        <v>0</v>
      </c>
      <c r="Y2356" s="51" t="n">
        <v>0</v>
      </c>
      <c r="Z2356" s="51" t="n">
        <v>0</v>
      </c>
      <c r="AA2356" s="52" t="n">
        <v>0</v>
      </c>
      <c r="AB2356" s="52" t="n">
        <v>0</v>
      </c>
      <c r="AC2356" s="52" t="n">
        <v>0</v>
      </c>
      <c r="AD2356" s="52" t="n">
        <v>0</v>
      </c>
      <c r="AE2356" s="52" t="n">
        <v>0</v>
      </c>
      <c r="AF2356" s="52" t="n">
        <v>0</v>
      </c>
      <c r="AG2356" s="52" t="n">
        <v>0</v>
      </c>
      <c r="AH2356" s="52" t="n">
        <v>0</v>
      </c>
      <c r="AI2356" s="52" t="n">
        <v>0</v>
      </c>
      <c r="AJ2356" s="52" t="n">
        <v>0</v>
      </c>
      <c r="AK2356" s="52" t="n">
        <v>0</v>
      </c>
      <c r="AL2356" s="52" t="n">
        <v>0</v>
      </c>
      <c r="AM2356" s="53" t="n">
        <v>0</v>
      </c>
      <c r="AN2356" s="53" t="n">
        <v>0</v>
      </c>
      <c r="AO2356" s="53" t="n">
        <v>0</v>
      </c>
      <c r="AP2356" s="53" t="n">
        <v>0</v>
      </c>
      <c r="AQ2356" s="52" t="n">
        <v>0</v>
      </c>
      <c r="AR2356" s="52" t="n">
        <v>0</v>
      </c>
      <c r="AS2356" s="52" t="n">
        <v>0</v>
      </c>
      <c r="AT2356" s="52" t="n">
        <v>0</v>
      </c>
      <c r="AU2356" s="53" t="n">
        <v>0</v>
      </c>
      <c r="AV2356" s="53" t="n">
        <v>0</v>
      </c>
      <c r="AW2356" s="53" t="n">
        <v>0</v>
      </c>
      <c r="AX2356" s="53" t="n">
        <v>0</v>
      </c>
      <c r="AY2356" s="52" t="n">
        <v>0</v>
      </c>
      <c r="AZ2356" s="52" t="n">
        <v>0</v>
      </c>
      <c r="BA2356" s="52" t="n">
        <v>0</v>
      </c>
      <c r="BB2356" s="52" t="n">
        <v>0</v>
      </c>
      <c r="BC2356" s="51" t="n">
        <v>0</v>
      </c>
      <c r="BD2356" s="51" t="n">
        <v>0</v>
      </c>
      <c r="BE2356" s="51" t="n">
        <v>0</v>
      </c>
      <c r="BF2356" s="51" t="n">
        <v>0</v>
      </c>
    </row>
    <row r="2357">
      <c r="A2357">
        <f>HYPERLINK("https://www.walmart.com/ip/16401065846", "16401065846")</f>
        <v/>
      </c>
      <c r="B2357" t="inlineStr">
        <is>
          <t>Catalonia Lightweight Ladies Bathrobe, Long Summer Robe with Pockets,Soft Summer Robes for Women, Kimono Gift for Her, White</t>
        </is>
      </c>
      <c r="C2357" t="inlineStr">
        <is>
          <t>1CTRB504WT-4</t>
        </is>
      </c>
      <c r="D2357" t="inlineStr">
        <is>
          <t>Sleepwear Robes &amp; Bathrobes</t>
        </is>
      </c>
      <c r="E2357" t="inlineStr">
        <is>
          <t>Catalonia</t>
        </is>
      </c>
      <c r="G2357" s="48" t="n">
        <v>0</v>
      </c>
      <c r="H2357" s="48" t="n">
        <v>0</v>
      </c>
      <c r="I2357" s="48" t="n">
        <v>0</v>
      </c>
      <c r="J2357" s="48" t="n">
        <v>0</v>
      </c>
      <c r="K2357" s="49" t="n">
        <v>0</v>
      </c>
      <c r="L2357" s="49" t="n">
        <v>0</v>
      </c>
      <c r="M2357" s="49" t="n">
        <v>0</v>
      </c>
      <c r="N2357" s="49" t="n">
        <v>0</v>
      </c>
      <c r="O2357" s="49" t="n">
        <v>0</v>
      </c>
      <c r="P2357" s="49" t="n">
        <v>0</v>
      </c>
      <c r="Q2357" s="49" t="n">
        <v>0</v>
      </c>
      <c r="R2357" s="49" t="n">
        <v>0</v>
      </c>
      <c r="S2357" s="50" t="n">
        <v>0</v>
      </c>
      <c r="T2357" s="50" t="n">
        <v>0</v>
      </c>
      <c r="U2357" s="50" t="n">
        <v>0</v>
      </c>
      <c r="V2357" s="50" t="n">
        <v>0</v>
      </c>
      <c r="W2357" s="51" t="n">
        <v>0</v>
      </c>
      <c r="X2357" s="51" t="n">
        <v>0</v>
      </c>
      <c r="Y2357" s="51" t="n">
        <v>0</v>
      </c>
      <c r="Z2357" s="51" t="n">
        <v>0</v>
      </c>
      <c r="AA2357" s="52" t="n">
        <v>0</v>
      </c>
      <c r="AB2357" s="52" t="n">
        <v>0</v>
      </c>
      <c r="AC2357" s="52" t="n">
        <v>0</v>
      </c>
      <c r="AD2357" s="52" t="n">
        <v>0</v>
      </c>
      <c r="AE2357" s="52" t="n">
        <v>0</v>
      </c>
      <c r="AF2357" s="52" t="n">
        <v>0</v>
      </c>
      <c r="AG2357" s="52" t="n">
        <v>0</v>
      </c>
      <c r="AH2357" s="52" t="n">
        <v>0</v>
      </c>
      <c r="AI2357" s="52" t="n">
        <v>0</v>
      </c>
      <c r="AJ2357" s="52" t="n">
        <v>0</v>
      </c>
      <c r="AK2357" s="52" t="n">
        <v>0</v>
      </c>
      <c r="AL2357" s="52" t="n">
        <v>0</v>
      </c>
      <c r="AM2357" s="53" t="n">
        <v>0</v>
      </c>
      <c r="AN2357" s="53" t="n">
        <v>0</v>
      </c>
      <c r="AO2357" s="53" t="n">
        <v>0</v>
      </c>
      <c r="AP2357" s="53" t="n">
        <v>0</v>
      </c>
      <c r="AQ2357" s="52" t="n">
        <v>0</v>
      </c>
      <c r="AR2357" s="52" t="n">
        <v>0</v>
      </c>
      <c r="AS2357" s="52" t="n">
        <v>0</v>
      </c>
      <c r="AT2357" s="52" t="n">
        <v>0</v>
      </c>
      <c r="AU2357" s="53" t="n">
        <v>0</v>
      </c>
      <c r="AV2357" s="53" t="n">
        <v>0</v>
      </c>
      <c r="AW2357" s="53" t="n">
        <v>0</v>
      </c>
      <c r="AX2357" s="53" t="n">
        <v>0</v>
      </c>
      <c r="AY2357" s="52" t="n">
        <v>0</v>
      </c>
      <c r="AZ2357" s="52" t="n">
        <v>0</v>
      </c>
      <c r="BA2357" s="52" t="n">
        <v>0</v>
      </c>
      <c r="BB2357" s="52" t="n">
        <v>0</v>
      </c>
      <c r="BC2357" s="51" t="n">
        <v>0</v>
      </c>
      <c r="BD2357" s="51" t="n">
        <v>0</v>
      </c>
      <c r="BE2357" s="51" t="n">
        <v>0</v>
      </c>
      <c r="BF2357" s="51" t="n">
        <v>0</v>
      </c>
    </row>
    <row r="2358">
      <c r="A2358">
        <f>HYPERLINK("https://www.walmart.com/ip/16387668263", "16387668263")</f>
        <v/>
      </c>
      <c r="B2358" t="inlineStr">
        <is>
          <t>Catalonia Lightweight Ladies Bathrobe, Long Summer Robe with Pockets,Soft Summer Robes for Women, Kimono Gift for Her, Lilac</t>
        </is>
      </c>
      <c r="C2358" t="inlineStr">
        <is>
          <t>1CTRB504LL-3</t>
        </is>
      </c>
      <c r="D2358" t="inlineStr">
        <is>
          <t>Sleepwear Robes &amp; Bathrobes</t>
        </is>
      </c>
      <c r="E2358" t="inlineStr">
        <is>
          <t>Catalonia</t>
        </is>
      </c>
      <c r="G2358" s="48" t="n">
        <v>0</v>
      </c>
      <c r="H2358" s="48" t="n">
        <v>0</v>
      </c>
      <c r="I2358" s="48" t="n">
        <v>0</v>
      </c>
      <c r="J2358" s="48" t="n">
        <v>0</v>
      </c>
      <c r="K2358" s="49" t="n">
        <v>0</v>
      </c>
      <c r="L2358" s="49" t="n">
        <v>0</v>
      </c>
      <c r="M2358" s="49" t="n">
        <v>0</v>
      </c>
      <c r="N2358" s="49" t="n">
        <v>0</v>
      </c>
      <c r="O2358" s="49" t="n">
        <v>0</v>
      </c>
      <c r="P2358" s="49" t="n">
        <v>0</v>
      </c>
      <c r="Q2358" s="49" t="n">
        <v>0</v>
      </c>
      <c r="R2358" s="49" t="n">
        <v>0</v>
      </c>
      <c r="S2358" s="50" t="n">
        <v>0</v>
      </c>
      <c r="T2358" s="50" t="n">
        <v>0</v>
      </c>
      <c r="U2358" s="50" t="n">
        <v>0</v>
      </c>
      <c r="V2358" s="50" t="n">
        <v>0</v>
      </c>
      <c r="W2358" s="51" t="n">
        <v>0</v>
      </c>
      <c r="X2358" s="51" t="n">
        <v>0</v>
      </c>
      <c r="Y2358" s="51" t="n">
        <v>0</v>
      </c>
      <c r="Z2358" s="51" t="n">
        <v>0</v>
      </c>
      <c r="AA2358" s="52" t="n">
        <v>0</v>
      </c>
      <c r="AB2358" s="52" t="n">
        <v>0</v>
      </c>
      <c r="AC2358" s="52" t="n">
        <v>0</v>
      </c>
      <c r="AD2358" s="52" t="n">
        <v>0</v>
      </c>
      <c r="AE2358" s="52" t="n">
        <v>0</v>
      </c>
      <c r="AF2358" s="52" t="n">
        <v>0</v>
      </c>
      <c r="AG2358" s="52" t="n">
        <v>0</v>
      </c>
      <c r="AH2358" s="52" t="n">
        <v>0</v>
      </c>
      <c r="AI2358" s="52" t="n">
        <v>0</v>
      </c>
      <c r="AJ2358" s="52" t="n">
        <v>0</v>
      </c>
      <c r="AK2358" s="52" t="n">
        <v>0</v>
      </c>
      <c r="AL2358" s="52" t="n">
        <v>0</v>
      </c>
      <c r="AM2358" s="53" t="n">
        <v>0</v>
      </c>
      <c r="AN2358" s="53" t="n">
        <v>0</v>
      </c>
      <c r="AO2358" s="53" t="n">
        <v>0</v>
      </c>
      <c r="AP2358" s="53" t="n">
        <v>0</v>
      </c>
      <c r="AQ2358" s="52" t="n">
        <v>0</v>
      </c>
      <c r="AR2358" s="52" t="n">
        <v>0</v>
      </c>
      <c r="AS2358" s="52" t="n">
        <v>0</v>
      </c>
      <c r="AT2358" s="52" t="n">
        <v>0</v>
      </c>
      <c r="AU2358" s="53" t="n">
        <v>0</v>
      </c>
      <c r="AV2358" s="53" t="n">
        <v>0</v>
      </c>
      <c r="AW2358" s="53" t="n">
        <v>0</v>
      </c>
      <c r="AX2358" s="53" t="n">
        <v>0</v>
      </c>
      <c r="AY2358" s="52" t="n">
        <v>0</v>
      </c>
      <c r="AZ2358" s="52" t="n">
        <v>0</v>
      </c>
      <c r="BA2358" s="52" t="n">
        <v>0</v>
      </c>
      <c r="BB2358" s="52" t="n">
        <v>0</v>
      </c>
      <c r="BC2358" s="51" t="n">
        <v>0</v>
      </c>
      <c r="BD2358" s="51" t="n">
        <v>0</v>
      </c>
      <c r="BE2358" s="51" t="n">
        <v>0</v>
      </c>
      <c r="BF2358" s="51" t="n">
        <v>0</v>
      </c>
    </row>
    <row r="2359">
      <c r="A2359">
        <f>HYPERLINK("https://www.walmart.com/ip/163897622", "163897622")</f>
        <v/>
      </c>
      <c r="B2359" t="inlineStr">
        <is>
          <t>JenniWears Women's Beileise Sexy Suspender Pantyhose Stockings Black Socks - 6 Packs</t>
        </is>
      </c>
      <c r="C2359" t="inlineStr">
        <is>
          <t>JWBLSPH2010-6pcs</t>
        </is>
      </c>
      <c r="D2359" t="inlineStr">
        <is>
          <t>Pantyhose &amp; Tights</t>
        </is>
      </c>
      <c r="E2359" t="inlineStr">
        <is>
          <t>JenniWears</t>
        </is>
      </c>
      <c r="F2359" t="inlineStr">
        <is>
          <t>Optimized,Valentine</t>
        </is>
      </c>
      <c r="G2359" s="48" t="n">
        <v>0</v>
      </c>
      <c r="H2359" s="48" t="n">
        <v>0</v>
      </c>
      <c r="I2359" s="48" t="n">
        <v>0</v>
      </c>
      <c r="J2359" s="48" t="n">
        <v>0</v>
      </c>
      <c r="K2359" s="49" t="n">
        <v>0</v>
      </c>
      <c r="L2359" s="49" t="n">
        <v>0</v>
      </c>
      <c r="M2359" s="49" t="n">
        <v>0</v>
      </c>
      <c r="N2359" s="49" t="n">
        <v>0</v>
      </c>
      <c r="O2359" s="49" t="n">
        <v>0</v>
      </c>
      <c r="P2359" s="49" t="n">
        <v>0</v>
      </c>
      <c r="Q2359" s="49" t="n">
        <v>0</v>
      </c>
      <c r="R2359" s="49" t="n">
        <v>0</v>
      </c>
      <c r="S2359" s="50" t="n">
        <v>0</v>
      </c>
      <c r="T2359" s="50" t="n">
        <v>0</v>
      </c>
      <c r="U2359" s="50" t="n">
        <v>0</v>
      </c>
      <c r="V2359" s="50" t="n">
        <v>0</v>
      </c>
      <c r="W2359" s="51" t="n">
        <v>0</v>
      </c>
      <c r="X2359" s="51" t="n">
        <v>0</v>
      </c>
      <c r="Y2359" s="51" t="n">
        <v>0</v>
      </c>
      <c r="Z2359" s="51" t="n">
        <v>0</v>
      </c>
      <c r="AA2359" s="52" t="n">
        <v>0</v>
      </c>
      <c r="AB2359" s="52" t="n">
        <v>0</v>
      </c>
      <c r="AC2359" s="52" t="n">
        <v>0</v>
      </c>
      <c r="AD2359" s="52" t="n">
        <v>0</v>
      </c>
      <c r="AE2359" s="52" t="n">
        <v>0</v>
      </c>
      <c r="AF2359" s="52" t="n">
        <v>0</v>
      </c>
      <c r="AG2359" s="52" t="n">
        <v>0</v>
      </c>
      <c r="AH2359" s="52" t="n">
        <v>0</v>
      </c>
      <c r="AI2359" s="52" t="n">
        <v>0</v>
      </c>
      <c r="AJ2359" s="52" t="n">
        <v>0</v>
      </c>
      <c r="AK2359" s="52" t="n">
        <v>0</v>
      </c>
      <c r="AL2359" s="52" t="n">
        <v>0</v>
      </c>
      <c r="AM2359" s="53" t="n">
        <v>0</v>
      </c>
      <c r="AN2359" s="53" t="n">
        <v>0</v>
      </c>
      <c r="AO2359" s="53" t="n">
        <v>0</v>
      </c>
      <c r="AP2359" s="53" t="n">
        <v>0</v>
      </c>
      <c r="AQ2359" s="52" t="n">
        <v>0</v>
      </c>
      <c r="AR2359" s="52" t="n">
        <v>0</v>
      </c>
      <c r="AS2359" s="52" t="n">
        <v>0</v>
      </c>
      <c r="AT2359" s="52" t="n">
        <v>0</v>
      </c>
      <c r="AU2359" s="53" t="n">
        <v>0</v>
      </c>
      <c r="AV2359" s="53" t="n">
        <v>0</v>
      </c>
      <c r="AW2359" s="53" t="n">
        <v>0</v>
      </c>
      <c r="AX2359" s="53" t="n">
        <v>0</v>
      </c>
      <c r="AY2359" s="52" t="n">
        <v>0</v>
      </c>
      <c r="AZ2359" s="52" t="n">
        <v>0</v>
      </c>
      <c r="BA2359" s="52" t="n">
        <v>0</v>
      </c>
      <c r="BB2359" s="52" t="n">
        <v>0</v>
      </c>
      <c r="BC2359" s="51" t="n">
        <v>0</v>
      </c>
      <c r="BD2359" s="51" t="n">
        <v>0</v>
      </c>
      <c r="BE2359" s="51" t="n">
        <v>0</v>
      </c>
      <c r="BF2359" s="51" t="n">
        <v>0</v>
      </c>
    </row>
    <row r="2360">
      <c r="A2360">
        <f>HYPERLINK("https://www.walmart.com/ip/1639170868", "1639170868")</f>
        <v/>
      </c>
      <c r="B2360" t="inlineStr">
        <is>
          <t>Catalonia All Season Knitted Acrylic Throw Blanket, Cozy Leisure Lightweight Decorative Blanket with Fringe for Bed, Couch, Living Room, Machine Washable, Teal, 50'' × 60''</t>
        </is>
      </c>
      <c r="C2360" t="inlineStr">
        <is>
          <t>1CTBN510TL</t>
        </is>
      </c>
      <c r="D2360" t="inlineStr">
        <is>
          <t>Throws</t>
        </is>
      </c>
      <c r="E2360" t="inlineStr">
        <is>
          <t>Catalonia</t>
        </is>
      </c>
      <c r="F2360" t="inlineStr">
        <is>
          <t>Coupon_Discount,Batch 1 - TR</t>
        </is>
      </c>
      <c r="G2360" s="48" t="n">
        <v>0</v>
      </c>
      <c r="H2360" s="48" t="n">
        <v>0</v>
      </c>
      <c r="I2360" s="48" t="n">
        <v>0</v>
      </c>
      <c r="J2360" s="48" t="n">
        <v>0</v>
      </c>
      <c r="K2360" s="49" t="n">
        <v>0</v>
      </c>
      <c r="L2360" s="49" t="n">
        <v>0</v>
      </c>
      <c r="M2360" s="49" t="n">
        <v>0</v>
      </c>
      <c r="N2360" s="49" t="n">
        <v>0</v>
      </c>
      <c r="O2360" s="49" t="n">
        <v>0</v>
      </c>
      <c r="P2360" s="49" t="n">
        <v>0</v>
      </c>
      <c r="Q2360" s="49" t="n">
        <v>0</v>
      </c>
      <c r="R2360" s="49" t="n">
        <v>0</v>
      </c>
      <c r="S2360" s="50" t="n">
        <v>0</v>
      </c>
      <c r="T2360" s="50" t="n">
        <v>0</v>
      </c>
      <c r="U2360" s="50" t="n">
        <v>0</v>
      </c>
      <c r="V2360" s="50" t="n">
        <v>0</v>
      </c>
      <c r="W2360" s="51" t="n">
        <v>0</v>
      </c>
      <c r="X2360" s="51" t="n">
        <v>0</v>
      </c>
      <c r="Y2360" s="51" t="n">
        <v>0</v>
      </c>
      <c r="Z2360" s="51" t="n">
        <v>0</v>
      </c>
      <c r="AA2360" s="52" t="n">
        <v>0</v>
      </c>
      <c r="AB2360" s="52" t="n">
        <v>0</v>
      </c>
      <c r="AC2360" s="52" t="n">
        <v>0</v>
      </c>
      <c r="AD2360" s="52" t="n">
        <v>0</v>
      </c>
      <c r="AE2360" s="52" t="n">
        <v>0</v>
      </c>
      <c r="AF2360" s="52" t="n">
        <v>0</v>
      </c>
      <c r="AG2360" s="52" t="n">
        <v>0</v>
      </c>
      <c r="AH2360" s="52" t="n">
        <v>0</v>
      </c>
      <c r="AI2360" s="52" t="n">
        <v>0</v>
      </c>
      <c r="AJ2360" s="52" t="n">
        <v>0</v>
      </c>
      <c r="AK2360" s="52" t="n">
        <v>0</v>
      </c>
      <c r="AL2360" s="52" t="n">
        <v>0</v>
      </c>
      <c r="AM2360" s="53" t="n">
        <v>0</v>
      </c>
      <c r="AN2360" s="53" t="n">
        <v>0</v>
      </c>
      <c r="AO2360" s="53" t="n">
        <v>0</v>
      </c>
      <c r="AP2360" s="53" t="n">
        <v>0</v>
      </c>
      <c r="AQ2360" s="52" t="n">
        <v>0</v>
      </c>
      <c r="AR2360" s="52" t="n">
        <v>0</v>
      </c>
      <c r="AS2360" s="52" t="n">
        <v>0</v>
      </c>
      <c r="AT2360" s="52" t="n">
        <v>0</v>
      </c>
      <c r="AU2360" s="53" t="n">
        <v>0</v>
      </c>
      <c r="AV2360" s="53" t="n">
        <v>0</v>
      </c>
      <c r="AW2360" s="53" t="n">
        <v>0</v>
      </c>
      <c r="AX2360" s="53" t="n">
        <v>0</v>
      </c>
      <c r="AY2360" s="52" t="n">
        <v>0</v>
      </c>
      <c r="AZ2360" s="52" t="n">
        <v>0</v>
      </c>
      <c r="BA2360" s="52" t="n">
        <v>0</v>
      </c>
      <c r="BB2360" s="52" t="n">
        <v>0</v>
      </c>
      <c r="BC2360" s="51" t="n">
        <v>0</v>
      </c>
      <c r="BD2360" s="51" t="n">
        <v>0</v>
      </c>
      <c r="BE2360" s="51" t="n">
        <v>0</v>
      </c>
      <c r="BF2360" s="51" t="n">
        <v>0</v>
      </c>
    </row>
    <row r="2361">
      <c r="A2361">
        <f>HYPERLINK("https://www.walmart.com/ip/16392313844", "16392313844")</f>
        <v/>
      </c>
      <c r="B2361" t="inlineStr">
        <is>
          <t>Catalonia Lightweight Ladies Bathrobe, Long Summer Robe with Pockets,Soft Summer Robes for Women, Kimono Gift for Her, Green</t>
        </is>
      </c>
      <c r="C2361" t="inlineStr">
        <is>
          <t>1CTRB504GN-3</t>
        </is>
      </c>
      <c r="D2361" t="inlineStr">
        <is>
          <t>Sleepwear Robes &amp; Bathrobes</t>
        </is>
      </c>
      <c r="E2361" t="inlineStr">
        <is>
          <t>Catalonia</t>
        </is>
      </c>
      <c r="G2361" s="48" t="n">
        <v>0</v>
      </c>
      <c r="H2361" s="48" t="n">
        <v>0</v>
      </c>
      <c r="I2361" s="48" t="n">
        <v>0</v>
      </c>
      <c r="J2361" s="48" t="n">
        <v>0</v>
      </c>
      <c r="K2361" s="49" t="n">
        <v>0</v>
      </c>
      <c r="L2361" s="49" t="n">
        <v>0</v>
      </c>
      <c r="M2361" s="49" t="n">
        <v>0</v>
      </c>
      <c r="N2361" s="49" t="n">
        <v>0</v>
      </c>
      <c r="O2361" s="49" t="n">
        <v>0</v>
      </c>
      <c r="P2361" s="49" t="n">
        <v>0</v>
      </c>
      <c r="Q2361" s="49" t="n">
        <v>0</v>
      </c>
      <c r="R2361" s="49" t="n">
        <v>0</v>
      </c>
      <c r="S2361" s="50" t="n">
        <v>0</v>
      </c>
      <c r="T2361" s="50" t="n">
        <v>0</v>
      </c>
      <c r="U2361" s="50" t="n">
        <v>0</v>
      </c>
      <c r="V2361" s="50" t="n">
        <v>0</v>
      </c>
      <c r="W2361" s="51" t="n">
        <v>0</v>
      </c>
      <c r="X2361" s="51" t="n">
        <v>0</v>
      </c>
      <c r="Y2361" s="51" t="n">
        <v>0</v>
      </c>
      <c r="Z2361" s="51" t="n">
        <v>0</v>
      </c>
      <c r="AA2361" s="52" t="n">
        <v>0</v>
      </c>
      <c r="AB2361" s="52" t="n">
        <v>0</v>
      </c>
      <c r="AC2361" s="52" t="n">
        <v>0</v>
      </c>
      <c r="AD2361" s="52" t="n">
        <v>0</v>
      </c>
      <c r="AE2361" s="52" t="n">
        <v>0</v>
      </c>
      <c r="AF2361" s="52" t="n">
        <v>0</v>
      </c>
      <c r="AG2361" s="52" t="n">
        <v>0</v>
      </c>
      <c r="AH2361" s="52" t="n">
        <v>0</v>
      </c>
      <c r="AI2361" s="52" t="n">
        <v>0</v>
      </c>
      <c r="AJ2361" s="52" t="n">
        <v>0</v>
      </c>
      <c r="AK2361" s="52" t="n">
        <v>0</v>
      </c>
      <c r="AL2361" s="52" t="n">
        <v>0</v>
      </c>
      <c r="AM2361" s="53" t="n">
        <v>0</v>
      </c>
      <c r="AN2361" s="53" t="n">
        <v>0</v>
      </c>
      <c r="AO2361" s="53" t="n">
        <v>0</v>
      </c>
      <c r="AP2361" s="53" t="n">
        <v>0</v>
      </c>
      <c r="AQ2361" s="52" t="n">
        <v>0</v>
      </c>
      <c r="AR2361" s="52" t="n">
        <v>0</v>
      </c>
      <c r="AS2361" s="52" t="n">
        <v>0</v>
      </c>
      <c r="AT2361" s="52" t="n">
        <v>0</v>
      </c>
      <c r="AU2361" s="53" t="n">
        <v>0</v>
      </c>
      <c r="AV2361" s="53" t="n">
        <v>0</v>
      </c>
      <c r="AW2361" s="53" t="n">
        <v>0</v>
      </c>
      <c r="AX2361" s="53" t="n">
        <v>0</v>
      </c>
      <c r="AY2361" s="52" t="n">
        <v>0</v>
      </c>
      <c r="AZ2361" s="52" t="n">
        <v>0</v>
      </c>
      <c r="BA2361" s="52" t="n">
        <v>0</v>
      </c>
      <c r="BB2361" s="52" t="n">
        <v>0</v>
      </c>
      <c r="BC2361" s="51" t="n">
        <v>0</v>
      </c>
      <c r="BD2361" s="51" t="n">
        <v>0</v>
      </c>
      <c r="BE2361" s="51" t="n">
        <v>0</v>
      </c>
      <c r="BF2361" s="51" t="n">
        <v>0</v>
      </c>
    </row>
    <row r="2362">
      <c r="A2362">
        <f>HYPERLINK("https://www.walmart.com/ip/163997062", "163997062")</f>
        <v/>
      </c>
      <c r="B2362" t="inlineStr">
        <is>
          <t>JenniWears Adjustable Female Sexy Lace Garter Belt High Waisted Suspender for Party Cosplay Activity, Black, 3 Pack</t>
        </is>
      </c>
      <c r="C2362" t="inlineStr">
        <is>
          <t>JWBLSPH5003-3pcs</t>
        </is>
      </c>
      <c r="D2362" t="inlineStr">
        <is>
          <t>Garter Belts</t>
        </is>
      </c>
      <c r="E2362" t="inlineStr">
        <is>
          <t>JenniWears</t>
        </is>
      </c>
      <c r="F2362" t="inlineStr">
        <is>
          <t>Optimized,Valentine</t>
        </is>
      </c>
      <c r="G2362" s="48" t="n">
        <v>0</v>
      </c>
      <c r="H2362" s="48" t="n">
        <v>0</v>
      </c>
      <c r="I2362" s="48" t="n">
        <v>0</v>
      </c>
      <c r="J2362" s="48" t="n">
        <v>0</v>
      </c>
      <c r="K2362" s="49" t="n">
        <v>0</v>
      </c>
      <c r="L2362" s="49" t="n">
        <v>0</v>
      </c>
      <c r="M2362" s="49" t="n">
        <v>0</v>
      </c>
      <c r="N2362" s="49" t="n">
        <v>0</v>
      </c>
      <c r="O2362" s="49" t="n">
        <v>0</v>
      </c>
      <c r="P2362" s="49" t="n">
        <v>0</v>
      </c>
      <c r="Q2362" s="49" t="n">
        <v>0</v>
      </c>
      <c r="R2362" s="49" t="n">
        <v>0</v>
      </c>
      <c r="S2362" s="50" t="n">
        <v>0</v>
      </c>
      <c r="T2362" s="50" t="n">
        <v>0</v>
      </c>
      <c r="U2362" s="50" t="n">
        <v>0</v>
      </c>
      <c r="V2362" s="50" t="n">
        <v>0</v>
      </c>
      <c r="W2362" s="51" t="n">
        <v>0</v>
      </c>
      <c r="X2362" s="51" t="n">
        <v>0</v>
      </c>
      <c r="Y2362" s="51" t="n">
        <v>0</v>
      </c>
      <c r="Z2362" s="51" t="n">
        <v>0</v>
      </c>
      <c r="AA2362" s="52" t="n">
        <v>0</v>
      </c>
      <c r="AB2362" s="52" t="n">
        <v>0</v>
      </c>
      <c r="AC2362" s="52" t="n">
        <v>0</v>
      </c>
      <c r="AD2362" s="52" t="n">
        <v>0</v>
      </c>
      <c r="AE2362" s="52" t="n">
        <v>0</v>
      </c>
      <c r="AF2362" s="52" t="n">
        <v>0</v>
      </c>
      <c r="AG2362" s="52" t="n">
        <v>0</v>
      </c>
      <c r="AH2362" s="52" t="n">
        <v>0</v>
      </c>
      <c r="AI2362" s="52" t="n">
        <v>0</v>
      </c>
      <c r="AJ2362" s="52" t="n">
        <v>0</v>
      </c>
      <c r="AK2362" s="52" t="n">
        <v>0</v>
      </c>
      <c r="AL2362" s="52" t="n">
        <v>0</v>
      </c>
      <c r="AM2362" s="53" t="n">
        <v>0</v>
      </c>
      <c r="AN2362" s="53" t="n">
        <v>0</v>
      </c>
      <c r="AO2362" s="53" t="n">
        <v>0</v>
      </c>
      <c r="AP2362" s="53" t="n">
        <v>0</v>
      </c>
      <c r="AQ2362" s="52" t="n">
        <v>0</v>
      </c>
      <c r="AR2362" s="52" t="n">
        <v>0</v>
      </c>
      <c r="AS2362" s="52" t="n">
        <v>0</v>
      </c>
      <c r="AT2362" s="52" t="n">
        <v>0</v>
      </c>
      <c r="AU2362" s="53" t="n">
        <v>0</v>
      </c>
      <c r="AV2362" s="53" t="n">
        <v>0</v>
      </c>
      <c r="AW2362" s="53" t="n">
        <v>0</v>
      </c>
      <c r="AX2362" s="53" t="n">
        <v>0</v>
      </c>
      <c r="AY2362" s="52" t="n">
        <v>0</v>
      </c>
      <c r="AZ2362" s="52" t="n">
        <v>0</v>
      </c>
      <c r="BA2362" s="52" t="n">
        <v>0</v>
      </c>
      <c r="BB2362" s="52" t="n">
        <v>0</v>
      </c>
      <c r="BC2362" s="51" t="n">
        <v>0</v>
      </c>
      <c r="BD2362" s="51" t="n">
        <v>0</v>
      </c>
      <c r="BE2362" s="51" t="n">
        <v>0</v>
      </c>
      <c r="BF2362" s="51" t="n">
        <v>0</v>
      </c>
    </row>
    <row r="2363">
      <c r="A2363">
        <f>HYPERLINK("https://www.walmart.com/ip/164008515", "164008515")</f>
        <v/>
      </c>
      <c r="B2363" t="inlineStr">
        <is>
          <t>KC Caps Winter Camo Army Style Surplus Beanie Cap</t>
        </is>
      </c>
      <c r="C2363" t="inlineStr">
        <is>
          <t>KCW1721CAMO</t>
        </is>
      </c>
      <c r="D2363" t="inlineStr">
        <is>
          <t>Hats</t>
        </is>
      </c>
      <c r="E2363" t="inlineStr">
        <is>
          <t>KC Caps</t>
        </is>
      </c>
      <c r="F2363" t="inlineStr">
        <is>
          <t>Batch 1 - TR</t>
        </is>
      </c>
      <c r="G2363" s="48" t="n">
        <v>0</v>
      </c>
      <c r="H2363" s="48" t="n">
        <v>0</v>
      </c>
      <c r="I2363" s="48" t="n">
        <v>0</v>
      </c>
      <c r="J2363" s="48" t="n">
        <v>0</v>
      </c>
      <c r="K2363" s="49" t="n">
        <v>0</v>
      </c>
      <c r="L2363" s="49" t="n">
        <v>0</v>
      </c>
      <c r="M2363" s="49" t="n">
        <v>0</v>
      </c>
      <c r="N2363" s="49" t="n">
        <v>0</v>
      </c>
      <c r="O2363" s="49" t="n">
        <v>0</v>
      </c>
      <c r="P2363" s="49" t="n">
        <v>0</v>
      </c>
      <c r="Q2363" s="49" t="n">
        <v>0</v>
      </c>
      <c r="R2363" s="49" t="n">
        <v>0</v>
      </c>
      <c r="S2363" s="50" t="n">
        <v>0</v>
      </c>
      <c r="T2363" s="50" t="n">
        <v>0</v>
      </c>
      <c r="U2363" s="50" t="n">
        <v>0</v>
      </c>
      <c r="V2363" s="50" t="n">
        <v>0</v>
      </c>
      <c r="W2363" s="51" t="n">
        <v>0</v>
      </c>
      <c r="X2363" s="51" t="n">
        <v>0</v>
      </c>
      <c r="Y2363" s="51" t="n">
        <v>0</v>
      </c>
      <c r="Z2363" s="51" t="n">
        <v>0</v>
      </c>
      <c r="AA2363" s="52" t="n">
        <v>0</v>
      </c>
      <c r="AB2363" s="52" t="n">
        <v>0</v>
      </c>
      <c r="AC2363" s="52" t="n">
        <v>0</v>
      </c>
      <c r="AD2363" s="52" t="n">
        <v>0</v>
      </c>
      <c r="AE2363" s="52" t="n">
        <v>0</v>
      </c>
      <c r="AF2363" s="52" t="n">
        <v>0</v>
      </c>
      <c r="AG2363" s="52" t="n">
        <v>0</v>
      </c>
      <c r="AH2363" s="52" t="n">
        <v>0</v>
      </c>
      <c r="AI2363" s="52" t="n">
        <v>0</v>
      </c>
      <c r="AJ2363" s="52" t="n">
        <v>0</v>
      </c>
      <c r="AK2363" s="52" t="n">
        <v>0</v>
      </c>
      <c r="AL2363" s="52" t="n">
        <v>0</v>
      </c>
      <c r="AM2363" s="53" t="n">
        <v>0</v>
      </c>
      <c r="AN2363" s="53" t="n">
        <v>0</v>
      </c>
      <c r="AO2363" s="53" t="n">
        <v>0</v>
      </c>
      <c r="AP2363" s="53" t="n">
        <v>0</v>
      </c>
      <c r="AQ2363" s="52" t="n">
        <v>0</v>
      </c>
      <c r="AR2363" s="52" t="n">
        <v>0</v>
      </c>
      <c r="AS2363" s="52" t="n">
        <v>0</v>
      </c>
      <c r="AT2363" s="52" t="n">
        <v>0</v>
      </c>
      <c r="AU2363" s="53" t="n">
        <v>0</v>
      </c>
      <c r="AV2363" s="53" t="n">
        <v>0</v>
      </c>
      <c r="AW2363" s="53" t="n">
        <v>0</v>
      </c>
      <c r="AX2363" s="53" t="n">
        <v>0</v>
      </c>
      <c r="AY2363" s="52" t="n">
        <v>0</v>
      </c>
      <c r="AZ2363" s="52" t="n">
        <v>0</v>
      </c>
      <c r="BA2363" s="52" t="n">
        <v>0</v>
      </c>
      <c r="BB2363" s="52" t="n">
        <v>0</v>
      </c>
      <c r="BC2363" s="51" t="n">
        <v>0</v>
      </c>
      <c r="BD2363" s="51" t="n">
        <v>0</v>
      </c>
      <c r="BE2363" s="51" t="n">
        <v>0</v>
      </c>
      <c r="BF2363" s="51" t="n">
        <v>0</v>
      </c>
    </row>
    <row r="2364">
      <c r="A2364">
        <f>HYPERLINK("https://www.walmart.com/ip/1813176537", "1813176537")</f>
        <v/>
      </c>
      <c r="B2364" t="inlineStr">
        <is>
          <t>Unisex Hunting Fishing Cap Adjustable 3D Embroidery Baseball Hat with Air Mesh Back</t>
        </is>
      </c>
      <c r="C2364" t="inlineStr">
        <is>
          <t>1TRHT7180TREE-TBCB</t>
        </is>
      </c>
      <c r="D2364" t="inlineStr">
        <is>
          <t>Hats</t>
        </is>
      </c>
      <c r="E2364" t="inlineStr">
        <is>
          <t>Tirrinia</t>
        </is>
      </c>
      <c r="F2364" t="inlineStr">
        <is>
          <t>Batch 1 - TR</t>
        </is>
      </c>
      <c r="G2364" s="48" t="n">
        <v>0</v>
      </c>
      <c r="H2364" s="48" t="n">
        <v>0</v>
      </c>
      <c r="I2364" s="48" t="n">
        <v>0</v>
      </c>
      <c r="J2364" s="48" t="n">
        <v>15.99</v>
      </c>
      <c r="K2364" s="49" t="n">
        <v>0</v>
      </c>
      <c r="L2364" s="49" t="n">
        <v>0</v>
      </c>
      <c r="M2364" s="49" t="n">
        <v>0</v>
      </c>
      <c r="N2364" s="49" t="n">
        <v>1</v>
      </c>
      <c r="O2364" s="49" t="n">
        <v>0</v>
      </c>
      <c r="P2364" s="49" t="n">
        <v>0</v>
      </c>
      <c r="Q2364" s="49" t="n">
        <v>0</v>
      </c>
      <c r="R2364" s="49" t="n">
        <v>0</v>
      </c>
      <c r="S2364" s="50" t="n">
        <v>0</v>
      </c>
      <c r="T2364" s="50" t="n">
        <v>0</v>
      </c>
      <c r="U2364" s="50" t="n">
        <v>0</v>
      </c>
      <c r="V2364" s="50" t="n">
        <v>0</v>
      </c>
      <c r="W2364" s="51" t="n">
        <v>0</v>
      </c>
      <c r="X2364" s="51" t="n">
        <v>0</v>
      </c>
      <c r="Y2364" s="51" t="n">
        <v>0</v>
      </c>
      <c r="Z2364" s="51" t="n">
        <v>0</v>
      </c>
      <c r="AA2364" s="52" t="n">
        <v>0</v>
      </c>
      <c r="AB2364" s="52" t="n">
        <v>0</v>
      </c>
      <c r="AC2364" s="52" t="n">
        <v>0</v>
      </c>
      <c r="AD2364" s="52" t="n">
        <v>0</v>
      </c>
      <c r="AE2364" s="52" t="n">
        <v>0</v>
      </c>
      <c r="AF2364" s="52" t="n">
        <v>0</v>
      </c>
      <c r="AG2364" s="52" t="n">
        <v>0</v>
      </c>
      <c r="AH2364" s="52" t="n">
        <v>0</v>
      </c>
      <c r="AI2364" s="52" t="n">
        <v>0</v>
      </c>
      <c r="AJ2364" s="52" t="n">
        <v>0</v>
      </c>
      <c r="AK2364" s="52" t="n">
        <v>0</v>
      </c>
      <c r="AL2364" s="52" t="n">
        <v>0</v>
      </c>
      <c r="AM2364" s="53" t="n">
        <v>0</v>
      </c>
      <c r="AN2364" s="53" t="n">
        <v>0</v>
      </c>
      <c r="AO2364" s="53" t="n">
        <v>0</v>
      </c>
      <c r="AP2364" s="53" t="n">
        <v>0</v>
      </c>
      <c r="AQ2364" s="52" t="n">
        <v>0</v>
      </c>
      <c r="AR2364" s="52" t="n">
        <v>0</v>
      </c>
      <c r="AS2364" s="52" t="n">
        <v>0</v>
      </c>
      <c r="AT2364" s="52" t="n">
        <v>0</v>
      </c>
      <c r="AU2364" s="53" t="n">
        <v>0</v>
      </c>
      <c r="AV2364" s="53" t="n">
        <v>0</v>
      </c>
      <c r="AW2364" s="53" t="n">
        <v>0</v>
      </c>
      <c r="AX2364" s="53" t="n">
        <v>0</v>
      </c>
      <c r="AY2364" s="52" t="n">
        <v>0</v>
      </c>
      <c r="AZ2364" s="52" t="n">
        <v>0</v>
      </c>
      <c r="BA2364" s="52" t="n">
        <v>0</v>
      </c>
      <c r="BB2364" s="52" t="n">
        <v>15.99</v>
      </c>
      <c r="BC2364" s="51" t="n">
        <v>0</v>
      </c>
      <c r="BD2364" s="51" t="n">
        <v>0</v>
      </c>
      <c r="BE2364" s="51" t="n">
        <v>0</v>
      </c>
      <c r="BF2364" s="51" t="n">
        <v>0</v>
      </c>
    </row>
    <row r="2365">
      <c r="A2365">
        <f>HYPERLINK("https://www.walmart.com/ip/181224146", "181224146")</f>
        <v/>
      </c>
      <c r="B2365" t="inlineStr">
        <is>
          <t>KC Caps Youth Washed Bucket Hat One Size Fit Most</t>
        </is>
      </c>
      <c r="C2365" t="inlineStr">
        <is>
          <t>KC9180BK-Y</t>
        </is>
      </c>
      <c r="D2365" t="inlineStr">
        <is>
          <t>Hats</t>
        </is>
      </c>
      <c r="E2365" t="inlineStr">
        <is>
          <t>KC Caps</t>
        </is>
      </c>
      <c r="F2365" t="inlineStr">
        <is>
          <t>Batch 1 - TR</t>
        </is>
      </c>
      <c r="G2365" s="48" t="n">
        <v>0</v>
      </c>
      <c r="H2365" s="48" t="n">
        <v>0</v>
      </c>
      <c r="I2365" s="48" t="n">
        <v>0</v>
      </c>
      <c r="J2365" s="48" t="n">
        <v>0</v>
      </c>
      <c r="K2365" s="49" t="n">
        <v>0</v>
      </c>
      <c r="L2365" s="49" t="n">
        <v>0</v>
      </c>
      <c r="M2365" s="49" t="n">
        <v>0</v>
      </c>
      <c r="N2365" s="49" t="n">
        <v>0</v>
      </c>
      <c r="O2365" s="49" t="n">
        <v>0</v>
      </c>
      <c r="P2365" s="49" t="n">
        <v>0</v>
      </c>
      <c r="Q2365" s="49" t="n">
        <v>0</v>
      </c>
      <c r="R2365" s="49" t="n">
        <v>0</v>
      </c>
      <c r="S2365" s="50" t="n">
        <v>0</v>
      </c>
      <c r="T2365" s="50" t="n">
        <v>0</v>
      </c>
      <c r="U2365" s="50" t="n">
        <v>0</v>
      </c>
      <c r="V2365" s="50" t="n">
        <v>0</v>
      </c>
      <c r="W2365" s="51" t="n">
        <v>0</v>
      </c>
      <c r="X2365" s="51" t="n">
        <v>0</v>
      </c>
      <c r="Y2365" s="51" t="n">
        <v>0</v>
      </c>
      <c r="Z2365" s="51" t="n">
        <v>0</v>
      </c>
      <c r="AA2365" s="52" t="n">
        <v>0</v>
      </c>
      <c r="AB2365" s="52" t="n">
        <v>0</v>
      </c>
      <c r="AC2365" s="52" t="n">
        <v>0</v>
      </c>
      <c r="AD2365" s="52" t="n">
        <v>0</v>
      </c>
      <c r="AE2365" s="52" t="n">
        <v>0</v>
      </c>
      <c r="AF2365" s="52" t="n">
        <v>0</v>
      </c>
      <c r="AG2365" s="52" t="n">
        <v>0</v>
      </c>
      <c r="AH2365" s="52" t="n">
        <v>0</v>
      </c>
      <c r="AI2365" s="52" t="n">
        <v>0</v>
      </c>
      <c r="AJ2365" s="52" t="n">
        <v>0</v>
      </c>
      <c r="AK2365" s="52" t="n">
        <v>0</v>
      </c>
      <c r="AL2365" s="52" t="n">
        <v>0</v>
      </c>
      <c r="AM2365" s="53" t="n">
        <v>0</v>
      </c>
      <c r="AN2365" s="53" t="n">
        <v>0</v>
      </c>
      <c r="AO2365" s="53" t="n">
        <v>0</v>
      </c>
      <c r="AP2365" s="53" t="n">
        <v>0</v>
      </c>
      <c r="AQ2365" s="52" t="n">
        <v>0</v>
      </c>
      <c r="AR2365" s="52" t="n">
        <v>0</v>
      </c>
      <c r="AS2365" s="52" t="n">
        <v>0</v>
      </c>
      <c r="AT2365" s="52" t="n">
        <v>0</v>
      </c>
      <c r="AU2365" s="53" t="n">
        <v>0</v>
      </c>
      <c r="AV2365" s="53" t="n">
        <v>0</v>
      </c>
      <c r="AW2365" s="53" t="n">
        <v>0</v>
      </c>
      <c r="AX2365" s="53" t="n">
        <v>0</v>
      </c>
      <c r="AY2365" s="52" t="n">
        <v>0</v>
      </c>
      <c r="AZ2365" s="52" t="n">
        <v>0</v>
      </c>
      <c r="BA2365" s="52" t="n">
        <v>0</v>
      </c>
      <c r="BB2365" s="52" t="n">
        <v>0</v>
      </c>
      <c r="BC2365" s="51" t="n">
        <v>0</v>
      </c>
      <c r="BD2365" s="51" t="n">
        <v>0</v>
      </c>
      <c r="BE2365" s="51" t="n">
        <v>0</v>
      </c>
      <c r="BF2365" s="51" t="n">
        <v>0</v>
      </c>
    </row>
    <row r="2366">
      <c r="A2366">
        <f>HYPERLINK("https://www.walmart.com/ip/190880400", "190880400")</f>
        <v/>
      </c>
      <c r="B2366" t="inlineStr">
        <is>
          <t>Sun Blocker UV Protection Hat Unisex Wide Brim Large Bill Neck Flap Mesh Nets with Adjustable Drawstring Khaki</t>
        </is>
      </c>
      <c r="C2366" t="inlineStr">
        <is>
          <t>KC-S9152-KK</t>
        </is>
      </c>
      <c r="D2366" t="inlineStr">
        <is>
          <t>Hats</t>
        </is>
      </c>
      <c r="E2366" t="inlineStr">
        <is>
          <t>Tirrinia</t>
        </is>
      </c>
      <c r="F2366" t="inlineStr">
        <is>
          <t>Hats,Batch 1 - TR</t>
        </is>
      </c>
      <c r="G2366" s="48" t="n">
        <v>0</v>
      </c>
      <c r="H2366" s="48" t="n">
        <v>0</v>
      </c>
      <c r="I2366" s="48" t="n">
        <v>14.99</v>
      </c>
      <c r="J2366" s="48" t="n">
        <v>29.98</v>
      </c>
      <c r="K2366" s="49" t="n">
        <v>0</v>
      </c>
      <c r="L2366" s="49" t="n">
        <v>0</v>
      </c>
      <c r="M2366" s="49" t="n">
        <v>1</v>
      </c>
      <c r="N2366" s="49" t="n">
        <v>2</v>
      </c>
      <c r="O2366" s="49" t="n">
        <v>3</v>
      </c>
      <c r="P2366" s="49" t="n">
        <v>2</v>
      </c>
      <c r="Q2366" s="49" t="n">
        <v>6</v>
      </c>
      <c r="R2366" s="49" t="n">
        <v>5</v>
      </c>
      <c r="S2366" s="50" t="n">
        <v>0</v>
      </c>
      <c r="T2366" s="50" t="n">
        <v>0</v>
      </c>
      <c r="U2366" s="50" t="n">
        <v>0.1666666666666667</v>
      </c>
      <c r="V2366" s="50" t="n">
        <v>0.4</v>
      </c>
      <c r="W2366" s="51" t="n">
        <v>11</v>
      </c>
      <c r="X2366" s="51" t="n">
        <v>12</v>
      </c>
      <c r="Y2366" s="51" t="n">
        <v>8</v>
      </c>
      <c r="Z2366" s="51" t="n">
        <v>23</v>
      </c>
      <c r="AA2366" s="52" t="n">
        <v>2.2</v>
      </c>
      <c r="AB2366" s="52" t="n">
        <v>2.4</v>
      </c>
      <c r="AC2366" s="52" t="n">
        <v>1.6</v>
      </c>
      <c r="AD2366" s="52" t="n">
        <v>4.600000000000001</v>
      </c>
      <c r="AE2366" s="52" t="n">
        <v>0</v>
      </c>
      <c r="AF2366" s="52" t="n">
        <v>47.97</v>
      </c>
      <c r="AG2366" s="52" t="n">
        <v>14.99</v>
      </c>
      <c r="AH2366" s="52" t="n">
        <v>14.99</v>
      </c>
      <c r="AI2366" s="52" t="n">
        <v>0</v>
      </c>
      <c r="AJ2366" s="52" t="n">
        <v>19.99</v>
      </c>
      <c r="AK2366" s="52" t="n">
        <v>9.369999999999999</v>
      </c>
      <c r="AL2366" s="52" t="n">
        <v>3.26</v>
      </c>
      <c r="AM2366" s="53" t="n">
        <v>0.0012</v>
      </c>
      <c r="AN2366" s="53" t="n">
        <v>0.0013</v>
      </c>
      <c r="AO2366" s="53" t="n">
        <v>0.0007</v>
      </c>
      <c r="AP2366" s="53" t="n">
        <v>0.0022</v>
      </c>
      <c r="AQ2366" s="52" t="n">
        <v>0.2</v>
      </c>
      <c r="AR2366" s="52" t="n">
        <v>0.2</v>
      </c>
      <c r="AS2366" s="52" t="n">
        <v>0.2</v>
      </c>
      <c r="AT2366" s="52" t="n">
        <v>0.2</v>
      </c>
      <c r="AU2366" s="53" t="n">
        <v>0</v>
      </c>
      <c r="AV2366" s="53" t="n">
        <v>0</v>
      </c>
      <c r="AW2366" s="53" t="n">
        <v>0.1067378252168112</v>
      </c>
      <c r="AX2366" s="53" t="n">
        <v>0.1534356237491661</v>
      </c>
      <c r="AY2366" s="52" t="n">
        <v>0</v>
      </c>
      <c r="AZ2366" s="52" t="n">
        <v>0</v>
      </c>
      <c r="BA2366" s="52" t="n">
        <v>14.99</v>
      </c>
      <c r="BB2366" s="52" t="n">
        <v>14.99</v>
      </c>
      <c r="BC2366" s="51" t="n">
        <v>8870</v>
      </c>
      <c r="BD2366" s="51" t="n">
        <v>8984</v>
      </c>
      <c r="BE2366" s="51" t="n">
        <v>11202</v>
      </c>
      <c r="BF2366" s="51" t="n">
        <v>10271</v>
      </c>
    </row>
    <row r="2367">
      <c r="A2367">
        <f>HYPERLINK("https://www.walmart.com/ip/1944362249", "1944362249")</f>
        <v/>
      </c>
      <c r="B2367" t="inlineStr">
        <is>
          <t>Every Day is Christmas Glass Blown Ornaments Cute Hand Made Figurines Tree Decoration, Teacher Pens</t>
        </is>
      </c>
      <c r="C2367" t="inlineStr">
        <is>
          <t>EDC-FIGURINE-TEACHERPENS</t>
        </is>
      </c>
      <c r="D2367" t="inlineStr">
        <is>
          <t>Ornaments</t>
        </is>
      </c>
      <c r="E2367" t="inlineStr">
        <is>
          <t>Every Day is Christmas</t>
        </is>
      </c>
      <c r="G2367" s="48" t="n">
        <v>0</v>
      </c>
      <c r="H2367" s="48" t="n">
        <v>0</v>
      </c>
      <c r="I2367" s="48" t="n">
        <v>0</v>
      </c>
      <c r="J2367" s="48" t="n">
        <v>0</v>
      </c>
      <c r="K2367" s="49" t="n">
        <v>0</v>
      </c>
      <c r="L2367" s="49" t="n">
        <v>0</v>
      </c>
      <c r="M2367" s="49" t="n">
        <v>0</v>
      </c>
      <c r="N2367" s="49" t="n">
        <v>0</v>
      </c>
      <c r="O2367" s="49" t="n">
        <v>0</v>
      </c>
      <c r="P2367" s="49" t="n">
        <v>0</v>
      </c>
      <c r="Q2367" s="49" t="n">
        <v>0</v>
      </c>
      <c r="R2367" s="49" t="n">
        <v>0</v>
      </c>
      <c r="S2367" s="50" t="n">
        <v>0</v>
      </c>
      <c r="T2367" s="50" t="n">
        <v>0</v>
      </c>
      <c r="U2367" s="50" t="n">
        <v>0</v>
      </c>
      <c r="V2367" s="50" t="n">
        <v>0</v>
      </c>
      <c r="W2367" s="51" t="n">
        <v>0</v>
      </c>
      <c r="X2367" s="51" t="n">
        <v>0</v>
      </c>
      <c r="Y2367" s="51" t="n">
        <v>0</v>
      </c>
      <c r="Z2367" s="51" t="n">
        <v>0</v>
      </c>
      <c r="AA2367" s="52" t="n">
        <v>0</v>
      </c>
      <c r="AB2367" s="52" t="n">
        <v>0</v>
      </c>
      <c r="AC2367" s="52" t="n">
        <v>0</v>
      </c>
      <c r="AD2367" s="52" t="n">
        <v>0</v>
      </c>
      <c r="AE2367" s="52" t="n">
        <v>0</v>
      </c>
      <c r="AF2367" s="52" t="n">
        <v>0</v>
      </c>
      <c r="AG2367" s="52" t="n">
        <v>0</v>
      </c>
      <c r="AH2367" s="52" t="n">
        <v>0</v>
      </c>
      <c r="AI2367" s="52" t="n">
        <v>0</v>
      </c>
      <c r="AJ2367" s="52" t="n">
        <v>0</v>
      </c>
      <c r="AK2367" s="52" t="n">
        <v>0</v>
      </c>
      <c r="AL2367" s="52" t="n">
        <v>0</v>
      </c>
      <c r="AM2367" s="53" t="n">
        <v>0</v>
      </c>
      <c r="AN2367" s="53" t="n">
        <v>0</v>
      </c>
      <c r="AO2367" s="53" t="n">
        <v>0</v>
      </c>
      <c r="AP2367" s="53" t="n">
        <v>0</v>
      </c>
      <c r="AQ2367" s="52" t="n">
        <v>0</v>
      </c>
      <c r="AR2367" s="52" t="n">
        <v>0</v>
      </c>
      <c r="AS2367" s="52" t="n">
        <v>0</v>
      </c>
      <c r="AT2367" s="52" t="n">
        <v>0</v>
      </c>
      <c r="AU2367" s="53" t="n">
        <v>0</v>
      </c>
      <c r="AV2367" s="53" t="n">
        <v>0</v>
      </c>
      <c r="AW2367" s="53" t="n">
        <v>0</v>
      </c>
      <c r="AX2367" s="53" t="n">
        <v>0</v>
      </c>
      <c r="AY2367" s="52" t="n">
        <v>0</v>
      </c>
      <c r="AZ2367" s="52" t="n">
        <v>0</v>
      </c>
      <c r="BA2367" s="52" t="n">
        <v>0</v>
      </c>
      <c r="BB2367" s="52" t="n">
        <v>0</v>
      </c>
      <c r="BC2367" s="51" t="n">
        <v>0</v>
      </c>
      <c r="BD2367" s="51" t="n">
        <v>0</v>
      </c>
      <c r="BE2367" s="51" t="n">
        <v>0</v>
      </c>
      <c r="BF2367" s="51" t="n">
        <v>0</v>
      </c>
    </row>
    <row r="2368">
      <c r="A2368">
        <f>HYPERLINK("https://www.walmart.com/ip/193064340", "193064340")</f>
        <v/>
      </c>
      <c r="B2368" t="inlineStr">
        <is>
          <t>Tirrinia Blue Buffalo Plaid Fleece Blanket TV Throw 50" x 60", Super Soft Warm Comfy Flannel Fleece Bedding Couch Cabin Throw Decorative Blankets</t>
        </is>
      </c>
      <c r="C2368" t="inlineStr">
        <is>
          <t>1TRBF576PBL</t>
        </is>
      </c>
      <c r="D2368" t="inlineStr">
        <is>
          <t>Throws</t>
        </is>
      </c>
      <c r="E2368" t="inlineStr">
        <is>
          <t>Tirrinia</t>
        </is>
      </c>
      <c r="F2368" t="inlineStr">
        <is>
          <t>Q2-Target,WFS,Coupon_Discount,WFS Item,Fleece Blankets</t>
        </is>
      </c>
      <c r="G2368" s="48" t="n">
        <v>0</v>
      </c>
      <c r="H2368" s="48" t="n">
        <v>0</v>
      </c>
      <c r="I2368" s="48" t="n">
        <v>0</v>
      </c>
      <c r="J2368" s="48" t="n">
        <v>0</v>
      </c>
      <c r="K2368" s="49" t="n">
        <v>0</v>
      </c>
      <c r="L2368" s="49" t="n">
        <v>0</v>
      </c>
      <c r="M2368" s="49" t="n">
        <v>0</v>
      </c>
      <c r="N2368" s="49" t="n">
        <v>0</v>
      </c>
      <c r="O2368" s="49" t="n">
        <v>0</v>
      </c>
      <c r="P2368" s="49" t="n">
        <v>0</v>
      </c>
      <c r="Q2368" s="49" t="n">
        <v>0</v>
      </c>
      <c r="R2368" s="49" t="n">
        <v>0</v>
      </c>
      <c r="S2368" s="50" t="n">
        <v>0</v>
      </c>
      <c r="T2368" s="50" t="n">
        <v>0</v>
      </c>
      <c r="U2368" s="50" t="n">
        <v>0</v>
      </c>
      <c r="V2368" s="50" t="n">
        <v>0</v>
      </c>
      <c r="W2368" s="51" t="n">
        <v>0</v>
      </c>
      <c r="X2368" s="51" t="n">
        <v>0</v>
      </c>
      <c r="Y2368" s="51" t="n">
        <v>0</v>
      </c>
      <c r="Z2368" s="51" t="n">
        <v>0</v>
      </c>
      <c r="AA2368" s="52" t="n">
        <v>0</v>
      </c>
      <c r="AB2368" s="52" t="n">
        <v>0</v>
      </c>
      <c r="AC2368" s="52" t="n">
        <v>0</v>
      </c>
      <c r="AD2368" s="52" t="n">
        <v>0</v>
      </c>
      <c r="AE2368" s="52" t="n">
        <v>0</v>
      </c>
      <c r="AF2368" s="52" t="n">
        <v>0</v>
      </c>
      <c r="AG2368" s="52" t="n">
        <v>0</v>
      </c>
      <c r="AH2368" s="52" t="n">
        <v>0</v>
      </c>
      <c r="AI2368" s="52" t="n">
        <v>0</v>
      </c>
      <c r="AJ2368" s="52" t="n">
        <v>0</v>
      </c>
      <c r="AK2368" s="52" t="n">
        <v>0</v>
      </c>
      <c r="AL2368" s="52" t="n">
        <v>0</v>
      </c>
      <c r="AM2368" s="53" t="n">
        <v>0</v>
      </c>
      <c r="AN2368" s="53" t="n">
        <v>0</v>
      </c>
      <c r="AO2368" s="53" t="n">
        <v>0</v>
      </c>
      <c r="AP2368" s="53" t="n">
        <v>0</v>
      </c>
      <c r="AQ2368" s="52" t="n">
        <v>0</v>
      </c>
      <c r="AR2368" s="52" t="n">
        <v>0</v>
      </c>
      <c r="AS2368" s="52" t="n">
        <v>0</v>
      </c>
      <c r="AT2368" s="52" t="n">
        <v>0</v>
      </c>
      <c r="AU2368" s="53" t="n">
        <v>0</v>
      </c>
      <c r="AV2368" s="53" t="n">
        <v>0</v>
      </c>
      <c r="AW2368" s="53" t="n">
        <v>0</v>
      </c>
      <c r="AX2368" s="53" t="n">
        <v>0</v>
      </c>
      <c r="AY2368" s="52" t="n">
        <v>0</v>
      </c>
      <c r="AZ2368" s="52" t="n">
        <v>0</v>
      </c>
      <c r="BA2368" s="52" t="n">
        <v>0</v>
      </c>
      <c r="BB2368" s="52" t="n">
        <v>0</v>
      </c>
      <c r="BC2368" s="51" t="n">
        <v>0</v>
      </c>
      <c r="BD2368" s="51" t="n">
        <v>0</v>
      </c>
      <c r="BE2368" s="51" t="n">
        <v>0</v>
      </c>
      <c r="BF2368" s="51" t="n">
        <v>0</v>
      </c>
    </row>
    <row r="2369">
      <c r="A2369">
        <f>HYPERLINK("https://www.walmart.com/ip/193078391", "193078391")</f>
        <v/>
      </c>
      <c r="B2369" t="inlineStr">
        <is>
          <t>JenniWears Women's Black Open Crotch Suspender Sexy Bodystocking Lingerie</t>
        </is>
      </c>
      <c r="C2369" t="inlineStr">
        <is>
          <t>JWBS8825</t>
        </is>
      </c>
      <c r="D2369" t="inlineStr">
        <is>
          <t>Teddies &amp; Bodystockings</t>
        </is>
      </c>
      <c r="E2369" t="inlineStr">
        <is>
          <t>JenniWears</t>
        </is>
      </c>
      <c r="F2369" t="inlineStr">
        <is>
          <t>Valentine,WFS Item</t>
        </is>
      </c>
      <c r="G2369" s="48" t="n">
        <v>0</v>
      </c>
      <c r="H2369" s="48" t="n">
        <v>0</v>
      </c>
      <c r="I2369" s="48" t="n">
        <v>0</v>
      </c>
      <c r="J2369" s="48" t="n">
        <v>0</v>
      </c>
      <c r="K2369" s="49" t="n">
        <v>0</v>
      </c>
      <c r="L2369" s="49" t="n">
        <v>0</v>
      </c>
      <c r="M2369" s="49" t="n">
        <v>0</v>
      </c>
      <c r="N2369" s="49" t="n">
        <v>0</v>
      </c>
      <c r="O2369" s="49" t="n">
        <v>0</v>
      </c>
      <c r="P2369" s="49" t="n">
        <v>0</v>
      </c>
      <c r="Q2369" s="49" t="n">
        <v>0</v>
      </c>
      <c r="R2369" s="49" t="n">
        <v>0</v>
      </c>
      <c r="S2369" s="50" t="n">
        <v>0</v>
      </c>
      <c r="T2369" s="50" t="n">
        <v>0</v>
      </c>
      <c r="U2369" s="50" t="n">
        <v>0</v>
      </c>
      <c r="V2369" s="50" t="n">
        <v>0</v>
      </c>
      <c r="W2369" s="51" t="n">
        <v>0</v>
      </c>
      <c r="X2369" s="51" t="n">
        <v>0</v>
      </c>
      <c r="Y2369" s="51" t="n">
        <v>0</v>
      </c>
      <c r="Z2369" s="51" t="n">
        <v>0</v>
      </c>
      <c r="AA2369" s="52" t="n">
        <v>0</v>
      </c>
      <c r="AB2369" s="52" t="n">
        <v>0</v>
      </c>
      <c r="AC2369" s="52" t="n">
        <v>0</v>
      </c>
      <c r="AD2369" s="52" t="n">
        <v>0</v>
      </c>
      <c r="AE2369" s="52" t="n">
        <v>0</v>
      </c>
      <c r="AF2369" s="52" t="n">
        <v>0</v>
      </c>
      <c r="AG2369" s="52" t="n">
        <v>0</v>
      </c>
      <c r="AH2369" s="52" t="n">
        <v>0</v>
      </c>
      <c r="AI2369" s="52" t="n">
        <v>0</v>
      </c>
      <c r="AJ2369" s="52" t="n">
        <v>0</v>
      </c>
      <c r="AK2369" s="52" t="n">
        <v>0</v>
      </c>
      <c r="AL2369" s="52" t="n">
        <v>0</v>
      </c>
      <c r="AM2369" s="53" t="n">
        <v>0</v>
      </c>
      <c r="AN2369" s="53" t="n">
        <v>0</v>
      </c>
      <c r="AO2369" s="53" t="n">
        <v>0</v>
      </c>
      <c r="AP2369" s="53" t="n">
        <v>0</v>
      </c>
      <c r="AQ2369" s="52" t="n">
        <v>0</v>
      </c>
      <c r="AR2369" s="52" t="n">
        <v>0</v>
      </c>
      <c r="AS2369" s="52" t="n">
        <v>0</v>
      </c>
      <c r="AT2369" s="52" t="n">
        <v>0</v>
      </c>
      <c r="AU2369" s="53" t="n">
        <v>0</v>
      </c>
      <c r="AV2369" s="53" t="n">
        <v>0</v>
      </c>
      <c r="AW2369" s="53" t="n">
        <v>0</v>
      </c>
      <c r="AX2369" s="53" t="n">
        <v>0</v>
      </c>
      <c r="AY2369" s="52" t="n">
        <v>0</v>
      </c>
      <c r="AZ2369" s="52" t="n">
        <v>0</v>
      </c>
      <c r="BA2369" s="52" t="n">
        <v>0</v>
      </c>
      <c r="BB2369" s="52" t="n">
        <v>0</v>
      </c>
      <c r="BC2369" s="51" t="n">
        <v>0</v>
      </c>
      <c r="BD2369" s="51" t="n">
        <v>0</v>
      </c>
      <c r="BE2369" s="51" t="n">
        <v>0</v>
      </c>
      <c r="BF2369" s="51" t="n">
        <v>0</v>
      </c>
    </row>
    <row r="2370">
      <c r="A2370">
        <f>HYPERLINK("https://www.walmart.com/ip/193175088", "193175088")</f>
        <v/>
      </c>
      <c r="B2370" t="inlineStr">
        <is>
          <t>JenniWears Women's Floral Open Crotch Mesh Bodystockings Bodysuits</t>
        </is>
      </c>
      <c r="C2370" t="inlineStr">
        <is>
          <t>JWBS8820</t>
        </is>
      </c>
      <c r="D2370" t="inlineStr">
        <is>
          <t>Teddies &amp; Bodystockings</t>
        </is>
      </c>
      <c r="E2370" t="inlineStr">
        <is>
          <t>JenniWears</t>
        </is>
      </c>
      <c r="F2370" t="inlineStr">
        <is>
          <t>Valentine</t>
        </is>
      </c>
      <c r="G2370" s="48" t="n">
        <v>0</v>
      </c>
      <c r="H2370" s="48" t="n">
        <v>0</v>
      </c>
      <c r="I2370" s="48" t="n">
        <v>0</v>
      </c>
      <c r="J2370" s="48" t="n">
        <v>0</v>
      </c>
      <c r="K2370" s="49" t="n">
        <v>0</v>
      </c>
      <c r="L2370" s="49" t="n">
        <v>0</v>
      </c>
      <c r="M2370" s="49" t="n">
        <v>0</v>
      </c>
      <c r="N2370" s="49" t="n">
        <v>0</v>
      </c>
      <c r="O2370" s="49" t="n">
        <v>0</v>
      </c>
      <c r="P2370" s="49" t="n">
        <v>0</v>
      </c>
      <c r="Q2370" s="49" t="n">
        <v>0</v>
      </c>
      <c r="R2370" s="49" t="n">
        <v>0</v>
      </c>
      <c r="S2370" s="50" t="n">
        <v>0</v>
      </c>
      <c r="T2370" s="50" t="n">
        <v>0</v>
      </c>
      <c r="U2370" s="50" t="n">
        <v>0</v>
      </c>
      <c r="V2370" s="50" t="n">
        <v>0</v>
      </c>
      <c r="W2370" s="51" t="n">
        <v>0</v>
      </c>
      <c r="X2370" s="51" t="n">
        <v>0</v>
      </c>
      <c r="Y2370" s="51" t="n">
        <v>0</v>
      </c>
      <c r="Z2370" s="51" t="n">
        <v>0</v>
      </c>
      <c r="AA2370" s="52" t="n">
        <v>0</v>
      </c>
      <c r="AB2370" s="52" t="n">
        <v>0</v>
      </c>
      <c r="AC2370" s="52" t="n">
        <v>0</v>
      </c>
      <c r="AD2370" s="52" t="n">
        <v>0</v>
      </c>
      <c r="AE2370" s="52" t="n">
        <v>0</v>
      </c>
      <c r="AF2370" s="52" t="n">
        <v>0</v>
      </c>
      <c r="AG2370" s="52" t="n">
        <v>0</v>
      </c>
      <c r="AH2370" s="52" t="n">
        <v>0</v>
      </c>
      <c r="AI2370" s="52" t="n">
        <v>0</v>
      </c>
      <c r="AJ2370" s="52" t="n">
        <v>0</v>
      </c>
      <c r="AK2370" s="52" t="n">
        <v>0</v>
      </c>
      <c r="AL2370" s="52" t="n">
        <v>0</v>
      </c>
      <c r="AM2370" s="53" t="n">
        <v>0</v>
      </c>
      <c r="AN2370" s="53" t="n">
        <v>0</v>
      </c>
      <c r="AO2370" s="53" t="n">
        <v>0</v>
      </c>
      <c r="AP2370" s="53" t="n">
        <v>0</v>
      </c>
      <c r="AQ2370" s="52" t="n">
        <v>0</v>
      </c>
      <c r="AR2370" s="52" t="n">
        <v>0</v>
      </c>
      <c r="AS2370" s="52" t="n">
        <v>0</v>
      </c>
      <c r="AT2370" s="52" t="n">
        <v>0</v>
      </c>
      <c r="AU2370" s="53" t="n">
        <v>0</v>
      </c>
      <c r="AV2370" s="53" t="n">
        <v>0</v>
      </c>
      <c r="AW2370" s="53" t="n">
        <v>0</v>
      </c>
      <c r="AX2370" s="53" t="n">
        <v>0</v>
      </c>
      <c r="AY2370" s="52" t="n">
        <v>0</v>
      </c>
      <c r="AZ2370" s="52" t="n">
        <v>0</v>
      </c>
      <c r="BA2370" s="52" t="n">
        <v>0</v>
      </c>
      <c r="BB2370" s="52" t="n">
        <v>0</v>
      </c>
      <c r="BC2370" s="51" t="n">
        <v>0</v>
      </c>
      <c r="BD2370" s="51" t="n">
        <v>0</v>
      </c>
      <c r="BE2370" s="51" t="n">
        <v>0</v>
      </c>
      <c r="BF2370" s="51" t="n">
        <v>0</v>
      </c>
    </row>
    <row r="2371">
      <c r="A2371">
        <f>HYPERLINK("https://www.walmart.com/ip/193222130", "193222130")</f>
        <v/>
      </c>
      <c r="B2371" t="inlineStr">
        <is>
          <t>JenniWears® Women's Sexy Fever Blush Babydoll Mesh Lingerie and Wrap Robe</t>
        </is>
      </c>
      <c r="C2371" t="inlineStr">
        <is>
          <t>JWBD08WT-XL</t>
        </is>
      </c>
      <c r="D2371" t="inlineStr">
        <is>
          <t>Lingerie Sets</t>
        </is>
      </c>
      <c r="E2371" t="inlineStr">
        <is>
          <t>JenniWears</t>
        </is>
      </c>
      <c r="F2371" t="inlineStr">
        <is>
          <t>Optimized,WFS,Valentine,WFS Item</t>
        </is>
      </c>
      <c r="G2371" s="48" t="n">
        <v>0</v>
      </c>
      <c r="H2371" s="48" t="n">
        <v>0</v>
      </c>
      <c r="I2371" s="48" t="n">
        <v>0</v>
      </c>
      <c r="J2371" s="48" t="n">
        <v>0</v>
      </c>
      <c r="K2371" s="49" t="n">
        <v>0</v>
      </c>
      <c r="L2371" s="49" t="n">
        <v>0</v>
      </c>
      <c r="M2371" s="49" t="n">
        <v>0</v>
      </c>
      <c r="N2371" s="49" t="n">
        <v>0</v>
      </c>
      <c r="O2371" s="49" t="n">
        <v>0</v>
      </c>
      <c r="P2371" s="49" t="n">
        <v>0</v>
      </c>
      <c r="Q2371" s="49" t="n">
        <v>0</v>
      </c>
      <c r="R2371" s="49" t="n">
        <v>0</v>
      </c>
      <c r="S2371" s="50" t="n">
        <v>0</v>
      </c>
      <c r="T2371" s="50" t="n">
        <v>0</v>
      </c>
      <c r="U2371" s="50" t="n">
        <v>0</v>
      </c>
      <c r="V2371" s="50" t="n">
        <v>0</v>
      </c>
      <c r="W2371" s="51" t="n">
        <v>0</v>
      </c>
      <c r="X2371" s="51" t="n">
        <v>0</v>
      </c>
      <c r="Y2371" s="51" t="n">
        <v>0</v>
      </c>
      <c r="Z2371" s="51" t="n">
        <v>0</v>
      </c>
      <c r="AA2371" s="52" t="n">
        <v>0</v>
      </c>
      <c r="AB2371" s="52" t="n">
        <v>0</v>
      </c>
      <c r="AC2371" s="52" t="n">
        <v>0</v>
      </c>
      <c r="AD2371" s="52" t="n">
        <v>0</v>
      </c>
      <c r="AE2371" s="52" t="n">
        <v>0</v>
      </c>
      <c r="AF2371" s="52" t="n">
        <v>0</v>
      </c>
      <c r="AG2371" s="52" t="n">
        <v>0</v>
      </c>
      <c r="AH2371" s="52" t="n">
        <v>0</v>
      </c>
      <c r="AI2371" s="52" t="n">
        <v>0</v>
      </c>
      <c r="AJ2371" s="52" t="n">
        <v>0</v>
      </c>
      <c r="AK2371" s="52" t="n">
        <v>0</v>
      </c>
      <c r="AL2371" s="52" t="n">
        <v>0</v>
      </c>
      <c r="AM2371" s="53" t="n">
        <v>0</v>
      </c>
      <c r="AN2371" s="53" t="n">
        <v>0</v>
      </c>
      <c r="AO2371" s="53" t="n">
        <v>0</v>
      </c>
      <c r="AP2371" s="53" t="n">
        <v>0</v>
      </c>
      <c r="AQ2371" s="52" t="n">
        <v>0</v>
      </c>
      <c r="AR2371" s="52" t="n">
        <v>0</v>
      </c>
      <c r="AS2371" s="52" t="n">
        <v>0</v>
      </c>
      <c r="AT2371" s="52" t="n">
        <v>0</v>
      </c>
      <c r="AU2371" s="53" t="n">
        <v>0</v>
      </c>
      <c r="AV2371" s="53" t="n">
        <v>0</v>
      </c>
      <c r="AW2371" s="53" t="n">
        <v>0</v>
      </c>
      <c r="AX2371" s="53" t="n">
        <v>0</v>
      </c>
      <c r="AY2371" s="52" t="n">
        <v>0</v>
      </c>
      <c r="AZ2371" s="52" t="n">
        <v>0</v>
      </c>
      <c r="BA2371" s="52" t="n">
        <v>0</v>
      </c>
      <c r="BB2371" s="52" t="n">
        <v>0</v>
      </c>
      <c r="BC2371" s="51" t="n">
        <v>0</v>
      </c>
      <c r="BD2371" s="51" t="n">
        <v>0</v>
      </c>
      <c r="BE2371" s="51" t="n">
        <v>0</v>
      </c>
      <c r="BF2371" s="51" t="n">
        <v>0</v>
      </c>
    </row>
    <row r="2372">
      <c r="A2372">
        <f>HYPERLINK("https://www.walmart.com/ip/193364339", "193364339")</f>
        <v/>
      </c>
      <c r="B2372" t="inlineStr">
        <is>
          <t>Tirrinia Comfy Wearable Fleece Blanket with Sleeves for Adults, 73" x 51", Pink</t>
        </is>
      </c>
      <c r="C2372" t="inlineStr">
        <is>
          <t>1TRSN100PK-TBCB</t>
        </is>
      </c>
      <c r="D2372" t="inlineStr">
        <is>
          <t>Throws</t>
        </is>
      </c>
      <c r="E2372" t="inlineStr">
        <is>
          <t>Tirrinia</t>
        </is>
      </c>
      <c r="F2372" t="inlineStr">
        <is>
          <t>Coupon_Discount,Fleece Blankets,Batch 1 - TR</t>
        </is>
      </c>
      <c r="G2372" s="48" t="n">
        <v>0</v>
      </c>
      <c r="H2372" s="48" t="n">
        <v>0</v>
      </c>
      <c r="I2372" s="48" t="n">
        <v>0</v>
      </c>
      <c r="J2372" s="48" t="n">
        <v>0</v>
      </c>
      <c r="K2372" s="49" t="n">
        <v>0</v>
      </c>
      <c r="L2372" s="49" t="n">
        <v>0</v>
      </c>
      <c r="M2372" s="49" t="n">
        <v>0</v>
      </c>
      <c r="N2372" s="49" t="n">
        <v>0</v>
      </c>
      <c r="O2372" s="49" t="n">
        <v>0</v>
      </c>
      <c r="P2372" s="49" t="n">
        <v>0</v>
      </c>
      <c r="Q2372" s="49" t="n">
        <v>0</v>
      </c>
      <c r="R2372" s="49" t="n">
        <v>0</v>
      </c>
      <c r="S2372" s="50" t="n">
        <v>0</v>
      </c>
      <c r="T2372" s="50" t="n">
        <v>0</v>
      </c>
      <c r="U2372" s="50" t="n">
        <v>0</v>
      </c>
      <c r="V2372" s="50" t="n">
        <v>0</v>
      </c>
      <c r="W2372" s="51" t="n">
        <v>0</v>
      </c>
      <c r="X2372" s="51" t="n">
        <v>0</v>
      </c>
      <c r="Y2372" s="51" t="n">
        <v>0</v>
      </c>
      <c r="Z2372" s="51" t="n">
        <v>0</v>
      </c>
      <c r="AA2372" s="52" t="n">
        <v>0</v>
      </c>
      <c r="AB2372" s="52" t="n">
        <v>0</v>
      </c>
      <c r="AC2372" s="52" t="n">
        <v>0</v>
      </c>
      <c r="AD2372" s="52" t="n">
        <v>0</v>
      </c>
      <c r="AE2372" s="52" t="n">
        <v>0</v>
      </c>
      <c r="AF2372" s="52" t="n">
        <v>0</v>
      </c>
      <c r="AG2372" s="52" t="n">
        <v>0</v>
      </c>
      <c r="AH2372" s="52" t="n">
        <v>0</v>
      </c>
      <c r="AI2372" s="52" t="n">
        <v>0</v>
      </c>
      <c r="AJ2372" s="52" t="n">
        <v>0</v>
      </c>
      <c r="AK2372" s="52" t="n">
        <v>0</v>
      </c>
      <c r="AL2372" s="52" t="n">
        <v>0</v>
      </c>
      <c r="AM2372" s="53" t="n">
        <v>0</v>
      </c>
      <c r="AN2372" s="53" t="n">
        <v>0</v>
      </c>
      <c r="AO2372" s="53" t="n">
        <v>0</v>
      </c>
      <c r="AP2372" s="53" t="n">
        <v>0</v>
      </c>
      <c r="AQ2372" s="52" t="n">
        <v>0</v>
      </c>
      <c r="AR2372" s="52" t="n">
        <v>0</v>
      </c>
      <c r="AS2372" s="52" t="n">
        <v>0</v>
      </c>
      <c r="AT2372" s="52" t="n">
        <v>0</v>
      </c>
      <c r="AU2372" s="53" t="n">
        <v>0</v>
      </c>
      <c r="AV2372" s="53" t="n">
        <v>0</v>
      </c>
      <c r="AW2372" s="53" t="n">
        <v>0</v>
      </c>
      <c r="AX2372" s="53" t="n">
        <v>0</v>
      </c>
      <c r="AY2372" s="52" t="n">
        <v>0</v>
      </c>
      <c r="AZ2372" s="52" t="n">
        <v>0</v>
      </c>
      <c r="BA2372" s="52" t="n">
        <v>0</v>
      </c>
      <c r="BB2372" s="52" t="n">
        <v>0</v>
      </c>
      <c r="BC2372" s="51" t="n">
        <v>0</v>
      </c>
      <c r="BD2372" s="51" t="n">
        <v>0</v>
      </c>
      <c r="BE2372" s="51" t="n">
        <v>0</v>
      </c>
      <c r="BF2372" s="51" t="n">
        <v>0</v>
      </c>
    </row>
    <row r="2373">
      <c r="A2373">
        <f>HYPERLINK("https://www.walmart.com/ip/193565695", "193565695")</f>
        <v/>
      </c>
      <c r="B2373" t="inlineStr">
        <is>
          <t>KC Caps Unisex Adjustable Snap Closure USA Flag Embroidered Cap Hat</t>
        </is>
      </c>
      <c r="C2373" t="inlineStr">
        <is>
          <t>kc-ae-6100-nv</t>
        </is>
      </c>
      <c r="D2373" t="inlineStr">
        <is>
          <t>Hats</t>
        </is>
      </c>
      <c r="E2373" t="inlineStr">
        <is>
          <t>KC Caps</t>
        </is>
      </c>
      <c r="F2373" t="inlineStr">
        <is>
          <t>Optimized</t>
        </is>
      </c>
      <c r="G2373" s="48" t="n">
        <v>0</v>
      </c>
      <c r="H2373" s="48" t="n">
        <v>0</v>
      </c>
      <c r="I2373" s="48" t="n">
        <v>0</v>
      </c>
      <c r="J2373" s="48" t="n">
        <v>0</v>
      </c>
      <c r="K2373" s="49" t="n">
        <v>0</v>
      </c>
      <c r="L2373" s="49" t="n">
        <v>0</v>
      </c>
      <c r="M2373" s="49" t="n">
        <v>0</v>
      </c>
      <c r="N2373" s="49" t="n">
        <v>0</v>
      </c>
      <c r="O2373" s="49" t="n">
        <v>0</v>
      </c>
      <c r="P2373" s="49" t="n">
        <v>0</v>
      </c>
      <c r="Q2373" s="49" t="n">
        <v>0</v>
      </c>
      <c r="R2373" s="49" t="n">
        <v>0</v>
      </c>
      <c r="S2373" s="50" t="n">
        <v>0</v>
      </c>
      <c r="T2373" s="50" t="n">
        <v>0</v>
      </c>
      <c r="U2373" s="50" t="n">
        <v>0</v>
      </c>
      <c r="V2373" s="50" t="n">
        <v>0</v>
      </c>
      <c r="W2373" s="51" t="n">
        <v>0</v>
      </c>
      <c r="X2373" s="51" t="n">
        <v>0</v>
      </c>
      <c r="Y2373" s="51" t="n">
        <v>0</v>
      </c>
      <c r="Z2373" s="51" t="n">
        <v>0</v>
      </c>
      <c r="AA2373" s="52" t="n">
        <v>0</v>
      </c>
      <c r="AB2373" s="52" t="n">
        <v>0</v>
      </c>
      <c r="AC2373" s="52" t="n">
        <v>0</v>
      </c>
      <c r="AD2373" s="52" t="n">
        <v>0</v>
      </c>
      <c r="AE2373" s="52" t="n">
        <v>0</v>
      </c>
      <c r="AF2373" s="52" t="n">
        <v>0</v>
      </c>
      <c r="AG2373" s="52" t="n">
        <v>0</v>
      </c>
      <c r="AH2373" s="52" t="n">
        <v>0</v>
      </c>
      <c r="AI2373" s="52" t="n">
        <v>0</v>
      </c>
      <c r="AJ2373" s="52" t="n">
        <v>0</v>
      </c>
      <c r="AK2373" s="52" t="n">
        <v>0</v>
      </c>
      <c r="AL2373" s="52" t="n">
        <v>0</v>
      </c>
      <c r="AM2373" s="53" t="n">
        <v>0</v>
      </c>
      <c r="AN2373" s="53" t="n">
        <v>0</v>
      </c>
      <c r="AO2373" s="53" t="n">
        <v>0</v>
      </c>
      <c r="AP2373" s="53" t="n">
        <v>0</v>
      </c>
      <c r="AQ2373" s="52" t="n">
        <v>0</v>
      </c>
      <c r="AR2373" s="52" t="n">
        <v>0</v>
      </c>
      <c r="AS2373" s="52" t="n">
        <v>0</v>
      </c>
      <c r="AT2373" s="52" t="n">
        <v>0</v>
      </c>
      <c r="AU2373" s="53" t="n">
        <v>0</v>
      </c>
      <c r="AV2373" s="53" t="n">
        <v>0</v>
      </c>
      <c r="AW2373" s="53" t="n">
        <v>0</v>
      </c>
      <c r="AX2373" s="53" t="n">
        <v>0</v>
      </c>
      <c r="AY2373" s="52" t="n">
        <v>0</v>
      </c>
      <c r="AZ2373" s="52" t="n">
        <v>0</v>
      </c>
      <c r="BA2373" s="52" t="n">
        <v>0</v>
      </c>
      <c r="BB2373" s="52" t="n">
        <v>0</v>
      </c>
      <c r="BC2373" s="51" t="n">
        <v>0</v>
      </c>
      <c r="BD2373" s="51" t="n">
        <v>0</v>
      </c>
      <c r="BE2373" s="51" t="n">
        <v>0</v>
      </c>
      <c r="BF2373" s="51" t="n">
        <v>0</v>
      </c>
    </row>
    <row r="2374">
      <c r="A2374">
        <f>HYPERLINK("https://www.walmart.com/ip/193794600", "193794600")</f>
        <v/>
      </c>
      <c r="B2374" t="inlineStr">
        <is>
          <t>Napa Super Soft Micro Fleece Sherpa Bed Throw TV Blanket 50" x 60" Reversible Blue</t>
        </is>
      </c>
      <c r="C2374" t="inlineStr">
        <is>
          <t>K8010BLUE</t>
        </is>
      </c>
      <c r="D2374" t="inlineStr">
        <is>
          <t>Throws</t>
        </is>
      </c>
      <c r="E2374" t="inlineStr">
        <is>
          <t>NAPA</t>
        </is>
      </c>
      <c r="F2374" t="inlineStr">
        <is>
          <t>Batch 1 - TR</t>
        </is>
      </c>
      <c r="G2374" s="48" t="n">
        <v>0</v>
      </c>
      <c r="H2374" s="48" t="n">
        <v>0</v>
      </c>
      <c r="I2374" s="48" t="n">
        <v>0</v>
      </c>
      <c r="J2374" s="48" t="n">
        <v>0</v>
      </c>
      <c r="K2374" s="49" t="n">
        <v>0</v>
      </c>
      <c r="L2374" s="49" t="n">
        <v>0</v>
      </c>
      <c r="M2374" s="49" t="n">
        <v>0</v>
      </c>
      <c r="N2374" s="49" t="n">
        <v>0</v>
      </c>
      <c r="O2374" s="49" t="n">
        <v>0</v>
      </c>
      <c r="P2374" s="49" t="n">
        <v>0</v>
      </c>
      <c r="Q2374" s="49" t="n">
        <v>0</v>
      </c>
      <c r="R2374" s="49" t="n">
        <v>0</v>
      </c>
      <c r="S2374" s="50" t="n">
        <v>0</v>
      </c>
      <c r="T2374" s="50" t="n">
        <v>0</v>
      </c>
      <c r="U2374" s="50" t="n">
        <v>0</v>
      </c>
      <c r="V2374" s="50" t="n">
        <v>0</v>
      </c>
      <c r="W2374" s="51" t="n">
        <v>0</v>
      </c>
      <c r="X2374" s="51" t="n">
        <v>0</v>
      </c>
      <c r="Y2374" s="51" t="n">
        <v>0</v>
      </c>
      <c r="Z2374" s="51" t="n">
        <v>0</v>
      </c>
      <c r="AA2374" s="52" t="n">
        <v>0</v>
      </c>
      <c r="AB2374" s="52" t="n">
        <v>0</v>
      </c>
      <c r="AC2374" s="52" t="n">
        <v>0</v>
      </c>
      <c r="AD2374" s="52" t="n">
        <v>0</v>
      </c>
      <c r="AE2374" s="52" t="n">
        <v>0</v>
      </c>
      <c r="AF2374" s="52" t="n">
        <v>0</v>
      </c>
      <c r="AG2374" s="52" t="n">
        <v>0</v>
      </c>
      <c r="AH2374" s="52" t="n">
        <v>0</v>
      </c>
      <c r="AI2374" s="52" t="n">
        <v>0</v>
      </c>
      <c r="AJ2374" s="52" t="n">
        <v>0</v>
      </c>
      <c r="AK2374" s="52" t="n">
        <v>0</v>
      </c>
      <c r="AL2374" s="52" t="n">
        <v>0</v>
      </c>
      <c r="AM2374" s="53" t="n">
        <v>0</v>
      </c>
      <c r="AN2374" s="53" t="n">
        <v>0</v>
      </c>
      <c r="AO2374" s="53" t="n">
        <v>0</v>
      </c>
      <c r="AP2374" s="53" t="n">
        <v>0</v>
      </c>
      <c r="AQ2374" s="52" t="n">
        <v>0</v>
      </c>
      <c r="AR2374" s="52" t="n">
        <v>0</v>
      </c>
      <c r="AS2374" s="52" t="n">
        <v>0</v>
      </c>
      <c r="AT2374" s="52" t="n">
        <v>0</v>
      </c>
      <c r="AU2374" s="53" t="n">
        <v>0</v>
      </c>
      <c r="AV2374" s="53" t="n">
        <v>0</v>
      </c>
      <c r="AW2374" s="53" t="n">
        <v>0</v>
      </c>
      <c r="AX2374" s="53" t="n">
        <v>0</v>
      </c>
      <c r="AY2374" s="52" t="n">
        <v>0</v>
      </c>
      <c r="AZ2374" s="52" t="n">
        <v>0</v>
      </c>
      <c r="BA2374" s="52" t="n">
        <v>0</v>
      </c>
      <c r="BB2374" s="52" t="n">
        <v>0</v>
      </c>
      <c r="BC2374" s="51" t="n">
        <v>0</v>
      </c>
      <c r="BD2374" s="51" t="n">
        <v>0</v>
      </c>
      <c r="BE2374" s="51" t="n">
        <v>0</v>
      </c>
      <c r="BF2374" s="51" t="n">
        <v>0</v>
      </c>
    </row>
    <row r="2375">
      <c r="A2375">
        <f>HYPERLINK("https://www.walmart.com/ip/194547645", "194547645")</f>
        <v/>
      </c>
      <c r="B2375" t="inlineStr">
        <is>
          <t>Deluxe Stylish Microplush Sleeved Fleece Blanket Soft Home Sofa Snuggie</t>
        </is>
      </c>
      <c r="C2375" t="inlineStr">
        <is>
          <t>k3000-gray</t>
        </is>
      </c>
      <c r="D2375" t="inlineStr">
        <is>
          <t>Throws</t>
        </is>
      </c>
      <c r="E2375" t="inlineStr">
        <is>
          <t>NAPA</t>
        </is>
      </c>
      <c r="F2375" t="inlineStr">
        <is>
          <t>Batch 1 - TR</t>
        </is>
      </c>
      <c r="G2375" s="48" t="n">
        <v>0</v>
      </c>
      <c r="H2375" s="48" t="n">
        <v>0</v>
      </c>
      <c r="I2375" s="48" t="n">
        <v>0</v>
      </c>
      <c r="J2375" s="48" t="n">
        <v>0</v>
      </c>
      <c r="K2375" s="49" t="n">
        <v>0</v>
      </c>
      <c r="L2375" s="49" t="n">
        <v>0</v>
      </c>
      <c r="M2375" s="49" t="n">
        <v>0</v>
      </c>
      <c r="N2375" s="49" t="n">
        <v>0</v>
      </c>
      <c r="O2375" s="49" t="n">
        <v>0</v>
      </c>
      <c r="P2375" s="49" t="n">
        <v>0</v>
      </c>
      <c r="Q2375" s="49" t="n">
        <v>0</v>
      </c>
      <c r="R2375" s="49" t="n">
        <v>0</v>
      </c>
      <c r="S2375" s="50" t="n">
        <v>0</v>
      </c>
      <c r="T2375" s="50" t="n">
        <v>0</v>
      </c>
      <c r="U2375" s="50" t="n">
        <v>0</v>
      </c>
      <c r="V2375" s="50" t="n">
        <v>0</v>
      </c>
      <c r="W2375" s="51" t="n">
        <v>0</v>
      </c>
      <c r="X2375" s="51" t="n">
        <v>0</v>
      </c>
      <c r="Y2375" s="51" t="n">
        <v>0</v>
      </c>
      <c r="Z2375" s="51" t="n">
        <v>0</v>
      </c>
      <c r="AA2375" s="52" t="n">
        <v>0</v>
      </c>
      <c r="AB2375" s="52" t="n">
        <v>0</v>
      </c>
      <c r="AC2375" s="52" t="n">
        <v>0</v>
      </c>
      <c r="AD2375" s="52" t="n">
        <v>0</v>
      </c>
      <c r="AE2375" s="52" t="n">
        <v>0</v>
      </c>
      <c r="AF2375" s="52" t="n">
        <v>0</v>
      </c>
      <c r="AG2375" s="52" t="n">
        <v>0</v>
      </c>
      <c r="AH2375" s="52" t="n">
        <v>0</v>
      </c>
      <c r="AI2375" s="52" t="n">
        <v>0</v>
      </c>
      <c r="AJ2375" s="52" t="n">
        <v>0</v>
      </c>
      <c r="AK2375" s="52" t="n">
        <v>0</v>
      </c>
      <c r="AL2375" s="52" t="n">
        <v>0</v>
      </c>
      <c r="AM2375" s="53" t="n">
        <v>0</v>
      </c>
      <c r="AN2375" s="53" t="n">
        <v>0</v>
      </c>
      <c r="AO2375" s="53" t="n">
        <v>0</v>
      </c>
      <c r="AP2375" s="53" t="n">
        <v>0</v>
      </c>
      <c r="AQ2375" s="52" t="n">
        <v>0</v>
      </c>
      <c r="AR2375" s="52" t="n">
        <v>0</v>
      </c>
      <c r="AS2375" s="52" t="n">
        <v>0</v>
      </c>
      <c r="AT2375" s="52" t="n">
        <v>0</v>
      </c>
      <c r="AU2375" s="53" t="n">
        <v>0</v>
      </c>
      <c r="AV2375" s="53" t="n">
        <v>0</v>
      </c>
      <c r="AW2375" s="53" t="n">
        <v>0</v>
      </c>
      <c r="AX2375" s="53" t="n">
        <v>0</v>
      </c>
      <c r="AY2375" s="52" t="n">
        <v>0</v>
      </c>
      <c r="AZ2375" s="52" t="n">
        <v>0</v>
      </c>
      <c r="BA2375" s="52" t="n">
        <v>0</v>
      </c>
      <c r="BB2375" s="52" t="n">
        <v>0</v>
      </c>
      <c r="BC2375" s="51" t="n">
        <v>0</v>
      </c>
      <c r="BD2375" s="51" t="n">
        <v>0</v>
      </c>
      <c r="BE2375" s="51" t="n">
        <v>0</v>
      </c>
      <c r="BF2375" s="51" t="n">
        <v>0</v>
      </c>
    </row>
    <row r="2376">
      <c r="A2376">
        <f>HYPERLINK("https://www.walmart.com/ip/190557326", "190557326")</f>
        <v/>
      </c>
      <c r="B2376" t="inlineStr">
        <is>
          <t>JenniWears® Women's Plus Size Sexy Strappy Lace Mesh Chemise Lingerie with G-string</t>
        </is>
      </c>
      <c r="C2376" t="inlineStr">
        <is>
          <t>JWBD03BKPP-XL</t>
        </is>
      </c>
      <c r="D2376" t="inlineStr">
        <is>
          <t>Lingerie Sets</t>
        </is>
      </c>
      <c r="E2376" t="inlineStr">
        <is>
          <t>JenniWears</t>
        </is>
      </c>
      <c r="F2376" t="inlineStr">
        <is>
          <t>Optimized,Valentine</t>
        </is>
      </c>
      <c r="G2376" s="48" t="n">
        <v>0</v>
      </c>
      <c r="H2376" s="48" t="n">
        <v>0</v>
      </c>
      <c r="I2376" s="48" t="n">
        <v>0</v>
      </c>
      <c r="J2376" s="48" t="n">
        <v>0</v>
      </c>
      <c r="K2376" s="49" t="n">
        <v>0</v>
      </c>
      <c r="L2376" s="49" t="n">
        <v>0</v>
      </c>
      <c r="M2376" s="49" t="n">
        <v>0</v>
      </c>
      <c r="N2376" s="49" t="n">
        <v>0</v>
      </c>
      <c r="O2376" s="49" t="n">
        <v>0</v>
      </c>
      <c r="P2376" s="49" t="n">
        <v>0</v>
      </c>
      <c r="Q2376" s="49" t="n">
        <v>0</v>
      </c>
      <c r="R2376" s="49" t="n">
        <v>0</v>
      </c>
      <c r="S2376" s="50" t="n">
        <v>0</v>
      </c>
      <c r="T2376" s="50" t="n">
        <v>0</v>
      </c>
      <c r="U2376" s="50" t="n">
        <v>0</v>
      </c>
      <c r="V2376" s="50" t="n">
        <v>0</v>
      </c>
      <c r="W2376" s="51" t="n">
        <v>0</v>
      </c>
      <c r="X2376" s="51" t="n">
        <v>0</v>
      </c>
      <c r="Y2376" s="51" t="n">
        <v>0</v>
      </c>
      <c r="Z2376" s="51" t="n">
        <v>0</v>
      </c>
      <c r="AA2376" s="52" t="n">
        <v>0</v>
      </c>
      <c r="AB2376" s="52" t="n">
        <v>0</v>
      </c>
      <c r="AC2376" s="52" t="n">
        <v>0</v>
      </c>
      <c r="AD2376" s="52" t="n">
        <v>0</v>
      </c>
      <c r="AE2376" s="52" t="n">
        <v>0</v>
      </c>
      <c r="AF2376" s="52" t="n">
        <v>0</v>
      </c>
      <c r="AG2376" s="52" t="n">
        <v>0</v>
      </c>
      <c r="AH2376" s="52" t="n">
        <v>0</v>
      </c>
      <c r="AI2376" s="52" t="n">
        <v>0</v>
      </c>
      <c r="AJ2376" s="52" t="n">
        <v>0</v>
      </c>
      <c r="AK2376" s="52" t="n">
        <v>0</v>
      </c>
      <c r="AL2376" s="52" t="n">
        <v>0</v>
      </c>
      <c r="AM2376" s="53" t="n">
        <v>0</v>
      </c>
      <c r="AN2376" s="53" t="n">
        <v>0</v>
      </c>
      <c r="AO2376" s="53" t="n">
        <v>0</v>
      </c>
      <c r="AP2376" s="53" t="n">
        <v>0</v>
      </c>
      <c r="AQ2376" s="52" t="n">
        <v>0</v>
      </c>
      <c r="AR2376" s="52" t="n">
        <v>0</v>
      </c>
      <c r="AS2376" s="52" t="n">
        <v>0</v>
      </c>
      <c r="AT2376" s="52" t="n">
        <v>0</v>
      </c>
      <c r="AU2376" s="53" t="n">
        <v>0</v>
      </c>
      <c r="AV2376" s="53" t="n">
        <v>0</v>
      </c>
      <c r="AW2376" s="53" t="n">
        <v>0</v>
      </c>
      <c r="AX2376" s="53" t="n">
        <v>0</v>
      </c>
      <c r="AY2376" s="52" t="n">
        <v>0</v>
      </c>
      <c r="AZ2376" s="52" t="n">
        <v>0</v>
      </c>
      <c r="BA2376" s="52" t="n">
        <v>0</v>
      </c>
      <c r="BB2376" s="52" t="n">
        <v>0</v>
      </c>
      <c r="BC2376" s="51" t="n">
        <v>0</v>
      </c>
      <c r="BD2376" s="51" t="n">
        <v>0</v>
      </c>
      <c r="BE2376" s="51" t="n">
        <v>0</v>
      </c>
      <c r="BF2376" s="51" t="n">
        <v>0</v>
      </c>
    </row>
    <row r="2377">
      <c r="A2377">
        <f>HYPERLINK("https://www.walmart.com/ip/194732898", "194732898")</f>
        <v/>
      </c>
      <c r="B2377" t="inlineStr">
        <is>
          <t>Women's Plus Size Floral Lace Mesh Chemise Sleepwear and G-string</t>
        </is>
      </c>
      <c r="C2377" t="inlineStr">
        <is>
          <t>JWBD05RD-XL</t>
        </is>
      </c>
      <c r="D2377" t="inlineStr">
        <is>
          <t>Lingerie Sets</t>
        </is>
      </c>
      <c r="E2377" t="inlineStr">
        <is>
          <t>JenniWears</t>
        </is>
      </c>
      <c r="F2377" t="inlineStr">
        <is>
          <t>Valentine</t>
        </is>
      </c>
      <c r="G2377" s="48" t="n">
        <v>0</v>
      </c>
      <c r="H2377" s="48" t="n">
        <v>0</v>
      </c>
      <c r="I2377" s="48" t="n">
        <v>0</v>
      </c>
      <c r="J2377" s="48" t="n">
        <v>0</v>
      </c>
      <c r="K2377" s="49" t="n">
        <v>0</v>
      </c>
      <c r="L2377" s="49" t="n">
        <v>0</v>
      </c>
      <c r="M2377" s="49" t="n">
        <v>0</v>
      </c>
      <c r="N2377" s="49" t="n">
        <v>0</v>
      </c>
      <c r="O2377" s="49" t="n">
        <v>0</v>
      </c>
      <c r="P2377" s="49" t="n">
        <v>0</v>
      </c>
      <c r="Q2377" s="49" t="n">
        <v>0</v>
      </c>
      <c r="R2377" s="49" t="n">
        <v>0</v>
      </c>
      <c r="S2377" s="50" t="n">
        <v>0</v>
      </c>
      <c r="T2377" s="50" t="n">
        <v>0</v>
      </c>
      <c r="U2377" s="50" t="n">
        <v>0</v>
      </c>
      <c r="V2377" s="50" t="n">
        <v>0</v>
      </c>
      <c r="W2377" s="51" t="n">
        <v>0</v>
      </c>
      <c r="X2377" s="51" t="n">
        <v>0</v>
      </c>
      <c r="Y2377" s="51" t="n">
        <v>0</v>
      </c>
      <c r="Z2377" s="51" t="n">
        <v>0</v>
      </c>
      <c r="AA2377" s="52" t="n">
        <v>0</v>
      </c>
      <c r="AB2377" s="52" t="n">
        <v>0</v>
      </c>
      <c r="AC2377" s="52" t="n">
        <v>0</v>
      </c>
      <c r="AD2377" s="52" t="n">
        <v>0</v>
      </c>
      <c r="AE2377" s="52" t="n">
        <v>0</v>
      </c>
      <c r="AF2377" s="52" t="n">
        <v>0</v>
      </c>
      <c r="AG2377" s="52" t="n">
        <v>0</v>
      </c>
      <c r="AH2377" s="52" t="n">
        <v>0</v>
      </c>
      <c r="AI2377" s="52" t="n">
        <v>0</v>
      </c>
      <c r="AJ2377" s="52" t="n">
        <v>0</v>
      </c>
      <c r="AK2377" s="52" t="n">
        <v>0</v>
      </c>
      <c r="AL2377" s="52" t="n">
        <v>0</v>
      </c>
      <c r="AM2377" s="53" t="n">
        <v>0</v>
      </c>
      <c r="AN2377" s="53" t="n">
        <v>0</v>
      </c>
      <c r="AO2377" s="53" t="n">
        <v>0</v>
      </c>
      <c r="AP2377" s="53" t="n">
        <v>0</v>
      </c>
      <c r="AQ2377" s="52" t="n">
        <v>0</v>
      </c>
      <c r="AR2377" s="52" t="n">
        <v>0</v>
      </c>
      <c r="AS2377" s="52" t="n">
        <v>0</v>
      </c>
      <c r="AT2377" s="52" t="n">
        <v>0</v>
      </c>
      <c r="AU2377" s="53" t="n">
        <v>0</v>
      </c>
      <c r="AV2377" s="53" t="n">
        <v>0</v>
      </c>
      <c r="AW2377" s="53" t="n">
        <v>0</v>
      </c>
      <c r="AX2377" s="53" t="n">
        <v>0</v>
      </c>
      <c r="AY2377" s="52" t="n">
        <v>0</v>
      </c>
      <c r="AZ2377" s="52" t="n">
        <v>0</v>
      </c>
      <c r="BA2377" s="52" t="n">
        <v>0</v>
      </c>
      <c r="BB2377" s="52" t="n">
        <v>0</v>
      </c>
      <c r="BC2377" s="51" t="n">
        <v>0</v>
      </c>
      <c r="BD2377" s="51" t="n">
        <v>0</v>
      </c>
      <c r="BE2377" s="51" t="n">
        <v>0</v>
      </c>
      <c r="BF2377" s="51" t="n">
        <v>0</v>
      </c>
    </row>
    <row r="2378">
      <c r="A2378">
        <f>HYPERLINK("https://www.walmart.com/ip/194814835", "194814835")</f>
        <v/>
      </c>
      <c r="B2378" t="inlineStr">
        <is>
          <t>KC Caps Unisex Adjustable Snap Closure USA Flag Embroidered Unconstructed Cap Hat</t>
        </is>
      </c>
      <c r="C2378" t="inlineStr">
        <is>
          <t>kc-ae-6110-nv</t>
        </is>
      </c>
      <c r="D2378" t="inlineStr">
        <is>
          <t>Hats</t>
        </is>
      </c>
      <c r="E2378" t="inlineStr">
        <is>
          <t>KC Caps</t>
        </is>
      </c>
      <c r="F2378" t="inlineStr">
        <is>
          <t>Optimized,Hats</t>
        </is>
      </c>
      <c r="G2378" s="48" t="n">
        <v>0</v>
      </c>
      <c r="H2378" s="48" t="n">
        <v>0</v>
      </c>
      <c r="I2378" s="48" t="n">
        <v>0</v>
      </c>
      <c r="J2378" s="48" t="n">
        <v>0</v>
      </c>
      <c r="K2378" s="49" t="n">
        <v>0</v>
      </c>
      <c r="L2378" s="49" t="n">
        <v>0</v>
      </c>
      <c r="M2378" s="49" t="n">
        <v>0</v>
      </c>
      <c r="N2378" s="49" t="n">
        <v>0</v>
      </c>
      <c r="O2378" s="49" t="n">
        <v>0</v>
      </c>
      <c r="P2378" s="49" t="n">
        <v>0</v>
      </c>
      <c r="Q2378" s="49" t="n">
        <v>0</v>
      </c>
      <c r="R2378" s="49" t="n">
        <v>0</v>
      </c>
      <c r="S2378" s="50" t="n">
        <v>0</v>
      </c>
      <c r="T2378" s="50" t="n">
        <v>0</v>
      </c>
      <c r="U2378" s="50" t="n">
        <v>0</v>
      </c>
      <c r="V2378" s="50" t="n">
        <v>0</v>
      </c>
      <c r="W2378" s="51" t="n">
        <v>0</v>
      </c>
      <c r="X2378" s="51" t="n">
        <v>0</v>
      </c>
      <c r="Y2378" s="51" t="n">
        <v>0</v>
      </c>
      <c r="Z2378" s="51" t="n">
        <v>0</v>
      </c>
      <c r="AA2378" s="52" t="n">
        <v>0</v>
      </c>
      <c r="AB2378" s="52" t="n">
        <v>0</v>
      </c>
      <c r="AC2378" s="52" t="n">
        <v>0</v>
      </c>
      <c r="AD2378" s="52" t="n">
        <v>0</v>
      </c>
      <c r="AE2378" s="52" t="n">
        <v>0</v>
      </c>
      <c r="AF2378" s="52" t="n">
        <v>0</v>
      </c>
      <c r="AG2378" s="52" t="n">
        <v>0</v>
      </c>
      <c r="AH2378" s="52" t="n">
        <v>0</v>
      </c>
      <c r="AI2378" s="52" t="n">
        <v>0</v>
      </c>
      <c r="AJ2378" s="52" t="n">
        <v>0</v>
      </c>
      <c r="AK2378" s="52" t="n">
        <v>0</v>
      </c>
      <c r="AL2378" s="52" t="n">
        <v>0</v>
      </c>
      <c r="AM2378" s="53" t="n">
        <v>0</v>
      </c>
      <c r="AN2378" s="53" t="n">
        <v>0</v>
      </c>
      <c r="AO2378" s="53" t="n">
        <v>0</v>
      </c>
      <c r="AP2378" s="53" t="n">
        <v>0</v>
      </c>
      <c r="AQ2378" s="52" t="n">
        <v>0</v>
      </c>
      <c r="AR2378" s="52" t="n">
        <v>0</v>
      </c>
      <c r="AS2378" s="52" t="n">
        <v>0</v>
      </c>
      <c r="AT2378" s="52" t="n">
        <v>0</v>
      </c>
      <c r="AU2378" s="53" t="n">
        <v>0</v>
      </c>
      <c r="AV2378" s="53" t="n">
        <v>0</v>
      </c>
      <c r="AW2378" s="53" t="n">
        <v>0</v>
      </c>
      <c r="AX2378" s="53" t="n">
        <v>0</v>
      </c>
      <c r="AY2378" s="52" t="n">
        <v>0</v>
      </c>
      <c r="AZ2378" s="52" t="n">
        <v>0</v>
      </c>
      <c r="BA2378" s="52" t="n">
        <v>0</v>
      </c>
      <c r="BB2378" s="52" t="n">
        <v>0</v>
      </c>
      <c r="BC2378" s="51" t="n">
        <v>0</v>
      </c>
      <c r="BD2378" s="51" t="n">
        <v>0</v>
      </c>
      <c r="BE2378" s="51" t="n">
        <v>0</v>
      </c>
      <c r="BF2378" s="51" t="n">
        <v>0</v>
      </c>
    </row>
    <row r="2379">
      <c r="A2379">
        <f>HYPERLINK("https://www.walmart.com/ip/195053035", "195053035")</f>
        <v/>
      </c>
      <c r="B2379" t="inlineStr">
        <is>
          <t>KC Caps Men's Military Mesh Cap</t>
        </is>
      </c>
      <c r="C2379" t="inlineStr">
        <is>
          <t>7140-Shadow</t>
        </is>
      </c>
      <c r="D2379" t="inlineStr">
        <is>
          <t>Hats</t>
        </is>
      </c>
      <c r="E2379" t="inlineStr">
        <is>
          <t>KC Caps</t>
        </is>
      </c>
      <c r="F2379" t="inlineStr">
        <is>
          <t>Optimized</t>
        </is>
      </c>
      <c r="G2379" s="48" t="n">
        <v>0</v>
      </c>
      <c r="H2379" s="48" t="n">
        <v>0</v>
      </c>
      <c r="I2379" s="48" t="n">
        <v>0</v>
      </c>
      <c r="J2379" s="48" t="n">
        <v>0</v>
      </c>
      <c r="K2379" s="49" t="n">
        <v>0</v>
      </c>
      <c r="L2379" s="49" t="n">
        <v>0</v>
      </c>
      <c r="M2379" s="49" t="n">
        <v>0</v>
      </c>
      <c r="N2379" s="49" t="n">
        <v>0</v>
      </c>
      <c r="O2379" s="49" t="n">
        <v>0</v>
      </c>
      <c r="P2379" s="49" t="n">
        <v>0</v>
      </c>
      <c r="Q2379" s="49" t="n">
        <v>0</v>
      </c>
      <c r="R2379" s="49" t="n">
        <v>0</v>
      </c>
      <c r="S2379" s="50" t="n">
        <v>0</v>
      </c>
      <c r="T2379" s="50" t="n">
        <v>0</v>
      </c>
      <c r="U2379" s="50" t="n">
        <v>0</v>
      </c>
      <c r="V2379" s="50" t="n">
        <v>0</v>
      </c>
      <c r="W2379" s="51" t="n">
        <v>0</v>
      </c>
      <c r="X2379" s="51" t="n">
        <v>0</v>
      </c>
      <c r="Y2379" s="51" t="n">
        <v>0</v>
      </c>
      <c r="Z2379" s="51" t="n">
        <v>0</v>
      </c>
      <c r="AA2379" s="52" t="n">
        <v>0</v>
      </c>
      <c r="AB2379" s="52" t="n">
        <v>0</v>
      </c>
      <c r="AC2379" s="52" t="n">
        <v>0</v>
      </c>
      <c r="AD2379" s="52" t="n">
        <v>0</v>
      </c>
      <c r="AE2379" s="52" t="n">
        <v>0</v>
      </c>
      <c r="AF2379" s="52" t="n">
        <v>0</v>
      </c>
      <c r="AG2379" s="52" t="n">
        <v>0</v>
      </c>
      <c r="AH2379" s="52" t="n">
        <v>0</v>
      </c>
      <c r="AI2379" s="52" t="n">
        <v>0</v>
      </c>
      <c r="AJ2379" s="52" t="n">
        <v>0</v>
      </c>
      <c r="AK2379" s="52" t="n">
        <v>0</v>
      </c>
      <c r="AL2379" s="52" t="n">
        <v>0</v>
      </c>
      <c r="AM2379" s="53" t="n">
        <v>0</v>
      </c>
      <c r="AN2379" s="53" t="n">
        <v>0</v>
      </c>
      <c r="AO2379" s="53" t="n">
        <v>0</v>
      </c>
      <c r="AP2379" s="53" t="n">
        <v>0</v>
      </c>
      <c r="AQ2379" s="52" t="n">
        <v>0</v>
      </c>
      <c r="AR2379" s="52" t="n">
        <v>0</v>
      </c>
      <c r="AS2379" s="52" t="n">
        <v>0</v>
      </c>
      <c r="AT2379" s="52" t="n">
        <v>0</v>
      </c>
      <c r="AU2379" s="53" t="n">
        <v>0</v>
      </c>
      <c r="AV2379" s="53" t="n">
        <v>0</v>
      </c>
      <c r="AW2379" s="53" t="n">
        <v>0</v>
      </c>
      <c r="AX2379" s="53" t="n">
        <v>0</v>
      </c>
      <c r="AY2379" s="52" t="n">
        <v>0</v>
      </c>
      <c r="AZ2379" s="52" t="n">
        <v>0</v>
      </c>
      <c r="BA2379" s="52" t="n">
        <v>0</v>
      </c>
      <c r="BB2379" s="52" t="n">
        <v>0</v>
      </c>
      <c r="BC2379" s="51" t="n">
        <v>0</v>
      </c>
      <c r="BD2379" s="51" t="n">
        <v>0</v>
      </c>
      <c r="BE2379" s="51" t="n">
        <v>0</v>
      </c>
      <c r="BF2379" s="51" t="n">
        <v>0</v>
      </c>
    </row>
    <row r="2380">
      <c r="A2380">
        <f>HYPERLINK("https://www.walmart.com/ip/195150638", "195150638")</f>
        <v/>
      </c>
      <c r="B2380" t="inlineStr">
        <is>
          <t>JenniWears Unisex LED Light Up Fedora Hat Glow Cap Sparkly Sequin Black Fabric El Wire With Controller Pink</t>
        </is>
      </c>
      <c r="C2380" t="inlineStr">
        <is>
          <t>JWLEDHTA01-PK</t>
        </is>
      </c>
      <c r="D2380" t="inlineStr">
        <is>
          <t>Party Hats</t>
        </is>
      </c>
      <c r="E2380" t="inlineStr">
        <is>
          <t>JenniWears</t>
        </is>
      </c>
      <c r="F2380" t="inlineStr">
        <is>
          <t>Batch 1 - TR</t>
        </is>
      </c>
      <c r="G2380" s="48" t="n">
        <v>0</v>
      </c>
      <c r="H2380" s="48" t="n">
        <v>0</v>
      </c>
      <c r="I2380" s="48" t="n">
        <v>0</v>
      </c>
      <c r="J2380" s="48" t="n">
        <v>0</v>
      </c>
      <c r="K2380" s="49" t="n">
        <v>0</v>
      </c>
      <c r="L2380" s="49" t="n">
        <v>0</v>
      </c>
      <c r="M2380" s="49" t="n">
        <v>0</v>
      </c>
      <c r="N2380" s="49" t="n">
        <v>0</v>
      </c>
      <c r="O2380" s="49" t="n">
        <v>0</v>
      </c>
      <c r="P2380" s="49" t="n">
        <v>0</v>
      </c>
      <c r="Q2380" s="49" t="n">
        <v>0</v>
      </c>
      <c r="R2380" s="49" t="n">
        <v>0</v>
      </c>
      <c r="S2380" s="50" t="n">
        <v>0</v>
      </c>
      <c r="T2380" s="50" t="n">
        <v>0</v>
      </c>
      <c r="U2380" s="50" t="n">
        <v>0</v>
      </c>
      <c r="V2380" s="50" t="n">
        <v>0</v>
      </c>
      <c r="W2380" s="51" t="n">
        <v>0</v>
      </c>
      <c r="X2380" s="51" t="n">
        <v>0</v>
      </c>
      <c r="Y2380" s="51" t="n">
        <v>0</v>
      </c>
      <c r="Z2380" s="51" t="n">
        <v>0</v>
      </c>
      <c r="AA2380" s="52" t="n">
        <v>0</v>
      </c>
      <c r="AB2380" s="52" t="n">
        <v>0</v>
      </c>
      <c r="AC2380" s="52" t="n">
        <v>0</v>
      </c>
      <c r="AD2380" s="52" t="n">
        <v>0</v>
      </c>
      <c r="AE2380" s="52" t="n">
        <v>0</v>
      </c>
      <c r="AF2380" s="52" t="n">
        <v>0</v>
      </c>
      <c r="AG2380" s="52" t="n">
        <v>0</v>
      </c>
      <c r="AH2380" s="52" t="n">
        <v>0</v>
      </c>
      <c r="AI2380" s="52" t="n">
        <v>0</v>
      </c>
      <c r="AJ2380" s="52" t="n">
        <v>0</v>
      </c>
      <c r="AK2380" s="52" t="n">
        <v>0</v>
      </c>
      <c r="AL2380" s="52" t="n">
        <v>0</v>
      </c>
      <c r="AM2380" s="53" t="n">
        <v>0</v>
      </c>
      <c r="AN2380" s="53" t="n">
        <v>0</v>
      </c>
      <c r="AO2380" s="53" t="n">
        <v>0</v>
      </c>
      <c r="AP2380" s="53" t="n">
        <v>0</v>
      </c>
      <c r="AQ2380" s="52" t="n">
        <v>0</v>
      </c>
      <c r="AR2380" s="52" t="n">
        <v>0</v>
      </c>
      <c r="AS2380" s="52" t="n">
        <v>0</v>
      </c>
      <c r="AT2380" s="52" t="n">
        <v>0</v>
      </c>
      <c r="AU2380" s="53" t="n">
        <v>0</v>
      </c>
      <c r="AV2380" s="53" t="n">
        <v>0</v>
      </c>
      <c r="AW2380" s="53" t="n">
        <v>0</v>
      </c>
      <c r="AX2380" s="53" t="n">
        <v>0</v>
      </c>
      <c r="AY2380" s="52" t="n">
        <v>0</v>
      </c>
      <c r="AZ2380" s="52" t="n">
        <v>0</v>
      </c>
      <c r="BA2380" s="52" t="n">
        <v>0</v>
      </c>
      <c r="BB2380" s="52" t="n">
        <v>0</v>
      </c>
      <c r="BC2380" s="51" t="n">
        <v>0</v>
      </c>
      <c r="BD2380" s="51" t="n">
        <v>0</v>
      </c>
      <c r="BE2380" s="51" t="n">
        <v>0</v>
      </c>
      <c r="BF2380" s="51" t="n">
        <v>0</v>
      </c>
    </row>
    <row r="2381">
      <c r="A2381">
        <f>HYPERLINK("https://www.walmart.com/ip/195647139", "195647139")</f>
        <v/>
      </c>
      <c r="B2381" t="inlineStr">
        <is>
          <t>KC Caps Super Soft and Comfy Neon Orange Knit Beanie Winter Cap</t>
        </is>
      </c>
      <c r="C2381" t="inlineStr">
        <is>
          <t>KC-W1700-OR</t>
        </is>
      </c>
      <c r="D2381" t="inlineStr">
        <is>
          <t>Hats</t>
        </is>
      </c>
      <c r="E2381" t="inlineStr">
        <is>
          <t>KC Caps</t>
        </is>
      </c>
      <c r="F2381" t="inlineStr">
        <is>
          <t>Optimized</t>
        </is>
      </c>
      <c r="G2381" s="48" t="n">
        <v>0</v>
      </c>
      <c r="H2381" s="48" t="n">
        <v>0</v>
      </c>
      <c r="I2381" s="48" t="n">
        <v>0</v>
      </c>
      <c r="J2381" s="48" t="n">
        <v>0</v>
      </c>
      <c r="K2381" s="49" t="n">
        <v>0</v>
      </c>
      <c r="L2381" s="49" t="n">
        <v>0</v>
      </c>
      <c r="M2381" s="49" t="n">
        <v>0</v>
      </c>
      <c r="N2381" s="49" t="n">
        <v>0</v>
      </c>
      <c r="O2381" s="49" t="n">
        <v>0</v>
      </c>
      <c r="P2381" s="49" t="n">
        <v>0</v>
      </c>
      <c r="Q2381" s="49" t="n">
        <v>0</v>
      </c>
      <c r="R2381" s="49" t="n">
        <v>0</v>
      </c>
      <c r="S2381" s="50" t="n">
        <v>0</v>
      </c>
      <c r="T2381" s="50" t="n">
        <v>0</v>
      </c>
      <c r="U2381" s="50" t="n">
        <v>0</v>
      </c>
      <c r="V2381" s="50" t="n">
        <v>0</v>
      </c>
      <c r="W2381" s="51" t="n">
        <v>0</v>
      </c>
      <c r="X2381" s="51" t="n">
        <v>0</v>
      </c>
      <c r="Y2381" s="51" t="n">
        <v>0</v>
      </c>
      <c r="Z2381" s="51" t="n">
        <v>0</v>
      </c>
      <c r="AA2381" s="52" t="n">
        <v>0</v>
      </c>
      <c r="AB2381" s="52" t="n">
        <v>0</v>
      </c>
      <c r="AC2381" s="52" t="n">
        <v>0</v>
      </c>
      <c r="AD2381" s="52" t="n">
        <v>0</v>
      </c>
      <c r="AE2381" s="52" t="n">
        <v>0</v>
      </c>
      <c r="AF2381" s="52" t="n">
        <v>0</v>
      </c>
      <c r="AG2381" s="52" t="n">
        <v>0</v>
      </c>
      <c r="AH2381" s="52" t="n">
        <v>0</v>
      </c>
      <c r="AI2381" s="52" t="n">
        <v>0</v>
      </c>
      <c r="AJ2381" s="52" t="n">
        <v>0</v>
      </c>
      <c r="AK2381" s="52" t="n">
        <v>0</v>
      </c>
      <c r="AL2381" s="52" t="n">
        <v>0</v>
      </c>
      <c r="AM2381" s="53" t="n">
        <v>0</v>
      </c>
      <c r="AN2381" s="53" t="n">
        <v>0</v>
      </c>
      <c r="AO2381" s="53" t="n">
        <v>0</v>
      </c>
      <c r="AP2381" s="53" t="n">
        <v>0</v>
      </c>
      <c r="AQ2381" s="52" t="n">
        <v>0</v>
      </c>
      <c r="AR2381" s="52" t="n">
        <v>0</v>
      </c>
      <c r="AS2381" s="52" t="n">
        <v>0</v>
      </c>
      <c r="AT2381" s="52" t="n">
        <v>0</v>
      </c>
      <c r="AU2381" s="53" t="n">
        <v>0</v>
      </c>
      <c r="AV2381" s="53" t="n">
        <v>0</v>
      </c>
      <c r="AW2381" s="53" t="n">
        <v>0</v>
      </c>
      <c r="AX2381" s="53" t="n">
        <v>0</v>
      </c>
      <c r="AY2381" s="52" t="n">
        <v>0</v>
      </c>
      <c r="AZ2381" s="52" t="n">
        <v>0</v>
      </c>
      <c r="BA2381" s="52" t="n">
        <v>0</v>
      </c>
      <c r="BB2381" s="52" t="n">
        <v>0</v>
      </c>
      <c r="BC2381" s="51" t="n">
        <v>0</v>
      </c>
      <c r="BD2381" s="51" t="n">
        <v>0</v>
      </c>
      <c r="BE2381" s="51" t="n">
        <v>0</v>
      </c>
      <c r="BF2381" s="51" t="n">
        <v>0</v>
      </c>
    </row>
    <row r="2382">
      <c r="A2382">
        <f>HYPERLINK("https://www.walmart.com/ip/195744938", "195744938")</f>
        <v/>
      </c>
      <c r="B2382" t="inlineStr">
        <is>
          <t>Sun Hat UV Protection Wide Brim Boonie Safari Fishing Cap Adjustable Drawstring</t>
        </is>
      </c>
      <c r="C2382" t="inlineStr">
        <is>
          <t>1WMSH911GY</t>
        </is>
      </c>
      <c r="D2382" t="inlineStr">
        <is>
          <t>Hats</t>
        </is>
      </c>
      <c r="E2382" t="inlineStr">
        <is>
          <t>Flyingstar</t>
        </is>
      </c>
      <c r="F2382" t="inlineStr">
        <is>
          <t>Optimized</t>
        </is>
      </c>
      <c r="G2382" s="48" t="n">
        <v>0</v>
      </c>
      <c r="H2382" s="48" t="n">
        <v>0</v>
      </c>
      <c r="I2382" s="48" t="n">
        <v>0</v>
      </c>
      <c r="J2382" s="48" t="n">
        <v>0</v>
      </c>
      <c r="K2382" s="49" t="n">
        <v>0</v>
      </c>
      <c r="L2382" s="49" t="n">
        <v>0</v>
      </c>
      <c r="M2382" s="49" t="n">
        <v>0</v>
      </c>
      <c r="N2382" s="49" t="n">
        <v>0</v>
      </c>
      <c r="O2382" s="49" t="n">
        <v>0</v>
      </c>
      <c r="P2382" s="49" t="n">
        <v>0</v>
      </c>
      <c r="Q2382" s="49" t="n">
        <v>0</v>
      </c>
      <c r="R2382" s="49" t="n">
        <v>0</v>
      </c>
      <c r="S2382" s="50" t="n">
        <v>0</v>
      </c>
      <c r="T2382" s="50" t="n">
        <v>0</v>
      </c>
      <c r="U2382" s="50" t="n">
        <v>0</v>
      </c>
      <c r="V2382" s="50" t="n">
        <v>0</v>
      </c>
      <c r="W2382" s="51" t="n">
        <v>0</v>
      </c>
      <c r="X2382" s="51" t="n">
        <v>0</v>
      </c>
      <c r="Y2382" s="51" t="n">
        <v>0</v>
      </c>
      <c r="Z2382" s="51" t="n">
        <v>0</v>
      </c>
      <c r="AA2382" s="52" t="n">
        <v>0</v>
      </c>
      <c r="AB2382" s="52" t="n">
        <v>0</v>
      </c>
      <c r="AC2382" s="52" t="n">
        <v>0</v>
      </c>
      <c r="AD2382" s="52" t="n">
        <v>0</v>
      </c>
      <c r="AE2382" s="52" t="n">
        <v>0</v>
      </c>
      <c r="AF2382" s="52" t="n">
        <v>0</v>
      </c>
      <c r="AG2382" s="52" t="n">
        <v>0</v>
      </c>
      <c r="AH2382" s="52" t="n">
        <v>0</v>
      </c>
      <c r="AI2382" s="52" t="n">
        <v>0</v>
      </c>
      <c r="AJ2382" s="52" t="n">
        <v>0</v>
      </c>
      <c r="AK2382" s="52" t="n">
        <v>0</v>
      </c>
      <c r="AL2382" s="52" t="n">
        <v>0</v>
      </c>
      <c r="AM2382" s="53" t="n">
        <v>0</v>
      </c>
      <c r="AN2382" s="53" t="n">
        <v>0</v>
      </c>
      <c r="AO2382" s="53" t="n">
        <v>0</v>
      </c>
      <c r="AP2382" s="53" t="n">
        <v>0</v>
      </c>
      <c r="AQ2382" s="52" t="n">
        <v>0</v>
      </c>
      <c r="AR2382" s="52" t="n">
        <v>0</v>
      </c>
      <c r="AS2382" s="52" t="n">
        <v>0</v>
      </c>
      <c r="AT2382" s="52" t="n">
        <v>0</v>
      </c>
      <c r="AU2382" s="53" t="n">
        <v>0</v>
      </c>
      <c r="AV2382" s="53" t="n">
        <v>0</v>
      </c>
      <c r="AW2382" s="53" t="n">
        <v>0</v>
      </c>
      <c r="AX2382" s="53" t="n">
        <v>0</v>
      </c>
      <c r="AY2382" s="52" t="n">
        <v>0</v>
      </c>
      <c r="AZ2382" s="52" t="n">
        <v>0</v>
      </c>
      <c r="BA2382" s="52" t="n">
        <v>0</v>
      </c>
      <c r="BB2382" s="52" t="n">
        <v>0</v>
      </c>
      <c r="BC2382" s="51" t="n">
        <v>0</v>
      </c>
      <c r="BD2382" s="51" t="n">
        <v>0</v>
      </c>
      <c r="BE2382" s="51" t="n">
        <v>0</v>
      </c>
      <c r="BF2382" s="51" t="n">
        <v>0</v>
      </c>
    </row>
    <row r="2383">
      <c r="A2383">
        <f>HYPERLINK("https://www.walmart.com/ip/1957533576", "1957533576")</f>
        <v/>
      </c>
      <c r="B2383" t="inlineStr">
        <is>
          <t>Catalonia Wearable TV Blanket with Sleeves Arms Micro Plush Fleece Wrap Throw Robe 73 x 51”</t>
        </is>
      </c>
      <c r="C2383" t="inlineStr">
        <is>
          <t>1CTSN100SWSTAR</t>
        </is>
      </c>
      <c r="D2383" t="inlineStr">
        <is>
          <t>Throws</t>
        </is>
      </c>
      <c r="E2383" t="inlineStr">
        <is>
          <t>Catalonia</t>
        </is>
      </c>
      <c r="G2383" s="48" t="n">
        <v>0</v>
      </c>
      <c r="H2383" s="48" t="n">
        <v>0</v>
      </c>
      <c r="I2383" s="48" t="n">
        <v>0</v>
      </c>
      <c r="J2383" s="48" t="n">
        <v>0</v>
      </c>
      <c r="K2383" s="49" t="n">
        <v>0</v>
      </c>
      <c r="L2383" s="49" t="n">
        <v>0</v>
      </c>
      <c r="M2383" s="49" t="n">
        <v>0</v>
      </c>
      <c r="N2383" s="49" t="n">
        <v>0</v>
      </c>
      <c r="O2383" s="49" t="n">
        <v>0</v>
      </c>
      <c r="P2383" s="49" t="n">
        <v>0</v>
      </c>
      <c r="Q2383" s="49" t="n">
        <v>0</v>
      </c>
      <c r="R2383" s="49" t="n">
        <v>0</v>
      </c>
      <c r="S2383" s="50" t="n">
        <v>0</v>
      </c>
      <c r="T2383" s="50" t="n">
        <v>0</v>
      </c>
      <c r="U2383" s="50" t="n">
        <v>0</v>
      </c>
      <c r="V2383" s="50" t="n">
        <v>0</v>
      </c>
      <c r="W2383" s="51" t="n">
        <v>0</v>
      </c>
      <c r="X2383" s="51" t="n">
        <v>0</v>
      </c>
      <c r="Y2383" s="51" t="n">
        <v>0</v>
      </c>
      <c r="Z2383" s="51" t="n">
        <v>0</v>
      </c>
      <c r="AA2383" s="52" t="n">
        <v>0</v>
      </c>
      <c r="AB2383" s="52" t="n">
        <v>0</v>
      </c>
      <c r="AC2383" s="52" t="n">
        <v>0</v>
      </c>
      <c r="AD2383" s="52" t="n">
        <v>0</v>
      </c>
      <c r="AE2383" s="52" t="n">
        <v>0</v>
      </c>
      <c r="AF2383" s="52" t="n">
        <v>0</v>
      </c>
      <c r="AG2383" s="52" t="n">
        <v>0</v>
      </c>
      <c r="AH2383" s="52" t="n">
        <v>0</v>
      </c>
      <c r="AI2383" s="52" t="n">
        <v>0</v>
      </c>
      <c r="AJ2383" s="52" t="n">
        <v>0</v>
      </c>
      <c r="AK2383" s="52" t="n">
        <v>0</v>
      </c>
      <c r="AL2383" s="52" t="n">
        <v>0</v>
      </c>
      <c r="AM2383" s="53" t="n">
        <v>0</v>
      </c>
      <c r="AN2383" s="53" t="n">
        <v>0</v>
      </c>
      <c r="AO2383" s="53" t="n">
        <v>0</v>
      </c>
      <c r="AP2383" s="53" t="n">
        <v>0</v>
      </c>
      <c r="AQ2383" s="52" t="n">
        <v>0</v>
      </c>
      <c r="AR2383" s="52" t="n">
        <v>0</v>
      </c>
      <c r="AS2383" s="52" t="n">
        <v>0</v>
      </c>
      <c r="AT2383" s="52" t="n">
        <v>0</v>
      </c>
      <c r="AU2383" s="53" t="n">
        <v>0</v>
      </c>
      <c r="AV2383" s="53" t="n">
        <v>0</v>
      </c>
      <c r="AW2383" s="53" t="n">
        <v>0</v>
      </c>
      <c r="AX2383" s="53" t="n">
        <v>0</v>
      </c>
      <c r="AY2383" s="52" t="n">
        <v>0</v>
      </c>
      <c r="AZ2383" s="52" t="n">
        <v>0</v>
      </c>
      <c r="BA2383" s="52" t="n">
        <v>0</v>
      </c>
      <c r="BB2383" s="52" t="n">
        <v>0</v>
      </c>
      <c r="BC2383" s="51" t="n">
        <v>0</v>
      </c>
      <c r="BD2383" s="51" t="n">
        <v>0</v>
      </c>
      <c r="BE2383" s="51" t="n">
        <v>0</v>
      </c>
      <c r="BF2383" s="51" t="n">
        <v>0</v>
      </c>
    </row>
    <row r="2384">
      <c r="A2384">
        <f>HYPERLINK("https://www.walmart.com/ip/192912629", "192912629")</f>
        <v/>
      </c>
      <c r="B2384" t="inlineStr">
        <is>
          <t>Tirrinia Sherpa Pink Wearable Blanket for Adult Women, Men, Girlfriend, Super Soft Comfy Warm Plush Reading Throw with Sleeves TV Blanket Wrap Robe Cover for  Sofa, 72" x 55"</t>
        </is>
      </c>
      <c r="C2384" t="inlineStr">
        <is>
          <t>1TRSN110PK-TBCB</t>
        </is>
      </c>
      <c r="D2384" t="inlineStr">
        <is>
          <t>Throws</t>
        </is>
      </c>
      <c r="E2384" t="inlineStr">
        <is>
          <t>Tirrinia</t>
        </is>
      </c>
      <c r="F2384" t="inlineStr">
        <is>
          <t>Q2-Target,Optimized,Coupon_Discount</t>
        </is>
      </c>
      <c r="G2384" s="48" t="n">
        <v>0</v>
      </c>
      <c r="H2384" s="48" t="n">
        <v>0</v>
      </c>
      <c r="I2384" s="48" t="n">
        <v>0</v>
      </c>
      <c r="J2384" s="48" t="n">
        <v>0</v>
      </c>
      <c r="K2384" s="49" t="n">
        <v>0</v>
      </c>
      <c r="L2384" s="49" t="n">
        <v>0</v>
      </c>
      <c r="M2384" s="49" t="n">
        <v>0</v>
      </c>
      <c r="N2384" s="49" t="n">
        <v>0</v>
      </c>
      <c r="O2384" s="49" t="n">
        <v>0</v>
      </c>
      <c r="P2384" s="49" t="n">
        <v>0</v>
      </c>
      <c r="Q2384" s="49" t="n">
        <v>0</v>
      </c>
      <c r="R2384" s="49" t="n">
        <v>0</v>
      </c>
      <c r="S2384" s="50" t="n">
        <v>0</v>
      </c>
      <c r="T2384" s="50" t="n">
        <v>0</v>
      </c>
      <c r="U2384" s="50" t="n">
        <v>0</v>
      </c>
      <c r="V2384" s="50" t="n">
        <v>0</v>
      </c>
      <c r="W2384" s="51" t="n">
        <v>0</v>
      </c>
      <c r="X2384" s="51" t="n">
        <v>0</v>
      </c>
      <c r="Y2384" s="51" t="n">
        <v>0</v>
      </c>
      <c r="Z2384" s="51" t="n">
        <v>0</v>
      </c>
      <c r="AA2384" s="52" t="n">
        <v>0</v>
      </c>
      <c r="AB2384" s="52" t="n">
        <v>0</v>
      </c>
      <c r="AC2384" s="52" t="n">
        <v>0</v>
      </c>
      <c r="AD2384" s="52" t="n">
        <v>0</v>
      </c>
      <c r="AE2384" s="52" t="n">
        <v>0</v>
      </c>
      <c r="AF2384" s="52" t="n">
        <v>0</v>
      </c>
      <c r="AG2384" s="52" t="n">
        <v>0</v>
      </c>
      <c r="AH2384" s="52" t="n">
        <v>0</v>
      </c>
      <c r="AI2384" s="52" t="n">
        <v>0</v>
      </c>
      <c r="AJ2384" s="52" t="n">
        <v>0</v>
      </c>
      <c r="AK2384" s="52" t="n">
        <v>0</v>
      </c>
      <c r="AL2384" s="52" t="n">
        <v>0</v>
      </c>
      <c r="AM2384" s="53" t="n">
        <v>0</v>
      </c>
      <c r="AN2384" s="53" t="n">
        <v>0</v>
      </c>
      <c r="AO2384" s="53" t="n">
        <v>0</v>
      </c>
      <c r="AP2384" s="53" t="n">
        <v>0</v>
      </c>
      <c r="AQ2384" s="52" t="n">
        <v>0</v>
      </c>
      <c r="AR2384" s="52" t="n">
        <v>0</v>
      </c>
      <c r="AS2384" s="52" t="n">
        <v>0</v>
      </c>
      <c r="AT2384" s="52" t="n">
        <v>0</v>
      </c>
      <c r="AU2384" s="53" t="n">
        <v>0</v>
      </c>
      <c r="AV2384" s="53" t="n">
        <v>0</v>
      </c>
      <c r="AW2384" s="53" t="n">
        <v>0</v>
      </c>
      <c r="AX2384" s="53" t="n">
        <v>0</v>
      </c>
      <c r="AY2384" s="52" t="n">
        <v>0</v>
      </c>
      <c r="AZ2384" s="52" t="n">
        <v>0</v>
      </c>
      <c r="BA2384" s="52" t="n">
        <v>0</v>
      </c>
      <c r="BB2384" s="52" t="n">
        <v>0</v>
      </c>
      <c r="BC2384" s="51" t="n">
        <v>0</v>
      </c>
      <c r="BD2384" s="51" t="n">
        <v>0</v>
      </c>
      <c r="BE2384" s="51" t="n">
        <v>0</v>
      </c>
      <c r="BF2384" s="51" t="n">
        <v>0</v>
      </c>
    </row>
    <row r="2385">
      <c r="A2385">
        <f>HYPERLINK("https://www.walmart.com/ip/192876782", "192876782")</f>
        <v/>
      </c>
      <c r="B2385" t="inlineStr">
        <is>
          <t>Tirrinia Soft Sherpa Chevron Throw Blanket for Sofa or Couch Grey Reversible Fuzzy Micro Plush All Season Fleece TV Blanket 50" x 60"</t>
        </is>
      </c>
      <c r="C2385" t="inlineStr">
        <is>
          <t>1TRBF320GY-TBGM</t>
        </is>
      </c>
      <c r="D2385" t="inlineStr">
        <is>
          <t>Throws</t>
        </is>
      </c>
      <c r="E2385" t="inlineStr">
        <is>
          <t>Tirrinia</t>
        </is>
      </c>
      <c r="F2385" t="inlineStr">
        <is>
          <t>Batch 1 - TR</t>
        </is>
      </c>
      <c r="G2385" s="48" t="n">
        <v>0</v>
      </c>
      <c r="H2385" s="48" t="n">
        <v>0</v>
      </c>
      <c r="I2385" s="48" t="n">
        <v>0</v>
      </c>
      <c r="J2385" s="48" t="n">
        <v>0</v>
      </c>
      <c r="K2385" s="49" t="n">
        <v>0</v>
      </c>
      <c r="L2385" s="49" t="n">
        <v>0</v>
      </c>
      <c r="M2385" s="49" t="n">
        <v>0</v>
      </c>
      <c r="N2385" s="49" t="n">
        <v>0</v>
      </c>
      <c r="O2385" s="49" t="n">
        <v>0</v>
      </c>
      <c r="P2385" s="49" t="n">
        <v>0</v>
      </c>
      <c r="Q2385" s="49" t="n">
        <v>0</v>
      </c>
      <c r="R2385" s="49" t="n">
        <v>0</v>
      </c>
      <c r="S2385" s="50" t="n">
        <v>0</v>
      </c>
      <c r="T2385" s="50" t="n">
        <v>0</v>
      </c>
      <c r="U2385" s="50" t="n">
        <v>0</v>
      </c>
      <c r="V2385" s="50" t="n">
        <v>0</v>
      </c>
      <c r="W2385" s="51" t="n">
        <v>0</v>
      </c>
      <c r="X2385" s="51" t="n">
        <v>0</v>
      </c>
      <c r="Y2385" s="51" t="n">
        <v>0</v>
      </c>
      <c r="Z2385" s="51" t="n">
        <v>0</v>
      </c>
      <c r="AA2385" s="52" t="n">
        <v>0</v>
      </c>
      <c r="AB2385" s="52" t="n">
        <v>0</v>
      </c>
      <c r="AC2385" s="52" t="n">
        <v>0</v>
      </c>
      <c r="AD2385" s="52" t="n">
        <v>0</v>
      </c>
      <c r="AE2385" s="52" t="n">
        <v>0</v>
      </c>
      <c r="AF2385" s="52" t="n">
        <v>0</v>
      </c>
      <c r="AG2385" s="52" t="n">
        <v>0</v>
      </c>
      <c r="AH2385" s="52" t="n">
        <v>0</v>
      </c>
      <c r="AI2385" s="52" t="n">
        <v>0</v>
      </c>
      <c r="AJ2385" s="52" t="n">
        <v>0</v>
      </c>
      <c r="AK2385" s="52" t="n">
        <v>0</v>
      </c>
      <c r="AL2385" s="52" t="n">
        <v>0</v>
      </c>
      <c r="AM2385" s="53" t="n">
        <v>0</v>
      </c>
      <c r="AN2385" s="53" t="n">
        <v>0</v>
      </c>
      <c r="AO2385" s="53" t="n">
        <v>0</v>
      </c>
      <c r="AP2385" s="53" t="n">
        <v>0</v>
      </c>
      <c r="AQ2385" s="52" t="n">
        <v>0</v>
      </c>
      <c r="AR2385" s="52" t="n">
        <v>0</v>
      </c>
      <c r="AS2385" s="52" t="n">
        <v>0</v>
      </c>
      <c r="AT2385" s="52" t="n">
        <v>0</v>
      </c>
      <c r="AU2385" s="53" t="n">
        <v>0</v>
      </c>
      <c r="AV2385" s="53" t="n">
        <v>0</v>
      </c>
      <c r="AW2385" s="53" t="n">
        <v>0</v>
      </c>
      <c r="AX2385" s="53" t="n">
        <v>0</v>
      </c>
      <c r="AY2385" s="52" t="n">
        <v>0</v>
      </c>
      <c r="AZ2385" s="52" t="n">
        <v>0</v>
      </c>
      <c r="BA2385" s="52" t="n">
        <v>0</v>
      </c>
      <c r="BB2385" s="52" t="n">
        <v>0</v>
      </c>
      <c r="BC2385" s="51" t="n">
        <v>0</v>
      </c>
      <c r="BD2385" s="51" t="n">
        <v>0</v>
      </c>
      <c r="BE2385" s="51" t="n">
        <v>0</v>
      </c>
      <c r="BF2385" s="51" t="n">
        <v>0</v>
      </c>
    </row>
    <row r="2386">
      <c r="A2386">
        <f>HYPERLINK("https://www.walmart.com/ip/1928765080", "1928765080")</f>
        <v/>
      </c>
      <c r="B2386" t="inlineStr">
        <is>
          <t>Every Day is Christmas Glass Blown Ornaments Cute Hand Made Figurines Tree Decoration, Takeaway</t>
        </is>
      </c>
      <c r="C2386" t="inlineStr">
        <is>
          <t>EDC-FIGURINE-TAKEAWAY</t>
        </is>
      </c>
      <c r="D2386" t="inlineStr">
        <is>
          <t>Ornaments</t>
        </is>
      </c>
      <c r="E2386" t="inlineStr">
        <is>
          <t>Every Day is Christmas</t>
        </is>
      </c>
      <c r="G2386" s="48" t="n">
        <v>0</v>
      </c>
      <c r="H2386" s="48" t="n">
        <v>0</v>
      </c>
      <c r="I2386" s="48" t="n">
        <v>0</v>
      </c>
      <c r="J2386" s="48" t="n">
        <v>0</v>
      </c>
      <c r="K2386" s="49" t="n">
        <v>0</v>
      </c>
      <c r="L2386" s="49" t="n">
        <v>0</v>
      </c>
      <c r="M2386" s="49" t="n">
        <v>0</v>
      </c>
      <c r="N2386" s="49" t="n">
        <v>0</v>
      </c>
      <c r="O2386" s="49" t="n">
        <v>0</v>
      </c>
      <c r="P2386" s="49" t="n">
        <v>0</v>
      </c>
      <c r="Q2386" s="49" t="n">
        <v>0</v>
      </c>
      <c r="R2386" s="49" t="n">
        <v>0</v>
      </c>
      <c r="S2386" s="50" t="n">
        <v>0</v>
      </c>
      <c r="T2386" s="50" t="n">
        <v>0</v>
      </c>
      <c r="U2386" s="50" t="n">
        <v>0</v>
      </c>
      <c r="V2386" s="50" t="n">
        <v>0</v>
      </c>
      <c r="W2386" s="51" t="n">
        <v>0</v>
      </c>
      <c r="X2386" s="51" t="n">
        <v>0</v>
      </c>
      <c r="Y2386" s="51" t="n">
        <v>0</v>
      </c>
      <c r="Z2386" s="51" t="n">
        <v>0</v>
      </c>
      <c r="AA2386" s="52" t="n">
        <v>0</v>
      </c>
      <c r="AB2386" s="52" t="n">
        <v>0</v>
      </c>
      <c r="AC2386" s="52" t="n">
        <v>0</v>
      </c>
      <c r="AD2386" s="52" t="n">
        <v>0</v>
      </c>
      <c r="AE2386" s="52" t="n">
        <v>0</v>
      </c>
      <c r="AF2386" s="52" t="n">
        <v>0</v>
      </c>
      <c r="AG2386" s="52" t="n">
        <v>0</v>
      </c>
      <c r="AH2386" s="52" t="n">
        <v>0</v>
      </c>
      <c r="AI2386" s="52" t="n">
        <v>0</v>
      </c>
      <c r="AJ2386" s="52" t="n">
        <v>0</v>
      </c>
      <c r="AK2386" s="52" t="n">
        <v>0</v>
      </c>
      <c r="AL2386" s="52" t="n">
        <v>0</v>
      </c>
      <c r="AM2386" s="53" t="n">
        <v>0</v>
      </c>
      <c r="AN2386" s="53" t="n">
        <v>0</v>
      </c>
      <c r="AO2386" s="53" t="n">
        <v>0</v>
      </c>
      <c r="AP2386" s="53" t="n">
        <v>0</v>
      </c>
      <c r="AQ2386" s="52" t="n">
        <v>0</v>
      </c>
      <c r="AR2386" s="52" t="n">
        <v>0</v>
      </c>
      <c r="AS2386" s="52" t="n">
        <v>0</v>
      </c>
      <c r="AT2386" s="52" t="n">
        <v>0</v>
      </c>
      <c r="AU2386" s="53" t="n">
        <v>0</v>
      </c>
      <c r="AV2386" s="53" t="n">
        <v>0</v>
      </c>
      <c r="AW2386" s="53" t="n">
        <v>0</v>
      </c>
      <c r="AX2386" s="53" t="n">
        <v>0</v>
      </c>
      <c r="AY2386" s="52" t="n">
        <v>0</v>
      </c>
      <c r="AZ2386" s="52" t="n">
        <v>0</v>
      </c>
      <c r="BA2386" s="52" t="n">
        <v>0</v>
      </c>
      <c r="BB2386" s="52" t="n">
        <v>0</v>
      </c>
      <c r="BC2386" s="51" t="n">
        <v>0</v>
      </c>
      <c r="BD2386" s="51" t="n">
        <v>0</v>
      </c>
      <c r="BE2386" s="51" t="n">
        <v>0</v>
      </c>
      <c r="BF2386" s="51" t="n">
        <v>0</v>
      </c>
    </row>
    <row r="2387">
      <c r="A2387">
        <f>HYPERLINK("https://www.walmart.com/ip/1928359443", "1928359443")</f>
        <v/>
      </c>
      <c r="B2387" t="inlineStr">
        <is>
          <t>Every Day is Christmas Glass Blown Ornaments Cute Hand Made Figurines Tree Decoration, Crayons</t>
        </is>
      </c>
      <c r="C2387" t="inlineStr">
        <is>
          <t>EDC-FIGURINE-CRAYONS</t>
        </is>
      </c>
      <c r="D2387" t="inlineStr">
        <is>
          <t>Ornaments</t>
        </is>
      </c>
      <c r="E2387" t="inlineStr">
        <is>
          <t>Every Day is Christmas</t>
        </is>
      </c>
      <c r="G2387" s="48" t="n">
        <v>0</v>
      </c>
      <c r="H2387" s="48" t="n">
        <v>0</v>
      </c>
      <c r="I2387" s="48" t="n">
        <v>0</v>
      </c>
      <c r="J2387" s="48" t="n">
        <v>0</v>
      </c>
      <c r="K2387" s="49" t="n">
        <v>0</v>
      </c>
      <c r="L2387" s="49" t="n">
        <v>0</v>
      </c>
      <c r="M2387" s="49" t="n">
        <v>0</v>
      </c>
      <c r="N2387" s="49" t="n">
        <v>0</v>
      </c>
      <c r="O2387" s="49" t="n">
        <v>0</v>
      </c>
      <c r="P2387" s="49" t="n">
        <v>0</v>
      </c>
      <c r="Q2387" s="49" t="n">
        <v>0</v>
      </c>
      <c r="R2387" s="49" t="n">
        <v>0</v>
      </c>
      <c r="S2387" s="50" t="n">
        <v>0</v>
      </c>
      <c r="T2387" s="50" t="n">
        <v>0</v>
      </c>
      <c r="U2387" s="50" t="n">
        <v>0</v>
      </c>
      <c r="V2387" s="50" t="n">
        <v>0</v>
      </c>
      <c r="W2387" s="51" t="n">
        <v>0</v>
      </c>
      <c r="X2387" s="51" t="n">
        <v>0</v>
      </c>
      <c r="Y2387" s="51" t="n">
        <v>0</v>
      </c>
      <c r="Z2387" s="51" t="n">
        <v>0</v>
      </c>
      <c r="AA2387" s="52" t="n">
        <v>0</v>
      </c>
      <c r="AB2387" s="52" t="n">
        <v>0</v>
      </c>
      <c r="AC2387" s="52" t="n">
        <v>0</v>
      </c>
      <c r="AD2387" s="52" t="n">
        <v>0</v>
      </c>
      <c r="AE2387" s="52" t="n">
        <v>0</v>
      </c>
      <c r="AF2387" s="52" t="n">
        <v>0</v>
      </c>
      <c r="AG2387" s="52" t="n">
        <v>0</v>
      </c>
      <c r="AH2387" s="52" t="n">
        <v>0</v>
      </c>
      <c r="AI2387" s="52" t="n">
        <v>0</v>
      </c>
      <c r="AJ2387" s="52" t="n">
        <v>0</v>
      </c>
      <c r="AK2387" s="52" t="n">
        <v>0</v>
      </c>
      <c r="AL2387" s="52" t="n">
        <v>0</v>
      </c>
      <c r="AM2387" s="53" t="n">
        <v>0</v>
      </c>
      <c r="AN2387" s="53" t="n">
        <v>0</v>
      </c>
      <c r="AO2387" s="53" t="n">
        <v>0</v>
      </c>
      <c r="AP2387" s="53" t="n">
        <v>0</v>
      </c>
      <c r="AQ2387" s="52" t="n">
        <v>0</v>
      </c>
      <c r="AR2387" s="52" t="n">
        <v>0</v>
      </c>
      <c r="AS2387" s="52" t="n">
        <v>0</v>
      </c>
      <c r="AT2387" s="52" t="n">
        <v>0</v>
      </c>
      <c r="AU2387" s="53" t="n">
        <v>0</v>
      </c>
      <c r="AV2387" s="53" t="n">
        <v>0</v>
      </c>
      <c r="AW2387" s="53" t="n">
        <v>0</v>
      </c>
      <c r="AX2387" s="53" t="n">
        <v>0</v>
      </c>
      <c r="AY2387" s="52" t="n">
        <v>0</v>
      </c>
      <c r="AZ2387" s="52" t="n">
        <v>0</v>
      </c>
      <c r="BA2387" s="52" t="n">
        <v>0</v>
      </c>
      <c r="BB2387" s="52" t="n">
        <v>0</v>
      </c>
      <c r="BC2387" s="51" t="n">
        <v>0</v>
      </c>
      <c r="BD2387" s="51" t="n">
        <v>0</v>
      </c>
      <c r="BE2387" s="51" t="n">
        <v>0</v>
      </c>
      <c r="BF2387" s="51" t="n">
        <v>0</v>
      </c>
    </row>
    <row r="2388">
      <c r="A2388">
        <f>HYPERLINK("https://www.walmart.com/ip/1816502463", "1816502463")</f>
        <v/>
      </c>
      <c r="B2388" t="inlineStr">
        <is>
          <t>12 Pack Sun Blocker Women's Sun Hat Reversible Bucket Cap UPF 50+ Travel Beach Hat, Hawaii Flower Print Pink Pattern</t>
        </is>
      </c>
      <c r="C2388" t="inlineStr">
        <is>
          <t>KC-S9200FLW-PK-12pcs</t>
        </is>
      </c>
      <c r="D2388" t="inlineStr">
        <is>
          <t>Hats</t>
        </is>
      </c>
      <c r="E2388" t="inlineStr">
        <is>
          <t>Sun Blocker</t>
        </is>
      </c>
      <c r="F2388" t="inlineStr">
        <is>
          <t>Batch 1 - TR</t>
        </is>
      </c>
      <c r="G2388" s="48" t="n">
        <v>0</v>
      </c>
      <c r="H2388" s="48" t="n">
        <v>0</v>
      </c>
      <c r="I2388" s="48" t="n">
        <v>0</v>
      </c>
      <c r="J2388" s="48" t="n">
        <v>0</v>
      </c>
      <c r="K2388" s="49" t="n">
        <v>0</v>
      </c>
      <c r="L2388" s="49" t="n">
        <v>0</v>
      </c>
      <c r="M2388" s="49" t="n">
        <v>0</v>
      </c>
      <c r="N2388" s="49" t="n">
        <v>0</v>
      </c>
      <c r="O2388" s="49" t="n">
        <v>0</v>
      </c>
      <c r="P2388" s="49" t="n">
        <v>0</v>
      </c>
      <c r="Q2388" s="49" t="n">
        <v>0</v>
      </c>
      <c r="R2388" s="49" t="n">
        <v>0</v>
      </c>
      <c r="S2388" s="50" t="n">
        <v>0</v>
      </c>
      <c r="T2388" s="50" t="n">
        <v>0</v>
      </c>
      <c r="U2388" s="50" t="n">
        <v>0</v>
      </c>
      <c r="V2388" s="50" t="n">
        <v>0</v>
      </c>
      <c r="W2388" s="51" t="n">
        <v>0</v>
      </c>
      <c r="X2388" s="51" t="n">
        <v>0</v>
      </c>
      <c r="Y2388" s="51" t="n">
        <v>0</v>
      </c>
      <c r="Z2388" s="51" t="n">
        <v>0</v>
      </c>
      <c r="AA2388" s="52" t="n">
        <v>0</v>
      </c>
      <c r="AB2388" s="52" t="n">
        <v>0</v>
      </c>
      <c r="AC2388" s="52" t="n">
        <v>0</v>
      </c>
      <c r="AD2388" s="52" t="n">
        <v>0</v>
      </c>
      <c r="AE2388" s="52" t="n">
        <v>0</v>
      </c>
      <c r="AF2388" s="52" t="n">
        <v>0</v>
      </c>
      <c r="AG2388" s="52" t="n">
        <v>0</v>
      </c>
      <c r="AH2388" s="52" t="n">
        <v>0</v>
      </c>
      <c r="AI2388" s="52" t="n">
        <v>0</v>
      </c>
      <c r="AJ2388" s="52" t="n">
        <v>0</v>
      </c>
      <c r="AK2388" s="52" t="n">
        <v>0</v>
      </c>
      <c r="AL2388" s="52" t="n">
        <v>0</v>
      </c>
      <c r="AM2388" s="53" t="n">
        <v>0</v>
      </c>
      <c r="AN2388" s="53" t="n">
        <v>0</v>
      </c>
      <c r="AO2388" s="53" t="n">
        <v>0</v>
      </c>
      <c r="AP2388" s="53" t="n">
        <v>0</v>
      </c>
      <c r="AQ2388" s="52" t="n">
        <v>0</v>
      </c>
      <c r="AR2388" s="52" t="n">
        <v>0</v>
      </c>
      <c r="AS2388" s="52" t="n">
        <v>0</v>
      </c>
      <c r="AT2388" s="52" t="n">
        <v>0</v>
      </c>
      <c r="AU2388" s="53" t="n">
        <v>0</v>
      </c>
      <c r="AV2388" s="53" t="n">
        <v>0</v>
      </c>
      <c r="AW2388" s="53" t="n">
        <v>0</v>
      </c>
      <c r="AX2388" s="53" t="n">
        <v>0</v>
      </c>
      <c r="AY2388" s="52" t="n">
        <v>0</v>
      </c>
      <c r="AZ2388" s="52" t="n">
        <v>0</v>
      </c>
      <c r="BA2388" s="52" t="n">
        <v>0</v>
      </c>
      <c r="BB2388" s="52" t="n">
        <v>0</v>
      </c>
      <c r="BC2388" s="51" t="n">
        <v>0</v>
      </c>
      <c r="BD2388" s="51" t="n">
        <v>0</v>
      </c>
      <c r="BE2388" s="51" t="n">
        <v>0</v>
      </c>
      <c r="BF2388" s="51" t="n">
        <v>0</v>
      </c>
    </row>
    <row r="2389">
      <c r="A2389">
        <f>HYPERLINK("https://www.walmart.com/ip/190969943", "190969943")</f>
        <v/>
      </c>
      <c r="B2389" t="inlineStr">
        <is>
          <t>Flyingstar Woman Sweatshirt Dress, Casual Ladies Pullover, Juniors Hoodie Dress with Kangaroo Pocket, One Size, Grey</t>
        </is>
      </c>
      <c r="C2389" t="inlineStr">
        <is>
          <t>1WMHD530S1GY</t>
        </is>
      </c>
      <c r="D2389" t="inlineStr">
        <is>
          <t>Sweatshirts &amp; Hoodies</t>
        </is>
      </c>
      <c r="E2389" t="inlineStr">
        <is>
          <t>Flyingstar</t>
        </is>
      </c>
      <c r="F2389" t="inlineStr">
        <is>
          <t>Hoodie ForAdult,Optimized</t>
        </is>
      </c>
      <c r="G2389" s="48" t="n">
        <v>0</v>
      </c>
      <c r="H2389" s="48" t="n">
        <v>0</v>
      </c>
      <c r="I2389" s="48" t="n">
        <v>0</v>
      </c>
      <c r="J2389" s="48" t="n">
        <v>0</v>
      </c>
      <c r="K2389" s="49" t="n">
        <v>0</v>
      </c>
      <c r="L2389" s="49" t="n">
        <v>0</v>
      </c>
      <c r="M2389" s="49" t="n">
        <v>0</v>
      </c>
      <c r="N2389" s="49" t="n">
        <v>0</v>
      </c>
      <c r="O2389" s="49" t="n">
        <v>0</v>
      </c>
      <c r="P2389" s="49" t="n">
        <v>0</v>
      </c>
      <c r="Q2389" s="49" t="n">
        <v>0</v>
      </c>
      <c r="R2389" s="49" t="n">
        <v>0</v>
      </c>
      <c r="S2389" s="50" t="n">
        <v>0</v>
      </c>
      <c r="T2389" s="50" t="n">
        <v>0</v>
      </c>
      <c r="U2389" s="50" t="n">
        <v>0</v>
      </c>
      <c r="V2389" s="50" t="n">
        <v>0</v>
      </c>
      <c r="W2389" s="51" t="n">
        <v>0</v>
      </c>
      <c r="X2389" s="51" t="n">
        <v>0</v>
      </c>
      <c r="Y2389" s="51" t="n">
        <v>0</v>
      </c>
      <c r="Z2389" s="51" t="n">
        <v>0</v>
      </c>
      <c r="AA2389" s="52" t="n">
        <v>0</v>
      </c>
      <c r="AB2389" s="52" t="n">
        <v>0</v>
      </c>
      <c r="AC2389" s="52" t="n">
        <v>0</v>
      </c>
      <c r="AD2389" s="52" t="n">
        <v>0</v>
      </c>
      <c r="AE2389" s="52" t="n">
        <v>0</v>
      </c>
      <c r="AF2389" s="52" t="n">
        <v>0</v>
      </c>
      <c r="AG2389" s="52" t="n">
        <v>0</v>
      </c>
      <c r="AH2389" s="52" t="n">
        <v>0</v>
      </c>
      <c r="AI2389" s="52" t="n">
        <v>0</v>
      </c>
      <c r="AJ2389" s="52" t="n">
        <v>0</v>
      </c>
      <c r="AK2389" s="52" t="n">
        <v>0</v>
      </c>
      <c r="AL2389" s="52" t="n">
        <v>0</v>
      </c>
      <c r="AM2389" s="53" t="n">
        <v>0</v>
      </c>
      <c r="AN2389" s="53" t="n">
        <v>0</v>
      </c>
      <c r="AO2389" s="53" t="n">
        <v>0</v>
      </c>
      <c r="AP2389" s="53" t="n">
        <v>0</v>
      </c>
      <c r="AQ2389" s="52" t="n">
        <v>0</v>
      </c>
      <c r="AR2389" s="52" t="n">
        <v>0</v>
      </c>
      <c r="AS2389" s="52" t="n">
        <v>0</v>
      </c>
      <c r="AT2389" s="52" t="n">
        <v>0</v>
      </c>
      <c r="AU2389" s="53" t="n">
        <v>0</v>
      </c>
      <c r="AV2389" s="53" t="n">
        <v>0</v>
      </c>
      <c r="AW2389" s="53" t="n">
        <v>0</v>
      </c>
      <c r="AX2389" s="53" t="n">
        <v>0</v>
      </c>
      <c r="AY2389" s="52" t="n">
        <v>0</v>
      </c>
      <c r="AZ2389" s="52" t="n">
        <v>0</v>
      </c>
      <c r="BA2389" s="52" t="n">
        <v>0</v>
      </c>
      <c r="BB2389" s="52" t="n">
        <v>0</v>
      </c>
      <c r="BC2389" s="51" t="n">
        <v>0</v>
      </c>
      <c r="BD2389" s="51" t="n">
        <v>0</v>
      </c>
      <c r="BE2389" s="51" t="n">
        <v>0</v>
      </c>
      <c r="BF2389" s="51" t="n">
        <v>0</v>
      </c>
    </row>
    <row r="2390">
      <c r="A2390">
        <f>HYPERLINK("https://www.walmart.com/ip/191240069", "191240069")</f>
        <v/>
      </c>
      <c r="B2390" t="inlineStr">
        <is>
          <t>Men's Boxer Briefs Assorted Mens Underwear with Cotton Classic Stretch , 3-Pack by Terra</t>
        </is>
      </c>
      <c r="C2390" t="inlineStr">
        <is>
          <t>TERRABOXERSET1-L</t>
        </is>
      </c>
      <c r="D2390" t="inlineStr">
        <is>
          <t>Underpants</t>
        </is>
      </c>
      <c r="E2390" t="inlineStr">
        <is>
          <t>Terra</t>
        </is>
      </c>
      <c r="F2390" t="inlineStr">
        <is>
          <t>WFS,WFS Item</t>
        </is>
      </c>
      <c r="G2390" s="48" t="n">
        <v>0</v>
      </c>
      <c r="H2390" s="48" t="n">
        <v>0</v>
      </c>
      <c r="I2390" s="48" t="n">
        <v>0</v>
      </c>
      <c r="J2390" s="48" t="n">
        <v>0</v>
      </c>
      <c r="K2390" s="49" t="n">
        <v>0</v>
      </c>
      <c r="L2390" s="49" t="n">
        <v>0</v>
      </c>
      <c r="M2390" s="49" t="n">
        <v>0</v>
      </c>
      <c r="N2390" s="49" t="n">
        <v>0</v>
      </c>
      <c r="O2390" s="49" t="n">
        <v>0</v>
      </c>
      <c r="P2390" s="49" t="n">
        <v>0</v>
      </c>
      <c r="Q2390" s="49" t="n">
        <v>0</v>
      </c>
      <c r="R2390" s="49" t="n">
        <v>0</v>
      </c>
      <c r="S2390" s="50" t="n">
        <v>0</v>
      </c>
      <c r="T2390" s="50" t="n">
        <v>0</v>
      </c>
      <c r="U2390" s="50" t="n">
        <v>0</v>
      </c>
      <c r="V2390" s="50" t="n">
        <v>0</v>
      </c>
      <c r="W2390" s="51" t="n">
        <v>0</v>
      </c>
      <c r="X2390" s="51" t="n">
        <v>0</v>
      </c>
      <c r="Y2390" s="51" t="n">
        <v>0</v>
      </c>
      <c r="Z2390" s="51" t="n">
        <v>0</v>
      </c>
      <c r="AA2390" s="52" t="n">
        <v>0</v>
      </c>
      <c r="AB2390" s="52" t="n">
        <v>0</v>
      </c>
      <c r="AC2390" s="52" t="n">
        <v>0</v>
      </c>
      <c r="AD2390" s="52" t="n">
        <v>0</v>
      </c>
      <c r="AE2390" s="52" t="n">
        <v>0</v>
      </c>
      <c r="AF2390" s="52" t="n">
        <v>0</v>
      </c>
      <c r="AG2390" s="52" t="n">
        <v>0</v>
      </c>
      <c r="AH2390" s="52" t="n">
        <v>0</v>
      </c>
      <c r="AI2390" s="52" t="n">
        <v>0</v>
      </c>
      <c r="AJ2390" s="52" t="n">
        <v>0</v>
      </c>
      <c r="AK2390" s="52" t="n">
        <v>0</v>
      </c>
      <c r="AL2390" s="52" t="n">
        <v>0</v>
      </c>
      <c r="AM2390" s="53" t="n">
        <v>0</v>
      </c>
      <c r="AN2390" s="53" t="n">
        <v>0</v>
      </c>
      <c r="AO2390" s="53" t="n">
        <v>0</v>
      </c>
      <c r="AP2390" s="53" t="n">
        <v>0</v>
      </c>
      <c r="AQ2390" s="52" t="n">
        <v>0</v>
      </c>
      <c r="AR2390" s="52" t="n">
        <v>0</v>
      </c>
      <c r="AS2390" s="52" t="n">
        <v>0</v>
      </c>
      <c r="AT2390" s="52" t="n">
        <v>0</v>
      </c>
      <c r="AU2390" s="53" t="n">
        <v>0</v>
      </c>
      <c r="AV2390" s="53" t="n">
        <v>0</v>
      </c>
      <c r="AW2390" s="53" t="n">
        <v>0</v>
      </c>
      <c r="AX2390" s="53" t="n">
        <v>0</v>
      </c>
      <c r="AY2390" s="52" t="n">
        <v>0</v>
      </c>
      <c r="AZ2390" s="52" t="n">
        <v>0</v>
      </c>
      <c r="BA2390" s="52" t="n">
        <v>0</v>
      </c>
      <c r="BB2390" s="52" t="n">
        <v>0</v>
      </c>
      <c r="BC2390" s="51" t="n">
        <v>0</v>
      </c>
      <c r="BD2390" s="51" t="n">
        <v>0</v>
      </c>
      <c r="BE2390" s="51" t="n">
        <v>0</v>
      </c>
      <c r="BF2390" s="51" t="n">
        <v>0</v>
      </c>
    </row>
    <row r="2391">
      <c r="A2391">
        <f>HYPERLINK("https://www.walmart.com/ip/191247348", "191247348")</f>
        <v/>
      </c>
      <c r="B2391" t="inlineStr">
        <is>
          <t>KC Caps Unisex Adjustable Ring Buckle Closure USA Flag Embroidered Cap Hat</t>
        </is>
      </c>
      <c r="C2391" t="inlineStr">
        <is>
          <t>kc-aeemb-wt</t>
        </is>
      </c>
      <c r="D2391" t="inlineStr">
        <is>
          <t>Hats</t>
        </is>
      </c>
      <c r="E2391" t="inlineStr">
        <is>
          <t>KC Caps</t>
        </is>
      </c>
      <c r="F2391" t="inlineStr">
        <is>
          <t>Optimized</t>
        </is>
      </c>
      <c r="G2391" s="48" t="n">
        <v>0</v>
      </c>
      <c r="H2391" s="48" t="n">
        <v>0</v>
      </c>
      <c r="I2391" s="48" t="n">
        <v>0</v>
      </c>
      <c r="J2391" s="48" t="n">
        <v>0</v>
      </c>
      <c r="K2391" s="49" t="n">
        <v>0</v>
      </c>
      <c r="L2391" s="49" t="n">
        <v>0</v>
      </c>
      <c r="M2391" s="49" t="n">
        <v>0</v>
      </c>
      <c r="N2391" s="49" t="n">
        <v>0</v>
      </c>
      <c r="O2391" s="49" t="n">
        <v>0</v>
      </c>
      <c r="P2391" s="49" t="n">
        <v>0</v>
      </c>
      <c r="Q2391" s="49" t="n">
        <v>0</v>
      </c>
      <c r="R2391" s="49" t="n">
        <v>0</v>
      </c>
      <c r="S2391" s="50" t="n">
        <v>0</v>
      </c>
      <c r="T2391" s="50" t="n">
        <v>0</v>
      </c>
      <c r="U2391" s="50" t="n">
        <v>0</v>
      </c>
      <c r="V2391" s="50" t="n">
        <v>0</v>
      </c>
      <c r="W2391" s="51" t="n">
        <v>0</v>
      </c>
      <c r="X2391" s="51" t="n">
        <v>0</v>
      </c>
      <c r="Y2391" s="51" t="n">
        <v>0</v>
      </c>
      <c r="Z2391" s="51" t="n">
        <v>0</v>
      </c>
      <c r="AA2391" s="52" t="n">
        <v>0</v>
      </c>
      <c r="AB2391" s="52" t="n">
        <v>0</v>
      </c>
      <c r="AC2391" s="52" t="n">
        <v>0</v>
      </c>
      <c r="AD2391" s="52" t="n">
        <v>0</v>
      </c>
      <c r="AE2391" s="52" t="n">
        <v>0</v>
      </c>
      <c r="AF2391" s="52" t="n">
        <v>0</v>
      </c>
      <c r="AG2391" s="52" t="n">
        <v>0</v>
      </c>
      <c r="AH2391" s="52" t="n">
        <v>0</v>
      </c>
      <c r="AI2391" s="52" t="n">
        <v>0</v>
      </c>
      <c r="AJ2391" s="52" t="n">
        <v>0</v>
      </c>
      <c r="AK2391" s="52" t="n">
        <v>0</v>
      </c>
      <c r="AL2391" s="52" t="n">
        <v>0</v>
      </c>
      <c r="AM2391" s="53" t="n">
        <v>0</v>
      </c>
      <c r="AN2391" s="53" t="n">
        <v>0</v>
      </c>
      <c r="AO2391" s="53" t="n">
        <v>0</v>
      </c>
      <c r="AP2391" s="53" t="n">
        <v>0</v>
      </c>
      <c r="AQ2391" s="52" t="n">
        <v>0</v>
      </c>
      <c r="AR2391" s="52" t="n">
        <v>0</v>
      </c>
      <c r="AS2391" s="52" t="n">
        <v>0</v>
      </c>
      <c r="AT2391" s="52" t="n">
        <v>0</v>
      </c>
      <c r="AU2391" s="53" t="n">
        <v>0</v>
      </c>
      <c r="AV2391" s="53" t="n">
        <v>0</v>
      </c>
      <c r="AW2391" s="53" t="n">
        <v>0</v>
      </c>
      <c r="AX2391" s="53" t="n">
        <v>0</v>
      </c>
      <c r="AY2391" s="52" t="n">
        <v>0</v>
      </c>
      <c r="AZ2391" s="52" t="n">
        <v>0</v>
      </c>
      <c r="BA2391" s="52" t="n">
        <v>0</v>
      </c>
      <c r="BB2391" s="52" t="n">
        <v>0</v>
      </c>
      <c r="BC2391" s="51" t="n">
        <v>0</v>
      </c>
      <c r="BD2391" s="51" t="n">
        <v>0</v>
      </c>
      <c r="BE2391" s="51" t="n">
        <v>0</v>
      </c>
      <c r="BF2391" s="51" t="n">
        <v>0</v>
      </c>
    </row>
    <row r="2392">
      <c r="A2392">
        <f>HYPERLINK("https://www.walmart.com/ip/191262377", "191262377")</f>
        <v/>
      </c>
      <c r="B2392" t="inlineStr">
        <is>
          <t>Tirrinia Insulated Lunch Bag for Women Men, Leakproof Thermal Reusable Lunch Box with 4 Pockets for Adult, Kids, Student, Lunch Bag Cooler Tote for Office Work, Back to School, Charcoal</t>
        </is>
      </c>
      <c r="C2392" t="inlineStr">
        <is>
          <t>1TRLB702CH-N</t>
        </is>
      </c>
      <c r="D2392" t="inlineStr">
        <is>
          <t>Reusable Lunch Bags &amp; Boxes</t>
        </is>
      </c>
      <c r="E2392" t="inlineStr">
        <is>
          <t>Tirrinia</t>
        </is>
      </c>
      <c r="F2392" t="inlineStr">
        <is>
          <t>Q2-Target,Brand Camp VD,Lunch Bag,WFS,Lunch Bags,SEM,WFS Item,AMZ Bestsellers</t>
        </is>
      </c>
      <c r="G2392" s="48" t="n">
        <v>0</v>
      </c>
      <c r="H2392" s="48" t="n">
        <v>0</v>
      </c>
      <c r="I2392" s="48" t="n">
        <v>0</v>
      </c>
      <c r="J2392" s="48" t="n">
        <v>0</v>
      </c>
      <c r="K2392" s="49" t="n">
        <v>0</v>
      </c>
      <c r="L2392" s="49" t="n">
        <v>0</v>
      </c>
      <c r="M2392" s="49" t="n">
        <v>0</v>
      </c>
      <c r="N2392" s="49" t="n">
        <v>0</v>
      </c>
      <c r="O2392" s="49" t="n">
        <v>0</v>
      </c>
      <c r="P2392" s="49" t="n">
        <v>0</v>
      </c>
      <c r="Q2392" s="49" t="n">
        <v>0</v>
      </c>
      <c r="R2392" s="49" t="n">
        <v>0</v>
      </c>
      <c r="S2392" s="50" t="n">
        <v>0</v>
      </c>
      <c r="T2392" s="50" t="n">
        <v>0</v>
      </c>
      <c r="U2392" s="50" t="n">
        <v>0</v>
      </c>
      <c r="V2392" s="50" t="n">
        <v>0</v>
      </c>
      <c r="W2392" s="51" t="n">
        <v>0</v>
      </c>
      <c r="X2392" s="51" t="n">
        <v>0</v>
      </c>
      <c r="Y2392" s="51" t="n">
        <v>0</v>
      </c>
      <c r="Z2392" s="51" t="n">
        <v>0</v>
      </c>
      <c r="AA2392" s="52" t="n">
        <v>0</v>
      </c>
      <c r="AB2392" s="52" t="n">
        <v>0</v>
      </c>
      <c r="AC2392" s="52" t="n">
        <v>0</v>
      </c>
      <c r="AD2392" s="52" t="n">
        <v>0</v>
      </c>
      <c r="AE2392" s="52" t="n">
        <v>0</v>
      </c>
      <c r="AF2392" s="52" t="n">
        <v>0</v>
      </c>
      <c r="AG2392" s="52" t="n">
        <v>0</v>
      </c>
      <c r="AH2392" s="52" t="n">
        <v>0</v>
      </c>
      <c r="AI2392" s="52" t="n">
        <v>0</v>
      </c>
      <c r="AJ2392" s="52" t="n">
        <v>0</v>
      </c>
      <c r="AK2392" s="52" t="n">
        <v>0</v>
      </c>
      <c r="AL2392" s="52" t="n">
        <v>0</v>
      </c>
      <c r="AM2392" s="53" t="n">
        <v>0</v>
      </c>
      <c r="AN2392" s="53" t="n">
        <v>0</v>
      </c>
      <c r="AO2392" s="53" t="n">
        <v>0</v>
      </c>
      <c r="AP2392" s="53" t="n">
        <v>0</v>
      </c>
      <c r="AQ2392" s="52" t="n">
        <v>0</v>
      </c>
      <c r="AR2392" s="52" t="n">
        <v>0</v>
      </c>
      <c r="AS2392" s="52" t="n">
        <v>0</v>
      </c>
      <c r="AT2392" s="52" t="n">
        <v>0</v>
      </c>
      <c r="AU2392" s="53" t="n">
        <v>0</v>
      </c>
      <c r="AV2392" s="53" t="n">
        <v>0</v>
      </c>
      <c r="AW2392" s="53" t="n">
        <v>0</v>
      </c>
      <c r="AX2392" s="53" t="n">
        <v>0</v>
      </c>
      <c r="AY2392" s="52" t="n">
        <v>0</v>
      </c>
      <c r="AZ2392" s="52" t="n">
        <v>0</v>
      </c>
      <c r="BA2392" s="52" t="n">
        <v>0</v>
      </c>
      <c r="BB2392" s="52" t="n">
        <v>0</v>
      </c>
      <c r="BC2392" s="51" t="n">
        <v>0</v>
      </c>
      <c r="BD2392" s="51" t="n">
        <v>0</v>
      </c>
      <c r="BE2392" s="51" t="n">
        <v>0</v>
      </c>
      <c r="BF2392" s="51" t="n">
        <v>0</v>
      </c>
    </row>
    <row r="2393">
      <c r="A2393">
        <f>HYPERLINK("https://www.walmart.com/ip/1913460330", "1913460330")</f>
        <v/>
      </c>
      <c r="B2393" t="inlineStr">
        <is>
          <t>Tirrinia Large Insulated Lunch Tote Bag for Women, Waterproof Oxford Cloth Leakproof Cooler Bag, Shopping Food Grocery Bag for Work or Beach, Gray</t>
        </is>
      </c>
      <c r="C2393" t="inlineStr">
        <is>
          <t>1TRCB800GY</t>
        </is>
      </c>
      <c r="D2393" t="inlineStr">
        <is>
          <t>Reusable Lunch Bags &amp; Boxes</t>
        </is>
      </c>
      <c r="E2393" t="inlineStr">
        <is>
          <t>Tirrinia</t>
        </is>
      </c>
      <c r="F2393" t="inlineStr">
        <is>
          <t>Q2-Target,Batch 1 - TR</t>
        </is>
      </c>
      <c r="G2393" s="48" t="n">
        <v>0</v>
      </c>
      <c r="H2393" s="48" t="n">
        <v>31.98</v>
      </c>
      <c r="I2393" s="48" t="n">
        <v>-15.99</v>
      </c>
      <c r="J2393" s="48" t="n">
        <v>0</v>
      </c>
      <c r="K2393" s="49" t="n">
        <v>0</v>
      </c>
      <c r="L2393" s="49" t="n">
        <v>2</v>
      </c>
      <c r="M2393" s="49" t="n">
        <v>-1</v>
      </c>
      <c r="N2393" s="49" t="n">
        <v>0</v>
      </c>
      <c r="O2393" s="49" t="n">
        <v>9</v>
      </c>
      <c r="P2393" s="49" t="n">
        <v>15</v>
      </c>
      <c r="Q2393" s="49" t="n">
        <v>20</v>
      </c>
      <c r="R2393" s="49" t="n">
        <v>9</v>
      </c>
      <c r="S2393" s="50" t="n">
        <v>0</v>
      </c>
      <c r="T2393" s="50" t="n">
        <v>0.1333333333333333</v>
      </c>
      <c r="U2393" s="50" t="n">
        <v>-0.05</v>
      </c>
      <c r="V2393" s="50" t="n">
        <v>0</v>
      </c>
      <c r="W2393" s="51" t="n">
        <v>0</v>
      </c>
      <c r="X2393" s="51" t="n">
        <v>0</v>
      </c>
      <c r="Y2393" s="51" t="n">
        <v>0</v>
      </c>
      <c r="Z2393" s="51" t="n">
        <v>0</v>
      </c>
      <c r="AA2393" s="52" t="n">
        <v>0</v>
      </c>
      <c r="AB2393" s="52" t="n">
        <v>0</v>
      </c>
      <c r="AC2393" s="52" t="n">
        <v>0</v>
      </c>
      <c r="AD2393" s="52" t="n">
        <v>0</v>
      </c>
      <c r="AE2393" s="52" t="n">
        <v>0</v>
      </c>
      <c r="AF2393" s="52" t="n">
        <v>0</v>
      </c>
      <c r="AG2393" s="52" t="n">
        <v>0</v>
      </c>
      <c r="AH2393" s="52" t="n">
        <v>0</v>
      </c>
      <c r="AI2393" s="52" t="n">
        <v>0</v>
      </c>
      <c r="AJ2393" s="52" t="n">
        <v>0</v>
      </c>
      <c r="AK2393" s="52" t="n">
        <v>0</v>
      </c>
      <c r="AL2393" s="52" t="n">
        <v>0</v>
      </c>
      <c r="AM2393" s="53" t="n">
        <v>0</v>
      </c>
      <c r="AN2393" s="53" t="n">
        <v>0</v>
      </c>
      <c r="AO2393" s="53" t="n">
        <v>0</v>
      </c>
      <c r="AP2393" s="53" t="n">
        <v>0</v>
      </c>
      <c r="AQ2393" s="52" t="n">
        <v>0</v>
      </c>
      <c r="AR2393" s="52" t="n">
        <v>0</v>
      </c>
      <c r="AS2393" s="52" t="n">
        <v>0</v>
      </c>
      <c r="AT2393" s="52" t="n">
        <v>0</v>
      </c>
      <c r="AU2393" s="53" t="n">
        <v>0</v>
      </c>
      <c r="AV2393" s="53" t="n">
        <v>0</v>
      </c>
      <c r="AW2393" s="53" t="n">
        <v>0</v>
      </c>
      <c r="AX2393" s="53" t="n">
        <v>0</v>
      </c>
      <c r="AY2393" s="52" t="n">
        <v>0</v>
      </c>
      <c r="AZ2393" s="52" t="n">
        <v>15.99</v>
      </c>
      <c r="BA2393" s="52" t="n">
        <v>0</v>
      </c>
      <c r="BB2393" s="52" t="n">
        <v>0</v>
      </c>
      <c r="BC2393" s="51" t="n">
        <v>0</v>
      </c>
      <c r="BD2393" s="51" t="n">
        <v>0</v>
      </c>
      <c r="BE2393" s="51" t="n">
        <v>0</v>
      </c>
      <c r="BF2393" s="51" t="n">
        <v>0</v>
      </c>
    </row>
    <row r="2394">
      <c r="A2394">
        <f>HYPERLINK("https://www.walmart.com/ip/191385187", "191385187")</f>
        <v/>
      </c>
      <c r="B2394" t="inlineStr">
        <is>
          <t>Jenniwears Women's Sexy Lingerie Lace Mesh 2-Piece Bowknot Halter Chemise with G-String</t>
        </is>
      </c>
      <c r="C2394" t="inlineStr">
        <is>
          <t>JWND03BK</t>
        </is>
      </c>
      <c r="D2394" t="inlineStr">
        <is>
          <t>Lingerie Sets</t>
        </is>
      </c>
      <c r="E2394" t="inlineStr">
        <is>
          <t>JenniWears</t>
        </is>
      </c>
      <c r="F2394" t="inlineStr">
        <is>
          <t>Optimized,Valentine</t>
        </is>
      </c>
      <c r="G2394" s="48" t="n">
        <v>0</v>
      </c>
      <c r="H2394" s="48" t="n">
        <v>0</v>
      </c>
      <c r="I2394" s="48" t="n">
        <v>0</v>
      </c>
      <c r="J2394" s="48" t="n">
        <v>0</v>
      </c>
      <c r="K2394" s="49" t="n">
        <v>0</v>
      </c>
      <c r="L2394" s="49" t="n">
        <v>0</v>
      </c>
      <c r="M2394" s="49" t="n">
        <v>0</v>
      </c>
      <c r="N2394" s="49" t="n">
        <v>0</v>
      </c>
      <c r="O2394" s="49" t="n">
        <v>0</v>
      </c>
      <c r="P2394" s="49" t="n">
        <v>0</v>
      </c>
      <c r="Q2394" s="49" t="n">
        <v>0</v>
      </c>
      <c r="R2394" s="49" t="n">
        <v>0</v>
      </c>
      <c r="S2394" s="50" t="n">
        <v>0</v>
      </c>
      <c r="T2394" s="50" t="n">
        <v>0</v>
      </c>
      <c r="U2394" s="50" t="n">
        <v>0</v>
      </c>
      <c r="V2394" s="50" t="n">
        <v>0</v>
      </c>
      <c r="W2394" s="51" t="n">
        <v>0</v>
      </c>
      <c r="X2394" s="51" t="n">
        <v>0</v>
      </c>
      <c r="Y2394" s="51" t="n">
        <v>0</v>
      </c>
      <c r="Z2394" s="51" t="n">
        <v>0</v>
      </c>
      <c r="AA2394" s="52" t="n">
        <v>0</v>
      </c>
      <c r="AB2394" s="52" t="n">
        <v>0</v>
      </c>
      <c r="AC2394" s="52" t="n">
        <v>0</v>
      </c>
      <c r="AD2394" s="52" t="n">
        <v>0</v>
      </c>
      <c r="AE2394" s="52" t="n">
        <v>0</v>
      </c>
      <c r="AF2394" s="52" t="n">
        <v>0</v>
      </c>
      <c r="AG2394" s="52" t="n">
        <v>0</v>
      </c>
      <c r="AH2394" s="52" t="n">
        <v>0</v>
      </c>
      <c r="AI2394" s="52" t="n">
        <v>0</v>
      </c>
      <c r="AJ2394" s="52" t="n">
        <v>0</v>
      </c>
      <c r="AK2394" s="52" t="n">
        <v>0</v>
      </c>
      <c r="AL2394" s="52" t="n">
        <v>0</v>
      </c>
      <c r="AM2394" s="53" t="n">
        <v>0</v>
      </c>
      <c r="AN2394" s="53" t="n">
        <v>0</v>
      </c>
      <c r="AO2394" s="53" t="n">
        <v>0</v>
      </c>
      <c r="AP2394" s="53" t="n">
        <v>0</v>
      </c>
      <c r="AQ2394" s="52" t="n">
        <v>0</v>
      </c>
      <c r="AR2394" s="52" t="n">
        <v>0</v>
      </c>
      <c r="AS2394" s="52" t="n">
        <v>0</v>
      </c>
      <c r="AT2394" s="52" t="n">
        <v>0</v>
      </c>
      <c r="AU2394" s="53" t="n">
        <v>0</v>
      </c>
      <c r="AV2394" s="53" t="n">
        <v>0</v>
      </c>
      <c r="AW2394" s="53" t="n">
        <v>0</v>
      </c>
      <c r="AX2394" s="53" t="n">
        <v>0</v>
      </c>
      <c r="AY2394" s="52" t="n">
        <v>0</v>
      </c>
      <c r="AZ2394" s="52" t="n">
        <v>0</v>
      </c>
      <c r="BA2394" s="52" t="n">
        <v>0</v>
      </c>
      <c r="BB2394" s="52" t="n">
        <v>0</v>
      </c>
      <c r="BC2394" s="51" t="n">
        <v>0</v>
      </c>
      <c r="BD2394" s="51" t="n">
        <v>0</v>
      </c>
      <c r="BE2394" s="51" t="n">
        <v>0</v>
      </c>
      <c r="BF2394" s="51" t="n">
        <v>0</v>
      </c>
    </row>
    <row r="2395">
      <c r="A2395">
        <f>HYPERLINK("https://www.walmart.com/ip/191690313", "191690313")</f>
        <v/>
      </c>
      <c r="B2395" t="inlineStr">
        <is>
          <t>KC Caps Sun Flare Racing Cap Black with Red Flames</t>
        </is>
      </c>
      <c r="C2395" t="inlineStr">
        <is>
          <t>KC-FL12</t>
        </is>
      </c>
      <c r="D2395" t="inlineStr">
        <is>
          <t>Hats</t>
        </is>
      </c>
      <c r="E2395" t="inlineStr">
        <is>
          <t>KC Caps</t>
        </is>
      </c>
      <c r="F2395" t="inlineStr">
        <is>
          <t>Optimized</t>
        </is>
      </c>
      <c r="G2395" s="48" t="n">
        <v>0</v>
      </c>
      <c r="H2395" s="48" t="n">
        <v>0</v>
      </c>
      <c r="I2395" s="48" t="n">
        <v>0</v>
      </c>
      <c r="J2395" s="48" t="n">
        <v>0</v>
      </c>
      <c r="K2395" s="49" t="n">
        <v>0</v>
      </c>
      <c r="L2395" s="49" t="n">
        <v>0</v>
      </c>
      <c r="M2395" s="49" t="n">
        <v>0</v>
      </c>
      <c r="N2395" s="49" t="n">
        <v>0</v>
      </c>
      <c r="O2395" s="49" t="n">
        <v>0</v>
      </c>
      <c r="P2395" s="49" t="n">
        <v>0</v>
      </c>
      <c r="Q2395" s="49" t="n">
        <v>0</v>
      </c>
      <c r="R2395" s="49" t="n">
        <v>0</v>
      </c>
      <c r="S2395" s="50" t="n">
        <v>0</v>
      </c>
      <c r="T2395" s="50" t="n">
        <v>0</v>
      </c>
      <c r="U2395" s="50" t="n">
        <v>0</v>
      </c>
      <c r="V2395" s="50" t="n">
        <v>0</v>
      </c>
      <c r="W2395" s="51" t="n">
        <v>0</v>
      </c>
      <c r="X2395" s="51" t="n">
        <v>0</v>
      </c>
      <c r="Y2395" s="51" t="n">
        <v>0</v>
      </c>
      <c r="Z2395" s="51" t="n">
        <v>0</v>
      </c>
      <c r="AA2395" s="52" t="n">
        <v>0</v>
      </c>
      <c r="AB2395" s="52" t="n">
        <v>0</v>
      </c>
      <c r="AC2395" s="52" t="n">
        <v>0</v>
      </c>
      <c r="AD2395" s="52" t="n">
        <v>0</v>
      </c>
      <c r="AE2395" s="52" t="n">
        <v>0</v>
      </c>
      <c r="AF2395" s="52" t="n">
        <v>0</v>
      </c>
      <c r="AG2395" s="52" t="n">
        <v>0</v>
      </c>
      <c r="AH2395" s="52" t="n">
        <v>0</v>
      </c>
      <c r="AI2395" s="52" t="n">
        <v>0</v>
      </c>
      <c r="AJ2395" s="52" t="n">
        <v>0</v>
      </c>
      <c r="AK2395" s="52" t="n">
        <v>0</v>
      </c>
      <c r="AL2395" s="52" t="n">
        <v>0</v>
      </c>
      <c r="AM2395" s="53" t="n">
        <v>0</v>
      </c>
      <c r="AN2395" s="53" t="n">
        <v>0</v>
      </c>
      <c r="AO2395" s="53" t="n">
        <v>0</v>
      </c>
      <c r="AP2395" s="53" t="n">
        <v>0</v>
      </c>
      <c r="AQ2395" s="52" t="n">
        <v>0</v>
      </c>
      <c r="AR2395" s="52" t="n">
        <v>0</v>
      </c>
      <c r="AS2395" s="52" t="n">
        <v>0</v>
      </c>
      <c r="AT2395" s="52" t="n">
        <v>0</v>
      </c>
      <c r="AU2395" s="53" t="n">
        <v>0</v>
      </c>
      <c r="AV2395" s="53" t="n">
        <v>0</v>
      </c>
      <c r="AW2395" s="53" t="n">
        <v>0</v>
      </c>
      <c r="AX2395" s="53" t="n">
        <v>0</v>
      </c>
      <c r="AY2395" s="52" t="n">
        <v>0</v>
      </c>
      <c r="AZ2395" s="52" t="n">
        <v>0</v>
      </c>
      <c r="BA2395" s="52" t="n">
        <v>0</v>
      </c>
      <c r="BB2395" s="52" t="n">
        <v>0</v>
      </c>
      <c r="BC2395" s="51" t="n">
        <v>0</v>
      </c>
      <c r="BD2395" s="51" t="n">
        <v>0</v>
      </c>
      <c r="BE2395" s="51" t="n">
        <v>0</v>
      </c>
      <c r="BF2395" s="51" t="n">
        <v>0</v>
      </c>
    </row>
    <row r="2396">
      <c r="A2396">
        <f>HYPERLINK("https://www.walmart.com/ip/191815443", "191815443")</f>
        <v/>
      </c>
      <c r="B2396" t="inlineStr">
        <is>
          <t>KC Caps® Unisex Cotton Baseball Cap Adjustable Plain Hat (21 Styles/Colors)</t>
        </is>
      </c>
      <c r="C2396" t="inlineStr">
        <is>
          <t>KC8010CRE</t>
        </is>
      </c>
      <c r="D2396" t="inlineStr">
        <is>
          <t>Hats</t>
        </is>
      </c>
      <c r="E2396" t="inlineStr">
        <is>
          <t>KC Caps</t>
        </is>
      </c>
      <c r="F2396" t="inlineStr">
        <is>
          <t>Optimized</t>
        </is>
      </c>
      <c r="G2396" s="48" t="n">
        <v>0</v>
      </c>
      <c r="H2396" s="48" t="n">
        <v>0</v>
      </c>
      <c r="I2396" s="48" t="n">
        <v>0</v>
      </c>
      <c r="J2396" s="48" t="n">
        <v>0</v>
      </c>
      <c r="K2396" s="49" t="n">
        <v>0</v>
      </c>
      <c r="L2396" s="49" t="n">
        <v>0</v>
      </c>
      <c r="M2396" s="49" t="n">
        <v>0</v>
      </c>
      <c r="N2396" s="49" t="n">
        <v>0</v>
      </c>
      <c r="O2396" s="49" t="n">
        <v>0</v>
      </c>
      <c r="P2396" s="49" t="n">
        <v>0</v>
      </c>
      <c r="Q2396" s="49" t="n">
        <v>0</v>
      </c>
      <c r="R2396" s="49" t="n">
        <v>0</v>
      </c>
      <c r="S2396" s="50" t="n">
        <v>0</v>
      </c>
      <c r="T2396" s="50" t="n">
        <v>0</v>
      </c>
      <c r="U2396" s="50" t="n">
        <v>0</v>
      </c>
      <c r="V2396" s="50" t="n">
        <v>0</v>
      </c>
      <c r="W2396" s="51" t="n">
        <v>0</v>
      </c>
      <c r="X2396" s="51" t="n">
        <v>0</v>
      </c>
      <c r="Y2396" s="51" t="n">
        <v>0</v>
      </c>
      <c r="Z2396" s="51" t="n">
        <v>0</v>
      </c>
      <c r="AA2396" s="52" t="n">
        <v>0</v>
      </c>
      <c r="AB2396" s="52" t="n">
        <v>0</v>
      </c>
      <c r="AC2396" s="52" t="n">
        <v>0</v>
      </c>
      <c r="AD2396" s="52" t="n">
        <v>0</v>
      </c>
      <c r="AE2396" s="52" t="n">
        <v>0</v>
      </c>
      <c r="AF2396" s="52" t="n">
        <v>0</v>
      </c>
      <c r="AG2396" s="52" t="n">
        <v>0</v>
      </c>
      <c r="AH2396" s="52" t="n">
        <v>0</v>
      </c>
      <c r="AI2396" s="52" t="n">
        <v>0</v>
      </c>
      <c r="AJ2396" s="52" t="n">
        <v>0</v>
      </c>
      <c r="AK2396" s="52" t="n">
        <v>0</v>
      </c>
      <c r="AL2396" s="52" t="n">
        <v>0</v>
      </c>
      <c r="AM2396" s="53" t="n">
        <v>0</v>
      </c>
      <c r="AN2396" s="53" t="n">
        <v>0</v>
      </c>
      <c r="AO2396" s="53" t="n">
        <v>0</v>
      </c>
      <c r="AP2396" s="53" t="n">
        <v>0</v>
      </c>
      <c r="AQ2396" s="52" t="n">
        <v>0</v>
      </c>
      <c r="AR2396" s="52" t="n">
        <v>0</v>
      </c>
      <c r="AS2396" s="52" t="n">
        <v>0</v>
      </c>
      <c r="AT2396" s="52" t="n">
        <v>0</v>
      </c>
      <c r="AU2396" s="53" t="n">
        <v>0</v>
      </c>
      <c r="AV2396" s="53" t="n">
        <v>0</v>
      </c>
      <c r="AW2396" s="53" t="n">
        <v>0</v>
      </c>
      <c r="AX2396" s="53" t="n">
        <v>0</v>
      </c>
      <c r="AY2396" s="52" t="n">
        <v>0</v>
      </c>
      <c r="AZ2396" s="52" t="n">
        <v>0</v>
      </c>
      <c r="BA2396" s="52" t="n">
        <v>0</v>
      </c>
      <c r="BB2396" s="52" t="n">
        <v>0</v>
      </c>
      <c r="BC2396" s="51" t="n">
        <v>0</v>
      </c>
      <c r="BD2396" s="51" t="n">
        <v>0</v>
      </c>
      <c r="BE2396" s="51" t="n">
        <v>0</v>
      </c>
      <c r="BF2396" s="51" t="n">
        <v>0</v>
      </c>
    </row>
    <row r="2397">
      <c r="A2397">
        <f>HYPERLINK("https://www.walmart.com/ip/191858987", "191858987")</f>
        <v/>
      </c>
      <c r="B2397" t="inlineStr">
        <is>
          <t>JenniWears Women's Sexy Crotchless Suspender Pantyhose Stockings - 6 Packs</t>
        </is>
      </c>
      <c r="C2397" t="inlineStr">
        <is>
          <t>JWBLSPH2029-6pcs</t>
        </is>
      </c>
      <c r="D2397" t="inlineStr">
        <is>
          <t>Pantyhose &amp; Tights</t>
        </is>
      </c>
      <c r="E2397" t="inlineStr">
        <is>
          <t>JenniWears</t>
        </is>
      </c>
      <c r="F2397" t="inlineStr">
        <is>
          <t>Optimized,Valentine</t>
        </is>
      </c>
      <c r="G2397" s="48" t="n">
        <v>0</v>
      </c>
      <c r="H2397" s="48" t="n">
        <v>0</v>
      </c>
      <c r="I2397" s="48" t="n">
        <v>0</v>
      </c>
      <c r="J2397" s="48" t="n">
        <v>0</v>
      </c>
      <c r="K2397" s="49" t="n">
        <v>0</v>
      </c>
      <c r="L2397" s="49" t="n">
        <v>0</v>
      </c>
      <c r="M2397" s="49" t="n">
        <v>0</v>
      </c>
      <c r="N2397" s="49" t="n">
        <v>0</v>
      </c>
      <c r="O2397" s="49" t="n">
        <v>0</v>
      </c>
      <c r="P2397" s="49" t="n">
        <v>0</v>
      </c>
      <c r="Q2397" s="49" t="n">
        <v>0</v>
      </c>
      <c r="R2397" s="49" t="n">
        <v>0</v>
      </c>
      <c r="S2397" s="50" t="n">
        <v>0</v>
      </c>
      <c r="T2397" s="50" t="n">
        <v>0</v>
      </c>
      <c r="U2397" s="50" t="n">
        <v>0</v>
      </c>
      <c r="V2397" s="50" t="n">
        <v>0</v>
      </c>
      <c r="W2397" s="51" t="n">
        <v>0</v>
      </c>
      <c r="X2397" s="51" t="n">
        <v>0</v>
      </c>
      <c r="Y2397" s="51" t="n">
        <v>0</v>
      </c>
      <c r="Z2397" s="51" t="n">
        <v>0</v>
      </c>
      <c r="AA2397" s="52" t="n">
        <v>0</v>
      </c>
      <c r="AB2397" s="52" t="n">
        <v>0</v>
      </c>
      <c r="AC2397" s="52" t="n">
        <v>0</v>
      </c>
      <c r="AD2397" s="52" t="n">
        <v>0</v>
      </c>
      <c r="AE2397" s="52" t="n">
        <v>0</v>
      </c>
      <c r="AF2397" s="52" t="n">
        <v>0</v>
      </c>
      <c r="AG2397" s="52" t="n">
        <v>0</v>
      </c>
      <c r="AH2397" s="52" t="n">
        <v>0</v>
      </c>
      <c r="AI2397" s="52" t="n">
        <v>0</v>
      </c>
      <c r="AJ2397" s="52" t="n">
        <v>0</v>
      </c>
      <c r="AK2397" s="52" t="n">
        <v>0</v>
      </c>
      <c r="AL2397" s="52" t="n">
        <v>0</v>
      </c>
      <c r="AM2397" s="53" t="n">
        <v>0</v>
      </c>
      <c r="AN2397" s="53" t="n">
        <v>0</v>
      </c>
      <c r="AO2397" s="53" t="n">
        <v>0</v>
      </c>
      <c r="AP2397" s="53" t="n">
        <v>0</v>
      </c>
      <c r="AQ2397" s="52" t="n">
        <v>0</v>
      </c>
      <c r="AR2397" s="52" t="n">
        <v>0</v>
      </c>
      <c r="AS2397" s="52" t="n">
        <v>0</v>
      </c>
      <c r="AT2397" s="52" t="n">
        <v>0</v>
      </c>
      <c r="AU2397" s="53" t="n">
        <v>0</v>
      </c>
      <c r="AV2397" s="53" t="n">
        <v>0</v>
      </c>
      <c r="AW2397" s="53" t="n">
        <v>0</v>
      </c>
      <c r="AX2397" s="53" t="n">
        <v>0</v>
      </c>
      <c r="AY2397" s="52" t="n">
        <v>0</v>
      </c>
      <c r="AZ2397" s="52" t="n">
        <v>0</v>
      </c>
      <c r="BA2397" s="52" t="n">
        <v>0</v>
      </c>
      <c r="BB2397" s="52" t="n">
        <v>0</v>
      </c>
      <c r="BC2397" s="51" t="n">
        <v>0</v>
      </c>
      <c r="BD2397" s="51" t="n">
        <v>0</v>
      </c>
      <c r="BE2397" s="51" t="n">
        <v>0</v>
      </c>
      <c r="BF2397" s="51" t="n">
        <v>0</v>
      </c>
    </row>
    <row r="2398">
      <c r="A2398">
        <f>HYPERLINK("https://www.walmart.com/ip/1918924708", "1918924708")</f>
        <v/>
      </c>
      <c r="B2398" t="inlineStr">
        <is>
          <t>Hang Ten Basic Insulated Lunch Bag for Work, Thermal Reusable Office Lunch Box for Men, Women (Palm Trees)</t>
        </is>
      </c>
      <c r="C2398" t="inlineStr">
        <is>
          <t>HT-LUNCH-BASICBOX-LAVASTRIPE</t>
        </is>
      </c>
      <c r="D2398" t="inlineStr">
        <is>
          <t>Reusable Lunch Bags &amp; Boxes</t>
        </is>
      </c>
      <c r="E2398" t="inlineStr">
        <is>
          <t>HANG TEN</t>
        </is>
      </c>
      <c r="G2398" s="48" t="n">
        <v>0</v>
      </c>
      <c r="H2398" s="48" t="n">
        <v>0</v>
      </c>
      <c r="I2398" s="48" t="n">
        <v>0</v>
      </c>
      <c r="J2398" s="48" t="n">
        <v>0</v>
      </c>
      <c r="K2398" s="49" t="n">
        <v>0</v>
      </c>
      <c r="L2398" s="49" t="n">
        <v>0</v>
      </c>
      <c r="M2398" s="49" t="n">
        <v>0</v>
      </c>
      <c r="N2398" s="49" t="n">
        <v>0</v>
      </c>
      <c r="O2398" s="49" t="n">
        <v>0</v>
      </c>
      <c r="P2398" s="49" t="n">
        <v>0</v>
      </c>
      <c r="Q2398" s="49" t="n">
        <v>0</v>
      </c>
      <c r="R2398" s="49" t="n">
        <v>0</v>
      </c>
      <c r="S2398" s="50" t="n">
        <v>0</v>
      </c>
      <c r="T2398" s="50" t="n">
        <v>0</v>
      </c>
      <c r="U2398" s="50" t="n">
        <v>0</v>
      </c>
      <c r="V2398" s="50" t="n">
        <v>0</v>
      </c>
      <c r="W2398" s="51" t="n">
        <v>0</v>
      </c>
      <c r="X2398" s="51" t="n">
        <v>0</v>
      </c>
      <c r="Y2398" s="51" t="n">
        <v>0</v>
      </c>
      <c r="Z2398" s="51" t="n">
        <v>0</v>
      </c>
      <c r="AA2398" s="52" t="n">
        <v>0</v>
      </c>
      <c r="AB2398" s="52" t="n">
        <v>0</v>
      </c>
      <c r="AC2398" s="52" t="n">
        <v>0</v>
      </c>
      <c r="AD2398" s="52" t="n">
        <v>0</v>
      </c>
      <c r="AE2398" s="52" t="n">
        <v>0</v>
      </c>
      <c r="AF2398" s="52" t="n">
        <v>0</v>
      </c>
      <c r="AG2398" s="52" t="n">
        <v>0</v>
      </c>
      <c r="AH2398" s="52" t="n">
        <v>0</v>
      </c>
      <c r="AI2398" s="52" t="n">
        <v>0</v>
      </c>
      <c r="AJ2398" s="52" t="n">
        <v>0</v>
      </c>
      <c r="AK2398" s="52" t="n">
        <v>0</v>
      </c>
      <c r="AL2398" s="52" t="n">
        <v>0</v>
      </c>
      <c r="AM2398" s="53" t="n">
        <v>0</v>
      </c>
      <c r="AN2398" s="53" t="n">
        <v>0</v>
      </c>
      <c r="AO2398" s="53" t="n">
        <v>0</v>
      </c>
      <c r="AP2398" s="53" t="n">
        <v>0</v>
      </c>
      <c r="AQ2398" s="52" t="n">
        <v>0</v>
      </c>
      <c r="AR2398" s="52" t="n">
        <v>0</v>
      </c>
      <c r="AS2398" s="52" t="n">
        <v>0</v>
      </c>
      <c r="AT2398" s="52" t="n">
        <v>0</v>
      </c>
      <c r="AU2398" s="53" t="n">
        <v>0</v>
      </c>
      <c r="AV2398" s="53" t="n">
        <v>0</v>
      </c>
      <c r="AW2398" s="53" t="n">
        <v>0</v>
      </c>
      <c r="AX2398" s="53" t="n">
        <v>0</v>
      </c>
      <c r="AY2398" s="52" t="n">
        <v>0</v>
      </c>
      <c r="AZ2398" s="52" t="n">
        <v>0</v>
      </c>
      <c r="BA2398" s="52" t="n">
        <v>0</v>
      </c>
      <c r="BB2398" s="52" t="n">
        <v>0</v>
      </c>
      <c r="BC2398" s="51" t="n">
        <v>0</v>
      </c>
      <c r="BD2398" s="51" t="n">
        <v>0</v>
      </c>
      <c r="BE2398" s="51" t="n">
        <v>0</v>
      </c>
      <c r="BF2398" s="51" t="n">
        <v>0</v>
      </c>
    </row>
    <row r="2399">
      <c r="A2399">
        <f>HYPERLINK("https://www.walmart.com/ip/192069885", "192069885")</f>
        <v/>
      </c>
      <c r="B2399" t="inlineStr">
        <is>
          <t>KC Caps® Unisex Cotton Baseball Cap Adjustable Plain Hat (21 Styles/Colors)</t>
        </is>
      </c>
      <c r="C2399" t="inlineStr">
        <is>
          <t>KC8010GNNV</t>
        </is>
      </c>
      <c r="D2399" t="inlineStr">
        <is>
          <t>Hats</t>
        </is>
      </c>
      <c r="E2399" t="inlineStr">
        <is>
          <t>KC Caps</t>
        </is>
      </c>
      <c r="F2399" t="inlineStr">
        <is>
          <t>Optimized</t>
        </is>
      </c>
      <c r="G2399" s="48" t="n">
        <v>0</v>
      </c>
      <c r="H2399" s="48" t="n">
        <v>0</v>
      </c>
      <c r="I2399" s="48" t="n">
        <v>0</v>
      </c>
      <c r="J2399" s="48" t="n">
        <v>0</v>
      </c>
      <c r="K2399" s="49" t="n">
        <v>0</v>
      </c>
      <c r="L2399" s="49" t="n">
        <v>0</v>
      </c>
      <c r="M2399" s="49" t="n">
        <v>0</v>
      </c>
      <c r="N2399" s="49" t="n">
        <v>0</v>
      </c>
      <c r="O2399" s="49" t="n">
        <v>0</v>
      </c>
      <c r="P2399" s="49" t="n">
        <v>0</v>
      </c>
      <c r="Q2399" s="49" t="n">
        <v>0</v>
      </c>
      <c r="R2399" s="49" t="n">
        <v>0</v>
      </c>
      <c r="S2399" s="50" t="n">
        <v>0</v>
      </c>
      <c r="T2399" s="50" t="n">
        <v>0</v>
      </c>
      <c r="U2399" s="50" t="n">
        <v>0</v>
      </c>
      <c r="V2399" s="50" t="n">
        <v>0</v>
      </c>
      <c r="W2399" s="51" t="n">
        <v>0</v>
      </c>
      <c r="X2399" s="51" t="n">
        <v>0</v>
      </c>
      <c r="Y2399" s="51" t="n">
        <v>0</v>
      </c>
      <c r="Z2399" s="51" t="n">
        <v>0</v>
      </c>
      <c r="AA2399" s="52" t="n">
        <v>0</v>
      </c>
      <c r="AB2399" s="52" t="n">
        <v>0</v>
      </c>
      <c r="AC2399" s="52" t="n">
        <v>0</v>
      </c>
      <c r="AD2399" s="52" t="n">
        <v>0</v>
      </c>
      <c r="AE2399" s="52" t="n">
        <v>0</v>
      </c>
      <c r="AF2399" s="52" t="n">
        <v>0</v>
      </c>
      <c r="AG2399" s="52" t="n">
        <v>0</v>
      </c>
      <c r="AH2399" s="52" t="n">
        <v>0</v>
      </c>
      <c r="AI2399" s="52" t="n">
        <v>0</v>
      </c>
      <c r="AJ2399" s="52" t="n">
        <v>0</v>
      </c>
      <c r="AK2399" s="52" t="n">
        <v>0</v>
      </c>
      <c r="AL2399" s="52" t="n">
        <v>0</v>
      </c>
      <c r="AM2399" s="53" t="n">
        <v>0</v>
      </c>
      <c r="AN2399" s="53" t="n">
        <v>0</v>
      </c>
      <c r="AO2399" s="53" t="n">
        <v>0</v>
      </c>
      <c r="AP2399" s="53" t="n">
        <v>0</v>
      </c>
      <c r="AQ2399" s="52" t="n">
        <v>0</v>
      </c>
      <c r="AR2399" s="52" t="n">
        <v>0</v>
      </c>
      <c r="AS2399" s="52" t="n">
        <v>0</v>
      </c>
      <c r="AT2399" s="52" t="n">
        <v>0</v>
      </c>
      <c r="AU2399" s="53" t="n">
        <v>0</v>
      </c>
      <c r="AV2399" s="53" t="n">
        <v>0</v>
      </c>
      <c r="AW2399" s="53" t="n">
        <v>0</v>
      </c>
      <c r="AX2399" s="53" t="n">
        <v>0</v>
      </c>
      <c r="AY2399" s="52" t="n">
        <v>0</v>
      </c>
      <c r="AZ2399" s="52" t="n">
        <v>0</v>
      </c>
      <c r="BA2399" s="52" t="n">
        <v>0</v>
      </c>
      <c r="BB2399" s="52" t="n">
        <v>0</v>
      </c>
      <c r="BC2399" s="51" t="n">
        <v>0</v>
      </c>
      <c r="BD2399" s="51" t="n">
        <v>0</v>
      </c>
      <c r="BE2399" s="51" t="n">
        <v>0</v>
      </c>
      <c r="BF2399" s="51" t="n">
        <v>0</v>
      </c>
    </row>
    <row r="2400">
      <c r="A2400">
        <f>HYPERLINK("https://www.walmart.com/ip/1922799668", "1922799668")</f>
        <v/>
      </c>
      <c r="B2400" t="inlineStr">
        <is>
          <t>Every Day is Christmas Glass Blown Ornaments 2022 Cute Hand Made Figurines Tree Decoration - 12.7cm glass wrench and vice and hammer and screwdriver ornament</t>
        </is>
      </c>
      <c r="C2400" t="inlineStr">
        <is>
          <t>EDC-FIGURINE-PICKLE</t>
        </is>
      </c>
      <c r="D2400" t="inlineStr">
        <is>
          <t>Ornaments</t>
        </is>
      </c>
      <c r="E2400" t="inlineStr">
        <is>
          <t>Every Day is Christmas</t>
        </is>
      </c>
      <c r="G2400" s="48" t="n">
        <v>0</v>
      </c>
      <c r="H2400" s="48" t="n">
        <v>0</v>
      </c>
      <c r="I2400" s="48" t="n">
        <v>0</v>
      </c>
      <c r="J2400" s="48" t="n">
        <v>0</v>
      </c>
      <c r="K2400" s="49" t="n">
        <v>0</v>
      </c>
      <c r="L2400" s="49" t="n">
        <v>0</v>
      </c>
      <c r="M2400" s="49" t="n">
        <v>0</v>
      </c>
      <c r="N2400" s="49" t="n">
        <v>0</v>
      </c>
      <c r="O2400" s="49" t="n">
        <v>0</v>
      </c>
      <c r="P2400" s="49" t="n">
        <v>0</v>
      </c>
      <c r="Q2400" s="49" t="n">
        <v>0</v>
      </c>
      <c r="R2400" s="49" t="n">
        <v>0</v>
      </c>
      <c r="S2400" s="50" t="n">
        <v>0</v>
      </c>
      <c r="T2400" s="50" t="n">
        <v>0</v>
      </c>
      <c r="U2400" s="50" t="n">
        <v>0</v>
      </c>
      <c r="V2400" s="50" t="n">
        <v>0</v>
      </c>
      <c r="W2400" s="51" t="n">
        <v>0</v>
      </c>
      <c r="X2400" s="51" t="n">
        <v>0</v>
      </c>
      <c r="Y2400" s="51" t="n">
        <v>0</v>
      </c>
      <c r="Z2400" s="51" t="n">
        <v>0</v>
      </c>
      <c r="AA2400" s="52" t="n">
        <v>0</v>
      </c>
      <c r="AB2400" s="52" t="n">
        <v>0</v>
      </c>
      <c r="AC2400" s="52" t="n">
        <v>0</v>
      </c>
      <c r="AD2400" s="52" t="n">
        <v>0</v>
      </c>
      <c r="AE2400" s="52" t="n">
        <v>0</v>
      </c>
      <c r="AF2400" s="52" t="n">
        <v>0</v>
      </c>
      <c r="AG2400" s="52" t="n">
        <v>0</v>
      </c>
      <c r="AH2400" s="52" t="n">
        <v>0</v>
      </c>
      <c r="AI2400" s="52" t="n">
        <v>0</v>
      </c>
      <c r="AJ2400" s="52" t="n">
        <v>0</v>
      </c>
      <c r="AK2400" s="52" t="n">
        <v>0</v>
      </c>
      <c r="AL2400" s="52" t="n">
        <v>0</v>
      </c>
      <c r="AM2400" s="53" t="n">
        <v>0</v>
      </c>
      <c r="AN2400" s="53" t="n">
        <v>0</v>
      </c>
      <c r="AO2400" s="53" t="n">
        <v>0</v>
      </c>
      <c r="AP2400" s="53" t="n">
        <v>0</v>
      </c>
      <c r="AQ2400" s="52" t="n">
        <v>0</v>
      </c>
      <c r="AR2400" s="52" t="n">
        <v>0</v>
      </c>
      <c r="AS2400" s="52" t="n">
        <v>0</v>
      </c>
      <c r="AT2400" s="52" t="n">
        <v>0</v>
      </c>
      <c r="AU2400" s="53" t="n">
        <v>0</v>
      </c>
      <c r="AV2400" s="53" t="n">
        <v>0</v>
      </c>
      <c r="AW2400" s="53" t="n">
        <v>0</v>
      </c>
      <c r="AX2400" s="53" t="n">
        <v>0</v>
      </c>
      <c r="AY2400" s="52" t="n">
        <v>0</v>
      </c>
      <c r="AZ2400" s="52" t="n">
        <v>0</v>
      </c>
      <c r="BA2400" s="52" t="n">
        <v>0</v>
      </c>
      <c r="BB2400" s="52" t="n">
        <v>0</v>
      </c>
      <c r="BC2400" s="51" t="n">
        <v>0</v>
      </c>
      <c r="BD2400" s="51" t="n">
        <v>0</v>
      </c>
      <c r="BE2400" s="51" t="n">
        <v>0</v>
      </c>
      <c r="BF2400" s="51" t="n">
        <v>0</v>
      </c>
    </row>
    <row r="2401">
      <c r="A2401">
        <f>HYPERLINK("https://www.walmart.com/ip/192442245", "192442245")</f>
        <v/>
      </c>
      <c r="B2401" t="inlineStr">
        <is>
          <t>JenniWears Sexy Women's Floral Fishnet Sheer Halter Open Crotch Bodystocking</t>
        </is>
      </c>
      <c r="C2401" t="inlineStr">
        <is>
          <t>JWBS8847</t>
        </is>
      </c>
      <c r="D2401" t="inlineStr">
        <is>
          <t>Teddies &amp; Bodystockings</t>
        </is>
      </c>
      <c r="E2401" t="inlineStr">
        <is>
          <t>JenniWears</t>
        </is>
      </c>
      <c r="F2401" t="inlineStr">
        <is>
          <t>WFS,Valentine,WFS Item</t>
        </is>
      </c>
      <c r="G2401" s="48" t="n">
        <v>0</v>
      </c>
      <c r="H2401" s="48" t="n">
        <v>0</v>
      </c>
      <c r="I2401" s="48" t="n">
        <v>0</v>
      </c>
      <c r="J2401" s="48" t="n">
        <v>0</v>
      </c>
      <c r="K2401" s="49" t="n">
        <v>0</v>
      </c>
      <c r="L2401" s="49" t="n">
        <v>0</v>
      </c>
      <c r="M2401" s="49" t="n">
        <v>0</v>
      </c>
      <c r="N2401" s="49" t="n">
        <v>0</v>
      </c>
      <c r="O2401" s="49" t="n">
        <v>0</v>
      </c>
      <c r="P2401" s="49" t="n">
        <v>0</v>
      </c>
      <c r="Q2401" s="49" t="n">
        <v>0</v>
      </c>
      <c r="R2401" s="49" t="n">
        <v>0</v>
      </c>
      <c r="S2401" s="50" t="n">
        <v>0</v>
      </c>
      <c r="T2401" s="50" t="n">
        <v>0</v>
      </c>
      <c r="U2401" s="50" t="n">
        <v>0</v>
      </c>
      <c r="V2401" s="50" t="n">
        <v>0</v>
      </c>
      <c r="W2401" s="51" t="n">
        <v>0</v>
      </c>
      <c r="X2401" s="51" t="n">
        <v>0</v>
      </c>
      <c r="Y2401" s="51" t="n">
        <v>0</v>
      </c>
      <c r="Z2401" s="51" t="n">
        <v>0</v>
      </c>
      <c r="AA2401" s="52" t="n">
        <v>0</v>
      </c>
      <c r="AB2401" s="52" t="n">
        <v>0</v>
      </c>
      <c r="AC2401" s="52" t="n">
        <v>0</v>
      </c>
      <c r="AD2401" s="52" t="n">
        <v>0</v>
      </c>
      <c r="AE2401" s="52" t="n">
        <v>0</v>
      </c>
      <c r="AF2401" s="52" t="n">
        <v>0</v>
      </c>
      <c r="AG2401" s="52" t="n">
        <v>0</v>
      </c>
      <c r="AH2401" s="52" t="n">
        <v>0</v>
      </c>
      <c r="AI2401" s="52" t="n">
        <v>0</v>
      </c>
      <c r="AJ2401" s="52" t="n">
        <v>0</v>
      </c>
      <c r="AK2401" s="52" t="n">
        <v>0</v>
      </c>
      <c r="AL2401" s="52" t="n">
        <v>0</v>
      </c>
      <c r="AM2401" s="53" t="n">
        <v>0</v>
      </c>
      <c r="AN2401" s="53" t="n">
        <v>0</v>
      </c>
      <c r="AO2401" s="53" t="n">
        <v>0</v>
      </c>
      <c r="AP2401" s="53" t="n">
        <v>0</v>
      </c>
      <c r="AQ2401" s="52" t="n">
        <v>0</v>
      </c>
      <c r="AR2401" s="52" t="n">
        <v>0</v>
      </c>
      <c r="AS2401" s="52" t="n">
        <v>0</v>
      </c>
      <c r="AT2401" s="52" t="n">
        <v>0</v>
      </c>
      <c r="AU2401" s="53" t="n">
        <v>0</v>
      </c>
      <c r="AV2401" s="53" t="n">
        <v>0</v>
      </c>
      <c r="AW2401" s="53" t="n">
        <v>0</v>
      </c>
      <c r="AX2401" s="53" t="n">
        <v>0</v>
      </c>
      <c r="AY2401" s="52" t="n">
        <v>0</v>
      </c>
      <c r="AZ2401" s="52" t="n">
        <v>0</v>
      </c>
      <c r="BA2401" s="52" t="n">
        <v>0</v>
      </c>
      <c r="BB2401" s="52" t="n">
        <v>0</v>
      </c>
      <c r="BC2401" s="51" t="n">
        <v>0</v>
      </c>
      <c r="BD2401" s="51" t="n">
        <v>0</v>
      </c>
      <c r="BE2401" s="51" t="n">
        <v>0</v>
      </c>
      <c r="BF2401" s="51" t="n">
        <v>0</v>
      </c>
    </row>
    <row r="2402">
      <c r="A2402">
        <f>HYPERLINK("https://www.walmart.com/ip/1927924589", "1927924589")</f>
        <v/>
      </c>
      <c r="B2402" t="inlineStr">
        <is>
          <t>Every Day is Christmas Glass Blown Ornaments Cute Hand Made Figurines Tree Decoration, Glass Fans</t>
        </is>
      </c>
      <c r="C2402" t="inlineStr">
        <is>
          <t>EDC-FIGURINE-FAN</t>
        </is>
      </c>
      <c r="D2402" t="inlineStr">
        <is>
          <t>Ornaments</t>
        </is>
      </c>
      <c r="E2402" t="inlineStr">
        <is>
          <t>Every Day is Christmas</t>
        </is>
      </c>
      <c r="G2402" s="48" t="n">
        <v>0</v>
      </c>
      <c r="H2402" s="48" t="n">
        <v>0</v>
      </c>
      <c r="I2402" s="48" t="n">
        <v>0</v>
      </c>
      <c r="J2402" s="48" t="n">
        <v>0</v>
      </c>
      <c r="K2402" s="49" t="n">
        <v>0</v>
      </c>
      <c r="L2402" s="49" t="n">
        <v>0</v>
      </c>
      <c r="M2402" s="49" t="n">
        <v>0</v>
      </c>
      <c r="N2402" s="49" t="n">
        <v>0</v>
      </c>
      <c r="O2402" s="49" t="n">
        <v>0</v>
      </c>
      <c r="P2402" s="49" t="n">
        <v>0</v>
      </c>
      <c r="Q2402" s="49" t="n">
        <v>0</v>
      </c>
      <c r="R2402" s="49" t="n">
        <v>0</v>
      </c>
      <c r="S2402" s="50" t="n">
        <v>0</v>
      </c>
      <c r="T2402" s="50" t="n">
        <v>0</v>
      </c>
      <c r="U2402" s="50" t="n">
        <v>0</v>
      </c>
      <c r="V2402" s="50" t="n">
        <v>0</v>
      </c>
      <c r="W2402" s="51" t="n">
        <v>0</v>
      </c>
      <c r="X2402" s="51" t="n">
        <v>0</v>
      </c>
      <c r="Y2402" s="51" t="n">
        <v>0</v>
      </c>
      <c r="Z2402" s="51" t="n">
        <v>0</v>
      </c>
      <c r="AA2402" s="52" t="n">
        <v>0</v>
      </c>
      <c r="AB2402" s="52" t="n">
        <v>0</v>
      </c>
      <c r="AC2402" s="52" t="n">
        <v>0</v>
      </c>
      <c r="AD2402" s="52" t="n">
        <v>0</v>
      </c>
      <c r="AE2402" s="52" t="n">
        <v>0</v>
      </c>
      <c r="AF2402" s="52" t="n">
        <v>0</v>
      </c>
      <c r="AG2402" s="52" t="n">
        <v>0</v>
      </c>
      <c r="AH2402" s="52" t="n">
        <v>0</v>
      </c>
      <c r="AI2402" s="52" t="n">
        <v>0</v>
      </c>
      <c r="AJ2402" s="52" t="n">
        <v>0</v>
      </c>
      <c r="AK2402" s="52" t="n">
        <v>0</v>
      </c>
      <c r="AL2402" s="52" t="n">
        <v>0</v>
      </c>
      <c r="AM2402" s="53" t="n">
        <v>0</v>
      </c>
      <c r="AN2402" s="53" t="n">
        <v>0</v>
      </c>
      <c r="AO2402" s="53" t="n">
        <v>0</v>
      </c>
      <c r="AP2402" s="53" t="n">
        <v>0</v>
      </c>
      <c r="AQ2402" s="52" t="n">
        <v>0</v>
      </c>
      <c r="AR2402" s="52" t="n">
        <v>0</v>
      </c>
      <c r="AS2402" s="52" t="n">
        <v>0</v>
      </c>
      <c r="AT2402" s="52" t="n">
        <v>0</v>
      </c>
      <c r="AU2402" s="53" t="n">
        <v>0</v>
      </c>
      <c r="AV2402" s="53" t="n">
        <v>0</v>
      </c>
      <c r="AW2402" s="53" t="n">
        <v>0</v>
      </c>
      <c r="AX2402" s="53" t="n">
        <v>0</v>
      </c>
      <c r="AY2402" s="52" t="n">
        <v>0</v>
      </c>
      <c r="AZ2402" s="52" t="n">
        <v>0</v>
      </c>
      <c r="BA2402" s="52" t="n">
        <v>0</v>
      </c>
      <c r="BB2402" s="52" t="n">
        <v>0</v>
      </c>
      <c r="BC2402" s="51" t="n">
        <v>0</v>
      </c>
      <c r="BD2402" s="51" t="n">
        <v>0</v>
      </c>
      <c r="BE2402" s="51" t="n">
        <v>0</v>
      </c>
      <c r="BF2402" s="51" t="n">
        <v>0</v>
      </c>
    </row>
    <row r="2403">
      <c r="A2403">
        <f>HYPERLINK("https://www.walmart.com/ip/195868779", "195868779")</f>
        <v/>
      </c>
      <c r="B2403" t="inlineStr">
        <is>
          <t>Women Lingerie Net Garter Belt Stretch Thigh Stocking Pantyhose</t>
        </is>
      </c>
      <c r="C2403" t="inlineStr">
        <is>
          <t>JWBLSPH3052</t>
        </is>
      </c>
      <c r="D2403" t="inlineStr">
        <is>
          <t>Pantyhose &amp; Tights</t>
        </is>
      </c>
      <c r="E2403" t="inlineStr">
        <is>
          <t>JenniWears</t>
        </is>
      </c>
      <c r="F2403" t="inlineStr">
        <is>
          <t>WFS,Valentine,WFS Item</t>
        </is>
      </c>
      <c r="G2403" s="48" t="n">
        <v>0</v>
      </c>
      <c r="H2403" s="48" t="n">
        <v>0</v>
      </c>
      <c r="I2403" s="48" t="n">
        <v>0</v>
      </c>
      <c r="J2403" s="48" t="n">
        <v>0</v>
      </c>
      <c r="K2403" s="49" t="n">
        <v>0</v>
      </c>
      <c r="L2403" s="49" t="n">
        <v>0</v>
      </c>
      <c r="M2403" s="49" t="n">
        <v>0</v>
      </c>
      <c r="N2403" s="49" t="n">
        <v>0</v>
      </c>
      <c r="O2403" s="49" t="n">
        <v>0</v>
      </c>
      <c r="P2403" s="49" t="n">
        <v>0</v>
      </c>
      <c r="Q2403" s="49" t="n">
        <v>0</v>
      </c>
      <c r="R2403" s="49" t="n">
        <v>0</v>
      </c>
      <c r="S2403" s="50" t="n">
        <v>0</v>
      </c>
      <c r="T2403" s="50" t="n">
        <v>0</v>
      </c>
      <c r="U2403" s="50" t="n">
        <v>0</v>
      </c>
      <c r="V2403" s="50" t="n">
        <v>0</v>
      </c>
      <c r="W2403" s="51" t="n">
        <v>0</v>
      </c>
      <c r="X2403" s="51" t="n">
        <v>0</v>
      </c>
      <c r="Y2403" s="51" t="n">
        <v>0</v>
      </c>
      <c r="Z2403" s="51" t="n">
        <v>0</v>
      </c>
      <c r="AA2403" s="52" t="n">
        <v>0</v>
      </c>
      <c r="AB2403" s="52" t="n">
        <v>0</v>
      </c>
      <c r="AC2403" s="52" t="n">
        <v>0</v>
      </c>
      <c r="AD2403" s="52" t="n">
        <v>0</v>
      </c>
      <c r="AE2403" s="52" t="n">
        <v>0</v>
      </c>
      <c r="AF2403" s="52" t="n">
        <v>0</v>
      </c>
      <c r="AG2403" s="52" t="n">
        <v>0</v>
      </c>
      <c r="AH2403" s="52" t="n">
        <v>0</v>
      </c>
      <c r="AI2403" s="52" t="n">
        <v>0</v>
      </c>
      <c r="AJ2403" s="52" t="n">
        <v>0</v>
      </c>
      <c r="AK2403" s="52" t="n">
        <v>0</v>
      </c>
      <c r="AL2403" s="52" t="n">
        <v>0</v>
      </c>
      <c r="AM2403" s="53" t="n">
        <v>0</v>
      </c>
      <c r="AN2403" s="53" t="n">
        <v>0</v>
      </c>
      <c r="AO2403" s="53" t="n">
        <v>0</v>
      </c>
      <c r="AP2403" s="53" t="n">
        <v>0</v>
      </c>
      <c r="AQ2403" s="52" t="n">
        <v>0</v>
      </c>
      <c r="AR2403" s="52" t="n">
        <v>0</v>
      </c>
      <c r="AS2403" s="52" t="n">
        <v>0</v>
      </c>
      <c r="AT2403" s="52" t="n">
        <v>0</v>
      </c>
      <c r="AU2403" s="53" t="n">
        <v>0</v>
      </c>
      <c r="AV2403" s="53" t="n">
        <v>0</v>
      </c>
      <c r="AW2403" s="53" t="n">
        <v>0</v>
      </c>
      <c r="AX2403" s="53" t="n">
        <v>0</v>
      </c>
      <c r="AY2403" s="52" t="n">
        <v>0</v>
      </c>
      <c r="AZ2403" s="52" t="n">
        <v>0</v>
      </c>
      <c r="BA2403" s="52" t="n">
        <v>0</v>
      </c>
      <c r="BB2403" s="52" t="n">
        <v>0</v>
      </c>
      <c r="BC2403" s="51" t="n">
        <v>0</v>
      </c>
      <c r="BD2403" s="51" t="n">
        <v>0</v>
      </c>
      <c r="BE2403" s="51" t="n">
        <v>0</v>
      </c>
      <c r="BF2403" s="51" t="n">
        <v>0</v>
      </c>
    </row>
    <row r="2404">
      <c r="A2404">
        <f>HYPERLINK("https://www.walmart.com/ip/1960712707", "1960712707")</f>
        <v/>
      </c>
      <c r="B2404" t="inlineStr">
        <is>
          <t>Kato Outdoors Waterproof Throw Blanket, Stadium Windproof Sherpa Fleece Blanket for Traveling, Camping, Hiking, and Football, Machine Washable, Green, 51'' x 59''</t>
        </is>
      </c>
      <c r="C2404" t="inlineStr">
        <is>
          <t>1KTBW506GNBK</t>
        </is>
      </c>
      <c r="D2404" t="inlineStr">
        <is>
          <t>Throws</t>
        </is>
      </c>
      <c r="E2404" t="inlineStr">
        <is>
          <t>Kato</t>
        </is>
      </c>
      <c r="F2404" t="inlineStr">
        <is>
          <t>Q2-Target,Batch 1 - TR</t>
        </is>
      </c>
      <c r="G2404" s="48" t="n">
        <v>0</v>
      </c>
      <c r="H2404" s="48" t="n">
        <v>0</v>
      </c>
      <c r="I2404" s="48" t="n">
        <v>0</v>
      </c>
      <c r="J2404" s="48" t="n">
        <v>0</v>
      </c>
      <c r="K2404" s="49" t="n">
        <v>0</v>
      </c>
      <c r="L2404" s="49" t="n">
        <v>0</v>
      </c>
      <c r="M2404" s="49" t="n">
        <v>0</v>
      </c>
      <c r="N2404" s="49" t="n">
        <v>0</v>
      </c>
      <c r="O2404" s="49" t="n">
        <v>0</v>
      </c>
      <c r="P2404" s="49" t="n">
        <v>0</v>
      </c>
      <c r="Q2404" s="49" t="n">
        <v>0</v>
      </c>
      <c r="R2404" s="49" t="n">
        <v>0</v>
      </c>
      <c r="S2404" s="50" t="n">
        <v>0</v>
      </c>
      <c r="T2404" s="50" t="n">
        <v>0</v>
      </c>
      <c r="U2404" s="50" t="n">
        <v>0</v>
      </c>
      <c r="V2404" s="50" t="n">
        <v>0</v>
      </c>
      <c r="W2404" s="51" t="n">
        <v>0</v>
      </c>
      <c r="X2404" s="51" t="n">
        <v>0</v>
      </c>
      <c r="Y2404" s="51" t="n">
        <v>0</v>
      </c>
      <c r="Z2404" s="51" t="n">
        <v>0</v>
      </c>
      <c r="AA2404" s="52" t="n">
        <v>0</v>
      </c>
      <c r="AB2404" s="52" t="n">
        <v>0</v>
      </c>
      <c r="AC2404" s="52" t="n">
        <v>0</v>
      </c>
      <c r="AD2404" s="52" t="n">
        <v>0</v>
      </c>
      <c r="AE2404" s="52" t="n">
        <v>0</v>
      </c>
      <c r="AF2404" s="52" t="n">
        <v>0</v>
      </c>
      <c r="AG2404" s="52" t="n">
        <v>0</v>
      </c>
      <c r="AH2404" s="52" t="n">
        <v>0</v>
      </c>
      <c r="AI2404" s="52" t="n">
        <v>0</v>
      </c>
      <c r="AJ2404" s="52" t="n">
        <v>0</v>
      </c>
      <c r="AK2404" s="52" t="n">
        <v>0</v>
      </c>
      <c r="AL2404" s="52" t="n">
        <v>0</v>
      </c>
      <c r="AM2404" s="53" t="n">
        <v>0</v>
      </c>
      <c r="AN2404" s="53" t="n">
        <v>0</v>
      </c>
      <c r="AO2404" s="53" t="n">
        <v>0</v>
      </c>
      <c r="AP2404" s="53" t="n">
        <v>0</v>
      </c>
      <c r="AQ2404" s="52" t="n">
        <v>0</v>
      </c>
      <c r="AR2404" s="52" t="n">
        <v>0</v>
      </c>
      <c r="AS2404" s="52" t="n">
        <v>0</v>
      </c>
      <c r="AT2404" s="52" t="n">
        <v>0</v>
      </c>
      <c r="AU2404" s="53" t="n">
        <v>0</v>
      </c>
      <c r="AV2404" s="53" t="n">
        <v>0</v>
      </c>
      <c r="AW2404" s="53" t="n">
        <v>0</v>
      </c>
      <c r="AX2404" s="53" t="n">
        <v>0</v>
      </c>
      <c r="AY2404" s="52" t="n">
        <v>0</v>
      </c>
      <c r="AZ2404" s="52" t="n">
        <v>0</v>
      </c>
      <c r="BA2404" s="52" t="n">
        <v>0</v>
      </c>
      <c r="BB2404" s="52" t="n">
        <v>0</v>
      </c>
      <c r="BC2404" s="51" t="n">
        <v>0</v>
      </c>
      <c r="BD2404" s="51" t="n">
        <v>0</v>
      </c>
      <c r="BE2404" s="51" t="n">
        <v>0</v>
      </c>
      <c r="BF2404" s="51" t="n">
        <v>0</v>
      </c>
    </row>
    <row r="2405">
      <c r="A2405">
        <f>HYPERLINK("https://www.walmart.com/ip/196284818", "196284818")</f>
        <v/>
      </c>
      <c r="B2405" t="inlineStr">
        <is>
          <t>KC Caps Blank Cuff Hat Knit Beanie</t>
        </is>
      </c>
      <c r="C2405" t="inlineStr">
        <is>
          <t>KCW1720WH</t>
        </is>
      </c>
      <c r="D2405" t="inlineStr">
        <is>
          <t>Hats</t>
        </is>
      </c>
      <c r="E2405" t="inlineStr">
        <is>
          <t>KC Caps</t>
        </is>
      </c>
      <c r="F2405" t="inlineStr">
        <is>
          <t>Optimized</t>
        </is>
      </c>
      <c r="G2405" s="48" t="n">
        <v>0</v>
      </c>
      <c r="H2405" s="48" t="n">
        <v>0</v>
      </c>
      <c r="I2405" s="48" t="n">
        <v>0</v>
      </c>
      <c r="J2405" s="48" t="n">
        <v>0</v>
      </c>
      <c r="K2405" s="49" t="n">
        <v>0</v>
      </c>
      <c r="L2405" s="49" t="n">
        <v>0</v>
      </c>
      <c r="M2405" s="49" t="n">
        <v>0</v>
      </c>
      <c r="N2405" s="49" t="n">
        <v>0</v>
      </c>
      <c r="O2405" s="49" t="n">
        <v>0</v>
      </c>
      <c r="P2405" s="49" t="n">
        <v>0</v>
      </c>
      <c r="Q2405" s="49" t="n">
        <v>0</v>
      </c>
      <c r="R2405" s="49" t="n">
        <v>0</v>
      </c>
      <c r="S2405" s="50" t="n">
        <v>0</v>
      </c>
      <c r="T2405" s="50" t="n">
        <v>0</v>
      </c>
      <c r="U2405" s="50" t="n">
        <v>0</v>
      </c>
      <c r="V2405" s="50" t="n">
        <v>0</v>
      </c>
      <c r="W2405" s="51" t="n">
        <v>0</v>
      </c>
      <c r="X2405" s="51" t="n">
        <v>0</v>
      </c>
      <c r="Y2405" s="51" t="n">
        <v>0</v>
      </c>
      <c r="Z2405" s="51" t="n">
        <v>0</v>
      </c>
      <c r="AA2405" s="52" t="n">
        <v>0</v>
      </c>
      <c r="AB2405" s="52" t="n">
        <v>0</v>
      </c>
      <c r="AC2405" s="52" t="n">
        <v>0</v>
      </c>
      <c r="AD2405" s="52" t="n">
        <v>0</v>
      </c>
      <c r="AE2405" s="52" t="n">
        <v>0</v>
      </c>
      <c r="AF2405" s="52" t="n">
        <v>0</v>
      </c>
      <c r="AG2405" s="52" t="n">
        <v>0</v>
      </c>
      <c r="AH2405" s="52" t="n">
        <v>0</v>
      </c>
      <c r="AI2405" s="52" t="n">
        <v>0</v>
      </c>
      <c r="AJ2405" s="52" t="n">
        <v>0</v>
      </c>
      <c r="AK2405" s="52" t="n">
        <v>0</v>
      </c>
      <c r="AL2405" s="52" t="n">
        <v>0</v>
      </c>
      <c r="AM2405" s="53" t="n">
        <v>0</v>
      </c>
      <c r="AN2405" s="53" t="n">
        <v>0</v>
      </c>
      <c r="AO2405" s="53" t="n">
        <v>0</v>
      </c>
      <c r="AP2405" s="53" t="n">
        <v>0</v>
      </c>
      <c r="AQ2405" s="52" t="n">
        <v>0</v>
      </c>
      <c r="AR2405" s="52" t="n">
        <v>0</v>
      </c>
      <c r="AS2405" s="52" t="n">
        <v>0</v>
      </c>
      <c r="AT2405" s="52" t="n">
        <v>0</v>
      </c>
      <c r="AU2405" s="53" t="n">
        <v>0</v>
      </c>
      <c r="AV2405" s="53" t="n">
        <v>0</v>
      </c>
      <c r="AW2405" s="53" t="n">
        <v>0</v>
      </c>
      <c r="AX2405" s="53" t="n">
        <v>0</v>
      </c>
      <c r="AY2405" s="52" t="n">
        <v>0</v>
      </c>
      <c r="AZ2405" s="52" t="n">
        <v>0</v>
      </c>
      <c r="BA2405" s="52" t="n">
        <v>0</v>
      </c>
      <c r="BB2405" s="52" t="n">
        <v>0</v>
      </c>
      <c r="BC2405" s="51" t="n">
        <v>0</v>
      </c>
      <c r="BD2405" s="51" t="n">
        <v>0</v>
      </c>
      <c r="BE2405" s="51" t="n">
        <v>0</v>
      </c>
      <c r="BF2405" s="51" t="n">
        <v>0</v>
      </c>
    </row>
    <row r="2406">
      <c r="A2406">
        <f>HYPERLINK("https://www.walmart.com/ip/198211537", "198211537")</f>
        <v/>
      </c>
      <c r="B2406" t="inlineStr">
        <is>
          <t>JenniWears Womens Black Sexy Cutout Sleeveless Sheer Bodystocking</t>
        </is>
      </c>
      <c r="C2406" t="inlineStr">
        <is>
          <t>JWBS8810</t>
        </is>
      </c>
      <c r="D2406" t="inlineStr">
        <is>
          <t>Teddies &amp; Bodystockings</t>
        </is>
      </c>
      <c r="E2406" t="inlineStr">
        <is>
          <t>JenniWears</t>
        </is>
      </c>
      <c r="F2406" t="inlineStr">
        <is>
          <t>Valentine,WFS Item</t>
        </is>
      </c>
      <c r="G2406" s="48" t="n">
        <v>0</v>
      </c>
      <c r="H2406" s="48" t="n">
        <v>0</v>
      </c>
      <c r="I2406" s="48" t="n">
        <v>0</v>
      </c>
      <c r="J2406" s="48" t="n">
        <v>0</v>
      </c>
      <c r="K2406" s="49" t="n">
        <v>0</v>
      </c>
      <c r="L2406" s="49" t="n">
        <v>0</v>
      </c>
      <c r="M2406" s="49" t="n">
        <v>0</v>
      </c>
      <c r="N2406" s="49" t="n">
        <v>0</v>
      </c>
      <c r="O2406" s="49" t="n">
        <v>0</v>
      </c>
      <c r="P2406" s="49" t="n">
        <v>0</v>
      </c>
      <c r="Q2406" s="49" t="n">
        <v>0</v>
      </c>
      <c r="R2406" s="49" t="n">
        <v>0</v>
      </c>
      <c r="S2406" s="50" t="n">
        <v>0</v>
      </c>
      <c r="T2406" s="50" t="n">
        <v>0</v>
      </c>
      <c r="U2406" s="50" t="n">
        <v>0</v>
      </c>
      <c r="V2406" s="50" t="n">
        <v>0</v>
      </c>
      <c r="W2406" s="51" t="n">
        <v>0</v>
      </c>
      <c r="X2406" s="51" t="n">
        <v>0</v>
      </c>
      <c r="Y2406" s="51" t="n">
        <v>0</v>
      </c>
      <c r="Z2406" s="51" t="n">
        <v>0</v>
      </c>
      <c r="AA2406" s="52" t="n">
        <v>0</v>
      </c>
      <c r="AB2406" s="52" t="n">
        <v>0</v>
      </c>
      <c r="AC2406" s="52" t="n">
        <v>0</v>
      </c>
      <c r="AD2406" s="52" t="n">
        <v>0</v>
      </c>
      <c r="AE2406" s="52" t="n">
        <v>0</v>
      </c>
      <c r="AF2406" s="52" t="n">
        <v>0</v>
      </c>
      <c r="AG2406" s="52" t="n">
        <v>0</v>
      </c>
      <c r="AH2406" s="52" t="n">
        <v>0</v>
      </c>
      <c r="AI2406" s="52" t="n">
        <v>0</v>
      </c>
      <c r="AJ2406" s="52" t="n">
        <v>0</v>
      </c>
      <c r="AK2406" s="52" t="n">
        <v>0</v>
      </c>
      <c r="AL2406" s="52" t="n">
        <v>0</v>
      </c>
      <c r="AM2406" s="53" t="n">
        <v>0</v>
      </c>
      <c r="AN2406" s="53" t="n">
        <v>0</v>
      </c>
      <c r="AO2406" s="53" t="n">
        <v>0</v>
      </c>
      <c r="AP2406" s="53" t="n">
        <v>0</v>
      </c>
      <c r="AQ2406" s="52" t="n">
        <v>0</v>
      </c>
      <c r="AR2406" s="52" t="n">
        <v>0</v>
      </c>
      <c r="AS2406" s="52" t="n">
        <v>0</v>
      </c>
      <c r="AT2406" s="52" t="n">
        <v>0</v>
      </c>
      <c r="AU2406" s="53" t="n">
        <v>0</v>
      </c>
      <c r="AV2406" s="53" t="n">
        <v>0</v>
      </c>
      <c r="AW2406" s="53" t="n">
        <v>0</v>
      </c>
      <c r="AX2406" s="53" t="n">
        <v>0</v>
      </c>
      <c r="AY2406" s="52" t="n">
        <v>0</v>
      </c>
      <c r="AZ2406" s="52" t="n">
        <v>0</v>
      </c>
      <c r="BA2406" s="52" t="n">
        <v>0</v>
      </c>
      <c r="BB2406" s="52" t="n">
        <v>0</v>
      </c>
      <c r="BC2406" s="51" t="n">
        <v>0</v>
      </c>
      <c r="BD2406" s="51" t="n">
        <v>0</v>
      </c>
      <c r="BE2406" s="51" t="n">
        <v>0</v>
      </c>
      <c r="BF2406" s="51" t="n">
        <v>0</v>
      </c>
    </row>
    <row r="2407">
      <c r="A2407">
        <f>HYPERLINK("https://www.walmart.com/ip/198404251", "198404251")</f>
        <v/>
      </c>
      <c r="B2407" t="inlineStr">
        <is>
          <t>home comforts blanket Blanket with Sleeves, Super Soft Wearable TV Blanket Robe Fleece for Adult 73 x 51”| Cozy Warm, Lightweight</t>
        </is>
      </c>
      <c r="C2407" t="inlineStr">
        <is>
          <t>1TRSN100WN</t>
        </is>
      </c>
      <c r="D2407" t="inlineStr">
        <is>
          <t>Throws</t>
        </is>
      </c>
      <c r="E2407" t="inlineStr">
        <is>
          <t>Tirrinia</t>
        </is>
      </c>
      <c r="F2407" t="inlineStr">
        <is>
          <t>Optimized,WFS Item,Fleece Blankets</t>
        </is>
      </c>
      <c r="G2407" s="48" t="n">
        <v>0</v>
      </c>
      <c r="H2407" s="48" t="n">
        <v>0</v>
      </c>
      <c r="I2407" s="48" t="n">
        <v>0</v>
      </c>
      <c r="J2407" s="48" t="n">
        <v>0</v>
      </c>
      <c r="K2407" s="49" t="n">
        <v>0</v>
      </c>
      <c r="L2407" s="49" t="n">
        <v>0</v>
      </c>
      <c r="M2407" s="49" t="n">
        <v>0</v>
      </c>
      <c r="N2407" s="49" t="n">
        <v>0</v>
      </c>
      <c r="O2407" s="49" t="n">
        <v>0</v>
      </c>
      <c r="P2407" s="49" t="n">
        <v>0</v>
      </c>
      <c r="Q2407" s="49" t="n">
        <v>0</v>
      </c>
      <c r="R2407" s="49" t="n">
        <v>0</v>
      </c>
      <c r="S2407" s="50" t="n">
        <v>0</v>
      </c>
      <c r="T2407" s="50" t="n">
        <v>0</v>
      </c>
      <c r="U2407" s="50" t="n">
        <v>0</v>
      </c>
      <c r="V2407" s="50" t="n">
        <v>0</v>
      </c>
      <c r="W2407" s="51" t="n">
        <v>0</v>
      </c>
      <c r="X2407" s="51" t="n">
        <v>0</v>
      </c>
      <c r="Y2407" s="51" t="n">
        <v>0</v>
      </c>
      <c r="Z2407" s="51" t="n">
        <v>0</v>
      </c>
      <c r="AA2407" s="52" t="n">
        <v>0</v>
      </c>
      <c r="AB2407" s="52" t="n">
        <v>0</v>
      </c>
      <c r="AC2407" s="52" t="n">
        <v>0</v>
      </c>
      <c r="AD2407" s="52" t="n">
        <v>0</v>
      </c>
      <c r="AE2407" s="52" t="n">
        <v>0</v>
      </c>
      <c r="AF2407" s="52" t="n">
        <v>0</v>
      </c>
      <c r="AG2407" s="52" t="n">
        <v>0</v>
      </c>
      <c r="AH2407" s="52" t="n">
        <v>0</v>
      </c>
      <c r="AI2407" s="52" t="n">
        <v>0</v>
      </c>
      <c r="AJ2407" s="52" t="n">
        <v>0</v>
      </c>
      <c r="AK2407" s="52" t="n">
        <v>0</v>
      </c>
      <c r="AL2407" s="52" t="n">
        <v>0</v>
      </c>
      <c r="AM2407" s="53" t="n">
        <v>0</v>
      </c>
      <c r="AN2407" s="53" t="n">
        <v>0</v>
      </c>
      <c r="AO2407" s="53" t="n">
        <v>0</v>
      </c>
      <c r="AP2407" s="53" t="n">
        <v>0</v>
      </c>
      <c r="AQ2407" s="52" t="n">
        <v>0</v>
      </c>
      <c r="AR2407" s="52" t="n">
        <v>0</v>
      </c>
      <c r="AS2407" s="52" t="n">
        <v>0</v>
      </c>
      <c r="AT2407" s="52" t="n">
        <v>0</v>
      </c>
      <c r="AU2407" s="53" t="n">
        <v>0</v>
      </c>
      <c r="AV2407" s="53" t="n">
        <v>0</v>
      </c>
      <c r="AW2407" s="53" t="n">
        <v>0</v>
      </c>
      <c r="AX2407" s="53" t="n">
        <v>0</v>
      </c>
      <c r="AY2407" s="52" t="n">
        <v>0</v>
      </c>
      <c r="AZ2407" s="52" t="n">
        <v>0</v>
      </c>
      <c r="BA2407" s="52" t="n">
        <v>0</v>
      </c>
      <c r="BB2407" s="52" t="n">
        <v>0</v>
      </c>
      <c r="BC2407" s="51" t="n">
        <v>0</v>
      </c>
      <c r="BD2407" s="51" t="n">
        <v>0</v>
      </c>
      <c r="BE2407" s="51" t="n">
        <v>0</v>
      </c>
      <c r="BF2407" s="51" t="n">
        <v>0</v>
      </c>
    </row>
    <row r="2408">
      <c r="A2408">
        <f>HYPERLINK("https://www.walmart.com/ip/198503118", "198503118")</f>
        <v/>
      </c>
      <c r="B2408" t="inlineStr">
        <is>
          <t>JenniWears Women's Beileise  Sexy Crotchless Suspender Pantyhose Stockings Black - 3 Packs</t>
        </is>
      </c>
      <c r="C2408" t="inlineStr">
        <is>
          <t>JWBLSPH2028-3pcs</t>
        </is>
      </c>
      <c r="D2408" t="inlineStr">
        <is>
          <t>Pantyhose &amp; Tights</t>
        </is>
      </c>
      <c r="E2408" t="inlineStr">
        <is>
          <t>JenniWears</t>
        </is>
      </c>
      <c r="F2408" t="inlineStr">
        <is>
          <t>Optimized,Valentine</t>
        </is>
      </c>
      <c r="G2408" s="48" t="n">
        <v>0</v>
      </c>
      <c r="H2408" s="48" t="n">
        <v>0</v>
      </c>
      <c r="I2408" s="48" t="n">
        <v>0</v>
      </c>
      <c r="J2408" s="48" t="n">
        <v>0</v>
      </c>
      <c r="K2408" s="49" t="n">
        <v>0</v>
      </c>
      <c r="L2408" s="49" t="n">
        <v>0</v>
      </c>
      <c r="M2408" s="49" t="n">
        <v>0</v>
      </c>
      <c r="N2408" s="49" t="n">
        <v>0</v>
      </c>
      <c r="O2408" s="49" t="n">
        <v>0</v>
      </c>
      <c r="P2408" s="49" t="n">
        <v>0</v>
      </c>
      <c r="Q2408" s="49" t="n">
        <v>0</v>
      </c>
      <c r="R2408" s="49" t="n">
        <v>0</v>
      </c>
      <c r="S2408" s="50" t="n">
        <v>0</v>
      </c>
      <c r="T2408" s="50" t="n">
        <v>0</v>
      </c>
      <c r="U2408" s="50" t="n">
        <v>0</v>
      </c>
      <c r="V2408" s="50" t="n">
        <v>0</v>
      </c>
      <c r="W2408" s="51" t="n">
        <v>0</v>
      </c>
      <c r="X2408" s="51" t="n">
        <v>0</v>
      </c>
      <c r="Y2408" s="51" t="n">
        <v>0</v>
      </c>
      <c r="Z2408" s="51" t="n">
        <v>0</v>
      </c>
      <c r="AA2408" s="52" t="n">
        <v>0</v>
      </c>
      <c r="AB2408" s="52" t="n">
        <v>0</v>
      </c>
      <c r="AC2408" s="52" t="n">
        <v>0</v>
      </c>
      <c r="AD2408" s="52" t="n">
        <v>0</v>
      </c>
      <c r="AE2408" s="52" t="n">
        <v>0</v>
      </c>
      <c r="AF2408" s="52" t="n">
        <v>0</v>
      </c>
      <c r="AG2408" s="52" t="n">
        <v>0</v>
      </c>
      <c r="AH2408" s="52" t="n">
        <v>0</v>
      </c>
      <c r="AI2408" s="52" t="n">
        <v>0</v>
      </c>
      <c r="AJ2408" s="52" t="n">
        <v>0</v>
      </c>
      <c r="AK2408" s="52" t="n">
        <v>0</v>
      </c>
      <c r="AL2408" s="52" t="n">
        <v>0</v>
      </c>
      <c r="AM2408" s="53" t="n">
        <v>0</v>
      </c>
      <c r="AN2408" s="53" t="n">
        <v>0</v>
      </c>
      <c r="AO2408" s="53" t="n">
        <v>0</v>
      </c>
      <c r="AP2408" s="53" t="n">
        <v>0</v>
      </c>
      <c r="AQ2408" s="52" t="n">
        <v>0</v>
      </c>
      <c r="AR2408" s="52" t="n">
        <v>0</v>
      </c>
      <c r="AS2408" s="52" t="n">
        <v>0</v>
      </c>
      <c r="AT2408" s="52" t="n">
        <v>0</v>
      </c>
      <c r="AU2408" s="53" t="n">
        <v>0</v>
      </c>
      <c r="AV2408" s="53" t="n">
        <v>0</v>
      </c>
      <c r="AW2408" s="53" t="n">
        <v>0</v>
      </c>
      <c r="AX2408" s="53" t="n">
        <v>0</v>
      </c>
      <c r="AY2408" s="52" t="n">
        <v>0</v>
      </c>
      <c r="AZ2408" s="52" t="n">
        <v>0</v>
      </c>
      <c r="BA2408" s="52" t="n">
        <v>0</v>
      </c>
      <c r="BB2408" s="52" t="n">
        <v>0</v>
      </c>
      <c r="BC2408" s="51" t="n">
        <v>0</v>
      </c>
      <c r="BD2408" s="51" t="n">
        <v>0</v>
      </c>
      <c r="BE2408" s="51" t="n">
        <v>0</v>
      </c>
      <c r="BF2408" s="51" t="n">
        <v>0</v>
      </c>
    </row>
    <row r="2409">
      <c r="A2409">
        <f>HYPERLINK("https://www.walmart.com/ip/1985753772", "1985753772")</f>
        <v/>
      </c>
      <c r="B2409" t="inlineStr">
        <is>
          <t>Every Day is Christmas Glass Blown Ornaments 2021 Cute Hand Made Figurines Tree Decoration, Yoga Santa</t>
        </is>
      </c>
      <c r="C2409" t="inlineStr">
        <is>
          <t>EDC-FIGURINE-LONDON</t>
        </is>
      </c>
      <c r="D2409" t="inlineStr">
        <is>
          <t>Ornaments</t>
        </is>
      </c>
      <c r="E2409" t="inlineStr">
        <is>
          <t>Every Day is Christmas</t>
        </is>
      </c>
      <c r="G2409" s="48" t="n">
        <v>0</v>
      </c>
      <c r="H2409" s="48" t="n">
        <v>0</v>
      </c>
      <c r="I2409" s="48" t="n">
        <v>0</v>
      </c>
      <c r="J2409" s="48" t="n">
        <v>0</v>
      </c>
      <c r="K2409" s="49" t="n">
        <v>0</v>
      </c>
      <c r="L2409" s="49" t="n">
        <v>0</v>
      </c>
      <c r="M2409" s="49" t="n">
        <v>0</v>
      </c>
      <c r="N2409" s="49" t="n">
        <v>0</v>
      </c>
      <c r="O2409" s="49" t="n">
        <v>0</v>
      </c>
      <c r="P2409" s="49" t="n">
        <v>0</v>
      </c>
      <c r="Q2409" s="49" t="n">
        <v>0</v>
      </c>
      <c r="R2409" s="49" t="n">
        <v>0</v>
      </c>
      <c r="S2409" s="50" t="n">
        <v>0</v>
      </c>
      <c r="T2409" s="50" t="n">
        <v>0</v>
      </c>
      <c r="U2409" s="50" t="n">
        <v>0</v>
      </c>
      <c r="V2409" s="50" t="n">
        <v>0</v>
      </c>
      <c r="W2409" s="51" t="n">
        <v>0</v>
      </c>
      <c r="X2409" s="51" t="n">
        <v>0</v>
      </c>
      <c r="Y2409" s="51" t="n">
        <v>0</v>
      </c>
      <c r="Z2409" s="51" t="n">
        <v>0</v>
      </c>
      <c r="AA2409" s="52" t="n">
        <v>0</v>
      </c>
      <c r="AB2409" s="52" t="n">
        <v>0</v>
      </c>
      <c r="AC2409" s="52" t="n">
        <v>0</v>
      </c>
      <c r="AD2409" s="52" t="n">
        <v>0</v>
      </c>
      <c r="AE2409" s="52" t="n">
        <v>0</v>
      </c>
      <c r="AF2409" s="52" t="n">
        <v>0</v>
      </c>
      <c r="AG2409" s="52" t="n">
        <v>0</v>
      </c>
      <c r="AH2409" s="52" t="n">
        <v>0</v>
      </c>
      <c r="AI2409" s="52" t="n">
        <v>0</v>
      </c>
      <c r="AJ2409" s="52" t="n">
        <v>0</v>
      </c>
      <c r="AK2409" s="52" t="n">
        <v>0</v>
      </c>
      <c r="AL2409" s="52" t="n">
        <v>0</v>
      </c>
      <c r="AM2409" s="53" t="n">
        <v>0</v>
      </c>
      <c r="AN2409" s="53" t="n">
        <v>0</v>
      </c>
      <c r="AO2409" s="53" t="n">
        <v>0</v>
      </c>
      <c r="AP2409" s="53" t="n">
        <v>0</v>
      </c>
      <c r="AQ2409" s="52" t="n">
        <v>0</v>
      </c>
      <c r="AR2409" s="52" t="n">
        <v>0</v>
      </c>
      <c r="AS2409" s="52" t="n">
        <v>0</v>
      </c>
      <c r="AT2409" s="52" t="n">
        <v>0</v>
      </c>
      <c r="AU2409" s="53" t="n">
        <v>0</v>
      </c>
      <c r="AV2409" s="53" t="n">
        <v>0</v>
      </c>
      <c r="AW2409" s="53" t="n">
        <v>0</v>
      </c>
      <c r="AX2409" s="53" t="n">
        <v>0</v>
      </c>
      <c r="AY2409" s="52" t="n">
        <v>0</v>
      </c>
      <c r="AZ2409" s="52" t="n">
        <v>0</v>
      </c>
      <c r="BA2409" s="52" t="n">
        <v>0</v>
      </c>
      <c r="BB2409" s="52" t="n">
        <v>0</v>
      </c>
      <c r="BC2409" s="51" t="n">
        <v>0</v>
      </c>
      <c r="BD2409" s="51" t="n">
        <v>0</v>
      </c>
      <c r="BE2409" s="51" t="n">
        <v>0</v>
      </c>
      <c r="BF2409" s="51" t="n">
        <v>0</v>
      </c>
    </row>
    <row r="2410">
      <c r="A2410">
        <f>HYPERLINK("https://www.walmart.com/ip/198695605", "198695605")</f>
        <v/>
      </c>
      <c r="B2410" t="inlineStr">
        <is>
          <t>Catalonia Reversible Sherpa Throw Blanket, Super Soft Fluffy Blanket for Couch,  Fuzzy Comfy Warm Throws, Comfort Caring Gift, 50x60 inches, Wine</t>
        </is>
      </c>
      <c r="C2410" t="inlineStr">
        <is>
          <t>1CTBF578WN</t>
        </is>
      </c>
      <c r="D2410" t="inlineStr">
        <is>
          <t>Throws</t>
        </is>
      </c>
      <c r="E2410" t="inlineStr">
        <is>
          <t>Catalonia</t>
        </is>
      </c>
      <c r="F2410" t="inlineStr">
        <is>
          <t>Q2-Target,WFS,Coupon_Discount,WFS Item</t>
        </is>
      </c>
      <c r="G2410" s="48" t="n">
        <v>0</v>
      </c>
      <c r="H2410" s="48" t="n">
        <v>0</v>
      </c>
      <c r="I2410" s="48" t="n">
        <v>0</v>
      </c>
      <c r="J2410" s="48" t="n">
        <v>0</v>
      </c>
      <c r="K2410" s="49" t="n">
        <v>0</v>
      </c>
      <c r="L2410" s="49" t="n">
        <v>0</v>
      </c>
      <c r="M2410" s="49" t="n">
        <v>0</v>
      </c>
      <c r="N2410" s="49" t="n">
        <v>0</v>
      </c>
      <c r="O2410" s="49" t="n">
        <v>0</v>
      </c>
      <c r="P2410" s="49" t="n">
        <v>0</v>
      </c>
      <c r="Q2410" s="49" t="n">
        <v>0</v>
      </c>
      <c r="R2410" s="49" t="n">
        <v>0</v>
      </c>
      <c r="S2410" s="50" t="n">
        <v>0</v>
      </c>
      <c r="T2410" s="50" t="n">
        <v>0</v>
      </c>
      <c r="U2410" s="50" t="n">
        <v>0</v>
      </c>
      <c r="V2410" s="50" t="n">
        <v>0</v>
      </c>
      <c r="W2410" s="51" t="n">
        <v>0</v>
      </c>
      <c r="X2410" s="51" t="n">
        <v>0</v>
      </c>
      <c r="Y2410" s="51" t="n">
        <v>0</v>
      </c>
      <c r="Z2410" s="51" t="n">
        <v>0</v>
      </c>
      <c r="AA2410" s="52" t="n">
        <v>0</v>
      </c>
      <c r="AB2410" s="52" t="n">
        <v>0</v>
      </c>
      <c r="AC2410" s="52" t="n">
        <v>0</v>
      </c>
      <c r="AD2410" s="52" t="n">
        <v>0</v>
      </c>
      <c r="AE2410" s="52" t="n">
        <v>0</v>
      </c>
      <c r="AF2410" s="52" t="n">
        <v>0</v>
      </c>
      <c r="AG2410" s="52" t="n">
        <v>0</v>
      </c>
      <c r="AH2410" s="52" t="n">
        <v>0</v>
      </c>
      <c r="AI2410" s="52" t="n">
        <v>0</v>
      </c>
      <c r="AJ2410" s="52" t="n">
        <v>0</v>
      </c>
      <c r="AK2410" s="52" t="n">
        <v>0</v>
      </c>
      <c r="AL2410" s="52" t="n">
        <v>0</v>
      </c>
      <c r="AM2410" s="53" t="n">
        <v>0</v>
      </c>
      <c r="AN2410" s="53" t="n">
        <v>0</v>
      </c>
      <c r="AO2410" s="53" t="n">
        <v>0</v>
      </c>
      <c r="AP2410" s="53" t="n">
        <v>0</v>
      </c>
      <c r="AQ2410" s="52" t="n">
        <v>0</v>
      </c>
      <c r="AR2410" s="52" t="n">
        <v>0</v>
      </c>
      <c r="AS2410" s="52" t="n">
        <v>0</v>
      </c>
      <c r="AT2410" s="52" t="n">
        <v>0</v>
      </c>
      <c r="AU2410" s="53" t="n">
        <v>0</v>
      </c>
      <c r="AV2410" s="53" t="n">
        <v>0</v>
      </c>
      <c r="AW2410" s="53" t="n">
        <v>0</v>
      </c>
      <c r="AX2410" s="53" t="n">
        <v>0</v>
      </c>
      <c r="AY2410" s="52" t="n">
        <v>0</v>
      </c>
      <c r="AZ2410" s="52" t="n">
        <v>0</v>
      </c>
      <c r="BA2410" s="52" t="n">
        <v>0</v>
      </c>
      <c r="BB2410" s="52" t="n">
        <v>0</v>
      </c>
      <c r="BC2410" s="51" t="n">
        <v>0</v>
      </c>
      <c r="BD2410" s="51" t="n">
        <v>0</v>
      </c>
      <c r="BE2410" s="51" t="n">
        <v>0</v>
      </c>
      <c r="BF2410" s="51" t="n">
        <v>0</v>
      </c>
    </row>
    <row r="2411">
      <c r="A2411">
        <f>HYPERLINK("https://www.walmart.com/ip/198876951", "198876951")</f>
        <v/>
      </c>
      <c r="B2411" t="inlineStr">
        <is>
          <t>JenniWears® Women Intimate Night Babydoll Robe w/ Satin Ribbon Belt G-string Set</t>
        </is>
      </c>
      <c r="C2411" t="inlineStr">
        <is>
          <t>JWRS03BK-M</t>
        </is>
      </c>
      <c r="D2411" t="inlineStr">
        <is>
          <t>Lingerie Sets</t>
        </is>
      </c>
      <c r="E2411" t="inlineStr">
        <is>
          <t>JenniWears</t>
        </is>
      </c>
      <c r="F2411" t="inlineStr">
        <is>
          <t>Optimized,Valentine</t>
        </is>
      </c>
      <c r="G2411" s="48" t="n">
        <v>0</v>
      </c>
      <c r="H2411" s="48" t="n">
        <v>0</v>
      </c>
      <c r="I2411" s="48" t="n">
        <v>0</v>
      </c>
      <c r="J2411" s="48" t="n">
        <v>0</v>
      </c>
      <c r="K2411" s="49" t="n">
        <v>0</v>
      </c>
      <c r="L2411" s="49" t="n">
        <v>0</v>
      </c>
      <c r="M2411" s="49" t="n">
        <v>0</v>
      </c>
      <c r="N2411" s="49" t="n">
        <v>0</v>
      </c>
      <c r="O2411" s="49" t="n">
        <v>0</v>
      </c>
      <c r="P2411" s="49" t="n">
        <v>0</v>
      </c>
      <c r="Q2411" s="49" t="n">
        <v>0</v>
      </c>
      <c r="R2411" s="49" t="n">
        <v>0</v>
      </c>
      <c r="S2411" s="50" t="n">
        <v>0</v>
      </c>
      <c r="T2411" s="50" t="n">
        <v>0</v>
      </c>
      <c r="U2411" s="50" t="n">
        <v>0</v>
      </c>
      <c r="V2411" s="50" t="n">
        <v>0</v>
      </c>
      <c r="W2411" s="51" t="n">
        <v>0</v>
      </c>
      <c r="X2411" s="51" t="n">
        <v>0</v>
      </c>
      <c r="Y2411" s="51" t="n">
        <v>0</v>
      </c>
      <c r="Z2411" s="51" t="n">
        <v>0</v>
      </c>
      <c r="AA2411" s="52" t="n">
        <v>0</v>
      </c>
      <c r="AB2411" s="52" t="n">
        <v>0</v>
      </c>
      <c r="AC2411" s="52" t="n">
        <v>0</v>
      </c>
      <c r="AD2411" s="52" t="n">
        <v>0</v>
      </c>
      <c r="AE2411" s="52" t="n">
        <v>0</v>
      </c>
      <c r="AF2411" s="52" t="n">
        <v>0</v>
      </c>
      <c r="AG2411" s="52" t="n">
        <v>0</v>
      </c>
      <c r="AH2411" s="52" t="n">
        <v>0</v>
      </c>
      <c r="AI2411" s="52" t="n">
        <v>0</v>
      </c>
      <c r="AJ2411" s="52" t="n">
        <v>0</v>
      </c>
      <c r="AK2411" s="52" t="n">
        <v>0</v>
      </c>
      <c r="AL2411" s="52" t="n">
        <v>0</v>
      </c>
      <c r="AM2411" s="53" t="n">
        <v>0</v>
      </c>
      <c r="AN2411" s="53" t="n">
        <v>0</v>
      </c>
      <c r="AO2411" s="53" t="n">
        <v>0</v>
      </c>
      <c r="AP2411" s="53" t="n">
        <v>0</v>
      </c>
      <c r="AQ2411" s="52" t="n">
        <v>0</v>
      </c>
      <c r="AR2411" s="52" t="n">
        <v>0</v>
      </c>
      <c r="AS2411" s="52" t="n">
        <v>0</v>
      </c>
      <c r="AT2411" s="52" t="n">
        <v>0</v>
      </c>
      <c r="AU2411" s="53" t="n">
        <v>0</v>
      </c>
      <c r="AV2411" s="53" t="n">
        <v>0</v>
      </c>
      <c r="AW2411" s="53" t="n">
        <v>0</v>
      </c>
      <c r="AX2411" s="53" t="n">
        <v>0</v>
      </c>
      <c r="AY2411" s="52" t="n">
        <v>0</v>
      </c>
      <c r="AZ2411" s="52" t="n">
        <v>0</v>
      </c>
      <c r="BA2411" s="52" t="n">
        <v>0</v>
      </c>
      <c r="BB2411" s="52" t="n">
        <v>0</v>
      </c>
      <c r="BC2411" s="51" t="n">
        <v>0</v>
      </c>
      <c r="BD2411" s="51" t="n">
        <v>0</v>
      </c>
      <c r="BE2411" s="51" t="n">
        <v>0</v>
      </c>
      <c r="BF2411" s="51" t="n">
        <v>0</v>
      </c>
    </row>
    <row r="2412">
      <c r="A2412">
        <f>HYPERLINK("https://www.walmart.com/ip/198932807", "198932807")</f>
        <v/>
      </c>
      <c r="B2412" t="inlineStr">
        <is>
          <t>JenniWears® Women's Stretch Mesh Bikini Panty with Open Back Heart Detail</t>
        </is>
      </c>
      <c r="C2412" t="inlineStr">
        <is>
          <t>JWPT02RD-M</t>
        </is>
      </c>
      <c r="D2412" t="inlineStr">
        <is>
          <t>Panties</t>
        </is>
      </c>
      <c r="E2412" t="inlineStr">
        <is>
          <t>JenniWears</t>
        </is>
      </c>
      <c r="F2412" t="inlineStr">
        <is>
          <t>Valentine</t>
        </is>
      </c>
      <c r="G2412" s="48" t="n">
        <v>0</v>
      </c>
      <c r="H2412" s="48" t="n">
        <v>0</v>
      </c>
      <c r="I2412" s="48" t="n">
        <v>0</v>
      </c>
      <c r="J2412" s="48" t="n">
        <v>0</v>
      </c>
      <c r="K2412" s="49" t="n">
        <v>0</v>
      </c>
      <c r="L2412" s="49" t="n">
        <v>0</v>
      </c>
      <c r="M2412" s="49" t="n">
        <v>0</v>
      </c>
      <c r="N2412" s="49" t="n">
        <v>0</v>
      </c>
      <c r="O2412" s="49" t="n">
        <v>0</v>
      </c>
      <c r="P2412" s="49" t="n">
        <v>0</v>
      </c>
      <c r="Q2412" s="49" t="n">
        <v>0</v>
      </c>
      <c r="R2412" s="49" t="n">
        <v>0</v>
      </c>
      <c r="S2412" s="50" t="n">
        <v>0</v>
      </c>
      <c r="T2412" s="50" t="n">
        <v>0</v>
      </c>
      <c r="U2412" s="50" t="n">
        <v>0</v>
      </c>
      <c r="V2412" s="50" t="n">
        <v>0</v>
      </c>
      <c r="W2412" s="51" t="n">
        <v>0</v>
      </c>
      <c r="X2412" s="51" t="n">
        <v>0</v>
      </c>
      <c r="Y2412" s="51" t="n">
        <v>0</v>
      </c>
      <c r="Z2412" s="51" t="n">
        <v>0</v>
      </c>
      <c r="AA2412" s="52" t="n">
        <v>0</v>
      </c>
      <c r="AB2412" s="52" t="n">
        <v>0</v>
      </c>
      <c r="AC2412" s="52" t="n">
        <v>0</v>
      </c>
      <c r="AD2412" s="52" t="n">
        <v>0</v>
      </c>
      <c r="AE2412" s="52" t="n">
        <v>0</v>
      </c>
      <c r="AF2412" s="52" t="n">
        <v>0</v>
      </c>
      <c r="AG2412" s="52" t="n">
        <v>0</v>
      </c>
      <c r="AH2412" s="52" t="n">
        <v>0</v>
      </c>
      <c r="AI2412" s="52" t="n">
        <v>0</v>
      </c>
      <c r="AJ2412" s="52" t="n">
        <v>0</v>
      </c>
      <c r="AK2412" s="52" t="n">
        <v>0</v>
      </c>
      <c r="AL2412" s="52" t="n">
        <v>0</v>
      </c>
      <c r="AM2412" s="53" t="n">
        <v>0</v>
      </c>
      <c r="AN2412" s="53" t="n">
        <v>0</v>
      </c>
      <c r="AO2412" s="53" t="n">
        <v>0</v>
      </c>
      <c r="AP2412" s="53" t="n">
        <v>0</v>
      </c>
      <c r="AQ2412" s="52" t="n">
        <v>0</v>
      </c>
      <c r="AR2412" s="52" t="n">
        <v>0</v>
      </c>
      <c r="AS2412" s="52" t="n">
        <v>0</v>
      </c>
      <c r="AT2412" s="52" t="n">
        <v>0</v>
      </c>
      <c r="AU2412" s="53" t="n">
        <v>0</v>
      </c>
      <c r="AV2412" s="53" t="n">
        <v>0</v>
      </c>
      <c r="AW2412" s="53" t="n">
        <v>0</v>
      </c>
      <c r="AX2412" s="53" t="n">
        <v>0</v>
      </c>
      <c r="AY2412" s="52" t="n">
        <v>0</v>
      </c>
      <c r="AZ2412" s="52" t="n">
        <v>0</v>
      </c>
      <c r="BA2412" s="52" t="n">
        <v>0</v>
      </c>
      <c r="BB2412" s="52" t="n">
        <v>0</v>
      </c>
      <c r="BC2412" s="51" t="n">
        <v>0</v>
      </c>
      <c r="BD2412" s="51" t="n">
        <v>0</v>
      </c>
      <c r="BE2412" s="51" t="n">
        <v>0</v>
      </c>
      <c r="BF2412" s="51" t="n">
        <v>0</v>
      </c>
    </row>
    <row r="2413">
      <c r="A2413">
        <f>HYPERLINK("https://www.walmart.com/ip/199120982", "199120982")</f>
        <v/>
      </c>
      <c r="B2413" t="inlineStr">
        <is>
          <t>Tirrinia Insulated Lunch Bag for Women and Men, Leakproof Reusable Meal Prep Bento Box Insulated Cooler Bag, Dual Compartment with Shoulder Strap, Charcoal, 10.2" x 7.5" x 9"</t>
        </is>
      </c>
      <c r="C2413" t="inlineStr">
        <is>
          <t>1TRLB601CH</t>
        </is>
      </c>
      <c r="D2413" t="inlineStr">
        <is>
          <t>Reusable Lunch Bags &amp; Boxes</t>
        </is>
      </c>
      <c r="E2413" t="inlineStr">
        <is>
          <t>Tirrinia</t>
        </is>
      </c>
      <c r="F2413" t="inlineStr">
        <is>
          <t>Q2-Target,Brand Camp VD,Lunch Bag,WFS,Lunch Bags,SEM,WFS Item,AMZ Bestsellers</t>
        </is>
      </c>
      <c r="G2413" s="48" t="n">
        <v>0</v>
      </c>
      <c r="H2413" s="48" t="n">
        <v>18.99</v>
      </c>
      <c r="I2413" s="48" t="n">
        <v>18.99</v>
      </c>
      <c r="J2413" s="48" t="n">
        <v>0</v>
      </c>
      <c r="K2413" s="49" t="n">
        <v>0</v>
      </c>
      <c r="L2413" s="49" t="n">
        <v>1</v>
      </c>
      <c r="M2413" s="49" t="n">
        <v>1</v>
      </c>
      <c r="N2413" s="49" t="n">
        <v>0</v>
      </c>
      <c r="O2413" s="49" t="n">
        <v>30</v>
      </c>
      <c r="P2413" s="49" t="n">
        <v>45</v>
      </c>
      <c r="Q2413" s="49" t="n">
        <v>52</v>
      </c>
      <c r="R2413" s="49" t="n">
        <v>54</v>
      </c>
      <c r="S2413" s="50" t="n">
        <v>0</v>
      </c>
      <c r="T2413" s="50" t="n">
        <v>0.02222222222222222</v>
      </c>
      <c r="U2413" s="50" t="n">
        <v>0.01923076923076923</v>
      </c>
      <c r="V2413" s="50" t="n">
        <v>0</v>
      </c>
      <c r="W2413" s="51" t="n">
        <v>0</v>
      </c>
      <c r="X2413" s="51" t="n">
        <v>0</v>
      </c>
      <c r="Y2413" s="51" t="n">
        <v>0</v>
      </c>
      <c r="Z2413" s="51" t="n">
        <v>0</v>
      </c>
      <c r="AA2413" s="52" t="n">
        <v>0</v>
      </c>
      <c r="AB2413" s="52" t="n">
        <v>0</v>
      </c>
      <c r="AC2413" s="52" t="n">
        <v>0</v>
      </c>
      <c r="AD2413" s="52" t="n">
        <v>0</v>
      </c>
      <c r="AE2413" s="52" t="n">
        <v>0</v>
      </c>
      <c r="AF2413" s="52" t="n">
        <v>0</v>
      </c>
      <c r="AG2413" s="52" t="n">
        <v>0</v>
      </c>
      <c r="AH2413" s="52" t="n">
        <v>0</v>
      </c>
      <c r="AI2413" s="52" t="n">
        <v>0</v>
      </c>
      <c r="AJ2413" s="52" t="n">
        <v>0</v>
      </c>
      <c r="AK2413" s="52" t="n">
        <v>0</v>
      </c>
      <c r="AL2413" s="52" t="n">
        <v>0</v>
      </c>
      <c r="AM2413" s="53" t="n">
        <v>0</v>
      </c>
      <c r="AN2413" s="53" t="n">
        <v>0</v>
      </c>
      <c r="AO2413" s="53" t="n">
        <v>0</v>
      </c>
      <c r="AP2413" s="53" t="n">
        <v>0</v>
      </c>
      <c r="AQ2413" s="52" t="n">
        <v>0</v>
      </c>
      <c r="AR2413" s="52" t="n">
        <v>0</v>
      </c>
      <c r="AS2413" s="52" t="n">
        <v>0</v>
      </c>
      <c r="AT2413" s="52" t="n">
        <v>0</v>
      </c>
      <c r="AU2413" s="53" t="n">
        <v>0</v>
      </c>
      <c r="AV2413" s="53" t="n">
        <v>0</v>
      </c>
      <c r="AW2413" s="53" t="n">
        <v>0</v>
      </c>
      <c r="AX2413" s="53" t="n">
        <v>0</v>
      </c>
      <c r="AY2413" s="52" t="n">
        <v>0</v>
      </c>
      <c r="AZ2413" s="52" t="n">
        <v>18.99</v>
      </c>
      <c r="BA2413" s="52" t="n">
        <v>18.99</v>
      </c>
      <c r="BB2413" s="52" t="n">
        <v>0</v>
      </c>
      <c r="BC2413" s="51" t="n">
        <v>0</v>
      </c>
      <c r="BD2413" s="51" t="n">
        <v>0</v>
      </c>
      <c r="BE2413" s="51" t="n">
        <v>0</v>
      </c>
      <c r="BF2413" s="51" t="n">
        <v>0</v>
      </c>
    </row>
    <row r="2414">
      <c r="A2414">
        <f>HYPERLINK("https://www.walmart.com/ip/199203186", "199203186")</f>
        <v/>
      </c>
      <c r="B2414" t="inlineStr">
        <is>
          <t>Terra Active Wrap- Stylish Running workout travel waist belt w/ hidden pocket</t>
        </is>
      </c>
      <c r="C2414" t="inlineStr">
        <is>
          <t>TERRA-3BL-L</t>
        </is>
      </c>
      <c r="D2414" t="inlineStr">
        <is>
          <t>Running Belts</t>
        </is>
      </c>
      <c r="E2414" t="inlineStr">
        <is>
          <t>Terra</t>
        </is>
      </c>
      <c r="F2414" t="inlineStr">
        <is>
          <t>Batch 1 - TR</t>
        </is>
      </c>
      <c r="G2414" s="48" t="n">
        <v>0</v>
      </c>
      <c r="H2414" s="48" t="n">
        <v>0</v>
      </c>
      <c r="I2414" s="48" t="n">
        <v>0</v>
      </c>
      <c r="J2414" s="48" t="n">
        <v>0</v>
      </c>
      <c r="K2414" s="49" t="n">
        <v>0</v>
      </c>
      <c r="L2414" s="49" t="n">
        <v>0</v>
      </c>
      <c r="M2414" s="49" t="n">
        <v>0</v>
      </c>
      <c r="N2414" s="49" t="n">
        <v>0</v>
      </c>
      <c r="O2414" s="49" t="n">
        <v>0</v>
      </c>
      <c r="P2414" s="49" t="n">
        <v>0</v>
      </c>
      <c r="Q2414" s="49" t="n">
        <v>0</v>
      </c>
      <c r="R2414" s="49" t="n">
        <v>0</v>
      </c>
      <c r="S2414" s="50" t="n">
        <v>0</v>
      </c>
      <c r="T2414" s="50" t="n">
        <v>0</v>
      </c>
      <c r="U2414" s="50" t="n">
        <v>0</v>
      </c>
      <c r="V2414" s="50" t="n">
        <v>0</v>
      </c>
      <c r="W2414" s="51" t="n">
        <v>0</v>
      </c>
      <c r="X2414" s="51" t="n">
        <v>0</v>
      </c>
      <c r="Y2414" s="51" t="n">
        <v>0</v>
      </c>
      <c r="Z2414" s="51" t="n">
        <v>0</v>
      </c>
      <c r="AA2414" s="52" t="n">
        <v>0</v>
      </c>
      <c r="AB2414" s="52" t="n">
        <v>0</v>
      </c>
      <c r="AC2414" s="52" t="n">
        <v>0</v>
      </c>
      <c r="AD2414" s="52" t="n">
        <v>0</v>
      </c>
      <c r="AE2414" s="52" t="n">
        <v>0</v>
      </c>
      <c r="AF2414" s="52" t="n">
        <v>0</v>
      </c>
      <c r="AG2414" s="52" t="n">
        <v>0</v>
      </c>
      <c r="AH2414" s="52" t="n">
        <v>0</v>
      </c>
      <c r="AI2414" s="52" t="n">
        <v>0</v>
      </c>
      <c r="AJ2414" s="52" t="n">
        <v>0</v>
      </c>
      <c r="AK2414" s="52" t="n">
        <v>0</v>
      </c>
      <c r="AL2414" s="52" t="n">
        <v>0</v>
      </c>
      <c r="AM2414" s="53" t="n">
        <v>0</v>
      </c>
      <c r="AN2414" s="53" t="n">
        <v>0</v>
      </c>
      <c r="AO2414" s="53" t="n">
        <v>0</v>
      </c>
      <c r="AP2414" s="53" t="n">
        <v>0</v>
      </c>
      <c r="AQ2414" s="52" t="n">
        <v>0</v>
      </c>
      <c r="AR2414" s="52" t="n">
        <v>0</v>
      </c>
      <c r="AS2414" s="52" t="n">
        <v>0</v>
      </c>
      <c r="AT2414" s="52" t="n">
        <v>0</v>
      </c>
      <c r="AU2414" s="53" t="n">
        <v>0</v>
      </c>
      <c r="AV2414" s="53" t="n">
        <v>0</v>
      </c>
      <c r="AW2414" s="53" t="n">
        <v>0</v>
      </c>
      <c r="AX2414" s="53" t="n">
        <v>0</v>
      </c>
      <c r="AY2414" s="52" t="n">
        <v>0</v>
      </c>
      <c r="AZ2414" s="52" t="n">
        <v>0</v>
      </c>
      <c r="BA2414" s="52" t="n">
        <v>0</v>
      </c>
      <c r="BB2414" s="52" t="n">
        <v>0</v>
      </c>
      <c r="BC2414" s="51" t="n">
        <v>0</v>
      </c>
      <c r="BD2414" s="51" t="n">
        <v>0</v>
      </c>
      <c r="BE2414" s="51" t="n">
        <v>0</v>
      </c>
      <c r="BF2414" s="51" t="n">
        <v>0</v>
      </c>
    </row>
    <row r="2415">
      <c r="A2415">
        <f>HYPERLINK("https://www.walmart.com/ip/1995771365", "1995771365")</f>
        <v/>
      </c>
      <c r="B2415" t="inlineStr">
        <is>
          <t>Every Day is Christmas Glass Blown Ornaments 2022 Cute Hand Made Figurines Tree Decoration - 8cm glass set of 2 tennis ball ornament</t>
        </is>
      </c>
      <c r="C2415" t="inlineStr">
        <is>
          <t>EDC-FIGURINE-TENNIS</t>
        </is>
      </c>
      <c r="D2415" t="inlineStr">
        <is>
          <t>Ornaments</t>
        </is>
      </c>
      <c r="E2415" t="inlineStr">
        <is>
          <t>Every Day is Christmas</t>
        </is>
      </c>
      <c r="G2415" s="48" t="n">
        <v>0</v>
      </c>
      <c r="H2415" s="48" t="n">
        <v>0</v>
      </c>
      <c r="I2415" s="48" t="n">
        <v>0</v>
      </c>
      <c r="J2415" s="48" t="n">
        <v>0</v>
      </c>
      <c r="K2415" s="49" t="n">
        <v>0</v>
      </c>
      <c r="L2415" s="49" t="n">
        <v>0</v>
      </c>
      <c r="M2415" s="49" t="n">
        <v>0</v>
      </c>
      <c r="N2415" s="49" t="n">
        <v>0</v>
      </c>
      <c r="O2415" s="49" t="n">
        <v>0</v>
      </c>
      <c r="P2415" s="49" t="n">
        <v>0</v>
      </c>
      <c r="Q2415" s="49" t="n">
        <v>0</v>
      </c>
      <c r="R2415" s="49" t="n">
        <v>0</v>
      </c>
      <c r="S2415" s="50" t="n">
        <v>0</v>
      </c>
      <c r="T2415" s="50" t="n">
        <v>0</v>
      </c>
      <c r="U2415" s="50" t="n">
        <v>0</v>
      </c>
      <c r="V2415" s="50" t="n">
        <v>0</v>
      </c>
      <c r="W2415" s="51" t="n">
        <v>0</v>
      </c>
      <c r="X2415" s="51" t="n">
        <v>0</v>
      </c>
      <c r="Y2415" s="51" t="n">
        <v>0</v>
      </c>
      <c r="Z2415" s="51" t="n">
        <v>0</v>
      </c>
      <c r="AA2415" s="52" t="n">
        <v>0</v>
      </c>
      <c r="AB2415" s="52" t="n">
        <v>0</v>
      </c>
      <c r="AC2415" s="52" t="n">
        <v>0</v>
      </c>
      <c r="AD2415" s="52" t="n">
        <v>0</v>
      </c>
      <c r="AE2415" s="52" t="n">
        <v>0</v>
      </c>
      <c r="AF2415" s="52" t="n">
        <v>0</v>
      </c>
      <c r="AG2415" s="52" t="n">
        <v>0</v>
      </c>
      <c r="AH2415" s="52" t="n">
        <v>0</v>
      </c>
      <c r="AI2415" s="52" t="n">
        <v>0</v>
      </c>
      <c r="AJ2415" s="52" t="n">
        <v>0</v>
      </c>
      <c r="AK2415" s="52" t="n">
        <v>0</v>
      </c>
      <c r="AL2415" s="52" t="n">
        <v>0</v>
      </c>
      <c r="AM2415" s="53" t="n">
        <v>0</v>
      </c>
      <c r="AN2415" s="53" t="n">
        <v>0</v>
      </c>
      <c r="AO2415" s="53" t="n">
        <v>0</v>
      </c>
      <c r="AP2415" s="53" t="n">
        <v>0</v>
      </c>
      <c r="AQ2415" s="52" t="n">
        <v>0</v>
      </c>
      <c r="AR2415" s="52" t="n">
        <v>0</v>
      </c>
      <c r="AS2415" s="52" t="n">
        <v>0</v>
      </c>
      <c r="AT2415" s="52" t="n">
        <v>0</v>
      </c>
      <c r="AU2415" s="53" t="n">
        <v>0</v>
      </c>
      <c r="AV2415" s="53" t="n">
        <v>0</v>
      </c>
      <c r="AW2415" s="53" t="n">
        <v>0</v>
      </c>
      <c r="AX2415" s="53" t="n">
        <v>0</v>
      </c>
      <c r="AY2415" s="52" t="n">
        <v>0</v>
      </c>
      <c r="AZ2415" s="52" t="n">
        <v>0</v>
      </c>
      <c r="BA2415" s="52" t="n">
        <v>0</v>
      </c>
      <c r="BB2415" s="52" t="n">
        <v>0</v>
      </c>
      <c r="BC2415" s="51" t="n">
        <v>0</v>
      </c>
      <c r="BD2415" s="51" t="n">
        <v>0</v>
      </c>
      <c r="BE2415" s="51" t="n">
        <v>0</v>
      </c>
      <c r="BF2415" s="51" t="n">
        <v>0</v>
      </c>
    </row>
    <row r="2416">
      <c r="A2416">
        <f>HYPERLINK("https://www.walmart.com/ip/1997657379", "1997657379")</f>
        <v/>
      </c>
      <c r="B2416" t="inlineStr">
        <is>
          <t>Every Day is Christmas Glass Blown Ornaments 2021 Cute Hand Made Figurines Tree Decoration, Rocket Santa</t>
        </is>
      </c>
      <c r="C2416" t="inlineStr">
        <is>
          <t>EDC-FIGURINE-GINGERBREAD</t>
        </is>
      </c>
      <c r="D2416" t="inlineStr">
        <is>
          <t>Ornaments</t>
        </is>
      </c>
      <c r="E2416" t="inlineStr">
        <is>
          <t>Every Day is Christmas</t>
        </is>
      </c>
      <c r="G2416" s="48" t="n">
        <v>0</v>
      </c>
      <c r="H2416" s="48" t="n">
        <v>0</v>
      </c>
      <c r="I2416" s="48" t="n">
        <v>0</v>
      </c>
      <c r="J2416" s="48" t="n">
        <v>0</v>
      </c>
      <c r="K2416" s="49" t="n">
        <v>0</v>
      </c>
      <c r="L2416" s="49" t="n">
        <v>0</v>
      </c>
      <c r="M2416" s="49" t="n">
        <v>0</v>
      </c>
      <c r="N2416" s="49" t="n">
        <v>0</v>
      </c>
      <c r="O2416" s="49" t="n">
        <v>0</v>
      </c>
      <c r="P2416" s="49" t="n">
        <v>0</v>
      </c>
      <c r="Q2416" s="49" t="n">
        <v>0</v>
      </c>
      <c r="R2416" s="49" t="n">
        <v>0</v>
      </c>
      <c r="S2416" s="50" t="n">
        <v>0</v>
      </c>
      <c r="T2416" s="50" t="n">
        <v>0</v>
      </c>
      <c r="U2416" s="50" t="n">
        <v>0</v>
      </c>
      <c r="V2416" s="50" t="n">
        <v>0</v>
      </c>
      <c r="W2416" s="51" t="n">
        <v>0</v>
      </c>
      <c r="X2416" s="51" t="n">
        <v>0</v>
      </c>
      <c r="Y2416" s="51" t="n">
        <v>0</v>
      </c>
      <c r="Z2416" s="51" t="n">
        <v>0</v>
      </c>
      <c r="AA2416" s="52" t="n">
        <v>0</v>
      </c>
      <c r="AB2416" s="52" t="n">
        <v>0</v>
      </c>
      <c r="AC2416" s="52" t="n">
        <v>0</v>
      </c>
      <c r="AD2416" s="52" t="n">
        <v>0</v>
      </c>
      <c r="AE2416" s="52" t="n">
        <v>0</v>
      </c>
      <c r="AF2416" s="52" t="n">
        <v>0</v>
      </c>
      <c r="AG2416" s="52" t="n">
        <v>0</v>
      </c>
      <c r="AH2416" s="52" t="n">
        <v>0</v>
      </c>
      <c r="AI2416" s="52" t="n">
        <v>0</v>
      </c>
      <c r="AJ2416" s="52" t="n">
        <v>0</v>
      </c>
      <c r="AK2416" s="52" t="n">
        <v>0</v>
      </c>
      <c r="AL2416" s="52" t="n">
        <v>0</v>
      </c>
      <c r="AM2416" s="53" t="n">
        <v>0</v>
      </c>
      <c r="AN2416" s="53" t="n">
        <v>0</v>
      </c>
      <c r="AO2416" s="53" t="n">
        <v>0</v>
      </c>
      <c r="AP2416" s="53" t="n">
        <v>0</v>
      </c>
      <c r="AQ2416" s="52" t="n">
        <v>0</v>
      </c>
      <c r="AR2416" s="52" t="n">
        <v>0</v>
      </c>
      <c r="AS2416" s="52" t="n">
        <v>0</v>
      </c>
      <c r="AT2416" s="52" t="n">
        <v>0</v>
      </c>
      <c r="AU2416" s="53" t="n">
        <v>0</v>
      </c>
      <c r="AV2416" s="53" t="n">
        <v>0</v>
      </c>
      <c r="AW2416" s="53" t="n">
        <v>0</v>
      </c>
      <c r="AX2416" s="53" t="n">
        <v>0</v>
      </c>
      <c r="AY2416" s="52" t="n">
        <v>0</v>
      </c>
      <c r="AZ2416" s="52" t="n">
        <v>0</v>
      </c>
      <c r="BA2416" s="52" t="n">
        <v>0</v>
      </c>
      <c r="BB2416" s="52" t="n">
        <v>0</v>
      </c>
      <c r="BC2416" s="51" t="n">
        <v>0</v>
      </c>
      <c r="BD2416" s="51" t="n">
        <v>0</v>
      </c>
      <c r="BE2416" s="51" t="n">
        <v>0</v>
      </c>
      <c r="BF2416" s="51" t="n">
        <v>0</v>
      </c>
    </row>
    <row r="2417">
      <c r="A2417">
        <f>HYPERLINK("https://www.walmart.com/ip/200390181", "200390181")</f>
        <v/>
      </c>
      <c r="B2417" t="inlineStr">
        <is>
          <t>Tirrinia Unisex Outdoor Sun Protection Fishing Cap with Neck Flap Wide Brim Mesh Hat for Travel Camping Hiking Hunting</t>
        </is>
      </c>
      <c r="C2417" t="inlineStr">
        <is>
          <t>1WMSH910OL</t>
        </is>
      </c>
      <c r="D2417" t="inlineStr">
        <is>
          <t>Hats</t>
        </is>
      </c>
      <c r="E2417" t="inlineStr">
        <is>
          <t>Tirrinia</t>
        </is>
      </c>
      <c r="F2417" t="inlineStr">
        <is>
          <t>Optimized</t>
        </is>
      </c>
      <c r="G2417" s="48" t="n">
        <v>0</v>
      </c>
      <c r="H2417" s="48" t="n">
        <v>0</v>
      </c>
      <c r="I2417" s="48" t="n">
        <v>0</v>
      </c>
      <c r="J2417" s="48" t="n">
        <v>0</v>
      </c>
      <c r="K2417" s="49" t="n">
        <v>0</v>
      </c>
      <c r="L2417" s="49" t="n">
        <v>0</v>
      </c>
      <c r="M2417" s="49" t="n">
        <v>0</v>
      </c>
      <c r="N2417" s="49" t="n">
        <v>0</v>
      </c>
      <c r="O2417" s="49" t="n">
        <v>0</v>
      </c>
      <c r="P2417" s="49" t="n">
        <v>0</v>
      </c>
      <c r="Q2417" s="49" t="n">
        <v>0</v>
      </c>
      <c r="R2417" s="49" t="n">
        <v>0</v>
      </c>
      <c r="S2417" s="50" t="n">
        <v>0</v>
      </c>
      <c r="T2417" s="50" t="n">
        <v>0</v>
      </c>
      <c r="U2417" s="50" t="n">
        <v>0</v>
      </c>
      <c r="V2417" s="50" t="n">
        <v>0</v>
      </c>
      <c r="W2417" s="51" t="n">
        <v>0</v>
      </c>
      <c r="X2417" s="51" t="n">
        <v>0</v>
      </c>
      <c r="Y2417" s="51" t="n">
        <v>0</v>
      </c>
      <c r="Z2417" s="51" t="n">
        <v>0</v>
      </c>
      <c r="AA2417" s="52" t="n">
        <v>0</v>
      </c>
      <c r="AB2417" s="52" t="n">
        <v>0</v>
      </c>
      <c r="AC2417" s="52" t="n">
        <v>0</v>
      </c>
      <c r="AD2417" s="52" t="n">
        <v>0</v>
      </c>
      <c r="AE2417" s="52" t="n">
        <v>0</v>
      </c>
      <c r="AF2417" s="52" t="n">
        <v>0</v>
      </c>
      <c r="AG2417" s="52" t="n">
        <v>0</v>
      </c>
      <c r="AH2417" s="52" t="n">
        <v>0</v>
      </c>
      <c r="AI2417" s="52" t="n">
        <v>0</v>
      </c>
      <c r="AJ2417" s="52" t="n">
        <v>0</v>
      </c>
      <c r="AK2417" s="52" t="n">
        <v>0</v>
      </c>
      <c r="AL2417" s="52" t="n">
        <v>0</v>
      </c>
      <c r="AM2417" s="53" t="n">
        <v>0</v>
      </c>
      <c r="AN2417" s="53" t="n">
        <v>0</v>
      </c>
      <c r="AO2417" s="53" t="n">
        <v>0</v>
      </c>
      <c r="AP2417" s="53" t="n">
        <v>0</v>
      </c>
      <c r="AQ2417" s="52" t="n">
        <v>0</v>
      </c>
      <c r="AR2417" s="52" t="n">
        <v>0</v>
      </c>
      <c r="AS2417" s="52" t="n">
        <v>0</v>
      </c>
      <c r="AT2417" s="52" t="n">
        <v>0</v>
      </c>
      <c r="AU2417" s="53" t="n">
        <v>0</v>
      </c>
      <c r="AV2417" s="53" t="n">
        <v>0</v>
      </c>
      <c r="AW2417" s="53" t="n">
        <v>0</v>
      </c>
      <c r="AX2417" s="53" t="n">
        <v>0</v>
      </c>
      <c r="AY2417" s="52" t="n">
        <v>0</v>
      </c>
      <c r="AZ2417" s="52" t="n">
        <v>0</v>
      </c>
      <c r="BA2417" s="52" t="n">
        <v>0</v>
      </c>
      <c r="BB2417" s="52" t="n">
        <v>0</v>
      </c>
      <c r="BC2417" s="51" t="n">
        <v>0</v>
      </c>
      <c r="BD2417" s="51" t="n">
        <v>0</v>
      </c>
      <c r="BE2417" s="51" t="n">
        <v>0</v>
      </c>
      <c r="BF2417" s="51" t="n">
        <v>0</v>
      </c>
    </row>
    <row r="2418">
      <c r="A2418">
        <f>HYPERLINK("https://www.walmart.com/ip/2009092568", "2009092568")</f>
        <v/>
      </c>
      <c r="B2418" t="inlineStr">
        <is>
          <t>Wrangler Men’s Leather Embossed Logo Casual Every Day Belt for Jeans, Khakis Brown</t>
        </is>
      </c>
      <c r="C2418" t="inlineStr">
        <is>
          <t>WR-BELT-MENS-EMBOSSED-BROWN-34</t>
        </is>
      </c>
      <c r="D2418" t="inlineStr">
        <is>
          <t>Belts</t>
        </is>
      </c>
      <c r="E2418" t="inlineStr">
        <is>
          <t>Wrangler</t>
        </is>
      </c>
      <c r="G2418" s="48" t="n">
        <v>0</v>
      </c>
      <c r="H2418" s="48" t="n">
        <v>0</v>
      </c>
      <c r="I2418" s="48" t="n">
        <v>0</v>
      </c>
      <c r="J2418" s="48" t="n">
        <v>0</v>
      </c>
      <c r="K2418" s="49" t="n">
        <v>0</v>
      </c>
      <c r="L2418" s="49" t="n">
        <v>0</v>
      </c>
      <c r="M2418" s="49" t="n">
        <v>0</v>
      </c>
      <c r="N2418" s="49" t="n">
        <v>0</v>
      </c>
      <c r="O2418" s="49" t="n">
        <v>0</v>
      </c>
      <c r="P2418" s="49" t="n">
        <v>0</v>
      </c>
      <c r="Q2418" s="49" t="n">
        <v>0</v>
      </c>
      <c r="R2418" s="49" t="n">
        <v>0</v>
      </c>
      <c r="S2418" s="50" t="n">
        <v>0</v>
      </c>
      <c r="T2418" s="50" t="n">
        <v>0</v>
      </c>
      <c r="U2418" s="50" t="n">
        <v>0</v>
      </c>
      <c r="V2418" s="50" t="n">
        <v>0</v>
      </c>
      <c r="W2418" s="51" t="n">
        <v>0</v>
      </c>
      <c r="X2418" s="51" t="n">
        <v>0</v>
      </c>
      <c r="Y2418" s="51" t="n">
        <v>0</v>
      </c>
      <c r="Z2418" s="51" t="n">
        <v>0</v>
      </c>
      <c r="AA2418" s="52" t="n">
        <v>0</v>
      </c>
      <c r="AB2418" s="52" t="n">
        <v>0</v>
      </c>
      <c r="AC2418" s="52" t="n">
        <v>0</v>
      </c>
      <c r="AD2418" s="52" t="n">
        <v>0</v>
      </c>
      <c r="AE2418" s="52" t="n">
        <v>0</v>
      </c>
      <c r="AF2418" s="52" t="n">
        <v>0</v>
      </c>
      <c r="AG2418" s="52" t="n">
        <v>0</v>
      </c>
      <c r="AH2418" s="52" t="n">
        <v>0</v>
      </c>
      <c r="AI2418" s="52" t="n">
        <v>0</v>
      </c>
      <c r="AJ2418" s="52" t="n">
        <v>0</v>
      </c>
      <c r="AK2418" s="52" t="n">
        <v>0</v>
      </c>
      <c r="AL2418" s="52" t="n">
        <v>0</v>
      </c>
      <c r="AM2418" s="53" t="n">
        <v>0</v>
      </c>
      <c r="AN2418" s="53" t="n">
        <v>0</v>
      </c>
      <c r="AO2418" s="53" t="n">
        <v>0</v>
      </c>
      <c r="AP2418" s="53" t="n">
        <v>0</v>
      </c>
      <c r="AQ2418" s="52" t="n">
        <v>0</v>
      </c>
      <c r="AR2418" s="52" t="n">
        <v>0</v>
      </c>
      <c r="AS2418" s="52" t="n">
        <v>0</v>
      </c>
      <c r="AT2418" s="52" t="n">
        <v>0</v>
      </c>
      <c r="AU2418" s="53" t="n">
        <v>0</v>
      </c>
      <c r="AV2418" s="53" t="n">
        <v>0</v>
      </c>
      <c r="AW2418" s="53" t="n">
        <v>0</v>
      </c>
      <c r="AX2418" s="53" t="n">
        <v>0</v>
      </c>
      <c r="AY2418" s="52" t="n">
        <v>0</v>
      </c>
      <c r="AZ2418" s="52" t="n">
        <v>0</v>
      </c>
      <c r="BA2418" s="52" t="n">
        <v>0</v>
      </c>
      <c r="BB2418" s="52" t="n">
        <v>0</v>
      </c>
      <c r="BC2418" s="51" t="n">
        <v>0</v>
      </c>
      <c r="BD2418" s="51" t="n">
        <v>0</v>
      </c>
      <c r="BE2418" s="51" t="n">
        <v>0</v>
      </c>
      <c r="BF2418" s="51" t="n">
        <v>0</v>
      </c>
    </row>
    <row r="2419">
      <c r="A2419">
        <f>HYPERLINK("https://www.walmart.com/ip/2016172692", "2016172692")</f>
        <v/>
      </c>
      <c r="B2419" t="inlineStr">
        <is>
          <t>Tirrinia Outdoors Waterproof Throw Blanket, Stadium Windproof Sherpa Fleece Blanket for Traveling, Camping, Hiking, and Football, Machine Washable, Orange, 60'' x 80''</t>
        </is>
      </c>
      <c r="C2419" t="inlineStr">
        <is>
          <t>1TRBW608ORGY</t>
        </is>
      </c>
      <c r="D2419" t="inlineStr">
        <is>
          <t>Picnic Blankets &amp; Mats</t>
        </is>
      </c>
      <c r="E2419" t="inlineStr">
        <is>
          <t>Tirrinia</t>
        </is>
      </c>
      <c r="F2419" t="inlineStr">
        <is>
          <t>Q2-Target</t>
        </is>
      </c>
      <c r="G2419" s="48" t="n">
        <v>0</v>
      </c>
      <c r="H2419" s="48" t="n">
        <v>0</v>
      </c>
      <c r="I2419" s="48" t="n">
        <v>0</v>
      </c>
      <c r="J2419" s="48" t="n">
        <v>0</v>
      </c>
      <c r="K2419" s="49" t="n">
        <v>0</v>
      </c>
      <c r="L2419" s="49" t="n">
        <v>0</v>
      </c>
      <c r="M2419" s="49" t="n">
        <v>0</v>
      </c>
      <c r="N2419" s="49" t="n">
        <v>0</v>
      </c>
      <c r="O2419" s="49" t="n">
        <v>0</v>
      </c>
      <c r="P2419" s="49" t="n">
        <v>0</v>
      </c>
      <c r="Q2419" s="49" t="n">
        <v>0</v>
      </c>
      <c r="R2419" s="49" t="n">
        <v>0</v>
      </c>
      <c r="S2419" s="50" t="n">
        <v>0</v>
      </c>
      <c r="T2419" s="50" t="n">
        <v>0</v>
      </c>
      <c r="U2419" s="50" t="n">
        <v>0</v>
      </c>
      <c r="V2419" s="50" t="n">
        <v>0</v>
      </c>
      <c r="W2419" s="51" t="n">
        <v>0</v>
      </c>
      <c r="X2419" s="51" t="n">
        <v>0</v>
      </c>
      <c r="Y2419" s="51" t="n">
        <v>0</v>
      </c>
      <c r="Z2419" s="51" t="n">
        <v>0</v>
      </c>
      <c r="AA2419" s="52" t="n">
        <v>0</v>
      </c>
      <c r="AB2419" s="52" t="n">
        <v>0</v>
      </c>
      <c r="AC2419" s="52" t="n">
        <v>0</v>
      </c>
      <c r="AD2419" s="52" t="n">
        <v>0</v>
      </c>
      <c r="AE2419" s="52" t="n">
        <v>0</v>
      </c>
      <c r="AF2419" s="52" t="n">
        <v>0</v>
      </c>
      <c r="AG2419" s="52" t="n">
        <v>0</v>
      </c>
      <c r="AH2419" s="52" t="n">
        <v>0</v>
      </c>
      <c r="AI2419" s="52" t="n">
        <v>0</v>
      </c>
      <c r="AJ2419" s="52" t="n">
        <v>0</v>
      </c>
      <c r="AK2419" s="52" t="n">
        <v>0</v>
      </c>
      <c r="AL2419" s="52" t="n">
        <v>0</v>
      </c>
      <c r="AM2419" s="53" t="n">
        <v>0</v>
      </c>
      <c r="AN2419" s="53" t="n">
        <v>0</v>
      </c>
      <c r="AO2419" s="53" t="n">
        <v>0</v>
      </c>
      <c r="AP2419" s="53" t="n">
        <v>0</v>
      </c>
      <c r="AQ2419" s="52" t="n">
        <v>0</v>
      </c>
      <c r="AR2419" s="52" t="n">
        <v>0</v>
      </c>
      <c r="AS2419" s="52" t="n">
        <v>0</v>
      </c>
      <c r="AT2419" s="52" t="n">
        <v>0</v>
      </c>
      <c r="AU2419" s="53" t="n">
        <v>0</v>
      </c>
      <c r="AV2419" s="53" t="n">
        <v>0</v>
      </c>
      <c r="AW2419" s="53" t="n">
        <v>0</v>
      </c>
      <c r="AX2419" s="53" t="n">
        <v>0</v>
      </c>
      <c r="AY2419" s="52" t="n">
        <v>0</v>
      </c>
      <c r="AZ2419" s="52" t="n">
        <v>0</v>
      </c>
      <c r="BA2419" s="52" t="n">
        <v>0</v>
      </c>
      <c r="BB2419" s="52" t="n">
        <v>0</v>
      </c>
      <c r="BC2419" s="51" t="n">
        <v>0</v>
      </c>
      <c r="BD2419" s="51" t="n">
        <v>0</v>
      </c>
      <c r="BE2419" s="51" t="n">
        <v>0</v>
      </c>
      <c r="BF2419" s="51" t="n">
        <v>0</v>
      </c>
    </row>
    <row r="2420">
      <c r="A2420">
        <f>HYPERLINK("https://www.walmart.com/ip/202697010", "202697010")</f>
        <v/>
      </c>
      <c r="B2420" t="inlineStr">
        <is>
          <t>Napa Plush Throw Blanket Green, Twin 60"x90", Striped Reversible Velvet Luxury Fleece Warm Bed Couch Blanket, Super Soft and Cozy</t>
        </is>
      </c>
      <c r="C2420" t="inlineStr">
        <is>
          <t>K8030TW-GRN</t>
        </is>
      </c>
      <c r="D2420" t="inlineStr">
        <is>
          <t>Throws</t>
        </is>
      </c>
      <c r="E2420" t="inlineStr">
        <is>
          <t>NAPA</t>
        </is>
      </c>
      <c r="F2420" t="inlineStr">
        <is>
          <t>Optimized,ST Patrick Day</t>
        </is>
      </c>
      <c r="G2420" s="48" t="n">
        <v>0</v>
      </c>
      <c r="H2420" s="48" t="n">
        <v>0</v>
      </c>
      <c r="I2420" s="48" t="n">
        <v>0</v>
      </c>
      <c r="J2420" s="48" t="n">
        <v>0</v>
      </c>
      <c r="K2420" s="49" t="n">
        <v>0</v>
      </c>
      <c r="L2420" s="49" t="n">
        <v>0</v>
      </c>
      <c r="M2420" s="49" t="n">
        <v>0</v>
      </c>
      <c r="N2420" s="49" t="n">
        <v>0</v>
      </c>
      <c r="O2420" s="49" t="n">
        <v>0</v>
      </c>
      <c r="P2420" s="49" t="n">
        <v>0</v>
      </c>
      <c r="Q2420" s="49" t="n">
        <v>0</v>
      </c>
      <c r="R2420" s="49" t="n">
        <v>0</v>
      </c>
      <c r="S2420" s="50" t="n">
        <v>0</v>
      </c>
      <c r="T2420" s="50" t="n">
        <v>0</v>
      </c>
      <c r="U2420" s="50" t="n">
        <v>0</v>
      </c>
      <c r="V2420" s="50" t="n">
        <v>0</v>
      </c>
      <c r="W2420" s="51" t="n">
        <v>0</v>
      </c>
      <c r="X2420" s="51" t="n">
        <v>0</v>
      </c>
      <c r="Y2420" s="51" t="n">
        <v>0</v>
      </c>
      <c r="Z2420" s="51" t="n">
        <v>0</v>
      </c>
      <c r="AA2420" s="52" t="n">
        <v>0</v>
      </c>
      <c r="AB2420" s="52" t="n">
        <v>0</v>
      </c>
      <c r="AC2420" s="52" t="n">
        <v>0</v>
      </c>
      <c r="AD2420" s="52" t="n">
        <v>0</v>
      </c>
      <c r="AE2420" s="52" t="n">
        <v>0</v>
      </c>
      <c r="AF2420" s="52" t="n">
        <v>0</v>
      </c>
      <c r="AG2420" s="52" t="n">
        <v>0</v>
      </c>
      <c r="AH2420" s="52" t="n">
        <v>0</v>
      </c>
      <c r="AI2420" s="52" t="n">
        <v>0</v>
      </c>
      <c r="AJ2420" s="52" t="n">
        <v>0</v>
      </c>
      <c r="AK2420" s="52" t="n">
        <v>0</v>
      </c>
      <c r="AL2420" s="52" t="n">
        <v>0</v>
      </c>
      <c r="AM2420" s="53" t="n">
        <v>0</v>
      </c>
      <c r="AN2420" s="53" t="n">
        <v>0</v>
      </c>
      <c r="AO2420" s="53" t="n">
        <v>0</v>
      </c>
      <c r="AP2420" s="53" t="n">
        <v>0</v>
      </c>
      <c r="AQ2420" s="52" t="n">
        <v>0</v>
      </c>
      <c r="AR2420" s="52" t="n">
        <v>0</v>
      </c>
      <c r="AS2420" s="52" t="n">
        <v>0</v>
      </c>
      <c r="AT2420" s="52" t="n">
        <v>0</v>
      </c>
      <c r="AU2420" s="53" t="n">
        <v>0</v>
      </c>
      <c r="AV2420" s="53" t="n">
        <v>0</v>
      </c>
      <c r="AW2420" s="53" t="n">
        <v>0</v>
      </c>
      <c r="AX2420" s="53" t="n">
        <v>0</v>
      </c>
      <c r="AY2420" s="52" t="n">
        <v>0</v>
      </c>
      <c r="AZ2420" s="52" t="n">
        <v>0</v>
      </c>
      <c r="BA2420" s="52" t="n">
        <v>0</v>
      </c>
      <c r="BB2420" s="52" t="n">
        <v>0</v>
      </c>
      <c r="BC2420" s="51" t="n">
        <v>0</v>
      </c>
      <c r="BD2420" s="51" t="n">
        <v>0</v>
      </c>
      <c r="BE2420" s="51" t="n">
        <v>0</v>
      </c>
      <c r="BF2420" s="51" t="n">
        <v>0</v>
      </c>
    </row>
    <row r="2421">
      <c r="A2421">
        <f>HYPERLINK("https://www.walmart.com/ip/203372718", "203372718")</f>
        <v/>
      </c>
      <c r="B2421" t="inlineStr">
        <is>
          <t>Tirrinia Red Buffalo Plaid Sherpa Wearable Blanket for Adult Women and Men, Super Soft Comfy Warm Plush Throw with Sleeves TV Blanket Wrap Robe Cover for  Sofa, Couch 72" x 55"</t>
        </is>
      </c>
      <c r="C2421" t="inlineStr">
        <is>
          <t>1TRSN110PRD-TBCB</t>
        </is>
      </c>
      <c r="D2421" t="inlineStr">
        <is>
          <t>Throws</t>
        </is>
      </c>
      <c r="E2421" t="inlineStr">
        <is>
          <t>Tirrinia</t>
        </is>
      </c>
      <c r="F2421" t="inlineStr">
        <is>
          <t>Optimized</t>
        </is>
      </c>
      <c r="G2421" s="48" t="n">
        <v>0</v>
      </c>
      <c r="H2421" s="48" t="n">
        <v>0</v>
      </c>
      <c r="I2421" s="48" t="n">
        <v>0</v>
      </c>
      <c r="J2421" s="48" t="n">
        <v>0</v>
      </c>
      <c r="K2421" s="49" t="n">
        <v>0</v>
      </c>
      <c r="L2421" s="49" t="n">
        <v>0</v>
      </c>
      <c r="M2421" s="49" t="n">
        <v>0</v>
      </c>
      <c r="N2421" s="49" t="n">
        <v>0</v>
      </c>
      <c r="O2421" s="49" t="n">
        <v>0</v>
      </c>
      <c r="P2421" s="49" t="n">
        <v>0</v>
      </c>
      <c r="Q2421" s="49" t="n">
        <v>0</v>
      </c>
      <c r="R2421" s="49" t="n">
        <v>0</v>
      </c>
      <c r="S2421" s="50" t="n">
        <v>0</v>
      </c>
      <c r="T2421" s="50" t="n">
        <v>0</v>
      </c>
      <c r="U2421" s="50" t="n">
        <v>0</v>
      </c>
      <c r="V2421" s="50" t="n">
        <v>0</v>
      </c>
      <c r="W2421" s="51" t="n">
        <v>0</v>
      </c>
      <c r="X2421" s="51" t="n">
        <v>0</v>
      </c>
      <c r="Y2421" s="51" t="n">
        <v>0</v>
      </c>
      <c r="Z2421" s="51" t="n">
        <v>0</v>
      </c>
      <c r="AA2421" s="52" t="n">
        <v>0</v>
      </c>
      <c r="AB2421" s="52" t="n">
        <v>0</v>
      </c>
      <c r="AC2421" s="52" t="n">
        <v>0</v>
      </c>
      <c r="AD2421" s="52" t="n">
        <v>0</v>
      </c>
      <c r="AE2421" s="52" t="n">
        <v>0</v>
      </c>
      <c r="AF2421" s="52" t="n">
        <v>0</v>
      </c>
      <c r="AG2421" s="52" t="n">
        <v>0</v>
      </c>
      <c r="AH2421" s="52" t="n">
        <v>0</v>
      </c>
      <c r="AI2421" s="52" t="n">
        <v>0</v>
      </c>
      <c r="AJ2421" s="52" t="n">
        <v>0</v>
      </c>
      <c r="AK2421" s="52" t="n">
        <v>0</v>
      </c>
      <c r="AL2421" s="52" t="n">
        <v>0</v>
      </c>
      <c r="AM2421" s="53" t="n">
        <v>0</v>
      </c>
      <c r="AN2421" s="53" t="n">
        <v>0</v>
      </c>
      <c r="AO2421" s="53" t="n">
        <v>0</v>
      </c>
      <c r="AP2421" s="53" t="n">
        <v>0</v>
      </c>
      <c r="AQ2421" s="52" t="n">
        <v>0</v>
      </c>
      <c r="AR2421" s="52" t="n">
        <v>0</v>
      </c>
      <c r="AS2421" s="52" t="n">
        <v>0</v>
      </c>
      <c r="AT2421" s="52" t="n">
        <v>0</v>
      </c>
      <c r="AU2421" s="53" t="n">
        <v>0</v>
      </c>
      <c r="AV2421" s="53" t="n">
        <v>0</v>
      </c>
      <c r="AW2421" s="53" t="n">
        <v>0</v>
      </c>
      <c r="AX2421" s="53" t="n">
        <v>0</v>
      </c>
      <c r="AY2421" s="52" t="n">
        <v>0</v>
      </c>
      <c r="AZ2421" s="52" t="n">
        <v>0</v>
      </c>
      <c r="BA2421" s="52" t="n">
        <v>0</v>
      </c>
      <c r="BB2421" s="52" t="n">
        <v>0</v>
      </c>
      <c r="BC2421" s="51" t="n">
        <v>0</v>
      </c>
      <c r="BD2421" s="51" t="n">
        <v>0</v>
      </c>
      <c r="BE2421" s="51" t="n">
        <v>0</v>
      </c>
      <c r="BF2421" s="51" t="n">
        <v>0</v>
      </c>
    </row>
    <row r="2422">
      <c r="A2422">
        <f>HYPERLINK("https://www.walmart.com/ip/198314685", "198314685")</f>
        <v/>
      </c>
      <c r="B2422" t="inlineStr">
        <is>
          <t>JenniWears Women's 3-Pack High Waist Control Top Reinforced Seamless Pantyhose</t>
        </is>
      </c>
      <c r="C2422" t="inlineStr">
        <is>
          <t>JWBLSPH6001-3pcs</t>
        </is>
      </c>
      <c r="D2422" t="inlineStr">
        <is>
          <t>Pantyhose &amp; Tights</t>
        </is>
      </c>
      <c r="E2422" t="inlineStr">
        <is>
          <t>JenniWears</t>
        </is>
      </c>
      <c r="F2422" t="inlineStr">
        <is>
          <t>Optimized,Valentine</t>
        </is>
      </c>
      <c r="G2422" s="48" t="n">
        <v>0</v>
      </c>
      <c r="H2422" s="48" t="n">
        <v>0</v>
      </c>
      <c r="I2422" s="48" t="n">
        <v>0</v>
      </c>
      <c r="J2422" s="48" t="n">
        <v>0</v>
      </c>
      <c r="K2422" s="49" t="n">
        <v>0</v>
      </c>
      <c r="L2422" s="49" t="n">
        <v>0</v>
      </c>
      <c r="M2422" s="49" t="n">
        <v>0</v>
      </c>
      <c r="N2422" s="49" t="n">
        <v>0</v>
      </c>
      <c r="O2422" s="49" t="n">
        <v>0</v>
      </c>
      <c r="P2422" s="49" t="n">
        <v>0</v>
      </c>
      <c r="Q2422" s="49" t="n">
        <v>0</v>
      </c>
      <c r="R2422" s="49" t="n">
        <v>0</v>
      </c>
      <c r="S2422" s="50" t="n">
        <v>0</v>
      </c>
      <c r="T2422" s="50" t="n">
        <v>0</v>
      </c>
      <c r="U2422" s="50" t="n">
        <v>0</v>
      </c>
      <c r="V2422" s="50" t="n">
        <v>0</v>
      </c>
      <c r="W2422" s="51" t="n">
        <v>0</v>
      </c>
      <c r="X2422" s="51" t="n">
        <v>0</v>
      </c>
      <c r="Y2422" s="51" t="n">
        <v>0</v>
      </c>
      <c r="Z2422" s="51" t="n">
        <v>0</v>
      </c>
      <c r="AA2422" s="52" t="n">
        <v>0</v>
      </c>
      <c r="AB2422" s="52" t="n">
        <v>0</v>
      </c>
      <c r="AC2422" s="52" t="n">
        <v>0</v>
      </c>
      <c r="AD2422" s="52" t="n">
        <v>0</v>
      </c>
      <c r="AE2422" s="52" t="n">
        <v>0</v>
      </c>
      <c r="AF2422" s="52" t="n">
        <v>0</v>
      </c>
      <c r="AG2422" s="52" t="n">
        <v>0</v>
      </c>
      <c r="AH2422" s="52" t="n">
        <v>0</v>
      </c>
      <c r="AI2422" s="52" t="n">
        <v>0</v>
      </c>
      <c r="AJ2422" s="52" t="n">
        <v>0</v>
      </c>
      <c r="AK2422" s="52" t="n">
        <v>0</v>
      </c>
      <c r="AL2422" s="52" t="n">
        <v>0</v>
      </c>
      <c r="AM2422" s="53" t="n">
        <v>0</v>
      </c>
      <c r="AN2422" s="53" t="n">
        <v>0</v>
      </c>
      <c r="AO2422" s="53" t="n">
        <v>0</v>
      </c>
      <c r="AP2422" s="53" t="n">
        <v>0</v>
      </c>
      <c r="AQ2422" s="52" t="n">
        <v>0</v>
      </c>
      <c r="AR2422" s="52" t="n">
        <v>0</v>
      </c>
      <c r="AS2422" s="52" t="n">
        <v>0</v>
      </c>
      <c r="AT2422" s="52" t="n">
        <v>0</v>
      </c>
      <c r="AU2422" s="53" t="n">
        <v>0</v>
      </c>
      <c r="AV2422" s="53" t="n">
        <v>0</v>
      </c>
      <c r="AW2422" s="53" t="n">
        <v>0</v>
      </c>
      <c r="AX2422" s="53" t="n">
        <v>0</v>
      </c>
      <c r="AY2422" s="52" t="n">
        <v>0</v>
      </c>
      <c r="AZ2422" s="52" t="n">
        <v>0</v>
      </c>
      <c r="BA2422" s="52" t="n">
        <v>0</v>
      </c>
      <c r="BB2422" s="52" t="n">
        <v>0</v>
      </c>
      <c r="BC2422" s="51" t="n">
        <v>0</v>
      </c>
      <c r="BD2422" s="51" t="n">
        <v>0</v>
      </c>
      <c r="BE2422" s="51" t="n">
        <v>0</v>
      </c>
      <c r="BF2422" s="51" t="n">
        <v>0</v>
      </c>
    </row>
    <row r="2423">
      <c r="A2423">
        <f>HYPERLINK("https://www.walmart.com/ip/198198597", "198198597")</f>
        <v/>
      </c>
      <c r="B2423" t="inlineStr">
        <is>
          <t>Deluxe Stylish Microplush Sleeved Fleece Blanket Soft Home Sofa Snuggie</t>
        </is>
      </c>
      <c r="C2423" t="inlineStr">
        <is>
          <t>k3000-black</t>
        </is>
      </c>
      <c r="D2423" t="inlineStr">
        <is>
          <t>Sleepwear Robes &amp; Bathrobes</t>
        </is>
      </c>
      <c r="E2423" t="inlineStr">
        <is>
          <t>NAPA</t>
        </is>
      </c>
      <c r="F2423" t="inlineStr">
        <is>
          <t>Fleece Blankets,Batch 1 - TR</t>
        </is>
      </c>
      <c r="G2423" s="48" t="n">
        <v>0</v>
      </c>
      <c r="H2423" s="48" t="n">
        <v>0</v>
      </c>
      <c r="I2423" s="48" t="n">
        <v>0</v>
      </c>
      <c r="J2423" s="48" t="n">
        <v>0</v>
      </c>
      <c r="K2423" s="49" t="n">
        <v>0</v>
      </c>
      <c r="L2423" s="49" t="n">
        <v>0</v>
      </c>
      <c r="M2423" s="49" t="n">
        <v>0</v>
      </c>
      <c r="N2423" s="49" t="n">
        <v>0</v>
      </c>
      <c r="O2423" s="49" t="n">
        <v>0</v>
      </c>
      <c r="P2423" s="49" t="n">
        <v>0</v>
      </c>
      <c r="Q2423" s="49" t="n">
        <v>0</v>
      </c>
      <c r="R2423" s="49" t="n">
        <v>0</v>
      </c>
      <c r="S2423" s="50" t="n">
        <v>0</v>
      </c>
      <c r="T2423" s="50" t="n">
        <v>0</v>
      </c>
      <c r="U2423" s="50" t="n">
        <v>0</v>
      </c>
      <c r="V2423" s="50" t="n">
        <v>0</v>
      </c>
      <c r="W2423" s="51" t="n">
        <v>0</v>
      </c>
      <c r="X2423" s="51" t="n">
        <v>0</v>
      </c>
      <c r="Y2423" s="51" t="n">
        <v>0</v>
      </c>
      <c r="Z2423" s="51" t="n">
        <v>0</v>
      </c>
      <c r="AA2423" s="52" t="n">
        <v>0</v>
      </c>
      <c r="AB2423" s="52" t="n">
        <v>0</v>
      </c>
      <c r="AC2423" s="52" t="n">
        <v>0</v>
      </c>
      <c r="AD2423" s="52" t="n">
        <v>0</v>
      </c>
      <c r="AE2423" s="52" t="n">
        <v>0</v>
      </c>
      <c r="AF2423" s="52" t="n">
        <v>0</v>
      </c>
      <c r="AG2423" s="52" t="n">
        <v>0</v>
      </c>
      <c r="AH2423" s="52" t="n">
        <v>0</v>
      </c>
      <c r="AI2423" s="52" t="n">
        <v>0</v>
      </c>
      <c r="AJ2423" s="52" t="n">
        <v>0</v>
      </c>
      <c r="AK2423" s="52" t="n">
        <v>0</v>
      </c>
      <c r="AL2423" s="52" t="n">
        <v>0</v>
      </c>
      <c r="AM2423" s="53" t="n">
        <v>0</v>
      </c>
      <c r="AN2423" s="53" t="n">
        <v>0</v>
      </c>
      <c r="AO2423" s="53" t="n">
        <v>0</v>
      </c>
      <c r="AP2423" s="53" t="n">
        <v>0</v>
      </c>
      <c r="AQ2423" s="52" t="n">
        <v>0</v>
      </c>
      <c r="AR2423" s="52" t="n">
        <v>0</v>
      </c>
      <c r="AS2423" s="52" t="n">
        <v>0</v>
      </c>
      <c r="AT2423" s="52" t="n">
        <v>0</v>
      </c>
      <c r="AU2423" s="53" t="n">
        <v>0</v>
      </c>
      <c r="AV2423" s="53" t="n">
        <v>0</v>
      </c>
      <c r="AW2423" s="53" t="n">
        <v>0</v>
      </c>
      <c r="AX2423" s="53" t="n">
        <v>0</v>
      </c>
      <c r="AY2423" s="52" t="n">
        <v>0</v>
      </c>
      <c r="AZ2423" s="52" t="n">
        <v>0</v>
      </c>
      <c r="BA2423" s="52" t="n">
        <v>0</v>
      </c>
      <c r="BB2423" s="52" t="n">
        <v>0</v>
      </c>
      <c r="BC2423" s="51" t="n">
        <v>0</v>
      </c>
      <c r="BD2423" s="51" t="n">
        <v>0</v>
      </c>
      <c r="BE2423" s="51" t="n">
        <v>0</v>
      </c>
      <c r="BF2423" s="51" t="n">
        <v>0</v>
      </c>
    </row>
    <row r="2424">
      <c r="A2424">
        <f>HYPERLINK("https://www.walmart.com/ip/1963727130", "1963727130")</f>
        <v/>
      </c>
      <c r="B2424" t="inlineStr">
        <is>
          <t>Women’s Plush Hoodie Sweatshirt Dress, Casual Pullover Sweater with Kangaroo Pocket, One Size</t>
        </is>
      </c>
      <c r="C2424" t="inlineStr">
        <is>
          <t>1CTHD531BK</t>
        </is>
      </c>
      <c r="D2424" t="inlineStr">
        <is>
          <t>Sweatshirts &amp; Hoodies</t>
        </is>
      </c>
      <c r="E2424" t="inlineStr">
        <is>
          <t>Catalonia</t>
        </is>
      </c>
      <c r="F2424" t="inlineStr">
        <is>
          <t>Batch 1 - TR</t>
        </is>
      </c>
      <c r="G2424" s="48" t="n">
        <v>0</v>
      </c>
      <c r="H2424" s="48" t="n">
        <v>0</v>
      </c>
      <c r="I2424" s="48" t="n">
        <v>0</v>
      </c>
      <c r="J2424" s="48" t="n">
        <v>0</v>
      </c>
      <c r="K2424" s="49" t="n">
        <v>0</v>
      </c>
      <c r="L2424" s="49" t="n">
        <v>0</v>
      </c>
      <c r="M2424" s="49" t="n">
        <v>0</v>
      </c>
      <c r="N2424" s="49" t="n">
        <v>0</v>
      </c>
      <c r="O2424" s="49" t="n">
        <v>0</v>
      </c>
      <c r="P2424" s="49" t="n">
        <v>0</v>
      </c>
      <c r="Q2424" s="49" t="n">
        <v>0</v>
      </c>
      <c r="R2424" s="49" t="n">
        <v>0</v>
      </c>
      <c r="S2424" s="50" t="n">
        <v>0</v>
      </c>
      <c r="T2424" s="50" t="n">
        <v>0</v>
      </c>
      <c r="U2424" s="50" t="n">
        <v>0</v>
      </c>
      <c r="V2424" s="50" t="n">
        <v>0</v>
      </c>
      <c r="W2424" s="51" t="n">
        <v>0</v>
      </c>
      <c r="X2424" s="51" t="n">
        <v>0</v>
      </c>
      <c r="Y2424" s="51" t="n">
        <v>0</v>
      </c>
      <c r="Z2424" s="51" t="n">
        <v>0</v>
      </c>
      <c r="AA2424" s="52" t="n">
        <v>0</v>
      </c>
      <c r="AB2424" s="52" t="n">
        <v>0</v>
      </c>
      <c r="AC2424" s="52" t="n">
        <v>0</v>
      </c>
      <c r="AD2424" s="52" t="n">
        <v>0</v>
      </c>
      <c r="AE2424" s="52" t="n">
        <v>0</v>
      </c>
      <c r="AF2424" s="52" t="n">
        <v>0</v>
      </c>
      <c r="AG2424" s="52" t="n">
        <v>0</v>
      </c>
      <c r="AH2424" s="52" t="n">
        <v>0</v>
      </c>
      <c r="AI2424" s="52" t="n">
        <v>0</v>
      </c>
      <c r="AJ2424" s="52" t="n">
        <v>0</v>
      </c>
      <c r="AK2424" s="52" t="n">
        <v>0</v>
      </c>
      <c r="AL2424" s="52" t="n">
        <v>0</v>
      </c>
      <c r="AM2424" s="53" t="n">
        <v>0</v>
      </c>
      <c r="AN2424" s="53" t="n">
        <v>0</v>
      </c>
      <c r="AO2424" s="53" t="n">
        <v>0</v>
      </c>
      <c r="AP2424" s="53" t="n">
        <v>0</v>
      </c>
      <c r="AQ2424" s="52" t="n">
        <v>0</v>
      </c>
      <c r="AR2424" s="52" t="n">
        <v>0</v>
      </c>
      <c r="AS2424" s="52" t="n">
        <v>0</v>
      </c>
      <c r="AT2424" s="52" t="n">
        <v>0</v>
      </c>
      <c r="AU2424" s="53" t="n">
        <v>0</v>
      </c>
      <c r="AV2424" s="53" t="n">
        <v>0</v>
      </c>
      <c r="AW2424" s="53" t="n">
        <v>0</v>
      </c>
      <c r="AX2424" s="53" t="n">
        <v>0</v>
      </c>
      <c r="AY2424" s="52" t="n">
        <v>0</v>
      </c>
      <c r="AZ2424" s="52" t="n">
        <v>0</v>
      </c>
      <c r="BA2424" s="52" t="n">
        <v>0</v>
      </c>
      <c r="BB2424" s="52" t="n">
        <v>0</v>
      </c>
      <c r="BC2424" s="51" t="n">
        <v>0</v>
      </c>
      <c r="BD2424" s="51" t="n">
        <v>0</v>
      </c>
      <c r="BE2424" s="51" t="n">
        <v>0</v>
      </c>
      <c r="BF2424" s="51" t="n">
        <v>0</v>
      </c>
    </row>
    <row r="2425">
      <c r="A2425">
        <f>HYPERLINK("https://www.walmart.com/ip/1981846072", "1981846072")</f>
        <v/>
      </c>
      <c r="B2425" t="inlineStr">
        <is>
          <t>Tirrinia 2 Bottle Wine Tote Carrier - Insulated &amp; Padded Versatile Cooler Bag for Travel, BYOB Restaurant, Wine Tasting, Party, Great Gift for Wine Lover, Purple</t>
        </is>
      </c>
      <c r="C2425" t="inlineStr">
        <is>
          <t>1TRWB221PP</t>
        </is>
      </c>
      <c r="D2425" t="inlineStr">
        <is>
          <t>Wine Totes, Bags &amp; Backpacks</t>
        </is>
      </c>
      <c r="E2425" t="inlineStr">
        <is>
          <t>Tirrinia</t>
        </is>
      </c>
      <c r="F2425" t="inlineStr">
        <is>
          <t>Wine,SEM,Batch 1 - TR</t>
        </is>
      </c>
      <c r="G2425" s="48" t="n">
        <v>0</v>
      </c>
      <c r="H2425" s="48" t="n">
        <v>0</v>
      </c>
      <c r="I2425" s="48" t="n">
        <v>0</v>
      </c>
      <c r="J2425" s="48" t="n">
        <v>0</v>
      </c>
      <c r="K2425" s="49" t="n">
        <v>0</v>
      </c>
      <c r="L2425" s="49" t="n">
        <v>0</v>
      </c>
      <c r="M2425" s="49" t="n">
        <v>0</v>
      </c>
      <c r="N2425" s="49" t="n">
        <v>0</v>
      </c>
      <c r="O2425" s="49" t="n">
        <v>0</v>
      </c>
      <c r="P2425" s="49" t="n">
        <v>0</v>
      </c>
      <c r="Q2425" s="49" t="n">
        <v>0</v>
      </c>
      <c r="R2425" s="49" t="n">
        <v>0</v>
      </c>
      <c r="S2425" s="50" t="n">
        <v>0</v>
      </c>
      <c r="T2425" s="50" t="n">
        <v>0</v>
      </c>
      <c r="U2425" s="50" t="n">
        <v>0</v>
      </c>
      <c r="V2425" s="50" t="n">
        <v>0</v>
      </c>
      <c r="W2425" s="51" t="n">
        <v>10</v>
      </c>
      <c r="X2425" s="51" t="n">
        <v>10</v>
      </c>
      <c r="Y2425" s="51" t="n">
        <v>5</v>
      </c>
      <c r="Z2425" s="51" t="n">
        <v>7</v>
      </c>
      <c r="AA2425" s="52" t="n">
        <v>5.07</v>
      </c>
      <c r="AB2425" s="52" t="n">
        <v>5.1</v>
      </c>
      <c r="AC2425" s="52" t="n">
        <v>2.48</v>
      </c>
      <c r="AD2425" s="52" t="n">
        <v>3.52</v>
      </c>
      <c r="AE2425" s="52" t="n">
        <v>17.99</v>
      </c>
      <c r="AF2425" s="52" t="n">
        <v>0</v>
      </c>
      <c r="AG2425" s="52" t="n">
        <v>17.99</v>
      </c>
      <c r="AH2425" s="52" t="n">
        <v>17.99</v>
      </c>
      <c r="AI2425" s="52" t="n">
        <v>3.55</v>
      </c>
      <c r="AJ2425" s="52" t="n">
        <v>0</v>
      </c>
      <c r="AK2425" s="52" t="n">
        <v>7.25</v>
      </c>
      <c r="AL2425" s="52" t="n">
        <v>5.11</v>
      </c>
      <c r="AM2425" s="53" t="n">
        <v>0.0018</v>
      </c>
      <c r="AN2425" s="53" t="n">
        <v>0.0023</v>
      </c>
      <c r="AO2425" s="53" t="n">
        <v>0.002</v>
      </c>
      <c r="AP2425" s="53" t="n">
        <v>0.0021</v>
      </c>
      <c r="AQ2425" s="52" t="n">
        <v>0.507</v>
      </c>
      <c r="AR2425" s="52" t="n">
        <v>0.51</v>
      </c>
      <c r="AS2425" s="52" t="n">
        <v>0.496</v>
      </c>
      <c r="AT2425" s="52" t="n">
        <v>0.5028571428571429</v>
      </c>
      <c r="AU2425" s="53" t="n">
        <v>0</v>
      </c>
      <c r="AV2425" s="53" t="n">
        <v>0</v>
      </c>
      <c r="AW2425" s="53" t="n">
        <v>0</v>
      </c>
      <c r="AX2425" s="53" t="n">
        <v>0</v>
      </c>
      <c r="AY2425" s="52" t="n">
        <v>0</v>
      </c>
      <c r="AZ2425" s="52" t="n">
        <v>0</v>
      </c>
      <c r="BA2425" s="52" t="n">
        <v>0</v>
      </c>
      <c r="BB2425" s="52" t="n">
        <v>0</v>
      </c>
      <c r="BC2425" s="51" t="n">
        <v>5561</v>
      </c>
      <c r="BD2425" s="51" t="n">
        <v>4264</v>
      </c>
      <c r="BE2425" s="51" t="n">
        <v>2563</v>
      </c>
      <c r="BF2425" s="51" t="n">
        <v>3357</v>
      </c>
    </row>
    <row r="2426">
      <c r="A2426">
        <f>HYPERLINK("https://www.walmart.com/ip/1966935073", "1966935073")</f>
        <v/>
      </c>
      <c r="B2426" t="inlineStr">
        <is>
          <t>Every Day is Christmas Glass Blown Ornaments Cute Hand Made Figurines Tree Decoration, Snowfalke</t>
        </is>
      </c>
      <c r="C2426" t="inlineStr">
        <is>
          <t>EDC-FIGURINE-SNOWFLAKE</t>
        </is>
      </c>
      <c r="D2426" t="inlineStr">
        <is>
          <t>Ornaments</t>
        </is>
      </c>
      <c r="E2426" t="inlineStr">
        <is>
          <t>Every Day is Christmas</t>
        </is>
      </c>
      <c r="G2426" s="48" t="n">
        <v>0</v>
      </c>
      <c r="H2426" s="48" t="n">
        <v>0</v>
      </c>
      <c r="I2426" s="48" t="n">
        <v>0</v>
      </c>
      <c r="J2426" s="48" t="n">
        <v>0</v>
      </c>
      <c r="K2426" s="49" t="n">
        <v>0</v>
      </c>
      <c r="L2426" s="49" t="n">
        <v>0</v>
      </c>
      <c r="M2426" s="49" t="n">
        <v>0</v>
      </c>
      <c r="N2426" s="49" t="n">
        <v>0</v>
      </c>
      <c r="O2426" s="49" t="n">
        <v>0</v>
      </c>
      <c r="P2426" s="49" t="n">
        <v>0</v>
      </c>
      <c r="Q2426" s="49" t="n">
        <v>0</v>
      </c>
      <c r="R2426" s="49" t="n">
        <v>0</v>
      </c>
      <c r="S2426" s="50" t="n">
        <v>0</v>
      </c>
      <c r="T2426" s="50" t="n">
        <v>0</v>
      </c>
      <c r="U2426" s="50" t="n">
        <v>0</v>
      </c>
      <c r="V2426" s="50" t="n">
        <v>0</v>
      </c>
      <c r="W2426" s="51" t="n">
        <v>0</v>
      </c>
      <c r="X2426" s="51" t="n">
        <v>0</v>
      </c>
      <c r="Y2426" s="51" t="n">
        <v>0</v>
      </c>
      <c r="Z2426" s="51" t="n">
        <v>0</v>
      </c>
      <c r="AA2426" s="52" t="n">
        <v>0</v>
      </c>
      <c r="AB2426" s="52" t="n">
        <v>0</v>
      </c>
      <c r="AC2426" s="52" t="n">
        <v>0</v>
      </c>
      <c r="AD2426" s="52" t="n">
        <v>0</v>
      </c>
      <c r="AE2426" s="52" t="n">
        <v>0</v>
      </c>
      <c r="AF2426" s="52" t="n">
        <v>0</v>
      </c>
      <c r="AG2426" s="52" t="n">
        <v>0</v>
      </c>
      <c r="AH2426" s="52" t="n">
        <v>0</v>
      </c>
      <c r="AI2426" s="52" t="n">
        <v>0</v>
      </c>
      <c r="AJ2426" s="52" t="n">
        <v>0</v>
      </c>
      <c r="AK2426" s="52" t="n">
        <v>0</v>
      </c>
      <c r="AL2426" s="52" t="n">
        <v>0</v>
      </c>
      <c r="AM2426" s="53" t="n">
        <v>0</v>
      </c>
      <c r="AN2426" s="53" t="n">
        <v>0</v>
      </c>
      <c r="AO2426" s="53" t="n">
        <v>0</v>
      </c>
      <c r="AP2426" s="53" t="n">
        <v>0</v>
      </c>
      <c r="AQ2426" s="52" t="n">
        <v>0</v>
      </c>
      <c r="AR2426" s="52" t="n">
        <v>0</v>
      </c>
      <c r="AS2426" s="52" t="n">
        <v>0</v>
      </c>
      <c r="AT2426" s="52" t="n">
        <v>0</v>
      </c>
      <c r="AU2426" s="53" t="n">
        <v>0</v>
      </c>
      <c r="AV2426" s="53" t="n">
        <v>0</v>
      </c>
      <c r="AW2426" s="53" t="n">
        <v>0</v>
      </c>
      <c r="AX2426" s="53" t="n">
        <v>0</v>
      </c>
      <c r="AY2426" s="52" t="n">
        <v>0</v>
      </c>
      <c r="AZ2426" s="52" t="n">
        <v>0</v>
      </c>
      <c r="BA2426" s="52" t="n">
        <v>0</v>
      </c>
      <c r="BB2426" s="52" t="n">
        <v>0</v>
      </c>
      <c r="BC2426" s="51" t="n">
        <v>0</v>
      </c>
      <c r="BD2426" s="51" t="n">
        <v>0</v>
      </c>
      <c r="BE2426" s="51" t="n">
        <v>0</v>
      </c>
      <c r="BF2426" s="51" t="n">
        <v>0</v>
      </c>
    </row>
    <row r="2427">
      <c r="A2427">
        <f>HYPERLINK("https://www.walmart.com/ip/196761263", "196761263")</f>
        <v/>
      </c>
      <c r="B2427" t="inlineStr">
        <is>
          <t>JenniWears® Women's Sexy Crotchless Suspender Pantyhose Stockings - Black</t>
        </is>
      </c>
      <c r="C2427" t="inlineStr">
        <is>
          <t>JWBLSPH2041</t>
        </is>
      </c>
      <c r="D2427" t="inlineStr">
        <is>
          <t>Pantyhose &amp; Tights</t>
        </is>
      </c>
      <c r="E2427" t="inlineStr">
        <is>
          <t>JenniWears</t>
        </is>
      </c>
      <c r="F2427" t="inlineStr">
        <is>
          <t>Valentine,WFS Item</t>
        </is>
      </c>
      <c r="G2427" s="48" t="n">
        <v>0</v>
      </c>
      <c r="H2427" s="48" t="n">
        <v>0</v>
      </c>
      <c r="I2427" s="48" t="n">
        <v>0</v>
      </c>
      <c r="J2427" s="48" t="n">
        <v>0</v>
      </c>
      <c r="K2427" s="49" t="n">
        <v>0</v>
      </c>
      <c r="L2427" s="49" t="n">
        <v>0</v>
      </c>
      <c r="M2427" s="49" t="n">
        <v>0</v>
      </c>
      <c r="N2427" s="49" t="n">
        <v>0</v>
      </c>
      <c r="O2427" s="49" t="n">
        <v>0</v>
      </c>
      <c r="P2427" s="49" t="n">
        <v>0</v>
      </c>
      <c r="Q2427" s="49" t="n">
        <v>0</v>
      </c>
      <c r="R2427" s="49" t="n">
        <v>0</v>
      </c>
      <c r="S2427" s="50" t="n">
        <v>0</v>
      </c>
      <c r="T2427" s="50" t="n">
        <v>0</v>
      </c>
      <c r="U2427" s="50" t="n">
        <v>0</v>
      </c>
      <c r="V2427" s="50" t="n">
        <v>0</v>
      </c>
      <c r="W2427" s="51" t="n">
        <v>0</v>
      </c>
      <c r="X2427" s="51" t="n">
        <v>0</v>
      </c>
      <c r="Y2427" s="51" t="n">
        <v>0</v>
      </c>
      <c r="Z2427" s="51" t="n">
        <v>0</v>
      </c>
      <c r="AA2427" s="52" t="n">
        <v>0</v>
      </c>
      <c r="AB2427" s="52" t="n">
        <v>0</v>
      </c>
      <c r="AC2427" s="52" t="n">
        <v>0</v>
      </c>
      <c r="AD2427" s="52" t="n">
        <v>0</v>
      </c>
      <c r="AE2427" s="52" t="n">
        <v>0</v>
      </c>
      <c r="AF2427" s="52" t="n">
        <v>0</v>
      </c>
      <c r="AG2427" s="52" t="n">
        <v>0</v>
      </c>
      <c r="AH2427" s="52" t="n">
        <v>0</v>
      </c>
      <c r="AI2427" s="52" t="n">
        <v>0</v>
      </c>
      <c r="AJ2427" s="52" t="n">
        <v>0</v>
      </c>
      <c r="AK2427" s="52" t="n">
        <v>0</v>
      </c>
      <c r="AL2427" s="52" t="n">
        <v>0</v>
      </c>
      <c r="AM2427" s="53" t="n">
        <v>0</v>
      </c>
      <c r="AN2427" s="53" t="n">
        <v>0</v>
      </c>
      <c r="AO2427" s="53" t="n">
        <v>0</v>
      </c>
      <c r="AP2427" s="53" t="n">
        <v>0</v>
      </c>
      <c r="AQ2427" s="52" t="n">
        <v>0</v>
      </c>
      <c r="AR2427" s="52" t="n">
        <v>0</v>
      </c>
      <c r="AS2427" s="52" t="n">
        <v>0</v>
      </c>
      <c r="AT2427" s="52" t="n">
        <v>0</v>
      </c>
      <c r="AU2427" s="53" t="n">
        <v>0</v>
      </c>
      <c r="AV2427" s="53" t="n">
        <v>0</v>
      </c>
      <c r="AW2427" s="53" t="n">
        <v>0</v>
      </c>
      <c r="AX2427" s="53" t="n">
        <v>0</v>
      </c>
      <c r="AY2427" s="52" t="n">
        <v>0</v>
      </c>
      <c r="AZ2427" s="52" t="n">
        <v>0</v>
      </c>
      <c r="BA2427" s="52" t="n">
        <v>0</v>
      </c>
      <c r="BB2427" s="52" t="n">
        <v>0</v>
      </c>
      <c r="BC2427" s="51" t="n">
        <v>0</v>
      </c>
      <c r="BD2427" s="51" t="n">
        <v>0</v>
      </c>
      <c r="BE2427" s="51" t="n">
        <v>0</v>
      </c>
      <c r="BF2427" s="51" t="n">
        <v>0</v>
      </c>
    </row>
    <row r="2428">
      <c r="A2428">
        <f>HYPERLINK("https://www.walmart.com/ip/1968056265", "1968056265")</f>
        <v/>
      </c>
      <c r="B2428" t="inlineStr">
        <is>
          <t>Tirrinia Insulated Lunch Box for Women Men, Leakproof Thermal Reusable Lunch Bag with 4 Pockets for Adult &amp; Kids, Lunch Bag Cooler Tote for Office Work Back to School, Camo</t>
        </is>
      </c>
      <c r="C2428" t="inlineStr">
        <is>
          <t>1TRLB702CAMO-T</t>
        </is>
      </c>
      <c r="D2428" t="inlineStr">
        <is>
          <t>Reusable Lunch Bags &amp; Boxes</t>
        </is>
      </c>
      <c r="E2428" t="inlineStr">
        <is>
          <t>Tirrinia</t>
        </is>
      </c>
      <c r="F2428" t="inlineStr">
        <is>
          <t>Q2-Target,Brand Camp VD,Lunch Bags,Batch 1 - TR</t>
        </is>
      </c>
      <c r="G2428" s="48" t="n">
        <v>0</v>
      </c>
      <c r="H2428" s="48" t="n">
        <v>0</v>
      </c>
      <c r="I2428" s="48" t="n">
        <v>0</v>
      </c>
      <c r="J2428" s="48" t="n">
        <v>0</v>
      </c>
      <c r="K2428" s="49" t="n">
        <v>0</v>
      </c>
      <c r="L2428" s="49" t="n">
        <v>0</v>
      </c>
      <c r="M2428" s="49" t="n">
        <v>0</v>
      </c>
      <c r="N2428" s="49" t="n">
        <v>0</v>
      </c>
      <c r="O2428" s="49" t="n">
        <v>0</v>
      </c>
      <c r="P2428" s="49" t="n">
        <v>0</v>
      </c>
      <c r="Q2428" s="49" t="n">
        <v>0</v>
      </c>
      <c r="R2428" s="49" t="n">
        <v>0</v>
      </c>
      <c r="S2428" s="50" t="n">
        <v>0</v>
      </c>
      <c r="T2428" s="50" t="n">
        <v>0</v>
      </c>
      <c r="U2428" s="50" t="n">
        <v>0</v>
      </c>
      <c r="V2428" s="50" t="n">
        <v>0</v>
      </c>
      <c r="W2428" s="51" t="n">
        <v>0</v>
      </c>
      <c r="X2428" s="51" t="n">
        <v>0</v>
      </c>
      <c r="Y2428" s="51" t="n">
        <v>0</v>
      </c>
      <c r="Z2428" s="51" t="n">
        <v>0</v>
      </c>
      <c r="AA2428" s="52" t="n">
        <v>0</v>
      </c>
      <c r="AB2428" s="52" t="n">
        <v>0</v>
      </c>
      <c r="AC2428" s="52" t="n">
        <v>0</v>
      </c>
      <c r="AD2428" s="52" t="n">
        <v>0</v>
      </c>
      <c r="AE2428" s="52" t="n">
        <v>0</v>
      </c>
      <c r="AF2428" s="52" t="n">
        <v>0</v>
      </c>
      <c r="AG2428" s="52" t="n">
        <v>0</v>
      </c>
      <c r="AH2428" s="52" t="n">
        <v>0</v>
      </c>
      <c r="AI2428" s="52" t="n">
        <v>0</v>
      </c>
      <c r="AJ2428" s="52" t="n">
        <v>0</v>
      </c>
      <c r="AK2428" s="52" t="n">
        <v>0</v>
      </c>
      <c r="AL2428" s="52" t="n">
        <v>0</v>
      </c>
      <c r="AM2428" s="53" t="n">
        <v>0</v>
      </c>
      <c r="AN2428" s="53" t="n">
        <v>0</v>
      </c>
      <c r="AO2428" s="53" t="n">
        <v>0</v>
      </c>
      <c r="AP2428" s="53" t="n">
        <v>0</v>
      </c>
      <c r="AQ2428" s="52" t="n">
        <v>0</v>
      </c>
      <c r="AR2428" s="52" t="n">
        <v>0</v>
      </c>
      <c r="AS2428" s="52" t="n">
        <v>0</v>
      </c>
      <c r="AT2428" s="52" t="n">
        <v>0</v>
      </c>
      <c r="AU2428" s="53" t="n">
        <v>0</v>
      </c>
      <c r="AV2428" s="53" t="n">
        <v>0</v>
      </c>
      <c r="AW2428" s="53" t="n">
        <v>0</v>
      </c>
      <c r="AX2428" s="53" t="n">
        <v>0</v>
      </c>
      <c r="AY2428" s="52" t="n">
        <v>0</v>
      </c>
      <c r="AZ2428" s="52" t="n">
        <v>0</v>
      </c>
      <c r="BA2428" s="52" t="n">
        <v>0</v>
      </c>
      <c r="BB2428" s="52" t="n">
        <v>0</v>
      </c>
      <c r="BC2428" s="51" t="n">
        <v>0</v>
      </c>
      <c r="BD2428" s="51" t="n">
        <v>0</v>
      </c>
      <c r="BE2428" s="51" t="n">
        <v>0</v>
      </c>
      <c r="BF2428" s="51" t="n">
        <v>0</v>
      </c>
    </row>
    <row r="2429">
      <c r="A2429">
        <f>HYPERLINK("https://www.walmart.com/ip/196942750", "196942750")</f>
        <v/>
      </c>
      <c r="B2429" s="5" t="inlineStr">
        <is>
          <t>https://www.walmart.com/ip/JenniWears-Women-Sexy-Fishnet-Suspender-Crotchless-Pantyhose-Stocking-2-Packs/196942750</t>
        </is>
      </c>
      <c r="C2429" t="inlineStr">
        <is>
          <t>JWBLSPH2012-2 Packs</t>
        </is>
      </c>
      <c r="G2429" s="48" t="n">
        <v>0</v>
      </c>
      <c r="H2429" s="48" t="n">
        <v>0</v>
      </c>
      <c r="I2429" s="48" t="n">
        <v>0</v>
      </c>
      <c r="J2429" s="48" t="n">
        <v>0</v>
      </c>
      <c r="K2429" s="49" t="n">
        <v>0</v>
      </c>
      <c r="L2429" s="49" t="n">
        <v>0</v>
      </c>
      <c r="M2429" s="49" t="n">
        <v>0</v>
      </c>
      <c r="N2429" s="49" t="n">
        <v>0</v>
      </c>
      <c r="O2429" s="49" t="n">
        <v>0</v>
      </c>
      <c r="P2429" s="49" t="n">
        <v>0</v>
      </c>
      <c r="Q2429" s="49" t="n">
        <v>0</v>
      </c>
      <c r="R2429" s="49" t="n">
        <v>0</v>
      </c>
      <c r="S2429" s="50" t="n">
        <v>0</v>
      </c>
      <c r="T2429" s="50" t="n">
        <v>0</v>
      </c>
      <c r="U2429" s="50" t="n">
        <v>0</v>
      </c>
      <c r="V2429" s="50" t="n">
        <v>0</v>
      </c>
      <c r="W2429" s="51" t="n">
        <v>0</v>
      </c>
      <c r="X2429" s="51" t="n">
        <v>0</v>
      </c>
      <c r="Y2429" s="51" t="n">
        <v>0</v>
      </c>
      <c r="Z2429" s="51" t="n">
        <v>0</v>
      </c>
      <c r="AA2429" s="52" t="n">
        <v>0</v>
      </c>
      <c r="AB2429" s="52" t="n">
        <v>0</v>
      </c>
      <c r="AC2429" s="52" t="n">
        <v>0</v>
      </c>
      <c r="AD2429" s="52" t="n">
        <v>0</v>
      </c>
      <c r="AE2429" s="52" t="n">
        <v>0</v>
      </c>
      <c r="AF2429" s="52" t="n">
        <v>0</v>
      </c>
      <c r="AG2429" s="52" t="n">
        <v>0</v>
      </c>
      <c r="AH2429" s="52" t="n">
        <v>0</v>
      </c>
      <c r="AI2429" s="52" t="n">
        <v>0</v>
      </c>
      <c r="AJ2429" s="52" t="n">
        <v>0</v>
      </c>
      <c r="AK2429" s="52" t="n">
        <v>0</v>
      </c>
      <c r="AL2429" s="52" t="n">
        <v>0</v>
      </c>
      <c r="AM2429" s="53" t="n">
        <v>0</v>
      </c>
      <c r="AN2429" s="53" t="n">
        <v>0</v>
      </c>
      <c r="AO2429" s="53" t="n">
        <v>0</v>
      </c>
      <c r="AP2429" s="53" t="n">
        <v>0</v>
      </c>
      <c r="AQ2429" s="52" t="n">
        <v>0</v>
      </c>
      <c r="AR2429" s="52" t="n">
        <v>0</v>
      </c>
      <c r="AS2429" s="52" t="n">
        <v>0</v>
      </c>
      <c r="AT2429" s="52" t="n">
        <v>0</v>
      </c>
      <c r="AU2429" s="53" t="n">
        <v>0</v>
      </c>
      <c r="AV2429" s="53" t="n">
        <v>0</v>
      </c>
      <c r="AW2429" s="53" t="n">
        <v>0</v>
      </c>
      <c r="AX2429" s="53" t="n">
        <v>0</v>
      </c>
      <c r="AY2429" s="52" t="n">
        <v>0</v>
      </c>
      <c r="AZ2429" s="52" t="n">
        <v>0</v>
      </c>
      <c r="BA2429" s="52" t="n">
        <v>0</v>
      </c>
      <c r="BB2429" s="52" t="n">
        <v>0</v>
      </c>
      <c r="BC2429" s="51" t="n">
        <v>0</v>
      </c>
      <c r="BD2429" s="51" t="n">
        <v>0</v>
      </c>
      <c r="BE2429" s="51" t="n">
        <v>0</v>
      </c>
      <c r="BF2429" s="51" t="n">
        <v>0</v>
      </c>
    </row>
    <row r="2430">
      <c r="A2430">
        <f>HYPERLINK("https://www.walmart.com/ip/196984130", "196984130")</f>
        <v/>
      </c>
      <c r="B2430" t="inlineStr">
        <is>
          <t>JenniWears Women Beileise Sexy Top Thigh High Stockings+ Garter Belt Suspender - 3 Packs</t>
        </is>
      </c>
      <c r="C2430" t="inlineStr">
        <is>
          <t>JWBLSPH2011-3pcs</t>
        </is>
      </c>
      <c r="D2430" t="inlineStr">
        <is>
          <t>Pantyhose &amp; Tights</t>
        </is>
      </c>
      <c r="E2430" t="inlineStr">
        <is>
          <t>JenniWears</t>
        </is>
      </c>
      <c r="F2430" t="inlineStr">
        <is>
          <t>Optimized,Valentine</t>
        </is>
      </c>
      <c r="G2430" s="48" t="n">
        <v>0</v>
      </c>
      <c r="H2430" s="48" t="n">
        <v>0</v>
      </c>
      <c r="I2430" s="48" t="n">
        <v>0</v>
      </c>
      <c r="J2430" s="48" t="n">
        <v>0</v>
      </c>
      <c r="K2430" s="49" t="n">
        <v>0</v>
      </c>
      <c r="L2430" s="49" t="n">
        <v>0</v>
      </c>
      <c r="M2430" s="49" t="n">
        <v>0</v>
      </c>
      <c r="N2430" s="49" t="n">
        <v>0</v>
      </c>
      <c r="O2430" s="49" t="n">
        <v>0</v>
      </c>
      <c r="P2430" s="49" t="n">
        <v>0</v>
      </c>
      <c r="Q2430" s="49" t="n">
        <v>0</v>
      </c>
      <c r="R2430" s="49" t="n">
        <v>0</v>
      </c>
      <c r="S2430" s="50" t="n">
        <v>0</v>
      </c>
      <c r="T2430" s="50" t="n">
        <v>0</v>
      </c>
      <c r="U2430" s="50" t="n">
        <v>0</v>
      </c>
      <c r="V2430" s="50" t="n">
        <v>0</v>
      </c>
      <c r="W2430" s="51" t="n">
        <v>0</v>
      </c>
      <c r="X2430" s="51" t="n">
        <v>0</v>
      </c>
      <c r="Y2430" s="51" t="n">
        <v>0</v>
      </c>
      <c r="Z2430" s="51" t="n">
        <v>0</v>
      </c>
      <c r="AA2430" s="52" t="n">
        <v>0</v>
      </c>
      <c r="AB2430" s="52" t="n">
        <v>0</v>
      </c>
      <c r="AC2430" s="52" t="n">
        <v>0</v>
      </c>
      <c r="AD2430" s="52" t="n">
        <v>0</v>
      </c>
      <c r="AE2430" s="52" t="n">
        <v>0</v>
      </c>
      <c r="AF2430" s="52" t="n">
        <v>0</v>
      </c>
      <c r="AG2430" s="52" t="n">
        <v>0</v>
      </c>
      <c r="AH2430" s="52" t="n">
        <v>0</v>
      </c>
      <c r="AI2430" s="52" t="n">
        <v>0</v>
      </c>
      <c r="AJ2430" s="52" t="n">
        <v>0</v>
      </c>
      <c r="AK2430" s="52" t="n">
        <v>0</v>
      </c>
      <c r="AL2430" s="52" t="n">
        <v>0</v>
      </c>
      <c r="AM2430" s="53" t="n">
        <v>0</v>
      </c>
      <c r="AN2430" s="53" t="n">
        <v>0</v>
      </c>
      <c r="AO2430" s="53" t="n">
        <v>0</v>
      </c>
      <c r="AP2430" s="53" t="n">
        <v>0</v>
      </c>
      <c r="AQ2430" s="52" t="n">
        <v>0</v>
      </c>
      <c r="AR2430" s="52" t="n">
        <v>0</v>
      </c>
      <c r="AS2430" s="52" t="n">
        <v>0</v>
      </c>
      <c r="AT2430" s="52" t="n">
        <v>0</v>
      </c>
      <c r="AU2430" s="53" t="n">
        <v>0</v>
      </c>
      <c r="AV2430" s="53" t="n">
        <v>0</v>
      </c>
      <c r="AW2430" s="53" t="n">
        <v>0</v>
      </c>
      <c r="AX2430" s="53" t="n">
        <v>0</v>
      </c>
      <c r="AY2430" s="52" t="n">
        <v>0</v>
      </c>
      <c r="AZ2430" s="52" t="n">
        <v>0</v>
      </c>
      <c r="BA2430" s="52" t="n">
        <v>0</v>
      </c>
      <c r="BB2430" s="52" t="n">
        <v>0</v>
      </c>
      <c r="BC2430" s="51" t="n">
        <v>0</v>
      </c>
      <c r="BD2430" s="51" t="n">
        <v>0</v>
      </c>
      <c r="BE2430" s="51" t="n">
        <v>0</v>
      </c>
      <c r="BF2430" s="51" t="n">
        <v>0</v>
      </c>
    </row>
    <row r="2431">
      <c r="A2431">
        <f>HYPERLINK("https://www.walmart.com/ip/197238314", "197238314")</f>
        <v/>
      </c>
      <c r="B2431" t="inlineStr">
        <is>
          <t>Target Lightweight Running Belt Waist Pack with Earphone Outlet - Outdoor Sweatproof Reflective Belt Waist Bag for iPhone 6S/6/6 PLUS Transparent Touch Screen Window, Universal Sports Waist Belt</t>
        </is>
      </c>
      <c r="C2431" t="inlineStr">
        <is>
          <t>TARGETWB01L-BL</t>
        </is>
      </c>
      <c r="D2431" t="inlineStr">
        <is>
          <t>Running Belts</t>
        </is>
      </c>
      <c r="E2431" t="inlineStr">
        <is>
          <t>Target</t>
        </is>
      </c>
      <c r="F2431" t="inlineStr">
        <is>
          <t>Batch 1 - TR</t>
        </is>
      </c>
      <c r="G2431" s="48" t="n">
        <v>0</v>
      </c>
      <c r="H2431" s="48" t="n">
        <v>0</v>
      </c>
      <c r="I2431" s="48" t="n">
        <v>0</v>
      </c>
      <c r="J2431" s="48" t="n">
        <v>0</v>
      </c>
      <c r="K2431" s="49" t="n">
        <v>0</v>
      </c>
      <c r="L2431" s="49" t="n">
        <v>0</v>
      </c>
      <c r="M2431" s="49" t="n">
        <v>0</v>
      </c>
      <c r="N2431" s="49" t="n">
        <v>0</v>
      </c>
      <c r="O2431" s="49" t="n">
        <v>0</v>
      </c>
      <c r="P2431" s="49" t="n">
        <v>0</v>
      </c>
      <c r="Q2431" s="49" t="n">
        <v>0</v>
      </c>
      <c r="R2431" s="49" t="n">
        <v>0</v>
      </c>
      <c r="S2431" s="50" t="n">
        <v>0</v>
      </c>
      <c r="T2431" s="50" t="n">
        <v>0</v>
      </c>
      <c r="U2431" s="50" t="n">
        <v>0</v>
      </c>
      <c r="V2431" s="50" t="n">
        <v>0</v>
      </c>
      <c r="W2431" s="51" t="n">
        <v>0</v>
      </c>
      <c r="X2431" s="51" t="n">
        <v>0</v>
      </c>
      <c r="Y2431" s="51" t="n">
        <v>0</v>
      </c>
      <c r="Z2431" s="51" t="n">
        <v>0</v>
      </c>
      <c r="AA2431" s="52" t="n">
        <v>0</v>
      </c>
      <c r="AB2431" s="52" t="n">
        <v>0</v>
      </c>
      <c r="AC2431" s="52" t="n">
        <v>0</v>
      </c>
      <c r="AD2431" s="52" t="n">
        <v>0</v>
      </c>
      <c r="AE2431" s="52" t="n">
        <v>0</v>
      </c>
      <c r="AF2431" s="52" t="n">
        <v>0</v>
      </c>
      <c r="AG2431" s="52" t="n">
        <v>0</v>
      </c>
      <c r="AH2431" s="52" t="n">
        <v>0</v>
      </c>
      <c r="AI2431" s="52" t="n">
        <v>0</v>
      </c>
      <c r="AJ2431" s="52" t="n">
        <v>0</v>
      </c>
      <c r="AK2431" s="52" t="n">
        <v>0</v>
      </c>
      <c r="AL2431" s="52" t="n">
        <v>0</v>
      </c>
      <c r="AM2431" s="53" t="n">
        <v>0</v>
      </c>
      <c r="AN2431" s="53" t="n">
        <v>0</v>
      </c>
      <c r="AO2431" s="53" t="n">
        <v>0</v>
      </c>
      <c r="AP2431" s="53" t="n">
        <v>0</v>
      </c>
      <c r="AQ2431" s="52" t="n">
        <v>0</v>
      </c>
      <c r="AR2431" s="52" t="n">
        <v>0</v>
      </c>
      <c r="AS2431" s="52" t="n">
        <v>0</v>
      </c>
      <c r="AT2431" s="52" t="n">
        <v>0</v>
      </c>
      <c r="AU2431" s="53" t="n">
        <v>0</v>
      </c>
      <c r="AV2431" s="53" t="n">
        <v>0</v>
      </c>
      <c r="AW2431" s="53" t="n">
        <v>0</v>
      </c>
      <c r="AX2431" s="53" t="n">
        <v>0</v>
      </c>
      <c r="AY2431" s="52" t="n">
        <v>0</v>
      </c>
      <c r="AZ2431" s="52" t="n">
        <v>0</v>
      </c>
      <c r="BA2431" s="52" t="n">
        <v>0</v>
      </c>
      <c r="BB2431" s="52" t="n">
        <v>0</v>
      </c>
      <c r="BC2431" s="51" t="n">
        <v>0</v>
      </c>
      <c r="BD2431" s="51" t="n">
        <v>0</v>
      </c>
      <c r="BE2431" s="51" t="n">
        <v>0</v>
      </c>
      <c r="BF2431" s="51" t="n">
        <v>0</v>
      </c>
    </row>
    <row r="2432">
      <c r="A2432">
        <f>HYPERLINK("https://www.walmart.com/ip/197385546", "197385546")</f>
        <v/>
      </c>
      <c r="B2432" t="inlineStr">
        <is>
          <t>KC Caps® Cotton Twill Deluxe Super Soft Mesh Adjustable Snapback Low Profile Trucker Baseball Cap</t>
        </is>
      </c>
      <c r="C2432" t="inlineStr">
        <is>
          <t>KCCAPSSZK641FG/ST</t>
        </is>
      </c>
      <c r="D2432" t="inlineStr">
        <is>
          <t>Hats</t>
        </is>
      </c>
      <c r="E2432" t="inlineStr">
        <is>
          <t>KC Caps</t>
        </is>
      </c>
      <c r="F2432" t="inlineStr">
        <is>
          <t>Optimized</t>
        </is>
      </c>
      <c r="G2432" s="48" t="n">
        <v>0</v>
      </c>
      <c r="H2432" s="48" t="n">
        <v>0</v>
      </c>
      <c r="I2432" s="48" t="n">
        <v>0</v>
      </c>
      <c r="J2432" s="48" t="n">
        <v>0</v>
      </c>
      <c r="K2432" s="49" t="n">
        <v>0</v>
      </c>
      <c r="L2432" s="49" t="n">
        <v>0</v>
      </c>
      <c r="M2432" s="49" t="n">
        <v>0</v>
      </c>
      <c r="N2432" s="49" t="n">
        <v>0</v>
      </c>
      <c r="O2432" s="49" t="n">
        <v>0</v>
      </c>
      <c r="P2432" s="49" t="n">
        <v>0</v>
      </c>
      <c r="Q2432" s="49" t="n">
        <v>0</v>
      </c>
      <c r="R2432" s="49" t="n">
        <v>0</v>
      </c>
      <c r="S2432" s="50" t="n">
        <v>0</v>
      </c>
      <c r="T2432" s="50" t="n">
        <v>0</v>
      </c>
      <c r="U2432" s="50" t="n">
        <v>0</v>
      </c>
      <c r="V2432" s="50" t="n">
        <v>0</v>
      </c>
      <c r="W2432" s="51" t="n">
        <v>0</v>
      </c>
      <c r="X2432" s="51" t="n">
        <v>0</v>
      </c>
      <c r="Y2432" s="51" t="n">
        <v>0</v>
      </c>
      <c r="Z2432" s="51" t="n">
        <v>0</v>
      </c>
      <c r="AA2432" s="52" t="n">
        <v>0</v>
      </c>
      <c r="AB2432" s="52" t="n">
        <v>0</v>
      </c>
      <c r="AC2432" s="52" t="n">
        <v>0</v>
      </c>
      <c r="AD2432" s="52" t="n">
        <v>0</v>
      </c>
      <c r="AE2432" s="52" t="n">
        <v>0</v>
      </c>
      <c r="AF2432" s="52" t="n">
        <v>0</v>
      </c>
      <c r="AG2432" s="52" t="n">
        <v>0</v>
      </c>
      <c r="AH2432" s="52" t="n">
        <v>0</v>
      </c>
      <c r="AI2432" s="52" t="n">
        <v>0</v>
      </c>
      <c r="AJ2432" s="52" t="n">
        <v>0</v>
      </c>
      <c r="AK2432" s="52" t="n">
        <v>0</v>
      </c>
      <c r="AL2432" s="52" t="n">
        <v>0</v>
      </c>
      <c r="AM2432" s="53" t="n">
        <v>0</v>
      </c>
      <c r="AN2432" s="53" t="n">
        <v>0</v>
      </c>
      <c r="AO2432" s="53" t="n">
        <v>0</v>
      </c>
      <c r="AP2432" s="53" t="n">
        <v>0</v>
      </c>
      <c r="AQ2432" s="52" t="n">
        <v>0</v>
      </c>
      <c r="AR2432" s="52" t="n">
        <v>0</v>
      </c>
      <c r="AS2432" s="52" t="n">
        <v>0</v>
      </c>
      <c r="AT2432" s="52" t="n">
        <v>0</v>
      </c>
      <c r="AU2432" s="53" t="n">
        <v>0</v>
      </c>
      <c r="AV2432" s="53" t="n">
        <v>0</v>
      </c>
      <c r="AW2432" s="53" t="n">
        <v>0</v>
      </c>
      <c r="AX2432" s="53" t="n">
        <v>0</v>
      </c>
      <c r="AY2432" s="52" t="n">
        <v>0</v>
      </c>
      <c r="AZ2432" s="52" t="n">
        <v>0</v>
      </c>
      <c r="BA2432" s="52" t="n">
        <v>0</v>
      </c>
      <c r="BB2432" s="52" t="n">
        <v>0</v>
      </c>
      <c r="BC2432" s="51" t="n">
        <v>0</v>
      </c>
      <c r="BD2432" s="51" t="n">
        <v>0</v>
      </c>
      <c r="BE2432" s="51" t="n">
        <v>0</v>
      </c>
      <c r="BF2432" s="51" t="n">
        <v>0</v>
      </c>
    </row>
    <row r="2433">
      <c r="A2433">
        <f>HYPERLINK("https://www.walmart.com/ip/1975142957", "1975142957")</f>
        <v/>
      </c>
      <c r="B2433" t="inlineStr">
        <is>
          <t>Hang Ten Basic Insulated Lunch Bag for Work, Thermal Reusable Office Lunch Box for Men, Women (Palm Trees)</t>
        </is>
      </c>
      <c r="C2433" t="inlineStr">
        <is>
          <t>HT-LUNCH-BASICBOX-GOODVIBES</t>
        </is>
      </c>
      <c r="D2433" t="inlineStr">
        <is>
          <t>Reusable Lunch Bags &amp; Boxes</t>
        </is>
      </c>
      <c r="E2433" t="inlineStr">
        <is>
          <t>HANG TEN</t>
        </is>
      </c>
      <c r="G2433" s="48" t="n">
        <v>0</v>
      </c>
      <c r="H2433" s="48" t="n">
        <v>0</v>
      </c>
      <c r="I2433" s="48" t="n">
        <v>0</v>
      </c>
      <c r="J2433" s="48" t="n">
        <v>0</v>
      </c>
      <c r="K2433" s="49" t="n">
        <v>0</v>
      </c>
      <c r="L2433" s="49" t="n">
        <v>0</v>
      </c>
      <c r="M2433" s="49" t="n">
        <v>0</v>
      </c>
      <c r="N2433" s="49" t="n">
        <v>0</v>
      </c>
      <c r="O2433" s="49" t="n">
        <v>0</v>
      </c>
      <c r="P2433" s="49" t="n">
        <v>0</v>
      </c>
      <c r="Q2433" s="49" t="n">
        <v>0</v>
      </c>
      <c r="R2433" s="49" t="n">
        <v>0</v>
      </c>
      <c r="S2433" s="50" t="n">
        <v>0</v>
      </c>
      <c r="T2433" s="50" t="n">
        <v>0</v>
      </c>
      <c r="U2433" s="50" t="n">
        <v>0</v>
      </c>
      <c r="V2433" s="50" t="n">
        <v>0</v>
      </c>
      <c r="W2433" s="51" t="n">
        <v>0</v>
      </c>
      <c r="X2433" s="51" t="n">
        <v>0</v>
      </c>
      <c r="Y2433" s="51" t="n">
        <v>0</v>
      </c>
      <c r="Z2433" s="51" t="n">
        <v>0</v>
      </c>
      <c r="AA2433" s="52" t="n">
        <v>0</v>
      </c>
      <c r="AB2433" s="52" t="n">
        <v>0</v>
      </c>
      <c r="AC2433" s="52" t="n">
        <v>0</v>
      </c>
      <c r="AD2433" s="52" t="n">
        <v>0</v>
      </c>
      <c r="AE2433" s="52" t="n">
        <v>0</v>
      </c>
      <c r="AF2433" s="52" t="n">
        <v>0</v>
      </c>
      <c r="AG2433" s="52" t="n">
        <v>0</v>
      </c>
      <c r="AH2433" s="52" t="n">
        <v>0</v>
      </c>
      <c r="AI2433" s="52" t="n">
        <v>0</v>
      </c>
      <c r="AJ2433" s="52" t="n">
        <v>0</v>
      </c>
      <c r="AK2433" s="52" t="n">
        <v>0</v>
      </c>
      <c r="AL2433" s="52" t="n">
        <v>0</v>
      </c>
      <c r="AM2433" s="53" t="n">
        <v>0</v>
      </c>
      <c r="AN2433" s="53" t="n">
        <v>0</v>
      </c>
      <c r="AO2433" s="53" t="n">
        <v>0</v>
      </c>
      <c r="AP2433" s="53" t="n">
        <v>0</v>
      </c>
      <c r="AQ2433" s="52" t="n">
        <v>0</v>
      </c>
      <c r="AR2433" s="52" t="n">
        <v>0</v>
      </c>
      <c r="AS2433" s="52" t="n">
        <v>0</v>
      </c>
      <c r="AT2433" s="52" t="n">
        <v>0</v>
      </c>
      <c r="AU2433" s="53" t="n">
        <v>0</v>
      </c>
      <c r="AV2433" s="53" t="n">
        <v>0</v>
      </c>
      <c r="AW2433" s="53" t="n">
        <v>0</v>
      </c>
      <c r="AX2433" s="53" t="n">
        <v>0</v>
      </c>
      <c r="AY2433" s="52" t="n">
        <v>0</v>
      </c>
      <c r="AZ2433" s="52" t="n">
        <v>0</v>
      </c>
      <c r="BA2433" s="52" t="n">
        <v>0</v>
      </c>
      <c r="BB2433" s="52" t="n">
        <v>0</v>
      </c>
      <c r="BC2433" s="51" t="n">
        <v>0</v>
      </c>
      <c r="BD2433" s="51" t="n">
        <v>0</v>
      </c>
      <c r="BE2433" s="51" t="n">
        <v>0</v>
      </c>
      <c r="BF2433" s="51" t="n">
        <v>0</v>
      </c>
    </row>
    <row r="2434">
      <c r="A2434">
        <f>HYPERLINK("https://www.walmart.com/ip/197627021", "197627021")</f>
        <v/>
      </c>
      <c r="B2434" t="inlineStr">
        <is>
          <t>JenniWears Women's Leopard Print Bikini Panty with Open Back Heart Detail, Medium</t>
        </is>
      </c>
      <c r="C2434" t="inlineStr">
        <is>
          <t>JWPT02LE-M</t>
        </is>
      </c>
      <c r="D2434" t="inlineStr">
        <is>
          <t>Panties</t>
        </is>
      </c>
      <c r="E2434" t="inlineStr">
        <is>
          <t>JenniWears</t>
        </is>
      </c>
      <c r="F2434" t="inlineStr">
        <is>
          <t>Optimized,Valentine</t>
        </is>
      </c>
      <c r="G2434" s="48" t="n">
        <v>0</v>
      </c>
      <c r="H2434" s="48" t="n">
        <v>0</v>
      </c>
      <c r="I2434" s="48" t="n">
        <v>0</v>
      </c>
      <c r="J2434" s="48" t="n">
        <v>0</v>
      </c>
      <c r="K2434" s="49" t="n">
        <v>0</v>
      </c>
      <c r="L2434" s="49" t="n">
        <v>0</v>
      </c>
      <c r="M2434" s="49" t="n">
        <v>0</v>
      </c>
      <c r="N2434" s="49" t="n">
        <v>0</v>
      </c>
      <c r="O2434" s="49" t="n">
        <v>0</v>
      </c>
      <c r="P2434" s="49" t="n">
        <v>0</v>
      </c>
      <c r="Q2434" s="49" t="n">
        <v>0</v>
      </c>
      <c r="R2434" s="49" t="n">
        <v>0</v>
      </c>
      <c r="S2434" s="50" t="n">
        <v>0</v>
      </c>
      <c r="T2434" s="50" t="n">
        <v>0</v>
      </c>
      <c r="U2434" s="50" t="n">
        <v>0</v>
      </c>
      <c r="V2434" s="50" t="n">
        <v>0</v>
      </c>
      <c r="W2434" s="51" t="n">
        <v>0</v>
      </c>
      <c r="X2434" s="51" t="n">
        <v>0</v>
      </c>
      <c r="Y2434" s="51" t="n">
        <v>0</v>
      </c>
      <c r="Z2434" s="51" t="n">
        <v>0</v>
      </c>
      <c r="AA2434" s="52" t="n">
        <v>0</v>
      </c>
      <c r="AB2434" s="52" t="n">
        <v>0</v>
      </c>
      <c r="AC2434" s="52" t="n">
        <v>0</v>
      </c>
      <c r="AD2434" s="52" t="n">
        <v>0</v>
      </c>
      <c r="AE2434" s="52" t="n">
        <v>0</v>
      </c>
      <c r="AF2434" s="52" t="n">
        <v>0</v>
      </c>
      <c r="AG2434" s="52" t="n">
        <v>0</v>
      </c>
      <c r="AH2434" s="52" t="n">
        <v>0</v>
      </c>
      <c r="AI2434" s="52" t="n">
        <v>0</v>
      </c>
      <c r="AJ2434" s="52" t="n">
        <v>0</v>
      </c>
      <c r="AK2434" s="52" t="n">
        <v>0</v>
      </c>
      <c r="AL2434" s="52" t="n">
        <v>0</v>
      </c>
      <c r="AM2434" s="53" t="n">
        <v>0</v>
      </c>
      <c r="AN2434" s="53" t="n">
        <v>0</v>
      </c>
      <c r="AO2434" s="53" t="n">
        <v>0</v>
      </c>
      <c r="AP2434" s="53" t="n">
        <v>0</v>
      </c>
      <c r="AQ2434" s="52" t="n">
        <v>0</v>
      </c>
      <c r="AR2434" s="52" t="n">
        <v>0</v>
      </c>
      <c r="AS2434" s="52" t="n">
        <v>0</v>
      </c>
      <c r="AT2434" s="52" t="n">
        <v>0</v>
      </c>
      <c r="AU2434" s="53" t="n">
        <v>0</v>
      </c>
      <c r="AV2434" s="53" t="n">
        <v>0</v>
      </c>
      <c r="AW2434" s="53" t="n">
        <v>0</v>
      </c>
      <c r="AX2434" s="53" t="n">
        <v>0</v>
      </c>
      <c r="AY2434" s="52" t="n">
        <v>0</v>
      </c>
      <c r="AZ2434" s="52" t="n">
        <v>0</v>
      </c>
      <c r="BA2434" s="52" t="n">
        <v>0</v>
      </c>
      <c r="BB2434" s="52" t="n">
        <v>0</v>
      </c>
      <c r="BC2434" s="51" t="n">
        <v>0</v>
      </c>
      <c r="BD2434" s="51" t="n">
        <v>0</v>
      </c>
      <c r="BE2434" s="51" t="n">
        <v>0</v>
      </c>
      <c r="BF2434" s="51" t="n">
        <v>0</v>
      </c>
    </row>
    <row r="2435">
      <c r="A2435">
        <f>HYPERLINK("https://www.walmart.com/ip/197763165", "197763165")</f>
        <v/>
      </c>
      <c r="B2435" t="inlineStr">
        <is>
          <t>JenniWears Women's Beileise  Sexy Net Pantyhose  Stockings Black Sheer Socks</t>
        </is>
      </c>
      <c r="C2435" t="inlineStr">
        <is>
          <t>JWBLSPH2085</t>
        </is>
      </c>
      <c r="D2435" t="inlineStr">
        <is>
          <t>Pantyhose &amp; Tights</t>
        </is>
      </c>
      <c r="E2435" t="inlineStr">
        <is>
          <t>JenniWears</t>
        </is>
      </c>
      <c r="F2435" t="inlineStr">
        <is>
          <t>Optimized,Valentine</t>
        </is>
      </c>
      <c r="G2435" s="48" t="n">
        <v>0</v>
      </c>
      <c r="H2435" s="48" t="n">
        <v>0</v>
      </c>
      <c r="I2435" s="48" t="n">
        <v>0</v>
      </c>
      <c r="J2435" s="48" t="n">
        <v>0</v>
      </c>
      <c r="K2435" s="49" t="n">
        <v>0</v>
      </c>
      <c r="L2435" s="49" t="n">
        <v>0</v>
      </c>
      <c r="M2435" s="49" t="n">
        <v>0</v>
      </c>
      <c r="N2435" s="49" t="n">
        <v>0</v>
      </c>
      <c r="O2435" s="49" t="n">
        <v>0</v>
      </c>
      <c r="P2435" s="49" t="n">
        <v>0</v>
      </c>
      <c r="Q2435" s="49" t="n">
        <v>0</v>
      </c>
      <c r="R2435" s="49" t="n">
        <v>0</v>
      </c>
      <c r="S2435" s="50" t="n">
        <v>0</v>
      </c>
      <c r="T2435" s="50" t="n">
        <v>0</v>
      </c>
      <c r="U2435" s="50" t="n">
        <v>0</v>
      </c>
      <c r="V2435" s="50" t="n">
        <v>0</v>
      </c>
      <c r="W2435" s="51" t="n">
        <v>0</v>
      </c>
      <c r="X2435" s="51" t="n">
        <v>0</v>
      </c>
      <c r="Y2435" s="51" t="n">
        <v>0</v>
      </c>
      <c r="Z2435" s="51" t="n">
        <v>0</v>
      </c>
      <c r="AA2435" s="52" t="n">
        <v>0</v>
      </c>
      <c r="AB2435" s="52" t="n">
        <v>0</v>
      </c>
      <c r="AC2435" s="52" t="n">
        <v>0</v>
      </c>
      <c r="AD2435" s="52" t="n">
        <v>0</v>
      </c>
      <c r="AE2435" s="52" t="n">
        <v>0</v>
      </c>
      <c r="AF2435" s="52" t="n">
        <v>0</v>
      </c>
      <c r="AG2435" s="52" t="n">
        <v>0</v>
      </c>
      <c r="AH2435" s="52" t="n">
        <v>0</v>
      </c>
      <c r="AI2435" s="52" t="n">
        <v>0</v>
      </c>
      <c r="AJ2435" s="52" t="n">
        <v>0</v>
      </c>
      <c r="AK2435" s="52" t="n">
        <v>0</v>
      </c>
      <c r="AL2435" s="52" t="n">
        <v>0</v>
      </c>
      <c r="AM2435" s="53" t="n">
        <v>0</v>
      </c>
      <c r="AN2435" s="53" t="n">
        <v>0</v>
      </c>
      <c r="AO2435" s="53" t="n">
        <v>0</v>
      </c>
      <c r="AP2435" s="53" t="n">
        <v>0</v>
      </c>
      <c r="AQ2435" s="52" t="n">
        <v>0</v>
      </c>
      <c r="AR2435" s="52" t="n">
        <v>0</v>
      </c>
      <c r="AS2435" s="52" t="n">
        <v>0</v>
      </c>
      <c r="AT2435" s="52" t="n">
        <v>0</v>
      </c>
      <c r="AU2435" s="53" t="n">
        <v>0</v>
      </c>
      <c r="AV2435" s="53" t="n">
        <v>0</v>
      </c>
      <c r="AW2435" s="53" t="n">
        <v>0</v>
      </c>
      <c r="AX2435" s="53" t="n">
        <v>0</v>
      </c>
      <c r="AY2435" s="52" t="n">
        <v>0</v>
      </c>
      <c r="AZ2435" s="52" t="n">
        <v>0</v>
      </c>
      <c r="BA2435" s="52" t="n">
        <v>0</v>
      </c>
      <c r="BB2435" s="52" t="n">
        <v>0</v>
      </c>
      <c r="BC2435" s="51" t="n">
        <v>0</v>
      </c>
      <c r="BD2435" s="51" t="n">
        <v>0</v>
      </c>
      <c r="BE2435" s="51" t="n">
        <v>0</v>
      </c>
      <c r="BF2435" s="51" t="n">
        <v>0</v>
      </c>
    </row>
    <row r="2436">
      <c r="A2436">
        <f>HYPERLINK("https://www.walmart.com/ip/197824713", "197824713")</f>
        <v/>
      </c>
      <c r="B2436" t="inlineStr">
        <is>
          <t>KC Caps Super Soft and Comfy Knit Beanie Winter Cap Pink</t>
        </is>
      </c>
      <c r="C2436" t="inlineStr">
        <is>
          <t>kc-w1600pk</t>
        </is>
      </c>
      <c r="D2436" t="inlineStr">
        <is>
          <t>Hats</t>
        </is>
      </c>
      <c r="E2436" t="inlineStr">
        <is>
          <t>KC Caps</t>
        </is>
      </c>
      <c r="F2436" t="inlineStr">
        <is>
          <t>Optimized</t>
        </is>
      </c>
      <c r="G2436" s="48" t="n">
        <v>0</v>
      </c>
      <c r="H2436" s="48" t="n">
        <v>0</v>
      </c>
      <c r="I2436" s="48" t="n">
        <v>0</v>
      </c>
      <c r="J2436" s="48" t="n">
        <v>0</v>
      </c>
      <c r="K2436" s="49" t="n">
        <v>0</v>
      </c>
      <c r="L2436" s="49" t="n">
        <v>0</v>
      </c>
      <c r="M2436" s="49" t="n">
        <v>0</v>
      </c>
      <c r="N2436" s="49" t="n">
        <v>0</v>
      </c>
      <c r="O2436" s="49" t="n">
        <v>0</v>
      </c>
      <c r="P2436" s="49" t="n">
        <v>0</v>
      </c>
      <c r="Q2436" s="49" t="n">
        <v>0</v>
      </c>
      <c r="R2436" s="49" t="n">
        <v>0</v>
      </c>
      <c r="S2436" s="50" t="n">
        <v>0</v>
      </c>
      <c r="T2436" s="50" t="n">
        <v>0</v>
      </c>
      <c r="U2436" s="50" t="n">
        <v>0</v>
      </c>
      <c r="V2436" s="50" t="n">
        <v>0</v>
      </c>
      <c r="W2436" s="51" t="n">
        <v>0</v>
      </c>
      <c r="X2436" s="51" t="n">
        <v>0</v>
      </c>
      <c r="Y2436" s="51" t="n">
        <v>0</v>
      </c>
      <c r="Z2436" s="51" t="n">
        <v>0</v>
      </c>
      <c r="AA2436" s="52" t="n">
        <v>0</v>
      </c>
      <c r="AB2436" s="52" t="n">
        <v>0</v>
      </c>
      <c r="AC2436" s="52" t="n">
        <v>0</v>
      </c>
      <c r="AD2436" s="52" t="n">
        <v>0</v>
      </c>
      <c r="AE2436" s="52" t="n">
        <v>0</v>
      </c>
      <c r="AF2436" s="52" t="n">
        <v>0</v>
      </c>
      <c r="AG2436" s="52" t="n">
        <v>0</v>
      </c>
      <c r="AH2436" s="52" t="n">
        <v>0</v>
      </c>
      <c r="AI2436" s="52" t="n">
        <v>0</v>
      </c>
      <c r="AJ2436" s="52" t="n">
        <v>0</v>
      </c>
      <c r="AK2436" s="52" t="n">
        <v>0</v>
      </c>
      <c r="AL2436" s="52" t="n">
        <v>0</v>
      </c>
      <c r="AM2436" s="53" t="n">
        <v>0</v>
      </c>
      <c r="AN2436" s="53" t="n">
        <v>0</v>
      </c>
      <c r="AO2436" s="53" t="n">
        <v>0</v>
      </c>
      <c r="AP2436" s="53" t="n">
        <v>0</v>
      </c>
      <c r="AQ2436" s="52" t="n">
        <v>0</v>
      </c>
      <c r="AR2436" s="52" t="n">
        <v>0</v>
      </c>
      <c r="AS2436" s="52" t="n">
        <v>0</v>
      </c>
      <c r="AT2436" s="52" t="n">
        <v>0</v>
      </c>
      <c r="AU2436" s="53" t="n">
        <v>0</v>
      </c>
      <c r="AV2436" s="53" t="n">
        <v>0</v>
      </c>
      <c r="AW2436" s="53" t="n">
        <v>0</v>
      </c>
      <c r="AX2436" s="53" t="n">
        <v>0</v>
      </c>
      <c r="AY2436" s="52" t="n">
        <v>0</v>
      </c>
      <c r="AZ2436" s="52" t="n">
        <v>0</v>
      </c>
      <c r="BA2436" s="52" t="n">
        <v>0</v>
      </c>
      <c r="BB2436" s="52" t="n">
        <v>0</v>
      </c>
      <c r="BC2436" s="51" t="n">
        <v>0</v>
      </c>
      <c r="BD2436" s="51" t="n">
        <v>0</v>
      </c>
      <c r="BE2436" s="51" t="n">
        <v>0</v>
      </c>
      <c r="BF2436" s="51" t="n">
        <v>0</v>
      </c>
    </row>
    <row r="2437">
      <c r="A2437">
        <f>HYPERLINK("https://www.walmart.com/ip/197840838", "197840838")</f>
        <v/>
      </c>
      <c r="B2437" t="inlineStr">
        <is>
          <t>Sexy Lingerie for Women with Black Open Crotch Suspender Bodystocking Lingerie by JenniWears</t>
        </is>
      </c>
      <c r="C2437" t="inlineStr">
        <is>
          <t>JWBS8803</t>
        </is>
      </c>
      <c r="D2437" t="inlineStr">
        <is>
          <t>Teddies &amp; Bodystockings</t>
        </is>
      </c>
      <c r="E2437" t="inlineStr">
        <is>
          <t>JenniWears</t>
        </is>
      </c>
      <c r="F2437" t="inlineStr">
        <is>
          <t>WFS,Valentine,WFS Item</t>
        </is>
      </c>
      <c r="G2437" s="48" t="n">
        <v>0</v>
      </c>
      <c r="H2437" s="48" t="n">
        <v>0</v>
      </c>
      <c r="I2437" s="48" t="n">
        <v>0</v>
      </c>
      <c r="J2437" s="48" t="n">
        <v>7.99</v>
      </c>
      <c r="K2437" s="49" t="n">
        <v>0</v>
      </c>
      <c r="L2437" s="49" t="n">
        <v>0</v>
      </c>
      <c r="M2437" s="49" t="n">
        <v>0</v>
      </c>
      <c r="N2437" s="49" t="n">
        <v>1</v>
      </c>
      <c r="O2437" s="49" t="n">
        <v>2</v>
      </c>
      <c r="P2437" s="49" t="n">
        <v>4</v>
      </c>
      <c r="Q2437" s="49" t="n">
        <v>5</v>
      </c>
      <c r="R2437" s="49" t="n">
        <v>6</v>
      </c>
      <c r="S2437" s="50" t="n">
        <v>0</v>
      </c>
      <c r="T2437" s="50" t="n">
        <v>0</v>
      </c>
      <c r="U2437" s="50" t="n">
        <v>0</v>
      </c>
      <c r="V2437" s="50" t="n">
        <v>0.1666666666666667</v>
      </c>
      <c r="W2437" s="51" t="n">
        <v>0</v>
      </c>
      <c r="X2437" s="51" t="n">
        <v>0</v>
      </c>
      <c r="Y2437" s="51" t="n">
        <v>0</v>
      </c>
      <c r="Z2437" s="51" t="n">
        <v>0</v>
      </c>
      <c r="AA2437" s="52" t="n">
        <v>0</v>
      </c>
      <c r="AB2437" s="52" t="n">
        <v>0</v>
      </c>
      <c r="AC2437" s="52" t="n">
        <v>0</v>
      </c>
      <c r="AD2437" s="52" t="n">
        <v>0</v>
      </c>
      <c r="AE2437" s="52" t="n">
        <v>0</v>
      </c>
      <c r="AF2437" s="52" t="n">
        <v>0</v>
      </c>
      <c r="AG2437" s="52" t="n">
        <v>0</v>
      </c>
      <c r="AH2437" s="52" t="n">
        <v>0</v>
      </c>
      <c r="AI2437" s="52" t="n">
        <v>0</v>
      </c>
      <c r="AJ2437" s="52" t="n">
        <v>0</v>
      </c>
      <c r="AK2437" s="52" t="n">
        <v>0</v>
      </c>
      <c r="AL2437" s="52" t="n">
        <v>0</v>
      </c>
      <c r="AM2437" s="53" t="n">
        <v>0</v>
      </c>
      <c r="AN2437" s="53" t="n">
        <v>0</v>
      </c>
      <c r="AO2437" s="53" t="n">
        <v>0</v>
      </c>
      <c r="AP2437" s="53" t="n">
        <v>0</v>
      </c>
      <c r="AQ2437" s="52" t="n">
        <v>0</v>
      </c>
      <c r="AR2437" s="52" t="n">
        <v>0</v>
      </c>
      <c r="AS2437" s="52" t="n">
        <v>0</v>
      </c>
      <c r="AT2437" s="52" t="n">
        <v>0</v>
      </c>
      <c r="AU2437" s="53" t="n">
        <v>0</v>
      </c>
      <c r="AV2437" s="53" t="n">
        <v>0</v>
      </c>
      <c r="AW2437" s="53" t="n">
        <v>0</v>
      </c>
      <c r="AX2437" s="53" t="n">
        <v>0</v>
      </c>
      <c r="AY2437" s="52" t="n">
        <v>0</v>
      </c>
      <c r="AZ2437" s="52" t="n">
        <v>0</v>
      </c>
      <c r="BA2437" s="52" t="n">
        <v>0</v>
      </c>
      <c r="BB2437" s="52" t="n">
        <v>7.99</v>
      </c>
      <c r="BC2437" s="51" t="n">
        <v>0</v>
      </c>
      <c r="BD2437" s="51" t="n">
        <v>0</v>
      </c>
      <c r="BE2437" s="51" t="n">
        <v>0</v>
      </c>
      <c r="BF2437" s="51" t="n">
        <v>0</v>
      </c>
    </row>
    <row r="2438">
      <c r="A2438">
        <f>HYPERLINK("https://www.walmart.com/ip/197908816", "197908816")</f>
        <v/>
      </c>
      <c r="B2438" t="inlineStr">
        <is>
          <t>Two-Piece Tankini Swimsuit for Women Open Back Swimwear Suits Bathing Set by Tirrinia</t>
        </is>
      </c>
      <c r="C2438" t="inlineStr">
        <is>
          <t>1TRSS005BK-L</t>
        </is>
      </c>
      <c r="D2438" t="inlineStr">
        <is>
          <t>Bikini &amp; Tankini Tops</t>
        </is>
      </c>
      <c r="E2438" t="inlineStr">
        <is>
          <t>Tirrinia</t>
        </is>
      </c>
      <c r="F2438" t="inlineStr">
        <is>
          <t>Optimized</t>
        </is>
      </c>
      <c r="G2438" s="48" t="n">
        <v>0</v>
      </c>
      <c r="H2438" s="48" t="n">
        <v>0</v>
      </c>
      <c r="I2438" s="48" t="n">
        <v>0</v>
      </c>
      <c r="J2438" s="48" t="n">
        <v>0</v>
      </c>
      <c r="K2438" s="49" t="n">
        <v>0</v>
      </c>
      <c r="L2438" s="49" t="n">
        <v>0</v>
      </c>
      <c r="M2438" s="49" t="n">
        <v>0</v>
      </c>
      <c r="N2438" s="49" t="n">
        <v>0</v>
      </c>
      <c r="O2438" s="49" t="n">
        <v>0</v>
      </c>
      <c r="P2438" s="49" t="n">
        <v>0</v>
      </c>
      <c r="Q2438" s="49" t="n">
        <v>0</v>
      </c>
      <c r="R2438" s="49" t="n">
        <v>0</v>
      </c>
      <c r="S2438" s="50" t="n">
        <v>0</v>
      </c>
      <c r="T2438" s="50" t="n">
        <v>0</v>
      </c>
      <c r="U2438" s="50" t="n">
        <v>0</v>
      </c>
      <c r="V2438" s="50" t="n">
        <v>0</v>
      </c>
      <c r="W2438" s="51" t="n">
        <v>0</v>
      </c>
      <c r="X2438" s="51" t="n">
        <v>0</v>
      </c>
      <c r="Y2438" s="51" t="n">
        <v>0</v>
      </c>
      <c r="Z2438" s="51" t="n">
        <v>0</v>
      </c>
      <c r="AA2438" s="52" t="n">
        <v>0</v>
      </c>
      <c r="AB2438" s="52" t="n">
        <v>0</v>
      </c>
      <c r="AC2438" s="52" t="n">
        <v>0</v>
      </c>
      <c r="AD2438" s="52" t="n">
        <v>0</v>
      </c>
      <c r="AE2438" s="52" t="n">
        <v>0</v>
      </c>
      <c r="AF2438" s="52" t="n">
        <v>0</v>
      </c>
      <c r="AG2438" s="52" t="n">
        <v>0</v>
      </c>
      <c r="AH2438" s="52" t="n">
        <v>0</v>
      </c>
      <c r="AI2438" s="52" t="n">
        <v>0</v>
      </c>
      <c r="AJ2438" s="52" t="n">
        <v>0</v>
      </c>
      <c r="AK2438" s="52" t="n">
        <v>0</v>
      </c>
      <c r="AL2438" s="52" t="n">
        <v>0</v>
      </c>
      <c r="AM2438" s="53" t="n">
        <v>0</v>
      </c>
      <c r="AN2438" s="53" t="n">
        <v>0</v>
      </c>
      <c r="AO2438" s="53" t="n">
        <v>0</v>
      </c>
      <c r="AP2438" s="53" t="n">
        <v>0</v>
      </c>
      <c r="AQ2438" s="52" t="n">
        <v>0</v>
      </c>
      <c r="AR2438" s="52" t="n">
        <v>0</v>
      </c>
      <c r="AS2438" s="52" t="n">
        <v>0</v>
      </c>
      <c r="AT2438" s="52" t="n">
        <v>0</v>
      </c>
      <c r="AU2438" s="53" t="n">
        <v>0</v>
      </c>
      <c r="AV2438" s="53" t="n">
        <v>0</v>
      </c>
      <c r="AW2438" s="53" t="n">
        <v>0</v>
      </c>
      <c r="AX2438" s="53" t="n">
        <v>0</v>
      </c>
      <c r="AY2438" s="52" t="n">
        <v>0</v>
      </c>
      <c r="AZ2438" s="52" t="n">
        <v>0</v>
      </c>
      <c r="BA2438" s="52" t="n">
        <v>0</v>
      </c>
      <c r="BB2438" s="52" t="n">
        <v>0</v>
      </c>
      <c r="BC2438" s="51" t="n">
        <v>0</v>
      </c>
      <c r="BD2438" s="51" t="n">
        <v>0</v>
      </c>
      <c r="BE2438" s="51" t="n">
        <v>0</v>
      </c>
      <c r="BF2438" s="51" t="n">
        <v>0</v>
      </c>
    </row>
    <row r="2439">
      <c r="A2439">
        <f>HYPERLINK("https://www.walmart.com/ip/198069787", "198069787")</f>
        <v/>
      </c>
      <c r="B2439" t="inlineStr">
        <is>
          <t>Sherpa Wearable Blanket with Sleeves &amp; Foot Pockets for Adult Women Men, Comfy Snuggle Wrap Sleeved Throw Blanket Robe, Gift Idea, Plaid</t>
        </is>
      </c>
      <c r="C2439" t="inlineStr">
        <is>
          <t>1CTSN310P2GN</t>
        </is>
      </c>
      <c r="D2439" t="inlineStr">
        <is>
          <t>Throws</t>
        </is>
      </c>
      <c r="E2439" t="inlineStr">
        <is>
          <t>Catalonia</t>
        </is>
      </c>
      <c r="F2439" t="inlineStr">
        <is>
          <t>Q2-Target,Optimized,WFS,Coupon_Discount,WFS Item</t>
        </is>
      </c>
      <c r="G2439" s="48" t="n">
        <v>0</v>
      </c>
      <c r="H2439" s="48" t="n">
        <v>0</v>
      </c>
      <c r="I2439" s="48" t="n">
        <v>0</v>
      </c>
      <c r="J2439" s="48" t="n">
        <v>0</v>
      </c>
      <c r="K2439" s="49" t="n">
        <v>0</v>
      </c>
      <c r="L2439" s="49" t="n">
        <v>0</v>
      </c>
      <c r="M2439" s="49" t="n">
        <v>0</v>
      </c>
      <c r="N2439" s="49" t="n">
        <v>0</v>
      </c>
      <c r="O2439" s="49" t="n">
        <v>0</v>
      </c>
      <c r="P2439" s="49" t="n">
        <v>0</v>
      </c>
      <c r="Q2439" s="49" t="n">
        <v>0</v>
      </c>
      <c r="R2439" s="49" t="n">
        <v>0</v>
      </c>
      <c r="S2439" s="50" t="n">
        <v>0</v>
      </c>
      <c r="T2439" s="50" t="n">
        <v>0</v>
      </c>
      <c r="U2439" s="50" t="n">
        <v>0</v>
      </c>
      <c r="V2439" s="50" t="n">
        <v>0</v>
      </c>
      <c r="W2439" s="51" t="n">
        <v>0</v>
      </c>
      <c r="X2439" s="51" t="n">
        <v>0</v>
      </c>
      <c r="Y2439" s="51" t="n">
        <v>0</v>
      </c>
      <c r="Z2439" s="51" t="n">
        <v>0</v>
      </c>
      <c r="AA2439" s="52" t="n">
        <v>0</v>
      </c>
      <c r="AB2439" s="52" t="n">
        <v>0</v>
      </c>
      <c r="AC2439" s="52" t="n">
        <v>0</v>
      </c>
      <c r="AD2439" s="52" t="n">
        <v>0</v>
      </c>
      <c r="AE2439" s="52" t="n">
        <v>0</v>
      </c>
      <c r="AF2439" s="52" t="n">
        <v>0</v>
      </c>
      <c r="AG2439" s="52" t="n">
        <v>0</v>
      </c>
      <c r="AH2439" s="52" t="n">
        <v>0</v>
      </c>
      <c r="AI2439" s="52" t="n">
        <v>0</v>
      </c>
      <c r="AJ2439" s="52" t="n">
        <v>0</v>
      </c>
      <c r="AK2439" s="52" t="n">
        <v>0</v>
      </c>
      <c r="AL2439" s="52" t="n">
        <v>0</v>
      </c>
      <c r="AM2439" s="53" t="n">
        <v>0</v>
      </c>
      <c r="AN2439" s="53" t="n">
        <v>0</v>
      </c>
      <c r="AO2439" s="53" t="n">
        <v>0</v>
      </c>
      <c r="AP2439" s="53" t="n">
        <v>0</v>
      </c>
      <c r="AQ2439" s="52" t="n">
        <v>0</v>
      </c>
      <c r="AR2439" s="52" t="n">
        <v>0</v>
      </c>
      <c r="AS2439" s="52" t="n">
        <v>0</v>
      </c>
      <c r="AT2439" s="52" t="n">
        <v>0</v>
      </c>
      <c r="AU2439" s="53" t="n">
        <v>0</v>
      </c>
      <c r="AV2439" s="53" t="n">
        <v>0</v>
      </c>
      <c r="AW2439" s="53" t="n">
        <v>0</v>
      </c>
      <c r="AX2439" s="53" t="n">
        <v>0</v>
      </c>
      <c r="AY2439" s="52" t="n">
        <v>0</v>
      </c>
      <c r="AZ2439" s="52" t="n">
        <v>0</v>
      </c>
      <c r="BA2439" s="52" t="n">
        <v>0</v>
      </c>
      <c r="BB2439" s="52" t="n">
        <v>0</v>
      </c>
      <c r="BC2439" s="51" t="n">
        <v>0</v>
      </c>
      <c r="BD2439" s="51" t="n">
        <v>0</v>
      </c>
      <c r="BE2439" s="51" t="n">
        <v>0</v>
      </c>
      <c r="BF2439" s="51" t="n">
        <v>0</v>
      </c>
    </row>
    <row r="2440">
      <c r="A2440">
        <f>HYPERLINK("https://www.walmart.com/ip/1981503804", "1981503804")</f>
        <v/>
      </c>
      <c r="B2440" t="inlineStr">
        <is>
          <t>Catalonia Knitted Throw Blanket for Bed,Sofa,Living Room,All Seasons Cozy Leisure Acrylic Lightweight Decorative Blanket with Fringe,Machine Washable,60×80 inches, Teal</t>
        </is>
      </c>
      <c r="C2440" t="inlineStr">
        <is>
          <t>1CTBN610TL</t>
        </is>
      </c>
      <c r="D2440" t="inlineStr">
        <is>
          <t>Throws</t>
        </is>
      </c>
      <c r="E2440" t="inlineStr">
        <is>
          <t>Catalonia</t>
        </is>
      </c>
      <c r="F2440" t="inlineStr">
        <is>
          <t>Batch 1 - TR</t>
        </is>
      </c>
      <c r="G2440" s="48" t="n">
        <v>0</v>
      </c>
      <c r="H2440" s="48" t="n">
        <v>0</v>
      </c>
      <c r="I2440" s="48" t="n">
        <v>0</v>
      </c>
      <c r="J2440" s="48" t="n">
        <v>0</v>
      </c>
      <c r="K2440" s="49" t="n">
        <v>0</v>
      </c>
      <c r="L2440" s="49" t="n">
        <v>0</v>
      </c>
      <c r="M2440" s="49" t="n">
        <v>0</v>
      </c>
      <c r="N2440" s="49" t="n">
        <v>0</v>
      </c>
      <c r="O2440" s="49" t="n">
        <v>0</v>
      </c>
      <c r="P2440" s="49" t="n">
        <v>0</v>
      </c>
      <c r="Q2440" s="49" t="n">
        <v>0</v>
      </c>
      <c r="R2440" s="49" t="n">
        <v>0</v>
      </c>
      <c r="S2440" s="50" t="n">
        <v>0</v>
      </c>
      <c r="T2440" s="50" t="n">
        <v>0</v>
      </c>
      <c r="U2440" s="50" t="n">
        <v>0</v>
      </c>
      <c r="V2440" s="50" t="n">
        <v>0</v>
      </c>
      <c r="W2440" s="51" t="n">
        <v>0</v>
      </c>
      <c r="X2440" s="51" t="n">
        <v>0</v>
      </c>
      <c r="Y2440" s="51" t="n">
        <v>0</v>
      </c>
      <c r="Z2440" s="51" t="n">
        <v>0</v>
      </c>
      <c r="AA2440" s="52" t="n">
        <v>0</v>
      </c>
      <c r="AB2440" s="52" t="n">
        <v>0</v>
      </c>
      <c r="AC2440" s="52" t="n">
        <v>0</v>
      </c>
      <c r="AD2440" s="52" t="n">
        <v>0</v>
      </c>
      <c r="AE2440" s="52" t="n">
        <v>0</v>
      </c>
      <c r="AF2440" s="52" t="n">
        <v>0</v>
      </c>
      <c r="AG2440" s="52" t="n">
        <v>0</v>
      </c>
      <c r="AH2440" s="52" t="n">
        <v>0</v>
      </c>
      <c r="AI2440" s="52" t="n">
        <v>0</v>
      </c>
      <c r="AJ2440" s="52" t="n">
        <v>0</v>
      </c>
      <c r="AK2440" s="52" t="n">
        <v>0</v>
      </c>
      <c r="AL2440" s="52" t="n">
        <v>0</v>
      </c>
      <c r="AM2440" s="53" t="n">
        <v>0</v>
      </c>
      <c r="AN2440" s="53" t="n">
        <v>0</v>
      </c>
      <c r="AO2440" s="53" t="n">
        <v>0</v>
      </c>
      <c r="AP2440" s="53" t="n">
        <v>0</v>
      </c>
      <c r="AQ2440" s="52" t="n">
        <v>0</v>
      </c>
      <c r="AR2440" s="52" t="n">
        <v>0</v>
      </c>
      <c r="AS2440" s="52" t="n">
        <v>0</v>
      </c>
      <c r="AT2440" s="52" t="n">
        <v>0</v>
      </c>
      <c r="AU2440" s="53" t="n">
        <v>0</v>
      </c>
      <c r="AV2440" s="53" t="n">
        <v>0</v>
      </c>
      <c r="AW2440" s="53" t="n">
        <v>0</v>
      </c>
      <c r="AX2440" s="53" t="n">
        <v>0</v>
      </c>
      <c r="AY2440" s="52" t="n">
        <v>0</v>
      </c>
      <c r="AZ2440" s="52" t="n">
        <v>0</v>
      </c>
      <c r="BA2440" s="52" t="n">
        <v>0</v>
      </c>
      <c r="BB2440" s="52" t="n">
        <v>0</v>
      </c>
      <c r="BC2440" s="51" t="n">
        <v>0</v>
      </c>
      <c r="BD2440" s="51" t="n">
        <v>0</v>
      </c>
      <c r="BE2440" s="51" t="n">
        <v>0</v>
      </c>
      <c r="BF2440" s="51" t="n">
        <v>0</v>
      </c>
    </row>
    <row r="2441">
      <c r="A2441">
        <f>HYPERLINK("https://www.walmart.com/ip/190744970", "190744970")</f>
        <v/>
      </c>
      <c r="B2441" t="inlineStr">
        <is>
          <t>JenniWears® Women's Stretch Mesh Bikini Panty with Open Back Heart Detail</t>
        </is>
      </c>
      <c r="C2441" t="inlineStr">
        <is>
          <t>JWPT02RD-XL</t>
        </is>
      </c>
      <c r="D2441" t="inlineStr">
        <is>
          <t>Panties</t>
        </is>
      </c>
      <c r="E2441" t="inlineStr">
        <is>
          <t>JenniWears</t>
        </is>
      </c>
      <c r="F2441" t="inlineStr">
        <is>
          <t>Valentine</t>
        </is>
      </c>
      <c r="G2441" s="48" t="n">
        <v>0</v>
      </c>
      <c r="H2441" s="48" t="n">
        <v>0</v>
      </c>
      <c r="I2441" s="48" t="n">
        <v>0</v>
      </c>
      <c r="J2441" s="48" t="n">
        <v>0</v>
      </c>
      <c r="K2441" s="49" t="n">
        <v>0</v>
      </c>
      <c r="L2441" s="49" t="n">
        <v>0</v>
      </c>
      <c r="M2441" s="49" t="n">
        <v>0</v>
      </c>
      <c r="N2441" s="49" t="n">
        <v>0</v>
      </c>
      <c r="O2441" s="49" t="n">
        <v>0</v>
      </c>
      <c r="P2441" s="49" t="n">
        <v>0</v>
      </c>
      <c r="Q2441" s="49" t="n">
        <v>0</v>
      </c>
      <c r="R2441" s="49" t="n">
        <v>0</v>
      </c>
      <c r="S2441" s="50" t="n">
        <v>0</v>
      </c>
      <c r="T2441" s="50" t="n">
        <v>0</v>
      </c>
      <c r="U2441" s="50" t="n">
        <v>0</v>
      </c>
      <c r="V2441" s="50" t="n">
        <v>0</v>
      </c>
      <c r="W2441" s="51" t="n">
        <v>0</v>
      </c>
      <c r="X2441" s="51" t="n">
        <v>0</v>
      </c>
      <c r="Y2441" s="51" t="n">
        <v>0</v>
      </c>
      <c r="Z2441" s="51" t="n">
        <v>0</v>
      </c>
      <c r="AA2441" s="52" t="n">
        <v>0</v>
      </c>
      <c r="AB2441" s="52" t="n">
        <v>0</v>
      </c>
      <c r="AC2441" s="52" t="n">
        <v>0</v>
      </c>
      <c r="AD2441" s="52" t="n">
        <v>0</v>
      </c>
      <c r="AE2441" s="52" t="n">
        <v>0</v>
      </c>
      <c r="AF2441" s="52" t="n">
        <v>0</v>
      </c>
      <c r="AG2441" s="52" t="n">
        <v>0</v>
      </c>
      <c r="AH2441" s="52" t="n">
        <v>0</v>
      </c>
      <c r="AI2441" s="52" t="n">
        <v>0</v>
      </c>
      <c r="AJ2441" s="52" t="n">
        <v>0</v>
      </c>
      <c r="AK2441" s="52" t="n">
        <v>0</v>
      </c>
      <c r="AL2441" s="52" t="n">
        <v>0</v>
      </c>
      <c r="AM2441" s="53" t="n">
        <v>0</v>
      </c>
      <c r="AN2441" s="53" t="n">
        <v>0</v>
      </c>
      <c r="AO2441" s="53" t="n">
        <v>0</v>
      </c>
      <c r="AP2441" s="53" t="n">
        <v>0</v>
      </c>
      <c r="AQ2441" s="52" t="n">
        <v>0</v>
      </c>
      <c r="AR2441" s="52" t="n">
        <v>0</v>
      </c>
      <c r="AS2441" s="52" t="n">
        <v>0</v>
      </c>
      <c r="AT2441" s="52" t="n">
        <v>0</v>
      </c>
      <c r="AU2441" s="53" t="n">
        <v>0</v>
      </c>
      <c r="AV2441" s="53" t="n">
        <v>0</v>
      </c>
      <c r="AW2441" s="53" t="n">
        <v>0</v>
      </c>
      <c r="AX2441" s="53" t="n">
        <v>0</v>
      </c>
      <c r="AY2441" s="52" t="n">
        <v>0</v>
      </c>
      <c r="AZ2441" s="52" t="n">
        <v>0</v>
      </c>
      <c r="BA2441" s="52" t="n">
        <v>0</v>
      </c>
      <c r="BB2441" s="52" t="n">
        <v>0</v>
      </c>
      <c r="BC2441" s="51" t="n">
        <v>0</v>
      </c>
      <c r="BD2441" s="51" t="n">
        <v>0</v>
      </c>
      <c r="BE2441" s="51" t="n">
        <v>0</v>
      </c>
      <c r="BF2441" s="51" t="n">
        <v>0</v>
      </c>
    </row>
    <row r="2442">
      <c r="A2442">
        <f>HYPERLINK("https://www.walmart.com/ip/999603406", "999603406")</f>
        <v/>
      </c>
      <c r="B2442" t="inlineStr">
        <is>
          <t>Tirrinia Insulated Lunch Bag for Women Men, Leakproof Thermal Reusable Lunch Box Tote for Adult &amp; Kids by Tirrinia, Lunch Cooler for Office Work, Black</t>
        </is>
      </c>
      <c r="C2442" t="inlineStr">
        <is>
          <t>1TRLB701P1BK</t>
        </is>
      </c>
      <c r="D2442" t="inlineStr">
        <is>
          <t>Reusable Lunch Bags &amp; Boxes</t>
        </is>
      </c>
      <c r="E2442" t="inlineStr">
        <is>
          <t>Tirrinia</t>
        </is>
      </c>
      <c r="F2442" t="inlineStr">
        <is>
          <t>Q2-Target,Brand Camp VD,Lunch Bag,Optimized,Lunch Bags</t>
        </is>
      </c>
      <c r="G2442" s="48" t="n">
        <v>0</v>
      </c>
      <c r="H2442" s="48" t="n">
        <v>0</v>
      </c>
      <c r="I2442" s="48" t="n">
        <v>0</v>
      </c>
      <c r="J2442" s="48" t="n">
        <v>0</v>
      </c>
      <c r="K2442" s="49" t="n">
        <v>0</v>
      </c>
      <c r="L2442" s="49" t="n">
        <v>0</v>
      </c>
      <c r="M2442" s="49" t="n">
        <v>0</v>
      </c>
      <c r="N2442" s="49" t="n">
        <v>0</v>
      </c>
      <c r="O2442" s="49" t="n">
        <v>0</v>
      </c>
      <c r="P2442" s="49" t="n">
        <v>0</v>
      </c>
      <c r="Q2442" s="49" t="n">
        <v>0</v>
      </c>
      <c r="R2442" s="49" t="n">
        <v>0</v>
      </c>
      <c r="S2442" s="50" t="n">
        <v>0</v>
      </c>
      <c r="T2442" s="50" t="n">
        <v>0</v>
      </c>
      <c r="U2442" s="50" t="n">
        <v>0</v>
      </c>
      <c r="V2442" s="50" t="n">
        <v>0</v>
      </c>
      <c r="W2442" s="51" t="n">
        <v>0</v>
      </c>
      <c r="X2442" s="51" t="n">
        <v>0</v>
      </c>
      <c r="Y2442" s="51" t="n">
        <v>0</v>
      </c>
      <c r="Z2442" s="51" t="n">
        <v>0</v>
      </c>
      <c r="AA2442" s="52" t="n">
        <v>0</v>
      </c>
      <c r="AB2442" s="52" t="n">
        <v>0</v>
      </c>
      <c r="AC2442" s="52" t="n">
        <v>0</v>
      </c>
      <c r="AD2442" s="52" t="n">
        <v>0</v>
      </c>
      <c r="AE2442" s="52" t="n">
        <v>0</v>
      </c>
      <c r="AF2442" s="52" t="n">
        <v>0</v>
      </c>
      <c r="AG2442" s="52" t="n">
        <v>0</v>
      </c>
      <c r="AH2442" s="52" t="n">
        <v>0</v>
      </c>
      <c r="AI2442" s="52" t="n">
        <v>0</v>
      </c>
      <c r="AJ2442" s="52" t="n">
        <v>0</v>
      </c>
      <c r="AK2442" s="52" t="n">
        <v>0</v>
      </c>
      <c r="AL2442" s="52" t="n">
        <v>0</v>
      </c>
      <c r="AM2442" s="53" t="n">
        <v>0</v>
      </c>
      <c r="AN2442" s="53" t="n">
        <v>0</v>
      </c>
      <c r="AO2442" s="53" t="n">
        <v>0</v>
      </c>
      <c r="AP2442" s="53" t="n">
        <v>0</v>
      </c>
      <c r="AQ2442" s="52" t="n">
        <v>0</v>
      </c>
      <c r="AR2442" s="52" t="n">
        <v>0</v>
      </c>
      <c r="AS2442" s="52" t="n">
        <v>0</v>
      </c>
      <c r="AT2442" s="52" t="n">
        <v>0</v>
      </c>
      <c r="AU2442" s="53" t="n">
        <v>0</v>
      </c>
      <c r="AV2442" s="53" t="n">
        <v>0</v>
      </c>
      <c r="AW2442" s="53" t="n">
        <v>0</v>
      </c>
      <c r="AX2442" s="53" t="n">
        <v>0</v>
      </c>
      <c r="AY2442" s="52" t="n">
        <v>0</v>
      </c>
      <c r="AZ2442" s="52" t="n">
        <v>0</v>
      </c>
      <c r="BA2442" s="52" t="n">
        <v>0</v>
      </c>
      <c r="BB2442" s="52" t="n">
        <v>0</v>
      </c>
      <c r="BC2442" s="51" t="n">
        <v>0</v>
      </c>
      <c r="BD2442" s="51" t="n">
        <v>0</v>
      </c>
      <c r="BE2442" s="51" t="n">
        <v>0</v>
      </c>
      <c r="BF2442" s="51" t="n">
        <v>0</v>
      </c>
    </row>
    <row r="2443">
      <c r="A2443">
        <f>HYPERLINK("https://www.walmart.com/ip/190285012", "190285012")</f>
        <v/>
      </c>
      <c r="B2443" t="inlineStr">
        <is>
          <t>Terra Faux Fur Pom Pom Beanie Hat Thick Slouchy Cable Knit Soft Warm Micro Fleece Lined Unisex Stretches to Fit Most</t>
        </is>
      </c>
      <c r="C2443" t="inlineStr">
        <is>
          <t>TERRAPPH01BL</t>
        </is>
      </c>
      <c r="D2443" t="inlineStr">
        <is>
          <t>Hats</t>
        </is>
      </c>
      <c r="E2443" t="inlineStr">
        <is>
          <t>Terra</t>
        </is>
      </c>
      <c r="F2443" t="inlineStr">
        <is>
          <t>Optimized</t>
        </is>
      </c>
      <c r="G2443" s="48" t="n">
        <v>0</v>
      </c>
      <c r="H2443" s="48" t="n">
        <v>0</v>
      </c>
      <c r="I2443" s="48" t="n">
        <v>0</v>
      </c>
      <c r="J2443" s="48" t="n">
        <v>0</v>
      </c>
      <c r="K2443" s="49" t="n">
        <v>0</v>
      </c>
      <c r="L2443" s="49" t="n">
        <v>0</v>
      </c>
      <c r="M2443" s="49" t="n">
        <v>0</v>
      </c>
      <c r="N2443" s="49" t="n">
        <v>0</v>
      </c>
      <c r="O2443" s="49" t="n">
        <v>0</v>
      </c>
      <c r="P2443" s="49" t="n">
        <v>0</v>
      </c>
      <c r="Q2443" s="49" t="n">
        <v>0</v>
      </c>
      <c r="R2443" s="49" t="n">
        <v>0</v>
      </c>
      <c r="S2443" s="50" t="n">
        <v>0</v>
      </c>
      <c r="T2443" s="50" t="n">
        <v>0</v>
      </c>
      <c r="U2443" s="50" t="n">
        <v>0</v>
      </c>
      <c r="V2443" s="50" t="n">
        <v>0</v>
      </c>
      <c r="W2443" s="51" t="n">
        <v>0</v>
      </c>
      <c r="X2443" s="51" t="n">
        <v>0</v>
      </c>
      <c r="Y2443" s="51" t="n">
        <v>0</v>
      </c>
      <c r="Z2443" s="51" t="n">
        <v>0</v>
      </c>
      <c r="AA2443" s="52" t="n">
        <v>0</v>
      </c>
      <c r="AB2443" s="52" t="n">
        <v>0</v>
      </c>
      <c r="AC2443" s="52" t="n">
        <v>0</v>
      </c>
      <c r="AD2443" s="52" t="n">
        <v>0</v>
      </c>
      <c r="AE2443" s="52" t="n">
        <v>0</v>
      </c>
      <c r="AF2443" s="52" t="n">
        <v>0</v>
      </c>
      <c r="AG2443" s="52" t="n">
        <v>0</v>
      </c>
      <c r="AH2443" s="52" t="n">
        <v>0</v>
      </c>
      <c r="AI2443" s="52" t="n">
        <v>0</v>
      </c>
      <c r="AJ2443" s="52" t="n">
        <v>0</v>
      </c>
      <c r="AK2443" s="52" t="n">
        <v>0</v>
      </c>
      <c r="AL2443" s="52" t="n">
        <v>0</v>
      </c>
      <c r="AM2443" s="53" t="n">
        <v>0</v>
      </c>
      <c r="AN2443" s="53" t="n">
        <v>0</v>
      </c>
      <c r="AO2443" s="53" t="n">
        <v>0</v>
      </c>
      <c r="AP2443" s="53" t="n">
        <v>0</v>
      </c>
      <c r="AQ2443" s="52" t="n">
        <v>0</v>
      </c>
      <c r="AR2443" s="52" t="n">
        <v>0</v>
      </c>
      <c r="AS2443" s="52" t="n">
        <v>0</v>
      </c>
      <c r="AT2443" s="52" t="n">
        <v>0</v>
      </c>
      <c r="AU2443" s="53" t="n">
        <v>0</v>
      </c>
      <c r="AV2443" s="53" t="n">
        <v>0</v>
      </c>
      <c r="AW2443" s="53" t="n">
        <v>0</v>
      </c>
      <c r="AX2443" s="53" t="n">
        <v>0</v>
      </c>
      <c r="AY2443" s="52" t="n">
        <v>0</v>
      </c>
      <c r="AZ2443" s="52" t="n">
        <v>0</v>
      </c>
      <c r="BA2443" s="52" t="n">
        <v>0</v>
      </c>
      <c r="BB2443" s="52" t="n">
        <v>0</v>
      </c>
      <c r="BC2443" s="51" t="n">
        <v>0</v>
      </c>
      <c r="BD2443" s="51" t="n">
        <v>0</v>
      </c>
      <c r="BE2443" s="51" t="n">
        <v>0</v>
      </c>
      <c r="BF2443" s="51" t="n">
        <v>0</v>
      </c>
    </row>
    <row r="2444">
      <c r="A2444">
        <f>HYPERLINK("https://www.walmart.com/ip/184302994", "184302994")</f>
        <v/>
      </c>
      <c r="B2444" t="inlineStr">
        <is>
          <t>Terra Outdoor Flexible Running Fuel Belt &amp; Fitness Workout Belt for Women and Men - Best Exercise Waist Pack - Sports Travel Money Belt - Fanny Pack Runner Safety Reflective Waist Belt with Pockets</t>
        </is>
      </c>
      <c r="C2444" t="inlineStr">
        <is>
          <t>TERRA-5NG-M</t>
        </is>
      </c>
      <c r="D2444" t="inlineStr">
        <is>
          <t>Running Belts</t>
        </is>
      </c>
      <c r="E2444" t="inlineStr">
        <is>
          <t>Terra</t>
        </is>
      </c>
      <c r="F2444" t="inlineStr">
        <is>
          <t>Optimized</t>
        </is>
      </c>
      <c r="G2444" s="48" t="n">
        <v>0</v>
      </c>
      <c r="H2444" s="48" t="n">
        <v>0</v>
      </c>
      <c r="I2444" s="48" t="n">
        <v>0</v>
      </c>
      <c r="J2444" s="48" t="n">
        <v>0</v>
      </c>
      <c r="K2444" s="49" t="n">
        <v>0</v>
      </c>
      <c r="L2444" s="49" t="n">
        <v>0</v>
      </c>
      <c r="M2444" s="49" t="n">
        <v>0</v>
      </c>
      <c r="N2444" s="49" t="n">
        <v>0</v>
      </c>
      <c r="O2444" s="49" t="n">
        <v>0</v>
      </c>
      <c r="P2444" s="49" t="n">
        <v>0</v>
      </c>
      <c r="Q2444" s="49" t="n">
        <v>0</v>
      </c>
      <c r="R2444" s="49" t="n">
        <v>0</v>
      </c>
      <c r="S2444" s="50" t="n">
        <v>0</v>
      </c>
      <c r="T2444" s="50" t="n">
        <v>0</v>
      </c>
      <c r="U2444" s="50" t="n">
        <v>0</v>
      </c>
      <c r="V2444" s="50" t="n">
        <v>0</v>
      </c>
      <c r="W2444" s="51" t="n">
        <v>0</v>
      </c>
      <c r="X2444" s="51" t="n">
        <v>0</v>
      </c>
      <c r="Y2444" s="51" t="n">
        <v>0</v>
      </c>
      <c r="Z2444" s="51" t="n">
        <v>0</v>
      </c>
      <c r="AA2444" s="52" t="n">
        <v>0</v>
      </c>
      <c r="AB2444" s="52" t="n">
        <v>0</v>
      </c>
      <c r="AC2444" s="52" t="n">
        <v>0</v>
      </c>
      <c r="AD2444" s="52" t="n">
        <v>0</v>
      </c>
      <c r="AE2444" s="52" t="n">
        <v>0</v>
      </c>
      <c r="AF2444" s="52" t="n">
        <v>0</v>
      </c>
      <c r="AG2444" s="52" t="n">
        <v>0</v>
      </c>
      <c r="AH2444" s="52" t="n">
        <v>0</v>
      </c>
      <c r="AI2444" s="52" t="n">
        <v>0</v>
      </c>
      <c r="AJ2444" s="52" t="n">
        <v>0</v>
      </c>
      <c r="AK2444" s="52" t="n">
        <v>0</v>
      </c>
      <c r="AL2444" s="52" t="n">
        <v>0</v>
      </c>
      <c r="AM2444" s="53" t="n">
        <v>0</v>
      </c>
      <c r="AN2444" s="53" t="n">
        <v>0</v>
      </c>
      <c r="AO2444" s="53" t="n">
        <v>0</v>
      </c>
      <c r="AP2444" s="53" t="n">
        <v>0</v>
      </c>
      <c r="AQ2444" s="52" t="n">
        <v>0</v>
      </c>
      <c r="AR2444" s="52" t="n">
        <v>0</v>
      </c>
      <c r="AS2444" s="52" t="n">
        <v>0</v>
      </c>
      <c r="AT2444" s="52" t="n">
        <v>0</v>
      </c>
      <c r="AU2444" s="53" t="n">
        <v>0</v>
      </c>
      <c r="AV2444" s="53" t="n">
        <v>0</v>
      </c>
      <c r="AW2444" s="53" t="n">
        <v>0</v>
      </c>
      <c r="AX2444" s="53" t="n">
        <v>0</v>
      </c>
      <c r="AY2444" s="52" t="n">
        <v>0</v>
      </c>
      <c r="AZ2444" s="52" t="n">
        <v>0</v>
      </c>
      <c r="BA2444" s="52" t="n">
        <v>0</v>
      </c>
      <c r="BB2444" s="52" t="n">
        <v>0</v>
      </c>
      <c r="BC2444" s="51" t="n">
        <v>0</v>
      </c>
      <c r="BD2444" s="51" t="n">
        <v>0</v>
      </c>
      <c r="BE2444" s="51" t="n">
        <v>0</v>
      </c>
      <c r="BF2444" s="51" t="n">
        <v>0</v>
      </c>
    </row>
    <row r="2445">
      <c r="A2445">
        <f>HYPERLINK("https://www.walmart.com/ip/184413030", "184413030")</f>
        <v/>
      </c>
      <c r="B2445" t="inlineStr">
        <is>
          <t>Tirrinia Floppy Straw Sun Hat for Women Striped Foldable Beach Cap with Wide Brim Tan</t>
        </is>
      </c>
      <c r="C2445" t="inlineStr">
        <is>
          <t>1TRSH371TN-TBCB</t>
        </is>
      </c>
      <c r="D2445" t="inlineStr">
        <is>
          <t>Hats</t>
        </is>
      </c>
      <c r="E2445" t="inlineStr">
        <is>
          <t>Tirrinia</t>
        </is>
      </c>
      <c r="F2445" t="inlineStr">
        <is>
          <t>WFS,WFS Item</t>
        </is>
      </c>
      <c r="G2445" s="48" t="n">
        <v>0</v>
      </c>
      <c r="H2445" s="48" t="n">
        <v>0</v>
      </c>
      <c r="I2445" s="48" t="n">
        <v>0</v>
      </c>
      <c r="J2445" s="48" t="n">
        <v>0</v>
      </c>
      <c r="K2445" s="49" t="n">
        <v>0</v>
      </c>
      <c r="L2445" s="49" t="n">
        <v>0</v>
      </c>
      <c r="M2445" s="49" t="n">
        <v>0</v>
      </c>
      <c r="N2445" s="49" t="n">
        <v>0</v>
      </c>
      <c r="O2445" s="49" t="n">
        <v>0</v>
      </c>
      <c r="P2445" s="49" t="n">
        <v>0</v>
      </c>
      <c r="Q2445" s="49" t="n">
        <v>0</v>
      </c>
      <c r="R2445" s="49" t="n">
        <v>0</v>
      </c>
      <c r="S2445" s="50" t="n">
        <v>0</v>
      </c>
      <c r="T2445" s="50" t="n">
        <v>0</v>
      </c>
      <c r="U2445" s="50" t="n">
        <v>0</v>
      </c>
      <c r="V2445" s="50" t="n">
        <v>0</v>
      </c>
      <c r="W2445" s="51" t="n">
        <v>0</v>
      </c>
      <c r="X2445" s="51" t="n">
        <v>0</v>
      </c>
      <c r="Y2445" s="51" t="n">
        <v>0</v>
      </c>
      <c r="Z2445" s="51" t="n">
        <v>0</v>
      </c>
      <c r="AA2445" s="52" t="n">
        <v>0</v>
      </c>
      <c r="AB2445" s="52" t="n">
        <v>0</v>
      </c>
      <c r="AC2445" s="52" t="n">
        <v>0</v>
      </c>
      <c r="AD2445" s="52" t="n">
        <v>0</v>
      </c>
      <c r="AE2445" s="52" t="n">
        <v>0</v>
      </c>
      <c r="AF2445" s="52" t="n">
        <v>0</v>
      </c>
      <c r="AG2445" s="52" t="n">
        <v>0</v>
      </c>
      <c r="AH2445" s="52" t="n">
        <v>0</v>
      </c>
      <c r="AI2445" s="52" t="n">
        <v>0</v>
      </c>
      <c r="AJ2445" s="52" t="n">
        <v>0</v>
      </c>
      <c r="AK2445" s="52" t="n">
        <v>0</v>
      </c>
      <c r="AL2445" s="52" t="n">
        <v>0</v>
      </c>
      <c r="AM2445" s="53" t="n">
        <v>0</v>
      </c>
      <c r="AN2445" s="53" t="n">
        <v>0</v>
      </c>
      <c r="AO2445" s="53" t="n">
        <v>0</v>
      </c>
      <c r="AP2445" s="53" t="n">
        <v>0</v>
      </c>
      <c r="AQ2445" s="52" t="n">
        <v>0</v>
      </c>
      <c r="AR2445" s="52" t="n">
        <v>0</v>
      </c>
      <c r="AS2445" s="52" t="n">
        <v>0</v>
      </c>
      <c r="AT2445" s="52" t="n">
        <v>0</v>
      </c>
      <c r="AU2445" s="53" t="n">
        <v>0</v>
      </c>
      <c r="AV2445" s="53" t="n">
        <v>0</v>
      </c>
      <c r="AW2445" s="53" t="n">
        <v>0</v>
      </c>
      <c r="AX2445" s="53" t="n">
        <v>0</v>
      </c>
      <c r="AY2445" s="52" t="n">
        <v>0</v>
      </c>
      <c r="AZ2445" s="52" t="n">
        <v>0</v>
      </c>
      <c r="BA2445" s="52" t="n">
        <v>0</v>
      </c>
      <c r="BB2445" s="52" t="n">
        <v>0</v>
      </c>
      <c r="BC2445" s="51" t="n">
        <v>0</v>
      </c>
      <c r="BD2445" s="51" t="n">
        <v>0</v>
      </c>
      <c r="BE2445" s="51" t="n">
        <v>0</v>
      </c>
      <c r="BF2445" s="51" t="n">
        <v>0</v>
      </c>
    </row>
    <row r="2446">
      <c r="A2446">
        <f>HYPERLINK("https://www.walmart.com/ip/184708422", "184708422")</f>
        <v/>
      </c>
      <c r="B2446" t="inlineStr">
        <is>
          <t>Deluxe Stylish Microplush Sleeved Fleece Blanket Soft Home Sofa Snuggie</t>
        </is>
      </c>
      <c r="C2446" t="inlineStr">
        <is>
          <t>k3000-cheetah</t>
        </is>
      </c>
      <c r="D2446" t="inlineStr">
        <is>
          <t>Throws</t>
        </is>
      </c>
      <c r="E2446" t="inlineStr">
        <is>
          <t>NAPA</t>
        </is>
      </c>
      <c r="F2446" t="inlineStr">
        <is>
          <t>Batch 1 - TR</t>
        </is>
      </c>
      <c r="G2446" s="48" t="n">
        <v>0</v>
      </c>
      <c r="H2446" s="48" t="n">
        <v>0</v>
      </c>
      <c r="I2446" s="48" t="n">
        <v>0</v>
      </c>
      <c r="J2446" s="48" t="n">
        <v>0</v>
      </c>
      <c r="K2446" s="49" t="n">
        <v>0</v>
      </c>
      <c r="L2446" s="49" t="n">
        <v>0</v>
      </c>
      <c r="M2446" s="49" t="n">
        <v>0</v>
      </c>
      <c r="N2446" s="49" t="n">
        <v>0</v>
      </c>
      <c r="O2446" s="49" t="n">
        <v>0</v>
      </c>
      <c r="P2446" s="49" t="n">
        <v>0</v>
      </c>
      <c r="Q2446" s="49" t="n">
        <v>0</v>
      </c>
      <c r="R2446" s="49" t="n">
        <v>0</v>
      </c>
      <c r="S2446" s="50" t="n">
        <v>0</v>
      </c>
      <c r="T2446" s="50" t="n">
        <v>0</v>
      </c>
      <c r="U2446" s="50" t="n">
        <v>0</v>
      </c>
      <c r="V2446" s="50" t="n">
        <v>0</v>
      </c>
      <c r="W2446" s="51" t="n">
        <v>0</v>
      </c>
      <c r="X2446" s="51" t="n">
        <v>0</v>
      </c>
      <c r="Y2446" s="51" t="n">
        <v>0</v>
      </c>
      <c r="Z2446" s="51" t="n">
        <v>0</v>
      </c>
      <c r="AA2446" s="52" t="n">
        <v>0</v>
      </c>
      <c r="AB2446" s="52" t="n">
        <v>0</v>
      </c>
      <c r="AC2446" s="52" t="n">
        <v>0</v>
      </c>
      <c r="AD2446" s="52" t="n">
        <v>0</v>
      </c>
      <c r="AE2446" s="52" t="n">
        <v>0</v>
      </c>
      <c r="AF2446" s="52" t="n">
        <v>0</v>
      </c>
      <c r="AG2446" s="52" t="n">
        <v>0</v>
      </c>
      <c r="AH2446" s="52" t="n">
        <v>0</v>
      </c>
      <c r="AI2446" s="52" t="n">
        <v>0</v>
      </c>
      <c r="AJ2446" s="52" t="n">
        <v>0</v>
      </c>
      <c r="AK2446" s="52" t="n">
        <v>0</v>
      </c>
      <c r="AL2446" s="52" t="n">
        <v>0</v>
      </c>
      <c r="AM2446" s="53" t="n">
        <v>0</v>
      </c>
      <c r="AN2446" s="53" t="n">
        <v>0</v>
      </c>
      <c r="AO2446" s="53" t="n">
        <v>0</v>
      </c>
      <c r="AP2446" s="53" t="n">
        <v>0</v>
      </c>
      <c r="AQ2446" s="52" t="n">
        <v>0</v>
      </c>
      <c r="AR2446" s="52" t="n">
        <v>0</v>
      </c>
      <c r="AS2446" s="52" t="n">
        <v>0</v>
      </c>
      <c r="AT2446" s="52" t="n">
        <v>0</v>
      </c>
      <c r="AU2446" s="53" t="n">
        <v>0</v>
      </c>
      <c r="AV2446" s="53" t="n">
        <v>0</v>
      </c>
      <c r="AW2446" s="53" t="n">
        <v>0</v>
      </c>
      <c r="AX2446" s="53" t="n">
        <v>0</v>
      </c>
      <c r="AY2446" s="52" t="n">
        <v>0</v>
      </c>
      <c r="AZ2446" s="52" t="n">
        <v>0</v>
      </c>
      <c r="BA2446" s="52" t="n">
        <v>0</v>
      </c>
      <c r="BB2446" s="52" t="n">
        <v>0</v>
      </c>
      <c r="BC2446" s="51" t="n">
        <v>0</v>
      </c>
      <c r="BD2446" s="51" t="n">
        <v>0</v>
      </c>
      <c r="BE2446" s="51" t="n">
        <v>0</v>
      </c>
      <c r="BF2446" s="51" t="n">
        <v>0</v>
      </c>
    </row>
    <row r="2447">
      <c r="A2447">
        <f>HYPERLINK("https://www.walmart.com/ip/1847913758", "1847913758")</f>
        <v/>
      </c>
      <c r="B2447" t="inlineStr">
        <is>
          <t>Unisex Hunting Fishing Cap Adjustable 3D Embroidery Baseball Hat with Air Mesh Back</t>
        </is>
      </c>
      <c r="C2447" t="inlineStr">
        <is>
          <t>1TRHT7180TREE-12pcs</t>
        </is>
      </c>
      <c r="D2447" t="inlineStr">
        <is>
          <t>Hats</t>
        </is>
      </c>
      <c r="E2447" t="inlineStr">
        <is>
          <t>Tirrinia</t>
        </is>
      </c>
      <c r="G2447" s="48" t="n">
        <v>0</v>
      </c>
      <c r="H2447" s="48" t="n">
        <v>0</v>
      </c>
      <c r="I2447" s="48" t="n">
        <v>0</v>
      </c>
      <c r="J2447" s="48" t="n">
        <v>0</v>
      </c>
      <c r="K2447" s="49" t="n">
        <v>0</v>
      </c>
      <c r="L2447" s="49" t="n">
        <v>0</v>
      </c>
      <c r="M2447" s="49" t="n">
        <v>0</v>
      </c>
      <c r="N2447" s="49" t="n">
        <v>0</v>
      </c>
      <c r="O2447" s="49" t="n">
        <v>0</v>
      </c>
      <c r="P2447" s="49" t="n">
        <v>0</v>
      </c>
      <c r="Q2447" s="49" t="n">
        <v>0</v>
      </c>
      <c r="R2447" s="49" t="n">
        <v>0</v>
      </c>
      <c r="S2447" s="50" t="n">
        <v>0</v>
      </c>
      <c r="T2447" s="50" t="n">
        <v>0</v>
      </c>
      <c r="U2447" s="50" t="n">
        <v>0</v>
      </c>
      <c r="V2447" s="50" t="n">
        <v>0</v>
      </c>
      <c r="W2447" s="51" t="n">
        <v>0</v>
      </c>
      <c r="X2447" s="51" t="n">
        <v>0</v>
      </c>
      <c r="Y2447" s="51" t="n">
        <v>0</v>
      </c>
      <c r="Z2447" s="51" t="n">
        <v>0</v>
      </c>
      <c r="AA2447" s="52" t="n">
        <v>0</v>
      </c>
      <c r="AB2447" s="52" t="n">
        <v>0</v>
      </c>
      <c r="AC2447" s="52" t="n">
        <v>0</v>
      </c>
      <c r="AD2447" s="52" t="n">
        <v>0</v>
      </c>
      <c r="AE2447" s="52" t="n">
        <v>0</v>
      </c>
      <c r="AF2447" s="52" t="n">
        <v>0</v>
      </c>
      <c r="AG2447" s="52" t="n">
        <v>0</v>
      </c>
      <c r="AH2447" s="52" t="n">
        <v>0</v>
      </c>
      <c r="AI2447" s="52" t="n">
        <v>0</v>
      </c>
      <c r="AJ2447" s="52" t="n">
        <v>0</v>
      </c>
      <c r="AK2447" s="52" t="n">
        <v>0</v>
      </c>
      <c r="AL2447" s="52" t="n">
        <v>0</v>
      </c>
      <c r="AM2447" s="53" t="n">
        <v>0</v>
      </c>
      <c r="AN2447" s="53" t="n">
        <v>0</v>
      </c>
      <c r="AO2447" s="53" t="n">
        <v>0</v>
      </c>
      <c r="AP2447" s="53" t="n">
        <v>0</v>
      </c>
      <c r="AQ2447" s="52" t="n">
        <v>0</v>
      </c>
      <c r="AR2447" s="52" t="n">
        <v>0</v>
      </c>
      <c r="AS2447" s="52" t="n">
        <v>0</v>
      </c>
      <c r="AT2447" s="52" t="n">
        <v>0</v>
      </c>
      <c r="AU2447" s="53" t="n">
        <v>0</v>
      </c>
      <c r="AV2447" s="53" t="n">
        <v>0</v>
      </c>
      <c r="AW2447" s="53" t="n">
        <v>0</v>
      </c>
      <c r="AX2447" s="53" t="n">
        <v>0</v>
      </c>
      <c r="AY2447" s="52" t="n">
        <v>0</v>
      </c>
      <c r="AZ2447" s="52" t="n">
        <v>0</v>
      </c>
      <c r="BA2447" s="52" t="n">
        <v>0</v>
      </c>
      <c r="BB2447" s="52" t="n">
        <v>0</v>
      </c>
      <c r="BC2447" s="51" t="n">
        <v>0</v>
      </c>
      <c r="BD2447" s="51" t="n">
        <v>0</v>
      </c>
      <c r="BE2447" s="51" t="n">
        <v>0</v>
      </c>
      <c r="BF2447" s="51" t="n">
        <v>0</v>
      </c>
    </row>
    <row r="2448">
      <c r="A2448">
        <f>HYPERLINK("https://www.walmart.com/ip/184833020", "184833020")</f>
        <v/>
      </c>
      <c r="B2448" t="inlineStr">
        <is>
          <t>Catalonia Adult Knitted Mermaid Tail Blanket with Anti-Slip Neck Strap Soft Snuggie Throw All Seasons Sleep Bag 66.5” x</t>
        </is>
      </c>
      <c r="C2448" t="inlineStr">
        <is>
          <t>1CTMM100BL</t>
        </is>
      </c>
      <c r="D2448" t="inlineStr">
        <is>
          <t>Throws</t>
        </is>
      </c>
      <c r="E2448" t="inlineStr">
        <is>
          <t>Catalonia</t>
        </is>
      </c>
      <c r="F2448" t="inlineStr">
        <is>
          <t>Optimized</t>
        </is>
      </c>
      <c r="G2448" s="48" t="n">
        <v>0</v>
      </c>
      <c r="H2448" s="48" t="n">
        <v>0</v>
      </c>
      <c r="I2448" s="48" t="n">
        <v>0</v>
      </c>
      <c r="J2448" s="48" t="n">
        <v>0</v>
      </c>
      <c r="K2448" s="49" t="n">
        <v>0</v>
      </c>
      <c r="L2448" s="49" t="n">
        <v>0</v>
      </c>
      <c r="M2448" s="49" t="n">
        <v>0</v>
      </c>
      <c r="N2448" s="49" t="n">
        <v>0</v>
      </c>
      <c r="O2448" s="49" t="n">
        <v>0</v>
      </c>
      <c r="P2448" s="49" t="n">
        <v>0</v>
      </c>
      <c r="Q2448" s="49" t="n">
        <v>0</v>
      </c>
      <c r="R2448" s="49" t="n">
        <v>0</v>
      </c>
      <c r="S2448" s="50" t="n">
        <v>0</v>
      </c>
      <c r="T2448" s="50" t="n">
        <v>0</v>
      </c>
      <c r="U2448" s="50" t="n">
        <v>0</v>
      </c>
      <c r="V2448" s="50" t="n">
        <v>0</v>
      </c>
      <c r="W2448" s="51" t="n">
        <v>0</v>
      </c>
      <c r="X2448" s="51" t="n">
        <v>0</v>
      </c>
      <c r="Y2448" s="51" t="n">
        <v>0</v>
      </c>
      <c r="Z2448" s="51" t="n">
        <v>0</v>
      </c>
      <c r="AA2448" s="52" t="n">
        <v>0</v>
      </c>
      <c r="AB2448" s="52" t="n">
        <v>0</v>
      </c>
      <c r="AC2448" s="52" t="n">
        <v>0</v>
      </c>
      <c r="AD2448" s="52" t="n">
        <v>0</v>
      </c>
      <c r="AE2448" s="52" t="n">
        <v>0</v>
      </c>
      <c r="AF2448" s="52" t="n">
        <v>0</v>
      </c>
      <c r="AG2448" s="52" t="n">
        <v>0</v>
      </c>
      <c r="AH2448" s="52" t="n">
        <v>0</v>
      </c>
      <c r="AI2448" s="52" t="n">
        <v>0</v>
      </c>
      <c r="AJ2448" s="52" t="n">
        <v>0</v>
      </c>
      <c r="AK2448" s="52" t="n">
        <v>0</v>
      </c>
      <c r="AL2448" s="52" t="n">
        <v>0</v>
      </c>
      <c r="AM2448" s="53" t="n">
        <v>0</v>
      </c>
      <c r="AN2448" s="53" t="n">
        <v>0</v>
      </c>
      <c r="AO2448" s="53" t="n">
        <v>0</v>
      </c>
      <c r="AP2448" s="53" t="n">
        <v>0</v>
      </c>
      <c r="AQ2448" s="52" t="n">
        <v>0</v>
      </c>
      <c r="AR2448" s="52" t="n">
        <v>0</v>
      </c>
      <c r="AS2448" s="52" t="n">
        <v>0</v>
      </c>
      <c r="AT2448" s="52" t="n">
        <v>0</v>
      </c>
      <c r="AU2448" s="53" t="n">
        <v>0</v>
      </c>
      <c r="AV2448" s="53" t="n">
        <v>0</v>
      </c>
      <c r="AW2448" s="53" t="n">
        <v>0</v>
      </c>
      <c r="AX2448" s="53" t="n">
        <v>0</v>
      </c>
      <c r="AY2448" s="52" t="n">
        <v>0</v>
      </c>
      <c r="AZ2448" s="52" t="n">
        <v>0</v>
      </c>
      <c r="BA2448" s="52" t="n">
        <v>0</v>
      </c>
      <c r="BB2448" s="52" t="n">
        <v>0</v>
      </c>
      <c r="BC2448" s="51" t="n">
        <v>0</v>
      </c>
      <c r="BD2448" s="51" t="n">
        <v>0</v>
      </c>
      <c r="BE2448" s="51" t="n">
        <v>0</v>
      </c>
      <c r="BF2448" s="51" t="n">
        <v>0</v>
      </c>
    </row>
    <row r="2449">
      <c r="A2449">
        <f>HYPERLINK("https://www.walmart.com/ip/184938055", "184938055")</f>
        <v/>
      </c>
      <c r="B2449" t="inlineStr">
        <is>
          <t>Vina 2-Bottle Wine Tote Carrier, Insulated Travel Wine Cooler Bag with Leather Handles, Grey</t>
        </is>
      </c>
      <c r="C2449" t="inlineStr">
        <is>
          <t>VINAWB007GY</t>
        </is>
      </c>
      <c r="D2449" t="inlineStr">
        <is>
          <t>Wine Totes, Bags &amp; Backpacks</t>
        </is>
      </c>
      <c r="E2449" t="inlineStr">
        <is>
          <t>Vina</t>
        </is>
      </c>
      <c r="F2449" t="inlineStr">
        <is>
          <t>Wine,Christmas,Optimized,Valentine</t>
        </is>
      </c>
      <c r="G2449" s="48" t="n">
        <v>0</v>
      </c>
      <c r="H2449" s="48" t="n">
        <v>0</v>
      </c>
      <c r="I2449" s="48" t="n">
        <v>0</v>
      </c>
      <c r="J2449" s="48" t="n">
        <v>0</v>
      </c>
      <c r="K2449" s="49" t="n">
        <v>0</v>
      </c>
      <c r="L2449" s="49" t="n">
        <v>0</v>
      </c>
      <c r="M2449" s="49" t="n">
        <v>0</v>
      </c>
      <c r="N2449" s="49" t="n">
        <v>0</v>
      </c>
      <c r="O2449" s="49" t="n">
        <v>0</v>
      </c>
      <c r="P2449" s="49" t="n">
        <v>0</v>
      </c>
      <c r="Q2449" s="49" t="n">
        <v>0</v>
      </c>
      <c r="R2449" s="49" t="n">
        <v>0</v>
      </c>
      <c r="S2449" s="50" t="n">
        <v>0</v>
      </c>
      <c r="T2449" s="50" t="n">
        <v>0</v>
      </c>
      <c r="U2449" s="50" t="n">
        <v>0</v>
      </c>
      <c r="V2449" s="50" t="n">
        <v>0</v>
      </c>
      <c r="W2449" s="51" t="n">
        <v>0</v>
      </c>
      <c r="X2449" s="51" t="n">
        <v>0</v>
      </c>
      <c r="Y2449" s="51" t="n">
        <v>0</v>
      </c>
      <c r="Z2449" s="51" t="n">
        <v>0</v>
      </c>
      <c r="AA2449" s="52" t="n">
        <v>0</v>
      </c>
      <c r="AB2449" s="52" t="n">
        <v>0</v>
      </c>
      <c r="AC2449" s="52" t="n">
        <v>0</v>
      </c>
      <c r="AD2449" s="52" t="n">
        <v>0</v>
      </c>
      <c r="AE2449" s="52" t="n">
        <v>0</v>
      </c>
      <c r="AF2449" s="52" t="n">
        <v>0</v>
      </c>
      <c r="AG2449" s="52" t="n">
        <v>0</v>
      </c>
      <c r="AH2449" s="52" t="n">
        <v>0</v>
      </c>
      <c r="AI2449" s="52" t="n">
        <v>0</v>
      </c>
      <c r="AJ2449" s="52" t="n">
        <v>0</v>
      </c>
      <c r="AK2449" s="52" t="n">
        <v>0</v>
      </c>
      <c r="AL2449" s="52" t="n">
        <v>0</v>
      </c>
      <c r="AM2449" s="53" t="n">
        <v>0</v>
      </c>
      <c r="AN2449" s="53" t="n">
        <v>0</v>
      </c>
      <c r="AO2449" s="53" t="n">
        <v>0</v>
      </c>
      <c r="AP2449" s="53" t="n">
        <v>0</v>
      </c>
      <c r="AQ2449" s="52" t="n">
        <v>0</v>
      </c>
      <c r="AR2449" s="52" t="n">
        <v>0</v>
      </c>
      <c r="AS2449" s="52" t="n">
        <v>0</v>
      </c>
      <c r="AT2449" s="52" t="n">
        <v>0</v>
      </c>
      <c r="AU2449" s="53" t="n">
        <v>0</v>
      </c>
      <c r="AV2449" s="53" t="n">
        <v>0</v>
      </c>
      <c r="AW2449" s="53" t="n">
        <v>0</v>
      </c>
      <c r="AX2449" s="53" t="n">
        <v>0</v>
      </c>
      <c r="AY2449" s="52" t="n">
        <v>0</v>
      </c>
      <c r="AZ2449" s="52" t="n">
        <v>0</v>
      </c>
      <c r="BA2449" s="52" t="n">
        <v>0</v>
      </c>
      <c r="BB2449" s="52" t="n">
        <v>0</v>
      </c>
      <c r="BC2449" s="51" t="n">
        <v>0</v>
      </c>
      <c r="BD2449" s="51" t="n">
        <v>0</v>
      </c>
      <c r="BE2449" s="51" t="n">
        <v>0</v>
      </c>
      <c r="BF2449" s="51" t="n">
        <v>0</v>
      </c>
    </row>
    <row r="2450">
      <c r="A2450">
        <f>HYPERLINK("https://www.walmart.com/ip/185246561", "185246561")</f>
        <v/>
      </c>
      <c r="B2450" t="inlineStr">
        <is>
          <t>Terra Faux Fur Pom Pom Beanie Hat Thick Slouchy Cable Knit Unisex Stretches to Fit Most</t>
        </is>
      </c>
      <c r="C2450" t="inlineStr">
        <is>
          <t>TERRAPPH02PP</t>
        </is>
      </c>
      <c r="D2450" t="inlineStr">
        <is>
          <t>Hats</t>
        </is>
      </c>
      <c r="E2450" t="inlineStr">
        <is>
          <t>Terra</t>
        </is>
      </c>
      <c r="F2450" t="inlineStr">
        <is>
          <t>Optimized</t>
        </is>
      </c>
      <c r="G2450" s="48" t="n">
        <v>0</v>
      </c>
      <c r="H2450" s="48" t="n">
        <v>0</v>
      </c>
      <c r="I2450" s="48" t="n">
        <v>0</v>
      </c>
      <c r="J2450" s="48" t="n">
        <v>0</v>
      </c>
      <c r="K2450" s="49" t="n">
        <v>0</v>
      </c>
      <c r="L2450" s="49" t="n">
        <v>0</v>
      </c>
      <c r="M2450" s="49" t="n">
        <v>0</v>
      </c>
      <c r="N2450" s="49" t="n">
        <v>0</v>
      </c>
      <c r="O2450" s="49" t="n">
        <v>0</v>
      </c>
      <c r="P2450" s="49" t="n">
        <v>0</v>
      </c>
      <c r="Q2450" s="49" t="n">
        <v>0</v>
      </c>
      <c r="R2450" s="49" t="n">
        <v>0</v>
      </c>
      <c r="S2450" s="50" t="n">
        <v>0</v>
      </c>
      <c r="T2450" s="50" t="n">
        <v>0</v>
      </c>
      <c r="U2450" s="50" t="n">
        <v>0</v>
      </c>
      <c r="V2450" s="50" t="n">
        <v>0</v>
      </c>
      <c r="W2450" s="51" t="n">
        <v>0</v>
      </c>
      <c r="X2450" s="51" t="n">
        <v>0</v>
      </c>
      <c r="Y2450" s="51" t="n">
        <v>0</v>
      </c>
      <c r="Z2450" s="51" t="n">
        <v>0</v>
      </c>
      <c r="AA2450" s="52" t="n">
        <v>0</v>
      </c>
      <c r="AB2450" s="52" t="n">
        <v>0</v>
      </c>
      <c r="AC2450" s="52" t="n">
        <v>0</v>
      </c>
      <c r="AD2450" s="52" t="n">
        <v>0</v>
      </c>
      <c r="AE2450" s="52" t="n">
        <v>0</v>
      </c>
      <c r="AF2450" s="52" t="n">
        <v>0</v>
      </c>
      <c r="AG2450" s="52" t="n">
        <v>0</v>
      </c>
      <c r="AH2450" s="52" t="n">
        <v>0</v>
      </c>
      <c r="AI2450" s="52" t="n">
        <v>0</v>
      </c>
      <c r="AJ2450" s="52" t="n">
        <v>0</v>
      </c>
      <c r="AK2450" s="52" t="n">
        <v>0</v>
      </c>
      <c r="AL2450" s="52" t="n">
        <v>0</v>
      </c>
      <c r="AM2450" s="53" t="n">
        <v>0</v>
      </c>
      <c r="AN2450" s="53" t="n">
        <v>0</v>
      </c>
      <c r="AO2450" s="53" t="n">
        <v>0</v>
      </c>
      <c r="AP2450" s="53" t="n">
        <v>0</v>
      </c>
      <c r="AQ2450" s="52" t="n">
        <v>0</v>
      </c>
      <c r="AR2450" s="52" t="n">
        <v>0</v>
      </c>
      <c r="AS2450" s="52" t="n">
        <v>0</v>
      </c>
      <c r="AT2450" s="52" t="n">
        <v>0</v>
      </c>
      <c r="AU2450" s="53" t="n">
        <v>0</v>
      </c>
      <c r="AV2450" s="53" t="n">
        <v>0</v>
      </c>
      <c r="AW2450" s="53" t="n">
        <v>0</v>
      </c>
      <c r="AX2450" s="53" t="n">
        <v>0</v>
      </c>
      <c r="AY2450" s="52" t="n">
        <v>0</v>
      </c>
      <c r="AZ2450" s="52" t="n">
        <v>0</v>
      </c>
      <c r="BA2450" s="52" t="n">
        <v>0</v>
      </c>
      <c r="BB2450" s="52" t="n">
        <v>0</v>
      </c>
      <c r="BC2450" s="51" t="n">
        <v>0</v>
      </c>
      <c r="BD2450" s="51" t="n">
        <v>0</v>
      </c>
      <c r="BE2450" s="51" t="n">
        <v>0</v>
      </c>
      <c r="BF2450" s="51" t="n">
        <v>0</v>
      </c>
    </row>
    <row r="2451">
      <c r="A2451">
        <f>HYPERLINK("https://www.walmart.com/ip/185265469", "185265469")</f>
        <v/>
      </c>
      <c r="B2451" t="inlineStr">
        <is>
          <t>JenniWears Women's Beileise Sexy Net Pantyhose Stockings Sheer Ultrathin Socks</t>
        </is>
      </c>
      <c r="C2451" t="inlineStr">
        <is>
          <t>JWBLSPH2086</t>
        </is>
      </c>
      <c r="D2451" t="inlineStr">
        <is>
          <t>Pantyhose &amp; Tights</t>
        </is>
      </c>
      <c r="E2451" t="inlineStr">
        <is>
          <t>JenniWears</t>
        </is>
      </c>
      <c r="F2451" t="inlineStr">
        <is>
          <t>Optimized,Valentine</t>
        </is>
      </c>
      <c r="G2451" s="48" t="n">
        <v>0</v>
      </c>
      <c r="H2451" s="48" t="n">
        <v>0</v>
      </c>
      <c r="I2451" s="48" t="n">
        <v>0</v>
      </c>
      <c r="J2451" s="48" t="n">
        <v>0</v>
      </c>
      <c r="K2451" s="49" t="n">
        <v>0</v>
      </c>
      <c r="L2451" s="49" t="n">
        <v>0</v>
      </c>
      <c r="M2451" s="49" t="n">
        <v>0</v>
      </c>
      <c r="N2451" s="49" t="n">
        <v>0</v>
      </c>
      <c r="O2451" s="49" t="n">
        <v>0</v>
      </c>
      <c r="P2451" s="49" t="n">
        <v>0</v>
      </c>
      <c r="Q2451" s="49" t="n">
        <v>0</v>
      </c>
      <c r="R2451" s="49" t="n">
        <v>0</v>
      </c>
      <c r="S2451" s="50" t="n">
        <v>0</v>
      </c>
      <c r="T2451" s="50" t="n">
        <v>0</v>
      </c>
      <c r="U2451" s="50" t="n">
        <v>0</v>
      </c>
      <c r="V2451" s="50" t="n">
        <v>0</v>
      </c>
      <c r="W2451" s="51" t="n">
        <v>0</v>
      </c>
      <c r="X2451" s="51" t="n">
        <v>0</v>
      </c>
      <c r="Y2451" s="51" t="n">
        <v>0</v>
      </c>
      <c r="Z2451" s="51" t="n">
        <v>0</v>
      </c>
      <c r="AA2451" s="52" t="n">
        <v>0</v>
      </c>
      <c r="AB2451" s="52" t="n">
        <v>0</v>
      </c>
      <c r="AC2451" s="52" t="n">
        <v>0</v>
      </c>
      <c r="AD2451" s="52" t="n">
        <v>0</v>
      </c>
      <c r="AE2451" s="52" t="n">
        <v>0</v>
      </c>
      <c r="AF2451" s="52" t="n">
        <v>0</v>
      </c>
      <c r="AG2451" s="52" t="n">
        <v>0</v>
      </c>
      <c r="AH2451" s="52" t="n">
        <v>0</v>
      </c>
      <c r="AI2451" s="52" t="n">
        <v>0</v>
      </c>
      <c r="AJ2451" s="52" t="n">
        <v>0</v>
      </c>
      <c r="AK2451" s="52" t="n">
        <v>0</v>
      </c>
      <c r="AL2451" s="52" t="n">
        <v>0</v>
      </c>
      <c r="AM2451" s="53" t="n">
        <v>0</v>
      </c>
      <c r="AN2451" s="53" t="n">
        <v>0</v>
      </c>
      <c r="AO2451" s="53" t="n">
        <v>0</v>
      </c>
      <c r="AP2451" s="53" t="n">
        <v>0</v>
      </c>
      <c r="AQ2451" s="52" t="n">
        <v>0</v>
      </c>
      <c r="AR2451" s="52" t="n">
        <v>0</v>
      </c>
      <c r="AS2451" s="52" t="n">
        <v>0</v>
      </c>
      <c r="AT2451" s="52" t="n">
        <v>0</v>
      </c>
      <c r="AU2451" s="53" t="n">
        <v>0</v>
      </c>
      <c r="AV2451" s="53" t="n">
        <v>0</v>
      </c>
      <c r="AW2451" s="53" t="n">
        <v>0</v>
      </c>
      <c r="AX2451" s="53" t="n">
        <v>0</v>
      </c>
      <c r="AY2451" s="52" t="n">
        <v>0</v>
      </c>
      <c r="AZ2451" s="52" t="n">
        <v>0</v>
      </c>
      <c r="BA2451" s="52" t="n">
        <v>0</v>
      </c>
      <c r="BB2451" s="52" t="n">
        <v>0</v>
      </c>
      <c r="BC2451" s="51" t="n">
        <v>0</v>
      </c>
      <c r="BD2451" s="51" t="n">
        <v>0</v>
      </c>
      <c r="BE2451" s="51" t="n">
        <v>0</v>
      </c>
      <c r="BF2451" s="51" t="n">
        <v>0</v>
      </c>
    </row>
    <row r="2452">
      <c r="A2452">
        <f>HYPERLINK("https://www.walmart.com/ip/185396814", "185396814")</f>
        <v/>
      </c>
      <c r="B2452" t="inlineStr">
        <is>
          <t>JenniWears Women Beileise Sexy Top Thigh High Stockings+ Garter Belt Suspender</t>
        </is>
      </c>
      <c r="C2452" t="inlineStr">
        <is>
          <t>JWBLSPH2011</t>
        </is>
      </c>
      <c r="D2452" t="inlineStr">
        <is>
          <t>Pantyhose &amp; Tights</t>
        </is>
      </c>
      <c r="E2452" t="inlineStr">
        <is>
          <t>JenniWears</t>
        </is>
      </c>
      <c r="F2452" t="inlineStr">
        <is>
          <t>Optimized,Valentine</t>
        </is>
      </c>
      <c r="G2452" s="48" t="n">
        <v>0</v>
      </c>
      <c r="H2452" s="48" t="n">
        <v>0</v>
      </c>
      <c r="I2452" s="48" t="n">
        <v>0</v>
      </c>
      <c r="J2452" s="48" t="n">
        <v>0</v>
      </c>
      <c r="K2452" s="49" t="n">
        <v>0</v>
      </c>
      <c r="L2452" s="49" t="n">
        <v>0</v>
      </c>
      <c r="M2452" s="49" t="n">
        <v>0</v>
      </c>
      <c r="N2452" s="49" t="n">
        <v>0</v>
      </c>
      <c r="O2452" s="49" t="n">
        <v>0</v>
      </c>
      <c r="P2452" s="49" t="n">
        <v>0</v>
      </c>
      <c r="Q2452" s="49" t="n">
        <v>0</v>
      </c>
      <c r="R2452" s="49" t="n">
        <v>0</v>
      </c>
      <c r="S2452" s="50" t="n">
        <v>0</v>
      </c>
      <c r="T2452" s="50" t="n">
        <v>0</v>
      </c>
      <c r="U2452" s="50" t="n">
        <v>0</v>
      </c>
      <c r="V2452" s="50" t="n">
        <v>0</v>
      </c>
      <c r="W2452" s="51" t="n">
        <v>0</v>
      </c>
      <c r="X2452" s="51" t="n">
        <v>0</v>
      </c>
      <c r="Y2452" s="51" t="n">
        <v>0</v>
      </c>
      <c r="Z2452" s="51" t="n">
        <v>0</v>
      </c>
      <c r="AA2452" s="52" t="n">
        <v>0</v>
      </c>
      <c r="AB2452" s="52" t="n">
        <v>0</v>
      </c>
      <c r="AC2452" s="52" t="n">
        <v>0</v>
      </c>
      <c r="AD2452" s="52" t="n">
        <v>0</v>
      </c>
      <c r="AE2452" s="52" t="n">
        <v>0</v>
      </c>
      <c r="AF2452" s="52" t="n">
        <v>0</v>
      </c>
      <c r="AG2452" s="52" t="n">
        <v>0</v>
      </c>
      <c r="AH2452" s="52" t="n">
        <v>0</v>
      </c>
      <c r="AI2452" s="52" t="n">
        <v>0</v>
      </c>
      <c r="AJ2452" s="52" t="n">
        <v>0</v>
      </c>
      <c r="AK2452" s="52" t="n">
        <v>0</v>
      </c>
      <c r="AL2452" s="52" t="n">
        <v>0</v>
      </c>
      <c r="AM2452" s="53" t="n">
        <v>0</v>
      </c>
      <c r="AN2452" s="53" t="n">
        <v>0</v>
      </c>
      <c r="AO2452" s="53" t="n">
        <v>0</v>
      </c>
      <c r="AP2452" s="53" t="n">
        <v>0</v>
      </c>
      <c r="AQ2452" s="52" t="n">
        <v>0</v>
      </c>
      <c r="AR2452" s="52" t="n">
        <v>0</v>
      </c>
      <c r="AS2452" s="52" t="n">
        <v>0</v>
      </c>
      <c r="AT2452" s="52" t="n">
        <v>0</v>
      </c>
      <c r="AU2452" s="53" t="n">
        <v>0</v>
      </c>
      <c r="AV2452" s="53" t="n">
        <v>0</v>
      </c>
      <c r="AW2452" s="53" t="n">
        <v>0</v>
      </c>
      <c r="AX2452" s="53" t="n">
        <v>0</v>
      </c>
      <c r="AY2452" s="52" t="n">
        <v>0</v>
      </c>
      <c r="AZ2452" s="52" t="n">
        <v>0</v>
      </c>
      <c r="BA2452" s="52" t="n">
        <v>0</v>
      </c>
      <c r="BB2452" s="52" t="n">
        <v>0</v>
      </c>
      <c r="BC2452" s="51" t="n">
        <v>0</v>
      </c>
      <c r="BD2452" s="51" t="n">
        <v>0</v>
      </c>
      <c r="BE2452" s="51" t="n">
        <v>0</v>
      </c>
      <c r="BF2452" s="51" t="n">
        <v>0</v>
      </c>
    </row>
    <row r="2453">
      <c r="A2453">
        <f>HYPERLINK("https://www.walmart.com/ip/1857465304", "1857465304")</f>
        <v/>
      </c>
      <c r="B2453" t="inlineStr">
        <is>
          <t>Tirrinia Men's Trout Ventilate Mesh Fish Embroidery Cap Fishing Hat Navy Blue</t>
        </is>
      </c>
      <c r="C2453" t="inlineStr">
        <is>
          <t>1TRHT7180BRKUP-12pcs</t>
        </is>
      </c>
      <c r="D2453" t="inlineStr">
        <is>
          <t>Hats</t>
        </is>
      </c>
      <c r="E2453" t="inlineStr">
        <is>
          <t>Tirrinia</t>
        </is>
      </c>
      <c r="G2453" s="48" t="n">
        <v>0</v>
      </c>
      <c r="H2453" s="48" t="n">
        <v>0</v>
      </c>
      <c r="I2453" s="48" t="n">
        <v>0</v>
      </c>
      <c r="J2453" s="48" t="n">
        <v>0</v>
      </c>
      <c r="K2453" s="49" t="n">
        <v>0</v>
      </c>
      <c r="L2453" s="49" t="n">
        <v>0</v>
      </c>
      <c r="M2453" s="49" t="n">
        <v>0</v>
      </c>
      <c r="N2453" s="49" t="n">
        <v>0</v>
      </c>
      <c r="O2453" s="49" t="n">
        <v>0</v>
      </c>
      <c r="P2453" s="49" t="n">
        <v>0</v>
      </c>
      <c r="Q2453" s="49" t="n">
        <v>0</v>
      </c>
      <c r="R2453" s="49" t="n">
        <v>0</v>
      </c>
      <c r="S2453" s="50" t="n">
        <v>0</v>
      </c>
      <c r="T2453" s="50" t="n">
        <v>0</v>
      </c>
      <c r="U2453" s="50" t="n">
        <v>0</v>
      </c>
      <c r="V2453" s="50" t="n">
        <v>0</v>
      </c>
      <c r="W2453" s="51" t="n">
        <v>0</v>
      </c>
      <c r="X2453" s="51" t="n">
        <v>0</v>
      </c>
      <c r="Y2453" s="51" t="n">
        <v>0</v>
      </c>
      <c r="Z2453" s="51" t="n">
        <v>0</v>
      </c>
      <c r="AA2453" s="52" t="n">
        <v>0</v>
      </c>
      <c r="AB2453" s="52" t="n">
        <v>0</v>
      </c>
      <c r="AC2453" s="52" t="n">
        <v>0</v>
      </c>
      <c r="AD2453" s="52" t="n">
        <v>0</v>
      </c>
      <c r="AE2453" s="52" t="n">
        <v>0</v>
      </c>
      <c r="AF2453" s="52" t="n">
        <v>0</v>
      </c>
      <c r="AG2453" s="52" t="n">
        <v>0</v>
      </c>
      <c r="AH2453" s="52" t="n">
        <v>0</v>
      </c>
      <c r="AI2453" s="52" t="n">
        <v>0</v>
      </c>
      <c r="AJ2453" s="52" t="n">
        <v>0</v>
      </c>
      <c r="AK2453" s="52" t="n">
        <v>0</v>
      </c>
      <c r="AL2453" s="52" t="n">
        <v>0</v>
      </c>
      <c r="AM2453" s="53" t="n">
        <v>0</v>
      </c>
      <c r="AN2453" s="53" t="n">
        <v>0</v>
      </c>
      <c r="AO2453" s="53" t="n">
        <v>0</v>
      </c>
      <c r="AP2453" s="53" t="n">
        <v>0</v>
      </c>
      <c r="AQ2453" s="52" t="n">
        <v>0</v>
      </c>
      <c r="AR2453" s="52" t="n">
        <v>0</v>
      </c>
      <c r="AS2453" s="52" t="n">
        <v>0</v>
      </c>
      <c r="AT2453" s="52" t="n">
        <v>0</v>
      </c>
      <c r="AU2453" s="53" t="n">
        <v>0</v>
      </c>
      <c r="AV2453" s="53" t="n">
        <v>0</v>
      </c>
      <c r="AW2453" s="53" t="n">
        <v>0</v>
      </c>
      <c r="AX2453" s="53" t="n">
        <v>0</v>
      </c>
      <c r="AY2453" s="52" t="n">
        <v>0</v>
      </c>
      <c r="AZ2453" s="52" t="n">
        <v>0</v>
      </c>
      <c r="BA2453" s="52" t="n">
        <v>0</v>
      </c>
      <c r="BB2453" s="52" t="n">
        <v>0</v>
      </c>
      <c r="BC2453" s="51" t="n">
        <v>0</v>
      </c>
      <c r="BD2453" s="51" t="n">
        <v>0</v>
      </c>
      <c r="BE2453" s="51" t="n">
        <v>0</v>
      </c>
      <c r="BF2453" s="51" t="n">
        <v>0</v>
      </c>
    </row>
    <row r="2454">
      <c r="A2454">
        <f>HYPERLINK("https://www.walmart.com/ip/185750230", "185750230")</f>
        <v/>
      </c>
      <c r="B2454" t="inlineStr">
        <is>
          <t>Terra Active Wrap- Stylish Running workout travel waist belt w/ hidden pocket</t>
        </is>
      </c>
      <c r="C2454" t="inlineStr">
        <is>
          <t>TERRA-5NG-L</t>
        </is>
      </c>
      <c r="D2454" t="inlineStr">
        <is>
          <t>Running Belts</t>
        </is>
      </c>
      <c r="E2454" t="inlineStr">
        <is>
          <t>Terra</t>
        </is>
      </c>
      <c r="F2454" t="inlineStr">
        <is>
          <t>Optimized</t>
        </is>
      </c>
      <c r="G2454" s="48" t="n">
        <v>0</v>
      </c>
      <c r="H2454" s="48" t="n">
        <v>0</v>
      </c>
      <c r="I2454" s="48" t="n">
        <v>0</v>
      </c>
      <c r="J2454" s="48" t="n">
        <v>0</v>
      </c>
      <c r="K2454" s="49" t="n">
        <v>0</v>
      </c>
      <c r="L2454" s="49" t="n">
        <v>0</v>
      </c>
      <c r="M2454" s="49" t="n">
        <v>0</v>
      </c>
      <c r="N2454" s="49" t="n">
        <v>0</v>
      </c>
      <c r="O2454" s="49" t="n">
        <v>0</v>
      </c>
      <c r="P2454" s="49" t="n">
        <v>0</v>
      </c>
      <c r="Q2454" s="49" t="n">
        <v>0</v>
      </c>
      <c r="R2454" s="49" t="n">
        <v>0</v>
      </c>
      <c r="S2454" s="50" t="n">
        <v>0</v>
      </c>
      <c r="T2454" s="50" t="n">
        <v>0</v>
      </c>
      <c r="U2454" s="50" t="n">
        <v>0</v>
      </c>
      <c r="V2454" s="50" t="n">
        <v>0</v>
      </c>
      <c r="W2454" s="51" t="n">
        <v>0</v>
      </c>
      <c r="X2454" s="51" t="n">
        <v>0</v>
      </c>
      <c r="Y2454" s="51" t="n">
        <v>0</v>
      </c>
      <c r="Z2454" s="51" t="n">
        <v>0</v>
      </c>
      <c r="AA2454" s="52" t="n">
        <v>0</v>
      </c>
      <c r="AB2454" s="52" t="n">
        <v>0</v>
      </c>
      <c r="AC2454" s="52" t="n">
        <v>0</v>
      </c>
      <c r="AD2454" s="52" t="n">
        <v>0</v>
      </c>
      <c r="AE2454" s="52" t="n">
        <v>0</v>
      </c>
      <c r="AF2454" s="52" t="n">
        <v>0</v>
      </c>
      <c r="AG2454" s="52" t="n">
        <v>0</v>
      </c>
      <c r="AH2454" s="52" t="n">
        <v>0</v>
      </c>
      <c r="AI2454" s="52" t="n">
        <v>0</v>
      </c>
      <c r="AJ2454" s="52" t="n">
        <v>0</v>
      </c>
      <c r="AK2454" s="52" t="n">
        <v>0</v>
      </c>
      <c r="AL2454" s="52" t="n">
        <v>0</v>
      </c>
      <c r="AM2454" s="53" t="n">
        <v>0</v>
      </c>
      <c r="AN2454" s="53" t="n">
        <v>0</v>
      </c>
      <c r="AO2454" s="53" t="n">
        <v>0</v>
      </c>
      <c r="AP2454" s="53" t="n">
        <v>0</v>
      </c>
      <c r="AQ2454" s="52" t="n">
        <v>0</v>
      </c>
      <c r="AR2454" s="52" t="n">
        <v>0</v>
      </c>
      <c r="AS2454" s="52" t="n">
        <v>0</v>
      </c>
      <c r="AT2454" s="52" t="n">
        <v>0</v>
      </c>
      <c r="AU2454" s="53" t="n">
        <v>0</v>
      </c>
      <c r="AV2454" s="53" t="n">
        <v>0</v>
      </c>
      <c r="AW2454" s="53" t="n">
        <v>0</v>
      </c>
      <c r="AX2454" s="53" t="n">
        <v>0</v>
      </c>
      <c r="AY2454" s="52" t="n">
        <v>0</v>
      </c>
      <c r="AZ2454" s="52" t="n">
        <v>0</v>
      </c>
      <c r="BA2454" s="52" t="n">
        <v>0</v>
      </c>
      <c r="BB2454" s="52" t="n">
        <v>0</v>
      </c>
      <c r="BC2454" s="51" t="n">
        <v>0</v>
      </c>
      <c r="BD2454" s="51" t="n">
        <v>0</v>
      </c>
      <c r="BE2454" s="51" t="n">
        <v>0</v>
      </c>
      <c r="BF2454" s="51" t="n">
        <v>0</v>
      </c>
    </row>
    <row r="2455">
      <c r="A2455">
        <f>HYPERLINK("https://www.walmart.com/ip/186176334", "186176334")</f>
        <v/>
      </c>
      <c r="B2455" t="inlineStr">
        <is>
          <t>KC Caps Pom Pom Toque Beanie</t>
        </is>
      </c>
      <c r="C2455" t="inlineStr">
        <is>
          <t>KCW1711BK</t>
        </is>
      </c>
      <c r="D2455" t="inlineStr">
        <is>
          <t>Hats</t>
        </is>
      </c>
      <c r="E2455" t="inlineStr">
        <is>
          <t>KC Caps</t>
        </is>
      </c>
      <c r="F2455" t="inlineStr">
        <is>
          <t>Optimized</t>
        </is>
      </c>
      <c r="G2455" s="48" t="n">
        <v>0</v>
      </c>
      <c r="H2455" s="48" t="n">
        <v>0</v>
      </c>
      <c r="I2455" s="48" t="n">
        <v>0</v>
      </c>
      <c r="J2455" s="48" t="n">
        <v>0</v>
      </c>
      <c r="K2455" s="49" t="n">
        <v>0</v>
      </c>
      <c r="L2455" s="49" t="n">
        <v>0</v>
      </c>
      <c r="M2455" s="49" t="n">
        <v>0</v>
      </c>
      <c r="N2455" s="49" t="n">
        <v>0</v>
      </c>
      <c r="O2455" s="49" t="n">
        <v>0</v>
      </c>
      <c r="P2455" s="49" t="n">
        <v>0</v>
      </c>
      <c r="Q2455" s="49" t="n">
        <v>0</v>
      </c>
      <c r="R2455" s="49" t="n">
        <v>0</v>
      </c>
      <c r="S2455" s="50" t="n">
        <v>0</v>
      </c>
      <c r="T2455" s="50" t="n">
        <v>0</v>
      </c>
      <c r="U2455" s="50" t="n">
        <v>0</v>
      </c>
      <c r="V2455" s="50" t="n">
        <v>0</v>
      </c>
      <c r="W2455" s="51" t="n">
        <v>0</v>
      </c>
      <c r="X2455" s="51" t="n">
        <v>0</v>
      </c>
      <c r="Y2455" s="51" t="n">
        <v>0</v>
      </c>
      <c r="Z2455" s="51" t="n">
        <v>0</v>
      </c>
      <c r="AA2455" s="52" t="n">
        <v>0</v>
      </c>
      <c r="AB2455" s="52" t="n">
        <v>0</v>
      </c>
      <c r="AC2455" s="52" t="n">
        <v>0</v>
      </c>
      <c r="AD2455" s="52" t="n">
        <v>0</v>
      </c>
      <c r="AE2455" s="52" t="n">
        <v>0</v>
      </c>
      <c r="AF2455" s="52" t="n">
        <v>0</v>
      </c>
      <c r="AG2455" s="52" t="n">
        <v>0</v>
      </c>
      <c r="AH2455" s="52" t="n">
        <v>0</v>
      </c>
      <c r="AI2455" s="52" t="n">
        <v>0</v>
      </c>
      <c r="AJ2455" s="52" t="n">
        <v>0</v>
      </c>
      <c r="AK2455" s="52" t="n">
        <v>0</v>
      </c>
      <c r="AL2455" s="52" t="n">
        <v>0</v>
      </c>
      <c r="AM2455" s="53" t="n">
        <v>0</v>
      </c>
      <c r="AN2455" s="53" t="n">
        <v>0</v>
      </c>
      <c r="AO2455" s="53" t="n">
        <v>0</v>
      </c>
      <c r="AP2455" s="53" t="n">
        <v>0</v>
      </c>
      <c r="AQ2455" s="52" t="n">
        <v>0</v>
      </c>
      <c r="AR2455" s="52" t="n">
        <v>0</v>
      </c>
      <c r="AS2455" s="52" t="n">
        <v>0</v>
      </c>
      <c r="AT2455" s="52" t="n">
        <v>0</v>
      </c>
      <c r="AU2455" s="53" t="n">
        <v>0</v>
      </c>
      <c r="AV2455" s="53" t="n">
        <v>0</v>
      </c>
      <c r="AW2455" s="53" t="n">
        <v>0</v>
      </c>
      <c r="AX2455" s="53" t="n">
        <v>0</v>
      </c>
      <c r="AY2455" s="52" t="n">
        <v>0</v>
      </c>
      <c r="AZ2455" s="52" t="n">
        <v>0</v>
      </c>
      <c r="BA2455" s="52" t="n">
        <v>0</v>
      </c>
      <c r="BB2455" s="52" t="n">
        <v>0</v>
      </c>
      <c r="BC2455" s="51" t="n">
        <v>0</v>
      </c>
      <c r="BD2455" s="51" t="n">
        <v>0</v>
      </c>
      <c r="BE2455" s="51" t="n">
        <v>0</v>
      </c>
      <c r="BF2455" s="51" t="n">
        <v>0</v>
      </c>
    </row>
    <row r="2456">
      <c r="A2456">
        <f>HYPERLINK("https://www.walmart.com/ip/186239116", "186239116")</f>
        <v/>
      </c>
      <c r="B2456" t="inlineStr">
        <is>
          <t>KC Caps Washed Denim Bucket Hat, Summer Fishing Hat for Women and Men, Grey</t>
        </is>
      </c>
      <c r="C2456" t="inlineStr">
        <is>
          <t>KC9120GR-M</t>
        </is>
      </c>
      <c r="D2456" t="inlineStr">
        <is>
          <t>Hats</t>
        </is>
      </c>
      <c r="E2456" t="inlineStr">
        <is>
          <t>KC Caps</t>
        </is>
      </c>
      <c r="F2456" t="inlineStr">
        <is>
          <t>Batch 1 - TR</t>
        </is>
      </c>
      <c r="G2456" s="48" t="n">
        <v>0</v>
      </c>
      <c r="H2456" s="48" t="n">
        <v>0</v>
      </c>
      <c r="I2456" s="48" t="n">
        <v>0</v>
      </c>
      <c r="J2456" s="48" t="n">
        <v>0</v>
      </c>
      <c r="K2456" s="49" t="n">
        <v>0</v>
      </c>
      <c r="L2456" s="49" t="n">
        <v>0</v>
      </c>
      <c r="M2456" s="49" t="n">
        <v>0</v>
      </c>
      <c r="N2456" s="49" t="n">
        <v>0</v>
      </c>
      <c r="O2456" s="49" t="n">
        <v>0</v>
      </c>
      <c r="P2456" s="49" t="n">
        <v>0</v>
      </c>
      <c r="Q2456" s="49" t="n">
        <v>0</v>
      </c>
      <c r="R2456" s="49" t="n">
        <v>0</v>
      </c>
      <c r="S2456" s="50" t="n">
        <v>0</v>
      </c>
      <c r="T2456" s="50" t="n">
        <v>0</v>
      </c>
      <c r="U2456" s="50" t="n">
        <v>0</v>
      </c>
      <c r="V2456" s="50" t="n">
        <v>0</v>
      </c>
      <c r="W2456" s="51" t="n">
        <v>0</v>
      </c>
      <c r="X2456" s="51" t="n">
        <v>0</v>
      </c>
      <c r="Y2456" s="51" t="n">
        <v>0</v>
      </c>
      <c r="Z2456" s="51" t="n">
        <v>0</v>
      </c>
      <c r="AA2456" s="52" t="n">
        <v>0</v>
      </c>
      <c r="AB2456" s="52" t="n">
        <v>0</v>
      </c>
      <c r="AC2456" s="52" t="n">
        <v>0</v>
      </c>
      <c r="AD2456" s="52" t="n">
        <v>0</v>
      </c>
      <c r="AE2456" s="52" t="n">
        <v>0</v>
      </c>
      <c r="AF2456" s="52" t="n">
        <v>0</v>
      </c>
      <c r="AG2456" s="52" t="n">
        <v>0</v>
      </c>
      <c r="AH2456" s="52" t="n">
        <v>0</v>
      </c>
      <c r="AI2456" s="52" t="n">
        <v>0</v>
      </c>
      <c r="AJ2456" s="52" t="n">
        <v>0</v>
      </c>
      <c r="AK2456" s="52" t="n">
        <v>0</v>
      </c>
      <c r="AL2456" s="52" t="n">
        <v>0</v>
      </c>
      <c r="AM2456" s="53" t="n">
        <v>0</v>
      </c>
      <c r="AN2456" s="53" t="n">
        <v>0</v>
      </c>
      <c r="AO2456" s="53" t="n">
        <v>0</v>
      </c>
      <c r="AP2456" s="53" t="n">
        <v>0</v>
      </c>
      <c r="AQ2456" s="52" t="n">
        <v>0</v>
      </c>
      <c r="AR2456" s="52" t="n">
        <v>0</v>
      </c>
      <c r="AS2456" s="52" t="n">
        <v>0</v>
      </c>
      <c r="AT2456" s="52" t="n">
        <v>0</v>
      </c>
      <c r="AU2456" s="53" t="n">
        <v>0</v>
      </c>
      <c r="AV2456" s="53" t="n">
        <v>0</v>
      </c>
      <c r="AW2456" s="53" t="n">
        <v>0</v>
      </c>
      <c r="AX2456" s="53" t="n">
        <v>0</v>
      </c>
      <c r="AY2456" s="52" t="n">
        <v>0</v>
      </c>
      <c r="AZ2456" s="52" t="n">
        <v>0</v>
      </c>
      <c r="BA2456" s="52" t="n">
        <v>0</v>
      </c>
      <c r="BB2456" s="52" t="n">
        <v>0</v>
      </c>
      <c r="BC2456" s="51" t="n">
        <v>0</v>
      </c>
      <c r="BD2456" s="51" t="n">
        <v>0</v>
      </c>
      <c r="BE2456" s="51" t="n">
        <v>0</v>
      </c>
      <c r="BF2456" s="51" t="n">
        <v>0</v>
      </c>
    </row>
    <row r="2457">
      <c r="A2457">
        <f>HYPERLINK("https://www.walmart.com/ip/1863202161", "1863202161")</f>
        <v/>
      </c>
      <c r="B2457" t="inlineStr">
        <is>
          <t>Catalonia Knitted Throw Blanket for Bed, Sofa, and Living Room, All Seasons Cozy Leisure Acrylic Lightweight Decorative Blanket with Fringe, Machine Washable, Yellow, 60'' × 80''</t>
        </is>
      </c>
      <c r="C2457" t="inlineStr">
        <is>
          <t>1CTBN610YL</t>
        </is>
      </c>
      <c r="D2457" t="inlineStr">
        <is>
          <t>Throws</t>
        </is>
      </c>
      <c r="E2457" t="inlineStr">
        <is>
          <t>Catalonia</t>
        </is>
      </c>
      <c r="F2457" t="inlineStr">
        <is>
          <t>Coupon_Discount,Batch 1 - TR</t>
        </is>
      </c>
      <c r="G2457" s="48" t="n">
        <v>0</v>
      </c>
      <c r="H2457" s="48" t="n">
        <v>0</v>
      </c>
      <c r="I2457" s="48" t="n">
        <v>0</v>
      </c>
      <c r="J2457" s="48" t="n">
        <v>0</v>
      </c>
      <c r="K2457" s="49" t="n">
        <v>0</v>
      </c>
      <c r="L2457" s="49" t="n">
        <v>0</v>
      </c>
      <c r="M2457" s="49" t="n">
        <v>0</v>
      </c>
      <c r="N2457" s="49" t="n">
        <v>0</v>
      </c>
      <c r="O2457" s="49" t="n">
        <v>0</v>
      </c>
      <c r="P2457" s="49" t="n">
        <v>0</v>
      </c>
      <c r="Q2457" s="49" t="n">
        <v>0</v>
      </c>
      <c r="R2457" s="49" t="n">
        <v>0</v>
      </c>
      <c r="S2457" s="50" t="n">
        <v>0</v>
      </c>
      <c r="T2457" s="50" t="n">
        <v>0</v>
      </c>
      <c r="U2457" s="50" t="n">
        <v>0</v>
      </c>
      <c r="V2457" s="50" t="n">
        <v>0</v>
      </c>
      <c r="W2457" s="51" t="n">
        <v>0</v>
      </c>
      <c r="X2457" s="51" t="n">
        <v>0</v>
      </c>
      <c r="Y2457" s="51" t="n">
        <v>0</v>
      </c>
      <c r="Z2457" s="51" t="n">
        <v>0</v>
      </c>
      <c r="AA2457" s="52" t="n">
        <v>0</v>
      </c>
      <c r="AB2457" s="52" t="n">
        <v>0</v>
      </c>
      <c r="AC2457" s="52" t="n">
        <v>0</v>
      </c>
      <c r="AD2457" s="52" t="n">
        <v>0</v>
      </c>
      <c r="AE2457" s="52" t="n">
        <v>0</v>
      </c>
      <c r="AF2457" s="52" t="n">
        <v>0</v>
      </c>
      <c r="AG2457" s="52" t="n">
        <v>0</v>
      </c>
      <c r="AH2457" s="52" t="n">
        <v>0</v>
      </c>
      <c r="AI2457" s="52" t="n">
        <v>0</v>
      </c>
      <c r="AJ2457" s="52" t="n">
        <v>0</v>
      </c>
      <c r="AK2457" s="52" t="n">
        <v>0</v>
      </c>
      <c r="AL2457" s="52" t="n">
        <v>0</v>
      </c>
      <c r="AM2457" s="53" t="n">
        <v>0</v>
      </c>
      <c r="AN2457" s="53" t="n">
        <v>0</v>
      </c>
      <c r="AO2457" s="53" t="n">
        <v>0</v>
      </c>
      <c r="AP2457" s="53" t="n">
        <v>0</v>
      </c>
      <c r="AQ2457" s="52" t="n">
        <v>0</v>
      </c>
      <c r="AR2457" s="52" t="n">
        <v>0</v>
      </c>
      <c r="AS2457" s="52" t="n">
        <v>0</v>
      </c>
      <c r="AT2457" s="52" t="n">
        <v>0</v>
      </c>
      <c r="AU2457" s="53" t="n">
        <v>0</v>
      </c>
      <c r="AV2457" s="53" t="n">
        <v>0</v>
      </c>
      <c r="AW2457" s="53" t="n">
        <v>0</v>
      </c>
      <c r="AX2457" s="53" t="n">
        <v>0</v>
      </c>
      <c r="AY2457" s="52" t="n">
        <v>0</v>
      </c>
      <c r="AZ2457" s="52" t="n">
        <v>0</v>
      </c>
      <c r="BA2457" s="52" t="n">
        <v>0</v>
      </c>
      <c r="BB2457" s="52" t="n">
        <v>0</v>
      </c>
      <c r="BC2457" s="51" t="n">
        <v>0</v>
      </c>
      <c r="BD2457" s="51" t="n">
        <v>0</v>
      </c>
      <c r="BE2457" s="51" t="n">
        <v>0</v>
      </c>
      <c r="BF2457" s="51" t="n">
        <v>0</v>
      </c>
    </row>
    <row r="2458">
      <c r="A2458">
        <f>HYPERLINK("https://www.walmart.com/ip/1863233294", "1863233294")</f>
        <v/>
      </c>
      <c r="B2458" t="inlineStr">
        <is>
          <t>Tirrinia Bamboo Christmas Tree Wooden Wine Rack Countertop, 6 Bottle Wine Holder Rack for Dining Tables, Kitchens, and Cabinets, DIY Wine Bottle Holder, Wine Holder for Furniture Decoration</t>
        </is>
      </c>
      <c r="C2458" t="inlineStr">
        <is>
          <t>1TRWR600</t>
        </is>
      </c>
      <c r="D2458" t="inlineStr">
        <is>
          <t>Wine Racks</t>
        </is>
      </c>
      <c r="E2458" t="inlineStr">
        <is>
          <t>Kato</t>
        </is>
      </c>
      <c r="F2458" t="inlineStr">
        <is>
          <t>Wine,Batch 1 - TR</t>
        </is>
      </c>
      <c r="G2458" s="48" t="n">
        <v>0</v>
      </c>
      <c r="H2458" s="48" t="n">
        <v>0</v>
      </c>
      <c r="I2458" s="48" t="n">
        <v>0</v>
      </c>
      <c r="J2458" s="48" t="n">
        <v>0</v>
      </c>
      <c r="K2458" s="49" t="n">
        <v>0</v>
      </c>
      <c r="L2458" s="49" t="n">
        <v>0</v>
      </c>
      <c r="M2458" s="49" t="n">
        <v>0</v>
      </c>
      <c r="N2458" s="49" t="n">
        <v>0</v>
      </c>
      <c r="O2458" s="49" t="n">
        <v>0</v>
      </c>
      <c r="P2458" s="49" t="n">
        <v>0</v>
      </c>
      <c r="Q2458" s="49" t="n">
        <v>0</v>
      </c>
      <c r="R2458" s="49" t="n">
        <v>0</v>
      </c>
      <c r="S2458" s="50" t="n">
        <v>0</v>
      </c>
      <c r="T2458" s="50" t="n">
        <v>0</v>
      </c>
      <c r="U2458" s="50" t="n">
        <v>0</v>
      </c>
      <c r="V2458" s="50" t="n">
        <v>0</v>
      </c>
      <c r="W2458" s="51" t="n">
        <v>0</v>
      </c>
      <c r="X2458" s="51" t="n">
        <v>0</v>
      </c>
      <c r="Y2458" s="51" t="n">
        <v>0</v>
      </c>
      <c r="Z2458" s="51" t="n">
        <v>0</v>
      </c>
      <c r="AA2458" s="52" t="n">
        <v>0</v>
      </c>
      <c r="AB2458" s="52" t="n">
        <v>0</v>
      </c>
      <c r="AC2458" s="52" t="n">
        <v>0</v>
      </c>
      <c r="AD2458" s="52" t="n">
        <v>0</v>
      </c>
      <c r="AE2458" s="52" t="n">
        <v>0</v>
      </c>
      <c r="AF2458" s="52" t="n">
        <v>0</v>
      </c>
      <c r="AG2458" s="52" t="n">
        <v>0</v>
      </c>
      <c r="AH2458" s="52" t="n">
        <v>0</v>
      </c>
      <c r="AI2458" s="52" t="n">
        <v>0</v>
      </c>
      <c r="AJ2458" s="52" t="n">
        <v>0</v>
      </c>
      <c r="AK2458" s="52" t="n">
        <v>0</v>
      </c>
      <c r="AL2458" s="52" t="n">
        <v>0</v>
      </c>
      <c r="AM2458" s="53" t="n">
        <v>0</v>
      </c>
      <c r="AN2458" s="53" t="n">
        <v>0</v>
      </c>
      <c r="AO2458" s="53" t="n">
        <v>0</v>
      </c>
      <c r="AP2458" s="53" t="n">
        <v>0</v>
      </c>
      <c r="AQ2458" s="52" t="n">
        <v>0</v>
      </c>
      <c r="AR2458" s="52" t="n">
        <v>0</v>
      </c>
      <c r="AS2458" s="52" t="n">
        <v>0</v>
      </c>
      <c r="AT2458" s="52" t="n">
        <v>0</v>
      </c>
      <c r="AU2458" s="53" t="n">
        <v>0</v>
      </c>
      <c r="AV2458" s="53" t="n">
        <v>0</v>
      </c>
      <c r="AW2458" s="53" t="n">
        <v>0</v>
      </c>
      <c r="AX2458" s="53" t="n">
        <v>0</v>
      </c>
      <c r="AY2458" s="52" t="n">
        <v>0</v>
      </c>
      <c r="AZ2458" s="52" t="n">
        <v>0</v>
      </c>
      <c r="BA2458" s="52" t="n">
        <v>0</v>
      </c>
      <c r="BB2458" s="52" t="n">
        <v>0</v>
      </c>
      <c r="BC2458" s="51" t="n">
        <v>0</v>
      </c>
      <c r="BD2458" s="51" t="n">
        <v>0</v>
      </c>
      <c r="BE2458" s="51" t="n">
        <v>0</v>
      </c>
      <c r="BF2458" s="51" t="n">
        <v>0</v>
      </c>
    </row>
    <row r="2459">
      <c r="A2459">
        <f>HYPERLINK("https://www.walmart.com/ip/186488087", "186488087")</f>
        <v/>
      </c>
      <c r="B2459" t="inlineStr">
        <is>
          <t>Terra Men's Boxer Briefs, Assorted Mens Underwear Boxer Briefs with Cotton Classic Stretch, Blue/Gray, 3-Pack</t>
        </is>
      </c>
      <c r="C2459" t="inlineStr">
        <is>
          <t>TERRABOXERSET2-M</t>
        </is>
      </c>
      <c r="D2459" t="inlineStr">
        <is>
          <t>Underpants</t>
        </is>
      </c>
      <c r="E2459" t="inlineStr">
        <is>
          <t>Terra</t>
        </is>
      </c>
      <c r="F2459" t="inlineStr">
        <is>
          <t>WFS,WFS Item</t>
        </is>
      </c>
      <c r="G2459" s="48" t="n">
        <v>0</v>
      </c>
      <c r="H2459" s="48" t="n">
        <v>0</v>
      </c>
      <c r="I2459" s="48" t="n">
        <v>0</v>
      </c>
      <c r="J2459" s="48" t="n">
        <v>0</v>
      </c>
      <c r="K2459" s="49" t="n">
        <v>0</v>
      </c>
      <c r="L2459" s="49" t="n">
        <v>0</v>
      </c>
      <c r="M2459" s="49" t="n">
        <v>0</v>
      </c>
      <c r="N2459" s="49" t="n">
        <v>0</v>
      </c>
      <c r="O2459" s="49" t="n">
        <v>0</v>
      </c>
      <c r="P2459" s="49" t="n">
        <v>0</v>
      </c>
      <c r="Q2459" s="49" t="n">
        <v>0</v>
      </c>
      <c r="R2459" s="49" t="n">
        <v>0</v>
      </c>
      <c r="S2459" s="50" t="n">
        <v>0</v>
      </c>
      <c r="T2459" s="50" t="n">
        <v>0</v>
      </c>
      <c r="U2459" s="50" t="n">
        <v>0</v>
      </c>
      <c r="V2459" s="50" t="n">
        <v>0</v>
      </c>
      <c r="W2459" s="51" t="n">
        <v>0</v>
      </c>
      <c r="X2459" s="51" t="n">
        <v>0</v>
      </c>
      <c r="Y2459" s="51" t="n">
        <v>0</v>
      </c>
      <c r="Z2459" s="51" t="n">
        <v>0</v>
      </c>
      <c r="AA2459" s="52" t="n">
        <v>0</v>
      </c>
      <c r="AB2459" s="52" t="n">
        <v>0</v>
      </c>
      <c r="AC2459" s="52" t="n">
        <v>0</v>
      </c>
      <c r="AD2459" s="52" t="n">
        <v>0</v>
      </c>
      <c r="AE2459" s="52" t="n">
        <v>0</v>
      </c>
      <c r="AF2459" s="52" t="n">
        <v>0</v>
      </c>
      <c r="AG2459" s="52" t="n">
        <v>0</v>
      </c>
      <c r="AH2459" s="52" t="n">
        <v>0</v>
      </c>
      <c r="AI2459" s="52" t="n">
        <v>0</v>
      </c>
      <c r="AJ2459" s="52" t="n">
        <v>0</v>
      </c>
      <c r="AK2459" s="52" t="n">
        <v>0</v>
      </c>
      <c r="AL2459" s="52" t="n">
        <v>0</v>
      </c>
      <c r="AM2459" s="53" t="n">
        <v>0</v>
      </c>
      <c r="AN2459" s="53" t="n">
        <v>0</v>
      </c>
      <c r="AO2459" s="53" t="n">
        <v>0</v>
      </c>
      <c r="AP2459" s="53" t="n">
        <v>0</v>
      </c>
      <c r="AQ2459" s="52" t="n">
        <v>0</v>
      </c>
      <c r="AR2459" s="52" t="n">
        <v>0</v>
      </c>
      <c r="AS2459" s="52" t="n">
        <v>0</v>
      </c>
      <c r="AT2459" s="52" t="n">
        <v>0</v>
      </c>
      <c r="AU2459" s="53" t="n">
        <v>0</v>
      </c>
      <c r="AV2459" s="53" t="n">
        <v>0</v>
      </c>
      <c r="AW2459" s="53" t="n">
        <v>0</v>
      </c>
      <c r="AX2459" s="53" t="n">
        <v>0</v>
      </c>
      <c r="AY2459" s="52" t="n">
        <v>0</v>
      </c>
      <c r="AZ2459" s="52" t="n">
        <v>0</v>
      </c>
      <c r="BA2459" s="52" t="n">
        <v>0</v>
      </c>
      <c r="BB2459" s="52" t="n">
        <v>0</v>
      </c>
      <c r="BC2459" s="51" t="n">
        <v>0</v>
      </c>
      <c r="BD2459" s="51" t="n">
        <v>0</v>
      </c>
      <c r="BE2459" s="51" t="n">
        <v>0</v>
      </c>
      <c r="BF2459" s="51" t="n">
        <v>0</v>
      </c>
    </row>
    <row r="2460">
      <c r="A2460">
        <f>HYPERLINK("https://www.walmart.com/ip/184309692", "184309692")</f>
        <v/>
      </c>
      <c r="B2460" t="inlineStr">
        <is>
          <t>Medium Pet Travel Backpack Carrier for Dogs Cat Animal Puppy, Breathable Mesh Net Removable Sherpa Bed Outdoor Carrier f</t>
        </is>
      </c>
      <c r="C2460" t="inlineStr">
        <is>
          <t>1WMPB200NV</t>
        </is>
      </c>
      <c r="D2460" t="inlineStr">
        <is>
          <t>Pet Carriers</t>
        </is>
      </c>
      <c r="E2460" t="inlineStr">
        <is>
          <t>Flyingstar</t>
        </is>
      </c>
      <c r="F2460" t="inlineStr">
        <is>
          <t>Batch 1 - TR</t>
        </is>
      </c>
      <c r="G2460" s="48" t="n">
        <v>0</v>
      </c>
      <c r="H2460" s="48" t="n">
        <v>0</v>
      </c>
      <c r="I2460" s="48" t="n">
        <v>0</v>
      </c>
      <c r="J2460" s="48" t="n">
        <v>0</v>
      </c>
      <c r="K2460" s="49" t="n">
        <v>0</v>
      </c>
      <c r="L2460" s="49" t="n">
        <v>0</v>
      </c>
      <c r="M2460" s="49" t="n">
        <v>0</v>
      </c>
      <c r="N2460" s="49" t="n">
        <v>0</v>
      </c>
      <c r="O2460" s="49" t="n">
        <v>0</v>
      </c>
      <c r="P2460" s="49" t="n">
        <v>0</v>
      </c>
      <c r="Q2460" s="49" t="n">
        <v>0</v>
      </c>
      <c r="R2460" s="49" t="n">
        <v>0</v>
      </c>
      <c r="S2460" s="50" t="n">
        <v>0</v>
      </c>
      <c r="T2460" s="50" t="n">
        <v>0</v>
      </c>
      <c r="U2460" s="50" t="n">
        <v>0</v>
      </c>
      <c r="V2460" s="50" t="n">
        <v>0</v>
      </c>
      <c r="W2460" s="51" t="n">
        <v>0</v>
      </c>
      <c r="X2460" s="51" t="n">
        <v>0</v>
      </c>
      <c r="Y2460" s="51" t="n">
        <v>0</v>
      </c>
      <c r="Z2460" s="51" t="n">
        <v>0</v>
      </c>
      <c r="AA2460" s="52" t="n">
        <v>0</v>
      </c>
      <c r="AB2460" s="52" t="n">
        <v>0</v>
      </c>
      <c r="AC2460" s="52" t="n">
        <v>0</v>
      </c>
      <c r="AD2460" s="52" t="n">
        <v>0</v>
      </c>
      <c r="AE2460" s="52" t="n">
        <v>0</v>
      </c>
      <c r="AF2460" s="52" t="n">
        <v>0</v>
      </c>
      <c r="AG2460" s="52" t="n">
        <v>0</v>
      </c>
      <c r="AH2460" s="52" t="n">
        <v>0</v>
      </c>
      <c r="AI2460" s="52" t="n">
        <v>0</v>
      </c>
      <c r="AJ2460" s="52" t="n">
        <v>0</v>
      </c>
      <c r="AK2460" s="52" t="n">
        <v>0</v>
      </c>
      <c r="AL2460" s="52" t="n">
        <v>0</v>
      </c>
      <c r="AM2460" s="53" t="n">
        <v>0</v>
      </c>
      <c r="AN2460" s="53" t="n">
        <v>0</v>
      </c>
      <c r="AO2460" s="53" t="n">
        <v>0</v>
      </c>
      <c r="AP2460" s="53" t="n">
        <v>0</v>
      </c>
      <c r="AQ2460" s="52" t="n">
        <v>0</v>
      </c>
      <c r="AR2460" s="52" t="n">
        <v>0</v>
      </c>
      <c r="AS2460" s="52" t="n">
        <v>0</v>
      </c>
      <c r="AT2460" s="52" t="n">
        <v>0</v>
      </c>
      <c r="AU2460" s="53" t="n">
        <v>0</v>
      </c>
      <c r="AV2460" s="53" t="n">
        <v>0</v>
      </c>
      <c r="AW2460" s="53" t="n">
        <v>0</v>
      </c>
      <c r="AX2460" s="53" t="n">
        <v>0</v>
      </c>
      <c r="AY2460" s="52" t="n">
        <v>0</v>
      </c>
      <c r="AZ2460" s="52" t="n">
        <v>0</v>
      </c>
      <c r="BA2460" s="52" t="n">
        <v>0</v>
      </c>
      <c r="BB2460" s="52" t="n">
        <v>0</v>
      </c>
      <c r="BC2460" s="51" t="n">
        <v>0</v>
      </c>
      <c r="BD2460" s="51" t="n">
        <v>0</v>
      </c>
      <c r="BE2460" s="51" t="n">
        <v>0</v>
      </c>
      <c r="BF2460" s="51" t="n">
        <v>0</v>
      </c>
    </row>
    <row r="2461">
      <c r="A2461">
        <f>HYPERLINK("https://www.walmart.com/ip/184239315", "184239315")</f>
        <v/>
      </c>
      <c r="B2461" t="inlineStr">
        <is>
          <t>Tirrina Unisex Outdoor Sun Protection Fishing Cap with Neck Flap Wide Brim Mesh Hat for Travel Camping Hiking Hunting</t>
        </is>
      </c>
      <c r="C2461" t="inlineStr">
        <is>
          <t>1WMSH910DIGIGN</t>
        </is>
      </c>
      <c r="D2461" t="inlineStr">
        <is>
          <t>Hats</t>
        </is>
      </c>
      <c r="E2461" t="inlineStr">
        <is>
          <t>Tirrinia</t>
        </is>
      </c>
      <c r="F2461" t="inlineStr">
        <is>
          <t>Optimized</t>
        </is>
      </c>
      <c r="G2461" s="48" t="n">
        <v>0</v>
      </c>
      <c r="H2461" s="48" t="n">
        <v>0</v>
      </c>
      <c r="I2461" s="48" t="n">
        <v>0</v>
      </c>
      <c r="J2461" s="48" t="n">
        <v>0</v>
      </c>
      <c r="K2461" s="49" t="n">
        <v>0</v>
      </c>
      <c r="L2461" s="49" t="n">
        <v>0</v>
      </c>
      <c r="M2461" s="49" t="n">
        <v>0</v>
      </c>
      <c r="N2461" s="49" t="n">
        <v>0</v>
      </c>
      <c r="O2461" s="49" t="n">
        <v>0</v>
      </c>
      <c r="P2461" s="49" t="n">
        <v>0</v>
      </c>
      <c r="Q2461" s="49" t="n">
        <v>0</v>
      </c>
      <c r="R2461" s="49" t="n">
        <v>0</v>
      </c>
      <c r="S2461" s="50" t="n">
        <v>0</v>
      </c>
      <c r="T2461" s="50" t="n">
        <v>0</v>
      </c>
      <c r="U2461" s="50" t="n">
        <v>0</v>
      </c>
      <c r="V2461" s="50" t="n">
        <v>0</v>
      </c>
      <c r="W2461" s="51" t="n">
        <v>0</v>
      </c>
      <c r="X2461" s="51" t="n">
        <v>0</v>
      </c>
      <c r="Y2461" s="51" t="n">
        <v>0</v>
      </c>
      <c r="Z2461" s="51" t="n">
        <v>0</v>
      </c>
      <c r="AA2461" s="52" t="n">
        <v>0</v>
      </c>
      <c r="AB2461" s="52" t="n">
        <v>0</v>
      </c>
      <c r="AC2461" s="52" t="n">
        <v>0</v>
      </c>
      <c r="AD2461" s="52" t="n">
        <v>0</v>
      </c>
      <c r="AE2461" s="52" t="n">
        <v>0</v>
      </c>
      <c r="AF2461" s="52" t="n">
        <v>0</v>
      </c>
      <c r="AG2461" s="52" t="n">
        <v>0</v>
      </c>
      <c r="AH2461" s="52" t="n">
        <v>0</v>
      </c>
      <c r="AI2461" s="52" t="n">
        <v>0</v>
      </c>
      <c r="AJ2461" s="52" t="n">
        <v>0</v>
      </c>
      <c r="AK2461" s="52" t="n">
        <v>0</v>
      </c>
      <c r="AL2461" s="52" t="n">
        <v>0</v>
      </c>
      <c r="AM2461" s="53" t="n">
        <v>0</v>
      </c>
      <c r="AN2461" s="53" t="n">
        <v>0</v>
      </c>
      <c r="AO2461" s="53" t="n">
        <v>0</v>
      </c>
      <c r="AP2461" s="53" t="n">
        <v>0</v>
      </c>
      <c r="AQ2461" s="52" t="n">
        <v>0</v>
      </c>
      <c r="AR2461" s="52" t="n">
        <v>0</v>
      </c>
      <c r="AS2461" s="52" t="n">
        <v>0</v>
      </c>
      <c r="AT2461" s="52" t="n">
        <v>0</v>
      </c>
      <c r="AU2461" s="53" t="n">
        <v>0</v>
      </c>
      <c r="AV2461" s="53" t="n">
        <v>0</v>
      </c>
      <c r="AW2461" s="53" t="n">
        <v>0</v>
      </c>
      <c r="AX2461" s="53" t="n">
        <v>0</v>
      </c>
      <c r="AY2461" s="52" t="n">
        <v>0</v>
      </c>
      <c r="AZ2461" s="52" t="n">
        <v>0</v>
      </c>
      <c r="BA2461" s="52" t="n">
        <v>0</v>
      </c>
      <c r="BB2461" s="52" t="n">
        <v>0</v>
      </c>
      <c r="BC2461" s="51" t="n">
        <v>0</v>
      </c>
      <c r="BD2461" s="51" t="n">
        <v>0</v>
      </c>
      <c r="BE2461" s="51" t="n">
        <v>0</v>
      </c>
      <c r="BF2461" s="51" t="n">
        <v>0</v>
      </c>
    </row>
    <row r="2462">
      <c r="A2462">
        <f>HYPERLINK("https://www.walmart.com/ip/186654469", "186654469")</f>
        <v/>
      </c>
      <c r="B2462" t="inlineStr">
        <is>
          <t>Solaris Winter Cable Knit Beanie Hats with Fur Pom Pom for Women Ski Cap</t>
        </is>
      </c>
      <c r="C2462" t="inlineStr">
        <is>
          <t>1SLPPH01GY</t>
        </is>
      </c>
      <c r="D2462" t="inlineStr">
        <is>
          <t>Hats</t>
        </is>
      </c>
      <c r="E2462" t="inlineStr">
        <is>
          <t>Solaris</t>
        </is>
      </c>
      <c r="F2462" t="inlineStr">
        <is>
          <t>Optimized</t>
        </is>
      </c>
      <c r="G2462" s="48" t="n">
        <v>0</v>
      </c>
      <c r="H2462" s="48" t="n">
        <v>0</v>
      </c>
      <c r="I2462" s="48" t="n">
        <v>0</v>
      </c>
      <c r="J2462" s="48" t="n">
        <v>0</v>
      </c>
      <c r="K2462" s="49" t="n">
        <v>0</v>
      </c>
      <c r="L2462" s="49" t="n">
        <v>0</v>
      </c>
      <c r="M2462" s="49" t="n">
        <v>0</v>
      </c>
      <c r="N2462" s="49" t="n">
        <v>0</v>
      </c>
      <c r="O2462" s="49" t="n">
        <v>0</v>
      </c>
      <c r="P2462" s="49" t="n">
        <v>0</v>
      </c>
      <c r="Q2462" s="49" t="n">
        <v>0</v>
      </c>
      <c r="R2462" s="49" t="n">
        <v>0</v>
      </c>
      <c r="S2462" s="50" t="n">
        <v>0</v>
      </c>
      <c r="T2462" s="50" t="n">
        <v>0</v>
      </c>
      <c r="U2462" s="50" t="n">
        <v>0</v>
      </c>
      <c r="V2462" s="50" t="n">
        <v>0</v>
      </c>
      <c r="W2462" s="51" t="n">
        <v>0</v>
      </c>
      <c r="X2462" s="51" t="n">
        <v>0</v>
      </c>
      <c r="Y2462" s="51" t="n">
        <v>0</v>
      </c>
      <c r="Z2462" s="51" t="n">
        <v>0</v>
      </c>
      <c r="AA2462" s="52" t="n">
        <v>0</v>
      </c>
      <c r="AB2462" s="52" t="n">
        <v>0</v>
      </c>
      <c r="AC2462" s="52" t="n">
        <v>0</v>
      </c>
      <c r="AD2462" s="52" t="n">
        <v>0</v>
      </c>
      <c r="AE2462" s="52" t="n">
        <v>0</v>
      </c>
      <c r="AF2462" s="52" t="n">
        <v>0</v>
      </c>
      <c r="AG2462" s="52" t="n">
        <v>0</v>
      </c>
      <c r="AH2462" s="52" t="n">
        <v>0</v>
      </c>
      <c r="AI2462" s="52" t="n">
        <v>0</v>
      </c>
      <c r="AJ2462" s="52" t="n">
        <v>0</v>
      </c>
      <c r="AK2462" s="52" t="n">
        <v>0</v>
      </c>
      <c r="AL2462" s="52" t="n">
        <v>0</v>
      </c>
      <c r="AM2462" s="53" t="n">
        <v>0</v>
      </c>
      <c r="AN2462" s="53" t="n">
        <v>0</v>
      </c>
      <c r="AO2462" s="53" t="n">
        <v>0</v>
      </c>
      <c r="AP2462" s="53" t="n">
        <v>0</v>
      </c>
      <c r="AQ2462" s="52" t="n">
        <v>0</v>
      </c>
      <c r="AR2462" s="52" t="n">
        <v>0</v>
      </c>
      <c r="AS2462" s="52" t="n">
        <v>0</v>
      </c>
      <c r="AT2462" s="52" t="n">
        <v>0</v>
      </c>
      <c r="AU2462" s="53" t="n">
        <v>0</v>
      </c>
      <c r="AV2462" s="53" t="n">
        <v>0</v>
      </c>
      <c r="AW2462" s="53" t="n">
        <v>0</v>
      </c>
      <c r="AX2462" s="53" t="n">
        <v>0</v>
      </c>
      <c r="AY2462" s="52" t="n">
        <v>0</v>
      </c>
      <c r="AZ2462" s="52" t="n">
        <v>0</v>
      </c>
      <c r="BA2462" s="52" t="n">
        <v>0</v>
      </c>
      <c r="BB2462" s="52" t="n">
        <v>0</v>
      </c>
      <c r="BC2462" s="51" t="n">
        <v>0</v>
      </c>
      <c r="BD2462" s="51" t="n">
        <v>0</v>
      </c>
      <c r="BE2462" s="51" t="n">
        <v>0</v>
      </c>
      <c r="BF2462" s="51" t="n">
        <v>0</v>
      </c>
    </row>
    <row r="2463">
      <c r="A2463">
        <f>HYPERLINK("https://www.walmart.com/ip/184202798", "184202798")</f>
        <v/>
      </c>
      <c r="B2463" t="inlineStr">
        <is>
          <t>Oversized Hoodie Blanket Sweatshirt,Super Soft Warm Comfortable Fleece Giant Pullover with Large Front Pocket,for Adults Men Women Teenagers Kids Wife Girlfriend</t>
        </is>
      </c>
      <c r="C2463" t="inlineStr">
        <is>
          <t>1WMHD300WN</t>
        </is>
      </c>
      <c r="D2463" t="inlineStr">
        <is>
          <t>Sweatshirts &amp; Hoodies</t>
        </is>
      </c>
      <c r="E2463" t="inlineStr">
        <is>
          <t>Flyingstar</t>
        </is>
      </c>
      <c r="F2463" t="inlineStr">
        <is>
          <t>Hoodie ForAdult,Optimized</t>
        </is>
      </c>
      <c r="G2463" s="48" t="n">
        <v>0</v>
      </c>
      <c r="H2463" s="48" t="n">
        <v>0</v>
      </c>
      <c r="I2463" s="48" t="n">
        <v>0</v>
      </c>
      <c r="J2463" s="48" t="n">
        <v>0</v>
      </c>
      <c r="K2463" s="49" t="n">
        <v>0</v>
      </c>
      <c r="L2463" s="49" t="n">
        <v>0</v>
      </c>
      <c r="M2463" s="49" t="n">
        <v>0</v>
      </c>
      <c r="N2463" s="49" t="n">
        <v>0</v>
      </c>
      <c r="O2463" s="49" t="n">
        <v>0</v>
      </c>
      <c r="P2463" s="49" t="n">
        <v>0</v>
      </c>
      <c r="Q2463" s="49" t="n">
        <v>0</v>
      </c>
      <c r="R2463" s="49" t="n">
        <v>0</v>
      </c>
      <c r="S2463" s="50" t="n">
        <v>0</v>
      </c>
      <c r="T2463" s="50" t="n">
        <v>0</v>
      </c>
      <c r="U2463" s="50" t="n">
        <v>0</v>
      </c>
      <c r="V2463" s="50" t="n">
        <v>0</v>
      </c>
      <c r="W2463" s="51" t="n">
        <v>0</v>
      </c>
      <c r="X2463" s="51" t="n">
        <v>0</v>
      </c>
      <c r="Y2463" s="51" t="n">
        <v>0</v>
      </c>
      <c r="Z2463" s="51" t="n">
        <v>0</v>
      </c>
      <c r="AA2463" s="52" t="n">
        <v>0</v>
      </c>
      <c r="AB2463" s="52" t="n">
        <v>0</v>
      </c>
      <c r="AC2463" s="52" t="n">
        <v>0</v>
      </c>
      <c r="AD2463" s="52" t="n">
        <v>0</v>
      </c>
      <c r="AE2463" s="52" t="n">
        <v>0</v>
      </c>
      <c r="AF2463" s="52" t="n">
        <v>0</v>
      </c>
      <c r="AG2463" s="52" t="n">
        <v>0</v>
      </c>
      <c r="AH2463" s="52" t="n">
        <v>0</v>
      </c>
      <c r="AI2463" s="52" t="n">
        <v>0</v>
      </c>
      <c r="AJ2463" s="52" t="n">
        <v>0</v>
      </c>
      <c r="AK2463" s="52" t="n">
        <v>0</v>
      </c>
      <c r="AL2463" s="52" t="n">
        <v>0</v>
      </c>
      <c r="AM2463" s="53" t="n">
        <v>0</v>
      </c>
      <c r="AN2463" s="53" t="n">
        <v>0</v>
      </c>
      <c r="AO2463" s="53" t="n">
        <v>0</v>
      </c>
      <c r="AP2463" s="53" t="n">
        <v>0</v>
      </c>
      <c r="AQ2463" s="52" t="n">
        <v>0</v>
      </c>
      <c r="AR2463" s="52" t="n">
        <v>0</v>
      </c>
      <c r="AS2463" s="52" t="n">
        <v>0</v>
      </c>
      <c r="AT2463" s="52" t="n">
        <v>0</v>
      </c>
      <c r="AU2463" s="53" t="n">
        <v>0</v>
      </c>
      <c r="AV2463" s="53" t="n">
        <v>0</v>
      </c>
      <c r="AW2463" s="53" t="n">
        <v>0</v>
      </c>
      <c r="AX2463" s="53" t="n">
        <v>0</v>
      </c>
      <c r="AY2463" s="52" t="n">
        <v>0</v>
      </c>
      <c r="AZ2463" s="52" t="n">
        <v>0</v>
      </c>
      <c r="BA2463" s="52" t="n">
        <v>0</v>
      </c>
      <c r="BB2463" s="52" t="n">
        <v>0</v>
      </c>
      <c r="BC2463" s="51" t="n">
        <v>0</v>
      </c>
      <c r="BD2463" s="51" t="n">
        <v>0</v>
      </c>
      <c r="BE2463" s="51" t="n">
        <v>0</v>
      </c>
      <c r="BF2463" s="51" t="n">
        <v>0</v>
      </c>
    </row>
    <row r="2464">
      <c r="A2464">
        <f>HYPERLINK("https://www.walmart.com/ip/1817809428", "1817809428")</f>
        <v/>
      </c>
      <c r="B2464" t="inlineStr">
        <is>
          <t>Tirrinia Men's Trout Ventilate Mesh Fish Embroidery Cap Fishing Hat Navy Blue</t>
        </is>
      </c>
      <c r="C2464" t="inlineStr">
        <is>
          <t>1TRHT7180CONTRY-TBCB</t>
        </is>
      </c>
      <c r="D2464" t="inlineStr">
        <is>
          <t>Hats</t>
        </is>
      </c>
      <c r="E2464" t="inlineStr">
        <is>
          <t>Tirrinia</t>
        </is>
      </c>
      <c r="F2464" t="inlineStr">
        <is>
          <t>Batch 1 - TR</t>
        </is>
      </c>
      <c r="G2464" s="48" t="n">
        <v>0</v>
      </c>
      <c r="H2464" s="48" t="n">
        <v>0</v>
      </c>
      <c r="I2464" s="48" t="n">
        <v>0</v>
      </c>
      <c r="J2464" s="48" t="n">
        <v>0</v>
      </c>
      <c r="K2464" s="49" t="n">
        <v>0</v>
      </c>
      <c r="L2464" s="49" t="n">
        <v>0</v>
      </c>
      <c r="M2464" s="49" t="n">
        <v>0</v>
      </c>
      <c r="N2464" s="49" t="n">
        <v>0</v>
      </c>
      <c r="O2464" s="49" t="n">
        <v>0</v>
      </c>
      <c r="P2464" s="49" t="n">
        <v>0</v>
      </c>
      <c r="Q2464" s="49" t="n">
        <v>0</v>
      </c>
      <c r="R2464" s="49" t="n">
        <v>0</v>
      </c>
      <c r="S2464" s="50" t="n">
        <v>0</v>
      </c>
      <c r="T2464" s="50" t="n">
        <v>0</v>
      </c>
      <c r="U2464" s="50" t="n">
        <v>0</v>
      </c>
      <c r="V2464" s="50" t="n">
        <v>0</v>
      </c>
      <c r="W2464" s="51" t="n">
        <v>0</v>
      </c>
      <c r="X2464" s="51" t="n">
        <v>0</v>
      </c>
      <c r="Y2464" s="51" t="n">
        <v>0</v>
      </c>
      <c r="Z2464" s="51" t="n">
        <v>0</v>
      </c>
      <c r="AA2464" s="52" t="n">
        <v>0</v>
      </c>
      <c r="AB2464" s="52" t="n">
        <v>0</v>
      </c>
      <c r="AC2464" s="52" t="n">
        <v>0</v>
      </c>
      <c r="AD2464" s="52" t="n">
        <v>0</v>
      </c>
      <c r="AE2464" s="52" t="n">
        <v>0</v>
      </c>
      <c r="AF2464" s="52" t="n">
        <v>0</v>
      </c>
      <c r="AG2464" s="52" t="n">
        <v>0</v>
      </c>
      <c r="AH2464" s="52" t="n">
        <v>0</v>
      </c>
      <c r="AI2464" s="52" t="n">
        <v>0</v>
      </c>
      <c r="AJ2464" s="52" t="n">
        <v>0</v>
      </c>
      <c r="AK2464" s="52" t="n">
        <v>0</v>
      </c>
      <c r="AL2464" s="52" t="n">
        <v>0</v>
      </c>
      <c r="AM2464" s="53" t="n">
        <v>0</v>
      </c>
      <c r="AN2464" s="53" t="n">
        <v>0</v>
      </c>
      <c r="AO2464" s="53" t="n">
        <v>0</v>
      </c>
      <c r="AP2464" s="53" t="n">
        <v>0</v>
      </c>
      <c r="AQ2464" s="52" t="n">
        <v>0</v>
      </c>
      <c r="AR2464" s="52" t="n">
        <v>0</v>
      </c>
      <c r="AS2464" s="52" t="n">
        <v>0</v>
      </c>
      <c r="AT2464" s="52" t="n">
        <v>0</v>
      </c>
      <c r="AU2464" s="53" t="n">
        <v>0</v>
      </c>
      <c r="AV2464" s="53" t="n">
        <v>0</v>
      </c>
      <c r="AW2464" s="53" t="n">
        <v>0</v>
      </c>
      <c r="AX2464" s="53" t="n">
        <v>0</v>
      </c>
      <c r="AY2464" s="52" t="n">
        <v>0</v>
      </c>
      <c r="AZ2464" s="52" t="n">
        <v>0</v>
      </c>
      <c r="BA2464" s="52" t="n">
        <v>0</v>
      </c>
      <c r="BB2464" s="52" t="n">
        <v>0</v>
      </c>
      <c r="BC2464" s="51" t="n">
        <v>0</v>
      </c>
      <c r="BD2464" s="51" t="n">
        <v>0</v>
      </c>
      <c r="BE2464" s="51" t="n">
        <v>0</v>
      </c>
      <c r="BF2464" s="51" t="n">
        <v>0</v>
      </c>
    </row>
    <row r="2465">
      <c r="A2465">
        <f>HYPERLINK("https://www.walmart.com/ip/181957073", "181957073")</f>
        <v/>
      </c>
      <c r="B2465" t="inlineStr">
        <is>
          <t>Deluxe Stylish Microplush Sleeved Fleece Blanket Soft Home Sofa Snuggie</t>
        </is>
      </c>
      <c r="C2465" t="inlineStr">
        <is>
          <t>k3000-wine</t>
        </is>
      </c>
      <c r="D2465" t="inlineStr">
        <is>
          <t>Throws</t>
        </is>
      </c>
      <c r="E2465" t="inlineStr">
        <is>
          <t>NAPA</t>
        </is>
      </c>
      <c r="F2465" t="inlineStr">
        <is>
          <t>Fleece Blankets,Batch 1 - TR</t>
        </is>
      </c>
      <c r="G2465" s="48" t="n">
        <v>0</v>
      </c>
      <c r="H2465" s="48" t="n">
        <v>0</v>
      </c>
      <c r="I2465" s="48" t="n">
        <v>0</v>
      </c>
      <c r="J2465" s="48" t="n">
        <v>0</v>
      </c>
      <c r="K2465" s="49" t="n">
        <v>0</v>
      </c>
      <c r="L2465" s="49" t="n">
        <v>0</v>
      </c>
      <c r="M2465" s="49" t="n">
        <v>0</v>
      </c>
      <c r="N2465" s="49" t="n">
        <v>0</v>
      </c>
      <c r="O2465" s="49" t="n">
        <v>0</v>
      </c>
      <c r="P2465" s="49" t="n">
        <v>0</v>
      </c>
      <c r="Q2465" s="49" t="n">
        <v>0</v>
      </c>
      <c r="R2465" s="49" t="n">
        <v>0</v>
      </c>
      <c r="S2465" s="50" t="n">
        <v>0</v>
      </c>
      <c r="T2465" s="50" t="n">
        <v>0</v>
      </c>
      <c r="U2465" s="50" t="n">
        <v>0</v>
      </c>
      <c r="V2465" s="50" t="n">
        <v>0</v>
      </c>
      <c r="W2465" s="51" t="n">
        <v>0</v>
      </c>
      <c r="X2465" s="51" t="n">
        <v>0</v>
      </c>
      <c r="Y2465" s="51" t="n">
        <v>0</v>
      </c>
      <c r="Z2465" s="51" t="n">
        <v>0</v>
      </c>
      <c r="AA2465" s="52" t="n">
        <v>0</v>
      </c>
      <c r="AB2465" s="52" t="n">
        <v>0</v>
      </c>
      <c r="AC2465" s="52" t="n">
        <v>0</v>
      </c>
      <c r="AD2465" s="52" t="n">
        <v>0</v>
      </c>
      <c r="AE2465" s="52" t="n">
        <v>0</v>
      </c>
      <c r="AF2465" s="52" t="n">
        <v>0</v>
      </c>
      <c r="AG2465" s="52" t="n">
        <v>0</v>
      </c>
      <c r="AH2465" s="52" t="n">
        <v>0</v>
      </c>
      <c r="AI2465" s="52" t="n">
        <v>0</v>
      </c>
      <c r="AJ2465" s="52" t="n">
        <v>0</v>
      </c>
      <c r="AK2465" s="52" t="n">
        <v>0</v>
      </c>
      <c r="AL2465" s="52" t="n">
        <v>0</v>
      </c>
      <c r="AM2465" s="53" t="n">
        <v>0</v>
      </c>
      <c r="AN2465" s="53" t="n">
        <v>0</v>
      </c>
      <c r="AO2465" s="53" t="n">
        <v>0</v>
      </c>
      <c r="AP2465" s="53" t="n">
        <v>0</v>
      </c>
      <c r="AQ2465" s="52" t="n">
        <v>0</v>
      </c>
      <c r="AR2465" s="52" t="n">
        <v>0</v>
      </c>
      <c r="AS2465" s="52" t="n">
        <v>0</v>
      </c>
      <c r="AT2465" s="52" t="n">
        <v>0</v>
      </c>
      <c r="AU2465" s="53" t="n">
        <v>0</v>
      </c>
      <c r="AV2465" s="53" t="n">
        <v>0</v>
      </c>
      <c r="AW2465" s="53" t="n">
        <v>0</v>
      </c>
      <c r="AX2465" s="53" t="n">
        <v>0</v>
      </c>
      <c r="AY2465" s="52" t="n">
        <v>0</v>
      </c>
      <c r="AZ2465" s="52" t="n">
        <v>0</v>
      </c>
      <c r="BA2465" s="52" t="n">
        <v>0</v>
      </c>
      <c r="BB2465" s="52" t="n">
        <v>0</v>
      </c>
      <c r="BC2465" s="51" t="n">
        <v>0</v>
      </c>
      <c r="BD2465" s="51" t="n">
        <v>0</v>
      </c>
      <c r="BE2465" s="51" t="n">
        <v>0</v>
      </c>
      <c r="BF2465" s="51" t="n">
        <v>0</v>
      </c>
    </row>
    <row r="2466">
      <c r="A2466">
        <f>HYPERLINK("https://www.walmart.com/ip/182072857", "182072857")</f>
        <v/>
      </c>
      <c r="B2466" t="inlineStr">
        <is>
          <t>Union Jack Blanket, UK Flag Sherpa Fleece Blanket | Super Soft, Warm, Reversible | for Couch Bed, Gift for British, 50X70 inches</t>
        </is>
      </c>
      <c r="C2466" t="inlineStr">
        <is>
          <t>1CTBF300UK2GY</t>
        </is>
      </c>
      <c r="D2466" t="inlineStr">
        <is>
          <t>Throws</t>
        </is>
      </c>
      <c r="E2466" t="inlineStr">
        <is>
          <t>Catalonia</t>
        </is>
      </c>
      <c r="F2466" t="inlineStr">
        <is>
          <t>WFS,cost-added,WFS Item,Fleece Blankets</t>
        </is>
      </c>
      <c r="G2466" s="48" t="n">
        <v>0</v>
      </c>
      <c r="H2466" s="48" t="n">
        <v>0</v>
      </c>
      <c r="I2466" s="48" t="n">
        <v>0</v>
      </c>
      <c r="J2466" s="48" t="n">
        <v>0</v>
      </c>
      <c r="K2466" s="49" t="n">
        <v>0</v>
      </c>
      <c r="L2466" s="49" t="n">
        <v>0</v>
      </c>
      <c r="M2466" s="49" t="n">
        <v>0</v>
      </c>
      <c r="N2466" s="49" t="n">
        <v>0</v>
      </c>
      <c r="O2466" s="49" t="n">
        <v>0</v>
      </c>
      <c r="P2466" s="49" t="n">
        <v>0</v>
      </c>
      <c r="Q2466" s="49" t="n">
        <v>0</v>
      </c>
      <c r="R2466" s="49" t="n">
        <v>0</v>
      </c>
      <c r="S2466" s="50" t="n">
        <v>0</v>
      </c>
      <c r="T2466" s="50" t="n">
        <v>0</v>
      </c>
      <c r="U2466" s="50" t="n">
        <v>0</v>
      </c>
      <c r="V2466" s="50" t="n">
        <v>0</v>
      </c>
      <c r="W2466" s="51" t="n">
        <v>0</v>
      </c>
      <c r="X2466" s="51" t="n">
        <v>0</v>
      </c>
      <c r="Y2466" s="51" t="n">
        <v>0</v>
      </c>
      <c r="Z2466" s="51" t="n">
        <v>0</v>
      </c>
      <c r="AA2466" s="52" t="n">
        <v>0</v>
      </c>
      <c r="AB2466" s="52" t="n">
        <v>0</v>
      </c>
      <c r="AC2466" s="52" t="n">
        <v>0</v>
      </c>
      <c r="AD2466" s="52" t="n">
        <v>0</v>
      </c>
      <c r="AE2466" s="52" t="n">
        <v>0</v>
      </c>
      <c r="AF2466" s="52" t="n">
        <v>0</v>
      </c>
      <c r="AG2466" s="52" t="n">
        <v>0</v>
      </c>
      <c r="AH2466" s="52" t="n">
        <v>0</v>
      </c>
      <c r="AI2466" s="52" t="n">
        <v>0</v>
      </c>
      <c r="AJ2466" s="52" t="n">
        <v>0</v>
      </c>
      <c r="AK2466" s="52" t="n">
        <v>0</v>
      </c>
      <c r="AL2466" s="52" t="n">
        <v>0</v>
      </c>
      <c r="AM2466" s="53" t="n">
        <v>0</v>
      </c>
      <c r="AN2466" s="53" t="n">
        <v>0</v>
      </c>
      <c r="AO2466" s="53" t="n">
        <v>0</v>
      </c>
      <c r="AP2466" s="53" t="n">
        <v>0</v>
      </c>
      <c r="AQ2466" s="52" t="n">
        <v>0</v>
      </c>
      <c r="AR2466" s="52" t="n">
        <v>0</v>
      </c>
      <c r="AS2466" s="52" t="n">
        <v>0</v>
      </c>
      <c r="AT2466" s="52" t="n">
        <v>0</v>
      </c>
      <c r="AU2466" s="53" t="n">
        <v>0</v>
      </c>
      <c r="AV2466" s="53" t="n">
        <v>0</v>
      </c>
      <c r="AW2466" s="53" t="n">
        <v>0</v>
      </c>
      <c r="AX2466" s="53" t="n">
        <v>0</v>
      </c>
      <c r="AY2466" s="52" t="n">
        <v>0</v>
      </c>
      <c r="AZ2466" s="52" t="n">
        <v>0</v>
      </c>
      <c r="BA2466" s="52" t="n">
        <v>0</v>
      </c>
      <c r="BB2466" s="52" t="n">
        <v>0</v>
      </c>
      <c r="BC2466" s="51" t="n">
        <v>0</v>
      </c>
      <c r="BD2466" s="51" t="n">
        <v>0</v>
      </c>
      <c r="BE2466" s="51" t="n">
        <v>0</v>
      </c>
      <c r="BF2466" s="51" t="n">
        <v>0</v>
      </c>
    </row>
    <row r="2467">
      <c r="A2467">
        <f>HYPERLINK("https://www.walmart.com/ip/182296744", "182296744")</f>
        <v/>
      </c>
      <c r="B2467" t="inlineStr">
        <is>
          <t>KC Caps® Unisex Cotton Baseball Cap Adjustable Plain Hat (21 Styles/Colors)</t>
        </is>
      </c>
      <c r="C2467" t="inlineStr">
        <is>
          <t>KC8010ROY</t>
        </is>
      </c>
      <c r="D2467" t="inlineStr">
        <is>
          <t>Hats</t>
        </is>
      </c>
      <c r="E2467" t="inlineStr">
        <is>
          <t>KC Caps</t>
        </is>
      </c>
      <c r="F2467" t="inlineStr">
        <is>
          <t>Optimized</t>
        </is>
      </c>
      <c r="G2467" s="48" t="n">
        <v>0</v>
      </c>
      <c r="H2467" s="48" t="n">
        <v>0</v>
      </c>
      <c r="I2467" s="48" t="n">
        <v>6.99</v>
      </c>
      <c r="J2467" s="48" t="n">
        <v>0</v>
      </c>
      <c r="K2467" s="49" t="n">
        <v>0</v>
      </c>
      <c r="L2467" s="49" t="n">
        <v>0</v>
      </c>
      <c r="M2467" s="49" t="n">
        <v>1</v>
      </c>
      <c r="N2467" s="49" t="n">
        <v>0</v>
      </c>
      <c r="O2467" s="49" t="n">
        <v>0</v>
      </c>
      <c r="P2467" s="49" t="n">
        <v>0</v>
      </c>
      <c r="Q2467" s="49" t="n">
        <v>0</v>
      </c>
      <c r="R2467" s="49" t="n">
        <v>0</v>
      </c>
      <c r="S2467" s="50" t="n">
        <v>0</v>
      </c>
      <c r="T2467" s="50" t="n">
        <v>0</v>
      </c>
      <c r="U2467" s="50" t="n">
        <v>0</v>
      </c>
      <c r="V2467" s="50" t="n">
        <v>0</v>
      </c>
      <c r="W2467" s="51" t="n">
        <v>0</v>
      </c>
      <c r="X2467" s="51" t="n">
        <v>0</v>
      </c>
      <c r="Y2467" s="51" t="n">
        <v>0</v>
      </c>
      <c r="Z2467" s="51" t="n">
        <v>0</v>
      </c>
      <c r="AA2467" s="52" t="n">
        <v>0</v>
      </c>
      <c r="AB2467" s="52" t="n">
        <v>0</v>
      </c>
      <c r="AC2467" s="52" t="n">
        <v>0</v>
      </c>
      <c r="AD2467" s="52" t="n">
        <v>0</v>
      </c>
      <c r="AE2467" s="52" t="n">
        <v>0</v>
      </c>
      <c r="AF2467" s="52" t="n">
        <v>0</v>
      </c>
      <c r="AG2467" s="52" t="n">
        <v>0</v>
      </c>
      <c r="AH2467" s="52" t="n">
        <v>0</v>
      </c>
      <c r="AI2467" s="52" t="n">
        <v>0</v>
      </c>
      <c r="AJ2467" s="52" t="n">
        <v>0</v>
      </c>
      <c r="AK2467" s="52" t="n">
        <v>0</v>
      </c>
      <c r="AL2467" s="52" t="n">
        <v>0</v>
      </c>
      <c r="AM2467" s="53" t="n">
        <v>0</v>
      </c>
      <c r="AN2467" s="53" t="n">
        <v>0</v>
      </c>
      <c r="AO2467" s="53" t="n">
        <v>0</v>
      </c>
      <c r="AP2467" s="53" t="n">
        <v>0</v>
      </c>
      <c r="AQ2467" s="52" t="n">
        <v>0</v>
      </c>
      <c r="AR2467" s="52" t="n">
        <v>0</v>
      </c>
      <c r="AS2467" s="52" t="n">
        <v>0</v>
      </c>
      <c r="AT2467" s="52" t="n">
        <v>0</v>
      </c>
      <c r="AU2467" s="53" t="n">
        <v>0</v>
      </c>
      <c r="AV2467" s="53" t="n">
        <v>0</v>
      </c>
      <c r="AW2467" s="53" t="n">
        <v>0</v>
      </c>
      <c r="AX2467" s="53" t="n">
        <v>0</v>
      </c>
      <c r="AY2467" s="52" t="n">
        <v>0</v>
      </c>
      <c r="AZ2467" s="52" t="n">
        <v>0</v>
      </c>
      <c r="BA2467" s="52" t="n">
        <v>6.99</v>
      </c>
      <c r="BB2467" s="52" t="n">
        <v>0</v>
      </c>
      <c r="BC2467" s="51" t="n">
        <v>0</v>
      </c>
      <c r="BD2467" s="51" t="n">
        <v>0</v>
      </c>
      <c r="BE2467" s="51" t="n">
        <v>0</v>
      </c>
      <c r="BF2467" s="51" t="n">
        <v>0</v>
      </c>
    </row>
    <row r="2468">
      <c r="A2468">
        <f>HYPERLINK("https://www.walmart.com/ip/182324726", "182324726")</f>
        <v/>
      </c>
      <c r="B2468" t="inlineStr">
        <is>
          <t>JenniWears Women's Beileise  Sexy Net Pantyhose  Stockings Black Sheer Socks - 3 Packs</t>
        </is>
      </c>
      <c r="C2468" t="inlineStr">
        <is>
          <t>JWBLSPH2085-3pcs</t>
        </is>
      </c>
      <c r="D2468" t="inlineStr">
        <is>
          <t>Pantyhose &amp; Tights</t>
        </is>
      </c>
      <c r="E2468" t="inlineStr">
        <is>
          <t>JenniWears</t>
        </is>
      </c>
      <c r="F2468" t="inlineStr">
        <is>
          <t>Optimized,Valentine</t>
        </is>
      </c>
      <c r="G2468" s="48" t="n">
        <v>0</v>
      </c>
      <c r="H2468" s="48" t="n">
        <v>0</v>
      </c>
      <c r="I2468" s="48" t="n">
        <v>0</v>
      </c>
      <c r="J2468" s="48" t="n">
        <v>0</v>
      </c>
      <c r="K2468" s="49" t="n">
        <v>0</v>
      </c>
      <c r="L2468" s="49" t="n">
        <v>0</v>
      </c>
      <c r="M2468" s="49" t="n">
        <v>0</v>
      </c>
      <c r="N2468" s="49" t="n">
        <v>0</v>
      </c>
      <c r="O2468" s="49" t="n">
        <v>0</v>
      </c>
      <c r="P2468" s="49" t="n">
        <v>0</v>
      </c>
      <c r="Q2468" s="49" t="n">
        <v>0</v>
      </c>
      <c r="R2468" s="49" t="n">
        <v>0</v>
      </c>
      <c r="S2468" s="50" t="n">
        <v>0</v>
      </c>
      <c r="T2468" s="50" t="n">
        <v>0</v>
      </c>
      <c r="U2468" s="50" t="n">
        <v>0</v>
      </c>
      <c r="V2468" s="50" t="n">
        <v>0</v>
      </c>
      <c r="W2468" s="51" t="n">
        <v>0</v>
      </c>
      <c r="X2468" s="51" t="n">
        <v>0</v>
      </c>
      <c r="Y2468" s="51" t="n">
        <v>0</v>
      </c>
      <c r="Z2468" s="51" t="n">
        <v>0</v>
      </c>
      <c r="AA2468" s="52" t="n">
        <v>0</v>
      </c>
      <c r="AB2468" s="52" t="n">
        <v>0</v>
      </c>
      <c r="AC2468" s="52" t="n">
        <v>0</v>
      </c>
      <c r="AD2468" s="52" t="n">
        <v>0</v>
      </c>
      <c r="AE2468" s="52" t="n">
        <v>0</v>
      </c>
      <c r="AF2468" s="52" t="n">
        <v>0</v>
      </c>
      <c r="AG2468" s="52" t="n">
        <v>0</v>
      </c>
      <c r="AH2468" s="52" t="n">
        <v>0</v>
      </c>
      <c r="AI2468" s="52" t="n">
        <v>0</v>
      </c>
      <c r="AJ2468" s="52" t="n">
        <v>0</v>
      </c>
      <c r="AK2468" s="52" t="n">
        <v>0</v>
      </c>
      <c r="AL2468" s="52" t="n">
        <v>0</v>
      </c>
      <c r="AM2468" s="53" t="n">
        <v>0</v>
      </c>
      <c r="AN2468" s="53" t="n">
        <v>0</v>
      </c>
      <c r="AO2468" s="53" t="n">
        <v>0</v>
      </c>
      <c r="AP2468" s="53" t="n">
        <v>0</v>
      </c>
      <c r="AQ2468" s="52" t="n">
        <v>0</v>
      </c>
      <c r="AR2468" s="52" t="n">
        <v>0</v>
      </c>
      <c r="AS2468" s="52" t="n">
        <v>0</v>
      </c>
      <c r="AT2468" s="52" t="n">
        <v>0</v>
      </c>
      <c r="AU2468" s="53" t="n">
        <v>0</v>
      </c>
      <c r="AV2468" s="53" t="n">
        <v>0</v>
      </c>
      <c r="AW2468" s="53" t="n">
        <v>0</v>
      </c>
      <c r="AX2468" s="53" t="n">
        <v>0</v>
      </c>
      <c r="AY2468" s="52" t="n">
        <v>0</v>
      </c>
      <c r="AZ2468" s="52" t="n">
        <v>0</v>
      </c>
      <c r="BA2468" s="52" t="n">
        <v>0</v>
      </c>
      <c r="BB2468" s="52" t="n">
        <v>0</v>
      </c>
      <c r="BC2468" s="51" t="n">
        <v>0</v>
      </c>
      <c r="BD2468" s="51" t="n">
        <v>0</v>
      </c>
      <c r="BE2468" s="51" t="n">
        <v>0</v>
      </c>
      <c r="BF2468" s="51" t="n">
        <v>0</v>
      </c>
    </row>
    <row r="2469">
      <c r="A2469">
        <f>HYPERLINK("https://www.walmart.com/ip/1824402854", "1824402854")</f>
        <v/>
      </c>
      <c r="B2469" t="inlineStr">
        <is>
          <t>Women’s Plush Hoodie Sweatshirt Dress, Casual Pullover Sweater with Kangaroo Pocket, One Size</t>
        </is>
      </c>
      <c r="C2469" t="inlineStr">
        <is>
          <t>1CTHD531GY</t>
        </is>
      </c>
      <c r="D2469" t="inlineStr">
        <is>
          <t>Sweatshirts &amp; Hoodies</t>
        </is>
      </c>
      <c r="E2469" t="inlineStr">
        <is>
          <t>Catalonia</t>
        </is>
      </c>
      <c r="F2469" t="inlineStr">
        <is>
          <t>Batch 1 - TR</t>
        </is>
      </c>
      <c r="G2469" s="48" t="n">
        <v>0</v>
      </c>
      <c r="H2469" s="48" t="n">
        <v>0</v>
      </c>
      <c r="I2469" s="48" t="n">
        <v>0</v>
      </c>
      <c r="J2469" s="48" t="n">
        <v>0</v>
      </c>
      <c r="K2469" s="49" t="n">
        <v>0</v>
      </c>
      <c r="L2469" s="49" t="n">
        <v>0</v>
      </c>
      <c r="M2469" s="49" t="n">
        <v>0</v>
      </c>
      <c r="N2469" s="49" t="n">
        <v>0</v>
      </c>
      <c r="O2469" s="49" t="n">
        <v>0</v>
      </c>
      <c r="P2469" s="49" t="n">
        <v>0</v>
      </c>
      <c r="Q2469" s="49" t="n">
        <v>0</v>
      </c>
      <c r="R2469" s="49" t="n">
        <v>0</v>
      </c>
      <c r="S2469" s="50" t="n">
        <v>0</v>
      </c>
      <c r="T2469" s="50" t="n">
        <v>0</v>
      </c>
      <c r="U2469" s="50" t="n">
        <v>0</v>
      </c>
      <c r="V2469" s="50" t="n">
        <v>0</v>
      </c>
      <c r="W2469" s="51" t="n">
        <v>0</v>
      </c>
      <c r="X2469" s="51" t="n">
        <v>0</v>
      </c>
      <c r="Y2469" s="51" t="n">
        <v>0</v>
      </c>
      <c r="Z2469" s="51" t="n">
        <v>0</v>
      </c>
      <c r="AA2469" s="52" t="n">
        <v>0</v>
      </c>
      <c r="AB2469" s="52" t="n">
        <v>0</v>
      </c>
      <c r="AC2469" s="52" t="n">
        <v>0</v>
      </c>
      <c r="AD2469" s="52" t="n">
        <v>0</v>
      </c>
      <c r="AE2469" s="52" t="n">
        <v>0</v>
      </c>
      <c r="AF2469" s="52" t="n">
        <v>0</v>
      </c>
      <c r="AG2469" s="52" t="n">
        <v>0</v>
      </c>
      <c r="AH2469" s="52" t="n">
        <v>0</v>
      </c>
      <c r="AI2469" s="52" t="n">
        <v>0</v>
      </c>
      <c r="AJ2469" s="52" t="n">
        <v>0</v>
      </c>
      <c r="AK2469" s="52" t="n">
        <v>0</v>
      </c>
      <c r="AL2469" s="52" t="n">
        <v>0</v>
      </c>
      <c r="AM2469" s="53" t="n">
        <v>0</v>
      </c>
      <c r="AN2469" s="53" t="n">
        <v>0</v>
      </c>
      <c r="AO2469" s="53" t="n">
        <v>0</v>
      </c>
      <c r="AP2469" s="53" t="n">
        <v>0</v>
      </c>
      <c r="AQ2469" s="52" t="n">
        <v>0</v>
      </c>
      <c r="AR2469" s="52" t="n">
        <v>0</v>
      </c>
      <c r="AS2469" s="52" t="n">
        <v>0</v>
      </c>
      <c r="AT2469" s="52" t="n">
        <v>0</v>
      </c>
      <c r="AU2469" s="53" t="n">
        <v>0</v>
      </c>
      <c r="AV2469" s="53" t="n">
        <v>0</v>
      </c>
      <c r="AW2469" s="53" t="n">
        <v>0</v>
      </c>
      <c r="AX2469" s="53" t="n">
        <v>0</v>
      </c>
      <c r="AY2469" s="52" t="n">
        <v>0</v>
      </c>
      <c r="AZ2469" s="52" t="n">
        <v>0</v>
      </c>
      <c r="BA2469" s="52" t="n">
        <v>0</v>
      </c>
      <c r="BB2469" s="52" t="n">
        <v>0</v>
      </c>
      <c r="BC2469" s="51" t="n">
        <v>0</v>
      </c>
      <c r="BD2469" s="51" t="n">
        <v>0</v>
      </c>
      <c r="BE2469" s="51" t="n">
        <v>0</v>
      </c>
      <c r="BF2469" s="51" t="n">
        <v>0</v>
      </c>
    </row>
    <row r="2470">
      <c r="A2470">
        <f>HYPERLINK("https://www.walmart.com/ip/182756136", "182756136")</f>
        <v/>
      </c>
      <c r="B2470" t="inlineStr">
        <is>
          <t>Fashion Ladies Beileise Sexy Crotchless Suspender Pantyhose Stockings Black - 3 Packs</t>
        </is>
      </c>
      <c r="C2470" t="inlineStr">
        <is>
          <t>JWBLSPH2041-3pcs</t>
        </is>
      </c>
      <c r="D2470" t="inlineStr">
        <is>
          <t>Pantyhose &amp; Tights</t>
        </is>
      </c>
      <c r="E2470" t="inlineStr">
        <is>
          <t>JenniWears</t>
        </is>
      </c>
      <c r="F2470" t="inlineStr">
        <is>
          <t>Optimized,Valentine</t>
        </is>
      </c>
      <c r="G2470" s="48" t="n">
        <v>0</v>
      </c>
      <c r="H2470" s="48" t="n">
        <v>0</v>
      </c>
      <c r="I2470" s="48" t="n">
        <v>0</v>
      </c>
      <c r="J2470" s="48" t="n">
        <v>0</v>
      </c>
      <c r="K2470" s="49" t="n">
        <v>0</v>
      </c>
      <c r="L2470" s="49" t="n">
        <v>0</v>
      </c>
      <c r="M2470" s="49" t="n">
        <v>0</v>
      </c>
      <c r="N2470" s="49" t="n">
        <v>0</v>
      </c>
      <c r="O2470" s="49" t="n">
        <v>0</v>
      </c>
      <c r="P2470" s="49" t="n">
        <v>0</v>
      </c>
      <c r="Q2470" s="49" t="n">
        <v>0</v>
      </c>
      <c r="R2470" s="49" t="n">
        <v>0</v>
      </c>
      <c r="S2470" s="50" t="n">
        <v>0</v>
      </c>
      <c r="T2470" s="50" t="n">
        <v>0</v>
      </c>
      <c r="U2470" s="50" t="n">
        <v>0</v>
      </c>
      <c r="V2470" s="50" t="n">
        <v>0</v>
      </c>
      <c r="W2470" s="51" t="n">
        <v>0</v>
      </c>
      <c r="X2470" s="51" t="n">
        <v>0</v>
      </c>
      <c r="Y2470" s="51" t="n">
        <v>0</v>
      </c>
      <c r="Z2470" s="51" t="n">
        <v>0</v>
      </c>
      <c r="AA2470" s="52" t="n">
        <v>0</v>
      </c>
      <c r="AB2470" s="52" t="n">
        <v>0</v>
      </c>
      <c r="AC2470" s="52" t="n">
        <v>0</v>
      </c>
      <c r="AD2470" s="52" t="n">
        <v>0</v>
      </c>
      <c r="AE2470" s="52" t="n">
        <v>0</v>
      </c>
      <c r="AF2470" s="52" t="n">
        <v>0</v>
      </c>
      <c r="AG2470" s="52" t="n">
        <v>0</v>
      </c>
      <c r="AH2470" s="52" t="n">
        <v>0</v>
      </c>
      <c r="AI2470" s="52" t="n">
        <v>0</v>
      </c>
      <c r="AJ2470" s="52" t="n">
        <v>0</v>
      </c>
      <c r="AK2470" s="52" t="n">
        <v>0</v>
      </c>
      <c r="AL2470" s="52" t="n">
        <v>0</v>
      </c>
      <c r="AM2470" s="53" t="n">
        <v>0</v>
      </c>
      <c r="AN2470" s="53" t="n">
        <v>0</v>
      </c>
      <c r="AO2470" s="53" t="n">
        <v>0</v>
      </c>
      <c r="AP2470" s="53" t="n">
        <v>0</v>
      </c>
      <c r="AQ2470" s="52" t="n">
        <v>0</v>
      </c>
      <c r="AR2470" s="52" t="n">
        <v>0</v>
      </c>
      <c r="AS2470" s="52" t="n">
        <v>0</v>
      </c>
      <c r="AT2470" s="52" t="n">
        <v>0</v>
      </c>
      <c r="AU2470" s="53" t="n">
        <v>0</v>
      </c>
      <c r="AV2470" s="53" t="n">
        <v>0</v>
      </c>
      <c r="AW2470" s="53" t="n">
        <v>0</v>
      </c>
      <c r="AX2470" s="53" t="n">
        <v>0</v>
      </c>
      <c r="AY2470" s="52" t="n">
        <v>0</v>
      </c>
      <c r="AZ2470" s="52" t="n">
        <v>0</v>
      </c>
      <c r="BA2470" s="52" t="n">
        <v>0</v>
      </c>
      <c r="BB2470" s="52" t="n">
        <v>0</v>
      </c>
      <c r="BC2470" s="51" t="n">
        <v>0</v>
      </c>
      <c r="BD2470" s="51" t="n">
        <v>0</v>
      </c>
      <c r="BE2470" s="51" t="n">
        <v>0</v>
      </c>
      <c r="BF2470" s="51" t="n">
        <v>0</v>
      </c>
    </row>
    <row r="2471">
      <c r="A2471">
        <f>HYPERLINK("https://www.walmart.com/ip/182862346", "182862346")</f>
        <v/>
      </c>
      <c r="B2471" t="inlineStr">
        <is>
          <t>KC Caps® Cotton Twill Deluxe Super Soft Mesh Adjustable Snapback Low Profile Trucker Baseball Cap</t>
        </is>
      </c>
      <c r="C2471" t="inlineStr">
        <is>
          <t>KCCAPSSZK641GY/ST</t>
        </is>
      </c>
      <c r="D2471" t="inlineStr">
        <is>
          <t>Hats</t>
        </is>
      </c>
      <c r="E2471" t="inlineStr">
        <is>
          <t>KC Caps</t>
        </is>
      </c>
      <c r="F2471" t="inlineStr">
        <is>
          <t>Optimized</t>
        </is>
      </c>
      <c r="G2471" s="48" t="n">
        <v>0</v>
      </c>
      <c r="H2471" s="48" t="n">
        <v>0</v>
      </c>
      <c r="I2471" s="48" t="n">
        <v>0</v>
      </c>
      <c r="J2471" s="48" t="n">
        <v>0</v>
      </c>
      <c r="K2471" s="49" t="n">
        <v>0</v>
      </c>
      <c r="L2471" s="49" t="n">
        <v>0</v>
      </c>
      <c r="M2471" s="49" t="n">
        <v>0</v>
      </c>
      <c r="N2471" s="49" t="n">
        <v>0</v>
      </c>
      <c r="O2471" s="49" t="n">
        <v>0</v>
      </c>
      <c r="P2471" s="49" t="n">
        <v>0</v>
      </c>
      <c r="Q2471" s="49" t="n">
        <v>0</v>
      </c>
      <c r="R2471" s="49" t="n">
        <v>0</v>
      </c>
      <c r="S2471" s="50" t="n">
        <v>0</v>
      </c>
      <c r="T2471" s="50" t="n">
        <v>0</v>
      </c>
      <c r="U2471" s="50" t="n">
        <v>0</v>
      </c>
      <c r="V2471" s="50" t="n">
        <v>0</v>
      </c>
      <c r="W2471" s="51" t="n">
        <v>0</v>
      </c>
      <c r="X2471" s="51" t="n">
        <v>0</v>
      </c>
      <c r="Y2471" s="51" t="n">
        <v>0</v>
      </c>
      <c r="Z2471" s="51" t="n">
        <v>0</v>
      </c>
      <c r="AA2471" s="52" t="n">
        <v>0</v>
      </c>
      <c r="AB2471" s="52" t="n">
        <v>0</v>
      </c>
      <c r="AC2471" s="52" t="n">
        <v>0</v>
      </c>
      <c r="AD2471" s="52" t="n">
        <v>0</v>
      </c>
      <c r="AE2471" s="52" t="n">
        <v>0</v>
      </c>
      <c r="AF2471" s="52" t="n">
        <v>0</v>
      </c>
      <c r="AG2471" s="52" t="n">
        <v>0</v>
      </c>
      <c r="AH2471" s="52" t="n">
        <v>0</v>
      </c>
      <c r="AI2471" s="52" t="n">
        <v>0</v>
      </c>
      <c r="AJ2471" s="52" t="n">
        <v>0</v>
      </c>
      <c r="AK2471" s="52" t="n">
        <v>0</v>
      </c>
      <c r="AL2471" s="52" t="n">
        <v>0</v>
      </c>
      <c r="AM2471" s="53" t="n">
        <v>0</v>
      </c>
      <c r="AN2471" s="53" t="n">
        <v>0</v>
      </c>
      <c r="AO2471" s="53" t="n">
        <v>0</v>
      </c>
      <c r="AP2471" s="53" t="n">
        <v>0</v>
      </c>
      <c r="AQ2471" s="52" t="n">
        <v>0</v>
      </c>
      <c r="AR2471" s="52" t="n">
        <v>0</v>
      </c>
      <c r="AS2471" s="52" t="n">
        <v>0</v>
      </c>
      <c r="AT2471" s="52" t="n">
        <v>0</v>
      </c>
      <c r="AU2471" s="53" t="n">
        <v>0</v>
      </c>
      <c r="AV2471" s="53" t="n">
        <v>0</v>
      </c>
      <c r="AW2471" s="53" t="n">
        <v>0</v>
      </c>
      <c r="AX2471" s="53" t="n">
        <v>0</v>
      </c>
      <c r="AY2471" s="52" t="n">
        <v>0</v>
      </c>
      <c r="AZ2471" s="52" t="n">
        <v>0</v>
      </c>
      <c r="BA2471" s="52" t="n">
        <v>0</v>
      </c>
      <c r="BB2471" s="52" t="n">
        <v>0</v>
      </c>
      <c r="BC2471" s="51" t="n">
        <v>0</v>
      </c>
      <c r="BD2471" s="51" t="n">
        <v>0</v>
      </c>
      <c r="BE2471" s="51" t="n">
        <v>0</v>
      </c>
      <c r="BF2471" s="51" t="n">
        <v>0</v>
      </c>
    </row>
    <row r="2472">
      <c r="A2472">
        <f>HYPERLINK("https://www.walmart.com/ip/1828821442", "1828821442")</f>
        <v/>
      </c>
      <c r="B2472" t="inlineStr">
        <is>
          <t>Catalonia Wearable Blanket Adult with Sleeves Arms,Soft Cozy Plush Fleece Wrap Throws Blanket Robe,One Size Fit All, Cow</t>
        </is>
      </c>
      <c r="C2472" t="inlineStr">
        <is>
          <t>1CTSN150DMT</t>
        </is>
      </c>
      <c r="D2472" t="inlineStr">
        <is>
          <t>Throws</t>
        </is>
      </c>
      <c r="E2472" t="inlineStr">
        <is>
          <t>Catalonia</t>
        </is>
      </c>
      <c r="F2472" t="inlineStr">
        <is>
          <t>Batch 1 - TR</t>
        </is>
      </c>
      <c r="G2472" s="48" t="n">
        <v>0</v>
      </c>
      <c r="H2472" s="48" t="n">
        <v>0</v>
      </c>
      <c r="I2472" s="48" t="n">
        <v>0</v>
      </c>
      <c r="J2472" s="48" t="n">
        <v>0</v>
      </c>
      <c r="K2472" s="49" t="n">
        <v>0</v>
      </c>
      <c r="L2472" s="49" t="n">
        <v>0</v>
      </c>
      <c r="M2472" s="49" t="n">
        <v>0</v>
      </c>
      <c r="N2472" s="49" t="n">
        <v>0</v>
      </c>
      <c r="O2472" s="49" t="n">
        <v>0</v>
      </c>
      <c r="P2472" s="49" t="n">
        <v>0</v>
      </c>
      <c r="Q2472" s="49" t="n">
        <v>0</v>
      </c>
      <c r="R2472" s="49" t="n">
        <v>0</v>
      </c>
      <c r="S2472" s="50" t="n">
        <v>0</v>
      </c>
      <c r="T2472" s="50" t="n">
        <v>0</v>
      </c>
      <c r="U2472" s="50" t="n">
        <v>0</v>
      </c>
      <c r="V2472" s="50" t="n">
        <v>0</v>
      </c>
      <c r="W2472" s="51" t="n">
        <v>0</v>
      </c>
      <c r="X2472" s="51" t="n">
        <v>0</v>
      </c>
      <c r="Y2472" s="51" t="n">
        <v>0</v>
      </c>
      <c r="Z2472" s="51" t="n">
        <v>0</v>
      </c>
      <c r="AA2472" s="52" t="n">
        <v>0</v>
      </c>
      <c r="AB2472" s="52" t="n">
        <v>0</v>
      </c>
      <c r="AC2472" s="52" t="n">
        <v>0</v>
      </c>
      <c r="AD2472" s="52" t="n">
        <v>0</v>
      </c>
      <c r="AE2472" s="52" t="n">
        <v>0</v>
      </c>
      <c r="AF2472" s="52" t="n">
        <v>0</v>
      </c>
      <c r="AG2472" s="52" t="n">
        <v>0</v>
      </c>
      <c r="AH2472" s="52" t="n">
        <v>0</v>
      </c>
      <c r="AI2472" s="52" t="n">
        <v>0</v>
      </c>
      <c r="AJ2472" s="52" t="n">
        <v>0</v>
      </c>
      <c r="AK2472" s="52" t="n">
        <v>0</v>
      </c>
      <c r="AL2472" s="52" t="n">
        <v>0</v>
      </c>
      <c r="AM2472" s="53" t="n">
        <v>0</v>
      </c>
      <c r="AN2472" s="53" t="n">
        <v>0</v>
      </c>
      <c r="AO2472" s="53" t="n">
        <v>0</v>
      </c>
      <c r="AP2472" s="53" t="n">
        <v>0</v>
      </c>
      <c r="AQ2472" s="52" t="n">
        <v>0</v>
      </c>
      <c r="AR2472" s="52" t="n">
        <v>0</v>
      </c>
      <c r="AS2472" s="52" t="n">
        <v>0</v>
      </c>
      <c r="AT2472" s="52" t="n">
        <v>0</v>
      </c>
      <c r="AU2472" s="53" t="n">
        <v>0</v>
      </c>
      <c r="AV2472" s="53" t="n">
        <v>0</v>
      </c>
      <c r="AW2472" s="53" t="n">
        <v>0</v>
      </c>
      <c r="AX2472" s="53" t="n">
        <v>0</v>
      </c>
      <c r="AY2472" s="52" t="n">
        <v>0</v>
      </c>
      <c r="AZ2472" s="52" t="n">
        <v>0</v>
      </c>
      <c r="BA2472" s="52" t="n">
        <v>0</v>
      </c>
      <c r="BB2472" s="52" t="n">
        <v>0</v>
      </c>
      <c r="BC2472" s="51" t="n">
        <v>0</v>
      </c>
      <c r="BD2472" s="51" t="n">
        <v>0</v>
      </c>
      <c r="BE2472" s="51" t="n">
        <v>0</v>
      </c>
      <c r="BF2472" s="51" t="n">
        <v>0</v>
      </c>
    </row>
    <row r="2473">
      <c r="A2473">
        <f>HYPERLINK("https://www.walmart.com/ip/183022929", "183022929")</f>
        <v/>
      </c>
      <c r="B2473" t="inlineStr">
        <is>
          <t>Terra Active Wrap- Stylish Running workout travel waist belt w/ hidden pocket</t>
        </is>
      </c>
      <c r="C2473" t="inlineStr">
        <is>
          <t>TERRA-3NG-M</t>
        </is>
      </c>
      <c r="D2473" t="inlineStr">
        <is>
          <t>Running Belts</t>
        </is>
      </c>
      <c r="E2473" t="inlineStr">
        <is>
          <t>Terra</t>
        </is>
      </c>
      <c r="F2473" t="inlineStr">
        <is>
          <t>Batch 1 - TR</t>
        </is>
      </c>
      <c r="G2473" s="48" t="n">
        <v>0</v>
      </c>
      <c r="H2473" s="48" t="n">
        <v>0</v>
      </c>
      <c r="I2473" s="48" t="n">
        <v>0</v>
      </c>
      <c r="J2473" s="48" t="n">
        <v>0</v>
      </c>
      <c r="K2473" s="49" t="n">
        <v>0</v>
      </c>
      <c r="L2473" s="49" t="n">
        <v>0</v>
      </c>
      <c r="M2473" s="49" t="n">
        <v>0</v>
      </c>
      <c r="N2473" s="49" t="n">
        <v>0</v>
      </c>
      <c r="O2473" s="49" t="n">
        <v>0</v>
      </c>
      <c r="P2473" s="49" t="n">
        <v>0</v>
      </c>
      <c r="Q2473" s="49" t="n">
        <v>0</v>
      </c>
      <c r="R2473" s="49" t="n">
        <v>0</v>
      </c>
      <c r="S2473" s="50" t="n">
        <v>0</v>
      </c>
      <c r="T2473" s="50" t="n">
        <v>0</v>
      </c>
      <c r="U2473" s="50" t="n">
        <v>0</v>
      </c>
      <c r="V2473" s="50" t="n">
        <v>0</v>
      </c>
      <c r="W2473" s="51" t="n">
        <v>0</v>
      </c>
      <c r="X2473" s="51" t="n">
        <v>0</v>
      </c>
      <c r="Y2473" s="51" t="n">
        <v>0</v>
      </c>
      <c r="Z2473" s="51" t="n">
        <v>0</v>
      </c>
      <c r="AA2473" s="52" t="n">
        <v>0</v>
      </c>
      <c r="AB2473" s="52" t="n">
        <v>0</v>
      </c>
      <c r="AC2473" s="52" t="n">
        <v>0</v>
      </c>
      <c r="AD2473" s="52" t="n">
        <v>0</v>
      </c>
      <c r="AE2473" s="52" t="n">
        <v>0</v>
      </c>
      <c r="AF2473" s="52" t="n">
        <v>0</v>
      </c>
      <c r="AG2473" s="52" t="n">
        <v>0</v>
      </c>
      <c r="AH2473" s="52" t="n">
        <v>0</v>
      </c>
      <c r="AI2473" s="52" t="n">
        <v>0</v>
      </c>
      <c r="AJ2473" s="52" t="n">
        <v>0</v>
      </c>
      <c r="AK2473" s="52" t="n">
        <v>0</v>
      </c>
      <c r="AL2473" s="52" t="n">
        <v>0</v>
      </c>
      <c r="AM2473" s="53" t="n">
        <v>0</v>
      </c>
      <c r="AN2473" s="53" t="n">
        <v>0</v>
      </c>
      <c r="AO2473" s="53" t="n">
        <v>0</v>
      </c>
      <c r="AP2473" s="53" t="n">
        <v>0</v>
      </c>
      <c r="AQ2473" s="52" t="n">
        <v>0</v>
      </c>
      <c r="AR2473" s="52" t="n">
        <v>0</v>
      </c>
      <c r="AS2473" s="52" t="n">
        <v>0</v>
      </c>
      <c r="AT2473" s="52" t="n">
        <v>0</v>
      </c>
      <c r="AU2473" s="53" t="n">
        <v>0</v>
      </c>
      <c r="AV2473" s="53" t="n">
        <v>0</v>
      </c>
      <c r="AW2473" s="53" t="n">
        <v>0</v>
      </c>
      <c r="AX2473" s="53" t="n">
        <v>0</v>
      </c>
      <c r="AY2473" s="52" t="n">
        <v>0</v>
      </c>
      <c r="AZ2473" s="52" t="n">
        <v>0</v>
      </c>
      <c r="BA2473" s="52" t="n">
        <v>0</v>
      </c>
      <c r="BB2473" s="52" t="n">
        <v>0</v>
      </c>
      <c r="BC2473" s="51" t="n">
        <v>0</v>
      </c>
      <c r="BD2473" s="51" t="n">
        <v>0</v>
      </c>
      <c r="BE2473" s="51" t="n">
        <v>0</v>
      </c>
      <c r="BF2473" s="51" t="n">
        <v>0</v>
      </c>
    </row>
    <row r="2474">
      <c r="A2474">
        <f>HYPERLINK("https://www.walmart.com/ip/183113730", "183113730")</f>
        <v/>
      </c>
      <c r="B2474" t="inlineStr">
        <is>
          <t>Runner Waist Pack - Hip Hug Running Fuel Belt with 2 Pockets - NO BOUNCE Runner's Fanny Pack - Storage Pouch Bag Runners</t>
        </is>
      </c>
      <c r="C2474" t="inlineStr">
        <is>
          <t>TERRA-3BL-L-ZJ</t>
        </is>
      </c>
      <c r="D2474" t="inlineStr">
        <is>
          <t>Fanny Packs</t>
        </is>
      </c>
      <c r="E2474" t="inlineStr">
        <is>
          <t>Terra</t>
        </is>
      </c>
      <c r="F2474" t="inlineStr">
        <is>
          <t>Batch 1 - TR</t>
        </is>
      </c>
      <c r="G2474" s="48" t="n">
        <v>0</v>
      </c>
      <c r="H2474" s="48" t="n">
        <v>0</v>
      </c>
      <c r="I2474" s="48" t="n">
        <v>0</v>
      </c>
      <c r="J2474" s="48" t="n">
        <v>0</v>
      </c>
      <c r="K2474" s="49" t="n">
        <v>0</v>
      </c>
      <c r="L2474" s="49" t="n">
        <v>0</v>
      </c>
      <c r="M2474" s="49" t="n">
        <v>0</v>
      </c>
      <c r="N2474" s="49" t="n">
        <v>0</v>
      </c>
      <c r="O2474" s="49" t="n">
        <v>0</v>
      </c>
      <c r="P2474" s="49" t="n">
        <v>0</v>
      </c>
      <c r="Q2474" s="49" t="n">
        <v>0</v>
      </c>
      <c r="R2474" s="49" t="n">
        <v>0</v>
      </c>
      <c r="S2474" s="50" t="n">
        <v>0</v>
      </c>
      <c r="T2474" s="50" t="n">
        <v>0</v>
      </c>
      <c r="U2474" s="50" t="n">
        <v>0</v>
      </c>
      <c r="V2474" s="50" t="n">
        <v>0</v>
      </c>
      <c r="W2474" s="51" t="n">
        <v>0</v>
      </c>
      <c r="X2474" s="51" t="n">
        <v>0</v>
      </c>
      <c r="Y2474" s="51" t="n">
        <v>0</v>
      </c>
      <c r="Z2474" s="51" t="n">
        <v>0</v>
      </c>
      <c r="AA2474" s="52" t="n">
        <v>0</v>
      </c>
      <c r="AB2474" s="52" t="n">
        <v>0</v>
      </c>
      <c r="AC2474" s="52" t="n">
        <v>0</v>
      </c>
      <c r="AD2474" s="52" t="n">
        <v>0</v>
      </c>
      <c r="AE2474" s="52" t="n">
        <v>0</v>
      </c>
      <c r="AF2474" s="52" t="n">
        <v>0</v>
      </c>
      <c r="AG2474" s="52" t="n">
        <v>0</v>
      </c>
      <c r="AH2474" s="52" t="n">
        <v>0</v>
      </c>
      <c r="AI2474" s="52" t="n">
        <v>0</v>
      </c>
      <c r="AJ2474" s="52" t="n">
        <v>0</v>
      </c>
      <c r="AK2474" s="52" t="n">
        <v>0</v>
      </c>
      <c r="AL2474" s="52" t="n">
        <v>0</v>
      </c>
      <c r="AM2474" s="53" t="n">
        <v>0</v>
      </c>
      <c r="AN2474" s="53" t="n">
        <v>0</v>
      </c>
      <c r="AO2474" s="53" t="n">
        <v>0</v>
      </c>
      <c r="AP2474" s="53" t="n">
        <v>0</v>
      </c>
      <c r="AQ2474" s="52" t="n">
        <v>0</v>
      </c>
      <c r="AR2474" s="52" t="n">
        <v>0</v>
      </c>
      <c r="AS2474" s="52" t="n">
        <v>0</v>
      </c>
      <c r="AT2474" s="52" t="n">
        <v>0</v>
      </c>
      <c r="AU2474" s="53" t="n">
        <v>0</v>
      </c>
      <c r="AV2474" s="53" t="n">
        <v>0</v>
      </c>
      <c r="AW2474" s="53" t="n">
        <v>0</v>
      </c>
      <c r="AX2474" s="53" t="n">
        <v>0</v>
      </c>
      <c r="AY2474" s="52" t="n">
        <v>0</v>
      </c>
      <c r="AZ2474" s="52" t="n">
        <v>0</v>
      </c>
      <c r="BA2474" s="52" t="n">
        <v>0</v>
      </c>
      <c r="BB2474" s="52" t="n">
        <v>0</v>
      </c>
      <c r="BC2474" s="51" t="n">
        <v>0</v>
      </c>
      <c r="BD2474" s="51" t="n">
        <v>0</v>
      </c>
      <c r="BE2474" s="51" t="n">
        <v>0</v>
      </c>
      <c r="BF2474" s="51" t="n">
        <v>0</v>
      </c>
    </row>
    <row r="2475">
      <c r="A2475">
        <f>HYPERLINK("https://www.walmart.com/ip/183134043", "183134043")</f>
        <v/>
      </c>
      <c r="B2475" t="inlineStr">
        <is>
          <t>Target® Slim Running Belts Adjustable Waist Pack Bag for iPhone 6s/plus Phone</t>
        </is>
      </c>
      <c r="C2475" t="inlineStr">
        <is>
          <t>TARGETWB01L-HP</t>
        </is>
      </c>
      <c r="D2475" t="inlineStr">
        <is>
          <t>Running Belts</t>
        </is>
      </c>
      <c r="E2475" t="inlineStr">
        <is>
          <t>Target</t>
        </is>
      </c>
      <c r="F2475" t="inlineStr">
        <is>
          <t>Optimized</t>
        </is>
      </c>
      <c r="G2475" s="48" t="n">
        <v>0</v>
      </c>
      <c r="H2475" s="48" t="n">
        <v>0</v>
      </c>
      <c r="I2475" s="48" t="n">
        <v>0</v>
      </c>
      <c r="J2475" s="48" t="n">
        <v>0</v>
      </c>
      <c r="K2475" s="49" t="n">
        <v>0</v>
      </c>
      <c r="L2475" s="49" t="n">
        <v>0</v>
      </c>
      <c r="M2475" s="49" t="n">
        <v>0</v>
      </c>
      <c r="N2475" s="49" t="n">
        <v>0</v>
      </c>
      <c r="O2475" s="49" t="n">
        <v>0</v>
      </c>
      <c r="P2475" s="49" t="n">
        <v>0</v>
      </c>
      <c r="Q2475" s="49" t="n">
        <v>0</v>
      </c>
      <c r="R2475" s="49" t="n">
        <v>0</v>
      </c>
      <c r="S2475" s="50" t="n">
        <v>0</v>
      </c>
      <c r="T2475" s="50" t="n">
        <v>0</v>
      </c>
      <c r="U2475" s="50" t="n">
        <v>0</v>
      </c>
      <c r="V2475" s="50" t="n">
        <v>0</v>
      </c>
      <c r="W2475" s="51" t="n">
        <v>0</v>
      </c>
      <c r="X2475" s="51" t="n">
        <v>0</v>
      </c>
      <c r="Y2475" s="51" t="n">
        <v>0</v>
      </c>
      <c r="Z2475" s="51" t="n">
        <v>0</v>
      </c>
      <c r="AA2475" s="52" t="n">
        <v>0</v>
      </c>
      <c r="AB2475" s="52" t="n">
        <v>0</v>
      </c>
      <c r="AC2475" s="52" t="n">
        <v>0</v>
      </c>
      <c r="AD2475" s="52" t="n">
        <v>0</v>
      </c>
      <c r="AE2475" s="52" t="n">
        <v>0</v>
      </c>
      <c r="AF2475" s="52" t="n">
        <v>0</v>
      </c>
      <c r="AG2475" s="52" t="n">
        <v>0</v>
      </c>
      <c r="AH2475" s="52" t="n">
        <v>0</v>
      </c>
      <c r="AI2475" s="52" t="n">
        <v>0</v>
      </c>
      <c r="AJ2475" s="52" t="n">
        <v>0</v>
      </c>
      <c r="AK2475" s="52" t="n">
        <v>0</v>
      </c>
      <c r="AL2475" s="52" t="n">
        <v>0</v>
      </c>
      <c r="AM2475" s="53" t="n">
        <v>0</v>
      </c>
      <c r="AN2475" s="53" t="n">
        <v>0</v>
      </c>
      <c r="AO2475" s="53" t="n">
        <v>0</v>
      </c>
      <c r="AP2475" s="53" t="n">
        <v>0</v>
      </c>
      <c r="AQ2475" s="52" t="n">
        <v>0</v>
      </c>
      <c r="AR2475" s="52" t="n">
        <v>0</v>
      </c>
      <c r="AS2475" s="52" t="n">
        <v>0</v>
      </c>
      <c r="AT2475" s="52" t="n">
        <v>0</v>
      </c>
      <c r="AU2475" s="53" t="n">
        <v>0</v>
      </c>
      <c r="AV2475" s="53" t="n">
        <v>0</v>
      </c>
      <c r="AW2475" s="53" t="n">
        <v>0</v>
      </c>
      <c r="AX2475" s="53" t="n">
        <v>0</v>
      </c>
      <c r="AY2475" s="52" t="n">
        <v>0</v>
      </c>
      <c r="AZ2475" s="52" t="n">
        <v>0</v>
      </c>
      <c r="BA2475" s="52" t="n">
        <v>0</v>
      </c>
      <c r="BB2475" s="52" t="n">
        <v>0</v>
      </c>
      <c r="BC2475" s="51" t="n">
        <v>0</v>
      </c>
      <c r="BD2475" s="51" t="n">
        <v>0</v>
      </c>
      <c r="BE2475" s="51" t="n">
        <v>0</v>
      </c>
      <c r="BF2475" s="51" t="n">
        <v>0</v>
      </c>
    </row>
    <row r="2476">
      <c r="A2476">
        <f>HYPERLINK("https://www.walmart.com/ip/183843207", "183843207")</f>
        <v/>
      </c>
      <c r="B2476" t="inlineStr">
        <is>
          <t>KC Caps® Unisex Cotton Baseball Cap Adjustable Plain Hat (21 Styles/Colors)</t>
        </is>
      </c>
      <c r="C2476" t="inlineStr">
        <is>
          <t>KC8010KKGN</t>
        </is>
      </c>
      <c r="D2476" t="inlineStr">
        <is>
          <t>Hats</t>
        </is>
      </c>
      <c r="E2476" t="inlineStr">
        <is>
          <t>KC Caps</t>
        </is>
      </c>
      <c r="F2476" t="inlineStr">
        <is>
          <t>Optimized</t>
        </is>
      </c>
      <c r="G2476" s="48" t="n">
        <v>0</v>
      </c>
      <c r="H2476" s="48" t="n">
        <v>0</v>
      </c>
      <c r="I2476" s="48" t="n">
        <v>7.99</v>
      </c>
      <c r="J2476" s="48" t="n">
        <v>0</v>
      </c>
      <c r="K2476" s="49" t="n">
        <v>0</v>
      </c>
      <c r="L2476" s="49" t="n">
        <v>0</v>
      </c>
      <c r="M2476" s="49" t="n">
        <v>1</v>
      </c>
      <c r="N2476" s="49" t="n">
        <v>0</v>
      </c>
      <c r="O2476" s="49" t="n">
        <v>0</v>
      </c>
      <c r="P2476" s="49" t="n">
        <v>0</v>
      </c>
      <c r="Q2476" s="49" t="n">
        <v>0</v>
      </c>
      <c r="R2476" s="49" t="n">
        <v>0</v>
      </c>
      <c r="S2476" s="50" t="n">
        <v>0</v>
      </c>
      <c r="T2476" s="50" t="n">
        <v>0</v>
      </c>
      <c r="U2476" s="50" t="n">
        <v>0</v>
      </c>
      <c r="V2476" s="50" t="n">
        <v>0</v>
      </c>
      <c r="W2476" s="51" t="n">
        <v>0</v>
      </c>
      <c r="X2476" s="51" t="n">
        <v>0</v>
      </c>
      <c r="Y2476" s="51" t="n">
        <v>0</v>
      </c>
      <c r="Z2476" s="51" t="n">
        <v>0</v>
      </c>
      <c r="AA2476" s="52" t="n">
        <v>0</v>
      </c>
      <c r="AB2476" s="52" t="n">
        <v>0</v>
      </c>
      <c r="AC2476" s="52" t="n">
        <v>0</v>
      </c>
      <c r="AD2476" s="52" t="n">
        <v>0</v>
      </c>
      <c r="AE2476" s="52" t="n">
        <v>0</v>
      </c>
      <c r="AF2476" s="52" t="n">
        <v>0</v>
      </c>
      <c r="AG2476" s="52" t="n">
        <v>0</v>
      </c>
      <c r="AH2476" s="52" t="n">
        <v>0</v>
      </c>
      <c r="AI2476" s="52" t="n">
        <v>0</v>
      </c>
      <c r="AJ2476" s="52" t="n">
        <v>0</v>
      </c>
      <c r="AK2476" s="52" t="n">
        <v>0</v>
      </c>
      <c r="AL2476" s="52" t="n">
        <v>0</v>
      </c>
      <c r="AM2476" s="53" t="n">
        <v>0</v>
      </c>
      <c r="AN2476" s="53" t="n">
        <v>0</v>
      </c>
      <c r="AO2476" s="53" t="n">
        <v>0</v>
      </c>
      <c r="AP2476" s="53" t="n">
        <v>0</v>
      </c>
      <c r="AQ2476" s="52" t="n">
        <v>0</v>
      </c>
      <c r="AR2476" s="52" t="n">
        <v>0</v>
      </c>
      <c r="AS2476" s="52" t="n">
        <v>0</v>
      </c>
      <c r="AT2476" s="52" t="n">
        <v>0</v>
      </c>
      <c r="AU2476" s="53" t="n">
        <v>0</v>
      </c>
      <c r="AV2476" s="53" t="n">
        <v>0</v>
      </c>
      <c r="AW2476" s="53" t="n">
        <v>0</v>
      </c>
      <c r="AX2476" s="53" t="n">
        <v>0</v>
      </c>
      <c r="AY2476" s="52" t="n">
        <v>0</v>
      </c>
      <c r="AZ2476" s="52" t="n">
        <v>0</v>
      </c>
      <c r="BA2476" s="52" t="n">
        <v>7.99</v>
      </c>
      <c r="BB2476" s="52" t="n">
        <v>0</v>
      </c>
      <c r="BC2476" s="51" t="n">
        <v>0</v>
      </c>
      <c r="BD2476" s="51" t="n">
        <v>0</v>
      </c>
      <c r="BE2476" s="51" t="n">
        <v>0</v>
      </c>
      <c r="BF2476" s="51" t="n">
        <v>0</v>
      </c>
    </row>
    <row r="2477">
      <c r="A2477">
        <f>HYPERLINK("https://www.walmart.com/ip/183866106", "183866106")</f>
        <v/>
      </c>
      <c r="B2477" t="inlineStr">
        <is>
          <t>Terra Faux Fur Pom Pom Beanie Hat Slouchy Solid Plain Knit Unisex Stretches to Fit Most</t>
        </is>
      </c>
      <c r="C2477" t="inlineStr">
        <is>
          <t>TERRAPPH03LATTE</t>
        </is>
      </c>
      <c r="D2477" t="inlineStr">
        <is>
          <t>Hats</t>
        </is>
      </c>
      <c r="E2477" t="inlineStr">
        <is>
          <t>Terra</t>
        </is>
      </c>
      <c r="F2477" t="inlineStr">
        <is>
          <t>Batch 1 - TR</t>
        </is>
      </c>
      <c r="G2477" s="48" t="n">
        <v>0</v>
      </c>
      <c r="H2477" s="48" t="n">
        <v>0</v>
      </c>
      <c r="I2477" s="48" t="n">
        <v>0</v>
      </c>
      <c r="J2477" s="48" t="n">
        <v>0</v>
      </c>
      <c r="K2477" s="49" t="n">
        <v>0</v>
      </c>
      <c r="L2477" s="49" t="n">
        <v>0</v>
      </c>
      <c r="M2477" s="49" t="n">
        <v>0</v>
      </c>
      <c r="N2477" s="49" t="n">
        <v>0</v>
      </c>
      <c r="O2477" s="49" t="n">
        <v>0</v>
      </c>
      <c r="P2477" s="49" t="n">
        <v>0</v>
      </c>
      <c r="Q2477" s="49" t="n">
        <v>0</v>
      </c>
      <c r="R2477" s="49" t="n">
        <v>0</v>
      </c>
      <c r="S2477" s="50" t="n">
        <v>0</v>
      </c>
      <c r="T2477" s="50" t="n">
        <v>0</v>
      </c>
      <c r="U2477" s="50" t="n">
        <v>0</v>
      </c>
      <c r="V2477" s="50" t="n">
        <v>0</v>
      </c>
      <c r="W2477" s="51" t="n">
        <v>0</v>
      </c>
      <c r="X2477" s="51" t="n">
        <v>0</v>
      </c>
      <c r="Y2477" s="51" t="n">
        <v>0</v>
      </c>
      <c r="Z2477" s="51" t="n">
        <v>0</v>
      </c>
      <c r="AA2477" s="52" t="n">
        <v>0</v>
      </c>
      <c r="AB2477" s="52" t="n">
        <v>0</v>
      </c>
      <c r="AC2477" s="52" t="n">
        <v>0</v>
      </c>
      <c r="AD2477" s="52" t="n">
        <v>0</v>
      </c>
      <c r="AE2477" s="52" t="n">
        <v>0</v>
      </c>
      <c r="AF2477" s="52" t="n">
        <v>0</v>
      </c>
      <c r="AG2477" s="52" t="n">
        <v>0</v>
      </c>
      <c r="AH2477" s="52" t="n">
        <v>0</v>
      </c>
      <c r="AI2477" s="52" t="n">
        <v>0</v>
      </c>
      <c r="AJ2477" s="52" t="n">
        <v>0</v>
      </c>
      <c r="AK2477" s="52" t="n">
        <v>0</v>
      </c>
      <c r="AL2477" s="52" t="n">
        <v>0</v>
      </c>
      <c r="AM2477" s="53" t="n">
        <v>0</v>
      </c>
      <c r="AN2477" s="53" t="n">
        <v>0</v>
      </c>
      <c r="AO2477" s="53" t="n">
        <v>0</v>
      </c>
      <c r="AP2477" s="53" t="n">
        <v>0</v>
      </c>
      <c r="AQ2477" s="52" t="n">
        <v>0</v>
      </c>
      <c r="AR2477" s="52" t="n">
        <v>0</v>
      </c>
      <c r="AS2477" s="52" t="n">
        <v>0</v>
      </c>
      <c r="AT2477" s="52" t="n">
        <v>0</v>
      </c>
      <c r="AU2477" s="53" t="n">
        <v>0</v>
      </c>
      <c r="AV2477" s="53" t="n">
        <v>0</v>
      </c>
      <c r="AW2477" s="53" t="n">
        <v>0</v>
      </c>
      <c r="AX2477" s="53" t="n">
        <v>0</v>
      </c>
      <c r="AY2477" s="52" t="n">
        <v>0</v>
      </c>
      <c r="AZ2477" s="52" t="n">
        <v>0</v>
      </c>
      <c r="BA2477" s="52" t="n">
        <v>0</v>
      </c>
      <c r="BB2477" s="52" t="n">
        <v>0</v>
      </c>
      <c r="BC2477" s="51" t="n">
        <v>0</v>
      </c>
      <c r="BD2477" s="51" t="n">
        <v>0</v>
      </c>
      <c r="BE2477" s="51" t="n">
        <v>0</v>
      </c>
      <c r="BF2477" s="51" t="n">
        <v>0</v>
      </c>
    </row>
    <row r="2478">
      <c r="A2478">
        <f>HYPERLINK("https://www.walmart.com/ip/1839020688", "1839020688")</f>
        <v/>
      </c>
      <c r="B2478" t="inlineStr">
        <is>
          <t>Catalonia Reversible Cooling Blanket, Lightweight Summer Comforter for Hot Sleepers, Silky Soft Summer Duvet Throw Size, 50x60 inches, Soft Breathable, Blue</t>
        </is>
      </c>
      <c r="C2478" t="inlineStr">
        <is>
          <t>1CTBQ100BL</t>
        </is>
      </c>
      <c r="D2478" t="inlineStr">
        <is>
          <t>Bed Blankets</t>
        </is>
      </c>
      <c r="E2478" t="inlineStr">
        <is>
          <t>Catalonia</t>
        </is>
      </c>
      <c r="F2478" t="inlineStr">
        <is>
          <t>Batch 1 - TR</t>
        </is>
      </c>
      <c r="G2478" s="48" t="n">
        <v>0</v>
      </c>
      <c r="H2478" s="48" t="n">
        <v>0</v>
      </c>
      <c r="I2478" s="48" t="n">
        <v>19.98</v>
      </c>
      <c r="J2478" s="48" t="n">
        <v>0</v>
      </c>
      <c r="K2478" s="49" t="n">
        <v>0</v>
      </c>
      <c r="L2478" s="49" t="n">
        <v>0</v>
      </c>
      <c r="M2478" s="49" t="n">
        <v>1</v>
      </c>
      <c r="N2478" s="49" t="n">
        <v>0</v>
      </c>
      <c r="O2478" s="49" t="n">
        <v>0</v>
      </c>
      <c r="P2478" s="49" t="n">
        <v>0</v>
      </c>
      <c r="Q2478" s="49" t="n">
        <v>0</v>
      </c>
      <c r="R2478" s="49" t="n">
        <v>0</v>
      </c>
      <c r="S2478" s="50" t="n">
        <v>0</v>
      </c>
      <c r="T2478" s="50" t="n">
        <v>0</v>
      </c>
      <c r="U2478" s="50" t="n">
        <v>0</v>
      </c>
      <c r="V2478" s="50" t="n">
        <v>0</v>
      </c>
      <c r="W2478" s="51" t="n">
        <v>0</v>
      </c>
      <c r="X2478" s="51" t="n">
        <v>0</v>
      </c>
      <c r="Y2478" s="51" t="n">
        <v>0</v>
      </c>
      <c r="Z2478" s="51" t="n">
        <v>0</v>
      </c>
      <c r="AA2478" s="52" t="n">
        <v>0</v>
      </c>
      <c r="AB2478" s="52" t="n">
        <v>0</v>
      </c>
      <c r="AC2478" s="52" t="n">
        <v>0</v>
      </c>
      <c r="AD2478" s="52" t="n">
        <v>0</v>
      </c>
      <c r="AE2478" s="52" t="n">
        <v>0</v>
      </c>
      <c r="AF2478" s="52" t="n">
        <v>0</v>
      </c>
      <c r="AG2478" s="52" t="n">
        <v>0</v>
      </c>
      <c r="AH2478" s="52" t="n">
        <v>0</v>
      </c>
      <c r="AI2478" s="52" t="n">
        <v>0</v>
      </c>
      <c r="AJ2478" s="52" t="n">
        <v>0</v>
      </c>
      <c r="AK2478" s="52" t="n">
        <v>0</v>
      </c>
      <c r="AL2478" s="52" t="n">
        <v>0</v>
      </c>
      <c r="AM2478" s="53" t="n">
        <v>0</v>
      </c>
      <c r="AN2478" s="53" t="n">
        <v>0</v>
      </c>
      <c r="AO2478" s="53" t="n">
        <v>0</v>
      </c>
      <c r="AP2478" s="53" t="n">
        <v>0</v>
      </c>
      <c r="AQ2478" s="52" t="n">
        <v>0</v>
      </c>
      <c r="AR2478" s="52" t="n">
        <v>0</v>
      </c>
      <c r="AS2478" s="52" t="n">
        <v>0</v>
      </c>
      <c r="AT2478" s="52" t="n">
        <v>0</v>
      </c>
      <c r="AU2478" s="53" t="n">
        <v>0</v>
      </c>
      <c r="AV2478" s="53" t="n">
        <v>0</v>
      </c>
      <c r="AW2478" s="53" t="n">
        <v>0</v>
      </c>
      <c r="AX2478" s="53" t="n">
        <v>0</v>
      </c>
      <c r="AY2478" s="52" t="n">
        <v>0</v>
      </c>
      <c r="AZ2478" s="52" t="n">
        <v>0</v>
      </c>
      <c r="BA2478" s="52" t="n">
        <v>19.98</v>
      </c>
      <c r="BB2478" s="52" t="n">
        <v>0</v>
      </c>
      <c r="BC2478" s="51" t="n">
        <v>0</v>
      </c>
      <c r="BD2478" s="51" t="n">
        <v>0</v>
      </c>
      <c r="BE2478" s="51" t="n">
        <v>0</v>
      </c>
      <c r="BF2478" s="51" t="n">
        <v>0</v>
      </c>
    </row>
    <row r="2479">
      <c r="A2479">
        <f>HYPERLINK("https://www.walmart.com/ip/190246992", "190246992")</f>
        <v/>
      </c>
      <c r="B2479" t="inlineStr">
        <is>
          <t>KC Caps Blank Cuff Hat Knit Beanie</t>
        </is>
      </c>
      <c r="C2479" t="inlineStr">
        <is>
          <t>KCW1720NV</t>
        </is>
      </c>
      <c r="D2479" t="inlineStr">
        <is>
          <t>Hats</t>
        </is>
      </c>
      <c r="E2479" t="inlineStr">
        <is>
          <t>KC Caps</t>
        </is>
      </c>
      <c r="F2479" t="inlineStr">
        <is>
          <t>Optimized</t>
        </is>
      </c>
      <c r="G2479" s="48" t="n">
        <v>0</v>
      </c>
      <c r="H2479" s="48" t="n">
        <v>0</v>
      </c>
      <c r="I2479" s="48" t="n">
        <v>0</v>
      </c>
      <c r="J2479" s="48" t="n">
        <v>0</v>
      </c>
      <c r="K2479" s="49" t="n">
        <v>0</v>
      </c>
      <c r="L2479" s="49" t="n">
        <v>0</v>
      </c>
      <c r="M2479" s="49" t="n">
        <v>0</v>
      </c>
      <c r="N2479" s="49" t="n">
        <v>0</v>
      </c>
      <c r="O2479" s="49" t="n">
        <v>0</v>
      </c>
      <c r="P2479" s="49" t="n">
        <v>0</v>
      </c>
      <c r="Q2479" s="49" t="n">
        <v>0</v>
      </c>
      <c r="R2479" s="49" t="n">
        <v>0</v>
      </c>
      <c r="S2479" s="50" t="n">
        <v>0</v>
      </c>
      <c r="T2479" s="50" t="n">
        <v>0</v>
      </c>
      <c r="U2479" s="50" t="n">
        <v>0</v>
      </c>
      <c r="V2479" s="50" t="n">
        <v>0</v>
      </c>
      <c r="W2479" s="51" t="n">
        <v>0</v>
      </c>
      <c r="X2479" s="51" t="n">
        <v>0</v>
      </c>
      <c r="Y2479" s="51" t="n">
        <v>0</v>
      </c>
      <c r="Z2479" s="51" t="n">
        <v>0</v>
      </c>
      <c r="AA2479" s="52" t="n">
        <v>0</v>
      </c>
      <c r="AB2479" s="52" t="n">
        <v>0</v>
      </c>
      <c r="AC2479" s="52" t="n">
        <v>0</v>
      </c>
      <c r="AD2479" s="52" t="n">
        <v>0</v>
      </c>
      <c r="AE2479" s="52" t="n">
        <v>0</v>
      </c>
      <c r="AF2479" s="52" t="n">
        <v>0</v>
      </c>
      <c r="AG2479" s="52" t="n">
        <v>0</v>
      </c>
      <c r="AH2479" s="52" t="n">
        <v>0</v>
      </c>
      <c r="AI2479" s="52" t="n">
        <v>0</v>
      </c>
      <c r="AJ2479" s="52" t="n">
        <v>0</v>
      </c>
      <c r="AK2479" s="52" t="n">
        <v>0</v>
      </c>
      <c r="AL2479" s="52" t="n">
        <v>0</v>
      </c>
      <c r="AM2479" s="53" t="n">
        <v>0</v>
      </c>
      <c r="AN2479" s="53" t="n">
        <v>0</v>
      </c>
      <c r="AO2479" s="53" t="n">
        <v>0</v>
      </c>
      <c r="AP2479" s="53" t="n">
        <v>0</v>
      </c>
      <c r="AQ2479" s="52" t="n">
        <v>0</v>
      </c>
      <c r="AR2479" s="52" t="n">
        <v>0</v>
      </c>
      <c r="AS2479" s="52" t="n">
        <v>0</v>
      </c>
      <c r="AT2479" s="52" t="n">
        <v>0</v>
      </c>
      <c r="AU2479" s="53" t="n">
        <v>0</v>
      </c>
      <c r="AV2479" s="53" t="n">
        <v>0</v>
      </c>
      <c r="AW2479" s="53" t="n">
        <v>0</v>
      </c>
      <c r="AX2479" s="53" t="n">
        <v>0</v>
      </c>
      <c r="AY2479" s="52" t="n">
        <v>0</v>
      </c>
      <c r="AZ2479" s="52" t="n">
        <v>0</v>
      </c>
      <c r="BA2479" s="52" t="n">
        <v>0</v>
      </c>
      <c r="BB2479" s="52" t="n">
        <v>0</v>
      </c>
      <c r="BC2479" s="51" t="n">
        <v>0</v>
      </c>
      <c r="BD2479" s="51" t="n">
        <v>0</v>
      </c>
      <c r="BE2479" s="51" t="n">
        <v>0</v>
      </c>
      <c r="BF2479" s="51" t="n">
        <v>0</v>
      </c>
    </row>
    <row r="2480">
      <c r="A2480">
        <f>HYPERLINK("https://www.walmart.com/ip/186555220", "186555220")</f>
        <v/>
      </c>
      <c r="B2480" t="inlineStr">
        <is>
          <t>KC Caps Men's Vintage Style Cotton Gatsby Ivy Newsboy Hat, Cap for Camping,Travelling, and Hiking, Large</t>
        </is>
      </c>
      <c r="C2480" t="inlineStr">
        <is>
          <t>KC 8080GATSBY-BL-L</t>
        </is>
      </c>
      <c r="D2480" t="inlineStr">
        <is>
          <t>Hats</t>
        </is>
      </c>
      <c r="E2480" t="inlineStr">
        <is>
          <t>KC Caps</t>
        </is>
      </c>
      <c r="F2480" t="inlineStr">
        <is>
          <t>Q2-Target,WFS,Hats,WFS Item</t>
        </is>
      </c>
      <c r="G2480" s="48" t="n">
        <v>0</v>
      </c>
      <c r="H2480" s="48" t="n">
        <v>0</v>
      </c>
      <c r="I2480" s="48" t="n">
        <v>0</v>
      </c>
      <c r="J2480" s="48" t="n">
        <v>0</v>
      </c>
      <c r="K2480" s="49" t="n">
        <v>0</v>
      </c>
      <c r="L2480" s="49" t="n">
        <v>0</v>
      </c>
      <c r="M2480" s="49" t="n">
        <v>0</v>
      </c>
      <c r="N2480" s="49" t="n">
        <v>0</v>
      </c>
      <c r="O2480" s="49" t="n">
        <v>0</v>
      </c>
      <c r="P2480" s="49" t="n">
        <v>0</v>
      </c>
      <c r="Q2480" s="49" t="n">
        <v>0</v>
      </c>
      <c r="R2480" s="49" t="n">
        <v>0</v>
      </c>
      <c r="S2480" s="50" t="n">
        <v>0</v>
      </c>
      <c r="T2480" s="50" t="n">
        <v>0</v>
      </c>
      <c r="U2480" s="50" t="n">
        <v>0</v>
      </c>
      <c r="V2480" s="50" t="n">
        <v>0</v>
      </c>
      <c r="W2480" s="51" t="n">
        <v>0</v>
      </c>
      <c r="X2480" s="51" t="n">
        <v>0</v>
      </c>
      <c r="Y2480" s="51" t="n">
        <v>0</v>
      </c>
      <c r="Z2480" s="51" t="n">
        <v>0</v>
      </c>
      <c r="AA2480" s="52" t="n">
        <v>0</v>
      </c>
      <c r="AB2480" s="52" t="n">
        <v>0</v>
      </c>
      <c r="AC2480" s="52" t="n">
        <v>0</v>
      </c>
      <c r="AD2480" s="52" t="n">
        <v>0</v>
      </c>
      <c r="AE2480" s="52" t="n">
        <v>0</v>
      </c>
      <c r="AF2480" s="52" t="n">
        <v>0</v>
      </c>
      <c r="AG2480" s="52" t="n">
        <v>0</v>
      </c>
      <c r="AH2480" s="52" t="n">
        <v>0</v>
      </c>
      <c r="AI2480" s="52" t="n">
        <v>0</v>
      </c>
      <c r="AJ2480" s="52" t="n">
        <v>0</v>
      </c>
      <c r="AK2480" s="52" t="n">
        <v>0</v>
      </c>
      <c r="AL2480" s="52" t="n">
        <v>0</v>
      </c>
      <c r="AM2480" s="53" t="n">
        <v>0</v>
      </c>
      <c r="AN2480" s="53" t="n">
        <v>0</v>
      </c>
      <c r="AO2480" s="53" t="n">
        <v>0</v>
      </c>
      <c r="AP2480" s="53" t="n">
        <v>0</v>
      </c>
      <c r="AQ2480" s="52" t="n">
        <v>0</v>
      </c>
      <c r="AR2480" s="52" t="n">
        <v>0</v>
      </c>
      <c r="AS2480" s="52" t="n">
        <v>0</v>
      </c>
      <c r="AT2480" s="52" t="n">
        <v>0</v>
      </c>
      <c r="AU2480" s="53" t="n">
        <v>0</v>
      </c>
      <c r="AV2480" s="53" t="n">
        <v>0</v>
      </c>
      <c r="AW2480" s="53" t="n">
        <v>0</v>
      </c>
      <c r="AX2480" s="53" t="n">
        <v>0</v>
      </c>
      <c r="AY2480" s="52" t="n">
        <v>0</v>
      </c>
      <c r="AZ2480" s="52" t="n">
        <v>0</v>
      </c>
      <c r="BA2480" s="52" t="n">
        <v>0</v>
      </c>
      <c r="BB2480" s="52" t="n">
        <v>0</v>
      </c>
      <c r="BC2480" s="51" t="n">
        <v>0</v>
      </c>
      <c r="BD2480" s="51" t="n">
        <v>0</v>
      </c>
      <c r="BE2480" s="51" t="n">
        <v>0</v>
      </c>
      <c r="BF2480" s="51" t="n">
        <v>0</v>
      </c>
    </row>
    <row r="2481">
      <c r="A2481">
        <f>HYPERLINK("https://www.walmart.com/ip/1882794861", "1882794861")</f>
        <v/>
      </c>
      <c r="B2481" t="inlineStr">
        <is>
          <t>Every Day is Christmas Glass Blown Ornaments 2022 Cute Hand Made Figurines Tree Decoration - 8.3cm glass set of 2 soccer ornament</t>
        </is>
      </c>
      <c r="C2481" t="inlineStr">
        <is>
          <t>EDC-FIGURINE-SOCCER</t>
        </is>
      </c>
      <c r="D2481" t="inlineStr">
        <is>
          <t>Ornaments</t>
        </is>
      </c>
      <c r="E2481" t="inlineStr">
        <is>
          <t>Every Day is Christmas</t>
        </is>
      </c>
      <c r="G2481" s="48" t="n">
        <v>0</v>
      </c>
      <c r="H2481" s="48" t="n">
        <v>0</v>
      </c>
      <c r="I2481" s="48" t="n">
        <v>0</v>
      </c>
      <c r="J2481" s="48" t="n">
        <v>0</v>
      </c>
      <c r="K2481" s="49" t="n">
        <v>0</v>
      </c>
      <c r="L2481" s="49" t="n">
        <v>0</v>
      </c>
      <c r="M2481" s="49" t="n">
        <v>0</v>
      </c>
      <c r="N2481" s="49" t="n">
        <v>0</v>
      </c>
      <c r="O2481" s="49" t="n">
        <v>0</v>
      </c>
      <c r="P2481" s="49" t="n">
        <v>0</v>
      </c>
      <c r="Q2481" s="49" t="n">
        <v>0</v>
      </c>
      <c r="R2481" s="49" t="n">
        <v>0</v>
      </c>
      <c r="S2481" s="50" t="n">
        <v>0</v>
      </c>
      <c r="T2481" s="50" t="n">
        <v>0</v>
      </c>
      <c r="U2481" s="50" t="n">
        <v>0</v>
      </c>
      <c r="V2481" s="50" t="n">
        <v>0</v>
      </c>
      <c r="W2481" s="51" t="n">
        <v>0</v>
      </c>
      <c r="X2481" s="51" t="n">
        <v>0</v>
      </c>
      <c r="Y2481" s="51" t="n">
        <v>0</v>
      </c>
      <c r="Z2481" s="51" t="n">
        <v>0</v>
      </c>
      <c r="AA2481" s="52" t="n">
        <v>0</v>
      </c>
      <c r="AB2481" s="52" t="n">
        <v>0</v>
      </c>
      <c r="AC2481" s="52" t="n">
        <v>0</v>
      </c>
      <c r="AD2481" s="52" t="n">
        <v>0</v>
      </c>
      <c r="AE2481" s="52" t="n">
        <v>0</v>
      </c>
      <c r="AF2481" s="52" t="n">
        <v>0</v>
      </c>
      <c r="AG2481" s="52" t="n">
        <v>0</v>
      </c>
      <c r="AH2481" s="52" t="n">
        <v>0</v>
      </c>
      <c r="AI2481" s="52" t="n">
        <v>0</v>
      </c>
      <c r="AJ2481" s="52" t="n">
        <v>0</v>
      </c>
      <c r="AK2481" s="52" t="n">
        <v>0</v>
      </c>
      <c r="AL2481" s="52" t="n">
        <v>0</v>
      </c>
      <c r="AM2481" s="53" t="n">
        <v>0</v>
      </c>
      <c r="AN2481" s="53" t="n">
        <v>0</v>
      </c>
      <c r="AO2481" s="53" t="n">
        <v>0</v>
      </c>
      <c r="AP2481" s="53" t="n">
        <v>0</v>
      </c>
      <c r="AQ2481" s="52" t="n">
        <v>0</v>
      </c>
      <c r="AR2481" s="52" t="n">
        <v>0</v>
      </c>
      <c r="AS2481" s="52" t="n">
        <v>0</v>
      </c>
      <c r="AT2481" s="52" t="n">
        <v>0</v>
      </c>
      <c r="AU2481" s="53" t="n">
        <v>0</v>
      </c>
      <c r="AV2481" s="53" t="n">
        <v>0</v>
      </c>
      <c r="AW2481" s="53" t="n">
        <v>0</v>
      </c>
      <c r="AX2481" s="53" t="n">
        <v>0</v>
      </c>
      <c r="AY2481" s="52" t="n">
        <v>0</v>
      </c>
      <c r="AZ2481" s="52" t="n">
        <v>0</v>
      </c>
      <c r="BA2481" s="52" t="n">
        <v>0</v>
      </c>
      <c r="BB2481" s="52" t="n">
        <v>0</v>
      </c>
      <c r="BC2481" s="51" t="n">
        <v>0</v>
      </c>
      <c r="BD2481" s="51" t="n">
        <v>0</v>
      </c>
      <c r="BE2481" s="51" t="n">
        <v>0</v>
      </c>
      <c r="BF2481" s="51" t="n">
        <v>0</v>
      </c>
    </row>
    <row r="2482">
      <c r="A2482">
        <f>HYPERLINK("https://www.walmart.com/ip/1892269532", "1892269532")</f>
        <v/>
      </c>
      <c r="B2482" t="inlineStr">
        <is>
          <t>Every Day is Christmas Glass Blown Ornaments Cute Hand Made Figurines Tree Decoration, Ambulance</t>
        </is>
      </c>
      <c r="C2482" t="inlineStr">
        <is>
          <t>EDC-FIGURINE-AMBULANCE</t>
        </is>
      </c>
      <c r="D2482" t="inlineStr">
        <is>
          <t>Ornaments</t>
        </is>
      </c>
      <c r="E2482" t="inlineStr">
        <is>
          <t>Every Day is Christmas</t>
        </is>
      </c>
      <c r="G2482" s="48" t="n">
        <v>0</v>
      </c>
      <c r="H2482" s="48" t="n">
        <v>0</v>
      </c>
      <c r="I2482" s="48" t="n">
        <v>0</v>
      </c>
      <c r="J2482" s="48" t="n">
        <v>0</v>
      </c>
      <c r="K2482" s="49" t="n">
        <v>0</v>
      </c>
      <c r="L2482" s="49" t="n">
        <v>0</v>
      </c>
      <c r="M2482" s="49" t="n">
        <v>0</v>
      </c>
      <c r="N2482" s="49" t="n">
        <v>0</v>
      </c>
      <c r="O2482" s="49" t="n">
        <v>0</v>
      </c>
      <c r="P2482" s="49" t="n">
        <v>0</v>
      </c>
      <c r="Q2482" s="49" t="n">
        <v>0</v>
      </c>
      <c r="R2482" s="49" t="n">
        <v>0</v>
      </c>
      <c r="S2482" s="50" t="n">
        <v>0</v>
      </c>
      <c r="T2482" s="50" t="n">
        <v>0</v>
      </c>
      <c r="U2482" s="50" t="n">
        <v>0</v>
      </c>
      <c r="V2482" s="50" t="n">
        <v>0</v>
      </c>
      <c r="W2482" s="51" t="n">
        <v>0</v>
      </c>
      <c r="X2482" s="51" t="n">
        <v>0</v>
      </c>
      <c r="Y2482" s="51" t="n">
        <v>0</v>
      </c>
      <c r="Z2482" s="51" t="n">
        <v>0</v>
      </c>
      <c r="AA2482" s="52" t="n">
        <v>0</v>
      </c>
      <c r="AB2482" s="52" t="n">
        <v>0</v>
      </c>
      <c r="AC2482" s="52" t="n">
        <v>0</v>
      </c>
      <c r="AD2482" s="52" t="n">
        <v>0</v>
      </c>
      <c r="AE2482" s="52" t="n">
        <v>0</v>
      </c>
      <c r="AF2482" s="52" t="n">
        <v>0</v>
      </c>
      <c r="AG2482" s="52" t="n">
        <v>0</v>
      </c>
      <c r="AH2482" s="52" t="n">
        <v>0</v>
      </c>
      <c r="AI2482" s="52" t="n">
        <v>0</v>
      </c>
      <c r="AJ2482" s="52" t="n">
        <v>0</v>
      </c>
      <c r="AK2482" s="52" t="n">
        <v>0</v>
      </c>
      <c r="AL2482" s="52" t="n">
        <v>0</v>
      </c>
      <c r="AM2482" s="53" t="n">
        <v>0</v>
      </c>
      <c r="AN2482" s="53" t="n">
        <v>0</v>
      </c>
      <c r="AO2482" s="53" t="n">
        <v>0</v>
      </c>
      <c r="AP2482" s="53" t="n">
        <v>0</v>
      </c>
      <c r="AQ2482" s="52" t="n">
        <v>0</v>
      </c>
      <c r="AR2482" s="52" t="n">
        <v>0</v>
      </c>
      <c r="AS2482" s="52" t="n">
        <v>0</v>
      </c>
      <c r="AT2482" s="52" t="n">
        <v>0</v>
      </c>
      <c r="AU2482" s="53" t="n">
        <v>0</v>
      </c>
      <c r="AV2482" s="53" t="n">
        <v>0</v>
      </c>
      <c r="AW2482" s="53" t="n">
        <v>0</v>
      </c>
      <c r="AX2482" s="53" t="n">
        <v>0</v>
      </c>
      <c r="AY2482" s="52" t="n">
        <v>0</v>
      </c>
      <c r="AZ2482" s="52" t="n">
        <v>0</v>
      </c>
      <c r="BA2482" s="52" t="n">
        <v>0</v>
      </c>
      <c r="BB2482" s="52" t="n">
        <v>0</v>
      </c>
      <c r="BC2482" s="51" t="n">
        <v>0</v>
      </c>
      <c r="BD2482" s="51" t="n">
        <v>0</v>
      </c>
      <c r="BE2482" s="51" t="n">
        <v>0</v>
      </c>
      <c r="BF2482" s="51" t="n">
        <v>0</v>
      </c>
    </row>
    <row r="2483">
      <c r="A2483">
        <f>HYPERLINK("https://www.walmart.com/ip/1891267767", "1891267767")</f>
        <v/>
      </c>
      <c r="B2483" t="inlineStr">
        <is>
          <t>Bucket Summer Mens Sun Hat Water Repel Mesh Net Light Weight UV Protection Outdoor Cap by Solaris</t>
        </is>
      </c>
      <c r="C2483" t="inlineStr">
        <is>
          <t>1SLSH191TN-12pcs</t>
        </is>
      </c>
      <c r="D2483" t="inlineStr">
        <is>
          <t>Hats</t>
        </is>
      </c>
      <c r="E2483" t="inlineStr">
        <is>
          <t>Solaris</t>
        </is>
      </c>
      <c r="F2483" t="inlineStr">
        <is>
          <t>Batch 1 - TR</t>
        </is>
      </c>
      <c r="G2483" s="48" t="n">
        <v>0</v>
      </c>
      <c r="H2483" s="48" t="n">
        <v>0</v>
      </c>
      <c r="I2483" s="48" t="n">
        <v>0</v>
      </c>
      <c r="J2483" s="48" t="n">
        <v>0</v>
      </c>
      <c r="K2483" s="49" t="n">
        <v>0</v>
      </c>
      <c r="L2483" s="49" t="n">
        <v>0</v>
      </c>
      <c r="M2483" s="49" t="n">
        <v>0</v>
      </c>
      <c r="N2483" s="49" t="n">
        <v>0</v>
      </c>
      <c r="O2483" s="49" t="n">
        <v>0</v>
      </c>
      <c r="P2483" s="49" t="n">
        <v>0</v>
      </c>
      <c r="Q2483" s="49" t="n">
        <v>0</v>
      </c>
      <c r="R2483" s="49" t="n">
        <v>0</v>
      </c>
      <c r="S2483" s="50" t="n">
        <v>0</v>
      </c>
      <c r="T2483" s="50" t="n">
        <v>0</v>
      </c>
      <c r="U2483" s="50" t="n">
        <v>0</v>
      </c>
      <c r="V2483" s="50" t="n">
        <v>0</v>
      </c>
      <c r="W2483" s="51" t="n">
        <v>0</v>
      </c>
      <c r="X2483" s="51" t="n">
        <v>0</v>
      </c>
      <c r="Y2483" s="51" t="n">
        <v>0</v>
      </c>
      <c r="Z2483" s="51" t="n">
        <v>0</v>
      </c>
      <c r="AA2483" s="52" t="n">
        <v>0</v>
      </c>
      <c r="AB2483" s="52" t="n">
        <v>0</v>
      </c>
      <c r="AC2483" s="52" t="n">
        <v>0</v>
      </c>
      <c r="AD2483" s="52" t="n">
        <v>0</v>
      </c>
      <c r="AE2483" s="52" t="n">
        <v>0</v>
      </c>
      <c r="AF2483" s="52" t="n">
        <v>0</v>
      </c>
      <c r="AG2483" s="52" t="n">
        <v>0</v>
      </c>
      <c r="AH2483" s="52" t="n">
        <v>0</v>
      </c>
      <c r="AI2483" s="52" t="n">
        <v>0</v>
      </c>
      <c r="AJ2483" s="52" t="n">
        <v>0</v>
      </c>
      <c r="AK2483" s="52" t="n">
        <v>0</v>
      </c>
      <c r="AL2483" s="52" t="n">
        <v>0</v>
      </c>
      <c r="AM2483" s="53" t="n">
        <v>0</v>
      </c>
      <c r="AN2483" s="53" t="n">
        <v>0</v>
      </c>
      <c r="AO2483" s="53" t="n">
        <v>0</v>
      </c>
      <c r="AP2483" s="53" t="n">
        <v>0</v>
      </c>
      <c r="AQ2483" s="52" t="n">
        <v>0</v>
      </c>
      <c r="AR2483" s="52" t="n">
        <v>0</v>
      </c>
      <c r="AS2483" s="52" t="n">
        <v>0</v>
      </c>
      <c r="AT2483" s="52" t="n">
        <v>0</v>
      </c>
      <c r="AU2483" s="53" t="n">
        <v>0</v>
      </c>
      <c r="AV2483" s="53" t="n">
        <v>0</v>
      </c>
      <c r="AW2483" s="53" t="n">
        <v>0</v>
      </c>
      <c r="AX2483" s="53" t="n">
        <v>0</v>
      </c>
      <c r="AY2483" s="52" t="n">
        <v>0</v>
      </c>
      <c r="AZ2483" s="52" t="n">
        <v>0</v>
      </c>
      <c r="BA2483" s="52" t="n">
        <v>0</v>
      </c>
      <c r="BB2483" s="52" t="n">
        <v>0</v>
      </c>
      <c r="BC2483" s="51" t="n">
        <v>0</v>
      </c>
      <c r="BD2483" s="51" t="n">
        <v>0</v>
      </c>
      <c r="BE2483" s="51" t="n">
        <v>0</v>
      </c>
      <c r="BF2483" s="51" t="n">
        <v>0</v>
      </c>
    </row>
    <row r="2484">
      <c r="A2484">
        <f>HYPERLINK("https://www.walmart.com/ip/1890457864", "1890457864")</f>
        <v/>
      </c>
      <c r="B2484" t="inlineStr">
        <is>
          <t>Every Day is Christmas Glass Blown Ornaments Cute Hand Made Figurines Tree Decoration, Bananas</t>
        </is>
      </c>
      <c r="C2484" t="inlineStr">
        <is>
          <t>EDC-FIGURINE-BANANAS</t>
        </is>
      </c>
      <c r="D2484" t="inlineStr">
        <is>
          <t>Ornaments</t>
        </is>
      </c>
      <c r="E2484" t="inlineStr">
        <is>
          <t>Every Day is Christmas</t>
        </is>
      </c>
      <c r="G2484" s="48" t="n">
        <v>0</v>
      </c>
      <c r="H2484" s="48" t="n">
        <v>0</v>
      </c>
      <c r="I2484" s="48" t="n">
        <v>0</v>
      </c>
      <c r="J2484" s="48" t="n">
        <v>0</v>
      </c>
      <c r="K2484" s="49" t="n">
        <v>0</v>
      </c>
      <c r="L2484" s="49" t="n">
        <v>0</v>
      </c>
      <c r="M2484" s="49" t="n">
        <v>0</v>
      </c>
      <c r="N2484" s="49" t="n">
        <v>0</v>
      </c>
      <c r="O2484" s="49" t="n">
        <v>0</v>
      </c>
      <c r="P2484" s="49" t="n">
        <v>0</v>
      </c>
      <c r="Q2484" s="49" t="n">
        <v>0</v>
      </c>
      <c r="R2484" s="49" t="n">
        <v>0</v>
      </c>
      <c r="S2484" s="50" t="n">
        <v>0</v>
      </c>
      <c r="T2484" s="50" t="n">
        <v>0</v>
      </c>
      <c r="U2484" s="50" t="n">
        <v>0</v>
      </c>
      <c r="V2484" s="50" t="n">
        <v>0</v>
      </c>
      <c r="W2484" s="51" t="n">
        <v>0</v>
      </c>
      <c r="X2484" s="51" t="n">
        <v>0</v>
      </c>
      <c r="Y2484" s="51" t="n">
        <v>0</v>
      </c>
      <c r="Z2484" s="51" t="n">
        <v>0</v>
      </c>
      <c r="AA2484" s="52" t="n">
        <v>0</v>
      </c>
      <c r="AB2484" s="52" t="n">
        <v>0</v>
      </c>
      <c r="AC2484" s="52" t="n">
        <v>0</v>
      </c>
      <c r="AD2484" s="52" t="n">
        <v>0</v>
      </c>
      <c r="AE2484" s="52" t="n">
        <v>0</v>
      </c>
      <c r="AF2484" s="52" t="n">
        <v>0</v>
      </c>
      <c r="AG2484" s="52" t="n">
        <v>0</v>
      </c>
      <c r="AH2484" s="52" t="n">
        <v>0</v>
      </c>
      <c r="AI2484" s="52" t="n">
        <v>0</v>
      </c>
      <c r="AJ2484" s="52" t="n">
        <v>0</v>
      </c>
      <c r="AK2484" s="52" t="n">
        <v>0</v>
      </c>
      <c r="AL2484" s="52" t="n">
        <v>0</v>
      </c>
      <c r="AM2484" s="53" t="n">
        <v>0</v>
      </c>
      <c r="AN2484" s="53" t="n">
        <v>0</v>
      </c>
      <c r="AO2484" s="53" t="n">
        <v>0</v>
      </c>
      <c r="AP2484" s="53" t="n">
        <v>0</v>
      </c>
      <c r="AQ2484" s="52" t="n">
        <v>0</v>
      </c>
      <c r="AR2484" s="52" t="n">
        <v>0</v>
      </c>
      <c r="AS2484" s="52" t="n">
        <v>0</v>
      </c>
      <c r="AT2484" s="52" t="n">
        <v>0</v>
      </c>
      <c r="AU2484" s="53" t="n">
        <v>0</v>
      </c>
      <c r="AV2484" s="53" t="n">
        <v>0</v>
      </c>
      <c r="AW2484" s="53" t="n">
        <v>0</v>
      </c>
      <c r="AX2484" s="53" t="n">
        <v>0</v>
      </c>
      <c r="AY2484" s="52" t="n">
        <v>0</v>
      </c>
      <c r="AZ2484" s="52" t="n">
        <v>0</v>
      </c>
      <c r="BA2484" s="52" t="n">
        <v>0</v>
      </c>
      <c r="BB2484" s="52" t="n">
        <v>0</v>
      </c>
      <c r="BC2484" s="51" t="n">
        <v>0</v>
      </c>
      <c r="BD2484" s="51" t="n">
        <v>0</v>
      </c>
      <c r="BE2484" s="51" t="n">
        <v>0</v>
      </c>
      <c r="BF2484" s="51" t="n">
        <v>0</v>
      </c>
    </row>
    <row r="2485">
      <c r="A2485">
        <f>HYPERLINK("https://www.walmart.com/ip/1890050294", "1890050294")</f>
        <v/>
      </c>
      <c r="B2485" t="inlineStr">
        <is>
          <t>Tirrinia Portable Picnic Table with 4 Wine Glasses Holder, Functional Bamboo Snack Tray Table -Foldable for Party, Picnic, Camping, Beach (15.7" x 12.5" x 7.5")</t>
        </is>
      </c>
      <c r="C2485" t="inlineStr">
        <is>
          <t>1TRPT400</t>
        </is>
      </c>
      <c r="D2485" t="inlineStr">
        <is>
          <t>Picnic Tables</t>
        </is>
      </c>
      <c r="E2485" t="inlineStr">
        <is>
          <t>Tirrinia</t>
        </is>
      </c>
      <c r="F2485" t="inlineStr">
        <is>
          <t>Wine,Batch 1 - TR</t>
        </is>
      </c>
      <c r="G2485" s="48" t="n">
        <v>0</v>
      </c>
      <c r="H2485" s="48" t="n">
        <v>0</v>
      </c>
      <c r="I2485" s="48" t="n">
        <v>0</v>
      </c>
      <c r="J2485" s="48" t="n">
        <v>0</v>
      </c>
      <c r="K2485" s="49" t="n">
        <v>0</v>
      </c>
      <c r="L2485" s="49" t="n">
        <v>0</v>
      </c>
      <c r="M2485" s="49" t="n">
        <v>0</v>
      </c>
      <c r="N2485" s="49" t="n">
        <v>0</v>
      </c>
      <c r="O2485" s="49" t="n">
        <v>0</v>
      </c>
      <c r="P2485" s="49" t="n">
        <v>0</v>
      </c>
      <c r="Q2485" s="49" t="n">
        <v>0</v>
      </c>
      <c r="R2485" s="49" t="n">
        <v>0</v>
      </c>
      <c r="S2485" s="50" t="n">
        <v>0</v>
      </c>
      <c r="T2485" s="50" t="n">
        <v>0</v>
      </c>
      <c r="U2485" s="50" t="n">
        <v>0</v>
      </c>
      <c r="V2485" s="50" t="n">
        <v>0</v>
      </c>
      <c r="W2485" s="51" t="n">
        <v>0</v>
      </c>
      <c r="X2485" s="51" t="n">
        <v>0</v>
      </c>
      <c r="Y2485" s="51" t="n">
        <v>0</v>
      </c>
      <c r="Z2485" s="51" t="n">
        <v>0</v>
      </c>
      <c r="AA2485" s="52" t="n">
        <v>0</v>
      </c>
      <c r="AB2485" s="52" t="n">
        <v>0</v>
      </c>
      <c r="AC2485" s="52" t="n">
        <v>0</v>
      </c>
      <c r="AD2485" s="52" t="n">
        <v>0</v>
      </c>
      <c r="AE2485" s="52" t="n">
        <v>0</v>
      </c>
      <c r="AF2485" s="52" t="n">
        <v>0</v>
      </c>
      <c r="AG2485" s="52" t="n">
        <v>0</v>
      </c>
      <c r="AH2485" s="52" t="n">
        <v>0</v>
      </c>
      <c r="AI2485" s="52" t="n">
        <v>0</v>
      </c>
      <c r="AJ2485" s="52" t="n">
        <v>0</v>
      </c>
      <c r="AK2485" s="52" t="n">
        <v>0</v>
      </c>
      <c r="AL2485" s="52" t="n">
        <v>0</v>
      </c>
      <c r="AM2485" s="53" t="n">
        <v>0</v>
      </c>
      <c r="AN2485" s="53" t="n">
        <v>0</v>
      </c>
      <c r="AO2485" s="53" t="n">
        <v>0</v>
      </c>
      <c r="AP2485" s="53" t="n">
        <v>0</v>
      </c>
      <c r="AQ2485" s="52" t="n">
        <v>0</v>
      </c>
      <c r="AR2485" s="52" t="n">
        <v>0</v>
      </c>
      <c r="AS2485" s="52" t="n">
        <v>0</v>
      </c>
      <c r="AT2485" s="52" t="n">
        <v>0</v>
      </c>
      <c r="AU2485" s="53" t="n">
        <v>0</v>
      </c>
      <c r="AV2485" s="53" t="n">
        <v>0</v>
      </c>
      <c r="AW2485" s="53" t="n">
        <v>0</v>
      </c>
      <c r="AX2485" s="53" t="n">
        <v>0</v>
      </c>
      <c r="AY2485" s="52" t="n">
        <v>0</v>
      </c>
      <c r="AZ2485" s="52" t="n">
        <v>0</v>
      </c>
      <c r="BA2485" s="52" t="n">
        <v>0</v>
      </c>
      <c r="BB2485" s="52" t="n">
        <v>0</v>
      </c>
      <c r="BC2485" s="51" t="n">
        <v>0</v>
      </c>
      <c r="BD2485" s="51" t="n">
        <v>0</v>
      </c>
      <c r="BE2485" s="51" t="n">
        <v>0</v>
      </c>
      <c r="BF2485" s="51" t="n">
        <v>0</v>
      </c>
    </row>
    <row r="2486">
      <c r="A2486">
        <f>HYPERLINK("https://www.walmart.com/ip/188993152", "188993152")</f>
        <v/>
      </c>
      <c r="B2486" t="inlineStr">
        <is>
          <t>Women’s Swim Bathing Suit Cover Up, Summer Chiffon Maxi Beach Dress Skirt</t>
        </is>
      </c>
      <c r="C2486" t="inlineStr">
        <is>
          <t>1WMDS100RD</t>
        </is>
      </c>
      <c r="D2486" t="inlineStr">
        <is>
          <t>Dresses</t>
        </is>
      </c>
      <c r="E2486" t="inlineStr">
        <is>
          <t>Flyingstar</t>
        </is>
      </c>
      <c r="F2486" t="inlineStr">
        <is>
          <t>Batch 1 - TR</t>
        </is>
      </c>
      <c r="G2486" s="48" t="n">
        <v>0</v>
      </c>
      <c r="H2486" s="48" t="n">
        <v>0</v>
      </c>
      <c r="I2486" s="48" t="n">
        <v>0</v>
      </c>
      <c r="J2486" s="48" t="n">
        <v>0</v>
      </c>
      <c r="K2486" s="49" t="n">
        <v>0</v>
      </c>
      <c r="L2486" s="49" t="n">
        <v>0</v>
      </c>
      <c r="M2486" s="49" t="n">
        <v>0</v>
      </c>
      <c r="N2486" s="49" t="n">
        <v>0</v>
      </c>
      <c r="O2486" s="49" t="n">
        <v>0</v>
      </c>
      <c r="P2486" s="49" t="n">
        <v>0</v>
      </c>
      <c r="Q2486" s="49" t="n">
        <v>0</v>
      </c>
      <c r="R2486" s="49" t="n">
        <v>0</v>
      </c>
      <c r="S2486" s="50" t="n">
        <v>0</v>
      </c>
      <c r="T2486" s="50" t="n">
        <v>0</v>
      </c>
      <c r="U2486" s="50" t="n">
        <v>0</v>
      </c>
      <c r="V2486" s="50" t="n">
        <v>0</v>
      </c>
      <c r="W2486" s="51" t="n">
        <v>0</v>
      </c>
      <c r="X2486" s="51" t="n">
        <v>0</v>
      </c>
      <c r="Y2486" s="51" t="n">
        <v>0</v>
      </c>
      <c r="Z2486" s="51" t="n">
        <v>0</v>
      </c>
      <c r="AA2486" s="52" t="n">
        <v>0</v>
      </c>
      <c r="AB2486" s="52" t="n">
        <v>0</v>
      </c>
      <c r="AC2486" s="52" t="n">
        <v>0</v>
      </c>
      <c r="AD2486" s="52" t="n">
        <v>0</v>
      </c>
      <c r="AE2486" s="52" t="n">
        <v>0</v>
      </c>
      <c r="AF2486" s="52" t="n">
        <v>0</v>
      </c>
      <c r="AG2486" s="52" t="n">
        <v>0</v>
      </c>
      <c r="AH2486" s="52" t="n">
        <v>0</v>
      </c>
      <c r="AI2486" s="52" t="n">
        <v>0</v>
      </c>
      <c r="AJ2486" s="52" t="n">
        <v>0</v>
      </c>
      <c r="AK2486" s="52" t="n">
        <v>0</v>
      </c>
      <c r="AL2486" s="52" t="n">
        <v>0</v>
      </c>
      <c r="AM2486" s="53" t="n">
        <v>0</v>
      </c>
      <c r="AN2486" s="53" t="n">
        <v>0</v>
      </c>
      <c r="AO2486" s="53" t="n">
        <v>0</v>
      </c>
      <c r="AP2486" s="53" t="n">
        <v>0</v>
      </c>
      <c r="AQ2486" s="52" t="n">
        <v>0</v>
      </c>
      <c r="AR2486" s="52" t="n">
        <v>0</v>
      </c>
      <c r="AS2486" s="52" t="n">
        <v>0</v>
      </c>
      <c r="AT2486" s="52" t="n">
        <v>0</v>
      </c>
      <c r="AU2486" s="53" t="n">
        <v>0</v>
      </c>
      <c r="AV2486" s="53" t="n">
        <v>0</v>
      </c>
      <c r="AW2486" s="53" t="n">
        <v>0</v>
      </c>
      <c r="AX2486" s="53" t="n">
        <v>0</v>
      </c>
      <c r="AY2486" s="52" t="n">
        <v>0</v>
      </c>
      <c r="AZ2486" s="52" t="n">
        <v>0</v>
      </c>
      <c r="BA2486" s="52" t="n">
        <v>0</v>
      </c>
      <c r="BB2486" s="52" t="n">
        <v>0</v>
      </c>
      <c r="BC2486" s="51" t="n">
        <v>0</v>
      </c>
      <c r="BD2486" s="51" t="n">
        <v>0</v>
      </c>
      <c r="BE2486" s="51" t="n">
        <v>0</v>
      </c>
      <c r="BF2486" s="51" t="n">
        <v>0</v>
      </c>
    </row>
    <row r="2487">
      <c r="A2487">
        <f>HYPERLINK("https://www.walmart.com/ip/188803915", "188803915")</f>
        <v/>
      </c>
      <c r="B2487" t="inlineStr">
        <is>
          <t>Kato Insulated Wine Carrier Bag - 4 Bottle Travel Padded Wine Carrying Cooler Tote with Handle and Shoulder Strap, Great Wine Lover Gift, Stripe</t>
        </is>
      </c>
      <c r="C2487" t="inlineStr">
        <is>
          <t>1KTWB420STR</t>
        </is>
      </c>
      <c r="D2487" t="inlineStr">
        <is>
          <t>Wine Totes, Bags &amp; Backpacks</t>
        </is>
      </c>
      <c r="E2487" t="inlineStr">
        <is>
          <t>Kato</t>
        </is>
      </c>
      <c r="F2487" t="inlineStr">
        <is>
          <t>Wine,Wine Bag Camp,Christmas,Wine WFS,Valentine,WFS Item</t>
        </is>
      </c>
      <c r="G2487" s="48" t="n">
        <v>0</v>
      </c>
      <c r="H2487" s="48" t="n">
        <v>0</v>
      </c>
      <c r="I2487" s="48" t="n">
        <v>0</v>
      </c>
      <c r="J2487" s="48" t="n">
        <v>0</v>
      </c>
      <c r="K2487" s="49" t="n">
        <v>0</v>
      </c>
      <c r="L2487" s="49" t="n">
        <v>0</v>
      </c>
      <c r="M2487" s="49" t="n">
        <v>0</v>
      </c>
      <c r="N2487" s="49" t="n">
        <v>0</v>
      </c>
      <c r="O2487" s="49" t="n">
        <v>0</v>
      </c>
      <c r="P2487" s="49" t="n">
        <v>0</v>
      </c>
      <c r="Q2487" s="49" t="n">
        <v>0</v>
      </c>
      <c r="R2487" s="49" t="n">
        <v>0</v>
      </c>
      <c r="S2487" s="50" t="n">
        <v>0</v>
      </c>
      <c r="T2487" s="50" t="n">
        <v>0</v>
      </c>
      <c r="U2487" s="50" t="n">
        <v>0</v>
      </c>
      <c r="V2487" s="50" t="n">
        <v>0</v>
      </c>
      <c r="W2487" s="51" t="n">
        <v>0</v>
      </c>
      <c r="X2487" s="51" t="n">
        <v>0</v>
      </c>
      <c r="Y2487" s="51" t="n">
        <v>0</v>
      </c>
      <c r="Z2487" s="51" t="n">
        <v>0</v>
      </c>
      <c r="AA2487" s="52" t="n">
        <v>0</v>
      </c>
      <c r="AB2487" s="52" t="n">
        <v>0</v>
      </c>
      <c r="AC2487" s="52" t="n">
        <v>0</v>
      </c>
      <c r="AD2487" s="52" t="n">
        <v>0</v>
      </c>
      <c r="AE2487" s="52" t="n">
        <v>0</v>
      </c>
      <c r="AF2487" s="52" t="n">
        <v>0</v>
      </c>
      <c r="AG2487" s="52" t="n">
        <v>0</v>
      </c>
      <c r="AH2487" s="52" t="n">
        <v>0</v>
      </c>
      <c r="AI2487" s="52" t="n">
        <v>0</v>
      </c>
      <c r="AJ2487" s="52" t="n">
        <v>0</v>
      </c>
      <c r="AK2487" s="52" t="n">
        <v>0</v>
      </c>
      <c r="AL2487" s="52" t="n">
        <v>0</v>
      </c>
      <c r="AM2487" s="53" t="n">
        <v>0</v>
      </c>
      <c r="AN2487" s="53" t="n">
        <v>0</v>
      </c>
      <c r="AO2487" s="53" t="n">
        <v>0</v>
      </c>
      <c r="AP2487" s="53" t="n">
        <v>0</v>
      </c>
      <c r="AQ2487" s="52" t="n">
        <v>0</v>
      </c>
      <c r="AR2487" s="52" t="n">
        <v>0</v>
      </c>
      <c r="AS2487" s="52" t="n">
        <v>0</v>
      </c>
      <c r="AT2487" s="52" t="n">
        <v>0</v>
      </c>
      <c r="AU2487" s="53" t="n">
        <v>0</v>
      </c>
      <c r="AV2487" s="53" t="n">
        <v>0</v>
      </c>
      <c r="AW2487" s="53" t="n">
        <v>0</v>
      </c>
      <c r="AX2487" s="53" t="n">
        <v>0</v>
      </c>
      <c r="AY2487" s="52" t="n">
        <v>0</v>
      </c>
      <c r="AZ2487" s="52" t="n">
        <v>0</v>
      </c>
      <c r="BA2487" s="52" t="n">
        <v>0</v>
      </c>
      <c r="BB2487" s="52" t="n">
        <v>0</v>
      </c>
      <c r="BC2487" s="51" t="n">
        <v>0</v>
      </c>
      <c r="BD2487" s="51" t="n">
        <v>0</v>
      </c>
      <c r="BE2487" s="51" t="n">
        <v>0</v>
      </c>
      <c r="BF2487" s="51" t="n">
        <v>0</v>
      </c>
    </row>
    <row r="2488">
      <c r="A2488">
        <f>HYPERLINK("https://www.walmart.com/ip/1892474200", "1892474200")</f>
        <v/>
      </c>
      <c r="B2488" t="inlineStr">
        <is>
          <t>Catalonia Sherpa Fleece Blanket for Bed, Super Soft  Plush Sofa Couch Throw Blanket, TV Bed Blanket, Comfy Cozy Fluffy Warm Comforter, Green Plaid, 60'' x 80''</t>
        </is>
      </c>
      <c r="C2488" t="inlineStr">
        <is>
          <t>1CTBF368PGN</t>
        </is>
      </c>
      <c r="D2488" t="inlineStr">
        <is>
          <t>Throws</t>
        </is>
      </c>
      <c r="E2488" t="inlineStr">
        <is>
          <t>Catalonia</t>
        </is>
      </c>
      <c r="F2488" t="inlineStr">
        <is>
          <t>Fleece Blankets,Batch 1 - TR</t>
        </is>
      </c>
      <c r="G2488" s="48" t="n">
        <v>0</v>
      </c>
      <c r="H2488" s="48" t="n">
        <v>0</v>
      </c>
      <c r="I2488" s="48" t="n">
        <v>0</v>
      </c>
      <c r="J2488" s="48" t="n">
        <v>0</v>
      </c>
      <c r="K2488" s="49" t="n">
        <v>0</v>
      </c>
      <c r="L2488" s="49" t="n">
        <v>0</v>
      </c>
      <c r="M2488" s="49" t="n">
        <v>0</v>
      </c>
      <c r="N2488" s="49" t="n">
        <v>0</v>
      </c>
      <c r="O2488" s="49" t="n">
        <v>0</v>
      </c>
      <c r="P2488" s="49" t="n">
        <v>0</v>
      </c>
      <c r="Q2488" s="49" t="n">
        <v>0</v>
      </c>
      <c r="R2488" s="49" t="n">
        <v>0</v>
      </c>
      <c r="S2488" s="50" t="n">
        <v>0</v>
      </c>
      <c r="T2488" s="50" t="n">
        <v>0</v>
      </c>
      <c r="U2488" s="50" t="n">
        <v>0</v>
      </c>
      <c r="V2488" s="50" t="n">
        <v>0</v>
      </c>
      <c r="W2488" s="51" t="n">
        <v>0</v>
      </c>
      <c r="X2488" s="51" t="n">
        <v>0</v>
      </c>
      <c r="Y2488" s="51" t="n">
        <v>0</v>
      </c>
      <c r="Z2488" s="51" t="n">
        <v>0</v>
      </c>
      <c r="AA2488" s="52" t="n">
        <v>0</v>
      </c>
      <c r="AB2488" s="52" t="n">
        <v>0</v>
      </c>
      <c r="AC2488" s="52" t="n">
        <v>0</v>
      </c>
      <c r="AD2488" s="52" t="n">
        <v>0</v>
      </c>
      <c r="AE2488" s="52" t="n">
        <v>0</v>
      </c>
      <c r="AF2488" s="52" t="n">
        <v>0</v>
      </c>
      <c r="AG2488" s="52" t="n">
        <v>0</v>
      </c>
      <c r="AH2488" s="52" t="n">
        <v>0</v>
      </c>
      <c r="AI2488" s="52" t="n">
        <v>0</v>
      </c>
      <c r="AJ2488" s="52" t="n">
        <v>0</v>
      </c>
      <c r="AK2488" s="52" t="n">
        <v>0</v>
      </c>
      <c r="AL2488" s="52" t="n">
        <v>0</v>
      </c>
      <c r="AM2488" s="53" t="n">
        <v>0</v>
      </c>
      <c r="AN2488" s="53" t="n">
        <v>0</v>
      </c>
      <c r="AO2488" s="53" t="n">
        <v>0</v>
      </c>
      <c r="AP2488" s="53" t="n">
        <v>0</v>
      </c>
      <c r="AQ2488" s="52" t="n">
        <v>0</v>
      </c>
      <c r="AR2488" s="52" t="n">
        <v>0</v>
      </c>
      <c r="AS2488" s="52" t="n">
        <v>0</v>
      </c>
      <c r="AT2488" s="52" t="n">
        <v>0</v>
      </c>
      <c r="AU2488" s="53" t="n">
        <v>0</v>
      </c>
      <c r="AV2488" s="53" t="n">
        <v>0</v>
      </c>
      <c r="AW2488" s="53" t="n">
        <v>0</v>
      </c>
      <c r="AX2488" s="53" t="n">
        <v>0</v>
      </c>
      <c r="AY2488" s="52" t="n">
        <v>0</v>
      </c>
      <c r="AZ2488" s="52" t="n">
        <v>0</v>
      </c>
      <c r="BA2488" s="52" t="n">
        <v>0</v>
      </c>
      <c r="BB2488" s="52" t="n">
        <v>0</v>
      </c>
      <c r="BC2488" s="51" t="n">
        <v>0</v>
      </c>
      <c r="BD2488" s="51" t="n">
        <v>0</v>
      </c>
      <c r="BE2488" s="51" t="n">
        <v>0</v>
      </c>
      <c r="BF2488" s="51" t="n">
        <v>0</v>
      </c>
    </row>
    <row r="2489">
      <c r="A2489">
        <f>HYPERLINK("https://www.walmart.com/ip/1887689590", "1887689590")</f>
        <v/>
      </c>
      <c r="B2489" t="inlineStr">
        <is>
          <t>Catalonia Waterproof Blanket for Couch, Reversible Washable Sofa Bed Coverlet Protector | Leak Proof, Comfortable | for People and Pets, 60" x 80", Grey/Taupe</t>
        </is>
      </c>
      <c r="C2489" t="inlineStr">
        <is>
          <t>1CTBW685GYTP</t>
        </is>
      </c>
      <c r="D2489" t="inlineStr">
        <is>
          <t>Throws</t>
        </is>
      </c>
      <c r="E2489" t="inlineStr">
        <is>
          <t>Catalonia</t>
        </is>
      </c>
      <c r="F2489" t="inlineStr">
        <is>
          <t>Wproof Blanket,Batch 1 - TR</t>
        </is>
      </c>
      <c r="G2489" s="48" t="n">
        <v>0</v>
      </c>
      <c r="H2489" s="48" t="n">
        <v>0</v>
      </c>
      <c r="I2489" s="48" t="n">
        <v>0</v>
      </c>
      <c r="J2489" s="48" t="n">
        <v>0</v>
      </c>
      <c r="K2489" s="49" t="n">
        <v>0</v>
      </c>
      <c r="L2489" s="49" t="n">
        <v>0</v>
      </c>
      <c r="M2489" s="49" t="n">
        <v>0</v>
      </c>
      <c r="N2489" s="49" t="n">
        <v>0</v>
      </c>
      <c r="O2489" s="49" t="n">
        <v>0</v>
      </c>
      <c r="P2489" s="49" t="n">
        <v>0</v>
      </c>
      <c r="Q2489" s="49" t="n">
        <v>0</v>
      </c>
      <c r="R2489" s="49" t="n">
        <v>0</v>
      </c>
      <c r="S2489" s="50" t="n">
        <v>0</v>
      </c>
      <c r="T2489" s="50" t="n">
        <v>0</v>
      </c>
      <c r="U2489" s="50" t="n">
        <v>0</v>
      </c>
      <c r="V2489" s="50" t="n">
        <v>0</v>
      </c>
      <c r="W2489" s="51" t="n">
        <v>1</v>
      </c>
      <c r="X2489" s="51" t="n">
        <v>0</v>
      </c>
      <c r="Y2489" s="51" t="n">
        <v>0</v>
      </c>
      <c r="Z2489" s="51" t="n">
        <v>0</v>
      </c>
      <c r="AA2489" s="52" t="n">
        <v>0.42</v>
      </c>
      <c r="AB2489" s="52" t="n">
        <v>0</v>
      </c>
      <c r="AC2489" s="52" t="n">
        <v>0</v>
      </c>
      <c r="AD2489" s="52" t="n">
        <v>0</v>
      </c>
      <c r="AE2489" s="52" t="n">
        <v>0</v>
      </c>
      <c r="AF2489" s="52" t="n">
        <v>0</v>
      </c>
      <c r="AG2489" s="52" t="n">
        <v>0</v>
      </c>
      <c r="AH2489" s="52" t="n">
        <v>0</v>
      </c>
      <c r="AI2489" s="52" t="n">
        <v>0</v>
      </c>
      <c r="AJ2489" s="52" t="n">
        <v>0</v>
      </c>
      <c r="AK2489" s="52" t="n">
        <v>0</v>
      </c>
      <c r="AL2489" s="52" t="n">
        <v>0</v>
      </c>
      <c r="AM2489" s="53" t="n">
        <v>0.0042</v>
      </c>
      <c r="AN2489" s="53" t="n">
        <v>0</v>
      </c>
      <c r="AO2489" s="53" t="n">
        <v>0</v>
      </c>
      <c r="AP2489" s="53" t="n">
        <v>0</v>
      </c>
      <c r="AQ2489" s="52" t="n">
        <v>0.42</v>
      </c>
      <c r="AR2489" s="52" t="n">
        <v>0</v>
      </c>
      <c r="AS2489" s="52" t="n">
        <v>0</v>
      </c>
      <c r="AT2489" s="52" t="n">
        <v>0</v>
      </c>
      <c r="AU2489" s="53" t="n">
        <v>0</v>
      </c>
      <c r="AV2489" s="53" t="n">
        <v>0</v>
      </c>
      <c r="AW2489" s="53" t="n">
        <v>0</v>
      </c>
      <c r="AX2489" s="53" t="n">
        <v>0</v>
      </c>
      <c r="AY2489" s="52" t="n">
        <v>0</v>
      </c>
      <c r="AZ2489" s="52" t="n">
        <v>0</v>
      </c>
      <c r="BA2489" s="52" t="n">
        <v>0</v>
      </c>
      <c r="BB2489" s="52" t="n">
        <v>0</v>
      </c>
      <c r="BC2489" s="51" t="n">
        <v>238</v>
      </c>
      <c r="BD2489" s="51" t="n">
        <v>109</v>
      </c>
      <c r="BE2489" s="51" t="n">
        <v>0</v>
      </c>
      <c r="BF2489" s="51" t="n">
        <v>32</v>
      </c>
    </row>
    <row r="2490">
      <c r="A2490">
        <f>HYPERLINK("https://www.walmart.com/ip/188442701", "188442701")</f>
        <v/>
      </c>
      <c r="B2490" t="inlineStr">
        <is>
          <t>Tirrinia Wooden Cutting Board, Kitchen Chopping Board Serving Platter with both sides handle, Extra Large 16" x 11.5"</t>
        </is>
      </c>
      <c r="C2490" t="inlineStr">
        <is>
          <t>VINABCB04</t>
        </is>
      </c>
      <c r="D2490" t="inlineStr">
        <is>
          <t>Cutting Boards &amp; Butcher Blocks</t>
        </is>
      </c>
      <c r="E2490" t="inlineStr">
        <is>
          <t>Tirrinia</t>
        </is>
      </c>
      <c r="F2490" t="inlineStr">
        <is>
          <t>Optimized</t>
        </is>
      </c>
      <c r="G2490" s="48" t="n">
        <v>0</v>
      </c>
      <c r="H2490" s="48" t="n">
        <v>0</v>
      </c>
      <c r="I2490" s="48" t="n">
        <v>0</v>
      </c>
      <c r="J2490" s="48" t="n">
        <v>0</v>
      </c>
      <c r="K2490" s="49" t="n">
        <v>0</v>
      </c>
      <c r="L2490" s="49" t="n">
        <v>0</v>
      </c>
      <c r="M2490" s="49" t="n">
        <v>0</v>
      </c>
      <c r="N2490" s="49" t="n">
        <v>0</v>
      </c>
      <c r="O2490" s="49" t="n">
        <v>0</v>
      </c>
      <c r="P2490" s="49" t="n">
        <v>0</v>
      </c>
      <c r="Q2490" s="49" t="n">
        <v>0</v>
      </c>
      <c r="R2490" s="49" t="n">
        <v>0</v>
      </c>
      <c r="S2490" s="50" t="n">
        <v>0</v>
      </c>
      <c r="T2490" s="50" t="n">
        <v>0</v>
      </c>
      <c r="U2490" s="50" t="n">
        <v>0</v>
      </c>
      <c r="V2490" s="50" t="n">
        <v>0</v>
      </c>
      <c r="W2490" s="51" t="n">
        <v>0</v>
      </c>
      <c r="X2490" s="51" t="n">
        <v>0</v>
      </c>
      <c r="Y2490" s="51" t="n">
        <v>0</v>
      </c>
      <c r="Z2490" s="51" t="n">
        <v>0</v>
      </c>
      <c r="AA2490" s="52" t="n">
        <v>0</v>
      </c>
      <c r="AB2490" s="52" t="n">
        <v>0</v>
      </c>
      <c r="AC2490" s="52" t="n">
        <v>0</v>
      </c>
      <c r="AD2490" s="52" t="n">
        <v>0</v>
      </c>
      <c r="AE2490" s="52" t="n">
        <v>0</v>
      </c>
      <c r="AF2490" s="52" t="n">
        <v>0</v>
      </c>
      <c r="AG2490" s="52" t="n">
        <v>0</v>
      </c>
      <c r="AH2490" s="52" t="n">
        <v>0</v>
      </c>
      <c r="AI2490" s="52" t="n">
        <v>0</v>
      </c>
      <c r="AJ2490" s="52" t="n">
        <v>0</v>
      </c>
      <c r="AK2490" s="52" t="n">
        <v>0</v>
      </c>
      <c r="AL2490" s="52" t="n">
        <v>0</v>
      </c>
      <c r="AM2490" s="53" t="n">
        <v>0</v>
      </c>
      <c r="AN2490" s="53" t="n">
        <v>0</v>
      </c>
      <c r="AO2490" s="53" t="n">
        <v>0</v>
      </c>
      <c r="AP2490" s="53" t="n">
        <v>0</v>
      </c>
      <c r="AQ2490" s="52" t="n">
        <v>0</v>
      </c>
      <c r="AR2490" s="52" t="n">
        <v>0</v>
      </c>
      <c r="AS2490" s="52" t="n">
        <v>0</v>
      </c>
      <c r="AT2490" s="52" t="n">
        <v>0</v>
      </c>
      <c r="AU2490" s="53" t="n">
        <v>0</v>
      </c>
      <c r="AV2490" s="53" t="n">
        <v>0</v>
      </c>
      <c r="AW2490" s="53" t="n">
        <v>0</v>
      </c>
      <c r="AX2490" s="53" t="n">
        <v>0</v>
      </c>
      <c r="AY2490" s="52" t="n">
        <v>0</v>
      </c>
      <c r="AZ2490" s="52" t="n">
        <v>0</v>
      </c>
      <c r="BA2490" s="52" t="n">
        <v>0</v>
      </c>
      <c r="BB2490" s="52" t="n">
        <v>0</v>
      </c>
      <c r="BC2490" s="51" t="n">
        <v>0</v>
      </c>
      <c r="BD2490" s="51" t="n">
        <v>0</v>
      </c>
      <c r="BE2490" s="51" t="n">
        <v>0</v>
      </c>
      <c r="BF2490" s="51" t="n">
        <v>0</v>
      </c>
    </row>
    <row r="2491">
      <c r="A2491">
        <f>HYPERLINK("https://www.walmart.com/ip/1884098981", "1884098981")</f>
        <v/>
      </c>
      <c r="B2491" t="inlineStr">
        <is>
          <t>Every Day is Christmas Glass Blown Ornaments Cute Hand Made Figurines Tree Decoration, Buddha</t>
        </is>
      </c>
      <c r="C2491" t="inlineStr">
        <is>
          <t>EDC-FIGURINE-BUDDHA</t>
        </is>
      </c>
      <c r="D2491" t="inlineStr">
        <is>
          <t>Ornaments</t>
        </is>
      </c>
      <c r="E2491" t="inlineStr">
        <is>
          <t>Every Day is Christmas</t>
        </is>
      </c>
      <c r="G2491" s="48" t="n">
        <v>0</v>
      </c>
      <c r="H2491" s="48" t="n">
        <v>0</v>
      </c>
      <c r="I2491" s="48" t="n">
        <v>0</v>
      </c>
      <c r="J2491" s="48" t="n">
        <v>0</v>
      </c>
      <c r="K2491" s="49" t="n">
        <v>0</v>
      </c>
      <c r="L2491" s="49" t="n">
        <v>0</v>
      </c>
      <c r="M2491" s="49" t="n">
        <v>0</v>
      </c>
      <c r="N2491" s="49" t="n">
        <v>0</v>
      </c>
      <c r="O2491" s="49" t="n">
        <v>0</v>
      </c>
      <c r="P2491" s="49" t="n">
        <v>0</v>
      </c>
      <c r="Q2491" s="49" t="n">
        <v>0</v>
      </c>
      <c r="R2491" s="49" t="n">
        <v>0</v>
      </c>
      <c r="S2491" s="50" t="n">
        <v>0</v>
      </c>
      <c r="T2491" s="50" t="n">
        <v>0</v>
      </c>
      <c r="U2491" s="50" t="n">
        <v>0</v>
      </c>
      <c r="V2491" s="50" t="n">
        <v>0</v>
      </c>
      <c r="W2491" s="51" t="n">
        <v>0</v>
      </c>
      <c r="X2491" s="51" t="n">
        <v>0</v>
      </c>
      <c r="Y2491" s="51" t="n">
        <v>0</v>
      </c>
      <c r="Z2491" s="51" t="n">
        <v>0</v>
      </c>
      <c r="AA2491" s="52" t="n">
        <v>0</v>
      </c>
      <c r="AB2491" s="52" t="n">
        <v>0</v>
      </c>
      <c r="AC2491" s="52" t="n">
        <v>0</v>
      </c>
      <c r="AD2491" s="52" t="n">
        <v>0</v>
      </c>
      <c r="AE2491" s="52" t="n">
        <v>0</v>
      </c>
      <c r="AF2491" s="52" t="n">
        <v>0</v>
      </c>
      <c r="AG2491" s="52" t="n">
        <v>0</v>
      </c>
      <c r="AH2491" s="52" t="n">
        <v>0</v>
      </c>
      <c r="AI2491" s="52" t="n">
        <v>0</v>
      </c>
      <c r="AJ2491" s="52" t="n">
        <v>0</v>
      </c>
      <c r="AK2491" s="52" t="n">
        <v>0</v>
      </c>
      <c r="AL2491" s="52" t="n">
        <v>0</v>
      </c>
      <c r="AM2491" s="53" t="n">
        <v>0</v>
      </c>
      <c r="AN2491" s="53" t="n">
        <v>0</v>
      </c>
      <c r="AO2491" s="53" t="n">
        <v>0</v>
      </c>
      <c r="AP2491" s="53" t="n">
        <v>0</v>
      </c>
      <c r="AQ2491" s="52" t="n">
        <v>0</v>
      </c>
      <c r="AR2491" s="52" t="n">
        <v>0</v>
      </c>
      <c r="AS2491" s="52" t="n">
        <v>0</v>
      </c>
      <c r="AT2491" s="52" t="n">
        <v>0</v>
      </c>
      <c r="AU2491" s="53" t="n">
        <v>0</v>
      </c>
      <c r="AV2491" s="53" t="n">
        <v>0</v>
      </c>
      <c r="AW2491" s="53" t="n">
        <v>0</v>
      </c>
      <c r="AX2491" s="53" t="n">
        <v>0</v>
      </c>
      <c r="AY2491" s="52" t="n">
        <v>0</v>
      </c>
      <c r="AZ2491" s="52" t="n">
        <v>0</v>
      </c>
      <c r="BA2491" s="52" t="n">
        <v>0</v>
      </c>
      <c r="BB2491" s="52" t="n">
        <v>0</v>
      </c>
      <c r="BC2491" s="51" t="n">
        <v>0</v>
      </c>
      <c r="BD2491" s="51" t="n">
        <v>0</v>
      </c>
      <c r="BE2491" s="51" t="n">
        <v>0</v>
      </c>
      <c r="BF2491" s="51" t="n">
        <v>0</v>
      </c>
    </row>
    <row r="2492">
      <c r="A2492">
        <f>HYPERLINK("https://www.walmart.com/ip/188347146", "188347146")</f>
        <v/>
      </c>
      <c r="B2492" t="inlineStr">
        <is>
          <t>Vina® 5 Pcs/set Deluxe Wine Bottle Opener Accessories Gift Set - Wine Bottle Opener, Wine Stopper, Wine Drip Ring, Wine Foil Cutter and Wine Pourer</t>
        </is>
      </c>
      <c r="C2492" t="inlineStr">
        <is>
          <t>VinaWO002BK</t>
        </is>
      </c>
      <c r="D2492" t="inlineStr">
        <is>
          <t>Corkscrews &amp; Wine Bottle Openers</t>
        </is>
      </c>
      <c r="E2492" t="inlineStr">
        <is>
          <t>Vina</t>
        </is>
      </c>
      <c r="F2492" t="inlineStr">
        <is>
          <t>Wine,Christmas</t>
        </is>
      </c>
      <c r="G2492" s="48" t="n">
        <v>0</v>
      </c>
      <c r="H2492" s="48" t="n">
        <v>0</v>
      </c>
      <c r="I2492" s="48" t="n">
        <v>0</v>
      </c>
      <c r="J2492" s="48" t="n">
        <v>0</v>
      </c>
      <c r="K2492" s="49" t="n">
        <v>0</v>
      </c>
      <c r="L2492" s="49" t="n">
        <v>0</v>
      </c>
      <c r="M2492" s="49" t="n">
        <v>0</v>
      </c>
      <c r="N2492" s="49" t="n">
        <v>0</v>
      </c>
      <c r="O2492" s="49" t="n">
        <v>0</v>
      </c>
      <c r="P2492" s="49" t="n">
        <v>0</v>
      </c>
      <c r="Q2492" s="49" t="n">
        <v>0</v>
      </c>
      <c r="R2492" s="49" t="n">
        <v>0</v>
      </c>
      <c r="S2492" s="50" t="n">
        <v>0</v>
      </c>
      <c r="T2492" s="50" t="n">
        <v>0</v>
      </c>
      <c r="U2492" s="50" t="n">
        <v>0</v>
      </c>
      <c r="V2492" s="50" t="n">
        <v>0</v>
      </c>
      <c r="W2492" s="51" t="n">
        <v>0</v>
      </c>
      <c r="X2492" s="51" t="n">
        <v>0</v>
      </c>
      <c r="Y2492" s="51" t="n">
        <v>0</v>
      </c>
      <c r="Z2492" s="51" t="n">
        <v>0</v>
      </c>
      <c r="AA2492" s="52" t="n">
        <v>0</v>
      </c>
      <c r="AB2492" s="52" t="n">
        <v>0</v>
      </c>
      <c r="AC2492" s="52" t="n">
        <v>0</v>
      </c>
      <c r="AD2492" s="52" t="n">
        <v>0</v>
      </c>
      <c r="AE2492" s="52" t="n">
        <v>0</v>
      </c>
      <c r="AF2492" s="52" t="n">
        <v>0</v>
      </c>
      <c r="AG2492" s="52" t="n">
        <v>0</v>
      </c>
      <c r="AH2492" s="52" t="n">
        <v>0</v>
      </c>
      <c r="AI2492" s="52" t="n">
        <v>0</v>
      </c>
      <c r="AJ2492" s="52" t="n">
        <v>0</v>
      </c>
      <c r="AK2492" s="52" t="n">
        <v>0</v>
      </c>
      <c r="AL2492" s="52" t="n">
        <v>0</v>
      </c>
      <c r="AM2492" s="53" t="n">
        <v>0</v>
      </c>
      <c r="AN2492" s="53" t="n">
        <v>0</v>
      </c>
      <c r="AO2492" s="53" t="n">
        <v>0</v>
      </c>
      <c r="AP2492" s="53" t="n">
        <v>0</v>
      </c>
      <c r="AQ2492" s="52" t="n">
        <v>0</v>
      </c>
      <c r="AR2492" s="52" t="n">
        <v>0</v>
      </c>
      <c r="AS2492" s="52" t="n">
        <v>0</v>
      </c>
      <c r="AT2492" s="52" t="n">
        <v>0</v>
      </c>
      <c r="AU2492" s="53" t="n">
        <v>0</v>
      </c>
      <c r="AV2492" s="53" t="n">
        <v>0</v>
      </c>
      <c r="AW2492" s="53" t="n">
        <v>0</v>
      </c>
      <c r="AX2492" s="53" t="n">
        <v>0</v>
      </c>
      <c r="AY2492" s="52" t="n">
        <v>0</v>
      </c>
      <c r="AZ2492" s="52" t="n">
        <v>0</v>
      </c>
      <c r="BA2492" s="52" t="n">
        <v>0</v>
      </c>
      <c r="BB2492" s="52" t="n">
        <v>0</v>
      </c>
      <c r="BC2492" s="51" t="n">
        <v>0</v>
      </c>
      <c r="BD2492" s="51" t="n">
        <v>0</v>
      </c>
      <c r="BE2492" s="51" t="n">
        <v>0</v>
      </c>
      <c r="BF2492" s="51" t="n">
        <v>0</v>
      </c>
    </row>
    <row r="2493">
      <c r="A2493">
        <f>HYPERLINK("https://www.walmart.com/ip/186842737", "186842737")</f>
        <v/>
      </c>
      <c r="B2493" t="inlineStr">
        <is>
          <t>Jennis Women Magic Scarf Multiple Style Soft Shawl Neck Warmer Head Wrap</t>
        </is>
      </c>
      <c r="C2493" t="inlineStr">
        <is>
          <t>MagicScarfBL</t>
        </is>
      </c>
      <c r="D2493" t="inlineStr">
        <is>
          <t>Scarves</t>
        </is>
      </c>
      <c r="E2493" t="inlineStr">
        <is>
          <t>JenniWears</t>
        </is>
      </c>
      <c r="F2493" t="inlineStr">
        <is>
          <t>Batch 1 - TR</t>
        </is>
      </c>
      <c r="G2493" s="48" t="n">
        <v>0</v>
      </c>
      <c r="H2493" s="48" t="n">
        <v>0</v>
      </c>
      <c r="I2493" s="48" t="n">
        <v>0</v>
      </c>
      <c r="J2493" s="48" t="n">
        <v>0</v>
      </c>
      <c r="K2493" s="49" t="n">
        <v>0</v>
      </c>
      <c r="L2493" s="49" t="n">
        <v>0</v>
      </c>
      <c r="M2493" s="49" t="n">
        <v>0</v>
      </c>
      <c r="N2493" s="49" t="n">
        <v>0</v>
      </c>
      <c r="O2493" s="49" t="n">
        <v>0</v>
      </c>
      <c r="P2493" s="49" t="n">
        <v>0</v>
      </c>
      <c r="Q2493" s="49" t="n">
        <v>0</v>
      </c>
      <c r="R2493" s="49" t="n">
        <v>0</v>
      </c>
      <c r="S2493" s="50" t="n">
        <v>0</v>
      </c>
      <c r="T2493" s="50" t="n">
        <v>0</v>
      </c>
      <c r="U2493" s="50" t="n">
        <v>0</v>
      </c>
      <c r="V2493" s="50" t="n">
        <v>0</v>
      </c>
      <c r="W2493" s="51" t="n">
        <v>0</v>
      </c>
      <c r="X2493" s="51" t="n">
        <v>0</v>
      </c>
      <c r="Y2493" s="51" t="n">
        <v>0</v>
      </c>
      <c r="Z2493" s="51" t="n">
        <v>0</v>
      </c>
      <c r="AA2493" s="52" t="n">
        <v>0</v>
      </c>
      <c r="AB2493" s="52" t="n">
        <v>0</v>
      </c>
      <c r="AC2493" s="52" t="n">
        <v>0</v>
      </c>
      <c r="AD2493" s="52" t="n">
        <v>0</v>
      </c>
      <c r="AE2493" s="52" t="n">
        <v>0</v>
      </c>
      <c r="AF2493" s="52" t="n">
        <v>0</v>
      </c>
      <c r="AG2493" s="52" t="n">
        <v>0</v>
      </c>
      <c r="AH2493" s="52" t="n">
        <v>0</v>
      </c>
      <c r="AI2493" s="52" t="n">
        <v>0</v>
      </c>
      <c r="AJ2493" s="52" t="n">
        <v>0</v>
      </c>
      <c r="AK2493" s="52" t="n">
        <v>0</v>
      </c>
      <c r="AL2493" s="52" t="n">
        <v>0</v>
      </c>
      <c r="AM2493" s="53" t="n">
        <v>0</v>
      </c>
      <c r="AN2493" s="53" t="n">
        <v>0</v>
      </c>
      <c r="AO2493" s="53" t="n">
        <v>0</v>
      </c>
      <c r="AP2493" s="53" t="n">
        <v>0</v>
      </c>
      <c r="AQ2493" s="52" t="n">
        <v>0</v>
      </c>
      <c r="AR2493" s="52" t="n">
        <v>0</v>
      </c>
      <c r="AS2493" s="52" t="n">
        <v>0</v>
      </c>
      <c r="AT2493" s="52" t="n">
        <v>0</v>
      </c>
      <c r="AU2493" s="53" t="n">
        <v>0</v>
      </c>
      <c r="AV2493" s="53" t="n">
        <v>0</v>
      </c>
      <c r="AW2493" s="53" t="n">
        <v>0</v>
      </c>
      <c r="AX2493" s="53" t="n">
        <v>0</v>
      </c>
      <c r="AY2493" s="52" t="n">
        <v>0</v>
      </c>
      <c r="AZ2493" s="52" t="n">
        <v>0</v>
      </c>
      <c r="BA2493" s="52" t="n">
        <v>0</v>
      </c>
      <c r="BB2493" s="52" t="n">
        <v>0</v>
      </c>
      <c r="BC2493" s="51" t="n">
        <v>0</v>
      </c>
      <c r="BD2493" s="51" t="n">
        <v>0</v>
      </c>
      <c r="BE2493" s="51" t="n">
        <v>0</v>
      </c>
      <c r="BF2493" s="51" t="n">
        <v>0</v>
      </c>
    </row>
    <row r="2494">
      <c r="A2494">
        <f>HYPERLINK("https://www.walmart.com/ip/188266088", "188266088")</f>
        <v/>
      </c>
      <c r="B2494" t="inlineStr">
        <is>
          <t>Fleece Blanket Wearable with Sleeves and Pocket, Micro Plush Warm Comfy Sleeved TV Throw Blanket Robe for Women and Men Multi-Colors 72”X55” by Catalonia</t>
        </is>
      </c>
      <c r="C2494" t="inlineStr">
        <is>
          <t>1CTSN110BK-ESGM</t>
        </is>
      </c>
      <c r="D2494" t="inlineStr">
        <is>
          <t>Throws</t>
        </is>
      </c>
      <c r="E2494" t="inlineStr">
        <is>
          <t>Catalonia</t>
        </is>
      </c>
      <c r="F2494" t="inlineStr">
        <is>
          <t>Fleece Blankets,Batch 1 - TR</t>
        </is>
      </c>
      <c r="G2494" s="48" t="n">
        <v>0</v>
      </c>
      <c r="H2494" s="48" t="n">
        <v>0</v>
      </c>
      <c r="I2494" s="48" t="n">
        <v>0</v>
      </c>
      <c r="J2494" s="48" t="n">
        <v>0</v>
      </c>
      <c r="K2494" s="49" t="n">
        <v>0</v>
      </c>
      <c r="L2494" s="49" t="n">
        <v>0</v>
      </c>
      <c r="M2494" s="49" t="n">
        <v>0</v>
      </c>
      <c r="N2494" s="49" t="n">
        <v>0</v>
      </c>
      <c r="O2494" s="49" t="n">
        <v>0</v>
      </c>
      <c r="P2494" s="49" t="n">
        <v>0</v>
      </c>
      <c r="Q2494" s="49" t="n">
        <v>0</v>
      </c>
      <c r="R2494" s="49" t="n">
        <v>0</v>
      </c>
      <c r="S2494" s="50" t="n">
        <v>0</v>
      </c>
      <c r="T2494" s="50" t="n">
        <v>0</v>
      </c>
      <c r="U2494" s="50" t="n">
        <v>0</v>
      </c>
      <c r="V2494" s="50" t="n">
        <v>0</v>
      </c>
      <c r="W2494" s="51" t="n">
        <v>0</v>
      </c>
      <c r="X2494" s="51" t="n">
        <v>0</v>
      </c>
      <c r="Y2494" s="51" t="n">
        <v>0</v>
      </c>
      <c r="Z2494" s="51" t="n">
        <v>0</v>
      </c>
      <c r="AA2494" s="52" t="n">
        <v>0</v>
      </c>
      <c r="AB2494" s="52" t="n">
        <v>0</v>
      </c>
      <c r="AC2494" s="52" t="n">
        <v>0</v>
      </c>
      <c r="AD2494" s="52" t="n">
        <v>0</v>
      </c>
      <c r="AE2494" s="52" t="n">
        <v>0</v>
      </c>
      <c r="AF2494" s="52" t="n">
        <v>0</v>
      </c>
      <c r="AG2494" s="52" t="n">
        <v>0</v>
      </c>
      <c r="AH2494" s="52" t="n">
        <v>0</v>
      </c>
      <c r="AI2494" s="52" t="n">
        <v>0</v>
      </c>
      <c r="AJ2494" s="52" t="n">
        <v>0</v>
      </c>
      <c r="AK2494" s="52" t="n">
        <v>0</v>
      </c>
      <c r="AL2494" s="52" t="n">
        <v>0</v>
      </c>
      <c r="AM2494" s="53" t="n">
        <v>0</v>
      </c>
      <c r="AN2494" s="53" t="n">
        <v>0</v>
      </c>
      <c r="AO2494" s="53" t="n">
        <v>0</v>
      </c>
      <c r="AP2494" s="53" t="n">
        <v>0</v>
      </c>
      <c r="AQ2494" s="52" t="n">
        <v>0</v>
      </c>
      <c r="AR2494" s="52" t="n">
        <v>0</v>
      </c>
      <c r="AS2494" s="52" t="n">
        <v>0</v>
      </c>
      <c r="AT2494" s="52" t="n">
        <v>0</v>
      </c>
      <c r="AU2494" s="53" t="n">
        <v>0</v>
      </c>
      <c r="AV2494" s="53" t="n">
        <v>0</v>
      </c>
      <c r="AW2494" s="53" t="n">
        <v>0</v>
      </c>
      <c r="AX2494" s="53" t="n">
        <v>0</v>
      </c>
      <c r="AY2494" s="52" t="n">
        <v>0</v>
      </c>
      <c r="AZ2494" s="52" t="n">
        <v>0</v>
      </c>
      <c r="BA2494" s="52" t="n">
        <v>0</v>
      </c>
      <c r="BB2494" s="52" t="n">
        <v>0</v>
      </c>
      <c r="BC2494" s="51" t="n">
        <v>0</v>
      </c>
      <c r="BD2494" s="51" t="n">
        <v>0</v>
      </c>
      <c r="BE2494" s="51" t="n">
        <v>0</v>
      </c>
      <c r="BF2494" s="51" t="n">
        <v>0</v>
      </c>
    </row>
    <row r="2495">
      <c r="A2495">
        <f>HYPERLINK("https://www.walmart.com/ip/188086751", "188086751")</f>
        <v/>
      </c>
      <c r="B2495" t="inlineStr">
        <is>
          <t>Sun Hat UV Protection Wide Brim Boonie Safari Fishing Cap Adjustable Drawstring</t>
        </is>
      </c>
      <c r="C2495" t="inlineStr">
        <is>
          <t>1WMSH911GN</t>
        </is>
      </c>
      <c r="D2495" t="inlineStr">
        <is>
          <t>Hats</t>
        </is>
      </c>
      <c r="E2495" t="inlineStr">
        <is>
          <t>Flyingstar</t>
        </is>
      </c>
      <c r="F2495" t="inlineStr">
        <is>
          <t>Optimized</t>
        </is>
      </c>
      <c r="G2495" s="48" t="n">
        <v>0</v>
      </c>
      <c r="H2495" s="48" t="n">
        <v>0</v>
      </c>
      <c r="I2495" s="48" t="n">
        <v>0</v>
      </c>
      <c r="J2495" s="48" t="n">
        <v>0</v>
      </c>
      <c r="K2495" s="49" t="n">
        <v>0</v>
      </c>
      <c r="L2495" s="49" t="n">
        <v>0</v>
      </c>
      <c r="M2495" s="49" t="n">
        <v>0</v>
      </c>
      <c r="N2495" s="49" t="n">
        <v>0</v>
      </c>
      <c r="O2495" s="49" t="n">
        <v>0</v>
      </c>
      <c r="P2495" s="49" t="n">
        <v>0</v>
      </c>
      <c r="Q2495" s="49" t="n">
        <v>0</v>
      </c>
      <c r="R2495" s="49" t="n">
        <v>0</v>
      </c>
      <c r="S2495" s="50" t="n">
        <v>0</v>
      </c>
      <c r="T2495" s="50" t="n">
        <v>0</v>
      </c>
      <c r="U2495" s="50" t="n">
        <v>0</v>
      </c>
      <c r="V2495" s="50" t="n">
        <v>0</v>
      </c>
      <c r="W2495" s="51" t="n">
        <v>0</v>
      </c>
      <c r="X2495" s="51" t="n">
        <v>0</v>
      </c>
      <c r="Y2495" s="51" t="n">
        <v>0</v>
      </c>
      <c r="Z2495" s="51" t="n">
        <v>0</v>
      </c>
      <c r="AA2495" s="52" t="n">
        <v>0</v>
      </c>
      <c r="AB2495" s="52" t="n">
        <v>0</v>
      </c>
      <c r="AC2495" s="52" t="n">
        <v>0</v>
      </c>
      <c r="AD2495" s="52" t="n">
        <v>0</v>
      </c>
      <c r="AE2495" s="52" t="n">
        <v>0</v>
      </c>
      <c r="AF2495" s="52" t="n">
        <v>0</v>
      </c>
      <c r="AG2495" s="52" t="n">
        <v>0</v>
      </c>
      <c r="AH2495" s="52" t="n">
        <v>0</v>
      </c>
      <c r="AI2495" s="52" t="n">
        <v>0</v>
      </c>
      <c r="AJ2495" s="52" t="n">
        <v>0</v>
      </c>
      <c r="AK2495" s="52" t="n">
        <v>0</v>
      </c>
      <c r="AL2495" s="52" t="n">
        <v>0</v>
      </c>
      <c r="AM2495" s="53" t="n">
        <v>0</v>
      </c>
      <c r="AN2495" s="53" t="n">
        <v>0</v>
      </c>
      <c r="AO2495" s="53" t="n">
        <v>0</v>
      </c>
      <c r="AP2495" s="53" t="n">
        <v>0</v>
      </c>
      <c r="AQ2495" s="52" t="n">
        <v>0</v>
      </c>
      <c r="AR2495" s="52" t="n">
        <v>0</v>
      </c>
      <c r="AS2495" s="52" t="n">
        <v>0</v>
      </c>
      <c r="AT2495" s="52" t="n">
        <v>0</v>
      </c>
      <c r="AU2495" s="53" t="n">
        <v>0</v>
      </c>
      <c r="AV2495" s="53" t="n">
        <v>0</v>
      </c>
      <c r="AW2495" s="53" t="n">
        <v>0</v>
      </c>
      <c r="AX2495" s="53" t="n">
        <v>0</v>
      </c>
      <c r="AY2495" s="52" t="n">
        <v>0</v>
      </c>
      <c r="AZ2495" s="52" t="n">
        <v>0</v>
      </c>
      <c r="BA2495" s="52" t="n">
        <v>0</v>
      </c>
      <c r="BB2495" s="52" t="n">
        <v>0</v>
      </c>
      <c r="BC2495" s="51" t="n">
        <v>0</v>
      </c>
      <c r="BD2495" s="51" t="n">
        <v>0</v>
      </c>
      <c r="BE2495" s="51" t="n">
        <v>0</v>
      </c>
      <c r="BF2495" s="51" t="n">
        <v>0</v>
      </c>
    </row>
    <row r="2496">
      <c r="A2496">
        <f>HYPERLINK("https://www.walmart.com/ip/187900886", "187900886")</f>
        <v/>
      </c>
      <c r="B2496" t="inlineStr">
        <is>
          <t>Terra Active Wrap- Stylish Running workout travel waist belt w/ hidden pocket</t>
        </is>
      </c>
      <c r="C2496" t="inlineStr">
        <is>
          <t>TERRA-3NG-L</t>
        </is>
      </c>
      <c r="D2496" t="inlineStr">
        <is>
          <t>Running Belts</t>
        </is>
      </c>
      <c r="E2496" t="inlineStr">
        <is>
          <t>Terra</t>
        </is>
      </c>
      <c r="F2496" t="inlineStr">
        <is>
          <t>Optimized</t>
        </is>
      </c>
      <c r="G2496" s="48" t="n">
        <v>0</v>
      </c>
      <c r="H2496" s="48" t="n">
        <v>0</v>
      </c>
      <c r="I2496" s="48" t="n">
        <v>0</v>
      </c>
      <c r="J2496" s="48" t="n">
        <v>0</v>
      </c>
      <c r="K2496" s="49" t="n">
        <v>0</v>
      </c>
      <c r="L2496" s="49" t="n">
        <v>0</v>
      </c>
      <c r="M2496" s="49" t="n">
        <v>0</v>
      </c>
      <c r="N2496" s="49" t="n">
        <v>0</v>
      </c>
      <c r="O2496" s="49" t="n">
        <v>0</v>
      </c>
      <c r="P2496" s="49" t="n">
        <v>0</v>
      </c>
      <c r="Q2496" s="49" t="n">
        <v>0</v>
      </c>
      <c r="R2496" s="49" t="n">
        <v>0</v>
      </c>
      <c r="S2496" s="50" t="n">
        <v>0</v>
      </c>
      <c r="T2496" s="50" t="n">
        <v>0</v>
      </c>
      <c r="U2496" s="50" t="n">
        <v>0</v>
      </c>
      <c r="V2496" s="50" t="n">
        <v>0</v>
      </c>
      <c r="W2496" s="51" t="n">
        <v>0</v>
      </c>
      <c r="X2496" s="51" t="n">
        <v>0</v>
      </c>
      <c r="Y2496" s="51" t="n">
        <v>0</v>
      </c>
      <c r="Z2496" s="51" t="n">
        <v>0</v>
      </c>
      <c r="AA2496" s="52" t="n">
        <v>0</v>
      </c>
      <c r="AB2496" s="52" t="n">
        <v>0</v>
      </c>
      <c r="AC2496" s="52" t="n">
        <v>0</v>
      </c>
      <c r="AD2496" s="52" t="n">
        <v>0</v>
      </c>
      <c r="AE2496" s="52" t="n">
        <v>0</v>
      </c>
      <c r="AF2496" s="52" t="n">
        <v>0</v>
      </c>
      <c r="AG2496" s="52" t="n">
        <v>0</v>
      </c>
      <c r="AH2496" s="52" t="n">
        <v>0</v>
      </c>
      <c r="AI2496" s="52" t="n">
        <v>0</v>
      </c>
      <c r="AJ2496" s="52" t="n">
        <v>0</v>
      </c>
      <c r="AK2496" s="52" t="n">
        <v>0</v>
      </c>
      <c r="AL2496" s="52" t="n">
        <v>0</v>
      </c>
      <c r="AM2496" s="53" t="n">
        <v>0</v>
      </c>
      <c r="AN2496" s="53" t="n">
        <v>0</v>
      </c>
      <c r="AO2496" s="53" t="n">
        <v>0</v>
      </c>
      <c r="AP2496" s="53" t="n">
        <v>0</v>
      </c>
      <c r="AQ2496" s="52" t="n">
        <v>0</v>
      </c>
      <c r="AR2496" s="52" t="n">
        <v>0</v>
      </c>
      <c r="AS2496" s="52" t="n">
        <v>0</v>
      </c>
      <c r="AT2496" s="52" t="n">
        <v>0</v>
      </c>
      <c r="AU2496" s="53" t="n">
        <v>0</v>
      </c>
      <c r="AV2496" s="53" t="n">
        <v>0</v>
      </c>
      <c r="AW2496" s="53" t="n">
        <v>0</v>
      </c>
      <c r="AX2496" s="53" t="n">
        <v>0</v>
      </c>
      <c r="AY2496" s="52" t="n">
        <v>0</v>
      </c>
      <c r="AZ2496" s="52" t="n">
        <v>0</v>
      </c>
      <c r="BA2496" s="52" t="n">
        <v>0</v>
      </c>
      <c r="BB2496" s="52" t="n">
        <v>0</v>
      </c>
      <c r="BC2496" s="51" t="n">
        <v>0</v>
      </c>
      <c r="BD2496" s="51" t="n">
        <v>0</v>
      </c>
      <c r="BE2496" s="51" t="n">
        <v>0</v>
      </c>
      <c r="BF2496" s="51" t="n">
        <v>0</v>
      </c>
    </row>
    <row r="2497">
      <c r="A2497">
        <f>HYPERLINK("https://www.walmart.com/ip/187889738", "187889738")</f>
        <v/>
      </c>
      <c r="B2497" t="inlineStr">
        <is>
          <t>Women's Plus Size Floral Lace Mesh Chemise Sleepwear and G-string</t>
        </is>
      </c>
      <c r="C2497" t="inlineStr">
        <is>
          <t>JWBD05WT-XL</t>
        </is>
      </c>
      <c r="D2497" t="inlineStr">
        <is>
          <t>Lingerie Sets</t>
        </is>
      </c>
      <c r="E2497" t="inlineStr">
        <is>
          <t>JenniWears</t>
        </is>
      </c>
      <c r="F2497" t="inlineStr">
        <is>
          <t>Optimized,Valentine</t>
        </is>
      </c>
      <c r="G2497" s="48" t="n">
        <v>0</v>
      </c>
      <c r="H2497" s="48" t="n">
        <v>0</v>
      </c>
      <c r="I2497" s="48" t="n">
        <v>0</v>
      </c>
      <c r="J2497" s="48" t="n">
        <v>0</v>
      </c>
      <c r="K2497" s="49" t="n">
        <v>0</v>
      </c>
      <c r="L2497" s="49" t="n">
        <v>0</v>
      </c>
      <c r="M2497" s="49" t="n">
        <v>0</v>
      </c>
      <c r="N2497" s="49" t="n">
        <v>0</v>
      </c>
      <c r="O2497" s="49" t="n">
        <v>0</v>
      </c>
      <c r="P2497" s="49" t="n">
        <v>0</v>
      </c>
      <c r="Q2497" s="49" t="n">
        <v>0</v>
      </c>
      <c r="R2497" s="49" t="n">
        <v>0</v>
      </c>
      <c r="S2497" s="50" t="n">
        <v>0</v>
      </c>
      <c r="T2497" s="50" t="n">
        <v>0</v>
      </c>
      <c r="U2497" s="50" t="n">
        <v>0</v>
      </c>
      <c r="V2497" s="50" t="n">
        <v>0</v>
      </c>
      <c r="W2497" s="51" t="n">
        <v>0</v>
      </c>
      <c r="X2497" s="51" t="n">
        <v>0</v>
      </c>
      <c r="Y2497" s="51" t="n">
        <v>0</v>
      </c>
      <c r="Z2497" s="51" t="n">
        <v>0</v>
      </c>
      <c r="AA2497" s="52" t="n">
        <v>0</v>
      </c>
      <c r="AB2497" s="52" t="n">
        <v>0</v>
      </c>
      <c r="AC2497" s="52" t="n">
        <v>0</v>
      </c>
      <c r="AD2497" s="52" t="n">
        <v>0</v>
      </c>
      <c r="AE2497" s="52" t="n">
        <v>0</v>
      </c>
      <c r="AF2497" s="52" t="n">
        <v>0</v>
      </c>
      <c r="AG2497" s="52" t="n">
        <v>0</v>
      </c>
      <c r="AH2497" s="52" t="n">
        <v>0</v>
      </c>
      <c r="AI2497" s="52" t="n">
        <v>0</v>
      </c>
      <c r="AJ2497" s="52" t="n">
        <v>0</v>
      </c>
      <c r="AK2497" s="52" t="n">
        <v>0</v>
      </c>
      <c r="AL2497" s="52" t="n">
        <v>0</v>
      </c>
      <c r="AM2497" s="53" t="n">
        <v>0</v>
      </c>
      <c r="AN2497" s="53" t="n">
        <v>0</v>
      </c>
      <c r="AO2497" s="53" t="n">
        <v>0</v>
      </c>
      <c r="AP2497" s="53" t="n">
        <v>0</v>
      </c>
      <c r="AQ2497" s="52" t="n">
        <v>0</v>
      </c>
      <c r="AR2497" s="52" t="n">
        <v>0</v>
      </c>
      <c r="AS2497" s="52" t="n">
        <v>0</v>
      </c>
      <c r="AT2497" s="52" t="n">
        <v>0</v>
      </c>
      <c r="AU2497" s="53" t="n">
        <v>0</v>
      </c>
      <c r="AV2497" s="53" t="n">
        <v>0</v>
      </c>
      <c r="AW2497" s="53" t="n">
        <v>0</v>
      </c>
      <c r="AX2497" s="53" t="n">
        <v>0</v>
      </c>
      <c r="AY2497" s="52" t="n">
        <v>0</v>
      </c>
      <c r="AZ2497" s="52" t="n">
        <v>0</v>
      </c>
      <c r="BA2497" s="52" t="n">
        <v>0</v>
      </c>
      <c r="BB2497" s="52" t="n">
        <v>0</v>
      </c>
      <c r="BC2497" s="51" t="n">
        <v>0</v>
      </c>
      <c r="BD2497" s="51" t="n">
        <v>0</v>
      </c>
      <c r="BE2497" s="51" t="n">
        <v>0</v>
      </c>
      <c r="BF2497" s="51" t="n">
        <v>0</v>
      </c>
    </row>
    <row r="2498">
      <c r="A2498">
        <f>HYPERLINK("https://www.walmart.com/ip/187616823", "187616823")</f>
        <v/>
      </c>
      <c r="B2498" t="inlineStr">
        <is>
          <t>Women's Poncho Cape, Sherpa Fleece Cloak Coat, Snuggly Hooded Wearable Blanket, Gift Idea for Adults and Teen Girls</t>
        </is>
      </c>
      <c r="C2498" t="inlineStr">
        <is>
          <t>1CTBC300PK</t>
        </is>
      </c>
      <c r="D2498" t="inlineStr">
        <is>
          <t>Throws</t>
        </is>
      </c>
      <c r="E2498" t="inlineStr">
        <is>
          <t>Catalonia</t>
        </is>
      </c>
      <c r="F2498" t="inlineStr">
        <is>
          <t>WFS,High AUR Items,WFS Item</t>
        </is>
      </c>
      <c r="G2498" s="48" t="n">
        <v>0</v>
      </c>
      <c r="H2498" s="48" t="n">
        <v>0</v>
      </c>
      <c r="I2498" s="48" t="n">
        <v>0</v>
      </c>
      <c r="J2498" s="48" t="n">
        <v>0</v>
      </c>
      <c r="K2498" s="49" t="n">
        <v>0</v>
      </c>
      <c r="L2498" s="49" t="n">
        <v>0</v>
      </c>
      <c r="M2498" s="49" t="n">
        <v>0</v>
      </c>
      <c r="N2498" s="49" t="n">
        <v>0</v>
      </c>
      <c r="O2498" s="49" t="n">
        <v>1</v>
      </c>
      <c r="P2498" s="49" t="n">
        <v>1</v>
      </c>
      <c r="Q2498" s="49" t="n">
        <v>1</v>
      </c>
      <c r="R2498" s="49" t="n">
        <v>1</v>
      </c>
      <c r="S2498" s="50" t="n">
        <v>0</v>
      </c>
      <c r="T2498" s="50" t="n">
        <v>0</v>
      </c>
      <c r="U2498" s="50" t="n">
        <v>0</v>
      </c>
      <c r="V2498" s="50" t="n">
        <v>0</v>
      </c>
      <c r="W2498" s="51" t="n">
        <v>0</v>
      </c>
      <c r="X2498" s="51" t="n">
        <v>0</v>
      </c>
      <c r="Y2498" s="51" t="n">
        <v>0</v>
      </c>
      <c r="Z2498" s="51" t="n">
        <v>0</v>
      </c>
      <c r="AA2498" s="52" t="n">
        <v>0</v>
      </c>
      <c r="AB2498" s="52" t="n">
        <v>0</v>
      </c>
      <c r="AC2498" s="52" t="n">
        <v>0</v>
      </c>
      <c r="AD2498" s="52" t="n">
        <v>0</v>
      </c>
      <c r="AE2498" s="52" t="n">
        <v>0</v>
      </c>
      <c r="AF2498" s="52" t="n">
        <v>0</v>
      </c>
      <c r="AG2498" s="52" t="n">
        <v>0</v>
      </c>
      <c r="AH2498" s="52" t="n">
        <v>0</v>
      </c>
      <c r="AI2498" s="52" t="n">
        <v>0</v>
      </c>
      <c r="AJ2498" s="52" t="n">
        <v>0</v>
      </c>
      <c r="AK2498" s="52" t="n">
        <v>0</v>
      </c>
      <c r="AL2498" s="52" t="n">
        <v>0</v>
      </c>
      <c r="AM2498" s="53" t="n">
        <v>0</v>
      </c>
      <c r="AN2498" s="53" t="n">
        <v>0</v>
      </c>
      <c r="AO2498" s="53" t="n">
        <v>0</v>
      </c>
      <c r="AP2498" s="53" t="n">
        <v>0</v>
      </c>
      <c r="AQ2498" s="52" t="n">
        <v>0</v>
      </c>
      <c r="AR2498" s="52" t="n">
        <v>0</v>
      </c>
      <c r="AS2498" s="52" t="n">
        <v>0</v>
      </c>
      <c r="AT2498" s="52" t="n">
        <v>0</v>
      </c>
      <c r="AU2498" s="53" t="n">
        <v>0</v>
      </c>
      <c r="AV2498" s="53" t="n">
        <v>0</v>
      </c>
      <c r="AW2498" s="53" t="n">
        <v>0</v>
      </c>
      <c r="AX2498" s="53" t="n">
        <v>0</v>
      </c>
      <c r="AY2498" s="52" t="n">
        <v>0</v>
      </c>
      <c r="AZ2498" s="52" t="n">
        <v>0</v>
      </c>
      <c r="BA2498" s="52" t="n">
        <v>0</v>
      </c>
      <c r="BB2498" s="52" t="n">
        <v>0</v>
      </c>
      <c r="BC2498" s="51" t="n">
        <v>0</v>
      </c>
      <c r="BD2498" s="51" t="n">
        <v>0</v>
      </c>
      <c r="BE2498" s="51" t="n">
        <v>0</v>
      </c>
      <c r="BF2498" s="51" t="n">
        <v>0</v>
      </c>
    </row>
    <row r="2499">
      <c r="A2499">
        <f>HYPERLINK("https://www.walmart.com/ip/189439981", "189439981")</f>
        <v/>
      </c>
      <c r="B2499" t="inlineStr">
        <is>
          <t>KC Caps Unisex Adjustable Snap Closure USA Flag Embroidered Unconstructed Cap Hat</t>
        </is>
      </c>
      <c r="C2499" t="inlineStr">
        <is>
          <t>kc-ae-6110-wt</t>
        </is>
      </c>
      <c r="D2499" t="inlineStr">
        <is>
          <t>Hats</t>
        </is>
      </c>
      <c r="E2499" t="inlineStr">
        <is>
          <t>KC Caps</t>
        </is>
      </c>
      <c r="F2499" t="inlineStr">
        <is>
          <t>Optimized,Hats</t>
        </is>
      </c>
      <c r="G2499" s="48" t="n">
        <v>0</v>
      </c>
      <c r="H2499" s="48" t="n">
        <v>0</v>
      </c>
      <c r="I2499" s="48" t="n">
        <v>0</v>
      </c>
      <c r="J2499" s="48" t="n">
        <v>0</v>
      </c>
      <c r="K2499" s="49" t="n">
        <v>0</v>
      </c>
      <c r="L2499" s="49" t="n">
        <v>0</v>
      </c>
      <c r="M2499" s="49" t="n">
        <v>0</v>
      </c>
      <c r="N2499" s="49" t="n">
        <v>0</v>
      </c>
      <c r="O2499" s="49" t="n">
        <v>0</v>
      </c>
      <c r="P2499" s="49" t="n">
        <v>0</v>
      </c>
      <c r="Q2499" s="49" t="n">
        <v>0</v>
      </c>
      <c r="R2499" s="49" t="n">
        <v>0</v>
      </c>
      <c r="S2499" s="50" t="n">
        <v>0</v>
      </c>
      <c r="T2499" s="50" t="n">
        <v>0</v>
      </c>
      <c r="U2499" s="50" t="n">
        <v>0</v>
      </c>
      <c r="V2499" s="50" t="n">
        <v>0</v>
      </c>
      <c r="W2499" s="51" t="n">
        <v>0</v>
      </c>
      <c r="X2499" s="51" t="n">
        <v>0</v>
      </c>
      <c r="Y2499" s="51" t="n">
        <v>0</v>
      </c>
      <c r="Z2499" s="51" t="n">
        <v>0</v>
      </c>
      <c r="AA2499" s="52" t="n">
        <v>0</v>
      </c>
      <c r="AB2499" s="52" t="n">
        <v>0</v>
      </c>
      <c r="AC2499" s="52" t="n">
        <v>0</v>
      </c>
      <c r="AD2499" s="52" t="n">
        <v>0</v>
      </c>
      <c r="AE2499" s="52" t="n">
        <v>0</v>
      </c>
      <c r="AF2499" s="52" t="n">
        <v>0</v>
      </c>
      <c r="AG2499" s="52" t="n">
        <v>0</v>
      </c>
      <c r="AH2499" s="52" t="n">
        <v>0</v>
      </c>
      <c r="AI2499" s="52" t="n">
        <v>0</v>
      </c>
      <c r="AJ2499" s="52" t="n">
        <v>0</v>
      </c>
      <c r="AK2499" s="52" t="n">
        <v>0</v>
      </c>
      <c r="AL2499" s="52" t="n">
        <v>0</v>
      </c>
      <c r="AM2499" s="53" t="n">
        <v>0</v>
      </c>
      <c r="AN2499" s="53" t="n">
        <v>0</v>
      </c>
      <c r="AO2499" s="53" t="n">
        <v>0</v>
      </c>
      <c r="AP2499" s="53" t="n">
        <v>0</v>
      </c>
      <c r="AQ2499" s="52" t="n">
        <v>0</v>
      </c>
      <c r="AR2499" s="52" t="n">
        <v>0</v>
      </c>
      <c r="AS2499" s="52" t="n">
        <v>0</v>
      </c>
      <c r="AT2499" s="52" t="n">
        <v>0</v>
      </c>
      <c r="AU2499" s="53" t="n">
        <v>0</v>
      </c>
      <c r="AV2499" s="53" t="n">
        <v>0</v>
      </c>
      <c r="AW2499" s="53" t="n">
        <v>0</v>
      </c>
      <c r="AX2499" s="53" t="n">
        <v>0</v>
      </c>
      <c r="AY2499" s="52" t="n">
        <v>0</v>
      </c>
      <c r="AZ2499" s="52" t="n">
        <v>0</v>
      </c>
      <c r="BA2499" s="52" t="n">
        <v>0</v>
      </c>
      <c r="BB2499" s="52" t="n">
        <v>0</v>
      </c>
      <c r="BC2499" s="51" t="n">
        <v>0</v>
      </c>
      <c r="BD2499" s="51" t="n">
        <v>0</v>
      </c>
      <c r="BE2499" s="51" t="n">
        <v>0</v>
      </c>
      <c r="BF2499" s="51" t="n">
        <v>0</v>
      </c>
    </row>
    <row r="2500">
      <c r="A2500">
        <f>HYPERLINK("https://www.walmart.com/ip/1875507073", "1875507073")</f>
        <v/>
      </c>
      <c r="B2500" t="inlineStr">
        <is>
          <t>Tirrinia Leakproof Thermal Bento Lunch Bag For Women, Heat-welded technology, Men And Kids, Heat-welded Technology, Medium, Green, 7.8/ 15 Cans</t>
        </is>
      </c>
      <c r="C2500" t="inlineStr">
        <is>
          <t>1TRLB702GN-N</t>
        </is>
      </c>
      <c r="D2500" t="inlineStr">
        <is>
          <t>Reusable Lunch Bags &amp; Boxes</t>
        </is>
      </c>
      <c r="E2500" t="inlineStr">
        <is>
          <t>Tirrinia</t>
        </is>
      </c>
      <c r="F2500" t="inlineStr">
        <is>
          <t>Q2-Target,Brand Camp VD,Lunch Bags,Batch 1 - TR</t>
        </is>
      </c>
      <c r="G2500" s="48" t="n">
        <v>0</v>
      </c>
      <c r="H2500" s="48" t="n">
        <v>28.97</v>
      </c>
      <c r="I2500" s="48" t="n">
        <v>0</v>
      </c>
      <c r="J2500" s="48" t="n">
        <v>0</v>
      </c>
      <c r="K2500" s="49" t="n">
        <v>0</v>
      </c>
      <c r="L2500" s="49" t="n">
        <v>2</v>
      </c>
      <c r="M2500" s="49" t="n">
        <v>0</v>
      </c>
      <c r="N2500" s="49" t="n">
        <v>0</v>
      </c>
      <c r="O2500" s="49" t="n">
        <v>2</v>
      </c>
      <c r="P2500" s="49" t="n">
        <v>4</v>
      </c>
      <c r="Q2500" s="49" t="n">
        <v>0</v>
      </c>
      <c r="R2500" s="49" t="n">
        <v>0</v>
      </c>
      <c r="S2500" s="50" t="n">
        <v>0</v>
      </c>
      <c r="T2500" s="50" t="n">
        <v>0.5</v>
      </c>
      <c r="U2500" s="50" t="n">
        <v>0</v>
      </c>
      <c r="V2500" s="50" t="n">
        <v>0</v>
      </c>
      <c r="W2500" s="51" t="n">
        <v>0</v>
      </c>
      <c r="X2500" s="51" t="n">
        <v>0</v>
      </c>
      <c r="Y2500" s="51" t="n">
        <v>0</v>
      </c>
      <c r="Z2500" s="51" t="n">
        <v>0</v>
      </c>
      <c r="AA2500" s="52" t="n">
        <v>0</v>
      </c>
      <c r="AB2500" s="52" t="n">
        <v>0</v>
      </c>
      <c r="AC2500" s="52" t="n">
        <v>0</v>
      </c>
      <c r="AD2500" s="52" t="n">
        <v>0</v>
      </c>
      <c r="AE2500" s="52" t="n">
        <v>0</v>
      </c>
      <c r="AF2500" s="52" t="n">
        <v>0</v>
      </c>
      <c r="AG2500" s="52" t="n">
        <v>0</v>
      </c>
      <c r="AH2500" s="52" t="n">
        <v>0</v>
      </c>
      <c r="AI2500" s="52" t="n">
        <v>0</v>
      </c>
      <c r="AJ2500" s="52" t="n">
        <v>0</v>
      </c>
      <c r="AK2500" s="52" t="n">
        <v>0</v>
      </c>
      <c r="AL2500" s="52" t="n">
        <v>0</v>
      </c>
      <c r="AM2500" s="53" t="n">
        <v>0</v>
      </c>
      <c r="AN2500" s="53" t="n">
        <v>0</v>
      </c>
      <c r="AO2500" s="53" t="n">
        <v>0</v>
      </c>
      <c r="AP2500" s="53" t="n">
        <v>0</v>
      </c>
      <c r="AQ2500" s="52" t="n">
        <v>0</v>
      </c>
      <c r="AR2500" s="52" t="n">
        <v>0</v>
      </c>
      <c r="AS2500" s="52" t="n">
        <v>0</v>
      </c>
      <c r="AT2500" s="52" t="n">
        <v>0</v>
      </c>
      <c r="AU2500" s="53" t="n">
        <v>0</v>
      </c>
      <c r="AV2500" s="53" t="n">
        <v>0</v>
      </c>
      <c r="AW2500" s="53" t="n">
        <v>0</v>
      </c>
      <c r="AX2500" s="53" t="n">
        <v>0</v>
      </c>
      <c r="AY2500" s="52" t="n">
        <v>0</v>
      </c>
      <c r="AZ2500" s="52" t="n">
        <v>14.485</v>
      </c>
      <c r="BA2500" s="52" t="n">
        <v>0</v>
      </c>
      <c r="BB2500" s="52" t="n">
        <v>0</v>
      </c>
      <c r="BC2500" s="51" t="n">
        <v>0</v>
      </c>
      <c r="BD2500" s="51" t="n">
        <v>0</v>
      </c>
      <c r="BE2500" s="51" t="n">
        <v>0</v>
      </c>
      <c r="BF2500" s="51" t="n">
        <v>0</v>
      </c>
    </row>
    <row r="2501">
      <c r="A2501">
        <f>HYPERLINK("https://www.walmart.com/ip/187281448", "187281448")</f>
        <v/>
      </c>
      <c r="B2501" t="inlineStr">
        <is>
          <t>KC Caps® Unisex Cotton Baseball Cap Adjustable Plain Hat (21 Styles/Colors)</t>
        </is>
      </c>
      <c r="C2501" t="inlineStr">
        <is>
          <t>KC8010OFFWTGN</t>
        </is>
      </c>
      <c r="D2501" t="inlineStr">
        <is>
          <t>Hats</t>
        </is>
      </c>
      <c r="E2501" t="inlineStr">
        <is>
          <t>KC Caps</t>
        </is>
      </c>
      <c r="F2501" t="inlineStr">
        <is>
          <t>Optimized</t>
        </is>
      </c>
      <c r="G2501" s="48" t="n">
        <v>0</v>
      </c>
      <c r="H2501" s="48" t="n">
        <v>0</v>
      </c>
      <c r="I2501" s="48" t="n">
        <v>0</v>
      </c>
      <c r="J2501" s="48" t="n">
        <v>0</v>
      </c>
      <c r="K2501" s="49" t="n">
        <v>0</v>
      </c>
      <c r="L2501" s="49" t="n">
        <v>0</v>
      </c>
      <c r="M2501" s="49" t="n">
        <v>0</v>
      </c>
      <c r="N2501" s="49" t="n">
        <v>0</v>
      </c>
      <c r="O2501" s="49" t="n">
        <v>0</v>
      </c>
      <c r="P2501" s="49" t="n">
        <v>0</v>
      </c>
      <c r="Q2501" s="49" t="n">
        <v>0</v>
      </c>
      <c r="R2501" s="49" t="n">
        <v>0</v>
      </c>
      <c r="S2501" s="50" t="n">
        <v>0</v>
      </c>
      <c r="T2501" s="50" t="n">
        <v>0</v>
      </c>
      <c r="U2501" s="50" t="n">
        <v>0</v>
      </c>
      <c r="V2501" s="50" t="n">
        <v>0</v>
      </c>
      <c r="W2501" s="51" t="n">
        <v>0</v>
      </c>
      <c r="X2501" s="51" t="n">
        <v>0</v>
      </c>
      <c r="Y2501" s="51" t="n">
        <v>0</v>
      </c>
      <c r="Z2501" s="51" t="n">
        <v>0</v>
      </c>
      <c r="AA2501" s="52" t="n">
        <v>0</v>
      </c>
      <c r="AB2501" s="52" t="n">
        <v>0</v>
      </c>
      <c r="AC2501" s="52" t="n">
        <v>0</v>
      </c>
      <c r="AD2501" s="52" t="n">
        <v>0</v>
      </c>
      <c r="AE2501" s="52" t="n">
        <v>0</v>
      </c>
      <c r="AF2501" s="52" t="n">
        <v>0</v>
      </c>
      <c r="AG2501" s="52" t="n">
        <v>0</v>
      </c>
      <c r="AH2501" s="52" t="n">
        <v>0</v>
      </c>
      <c r="AI2501" s="52" t="n">
        <v>0</v>
      </c>
      <c r="AJ2501" s="52" t="n">
        <v>0</v>
      </c>
      <c r="AK2501" s="52" t="n">
        <v>0</v>
      </c>
      <c r="AL2501" s="52" t="n">
        <v>0</v>
      </c>
      <c r="AM2501" s="53" t="n">
        <v>0</v>
      </c>
      <c r="AN2501" s="53" t="n">
        <v>0</v>
      </c>
      <c r="AO2501" s="53" t="n">
        <v>0</v>
      </c>
      <c r="AP2501" s="53" t="n">
        <v>0</v>
      </c>
      <c r="AQ2501" s="52" t="n">
        <v>0</v>
      </c>
      <c r="AR2501" s="52" t="n">
        <v>0</v>
      </c>
      <c r="AS2501" s="52" t="n">
        <v>0</v>
      </c>
      <c r="AT2501" s="52" t="n">
        <v>0</v>
      </c>
      <c r="AU2501" s="53" t="n">
        <v>0</v>
      </c>
      <c r="AV2501" s="53" t="n">
        <v>0</v>
      </c>
      <c r="AW2501" s="53" t="n">
        <v>0</v>
      </c>
      <c r="AX2501" s="53" t="n">
        <v>0</v>
      </c>
      <c r="AY2501" s="52" t="n">
        <v>0</v>
      </c>
      <c r="AZ2501" s="52" t="n">
        <v>0</v>
      </c>
      <c r="BA2501" s="52" t="n">
        <v>0</v>
      </c>
      <c r="BB2501" s="52" t="n">
        <v>0</v>
      </c>
      <c r="BC2501" s="51" t="n">
        <v>0</v>
      </c>
      <c r="BD2501" s="51" t="n">
        <v>0</v>
      </c>
      <c r="BE2501" s="51" t="n">
        <v>0</v>
      </c>
      <c r="BF2501" s="51" t="n">
        <v>0</v>
      </c>
    </row>
    <row r="2502">
      <c r="A2502">
        <f>HYPERLINK("https://www.walmart.com/ip/189604473", "189604473")</f>
        <v/>
      </c>
      <c r="B2502" t="inlineStr">
        <is>
          <t>Flyingstar Sherpa Throws Blanket, Fleece Soft Cozy Blanket Throws for Sofa Bed 50"x60"</t>
        </is>
      </c>
      <c r="C2502" t="inlineStr">
        <is>
          <t>1WMBF301MK-ESGM</t>
        </is>
      </c>
      <c r="D2502" t="inlineStr">
        <is>
          <t>Throws</t>
        </is>
      </c>
      <c r="E2502" t="inlineStr">
        <is>
          <t>Flyingstar</t>
        </is>
      </c>
      <c r="F2502" t="inlineStr">
        <is>
          <t>Optimized</t>
        </is>
      </c>
      <c r="G2502" s="48" t="n">
        <v>0</v>
      </c>
      <c r="H2502" s="48" t="n">
        <v>0</v>
      </c>
      <c r="I2502" s="48" t="n">
        <v>0</v>
      </c>
      <c r="J2502" s="48" t="n">
        <v>0</v>
      </c>
      <c r="K2502" s="49" t="n">
        <v>0</v>
      </c>
      <c r="L2502" s="49" t="n">
        <v>0</v>
      </c>
      <c r="M2502" s="49" t="n">
        <v>0</v>
      </c>
      <c r="N2502" s="49" t="n">
        <v>0</v>
      </c>
      <c r="O2502" s="49" t="n">
        <v>0</v>
      </c>
      <c r="P2502" s="49" t="n">
        <v>0</v>
      </c>
      <c r="Q2502" s="49" t="n">
        <v>0</v>
      </c>
      <c r="R2502" s="49" t="n">
        <v>0</v>
      </c>
      <c r="S2502" s="50" t="n">
        <v>0</v>
      </c>
      <c r="T2502" s="50" t="n">
        <v>0</v>
      </c>
      <c r="U2502" s="50" t="n">
        <v>0</v>
      </c>
      <c r="V2502" s="50" t="n">
        <v>0</v>
      </c>
      <c r="W2502" s="51" t="n">
        <v>0</v>
      </c>
      <c r="X2502" s="51" t="n">
        <v>0</v>
      </c>
      <c r="Y2502" s="51" t="n">
        <v>0</v>
      </c>
      <c r="Z2502" s="51" t="n">
        <v>0</v>
      </c>
      <c r="AA2502" s="52" t="n">
        <v>0</v>
      </c>
      <c r="AB2502" s="52" t="n">
        <v>0</v>
      </c>
      <c r="AC2502" s="52" t="n">
        <v>0</v>
      </c>
      <c r="AD2502" s="52" t="n">
        <v>0</v>
      </c>
      <c r="AE2502" s="52" t="n">
        <v>0</v>
      </c>
      <c r="AF2502" s="52" t="n">
        <v>0</v>
      </c>
      <c r="AG2502" s="52" t="n">
        <v>0</v>
      </c>
      <c r="AH2502" s="52" t="n">
        <v>0</v>
      </c>
      <c r="AI2502" s="52" t="n">
        <v>0</v>
      </c>
      <c r="AJ2502" s="52" t="n">
        <v>0</v>
      </c>
      <c r="AK2502" s="52" t="n">
        <v>0</v>
      </c>
      <c r="AL2502" s="52" t="n">
        <v>0</v>
      </c>
      <c r="AM2502" s="53" t="n">
        <v>0</v>
      </c>
      <c r="AN2502" s="53" t="n">
        <v>0</v>
      </c>
      <c r="AO2502" s="53" t="n">
        <v>0</v>
      </c>
      <c r="AP2502" s="53" t="n">
        <v>0</v>
      </c>
      <c r="AQ2502" s="52" t="n">
        <v>0</v>
      </c>
      <c r="AR2502" s="52" t="n">
        <v>0</v>
      </c>
      <c r="AS2502" s="52" t="n">
        <v>0</v>
      </c>
      <c r="AT2502" s="52" t="n">
        <v>0</v>
      </c>
      <c r="AU2502" s="53" t="n">
        <v>0</v>
      </c>
      <c r="AV2502" s="53" t="n">
        <v>0</v>
      </c>
      <c r="AW2502" s="53" t="n">
        <v>0</v>
      </c>
      <c r="AX2502" s="53" t="n">
        <v>0</v>
      </c>
      <c r="AY2502" s="52" t="n">
        <v>0</v>
      </c>
      <c r="AZ2502" s="52" t="n">
        <v>0</v>
      </c>
      <c r="BA2502" s="52" t="n">
        <v>0</v>
      </c>
      <c r="BB2502" s="52" t="n">
        <v>0</v>
      </c>
      <c r="BC2502" s="51" t="n">
        <v>0</v>
      </c>
      <c r="BD2502" s="51" t="n">
        <v>0</v>
      </c>
      <c r="BE2502" s="51" t="n">
        <v>0</v>
      </c>
      <c r="BF2502" s="51" t="n">
        <v>0</v>
      </c>
    </row>
    <row r="2503">
      <c r="A2503">
        <f>HYPERLINK("https://www.walmart.com/ip/1872426699", "1872426699")</f>
        <v/>
      </c>
      <c r="B2503" t="inlineStr">
        <is>
          <t>Bucket Summer Mens Sun Hat Water Repel Mesh Net Light Weight UV Protection Outdoor Cap by Solaris</t>
        </is>
      </c>
      <c r="C2503" t="inlineStr">
        <is>
          <t>1SLSH191GY-12pcs</t>
        </is>
      </c>
      <c r="D2503" t="inlineStr">
        <is>
          <t>Hats</t>
        </is>
      </c>
      <c r="E2503" t="inlineStr">
        <is>
          <t>Solaris</t>
        </is>
      </c>
      <c r="F2503" t="inlineStr">
        <is>
          <t>Batch 1 - TR</t>
        </is>
      </c>
      <c r="G2503" s="48" t="n">
        <v>0</v>
      </c>
      <c r="H2503" s="48" t="n">
        <v>0</v>
      </c>
      <c r="I2503" s="48" t="n">
        <v>0</v>
      </c>
      <c r="J2503" s="48" t="n">
        <v>0</v>
      </c>
      <c r="K2503" s="49" t="n">
        <v>0</v>
      </c>
      <c r="L2503" s="49" t="n">
        <v>0</v>
      </c>
      <c r="M2503" s="49" t="n">
        <v>0</v>
      </c>
      <c r="N2503" s="49" t="n">
        <v>0</v>
      </c>
      <c r="O2503" s="49" t="n">
        <v>0</v>
      </c>
      <c r="P2503" s="49" t="n">
        <v>0</v>
      </c>
      <c r="Q2503" s="49" t="n">
        <v>0</v>
      </c>
      <c r="R2503" s="49" t="n">
        <v>0</v>
      </c>
      <c r="S2503" s="50" t="n">
        <v>0</v>
      </c>
      <c r="T2503" s="50" t="n">
        <v>0</v>
      </c>
      <c r="U2503" s="50" t="n">
        <v>0</v>
      </c>
      <c r="V2503" s="50" t="n">
        <v>0</v>
      </c>
      <c r="W2503" s="51" t="n">
        <v>0</v>
      </c>
      <c r="X2503" s="51" t="n">
        <v>0</v>
      </c>
      <c r="Y2503" s="51" t="n">
        <v>0</v>
      </c>
      <c r="Z2503" s="51" t="n">
        <v>0</v>
      </c>
      <c r="AA2503" s="52" t="n">
        <v>0</v>
      </c>
      <c r="AB2503" s="52" t="n">
        <v>0</v>
      </c>
      <c r="AC2503" s="52" t="n">
        <v>0</v>
      </c>
      <c r="AD2503" s="52" t="n">
        <v>0</v>
      </c>
      <c r="AE2503" s="52" t="n">
        <v>0</v>
      </c>
      <c r="AF2503" s="52" t="n">
        <v>0</v>
      </c>
      <c r="AG2503" s="52" t="n">
        <v>0</v>
      </c>
      <c r="AH2503" s="52" t="n">
        <v>0</v>
      </c>
      <c r="AI2503" s="52" t="n">
        <v>0</v>
      </c>
      <c r="AJ2503" s="52" t="n">
        <v>0</v>
      </c>
      <c r="AK2503" s="52" t="n">
        <v>0</v>
      </c>
      <c r="AL2503" s="52" t="n">
        <v>0</v>
      </c>
      <c r="AM2503" s="53" t="n">
        <v>0</v>
      </c>
      <c r="AN2503" s="53" t="n">
        <v>0</v>
      </c>
      <c r="AO2503" s="53" t="n">
        <v>0</v>
      </c>
      <c r="AP2503" s="53" t="n">
        <v>0</v>
      </c>
      <c r="AQ2503" s="52" t="n">
        <v>0</v>
      </c>
      <c r="AR2503" s="52" t="n">
        <v>0</v>
      </c>
      <c r="AS2503" s="52" t="n">
        <v>0</v>
      </c>
      <c r="AT2503" s="52" t="n">
        <v>0</v>
      </c>
      <c r="AU2503" s="53" t="n">
        <v>0</v>
      </c>
      <c r="AV2503" s="53" t="n">
        <v>0</v>
      </c>
      <c r="AW2503" s="53" t="n">
        <v>0</v>
      </c>
      <c r="AX2503" s="53" t="n">
        <v>0</v>
      </c>
      <c r="AY2503" s="52" t="n">
        <v>0</v>
      </c>
      <c r="AZ2503" s="52" t="n">
        <v>0</v>
      </c>
      <c r="BA2503" s="52" t="n">
        <v>0</v>
      </c>
      <c r="BB2503" s="52" t="n">
        <v>0</v>
      </c>
      <c r="BC2503" s="51" t="n">
        <v>0</v>
      </c>
      <c r="BD2503" s="51" t="n">
        <v>0</v>
      </c>
      <c r="BE2503" s="51" t="n">
        <v>0</v>
      </c>
      <c r="BF2503" s="51" t="n">
        <v>0</v>
      </c>
    </row>
    <row r="2504">
      <c r="A2504">
        <f>HYPERLINK("https://www.walmart.com/ip/1871646207", "1871646207")</f>
        <v/>
      </c>
      <c r="B2504" t="inlineStr">
        <is>
          <t>Tirrinia Lunch Bags for Women Men, Cute Insulated Lunch Tote Bag for Girls, Fashionable Lunch Box for Adult Kids, Reusable Large Cooler Lunch Bag for School, Work, Office, Picnic | Gray Stripe</t>
        </is>
      </c>
      <c r="C2504" t="inlineStr">
        <is>
          <t>1WMLB707GYSTR</t>
        </is>
      </c>
      <c r="D2504" t="inlineStr">
        <is>
          <t>Reusable Lunch Bags &amp; Boxes</t>
        </is>
      </c>
      <c r="E2504" t="inlineStr">
        <is>
          <t>Tirrinia</t>
        </is>
      </c>
      <c r="F2504" t="inlineStr">
        <is>
          <t>Q2-Target,Brand Camp VD</t>
        </is>
      </c>
      <c r="G2504" s="48" t="n">
        <v>0</v>
      </c>
      <c r="H2504" s="48" t="n">
        <v>0</v>
      </c>
      <c r="I2504" s="48" t="n">
        <v>0</v>
      </c>
      <c r="J2504" s="48" t="n">
        <v>0</v>
      </c>
      <c r="K2504" s="49" t="n">
        <v>0</v>
      </c>
      <c r="L2504" s="49" t="n">
        <v>0</v>
      </c>
      <c r="M2504" s="49" t="n">
        <v>0</v>
      </c>
      <c r="N2504" s="49" t="n">
        <v>0</v>
      </c>
      <c r="O2504" s="49" t="n">
        <v>3</v>
      </c>
      <c r="P2504" s="49" t="n">
        <v>0</v>
      </c>
      <c r="Q2504" s="49" t="n">
        <v>0</v>
      </c>
      <c r="R2504" s="49" t="n">
        <v>2</v>
      </c>
      <c r="S2504" s="50" t="n">
        <v>0</v>
      </c>
      <c r="T2504" s="50" t="n">
        <v>0</v>
      </c>
      <c r="U2504" s="50" t="n">
        <v>0</v>
      </c>
      <c r="V2504" s="50" t="n">
        <v>0</v>
      </c>
      <c r="W2504" s="51" t="n">
        <v>0</v>
      </c>
      <c r="X2504" s="51" t="n">
        <v>0</v>
      </c>
      <c r="Y2504" s="51" t="n">
        <v>0</v>
      </c>
      <c r="Z2504" s="51" t="n">
        <v>0</v>
      </c>
      <c r="AA2504" s="52" t="n">
        <v>0</v>
      </c>
      <c r="AB2504" s="52" t="n">
        <v>0</v>
      </c>
      <c r="AC2504" s="52" t="n">
        <v>0</v>
      </c>
      <c r="AD2504" s="52" t="n">
        <v>0</v>
      </c>
      <c r="AE2504" s="52" t="n">
        <v>0</v>
      </c>
      <c r="AF2504" s="52" t="n">
        <v>0</v>
      </c>
      <c r="AG2504" s="52" t="n">
        <v>0</v>
      </c>
      <c r="AH2504" s="52" t="n">
        <v>0</v>
      </c>
      <c r="AI2504" s="52" t="n">
        <v>0</v>
      </c>
      <c r="AJ2504" s="52" t="n">
        <v>0</v>
      </c>
      <c r="AK2504" s="52" t="n">
        <v>0</v>
      </c>
      <c r="AL2504" s="52" t="n">
        <v>0</v>
      </c>
      <c r="AM2504" s="53" t="n">
        <v>0</v>
      </c>
      <c r="AN2504" s="53" t="n">
        <v>0</v>
      </c>
      <c r="AO2504" s="53" t="n">
        <v>0</v>
      </c>
      <c r="AP2504" s="53" t="n">
        <v>0</v>
      </c>
      <c r="AQ2504" s="52" t="n">
        <v>0</v>
      </c>
      <c r="AR2504" s="52" t="n">
        <v>0</v>
      </c>
      <c r="AS2504" s="52" t="n">
        <v>0</v>
      </c>
      <c r="AT2504" s="52" t="n">
        <v>0</v>
      </c>
      <c r="AU2504" s="53" t="n">
        <v>0</v>
      </c>
      <c r="AV2504" s="53" t="n">
        <v>0</v>
      </c>
      <c r="AW2504" s="53" t="n">
        <v>0</v>
      </c>
      <c r="AX2504" s="53" t="n">
        <v>0</v>
      </c>
      <c r="AY2504" s="52" t="n">
        <v>0</v>
      </c>
      <c r="AZ2504" s="52" t="n">
        <v>0</v>
      </c>
      <c r="BA2504" s="52" t="n">
        <v>0</v>
      </c>
      <c r="BB2504" s="52" t="n">
        <v>0</v>
      </c>
      <c r="BC2504" s="51" t="n">
        <v>0</v>
      </c>
      <c r="BD2504" s="51" t="n">
        <v>0</v>
      </c>
      <c r="BE2504" s="51" t="n">
        <v>0</v>
      </c>
      <c r="BF2504" s="51" t="n">
        <v>0</v>
      </c>
    </row>
    <row r="2505">
      <c r="A2505">
        <f>HYPERLINK("https://www.walmart.com/ip/187126912", "187126912")</f>
        <v/>
      </c>
      <c r="B2505" t="inlineStr">
        <is>
          <t>JenniWears® Women's Sexy Lingerie Lace Bra with Strappy Tulle Panty - Black</t>
        </is>
      </c>
      <c r="C2505" t="inlineStr">
        <is>
          <t>JWBASS03BK-M</t>
        </is>
      </c>
      <c r="D2505" t="inlineStr">
        <is>
          <t>Lingerie Sets</t>
        </is>
      </c>
      <c r="E2505" t="inlineStr">
        <is>
          <t>JenniWears</t>
        </is>
      </c>
      <c r="F2505" t="inlineStr">
        <is>
          <t>Valentine</t>
        </is>
      </c>
      <c r="G2505" s="48" t="n">
        <v>0</v>
      </c>
      <c r="H2505" s="48" t="n">
        <v>0</v>
      </c>
      <c r="I2505" s="48" t="n">
        <v>0</v>
      </c>
      <c r="J2505" s="48" t="n">
        <v>0</v>
      </c>
      <c r="K2505" s="49" t="n">
        <v>0</v>
      </c>
      <c r="L2505" s="49" t="n">
        <v>0</v>
      </c>
      <c r="M2505" s="49" t="n">
        <v>0</v>
      </c>
      <c r="N2505" s="49" t="n">
        <v>0</v>
      </c>
      <c r="O2505" s="49" t="n">
        <v>0</v>
      </c>
      <c r="P2505" s="49" t="n">
        <v>0</v>
      </c>
      <c r="Q2505" s="49" t="n">
        <v>0</v>
      </c>
      <c r="R2505" s="49" t="n">
        <v>0</v>
      </c>
      <c r="S2505" s="50" t="n">
        <v>0</v>
      </c>
      <c r="T2505" s="50" t="n">
        <v>0</v>
      </c>
      <c r="U2505" s="50" t="n">
        <v>0</v>
      </c>
      <c r="V2505" s="50" t="n">
        <v>0</v>
      </c>
      <c r="W2505" s="51" t="n">
        <v>0</v>
      </c>
      <c r="X2505" s="51" t="n">
        <v>0</v>
      </c>
      <c r="Y2505" s="51" t="n">
        <v>0</v>
      </c>
      <c r="Z2505" s="51" t="n">
        <v>0</v>
      </c>
      <c r="AA2505" s="52" t="n">
        <v>0</v>
      </c>
      <c r="AB2505" s="52" t="n">
        <v>0</v>
      </c>
      <c r="AC2505" s="52" t="n">
        <v>0</v>
      </c>
      <c r="AD2505" s="52" t="n">
        <v>0</v>
      </c>
      <c r="AE2505" s="52" t="n">
        <v>0</v>
      </c>
      <c r="AF2505" s="52" t="n">
        <v>0</v>
      </c>
      <c r="AG2505" s="52" t="n">
        <v>0</v>
      </c>
      <c r="AH2505" s="52" t="n">
        <v>0</v>
      </c>
      <c r="AI2505" s="52" t="n">
        <v>0</v>
      </c>
      <c r="AJ2505" s="52" t="n">
        <v>0</v>
      </c>
      <c r="AK2505" s="52" t="n">
        <v>0</v>
      </c>
      <c r="AL2505" s="52" t="n">
        <v>0</v>
      </c>
      <c r="AM2505" s="53" t="n">
        <v>0</v>
      </c>
      <c r="AN2505" s="53" t="n">
        <v>0</v>
      </c>
      <c r="AO2505" s="53" t="n">
        <v>0</v>
      </c>
      <c r="AP2505" s="53" t="n">
        <v>0</v>
      </c>
      <c r="AQ2505" s="52" t="n">
        <v>0</v>
      </c>
      <c r="AR2505" s="52" t="n">
        <v>0</v>
      </c>
      <c r="AS2505" s="52" t="n">
        <v>0</v>
      </c>
      <c r="AT2505" s="52" t="n">
        <v>0</v>
      </c>
      <c r="AU2505" s="53" t="n">
        <v>0</v>
      </c>
      <c r="AV2505" s="53" t="n">
        <v>0</v>
      </c>
      <c r="AW2505" s="53" t="n">
        <v>0</v>
      </c>
      <c r="AX2505" s="53" t="n">
        <v>0</v>
      </c>
      <c r="AY2505" s="52" t="n">
        <v>0</v>
      </c>
      <c r="AZ2505" s="52" t="n">
        <v>0</v>
      </c>
      <c r="BA2505" s="52" t="n">
        <v>0</v>
      </c>
      <c r="BB2505" s="52" t="n">
        <v>0</v>
      </c>
      <c r="BC2505" s="51" t="n">
        <v>0</v>
      </c>
      <c r="BD2505" s="51" t="n">
        <v>0</v>
      </c>
      <c r="BE2505" s="51" t="n">
        <v>0</v>
      </c>
      <c r="BF2505" s="51" t="n">
        <v>0</v>
      </c>
    </row>
    <row r="2506">
      <c r="A2506">
        <f>HYPERLINK("https://www.walmart.com/ip/186964556", "186964556")</f>
        <v/>
      </c>
      <c r="B2506" t="inlineStr">
        <is>
          <t>JenniWears® Women's Sexy Strappy Lace Mesh Chemise Lingerie with G-string</t>
        </is>
      </c>
      <c r="C2506" t="inlineStr">
        <is>
          <t>JWBD03BKRD-M</t>
        </is>
      </c>
      <c r="D2506" t="inlineStr">
        <is>
          <t>Lingerie Sets</t>
        </is>
      </c>
      <c r="E2506" t="inlineStr">
        <is>
          <t>JenniWears</t>
        </is>
      </c>
      <c r="F2506" t="inlineStr">
        <is>
          <t>Optimized,Valentine</t>
        </is>
      </c>
      <c r="G2506" s="48" t="n">
        <v>0</v>
      </c>
      <c r="H2506" s="48" t="n">
        <v>0</v>
      </c>
      <c r="I2506" s="48" t="n">
        <v>0</v>
      </c>
      <c r="J2506" s="48" t="n">
        <v>0</v>
      </c>
      <c r="K2506" s="49" t="n">
        <v>0</v>
      </c>
      <c r="L2506" s="49" t="n">
        <v>0</v>
      </c>
      <c r="M2506" s="49" t="n">
        <v>0</v>
      </c>
      <c r="N2506" s="49" t="n">
        <v>0</v>
      </c>
      <c r="O2506" s="49" t="n">
        <v>0</v>
      </c>
      <c r="P2506" s="49" t="n">
        <v>0</v>
      </c>
      <c r="Q2506" s="49" t="n">
        <v>0</v>
      </c>
      <c r="R2506" s="49" t="n">
        <v>0</v>
      </c>
      <c r="S2506" s="50" t="n">
        <v>0</v>
      </c>
      <c r="T2506" s="50" t="n">
        <v>0</v>
      </c>
      <c r="U2506" s="50" t="n">
        <v>0</v>
      </c>
      <c r="V2506" s="50" t="n">
        <v>0</v>
      </c>
      <c r="W2506" s="51" t="n">
        <v>0</v>
      </c>
      <c r="X2506" s="51" t="n">
        <v>0</v>
      </c>
      <c r="Y2506" s="51" t="n">
        <v>0</v>
      </c>
      <c r="Z2506" s="51" t="n">
        <v>0</v>
      </c>
      <c r="AA2506" s="52" t="n">
        <v>0</v>
      </c>
      <c r="AB2506" s="52" t="n">
        <v>0</v>
      </c>
      <c r="AC2506" s="52" t="n">
        <v>0</v>
      </c>
      <c r="AD2506" s="52" t="n">
        <v>0</v>
      </c>
      <c r="AE2506" s="52" t="n">
        <v>0</v>
      </c>
      <c r="AF2506" s="52" t="n">
        <v>0</v>
      </c>
      <c r="AG2506" s="52" t="n">
        <v>0</v>
      </c>
      <c r="AH2506" s="52" t="n">
        <v>0</v>
      </c>
      <c r="AI2506" s="52" t="n">
        <v>0</v>
      </c>
      <c r="AJ2506" s="52" t="n">
        <v>0</v>
      </c>
      <c r="AK2506" s="52" t="n">
        <v>0</v>
      </c>
      <c r="AL2506" s="52" t="n">
        <v>0</v>
      </c>
      <c r="AM2506" s="53" t="n">
        <v>0</v>
      </c>
      <c r="AN2506" s="53" t="n">
        <v>0</v>
      </c>
      <c r="AO2506" s="53" t="n">
        <v>0</v>
      </c>
      <c r="AP2506" s="53" t="n">
        <v>0</v>
      </c>
      <c r="AQ2506" s="52" t="n">
        <v>0</v>
      </c>
      <c r="AR2506" s="52" t="n">
        <v>0</v>
      </c>
      <c r="AS2506" s="52" t="n">
        <v>0</v>
      </c>
      <c r="AT2506" s="52" t="n">
        <v>0</v>
      </c>
      <c r="AU2506" s="53" t="n">
        <v>0</v>
      </c>
      <c r="AV2506" s="53" t="n">
        <v>0</v>
      </c>
      <c r="AW2506" s="53" t="n">
        <v>0</v>
      </c>
      <c r="AX2506" s="53" t="n">
        <v>0</v>
      </c>
      <c r="AY2506" s="52" t="n">
        <v>0</v>
      </c>
      <c r="AZ2506" s="52" t="n">
        <v>0</v>
      </c>
      <c r="BA2506" s="52" t="n">
        <v>0</v>
      </c>
      <c r="BB2506" s="52" t="n">
        <v>0</v>
      </c>
      <c r="BC2506" s="51" t="n">
        <v>0</v>
      </c>
      <c r="BD2506" s="51" t="n">
        <v>0</v>
      </c>
      <c r="BE2506" s="51" t="n">
        <v>0</v>
      </c>
      <c r="BF2506" s="51" t="n">
        <v>0</v>
      </c>
    </row>
    <row r="2507">
      <c r="A2507">
        <f>HYPERLINK("https://www.walmart.com/ip/186948574", "186948574")</f>
        <v/>
      </c>
      <c r="B2507" t="inlineStr">
        <is>
          <t>Catalonia Sherpa Throws Blanket, Super Soft Comfy Fluffy Fuzzy Fleece Plush Blanket for Sofa Couch Bed Reversible All Season for Adults Children 50”x60”, Dark Blue</t>
        </is>
      </c>
      <c r="C2507" t="inlineStr">
        <is>
          <t>1CTBF320DBL</t>
        </is>
      </c>
      <c r="D2507" t="inlineStr">
        <is>
          <t>Throws</t>
        </is>
      </c>
      <c r="E2507" t="inlineStr">
        <is>
          <t>Catalonia</t>
        </is>
      </c>
      <c r="F2507" t="inlineStr">
        <is>
          <t>Q2-Target,Optimized,WFS,Coupon_Discount,WFS Item</t>
        </is>
      </c>
      <c r="G2507" s="48" t="n">
        <v>0</v>
      </c>
      <c r="H2507" s="48" t="n">
        <v>0</v>
      </c>
      <c r="I2507" s="48" t="n">
        <v>0</v>
      </c>
      <c r="J2507" s="48" t="n">
        <v>0</v>
      </c>
      <c r="K2507" s="49" t="n">
        <v>0</v>
      </c>
      <c r="L2507" s="49" t="n">
        <v>0</v>
      </c>
      <c r="M2507" s="49" t="n">
        <v>0</v>
      </c>
      <c r="N2507" s="49" t="n">
        <v>0</v>
      </c>
      <c r="O2507" s="49" t="n">
        <v>0</v>
      </c>
      <c r="P2507" s="49" t="n">
        <v>0</v>
      </c>
      <c r="Q2507" s="49" t="n">
        <v>0</v>
      </c>
      <c r="R2507" s="49" t="n">
        <v>0</v>
      </c>
      <c r="S2507" s="50" t="n">
        <v>0</v>
      </c>
      <c r="T2507" s="50" t="n">
        <v>0</v>
      </c>
      <c r="U2507" s="50" t="n">
        <v>0</v>
      </c>
      <c r="V2507" s="50" t="n">
        <v>0</v>
      </c>
      <c r="W2507" s="51" t="n">
        <v>0</v>
      </c>
      <c r="X2507" s="51" t="n">
        <v>0</v>
      </c>
      <c r="Y2507" s="51" t="n">
        <v>0</v>
      </c>
      <c r="Z2507" s="51" t="n">
        <v>0</v>
      </c>
      <c r="AA2507" s="52" t="n">
        <v>0</v>
      </c>
      <c r="AB2507" s="52" t="n">
        <v>0</v>
      </c>
      <c r="AC2507" s="52" t="n">
        <v>0</v>
      </c>
      <c r="AD2507" s="52" t="n">
        <v>0</v>
      </c>
      <c r="AE2507" s="52" t="n">
        <v>0</v>
      </c>
      <c r="AF2507" s="52" t="n">
        <v>0</v>
      </c>
      <c r="AG2507" s="52" t="n">
        <v>0</v>
      </c>
      <c r="AH2507" s="52" t="n">
        <v>0</v>
      </c>
      <c r="AI2507" s="52" t="n">
        <v>0</v>
      </c>
      <c r="AJ2507" s="52" t="n">
        <v>0</v>
      </c>
      <c r="AK2507" s="52" t="n">
        <v>0</v>
      </c>
      <c r="AL2507" s="52" t="n">
        <v>0</v>
      </c>
      <c r="AM2507" s="53" t="n">
        <v>0</v>
      </c>
      <c r="AN2507" s="53" t="n">
        <v>0</v>
      </c>
      <c r="AO2507" s="53" t="n">
        <v>0</v>
      </c>
      <c r="AP2507" s="53" t="n">
        <v>0</v>
      </c>
      <c r="AQ2507" s="52" t="n">
        <v>0</v>
      </c>
      <c r="AR2507" s="52" t="n">
        <v>0</v>
      </c>
      <c r="AS2507" s="52" t="n">
        <v>0</v>
      </c>
      <c r="AT2507" s="52" t="n">
        <v>0</v>
      </c>
      <c r="AU2507" s="53" t="n">
        <v>0</v>
      </c>
      <c r="AV2507" s="53" t="n">
        <v>0</v>
      </c>
      <c r="AW2507" s="53" t="n">
        <v>0</v>
      </c>
      <c r="AX2507" s="53" t="n">
        <v>0</v>
      </c>
      <c r="AY2507" s="52" t="n">
        <v>0</v>
      </c>
      <c r="AZ2507" s="52" t="n">
        <v>0</v>
      </c>
      <c r="BA2507" s="52" t="n">
        <v>0</v>
      </c>
      <c r="BB2507" s="52" t="n">
        <v>0</v>
      </c>
      <c r="BC2507" s="51" t="n">
        <v>0</v>
      </c>
      <c r="BD2507" s="51" t="n">
        <v>0</v>
      </c>
      <c r="BE2507" s="51" t="n">
        <v>0</v>
      </c>
      <c r="BF2507" s="51" t="n">
        <v>0</v>
      </c>
    </row>
    <row r="2508">
      <c r="A2508">
        <f>HYPERLINK("https://www.walmart.com/ip/189801233", "189801233")</f>
        <v/>
      </c>
      <c r="B2508" t="inlineStr">
        <is>
          <t>KC Caps® Unisex Cotton Baseball Cap Adjustable Plain Hat (21 Styles/Colors)</t>
        </is>
      </c>
      <c r="C2508" t="inlineStr">
        <is>
          <t>KC8010RD</t>
        </is>
      </c>
      <c r="D2508" t="inlineStr">
        <is>
          <t>Hats</t>
        </is>
      </c>
      <c r="E2508" t="inlineStr">
        <is>
          <t>KC Caps</t>
        </is>
      </c>
      <c r="F2508" t="inlineStr">
        <is>
          <t>Optimized</t>
        </is>
      </c>
      <c r="G2508" s="48" t="n">
        <v>0</v>
      </c>
      <c r="H2508" s="48" t="n">
        <v>0</v>
      </c>
      <c r="I2508" s="48" t="n">
        <v>0</v>
      </c>
      <c r="J2508" s="48" t="n">
        <v>0</v>
      </c>
      <c r="K2508" s="49" t="n">
        <v>0</v>
      </c>
      <c r="L2508" s="49" t="n">
        <v>0</v>
      </c>
      <c r="M2508" s="49" t="n">
        <v>0</v>
      </c>
      <c r="N2508" s="49" t="n">
        <v>0</v>
      </c>
      <c r="O2508" s="49" t="n">
        <v>0</v>
      </c>
      <c r="P2508" s="49" t="n">
        <v>0</v>
      </c>
      <c r="Q2508" s="49" t="n">
        <v>0</v>
      </c>
      <c r="R2508" s="49" t="n">
        <v>0</v>
      </c>
      <c r="S2508" s="50" t="n">
        <v>0</v>
      </c>
      <c r="T2508" s="50" t="n">
        <v>0</v>
      </c>
      <c r="U2508" s="50" t="n">
        <v>0</v>
      </c>
      <c r="V2508" s="50" t="n">
        <v>0</v>
      </c>
      <c r="W2508" s="51" t="n">
        <v>0</v>
      </c>
      <c r="X2508" s="51" t="n">
        <v>0</v>
      </c>
      <c r="Y2508" s="51" t="n">
        <v>0</v>
      </c>
      <c r="Z2508" s="51" t="n">
        <v>0</v>
      </c>
      <c r="AA2508" s="52" t="n">
        <v>0</v>
      </c>
      <c r="AB2508" s="52" t="n">
        <v>0</v>
      </c>
      <c r="AC2508" s="52" t="n">
        <v>0</v>
      </c>
      <c r="AD2508" s="52" t="n">
        <v>0</v>
      </c>
      <c r="AE2508" s="52" t="n">
        <v>0</v>
      </c>
      <c r="AF2508" s="52" t="n">
        <v>0</v>
      </c>
      <c r="AG2508" s="52" t="n">
        <v>0</v>
      </c>
      <c r="AH2508" s="52" t="n">
        <v>0</v>
      </c>
      <c r="AI2508" s="52" t="n">
        <v>0</v>
      </c>
      <c r="AJ2508" s="52" t="n">
        <v>0</v>
      </c>
      <c r="AK2508" s="52" t="n">
        <v>0</v>
      </c>
      <c r="AL2508" s="52" t="n">
        <v>0</v>
      </c>
      <c r="AM2508" s="53" t="n">
        <v>0</v>
      </c>
      <c r="AN2508" s="53" t="n">
        <v>0</v>
      </c>
      <c r="AO2508" s="53" t="n">
        <v>0</v>
      </c>
      <c r="AP2508" s="53" t="n">
        <v>0</v>
      </c>
      <c r="AQ2508" s="52" t="n">
        <v>0</v>
      </c>
      <c r="AR2508" s="52" t="n">
        <v>0</v>
      </c>
      <c r="AS2508" s="52" t="n">
        <v>0</v>
      </c>
      <c r="AT2508" s="52" t="n">
        <v>0</v>
      </c>
      <c r="AU2508" s="53" t="n">
        <v>0</v>
      </c>
      <c r="AV2508" s="53" t="n">
        <v>0</v>
      </c>
      <c r="AW2508" s="53" t="n">
        <v>0</v>
      </c>
      <c r="AX2508" s="53" t="n">
        <v>0</v>
      </c>
      <c r="AY2508" s="52" t="n">
        <v>0</v>
      </c>
      <c r="AZ2508" s="52" t="n">
        <v>0</v>
      </c>
      <c r="BA2508" s="52" t="n">
        <v>0</v>
      </c>
      <c r="BB2508" s="52" t="n">
        <v>0</v>
      </c>
      <c r="BC2508" s="51" t="n">
        <v>0</v>
      </c>
      <c r="BD2508" s="51" t="n">
        <v>0</v>
      </c>
      <c r="BE2508" s="51" t="n">
        <v>0</v>
      </c>
      <c r="BF2508" s="51" t="n">
        <v>0</v>
      </c>
    </row>
    <row r="2509">
      <c r="A2509">
        <f>HYPERLINK("https://www.walmart.com/ip/189975805", "189975805")</f>
        <v/>
      </c>
      <c r="B2509" t="inlineStr">
        <is>
          <t>kc caps adjustable two tone heavy washed cotton twill low profile mesh retro cap</t>
        </is>
      </c>
      <c r="C2509" t="inlineStr">
        <is>
          <t>KCCAPSSZK641KH/ST</t>
        </is>
      </c>
      <c r="D2509" t="inlineStr">
        <is>
          <t>Hats</t>
        </is>
      </c>
      <c r="E2509" t="inlineStr">
        <is>
          <t>KC Caps</t>
        </is>
      </c>
      <c r="F2509" t="inlineStr">
        <is>
          <t>Optimized</t>
        </is>
      </c>
      <c r="G2509" s="48" t="n">
        <v>0</v>
      </c>
      <c r="H2509" s="48" t="n">
        <v>0</v>
      </c>
      <c r="I2509" s="48" t="n">
        <v>0</v>
      </c>
      <c r="J2509" s="48" t="n">
        <v>0</v>
      </c>
      <c r="K2509" s="49" t="n">
        <v>0</v>
      </c>
      <c r="L2509" s="49" t="n">
        <v>0</v>
      </c>
      <c r="M2509" s="49" t="n">
        <v>0</v>
      </c>
      <c r="N2509" s="49" t="n">
        <v>0</v>
      </c>
      <c r="O2509" s="49" t="n">
        <v>0</v>
      </c>
      <c r="P2509" s="49" t="n">
        <v>0</v>
      </c>
      <c r="Q2509" s="49" t="n">
        <v>0</v>
      </c>
      <c r="R2509" s="49" t="n">
        <v>0</v>
      </c>
      <c r="S2509" s="50" t="n">
        <v>0</v>
      </c>
      <c r="T2509" s="50" t="n">
        <v>0</v>
      </c>
      <c r="U2509" s="50" t="n">
        <v>0</v>
      </c>
      <c r="V2509" s="50" t="n">
        <v>0</v>
      </c>
      <c r="W2509" s="51" t="n">
        <v>0</v>
      </c>
      <c r="X2509" s="51" t="n">
        <v>0</v>
      </c>
      <c r="Y2509" s="51" t="n">
        <v>0</v>
      </c>
      <c r="Z2509" s="51" t="n">
        <v>0</v>
      </c>
      <c r="AA2509" s="52" t="n">
        <v>0</v>
      </c>
      <c r="AB2509" s="52" t="n">
        <v>0</v>
      </c>
      <c r="AC2509" s="52" t="n">
        <v>0</v>
      </c>
      <c r="AD2509" s="52" t="n">
        <v>0</v>
      </c>
      <c r="AE2509" s="52" t="n">
        <v>0</v>
      </c>
      <c r="AF2509" s="52" t="n">
        <v>0</v>
      </c>
      <c r="AG2509" s="52" t="n">
        <v>0</v>
      </c>
      <c r="AH2509" s="52" t="n">
        <v>0</v>
      </c>
      <c r="AI2509" s="52" t="n">
        <v>0</v>
      </c>
      <c r="AJ2509" s="52" t="n">
        <v>0</v>
      </c>
      <c r="AK2509" s="52" t="n">
        <v>0</v>
      </c>
      <c r="AL2509" s="52" t="n">
        <v>0</v>
      </c>
      <c r="AM2509" s="53" t="n">
        <v>0</v>
      </c>
      <c r="AN2509" s="53" t="n">
        <v>0</v>
      </c>
      <c r="AO2509" s="53" t="n">
        <v>0</v>
      </c>
      <c r="AP2509" s="53" t="n">
        <v>0</v>
      </c>
      <c r="AQ2509" s="52" t="n">
        <v>0</v>
      </c>
      <c r="AR2509" s="52" t="n">
        <v>0</v>
      </c>
      <c r="AS2509" s="52" t="n">
        <v>0</v>
      </c>
      <c r="AT2509" s="52" t="n">
        <v>0</v>
      </c>
      <c r="AU2509" s="53" t="n">
        <v>0</v>
      </c>
      <c r="AV2509" s="53" t="n">
        <v>0</v>
      </c>
      <c r="AW2509" s="53" t="n">
        <v>0</v>
      </c>
      <c r="AX2509" s="53" t="n">
        <v>0</v>
      </c>
      <c r="AY2509" s="52" t="n">
        <v>0</v>
      </c>
      <c r="AZ2509" s="52" t="n">
        <v>0</v>
      </c>
      <c r="BA2509" s="52" t="n">
        <v>0</v>
      </c>
      <c r="BB2509" s="52" t="n">
        <v>0</v>
      </c>
      <c r="BC2509" s="51" t="n">
        <v>0</v>
      </c>
      <c r="BD2509" s="51" t="n">
        <v>0</v>
      </c>
      <c r="BE2509" s="51" t="n">
        <v>0</v>
      </c>
      <c r="BF2509" s="51" t="n">
        <v>0</v>
      </c>
    </row>
    <row r="2510">
      <c r="A2510">
        <f>HYPERLINK("https://www.walmart.com/ip/1899841597", "1899841597")</f>
        <v/>
      </c>
      <c r="B2510" t="inlineStr">
        <is>
          <t>Tirrinia Insulated Lunch Box for Women Men, Leakproof Thermal Reusable Lunch Bag with 4 Pockets for Adult &amp; Kids, Lunch Bag Cooler Tote for Office Work Back to School, Camo</t>
        </is>
      </c>
      <c r="C2510" t="inlineStr">
        <is>
          <t>1TRLB702CAMO-N</t>
        </is>
      </c>
      <c r="D2510" t="inlineStr">
        <is>
          <t>Reusable Lunch Bags &amp; Boxes</t>
        </is>
      </c>
      <c r="E2510" t="inlineStr">
        <is>
          <t>Tirrinia</t>
        </is>
      </c>
      <c r="F2510" t="inlineStr">
        <is>
          <t>Q2-Target,Brand Camp VD,Lunch Bags,SEM,Batch 1 - TR</t>
        </is>
      </c>
      <c r="G2510" s="48" t="n">
        <v>0</v>
      </c>
      <c r="H2510" s="48" t="n">
        <v>0</v>
      </c>
      <c r="I2510" s="48" t="n">
        <v>0</v>
      </c>
      <c r="J2510" s="48" t="n">
        <v>0</v>
      </c>
      <c r="K2510" s="49" t="n">
        <v>0</v>
      </c>
      <c r="L2510" s="49" t="n">
        <v>0</v>
      </c>
      <c r="M2510" s="49" t="n">
        <v>0</v>
      </c>
      <c r="N2510" s="49" t="n">
        <v>0</v>
      </c>
      <c r="O2510" s="49" t="n">
        <v>0</v>
      </c>
      <c r="P2510" s="49" t="n">
        <v>0</v>
      </c>
      <c r="Q2510" s="49" t="n">
        <v>0</v>
      </c>
      <c r="R2510" s="49" t="n">
        <v>0</v>
      </c>
      <c r="S2510" s="50" t="n">
        <v>0</v>
      </c>
      <c r="T2510" s="50" t="n">
        <v>0</v>
      </c>
      <c r="U2510" s="50" t="n">
        <v>0</v>
      </c>
      <c r="V2510" s="50" t="n">
        <v>0</v>
      </c>
      <c r="W2510" s="51" t="n">
        <v>0</v>
      </c>
      <c r="X2510" s="51" t="n">
        <v>0</v>
      </c>
      <c r="Y2510" s="51" t="n">
        <v>0</v>
      </c>
      <c r="Z2510" s="51" t="n">
        <v>0</v>
      </c>
      <c r="AA2510" s="52" t="n">
        <v>0</v>
      </c>
      <c r="AB2510" s="52" t="n">
        <v>0</v>
      </c>
      <c r="AC2510" s="52" t="n">
        <v>0</v>
      </c>
      <c r="AD2510" s="52" t="n">
        <v>0</v>
      </c>
      <c r="AE2510" s="52" t="n">
        <v>0</v>
      </c>
      <c r="AF2510" s="52" t="n">
        <v>0</v>
      </c>
      <c r="AG2510" s="52" t="n">
        <v>0</v>
      </c>
      <c r="AH2510" s="52" t="n">
        <v>0</v>
      </c>
      <c r="AI2510" s="52" t="n">
        <v>0</v>
      </c>
      <c r="AJ2510" s="52" t="n">
        <v>0</v>
      </c>
      <c r="AK2510" s="52" t="n">
        <v>0</v>
      </c>
      <c r="AL2510" s="52" t="n">
        <v>0</v>
      </c>
      <c r="AM2510" s="53" t="n">
        <v>0</v>
      </c>
      <c r="AN2510" s="53" t="n">
        <v>0</v>
      </c>
      <c r="AO2510" s="53" t="n">
        <v>0</v>
      </c>
      <c r="AP2510" s="53" t="n">
        <v>0</v>
      </c>
      <c r="AQ2510" s="52" t="n">
        <v>0</v>
      </c>
      <c r="AR2510" s="52" t="n">
        <v>0</v>
      </c>
      <c r="AS2510" s="52" t="n">
        <v>0</v>
      </c>
      <c r="AT2510" s="52" t="n">
        <v>0</v>
      </c>
      <c r="AU2510" s="53" t="n">
        <v>0</v>
      </c>
      <c r="AV2510" s="53" t="n">
        <v>0</v>
      </c>
      <c r="AW2510" s="53" t="n">
        <v>0</v>
      </c>
      <c r="AX2510" s="53" t="n">
        <v>0</v>
      </c>
      <c r="AY2510" s="52" t="n">
        <v>0</v>
      </c>
      <c r="AZ2510" s="52" t="n">
        <v>0</v>
      </c>
      <c r="BA2510" s="52" t="n">
        <v>0</v>
      </c>
      <c r="BB2510" s="52" t="n">
        <v>0</v>
      </c>
      <c r="BC2510" s="51" t="n">
        <v>0</v>
      </c>
      <c r="BD2510" s="51" t="n">
        <v>0</v>
      </c>
      <c r="BE2510" s="51" t="n">
        <v>0</v>
      </c>
      <c r="BF2510" s="51" t="n">
        <v>0</v>
      </c>
    </row>
    <row r="2511">
      <c r="A2511">
        <f>HYPERLINK("https://www.walmart.com/ip/186885089", "186885089")</f>
        <v/>
      </c>
      <c r="B2511" t="inlineStr">
        <is>
          <t>Sherpa Fleece Throw Blanket, Cozy Fuzzy Jacquard Blanket for the Couch Bed | Fluffy Comfy Warm Heavy Throws | Comfort Caring Gift, 50x60 inches</t>
        </is>
      </c>
      <c r="C2511" t="inlineStr">
        <is>
          <t>1CTBF573HPSOLE</t>
        </is>
      </c>
      <c r="D2511" t="inlineStr">
        <is>
          <t>Throws</t>
        </is>
      </c>
      <c r="E2511" t="inlineStr">
        <is>
          <t>Catalonia</t>
        </is>
      </c>
      <c r="F2511" t="inlineStr">
        <is>
          <t>Q2-Target,Coupon_Discount,Batch 1 - TR</t>
        </is>
      </c>
      <c r="G2511" s="48" t="n">
        <v>0</v>
      </c>
      <c r="H2511" s="48" t="n">
        <v>20.99</v>
      </c>
      <c r="I2511" s="48" t="n">
        <v>0</v>
      </c>
      <c r="J2511" s="48" t="n">
        <v>0</v>
      </c>
      <c r="K2511" s="49" t="n">
        <v>0</v>
      </c>
      <c r="L2511" s="49" t="n">
        <v>1</v>
      </c>
      <c r="M2511" s="49" t="n">
        <v>0</v>
      </c>
      <c r="N2511" s="49" t="n">
        <v>0</v>
      </c>
      <c r="O2511" s="49" t="n">
        <v>0</v>
      </c>
      <c r="P2511" s="49" t="n">
        <v>0</v>
      </c>
      <c r="Q2511" s="49" t="n">
        <v>0</v>
      </c>
      <c r="R2511" s="49" t="n">
        <v>0</v>
      </c>
      <c r="S2511" s="50" t="n">
        <v>0</v>
      </c>
      <c r="T2511" s="50" t="n">
        <v>0</v>
      </c>
      <c r="U2511" s="50" t="n">
        <v>0</v>
      </c>
      <c r="V2511" s="50" t="n">
        <v>0</v>
      </c>
      <c r="W2511" s="51" t="n">
        <v>0</v>
      </c>
      <c r="X2511" s="51" t="n">
        <v>0</v>
      </c>
      <c r="Y2511" s="51" t="n">
        <v>0</v>
      </c>
      <c r="Z2511" s="51" t="n">
        <v>0</v>
      </c>
      <c r="AA2511" s="52" t="n">
        <v>0</v>
      </c>
      <c r="AB2511" s="52" t="n">
        <v>0</v>
      </c>
      <c r="AC2511" s="52" t="n">
        <v>0</v>
      </c>
      <c r="AD2511" s="52" t="n">
        <v>0</v>
      </c>
      <c r="AE2511" s="52" t="n">
        <v>0</v>
      </c>
      <c r="AF2511" s="52" t="n">
        <v>0</v>
      </c>
      <c r="AG2511" s="52" t="n">
        <v>0</v>
      </c>
      <c r="AH2511" s="52" t="n">
        <v>0</v>
      </c>
      <c r="AI2511" s="52" t="n">
        <v>0</v>
      </c>
      <c r="AJ2511" s="52" t="n">
        <v>0</v>
      </c>
      <c r="AK2511" s="52" t="n">
        <v>0</v>
      </c>
      <c r="AL2511" s="52" t="n">
        <v>0</v>
      </c>
      <c r="AM2511" s="53" t="n">
        <v>0</v>
      </c>
      <c r="AN2511" s="53" t="n">
        <v>0</v>
      </c>
      <c r="AO2511" s="53" t="n">
        <v>0</v>
      </c>
      <c r="AP2511" s="53" t="n">
        <v>0</v>
      </c>
      <c r="AQ2511" s="52" t="n">
        <v>0</v>
      </c>
      <c r="AR2511" s="52" t="n">
        <v>0</v>
      </c>
      <c r="AS2511" s="52" t="n">
        <v>0</v>
      </c>
      <c r="AT2511" s="52" t="n">
        <v>0</v>
      </c>
      <c r="AU2511" s="53" t="n">
        <v>0</v>
      </c>
      <c r="AV2511" s="53" t="n">
        <v>0</v>
      </c>
      <c r="AW2511" s="53" t="n">
        <v>0</v>
      </c>
      <c r="AX2511" s="53" t="n">
        <v>0</v>
      </c>
      <c r="AY2511" s="52" t="n">
        <v>0</v>
      </c>
      <c r="AZ2511" s="52" t="n">
        <v>20.99</v>
      </c>
      <c r="BA2511" s="52" t="n">
        <v>0</v>
      </c>
      <c r="BB2511" s="52" t="n">
        <v>0</v>
      </c>
      <c r="BC2511" s="51" t="n">
        <v>0</v>
      </c>
      <c r="BD2511" s="51" t="n">
        <v>0</v>
      </c>
      <c r="BE2511" s="51" t="n">
        <v>0</v>
      </c>
      <c r="BF2511" s="51" t="n">
        <v>0</v>
      </c>
    </row>
    <row r="2512">
      <c r="A2512">
        <f>HYPERLINK("https://www.walmart.com/ip/189157660", "189157660")</f>
        <v/>
      </c>
      <c r="B2512" t="inlineStr">
        <is>
          <t>JenniWears® Women's Stretch Mesh Bikini Panty with Open Back Heart Detail</t>
        </is>
      </c>
      <c r="C2512" t="inlineStr">
        <is>
          <t>JWPT02PK-2XL</t>
        </is>
      </c>
      <c r="D2512" t="inlineStr">
        <is>
          <t>Panties</t>
        </is>
      </c>
      <c r="E2512" t="inlineStr">
        <is>
          <t>JenniWears</t>
        </is>
      </c>
      <c r="F2512" t="inlineStr">
        <is>
          <t>Valentine</t>
        </is>
      </c>
      <c r="G2512" s="48" t="n">
        <v>0</v>
      </c>
      <c r="H2512" s="48" t="n">
        <v>0</v>
      </c>
      <c r="I2512" s="48" t="n">
        <v>0</v>
      </c>
      <c r="J2512" s="48" t="n">
        <v>0</v>
      </c>
      <c r="K2512" s="49" t="n">
        <v>0</v>
      </c>
      <c r="L2512" s="49" t="n">
        <v>0</v>
      </c>
      <c r="M2512" s="49" t="n">
        <v>0</v>
      </c>
      <c r="N2512" s="49" t="n">
        <v>0</v>
      </c>
      <c r="O2512" s="49" t="n">
        <v>0</v>
      </c>
      <c r="P2512" s="49" t="n">
        <v>0</v>
      </c>
      <c r="Q2512" s="49" t="n">
        <v>0</v>
      </c>
      <c r="R2512" s="49" t="n">
        <v>0</v>
      </c>
      <c r="S2512" s="50" t="n">
        <v>0</v>
      </c>
      <c r="T2512" s="50" t="n">
        <v>0</v>
      </c>
      <c r="U2512" s="50" t="n">
        <v>0</v>
      </c>
      <c r="V2512" s="50" t="n">
        <v>0</v>
      </c>
      <c r="W2512" s="51" t="n">
        <v>0</v>
      </c>
      <c r="X2512" s="51" t="n">
        <v>0</v>
      </c>
      <c r="Y2512" s="51" t="n">
        <v>0</v>
      </c>
      <c r="Z2512" s="51" t="n">
        <v>0</v>
      </c>
      <c r="AA2512" s="52" t="n">
        <v>0</v>
      </c>
      <c r="AB2512" s="52" t="n">
        <v>0</v>
      </c>
      <c r="AC2512" s="52" t="n">
        <v>0</v>
      </c>
      <c r="AD2512" s="52" t="n">
        <v>0</v>
      </c>
      <c r="AE2512" s="52" t="n">
        <v>0</v>
      </c>
      <c r="AF2512" s="52" t="n">
        <v>0</v>
      </c>
      <c r="AG2512" s="52" t="n">
        <v>0</v>
      </c>
      <c r="AH2512" s="52" t="n">
        <v>0</v>
      </c>
      <c r="AI2512" s="52" t="n">
        <v>0</v>
      </c>
      <c r="AJ2512" s="52" t="n">
        <v>0</v>
      </c>
      <c r="AK2512" s="52" t="n">
        <v>0</v>
      </c>
      <c r="AL2512" s="52" t="n">
        <v>0</v>
      </c>
      <c r="AM2512" s="53" t="n">
        <v>0</v>
      </c>
      <c r="AN2512" s="53" t="n">
        <v>0</v>
      </c>
      <c r="AO2512" s="53" t="n">
        <v>0</v>
      </c>
      <c r="AP2512" s="53" t="n">
        <v>0</v>
      </c>
      <c r="AQ2512" s="52" t="n">
        <v>0</v>
      </c>
      <c r="AR2512" s="52" t="n">
        <v>0</v>
      </c>
      <c r="AS2512" s="52" t="n">
        <v>0</v>
      </c>
      <c r="AT2512" s="52" t="n">
        <v>0</v>
      </c>
      <c r="AU2512" s="53" t="n">
        <v>0</v>
      </c>
      <c r="AV2512" s="53" t="n">
        <v>0</v>
      </c>
      <c r="AW2512" s="53" t="n">
        <v>0</v>
      </c>
      <c r="AX2512" s="53" t="n">
        <v>0</v>
      </c>
      <c r="AY2512" s="52" t="n">
        <v>0</v>
      </c>
      <c r="AZ2512" s="52" t="n">
        <v>0</v>
      </c>
      <c r="BA2512" s="52" t="n">
        <v>0</v>
      </c>
      <c r="BB2512" s="52" t="n">
        <v>0</v>
      </c>
      <c r="BC2512" s="51" t="n">
        <v>0</v>
      </c>
      <c r="BD2512" s="51" t="n">
        <v>0</v>
      </c>
      <c r="BE2512" s="51" t="n">
        <v>0</v>
      </c>
      <c r="BF2512" s="51" t="n">
        <v>0</v>
      </c>
    </row>
    <row r="2513">
      <c r="A2513">
        <f>HYPERLINK("https://www.walmart.com/ip/14531901789", "14531901789")</f>
        <v/>
      </c>
      <c r="B2513" t="inlineStr">
        <is>
          <t>Solaris Open Crotch Boyshort Panties Underwear Black Lace Lingerie Thong for Women with Ribbons Removable Garters 2XL</t>
        </is>
      </c>
      <c r="C2513" t="inlineStr">
        <is>
          <t>CCPT100BK-2XL-FS</t>
        </is>
      </c>
      <c r="D2513" t="inlineStr">
        <is>
          <t>Panties</t>
        </is>
      </c>
      <c r="E2513" t="inlineStr">
        <is>
          <t>Solaris</t>
        </is>
      </c>
      <c r="G2513" s="48" t="n">
        <v>-7.99</v>
      </c>
      <c r="H2513" s="48" t="n">
        <v>7.99</v>
      </c>
      <c r="I2513" s="48" t="n">
        <v>0</v>
      </c>
      <c r="J2513" s="48" t="n">
        <v>0</v>
      </c>
      <c r="K2513" s="49" t="n">
        <v>-1</v>
      </c>
      <c r="L2513" s="49" t="n">
        <v>1</v>
      </c>
      <c r="M2513" s="49" t="n">
        <v>0</v>
      </c>
      <c r="N2513" s="49" t="n">
        <v>0</v>
      </c>
      <c r="O2513" s="49" t="n">
        <v>0</v>
      </c>
      <c r="P2513" s="49" t="n">
        <v>0</v>
      </c>
      <c r="Q2513" s="49" t="n">
        <v>0</v>
      </c>
      <c r="R2513" s="49" t="n">
        <v>0</v>
      </c>
      <c r="S2513" s="50" t="n">
        <v>0</v>
      </c>
      <c r="T2513" s="50" t="n">
        <v>0</v>
      </c>
      <c r="U2513" s="50" t="n">
        <v>0</v>
      </c>
      <c r="V2513" s="50" t="n">
        <v>0</v>
      </c>
      <c r="W2513" s="51" t="n">
        <v>0</v>
      </c>
      <c r="X2513" s="51" t="n">
        <v>0</v>
      </c>
      <c r="Y2513" s="51" t="n">
        <v>0</v>
      </c>
      <c r="Z2513" s="51" t="n">
        <v>0</v>
      </c>
      <c r="AA2513" s="52" t="n">
        <v>0</v>
      </c>
      <c r="AB2513" s="52" t="n">
        <v>0</v>
      </c>
      <c r="AC2513" s="52" t="n">
        <v>0</v>
      </c>
      <c r="AD2513" s="52" t="n">
        <v>0</v>
      </c>
      <c r="AE2513" s="52" t="n">
        <v>0</v>
      </c>
      <c r="AF2513" s="52" t="n">
        <v>0</v>
      </c>
      <c r="AG2513" s="52" t="n">
        <v>0</v>
      </c>
      <c r="AH2513" s="52" t="n">
        <v>0</v>
      </c>
      <c r="AI2513" s="52" t="n">
        <v>0</v>
      </c>
      <c r="AJ2513" s="52" t="n">
        <v>0</v>
      </c>
      <c r="AK2513" s="52" t="n">
        <v>0</v>
      </c>
      <c r="AL2513" s="52" t="n">
        <v>0</v>
      </c>
      <c r="AM2513" s="53" t="n">
        <v>0</v>
      </c>
      <c r="AN2513" s="53" t="n">
        <v>0</v>
      </c>
      <c r="AO2513" s="53" t="n">
        <v>0</v>
      </c>
      <c r="AP2513" s="53" t="n">
        <v>0</v>
      </c>
      <c r="AQ2513" s="52" t="n">
        <v>0</v>
      </c>
      <c r="AR2513" s="52" t="n">
        <v>0</v>
      </c>
      <c r="AS2513" s="52" t="n">
        <v>0</v>
      </c>
      <c r="AT2513" s="52" t="n">
        <v>0</v>
      </c>
      <c r="AU2513" s="53" t="n">
        <v>0</v>
      </c>
      <c r="AV2513" s="53" t="n">
        <v>0</v>
      </c>
      <c r="AW2513" s="53" t="n">
        <v>0</v>
      </c>
      <c r="AX2513" s="53" t="n">
        <v>0</v>
      </c>
      <c r="AY2513" s="52" t="n">
        <v>0</v>
      </c>
      <c r="AZ2513" s="52" t="n">
        <v>7.99</v>
      </c>
      <c r="BA2513" s="52" t="n">
        <v>0</v>
      </c>
      <c r="BB2513" s="52" t="n">
        <v>0</v>
      </c>
      <c r="BC2513" s="51" t="n">
        <v>0</v>
      </c>
      <c r="BD2513" s="51" t="n">
        <v>0</v>
      </c>
      <c r="BE2513" s="51" t="n">
        <v>0</v>
      </c>
      <c r="BF2513" s="51" t="n">
        <v>0</v>
      </c>
    </row>
    <row r="2514">
      <c r="A2514">
        <f>HYPERLINK("https://www.walmart.com/ip/949073877", "949073877")</f>
        <v/>
      </c>
      <c r="B2514" t="inlineStr">
        <is>
          <t>Tirrinia Outdoor Wide Brim Sun Hats Blocking UV Protection Cap UPF 50+ Foldable Mesh Net for Finishing, Hiking, Camping</t>
        </is>
      </c>
      <c r="C2514" t="inlineStr">
        <is>
          <t>1TRSH911OL-TBCB</t>
        </is>
      </c>
      <c r="D2514" t="inlineStr">
        <is>
          <t>Hats</t>
        </is>
      </c>
      <c r="E2514" t="inlineStr">
        <is>
          <t>Tirrinia</t>
        </is>
      </c>
      <c r="F2514" t="inlineStr">
        <is>
          <t>Hats</t>
        </is>
      </c>
      <c r="G2514" s="48" t="n">
        <v>-17.99</v>
      </c>
      <c r="H2514" s="48" t="n">
        <v>17.99</v>
      </c>
      <c r="I2514" s="48" t="n">
        <v>17.99</v>
      </c>
      <c r="J2514" s="48" t="n">
        <v>0</v>
      </c>
      <c r="K2514" s="49" t="n">
        <v>-1</v>
      </c>
      <c r="L2514" s="49" t="n">
        <v>1</v>
      </c>
      <c r="M2514" s="49" t="n">
        <v>1</v>
      </c>
      <c r="N2514" s="49" t="n">
        <v>0</v>
      </c>
      <c r="O2514" s="49" t="n">
        <v>0</v>
      </c>
      <c r="P2514" s="49" t="n">
        <v>0</v>
      </c>
      <c r="Q2514" s="49" t="n">
        <v>0</v>
      </c>
      <c r="R2514" s="49" t="n">
        <v>0</v>
      </c>
      <c r="S2514" s="50" t="n">
        <v>0</v>
      </c>
      <c r="T2514" s="50" t="n">
        <v>0</v>
      </c>
      <c r="U2514" s="50" t="n">
        <v>0</v>
      </c>
      <c r="V2514" s="50" t="n">
        <v>0</v>
      </c>
      <c r="W2514" s="51" t="n">
        <v>0</v>
      </c>
      <c r="X2514" s="51" t="n">
        <v>0</v>
      </c>
      <c r="Y2514" s="51" t="n">
        <v>0</v>
      </c>
      <c r="Z2514" s="51" t="n">
        <v>0</v>
      </c>
      <c r="AA2514" s="52" t="n">
        <v>0</v>
      </c>
      <c r="AB2514" s="52" t="n">
        <v>0</v>
      </c>
      <c r="AC2514" s="52" t="n">
        <v>0</v>
      </c>
      <c r="AD2514" s="52" t="n">
        <v>0</v>
      </c>
      <c r="AE2514" s="52" t="n">
        <v>0</v>
      </c>
      <c r="AF2514" s="52" t="n">
        <v>0</v>
      </c>
      <c r="AG2514" s="52" t="n">
        <v>0</v>
      </c>
      <c r="AH2514" s="52" t="n">
        <v>0</v>
      </c>
      <c r="AI2514" s="52" t="n">
        <v>0</v>
      </c>
      <c r="AJ2514" s="52" t="n">
        <v>0</v>
      </c>
      <c r="AK2514" s="52" t="n">
        <v>0</v>
      </c>
      <c r="AL2514" s="52" t="n">
        <v>0</v>
      </c>
      <c r="AM2514" s="53" t="n">
        <v>0</v>
      </c>
      <c r="AN2514" s="53" t="n">
        <v>0</v>
      </c>
      <c r="AO2514" s="53" t="n">
        <v>0</v>
      </c>
      <c r="AP2514" s="53" t="n">
        <v>0</v>
      </c>
      <c r="AQ2514" s="52" t="n">
        <v>0</v>
      </c>
      <c r="AR2514" s="52" t="n">
        <v>0</v>
      </c>
      <c r="AS2514" s="52" t="n">
        <v>0</v>
      </c>
      <c r="AT2514" s="52" t="n">
        <v>0</v>
      </c>
      <c r="AU2514" s="53" t="n">
        <v>0</v>
      </c>
      <c r="AV2514" s="53" t="n">
        <v>0</v>
      </c>
      <c r="AW2514" s="53" t="n">
        <v>0</v>
      </c>
      <c r="AX2514" s="53" t="n">
        <v>0</v>
      </c>
      <c r="AY2514" s="52" t="n">
        <v>0</v>
      </c>
      <c r="AZ2514" s="52" t="n">
        <v>17.99</v>
      </c>
      <c r="BA2514" s="52" t="n">
        <v>17.99</v>
      </c>
      <c r="BB2514" s="52" t="n">
        <v>0</v>
      </c>
      <c r="BC2514" s="51" t="n">
        <v>0</v>
      </c>
      <c r="BD2514" s="51" t="n">
        <v>0</v>
      </c>
      <c r="BE2514" s="51" t="n">
        <v>0</v>
      </c>
      <c r="BF2514" s="51" t="n">
        <v>0</v>
      </c>
    </row>
    <row r="2515">
      <c r="A2515">
        <f>HYPERLINK("https://www.walmart.com/ip/270579221", "270579221")</f>
        <v/>
      </c>
      <c r="B2515" t="inlineStr">
        <is>
          <t>Tirrinia Sun Hat with Adjustable Drawstring for Women, Large Wide Brim Hat for Outdoor Fishing Hiking Hunting Boating Desert Hawaiian, Tan</t>
        </is>
      </c>
      <c r="C2515" t="inlineStr">
        <is>
          <t>1TRSH911TN-TBCB</t>
        </is>
      </c>
      <c r="D2515" t="inlineStr">
        <is>
          <t>Hats</t>
        </is>
      </c>
      <c r="E2515" t="inlineStr">
        <is>
          <t>Tirrinia</t>
        </is>
      </c>
      <c r="F2515" t="inlineStr">
        <is>
          <t>Q2-Target,Hats</t>
        </is>
      </c>
      <c r="G2515" s="48" t="n">
        <v>-17.99</v>
      </c>
      <c r="H2515" s="48" t="n">
        <v>0</v>
      </c>
      <c r="I2515" s="48" t="n">
        <v>17.99</v>
      </c>
      <c r="J2515" s="48" t="n">
        <v>0</v>
      </c>
      <c r="K2515" s="49" t="n">
        <v>-1</v>
      </c>
      <c r="L2515" s="49" t="n">
        <v>0</v>
      </c>
      <c r="M2515" s="49" t="n">
        <v>1</v>
      </c>
      <c r="N2515" s="49" t="n">
        <v>0</v>
      </c>
      <c r="O2515" s="49" t="n">
        <v>0</v>
      </c>
      <c r="P2515" s="49" t="n">
        <v>0</v>
      </c>
      <c r="Q2515" s="49" t="n">
        <v>0</v>
      </c>
      <c r="R2515" s="49" t="n">
        <v>0</v>
      </c>
      <c r="S2515" s="50" t="n">
        <v>0</v>
      </c>
      <c r="T2515" s="50" t="n">
        <v>0</v>
      </c>
      <c r="U2515" s="50" t="n">
        <v>0</v>
      </c>
      <c r="V2515" s="50" t="n">
        <v>0</v>
      </c>
      <c r="W2515" s="51" t="n">
        <v>0</v>
      </c>
      <c r="X2515" s="51" t="n">
        <v>0</v>
      </c>
      <c r="Y2515" s="51" t="n">
        <v>0</v>
      </c>
      <c r="Z2515" s="51" t="n">
        <v>0</v>
      </c>
      <c r="AA2515" s="52" t="n">
        <v>0</v>
      </c>
      <c r="AB2515" s="52" t="n">
        <v>0</v>
      </c>
      <c r="AC2515" s="52" t="n">
        <v>0</v>
      </c>
      <c r="AD2515" s="52" t="n">
        <v>0</v>
      </c>
      <c r="AE2515" s="52" t="n">
        <v>0</v>
      </c>
      <c r="AF2515" s="52" t="n">
        <v>0</v>
      </c>
      <c r="AG2515" s="52" t="n">
        <v>0</v>
      </c>
      <c r="AH2515" s="52" t="n">
        <v>0</v>
      </c>
      <c r="AI2515" s="52" t="n">
        <v>0</v>
      </c>
      <c r="AJ2515" s="52" t="n">
        <v>0</v>
      </c>
      <c r="AK2515" s="52" t="n">
        <v>0</v>
      </c>
      <c r="AL2515" s="52" t="n">
        <v>0</v>
      </c>
      <c r="AM2515" s="53" t="n">
        <v>0</v>
      </c>
      <c r="AN2515" s="53" t="n">
        <v>0</v>
      </c>
      <c r="AO2515" s="53" t="n">
        <v>0</v>
      </c>
      <c r="AP2515" s="53" t="n">
        <v>0</v>
      </c>
      <c r="AQ2515" s="52" t="n">
        <v>0</v>
      </c>
      <c r="AR2515" s="52" t="n">
        <v>0</v>
      </c>
      <c r="AS2515" s="52" t="n">
        <v>0</v>
      </c>
      <c r="AT2515" s="52" t="n">
        <v>0</v>
      </c>
      <c r="AU2515" s="53" t="n">
        <v>0</v>
      </c>
      <c r="AV2515" s="53" t="n">
        <v>0</v>
      </c>
      <c r="AW2515" s="53" t="n">
        <v>0</v>
      </c>
      <c r="AX2515" s="53" t="n">
        <v>0</v>
      </c>
      <c r="AY2515" s="52" t="n">
        <v>0</v>
      </c>
      <c r="AZ2515" s="52" t="n">
        <v>0</v>
      </c>
      <c r="BA2515" s="52" t="n">
        <v>17.99</v>
      </c>
      <c r="BB2515" s="52" t="n">
        <v>0</v>
      </c>
      <c r="BC2515" s="51" t="n">
        <v>0</v>
      </c>
      <c r="BD2515" s="51" t="n">
        <v>0</v>
      </c>
      <c r="BE2515" s="51" t="n">
        <v>0</v>
      </c>
      <c r="BF2515" s="51" t="n">
        <v>0</v>
      </c>
    </row>
    <row r="2516">
      <c r="A2516">
        <f>HYPERLINK("https://www.walmart.com/ip/10290901202", "10290901202")</f>
        <v/>
      </c>
      <c r="B2516" t="inlineStr">
        <is>
          <t>Wrangler Men’s Full Grain Genuine Leather 35mm Thick Casual Belt for Jeans, Pants - Brown, 32</t>
        </is>
      </c>
      <c r="C2516" t="inlineStr">
        <is>
          <t>WR-BELT-MENS-35MM-BROWN-32</t>
        </is>
      </c>
      <c r="D2516" t="inlineStr">
        <is>
          <t>Belts</t>
        </is>
      </c>
      <c r="E2516" t="inlineStr">
        <is>
          <t>Wrangler</t>
        </is>
      </c>
      <c r="F2516" t="inlineStr">
        <is>
          <t>Belts</t>
        </is>
      </c>
      <c r="G2516" s="48" t="n">
        <v>-19.99</v>
      </c>
      <c r="H2516" s="48" t="n">
        <v>0</v>
      </c>
      <c r="I2516" s="48" t="n">
        <v>0</v>
      </c>
      <c r="J2516" s="48" t="n">
        <v>19.99</v>
      </c>
      <c r="K2516" s="49" t="n">
        <v>-1</v>
      </c>
      <c r="L2516" s="49" t="n">
        <v>0</v>
      </c>
      <c r="M2516" s="49" t="n">
        <v>0</v>
      </c>
      <c r="N2516" s="49" t="n">
        <v>1</v>
      </c>
      <c r="O2516" s="49" t="n">
        <v>0</v>
      </c>
      <c r="P2516" s="49" t="n">
        <v>0</v>
      </c>
      <c r="Q2516" s="49" t="n">
        <v>0</v>
      </c>
      <c r="R2516" s="49" t="n">
        <v>4</v>
      </c>
      <c r="S2516" s="50" t="n">
        <v>0</v>
      </c>
      <c r="T2516" s="50" t="n">
        <v>0</v>
      </c>
      <c r="U2516" s="50" t="n">
        <v>0</v>
      </c>
      <c r="V2516" s="50" t="n">
        <v>0.25</v>
      </c>
      <c r="W2516" s="51" t="n">
        <v>0</v>
      </c>
      <c r="X2516" s="51" t="n">
        <v>0</v>
      </c>
      <c r="Y2516" s="51" t="n">
        <v>0</v>
      </c>
      <c r="Z2516" s="51" t="n">
        <v>0</v>
      </c>
      <c r="AA2516" s="52" t="n">
        <v>0</v>
      </c>
      <c r="AB2516" s="52" t="n">
        <v>0</v>
      </c>
      <c r="AC2516" s="52" t="n">
        <v>0</v>
      </c>
      <c r="AD2516" s="52" t="n">
        <v>0</v>
      </c>
      <c r="AE2516" s="52" t="n">
        <v>0</v>
      </c>
      <c r="AF2516" s="52" t="n">
        <v>0</v>
      </c>
      <c r="AG2516" s="52" t="n">
        <v>0</v>
      </c>
      <c r="AH2516" s="52" t="n">
        <v>0</v>
      </c>
      <c r="AI2516" s="52" t="n">
        <v>0</v>
      </c>
      <c r="AJ2516" s="52" t="n">
        <v>0</v>
      </c>
      <c r="AK2516" s="52" t="n">
        <v>0</v>
      </c>
      <c r="AL2516" s="52" t="n">
        <v>0</v>
      </c>
      <c r="AM2516" s="53" t="n">
        <v>0</v>
      </c>
      <c r="AN2516" s="53" t="n">
        <v>0</v>
      </c>
      <c r="AO2516" s="53" t="n">
        <v>0</v>
      </c>
      <c r="AP2516" s="53" t="n">
        <v>0</v>
      </c>
      <c r="AQ2516" s="52" t="n">
        <v>0</v>
      </c>
      <c r="AR2516" s="52" t="n">
        <v>0</v>
      </c>
      <c r="AS2516" s="52" t="n">
        <v>0</v>
      </c>
      <c r="AT2516" s="52" t="n">
        <v>0</v>
      </c>
      <c r="AU2516" s="53" t="n">
        <v>0</v>
      </c>
      <c r="AV2516" s="53" t="n">
        <v>0</v>
      </c>
      <c r="AW2516" s="53" t="n">
        <v>0</v>
      </c>
      <c r="AX2516" s="53" t="n">
        <v>0</v>
      </c>
      <c r="AY2516" s="52" t="n">
        <v>0</v>
      </c>
      <c r="AZ2516" s="52" t="n">
        <v>0</v>
      </c>
      <c r="BA2516" s="52" t="n">
        <v>0</v>
      </c>
      <c r="BB2516" s="52" t="n">
        <v>19.99</v>
      </c>
      <c r="BC2516" s="51" t="n">
        <v>0</v>
      </c>
      <c r="BD2516" s="51" t="n">
        <v>0</v>
      </c>
      <c r="BE2516" s="51" t="n">
        <v>0</v>
      </c>
      <c r="BF2516" s="51" t="n">
        <v>0</v>
      </c>
    </row>
    <row r="2517">
      <c r="A2517">
        <f>HYPERLINK("https://www.walmart.com/ip/10305512889", "10305512889")</f>
        <v/>
      </c>
      <c r="B2517" t="inlineStr">
        <is>
          <t>Wrangler Men’s Leather Country Casual Every Day Dress Belt for Jeans, Khakis Black 42</t>
        </is>
      </c>
      <c r="C2517" t="inlineStr">
        <is>
          <t>WR-BELT-MENS-COUNTRY-BLACK-42</t>
        </is>
      </c>
      <c r="D2517" t="inlineStr">
        <is>
          <t>Belts</t>
        </is>
      </c>
      <c r="E2517" t="inlineStr">
        <is>
          <t>Wrangler</t>
        </is>
      </c>
      <c r="F2517" t="inlineStr">
        <is>
          <t>Belts</t>
        </is>
      </c>
      <c r="G2517" s="48" t="n">
        <v>-19.99</v>
      </c>
      <c r="H2517" s="48" t="n">
        <v>0</v>
      </c>
      <c r="I2517" s="48" t="n">
        <v>0</v>
      </c>
      <c r="J2517" s="48" t="n">
        <v>39.98</v>
      </c>
      <c r="K2517" s="49" t="n">
        <v>-1</v>
      </c>
      <c r="L2517" s="49" t="n">
        <v>0</v>
      </c>
      <c r="M2517" s="49" t="n">
        <v>0</v>
      </c>
      <c r="N2517" s="49" t="n">
        <v>2</v>
      </c>
      <c r="O2517" s="49" t="n">
        <v>0</v>
      </c>
      <c r="P2517" s="49" t="n">
        <v>0</v>
      </c>
      <c r="Q2517" s="49" t="n">
        <v>0</v>
      </c>
      <c r="R2517" s="49" t="n">
        <v>0</v>
      </c>
      <c r="S2517" s="50" t="n">
        <v>0</v>
      </c>
      <c r="T2517" s="50" t="n">
        <v>0</v>
      </c>
      <c r="U2517" s="50" t="n">
        <v>0</v>
      </c>
      <c r="V2517" s="50" t="n">
        <v>0</v>
      </c>
      <c r="W2517" s="51" t="n">
        <v>0</v>
      </c>
      <c r="X2517" s="51" t="n">
        <v>0</v>
      </c>
      <c r="Y2517" s="51" t="n">
        <v>0</v>
      </c>
      <c r="Z2517" s="51" t="n">
        <v>0</v>
      </c>
      <c r="AA2517" s="52" t="n">
        <v>0</v>
      </c>
      <c r="AB2517" s="52" t="n">
        <v>0</v>
      </c>
      <c r="AC2517" s="52" t="n">
        <v>0</v>
      </c>
      <c r="AD2517" s="52" t="n">
        <v>0</v>
      </c>
      <c r="AE2517" s="52" t="n">
        <v>0</v>
      </c>
      <c r="AF2517" s="52" t="n">
        <v>0</v>
      </c>
      <c r="AG2517" s="52" t="n">
        <v>0</v>
      </c>
      <c r="AH2517" s="52" t="n">
        <v>0</v>
      </c>
      <c r="AI2517" s="52" t="n">
        <v>0</v>
      </c>
      <c r="AJ2517" s="52" t="n">
        <v>0</v>
      </c>
      <c r="AK2517" s="52" t="n">
        <v>0</v>
      </c>
      <c r="AL2517" s="52" t="n">
        <v>0</v>
      </c>
      <c r="AM2517" s="53" t="n">
        <v>0</v>
      </c>
      <c r="AN2517" s="53" t="n">
        <v>0</v>
      </c>
      <c r="AO2517" s="53" t="n">
        <v>0</v>
      </c>
      <c r="AP2517" s="53" t="n">
        <v>0</v>
      </c>
      <c r="AQ2517" s="52" t="n">
        <v>0</v>
      </c>
      <c r="AR2517" s="52" t="n">
        <v>0</v>
      </c>
      <c r="AS2517" s="52" t="n">
        <v>0</v>
      </c>
      <c r="AT2517" s="52" t="n">
        <v>0</v>
      </c>
      <c r="AU2517" s="53" t="n">
        <v>0</v>
      </c>
      <c r="AV2517" s="53" t="n">
        <v>0</v>
      </c>
      <c r="AW2517" s="53" t="n">
        <v>0</v>
      </c>
      <c r="AX2517" s="53" t="n">
        <v>0</v>
      </c>
      <c r="AY2517" s="52" t="n">
        <v>0</v>
      </c>
      <c r="AZ2517" s="52" t="n">
        <v>0</v>
      </c>
      <c r="BA2517" s="52" t="n">
        <v>0</v>
      </c>
      <c r="BB2517" s="52" t="n">
        <v>19.99</v>
      </c>
      <c r="BC2517" s="51" t="n">
        <v>0</v>
      </c>
      <c r="BD2517" s="51" t="n">
        <v>0</v>
      </c>
      <c r="BE2517" s="51" t="n">
        <v>0</v>
      </c>
      <c r="BF2517" s="51" t="n">
        <v>0</v>
      </c>
    </row>
    <row r="2518">
      <c r="A2518">
        <f>HYPERLINK("https://www.walmart.com/ip/545745830", "545745830")</f>
        <v/>
      </c>
      <c r="B2518" t="inlineStr">
        <is>
          <t>Solaris Women's Large Wide Brim Hat, UV Protection Sun Hat for Fishing, Gardening, Camping and Hiking, One Size, Green</t>
        </is>
      </c>
      <c r="C2518" t="inlineStr">
        <is>
          <t>1SLSH911-GN</t>
        </is>
      </c>
      <c r="D2518" t="inlineStr">
        <is>
          <t>Hats</t>
        </is>
      </c>
      <c r="E2518" t="inlineStr">
        <is>
          <t>Solaris</t>
        </is>
      </c>
      <c r="F2518" t="inlineStr">
        <is>
          <t>Q2-Target,Optimized,WFS,Hats,WFS Item</t>
        </is>
      </c>
      <c r="G2518" s="48" t="n">
        <v>-26.98</v>
      </c>
      <c r="H2518" s="48" t="n">
        <v>0</v>
      </c>
      <c r="I2518" s="48" t="n">
        <v>0</v>
      </c>
      <c r="J2518" s="48" t="n">
        <v>0</v>
      </c>
      <c r="K2518" s="49" t="n">
        <v>-1</v>
      </c>
      <c r="L2518" s="49" t="n">
        <v>0</v>
      </c>
      <c r="M2518" s="49" t="n">
        <v>0</v>
      </c>
      <c r="N2518" s="49" t="n">
        <v>0</v>
      </c>
      <c r="O2518" s="49" t="n">
        <v>0</v>
      </c>
      <c r="P2518" s="49" t="n">
        <v>0</v>
      </c>
      <c r="Q2518" s="49" t="n">
        <v>0</v>
      </c>
      <c r="R2518" s="49" t="n">
        <v>0</v>
      </c>
      <c r="S2518" s="50" t="n">
        <v>0</v>
      </c>
      <c r="T2518" s="50" t="n">
        <v>0</v>
      </c>
      <c r="U2518" s="50" t="n">
        <v>0</v>
      </c>
      <c r="V2518" s="50" t="n">
        <v>0</v>
      </c>
      <c r="W2518" s="51" t="n">
        <v>0</v>
      </c>
      <c r="X2518" s="51" t="n">
        <v>0</v>
      </c>
      <c r="Y2518" s="51" t="n">
        <v>0</v>
      </c>
      <c r="Z2518" s="51" t="n">
        <v>0</v>
      </c>
      <c r="AA2518" s="52" t="n">
        <v>0</v>
      </c>
      <c r="AB2518" s="52" t="n">
        <v>0</v>
      </c>
      <c r="AC2518" s="52" t="n">
        <v>0</v>
      </c>
      <c r="AD2518" s="52" t="n">
        <v>0</v>
      </c>
      <c r="AE2518" s="52" t="n">
        <v>0</v>
      </c>
      <c r="AF2518" s="52" t="n">
        <v>0</v>
      </c>
      <c r="AG2518" s="52" t="n">
        <v>0</v>
      </c>
      <c r="AH2518" s="52" t="n">
        <v>0</v>
      </c>
      <c r="AI2518" s="52" t="n">
        <v>0</v>
      </c>
      <c r="AJ2518" s="52" t="n">
        <v>0</v>
      </c>
      <c r="AK2518" s="52" t="n">
        <v>0</v>
      </c>
      <c r="AL2518" s="52" t="n">
        <v>0</v>
      </c>
      <c r="AM2518" s="53" t="n">
        <v>0</v>
      </c>
      <c r="AN2518" s="53" t="n">
        <v>0</v>
      </c>
      <c r="AO2518" s="53" t="n">
        <v>0</v>
      </c>
      <c r="AP2518" s="53" t="n">
        <v>0</v>
      </c>
      <c r="AQ2518" s="52" t="n">
        <v>0</v>
      </c>
      <c r="AR2518" s="52" t="n">
        <v>0</v>
      </c>
      <c r="AS2518" s="52" t="n">
        <v>0</v>
      </c>
      <c r="AT2518" s="52" t="n">
        <v>0</v>
      </c>
      <c r="AU2518" s="53" t="n">
        <v>0</v>
      </c>
      <c r="AV2518" s="53" t="n">
        <v>0</v>
      </c>
      <c r="AW2518" s="53" t="n">
        <v>0</v>
      </c>
      <c r="AX2518" s="53" t="n">
        <v>0</v>
      </c>
      <c r="AY2518" s="52" t="n">
        <v>0</v>
      </c>
      <c r="AZ2518" s="52" t="n">
        <v>0</v>
      </c>
      <c r="BA2518" s="52" t="n">
        <v>0</v>
      </c>
      <c r="BB2518" s="52" t="n">
        <v>0</v>
      </c>
      <c r="BC2518" s="51" t="n">
        <v>0</v>
      </c>
      <c r="BD2518" s="51" t="n">
        <v>0</v>
      </c>
      <c r="BE2518" s="51" t="n">
        <v>0</v>
      </c>
      <c r="BF2518" s="51" t="n">
        <v>0</v>
      </c>
    </row>
    <row r="2519">
      <c r="A2519">
        <f>HYPERLINK("https://www.walmart.com/ip/9505771386", "9505771386")</f>
        <v/>
      </c>
      <c r="B2519" t="inlineStr">
        <is>
          <t>Wrangler Yellowstone Sturdy Laptop Backpack for Travel, Hiking Backpack with Classic Logo, Water Resistant Casual Daypack, Padded Sleeve College Backpack for Notebook, Black Corduroy</t>
        </is>
      </c>
      <c r="C2519" t="inlineStr">
        <is>
          <t>WR-BACKPACK-16273-BLKCORD</t>
        </is>
      </c>
      <c r="D2519" t="inlineStr">
        <is>
          <t>Laptop Bags</t>
        </is>
      </c>
      <c r="E2519" t="inlineStr">
        <is>
          <t>Wrangler</t>
        </is>
      </c>
      <c r="F2519" t="inlineStr">
        <is>
          <t>Backpack</t>
        </is>
      </c>
      <c r="G2519" s="48" t="n">
        <v>-34.99</v>
      </c>
      <c r="H2519" s="48" t="n">
        <v>34.99</v>
      </c>
      <c r="I2519" s="48" t="n">
        <v>0</v>
      </c>
      <c r="J2519" s="48" t="n">
        <v>0</v>
      </c>
      <c r="K2519" s="49" t="n">
        <v>-1</v>
      </c>
      <c r="L2519" s="49" t="n">
        <v>1</v>
      </c>
      <c r="M2519" s="49" t="n">
        <v>0</v>
      </c>
      <c r="N2519" s="49" t="n">
        <v>0</v>
      </c>
      <c r="O2519" s="49" t="n">
        <v>0</v>
      </c>
      <c r="P2519" s="49" t="n">
        <v>0</v>
      </c>
      <c r="Q2519" s="49" t="n">
        <v>0</v>
      </c>
      <c r="R2519" s="49" t="n">
        <v>0</v>
      </c>
      <c r="S2519" s="50" t="n">
        <v>0</v>
      </c>
      <c r="T2519" s="50" t="n">
        <v>0</v>
      </c>
      <c r="U2519" s="50" t="n">
        <v>0</v>
      </c>
      <c r="V2519" s="50" t="n">
        <v>0</v>
      </c>
      <c r="W2519" s="51" t="n">
        <v>0</v>
      </c>
      <c r="X2519" s="51" t="n">
        <v>0</v>
      </c>
      <c r="Y2519" s="51" t="n">
        <v>0</v>
      </c>
      <c r="Z2519" s="51" t="n">
        <v>0</v>
      </c>
      <c r="AA2519" s="52" t="n">
        <v>0</v>
      </c>
      <c r="AB2519" s="52" t="n">
        <v>0</v>
      </c>
      <c r="AC2519" s="52" t="n">
        <v>0</v>
      </c>
      <c r="AD2519" s="52" t="n">
        <v>0</v>
      </c>
      <c r="AE2519" s="52" t="n">
        <v>0</v>
      </c>
      <c r="AF2519" s="52" t="n">
        <v>0</v>
      </c>
      <c r="AG2519" s="52" t="n">
        <v>0</v>
      </c>
      <c r="AH2519" s="52" t="n">
        <v>0</v>
      </c>
      <c r="AI2519" s="52" t="n">
        <v>0</v>
      </c>
      <c r="AJ2519" s="52" t="n">
        <v>0</v>
      </c>
      <c r="AK2519" s="52" t="n">
        <v>0</v>
      </c>
      <c r="AL2519" s="52" t="n">
        <v>0</v>
      </c>
      <c r="AM2519" s="53" t="n">
        <v>0</v>
      </c>
      <c r="AN2519" s="53" t="n">
        <v>0</v>
      </c>
      <c r="AO2519" s="53" t="n">
        <v>0</v>
      </c>
      <c r="AP2519" s="53" t="n">
        <v>0</v>
      </c>
      <c r="AQ2519" s="52" t="n">
        <v>0</v>
      </c>
      <c r="AR2519" s="52" t="n">
        <v>0</v>
      </c>
      <c r="AS2519" s="52" t="n">
        <v>0</v>
      </c>
      <c r="AT2519" s="52" t="n">
        <v>0</v>
      </c>
      <c r="AU2519" s="53" t="n">
        <v>0</v>
      </c>
      <c r="AV2519" s="53" t="n">
        <v>0</v>
      </c>
      <c r="AW2519" s="53" t="n">
        <v>0</v>
      </c>
      <c r="AX2519" s="53" t="n">
        <v>0</v>
      </c>
      <c r="AY2519" s="52" t="n">
        <v>0</v>
      </c>
      <c r="AZ2519" s="52" t="n">
        <v>34.99</v>
      </c>
      <c r="BA2519" s="52" t="n">
        <v>0</v>
      </c>
      <c r="BB2519" s="52" t="n">
        <v>0</v>
      </c>
      <c r="BC2519" s="51" t="n">
        <v>0</v>
      </c>
      <c r="BD2519" s="51" t="n">
        <v>0</v>
      </c>
      <c r="BE2519" s="51" t="n">
        <v>0</v>
      </c>
      <c r="BF2519" s="51" t="n">
        <v>0</v>
      </c>
    </row>
    <row r="2520">
      <c r="A2520">
        <f>HYPERLINK("https://www.walmart.com/ip/15386919433", "15386919433")</f>
        <v/>
      </c>
      <c r="B2520" t="inlineStr">
        <is>
          <t>Catalonia Swim Parka Kids with Hood, Lightweight Youth Surf Swim Jacket, Waterproof &amp; Warm Sherpa Lined Swim Coat for Boys Girls, Changing Poncho Robe for Pool Beach Stadium, Black, 5-9 Years</t>
        </is>
      </c>
      <c r="C2520" t="inlineStr">
        <is>
          <t>1CTPKR202BK-0</t>
        </is>
      </c>
      <c r="D2520" t="inlineStr">
        <is>
          <t>Swim Parkas</t>
        </is>
      </c>
      <c r="E2520" t="inlineStr">
        <is>
          <t>Catalonia</t>
        </is>
      </c>
      <c r="G2520" s="48" t="n">
        <v>-42.46</v>
      </c>
      <c r="H2520" s="48" t="n">
        <v>0</v>
      </c>
      <c r="I2520" s="48" t="n">
        <v>0</v>
      </c>
      <c r="J2520" s="48" t="n">
        <v>0</v>
      </c>
      <c r="K2520" s="49" t="n">
        <v>-1</v>
      </c>
      <c r="L2520" s="49" t="n">
        <v>0</v>
      </c>
      <c r="M2520" s="49" t="n">
        <v>0</v>
      </c>
      <c r="N2520" s="49" t="n">
        <v>0</v>
      </c>
      <c r="O2520" s="49" t="n">
        <v>0</v>
      </c>
      <c r="P2520" s="49" t="n">
        <v>0</v>
      </c>
      <c r="Q2520" s="49" t="n">
        <v>0</v>
      </c>
      <c r="R2520" s="49" t="n">
        <v>0</v>
      </c>
      <c r="S2520" s="50" t="n">
        <v>0</v>
      </c>
      <c r="T2520" s="50" t="n">
        <v>0</v>
      </c>
      <c r="U2520" s="50" t="n">
        <v>0</v>
      </c>
      <c r="V2520" s="50" t="n">
        <v>0</v>
      </c>
      <c r="W2520" s="51" t="n">
        <v>0</v>
      </c>
      <c r="X2520" s="51" t="n">
        <v>0</v>
      </c>
      <c r="Y2520" s="51" t="n">
        <v>0</v>
      </c>
      <c r="Z2520" s="51" t="n">
        <v>0</v>
      </c>
      <c r="AA2520" s="52" t="n">
        <v>0</v>
      </c>
      <c r="AB2520" s="52" t="n">
        <v>0</v>
      </c>
      <c r="AC2520" s="52" t="n">
        <v>0</v>
      </c>
      <c r="AD2520" s="52" t="n">
        <v>0</v>
      </c>
      <c r="AE2520" s="52" t="n">
        <v>0</v>
      </c>
      <c r="AF2520" s="52" t="n">
        <v>0</v>
      </c>
      <c r="AG2520" s="52" t="n">
        <v>0</v>
      </c>
      <c r="AH2520" s="52" t="n">
        <v>0</v>
      </c>
      <c r="AI2520" s="52" t="n">
        <v>0</v>
      </c>
      <c r="AJ2520" s="52" t="n">
        <v>0</v>
      </c>
      <c r="AK2520" s="52" t="n">
        <v>0</v>
      </c>
      <c r="AL2520" s="52" t="n">
        <v>0</v>
      </c>
      <c r="AM2520" s="53" t="n">
        <v>0</v>
      </c>
      <c r="AN2520" s="53" t="n">
        <v>0</v>
      </c>
      <c r="AO2520" s="53" t="n">
        <v>0</v>
      </c>
      <c r="AP2520" s="53" t="n">
        <v>0</v>
      </c>
      <c r="AQ2520" s="52" t="n">
        <v>0</v>
      </c>
      <c r="AR2520" s="52" t="n">
        <v>0</v>
      </c>
      <c r="AS2520" s="52" t="n">
        <v>0</v>
      </c>
      <c r="AT2520" s="52" t="n">
        <v>0</v>
      </c>
      <c r="AU2520" s="53" t="n">
        <v>0</v>
      </c>
      <c r="AV2520" s="53" t="n">
        <v>0</v>
      </c>
      <c r="AW2520" s="53" t="n">
        <v>0</v>
      </c>
      <c r="AX2520" s="53" t="n">
        <v>0</v>
      </c>
      <c r="AY2520" s="52" t="n">
        <v>0</v>
      </c>
      <c r="AZ2520" s="52" t="n">
        <v>0</v>
      </c>
      <c r="BA2520" s="52" t="n">
        <v>0</v>
      </c>
      <c r="BB2520" s="52" t="n">
        <v>0</v>
      </c>
      <c r="BC2520" s="51" t="n">
        <v>0</v>
      </c>
      <c r="BD2520" s="51" t="n">
        <v>0</v>
      </c>
      <c r="BE2520" s="51" t="n">
        <v>0</v>
      </c>
      <c r="BF2520" s="51" t="n">
        <v>0</v>
      </c>
    </row>
    <row r="2521">
      <c r="A2521">
        <f>HYPERLINK("https://www.walmart.com/ip/5851502515", "5851502515")</f>
        <v/>
      </c>
      <c r="B2521" t="inlineStr">
        <is>
          <t>Tirrinia Large Cooler Bag,48 Cans Insulated Leakproof Soft Ice Chest, Portable Beach Cooler with Heavy-Duty Handles for Picnic, Beach, Camping, Road Trips</t>
        </is>
      </c>
      <c r="C2521" t="inlineStr">
        <is>
          <t>1TRCB00148BK</t>
        </is>
      </c>
      <c r="D2521" t="inlineStr">
        <is>
          <t>Soft-Sided Coolers</t>
        </is>
      </c>
      <c r="E2521" t="inlineStr">
        <is>
          <t>Tirrinia</t>
        </is>
      </c>
      <c r="G2521" s="48" t="n">
        <v>-59.98</v>
      </c>
      <c r="H2521" s="48" t="n">
        <v>29.99</v>
      </c>
      <c r="I2521" s="48" t="n">
        <v>0</v>
      </c>
      <c r="J2521" s="48" t="n">
        <v>0</v>
      </c>
      <c r="K2521" s="49" t="n">
        <v>-2</v>
      </c>
      <c r="L2521" s="49" t="n">
        <v>1</v>
      </c>
      <c r="M2521" s="49" t="n">
        <v>0</v>
      </c>
      <c r="N2521" s="49" t="n">
        <v>0</v>
      </c>
      <c r="O2521" s="49" t="n">
        <v>0</v>
      </c>
      <c r="P2521" s="49" t="n">
        <v>0</v>
      </c>
      <c r="Q2521" s="49" t="n">
        <v>0</v>
      </c>
      <c r="R2521" s="49" t="n">
        <v>0</v>
      </c>
      <c r="S2521" s="50" t="n">
        <v>0</v>
      </c>
      <c r="T2521" s="50" t="n">
        <v>0</v>
      </c>
      <c r="U2521" s="50" t="n">
        <v>0</v>
      </c>
      <c r="V2521" s="50" t="n">
        <v>0</v>
      </c>
      <c r="W2521" s="51" t="n">
        <v>0</v>
      </c>
      <c r="X2521" s="51" t="n">
        <v>0</v>
      </c>
      <c r="Y2521" s="51" t="n">
        <v>0</v>
      </c>
      <c r="Z2521" s="51" t="n">
        <v>0</v>
      </c>
      <c r="AA2521" s="52" t="n">
        <v>0</v>
      </c>
      <c r="AB2521" s="52" t="n">
        <v>0</v>
      </c>
      <c r="AC2521" s="52" t="n">
        <v>0</v>
      </c>
      <c r="AD2521" s="52" t="n">
        <v>0</v>
      </c>
      <c r="AE2521" s="52" t="n">
        <v>0</v>
      </c>
      <c r="AF2521" s="52" t="n">
        <v>0</v>
      </c>
      <c r="AG2521" s="52" t="n">
        <v>0</v>
      </c>
      <c r="AH2521" s="52" t="n">
        <v>0</v>
      </c>
      <c r="AI2521" s="52" t="n">
        <v>0</v>
      </c>
      <c r="AJ2521" s="52" t="n">
        <v>0</v>
      </c>
      <c r="AK2521" s="52" t="n">
        <v>0</v>
      </c>
      <c r="AL2521" s="52" t="n">
        <v>0</v>
      </c>
      <c r="AM2521" s="53" t="n">
        <v>0</v>
      </c>
      <c r="AN2521" s="53" t="n">
        <v>0</v>
      </c>
      <c r="AO2521" s="53" t="n">
        <v>0</v>
      </c>
      <c r="AP2521" s="53" t="n">
        <v>0</v>
      </c>
      <c r="AQ2521" s="52" t="n">
        <v>0</v>
      </c>
      <c r="AR2521" s="52" t="n">
        <v>0</v>
      </c>
      <c r="AS2521" s="52" t="n">
        <v>0</v>
      </c>
      <c r="AT2521" s="52" t="n">
        <v>0</v>
      </c>
      <c r="AU2521" s="53" t="n">
        <v>0</v>
      </c>
      <c r="AV2521" s="53" t="n">
        <v>0</v>
      </c>
      <c r="AW2521" s="53" t="n">
        <v>0</v>
      </c>
      <c r="AX2521" s="53" t="n">
        <v>0</v>
      </c>
      <c r="AY2521" s="52" t="n">
        <v>0</v>
      </c>
      <c r="AZ2521" s="52" t="n">
        <v>29.99</v>
      </c>
      <c r="BA2521" s="52" t="n">
        <v>0</v>
      </c>
      <c r="BB2521" s="52" t="n">
        <v>0</v>
      </c>
      <c r="BC2521" s="51" t="n">
        <v>0</v>
      </c>
      <c r="BD2521" s="51" t="n">
        <v>0</v>
      </c>
      <c r="BE2521" s="51" t="n">
        <v>0</v>
      </c>
      <c r="BF2521" s="51" t="n">
        <v>0</v>
      </c>
    </row>
  </sheetData>
  <mergeCells count="13">
    <mergeCell ref="AI1:AL1"/>
    <mergeCell ref="AQ1:AT1"/>
    <mergeCell ref="AU1:AX1"/>
    <mergeCell ref="AY1:BB1"/>
    <mergeCell ref="AM1:AP1"/>
    <mergeCell ref="G1:J1"/>
    <mergeCell ref="K1:N1"/>
    <mergeCell ref="W1:Z1"/>
    <mergeCell ref="BC1:BF1"/>
    <mergeCell ref="AA1:AD1"/>
    <mergeCell ref="O1:R1"/>
    <mergeCell ref="AE1:AH1"/>
    <mergeCell ref="S1:V1"/>
  </mergeCells>
  <hyperlinks>
    <hyperlink xmlns:r="http://schemas.openxmlformats.org/officeDocument/2006/relationships" ref="C1128" r:id="rId1"/>
    <hyperlink xmlns:r="http://schemas.openxmlformats.org/officeDocument/2006/relationships" ref="C1946" r:id="rId2"/>
    <hyperlink xmlns:r="http://schemas.openxmlformats.org/officeDocument/2006/relationships" ref="C1990" r:id="rId3"/>
    <hyperlink xmlns:r="http://schemas.openxmlformats.org/officeDocument/2006/relationships" ref="C2429" r:id="rId4"/>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2025-05-16T11:45:02Z</dcterms:created>
  <dcterms:modified xsi:type="dcterms:W3CDTF">2025-05-16T20:07:02Z</dcterms:modified>
  <cp:lastModifiedBy>Goyal, Satyam</cp:lastModifiedBy>
</cp:coreProperties>
</file>